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lockStructure="1"/>
  <bookViews>
    <workbookView xWindow="-75" yWindow="180" windowWidth="19110" windowHeight="10590" tabRatio="825" firstSheet="11" activeTab="11"/>
  </bookViews>
  <sheets>
    <sheet name="How to use" sheetId="43" state="hidden" r:id="rId1"/>
    <sheet name="Reference" sheetId="27" state="hidden" r:id="rId2"/>
    <sheet name="Key Facts - Raw Data" sheetId="29" state="hidden" r:id="rId3"/>
    <sheet name="Participation - Raw Data" sheetId="33" state="hidden" r:id="rId4"/>
    <sheet name="Provider Commission - NewChart" sheetId="50" state="hidden" r:id="rId5"/>
    <sheet name="Provider Commission - Raw Data" sheetId="34" state="hidden" r:id="rId6"/>
    <sheet name="Funnel setup" sheetId="37" state="hidden" r:id="rId7"/>
    <sheet name="ProvCommData" sheetId="49" state="hidden" r:id="rId8"/>
    <sheet name="Chart data" sheetId="46" state="hidden" r:id="rId9"/>
    <sheet name="Provider Commission - Lookup" sheetId="35" state="hidden" r:id="rId10"/>
    <sheet name="Funnel Lookup" sheetId="42" state="hidden" r:id="rId11"/>
    <sheet name="Footnotes" sheetId="26" r:id="rId12"/>
    <sheet name="Guide - Key Facts" sheetId="52" r:id="rId13"/>
    <sheet name="Adjusted Health Gain Chart" sheetId="48" r:id="rId14"/>
    <sheet name="Key Facts" sheetId="51" r:id="rId15"/>
    <sheet name="Key Facts - chart" sheetId="28" state="hidden" r:id="rId16"/>
    <sheet name="Key Facts - Scores" sheetId="47" state="hidden" r:id="rId17"/>
    <sheet name="Guide -  Select 10 Table" sheetId="13" r:id="rId18"/>
    <sheet name="Select 10 table" sheetId="4" r:id="rId19"/>
    <sheet name="Guide - Funnel Plot" sheetId="40" r:id="rId20"/>
    <sheet name="Funnel Plot" sheetId="38" r:id="rId21"/>
    <sheet name="Funnel Data" sheetId="39" r:id="rId22"/>
  </sheets>
  <definedNames>
    <definedName name="_xlnm._FilterDatabase" localSheetId="10" hidden="1">'Funnel Lookup'!$A$2:$V$402</definedName>
    <definedName name="_xlnm._FilterDatabase" localSheetId="2" hidden="1">'Key Facts - Raw Data'!$A$1:$M$5626</definedName>
    <definedName name="_xlnm._FilterDatabase" localSheetId="3" hidden="1">'Participation - Raw Data'!$A$1:$AU$369</definedName>
    <definedName name="_xlnm._FilterDatabase" localSheetId="4" hidden="1">'Provider Commission - NewChart'!$G$1:$G$7501</definedName>
    <definedName name="_xlnm._FilterDatabase" localSheetId="5" hidden="1">'Provider Commission - Raw Data'!$A$1:$Q$1610</definedName>
    <definedName name="_xlnm._FilterDatabase" localSheetId="1" hidden="1">Reference!$A$1:$AV$1</definedName>
    <definedName name="CCG">INDIRECT("Reference!$H$2:$H$"&amp;Reference!$I$2+1)</definedName>
    <definedName name="Funnel_Data" localSheetId="7">INDIRECT("'Provider Commission - Raw Data'!$A$1:$Q$"&amp;ProvCommData!$B$62)</definedName>
    <definedName name="Funnel_Data">INDIRECT("'Provider Commission - Raw Data'!$A$1:$Q$"&amp;'Chart data'!$B$47)</definedName>
    <definedName name="Funnel_Organisation_Level">INDIRECT("Reference!$AF$2:$AF$"&amp;Reference!$AG$2+1)</definedName>
    <definedName name="Funnel_Plot_Org" localSheetId="7">OFFSET(IF('Funnel Plot'!$F$11=Reference!$AA$3,Reference!$N$2,IF('Funnel Plot'!$F$11=Reference!$AA$4,Reference!$K$2,IF('Funnel Plot'!$F$11=Reference!$AA$5,Reference!$H$2,Reference!$E$2))),0,0,ProvCommData!$B$77,1)</definedName>
    <definedName name="Funnel_Plot_Org">OFFSET(IF('Funnel Plot'!$F$11=Reference!$AA$3,Reference!$N$2,IF('Funnel Plot'!$F$11=Reference!$AA$4,Reference!$K$2,IF('Funnel Plot'!$F$11=Reference!$AA$5,Reference!$H$2,Reference!$E$2))),0,0,'Chart data'!$B$62,1)</definedName>
    <definedName name="Funnel_Plot_score">OFFSET(IF('Funnel Plot'!$B$11=Reference!$Y$11,Reference!$U$2,IF('Funnel Plot'!$B$11 = Reference!$Y$12,Reference!$U$6,IF('Funnel Plot'!$B$11 = Reference!$Y$13,Reference!$U$6,IF('Funnel Plot'!$B$11 = Reference!$Y$14,Reference!$U$11,IF('Funnel Plot'!$B$11 = Reference!$Y$15,Reference!$U$11,Reference!$U$16))))),0,0,Reference!$V$2,1)</definedName>
    <definedName name="KeyFacts_Organisation_Level">INDIRECT("Reference!$AC$2:$AC$"&amp;Reference!$AD$2+1)</definedName>
    <definedName name="KeyFacts_RawData">INDIRECT("'Key Facts - Raw Data'!$A$1:$M$"&amp;'Chart data'!$B$41)</definedName>
    <definedName name="KeyFacts_Validation" localSheetId="13">OFFSET(IF('Adjusted Health Gain Chart'!$B$11=Reference!$AA$2,Reference!$Q$2,IF('Adjusted Health Gain Chart'!$B$11=Reference!$AA$3,Reference!$N$2,IF('Adjusted Health Gain Chart'!$B$11=Reference!$AA$4,Reference!$K$2,IF('Adjusted Health Gain Chart'!$B$11=Reference!$AA$5,Reference!$H$2,Reference!$E$2)))),0,0,ProvCommData!$B$4,1)</definedName>
    <definedName name="KeyFacts_Validation" localSheetId="7">OFFSET(IF('Adjusted Health Gain Chart'!$B$11=Reference!$AA$2,Reference!$Q$2,IF('Adjusted Health Gain Chart'!$B$11=Reference!$AA$3,Reference!$N$2,IF('Adjusted Health Gain Chart'!$B$11=Reference!$AA$4,Reference!$K$2,IF('Adjusted Health Gain Chart'!$B$11=Reference!$AA$5,Reference!$H$2,Reference!$E$2)))),0,0,'Chart data'!$B$4,1)</definedName>
    <definedName name="KeyFacts_Validation">OFFSET(IF('Key Facts - chart'!$B$11=Reference!$AA$2,Reference!$Q$2,IF('Key Facts - chart'!$B$11=Reference!$AA$3,Reference!$N$2,IF('Key Facts - chart'!$B$11=Reference!$AA$4,Reference!$K$2,IF('Key Facts - chart'!$B$11=Reference!$AA$5,Reference!$H$2,Reference!$E$2)))),0,0,'Chart data'!$B$4,1)</definedName>
    <definedName name="Participation_Data" localSheetId="7">INDIRECT("'Participation - Raw Data'!$B$1:$BA$"&amp;ProvCommData!$B$59)</definedName>
    <definedName name="Participation_Data">INDIRECT("'Participation - Raw Data'!$B$1:$BA$"&amp;'Chart data'!$B$44)</definedName>
    <definedName name="PCTs">INDIRECT("Reference!$K$2:$K$"&amp;Reference!$L$2+1)</definedName>
    <definedName name="_xlnm.Print_Area" localSheetId="13">'Adjusted Health Gain Chart'!$A$1:$G$99</definedName>
    <definedName name="_xlnm.Print_Area" localSheetId="11">Footnotes!$A$1:$B$37</definedName>
    <definedName name="_xlnm.Print_Area" localSheetId="21">'Funnel Data'!$A$1:$K$414</definedName>
    <definedName name="_xlnm.Print_Area" localSheetId="20">'Funnel Plot'!$A$1:$H$28</definedName>
    <definedName name="_xlnm.Print_Area" localSheetId="17">'Guide -  Select 10 Table'!$A$1:$O$52</definedName>
    <definedName name="_xlnm.Print_Area" localSheetId="19">'Guide - Funnel Plot'!$A$1:$I$43</definedName>
    <definedName name="_xlnm.Print_Area" localSheetId="12">'Guide - Key Facts'!$A$1:$L$49</definedName>
    <definedName name="_xlnm.Print_Area" localSheetId="14">'Key Facts'!$A$1:$S$47</definedName>
    <definedName name="_xlnm.Print_Area" localSheetId="15">'Key Facts - chart'!$A$1:$L$40</definedName>
    <definedName name="_xlnm.Print_Area" localSheetId="16">'Key Facts - Scores'!$A$1:$P$44</definedName>
    <definedName name="_xlnm.Print_Area" localSheetId="18">'Select 10 table'!$A$1:$N$31</definedName>
    <definedName name="_xlnm.Print_Titles" localSheetId="21">'Funnel Data'!$2:$9</definedName>
    <definedName name="Procedure_List">Reference!$Y$11:$Y$16</definedName>
    <definedName name="ProviderCommissionerNewChart">'Provider Commission - NewChart'!$B$2:$Q$7388</definedName>
    <definedName name="Providers">INDIRECT("Reference!$E$2:$E$"&amp;Reference!$F$2+1)</definedName>
    <definedName name="Select10_OrgName01" localSheetId="7">OFFSET(IF('Select 10 table'!$B$17=Reference!$AA$3,Reference!$N$2,IF('Select 10 table'!$B$17=Reference!$AA$4,Reference!$K$2,IF('Select 10 table'!$B$17=Reference!$AA$5,Reference!$H$2,Reference!$E$2))),0,0,ProvCommData!$B$65,1)</definedName>
    <definedName name="Select10_OrgName01">OFFSET(IF('Select 10 table'!$B$17=Reference!$AA$3,Reference!$N$2,IF('Select 10 table'!$B$17=Reference!$AA$4,Reference!$K$2,IF('Select 10 table'!$B$17=Reference!$AA$5,Reference!$H$2,Reference!$E$2))),0,0,'Chart data'!$B$50,1)</definedName>
    <definedName name="Select10_OrgName02" localSheetId="7">OFFSET(IF('Select 10 table'!$B$18=Reference!$AA$3,Reference!$N$2,IF('Select 10 table'!$B$18=Reference!$AA$4,Reference!$K$2,IF('Select 10 table'!$B$18=Reference!$AA$5,Reference!$H$2,Reference!$E$2))),0,0,ProvCommData!$B$66,1)</definedName>
    <definedName name="Select10_OrgName02">OFFSET(IF('Select 10 table'!$B$18=Reference!$AA$3,Reference!$N$2,IF('Select 10 table'!$B$18=Reference!$AA$4,Reference!$K$2,IF('Select 10 table'!$B$18=Reference!$AA$5,Reference!$H$2,Reference!$E$2))),0,0,'Chart data'!$B$51,1)</definedName>
    <definedName name="Select10_OrgName03" localSheetId="7">OFFSET(IF('Select 10 table'!$B$19=Reference!$AA$3,Reference!$N$2,IF('Select 10 table'!$B$19=Reference!$AA$4,Reference!$K$2,IF('Select 10 table'!$B$19=Reference!$AA$5,Reference!$H$2,Reference!$E$2))),0,0,ProvCommData!$B$67,1)</definedName>
    <definedName name="Select10_OrgName03">OFFSET(IF('Select 10 table'!$B$19=Reference!$AA$3,Reference!$N$2,IF('Select 10 table'!$B$19=Reference!$AA$4,Reference!$K$2,IF('Select 10 table'!$B$19=Reference!$AA$5,Reference!$H$2,Reference!$E$2))),0,0,'Chart data'!$B$52,1)</definedName>
    <definedName name="Select10_OrgName04" localSheetId="7">OFFSET(IF('Select 10 table'!$B$20=Reference!$AA$3,Reference!$N$2,IF('Select 10 table'!$B$20=Reference!$AA$4,Reference!$K$2,IF('Select 10 table'!$B$20=Reference!$AA$5,Reference!$H$2,Reference!$E$2))),0,0,ProvCommData!$B$68,1)</definedName>
    <definedName name="Select10_OrgName04">OFFSET(IF('Select 10 table'!$B$20=Reference!$AA$3,Reference!$N$2,IF('Select 10 table'!$B$20=Reference!$AA$4,Reference!$K$2,IF('Select 10 table'!$B$20=Reference!$AA$5,Reference!$H$2,Reference!$E$2))),0,0,'Chart data'!$B$53,1)</definedName>
    <definedName name="Select10_OrgName05" localSheetId="7">OFFSET(IF('Select 10 table'!$B$21=Reference!$AA$3,Reference!$N$2,IF('Select 10 table'!$B$21=Reference!$AA$4,Reference!$K$2,IF('Select 10 table'!$B$21=Reference!$AA$5,Reference!$H$2,Reference!$E$2))),0,0,ProvCommData!$B$69,1)</definedName>
    <definedName name="Select10_OrgName05">OFFSET(IF('Select 10 table'!$B$21=Reference!$AA$3,Reference!$N$2,IF('Select 10 table'!$B$21=Reference!$AA$4,Reference!$K$2,IF('Select 10 table'!$B$21=Reference!$AA$5,Reference!$H$2,Reference!$E$2))),0,0,'Chart data'!$B$54,1)</definedName>
    <definedName name="Select10_OrgName06" localSheetId="7">OFFSET(IF('Select 10 table'!$B$22=Reference!$AA$3,Reference!$N$2,IF('Select 10 table'!$B$22=Reference!$AA$4,Reference!$K$2,IF('Select 10 table'!$B$22=Reference!$AA$5,Reference!$H$2,Reference!$E$2))),0,0,ProvCommData!$B$70,1)</definedName>
    <definedName name="Select10_OrgName06">OFFSET(IF('Select 10 table'!$B$22=Reference!$AA$3,Reference!$N$2,IF('Select 10 table'!$B$22=Reference!$AA$4,Reference!$K$2,IF('Select 10 table'!$B$22=Reference!$AA$5,Reference!$H$2,Reference!$E$2))),0,0,'Chart data'!$B$55,1)</definedName>
    <definedName name="Select10_OrgName07" localSheetId="7">OFFSET(IF('Select 10 table'!$B$23=Reference!$AA$3,Reference!$N$2,IF('Select 10 table'!$B$23=Reference!$AA$4,Reference!$K$2,IF('Select 10 table'!$B$23=Reference!$AA$5,Reference!$H$2,Reference!$E$2))),0,0,ProvCommData!$B$71,1)</definedName>
    <definedName name="Select10_OrgName07">OFFSET(IF('Select 10 table'!$B$23=Reference!$AA$3,Reference!$N$2,IF('Select 10 table'!$B$23=Reference!$AA$4,Reference!$K$2,IF('Select 10 table'!$B$23=Reference!$AA$5,Reference!$H$2,Reference!$E$2))),0,0,'Chart data'!$B$56,1)</definedName>
    <definedName name="Select10_OrgName08" localSheetId="7">OFFSET(IF('Select 10 table'!$B$24=Reference!$AA$3,Reference!$N$2,IF('Select 10 table'!$B$24=Reference!$AA$4,Reference!$K$2,IF('Select 10 table'!$B$24=Reference!$AA$5,Reference!$H$2,Reference!$E$2))),0,0,ProvCommData!$B$72,1)</definedName>
    <definedName name="Select10_OrgName08">OFFSET(IF('Select 10 table'!$B$24=Reference!$AA$3,Reference!$N$2,IF('Select 10 table'!$B$24=Reference!$AA$4,Reference!$K$2,IF('Select 10 table'!$B$24=Reference!$AA$5,Reference!$H$2,Reference!$E$2))),0,0,'Chart data'!$B$57,1)</definedName>
    <definedName name="Select10_OrgName09" localSheetId="7">OFFSET(IF('Select 10 table'!$B$25=Reference!$AA$3,Reference!$N$2,IF('Select 10 table'!$B$25=Reference!$AA$4,Reference!$K$2,IF('Select 10 table'!$B$25=Reference!$AA$5,Reference!$H$2,Reference!$E$2))),0,0,ProvCommData!$B$73,1)</definedName>
    <definedName name="Select10_OrgName09">OFFSET(IF('Select 10 table'!$B$25=Reference!$AA$3,Reference!$N$2,IF('Select 10 table'!$B$25=Reference!$AA$4,Reference!$K$2,IF('Select 10 table'!$B$25=Reference!$AA$5,Reference!$H$2,Reference!$E$2))),0,0,'Chart data'!$B$58,1)</definedName>
    <definedName name="Select10_OrgName10" localSheetId="7">OFFSET(IF('Select 10 table'!$B$26=Reference!$AA$3,Reference!$N$2,IF('Select 10 table'!$B$26=Reference!$AA$4,Reference!$K$2,IF('Select 10 table'!$B$26=Reference!$AA$5,Reference!$H$2,Reference!$E$2))),0,0,ProvCommData!$B$74,1)</definedName>
    <definedName name="Select10_OrgName10">OFFSET(IF('Select 10 table'!$B$26=Reference!$AA$3,Reference!$N$2,IF('Select 10 table'!$B$26=Reference!$AA$4,Reference!$K$2,IF('Select 10 table'!$B$26=Reference!$AA$5,Reference!$H$2,Reference!$E$2))),0,0,'Chart data'!$B$59,1)</definedName>
    <definedName name="Select10_Score">OFFSET(IF('Select 10 table'!$B$13=Reference!$Y$11,Reference!$U$2,IF('Select 10 table'!$B$13 = Reference!$Y$12,Reference!$U$6,IF('Select 10 table'!$B$13 = Reference!$Y$13,Reference!$U$6,IF('Select 10 table'!$B$13 = Reference!$Y$14,Reference!$U$11,IF('Select 10 table'!$B$13 = Reference!$Y$15,Reference!$U$11,Reference!$U$16))))),0,0,Reference!$W$2,1)</definedName>
    <definedName name="SHAs">Reference!$N$2:$N$10</definedName>
    <definedName name="TableandCharts_RawData" localSheetId="7">INDIRECT("'Provider Commission - Raw Data'!$B$1:$Q$"&amp;ProvCommData!$B$62)</definedName>
    <definedName name="TableandCharts_RawData">INDIRECT("'Provider Commission - Raw Data'!$B$1:$Q$"&amp;'Chart data'!$B$47)</definedName>
  </definedNames>
  <calcPr calcId="145621"/>
</workbook>
</file>

<file path=xl/calcChain.xml><?xml version="1.0" encoding="utf-8"?>
<calcChain xmlns="http://schemas.openxmlformats.org/spreadsheetml/2006/main">
  <c r="B7436" i="34" l="1"/>
  <c r="B7437" i="34"/>
  <c r="B7438" i="34"/>
  <c r="B7439" i="34"/>
  <c r="B7440" i="34"/>
  <c r="B7441" i="34"/>
  <c r="B7442" i="34"/>
  <c r="B7443" i="34"/>
  <c r="B7444" i="34"/>
  <c r="B7445" i="34"/>
  <c r="B7446" i="34"/>
  <c r="B7447" i="34"/>
  <c r="B7448" i="34"/>
  <c r="B7449" i="34"/>
  <c r="B7450" i="34"/>
  <c r="B7451" i="34"/>
  <c r="B7452" i="34"/>
  <c r="B7453" i="34"/>
  <c r="B7454" i="34"/>
  <c r="B7455" i="34"/>
  <c r="B7456" i="34"/>
  <c r="B7457" i="34"/>
  <c r="B7458" i="34"/>
  <c r="B7459" i="34"/>
  <c r="B7460" i="34"/>
  <c r="B7461" i="34"/>
  <c r="B7462" i="34"/>
  <c r="B7463" i="34"/>
  <c r="B7464" i="34"/>
  <c r="B7465" i="34"/>
  <c r="B7466" i="34"/>
  <c r="B7467" i="34"/>
  <c r="B7468" i="34"/>
  <c r="B7469" i="34"/>
  <c r="B7470" i="34"/>
  <c r="B7471" i="34"/>
  <c r="B7472" i="34"/>
  <c r="B7473" i="34"/>
  <c r="B7474" i="34"/>
  <c r="B7475" i="34"/>
  <c r="B7476" i="34"/>
  <c r="B7477" i="34"/>
  <c r="B7478" i="34"/>
  <c r="B7479" i="34"/>
  <c r="B7480" i="34"/>
  <c r="B7481" i="34"/>
  <c r="B7482" i="34"/>
  <c r="B7483" i="34"/>
  <c r="B7484" i="34"/>
  <c r="B7485" i="34"/>
  <c r="B7486" i="34"/>
  <c r="B7487" i="34"/>
  <c r="B7488" i="34"/>
  <c r="B7489" i="34"/>
  <c r="B7490" i="34"/>
  <c r="B7491" i="34"/>
  <c r="B7492" i="34"/>
  <c r="B7493" i="34"/>
  <c r="B7494" i="34"/>
  <c r="B7495" i="34"/>
  <c r="B7496" i="34"/>
  <c r="B7497" i="34"/>
  <c r="B7498" i="34"/>
  <c r="B7499" i="34"/>
  <c r="B7500" i="34"/>
  <c r="B7501" i="34"/>
  <c r="B7436" i="50"/>
  <c r="B7437" i="50"/>
  <c r="B7438" i="50"/>
  <c r="B7439" i="50"/>
  <c r="B7440" i="50"/>
  <c r="B7441" i="50"/>
  <c r="B7442" i="50"/>
  <c r="B7443" i="50"/>
  <c r="B7444" i="50"/>
  <c r="B7445" i="50"/>
  <c r="B7446" i="50"/>
  <c r="B7447" i="50"/>
  <c r="B7448" i="50"/>
  <c r="B7449" i="50"/>
  <c r="B7450" i="50"/>
  <c r="B7451" i="50"/>
  <c r="B7452" i="50"/>
  <c r="B7453" i="50"/>
  <c r="B7454" i="50"/>
  <c r="B7455" i="50"/>
  <c r="B7456" i="50"/>
  <c r="B7457" i="50"/>
  <c r="B7458" i="50"/>
  <c r="B7459" i="50"/>
  <c r="B7460" i="50"/>
  <c r="B7461" i="50"/>
  <c r="B7462" i="50"/>
  <c r="B7463" i="50"/>
  <c r="B7464" i="50"/>
  <c r="B7465" i="50"/>
  <c r="B7466" i="50"/>
  <c r="B7467" i="50"/>
  <c r="B7468" i="50"/>
  <c r="B7469" i="50"/>
  <c r="B7470" i="50"/>
  <c r="B7471" i="50"/>
  <c r="B7472" i="50"/>
  <c r="B7473" i="50"/>
  <c r="B7474" i="50"/>
  <c r="B7475" i="50"/>
  <c r="B7476" i="50"/>
  <c r="B7477" i="50"/>
  <c r="B7478" i="50"/>
  <c r="B7479" i="50"/>
  <c r="B7480" i="50"/>
  <c r="B7481" i="50"/>
  <c r="B7482" i="50"/>
  <c r="B7483" i="50"/>
  <c r="B7484" i="50"/>
  <c r="B7485" i="50"/>
  <c r="B7486" i="50"/>
  <c r="B7487" i="50"/>
  <c r="B7488" i="50"/>
  <c r="B7489" i="50"/>
  <c r="B7490" i="50"/>
  <c r="B7491" i="50"/>
  <c r="B7492" i="50"/>
  <c r="B7493" i="50"/>
  <c r="B7494" i="50"/>
  <c r="B7495" i="50"/>
  <c r="B7496" i="50"/>
  <c r="B7497" i="50"/>
  <c r="B7498" i="50"/>
  <c r="B7499" i="50"/>
  <c r="B7500" i="50"/>
  <c r="B7501" i="50"/>
  <c r="B3" i="50" l="1"/>
  <c r="B4" i="50"/>
  <c r="B5" i="50"/>
  <c r="B6" i="50"/>
  <c r="B7" i="50"/>
  <c r="B8" i="50"/>
  <c r="B9" i="50"/>
  <c r="B10" i="50"/>
  <c r="B11" i="50"/>
  <c r="B12" i="50"/>
  <c r="B13" i="50"/>
  <c r="B14" i="50"/>
  <c r="B15" i="50"/>
  <c r="B16" i="50"/>
  <c r="B17" i="50"/>
  <c r="B18" i="50"/>
  <c r="B19" i="50"/>
  <c r="B20" i="50"/>
  <c r="B21" i="50"/>
  <c r="B22" i="50"/>
  <c r="B23" i="50"/>
  <c r="B24" i="50"/>
  <c r="B25" i="50"/>
  <c r="B26" i="50"/>
  <c r="B27" i="50"/>
  <c r="B28" i="50"/>
  <c r="B29" i="50"/>
  <c r="B30" i="50"/>
  <c r="B31" i="50"/>
  <c r="B32" i="50"/>
  <c r="B33" i="50"/>
  <c r="B34" i="50"/>
  <c r="B35" i="50"/>
  <c r="B36" i="50"/>
  <c r="B37" i="50"/>
  <c r="B38" i="50"/>
  <c r="B39" i="50"/>
  <c r="B40" i="50"/>
  <c r="B41" i="50"/>
  <c r="B42" i="50"/>
  <c r="B43" i="50"/>
  <c r="B44" i="50"/>
  <c r="B45" i="50"/>
  <c r="B46" i="50"/>
  <c r="B47" i="50"/>
  <c r="B48" i="50"/>
  <c r="B49" i="50"/>
  <c r="B50" i="50"/>
  <c r="B51" i="50"/>
  <c r="B52" i="50"/>
  <c r="B53" i="50"/>
  <c r="B54" i="50"/>
  <c r="B55" i="50"/>
  <c r="B56" i="50"/>
  <c r="B57" i="50"/>
  <c r="B58" i="50"/>
  <c r="B59" i="50"/>
  <c r="B60" i="50"/>
  <c r="B61" i="50"/>
  <c r="B62" i="50"/>
  <c r="B63" i="50"/>
  <c r="B64" i="50"/>
  <c r="B65" i="50"/>
  <c r="B66" i="50"/>
  <c r="B67" i="50"/>
  <c r="B68" i="50"/>
  <c r="B69" i="50"/>
  <c r="B70" i="50"/>
  <c r="B71" i="50"/>
  <c r="B72" i="50"/>
  <c r="B73" i="50"/>
  <c r="B74" i="50"/>
  <c r="B75" i="50"/>
  <c r="B76" i="50"/>
  <c r="B77" i="50"/>
  <c r="B78" i="50"/>
  <c r="B79" i="50"/>
  <c r="B80" i="50"/>
  <c r="B81" i="50"/>
  <c r="B82" i="50"/>
  <c r="B83" i="50"/>
  <c r="B84" i="50"/>
  <c r="B85" i="50"/>
  <c r="B86" i="50"/>
  <c r="B87" i="50"/>
  <c r="B88" i="50"/>
  <c r="B89" i="50"/>
  <c r="B90" i="50"/>
  <c r="B91" i="50"/>
  <c r="B92" i="50"/>
  <c r="B93" i="50"/>
  <c r="B94" i="50"/>
  <c r="B95" i="50"/>
  <c r="B96" i="50"/>
  <c r="B97" i="50"/>
  <c r="B98" i="50"/>
  <c r="B99" i="50"/>
  <c r="B100" i="50"/>
  <c r="B101" i="50"/>
  <c r="B102" i="50"/>
  <c r="B103" i="50"/>
  <c r="B104" i="50"/>
  <c r="B105" i="50"/>
  <c r="B106" i="50"/>
  <c r="B107" i="50"/>
  <c r="B108" i="50"/>
  <c r="B109" i="50"/>
  <c r="B110" i="50"/>
  <c r="B111" i="50"/>
  <c r="B112" i="50"/>
  <c r="B113" i="50"/>
  <c r="B114" i="50"/>
  <c r="B115" i="50"/>
  <c r="B116" i="50"/>
  <c r="B117" i="50"/>
  <c r="B118" i="50"/>
  <c r="B119" i="50"/>
  <c r="B120" i="50"/>
  <c r="B121" i="50"/>
  <c r="B122" i="50"/>
  <c r="B123" i="50"/>
  <c r="B124" i="50"/>
  <c r="B125" i="50"/>
  <c r="B126" i="50"/>
  <c r="B127" i="50"/>
  <c r="B128" i="50"/>
  <c r="B129" i="50"/>
  <c r="B130" i="50"/>
  <c r="B131" i="50"/>
  <c r="B132" i="50"/>
  <c r="B133" i="50"/>
  <c r="B134" i="50"/>
  <c r="B135" i="50"/>
  <c r="B136" i="50"/>
  <c r="B137" i="50"/>
  <c r="B138" i="50"/>
  <c r="B139" i="50"/>
  <c r="B140" i="50"/>
  <c r="B141" i="50"/>
  <c r="B142" i="50"/>
  <c r="B143" i="50"/>
  <c r="B144" i="50"/>
  <c r="B145" i="50"/>
  <c r="B146" i="50"/>
  <c r="B147" i="50"/>
  <c r="B148" i="50"/>
  <c r="B149" i="50"/>
  <c r="B150" i="50"/>
  <c r="B151" i="50"/>
  <c r="B152" i="50"/>
  <c r="B153" i="50"/>
  <c r="B154" i="50"/>
  <c r="B155" i="50"/>
  <c r="B156" i="50"/>
  <c r="B157" i="50"/>
  <c r="B158" i="50"/>
  <c r="B159" i="50"/>
  <c r="B160" i="50"/>
  <c r="B161" i="50"/>
  <c r="B162" i="50"/>
  <c r="B163" i="50"/>
  <c r="B164" i="50"/>
  <c r="B165" i="50"/>
  <c r="B166" i="50"/>
  <c r="B167" i="50"/>
  <c r="B168" i="50"/>
  <c r="B169" i="50"/>
  <c r="B170" i="50"/>
  <c r="B171" i="50"/>
  <c r="B172" i="50"/>
  <c r="B173" i="50"/>
  <c r="B174" i="50"/>
  <c r="B175" i="50"/>
  <c r="B176" i="50"/>
  <c r="B177" i="50"/>
  <c r="B178" i="50"/>
  <c r="B179" i="50"/>
  <c r="B180" i="50"/>
  <c r="B181" i="50"/>
  <c r="B182" i="50"/>
  <c r="B183" i="50"/>
  <c r="B184" i="50"/>
  <c r="B185" i="50"/>
  <c r="B186" i="50"/>
  <c r="B187" i="50"/>
  <c r="B188" i="50"/>
  <c r="B189" i="50"/>
  <c r="B190" i="50"/>
  <c r="B191" i="50"/>
  <c r="B192" i="50"/>
  <c r="B193" i="50"/>
  <c r="B194" i="50"/>
  <c r="B195" i="50"/>
  <c r="B196" i="50"/>
  <c r="B197" i="50"/>
  <c r="B198" i="50"/>
  <c r="B199" i="50"/>
  <c r="B200" i="50"/>
  <c r="B201" i="50"/>
  <c r="B202" i="50"/>
  <c r="B203" i="50"/>
  <c r="B204" i="50"/>
  <c r="B205" i="50"/>
  <c r="B206" i="50"/>
  <c r="B207" i="50"/>
  <c r="B208" i="50"/>
  <c r="B209" i="50"/>
  <c r="B210" i="50"/>
  <c r="B211" i="50"/>
  <c r="B212" i="50"/>
  <c r="B213" i="50"/>
  <c r="B214" i="50"/>
  <c r="B215" i="50"/>
  <c r="B216" i="50"/>
  <c r="B217" i="50"/>
  <c r="B218" i="50"/>
  <c r="B219" i="50"/>
  <c r="B220" i="50"/>
  <c r="B221" i="50"/>
  <c r="B222" i="50"/>
  <c r="B223" i="50"/>
  <c r="B224" i="50"/>
  <c r="B225" i="50"/>
  <c r="B226" i="50"/>
  <c r="B227" i="50"/>
  <c r="B228" i="50"/>
  <c r="B229" i="50"/>
  <c r="B230" i="50"/>
  <c r="B231" i="50"/>
  <c r="B232" i="50"/>
  <c r="B233" i="50"/>
  <c r="B234" i="50"/>
  <c r="B235" i="50"/>
  <c r="B236" i="50"/>
  <c r="B237" i="50"/>
  <c r="B238" i="50"/>
  <c r="B239" i="50"/>
  <c r="B240" i="50"/>
  <c r="B241" i="50"/>
  <c r="B242" i="50"/>
  <c r="B243" i="50"/>
  <c r="B244" i="50"/>
  <c r="B245" i="50"/>
  <c r="B246" i="50"/>
  <c r="B247" i="50"/>
  <c r="B248" i="50"/>
  <c r="B249" i="50"/>
  <c r="B250" i="50"/>
  <c r="B251" i="50"/>
  <c r="B252" i="50"/>
  <c r="B253" i="50"/>
  <c r="B254" i="50"/>
  <c r="B255" i="50"/>
  <c r="B256" i="50"/>
  <c r="B257" i="50"/>
  <c r="B258" i="50"/>
  <c r="B259" i="50"/>
  <c r="B260" i="50"/>
  <c r="B261" i="50"/>
  <c r="B262" i="50"/>
  <c r="B263" i="50"/>
  <c r="B264" i="50"/>
  <c r="B265" i="50"/>
  <c r="B266" i="50"/>
  <c r="B267" i="50"/>
  <c r="B268" i="50"/>
  <c r="B269" i="50"/>
  <c r="B270" i="50"/>
  <c r="B271" i="50"/>
  <c r="B272" i="50"/>
  <c r="B273" i="50"/>
  <c r="B274" i="50"/>
  <c r="B275" i="50"/>
  <c r="B276" i="50"/>
  <c r="B277" i="50"/>
  <c r="B278" i="50"/>
  <c r="B279" i="50"/>
  <c r="B280" i="50"/>
  <c r="B281" i="50"/>
  <c r="B282" i="50"/>
  <c r="B283" i="50"/>
  <c r="B284" i="50"/>
  <c r="B285" i="50"/>
  <c r="B286" i="50"/>
  <c r="B287" i="50"/>
  <c r="B288" i="50"/>
  <c r="B289" i="50"/>
  <c r="B290" i="50"/>
  <c r="B291" i="50"/>
  <c r="B292" i="50"/>
  <c r="B293" i="50"/>
  <c r="B294" i="50"/>
  <c r="B295" i="50"/>
  <c r="B296" i="50"/>
  <c r="B297" i="50"/>
  <c r="B298" i="50"/>
  <c r="B299" i="50"/>
  <c r="B300" i="50"/>
  <c r="B301" i="50"/>
  <c r="B302" i="50"/>
  <c r="B303" i="50"/>
  <c r="B304" i="50"/>
  <c r="B305" i="50"/>
  <c r="B306" i="50"/>
  <c r="B307" i="50"/>
  <c r="B308" i="50"/>
  <c r="B309" i="50"/>
  <c r="B310" i="50"/>
  <c r="B311" i="50"/>
  <c r="B312" i="50"/>
  <c r="B313" i="50"/>
  <c r="B314" i="50"/>
  <c r="B315" i="50"/>
  <c r="B316" i="50"/>
  <c r="B317" i="50"/>
  <c r="B318" i="50"/>
  <c r="B319" i="50"/>
  <c r="B320" i="50"/>
  <c r="B321" i="50"/>
  <c r="B322" i="50"/>
  <c r="B323" i="50"/>
  <c r="B324" i="50"/>
  <c r="B325" i="50"/>
  <c r="B326" i="50"/>
  <c r="B327" i="50"/>
  <c r="B328" i="50"/>
  <c r="B329" i="50"/>
  <c r="B330" i="50"/>
  <c r="B331" i="50"/>
  <c r="B332" i="50"/>
  <c r="B333" i="50"/>
  <c r="B334" i="50"/>
  <c r="B335" i="50"/>
  <c r="B336" i="50"/>
  <c r="B337" i="50"/>
  <c r="B338" i="50"/>
  <c r="B339" i="50"/>
  <c r="B340" i="50"/>
  <c r="B341" i="50"/>
  <c r="B342" i="50"/>
  <c r="B343" i="50"/>
  <c r="B344" i="50"/>
  <c r="B345" i="50"/>
  <c r="B346" i="50"/>
  <c r="B347" i="50"/>
  <c r="B348" i="50"/>
  <c r="B349" i="50"/>
  <c r="B350" i="50"/>
  <c r="B351" i="50"/>
  <c r="B352" i="50"/>
  <c r="B353" i="50"/>
  <c r="B354" i="50"/>
  <c r="B355" i="50"/>
  <c r="B356" i="50"/>
  <c r="B357" i="50"/>
  <c r="B358" i="50"/>
  <c r="B359" i="50"/>
  <c r="B360" i="50"/>
  <c r="B361" i="50"/>
  <c r="B362" i="50"/>
  <c r="B363" i="50"/>
  <c r="B364" i="50"/>
  <c r="B365" i="50"/>
  <c r="B366" i="50"/>
  <c r="B367" i="50"/>
  <c r="B368" i="50"/>
  <c r="B369" i="50"/>
  <c r="B370" i="50"/>
  <c r="B371" i="50"/>
  <c r="B372" i="50"/>
  <c r="B373" i="50"/>
  <c r="B374" i="50"/>
  <c r="B375" i="50"/>
  <c r="B376" i="50"/>
  <c r="B377" i="50"/>
  <c r="B378" i="50"/>
  <c r="B379" i="50"/>
  <c r="B380" i="50"/>
  <c r="B381" i="50"/>
  <c r="B382" i="50"/>
  <c r="B383" i="50"/>
  <c r="B384" i="50"/>
  <c r="B385" i="50"/>
  <c r="B386" i="50"/>
  <c r="B387" i="50"/>
  <c r="B388" i="50"/>
  <c r="B389" i="50"/>
  <c r="B390" i="50"/>
  <c r="B391" i="50"/>
  <c r="B392" i="50"/>
  <c r="B393" i="50"/>
  <c r="B394" i="50"/>
  <c r="B395" i="50"/>
  <c r="B396" i="50"/>
  <c r="B397" i="50"/>
  <c r="B398" i="50"/>
  <c r="B399" i="50"/>
  <c r="B400" i="50"/>
  <c r="B401" i="50"/>
  <c r="B402" i="50"/>
  <c r="B403" i="50"/>
  <c r="B404" i="50"/>
  <c r="B405" i="50"/>
  <c r="B406" i="50"/>
  <c r="B407" i="50"/>
  <c r="B408" i="50"/>
  <c r="B409" i="50"/>
  <c r="B410" i="50"/>
  <c r="B411" i="50"/>
  <c r="B412" i="50"/>
  <c r="B413" i="50"/>
  <c r="B414" i="50"/>
  <c r="B415" i="50"/>
  <c r="B416" i="50"/>
  <c r="B417" i="50"/>
  <c r="B418" i="50"/>
  <c r="B419" i="50"/>
  <c r="B420" i="50"/>
  <c r="B421" i="50"/>
  <c r="B422" i="50"/>
  <c r="B423" i="50"/>
  <c r="B424" i="50"/>
  <c r="B425" i="50"/>
  <c r="B426" i="50"/>
  <c r="B427" i="50"/>
  <c r="B428" i="50"/>
  <c r="B429" i="50"/>
  <c r="B430" i="50"/>
  <c r="B431" i="50"/>
  <c r="B432" i="50"/>
  <c r="B433" i="50"/>
  <c r="B434" i="50"/>
  <c r="B435" i="50"/>
  <c r="B436" i="50"/>
  <c r="B437" i="50"/>
  <c r="B438" i="50"/>
  <c r="B439" i="50"/>
  <c r="B440" i="50"/>
  <c r="B441" i="50"/>
  <c r="B442" i="50"/>
  <c r="B443" i="50"/>
  <c r="B444" i="50"/>
  <c r="B445" i="50"/>
  <c r="B446" i="50"/>
  <c r="B447" i="50"/>
  <c r="B448" i="50"/>
  <c r="B449" i="50"/>
  <c r="B450" i="50"/>
  <c r="B451" i="50"/>
  <c r="B452" i="50"/>
  <c r="B453" i="50"/>
  <c r="B454" i="50"/>
  <c r="B455" i="50"/>
  <c r="B456" i="50"/>
  <c r="B457" i="50"/>
  <c r="B458" i="50"/>
  <c r="B459" i="50"/>
  <c r="B460" i="50"/>
  <c r="B461" i="50"/>
  <c r="B462" i="50"/>
  <c r="B463" i="50"/>
  <c r="B464" i="50"/>
  <c r="B465" i="50"/>
  <c r="B466" i="50"/>
  <c r="B467" i="50"/>
  <c r="B468" i="50"/>
  <c r="B469" i="50"/>
  <c r="B470" i="50"/>
  <c r="B471" i="50"/>
  <c r="B472" i="50"/>
  <c r="B473" i="50"/>
  <c r="B474" i="50"/>
  <c r="B475" i="50"/>
  <c r="B476" i="50"/>
  <c r="B477" i="50"/>
  <c r="B478" i="50"/>
  <c r="B479" i="50"/>
  <c r="B480" i="50"/>
  <c r="B481" i="50"/>
  <c r="B482" i="50"/>
  <c r="B483" i="50"/>
  <c r="B484" i="50"/>
  <c r="B485" i="50"/>
  <c r="B486" i="50"/>
  <c r="B487" i="50"/>
  <c r="B488" i="50"/>
  <c r="B489" i="50"/>
  <c r="B490" i="50"/>
  <c r="B491" i="50"/>
  <c r="B492" i="50"/>
  <c r="B493" i="50"/>
  <c r="B494" i="50"/>
  <c r="B495" i="50"/>
  <c r="B496" i="50"/>
  <c r="B497" i="50"/>
  <c r="B498" i="50"/>
  <c r="B499" i="50"/>
  <c r="B500" i="50"/>
  <c r="B501" i="50"/>
  <c r="B502" i="50"/>
  <c r="B503" i="50"/>
  <c r="B504" i="50"/>
  <c r="B505" i="50"/>
  <c r="B506" i="50"/>
  <c r="B507" i="50"/>
  <c r="B508" i="50"/>
  <c r="B509" i="50"/>
  <c r="B510" i="50"/>
  <c r="B511" i="50"/>
  <c r="B512" i="50"/>
  <c r="B513" i="50"/>
  <c r="B514" i="50"/>
  <c r="B515" i="50"/>
  <c r="B516" i="50"/>
  <c r="B517" i="50"/>
  <c r="B518" i="50"/>
  <c r="B519" i="50"/>
  <c r="B520" i="50"/>
  <c r="B521" i="50"/>
  <c r="B522" i="50"/>
  <c r="B523" i="50"/>
  <c r="B524" i="50"/>
  <c r="B525" i="50"/>
  <c r="B526" i="50"/>
  <c r="B527" i="50"/>
  <c r="B528" i="50"/>
  <c r="B529" i="50"/>
  <c r="B530" i="50"/>
  <c r="B531" i="50"/>
  <c r="B532" i="50"/>
  <c r="B533" i="50"/>
  <c r="B534" i="50"/>
  <c r="B535" i="50"/>
  <c r="B536" i="50"/>
  <c r="B537" i="50"/>
  <c r="B538" i="50"/>
  <c r="B539" i="50"/>
  <c r="B540" i="50"/>
  <c r="B541" i="50"/>
  <c r="B542" i="50"/>
  <c r="B543" i="50"/>
  <c r="B544" i="50"/>
  <c r="B545" i="50"/>
  <c r="B546" i="50"/>
  <c r="B547" i="50"/>
  <c r="B548" i="50"/>
  <c r="B549" i="50"/>
  <c r="B550" i="50"/>
  <c r="B551" i="50"/>
  <c r="B552" i="50"/>
  <c r="B553" i="50"/>
  <c r="B554" i="50"/>
  <c r="B555" i="50"/>
  <c r="B556" i="50"/>
  <c r="B557" i="50"/>
  <c r="B558" i="50"/>
  <c r="B559" i="50"/>
  <c r="B560" i="50"/>
  <c r="B561" i="50"/>
  <c r="B562" i="50"/>
  <c r="B563" i="50"/>
  <c r="B564" i="50"/>
  <c r="B565" i="50"/>
  <c r="B566" i="50"/>
  <c r="B567" i="50"/>
  <c r="B568" i="50"/>
  <c r="B569" i="50"/>
  <c r="B570" i="50"/>
  <c r="B571" i="50"/>
  <c r="B572" i="50"/>
  <c r="B573" i="50"/>
  <c r="B574" i="50"/>
  <c r="B575" i="50"/>
  <c r="B576" i="50"/>
  <c r="B577" i="50"/>
  <c r="B578" i="50"/>
  <c r="B579" i="50"/>
  <c r="B580" i="50"/>
  <c r="B581" i="50"/>
  <c r="B582" i="50"/>
  <c r="B583" i="50"/>
  <c r="B584" i="50"/>
  <c r="B585" i="50"/>
  <c r="B586" i="50"/>
  <c r="B587" i="50"/>
  <c r="B588" i="50"/>
  <c r="B589" i="50"/>
  <c r="B590" i="50"/>
  <c r="B591" i="50"/>
  <c r="B592" i="50"/>
  <c r="B593" i="50"/>
  <c r="B594" i="50"/>
  <c r="B595" i="50"/>
  <c r="B596" i="50"/>
  <c r="B597" i="50"/>
  <c r="B598" i="50"/>
  <c r="B599" i="50"/>
  <c r="B600" i="50"/>
  <c r="B601" i="50"/>
  <c r="B602" i="50"/>
  <c r="B603" i="50"/>
  <c r="B604" i="50"/>
  <c r="B605" i="50"/>
  <c r="B606" i="50"/>
  <c r="B607" i="50"/>
  <c r="B608" i="50"/>
  <c r="B609" i="50"/>
  <c r="B610" i="50"/>
  <c r="B611" i="50"/>
  <c r="B612" i="50"/>
  <c r="B613" i="50"/>
  <c r="B614" i="50"/>
  <c r="B615" i="50"/>
  <c r="B616" i="50"/>
  <c r="B617" i="50"/>
  <c r="B618" i="50"/>
  <c r="B619" i="50"/>
  <c r="B620" i="50"/>
  <c r="B621" i="50"/>
  <c r="B622" i="50"/>
  <c r="B623" i="50"/>
  <c r="B624" i="50"/>
  <c r="B625" i="50"/>
  <c r="B626" i="50"/>
  <c r="B627" i="50"/>
  <c r="B628" i="50"/>
  <c r="B629" i="50"/>
  <c r="B630" i="50"/>
  <c r="B631" i="50"/>
  <c r="B632" i="50"/>
  <c r="B633" i="50"/>
  <c r="B634" i="50"/>
  <c r="B635" i="50"/>
  <c r="B636" i="50"/>
  <c r="B637" i="50"/>
  <c r="B638" i="50"/>
  <c r="B639" i="50"/>
  <c r="B640" i="50"/>
  <c r="B641" i="50"/>
  <c r="B642" i="50"/>
  <c r="B643" i="50"/>
  <c r="B644" i="50"/>
  <c r="B645" i="50"/>
  <c r="B646" i="50"/>
  <c r="B647" i="50"/>
  <c r="B648" i="50"/>
  <c r="B649" i="50"/>
  <c r="B650" i="50"/>
  <c r="B651" i="50"/>
  <c r="B652" i="50"/>
  <c r="B653" i="50"/>
  <c r="B654" i="50"/>
  <c r="B655" i="50"/>
  <c r="B656" i="50"/>
  <c r="B657" i="50"/>
  <c r="B658" i="50"/>
  <c r="B659" i="50"/>
  <c r="B660" i="50"/>
  <c r="B661" i="50"/>
  <c r="B662" i="50"/>
  <c r="B663" i="50"/>
  <c r="B664" i="50"/>
  <c r="B665" i="50"/>
  <c r="B666" i="50"/>
  <c r="B667" i="50"/>
  <c r="B668" i="50"/>
  <c r="B669" i="50"/>
  <c r="B670" i="50"/>
  <c r="B671" i="50"/>
  <c r="B672" i="50"/>
  <c r="B673" i="50"/>
  <c r="B674" i="50"/>
  <c r="B675" i="50"/>
  <c r="B676" i="50"/>
  <c r="B677" i="50"/>
  <c r="B678" i="50"/>
  <c r="B679" i="50"/>
  <c r="B680" i="50"/>
  <c r="B681" i="50"/>
  <c r="B682" i="50"/>
  <c r="B683" i="50"/>
  <c r="B684" i="50"/>
  <c r="B685" i="50"/>
  <c r="B686" i="50"/>
  <c r="B687" i="50"/>
  <c r="B688" i="50"/>
  <c r="B689" i="50"/>
  <c r="B690" i="50"/>
  <c r="B691" i="50"/>
  <c r="B692" i="50"/>
  <c r="B693" i="50"/>
  <c r="B694" i="50"/>
  <c r="B695" i="50"/>
  <c r="B696" i="50"/>
  <c r="B697" i="50"/>
  <c r="B698" i="50"/>
  <c r="B699" i="50"/>
  <c r="B700" i="50"/>
  <c r="B701" i="50"/>
  <c r="B702" i="50"/>
  <c r="B703" i="50"/>
  <c r="B704" i="50"/>
  <c r="B705" i="50"/>
  <c r="B706" i="50"/>
  <c r="B707" i="50"/>
  <c r="B708" i="50"/>
  <c r="B709" i="50"/>
  <c r="B710" i="50"/>
  <c r="B711" i="50"/>
  <c r="B712" i="50"/>
  <c r="B713" i="50"/>
  <c r="B714" i="50"/>
  <c r="B715" i="50"/>
  <c r="B716" i="50"/>
  <c r="B717" i="50"/>
  <c r="B718" i="50"/>
  <c r="B719" i="50"/>
  <c r="B720" i="50"/>
  <c r="B721" i="50"/>
  <c r="B722" i="50"/>
  <c r="B723" i="50"/>
  <c r="B724" i="50"/>
  <c r="B725" i="50"/>
  <c r="B726" i="50"/>
  <c r="B727" i="50"/>
  <c r="B728" i="50"/>
  <c r="B729" i="50"/>
  <c r="B730" i="50"/>
  <c r="B731" i="50"/>
  <c r="B732" i="50"/>
  <c r="B733" i="50"/>
  <c r="B734" i="50"/>
  <c r="B735" i="50"/>
  <c r="B736" i="50"/>
  <c r="B737" i="50"/>
  <c r="B738" i="50"/>
  <c r="B739" i="50"/>
  <c r="B740" i="50"/>
  <c r="B741" i="50"/>
  <c r="B742" i="50"/>
  <c r="B743" i="50"/>
  <c r="B744" i="50"/>
  <c r="B745" i="50"/>
  <c r="B746" i="50"/>
  <c r="B747" i="50"/>
  <c r="B748" i="50"/>
  <c r="B749" i="50"/>
  <c r="B750" i="50"/>
  <c r="B751" i="50"/>
  <c r="B752" i="50"/>
  <c r="B753" i="50"/>
  <c r="B754" i="50"/>
  <c r="B755" i="50"/>
  <c r="B756" i="50"/>
  <c r="B757" i="50"/>
  <c r="B758" i="50"/>
  <c r="B759" i="50"/>
  <c r="B760" i="50"/>
  <c r="B761" i="50"/>
  <c r="B762" i="50"/>
  <c r="B763" i="50"/>
  <c r="B764" i="50"/>
  <c r="B765" i="50"/>
  <c r="B766" i="50"/>
  <c r="B767" i="50"/>
  <c r="B768" i="50"/>
  <c r="B769" i="50"/>
  <c r="B770" i="50"/>
  <c r="B771" i="50"/>
  <c r="B772" i="50"/>
  <c r="B773" i="50"/>
  <c r="B774" i="50"/>
  <c r="B775" i="50"/>
  <c r="B776" i="50"/>
  <c r="B777" i="50"/>
  <c r="B778" i="50"/>
  <c r="B779" i="50"/>
  <c r="B780" i="50"/>
  <c r="B781" i="50"/>
  <c r="B782" i="50"/>
  <c r="B783" i="50"/>
  <c r="B784" i="50"/>
  <c r="B785" i="50"/>
  <c r="B786" i="50"/>
  <c r="B787" i="50"/>
  <c r="B788" i="50"/>
  <c r="B789" i="50"/>
  <c r="B790" i="50"/>
  <c r="B791" i="50"/>
  <c r="B792" i="50"/>
  <c r="B793" i="50"/>
  <c r="B794" i="50"/>
  <c r="B795" i="50"/>
  <c r="B796" i="50"/>
  <c r="B797" i="50"/>
  <c r="B798" i="50"/>
  <c r="B799" i="50"/>
  <c r="B800" i="50"/>
  <c r="B801" i="50"/>
  <c r="B802" i="50"/>
  <c r="B803" i="50"/>
  <c r="B804" i="50"/>
  <c r="B805" i="50"/>
  <c r="B806" i="50"/>
  <c r="B807" i="50"/>
  <c r="B808" i="50"/>
  <c r="B809" i="50"/>
  <c r="B810" i="50"/>
  <c r="B811" i="50"/>
  <c r="B812" i="50"/>
  <c r="B813" i="50"/>
  <c r="B814" i="50"/>
  <c r="B815" i="50"/>
  <c r="B816" i="50"/>
  <c r="B817" i="50"/>
  <c r="B818" i="50"/>
  <c r="B819" i="50"/>
  <c r="B820" i="50"/>
  <c r="B821" i="50"/>
  <c r="B822" i="50"/>
  <c r="B823" i="50"/>
  <c r="B824" i="50"/>
  <c r="B825" i="50"/>
  <c r="B826" i="50"/>
  <c r="B827" i="50"/>
  <c r="B828" i="50"/>
  <c r="B829" i="50"/>
  <c r="B830" i="50"/>
  <c r="B831" i="50"/>
  <c r="B832" i="50"/>
  <c r="B833" i="50"/>
  <c r="B834" i="50"/>
  <c r="B835" i="50"/>
  <c r="B836" i="50"/>
  <c r="B837" i="50"/>
  <c r="B838" i="50"/>
  <c r="B839" i="50"/>
  <c r="B840" i="50"/>
  <c r="B841" i="50"/>
  <c r="B842" i="50"/>
  <c r="B843" i="50"/>
  <c r="B844" i="50"/>
  <c r="B845" i="50"/>
  <c r="B846" i="50"/>
  <c r="B847" i="50"/>
  <c r="B848" i="50"/>
  <c r="B849" i="50"/>
  <c r="B850" i="50"/>
  <c r="B851" i="50"/>
  <c r="B852" i="50"/>
  <c r="B853" i="50"/>
  <c r="B854" i="50"/>
  <c r="B855" i="50"/>
  <c r="B856" i="50"/>
  <c r="B857" i="50"/>
  <c r="B858" i="50"/>
  <c r="B859" i="50"/>
  <c r="B860" i="50"/>
  <c r="B861" i="50"/>
  <c r="B862" i="50"/>
  <c r="B863" i="50"/>
  <c r="B864" i="50"/>
  <c r="B865" i="50"/>
  <c r="B866" i="50"/>
  <c r="B867" i="50"/>
  <c r="B868" i="50"/>
  <c r="B869" i="50"/>
  <c r="B870" i="50"/>
  <c r="B871" i="50"/>
  <c r="B872" i="50"/>
  <c r="B873" i="50"/>
  <c r="B874" i="50"/>
  <c r="B875" i="50"/>
  <c r="B876" i="50"/>
  <c r="B877" i="50"/>
  <c r="B878" i="50"/>
  <c r="B879" i="50"/>
  <c r="B880" i="50"/>
  <c r="B881" i="50"/>
  <c r="B882" i="50"/>
  <c r="B883" i="50"/>
  <c r="B884" i="50"/>
  <c r="B885" i="50"/>
  <c r="B886" i="50"/>
  <c r="B887" i="50"/>
  <c r="B888" i="50"/>
  <c r="B889" i="50"/>
  <c r="B890" i="50"/>
  <c r="B891" i="50"/>
  <c r="B892" i="50"/>
  <c r="B893" i="50"/>
  <c r="B894" i="50"/>
  <c r="B895" i="50"/>
  <c r="B896" i="50"/>
  <c r="B897" i="50"/>
  <c r="B898" i="50"/>
  <c r="B899" i="50"/>
  <c r="B900" i="50"/>
  <c r="B901" i="50"/>
  <c r="B902" i="50"/>
  <c r="B903" i="50"/>
  <c r="B904" i="50"/>
  <c r="B905" i="50"/>
  <c r="B906" i="50"/>
  <c r="B907" i="50"/>
  <c r="B908" i="50"/>
  <c r="B909" i="50"/>
  <c r="B910" i="50"/>
  <c r="B911" i="50"/>
  <c r="B912" i="50"/>
  <c r="B913" i="50"/>
  <c r="B914" i="50"/>
  <c r="B915" i="50"/>
  <c r="B916" i="50"/>
  <c r="B917" i="50"/>
  <c r="B918" i="50"/>
  <c r="B919" i="50"/>
  <c r="B920" i="50"/>
  <c r="B921" i="50"/>
  <c r="B922" i="50"/>
  <c r="B923" i="50"/>
  <c r="B924" i="50"/>
  <c r="B925" i="50"/>
  <c r="B926" i="50"/>
  <c r="B927" i="50"/>
  <c r="B928" i="50"/>
  <c r="B929" i="50"/>
  <c r="B930" i="50"/>
  <c r="B931" i="50"/>
  <c r="B932" i="50"/>
  <c r="B933" i="50"/>
  <c r="B934" i="50"/>
  <c r="B935" i="50"/>
  <c r="B936" i="50"/>
  <c r="B937" i="50"/>
  <c r="B938" i="50"/>
  <c r="B939" i="50"/>
  <c r="B940" i="50"/>
  <c r="B941" i="50"/>
  <c r="B942" i="50"/>
  <c r="B943" i="50"/>
  <c r="B944" i="50"/>
  <c r="B945" i="50"/>
  <c r="B946" i="50"/>
  <c r="B947" i="50"/>
  <c r="B948" i="50"/>
  <c r="B949" i="50"/>
  <c r="B950" i="50"/>
  <c r="B951" i="50"/>
  <c r="B952" i="50"/>
  <c r="B953" i="50"/>
  <c r="B954" i="50"/>
  <c r="B955" i="50"/>
  <c r="B956" i="50"/>
  <c r="B957" i="50"/>
  <c r="B958" i="50"/>
  <c r="B959" i="50"/>
  <c r="B960" i="50"/>
  <c r="B961" i="50"/>
  <c r="B962" i="50"/>
  <c r="B963" i="50"/>
  <c r="B964" i="50"/>
  <c r="B965" i="50"/>
  <c r="B966" i="50"/>
  <c r="B967" i="50"/>
  <c r="B968" i="50"/>
  <c r="B969" i="50"/>
  <c r="B970" i="50"/>
  <c r="B971" i="50"/>
  <c r="B972" i="50"/>
  <c r="B973" i="50"/>
  <c r="B974" i="50"/>
  <c r="B975" i="50"/>
  <c r="B976" i="50"/>
  <c r="B977" i="50"/>
  <c r="B978" i="50"/>
  <c r="B979" i="50"/>
  <c r="B980" i="50"/>
  <c r="B981" i="50"/>
  <c r="B982" i="50"/>
  <c r="B983" i="50"/>
  <c r="B984" i="50"/>
  <c r="B985" i="50"/>
  <c r="B986" i="50"/>
  <c r="B987" i="50"/>
  <c r="B988" i="50"/>
  <c r="B989" i="50"/>
  <c r="B990" i="50"/>
  <c r="B991" i="50"/>
  <c r="B992" i="50"/>
  <c r="B993" i="50"/>
  <c r="B994" i="50"/>
  <c r="B995" i="50"/>
  <c r="B996" i="50"/>
  <c r="B997" i="50"/>
  <c r="B998" i="50"/>
  <c r="B999" i="50"/>
  <c r="B1000" i="50"/>
  <c r="B1001" i="50"/>
  <c r="B1002" i="50"/>
  <c r="B1003" i="50"/>
  <c r="B1004" i="50"/>
  <c r="B1005" i="50"/>
  <c r="B1006" i="50"/>
  <c r="B1007" i="50"/>
  <c r="B1008" i="50"/>
  <c r="B1009" i="50"/>
  <c r="B1010" i="50"/>
  <c r="B1011" i="50"/>
  <c r="B1012" i="50"/>
  <c r="B1013" i="50"/>
  <c r="B1014" i="50"/>
  <c r="B1015" i="50"/>
  <c r="B1016" i="50"/>
  <c r="B1017" i="50"/>
  <c r="B1018" i="50"/>
  <c r="B1019" i="50"/>
  <c r="B1020" i="50"/>
  <c r="B1021" i="50"/>
  <c r="B1022" i="50"/>
  <c r="B1023" i="50"/>
  <c r="B1024" i="50"/>
  <c r="B1025" i="50"/>
  <c r="B1026" i="50"/>
  <c r="B1027" i="50"/>
  <c r="B1028" i="50"/>
  <c r="B1029" i="50"/>
  <c r="B1030" i="50"/>
  <c r="B1031" i="50"/>
  <c r="B1032" i="50"/>
  <c r="B1033" i="50"/>
  <c r="B1034" i="50"/>
  <c r="B1035" i="50"/>
  <c r="B1036" i="50"/>
  <c r="B1037" i="50"/>
  <c r="B1038" i="50"/>
  <c r="B1039" i="50"/>
  <c r="B1040" i="50"/>
  <c r="B1041" i="50"/>
  <c r="B1042" i="50"/>
  <c r="B1043" i="50"/>
  <c r="B1044" i="50"/>
  <c r="B1045" i="50"/>
  <c r="B1046" i="50"/>
  <c r="B1047" i="50"/>
  <c r="B1048" i="50"/>
  <c r="B1049" i="50"/>
  <c r="B1050" i="50"/>
  <c r="B1051" i="50"/>
  <c r="B1052" i="50"/>
  <c r="B1053" i="50"/>
  <c r="B1054" i="50"/>
  <c r="B1055" i="50"/>
  <c r="B1056" i="50"/>
  <c r="B1057" i="50"/>
  <c r="B1058" i="50"/>
  <c r="B1059" i="50"/>
  <c r="B1060" i="50"/>
  <c r="B1061" i="50"/>
  <c r="B1062" i="50"/>
  <c r="B1063" i="50"/>
  <c r="B1064" i="50"/>
  <c r="B1065" i="50"/>
  <c r="B1066" i="50"/>
  <c r="B1067" i="50"/>
  <c r="B1068" i="50"/>
  <c r="B1069" i="50"/>
  <c r="B1070" i="50"/>
  <c r="B1071" i="50"/>
  <c r="B1072" i="50"/>
  <c r="B1073" i="50"/>
  <c r="B1074" i="50"/>
  <c r="B1075" i="50"/>
  <c r="B1076" i="50"/>
  <c r="B1077" i="50"/>
  <c r="B1078" i="50"/>
  <c r="B1079" i="50"/>
  <c r="B1080" i="50"/>
  <c r="B1081" i="50"/>
  <c r="B1082" i="50"/>
  <c r="B1083" i="50"/>
  <c r="B1084" i="50"/>
  <c r="B1085" i="50"/>
  <c r="B1086" i="50"/>
  <c r="B1087" i="50"/>
  <c r="B1088" i="50"/>
  <c r="B1089" i="50"/>
  <c r="B1090" i="50"/>
  <c r="B1091" i="50"/>
  <c r="B1092" i="50"/>
  <c r="B1093" i="50"/>
  <c r="B1094" i="50"/>
  <c r="B1095" i="50"/>
  <c r="B1096" i="50"/>
  <c r="B1097" i="50"/>
  <c r="B1098" i="50"/>
  <c r="B1099" i="50"/>
  <c r="B1100" i="50"/>
  <c r="B1101" i="50"/>
  <c r="B1102" i="50"/>
  <c r="B1103" i="50"/>
  <c r="B1104" i="50"/>
  <c r="B1105" i="50"/>
  <c r="B1106" i="50"/>
  <c r="B1107" i="50"/>
  <c r="B1108" i="50"/>
  <c r="B1109" i="50"/>
  <c r="B1110" i="50"/>
  <c r="B1111" i="50"/>
  <c r="B1112" i="50"/>
  <c r="B1113" i="50"/>
  <c r="B1114" i="50"/>
  <c r="B1115" i="50"/>
  <c r="B1116" i="50"/>
  <c r="B1117" i="50"/>
  <c r="B1118" i="50"/>
  <c r="B1119" i="50"/>
  <c r="B1120" i="50"/>
  <c r="B1121" i="50"/>
  <c r="B1122" i="50"/>
  <c r="B1123" i="50"/>
  <c r="B1124" i="50"/>
  <c r="B1125" i="50"/>
  <c r="B1126" i="50"/>
  <c r="B1127" i="50"/>
  <c r="B1128" i="50"/>
  <c r="B1129" i="50"/>
  <c r="B1130" i="50"/>
  <c r="B1131" i="50"/>
  <c r="B1132" i="50"/>
  <c r="B1133" i="50"/>
  <c r="B1134" i="50"/>
  <c r="B1135" i="50"/>
  <c r="B1136" i="50"/>
  <c r="B1137" i="50"/>
  <c r="B1138" i="50"/>
  <c r="B1139" i="50"/>
  <c r="B1140" i="50"/>
  <c r="B1141" i="50"/>
  <c r="B1142" i="50"/>
  <c r="B1143" i="50"/>
  <c r="B1144" i="50"/>
  <c r="B1145" i="50"/>
  <c r="B1146" i="50"/>
  <c r="B1147" i="50"/>
  <c r="B1148" i="50"/>
  <c r="B1149" i="50"/>
  <c r="B1150" i="50"/>
  <c r="B1151" i="50"/>
  <c r="B1152" i="50"/>
  <c r="B1153" i="50"/>
  <c r="B1154" i="50"/>
  <c r="B1155" i="50"/>
  <c r="B1156" i="50"/>
  <c r="B1157" i="50"/>
  <c r="B1158" i="50"/>
  <c r="B1159" i="50"/>
  <c r="B1160" i="50"/>
  <c r="B1161" i="50"/>
  <c r="B1162" i="50"/>
  <c r="B1163" i="50"/>
  <c r="B1164" i="50"/>
  <c r="B1165" i="50"/>
  <c r="B1166" i="50"/>
  <c r="B1167" i="50"/>
  <c r="B1168" i="50"/>
  <c r="B1169" i="50"/>
  <c r="B1170" i="50"/>
  <c r="B1171" i="50"/>
  <c r="B1172" i="50"/>
  <c r="B1173" i="50"/>
  <c r="B1174" i="50"/>
  <c r="B1175" i="50"/>
  <c r="B1176" i="50"/>
  <c r="B1177" i="50"/>
  <c r="B1178" i="50"/>
  <c r="B1179" i="50"/>
  <c r="B1180" i="50"/>
  <c r="B1181" i="50"/>
  <c r="B1182" i="50"/>
  <c r="B1183" i="50"/>
  <c r="B1184" i="50"/>
  <c r="B1185" i="50"/>
  <c r="B1186" i="50"/>
  <c r="B1187" i="50"/>
  <c r="B1188" i="50"/>
  <c r="B1189" i="50"/>
  <c r="B1190" i="50"/>
  <c r="B1191" i="50"/>
  <c r="B1192" i="50"/>
  <c r="B1193" i="50"/>
  <c r="B1194" i="50"/>
  <c r="B1195" i="50"/>
  <c r="B1196" i="50"/>
  <c r="B1197" i="50"/>
  <c r="B1198" i="50"/>
  <c r="B1199" i="50"/>
  <c r="B1200" i="50"/>
  <c r="B1201" i="50"/>
  <c r="B1202" i="50"/>
  <c r="B1203" i="50"/>
  <c r="B1204" i="50"/>
  <c r="B1205" i="50"/>
  <c r="B1206" i="50"/>
  <c r="B1207" i="50"/>
  <c r="B1208" i="50"/>
  <c r="B1209" i="50"/>
  <c r="B1210" i="50"/>
  <c r="B1211" i="50"/>
  <c r="B1212" i="50"/>
  <c r="B1213" i="50"/>
  <c r="B1214" i="50"/>
  <c r="B1215" i="50"/>
  <c r="B1216" i="50"/>
  <c r="B1217" i="50"/>
  <c r="B1218" i="50"/>
  <c r="B1219" i="50"/>
  <c r="B1220" i="50"/>
  <c r="B1221" i="50"/>
  <c r="B1222" i="50"/>
  <c r="B1223" i="50"/>
  <c r="B1224" i="50"/>
  <c r="B1225" i="50"/>
  <c r="B1226" i="50"/>
  <c r="B1227" i="50"/>
  <c r="B1228" i="50"/>
  <c r="B1229" i="50"/>
  <c r="B1230" i="50"/>
  <c r="B1231" i="50"/>
  <c r="B1232" i="50"/>
  <c r="B1233" i="50"/>
  <c r="B1234" i="50"/>
  <c r="B1235" i="50"/>
  <c r="B1236" i="50"/>
  <c r="B1237" i="50"/>
  <c r="B1238" i="50"/>
  <c r="B1239" i="50"/>
  <c r="B1240" i="50"/>
  <c r="B1241" i="50"/>
  <c r="B1242" i="50"/>
  <c r="B1243" i="50"/>
  <c r="B1244" i="50"/>
  <c r="B1245" i="50"/>
  <c r="B1246" i="50"/>
  <c r="B1247" i="50"/>
  <c r="B1248" i="50"/>
  <c r="B1249" i="50"/>
  <c r="B1250" i="50"/>
  <c r="B1251" i="50"/>
  <c r="B1252" i="50"/>
  <c r="B1253" i="50"/>
  <c r="B1254" i="50"/>
  <c r="B1255" i="50"/>
  <c r="B1256" i="50"/>
  <c r="B1257" i="50"/>
  <c r="B1258" i="50"/>
  <c r="B1259" i="50"/>
  <c r="B1260" i="50"/>
  <c r="B1261" i="50"/>
  <c r="B1262" i="50"/>
  <c r="B1263" i="50"/>
  <c r="B1264" i="50"/>
  <c r="B1265" i="50"/>
  <c r="B1266" i="50"/>
  <c r="B1267" i="50"/>
  <c r="B1268" i="50"/>
  <c r="B1269" i="50"/>
  <c r="B1270" i="50"/>
  <c r="B1271" i="50"/>
  <c r="B1272" i="50"/>
  <c r="B1273" i="50"/>
  <c r="B1274" i="50"/>
  <c r="B1275" i="50"/>
  <c r="B1276" i="50"/>
  <c r="B1277" i="50"/>
  <c r="B1278" i="50"/>
  <c r="B1279" i="50"/>
  <c r="B1280" i="50"/>
  <c r="B1281" i="50"/>
  <c r="B1282" i="50"/>
  <c r="B1283" i="50"/>
  <c r="B1284" i="50"/>
  <c r="B1285" i="50"/>
  <c r="B1286" i="50"/>
  <c r="B1287" i="50"/>
  <c r="B1288" i="50"/>
  <c r="B1289" i="50"/>
  <c r="B1290" i="50"/>
  <c r="B1291" i="50"/>
  <c r="B1292" i="50"/>
  <c r="B1293" i="50"/>
  <c r="B1294" i="50"/>
  <c r="B1295" i="50"/>
  <c r="B1296" i="50"/>
  <c r="B1297" i="50"/>
  <c r="B1298" i="50"/>
  <c r="B1299" i="50"/>
  <c r="B1300" i="50"/>
  <c r="B1301" i="50"/>
  <c r="B1302" i="50"/>
  <c r="B1303" i="50"/>
  <c r="B1304" i="50"/>
  <c r="B1305" i="50"/>
  <c r="B1306" i="50"/>
  <c r="B1307" i="50"/>
  <c r="B1308" i="50"/>
  <c r="B1309" i="50"/>
  <c r="B1310" i="50"/>
  <c r="B1311" i="50"/>
  <c r="B1312" i="50"/>
  <c r="B1313" i="50"/>
  <c r="B1314" i="50"/>
  <c r="B1315" i="50"/>
  <c r="B1316" i="50"/>
  <c r="B1317" i="50"/>
  <c r="B1318" i="50"/>
  <c r="B1319" i="50"/>
  <c r="B1320" i="50"/>
  <c r="B1321" i="50"/>
  <c r="B1322" i="50"/>
  <c r="B1323" i="50"/>
  <c r="B1324" i="50"/>
  <c r="B1325" i="50"/>
  <c r="B1326" i="50"/>
  <c r="B1327" i="50"/>
  <c r="B1328" i="50"/>
  <c r="B1329" i="50"/>
  <c r="B1330" i="50"/>
  <c r="B1331" i="50"/>
  <c r="B1332" i="50"/>
  <c r="B1333" i="50"/>
  <c r="B1334" i="50"/>
  <c r="B1335" i="50"/>
  <c r="B1336" i="50"/>
  <c r="B1337" i="50"/>
  <c r="B1338" i="50"/>
  <c r="B1339" i="50"/>
  <c r="B1340" i="50"/>
  <c r="B1341" i="50"/>
  <c r="B1342" i="50"/>
  <c r="B1343" i="50"/>
  <c r="B1344" i="50"/>
  <c r="B1345" i="50"/>
  <c r="B1346" i="50"/>
  <c r="B1347" i="50"/>
  <c r="B1348" i="50"/>
  <c r="B1349" i="50"/>
  <c r="B1350" i="50"/>
  <c r="B1351" i="50"/>
  <c r="B1352" i="50"/>
  <c r="B1353" i="50"/>
  <c r="B1354" i="50"/>
  <c r="B1355" i="50"/>
  <c r="B1356" i="50"/>
  <c r="B1357" i="50"/>
  <c r="B1358" i="50"/>
  <c r="B1359" i="50"/>
  <c r="B1360" i="50"/>
  <c r="B1361" i="50"/>
  <c r="B1362" i="50"/>
  <c r="B1363" i="50"/>
  <c r="B1364" i="50"/>
  <c r="B1365" i="50"/>
  <c r="B1366" i="50"/>
  <c r="B1367" i="50"/>
  <c r="B1368" i="50"/>
  <c r="B1369" i="50"/>
  <c r="B1370" i="50"/>
  <c r="B1371" i="50"/>
  <c r="B1372" i="50"/>
  <c r="B1373" i="50"/>
  <c r="B1374" i="50"/>
  <c r="B1375" i="50"/>
  <c r="B1376" i="50"/>
  <c r="B1377" i="50"/>
  <c r="B1378" i="50"/>
  <c r="B1379" i="50"/>
  <c r="B1380" i="50"/>
  <c r="B1381" i="50"/>
  <c r="B1382" i="50"/>
  <c r="B1383" i="50"/>
  <c r="B1384" i="50"/>
  <c r="B1385" i="50"/>
  <c r="B1386" i="50"/>
  <c r="B1387" i="50"/>
  <c r="B1388" i="50"/>
  <c r="B1389" i="50"/>
  <c r="B1390" i="50"/>
  <c r="B1391" i="50"/>
  <c r="B1392" i="50"/>
  <c r="B1393" i="50"/>
  <c r="B1394" i="50"/>
  <c r="B1395" i="50"/>
  <c r="B1396" i="50"/>
  <c r="B1397" i="50"/>
  <c r="B1398" i="50"/>
  <c r="B1399" i="50"/>
  <c r="B1400" i="50"/>
  <c r="B1401" i="50"/>
  <c r="B1402" i="50"/>
  <c r="B1403" i="50"/>
  <c r="B1404" i="50"/>
  <c r="B1405" i="50"/>
  <c r="B1406" i="50"/>
  <c r="B1407" i="50"/>
  <c r="B1408" i="50"/>
  <c r="B1409" i="50"/>
  <c r="B1410" i="50"/>
  <c r="B1411" i="50"/>
  <c r="B1412" i="50"/>
  <c r="B1413" i="50"/>
  <c r="B1414" i="50"/>
  <c r="B1415" i="50"/>
  <c r="B1416" i="50"/>
  <c r="B1417" i="50"/>
  <c r="B1418" i="50"/>
  <c r="B1419" i="50"/>
  <c r="B1420" i="50"/>
  <c r="B1421" i="50"/>
  <c r="B1422" i="50"/>
  <c r="B1423" i="50"/>
  <c r="B1424" i="50"/>
  <c r="B1425" i="50"/>
  <c r="B1426" i="50"/>
  <c r="B1427" i="50"/>
  <c r="B1428" i="50"/>
  <c r="B1429" i="50"/>
  <c r="B1430" i="50"/>
  <c r="B1431" i="50"/>
  <c r="B1432" i="50"/>
  <c r="B1433" i="50"/>
  <c r="B1434" i="50"/>
  <c r="B1435" i="50"/>
  <c r="B1436" i="50"/>
  <c r="B1437" i="50"/>
  <c r="B1438" i="50"/>
  <c r="B1439" i="50"/>
  <c r="B1440" i="50"/>
  <c r="B1441" i="50"/>
  <c r="B1442" i="50"/>
  <c r="B1443" i="50"/>
  <c r="B1444" i="50"/>
  <c r="B1445" i="50"/>
  <c r="B1446" i="50"/>
  <c r="B1447" i="50"/>
  <c r="B1448" i="50"/>
  <c r="B1449" i="50"/>
  <c r="B1450" i="50"/>
  <c r="B1451" i="50"/>
  <c r="B1452" i="50"/>
  <c r="B1453" i="50"/>
  <c r="B1454" i="50"/>
  <c r="B1455" i="50"/>
  <c r="B1456" i="50"/>
  <c r="B1457" i="50"/>
  <c r="B1458" i="50"/>
  <c r="B1459" i="50"/>
  <c r="B1460" i="50"/>
  <c r="B1461" i="50"/>
  <c r="B1462" i="50"/>
  <c r="B1463" i="50"/>
  <c r="B1464" i="50"/>
  <c r="B1465" i="50"/>
  <c r="B1466" i="50"/>
  <c r="B1467" i="50"/>
  <c r="B1468" i="50"/>
  <c r="B1469" i="50"/>
  <c r="B1470" i="50"/>
  <c r="B1471" i="50"/>
  <c r="B1472" i="50"/>
  <c r="B1473" i="50"/>
  <c r="B1474" i="50"/>
  <c r="B1475" i="50"/>
  <c r="B1476" i="50"/>
  <c r="B1477" i="50"/>
  <c r="B1478" i="50"/>
  <c r="B1479" i="50"/>
  <c r="B1480" i="50"/>
  <c r="B1481" i="50"/>
  <c r="B1482" i="50"/>
  <c r="B1483" i="50"/>
  <c r="B1484" i="50"/>
  <c r="B1485" i="50"/>
  <c r="B1486" i="50"/>
  <c r="B1487" i="50"/>
  <c r="B1488" i="50"/>
  <c r="B1489" i="50"/>
  <c r="B1490" i="50"/>
  <c r="B1491" i="50"/>
  <c r="B1492" i="50"/>
  <c r="B1493" i="50"/>
  <c r="B1494" i="50"/>
  <c r="B1495" i="50"/>
  <c r="B1496" i="50"/>
  <c r="B1497" i="50"/>
  <c r="B1498" i="50"/>
  <c r="B1499" i="50"/>
  <c r="B1500" i="50"/>
  <c r="B1501" i="50"/>
  <c r="B1502" i="50"/>
  <c r="B1503" i="50"/>
  <c r="B1504" i="50"/>
  <c r="B1505" i="50"/>
  <c r="B1506" i="50"/>
  <c r="B1507" i="50"/>
  <c r="B1508" i="50"/>
  <c r="B1509" i="50"/>
  <c r="B1510" i="50"/>
  <c r="B1511" i="50"/>
  <c r="B1512" i="50"/>
  <c r="B1513" i="50"/>
  <c r="B1514" i="50"/>
  <c r="B1515" i="50"/>
  <c r="B1516" i="50"/>
  <c r="B1517" i="50"/>
  <c r="B1518" i="50"/>
  <c r="B1519" i="50"/>
  <c r="B1520" i="50"/>
  <c r="B1521" i="50"/>
  <c r="B1522" i="50"/>
  <c r="B1523" i="50"/>
  <c r="B1524" i="50"/>
  <c r="B1525" i="50"/>
  <c r="B1526" i="50"/>
  <c r="B1527" i="50"/>
  <c r="B1528" i="50"/>
  <c r="B1529" i="50"/>
  <c r="B1530" i="50"/>
  <c r="B1531" i="50"/>
  <c r="B1532" i="50"/>
  <c r="B1533" i="50"/>
  <c r="B1534" i="50"/>
  <c r="B1535" i="50"/>
  <c r="B1536" i="50"/>
  <c r="B1537" i="50"/>
  <c r="B1538" i="50"/>
  <c r="B1539" i="50"/>
  <c r="B1540" i="50"/>
  <c r="B1541" i="50"/>
  <c r="B1542" i="50"/>
  <c r="B1543" i="50"/>
  <c r="B1544" i="50"/>
  <c r="B1545" i="50"/>
  <c r="B1546" i="50"/>
  <c r="B1547" i="50"/>
  <c r="B1548" i="50"/>
  <c r="B1549" i="50"/>
  <c r="B1550" i="50"/>
  <c r="B1551" i="50"/>
  <c r="B1552" i="50"/>
  <c r="B1553" i="50"/>
  <c r="B1554" i="50"/>
  <c r="B1555" i="50"/>
  <c r="B1556" i="50"/>
  <c r="B1557" i="50"/>
  <c r="B1558" i="50"/>
  <c r="B1559" i="50"/>
  <c r="B1560" i="50"/>
  <c r="B1561" i="50"/>
  <c r="B1562" i="50"/>
  <c r="B1563" i="50"/>
  <c r="B1564" i="50"/>
  <c r="B1565" i="50"/>
  <c r="B1566" i="50"/>
  <c r="B1567" i="50"/>
  <c r="B1568" i="50"/>
  <c r="B1569" i="50"/>
  <c r="B1570" i="50"/>
  <c r="B1571" i="50"/>
  <c r="B1572" i="50"/>
  <c r="B1573" i="50"/>
  <c r="B1574" i="50"/>
  <c r="B1575" i="50"/>
  <c r="B1576" i="50"/>
  <c r="B1577" i="50"/>
  <c r="B1578" i="50"/>
  <c r="B1579" i="50"/>
  <c r="B1580" i="50"/>
  <c r="B1581" i="50"/>
  <c r="B1582" i="50"/>
  <c r="B1583" i="50"/>
  <c r="B1584" i="50"/>
  <c r="B1585" i="50"/>
  <c r="B1586" i="50"/>
  <c r="B1587" i="50"/>
  <c r="B1588" i="50"/>
  <c r="B1589" i="50"/>
  <c r="B1590" i="50"/>
  <c r="B1591" i="50"/>
  <c r="B1592" i="50"/>
  <c r="B1593" i="50"/>
  <c r="B1594" i="50"/>
  <c r="B1595" i="50"/>
  <c r="B1596" i="50"/>
  <c r="B1597" i="50"/>
  <c r="B1598" i="50"/>
  <c r="B1599" i="50"/>
  <c r="B1600" i="50"/>
  <c r="B1601" i="50"/>
  <c r="B1602" i="50"/>
  <c r="B1603" i="50"/>
  <c r="B1604" i="50"/>
  <c r="B1605" i="50"/>
  <c r="B1606" i="50"/>
  <c r="B1607" i="50"/>
  <c r="B1608" i="50"/>
  <c r="B1609" i="50"/>
  <c r="B1610" i="50"/>
  <c r="B1611" i="50"/>
  <c r="B1612" i="50"/>
  <c r="B1613" i="50"/>
  <c r="B1614" i="50"/>
  <c r="B1615" i="50"/>
  <c r="B1616" i="50"/>
  <c r="B1617" i="50"/>
  <c r="B1618" i="50"/>
  <c r="B1619" i="50"/>
  <c r="B1620" i="50"/>
  <c r="B1621" i="50"/>
  <c r="B1622" i="50"/>
  <c r="B1623" i="50"/>
  <c r="B1624" i="50"/>
  <c r="B1625" i="50"/>
  <c r="B1626" i="50"/>
  <c r="B1627" i="50"/>
  <c r="B1628" i="50"/>
  <c r="B1629" i="50"/>
  <c r="B1630" i="50"/>
  <c r="B1631" i="50"/>
  <c r="B1632" i="50"/>
  <c r="B1633" i="50"/>
  <c r="B1634" i="50"/>
  <c r="B1635" i="50"/>
  <c r="B1636" i="50"/>
  <c r="B1637" i="50"/>
  <c r="B1638" i="50"/>
  <c r="B1639" i="50"/>
  <c r="B1640" i="50"/>
  <c r="B1641" i="50"/>
  <c r="B1642" i="50"/>
  <c r="B1643" i="50"/>
  <c r="B1644" i="50"/>
  <c r="B1645" i="50"/>
  <c r="B1646" i="50"/>
  <c r="B1647" i="50"/>
  <c r="B1648" i="50"/>
  <c r="B1649" i="50"/>
  <c r="B1650" i="50"/>
  <c r="B1651" i="50"/>
  <c r="B1652" i="50"/>
  <c r="B1653" i="50"/>
  <c r="B1654" i="50"/>
  <c r="B1655" i="50"/>
  <c r="B1656" i="50"/>
  <c r="B1657" i="50"/>
  <c r="B1658" i="50"/>
  <c r="B1659" i="50"/>
  <c r="B1660" i="50"/>
  <c r="B1661" i="50"/>
  <c r="B1662" i="50"/>
  <c r="B1663" i="50"/>
  <c r="B1664" i="50"/>
  <c r="B1665" i="50"/>
  <c r="B1666" i="50"/>
  <c r="B1667" i="50"/>
  <c r="B1668" i="50"/>
  <c r="B1669" i="50"/>
  <c r="B1670" i="50"/>
  <c r="B1671" i="50"/>
  <c r="B1672" i="50"/>
  <c r="B1673" i="50"/>
  <c r="B1674" i="50"/>
  <c r="B1675" i="50"/>
  <c r="B1676" i="50"/>
  <c r="B1677" i="50"/>
  <c r="B1678" i="50"/>
  <c r="B1679" i="50"/>
  <c r="B1680" i="50"/>
  <c r="B1681" i="50"/>
  <c r="B1682" i="50"/>
  <c r="B1683" i="50"/>
  <c r="B1684" i="50"/>
  <c r="B1685" i="50"/>
  <c r="B1686" i="50"/>
  <c r="B1687" i="50"/>
  <c r="B1688" i="50"/>
  <c r="B1689" i="50"/>
  <c r="B1690" i="50"/>
  <c r="B1691" i="50"/>
  <c r="B1692" i="50"/>
  <c r="B1693" i="50"/>
  <c r="B1694" i="50"/>
  <c r="B1695" i="50"/>
  <c r="B1696" i="50"/>
  <c r="B1697" i="50"/>
  <c r="B1698" i="50"/>
  <c r="B1699" i="50"/>
  <c r="B1700" i="50"/>
  <c r="B1701" i="50"/>
  <c r="B1702" i="50"/>
  <c r="B1703" i="50"/>
  <c r="B1704" i="50"/>
  <c r="B1705" i="50"/>
  <c r="B1706" i="50"/>
  <c r="B1707" i="50"/>
  <c r="B1708" i="50"/>
  <c r="B1709" i="50"/>
  <c r="B1710" i="50"/>
  <c r="B1711" i="50"/>
  <c r="B1712" i="50"/>
  <c r="B1713" i="50"/>
  <c r="B1714" i="50"/>
  <c r="B1715" i="50"/>
  <c r="B1716" i="50"/>
  <c r="B1717" i="50"/>
  <c r="B1718" i="50"/>
  <c r="B1719" i="50"/>
  <c r="B1720" i="50"/>
  <c r="B1721" i="50"/>
  <c r="B1722" i="50"/>
  <c r="B1723" i="50"/>
  <c r="B1724" i="50"/>
  <c r="B1725" i="50"/>
  <c r="B1726" i="50"/>
  <c r="B1727" i="50"/>
  <c r="B1728" i="50"/>
  <c r="B1729" i="50"/>
  <c r="B1730" i="50"/>
  <c r="B1731" i="50"/>
  <c r="B1732" i="50"/>
  <c r="B1733" i="50"/>
  <c r="B1734" i="50"/>
  <c r="B1735" i="50"/>
  <c r="B1736" i="50"/>
  <c r="B1737" i="50"/>
  <c r="B1738" i="50"/>
  <c r="B1739" i="50"/>
  <c r="B1740" i="50"/>
  <c r="B1741" i="50"/>
  <c r="B1742" i="50"/>
  <c r="B1743" i="50"/>
  <c r="B1744" i="50"/>
  <c r="B1745" i="50"/>
  <c r="B1746" i="50"/>
  <c r="B1747" i="50"/>
  <c r="B1748" i="50"/>
  <c r="B1749" i="50"/>
  <c r="B1750" i="50"/>
  <c r="B1751" i="50"/>
  <c r="B1752" i="50"/>
  <c r="B1753" i="50"/>
  <c r="B1754" i="50"/>
  <c r="B1755" i="50"/>
  <c r="B1756" i="50"/>
  <c r="B1757" i="50"/>
  <c r="B1758" i="50"/>
  <c r="B1759" i="50"/>
  <c r="B1760" i="50"/>
  <c r="B1761" i="50"/>
  <c r="B1762" i="50"/>
  <c r="B1763" i="50"/>
  <c r="B1764" i="50"/>
  <c r="B1765" i="50"/>
  <c r="B1766" i="50"/>
  <c r="B1767" i="50"/>
  <c r="B1768" i="50"/>
  <c r="B1769" i="50"/>
  <c r="B1770" i="50"/>
  <c r="B1771" i="50"/>
  <c r="B1772" i="50"/>
  <c r="B1773" i="50"/>
  <c r="B1774" i="50"/>
  <c r="B1775" i="50"/>
  <c r="B1776" i="50"/>
  <c r="B1777" i="50"/>
  <c r="B1778" i="50"/>
  <c r="B1779" i="50"/>
  <c r="B1780" i="50"/>
  <c r="B1781" i="50"/>
  <c r="B1782" i="50"/>
  <c r="B1783" i="50"/>
  <c r="B1784" i="50"/>
  <c r="B1785" i="50"/>
  <c r="B1786" i="50"/>
  <c r="B1787" i="50"/>
  <c r="B1788" i="50"/>
  <c r="B1789" i="50"/>
  <c r="B1790" i="50"/>
  <c r="B1791" i="50"/>
  <c r="B1792" i="50"/>
  <c r="B1793" i="50"/>
  <c r="B1794" i="50"/>
  <c r="B1795" i="50"/>
  <c r="B1796" i="50"/>
  <c r="B1797" i="50"/>
  <c r="B1798" i="50"/>
  <c r="B1799" i="50"/>
  <c r="B1800" i="50"/>
  <c r="B1801" i="50"/>
  <c r="B1802" i="50"/>
  <c r="B1803" i="50"/>
  <c r="B1804" i="50"/>
  <c r="B1805" i="50"/>
  <c r="B1806" i="50"/>
  <c r="B1807" i="50"/>
  <c r="B1808" i="50"/>
  <c r="B1809" i="50"/>
  <c r="B1810" i="50"/>
  <c r="B1811" i="50"/>
  <c r="B1812" i="50"/>
  <c r="B1813" i="50"/>
  <c r="B1814" i="50"/>
  <c r="B1815" i="50"/>
  <c r="B1816" i="50"/>
  <c r="B1817" i="50"/>
  <c r="B1818" i="50"/>
  <c r="B1819" i="50"/>
  <c r="B1820" i="50"/>
  <c r="B1821" i="50"/>
  <c r="B1822" i="50"/>
  <c r="B1823" i="50"/>
  <c r="B1824" i="50"/>
  <c r="B1825" i="50"/>
  <c r="B1826" i="50"/>
  <c r="B1827" i="50"/>
  <c r="B1828" i="50"/>
  <c r="B1829" i="50"/>
  <c r="B1830" i="50"/>
  <c r="B1831" i="50"/>
  <c r="B1832" i="50"/>
  <c r="B1833" i="50"/>
  <c r="B1834" i="50"/>
  <c r="B1835" i="50"/>
  <c r="B1836" i="50"/>
  <c r="B1837" i="50"/>
  <c r="B1838" i="50"/>
  <c r="B1839" i="50"/>
  <c r="B1840" i="50"/>
  <c r="B1841" i="50"/>
  <c r="B1842" i="50"/>
  <c r="B1843" i="50"/>
  <c r="B1844" i="50"/>
  <c r="B1845" i="50"/>
  <c r="B1846" i="50"/>
  <c r="B1847" i="50"/>
  <c r="B1848" i="50"/>
  <c r="B1849" i="50"/>
  <c r="B1850" i="50"/>
  <c r="B1851" i="50"/>
  <c r="B1852" i="50"/>
  <c r="B1853" i="50"/>
  <c r="B1854" i="50"/>
  <c r="B1855" i="50"/>
  <c r="B1856" i="50"/>
  <c r="B1857" i="50"/>
  <c r="B1858" i="50"/>
  <c r="B1859" i="50"/>
  <c r="B1860" i="50"/>
  <c r="B1861" i="50"/>
  <c r="B1862" i="50"/>
  <c r="B1863" i="50"/>
  <c r="B1864" i="50"/>
  <c r="B1865" i="50"/>
  <c r="B1866" i="50"/>
  <c r="B1867" i="50"/>
  <c r="B1868" i="50"/>
  <c r="B1869" i="50"/>
  <c r="B1870" i="50"/>
  <c r="B1871" i="50"/>
  <c r="B1872" i="50"/>
  <c r="B1873" i="50"/>
  <c r="B1874" i="50"/>
  <c r="B1875" i="50"/>
  <c r="B1876" i="50"/>
  <c r="B1877" i="50"/>
  <c r="B1878" i="50"/>
  <c r="B1879" i="50"/>
  <c r="B1880" i="50"/>
  <c r="B1881" i="50"/>
  <c r="B1882" i="50"/>
  <c r="B1883" i="50"/>
  <c r="B1884" i="50"/>
  <c r="B1885" i="50"/>
  <c r="B1886" i="50"/>
  <c r="B1887" i="50"/>
  <c r="B1888" i="50"/>
  <c r="B1889" i="50"/>
  <c r="B1890" i="50"/>
  <c r="B1891" i="50"/>
  <c r="B1892" i="50"/>
  <c r="B1893" i="50"/>
  <c r="B1894" i="50"/>
  <c r="B1895" i="50"/>
  <c r="B1896" i="50"/>
  <c r="B1897" i="50"/>
  <c r="B1898" i="50"/>
  <c r="B1899" i="50"/>
  <c r="B1900" i="50"/>
  <c r="B1901" i="50"/>
  <c r="B1902" i="50"/>
  <c r="B1903" i="50"/>
  <c r="B1904" i="50"/>
  <c r="B1905" i="50"/>
  <c r="B1906" i="50"/>
  <c r="B1907" i="50"/>
  <c r="B1908" i="50"/>
  <c r="B1909" i="50"/>
  <c r="B1910" i="50"/>
  <c r="B1911" i="50"/>
  <c r="B1912" i="50"/>
  <c r="B1913" i="50"/>
  <c r="B1914" i="50"/>
  <c r="B1915" i="50"/>
  <c r="B1916" i="50"/>
  <c r="B1917" i="50"/>
  <c r="B1918" i="50"/>
  <c r="B1919" i="50"/>
  <c r="B1920" i="50"/>
  <c r="B1921" i="50"/>
  <c r="B1922" i="50"/>
  <c r="B1923" i="50"/>
  <c r="B1924" i="50"/>
  <c r="B1925" i="50"/>
  <c r="B1926" i="50"/>
  <c r="B1927" i="50"/>
  <c r="B1928" i="50"/>
  <c r="B1929" i="50"/>
  <c r="B1930" i="50"/>
  <c r="B1931" i="50"/>
  <c r="B1932" i="50"/>
  <c r="B1933" i="50"/>
  <c r="B1934" i="50"/>
  <c r="B1935" i="50"/>
  <c r="B1936" i="50"/>
  <c r="B1937" i="50"/>
  <c r="B1938" i="50"/>
  <c r="B1939" i="50"/>
  <c r="B1940" i="50"/>
  <c r="B1941" i="50"/>
  <c r="B1942" i="50"/>
  <c r="B1943" i="50"/>
  <c r="B1944" i="50"/>
  <c r="B1945" i="50"/>
  <c r="B1946" i="50"/>
  <c r="B1947" i="50"/>
  <c r="B1948" i="50"/>
  <c r="B1949" i="50"/>
  <c r="B1950" i="50"/>
  <c r="B1951" i="50"/>
  <c r="B1952" i="50"/>
  <c r="B1953" i="50"/>
  <c r="B1954" i="50"/>
  <c r="B1955" i="50"/>
  <c r="B1956" i="50"/>
  <c r="B1957" i="50"/>
  <c r="B1958" i="50"/>
  <c r="B1959" i="50"/>
  <c r="B1960" i="50"/>
  <c r="B1961" i="50"/>
  <c r="B1962" i="50"/>
  <c r="B1963" i="50"/>
  <c r="B1964" i="50"/>
  <c r="B1965" i="50"/>
  <c r="B1966" i="50"/>
  <c r="B1967" i="50"/>
  <c r="B1968" i="50"/>
  <c r="B1969" i="50"/>
  <c r="B1970" i="50"/>
  <c r="B1971" i="50"/>
  <c r="B1972" i="50"/>
  <c r="B1973" i="50"/>
  <c r="B1974" i="50"/>
  <c r="B1975" i="50"/>
  <c r="B1976" i="50"/>
  <c r="B1977" i="50"/>
  <c r="B1978" i="50"/>
  <c r="B1979" i="50"/>
  <c r="B1980" i="50"/>
  <c r="B1981" i="50"/>
  <c r="B1982" i="50"/>
  <c r="B1983" i="50"/>
  <c r="B1984" i="50"/>
  <c r="B1985" i="50"/>
  <c r="B1986" i="50"/>
  <c r="B1987" i="50"/>
  <c r="B1988" i="50"/>
  <c r="B1989" i="50"/>
  <c r="B1990" i="50"/>
  <c r="B1991" i="50"/>
  <c r="B1992" i="50"/>
  <c r="B1993" i="50"/>
  <c r="B1994" i="50"/>
  <c r="B1995" i="50"/>
  <c r="B1996" i="50"/>
  <c r="B1997" i="50"/>
  <c r="B1998" i="50"/>
  <c r="B1999" i="50"/>
  <c r="B2000" i="50"/>
  <c r="B2001" i="50"/>
  <c r="B2002" i="50"/>
  <c r="B2003" i="50"/>
  <c r="B2004" i="50"/>
  <c r="B2005" i="50"/>
  <c r="B2006" i="50"/>
  <c r="B2007" i="50"/>
  <c r="B2008" i="50"/>
  <c r="B2009" i="50"/>
  <c r="B2010" i="50"/>
  <c r="B2011" i="50"/>
  <c r="B2012" i="50"/>
  <c r="B2013" i="50"/>
  <c r="B2014" i="50"/>
  <c r="B2015" i="50"/>
  <c r="B2016" i="50"/>
  <c r="B2017" i="50"/>
  <c r="B2018" i="50"/>
  <c r="B2019" i="50"/>
  <c r="B2020" i="50"/>
  <c r="B2021" i="50"/>
  <c r="B2022" i="50"/>
  <c r="B2023" i="50"/>
  <c r="B2024" i="50"/>
  <c r="B2025" i="50"/>
  <c r="B2026" i="50"/>
  <c r="B2027" i="50"/>
  <c r="B2028" i="50"/>
  <c r="B2029" i="50"/>
  <c r="B2030" i="50"/>
  <c r="B2031" i="50"/>
  <c r="B2032" i="50"/>
  <c r="B2033" i="50"/>
  <c r="B2034" i="50"/>
  <c r="B2035" i="50"/>
  <c r="B2036" i="50"/>
  <c r="B2037" i="50"/>
  <c r="B2038" i="50"/>
  <c r="B2039" i="50"/>
  <c r="B2040" i="50"/>
  <c r="B2041" i="50"/>
  <c r="B2042" i="50"/>
  <c r="B2043" i="50"/>
  <c r="B2044" i="50"/>
  <c r="B2045" i="50"/>
  <c r="B2046" i="50"/>
  <c r="B2047" i="50"/>
  <c r="B2048" i="50"/>
  <c r="B2049" i="50"/>
  <c r="B2050" i="50"/>
  <c r="B2051" i="50"/>
  <c r="B2052" i="50"/>
  <c r="B2053" i="50"/>
  <c r="B2054" i="50"/>
  <c r="B2055" i="50"/>
  <c r="B2056" i="50"/>
  <c r="B2057" i="50"/>
  <c r="B2058" i="50"/>
  <c r="B2059" i="50"/>
  <c r="B2060" i="50"/>
  <c r="B2061" i="50"/>
  <c r="B2062" i="50"/>
  <c r="B2063" i="50"/>
  <c r="B2064" i="50"/>
  <c r="B2065" i="50"/>
  <c r="B2066" i="50"/>
  <c r="B2067" i="50"/>
  <c r="B2068" i="50"/>
  <c r="B2069" i="50"/>
  <c r="B2070" i="50"/>
  <c r="B2071" i="50"/>
  <c r="B2072" i="50"/>
  <c r="B2073" i="50"/>
  <c r="B2074" i="50"/>
  <c r="B2075" i="50"/>
  <c r="B2076" i="50"/>
  <c r="B2077" i="50"/>
  <c r="B2078" i="50"/>
  <c r="B2079" i="50"/>
  <c r="B2080" i="50"/>
  <c r="B2081" i="50"/>
  <c r="B2082" i="50"/>
  <c r="B2083" i="50"/>
  <c r="B2084" i="50"/>
  <c r="B2085" i="50"/>
  <c r="B2086" i="50"/>
  <c r="B2087" i="50"/>
  <c r="B2088" i="50"/>
  <c r="B2089" i="50"/>
  <c r="B2090" i="50"/>
  <c r="B2091" i="50"/>
  <c r="B2092" i="50"/>
  <c r="B2093" i="50"/>
  <c r="B2094" i="50"/>
  <c r="B2095" i="50"/>
  <c r="B2096" i="50"/>
  <c r="B2097" i="50"/>
  <c r="B2098" i="50"/>
  <c r="B2099" i="50"/>
  <c r="B2100" i="50"/>
  <c r="B2101" i="50"/>
  <c r="B2102" i="50"/>
  <c r="B2103" i="50"/>
  <c r="B2104" i="50"/>
  <c r="B2105" i="50"/>
  <c r="B2106" i="50"/>
  <c r="B2107" i="50"/>
  <c r="B2108" i="50"/>
  <c r="B2109" i="50"/>
  <c r="B2110" i="50"/>
  <c r="B2111" i="50"/>
  <c r="B2112" i="50"/>
  <c r="B2113" i="50"/>
  <c r="B2114" i="50"/>
  <c r="B2115" i="50"/>
  <c r="B2116" i="50"/>
  <c r="B2117" i="50"/>
  <c r="B2118" i="50"/>
  <c r="B2119" i="50"/>
  <c r="B2120" i="50"/>
  <c r="B2121" i="50"/>
  <c r="B2122" i="50"/>
  <c r="B2123" i="50"/>
  <c r="B2124" i="50"/>
  <c r="B2125" i="50"/>
  <c r="B2126" i="50"/>
  <c r="B2127" i="50"/>
  <c r="B2128" i="50"/>
  <c r="B2129" i="50"/>
  <c r="B2130" i="50"/>
  <c r="B2131" i="50"/>
  <c r="B2132" i="50"/>
  <c r="B2133" i="50"/>
  <c r="B2134" i="50"/>
  <c r="B2135" i="50"/>
  <c r="B2136" i="50"/>
  <c r="B2137" i="50"/>
  <c r="B2138" i="50"/>
  <c r="B2139" i="50"/>
  <c r="B2140" i="50"/>
  <c r="B2141" i="50"/>
  <c r="B2142" i="50"/>
  <c r="B2143" i="50"/>
  <c r="B2144" i="50"/>
  <c r="B2145" i="50"/>
  <c r="B2146" i="50"/>
  <c r="B2147" i="50"/>
  <c r="B2148" i="50"/>
  <c r="B2149" i="50"/>
  <c r="B2150" i="50"/>
  <c r="B2151" i="50"/>
  <c r="B2152" i="50"/>
  <c r="B2153" i="50"/>
  <c r="B2154" i="50"/>
  <c r="B2155" i="50"/>
  <c r="B2156" i="50"/>
  <c r="B2157" i="50"/>
  <c r="B2158" i="50"/>
  <c r="B2159" i="50"/>
  <c r="B2160" i="50"/>
  <c r="B2161" i="50"/>
  <c r="B2162" i="50"/>
  <c r="B2163" i="50"/>
  <c r="B2164" i="50"/>
  <c r="B2165" i="50"/>
  <c r="B2166" i="50"/>
  <c r="B2167" i="50"/>
  <c r="B2168" i="50"/>
  <c r="B2169" i="50"/>
  <c r="B2170" i="50"/>
  <c r="B2171" i="50"/>
  <c r="B2172" i="50"/>
  <c r="B2173" i="50"/>
  <c r="B2174" i="50"/>
  <c r="B2175" i="50"/>
  <c r="B2176" i="50"/>
  <c r="B2177" i="50"/>
  <c r="B2178" i="50"/>
  <c r="B2179" i="50"/>
  <c r="B2180" i="50"/>
  <c r="B2181" i="50"/>
  <c r="B2182" i="50"/>
  <c r="B2183" i="50"/>
  <c r="B2184" i="50"/>
  <c r="B2185" i="50"/>
  <c r="B2186" i="50"/>
  <c r="B2187" i="50"/>
  <c r="B2188" i="50"/>
  <c r="B2189" i="50"/>
  <c r="B2190" i="50"/>
  <c r="B2191" i="50"/>
  <c r="B2192" i="50"/>
  <c r="B2193" i="50"/>
  <c r="B2194" i="50"/>
  <c r="B2195" i="50"/>
  <c r="B2196" i="50"/>
  <c r="B2197" i="50"/>
  <c r="B2198" i="50"/>
  <c r="B2199" i="50"/>
  <c r="B2200" i="50"/>
  <c r="B2201" i="50"/>
  <c r="B2202" i="50"/>
  <c r="B2203" i="50"/>
  <c r="B2204" i="50"/>
  <c r="B2205" i="50"/>
  <c r="B2206" i="50"/>
  <c r="B2207" i="50"/>
  <c r="B2208" i="50"/>
  <c r="B2209" i="50"/>
  <c r="B2210" i="50"/>
  <c r="B2211" i="50"/>
  <c r="B2212" i="50"/>
  <c r="B2213" i="50"/>
  <c r="B2214" i="50"/>
  <c r="B2215" i="50"/>
  <c r="B2216" i="50"/>
  <c r="B2217" i="50"/>
  <c r="B2218" i="50"/>
  <c r="B2219" i="50"/>
  <c r="B2220" i="50"/>
  <c r="B2221" i="50"/>
  <c r="B2222" i="50"/>
  <c r="B2223" i="50"/>
  <c r="B2224" i="50"/>
  <c r="B2225" i="50"/>
  <c r="B2226" i="50"/>
  <c r="B2227" i="50"/>
  <c r="B2228" i="50"/>
  <c r="B2229" i="50"/>
  <c r="B2230" i="50"/>
  <c r="B2231" i="50"/>
  <c r="B2232" i="50"/>
  <c r="B2233" i="50"/>
  <c r="B2234" i="50"/>
  <c r="B2235" i="50"/>
  <c r="B2236" i="50"/>
  <c r="B2237" i="50"/>
  <c r="B2238" i="50"/>
  <c r="B2239" i="50"/>
  <c r="B2240" i="50"/>
  <c r="B2241" i="50"/>
  <c r="B2242" i="50"/>
  <c r="B2243" i="50"/>
  <c r="B2244" i="50"/>
  <c r="B2245" i="50"/>
  <c r="B2246" i="50"/>
  <c r="B2247" i="50"/>
  <c r="B2248" i="50"/>
  <c r="B2249" i="50"/>
  <c r="B2250" i="50"/>
  <c r="B2251" i="50"/>
  <c r="B2252" i="50"/>
  <c r="B2253" i="50"/>
  <c r="B2254" i="50"/>
  <c r="B2255" i="50"/>
  <c r="B2256" i="50"/>
  <c r="B2257" i="50"/>
  <c r="B2258" i="50"/>
  <c r="B2259" i="50"/>
  <c r="B2260" i="50"/>
  <c r="B2261" i="50"/>
  <c r="B2262" i="50"/>
  <c r="B2263" i="50"/>
  <c r="B2264" i="50"/>
  <c r="B2265" i="50"/>
  <c r="B2266" i="50"/>
  <c r="B2267" i="50"/>
  <c r="B2268" i="50"/>
  <c r="B2269" i="50"/>
  <c r="B2270" i="50"/>
  <c r="B2271" i="50"/>
  <c r="B2272" i="50"/>
  <c r="B2273" i="50"/>
  <c r="B2274" i="50"/>
  <c r="B2275" i="50"/>
  <c r="B2276" i="50"/>
  <c r="B2277" i="50"/>
  <c r="B2278" i="50"/>
  <c r="B2279" i="50"/>
  <c r="B2280" i="50"/>
  <c r="B2281" i="50"/>
  <c r="B2282" i="50"/>
  <c r="B2283" i="50"/>
  <c r="B2284" i="50"/>
  <c r="B2285" i="50"/>
  <c r="B2286" i="50"/>
  <c r="B2287" i="50"/>
  <c r="B2288" i="50"/>
  <c r="B2289" i="50"/>
  <c r="B2290" i="50"/>
  <c r="B2291" i="50"/>
  <c r="B2292" i="50"/>
  <c r="B2293" i="50"/>
  <c r="B2294" i="50"/>
  <c r="B2295" i="50"/>
  <c r="B2296" i="50"/>
  <c r="B2297" i="50"/>
  <c r="B2298" i="50"/>
  <c r="B2299" i="50"/>
  <c r="B2300" i="50"/>
  <c r="B2301" i="50"/>
  <c r="B2302" i="50"/>
  <c r="B2303" i="50"/>
  <c r="B2304" i="50"/>
  <c r="B2305" i="50"/>
  <c r="B2306" i="50"/>
  <c r="B2307" i="50"/>
  <c r="B2308" i="50"/>
  <c r="B2309" i="50"/>
  <c r="B2310" i="50"/>
  <c r="B2311" i="50"/>
  <c r="B2312" i="50"/>
  <c r="B2313" i="50"/>
  <c r="B2314" i="50"/>
  <c r="B2315" i="50"/>
  <c r="B2316" i="50"/>
  <c r="B2317" i="50"/>
  <c r="B2318" i="50"/>
  <c r="B2319" i="50"/>
  <c r="B2320" i="50"/>
  <c r="B2321" i="50"/>
  <c r="B2322" i="50"/>
  <c r="B2323" i="50"/>
  <c r="B2324" i="50"/>
  <c r="B2325" i="50"/>
  <c r="B2326" i="50"/>
  <c r="B2327" i="50"/>
  <c r="B2328" i="50"/>
  <c r="B2329" i="50"/>
  <c r="B2330" i="50"/>
  <c r="B2331" i="50"/>
  <c r="B2332" i="50"/>
  <c r="B2333" i="50"/>
  <c r="B2334" i="50"/>
  <c r="B2335" i="50"/>
  <c r="B2336" i="50"/>
  <c r="B2337" i="50"/>
  <c r="B2338" i="50"/>
  <c r="B2339" i="50"/>
  <c r="B2340" i="50"/>
  <c r="B2341" i="50"/>
  <c r="B2342" i="50"/>
  <c r="B2343" i="50"/>
  <c r="B2344" i="50"/>
  <c r="B2345" i="50"/>
  <c r="B2346" i="50"/>
  <c r="B2347" i="50"/>
  <c r="B2348" i="50"/>
  <c r="B2349" i="50"/>
  <c r="B2350" i="50"/>
  <c r="B2351" i="50"/>
  <c r="B2352" i="50"/>
  <c r="B2353" i="50"/>
  <c r="B2354" i="50"/>
  <c r="B2355" i="50"/>
  <c r="B2356" i="50"/>
  <c r="B2357" i="50"/>
  <c r="B2358" i="50"/>
  <c r="B2359" i="50"/>
  <c r="B2360" i="50"/>
  <c r="B2361" i="50"/>
  <c r="B2362" i="50"/>
  <c r="B2363" i="50"/>
  <c r="B2364" i="50"/>
  <c r="B2365" i="50"/>
  <c r="B2366" i="50"/>
  <c r="B2367" i="50"/>
  <c r="B2368" i="50"/>
  <c r="B2369" i="50"/>
  <c r="B2370" i="50"/>
  <c r="B2371" i="50"/>
  <c r="B2372" i="50"/>
  <c r="B2373" i="50"/>
  <c r="B2374" i="50"/>
  <c r="B2375" i="50"/>
  <c r="B2376" i="50"/>
  <c r="B2377" i="50"/>
  <c r="B2378" i="50"/>
  <c r="B2379" i="50"/>
  <c r="B2380" i="50"/>
  <c r="B2381" i="50"/>
  <c r="B2382" i="50"/>
  <c r="B2383" i="50"/>
  <c r="B2384" i="50"/>
  <c r="B2385" i="50"/>
  <c r="B2386" i="50"/>
  <c r="B2387" i="50"/>
  <c r="B2388" i="50"/>
  <c r="B2389" i="50"/>
  <c r="B2390" i="50"/>
  <c r="B2391" i="50"/>
  <c r="B2392" i="50"/>
  <c r="B2393" i="50"/>
  <c r="B2394" i="50"/>
  <c r="B2395" i="50"/>
  <c r="B2396" i="50"/>
  <c r="B2397" i="50"/>
  <c r="B2398" i="50"/>
  <c r="B2399" i="50"/>
  <c r="B2400" i="50"/>
  <c r="B2401" i="50"/>
  <c r="B2402" i="50"/>
  <c r="B2403" i="50"/>
  <c r="B2404" i="50"/>
  <c r="B2405" i="50"/>
  <c r="B2406" i="50"/>
  <c r="B2407" i="50"/>
  <c r="B2408" i="50"/>
  <c r="B2409" i="50"/>
  <c r="B2410" i="50"/>
  <c r="B2411" i="50"/>
  <c r="B2412" i="50"/>
  <c r="B2413" i="50"/>
  <c r="B2414" i="50"/>
  <c r="B2415" i="50"/>
  <c r="B2416" i="50"/>
  <c r="B2417" i="50"/>
  <c r="B2418" i="50"/>
  <c r="B2419" i="50"/>
  <c r="B2420" i="50"/>
  <c r="B2421" i="50"/>
  <c r="B2422" i="50"/>
  <c r="B2423" i="50"/>
  <c r="B2424" i="50"/>
  <c r="B2425" i="50"/>
  <c r="B2426" i="50"/>
  <c r="B2427" i="50"/>
  <c r="B2428" i="50"/>
  <c r="B2429" i="50"/>
  <c r="B2430" i="50"/>
  <c r="B2431" i="50"/>
  <c r="B2432" i="50"/>
  <c r="B2433" i="50"/>
  <c r="B2434" i="50"/>
  <c r="B2435" i="50"/>
  <c r="B2436" i="50"/>
  <c r="B2437" i="50"/>
  <c r="B2438" i="50"/>
  <c r="B2439" i="50"/>
  <c r="B2440" i="50"/>
  <c r="B2441" i="50"/>
  <c r="B2442" i="50"/>
  <c r="B2443" i="50"/>
  <c r="B2444" i="50"/>
  <c r="B2445" i="50"/>
  <c r="B2446" i="50"/>
  <c r="B2447" i="50"/>
  <c r="B2448" i="50"/>
  <c r="B2449" i="50"/>
  <c r="B2450" i="50"/>
  <c r="B2451" i="50"/>
  <c r="B2452" i="50"/>
  <c r="B2453" i="50"/>
  <c r="B2454" i="50"/>
  <c r="B2455" i="50"/>
  <c r="B2456" i="50"/>
  <c r="B2457" i="50"/>
  <c r="B2458" i="50"/>
  <c r="B2459" i="50"/>
  <c r="B2460" i="50"/>
  <c r="B2461" i="50"/>
  <c r="B2462" i="50"/>
  <c r="B2463" i="50"/>
  <c r="B2464" i="50"/>
  <c r="B2465" i="50"/>
  <c r="B2466" i="50"/>
  <c r="B2467" i="50"/>
  <c r="B2468" i="50"/>
  <c r="B2469" i="50"/>
  <c r="B2470" i="50"/>
  <c r="B2471" i="50"/>
  <c r="B2472" i="50"/>
  <c r="B2473" i="50"/>
  <c r="B2474" i="50"/>
  <c r="B2475" i="50"/>
  <c r="B2476" i="50"/>
  <c r="B2477" i="50"/>
  <c r="B2478" i="50"/>
  <c r="B2479" i="50"/>
  <c r="B2480" i="50"/>
  <c r="B2481" i="50"/>
  <c r="B2482" i="50"/>
  <c r="B2483" i="50"/>
  <c r="B2484" i="50"/>
  <c r="B2485" i="50"/>
  <c r="B2486" i="50"/>
  <c r="B2487" i="50"/>
  <c r="B2488" i="50"/>
  <c r="B2489" i="50"/>
  <c r="B2490" i="50"/>
  <c r="B2491" i="50"/>
  <c r="B2492" i="50"/>
  <c r="B2493" i="50"/>
  <c r="B2494" i="50"/>
  <c r="B2495" i="50"/>
  <c r="B2496" i="50"/>
  <c r="B2497" i="50"/>
  <c r="B2498" i="50"/>
  <c r="B2499" i="50"/>
  <c r="B2500" i="50"/>
  <c r="B2501" i="50"/>
  <c r="B2502" i="50"/>
  <c r="B2503" i="50"/>
  <c r="B2504" i="50"/>
  <c r="B2505" i="50"/>
  <c r="B2506" i="50"/>
  <c r="B2507" i="50"/>
  <c r="B2508" i="50"/>
  <c r="B2509" i="50"/>
  <c r="B2510" i="50"/>
  <c r="B2511" i="50"/>
  <c r="B2512" i="50"/>
  <c r="B2513" i="50"/>
  <c r="B2514" i="50"/>
  <c r="B2515" i="50"/>
  <c r="B2516" i="50"/>
  <c r="B2517" i="50"/>
  <c r="B2518" i="50"/>
  <c r="B2519" i="50"/>
  <c r="B2520" i="50"/>
  <c r="B2521" i="50"/>
  <c r="B2522" i="50"/>
  <c r="B2523" i="50"/>
  <c r="B2524" i="50"/>
  <c r="B2525" i="50"/>
  <c r="B2526" i="50"/>
  <c r="B2527" i="50"/>
  <c r="B2528" i="50"/>
  <c r="B2529" i="50"/>
  <c r="B2530" i="50"/>
  <c r="B2531" i="50"/>
  <c r="B2532" i="50"/>
  <c r="B2533" i="50"/>
  <c r="B2534" i="50"/>
  <c r="B2535" i="50"/>
  <c r="B2536" i="50"/>
  <c r="B2537" i="50"/>
  <c r="B2538" i="50"/>
  <c r="B2539" i="50"/>
  <c r="B2540" i="50"/>
  <c r="B2541" i="50"/>
  <c r="B2542" i="50"/>
  <c r="B2543" i="50"/>
  <c r="B2544" i="50"/>
  <c r="B2545" i="50"/>
  <c r="B2546" i="50"/>
  <c r="B2547" i="50"/>
  <c r="B2548" i="50"/>
  <c r="B2549" i="50"/>
  <c r="B2550" i="50"/>
  <c r="B2551" i="50"/>
  <c r="B2552" i="50"/>
  <c r="B2553" i="50"/>
  <c r="B2554" i="50"/>
  <c r="B2555" i="50"/>
  <c r="B2556" i="50"/>
  <c r="B2557" i="50"/>
  <c r="B2558" i="50"/>
  <c r="B2559" i="50"/>
  <c r="B2560" i="50"/>
  <c r="B2561" i="50"/>
  <c r="B2562" i="50"/>
  <c r="B2563" i="50"/>
  <c r="B2564" i="50"/>
  <c r="B2565" i="50"/>
  <c r="B2566" i="50"/>
  <c r="B2567" i="50"/>
  <c r="B2568" i="50"/>
  <c r="B2569" i="50"/>
  <c r="B2570" i="50"/>
  <c r="B2571" i="50"/>
  <c r="B2572" i="50"/>
  <c r="B2573" i="50"/>
  <c r="B2574" i="50"/>
  <c r="B2575" i="50"/>
  <c r="B2576" i="50"/>
  <c r="B2577" i="50"/>
  <c r="B2578" i="50"/>
  <c r="B2579" i="50"/>
  <c r="B2580" i="50"/>
  <c r="B2581" i="50"/>
  <c r="B2582" i="50"/>
  <c r="B2583" i="50"/>
  <c r="B2584" i="50"/>
  <c r="B2585" i="50"/>
  <c r="B2586" i="50"/>
  <c r="B2587" i="50"/>
  <c r="B2588" i="50"/>
  <c r="B2589" i="50"/>
  <c r="B2590" i="50"/>
  <c r="B2591" i="50"/>
  <c r="B2592" i="50"/>
  <c r="B2593" i="50"/>
  <c r="B2594" i="50"/>
  <c r="B2595" i="50"/>
  <c r="B2596" i="50"/>
  <c r="B2597" i="50"/>
  <c r="B2598" i="50"/>
  <c r="B2599" i="50"/>
  <c r="B2600" i="50"/>
  <c r="B2601" i="50"/>
  <c r="B2602" i="50"/>
  <c r="B2603" i="50"/>
  <c r="B2604" i="50"/>
  <c r="B2605" i="50"/>
  <c r="B2606" i="50"/>
  <c r="B2607" i="50"/>
  <c r="B2608" i="50"/>
  <c r="B2609" i="50"/>
  <c r="B2610" i="50"/>
  <c r="B2611" i="50"/>
  <c r="B2612" i="50"/>
  <c r="B2613" i="50"/>
  <c r="B2614" i="50"/>
  <c r="B2615" i="50"/>
  <c r="B2616" i="50"/>
  <c r="B2617" i="50"/>
  <c r="B2618" i="50"/>
  <c r="B2619" i="50"/>
  <c r="B2620" i="50"/>
  <c r="B2621" i="50"/>
  <c r="B2622" i="50"/>
  <c r="B2623" i="50"/>
  <c r="B2624" i="50"/>
  <c r="B2625" i="50"/>
  <c r="B2626" i="50"/>
  <c r="B2627" i="50"/>
  <c r="B2628" i="50"/>
  <c r="B2629" i="50"/>
  <c r="B2630" i="50"/>
  <c r="B2631" i="50"/>
  <c r="B2632" i="50"/>
  <c r="B2633" i="50"/>
  <c r="B2634" i="50"/>
  <c r="B2635" i="50"/>
  <c r="B2636" i="50"/>
  <c r="B2637" i="50"/>
  <c r="B2638" i="50"/>
  <c r="B2639" i="50"/>
  <c r="B2640" i="50"/>
  <c r="B2641" i="50"/>
  <c r="B2642" i="50"/>
  <c r="B2643" i="50"/>
  <c r="B2644" i="50"/>
  <c r="B2645" i="50"/>
  <c r="B2646" i="50"/>
  <c r="B2647" i="50"/>
  <c r="B2648" i="50"/>
  <c r="B2649" i="50"/>
  <c r="B2650" i="50"/>
  <c r="B2651" i="50"/>
  <c r="B2652" i="50"/>
  <c r="B2653" i="50"/>
  <c r="B2654" i="50"/>
  <c r="B2655" i="50"/>
  <c r="B2656" i="50"/>
  <c r="B2657" i="50"/>
  <c r="B2658" i="50"/>
  <c r="B2659" i="50"/>
  <c r="B2660" i="50"/>
  <c r="B2661" i="50"/>
  <c r="B2662" i="50"/>
  <c r="B2663" i="50"/>
  <c r="B2664" i="50"/>
  <c r="B2665" i="50"/>
  <c r="B2666" i="50"/>
  <c r="B2667" i="50"/>
  <c r="B2668" i="50"/>
  <c r="B2669" i="50"/>
  <c r="B2670" i="50"/>
  <c r="B2671" i="50"/>
  <c r="B2672" i="50"/>
  <c r="B2673" i="50"/>
  <c r="B2674" i="50"/>
  <c r="B2675" i="50"/>
  <c r="B2676" i="50"/>
  <c r="B2677" i="50"/>
  <c r="B2678" i="50"/>
  <c r="B2679" i="50"/>
  <c r="B2680" i="50"/>
  <c r="B2681" i="50"/>
  <c r="B2682" i="50"/>
  <c r="B2683" i="50"/>
  <c r="B2684" i="50"/>
  <c r="B2685" i="50"/>
  <c r="B2686" i="50"/>
  <c r="B2687" i="50"/>
  <c r="B2688" i="50"/>
  <c r="B2689" i="50"/>
  <c r="B2690" i="50"/>
  <c r="B2691" i="50"/>
  <c r="B2692" i="50"/>
  <c r="B2693" i="50"/>
  <c r="B2694" i="50"/>
  <c r="B2695" i="50"/>
  <c r="B2696" i="50"/>
  <c r="B2697" i="50"/>
  <c r="B2698" i="50"/>
  <c r="B2699" i="50"/>
  <c r="B2700" i="50"/>
  <c r="B2701" i="50"/>
  <c r="B2702" i="50"/>
  <c r="B2703" i="50"/>
  <c r="B2704" i="50"/>
  <c r="B2705" i="50"/>
  <c r="B2706" i="50"/>
  <c r="B2707" i="50"/>
  <c r="B2708" i="50"/>
  <c r="B2709" i="50"/>
  <c r="B2710" i="50"/>
  <c r="B2711" i="50"/>
  <c r="B2712" i="50"/>
  <c r="B2713" i="50"/>
  <c r="B2714" i="50"/>
  <c r="B2715" i="50"/>
  <c r="B2716" i="50"/>
  <c r="B2717" i="50"/>
  <c r="B2718" i="50"/>
  <c r="B2719" i="50"/>
  <c r="B2720" i="50"/>
  <c r="B2721" i="50"/>
  <c r="B2722" i="50"/>
  <c r="B2723" i="50"/>
  <c r="B2724" i="50"/>
  <c r="B2725" i="50"/>
  <c r="B2726" i="50"/>
  <c r="B2727" i="50"/>
  <c r="B2728" i="50"/>
  <c r="B2729" i="50"/>
  <c r="B2730" i="50"/>
  <c r="B2731" i="50"/>
  <c r="B2732" i="50"/>
  <c r="B2733" i="50"/>
  <c r="B2734" i="50"/>
  <c r="B2735" i="50"/>
  <c r="B2736" i="50"/>
  <c r="B2737" i="50"/>
  <c r="B2738" i="50"/>
  <c r="B2739" i="50"/>
  <c r="B2740" i="50"/>
  <c r="B2741" i="50"/>
  <c r="B2742" i="50"/>
  <c r="B2743" i="50"/>
  <c r="B2744" i="50"/>
  <c r="B2745" i="50"/>
  <c r="B2746" i="50"/>
  <c r="B2747" i="50"/>
  <c r="B2748" i="50"/>
  <c r="B2749" i="50"/>
  <c r="B2750" i="50"/>
  <c r="B2751" i="50"/>
  <c r="B2752" i="50"/>
  <c r="B2753" i="50"/>
  <c r="B2754" i="50"/>
  <c r="B2755" i="50"/>
  <c r="B2756" i="50"/>
  <c r="B2757" i="50"/>
  <c r="B2758" i="50"/>
  <c r="B2759" i="50"/>
  <c r="B2760" i="50"/>
  <c r="B2761" i="50"/>
  <c r="B2762" i="50"/>
  <c r="B2763" i="50"/>
  <c r="B2764" i="50"/>
  <c r="B2765" i="50"/>
  <c r="B2766" i="50"/>
  <c r="B2767" i="50"/>
  <c r="B2768" i="50"/>
  <c r="B2769" i="50"/>
  <c r="B2770" i="50"/>
  <c r="B2771" i="50"/>
  <c r="B2772" i="50"/>
  <c r="B2773" i="50"/>
  <c r="B2774" i="50"/>
  <c r="B2775" i="50"/>
  <c r="B2776" i="50"/>
  <c r="B2777" i="50"/>
  <c r="B2778" i="50"/>
  <c r="B2779" i="50"/>
  <c r="B2780" i="50"/>
  <c r="B2781" i="50"/>
  <c r="B2782" i="50"/>
  <c r="B2783" i="50"/>
  <c r="B2784" i="50"/>
  <c r="B2785" i="50"/>
  <c r="B2786" i="50"/>
  <c r="B2787" i="50"/>
  <c r="B2788" i="50"/>
  <c r="B2789" i="50"/>
  <c r="B2790" i="50"/>
  <c r="B2791" i="50"/>
  <c r="B2792" i="50"/>
  <c r="B2793" i="50"/>
  <c r="B2794" i="50"/>
  <c r="B2795" i="50"/>
  <c r="B2796" i="50"/>
  <c r="B2797" i="50"/>
  <c r="B2798" i="50"/>
  <c r="B2799" i="50"/>
  <c r="B2800" i="50"/>
  <c r="B2801" i="50"/>
  <c r="B2802" i="50"/>
  <c r="B2803" i="50"/>
  <c r="B2804" i="50"/>
  <c r="B2805" i="50"/>
  <c r="B2806" i="50"/>
  <c r="B2807" i="50"/>
  <c r="B2808" i="50"/>
  <c r="B2809" i="50"/>
  <c r="B2810" i="50"/>
  <c r="B2811" i="50"/>
  <c r="B2812" i="50"/>
  <c r="B2813" i="50"/>
  <c r="B2814" i="50"/>
  <c r="B2815" i="50"/>
  <c r="B2816" i="50"/>
  <c r="B2817" i="50"/>
  <c r="B2818" i="50"/>
  <c r="B2819" i="50"/>
  <c r="B2820" i="50"/>
  <c r="B2821" i="50"/>
  <c r="B2822" i="50"/>
  <c r="B2823" i="50"/>
  <c r="B2824" i="50"/>
  <c r="B2825" i="50"/>
  <c r="B2826" i="50"/>
  <c r="B2827" i="50"/>
  <c r="B2828" i="50"/>
  <c r="B2829" i="50"/>
  <c r="B2830" i="50"/>
  <c r="B2831" i="50"/>
  <c r="B2832" i="50"/>
  <c r="B2833" i="50"/>
  <c r="B2834" i="50"/>
  <c r="B2835" i="50"/>
  <c r="B2836" i="50"/>
  <c r="B2837" i="50"/>
  <c r="B2838" i="50"/>
  <c r="B2839" i="50"/>
  <c r="B2840" i="50"/>
  <c r="B2841" i="50"/>
  <c r="B2842" i="50"/>
  <c r="B2843" i="50"/>
  <c r="B2844" i="50"/>
  <c r="B2845" i="50"/>
  <c r="B2846" i="50"/>
  <c r="B2847" i="50"/>
  <c r="B2848" i="50"/>
  <c r="B2849" i="50"/>
  <c r="B2850" i="50"/>
  <c r="B2851" i="50"/>
  <c r="B2852" i="50"/>
  <c r="B2853" i="50"/>
  <c r="B2854" i="50"/>
  <c r="B2855" i="50"/>
  <c r="B2856" i="50"/>
  <c r="B2857" i="50"/>
  <c r="B2858" i="50"/>
  <c r="B2859" i="50"/>
  <c r="B2860" i="50"/>
  <c r="B2861" i="50"/>
  <c r="B2862" i="50"/>
  <c r="B2863" i="50"/>
  <c r="B2864" i="50"/>
  <c r="B2865" i="50"/>
  <c r="B2866" i="50"/>
  <c r="B2867" i="50"/>
  <c r="B2868" i="50"/>
  <c r="B2869" i="50"/>
  <c r="B2870" i="50"/>
  <c r="B2871" i="50"/>
  <c r="B2872" i="50"/>
  <c r="B2873" i="50"/>
  <c r="B2874" i="50"/>
  <c r="B2875" i="50"/>
  <c r="B2876" i="50"/>
  <c r="B2877" i="50"/>
  <c r="B2878" i="50"/>
  <c r="B2879" i="50"/>
  <c r="B2880" i="50"/>
  <c r="B2881" i="50"/>
  <c r="B2882" i="50"/>
  <c r="B2883" i="50"/>
  <c r="B2884" i="50"/>
  <c r="B2885" i="50"/>
  <c r="B2886" i="50"/>
  <c r="B2887" i="50"/>
  <c r="B2888" i="50"/>
  <c r="B2889" i="50"/>
  <c r="B2890" i="50"/>
  <c r="B2891" i="50"/>
  <c r="B2892" i="50"/>
  <c r="B2893" i="50"/>
  <c r="B2894" i="50"/>
  <c r="B2895" i="50"/>
  <c r="B2896" i="50"/>
  <c r="B2897" i="50"/>
  <c r="B2898" i="50"/>
  <c r="B2899" i="50"/>
  <c r="B2900" i="50"/>
  <c r="B2901" i="50"/>
  <c r="B2902" i="50"/>
  <c r="B2903" i="50"/>
  <c r="B2904" i="50"/>
  <c r="B2905" i="50"/>
  <c r="B2906" i="50"/>
  <c r="B2907" i="50"/>
  <c r="B2908" i="50"/>
  <c r="B2909" i="50"/>
  <c r="B2910" i="50"/>
  <c r="B2911" i="50"/>
  <c r="B2912" i="50"/>
  <c r="B2913" i="50"/>
  <c r="B2914" i="50"/>
  <c r="B2915" i="50"/>
  <c r="B2916" i="50"/>
  <c r="B2917" i="50"/>
  <c r="B2918" i="50"/>
  <c r="B2919" i="50"/>
  <c r="B2920" i="50"/>
  <c r="B2921" i="50"/>
  <c r="B2922" i="50"/>
  <c r="B2923" i="50"/>
  <c r="B2924" i="50"/>
  <c r="B2925" i="50"/>
  <c r="B2926" i="50"/>
  <c r="B2927" i="50"/>
  <c r="B2928" i="50"/>
  <c r="B2929" i="50"/>
  <c r="B2930" i="50"/>
  <c r="B2931" i="50"/>
  <c r="B2932" i="50"/>
  <c r="B2933" i="50"/>
  <c r="B2934" i="50"/>
  <c r="B2935" i="50"/>
  <c r="B2936" i="50"/>
  <c r="B2937" i="50"/>
  <c r="B2938" i="50"/>
  <c r="B2939" i="50"/>
  <c r="B2940" i="50"/>
  <c r="B2941" i="50"/>
  <c r="B2942" i="50"/>
  <c r="B2943" i="50"/>
  <c r="B2944" i="50"/>
  <c r="B2945" i="50"/>
  <c r="B2946" i="50"/>
  <c r="B2947" i="50"/>
  <c r="B2948" i="50"/>
  <c r="B2949" i="50"/>
  <c r="B2950" i="50"/>
  <c r="B2951" i="50"/>
  <c r="B2952" i="50"/>
  <c r="B2953" i="50"/>
  <c r="B2954" i="50"/>
  <c r="B2955" i="50"/>
  <c r="B2956" i="50"/>
  <c r="B2957" i="50"/>
  <c r="B2958" i="50"/>
  <c r="B2959" i="50"/>
  <c r="B2960" i="50"/>
  <c r="B2961" i="50"/>
  <c r="B2962" i="50"/>
  <c r="B2963" i="50"/>
  <c r="B2964" i="50"/>
  <c r="B2965" i="50"/>
  <c r="B2966" i="50"/>
  <c r="B2967" i="50"/>
  <c r="B2968" i="50"/>
  <c r="B2969" i="50"/>
  <c r="B2970" i="50"/>
  <c r="B2971" i="50"/>
  <c r="B2972" i="50"/>
  <c r="B2973" i="50"/>
  <c r="B2974" i="50"/>
  <c r="B2975" i="50"/>
  <c r="B2976" i="50"/>
  <c r="B2977" i="50"/>
  <c r="B2978" i="50"/>
  <c r="B2979" i="50"/>
  <c r="B2980" i="50"/>
  <c r="B2981" i="50"/>
  <c r="B2982" i="50"/>
  <c r="B2983" i="50"/>
  <c r="B2984" i="50"/>
  <c r="B2985" i="50"/>
  <c r="B2986" i="50"/>
  <c r="B2987" i="50"/>
  <c r="B2988" i="50"/>
  <c r="B2989" i="50"/>
  <c r="B2990" i="50"/>
  <c r="B2991" i="50"/>
  <c r="B2992" i="50"/>
  <c r="B2993" i="50"/>
  <c r="B2994" i="50"/>
  <c r="B2995" i="50"/>
  <c r="B2996" i="50"/>
  <c r="B2997" i="50"/>
  <c r="B2998" i="50"/>
  <c r="B2999" i="50"/>
  <c r="B3000" i="50"/>
  <c r="B3001" i="50"/>
  <c r="B3002" i="50"/>
  <c r="B3003" i="50"/>
  <c r="B3004" i="50"/>
  <c r="B3005" i="50"/>
  <c r="B3006" i="50"/>
  <c r="B3007" i="50"/>
  <c r="B3008" i="50"/>
  <c r="B3009" i="50"/>
  <c r="B3010" i="50"/>
  <c r="B3011" i="50"/>
  <c r="B3012" i="50"/>
  <c r="B3013" i="50"/>
  <c r="B3014" i="50"/>
  <c r="B3015" i="50"/>
  <c r="B3016" i="50"/>
  <c r="B3017" i="50"/>
  <c r="B3018" i="50"/>
  <c r="B3019" i="50"/>
  <c r="B3020" i="50"/>
  <c r="B3021" i="50"/>
  <c r="B3022" i="50"/>
  <c r="B3023" i="50"/>
  <c r="B3024" i="50"/>
  <c r="B3025" i="50"/>
  <c r="B3026" i="50"/>
  <c r="B3027" i="50"/>
  <c r="B3028" i="50"/>
  <c r="B3029" i="50"/>
  <c r="B3030" i="50"/>
  <c r="B3031" i="50"/>
  <c r="B3032" i="50"/>
  <c r="B3033" i="50"/>
  <c r="B3034" i="50"/>
  <c r="B3035" i="50"/>
  <c r="B3036" i="50"/>
  <c r="B3037" i="50"/>
  <c r="B3038" i="50"/>
  <c r="B3039" i="50"/>
  <c r="B3040" i="50"/>
  <c r="B3041" i="50"/>
  <c r="B3042" i="50"/>
  <c r="B3043" i="50"/>
  <c r="B3044" i="50"/>
  <c r="B3045" i="50"/>
  <c r="B3046" i="50"/>
  <c r="B3047" i="50"/>
  <c r="B3048" i="50"/>
  <c r="B3049" i="50"/>
  <c r="B3050" i="50"/>
  <c r="B3051" i="50"/>
  <c r="B3052" i="50"/>
  <c r="B3053" i="50"/>
  <c r="B3054" i="50"/>
  <c r="B3055" i="50"/>
  <c r="B3056" i="50"/>
  <c r="B3057" i="50"/>
  <c r="B3058" i="50"/>
  <c r="B3059" i="50"/>
  <c r="B3060" i="50"/>
  <c r="B3061" i="50"/>
  <c r="B3062" i="50"/>
  <c r="B3063" i="50"/>
  <c r="B3064" i="50"/>
  <c r="B3065" i="50"/>
  <c r="B3066" i="50"/>
  <c r="B3067" i="50"/>
  <c r="B3068" i="50"/>
  <c r="B3069" i="50"/>
  <c r="B3070" i="50"/>
  <c r="B3071" i="50"/>
  <c r="B3072" i="50"/>
  <c r="B3073" i="50"/>
  <c r="B3074" i="50"/>
  <c r="B3075" i="50"/>
  <c r="B3076" i="50"/>
  <c r="B3077" i="50"/>
  <c r="B3078" i="50"/>
  <c r="B3079" i="50"/>
  <c r="B3080" i="50"/>
  <c r="B3081" i="50"/>
  <c r="B3082" i="50"/>
  <c r="B3083" i="50"/>
  <c r="B3084" i="50"/>
  <c r="B3085" i="50"/>
  <c r="B3086" i="50"/>
  <c r="B3087" i="50"/>
  <c r="B3088" i="50"/>
  <c r="B3089" i="50"/>
  <c r="B3090" i="50"/>
  <c r="B3091" i="50"/>
  <c r="B3092" i="50"/>
  <c r="B3093" i="50"/>
  <c r="B3094" i="50"/>
  <c r="B3095" i="50"/>
  <c r="B3096" i="50"/>
  <c r="B3097" i="50"/>
  <c r="B3098" i="50"/>
  <c r="B3099" i="50"/>
  <c r="B3100" i="50"/>
  <c r="B3101" i="50"/>
  <c r="B3102" i="50"/>
  <c r="B3103" i="50"/>
  <c r="B3104" i="50"/>
  <c r="B3105" i="50"/>
  <c r="B3106" i="50"/>
  <c r="B3107" i="50"/>
  <c r="B3108" i="50"/>
  <c r="B3109" i="50"/>
  <c r="B3110" i="50"/>
  <c r="B3111" i="50"/>
  <c r="B3112" i="50"/>
  <c r="B3113" i="50"/>
  <c r="B3114" i="50"/>
  <c r="B3115" i="50"/>
  <c r="B3116" i="50"/>
  <c r="B3117" i="50"/>
  <c r="B3118" i="50"/>
  <c r="B3119" i="50"/>
  <c r="B3120" i="50"/>
  <c r="B3121" i="50"/>
  <c r="B3122" i="50"/>
  <c r="B3123" i="50"/>
  <c r="B3124" i="50"/>
  <c r="B3125" i="50"/>
  <c r="B3126" i="50"/>
  <c r="B3127" i="50"/>
  <c r="B3128" i="50"/>
  <c r="B3129" i="50"/>
  <c r="B3130" i="50"/>
  <c r="B3131" i="50"/>
  <c r="B3132" i="50"/>
  <c r="B3133" i="50"/>
  <c r="B3134" i="50"/>
  <c r="B3135" i="50"/>
  <c r="B3136" i="50"/>
  <c r="B3137" i="50"/>
  <c r="B3138" i="50"/>
  <c r="B3139" i="50"/>
  <c r="B3140" i="50"/>
  <c r="B3141" i="50"/>
  <c r="B3142" i="50"/>
  <c r="B3143" i="50"/>
  <c r="B3144" i="50"/>
  <c r="B3145" i="50"/>
  <c r="B3146" i="50"/>
  <c r="B3147" i="50"/>
  <c r="B3148" i="50"/>
  <c r="B3149" i="50"/>
  <c r="B3150" i="50"/>
  <c r="B3151" i="50"/>
  <c r="B3152" i="50"/>
  <c r="B3153" i="50"/>
  <c r="B3154" i="50"/>
  <c r="B3155" i="50"/>
  <c r="B3156" i="50"/>
  <c r="B3157" i="50"/>
  <c r="B3158" i="50"/>
  <c r="B3159" i="50"/>
  <c r="B3160" i="50"/>
  <c r="B3161" i="50"/>
  <c r="B3162" i="50"/>
  <c r="B3163" i="50"/>
  <c r="B3164" i="50"/>
  <c r="B3165" i="50"/>
  <c r="B3166" i="50"/>
  <c r="B3167" i="50"/>
  <c r="B3168" i="50"/>
  <c r="B3169" i="50"/>
  <c r="B3170" i="50"/>
  <c r="B3171" i="50"/>
  <c r="B3172" i="50"/>
  <c r="B3173" i="50"/>
  <c r="B3174" i="50"/>
  <c r="B3175" i="50"/>
  <c r="B3176" i="50"/>
  <c r="B3177" i="50"/>
  <c r="B3178" i="50"/>
  <c r="B3179" i="50"/>
  <c r="B3180" i="50"/>
  <c r="B3181" i="50"/>
  <c r="B3182" i="50"/>
  <c r="B3183" i="50"/>
  <c r="B3184" i="50"/>
  <c r="B3185" i="50"/>
  <c r="B3186" i="50"/>
  <c r="B3187" i="50"/>
  <c r="B3188" i="50"/>
  <c r="B3189" i="50"/>
  <c r="B3190" i="50"/>
  <c r="B3191" i="50"/>
  <c r="B3192" i="50"/>
  <c r="B3193" i="50"/>
  <c r="B3194" i="50"/>
  <c r="B3195" i="50"/>
  <c r="B3196" i="50"/>
  <c r="B3197" i="50"/>
  <c r="B3198" i="50"/>
  <c r="B3199" i="50"/>
  <c r="B3200" i="50"/>
  <c r="B3201" i="50"/>
  <c r="B3202" i="50"/>
  <c r="B3203" i="50"/>
  <c r="B3204" i="50"/>
  <c r="B3205" i="50"/>
  <c r="B3206" i="50"/>
  <c r="B3207" i="50"/>
  <c r="B3208" i="50"/>
  <c r="B3209" i="50"/>
  <c r="B3210" i="50"/>
  <c r="B3211" i="50"/>
  <c r="B3212" i="50"/>
  <c r="B3213" i="50"/>
  <c r="B3214" i="50"/>
  <c r="B3215" i="50"/>
  <c r="B3216" i="50"/>
  <c r="B3217" i="50"/>
  <c r="B3218" i="50"/>
  <c r="B3219" i="50"/>
  <c r="B3220" i="50"/>
  <c r="B3221" i="50"/>
  <c r="B3222" i="50"/>
  <c r="B3223" i="50"/>
  <c r="B3224" i="50"/>
  <c r="B3225" i="50"/>
  <c r="B3226" i="50"/>
  <c r="B3227" i="50"/>
  <c r="B3228" i="50"/>
  <c r="B3229" i="50"/>
  <c r="B3230" i="50"/>
  <c r="B3231" i="50"/>
  <c r="B3232" i="50"/>
  <c r="B3233" i="50"/>
  <c r="B3234" i="50"/>
  <c r="B3235" i="50"/>
  <c r="B3236" i="50"/>
  <c r="B3237" i="50"/>
  <c r="B3238" i="50"/>
  <c r="B3239" i="50"/>
  <c r="B3240" i="50"/>
  <c r="B3241" i="50"/>
  <c r="B3242" i="50"/>
  <c r="B3243" i="50"/>
  <c r="B3244" i="50"/>
  <c r="B3245" i="50"/>
  <c r="B3246" i="50"/>
  <c r="B3247" i="50"/>
  <c r="B3248" i="50"/>
  <c r="B3249" i="50"/>
  <c r="B3250" i="50"/>
  <c r="B3251" i="50"/>
  <c r="B3252" i="50"/>
  <c r="B3253" i="50"/>
  <c r="B3254" i="50"/>
  <c r="B3255" i="50"/>
  <c r="B3256" i="50"/>
  <c r="B3257" i="50"/>
  <c r="B3258" i="50"/>
  <c r="B3259" i="50"/>
  <c r="B3260" i="50"/>
  <c r="B3261" i="50"/>
  <c r="B3262" i="50"/>
  <c r="B3263" i="50"/>
  <c r="B3264" i="50"/>
  <c r="B3265" i="50"/>
  <c r="B3266" i="50"/>
  <c r="B3267" i="50"/>
  <c r="B3268" i="50"/>
  <c r="B3269" i="50"/>
  <c r="B3270" i="50"/>
  <c r="B3271" i="50"/>
  <c r="B3272" i="50"/>
  <c r="B3273" i="50"/>
  <c r="B3274" i="50"/>
  <c r="B3275" i="50"/>
  <c r="B3276" i="50"/>
  <c r="B3277" i="50"/>
  <c r="B3278" i="50"/>
  <c r="B3279" i="50"/>
  <c r="B3280" i="50"/>
  <c r="B3281" i="50"/>
  <c r="B3282" i="50"/>
  <c r="B3283" i="50"/>
  <c r="B3284" i="50"/>
  <c r="B3285" i="50"/>
  <c r="B3286" i="50"/>
  <c r="B3287" i="50"/>
  <c r="B3288" i="50"/>
  <c r="B3289" i="50"/>
  <c r="B3290" i="50"/>
  <c r="B3291" i="50"/>
  <c r="B3292" i="50"/>
  <c r="B3293" i="50"/>
  <c r="B3294" i="50"/>
  <c r="B3295" i="50"/>
  <c r="B3296" i="50"/>
  <c r="B3297" i="50"/>
  <c r="B3298" i="50"/>
  <c r="B3299" i="50"/>
  <c r="B3300" i="50"/>
  <c r="B3301" i="50"/>
  <c r="B3302" i="50"/>
  <c r="B3303" i="50"/>
  <c r="B3304" i="50"/>
  <c r="B3305" i="50"/>
  <c r="B3306" i="50"/>
  <c r="B3307" i="50"/>
  <c r="B3308" i="50"/>
  <c r="B3309" i="50"/>
  <c r="B3310" i="50"/>
  <c r="B3311" i="50"/>
  <c r="B3312" i="50"/>
  <c r="B3313" i="50"/>
  <c r="B3314" i="50"/>
  <c r="B3315" i="50"/>
  <c r="B3316" i="50"/>
  <c r="B3317" i="50"/>
  <c r="B3318" i="50"/>
  <c r="B3319" i="50"/>
  <c r="B3320" i="50"/>
  <c r="B3321" i="50"/>
  <c r="B3322" i="50"/>
  <c r="B3323" i="50"/>
  <c r="B3324" i="50"/>
  <c r="B3325" i="50"/>
  <c r="B3326" i="50"/>
  <c r="B3327" i="50"/>
  <c r="B3328" i="50"/>
  <c r="B3329" i="50"/>
  <c r="B3330" i="50"/>
  <c r="B3331" i="50"/>
  <c r="B3332" i="50"/>
  <c r="B3333" i="50"/>
  <c r="B3334" i="50"/>
  <c r="B3335" i="50"/>
  <c r="B3336" i="50"/>
  <c r="B3337" i="50"/>
  <c r="B3338" i="50"/>
  <c r="B3339" i="50"/>
  <c r="B3340" i="50"/>
  <c r="B3341" i="50"/>
  <c r="B3342" i="50"/>
  <c r="B3343" i="50"/>
  <c r="B3344" i="50"/>
  <c r="B3345" i="50"/>
  <c r="B3346" i="50"/>
  <c r="B3347" i="50"/>
  <c r="B3348" i="50"/>
  <c r="B3349" i="50"/>
  <c r="B3350" i="50"/>
  <c r="B3351" i="50"/>
  <c r="B3352" i="50"/>
  <c r="B3353" i="50"/>
  <c r="B3354" i="50"/>
  <c r="B3355" i="50"/>
  <c r="B3356" i="50"/>
  <c r="B3357" i="50"/>
  <c r="B3358" i="50"/>
  <c r="B3359" i="50"/>
  <c r="B3360" i="50"/>
  <c r="B3361" i="50"/>
  <c r="B3362" i="50"/>
  <c r="B3363" i="50"/>
  <c r="B3364" i="50"/>
  <c r="B3365" i="50"/>
  <c r="B3366" i="50"/>
  <c r="B3367" i="50"/>
  <c r="B3368" i="50"/>
  <c r="B3369" i="50"/>
  <c r="B3370" i="50"/>
  <c r="B3371" i="50"/>
  <c r="B3372" i="50"/>
  <c r="B3373" i="50"/>
  <c r="B3374" i="50"/>
  <c r="B3375" i="50"/>
  <c r="B3376" i="50"/>
  <c r="B3377" i="50"/>
  <c r="B3378" i="50"/>
  <c r="B3379" i="50"/>
  <c r="B3380" i="50"/>
  <c r="B3381" i="50"/>
  <c r="B3382" i="50"/>
  <c r="B3383" i="50"/>
  <c r="B3384" i="50"/>
  <c r="B3385" i="50"/>
  <c r="B3386" i="50"/>
  <c r="B3387" i="50"/>
  <c r="B3388" i="50"/>
  <c r="B3389" i="50"/>
  <c r="B3390" i="50"/>
  <c r="B3391" i="50"/>
  <c r="B3392" i="50"/>
  <c r="B3393" i="50"/>
  <c r="B3394" i="50"/>
  <c r="B3395" i="50"/>
  <c r="B3396" i="50"/>
  <c r="B3397" i="50"/>
  <c r="B3398" i="50"/>
  <c r="B3399" i="50"/>
  <c r="B3400" i="50"/>
  <c r="B3401" i="50"/>
  <c r="B3402" i="50"/>
  <c r="B3403" i="50"/>
  <c r="B3404" i="50"/>
  <c r="B3405" i="50"/>
  <c r="B3406" i="50"/>
  <c r="B3407" i="50"/>
  <c r="B3408" i="50"/>
  <c r="B3409" i="50"/>
  <c r="B3410" i="50"/>
  <c r="B3411" i="50"/>
  <c r="B3412" i="50"/>
  <c r="B3413" i="50"/>
  <c r="B3414" i="50"/>
  <c r="B3415" i="50"/>
  <c r="B3416" i="50"/>
  <c r="B3417" i="50"/>
  <c r="B3418" i="50"/>
  <c r="B3419" i="50"/>
  <c r="B3420" i="50"/>
  <c r="B3421" i="50"/>
  <c r="B3422" i="50"/>
  <c r="B3423" i="50"/>
  <c r="B3424" i="50"/>
  <c r="B3425" i="50"/>
  <c r="B3426" i="50"/>
  <c r="B3427" i="50"/>
  <c r="B3428" i="50"/>
  <c r="B3429" i="50"/>
  <c r="B3430" i="50"/>
  <c r="B3431" i="50"/>
  <c r="B3432" i="50"/>
  <c r="B3433" i="50"/>
  <c r="B3434" i="50"/>
  <c r="B3435" i="50"/>
  <c r="B3436" i="50"/>
  <c r="B3437" i="50"/>
  <c r="B3438" i="50"/>
  <c r="B3439" i="50"/>
  <c r="B3440" i="50"/>
  <c r="B3441" i="50"/>
  <c r="B3442" i="50"/>
  <c r="B3443" i="50"/>
  <c r="B3444" i="50"/>
  <c r="B3445" i="50"/>
  <c r="B3446" i="50"/>
  <c r="B3447" i="50"/>
  <c r="B3448" i="50"/>
  <c r="B3449" i="50"/>
  <c r="B3450" i="50"/>
  <c r="B3451" i="50"/>
  <c r="B3452" i="50"/>
  <c r="B3453" i="50"/>
  <c r="B3454" i="50"/>
  <c r="B3455" i="50"/>
  <c r="B3456" i="50"/>
  <c r="B3457" i="50"/>
  <c r="B3458" i="50"/>
  <c r="B3459" i="50"/>
  <c r="B3460" i="50"/>
  <c r="B3461" i="50"/>
  <c r="B3462" i="50"/>
  <c r="B3463" i="50"/>
  <c r="B3464" i="50"/>
  <c r="B3465" i="50"/>
  <c r="B3466" i="50"/>
  <c r="B3467" i="50"/>
  <c r="B3468" i="50"/>
  <c r="B3469" i="50"/>
  <c r="B3470" i="50"/>
  <c r="B3471" i="50"/>
  <c r="B3472" i="50"/>
  <c r="B3473" i="50"/>
  <c r="B3474" i="50"/>
  <c r="B3475" i="50"/>
  <c r="B3476" i="50"/>
  <c r="B3477" i="50"/>
  <c r="B3478" i="50"/>
  <c r="B3479" i="50"/>
  <c r="B3480" i="50"/>
  <c r="B3481" i="50"/>
  <c r="B3482" i="50"/>
  <c r="B3483" i="50"/>
  <c r="B3484" i="50"/>
  <c r="B3485" i="50"/>
  <c r="B3486" i="50"/>
  <c r="B3487" i="50"/>
  <c r="B3488" i="50"/>
  <c r="B3489" i="50"/>
  <c r="B3490" i="50"/>
  <c r="B3491" i="50"/>
  <c r="B3492" i="50"/>
  <c r="B3493" i="50"/>
  <c r="B3494" i="50"/>
  <c r="B3495" i="50"/>
  <c r="B3496" i="50"/>
  <c r="B3497" i="50"/>
  <c r="B3498" i="50"/>
  <c r="B3499" i="50"/>
  <c r="B3500" i="50"/>
  <c r="B3501" i="50"/>
  <c r="B3502" i="50"/>
  <c r="B3503" i="50"/>
  <c r="B3504" i="50"/>
  <c r="B3505" i="50"/>
  <c r="B3506" i="50"/>
  <c r="B3507" i="50"/>
  <c r="B3508" i="50"/>
  <c r="B3509" i="50"/>
  <c r="B3510" i="50"/>
  <c r="B3511" i="50"/>
  <c r="B3512" i="50"/>
  <c r="B3513" i="50"/>
  <c r="B3514" i="50"/>
  <c r="B3515" i="50"/>
  <c r="B3516" i="50"/>
  <c r="B3517" i="50"/>
  <c r="B3518" i="50"/>
  <c r="B3519" i="50"/>
  <c r="B3520" i="50"/>
  <c r="B3521" i="50"/>
  <c r="B3522" i="50"/>
  <c r="B3523" i="50"/>
  <c r="B3524" i="50"/>
  <c r="B3525" i="50"/>
  <c r="B3526" i="50"/>
  <c r="B3527" i="50"/>
  <c r="B3528" i="50"/>
  <c r="B3529" i="50"/>
  <c r="B3530" i="50"/>
  <c r="B3531" i="50"/>
  <c r="B3532" i="50"/>
  <c r="B3533" i="50"/>
  <c r="B3534" i="50"/>
  <c r="B3535" i="50"/>
  <c r="B3536" i="50"/>
  <c r="B3537" i="50"/>
  <c r="B3538" i="50"/>
  <c r="B3539" i="50"/>
  <c r="B3540" i="50"/>
  <c r="B3541" i="50"/>
  <c r="B3542" i="50"/>
  <c r="B3543" i="50"/>
  <c r="B3544" i="50"/>
  <c r="B3545" i="50"/>
  <c r="B3546" i="50"/>
  <c r="B3547" i="50"/>
  <c r="B3548" i="50"/>
  <c r="B3549" i="50"/>
  <c r="B3550" i="50"/>
  <c r="B3551" i="50"/>
  <c r="B3552" i="50"/>
  <c r="B3553" i="50"/>
  <c r="B3554" i="50"/>
  <c r="B3555" i="50"/>
  <c r="B3556" i="50"/>
  <c r="B3557" i="50"/>
  <c r="B3558" i="50"/>
  <c r="B3559" i="50"/>
  <c r="B3560" i="50"/>
  <c r="B3561" i="50"/>
  <c r="B3562" i="50"/>
  <c r="B3563" i="50"/>
  <c r="B3564" i="50"/>
  <c r="B3565" i="50"/>
  <c r="B3566" i="50"/>
  <c r="B3567" i="50"/>
  <c r="B3568" i="50"/>
  <c r="B3569" i="50"/>
  <c r="B3570" i="50"/>
  <c r="B3571" i="50"/>
  <c r="B3572" i="50"/>
  <c r="B3573" i="50"/>
  <c r="B3574" i="50"/>
  <c r="B3575" i="50"/>
  <c r="B3576" i="50"/>
  <c r="B3577" i="50"/>
  <c r="B3578" i="50"/>
  <c r="B3579" i="50"/>
  <c r="B3580" i="50"/>
  <c r="B3581" i="50"/>
  <c r="B3582" i="50"/>
  <c r="B3583" i="50"/>
  <c r="B3584" i="50"/>
  <c r="B3585" i="50"/>
  <c r="B3586" i="50"/>
  <c r="B3587" i="50"/>
  <c r="B3588" i="50"/>
  <c r="B3589" i="50"/>
  <c r="B3590" i="50"/>
  <c r="B3591" i="50"/>
  <c r="B3592" i="50"/>
  <c r="B3593" i="50"/>
  <c r="B3594" i="50"/>
  <c r="B3595" i="50"/>
  <c r="B3596" i="50"/>
  <c r="B3597" i="50"/>
  <c r="B3598" i="50"/>
  <c r="B3599" i="50"/>
  <c r="B3600" i="50"/>
  <c r="B3601" i="50"/>
  <c r="B3602" i="50"/>
  <c r="B3603" i="50"/>
  <c r="B3604" i="50"/>
  <c r="B3605" i="50"/>
  <c r="B3606" i="50"/>
  <c r="B3607" i="50"/>
  <c r="B3608" i="50"/>
  <c r="B3609" i="50"/>
  <c r="B3610" i="50"/>
  <c r="B3611" i="50"/>
  <c r="B3612" i="50"/>
  <c r="B3613" i="50"/>
  <c r="B3614" i="50"/>
  <c r="B3615" i="50"/>
  <c r="B3616" i="50"/>
  <c r="B3617" i="50"/>
  <c r="B3618" i="50"/>
  <c r="B3619" i="50"/>
  <c r="B3620" i="50"/>
  <c r="B3621" i="50"/>
  <c r="B3622" i="50"/>
  <c r="B3623" i="50"/>
  <c r="B3624" i="50"/>
  <c r="B3625" i="50"/>
  <c r="B3626" i="50"/>
  <c r="B3627" i="50"/>
  <c r="B3628" i="50"/>
  <c r="B3629" i="50"/>
  <c r="B3630" i="50"/>
  <c r="B3631" i="50"/>
  <c r="B3632" i="50"/>
  <c r="B3633" i="50"/>
  <c r="B3634" i="50"/>
  <c r="B3635" i="50"/>
  <c r="B3636" i="50"/>
  <c r="B3637" i="50"/>
  <c r="B3638" i="50"/>
  <c r="B3639" i="50"/>
  <c r="B3640" i="50"/>
  <c r="B3641" i="50"/>
  <c r="B3642" i="50"/>
  <c r="B3643" i="50"/>
  <c r="B3644" i="50"/>
  <c r="B3645" i="50"/>
  <c r="B3646" i="50"/>
  <c r="B3647" i="50"/>
  <c r="B3648" i="50"/>
  <c r="B3649" i="50"/>
  <c r="B3650" i="50"/>
  <c r="B3651" i="50"/>
  <c r="B3652" i="50"/>
  <c r="B3653" i="50"/>
  <c r="B3654" i="50"/>
  <c r="B3655" i="50"/>
  <c r="B3656" i="50"/>
  <c r="B3657" i="50"/>
  <c r="B3658" i="50"/>
  <c r="B3659" i="50"/>
  <c r="B3660" i="50"/>
  <c r="B3661" i="50"/>
  <c r="B3662" i="50"/>
  <c r="B3663" i="50"/>
  <c r="B3664" i="50"/>
  <c r="B3665" i="50"/>
  <c r="B3666" i="50"/>
  <c r="B3667" i="50"/>
  <c r="B3668" i="50"/>
  <c r="B3669" i="50"/>
  <c r="B3670" i="50"/>
  <c r="B3671" i="50"/>
  <c r="B3672" i="50"/>
  <c r="B3673" i="50"/>
  <c r="B3674" i="50"/>
  <c r="B3675" i="50"/>
  <c r="B3676" i="50"/>
  <c r="B3677" i="50"/>
  <c r="B3678" i="50"/>
  <c r="B3679" i="50"/>
  <c r="B3680" i="50"/>
  <c r="B3681" i="50"/>
  <c r="B3682" i="50"/>
  <c r="B3683" i="50"/>
  <c r="B3684" i="50"/>
  <c r="B3685" i="50"/>
  <c r="B3686" i="50"/>
  <c r="B3687" i="50"/>
  <c r="B3688" i="50"/>
  <c r="B3689" i="50"/>
  <c r="B3690" i="50"/>
  <c r="B3691" i="50"/>
  <c r="B3692" i="50"/>
  <c r="B3693" i="50"/>
  <c r="B3694" i="50"/>
  <c r="B3695" i="50"/>
  <c r="B3696" i="50"/>
  <c r="B3697" i="50"/>
  <c r="B3698" i="50"/>
  <c r="B3699" i="50"/>
  <c r="B3700" i="50"/>
  <c r="B3701" i="50"/>
  <c r="B3702" i="50"/>
  <c r="B3703" i="50"/>
  <c r="B3704" i="50"/>
  <c r="B3705" i="50"/>
  <c r="B3706" i="50"/>
  <c r="B3707" i="50"/>
  <c r="B3708" i="50"/>
  <c r="B3709" i="50"/>
  <c r="B3710" i="50"/>
  <c r="B3711" i="50"/>
  <c r="B3712" i="50"/>
  <c r="B3713" i="50"/>
  <c r="B3714" i="50"/>
  <c r="B3715" i="50"/>
  <c r="B3716" i="50"/>
  <c r="B3717" i="50"/>
  <c r="B3718" i="50"/>
  <c r="B3719" i="50"/>
  <c r="B3720" i="50"/>
  <c r="B3721" i="50"/>
  <c r="B3722" i="50"/>
  <c r="B3723" i="50"/>
  <c r="B3724" i="50"/>
  <c r="B3725" i="50"/>
  <c r="B3726" i="50"/>
  <c r="B3727" i="50"/>
  <c r="B3728" i="50"/>
  <c r="B3729" i="50"/>
  <c r="B3730" i="50"/>
  <c r="B3731" i="50"/>
  <c r="B3732" i="50"/>
  <c r="B3733" i="50"/>
  <c r="B3734" i="50"/>
  <c r="B3735" i="50"/>
  <c r="B3736" i="50"/>
  <c r="B3737" i="50"/>
  <c r="B3738" i="50"/>
  <c r="B3739" i="50"/>
  <c r="B3740" i="50"/>
  <c r="B3741" i="50"/>
  <c r="B3742" i="50"/>
  <c r="B3743" i="50"/>
  <c r="B3744" i="50"/>
  <c r="B3745" i="50"/>
  <c r="B3746" i="50"/>
  <c r="B3747" i="50"/>
  <c r="B3748" i="50"/>
  <c r="B3749" i="50"/>
  <c r="B3750" i="50"/>
  <c r="B3751" i="50"/>
  <c r="B3752" i="50"/>
  <c r="B3753" i="50"/>
  <c r="B3754" i="50"/>
  <c r="B3755" i="50"/>
  <c r="B3756" i="50"/>
  <c r="B3757" i="50"/>
  <c r="B3758" i="50"/>
  <c r="B3759" i="50"/>
  <c r="B3760" i="50"/>
  <c r="B3761" i="50"/>
  <c r="B3762" i="50"/>
  <c r="B3763" i="50"/>
  <c r="B3764" i="50"/>
  <c r="B3765" i="50"/>
  <c r="B3766" i="50"/>
  <c r="B3767" i="50"/>
  <c r="B3768" i="50"/>
  <c r="B3769" i="50"/>
  <c r="B3770" i="50"/>
  <c r="B3771" i="50"/>
  <c r="B3772" i="50"/>
  <c r="B3773" i="50"/>
  <c r="B3774" i="50"/>
  <c r="B3775" i="50"/>
  <c r="B3776" i="50"/>
  <c r="B3777" i="50"/>
  <c r="B3778" i="50"/>
  <c r="B3779" i="50"/>
  <c r="B3780" i="50"/>
  <c r="B3781" i="50"/>
  <c r="B3782" i="50"/>
  <c r="B3783" i="50"/>
  <c r="B3784" i="50"/>
  <c r="B3785" i="50"/>
  <c r="B3786" i="50"/>
  <c r="B3787" i="50"/>
  <c r="B3788" i="50"/>
  <c r="B3789" i="50"/>
  <c r="B3790" i="50"/>
  <c r="B3791" i="50"/>
  <c r="B3792" i="50"/>
  <c r="B3793" i="50"/>
  <c r="B3794" i="50"/>
  <c r="B3795" i="50"/>
  <c r="B3796" i="50"/>
  <c r="B3797" i="50"/>
  <c r="B3798" i="50"/>
  <c r="B3799" i="50"/>
  <c r="B3800" i="50"/>
  <c r="B3801" i="50"/>
  <c r="B3802" i="50"/>
  <c r="B3803" i="50"/>
  <c r="B3804" i="50"/>
  <c r="B3805" i="50"/>
  <c r="B3806" i="50"/>
  <c r="B3807" i="50"/>
  <c r="B3808" i="50"/>
  <c r="B3809" i="50"/>
  <c r="B3810" i="50"/>
  <c r="B3811" i="50"/>
  <c r="B3812" i="50"/>
  <c r="B3813" i="50"/>
  <c r="B3814" i="50"/>
  <c r="B3815" i="50"/>
  <c r="B3816" i="50"/>
  <c r="B3817" i="50"/>
  <c r="B3818" i="50"/>
  <c r="B3819" i="50"/>
  <c r="B3820" i="50"/>
  <c r="B3821" i="50"/>
  <c r="B3822" i="50"/>
  <c r="B3823" i="50"/>
  <c r="B3824" i="50"/>
  <c r="B3825" i="50"/>
  <c r="B3826" i="50"/>
  <c r="B3827" i="50"/>
  <c r="B3828" i="50"/>
  <c r="B3829" i="50"/>
  <c r="B3830" i="50"/>
  <c r="B3831" i="50"/>
  <c r="B3832" i="50"/>
  <c r="B3833" i="50"/>
  <c r="B3834" i="50"/>
  <c r="B3835" i="50"/>
  <c r="B3836" i="50"/>
  <c r="B3837" i="50"/>
  <c r="B3838" i="50"/>
  <c r="B3839" i="50"/>
  <c r="B3840" i="50"/>
  <c r="B3841" i="50"/>
  <c r="B3842" i="50"/>
  <c r="B3843" i="50"/>
  <c r="B3844" i="50"/>
  <c r="B3845" i="50"/>
  <c r="B3846" i="50"/>
  <c r="B3847" i="50"/>
  <c r="B3848" i="50"/>
  <c r="B3849" i="50"/>
  <c r="B3850" i="50"/>
  <c r="B3851" i="50"/>
  <c r="B3852" i="50"/>
  <c r="B3853" i="50"/>
  <c r="B3854" i="50"/>
  <c r="B3855" i="50"/>
  <c r="B3856" i="50"/>
  <c r="B3857" i="50"/>
  <c r="B3858" i="50"/>
  <c r="B3859" i="50"/>
  <c r="B3860" i="50"/>
  <c r="B3861" i="50"/>
  <c r="B3862" i="50"/>
  <c r="B3863" i="50"/>
  <c r="B3864" i="50"/>
  <c r="B3865" i="50"/>
  <c r="B3866" i="50"/>
  <c r="B3867" i="50"/>
  <c r="B3868" i="50"/>
  <c r="B3869" i="50"/>
  <c r="B3870" i="50"/>
  <c r="B3871" i="50"/>
  <c r="B3872" i="50"/>
  <c r="B3873" i="50"/>
  <c r="B3874" i="50"/>
  <c r="B3875" i="50"/>
  <c r="B3876" i="50"/>
  <c r="B3877" i="50"/>
  <c r="B3878" i="50"/>
  <c r="B3879" i="50"/>
  <c r="B3880" i="50"/>
  <c r="B3881" i="50"/>
  <c r="B3882" i="50"/>
  <c r="B3883" i="50"/>
  <c r="B3884" i="50"/>
  <c r="B3885" i="50"/>
  <c r="B3886" i="50"/>
  <c r="B3887" i="50"/>
  <c r="B3888" i="50"/>
  <c r="B3889" i="50"/>
  <c r="B3890" i="50"/>
  <c r="B3891" i="50"/>
  <c r="B3892" i="50"/>
  <c r="B3893" i="50"/>
  <c r="B3894" i="50"/>
  <c r="B3895" i="50"/>
  <c r="B3896" i="50"/>
  <c r="B3897" i="50"/>
  <c r="B3898" i="50"/>
  <c r="B3899" i="50"/>
  <c r="B3900" i="50"/>
  <c r="B3901" i="50"/>
  <c r="B3902" i="50"/>
  <c r="B3903" i="50"/>
  <c r="B3904" i="50"/>
  <c r="B3905" i="50"/>
  <c r="B3906" i="50"/>
  <c r="B3907" i="50"/>
  <c r="B3908" i="50"/>
  <c r="B3909" i="50"/>
  <c r="B3910" i="50"/>
  <c r="B3911" i="50"/>
  <c r="B3912" i="50"/>
  <c r="B3913" i="50"/>
  <c r="B3914" i="50"/>
  <c r="B3915" i="50"/>
  <c r="B3916" i="50"/>
  <c r="B3917" i="50"/>
  <c r="B3918" i="50"/>
  <c r="B3919" i="50"/>
  <c r="B3920" i="50"/>
  <c r="B3921" i="50"/>
  <c r="B3922" i="50"/>
  <c r="B3923" i="50"/>
  <c r="B3924" i="50"/>
  <c r="B3925" i="50"/>
  <c r="B3926" i="50"/>
  <c r="B3927" i="50"/>
  <c r="B3928" i="50"/>
  <c r="B3929" i="50"/>
  <c r="B3930" i="50"/>
  <c r="B3931" i="50"/>
  <c r="B3932" i="50"/>
  <c r="B3933" i="50"/>
  <c r="B3934" i="50"/>
  <c r="B3935" i="50"/>
  <c r="B3936" i="50"/>
  <c r="B3937" i="50"/>
  <c r="B3938" i="50"/>
  <c r="B3939" i="50"/>
  <c r="B3940" i="50"/>
  <c r="B3941" i="50"/>
  <c r="B3942" i="50"/>
  <c r="B3943" i="50"/>
  <c r="B3944" i="50"/>
  <c r="B3945" i="50"/>
  <c r="B3946" i="50"/>
  <c r="B3947" i="50"/>
  <c r="B3948" i="50"/>
  <c r="B3949" i="50"/>
  <c r="B3950" i="50"/>
  <c r="B3951" i="50"/>
  <c r="B3952" i="50"/>
  <c r="B3953" i="50"/>
  <c r="B3954" i="50"/>
  <c r="B3955" i="50"/>
  <c r="B3956" i="50"/>
  <c r="B3957" i="50"/>
  <c r="B3958" i="50"/>
  <c r="B3959" i="50"/>
  <c r="B3960" i="50"/>
  <c r="B3961" i="50"/>
  <c r="B3962" i="50"/>
  <c r="B3963" i="50"/>
  <c r="B3964" i="50"/>
  <c r="B3965" i="50"/>
  <c r="B3966" i="50"/>
  <c r="B3967" i="50"/>
  <c r="B3968" i="50"/>
  <c r="B3969" i="50"/>
  <c r="B3970" i="50"/>
  <c r="B3971" i="50"/>
  <c r="B3972" i="50"/>
  <c r="B3973" i="50"/>
  <c r="B3974" i="50"/>
  <c r="B3975" i="50"/>
  <c r="B3976" i="50"/>
  <c r="B3977" i="50"/>
  <c r="B3978" i="50"/>
  <c r="B3979" i="50"/>
  <c r="B3980" i="50"/>
  <c r="B3981" i="50"/>
  <c r="B3982" i="50"/>
  <c r="B3983" i="50"/>
  <c r="B3984" i="50"/>
  <c r="B3985" i="50"/>
  <c r="B3986" i="50"/>
  <c r="B3987" i="50"/>
  <c r="B3988" i="50"/>
  <c r="B3989" i="50"/>
  <c r="B3990" i="50"/>
  <c r="B3991" i="50"/>
  <c r="B3992" i="50"/>
  <c r="B3993" i="50"/>
  <c r="B3994" i="50"/>
  <c r="B3995" i="50"/>
  <c r="B3996" i="50"/>
  <c r="B3997" i="50"/>
  <c r="B3998" i="50"/>
  <c r="B3999" i="50"/>
  <c r="B4000" i="50"/>
  <c r="B4001" i="50"/>
  <c r="B4002" i="50"/>
  <c r="B4003" i="50"/>
  <c r="B4004" i="50"/>
  <c r="B4005" i="50"/>
  <c r="B4006" i="50"/>
  <c r="B4007" i="50"/>
  <c r="B4008" i="50"/>
  <c r="B4009" i="50"/>
  <c r="B4010" i="50"/>
  <c r="B4011" i="50"/>
  <c r="B4012" i="50"/>
  <c r="B4013" i="50"/>
  <c r="B4014" i="50"/>
  <c r="B4015" i="50"/>
  <c r="B4016" i="50"/>
  <c r="B4017" i="50"/>
  <c r="B4018" i="50"/>
  <c r="B4019" i="50"/>
  <c r="B4020" i="50"/>
  <c r="B4021" i="50"/>
  <c r="B4022" i="50"/>
  <c r="B4023" i="50"/>
  <c r="B4024" i="50"/>
  <c r="B4025" i="50"/>
  <c r="B4026" i="50"/>
  <c r="B4027" i="50"/>
  <c r="B4028" i="50"/>
  <c r="B4029" i="50"/>
  <c r="B4030" i="50"/>
  <c r="B4031" i="50"/>
  <c r="B4032" i="50"/>
  <c r="B4033" i="50"/>
  <c r="B4034" i="50"/>
  <c r="B4035" i="50"/>
  <c r="B4036" i="50"/>
  <c r="B4037" i="50"/>
  <c r="B4038" i="50"/>
  <c r="B4039" i="50"/>
  <c r="B4040" i="50"/>
  <c r="B4041" i="50"/>
  <c r="B4042" i="50"/>
  <c r="B4043" i="50"/>
  <c r="B4044" i="50"/>
  <c r="B4045" i="50"/>
  <c r="B4046" i="50"/>
  <c r="B4047" i="50"/>
  <c r="B4048" i="50"/>
  <c r="B4049" i="50"/>
  <c r="B4050" i="50"/>
  <c r="B4051" i="50"/>
  <c r="B4052" i="50"/>
  <c r="B4053" i="50"/>
  <c r="B4054" i="50"/>
  <c r="B4055" i="50"/>
  <c r="B4056" i="50"/>
  <c r="B4057" i="50"/>
  <c r="B4058" i="50"/>
  <c r="B4059" i="50"/>
  <c r="B4060" i="50"/>
  <c r="B4061" i="50"/>
  <c r="B4062" i="50"/>
  <c r="B4063" i="50"/>
  <c r="B4064" i="50"/>
  <c r="B4065" i="50"/>
  <c r="B4066" i="50"/>
  <c r="B4067" i="50"/>
  <c r="B4068" i="50"/>
  <c r="B4069" i="50"/>
  <c r="B4070" i="50"/>
  <c r="B4071" i="50"/>
  <c r="B4072" i="50"/>
  <c r="B4073" i="50"/>
  <c r="B4074" i="50"/>
  <c r="B4075" i="50"/>
  <c r="B4076" i="50"/>
  <c r="B4077" i="50"/>
  <c r="B4078" i="50"/>
  <c r="B4079" i="50"/>
  <c r="B4080" i="50"/>
  <c r="B4081" i="50"/>
  <c r="B4082" i="50"/>
  <c r="B4083" i="50"/>
  <c r="B4084" i="50"/>
  <c r="B4085" i="50"/>
  <c r="B4086" i="50"/>
  <c r="B4087" i="50"/>
  <c r="B4088" i="50"/>
  <c r="B4089" i="50"/>
  <c r="B4090" i="50"/>
  <c r="B4091" i="50"/>
  <c r="B4092" i="50"/>
  <c r="B4093" i="50"/>
  <c r="B4094" i="50"/>
  <c r="B4095" i="50"/>
  <c r="B4096" i="50"/>
  <c r="B4097" i="50"/>
  <c r="B4098" i="50"/>
  <c r="B4099" i="50"/>
  <c r="B4100" i="50"/>
  <c r="B4101" i="50"/>
  <c r="B4102" i="50"/>
  <c r="B4103" i="50"/>
  <c r="B4104" i="50"/>
  <c r="B4105" i="50"/>
  <c r="B4106" i="50"/>
  <c r="B4107" i="50"/>
  <c r="B4108" i="50"/>
  <c r="B4109" i="50"/>
  <c r="B4110" i="50"/>
  <c r="B4111" i="50"/>
  <c r="B4112" i="50"/>
  <c r="B4113" i="50"/>
  <c r="B4114" i="50"/>
  <c r="B4115" i="50"/>
  <c r="B4116" i="50"/>
  <c r="B4117" i="50"/>
  <c r="B4118" i="50"/>
  <c r="B4119" i="50"/>
  <c r="B4120" i="50"/>
  <c r="B4121" i="50"/>
  <c r="B4122" i="50"/>
  <c r="B4123" i="50"/>
  <c r="B4124" i="50"/>
  <c r="B4125" i="50"/>
  <c r="B4126" i="50"/>
  <c r="B4127" i="50"/>
  <c r="B4128" i="50"/>
  <c r="B4129" i="50"/>
  <c r="B4130" i="50"/>
  <c r="B4131" i="50"/>
  <c r="B4132" i="50"/>
  <c r="B4133" i="50"/>
  <c r="B4134" i="50"/>
  <c r="B4135" i="50"/>
  <c r="B4136" i="50"/>
  <c r="B4137" i="50"/>
  <c r="B4138" i="50"/>
  <c r="B4139" i="50"/>
  <c r="B4140" i="50"/>
  <c r="B4141" i="50"/>
  <c r="B4142" i="50"/>
  <c r="B4143" i="50"/>
  <c r="B4144" i="50"/>
  <c r="B4145" i="50"/>
  <c r="B4146" i="50"/>
  <c r="B4147" i="50"/>
  <c r="B4148" i="50"/>
  <c r="B4149" i="50"/>
  <c r="B4150" i="50"/>
  <c r="B4151" i="50"/>
  <c r="B4152" i="50"/>
  <c r="B4153" i="50"/>
  <c r="B4154" i="50"/>
  <c r="B4155" i="50"/>
  <c r="B4156" i="50"/>
  <c r="B4157" i="50"/>
  <c r="B4158" i="50"/>
  <c r="B4159" i="50"/>
  <c r="B4160" i="50"/>
  <c r="B4161" i="50"/>
  <c r="B4162" i="50"/>
  <c r="B4163" i="50"/>
  <c r="B4164" i="50"/>
  <c r="B4165" i="50"/>
  <c r="B4166" i="50"/>
  <c r="B4167" i="50"/>
  <c r="B4168" i="50"/>
  <c r="B4169" i="50"/>
  <c r="B4170" i="50"/>
  <c r="B4171" i="50"/>
  <c r="B4172" i="50"/>
  <c r="B4173" i="50"/>
  <c r="B4174" i="50"/>
  <c r="B4175" i="50"/>
  <c r="B4176" i="50"/>
  <c r="B4177" i="50"/>
  <c r="B4178" i="50"/>
  <c r="B4179" i="50"/>
  <c r="B4180" i="50"/>
  <c r="B4181" i="50"/>
  <c r="B4182" i="50"/>
  <c r="B4183" i="50"/>
  <c r="B4184" i="50"/>
  <c r="B4185" i="50"/>
  <c r="B4186" i="50"/>
  <c r="B4187" i="50"/>
  <c r="B4188" i="50"/>
  <c r="B4189" i="50"/>
  <c r="B4190" i="50"/>
  <c r="B4191" i="50"/>
  <c r="B4192" i="50"/>
  <c r="B4193" i="50"/>
  <c r="B4194" i="50"/>
  <c r="B4195" i="50"/>
  <c r="B4196" i="50"/>
  <c r="B4197" i="50"/>
  <c r="B4198" i="50"/>
  <c r="B4199" i="50"/>
  <c r="B4200" i="50"/>
  <c r="B4201" i="50"/>
  <c r="B4202" i="50"/>
  <c r="B4203" i="50"/>
  <c r="B4204" i="50"/>
  <c r="B4205" i="50"/>
  <c r="B4206" i="50"/>
  <c r="B4207" i="50"/>
  <c r="B4208" i="50"/>
  <c r="B4209" i="50"/>
  <c r="B4210" i="50"/>
  <c r="B4211" i="50"/>
  <c r="B4212" i="50"/>
  <c r="B4213" i="50"/>
  <c r="B4214" i="50"/>
  <c r="B4215" i="50"/>
  <c r="B4216" i="50"/>
  <c r="B4217" i="50"/>
  <c r="B4218" i="50"/>
  <c r="B4219" i="50"/>
  <c r="B4220" i="50"/>
  <c r="B4221" i="50"/>
  <c r="B4222" i="50"/>
  <c r="B4223" i="50"/>
  <c r="B4224" i="50"/>
  <c r="B4225" i="50"/>
  <c r="B4226" i="50"/>
  <c r="B4227" i="50"/>
  <c r="B4228" i="50"/>
  <c r="B4229" i="50"/>
  <c r="B4230" i="50"/>
  <c r="B4231" i="50"/>
  <c r="B4232" i="50"/>
  <c r="B4233" i="50"/>
  <c r="B4234" i="50"/>
  <c r="B4235" i="50"/>
  <c r="B4236" i="50"/>
  <c r="B4237" i="50"/>
  <c r="B4238" i="50"/>
  <c r="B4239" i="50"/>
  <c r="B4240" i="50"/>
  <c r="B4241" i="50"/>
  <c r="B4242" i="50"/>
  <c r="B4243" i="50"/>
  <c r="B4244" i="50"/>
  <c r="B4245" i="50"/>
  <c r="B4246" i="50"/>
  <c r="B4247" i="50"/>
  <c r="B4248" i="50"/>
  <c r="B4249" i="50"/>
  <c r="B4250" i="50"/>
  <c r="B4251" i="50"/>
  <c r="B4252" i="50"/>
  <c r="B4253" i="50"/>
  <c r="B4254" i="50"/>
  <c r="B4255" i="50"/>
  <c r="B4256" i="50"/>
  <c r="B4257" i="50"/>
  <c r="B4258" i="50"/>
  <c r="B4259" i="50"/>
  <c r="B4260" i="50"/>
  <c r="B4261" i="50"/>
  <c r="B4262" i="50"/>
  <c r="B4263" i="50"/>
  <c r="B4264" i="50"/>
  <c r="B4265" i="50"/>
  <c r="B4266" i="50"/>
  <c r="B4267" i="50"/>
  <c r="B4268" i="50"/>
  <c r="B4269" i="50"/>
  <c r="B4270" i="50"/>
  <c r="B4271" i="50"/>
  <c r="B4272" i="50"/>
  <c r="B4273" i="50"/>
  <c r="B4274" i="50"/>
  <c r="B4275" i="50"/>
  <c r="B4276" i="50"/>
  <c r="B4277" i="50"/>
  <c r="B4278" i="50"/>
  <c r="B4279" i="50"/>
  <c r="B4280" i="50"/>
  <c r="B4281" i="50"/>
  <c r="B4282" i="50"/>
  <c r="B4283" i="50"/>
  <c r="B4284" i="50"/>
  <c r="B4285" i="50"/>
  <c r="B4286" i="50"/>
  <c r="B4287" i="50"/>
  <c r="B4288" i="50"/>
  <c r="B4289" i="50"/>
  <c r="B4290" i="50"/>
  <c r="B4291" i="50"/>
  <c r="B4292" i="50"/>
  <c r="B4293" i="50"/>
  <c r="B4294" i="50"/>
  <c r="B4295" i="50"/>
  <c r="B4296" i="50"/>
  <c r="B4297" i="50"/>
  <c r="B4298" i="50"/>
  <c r="B4299" i="50"/>
  <c r="B4300" i="50"/>
  <c r="B4301" i="50"/>
  <c r="B4302" i="50"/>
  <c r="B4303" i="50"/>
  <c r="B4304" i="50"/>
  <c r="B4305" i="50"/>
  <c r="B4306" i="50"/>
  <c r="B4307" i="50"/>
  <c r="B4308" i="50"/>
  <c r="B4309" i="50"/>
  <c r="B4310" i="50"/>
  <c r="B4311" i="50"/>
  <c r="B4312" i="50"/>
  <c r="B4313" i="50"/>
  <c r="B4314" i="50"/>
  <c r="B4315" i="50"/>
  <c r="B4316" i="50"/>
  <c r="B4317" i="50"/>
  <c r="B4318" i="50"/>
  <c r="B4319" i="50"/>
  <c r="B4320" i="50"/>
  <c r="B4321" i="50"/>
  <c r="B4322" i="50"/>
  <c r="B4323" i="50"/>
  <c r="B4324" i="50"/>
  <c r="B4325" i="50"/>
  <c r="B4326" i="50"/>
  <c r="B4327" i="50"/>
  <c r="B4328" i="50"/>
  <c r="B4329" i="50"/>
  <c r="B4330" i="50"/>
  <c r="B4331" i="50"/>
  <c r="B4332" i="50"/>
  <c r="B4333" i="50"/>
  <c r="B4334" i="50"/>
  <c r="B4335" i="50"/>
  <c r="B4336" i="50"/>
  <c r="B4337" i="50"/>
  <c r="B4338" i="50"/>
  <c r="B4339" i="50"/>
  <c r="B4340" i="50"/>
  <c r="B4341" i="50"/>
  <c r="B4342" i="50"/>
  <c r="B4343" i="50"/>
  <c r="B4344" i="50"/>
  <c r="B4345" i="50"/>
  <c r="B4346" i="50"/>
  <c r="B4347" i="50"/>
  <c r="B4348" i="50"/>
  <c r="B4349" i="50"/>
  <c r="B4350" i="50"/>
  <c r="B4351" i="50"/>
  <c r="B4352" i="50"/>
  <c r="B4353" i="50"/>
  <c r="B4354" i="50"/>
  <c r="B4355" i="50"/>
  <c r="B4356" i="50"/>
  <c r="B4357" i="50"/>
  <c r="B4358" i="50"/>
  <c r="B4359" i="50"/>
  <c r="B4360" i="50"/>
  <c r="B4361" i="50"/>
  <c r="B4362" i="50"/>
  <c r="B4363" i="50"/>
  <c r="B4364" i="50"/>
  <c r="B4365" i="50"/>
  <c r="B4366" i="50"/>
  <c r="B4367" i="50"/>
  <c r="B4368" i="50"/>
  <c r="B4369" i="50"/>
  <c r="B4370" i="50"/>
  <c r="B4371" i="50"/>
  <c r="B4372" i="50"/>
  <c r="B4373" i="50"/>
  <c r="B4374" i="50"/>
  <c r="B4375" i="50"/>
  <c r="B4376" i="50"/>
  <c r="B4377" i="50"/>
  <c r="B4378" i="50"/>
  <c r="B4379" i="50"/>
  <c r="B4380" i="50"/>
  <c r="B4381" i="50"/>
  <c r="B4382" i="50"/>
  <c r="B4383" i="50"/>
  <c r="B4384" i="50"/>
  <c r="B4385" i="50"/>
  <c r="B4386" i="50"/>
  <c r="B4387" i="50"/>
  <c r="B4388" i="50"/>
  <c r="B4389" i="50"/>
  <c r="B4390" i="50"/>
  <c r="B4391" i="50"/>
  <c r="B4392" i="50"/>
  <c r="B4393" i="50"/>
  <c r="B4394" i="50"/>
  <c r="B4395" i="50"/>
  <c r="B4396" i="50"/>
  <c r="B4397" i="50"/>
  <c r="B4398" i="50"/>
  <c r="B4399" i="50"/>
  <c r="B4400" i="50"/>
  <c r="B4401" i="50"/>
  <c r="B4402" i="50"/>
  <c r="B4403" i="50"/>
  <c r="B4404" i="50"/>
  <c r="B4405" i="50"/>
  <c r="B4406" i="50"/>
  <c r="B4407" i="50"/>
  <c r="B4408" i="50"/>
  <c r="B4409" i="50"/>
  <c r="B4410" i="50"/>
  <c r="B4411" i="50"/>
  <c r="B4412" i="50"/>
  <c r="B4413" i="50"/>
  <c r="B4414" i="50"/>
  <c r="B4415" i="50"/>
  <c r="B4416" i="50"/>
  <c r="B4417" i="50"/>
  <c r="B4418" i="50"/>
  <c r="B4419" i="50"/>
  <c r="B4420" i="50"/>
  <c r="B4421" i="50"/>
  <c r="B4422" i="50"/>
  <c r="B4423" i="50"/>
  <c r="B4424" i="50"/>
  <c r="B4425" i="50"/>
  <c r="B4426" i="50"/>
  <c r="B4427" i="50"/>
  <c r="B4428" i="50"/>
  <c r="B4429" i="50"/>
  <c r="B4430" i="50"/>
  <c r="B4431" i="50"/>
  <c r="B4432" i="50"/>
  <c r="B4433" i="50"/>
  <c r="B4434" i="50"/>
  <c r="B4435" i="50"/>
  <c r="B4436" i="50"/>
  <c r="B4437" i="50"/>
  <c r="B4438" i="50"/>
  <c r="B4439" i="50"/>
  <c r="B4440" i="50"/>
  <c r="B4441" i="50"/>
  <c r="B4442" i="50"/>
  <c r="B4443" i="50"/>
  <c r="B4444" i="50"/>
  <c r="B4445" i="50"/>
  <c r="B4446" i="50"/>
  <c r="B4447" i="50"/>
  <c r="B4448" i="50"/>
  <c r="B4449" i="50"/>
  <c r="B4450" i="50"/>
  <c r="B4451" i="50"/>
  <c r="B4452" i="50"/>
  <c r="B4453" i="50"/>
  <c r="B4454" i="50"/>
  <c r="B4455" i="50"/>
  <c r="B4456" i="50"/>
  <c r="B4457" i="50"/>
  <c r="B4458" i="50"/>
  <c r="B4459" i="50"/>
  <c r="B4460" i="50"/>
  <c r="B4461" i="50"/>
  <c r="B4462" i="50"/>
  <c r="B4463" i="50"/>
  <c r="B4464" i="50"/>
  <c r="B4465" i="50"/>
  <c r="B4466" i="50"/>
  <c r="B4467" i="50"/>
  <c r="B4468" i="50"/>
  <c r="B4469" i="50"/>
  <c r="B4470" i="50"/>
  <c r="B4471" i="50"/>
  <c r="B4472" i="50"/>
  <c r="B4473" i="50"/>
  <c r="B4474" i="50"/>
  <c r="B4475" i="50"/>
  <c r="B4476" i="50"/>
  <c r="B4477" i="50"/>
  <c r="B4478" i="50"/>
  <c r="B4479" i="50"/>
  <c r="B4480" i="50"/>
  <c r="B4481" i="50"/>
  <c r="B4482" i="50"/>
  <c r="B4483" i="50"/>
  <c r="B4484" i="50"/>
  <c r="B4485" i="50"/>
  <c r="B4486" i="50"/>
  <c r="B4487" i="50"/>
  <c r="B4488" i="50"/>
  <c r="B4489" i="50"/>
  <c r="B4490" i="50"/>
  <c r="B4491" i="50"/>
  <c r="B4492" i="50"/>
  <c r="B4493" i="50"/>
  <c r="B4494" i="50"/>
  <c r="B4495" i="50"/>
  <c r="B4496" i="50"/>
  <c r="B4497" i="50"/>
  <c r="B4498" i="50"/>
  <c r="B4499" i="50"/>
  <c r="B4500" i="50"/>
  <c r="B4501" i="50"/>
  <c r="B4502" i="50"/>
  <c r="B4503" i="50"/>
  <c r="B4504" i="50"/>
  <c r="B4505" i="50"/>
  <c r="B4506" i="50"/>
  <c r="B4507" i="50"/>
  <c r="B4508" i="50"/>
  <c r="B4509" i="50"/>
  <c r="B4510" i="50"/>
  <c r="B4511" i="50"/>
  <c r="B4512" i="50"/>
  <c r="B4513" i="50"/>
  <c r="B4514" i="50"/>
  <c r="B4515" i="50"/>
  <c r="B4516" i="50"/>
  <c r="B4517" i="50"/>
  <c r="B4518" i="50"/>
  <c r="B4519" i="50"/>
  <c r="B4520" i="50"/>
  <c r="B4521" i="50"/>
  <c r="B4522" i="50"/>
  <c r="B4523" i="50"/>
  <c r="B4524" i="50"/>
  <c r="B4525" i="50"/>
  <c r="B4526" i="50"/>
  <c r="B4527" i="50"/>
  <c r="B4528" i="50"/>
  <c r="B4529" i="50"/>
  <c r="B4530" i="50"/>
  <c r="B4531" i="50"/>
  <c r="B4532" i="50"/>
  <c r="B4533" i="50"/>
  <c r="B4534" i="50"/>
  <c r="B4535" i="50"/>
  <c r="B4536" i="50"/>
  <c r="B4537" i="50"/>
  <c r="B4538" i="50"/>
  <c r="B4539" i="50"/>
  <c r="B4540" i="50"/>
  <c r="B4541" i="50"/>
  <c r="B4542" i="50"/>
  <c r="B4543" i="50"/>
  <c r="B4544" i="50"/>
  <c r="B4545" i="50"/>
  <c r="B4546" i="50"/>
  <c r="B4547" i="50"/>
  <c r="B4548" i="50"/>
  <c r="B4549" i="50"/>
  <c r="B4550" i="50"/>
  <c r="B4551" i="50"/>
  <c r="B4552" i="50"/>
  <c r="B4553" i="50"/>
  <c r="B4554" i="50"/>
  <c r="B4555" i="50"/>
  <c r="B4556" i="50"/>
  <c r="B4557" i="50"/>
  <c r="B4558" i="50"/>
  <c r="B4559" i="50"/>
  <c r="B4560" i="50"/>
  <c r="B4561" i="50"/>
  <c r="B4562" i="50"/>
  <c r="B4563" i="50"/>
  <c r="B4564" i="50"/>
  <c r="B4565" i="50"/>
  <c r="B4566" i="50"/>
  <c r="B4567" i="50"/>
  <c r="B4568" i="50"/>
  <c r="B4569" i="50"/>
  <c r="B4570" i="50"/>
  <c r="B4571" i="50"/>
  <c r="B4572" i="50"/>
  <c r="B4573" i="50"/>
  <c r="B4574" i="50"/>
  <c r="B4575" i="50"/>
  <c r="B4576" i="50"/>
  <c r="B4577" i="50"/>
  <c r="B4578" i="50"/>
  <c r="B4579" i="50"/>
  <c r="B4580" i="50"/>
  <c r="B4581" i="50"/>
  <c r="B4582" i="50"/>
  <c r="B4583" i="50"/>
  <c r="B4584" i="50"/>
  <c r="B4585" i="50"/>
  <c r="B4586" i="50"/>
  <c r="B4587" i="50"/>
  <c r="B4588" i="50"/>
  <c r="B4589" i="50"/>
  <c r="B4590" i="50"/>
  <c r="B4591" i="50"/>
  <c r="B4592" i="50"/>
  <c r="B4593" i="50"/>
  <c r="B4594" i="50"/>
  <c r="B4595" i="50"/>
  <c r="B4596" i="50"/>
  <c r="B4597" i="50"/>
  <c r="B4598" i="50"/>
  <c r="B4599" i="50"/>
  <c r="B4600" i="50"/>
  <c r="B4601" i="50"/>
  <c r="B4602" i="50"/>
  <c r="B4603" i="50"/>
  <c r="B4604" i="50"/>
  <c r="B4605" i="50"/>
  <c r="B4606" i="50"/>
  <c r="B4607" i="50"/>
  <c r="B4608" i="50"/>
  <c r="B4609" i="50"/>
  <c r="B4610" i="50"/>
  <c r="B4611" i="50"/>
  <c r="B4612" i="50"/>
  <c r="B4613" i="50"/>
  <c r="B4614" i="50"/>
  <c r="B4615" i="50"/>
  <c r="B4616" i="50"/>
  <c r="B4617" i="50"/>
  <c r="B4618" i="50"/>
  <c r="B4619" i="50"/>
  <c r="B4620" i="50"/>
  <c r="B4621" i="50"/>
  <c r="B4622" i="50"/>
  <c r="B4623" i="50"/>
  <c r="B4624" i="50"/>
  <c r="B4625" i="50"/>
  <c r="B4626" i="50"/>
  <c r="B4627" i="50"/>
  <c r="B4628" i="50"/>
  <c r="B4629" i="50"/>
  <c r="B4630" i="50"/>
  <c r="B4631" i="50"/>
  <c r="B4632" i="50"/>
  <c r="B4633" i="50"/>
  <c r="B4634" i="50"/>
  <c r="B4635" i="50"/>
  <c r="B4636" i="50"/>
  <c r="B4637" i="50"/>
  <c r="B4638" i="50"/>
  <c r="B4639" i="50"/>
  <c r="B4640" i="50"/>
  <c r="B4641" i="50"/>
  <c r="B4642" i="50"/>
  <c r="B4643" i="50"/>
  <c r="B4644" i="50"/>
  <c r="B4645" i="50"/>
  <c r="B4646" i="50"/>
  <c r="B4647" i="50"/>
  <c r="B4648" i="50"/>
  <c r="B4649" i="50"/>
  <c r="B4650" i="50"/>
  <c r="B4651" i="50"/>
  <c r="B4652" i="50"/>
  <c r="B4653" i="50"/>
  <c r="B4654" i="50"/>
  <c r="B4655" i="50"/>
  <c r="B4656" i="50"/>
  <c r="B4657" i="50"/>
  <c r="B4658" i="50"/>
  <c r="B4659" i="50"/>
  <c r="B4660" i="50"/>
  <c r="B4661" i="50"/>
  <c r="B4662" i="50"/>
  <c r="B4663" i="50"/>
  <c r="B4664" i="50"/>
  <c r="B4665" i="50"/>
  <c r="B4666" i="50"/>
  <c r="B4667" i="50"/>
  <c r="B4668" i="50"/>
  <c r="B4669" i="50"/>
  <c r="B4670" i="50"/>
  <c r="B4671" i="50"/>
  <c r="B4672" i="50"/>
  <c r="B4673" i="50"/>
  <c r="B4674" i="50"/>
  <c r="B4675" i="50"/>
  <c r="B4676" i="50"/>
  <c r="B4677" i="50"/>
  <c r="B4678" i="50"/>
  <c r="B4679" i="50"/>
  <c r="B4680" i="50"/>
  <c r="B4681" i="50"/>
  <c r="B4682" i="50"/>
  <c r="B4683" i="50"/>
  <c r="B4684" i="50"/>
  <c r="B4685" i="50"/>
  <c r="B4686" i="50"/>
  <c r="B4687" i="50"/>
  <c r="B4688" i="50"/>
  <c r="B4689" i="50"/>
  <c r="B4690" i="50"/>
  <c r="B4691" i="50"/>
  <c r="B4692" i="50"/>
  <c r="B4693" i="50"/>
  <c r="B4694" i="50"/>
  <c r="B4695" i="50"/>
  <c r="B4696" i="50"/>
  <c r="B4697" i="50"/>
  <c r="B4698" i="50"/>
  <c r="B4699" i="50"/>
  <c r="B4700" i="50"/>
  <c r="B4701" i="50"/>
  <c r="B4702" i="50"/>
  <c r="B4703" i="50"/>
  <c r="B4704" i="50"/>
  <c r="B4705" i="50"/>
  <c r="B4706" i="50"/>
  <c r="B4707" i="50"/>
  <c r="B4708" i="50"/>
  <c r="B4709" i="50"/>
  <c r="B4710" i="50"/>
  <c r="B4711" i="50"/>
  <c r="B4712" i="50"/>
  <c r="B4713" i="50"/>
  <c r="B4714" i="50"/>
  <c r="B4715" i="50"/>
  <c r="B4716" i="50"/>
  <c r="B4717" i="50"/>
  <c r="B4718" i="50"/>
  <c r="B4719" i="50"/>
  <c r="B4720" i="50"/>
  <c r="B4721" i="50"/>
  <c r="B4722" i="50"/>
  <c r="B4723" i="50"/>
  <c r="B4724" i="50"/>
  <c r="B4725" i="50"/>
  <c r="B4726" i="50"/>
  <c r="B4727" i="50"/>
  <c r="B4728" i="50"/>
  <c r="B4729" i="50"/>
  <c r="B4730" i="50"/>
  <c r="B4731" i="50"/>
  <c r="B4732" i="50"/>
  <c r="B4733" i="50"/>
  <c r="B4734" i="50"/>
  <c r="B4735" i="50"/>
  <c r="B4736" i="50"/>
  <c r="B4737" i="50"/>
  <c r="B4738" i="50"/>
  <c r="B4739" i="50"/>
  <c r="B4740" i="50"/>
  <c r="B4741" i="50"/>
  <c r="B4742" i="50"/>
  <c r="B4743" i="50"/>
  <c r="B4744" i="50"/>
  <c r="B4745" i="50"/>
  <c r="B4746" i="50"/>
  <c r="B4747" i="50"/>
  <c r="B4748" i="50"/>
  <c r="B4749" i="50"/>
  <c r="B4750" i="50"/>
  <c r="B4751" i="50"/>
  <c r="B4752" i="50"/>
  <c r="B4753" i="50"/>
  <c r="B4754" i="50"/>
  <c r="B4755" i="50"/>
  <c r="B4756" i="50"/>
  <c r="B4757" i="50"/>
  <c r="B4758" i="50"/>
  <c r="B4759" i="50"/>
  <c r="B4760" i="50"/>
  <c r="B4761" i="50"/>
  <c r="B4762" i="50"/>
  <c r="B4763" i="50"/>
  <c r="B4764" i="50"/>
  <c r="B4765" i="50"/>
  <c r="B4766" i="50"/>
  <c r="B4767" i="50"/>
  <c r="B4768" i="50"/>
  <c r="B4769" i="50"/>
  <c r="B4770" i="50"/>
  <c r="B4771" i="50"/>
  <c r="B4772" i="50"/>
  <c r="B4773" i="50"/>
  <c r="B4774" i="50"/>
  <c r="B4775" i="50"/>
  <c r="B4776" i="50"/>
  <c r="B4777" i="50"/>
  <c r="B4778" i="50"/>
  <c r="B4779" i="50"/>
  <c r="B4780" i="50"/>
  <c r="B4781" i="50"/>
  <c r="B4782" i="50"/>
  <c r="B4783" i="50"/>
  <c r="B4784" i="50"/>
  <c r="B4785" i="50"/>
  <c r="B4786" i="50"/>
  <c r="B4787" i="50"/>
  <c r="B4788" i="50"/>
  <c r="B4789" i="50"/>
  <c r="B4790" i="50"/>
  <c r="B4791" i="50"/>
  <c r="B4792" i="50"/>
  <c r="B4793" i="50"/>
  <c r="B4794" i="50"/>
  <c r="B4795" i="50"/>
  <c r="B4796" i="50"/>
  <c r="B4797" i="50"/>
  <c r="B4798" i="50"/>
  <c r="B4799" i="50"/>
  <c r="B4800" i="50"/>
  <c r="B4801" i="50"/>
  <c r="B4802" i="50"/>
  <c r="B4803" i="50"/>
  <c r="B4804" i="50"/>
  <c r="B4805" i="50"/>
  <c r="B4806" i="50"/>
  <c r="B4807" i="50"/>
  <c r="B4808" i="50"/>
  <c r="B4809" i="50"/>
  <c r="B4810" i="50"/>
  <c r="B4811" i="50"/>
  <c r="B4812" i="50"/>
  <c r="B4813" i="50"/>
  <c r="B4814" i="50"/>
  <c r="B4815" i="50"/>
  <c r="B4816" i="50"/>
  <c r="B4817" i="50"/>
  <c r="B4818" i="50"/>
  <c r="B4819" i="50"/>
  <c r="B4820" i="50"/>
  <c r="B4821" i="50"/>
  <c r="B4822" i="50"/>
  <c r="B4823" i="50"/>
  <c r="B4824" i="50"/>
  <c r="B4825" i="50"/>
  <c r="B4826" i="50"/>
  <c r="B4827" i="50"/>
  <c r="B4828" i="50"/>
  <c r="B4829" i="50"/>
  <c r="B4830" i="50"/>
  <c r="B4831" i="50"/>
  <c r="B4832" i="50"/>
  <c r="B4833" i="50"/>
  <c r="B4834" i="50"/>
  <c r="B4835" i="50"/>
  <c r="B4836" i="50"/>
  <c r="B4837" i="50"/>
  <c r="B4838" i="50"/>
  <c r="B4839" i="50"/>
  <c r="B4840" i="50"/>
  <c r="B4841" i="50"/>
  <c r="B4842" i="50"/>
  <c r="B4843" i="50"/>
  <c r="B4844" i="50"/>
  <c r="B4845" i="50"/>
  <c r="B4846" i="50"/>
  <c r="B4847" i="50"/>
  <c r="B4848" i="50"/>
  <c r="B4849" i="50"/>
  <c r="B4850" i="50"/>
  <c r="B4851" i="50"/>
  <c r="B4852" i="50"/>
  <c r="B4853" i="50"/>
  <c r="B4854" i="50"/>
  <c r="B4855" i="50"/>
  <c r="B4856" i="50"/>
  <c r="B4857" i="50"/>
  <c r="B4858" i="50"/>
  <c r="B4859" i="50"/>
  <c r="B4860" i="50"/>
  <c r="B4861" i="50"/>
  <c r="B4862" i="50"/>
  <c r="B4863" i="50"/>
  <c r="B4864" i="50"/>
  <c r="B4865" i="50"/>
  <c r="B4866" i="50"/>
  <c r="B4867" i="50"/>
  <c r="B4868" i="50"/>
  <c r="B4869" i="50"/>
  <c r="B4870" i="50"/>
  <c r="B4871" i="50"/>
  <c r="B4872" i="50"/>
  <c r="B4873" i="50"/>
  <c r="B4874" i="50"/>
  <c r="B4875" i="50"/>
  <c r="B4876" i="50"/>
  <c r="B4877" i="50"/>
  <c r="B4878" i="50"/>
  <c r="B4879" i="50"/>
  <c r="B4880" i="50"/>
  <c r="B4881" i="50"/>
  <c r="B4882" i="50"/>
  <c r="B4883" i="50"/>
  <c r="B4884" i="50"/>
  <c r="B4885" i="50"/>
  <c r="B4886" i="50"/>
  <c r="B4887" i="50"/>
  <c r="B4888" i="50"/>
  <c r="B4889" i="50"/>
  <c r="B4890" i="50"/>
  <c r="B4891" i="50"/>
  <c r="B4892" i="50"/>
  <c r="B4893" i="50"/>
  <c r="B4894" i="50"/>
  <c r="B4895" i="50"/>
  <c r="B4896" i="50"/>
  <c r="B4897" i="50"/>
  <c r="B4898" i="50"/>
  <c r="B4899" i="50"/>
  <c r="B4900" i="50"/>
  <c r="B4901" i="50"/>
  <c r="B4902" i="50"/>
  <c r="B4903" i="50"/>
  <c r="B4904" i="50"/>
  <c r="B4905" i="50"/>
  <c r="B4906" i="50"/>
  <c r="B4907" i="50"/>
  <c r="B4908" i="50"/>
  <c r="B4909" i="50"/>
  <c r="B4910" i="50"/>
  <c r="B4911" i="50"/>
  <c r="B4912" i="50"/>
  <c r="B4913" i="50"/>
  <c r="B4914" i="50"/>
  <c r="B4915" i="50"/>
  <c r="B4916" i="50"/>
  <c r="B4917" i="50"/>
  <c r="B4918" i="50"/>
  <c r="B4919" i="50"/>
  <c r="B4920" i="50"/>
  <c r="B4921" i="50"/>
  <c r="B4922" i="50"/>
  <c r="B4923" i="50"/>
  <c r="B4924" i="50"/>
  <c r="B4925" i="50"/>
  <c r="B4926" i="50"/>
  <c r="B4927" i="50"/>
  <c r="B4928" i="50"/>
  <c r="B4929" i="50"/>
  <c r="B4930" i="50"/>
  <c r="B4931" i="50"/>
  <c r="B4932" i="50"/>
  <c r="B4933" i="50"/>
  <c r="B4934" i="50"/>
  <c r="B4935" i="50"/>
  <c r="B4936" i="50"/>
  <c r="B4937" i="50"/>
  <c r="B4938" i="50"/>
  <c r="B4939" i="50"/>
  <c r="B4940" i="50"/>
  <c r="B4941" i="50"/>
  <c r="B4942" i="50"/>
  <c r="B4943" i="50"/>
  <c r="B4944" i="50"/>
  <c r="B4945" i="50"/>
  <c r="B4946" i="50"/>
  <c r="B4947" i="50"/>
  <c r="B4948" i="50"/>
  <c r="B4949" i="50"/>
  <c r="B4950" i="50"/>
  <c r="B4951" i="50"/>
  <c r="B4952" i="50"/>
  <c r="B4953" i="50"/>
  <c r="B4954" i="50"/>
  <c r="B4955" i="50"/>
  <c r="B4956" i="50"/>
  <c r="B4957" i="50"/>
  <c r="B4958" i="50"/>
  <c r="B4959" i="50"/>
  <c r="B4960" i="50"/>
  <c r="B4961" i="50"/>
  <c r="B4962" i="50"/>
  <c r="B4963" i="50"/>
  <c r="B4964" i="50"/>
  <c r="B4965" i="50"/>
  <c r="B4966" i="50"/>
  <c r="B4967" i="50"/>
  <c r="B4968" i="50"/>
  <c r="B4969" i="50"/>
  <c r="B4970" i="50"/>
  <c r="B4971" i="50"/>
  <c r="B4972" i="50"/>
  <c r="B4973" i="50"/>
  <c r="B4974" i="50"/>
  <c r="B4975" i="50"/>
  <c r="B4976" i="50"/>
  <c r="B4977" i="50"/>
  <c r="B4978" i="50"/>
  <c r="B4979" i="50"/>
  <c r="B4980" i="50"/>
  <c r="B4981" i="50"/>
  <c r="B4982" i="50"/>
  <c r="B4983" i="50"/>
  <c r="B4984" i="50"/>
  <c r="B4985" i="50"/>
  <c r="B4986" i="50"/>
  <c r="B4987" i="50"/>
  <c r="B4988" i="50"/>
  <c r="B4989" i="50"/>
  <c r="B4990" i="50"/>
  <c r="B4991" i="50"/>
  <c r="B4992" i="50"/>
  <c r="B4993" i="50"/>
  <c r="B4994" i="50"/>
  <c r="B4995" i="50"/>
  <c r="B4996" i="50"/>
  <c r="B4997" i="50"/>
  <c r="B4998" i="50"/>
  <c r="B4999" i="50"/>
  <c r="B5000" i="50"/>
  <c r="B5001" i="50"/>
  <c r="B5002" i="50"/>
  <c r="B5003" i="50"/>
  <c r="B5004" i="50"/>
  <c r="B5005" i="50"/>
  <c r="B5006" i="50"/>
  <c r="B5007" i="50"/>
  <c r="B5008" i="50"/>
  <c r="B5009" i="50"/>
  <c r="B5010" i="50"/>
  <c r="B5011" i="50"/>
  <c r="B5012" i="50"/>
  <c r="B5013" i="50"/>
  <c r="B5014" i="50"/>
  <c r="B5015" i="50"/>
  <c r="B5016" i="50"/>
  <c r="B5017" i="50"/>
  <c r="B5018" i="50"/>
  <c r="B5019" i="50"/>
  <c r="B5020" i="50"/>
  <c r="B5021" i="50"/>
  <c r="B5022" i="50"/>
  <c r="B5023" i="50"/>
  <c r="B5024" i="50"/>
  <c r="B5025" i="50"/>
  <c r="B5026" i="50"/>
  <c r="B5027" i="50"/>
  <c r="B5028" i="50"/>
  <c r="B5029" i="50"/>
  <c r="B5030" i="50"/>
  <c r="B5031" i="50"/>
  <c r="B5032" i="50"/>
  <c r="B5033" i="50"/>
  <c r="B5034" i="50"/>
  <c r="B5035" i="50"/>
  <c r="B5036" i="50"/>
  <c r="B5037" i="50"/>
  <c r="B5038" i="50"/>
  <c r="B5039" i="50"/>
  <c r="B5040" i="50"/>
  <c r="B5041" i="50"/>
  <c r="B5042" i="50"/>
  <c r="B5043" i="50"/>
  <c r="B5044" i="50"/>
  <c r="B5045" i="50"/>
  <c r="B5046" i="50"/>
  <c r="B5047" i="50"/>
  <c r="B5048" i="50"/>
  <c r="B5049" i="50"/>
  <c r="B5050" i="50"/>
  <c r="B5051" i="50"/>
  <c r="B5052" i="50"/>
  <c r="B5053" i="50"/>
  <c r="B5054" i="50"/>
  <c r="B5055" i="50"/>
  <c r="B5056" i="50"/>
  <c r="B5057" i="50"/>
  <c r="B5058" i="50"/>
  <c r="B5059" i="50"/>
  <c r="B5060" i="50"/>
  <c r="B5061" i="50"/>
  <c r="B5062" i="50"/>
  <c r="B5063" i="50"/>
  <c r="B5064" i="50"/>
  <c r="B5065" i="50"/>
  <c r="B5066" i="50"/>
  <c r="B5067" i="50"/>
  <c r="B5068" i="50"/>
  <c r="B5069" i="50"/>
  <c r="B5070" i="50"/>
  <c r="B5071" i="50"/>
  <c r="B5072" i="50"/>
  <c r="B5073" i="50"/>
  <c r="B5074" i="50"/>
  <c r="B5075" i="50"/>
  <c r="B5076" i="50"/>
  <c r="B5077" i="50"/>
  <c r="B5078" i="50"/>
  <c r="B5079" i="50"/>
  <c r="B5080" i="50"/>
  <c r="B5081" i="50"/>
  <c r="B5082" i="50"/>
  <c r="B5083" i="50"/>
  <c r="B5084" i="50"/>
  <c r="B5085" i="50"/>
  <c r="B5086" i="50"/>
  <c r="B5087" i="50"/>
  <c r="B5088" i="50"/>
  <c r="B5089" i="50"/>
  <c r="B5090" i="50"/>
  <c r="B5091" i="50"/>
  <c r="B5092" i="50"/>
  <c r="B5093" i="50"/>
  <c r="B5094" i="50"/>
  <c r="B5095" i="50"/>
  <c r="B5096" i="50"/>
  <c r="B5097" i="50"/>
  <c r="B5098" i="50"/>
  <c r="B5099" i="50"/>
  <c r="B5100" i="50"/>
  <c r="B5101" i="50"/>
  <c r="B5102" i="50"/>
  <c r="B5103" i="50"/>
  <c r="B5104" i="50"/>
  <c r="B5105" i="50"/>
  <c r="B5106" i="50"/>
  <c r="B5107" i="50"/>
  <c r="B5108" i="50"/>
  <c r="B5109" i="50"/>
  <c r="B5110" i="50"/>
  <c r="B5111" i="50"/>
  <c r="B5112" i="50"/>
  <c r="B5113" i="50"/>
  <c r="B5114" i="50"/>
  <c r="B5115" i="50"/>
  <c r="B5116" i="50"/>
  <c r="B5117" i="50"/>
  <c r="B5118" i="50"/>
  <c r="B5119" i="50"/>
  <c r="B5120" i="50"/>
  <c r="B5121" i="50"/>
  <c r="B5122" i="50"/>
  <c r="B5123" i="50"/>
  <c r="B5124" i="50"/>
  <c r="B5125" i="50"/>
  <c r="B5126" i="50"/>
  <c r="B5127" i="50"/>
  <c r="B5128" i="50"/>
  <c r="B5129" i="50"/>
  <c r="B5130" i="50"/>
  <c r="B5131" i="50"/>
  <c r="B5132" i="50"/>
  <c r="B5133" i="50"/>
  <c r="B5134" i="50"/>
  <c r="B5135" i="50"/>
  <c r="B5136" i="50"/>
  <c r="B5137" i="50"/>
  <c r="B5138" i="50"/>
  <c r="B5139" i="50"/>
  <c r="B5140" i="50"/>
  <c r="B5141" i="50"/>
  <c r="B5142" i="50"/>
  <c r="B5143" i="50"/>
  <c r="B5144" i="50"/>
  <c r="B5145" i="50"/>
  <c r="B5146" i="50"/>
  <c r="B5147" i="50"/>
  <c r="B5148" i="50"/>
  <c r="B5149" i="50"/>
  <c r="B5150" i="50"/>
  <c r="B5151" i="50"/>
  <c r="B5152" i="50"/>
  <c r="B5153" i="50"/>
  <c r="B5154" i="50"/>
  <c r="B5155" i="50"/>
  <c r="B5156" i="50"/>
  <c r="B5157" i="50"/>
  <c r="B5158" i="50"/>
  <c r="B5159" i="50"/>
  <c r="B5160" i="50"/>
  <c r="B5161" i="50"/>
  <c r="B5162" i="50"/>
  <c r="B5163" i="50"/>
  <c r="B5164" i="50"/>
  <c r="B5165" i="50"/>
  <c r="B5166" i="50"/>
  <c r="B5167" i="50"/>
  <c r="B5168" i="50"/>
  <c r="B5169" i="50"/>
  <c r="B5170" i="50"/>
  <c r="B5171" i="50"/>
  <c r="B5172" i="50"/>
  <c r="B5173" i="50"/>
  <c r="B5174" i="50"/>
  <c r="B5175" i="50"/>
  <c r="B5176" i="50"/>
  <c r="B5177" i="50"/>
  <c r="B5178" i="50"/>
  <c r="B5179" i="50"/>
  <c r="B5180" i="50"/>
  <c r="B5181" i="50"/>
  <c r="B5182" i="50"/>
  <c r="B5183" i="50"/>
  <c r="B5184" i="50"/>
  <c r="B5185" i="50"/>
  <c r="B5186" i="50"/>
  <c r="B5187" i="50"/>
  <c r="B5188" i="50"/>
  <c r="B5189" i="50"/>
  <c r="B5190" i="50"/>
  <c r="B5191" i="50"/>
  <c r="B5192" i="50"/>
  <c r="B5193" i="50"/>
  <c r="B5194" i="50"/>
  <c r="B5195" i="50"/>
  <c r="B5196" i="50"/>
  <c r="B5197" i="50"/>
  <c r="B5198" i="50"/>
  <c r="B5199" i="50"/>
  <c r="B5200" i="50"/>
  <c r="B5201" i="50"/>
  <c r="B5202" i="50"/>
  <c r="B5203" i="50"/>
  <c r="B5204" i="50"/>
  <c r="B5205" i="50"/>
  <c r="B5206" i="50"/>
  <c r="B5207" i="50"/>
  <c r="B5208" i="50"/>
  <c r="B5209" i="50"/>
  <c r="B5210" i="50"/>
  <c r="B5211" i="50"/>
  <c r="B5212" i="50"/>
  <c r="B5213" i="50"/>
  <c r="B5214" i="50"/>
  <c r="B5215" i="50"/>
  <c r="B5216" i="50"/>
  <c r="B5217" i="50"/>
  <c r="B5218" i="50"/>
  <c r="B5219" i="50"/>
  <c r="B5220" i="50"/>
  <c r="B5221" i="50"/>
  <c r="B5222" i="50"/>
  <c r="B5223" i="50"/>
  <c r="B5224" i="50"/>
  <c r="B5225" i="50"/>
  <c r="B5226" i="50"/>
  <c r="B5227" i="50"/>
  <c r="B5228" i="50"/>
  <c r="B5229" i="50"/>
  <c r="B5230" i="50"/>
  <c r="B5231" i="50"/>
  <c r="B5232" i="50"/>
  <c r="B5233" i="50"/>
  <c r="B5234" i="50"/>
  <c r="B5235" i="50"/>
  <c r="B5236" i="50"/>
  <c r="B5237" i="50"/>
  <c r="B5238" i="50"/>
  <c r="B5239" i="50"/>
  <c r="B5240" i="50"/>
  <c r="B5241" i="50"/>
  <c r="B5242" i="50"/>
  <c r="B5243" i="50"/>
  <c r="B5244" i="50"/>
  <c r="B5245" i="50"/>
  <c r="B5246" i="50"/>
  <c r="B5247" i="50"/>
  <c r="B5248" i="50"/>
  <c r="B5249" i="50"/>
  <c r="B5250" i="50"/>
  <c r="B5251" i="50"/>
  <c r="B5252" i="50"/>
  <c r="B5253" i="50"/>
  <c r="B5254" i="50"/>
  <c r="B5255" i="50"/>
  <c r="B5256" i="50"/>
  <c r="B5257" i="50"/>
  <c r="B5258" i="50"/>
  <c r="B5259" i="50"/>
  <c r="B5260" i="50"/>
  <c r="B5261" i="50"/>
  <c r="B5262" i="50"/>
  <c r="B5263" i="50"/>
  <c r="B5264" i="50"/>
  <c r="B5265" i="50"/>
  <c r="B5266" i="50"/>
  <c r="B5267" i="50"/>
  <c r="B5268" i="50"/>
  <c r="B5269" i="50"/>
  <c r="B5270" i="50"/>
  <c r="B5271" i="50"/>
  <c r="B5272" i="50"/>
  <c r="B5273" i="50"/>
  <c r="B5274" i="50"/>
  <c r="B5275" i="50"/>
  <c r="B5276" i="50"/>
  <c r="B5277" i="50"/>
  <c r="B5278" i="50"/>
  <c r="B5279" i="50"/>
  <c r="B5280" i="50"/>
  <c r="B5281" i="50"/>
  <c r="B5282" i="50"/>
  <c r="B5283" i="50"/>
  <c r="B5284" i="50"/>
  <c r="B5285" i="50"/>
  <c r="B5286" i="50"/>
  <c r="B5287" i="50"/>
  <c r="B5288" i="50"/>
  <c r="B5289" i="50"/>
  <c r="B5290" i="50"/>
  <c r="B5291" i="50"/>
  <c r="B5292" i="50"/>
  <c r="B5293" i="50"/>
  <c r="B5294" i="50"/>
  <c r="B5295" i="50"/>
  <c r="B5296" i="50"/>
  <c r="B5297" i="50"/>
  <c r="B5298" i="50"/>
  <c r="B5299" i="50"/>
  <c r="B5300" i="50"/>
  <c r="B5301" i="50"/>
  <c r="B5302" i="50"/>
  <c r="B5303" i="50"/>
  <c r="B5304" i="50"/>
  <c r="B5305" i="50"/>
  <c r="B5306" i="50"/>
  <c r="B5307" i="50"/>
  <c r="B5308" i="50"/>
  <c r="B5309" i="50"/>
  <c r="B5310" i="50"/>
  <c r="B5311" i="50"/>
  <c r="B5312" i="50"/>
  <c r="B5313" i="50"/>
  <c r="B5314" i="50"/>
  <c r="B5315" i="50"/>
  <c r="B5316" i="50"/>
  <c r="B5317" i="50"/>
  <c r="B5318" i="50"/>
  <c r="B5319" i="50"/>
  <c r="B5320" i="50"/>
  <c r="B5321" i="50"/>
  <c r="B5322" i="50"/>
  <c r="B5323" i="50"/>
  <c r="B5324" i="50"/>
  <c r="B5325" i="50"/>
  <c r="B5326" i="50"/>
  <c r="B5327" i="50"/>
  <c r="B5328" i="50"/>
  <c r="B5329" i="50"/>
  <c r="B5330" i="50"/>
  <c r="B5331" i="50"/>
  <c r="B5332" i="50"/>
  <c r="B5333" i="50"/>
  <c r="B5334" i="50"/>
  <c r="B5335" i="50"/>
  <c r="B5336" i="50"/>
  <c r="B5337" i="50"/>
  <c r="B5338" i="50"/>
  <c r="B5339" i="50"/>
  <c r="B5340" i="50"/>
  <c r="B5341" i="50"/>
  <c r="B5342" i="50"/>
  <c r="B5343" i="50"/>
  <c r="B5344" i="50"/>
  <c r="B5345" i="50"/>
  <c r="B5346" i="50"/>
  <c r="B5347" i="50"/>
  <c r="B5348" i="50"/>
  <c r="B5349" i="50"/>
  <c r="B5350" i="50"/>
  <c r="B5351" i="50"/>
  <c r="B5352" i="50"/>
  <c r="B5353" i="50"/>
  <c r="B5354" i="50"/>
  <c r="B5355" i="50"/>
  <c r="B5356" i="50"/>
  <c r="B5357" i="50"/>
  <c r="B5358" i="50"/>
  <c r="B5359" i="50"/>
  <c r="B5360" i="50"/>
  <c r="B5361" i="50"/>
  <c r="B5362" i="50"/>
  <c r="B5363" i="50"/>
  <c r="B5364" i="50"/>
  <c r="B5365" i="50"/>
  <c r="B5366" i="50"/>
  <c r="B5367" i="50"/>
  <c r="B5368" i="50"/>
  <c r="B5369" i="50"/>
  <c r="B5370" i="50"/>
  <c r="B5371" i="50"/>
  <c r="B5372" i="50"/>
  <c r="B5373" i="50"/>
  <c r="B5374" i="50"/>
  <c r="B5375" i="50"/>
  <c r="B5376" i="50"/>
  <c r="B5377" i="50"/>
  <c r="B5378" i="50"/>
  <c r="B5379" i="50"/>
  <c r="B5380" i="50"/>
  <c r="B5381" i="50"/>
  <c r="B5382" i="50"/>
  <c r="B5383" i="50"/>
  <c r="B5384" i="50"/>
  <c r="B5385" i="50"/>
  <c r="B5386" i="50"/>
  <c r="B5387" i="50"/>
  <c r="B5388" i="50"/>
  <c r="B5389" i="50"/>
  <c r="B5390" i="50"/>
  <c r="B5391" i="50"/>
  <c r="B5392" i="50"/>
  <c r="B5393" i="50"/>
  <c r="B5394" i="50"/>
  <c r="B5395" i="50"/>
  <c r="B5396" i="50"/>
  <c r="B5397" i="50"/>
  <c r="B5398" i="50"/>
  <c r="B5399" i="50"/>
  <c r="B5400" i="50"/>
  <c r="B5401" i="50"/>
  <c r="B5402" i="50"/>
  <c r="B5403" i="50"/>
  <c r="B5404" i="50"/>
  <c r="B5405" i="50"/>
  <c r="B5406" i="50"/>
  <c r="B5407" i="50"/>
  <c r="B5408" i="50"/>
  <c r="B5409" i="50"/>
  <c r="B5410" i="50"/>
  <c r="B5411" i="50"/>
  <c r="B5412" i="50"/>
  <c r="B5413" i="50"/>
  <c r="B5414" i="50"/>
  <c r="B5415" i="50"/>
  <c r="B5416" i="50"/>
  <c r="B5417" i="50"/>
  <c r="B5418" i="50"/>
  <c r="B5419" i="50"/>
  <c r="B5420" i="50"/>
  <c r="B5421" i="50"/>
  <c r="B5422" i="50"/>
  <c r="B5423" i="50"/>
  <c r="B5424" i="50"/>
  <c r="B5425" i="50"/>
  <c r="B5426" i="50"/>
  <c r="B5427" i="50"/>
  <c r="B5428" i="50"/>
  <c r="B5429" i="50"/>
  <c r="B5430" i="50"/>
  <c r="B5431" i="50"/>
  <c r="B5432" i="50"/>
  <c r="B5433" i="50"/>
  <c r="B5434" i="50"/>
  <c r="B5435" i="50"/>
  <c r="B5436" i="50"/>
  <c r="B5437" i="50"/>
  <c r="B5438" i="50"/>
  <c r="B5439" i="50"/>
  <c r="B5440" i="50"/>
  <c r="B5441" i="50"/>
  <c r="B5442" i="50"/>
  <c r="B5443" i="50"/>
  <c r="B5444" i="50"/>
  <c r="B5445" i="50"/>
  <c r="B5446" i="50"/>
  <c r="B5447" i="50"/>
  <c r="B5448" i="50"/>
  <c r="B5449" i="50"/>
  <c r="B5450" i="50"/>
  <c r="B5451" i="50"/>
  <c r="B5452" i="50"/>
  <c r="B5453" i="50"/>
  <c r="B5454" i="50"/>
  <c r="B5455" i="50"/>
  <c r="B5456" i="50"/>
  <c r="B5457" i="50"/>
  <c r="B5458" i="50"/>
  <c r="B5459" i="50"/>
  <c r="B5460" i="50"/>
  <c r="B5461" i="50"/>
  <c r="B5462" i="50"/>
  <c r="B5463" i="50"/>
  <c r="B5464" i="50"/>
  <c r="B5465" i="50"/>
  <c r="B5466" i="50"/>
  <c r="B5467" i="50"/>
  <c r="B5468" i="50"/>
  <c r="B5469" i="50"/>
  <c r="B5470" i="50"/>
  <c r="B5471" i="50"/>
  <c r="B5472" i="50"/>
  <c r="B5473" i="50"/>
  <c r="B5474" i="50"/>
  <c r="B5475" i="50"/>
  <c r="B5476" i="50"/>
  <c r="B5477" i="50"/>
  <c r="B5478" i="50"/>
  <c r="B5479" i="50"/>
  <c r="B5480" i="50"/>
  <c r="B5481" i="50"/>
  <c r="B5482" i="50"/>
  <c r="B5483" i="50"/>
  <c r="B5484" i="50"/>
  <c r="B5485" i="50"/>
  <c r="B5486" i="50"/>
  <c r="B5487" i="50"/>
  <c r="B5488" i="50"/>
  <c r="B5489" i="50"/>
  <c r="B5490" i="50"/>
  <c r="B5491" i="50"/>
  <c r="B5492" i="50"/>
  <c r="B5493" i="50"/>
  <c r="B5494" i="50"/>
  <c r="B5495" i="50"/>
  <c r="B5496" i="50"/>
  <c r="B5497" i="50"/>
  <c r="B5498" i="50"/>
  <c r="B5499" i="50"/>
  <c r="B5500" i="50"/>
  <c r="B5501" i="50"/>
  <c r="B5502" i="50"/>
  <c r="B5503" i="50"/>
  <c r="B5504" i="50"/>
  <c r="B5505" i="50"/>
  <c r="B5506" i="50"/>
  <c r="B5507" i="50"/>
  <c r="B5508" i="50"/>
  <c r="B5509" i="50"/>
  <c r="B5510" i="50"/>
  <c r="B5511" i="50"/>
  <c r="B5512" i="50"/>
  <c r="B5513" i="50"/>
  <c r="B5514" i="50"/>
  <c r="B5515" i="50"/>
  <c r="B5516" i="50"/>
  <c r="B5517" i="50"/>
  <c r="B5518" i="50"/>
  <c r="B5519" i="50"/>
  <c r="B5520" i="50"/>
  <c r="B5521" i="50"/>
  <c r="B5522" i="50"/>
  <c r="B5523" i="50"/>
  <c r="B5524" i="50"/>
  <c r="B5525" i="50"/>
  <c r="B5526" i="50"/>
  <c r="B5527" i="50"/>
  <c r="B5528" i="50"/>
  <c r="B5529" i="50"/>
  <c r="B5530" i="50"/>
  <c r="B5531" i="50"/>
  <c r="B5532" i="50"/>
  <c r="B5533" i="50"/>
  <c r="B5534" i="50"/>
  <c r="B5535" i="50"/>
  <c r="B5536" i="50"/>
  <c r="B5537" i="50"/>
  <c r="B5538" i="50"/>
  <c r="B5539" i="50"/>
  <c r="B5540" i="50"/>
  <c r="B5541" i="50"/>
  <c r="B5542" i="50"/>
  <c r="B5543" i="50"/>
  <c r="B5544" i="50"/>
  <c r="B5545" i="50"/>
  <c r="B5546" i="50"/>
  <c r="B5547" i="50"/>
  <c r="B5548" i="50"/>
  <c r="B5549" i="50"/>
  <c r="B5550" i="50"/>
  <c r="B5551" i="50"/>
  <c r="B5552" i="50"/>
  <c r="B5553" i="50"/>
  <c r="B5554" i="50"/>
  <c r="B5555" i="50"/>
  <c r="B5556" i="50"/>
  <c r="B5557" i="50"/>
  <c r="B5558" i="50"/>
  <c r="B5559" i="50"/>
  <c r="B5560" i="50"/>
  <c r="B5561" i="50"/>
  <c r="B5562" i="50"/>
  <c r="B5563" i="50"/>
  <c r="B5564" i="50"/>
  <c r="B5565" i="50"/>
  <c r="B5566" i="50"/>
  <c r="B5567" i="50"/>
  <c r="B5568" i="50"/>
  <c r="B5569" i="50"/>
  <c r="B5570" i="50"/>
  <c r="B5571" i="50"/>
  <c r="B5572" i="50"/>
  <c r="B5573" i="50"/>
  <c r="B5574" i="50"/>
  <c r="B5575" i="50"/>
  <c r="B5576" i="50"/>
  <c r="B5577" i="50"/>
  <c r="B5578" i="50"/>
  <c r="B5579" i="50"/>
  <c r="B5580" i="50"/>
  <c r="B5581" i="50"/>
  <c r="B5582" i="50"/>
  <c r="B5583" i="50"/>
  <c r="B5584" i="50"/>
  <c r="B5585" i="50"/>
  <c r="B5586" i="50"/>
  <c r="B5587" i="50"/>
  <c r="B5588" i="50"/>
  <c r="B5589" i="50"/>
  <c r="B5590" i="50"/>
  <c r="B5591" i="50"/>
  <c r="B5592" i="50"/>
  <c r="B5593" i="50"/>
  <c r="B5594" i="50"/>
  <c r="B5595" i="50"/>
  <c r="B5596" i="50"/>
  <c r="B5597" i="50"/>
  <c r="B5598" i="50"/>
  <c r="B5599" i="50"/>
  <c r="B5600" i="50"/>
  <c r="B5601" i="50"/>
  <c r="B5602" i="50"/>
  <c r="B5603" i="50"/>
  <c r="B5604" i="50"/>
  <c r="B5605" i="50"/>
  <c r="B5606" i="50"/>
  <c r="B5607" i="50"/>
  <c r="B5608" i="50"/>
  <c r="B5609" i="50"/>
  <c r="B5610" i="50"/>
  <c r="B5611" i="50"/>
  <c r="B5612" i="50"/>
  <c r="B5613" i="50"/>
  <c r="B5614" i="50"/>
  <c r="B5615" i="50"/>
  <c r="B5616" i="50"/>
  <c r="B5617" i="50"/>
  <c r="B5618" i="50"/>
  <c r="B5619" i="50"/>
  <c r="B5620" i="50"/>
  <c r="B5621" i="50"/>
  <c r="B5622" i="50"/>
  <c r="B5623" i="50"/>
  <c r="B5624" i="50"/>
  <c r="B5625" i="50"/>
  <c r="B5626" i="50"/>
  <c r="B5627" i="50"/>
  <c r="B5628" i="50"/>
  <c r="B5629" i="50"/>
  <c r="B5630" i="50"/>
  <c r="B5631" i="50"/>
  <c r="B5632" i="50"/>
  <c r="B5633" i="50"/>
  <c r="B5634" i="50"/>
  <c r="B5635" i="50"/>
  <c r="B5636" i="50"/>
  <c r="B5637" i="50"/>
  <c r="B5638" i="50"/>
  <c r="B5639" i="50"/>
  <c r="B5640" i="50"/>
  <c r="B5641" i="50"/>
  <c r="B5642" i="50"/>
  <c r="B5643" i="50"/>
  <c r="B5644" i="50"/>
  <c r="B5645" i="50"/>
  <c r="B5646" i="50"/>
  <c r="B5647" i="50"/>
  <c r="B5648" i="50"/>
  <c r="B5649" i="50"/>
  <c r="B5650" i="50"/>
  <c r="B5651" i="50"/>
  <c r="B5652" i="50"/>
  <c r="B5653" i="50"/>
  <c r="B5654" i="50"/>
  <c r="B5655" i="50"/>
  <c r="B5656" i="50"/>
  <c r="B5657" i="50"/>
  <c r="B5658" i="50"/>
  <c r="B5659" i="50"/>
  <c r="B5660" i="50"/>
  <c r="B5661" i="50"/>
  <c r="B5662" i="50"/>
  <c r="B5663" i="50"/>
  <c r="B5664" i="50"/>
  <c r="B5665" i="50"/>
  <c r="B5666" i="50"/>
  <c r="B5667" i="50"/>
  <c r="B5668" i="50"/>
  <c r="B5669" i="50"/>
  <c r="B5670" i="50"/>
  <c r="B5671" i="50"/>
  <c r="B5672" i="50"/>
  <c r="B5673" i="50"/>
  <c r="B5674" i="50"/>
  <c r="B5675" i="50"/>
  <c r="B5676" i="50"/>
  <c r="B5677" i="50"/>
  <c r="B5678" i="50"/>
  <c r="B5679" i="50"/>
  <c r="B5680" i="50"/>
  <c r="B5681" i="50"/>
  <c r="B5682" i="50"/>
  <c r="B5683" i="50"/>
  <c r="B5684" i="50"/>
  <c r="B5685" i="50"/>
  <c r="B5686" i="50"/>
  <c r="B5687" i="50"/>
  <c r="B5688" i="50"/>
  <c r="B5689" i="50"/>
  <c r="B5690" i="50"/>
  <c r="B5691" i="50"/>
  <c r="B5692" i="50"/>
  <c r="B5693" i="50"/>
  <c r="B5694" i="50"/>
  <c r="B5695" i="50"/>
  <c r="B5696" i="50"/>
  <c r="B5697" i="50"/>
  <c r="B5698" i="50"/>
  <c r="B5699" i="50"/>
  <c r="B5700" i="50"/>
  <c r="B5701" i="50"/>
  <c r="B5702" i="50"/>
  <c r="B5703" i="50"/>
  <c r="B5704" i="50"/>
  <c r="B5705" i="50"/>
  <c r="B5706" i="50"/>
  <c r="B5707" i="50"/>
  <c r="B5708" i="50"/>
  <c r="B5709" i="50"/>
  <c r="B5710" i="50"/>
  <c r="B5711" i="50"/>
  <c r="B5712" i="50"/>
  <c r="B5713" i="50"/>
  <c r="B5714" i="50"/>
  <c r="B5715" i="50"/>
  <c r="B5716" i="50"/>
  <c r="B5717" i="50"/>
  <c r="B5718" i="50"/>
  <c r="B5719" i="50"/>
  <c r="B5720" i="50"/>
  <c r="B5721" i="50"/>
  <c r="B5722" i="50"/>
  <c r="B5723" i="50"/>
  <c r="B5724" i="50"/>
  <c r="B5725" i="50"/>
  <c r="B5726" i="50"/>
  <c r="B5727" i="50"/>
  <c r="B5728" i="50"/>
  <c r="B5729" i="50"/>
  <c r="B5730" i="50"/>
  <c r="B5731" i="50"/>
  <c r="B5732" i="50"/>
  <c r="B5733" i="50"/>
  <c r="B5734" i="50"/>
  <c r="B5735" i="50"/>
  <c r="B5736" i="50"/>
  <c r="B5737" i="50"/>
  <c r="B5738" i="50"/>
  <c r="B5739" i="50"/>
  <c r="B5740" i="50"/>
  <c r="B5741" i="50"/>
  <c r="B5742" i="50"/>
  <c r="B5743" i="50"/>
  <c r="B5744" i="50"/>
  <c r="B5745" i="50"/>
  <c r="B5746" i="50"/>
  <c r="B5747" i="50"/>
  <c r="B5748" i="50"/>
  <c r="B5749" i="50"/>
  <c r="B5750" i="50"/>
  <c r="B5751" i="50"/>
  <c r="B5752" i="50"/>
  <c r="B5753" i="50"/>
  <c r="B5754" i="50"/>
  <c r="B5755" i="50"/>
  <c r="B5756" i="50"/>
  <c r="B5757" i="50"/>
  <c r="B5758" i="50"/>
  <c r="B5759" i="50"/>
  <c r="B5760" i="50"/>
  <c r="B5761" i="50"/>
  <c r="B5762" i="50"/>
  <c r="B5763" i="50"/>
  <c r="B5764" i="50"/>
  <c r="B5765" i="50"/>
  <c r="B5766" i="50"/>
  <c r="B5767" i="50"/>
  <c r="B5768" i="50"/>
  <c r="B5769" i="50"/>
  <c r="B5770" i="50"/>
  <c r="B5771" i="50"/>
  <c r="B5772" i="50"/>
  <c r="B5773" i="50"/>
  <c r="B5774" i="50"/>
  <c r="B5775" i="50"/>
  <c r="B5776" i="50"/>
  <c r="B5777" i="50"/>
  <c r="B5778" i="50"/>
  <c r="B5779" i="50"/>
  <c r="B5780" i="50"/>
  <c r="B5781" i="50"/>
  <c r="B5782" i="50"/>
  <c r="B5783" i="50"/>
  <c r="B5784" i="50"/>
  <c r="B5785" i="50"/>
  <c r="B5786" i="50"/>
  <c r="B5787" i="50"/>
  <c r="B5788" i="50"/>
  <c r="B5789" i="50"/>
  <c r="B5790" i="50"/>
  <c r="B5791" i="50"/>
  <c r="B5792" i="50"/>
  <c r="B5793" i="50"/>
  <c r="B5794" i="50"/>
  <c r="B5795" i="50"/>
  <c r="B5796" i="50"/>
  <c r="B5797" i="50"/>
  <c r="B5798" i="50"/>
  <c r="B5799" i="50"/>
  <c r="B5800" i="50"/>
  <c r="B5801" i="50"/>
  <c r="B5802" i="50"/>
  <c r="B5803" i="50"/>
  <c r="B5804" i="50"/>
  <c r="B5805" i="50"/>
  <c r="B5806" i="50"/>
  <c r="B5807" i="50"/>
  <c r="B5808" i="50"/>
  <c r="B5809" i="50"/>
  <c r="B5810" i="50"/>
  <c r="B5811" i="50"/>
  <c r="B5812" i="50"/>
  <c r="B5813" i="50"/>
  <c r="B5814" i="50"/>
  <c r="B5815" i="50"/>
  <c r="B5816" i="50"/>
  <c r="B5817" i="50"/>
  <c r="B5818" i="50"/>
  <c r="B5819" i="50"/>
  <c r="B5820" i="50"/>
  <c r="B5821" i="50"/>
  <c r="B5822" i="50"/>
  <c r="B5823" i="50"/>
  <c r="B5824" i="50"/>
  <c r="B5825" i="50"/>
  <c r="B5826" i="50"/>
  <c r="B5827" i="50"/>
  <c r="B5828" i="50"/>
  <c r="B5829" i="50"/>
  <c r="B5830" i="50"/>
  <c r="B5831" i="50"/>
  <c r="B5832" i="50"/>
  <c r="B5833" i="50"/>
  <c r="B5834" i="50"/>
  <c r="B5835" i="50"/>
  <c r="B5836" i="50"/>
  <c r="B5837" i="50"/>
  <c r="B5838" i="50"/>
  <c r="B5839" i="50"/>
  <c r="B5840" i="50"/>
  <c r="B5841" i="50"/>
  <c r="B5842" i="50"/>
  <c r="B5843" i="50"/>
  <c r="B5844" i="50"/>
  <c r="B5845" i="50"/>
  <c r="B5846" i="50"/>
  <c r="B5847" i="50"/>
  <c r="B5848" i="50"/>
  <c r="B5849" i="50"/>
  <c r="B5850" i="50"/>
  <c r="B5851" i="50"/>
  <c r="B5852" i="50"/>
  <c r="B5853" i="50"/>
  <c r="B5854" i="50"/>
  <c r="B5855" i="50"/>
  <c r="B5856" i="50"/>
  <c r="B5857" i="50"/>
  <c r="B5858" i="50"/>
  <c r="B5859" i="50"/>
  <c r="B5860" i="50"/>
  <c r="B5861" i="50"/>
  <c r="B5862" i="50"/>
  <c r="B5863" i="50"/>
  <c r="B5864" i="50"/>
  <c r="B5865" i="50"/>
  <c r="B5866" i="50"/>
  <c r="B5867" i="50"/>
  <c r="B5868" i="50"/>
  <c r="B5869" i="50"/>
  <c r="B5870" i="50"/>
  <c r="B5871" i="50"/>
  <c r="B5872" i="50"/>
  <c r="B5873" i="50"/>
  <c r="B5874" i="50"/>
  <c r="B5875" i="50"/>
  <c r="B5876" i="50"/>
  <c r="B5877" i="50"/>
  <c r="B5878" i="50"/>
  <c r="B5879" i="50"/>
  <c r="B5880" i="50"/>
  <c r="B5881" i="50"/>
  <c r="B5882" i="50"/>
  <c r="B5883" i="50"/>
  <c r="B5884" i="50"/>
  <c r="B5885" i="50"/>
  <c r="B5886" i="50"/>
  <c r="B5887" i="50"/>
  <c r="B5888" i="50"/>
  <c r="B5889" i="50"/>
  <c r="B5890" i="50"/>
  <c r="B5891" i="50"/>
  <c r="B5892" i="50"/>
  <c r="B5893" i="50"/>
  <c r="B5894" i="50"/>
  <c r="B5895" i="50"/>
  <c r="B5896" i="50"/>
  <c r="B5897" i="50"/>
  <c r="B5898" i="50"/>
  <c r="B5899" i="50"/>
  <c r="B5900" i="50"/>
  <c r="B5901" i="50"/>
  <c r="B5902" i="50"/>
  <c r="B5903" i="50"/>
  <c r="B5904" i="50"/>
  <c r="B5905" i="50"/>
  <c r="B5906" i="50"/>
  <c r="B5907" i="50"/>
  <c r="B5908" i="50"/>
  <c r="B5909" i="50"/>
  <c r="B5910" i="50"/>
  <c r="B5911" i="50"/>
  <c r="B5912" i="50"/>
  <c r="B5913" i="50"/>
  <c r="B5914" i="50"/>
  <c r="B5915" i="50"/>
  <c r="B5916" i="50"/>
  <c r="B5917" i="50"/>
  <c r="B5918" i="50"/>
  <c r="B5919" i="50"/>
  <c r="B5920" i="50"/>
  <c r="B5921" i="50"/>
  <c r="B5922" i="50"/>
  <c r="B5923" i="50"/>
  <c r="B5924" i="50"/>
  <c r="B5925" i="50"/>
  <c r="B5926" i="50"/>
  <c r="B5927" i="50"/>
  <c r="B5928" i="50"/>
  <c r="B5929" i="50"/>
  <c r="B5930" i="50"/>
  <c r="B5931" i="50"/>
  <c r="B5932" i="50"/>
  <c r="B5933" i="50"/>
  <c r="B5934" i="50"/>
  <c r="B5935" i="50"/>
  <c r="B5936" i="50"/>
  <c r="B5937" i="50"/>
  <c r="B5938" i="50"/>
  <c r="B5939" i="50"/>
  <c r="B5940" i="50"/>
  <c r="B5941" i="50"/>
  <c r="B5942" i="50"/>
  <c r="B5943" i="50"/>
  <c r="B5944" i="50"/>
  <c r="B5945" i="50"/>
  <c r="B5946" i="50"/>
  <c r="B5947" i="50"/>
  <c r="B5948" i="50"/>
  <c r="B5949" i="50"/>
  <c r="B5950" i="50"/>
  <c r="B5951" i="50"/>
  <c r="B5952" i="50"/>
  <c r="B5953" i="50"/>
  <c r="B5954" i="50"/>
  <c r="B5955" i="50"/>
  <c r="B5956" i="50"/>
  <c r="B5957" i="50"/>
  <c r="B5958" i="50"/>
  <c r="B5959" i="50"/>
  <c r="B5960" i="50"/>
  <c r="B5961" i="50"/>
  <c r="B5962" i="50"/>
  <c r="B5963" i="50"/>
  <c r="B5964" i="50"/>
  <c r="B5965" i="50"/>
  <c r="B5966" i="50"/>
  <c r="B5967" i="50"/>
  <c r="B5968" i="50"/>
  <c r="B5969" i="50"/>
  <c r="B5970" i="50"/>
  <c r="B5971" i="50"/>
  <c r="B5972" i="50"/>
  <c r="B5973" i="50"/>
  <c r="B5974" i="50"/>
  <c r="B5975" i="50"/>
  <c r="B5976" i="50"/>
  <c r="B5977" i="50"/>
  <c r="B5978" i="50"/>
  <c r="B5979" i="50"/>
  <c r="B5980" i="50"/>
  <c r="B5981" i="50"/>
  <c r="B5982" i="50"/>
  <c r="B5983" i="50"/>
  <c r="B5984" i="50"/>
  <c r="B5985" i="50"/>
  <c r="B5986" i="50"/>
  <c r="B5987" i="50"/>
  <c r="B5988" i="50"/>
  <c r="B5989" i="50"/>
  <c r="B5990" i="50"/>
  <c r="B5991" i="50"/>
  <c r="B5992" i="50"/>
  <c r="B5993" i="50"/>
  <c r="B5994" i="50"/>
  <c r="B5995" i="50"/>
  <c r="B5996" i="50"/>
  <c r="B5997" i="50"/>
  <c r="B5998" i="50"/>
  <c r="B5999" i="50"/>
  <c r="B6000" i="50"/>
  <c r="B6001" i="50"/>
  <c r="B6002" i="50"/>
  <c r="B6003" i="50"/>
  <c r="B6004" i="50"/>
  <c r="B6005" i="50"/>
  <c r="B6006" i="50"/>
  <c r="B6007" i="50"/>
  <c r="B6008" i="50"/>
  <c r="B6009" i="50"/>
  <c r="B6010" i="50"/>
  <c r="B6011" i="50"/>
  <c r="B6012" i="50"/>
  <c r="B6013" i="50"/>
  <c r="B6014" i="50"/>
  <c r="B6015" i="50"/>
  <c r="B6016" i="50"/>
  <c r="B6017" i="50"/>
  <c r="B6018" i="50"/>
  <c r="B6019" i="50"/>
  <c r="B6020" i="50"/>
  <c r="B6021" i="50"/>
  <c r="B6022" i="50"/>
  <c r="B6023" i="50"/>
  <c r="B6024" i="50"/>
  <c r="B6025" i="50"/>
  <c r="B6026" i="50"/>
  <c r="B6027" i="50"/>
  <c r="B6028" i="50"/>
  <c r="B6029" i="50"/>
  <c r="B6030" i="50"/>
  <c r="B6031" i="50"/>
  <c r="B6032" i="50"/>
  <c r="B6033" i="50"/>
  <c r="B6034" i="50"/>
  <c r="B6035" i="50"/>
  <c r="B6036" i="50"/>
  <c r="B6037" i="50"/>
  <c r="B6038" i="50"/>
  <c r="B6039" i="50"/>
  <c r="B6040" i="50"/>
  <c r="B6041" i="50"/>
  <c r="B6042" i="50"/>
  <c r="B6043" i="50"/>
  <c r="B6044" i="50"/>
  <c r="B6045" i="50"/>
  <c r="B6046" i="50"/>
  <c r="B6047" i="50"/>
  <c r="B6048" i="50"/>
  <c r="B6049" i="50"/>
  <c r="B6050" i="50"/>
  <c r="B6051" i="50"/>
  <c r="B6052" i="50"/>
  <c r="B6053" i="50"/>
  <c r="B6054" i="50"/>
  <c r="B6055" i="50"/>
  <c r="B6056" i="50"/>
  <c r="B6057" i="50"/>
  <c r="B6058" i="50"/>
  <c r="B6059" i="50"/>
  <c r="B6060" i="50"/>
  <c r="B6061" i="50"/>
  <c r="B6062" i="50"/>
  <c r="B6063" i="50"/>
  <c r="B6064" i="50"/>
  <c r="B6065" i="50"/>
  <c r="B6066" i="50"/>
  <c r="B6067" i="50"/>
  <c r="B6068" i="50"/>
  <c r="B6069" i="50"/>
  <c r="B6070" i="50"/>
  <c r="B6071" i="50"/>
  <c r="B6072" i="50"/>
  <c r="B6073" i="50"/>
  <c r="B6074" i="50"/>
  <c r="B6075" i="50"/>
  <c r="B6076" i="50"/>
  <c r="B6077" i="50"/>
  <c r="B6078" i="50"/>
  <c r="B6079" i="50"/>
  <c r="B6080" i="50"/>
  <c r="B6081" i="50"/>
  <c r="B6082" i="50"/>
  <c r="B6083" i="50"/>
  <c r="B6084" i="50"/>
  <c r="B6085" i="50"/>
  <c r="B6086" i="50"/>
  <c r="B6087" i="50"/>
  <c r="B6088" i="50"/>
  <c r="B6089" i="50"/>
  <c r="B6090" i="50"/>
  <c r="B6091" i="50"/>
  <c r="B6092" i="50"/>
  <c r="B6093" i="50"/>
  <c r="B6094" i="50"/>
  <c r="B6095" i="50"/>
  <c r="B6096" i="50"/>
  <c r="B6097" i="50"/>
  <c r="B6098" i="50"/>
  <c r="B6099" i="50"/>
  <c r="B6100" i="50"/>
  <c r="B6101" i="50"/>
  <c r="B6102" i="50"/>
  <c r="B6103" i="50"/>
  <c r="B6104" i="50"/>
  <c r="B6105" i="50"/>
  <c r="B6106" i="50"/>
  <c r="B6107" i="50"/>
  <c r="B6108" i="50"/>
  <c r="B6109" i="50"/>
  <c r="B6110" i="50"/>
  <c r="B6111" i="50"/>
  <c r="B6112" i="50"/>
  <c r="B6113" i="50"/>
  <c r="B6114" i="50"/>
  <c r="B6115" i="50"/>
  <c r="B6116" i="50"/>
  <c r="B6117" i="50"/>
  <c r="B6118" i="50"/>
  <c r="B6119" i="50"/>
  <c r="B6120" i="50"/>
  <c r="B6121" i="50"/>
  <c r="B6122" i="50"/>
  <c r="B6123" i="50"/>
  <c r="B6124" i="50"/>
  <c r="B6125" i="50"/>
  <c r="B6126" i="50"/>
  <c r="B6127" i="50"/>
  <c r="B6128" i="50"/>
  <c r="B6129" i="50"/>
  <c r="B6130" i="50"/>
  <c r="B6131" i="50"/>
  <c r="B6132" i="50"/>
  <c r="B6133" i="50"/>
  <c r="B6134" i="50"/>
  <c r="B6135" i="50"/>
  <c r="B6136" i="50"/>
  <c r="B6137" i="50"/>
  <c r="B6138" i="50"/>
  <c r="B6139" i="50"/>
  <c r="B6140" i="50"/>
  <c r="B6141" i="50"/>
  <c r="B6142" i="50"/>
  <c r="B6143" i="50"/>
  <c r="B6144" i="50"/>
  <c r="B6145" i="50"/>
  <c r="B6146" i="50"/>
  <c r="B6147" i="50"/>
  <c r="B6148" i="50"/>
  <c r="B6149" i="50"/>
  <c r="B6150" i="50"/>
  <c r="B6151" i="50"/>
  <c r="B6152" i="50"/>
  <c r="B6153" i="50"/>
  <c r="B6154" i="50"/>
  <c r="B6155" i="50"/>
  <c r="B6156" i="50"/>
  <c r="B6157" i="50"/>
  <c r="B6158" i="50"/>
  <c r="B6159" i="50"/>
  <c r="B6160" i="50"/>
  <c r="B6161" i="50"/>
  <c r="B6162" i="50"/>
  <c r="B6163" i="50"/>
  <c r="B6164" i="50"/>
  <c r="B6165" i="50"/>
  <c r="B6166" i="50"/>
  <c r="B6167" i="50"/>
  <c r="B6168" i="50"/>
  <c r="B6169" i="50"/>
  <c r="B6170" i="50"/>
  <c r="B6171" i="50"/>
  <c r="B6172" i="50"/>
  <c r="B6173" i="50"/>
  <c r="B6174" i="50"/>
  <c r="B6175" i="50"/>
  <c r="B6176" i="50"/>
  <c r="B6177" i="50"/>
  <c r="B6178" i="50"/>
  <c r="B6179" i="50"/>
  <c r="B6180" i="50"/>
  <c r="B6181" i="50"/>
  <c r="B6182" i="50"/>
  <c r="B6183" i="50"/>
  <c r="B6184" i="50"/>
  <c r="B6185" i="50"/>
  <c r="B6186" i="50"/>
  <c r="B6187" i="50"/>
  <c r="B6188" i="50"/>
  <c r="B6189" i="50"/>
  <c r="B6190" i="50"/>
  <c r="B6191" i="50"/>
  <c r="B6192" i="50"/>
  <c r="B6193" i="50"/>
  <c r="B6194" i="50"/>
  <c r="B6195" i="50"/>
  <c r="B6196" i="50"/>
  <c r="B6197" i="50"/>
  <c r="B6198" i="50"/>
  <c r="B6199" i="50"/>
  <c r="B6200" i="50"/>
  <c r="B6201" i="50"/>
  <c r="B6202" i="50"/>
  <c r="B6203" i="50"/>
  <c r="B6204" i="50"/>
  <c r="B6205" i="50"/>
  <c r="B6206" i="50"/>
  <c r="B6207" i="50"/>
  <c r="B6208" i="50"/>
  <c r="B6209" i="50"/>
  <c r="B6210" i="50"/>
  <c r="B6211" i="50"/>
  <c r="B6212" i="50"/>
  <c r="B6213" i="50"/>
  <c r="B6214" i="50"/>
  <c r="B6215" i="50"/>
  <c r="B6216" i="50"/>
  <c r="B6217" i="50"/>
  <c r="B6218" i="50"/>
  <c r="B6219" i="50"/>
  <c r="B6220" i="50"/>
  <c r="B6221" i="50"/>
  <c r="B6222" i="50"/>
  <c r="B6223" i="50"/>
  <c r="B6224" i="50"/>
  <c r="B6225" i="50"/>
  <c r="B6226" i="50"/>
  <c r="B6227" i="50"/>
  <c r="B6228" i="50"/>
  <c r="B6229" i="50"/>
  <c r="B6230" i="50"/>
  <c r="B6231" i="50"/>
  <c r="B6232" i="50"/>
  <c r="B6233" i="50"/>
  <c r="B6234" i="50"/>
  <c r="B6235" i="50"/>
  <c r="B6236" i="50"/>
  <c r="B6237" i="50"/>
  <c r="B6238" i="50"/>
  <c r="B6239" i="50"/>
  <c r="B6240" i="50"/>
  <c r="B6241" i="50"/>
  <c r="B6242" i="50"/>
  <c r="B6243" i="50"/>
  <c r="B6244" i="50"/>
  <c r="B6245" i="50"/>
  <c r="B6246" i="50"/>
  <c r="B6247" i="50"/>
  <c r="B6248" i="50"/>
  <c r="B6249" i="50"/>
  <c r="B6250" i="50"/>
  <c r="B6251" i="50"/>
  <c r="B6252" i="50"/>
  <c r="B6253" i="50"/>
  <c r="B6254" i="50"/>
  <c r="B6255" i="50"/>
  <c r="B6256" i="50"/>
  <c r="B6257" i="50"/>
  <c r="B6258" i="50"/>
  <c r="B6259" i="50"/>
  <c r="B6260" i="50"/>
  <c r="B6261" i="50"/>
  <c r="B6262" i="50"/>
  <c r="B6263" i="50"/>
  <c r="B6264" i="50"/>
  <c r="B6265" i="50"/>
  <c r="B6266" i="50"/>
  <c r="B6267" i="50"/>
  <c r="B6268" i="50"/>
  <c r="B6269" i="50"/>
  <c r="B6270" i="50"/>
  <c r="B6271" i="50"/>
  <c r="B6272" i="50"/>
  <c r="B6273" i="50"/>
  <c r="B6274" i="50"/>
  <c r="B6275" i="50"/>
  <c r="B6276" i="50"/>
  <c r="B6277" i="50"/>
  <c r="B6278" i="50"/>
  <c r="B6279" i="50"/>
  <c r="B6280" i="50"/>
  <c r="B6281" i="50"/>
  <c r="B6282" i="50"/>
  <c r="B6283" i="50"/>
  <c r="B6284" i="50"/>
  <c r="B6285" i="50"/>
  <c r="B6286" i="50"/>
  <c r="B6287" i="50"/>
  <c r="B6288" i="50"/>
  <c r="B6289" i="50"/>
  <c r="B6290" i="50"/>
  <c r="B6291" i="50"/>
  <c r="B6292" i="50"/>
  <c r="B6293" i="50"/>
  <c r="B6294" i="50"/>
  <c r="B6295" i="50"/>
  <c r="B6296" i="50"/>
  <c r="B6297" i="50"/>
  <c r="B6298" i="50"/>
  <c r="B6299" i="50"/>
  <c r="B6300" i="50"/>
  <c r="B6301" i="50"/>
  <c r="B6302" i="50"/>
  <c r="B6303" i="50"/>
  <c r="B6304" i="50"/>
  <c r="B6305" i="50"/>
  <c r="B6306" i="50"/>
  <c r="B6307" i="50"/>
  <c r="B6308" i="50"/>
  <c r="B6309" i="50"/>
  <c r="B6310" i="50"/>
  <c r="B6311" i="50"/>
  <c r="B6312" i="50"/>
  <c r="B6313" i="50"/>
  <c r="B6314" i="50"/>
  <c r="B6315" i="50"/>
  <c r="B6316" i="50"/>
  <c r="B6317" i="50"/>
  <c r="B6318" i="50"/>
  <c r="B6319" i="50"/>
  <c r="B6320" i="50"/>
  <c r="B6321" i="50"/>
  <c r="B6322" i="50"/>
  <c r="B6323" i="50"/>
  <c r="B6324" i="50"/>
  <c r="B6325" i="50"/>
  <c r="B6326" i="50"/>
  <c r="B6327" i="50"/>
  <c r="B6328" i="50"/>
  <c r="B6329" i="50"/>
  <c r="B6330" i="50"/>
  <c r="B6331" i="50"/>
  <c r="B6332" i="50"/>
  <c r="B6333" i="50"/>
  <c r="B6334" i="50"/>
  <c r="B6335" i="50"/>
  <c r="B6336" i="50"/>
  <c r="B6337" i="50"/>
  <c r="B6338" i="50"/>
  <c r="B6339" i="50"/>
  <c r="B6340" i="50"/>
  <c r="B6341" i="50"/>
  <c r="B6342" i="50"/>
  <c r="B6343" i="50"/>
  <c r="B6344" i="50"/>
  <c r="B6345" i="50"/>
  <c r="B6346" i="50"/>
  <c r="B6347" i="50"/>
  <c r="B6348" i="50"/>
  <c r="B6349" i="50"/>
  <c r="B6350" i="50"/>
  <c r="B6351" i="50"/>
  <c r="B6352" i="50"/>
  <c r="B6353" i="50"/>
  <c r="B6354" i="50"/>
  <c r="B6355" i="50"/>
  <c r="B6356" i="50"/>
  <c r="B6357" i="50"/>
  <c r="B6358" i="50"/>
  <c r="B6359" i="50"/>
  <c r="B6360" i="50"/>
  <c r="B6361" i="50"/>
  <c r="B6362" i="50"/>
  <c r="B6363" i="50"/>
  <c r="B6364" i="50"/>
  <c r="B6365" i="50"/>
  <c r="B6366" i="50"/>
  <c r="B6367" i="50"/>
  <c r="B6368" i="50"/>
  <c r="B6369" i="50"/>
  <c r="B6370" i="50"/>
  <c r="B6371" i="50"/>
  <c r="B6372" i="50"/>
  <c r="B6373" i="50"/>
  <c r="B6374" i="50"/>
  <c r="B6375" i="50"/>
  <c r="B6376" i="50"/>
  <c r="B6377" i="50"/>
  <c r="B6378" i="50"/>
  <c r="B6379" i="50"/>
  <c r="B6380" i="50"/>
  <c r="B6381" i="50"/>
  <c r="B6382" i="50"/>
  <c r="B6383" i="50"/>
  <c r="B6384" i="50"/>
  <c r="B6385" i="50"/>
  <c r="B6386" i="50"/>
  <c r="B6387" i="50"/>
  <c r="B6388" i="50"/>
  <c r="B6389" i="50"/>
  <c r="B6390" i="50"/>
  <c r="B6391" i="50"/>
  <c r="B6392" i="50"/>
  <c r="B6393" i="50"/>
  <c r="B6394" i="50"/>
  <c r="B6395" i="50"/>
  <c r="B6396" i="50"/>
  <c r="B6397" i="50"/>
  <c r="B6398" i="50"/>
  <c r="B6399" i="50"/>
  <c r="B6400" i="50"/>
  <c r="B6401" i="50"/>
  <c r="B6402" i="50"/>
  <c r="B6403" i="50"/>
  <c r="B6404" i="50"/>
  <c r="B6405" i="50"/>
  <c r="B6406" i="50"/>
  <c r="B6407" i="50"/>
  <c r="B6408" i="50"/>
  <c r="B6409" i="50"/>
  <c r="B6410" i="50"/>
  <c r="B6411" i="50"/>
  <c r="B6412" i="50"/>
  <c r="B6413" i="50"/>
  <c r="B6414" i="50"/>
  <c r="B6415" i="50"/>
  <c r="B6416" i="50"/>
  <c r="B6417" i="50"/>
  <c r="B6418" i="50"/>
  <c r="B6419" i="50"/>
  <c r="B6420" i="50"/>
  <c r="B6421" i="50"/>
  <c r="B6422" i="50"/>
  <c r="B6423" i="50"/>
  <c r="B6424" i="50"/>
  <c r="B6425" i="50"/>
  <c r="B6426" i="50"/>
  <c r="B6427" i="50"/>
  <c r="B6428" i="50"/>
  <c r="B6429" i="50"/>
  <c r="B6430" i="50"/>
  <c r="B6431" i="50"/>
  <c r="B6432" i="50"/>
  <c r="B6433" i="50"/>
  <c r="B6434" i="50"/>
  <c r="B6435" i="50"/>
  <c r="B6436" i="50"/>
  <c r="B6437" i="50"/>
  <c r="B6438" i="50"/>
  <c r="B6439" i="50"/>
  <c r="B6440" i="50"/>
  <c r="B6441" i="50"/>
  <c r="B6442" i="50"/>
  <c r="B6443" i="50"/>
  <c r="B6444" i="50"/>
  <c r="B6445" i="50"/>
  <c r="B6446" i="50"/>
  <c r="B6447" i="50"/>
  <c r="B6448" i="50"/>
  <c r="B6449" i="50"/>
  <c r="B6450" i="50"/>
  <c r="B6451" i="50"/>
  <c r="B6452" i="50"/>
  <c r="B6453" i="50"/>
  <c r="B6454" i="50"/>
  <c r="B6455" i="50"/>
  <c r="B6456" i="50"/>
  <c r="B6457" i="50"/>
  <c r="B6458" i="50"/>
  <c r="B6459" i="50"/>
  <c r="B6460" i="50"/>
  <c r="B6461" i="50"/>
  <c r="B6462" i="50"/>
  <c r="B6463" i="50"/>
  <c r="B6464" i="50"/>
  <c r="B6465" i="50"/>
  <c r="B6466" i="50"/>
  <c r="B6467" i="50"/>
  <c r="B6468" i="50"/>
  <c r="B6469" i="50"/>
  <c r="B6470" i="50"/>
  <c r="B6471" i="50"/>
  <c r="B6472" i="50"/>
  <c r="B6473" i="50"/>
  <c r="B6474" i="50"/>
  <c r="B6475" i="50"/>
  <c r="B6476" i="50"/>
  <c r="B6477" i="50"/>
  <c r="B6478" i="50"/>
  <c r="B6479" i="50"/>
  <c r="B6480" i="50"/>
  <c r="B6481" i="50"/>
  <c r="B6482" i="50"/>
  <c r="B6483" i="50"/>
  <c r="B6484" i="50"/>
  <c r="B6485" i="50"/>
  <c r="B6486" i="50"/>
  <c r="B6487" i="50"/>
  <c r="B6488" i="50"/>
  <c r="B6489" i="50"/>
  <c r="B6490" i="50"/>
  <c r="B6491" i="50"/>
  <c r="B6492" i="50"/>
  <c r="B6493" i="50"/>
  <c r="B6494" i="50"/>
  <c r="B6495" i="50"/>
  <c r="B6496" i="50"/>
  <c r="B6497" i="50"/>
  <c r="B6498" i="50"/>
  <c r="B6499" i="50"/>
  <c r="B6500" i="50"/>
  <c r="B6501" i="50"/>
  <c r="B6502" i="50"/>
  <c r="B6503" i="50"/>
  <c r="B6504" i="50"/>
  <c r="B6505" i="50"/>
  <c r="B6506" i="50"/>
  <c r="B6507" i="50"/>
  <c r="B6508" i="50"/>
  <c r="B6509" i="50"/>
  <c r="B6510" i="50"/>
  <c r="B6511" i="50"/>
  <c r="B6512" i="50"/>
  <c r="B6513" i="50"/>
  <c r="B6514" i="50"/>
  <c r="B6515" i="50"/>
  <c r="B6516" i="50"/>
  <c r="B6517" i="50"/>
  <c r="B6518" i="50"/>
  <c r="B6519" i="50"/>
  <c r="B6520" i="50"/>
  <c r="B6521" i="50"/>
  <c r="B6522" i="50"/>
  <c r="B6523" i="50"/>
  <c r="B6524" i="50"/>
  <c r="B6525" i="50"/>
  <c r="B6526" i="50"/>
  <c r="B6527" i="50"/>
  <c r="B6528" i="50"/>
  <c r="B6529" i="50"/>
  <c r="B6530" i="50"/>
  <c r="B6531" i="50"/>
  <c r="B6532" i="50"/>
  <c r="B6533" i="50"/>
  <c r="B6534" i="50"/>
  <c r="B6535" i="50"/>
  <c r="B6536" i="50"/>
  <c r="B6537" i="50"/>
  <c r="B6538" i="50"/>
  <c r="B6539" i="50"/>
  <c r="B6540" i="50"/>
  <c r="B6541" i="50"/>
  <c r="B6542" i="50"/>
  <c r="B6543" i="50"/>
  <c r="B6544" i="50"/>
  <c r="B6545" i="50"/>
  <c r="B6546" i="50"/>
  <c r="B6547" i="50"/>
  <c r="B6548" i="50"/>
  <c r="B6549" i="50"/>
  <c r="B6550" i="50"/>
  <c r="B6551" i="50"/>
  <c r="B6552" i="50"/>
  <c r="B6553" i="50"/>
  <c r="B6554" i="50"/>
  <c r="B6555" i="50"/>
  <c r="B6556" i="50"/>
  <c r="B6557" i="50"/>
  <c r="B6558" i="50"/>
  <c r="B6559" i="50"/>
  <c r="B6560" i="50"/>
  <c r="B6561" i="50"/>
  <c r="B6562" i="50"/>
  <c r="B6563" i="50"/>
  <c r="B6564" i="50"/>
  <c r="B6565" i="50"/>
  <c r="B6566" i="50"/>
  <c r="B6567" i="50"/>
  <c r="B6568" i="50"/>
  <c r="B6569" i="50"/>
  <c r="B6570" i="50"/>
  <c r="B6571" i="50"/>
  <c r="B6572" i="50"/>
  <c r="B6573" i="50"/>
  <c r="B6574" i="50"/>
  <c r="B6575" i="50"/>
  <c r="B6576" i="50"/>
  <c r="B6577" i="50"/>
  <c r="B6578" i="50"/>
  <c r="B6579" i="50"/>
  <c r="B6580" i="50"/>
  <c r="B6581" i="50"/>
  <c r="B6582" i="50"/>
  <c r="B6583" i="50"/>
  <c r="B6584" i="50"/>
  <c r="B6585" i="50"/>
  <c r="B6586" i="50"/>
  <c r="B6587" i="50"/>
  <c r="B6588" i="50"/>
  <c r="B6589" i="50"/>
  <c r="B6590" i="50"/>
  <c r="B6591" i="50"/>
  <c r="B6592" i="50"/>
  <c r="B6593" i="50"/>
  <c r="B6594" i="50"/>
  <c r="B6595" i="50"/>
  <c r="B6596" i="50"/>
  <c r="B6597" i="50"/>
  <c r="B6598" i="50"/>
  <c r="B6599" i="50"/>
  <c r="B6600" i="50"/>
  <c r="B6601" i="50"/>
  <c r="B6602" i="50"/>
  <c r="B6603" i="50"/>
  <c r="B6604" i="50"/>
  <c r="B6605" i="50"/>
  <c r="B6606" i="50"/>
  <c r="B6607" i="50"/>
  <c r="B6608" i="50"/>
  <c r="B6609" i="50"/>
  <c r="B6610" i="50"/>
  <c r="B6611" i="50"/>
  <c r="B6612" i="50"/>
  <c r="B6613" i="50"/>
  <c r="B6614" i="50"/>
  <c r="B6615" i="50"/>
  <c r="B6616" i="50"/>
  <c r="B6617" i="50"/>
  <c r="B6618" i="50"/>
  <c r="B6619" i="50"/>
  <c r="B6620" i="50"/>
  <c r="B6621" i="50"/>
  <c r="B6622" i="50"/>
  <c r="B6623" i="50"/>
  <c r="B6624" i="50"/>
  <c r="B6625" i="50"/>
  <c r="B6626" i="50"/>
  <c r="B6627" i="50"/>
  <c r="B6628" i="50"/>
  <c r="B6629" i="50"/>
  <c r="B6630" i="50"/>
  <c r="B6631" i="50"/>
  <c r="B6632" i="50"/>
  <c r="B6633" i="50"/>
  <c r="B6634" i="50"/>
  <c r="B6635" i="50"/>
  <c r="B6636" i="50"/>
  <c r="B6637" i="50"/>
  <c r="B6638" i="50"/>
  <c r="B6639" i="50"/>
  <c r="B6640" i="50"/>
  <c r="B6641" i="50"/>
  <c r="B6642" i="50"/>
  <c r="B6643" i="50"/>
  <c r="B6644" i="50"/>
  <c r="B6645" i="50"/>
  <c r="B6646" i="50"/>
  <c r="B6647" i="50"/>
  <c r="B6648" i="50"/>
  <c r="B6649" i="50"/>
  <c r="B6650" i="50"/>
  <c r="B6651" i="50"/>
  <c r="B6652" i="50"/>
  <c r="B6653" i="50"/>
  <c r="B6654" i="50"/>
  <c r="B6655" i="50"/>
  <c r="B6656" i="50"/>
  <c r="B6657" i="50"/>
  <c r="B6658" i="50"/>
  <c r="B6659" i="50"/>
  <c r="B6660" i="50"/>
  <c r="B6661" i="50"/>
  <c r="B6662" i="50"/>
  <c r="B6663" i="50"/>
  <c r="B6664" i="50"/>
  <c r="B6665" i="50"/>
  <c r="B6666" i="50"/>
  <c r="B6667" i="50"/>
  <c r="B6668" i="50"/>
  <c r="B6669" i="50"/>
  <c r="B6670" i="50"/>
  <c r="B6671" i="50"/>
  <c r="B6672" i="50"/>
  <c r="B6673" i="50"/>
  <c r="B6674" i="50"/>
  <c r="B6675" i="50"/>
  <c r="B6676" i="50"/>
  <c r="B6677" i="50"/>
  <c r="B6678" i="50"/>
  <c r="B6679" i="50"/>
  <c r="B6680" i="50"/>
  <c r="B6681" i="50"/>
  <c r="B6682" i="50"/>
  <c r="B6683" i="50"/>
  <c r="B6684" i="50"/>
  <c r="B6685" i="50"/>
  <c r="B6686" i="50"/>
  <c r="B6687" i="50"/>
  <c r="B6688" i="50"/>
  <c r="B6689" i="50"/>
  <c r="B6690" i="50"/>
  <c r="B6691" i="50"/>
  <c r="B6692" i="50"/>
  <c r="B6693" i="50"/>
  <c r="B6694" i="50"/>
  <c r="B6695" i="50"/>
  <c r="B6696" i="50"/>
  <c r="B6697" i="50"/>
  <c r="B6698" i="50"/>
  <c r="B6699" i="50"/>
  <c r="B6700" i="50"/>
  <c r="B6701" i="50"/>
  <c r="B6702" i="50"/>
  <c r="B6703" i="50"/>
  <c r="B6704" i="50"/>
  <c r="B6705" i="50"/>
  <c r="B6706" i="50"/>
  <c r="B6707" i="50"/>
  <c r="B6708" i="50"/>
  <c r="B6709" i="50"/>
  <c r="B6710" i="50"/>
  <c r="B6711" i="50"/>
  <c r="B6712" i="50"/>
  <c r="B6713" i="50"/>
  <c r="B6714" i="50"/>
  <c r="B6715" i="50"/>
  <c r="B6716" i="50"/>
  <c r="B6717" i="50"/>
  <c r="B6718" i="50"/>
  <c r="B6719" i="50"/>
  <c r="B6720" i="50"/>
  <c r="B6721" i="50"/>
  <c r="B6722" i="50"/>
  <c r="B6723" i="50"/>
  <c r="B6724" i="50"/>
  <c r="B6725" i="50"/>
  <c r="B6726" i="50"/>
  <c r="B6727" i="50"/>
  <c r="B6728" i="50"/>
  <c r="B6729" i="50"/>
  <c r="B6730" i="50"/>
  <c r="B6731" i="50"/>
  <c r="B6732" i="50"/>
  <c r="B6733" i="50"/>
  <c r="B6734" i="50"/>
  <c r="B6735" i="50"/>
  <c r="B6736" i="50"/>
  <c r="B6737" i="50"/>
  <c r="B6738" i="50"/>
  <c r="B6739" i="50"/>
  <c r="B6740" i="50"/>
  <c r="B6741" i="50"/>
  <c r="B6742" i="50"/>
  <c r="B6743" i="50"/>
  <c r="B6744" i="50"/>
  <c r="B6745" i="50"/>
  <c r="B6746" i="50"/>
  <c r="B6747" i="50"/>
  <c r="B6748" i="50"/>
  <c r="B6749" i="50"/>
  <c r="B6750" i="50"/>
  <c r="B6751" i="50"/>
  <c r="B6752" i="50"/>
  <c r="B6753" i="50"/>
  <c r="B6754" i="50"/>
  <c r="B6755" i="50"/>
  <c r="B6756" i="50"/>
  <c r="B6757" i="50"/>
  <c r="B6758" i="50"/>
  <c r="B6759" i="50"/>
  <c r="B6760" i="50"/>
  <c r="B6761" i="50"/>
  <c r="B6762" i="50"/>
  <c r="B6763" i="50"/>
  <c r="B6764" i="50"/>
  <c r="B6765" i="50"/>
  <c r="B6766" i="50"/>
  <c r="B6767" i="50"/>
  <c r="B6768" i="50"/>
  <c r="B6769" i="50"/>
  <c r="B6770" i="50"/>
  <c r="B6771" i="50"/>
  <c r="B6772" i="50"/>
  <c r="B6773" i="50"/>
  <c r="B6774" i="50"/>
  <c r="B6775" i="50"/>
  <c r="B6776" i="50"/>
  <c r="B6777" i="50"/>
  <c r="B6778" i="50"/>
  <c r="B6779" i="50"/>
  <c r="B6780" i="50"/>
  <c r="B6781" i="50"/>
  <c r="B6782" i="50"/>
  <c r="B6783" i="50"/>
  <c r="B6784" i="50"/>
  <c r="B6785" i="50"/>
  <c r="B6786" i="50"/>
  <c r="B6787" i="50"/>
  <c r="B6788" i="50"/>
  <c r="B6789" i="50"/>
  <c r="B6790" i="50"/>
  <c r="B6791" i="50"/>
  <c r="B6792" i="50"/>
  <c r="B6793" i="50"/>
  <c r="B6794" i="50"/>
  <c r="B6795" i="50"/>
  <c r="B6796" i="50"/>
  <c r="B6797" i="50"/>
  <c r="B6798" i="50"/>
  <c r="B6799" i="50"/>
  <c r="B6800" i="50"/>
  <c r="B6801" i="50"/>
  <c r="B6802" i="50"/>
  <c r="B6803" i="50"/>
  <c r="B6804" i="50"/>
  <c r="B6805" i="50"/>
  <c r="B6806" i="50"/>
  <c r="B6807" i="50"/>
  <c r="B6808" i="50"/>
  <c r="B6809" i="50"/>
  <c r="B6810" i="50"/>
  <c r="B6811" i="50"/>
  <c r="B6812" i="50"/>
  <c r="B6813" i="50"/>
  <c r="B6814" i="50"/>
  <c r="B6815" i="50"/>
  <c r="B6816" i="50"/>
  <c r="B6817" i="50"/>
  <c r="B6818" i="50"/>
  <c r="B6819" i="50"/>
  <c r="B6820" i="50"/>
  <c r="B6821" i="50"/>
  <c r="B6822" i="50"/>
  <c r="B6823" i="50"/>
  <c r="B6824" i="50"/>
  <c r="B6825" i="50"/>
  <c r="B6826" i="50"/>
  <c r="B6827" i="50"/>
  <c r="B6828" i="50"/>
  <c r="B6829" i="50"/>
  <c r="B6830" i="50"/>
  <c r="B6831" i="50"/>
  <c r="B6832" i="50"/>
  <c r="B6833" i="50"/>
  <c r="B6834" i="50"/>
  <c r="B6835" i="50"/>
  <c r="B6836" i="50"/>
  <c r="B6837" i="50"/>
  <c r="B6838" i="50"/>
  <c r="B6839" i="50"/>
  <c r="B6840" i="50"/>
  <c r="B6841" i="50"/>
  <c r="B6842" i="50"/>
  <c r="B6843" i="50"/>
  <c r="B6844" i="50"/>
  <c r="B6845" i="50"/>
  <c r="B6846" i="50"/>
  <c r="B6847" i="50"/>
  <c r="B6848" i="50"/>
  <c r="B6849" i="50"/>
  <c r="B6850" i="50"/>
  <c r="B6851" i="50"/>
  <c r="B6852" i="50"/>
  <c r="B6853" i="50"/>
  <c r="B6854" i="50"/>
  <c r="B6855" i="50"/>
  <c r="B6856" i="50"/>
  <c r="B6857" i="50"/>
  <c r="B6858" i="50"/>
  <c r="B6859" i="50"/>
  <c r="B6860" i="50"/>
  <c r="B6861" i="50"/>
  <c r="B6862" i="50"/>
  <c r="B6863" i="50"/>
  <c r="B6864" i="50"/>
  <c r="B6865" i="50"/>
  <c r="B6866" i="50"/>
  <c r="B6867" i="50"/>
  <c r="B6868" i="50"/>
  <c r="B6869" i="50"/>
  <c r="B6870" i="50"/>
  <c r="B6871" i="50"/>
  <c r="B6872" i="50"/>
  <c r="B6873" i="50"/>
  <c r="B6874" i="50"/>
  <c r="B6875" i="50"/>
  <c r="B6876" i="50"/>
  <c r="B6877" i="50"/>
  <c r="B6878" i="50"/>
  <c r="B6879" i="50"/>
  <c r="B6880" i="50"/>
  <c r="B6881" i="50"/>
  <c r="B6882" i="50"/>
  <c r="B6883" i="50"/>
  <c r="B6884" i="50"/>
  <c r="B6885" i="50"/>
  <c r="B6886" i="50"/>
  <c r="B6887" i="50"/>
  <c r="B6888" i="50"/>
  <c r="B6889" i="50"/>
  <c r="B6890" i="50"/>
  <c r="B6891" i="50"/>
  <c r="B6892" i="50"/>
  <c r="B6893" i="50"/>
  <c r="B6894" i="50"/>
  <c r="B6895" i="50"/>
  <c r="B6896" i="50"/>
  <c r="B6897" i="50"/>
  <c r="B6898" i="50"/>
  <c r="B6899" i="50"/>
  <c r="B6900" i="50"/>
  <c r="B6901" i="50"/>
  <c r="B6902" i="50"/>
  <c r="B6903" i="50"/>
  <c r="B6904" i="50"/>
  <c r="B6905" i="50"/>
  <c r="B6906" i="50"/>
  <c r="B6907" i="50"/>
  <c r="B6908" i="50"/>
  <c r="B6909" i="50"/>
  <c r="B6910" i="50"/>
  <c r="B6911" i="50"/>
  <c r="B6912" i="50"/>
  <c r="B6913" i="50"/>
  <c r="B6914" i="50"/>
  <c r="B6915" i="50"/>
  <c r="B6916" i="50"/>
  <c r="B6917" i="50"/>
  <c r="B6918" i="50"/>
  <c r="B6919" i="50"/>
  <c r="B6920" i="50"/>
  <c r="B6921" i="50"/>
  <c r="B6922" i="50"/>
  <c r="B6923" i="50"/>
  <c r="B6924" i="50"/>
  <c r="B6925" i="50"/>
  <c r="B6926" i="50"/>
  <c r="B6927" i="50"/>
  <c r="B6928" i="50"/>
  <c r="B6929" i="50"/>
  <c r="B6930" i="50"/>
  <c r="B6931" i="50"/>
  <c r="B6932" i="50"/>
  <c r="B6933" i="50"/>
  <c r="B6934" i="50"/>
  <c r="B6935" i="50"/>
  <c r="B6936" i="50"/>
  <c r="B6937" i="50"/>
  <c r="B6938" i="50"/>
  <c r="B6939" i="50"/>
  <c r="B6940" i="50"/>
  <c r="B6941" i="50"/>
  <c r="B6942" i="50"/>
  <c r="B6943" i="50"/>
  <c r="B6944" i="50"/>
  <c r="B6945" i="50"/>
  <c r="B6946" i="50"/>
  <c r="B6947" i="50"/>
  <c r="B6948" i="50"/>
  <c r="B6949" i="50"/>
  <c r="B6950" i="50"/>
  <c r="B6951" i="50"/>
  <c r="B6952" i="50"/>
  <c r="B6953" i="50"/>
  <c r="B6954" i="50"/>
  <c r="B6955" i="50"/>
  <c r="B6956" i="50"/>
  <c r="B6957" i="50"/>
  <c r="B6958" i="50"/>
  <c r="B6959" i="50"/>
  <c r="B6960" i="50"/>
  <c r="B6961" i="50"/>
  <c r="B6962" i="50"/>
  <c r="B6963" i="50"/>
  <c r="B6964" i="50"/>
  <c r="B6965" i="50"/>
  <c r="B6966" i="50"/>
  <c r="B6967" i="50"/>
  <c r="B6968" i="50"/>
  <c r="B6969" i="50"/>
  <c r="B6970" i="50"/>
  <c r="B6971" i="50"/>
  <c r="B6972" i="50"/>
  <c r="B6973" i="50"/>
  <c r="B6974" i="50"/>
  <c r="B6975" i="50"/>
  <c r="B6976" i="50"/>
  <c r="B6977" i="50"/>
  <c r="B6978" i="50"/>
  <c r="B6979" i="50"/>
  <c r="B6980" i="50"/>
  <c r="B6981" i="50"/>
  <c r="B6982" i="50"/>
  <c r="B6983" i="50"/>
  <c r="B6984" i="50"/>
  <c r="B6985" i="50"/>
  <c r="B6986" i="50"/>
  <c r="B6987" i="50"/>
  <c r="B6988" i="50"/>
  <c r="B6989" i="50"/>
  <c r="B6990" i="50"/>
  <c r="B6991" i="50"/>
  <c r="B6992" i="50"/>
  <c r="B6993" i="50"/>
  <c r="B6994" i="50"/>
  <c r="B6995" i="50"/>
  <c r="B6996" i="50"/>
  <c r="B6997" i="50"/>
  <c r="B6998" i="50"/>
  <c r="B6999" i="50"/>
  <c r="B7000" i="50"/>
  <c r="B7001" i="50"/>
  <c r="B7002" i="50"/>
  <c r="B7003" i="50"/>
  <c r="B7004" i="50"/>
  <c r="B7005" i="50"/>
  <c r="B7006" i="50"/>
  <c r="B7007" i="50"/>
  <c r="B7008" i="50"/>
  <c r="B7009" i="50"/>
  <c r="B7010" i="50"/>
  <c r="B7011" i="50"/>
  <c r="B7012" i="50"/>
  <c r="B7013" i="50"/>
  <c r="B7014" i="50"/>
  <c r="B7015" i="50"/>
  <c r="B7016" i="50"/>
  <c r="B7017" i="50"/>
  <c r="B7018" i="50"/>
  <c r="B7019" i="50"/>
  <c r="B7020" i="50"/>
  <c r="B7021" i="50"/>
  <c r="B7022" i="50"/>
  <c r="B7023" i="50"/>
  <c r="B7024" i="50"/>
  <c r="B7025" i="50"/>
  <c r="B7026" i="50"/>
  <c r="B7027" i="50"/>
  <c r="B7028" i="50"/>
  <c r="B7029" i="50"/>
  <c r="B7030" i="50"/>
  <c r="B7031" i="50"/>
  <c r="B7032" i="50"/>
  <c r="B7033" i="50"/>
  <c r="B7034" i="50"/>
  <c r="B7035" i="50"/>
  <c r="B7036" i="50"/>
  <c r="B7037" i="50"/>
  <c r="B7038" i="50"/>
  <c r="B7039" i="50"/>
  <c r="B7040" i="50"/>
  <c r="B7041" i="50"/>
  <c r="B7042" i="50"/>
  <c r="B7043" i="50"/>
  <c r="B7044" i="50"/>
  <c r="B7045" i="50"/>
  <c r="B7046" i="50"/>
  <c r="B7047" i="50"/>
  <c r="B7048" i="50"/>
  <c r="B7049" i="50"/>
  <c r="B7050" i="50"/>
  <c r="B7051" i="50"/>
  <c r="B7052" i="50"/>
  <c r="B7053" i="50"/>
  <c r="B7054" i="50"/>
  <c r="B7055" i="50"/>
  <c r="B7056" i="50"/>
  <c r="B7057" i="50"/>
  <c r="B7058" i="50"/>
  <c r="B7059" i="50"/>
  <c r="B7060" i="50"/>
  <c r="B7061" i="50"/>
  <c r="B7062" i="50"/>
  <c r="B7063" i="50"/>
  <c r="B7064" i="50"/>
  <c r="B7065" i="50"/>
  <c r="B7066" i="50"/>
  <c r="B7067" i="50"/>
  <c r="B7068" i="50"/>
  <c r="B7069" i="50"/>
  <c r="B7070" i="50"/>
  <c r="B7071" i="50"/>
  <c r="B7072" i="50"/>
  <c r="B7073" i="50"/>
  <c r="B7074" i="50"/>
  <c r="B7075" i="50"/>
  <c r="B7076" i="50"/>
  <c r="B7077" i="50"/>
  <c r="B7078" i="50"/>
  <c r="B7079" i="50"/>
  <c r="B7080" i="50"/>
  <c r="B7081" i="50"/>
  <c r="B7082" i="50"/>
  <c r="B7083" i="50"/>
  <c r="B7084" i="50"/>
  <c r="B7085" i="50"/>
  <c r="B7086" i="50"/>
  <c r="B7087" i="50"/>
  <c r="B7088" i="50"/>
  <c r="B7089" i="50"/>
  <c r="B7090" i="50"/>
  <c r="B7091" i="50"/>
  <c r="B7092" i="50"/>
  <c r="B7093" i="50"/>
  <c r="B7094" i="50"/>
  <c r="B7095" i="50"/>
  <c r="B7096" i="50"/>
  <c r="B7097" i="50"/>
  <c r="B7098" i="50"/>
  <c r="B7099" i="50"/>
  <c r="B7100" i="50"/>
  <c r="B7101" i="50"/>
  <c r="B7102" i="50"/>
  <c r="B7103" i="50"/>
  <c r="B7104" i="50"/>
  <c r="B7105" i="50"/>
  <c r="B7106" i="50"/>
  <c r="B7107" i="50"/>
  <c r="B7108" i="50"/>
  <c r="B7109" i="50"/>
  <c r="B7110" i="50"/>
  <c r="B7111" i="50"/>
  <c r="B7112" i="50"/>
  <c r="B7113" i="50"/>
  <c r="B7114" i="50"/>
  <c r="B7115" i="50"/>
  <c r="B7116" i="50"/>
  <c r="B7117" i="50"/>
  <c r="B7118" i="50"/>
  <c r="B7119" i="50"/>
  <c r="B7120" i="50"/>
  <c r="B7121" i="50"/>
  <c r="B7122" i="50"/>
  <c r="B7123" i="50"/>
  <c r="B7124" i="50"/>
  <c r="B7125" i="50"/>
  <c r="B7126" i="50"/>
  <c r="B7127" i="50"/>
  <c r="B7128" i="50"/>
  <c r="B7129" i="50"/>
  <c r="B7130" i="50"/>
  <c r="B7131" i="50"/>
  <c r="B7132" i="50"/>
  <c r="B7133" i="50"/>
  <c r="B7134" i="50"/>
  <c r="B7135" i="50"/>
  <c r="B7136" i="50"/>
  <c r="B7137" i="50"/>
  <c r="B7138" i="50"/>
  <c r="B7139" i="50"/>
  <c r="B7140" i="50"/>
  <c r="B7141" i="50"/>
  <c r="B7142" i="50"/>
  <c r="B7143" i="50"/>
  <c r="B7144" i="50"/>
  <c r="B7145" i="50"/>
  <c r="B7146" i="50"/>
  <c r="B7147" i="50"/>
  <c r="B7148" i="50"/>
  <c r="B7149" i="50"/>
  <c r="B7150" i="50"/>
  <c r="B7151" i="50"/>
  <c r="B7152" i="50"/>
  <c r="B7153" i="50"/>
  <c r="B7154" i="50"/>
  <c r="B7155" i="50"/>
  <c r="B7156" i="50"/>
  <c r="B7157" i="50"/>
  <c r="B7158" i="50"/>
  <c r="B7159" i="50"/>
  <c r="B7160" i="50"/>
  <c r="B7161" i="50"/>
  <c r="B7162" i="50"/>
  <c r="B7163" i="50"/>
  <c r="B7164" i="50"/>
  <c r="B7165" i="50"/>
  <c r="B7166" i="50"/>
  <c r="B7167" i="50"/>
  <c r="B7168" i="50"/>
  <c r="B7169" i="50"/>
  <c r="B7170" i="50"/>
  <c r="B7171" i="50"/>
  <c r="B7172" i="50"/>
  <c r="B7173" i="50"/>
  <c r="B7174" i="50"/>
  <c r="B7175" i="50"/>
  <c r="B7176" i="50"/>
  <c r="B7177" i="50"/>
  <c r="B7178" i="50"/>
  <c r="B7179" i="50"/>
  <c r="B7180" i="50"/>
  <c r="B7181" i="50"/>
  <c r="B7182" i="50"/>
  <c r="B7183" i="50"/>
  <c r="B7184" i="50"/>
  <c r="B7185" i="50"/>
  <c r="B7186" i="50"/>
  <c r="B7187" i="50"/>
  <c r="B7188" i="50"/>
  <c r="B7189" i="50"/>
  <c r="B7190" i="50"/>
  <c r="B7191" i="50"/>
  <c r="B7192" i="50"/>
  <c r="B7193" i="50"/>
  <c r="B7194" i="50"/>
  <c r="B7195" i="50"/>
  <c r="B7196" i="50"/>
  <c r="B7197" i="50"/>
  <c r="B7198" i="50"/>
  <c r="B7199" i="50"/>
  <c r="B7200" i="50"/>
  <c r="B7201" i="50"/>
  <c r="B7202" i="50"/>
  <c r="B7203" i="50"/>
  <c r="B7204" i="50"/>
  <c r="B7205" i="50"/>
  <c r="B7206" i="50"/>
  <c r="B7207" i="50"/>
  <c r="B7208" i="50"/>
  <c r="B7209" i="50"/>
  <c r="B7210" i="50"/>
  <c r="B7211" i="50"/>
  <c r="B7212" i="50"/>
  <c r="B7213" i="50"/>
  <c r="B7214" i="50"/>
  <c r="B7215" i="50"/>
  <c r="B7216" i="50"/>
  <c r="B7217" i="50"/>
  <c r="B7218" i="50"/>
  <c r="B7219" i="50"/>
  <c r="B7220" i="50"/>
  <c r="B7221" i="50"/>
  <c r="B7222" i="50"/>
  <c r="B7223" i="50"/>
  <c r="B7224" i="50"/>
  <c r="B7225" i="50"/>
  <c r="B7226" i="50"/>
  <c r="B7227" i="50"/>
  <c r="B7228" i="50"/>
  <c r="B7229" i="50"/>
  <c r="B7230" i="50"/>
  <c r="B7231" i="50"/>
  <c r="B7232" i="50"/>
  <c r="B7233" i="50"/>
  <c r="B7234" i="50"/>
  <c r="B7235" i="50"/>
  <c r="B7236" i="50"/>
  <c r="B7237" i="50"/>
  <c r="B7238" i="50"/>
  <c r="B7239" i="50"/>
  <c r="B7240" i="50"/>
  <c r="B7241" i="50"/>
  <c r="B7242" i="50"/>
  <c r="B7243" i="50"/>
  <c r="B7244" i="50"/>
  <c r="B7245" i="50"/>
  <c r="B7246" i="50"/>
  <c r="B7247" i="50"/>
  <c r="B7248" i="50"/>
  <c r="B7249" i="50"/>
  <c r="B7250" i="50"/>
  <c r="B7251" i="50"/>
  <c r="B7252" i="50"/>
  <c r="B7253" i="50"/>
  <c r="B7254" i="50"/>
  <c r="B7255" i="50"/>
  <c r="B7256" i="50"/>
  <c r="B7257" i="50"/>
  <c r="B7258" i="50"/>
  <c r="B7259" i="50"/>
  <c r="B7260" i="50"/>
  <c r="B7261" i="50"/>
  <c r="B7262" i="50"/>
  <c r="B7263" i="50"/>
  <c r="B7264" i="50"/>
  <c r="B7265" i="50"/>
  <c r="B7266" i="50"/>
  <c r="B7267" i="50"/>
  <c r="B7268" i="50"/>
  <c r="B7269" i="50"/>
  <c r="B7270" i="50"/>
  <c r="B7271" i="50"/>
  <c r="B7272" i="50"/>
  <c r="B7273" i="50"/>
  <c r="B7274" i="50"/>
  <c r="B7275" i="50"/>
  <c r="B7276" i="50"/>
  <c r="B7277" i="50"/>
  <c r="B7278" i="50"/>
  <c r="B7279" i="50"/>
  <c r="B7280" i="50"/>
  <c r="B7281" i="50"/>
  <c r="B7282" i="50"/>
  <c r="B7283" i="50"/>
  <c r="B7284" i="50"/>
  <c r="B7285" i="50"/>
  <c r="B7286" i="50"/>
  <c r="B7287" i="50"/>
  <c r="B7288" i="50"/>
  <c r="B7289" i="50"/>
  <c r="B7290" i="50"/>
  <c r="B7291" i="50"/>
  <c r="B7292" i="50"/>
  <c r="B7293" i="50"/>
  <c r="B7294" i="50"/>
  <c r="B7295" i="50"/>
  <c r="B7296" i="50"/>
  <c r="B7297" i="50"/>
  <c r="B7298" i="50"/>
  <c r="B7299" i="50"/>
  <c r="B7300" i="50"/>
  <c r="B7301" i="50"/>
  <c r="B7302" i="50"/>
  <c r="B7303" i="50"/>
  <c r="B7304" i="50"/>
  <c r="B7305" i="50"/>
  <c r="B7306" i="50"/>
  <c r="B7307" i="50"/>
  <c r="B7308" i="50"/>
  <c r="B7309" i="50"/>
  <c r="B7310" i="50"/>
  <c r="B7311" i="50"/>
  <c r="B7312" i="50"/>
  <c r="B7313" i="50"/>
  <c r="B7314" i="50"/>
  <c r="B7315" i="50"/>
  <c r="B7316" i="50"/>
  <c r="B7317" i="50"/>
  <c r="B7318" i="50"/>
  <c r="B7319" i="50"/>
  <c r="B7320" i="50"/>
  <c r="B7321" i="50"/>
  <c r="B7322" i="50"/>
  <c r="B7323" i="50"/>
  <c r="B7324" i="50"/>
  <c r="B7325" i="50"/>
  <c r="B7326" i="50"/>
  <c r="B7327" i="50"/>
  <c r="B7328" i="50"/>
  <c r="B7329" i="50"/>
  <c r="B7330" i="50"/>
  <c r="B7331" i="50"/>
  <c r="B7332" i="50"/>
  <c r="B7333" i="50"/>
  <c r="B7334" i="50"/>
  <c r="B7335" i="50"/>
  <c r="B7336" i="50"/>
  <c r="B7337" i="50"/>
  <c r="B7338" i="50"/>
  <c r="B7339" i="50"/>
  <c r="B7340" i="50"/>
  <c r="B7341" i="50"/>
  <c r="B7342" i="50"/>
  <c r="B7343" i="50"/>
  <c r="B7344" i="50"/>
  <c r="B7345" i="50"/>
  <c r="B7346" i="50"/>
  <c r="B7347" i="50"/>
  <c r="B7348" i="50"/>
  <c r="B7349" i="50"/>
  <c r="B7350" i="50"/>
  <c r="B7351" i="50"/>
  <c r="B7352" i="50"/>
  <c r="B7353" i="50"/>
  <c r="B7354" i="50"/>
  <c r="B7355" i="50"/>
  <c r="B7356" i="50"/>
  <c r="B7357" i="50"/>
  <c r="B7358" i="50"/>
  <c r="B7359" i="50"/>
  <c r="B7360" i="50"/>
  <c r="B7361" i="50"/>
  <c r="B7362" i="50"/>
  <c r="B7363" i="50"/>
  <c r="B7364" i="50"/>
  <c r="B7365" i="50"/>
  <c r="B7366" i="50"/>
  <c r="B7367" i="50"/>
  <c r="B7368" i="50"/>
  <c r="B7369" i="50"/>
  <c r="B7370" i="50"/>
  <c r="B7371" i="50"/>
  <c r="B7372" i="50"/>
  <c r="B7373" i="50"/>
  <c r="B7374" i="50"/>
  <c r="B7375" i="50"/>
  <c r="B7376" i="50"/>
  <c r="B7377" i="50"/>
  <c r="B7378" i="50"/>
  <c r="B7379" i="50"/>
  <c r="B7380" i="50"/>
  <c r="B7381" i="50"/>
  <c r="B7382" i="50"/>
  <c r="B7383" i="50"/>
  <c r="B7384" i="50"/>
  <c r="B7385" i="50"/>
  <c r="B7386" i="50"/>
  <c r="B7387" i="50"/>
  <c r="B7388" i="50"/>
  <c r="B7389" i="50"/>
  <c r="B7390" i="50"/>
  <c r="B7391" i="50"/>
  <c r="B7392" i="50"/>
  <c r="B7393" i="50"/>
  <c r="B7394" i="50"/>
  <c r="B7395" i="50"/>
  <c r="B7396" i="50"/>
  <c r="B7397" i="50"/>
  <c r="B7398" i="50"/>
  <c r="B7399" i="50"/>
  <c r="B7400" i="50"/>
  <c r="B7401" i="50"/>
  <c r="B7402" i="50"/>
  <c r="B7403" i="50"/>
  <c r="B7404" i="50"/>
  <c r="B7405" i="50"/>
  <c r="B7406" i="50"/>
  <c r="B7407" i="50"/>
  <c r="B7408" i="50"/>
  <c r="B7409" i="50"/>
  <c r="B7410" i="50"/>
  <c r="B7411" i="50"/>
  <c r="B7412" i="50"/>
  <c r="B7413" i="50"/>
  <c r="B7414" i="50"/>
  <c r="B7415" i="50"/>
  <c r="B7416" i="50"/>
  <c r="B7417" i="50"/>
  <c r="B7418" i="50"/>
  <c r="B7419" i="50"/>
  <c r="B7420" i="50"/>
  <c r="B7421" i="50"/>
  <c r="B7422" i="50"/>
  <c r="B7423" i="50"/>
  <c r="B7424" i="50"/>
  <c r="B7425" i="50"/>
  <c r="B7426" i="50"/>
  <c r="B7427" i="50"/>
  <c r="B7428" i="50"/>
  <c r="B7429" i="50"/>
  <c r="B7430" i="50"/>
  <c r="B7431" i="50"/>
  <c r="B7432" i="50"/>
  <c r="B7433" i="50"/>
  <c r="B7434" i="50"/>
  <c r="B7435" i="50"/>
  <c r="B3" i="34"/>
  <c r="B4" i="34"/>
  <c r="B5" i="34"/>
  <c r="B6" i="34"/>
  <c r="B7" i="34"/>
  <c r="B8" i="34"/>
  <c r="B9" i="34"/>
  <c r="B10" i="34"/>
  <c r="B11" i="34"/>
  <c r="B12" i="34"/>
  <c r="B13" i="34"/>
  <c r="B14" i="34"/>
  <c r="B15" i="34"/>
  <c r="B16" i="34"/>
  <c r="B17" i="34"/>
  <c r="B18" i="34"/>
  <c r="B19" i="34"/>
  <c r="B20" i="34"/>
  <c r="B21" i="34"/>
  <c r="B22" i="34"/>
  <c r="B23" i="34"/>
  <c r="B24" i="34"/>
  <c r="B25" i="34"/>
  <c r="B26" i="34"/>
  <c r="B27" i="34"/>
  <c r="B28" i="34"/>
  <c r="B29" i="34"/>
  <c r="B30" i="34"/>
  <c r="B31" i="34"/>
  <c r="B32" i="34"/>
  <c r="B33" i="34"/>
  <c r="B34" i="34"/>
  <c r="B35" i="34"/>
  <c r="B36" i="34"/>
  <c r="B37" i="34"/>
  <c r="B38" i="34"/>
  <c r="B39" i="34"/>
  <c r="B40" i="34"/>
  <c r="B41" i="34"/>
  <c r="B42" i="34"/>
  <c r="B43" i="34"/>
  <c r="B44" i="34"/>
  <c r="B45" i="34"/>
  <c r="B46" i="34"/>
  <c r="B47" i="34"/>
  <c r="B48" i="34"/>
  <c r="B49" i="34"/>
  <c r="B50" i="34"/>
  <c r="B51" i="34"/>
  <c r="B52" i="34"/>
  <c r="B53" i="34"/>
  <c r="B54" i="34"/>
  <c r="B55" i="34"/>
  <c r="B56" i="34"/>
  <c r="B57" i="34"/>
  <c r="B58" i="34"/>
  <c r="B59" i="34"/>
  <c r="B60" i="34"/>
  <c r="B61" i="34"/>
  <c r="B62" i="34"/>
  <c r="B63" i="34"/>
  <c r="B64" i="34"/>
  <c r="B65" i="34"/>
  <c r="B66" i="34"/>
  <c r="B67" i="34"/>
  <c r="B68" i="34"/>
  <c r="B69" i="34"/>
  <c r="B70" i="34"/>
  <c r="B71" i="34"/>
  <c r="B72" i="34"/>
  <c r="B73" i="34"/>
  <c r="B74" i="34"/>
  <c r="B75" i="34"/>
  <c r="B76" i="34"/>
  <c r="B77" i="34"/>
  <c r="B78" i="34"/>
  <c r="B79" i="34"/>
  <c r="B80" i="34"/>
  <c r="B81" i="34"/>
  <c r="B82" i="34"/>
  <c r="B83" i="34"/>
  <c r="B84" i="34"/>
  <c r="B85" i="34"/>
  <c r="B86" i="34"/>
  <c r="B87" i="34"/>
  <c r="B88" i="34"/>
  <c r="B89" i="34"/>
  <c r="B90" i="34"/>
  <c r="B91" i="34"/>
  <c r="B92" i="34"/>
  <c r="B93" i="34"/>
  <c r="B94" i="34"/>
  <c r="B95" i="34"/>
  <c r="B96" i="34"/>
  <c r="B97" i="34"/>
  <c r="B98" i="34"/>
  <c r="B99" i="34"/>
  <c r="B100" i="34"/>
  <c r="B101" i="34"/>
  <c r="B102" i="34"/>
  <c r="B103" i="34"/>
  <c r="B104" i="34"/>
  <c r="B105" i="34"/>
  <c r="B106" i="34"/>
  <c r="B107" i="34"/>
  <c r="B108" i="34"/>
  <c r="B109" i="34"/>
  <c r="B110" i="34"/>
  <c r="B111" i="34"/>
  <c r="B112" i="34"/>
  <c r="B113" i="34"/>
  <c r="B114" i="34"/>
  <c r="B115" i="34"/>
  <c r="B116" i="34"/>
  <c r="B117" i="34"/>
  <c r="B118" i="34"/>
  <c r="B119" i="34"/>
  <c r="B120" i="34"/>
  <c r="B121" i="34"/>
  <c r="B122" i="34"/>
  <c r="B123" i="34"/>
  <c r="B124" i="34"/>
  <c r="B125" i="34"/>
  <c r="B126" i="34"/>
  <c r="B127" i="34"/>
  <c r="B128" i="34"/>
  <c r="B129" i="34"/>
  <c r="B130" i="34"/>
  <c r="B131" i="34"/>
  <c r="B132" i="34"/>
  <c r="B133" i="34"/>
  <c r="B134" i="34"/>
  <c r="B135" i="34"/>
  <c r="B136" i="34"/>
  <c r="B137" i="34"/>
  <c r="B138" i="34"/>
  <c r="B139" i="34"/>
  <c r="B140" i="34"/>
  <c r="B141" i="34"/>
  <c r="B142" i="34"/>
  <c r="B143" i="34"/>
  <c r="B144" i="34"/>
  <c r="B145" i="34"/>
  <c r="B146" i="34"/>
  <c r="B147" i="34"/>
  <c r="B148" i="34"/>
  <c r="B149" i="34"/>
  <c r="B150" i="34"/>
  <c r="B151" i="34"/>
  <c r="B152" i="34"/>
  <c r="B153" i="34"/>
  <c r="B154" i="34"/>
  <c r="B155" i="34"/>
  <c r="B156" i="34"/>
  <c r="B157" i="34"/>
  <c r="B158" i="34"/>
  <c r="B159" i="34"/>
  <c r="B160" i="34"/>
  <c r="B161" i="34"/>
  <c r="B162" i="34"/>
  <c r="B163" i="34"/>
  <c r="B164" i="34"/>
  <c r="B165" i="34"/>
  <c r="B166" i="34"/>
  <c r="B167" i="34"/>
  <c r="B168" i="34"/>
  <c r="B169" i="34"/>
  <c r="B170" i="34"/>
  <c r="B171" i="34"/>
  <c r="B172" i="34"/>
  <c r="B173" i="34"/>
  <c r="B174" i="34"/>
  <c r="B175" i="34"/>
  <c r="B176" i="34"/>
  <c r="B177" i="34"/>
  <c r="B178" i="34"/>
  <c r="B179" i="34"/>
  <c r="B180" i="34"/>
  <c r="B181" i="34"/>
  <c r="B182" i="34"/>
  <c r="B183" i="34"/>
  <c r="B184" i="34"/>
  <c r="B185" i="34"/>
  <c r="B186" i="34"/>
  <c r="B187" i="34"/>
  <c r="B188" i="34"/>
  <c r="B189" i="34"/>
  <c r="B190" i="34"/>
  <c r="B191" i="34"/>
  <c r="B192" i="34"/>
  <c r="B193" i="34"/>
  <c r="B194" i="34"/>
  <c r="B195" i="34"/>
  <c r="B196" i="34"/>
  <c r="B197" i="34"/>
  <c r="B198" i="34"/>
  <c r="B199" i="34"/>
  <c r="B200" i="34"/>
  <c r="B201" i="34"/>
  <c r="B202" i="34"/>
  <c r="B203" i="34"/>
  <c r="B204" i="34"/>
  <c r="B205" i="34"/>
  <c r="B206" i="34"/>
  <c r="B207" i="34"/>
  <c r="B208" i="34"/>
  <c r="B209" i="34"/>
  <c r="B210" i="34"/>
  <c r="B211" i="34"/>
  <c r="B212" i="34"/>
  <c r="B213" i="34"/>
  <c r="B214" i="34"/>
  <c r="B215" i="34"/>
  <c r="B216" i="34"/>
  <c r="B217" i="34"/>
  <c r="B218" i="34"/>
  <c r="B219" i="34"/>
  <c r="B220" i="34"/>
  <c r="B221" i="34"/>
  <c r="B222" i="34"/>
  <c r="B223" i="34"/>
  <c r="B224" i="34"/>
  <c r="B225" i="34"/>
  <c r="B226" i="34"/>
  <c r="B227" i="34"/>
  <c r="B228" i="34"/>
  <c r="B229" i="34"/>
  <c r="B230" i="34"/>
  <c r="B231" i="34"/>
  <c r="B232" i="34"/>
  <c r="B233" i="34"/>
  <c r="B234" i="34"/>
  <c r="B235" i="34"/>
  <c r="B236" i="34"/>
  <c r="B237" i="34"/>
  <c r="B238" i="34"/>
  <c r="B239" i="34"/>
  <c r="B240" i="34"/>
  <c r="B241" i="34"/>
  <c r="B242" i="34"/>
  <c r="B243" i="34"/>
  <c r="B244" i="34"/>
  <c r="B245" i="34"/>
  <c r="B246" i="34"/>
  <c r="B247" i="34"/>
  <c r="B248" i="34"/>
  <c r="B249" i="34"/>
  <c r="B250" i="34"/>
  <c r="B251" i="34"/>
  <c r="B252" i="34"/>
  <c r="B253" i="34"/>
  <c r="B254" i="34"/>
  <c r="B255" i="34"/>
  <c r="B256" i="34"/>
  <c r="B257" i="34"/>
  <c r="B258" i="34"/>
  <c r="B259" i="34"/>
  <c r="B260" i="34"/>
  <c r="B261" i="34"/>
  <c r="B262" i="34"/>
  <c r="B263" i="34"/>
  <c r="B264" i="34"/>
  <c r="B265" i="34"/>
  <c r="B266" i="34"/>
  <c r="B267" i="34"/>
  <c r="B268" i="34"/>
  <c r="B269" i="34"/>
  <c r="B270" i="34"/>
  <c r="B271" i="34"/>
  <c r="B272" i="34"/>
  <c r="B273" i="34"/>
  <c r="B274" i="34"/>
  <c r="B275" i="34"/>
  <c r="B276" i="34"/>
  <c r="B277" i="34"/>
  <c r="B278" i="34"/>
  <c r="B279" i="34"/>
  <c r="B280" i="34"/>
  <c r="B281" i="34"/>
  <c r="B282" i="34"/>
  <c r="B283" i="34"/>
  <c r="B284" i="34"/>
  <c r="B285" i="34"/>
  <c r="B286" i="34"/>
  <c r="B287" i="34"/>
  <c r="B288" i="34"/>
  <c r="B289" i="34"/>
  <c r="B290" i="34"/>
  <c r="B291" i="34"/>
  <c r="B292" i="34"/>
  <c r="B293" i="34"/>
  <c r="B294" i="34"/>
  <c r="B295" i="34"/>
  <c r="B296" i="34"/>
  <c r="B297" i="34"/>
  <c r="B298" i="34"/>
  <c r="B299" i="34"/>
  <c r="B300" i="34"/>
  <c r="B301" i="34"/>
  <c r="B302" i="34"/>
  <c r="B303" i="34"/>
  <c r="B304" i="34"/>
  <c r="B305" i="34"/>
  <c r="B306" i="34"/>
  <c r="B307" i="34"/>
  <c r="B308" i="34"/>
  <c r="B309" i="34"/>
  <c r="B310" i="34"/>
  <c r="B311" i="34"/>
  <c r="B312" i="34"/>
  <c r="B313" i="34"/>
  <c r="B314" i="34"/>
  <c r="B315" i="34"/>
  <c r="B316" i="34"/>
  <c r="B317" i="34"/>
  <c r="B318" i="34"/>
  <c r="B319" i="34"/>
  <c r="B320" i="34"/>
  <c r="B321" i="34"/>
  <c r="B322" i="34"/>
  <c r="B323" i="34"/>
  <c r="B324" i="34"/>
  <c r="B325" i="34"/>
  <c r="B326" i="34"/>
  <c r="B327" i="34"/>
  <c r="B328" i="34"/>
  <c r="B329" i="34"/>
  <c r="B330" i="34"/>
  <c r="B331" i="34"/>
  <c r="B332" i="34"/>
  <c r="B333" i="34"/>
  <c r="B334" i="34"/>
  <c r="B335" i="34"/>
  <c r="B336" i="34"/>
  <c r="B337" i="34"/>
  <c r="B338" i="34"/>
  <c r="B339" i="34"/>
  <c r="B340" i="34"/>
  <c r="B341" i="34"/>
  <c r="B342" i="34"/>
  <c r="B343" i="34"/>
  <c r="B344" i="34"/>
  <c r="B345" i="34"/>
  <c r="B346" i="34"/>
  <c r="B347" i="34"/>
  <c r="B348" i="34"/>
  <c r="B349" i="34"/>
  <c r="B350" i="34"/>
  <c r="B351" i="34"/>
  <c r="B352" i="34"/>
  <c r="B353" i="34"/>
  <c r="B354" i="34"/>
  <c r="B355" i="34"/>
  <c r="B356" i="34"/>
  <c r="B357" i="34"/>
  <c r="B358" i="34"/>
  <c r="B359" i="34"/>
  <c r="B360" i="34"/>
  <c r="B361" i="34"/>
  <c r="B362" i="34"/>
  <c r="B363" i="34"/>
  <c r="B364" i="34"/>
  <c r="B365" i="34"/>
  <c r="B366" i="34"/>
  <c r="B367" i="34"/>
  <c r="B368" i="34"/>
  <c r="B369" i="34"/>
  <c r="B370" i="34"/>
  <c r="B371" i="34"/>
  <c r="B372" i="34"/>
  <c r="B373" i="34"/>
  <c r="B374" i="34"/>
  <c r="B375" i="34"/>
  <c r="B376" i="34"/>
  <c r="B377" i="34"/>
  <c r="B378" i="34"/>
  <c r="B379" i="34"/>
  <c r="B380" i="34"/>
  <c r="B381" i="34"/>
  <c r="B382" i="34"/>
  <c r="B383" i="34"/>
  <c r="B384" i="34"/>
  <c r="B385" i="34"/>
  <c r="B386" i="34"/>
  <c r="B387" i="34"/>
  <c r="B388" i="34"/>
  <c r="B389" i="34"/>
  <c r="B390" i="34"/>
  <c r="B391" i="34"/>
  <c r="B392" i="34"/>
  <c r="B393" i="34"/>
  <c r="B394" i="34"/>
  <c r="B395" i="34"/>
  <c r="B396" i="34"/>
  <c r="B397" i="34"/>
  <c r="B398" i="34"/>
  <c r="B399" i="34"/>
  <c r="B400" i="34"/>
  <c r="B401" i="34"/>
  <c r="B402" i="34"/>
  <c r="B403" i="34"/>
  <c r="B404" i="34"/>
  <c r="B405" i="34"/>
  <c r="B406" i="34"/>
  <c r="B407" i="34"/>
  <c r="B408" i="34"/>
  <c r="B409" i="34"/>
  <c r="B410" i="34"/>
  <c r="B411" i="34"/>
  <c r="B412" i="34"/>
  <c r="B413" i="34"/>
  <c r="B414" i="34"/>
  <c r="B415" i="34"/>
  <c r="B416" i="34"/>
  <c r="B417" i="34"/>
  <c r="B418" i="34"/>
  <c r="B419" i="34"/>
  <c r="B420" i="34"/>
  <c r="B421" i="34"/>
  <c r="B422" i="34"/>
  <c r="B423" i="34"/>
  <c r="B424" i="34"/>
  <c r="B425" i="34"/>
  <c r="B426" i="34"/>
  <c r="B427" i="34"/>
  <c r="B428" i="34"/>
  <c r="B429" i="34"/>
  <c r="B430" i="34"/>
  <c r="B431" i="34"/>
  <c r="B432" i="34"/>
  <c r="B433" i="34"/>
  <c r="B434" i="34"/>
  <c r="B435" i="34"/>
  <c r="B436" i="34"/>
  <c r="B437" i="34"/>
  <c r="B438" i="34"/>
  <c r="B439" i="34"/>
  <c r="B440" i="34"/>
  <c r="B441" i="34"/>
  <c r="B442" i="34"/>
  <c r="B443" i="34"/>
  <c r="B444" i="34"/>
  <c r="B445" i="34"/>
  <c r="B446" i="34"/>
  <c r="B447" i="34"/>
  <c r="B448" i="34"/>
  <c r="B449" i="34"/>
  <c r="B450" i="34"/>
  <c r="B451" i="34"/>
  <c r="B452" i="34"/>
  <c r="B453" i="34"/>
  <c r="B454" i="34"/>
  <c r="B455" i="34"/>
  <c r="B456" i="34"/>
  <c r="B457" i="34"/>
  <c r="B458" i="34"/>
  <c r="B459" i="34"/>
  <c r="B460" i="34"/>
  <c r="B461" i="34"/>
  <c r="B462" i="34"/>
  <c r="B463" i="34"/>
  <c r="B464" i="34"/>
  <c r="B465" i="34"/>
  <c r="B466" i="34"/>
  <c r="B467" i="34"/>
  <c r="B468" i="34"/>
  <c r="B469" i="34"/>
  <c r="B470" i="34"/>
  <c r="B471" i="34"/>
  <c r="B472" i="34"/>
  <c r="B473" i="34"/>
  <c r="B474" i="34"/>
  <c r="B475" i="34"/>
  <c r="B476" i="34"/>
  <c r="B477" i="34"/>
  <c r="B478" i="34"/>
  <c r="B479" i="34"/>
  <c r="B480" i="34"/>
  <c r="B481" i="34"/>
  <c r="B482" i="34"/>
  <c r="B483" i="34"/>
  <c r="B484" i="34"/>
  <c r="B485" i="34"/>
  <c r="B486" i="34"/>
  <c r="B487" i="34"/>
  <c r="B488" i="34"/>
  <c r="B489" i="34"/>
  <c r="B490" i="34"/>
  <c r="B491" i="34"/>
  <c r="B492" i="34"/>
  <c r="B493" i="34"/>
  <c r="B494" i="34"/>
  <c r="B495" i="34"/>
  <c r="B496" i="34"/>
  <c r="B497" i="34"/>
  <c r="B498" i="34"/>
  <c r="B499" i="34"/>
  <c r="B500" i="34"/>
  <c r="B501" i="34"/>
  <c r="B502" i="34"/>
  <c r="B503" i="34"/>
  <c r="B504" i="34"/>
  <c r="B505" i="34"/>
  <c r="B506" i="34"/>
  <c r="B507" i="34"/>
  <c r="B508" i="34"/>
  <c r="B509" i="34"/>
  <c r="B510" i="34"/>
  <c r="B511" i="34"/>
  <c r="B512" i="34"/>
  <c r="B513" i="34"/>
  <c r="B514" i="34"/>
  <c r="B515" i="34"/>
  <c r="B516" i="34"/>
  <c r="B517" i="34"/>
  <c r="B518" i="34"/>
  <c r="B519" i="34"/>
  <c r="B520" i="34"/>
  <c r="B521" i="34"/>
  <c r="B522" i="34"/>
  <c r="B523" i="34"/>
  <c r="B524" i="34"/>
  <c r="B525" i="34"/>
  <c r="B526" i="34"/>
  <c r="B527" i="34"/>
  <c r="B528" i="34"/>
  <c r="B529" i="34"/>
  <c r="B530" i="34"/>
  <c r="B531" i="34"/>
  <c r="B532" i="34"/>
  <c r="B533" i="34"/>
  <c r="B534" i="34"/>
  <c r="B535" i="34"/>
  <c r="B536" i="34"/>
  <c r="B537" i="34"/>
  <c r="B538" i="34"/>
  <c r="B539" i="34"/>
  <c r="B540" i="34"/>
  <c r="B541" i="34"/>
  <c r="B542" i="34"/>
  <c r="B543" i="34"/>
  <c r="B544" i="34"/>
  <c r="B545" i="34"/>
  <c r="B546" i="34"/>
  <c r="B547" i="34"/>
  <c r="B548" i="34"/>
  <c r="B549" i="34"/>
  <c r="B550" i="34"/>
  <c r="B551" i="34"/>
  <c r="B552" i="34"/>
  <c r="B553" i="34"/>
  <c r="B554" i="34"/>
  <c r="B555" i="34"/>
  <c r="B556" i="34"/>
  <c r="B557" i="34"/>
  <c r="B558" i="34"/>
  <c r="B559" i="34"/>
  <c r="B560" i="34"/>
  <c r="B561" i="34"/>
  <c r="B562" i="34"/>
  <c r="B563" i="34"/>
  <c r="B564" i="34"/>
  <c r="B565" i="34"/>
  <c r="B566" i="34"/>
  <c r="B567" i="34"/>
  <c r="B568" i="34"/>
  <c r="B569" i="34"/>
  <c r="B570" i="34"/>
  <c r="B571" i="34"/>
  <c r="B572" i="34"/>
  <c r="B573" i="34"/>
  <c r="B574" i="34"/>
  <c r="B575" i="34"/>
  <c r="B576" i="34"/>
  <c r="B577" i="34"/>
  <c r="B578" i="34"/>
  <c r="B579" i="34"/>
  <c r="B580" i="34"/>
  <c r="B581" i="34"/>
  <c r="B582" i="34"/>
  <c r="B583" i="34"/>
  <c r="B584" i="34"/>
  <c r="B585" i="34"/>
  <c r="B586" i="34"/>
  <c r="B587" i="34"/>
  <c r="B588" i="34"/>
  <c r="B589" i="34"/>
  <c r="B590" i="34"/>
  <c r="B591" i="34"/>
  <c r="B592" i="34"/>
  <c r="B593" i="34"/>
  <c r="B594" i="34"/>
  <c r="B595" i="34"/>
  <c r="B596" i="34"/>
  <c r="B597" i="34"/>
  <c r="B598" i="34"/>
  <c r="B599" i="34"/>
  <c r="B600" i="34"/>
  <c r="B601" i="34"/>
  <c r="B602" i="34"/>
  <c r="B603" i="34"/>
  <c r="B604" i="34"/>
  <c r="B605" i="34"/>
  <c r="B606" i="34"/>
  <c r="B607" i="34"/>
  <c r="B608" i="34"/>
  <c r="B609" i="34"/>
  <c r="B610" i="34"/>
  <c r="B611" i="34"/>
  <c r="B612" i="34"/>
  <c r="B613" i="34"/>
  <c r="B614" i="34"/>
  <c r="B615" i="34"/>
  <c r="B616" i="34"/>
  <c r="B617" i="34"/>
  <c r="B618" i="34"/>
  <c r="B619" i="34"/>
  <c r="B620" i="34"/>
  <c r="B621" i="34"/>
  <c r="B622" i="34"/>
  <c r="B623" i="34"/>
  <c r="B624" i="34"/>
  <c r="B625" i="34"/>
  <c r="B626" i="34"/>
  <c r="B627" i="34"/>
  <c r="B628" i="34"/>
  <c r="B629" i="34"/>
  <c r="B630" i="34"/>
  <c r="B631" i="34"/>
  <c r="B632" i="34"/>
  <c r="B633" i="34"/>
  <c r="B634" i="34"/>
  <c r="B635" i="34"/>
  <c r="B636" i="34"/>
  <c r="B637" i="34"/>
  <c r="B638" i="34"/>
  <c r="B639" i="34"/>
  <c r="B640" i="34"/>
  <c r="B641" i="34"/>
  <c r="B642" i="34"/>
  <c r="B643" i="34"/>
  <c r="B644" i="34"/>
  <c r="B645" i="34"/>
  <c r="B646" i="34"/>
  <c r="B647" i="34"/>
  <c r="B648" i="34"/>
  <c r="B649" i="34"/>
  <c r="B650" i="34"/>
  <c r="B651" i="34"/>
  <c r="B652" i="34"/>
  <c r="B653" i="34"/>
  <c r="B654" i="34"/>
  <c r="B655" i="34"/>
  <c r="B656" i="34"/>
  <c r="B657" i="34"/>
  <c r="B658" i="34"/>
  <c r="B659" i="34"/>
  <c r="B660" i="34"/>
  <c r="B661" i="34"/>
  <c r="B662" i="34"/>
  <c r="B663" i="34"/>
  <c r="B664" i="34"/>
  <c r="B665" i="34"/>
  <c r="B666" i="34"/>
  <c r="B667" i="34"/>
  <c r="B668" i="34"/>
  <c r="B669" i="34"/>
  <c r="B670" i="34"/>
  <c r="B671" i="34"/>
  <c r="B672" i="34"/>
  <c r="B673" i="34"/>
  <c r="B674" i="34"/>
  <c r="B675" i="34"/>
  <c r="B676" i="34"/>
  <c r="B677" i="34"/>
  <c r="B678" i="34"/>
  <c r="B679" i="34"/>
  <c r="B680" i="34"/>
  <c r="B681" i="34"/>
  <c r="B682" i="34"/>
  <c r="B683" i="34"/>
  <c r="B684" i="34"/>
  <c r="B685" i="34"/>
  <c r="B686" i="34"/>
  <c r="B687" i="34"/>
  <c r="B688" i="34"/>
  <c r="B689" i="34"/>
  <c r="B690" i="34"/>
  <c r="B691" i="34"/>
  <c r="B692" i="34"/>
  <c r="B693" i="34"/>
  <c r="B694" i="34"/>
  <c r="B695" i="34"/>
  <c r="B696" i="34"/>
  <c r="B697" i="34"/>
  <c r="B698" i="34"/>
  <c r="B699" i="34"/>
  <c r="B700" i="34"/>
  <c r="B701" i="34"/>
  <c r="B702" i="34"/>
  <c r="B703" i="34"/>
  <c r="B704" i="34"/>
  <c r="B705" i="34"/>
  <c r="B706" i="34"/>
  <c r="B707" i="34"/>
  <c r="B708" i="34"/>
  <c r="B709" i="34"/>
  <c r="B710" i="34"/>
  <c r="B711" i="34"/>
  <c r="B712" i="34"/>
  <c r="B713" i="34"/>
  <c r="B714" i="34"/>
  <c r="B715" i="34"/>
  <c r="B716" i="34"/>
  <c r="B717" i="34"/>
  <c r="B718" i="34"/>
  <c r="B719" i="34"/>
  <c r="B720" i="34"/>
  <c r="B721" i="34"/>
  <c r="B722" i="34"/>
  <c r="B723" i="34"/>
  <c r="B724" i="34"/>
  <c r="B725" i="34"/>
  <c r="B726" i="34"/>
  <c r="B727" i="34"/>
  <c r="B728" i="34"/>
  <c r="B729" i="34"/>
  <c r="B730" i="34"/>
  <c r="B731" i="34"/>
  <c r="B732" i="34"/>
  <c r="B733" i="34"/>
  <c r="B734" i="34"/>
  <c r="B735" i="34"/>
  <c r="B736" i="34"/>
  <c r="B737" i="34"/>
  <c r="B738" i="34"/>
  <c r="B739" i="34"/>
  <c r="B740" i="34"/>
  <c r="B741" i="34"/>
  <c r="B742" i="34"/>
  <c r="B743" i="34"/>
  <c r="B744" i="34"/>
  <c r="B745" i="34"/>
  <c r="B746" i="34"/>
  <c r="B747" i="34"/>
  <c r="B748" i="34"/>
  <c r="B749" i="34"/>
  <c r="B750" i="34"/>
  <c r="B751" i="34"/>
  <c r="B752" i="34"/>
  <c r="B753" i="34"/>
  <c r="B754" i="34"/>
  <c r="B755" i="34"/>
  <c r="B756" i="34"/>
  <c r="B757" i="34"/>
  <c r="B758" i="34"/>
  <c r="B759" i="34"/>
  <c r="B760" i="34"/>
  <c r="B761" i="34"/>
  <c r="B762" i="34"/>
  <c r="B763" i="34"/>
  <c r="B764" i="34"/>
  <c r="B765" i="34"/>
  <c r="B766" i="34"/>
  <c r="B767" i="34"/>
  <c r="B768" i="34"/>
  <c r="B769" i="34"/>
  <c r="B770" i="34"/>
  <c r="B771" i="34"/>
  <c r="B772" i="34"/>
  <c r="B773" i="34"/>
  <c r="B774" i="34"/>
  <c r="B775" i="34"/>
  <c r="B776" i="34"/>
  <c r="B777" i="34"/>
  <c r="B778" i="34"/>
  <c r="B779" i="34"/>
  <c r="B780" i="34"/>
  <c r="B781" i="34"/>
  <c r="B782" i="34"/>
  <c r="B783" i="34"/>
  <c r="B784" i="34"/>
  <c r="B785" i="34"/>
  <c r="B786" i="34"/>
  <c r="B787" i="34"/>
  <c r="B788" i="34"/>
  <c r="B789" i="34"/>
  <c r="B790" i="34"/>
  <c r="B791" i="34"/>
  <c r="B792" i="34"/>
  <c r="B793" i="34"/>
  <c r="B794" i="34"/>
  <c r="B795" i="34"/>
  <c r="B796" i="34"/>
  <c r="B797" i="34"/>
  <c r="B798" i="34"/>
  <c r="B799" i="34"/>
  <c r="B800" i="34"/>
  <c r="B801" i="34"/>
  <c r="B802" i="34"/>
  <c r="B803" i="34"/>
  <c r="B804" i="34"/>
  <c r="B805" i="34"/>
  <c r="B806" i="34"/>
  <c r="B807" i="34"/>
  <c r="B808" i="34"/>
  <c r="B809" i="34"/>
  <c r="B810" i="34"/>
  <c r="B811" i="34"/>
  <c r="B812" i="34"/>
  <c r="B813" i="34"/>
  <c r="B814" i="34"/>
  <c r="B815" i="34"/>
  <c r="B816" i="34"/>
  <c r="B817" i="34"/>
  <c r="B818" i="34"/>
  <c r="B819" i="34"/>
  <c r="B820" i="34"/>
  <c r="B821" i="34"/>
  <c r="B822" i="34"/>
  <c r="B823" i="34"/>
  <c r="B824" i="34"/>
  <c r="B825" i="34"/>
  <c r="B826" i="34"/>
  <c r="B827" i="34"/>
  <c r="B828" i="34"/>
  <c r="B829" i="34"/>
  <c r="B830" i="34"/>
  <c r="B831" i="34"/>
  <c r="B832" i="34"/>
  <c r="B833" i="34"/>
  <c r="B834" i="34"/>
  <c r="B835" i="34"/>
  <c r="B836" i="34"/>
  <c r="B837" i="34"/>
  <c r="B838" i="34"/>
  <c r="B839" i="34"/>
  <c r="B840" i="34"/>
  <c r="B841" i="34"/>
  <c r="B842" i="34"/>
  <c r="B843" i="34"/>
  <c r="B844" i="34"/>
  <c r="B845" i="34"/>
  <c r="B846" i="34"/>
  <c r="B847" i="34"/>
  <c r="B848" i="34"/>
  <c r="B849" i="34"/>
  <c r="B850" i="34"/>
  <c r="B851" i="34"/>
  <c r="B852" i="34"/>
  <c r="B853" i="34"/>
  <c r="B854" i="34"/>
  <c r="B855" i="34"/>
  <c r="B856" i="34"/>
  <c r="B857" i="34"/>
  <c r="B858" i="34"/>
  <c r="B859" i="34"/>
  <c r="B860" i="34"/>
  <c r="B861" i="34"/>
  <c r="B862" i="34"/>
  <c r="B863" i="34"/>
  <c r="B864" i="34"/>
  <c r="B865" i="34"/>
  <c r="B866" i="34"/>
  <c r="B867" i="34"/>
  <c r="B868" i="34"/>
  <c r="B869" i="34"/>
  <c r="B870" i="34"/>
  <c r="B871" i="34"/>
  <c r="B872" i="34"/>
  <c r="B873" i="34"/>
  <c r="B874" i="34"/>
  <c r="B875" i="34"/>
  <c r="B876" i="34"/>
  <c r="B877" i="34"/>
  <c r="B878" i="34"/>
  <c r="B879" i="34"/>
  <c r="B880" i="34"/>
  <c r="B881" i="34"/>
  <c r="B882" i="34"/>
  <c r="B883" i="34"/>
  <c r="B884" i="34"/>
  <c r="B885" i="34"/>
  <c r="B886" i="34"/>
  <c r="B887" i="34"/>
  <c r="B888" i="34"/>
  <c r="B889" i="34"/>
  <c r="B890" i="34"/>
  <c r="B891" i="34"/>
  <c r="B892" i="34"/>
  <c r="B893" i="34"/>
  <c r="B894" i="34"/>
  <c r="B895" i="34"/>
  <c r="B896" i="34"/>
  <c r="B897" i="34"/>
  <c r="B898" i="34"/>
  <c r="B899" i="34"/>
  <c r="B900" i="34"/>
  <c r="B901" i="34"/>
  <c r="B902" i="34"/>
  <c r="B903" i="34"/>
  <c r="B904" i="34"/>
  <c r="B905" i="34"/>
  <c r="B906" i="34"/>
  <c r="B907" i="34"/>
  <c r="B908" i="34"/>
  <c r="B909" i="34"/>
  <c r="B910" i="34"/>
  <c r="B911" i="34"/>
  <c r="B912" i="34"/>
  <c r="B913" i="34"/>
  <c r="B914" i="34"/>
  <c r="B915" i="34"/>
  <c r="B916" i="34"/>
  <c r="B917" i="34"/>
  <c r="B918" i="34"/>
  <c r="B919" i="34"/>
  <c r="B920" i="34"/>
  <c r="B921" i="34"/>
  <c r="B922" i="34"/>
  <c r="B923" i="34"/>
  <c r="B924" i="34"/>
  <c r="B925" i="34"/>
  <c r="B926" i="34"/>
  <c r="B927" i="34"/>
  <c r="B928" i="34"/>
  <c r="B929" i="34"/>
  <c r="B930" i="34"/>
  <c r="B931" i="34"/>
  <c r="B932" i="34"/>
  <c r="B933" i="34"/>
  <c r="B934" i="34"/>
  <c r="B935" i="34"/>
  <c r="B936" i="34"/>
  <c r="B937" i="34"/>
  <c r="B938" i="34"/>
  <c r="B939" i="34"/>
  <c r="B940" i="34"/>
  <c r="B941" i="34"/>
  <c r="B942" i="34"/>
  <c r="B943" i="34"/>
  <c r="B944" i="34"/>
  <c r="B945" i="34"/>
  <c r="B946" i="34"/>
  <c r="B947" i="34"/>
  <c r="B948" i="34"/>
  <c r="B949" i="34"/>
  <c r="B950" i="34"/>
  <c r="B951" i="34"/>
  <c r="B952" i="34"/>
  <c r="B953" i="34"/>
  <c r="B954" i="34"/>
  <c r="B955" i="34"/>
  <c r="B956" i="34"/>
  <c r="B957" i="34"/>
  <c r="B958" i="34"/>
  <c r="B959" i="34"/>
  <c r="B960" i="34"/>
  <c r="B961" i="34"/>
  <c r="B962" i="34"/>
  <c r="B963" i="34"/>
  <c r="B964" i="34"/>
  <c r="B965" i="34"/>
  <c r="B966" i="34"/>
  <c r="B967" i="34"/>
  <c r="B968" i="34"/>
  <c r="B969" i="34"/>
  <c r="B970" i="34"/>
  <c r="B971" i="34"/>
  <c r="B972" i="34"/>
  <c r="B973" i="34"/>
  <c r="B974" i="34"/>
  <c r="B975" i="34"/>
  <c r="B976" i="34"/>
  <c r="B977" i="34"/>
  <c r="B978" i="34"/>
  <c r="B979" i="34"/>
  <c r="B980" i="34"/>
  <c r="B981" i="34"/>
  <c r="B982" i="34"/>
  <c r="B983" i="34"/>
  <c r="B984" i="34"/>
  <c r="B985" i="34"/>
  <c r="B986" i="34"/>
  <c r="B987" i="34"/>
  <c r="B988" i="34"/>
  <c r="B989" i="34"/>
  <c r="B990" i="34"/>
  <c r="B991" i="34"/>
  <c r="B992" i="34"/>
  <c r="B993" i="34"/>
  <c r="B994" i="34"/>
  <c r="B995" i="34"/>
  <c r="B996" i="34"/>
  <c r="B997" i="34"/>
  <c r="B998" i="34"/>
  <c r="B999" i="34"/>
  <c r="B1000" i="34"/>
  <c r="B1001" i="34"/>
  <c r="B1002" i="34"/>
  <c r="B1003" i="34"/>
  <c r="B1004" i="34"/>
  <c r="B1005" i="34"/>
  <c r="B1006" i="34"/>
  <c r="B1007" i="34"/>
  <c r="B1008" i="34"/>
  <c r="B1009" i="34"/>
  <c r="B1010" i="34"/>
  <c r="B1011" i="34"/>
  <c r="B1012" i="34"/>
  <c r="B1013" i="34"/>
  <c r="B1014" i="34"/>
  <c r="B1015" i="34"/>
  <c r="B1016" i="34"/>
  <c r="B1017" i="34"/>
  <c r="B1018" i="34"/>
  <c r="B1019" i="34"/>
  <c r="B1020" i="34"/>
  <c r="B1021" i="34"/>
  <c r="B1022" i="34"/>
  <c r="B1023" i="34"/>
  <c r="B1024" i="34"/>
  <c r="B1025" i="34"/>
  <c r="B1026" i="34"/>
  <c r="B1027" i="34"/>
  <c r="B1028" i="34"/>
  <c r="B1029" i="34"/>
  <c r="B1030" i="34"/>
  <c r="B1031" i="34"/>
  <c r="B1032" i="34"/>
  <c r="B1033" i="34"/>
  <c r="B1034" i="34"/>
  <c r="B1035" i="34"/>
  <c r="B1036" i="34"/>
  <c r="B1037" i="34"/>
  <c r="B1038" i="34"/>
  <c r="B1039" i="34"/>
  <c r="B1040" i="34"/>
  <c r="B1041" i="34"/>
  <c r="B1042" i="34"/>
  <c r="B1043" i="34"/>
  <c r="B1044" i="34"/>
  <c r="B1045" i="34"/>
  <c r="B1046" i="34"/>
  <c r="B1047" i="34"/>
  <c r="B1048" i="34"/>
  <c r="B1049" i="34"/>
  <c r="B1050" i="34"/>
  <c r="B1051" i="34"/>
  <c r="B1052" i="34"/>
  <c r="B1053" i="34"/>
  <c r="B1054" i="34"/>
  <c r="B1055" i="34"/>
  <c r="B1056" i="34"/>
  <c r="B1057" i="34"/>
  <c r="B1058" i="34"/>
  <c r="B1059" i="34"/>
  <c r="B1060" i="34"/>
  <c r="B1061" i="34"/>
  <c r="B1062" i="34"/>
  <c r="B1063" i="34"/>
  <c r="B1064" i="34"/>
  <c r="B1065" i="34"/>
  <c r="B1066" i="34"/>
  <c r="B1067" i="34"/>
  <c r="B1068" i="34"/>
  <c r="B1069" i="34"/>
  <c r="B1070" i="34"/>
  <c r="B1071" i="34"/>
  <c r="B1072" i="34"/>
  <c r="B1073" i="34"/>
  <c r="B1074" i="34"/>
  <c r="B1075" i="34"/>
  <c r="B1076" i="34"/>
  <c r="B1077" i="34"/>
  <c r="B1078" i="34"/>
  <c r="B1079" i="34"/>
  <c r="B1080" i="34"/>
  <c r="B1081" i="34"/>
  <c r="B1082" i="34"/>
  <c r="B1083" i="34"/>
  <c r="B1084" i="34"/>
  <c r="B1085" i="34"/>
  <c r="B1086" i="34"/>
  <c r="B1087" i="34"/>
  <c r="B1088" i="34"/>
  <c r="B1089" i="34"/>
  <c r="B1090" i="34"/>
  <c r="B1091" i="34"/>
  <c r="B1092" i="34"/>
  <c r="B1093" i="34"/>
  <c r="B1094" i="34"/>
  <c r="B1095" i="34"/>
  <c r="B1096" i="34"/>
  <c r="B1097" i="34"/>
  <c r="B1098" i="34"/>
  <c r="B1099" i="34"/>
  <c r="B1100" i="34"/>
  <c r="B1101" i="34"/>
  <c r="B1102" i="34"/>
  <c r="B1103" i="34"/>
  <c r="B1104" i="34"/>
  <c r="B1105" i="34"/>
  <c r="B1106" i="34"/>
  <c r="B1107" i="34"/>
  <c r="B1108" i="34"/>
  <c r="B1109" i="34"/>
  <c r="B1110" i="34"/>
  <c r="B1111" i="34"/>
  <c r="B1112" i="34"/>
  <c r="B1113" i="34"/>
  <c r="B1114" i="34"/>
  <c r="B1115" i="34"/>
  <c r="B1116" i="34"/>
  <c r="B1117" i="34"/>
  <c r="B1118" i="34"/>
  <c r="B1119" i="34"/>
  <c r="B1120" i="34"/>
  <c r="B1121" i="34"/>
  <c r="B1122" i="34"/>
  <c r="B1123" i="34"/>
  <c r="B1124" i="34"/>
  <c r="B1125" i="34"/>
  <c r="B1126" i="34"/>
  <c r="B1127" i="34"/>
  <c r="B1128" i="34"/>
  <c r="B1129" i="34"/>
  <c r="B1130" i="34"/>
  <c r="B1131" i="34"/>
  <c r="B1132" i="34"/>
  <c r="B1133" i="34"/>
  <c r="B1134" i="34"/>
  <c r="B1135" i="34"/>
  <c r="B1136" i="34"/>
  <c r="B1137" i="34"/>
  <c r="B1138" i="34"/>
  <c r="B1139" i="34"/>
  <c r="B1140" i="34"/>
  <c r="B1141" i="34"/>
  <c r="B1142" i="34"/>
  <c r="B1143" i="34"/>
  <c r="B1144" i="34"/>
  <c r="B1145" i="34"/>
  <c r="B1146" i="34"/>
  <c r="B1147" i="34"/>
  <c r="B1148" i="34"/>
  <c r="B1149" i="34"/>
  <c r="B1150" i="34"/>
  <c r="B1151" i="34"/>
  <c r="B1152" i="34"/>
  <c r="B1153" i="34"/>
  <c r="B1154" i="34"/>
  <c r="B1155" i="34"/>
  <c r="B1156" i="34"/>
  <c r="B1157" i="34"/>
  <c r="B1158" i="34"/>
  <c r="B1159" i="34"/>
  <c r="B1160" i="34"/>
  <c r="B1161" i="34"/>
  <c r="B1162" i="34"/>
  <c r="B1163" i="34"/>
  <c r="B1164" i="34"/>
  <c r="B1165" i="34"/>
  <c r="B1166" i="34"/>
  <c r="B1167" i="34"/>
  <c r="B1168" i="34"/>
  <c r="B1169" i="34"/>
  <c r="B1170" i="34"/>
  <c r="B1171" i="34"/>
  <c r="B1172" i="34"/>
  <c r="B1173" i="34"/>
  <c r="B1174" i="34"/>
  <c r="B1175" i="34"/>
  <c r="B1176" i="34"/>
  <c r="B1177" i="34"/>
  <c r="B1178" i="34"/>
  <c r="B1179" i="34"/>
  <c r="B1180" i="34"/>
  <c r="B1181" i="34"/>
  <c r="B1182" i="34"/>
  <c r="B1183" i="34"/>
  <c r="B1184" i="34"/>
  <c r="B1185" i="34"/>
  <c r="B1186" i="34"/>
  <c r="B1187" i="34"/>
  <c r="B1188" i="34"/>
  <c r="B1189" i="34"/>
  <c r="B1190" i="34"/>
  <c r="B1191" i="34"/>
  <c r="B1192" i="34"/>
  <c r="B1193" i="34"/>
  <c r="B1194" i="34"/>
  <c r="B1195" i="34"/>
  <c r="B1196" i="34"/>
  <c r="B1197" i="34"/>
  <c r="B1198" i="34"/>
  <c r="B1199" i="34"/>
  <c r="B1200" i="34"/>
  <c r="B1201" i="34"/>
  <c r="B1202" i="34"/>
  <c r="B1203" i="34"/>
  <c r="B1204" i="34"/>
  <c r="B1205" i="34"/>
  <c r="B1206" i="34"/>
  <c r="B1207" i="34"/>
  <c r="B1208" i="34"/>
  <c r="B1209" i="34"/>
  <c r="B1210" i="34"/>
  <c r="B1211" i="34"/>
  <c r="B1212" i="34"/>
  <c r="B1213" i="34"/>
  <c r="B1214" i="34"/>
  <c r="B1215" i="34"/>
  <c r="B1216" i="34"/>
  <c r="B1217" i="34"/>
  <c r="B1218" i="34"/>
  <c r="B1219" i="34"/>
  <c r="B1220" i="34"/>
  <c r="B1221" i="34"/>
  <c r="B1222" i="34"/>
  <c r="B1223" i="34"/>
  <c r="B1224" i="34"/>
  <c r="B1225" i="34"/>
  <c r="B1226" i="34"/>
  <c r="B1227" i="34"/>
  <c r="B1228" i="34"/>
  <c r="B1229" i="34"/>
  <c r="B1230" i="34"/>
  <c r="B1231" i="34"/>
  <c r="B1232" i="34"/>
  <c r="B1233" i="34"/>
  <c r="B1234" i="34"/>
  <c r="B1235" i="34"/>
  <c r="B1236" i="34"/>
  <c r="B1237" i="34"/>
  <c r="B1238" i="34"/>
  <c r="B1239" i="34"/>
  <c r="B1240" i="34"/>
  <c r="B1241" i="34"/>
  <c r="B1242" i="34"/>
  <c r="B1243" i="34"/>
  <c r="B1244" i="34"/>
  <c r="B1245" i="34"/>
  <c r="B1246" i="34"/>
  <c r="B1247" i="34"/>
  <c r="B1248" i="34"/>
  <c r="B1249" i="34"/>
  <c r="B1250" i="34"/>
  <c r="B1251" i="34"/>
  <c r="B1252" i="34"/>
  <c r="B1253" i="34"/>
  <c r="B1254" i="34"/>
  <c r="B1255" i="34"/>
  <c r="B1256" i="34"/>
  <c r="B1257" i="34"/>
  <c r="B1258" i="34"/>
  <c r="B1259" i="34"/>
  <c r="B1260" i="34"/>
  <c r="B1261" i="34"/>
  <c r="B1262" i="34"/>
  <c r="B1263" i="34"/>
  <c r="B1264" i="34"/>
  <c r="B1265" i="34"/>
  <c r="B1266" i="34"/>
  <c r="B1267" i="34"/>
  <c r="B1268" i="34"/>
  <c r="B1269" i="34"/>
  <c r="B1270" i="34"/>
  <c r="B1271" i="34"/>
  <c r="B1272" i="34"/>
  <c r="B1273" i="34"/>
  <c r="B1274" i="34"/>
  <c r="B1275" i="34"/>
  <c r="B1276" i="34"/>
  <c r="B1277" i="34"/>
  <c r="B1278" i="34"/>
  <c r="B1279" i="34"/>
  <c r="B1280" i="34"/>
  <c r="B1281" i="34"/>
  <c r="B1282" i="34"/>
  <c r="B1283" i="34"/>
  <c r="B1284" i="34"/>
  <c r="B1285" i="34"/>
  <c r="B1286" i="34"/>
  <c r="B1287" i="34"/>
  <c r="B1288" i="34"/>
  <c r="B1289" i="34"/>
  <c r="B1290" i="34"/>
  <c r="B1291" i="34"/>
  <c r="B1292" i="34"/>
  <c r="B1293" i="34"/>
  <c r="B1294" i="34"/>
  <c r="B1295" i="34"/>
  <c r="B1296" i="34"/>
  <c r="B1297" i="34"/>
  <c r="B1298" i="34"/>
  <c r="B1299" i="34"/>
  <c r="B1300" i="34"/>
  <c r="B1301" i="34"/>
  <c r="B1302" i="34"/>
  <c r="B1303" i="34"/>
  <c r="B1304" i="34"/>
  <c r="B1305" i="34"/>
  <c r="B1306" i="34"/>
  <c r="B1307" i="34"/>
  <c r="B1308" i="34"/>
  <c r="B1309" i="34"/>
  <c r="B1310" i="34"/>
  <c r="B1311" i="34"/>
  <c r="B1312" i="34"/>
  <c r="B1313" i="34"/>
  <c r="B1314" i="34"/>
  <c r="B1315" i="34"/>
  <c r="B1316" i="34"/>
  <c r="B1317" i="34"/>
  <c r="B1318" i="34"/>
  <c r="B1319" i="34"/>
  <c r="B1320" i="34"/>
  <c r="B1321" i="34"/>
  <c r="B1322" i="34"/>
  <c r="B1323" i="34"/>
  <c r="B1324" i="34"/>
  <c r="B1325" i="34"/>
  <c r="B1326" i="34"/>
  <c r="B1327" i="34"/>
  <c r="B1328" i="34"/>
  <c r="B1329" i="34"/>
  <c r="B1330" i="34"/>
  <c r="B1331" i="34"/>
  <c r="B1332" i="34"/>
  <c r="B1333" i="34"/>
  <c r="B1334" i="34"/>
  <c r="B1335" i="34"/>
  <c r="B1336" i="34"/>
  <c r="B1337" i="34"/>
  <c r="B1338" i="34"/>
  <c r="B1339" i="34"/>
  <c r="B1340" i="34"/>
  <c r="B1341" i="34"/>
  <c r="B1342" i="34"/>
  <c r="B1343" i="34"/>
  <c r="B1344" i="34"/>
  <c r="B1345" i="34"/>
  <c r="B1346" i="34"/>
  <c r="B1347" i="34"/>
  <c r="B1348" i="34"/>
  <c r="B1349" i="34"/>
  <c r="B1350" i="34"/>
  <c r="B1351" i="34"/>
  <c r="B1352" i="34"/>
  <c r="B1353" i="34"/>
  <c r="B1354" i="34"/>
  <c r="B1355" i="34"/>
  <c r="B1356" i="34"/>
  <c r="B1357" i="34"/>
  <c r="B1358" i="34"/>
  <c r="B1359" i="34"/>
  <c r="B1360" i="34"/>
  <c r="B1361" i="34"/>
  <c r="B1362" i="34"/>
  <c r="B1363" i="34"/>
  <c r="B1364" i="34"/>
  <c r="B1365" i="34"/>
  <c r="B1366" i="34"/>
  <c r="B1367" i="34"/>
  <c r="B1368" i="34"/>
  <c r="B1369" i="34"/>
  <c r="B1370" i="34"/>
  <c r="B1371" i="34"/>
  <c r="B1372" i="34"/>
  <c r="B1373" i="34"/>
  <c r="B1374" i="34"/>
  <c r="B1375" i="34"/>
  <c r="B1376" i="34"/>
  <c r="B1377" i="34"/>
  <c r="B1378" i="34"/>
  <c r="B1379" i="34"/>
  <c r="B1380" i="34"/>
  <c r="B1381" i="34"/>
  <c r="B1382" i="34"/>
  <c r="B1383" i="34"/>
  <c r="B1384" i="34"/>
  <c r="B1385" i="34"/>
  <c r="B1386" i="34"/>
  <c r="B1387" i="34"/>
  <c r="B1388" i="34"/>
  <c r="B1389" i="34"/>
  <c r="B1390" i="34"/>
  <c r="B1391" i="34"/>
  <c r="B1392" i="34"/>
  <c r="B1393" i="34"/>
  <c r="B1394" i="34"/>
  <c r="B1395" i="34"/>
  <c r="B1396" i="34"/>
  <c r="B1397" i="34"/>
  <c r="B1398" i="34"/>
  <c r="B1399" i="34"/>
  <c r="B1400" i="34"/>
  <c r="B1401" i="34"/>
  <c r="B1402" i="34"/>
  <c r="B1403" i="34"/>
  <c r="B1404" i="34"/>
  <c r="B1405" i="34"/>
  <c r="B1406" i="34"/>
  <c r="B1407" i="34"/>
  <c r="B1408" i="34"/>
  <c r="B1409" i="34"/>
  <c r="B1410" i="34"/>
  <c r="B1411" i="34"/>
  <c r="B1412" i="34"/>
  <c r="B1413" i="34"/>
  <c r="B1414" i="34"/>
  <c r="B1415" i="34"/>
  <c r="B1416" i="34"/>
  <c r="B1417" i="34"/>
  <c r="B1418" i="34"/>
  <c r="B1419" i="34"/>
  <c r="B1420" i="34"/>
  <c r="B1421" i="34"/>
  <c r="B1422" i="34"/>
  <c r="B1423" i="34"/>
  <c r="B1424" i="34"/>
  <c r="B1425" i="34"/>
  <c r="B1426" i="34"/>
  <c r="B1427" i="34"/>
  <c r="B1428" i="34"/>
  <c r="B1429" i="34"/>
  <c r="B1430" i="34"/>
  <c r="B1431" i="34"/>
  <c r="B1432" i="34"/>
  <c r="B1433" i="34"/>
  <c r="B1434" i="34"/>
  <c r="B1435" i="34"/>
  <c r="B1436" i="34"/>
  <c r="B1437" i="34"/>
  <c r="B1438" i="34"/>
  <c r="B1439" i="34"/>
  <c r="B1440" i="34"/>
  <c r="B1441" i="34"/>
  <c r="B1442" i="34"/>
  <c r="B1443" i="34"/>
  <c r="B1444" i="34"/>
  <c r="B1445" i="34"/>
  <c r="B1446" i="34"/>
  <c r="B1447" i="34"/>
  <c r="B1448" i="34"/>
  <c r="B1449" i="34"/>
  <c r="B1450" i="34"/>
  <c r="B1451" i="34"/>
  <c r="B1452" i="34"/>
  <c r="B1453" i="34"/>
  <c r="B1454" i="34"/>
  <c r="B1455" i="34"/>
  <c r="B1456" i="34"/>
  <c r="B1457" i="34"/>
  <c r="B1458" i="34"/>
  <c r="B1459" i="34"/>
  <c r="B1460" i="34"/>
  <c r="B1461" i="34"/>
  <c r="B1462" i="34"/>
  <c r="B1463" i="34"/>
  <c r="B1464" i="34"/>
  <c r="B1465" i="34"/>
  <c r="B1466" i="34"/>
  <c r="B1467" i="34"/>
  <c r="B1468" i="34"/>
  <c r="B1469" i="34"/>
  <c r="B1470" i="34"/>
  <c r="B1471" i="34"/>
  <c r="B1472" i="34"/>
  <c r="B1473" i="34"/>
  <c r="B1474" i="34"/>
  <c r="B1475" i="34"/>
  <c r="B1476" i="34"/>
  <c r="B1477" i="34"/>
  <c r="B1478" i="34"/>
  <c r="B1479" i="34"/>
  <c r="B1480" i="34"/>
  <c r="B1481" i="34"/>
  <c r="B1482" i="34"/>
  <c r="B1483" i="34"/>
  <c r="B1484" i="34"/>
  <c r="B1485" i="34"/>
  <c r="B1486" i="34"/>
  <c r="B1487" i="34"/>
  <c r="B1488" i="34"/>
  <c r="B1489" i="34"/>
  <c r="B1490" i="34"/>
  <c r="B1491" i="34"/>
  <c r="B1492" i="34"/>
  <c r="B1493" i="34"/>
  <c r="B1494" i="34"/>
  <c r="B1495" i="34"/>
  <c r="B1496" i="34"/>
  <c r="B1497" i="34"/>
  <c r="B1498" i="34"/>
  <c r="B1499" i="34"/>
  <c r="B1500" i="34"/>
  <c r="B1501" i="34"/>
  <c r="B1502" i="34"/>
  <c r="B1503" i="34"/>
  <c r="B1504" i="34"/>
  <c r="B1505" i="34"/>
  <c r="B1506" i="34"/>
  <c r="B1507" i="34"/>
  <c r="B1508" i="34"/>
  <c r="B1509" i="34"/>
  <c r="B1510" i="34"/>
  <c r="B1511" i="34"/>
  <c r="B1512" i="34"/>
  <c r="B1513" i="34"/>
  <c r="B1514" i="34"/>
  <c r="B1515" i="34"/>
  <c r="B1516" i="34"/>
  <c r="B1517" i="34"/>
  <c r="B1518" i="34"/>
  <c r="B1519" i="34"/>
  <c r="B1520" i="34"/>
  <c r="B1521" i="34"/>
  <c r="B1522" i="34"/>
  <c r="B1523" i="34"/>
  <c r="B1524" i="34"/>
  <c r="B1525" i="34"/>
  <c r="B1526" i="34"/>
  <c r="B1527" i="34"/>
  <c r="B1528" i="34"/>
  <c r="B1529" i="34"/>
  <c r="B1530" i="34"/>
  <c r="B1531" i="34"/>
  <c r="B1532" i="34"/>
  <c r="B1533" i="34"/>
  <c r="B1534" i="34"/>
  <c r="B1535" i="34"/>
  <c r="B1536" i="34"/>
  <c r="B1537" i="34"/>
  <c r="B1538" i="34"/>
  <c r="B1539" i="34"/>
  <c r="B1540" i="34"/>
  <c r="B1541" i="34"/>
  <c r="B1542" i="34"/>
  <c r="B1543" i="34"/>
  <c r="B1544" i="34"/>
  <c r="B1545" i="34"/>
  <c r="B1546" i="34"/>
  <c r="B1547" i="34"/>
  <c r="B1548" i="34"/>
  <c r="B1549" i="34"/>
  <c r="B1550" i="34"/>
  <c r="B1551" i="34"/>
  <c r="B1552" i="34"/>
  <c r="B1553" i="34"/>
  <c r="B1554" i="34"/>
  <c r="B1555" i="34"/>
  <c r="B1556" i="34"/>
  <c r="B1557" i="34"/>
  <c r="B1558" i="34"/>
  <c r="B1559" i="34"/>
  <c r="B1560" i="34"/>
  <c r="B1561" i="34"/>
  <c r="B1562" i="34"/>
  <c r="B1563" i="34"/>
  <c r="B1564" i="34"/>
  <c r="B1565" i="34"/>
  <c r="B1566" i="34"/>
  <c r="B1567" i="34"/>
  <c r="B1568" i="34"/>
  <c r="B1569" i="34"/>
  <c r="B1570" i="34"/>
  <c r="B1571" i="34"/>
  <c r="B1572" i="34"/>
  <c r="B1573" i="34"/>
  <c r="B1574" i="34"/>
  <c r="B1575" i="34"/>
  <c r="B1576" i="34"/>
  <c r="B1577" i="34"/>
  <c r="B1578" i="34"/>
  <c r="B1579" i="34"/>
  <c r="B1580" i="34"/>
  <c r="B1581" i="34"/>
  <c r="B1582" i="34"/>
  <c r="B1583" i="34"/>
  <c r="B1584" i="34"/>
  <c r="B1585" i="34"/>
  <c r="B1586" i="34"/>
  <c r="B1587" i="34"/>
  <c r="B1588" i="34"/>
  <c r="B1589" i="34"/>
  <c r="B1590" i="34"/>
  <c r="B1591" i="34"/>
  <c r="B1592" i="34"/>
  <c r="B1593" i="34"/>
  <c r="B1594" i="34"/>
  <c r="B1595" i="34"/>
  <c r="B1596" i="34"/>
  <c r="B1597" i="34"/>
  <c r="B1598" i="34"/>
  <c r="B1599" i="34"/>
  <c r="B1600" i="34"/>
  <c r="B1601" i="34"/>
  <c r="B1602" i="34"/>
  <c r="B1603" i="34"/>
  <c r="B1604" i="34"/>
  <c r="B1605" i="34"/>
  <c r="B1606" i="34"/>
  <c r="B1607" i="34"/>
  <c r="B1608" i="34"/>
  <c r="B1609" i="34"/>
  <c r="B1610" i="34"/>
  <c r="B1611" i="34"/>
  <c r="B1612" i="34"/>
  <c r="B1613" i="34"/>
  <c r="B1614" i="34"/>
  <c r="B1615" i="34"/>
  <c r="B1616" i="34"/>
  <c r="B1617" i="34"/>
  <c r="B1618" i="34"/>
  <c r="B1619" i="34"/>
  <c r="B1620" i="34"/>
  <c r="B1621" i="34"/>
  <c r="B1622" i="34"/>
  <c r="B1623" i="34"/>
  <c r="B1624" i="34"/>
  <c r="B1625" i="34"/>
  <c r="B1626" i="34"/>
  <c r="B1627" i="34"/>
  <c r="B1628" i="34"/>
  <c r="B1629" i="34"/>
  <c r="B1630" i="34"/>
  <c r="B1631" i="34"/>
  <c r="B1632" i="34"/>
  <c r="B1633" i="34"/>
  <c r="B1634" i="34"/>
  <c r="B1635" i="34"/>
  <c r="B1636" i="34"/>
  <c r="B1637" i="34"/>
  <c r="B1638" i="34"/>
  <c r="B1639" i="34"/>
  <c r="B1640" i="34"/>
  <c r="B1641" i="34"/>
  <c r="B1642" i="34"/>
  <c r="B1643" i="34"/>
  <c r="B1644" i="34"/>
  <c r="B1645" i="34"/>
  <c r="B1646" i="34"/>
  <c r="B1647" i="34"/>
  <c r="B1648" i="34"/>
  <c r="B1649" i="34"/>
  <c r="B1650" i="34"/>
  <c r="B1651" i="34"/>
  <c r="B1652" i="34"/>
  <c r="B1653" i="34"/>
  <c r="B1654" i="34"/>
  <c r="B1655" i="34"/>
  <c r="B1656" i="34"/>
  <c r="B1657" i="34"/>
  <c r="B1658" i="34"/>
  <c r="B1659" i="34"/>
  <c r="B1660" i="34"/>
  <c r="B1661" i="34"/>
  <c r="B1662" i="34"/>
  <c r="B1663" i="34"/>
  <c r="B1664" i="34"/>
  <c r="B1665" i="34"/>
  <c r="B1666" i="34"/>
  <c r="B1667" i="34"/>
  <c r="B1668" i="34"/>
  <c r="B1669" i="34"/>
  <c r="B1670" i="34"/>
  <c r="B1671" i="34"/>
  <c r="B1672" i="34"/>
  <c r="B1673" i="34"/>
  <c r="B1674" i="34"/>
  <c r="B1675" i="34"/>
  <c r="B1676" i="34"/>
  <c r="B1677" i="34"/>
  <c r="B1678" i="34"/>
  <c r="B1679" i="34"/>
  <c r="B1680" i="34"/>
  <c r="B1681" i="34"/>
  <c r="B1682" i="34"/>
  <c r="B1683" i="34"/>
  <c r="B1684" i="34"/>
  <c r="B1685" i="34"/>
  <c r="B1686" i="34"/>
  <c r="B1687" i="34"/>
  <c r="B1688" i="34"/>
  <c r="B1689" i="34"/>
  <c r="B1690" i="34"/>
  <c r="B1691" i="34"/>
  <c r="B1692" i="34"/>
  <c r="B1693" i="34"/>
  <c r="B1694" i="34"/>
  <c r="B1695" i="34"/>
  <c r="B1696" i="34"/>
  <c r="B1697" i="34"/>
  <c r="B1698" i="34"/>
  <c r="B1699" i="34"/>
  <c r="B1700" i="34"/>
  <c r="B1701" i="34"/>
  <c r="B1702" i="34"/>
  <c r="B1703" i="34"/>
  <c r="B1704" i="34"/>
  <c r="B1705" i="34"/>
  <c r="B1706" i="34"/>
  <c r="B1707" i="34"/>
  <c r="B1708" i="34"/>
  <c r="B1709" i="34"/>
  <c r="B1710" i="34"/>
  <c r="B1711" i="34"/>
  <c r="B1712" i="34"/>
  <c r="B1713" i="34"/>
  <c r="B1714" i="34"/>
  <c r="B1715" i="34"/>
  <c r="B1716" i="34"/>
  <c r="B1717" i="34"/>
  <c r="B1718" i="34"/>
  <c r="B1719" i="34"/>
  <c r="B1720" i="34"/>
  <c r="B1721" i="34"/>
  <c r="B1722" i="34"/>
  <c r="B1723" i="34"/>
  <c r="B1724" i="34"/>
  <c r="B1725" i="34"/>
  <c r="B1726" i="34"/>
  <c r="B1727" i="34"/>
  <c r="B1728" i="34"/>
  <c r="B1729" i="34"/>
  <c r="B1730" i="34"/>
  <c r="B1731" i="34"/>
  <c r="B1732" i="34"/>
  <c r="B1733" i="34"/>
  <c r="B1734" i="34"/>
  <c r="B1735" i="34"/>
  <c r="B1736" i="34"/>
  <c r="B1737" i="34"/>
  <c r="B1738" i="34"/>
  <c r="B1739" i="34"/>
  <c r="B1740" i="34"/>
  <c r="B1741" i="34"/>
  <c r="B1742" i="34"/>
  <c r="B1743" i="34"/>
  <c r="B1744" i="34"/>
  <c r="B1745" i="34"/>
  <c r="B1746" i="34"/>
  <c r="B1747" i="34"/>
  <c r="B1748" i="34"/>
  <c r="B1749" i="34"/>
  <c r="B1750" i="34"/>
  <c r="B1751" i="34"/>
  <c r="B1752" i="34"/>
  <c r="B1753" i="34"/>
  <c r="B1754" i="34"/>
  <c r="B1755" i="34"/>
  <c r="B1756" i="34"/>
  <c r="B1757" i="34"/>
  <c r="B1758" i="34"/>
  <c r="B1759" i="34"/>
  <c r="B1760" i="34"/>
  <c r="B1761" i="34"/>
  <c r="B1762" i="34"/>
  <c r="B1763" i="34"/>
  <c r="B1764" i="34"/>
  <c r="B1765" i="34"/>
  <c r="B1766" i="34"/>
  <c r="B1767" i="34"/>
  <c r="B1768" i="34"/>
  <c r="B1769" i="34"/>
  <c r="B1770" i="34"/>
  <c r="B1771" i="34"/>
  <c r="B1772" i="34"/>
  <c r="B1773" i="34"/>
  <c r="B1774" i="34"/>
  <c r="B1775" i="34"/>
  <c r="B1776" i="34"/>
  <c r="B1777" i="34"/>
  <c r="B1778" i="34"/>
  <c r="B1779" i="34"/>
  <c r="B1780" i="34"/>
  <c r="B1781" i="34"/>
  <c r="B1782" i="34"/>
  <c r="B1783" i="34"/>
  <c r="B1784" i="34"/>
  <c r="B1785" i="34"/>
  <c r="B1786" i="34"/>
  <c r="B1787" i="34"/>
  <c r="B1788" i="34"/>
  <c r="B1789" i="34"/>
  <c r="B1790" i="34"/>
  <c r="B1791" i="34"/>
  <c r="B1792" i="34"/>
  <c r="B1793" i="34"/>
  <c r="B1794" i="34"/>
  <c r="B1795" i="34"/>
  <c r="B1796" i="34"/>
  <c r="B1797" i="34"/>
  <c r="B1798" i="34"/>
  <c r="B1799" i="34"/>
  <c r="B1800" i="34"/>
  <c r="B1801" i="34"/>
  <c r="B1802" i="34"/>
  <c r="B1803" i="34"/>
  <c r="B1804" i="34"/>
  <c r="B1805" i="34"/>
  <c r="B1806" i="34"/>
  <c r="B1807" i="34"/>
  <c r="B1808" i="34"/>
  <c r="B1809" i="34"/>
  <c r="B1810" i="34"/>
  <c r="B1811" i="34"/>
  <c r="B1812" i="34"/>
  <c r="B1813" i="34"/>
  <c r="B1814" i="34"/>
  <c r="B1815" i="34"/>
  <c r="B1816" i="34"/>
  <c r="B1817" i="34"/>
  <c r="B1818" i="34"/>
  <c r="B1819" i="34"/>
  <c r="B1820" i="34"/>
  <c r="B1821" i="34"/>
  <c r="B1822" i="34"/>
  <c r="B1823" i="34"/>
  <c r="B1824" i="34"/>
  <c r="B1825" i="34"/>
  <c r="B1826" i="34"/>
  <c r="B1827" i="34"/>
  <c r="B1828" i="34"/>
  <c r="B1829" i="34"/>
  <c r="B1830" i="34"/>
  <c r="B1831" i="34"/>
  <c r="B1832" i="34"/>
  <c r="B1833" i="34"/>
  <c r="B1834" i="34"/>
  <c r="B1835" i="34"/>
  <c r="B1836" i="34"/>
  <c r="B1837" i="34"/>
  <c r="B1838" i="34"/>
  <c r="B1839" i="34"/>
  <c r="B1840" i="34"/>
  <c r="B1841" i="34"/>
  <c r="B1842" i="34"/>
  <c r="B1843" i="34"/>
  <c r="B1844" i="34"/>
  <c r="B1845" i="34"/>
  <c r="B1846" i="34"/>
  <c r="B1847" i="34"/>
  <c r="B1848" i="34"/>
  <c r="B1849" i="34"/>
  <c r="B1850" i="34"/>
  <c r="B1851" i="34"/>
  <c r="B1852" i="34"/>
  <c r="B1853" i="34"/>
  <c r="B1854" i="34"/>
  <c r="B1855" i="34"/>
  <c r="B1856" i="34"/>
  <c r="B1857" i="34"/>
  <c r="B1858" i="34"/>
  <c r="B1859" i="34"/>
  <c r="B1860" i="34"/>
  <c r="B1861" i="34"/>
  <c r="B1862" i="34"/>
  <c r="B1863" i="34"/>
  <c r="B1864" i="34"/>
  <c r="B1865" i="34"/>
  <c r="B1866" i="34"/>
  <c r="B1867" i="34"/>
  <c r="B1868" i="34"/>
  <c r="B1869" i="34"/>
  <c r="B1870" i="34"/>
  <c r="B1871" i="34"/>
  <c r="B1872" i="34"/>
  <c r="B1873" i="34"/>
  <c r="B1874" i="34"/>
  <c r="B1875" i="34"/>
  <c r="B1876" i="34"/>
  <c r="B1877" i="34"/>
  <c r="B1878" i="34"/>
  <c r="B1879" i="34"/>
  <c r="B1880" i="34"/>
  <c r="B1881" i="34"/>
  <c r="B1882" i="34"/>
  <c r="B1883" i="34"/>
  <c r="B1884" i="34"/>
  <c r="B1885" i="34"/>
  <c r="B1886" i="34"/>
  <c r="B1887" i="34"/>
  <c r="B1888" i="34"/>
  <c r="B1889" i="34"/>
  <c r="B1890" i="34"/>
  <c r="B1891" i="34"/>
  <c r="B1892" i="34"/>
  <c r="B1893" i="34"/>
  <c r="B1894" i="34"/>
  <c r="B1895" i="34"/>
  <c r="B1896" i="34"/>
  <c r="B1897" i="34"/>
  <c r="B1898" i="34"/>
  <c r="B1899" i="34"/>
  <c r="B1900" i="34"/>
  <c r="B1901" i="34"/>
  <c r="B1902" i="34"/>
  <c r="B1903" i="34"/>
  <c r="B1904" i="34"/>
  <c r="B1905" i="34"/>
  <c r="B1906" i="34"/>
  <c r="B1907" i="34"/>
  <c r="B1908" i="34"/>
  <c r="B1909" i="34"/>
  <c r="B1910" i="34"/>
  <c r="B1911" i="34"/>
  <c r="B1912" i="34"/>
  <c r="B1913" i="34"/>
  <c r="B1914" i="34"/>
  <c r="B1915" i="34"/>
  <c r="B1916" i="34"/>
  <c r="B1917" i="34"/>
  <c r="B1918" i="34"/>
  <c r="B1919" i="34"/>
  <c r="B1920" i="34"/>
  <c r="B1921" i="34"/>
  <c r="B1922" i="34"/>
  <c r="B1923" i="34"/>
  <c r="B1924" i="34"/>
  <c r="B1925" i="34"/>
  <c r="B1926" i="34"/>
  <c r="B1927" i="34"/>
  <c r="B1928" i="34"/>
  <c r="B1929" i="34"/>
  <c r="B1930" i="34"/>
  <c r="B1931" i="34"/>
  <c r="B1932" i="34"/>
  <c r="B1933" i="34"/>
  <c r="B1934" i="34"/>
  <c r="B1935" i="34"/>
  <c r="B1936" i="34"/>
  <c r="B1937" i="34"/>
  <c r="B1938" i="34"/>
  <c r="B1939" i="34"/>
  <c r="B1940" i="34"/>
  <c r="B1941" i="34"/>
  <c r="B1942" i="34"/>
  <c r="B1943" i="34"/>
  <c r="B1944" i="34"/>
  <c r="B1945" i="34"/>
  <c r="B1946" i="34"/>
  <c r="B1947" i="34"/>
  <c r="B1948" i="34"/>
  <c r="B1949" i="34"/>
  <c r="B1950" i="34"/>
  <c r="B1951" i="34"/>
  <c r="B1952" i="34"/>
  <c r="B1953" i="34"/>
  <c r="B1954" i="34"/>
  <c r="B1955" i="34"/>
  <c r="B1956" i="34"/>
  <c r="B1957" i="34"/>
  <c r="B1958" i="34"/>
  <c r="B1959" i="34"/>
  <c r="B1960" i="34"/>
  <c r="B1961" i="34"/>
  <c r="B1962" i="34"/>
  <c r="B1963" i="34"/>
  <c r="B1964" i="34"/>
  <c r="B1965" i="34"/>
  <c r="B1966" i="34"/>
  <c r="B1967" i="34"/>
  <c r="B1968" i="34"/>
  <c r="B1969" i="34"/>
  <c r="B1970" i="34"/>
  <c r="B1971" i="34"/>
  <c r="B1972" i="34"/>
  <c r="B1973" i="34"/>
  <c r="B1974" i="34"/>
  <c r="B1975" i="34"/>
  <c r="B1976" i="34"/>
  <c r="B1977" i="34"/>
  <c r="B1978" i="34"/>
  <c r="B1979" i="34"/>
  <c r="B1980" i="34"/>
  <c r="B1981" i="34"/>
  <c r="B1982" i="34"/>
  <c r="B1983" i="34"/>
  <c r="B1984" i="34"/>
  <c r="B1985" i="34"/>
  <c r="B1986" i="34"/>
  <c r="B1987" i="34"/>
  <c r="B1988" i="34"/>
  <c r="B1989" i="34"/>
  <c r="B1990" i="34"/>
  <c r="B1991" i="34"/>
  <c r="B1992" i="34"/>
  <c r="B1993" i="34"/>
  <c r="B1994" i="34"/>
  <c r="B1995" i="34"/>
  <c r="B1996" i="34"/>
  <c r="B1997" i="34"/>
  <c r="B1998" i="34"/>
  <c r="B1999" i="34"/>
  <c r="B2000" i="34"/>
  <c r="B2001" i="34"/>
  <c r="B2002" i="34"/>
  <c r="B2003" i="34"/>
  <c r="B2004" i="34"/>
  <c r="B2005" i="34"/>
  <c r="B2006" i="34"/>
  <c r="B2007" i="34"/>
  <c r="B2008" i="34"/>
  <c r="B2009" i="34"/>
  <c r="B2010" i="34"/>
  <c r="B2011" i="34"/>
  <c r="B2012" i="34"/>
  <c r="B2013" i="34"/>
  <c r="B2014" i="34"/>
  <c r="B2015" i="34"/>
  <c r="B2016" i="34"/>
  <c r="B2017" i="34"/>
  <c r="B2018" i="34"/>
  <c r="B2019" i="34"/>
  <c r="B2020" i="34"/>
  <c r="B2021" i="34"/>
  <c r="B2022" i="34"/>
  <c r="B2023" i="34"/>
  <c r="B2024" i="34"/>
  <c r="B2025" i="34"/>
  <c r="B2026" i="34"/>
  <c r="B2027" i="34"/>
  <c r="B2028" i="34"/>
  <c r="B2029" i="34"/>
  <c r="B2030" i="34"/>
  <c r="B2031" i="34"/>
  <c r="B2032" i="34"/>
  <c r="B2033" i="34"/>
  <c r="B2034" i="34"/>
  <c r="B2035" i="34"/>
  <c r="B2036" i="34"/>
  <c r="B2037" i="34"/>
  <c r="B2038" i="34"/>
  <c r="B2039" i="34"/>
  <c r="B2040" i="34"/>
  <c r="B2041" i="34"/>
  <c r="B2042" i="34"/>
  <c r="B2043" i="34"/>
  <c r="B2044" i="34"/>
  <c r="B2045" i="34"/>
  <c r="B2046" i="34"/>
  <c r="B2047" i="34"/>
  <c r="B2048" i="34"/>
  <c r="B2049" i="34"/>
  <c r="B2050" i="34"/>
  <c r="B2051" i="34"/>
  <c r="B2052" i="34"/>
  <c r="B2053" i="34"/>
  <c r="B2054" i="34"/>
  <c r="B2055" i="34"/>
  <c r="B2056" i="34"/>
  <c r="B2057" i="34"/>
  <c r="B2058" i="34"/>
  <c r="B2059" i="34"/>
  <c r="B2060" i="34"/>
  <c r="B2061" i="34"/>
  <c r="B2062" i="34"/>
  <c r="B2063" i="34"/>
  <c r="B2064" i="34"/>
  <c r="B2065" i="34"/>
  <c r="B2066" i="34"/>
  <c r="B2067" i="34"/>
  <c r="B2068" i="34"/>
  <c r="B2069" i="34"/>
  <c r="B2070" i="34"/>
  <c r="B2071" i="34"/>
  <c r="B2072" i="34"/>
  <c r="B2073" i="34"/>
  <c r="B2074" i="34"/>
  <c r="B2075" i="34"/>
  <c r="B2076" i="34"/>
  <c r="B2077" i="34"/>
  <c r="B2078" i="34"/>
  <c r="B2079" i="34"/>
  <c r="B2080" i="34"/>
  <c r="B2081" i="34"/>
  <c r="B2082" i="34"/>
  <c r="B2083" i="34"/>
  <c r="B2084" i="34"/>
  <c r="B2085" i="34"/>
  <c r="B2086" i="34"/>
  <c r="B2087" i="34"/>
  <c r="B2088" i="34"/>
  <c r="B2089" i="34"/>
  <c r="B2090" i="34"/>
  <c r="B2091" i="34"/>
  <c r="B2092" i="34"/>
  <c r="B2093" i="34"/>
  <c r="B2094" i="34"/>
  <c r="B2095" i="34"/>
  <c r="B2096" i="34"/>
  <c r="B2097" i="34"/>
  <c r="B2098" i="34"/>
  <c r="B2099" i="34"/>
  <c r="B2100" i="34"/>
  <c r="B2101" i="34"/>
  <c r="B2102" i="34"/>
  <c r="B2103" i="34"/>
  <c r="B2104" i="34"/>
  <c r="B2105" i="34"/>
  <c r="B2106" i="34"/>
  <c r="B2107" i="34"/>
  <c r="B2108" i="34"/>
  <c r="B2109" i="34"/>
  <c r="B2110" i="34"/>
  <c r="B2111" i="34"/>
  <c r="B2112" i="34"/>
  <c r="B2113" i="34"/>
  <c r="B2114" i="34"/>
  <c r="B2115" i="34"/>
  <c r="B2116" i="34"/>
  <c r="B2117" i="34"/>
  <c r="B2118" i="34"/>
  <c r="B2119" i="34"/>
  <c r="B2120" i="34"/>
  <c r="B2121" i="34"/>
  <c r="B2122" i="34"/>
  <c r="B2123" i="34"/>
  <c r="B2124" i="34"/>
  <c r="B2125" i="34"/>
  <c r="B2126" i="34"/>
  <c r="B2127" i="34"/>
  <c r="B2128" i="34"/>
  <c r="B2129" i="34"/>
  <c r="B2130" i="34"/>
  <c r="B2131" i="34"/>
  <c r="B2132" i="34"/>
  <c r="B2133" i="34"/>
  <c r="B2134" i="34"/>
  <c r="B2135" i="34"/>
  <c r="B2136" i="34"/>
  <c r="B2137" i="34"/>
  <c r="B2138" i="34"/>
  <c r="B2139" i="34"/>
  <c r="B2140" i="34"/>
  <c r="B2141" i="34"/>
  <c r="B2142" i="34"/>
  <c r="B2143" i="34"/>
  <c r="B2144" i="34"/>
  <c r="B2145" i="34"/>
  <c r="B2146" i="34"/>
  <c r="B2147" i="34"/>
  <c r="B2148" i="34"/>
  <c r="B2149" i="34"/>
  <c r="B2150" i="34"/>
  <c r="B2151" i="34"/>
  <c r="B2152" i="34"/>
  <c r="B2153" i="34"/>
  <c r="B2154" i="34"/>
  <c r="B2155" i="34"/>
  <c r="B2156" i="34"/>
  <c r="B2157" i="34"/>
  <c r="B2158" i="34"/>
  <c r="B2159" i="34"/>
  <c r="B2160" i="34"/>
  <c r="B2161" i="34"/>
  <c r="B2162" i="34"/>
  <c r="B2163" i="34"/>
  <c r="B2164" i="34"/>
  <c r="B2165" i="34"/>
  <c r="B2166" i="34"/>
  <c r="B2167" i="34"/>
  <c r="B2168" i="34"/>
  <c r="B2169" i="34"/>
  <c r="B2170" i="34"/>
  <c r="B2171" i="34"/>
  <c r="B2172" i="34"/>
  <c r="B2173" i="34"/>
  <c r="B2174" i="34"/>
  <c r="B2175" i="34"/>
  <c r="B2176" i="34"/>
  <c r="B2177" i="34"/>
  <c r="B2178" i="34"/>
  <c r="B2179" i="34"/>
  <c r="B2180" i="34"/>
  <c r="B2181" i="34"/>
  <c r="B2182" i="34"/>
  <c r="B2183" i="34"/>
  <c r="B2184" i="34"/>
  <c r="B2185" i="34"/>
  <c r="B2186" i="34"/>
  <c r="B2187" i="34"/>
  <c r="B2188" i="34"/>
  <c r="B2189" i="34"/>
  <c r="B2190" i="34"/>
  <c r="B2191" i="34"/>
  <c r="B2192" i="34"/>
  <c r="B2193" i="34"/>
  <c r="B2194" i="34"/>
  <c r="B2195" i="34"/>
  <c r="B2196" i="34"/>
  <c r="B2197" i="34"/>
  <c r="B2198" i="34"/>
  <c r="B2199" i="34"/>
  <c r="B2200" i="34"/>
  <c r="B2201" i="34"/>
  <c r="B2202" i="34"/>
  <c r="B2203" i="34"/>
  <c r="B2204" i="34"/>
  <c r="B2205" i="34"/>
  <c r="B2206" i="34"/>
  <c r="B2207" i="34"/>
  <c r="B2208" i="34"/>
  <c r="B2209" i="34"/>
  <c r="B2210" i="34"/>
  <c r="B2211" i="34"/>
  <c r="B2212" i="34"/>
  <c r="B2213" i="34"/>
  <c r="B2214" i="34"/>
  <c r="B2215" i="34"/>
  <c r="B2216" i="34"/>
  <c r="B2217" i="34"/>
  <c r="B2218" i="34"/>
  <c r="B2219" i="34"/>
  <c r="B2220" i="34"/>
  <c r="B2221" i="34"/>
  <c r="B2222" i="34"/>
  <c r="B2223" i="34"/>
  <c r="B2224" i="34"/>
  <c r="B2225" i="34"/>
  <c r="B2226" i="34"/>
  <c r="B2227" i="34"/>
  <c r="B2228" i="34"/>
  <c r="B2229" i="34"/>
  <c r="B2230" i="34"/>
  <c r="B2231" i="34"/>
  <c r="B2232" i="34"/>
  <c r="B2233" i="34"/>
  <c r="B2234" i="34"/>
  <c r="B2235" i="34"/>
  <c r="B2236" i="34"/>
  <c r="B2237" i="34"/>
  <c r="B2238" i="34"/>
  <c r="B2239" i="34"/>
  <c r="B2240" i="34"/>
  <c r="B2241" i="34"/>
  <c r="B2242" i="34"/>
  <c r="B2243" i="34"/>
  <c r="B2244" i="34"/>
  <c r="B2245" i="34"/>
  <c r="B2246" i="34"/>
  <c r="B2247" i="34"/>
  <c r="B2248" i="34"/>
  <c r="B2249" i="34"/>
  <c r="B2250" i="34"/>
  <c r="B2251" i="34"/>
  <c r="B2252" i="34"/>
  <c r="B2253" i="34"/>
  <c r="B2254" i="34"/>
  <c r="B2255" i="34"/>
  <c r="B2256" i="34"/>
  <c r="B2257" i="34"/>
  <c r="B2258" i="34"/>
  <c r="B2259" i="34"/>
  <c r="B2260" i="34"/>
  <c r="B2261" i="34"/>
  <c r="B2262" i="34"/>
  <c r="B2263" i="34"/>
  <c r="B2264" i="34"/>
  <c r="B2265" i="34"/>
  <c r="B2266" i="34"/>
  <c r="B2267" i="34"/>
  <c r="B2268" i="34"/>
  <c r="B2269" i="34"/>
  <c r="B2270" i="34"/>
  <c r="B2271" i="34"/>
  <c r="B2272" i="34"/>
  <c r="B2273" i="34"/>
  <c r="B2274" i="34"/>
  <c r="B2275" i="34"/>
  <c r="B2276" i="34"/>
  <c r="B2277" i="34"/>
  <c r="B2278" i="34"/>
  <c r="B2279" i="34"/>
  <c r="B2280" i="34"/>
  <c r="B2281" i="34"/>
  <c r="B2282" i="34"/>
  <c r="B2283" i="34"/>
  <c r="B2284" i="34"/>
  <c r="B2285" i="34"/>
  <c r="B2286" i="34"/>
  <c r="B2287" i="34"/>
  <c r="B2288" i="34"/>
  <c r="B2289" i="34"/>
  <c r="B2290" i="34"/>
  <c r="B2291" i="34"/>
  <c r="B2292" i="34"/>
  <c r="B2293" i="34"/>
  <c r="B2294" i="34"/>
  <c r="B2295" i="34"/>
  <c r="B2296" i="34"/>
  <c r="B2297" i="34"/>
  <c r="B2298" i="34"/>
  <c r="B2299" i="34"/>
  <c r="B2300" i="34"/>
  <c r="B2301" i="34"/>
  <c r="B2302" i="34"/>
  <c r="B2303" i="34"/>
  <c r="B2304" i="34"/>
  <c r="B2305" i="34"/>
  <c r="B2306" i="34"/>
  <c r="B2307" i="34"/>
  <c r="B2308" i="34"/>
  <c r="B2309" i="34"/>
  <c r="B2310" i="34"/>
  <c r="B2311" i="34"/>
  <c r="B2312" i="34"/>
  <c r="B2313" i="34"/>
  <c r="B2314" i="34"/>
  <c r="B2315" i="34"/>
  <c r="B2316" i="34"/>
  <c r="B2317" i="34"/>
  <c r="B2318" i="34"/>
  <c r="B2319" i="34"/>
  <c r="B2320" i="34"/>
  <c r="B2321" i="34"/>
  <c r="B2322" i="34"/>
  <c r="B2323" i="34"/>
  <c r="B2324" i="34"/>
  <c r="B2325" i="34"/>
  <c r="B2326" i="34"/>
  <c r="B2327" i="34"/>
  <c r="B2328" i="34"/>
  <c r="B2329" i="34"/>
  <c r="B2330" i="34"/>
  <c r="B2331" i="34"/>
  <c r="B2332" i="34"/>
  <c r="B2333" i="34"/>
  <c r="B2334" i="34"/>
  <c r="B2335" i="34"/>
  <c r="B2336" i="34"/>
  <c r="B2337" i="34"/>
  <c r="B2338" i="34"/>
  <c r="B2339" i="34"/>
  <c r="B2340" i="34"/>
  <c r="B2341" i="34"/>
  <c r="B2342" i="34"/>
  <c r="B2343" i="34"/>
  <c r="B2344" i="34"/>
  <c r="B2345" i="34"/>
  <c r="B2346" i="34"/>
  <c r="B2347" i="34"/>
  <c r="B2348" i="34"/>
  <c r="B2349" i="34"/>
  <c r="B2350" i="34"/>
  <c r="B2351" i="34"/>
  <c r="B2352" i="34"/>
  <c r="B2353" i="34"/>
  <c r="B2354" i="34"/>
  <c r="B2355" i="34"/>
  <c r="B2356" i="34"/>
  <c r="B2357" i="34"/>
  <c r="B2358" i="34"/>
  <c r="B2359" i="34"/>
  <c r="B2360" i="34"/>
  <c r="B2361" i="34"/>
  <c r="B2362" i="34"/>
  <c r="B2363" i="34"/>
  <c r="B2364" i="34"/>
  <c r="B2365" i="34"/>
  <c r="B2366" i="34"/>
  <c r="B2367" i="34"/>
  <c r="B2368" i="34"/>
  <c r="B2369" i="34"/>
  <c r="B2370" i="34"/>
  <c r="B2371" i="34"/>
  <c r="B2372" i="34"/>
  <c r="B2373" i="34"/>
  <c r="B2374" i="34"/>
  <c r="B2375" i="34"/>
  <c r="B2376" i="34"/>
  <c r="B2377" i="34"/>
  <c r="B2378" i="34"/>
  <c r="B2379" i="34"/>
  <c r="B2380" i="34"/>
  <c r="B2381" i="34"/>
  <c r="B2382" i="34"/>
  <c r="B2383" i="34"/>
  <c r="B2384" i="34"/>
  <c r="B2385" i="34"/>
  <c r="B2386" i="34"/>
  <c r="B2387" i="34"/>
  <c r="B2388" i="34"/>
  <c r="B2389" i="34"/>
  <c r="B2390" i="34"/>
  <c r="B2391" i="34"/>
  <c r="B2392" i="34"/>
  <c r="B2393" i="34"/>
  <c r="B2394" i="34"/>
  <c r="B2395" i="34"/>
  <c r="B2396" i="34"/>
  <c r="B2397" i="34"/>
  <c r="B2398" i="34"/>
  <c r="B2399" i="34"/>
  <c r="B2400" i="34"/>
  <c r="B2401" i="34"/>
  <c r="B2402" i="34"/>
  <c r="B2403" i="34"/>
  <c r="B2404" i="34"/>
  <c r="B2405" i="34"/>
  <c r="B2406" i="34"/>
  <c r="B2407" i="34"/>
  <c r="B2408" i="34"/>
  <c r="B2409" i="34"/>
  <c r="B2410" i="34"/>
  <c r="B2411" i="34"/>
  <c r="B2412" i="34"/>
  <c r="B2413" i="34"/>
  <c r="B2414" i="34"/>
  <c r="B2415" i="34"/>
  <c r="B2416" i="34"/>
  <c r="B2417" i="34"/>
  <c r="B2418" i="34"/>
  <c r="B2419" i="34"/>
  <c r="B2420" i="34"/>
  <c r="B2421" i="34"/>
  <c r="B2422" i="34"/>
  <c r="B2423" i="34"/>
  <c r="B2424" i="34"/>
  <c r="B2425" i="34"/>
  <c r="B2426" i="34"/>
  <c r="B2427" i="34"/>
  <c r="B2428" i="34"/>
  <c r="B2429" i="34"/>
  <c r="B2430" i="34"/>
  <c r="B2431" i="34"/>
  <c r="B2432" i="34"/>
  <c r="B2433" i="34"/>
  <c r="B2434" i="34"/>
  <c r="B2435" i="34"/>
  <c r="B2436" i="34"/>
  <c r="B2437" i="34"/>
  <c r="B2438" i="34"/>
  <c r="B2439" i="34"/>
  <c r="B2440" i="34"/>
  <c r="B2441" i="34"/>
  <c r="B2442" i="34"/>
  <c r="B2443" i="34"/>
  <c r="B2444" i="34"/>
  <c r="B2445" i="34"/>
  <c r="B2446" i="34"/>
  <c r="B2447" i="34"/>
  <c r="B2448" i="34"/>
  <c r="B2449" i="34"/>
  <c r="B2450" i="34"/>
  <c r="B2451" i="34"/>
  <c r="B2452" i="34"/>
  <c r="B2453" i="34"/>
  <c r="B2454" i="34"/>
  <c r="B2455" i="34"/>
  <c r="B2456" i="34"/>
  <c r="B2457" i="34"/>
  <c r="B2458" i="34"/>
  <c r="B2459" i="34"/>
  <c r="B2460" i="34"/>
  <c r="B2461" i="34"/>
  <c r="B2462" i="34"/>
  <c r="B2463" i="34"/>
  <c r="B2464" i="34"/>
  <c r="B2465" i="34"/>
  <c r="B2466" i="34"/>
  <c r="B2467" i="34"/>
  <c r="B2468" i="34"/>
  <c r="B2469" i="34"/>
  <c r="B2470" i="34"/>
  <c r="B2471" i="34"/>
  <c r="B2472" i="34"/>
  <c r="B2473" i="34"/>
  <c r="B2474" i="34"/>
  <c r="B2475" i="34"/>
  <c r="B2476" i="34"/>
  <c r="B2477" i="34"/>
  <c r="B2478" i="34"/>
  <c r="B2479" i="34"/>
  <c r="B2480" i="34"/>
  <c r="B2481" i="34"/>
  <c r="B2482" i="34"/>
  <c r="B2483" i="34"/>
  <c r="B2484" i="34"/>
  <c r="B2485" i="34"/>
  <c r="B2486" i="34"/>
  <c r="B2487" i="34"/>
  <c r="B2488" i="34"/>
  <c r="B2489" i="34"/>
  <c r="B2490" i="34"/>
  <c r="B2491" i="34"/>
  <c r="B2492" i="34"/>
  <c r="B2493" i="34"/>
  <c r="B2494" i="34"/>
  <c r="B2495" i="34"/>
  <c r="B2496" i="34"/>
  <c r="B2497" i="34"/>
  <c r="B2498" i="34"/>
  <c r="B2499" i="34"/>
  <c r="B2500" i="34"/>
  <c r="B2501" i="34"/>
  <c r="B2502" i="34"/>
  <c r="B2503" i="34"/>
  <c r="B2504" i="34"/>
  <c r="B2505" i="34"/>
  <c r="B2506" i="34"/>
  <c r="B2507" i="34"/>
  <c r="B2508" i="34"/>
  <c r="B2509" i="34"/>
  <c r="B2510" i="34"/>
  <c r="B2511" i="34"/>
  <c r="B2512" i="34"/>
  <c r="B2513" i="34"/>
  <c r="B2514" i="34"/>
  <c r="B2515" i="34"/>
  <c r="B2516" i="34"/>
  <c r="B2517" i="34"/>
  <c r="B2518" i="34"/>
  <c r="B2519" i="34"/>
  <c r="B2520" i="34"/>
  <c r="B2521" i="34"/>
  <c r="B2522" i="34"/>
  <c r="B2523" i="34"/>
  <c r="B2524" i="34"/>
  <c r="B2525" i="34"/>
  <c r="B2526" i="34"/>
  <c r="B2527" i="34"/>
  <c r="B2528" i="34"/>
  <c r="B2529" i="34"/>
  <c r="B2530" i="34"/>
  <c r="B2531" i="34"/>
  <c r="B2532" i="34"/>
  <c r="B2533" i="34"/>
  <c r="B2534" i="34"/>
  <c r="B2535" i="34"/>
  <c r="B2536" i="34"/>
  <c r="B2537" i="34"/>
  <c r="B2538" i="34"/>
  <c r="B2539" i="34"/>
  <c r="B2540" i="34"/>
  <c r="B2541" i="34"/>
  <c r="B2542" i="34"/>
  <c r="B2543" i="34"/>
  <c r="B2544" i="34"/>
  <c r="B2545" i="34"/>
  <c r="B2546" i="34"/>
  <c r="B2547" i="34"/>
  <c r="B2548" i="34"/>
  <c r="B2549" i="34"/>
  <c r="B2550" i="34"/>
  <c r="B2551" i="34"/>
  <c r="B2552" i="34"/>
  <c r="B2553" i="34"/>
  <c r="B2554" i="34"/>
  <c r="B2555" i="34"/>
  <c r="B2556" i="34"/>
  <c r="B2557" i="34"/>
  <c r="B2558" i="34"/>
  <c r="B2559" i="34"/>
  <c r="B2560" i="34"/>
  <c r="B2561" i="34"/>
  <c r="B2562" i="34"/>
  <c r="B2563" i="34"/>
  <c r="B2564" i="34"/>
  <c r="B2565" i="34"/>
  <c r="B2566" i="34"/>
  <c r="B2567" i="34"/>
  <c r="B2568" i="34"/>
  <c r="B2569" i="34"/>
  <c r="B2570" i="34"/>
  <c r="B2571" i="34"/>
  <c r="B2572" i="34"/>
  <c r="B2573" i="34"/>
  <c r="B2574" i="34"/>
  <c r="B2575" i="34"/>
  <c r="B2576" i="34"/>
  <c r="B2577" i="34"/>
  <c r="B2578" i="34"/>
  <c r="B2579" i="34"/>
  <c r="B2580" i="34"/>
  <c r="B2581" i="34"/>
  <c r="B2582" i="34"/>
  <c r="B2583" i="34"/>
  <c r="B2584" i="34"/>
  <c r="B2585" i="34"/>
  <c r="B2586" i="34"/>
  <c r="B2587" i="34"/>
  <c r="B2588" i="34"/>
  <c r="B2589" i="34"/>
  <c r="B2590" i="34"/>
  <c r="B2591" i="34"/>
  <c r="B2592" i="34"/>
  <c r="B2593" i="34"/>
  <c r="B2594" i="34"/>
  <c r="B2595" i="34"/>
  <c r="B2596" i="34"/>
  <c r="B2597" i="34"/>
  <c r="B2598" i="34"/>
  <c r="B2599" i="34"/>
  <c r="B2600" i="34"/>
  <c r="B2601" i="34"/>
  <c r="B2602" i="34"/>
  <c r="B2603" i="34"/>
  <c r="B2604" i="34"/>
  <c r="B2605" i="34"/>
  <c r="B2606" i="34"/>
  <c r="B2607" i="34"/>
  <c r="B2608" i="34"/>
  <c r="B2609" i="34"/>
  <c r="B2610" i="34"/>
  <c r="B2611" i="34"/>
  <c r="B2612" i="34"/>
  <c r="B2613" i="34"/>
  <c r="B2614" i="34"/>
  <c r="B2615" i="34"/>
  <c r="B2616" i="34"/>
  <c r="B2617" i="34"/>
  <c r="B2618" i="34"/>
  <c r="B2619" i="34"/>
  <c r="B2620" i="34"/>
  <c r="B2621" i="34"/>
  <c r="B2622" i="34"/>
  <c r="B2623" i="34"/>
  <c r="B2624" i="34"/>
  <c r="B2625" i="34"/>
  <c r="B2626" i="34"/>
  <c r="B2627" i="34"/>
  <c r="B2628" i="34"/>
  <c r="B2629" i="34"/>
  <c r="B2630" i="34"/>
  <c r="B2631" i="34"/>
  <c r="B2632" i="34"/>
  <c r="B2633" i="34"/>
  <c r="B2634" i="34"/>
  <c r="B2635" i="34"/>
  <c r="B2636" i="34"/>
  <c r="B2637" i="34"/>
  <c r="B2638" i="34"/>
  <c r="B2639" i="34"/>
  <c r="B2640" i="34"/>
  <c r="B2641" i="34"/>
  <c r="B2642" i="34"/>
  <c r="B2643" i="34"/>
  <c r="B2644" i="34"/>
  <c r="B2645" i="34"/>
  <c r="B2646" i="34"/>
  <c r="B2647" i="34"/>
  <c r="B2648" i="34"/>
  <c r="B2649" i="34"/>
  <c r="B2650" i="34"/>
  <c r="B2651" i="34"/>
  <c r="B2652" i="34"/>
  <c r="B2653" i="34"/>
  <c r="B2654" i="34"/>
  <c r="B2655" i="34"/>
  <c r="B2656" i="34"/>
  <c r="B2657" i="34"/>
  <c r="B2658" i="34"/>
  <c r="B2659" i="34"/>
  <c r="B2660" i="34"/>
  <c r="B2661" i="34"/>
  <c r="B2662" i="34"/>
  <c r="B2663" i="34"/>
  <c r="B2664" i="34"/>
  <c r="B2665" i="34"/>
  <c r="B2666" i="34"/>
  <c r="B2667" i="34"/>
  <c r="B2668" i="34"/>
  <c r="B2669" i="34"/>
  <c r="B2670" i="34"/>
  <c r="B2671" i="34"/>
  <c r="B2672" i="34"/>
  <c r="B2673" i="34"/>
  <c r="B2674" i="34"/>
  <c r="B2675" i="34"/>
  <c r="B2676" i="34"/>
  <c r="B2677" i="34"/>
  <c r="B2678" i="34"/>
  <c r="B2679" i="34"/>
  <c r="B2680" i="34"/>
  <c r="B2681" i="34"/>
  <c r="B2682" i="34"/>
  <c r="B2683" i="34"/>
  <c r="B2684" i="34"/>
  <c r="B2685" i="34"/>
  <c r="B2686" i="34"/>
  <c r="B2687" i="34"/>
  <c r="B2688" i="34"/>
  <c r="B2689" i="34"/>
  <c r="B2690" i="34"/>
  <c r="B2691" i="34"/>
  <c r="B2692" i="34"/>
  <c r="B2693" i="34"/>
  <c r="B2694" i="34"/>
  <c r="B2695" i="34"/>
  <c r="B2696" i="34"/>
  <c r="B2697" i="34"/>
  <c r="B2698" i="34"/>
  <c r="B2699" i="34"/>
  <c r="B2700" i="34"/>
  <c r="B2701" i="34"/>
  <c r="B2702" i="34"/>
  <c r="B2703" i="34"/>
  <c r="B2704" i="34"/>
  <c r="B2705" i="34"/>
  <c r="B2706" i="34"/>
  <c r="B2707" i="34"/>
  <c r="B2708" i="34"/>
  <c r="B2709" i="34"/>
  <c r="B2710" i="34"/>
  <c r="B2711" i="34"/>
  <c r="B2712" i="34"/>
  <c r="B2713" i="34"/>
  <c r="B2714" i="34"/>
  <c r="B2715" i="34"/>
  <c r="B2716" i="34"/>
  <c r="B2717" i="34"/>
  <c r="B2718" i="34"/>
  <c r="B2719" i="34"/>
  <c r="B2720" i="34"/>
  <c r="B2721" i="34"/>
  <c r="B2722" i="34"/>
  <c r="B2723" i="34"/>
  <c r="B2724" i="34"/>
  <c r="B2725" i="34"/>
  <c r="B2726" i="34"/>
  <c r="B2727" i="34"/>
  <c r="B2728" i="34"/>
  <c r="B2729" i="34"/>
  <c r="B2730" i="34"/>
  <c r="B2731" i="34"/>
  <c r="B2732" i="34"/>
  <c r="B2733" i="34"/>
  <c r="B2734" i="34"/>
  <c r="B2735" i="34"/>
  <c r="B2736" i="34"/>
  <c r="B2737" i="34"/>
  <c r="B2738" i="34"/>
  <c r="B2739" i="34"/>
  <c r="B2740" i="34"/>
  <c r="B2741" i="34"/>
  <c r="B2742" i="34"/>
  <c r="B2743" i="34"/>
  <c r="B2744" i="34"/>
  <c r="B2745" i="34"/>
  <c r="B2746" i="34"/>
  <c r="B2747" i="34"/>
  <c r="B2748" i="34"/>
  <c r="B2749" i="34"/>
  <c r="B2750" i="34"/>
  <c r="B2751" i="34"/>
  <c r="B2752" i="34"/>
  <c r="B2753" i="34"/>
  <c r="B2754" i="34"/>
  <c r="B2755" i="34"/>
  <c r="B2756" i="34"/>
  <c r="B2757" i="34"/>
  <c r="B2758" i="34"/>
  <c r="B2759" i="34"/>
  <c r="B2760" i="34"/>
  <c r="B2761" i="34"/>
  <c r="B2762" i="34"/>
  <c r="B2763" i="34"/>
  <c r="B2764" i="34"/>
  <c r="B2765" i="34"/>
  <c r="B2766" i="34"/>
  <c r="B2767" i="34"/>
  <c r="B2768" i="34"/>
  <c r="B2769" i="34"/>
  <c r="B2770" i="34"/>
  <c r="B2771" i="34"/>
  <c r="B2772" i="34"/>
  <c r="B2773" i="34"/>
  <c r="B2774" i="34"/>
  <c r="B2775" i="34"/>
  <c r="B2776" i="34"/>
  <c r="B2777" i="34"/>
  <c r="B2778" i="34"/>
  <c r="B2779" i="34"/>
  <c r="B2780" i="34"/>
  <c r="B2781" i="34"/>
  <c r="B2782" i="34"/>
  <c r="B2783" i="34"/>
  <c r="B2784" i="34"/>
  <c r="B2785" i="34"/>
  <c r="B2786" i="34"/>
  <c r="B2787" i="34"/>
  <c r="B2788" i="34"/>
  <c r="B2789" i="34"/>
  <c r="B2790" i="34"/>
  <c r="B2791" i="34"/>
  <c r="B2792" i="34"/>
  <c r="B2793" i="34"/>
  <c r="B2794" i="34"/>
  <c r="B2795" i="34"/>
  <c r="B2796" i="34"/>
  <c r="B2797" i="34"/>
  <c r="B2798" i="34"/>
  <c r="B2799" i="34"/>
  <c r="B2800" i="34"/>
  <c r="B2801" i="34"/>
  <c r="B2802" i="34"/>
  <c r="B2803" i="34"/>
  <c r="B2804" i="34"/>
  <c r="B2805" i="34"/>
  <c r="B2806" i="34"/>
  <c r="B2807" i="34"/>
  <c r="B2808" i="34"/>
  <c r="B2809" i="34"/>
  <c r="B2810" i="34"/>
  <c r="B2811" i="34"/>
  <c r="B2812" i="34"/>
  <c r="B2813" i="34"/>
  <c r="B2814" i="34"/>
  <c r="B2815" i="34"/>
  <c r="B2816" i="34"/>
  <c r="B2817" i="34"/>
  <c r="B2818" i="34"/>
  <c r="B2819" i="34"/>
  <c r="B2820" i="34"/>
  <c r="B2821" i="34"/>
  <c r="B2822" i="34"/>
  <c r="B2823" i="34"/>
  <c r="B2824" i="34"/>
  <c r="B2825" i="34"/>
  <c r="B2826" i="34"/>
  <c r="B2827" i="34"/>
  <c r="B2828" i="34"/>
  <c r="B2829" i="34"/>
  <c r="B2830" i="34"/>
  <c r="B2831" i="34"/>
  <c r="B2832" i="34"/>
  <c r="B2833" i="34"/>
  <c r="B2834" i="34"/>
  <c r="B2835" i="34"/>
  <c r="B2836" i="34"/>
  <c r="B2837" i="34"/>
  <c r="B2838" i="34"/>
  <c r="B2839" i="34"/>
  <c r="B2840" i="34"/>
  <c r="B2841" i="34"/>
  <c r="B2842" i="34"/>
  <c r="B2843" i="34"/>
  <c r="B2844" i="34"/>
  <c r="B2845" i="34"/>
  <c r="B2846" i="34"/>
  <c r="B2847" i="34"/>
  <c r="B2848" i="34"/>
  <c r="B2849" i="34"/>
  <c r="B2850" i="34"/>
  <c r="B2851" i="34"/>
  <c r="B2852" i="34"/>
  <c r="B2853" i="34"/>
  <c r="B2854" i="34"/>
  <c r="B2855" i="34"/>
  <c r="B2856" i="34"/>
  <c r="B2857" i="34"/>
  <c r="B2858" i="34"/>
  <c r="B2859" i="34"/>
  <c r="B2860" i="34"/>
  <c r="B2861" i="34"/>
  <c r="B2862" i="34"/>
  <c r="B2863" i="34"/>
  <c r="B2864" i="34"/>
  <c r="B2865" i="34"/>
  <c r="B2866" i="34"/>
  <c r="B2867" i="34"/>
  <c r="B2868" i="34"/>
  <c r="B2869" i="34"/>
  <c r="B2870" i="34"/>
  <c r="B2871" i="34"/>
  <c r="B2872" i="34"/>
  <c r="B2873" i="34"/>
  <c r="B2874" i="34"/>
  <c r="B2875" i="34"/>
  <c r="B2876" i="34"/>
  <c r="B2877" i="34"/>
  <c r="B2878" i="34"/>
  <c r="B2879" i="34"/>
  <c r="B2880" i="34"/>
  <c r="B2881" i="34"/>
  <c r="B2882" i="34"/>
  <c r="B2883" i="34"/>
  <c r="B2884" i="34"/>
  <c r="B2885" i="34"/>
  <c r="B2886" i="34"/>
  <c r="B2887" i="34"/>
  <c r="B2888" i="34"/>
  <c r="B2889" i="34"/>
  <c r="B2890" i="34"/>
  <c r="B2891" i="34"/>
  <c r="B2892" i="34"/>
  <c r="B2893" i="34"/>
  <c r="B2894" i="34"/>
  <c r="B2895" i="34"/>
  <c r="B2896" i="34"/>
  <c r="B2897" i="34"/>
  <c r="B2898" i="34"/>
  <c r="B2899" i="34"/>
  <c r="B2900" i="34"/>
  <c r="B2901" i="34"/>
  <c r="B2902" i="34"/>
  <c r="B2903" i="34"/>
  <c r="B2904" i="34"/>
  <c r="B2905" i="34"/>
  <c r="B2906" i="34"/>
  <c r="B2907" i="34"/>
  <c r="B2908" i="34"/>
  <c r="B2909" i="34"/>
  <c r="B2910" i="34"/>
  <c r="B2911" i="34"/>
  <c r="B2912" i="34"/>
  <c r="B2913" i="34"/>
  <c r="B2914" i="34"/>
  <c r="B2915" i="34"/>
  <c r="B2916" i="34"/>
  <c r="B2917" i="34"/>
  <c r="B2918" i="34"/>
  <c r="B2919" i="34"/>
  <c r="B2920" i="34"/>
  <c r="B2921" i="34"/>
  <c r="B2922" i="34"/>
  <c r="B2923" i="34"/>
  <c r="B2924" i="34"/>
  <c r="B2925" i="34"/>
  <c r="B2926" i="34"/>
  <c r="B2927" i="34"/>
  <c r="B2928" i="34"/>
  <c r="B2929" i="34"/>
  <c r="B2930" i="34"/>
  <c r="B2931" i="34"/>
  <c r="B2932" i="34"/>
  <c r="B2933" i="34"/>
  <c r="B2934" i="34"/>
  <c r="B2935" i="34"/>
  <c r="B2936" i="34"/>
  <c r="B2937" i="34"/>
  <c r="B2938" i="34"/>
  <c r="B2939" i="34"/>
  <c r="B2940" i="34"/>
  <c r="B2941" i="34"/>
  <c r="B2942" i="34"/>
  <c r="B2943" i="34"/>
  <c r="B2944" i="34"/>
  <c r="B2945" i="34"/>
  <c r="B2946" i="34"/>
  <c r="B2947" i="34"/>
  <c r="B2948" i="34"/>
  <c r="B2949" i="34"/>
  <c r="B2950" i="34"/>
  <c r="B2951" i="34"/>
  <c r="B2952" i="34"/>
  <c r="B2953" i="34"/>
  <c r="B2954" i="34"/>
  <c r="B2955" i="34"/>
  <c r="B2956" i="34"/>
  <c r="B2957" i="34"/>
  <c r="B2958" i="34"/>
  <c r="B2959" i="34"/>
  <c r="B2960" i="34"/>
  <c r="B2961" i="34"/>
  <c r="B2962" i="34"/>
  <c r="B2963" i="34"/>
  <c r="B2964" i="34"/>
  <c r="B2965" i="34"/>
  <c r="B2966" i="34"/>
  <c r="B2967" i="34"/>
  <c r="B2968" i="34"/>
  <c r="B2969" i="34"/>
  <c r="B2970" i="34"/>
  <c r="B2971" i="34"/>
  <c r="B2972" i="34"/>
  <c r="B2973" i="34"/>
  <c r="B2974" i="34"/>
  <c r="B2975" i="34"/>
  <c r="B2976" i="34"/>
  <c r="B2977" i="34"/>
  <c r="B2978" i="34"/>
  <c r="B2979" i="34"/>
  <c r="B2980" i="34"/>
  <c r="B2981" i="34"/>
  <c r="B2982" i="34"/>
  <c r="B2983" i="34"/>
  <c r="B2984" i="34"/>
  <c r="B2985" i="34"/>
  <c r="B2986" i="34"/>
  <c r="B2987" i="34"/>
  <c r="B2988" i="34"/>
  <c r="B2989" i="34"/>
  <c r="B2990" i="34"/>
  <c r="B2991" i="34"/>
  <c r="B2992" i="34"/>
  <c r="B2993" i="34"/>
  <c r="B2994" i="34"/>
  <c r="B2995" i="34"/>
  <c r="B2996" i="34"/>
  <c r="B2997" i="34"/>
  <c r="B2998" i="34"/>
  <c r="B2999" i="34"/>
  <c r="B3000" i="34"/>
  <c r="B3001" i="34"/>
  <c r="B3002" i="34"/>
  <c r="B3003" i="34"/>
  <c r="B3004" i="34"/>
  <c r="B3005" i="34"/>
  <c r="B3006" i="34"/>
  <c r="B3007" i="34"/>
  <c r="B3008" i="34"/>
  <c r="B3009" i="34"/>
  <c r="B3010" i="34"/>
  <c r="B3011" i="34"/>
  <c r="B3012" i="34"/>
  <c r="B3013" i="34"/>
  <c r="B3014" i="34"/>
  <c r="B3015" i="34"/>
  <c r="B3016" i="34"/>
  <c r="B3017" i="34"/>
  <c r="B3018" i="34"/>
  <c r="B3019" i="34"/>
  <c r="B3020" i="34"/>
  <c r="B3021" i="34"/>
  <c r="B3022" i="34"/>
  <c r="B3023" i="34"/>
  <c r="B3024" i="34"/>
  <c r="B3025" i="34"/>
  <c r="B3026" i="34"/>
  <c r="B3027" i="34"/>
  <c r="B3028" i="34"/>
  <c r="B3029" i="34"/>
  <c r="B3030" i="34"/>
  <c r="B3031" i="34"/>
  <c r="B3032" i="34"/>
  <c r="B3033" i="34"/>
  <c r="B3034" i="34"/>
  <c r="B3035" i="34"/>
  <c r="B3036" i="34"/>
  <c r="B3037" i="34"/>
  <c r="B3038" i="34"/>
  <c r="B3039" i="34"/>
  <c r="B3040" i="34"/>
  <c r="B3041" i="34"/>
  <c r="B3042" i="34"/>
  <c r="B3043" i="34"/>
  <c r="B3044" i="34"/>
  <c r="B3045" i="34"/>
  <c r="B3046" i="34"/>
  <c r="B3047" i="34"/>
  <c r="B3048" i="34"/>
  <c r="B3049" i="34"/>
  <c r="B3050" i="34"/>
  <c r="B3051" i="34"/>
  <c r="B3052" i="34"/>
  <c r="B3053" i="34"/>
  <c r="B3054" i="34"/>
  <c r="B3055" i="34"/>
  <c r="B3056" i="34"/>
  <c r="B3057" i="34"/>
  <c r="B3058" i="34"/>
  <c r="B3059" i="34"/>
  <c r="B3060" i="34"/>
  <c r="B3061" i="34"/>
  <c r="B3062" i="34"/>
  <c r="B3063" i="34"/>
  <c r="B3064" i="34"/>
  <c r="B3065" i="34"/>
  <c r="B3066" i="34"/>
  <c r="B3067" i="34"/>
  <c r="B3068" i="34"/>
  <c r="B3069" i="34"/>
  <c r="B3070" i="34"/>
  <c r="B3071" i="34"/>
  <c r="B3072" i="34"/>
  <c r="B3073" i="34"/>
  <c r="B3074" i="34"/>
  <c r="B3075" i="34"/>
  <c r="B3076" i="34"/>
  <c r="B3077" i="34"/>
  <c r="B3078" i="34"/>
  <c r="B3079" i="34"/>
  <c r="B3080" i="34"/>
  <c r="B3081" i="34"/>
  <c r="B3082" i="34"/>
  <c r="B3083" i="34"/>
  <c r="B3084" i="34"/>
  <c r="B3085" i="34"/>
  <c r="B3086" i="34"/>
  <c r="B3087" i="34"/>
  <c r="B3088" i="34"/>
  <c r="B3089" i="34"/>
  <c r="B3090" i="34"/>
  <c r="B3091" i="34"/>
  <c r="B3092" i="34"/>
  <c r="B3093" i="34"/>
  <c r="B3094" i="34"/>
  <c r="B3095" i="34"/>
  <c r="B3096" i="34"/>
  <c r="B3097" i="34"/>
  <c r="B3098" i="34"/>
  <c r="B3099" i="34"/>
  <c r="B3100" i="34"/>
  <c r="B3101" i="34"/>
  <c r="B3102" i="34"/>
  <c r="B3103" i="34"/>
  <c r="B3104" i="34"/>
  <c r="B3105" i="34"/>
  <c r="B3106" i="34"/>
  <c r="B3107" i="34"/>
  <c r="B3108" i="34"/>
  <c r="B3109" i="34"/>
  <c r="B3110" i="34"/>
  <c r="B3111" i="34"/>
  <c r="B3112" i="34"/>
  <c r="B3113" i="34"/>
  <c r="B3114" i="34"/>
  <c r="B3115" i="34"/>
  <c r="B3116" i="34"/>
  <c r="B3117" i="34"/>
  <c r="B3118" i="34"/>
  <c r="B3119" i="34"/>
  <c r="B3120" i="34"/>
  <c r="B3121" i="34"/>
  <c r="B3122" i="34"/>
  <c r="B3123" i="34"/>
  <c r="B3124" i="34"/>
  <c r="B3125" i="34"/>
  <c r="B3126" i="34"/>
  <c r="B3127" i="34"/>
  <c r="B3128" i="34"/>
  <c r="B3129" i="34"/>
  <c r="B3130" i="34"/>
  <c r="B3131" i="34"/>
  <c r="B3132" i="34"/>
  <c r="B3133" i="34"/>
  <c r="B3134" i="34"/>
  <c r="B3135" i="34"/>
  <c r="B3136" i="34"/>
  <c r="B3137" i="34"/>
  <c r="B3138" i="34"/>
  <c r="B3139" i="34"/>
  <c r="B3140" i="34"/>
  <c r="B3141" i="34"/>
  <c r="B3142" i="34"/>
  <c r="B3143" i="34"/>
  <c r="B3144" i="34"/>
  <c r="B3145" i="34"/>
  <c r="B3146" i="34"/>
  <c r="B3147" i="34"/>
  <c r="B3148" i="34"/>
  <c r="B3149" i="34"/>
  <c r="B3150" i="34"/>
  <c r="B3151" i="34"/>
  <c r="B3152" i="34"/>
  <c r="B3153" i="34"/>
  <c r="B3154" i="34"/>
  <c r="B3155" i="34"/>
  <c r="B3156" i="34"/>
  <c r="B3157" i="34"/>
  <c r="B3158" i="34"/>
  <c r="B3159" i="34"/>
  <c r="B3160" i="34"/>
  <c r="B3161" i="34"/>
  <c r="B3162" i="34"/>
  <c r="B3163" i="34"/>
  <c r="B3164" i="34"/>
  <c r="B3165" i="34"/>
  <c r="B3166" i="34"/>
  <c r="B3167" i="34"/>
  <c r="B3168" i="34"/>
  <c r="B3169" i="34"/>
  <c r="B3170" i="34"/>
  <c r="B3171" i="34"/>
  <c r="B3172" i="34"/>
  <c r="B3173" i="34"/>
  <c r="B3174" i="34"/>
  <c r="B3175" i="34"/>
  <c r="B3176" i="34"/>
  <c r="B3177" i="34"/>
  <c r="B3178" i="34"/>
  <c r="B3179" i="34"/>
  <c r="B3180" i="34"/>
  <c r="B3181" i="34"/>
  <c r="B3182" i="34"/>
  <c r="B3183" i="34"/>
  <c r="B3184" i="34"/>
  <c r="B3185" i="34"/>
  <c r="B3186" i="34"/>
  <c r="B3187" i="34"/>
  <c r="B3188" i="34"/>
  <c r="B3189" i="34"/>
  <c r="B3190" i="34"/>
  <c r="B3191" i="34"/>
  <c r="B3192" i="34"/>
  <c r="B3193" i="34"/>
  <c r="B3194" i="34"/>
  <c r="B3195" i="34"/>
  <c r="B3196" i="34"/>
  <c r="B3197" i="34"/>
  <c r="B3198" i="34"/>
  <c r="B3199" i="34"/>
  <c r="B3200" i="34"/>
  <c r="B3201" i="34"/>
  <c r="B3202" i="34"/>
  <c r="B3203" i="34"/>
  <c r="B3204" i="34"/>
  <c r="B3205" i="34"/>
  <c r="B3206" i="34"/>
  <c r="B3207" i="34"/>
  <c r="B3208" i="34"/>
  <c r="B3209" i="34"/>
  <c r="B3210" i="34"/>
  <c r="B3211" i="34"/>
  <c r="B3212" i="34"/>
  <c r="B3213" i="34"/>
  <c r="B3214" i="34"/>
  <c r="B3215" i="34"/>
  <c r="B3216" i="34"/>
  <c r="B3217" i="34"/>
  <c r="B3218" i="34"/>
  <c r="B3219" i="34"/>
  <c r="B3220" i="34"/>
  <c r="B3221" i="34"/>
  <c r="B3222" i="34"/>
  <c r="B3223" i="34"/>
  <c r="B3224" i="34"/>
  <c r="B3225" i="34"/>
  <c r="B3226" i="34"/>
  <c r="B3227" i="34"/>
  <c r="B3228" i="34"/>
  <c r="B3229" i="34"/>
  <c r="B3230" i="34"/>
  <c r="B3231" i="34"/>
  <c r="B3232" i="34"/>
  <c r="B3233" i="34"/>
  <c r="B3234" i="34"/>
  <c r="B3235" i="34"/>
  <c r="B3236" i="34"/>
  <c r="B3237" i="34"/>
  <c r="B3238" i="34"/>
  <c r="B3239" i="34"/>
  <c r="B3240" i="34"/>
  <c r="B3241" i="34"/>
  <c r="B3242" i="34"/>
  <c r="B3243" i="34"/>
  <c r="B3244" i="34"/>
  <c r="B3245" i="34"/>
  <c r="B3246" i="34"/>
  <c r="B3247" i="34"/>
  <c r="B3248" i="34"/>
  <c r="B3249" i="34"/>
  <c r="B3250" i="34"/>
  <c r="B3251" i="34"/>
  <c r="B3252" i="34"/>
  <c r="B3253" i="34"/>
  <c r="B3254" i="34"/>
  <c r="B3255" i="34"/>
  <c r="B3256" i="34"/>
  <c r="B3257" i="34"/>
  <c r="B3258" i="34"/>
  <c r="B3259" i="34"/>
  <c r="B3260" i="34"/>
  <c r="B3261" i="34"/>
  <c r="B3262" i="34"/>
  <c r="B3263" i="34"/>
  <c r="B3264" i="34"/>
  <c r="B3265" i="34"/>
  <c r="B3266" i="34"/>
  <c r="B3267" i="34"/>
  <c r="B3268" i="34"/>
  <c r="B3269" i="34"/>
  <c r="B3270" i="34"/>
  <c r="B3271" i="34"/>
  <c r="B3272" i="34"/>
  <c r="B3273" i="34"/>
  <c r="B3274" i="34"/>
  <c r="B3275" i="34"/>
  <c r="B3276" i="34"/>
  <c r="B3277" i="34"/>
  <c r="B3278" i="34"/>
  <c r="B3279" i="34"/>
  <c r="B3280" i="34"/>
  <c r="B3281" i="34"/>
  <c r="B3282" i="34"/>
  <c r="B3283" i="34"/>
  <c r="B3284" i="34"/>
  <c r="B3285" i="34"/>
  <c r="B3286" i="34"/>
  <c r="B3287" i="34"/>
  <c r="B3288" i="34"/>
  <c r="B3289" i="34"/>
  <c r="B3290" i="34"/>
  <c r="B3291" i="34"/>
  <c r="B3292" i="34"/>
  <c r="B3293" i="34"/>
  <c r="B3294" i="34"/>
  <c r="B3295" i="34"/>
  <c r="B3296" i="34"/>
  <c r="B3297" i="34"/>
  <c r="B3298" i="34"/>
  <c r="B3299" i="34"/>
  <c r="B3300" i="34"/>
  <c r="B3301" i="34"/>
  <c r="B3302" i="34"/>
  <c r="B3303" i="34"/>
  <c r="B3304" i="34"/>
  <c r="B3305" i="34"/>
  <c r="B3306" i="34"/>
  <c r="B3307" i="34"/>
  <c r="B3308" i="34"/>
  <c r="B3309" i="34"/>
  <c r="B3310" i="34"/>
  <c r="B3311" i="34"/>
  <c r="B3312" i="34"/>
  <c r="B3313" i="34"/>
  <c r="B3314" i="34"/>
  <c r="B3315" i="34"/>
  <c r="B3316" i="34"/>
  <c r="B3317" i="34"/>
  <c r="B3318" i="34"/>
  <c r="B3319" i="34"/>
  <c r="B3320" i="34"/>
  <c r="B3321" i="34"/>
  <c r="B3322" i="34"/>
  <c r="B3323" i="34"/>
  <c r="B3324" i="34"/>
  <c r="B3325" i="34"/>
  <c r="B3326" i="34"/>
  <c r="B3327" i="34"/>
  <c r="B3328" i="34"/>
  <c r="B3329" i="34"/>
  <c r="B3330" i="34"/>
  <c r="B3331" i="34"/>
  <c r="B3332" i="34"/>
  <c r="B3333" i="34"/>
  <c r="B3334" i="34"/>
  <c r="B3335" i="34"/>
  <c r="B3336" i="34"/>
  <c r="B3337" i="34"/>
  <c r="B3338" i="34"/>
  <c r="B3339" i="34"/>
  <c r="B3340" i="34"/>
  <c r="B3341" i="34"/>
  <c r="B3342" i="34"/>
  <c r="B3343" i="34"/>
  <c r="B3344" i="34"/>
  <c r="B3345" i="34"/>
  <c r="B3346" i="34"/>
  <c r="B3347" i="34"/>
  <c r="B3348" i="34"/>
  <c r="B3349" i="34"/>
  <c r="B3350" i="34"/>
  <c r="B3351" i="34"/>
  <c r="B3352" i="34"/>
  <c r="B3353" i="34"/>
  <c r="B3354" i="34"/>
  <c r="B3355" i="34"/>
  <c r="B3356" i="34"/>
  <c r="B3357" i="34"/>
  <c r="B3358" i="34"/>
  <c r="B3359" i="34"/>
  <c r="B3360" i="34"/>
  <c r="B3361" i="34"/>
  <c r="B3362" i="34"/>
  <c r="B3363" i="34"/>
  <c r="B3364" i="34"/>
  <c r="B3365" i="34"/>
  <c r="B3366" i="34"/>
  <c r="B3367" i="34"/>
  <c r="B3368" i="34"/>
  <c r="B3369" i="34"/>
  <c r="B3370" i="34"/>
  <c r="B3371" i="34"/>
  <c r="B3372" i="34"/>
  <c r="B3373" i="34"/>
  <c r="B3374" i="34"/>
  <c r="B3375" i="34"/>
  <c r="B3376" i="34"/>
  <c r="B3377" i="34"/>
  <c r="B3378" i="34"/>
  <c r="B3379" i="34"/>
  <c r="B3380" i="34"/>
  <c r="B3381" i="34"/>
  <c r="B3382" i="34"/>
  <c r="B3383" i="34"/>
  <c r="B3384" i="34"/>
  <c r="B3385" i="34"/>
  <c r="B3386" i="34"/>
  <c r="B3387" i="34"/>
  <c r="B3388" i="34"/>
  <c r="B3389" i="34"/>
  <c r="B3390" i="34"/>
  <c r="B3391" i="34"/>
  <c r="B3392" i="34"/>
  <c r="B3393" i="34"/>
  <c r="B3394" i="34"/>
  <c r="B3395" i="34"/>
  <c r="B3396" i="34"/>
  <c r="B3397" i="34"/>
  <c r="B3398" i="34"/>
  <c r="B3399" i="34"/>
  <c r="B3400" i="34"/>
  <c r="B3401" i="34"/>
  <c r="B3402" i="34"/>
  <c r="B3403" i="34"/>
  <c r="B3404" i="34"/>
  <c r="B3405" i="34"/>
  <c r="B3406" i="34"/>
  <c r="B3407" i="34"/>
  <c r="B3408" i="34"/>
  <c r="B3409" i="34"/>
  <c r="B3410" i="34"/>
  <c r="B3411" i="34"/>
  <c r="B3412" i="34"/>
  <c r="B3413" i="34"/>
  <c r="B3414" i="34"/>
  <c r="B3415" i="34"/>
  <c r="B3416" i="34"/>
  <c r="B3417" i="34"/>
  <c r="B3418" i="34"/>
  <c r="B3419" i="34"/>
  <c r="B3420" i="34"/>
  <c r="B3421" i="34"/>
  <c r="B3422" i="34"/>
  <c r="B3423" i="34"/>
  <c r="B3424" i="34"/>
  <c r="B3425" i="34"/>
  <c r="B3426" i="34"/>
  <c r="B3427" i="34"/>
  <c r="B3428" i="34"/>
  <c r="B3429" i="34"/>
  <c r="B3430" i="34"/>
  <c r="B3431" i="34"/>
  <c r="B3432" i="34"/>
  <c r="B3433" i="34"/>
  <c r="B3434" i="34"/>
  <c r="B3435" i="34"/>
  <c r="B3436" i="34"/>
  <c r="B3437" i="34"/>
  <c r="B3438" i="34"/>
  <c r="B3439" i="34"/>
  <c r="B3440" i="34"/>
  <c r="B3441" i="34"/>
  <c r="B3442" i="34"/>
  <c r="B3443" i="34"/>
  <c r="B3444" i="34"/>
  <c r="B3445" i="34"/>
  <c r="B3446" i="34"/>
  <c r="B3447" i="34"/>
  <c r="B3448" i="34"/>
  <c r="B3449" i="34"/>
  <c r="B3450" i="34"/>
  <c r="B3451" i="34"/>
  <c r="B3452" i="34"/>
  <c r="B3453" i="34"/>
  <c r="B3454" i="34"/>
  <c r="B3455" i="34"/>
  <c r="B3456" i="34"/>
  <c r="B3457" i="34"/>
  <c r="B3458" i="34"/>
  <c r="B3459" i="34"/>
  <c r="B3460" i="34"/>
  <c r="B3461" i="34"/>
  <c r="B3462" i="34"/>
  <c r="B3463" i="34"/>
  <c r="B3464" i="34"/>
  <c r="B3465" i="34"/>
  <c r="B3466" i="34"/>
  <c r="B3467" i="34"/>
  <c r="B3468" i="34"/>
  <c r="B3469" i="34"/>
  <c r="B3470" i="34"/>
  <c r="B3471" i="34"/>
  <c r="B3472" i="34"/>
  <c r="B3473" i="34"/>
  <c r="B3474" i="34"/>
  <c r="B3475" i="34"/>
  <c r="B3476" i="34"/>
  <c r="B3477" i="34"/>
  <c r="B3478" i="34"/>
  <c r="B3479" i="34"/>
  <c r="B3480" i="34"/>
  <c r="B3481" i="34"/>
  <c r="B3482" i="34"/>
  <c r="B3483" i="34"/>
  <c r="B3484" i="34"/>
  <c r="B3485" i="34"/>
  <c r="B3486" i="34"/>
  <c r="B3487" i="34"/>
  <c r="B3488" i="34"/>
  <c r="B3489" i="34"/>
  <c r="B3490" i="34"/>
  <c r="B3491" i="34"/>
  <c r="B3492" i="34"/>
  <c r="B3493" i="34"/>
  <c r="B3494" i="34"/>
  <c r="B3495" i="34"/>
  <c r="B3496" i="34"/>
  <c r="B3497" i="34"/>
  <c r="B3498" i="34"/>
  <c r="B3499" i="34"/>
  <c r="B3500" i="34"/>
  <c r="B3501" i="34"/>
  <c r="B3502" i="34"/>
  <c r="B3503" i="34"/>
  <c r="B3504" i="34"/>
  <c r="B3505" i="34"/>
  <c r="B3506" i="34"/>
  <c r="B3507" i="34"/>
  <c r="B3508" i="34"/>
  <c r="B3509" i="34"/>
  <c r="B3510" i="34"/>
  <c r="B3511" i="34"/>
  <c r="B3512" i="34"/>
  <c r="B3513" i="34"/>
  <c r="B3514" i="34"/>
  <c r="B3515" i="34"/>
  <c r="B3516" i="34"/>
  <c r="B3517" i="34"/>
  <c r="B3518" i="34"/>
  <c r="B3519" i="34"/>
  <c r="B3520" i="34"/>
  <c r="B3521" i="34"/>
  <c r="B3522" i="34"/>
  <c r="B3523" i="34"/>
  <c r="B3524" i="34"/>
  <c r="B3525" i="34"/>
  <c r="B3526" i="34"/>
  <c r="B3527" i="34"/>
  <c r="B3528" i="34"/>
  <c r="B3529" i="34"/>
  <c r="B3530" i="34"/>
  <c r="B3531" i="34"/>
  <c r="B3532" i="34"/>
  <c r="B3533" i="34"/>
  <c r="B3534" i="34"/>
  <c r="B3535" i="34"/>
  <c r="B3536" i="34"/>
  <c r="B3537" i="34"/>
  <c r="B3538" i="34"/>
  <c r="B3539" i="34"/>
  <c r="B3540" i="34"/>
  <c r="B3541" i="34"/>
  <c r="B3542" i="34"/>
  <c r="B3543" i="34"/>
  <c r="B3544" i="34"/>
  <c r="B3545" i="34"/>
  <c r="B3546" i="34"/>
  <c r="B3547" i="34"/>
  <c r="B3548" i="34"/>
  <c r="B3549" i="34"/>
  <c r="B3550" i="34"/>
  <c r="B3551" i="34"/>
  <c r="B3552" i="34"/>
  <c r="B3553" i="34"/>
  <c r="B3554" i="34"/>
  <c r="B3555" i="34"/>
  <c r="B3556" i="34"/>
  <c r="B3557" i="34"/>
  <c r="B3558" i="34"/>
  <c r="B3559" i="34"/>
  <c r="B3560" i="34"/>
  <c r="B3561" i="34"/>
  <c r="B3562" i="34"/>
  <c r="B3563" i="34"/>
  <c r="B3564" i="34"/>
  <c r="B3565" i="34"/>
  <c r="B3566" i="34"/>
  <c r="B3567" i="34"/>
  <c r="B3568" i="34"/>
  <c r="B3569" i="34"/>
  <c r="B3570" i="34"/>
  <c r="B3571" i="34"/>
  <c r="B3572" i="34"/>
  <c r="B3573" i="34"/>
  <c r="B3574" i="34"/>
  <c r="B3575" i="34"/>
  <c r="B3576" i="34"/>
  <c r="B3577" i="34"/>
  <c r="B3578" i="34"/>
  <c r="B3579" i="34"/>
  <c r="B3580" i="34"/>
  <c r="B3581" i="34"/>
  <c r="B3582" i="34"/>
  <c r="B3583" i="34"/>
  <c r="B3584" i="34"/>
  <c r="B3585" i="34"/>
  <c r="B3586" i="34"/>
  <c r="B3587" i="34"/>
  <c r="B3588" i="34"/>
  <c r="B3589" i="34"/>
  <c r="B3590" i="34"/>
  <c r="B3591" i="34"/>
  <c r="B3592" i="34"/>
  <c r="B3593" i="34"/>
  <c r="B3594" i="34"/>
  <c r="B3595" i="34"/>
  <c r="B3596" i="34"/>
  <c r="B3597" i="34"/>
  <c r="B3598" i="34"/>
  <c r="B3599" i="34"/>
  <c r="B3600" i="34"/>
  <c r="B3601" i="34"/>
  <c r="B3602" i="34"/>
  <c r="B3603" i="34"/>
  <c r="B3604" i="34"/>
  <c r="B3605" i="34"/>
  <c r="B3606" i="34"/>
  <c r="B3607" i="34"/>
  <c r="B3608" i="34"/>
  <c r="B3609" i="34"/>
  <c r="B3610" i="34"/>
  <c r="B3611" i="34"/>
  <c r="B3612" i="34"/>
  <c r="B3613" i="34"/>
  <c r="B3614" i="34"/>
  <c r="B3615" i="34"/>
  <c r="B3616" i="34"/>
  <c r="B3617" i="34"/>
  <c r="B3618" i="34"/>
  <c r="B3619" i="34"/>
  <c r="B3620" i="34"/>
  <c r="B3621" i="34"/>
  <c r="B3622" i="34"/>
  <c r="B3623" i="34"/>
  <c r="B3624" i="34"/>
  <c r="B3625" i="34"/>
  <c r="B3626" i="34"/>
  <c r="B3627" i="34"/>
  <c r="B3628" i="34"/>
  <c r="B3629" i="34"/>
  <c r="B3630" i="34"/>
  <c r="B3631" i="34"/>
  <c r="B3632" i="34"/>
  <c r="B3633" i="34"/>
  <c r="B3634" i="34"/>
  <c r="B3635" i="34"/>
  <c r="B3636" i="34"/>
  <c r="B3637" i="34"/>
  <c r="B3638" i="34"/>
  <c r="B3639" i="34"/>
  <c r="B3640" i="34"/>
  <c r="B3641" i="34"/>
  <c r="B3642" i="34"/>
  <c r="B3643" i="34"/>
  <c r="B3644" i="34"/>
  <c r="B3645" i="34"/>
  <c r="B3646" i="34"/>
  <c r="B3647" i="34"/>
  <c r="B3648" i="34"/>
  <c r="B3649" i="34"/>
  <c r="B3650" i="34"/>
  <c r="B3651" i="34"/>
  <c r="B3652" i="34"/>
  <c r="B3653" i="34"/>
  <c r="B3654" i="34"/>
  <c r="B3655" i="34"/>
  <c r="B3656" i="34"/>
  <c r="B3657" i="34"/>
  <c r="B3658" i="34"/>
  <c r="B3659" i="34"/>
  <c r="B3660" i="34"/>
  <c r="B3661" i="34"/>
  <c r="B3662" i="34"/>
  <c r="B3663" i="34"/>
  <c r="B3664" i="34"/>
  <c r="B3665" i="34"/>
  <c r="B3666" i="34"/>
  <c r="B3667" i="34"/>
  <c r="B3668" i="34"/>
  <c r="B3669" i="34"/>
  <c r="B3670" i="34"/>
  <c r="B3671" i="34"/>
  <c r="B3672" i="34"/>
  <c r="B3673" i="34"/>
  <c r="B3674" i="34"/>
  <c r="B3675" i="34"/>
  <c r="B3676" i="34"/>
  <c r="B3677" i="34"/>
  <c r="B3678" i="34"/>
  <c r="B3679" i="34"/>
  <c r="B3680" i="34"/>
  <c r="B3681" i="34"/>
  <c r="B3682" i="34"/>
  <c r="B3683" i="34"/>
  <c r="B3684" i="34"/>
  <c r="B3685" i="34"/>
  <c r="B3686" i="34"/>
  <c r="B3687" i="34"/>
  <c r="B3688" i="34"/>
  <c r="B3689" i="34"/>
  <c r="B3690" i="34"/>
  <c r="B3691" i="34"/>
  <c r="B3692" i="34"/>
  <c r="B3693" i="34"/>
  <c r="B3694" i="34"/>
  <c r="B3695" i="34"/>
  <c r="B3696" i="34"/>
  <c r="B3697" i="34"/>
  <c r="B3698" i="34"/>
  <c r="B3699" i="34"/>
  <c r="B3700" i="34"/>
  <c r="B3701" i="34"/>
  <c r="B3702" i="34"/>
  <c r="B3703" i="34"/>
  <c r="B3704" i="34"/>
  <c r="B3705" i="34"/>
  <c r="B3706" i="34"/>
  <c r="B3707" i="34"/>
  <c r="B3708" i="34"/>
  <c r="B3709" i="34"/>
  <c r="B3710" i="34"/>
  <c r="B3711" i="34"/>
  <c r="B3712" i="34"/>
  <c r="B3713" i="34"/>
  <c r="B3714" i="34"/>
  <c r="B3715" i="34"/>
  <c r="B3716" i="34"/>
  <c r="B3717" i="34"/>
  <c r="B3718" i="34"/>
  <c r="B3719" i="34"/>
  <c r="B3720" i="34"/>
  <c r="B3721" i="34"/>
  <c r="B3722" i="34"/>
  <c r="B3723" i="34"/>
  <c r="B3724" i="34"/>
  <c r="B3725" i="34"/>
  <c r="B3726" i="34"/>
  <c r="B3727" i="34"/>
  <c r="B3728" i="34"/>
  <c r="B3729" i="34"/>
  <c r="B3730" i="34"/>
  <c r="B3731" i="34"/>
  <c r="B3732" i="34"/>
  <c r="B3733" i="34"/>
  <c r="B3734" i="34"/>
  <c r="B3735" i="34"/>
  <c r="B3736" i="34"/>
  <c r="B3737" i="34"/>
  <c r="B3738" i="34"/>
  <c r="B3739" i="34"/>
  <c r="B3740" i="34"/>
  <c r="B3741" i="34"/>
  <c r="B3742" i="34"/>
  <c r="B3743" i="34"/>
  <c r="B3744" i="34"/>
  <c r="B3745" i="34"/>
  <c r="B3746" i="34"/>
  <c r="B3747" i="34"/>
  <c r="B3748" i="34"/>
  <c r="B3749" i="34"/>
  <c r="B3750" i="34"/>
  <c r="B3751" i="34"/>
  <c r="B3752" i="34"/>
  <c r="B3753" i="34"/>
  <c r="B3754" i="34"/>
  <c r="B3755" i="34"/>
  <c r="B3756" i="34"/>
  <c r="B3757" i="34"/>
  <c r="B3758" i="34"/>
  <c r="B3759" i="34"/>
  <c r="B3760" i="34"/>
  <c r="B3761" i="34"/>
  <c r="B3762" i="34"/>
  <c r="B3763" i="34"/>
  <c r="B3764" i="34"/>
  <c r="B3765" i="34"/>
  <c r="B3766" i="34"/>
  <c r="B3767" i="34"/>
  <c r="B3768" i="34"/>
  <c r="B3769" i="34"/>
  <c r="B3770" i="34"/>
  <c r="B3771" i="34"/>
  <c r="B3772" i="34"/>
  <c r="B3773" i="34"/>
  <c r="B3774" i="34"/>
  <c r="B3775" i="34"/>
  <c r="B3776" i="34"/>
  <c r="B3777" i="34"/>
  <c r="B3778" i="34"/>
  <c r="B3779" i="34"/>
  <c r="B3780" i="34"/>
  <c r="B3781" i="34"/>
  <c r="B3782" i="34"/>
  <c r="B3783" i="34"/>
  <c r="B3784" i="34"/>
  <c r="B3785" i="34"/>
  <c r="B3786" i="34"/>
  <c r="B3787" i="34"/>
  <c r="B3788" i="34"/>
  <c r="B3789" i="34"/>
  <c r="B3790" i="34"/>
  <c r="B3791" i="34"/>
  <c r="B3792" i="34"/>
  <c r="B3793" i="34"/>
  <c r="B3794" i="34"/>
  <c r="B3795" i="34"/>
  <c r="B3796" i="34"/>
  <c r="B3797" i="34"/>
  <c r="B3798" i="34"/>
  <c r="B3799" i="34"/>
  <c r="B3800" i="34"/>
  <c r="B3801" i="34"/>
  <c r="B3802" i="34"/>
  <c r="B3803" i="34"/>
  <c r="B3804" i="34"/>
  <c r="B3805" i="34"/>
  <c r="B3806" i="34"/>
  <c r="B3807" i="34"/>
  <c r="B3808" i="34"/>
  <c r="B3809" i="34"/>
  <c r="B3810" i="34"/>
  <c r="B3811" i="34"/>
  <c r="B3812" i="34"/>
  <c r="B3813" i="34"/>
  <c r="B3814" i="34"/>
  <c r="B3815" i="34"/>
  <c r="B3816" i="34"/>
  <c r="B3817" i="34"/>
  <c r="B3818" i="34"/>
  <c r="B3819" i="34"/>
  <c r="B3820" i="34"/>
  <c r="B3821" i="34"/>
  <c r="B3822" i="34"/>
  <c r="B3823" i="34"/>
  <c r="B3824" i="34"/>
  <c r="B3825" i="34"/>
  <c r="B3826" i="34"/>
  <c r="B3827" i="34"/>
  <c r="B3828" i="34"/>
  <c r="B3829" i="34"/>
  <c r="B3830" i="34"/>
  <c r="B3831" i="34"/>
  <c r="B3832" i="34"/>
  <c r="B3833" i="34"/>
  <c r="B3834" i="34"/>
  <c r="B3835" i="34"/>
  <c r="B3836" i="34"/>
  <c r="B3837" i="34"/>
  <c r="B3838" i="34"/>
  <c r="B3839" i="34"/>
  <c r="B3840" i="34"/>
  <c r="B3841" i="34"/>
  <c r="B3842" i="34"/>
  <c r="B3843" i="34"/>
  <c r="B3844" i="34"/>
  <c r="B3845" i="34"/>
  <c r="B3846" i="34"/>
  <c r="B3847" i="34"/>
  <c r="B3848" i="34"/>
  <c r="B3849" i="34"/>
  <c r="B3850" i="34"/>
  <c r="B3851" i="34"/>
  <c r="B3852" i="34"/>
  <c r="B3853" i="34"/>
  <c r="B3854" i="34"/>
  <c r="B3855" i="34"/>
  <c r="B3856" i="34"/>
  <c r="B3857" i="34"/>
  <c r="B3858" i="34"/>
  <c r="B3859" i="34"/>
  <c r="B3860" i="34"/>
  <c r="B3861" i="34"/>
  <c r="B3862" i="34"/>
  <c r="B3863" i="34"/>
  <c r="B3864" i="34"/>
  <c r="B3865" i="34"/>
  <c r="B3866" i="34"/>
  <c r="B3867" i="34"/>
  <c r="B3868" i="34"/>
  <c r="B3869" i="34"/>
  <c r="B3870" i="34"/>
  <c r="B3871" i="34"/>
  <c r="B3872" i="34"/>
  <c r="B3873" i="34"/>
  <c r="B3874" i="34"/>
  <c r="B3875" i="34"/>
  <c r="B3876" i="34"/>
  <c r="B3877" i="34"/>
  <c r="B3878" i="34"/>
  <c r="B3879" i="34"/>
  <c r="B3880" i="34"/>
  <c r="B3881" i="34"/>
  <c r="B3882" i="34"/>
  <c r="B3883" i="34"/>
  <c r="B3884" i="34"/>
  <c r="B3885" i="34"/>
  <c r="B3886" i="34"/>
  <c r="B3887" i="34"/>
  <c r="B3888" i="34"/>
  <c r="B3889" i="34"/>
  <c r="B3890" i="34"/>
  <c r="B3891" i="34"/>
  <c r="B3892" i="34"/>
  <c r="B3893" i="34"/>
  <c r="B3894" i="34"/>
  <c r="B3895" i="34"/>
  <c r="B3896" i="34"/>
  <c r="B3897" i="34"/>
  <c r="B3898" i="34"/>
  <c r="B3899" i="34"/>
  <c r="B3900" i="34"/>
  <c r="B3901" i="34"/>
  <c r="B3902" i="34"/>
  <c r="B3903" i="34"/>
  <c r="B3904" i="34"/>
  <c r="B3905" i="34"/>
  <c r="B3906" i="34"/>
  <c r="B3907" i="34"/>
  <c r="B3908" i="34"/>
  <c r="B3909" i="34"/>
  <c r="B3910" i="34"/>
  <c r="B3911" i="34"/>
  <c r="B3912" i="34"/>
  <c r="B3913" i="34"/>
  <c r="B3914" i="34"/>
  <c r="B3915" i="34"/>
  <c r="B3916" i="34"/>
  <c r="B3917" i="34"/>
  <c r="B3918" i="34"/>
  <c r="B3919" i="34"/>
  <c r="B3920" i="34"/>
  <c r="B3921" i="34"/>
  <c r="B3922" i="34"/>
  <c r="B3923" i="34"/>
  <c r="B3924" i="34"/>
  <c r="B3925" i="34"/>
  <c r="B3926" i="34"/>
  <c r="B3927" i="34"/>
  <c r="B3928" i="34"/>
  <c r="B3929" i="34"/>
  <c r="B3930" i="34"/>
  <c r="B3931" i="34"/>
  <c r="B3932" i="34"/>
  <c r="B3933" i="34"/>
  <c r="B3934" i="34"/>
  <c r="B3935" i="34"/>
  <c r="B3936" i="34"/>
  <c r="B3937" i="34"/>
  <c r="B3938" i="34"/>
  <c r="B3939" i="34"/>
  <c r="B3940" i="34"/>
  <c r="B3941" i="34"/>
  <c r="B3942" i="34"/>
  <c r="B3943" i="34"/>
  <c r="B3944" i="34"/>
  <c r="B3945" i="34"/>
  <c r="B3946" i="34"/>
  <c r="B3947" i="34"/>
  <c r="B3948" i="34"/>
  <c r="B3949" i="34"/>
  <c r="B3950" i="34"/>
  <c r="B3951" i="34"/>
  <c r="B3952" i="34"/>
  <c r="B3953" i="34"/>
  <c r="B3954" i="34"/>
  <c r="B3955" i="34"/>
  <c r="B3956" i="34"/>
  <c r="B3957" i="34"/>
  <c r="B3958" i="34"/>
  <c r="B3959" i="34"/>
  <c r="B3960" i="34"/>
  <c r="B3961" i="34"/>
  <c r="B3962" i="34"/>
  <c r="B3963" i="34"/>
  <c r="B3964" i="34"/>
  <c r="B3965" i="34"/>
  <c r="B3966" i="34"/>
  <c r="B3967" i="34"/>
  <c r="B3968" i="34"/>
  <c r="B3969" i="34"/>
  <c r="B3970" i="34"/>
  <c r="B3971" i="34"/>
  <c r="B3972" i="34"/>
  <c r="B3973" i="34"/>
  <c r="B3974" i="34"/>
  <c r="B3975" i="34"/>
  <c r="B3976" i="34"/>
  <c r="B3977" i="34"/>
  <c r="B3978" i="34"/>
  <c r="B3979" i="34"/>
  <c r="B3980" i="34"/>
  <c r="B3981" i="34"/>
  <c r="B3982" i="34"/>
  <c r="B3983" i="34"/>
  <c r="B3984" i="34"/>
  <c r="B3985" i="34"/>
  <c r="B3986" i="34"/>
  <c r="B3987" i="34"/>
  <c r="B3988" i="34"/>
  <c r="B3989" i="34"/>
  <c r="B3990" i="34"/>
  <c r="B3991" i="34"/>
  <c r="B3992" i="34"/>
  <c r="B3993" i="34"/>
  <c r="B3994" i="34"/>
  <c r="B3995" i="34"/>
  <c r="B3996" i="34"/>
  <c r="B3997" i="34"/>
  <c r="B3998" i="34"/>
  <c r="B3999" i="34"/>
  <c r="B4000" i="34"/>
  <c r="B4001" i="34"/>
  <c r="B4002" i="34"/>
  <c r="B4003" i="34"/>
  <c r="B4004" i="34"/>
  <c r="B4005" i="34"/>
  <c r="B4006" i="34"/>
  <c r="B4007" i="34"/>
  <c r="B4008" i="34"/>
  <c r="B4009" i="34"/>
  <c r="B4010" i="34"/>
  <c r="B4011" i="34"/>
  <c r="B4012" i="34"/>
  <c r="B4013" i="34"/>
  <c r="B4014" i="34"/>
  <c r="B4015" i="34"/>
  <c r="B4016" i="34"/>
  <c r="B4017" i="34"/>
  <c r="B4018" i="34"/>
  <c r="B4019" i="34"/>
  <c r="B4020" i="34"/>
  <c r="B4021" i="34"/>
  <c r="B4022" i="34"/>
  <c r="B4023" i="34"/>
  <c r="B4024" i="34"/>
  <c r="B4025" i="34"/>
  <c r="B4026" i="34"/>
  <c r="B4027" i="34"/>
  <c r="B4028" i="34"/>
  <c r="B4029" i="34"/>
  <c r="B4030" i="34"/>
  <c r="B4031" i="34"/>
  <c r="B4032" i="34"/>
  <c r="B4033" i="34"/>
  <c r="B4034" i="34"/>
  <c r="B4035" i="34"/>
  <c r="B4036" i="34"/>
  <c r="B4037" i="34"/>
  <c r="B4038" i="34"/>
  <c r="B4039" i="34"/>
  <c r="B4040" i="34"/>
  <c r="B4041" i="34"/>
  <c r="B4042" i="34"/>
  <c r="B4043" i="34"/>
  <c r="B4044" i="34"/>
  <c r="B4045" i="34"/>
  <c r="B4046" i="34"/>
  <c r="B4047" i="34"/>
  <c r="B4048" i="34"/>
  <c r="B4049" i="34"/>
  <c r="B4050" i="34"/>
  <c r="B4051" i="34"/>
  <c r="B4052" i="34"/>
  <c r="B4053" i="34"/>
  <c r="B4054" i="34"/>
  <c r="B4055" i="34"/>
  <c r="B4056" i="34"/>
  <c r="B4057" i="34"/>
  <c r="B4058" i="34"/>
  <c r="B4059" i="34"/>
  <c r="B4060" i="34"/>
  <c r="B4061" i="34"/>
  <c r="B4062" i="34"/>
  <c r="B4063" i="34"/>
  <c r="B4064" i="34"/>
  <c r="B4065" i="34"/>
  <c r="B4066" i="34"/>
  <c r="B4067" i="34"/>
  <c r="B4068" i="34"/>
  <c r="B4069" i="34"/>
  <c r="B4070" i="34"/>
  <c r="B4071" i="34"/>
  <c r="B4072" i="34"/>
  <c r="B4073" i="34"/>
  <c r="B4074" i="34"/>
  <c r="B4075" i="34"/>
  <c r="B4076" i="34"/>
  <c r="B4077" i="34"/>
  <c r="B4078" i="34"/>
  <c r="B4079" i="34"/>
  <c r="B4080" i="34"/>
  <c r="B4081" i="34"/>
  <c r="B4082" i="34"/>
  <c r="B4083" i="34"/>
  <c r="B4084" i="34"/>
  <c r="B4085" i="34"/>
  <c r="B4086" i="34"/>
  <c r="B4087" i="34"/>
  <c r="B4088" i="34"/>
  <c r="B4089" i="34"/>
  <c r="B4090" i="34"/>
  <c r="B4091" i="34"/>
  <c r="B4092" i="34"/>
  <c r="B4093" i="34"/>
  <c r="B4094" i="34"/>
  <c r="B4095" i="34"/>
  <c r="B4096" i="34"/>
  <c r="B4097" i="34"/>
  <c r="B4098" i="34"/>
  <c r="B4099" i="34"/>
  <c r="B4100" i="34"/>
  <c r="B4101" i="34"/>
  <c r="B4102" i="34"/>
  <c r="B4103" i="34"/>
  <c r="B4104" i="34"/>
  <c r="B4105" i="34"/>
  <c r="B4106" i="34"/>
  <c r="B4107" i="34"/>
  <c r="B4108" i="34"/>
  <c r="B4109" i="34"/>
  <c r="B4110" i="34"/>
  <c r="B4111" i="34"/>
  <c r="B4112" i="34"/>
  <c r="B4113" i="34"/>
  <c r="B4114" i="34"/>
  <c r="B4115" i="34"/>
  <c r="B4116" i="34"/>
  <c r="B4117" i="34"/>
  <c r="B4118" i="34"/>
  <c r="B4119" i="34"/>
  <c r="B4120" i="34"/>
  <c r="B4121" i="34"/>
  <c r="B4122" i="34"/>
  <c r="B4123" i="34"/>
  <c r="B4124" i="34"/>
  <c r="B4125" i="34"/>
  <c r="B4126" i="34"/>
  <c r="B4127" i="34"/>
  <c r="B4128" i="34"/>
  <c r="B4129" i="34"/>
  <c r="B4130" i="34"/>
  <c r="B4131" i="34"/>
  <c r="B4132" i="34"/>
  <c r="B4133" i="34"/>
  <c r="B4134" i="34"/>
  <c r="B4135" i="34"/>
  <c r="B4136" i="34"/>
  <c r="B4137" i="34"/>
  <c r="B4138" i="34"/>
  <c r="B4139" i="34"/>
  <c r="B4140" i="34"/>
  <c r="B4141" i="34"/>
  <c r="B4142" i="34"/>
  <c r="B4143" i="34"/>
  <c r="B4144" i="34"/>
  <c r="B4145" i="34"/>
  <c r="B4146" i="34"/>
  <c r="B4147" i="34"/>
  <c r="B4148" i="34"/>
  <c r="B4149" i="34"/>
  <c r="B4150" i="34"/>
  <c r="B4151" i="34"/>
  <c r="B4152" i="34"/>
  <c r="B4153" i="34"/>
  <c r="B4154" i="34"/>
  <c r="B4155" i="34"/>
  <c r="B4156" i="34"/>
  <c r="B4157" i="34"/>
  <c r="B4158" i="34"/>
  <c r="B4159" i="34"/>
  <c r="B4160" i="34"/>
  <c r="B4161" i="34"/>
  <c r="B4162" i="34"/>
  <c r="B4163" i="34"/>
  <c r="B4164" i="34"/>
  <c r="B4165" i="34"/>
  <c r="B4166" i="34"/>
  <c r="B4167" i="34"/>
  <c r="B4168" i="34"/>
  <c r="B4169" i="34"/>
  <c r="B4170" i="34"/>
  <c r="B4171" i="34"/>
  <c r="B4172" i="34"/>
  <c r="B4173" i="34"/>
  <c r="B4174" i="34"/>
  <c r="B4175" i="34"/>
  <c r="B4176" i="34"/>
  <c r="B4177" i="34"/>
  <c r="B4178" i="34"/>
  <c r="B4179" i="34"/>
  <c r="B4180" i="34"/>
  <c r="B4181" i="34"/>
  <c r="B4182" i="34"/>
  <c r="B4183" i="34"/>
  <c r="B4184" i="34"/>
  <c r="B4185" i="34"/>
  <c r="B4186" i="34"/>
  <c r="B4187" i="34"/>
  <c r="B4188" i="34"/>
  <c r="B4189" i="34"/>
  <c r="B4190" i="34"/>
  <c r="B4191" i="34"/>
  <c r="B4192" i="34"/>
  <c r="B4193" i="34"/>
  <c r="B4194" i="34"/>
  <c r="B4195" i="34"/>
  <c r="B4196" i="34"/>
  <c r="B4197" i="34"/>
  <c r="B4198" i="34"/>
  <c r="B4199" i="34"/>
  <c r="B4200" i="34"/>
  <c r="B4201" i="34"/>
  <c r="B4202" i="34"/>
  <c r="B4203" i="34"/>
  <c r="B4204" i="34"/>
  <c r="B4205" i="34"/>
  <c r="B4206" i="34"/>
  <c r="B4207" i="34"/>
  <c r="B4208" i="34"/>
  <c r="B4209" i="34"/>
  <c r="B4210" i="34"/>
  <c r="B4211" i="34"/>
  <c r="B4212" i="34"/>
  <c r="B4213" i="34"/>
  <c r="B4214" i="34"/>
  <c r="B4215" i="34"/>
  <c r="B4216" i="34"/>
  <c r="B4217" i="34"/>
  <c r="B4218" i="34"/>
  <c r="B4219" i="34"/>
  <c r="B4220" i="34"/>
  <c r="B4221" i="34"/>
  <c r="B4222" i="34"/>
  <c r="B4223" i="34"/>
  <c r="B4224" i="34"/>
  <c r="B4225" i="34"/>
  <c r="B4226" i="34"/>
  <c r="B4227" i="34"/>
  <c r="B4228" i="34"/>
  <c r="B4229" i="34"/>
  <c r="B4230" i="34"/>
  <c r="B4231" i="34"/>
  <c r="B4232" i="34"/>
  <c r="B4233" i="34"/>
  <c r="B4234" i="34"/>
  <c r="B4235" i="34"/>
  <c r="B4236" i="34"/>
  <c r="B4237" i="34"/>
  <c r="B4238" i="34"/>
  <c r="B4239" i="34"/>
  <c r="B4240" i="34"/>
  <c r="B4241" i="34"/>
  <c r="B4242" i="34"/>
  <c r="B4243" i="34"/>
  <c r="B4244" i="34"/>
  <c r="B4245" i="34"/>
  <c r="B4246" i="34"/>
  <c r="B4247" i="34"/>
  <c r="B4248" i="34"/>
  <c r="B4249" i="34"/>
  <c r="B4250" i="34"/>
  <c r="B4251" i="34"/>
  <c r="B4252" i="34"/>
  <c r="B4253" i="34"/>
  <c r="B4254" i="34"/>
  <c r="B4255" i="34"/>
  <c r="B4256" i="34"/>
  <c r="B4257" i="34"/>
  <c r="B4258" i="34"/>
  <c r="B4259" i="34"/>
  <c r="B4260" i="34"/>
  <c r="B4261" i="34"/>
  <c r="B4262" i="34"/>
  <c r="B4263" i="34"/>
  <c r="B4264" i="34"/>
  <c r="B4265" i="34"/>
  <c r="B4266" i="34"/>
  <c r="B4267" i="34"/>
  <c r="B4268" i="34"/>
  <c r="B4269" i="34"/>
  <c r="B4270" i="34"/>
  <c r="B4271" i="34"/>
  <c r="B4272" i="34"/>
  <c r="B4273" i="34"/>
  <c r="B4274" i="34"/>
  <c r="B4275" i="34"/>
  <c r="B4276" i="34"/>
  <c r="B4277" i="34"/>
  <c r="B4278" i="34"/>
  <c r="B4279" i="34"/>
  <c r="B4280" i="34"/>
  <c r="B4281" i="34"/>
  <c r="B4282" i="34"/>
  <c r="B4283" i="34"/>
  <c r="B4284" i="34"/>
  <c r="B4285" i="34"/>
  <c r="B4286" i="34"/>
  <c r="B4287" i="34"/>
  <c r="B4288" i="34"/>
  <c r="B4289" i="34"/>
  <c r="B4290" i="34"/>
  <c r="B4291" i="34"/>
  <c r="B4292" i="34"/>
  <c r="B4293" i="34"/>
  <c r="B4294" i="34"/>
  <c r="B4295" i="34"/>
  <c r="B4296" i="34"/>
  <c r="B4297" i="34"/>
  <c r="B4298" i="34"/>
  <c r="B4299" i="34"/>
  <c r="B4300" i="34"/>
  <c r="B4301" i="34"/>
  <c r="B4302" i="34"/>
  <c r="B4303" i="34"/>
  <c r="B4304" i="34"/>
  <c r="B4305" i="34"/>
  <c r="B4306" i="34"/>
  <c r="B4307" i="34"/>
  <c r="B4308" i="34"/>
  <c r="B4309" i="34"/>
  <c r="B4310" i="34"/>
  <c r="B4311" i="34"/>
  <c r="B4312" i="34"/>
  <c r="B4313" i="34"/>
  <c r="B4314" i="34"/>
  <c r="B4315" i="34"/>
  <c r="B4316" i="34"/>
  <c r="B4317" i="34"/>
  <c r="B4318" i="34"/>
  <c r="B4319" i="34"/>
  <c r="B4320" i="34"/>
  <c r="B4321" i="34"/>
  <c r="B4322" i="34"/>
  <c r="B4323" i="34"/>
  <c r="B4324" i="34"/>
  <c r="B4325" i="34"/>
  <c r="B4326" i="34"/>
  <c r="B4327" i="34"/>
  <c r="B4328" i="34"/>
  <c r="B4329" i="34"/>
  <c r="B4330" i="34"/>
  <c r="B4331" i="34"/>
  <c r="B4332" i="34"/>
  <c r="B4333" i="34"/>
  <c r="B4334" i="34"/>
  <c r="B4335" i="34"/>
  <c r="B4336" i="34"/>
  <c r="B4337" i="34"/>
  <c r="B4338" i="34"/>
  <c r="B4339" i="34"/>
  <c r="B4340" i="34"/>
  <c r="B4341" i="34"/>
  <c r="B4342" i="34"/>
  <c r="B4343" i="34"/>
  <c r="B4344" i="34"/>
  <c r="B4345" i="34"/>
  <c r="B4346" i="34"/>
  <c r="B4347" i="34"/>
  <c r="B4348" i="34"/>
  <c r="B4349" i="34"/>
  <c r="B4350" i="34"/>
  <c r="B4351" i="34"/>
  <c r="B4352" i="34"/>
  <c r="B4353" i="34"/>
  <c r="B4354" i="34"/>
  <c r="B4355" i="34"/>
  <c r="B4356" i="34"/>
  <c r="B4357" i="34"/>
  <c r="B4358" i="34"/>
  <c r="B4359" i="34"/>
  <c r="B4360" i="34"/>
  <c r="B4361" i="34"/>
  <c r="B4362" i="34"/>
  <c r="B4363" i="34"/>
  <c r="B4364" i="34"/>
  <c r="B4365" i="34"/>
  <c r="B4366" i="34"/>
  <c r="B4367" i="34"/>
  <c r="B4368" i="34"/>
  <c r="B4369" i="34"/>
  <c r="B4370" i="34"/>
  <c r="B4371" i="34"/>
  <c r="B4372" i="34"/>
  <c r="B4373" i="34"/>
  <c r="B4374" i="34"/>
  <c r="B4375" i="34"/>
  <c r="B4376" i="34"/>
  <c r="B4377" i="34"/>
  <c r="B4378" i="34"/>
  <c r="B4379" i="34"/>
  <c r="B4380" i="34"/>
  <c r="B4381" i="34"/>
  <c r="B4382" i="34"/>
  <c r="B4383" i="34"/>
  <c r="B4384" i="34"/>
  <c r="B4385" i="34"/>
  <c r="B4386" i="34"/>
  <c r="B4387" i="34"/>
  <c r="B4388" i="34"/>
  <c r="B4389" i="34"/>
  <c r="B4390" i="34"/>
  <c r="B4391" i="34"/>
  <c r="B4392" i="34"/>
  <c r="B4393" i="34"/>
  <c r="B4394" i="34"/>
  <c r="B4395" i="34"/>
  <c r="B4396" i="34"/>
  <c r="B4397" i="34"/>
  <c r="B4398" i="34"/>
  <c r="B4399" i="34"/>
  <c r="B4400" i="34"/>
  <c r="B4401" i="34"/>
  <c r="B4402" i="34"/>
  <c r="B4403" i="34"/>
  <c r="B4404" i="34"/>
  <c r="B4405" i="34"/>
  <c r="B4406" i="34"/>
  <c r="B4407" i="34"/>
  <c r="B4408" i="34"/>
  <c r="B4409" i="34"/>
  <c r="B4410" i="34"/>
  <c r="B4411" i="34"/>
  <c r="B4412" i="34"/>
  <c r="B4413" i="34"/>
  <c r="B4414" i="34"/>
  <c r="B4415" i="34"/>
  <c r="B4416" i="34"/>
  <c r="B4417" i="34"/>
  <c r="B4418" i="34"/>
  <c r="B4419" i="34"/>
  <c r="B4420" i="34"/>
  <c r="B4421" i="34"/>
  <c r="B4422" i="34"/>
  <c r="B4423" i="34"/>
  <c r="B4424" i="34"/>
  <c r="B4425" i="34"/>
  <c r="B4426" i="34"/>
  <c r="B4427" i="34"/>
  <c r="B4428" i="34"/>
  <c r="B4429" i="34"/>
  <c r="B4430" i="34"/>
  <c r="B4431" i="34"/>
  <c r="B4432" i="34"/>
  <c r="B4433" i="34"/>
  <c r="B4434" i="34"/>
  <c r="B4435" i="34"/>
  <c r="B4436" i="34"/>
  <c r="B4437" i="34"/>
  <c r="B4438" i="34"/>
  <c r="B4439" i="34"/>
  <c r="B4440" i="34"/>
  <c r="B4441" i="34"/>
  <c r="B4442" i="34"/>
  <c r="B4443" i="34"/>
  <c r="B4444" i="34"/>
  <c r="B4445" i="34"/>
  <c r="B4446" i="34"/>
  <c r="B4447" i="34"/>
  <c r="B4448" i="34"/>
  <c r="B4449" i="34"/>
  <c r="B4450" i="34"/>
  <c r="B4451" i="34"/>
  <c r="B4452" i="34"/>
  <c r="B4453" i="34"/>
  <c r="B4454" i="34"/>
  <c r="B4455" i="34"/>
  <c r="B4456" i="34"/>
  <c r="B4457" i="34"/>
  <c r="B4458" i="34"/>
  <c r="B4459" i="34"/>
  <c r="B4460" i="34"/>
  <c r="B4461" i="34"/>
  <c r="B4462" i="34"/>
  <c r="B4463" i="34"/>
  <c r="B4464" i="34"/>
  <c r="B4465" i="34"/>
  <c r="B4466" i="34"/>
  <c r="B4467" i="34"/>
  <c r="B4468" i="34"/>
  <c r="B4469" i="34"/>
  <c r="B4470" i="34"/>
  <c r="B4471" i="34"/>
  <c r="B4472" i="34"/>
  <c r="B4473" i="34"/>
  <c r="B4474" i="34"/>
  <c r="B4475" i="34"/>
  <c r="B4476" i="34"/>
  <c r="B4477" i="34"/>
  <c r="B4478" i="34"/>
  <c r="B4479" i="34"/>
  <c r="B4480" i="34"/>
  <c r="B4481" i="34"/>
  <c r="B4482" i="34"/>
  <c r="B4483" i="34"/>
  <c r="B4484" i="34"/>
  <c r="B4485" i="34"/>
  <c r="B4486" i="34"/>
  <c r="B4487" i="34"/>
  <c r="B4488" i="34"/>
  <c r="B4489" i="34"/>
  <c r="B4490" i="34"/>
  <c r="B4491" i="34"/>
  <c r="B4492" i="34"/>
  <c r="B4493" i="34"/>
  <c r="B4494" i="34"/>
  <c r="B4495" i="34"/>
  <c r="B4496" i="34"/>
  <c r="B4497" i="34"/>
  <c r="B4498" i="34"/>
  <c r="B4499" i="34"/>
  <c r="B4500" i="34"/>
  <c r="B4501" i="34"/>
  <c r="B4502" i="34"/>
  <c r="B4503" i="34"/>
  <c r="B4504" i="34"/>
  <c r="B4505" i="34"/>
  <c r="B4506" i="34"/>
  <c r="B4507" i="34"/>
  <c r="B4508" i="34"/>
  <c r="B4509" i="34"/>
  <c r="B4510" i="34"/>
  <c r="B4511" i="34"/>
  <c r="B4512" i="34"/>
  <c r="B4513" i="34"/>
  <c r="B4514" i="34"/>
  <c r="B4515" i="34"/>
  <c r="B4516" i="34"/>
  <c r="B4517" i="34"/>
  <c r="B4518" i="34"/>
  <c r="B4519" i="34"/>
  <c r="B4520" i="34"/>
  <c r="B4521" i="34"/>
  <c r="B4522" i="34"/>
  <c r="B4523" i="34"/>
  <c r="B4524" i="34"/>
  <c r="B4525" i="34"/>
  <c r="B4526" i="34"/>
  <c r="B4527" i="34"/>
  <c r="B4528" i="34"/>
  <c r="B4529" i="34"/>
  <c r="B4530" i="34"/>
  <c r="B4531" i="34"/>
  <c r="B4532" i="34"/>
  <c r="B4533" i="34"/>
  <c r="B4534" i="34"/>
  <c r="B4535" i="34"/>
  <c r="B4536" i="34"/>
  <c r="B4537" i="34"/>
  <c r="B4538" i="34"/>
  <c r="B4539" i="34"/>
  <c r="B4540" i="34"/>
  <c r="B4541" i="34"/>
  <c r="B4542" i="34"/>
  <c r="B4543" i="34"/>
  <c r="B4544" i="34"/>
  <c r="B4545" i="34"/>
  <c r="B4546" i="34"/>
  <c r="B4547" i="34"/>
  <c r="B4548" i="34"/>
  <c r="B4549" i="34"/>
  <c r="B4550" i="34"/>
  <c r="B4551" i="34"/>
  <c r="B4552" i="34"/>
  <c r="B4553" i="34"/>
  <c r="B4554" i="34"/>
  <c r="B4555" i="34"/>
  <c r="B4556" i="34"/>
  <c r="B4557" i="34"/>
  <c r="B4558" i="34"/>
  <c r="B4559" i="34"/>
  <c r="B4560" i="34"/>
  <c r="B4561" i="34"/>
  <c r="B4562" i="34"/>
  <c r="B4563" i="34"/>
  <c r="B4564" i="34"/>
  <c r="B4565" i="34"/>
  <c r="B4566" i="34"/>
  <c r="B4567" i="34"/>
  <c r="B4568" i="34"/>
  <c r="B4569" i="34"/>
  <c r="B4570" i="34"/>
  <c r="B4571" i="34"/>
  <c r="B4572" i="34"/>
  <c r="B4573" i="34"/>
  <c r="B4574" i="34"/>
  <c r="B4575" i="34"/>
  <c r="B4576" i="34"/>
  <c r="B4577" i="34"/>
  <c r="B4578" i="34"/>
  <c r="B4579" i="34"/>
  <c r="B4580" i="34"/>
  <c r="B4581" i="34"/>
  <c r="B4582" i="34"/>
  <c r="B4583" i="34"/>
  <c r="B4584" i="34"/>
  <c r="B4585" i="34"/>
  <c r="B4586" i="34"/>
  <c r="B4587" i="34"/>
  <c r="B4588" i="34"/>
  <c r="B4589" i="34"/>
  <c r="B4590" i="34"/>
  <c r="B4591" i="34"/>
  <c r="B4592" i="34"/>
  <c r="B4593" i="34"/>
  <c r="B4594" i="34"/>
  <c r="B4595" i="34"/>
  <c r="B4596" i="34"/>
  <c r="B4597" i="34"/>
  <c r="B4598" i="34"/>
  <c r="B4599" i="34"/>
  <c r="B4600" i="34"/>
  <c r="B4601" i="34"/>
  <c r="B4602" i="34"/>
  <c r="B4603" i="34"/>
  <c r="B4604" i="34"/>
  <c r="B4605" i="34"/>
  <c r="B4606" i="34"/>
  <c r="B4607" i="34"/>
  <c r="B4608" i="34"/>
  <c r="B4609" i="34"/>
  <c r="B4610" i="34"/>
  <c r="B4611" i="34"/>
  <c r="B4612" i="34"/>
  <c r="B4613" i="34"/>
  <c r="B4614" i="34"/>
  <c r="B4615" i="34"/>
  <c r="B4616" i="34"/>
  <c r="B4617" i="34"/>
  <c r="B4618" i="34"/>
  <c r="B4619" i="34"/>
  <c r="B4620" i="34"/>
  <c r="B4621" i="34"/>
  <c r="B4622" i="34"/>
  <c r="B4623" i="34"/>
  <c r="B4624" i="34"/>
  <c r="B4625" i="34"/>
  <c r="B4626" i="34"/>
  <c r="B4627" i="34"/>
  <c r="B4628" i="34"/>
  <c r="B4629" i="34"/>
  <c r="B4630" i="34"/>
  <c r="B4631" i="34"/>
  <c r="B4632" i="34"/>
  <c r="B4633" i="34"/>
  <c r="B4634" i="34"/>
  <c r="B4635" i="34"/>
  <c r="B4636" i="34"/>
  <c r="B4637" i="34"/>
  <c r="B4638" i="34"/>
  <c r="B4639" i="34"/>
  <c r="B4640" i="34"/>
  <c r="B4641" i="34"/>
  <c r="B4642" i="34"/>
  <c r="B4643" i="34"/>
  <c r="B4644" i="34"/>
  <c r="B4645" i="34"/>
  <c r="B4646" i="34"/>
  <c r="B4647" i="34"/>
  <c r="B4648" i="34"/>
  <c r="B4649" i="34"/>
  <c r="B4650" i="34"/>
  <c r="B4651" i="34"/>
  <c r="B4652" i="34"/>
  <c r="B4653" i="34"/>
  <c r="B4654" i="34"/>
  <c r="B4655" i="34"/>
  <c r="B4656" i="34"/>
  <c r="B4657" i="34"/>
  <c r="B4658" i="34"/>
  <c r="B4659" i="34"/>
  <c r="B4660" i="34"/>
  <c r="B4661" i="34"/>
  <c r="B4662" i="34"/>
  <c r="B4663" i="34"/>
  <c r="B4664" i="34"/>
  <c r="B4665" i="34"/>
  <c r="B4666" i="34"/>
  <c r="B4667" i="34"/>
  <c r="B4668" i="34"/>
  <c r="B4669" i="34"/>
  <c r="B4670" i="34"/>
  <c r="B4671" i="34"/>
  <c r="B4672" i="34"/>
  <c r="B4673" i="34"/>
  <c r="B4674" i="34"/>
  <c r="B4675" i="34"/>
  <c r="B4676" i="34"/>
  <c r="B4677" i="34"/>
  <c r="B4678" i="34"/>
  <c r="B4679" i="34"/>
  <c r="B4680" i="34"/>
  <c r="B4681" i="34"/>
  <c r="B4682" i="34"/>
  <c r="B4683" i="34"/>
  <c r="B4684" i="34"/>
  <c r="B4685" i="34"/>
  <c r="B4686" i="34"/>
  <c r="B4687" i="34"/>
  <c r="B4688" i="34"/>
  <c r="B4689" i="34"/>
  <c r="B4690" i="34"/>
  <c r="B4691" i="34"/>
  <c r="B4692" i="34"/>
  <c r="B4693" i="34"/>
  <c r="B4694" i="34"/>
  <c r="B4695" i="34"/>
  <c r="B4696" i="34"/>
  <c r="B4697" i="34"/>
  <c r="B4698" i="34"/>
  <c r="B4699" i="34"/>
  <c r="B4700" i="34"/>
  <c r="B4701" i="34"/>
  <c r="B4702" i="34"/>
  <c r="B4703" i="34"/>
  <c r="B4704" i="34"/>
  <c r="B4705" i="34"/>
  <c r="B4706" i="34"/>
  <c r="B4707" i="34"/>
  <c r="B4708" i="34"/>
  <c r="B4709" i="34"/>
  <c r="B4710" i="34"/>
  <c r="B4711" i="34"/>
  <c r="B4712" i="34"/>
  <c r="B4713" i="34"/>
  <c r="B4714" i="34"/>
  <c r="B4715" i="34"/>
  <c r="B4716" i="34"/>
  <c r="B4717" i="34"/>
  <c r="B4718" i="34"/>
  <c r="B4719" i="34"/>
  <c r="B4720" i="34"/>
  <c r="B4721" i="34"/>
  <c r="B4722" i="34"/>
  <c r="B4723" i="34"/>
  <c r="B4724" i="34"/>
  <c r="B4725" i="34"/>
  <c r="B4726" i="34"/>
  <c r="B4727" i="34"/>
  <c r="B4728" i="34"/>
  <c r="B4729" i="34"/>
  <c r="B4730" i="34"/>
  <c r="B4731" i="34"/>
  <c r="B4732" i="34"/>
  <c r="B4733" i="34"/>
  <c r="B4734" i="34"/>
  <c r="B4735" i="34"/>
  <c r="B4736" i="34"/>
  <c r="B4737" i="34"/>
  <c r="B4738" i="34"/>
  <c r="B4739" i="34"/>
  <c r="B4740" i="34"/>
  <c r="B4741" i="34"/>
  <c r="B4742" i="34"/>
  <c r="B4743" i="34"/>
  <c r="B4744" i="34"/>
  <c r="B4745" i="34"/>
  <c r="B4746" i="34"/>
  <c r="B4747" i="34"/>
  <c r="B4748" i="34"/>
  <c r="B4749" i="34"/>
  <c r="B4750" i="34"/>
  <c r="B4751" i="34"/>
  <c r="B4752" i="34"/>
  <c r="B4753" i="34"/>
  <c r="B4754" i="34"/>
  <c r="B4755" i="34"/>
  <c r="B4756" i="34"/>
  <c r="B4757" i="34"/>
  <c r="B4758" i="34"/>
  <c r="B4759" i="34"/>
  <c r="B4760" i="34"/>
  <c r="B4761" i="34"/>
  <c r="B4762" i="34"/>
  <c r="B4763" i="34"/>
  <c r="B4764" i="34"/>
  <c r="B4765" i="34"/>
  <c r="B4766" i="34"/>
  <c r="B4767" i="34"/>
  <c r="B4768" i="34"/>
  <c r="B4769" i="34"/>
  <c r="B4770" i="34"/>
  <c r="B4771" i="34"/>
  <c r="B4772" i="34"/>
  <c r="B4773" i="34"/>
  <c r="B4774" i="34"/>
  <c r="B4775" i="34"/>
  <c r="B4776" i="34"/>
  <c r="B4777" i="34"/>
  <c r="B4778" i="34"/>
  <c r="B4779" i="34"/>
  <c r="B4780" i="34"/>
  <c r="B4781" i="34"/>
  <c r="B4782" i="34"/>
  <c r="B4783" i="34"/>
  <c r="B4784" i="34"/>
  <c r="B4785" i="34"/>
  <c r="B4786" i="34"/>
  <c r="B4787" i="34"/>
  <c r="B4788" i="34"/>
  <c r="B4789" i="34"/>
  <c r="B4790" i="34"/>
  <c r="B4791" i="34"/>
  <c r="B4792" i="34"/>
  <c r="B4793" i="34"/>
  <c r="B4794" i="34"/>
  <c r="B4795" i="34"/>
  <c r="B4796" i="34"/>
  <c r="B4797" i="34"/>
  <c r="B4798" i="34"/>
  <c r="B4799" i="34"/>
  <c r="B4800" i="34"/>
  <c r="B4801" i="34"/>
  <c r="B4802" i="34"/>
  <c r="B4803" i="34"/>
  <c r="B4804" i="34"/>
  <c r="B4805" i="34"/>
  <c r="B4806" i="34"/>
  <c r="B4807" i="34"/>
  <c r="B4808" i="34"/>
  <c r="B4809" i="34"/>
  <c r="B4810" i="34"/>
  <c r="B4811" i="34"/>
  <c r="B4812" i="34"/>
  <c r="B4813" i="34"/>
  <c r="B4814" i="34"/>
  <c r="B4815" i="34"/>
  <c r="B4816" i="34"/>
  <c r="B4817" i="34"/>
  <c r="B4818" i="34"/>
  <c r="B4819" i="34"/>
  <c r="B4820" i="34"/>
  <c r="B4821" i="34"/>
  <c r="B4822" i="34"/>
  <c r="B4823" i="34"/>
  <c r="B4824" i="34"/>
  <c r="B4825" i="34"/>
  <c r="B4826" i="34"/>
  <c r="B4827" i="34"/>
  <c r="B4828" i="34"/>
  <c r="B4829" i="34"/>
  <c r="B4830" i="34"/>
  <c r="B4831" i="34"/>
  <c r="B4832" i="34"/>
  <c r="B4833" i="34"/>
  <c r="B4834" i="34"/>
  <c r="B4835" i="34"/>
  <c r="B4836" i="34"/>
  <c r="B4837" i="34"/>
  <c r="B4838" i="34"/>
  <c r="B4839" i="34"/>
  <c r="B4840" i="34"/>
  <c r="B4841" i="34"/>
  <c r="B4842" i="34"/>
  <c r="B4843" i="34"/>
  <c r="B4844" i="34"/>
  <c r="B4845" i="34"/>
  <c r="B4846" i="34"/>
  <c r="B4847" i="34"/>
  <c r="B4848" i="34"/>
  <c r="B4849" i="34"/>
  <c r="B4850" i="34"/>
  <c r="B4851" i="34"/>
  <c r="B4852" i="34"/>
  <c r="B4853" i="34"/>
  <c r="B4854" i="34"/>
  <c r="B4855" i="34"/>
  <c r="B4856" i="34"/>
  <c r="B4857" i="34"/>
  <c r="B4858" i="34"/>
  <c r="B4859" i="34"/>
  <c r="B4860" i="34"/>
  <c r="B4861" i="34"/>
  <c r="B4862" i="34"/>
  <c r="B4863" i="34"/>
  <c r="B4864" i="34"/>
  <c r="B4865" i="34"/>
  <c r="B4866" i="34"/>
  <c r="B4867" i="34"/>
  <c r="B4868" i="34"/>
  <c r="B4869" i="34"/>
  <c r="B4870" i="34"/>
  <c r="B4871" i="34"/>
  <c r="B4872" i="34"/>
  <c r="B4873" i="34"/>
  <c r="B4874" i="34"/>
  <c r="B4875" i="34"/>
  <c r="B4876" i="34"/>
  <c r="B4877" i="34"/>
  <c r="B4878" i="34"/>
  <c r="B4879" i="34"/>
  <c r="B4880" i="34"/>
  <c r="B4881" i="34"/>
  <c r="B4882" i="34"/>
  <c r="B4883" i="34"/>
  <c r="B4884" i="34"/>
  <c r="B4885" i="34"/>
  <c r="B4886" i="34"/>
  <c r="B4887" i="34"/>
  <c r="B4888" i="34"/>
  <c r="B4889" i="34"/>
  <c r="B4890" i="34"/>
  <c r="B4891" i="34"/>
  <c r="B4892" i="34"/>
  <c r="B4893" i="34"/>
  <c r="B4894" i="34"/>
  <c r="B4895" i="34"/>
  <c r="B4896" i="34"/>
  <c r="B4897" i="34"/>
  <c r="B4898" i="34"/>
  <c r="B4899" i="34"/>
  <c r="B4900" i="34"/>
  <c r="B4901" i="34"/>
  <c r="B4902" i="34"/>
  <c r="B4903" i="34"/>
  <c r="B4904" i="34"/>
  <c r="B4905" i="34"/>
  <c r="B4906" i="34"/>
  <c r="B4907" i="34"/>
  <c r="B4908" i="34"/>
  <c r="B4909" i="34"/>
  <c r="B4910" i="34"/>
  <c r="B4911" i="34"/>
  <c r="B4912" i="34"/>
  <c r="B4913" i="34"/>
  <c r="B4914" i="34"/>
  <c r="B4915" i="34"/>
  <c r="B4916" i="34"/>
  <c r="B4917" i="34"/>
  <c r="B4918" i="34"/>
  <c r="B4919" i="34"/>
  <c r="B4920" i="34"/>
  <c r="B4921" i="34"/>
  <c r="B4922" i="34"/>
  <c r="B4923" i="34"/>
  <c r="B4924" i="34"/>
  <c r="B4925" i="34"/>
  <c r="B4926" i="34"/>
  <c r="B4927" i="34"/>
  <c r="B4928" i="34"/>
  <c r="B4929" i="34"/>
  <c r="B4930" i="34"/>
  <c r="B4931" i="34"/>
  <c r="B4932" i="34"/>
  <c r="B4933" i="34"/>
  <c r="B4934" i="34"/>
  <c r="B4935" i="34"/>
  <c r="B4936" i="34"/>
  <c r="B4937" i="34"/>
  <c r="B4938" i="34"/>
  <c r="B4939" i="34"/>
  <c r="B4940" i="34"/>
  <c r="B4941" i="34"/>
  <c r="B4942" i="34"/>
  <c r="B4943" i="34"/>
  <c r="B4944" i="34"/>
  <c r="B4945" i="34"/>
  <c r="B4946" i="34"/>
  <c r="B4947" i="34"/>
  <c r="B4948" i="34"/>
  <c r="B4949" i="34"/>
  <c r="B4950" i="34"/>
  <c r="B4951" i="34"/>
  <c r="B4952" i="34"/>
  <c r="B4953" i="34"/>
  <c r="B4954" i="34"/>
  <c r="B4955" i="34"/>
  <c r="B4956" i="34"/>
  <c r="B4957" i="34"/>
  <c r="B4958" i="34"/>
  <c r="B4959" i="34"/>
  <c r="B4960" i="34"/>
  <c r="B4961" i="34"/>
  <c r="B4962" i="34"/>
  <c r="B4963" i="34"/>
  <c r="B4964" i="34"/>
  <c r="B4965" i="34"/>
  <c r="B4966" i="34"/>
  <c r="B4967" i="34"/>
  <c r="B4968" i="34"/>
  <c r="B4969" i="34"/>
  <c r="B4970" i="34"/>
  <c r="B4971" i="34"/>
  <c r="B4972" i="34"/>
  <c r="B4973" i="34"/>
  <c r="B4974" i="34"/>
  <c r="B4975" i="34"/>
  <c r="B4976" i="34"/>
  <c r="B4977" i="34"/>
  <c r="B4978" i="34"/>
  <c r="B4979" i="34"/>
  <c r="B4980" i="34"/>
  <c r="B4981" i="34"/>
  <c r="B4982" i="34"/>
  <c r="B4983" i="34"/>
  <c r="B4984" i="34"/>
  <c r="B4985" i="34"/>
  <c r="B4986" i="34"/>
  <c r="B4987" i="34"/>
  <c r="B4988" i="34"/>
  <c r="B4989" i="34"/>
  <c r="B4990" i="34"/>
  <c r="B4991" i="34"/>
  <c r="B4992" i="34"/>
  <c r="B4993" i="34"/>
  <c r="B4994" i="34"/>
  <c r="B4995" i="34"/>
  <c r="B4996" i="34"/>
  <c r="B4997" i="34"/>
  <c r="B4998" i="34"/>
  <c r="B4999" i="34"/>
  <c r="B5000" i="34"/>
  <c r="B5001" i="34"/>
  <c r="B5002" i="34"/>
  <c r="B5003" i="34"/>
  <c r="B5004" i="34"/>
  <c r="B5005" i="34"/>
  <c r="B5006" i="34"/>
  <c r="B5007" i="34"/>
  <c r="B5008" i="34"/>
  <c r="B5009" i="34"/>
  <c r="B5010" i="34"/>
  <c r="B5011" i="34"/>
  <c r="B5012" i="34"/>
  <c r="B5013" i="34"/>
  <c r="B5014" i="34"/>
  <c r="B5015" i="34"/>
  <c r="B5016" i="34"/>
  <c r="B5017" i="34"/>
  <c r="B5018" i="34"/>
  <c r="B5019" i="34"/>
  <c r="B5020" i="34"/>
  <c r="B5021" i="34"/>
  <c r="B5022" i="34"/>
  <c r="B5023" i="34"/>
  <c r="B5024" i="34"/>
  <c r="B5025" i="34"/>
  <c r="B5026" i="34"/>
  <c r="B5027" i="34"/>
  <c r="B5028" i="34"/>
  <c r="B5029" i="34"/>
  <c r="B5030" i="34"/>
  <c r="B5031" i="34"/>
  <c r="B5032" i="34"/>
  <c r="B5033" i="34"/>
  <c r="B5034" i="34"/>
  <c r="B5035" i="34"/>
  <c r="B5036" i="34"/>
  <c r="B5037" i="34"/>
  <c r="B5038" i="34"/>
  <c r="B5039" i="34"/>
  <c r="B5040" i="34"/>
  <c r="B5041" i="34"/>
  <c r="B5042" i="34"/>
  <c r="B5043" i="34"/>
  <c r="B5044" i="34"/>
  <c r="B5045" i="34"/>
  <c r="B5046" i="34"/>
  <c r="B5047" i="34"/>
  <c r="B5048" i="34"/>
  <c r="B5049" i="34"/>
  <c r="B5050" i="34"/>
  <c r="B5051" i="34"/>
  <c r="B5052" i="34"/>
  <c r="B5053" i="34"/>
  <c r="B5054" i="34"/>
  <c r="B5055" i="34"/>
  <c r="B5056" i="34"/>
  <c r="B5057" i="34"/>
  <c r="B5058" i="34"/>
  <c r="B5059" i="34"/>
  <c r="B5060" i="34"/>
  <c r="B5061" i="34"/>
  <c r="B5062" i="34"/>
  <c r="B5063" i="34"/>
  <c r="B5064" i="34"/>
  <c r="B5065" i="34"/>
  <c r="B5066" i="34"/>
  <c r="B5067" i="34"/>
  <c r="B5068" i="34"/>
  <c r="B5069" i="34"/>
  <c r="B5070" i="34"/>
  <c r="B5071" i="34"/>
  <c r="B5072" i="34"/>
  <c r="B5073" i="34"/>
  <c r="B5074" i="34"/>
  <c r="B5075" i="34"/>
  <c r="B5076" i="34"/>
  <c r="B5077" i="34"/>
  <c r="B5078" i="34"/>
  <c r="B5079" i="34"/>
  <c r="B5080" i="34"/>
  <c r="B5081" i="34"/>
  <c r="B5082" i="34"/>
  <c r="B5083" i="34"/>
  <c r="B5084" i="34"/>
  <c r="B5085" i="34"/>
  <c r="B5086" i="34"/>
  <c r="B5087" i="34"/>
  <c r="B5088" i="34"/>
  <c r="B5089" i="34"/>
  <c r="B5090" i="34"/>
  <c r="B5091" i="34"/>
  <c r="B5092" i="34"/>
  <c r="B5093" i="34"/>
  <c r="B5094" i="34"/>
  <c r="B5095" i="34"/>
  <c r="B5096" i="34"/>
  <c r="B5097" i="34"/>
  <c r="B5098" i="34"/>
  <c r="B5099" i="34"/>
  <c r="B5100" i="34"/>
  <c r="B5101" i="34"/>
  <c r="B5102" i="34"/>
  <c r="B5103" i="34"/>
  <c r="B5104" i="34"/>
  <c r="B5105" i="34"/>
  <c r="B5106" i="34"/>
  <c r="B5107" i="34"/>
  <c r="B5108" i="34"/>
  <c r="B5109" i="34"/>
  <c r="B5110" i="34"/>
  <c r="B5111" i="34"/>
  <c r="B5112" i="34"/>
  <c r="B5113" i="34"/>
  <c r="B5114" i="34"/>
  <c r="B5115" i="34"/>
  <c r="B5116" i="34"/>
  <c r="B5117" i="34"/>
  <c r="B5118" i="34"/>
  <c r="B5119" i="34"/>
  <c r="B5120" i="34"/>
  <c r="B5121" i="34"/>
  <c r="B5122" i="34"/>
  <c r="B5123" i="34"/>
  <c r="B5124" i="34"/>
  <c r="B5125" i="34"/>
  <c r="B5126" i="34"/>
  <c r="B5127" i="34"/>
  <c r="B5128" i="34"/>
  <c r="B5129" i="34"/>
  <c r="B5130" i="34"/>
  <c r="B5131" i="34"/>
  <c r="B5132" i="34"/>
  <c r="B5133" i="34"/>
  <c r="B5134" i="34"/>
  <c r="B5135" i="34"/>
  <c r="B5136" i="34"/>
  <c r="B5137" i="34"/>
  <c r="B5138" i="34"/>
  <c r="B5139" i="34"/>
  <c r="B5140" i="34"/>
  <c r="B5141" i="34"/>
  <c r="B5142" i="34"/>
  <c r="B5143" i="34"/>
  <c r="B5144" i="34"/>
  <c r="B5145" i="34"/>
  <c r="B5146" i="34"/>
  <c r="B5147" i="34"/>
  <c r="B5148" i="34"/>
  <c r="B5149" i="34"/>
  <c r="B5150" i="34"/>
  <c r="B5151" i="34"/>
  <c r="B5152" i="34"/>
  <c r="B5153" i="34"/>
  <c r="B5154" i="34"/>
  <c r="B5155" i="34"/>
  <c r="B5156" i="34"/>
  <c r="B5157" i="34"/>
  <c r="B5158" i="34"/>
  <c r="B5159" i="34"/>
  <c r="B5160" i="34"/>
  <c r="B5161" i="34"/>
  <c r="B5162" i="34"/>
  <c r="B5163" i="34"/>
  <c r="B5164" i="34"/>
  <c r="B5165" i="34"/>
  <c r="B5166" i="34"/>
  <c r="B5167" i="34"/>
  <c r="B5168" i="34"/>
  <c r="B5169" i="34"/>
  <c r="B5170" i="34"/>
  <c r="B5171" i="34"/>
  <c r="B5172" i="34"/>
  <c r="B5173" i="34"/>
  <c r="B5174" i="34"/>
  <c r="B5175" i="34"/>
  <c r="B5176" i="34"/>
  <c r="B5177" i="34"/>
  <c r="B5178" i="34"/>
  <c r="B5179" i="34"/>
  <c r="B5180" i="34"/>
  <c r="B5181" i="34"/>
  <c r="B5182" i="34"/>
  <c r="B5183" i="34"/>
  <c r="B5184" i="34"/>
  <c r="B5185" i="34"/>
  <c r="B5186" i="34"/>
  <c r="B5187" i="34"/>
  <c r="B5188" i="34"/>
  <c r="B5189" i="34"/>
  <c r="B5190" i="34"/>
  <c r="B5191" i="34"/>
  <c r="B5192" i="34"/>
  <c r="B5193" i="34"/>
  <c r="B5194" i="34"/>
  <c r="B5195" i="34"/>
  <c r="B5196" i="34"/>
  <c r="B5197" i="34"/>
  <c r="B5198" i="34"/>
  <c r="B5199" i="34"/>
  <c r="B5200" i="34"/>
  <c r="B5201" i="34"/>
  <c r="B5202" i="34"/>
  <c r="B5203" i="34"/>
  <c r="B5204" i="34"/>
  <c r="B5205" i="34"/>
  <c r="B5206" i="34"/>
  <c r="B5207" i="34"/>
  <c r="B5208" i="34"/>
  <c r="B5209" i="34"/>
  <c r="B5210" i="34"/>
  <c r="B5211" i="34"/>
  <c r="B5212" i="34"/>
  <c r="B5213" i="34"/>
  <c r="B5214" i="34"/>
  <c r="B5215" i="34"/>
  <c r="B5216" i="34"/>
  <c r="B5217" i="34"/>
  <c r="B5218" i="34"/>
  <c r="B5219" i="34"/>
  <c r="B5220" i="34"/>
  <c r="B5221" i="34"/>
  <c r="B5222" i="34"/>
  <c r="B5223" i="34"/>
  <c r="B5224" i="34"/>
  <c r="B5225" i="34"/>
  <c r="B5226" i="34"/>
  <c r="B5227" i="34"/>
  <c r="B5228" i="34"/>
  <c r="B5229" i="34"/>
  <c r="B5230" i="34"/>
  <c r="B5231" i="34"/>
  <c r="B5232" i="34"/>
  <c r="B5233" i="34"/>
  <c r="B5234" i="34"/>
  <c r="B5235" i="34"/>
  <c r="B5236" i="34"/>
  <c r="B5237" i="34"/>
  <c r="B5238" i="34"/>
  <c r="B5239" i="34"/>
  <c r="B5240" i="34"/>
  <c r="B5241" i="34"/>
  <c r="B5242" i="34"/>
  <c r="B5243" i="34"/>
  <c r="B5244" i="34"/>
  <c r="B5245" i="34"/>
  <c r="B5246" i="34"/>
  <c r="B5247" i="34"/>
  <c r="B5248" i="34"/>
  <c r="B5249" i="34"/>
  <c r="B5250" i="34"/>
  <c r="B5251" i="34"/>
  <c r="B5252" i="34"/>
  <c r="B5253" i="34"/>
  <c r="B5254" i="34"/>
  <c r="B5255" i="34"/>
  <c r="B5256" i="34"/>
  <c r="B5257" i="34"/>
  <c r="B5258" i="34"/>
  <c r="B5259" i="34"/>
  <c r="B5260" i="34"/>
  <c r="B5261" i="34"/>
  <c r="B5262" i="34"/>
  <c r="B5263" i="34"/>
  <c r="B5264" i="34"/>
  <c r="B5265" i="34"/>
  <c r="B5266" i="34"/>
  <c r="B5267" i="34"/>
  <c r="B5268" i="34"/>
  <c r="B5269" i="34"/>
  <c r="B5270" i="34"/>
  <c r="B5271" i="34"/>
  <c r="B5272" i="34"/>
  <c r="B5273" i="34"/>
  <c r="B5274" i="34"/>
  <c r="B5275" i="34"/>
  <c r="B5276" i="34"/>
  <c r="B5277" i="34"/>
  <c r="B5278" i="34"/>
  <c r="B5279" i="34"/>
  <c r="B5280" i="34"/>
  <c r="B5281" i="34"/>
  <c r="B5282" i="34"/>
  <c r="B5283" i="34"/>
  <c r="B5284" i="34"/>
  <c r="B5285" i="34"/>
  <c r="B5286" i="34"/>
  <c r="B5287" i="34"/>
  <c r="B5288" i="34"/>
  <c r="B5289" i="34"/>
  <c r="B5290" i="34"/>
  <c r="B5291" i="34"/>
  <c r="B5292" i="34"/>
  <c r="B5293" i="34"/>
  <c r="B5294" i="34"/>
  <c r="B5295" i="34"/>
  <c r="B5296" i="34"/>
  <c r="B5297" i="34"/>
  <c r="B5298" i="34"/>
  <c r="B5299" i="34"/>
  <c r="B5300" i="34"/>
  <c r="B5301" i="34"/>
  <c r="B5302" i="34"/>
  <c r="B5303" i="34"/>
  <c r="B5304" i="34"/>
  <c r="B5305" i="34"/>
  <c r="B5306" i="34"/>
  <c r="B5307" i="34"/>
  <c r="B5308" i="34"/>
  <c r="B5309" i="34"/>
  <c r="B5310" i="34"/>
  <c r="B5311" i="34"/>
  <c r="B5312" i="34"/>
  <c r="B5313" i="34"/>
  <c r="B5314" i="34"/>
  <c r="B5315" i="34"/>
  <c r="B5316" i="34"/>
  <c r="B5317" i="34"/>
  <c r="B5318" i="34"/>
  <c r="B5319" i="34"/>
  <c r="B5320" i="34"/>
  <c r="B5321" i="34"/>
  <c r="B5322" i="34"/>
  <c r="B5323" i="34"/>
  <c r="B5324" i="34"/>
  <c r="B5325" i="34"/>
  <c r="B5326" i="34"/>
  <c r="B5327" i="34"/>
  <c r="B5328" i="34"/>
  <c r="B5329" i="34"/>
  <c r="B5330" i="34"/>
  <c r="B5331" i="34"/>
  <c r="B5332" i="34"/>
  <c r="B5333" i="34"/>
  <c r="B5334" i="34"/>
  <c r="B5335" i="34"/>
  <c r="B5336" i="34"/>
  <c r="B5337" i="34"/>
  <c r="B5338" i="34"/>
  <c r="B5339" i="34"/>
  <c r="B5340" i="34"/>
  <c r="B5341" i="34"/>
  <c r="B5342" i="34"/>
  <c r="B5343" i="34"/>
  <c r="B5344" i="34"/>
  <c r="B5345" i="34"/>
  <c r="B5346" i="34"/>
  <c r="B5347" i="34"/>
  <c r="B5348" i="34"/>
  <c r="B5349" i="34"/>
  <c r="B5350" i="34"/>
  <c r="B5351" i="34"/>
  <c r="B5352" i="34"/>
  <c r="B5353" i="34"/>
  <c r="B5354" i="34"/>
  <c r="B5355" i="34"/>
  <c r="B5356" i="34"/>
  <c r="B5357" i="34"/>
  <c r="B5358" i="34"/>
  <c r="B5359" i="34"/>
  <c r="B5360" i="34"/>
  <c r="B5361" i="34"/>
  <c r="B5362" i="34"/>
  <c r="B5363" i="34"/>
  <c r="B5364" i="34"/>
  <c r="B5365" i="34"/>
  <c r="B5366" i="34"/>
  <c r="B5367" i="34"/>
  <c r="B5368" i="34"/>
  <c r="B5369" i="34"/>
  <c r="B5370" i="34"/>
  <c r="B5371" i="34"/>
  <c r="B5372" i="34"/>
  <c r="B5373" i="34"/>
  <c r="B5374" i="34"/>
  <c r="B5375" i="34"/>
  <c r="B5376" i="34"/>
  <c r="B5377" i="34"/>
  <c r="B5378" i="34"/>
  <c r="B5379" i="34"/>
  <c r="B5380" i="34"/>
  <c r="B5381" i="34"/>
  <c r="B5382" i="34"/>
  <c r="B5383" i="34"/>
  <c r="B5384" i="34"/>
  <c r="B5385" i="34"/>
  <c r="B5386" i="34"/>
  <c r="B5387" i="34"/>
  <c r="B5388" i="34"/>
  <c r="B5389" i="34"/>
  <c r="B5390" i="34"/>
  <c r="B5391" i="34"/>
  <c r="B5392" i="34"/>
  <c r="B5393" i="34"/>
  <c r="B5394" i="34"/>
  <c r="B5395" i="34"/>
  <c r="B5396" i="34"/>
  <c r="B5397" i="34"/>
  <c r="B5398" i="34"/>
  <c r="B5399" i="34"/>
  <c r="B5400" i="34"/>
  <c r="B5401" i="34"/>
  <c r="B5402" i="34"/>
  <c r="B5403" i="34"/>
  <c r="B5404" i="34"/>
  <c r="B5405" i="34"/>
  <c r="B5406" i="34"/>
  <c r="B5407" i="34"/>
  <c r="B5408" i="34"/>
  <c r="B5409" i="34"/>
  <c r="B5410" i="34"/>
  <c r="B5411" i="34"/>
  <c r="B5412" i="34"/>
  <c r="B5413" i="34"/>
  <c r="B5414" i="34"/>
  <c r="B5415" i="34"/>
  <c r="B5416" i="34"/>
  <c r="B5417" i="34"/>
  <c r="B5418" i="34"/>
  <c r="B5419" i="34"/>
  <c r="B5420" i="34"/>
  <c r="B5421" i="34"/>
  <c r="B5422" i="34"/>
  <c r="B5423" i="34"/>
  <c r="B5424" i="34"/>
  <c r="B5425" i="34"/>
  <c r="B5426" i="34"/>
  <c r="B5427" i="34"/>
  <c r="B5428" i="34"/>
  <c r="B5429" i="34"/>
  <c r="B5430" i="34"/>
  <c r="B5431" i="34"/>
  <c r="B5432" i="34"/>
  <c r="B5433" i="34"/>
  <c r="B5434" i="34"/>
  <c r="B5435" i="34"/>
  <c r="B5436" i="34"/>
  <c r="B5437" i="34"/>
  <c r="B5438" i="34"/>
  <c r="B5439" i="34"/>
  <c r="B5440" i="34"/>
  <c r="B5441" i="34"/>
  <c r="B5442" i="34"/>
  <c r="B5443" i="34"/>
  <c r="B5444" i="34"/>
  <c r="B5445" i="34"/>
  <c r="B5446" i="34"/>
  <c r="B5447" i="34"/>
  <c r="B5448" i="34"/>
  <c r="B5449" i="34"/>
  <c r="B5450" i="34"/>
  <c r="B5451" i="34"/>
  <c r="B5452" i="34"/>
  <c r="B5453" i="34"/>
  <c r="B5454" i="34"/>
  <c r="B5455" i="34"/>
  <c r="B5456" i="34"/>
  <c r="B5457" i="34"/>
  <c r="B5458" i="34"/>
  <c r="B5459" i="34"/>
  <c r="B5460" i="34"/>
  <c r="B5461" i="34"/>
  <c r="B5462" i="34"/>
  <c r="B5463" i="34"/>
  <c r="B5464" i="34"/>
  <c r="B5465" i="34"/>
  <c r="B5466" i="34"/>
  <c r="B5467" i="34"/>
  <c r="B5468" i="34"/>
  <c r="B5469" i="34"/>
  <c r="B5470" i="34"/>
  <c r="B5471" i="34"/>
  <c r="B5472" i="34"/>
  <c r="B5473" i="34"/>
  <c r="B5474" i="34"/>
  <c r="B5475" i="34"/>
  <c r="B5476" i="34"/>
  <c r="B5477" i="34"/>
  <c r="B5478" i="34"/>
  <c r="B5479" i="34"/>
  <c r="B5480" i="34"/>
  <c r="B5481" i="34"/>
  <c r="B5482" i="34"/>
  <c r="B5483" i="34"/>
  <c r="B5484" i="34"/>
  <c r="B5485" i="34"/>
  <c r="B5486" i="34"/>
  <c r="B5487" i="34"/>
  <c r="B5488" i="34"/>
  <c r="B5489" i="34"/>
  <c r="B5490" i="34"/>
  <c r="B5491" i="34"/>
  <c r="B5492" i="34"/>
  <c r="B5493" i="34"/>
  <c r="B5494" i="34"/>
  <c r="B5495" i="34"/>
  <c r="B5496" i="34"/>
  <c r="B5497" i="34"/>
  <c r="B5498" i="34"/>
  <c r="B5499" i="34"/>
  <c r="B5500" i="34"/>
  <c r="B5501" i="34"/>
  <c r="B5502" i="34"/>
  <c r="B5503" i="34"/>
  <c r="B5504" i="34"/>
  <c r="B5505" i="34"/>
  <c r="B5506" i="34"/>
  <c r="B5507" i="34"/>
  <c r="B5508" i="34"/>
  <c r="B5509" i="34"/>
  <c r="B5510" i="34"/>
  <c r="B5511" i="34"/>
  <c r="B5512" i="34"/>
  <c r="B5513" i="34"/>
  <c r="B5514" i="34"/>
  <c r="B5515" i="34"/>
  <c r="B5516" i="34"/>
  <c r="B5517" i="34"/>
  <c r="B5518" i="34"/>
  <c r="B5519" i="34"/>
  <c r="B5520" i="34"/>
  <c r="B5521" i="34"/>
  <c r="B5522" i="34"/>
  <c r="B5523" i="34"/>
  <c r="B5524" i="34"/>
  <c r="B5525" i="34"/>
  <c r="B5526" i="34"/>
  <c r="B5527" i="34"/>
  <c r="B5528" i="34"/>
  <c r="B5529" i="34"/>
  <c r="B5530" i="34"/>
  <c r="B5531" i="34"/>
  <c r="B5532" i="34"/>
  <c r="B5533" i="34"/>
  <c r="B5534" i="34"/>
  <c r="B5535" i="34"/>
  <c r="B5536" i="34"/>
  <c r="B5537" i="34"/>
  <c r="B5538" i="34"/>
  <c r="B5539" i="34"/>
  <c r="B5540" i="34"/>
  <c r="B5541" i="34"/>
  <c r="B5542" i="34"/>
  <c r="B5543" i="34"/>
  <c r="B5544" i="34"/>
  <c r="B5545" i="34"/>
  <c r="B5546" i="34"/>
  <c r="B5547" i="34"/>
  <c r="B5548" i="34"/>
  <c r="B5549" i="34"/>
  <c r="B5550" i="34"/>
  <c r="B5551" i="34"/>
  <c r="B5552" i="34"/>
  <c r="B5553" i="34"/>
  <c r="B5554" i="34"/>
  <c r="B5555" i="34"/>
  <c r="B5556" i="34"/>
  <c r="B5557" i="34"/>
  <c r="B5558" i="34"/>
  <c r="B5559" i="34"/>
  <c r="B5560" i="34"/>
  <c r="B5561" i="34"/>
  <c r="B5562" i="34"/>
  <c r="B5563" i="34"/>
  <c r="B5564" i="34"/>
  <c r="B5565" i="34"/>
  <c r="B5566" i="34"/>
  <c r="B5567" i="34"/>
  <c r="B5568" i="34"/>
  <c r="B5569" i="34"/>
  <c r="B5570" i="34"/>
  <c r="B5571" i="34"/>
  <c r="B5572" i="34"/>
  <c r="B5573" i="34"/>
  <c r="B5574" i="34"/>
  <c r="B5575" i="34"/>
  <c r="B5576" i="34"/>
  <c r="B5577" i="34"/>
  <c r="B5578" i="34"/>
  <c r="B5579" i="34"/>
  <c r="B5580" i="34"/>
  <c r="B5581" i="34"/>
  <c r="B5582" i="34"/>
  <c r="B5583" i="34"/>
  <c r="B5584" i="34"/>
  <c r="B5585" i="34"/>
  <c r="B5586" i="34"/>
  <c r="B5587" i="34"/>
  <c r="B5588" i="34"/>
  <c r="B5589" i="34"/>
  <c r="B5590" i="34"/>
  <c r="B5591" i="34"/>
  <c r="B5592" i="34"/>
  <c r="B5593" i="34"/>
  <c r="B5594" i="34"/>
  <c r="B5595" i="34"/>
  <c r="B5596" i="34"/>
  <c r="B5597" i="34"/>
  <c r="B5598" i="34"/>
  <c r="B5599" i="34"/>
  <c r="B5600" i="34"/>
  <c r="B5601" i="34"/>
  <c r="B5602" i="34"/>
  <c r="B5603" i="34"/>
  <c r="B5604" i="34"/>
  <c r="B5605" i="34"/>
  <c r="B5606" i="34"/>
  <c r="B5607" i="34"/>
  <c r="B5608" i="34"/>
  <c r="B5609" i="34"/>
  <c r="B5610" i="34"/>
  <c r="B5611" i="34"/>
  <c r="B5612" i="34"/>
  <c r="B5613" i="34"/>
  <c r="B5614" i="34"/>
  <c r="B5615" i="34"/>
  <c r="B5616" i="34"/>
  <c r="B5617" i="34"/>
  <c r="B5618" i="34"/>
  <c r="B5619" i="34"/>
  <c r="B5620" i="34"/>
  <c r="B5621" i="34"/>
  <c r="B5622" i="34"/>
  <c r="B5623" i="34"/>
  <c r="B5624" i="34"/>
  <c r="B5625" i="34"/>
  <c r="B5626" i="34"/>
  <c r="B5627" i="34"/>
  <c r="B5628" i="34"/>
  <c r="B5629" i="34"/>
  <c r="B5630" i="34"/>
  <c r="B5631" i="34"/>
  <c r="B5632" i="34"/>
  <c r="B5633" i="34"/>
  <c r="B5634" i="34"/>
  <c r="B5635" i="34"/>
  <c r="B5636" i="34"/>
  <c r="B5637" i="34"/>
  <c r="B5638" i="34"/>
  <c r="B5639" i="34"/>
  <c r="B5640" i="34"/>
  <c r="B5641" i="34"/>
  <c r="B5642" i="34"/>
  <c r="B5643" i="34"/>
  <c r="B5644" i="34"/>
  <c r="B5645" i="34"/>
  <c r="B5646" i="34"/>
  <c r="B5647" i="34"/>
  <c r="B5648" i="34"/>
  <c r="B5649" i="34"/>
  <c r="B5650" i="34"/>
  <c r="B5651" i="34"/>
  <c r="B5652" i="34"/>
  <c r="B5653" i="34"/>
  <c r="B5654" i="34"/>
  <c r="B5655" i="34"/>
  <c r="B5656" i="34"/>
  <c r="B5657" i="34"/>
  <c r="B5658" i="34"/>
  <c r="B5659" i="34"/>
  <c r="B5660" i="34"/>
  <c r="B5661" i="34"/>
  <c r="B5662" i="34"/>
  <c r="B5663" i="34"/>
  <c r="B5664" i="34"/>
  <c r="B5665" i="34"/>
  <c r="B5666" i="34"/>
  <c r="B5667" i="34"/>
  <c r="B5668" i="34"/>
  <c r="B5669" i="34"/>
  <c r="B5670" i="34"/>
  <c r="B5671" i="34"/>
  <c r="B5672" i="34"/>
  <c r="B5673" i="34"/>
  <c r="B5674" i="34"/>
  <c r="B5675" i="34"/>
  <c r="B5676" i="34"/>
  <c r="B5677" i="34"/>
  <c r="B5678" i="34"/>
  <c r="B5679" i="34"/>
  <c r="B5680" i="34"/>
  <c r="B5681" i="34"/>
  <c r="B5682" i="34"/>
  <c r="B5683" i="34"/>
  <c r="B5684" i="34"/>
  <c r="B5685" i="34"/>
  <c r="B5686" i="34"/>
  <c r="B5687" i="34"/>
  <c r="B5688" i="34"/>
  <c r="B5689" i="34"/>
  <c r="B5690" i="34"/>
  <c r="B5691" i="34"/>
  <c r="B5692" i="34"/>
  <c r="B5693" i="34"/>
  <c r="B5694" i="34"/>
  <c r="B5695" i="34"/>
  <c r="B5696" i="34"/>
  <c r="B5697" i="34"/>
  <c r="B5698" i="34"/>
  <c r="B5699" i="34"/>
  <c r="B5700" i="34"/>
  <c r="B5701" i="34"/>
  <c r="B5702" i="34"/>
  <c r="B5703" i="34"/>
  <c r="B5704" i="34"/>
  <c r="B5705" i="34"/>
  <c r="B5706" i="34"/>
  <c r="B5707" i="34"/>
  <c r="B5708" i="34"/>
  <c r="B5709" i="34"/>
  <c r="B5710" i="34"/>
  <c r="B5711" i="34"/>
  <c r="B5712" i="34"/>
  <c r="B5713" i="34"/>
  <c r="B5714" i="34"/>
  <c r="B5715" i="34"/>
  <c r="B5716" i="34"/>
  <c r="B5717" i="34"/>
  <c r="B5718" i="34"/>
  <c r="B5719" i="34"/>
  <c r="B5720" i="34"/>
  <c r="B5721" i="34"/>
  <c r="B5722" i="34"/>
  <c r="B5723" i="34"/>
  <c r="B5724" i="34"/>
  <c r="B5725" i="34"/>
  <c r="B5726" i="34"/>
  <c r="B5727" i="34"/>
  <c r="B5728" i="34"/>
  <c r="B5729" i="34"/>
  <c r="B5730" i="34"/>
  <c r="B5731" i="34"/>
  <c r="B5732" i="34"/>
  <c r="B5733" i="34"/>
  <c r="B5734" i="34"/>
  <c r="B5735" i="34"/>
  <c r="B5736" i="34"/>
  <c r="B5737" i="34"/>
  <c r="B5738" i="34"/>
  <c r="B5739" i="34"/>
  <c r="B5740" i="34"/>
  <c r="B5741" i="34"/>
  <c r="B5742" i="34"/>
  <c r="B5743" i="34"/>
  <c r="B5744" i="34"/>
  <c r="B5745" i="34"/>
  <c r="B5746" i="34"/>
  <c r="B5747" i="34"/>
  <c r="B5748" i="34"/>
  <c r="B5749" i="34"/>
  <c r="B5750" i="34"/>
  <c r="B5751" i="34"/>
  <c r="B5752" i="34"/>
  <c r="B5753" i="34"/>
  <c r="B5754" i="34"/>
  <c r="B5755" i="34"/>
  <c r="B5756" i="34"/>
  <c r="B5757" i="34"/>
  <c r="B5758" i="34"/>
  <c r="B5759" i="34"/>
  <c r="B5760" i="34"/>
  <c r="B5761" i="34"/>
  <c r="B5762" i="34"/>
  <c r="B5763" i="34"/>
  <c r="B5764" i="34"/>
  <c r="B5765" i="34"/>
  <c r="B5766" i="34"/>
  <c r="B5767" i="34"/>
  <c r="B5768" i="34"/>
  <c r="B5769" i="34"/>
  <c r="B5770" i="34"/>
  <c r="B5771" i="34"/>
  <c r="B5772" i="34"/>
  <c r="B5773" i="34"/>
  <c r="B5774" i="34"/>
  <c r="B5775" i="34"/>
  <c r="B5776" i="34"/>
  <c r="B5777" i="34"/>
  <c r="B5778" i="34"/>
  <c r="B5779" i="34"/>
  <c r="B5780" i="34"/>
  <c r="B5781" i="34"/>
  <c r="B5782" i="34"/>
  <c r="B5783" i="34"/>
  <c r="B5784" i="34"/>
  <c r="B5785" i="34"/>
  <c r="B5786" i="34"/>
  <c r="B5787" i="34"/>
  <c r="B5788" i="34"/>
  <c r="B5789" i="34"/>
  <c r="B5790" i="34"/>
  <c r="B5791" i="34"/>
  <c r="B5792" i="34"/>
  <c r="B5793" i="34"/>
  <c r="B5794" i="34"/>
  <c r="B5795" i="34"/>
  <c r="B5796" i="34"/>
  <c r="B5797" i="34"/>
  <c r="B5798" i="34"/>
  <c r="B5799" i="34"/>
  <c r="B5800" i="34"/>
  <c r="B5801" i="34"/>
  <c r="B5802" i="34"/>
  <c r="B5803" i="34"/>
  <c r="B5804" i="34"/>
  <c r="B5805" i="34"/>
  <c r="B5806" i="34"/>
  <c r="B5807" i="34"/>
  <c r="B5808" i="34"/>
  <c r="B5809" i="34"/>
  <c r="B5810" i="34"/>
  <c r="B5811" i="34"/>
  <c r="B5812" i="34"/>
  <c r="B5813" i="34"/>
  <c r="B5814" i="34"/>
  <c r="B5815" i="34"/>
  <c r="B5816" i="34"/>
  <c r="B5817" i="34"/>
  <c r="B5818" i="34"/>
  <c r="B5819" i="34"/>
  <c r="B5820" i="34"/>
  <c r="B5821" i="34"/>
  <c r="B5822" i="34"/>
  <c r="B5823" i="34"/>
  <c r="B5824" i="34"/>
  <c r="B5825" i="34"/>
  <c r="B5826" i="34"/>
  <c r="B5827" i="34"/>
  <c r="B5828" i="34"/>
  <c r="B5829" i="34"/>
  <c r="B5830" i="34"/>
  <c r="B5831" i="34"/>
  <c r="B5832" i="34"/>
  <c r="B5833" i="34"/>
  <c r="B5834" i="34"/>
  <c r="B5835" i="34"/>
  <c r="B5836" i="34"/>
  <c r="B5837" i="34"/>
  <c r="B5838" i="34"/>
  <c r="B5839" i="34"/>
  <c r="B5840" i="34"/>
  <c r="B5841" i="34"/>
  <c r="B5842" i="34"/>
  <c r="B5843" i="34"/>
  <c r="B5844" i="34"/>
  <c r="B5845" i="34"/>
  <c r="B5846" i="34"/>
  <c r="B5847" i="34"/>
  <c r="B5848" i="34"/>
  <c r="B5849" i="34"/>
  <c r="B5850" i="34"/>
  <c r="B5851" i="34"/>
  <c r="B5852" i="34"/>
  <c r="B5853" i="34"/>
  <c r="B5854" i="34"/>
  <c r="B5855" i="34"/>
  <c r="B5856" i="34"/>
  <c r="B5857" i="34"/>
  <c r="B5858" i="34"/>
  <c r="B5859" i="34"/>
  <c r="B5860" i="34"/>
  <c r="B5861" i="34"/>
  <c r="B5862" i="34"/>
  <c r="B5863" i="34"/>
  <c r="B5864" i="34"/>
  <c r="B5865" i="34"/>
  <c r="B5866" i="34"/>
  <c r="B5867" i="34"/>
  <c r="B5868" i="34"/>
  <c r="B5869" i="34"/>
  <c r="B5870" i="34"/>
  <c r="B5871" i="34"/>
  <c r="B5872" i="34"/>
  <c r="B5873" i="34"/>
  <c r="B5874" i="34"/>
  <c r="B5875" i="34"/>
  <c r="B5876" i="34"/>
  <c r="B5877" i="34"/>
  <c r="B5878" i="34"/>
  <c r="B5879" i="34"/>
  <c r="B5880" i="34"/>
  <c r="B5881" i="34"/>
  <c r="B5882" i="34"/>
  <c r="B5883" i="34"/>
  <c r="B5884" i="34"/>
  <c r="B5885" i="34"/>
  <c r="B5886" i="34"/>
  <c r="B5887" i="34"/>
  <c r="B5888" i="34"/>
  <c r="B5889" i="34"/>
  <c r="B5890" i="34"/>
  <c r="B5891" i="34"/>
  <c r="B5892" i="34"/>
  <c r="B5893" i="34"/>
  <c r="B5894" i="34"/>
  <c r="B5895" i="34"/>
  <c r="B5896" i="34"/>
  <c r="B5897" i="34"/>
  <c r="B5898" i="34"/>
  <c r="B5899" i="34"/>
  <c r="B5900" i="34"/>
  <c r="B5901" i="34"/>
  <c r="B5902" i="34"/>
  <c r="B5903" i="34"/>
  <c r="B5904" i="34"/>
  <c r="B5905" i="34"/>
  <c r="B5906" i="34"/>
  <c r="B5907" i="34"/>
  <c r="B5908" i="34"/>
  <c r="B5909" i="34"/>
  <c r="B5910" i="34"/>
  <c r="B5911" i="34"/>
  <c r="B5912" i="34"/>
  <c r="B5913" i="34"/>
  <c r="B5914" i="34"/>
  <c r="B5915" i="34"/>
  <c r="B5916" i="34"/>
  <c r="B5917" i="34"/>
  <c r="B5918" i="34"/>
  <c r="B5919" i="34"/>
  <c r="B5920" i="34"/>
  <c r="B5921" i="34"/>
  <c r="B5922" i="34"/>
  <c r="B5923" i="34"/>
  <c r="B5924" i="34"/>
  <c r="B5925" i="34"/>
  <c r="B5926" i="34"/>
  <c r="B5927" i="34"/>
  <c r="B5928" i="34"/>
  <c r="B5929" i="34"/>
  <c r="B5930" i="34"/>
  <c r="B5931" i="34"/>
  <c r="B5932" i="34"/>
  <c r="B5933" i="34"/>
  <c r="B5934" i="34"/>
  <c r="B5935" i="34"/>
  <c r="B5936" i="34"/>
  <c r="B5937" i="34"/>
  <c r="B5938" i="34"/>
  <c r="B5939" i="34"/>
  <c r="B5940" i="34"/>
  <c r="B5941" i="34"/>
  <c r="B5942" i="34"/>
  <c r="B5943" i="34"/>
  <c r="B5944" i="34"/>
  <c r="B5945" i="34"/>
  <c r="B5946" i="34"/>
  <c r="B5947" i="34"/>
  <c r="B5948" i="34"/>
  <c r="B5949" i="34"/>
  <c r="B5950" i="34"/>
  <c r="B5951" i="34"/>
  <c r="B5952" i="34"/>
  <c r="B5953" i="34"/>
  <c r="B5954" i="34"/>
  <c r="B5955" i="34"/>
  <c r="B5956" i="34"/>
  <c r="B5957" i="34"/>
  <c r="B5958" i="34"/>
  <c r="B5959" i="34"/>
  <c r="B5960" i="34"/>
  <c r="B5961" i="34"/>
  <c r="B5962" i="34"/>
  <c r="B5963" i="34"/>
  <c r="B5964" i="34"/>
  <c r="B5965" i="34"/>
  <c r="B5966" i="34"/>
  <c r="B5967" i="34"/>
  <c r="B5968" i="34"/>
  <c r="B5969" i="34"/>
  <c r="B5970" i="34"/>
  <c r="B5971" i="34"/>
  <c r="B5972" i="34"/>
  <c r="B5973" i="34"/>
  <c r="B5974" i="34"/>
  <c r="B5975" i="34"/>
  <c r="B5976" i="34"/>
  <c r="B5977" i="34"/>
  <c r="B5978" i="34"/>
  <c r="B5979" i="34"/>
  <c r="B5980" i="34"/>
  <c r="B5981" i="34"/>
  <c r="B5982" i="34"/>
  <c r="B5983" i="34"/>
  <c r="B5984" i="34"/>
  <c r="B5985" i="34"/>
  <c r="B5986" i="34"/>
  <c r="B5987" i="34"/>
  <c r="B5988" i="34"/>
  <c r="B5989" i="34"/>
  <c r="B5990" i="34"/>
  <c r="B5991" i="34"/>
  <c r="B5992" i="34"/>
  <c r="B5993" i="34"/>
  <c r="B5994" i="34"/>
  <c r="B5995" i="34"/>
  <c r="B5996" i="34"/>
  <c r="B5997" i="34"/>
  <c r="B5998" i="34"/>
  <c r="B5999" i="34"/>
  <c r="B6000" i="34"/>
  <c r="B6001" i="34"/>
  <c r="B6002" i="34"/>
  <c r="B6003" i="34"/>
  <c r="B6004" i="34"/>
  <c r="B6005" i="34"/>
  <c r="B6006" i="34"/>
  <c r="B6007" i="34"/>
  <c r="B6008" i="34"/>
  <c r="B6009" i="34"/>
  <c r="B6010" i="34"/>
  <c r="B6011" i="34"/>
  <c r="B6012" i="34"/>
  <c r="B6013" i="34"/>
  <c r="B6014" i="34"/>
  <c r="B6015" i="34"/>
  <c r="B6016" i="34"/>
  <c r="B6017" i="34"/>
  <c r="B6018" i="34"/>
  <c r="B6019" i="34"/>
  <c r="B6020" i="34"/>
  <c r="B6021" i="34"/>
  <c r="B6022" i="34"/>
  <c r="B6023" i="34"/>
  <c r="B6024" i="34"/>
  <c r="B6025" i="34"/>
  <c r="B6026" i="34"/>
  <c r="B6027" i="34"/>
  <c r="B6028" i="34"/>
  <c r="B6029" i="34"/>
  <c r="B6030" i="34"/>
  <c r="B6031" i="34"/>
  <c r="B6032" i="34"/>
  <c r="B6033" i="34"/>
  <c r="B6034" i="34"/>
  <c r="B6035" i="34"/>
  <c r="B6036" i="34"/>
  <c r="B6037" i="34"/>
  <c r="B6038" i="34"/>
  <c r="B6039" i="34"/>
  <c r="B6040" i="34"/>
  <c r="B6041" i="34"/>
  <c r="B6042" i="34"/>
  <c r="B6043" i="34"/>
  <c r="B6044" i="34"/>
  <c r="B6045" i="34"/>
  <c r="B6046" i="34"/>
  <c r="B6047" i="34"/>
  <c r="B6048" i="34"/>
  <c r="B6049" i="34"/>
  <c r="B6050" i="34"/>
  <c r="B6051" i="34"/>
  <c r="B6052" i="34"/>
  <c r="B6053" i="34"/>
  <c r="B6054" i="34"/>
  <c r="B6055" i="34"/>
  <c r="B6056" i="34"/>
  <c r="B6057" i="34"/>
  <c r="B6058" i="34"/>
  <c r="B6059" i="34"/>
  <c r="B6060" i="34"/>
  <c r="B6061" i="34"/>
  <c r="B6062" i="34"/>
  <c r="B6063" i="34"/>
  <c r="B6064" i="34"/>
  <c r="B6065" i="34"/>
  <c r="B6066" i="34"/>
  <c r="B6067" i="34"/>
  <c r="B6068" i="34"/>
  <c r="B6069" i="34"/>
  <c r="B6070" i="34"/>
  <c r="B6071" i="34"/>
  <c r="B6072" i="34"/>
  <c r="B6073" i="34"/>
  <c r="B6074" i="34"/>
  <c r="B6075" i="34"/>
  <c r="B6076" i="34"/>
  <c r="B6077" i="34"/>
  <c r="B6078" i="34"/>
  <c r="B6079" i="34"/>
  <c r="B6080" i="34"/>
  <c r="B6081" i="34"/>
  <c r="B6082" i="34"/>
  <c r="B6083" i="34"/>
  <c r="B6084" i="34"/>
  <c r="B6085" i="34"/>
  <c r="B6086" i="34"/>
  <c r="B6087" i="34"/>
  <c r="B6088" i="34"/>
  <c r="B6089" i="34"/>
  <c r="B6090" i="34"/>
  <c r="B6091" i="34"/>
  <c r="B6092" i="34"/>
  <c r="B6093" i="34"/>
  <c r="B6094" i="34"/>
  <c r="B6095" i="34"/>
  <c r="B6096" i="34"/>
  <c r="B6097" i="34"/>
  <c r="B6098" i="34"/>
  <c r="B6099" i="34"/>
  <c r="B6100" i="34"/>
  <c r="B6101" i="34"/>
  <c r="B6102" i="34"/>
  <c r="B6103" i="34"/>
  <c r="B6104" i="34"/>
  <c r="B6105" i="34"/>
  <c r="B6106" i="34"/>
  <c r="B6107" i="34"/>
  <c r="B6108" i="34"/>
  <c r="B6109" i="34"/>
  <c r="B6110" i="34"/>
  <c r="B6111" i="34"/>
  <c r="B6112" i="34"/>
  <c r="B6113" i="34"/>
  <c r="B6114" i="34"/>
  <c r="B6115" i="34"/>
  <c r="B6116" i="34"/>
  <c r="B6117" i="34"/>
  <c r="B6118" i="34"/>
  <c r="B6119" i="34"/>
  <c r="B6120" i="34"/>
  <c r="B6121" i="34"/>
  <c r="B6122" i="34"/>
  <c r="B6123" i="34"/>
  <c r="B6124" i="34"/>
  <c r="B6125" i="34"/>
  <c r="B6126" i="34"/>
  <c r="B6127" i="34"/>
  <c r="B6128" i="34"/>
  <c r="B6129" i="34"/>
  <c r="B6130" i="34"/>
  <c r="B6131" i="34"/>
  <c r="B6132" i="34"/>
  <c r="B6133" i="34"/>
  <c r="B6134" i="34"/>
  <c r="B6135" i="34"/>
  <c r="B6136" i="34"/>
  <c r="B6137" i="34"/>
  <c r="B6138" i="34"/>
  <c r="B6139" i="34"/>
  <c r="B6140" i="34"/>
  <c r="B6141" i="34"/>
  <c r="B6142" i="34"/>
  <c r="B6143" i="34"/>
  <c r="B6144" i="34"/>
  <c r="B6145" i="34"/>
  <c r="B6146" i="34"/>
  <c r="B6147" i="34"/>
  <c r="B6148" i="34"/>
  <c r="B6149" i="34"/>
  <c r="B6150" i="34"/>
  <c r="B6151" i="34"/>
  <c r="B6152" i="34"/>
  <c r="B6153" i="34"/>
  <c r="B6154" i="34"/>
  <c r="B6155" i="34"/>
  <c r="B6156" i="34"/>
  <c r="B6157" i="34"/>
  <c r="B6158" i="34"/>
  <c r="B6159" i="34"/>
  <c r="B6160" i="34"/>
  <c r="B6161" i="34"/>
  <c r="B6162" i="34"/>
  <c r="B6163" i="34"/>
  <c r="B6164" i="34"/>
  <c r="B6165" i="34"/>
  <c r="B6166" i="34"/>
  <c r="B6167" i="34"/>
  <c r="B6168" i="34"/>
  <c r="B6169" i="34"/>
  <c r="B6170" i="34"/>
  <c r="B6171" i="34"/>
  <c r="B6172" i="34"/>
  <c r="B6173" i="34"/>
  <c r="B6174" i="34"/>
  <c r="B6175" i="34"/>
  <c r="B6176" i="34"/>
  <c r="B6177" i="34"/>
  <c r="B6178" i="34"/>
  <c r="B6179" i="34"/>
  <c r="B6180" i="34"/>
  <c r="B6181" i="34"/>
  <c r="B6182" i="34"/>
  <c r="B6183" i="34"/>
  <c r="B6184" i="34"/>
  <c r="B6185" i="34"/>
  <c r="B6186" i="34"/>
  <c r="B6187" i="34"/>
  <c r="B6188" i="34"/>
  <c r="B6189" i="34"/>
  <c r="B6190" i="34"/>
  <c r="B6191" i="34"/>
  <c r="B6192" i="34"/>
  <c r="B6193" i="34"/>
  <c r="B6194" i="34"/>
  <c r="B6195" i="34"/>
  <c r="B6196" i="34"/>
  <c r="B6197" i="34"/>
  <c r="B6198" i="34"/>
  <c r="B6199" i="34"/>
  <c r="B6200" i="34"/>
  <c r="B6201" i="34"/>
  <c r="B6202" i="34"/>
  <c r="B6203" i="34"/>
  <c r="B6204" i="34"/>
  <c r="B6205" i="34"/>
  <c r="B6206" i="34"/>
  <c r="B6207" i="34"/>
  <c r="B6208" i="34"/>
  <c r="B6209" i="34"/>
  <c r="B6210" i="34"/>
  <c r="B6211" i="34"/>
  <c r="B6212" i="34"/>
  <c r="B6213" i="34"/>
  <c r="B6214" i="34"/>
  <c r="B6215" i="34"/>
  <c r="B6216" i="34"/>
  <c r="B6217" i="34"/>
  <c r="B6218" i="34"/>
  <c r="B6219" i="34"/>
  <c r="B6220" i="34"/>
  <c r="B6221" i="34"/>
  <c r="B6222" i="34"/>
  <c r="B6223" i="34"/>
  <c r="B6224" i="34"/>
  <c r="B6225" i="34"/>
  <c r="B6226" i="34"/>
  <c r="B6227" i="34"/>
  <c r="B6228" i="34"/>
  <c r="B6229" i="34"/>
  <c r="B6230" i="34"/>
  <c r="B6231" i="34"/>
  <c r="B6232" i="34"/>
  <c r="B6233" i="34"/>
  <c r="B6234" i="34"/>
  <c r="B6235" i="34"/>
  <c r="B6236" i="34"/>
  <c r="B6237" i="34"/>
  <c r="B6238" i="34"/>
  <c r="B6239" i="34"/>
  <c r="B6240" i="34"/>
  <c r="B6241" i="34"/>
  <c r="B6242" i="34"/>
  <c r="B6243" i="34"/>
  <c r="B6244" i="34"/>
  <c r="B6245" i="34"/>
  <c r="B6246" i="34"/>
  <c r="B6247" i="34"/>
  <c r="B6248" i="34"/>
  <c r="B6249" i="34"/>
  <c r="B6250" i="34"/>
  <c r="B6251" i="34"/>
  <c r="B6252" i="34"/>
  <c r="B6253" i="34"/>
  <c r="B6254" i="34"/>
  <c r="B6255" i="34"/>
  <c r="B6256" i="34"/>
  <c r="B6257" i="34"/>
  <c r="B6258" i="34"/>
  <c r="B6259" i="34"/>
  <c r="B6260" i="34"/>
  <c r="B6261" i="34"/>
  <c r="B6262" i="34"/>
  <c r="B6263" i="34"/>
  <c r="B6264" i="34"/>
  <c r="B6265" i="34"/>
  <c r="B6266" i="34"/>
  <c r="B6267" i="34"/>
  <c r="B6268" i="34"/>
  <c r="B6269" i="34"/>
  <c r="B6270" i="34"/>
  <c r="B6271" i="34"/>
  <c r="B6272" i="34"/>
  <c r="B6273" i="34"/>
  <c r="B6274" i="34"/>
  <c r="B6275" i="34"/>
  <c r="B6276" i="34"/>
  <c r="B6277" i="34"/>
  <c r="B6278" i="34"/>
  <c r="B6279" i="34"/>
  <c r="B6280" i="34"/>
  <c r="B6281" i="34"/>
  <c r="B6282" i="34"/>
  <c r="B6283" i="34"/>
  <c r="B6284" i="34"/>
  <c r="B6285" i="34"/>
  <c r="B6286" i="34"/>
  <c r="B6287" i="34"/>
  <c r="B6288" i="34"/>
  <c r="B6289" i="34"/>
  <c r="B6290" i="34"/>
  <c r="B6291" i="34"/>
  <c r="B6292" i="34"/>
  <c r="B6293" i="34"/>
  <c r="B6294" i="34"/>
  <c r="B6295" i="34"/>
  <c r="B6296" i="34"/>
  <c r="B6297" i="34"/>
  <c r="B6298" i="34"/>
  <c r="B6299" i="34"/>
  <c r="B6300" i="34"/>
  <c r="B6301" i="34"/>
  <c r="B6302" i="34"/>
  <c r="B6303" i="34"/>
  <c r="B6304" i="34"/>
  <c r="B6305" i="34"/>
  <c r="B6306" i="34"/>
  <c r="B6307" i="34"/>
  <c r="B6308" i="34"/>
  <c r="B6309" i="34"/>
  <c r="B6310" i="34"/>
  <c r="B6311" i="34"/>
  <c r="B6312" i="34"/>
  <c r="B6313" i="34"/>
  <c r="B6314" i="34"/>
  <c r="B6315" i="34"/>
  <c r="B6316" i="34"/>
  <c r="B6317" i="34"/>
  <c r="B6318" i="34"/>
  <c r="B6319" i="34"/>
  <c r="B6320" i="34"/>
  <c r="B6321" i="34"/>
  <c r="B6322" i="34"/>
  <c r="B6323" i="34"/>
  <c r="B6324" i="34"/>
  <c r="B6325" i="34"/>
  <c r="B6326" i="34"/>
  <c r="B6327" i="34"/>
  <c r="B6328" i="34"/>
  <c r="B6329" i="34"/>
  <c r="B6330" i="34"/>
  <c r="B6331" i="34"/>
  <c r="B6332" i="34"/>
  <c r="B6333" i="34"/>
  <c r="B6334" i="34"/>
  <c r="B6335" i="34"/>
  <c r="B6336" i="34"/>
  <c r="B6337" i="34"/>
  <c r="B6338" i="34"/>
  <c r="B6339" i="34"/>
  <c r="B6340" i="34"/>
  <c r="B6341" i="34"/>
  <c r="B6342" i="34"/>
  <c r="B6343" i="34"/>
  <c r="B6344" i="34"/>
  <c r="B6345" i="34"/>
  <c r="B6346" i="34"/>
  <c r="B6347" i="34"/>
  <c r="B6348" i="34"/>
  <c r="B6349" i="34"/>
  <c r="B6350" i="34"/>
  <c r="B6351" i="34"/>
  <c r="B6352" i="34"/>
  <c r="B6353" i="34"/>
  <c r="B6354" i="34"/>
  <c r="B6355" i="34"/>
  <c r="B6356" i="34"/>
  <c r="B6357" i="34"/>
  <c r="B6358" i="34"/>
  <c r="B6359" i="34"/>
  <c r="B6360" i="34"/>
  <c r="B6361" i="34"/>
  <c r="B6362" i="34"/>
  <c r="B6363" i="34"/>
  <c r="B6364" i="34"/>
  <c r="B6365" i="34"/>
  <c r="B6366" i="34"/>
  <c r="B6367" i="34"/>
  <c r="B6368" i="34"/>
  <c r="B6369" i="34"/>
  <c r="B6370" i="34"/>
  <c r="B6371" i="34"/>
  <c r="B6372" i="34"/>
  <c r="B6373" i="34"/>
  <c r="B6374" i="34"/>
  <c r="B6375" i="34"/>
  <c r="B6376" i="34"/>
  <c r="B6377" i="34"/>
  <c r="B6378" i="34"/>
  <c r="B6379" i="34"/>
  <c r="B6380" i="34"/>
  <c r="B6381" i="34"/>
  <c r="B6382" i="34"/>
  <c r="B6383" i="34"/>
  <c r="B6384" i="34"/>
  <c r="B6385" i="34"/>
  <c r="B6386" i="34"/>
  <c r="B6387" i="34"/>
  <c r="B6388" i="34"/>
  <c r="B6389" i="34"/>
  <c r="B6390" i="34"/>
  <c r="B6391" i="34"/>
  <c r="B6392" i="34"/>
  <c r="B6393" i="34"/>
  <c r="B6394" i="34"/>
  <c r="B6395" i="34"/>
  <c r="B6396" i="34"/>
  <c r="B6397" i="34"/>
  <c r="B6398" i="34"/>
  <c r="B6399" i="34"/>
  <c r="B6400" i="34"/>
  <c r="B6401" i="34"/>
  <c r="B6402" i="34"/>
  <c r="B6403" i="34"/>
  <c r="B6404" i="34"/>
  <c r="B6405" i="34"/>
  <c r="B6406" i="34"/>
  <c r="B6407" i="34"/>
  <c r="B6408" i="34"/>
  <c r="B6409" i="34"/>
  <c r="B6410" i="34"/>
  <c r="B6411" i="34"/>
  <c r="B6412" i="34"/>
  <c r="B6413" i="34"/>
  <c r="B6414" i="34"/>
  <c r="B6415" i="34"/>
  <c r="B6416" i="34"/>
  <c r="B6417" i="34"/>
  <c r="B6418" i="34"/>
  <c r="B6419" i="34"/>
  <c r="B6420" i="34"/>
  <c r="B6421" i="34"/>
  <c r="B6422" i="34"/>
  <c r="B6423" i="34"/>
  <c r="B6424" i="34"/>
  <c r="B6425" i="34"/>
  <c r="B6426" i="34"/>
  <c r="B6427" i="34"/>
  <c r="B6428" i="34"/>
  <c r="B6429" i="34"/>
  <c r="B6430" i="34"/>
  <c r="B6431" i="34"/>
  <c r="B6432" i="34"/>
  <c r="B6433" i="34"/>
  <c r="B6434" i="34"/>
  <c r="B6435" i="34"/>
  <c r="B6436" i="34"/>
  <c r="B6437" i="34"/>
  <c r="B6438" i="34"/>
  <c r="B6439" i="34"/>
  <c r="B6440" i="34"/>
  <c r="B6441" i="34"/>
  <c r="B6442" i="34"/>
  <c r="B6443" i="34"/>
  <c r="B6444" i="34"/>
  <c r="B6445" i="34"/>
  <c r="B6446" i="34"/>
  <c r="B6447" i="34"/>
  <c r="B6448" i="34"/>
  <c r="B6449" i="34"/>
  <c r="B6450" i="34"/>
  <c r="B6451" i="34"/>
  <c r="B6452" i="34"/>
  <c r="B6453" i="34"/>
  <c r="B6454" i="34"/>
  <c r="B6455" i="34"/>
  <c r="B6456" i="34"/>
  <c r="B6457" i="34"/>
  <c r="B6458" i="34"/>
  <c r="B6459" i="34"/>
  <c r="B6460" i="34"/>
  <c r="B6461" i="34"/>
  <c r="B6462" i="34"/>
  <c r="B6463" i="34"/>
  <c r="B6464" i="34"/>
  <c r="B6465" i="34"/>
  <c r="B6466" i="34"/>
  <c r="B6467" i="34"/>
  <c r="B6468" i="34"/>
  <c r="B6469" i="34"/>
  <c r="B6470" i="34"/>
  <c r="B6471" i="34"/>
  <c r="B6472" i="34"/>
  <c r="B6473" i="34"/>
  <c r="B6474" i="34"/>
  <c r="B6475" i="34"/>
  <c r="B6476" i="34"/>
  <c r="B6477" i="34"/>
  <c r="B6478" i="34"/>
  <c r="B6479" i="34"/>
  <c r="B6480" i="34"/>
  <c r="B6481" i="34"/>
  <c r="B6482" i="34"/>
  <c r="B6483" i="34"/>
  <c r="B6484" i="34"/>
  <c r="B6485" i="34"/>
  <c r="B6486" i="34"/>
  <c r="B6487" i="34"/>
  <c r="B6488" i="34"/>
  <c r="B6489" i="34"/>
  <c r="B6490" i="34"/>
  <c r="B6491" i="34"/>
  <c r="B6492" i="34"/>
  <c r="B6493" i="34"/>
  <c r="B6494" i="34"/>
  <c r="B6495" i="34"/>
  <c r="B6496" i="34"/>
  <c r="B6497" i="34"/>
  <c r="B6498" i="34"/>
  <c r="B6499" i="34"/>
  <c r="B6500" i="34"/>
  <c r="B6501" i="34"/>
  <c r="B6502" i="34"/>
  <c r="B6503" i="34"/>
  <c r="B6504" i="34"/>
  <c r="B6505" i="34"/>
  <c r="B6506" i="34"/>
  <c r="B6507" i="34"/>
  <c r="B6508" i="34"/>
  <c r="B6509" i="34"/>
  <c r="B6510" i="34"/>
  <c r="B6511" i="34"/>
  <c r="B6512" i="34"/>
  <c r="B6513" i="34"/>
  <c r="B6514" i="34"/>
  <c r="B6515" i="34"/>
  <c r="B6516" i="34"/>
  <c r="B6517" i="34"/>
  <c r="B6518" i="34"/>
  <c r="B6519" i="34"/>
  <c r="B6520" i="34"/>
  <c r="B6521" i="34"/>
  <c r="B6522" i="34"/>
  <c r="B6523" i="34"/>
  <c r="B6524" i="34"/>
  <c r="B6525" i="34"/>
  <c r="B6526" i="34"/>
  <c r="B6527" i="34"/>
  <c r="B6528" i="34"/>
  <c r="B6529" i="34"/>
  <c r="B6530" i="34"/>
  <c r="B6531" i="34"/>
  <c r="B6532" i="34"/>
  <c r="B6533" i="34"/>
  <c r="B6534" i="34"/>
  <c r="B6535" i="34"/>
  <c r="B6536" i="34"/>
  <c r="B6537" i="34"/>
  <c r="B6538" i="34"/>
  <c r="B6539" i="34"/>
  <c r="B6540" i="34"/>
  <c r="B6541" i="34"/>
  <c r="B6542" i="34"/>
  <c r="B6543" i="34"/>
  <c r="B6544" i="34"/>
  <c r="B6545" i="34"/>
  <c r="B6546" i="34"/>
  <c r="B6547" i="34"/>
  <c r="B6548" i="34"/>
  <c r="B6549" i="34"/>
  <c r="B6550" i="34"/>
  <c r="B6551" i="34"/>
  <c r="B6552" i="34"/>
  <c r="B6553" i="34"/>
  <c r="B6554" i="34"/>
  <c r="B6555" i="34"/>
  <c r="B6556" i="34"/>
  <c r="B6557" i="34"/>
  <c r="B6558" i="34"/>
  <c r="B6559" i="34"/>
  <c r="B6560" i="34"/>
  <c r="B6561" i="34"/>
  <c r="B6562" i="34"/>
  <c r="B6563" i="34"/>
  <c r="B6564" i="34"/>
  <c r="B6565" i="34"/>
  <c r="B6566" i="34"/>
  <c r="B6567" i="34"/>
  <c r="B6568" i="34"/>
  <c r="B6569" i="34"/>
  <c r="B6570" i="34"/>
  <c r="B6571" i="34"/>
  <c r="B6572" i="34"/>
  <c r="B6573" i="34"/>
  <c r="B6574" i="34"/>
  <c r="B6575" i="34"/>
  <c r="B6576" i="34"/>
  <c r="B6577" i="34"/>
  <c r="B6578" i="34"/>
  <c r="B6579" i="34"/>
  <c r="B6580" i="34"/>
  <c r="B6581" i="34"/>
  <c r="B6582" i="34"/>
  <c r="B6583" i="34"/>
  <c r="B6584" i="34"/>
  <c r="B6585" i="34"/>
  <c r="B6586" i="34"/>
  <c r="B6587" i="34"/>
  <c r="B6588" i="34"/>
  <c r="B6589" i="34"/>
  <c r="B6590" i="34"/>
  <c r="B6591" i="34"/>
  <c r="B6592" i="34"/>
  <c r="B6593" i="34"/>
  <c r="B6594" i="34"/>
  <c r="B6595" i="34"/>
  <c r="B6596" i="34"/>
  <c r="B6597" i="34"/>
  <c r="B6598" i="34"/>
  <c r="B6599" i="34"/>
  <c r="B6600" i="34"/>
  <c r="B6601" i="34"/>
  <c r="B6602" i="34"/>
  <c r="B6603" i="34"/>
  <c r="B6604" i="34"/>
  <c r="B6605" i="34"/>
  <c r="B6606" i="34"/>
  <c r="B6607" i="34"/>
  <c r="B6608" i="34"/>
  <c r="B6609" i="34"/>
  <c r="B6610" i="34"/>
  <c r="B6611" i="34"/>
  <c r="B6612" i="34"/>
  <c r="B6613" i="34"/>
  <c r="B6614" i="34"/>
  <c r="B6615" i="34"/>
  <c r="B6616" i="34"/>
  <c r="B6617" i="34"/>
  <c r="B6618" i="34"/>
  <c r="B6619" i="34"/>
  <c r="B6620" i="34"/>
  <c r="B6621" i="34"/>
  <c r="B6622" i="34"/>
  <c r="B6623" i="34"/>
  <c r="B6624" i="34"/>
  <c r="B6625" i="34"/>
  <c r="B6626" i="34"/>
  <c r="B6627" i="34"/>
  <c r="B6628" i="34"/>
  <c r="B6629" i="34"/>
  <c r="B6630" i="34"/>
  <c r="B6631" i="34"/>
  <c r="B6632" i="34"/>
  <c r="B6633" i="34"/>
  <c r="B6634" i="34"/>
  <c r="B6635" i="34"/>
  <c r="B6636" i="34"/>
  <c r="B6637" i="34"/>
  <c r="B6638" i="34"/>
  <c r="B6639" i="34"/>
  <c r="B6640" i="34"/>
  <c r="B6641" i="34"/>
  <c r="B6642" i="34"/>
  <c r="B6643" i="34"/>
  <c r="B6644" i="34"/>
  <c r="B6645" i="34"/>
  <c r="B6646" i="34"/>
  <c r="B6647" i="34"/>
  <c r="B6648" i="34"/>
  <c r="B6649" i="34"/>
  <c r="B6650" i="34"/>
  <c r="B6651" i="34"/>
  <c r="B6652" i="34"/>
  <c r="B6653" i="34"/>
  <c r="B6654" i="34"/>
  <c r="B6655" i="34"/>
  <c r="B6656" i="34"/>
  <c r="B6657" i="34"/>
  <c r="B6658" i="34"/>
  <c r="B6659" i="34"/>
  <c r="B6660" i="34"/>
  <c r="B6661" i="34"/>
  <c r="B6662" i="34"/>
  <c r="B6663" i="34"/>
  <c r="B6664" i="34"/>
  <c r="B6665" i="34"/>
  <c r="B6666" i="34"/>
  <c r="B6667" i="34"/>
  <c r="B6668" i="34"/>
  <c r="B6669" i="34"/>
  <c r="B6670" i="34"/>
  <c r="B6671" i="34"/>
  <c r="B6672" i="34"/>
  <c r="B6673" i="34"/>
  <c r="B6674" i="34"/>
  <c r="B6675" i="34"/>
  <c r="B6676" i="34"/>
  <c r="B6677" i="34"/>
  <c r="B6678" i="34"/>
  <c r="B6679" i="34"/>
  <c r="B6680" i="34"/>
  <c r="B6681" i="34"/>
  <c r="B6682" i="34"/>
  <c r="B6683" i="34"/>
  <c r="B6684" i="34"/>
  <c r="B6685" i="34"/>
  <c r="B6686" i="34"/>
  <c r="B6687" i="34"/>
  <c r="B6688" i="34"/>
  <c r="B6689" i="34"/>
  <c r="B6690" i="34"/>
  <c r="B6691" i="34"/>
  <c r="B6692" i="34"/>
  <c r="B6693" i="34"/>
  <c r="B6694" i="34"/>
  <c r="B6695" i="34"/>
  <c r="B6696" i="34"/>
  <c r="B6697" i="34"/>
  <c r="B6698" i="34"/>
  <c r="B6699" i="34"/>
  <c r="B6700" i="34"/>
  <c r="B6701" i="34"/>
  <c r="B6702" i="34"/>
  <c r="B6703" i="34"/>
  <c r="B6704" i="34"/>
  <c r="B6705" i="34"/>
  <c r="B6706" i="34"/>
  <c r="B6707" i="34"/>
  <c r="B6708" i="34"/>
  <c r="B6709" i="34"/>
  <c r="B6710" i="34"/>
  <c r="B6711" i="34"/>
  <c r="B6712" i="34"/>
  <c r="B6713" i="34"/>
  <c r="B6714" i="34"/>
  <c r="B6715" i="34"/>
  <c r="B6716" i="34"/>
  <c r="B6717" i="34"/>
  <c r="B6718" i="34"/>
  <c r="B6719" i="34"/>
  <c r="B6720" i="34"/>
  <c r="B6721" i="34"/>
  <c r="B6722" i="34"/>
  <c r="B6723" i="34"/>
  <c r="B6724" i="34"/>
  <c r="B6725" i="34"/>
  <c r="B6726" i="34"/>
  <c r="B6727" i="34"/>
  <c r="B6728" i="34"/>
  <c r="B6729" i="34"/>
  <c r="B6730" i="34"/>
  <c r="B6731" i="34"/>
  <c r="B6732" i="34"/>
  <c r="B6733" i="34"/>
  <c r="B6734" i="34"/>
  <c r="B6735" i="34"/>
  <c r="B6736" i="34"/>
  <c r="B6737" i="34"/>
  <c r="B6738" i="34"/>
  <c r="B6739" i="34"/>
  <c r="B6740" i="34"/>
  <c r="B6741" i="34"/>
  <c r="B6742" i="34"/>
  <c r="B6743" i="34"/>
  <c r="B6744" i="34"/>
  <c r="B6745" i="34"/>
  <c r="B6746" i="34"/>
  <c r="B6747" i="34"/>
  <c r="B6748" i="34"/>
  <c r="B6749" i="34"/>
  <c r="B6750" i="34"/>
  <c r="B6751" i="34"/>
  <c r="B6752" i="34"/>
  <c r="B6753" i="34"/>
  <c r="B6754" i="34"/>
  <c r="B6755" i="34"/>
  <c r="B6756" i="34"/>
  <c r="B6757" i="34"/>
  <c r="B6758" i="34"/>
  <c r="B6759" i="34"/>
  <c r="B6760" i="34"/>
  <c r="B6761" i="34"/>
  <c r="B6762" i="34"/>
  <c r="B6763" i="34"/>
  <c r="B6764" i="34"/>
  <c r="B6765" i="34"/>
  <c r="B6766" i="34"/>
  <c r="B6767" i="34"/>
  <c r="B6768" i="34"/>
  <c r="B6769" i="34"/>
  <c r="B6770" i="34"/>
  <c r="B6771" i="34"/>
  <c r="B6772" i="34"/>
  <c r="B6773" i="34"/>
  <c r="B6774" i="34"/>
  <c r="B6775" i="34"/>
  <c r="B6776" i="34"/>
  <c r="B6777" i="34"/>
  <c r="B6778" i="34"/>
  <c r="B6779" i="34"/>
  <c r="B6780" i="34"/>
  <c r="B6781" i="34"/>
  <c r="B6782" i="34"/>
  <c r="B6783" i="34"/>
  <c r="B6784" i="34"/>
  <c r="B6785" i="34"/>
  <c r="B6786" i="34"/>
  <c r="B6787" i="34"/>
  <c r="B6788" i="34"/>
  <c r="B6789" i="34"/>
  <c r="B6790" i="34"/>
  <c r="B6791" i="34"/>
  <c r="B6792" i="34"/>
  <c r="B6793" i="34"/>
  <c r="B6794" i="34"/>
  <c r="B6795" i="34"/>
  <c r="B6796" i="34"/>
  <c r="B6797" i="34"/>
  <c r="B6798" i="34"/>
  <c r="B6799" i="34"/>
  <c r="B6800" i="34"/>
  <c r="B6801" i="34"/>
  <c r="B6802" i="34"/>
  <c r="B6803" i="34"/>
  <c r="B6804" i="34"/>
  <c r="B6805" i="34"/>
  <c r="B6806" i="34"/>
  <c r="B6807" i="34"/>
  <c r="B6808" i="34"/>
  <c r="B6809" i="34"/>
  <c r="B6810" i="34"/>
  <c r="B6811" i="34"/>
  <c r="B6812" i="34"/>
  <c r="B6813" i="34"/>
  <c r="B6814" i="34"/>
  <c r="B6815" i="34"/>
  <c r="B6816" i="34"/>
  <c r="B6817" i="34"/>
  <c r="B6818" i="34"/>
  <c r="B6819" i="34"/>
  <c r="B6820" i="34"/>
  <c r="B6821" i="34"/>
  <c r="B6822" i="34"/>
  <c r="B6823" i="34"/>
  <c r="B6824" i="34"/>
  <c r="B6825" i="34"/>
  <c r="B6826" i="34"/>
  <c r="B6827" i="34"/>
  <c r="B6828" i="34"/>
  <c r="B6829" i="34"/>
  <c r="B6830" i="34"/>
  <c r="B6831" i="34"/>
  <c r="B6832" i="34"/>
  <c r="B6833" i="34"/>
  <c r="B6834" i="34"/>
  <c r="B6835" i="34"/>
  <c r="B6836" i="34"/>
  <c r="B6837" i="34"/>
  <c r="B6838" i="34"/>
  <c r="B6839" i="34"/>
  <c r="B6840" i="34"/>
  <c r="B6841" i="34"/>
  <c r="B6842" i="34"/>
  <c r="B6843" i="34"/>
  <c r="B6844" i="34"/>
  <c r="B6845" i="34"/>
  <c r="B6846" i="34"/>
  <c r="B6847" i="34"/>
  <c r="B6848" i="34"/>
  <c r="B6849" i="34"/>
  <c r="B6850" i="34"/>
  <c r="B6851" i="34"/>
  <c r="B6852" i="34"/>
  <c r="B6853" i="34"/>
  <c r="B6854" i="34"/>
  <c r="B6855" i="34"/>
  <c r="B6856" i="34"/>
  <c r="B6857" i="34"/>
  <c r="B6858" i="34"/>
  <c r="B6859" i="34"/>
  <c r="B6860" i="34"/>
  <c r="B6861" i="34"/>
  <c r="B6862" i="34"/>
  <c r="B6863" i="34"/>
  <c r="B6864" i="34"/>
  <c r="B6865" i="34"/>
  <c r="B6866" i="34"/>
  <c r="B6867" i="34"/>
  <c r="B6868" i="34"/>
  <c r="B6869" i="34"/>
  <c r="B6870" i="34"/>
  <c r="B6871" i="34"/>
  <c r="B6872" i="34"/>
  <c r="B6873" i="34"/>
  <c r="B6874" i="34"/>
  <c r="B6875" i="34"/>
  <c r="B6876" i="34"/>
  <c r="B6877" i="34"/>
  <c r="B6878" i="34"/>
  <c r="B6879" i="34"/>
  <c r="B6880" i="34"/>
  <c r="B6881" i="34"/>
  <c r="B6882" i="34"/>
  <c r="B6883" i="34"/>
  <c r="B6884" i="34"/>
  <c r="B6885" i="34"/>
  <c r="B6886" i="34"/>
  <c r="B6887" i="34"/>
  <c r="B6888" i="34"/>
  <c r="B6889" i="34"/>
  <c r="B6890" i="34"/>
  <c r="B6891" i="34"/>
  <c r="B6892" i="34"/>
  <c r="B6893" i="34"/>
  <c r="B6894" i="34"/>
  <c r="B6895" i="34"/>
  <c r="B6896" i="34"/>
  <c r="B6897" i="34"/>
  <c r="B6898" i="34"/>
  <c r="B6899" i="34"/>
  <c r="B6900" i="34"/>
  <c r="B6901" i="34"/>
  <c r="B6902" i="34"/>
  <c r="B6903" i="34"/>
  <c r="B6904" i="34"/>
  <c r="B6905" i="34"/>
  <c r="B6906" i="34"/>
  <c r="B6907" i="34"/>
  <c r="B6908" i="34"/>
  <c r="B6909" i="34"/>
  <c r="B6910" i="34"/>
  <c r="B6911" i="34"/>
  <c r="B6912" i="34"/>
  <c r="B6913" i="34"/>
  <c r="B6914" i="34"/>
  <c r="B6915" i="34"/>
  <c r="B6916" i="34"/>
  <c r="B6917" i="34"/>
  <c r="B6918" i="34"/>
  <c r="B6919" i="34"/>
  <c r="B6920" i="34"/>
  <c r="B6921" i="34"/>
  <c r="B6922" i="34"/>
  <c r="B6923" i="34"/>
  <c r="B6924" i="34"/>
  <c r="B6925" i="34"/>
  <c r="B6926" i="34"/>
  <c r="B6927" i="34"/>
  <c r="B6928" i="34"/>
  <c r="B6929" i="34"/>
  <c r="B6930" i="34"/>
  <c r="B6931" i="34"/>
  <c r="B6932" i="34"/>
  <c r="B6933" i="34"/>
  <c r="B6934" i="34"/>
  <c r="B6935" i="34"/>
  <c r="B6936" i="34"/>
  <c r="B6937" i="34"/>
  <c r="B6938" i="34"/>
  <c r="B6939" i="34"/>
  <c r="B6940" i="34"/>
  <c r="B6941" i="34"/>
  <c r="B6942" i="34"/>
  <c r="B6943" i="34"/>
  <c r="B6944" i="34"/>
  <c r="B6945" i="34"/>
  <c r="B6946" i="34"/>
  <c r="B6947" i="34"/>
  <c r="B6948" i="34"/>
  <c r="B6949" i="34"/>
  <c r="B6950" i="34"/>
  <c r="B6951" i="34"/>
  <c r="B6952" i="34"/>
  <c r="B6953" i="34"/>
  <c r="B6954" i="34"/>
  <c r="B6955" i="34"/>
  <c r="B6956" i="34"/>
  <c r="B6957" i="34"/>
  <c r="B6958" i="34"/>
  <c r="B6959" i="34"/>
  <c r="B6960" i="34"/>
  <c r="B6961" i="34"/>
  <c r="B6962" i="34"/>
  <c r="B6963" i="34"/>
  <c r="B6964" i="34"/>
  <c r="B6965" i="34"/>
  <c r="B6966" i="34"/>
  <c r="B6967" i="34"/>
  <c r="B6968" i="34"/>
  <c r="B6969" i="34"/>
  <c r="B6970" i="34"/>
  <c r="B6971" i="34"/>
  <c r="B6972" i="34"/>
  <c r="B6973" i="34"/>
  <c r="B6974" i="34"/>
  <c r="B6975" i="34"/>
  <c r="B6976" i="34"/>
  <c r="B6977" i="34"/>
  <c r="B6978" i="34"/>
  <c r="B6979" i="34"/>
  <c r="B6980" i="34"/>
  <c r="B6981" i="34"/>
  <c r="B6982" i="34"/>
  <c r="B6983" i="34"/>
  <c r="B6984" i="34"/>
  <c r="B6985" i="34"/>
  <c r="B6986" i="34"/>
  <c r="B6987" i="34"/>
  <c r="B6988" i="34"/>
  <c r="B6989" i="34"/>
  <c r="B6990" i="34"/>
  <c r="B6991" i="34"/>
  <c r="B6992" i="34"/>
  <c r="B6993" i="34"/>
  <c r="B6994" i="34"/>
  <c r="B6995" i="34"/>
  <c r="B6996" i="34"/>
  <c r="B6997" i="34"/>
  <c r="B6998" i="34"/>
  <c r="B6999" i="34"/>
  <c r="B7000" i="34"/>
  <c r="B7001" i="34"/>
  <c r="B7002" i="34"/>
  <c r="B7003" i="34"/>
  <c r="B7004" i="34"/>
  <c r="B7005" i="34"/>
  <c r="B7006" i="34"/>
  <c r="B7007" i="34"/>
  <c r="B7008" i="34"/>
  <c r="B7009" i="34"/>
  <c r="B7010" i="34"/>
  <c r="B7011" i="34"/>
  <c r="B7012" i="34"/>
  <c r="B7013" i="34"/>
  <c r="B7014" i="34"/>
  <c r="B7015" i="34"/>
  <c r="B7016" i="34"/>
  <c r="B7017" i="34"/>
  <c r="B7018" i="34"/>
  <c r="B7019" i="34"/>
  <c r="B7020" i="34"/>
  <c r="B7021" i="34"/>
  <c r="B7022" i="34"/>
  <c r="B7023" i="34"/>
  <c r="B7024" i="34"/>
  <c r="B7025" i="34"/>
  <c r="B7026" i="34"/>
  <c r="B7027" i="34"/>
  <c r="B7028" i="34"/>
  <c r="B7029" i="34"/>
  <c r="B7030" i="34"/>
  <c r="B7031" i="34"/>
  <c r="B7032" i="34"/>
  <c r="B7033" i="34"/>
  <c r="B7034" i="34"/>
  <c r="B7035" i="34"/>
  <c r="B7036" i="34"/>
  <c r="B7037" i="34"/>
  <c r="B7038" i="34"/>
  <c r="B7039" i="34"/>
  <c r="B7040" i="34"/>
  <c r="B7041" i="34"/>
  <c r="B7042" i="34"/>
  <c r="B7043" i="34"/>
  <c r="B7044" i="34"/>
  <c r="B7045" i="34"/>
  <c r="B7046" i="34"/>
  <c r="B7047" i="34"/>
  <c r="B7048" i="34"/>
  <c r="B7049" i="34"/>
  <c r="B7050" i="34"/>
  <c r="B7051" i="34"/>
  <c r="B7052" i="34"/>
  <c r="B7053" i="34"/>
  <c r="B7054" i="34"/>
  <c r="B7055" i="34"/>
  <c r="B7056" i="34"/>
  <c r="B7057" i="34"/>
  <c r="B7058" i="34"/>
  <c r="B7059" i="34"/>
  <c r="B7060" i="34"/>
  <c r="B7061" i="34"/>
  <c r="B7062" i="34"/>
  <c r="B7063" i="34"/>
  <c r="B7064" i="34"/>
  <c r="B7065" i="34"/>
  <c r="B7066" i="34"/>
  <c r="B7067" i="34"/>
  <c r="B7068" i="34"/>
  <c r="B7069" i="34"/>
  <c r="B7070" i="34"/>
  <c r="B7071" i="34"/>
  <c r="B7072" i="34"/>
  <c r="B7073" i="34"/>
  <c r="B7074" i="34"/>
  <c r="B7075" i="34"/>
  <c r="B7076" i="34"/>
  <c r="B7077" i="34"/>
  <c r="B7078" i="34"/>
  <c r="B7079" i="34"/>
  <c r="B7080" i="34"/>
  <c r="B7081" i="34"/>
  <c r="B7082" i="34"/>
  <c r="B7083" i="34"/>
  <c r="B7084" i="34"/>
  <c r="B7085" i="34"/>
  <c r="B7086" i="34"/>
  <c r="B7087" i="34"/>
  <c r="B7088" i="34"/>
  <c r="B7089" i="34"/>
  <c r="B7090" i="34"/>
  <c r="B7091" i="34"/>
  <c r="B7092" i="34"/>
  <c r="B7093" i="34"/>
  <c r="B7094" i="34"/>
  <c r="B7095" i="34"/>
  <c r="B7096" i="34"/>
  <c r="B7097" i="34"/>
  <c r="B7098" i="34"/>
  <c r="B7099" i="34"/>
  <c r="B7100" i="34"/>
  <c r="B7101" i="34"/>
  <c r="B7102" i="34"/>
  <c r="B7103" i="34"/>
  <c r="B7104" i="34"/>
  <c r="B7105" i="34"/>
  <c r="B7106" i="34"/>
  <c r="B7107" i="34"/>
  <c r="B7108" i="34"/>
  <c r="B7109" i="34"/>
  <c r="B7110" i="34"/>
  <c r="B7111" i="34"/>
  <c r="B7112" i="34"/>
  <c r="B7113" i="34"/>
  <c r="B7114" i="34"/>
  <c r="B7115" i="34"/>
  <c r="B7116" i="34"/>
  <c r="B7117" i="34"/>
  <c r="B7118" i="34"/>
  <c r="B7119" i="34"/>
  <c r="B7120" i="34"/>
  <c r="B7121" i="34"/>
  <c r="B7122" i="34"/>
  <c r="B7123" i="34"/>
  <c r="B7124" i="34"/>
  <c r="B7125" i="34"/>
  <c r="B7126" i="34"/>
  <c r="B7127" i="34"/>
  <c r="B7128" i="34"/>
  <c r="B7129" i="34"/>
  <c r="B7130" i="34"/>
  <c r="B7131" i="34"/>
  <c r="B7132" i="34"/>
  <c r="B7133" i="34"/>
  <c r="B7134" i="34"/>
  <c r="B7135" i="34"/>
  <c r="B7136" i="34"/>
  <c r="B7137" i="34"/>
  <c r="B7138" i="34"/>
  <c r="B7139" i="34"/>
  <c r="B7140" i="34"/>
  <c r="B7141" i="34"/>
  <c r="B7142" i="34"/>
  <c r="B7143" i="34"/>
  <c r="B7144" i="34"/>
  <c r="B7145" i="34"/>
  <c r="B7146" i="34"/>
  <c r="B7147" i="34"/>
  <c r="B7148" i="34"/>
  <c r="B7149" i="34"/>
  <c r="B7150" i="34"/>
  <c r="B7151" i="34"/>
  <c r="B7152" i="34"/>
  <c r="B7153" i="34"/>
  <c r="B7154" i="34"/>
  <c r="B7155" i="34"/>
  <c r="B7156" i="34"/>
  <c r="B7157" i="34"/>
  <c r="B7158" i="34"/>
  <c r="B7159" i="34"/>
  <c r="B7160" i="34"/>
  <c r="B7161" i="34"/>
  <c r="B7162" i="34"/>
  <c r="B7163" i="34"/>
  <c r="B7164" i="34"/>
  <c r="B7165" i="34"/>
  <c r="B7166" i="34"/>
  <c r="B7167" i="34"/>
  <c r="B7168" i="34"/>
  <c r="B7169" i="34"/>
  <c r="B7170" i="34"/>
  <c r="B7171" i="34"/>
  <c r="B7172" i="34"/>
  <c r="B7173" i="34"/>
  <c r="B7174" i="34"/>
  <c r="B7175" i="34"/>
  <c r="B7176" i="34"/>
  <c r="B7177" i="34"/>
  <c r="B7178" i="34"/>
  <c r="B7179" i="34"/>
  <c r="B7180" i="34"/>
  <c r="B7181" i="34"/>
  <c r="B7182" i="34"/>
  <c r="B7183" i="34"/>
  <c r="B7184" i="34"/>
  <c r="B7185" i="34"/>
  <c r="B7186" i="34"/>
  <c r="B7187" i="34"/>
  <c r="B7188" i="34"/>
  <c r="B7189" i="34"/>
  <c r="B7190" i="34"/>
  <c r="B7191" i="34"/>
  <c r="B7192" i="34"/>
  <c r="B7193" i="34"/>
  <c r="B7194" i="34"/>
  <c r="B7195" i="34"/>
  <c r="B7196" i="34"/>
  <c r="B7197" i="34"/>
  <c r="B7198" i="34"/>
  <c r="B7199" i="34"/>
  <c r="B7200" i="34"/>
  <c r="B7201" i="34"/>
  <c r="B7202" i="34"/>
  <c r="B7203" i="34"/>
  <c r="B7204" i="34"/>
  <c r="B7205" i="34"/>
  <c r="B7206" i="34"/>
  <c r="B7207" i="34"/>
  <c r="B7208" i="34"/>
  <c r="B7209" i="34"/>
  <c r="B7210" i="34"/>
  <c r="B7211" i="34"/>
  <c r="B7212" i="34"/>
  <c r="B7213" i="34"/>
  <c r="B7214" i="34"/>
  <c r="B7215" i="34"/>
  <c r="B7216" i="34"/>
  <c r="B7217" i="34"/>
  <c r="B7218" i="34"/>
  <c r="B7219" i="34"/>
  <c r="B7220" i="34"/>
  <c r="B7221" i="34"/>
  <c r="B7222" i="34"/>
  <c r="B7223" i="34"/>
  <c r="B7224" i="34"/>
  <c r="B7225" i="34"/>
  <c r="B7226" i="34"/>
  <c r="B7227" i="34"/>
  <c r="B7228" i="34"/>
  <c r="B7229" i="34"/>
  <c r="B7230" i="34"/>
  <c r="B7231" i="34"/>
  <c r="B7232" i="34"/>
  <c r="B7233" i="34"/>
  <c r="B7234" i="34"/>
  <c r="B7235" i="34"/>
  <c r="B7236" i="34"/>
  <c r="B7237" i="34"/>
  <c r="B7238" i="34"/>
  <c r="B7239" i="34"/>
  <c r="B7240" i="34"/>
  <c r="B7241" i="34"/>
  <c r="B7242" i="34"/>
  <c r="B7243" i="34"/>
  <c r="B7244" i="34"/>
  <c r="B7245" i="34"/>
  <c r="B7246" i="34"/>
  <c r="B7247" i="34"/>
  <c r="B7248" i="34"/>
  <c r="B7249" i="34"/>
  <c r="B7250" i="34"/>
  <c r="B7251" i="34"/>
  <c r="B7252" i="34"/>
  <c r="B7253" i="34"/>
  <c r="B7254" i="34"/>
  <c r="B7255" i="34"/>
  <c r="B7256" i="34"/>
  <c r="B7257" i="34"/>
  <c r="B7258" i="34"/>
  <c r="B7259" i="34"/>
  <c r="B7260" i="34"/>
  <c r="B7261" i="34"/>
  <c r="B7262" i="34"/>
  <c r="B7263" i="34"/>
  <c r="B7264" i="34"/>
  <c r="B7265" i="34"/>
  <c r="B7266" i="34"/>
  <c r="B7267" i="34"/>
  <c r="B7268" i="34"/>
  <c r="B7269" i="34"/>
  <c r="B7270" i="34"/>
  <c r="B7271" i="34"/>
  <c r="B7272" i="34"/>
  <c r="B7273" i="34"/>
  <c r="B7274" i="34"/>
  <c r="B7275" i="34"/>
  <c r="B7276" i="34"/>
  <c r="B7277" i="34"/>
  <c r="B7278" i="34"/>
  <c r="B7279" i="34"/>
  <c r="B7280" i="34"/>
  <c r="B7281" i="34"/>
  <c r="B7282" i="34"/>
  <c r="B7283" i="34"/>
  <c r="B7284" i="34"/>
  <c r="B7285" i="34"/>
  <c r="B7286" i="34"/>
  <c r="B7287" i="34"/>
  <c r="B7288" i="34"/>
  <c r="B7289" i="34"/>
  <c r="B7290" i="34"/>
  <c r="B7291" i="34"/>
  <c r="B7292" i="34"/>
  <c r="B7293" i="34"/>
  <c r="B7294" i="34"/>
  <c r="B7295" i="34"/>
  <c r="B7296" i="34"/>
  <c r="B7297" i="34"/>
  <c r="B7298" i="34"/>
  <c r="B7299" i="34"/>
  <c r="B7300" i="34"/>
  <c r="B7301" i="34"/>
  <c r="B7302" i="34"/>
  <c r="B7303" i="34"/>
  <c r="B7304" i="34"/>
  <c r="B7305" i="34"/>
  <c r="B7306" i="34"/>
  <c r="B7307" i="34"/>
  <c r="B7308" i="34"/>
  <c r="B7309" i="34"/>
  <c r="B7310" i="34"/>
  <c r="B7311" i="34"/>
  <c r="B7312" i="34"/>
  <c r="B7313" i="34"/>
  <c r="B7314" i="34"/>
  <c r="B7315" i="34"/>
  <c r="B7316" i="34"/>
  <c r="B7317" i="34"/>
  <c r="B7318" i="34"/>
  <c r="B7319" i="34"/>
  <c r="B7320" i="34"/>
  <c r="B7321" i="34"/>
  <c r="B7322" i="34"/>
  <c r="B7323" i="34"/>
  <c r="B7324" i="34"/>
  <c r="B7325" i="34"/>
  <c r="B7326" i="34"/>
  <c r="B7327" i="34"/>
  <c r="B7328" i="34"/>
  <c r="B7329" i="34"/>
  <c r="B7330" i="34"/>
  <c r="B7331" i="34"/>
  <c r="B7332" i="34"/>
  <c r="B7333" i="34"/>
  <c r="B7334" i="34"/>
  <c r="B7335" i="34"/>
  <c r="B7336" i="34"/>
  <c r="B7337" i="34"/>
  <c r="B7338" i="34"/>
  <c r="B7339" i="34"/>
  <c r="B7340" i="34"/>
  <c r="B7341" i="34"/>
  <c r="B7342" i="34"/>
  <c r="B7343" i="34"/>
  <c r="B7344" i="34"/>
  <c r="B7345" i="34"/>
  <c r="B7346" i="34"/>
  <c r="B7347" i="34"/>
  <c r="B7348" i="34"/>
  <c r="B7349" i="34"/>
  <c r="B7350" i="34"/>
  <c r="B7351" i="34"/>
  <c r="B7352" i="34"/>
  <c r="B7353" i="34"/>
  <c r="B7354" i="34"/>
  <c r="B7355" i="34"/>
  <c r="B7356" i="34"/>
  <c r="B7357" i="34"/>
  <c r="B7358" i="34"/>
  <c r="B7359" i="34"/>
  <c r="B7360" i="34"/>
  <c r="B7361" i="34"/>
  <c r="B7362" i="34"/>
  <c r="B7363" i="34"/>
  <c r="B7364" i="34"/>
  <c r="B7365" i="34"/>
  <c r="B7366" i="34"/>
  <c r="B7367" i="34"/>
  <c r="B7368" i="34"/>
  <c r="B7369" i="34"/>
  <c r="B7370" i="34"/>
  <c r="B7371" i="34"/>
  <c r="B7372" i="34"/>
  <c r="B7373" i="34"/>
  <c r="B7374" i="34"/>
  <c r="B7375" i="34"/>
  <c r="B7376" i="34"/>
  <c r="B7377" i="34"/>
  <c r="B7378" i="34"/>
  <c r="B7379" i="34"/>
  <c r="B7380" i="34"/>
  <c r="B7381" i="34"/>
  <c r="B7382" i="34"/>
  <c r="B7383" i="34"/>
  <c r="B7384" i="34"/>
  <c r="B7385" i="34"/>
  <c r="B7386" i="34"/>
  <c r="B7387" i="34"/>
  <c r="B7388" i="34"/>
  <c r="B7389" i="34"/>
  <c r="B7390" i="34"/>
  <c r="B7391" i="34"/>
  <c r="B7392" i="34"/>
  <c r="B7393" i="34"/>
  <c r="B7394" i="34"/>
  <c r="B7395" i="34"/>
  <c r="B7396" i="34"/>
  <c r="B7397" i="34"/>
  <c r="B7398" i="34"/>
  <c r="B7399" i="34"/>
  <c r="B7400" i="34"/>
  <c r="B7401" i="34"/>
  <c r="B7402" i="34"/>
  <c r="B7403" i="34"/>
  <c r="B7404" i="34"/>
  <c r="B7405" i="34"/>
  <c r="B7406" i="34"/>
  <c r="B7407" i="34"/>
  <c r="B7408" i="34"/>
  <c r="B7409" i="34"/>
  <c r="B7410" i="34"/>
  <c r="B7411" i="34"/>
  <c r="B7412" i="34"/>
  <c r="B7413" i="34"/>
  <c r="B7414" i="34"/>
  <c r="B7415" i="34"/>
  <c r="B7416" i="34"/>
  <c r="B7417" i="34"/>
  <c r="B7418" i="34"/>
  <c r="B7419" i="34"/>
  <c r="B7420" i="34"/>
  <c r="B7421" i="34"/>
  <c r="B7422" i="34"/>
  <c r="B7423" i="34"/>
  <c r="B7424" i="34"/>
  <c r="B7425" i="34"/>
  <c r="B7426" i="34"/>
  <c r="B7427" i="34"/>
  <c r="B7428" i="34"/>
  <c r="B7429" i="34"/>
  <c r="B7430" i="34"/>
  <c r="B7431" i="34"/>
  <c r="B7432" i="34"/>
  <c r="B7433" i="34"/>
  <c r="B7434" i="34"/>
  <c r="B7435" i="34"/>
  <c r="E14" i="48" l="1"/>
  <c r="D14" i="48"/>
  <c r="C14" i="48"/>
  <c r="U36" i="52"/>
  <c r="U33" i="52"/>
  <c r="B9" i="51" l="1"/>
  <c r="B17" i="49" l="1"/>
  <c r="E15" i="49"/>
  <c r="E16" i="49" s="1"/>
  <c r="E17" i="49" s="1"/>
  <c r="E18" i="49" s="1"/>
  <c r="E19" i="49" s="1"/>
  <c r="E20" i="49" s="1"/>
  <c r="E21" i="49" s="1"/>
  <c r="E23" i="49"/>
  <c r="E31" i="49"/>
  <c r="J14" i="49"/>
  <c r="J15" i="49"/>
  <c r="J13" i="49"/>
  <c r="A31" i="49"/>
  <c r="I15" i="49"/>
  <c r="I14" i="49"/>
  <c r="E24" i="49" l="1"/>
  <c r="E25" i="49" s="1"/>
  <c r="E26" i="49" s="1"/>
  <c r="E27" i="49" s="1"/>
  <c r="E28" i="49" s="1"/>
  <c r="E32" i="49"/>
  <c r="E33" i="49" s="1"/>
  <c r="E34" i="49" s="1"/>
  <c r="E35" i="49" s="1"/>
  <c r="E36" i="49" s="1"/>
  <c r="I13" i="49"/>
  <c r="B2" i="50" l="1"/>
  <c r="G35" i="49" l="1"/>
  <c r="D35" i="49" s="1"/>
  <c r="G31" i="49"/>
  <c r="D31" i="49" s="1"/>
  <c r="G25" i="49"/>
  <c r="D25" i="49" s="1"/>
  <c r="G19" i="49"/>
  <c r="D19" i="49" s="1"/>
  <c r="G33" i="49"/>
  <c r="D33" i="49" s="1"/>
  <c r="G23" i="49"/>
  <c r="D23" i="49" s="1"/>
  <c r="G36" i="49"/>
  <c r="D36" i="49" s="1"/>
  <c r="G26" i="49"/>
  <c r="D26" i="49" s="1"/>
  <c r="G13" i="49"/>
  <c r="D13" i="49" s="1"/>
  <c r="G34" i="49"/>
  <c r="D34" i="49" s="1"/>
  <c r="G28" i="49"/>
  <c r="D28" i="49" s="1"/>
  <c r="G24" i="49"/>
  <c r="D24" i="49" s="1"/>
  <c r="G16" i="49"/>
  <c r="D16" i="49" s="1"/>
  <c r="G27" i="49"/>
  <c r="D27" i="49" s="1"/>
  <c r="G15" i="49"/>
  <c r="D15" i="49" s="1"/>
  <c r="G32" i="49"/>
  <c r="D32" i="49" s="1"/>
  <c r="G20" i="49"/>
  <c r="D20" i="49" s="1"/>
  <c r="B6" i="49"/>
  <c r="B7" i="49"/>
  <c r="B62" i="49"/>
  <c r="B59" i="49"/>
  <c r="B56" i="49"/>
  <c r="G52" i="49"/>
  <c r="B8" i="49" l="1"/>
  <c r="F28" i="49" s="1"/>
  <c r="D45" i="49"/>
  <c r="F44" i="49"/>
  <c r="C42" i="49"/>
  <c r="D52" i="49"/>
  <c r="F49" i="49"/>
  <c r="G50" i="49"/>
  <c r="E51" i="49"/>
  <c r="D42" i="49"/>
  <c r="D48" i="49"/>
  <c r="F50" i="49"/>
  <c r="G44" i="49"/>
  <c r="C51" i="49"/>
  <c r="C52" i="49"/>
  <c r="G51" i="49"/>
  <c r="C50" i="49"/>
  <c r="G41" i="49"/>
  <c r="E43" i="49"/>
  <c r="F48" i="49"/>
  <c r="F52" i="49"/>
  <c r="E42" i="49"/>
  <c r="C44" i="49"/>
  <c r="C45" i="49"/>
  <c r="F51" i="49"/>
  <c r="D49" i="49"/>
  <c r="C41" i="49"/>
  <c r="D44" i="49"/>
  <c r="E50" i="49"/>
  <c r="C49" i="49"/>
  <c r="F41" i="49"/>
  <c r="G43" i="49"/>
  <c r="E49" i="49"/>
  <c r="F42" i="49"/>
  <c r="C43" i="49"/>
  <c r="G42" i="49"/>
  <c r="E41" i="49"/>
  <c r="E45" i="49"/>
  <c r="C48" i="49"/>
  <c r="D43" i="49"/>
  <c r="E48" i="49"/>
  <c r="G45" i="49"/>
  <c r="F45" i="49"/>
  <c r="E44" i="49"/>
  <c r="D41" i="49"/>
  <c r="D51" i="49"/>
  <c r="D50" i="49"/>
  <c r="G49" i="49"/>
  <c r="F43" i="49"/>
  <c r="G48" i="49"/>
  <c r="E52" i="49"/>
  <c r="C32" i="49" l="1"/>
  <c r="C26" i="49"/>
  <c r="C24" i="49"/>
  <c r="C33" i="49"/>
  <c r="F34" i="49"/>
  <c r="B34" i="49" s="1"/>
  <c r="F27" i="49"/>
  <c r="B27" i="49" s="1"/>
  <c r="F23" i="49"/>
  <c r="B23" i="49" s="1"/>
  <c r="F13" i="49"/>
  <c r="B13" i="49" s="1"/>
  <c r="C20" i="49"/>
  <c r="F19" i="49"/>
  <c r="B19" i="49" s="1"/>
  <c r="F33" i="49"/>
  <c r="B33" i="49" s="1"/>
  <c r="F26" i="49"/>
  <c r="B26" i="49" s="1"/>
  <c r="F20" i="49"/>
  <c r="B20" i="49" s="1"/>
  <c r="C36" i="49"/>
  <c r="C31" i="49"/>
  <c r="C25" i="49"/>
  <c r="C15" i="49"/>
  <c r="C19" i="49"/>
  <c r="F36" i="49"/>
  <c r="B36" i="49" s="1"/>
  <c r="F32" i="49"/>
  <c r="B32" i="49" s="1"/>
  <c r="F25" i="49"/>
  <c r="B25" i="49" s="1"/>
  <c r="F16" i="49"/>
  <c r="B16" i="49" s="1"/>
  <c r="C35" i="49"/>
  <c r="C28" i="49"/>
  <c r="C16" i="49"/>
  <c r="F35" i="49"/>
  <c r="B35" i="49" s="1"/>
  <c r="F31" i="49"/>
  <c r="B31" i="49" s="1"/>
  <c r="F24" i="49"/>
  <c r="B24" i="49" s="1"/>
  <c r="F15" i="49"/>
  <c r="B15" i="49" s="1"/>
  <c r="C34" i="49"/>
  <c r="C27" i="49"/>
  <c r="C23" i="49"/>
  <c r="C13" i="49"/>
  <c r="B28" i="49"/>
  <c r="B32" i="26"/>
  <c r="G412" i="39" l="1"/>
  <c r="H412" i="39"/>
  <c r="I412" i="39"/>
  <c r="J412" i="39"/>
  <c r="G413" i="39"/>
  <c r="H413" i="39"/>
  <c r="I413" i="39"/>
  <c r="J413" i="39"/>
  <c r="B8" i="26" l="1"/>
  <c r="B7" i="51" l="1"/>
  <c r="B8" i="48"/>
  <c r="W2" i="27"/>
  <c r="V2" i="27"/>
  <c r="A9" i="27" l="1"/>
  <c r="B47" i="52" s="1"/>
  <c r="B46" i="51" l="1"/>
  <c r="B98" i="48"/>
  <c r="A20" i="37"/>
  <c r="A19" i="37"/>
  <c r="A18" i="37"/>
  <c r="A17" i="37"/>
  <c r="A16" i="37"/>
  <c r="A15" i="37"/>
  <c r="B51" i="13" l="1"/>
  <c r="B34" i="26"/>
  <c r="B26" i="38" l="1"/>
  <c r="B42" i="40"/>
  <c r="B29" i="4"/>
  <c r="B43" i="47"/>
  <c r="B39" i="28"/>
  <c r="B31" i="26" l="1"/>
  <c r="B414" i="39" l="1"/>
  <c r="F411" i="39"/>
  <c r="E411" i="39"/>
  <c r="D411" i="39"/>
  <c r="C411" i="39"/>
  <c r="B411" i="39"/>
  <c r="B9" i="47"/>
  <c r="B7" i="39"/>
  <c r="C18" i="35"/>
  <c r="B18" i="35"/>
  <c r="C17" i="35"/>
  <c r="B17" i="35"/>
  <c r="C16" i="35"/>
  <c r="B16" i="35"/>
  <c r="C15" i="35"/>
  <c r="B15" i="35"/>
  <c r="C14" i="35"/>
  <c r="B14" i="35"/>
  <c r="C13" i="35"/>
  <c r="B13" i="35"/>
  <c r="C12" i="35"/>
  <c r="B12" i="35"/>
  <c r="C11" i="35"/>
  <c r="B11" i="35"/>
  <c r="C10" i="35"/>
  <c r="B10" i="35"/>
  <c r="C9" i="35"/>
  <c r="B9" i="35"/>
  <c r="C4" i="35"/>
  <c r="C3" i="35"/>
  <c r="B47" i="46"/>
  <c r="B44" i="46"/>
  <c r="B41" i="46"/>
  <c r="B7" i="46"/>
  <c r="B6" i="46"/>
  <c r="A14" i="37"/>
  <c r="A13" i="37"/>
  <c r="A12" i="37"/>
  <c r="A11" i="37"/>
  <c r="A10" i="37"/>
  <c r="A9" i="37"/>
  <c r="A8" i="37"/>
  <c r="A7" i="37"/>
  <c r="K6" i="37"/>
  <c r="A6" i="37"/>
  <c r="K5" i="37"/>
  <c r="A5" i="37"/>
  <c r="K4" i="37"/>
  <c r="A4" i="37"/>
  <c r="K3" i="37"/>
  <c r="B2" i="34"/>
  <c r="F2" i="27"/>
  <c r="I2" i="27"/>
  <c r="L2" i="27"/>
  <c r="O2" i="27"/>
  <c r="AG2" i="27"/>
  <c r="AD2" i="27"/>
  <c r="B3" i="49"/>
  <c r="C27" i="46"/>
  <c r="E33" i="46"/>
  <c r="D28" i="46"/>
  <c r="F15" i="46"/>
  <c r="G30" i="46"/>
  <c r="F36" i="46"/>
  <c r="E36" i="46"/>
  <c r="F21" i="46"/>
  <c r="F35" i="46"/>
  <c r="C28" i="46"/>
  <c r="B3" i="46"/>
  <c r="E14" i="46"/>
  <c r="G37" i="46"/>
  <c r="F22" i="46"/>
  <c r="G35" i="46"/>
  <c r="E30" i="46"/>
  <c r="E29" i="46"/>
  <c r="D37" i="46"/>
  <c r="D29" i="46"/>
  <c r="F19" i="46"/>
  <c r="F12" i="46"/>
  <c r="E35" i="46"/>
  <c r="F30" i="46"/>
  <c r="C37" i="46"/>
  <c r="D35" i="46"/>
  <c r="F14" i="46"/>
  <c r="F13" i="46"/>
  <c r="F27" i="46"/>
  <c r="F37" i="46"/>
  <c r="G28" i="46"/>
  <c r="F16" i="46"/>
  <c r="E13" i="46"/>
  <c r="F34" i="46"/>
  <c r="E28" i="46"/>
  <c r="E12" i="46"/>
  <c r="C34" i="46"/>
  <c r="E34" i="46"/>
  <c r="D36" i="46"/>
  <c r="C29" i="46"/>
  <c r="E27" i="46"/>
  <c r="D30" i="46"/>
  <c r="D34" i="46"/>
  <c r="F33" i="46"/>
  <c r="C35" i="46"/>
  <c r="D27" i="46"/>
  <c r="C33" i="46"/>
  <c r="F17" i="46"/>
  <c r="G36" i="46"/>
  <c r="F20" i="46"/>
  <c r="G33" i="46"/>
  <c r="F18" i="46"/>
  <c r="F28" i="46"/>
  <c r="C36" i="46"/>
  <c r="D33" i="46"/>
  <c r="G27" i="46"/>
  <c r="D8" i="35"/>
  <c r="F29" i="46"/>
  <c r="G34" i="46"/>
  <c r="G29" i="46"/>
  <c r="E37" i="46"/>
  <c r="C30" i="46"/>
  <c r="A436" i="34" l="1"/>
  <c r="A440" i="34"/>
  <c r="A444" i="34"/>
  <c r="A448" i="34"/>
  <c r="A452" i="34"/>
  <c r="A456" i="34"/>
  <c r="A460" i="34"/>
  <c r="A464" i="34"/>
  <c r="A468" i="34"/>
  <c r="A472" i="34"/>
  <c r="A476" i="34"/>
  <c r="A480" i="34"/>
  <c r="A484" i="34"/>
  <c r="A488" i="34"/>
  <c r="A492" i="34"/>
  <c r="A496" i="34"/>
  <c r="A500" i="34"/>
  <c r="A504" i="34"/>
  <c r="A508" i="34"/>
  <c r="A512" i="34"/>
  <c r="A516" i="34"/>
  <c r="A437" i="34"/>
  <c r="A441" i="34"/>
  <c r="A445" i="34"/>
  <c r="A449" i="34"/>
  <c r="A453" i="34"/>
  <c r="A457" i="34"/>
  <c r="A461" i="34"/>
  <c r="A465" i="34"/>
  <c r="A469" i="34"/>
  <c r="A473" i="34"/>
  <c r="A477" i="34"/>
  <c r="A481" i="34"/>
  <c r="A485" i="34"/>
  <c r="A489" i="34"/>
  <c r="A493" i="34"/>
  <c r="A497" i="34"/>
  <c r="A501" i="34"/>
  <c r="A505" i="34"/>
  <c r="A434" i="34"/>
  <c r="A438" i="34"/>
  <c r="A442" i="34"/>
  <c r="A446" i="34"/>
  <c r="A450" i="34"/>
  <c r="A454" i="34"/>
  <c r="A458" i="34"/>
  <c r="A462" i="34"/>
  <c r="A466" i="34"/>
  <c r="A470" i="34"/>
  <c r="A474" i="34"/>
  <c r="A478" i="34"/>
  <c r="A482" i="34"/>
  <c r="A486" i="34"/>
  <c r="A490" i="34"/>
  <c r="A494" i="34"/>
  <c r="A498" i="34"/>
  <c r="A502" i="34"/>
  <c r="A435" i="34"/>
  <c r="A439" i="34"/>
  <c r="A443" i="34"/>
  <c r="A447" i="34"/>
  <c r="A451" i="34"/>
  <c r="A455" i="34"/>
  <c r="A459" i="34"/>
  <c r="A463" i="34"/>
  <c r="A467" i="34"/>
  <c r="A471" i="34"/>
  <c r="A475" i="34"/>
  <c r="A479" i="34"/>
  <c r="A483" i="34"/>
  <c r="A487" i="34"/>
  <c r="A491" i="34"/>
  <c r="A495" i="34"/>
  <c r="A499" i="34"/>
  <c r="A503" i="34"/>
  <c r="A507" i="34"/>
  <c r="A511" i="34"/>
  <c r="A515" i="34"/>
  <c r="A519" i="34"/>
  <c r="A523" i="34"/>
  <c r="A527" i="34"/>
  <c r="A531" i="34"/>
  <c r="A535" i="34"/>
  <c r="A539" i="34"/>
  <c r="A543" i="34"/>
  <c r="A547" i="34"/>
  <c r="A551" i="34"/>
  <c r="A555" i="34"/>
  <c r="A559" i="34"/>
  <c r="A563" i="34"/>
  <c r="A567" i="34"/>
  <c r="A571" i="34"/>
  <c r="A575" i="34"/>
  <c r="A579" i="34"/>
  <c r="A583" i="34"/>
  <c r="A587" i="34"/>
  <c r="A591" i="34"/>
  <c r="A595" i="34"/>
  <c r="A599" i="34"/>
  <c r="A603" i="34"/>
  <c r="A607" i="34"/>
  <c r="A611" i="34"/>
  <c r="A615" i="34"/>
  <c r="A619" i="34"/>
  <c r="A506" i="34"/>
  <c r="A514" i="34"/>
  <c r="A521" i="34"/>
  <c r="A526" i="34"/>
  <c r="A532" i="34"/>
  <c r="A537" i="34"/>
  <c r="A542" i="34"/>
  <c r="A548" i="34"/>
  <c r="A553" i="34"/>
  <c r="A558" i="34"/>
  <c r="A564" i="34"/>
  <c r="A569" i="34"/>
  <c r="A574" i="34"/>
  <c r="A580" i="34"/>
  <c r="A585" i="34"/>
  <c r="A590" i="34"/>
  <c r="A596" i="34"/>
  <c r="A601" i="34"/>
  <c r="A606" i="34"/>
  <c r="A612" i="34"/>
  <c r="A617" i="34"/>
  <c r="A622" i="34"/>
  <c r="A626" i="34"/>
  <c r="A630" i="34"/>
  <c r="A634" i="34"/>
  <c r="A638" i="34"/>
  <c r="A642" i="34"/>
  <c r="A646" i="34"/>
  <c r="A650" i="34"/>
  <c r="A654" i="34"/>
  <c r="A658" i="34"/>
  <c r="A662" i="34"/>
  <c r="A666" i="34"/>
  <c r="A670" i="34"/>
  <c r="A674" i="34"/>
  <c r="A678" i="34"/>
  <c r="A682" i="34"/>
  <c r="A686" i="34"/>
  <c r="A690" i="34"/>
  <c r="A509" i="34"/>
  <c r="A517" i="34"/>
  <c r="A522" i="34"/>
  <c r="A528" i="34"/>
  <c r="A533" i="34"/>
  <c r="A538" i="34"/>
  <c r="A544" i="34"/>
  <c r="A549" i="34"/>
  <c r="A554" i="34"/>
  <c r="A560" i="34"/>
  <c r="A565" i="34"/>
  <c r="A570" i="34"/>
  <c r="A576" i="34"/>
  <c r="A581" i="34"/>
  <c r="A586" i="34"/>
  <c r="A592" i="34"/>
  <c r="A597" i="34"/>
  <c r="A602" i="34"/>
  <c r="A608" i="34"/>
  <c r="A613" i="34"/>
  <c r="A618" i="34"/>
  <c r="A623" i="34"/>
  <c r="A627" i="34"/>
  <c r="A631" i="34"/>
  <c r="A635" i="34"/>
  <c r="A639" i="34"/>
  <c r="A643" i="34"/>
  <c r="A647" i="34"/>
  <c r="A651" i="34"/>
  <c r="A655" i="34"/>
  <c r="A659" i="34"/>
  <c r="A663" i="34"/>
  <c r="A667" i="34"/>
  <c r="A671" i="34"/>
  <c r="A675" i="34"/>
  <c r="A679" i="34"/>
  <c r="A683" i="34"/>
  <c r="A687" i="34"/>
  <c r="A691" i="34"/>
  <c r="A510" i="34"/>
  <c r="A518" i="34"/>
  <c r="A524" i="34"/>
  <c r="A529" i="34"/>
  <c r="A534" i="34"/>
  <c r="A540" i="34"/>
  <c r="A545" i="34"/>
  <c r="A550" i="34"/>
  <c r="A556" i="34"/>
  <c r="A561" i="34"/>
  <c r="A566" i="34"/>
  <c r="A572" i="34"/>
  <c r="A577" i="34"/>
  <c r="A582" i="34"/>
  <c r="A588" i="34"/>
  <c r="A593" i="34"/>
  <c r="A598" i="34"/>
  <c r="A604" i="34"/>
  <c r="A609" i="34"/>
  <c r="A614" i="34"/>
  <c r="A620" i="34"/>
  <c r="A624" i="34"/>
  <c r="A628" i="34"/>
  <c r="A632" i="34"/>
  <c r="A636" i="34"/>
  <c r="A640" i="34"/>
  <c r="A644" i="34"/>
  <c r="A648" i="34"/>
  <c r="A652" i="34"/>
  <c r="A656" i="34"/>
  <c r="A660" i="34"/>
  <c r="A664" i="34"/>
  <c r="A668" i="34"/>
  <c r="A672" i="34"/>
  <c r="A676" i="34"/>
  <c r="A680" i="34"/>
  <c r="A684" i="34"/>
  <c r="A688" i="34"/>
  <c r="A692" i="34"/>
  <c r="A513" i="34"/>
  <c r="A520" i="34"/>
  <c r="A525" i="34"/>
  <c r="A530" i="34"/>
  <c r="A536" i="34"/>
  <c r="A541" i="34"/>
  <c r="A546" i="34"/>
  <c r="A552" i="34"/>
  <c r="A557" i="34"/>
  <c r="A562" i="34"/>
  <c r="A568" i="34"/>
  <c r="A573" i="34"/>
  <c r="A578" i="34"/>
  <c r="A584" i="34"/>
  <c r="A589" i="34"/>
  <c r="A594" i="34"/>
  <c r="A600" i="34"/>
  <c r="A605" i="34"/>
  <c r="A610" i="34"/>
  <c r="A616" i="34"/>
  <c r="A621" i="34"/>
  <c r="A625" i="34"/>
  <c r="A629" i="34"/>
  <c r="A633" i="34"/>
  <c r="A637" i="34"/>
  <c r="A641" i="34"/>
  <c r="A645" i="34"/>
  <c r="A649" i="34"/>
  <c r="A653" i="34"/>
  <c r="A657" i="34"/>
  <c r="A661" i="34"/>
  <c r="A665" i="34"/>
  <c r="A669" i="34"/>
  <c r="A673" i="34"/>
  <c r="A677" i="34"/>
  <c r="A681" i="34"/>
  <c r="A685" i="34"/>
  <c r="A689" i="34"/>
  <c r="A693" i="34"/>
  <c r="A694" i="34" s="1"/>
  <c r="A695" i="34" s="1"/>
  <c r="A696" i="34" s="1"/>
  <c r="A697" i="34" s="1"/>
  <c r="A698" i="34" s="1"/>
  <c r="A699" i="34" s="1"/>
  <c r="A700" i="34" s="1"/>
  <c r="A701" i="34" s="1"/>
  <c r="A702" i="34" s="1"/>
  <c r="A703" i="34" s="1"/>
  <c r="A704" i="34" s="1"/>
  <c r="A705" i="34" s="1"/>
  <c r="A706" i="34" s="1"/>
  <c r="A707" i="34" s="1"/>
  <c r="A708" i="34" s="1"/>
  <c r="A709" i="34" s="1"/>
  <c r="A710" i="34" s="1"/>
  <c r="A711" i="34" s="1"/>
  <c r="A712" i="34" s="1"/>
  <c r="A713" i="34" s="1"/>
  <c r="A714" i="34" s="1"/>
  <c r="A715" i="34" s="1"/>
  <c r="A716" i="34" s="1"/>
  <c r="A717" i="34" s="1"/>
  <c r="A718" i="34" s="1"/>
  <c r="A719" i="34" s="1"/>
  <c r="A720" i="34" s="1"/>
  <c r="A721" i="34" s="1"/>
  <c r="A722" i="34" s="1"/>
  <c r="A723" i="34" s="1"/>
  <c r="A724" i="34" s="1"/>
  <c r="A725" i="34" s="1"/>
  <c r="A726" i="34" s="1"/>
  <c r="A727" i="34" s="1"/>
  <c r="A728" i="34" s="1"/>
  <c r="A729" i="34" s="1"/>
  <c r="A730" i="34" s="1"/>
  <c r="A731" i="34" s="1"/>
  <c r="A732" i="34" s="1"/>
  <c r="A733" i="34" s="1"/>
  <c r="A734" i="34" s="1"/>
  <c r="A735" i="34" s="1"/>
  <c r="A736" i="34" s="1"/>
  <c r="A737" i="34" s="1"/>
  <c r="A738" i="34" s="1"/>
  <c r="A739" i="34" s="1"/>
  <c r="A740" i="34" s="1"/>
  <c r="A741" i="34" s="1"/>
  <c r="A742" i="34" s="1"/>
  <c r="A743" i="34" s="1"/>
  <c r="A744" i="34" s="1"/>
  <c r="A745" i="34" s="1"/>
  <c r="A746" i="34" s="1"/>
  <c r="A747" i="34" s="1"/>
  <c r="A748" i="34" s="1"/>
  <c r="A749" i="34" s="1"/>
  <c r="A750" i="34" s="1"/>
  <c r="A751" i="34" s="1"/>
  <c r="A752" i="34" s="1"/>
  <c r="A753" i="34" s="1"/>
  <c r="A754" i="34" s="1"/>
  <c r="A755" i="34" s="1"/>
  <c r="A756" i="34" s="1"/>
  <c r="A757" i="34" s="1"/>
  <c r="A758" i="34" s="1"/>
  <c r="A759" i="34" s="1"/>
  <c r="A760" i="34" s="1"/>
  <c r="A761" i="34" s="1"/>
  <c r="A762" i="34" s="1"/>
  <c r="A763" i="34" s="1"/>
  <c r="A764" i="34" s="1"/>
  <c r="A765" i="34" s="1"/>
  <c r="A766" i="34" s="1"/>
  <c r="A767" i="34" s="1"/>
  <c r="A768" i="34" s="1"/>
  <c r="A769" i="34" s="1"/>
  <c r="A770" i="34" s="1"/>
  <c r="A771" i="34" s="1"/>
  <c r="A772" i="34" s="1"/>
  <c r="A773" i="34" s="1"/>
  <c r="A774" i="34" s="1"/>
  <c r="A775" i="34" s="1"/>
  <c r="A776" i="34" s="1"/>
  <c r="A777" i="34" s="1"/>
  <c r="A778" i="34" s="1"/>
  <c r="A779" i="34" s="1"/>
  <c r="A780" i="34" s="1"/>
  <c r="A781" i="34" s="1"/>
  <c r="A782" i="34" s="1"/>
  <c r="A783" i="34" s="1"/>
  <c r="A784" i="34" s="1"/>
  <c r="A785" i="34" s="1"/>
  <c r="A786" i="34" s="1"/>
  <c r="A787" i="34" s="1"/>
  <c r="A788" i="34" s="1"/>
  <c r="A789" i="34" s="1"/>
  <c r="A790" i="34" s="1"/>
  <c r="A791" i="34" s="1"/>
  <c r="A792" i="34" s="1"/>
  <c r="A793" i="34" s="1"/>
  <c r="A794" i="34" s="1"/>
  <c r="A795" i="34" s="1"/>
  <c r="A796" i="34" s="1"/>
  <c r="A797" i="34" s="1"/>
  <c r="A798" i="34" s="1"/>
  <c r="A799" i="34" s="1"/>
  <c r="A800" i="34" s="1"/>
  <c r="A801" i="34" s="1"/>
  <c r="A802" i="34" s="1"/>
  <c r="A803" i="34" s="1"/>
  <c r="A804" i="34" s="1"/>
  <c r="A805" i="34" s="1"/>
  <c r="A806" i="34" s="1"/>
  <c r="A807" i="34" s="1"/>
  <c r="A808" i="34" s="1"/>
  <c r="A809" i="34" s="1"/>
  <c r="A810" i="34" s="1"/>
  <c r="A811" i="34" s="1"/>
  <c r="A812" i="34" s="1"/>
  <c r="A813" i="34" s="1"/>
  <c r="A814" i="34" s="1"/>
  <c r="A815" i="34" s="1"/>
  <c r="A816" i="34" s="1"/>
  <c r="A817" i="34" s="1"/>
  <c r="A818" i="34" s="1"/>
  <c r="A819" i="34" s="1"/>
  <c r="A820" i="34" s="1"/>
  <c r="A821" i="34" s="1"/>
  <c r="A822" i="34" s="1"/>
  <c r="A823" i="34" s="1"/>
  <c r="A824" i="34" s="1"/>
  <c r="A825" i="34" s="1"/>
  <c r="A826" i="34" s="1"/>
  <c r="A827" i="34" s="1"/>
  <c r="A828" i="34" s="1"/>
  <c r="A829" i="34" s="1"/>
  <c r="A830" i="34" s="1"/>
  <c r="A831" i="34" s="1"/>
  <c r="A832" i="34" s="1"/>
  <c r="A833" i="34" s="1"/>
  <c r="A834" i="34" s="1"/>
  <c r="A835" i="34" s="1"/>
  <c r="A836" i="34" s="1"/>
  <c r="A837" i="34" s="1"/>
  <c r="A838" i="34" s="1"/>
  <c r="A839" i="34" s="1"/>
  <c r="A840" i="34" s="1"/>
  <c r="A841" i="34" s="1"/>
  <c r="A842" i="34" s="1"/>
  <c r="A843" i="34" s="1"/>
  <c r="A844" i="34" s="1"/>
  <c r="A845" i="34" s="1"/>
  <c r="A846" i="34" s="1"/>
  <c r="A847" i="34" s="1"/>
  <c r="A848" i="34" s="1"/>
  <c r="A849" i="34" s="1"/>
  <c r="A850" i="34" s="1"/>
  <c r="A851" i="34" s="1"/>
  <c r="A852" i="34" s="1"/>
  <c r="A853" i="34" s="1"/>
  <c r="A854" i="34" s="1"/>
  <c r="A855" i="34" s="1"/>
  <c r="A856" i="34" s="1"/>
  <c r="A857" i="34" s="1"/>
  <c r="A858" i="34" s="1"/>
  <c r="A859" i="34" s="1"/>
  <c r="A860" i="34" s="1"/>
  <c r="A861" i="34" s="1"/>
  <c r="A862" i="34" s="1"/>
  <c r="A863" i="34" s="1"/>
  <c r="A864" i="34" s="1"/>
  <c r="A865" i="34" s="1"/>
  <c r="A866" i="34" s="1"/>
  <c r="A867" i="34" s="1"/>
  <c r="A868" i="34" s="1"/>
  <c r="A869" i="34" s="1"/>
  <c r="A870" i="34" s="1"/>
  <c r="A871" i="34" s="1"/>
  <c r="A872" i="34" s="1"/>
  <c r="A873" i="34" s="1"/>
  <c r="A874" i="34" s="1"/>
  <c r="A875" i="34" s="1"/>
  <c r="A876" i="34" s="1"/>
  <c r="A877" i="34" s="1"/>
  <c r="A878" i="34" s="1"/>
  <c r="A879" i="34" s="1"/>
  <c r="A880" i="34" s="1"/>
  <c r="A881" i="34" s="1"/>
  <c r="A882" i="34" s="1"/>
  <c r="A883" i="34" s="1"/>
  <c r="A884" i="34" s="1"/>
  <c r="A885" i="34" s="1"/>
  <c r="A886" i="34" s="1"/>
  <c r="A887" i="34" s="1"/>
  <c r="A888" i="34" s="1"/>
  <c r="A889" i="34" s="1"/>
  <c r="A890" i="34" s="1"/>
  <c r="A891" i="34" s="1"/>
  <c r="A892" i="34" s="1"/>
  <c r="A893" i="34" s="1"/>
  <c r="A894" i="34" s="1"/>
  <c r="A895" i="34" s="1"/>
  <c r="A896" i="34" s="1"/>
  <c r="A897" i="34" s="1"/>
  <c r="A898" i="34" s="1"/>
  <c r="A899" i="34" s="1"/>
  <c r="A900" i="34" s="1"/>
  <c r="A901" i="34" s="1"/>
  <c r="A902" i="34" s="1"/>
  <c r="A903" i="34" s="1"/>
  <c r="A904" i="34" s="1"/>
  <c r="A905" i="34" s="1"/>
  <c r="A906" i="34" s="1"/>
  <c r="A907" i="34" s="1"/>
  <c r="A908" i="34" s="1"/>
  <c r="A909" i="34" s="1"/>
  <c r="A910" i="34" s="1"/>
  <c r="A911" i="34" s="1"/>
  <c r="A912" i="34" s="1"/>
  <c r="A913" i="34" s="1"/>
  <c r="A914" i="34" s="1"/>
  <c r="A915" i="34" s="1"/>
  <c r="A916" i="34" s="1"/>
  <c r="A917" i="34" s="1"/>
  <c r="A918" i="34" s="1"/>
  <c r="A919" i="34" s="1"/>
  <c r="A920" i="34" s="1"/>
  <c r="A921" i="34" s="1"/>
  <c r="A922" i="34" s="1"/>
  <c r="A923" i="34" s="1"/>
  <c r="A924" i="34" s="1"/>
  <c r="A925" i="34" s="1"/>
  <c r="A926" i="34" s="1"/>
  <c r="A927" i="34" s="1"/>
  <c r="A928" i="34" s="1"/>
  <c r="A929" i="34" s="1"/>
  <c r="A930" i="34" s="1"/>
  <c r="A931" i="34" s="1"/>
  <c r="A932" i="34" s="1"/>
  <c r="A933" i="34" s="1"/>
  <c r="A934" i="34" s="1"/>
  <c r="A935" i="34" s="1"/>
  <c r="A936" i="34" s="1"/>
  <c r="A937" i="34" s="1"/>
  <c r="A938" i="34" s="1"/>
  <c r="A939" i="34" s="1"/>
  <c r="A940" i="34" s="1"/>
  <c r="A941" i="34" s="1"/>
  <c r="A942" i="34" s="1"/>
  <c r="A943" i="34" s="1"/>
  <c r="A944" i="34" s="1"/>
  <c r="A945" i="34" s="1"/>
  <c r="A946" i="34" s="1"/>
  <c r="A947" i="34" s="1"/>
  <c r="A948" i="34" s="1"/>
  <c r="A949" i="34" s="1"/>
  <c r="A950" i="34" s="1"/>
  <c r="A951" i="34" s="1"/>
  <c r="A952" i="34" s="1"/>
  <c r="A953" i="34" s="1"/>
  <c r="A954" i="34" s="1"/>
  <c r="A955" i="34" s="1"/>
  <c r="A956" i="34" s="1"/>
  <c r="A957" i="34" s="1"/>
  <c r="A958" i="34" s="1"/>
  <c r="A959" i="34" s="1"/>
  <c r="A960" i="34" s="1"/>
  <c r="A961" i="34" s="1"/>
  <c r="A962" i="34" s="1"/>
  <c r="A963" i="34" s="1"/>
  <c r="A964" i="34" s="1"/>
  <c r="A965" i="34" s="1"/>
  <c r="A966" i="34" s="1"/>
  <c r="A967" i="34" s="1"/>
  <c r="A968" i="34" s="1"/>
  <c r="A969" i="34" s="1"/>
  <c r="A970" i="34" s="1"/>
  <c r="A971" i="34" s="1"/>
  <c r="A972" i="34" s="1"/>
  <c r="A973" i="34" s="1"/>
  <c r="A981" i="34"/>
  <c r="A985" i="34"/>
  <c r="A989" i="34"/>
  <c r="A993" i="34"/>
  <c r="A997" i="34"/>
  <c r="A1001" i="34"/>
  <c r="A1005" i="34"/>
  <c r="A1009" i="34"/>
  <c r="A1013" i="34"/>
  <c r="A1017" i="34"/>
  <c r="A1021" i="34"/>
  <c r="A1025" i="34"/>
  <c r="A1029" i="34"/>
  <c r="A1033" i="34"/>
  <c r="A1037" i="34"/>
  <c r="A1041" i="34"/>
  <c r="A1045" i="34"/>
  <c r="A1049" i="34"/>
  <c r="A1053" i="34"/>
  <c r="A1057" i="34"/>
  <c r="A1061" i="34"/>
  <c r="A1065" i="34"/>
  <c r="A1069" i="34"/>
  <c r="A1073" i="34"/>
  <c r="A1077" i="34"/>
  <c r="A1081" i="34"/>
  <c r="A974" i="34"/>
  <c r="A979" i="34"/>
  <c r="A984" i="34"/>
  <c r="A990" i="34"/>
  <c r="A995" i="34"/>
  <c r="A1000" i="34"/>
  <c r="A1006" i="34"/>
  <c r="A1011" i="34"/>
  <c r="A1016" i="34"/>
  <c r="A1022" i="34"/>
  <c r="A1027" i="34"/>
  <c r="A1032" i="34"/>
  <c r="A1038" i="34"/>
  <c r="A1043" i="34"/>
  <c r="A1048" i="34"/>
  <c r="A1054" i="34"/>
  <c r="A1059" i="34"/>
  <c r="A1064" i="34"/>
  <c r="A1070" i="34"/>
  <c r="A1075" i="34"/>
  <c r="A1080" i="34"/>
  <c r="A1085" i="34"/>
  <c r="A1089" i="34"/>
  <c r="A1093" i="34"/>
  <c r="A1097" i="34"/>
  <c r="A1101" i="34"/>
  <c r="A1105" i="34"/>
  <c r="A1109" i="34"/>
  <c r="A1113" i="34"/>
  <c r="A1117" i="34"/>
  <c r="A1121" i="34"/>
  <c r="A1125" i="34"/>
  <c r="A1129" i="34"/>
  <c r="A1133" i="34"/>
  <c r="A1137" i="34"/>
  <c r="A1141" i="34"/>
  <c r="A1145" i="34"/>
  <c r="A1149" i="34"/>
  <c r="A1153" i="34"/>
  <c r="A1157" i="34"/>
  <c r="A1161" i="34"/>
  <c r="A1165" i="34"/>
  <c r="A1169" i="34"/>
  <c r="A1173" i="34"/>
  <c r="A1177" i="34"/>
  <c r="A1181" i="34"/>
  <c r="A1185" i="34"/>
  <c r="A1189" i="34"/>
  <c r="A1193" i="34"/>
  <c r="A1197" i="34"/>
  <c r="A1201" i="34"/>
  <c r="A1205" i="34"/>
  <c r="A1209" i="34"/>
  <c r="A1213" i="34"/>
  <c r="A1217" i="34"/>
  <c r="A1221" i="34"/>
  <c r="A975" i="34"/>
  <c r="A980" i="34"/>
  <c r="A986" i="34"/>
  <c r="A991" i="34"/>
  <c r="A996" i="34"/>
  <c r="A1002" i="34"/>
  <c r="A1007" i="34"/>
  <c r="A1012" i="34"/>
  <c r="A1018" i="34"/>
  <c r="A1023" i="34"/>
  <c r="A1028" i="34"/>
  <c r="A1034" i="34"/>
  <c r="A1039" i="34"/>
  <c r="A1044" i="34"/>
  <c r="A1050" i="34"/>
  <c r="A1055" i="34"/>
  <c r="A1060" i="34"/>
  <c r="A1066" i="34"/>
  <c r="A1071" i="34"/>
  <c r="A1076" i="34"/>
  <c r="A1082" i="34"/>
  <c r="A1086" i="34"/>
  <c r="A1090" i="34"/>
  <c r="A1094" i="34"/>
  <c r="A1098" i="34"/>
  <c r="A1102" i="34"/>
  <c r="A1106" i="34"/>
  <c r="A1110" i="34"/>
  <c r="A1114" i="34"/>
  <c r="A1118" i="34"/>
  <c r="A1122" i="34"/>
  <c r="A1126" i="34"/>
  <c r="A1130" i="34"/>
  <c r="A1134" i="34"/>
  <c r="A1138" i="34"/>
  <c r="A1142" i="34"/>
  <c r="A1146" i="34"/>
  <c r="A1150" i="34"/>
  <c r="A1154" i="34"/>
  <c r="A1158" i="34"/>
  <c r="A1162" i="34"/>
  <c r="A1166" i="34"/>
  <c r="A1170" i="34"/>
  <c r="A1174" i="34"/>
  <c r="A1178" i="34"/>
  <c r="A1182" i="34"/>
  <c r="A1186" i="34"/>
  <c r="A1190" i="34"/>
  <c r="A1194" i="34"/>
  <c r="A1198" i="34"/>
  <c r="A1202" i="34"/>
  <c r="A1206" i="34"/>
  <c r="A1210" i="34"/>
  <c r="A1214" i="34"/>
  <c r="A1218" i="34"/>
  <c r="A1222" i="34"/>
  <c r="A976" i="34"/>
  <c r="A977" i="34" s="1"/>
  <c r="A982" i="34"/>
  <c r="A987" i="34"/>
  <c r="A992" i="34"/>
  <c r="A998" i="34"/>
  <c r="A1003" i="34"/>
  <c r="A1008" i="34"/>
  <c r="A1014" i="34"/>
  <c r="A1019" i="34"/>
  <c r="A1024" i="34"/>
  <c r="A1030" i="34"/>
  <c r="A1035" i="34"/>
  <c r="A1040" i="34"/>
  <c r="A1046" i="34"/>
  <c r="A1051" i="34"/>
  <c r="A1056" i="34"/>
  <c r="A1062" i="34"/>
  <c r="A1067" i="34"/>
  <c r="A1072" i="34"/>
  <c r="A1078" i="34"/>
  <c r="A1083" i="34"/>
  <c r="A1087" i="34"/>
  <c r="A1091" i="34"/>
  <c r="A1095" i="34"/>
  <c r="A1099" i="34"/>
  <c r="A1103" i="34"/>
  <c r="A1107" i="34"/>
  <c r="A1111" i="34"/>
  <c r="A1115" i="34"/>
  <c r="A1119" i="34"/>
  <c r="A1123" i="34"/>
  <c r="A1127" i="34"/>
  <c r="A1131" i="34"/>
  <c r="A1135" i="34"/>
  <c r="A1139" i="34"/>
  <c r="A1143" i="34"/>
  <c r="A1147" i="34"/>
  <c r="A1151" i="34"/>
  <c r="A1155" i="34"/>
  <c r="A1159" i="34"/>
  <c r="A1163" i="34"/>
  <c r="A1167" i="34"/>
  <c r="A1171" i="34"/>
  <c r="A1175" i="34"/>
  <c r="A1179" i="34"/>
  <c r="A1183" i="34"/>
  <c r="A1187" i="34"/>
  <c r="A1191" i="34"/>
  <c r="A1195" i="34"/>
  <c r="A1199" i="34"/>
  <c r="A1203" i="34"/>
  <c r="A1207" i="34"/>
  <c r="A1211" i="34"/>
  <c r="A1215" i="34"/>
  <c r="A1219" i="34"/>
  <c r="A1223" i="34"/>
  <c r="A978" i="34"/>
  <c r="A983" i="34"/>
  <c r="A988" i="34"/>
  <c r="A994" i="34"/>
  <c r="A999" i="34"/>
  <c r="A1004" i="34"/>
  <c r="A1010" i="34"/>
  <c r="A1015" i="34"/>
  <c r="A1020" i="34"/>
  <c r="A1026" i="34"/>
  <c r="A1031" i="34"/>
  <c r="A1036" i="34"/>
  <c r="A1042" i="34"/>
  <c r="A1047" i="34"/>
  <c r="A1052" i="34"/>
  <c r="A1058" i="34"/>
  <c r="A1063" i="34"/>
  <c r="A1068" i="34"/>
  <c r="A1074" i="34"/>
  <c r="A1079" i="34"/>
  <c r="A1084" i="34"/>
  <c r="A1088" i="34"/>
  <c r="A1092" i="34"/>
  <c r="A1096" i="34"/>
  <c r="A1100" i="34"/>
  <c r="A1104" i="34"/>
  <c r="A1108" i="34"/>
  <c r="A1112" i="34"/>
  <c r="A1116" i="34"/>
  <c r="A1120" i="34"/>
  <c r="A1124" i="34"/>
  <c r="A1128" i="34"/>
  <c r="A1132" i="34"/>
  <c r="A1136" i="34"/>
  <c r="A1140" i="34"/>
  <c r="A1144" i="34"/>
  <c r="A1148" i="34"/>
  <c r="A1152" i="34"/>
  <c r="A1156" i="34"/>
  <c r="A1160" i="34"/>
  <c r="A1164" i="34"/>
  <c r="A1168" i="34"/>
  <c r="A1172" i="34"/>
  <c r="A1176" i="34"/>
  <c r="A1180" i="34"/>
  <c r="A1184" i="34"/>
  <c r="A1188" i="34"/>
  <c r="A1192" i="34"/>
  <c r="A1196" i="34"/>
  <c r="A1200" i="34"/>
  <c r="A1204" i="34"/>
  <c r="A1208" i="34"/>
  <c r="A1212" i="34"/>
  <c r="A1216" i="34"/>
  <c r="A1220" i="34"/>
  <c r="A1224" i="34"/>
  <c r="A1225" i="34" s="1"/>
  <c r="A1226" i="34" s="1"/>
  <c r="A1227" i="34" s="1"/>
  <c r="A1228" i="34" s="1"/>
  <c r="A1229" i="34" s="1"/>
  <c r="A1230" i="34" s="1"/>
  <c r="A1231" i="34" s="1"/>
  <c r="A1232" i="34" s="1"/>
  <c r="A1233" i="34" s="1"/>
  <c r="A1234" i="34" s="1"/>
  <c r="A1235" i="34" s="1"/>
  <c r="A1236" i="34" s="1"/>
  <c r="A1237" i="34" s="1"/>
  <c r="A1238" i="34" s="1"/>
  <c r="A1239" i="34" s="1"/>
  <c r="A1240" i="34" s="1"/>
  <c r="A1241" i="34" s="1"/>
  <c r="A1242" i="34" s="1"/>
  <c r="A1243" i="34" s="1"/>
  <c r="A1244" i="34" s="1"/>
  <c r="A1245" i="34" s="1"/>
  <c r="A1246" i="34" s="1"/>
  <c r="A1247" i="34" s="1"/>
  <c r="A1248" i="34" s="1"/>
  <c r="A1249" i="34" s="1"/>
  <c r="A1250" i="34" s="1"/>
  <c r="A1251" i="34" s="1"/>
  <c r="A1252" i="34" s="1"/>
  <c r="A1253" i="34" s="1"/>
  <c r="A1254" i="34" s="1"/>
  <c r="A1255" i="34" s="1"/>
  <c r="A1256" i="34" s="1"/>
  <c r="A1257" i="34" s="1"/>
  <c r="A1258" i="34" s="1"/>
  <c r="A1259" i="34" s="1"/>
  <c r="A1260" i="34" s="1"/>
  <c r="A1261" i="34" s="1"/>
  <c r="A1262" i="34" s="1"/>
  <c r="A1263" i="34" s="1"/>
  <c r="A1264" i="34" s="1"/>
  <c r="A1265" i="34" s="1"/>
  <c r="A1266" i="34" s="1"/>
  <c r="A1267" i="34" s="1"/>
  <c r="A1268" i="34" s="1"/>
  <c r="A1269" i="34" s="1"/>
  <c r="A1270" i="34" s="1"/>
  <c r="A1271" i="34" s="1"/>
  <c r="A1272" i="34" s="1"/>
  <c r="A1273" i="34" s="1"/>
  <c r="A1274" i="34" s="1"/>
  <c r="A1275" i="34" s="1"/>
  <c r="A1276" i="34" s="1"/>
  <c r="A1277" i="34" s="1"/>
  <c r="A1278" i="34" s="1"/>
  <c r="A1279" i="34" s="1"/>
  <c r="A1280" i="34" s="1"/>
  <c r="A1281" i="34" s="1"/>
  <c r="A1282" i="34" s="1"/>
  <c r="A1283" i="34" s="1"/>
  <c r="A1284" i="34" s="1"/>
  <c r="A1285" i="34" s="1"/>
  <c r="A1286" i="34" s="1"/>
  <c r="A1287" i="34" s="1"/>
  <c r="A1288" i="34" s="1"/>
  <c r="A1289" i="34" s="1"/>
  <c r="A1290" i="34" s="1"/>
  <c r="A1291" i="34" s="1"/>
  <c r="A1292" i="34" s="1"/>
  <c r="A1293" i="34" s="1"/>
  <c r="A1294" i="34" s="1"/>
  <c r="A1295" i="34" s="1"/>
  <c r="A1296" i="34" s="1"/>
  <c r="A1297" i="34" s="1"/>
  <c r="A1298" i="34" s="1"/>
  <c r="A1299" i="34" s="1"/>
  <c r="A1300" i="34" s="1"/>
  <c r="A1301" i="34" s="1"/>
  <c r="A1302" i="34" s="1"/>
  <c r="A1303" i="34" s="1"/>
  <c r="A1304" i="34" s="1"/>
  <c r="A1305" i="34" s="1"/>
  <c r="A1306" i="34" s="1"/>
  <c r="A1307" i="34" s="1"/>
  <c r="A1308" i="34" s="1"/>
  <c r="A1309" i="34" s="1"/>
  <c r="A1310" i="34" s="1"/>
  <c r="A1311" i="34" s="1"/>
  <c r="A1312" i="34" s="1"/>
  <c r="A1313" i="34" s="1"/>
  <c r="A1314" i="34" s="1"/>
  <c r="A1315" i="34" s="1"/>
  <c r="A1316" i="34" s="1"/>
  <c r="A1317" i="34" s="1"/>
  <c r="A1318" i="34" s="1"/>
  <c r="A1319" i="34" s="1"/>
  <c r="A1320" i="34" s="1"/>
  <c r="A1321" i="34" s="1"/>
  <c r="A1322" i="34" s="1"/>
  <c r="A1323" i="34" s="1"/>
  <c r="A1324" i="34" s="1"/>
  <c r="A1325" i="34" s="1"/>
  <c r="A1326" i="34" s="1"/>
  <c r="A1327" i="34" s="1"/>
  <c r="A1328" i="34" s="1"/>
  <c r="A1329" i="34" s="1"/>
  <c r="A1330" i="34" s="1"/>
  <c r="A1331" i="34" s="1"/>
  <c r="A1332" i="34" s="1"/>
  <c r="A1333" i="34" s="1"/>
  <c r="A1334" i="34" s="1"/>
  <c r="A1335" i="34" s="1"/>
  <c r="A1336" i="34" s="1"/>
  <c r="A1337" i="34" s="1"/>
  <c r="A1338" i="34" s="1"/>
  <c r="A1339" i="34" s="1"/>
  <c r="A1340" i="34" s="1"/>
  <c r="A1341" i="34" s="1"/>
  <c r="A1342" i="34" s="1"/>
  <c r="A1343" i="34" s="1"/>
  <c r="A1344" i="34" s="1"/>
  <c r="A1345" i="34" s="1"/>
  <c r="A1346" i="34" s="1"/>
  <c r="A1347" i="34" s="1"/>
  <c r="A1348" i="34" s="1"/>
  <c r="A1349" i="34" s="1"/>
  <c r="A1350" i="34" s="1"/>
  <c r="A1351" i="34" s="1"/>
  <c r="A1352" i="34" s="1"/>
  <c r="A1353" i="34" s="1"/>
  <c r="A1354" i="34" s="1"/>
  <c r="A1355" i="34" s="1"/>
  <c r="A1356" i="34" s="1"/>
  <c r="A1357" i="34" s="1"/>
  <c r="A1358" i="34" s="1"/>
  <c r="A1359" i="34" s="1"/>
  <c r="A1360" i="34" s="1"/>
  <c r="A1361" i="34" s="1"/>
  <c r="A1362" i="34" s="1"/>
  <c r="A1363" i="34" s="1"/>
  <c r="A1364" i="34" s="1"/>
  <c r="A1365" i="34" s="1"/>
  <c r="A1366" i="34" s="1"/>
  <c r="A1367" i="34" s="1"/>
  <c r="A1368" i="34" s="1"/>
  <c r="A1369" i="34" s="1"/>
  <c r="A1370" i="34" s="1"/>
  <c r="A1371" i="34" s="1"/>
  <c r="A1372" i="34" s="1"/>
  <c r="A1373" i="34" s="1"/>
  <c r="A1374" i="34" s="1"/>
  <c r="A1375" i="34" s="1"/>
  <c r="A1376" i="34" s="1"/>
  <c r="A1377" i="34" s="1"/>
  <c r="A1378" i="34" s="1"/>
  <c r="A1379" i="34" s="1"/>
  <c r="A1380" i="34" s="1"/>
  <c r="A1381" i="34" s="1"/>
  <c r="A1382" i="34" s="1"/>
  <c r="A1383" i="34" s="1"/>
  <c r="A1384" i="34" s="1"/>
  <c r="A1385" i="34" s="1"/>
  <c r="A1386" i="34" s="1"/>
  <c r="A1387" i="34" s="1"/>
  <c r="A1388" i="34" s="1"/>
  <c r="A1389" i="34" s="1"/>
  <c r="A1390" i="34" s="1"/>
  <c r="A1391" i="34" s="1"/>
  <c r="A1392" i="34" s="1"/>
  <c r="A1393" i="34" s="1"/>
  <c r="A1394" i="34" s="1"/>
  <c r="A1395" i="34" s="1"/>
  <c r="A1396" i="34" s="1"/>
  <c r="A1397" i="34" s="1"/>
  <c r="A1398" i="34" s="1"/>
  <c r="A1399" i="34" s="1"/>
  <c r="A1400" i="34" s="1"/>
  <c r="A1401" i="34" s="1"/>
  <c r="A1402" i="34" s="1"/>
  <c r="A1403" i="34" s="1"/>
  <c r="A1404" i="34" s="1"/>
  <c r="A1405" i="34" s="1"/>
  <c r="A1406" i="34" s="1"/>
  <c r="A1407" i="34" s="1"/>
  <c r="A1408" i="34" s="1"/>
  <c r="A1409" i="34" s="1"/>
  <c r="A1410" i="34" s="1"/>
  <c r="A1411" i="34" s="1"/>
  <c r="A1412" i="34" s="1"/>
  <c r="A1413" i="34" s="1"/>
  <c r="A1414" i="34" s="1"/>
  <c r="A1415" i="34" s="1"/>
  <c r="A1416" i="34" s="1"/>
  <c r="A1417" i="34" s="1"/>
  <c r="A1418" i="34" s="1"/>
  <c r="A1419" i="34" s="1"/>
  <c r="A1420" i="34" s="1"/>
  <c r="A1421" i="34" s="1"/>
  <c r="A1422" i="34" s="1"/>
  <c r="A1423" i="34" s="1"/>
  <c r="A1424" i="34" s="1"/>
  <c r="A1425" i="34" s="1"/>
  <c r="A1426" i="34" s="1"/>
  <c r="A1427" i="34" s="1"/>
  <c r="A1428" i="34" s="1"/>
  <c r="A1429" i="34" s="1"/>
  <c r="A1430" i="34" s="1"/>
  <c r="A1431" i="34" s="1"/>
  <c r="A1432" i="34" s="1"/>
  <c r="A1433" i="34" s="1"/>
  <c r="A1434" i="34" s="1"/>
  <c r="A1435" i="34" s="1"/>
  <c r="A1436" i="34" s="1"/>
  <c r="A1437" i="34" s="1"/>
  <c r="A1440" i="34"/>
  <c r="A1444" i="34"/>
  <c r="A1448" i="34"/>
  <c r="A1452" i="34"/>
  <c r="A1456" i="34"/>
  <c r="A1460" i="34"/>
  <c r="A1464" i="34"/>
  <c r="A1468" i="34"/>
  <c r="A1472" i="34"/>
  <c r="A1476" i="34"/>
  <c r="A1480" i="34"/>
  <c r="A1484" i="34"/>
  <c r="A1439" i="34"/>
  <c r="A1445" i="34"/>
  <c r="A1450" i="34"/>
  <c r="A1455" i="34"/>
  <c r="A1461" i="34"/>
  <c r="A1466" i="34"/>
  <c r="A1471" i="34"/>
  <c r="A1477" i="34"/>
  <c r="A1482" i="34"/>
  <c r="A1487" i="34"/>
  <c r="A1491" i="34"/>
  <c r="A1495" i="34"/>
  <c r="A1499" i="34"/>
  <c r="A1503" i="34"/>
  <c r="A1507" i="34"/>
  <c r="A1511" i="34"/>
  <c r="A1515" i="34"/>
  <c r="A1519" i="34"/>
  <c r="A1523" i="34"/>
  <c r="A1527" i="34"/>
  <c r="A1531" i="34"/>
  <c r="A1535" i="34"/>
  <c r="A1539" i="34"/>
  <c r="A1543" i="34"/>
  <c r="A1547" i="34"/>
  <c r="A1551" i="34"/>
  <c r="A1555" i="34"/>
  <c r="A1559" i="34"/>
  <c r="A1563" i="34"/>
  <c r="A1567" i="34"/>
  <c r="A1571" i="34"/>
  <c r="A1575" i="34"/>
  <c r="A1579" i="34"/>
  <c r="A1583" i="34"/>
  <c r="A1587" i="34"/>
  <c r="A1591" i="34"/>
  <c r="A1595" i="34"/>
  <c r="A1599" i="34"/>
  <c r="A1603" i="34"/>
  <c r="A1607" i="34"/>
  <c r="A1611" i="34"/>
  <c r="A1615" i="34"/>
  <c r="A1619" i="34"/>
  <c r="A1623" i="34"/>
  <c r="A1627" i="34"/>
  <c r="A1631" i="34"/>
  <c r="A1635" i="34"/>
  <c r="A1639" i="34"/>
  <c r="A1643" i="34"/>
  <c r="A1647" i="34"/>
  <c r="A1651" i="34"/>
  <c r="A1655" i="34"/>
  <c r="A1659" i="34"/>
  <c r="A1663" i="34"/>
  <c r="A1441" i="34"/>
  <c r="A1446" i="34"/>
  <c r="A1451" i="34"/>
  <c r="A1457" i="34"/>
  <c r="A1462" i="34"/>
  <c r="A1467" i="34"/>
  <c r="A1473" i="34"/>
  <c r="A1478" i="34"/>
  <c r="A1483" i="34"/>
  <c r="A1488" i="34"/>
  <c r="A1492" i="34"/>
  <c r="A1496" i="34"/>
  <c r="A1500" i="34"/>
  <c r="A1504" i="34"/>
  <c r="A1508" i="34"/>
  <c r="A1512" i="34"/>
  <c r="A1516" i="34"/>
  <c r="A1520" i="34"/>
  <c r="A1524" i="34"/>
  <c r="A1528" i="34"/>
  <c r="A1532" i="34"/>
  <c r="A1536" i="34"/>
  <c r="A1540" i="34"/>
  <c r="A1544" i="34"/>
  <c r="A1548" i="34"/>
  <c r="A1552" i="34"/>
  <c r="A1556" i="34"/>
  <c r="A1560" i="34"/>
  <c r="A1564" i="34"/>
  <c r="A1568" i="34"/>
  <c r="A1572" i="34"/>
  <c r="A1576" i="34"/>
  <c r="A1580" i="34"/>
  <c r="A1584" i="34"/>
  <c r="A1588" i="34"/>
  <c r="A1592" i="34"/>
  <c r="A1596" i="34"/>
  <c r="A1600" i="34"/>
  <c r="A1604" i="34"/>
  <c r="A1608" i="34"/>
  <c r="A1612" i="34"/>
  <c r="A1616" i="34"/>
  <c r="A1620" i="34"/>
  <c r="A1624" i="34"/>
  <c r="A1628" i="34"/>
  <c r="A1632" i="34"/>
  <c r="A1636" i="34"/>
  <c r="A1640" i="34"/>
  <c r="A1644" i="34"/>
  <c r="A1648" i="34"/>
  <c r="A1652" i="34"/>
  <c r="A1656" i="34"/>
  <c r="A1660" i="34"/>
  <c r="A1664" i="34"/>
  <c r="A1442" i="34"/>
  <c r="A1447" i="34"/>
  <c r="A1453" i="34"/>
  <c r="A1458" i="34"/>
  <c r="A1463" i="34"/>
  <c r="A1469" i="34"/>
  <c r="A1474" i="34"/>
  <c r="A1479" i="34"/>
  <c r="A1485" i="34"/>
  <c r="A1489" i="34"/>
  <c r="A1493" i="34"/>
  <c r="A1497" i="34"/>
  <c r="A1501" i="34"/>
  <c r="A1505" i="34"/>
  <c r="A1509" i="34"/>
  <c r="A1513" i="34"/>
  <c r="A1517" i="34"/>
  <c r="A1521" i="34"/>
  <c r="A1525" i="34"/>
  <c r="A1529" i="34"/>
  <c r="A1533" i="34"/>
  <c r="A1537" i="34"/>
  <c r="A1541" i="34"/>
  <c r="A1545" i="34"/>
  <c r="A1549" i="34"/>
  <c r="A1553" i="34"/>
  <c r="A1557" i="34"/>
  <c r="A1561" i="34"/>
  <c r="A1565" i="34"/>
  <c r="A1569" i="34"/>
  <c r="A1573" i="34"/>
  <c r="A1577" i="34"/>
  <c r="A1581" i="34"/>
  <c r="A1585" i="34"/>
  <c r="A1589" i="34"/>
  <c r="A1593" i="34"/>
  <c r="A1597" i="34"/>
  <c r="A1601" i="34"/>
  <c r="A1605" i="34"/>
  <c r="A1609" i="34"/>
  <c r="A1613" i="34"/>
  <c r="A1617" i="34"/>
  <c r="A1621" i="34"/>
  <c r="A1625" i="34"/>
  <c r="A1629" i="34"/>
  <c r="A1633" i="34"/>
  <c r="A1637" i="34"/>
  <c r="A1641" i="34"/>
  <c r="A1645" i="34"/>
  <c r="A1649" i="34"/>
  <c r="A1653" i="34"/>
  <c r="A1657" i="34"/>
  <c r="A1661" i="34"/>
  <c r="A1438" i="34"/>
  <c r="A1443" i="34"/>
  <c r="A1449" i="34"/>
  <c r="A1454" i="34"/>
  <c r="A1459" i="34"/>
  <c r="A1465" i="34"/>
  <c r="A1470" i="34"/>
  <c r="A1475" i="34"/>
  <c r="A1481" i="34"/>
  <c r="A1486" i="34"/>
  <c r="A1490" i="34"/>
  <c r="A1494" i="34"/>
  <c r="A1498" i="34"/>
  <c r="A1502" i="34"/>
  <c r="A1506" i="34"/>
  <c r="A1510" i="34"/>
  <c r="A1514" i="34"/>
  <c r="A1518" i="34"/>
  <c r="A1522" i="34"/>
  <c r="A1526" i="34"/>
  <c r="A1530" i="34"/>
  <c r="A1534" i="34"/>
  <c r="A1538" i="34"/>
  <c r="A1542" i="34"/>
  <c r="A1546" i="34"/>
  <c r="A1550" i="34"/>
  <c r="A1554" i="34"/>
  <c r="A1558" i="34"/>
  <c r="A1562" i="34"/>
  <c r="A1566" i="34"/>
  <c r="A1570" i="34"/>
  <c r="A1574" i="34"/>
  <c r="A1578" i="34"/>
  <c r="A1582" i="34"/>
  <c r="A1586" i="34"/>
  <c r="A1590" i="34"/>
  <c r="A1594" i="34"/>
  <c r="A1598" i="34"/>
  <c r="A1602" i="34"/>
  <c r="A1606" i="34"/>
  <c r="A1610" i="34"/>
  <c r="A1614" i="34"/>
  <c r="A1618" i="34"/>
  <c r="A1622" i="34"/>
  <c r="A1626" i="34"/>
  <c r="A1630" i="34"/>
  <c r="A1634" i="34"/>
  <c r="A1638" i="34"/>
  <c r="A1642" i="34"/>
  <c r="A1646" i="34"/>
  <c r="A1650" i="34"/>
  <c r="A1654" i="34"/>
  <c r="A1658" i="34"/>
  <c r="A1662" i="34"/>
  <c r="A1666" i="34"/>
  <c r="A1670" i="34"/>
  <c r="A1674" i="34"/>
  <c r="A1678" i="34"/>
  <c r="A1682" i="34"/>
  <c r="A1686" i="34"/>
  <c r="A1690" i="34"/>
  <c r="A1694" i="34"/>
  <c r="A1698" i="34"/>
  <c r="A1702" i="34"/>
  <c r="A1706" i="34"/>
  <c r="A1710" i="34"/>
  <c r="A1714" i="34"/>
  <c r="A1718" i="34"/>
  <c r="A1722" i="34"/>
  <c r="A1726" i="34"/>
  <c r="A1730" i="34"/>
  <c r="A1734" i="34"/>
  <c r="A1738" i="34"/>
  <c r="A1742" i="34"/>
  <c r="A1746" i="34"/>
  <c r="A1750" i="34"/>
  <c r="A1754" i="34"/>
  <c r="A1758" i="34"/>
  <c r="A1762" i="34"/>
  <c r="A1766" i="34"/>
  <c r="A1770" i="34"/>
  <c r="A1774" i="34"/>
  <c r="A1778" i="34"/>
  <c r="A1782" i="34"/>
  <c r="A1786" i="34"/>
  <c r="A1790" i="34"/>
  <c r="A1794" i="34"/>
  <c r="A1798" i="34"/>
  <c r="A1802" i="34"/>
  <c r="A1806" i="34"/>
  <c r="A1810" i="34"/>
  <c r="A1814" i="34"/>
  <c r="A1818" i="34"/>
  <c r="A1822" i="34"/>
  <c r="A1826" i="34"/>
  <c r="A1830" i="34"/>
  <c r="A1834" i="34"/>
  <c r="A1838" i="34"/>
  <c r="A1842" i="34"/>
  <c r="A1846" i="34"/>
  <c r="A1850" i="34"/>
  <c r="A1854" i="34"/>
  <c r="A1858" i="34"/>
  <c r="A1862" i="34"/>
  <c r="A1866" i="34"/>
  <c r="A1870" i="34"/>
  <c r="A1665" i="34"/>
  <c r="A1671" i="34"/>
  <c r="A1676" i="34"/>
  <c r="A1681" i="34"/>
  <c r="A1687" i="34"/>
  <c r="A1692" i="34"/>
  <c r="A1697" i="34"/>
  <c r="A1703" i="34"/>
  <c r="A1708" i="34"/>
  <c r="A1713" i="34"/>
  <c r="A1719" i="34"/>
  <c r="A1724" i="34"/>
  <c r="A1729" i="34"/>
  <c r="A1735" i="34"/>
  <c r="A1740" i="34"/>
  <c r="A1745" i="34"/>
  <c r="A1751" i="34"/>
  <c r="A1756" i="34"/>
  <c r="A1761" i="34"/>
  <c r="A1767" i="34"/>
  <c r="A1772" i="34"/>
  <c r="A1777" i="34"/>
  <c r="A1783" i="34"/>
  <c r="A1788" i="34"/>
  <c r="A1793" i="34"/>
  <c r="A1799" i="34"/>
  <c r="A1804" i="34"/>
  <c r="A1809" i="34"/>
  <c r="A1815" i="34"/>
  <c r="A1820" i="34"/>
  <c r="A1825" i="34"/>
  <c r="A1831" i="34"/>
  <c r="A1836" i="34"/>
  <c r="A1841" i="34"/>
  <c r="A1847" i="34"/>
  <c r="A1852" i="34"/>
  <c r="A1857" i="34"/>
  <c r="A1863" i="34"/>
  <c r="A1868" i="34"/>
  <c r="A1873" i="34"/>
  <c r="A1877" i="34"/>
  <c r="A1881" i="34"/>
  <c r="A1885" i="34"/>
  <c r="A1889" i="34"/>
  <c r="A1893" i="34"/>
  <c r="A1897" i="34"/>
  <c r="A2181" i="34"/>
  <c r="A2185" i="34"/>
  <c r="A2189" i="34"/>
  <c r="A2193" i="34"/>
  <c r="A2197" i="34"/>
  <c r="A2201" i="34"/>
  <c r="A2205" i="34"/>
  <c r="A2209" i="34"/>
  <c r="A2213" i="34"/>
  <c r="A2217" i="34"/>
  <c r="A2221" i="34"/>
  <c r="A2225" i="34"/>
  <c r="A2229" i="34"/>
  <c r="A2233" i="34"/>
  <c r="A2237" i="34"/>
  <c r="A2241" i="34"/>
  <c r="A2245" i="34"/>
  <c r="A2249" i="34"/>
  <c r="A2253" i="34"/>
  <c r="A1667" i="34"/>
  <c r="A1672" i="34"/>
  <c r="A1677" i="34"/>
  <c r="A1683" i="34"/>
  <c r="A1688" i="34"/>
  <c r="A1693" i="34"/>
  <c r="A1699" i="34"/>
  <c r="A1704" i="34"/>
  <c r="A1709" i="34"/>
  <c r="A1715" i="34"/>
  <c r="A1720" i="34"/>
  <c r="A1725" i="34"/>
  <c r="A1731" i="34"/>
  <c r="A1736" i="34"/>
  <c r="A1741" i="34"/>
  <c r="A1747" i="34"/>
  <c r="A1752" i="34"/>
  <c r="A1757" i="34"/>
  <c r="A1763" i="34"/>
  <c r="A1768" i="34"/>
  <c r="A1773" i="34"/>
  <c r="A1779" i="34"/>
  <c r="A1784" i="34"/>
  <c r="A1789" i="34"/>
  <c r="A1795" i="34"/>
  <c r="A1800" i="34"/>
  <c r="A1805" i="34"/>
  <c r="A1811" i="34"/>
  <c r="A1816" i="34"/>
  <c r="A1821" i="34"/>
  <c r="A1827" i="34"/>
  <c r="A1832" i="34"/>
  <c r="A1837" i="34"/>
  <c r="A1843" i="34"/>
  <c r="A1848" i="34"/>
  <c r="A1853" i="34"/>
  <c r="A1859" i="34"/>
  <c r="A1864" i="34"/>
  <c r="A1869" i="34"/>
  <c r="A1874" i="34"/>
  <c r="A1878" i="34"/>
  <c r="A1882" i="34"/>
  <c r="A1886" i="34"/>
  <c r="A1890" i="34"/>
  <c r="A1894" i="34"/>
  <c r="A1898" i="34"/>
  <c r="A1899" i="34" s="1"/>
  <c r="A1900" i="34" s="1"/>
  <c r="A1901" i="34" s="1"/>
  <c r="A1902" i="34" s="1"/>
  <c r="A1903" i="34" s="1"/>
  <c r="A1904" i="34" s="1"/>
  <c r="A1905" i="34" s="1"/>
  <c r="A1906" i="34" s="1"/>
  <c r="A1907" i="34" s="1"/>
  <c r="A1908" i="34" s="1"/>
  <c r="A1909" i="34" s="1"/>
  <c r="A1910" i="34" s="1"/>
  <c r="A1911" i="34" s="1"/>
  <c r="A1912" i="34" s="1"/>
  <c r="A1913" i="34" s="1"/>
  <c r="A1914" i="34" s="1"/>
  <c r="A1915" i="34" s="1"/>
  <c r="A1916" i="34" s="1"/>
  <c r="A1917" i="34" s="1"/>
  <c r="A1918" i="34" s="1"/>
  <c r="A1919" i="34" s="1"/>
  <c r="A1920" i="34" s="1"/>
  <c r="A1921" i="34" s="1"/>
  <c r="A1922" i="34" s="1"/>
  <c r="A1923" i="34" s="1"/>
  <c r="A1924" i="34" s="1"/>
  <c r="A1925" i="34" s="1"/>
  <c r="A1926" i="34" s="1"/>
  <c r="A1927" i="34" s="1"/>
  <c r="A1928" i="34" s="1"/>
  <c r="A1929" i="34" s="1"/>
  <c r="A1930" i="34" s="1"/>
  <c r="A1931" i="34" s="1"/>
  <c r="A1932" i="34" s="1"/>
  <c r="A1933" i="34" s="1"/>
  <c r="A1934" i="34" s="1"/>
  <c r="A1935" i="34" s="1"/>
  <c r="A1936" i="34" s="1"/>
  <c r="A1937" i="34" s="1"/>
  <c r="A1938" i="34" s="1"/>
  <c r="A1939" i="34" s="1"/>
  <c r="A1940" i="34" s="1"/>
  <c r="A1941" i="34" s="1"/>
  <c r="A1942" i="34" s="1"/>
  <c r="A1943" i="34" s="1"/>
  <c r="A1944" i="34" s="1"/>
  <c r="A1945" i="34" s="1"/>
  <c r="A1946" i="34" s="1"/>
  <c r="A1947" i="34" s="1"/>
  <c r="A1948" i="34" s="1"/>
  <c r="A1949" i="34" s="1"/>
  <c r="A1950" i="34" s="1"/>
  <c r="A1951" i="34" s="1"/>
  <c r="A1952" i="34" s="1"/>
  <c r="A1953" i="34" s="1"/>
  <c r="A1954" i="34" s="1"/>
  <c r="A1955" i="34" s="1"/>
  <c r="A1956" i="34" s="1"/>
  <c r="A1957" i="34" s="1"/>
  <c r="A1958" i="34" s="1"/>
  <c r="A1959" i="34" s="1"/>
  <c r="A1960" i="34" s="1"/>
  <c r="A1961" i="34" s="1"/>
  <c r="A1962" i="34" s="1"/>
  <c r="A1963" i="34" s="1"/>
  <c r="A1964" i="34" s="1"/>
  <c r="A1965" i="34" s="1"/>
  <c r="A1966" i="34" s="1"/>
  <c r="A1967" i="34" s="1"/>
  <c r="A1968" i="34" s="1"/>
  <c r="A1969" i="34" s="1"/>
  <c r="A1970" i="34" s="1"/>
  <c r="A1971" i="34" s="1"/>
  <c r="A1972" i="34" s="1"/>
  <c r="A1973" i="34" s="1"/>
  <c r="A1974" i="34" s="1"/>
  <c r="A1975" i="34" s="1"/>
  <c r="A1976" i="34" s="1"/>
  <c r="A1977" i="34" s="1"/>
  <c r="A1978" i="34" s="1"/>
  <c r="A1979" i="34" s="1"/>
  <c r="A1980" i="34" s="1"/>
  <c r="A1981" i="34" s="1"/>
  <c r="A1982" i="34" s="1"/>
  <c r="A1983" i="34" s="1"/>
  <c r="A1984" i="34" s="1"/>
  <c r="A1985" i="34" s="1"/>
  <c r="A1986" i="34" s="1"/>
  <c r="A1987" i="34" s="1"/>
  <c r="A1988" i="34" s="1"/>
  <c r="A1989" i="34" s="1"/>
  <c r="A1990" i="34" s="1"/>
  <c r="A1991" i="34" s="1"/>
  <c r="A1992" i="34" s="1"/>
  <c r="A1993" i="34" s="1"/>
  <c r="A1994" i="34" s="1"/>
  <c r="A1995" i="34" s="1"/>
  <c r="A1996" i="34" s="1"/>
  <c r="A1997" i="34" s="1"/>
  <c r="A1998" i="34" s="1"/>
  <c r="A1999" i="34" s="1"/>
  <c r="A2000" i="34" s="1"/>
  <c r="A2001" i="34" s="1"/>
  <c r="A2002" i="34" s="1"/>
  <c r="A2003" i="34" s="1"/>
  <c r="A2004" i="34" s="1"/>
  <c r="A2005" i="34" s="1"/>
  <c r="A2006" i="34" s="1"/>
  <c r="A2007" i="34" s="1"/>
  <c r="A2008" i="34" s="1"/>
  <c r="A2009" i="34" s="1"/>
  <c r="A2010" i="34" s="1"/>
  <c r="A2011" i="34" s="1"/>
  <c r="A2012" i="34" s="1"/>
  <c r="A2013" i="34" s="1"/>
  <c r="A2014" i="34" s="1"/>
  <c r="A2015" i="34" s="1"/>
  <c r="A2016" i="34" s="1"/>
  <c r="A2017" i="34" s="1"/>
  <c r="A2018" i="34" s="1"/>
  <c r="A2019" i="34" s="1"/>
  <c r="A2020" i="34" s="1"/>
  <c r="A2021" i="34" s="1"/>
  <c r="A2022" i="34" s="1"/>
  <c r="A2023" i="34" s="1"/>
  <c r="A2024" i="34" s="1"/>
  <c r="A2025" i="34" s="1"/>
  <c r="A2026" i="34" s="1"/>
  <c r="A2027" i="34" s="1"/>
  <c r="A2028" i="34" s="1"/>
  <c r="A2029" i="34" s="1"/>
  <c r="A2030" i="34" s="1"/>
  <c r="A2031" i="34" s="1"/>
  <c r="A2032" i="34" s="1"/>
  <c r="A2033" i="34" s="1"/>
  <c r="A2034" i="34" s="1"/>
  <c r="A2035" i="34" s="1"/>
  <c r="A2036" i="34" s="1"/>
  <c r="A2037" i="34" s="1"/>
  <c r="A2038" i="34" s="1"/>
  <c r="A2039" i="34" s="1"/>
  <c r="A2040" i="34" s="1"/>
  <c r="A2041" i="34" s="1"/>
  <c r="A2042" i="34" s="1"/>
  <c r="A2043" i="34" s="1"/>
  <c r="A2044" i="34" s="1"/>
  <c r="A2045" i="34" s="1"/>
  <c r="A2046" i="34" s="1"/>
  <c r="A2047" i="34" s="1"/>
  <c r="A2048" i="34" s="1"/>
  <c r="A2049" i="34" s="1"/>
  <c r="A2050" i="34" s="1"/>
  <c r="A2051" i="34" s="1"/>
  <c r="A2052" i="34" s="1"/>
  <c r="A2053" i="34" s="1"/>
  <c r="A2054" i="34" s="1"/>
  <c r="A2055" i="34" s="1"/>
  <c r="A2056" i="34" s="1"/>
  <c r="A2057" i="34" s="1"/>
  <c r="A2058" i="34" s="1"/>
  <c r="A2059" i="34" s="1"/>
  <c r="A2060" i="34" s="1"/>
  <c r="A2061" i="34" s="1"/>
  <c r="A2062" i="34" s="1"/>
  <c r="A2063" i="34" s="1"/>
  <c r="A2064" i="34" s="1"/>
  <c r="A2065" i="34" s="1"/>
  <c r="A2066" i="34" s="1"/>
  <c r="A2067" i="34" s="1"/>
  <c r="A2068" i="34" s="1"/>
  <c r="A2069" i="34" s="1"/>
  <c r="A2070" i="34" s="1"/>
  <c r="A2071" i="34" s="1"/>
  <c r="A2072" i="34" s="1"/>
  <c r="A2073" i="34" s="1"/>
  <c r="A2074" i="34" s="1"/>
  <c r="A2075" i="34" s="1"/>
  <c r="A2076" i="34" s="1"/>
  <c r="A2077" i="34" s="1"/>
  <c r="A2078" i="34" s="1"/>
  <c r="A2079" i="34" s="1"/>
  <c r="A2080" i="34" s="1"/>
  <c r="A2081" i="34" s="1"/>
  <c r="A2082" i="34" s="1"/>
  <c r="A2083" i="34" s="1"/>
  <c r="A2084" i="34" s="1"/>
  <c r="A2085" i="34" s="1"/>
  <c r="A2086" i="34" s="1"/>
  <c r="A2087" i="34" s="1"/>
  <c r="A2088" i="34" s="1"/>
  <c r="A2089" i="34" s="1"/>
  <c r="A2090" i="34" s="1"/>
  <c r="A2091" i="34" s="1"/>
  <c r="A2092" i="34" s="1"/>
  <c r="A2093" i="34" s="1"/>
  <c r="A2094" i="34" s="1"/>
  <c r="A2095" i="34" s="1"/>
  <c r="A2096" i="34" s="1"/>
  <c r="A2097" i="34" s="1"/>
  <c r="A2098" i="34" s="1"/>
  <c r="A2099" i="34" s="1"/>
  <c r="A2100" i="34" s="1"/>
  <c r="A2101" i="34" s="1"/>
  <c r="A2102" i="34" s="1"/>
  <c r="A2103" i="34" s="1"/>
  <c r="A2104" i="34" s="1"/>
  <c r="A2105" i="34" s="1"/>
  <c r="A2106" i="34" s="1"/>
  <c r="A2107" i="34" s="1"/>
  <c r="A2108" i="34" s="1"/>
  <c r="A2109" i="34" s="1"/>
  <c r="A2110" i="34" s="1"/>
  <c r="A2111" i="34" s="1"/>
  <c r="A2112" i="34" s="1"/>
  <c r="A2113" i="34" s="1"/>
  <c r="A2114" i="34" s="1"/>
  <c r="A2115" i="34" s="1"/>
  <c r="A2116" i="34" s="1"/>
  <c r="A2117" i="34" s="1"/>
  <c r="A2118" i="34" s="1"/>
  <c r="A2119" i="34" s="1"/>
  <c r="A2120" i="34" s="1"/>
  <c r="A2121" i="34" s="1"/>
  <c r="A2122" i="34" s="1"/>
  <c r="A2123" i="34" s="1"/>
  <c r="A2124" i="34" s="1"/>
  <c r="A2125" i="34" s="1"/>
  <c r="A2126" i="34" s="1"/>
  <c r="A2127" i="34" s="1"/>
  <c r="A2128" i="34" s="1"/>
  <c r="A2129" i="34" s="1"/>
  <c r="A2130" i="34" s="1"/>
  <c r="A2131" i="34" s="1"/>
  <c r="A2132" i="34" s="1"/>
  <c r="A2133" i="34" s="1"/>
  <c r="A2134" i="34" s="1"/>
  <c r="A2135" i="34" s="1"/>
  <c r="A2136" i="34" s="1"/>
  <c r="A2137" i="34" s="1"/>
  <c r="A2138" i="34" s="1"/>
  <c r="A2139" i="34" s="1"/>
  <c r="A2140" i="34" s="1"/>
  <c r="A2141" i="34" s="1"/>
  <c r="A2142" i="34" s="1"/>
  <c r="A2143" i="34" s="1"/>
  <c r="A2144" i="34" s="1"/>
  <c r="A2145" i="34" s="1"/>
  <c r="A2146" i="34" s="1"/>
  <c r="A2147" i="34" s="1"/>
  <c r="A2148" i="34" s="1"/>
  <c r="A2149" i="34" s="1"/>
  <c r="A2150" i="34" s="1"/>
  <c r="A2151" i="34" s="1"/>
  <c r="A2152" i="34" s="1"/>
  <c r="A2153" i="34" s="1"/>
  <c r="A2154" i="34" s="1"/>
  <c r="A2155" i="34" s="1"/>
  <c r="A2156" i="34" s="1"/>
  <c r="A2157" i="34" s="1"/>
  <c r="A2158" i="34" s="1"/>
  <c r="A2159" i="34" s="1"/>
  <c r="A2160" i="34" s="1"/>
  <c r="A2161" i="34" s="1"/>
  <c r="A2162" i="34" s="1"/>
  <c r="A2163" i="34" s="1"/>
  <c r="A2164" i="34" s="1"/>
  <c r="A2165" i="34" s="1"/>
  <c r="A2166" i="34" s="1"/>
  <c r="A2167" i="34" s="1"/>
  <c r="A2168" i="34" s="1"/>
  <c r="A2169" i="34" s="1"/>
  <c r="A2170" i="34" s="1"/>
  <c r="A2171" i="34" s="1"/>
  <c r="A2172" i="34" s="1"/>
  <c r="A2173" i="34" s="1"/>
  <c r="A2174" i="34" s="1"/>
  <c r="A2175" i="34" s="1"/>
  <c r="A2176" i="34" s="1"/>
  <c r="A2177" i="34" s="1"/>
  <c r="A2178" i="34"/>
  <c r="A2182" i="34"/>
  <c r="A2186" i="34"/>
  <c r="A2190" i="34"/>
  <c r="A2194" i="34"/>
  <c r="A2198" i="34"/>
  <c r="A2202" i="34"/>
  <c r="A2206" i="34"/>
  <c r="A2210" i="34"/>
  <c r="A2214" i="34"/>
  <c r="A2218" i="34"/>
  <c r="A2222" i="34"/>
  <c r="A2226" i="34"/>
  <c r="A2230" i="34"/>
  <c r="A2234" i="34"/>
  <c r="A2238" i="34"/>
  <c r="A2242" i="34"/>
  <c r="A2246" i="34"/>
  <c r="A2250" i="34"/>
  <c r="A2254" i="34"/>
  <c r="A1668" i="34"/>
  <c r="A1673" i="34"/>
  <c r="A1679" i="34"/>
  <c r="A1684" i="34"/>
  <c r="A1689" i="34"/>
  <c r="A1695" i="34"/>
  <c r="A1700" i="34"/>
  <c r="A1705" i="34"/>
  <c r="A1711" i="34"/>
  <c r="A1716" i="34"/>
  <c r="A1721" i="34"/>
  <c r="A1727" i="34"/>
  <c r="A1732" i="34"/>
  <c r="A1737" i="34"/>
  <c r="A1743" i="34"/>
  <c r="A1748" i="34"/>
  <c r="A1753" i="34"/>
  <c r="A1759" i="34"/>
  <c r="A1764" i="34"/>
  <c r="A1769" i="34"/>
  <c r="A1775" i="34"/>
  <c r="A1780" i="34"/>
  <c r="A1785" i="34"/>
  <c r="A1791" i="34"/>
  <c r="A1796" i="34"/>
  <c r="A1801" i="34"/>
  <c r="A1807" i="34"/>
  <c r="A1812" i="34"/>
  <c r="A1817" i="34"/>
  <c r="A1823" i="34"/>
  <c r="A1828" i="34"/>
  <c r="A1833" i="34"/>
  <c r="A1839" i="34"/>
  <c r="A1844" i="34"/>
  <c r="A1849" i="34"/>
  <c r="A1855" i="34"/>
  <c r="A1860" i="34"/>
  <c r="A1865" i="34"/>
  <c r="A1871" i="34"/>
  <c r="A1875" i="34"/>
  <c r="A1879" i="34"/>
  <c r="A1883" i="34"/>
  <c r="A1887" i="34"/>
  <c r="A1891" i="34"/>
  <c r="A1895" i="34"/>
  <c r="A2179" i="34"/>
  <c r="A2183" i="34"/>
  <c r="A2187" i="34"/>
  <c r="A2191" i="34"/>
  <c r="A2195" i="34"/>
  <c r="A2199" i="34"/>
  <c r="A2203" i="34"/>
  <c r="A2207" i="34"/>
  <c r="A2211" i="34"/>
  <c r="A2215" i="34"/>
  <c r="A2219" i="34"/>
  <c r="A2223" i="34"/>
  <c r="A2227" i="34"/>
  <c r="A2231" i="34"/>
  <c r="A2235" i="34"/>
  <c r="A2239" i="34"/>
  <c r="A2243" i="34"/>
  <c r="A2247" i="34"/>
  <c r="A2251" i="34"/>
  <c r="A2255" i="34"/>
  <c r="A2259" i="34"/>
  <c r="A1669" i="34"/>
  <c r="A1675" i="34"/>
  <c r="A1680" i="34"/>
  <c r="A1685" i="34"/>
  <c r="A1691" i="34"/>
  <c r="A1696" i="34"/>
  <c r="A1701" i="34"/>
  <c r="A1707" i="34"/>
  <c r="A1712" i="34"/>
  <c r="A1717" i="34"/>
  <c r="A1723" i="34"/>
  <c r="A1728" i="34"/>
  <c r="A1733" i="34"/>
  <c r="A1739" i="34"/>
  <c r="A1744" i="34"/>
  <c r="A1749" i="34"/>
  <c r="A1755" i="34"/>
  <c r="A1760" i="34"/>
  <c r="A1765" i="34"/>
  <c r="A1771" i="34"/>
  <c r="A1776" i="34"/>
  <c r="A1781" i="34"/>
  <c r="A1787" i="34"/>
  <c r="A1792" i="34"/>
  <c r="A1797" i="34"/>
  <c r="A1803" i="34"/>
  <c r="A1808" i="34"/>
  <c r="A1813" i="34"/>
  <c r="A1819" i="34"/>
  <c r="A1824" i="34"/>
  <c r="A1829" i="34"/>
  <c r="A1835" i="34"/>
  <c r="A1840" i="34"/>
  <c r="A1845" i="34"/>
  <c r="A1851" i="34"/>
  <c r="A1856" i="34"/>
  <c r="A1861" i="34"/>
  <c r="A1867" i="34"/>
  <c r="A1872" i="34"/>
  <c r="A1876" i="34"/>
  <c r="A1880" i="34"/>
  <c r="A1884" i="34"/>
  <c r="A1888" i="34"/>
  <c r="A1892" i="34"/>
  <c r="A1896" i="34"/>
  <c r="A2180" i="34"/>
  <c r="A2184" i="34"/>
  <c r="A2188" i="34"/>
  <c r="A2192" i="34"/>
  <c r="A2196" i="34"/>
  <c r="A2200" i="34"/>
  <c r="A2204" i="34"/>
  <c r="A2208" i="34"/>
  <c r="A2212" i="34"/>
  <c r="A2216" i="34"/>
  <c r="A2220" i="34"/>
  <c r="A2224" i="34"/>
  <c r="A2228" i="34"/>
  <c r="A2232" i="34"/>
  <c r="A2236" i="34"/>
  <c r="A2240" i="34"/>
  <c r="A2244" i="34"/>
  <c r="A2248" i="34"/>
  <c r="A2252" i="34"/>
  <c r="A2256" i="34"/>
  <c r="A2260" i="34"/>
  <c r="A2264" i="34"/>
  <c r="A2268" i="34"/>
  <c r="A2272" i="34"/>
  <c r="A2276" i="34"/>
  <c r="A2280" i="34"/>
  <c r="A2284" i="34"/>
  <c r="A2288" i="34"/>
  <c r="A2292" i="34"/>
  <c r="A2296" i="34"/>
  <c r="A2300" i="34"/>
  <c r="A2304" i="34"/>
  <c r="A2308" i="34"/>
  <c r="A2312" i="34"/>
  <c r="A2316" i="34"/>
  <c r="A2320" i="34"/>
  <c r="A2324" i="34"/>
  <c r="A2328" i="34"/>
  <c r="A2332" i="34"/>
  <c r="A2336" i="34"/>
  <c r="A2340" i="34"/>
  <c r="A2344" i="34"/>
  <c r="A2348" i="34"/>
  <c r="A2352" i="34"/>
  <c r="A2356" i="34"/>
  <c r="A2360" i="34"/>
  <c r="A2364" i="34"/>
  <c r="A2368" i="34"/>
  <c r="A2372" i="34"/>
  <c r="A2376" i="34"/>
  <c r="A2380" i="34"/>
  <c r="A2384" i="34"/>
  <c r="A2388" i="34"/>
  <c r="A2392" i="34"/>
  <c r="A2396" i="34"/>
  <c r="A2257" i="34"/>
  <c r="A2263" i="34"/>
  <c r="A2269" i="34"/>
  <c r="A2274" i="34"/>
  <c r="A2279" i="34"/>
  <c r="A2285" i="34"/>
  <c r="A2290" i="34"/>
  <c r="A2295" i="34"/>
  <c r="A2301" i="34"/>
  <c r="A2306" i="34"/>
  <c r="A2311" i="34"/>
  <c r="A2317" i="34"/>
  <c r="A2322" i="34"/>
  <c r="A2327" i="34"/>
  <c r="A2333" i="34"/>
  <c r="A2338" i="34"/>
  <c r="A2343" i="34"/>
  <c r="A2349" i="34"/>
  <c r="A2354" i="34"/>
  <c r="A2359" i="34"/>
  <c r="A2365" i="34"/>
  <c r="A2370" i="34"/>
  <c r="A2375" i="34"/>
  <c r="A2381" i="34"/>
  <c r="A2386" i="34"/>
  <c r="A2391" i="34"/>
  <c r="A2397" i="34"/>
  <c r="A2401" i="34"/>
  <c r="A2405" i="34"/>
  <c r="A2409" i="34"/>
  <c r="A2413" i="34"/>
  <c r="A2417" i="34"/>
  <c r="A2421" i="34"/>
  <c r="A2425" i="34"/>
  <c r="A2429" i="34"/>
  <c r="A2433" i="34"/>
  <c r="A2437" i="34"/>
  <c r="A2441" i="34"/>
  <c r="A2445" i="34"/>
  <c r="A2449" i="34"/>
  <c r="A2453" i="34"/>
  <c r="A2457" i="34"/>
  <c r="A2461" i="34"/>
  <c r="A2465" i="34"/>
  <c r="A2469" i="34"/>
  <c r="A2473" i="34"/>
  <c r="A2477" i="34"/>
  <c r="A2481" i="34"/>
  <c r="A2485" i="34"/>
  <c r="A2489" i="34"/>
  <c r="A2493" i="34"/>
  <c r="A2497" i="34"/>
  <c r="A2501" i="34"/>
  <c r="A2505" i="34"/>
  <c r="A2509" i="34"/>
  <c r="A2513" i="34"/>
  <c r="A2517" i="34"/>
  <c r="A2521" i="34"/>
  <c r="A2525" i="34"/>
  <c r="A2529" i="34"/>
  <c r="A2533" i="34"/>
  <c r="A2537" i="34"/>
  <c r="A2541" i="34"/>
  <c r="A2545" i="34"/>
  <c r="A2549" i="34"/>
  <c r="A2553" i="34"/>
  <c r="A2557" i="34"/>
  <c r="A2561" i="34"/>
  <c r="A2565" i="34"/>
  <c r="A2569" i="34"/>
  <c r="A2573" i="34"/>
  <c r="A2577" i="34"/>
  <c r="A2581" i="34"/>
  <c r="A2585" i="34"/>
  <c r="A2589" i="34"/>
  <c r="A2593" i="34"/>
  <c r="A2597" i="34"/>
  <c r="A2601" i="34"/>
  <c r="A2605" i="34"/>
  <c r="A2609" i="34"/>
  <c r="A2613" i="34"/>
  <c r="A2617" i="34"/>
  <c r="A2621" i="34"/>
  <c r="A2625" i="34"/>
  <c r="A2629" i="34"/>
  <c r="A2633" i="34"/>
  <c r="A2637" i="34"/>
  <c r="A2641" i="34"/>
  <c r="A2645" i="34"/>
  <c r="A2649" i="34"/>
  <c r="A2653" i="34"/>
  <c r="A2657" i="34"/>
  <c r="A2661" i="34"/>
  <c r="A2665" i="34"/>
  <c r="A2669" i="34"/>
  <c r="A2673" i="34"/>
  <c r="A2677" i="34"/>
  <c r="A2681" i="34"/>
  <c r="A2685" i="34"/>
  <c r="A2689" i="34"/>
  <c r="A2693" i="34"/>
  <c r="A2697" i="34"/>
  <c r="A2701" i="34"/>
  <c r="A2705" i="34"/>
  <c r="A2709" i="34"/>
  <c r="A2713" i="34"/>
  <c r="A2717" i="34"/>
  <c r="A2721" i="34"/>
  <c r="A2725" i="34"/>
  <c r="A2729" i="34"/>
  <c r="A2733" i="34"/>
  <c r="A2737" i="34"/>
  <c r="A2741" i="34"/>
  <c r="A2745" i="34"/>
  <c r="A2749" i="34"/>
  <c r="A2753" i="34"/>
  <c r="A2757" i="34"/>
  <c r="A2761" i="34"/>
  <c r="A2765" i="34"/>
  <c r="A2769" i="34"/>
  <c r="A2773" i="34"/>
  <c r="A2777" i="34"/>
  <c r="A2781" i="34"/>
  <c r="A2785" i="34"/>
  <c r="A2789" i="34"/>
  <c r="A2793" i="34"/>
  <c r="A2797" i="34"/>
  <c r="A2801" i="34"/>
  <c r="A2805" i="34"/>
  <c r="A2809" i="34"/>
  <c r="A2813" i="34"/>
  <c r="A2817" i="34"/>
  <c r="A2821" i="34"/>
  <c r="A2825" i="34"/>
  <c r="A2829" i="34"/>
  <c r="A2833" i="34"/>
  <c r="A2837" i="34"/>
  <c r="A2841" i="34"/>
  <c r="A2845" i="34"/>
  <c r="A2849" i="34"/>
  <c r="A2853" i="34"/>
  <c r="A2857" i="34"/>
  <c r="A2861" i="34"/>
  <c r="A2865" i="34"/>
  <c r="A2869" i="34"/>
  <c r="A2873" i="34"/>
  <c r="A2877" i="34"/>
  <c r="A2881" i="34"/>
  <c r="A2885" i="34"/>
  <c r="A2889" i="34"/>
  <c r="A2893" i="34"/>
  <c r="A2897" i="34"/>
  <c r="A2901" i="34"/>
  <c r="A2905" i="34"/>
  <c r="A2909" i="34"/>
  <c r="A2913" i="34"/>
  <c r="A2917" i="34"/>
  <c r="A2921" i="34"/>
  <c r="A2925" i="34"/>
  <c r="A2929" i="34"/>
  <c r="A2933" i="34"/>
  <c r="A2937" i="34"/>
  <c r="A2941" i="34"/>
  <c r="A2945" i="34"/>
  <c r="A2949" i="34"/>
  <c r="A2953" i="34"/>
  <c r="A2957" i="34"/>
  <c r="A2961" i="34"/>
  <c r="A2965" i="34"/>
  <c r="A2969" i="34"/>
  <c r="A2258" i="34"/>
  <c r="A2265" i="34"/>
  <c r="A2270" i="34"/>
  <c r="A2275" i="34"/>
  <c r="A2281" i="34"/>
  <c r="A2286" i="34"/>
  <c r="A2291" i="34"/>
  <c r="A2297" i="34"/>
  <c r="A2302" i="34"/>
  <c r="A2307" i="34"/>
  <c r="A2313" i="34"/>
  <c r="A2318" i="34"/>
  <c r="A2323" i="34"/>
  <c r="A2329" i="34"/>
  <c r="A2334" i="34"/>
  <c r="A2339" i="34"/>
  <c r="A2345" i="34"/>
  <c r="A2350" i="34"/>
  <c r="A2355" i="34"/>
  <c r="A2361" i="34"/>
  <c r="A2366" i="34"/>
  <c r="A2371" i="34"/>
  <c r="A2377" i="34"/>
  <c r="A2382" i="34"/>
  <c r="A2387" i="34"/>
  <c r="A2393" i="34"/>
  <c r="A2398" i="34"/>
  <c r="A2402" i="34"/>
  <c r="A2406" i="34"/>
  <c r="A2410" i="34"/>
  <c r="A2414" i="34"/>
  <c r="A2418" i="34"/>
  <c r="A2422" i="34"/>
  <c r="A2426" i="34"/>
  <c r="A2430" i="34"/>
  <c r="A2434" i="34"/>
  <c r="A2438" i="34"/>
  <c r="A2442" i="34"/>
  <c r="A2446" i="34"/>
  <c r="A2450" i="34"/>
  <c r="A2454" i="34"/>
  <c r="A2458" i="34"/>
  <c r="A2462" i="34"/>
  <c r="A2466" i="34"/>
  <c r="A2470" i="34"/>
  <c r="A2474" i="34"/>
  <c r="A2478" i="34"/>
  <c r="A2482" i="34"/>
  <c r="A2486" i="34"/>
  <c r="A2490" i="34"/>
  <c r="A2494" i="34"/>
  <c r="A2498" i="34"/>
  <c r="A2502" i="34"/>
  <c r="A2506" i="34"/>
  <c r="A2510" i="34"/>
  <c r="A2514" i="34"/>
  <c r="A2518" i="34"/>
  <c r="A2522" i="34"/>
  <c r="A2526" i="34"/>
  <c r="A2530" i="34"/>
  <c r="A2534" i="34"/>
  <c r="A2538" i="34"/>
  <c r="A2542" i="34"/>
  <c r="A2546" i="34"/>
  <c r="A2550" i="34"/>
  <c r="A2554" i="34"/>
  <c r="A2558" i="34"/>
  <c r="A2562" i="34"/>
  <c r="A2566" i="34"/>
  <c r="A2570" i="34"/>
  <c r="A2574" i="34"/>
  <c r="A2578" i="34"/>
  <c r="A2582" i="34"/>
  <c r="A2586" i="34"/>
  <c r="A2590" i="34"/>
  <c r="A2594" i="34"/>
  <c r="A2598" i="34"/>
  <c r="A2602" i="34"/>
  <c r="A2606" i="34"/>
  <c r="A2610" i="34"/>
  <c r="A2614" i="34"/>
  <c r="A2618" i="34"/>
  <c r="A2622" i="34"/>
  <c r="A2626" i="34"/>
  <c r="A2630" i="34"/>
  <c r="A2634" i="34"/>
  <c r="A2638" i="34"/>
  <c r="A2642" i="34"/>
  <c r="A2646" i="34"/>
  <c r="A2650" i="34"/>
  <c r="A2654" i="34"/>
  <c r="A2658" i="34"/>
  <c r="A2662" i="34"/>
  <c r="A2666" i="34"/>
  <c r="A2670" i="34"/>
  <c r="A2674" i="34"/>
  <c r="A2678" i="34"/>
  <c r="A2682" i="34"/>
  <c r="A2686" i="34"/>
  <c r="A2690" i="34"/>
  <c r="A2694" i="34"/>
  <c r="A2698" i="34"/>
  <c r="A2702" i="34"/>
  <c r="A2706" i="34"/>
  <c r="A2710" i="34"/>
  <c r="A2714" i="34"/>
  <c r="A2718" i="34"/>
  <c r="A2722" i="34"/>
  <c r="A2726" i="34"/>
  <c r="A2730" i="34"/>
  <c r="A2734" i="34"/>
  <c r="A2738" i="34"/>
  <c r="A2742" i="34"/>
  <c r="A2746" i="34"/>
  <c r="A2750" i="34"/>
  <c r="A2754" i="34"/>
  <c r="A2758" i="34"/>
  <c r="A2762" i="34"/>
  <c r="A2766" i="34"/>
  <c r="A2770" i="34"/>
  <c r="A2774" i="34"/>
  <c r="A2778" i="34"/>
  <c r="A2782" i="34"/>
  <c r="A2786" i="34"/>
  <c r="A2790" i="34"/>
  <c r="A2794" i="34"/>
  <c r="A2798" i="34"/>
  <c r="A2802" i="34"/>
  <c r="A2806" i="34"/>
  <c r="A2810" i="34"/>
  <c r="A2814" i="34"/>
  <c r="A2818" i="34"/>
  <c r="A2822" i="34"/>
  <c r="A2826" i="34"/>
  <c r="A2830" i="34"/>
  <c r="A2834" i="34"/>
  <c r="A2838" i="34"/>
  <c r="A2842" i="34"/>
  <c r="A2846" i="34"/>
  <c r="A2850" i="34"/>
  <c r="A2854" i="34"/>
  <c r="A2858" i="34"/>
  <c r="A2862" i="34"/>
  <c r="A2866" i="34"/>
  <c r="A2870" i="34"/>
  <c r="A2874" i="34"/>
  <c r="A2878" i="34"/>
  <c r="A2882" i="34"/>
  <c r="A2886" i="34"/>
  <c r="A2890" i="34"/>
  <c r="A2894" i="34"/>
  <c r="A2898" i="34"/>
  <c r="A2902" i="34"/>
  <c r="A2906" i="34"/>
  <c r="A2910" i="34"/>
  <c r="A2914" i="34"/>
  <c r="A2918" i="34"/>
  <c r="A2922" i="34"/>
  <c r="A2926" i="34"/>
  <c r="A2930" i="34"/>
  <c r="A2934" i="34"/>
  <c r="A2938" i="34"/>
  <c r="A2942" i="34"/>
  <c r="A2946" i="34"/>
  <c r="A2950" i="34"/>
  <c r="A2954" i="34"/>
  <c r="A2958" i="34"/>
  <c r="A2962" i="34"/>
  <c r="A2966" i="34"/>
  <c r="A2970" i="34"/>
  <c r="A2261" i="34"/>
  <c r="A2266" i="34"/>
  <c r="A2271" i="34"/>
  <c r="A2277" i="34"/>
  <c r="A2282" i="34"/>
  <c r="A2287" i="34"/>
  <c r="A2293" i="34"/>
  <c r="A2298" i="34"/>
  <c r="A2303" i="34"/>
  <c r="A2309" i="34"/>
  <c r="A2314" i="34"/>
  <c r="A2319" i="34"/>
  <c r="A2325" i="34"/>
  <c r="A2330" i="34"/>
  <c r="A2335" i="34"/>
  <c r="A2341" i="34"/>
  <c r="A2346" i="34"/>
  <c r="A2351" i="34"/>
  <c r="A2357" i="34"/>
  <c r="A2362" i="34"/>
  <c r="A2367" i="34"/>
  <c r="A2373" i="34"/>
  <c r="A2378" i="34"/>
  <c r="A2383" i="34"/>
  <c r="A2389" i="34"/>
  <c r="A2394" i="34"/>
  <c r="A2399" i="34"/>
  <c r="A2403" i="34"/>
  <c r="A2407" i="34"/>
  <c r="A2411" i="34"/>
  <c r="A2415" i="34"/>
  <c r="A2419" i="34"/>
  <c r="A2423" i="34"/>
  <c r="A2427" i="34"/>
  <c r="A2431" i="34"/>
  <c r="A2435" i="34"/>
  <c r="A2439" i="34"/>
  <c r="A2443" i="34"/>
  <c r="A2447" i="34"/>
  <c r="A2451" i="34"/>
  <c r="A2455" i="34"/>
  <c r="A2459" i="34"/>
  <c r="A2463" i="34"/>
  <c r="A2467" i="34"/>
  <c r="A2471" i="34"/>
  <c r="A2475" i="34"/>
  <c r="A2479" i="34"/>
  <c r="A2483" i="34"/>
  <c r="A2487" i="34"/>
  <c r="A2491" i="34"/>
  <c r="A2495" i="34"/>
  <c r="A2499" i="34"/>
  <c r="A2503" i="34"/>
  <c r="A2507" i="34"/>
  <c r="A2511" i="34"/>
  <c r="A2515" i="34"/>
  <c r="A2519" i="34"/>
  <c r="A2523" i="34"/>
  <c r="A2527" i="34"/>
  <c r="A2531" i="34"/>
  <c r="A2535" i="34"/>
  <c r="A2539" i="34"/>
  <c r="A2543" i="34"/>
  <c r="A2547" i="34"/>
  <c r="A2551" i="34"/>
  <c r="A2555" i="34"/>
  <c r="A2559" i="34"/>
  <c r="A2563" i="34"/>
  <c r="A2567" i="34"/>
  <c r="A2571" i="34"/>
  <c r="A2575" i="34"/>
  <c r="A2579" i="34"/>
  <c r="A2583" i="34"/>
  <c r="A2587" i="34"/>
  <c r="A2591" i="34"/>
  <c r="A2595" i="34"/>
  <c r="A2599" i="34"/>
  <c r="A2603" i="34"/>
  <c r="A2607" i="34"/>
  <c r="A2611" i="34"/>
  <c r="A2615" i="34"/>
  <c r="A2619" i="34"/>
  <c r="A2623" i="34"/>
  <c r="A2627" i="34"/>
  <c r="A2631" i="34"/>
  <c r="A2635" i="34"/>
  <c r="A2639" i="34"/>
  <c r="A2643" i="34"/>
  <c r="A2647" i="34"/>
  <c r="A2651" i="34"/>
  <c r="A2655" i="34"/>
  <c r="A2659" i="34"/>
  <c r="A2663" i="34"/>
  <c r="A2667" i="34"/>
  <c r="A2671" i="34"/>
  <c r="A2675" i="34"/>
  <c r="A2679" i="34"/>
  <c r="A2683" i="34"/>
  <c r="A2687" i="34"/>
  <c r="A2691" i="34"/>
  <c r="A2695" i="34"/>
  <c r="A2699" i="34"/>
  <c r="A2703" i="34"/>
  <c r="A2707" i="34"/>
  <c r="A2711" i="34"/>
  <c r="A2715" i="34"/>
  <c r="A2719" i="34"/>
  <c r="A2723" i="34"/>
  <c r="A2727" i="34"/>
  <c r="A2731" i="34"/>
  <c r="A2735" i="34"/>
  <c r="A2739" i="34"/>
  <c r="A2743" i="34"/>
  <c r="A2747" i="34"/>
  <c r="A2751" i="34"/>
  <c r="A2755" i="34"/>
  <c r="A2759" i="34"/>
  <c r="A2763" i="34"/>
  <c r="A2767" i="34"/>
  <c r="A2771" i="34"/>
  <c r="A2775" i="34"/>
  <c r="A2779" i="34"/>
  <c r="A2783" i="34"/>
  <c r="A2787" i="34"/>
  <c r="A2791" i="34"/>
  <c r="A2795" i="34"/>
  <c r="A2799" i="34"/>
  <c r="A2803" i="34"/>
  <c r="A2807" i="34"/>
  <c r="A2811" i="34"/>
  <c r="A2815" i="34"/>
  <c r="A2819" i="34"/>
  <c r="A2823" i="34"/>
  <c r="A2827" i="34"/>
  <c r="A2831" i="34"/>
  <c r="A2835" i="34"/>
  <c r="A2839" i="34"/>
  <c r="A2843" i="34"/>
  <c r="A2847" i="34"/>
  <c r="A2851" i="34"/>
  <c r="A2855" i="34"/>
  <c r="A2859" i="34"/>
  <c r="A2863" i="34"/>
  <c r="A2867" i="34"/>
  <c r="A2871" i="34"/>
  <c r="A2875" i="34"/>
  <c r="A2879" i="34"/>
  <c r="A2883" i="34"/>
  <c r="A2887" i="34"/>
  <c r="A2891" i="34"/>
  <c r="A2895" i="34"/>
  <c r="A2899" i="34"/>
  <c r="A2903" i="34"/>
  <c r="A2907" i="34"/>
  <c r="A2911" i="34"/>
  <c r="A2915" i="34"/>
  <c r="A2919" i="34"/>
  <c r="A2923" i="34"/>
  <c r="A2927" i="34"/>
  <c r="A2931" i="34"/>
  <c r="A2935" i="34"/>
  <c r="A2939" i="34"/>
  <c r="A2943" i="34"/>
  <c r="A2947" i="34"/>
  <c r="A2951" i="34"/>
  <c r="A2955" i="34"/>
  <c r="A2959" i="34"/>
  <c r="A2963" i="34"/>
  <c r="A2967" i="34"/>
  <c r="A2971" i="34"/>
  <c r="A2262" i="34"/>
  <c r="A2267" i="34"/>
  <c r="A2273" i="34"/>
  <c r="A2278" i="34"/>
  <c r="A2283" i="34"/>
  <c r="A2289" i="34"/>
  <c r="A2294" i="34"/>
  <c r="A2299" i="34"/>
  <c r="A2305" i="34"/>
  <c r="A2310" i="34"/>
  <c r="A2315" i="34"/>
  <c r="A2321" i="34"/>
  <c r="A2326" i="34"/>
  <c r="A2331" i="34"/>
  <c r="A2337" i="34"/>
  <c r="A2342" i="34"/>
  <c r="A2347" i="34"/>
  <c r="A2353" i="34"/>
  <c r="A2358" i="34"/>
  <c r="A2363" i="34"/>
  <c r="A2369" i="34"/>
  <c r="A2374" i="34"/>
  <c r="A2379" i="34"/>
  <c r="A2385" i="34"/>
  <c r="A2390" i="34"/>
  <c r="A2395" i="34"/>
  <c r="A2400" i="34"/>
  <c r="A2404" i="34"/>
  <c r="A2408" i="34"/>
  <c r="A2412" i="34"/>
  <c r="A2416" i="34"/>
  <c r="A2420" i="34"/>
  <c r="A2424" i="34"/>
  <c r="A2428" i="34"/>
  <c r="A2432" i="34"/>
  <c r="A2436" i="34"/>
  <c r="A2440" i="34"/>
  <c r="A2444" i="34"/>
  <c r="A2448" i="34"/>
  <c r="A2452" i="34"/>
  <c r="A2456" i="34"/>
  <c r="A2460" i="34"/>
  <c r="A2464" i="34"/>
  <c r="A2468" i="34"/>
  <c r="A2472" i="34"/>
  <c r="A2476" i="34"/>
  <c r="A2480" i="34"/>
  <c r="A2484" i="34"/>
  <c r="A2488" i="34"/>
  <c r="A2492" i="34"/>
  <c r="A2496" i="34"/>
  <c r="A2500" i="34"/>
  <c r="A2504" i="34"/>
  <c r="A2508" i="34"/>
  <c r="A2512" i="34"/>
  <c r="A2516" i="34"/>
  <c r="A2520" i="34"/>
  <c r="A2524" i="34"/>
  <c r="A2528" i="34"/>
  <c r="A2532" i="34"/>
  <c r="A2536" i="34"/>
  <c r="A2540" i="34"/>
  <c r="A2544" i="34"/>
  <c r="A2548" i="34"/>
  <c r="A2552" i="34"/>
  <c r="A2556" i="34"/>
  <c r="A2560" i="34"/>
  <c r="A2564" i="34"/>
  <c r="A2568" i="34"/>
  <c r="A2572" i="34"/>
  <c r="A2576" i="34"/>
  <c r="A2580" i="34"/>
  <c r="A2584" i="34"/>
  <c r="A2588" i="34"/>
  <c r="A2592" i="34"/>
  <c r="A2596" i="34"/>
  <c r="A2600" i="34"/>
  <c r="A2604" i="34"/>
  <c r="A2608" i="34"/>
  <c r="A2612" i="34"/>
  <c r="A2616" i="34"/>
  <c r="A2620" i="34"/>
  <c r="A2624" i="34"/>
  <c r="A2628" i="34"/>
  <c r="A2632" i="34"/>
  <c r="A2636" i="34"/>
  <c r="A2640" i="34"/>
  <c r="A2644" i="34"/>
  <c r="A2648" i="34"/>
  <c r="A2652" i="34"/>
  <c r="A2656" i="34"/>
  <c r="A2660" i="34"/>
  <c r="A2664" i="34"/>
  <c r="A2668" i="34"/>
  <c r="A2672" i="34"/>
  <c r="A2676" i="34"/>
  <c r="A2680" i="34"/>
  <c r="A2684" i="34"/>
  <c r="A2688" i="34"/>
  <c r="A2692" i="34"/>
  <c r="A2696" i="34"/>
  <c r="A2700" i="34"/>
  <c r="A2704" i="34"/>
  <c r="A2708" i="34"/>
  <c r="A2712" i="34"/>
  <c r="A2716" i="34"/>
  <c r="A2720" i="34"/>
  <c r="A2724" i="34"/>
  <c r="A2728" i="34"/>
  <c r="A2732" i="34"/>
  <c r="A2736" i="34"/>
  <c r="A2740" i="34"/>
  <c r="A2744" i="34"/>
  <c r="A2748" i="34"/>
  <c r="A2752" i="34"/>
  <c r="A2756" i="34"/>
  <c r="A2760" i="34"/>
  <c r="A2764" i="34"/>
  <c r="A2768" i="34"/>
  <c r="A2772" i="34"/>
  <c r="A2776" i="34"/>
  <c r="A2780" i="34"/>
  <c r="A2784" i="34"/>
  <c r="A2788" i="34"/>
  <c r="A2792" i="34"/>
  <c r="A2796" i="34"/>
  <c r="A2800" i="34"/>
  <c r="A2804" i="34"/>
  <c r="A2808" i="34"/>
  <c r="A2812" i="34"/>
  <c r="A2816" i="34"/>
  <c r="A2820" i="34"/>
  <c r="A2824" i="34"/>
  <c r="A2828" i="34"/>
  <c r="A2832" i="34"/>
  <c r="A2836" i="34"/>
  <c r="A2840" i="34"/>
  <c r="A2844" i="34"/>
  <c r="A2848" i="34"/>
  <c r="A2852" i="34"/>
  <c r="A2856" i="34"/>
  <c r="A2860" i="34"/>
  <c r="A2864" i="34"/>
  <c r="A2868" i="34"/>
  <c r="A2872" i="34"/>
  <c r="A2876" i="34"/>
  <c r="A2880" i="34"/>
  <c r="A2884" i="34"/>
  <c r="A2888" i="34"/>
  <c r="A2892" i="34"/>
  <c r="A2896" i="34"/>
  <c r="A2900" i="34"/>
  <c r="A2904" i="34"/>
  <c r="A2908" i="34"/>
  <c r="A2912" i="34"/>
  <c r="A2916" i="34"/>
  <c r="A2920" i="34"/>
  <c r="A2924" i="34"/>
  <c r="A2928" i="34"/>
  <c r="A2932" i="34"/>
  <c r="A2936" i="34"/>
  <c r="A2940" i="34"/>
  <c r="A2944" i="34"/>
  <c r="A2948" i="34"/>
  <c r="A2952" i="34"/>
  <c r="A2956" i="34"/>
  <c r="A2960" i="34"/>
  <c r="A2964" i="34"/>
  <c r="A2968" i="34"/>
  <c r="A2972" i="34"/>
  <c r="A2976" i="34"/>
  <c r="A2980" i="34"/>
  <c r="A2984" i="34"/>
  <c r="A2988" i="34"/>
  <c r="A2992" i="34"/>
  <c r="A2996" i="34"/>
  <c r="A3000" i="34"/>
  <c r="A3004" i="34"/>
  <c r="A3008" i="34"/>
  <c r="A3012" i="34"/>
  <c r="A3016" i="34"/>
  <c r="A3020" i="34"/>
  <c r="A3024" i="34"/>
  <c r="A3028" i="34"/>
  <c r="A3032" i="34"/>
  <c r="A3036" i="34"/>
  <c r="A3040" i="34"/>
  <c r="A2973" i="34"/>
  <c r="A2978" i="34"/>
  <c r="A2983" i="34"/>
  <c r="A2989" i="34"/>
  <c r="A2994" i="34"/>
  <c r="A2999" i="34"/>
  <c r="A3005" i="34"/>
  <c r="A3010" i="34"/>
  <c r="A3015" i="34"/>
  <c r="A3021" i="34"/>
  <c r="A3026" i="34"/>
  <c r="A3031" i="34"/>
  <c r="A3037" i="34"/>
  <c r="A3042" i="34"/>
  <c r="A3046" i="34"/>
  <c r="A3050" i="34"/>
  <c r="A3054" i="34"/>
  <c r="A3058" i="34"/>
  <c r="A3062" i="34"/>
  <c r="A3066" i="34"/>
  <c r="A3070" i="34"/>
  <c r="A3074" i="34"/>
  <c r="A3078" i="34"/>
  <c r="A3082" i="34"/>
  <c r="A3086" i="34"/>
  <c r="A3090" i="34"/>
  <c r="A3094" i="34"/>
  <c r="A3098" i="34"/>
  <c r="A3102" i="34"/>
  <c r="A3106" i="34"/>
  <c r="A3110" i="34"/>
  <c r="A3114" i="34"/>
  <c r="A3118" i="34"/>
  <c r="A3122" i="34"/>
  <c r="A3126" i="34"/>
  <c r="A3130" i="34"/>
  <c r="A3134" i="34"/>
  <c r="A3138" i="34"/>
  <c r="A3142" i="34"/>
  <c r="A3146" i="34"/>
  <c r="A3150" i="34"/>
  <c r="A3154" i="34"/>
  <c r="A3158" i="34"/>
  <c r="A3162" i="34"/>
  <c r="A3166" i="34"/>
  <c r="A3170" i="34"/>
  <c r="A3174" i="34"/>
  <c r="A3178" i="34"/>
  <c r="A3182" i="34"/>
  <c r="A3186" i="34"/>
  <c r="A3190" i="34"/>
  <c r="A3194" i="34"/>
  <c r="A3198" i="34"/>
  <c r="A3202" i="34"/>
  <c r="A3206" i="34"/>
  <c r="A3210" i="34"/>
  <c r="A3214" i="34"/>
  <c r="A3218" i="34"/>
  <c r="A3222" i="34"/>
  <c r="A3226" i="34"/>
  <c r="A3230" i="34"/>
  <c r="A3234" i="34"/>
  <c r="A3238" i="34"/>
  <c r="A3242" i="34"/>
  <c r="A3246" i="34"/>
  <c r="A3250" i="34"/>
  <c r="A3254" i="34"/>
  <c r="A3258" i="34"/>
  <c r="A3262" i="34"/>
  <c r="A3266" i="34"/>
  <c r="A3270" i="34"/>
  <c r="A3274" i="34"/>
  <c r="A3278" i="34"/>
  <c r="A3282" i="34"/>
  <c r="A3286" i="34"/>
  <c r="A3290" i="34"/>
  <c r="A3294" i="34"/>
  <c r="A3298" i="34"/>
  <c r="A3302" i="34"/>
  <c r="A3306" i="34"/>
  <c r="A3310" i="34"/>
  <c r="A3314" i="34"/>
  <c r="A3318" i="34"/>
  <c r="A3322" i="34"/>
  <c r="A3326" i="34"/>
  <c r="A3330" i="34"/>
  <c r="A3334" i="34"/>
  <c r="A3338" i="34"/>
  <c r="A3342" i="34"/>
  <c r="A3346" i="34"/>
  <c r="A3350" i="34"/>
  <c r="A3354" i="34"/>
  <c r="A3358" i="34"/>
  <c r="A3362" i="34"/>
  <c r="A3366" i="34"/>
  <c r="A3370" i="34"/>
  <c r="A3374" i="34"/>
  <c r="A3378" i="34"/>
  <c r="A3382" i="34"/>
  <c r="A3386" i="34"/>
  <c r="A3390" i="34"/>
  <c r="A3394" i="34"/>
  <c r="A3398" i="34"/>
  <c r="A3402" i="34"/>
  <c r="A3406" i="34"/>
  <c r="A3410" i="34"/>
  <c r="A3414" i="34"/>
  <c r="A3418" i="34"/>
  <c r="A3422" i="34"/>
  <c r="A3426" i="34"/>
  <c r="A3430" i="34"/>
  <c r="A3434" i="34"/>
  <c r="A3438" i="34"/>
  <c r="A3442" i="34"/>
  <c r="A3446" i="34"/>
  <c r="A3450" i="34"/>
  <c r="A3454" i="34"/>
  <c r="A3458" i="34"/>
  <c r="A3462" i="34"/>
  <c r="A3466" i="34"/>
  <c r="A3470" i="34"/>
  <c r="A3474" i="34"/>
  <c r="A3478" i="34"/>
  <c r="A3482" i="34"/>
  <c r="A3486" i="34"/>
  <c r="A3490" i="34"/>
  <c r="A3494" i="34"/>
  <c r="A3498" i="34"/>
  <c r="A3502" i="34"/>
  <c r="A3506" i="34"/>
  <c r="A3510" i="34"/>
  <c r="A3514" i="34"/>
  <c r="A3518" i="34"/>
  <c r="A3522" i="34"/>
  <c r="A3526" i="34"/>
  <c r="A3530" i="34"/>
  <c r="A3534" i="34"/>
  <c r="A3538" i="34"/>
  <c r="A3542" i="34"/>
  <c r="A3546" i="34"/>
  <c r="A3550" i="34"/>
  <c r="A3554" i="34"/>
  <c r="A3558" i="34"/>
  <c r="A3562" i="34"/>
  <c r="A3566" i="34"/>
  <c r="A3570" i="34"/>
  <c r="A3574" i="34"/>
  <c r="A3578" i="34"/>
  <c r="A3582" i="34"/>
  <c r="A3586" i="34"/>
  <c r="A3590" i="34"/>
  <c r="A3594" i="34"/>
  <c r="A3598" i="34"/>
  <c r="A3602" i="34"/>
  <c r="A3606" i="34"/>
  <c r="A3610" i="34"/>
  <c r="A3614" i="34"/>
  <c r="A3618" i="34"/>
  <c r="A3622" i="34"/>
  <c r="A3626" i="34"/>
  <c r="A3630" i="34"/>
  <c r="A3634" i="34"/>
  <c r="A3638" i="34"/>
  <c r="A3642" i="34"/>
  <c r="A3646" i="34"/>
  <c r="A3650" i="34"/>
  <c r="A3654" i="34"/>
  <c r="A3658" i="34"/>
  <c r="A3662" i="34"/>
  <c r="A3666" i="34"/>
  <c r="A3670" i="34"/>
  <c r="A2974" i="34"/>
  <c r="A2979" i="34"/>
  <c r="A2985" i="34"/>
  <c r="A2990" i="34"/>
  <c r="A2995" i="34"/>
  <c r="A3001" i="34"/>
  <c r="A3006" i="34"/>
  <c r="A3011" i="34"/>
  <c r="A3017" i="34"/>
  <c r="A3022" i="34"/>
  <c r="A3027" i="34"/>
  <c r="A3033" i="34"/>
  <c r="A3038" i="34"/>
  <c r="A3043" i="34"/>
  <c r="A3047" i="34"/>
  <c r="A3051" i="34"/>
  <c r="A3055" i="34"/>
  <c r="A3059" i="34"/>
  <c r="A3063" i="34"/>
  <c r="A3067" i="34"/>
  <c r="A3071" i="34"/>
  <c r="A3075" i="34"/>
  <c r="A3079" i="34"/>
  <c r="A3083" i="34"/>
  <c r="A3087" i="34"/>
  <c r="A3091" i="34"/>
  <c r="A3095" i="34"/>
  <c r="A3099" i="34"/>
  <c r="A3103" i="34"/>
  <c r="A3107" i="34"/>
  <c r="A3111" i="34"/>
  <c r="A3115" i="34"/>
  <c r="A3119" i="34"/>
  <c r="A3123" i="34"/>
  <c r="A3127" i="34"/>
  <c r="A3131" i="34"/>
  <c r="A3135" i="34"/>
  <c r="A3139" i="34"/>
  <c r="A3143" i="34"/>
  <c r="A3147" i="34"/>
  <c r="A3151" i="34"/>
  <c r="A3155" i="34"/>
  <c r="A3159" i="34"/>
  <c r="A3163" i="34"/>
  <c r="A3167" i="34"/>
  <c r="A3171" i="34"/>
  <c r="A3175" i="34"/>
  <c r="A3179" i="34"/>
  <c r="A3183" i="34"/>
  <c r="A3187" i="34"/>
  <c r="A3191" i="34"/>
  <c r="A3195" i="34"/>
  <c r="A3199" i="34"/>
  <c r="A3203" i="34"/>
  <c r="A3207" i="34"/>
  <c r="A3211" i="34"/>
  <c r="A3215" i="34"/>
  <c r="A3219" i="34"/>
  <c r="A3223" i="34"/>
  <c r="A3227" i="34"/>
  <c r="A3231" i="34"/>
  <c r="A3235" i="34"/>
  <c r="A3239" i="34"/>
  <c r="A3243" i="34"/>
  <c r="A3247" i="34"/>
  <c r="A3251" i="34"/>
  <c r="A3255" i="34"/>
  <c r="A3259" i="34"/>
  <c r="A3263" i="34"/>
  <c r="A3267" i="34"/>
  <c r="A3271" i="34"/>
  <c r="A3275" i="34"/>
  <c r="A3279" i="34"/>
  <c r="A3283" i="34"/>
  <c r="A3287" i="34"/>
  <c r="A3291" i="34"/>
  <c r="A3295" i="34"/>
  <c r="A3299" i="34"/>
  <c r="A3303" i="34"/>
  <c r="A3307" i="34"/>
  <c r="A3311" i="34"/>
  <c r="A3315" i="34"/>
  <c r="A3319" i="34"/>
  <c r="A3323" i="34"/>
  <c r="A3327" i="34"/>
  <c r="A3331" i="34"/>
  <c r="A3335" i="34"/>
  <c r="A3339" i="34"/>
  <c r="A3343" i="34"/>
  <c r="A3347" i="34"/>
  <c r="A3351" i="34"/>
  <c r="A3355" i="34"/>
  <c r="A3359" i="34"/>
  <c r="A3363" i="34"/>
  <c r="A3367" i="34"/>
  <c r="A3371" i="34"/>
  <c r="A3375" i="34"/>
  <c r="A3379" i="34"/>
  <c r="A3383" i="34"/>
  <c r="A3387" i="34"/>
  <c r="A3391" i="34"/>
  <c r="A3395" i="34"/>
  <c r="A3399" i="34"/>
  <c r="A3403" i="34"/>
  <c r="A3407" i="34"/>
  <c r="A3411" i="34"/>
  <c r="A3415" i="34"/>
  <c r="A3419" i="34"/>
  <c r="A3423" i="34"/>
  <c r="A3427" i="34"/>
  <c r="A3431" i="34"/>
  <c r="A3435" i="34"/>
  <c r="A3439" i="34"/>
  <c r="A3443" i="34"/>
  <c r="A3447" i="34"/>
  <c r="A3451" i="34"/>
  <c r="A3455" i="34"/>
  <c r="A3459" i="34"/>
  <c r="A3463" i="34"/>
  <c r="A3467" i="34"/>
  <c r="A3471" i="34"/>
  <c r="A3475" i="34"/>
  <c r="A3479" i="34"/>
  <c r="A3483" i="34"/>
  <c r="A3487" i="34"/>
  <c r="A3491" i="34"/>
  <c r="A3495" i="34"/>
  <c r="A3499" i="34"/>
  <c r="A3503" i="34"/>
  <c r="A3507" i="34"/>
  <c r="A3511" i="34"/>
  <c r="A3515" i="34"/>
  <c r="A3519" i="34"/>
  <c r="A3523" i="34"/>
  <c r="A3527" i="34"/>
  <c r="A3531" i="34"/>
  <c r="A3535" i="34"/>
  <c r="A3539" i="34"/>
  <c r="A3543" i="34"/>
  <c r="A3547" i="34"/>
  <c r="A3551" i="34"/>
  <c r="A3555" i="34"/>
  <c r="A3559" i="34"/>
  <c r="A3563" i="34"/>
  <c r="A3567" i="34"/>
  <c r="A3571" i="34"/>
  <c r="A3575" i="34"/>
  <c r="A3579" i="34"/>
  <c r="A3583" i="34"/>
  <c r="A3587" i="34"/>
  <c r="A3591" i="34"/>
  <c r="A3595" i="34"/>
  <c r="A3599" i="34"/>
  <c r="A3603" i="34"/>
  <c r="A3607" i="34"/>
  <c r="A3611" i="34"/>
  <c r="A3615" i="34"/>
  <c r="A3619" i="34"/>
  <c r="A3623" i="34"/>
  <c r="A3627" i="34"/>
  <c r="A3631" i="34"/>
  <c r="A3635" i="34"/>
  <c r="A3639" i="34"/>
  <c r="A3643" i="34"/>
  <c r="A3647" i="34"/>
  <c r="A3651" i="34"/>
  <c r="A3655" i="34"/>
  <c r="A3659" i="34"/>
  <c r="A3663" i="34"/>
  <c r="A3667" i="34"/>
  <c r="A2975" i="34"/>
  <c r="A2981" i="34"/>
  <c r="A2986" i="34"/>
  <c r="A2991" i="34"/>
  <c r="A2997" i="34"/>
  <c r="A3002" i="34"/>
  <c r="A3007" i="34"/>
  <c r="A3013" i="34"/>
  <c r="A3018" i="34"/>
  <c r="A3023" i="34"/>
  <c r="A3029" i="34"/>
  <c r="A3034" i="34"/>
  <c r="A3039" i="34"/>
  <c r="A3044" i="34"/>
  <c r="A3048" i="34"/>
  <c r="A3052" i="34"/>
  <c r="A3056" i="34"/>
  <c r="A3060" i="34"/>
  <c r="A3064" i="34"/>
  <c r="A3068" i="34"/>
  <c r="A3072" i="34"/>
  <c r="A3076" i="34"/>
  <c r="A3080" i="34"/>
  <c r="A3084" i="34"/>
  <c r="A3088" i="34"/>
  <c r="A3092" i="34"/>
  <c r="A3096" i="34"/>
  <c r="A3100" i="34"/>
  <c r="A3104" i="34"/>
  <c r="A3108" i="34"/>
  <c r="A3112" i="34"/>
  <c r="A3116" i="34"/>
  <c r="A3120" i="34"/>
  <c r="A3124" i="34"/>
  <c r="A3128" i="34"/>
  <c r="A3132" i="34"/>
  <c r="A3136" i="34"/>
  <c r="A3140" i="34"/>
  <c r="A3144" i="34"/>
  <c r="A3148" i="34"/>
  <c r="A3152" i="34"/>
  <c r="A3156" i="34"/>
  <c r="A3160" i="34"/>
  <c r="A3164" i="34"/>
  <c r="A3168" i="34"/>
  <c r="A3172" i="34"/>
  <c r="A3176" i="34"/>
  <c r="A3180" i="34"/>
  <c r="A3184" i="34"/>
  <c r="A3188" i="34"/>
  <c r="A3192" i="34"/>
  <c r="A3196" i="34"/>
  <c r="A3200" i="34"/>
  <c r="A3204" i="34"/>
  <c r="A3208" i="34"/>
  <c r="A3212" i="34"/>
  <c r="A3216" i="34"/>
  <c r="A3220" i="34"/>
  <c r="A3224" i="34"/>
  <c r="A3228" i="34"/>
  <c r="A3232" i="34"/>
  <c r="A3236" i="34"/>
  <c r="A3240" i="34"/>
  <c r="A3244" i="34"/>
  <c r="A3248" i="34"/>
  <c r="A3252" i="34"/>
  <c r="A3256" i="34"/>
  <c r="A3260" i="34"/>
  <c r="A3264" i="34"/>
  <c r="A3268" i="34"/>
  <c r="A3272" i="34"/>
  <c r="A3276" i="34"/>
  <c r="A3280" i="34"/>
  <c r="A3284" i="34"/>
  <c r="A3288" i="34"/>
  <c r="A3292" i="34"/>
  <c r="A3296" i="34"/>
  <c r="A3300" i="34"/>
  <c r="A3304" i="34"/>
  <c r="A3308" i="34"/>
  <c r="A3312" i="34"/>
  <c r="A3316" i="34"/>
  <c r="A3320" i="34"/>
  <c r="A3324" i="34"/>
  <c r="A3328" i="34"/>
  <c r="A3332" i="34"/>
  <c r="A3336" i="34"/>
  <c r="A3340" i="34"/>
  <c r="A3344" i="34"/>
  <c r="A3348" i="34"/>
  <c r="A3352" i="34"/>
  <c r="A3356" i="34"/>
  <c r="A3360" i="34"/>
  <c r="A3364" i="34"/>
  <c r="A3368" i="34"/>
  <c r="A3372" i="34"/>
  <c r="A3376" i="34"/>
  <c r="A3380" i="34"/>
  <c r="A3384" i="34"/>
  <c r="A3388" i="34"/>
  <c r="A3392" i="34"/>
  <c r="A3396" i="34"/>
  <c r="A3400" i="34"/>
  <c r="A3404" i="34"/>
  <c r="A3408" i="34"/>
  <c r="A3412" i="34"/>
  <c r="A3416" i="34"/>
  <c r="A3420" i="34"/>
  <c r="A3424" i="34"/>
  <c r="A3428" i="34"/>
  <c r="A3432" i="34"/>
  <c r="A3436" i="34"/>
  <c r="A3440" i="34"/>
  <c r="A3444" i="34"/>
  <c r="A3448" i="34"/>
  <c r="A3452" i="34"/>
  <c r="A3456" i="34"/>
  <c r="A3460" i="34"/>
  <c r="A3464" i="34"/>
  <c r="A3468" i="34"/>
  <c r="A3472" i="34"/>
  <c r="A3476" i="34"/>
  <c r="A3480" i="34"/>
  <c r="A3484" i="34"/>
  <c r="A3488" i="34"/>
  <c r="A3492" i="34"/>
  <c r="A3496" i="34"/>
  <c r="A3500" i="34"/>
  <c r="A3504" i="34"/>
  <c r="A3508" i="34"/>
  <c r="A3512" i="34"/>
  <c r="A3516" i="34"/>
  <c r="A3520" i="34"/>
  <c r="A3524" i="34"/>
  <c r="A3528" i="34"/>
  <c r="A3532" i="34"/>
  <c r="A3536" i="34"/>
  <c r="A3540" i="34"/>
  <c r="A3544" i="34"/>
  <c r="A3548" i="34"/>
  <c r="A3552" i="34"/>
  <c r="A3556" i="34"/>
  <c r="A3560" i="34"/>
  <c r="A3564" i="34"/>
  <c r="A3568" i="34"/>
  <c r="A3572" i="34"/>
  <c r="A3576" i="34"/>
  <c r="A3580" i="34"/>
  <c r="A3584" i="34"/>
  <c r="A3588" i="34"/>
  <c r="A3592" i="34"/>
  <c r="A3596" i="34"/>
  <c r="A3600" i="34"/>
  <c r="A3604" i="34"/>
  <c r="A3608" i="34"/>
  <c r="A3612" i="34"/>
  <c r="A3616" i="34"/>
  <c r="A3620" i="34"/>
  <c r="A3624" i="34"/>
  <c r="A3628" i="34"/>
  <c r="A3632" i="34"/>
  <c r="A3636" i="34"/>
  <c r="A3640" i="34"/>
  <c r="A3644" i="34"/>
  <c r="A3648" i="34"/>
  <c r="A3652" i="34"/>
  <c r="A3656" i="34"/>
  <c r="A3660" i="34"/>
  <c r="A3664" i="34"/>
  <c r="A3668" i="34"/>
  <c r="A2977" i="34"/>
  <c r="A2982" i="34"/>
  <c r="A2987" i="34"/>
  <c r="A2993" i="34"/>
  <c r="A2998" i="34"/>
  <c r="A3003" i="34"/>
  <c r="A3009" i="34"/>
  <c r="A3014" i="34"/>
  <c r="A3019" i="34"/>
  <c r="A3025" i="34"/>
  <c r="A3030" i="34"/>
  <c r="A3035" i="34"/>
  <c r="A3041" i="34"/>
  <c r="A3045" i="34"/>
  <c r="A3049" i="34"/>
  <c r="A3053" i="34"/>
  <c r="A3057" i="34"/>
  <c r="A3061" i="34"/>
  <c r="A3065" i="34"/>
  <c r="A3069" i="34"/>
  <c r="A3073" i="34"/>
  <c r="A3077" i="34"/>
  <c r="A3081" i="34"/>
  <c r="A3085" i="34"/>
  <c r="A3089" i="34"/>
  <c r="A3093" i="34"/>
  <c r="A3097" i="34"/>
  <c r="A3101" i="34"/>
  <c r="A3105" i="34"/>
  <c r="A3109" i="34"/>
  <c r="A3113" i="34"/>
  <c r="A3117" i="34"/>
  <c r="A3121" i="34"/>
  <c r="A3125" i="34"/>
  <c r="A3129" i="34"/>
  <c r="A3133" i="34"/>
  <c r="A3137" i="34"/>
  <c r="A3141" i="34"/>
  <c r="A3145" i="34"/>
  <c r="A3149" i="34"/>
  <c r="A3153" i="34"/>
  <c r="A3157" i="34"/>
  <c r="A3161" i="34"/>
  <c r="A3165" i="34"/>
  <c r="A3169" i="34"/>
  <c r="A3173" i="34"/>
  <c r="A3177" i="34"/>
  <c r="A3181" i="34"/>
  <c r="A3185" i="34"/>
  <c r="A3189" i="34"/>
  <c r="A3193" i="34"/>
  <c r="A3197" i="34"/>
  <c r="A3201" i="34"/>
  <c r="A3205" i="34"/>
  <c r="A3209" i="34"/>
  <c r="A3213" i="34"/>
  <c r="A3217" i="34"/>
  <c r="A3221" i="34"/>
  <c r="A3225" i="34"/>
  <c r="A3229" i="34"/>
  <c r="A3233" i="34"/>
  <c r="A3237" i="34"/>
  <c r="A3241" i="34"/>
  <c r="A3245" i="34"/>
  <c r="A3249" i="34"/>
  <c r="A3253" i="34"/>
  <c r="A3257" i="34"/>
  <c r="A3261" i="34"/>
  <c r="A3265" i="34"/>
  <c r="A3269" i="34"/>
  <c r="A3273" i="34"/>
  <c r="A3277" i="34"/>
  <c r="A3281" i="34"/>
  <c r="A3285" i="34"/>
  <c r="A3289" i="34"/>
  <c r="A3293" i="34"/>
  <c r="A3297" i="34"/>
  <c r="A3301" i="34"/>
  <c r="A3305" i="34"/>
  <c r="A3309" i="34"/>
  <c r="A3313" i="34"/>
  <c r="A3317" i="34"/>
  <c r="A3321" i="34"/>
  <c r="A3325" i="34"/>
  <c r="A3329" i="34"/>
  <c r="A3333" i="34"/>
  <c r="A3337" i="34"/>
  <c r="A3341" i="34"/>
  <c r="A3345" i="34"/>
  <c r="A3349" i="34"/>
  <c r="A3353" i="34"/>
  <c r="A3357" i="34"/>
  <c r="A3361" i="34"/>
  <c r="A3365" i="34"/>
  <c r="A3369" i="34"/>
  <c r="A3373" i="34"/>
  <c r="A3377" i="34"/>
  <c r="A3381" i="34"/>
  <c r="A3385" i="34"/>
  <c r="A3389" i="34"/>
  <c r="A3393" i="34"/>
  <c r="A3397" i="34"/>
  <c r="A3401" i="34"/>
  <c r="A3405" i="34"/>
  <c r="A3409" i="34"/>
  <c r="A3413" i="34"/>
  <c r="A3417" i="34"/>
  <c r="A3421" i="34"/>
  <c r="A3425" i="34"/>
  <c r="A3429" i="34"/>
  <c r="A3433" i="34"/>
  <c r="A3437" i="34"/>
  <c r="A3441" i="34"/>
  <c r="A3445" i="34"/>
  <c r="A3449" i="34"/>
  <c r="A3453" i="34"/>
  <c r="A3457" i="34"/>
  <c r="A3461" i="34"/>
  <c r="A3465" i="34"/>
  <c r="A3469" i="34"/>
  <c r="A3473" i="34"/>
  <c r="A3477" i="34"/>
  <c r="A3481" i="34"/>
  <c r="A3485" i="34"/>
  <c r="A3489" i="34"/>
  <c r="A3493" i="34"/>
  <c r="A3497" i="34"/>
  <c r="A3501" i="34"/>
  <c r="A3505" i="34"/>
  <c r="A3509" i="34"/>
  <c r="A3513" i="34"/>
  <c r="A3517" i="34"/>
  <c r="A3521" i="34"/>
  <c r="A3525" i="34"/>
  <c r="A3529" i="34"/>
  <c r="A3533" i="34"/>
  <c r="A3537" i="34"/>
  <c r="A3541" i="34"/>
  <c r="A3545" i="34"/>
  <c r="A3549" i="34"/>
  <c r="A3553" i="34"/>
  <c r="A3557" i="34"/>
  <c r="A3561" i="34"/>
  <c r="A3565" i="34"/>
  <c r="A3569" i="34"/>
  <c r="A3573" i="34"/>
  <c r="A3577" i="34"/>
  <c r="A3581" i="34"/>
  <c r="A3585" i="34"/>
  <c r="A3589" i="34"/>
  <c r="A3593" i="34"/>
  <c r="A3597" i="34"/>
  <c r="A3601" i="34"/>
  <c r="A3605" i="34"/>
  <c r="A3609" i="34"/>
  <c r="A3613" i="34"/>
  <c r="A3617" i="34"/>
  <c r="A3621" i="34"/>
  <c r="A3625" i="34"/>
  <c r="A3629" i="34"/>
  <c r="A3633" i="34"/>
  <c r="A3637" i="34"/>
  <c r="A3641" i="34"/>
  <c r="A3645" i="34"/>
  <c r="A3649" i="34"/>
  <c r="A3653" i="34"/>
  <c r="A3657" i="34"/>
  <c r="A3661" i="34"/>
  <c r="A3665" i="34"/>
  <c r="A3669" i="34"/>
  <c r="A3673" i="34"/>
  <c r="A3677" i="34"/>
  <c r="A3681" i="34"/>
  <c r="A3685" i="34"/>
  <c r="A3689" i="34"/>
  <c r="A3693" i="34"/>
  <c r="A3697" i="34"/>
  <c r="A3701" i="34"/>
  <c r="A3705" i="34"/>
  <c r="A3709" i="34"/>
  <c r="A3713" i="34"/>
  <c r="A3717" i="34"/>
  <c r="A3721" i="34"/>
  <c r="A3725" i="34"/>
  <c r="A3729" i="34"/>
  <c r="A3733" i="34"/>
  <c r="A3737" i="34"/>
  <c r="A3741" i="34"/>
  <c r="A3745" i="34"/>
  <c r="A3749" i="34"/>
  <c r="A3753" i="34"/>
  <c r="A3757" i="34"/>
  <c r="A3761" i="34"/>
  <c r="A3765" i="34"/>
  <c r="A3769" i="34"/>
  <c r="A3773" i="34"/>
  <c r="A3777" i="34"/>
  <c r="A3781" i="34"/>
  <c r="A3785" i="34"/>
  <c r="A3789" i="34"/>
  <c r="A3793" i="34"/>
  <c r="A3671" i="34"/>
  <c r="A3676" i="34"/>
  <c r="A3682" i="34"/>
  <c r="A3687" i="34"/>
  <c r="A3692" i="34"/>
  <c r="A3698" i="34"/>
  <c r="A3703" i="34"/>
  <c r="A3708" i="34"/>
  <c r="A3714" i="34"/>
  <c r="A3719" i="34"/>
  <c r="A3724" i="34"/>
  <c r="A3730" i="34"/>
  <c r="A3735" i="34"/>
  <c r="A3740" i="34"/>
  <c r="A3746" i="34"/>
  <c r="A3751" i="34"/>
  <c r="A3756" i="34"/>
  <c r="A3762" i="34"/>
  <c r="A3767" i="34"/>
  <c r="A3772" i="34"/>
  <c r="A3778" i="34"/>
  <c r="A3783" i="34"/>
  <c r="A3788" i="34"/>
  <c r="A3794" i="34"/>
  <c r="A3798" i="34"/>
  <c r="A3802" i="34"/>
  <c r="A3806" i="34"/>
  <c r="A3810" i="34"/>
  <c r="A3814" i="34"/>
  <c r="A3818" i="34"/>
  <c r="A3822" i="34"/>
  <c r="A3826" i="34"/>
  <c r="A3830" i="34"/>
  <c r="A3834" i="34"/>
  <c r="A3838" i="34"/>
  <c r="A3842" i="34"/>
  <c r="A3846" i="34"/>
  <c r="A3850" i="34"/>
  <c r="A3854" i="34"/>
  <c r="A3858" i="34"/>
  <c r="A3862" i="34"/>
  <c r="A3866" i="34"/>
  <c r="A3870" i="34"/>
  <c r="A3874" i="34"/>
  <c r="A3878" i="34"/>
  <c r="A3882" i="34"/>
  <c r="A3886" i="34"/>
  <c r="A3890" i="34"/>
  <c r="A3894" i="34"/>
  <c r="A3898" i="34"/>
  <c r="A3902" i="34"/>
  <c r="A3906" i="34"/>
  <c r="A3910" i="34"/>
  <c r="A3914" i="34"/>
  <c r="A3918" i="34"/>
  <c r="A3922" i="34"/>
  <c r="A3926" i="34"/>
  <c r="A3930" i="34"/>
  <c r="A3934" i="34"/>
  <c r="A3938" i="34"/>
  <c r="A3942" i="34"/>
  <c r="A3946" i="34"/>
  <c r="A3950" i="34"/>
  <c r="A3954" i="34"/>
  <c r="A3958" i="34"/>
  <c r="A3962" i="34"/>
  <c r="A3966" i="34"/>
  <c r="A3970" i="34"/>
  <c r="A3974" i="34"/>
  <c r="A3978" i="34"/>
  <c r="A3982" i="34"/>
  <c r="A3986" i="34"/>
  <c r="A3990" i="34"/>
  <c r="A3994" i="34"/>
  <c r="A3998" i="34"/>
  <c r="A4002" i="34"/>
  <c r="A4006" i="34"/>
  <c r="A4010" i="34"/>
  <c r="A4014" i="34"/>
  <c r="A4018" i="34"/>
  <c r="A4022" i="34"/>
  <c r="A4026" i="34"/>
  <c r="A4030" i="34"/>
  <c r="A4034" i="34"/>
  <c r="A4038" i="34"/>
  <c r="A4042" i="34"/>
  <c r="A4046" i="34"/>
  <c r="A4050" i="34"/>
  <c r="A4054" i="34"/>
  <c r="A4058" i="34"/>
  <c r="A4062" i="34"/>
  <c r="A4066" i="34"/>
  <c r="A4070" i="34"/>
  <c r="A4074" i="34"/>
  <c r="A4078" i="34"/>
  <c r="A4082" i="34"/>
  <c r="A4086" i="34"/>
  <c r="A4090" i="34"/>
  <c r="A4094" i="34"/>
  <c r="A4098" i="34"/>
  <c r="A4102" i="34"/>
  <c r="A4106" i="34"/>
  <c r="A4110" i="34"/>
  <c r="A4114" i="34"/>
  <c r="A4118" i="34"/>
  <c r="A4122" i="34"/>
  <c r="A4126" i="34"/>
  <c r="A4130" i="34"/>
  <c r="A4134" i="34"/>
  <c r="A4138" i="34"/>
  <c r="A4142" i="34"/>
  <c r="A4146" i="34"/>
  <c r="A4150" i="34"/>
  <c r="A4154" i="34"/>
  <c r="A4158" i="34"/>
  <c r="A4162" i="34"/>
  <c r="A4166" i="34"/>
  <c r="A4170" i="34"/>
  <c r="A4174" i="34"/>
  <c r="A4178" i="34"/>
  <c r="A4182" i="34"/>
  <c r="A4186" i="34"/>
  <c r="A4190" i="34"/>
  <c r="A4194" i="34"/>
  <c r="A4198" i="34"/>
  <c r="A4202" i="34"/>
  <c r="A4206" i="34"/>
  <c r="A4210" i="34"/>
  <c r="A4214" i="34"/>
  <c r="A4218" i="34"/>
  <c r="A4222" i="34"/>
  <c r="A4226" i="34"/>
  <c r="A4230" i="34"/>
  <c r="A4234" i="34"/>
  <c r="A4238" i="34"/>
  <c r="A4242" i="34"/>
  <c r="A4246" i="34"/>
  <c r="A4250" i="34"/>
  <c r="A4254" i="34"/>
  <c r="A4258" i="34"/>
  <c r="A4262" i="34"/>
  <c r="A4266" i="34"/>
  <c r="A4270" i="34"/>
  <c r="A4274" i="34"/>
  <c r="A4278" i="34"/>
  <c r="A4282" i="34"/>
  <c r="A4286" i="34"/>
  <c r="A4290" i="34"/>
  <c r="A4294" i="34"/>
  <c r="A4298" i="34"/>
  <c r="A4302" i="34"/>
  <c r="A4306" i="34"/>
  <c r="A4310" i="34"/>
  <c r="A4314" i="34"/>
  <c r="A4318" i="34"/>
  <c r="A4322" i="34"/>
  <c r="A4326" i="34"/>
  <c r="A4330" i="34"/>
  <c r="A4334" i="34"/>
  <c r="A4338" i="34"/>
  <c r="A4342" i="34"/>
  <c r="A4346" i="34"/>
  <c r="A4350" i="34"/>
  <c r="A4354" i="34"/>
  <c r="A4358" i="34"/>
  <c r="A4362" i="34"/>
  <c r="A4366" i="34"/>
  <c r="A4370" i="34"/>
  <c r="A4374" i="34"/>
  <c r="A4378" i="34"/>
  <c r="A4382" i="34"/>
  <c r="A4386" i="34"/>
  <c r="A4390" i="34"/>
  <c r="A4394" i="34"/>
  <c r="A3672" i="34"/>
  <c r="A3678" i="34"/>
  <c r="A3683" i="34"/>
  <c r="A3688" i="34"/>
  <c r="A3694" i="34"/>
  <c r="A3699" i="34"/>
  <c r="A3704" i="34"/>
  <c r="A3710" i="34"/>
  <c r="A3715" i="34"/>
  <c r="A3720" i="34"/>
  <c r="A3726" i="34"/>
  <c r="A3731" i="34"/>
  <c r="A3736" i="34"/>
  <c r="A3742" i="34"/>
  <c r="A3747" i="34"/>
  <c r="A3752" i="34"/>
  <c r="A3758" i="34"/>
  <c r="A3763" i="34"/>
  <c r="A3768" i="34"/>
  <c r="A3774" i="34"/>
  <c r="A3779" i="34"/>
  <c r="A3784" i="34"/>
  <c r="A3790" i="34"/>
  <c r="A3795" i="34"/>
  <c r="A3799" i="34"/>
  <c r="A3803" i="34"/>
  <c r="A3807" i="34"/>
  <c r="A3811" i="34"/>
  <c r="A3815" i="34"/>
  <c r="A3819" i="34"/>
  <c r="A3823" i="34"/>
  <c r="A3827" i="34"/>
  <c r="A3831" i="34"/>
  <c r="A3835" i="34"/>
  <c r="A3839" i="34"/>
  <c r="A3843" i="34"/>
  <c r="A3847" i="34"/>
  <c r="A3851" i="34"/>
  <c r="A3855" i="34"/>
  <c r="A3859" i="34"/>
  <c r="A3863" i="34"/>
  <c r="A3867" i="34"/>
  <c r="A3871" i="34"/>
  <c r="A3875" i="34"/>
  <c r="A3879" i="34"/>
  <c r="A3883" i="34"/>
  <c r="A3887" i="34"/>
  <c r="A3891" i="34"/>
  <c r="A3895" i="34"/>
  <c r="A3899" i="34"/>
  <c r="A3903" i="34"/>
  <c r="A3907" i="34"/>
  <c r="A3911" i="34"/>
  <c r="A3915" i="34"/>
  <c r="A3919" i="34"/>
  <c r="A3923" i="34"/>
  <c r="A3927" i="34"/>
  <c r="A3931" i="34"/>
  <c r="A3935" i="34"/>
  <c r="A3939" i="34"/>
  <c r="A3943" i="34"/>
  <c r="A3947" i="34"/>
  <c r="A3951" i="34"/>
  <c r="A3955" i="34"/>
  <c r="A3959" i="34"/>
  <c r="A3963" i="34"/>
  <c r="A3967" i="34"/>
  <c r="A3971" i="34"/>
  <c r="A3975" i="34"/>
  <c r="A3979" i="34"/>
  <c r="A3983" i="34"/>
  <c r="A3987" i="34"/>
  <c r="A3991" i="34"/>
  <c r="A3995" i="34"/>
  <c r="A3999" i="34"/>
  <c r="A4003" i="34"/>
  <c r="A4007" i="34"/>
  <c r="A4011" i="34"/>
  <c r="A4015" i="34"/>
  <c r="A4019" i="34"/>
  <c r="A4023" i="34"/>
  <c r="A4027" i="34"/>
  <c r="A4031" i="34"/>
  <c r="A4035" i="34"/>
  <c r="A4039" i="34"/>
  <c r="A4043" i="34"/>
  <c r="A4047" i="34"/>
  <c r="A4051" i="34"/>
  <c r="A4055" i="34"/>
  <c r="A4059" i="34"/>
  <c r="A4063" i="34"/>
  <c r="A4067" i="34"/>
  <c r="A4071" i="34"/>
  <c r="A4075" i="34"/>
  <c r="A4079" i="34"/>
  <c r="A4083" i="34"/>
  <c r="A4087" i="34"/>
  <c r="A4091" i="34"/>
  <c r="A4095" i="34"/>
  <c r="A4099" i="34"/>
  <c r="A4103" i="34"/>
  <c r="A4107" i="34"/>
  <c r="A4111" i="34"/>
  <c r="A4115" i="34"/>
  <c r="A4119" i="34"/>
  <c r="A4123" i="34"/>
  <c r="A4127" i="34"/>
  <c r="A4131" i="34"/>
  <c r="A4135" i="34"/>
  <c r="A4139" i="34"/>
  <c r="A4143" i="34"/>
  <c r="A4147" i="34"/>
  <c r="A4151" i="34"/>
  <c r="A4155" i="34"/>
  <c r="A4159" i="34"/>
  <c r="A4163" i="34"/>
  <c r="A4167" i="34"/>
  <c r="A4171" i="34"/>
  <c r="A4175" i="34"/>
  <c r="A4179" i="34"/>
  <c r="A4183" i="34"/>
  <c r="A4187" i="34"/>
  <c r="A4191" i="34"/>
  <c r="A4195" i="34"/>
  <c r="A4199" i="34"/>
  <c r="A4203" i="34"/>
  <c r="A4207" i="34"/>
  <c r="A4211" i="34"/>
  <c r="A4215" i="34"/>
  <c r="A4219" i="34"/>
  <c r="A4223" i="34"/>
  <c r="A4227" i="34"/>
  <c r="A4231" i="34"/>
  <c r="A4235" i="34"/>
  <c r="A4239" i="34"/>
  <c r="A4243" i="34"/>
  <c r="A4247" i="34"/>
  <c r="A4251" i="34"/>
  <c r="A4255" i="34"/>
  <c r="A4259" i="34"/>
  <c r="A4263" i="34"/>
  <c r="A4267" i="34"/>
  <c r="A4271" i="34"/>
  <c r="A4275" i="34"/>
  <c r="A4279" i="34"/>
  <c r="A4283" i="34"/>
  <c r="A4287" i="34"/>
  <c r="A4291" i="34"/>
  <c r="A4295" i="34"/>
  <c r="A4299" i="34"/>
  <c r="A4303" i="34"/>
  <c r="A4307" i="34"/>
  <c r="A4311" i="34"/>
  <c r="A4315" i="34"/>
  <c r="A4319" i="34"/>
  <c r="A4323" i="34"/>
  <c r="A4327" i="34"/>
  <c r="A4331" i="34"/>
  <c r="A4335" i="34"/>
  <c r="A4339" i="34"/>
  <c r="A4343" i="34"/>
  <c r="A4347" i="34"/>
  <c r="A4351" i="34"/>
  <c r="A4355" i="34"/>
  <c r="A4359" i="34"/>
  <c r="A4363" i="34"/>
  <c r="A4367" i="34"/>
  <c r="A4371" i="34"/>
  <c r="A4375" i="34"/>
  <c r="A4379" i="34"/>
  <c r="A4383" i="34"/>
  <c r="A4387" i="34"/>
  <c r="A4391" i="34"/>
  <c r="A4395" i="34"/>
  <c r="A4399" i="34"/>
  <c r="A4403" i="34"/>
  <c r="A4407" i="34"/>
  <c r="A3674" i="34"/>
  <c r="A3679" i="34"/>
  <c r="A3684" i="34"/>
  <c r="A3690" i="34"/>
  <c r="A3695" i="34"/>
  <c r="A3700" i="34"/>
  <c r="A3706" i="34"/>
  <c r="A3711" i="34"/>
  <c r="A3716" i="34"/>
  <c r="A3722" i="34"/>
  <c r="A3727" i="34"/>
  <c r="A3732" i="34"/>
  <c r="A3738" i="34"/>
  <c r="A3743" i="34"/>
  <c r="A3748" i="34"/>
  <c r="A3754" i="34"/>
  <c r="A3759" i="34"/>
  <c r="A3764" i="34"/>
  <c r="A3770" i="34"/>
  <c r="A3775" i="34"/>
  <c r="A3780" i="34"/>
  <c r="A3786" i="34"/>
  <c r="A3791" i="34"/>
  <c r="A3796" i="34"/>
  <c r="A3800" i="34"/>
  <c r="A3804" i="34"/>
  <c r="A3808" i="34"/>
  <c r="A3812" i="34"/>
  <c r="A3816" i="34"/>
  <c r="A3820" i="34"/>
  <c r="A3824" i="34"/>
  <c r="A3828" i="34"/>
  <c r="A3832" i="34"/>
  <c r="A3836" i="34"/>
  <c r="A3840" i="34"/>
  <c r="A3844" i="34"/>
  <c r="A3848" i="34"/>
  <c r="A3852" i="34"/>
  <c r="A3856" i="34"/>
  <c r="A3860" i="34"/>
  <c r="A3864" i="34"/>
  <c r="A3868" i="34"/>
  <c r="A3872" i="34"/>
  <c r="A3876" i="34"/>
  <c r="A3880" i="34"/>
  <c r="A3884" i="34"/>
  <c r="A3888" i="34"/>
  <c r="A3892" i="34"/>
  <c r="A3896" i="34"/>
  <c r="A3900" i="34"/>
  <c r="A3904" i="34"/>
  <c r="A3908" i="34"/>
  <c r="A3912" i="34"/>
  <c r="A3916" i="34"/>
  <c r="A3920" i="34"/>
  <c r="A3924" i="34"/>
  <c r="A3928" i="34"/>
  <c r="A3932" i="34"/>
  <c r="A3936" i="34"/>
  <c r="A3940" i="34"/>
  <c r="A3944" i="34"/>
  <c r="A3948" i="34"/>
  <c r="A3952" i="34"/>
  <c r="A3956" i="34"/>
  <c r="A3960" i="34"/>
  <c r="A3964" i="34"/>
  <c r="A3968" i="34"/>
  <c r="A3972" i="34"/>
  <c r="A3976" i="34"/>
  <c r="A3980" i="34"/>
  <c r="A3984" i="34"/>
  <c r="A3988" i="34"/>
  <c r="A3992" i="34"/>
  <c r="A3996" i="34"/>
  <c r="A4000" i="34"/>
  <c r="A4004" i="34"/>
  <c r="A4008" i="34"/>
  <c r="A4012" i="34"/>
  <c r="A4016" i="34"/>
  <c r="A4020" i="34"/>
  <c r="A4024" i="34"/>
  <c r="A4028" i="34"/>
  <c r="A4032" i="34"/>
  <c r="A4036" i="34"/>
  <c r="A4040" i="34"/>
  <c r="A4044" i="34"/>
  <c r="A4048" i="34"/>
  <c r="A4052" i="34"/>
  <c r="A4056" i="34"/>
  <c r="A4060" i="34"/>
  <c r="A4064" i="34"/>
  <c r="A4068" i="34"/>
  <c r="A4072" i="34"/>
  <c r="A4076" i="34"/>
  <c r="A4080" i="34"/>
  <c r="A4084" i="34"/>
  <c r="A4088" i="34"/>
  <c r="A4092" i="34"/>
  <c r="A4096" i="34"/>
  <c r="A4100" i="34"/>
  <c r="A4104" i="34"/>
  <c r="A4108" i="34"/>
  <c r="A4112" i="34"/>
  <c r="A4116" i="34"/>
  <c r="A4120" i="34"/>
  <c r="A4124" i="34"/>
  <c r="A4128" i="34"/>
  <c r="A4132" i="34"/>
  <c r="A4136" i="34"/>
  <c r="A4140" i="34"/>
  <c r="A4144" i="34"/>
  <c r="A4148" i="34"/>
  <c r="A4152" i="34"/>
  <c r="A4156" i="34"/>
  <c r="A4160" i="34"/>
  <c r="A4164" i="34"/>
  <c r="A4168" i="34"/>
  <c r="A4172" i="34"/>
  <c r="A4176" i="34"/>
  <c r="A4180" i="34"/>
  <c r="A4184" i="34"/>
  <c r="A4188" i="34"/>
  <c r="A4192" i="34"/>
  <c r="A4196" i="34"/>
  <c r="A4200" i="34"/>
  <c r="A4204" i="34"/>
  <c r="A4208" i="34"/>
  <c r="A4212" i="34"/>
  <c r="A4216" i="34"/>
  <c r="A4220" i="34"/>
  <c r="A4224" i="34"/>
  <c r="A4228" i="34"/>
  <c r="A4232" i="34"/>
  <c r="A4236" i="34"/>
  <c r="A4240" i="34"/>
  <c r="A4244" i="34"/>
  <c r="A4248" i="34"/>
  <c r="A4252" i="34"/>
  <c r="A4256" i="34"/>
  <c r="A4260" i="34"/>
  <c r="A4264" i="34"/>
  <c r="A4268" i="34"/>
  <c r="A4272" i="34"/>
  <c r="A4276" i="34"/>
  <c r="A4280" i="34"/>
  <c r="A4284" i="34"/>
  <c r="A4288" i="34"/>
  <c r="A4292" i="34"/>
  <c r="A4296" i="34"/>
  <c r="A4300" i="34"/>
  <c r="A4304" i="34"/>
  <c r="A4308" i="34"/>
  <c r="A4312" i="34"/>
  <c r="A4316" i="34"/>
  <c r="A4320" i="34"/>
  <c r="A4324" i="34"/>
  <c r="A4328" i="34"/>
  <c r="A4332" i="34"/>
  <c r="A4336" i="34"/>
  <c r="A4340" i="34"/>
  <c r="A4344" i="34"/>
  <c r="A4348" i="34"/>
  <c r="A4352" i="34"/>
  <c r="A4356" i="34"/>
  <c r="A4360" i="34"/>
  <c r="A4364" i="34"/>
  <c r="A4368" i="34"/>
  <c r="A4372" i="34"/>
  <c r="A4376" i="34"/>
  <c r="A4380" i="34"/>
  <c r="A3675" i="34"/>
  <c r="A3680" i="34"/>
  <c r="A3686" i="34"/>
  <c r="A3691" i="34"/>
  <c r="A3696" i="34"/>
  <c r="A3702" i="34"/>
  <c r="A3707" i="34"/>
  <c r="A3712" i="34"/>
  <c r="A3718" i="34"/>
  <c r="A3723" i="34"/>
  <c r="A3728" i="34"/>
  <c r="A3734" i="34"/>
  <c r="A3739" i="34"/>
  <c r="A3744" i="34"/>
  <c r="A3750" i="34"/>
  <c r="A3755" i="34"/>
  <c r="A3760" i="34"/>
  <c r="A3766" i="34"/>
  <c r="A3771" i="34"/>
  <c r="A3776" i="34"/>
  <c r="A3782" i="34"/>
  <c r="A3787" i="34"/>
  <c r="A3792" i="34"/>
  <c r="A3797" i="34"/>
  <c r="A3801" i="34"/>
  <c r="A3805" i="34"/>
  <c r="A3809" i="34"/>
  <c r="A3813" i="34"/>
  <c r="A3817" i="34"/>
  <c r="A3821" i="34"/>
  <c r="A3825" i="34"/>
  <c r="A3829" i="34"/>
  <c r="A3833" i="34"/>
  <c r="A3837" i="34"/>
  <c r="A3841" i="34"/>
  <c r="A3845" i="34"/>
  <c r="A3849" i="34"/>
  <c r="A3853" i="34"/>
  <c r="A3857" i="34"/>
  <c r="A3861" i="34"/>
  <c r="A3865" i="34"/>
  <c r="A3869" i="34"/>
  <c r="A3873" i="34"/>
  <c r="A3877" i="34"/>
  <c r="A3881" i="34"/>
  <c r="A3885" i="34"/>
  <c r="A3889" i="34"/>
  <c r="A3893" i="34"/>
  <c r="A3897" i="34"/>
  <c r="A3901" i="34"/>
  <c r="A3905" i="34"/>
  <c r="A3909" i="34"/>
  <c r="A3913" i="34"/>
  <c r="A3917" i="34"/>
  <c r="A3921" i="34"/>
  <c r="A3925" i="34"/>
  <c r="A3929" i="34"/>
  <c r="A3933" i="34"/>
  <c r="A3937" i="34"/>
  <c r="A3941" i="34"/>
  <c r="A3945" i="34"/>
  <c r="A3949" i="34"/>
  <c r="A3953" i="34"/>
  <c r="A3957" i="34"/>
  <c r="A3961" i="34"/>
  <c r="A3965" i="34"/>
  <c r="A3969" i="34"/>
  <c r="A3973" i="34"/>
  <c r="A3977" i="34"/>
  <c r="A3981" i="34"/>
  <c r="A3985" i="34"/>
  <c r="A3989" i="34"/>
  <c r="A3993" i="34"/>
  <c r="A3997" i="34"/>
  <c r="A4001" i="34"/>
  <c r="A4005" i="34"/>
  <c r="A4009" i="34"/>
  <c r="A4013" i="34"/>
  <c r="A4017" i="34"/>
  <c r="A4021" i="34"/>
  <c r="A4025" i="34"/>
  <c r="A4029" i="34"/>
  <c r="A4033" i="34"/>
  <c r="A4037" i="34"/>
  <c r="A4041" i="34"/>
  <c r="A4045" i="34"/>
  <c r="A4049" i="34"/>
  <c r="A4053" i="34"/>
  <c r="A4057" i="34"/>
  <c r="A4061" i="34"/>
  <c r="A4065" i="34"/>
  <c r="A4069" i="34"/>
  <c r="A4073" i="34"/>
  <c r="A4077" i="34"/>
  <c r="A4081" i="34"/>
  <c r="A4085" i="34"/>
  <c r="A4089" i="34"/>
  <c r="A4093" i="34"/>
  <c r="A4097" i="34"/>
  <c r="A4101" i="34"/>
  <c r="A4105" i="34"/>
  <c r="A4109" i="34"/>
  <c r="A4113" i="34"/>
  <c r="A4117" i="34"/>
  <c r="A4121" i="34"/>
  <c r="A4125" i="34"/>
  <c r="A4129" i="34"/>
  <c r="A4133" i="34"/>
  <c r="A4137" i="34"/>
  <c r="A4141" i="34"/>
  <c r="A4145" i="34"/>
  <c r="A4149" i="34"/>
  <c r="A4153" i="34"/>
  <c r="A4157" i="34"/>
  <c r="A4161" i="34"/>
  <c r="A4165" i="34"/>
  <c r="A4169" i="34"/>
  <c r="A4173" i="34"/>
  <c r="A4177" i="34"/>
  <c r="A4181" i="34"/>
  <c r="A4185" i="34"/>
  <c r="A4189" i="34"/>
  <c r="A4193" i="34"/>
  <c r="A4197" i="34"/>
  <c r="A4201" i="34"/>
  <c r="A4205" i="34"/>
  <c r="A4209" i="34"/>
  <c r="A4213" i="34"/>
  <c r="A4217" i="34"/>
  <c r="A4221" i="34"/>
  <c r="A4225" i="34"/>
  <c r="A4229" i="34"/>
  <c r="A4233" i="34"/>
  <c r="A4237" i="34"/>
  <c r="A4241" i="34"/>
  <c r="A4245" i="34"/>
  <c r="A4249" i="34"/>
  <c r="A4253" i="34"/>
  <c r="A4257" i="34"/>
  <c r="A4261" i="34"/>
  <c r="A4265" i="34"/>
  <c r="A4269" i="34"/>
  <c r="A4273" i="34"/>
  <c r="A4277" i="34"/>
  <c r="A4281" i="34"/>
  <c r="A4285" i="34"/>
  <c r="A4289" i="34"/>
  <c r="A4293" i="34"/>
  <c r="A4297" i="34"/>
  <c r="A4301" i="34"/>
  <c r="A4305" i="34"/>
  <c r="A4309" i="34"/>
  <c r="A4313" i="34"/>
  <c r="A4317" i="34"/>
  <c r="A4321" i="34"/>
  <c r="A4325" i="34"/>
  <c r="A4329" i="34"/>
  <c r="A4333" i="34"/>
  <c r="A4337" i="34"/>
  <c r="A4341" i="34"/>
  <c r="A4345" i="34"/>
  <c r="A4349" i="34"/>
  <c r="A4353" i="34"/>
  <c r="A4357" i="34"/>
  <c r="A4361" i="34"/>
  <c r="A4365" i="34"/>
  <c r="A4369" i="34"/>
  <c r="A4373" i="34"/>
  <c r="A4377" i="34"/>
  <c r="A4381" i="34"/>
  <c r="A4385" i="34"/>
  <c r="A4389" i="34"/>
  <c r="A4393" i="34"/>
  <c r="A4397" i="34"/>
  <c r="A4401" i="34"/>
  <c r="A4405" i="34"/>
  <c r="A4409" i="34"/>
  <c r="A4413" i="34"/>
  <c r="A4417" i="34"/>
  <c r="A4421" i="34"/>
  <c r="A4425" i="34"/>
  <c r="A4429" i="34"/>
  <c r="A4433" i="34"/>
  <c r="A4437" i="34"/>
  <c r="A4441" i="34"/>
  <c r="A4445" i="34"/>
  <c r="A4449" i="34"/>
  <c r="A4453" i="34"/>
  <c r="A4384" i="34"/>
  <c r="A4398" i="34"/>
  <c r="A4406" i="34"/>
  <c r="A4412" i="34"/>
  <c r="A4418" i="34"/>
  <c r="A4423" i="34"/>
  <c r="A4428" i="34"/>
  <c r="A4434" i="34"/>
  <c r="A4439" i="34"/>
  <c r="A4444" i="34"/>
  <c r="A4450" i="34"/>
  <c r="A4455" i="34"/>
  <c r="A4459" i="34"/>
  <c r="A4463" i="34"/>
  <c r="A4467" i="34"/>
  <c r="A4471" i="34"/>
  <c r="A4475" i="34"/>
  <c r="A4479" i="34"/>
  <c r="A4483" i="34"/>
  <c r="A4487" i="34"/>
  <c r="A4491" i="34"/>
  <c r="A4495" i="34"/>
  <c r="A4499" i="34"/>
  <c r="A4503" i="34"/>
  <c r="A4507" i="34"/>
  <c r="A4511" i="34"/>
  <c r="A4515" i="34"/>
  <c r="A4519" i="34"/>
  <c r="A4523" i="34"/>
  <c r="A4527" i="34"/>
  <c r="A4531" i="34"/>
  <c r="A4535" i="34"/>
  <c r="A4539" i="34"/>
  <c r="A4543" i="34"/>
  <c r="A4547" i="34"/>
  <c r="A4551" i="34"/>
  <c r="A4555" i="34"/>
  <c r="A4559" i="34"/>
  <c r="A4563" i="34"/>
  <c r="A4567" i="34"/>
  <c r="A4571" i="34"/>
  <c r="A4575" i="34"/>
  <c r="A4579" i="34"/>
  <c r="A4583" i="34"/>
  <c r="A4587" i="34"/>
  <c r="A4591" i="34"/>
  <c r="A4595" i="34"/>
  <c r="A4599" i="34"/>
  <c r="A4603" i="34"/>
  <c r="A4607" i="34"/>
  <c r="A4611" i="34"/>
  <c r="A4615" i="34"/>
  <c r="A4619" i="34"/>
  <c r="A4623" i="34"/>
  <c r="A4627" i="34"/>
  <c r="A4631" i="34"/>
  <c r="A4635" i="34"/>
  <c r="A4639" i="34"/>
  <c r="A4643" i="34"/>
  <c r="A4647" i="34"/>
  <c r="A4651" i="34"/>
  <c r="A4655" i="34"/>
  <c r="A4659" i="34"/>
  <c r="A4663" i="34"/>
  <c r="A4667" i="34"/>
  <c r="A4671" i="34"/>
  <c r="A4675" i="34"/>
  <c r="A4679" i="34"/>
  <c r="A4683" i="34"/>
  <c r="A4687" i="34"/>
  <c r="A4691" i="34"/>
  <c r="A4695" i="34"/>
  <c r="A4699" i="34"/>
  <c r="A4703" i="34"/>
  <c r="A4707" i="34"/>
  <c r="A4711" i="34"/>
  <c r="A4715" i="34"/>
  <c r="A4719" i="34"/>
  <c r="A4723" i="34"/>
  <c r="A4727" i="34"/>
  <c r="A4731" i="34"/>
  <c r="A4735" i="34"/>
  <c r="A4739" i="34"/>
  <c r="A4743" i="34"/>
  <c r="A4747" i="34"/>
  <c r="A4751" i="34"/>
  <c r="A4755" i="34"/>
  <c r="A4759" i="34"/>
  <c r="A4763" i="34"/>
  <c r="A4767" i="34"/>
  <c r="A4771" i="34"/>
  <c r="A4775" i="34"/>
  <c r="A4779" i="34"/>
  <c r="A4783" i="34"/>
  <c r="A4787" i="34"/>
  <c r="A4791" i="34"/>
  <c r="A4795" i="34"/>
  <c r="A4799" i="34"/>
  <c r="A4803" i="34"/>
  <c r="A4807" i="34"/>
  <c r="A4811" i="34"/>
  <c r="A4815" i="34"/>
  <c r="A4819" i="34"/>
  <c r="A4823" i="34"/>
  <c r="A4827" i="34"/>
  <c r="A4831" i="34"/>
  <c r="A4835" i="34"/>
  <c r="A4839" i="34"/>
  <c r="A4843" i="34"/>
  <c r="A4847" i="34"/>
  <c r="A4851" i="34"/>
  <c r="A4855" i="34"/>
  <c r="A4859" i="34"/>
  <c r="A4863" i="34"/>
  <c r="A4867" i="34"/>
  <c r="A4871" i="34"/>
  <c r="A4875" i="34"/>
  <c r="A4879" i="34"/>
  <c r="A4883" i="34"/>
  <c r="A4887" i="34"/>
  <c r="A4891" i="34"/>
  <c r="A4895" i="34"/>
  <c r="A4899" i="34"/>
  <c r="A4903" i="34"/>
  <c r="A4907" i="34"/>
  <c r="A4911" i="34"/>
  <c r="A4915" i="34"/>
  <c r="A4919" i="34"/>
  <c r="A4923" i="34"/>
  <c r="A4927" i="34"/>
  <c r="A4931" i="34"/>
  <c r="A4935" i="34"/>
  <c r="A4939" i="34"/>
  <c r="A4943" i="34"/>
  <c r="A4947" i="34"/>
  <c r="A4951" i="34"/>
  <c r="A4955" i="34"/>
  <c r="A4959" i="34"/>
  <c r="A4963" i="34"/>
  <c r="A4967" i="34"/>
  <c r="A4971" i="34"/>
  <c r="A4975" i="34"/>
  <c r="A4979" i="34"/>
  <c r="A4983" i="34"/>
  <c r="A4987" i="34"/>
  <c r="A4991" i="34"/>
  <c r="A4995" i="34"/>
  <c r="A4999" i="34"/>
  <c r="A5003" i="34"/>
  <c r="A5007" i="34"/>
  <c r="A5011" i="34"/>
  <c r="A5015" i="34"/>
  <c r="A5019" i="34"/>
  <c r="A5023" i="34"/>
  <c r="A5027" i="34"/>
  <c r="A5031" i="34"/>
  <c r="A5035" i="34"/>
  <c r="A5039" i="34"/>
  <c r="A5043" i="34"/>
  <c r="A5047" i="34"/>
  <c r="A5051" i="34"/>
  <c r="A5055" i="34"/>
  <c r="A5059" i="34"/>
  <c r="A5063" i="34"/>
  <c r="A5067" i="34"/>
  <c r="A5071" i="34"/>
  <c r="A5075" i="34"/>
  <c r="A5079" i="34"/>
  <c r="A5083" i="34"/>
  <c r="A5087" i="34"/>
  <c r="A5091" i="34"/>
  <c r="A5095" i="34"/>
  <c r="A5099" i="34"/>
  <c r="A5103" i="34"/>
  <c r="A5107" i="34"/>
  <c r="A5111" i="34"/>
  <c r="A5115" i="34"/>
  <c r="A5119" i="34"/>
  <c r="A5123" i="34"/>
  <c r="A5127" i="34"/>
  <c r="A5131" i="34"/>
  <c r="A5135" i="34"/>
  <c r="A5139" i="34"/>
  <c r="A5143" i="34"/>
  <c r="A5147" i="34"/>
  <c r="A5151" i="34"/>
  <c r="A5155" i="34"/>
  <c r="A5159" i="34"/>
  <c r="A5163" i="34"/>
  <c r="A5167" i="34"/>
  <c r="A5171" i="34"/>
  <c r="A5175" i="34"/>
  <c r="A5179" i="34"/>
  <c r="A5183" i="34"/>
  <c r="A5187" i="34"/>
  <c r="A5191" i="34"/>
  <c r="A5195" i="34"/>
  <c r="A5199" i="34"/>
  <c r="A5203" i="34"/>
  <c r="A5207" i="34"/>
  <c r="A5211" i="34"/>
  <c r="A5215" i="34"/>
  <c r="A5219" i="34"/>
  <c r="A5223" i="34"/>
  <c r="A5227" i="34"/>
  <c r="A5231" i="34"/>
  <c r="A5235" i="34"/>
  <c r="A5239" i="34"/>
  <c r="A5243" i="34"/>
  <c r="A5247" i="34"/>
  <c r="A5251" i="34"/>
  <c r="A5255" i="34"/>
  <c r="A5259" i="34"/>
  <c r="A5263" i="34"/>
  <c r="A5267" i="34"/>
  <c r="A5271" i="34"/>
  <c r="A5275" i="34"/>
  <c r="A5279" i="34"/>
  <c r="A5283" i="34"/>
  <c r="A5287" i="34"/>
  <c r="A5291" i="34"/>
  <c r="A5295" i="34"/>
  <c r="A5299" i="34"/>
  <c r="A5303" i="34"/>
  <c r="A5307" i="34"/>
  <c r="A5311" i="34"/>
  <c r="A5315" i="34"/>
  <c r="A5319" i="34"/>
  <c r="A5323" i="34"/>
  <c r="A5327" i="34"/>
  <c r="A5331" i="34"/>
  <c r="A5335" i="34"/>
  <c r="A5339" i="34"/>
  <c r="A5343" i="34"/>
  <c r="A5347" i="34"/>
  <c r="A5351" i="34"/>
  <c r="A5355" i="34"/>
  <c r="A5359" i="34"/>
  <c r="A5363" i="34"/>
  <c r="A5367" i="34"/>
  <c r="A5371" i="34"/>
  <c r="A5375" i="34"/>
  <c r="A5379" i="34"/>
  <c r="A5383" i="34"/>
  <c r="A5387" i="34"/>
  <c r="A5391" i="34"/>
  <c r="A5395" i="34"/>
  <c r="A5399" i="34"/>
  <c r="A5403" i="34"/>
  <c r="A5407" i="34"/>
  <c r="A5411" i="34"/>
  <c r="A5415" i="34"/>
  <c r="A5419" i="34"/>
  <c r="A5423" i="34"/>
  <c r="A5427" i="34"/>
  <c r="A5431" i="34"/>
  <c r="A5435" i="34"/>
  <c r="A5439" i="34"/>
  <c r="A5443" i="34"/>
  <c r="A5447" i="34"/>
  <c r="A5451" i="34"/>
  <c r="A5455" i="34"/>
  <c r="A5459" i="34"/>
  <c r="A5463" i="34"/>
  <c r="A5467" i="34"/>
  <c r="A5471" i="34"/>
  <c r="A5475" i="34"/>
  <c r="A5479" i="34"/>
  <c r="A5483" i="34"/>
  <c r="A5487" i="34"/>
  <c r="A5491" i="34"/>
  <c r="A5495" i="34"/>
  <c r="A5499" i="34"/>
  <c r="A5503" i="34"/>
  <c r="A5507" i="34"/>
  <c r="A5511" i="34"/>
  <c r="A5515" i="34"/>
  <c r="A5519" i="34"/>
  <c r="A5523" i="34"/>
  <c r="A5527" i="34"/>
  <c r="A5531" i="34"/>
  <c r="A5535" i="34"/>
  <c r="A5539" i="34"/>
  <c r="A5543" i="34"/>
  <c r="A5547" i="34"/>
  <c r="A5551" i="34"/>
  <c r="A5555" i="34"/>
  <c r="A5559" i="34"/>
  <c r="A5563" i="34"/>
  <c r="A5567" i="34"/>
  <c r="A5571" i="34"/>
  <c r="A5575" i="34"/>
  <c r="A5579" i="34"/>
  <c r="A5583" i="34"/>
  <c r="A5587" i="34"/>
  <c r="A5591" i="34"/>
  <c r="A5595" i="34"/>
  <c r="A5599" i="34"/>
  <c r="A5603" i="34"/>
  <c r="A5607" i="34"/>
  <c r="A5611" i="34"/>
  <c r="A5615" i="34"/>
  <c r="A5619" i="34"/>
  <c r="A5623" i="34"/>
  <c r="A5627" i="34"/>
  <c r="A5631" i="34"/>
  <c r="A5635" i="34"/>
  <c r="A5639" i="34"/>
  <c r="A5643" i="34"/>
  <c r="A5647" i="34"/>
  <c r="A5651" i="34"/>
  <c r="A5655" i="34"/>
  <c r="A5659" i="34"/>
  <c r="A5663" i="34"/>
  <c r="A5667" i="34"/>
  <c r="A5671" i="34"/>
  <c r="A5675" i="34"/>
  <c r="A5679" i="34"/>
  <c r="A5683" i="34"/>
  <c r="A5687" i="34"/>
  <c r="A5691" i="34"/>
  <c r="A5695" i="34"/>
  <c r="A5699" i="34"/>
  <c r="A5703" i="34"/>
  <c r="A5707" i="34"/>
  <c r="A5711" i="34"/>
  <c r="A4388" i="34"/>
  <c r="A4400" i="34"/>
  <c r="A4408" i="34"/>
  <c r="A4414" i="34"/>
  <c r="A4419" i="34"/>
  <c r="A4424" i="34"/>
  <c r="A4430" i="34"/>
  <c r="A4435" i="34"/>
  <c r="A4440" i="34"/>
  <c r="A4446" i="34"/>
  <c r="A4451" i="34"/>
  <c r="A4456" i="34"/>
  <c r="A4460" i="34"/>
  <c r="A4464" i="34"/>
  <c r="A4468" i="34"/>
  <c r="A4472" i="34"/>
  <c r="A4476" i="34"/>
  <c r="A4480" i="34"/>
  <c r="A4484" i="34"/>
  <c r="A4488" i="34"/>
  <c r="A4492" i="34"/>
  <c r="A4496" i="34"/>
  <c r="A4500" i="34"/>
  <c r="A4504" i="34"/>
  <c r="A4508" i="34"/>
  <c r="A4512" i="34"/>
  <c r="A4516" i="34"/>
  <c r="A4520" i="34"/>
  <c r="A4524" i="34"/>
  <c r="A4528" i="34"/>
  <c r="A4532" i="34"/>
  <c r="A4536" i="34"/>
  <c r="A4540" i="34"/>
  <c r="A4544" i="34"/>
  <c r="A4548" i="34"/>
  <c r="A4552" i="34"/>
  <c r="A4556" i="34"/>
  <c r="A4560" i="34"/>
  <c r="A4564" i="34"/>
  <c r="A4568" i="34"/>
  <c r="A4572" i="34"/>
  <c r="A4576" i="34"/>
  <c r="A4580" i="34"/>
  <c r="A4584" i="34"/>
  <c r="A4588" i="34"/>
  <c r="A4592" i="34"/>
  <c r="A4596" i="34"/>
  <c r="A4600" i="34"/>
  <c r="A4604" i="34"/>
  <c r="A4608" i="34"/>
  <c r="A4612" i="34"/>
  <c r="A4616" i="34"/>
  <c r="A4620" i="34"/>
  <c r="A4624" i="34"/>
  <c r="A4628" i="34"/>
  <c r="A4632" i="34"/>
  <c r="A4636" i="34"/>
  <c r="A4640" i="34"/>
  <c r="A4644" i="34"/>
  <c r="A4648" i="34"/>
  <c r="A4652" i="34"/>
  <c r="A4656" i="34"/>
  <c r="A4660" i="34"/>
  <c r="A4664" i="34"/>
  <c r="A4668" i="34"/>
  <c r="A4672" i="34"/>
  <c r="A4676" i="34"/>
  <c r="A4680" i="34"/>
  <c r="A4684" i="34"/>
  <c r="A4688" i="34"/>
  <c r="A4692" i="34"/>
  <c r="A4696" i="34"/>
  <c r="A4700" i="34"/>
  <c r="A4704" i="34"/>
  <c r="A4708" i="34"/>
  <c r="A4712" i="34"/>
  <c r="A4716" i="34"/>
  <c r="A4720" i="34"/>
  <c r="A4724" i="34"/>
  <c r="A4728" i="34"/>
  <c r="A4732" i="34"/>
  <c r="A4736" i="34"/>
  <c r="A4740" i="34"/>
  <c r="A4744" i="34"/>
  <c r="A4748" i="34"/>
  <c r="A4752" i="34"/>
  <c r="A4756" i="34"/>
  <c r="A4760" i="34"/>
  <c r="A4764" i="34"/>
  <c r="A4768" i="34"/>
  <c r="A4772" i="34"/>
  <c r="A4776" i="34"/>
  <c r="A4780" i="34"/>
  <c r="A4784" i="34"/>
  <c r="A4788" i="34"/>
  <c r="A4792" i="34"/>
  <c r="A4796" i="34"/>
  <c r="A4800" i="34"/>
  <c r="A4804" i="34"/>
  <c r="A4808" i="34"/>
  <c r="A4812" i="34"/>
  <c r="A4816" i="34"/>
  <c r="A4820" i="34"/>
  <c r="A4824" i="34"/>
  <c r="A4828" i="34"/>
  <c r="A4832" i="34"/>
  <c r="A4836" i="34"/>
  <c r="A4840" i="34"/>
  <c r="A4844" i="34"/>
  <c r="A4848" i="34"/>
  <c r="A4852" i="34"/>
  <c r="A4856" i="34"/>
  <c r="A4860" i="34"/>
  <c r="A4864" i="34"/>
  <c r="A4868" i="34"/>
  <c r="A4872" i="34"/>
  <c r="A4876" i="34"/>
  <c r="A4880" i="34"/>
  <c r="A4884" i="34"/>
  <c r="A4888" i="34"/>
  <c r="A4892" i="34"/>
  <c r="A4896" i="34"/>
  <c r="A4900" i="34"/>
  <c r="A4904" i="34"/>
  <c r="A4908" i="34"/>
  <c r="A4912" i="34"/>
  <c r="A4916" i="34"/>
  <c r="A4920" i="34"/>
  <c r="A4924" i="34"/>
  <c r="A4928" i="34"/>
  <c r="A4932" i="34"/>
  <c r="A4936" i="34"/>
  <c r="A4940" i="34"/>
  <c r="A4944" i="34"/>
  <c r="A4948" i="34"/>
  <c r="A4952" i="34"/>
  <c r="A4956" i="34"/>
  <c r="A4960" i="34"/>
  <c r="A4964" i="34"/>
  <c r="A4968" i="34"/>
  <c r="A4972" i="34"/>
  <c r="A4976" i="34"/>
  <c r="A4980" i="34"/>
  <c r="A4984" i="34"/>
  <c r="A4988" i="34"/>
  <c r="A4992" i="34"/>
  <c r="A4996" i="34"/>
  <c r="A5000" i="34"/>
  <c r="A5004" i="34"/>
  <c r="A5008" i="34"/>
  <c r="A5012" i="34"/>
  <c r="A5016" i="34"/>
  <c r="A5020" i="34"/>
  <c r="A5024" i="34"/>
  <c r="A5028" i="34"/>
  <c r="A5032" i="34"/>
  <c r="A5036" i="34"/>
  <c r="A5040" i="34"/>
  <c r="A5044" i="34"/>
  <c r="A5048" i="34"/>
  <c r="A5052" i="34"/>
  <c r="A5056" i="34"/>
  <c r="A5060" i="34"/>
  <c r="A5064" i="34"/>
  <c r="A5068" i="34"/>
  <c r="A5072" i="34"/>
  <c r="A5076" i="34"/>
  <c r="A5080" i="34"/>
  <c r="A5084" i="34"/>
  <c r="A5088" i="34"/>
  <c r="A5092" i="34"/>
  <c r="A5096" i="34"/>
  <c r="A5100" i="34"/>
  <c r="A5104" i="34"/>
  <c r="A5108" i="34"/>
  <c r="A5112" i="34"/>
  <c r="A5116" i="34"/>
  <c r="A5120" i="34"/>
  <c r="A5124" i="34"/>
  <c r="A5128" i="34"/>
  <c r="A5132" i="34"/>
  <c r="A5136" i="34"/>
  <c r="A5140" i="34"/>
  <c r="A5144" i="34"/>
  <c r="A5148" i="34"/>
  <c r="A5152" i="34"/>
  <c r="A5156" i="34"/>
  <c r="A5160" i="34"/>
  <c r="A5164" i="34"/>
  <c r="A5168" i="34"/>
  <c r="A5172" i="34"/>
  <c r="A5176" i="34"/>
  <c r="A5180" i="34"/>
  <c r="A5184" i="34"/>
  <c r="A5188" i="34"/>
  <c r="A5192" i="34"/>
  <c r="A5196" i="34"/>
  <c r="A5200" i="34"/>
  <c r="A5204" i="34"/>
  <c r="A5208" i="34"/>
  <c r="A5212" i="34"/>
  <c r="A5216" i="34"/>
  <c r="A5220" i="34"/>
  <c r="A5224" i="34"/>
  <c r="A5228" i="34"/>
  <c r="A5232" i="34"/>
  <c r="A5236" i="34"/>
  <c r="A5240" i="34"/>
  <c r="A5244" i="34"/>
  <c r="A5248" i="34"/>
  <c r="A5252" i="34"/>
  <c r="A5256" i="34"/>
  <c r="A5260" i="34"/>
  <c r="A5264" i="34"/>
  <c r="A5268" i="34"/>
  <c r="A5272" i="34"/>
  <c r="A5276" i="34"/>
  <c r="A5280" i="34"/>
  <c r="A5284" i="34"/>
  <c r="A5288" i="34"/>
  <c r="A5292" i="34"/>
  <c r="A5296" i="34"/>
  <c r="A5300" i="34"/>
  <c r="A5304" i="34"/>
  <c r="A5308" i="34"/>
  <c r="A5312" i="34"/>
  <c r="A5316" i="34"/>
  <c r="A5320" i="34"/>
  <c r="A5324" i="34"/>
  <c r="A5328" i="34"/>
  <c r="A5332" i="34"/>
  <c r="A5336" i="34"/>
  <c r="A5340" i="34"/>
  <c r="A5344" i="34"/>
  <c r="A5348" i="34"/>
  <c r="A5352" i="34"/>
  <c r="A5356" i="34"/>
  <c r="A5360" i="34"/>
  <c r="A5364" i="34"/>
  <c r="A5368" i="34"/>
  <c r="A5372" i="34"/>
  <c r="A5376" i="34"/>
  <c r="A5380" i="34"/>
  <c r="A5384" i="34"/>
  <c r="A5388" i="34"/>
  <c r="A5392" i="34"/>
  <c r="A5396" i="34"/>
  <c r="A5400" i="34"/>
  <c r="A5404" i="34"/>
  <c r="A5408" i="34"/>
  <c r="A5412" i="34"/>
  <c r="A5416" i="34"/>
  <c r="A5420" i="34"/>
  <c r="A5424" i="34"/>
  <c r="A5428" i="34"/>
  <c r="A5432" i="34"/>
  <c r="A5436" i="34"/>
  <c r="A5440" i="34"/>
  <c r="A5444" i="34"/>
  <c r="A5448" i="34"/>
  <c r="A5452" i="34"/>
  <c r="A5456" i="34"/>
  <c r="A5460" i="34"/>
  <c r="A5464" i="34"/>
  <c r="A5468" i="34"/>
  <c r="A5472" i="34"/>
  <c r="A5476" i="34"/>
  <c r="A5480" i="34"/>
  <c r="A5484" i="34"/>
  <c r="A5488" i="34"/>
  <c r="A5492" i="34"/>
  <c r="A5496" i="34"/>
  <c r="A5500" i="34"/>
  <c r="A5504" i="34"/>
  <c r="A5508" i="34"/>
  <c r="A5512" i="34"/>
  <c r="A5516" i="34"/>
  <c r="A5520" i="34"/>
  <c r="A5524" i="34"/>
  <c r="A5528" i="34"/>
  <c r="A5532" i="34"/>
  <c r="A5536" i="34"/>
  <c r="A5540" i="34"/>
  <c r="A5544" i="34"/>
  <c r="A5548" i="34"/>
  <c r="A5552" i="34"/>
  <c r="A5556" i="34"/>
  <c r="A5560" i="34"/>
  <c r="A5564" i="34"/>
  <c r="A5568" i="34"/>
  <c r="A5572" i="34"/>
  <c r="A5576" i="34"/>
  <c r="A5580" i="34"/>
  <c r="A5584" i="34"/>
  <c r="A5588" i="34"/>
  <c r="A5592" i="34"/>
  <c r="A5596" i="34"/>
  <c r="A5600" i="34"/>
  <c r="A5604" i="34"/>
  <c r="A5608" i="34"/>
  <c r="A5612" i="34"/>
  <c r="A5616" i="34"/>
  <c r="A5620" i="34"/>
  <c r="A5624" i="34"/>
  <c r="A5628" i="34"/>
  <c r="A5632" i="34"/>
  <c r="A5636" i="34"/>
  <c r="A5640" i="34"/>
  <c r="A5644" i="34"/>
  <c r="A5648" i="34"/>
  <c r="A5652" i="34"/>
  <c r="A5656" i="34"/>
  <c r="A5660" i="34"/>
  <c r="A5664" i="34"/>
  <c r="A5668" i="34"/>
  <c r="A5672" i="34"/>
  <c r="A5676" i="34"/>
  <c r="A5680" i="34"/>
  <c r="A5684" i="34"/>
  <c r="A5688" i="34"/>
  <c r="A5692" i="34"/>
  <c r="A5696" i="34"/>
  <c r="A5700" i="34"/>
  <c r="A5704" i="34"/>
  <c r="A5708" i="34"/>
  <c r="A5712" i="34"/>
  <c r="A4392" i="34"/>
  <c r="A4402" i="34"/>
  <c r="A4410" i="34"/>
  <c r="A4415" i="34"/>
  <c r="A4420" i="34"/>
  <c r="A4426" i="34"/>
  <c r="A4431" i="34"/>
  <c r="A4436" i="34"/>
  <c r="A4442" i="34"/>
  <c r="A4447" i="34"/>
  <c r="A4452" i="34"/>
  <c r="A4457" i="34"/>
  <c r="A4461" i="34"/>
  <c r="A4465" i="34"/>
  <c r="A4469" i="34"/>
  <c r="A4473" i="34"/>
  <c r="A4477" i="34"/>
  <c r="A4481" i="34"/>
  <c r="A4485" i="34"/>
  <c r="A4489" i="34"/>
  <c r="A4493" i="34"/>
  <c r="A4497" i="34"/>
  <c r="A4501" i="34"/>
  <c r="A4505" i="34"/>
  <c r="A4509" i="34"/>
  <c r="A4513" i="34"/>
  <c r="A4517" i="34"/>
  <c r="A4521" i="34"/>
  <c r="A4525" i="34"/>
  <c r="A4529" i="34"/>
  <c r="A4533" i="34"/>
  <c r="A4537" i="34"/>
  <c r="A4541" i="34"/>
  <c r="A4545" i="34"/>
  <c r="A4549" i="34"/>
  <c r="A4553" i="34"/>
  <c r="A4557" i="34"/>
  <c r="A4561" i="34"/>
  <c r="A4565" i="34"/>
  <c r="A4569" i="34"/>
  <c r="A4573" i="34"/>
  <c r="A4577" i="34"/>
  <c r="A4581" i="34"/>
  <c r="A4585" i="34"/>
  <c r="A4589" i="34"/>
  <c r="A4593" i="34"/>
  <c r="A4597" i="34"/>
  <c r="A4601" i="34"/>
  <c r="A4605" i="34"/>
  <c r="A4609" i="34"/>
  <c r="A4613" i="34"/>
  <c r="A4617" i="34"/>
  <c r="A4621" i="34"/>
  <c r="A4625" i="34"/>
  <c r="A4629" i="34"/>
  <c r="A4633" i="34"/>
  <c r="A4637" i="34"/>
  <c r="A4641" i="34"/>
  <c r="A4645" i="34"/>
  <c r="A4649" i="34"/>
  <c r="A4653" i="34"/>
  <c r="A4657" i="34"/>
  <c r="A4661" i="34"/>
  <c r="A4665" i="34"/>
  <c r="A4669" i="34"/>
  <c r="A4673" i="34"/>
  <c r="A4677" i="34"/>
  <c r="A4681" i="34"/>
  <c r="A4685" i="34"/>
  <c r="A4689" i="34"/>
  <c r="A4693" i="34"/>
  <c r="A4697" i="34"/>
  <c r="A4701" i="34"/>
  <c r="A4705" i="34"/>
  <c r="A4709" i="34"/>
  <c r="A4713" i="34"/>
  <c r="A4717" i="34"/>
  <c r="A4721" i="34"/>
  <c r="A4725" i="34"/>
  <c r="A4729" i="34"/>
  <c r="A4733" i="34"/>
  <c r="A4737" i="34"/>
  <c r="A4741" i="34"/>
  <c r="A4745" i="34"/>
  <c r="A4749" i="34"/>
  <c r="A4753" i="34"/>
  <c r="A4757" i="34"/>
  <c r="A4761" i="34"/>
  <c r="A4765" i="34"/>
  <c r="A4769" i="34"/>
  <c r="A4773" i="34"/>
  <c r="A4777" i="34"/>
  <c r="A4781" i="34"/>
  <c r="A4785" i="34"/>
  <c r="A4789" i="34"/>
  <c r="A4793" i="34"/>
  <c r="A4797" i="34"/>
  <c r="A4801" i="34"/>
  <c r="A4805" i="34"/>
  <c r="A4809" i="34"/>
  <c r="A4813" i="34"/>
  <c r="A4817" i="34"/>
  <c r="A4821" i="34"/>
  <c r="A4825" i="34"/>
  <c r="A4829" i="34"/>
  <c r="A4833" i="34"/>
  <c r="A4837" i="34"/>
  <c r="A4841" i="34"/>
  <c r="A4845" i="34"/>
  <c r="A4849" i="34"/>
  <c r="A4853" i="34"/>
  <c r="A4857" i="34"/>
  <c r="A4861" i="34"/>
  <c r="A4865" i="34"/>
  <c r="A4869" i="34"/>
  <c r="A4873" i="34"/>
  <c r="A4877" i="34"/>
  <c r="A4881" i="34"/>
  <c r="A4885" i="34"/>
  <c r="A4889" i="34"/>
  <c r="A4893" i="34"/>
  <c r="A4897" i="34"/>
  <c r="A4901" i="34"/>
  <c r="A4905" i="34"/>
  <c r="A4909" i="34"/>
  <c r="A4913" i="34"/>
  <c r="A4917" i="34"/>
  <c r="A4921" i="34"/>
  <c r="A4925" i="34"/>
  <c r="A4929" i="34"/>
  <c r="A4933" i="34"/>
  <c r="A4937" i="34"/>
  <c r="A4941" i="34"/>
  <c r="A4945" i="34"/>
  <c r="A4949" i="34"/>
  <c r="A4953" i="34"/>
  <c r="A4957" i="34"/>
  <c r="A4961" i="34"/>
  <c r="A4965" i="34"/>
  <c r="A4969" i="34"/>
  <c r="A4973" i="34"/>
  <c r="A4977" i="34"/>
  <c r="A4981" i="34"/>
  <c r="A4985" i="34"/>
  <c r="A4989" i="34"/>
  <c r="A4993" i="34"/>
  <c r="A4997" i="34"/>
  <c r="A5001" i="34"/>
  <c r="A5005" i="34"/>
  <c r="A5009" i="34"/>
  <c r="A5013" i="34"/>
  <c r="A5017" i="34"/>
  <c r="A5021" i="34"/>
  <c r="A5025" i="34"/>
  <c r="A5029" i="34"/>
  <c r="A5033" i="34"/>
  <c r="A5037" i="34"/>
  <c r="A5041" i="34"/>
  <c r="A5045" i="34"/>
  <c r="A5049" i="34"/>
  <c r="A5053" i="34"/>
  <c r="A5057" i="34"/>
  <c r="A5061" i="34"/>
  <c r="A5065" i="34"/>
  <c r="A5069" i="34"/>
  <c r="A5073" i="34"/>
  <c r="A5077" i="34"/>
  <c r="A5081" i="34"/>
  <c r="A5085" i="34"/>
  <c r="A5089" i="34"/>
  <c r="A5093" i="34"/>
  <c r="A5097" i="34"/>
  <c r="A5101" i="34"/>
  <c r="A5105" i="34"/>
  <c r="A5109" i="34"/>
  <c r="A5113" i="34"/>
  <c r="A5117" i="34"/>
  <c r="A5121" i="34"/>
  <c r="A5125" i="34"/>
  <c r="A5129" i="34"/>
  <c r="A5133" i="34"/>
  <c r="A5137" i="34"/>
  <c r="A5141" i="34"/>
  <c r="A5145" i="34"/>
  <c r="A5149" i="34"/>
  <c r="A5153" i="34"/>
  <c r="A5157" i="34"/>
  <c r="A5161" i="34"/>
  <c r="A5165" i="34"/>
  <c r="A5169" i="34"/>
  <c r="A5173" i="34"/>
  <c r="A5177" i="34"/>
  <c r="A5181" i="34"/>
  <c r="A5185" i="34"/>
  <c r="A5189" i="34"/>
  <c r="A5193" i="34"/>
  <c r="A5197" i="34"/>
  <c r="A5201" i="34"/>
  <c r="A5205" i="34"/>
  <c r="A5209" i="34"/>
  <c r="A5213" i="34"/>
  <c r="A5217" i="34"/>
  <c r="A5221" i="34"/>
  <c r="A5225" i="34"/>
  <c r="A5229" i="34"/>
  <c r="A5233" i="34"/>
  <c r="A5237" i="34"/>
  <c r="A5241" i="34"/>
  <c r="A5245" i="34"/>
  <c r="A5249" i="34"/>
  <c r="A5253" i="34"/>
  <c r="A5257" i="34"/>
  <c r="A5261" i="34"/>
  <c r="A5265" i="34"/>
  <c r="A5269" i="34"/>
  <c r="A5273" i="34"/>
  <c r="A5277" i="34"/>
  <c r="A5281" i="34"/>
  <c r="A5285" i="34"/>
  <c r="A5289" i="34"/>
  <c r="A5293" i="34"/>
  <c r="A5297" i="34"/>
  <c r="A5301" i="34"/>
  <c r="A5305" i="34"/>
  <c r="A5309" i="34"/>
  <c r="A5313" i="34"/>
  <c r="A5317" i="34"/>
  <c r="A5321" i="34"/>
  <c r="A5325" i="34"/>
  <c r="A5329" i="34"/>
  <c r="A5333" i="34"/>
  <c r="A5337" i="34"/>
  <c r="A5341" i="34"/>
  <c r="A5345" i="34"/>
  <c r="A5349" i="34"/>
  <c r="A5353" i="34"/>
  <c r="A5357" i="34"/>
  <c r="A5361" i="34"/>
  <c r="A5365" i="34"/>
  <c r="A5369" i="34"/>
  <c r="A5373" i="34"/>
  <c r="A5377" i="34"/>
  <c r="A5381" i="34"/>
  <c r="A5385" i="34"/>
  <c r="A5389" i="34"/>
  <c r="A5393" i="34"/>
  <c r="A5397" i="34"/>
  <c r="A5401" i="34"/>
  <c r="A5405" i="34"/>
  <c r="A5409" i="34"/>
  <c r="A5413" i="34"/>
  <c r="A5417" i="34"/>
  <c r="A5421" i="34"/>
  <c r="A5425" i="34"/>
  <c r="A5429" i="34"/>
  <c r="A5433" i="34"/>
  <c r="A5437" i="34"/>
  <c r="A5441" i="34"/>
  <c r="A5445" i="34"/>
  <c r="A5449" i="34"/>
  <c r="A5453" i="34"/>
  <c r="A5457" i="34"/>
  <c r="A5461" i="34"/>
  <c r="A5465" i="34"/>
  <c r="A5469" i="34"/>
  <c r="A5473" i="34"/>
  <c r="A5477" i="34"/>
  <c r="A5481" i="34"/>
  <c r="A5485" i="34"/>
  <c r="A5489" i="34"/>
  <c r="A5493" i="34"/>
  <c r="A5497" i="34"/>
  <c r="A5501" i="34"/>
  <c r="A5505" i="34"/>
  <c r="A5509" i="34"/>
  <c r="A5513" i="34"/>
  <c r="A5517" i="34"/>
  <c r="A5521" i="34"/>
  <c r="A5525" i="34"/>
  <c r="A5529" i="34"/>
  <c r="A5533" i="34"/>
  <c r="A5537" i="34"/>
  <c r="A5541" i="34"/>
  <c r="A5545" i="34"/>
  <c r="A5549" i="34"/>
  <c r="A5553" i="34"/>
  <c r="A5557" i="34"/>
  <c r="A5561" i="34"/>
  <c r="A5565" i="34"/>
  <c r="A5569" i="34"/>
  <c r="A5573" i="34"/>
  <c r="A5577" i="34"/>
  <c r="A5581" i="34"/>
  <c r="A5585" i="34"/>
  <c r="A5589" i="34"/>
  <c r="A5593" i="34"/>
  <c r="A5597" i="34"/>
  <c r="A5601" i="34"/>
  <c r="A5605" i="34"/>
  <c r="A5609" i="34"/>
  <c r="A5613" i="34"/>
  <c r="A5617" i="34"/>
  <c r="A5621" i="34"/>
  <c r="A5625" i="34"/>
  <c r="A5629" i="34"/>
  <c r="A5633" i="34"/>
  <c r="A5637" i="34"/>
  <c r="A5641" i="34"/>
  <c r="A5645" i="34"/>
  <c r="A5649" i="34"/>
  <c r="A5653" i="34"/>
  <c r="A5657" i="34"/>
  <c r="A5661" i="34"/>
  <c r="A5665" i="34"/>
  <c r="A5669" i="34"/>
  <c r="A5673" i="34"/>
  <c r="A5677" i="34"/>
  <c r="A5681" i="34"/>
  <c r="A5685" i="34"/>
  <c r="A5689" i="34"/>
  <c r="A5693" i="34"/>
  <c r="A5697" i="34"/>
  <c r="A5701" i="34"/>
  <c r="A5705" i="34"/>
  <c r="A5709" i="34"/>
  <c r="A5713" i="34"/>
  <c r="A4396" i="34"/>
  <c r="A4404" i="34"/>
  <c r="A4411" i="34"/>
  <c r="A4416" i="34"/>
  <c r="A4422" i="34"/>
  <c r="A4427" i="34"/>
  <c r="A4432" i="34"/>
  <c r="A4438" i="34"/>
  <c r="A4443" i="34"/>
  <c r="A4448" i="34"/>
  <c r="A4454" i="34"/>
  <c r="A4458" i="34"/>
  <c r="A4462" i="34"/>
  <c r="A4466" i="34"/>
  <c r="A4470" i="34"/>
  <c r="A4474" i="34"/>
  <c r="A4478" i="34"/>
  <c r="A4482" i="34"/>
  <c r="A4486" i="34"/>
  <c r="A4490" i="34"/>
  <c r="A4494" i="34"/>
  <c r="A4498" i="34"/>
  <c r="A4502" i="34"/>
  <c r="A4506" i="34"/>
  <c r="A4510" i="34"/>
  <c r="A4514" i="34"/>
  <c r="A4518" i="34"/>
  <c r="A4522" i="34"/>
  <c r="A4526" i="34"/>
  <c r="A4530" i="34"/>
  <c r="A4534" i="34"/>
  <c r="A4538" i="34"/>
  <c r="A4542" i="34"/>
  <c r="A4546" i="34"/>
  <c r="A4550" i="34"/>
  <c r="A4554" i="34"/>
  <c r="A4558" i="34"/>
  <c r="A4562" i="34"/>
  <c r="A4566" i="34"/>
  <c r="A4570" i="34"/>
  <c r="A4574" i="34"/>
  <c r="A4578" i="34"/>
  <c r="A4582" i="34"/>
  <c r="A4586" i="34"/>
  <c r="A4590" i="34"/>
  <c r="A4594" i="34"/>
  <c r="A4598" i="34"/>
  <c r="A4602" i="34"/>
  <c r="A4606" i="34"/>
  <c r="A4610" i="34"/>
  <c r="A4614" i="34"/>
  <c r="A4618" i="34"/>
  <c r="A4622" i="34"/>
  <c r="A4626" i="34"/>
  <c r="A4630" i="34"/>
  <c r="A4634" i="34"/>
  <c r="A4638" i="34"/>
  <c r="A4642" i="34"/>
  <c r="A4646" i="34"/>
  <c r="A4650" i="34"/>
  <c r="A4654" i="34"/>
  <c r="A4658" i="34"/>
  <c r="A4662" i="34"/>
  <c r="A4666" i="34"/>
  <c r="A4670" i="34"/>
  <c r="A4674" i="34"/>
  <c r="A4678" i="34"/>
  <c r="A4682" i="34"/>
  <c r="A4686" i="34"/>
  <c r="A4690" i="34"/>
  <c r="A4694" i="34"/>
  <c r="A4698" i="34"/>
  <c r="A4702" i="34"/>
  <c r="A4706" i="34"/>
  <c r="A4710" i="34"/>
  <c r="A4714" i="34"/>
  <c r="A4718" i="34"/>
  <c r="A4722" i="34"/>
  <c r="A4726" i="34"/>
  <c r="A4730" i="34"/>
  <c r="A4734" i="34"/>
  <c r="A4738" i="34"/>
  <c r="A4742" i="34"/>
  <c r="A4746" i="34"/>
  <c r="A4750" i="34"/>
  <c r="A4754" i="34"/>
  <c r="A4758" i="34"/>
  <c r="A4762" i="34"/>
  <c r="A4766" i="34"/>
  <c r="A4770" i="34"/>
  <c r="A4774" i="34"/>
  <c r="A4778" i="34"/>
  <c r="A4782" i="34"/>
  <c r="A4786" i="34"/>
  <c r="A4790" i="34"/>
  <c r="A4794" i="34"/>
  <c r="A4798" i="34"/>
  <c r="A4802" i="34"/>
  <c r="A4806" i="34"/>
  <c r="A4810" i="34"/>
  <c r="A4814" i="34"/>
  <c r="A4818" i="34"/>
  <c r="A4822" i="34"/>
  <c r="A4826" i="34"/>
  <c r="A4830" i="34"/>
  <c r="A4834" i="34"/>
  <c r="A4838" i="34"/>
  <c r="A4842" i="34"/>
  <c r="A4846" i="34"/>
  <c r="A4850" i="34"/>
  <c r="A4854" i="34"/>
  <c r="A4858" i="34"/>
  <c r="A4862" i="34"/>
  <c r="A4866" i="34"/>
  <c r="A4870" i="34"/>
  <c r="A4874" i="34"/>
  <c r="A4878" i="34"/>
  <c r="A4882" i="34"/>
  <c r="A4886" i="34"/>
  <c r="A4890" i="34"/>
  <c r="A4894" i="34"/>
  <c r="A4898" i="34"/>
  <c r="A4902" i="34"/>
  <c r="A4906" i="34"/>
  <c r="A4910" i="34"/>
  <c r="A4914" i="34"/>
  <c r="A4918" i="34"/>
  <c r="A4922" i="34"/>
  <c r="A4926" i="34"/>
  <c r="A4930" i="34"/>
  <c r="A4934" i="34"/>
  <c r="A4938" i="34"/>
  <c r="A4942" i="34"/>
  <c r="A4946" i="34"/>
  <c r="A4950" i="34"/>
  <c r="A4954" i="34"/>
  <c r="A4958" i="34"/>
  <c r="A4962" i="34"/>
  <c r="A4966" i="34"/>
  <c r="A4970" i="34"/>
  <c r="A4974" i="34"/>
  <c r="A4978" i="34"/>
  <c r="A4982" i="34"/>
  <c r="A4986" i="34"/>
  <c r="A4990" i="34"/>
  <c r="A4994" i="34"/>
  <c r="A4998" i="34"/>
  <c r="A5002" i="34"/>
  <c r="A5006" i="34"/>
  <c r="A5010" i="34"/>
  <c r="A5014" i="34"/>
  <c r="A5018" i="34"/>
  <c r="A5022" i="34"/>
  <c r="A5026" i="34"/>
  <c r="A5030" i="34"/>
  <c r="A5034" i="34"/>
  <c r="A5038" i="34"/>
  <c r="A5042" i="34"/>
  <c r="A5046" i="34"/>
  <c r="A5050" i="34"/>
  <c r="A5054" i="34"/>
  <c r="A5058" i="34"/>
  <c r="A5062" i="34"/>
  <c r="A5066" i="34"/>
  <c r="A5070" i="34"/>
  <c r="A5074" i="34"/>
  <c r="A5078" i="34"/>
  <c r="A5082" i="34"/>
  <c r="A5086" i="34"/>
  <c r="A5090" i="34"/>
  <c r="A5094" i="34"/>
  <c r="A5098" i="34"/>
  <c r="A5102" i="34"/>
  <c r="A5106" i="34"/>
  <c r="A5110" i="34"/>
  <c r="A5114" i="34"/>
  <c r="A5118" i="34"/>
  <c r="A5122" i="34"/>
  <c r="A5126" i="34"/>
  <c r="A5130" i="34"/>
  <c r="A5134" i="34"/>
  <c r="A5138" i="34"/>
  <c r="A5142" i="34"/>
  <c r="A5146" i="34"/>
  <c r="A5150" i="34"/>
  <c r="A5154" i="34"/>
  <c r="A5158" i="34"/>
  <c r="A5162" i="34"/>
  <c r="A5166" i="34"/>
  <c r="A5170" i="34"/>
  <c r="A5174" i="34"/>
  <c r="A5178" i="34"/>
  <c r="A5182" i="34"/>
  <c r="A5186" i="34"/>
  <c r="A5190" i="34"/>
  <c r="A5194" i="34"/>
  <c r="A5198" i="34"/>
  <c r="A5202" i="34"/>
  <c r="A5206" i="34"/>
  <c r="A5210" i="34"/>
  <c r="A5214" i="34"/>
  <c r="A5218" i="34"/>
  <c r="A5222" i="34"/>
  <c r="A5226" i="34"/>
  <c r="A5230" i="34"/>
  <c r="A5234" i="34"/>
  <c r="A5238" i="34"/>
  <c r="A5242" i="34"/>
  <c r="A5246" i="34"/>
  <c r="A5250" i="34"/>
  <c r="A5254" i="34"/>
  <c r="A5258" i="34"/>
  <c r="A5262" i="34"/>
  <c r="A5266" i="34"/>
  <c r="A5270" i="34"/>
  <c r="A5274" i="34"/>
  <c r="A5278" i="34"/>
  <c r="A5282" i="34"/>
  <c r="A5286" i="34"/>
  <c r="A5290" i="34"/>
  <c r="A5294" i="34"/>
  <c r="A5298" i="34"/>
  <c r="A5302" i="34"/>
  <c r="A5306" i="34"/>
  <c r="A5310" i="34"/>
  <c r="A5314" i="34"/>
  <c r="A5318" i="34"/>
  <c r="A5322" i="34"/>
  <c r="A5326" i="34"/>
  <c r="A5330" i="34"/>
  <c r="A5334" i="34"/>
  <c r="A5338" i="34"/>
  <c r="A5342" i="34"/>
  <c r="A5346" i="34"/>
  <c r="A5350" i="34"/>
  <c r="A5354" i="34"/>
  <c r="A5358" i="34"/>
  <c r="A5362" i="34"/>
  <c r="A5366" i="34"/>
  <c r="A5370" i="34"/>
  <c r="A5374" i="34"/>
  <c r="A5378" i="34"/>
  <c r="A5382" i="34"/>
  <c r="A5386" i="34"/>
  <c r="A5390" i="34"/>
  <c r="A5394" i="34"/>
  <c r="A5398" i="34"/>
  <c r="A5402" i="34"/>
  <c r="A5406" i="34"/>
  <c r="A5410" i="34"/>
  <c r="A5414" i="34"/>
  <c r="A5418" i="34"/>
  <c r="A5422" i="34"/>
  <c r="A5426" i="34"/>
  <c r="A5430" i="34"/>
  <c r="A5434" i="34"/>
  <c r="A5438" i="34"/>
  <c r="A5442" i="34"/>
  <c r="A5446" i="34"/>
  <c r="A5450" i="34"/>
  <c r="A5454" i="34"/>
  <c r="A5458" i="34"/>
  <c r="A5462" i="34"/>
  <c r="A5466" i="34"/>
  <c r="A5470" i="34"/>
  <c r="A5474" i="34"/>
  <c r="A5478" i="34"/>
  <c r="A5482" i="34"/>
  <c r="A5486" i="34"/>
  <c r="A5490" i="34"/>
  <c r="A5494" i="34"/>
  <c r="A5498" i="34"/>
  <c r="A5502" i="34"/>
  <c r="A5506" i="34"/>
  <c r="A5510" i="34"/>
  <c r="A5514" i="34"/>
  <c r="A5518" i="34"/>
  <c r="A5522" i="34"/>
  <c r="A5526" i="34"/>
  <c r="A5530" i="34"/>
  <c r="A5534" i="34"/>
  <c r="A5538" i="34"/>
  <c r="A5542" i="34"/>
  <c r="A5546" i="34"/>
  <c r="A5550" i="34"/>
  <c r="A5554" i="34"/>
  <c r="A5558" i="34"/>
  <c r="A5562" i="34"/>
  <c r="A5566" i="34"/>
  <c r="A5570" i="34"/>
  <c r="A5574" i="34"/>
  <c r="A5578" i="34"/>
  <c r="A5582" i="34"/>
  <c r="A5586" i="34"/>
  <c r="A5590" i="34"/>
  <c r="A5594" i="34"/>
  <c r="A5598" i="34"/>
  <c r="A5602" i="34"/>
  <c r="A5606" i="34"/>
  <c r="A5610" i="34"/>
  <c r="A5614" i="34"/>
  <c r="A5618" i="34"/>
  <c r="A5622" i="34"/>
  <c r="A5626" i="34"/>
  <c r="A5630" i="34"/>
  <c r="A5634" i="34"/>
  <c r="A5638" i="34"/>
  <c r="A5642" i="34"/>
  <c r="A5646" i="34"/>
  <c r="A5650" i="34"/>
  <c r="A5654" i="34"/>
  <c r="A5658" i="34"/>
  <c r="A5662" i="34"/>
  <c r="A5666" i="34"/>
  <c r="A5670" i="34"/>
  <c r="A5674" i="34"/>
  <c r="A5678" i="34"/>
  <c r="A5682" i="34"/>
  <c r="A5686" i="34"/>
  <c r="A5690" i="34"/>
  <c r="A5694" i="34"/>
  <c r="A5698" i="34"/>
  <c r="A5702" i="34"/>
  <c r="A5706" i="34"/>
  <c r="A5710" i="34"/>
  <c r="A5714" i="34"/>
  <c r="A5715" i="34" s="1"/>
  <c r="A5716" i="34" s="1"/>
  <c r="A5717" i="34" s="1"/>
  <c r="A5718" i="34" s="1"/>
  <c r="A5719" i="34" s="1"/>
  <c r="A5720" i="34" s="1"/>
  <c r="A5721" i="34" s="1"/>
  <c r="A5722" i="34" s="1"/>
  <c r="A5723" i="34" s="1"/>
  <c r="A5724" i="34" s="1"/>
  <c r="A5725" i="34" s="1"/>
  <c r="A5726" i="34" s="1"/>
  <c r="A5727" i="34" s="1"/>
  <c r="A5728" i="34" s="1"/>
  <c r="A5729" i="34" s="1"/>
  <c r="A5730" i="34" s="1"/>
  <c r="A5731" i="34" s="1"/>
  <c r="A5732" i="34" s="1"/>
  <c r="A5733" i="34" s="1"/>
  <c r="A5734" i="34" s="1"/>
  <c r="A5735" i="34" s="1"/>
  <c r="A5736" i="34" s="1"/>
  <c r="A5737" i="34" s="1"/>
  <c r="A5738" i="34" s="1"/>
  <c r="A5739" i="34" s="1"/>
  <c r="A5740" i="34" s="1"/>
  <c r="A5741" i="34" s="1"/>
  <c r="A5742" i="34" s="1"/>
  <c r="A5743" i="34" s="1"/>
  <c r="A5744" i="34" s="1"/>
  <c r="A5745" i="34" s="1"/>
  <c r="A5746" i="34" s="1"/>
  <c r="A5747" i="34" s="1"/>
  <c r="A5748" i="34" s="1"/>
  <c r="A5749" i="34" s="1"/>
  <c r="A5750" i="34" s="1"/>
  <c r="A5751" i="34" s="1"/>
  <c r="A5752" i="34" s="1"/>
  <c r="A5753" i="34" s="1"/>
  <c r="A5754" i="34" s="1"/>
  <c r="A5755" i="34" s="1"/>
  <c r="A5756" i="34" s="1"/>
  <c r="A5757" i="34" s="1"/>
  <c r="A5758" i="34" s="1"/>
  <c r="A5759" i="34" s="1"/>
  <c r="A5760" i="34" s="1"/>
  <c r="A5761" i="34" s="1"/>
  <c r="A5762" i="34" s="1"/>
  <c r="A5763" i="34" s="1"/>
  <c r="A5764" i="34" s="1"/>
  <c r="A5765" i="34" s="1"/>
  <c r="A5766" i="34" s="1"/>
  <c r="A5767" i="34" s="1"/>
  <c r="A5768" i="34" s="1"/>
  <c r="A5769" i="34" s="1"/>
  <c r="A5770" i="34" s="1"/>
  <c r="A5771" i="34" s="1"/>
  <c r="A5772" i="34" s="1"/>
  <c r="A5773" i="34" s="1"/>
  <c r="A5774" i="34" s="1"/>
  <c r="A5775" i="34" s="1"/>
  <c r="A5776" i="34" s="1"/>
  <c r="A5777" i="34" s="1"/>
  <c r="A5778" i="34" s="1"/>
  <c r="A5779" i="34" s="1"/>
  <c r="A5780" i="34" s="1"/>
  <c r="A5781" i="34" s="1"/>
  <c r="A5782" i="34" s="1"/>
  <c r="A5783" i="34" s="1"/>
  <c r="A5784" i="34" s="1"/>
  <c r="A5785" i="34" s="1"/>
  <c r="A5786" i="34" s="1"/>
  <c r="A5787" i="34" s="1"/>
  <c r="A5788" i="34" s="1"/>
  <c r="A5789" i="34" s="1"/>
  <c r="A5790" i="34" s="1"/>
  <c r="A5791" i="34" s="1"/>
  <c r="A5792" i="34" s="1"/>
  <c r="A5793" i="34" s="1"/>
  <c r="A5794" i="34" s="1"/>
  <c r="A5795" i="34" s="1"/>
  <c r="A5796" i="34" s="1"/>
  <c r="A5797" i="34" s="1"/>
  <c r="A5798" i="34" s="1"/>
  <c r="A5799" i="34" s="1"/>
  <c r="A5800" i="34" s="1"/>
  <c r="A5801" i="34" s="1"/>
  <c r="A5802" i="34" s="1"/>
  <c r="A5803" i="34" s="1"/>
  <c r="A5804" i="34" s="1"/>
  <c r="A5805" i="34" s="1"/>
  <c r="A5806" i="34" s="1"/>
  <c r="A5807" i="34" s="1"/>
  <c r="A5808" i="34" s="1"/>
  <c r="A5809" i="34" s="1"/>
  <c r="A5810" i="34" s="1"/>
  <c r="A5811" i="34" s="1"/>
  <c r="A5812" i="34" s="1"/>
  <c r="A5813" i="34" s="1"/>
  <c r="A5814" i="34" s="1"/>
  <c r="A5815" i="34" s="1"/>
  <c r="A5816" i="34" s="1"/>
  <c r="A5817" i="34" s="1"/>
  <c r="A5818" i="34" s="1"/>
  <c r="A5819" i="34" s="1"/>
  <c r="A5820" i="34" s="1"/>
  <c r="A5821" i="34" s="1"/>
  <c r="A5822" i="34" s="1"/>
  <c r="A5823" i="34" s="1"/>
  <c r="A5824" i="34" s="1"/>
  <c r="A5825" i="34" s="1"/>
  <c r="A5826" i="34" s="1"/>
  <c r="A5827" i="34" s="1"/>
  <c r="A5828" i="34" s="1"/>
  <c r="A5829" i="34" s="1"/>
  <c r="A5830" i="34" s="1"/>
  <c r="A5831" i="34" s="1"/>
  <c r="A5832" i="34" s="1"/>
  <c r="A5833" i="34" s="1"/>
  <c r="A5834" i="34" s="1"/>
  <c r="A5835" i="34" s="1"/>
  <c r="A5836" i="34" s="1"/>
  <c r="A5837" i="34" s="1"/>
  <c r="A5838" i="34" s="1"/>
  <c r="A5839" i="34" s="1"/>
  <c r="A5840" i="34" s="1"/>
  <c r="A5841" i="34" s="1"/>
  <c r="A5842" i="34" s="1"/>
  <c r="A5843" i="34" s="1"/>
  <c r="A5844" i="34" s="1"/>
  <c r="A5845" i="34" s="1"/>
  <c r="A5846" i="34" s="1"/>
  <c r="A5847" i="34" s="1"/>
  <c r="A5848" i="34" s="1"/>
  <c r="A5849" i="34" s="1"/>
  <c r="A5850" i="34" s="1"/>
  <c r="A5851" i="34" s="1"/>
  <c r="A5852" i="34" s="1"/>
  <c r="A5853" i="34" s="1"/>
  <c r="A5854" i="34" s="1"/>
  <c r="A5855" i="34" s="1"/>
  <c r="A5856" i="34" s="1"/>
  <c r="A5857" i="34" s="1"/>
  <c r="A5858" i="34" s="1"/>
  <c r="A5859" i="34" s="1"/>
  <c r="A5860" i="34" s="1"/>
  <c r="A5861" i="34" s="1"/>
  <c r="A5862" i="34" s="1"/>
  <c r="A5863" i="34" s="1"/>
  <c r="A5866" i="34"/>
  <c r="A5870" i="34"/>
  <c r="A5874" i="34"/>
  <c r="A5878" i="34"/>
  <c r="A5882" i="34"/>
  <c r="A5886" i="34"/>
  <c r="A5890" i="34"/>
  <c r="A5894" i="34"/>
  <c r="A5898" i="34"/>
  <c r="A5902" i="34"/>
  <c r="A5906" i="34"/>
  <c r="A5910" i="34"/>
  <c r="A5914" i="34"/>
  <c r="A5918" i="34"/>
  <c r="A5922" i="34"/>
  <c r="A5926" i="34"/>
  <c r="A5930" i="34"/>
  <c r="A5934" i="34"/>
  <c r="A5938" i="34"/>
  <c r="A5942" i="34"/>
  <c r="A5946" i="34"/>
  <c r="A5950" i="34"/>
  <c r="A5954" i="34"/>
  <c r="A5958" i="34"/>
  <c r="A5962" i="34"/>
  <c r="A5966" i="34"/>
  <c r="A5970" i="34"/>
  <c r="A5974" i="34"/>
  <c r="A5978" i="34"/>
  <c r="A5982" i="34"/>
  <c r="A5986" i="34"/>
  <c r="A5990" i="34"/>
  <c r="A5994" i="34"/>
  <c r="A5998" i="34"/>
  <c r="A6002" i="34"/>
  <c r="A6006" i="34"/>
  <c r="A6010" i="34"/>
  <c r="A6014" i="34"/>
  <c r="A6018" i="34"/>
  <c r="A6022" i="34"/>
  <c r="A6026" i="34"/>
  <c r="A6030" i="34"/>
  <c r="A6034" i="34"/>
  <c r="A6038" i="34"/>
  <c r="A6042" i="34"/>
  <c r="A6046" i="34"/>
  <c r="A6050" i="34"/>
  <c r="A6054" i="34"/>
  <c r="A6058" i="34"/>
  <c r="A6062" i="34"/>
  <c r="A6066" i="34"/>
  <c r="A6070" i="34"/>
  <c r="A6074" i="34"/>
  <c r="A6078" i="34"/>
  <c r="A6082" i="34"/>
  <c r="A6086" i="34"/>
  <c r="A6090" i="34"/>
  <c r="A6094" i="34"/>
  <c r="A6098" i="34"/>
  <c r="A6102" i="34"/>
  <c r="A6106" i="34"/>
  <c r="A6110" i="34"/>
  <c r="A6114" i="34"/>
  <c r="A6118" i="34"/>
  <c r="A6122" i="34"/>
  <c r="A6126" i="34"/>
  <c r="A6130" i="34"/>
  <c r="A6134" i="34"/>
  <c r="A6138" i="34"/>
  <c r="A6142" i="34"/>
  <c r="A6146" i="34"/>
  <c r="A6150" i="34"/>
  <c r="A6154" i="34"/>
  <c r="A6158" i="34"/>
  <c r="A6162" i="34"/>
  <c r="A6166" i="34"/>
  <c r="A6170" i="34"/>
  <c r="A6174" i="34"/>
  <c r="A6178" i="34"/>
  <c r="A6182" i="34"/>
  <c r="A6186" i="34"/>
  <c r="A6190" i="34"/>
  <c r="A6194" i="34"/>
  <c r="A6198" i="34"/>
  <c r="A6202" i="34"/>
  <c r="A6206" i="34"/>
  <c r="A6210" i="34"/>
  <c r="A6214" i="34"/>
  <c r="A6218" i="34"/>
  <c r="A6222" i="34"/>
  <c r="A6226" i="34"/>
  <c r="A6230" i="34"/>
  <c r="A6234" i="34"/>
  <c r="A6238" i="34"/>
  <c r="A6242" i="34"/>
  <c r="A6246" i="34"/>
  <c r="A6250" i="34"/>
  <c r="A6254" i="34"/>
  <c r="A6258" i="34"/>
  <c r="A6262" i="34"/>
  <c r="A6266" i="34"/>
  <c r="A6270" i="34"/>
  <c r="A6274" i="34"/>
  <c r="A6278" i="34"/>
  <c r="A6282" i="34"/>
  <c r="A6286" i="34"/>
  <c r="A6290" i="34"/>
  <c r="A6294" i="34"/>
  <c r="A6298" i="34"/>
  <c r="A6302" i="34"/>
  <c r="A6306" i="34"/>
  <c r="A6310" i="34"/>
  <c r="A6314" i="34"/>
  <c r="A6318" i="34"/>
  <c r="A6322" i="34"/>
  <c r="A6326" i="34"/>
  <c r="A6330" i="34"/>
  <c r="A6334" i="34"/>
  <c r="A6338" i="34"/>
  <c r="A6342" i="34"/>
  <c r="A6346" i="34"/>
  <c r="A6350" i="34"/>
  <c r="A6354" i="34"/>
  <c r="A6358" i="34"/>
  <c r="A6362" i="34"/>
  <c r="A6366" i="34"/>
  <c r="A6370" i="34"/>
  <c r="A6374" i="34"/>
  <c r="A6378" i="34"/>
  <c r="A6382" i="34"/>
  <c r="A6386" i="34"/>
  <c r="A6390" i="34"/>
  <c r="A6394" i="34"/>
  <c r="A6398" i="34"/>
  <c r="A6402" i="34"/>
  <c r="A6406" i="34"/>
  <c r="A6410" i="34"/>
  <c r="A6414" i="34"/>
  <c r="A6418" i="34"/>
  <c r="A6422" i="34"/>
  <c r="A6426" i="34"/>
  <c r="A6430" i="34"/>
  <c r="A6434" i="34"/>
  <c r="A6438" i="34"/>
  <c r="A6442" i="34"/>
  <c r="A6446" i="34"/>
  <c r="A6450" i="34"/>
  <c r="A6454" i="34"/>
  <c r="A6458" i="34"/>
  <c r="A6462" i="34"/>
  <c r="A6466" i="34"/>
  <c r="A6470" i="34"/>
  <c r="A6474" i="34"/>
  <c r="A6478" i="34"/>
  <c r="A6482" i="34"/>
  <c r="A6486" i="34"/>
  <c r="A6490" i="34"/>
  <c r="A6494" i="34"/>
  <c r="A6498" i="34"/>
  <c r="A6502" i="34"/>
  <c r="A6506" i="34"/>
  <c r="A6510" i="34"/>
  <c r="A6514" i="34"/>
  <c r="A6518" i="34"/>
  <c r="A6522" i="34"/>
  <c r="A6526" i="34"/>
  <c r="A6530" i="34"/>
  <c r="A6534" i="34"/>
  <c r="A6538" i="34"/>
  <c r="A6542" i="34"/>
  <c r="A6546" i="34"/>
  <c r="A6550" i="34"/>
  <c r="A6554" i="34"/>
  <c r="A6558" i="34"/>
  <c r="A6562" i="34"/>
  <c r="A6566" i="34"/>
  <c r="A6570" i="34"/>
  <c r="A6574" i="34"/>
  <c r="A6578" i="34"/>
  <c r="A6582" i="34"/>
  <c r="A6586" i="34"/>
  <c r="A6590" i="34"/>
  <c r="A6594" i="34"/>
  <c r="A6598" i="34"/>
  <c r="A6602" i="34"/>
  <c r="A6606" i="34"/>
  <c r="A6610" i="34"/>
  <c r="A6614" i="34"/>
  <c r="A6618" i="34"/>
  <c r="A6622" i="34"/>
  <c r="A6626" i="34"/>
  <c r="A6630" i="34"/>
  <c r="A6634" i="34"/>
  <c r="A6638" i="34"/>
  <c r="A6642" i="34"/>
  <c r="A6646" i="34"/>
  <c r="A6650" i="34"/>
  <c r="A6654" i="34"/>
  <c r="A6658" i="34"/>
  <c r="A6662" i="34"/>
  <c r="A6666" i="34"/>
  <c r="A6670" i="34"/>
  <c r="A6674" i="34"/>
  <c r="A6678" i="34"/>
  <c r="A6682" i="34"/>
  <c r="A6686" i="34"/>
  <c r="A6690" i="34"/>
  <c r="A6694" i="34"/>
  <c r="A6698" i="34"/>
  <c r="A6702" i="34"/>
  <c r="A6706" i="34"/>
  <c r="A6710" i="34"/>
  <c r="A6714" i="34"/>
  <c r="A6718" i="34"/>
  <c r="A6722" i="34"/>
  <c r="A6726" i="34"/>
  <c r="A6730" i="34"/>
  <c r="A6734" i="34"/>
  <c r="A6738" i="34"/>
  <c r="A6742" i="34"/>
  <c r="A6746" i="34"/>
  <c r="A6750" i="34"/>
  <c r="A6754" i="34"/>
  <c r="A6758" i="34"/>
  <c r="A6762" i="34"/>
  <c r="A6766" i="34"/>
  <c r="A6770" i="34"/>
  <c r="A6774" i="34"/>
  <c r="A6778" i="34"/>
  <c r="A6782" i="34"/>
  <c r="A6786" i="34"/>
  <c r="A6790" i="34"/>
  <c r="A6794" i="34"/>
  <c r="A6798" i="34"/>
  <c r="A6802" i="34"/>
  <c r="A6806" i="34"/>
  <c r="A6810" i="34"/>
  <c r="A6814" i="34"/>
  <c r="A6818" i="34"/>
  <c r="A6822" i="34"/>
  <c r="A6826" i="34"/>
  <c r="A6830" i="34"/>
  <c r="A6834" i="34"/>
  <c r="A6838" i="34"/>
  <c r="A6842" i="34"/>
  <c r="A6846" i="34"/>
  <c r="A6850" i="34"/>
  <c r="A6854" i="34"/>
  <c r="A6858" i="34"/>
  <c r="A6862" i="34"/>
  <c r="A6866" i="34"/>
  <c r="A6870" i="34"/>
  <c r="A6874" i="34"/>
  <c r="A6878" i="34"/>
  <c r="A6882" i="34"/>
  <c r="A6886" i="34"/>
  <c r="A6890" i="34"/>
  <c r="A6894" i="34"/>
  <c r="A6898" i="34"/>
  <c r="A6902" i="34"/>
  <c r="A6906" i="34"/>
  <c r="A6910" i="34"/>
  <c r="A6914" i="34"/>
  <c r="A6918" i="34"/>
  <c r="A6922" i="34"/>
  <c r="A6926" i="34"/>
  <c r="A6930" i="34"/>
  <c r="A6934" i="34"/>
  <c r="A6938" i="34"/>
  <c r="A6942" i="34"/>
  <c r="A6946" i="34"/>
  <c r="A6950" i="34"/>
  <c r="A6954" i="34"/>
  <c r="A6958" i="34"/>
  <c r="A6962" i="34"/>
  <c r="A6966" i="34"/>
  <c r="A6970" i="34"/>
  <c r="A6974" i="34"/>
  <c r="A6978" i="34"/>
  <c r="A6982" i="34"/>
  <c r="A6986" i="34"/>
  <c r="A6990" i="34"/>
  <c r="A6994" i="34"/>
  <c r="A6998" i="34"/>
  <c r="A7002" i="34"/>
  <c r="A7006" i="34"/>
  <c r="A7010" i="34"/>
  <c r="A7014" i="34"/>
  <c r="A7018" i="34"/>
  <c r="A7022" i="34"/>
  <c r="A7026" i="34"/>
  <c r="A7030" i="34"/>
  <c r="A7034" i="34"/>
  <c r="A7038" i="34"/>
  <c r="A7042" i="34"/>
  <c r="A7046" i="34"/>
  <c r="A7050" i="34"/>
  <c r="A7054" i="34"/>
  <c r="A7058" i="34"/>
  <c r="A7062" i="34"/>
  <c r="A7066" i="34"/>
  <c r="A7070" i="34"/>
  <c r="A7074" i="34"/>
  <c r="A7078" i="34"/>
  <c r="A7082" i="34"/>
  <c r="A7086" i="34"/>
  <c r="A7090" i="34"/>
  <c r="A7094" i="34"/>
  <c r="A7098" i="34"/>
  <c r="A7102" i="34"/>
  <c r="A7106" i="34"/>
  <c r="A7110" i="34"/>
  <c r="A7114" i="34"/>
  <c r="A7118" i="34"/>
  <c r="A7122" i="34"/>
  <c r="A7126" i="34"/>
  <c r="A7130" i="34"/>
  <c r="A7134" i="34"/>
  <c r="A7138" i="34"/>
  <c r="A5867" i="34"/>
  <c r="A5871" i="34"/>
  <c r="A5875" i="34"/>
  <c r="A5879" i="34"/>
  <c r="A5883" i="34"/>
  <c r="A5887" i="34"/>
  <c r="A5891" i="34"/>
  <c r="A5895" i="34"/>
  <c r="A5899" i="34"/>
  <c r="A5903" i="34"/>
  <c r="A5907" i="34"/>
  <c r="A5911" i="34"/>
  <c r="A5915" i="34"/>
  <c r="A5919" i="34"/>
  <c r="A5923" i="34"/>
  <c r="A5927" i="34"/>
  <c r="A5931" i="34"/>
  <c r="A5935" i="34"/>
  <c r="A5939" i="34"/>
  <c r="A5943" i="34"/>
  <c r="A5947" i="34"/>
  <c r="A5951" i="34"/>
  <c r="A5955" i="34"/>
  <c r="A5959" i="34"/>
  <c r="A5963" i="34"/>
  <c r="A5967" i="34"/>
  <c r="A5971" i="34"/>
  <c r="A5975" i="34"/>
  <c r="A5979" i="34"/>
  <c r="A5983" i="34"/>
  <c r="A5987" i="34"/>
  <c r="A5991" i="34"/>
  <c r="A5995" i="34"/>
  <c r="A5999" i="34"/>
  <c r="A6003" i="34"/>
  <c r="A6007" i="34"/>
  <c r="A6011" i="34"/>
  <c r="A6015" i="34"/>
  <c r="A6019" i="34"/>
  <c r="A6023" i="34"/>
  <c r="A6027" i="34"/>
  <c r="A6031" i="34"/>
  <c r="A6035" i="34"/>
  <c r="A6039" i="34"/>
  <c r="A6043" i="34"/>
  <c r="A6047" i="34"/>
  <c r="A6051" i="34"/>
  <c r="A6055" i="34"/>
  <c r="A6059" i="34"/>
  <c r="A6063" i="34"/>
  <c r="A6067" i="34"/>
  <c r="A6071" i="34"/>
  <c r="A6075" i="34"/>
  <c r="A6079" i="34"/>
  <c r="A6083" i="34"/>
  <c r="A6087" i="34"/>
  <c r="A6091" i="34"/>
  <c r="A6095" i="34"/>
  <c r="A6099" i="34"/>
  <c r="A6103" i="34"/>
  <c r="A6107" i="34"/>
  <c r="A6111" i="34"/>
  <c r="A6115" i="34"/>
  <c r="A6119" i="34"/>
  <c r="A6123" i="34"/>
  <c r="A6127" i="34"/>
  <c r="A6131" i="34"/>
  <c r="A6135" i="34"/>
  <c r="A6139" i="34"/>
  <c r="A6143" i="34"/>
  <c r="A6147" i="34"/>
  <c r="A6151" i="34"/>
  <c r="A6155" i="34"/>
  <c r="A6159" i="34"/>
  <c r="A6163" i="34"/>
  <c r="A6167" i="34"/>
  <c r="A6171" i="34"/>
  <c r="A6175" i="34"/>
  <c r="A6179" i="34"/>
  <c r="A6183" i="34"/>
  <c r="A6187" i="34"/>
  <c r="A6191" i="34"/>
  <c r="A6195" i="34"/>
  <c r="A6199" i="34"/>
  <c r="A6203" i="34"/>
  <c r="A6207" i="34"/>
  <c r="A6211" i="34"/>
  <c r="A6215" i="34"/>
  <c r="A6219" i="34"/>
  <c r="A6223" i="34"/>
  <c r="A6227" i="34"/>
  <c r="A6231" i="34"/>
  <c r="A6235" i="34"/>
  <c r="A6239" i="34"/>
  <c r="A6243" i="34"/>
  <c r="A6247" i="34"/>
  <c r="A6251" i="34"/>
  <c r="A6255" i="34"/>
  <c r="A6259" i="34"/>
  <c r="A6263" i="34"/>
  <c r="A6267" i="34"/>
  <c r="A6271" i="34"/>
  <c r="A6275" i="34"/>
  <c r="A6279" i="34"/>
  <c r="A6283" i="34"/>
  <c r="A6287" i="34"/>
  <c r="A6291" i="34"/>
  <c r="A6295" i="34"/>
  <c r="A6299" i="34"/>
  <c r="A6303" i="34"/>
  <c r="A6307" i="34"/>
  <c r="A6311" i="34"/>
  <c r="A6315" i="34"/>
  <c r="A6319" i="34"/>
  <c r="A6323" i="34"/>
  <c r="A6327" i="34"/>
  <c r="A6331" i="34"/>
  <c r="A6335" i="34"/>
  <c r="A6339" i="34"/>
  <c r="A6343" i="34"/>
  <c r="A6347" i="34"/>
  <c r="A6351" i="34"/>
  <c r="A6355" i="34"/>
  <c r="A6359" i="34"/>
  <c r="A6363" i="34"/>
  <c r="A6367" i="34"/>
  <c r="A6371" i="34"/>
  <c r="A6375" i="34"/>
  <c r="A6379" i="34"/>
  <c r="A6383" i="34"/>
  <c r="A6387" i="34"/>
  <c r="A6391" i="34"/>
  <c r="A6395" i="34"/>
  <c r="A6399" i="34"/>
  <c r="A6403" i="34"/>
  <c r="A6407" i="34"/>
  <c r="A6411" i="34"/>
  <c r="A6415" i="34"/>
  <c r="A6419" i="34"/>
  <c r="A6423" i="34"/>
  <c r="A6427" i="34"/>
  <c r="A6431" i="34"/>
  <c r="A6435" i="34"/>
  <c r="A6439" i="34"/>
  <c r="A6443" i="34"/>
  <c r="A6447" i="34"/>
  <c r="A6451" i="34"/>
  <c r="A6455" i="34"/>
  <c r="A6459" i="34"/>
  <c r="A6463" i="34"/>
  <c r="A6467" i="34"/>
  <c r="A6471" i="34"/>
  <c r="A6475" i="34"/>
  <c r="A6479" i="34"/>
  <c r="A6483" i="34"/>
  <c r="A6487" i="34"/>
  <c r="A6491" i="34"/>
  <c r="A6495" i="34"/>
  <c r="A6499" i="34"/>
  <c r="A6503" i="34"/>
  <c r="A6507" i="34"/>
  <c r="A6511" i="34"/>
  <c r="A6515" i="34"/>
  <c r="A6519" i="34"/>
  <c r="A6523" i="34"/>
  <c r="A6527" i="34"/>
  <c r="A6531" i="34"/>
  <c r="A6535" i="34"/>
  <c r="A6539" i="34"/>
  <c r="A6543" i="34"/>
  <c r="A6547" i="34"/>
  <c r="A6551" i="34"/>
  <c r="A6555" i="34"/>
  <c r="A6559" i="34"/>
  <c r="A6563" i="34"/>
  <c r="A6567" i="34"/>
  <c r="A6571" i="34"/>
  <c r="A6575" i="34"/>
  <c r="A6579" i="34"/>
  <c r="A6583" i="34"/>
  <c r="A6587" i="34"/>
  <c r="A6591" i="34"/>
  <c r="A6595" i="34"/>
  <c r="A6599" i="34"/>
  <c r="A6603" i="34"/>
  <c r="A6607" i="34"/>
  <c r="A6611" i="34"/>
  <c r="A6615" i="34"/>
  <c r="A6619" i="34"/>
  <c r="A6623" i="34"/>
  <c r="A6627" i="34"/>
  <c r="A6631" i="34"/>
  <c r="A6635" i="34"/>
  <c r="A6639" i="34"/>
  <c r="A6643" i="34"/>
  <c r="A6647" i="34"/>
  <c r="A6651" i="34"/>
  <c r="A6655" i="34"/>
  <c r="A6659" i="34"/>
  <c r="A6663" i="34"/>
  <c r="A6667" i="34"/>
  <c r="A6671" i="34"/>
  <c r="A6675" i="34"/>
  <c r="A6679" i="34"/>
  <c r="A6683" i="34"/>
  <c r="A6687" i="34"/>
  <c r="A6691" i="34"/>
  <c r="A6695" i="34"/>
  <c r="A6699" i="34"/>
  <c r="A6703" i="34"/>
  <c r="A6707" i="34"/>
  <c r="A6711" i="34"/>
  <c r="A6715" i="34"/>
  <c r="A6719" i="34"/>
  <c r="A6723" i="34"/>
  <c r="A6727" i="34"/>
  <c r="A6731" i="34"/>
  <c r="A6735" i="34"/>
  <c r="A6739" i="34"/>
  <c r="A6743" i="34"/>
  <c r="A6747" i="34"/>
  <c r="A6751" i="34"/>
  <c r="A6755" i="34"/>
  <c r="A6759" i="34"/>
  <c r="A6763" i="34"/>
  <c r="A6767" i="34"/>
  <c r="A6771" i="34"/>
  <c r="A6775" i="34"/>
  <c r="A6779" i="34"/>
  <c r="A6783" i="34"/>
  <c r="A6787" i="34"/>
  <c r="A6791" i="34"/>
  <c r="A6795" i="34"/>
  <c r="A6799" i="34"/>
  <c r="A6803" i="34"/>
  <c r="A6807" i="34"/>
  <c r="A6811" i="34"/>
  <c r="A6815" i="34"/>
  <c r="A6819" i="34"/>
  <c r="A6823" i="34"/>
  <c r="A6827" i="34"/>
  <c r="A6831" i="34"/>
  <c r="A6835" i="34"/>
  <c r="A6839" i="34"/>
  <c r="A6843" i="34"/>
  <c r="A6847" i="34"/>
  <c r="A6851" i="34"/>
  <c r="A6855" i="34"/>
  <c r="A6859" i="34"/>
  <c r="A6863" i="34"/>
  <c r="A6867" i="34"/>
  <c r="A6871" i="34"/>
  <c r="A6875" i="34"/>
  <c r="A6879" i="34"/>
  <c r="A6883" i="34"/>
  <c r="A6887" i="34"/>
  <c r="A6891" i="34"/>
  <c r="A6895" i="34"/>
  <c r="A6899" i="34"/>
  <c r="A6903" i="34"/>
  <c r="A6907" i="34"/>
  <c r="A6911" i="34"/>
  <c r="A6915" i="34"/>
  <c r="A6919" i="34"/>
  <c r="A6923" i="34"/>
  <c r="A6927" i="34"/>
  <c r="A6931" i="34"/>
  <c r="A6935" i="34"/>
  <c r="A6939" i="34"/>
  <c r="A6943" i="34"/>
  <c r="A6947" i="34"/>
  <c r="A6951" i="34"/>
  <c r="A6955" i="34"/>
  <c r="A6959" i="34"/>
  <c r="A6963" i="34"/>
  <c r="A6967" i="34"/>
  <c r="A6971" i="34"/>
  <c r="A6975" i="34"/>
  <c r="A6979" i="34"/>
  <c r="A6983" i="34"/>
  <c r="A6987" i="34"/>
  <c r="A6991" i="34"/>
  <c r="A6995" i="34"/>
  <c r="A6999" i="34"/>
  <c r="A7003" i="34"/>
  <c r="A7007" i="34"/>
  <c r="A7011" i="34"/>
  <c r="A7015" i="34"/>
  <c r="A7019" i="34"/>
  <c r="A7023" i="34"/>
  <c r="A7027" i="34"/>
  <c r="A7031" i="34"/>
  <c r="A7035" i="34"/>
  <c r="A7039" i="34"/>
  <c r="A7043" i="34"/>
  <c r="A7047" i="34"/>
  <c r="A7051" i="34"/>
  <c r="A7055" i="34"/>
  <c r="A7059" i="34"/>
  <c r="A7063" i="34"/>
  <c r="A7067" i="34"/>
  <c r="A7071" i="34"/>
  <c r="A7075" i="34"/>
  <c r="A7079" i="34"/>
  <c r="A7083" i="34"/>
  <c r="A7087" i="34"/>
  <c r="A7091" i="34"/>
  <c r="A7095" i="34"/>
  <c r="A7099" i="34"/>
  <c r="A7103" i="34"/>
  <c r="A7107" i="34"/>
  <c r="A7111" i="34"/>
  <c r="A7115" i="34"/>
  <c r="A7119" i="34"/>
  <c r="A7123" i="34"/>
  <c r="A7127" i="34"/>
  <c r="A7131" i="34"/>
  <c r="A7135" i="34"/>
  <c r="A7139" i="34"/>
  <c r="A5864" i="34"/>
  <c r="A5868" i="34"/>
  <c r="A5872" i="34"/>
  <c r="A5876" i="34"/>
  <c r="A5880" i="34"/>
  <c r="A5884" i="34"/>
  <c r="A5888" i="34"/>
  <c r="A5892" i="34"/>
  <c r="A5896" i="34"/>
  <c r="A5900" i="34"/>
  <c r="A5904" i="34"/>
  <c r="A5908" i="34"/>
  <c r="A5912" i="34"/>
  <c r="A5916" i="34"/>
  <c r="A5920" i="34"/>
  <c r="A5924" i="34"/>
  <c r="A5928" i="34"/>
  <c r="A5932" i="34"/>
  <c r="A5936" i="34"/>
  <c r="A5940" i="34"/>
  <c r="A5944" i="34"/>
  <c r="A5948" i="34"/>
  <c r="A5952" i="34"/>
  <c r="A5956" i="34"/>
  <c r="A5960" i="34"/>
  <c r="A5964" i="34"/>
  <c r="A5968" i="34"/>
  <c r="A5972" i="34"/>
  <c r="A5976" i="34"/>
  <c r="A5980" i="34"/>
  <c r="A5984" i="34"/>
  <c r="A5988" i="34"/>
  <c r="A5992" i="34"/>
  <c r="A5996" i="34"/>
  <c r="A6000" i="34"/>
  <c r="A6004" i="34"/>
  <c r="A6008" i="34"/>
  <c r="A6012" i="34"/>
  <c r="A6016" i="34"/>
  <c r="A6020" i="34"/>
  <c r="A6024" i="34"/>
  <c r="A6028" i="34"/>
  <c r="A6032" i="34"/>
  <c r="A6036" i="34"/>
  <c r="A6040" i="34"/>
  <c r="A6044" i="34"/>
  <c r="A6048" i="34"/>
  <c r="A6052" i="34"/>
  <c r="A6056" i="34"/>
  <c r="A6060" i="34"/>
  <c r="A6064" i="34"/>
  <c r="A6068" i="34"/>
  <c r="A6072" i="34"/>
  <c r="A6076" i="34"/>
  <c r="A6080" i="34"/>
  <c r="A6084" i="34"/>
  <c r="A6088" i="34"/>
  <c r="A6092" i="34"/>
  <c r="A6096" i="34"/>
  <c r="A6100" i="34"/>
  <c r="A6104" i="34"/>
  <c r="A6108" i="34"/>
  <c r="A6112" i="34"/>
  <c r="A6116" i="34"/>
  <c r="A6120" i="34"/>
  <c r="A6124" i="34"/>
  <c r="A6128" i="34"/>
  <c r="A6132" i="34"/>
  <c r="A6136" i="34"/>
  <c r="A6140" i="34"/>
  <c r="A6144" i="34"/>
  <c r="A6148" i="34"/>
  <c r="A6152" i="34"/>
  <c r="A6156" i="34"/>
  <c r="A6160" i="34"/>
  <c r="A6164" i="34"/>
  <c r="A6168" i="34"/>
  <c r="A6172" i="34"/>
  <c r="A6176" i="34"/>
  <c r="A6180" i="34"/>
  <c r="A6184" i="34"/>
  <c r="A6188" i="34"/>
  <c r="A6192" i="34"/>
  <c r="A6196" i="34"/>
  <c r="A6200" i="34"/>
  <c r="A6204" i="34"/>
  <c r="A6208" i="34"/>
  <c r="A6212" i="34"/>
  <c r="A6216" i="34"/>
  <c r="A6220" i="34"/>
  <c r="A6224" i="34"/>
  <c r="A6228" i="34"/>
  <c r="A6232" i="34"/>
  <c r="A6236" i="34"/>
  <c r="A6240" i="34"/>
  <c r="A6244" i="34"/>
  <c r="A6248" i="34"/>
  <c r="A6252" i="34"/>
  <c r="A6256" i="34"/>
  <c r="A6260" i="34"/>
  <c r="A6264" i="34"/>
  <c r="A6268" i="34"/>
  <c r="A6272" i="34"/>
  <c r="A6276" i="34"/>
  <c r="A6280" i="34"/>
  <c r="A6284" i="34"/>
  <c r="A6288" i="34"/>
  <c r="A6292" i="34"/>
  <c r="A6296" i="34"/>
  <c r="A6300" i="34"/>
  <c r="A6304" i="34"/>
  <c r="A6308" i="34"/>
  <c r="A6312" i="34"/>
  <c r="A6316" i="34"/>
  <c r="A6320" i="34"/>
  <c r="A6324" i="34"/>
  <c r="A6328" i="34"/>
  <c r="A6332" i="34"/>
  <c r="A6336" i="34"/>
  <c r="A6340" i="34"/>
  <c r="A6344" i="34"/>
  <c r="A6348" i="34"/>
  <c r="A6352" i="34"/>
  <c r="A6356" i="34"/>
  <c r="A6360" i="34"/>
  <c r="A6364" i="34"/>
  <c r="A6368" i="34"/>
  <c r="A6372" i="34"/>
  <c r="A6376" i="34"/>
  <c r="A6380" i="34"/>
  <c r="A6384" i="34"/>
  <c r="A6388" i="34"/>
  <c r="A6392" i="34"/>
  <c r="A6396" i="34"/>
  <c r="A6400" i="34"/>
  <c r="A6404" i="34"/>
  <c r="A6408" i="34"/>
  <c r="A6412" i="34"/>
  <c r="A6416" i="34"/>
  <c r="A6420" i="34"/>
  <c r="A6424" i="34"/>
  <c r="A6428" i="34"/>
  <c r="A6432" i="34"/>
  <c r="A6436" i="34"/>
  <c r="A6440" i="34"/>
  <c r="A6444" i="34"/>
  <c r="A6448" i="34"/>
  <c r="A6452" i="34"/>
  <c r="A6456" i="34"/>
  <c r="A6460" i="34"/>
  <c r="A6464" i="34"/>
  <c r="A6468" i="34"/>
  <c r="A6472" i="34"/>
  <c r="A6476" i="34"/>
  <c r="A6480" i="34"/>
  <c r="A6484" i="34"/>
  <c r="A6488" i="34"/>
  <c r="A6492" i="34"/>
  <c r="A6496" i="34"/>
  <c r="A6500" i="34"/>
  <c r="A6504" i="34"/>
  <c r="A6508" i="34"/>
  <c r="A6512" i="34"/>
  <c r="A6516" i="34"/>
  <c r="A6520" i="34"/>
  <c r="A6524" i="34"/>
  <c r="A6528" i="34"/>
  <c r="A6532" i="34"/>
  <c r="A6536" i="34"/>
  <c r="A6540" i="34"/>
  <c r="A6544" i="34"/>
  <c r="A6548" i="34"/>
  <c r="A6552" i="34"/>
  <c r="A6556" i="34"/>
  <c r="A6560" i="34"/>
  <c r="A6564" i="34"/>
  <c r="A6568" i="34"/>
  <c r="A6572" i="34"/>
  <c r="A6576" i="34"/>
  <c r="A6580" i="34"/>
  <c r="A6584" i="34"/>
  <c r="A6588" i="34"/>
  <c r="A6592" i="34"/>
  <c r="A6596" i="34"/>
  <c r="A6600" i="34"/>
  <c r="A6604" i="34"/>
  <c r="A6608" i="34"/>
  <c r="A6612" i="34"/>
  <c r="A6616" i="34"/>
  <c r="A6620" i="34"/>
  <c r="A6624" i="34"/>
  <c r="A6628" i="34"/>
  <c r="A6632" i="34"/>
  <c r="A6636" i="34"/>
  <c r="A6640" i="34"/>
  <c r="A6644" i="34"/>
  <c r="A6648" i="34"/>
  <c r="A6652" i="34"/>
  <c r="A6656" i="34"/>
  <c r="A6660" i="34"/>
  <c r="A6664" i="34"/>
  <c r="A6668" i="34"/>
  <c r="A6672" i="34"/>
  <c r="A6676" i="34"/>
  <c r="A6680" i="34"/>
  <c r="A6684" i="34"/>
  <c r="A6688" i="34"/>
  <c r="A6692" i="34"/>
  <c r="A6696" i="34"/>
  <c r="A6700" i="34"/>
  <c r="A6704" i="34"/>
  <c r="A6708" i="34"/>
  <c r="A6712" i="34"/>
  <c r="A6716" i="34"/>
  <c r="A6720" i="34"/>
  <c r="A6724" i="34"/>
  <c r="A6728" i="34"/>
  <c r="A6732" i="34"/>
  <c r="A6736" i="34"/>
  <c r="A6740" i="34"/>
  <c r="A6744" i="34"/>
  <c r="A6748" i="34"/>
  <c r="A6752" i="34"/>
  <c r="A6756" i="34"/>
  <c r="A6760" i="34"/>
  <c r="A6764" i="34"/>
  <c r="A6768" i="34"/>
  <c r="A6772" i="34"/>
  <c r="A6776" i="34"/>
  <c r="A6780" i="34"/>
  <c r="A6784" i="34"/>
  <c r="A6788" i="34"/>
  <c r="A6792" i="34"/>
  <c r="A6796" i="34"/>
  <c r="A6800" i="34"/>
  <c r="A6804" i="34"/>
  <c r="A6808" i="34"/>
  <c r="A6812" i="34"/>
  <c r="A6816" i="34"/>
  <c r="A6820" i="34"/>
  <c r="A6824" i="34"/>
  <c r="A6828" i="34"/>
  <c r="A6832" i="34"/>
  <c r="A6836" i="34"/>
  <c r="A6840" i="34"/>
  <c r="A6844" i="34"/>
  <c r="A6848" i="34"/>
  <c r="A6852" i="34"/>
  <c r="A6856" i="34"/>
  <c r="A6860" i="34"/>
  <c r="A6864" i="34"/>
  <c r="A6868" i="34"/>
  <c r="A6872" i="34"/>
  <c r="A6876" i="34"/>
  <c r="A6880" i="34"/>
  <c r="A6884" i="34"/>
  <c r="A6888" i="34"/>
  <c r="A6892" i="34"/>
  <c r="A6896" i="34"/>
  <c r="A6900" i="34"/>
  <c r="A6904" i="34"/>
  <c r="A6908" i="34"/>
  <c r="A6912" i="34"/>
  <c r="A6916" i="34"/>
  <c r="A6920" i="34"/>
  <c r="A6924" i="34"/>
  <c r="A6928" i="34"/>
  <c r="A6932" i="34"/>
  <c r="A6936" i="34"/>
  <c r="A6940" i="34"/>
  <c r="A6944" i="34"/>
  <c r="A6948" i="34"/>
  <c r="A6952" i="34"/>
  <c r="A6956" i="34"/>
  <c r="A6960" i="34"/>
  <c r="A6964" i="34"/>
  <c r="A6968" i="34"/>
  <c r="A6972" i="34"/>
  <c r="A6976" i="34"/>
  <c r="A6980" i="34"/>
  <c r="A6984" i="34"/>
  <c r="A6988" i="34"/>
  <c r="A6992" i="34"/>
  <c r="A6996" i="34"/>
  <c r="A7000" i="34"/>
  <c r="A7004" i="34"/>
  <c r="A7008" i="34"/>
  <c r="A7012" i="34"/>
  <c r="A7016" i="34"/>
  <c r="A7020" i="34"/>
  <c r="A7024" i="34"/>
  <c r="A7028" i="34"/>
  <c r="A7032" i="34"/>
  <c r="A7036" i="34"/>
  <c r="A7040" i="34"/>
  <c r="A7044" i="34"/>
  <c r="A7048" i="34"/>
  <c r="A7052" i="34"/>
  <c r="A7056" i="34"/>
  <c r="A7060" i="34"/>
  <c r="A7064" i="34"/>
  <c r="A7068" i="34"/>
  <c r="A7072" i="34"/>
  <c r="A7076" i="34"/>
  <c r="A7080" i="34"/>
  <c r="A7084" i="34"/>
  <c r="A7088" i="34"/>
  <c r="A7092" i="34"/>
  <c r="A7096" i="34"/>
  <c r="A7100" i="34"/>
  <c r="A7104" i="34"/>
  <c r="A7108" i="34"/>
  <c r="A7112" i="34"/>
  <c r="A7116" i="34"/>
  <c r="A7120" i="34"/>
  <c r="A7124" i="34"/>
  <c r="A7128" i="34"/>
  <c r="A7132" i="34"/>
  <c r="A7136" i="34"/>
  <c r="A5865" i="34"/>
  <c r="A5869" i="34"/>
  <c r="A5873" i="34"/>
  <c r="A5877" i="34"/>
  <c r="A5881" i="34"/>
  <c r="A5885" i="34"/>
  <c r="A5889" i="34"/>
  <c r="A5893" i="34"/>
  <c r="A5897" i="34"/>
  <c r="A5901" i="34"/>
  <c r="A5905" i="34"/>
  <c r="A5909" i="34"/>
  <c r="A5913" i="34"/>
  <c r="A5917" i="34"/>
  <c r="A5921" i="34"/>
  <c r="A5925" i="34"/>
  <c r="A5929" i="34"/>
  <c r="A5933" i="34"/>
  <c r="A5937" i="34"/>
  <c r="A5941" i="34"/>
  <c r="A5945" i="34"/>
  <c r="A5949" i="34"/>
  <c r="A5953" i="34"/>
  <c r="A5957" i="34"/>
  <c r="A5961" i="34"/>
  <c r="A5965" i="34"/>
  <c r="A5969" i="34"/>
  <c r="A5973" i="34"/>
  <c r="A5977" i="34"/>
  <c r="A5981" i="34"/>
  <c r="A5985" i="34"/>
  <c r="A5989" i="34"/>
  <c r="A5993" i="34"/>
  <c r="A5997" i="34"/>
  <c r="A6001" i="34"/>
  <c r="A6005" i="34"/>
  <c r="A6009" i="34"/>
  <c r="A6013" i="34"/>
  <c r="A6017" i="34"/>
  <c r="A6021" i="34"/>
  <c r="A6025" i="34"/>
  <c r="A6029" i="34"/>
  <c r="A6033" i="34"/>
  <c r="A6037" i="34"/>
  <c r="A6041" i="34"/>
  <c r="A6045" i="34"/>
  <c r="A6049" i="34"/>
  <c r="A6053" i="34"/>
  <c r="A6057" i="34"/>
  <c r="A6061" i="34"/>
  <c r="A6065" i="34"/>
  <c r="A6069" i="34"/>
  <c r="A6073" i="34"/>
  <c r="A6077" i="34"/>
  <c r="A6081" i="34"/>
  <c r="A6085" i="34"/>
  <c r="A6089" i="34"/>
  <c r="A6093" i="34"/>
  <c r="A6097" i="34"/>
  <c r="A6101" i="34"/>
  <c r="A6105" i="34"/>
  <c r="A6109" i="34"/>
  <c r="A6113" i="34"/>
  <c r="A6117" i="34"/>
  <c r="A6121" i="34"/>
  <c r="A6125" i="34"/>
  <c r="A6129" i="34"/>
  <c r="A6133" i="34"/>
  <c r="A6137" i="34"/>
  <c r="A6141" i="34"/>
  <c r="A6145" i="34"/>
  <c r="A6149" i="34"/>
  <c r="A6153" i="34"/>
  <c r="A6157" i="34"/>
  <c r="A6161" i="34"/>
  <c r="A6165" i="34"/>
  <c r="A6169" i="34"/>
  <c r="A6173" i="34"/>
  <c r="A6177" i="34"/>
  <c r="A6181" i="34"/>
  <c r="A6185" i="34"/>
  <c r="A6189" i="34"/>
  <c r="A6193" i="34"/>
  <c r="A6197" i="34"/>
  <c r="A6201" i="34"/>
  <c r="A6205" i="34"/>
  <c r="A6209" i="34"/>
  <c r="A6213" i="34"/>
  <c r="A6217" i="34"/>
  <c r="A6221" i="34"/>
  <c r="A6225" i="34"/>
  <c r="A6229" i="34"/>
  <c r="A6233" i="34"/>
  <c r="A6237" i="34"/>
  <c r="A6241" i="34"/>
  <c r="A6245" i="34"/>
  <c r="A6249" i="34"/>
  <c r="A6253" i="34"/>
  <c r="A6257" i="34"/>
  <c r="A6261" i="34"/>
  <c r="A6265" i="34"/>
  <c r="A6269" i="34"/>
  <c r="A6273" i="34"/>
  <c r="A6277" i="34"/>
  <c r="A6281" i="34"/>
  <c r="A6285" i="34"/>
  <c r="A6289" i="34"/>
  <c r="A6293" i="34"/>
  <c r="A6297" i="34"/>
  <c r="A6301" i="34"/>
  <c r="A6305" i="34"/>
  <c r="A6309" i="34"/>
  <c r="A6313" i="34"/>
  <c r="A6317" i="34"/>
  <c r="A6321" i="34"/>
  <c r="A6325" i="34"/>
  <c r="A6329" i="34"/>
  <c r="A6333" i="34"/>
  <c r="A6337" i="34"/>
  <c r="A6341" i="34"/>
  <c r="A6345" i="34"/>
  <c r="A6349" i="34"/>
  <c r="A6353" i="34"/>
  <c r="A6357" i="34"/>
  <c r="A6361" i="34"/>
  <c r="A6365" i="34"/>
  <c r="A6369" i="34"/>
  <c r="A6373" i="34"/>
  <c r="A6377" i="34"/>
  <c r="A6381" i="34"/>
  <c r="A6385" i="34"/>
  <c r="A6389" i="34"/>
  <c r="A6393" i="34"/>
  <c r="A6397" i="34"/>
  <c r="A6401" i="34"/>
  <c r="A6405" i="34"/>
  <c r="A6409" i="34"/>
  <c r="A6413" i="34"/>
  <c r="A6417" i="34"/>
  <c r="A6421" i="34"/>
  <c r="A6425" i="34"/>
  <c r="A6429" i="34"/>
  <c r="A6433" i="34"/>
  <c r="A6437" i="34"/>
  <c r="A6441" i="34"/>
  <c r="A6445" i="34"/>
  <c r="A6449" i="34"/>
  <c r="A6453" i="34"/>
  <c r="A6457" i="34"/>
  <c r="A6461" i="34"/>
  <c r="A6465" i="34"/>
  <c r="A6469" i="34"/>
  <c r="A6473" i="34"/>
  <c r="A6477" i="34"/>
  <c r="A6481" i="34"/>
  <c r="A6485" i="34"/>
  <c r="A6489" i="34"/>
  <c r="A6493" i="34"/>
  <c r="A6497" i="34"/>
  <c r="A6501" i="34"/>
  <c r="A6505" i="34"/>
  <c r="A6509" i="34"/>
  <c r="A6513" i="34"/>
  <c r="A6517" i="34"/>
  <c r="A6521" i="34"/>
  <c r="A6525" i="34"/>
  <c r="A6529" i="34"/>
  <c r="A6533" i="34"/>
  <c r="A6537" i="34"/>
  <c r="A6541" i="34"/>
  <c r="A6545" i="34"/>
  <c r="A6549" i="34"/>
  <c r="A6553" i="34"/>
  <c r="A6557" i="34"/>
  <c r="A6561" i="34"/>
  <c r="A6565" i="34"/>
  <c r="A6569" i="34"/>
  <c r="A6573" i="34"/>
  <c r="A6577" i="34"/>
  <c r="A6581" i="34"/>
  <c r="A6585" i="34"/>
  <c r="A6589" i="34"/>
  <c r="A6593" i="34"/>
  <c r="A6597" i="34"/>
  <c r="A6601" i="34"/>
  <c r="A6605" i="34"/>
  <c r="A6609" i="34"/>
  <c r="A6613" i="34"/>
  <c r="A6617" i="34"/>
  <c r="A6621" i="34"/>
  <c r="A6625" i="34"/>
  <c r="A6629" i="34"/>
  <c r="A6633" i="34"/>
  <c r="A6637" i="34"/>
  <c r="A6641" i="34"/>
  <c r="A6645" i="34"/>
  <c r="A6649" i="34"/>
  <c r="A6653" i="34"/>
  <c r="A6657" i="34"/>
  <c r="A6661" i="34"/>
  <c r="A6665" i="34"/>
  <c r="A6669" i="34"/>
  <c r="A6673" i="34"/>
  <c r="A6677" i="34"/>
  <c r="A6681" i="34"/>
  <c r="A6685" i="34"/>
  <c r="A6689" i="34"/>
  <c r="A6693" i="34"/>
  <c r="A6697" i="34"/>
  <c r="A6701" i="34"/>
  <c r="A6705" i="34"/>
  <c r="A6709" i="34"/>
  <c r="A6713" i="34"/>
  <c r="A6717" i="34"/>
  <c r="A6721" i="34"/>
  <c r="A6725" i="34"/>
  <c r="A6729" i="34"/>
  <c r="A6733" i="34"/>
  <c r="A6737" i="34"/>
  <c r="A6741" i="34"/>
  <c r="A6745" i="34"/>
  <c r="A6749" i="34"/>
  <c r="A6753" i="34"/>
  <c r="A6757" i="34"/>
  <c r="A6761" i="34"/>
  <c r="A6765" i="34"/>
  <c r="A6769" i="34"/>
  <c r="A6773" i="34"/>
  <c r="A6777" i="34"/>
  <c r="A6781" i="34"/>
  <c r="A6785" i="34"/>
  <c r="A6789" i="34"/>
  <c r="A6793" i="34"/>
  <c r="A6797" i="34"/>
  <c r="A6801" i="34"/>
  <c r="A6805" i="34"/>
  <c r="A6809" i="34"/>
  <c r="A6813" i="34"/>
  <c r="A6817" i="34"/>
  <c r="A6821" i="34"/>
  <c r="A6825" i="34"/>
  <c r="A6829" i="34"/>
  <c r="A6833" i="34"/>
  <c r="A6837" i="34"/>
  <c r="A6841" i="34"/>
  <c r="A6845" i="34"/>
  <c r="A6849" i="34"/>
  <c r="A6853" i="34"/>
  <c r="A6857" i="34"/>
  <c r="A6861" i="34"/>
  <c r="A6865" i="34"/>
  <c r="A6869" i="34"/>
  <c r="A6873" i="34"/>
  <c r="A6877" i="34"/>
  <c r="A6881" i="34"/>
  <c r="A6885" i="34"/>
  <c r="A6889" i="34"/>
  <c r="A6893" i="34"/>
  <c r="A6897" i="34"/>
  <c r="A6901" i="34"/>
  <c r="A6905" i="34"/>
  <c r="A6909" i="34"/>
  <c r="A6913" i="34"/>
  <c r="A6917" i="34"/>
  <c r="A6921" i="34"/>
  <c r="A6925" i="34"/>
  <c r="A6929" i="34"/>
  <c r="A6933" i="34"/>
  <c r="A6937" i="34"/>
  <c r="A6941" i="34"/>
  <c r="A6945" i="34"/>
  <c r="A6949" i="34"/>
  <c r="A6953" i="34"/>
  <c r="A6957" i="34"/>
  <c r="A6961" i="34"/>
  <c r="A6965" i="34"/>
  <c r="A6969" i="34"/>
  <c r="A6973" i="34"/>
  <c r="A6977" i="34"/>
  <c r="A6981" i="34"/>
  <c r="A6985" i="34"/>
  <c r="A6989" i="34"/>
  <c r="A6993" i="34"/>
  <c r="A6997" i="34"/>
  <c r="A7001" i="34"/>
  <c r="A7005" i="34"/>
  <c r="A7009" i="34"/>
  <c r="A7013" i="34"/>
  <c r="A7017" i="34"/>
  <c r="A7021" i="34"/>
  <c r="A7025" i="34"/>
  <c r="A7029" i="34"/>
  <c r="A7033" i="34"/>
  <c r="A7037" i="34"/>
  <c r="A7041" i="34"/>
  <c r="A7045" i="34"/>
  <c r="A7049" i="34"/>
  <c r="A7053" i="34"/>
  <c r="A7057" i="34"/>
  <c r="A7061" i="34"/>
  <c r="A7065" i="34"/>
  <c r="A7069" i="34"/>
  <c r="A7073" i="34"/>
  <c r="A7077" i="34"/>
  <c r="A7081" i="34"/>
  <c r="A7085" i="34"/>
  <c r="A7089" i="34"/>
  <c r="A7093" i="34"/>
  <c r="A7097" i="34"/>
  <c r="A7101" i="34"/>
  <c r="A7105" i="34"/>
  <c r="A7109" i="34"/>
  <c r="A7113" i="34"/>
  <c r="A7117" i="34"/>
  <c r="A7121" i="34"/>
  <c r="A7125" i="34"/>
  <c r="A7129" i="34"/>
  <c r="A7133" i="34"/>
  <c r="A7137" i="34"/>
  <c r="A7140" i="34"/>
  <c r="A7144" i="34"/>
  <c r="A7148" i="34"/>
  <c r="A7152" i="34"/>
  <c r="A7156" i="34"/>
  <c r="A7160" i="34"/>
  <c r="A7164" i="34"/>
  <c r="A7168" i="34"/>
  <c r="A7172" i="34"/>
  <c r="A7176" i="34"/>
  <c r="A7180" i="34"/>
  <c r="A7184" i="34"/>
  <c r="A7188" i="34"/>
  <c r="A7192" i="34"/>
  <c r="A7196" i="34"/>
  <c r="A7200" i="34"/>
  <c r="A7204" i="34"/>
  <c r="A7208" i="34"/>
  <c r="A7212" i="34"/>
  <c r="A7216" i="34"/>
  <c r="A7220" i="34"/>
  <c r="A7224" i="34"/>
  <c r="A7228" i="34"/>
  <c r="A7232" i="34"/>
  <c r="A7236" i="34"/>
  <c r="A7240" i="34"/>
  <c r="A7244" i="34"/>
  <c r="A7248" i="34"/>
  <c r="A7252" i="34"/>
  <c r="A7256" i="34"/>
  <c r="A7260" i="34"/>
  <c r="A7264" i="34"/>
  <c r="A7268" i="34"/>
  <c r="A7272" i="34"/>
  <c r="A7276" i="34"/>
  <c r="A7280" i="34"/>
  <c r="A7284" i="34"/>
  <c r="A7288" i="34"/>
  <c r="A7292" i="34"/>
  <c r="A7296" i="34"/>
  <c r="A7300" i="34"/>
  <c r="A7304" i="34"/>
  <c r="A7308" i="34"/>
  <c r="A7312" i="34"/>
  <c r="A7316" i="34"/>
  <c r="A7320" i="34"/>
  <c r="A7324" i="34"/>
  <c r="A7328" i="34"/>
  <c r="A7332" i="34"/>
  <c r="A7336" i="34"/>
  <c r="A7340" i="34"/>
  <c r="A7344" i="34"/>
  <c r="A7348" i="34"/>
  <c r="A7352" i="34"/>
  <c r="A7356" i="34"/>
  <c r="A7360" i="34"/>
  <c r="A7364" i="34"/>
  <c r="A7368" i="34"/>
  <c r="A7372" i="34"/>
  <c r="A7376" i="34"/>
  <c r="A7380" i="34"/>
  <c r="A7384" i="34"/>
  <c r="A7388" i="34"/>
  <c r="A7392" i="34"/>
  <c r="A7396" i="34"/>
  <c r="A7400" i="34"/>
  <c r="A7408" i="34"/>
  <c r="A7416" i="34"/>
  <c r="A7424" i="34"/>
  <c r="A7432" i="34"/>
  <c r="A7440" i="34"/>
  <c r="A7452" i="34"/>
  <c r="A7460" i="34"/>
  <c r="A7468" i="34"/>
  <c r="A7476" i="34"/>
  <c r="A7484" i="34"/>
  <c r="A7496" i="34"/>
  <c r="A7461" i="34"/>
  <c r="A7473" i="34"/>
  <c r="A7485" i="34"/>
  <c r="A7497" i="34"/>
  <c r="A7478" i="34"/>
  <c r="A7494" i="34"/>
  <c r="A7141" i="34"/>
  <c r="A7145" i="34"/>
  <c r="A7149" i="34"/>
  <c r="A7153" i="34"/>
  <c r="A7157" i="34"/>
  <c r="A7161" i="34"/>
  <c r="A7165" i="34"/>
  <c r="A7169" i="34"/>
  <c r="A7173" i="34"/>
  <c r="A7177" i="34"/>
  <c r="A7181" i="34"/>
  <c r="A7185" i="34"/>
  <c r="A7189" i="34"/>
  <c r="A7193" i="34"/>
  <c r="A7197" i="34"/>
  <c r="A7201" i="34"/>
  <c r="A7205" i="34"/>
  <c r="A7209" i="34"/>
  <c r="A7213" i="34"/>
  <c r="A7217" i="34"/>
  <c r="A7221" i="34"/>
  <c r="A7225" i="34"/>
  <c r="A7229" i="34"/>
  <c r="A7233" i="34"/>
  <c r="A7237" i="34"/>
  <c r="A7241" i="34"/>
  <c r="A7245" i="34"/>
  <c r="A7249" i="34"/>
  <c r="A7253" i="34"/>
  <c r="A7257" i="34"/>
  <c r="A7261" i="34"/>
  <c r="A7265" i="34"/>
  <c r="A7269" i="34"/>
  <c r="A7273" i="34"/>
  <c r="A7277" i="34"/>
  <c r="A7281" i="34"/>
  <c r="A7285" i="34"/>
  <c r="A7289" i="34"/>
  <c r="A7293" i="34"/>
  <c r="A7297" i="34"/>
  <c r="A7301" i="34"/>
  <c r="A7305" i="34"/>
  <c r="A7309" i="34"/>
  <c r="A7313" i="34"/>
  <c r="A7317" i="34"/>
  <c r="A7321" i="34"/>
  <c r="A7325" i="34"/>
  <c r="A7329" i="34"/>
  <c r="A7333" i="34"/>
  <c r="A7337" i="34"/>
  <c r="A7341" i="34"/>
  <c r="A7345" i="34"/>
  <c r="A7349" i="34"/>
  <c r="A7353" i="34"/>
  <c r="A7357" i="34"/>
  <c r="A7361" i="34"/>
  <c r="A7365" i="34"/>
  <c r="A7369" i="34"/>
  <c r="A7373" i="34"/>
  <c r="A7377" i="34"/>
  <c r="A7381" i="34"/>
  <c r="A7385" i="34"/>
  <c r="A7389" i="34"/>
  <c r="A7393" i="34"/>
  <c r="A7397" i="34"/>
  <c r="A7401" i="34"/>
  <c r="A7405" i="34"/>
  <c r="A7409" i="34"/>
  <c r="A7413" i="34"/>
  <c r="A7417" i="34"/>
  <c r="A7421" i="34"/>
  <c r="A7425" i="34"/>
  <c r="A7429" i="34"/>
  <c r="A7433" i="34"/>
  <c r="A7437" i="34"/>
  <c r="A7441" i="34"/>
  <c r="A7445" i="34"/>
  <c r="A7449" i="34"/>
  <c r="A7453" i="34"/>
  <c r="A7457" i="34"/>
  <c r="A7469" i="34"/>
  <c r="A7477" i="34"/>
  <c r="A7493" i="34"/>
  <c r="A7482" i="34"/>
  <c r="A7498" i="34"/>
  <c r="A7142" i="34"/>
  <c r="A7146" i="34"/>
  <c r="A7150" i="34"/>
  <c r="A7154" i="34"/>
  <c r="A7158" i="34"/>
  <c r="A7162" i="34"/>
  <c r="A7166" i="34"/>
  <c r="A7170" i="34"/>
  <c r="A7174" i="34"/>
  <c r="A7178" i="34"/>
  <c r="A7182" i="34"/>
  <c r="A7186" i="34"/>
  <c r="A7190" i="34"/>
  <c r="A7194" i="34"/>
  <c r="A7198" i="34"/>
  <c r="A7202" i="34"/>
  <c r="A7206" i="34"/>
  <c r="A7210" i="34"/>
  <c r="A7214" i="34"/>
  <c r="A7218" i="34"/>
  <c r="A7222" i="34"/>
  <c r="A7226" i="34"/>
  <c r="A7230" i="34"/>
  <c r="A7234" i="34"/>
  <c r="A7238" i="34"/>
  <c r="A7242" i="34"/>
  <c r="A7246" i="34"/>
  <c r="A7250" i="34"/>
  <c r="A7254" i="34"/>
  <c r="A7258" i="34"/>
  <c r="A7262" i="34"/>
  <c r="A7266" i="34"/>
  <c r="A7270" i="34"/>
  <c r="A7274" i="34"/>
  <c r="A7278" i="34"/>
  <c r="A7282" i="34"/>
  <c r="A7286" i="34"/>
  <c r="A7290" i="34"/>
  <c r="A7294" i="34"/>
  <c r="A7298" i="34"/>
  <c r="A7302" i="34"/>
  <c r="A7306" i="34"/>
  <c r="A7310" i="34"/>
  <c r="A7314" i="34"/>
  <c r="A7318" i="34"/>
  <c r="A7322" i="34"/>
  <c r="A7326" i="34"/>
  <c r="A7330" i="34"/>
  <c r="A7334" i="34"/>
  <c r="A7338" i="34"/>
  <c r="A7342" i="34"/>
  <c r="A7346" i="34"/>
  <c r="A7350" i="34"/>
  <c r="A7354" i="34"/>
  <c r="A7358" i="34"/>
  <c r="A7362" i="34"/>
  <c r="A7366" i="34"/>
  <c r="A7370" i="34"/>
  <c r="A7374" i="34"/>
  <c r="A7378" i="34"/>
  <c r="A7382" i="34"/>
  <c r="A7386" i="34"/>
  <c r="A7390" i="34"/>
  <c r="A7394" i="34"/>
  <c r="A7398" i="34"/>
  <c r="A7402" i="34"/>
  <c r="A7406" i="34"/>
  <c r="A7410" i="34"/>
  <c r="A7414" i="34"/>
  <c r="A7418" i="34"/>
  <c r="A7422" i="34"/>
  <c r="A7426" i="34"/>
  <c r="A7430" i="34"/>
  <c r="A7434" i="34"/>
  <c r="A7438" i="34"/>
  <c r="A7442" i="34"/>
  <c r="A7446" i="34"/>
  <c r="A7450" i="34"/>
  <c r="A7454" i="34"/>
  <c r="A7458" i="34"/>
  <c r="A7462" i="34"/>
  <c r="A7466" i="34"/>
  <c r="A7470" i="34"/>
  <c r="A7474" i="34"/>
  <c r="A7486" i="34"/>
  <c r="A2" i="34"/>
  <c r="A3" i="34" s="1"/>
  <c r="A4" i="34" s="1"/>
  <c r="A5" i="34" s="1"/>
  <c r="A6" i="34" s="1"/>
  <c r="A7" i="34" s="1"/>
  <c r="A8" i="34" s="1"/>
  <c r="A9" i="34" s="1"/>
  <c r="A10" i="34" s="1"/>
  <c r="A11" i="34" s="1"/>
  <c r="A12" i="34" s="1"/>
  <c r="A13" i="34" s="1"/>
  <c r="A14" i="34" s="1"/>
  <c r="A15" i="34" s="1"/>
  <c r="A16" i="34" s="1"/>
  <c r="A17" i="34" s="1"/>
  <c r="A18" i="34" s="1"/>
  <c r="A19" i="34" s="1"/>
  <c r="A20" i="34" s="1"/>
  <c r="A21" i="34" s="1"/>
  <c r="A22" i="34" s="1"/>
  <c r="A23" i="34" s="1"/>
  <c r="A24" i="34" s="1"/>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131" i="34" s="1"/>
  <c r="A132" i="34" s="1"/>
  <c r="A133" i="34" s="1"/>
  <c r="A134" i="34" s="1"/>
  <c r="A135" i="34" s="1"/>
  <c r="A136" i="34" s="1"/>
  <c r="A137" i="34" s="1"/>
  <c r="A138" i="34" s="1"/>
  <c r="A139" i="34" s="1"/>
  <c r="A140" i="34" s="1"/>
  <c r="A141" i="34" s="1"/>
  <c r="A142" i="34" s="1"/>
  <c r="A143" i="34" s="1"/>
  <c r="A144" i="34" s="1"/>
  <c r="A145" i="34" s="1"/>
  <c r="A146" i="34" s="1"/>
  <c r="A147" i="34" s="1"/>
  <c r="A148" i="34" s="1"/>
  <c r="A149" i="34" s="1"/>
  <c r="A150" i="34" s="1"/>
  <c r="A151" i="34" s="1"/>
  <c r="A152" i="34" s="1"/>
  <c r="A153" i="34" s="1"/>
  <c r="A154" i="34" s="1"/>
  <c r="A155" i="34" s="1"/>
  <c r="A156" i="34" s="1"/>
  <c r="A157" i="34" s="1"/>
  <c r="A158" i="34" s="1"/>
  <c r="A159" i="34" s="1"/>
  <c r="A160" i="34" s="1"/>
  <c r="A161" i="34" s="1"/>
  <c r="A162" i="34" s="1"/>
  <c r="A163" i="34" s="1"/>
  <c r="A164" i="34" s="1"/>
  <c r="A165" i="34" s="1"/>
  <c r="A166" i="34" s="1"/>
  <c r="A167" i="34" s="1"/>
  <c r="A168" i="34" s="1"/>
  <c r="A169" i="34" s="1"/>
  <c r="A170" i="34" s="1"/>
  <c r="A171" i="34" s="1"/>
  <c r="A172" i="34" s="1"/>
  <c r="A173" i="34" s="1"/>
  <c r="A174" i="34" s="1"/>
  <c r="A175" i="34" s="1"/>
  <c r="A176" i="34" s="1"/>
  <c r="A177" i="34" s="1"/>
  <c r="A178" i="34" s="1"/>
  <c r="A179" i="34" s="1"/>
  <c r="A180" i="34" s="1"/>
  <c r="A181" i="34" s="1"/>
  <c r="A182" i="34" s="1"/>
  <c r="A183" i="34" s="1"/>
  <c r="A184" i="34" s="1"/>
  <c r="A185" i="34" s="1"/>
  <c r="A186" i="34" s="1"/>
  <c r="A187" i="34" s="1"/>
  <c r="A188" i="34" s="1"/>
  <c r="A189" i="34" s="1"/>
  <c r="A190" i="34" s="1"/>
  <c r="A191" i="34" s="1"/>
  <c r="A192" i="34" s="1"/>
  <c r="A193" i="34" s="1"/>
  <c r="A194" i="34" s="1"/>
  <c r="A195" i="34" s="1"/>
  <c r="A196" i="34" s="1"/>
  <c r="A197" i="34" s="1"/>
  <c r="A198" i="34" s="1"/>
  <c r="A199" i="34" s="1"/>
  <c r="A200" i="34" s="1"/>
  <c r="A201" i="34" s="1"/>
  <c r="A202" i="34" s="1"/>
  <c r="A203" i="34" s="1"/>
  <c r="A204" i="34" s="1"/>
  <c r="A205" i="34" s="1"/>
  <c r="A206" i="34" s="1"/>
  <c r="A207" i="34" s="1"/>
  <c r="A208" i="34" s="1"/>
  <c r="A209" i="34" s="1"/>
  <c r="A210" i="34" s="1"/>
  <c r="A211" i="34" s="1"/>
  <c r="A212" i="34" s="1"/>
  <c r="A213" i="34" s="1"/>
  <c r="A214" i="34" s="1"/>
  <c r="A215" i="34" s="1"/>
  <c r="A216" i="34" s="1"/>
  <c r="A217" i="34" s="1"/>
  <c r="A218" i="34" s="1"/>
  <c r="A219" i="34" s="1"/>
  <c r="A220" i="34" s="1"/>
  <c r="A221" i="34" s="1"/>
  <c r="A222" i="34" s="1"/>
  <c r="A223" i="34" s="1"/>
  <c r="A224" i="34" s="1"/>
  <c r="A225" i="34" s="1"/>
  <c r="A226" i="34" s="1"/>
  <c r="A227" i="34" s="1"/>
  <c r="A228" i="34" s="1"/>
  <c r="A229" i="34" s="1"/>
  <c r="A230" i="34" s="1"/>
  <c r="A231" i="34" s="1"/>
  <c r="A232" i="34" s="1"/>
  <c r="A233" i="34" s="1"/>
  <c r="A234" i="34" s="1"/>
  <c r="A235" i="34" s="1"/>
  <c r="A236" i="34" s="1"/>
  <c r="A237" i="34" s="1"/>
  <c r="A238" i="34" s="1"/>
  <c r="A239" i="34" s="1"/>
  <c r="A240" i="34" s="1"/>
  <c r="A241" i="34" s="1"/>
  <c r="A242" i="34" s="1"/>
  <c r="A243" i="34" s="1"/>
  <c r="A244" i="34" s="1"/>
  <c r="A245" i="34" s="1"/>
  <c r="A246" i="34" s="1"/>
  <c r="A247" i="34" s="1"/>
  <c r="A248" i="34" s="1"/>
  <c r="A249" i="34" s="1"/>
  <c r="A250" i="34" s="1"/>
  <c r="A251" i="34" s="1"/>
  <c r="A252" i="34" s="1"/>
  <c r="A253" i="34" s="1"/>
  <c r="A254" i="34" s="1"/>
  <c r="A255" i="34" s="1"/>
  <c r="A256" i="34" s="1"/>
  <c r="A257" i="34" s="1"/>
  <c r="A258" i="34" s="1"/>
  <c r="A259" i="34" s="1"/>
  <c r="A260" i="34" s="1"/>
  <c r="A261" i="34" s="1"/>
  <c r="A262" i="34" s="1"/>
  <c r="A263" i="34" s="1"/>
  <c r="A264" i="34" s="1"/>
  <c r="A265" i="34" s="1"/>
  <c r="A266" i="34" s="1"/>
  <c r="A267" i="34" s="1"/>
  <c r="A268" i="34" s="1"/>
  <c r="A269" i="34" s="1"/>
  <c r="A270" i="34" s="1"/>
  <c r="A271" i="34" s="1"/>
  <c r="A272" i="34" s="1"/>
  <c r="A273" i="34" s="1"/>
  <c r="A274" i="34" s="1"/>
  <c r="A275" i="34" s="1"/>
  <c r="A276" i="34" s="1"/>
  <c r="A277" i="34" s="1"/>
  <c r="A278" i="34" s="1"/>
  <c r="A279" i="34" s="1"/>
  <c r="A280" i="34" s="1"/>
  <c r="A281" i="34" s="1"/>
  <c r="A282" i="34" s="1"/>
  <c r="A283" i="34" s="1"/>
  <c r="A284" i="34" s="1"/>
  <c r="A285" i="34" s="1"/>
  <c r="A286" i="34" s="1"/>
  <c r="A287" i="34" s="1"/>
  <c r="A288" i="34" s="1"/>
  <c r="A289" i="34" s="1"/>
  <c r="A290" i="34" s="1"/>
  <c r="A291" i="34" s="1"/>
  <c r="A292" i="34" s="1"/>
  <c r="A293" i="34" s="1"/>
  <c r="A294" i="34" s="1"/>
  <c r="A295" i="34" s="1"/>
  <c r="A296" i="34" s="1"/>
  <c r="A297" i="34" s="1"/>
  <c r="A298" i="34" s="1"/>
  <c r="A299" i="34" s="1"/>
  <c r="A300" i="34" s="1"/>
  <c r="A301" i="34" s="1"/>
  <c r="A302" i="34" s="1"/>
  <c r="A303" i="34" s="1"/>
  <c r="A304" i="34" s="1"/>
  <c r="A305" i="34" s="1"/>
  <c r="A306" i="34" s="1"/>
  <c r="A307" i="34" s="1"/>
  <c r="A308" i="34" s="1"/>
  <c r="A309" i="34" s="1"/>
  <c r="A310" i="34" s="1"/>
  <c r="A311" i="34" s="1"/>
  <c r="A312" i="34" s="1"/>
  <c r="A313" i="34" s="1"/>
  <c r="A314" i="34" s="1"/>
  <c r="A315" i="34" s="1"/>
  <c r="A316" i="34" s="1"/>
  <c r="A317" i="34" s="1"/>
  <c r="A318" i="34" s="1"/>
  <c r="A319" i="34" s="1"/>
  <c r="A320" i="34" s="1"/>
  <c r="A321" i="34" s="1"/>
  <c r="A322" i="34" s="1"/>
  <c r="A323" i="34" s="1"/>
  <c r="A324" i="34" s="1"/>
  <c r="A325" i="34" s="1"/>
  <c r="A326" i="34" s="1"/>
  <c r="A327" i="34" s="1"/>
  <c r="A328" i="34" s="1"/>
  <c r="A329" i="34" s="1"/>
  <c r="A330" i="34" s="1"/>
  <c r="A331" i="34" s="1"/>
  <c r="A332" i="34" s="1"/>
  <c r="A333" i="34" s="1"/>
  <c r="A334" i="34" s="1"/>
  <c r="A335" i="34" s="1"/>
  <c r="A336" i="34" s="1"/>
  <c r="A337" i="34" s="1"/>
  <c r="A338" i="34" s="1"/>
  <c r="A339" i="34" s="1"/>
  <c r="A340" i="34" s="1"/>
  <c r="A341" i="34" s="1"/>
  <c r="A342" i="34" s="1"/>
  <c r="A343" i="34" s="1"/>
  <c r="A344" i="34" s="1"/>
  <c r="A345" i="34" s="1"/>
  <c r="A346" i="34" s="1"/>
  <c r="A347" i="34" s="1"/>
  <c r="A348" i="34" s="1"/>
  <c r="A349" i="34" s="1"/>
  <c r="A350" i="34" s="1"/>
  <c r="A351" i="34" s="1"/>
  <c r="A352" i="34" s="1"/>
  <c r="A353" i="34" s="1"/>
  <c r="A354" i="34" s="1"/>
  <c r="A355" i="34" s="1"/>
  <c r="A356" i="34" s="1"/>
  <c r="A357" i="34" s="1"/>
  <c r="A358" i="34" s="1"/>
  <c r="A359" i="34" s="1"/>
  <c r="A360" i="34" s="1"/>
  <c r="A361" i="34" s="1"/>
  <c r="A362" i="34" s="1"/>
  <c r="A363" i="34" s="1"/>
  <c r="A364" i="34" s="1"/>
  <c r="A365" i="34" s="1"/>
  <c r="A366" i="34" s="1"/>
  <c r="A367" i="34" s="1"/>
  <c r="A368" i="34" s="1"/>
  <c r="A369" i="34" s="1"/>
  <c r="A370" i="34" s="1"/>
  <c r="A371" i="34" s="1"/>
  <c r="A372" i="34" s="1"/>
  <c r="A373" i="34" s="1"/>
  <c r="A374" i="34" s="1"/>
  <c r="A375" i="34" s="1"/>
  <c r="A376" i="34" s="1"/>
  <c r="A377" i="34" s="1"/>
  <c r="A378" i="34" s="1"/>
  <c r="A379" i="34" s="1"/>
  <c r="A380" i="34" s="1"/>
  <c r="A381" i="34" s="1"/>
  <c r="A382" i="34" s="1"/>
  <c r="A383" i="34" s="1"/>
  <c r="A384" i="34" s="1"/>
  <c r="A385" i="34" s="1"/>
  <c r="A386" i="34" s="1"/>
  <c r="A387" i="34" s="1"/>
  <c r="A388" i="34" s="1"/>
  <c r="A389" i="34" s="1"/>
  <c r="A390" i="34" s="1"/>
  <c r="A391" i="34" s="1"/>
  <c r="A392" i="34" s="1"/>
  <c r="A393" i="34" s="1"/>
  <c r="A394" i="34" s="1"/>
  <c r="A395" i="34" s="1"/>
  <c r="A396" i="34" s="1"/>
  <c r="A397" i="34" s="1"/>
  <c r="A398" i="34" s="1"/>
  <c r="A399" i="34" s="1"/>
  <c r="A400" i="34" s="1"/>
  <c r="A401" i="34" s="1"/>
  <c r="A402" i="34" s="1"/>
  <c r="A403" i="34" s="1"/>
  <c r="A404" i="34" s="1"/>
  <c r="A405" i="34" s="1"/>
  <c r="A406" i="34" s="1"/>
  <c r="A407" i="34" s="1"/>
  <c r="A408" i="34" s="1"/>
  <c r="A409" i="34" s="1"/>
  <c r="A410" i="34" s="1"/>
  <c r="A411" i="34" s="1"/>
  <c r="A412" i="34" s="1"/>
  <c r="A413" i="34" s="1"/>
  <c r="A414" i="34" s="1"/>
  <c r="A415" i="34" s="1"/>
  <c r="A416" i="34" s="1"/>
  <c r="A417" i="34" s="1"/>
  <c r="A418" i="34" s="1"/>
  <c r="A419" i="34" s="1"/>
  <c r="A420" i="34" s="1"/>
  <c r="A421" i="34" s="1"/>
  <c r="A422" i="34" s="1"/>
  <c r="A423" i="34" s="1"/>
  <c r="A424" i="34" s="1"/>
  <c r="A425" i="34" s="1"/>
  <c r="A426" i="34" s="1"/>
  <c r="A427" i="34" s="1"/>
  <c r="A428" i="34" s="1"/>
  <c r="A429" i="34" s="1"/>
  <c r="A430" i="34" s="1"/>
  <c r="A431" i="34" s="1"/>
  <c r="A432" i="34" s="1"/>
  <c r="A433" i="34" s="1"/>
  <c r="A7143" i="34"/>
  <c r="A7147" i="34"/>
  <c r="A7151" i="34"/>
  <c r="A7155" i="34"/>
  <c r="A7159" i="34"/>
  <c r="A7163" i="34"/>
  <c r="A7167" i="34"/>
  <c r="A7171" i="34"/>
  <c r="A7175" i="34"/>
  <c r="A7179" i="34"/>
  <c r="A7183" i="34"/>
  <c r="A7187" i="34"/>
  <c r="A7191" i="34"/>
  <c r="A7195" i="34"/>
  <c r="A7199" i="34"/>
  <c r="A7203" i="34"/>
  <c r="A7207" i="34"/>
  <c r="A7211" i="34"/>
  <c r="A7215" i="34"/>
  <c r="A7219" i="34"/>
  <c r="A7223" i="34"/>
  <c r="A7227" i="34"/>
  <c r="A7231" i="34"/>
  <c r="A7235" i="34"/>
  <c r="A7239" i="34"/>
  <c r="A7243" i="34"/>
  <c r="A7247" i="34"/>
  <c r="A7251" i="34"/>
  <c r="A7255" i="34"/>
  <c r="A7259" i="34"/>
  <c r="A7263" i="34"/>
  <c r="A7267" i="34"/>
  <c r="A7271" i="34"/>
  <c r="A7275" i="34"/>
  <c r="A7279" i="34"/>
  <c r="A7283" i="34"/>
  <c r="A7287" i="34"/>
  <c r="A7291" i="34"/>
  <c r="A7295" i="34"/>
  <c r="A7299" i="34"/>
  <c r="A7303" i="34"/>
  <c r="A7307" i="34"/>
  <c r="A7311" i="34"/>
  <c r="A7315" i="34"/>
  <c r="A7319" i="34"/>
  <c r="A7323" i="34"/>
  <c r="A7327" i="34"/>
  <c r="A7331" i="34"/>
  <c r="A7335" i="34"/>
  <c r="A7339" i="34"/>
  <c r="A7343" i="34"/>
  <c r="A7347" i="34"/>
  <c r="A7351" i="34"/>
  <c r="A7355" i="34"/>
  <c r="A7359" i="34"/>
  <c r="A7363" i="34"/>
  <c r="A7367" i="34"/>
  <c r="A7371" i="34"/>
  <c r="A7375" i="34"/>
  <c r="A7379" i="34"/>
  <c r="A7383" i="34"/>
  <c r="A7387" i="34"/>
  <c r="A7391" i="34"/>
  <c r="A7395" i="34"/>
  <c r="A7399" i="34"/>
  <c r="A7403" i="34"/>
  <c r="A7407" i="34"/>
  <c r="A7411" i="34"/>
  <c r="A7415" i="34"/>
  <c r="A7419" i="34"/>
  <c r="A7423" i="34"/>
  <c r="A7427" i="34"/>
  <c r="A7431" i="34"/>
  <c r="A7435" i="34"/>
  <c r="A7439" i="34"/>
  <c r="A7443" i="34"/>
  <c r="A7447" i="34"/>
  <c r="A7451" i="34"/>
  <c r="A7455" i="34"/>
  <c r="A7459" i="34"/>
  <c r="A7463" i="34"/>
  <c r="A7467" i="34"/>
  <c r="A7471" i="34"/>
  <c r="A7475" i="34"/>
  <c r="A7479" i="34"/>
  <c r="A7483" i="34"/>
  <c r="A7487" i="34"/>
  <c r="A7491" i="34"/>
  <c r="A7495" i="34"/>
  <c r="A7499" i="34"/>
  <c r="A7404" i="34"/>
  <c r="A7412" i="34"/>
  <c r="A7420" i="34"/>
  <c r="A7428" i="34"/>
  <c r="A7436" i="34"/>
  <c r="A7444" i="34"/>
  <c r="A7448" i="34"/>
  <c r="A7456" i="34"/>
  <c r="A7464" i="34"/>
  <c r="A7472" i="34"/>
  <c r="A7480" i="34"/>
  <c r="A7488" i="34"/>
  <c r="A7492" i="34"/>
  <c r="A7500" i="34"/>
  <c r="A7465" i="34"/>
  <c r="A7481" i="34"/>
  <c r="A7489" i="34"/>
  <c r="A7501" i="34"/>
  <c r="A7490" i="34"/>
  <c r="A7440" i="50"/>
  <c r="A7446" i="50"/>
  <c r="A7454" i="50"/>
  <c r="A7462" i="50"/>
  <c r="A7468" i="50"/>
  <c r="A7474" i="50"/>
  <c r="A7480" i="50"/>
  <c r="A7488" i="50"/>
  <c r="A7494" i="50"/>
  <c r="A7500" i="50"/>
  <c r="A7447" i="50"/>
  <c r="A7451" i="50"/>
  <c r="A7457" i="50"/>
  <c r="A7461" i="50"/>
  <c r="A7465" i="50"/>
  <c r="A7469" i="50"/>
  <c r="A7475" i="50"/>
  <c r="A7479" i="50"/>
  <c r="A7483" i="50"/>
  <c r="A7487" i="50"/>
  <c r="A7491" i="50"/>
  <c r="A7495" i="50"/>
  <c r="A7499" i="50"/>
  <c r="A7436" i="50"/>
  <c r="A7444" i="50"/>
  <c r="A7450" i="50"/>
  <c r="A7456" i="50"/>
  <c r="A7460" i="50"/>
  <c r="A7466" i="50"/>
  <c r="A7472" i="50"/>
  <c r="A7478" i="50"/>
  <c r="A7484" i="50"/>
  <c r="A7490" i="50"/>
  <c r="A7496" i="50"/>
  <c r="A7437" i="50"/>
  <c r="A7439" i="50"/>
  <c r="A7441" i="50"/>
  <c r="A7443" i="50"/>
  <c r="A7445" i="50"/>
  <c r="A7449" i="50"/>
  <c r="A7453" i="50"/>
  <c r="A7455" i="50"/>
  <c r="A7459" i="50"/>
  <c r="A7463" i="50"/>
  <c r="A7467" i="50"/>
  <c r="A7471" i="50"/>
  <c r="A7473" i="50"/>
  <c r="A7477" i="50"/>
  <c r="A7481" i="50"/>
  <c r="A7485" i="50"/>
  <c r="A7489" i="50"/>
  <c r="A7493" i="50"/>
  <c r="A7497" i="50"/>
  <c r="A7501" i="50"/>
  <c r="A7438" i="50"/>
  <c r="A7442" i="50"/>
  <c r="A7448" i="50"/>
  <c r="A7452" i="50"/>
  <c r="A7458" i="50"/>
  <c r="A7464" i="50"/>
  <c r="A7470" i="50"/>
  <c r="A7476" i="50"/>
  <c r="A7482" i="50"/>
  <c r="A7486" i="50"/>
  <c r="A7492" i="50"/>
  <c r="A7498" i="50"/>
  <c r="A434" i="50"/>
  <c r="A436" i="50"/>
  <c r="A438" i="50"/>
  <c r="A440" i="50"/>
  <c r="A442" i="50"/>
  <c r="A444" i="50"/>
  <c r="A446" i="50"/>
  <c r="A448" i="50"/>
  <c r="A450" i="50"/>
  <c r="A452" i="50"/>
  <c r="A454" i="50"/>
  <c r="A456" i="50"/>
  <c r="A458" i="50"/>
  <c r="A460" i="50"/>
  <c r="A462" i="50"/>
  <c r="A464" i="50"/>
  <c r="A466" i="50"/>
  <c r="A468" i="50"/>
  <c r="A470" i="50"/>
  <c r="A472" i="50"/>
  <c r="A474" i="50"/>
  <c r="A476" i="50"/>
  <c r="A478" i="50"/>
  <c r="A480" i="50"/>
  <c r="A482" i="50"/>
  <c r="A484" i="50"/>
  <c r="A486" i="50"/>
  <c r="A488" i="50"/>
  <c r="A490" i="50"/>
  <c r="A492" i="50"/>
  <c r="A494" i="50"/>
  <c r="A496" i="50"/>
  <c r="A498" i="50"/>
  <c r="A500" i="50"/>
  <c r="A502" i="50"/>
  <c r="A504" i="50"/>
  <c r="A506" i="50"/>
  <c r="A508" i="50"/>
  <c r="A510" i="50"/>
  <c r="A512" i="50"/>
  <c r="A514" i="50"/>
  <c r="A516" i="50"/>
  <c r="A518" i="50"/>
  <c r="A520" i="50"/>
  <c r="A522" i="50"/>
  <c r="A524" i="50"/>
  <c r="A526" i="50"/>
  <c r="A528" i="50"/>
  <c r="A530" i="50"/>
  <c r="A532" i="50"/>
  <c r="A534" i="50"/>
  <c r="A536" i="50"/>
  <c r="A538" i="50"/>
  <c r="A540" i="50"/>
  <c r="A542" i="50"/>
  <c r="A544" i="50"/>
  <c r="A546" i="50"/>
  <c r="A548" i="50"/>
  <c r="A550" i="50"/>
  <c r="A552" i="50"/>
  <c r="A554" i="50"/>
  <c r="A556" i="50"/>
  <c r="A558" i="50"/>
  <c r="A560" i="50"/>
  <c r="A562" i="50"/>
  <c r="A564" i="50"/>
  <c r="A566" i="50"/>
  <c r="A568" i="50"/>
  <c r="A570" i="50"/>
  <c r="A572" i="50"/>
  <c r="A574" i="50"/>
  <c r="A576" i="50"/>
  <c r="A578" i="50"/>
  <c r="A580" i="50"/>
  <c r="A582" i="50"/>
  <c r="A584" i="50"/>
  <c r="A586" i="50"/>
  <c r="A435" i="50"/>
  <c r="A437" i="50"/>
  <c r="A439" i="50"/>
  <c r="A441" i="50"/>
  <c r="A443" i="50"/>
  <c r="A445" i="50"/>
  <c r="A447" i="50"/>
  <c r="A449" i="50"/>
  <c r="A451" i="50"/>
  <c r="A453" i="50"/>
  <c r="A455" i="50"/>
  <c r="A457" i="50"/>
  <c r="A459" i="50"/>
  <c r="A461" i="50"/>
  <c r="A463" i="50"/>
  <c r="A465" i="50"/>
  <c r="A467" i="50"/>
  <c r="A469" i="50"/>
  <c r="A471" i="50"/>
  <c r="A473" i="50"/>
  <c r="A475" i="50"/>
  <c r="A477" i="50"/>
  <c r="A479" i="50"/>
  <c r="A481" i="50"/>
  <c r="A483" i="50"/>
  <c r="A485" i="50"/>
  <c r="A487" i="50"/>
  <c r="A489" i="50"/>
  <c r="A491" i="50"/>
  <c r="A493" i="50"/>
  <c r="A495" i="50"/>
  <c r="A497" i="50"/>
  <c r="A499" i="50"/>
  <c r="A501" i="50"/>
  <c r="A503" i="50"/>
  <c r="A505" i="50"/>
  <c r="A507" i="50"/>
  <c r="A509" i="50"/>
  <c r="A511" i="50"/>
  <c r="A513" i="50"/>
  <c r="A515" i="50"/>
  <c r="A517" i="50"/>
  <c r="A519" i="50"/>
  <c r="A521" i="50"/>
  <c r="A523" i="50"/>
  <c r="A525" i="50"/>
  <c r="A527" i="50"/>
  <c r="A529" i="50"/>
  <c r="A531" i="50"/>
  <c r="A533" i="50"/>
  <c r="A535" i="50"/>
  <c r="A537" i="50"/>
  <c r="A539" i="50"/>
  <c r="A541" i="50"/>
  <c r="A543" i="50"/>
  <c r="A545" i="50"/>
  <c r="A547" i="50"/>
  <c r="A549" i="50"/>
  <c r="A551" i="50"/>
  <c r="A553" i="50"/>
  <c r="A555" i="50"/>
  <c r="A557" i="50"/>
  <c r="A559" i="50"/>
  <c r="A561" i="50"/>
  <c r="A563" i="50"/>
  <c r="A565" i="50"/>
  <c r="A567" i="50"/>
  <c r="A569" i="50"/>
  <c r="A571" i="50"/>
  <c r="A573" i="50"/>
  <c r="A575" i="50"/>
  <c r="A577" i="50"/>
  <c r="A579" i="50"/>
  <c r="A581" i="50"/>
  <c r="A583" i="50"/>
  <c r="A585" i="50"/>
  <c r="A587" i="50"/>
  <c r="A593" i="50"/>
  <c r="A601" i="50"/>
  <c r="A617" i="50"/>
  <c r="A625" i="50"/>
  <c r="A633" i="50"/>
  <c r="A641" i="50"/>
  <c r="A657" i="50"/>
  <c r="A681" i="50"/>
  <c r="A689" i="50"/>
  <c r="A590" i="50"/>
  <c r="A591" i="50" s="1"/>
  <c r="A598" i="50"/>
  <c r="A599" i="50" s="1"/>
  <c r="A606" i="50"/>
  <c r="A607" i="50" s="1"/>
  <c r="A614" i="50"/>
  <c r="A615" i="50" s="1"/>
  <c r="A622" i="50"/>
  <c r="A623" i="50" s="1"/>
  <c r="A630" i="50"/>
  <c r="A631" i="50" s="1"/>
  <c r="A638" i="50"/>
  <c r="A639" i="50" s="1"/>
  <c r="A646" i="50"/>
  <c r="A647" i="50" s="1"/>
  <c r="A654" i="50"/>
  <c r="A655" i="50" s="1"/>
  <c r="A662" i="50"/>
  <c r="A663" i="50" s="1"/>
  <c r="A670" i="50"/>
  <c r="A671" i="50" s="1"/>
  <c r="A678" i="50"/>
  <c r="A679" i="50" s="1"/>
  <c r="A686" i="50"/>
  <c r="A687" i="50" s="1"/>
  <c r="A594" i="50"/>
  <c r="A595" i="50" s="1"/>
  <c r="A602" i="50"/>
  <c r="A603" i="50" s="1"/>
  <c r="A610" i="50"/>
  <c r="A611" i="50" s="1"/>
  <c r="A618" i="50"/>
  <c r="A619" i="50" s="1"/>
  <c r="A626" i="50"/>
  <c r="A627" i="50" s="1"/>
  <c r="A634" i="50"/>
  <c r="A635" i="50" s="1"/>
  <c r="A642" i="50"/>
  <c r="A643" i="50" s="1"/>
  <c r="A650" i="50"/>
  <c r="A651" i="50" s="1"/>
  <c r="A658" i="50"/>
  <c r="A659" i="50" s="1"/>
  <c r="A666" i="50"/>
  <c r="A667" i="50" s="1"/>
  <c r="A674" i="50"/>
  <c r="A675" i="50" s="1"/>
  <c r="A682" i="50"/>
  <c r="A683" i="50" s="1"/>
  <c r="A690" i="50"/>
  <c r="A691" i="50" s="1"/>
  <c r="A592" i="50"/>
  <c r="A608" i="50"/>
  <c r="A609" i="50" s="1"/>
  <c r="A624" i="50"/>
  <c r="A640" i="50"/>
  <c r="A656" i="50"/>
  <c r="A672" i="50"/>
  <c r="A673" i="50" s="1"/>
  <c r="A688" i="50"/>
  <c r="A1004" i="50"/>
  <c r="A1006" i="50"/>
  <c r="A1008" i="50"/>
  <c r="A1009" i="50" s="1"/>
  <c r="A1010" i="50"/>
  <c r="A1012" i="50"/>
  <c r="A1014" i="50"/>
  <c r="A1016" i="50"/>
  <c r="A1018" i="50"/>
  <c r="A1020" i="50"/>
  <c r="A1022" i="50"/>
  <c r="A1024" i="50"/>
  <c r="A596" i="50"/>
  <c r="A597" i="50" s="1"/>
  <c r="A612" i="50"/>
  <c r="A613" i="50" s="1"/>
  <c r="A628" i="50"/>
  <c r="A629" i="50" s="1"/>
  <c r="A644" i="50"/>
  <c r="A645" i="50" s="1"/>
  <c r="A660" i="50"/>
  <c r="A661" i="50" s="1"/>
  <c r="A676" i="50"/>
  <c r="A677" i="50" s="1"/>
  <c r="A692" i="50"/>
  <c r="A693" i="50" s="1"/>
  <c r="A694" i="50" s="1"/>
  <c r="A695" i="50" s="1"/>
  <c r="A696" i="50" s="1"/>
  <c r="A697" i="50" s="1"/>
  <c r="A698" i="50" s="1"/>
  <c r="A699" i="50" s="1"/>
  <c r="A700" i="50" s="1"/>
  <c r="A701" i="50" s="1"/>
  <c r="A702" i="50" s="1"/>
  <c r="A703" i="50" s="1"/>
  <c r="A704" i="50" s="1"/>
  <c r="A705" i="50" s="1"/>
  <c r="A706" i="50" s="1"/>
  <c r="A707" i="50" s="1"/>
  <c r="A708" i="50" s="1"/>
  <c r="A709" i="50" s="1"/>
  <c r="A710" i="50" s="1"/>
  <c r="A711" i="50" s="1"/>
  <c r="A712" i="50" s="1"/>
  <c r="A713" i="50" s="1"/>
  <c r="A714" i="50" s="1"/>
  <c r="A715" i="50" s="1"/>
  <c r="A716" i="50" s="1"/>
  <c r="A717" i="50" s="1"/>
  <c r="A718" i="50" s="1"/>
  <c r="A719" i="50" s="1"/>
  <c r="A720" i="50" s="1"/>
  <c r="A721" i="50" s="1"/>
  <c r="A722" i="50" s="1"/>
  <c r="A723" i="50" s="1"/>
  <c r="A724" i="50" s="1"/>
  <c r="A725" i="50" s="1"/>
  <c r="A726" i="50" s="1"/>
  <c r="A727" i="50" s="1"/>
  <c r="A728" i="50" s="1"/>
  <c r="A729" i="50" s="1"/>
  <c r="A730" i="50" s="1"/>
  <c r="A731" i="50" s="1"/>
  <c r="A732" i="50" s="1"/>
  <c r="A733" i="50" s="1"/>
  <c r="A734" i="50" s="1"/>
  <c r="A735" i="50" s="1"/>
  <c r="A736" i="50" s="1"/>
  <c r="A737" i="50" s="1"/>
  <c r="A738" i="50" s="1"/>
  <c r="A739" i="50" s="1"/>
  <c r="A740" i="50" s="1"/>
  <c r="A741" i="50" s="1"/>
  <c r="A742" i="50" s="1"/>
  <c r="A743" i="50" s="1"/>
  <c r="A744" i="50" s="1"/>
  <c r="A745" i="50" s="1"/>
  <c r="A746" i="50" s="1"/>
  <c r="A747" i="50" s="1"/>
  <c r="A748" i="50" s="1"/>
  <c r="A749" i="50" s="1"/>
  <c r="A750" i="50" s="1"/>
  <c r="A751" i="50" s="1"/>
  <c r="A752" i="50" s="1"/>
  <c r="A753" i="50" s="1"/>
  <c r="A754" i="50" s="1"/>
  <c r="A755" i="50" s="1"/>
  <c r="A756" i="50" s="1"/>
  <c r="A757" i="50" s="1"/>
  <c r="A758" i="50" s="1"/>
  <c r="A759" i="50" s="1"/>
  <c r="A760" i="50" s="1"/>
  <c r="A761" i="50" s="1"/>
  <c r="A762" i="50" s="1"/>
  <c r="A763" i="50" s="1"/>
  <c r="A764" i="50" s="1"/>
  <c r="A765" i="50" s="1"/>
  <c r="A766" i="50" s="1"/>
  <c r="A767" i="50" s="1"/>
  <c r="A768" i="50" s="1"/>
  <c r="A769" i="50" s="1"/>
  <c r="A770" i="50" s="1"/>
  <c r="A771" i="50" s="1"/>
  <c r="A772" i="50" s="1"/>
  <c r="A773" i="50" s="1"/>
  <c r="A774" i="50" s="1"/>
  <c r="A775" i="50" s="1"/>
  <c r="A776" i="50" s="1"/>
  <c r="A777" i="50" s="1"/>
  <c r="A778" i="50" s="1"/>
  <c r="A779" i="50" s="1"/>
  <c r="A780" i="50" s="1"/>
  <c r="A781" i="50" s="1"/>
  <c r="A782" i="50" s="1"/>
  <c r="A783" i="50" s="1"/>
  <c r="A784" i="50" s="1"/>
  <c r="A785" i="50" s="1"/>
  <c r="A786" i="50" s="1"/>
  <c r="A787" i="50" s="1"/>
  <c r="A788" i="50" s="1"/>
  <c r="A789" i="50" s="1"/>
  <c r="A790" i="50" s="1"/>
  <c r="A791" i="50" s="1"/>
  <c r="A792" i="50" s="1"/>
  <c r="A793" i="50" s="1"/>
  <c r="A794" i="50" s="1"/>
  <c r="A795" i="50" s="1"/>
  <c r="A796" i="50" s="1"/>
  <c r="A797" i="50" s="1"/>
  <c r="A798" i="50" s="1"/>
  <c r="A799" i="50" s="1"/>
  <c r="A800" i="50" s="1"/>
  <c r="A801" i="50" s="1"/>
  <c r="A802" i="50" s="1"/>
  <c r="A803" i="50" s="1"/>
  <c r="A804" i="50" s="1"/>
  <c r="A805" i="50" s="1"/>
  <c r="A806" i="50" s="1"/>
  <c r="A807" i="50" s="1"/>
  <c r="A808" i="50" s="1"/>
  <c r="A809" i="50" s="1"/>
  <c r="A810" i="50" s="1"/>
  <c r="A811" i="50" s="1"/>
  <c r="A812" i="50" s="1"/>
  <c r="A813" i="50" s="1"/>
  <c r="A814" i="50" s="1"/>
  <c r="A815" i="50" s="1"/>
  <c r="A816" i="50" s="1"/>
  <c r="A817" i="50" s="1"/>
  <c r="A818" i="50" s="1"/>
  <c r="A819" i="50" s="1"/>
  <c r="A820" i="50" s="1"/>
  <c r="A821" i="50" s="1"/>
  <c r="A822" i="50" s="1"/>
  <c r="A823" i="50" s="1"/>
  <c r="A824" i="50" s="1"/>
  <c r="A825" i="50" s="1"/>
  <c r="A826" i="50" s="1"/>
  <c r="A827" i="50" s="1"/>
  <c r="A828" i="50" s="1"/>
  <c r="A829" i="50" s="1"/>
  <c r="A830" i="50" s="1"/>
  <c r="A831" i="50" s="1"/>
  <c r="A832" i="50" s="1"/>
  <c r="A833" i="50" s="1"/>
  <c r="A834" i="50" s="1"/>
  <c r="A835" i="50" s="1"/>
  <c r="A836" i="50" s="1"/>
  <c r="A837" i="50" s="1"/>
  <c r="A838" i="50" s="1"/>
  <c r="A839" i="50" s="1"/>
  <c r="A840" i="50" s="1"/>
  <c r="A841" i="50" s="1"/>
  <c r="A842" i="50" s="1"/>
  <c r="A843" i="50" s="1"/>
  <c r="A844" i="50" s="1"/>
  <c r="A845" i="50" s="1"/>
  <c r="A846" i="50" s="1"/>
  <c r="A847" i="50" s="1"/>
  <c r="A848" i="50" s="1"/>
  <c r="A849" i="50" s="1"/>
  <c r="A850" i="50" s="1"/>
  <c r="A851" i="50" s="1"/>
  <c r="A852" i="50" s="1"/>
  <c r="A853" i="50" s="1"/>
  <c r="A854" i="50" s="1"/>
  <c r="A855" i="50" s="1"/>
  <c r="A856" i="50" s="1"/>
  <c r="A857" i="50" s="1"/>
  <c r="A858" i="50" s="1"/>
  <c r="A859" i="50" s="1"/>
  <c r="A860" i="50" s="1"/>
  <c r="A861" i="50" s="1"/>
  <c r="A862" i="50" s="1"/>
  <c r="A863" i="50" s="1"/>
  <c r="A864" i="50" s="1"/>
  <c r="A865" i="50" s="1"/>
  <c r="A866" i="50" s="1"/>
  <c r="A867" i="50" s="1"/>
  <c r="A868" i="50" s="1"/>
  <c r="A869" i="50" s="1"/>
  <c r="A870" i="50" s="1"/>
  <c r="A871" i="50" s="1"/>
  <c r="A872" i="50" s="1"/>
  <c r="A873" i="50" s="1"/>
  <c r="A874" i="50" s="1"/>
  <c r="A875" i="50" s="1"/>
  <c r="A876" i="50" s="1"/>
  <c r="A877" i="50" s="1"/>
  <c r="A878" i="50" s="1"/>
  <c r="A879" i="50" s="1"/>
  <c r="A880" i="50" s="1"/>
  <c r="A881" i="50" s="1"/>
  <c r="A882" i="50" s="1"/>
  <c r="A883" i="50" s="1"/>
  <c r="A884" i="50" s="1"/>
  <c r="A885" i="50" s="1"/>
  <c r="A886" i="50" s="1"/>
  <c r="A887" i="50" s="1"/>
  <c r="A888" i="50" s="1"/>
  <c r="A889" i="50" s="1"/>
  <c r="A890" i="50" s="1"/>
  <c r="A891" i="50" s="1"/>
  <c r="A892" i="50" s="1"/>
  <c r="A893" i="50" s="1"/>
  <c r="A894" i="50" s="1"/>
  <c r="A895" i="50" s="1"/>
  <c r="A896" i="50" s="1"/>
  <c r="A897" i="50" s="1"/>
  <c r="A898" i="50" s="1"/>
  <c r="A899" i="50" s="1"/>
  <c r="A900" i="50" s="1"/>
  <c r="A901" i="50" s="1"/>
  <c r="A902" i="50" s="1"/>
  <c r="A903" i="50" s="1"/>
  <c r="A904" i="50" s="1"/>
  <c r="A905" i="50" s="1"/>
  <c r="A906" i="50" s="1"/>
  <c r="A907" i="50" s="1"/>
  <c r="A908" i="50" s="1"/>
  <c r="A909" i="50" s="1"/>
  <c r="A910" i="50" s="1"/>
  <c r="A911" i="50" s="1"/>
  <c r="A912" i="50" s="1"/>
  <c r="A913" i="50" s="1"/>
  <c r="A914" i="50" s="1"/>
  <c r="A915" i="50" s="1"/>
  <c r="A916" i="50" s="1"/>
  <c r="A917" i="50" s="1"/>
  <c r="A918" i="50" s="1"/>
  <c r="A919" i="50" s="1"/>
  <c r="A920" i="50" s="1"/>
  <c r="A921" i="50" s="1"/>
  <c r="A922" i="50" s="1"/>
  <c r="A923" i="50" s="1"/>
  <c r="A924" i="50" s="1"/>
  <c r="A925" i="50" s="1"/>
  <c r="A926" i="50" s="1"/>
  <c r="A927" i="50" s="1"/>
  <c r="A928" i="50" s="1"/>
  <c r="A929" i="50" s="1"/>
  <c r="A930" i="50" s="1"/>
  <c r="A931" i="50" s="1"/>
  <c r="A932" i="50" s="1"/>
  <c r="A933" i="50" s="1"/>
  <c r="A934" i="50" s="1"/>
  <c r="A935" i="50" s="1"/>
  <c r="A936" i="50" s="1"/>
  <c r="A937" i="50" s="1"/>
  <c r="A938" i="50" s="1"/>
  <c r="A939" i="50" s="1"/>
  <c r="A940" i="50" s="1"/>
  <c r="A941" i="50" s="1"/>
  <c r="A942" i="50" s="1"/>
  <c r="A943" i="50" s="1"/>
  <c r="A944" i="50" s="1"/>
  <c r="A945" i="50" s="1"/>
  <c r="A946" i="50" s="1"/>
  <c r="A947" i="50" s="1"/>
  <c r="A948" i="50" s="1"/>
  <c r="A949" i="50" s="1"/>
  <c r="A950" i="50" s="1"/>
  <c r="A951" i="50" s="1"/>
  <c r="A952" i="50" s="1"/>
  <c r="A953" i="50" s="1"/>
  <c r="A954" i="50" s="1"/>
  <c r="A955" i="50" s="1"/>
  <c r="A956" i="50" s="1"/>
  <c r="A957" i="50" s="1"/>
  <c r="A958" i="50" s="1"/>
  <c r="A959" i="50" s="1"/>
  <c r="A960" i="50" s="1"/>
  <c r="A961" i="50" s="1"/>
  <c r="A962" i="50" s="1"/>
  <c r="A963" i="50" s="1"/>
  <c r="A964" i="50" s="1"/>
  <c r="A965" i="50" s="1"/>
  <c r="A966" i="50" s="1"/>
  <c r="A967" i="50" s="1"/>
  <c r="A968" i="50" s="1"/>
  <c r="A969" i="50" s="1"/>
  <c r="A970" i="50" s="1"/>
  <c r="A971" i="50" s="1"/>
  <c r="A972" i="50" s="1"/>
  <c r="A973" i="50" s="1"/>
  <c r="A974" i="50" s="1"/>
  <c r="A975" i="50" s="1"/>
  <c r="A976" i="50" s="1"/>
  <c r="A977" i="50" s="1"/>
  <c r="A978" i="50" s="1"/>
  <c r="A979" i="50" s="1"/>
  <c r="A980" i="50" s="1"/>
  <c r="A981" i="50" s="1"/>
  <c r="A982" i="50" s="1"/>
  <c r="A983" i="50" s="1"/>
  <c r="A984" i="50" s="1"/>
  <c r="A985" i="50" s="1"/>
  <c r="A986" i="50" s="1"/>
  <c r="A987" i="50" s="1"/>
  <c r="A988" i="50" s="1"/>
  <c r="A989" i="50" s="1"/>
  <c r="A990" i="50" s="1"/>
  <c r="A991" i="50" s="1"/>
  <c r="A992" i="50" s="1"/>
  <c r="A993" i="50" s="1"/>
  <c r="A994" i="50" s="1"/>
  <c r="A995" i="50" s="1"/>
  <c r="A996" i="50" s="1"/>
  <c r="A997" i="50" s="1"/>
  <c r="A998" i="50" s="1"/>
  <c r="A999" i="50" s="1"/>
  <c r="A1000" i="50" s="1"/>
  <c r="A1001" i="50" s="1"/>
  <c r="A1002" i="50" s="1"/>
  <c r="A1003" i="50" s="1"/>
  <c r="A600" i="50"/>
  <c r="A632" i="50"/>
  <c r="A664" i="50"/>
  <c r="A665" i="50" s="1"/>
  <c r="A1007" i="50"/>
  <c r="A1015" i="50"/>
  <c r="A1023" i="50"/>
  <c r="A604" i="50"/>
  <c r="A605" i="50" s="1"/>
  <c r="A636" i="50"/>
  <c r="A637" i="50" s="1"/>
  <c r="A668" i="50"/>
  <c r="A669" i="50" s="1"/>
  <c r="A1005" i="50"/>
  <c r="A1013" i="50"/>
  <c r="A1021" i="50"/>
  <c r="A1026" i="50"/>
  <c r="A1028" i="50"/>
  <c r="A1030" i="50"/>
  <c r="A1032" i="50"/>
  <c r="A1034" i="50"/>
  <c r="A1036" i="50"/>
  <c r="A1038" i="50"/>
  <c r="A1040" i="50"/>
  <c r="A1042" i="50"/>
  <c r="A1044" i="50"/>
  <c r="A1046" i="50"/>
  <c r="A1048" i="50"/>
  <c r="A1050" i="50"/>
  <c r="A1052" i="50"/>
  <c r="A1054" i="50"/>
  <c r="A1056" i="50"/>
  <c r="A1058" i="50"/>
  <c r="A1060" i="50"/>
  <c r="A1062" i="50"/>
  <c r="A1064" i="50"/>
  <c r="A1066" i="50"/>
  <c r="A1068" i="50"/>
  <c r="A1070" i="50"/>
  <c r="A1072" i="50"/>
  <c r="A1074" i="50"/>
  <c r="A1076" i="50"/>
  <c r="A1078" i="50"/>
  <c r="A1080" i="50"/>
  <c r="A1082" i="50"/>
  <c r="A1084" i="50"/>
  <c r="A1086" i="50"/>
  <c r="A1088" i="50"/>
  <c r="A1090" i="50"/>
  <c r="A1092" i="50"/>
  <c r="A1094" i="50"/>
  <c r="A1096" i="50"/>
  <c r="A1098" i="50"/>
  <c r="A1100" i="50"/>
  <c r="A1102" i="50"/>
  <c r="A1104" i="50"/>
  <c r="A1106" i="50"/>
  <c r="A1108" i="50"/>
  <c r="A1110" i="50"/>
  <c r="A1112" i="50"/>
  <c r="A1114" i="50"/>
  <c r="A1116" i="50"/>
  <c r="A1118" i="50"/>
  <c r="A1120" i="50"/>
  <c r="A1122" i="50"/>
  <c r="A1124" i="50"/>
  <c r="A1126" i="50"/>
  <c r="A1128" i="50"/>
  <c r="A1130" i="50"/>
  <c r="A1132" i="50"/>
  <c r="A1134" i="50"/>
  <c r="A1136" i="50"/>
  <c r="A1138" i="50"/>
  <c r="A1140" i="50"/>
  <c r="A1142" i="50"/>
  <c r="A1144" i="50"/>
  <c r="A1146" i="50"/>
  <c r="A1148" i="50"/>
  <c r="A1150" i="50"/>
  <c r="A1152" i="50"/>
  <c r="A1154" i="50"/>
  <c r="A1156" i="50"/>
  <c r="A1158" i="50"/>
  <c r="A1160" i="50"/>
  <c r="A1162" i="50"/>
  <c r="A1164" i="50"/>
  <c r="A1166" i="50"/>
  <c r="A1168" i="50"/>
  <c r="A616" i="50"/>
  <c r="A648" i="50"/>
  <c r="A649" i="50" s="1"/>
  <c r="A680" i="50"/>
  <c r="A1011" i="50"/>
  <c r="A1019" i="50"/>
  <c r="A588" i="50"/>
  <c r="A589" i="50" s="1"/>
  <c r="A620" i="50"/>
  <c r="A621" i="50" s="1"/>
  <c r="A652" i="50"/>
  <c r="A653" i="50" s="1"/>
  <c r="A684" i="50"/>
  <c r="A685" i="50" s="1"/>
  <c r="A1017" i="50"/>
  <c r="A1025" i="50"/>
  <c r="A1027" i="50"/>
  <c r="A1029" i="50"/>
  <c r="A1031" i="50"/>
  <c r="A1033" i="50"/>
  <c r="A1035" i="50"/>
  <c r="A1037" i="50"/>
  <c r="A1039" i="50"/>
  <c r="A1041" i="50"/>
  <c r="A1043" i="50"/>
  <c r="A1045" i="50"/>
  <c r="A1047" i="50"/>
  <c r="A1049" i="50"/>
  <c r="A1051" i="50"/>
  <c r="A1053" i="50"/>
  <c r="A1055" i="50"/>
  <c r="A1057" i="50"/>
  <c r="A1059" i="50"/>
  <c r="A1061" i="50"/>
  <c r="A1063" i="50"/>
  <c r="A1065" i="50"/>
  <c r="A1067" i="50"/>
  <c r="A1069" i="50"/>
  <c r="A1071" i="50"/>
  <c r="A1073" i="50"/>
  <c r="A1075" i="50"/>
  <c r="A1077" i="50"/>
  <c r="A1079" i="50"/>
  <c r="A1081" i="50"/>
  <c r="A1083" i="50"/>
  <c r="A1085" i="50"/>
  <c r="A1087" i="50"/>
  <c r="A1089" i="50"/>
  <c r="A1091" i="50"/>
  <c r="A1093" i="50"/>
  <c r="A1095" i="50"/>
  <c r="A1097" i="50"/>
  <c r="A1099" i="50"/>
  <c r="A1101" i="50"/>
  <c r="A1103" i="50"/>
  <c r="A1105" i="50"/>
  <c r="A1107" i="50"/>
  <c r="A1109" i="50"/>
  <c r="A1111" i="50"/>
  <c r="A1113" i="50"/>
  <c r="A1115" i="50"/>
  <c r="A1117" i="50"/>
  <c r="A1119" i="50"/>
  <c r="A1121" i="50"/>
  <c r="A1123" i="50"/>
  <c r="A1125" i="50"/>
  <c r="A1127" i="50"/>
  <c r="A1129" i="50"/>
  <c r="A1131" i="50"/>
  <c r="A1133" i="50"/>
  <c r="A1135" i="50"/>
  <c r="A1137" i="50"/>
  <c r="A1139" i="50"/>
  <c r="A1141" i="50"/>
  <c r="A1143" i="50"/>
  <c r="A1145" i="50"/>
  <c r="A1147" i="50"/>
  <c r="A1149" i="50"/>
  <c r="A1151" i="50"/>
  <c r="A1153" i="50"/>
  <c r="A1155" i="50"/>
  <c r="A1157" i="50"/>
  <c r="A1159" i="50"/>
  <c r="A1161" i="50"/>
  <c r="A1163" i="50"/>
  <c r="A1165" i="50"/>
  <c r="A1167" i="50"/>
  <c r="A1169" i="50"/>
  <c r="A1171" i="50"/>
  <c r="A1173" i="50"/>
  <c r="A1175" i="50"/>
  <c r="A1177" i="50"/>
  <c r="A1179" i="50"/>
  <c r="A1181" i="50"/>
  <c r="A1183" i="50"/>
  <c r="A1185" i="50"/>
  <c r="A1187" i="50"/>
  <c r="A1189" i="50"/>
  <c r="A1191" i="50"/>
  <c r="A1193" i="50"/>
  <c r="A1195" i="50"/>
  <c r="A1197" i="50"/>
  <c r="A1199" i="50"/>
  <c r="A1201" i="50"/>
  <c r="A1203" i="50"/>
  <c r="A1205" i="50"/>
  <c r="A1207" i="50"/>
  <c r="A1209" i="50"/>
  <c r="A1211" i="50"/>
  <c r="A1213" i="50"/>
  <c r="A1215" i="50"/>
  <c r="A1216" i="50" s="1"/>
  <c r="A1217" i="50" s="1"/>
  <c r="A1218" i="50" s="1"/>
  <c r="A1219" i="50" s="1"/>
  <c r="A1220" i="50" s="1"/>
  <c r="A1221" i="50" s="1"/>
  <c r="A1222" i="50" s="1"/>
  <c r="A1223" i="50" s="1"/>
  <c r="A1224" i="50" s="1"/>
  <c r="A1225" i="50" s="1"/>
  <c r="A1226" i="50" s="1"/>
  <c r="A1227" i="50" s="1"/>
  <c r="A1228" i="50" s="1"/>
  <c r="A1229" i="50" s="1"/>
  <c r="A1230" i="50" s="1"/>
  <c r="A1231" i="50" s="1"/>
  <c r="A1232" i="50" s="1"/>
  <c r="A1233" i="50" s="1"/>
  <c r="A1234" i="50" s="1"/>
  <c r="A1235" i="50" s="1"/>
  <c r="A1236" i="50" s="1"/>
  <c r="A1237" i="50" s="1"/>
  <c r="A1238" i="50" s="1"/>
  <c r="A1239" i="50" s="1"/>
  <c r="A1240" i="50" s="1"/>
  <c r="A1241" i="50" s="1"/>
  <c r="A1242" i="50" s="1"/>
  <c r="A1243" i="50" s="1"/>
  <c r="A1244" i="50" s="1"/>
  <c r="A1245" i="50" s="1"/>
  <c r="A1246" i="50" s="1"/>
  <c r="A1247" i="50" s="1"/>
  <c r="A1248" i="50" s="1"/>
  <c r="A1249" i="50" s="1"/>
  <c r="A1250" i="50" s="1"/>
  <c r="A1251" i="50" s="1"/>
  <c r="A1252" i="50" s="1"/>
  <c r="A1253" i="50" s="1"/>
  <c r="A1254" i="50" s="1"/>
  <c r="A1255" i="50" s="1"/>
  <c r="A1256" i="50" s="1"/>
  <c r="A1257" i="50" s="1"/>
  <c r="A1258" i="50" s="1"/>
  <c r="A1259" i="50" s="1"/>
  <c r="A1260" i="50" s="1"/>
  <c r="A1261" i="50" s="1"/>
  <c r="A1262" i="50" s="1"/>
  <c r="A1263" i="50" s="1"/>
  <c r="A1264" i="50" s="1"/>
  <c r="A1265" i="50" s="1"/>
  <c r="A1266" i="50" s="1"/>
  <c r="A1267" i="50" s="1"/>
  <c r="A1268" i="50" s="1"/>
  <c r="A1269" i="50" s="1"/>
  <c r="A1270" i="50" s="1"/>
  <c r="A1271" i="50" s="1"/>
  <c r="A1272" i="50" s="1"/>
  <c r="A1273" i="50" s="1"/>
  <c r="A1274" i="50" s="1"/>
  <c r="A1275" i="50" s="1"/>
  <c r="A1276" i="50" s="1"/>
  <c r="A1277" i="50" s="1"/>
  <c r="A1278" i="50" s="1"/>
  <c r="A1279" i="50" s="1"/>
  <c r="A1280" i="50" s="1"/>
  <c r="A1281" i="50" s="1"/>
  <c r="A1282" i="50" s="1"/>
  <c r="A1283" i="50" s="1"/>
  <c r="A1284" i="50" s="1"/>
  <c r="A1285" i="50" s="1"/>
  <c r="A1286" i="50" s="1"/>
  <c r="A1287" i="50" s="1"/>
  <c r="A1288" i="50" s="1"/>
  <c r="A1289" i="50" s="1"/>
  <c r="A1290" i="50" s="1"/>
  <c r="A1291" i="50" s="1"/>
  <c r="A1292" i="50" s="1"/>
  <c r="A1293" i="50" s="1"/>
  <c r="A1294" i="50" s="1"/>
  <c r="A1295" i="50" s="1"/>
  <c r="A1296" i="50" s="1"/>
  <c r="A1297" i="50" s="1"/>
  <c r="A1298" i="50" s="1"/>
  <c r="A1299" i="50" s="1"/>
  <c r="A1300" i="50" s="1"/>
  <c r="A1301" i="50" s="1"/>
  <c r="A1302" i="50" s="1"/>
  <c r="A1303" i="50" s="1"/>
  <c r="A1304" i="50" s="1"/>
  <c r="A1305" i="50" s="1"/>
  <c r="A1306" i="50" s="1"/>
  <c r="A1307" i="50" s="1"/>
  <c r="A1308" i="50" s="1"/>
  <c r="A1309" i="50" s="1"/>
  <c r="A1310" i="50" s="1"/>
  <c r="A1311" i="50" s="1"/>
  <c r="A1312" i="50" s="1"/>
  <c r="A1313" i="50" s="1"/>
  <c r="A1314" i="50" s="1"/>
  <c r="A1315" i="50" s="1"/>
  <c r="A1316" i="50" s="1"/>
  <c r="A1317" i="50" s="1"/>
  <c r="A1318" i="50" s="1"/>
  <c r="A1319" i="50" s="1"/>
  <c r="A1320" i="50" s="1"/>
  <c r="A1321" i="50" s="1"/>
  <c r="A1322" i="50" s="1"/>
  <c r="A1323" i="50" s="1"/>
  <c r="A1324" i="50" s="1"/>
  <c r="A1325" i="50" s="1"/>
  <c r="A1326" i="50" s="1"/>
  <c r="A1327" i="50" s="1"/>
  <c r="A1328" i="50" s="1"/>
  <c r="A1329" i="50" s="1"/>
  <c r="A1330" i="50" s="1"/>
  <c r="A1331" i="50" s="1"/>
  <c r="A1332" i="50" s="1"/>
  <c r="A1333" i="50" s="1"/>
  <c r="A1334" i="50" s="1"/>
  <c r="A1335" i="50" s="1"/>
  <c r="A1336" i="50" s="1"/>
  <c r="A1337" i="50" s="1"/>
  <c r="A1338" i="50" s="1"/>
  <c r="A1339" i="50" s="1"/>
  <c r="A1340" i="50" s="1"/>
  <c r="A1341" i="50" s="1"/>
  <c r="A1342" i="50" s="1"/>
  <c r="A1343" i="50" s="1"/>
  <c r="A1344" i="50" s="1"/>
  <c r="A1345" i="50" s="1"/>
  <c r="A1346" i="50" s="1"/>
  <c r="A1347" i="50" s="1"/>
  <c r="A1348" i="50" s="1"/>
  <c r="A1349" i="50" s="1"/>
  <c r="A1350" i="50" s="1"/>
  <c r="A1351" i="50" s="1"/>
  <c r="A1352" i="50" s="1"/>
  <c r="A1353" i="50" s="1"/>
  <c r="A1354" i="50" s="1"/>
  <c r="A1355" i="50" s="1"/>
  <c r="A1356" i="50" s="1"/>
  <c r="A1357" i="50" s="1"/>
  <c r="A1358" i="50" s="1"/>
  <c r="A1359" i="50" s="1"/>
  <c r="A1360" i="50" s="1"/>
  <c r="A1361" i="50" s="1"/>
  <c r="A1362" i="50" s="1"/>
  <c r="A1363" i="50" s="1"/>
  <c r="A1364" i="50" s="1"/>
  <c r="A1365" i="50" s="1"/>
  <c r="A1366" i="50" s="1"/>
  <c r="A1367" i="50" s="1"/>
  <c r="A1368" i="50" s="1"/>
  <c r="A1369" i="50" s="1"/>
  <c r="A1370" i="50" s="1"/>
  <c r="A1371" i="50" s="1"/>
  <c r="A1372" i="50" s="1"/>
  <c r="A1373" i="50" s="1"/>
  <c r="A1374" i="50" s="1"/>
  <c r="A1375" i="50" s="1"/>
  <c r="A1376" i="50" s="1"/>
  <c r="A1377" i="50" s="1"/>
  <c r="A1378" i="50" s="1"/>
  <c r="A1379" i="50" s="1"/>
  <c r="A1380" i="50" s="1"/>
  <c r="A1381" i="50" s="1"/>
  <c r="A1382" i="50" s="1"/>
  <c r="A1383" i="50" s="1"/>
  <c r="A1384" i="50" s="1"/>
  <c r="A1385" i="50" s="1"/>
  <c r="A1386" i="50" s="1"/>
  <c r="A1387" i="50" s="1"/>
  <c r="A1388" i="50" s="1"/>
  <c r="A1389" i="50" s="1"/>
  <c r="A1390" i="50" s="1"/>
  <c r="A1391" i="50" s="1"/>
  <c r="A1392" i="50" s="1"/>
  <c r="A1393" i="50" s="1"/>
  <c r="A1394" i="50" s="1"/>
  <c r="A1395" i="50" s="1"/>
  <c r="A1396" i="50" s="1"/>
  <c r="A1397" i="50" s="1"/>
  <c r="A1398" i="50" s="1"/>
  <c r="A1399" i="50" s="1"/>
  <c r="A1400" i="50" s="1"/>
  <c r="A1401" i="50" s="1"/>
  <c r="A1402" i="50" s="1"/>
  <c r="A1403" i="50" s="1"/>
  <c r="A1404" i="50" s="1"/>
  <c r="A1405" i="50" s="1"/>
  <c r="A1406" i="50" s="1"/>
  <c r="A1407" i="50" s="1"/>
  <c r="A1408" i="50" s="1"/>
  <c r="A1409" i="50" s="1"/>
  <c r="A1410" i="50" s="1"/>
  <c r="A1411" i="50" s="1"/>
  <c r="A1412" i="50" s="1"/>
  <c r="A1413" i="50" s="1"/>
  <c r="A1414" i="50" s="1"/>
  <c r="A1415" i="50" s="1"/>
  <c r="A1416" i="50" s="1"/>
  <c r="A1417" i="50" s="1"/>
  <c r="A1418" i="50" s="1"/>
  <c r="A1419" i="50" s="1"/>
  <c r="A1420" i="50" s="1"/>
  <c r="A1421" i="50" s="1"/>
  <c r="A1422" i="50" s="1"/>
  <c r="A1423" i="50" s="1"/>
  <c r="A1424" i="50" s="1"/>
  <c r="A1425" i="50" s="1"/>
  <c r="A1426" i="50" s="1"/>
  <c r="A1427" i="50" s="1"/>
  <c r="A1428" i="50" s="1"/>
  <c r="A1429" i="50" s="1"/>
  <c r="A1430" i="50" s="1"/>
  <c r="A1431" i="50" s="1"/>
  <c r="A1432" i="50" s="1"/>
  <c r="A1433" i="50" s="1"/>
  <c r="A1434" i="50" s="1"/>
  <c r="A1435" i="50" s="1"/>
  <c r="A1436" i="50" s="1"/>
  <c r="A1437" i="50" s="1"/>
  <c r="A1439" i="50"/>
  <c r="A1441" i="50"/>
  <c r="A1443" i="50"/>
  <c r="A1445" i="50"/>
  <c r="A1447" i="50"/>
  <c r="A1449" i="50"/>
  <c r="A1451" i="50"/>
  <c r="A1453" i="50"/>
  <c r="A1455" i="50"/>
  <c r="A1457" i="50"/>
  <c r="A1459" i="50"/>
  <c r="A1461" i="50"/>
  <c r="A1463" i="50"/>
  <c r="A1465" i="50"/>
  <c r="A1467" i="50"/>
  <c r="A1469" i="50"/>
  <c r="A1471" i="50"/>
  <c r="A1473" i="50"/>
  <c r="A1475" i="50"/>
  <c r="A1477" i="50"/>
  <c r="A1479" i="50"/>
  <c r="A1481" i="50"/>
  <c r="A1483" i="50"/>
  <c r="A1485" i="50"/>
  <c r="A1487" i="50"/>
  <c r="A1489" i="50"/>
  <c r="A1491" i="50"/>
  <c r="A1493" i="50"/>
  <c r="A1495" i="50"/>
  <c r="A1497" i="50"/>
  <c r="A1499" i="50"/>
  <c r="A1501" i="50"/>
  <c r="A1503" i="50"/>
  <c r="A1505" i="50"/>
  <c r="A1507" i="50"/>
  <c r="A1509" i="50"/>
  <c r="A1511" i="50"/>
  <c r="A1513" i="50"/>
  <c r="A1515" i="50"/>
  <c r="A1517" i="50"/>
  <c r="A1519" i="50"/>
  <c r="A1521" i="50"/>
  <c r="A1523" i="50"/>
  <c r="A1525" i="50"/>
  <c r="A1527" i="50"/>
  <c r="A1529" i="50"/>
  <c r="A1531" i="50"/>
  <c r="A1533" i="50"/>
  <c r="A1535" i="50"/>
  <c r="A1537" i="50"/>
  <c r="A1539" i="50"/>
  <c r="A1541" i="50"/>
  <c r="A1543" i="50"/>
  <c r="A1545" i="50"/>
  <c r="A1547" i="50"/>
  <c r="A1549" i="50"/>
  <c r="A1551" i="50"/>
  <c r="A1553" i="50"/>
  <c r="A1555" i="50"/>
  <c r="A1557" i="50"/>
  <c r="A1559" i="50"/>
  <c r="A1561" i="50"/>
  <c r="A1563" i="50"/>
  <c r="A1565" i="50"/>
  <c r="A1567" i="50"/>
  <c r="A1569" i="50"/>
  <c r="A1571" i="50"/>
  <c r="A1573" i="50"/>
  <c r="A1575" i="50"/>
  <c r="A1577" i="50"/>
  <c r="A1579" i="50"/>
  <c r="A1581" i="50"/>
  <c r="A1583" i="50"/>
  <c r="A1585" i="50"/>
  <c r="A1587" i="50"/>
  <c r="A1589" i="50"/>
  <c r="A1591" i="50"/>
  <c r="A1593" i="50"/>
  <c r="A1595" i="50"/>
  <c r="A1597" i="50"/>
  <c r="A1599" i="50"/>
  <c r="A1601" i="50"/>
  <c r="A1603" i="50"/>
  <c r="A1605" i="50"/>
  <c r="A1607" i="50"/>
  <c r="A1609" i="50"/>
  <c r="A1611" i="50"/>
  <c r="A1613" i="50"/>
  <c r="A1615" i="50"/>
  <c r="A1617" i="50"/>
  <c r="A1619" i="50"/>
  <c r="A1621" i="50"/>
  <c r="A1623" i="50"/>
  <c r="A1625" i="50"/>
  <c r="A1627" i="50"/>
  <c r="A1629" i="50"/>
  <c r="A1631" i="50"/>
  <c r="A1633" i="50"/>
  <c r="A1635" i="50"/>
  <c r="A1637" i="50"/>
  <c r="A1639" i="50"/>
  <c r="A1641" i="50"/>
  <c r="A1643" i="50"/>
  <c r="A1645" i="50"/>
  <c r="A1647" i="50"/>
  <c r="A1649" i="50"/>
  <c r="A1651" i="50"/>
  <c r="A1653" i="50"/>
  <c r="A1655" i="50"/>
  <c r="A1657" i="50"/>
  <c r="A1659" i="50"/>
  <c r="A1661" i="50"/>
  <c r="A1663" i="50"/>
  <c r="A1665" i="50"/>
  <c r="A1667" i="50"/>
  <c r="A1669" i="50"/>
  <c r="A1671" i="50"/>
  <c r="A1673" i="50"/>
  <c r="A1675" i="50"/>
  <c r="A1677" i="50"/>
  <c r="A1679" i="50"/>
  <c r="A1681" i="50"/>
  <c r="A1683" i="50"/>
  <c r="A1685" i="50"/>
  <c r="A1687" i="50"/>
  <c r="A1689" i="50"/>
  <c r="A1691" i="50"/>
  <c r="A1693" i="50"/>
  <c r="A1695" i="50"/>
  <c r="A1697" i="50"/>
  <c r="A1699" i="50"/>
  <c r="A1701" i="50"/>
  <c r="A1703" i="50"/>
  <c r="A1705" i="50"/>
  <c r="A1707" i="50"/>
  <c r="A1709" i="50"/>
  <c r="A1711" i="50"/>
  <c r="A1713" i="50"/>
  <c r="A1715" i="50"/>
  <c r="A1717" i="50"/>
  <c r="A1719" i="50"/>
  <c r="A1721" i="50"/>
  <c r="A1723" i="50"/>
  <c r="A1725" i="50"/>
  <c r="A1727" i="50"/>
  <c r="A1729" i="50"/>
  <c r="A1731" i="50"/>
  <c r="A1733" i="50"/>
  <c r="A1735" i="50"/>
  <c r="A1737" i="50"/>
  <c r="A1739" i="50"/>
  <c r="A1741" i="50"/>
  <c r="A1743" i="50"/>
  <c r="A1745" i="50"/>
  <c r="A1747" i="50"/>
  <c r="A1749" i="50"/>
  <c r="A1751" i="50"/>
  <c r="A1753" i="50"/>
  <c r="A1755" i="50"/>
  <c r="A1757" i="50"/>
  <c r="A1759" i="50"/>
  <c r="A1761" i="50"/>
  <c r="A1763" i="50"/>
  <c r="A1765" i="50"/>
  <c r="A1767" i="50"/>
  <c r="A1769" i="50"/>
  <c r="A1771" i="50"/>
  <c r="A1773" i="50"/>
  <c r="A1775" i="50"/>
  <c r="A1777" i="50"/>
  <c r="A1779" i="50"/>
  <c r="A1781" i="50"/>
  <c r="A1783" i="50"/>
  <c r="A1785" i="50"/>
  <c r="A1787" i="50"/>
  <c r="A1789" i="50"/>
  <c r="A1791" i="50"/>
  <c r="A1793" i="50"/>
  <c r="A1795" i="50"/>
  <c r="A1797" i="50"/>
  <c r="A1799" i="50"/>
  <c r="A1801" i="50"/>
  <c r="A1803" i="50"/>
  <c r="A1805" i="50"/>
  <c r="A1807" i="50"/>
  <c r="A1809" i="50"/>
  <c r="A1811" i="50"/>
  <c r="A1813" i="50"/>
  <c r="A1815" i="50"/>
  <c r="A1817" i="50"/>
  <c r="A1819" i="50"/>
  <c r="A1821" i="50"/>
  <c r="A1823" i="50"/>
  <c r="A1825" i="50"/>
  <c r="A1827" i="50"/>
  <c r="A1829" i="50"/>
  <c r="A1831" i="50"/>
  <c r="A1833" i="50"/>
  <c r="A1835" i="50"/>
  <c r="A1837" i="50"/>
  <c r="A1839" i="50"/>
  <c r="A1841" i="50"/>
  <c r="A1843" i="50"/>
  <c r="A1170" i="50"/>
  <c r="A1172" i="50"/>
  <c r="A1174" i="50"/>
  <c r="A1176" i="50"/>
  <c r="A1178" i="50"/>
  <c r="A1180" i="50"/>
  <c r="A1182" i="50"/>
  <c r="A1184" i="50"/>
  <c r="A1186" i="50"/>
  <c r="A1188" i="50"/>
  <c r="A1190" i="50"/>
  <c r="A1192" i="50"/>
  <c r="A1194" i="50"/>
  <c r="A1196" i="50"/>
  <c r="A1198" i="50"/>
  <c r="A1200" i="50"/>
  <c r="A1202" i="50"/>
  <c r="A1204" i="50"/>
  <c r="A1206" i="50"/>
  <c r="A1208" i="50"/>
  <c r="A1210" i="50"/>
  <c r="A1212" i="50"/>
  <c r="A1214" i="50"/>
  <c r="A1438" i="50"/>
  <c r="A1440" i="50"/>
  <c r="A1442" i="50"/>
  <c r="A1444" i="50"/>
  <c r="A1446" i="50"/>
  <c r="A1448" i="50"/>
  <c r="A1450" i="50"/>
  <c r="A1452" i="50"/>
  <c r="A1454" i="50"/>
  <c r="A1456" i="50"/>
  <c r="A1458" i="50"/>
  <c r="A1460" i="50"/>
  <c r="A1462" i="50"/>
  <c r="A1464" i="50"/>
  <c r="A1466" i="50"/>
  <c r="A1468" i="50"/>
  <c r="A1470" i="50"/>
  <c r="A1472" i="50"/>
  <c r="A1474" i="50"/>
  <c r="A1476" i="50"/>
  <c r="A1478" i="50"/>
  <c r="A1480" i="50"/>
  <c r="A1482" i="50"/>
  <c r="A1484" i="50"/>
  <c r="A1486" i="50"/>
  <c r="A1488" i="50"/>
  <c r="A1490" i="50"/>
  <c r="A1492" i="50"/>
  <c r="A1494" i="50"/>
  <c r="A1496" i="50"/>
  <c r="A1498" i="50"/>
  <c r="A1500" i="50"/>
  <c r="A1502" i="50"/>
  <c r="A1504" i="50"/>
  <c r="A1506" i="50"/>
  <c r="A1508" i="50"/>
  <c r="A1510" i="50"/>
  <c r="A1512" i="50"/>
  <c r="A1514" i="50"/>
  <c r="A1516" i="50"/>
  <c r="A1518" i="50"/>
  <c r="A1520" i="50"/>
  <c r="A1522" i="50"/>
  <c r="A1524" i="50"/>
  <c r="A1526" i="50"/>
  <c r="A1528" i="50"/>
  <c r="A1530" i="50"/>
  <c r="A1532" i="50"/>
  <c r="A1534" i="50"/>
  <c r="A1536" i="50"/>
  <c r="A1538" i="50"/>
  <c r="A1540" i="50"/>
  <c r="A1542" i="50"/>
  <c r="A1544" i="50"/>
  <c r="A1546" i="50"/>
  <c r="A1548" i="50"/>
  <c r="A1550" i="50"/>
  <c r="A1552" i="50"/>
  <c r="A1554" i="50"/>
  <c r="A1556" i="50"/>
  <c r="A1558" i="50"/>
  <c r="A1560" i="50"/>
  <c r="A1562" i="50"/>
  <c r="A1564" i="50"/>
  <c r="A1566" i="50"/>
  <c r="A1568" i="50"/>
  <c r="A1570" i="50"/>
  <c r="A1572" i="50"/>
  <c r="A1574" i="50"/>
  <c r="A1576" i="50"/>
  <c r="A1578" i="50"/>
  <c r="A1580" i="50"/>
  <c r="A1582" i="50"/>
  <c r="A1584" i="50"/>
  <c r="A1586" i="50"/>
  <c r="A1588" i="50"/>
  <c r="A1590" i="50"/>
  <c r="A1592" i="50"/>
  <c r="A1594" i="50"/>
  <c r="A1596" i="50"/>
  <c r="A1598" i="50"/>
  <c r="A1600" i="50"/>
  <c r="A1602" i="50"/>
  <c r="A1604" i="50"/>
  <c r="A1606" i="50"/>
  <c r="A1608" i="50"/>
  <c r="A1610" i="50"/>
  <c r="A1612" i="50"/>
  <c r="A1614" i="50"/>
  <c r="A1616" i="50"/>
  <c r="A1618" i="50"/>
  <c r="A1620" i="50"/>
  <c r="A1622" i="50"/>
  <c r="A1624" i="50"/>
  <c r="A1626" i="50"/>
  <c r="A1628" i="50"/>
  <c r="A1630" i="50"/>
  <c r="A1632" i="50"/>
  <c r="A1634" i="50"/>
  <c r="A1636" i="50"/>
  <c r="A1638" i="50"/>
  <c r="A1640" i="50"/>
  <c r="A1642" i="50"/>
  <c r="A1644" i="50"/>
  <c r="A1646" i="50"/>
  <c r="A1648" i="50"/>
  <c r="A1650" i="50"/>
  <c r="A1652" i="50"/>
  <c r="A1654" i="50"/>
  <c r="A1656" i="50"/>
  <c r="A1658" i="50"/>
  <c r="A1660" i="50"/>
  <c r="A1662" i="50"/>
  <c r="A1664" i="50"/>
  <c r="A1666" i="50"/>
  <c r="A1668" i="50"/>
  <c r="A1670" i="50"/>
  <c r="A1672" i="50"/>
  <c r="A1674" i="50"/>
  <c r="A1676" i="50"/>
  <c r="A1678" i="50"/>
  <c r="A1680" i="50"/>
  <c r="A1682" i="50"/>
  <c r="A1684" i="50"/>
  <c r="A1686" i="50"/>
  <c r="A1688" i="50"/>
  <c r="A1690" i="50"/>
  <c r="A1692" i="50"/>
  <c r="A1694" i="50"/>
  <c r="A1696" i="50"/>
  <c r="A1698" i="50"/>
  <c r="A1700" i="50"/>
  <c r="A1702" i="50"/>
  <c r="A1704" i="50"/>
  <c r="A1706" i="50"/>
  <c r="A1708" i="50"/>
  <c r="A1710" i="50"/>
  <c r="A1712" i="50"/>
  <c r="A1714" i="50"/>
  <c r="A1716" i="50"/>
  <c r="A1718" i="50"/>
  <c r="A1720" i="50"/>
  <c r="A1722" i="50"/>
  <c r="A1724" i="50"/>
  <c r="A1726" i="50"/>
  <c r="A1728" i="50"/>
  <c r="A1730" i="50"/>
  <c r="A1732" i="50"/>
  <c r="A1734" i="50"/>
  <c r="A1736" i="50"/>
  <c r="A1738" i="50"/>
  <c r="A1740" i="50"/>
  <c r="A1742" i="50"/>
  <c r="A1744" i="50"/>
  <c r="A1746" i="50"/>
  <c r="A1748" i="50"/>
  <c r="A1750" i="50"/>
  <c r="A1752" i="50"/>
  <c r="A1754" i="50"/>
  <c r="A1756" i="50"/>
  <c r="A1758" i="50"/>
  <c r="A1760" i="50"/>
  <c r="A1762" i="50"/>
  <c r="A1764" i="50"/>
  <c r="A1766" i="50"/>
  <c r="A1768" i="50"/>
  <c r="A1770" i="50"/>
  <c r="A1772" i="50"/>
  <c r="A1774" i="50"/>
  <c r="A1776" i="50"/>
  <c r="A1778" i="50"/>
  <c r="A1780" i="50"/>
  <c r="A1782" i="50"/>
  <c r="A1784" i="50"/>
  <c r="A1786" i="50"/>
  <c r="A1788" i="50"/>
  <c r="A1790" i="50"/>
  <c r="A1792" i="50"/>
  <c r="A1794" i="50"/>
  <c r="A1796" i="50"/>
  <c r="A1798" i="50"/>
  <c r="A1800" i="50"/>
  <c r="A1802" i="50"/>
  <c r="A1804" i="50"/>
  <c r="A1806" i="50"/>
  <c r="A1808" i="50"/>
  <c r="A1810" i="50"/>
  <c r="A1812" i="50"/>
  <c r="A1814" i="50"/>
  <c r="A1816" i="50"/>
  <c r="A1818" i="50"/>
  <c r="A1820" i="50"/>
  <c r="A1822" i="50"/>
  <c r="A1824" i="50"/>
  <c r="A1826" i="50"/>
  <c r="A1828" i="50"/>
  <c r="A1830" i="50"/>
  <c r="A1832" i="50"/>
  <c r="A1834" i="50"/>
  <c r="A1836" i="50"/>
  <c r="A1838" i="50"/>
  <c r="A1840" i="50"/>
  <c r="A1842" i="50"/>
  <c r="A1844" i="50"/>
  <c r="A1846" i="50"/>
  <c r="A1848" i="50"/>
  <c r="A1850" i="50"/>
  <c r="A1852" i="50"/>
  <c r="A1854" i="50"/>
  <c r="A1856" i="50"/>
  <c r="A1858" i="50"/>
  <c r="A1860" i="50"/>
  <c r="A1862" i="50"/>
  <c r="A1864" i="50"/>
  <c r="A1866" i="50"/>
  <c r="A1868" i="50"/>
  <c r="A1870" i="50"/>
  <c r="A1872" i="50"/>
  <c r="A1874" i="50"/>
  <c r="A1876" i="50"/>
  <c r="A1878" i="50"/>
  <c r="A1880" i="50"/>
  <c r="A1882" i="50"/>
  <c r="A1884" i="50"/>
  <c r="A1886" i="50"/>
  <c r="A1888" i="50"/>
  <c r="A1890" i="50"/>
  <c r="A1892" i="50"/>
  <c r="A1894" i="50"/>
  <c r="A2212" i="50"/>
  <c r="A2214" i="50"/>
  <c r="A2216" i="50"/>
  <c r="A2218" i="50"/>
  <c r="A2220" i="50"/>
  <c r="A2222" i="50"/>
  <c r="A2224" i="50"/>
  <c r="A2226" i="50"/>
  <c r="A2228" i="50"/>
  <c r="A2230" i="50"/>
  <c r="A2232" i="50"/>
  <c r="A2234" i="50"/>
  <c r="A2236" i="50"/>
  <c r="A2238" i="50"/>
  <c r="A2240" i="50"/>
  <c r="A2242" i="50"/>
  <c r="A2244" i="50"/>
  <c r="A2246" i="50"/>
  <c r="A2248" i="50"/>
  <c r="A2250" i="50"/>
  <c r="A2252" i="50"/>
  <c r="A2254" i="50"/>
  <c r="A2256" i="50"/>
  <c r="A2258" i="50"/>
  <c r="A2260" i="50"/>
  <c r="A2262" i="50"/>
  <c r="A2264" i="50"/>
  <c r="A2266" i="50"/>
  <c r="A2268" i="50"/>
  <c r="A2270" i="50"/>
  <c r="A2272" i="50"/>
  <c r="A2274" i="50"/>
  <c r="A2276" i="50"/>
  <c r="A2278" i="50"/>
  <c r="A2280" i="50"/>
  <c r="A2282" i="50"/>
  <c r="A2284" i="50"/>
  <c r="A2286" i="50"/>
  <c r="A2288" i="50"/>
  <c r="A2290" i="50"/>
  <c r="A2292" i="50"/>
  <c r="A2294" i="50"/>
  <c r="A2296" i="50"/>
  <c r="A2298" i="50"/>
  <c r="A2300" i="50"/>
  <c r="A2302" i="50"/>
  <c r="A2304" i="50"/>
  <c r="A2306" i="50"/>
  <c r="A2308" i="50"/>
  <c r="A2310" i="50"/>
  <c r="A2312" i="50"/>
  <c r="A2314" i="50"/>
  <c r="A2316" i="50"/>
  <c r="A2318" i="50"/>
  <c r="A2320" i="50"/>
  <c r="A2322" i="50"/>
  <c r="A2324" i="50"/>
  <c r="A2326" i="50"/>
  <c r="A2328" i="50"/>
  <c r="A2330" i="50"/>
  <c r="A2332" i="50"/>
  <c r="A2334" i="50"/>
  <c r="A2336" i="50"/>
  <c r="A2338" i="50"/>
  <c r="A2340" i="50"/>
  <c r="A2342" i="50"/>
  <c r="A2344" i="50"/>
  <c r="A2346" i="50"/>
  <c r="A2348" i="50"/>
  <c r="A2350" i="50"/>
  <c r="A2352" i="50"/>
  <c r="A2354" i="50"/>
  <c r="A2356" i="50"/>
  <c r="A2358" i="50"/>
  <c r="A2360" i="50"/>
  <c r="A2362" i="50"/>
  <c r="A2364" i="50"/>
  <c r="A2366" i="50"/>
  <c r="A2368" i="50"/>
  <c r="A2370" i="50"/>
  <c r="A2372" i="50"/>
  <c r="A2374" i="50"/>
  <c r="A2376" i="50"/>
  <c r="A2378" i="50"/>
  <c r="A2380" i="50"/>
  <c r="A2382" i="50"/>
  <c r="A2384" i="50"/>
  <c r="A2386" i="50"/>
  <c r="A2388" i="50"/>
  <c r="A2390" i="50"/>
  <c r="A2392" i="50"/>
  <c r="A2394" i="50"/>
  <c r="A2396" i="50"/>
  <c r="A2398" i="50"/>
  <c r="A2400" i="50"/>
  <c r="A2402" i="50"/>
  <c r="A2404" i="50"/>
  <c r="A2406" i="50"/>
  <c r="A2408" i="50"/>
  <c r="A2410" i="50"/>
  <c r="A2412" i="50"/>
  <c r="A2414" i="50"/>
  <c r="A2416" i="50"/>
  <c r="A2418" i="50"/>
  <c r="A2420" i="50"/>
  <c r="A2422" i="50"/>
  <c r="A2424" i="50"/>
  <c r="A2426" i="50"/>
  <c r="A2428" i="50"/>
  <c r="A2430" i="50"/>
  <c r="A2432" i="50"/>
  <c r="A2434" i="50"/>
  <c r="A2436" i="50"/>
  <c r="A2438" i="50"/>
  <c r="A2440" i="50"/>
  <c r="A2442" i="50"/>
  <c r="A2444" i="50"/>
  <c r="A2446" i="50"/>
  <c r="A2448" i="50"/>
  <c r="A2450" i="50"/>
  <c r="A2452" i="50"/>
  <c r="A2454" i="50"/>
  <c r="A2456" i="50"/>
  <c r="A2458" i="50"/>
  <c r="A2460" i="50"/>
  <c r="A2462" i="50"/>
  <c r="A2464" i="50"/>
  <c r="A2466" i="50"/>
  <c r="A2468" i="50"/>
  <c r="A2470" i="50"/>
  <c r="A2472" i="50"/>
  <c r="A2474" i="50"/>
  <c r="A2476" i="50"/>
  <c r="A2478" i="50"/>
  <c r="A2480" i="50"/>
  <c r="A2482" i="50"/>
  <c r="A2484" i="50"/>
  <c r="A2486" i="50"/>
  <c r="A2488" i="50"/>
  <c r="A2490" i="50"/>
  <c r="A2492" i="50"/>
  <c r="A2494" i="50"/>
  <c r="A2496" i="50"/>
  <c r="A2498" i="50"/>
  <c r="A2500" i="50"/>
  <c r="A2502" i="50"/>
  <c r="A2504" i="50"/>
  <c r="A2506" i="50"/>
  <c r="A2508" i="50"/>
  <c r="A2510" i="50"/>
  <c r="A2512" i="50"/>
  <c r="A2514" i="50"/>
  <c r="A2516" i="50"/>
  <c r="A2518" i="50"/>
  <c r="A2520" i="50"/>
  <c r="A2522" i="50"/>
  <c r="A2524" i="50"/>
  <c r="A1849" i="50"/>
  <c r="A1857" i="50"/>
  <c r="A1865" i="50"/>
  <c r="A1873" i="50"/>
  <c r="A1881" i="50"/>
  <c r="A1889" i="50"/>
  <c r="A2217" i="50"/>
  <c r="A2225" i="50"/>
  <c r="A2233" i="50"/>
  <c r="A2241" i="50"/>
  <c r="A2249" i="50"/>
  <c r="A2257" i="50"/>
  <c r="A2265" i="50"/>
  <c r="A2273" i="50"/>
  <c r="A2281" i="50"/>
  <c r="A2289" i="50"/>
  <c r="A2297" i="50"/>
  <c r="A2305" i="50"/>
  <c r="A2313" i="50"/>
  <c r="A2321" i="50"/>
  <c r="A2329" i="50"/>
  <c r="A2337" i="50"/>
  <c r="A2345" i="50"/>
  <c r="A2353" i="50"/>
  <c r="A2361" i="50"/>
  <c r="A2369" i="50"/>
  <c r="A2377" i="50"/>
  <c r="A2385" i="50"/>
  <c r="A2393" i="50"/>
  <c r="A2401" i="50"/>
  <c r="A2409" i="50"/>
  <c r="A2417" i="50"/>
  <c r="A2425" i="50"/>
  <c r="A2433" i="50"/>
  <c r="A2441" i="50"/>
  <c r="A2449" i="50"/>
  <c r="A2457" i="50"/>
  <c r="A2465" i="50"/>
  <c r="A2473" i="50"/>
  <c r="A2481" i="50"/>
  <c r="A2489" i="50"/>
  <c r="A2497" i="50"/>
  <c r="A2505" i="50"/>
  <c r="A2513" i="50"/>
  <c r="A2521" i="50"/>
  <c r="A2526" i="50"/>
  <c r="A2528" i="50"/>
  <c r="A2530" i="50"/>
  <c r="A2532" i="50"/>
  <c r="A2534" i="50"/>
  <c r="A2536" i="50"/>
  <c r="A2538" i="50"/>
  <c r="A2540" i="50"/>
  <c r="A2542" i="50"/>
  <c r="A2544" i="50"/>
  <c r="A2546" i="50"/>
  <c r="A2548" i="50"/>
  <c r="A2550" i="50"/>
  <c r="A2552" i="50"/>
  <c r="A2554" i="50"/>
  <c r="A2556" i="50"/>
  <c r="A2558" i="50"/>
  <c r="A2560" i="50"/>
  <c r="A2562" i="50"/>
  <c r="A2564" i="50"/>
  <c r="A2566" i="50"/>
  <c r="A2568" i="50"/>
  <c r="A2570" i="50"/>
  <c r="A2572" i="50"/>
  <c r="A2574" i="50"/>
  <c r="A2576" i="50"/>
  <c r="A2578" i="50"/>
  <c r="A2580" i="50"/>
  <c r="A2582" i="50"/>
  <c r="A2584" i="50"/>
  <c r="A2586" i="50"/>
  <c r="A2588" i="50"/>
  <c r="A2590" i="50"/>
  <c r="A2592" i="50"/>
  <c r="A2594" i="50"/>
  <c r="A2596" i="50"/>
  <c r="A2598" i="50"/>
  <c r="A2600" i="50"/>
  <c r="A2602" i="50"/>
  <c r="A2604" i="50"/>
  <c r="A2606" i="50"/>
  <c r="A2608" i="50"/>
  <c r="A2610" i="50"/>
  <c r="A2612" i="50"/>
  <c r="A2614" i="50"/>
  <c r="A2616" i="50"/>
  <c r="A2618" i="50"/>
  <c r="A2620" i="50"/>
  <c r="A2622" i="50"/>
  <c r="A2624" i="50"/>
  <c r="A2626" i="50"/>
  <c r="A2628" i="50"/>
  <c r="A2630" i="50"/>
  <c r="A2632" i="50"/>
  <c r="A2634" i="50"/>
  <c r="A2636" i="50"/>
  <c r="A2638" i="50"/>
  <c r="A2640" i="50"/>
  <c r="A2642" i="50"/>
  <c r="A2644" i="50"/>
  <c r="A2646" i="50"/>
  <c r="A2648" i="50"/>
  <c r="A2650" i="50"/>
  <c r="A2652" i="50"/>
  <c r="A2654" i="50"/>
  <c r="A2656" i="50"/>
  <c r="A2658" i="50"/>
  <c r="A2660" i="50"/>
  <c r="A2662" i="50"/>
  <c r="A2664" i="50"/>
  <c r="A2666" i="50"/>
  <c r="A2668" i="50"/>
  <c r="A2670" i="50"/>
  <c r="A2672" i="50"/>
  <c r="A2674" i="50"/>
  <c r="A2676" i="50"/>
  <c r="A2678" i="50"/>
  <c r="A2680" i="50"/>
  <c r="A2682" i="50"/>
  <c r="A2684" i="50"/>
  <c r="A2686" i="50"/>
  <c r="A2688" i="50"/>
  <c r="A2690" i="50"/>
  <c r="A2692" i="50"/>
  <c r="A2694" i="50"/>
  <c r="A2696" i="50"/>
  <c r="A2698" i="50"/>
  <c r="A2700" i="50"/>
  <c r="A2702" i="50"/>
  <c r="A2704" i="50"/>
  <c r="A2706" i="50"/>
  <c r="A2708" i="50"/>
  <c r="A2710" i="50"/>
  <c r="A2712" i="50"/>
  <c r="A2714" i="50"/>
  <c r="A2716" i="50"/>
  <c r="A2718" i="50"/>
  <c r="A2720" i="50"/>
  <c r="A2722" i="50"/>
  <c r="A2724" i="50"/>
  <c r="A2726" i="50"/>
  <c r="A2728" i="50"/>
  <c r="A2730" i="50"/>
  <c r="A2732" i="50"/>
  <c r="A2734" i="50"/>
  <c r="A2736" i="50"/>
  <c r="A2738" i="50"/>
  <c r="A2740" i="50"/>
  <c r="A2742" i="50"/>
  <c r="A2744" i="50"/>
  <c r="A2746" i="50"/>
  <c r="A2748" i="50"/>
  <c r="A2750" i="50"/>
  <c r="A2752" i="50"/>
  <c r="A2754" i="50"/>
  <c r="A2756" i="50"/>
  <c r="A2758" i="50"/>
  <c r="A2760" i="50"/>
  <c r="A2762" i="50"/>
  <c r="A2764" i="50"/>
  <c r="A2766" i="50"/>
  <c r="A2768" i="50"/>
  <c r="A2770" i="50"/>
  <c r="A2772" i="50"/>
  <c r="A2774" i="50"/>
  <c r="A2776" i="50"/>
  <c r="A2778" i="50"/>
  <c r="A2780" i="50"/>
  <c r="A2782" i="50"/>
  <c r="A2784" i="50"/>
  <c r="A2786" i="50"/>
  <c r="A2788" i="50"/>
  <c r="A2790" i="50"/>
  <c r="A2792" i="50"/>
  <c r="A2794" i="50"/>
  <c r="A2796" i="50"/>
  <c r="A2798" i="50"/>
  <c r="A2800" i="50"/>
  <c r="A2802" i="50"/>
  <c r="A2804" i="50"/>
  <c r="A2806" i="50"/>
  <c r="A2808" i="50"/>
  <c r="A2810" i="50"/>
  <c r="A2812" i="50"/>
  <c r="A2814" i="50"/>
  <c r="A2816" i="50"/>
  <c r="A2818" i="50"/>
  <c r="A2820" i="50"/>
  <c r="A2822" i="50"/>
  <c r="A2824" i="50"/>
  <c r="A2826" i="50"/>
  <c r="A2828" i="50"/>
  <c r="A2830" i="50"/>
  <c r="A2832" i="50"/>
  <c r="A2834" i="50"/>
  <c r="A2836" i="50"/>
  <c r="A2838" i="50"/>
  <c r="A2840" i="50"/>
  <c r="A2842" i="50"/>
  <c r="A2844" i="50"/>
  <c r="A2846" i="50"/>
  <c r="A2848" i="50"/>
  <c r="A2850" i="50"/>
  <c r="A2852" i="50"/>
  <c r="A2854" i="50"/>
  <c r="A2856" i="50"/>
  <c r="A2858" i="50"/>
  <c r="A2860" i="50"/>
  <c r="A2862" i="50"/>
  <c r="A2864" i="50"/>
  <c r="A2866" i="50"/>
  <c r="A2868" i="50"/>
  <c r="A2870" i="50"/>
  <c r="A2872" i="50"/>
  <c r="A2874" i="50"/>
  <c r="A2876" i="50"/>
  <c r="A2878" i="50"/>
  <c r="A2880" i="50"/>
  <c r="A2882" i="50"/>
  <c r="A2884" i="50"/>
  <c r="A2886" i="50"/>
  <c r="A2888" i="50"/>
  <c r="A2890" i="50"/>
  <c r="A2892" i="50"/>
  <c r="A2894" i="50"/>
  <c r="A2896" i="50"/>
  <c r="A2898" i="50"/>
  <c r="A2900" i="50"/>
  <c r="A2902" i="50"/>
  <c r="A2904" i="50"/>
  <c r="A2906" i="50"/>
  <c r="A2908" i="50"/>
  <c r="A2910" i="50"/>
  <c r="A2912" i="50"/>
  <c r="A2914" i="50"/>
  <c r="A2916" i="50"/>
  <c r="A2918" i="50"/>
  <c r="A2920" i="50"/>
  <c r="A2922" i="50"/>
  <c r="A2924" i="50"/>
  <c r="A2926" i="50"/>
  <c r="A2928" i="50"/>
  <c r="A2930" i="50"/>
  <c r="A2932" i="50"/>
  <c r="A2934" i="50"/>
  <c r="A2936" i="50"/>
  <c r="A2938" i="50"/>
  <c r="A2940" i="50"/>
  <c r="A2942" i="50"/>
  <c r="A2944" i="50"/>
  <c r="A2946" i="50"/>
  <c r="A2948" i="50"/>
  <c r="A2950" i="50"/>
  <c r="A2952" i="50"/>
  <c r="A2954" i="50"/>
  <c r="A2956" i="50"/>
  <c r="A2958" i="50"/>
  <c r="A2960" i="50"/>
  <c r="A2962" i="50"/>
  <c r="A2964" i="50"/>
  <c r="A2966" i="50"/>
  <c r="A2968" i="50"/>
  <c r="A2970" i="50"/>
  <c r="A2972" i="50"/>
  <c r="A2974" i="50"/>
  <c r="A2976" i="50"/>
  <c r="A2978" i="50"/>
  <c r="A2980" i="50"/>
  <c r="A2982" i="50"/>
  <c r="A2984" i="50"/>
  <c r="A2986" i="50"/>
  <c r="A2988" i="50"/>
  <c r="A2990" i="50"/>
  <c r="A2992" i="50"/>
  <c r="A2994" i="50"/>
  <c r="A2996" i="50"/>
  <c r="A2998" i="50"/>
  <c r="A3000" i="50"/>
  <c r="A3002" i="50"/>
  <c r="A3004" i="50"/>
  <c r="A3006" i="50"/>
  <c r="A3008" i="50"/>
  <c r="A3010" i="50"/>
  <c r="A3012" i="50"/>
  <c r="A3014" i="50"/>
  <c r="A3016" i="50"/>
  <c r="A3018" i="50"/>
  <c r="A3020" i="50"/>
  <c r="A3022" i="50"/>
  <c r="A3024" i="50"/>
  <c r="A3026" i="50"/>
  <c r="A3028" i="50"/>
  <c r="A3030" i="50"/>
  <c r="A3032" i="50"/>
  <c r="A3034" i="50"/>
  <c r="A3036" i="50"/>
  <c r="A3038" i="50"/>
  <c r="A3040" i="50"/>
  <c r="A3042" i="50"/>
  <c r="A3044" i="50"/>
  <c r="A3046" i="50"/>
  <c r="A3048" i="50"/>
  <c r="A3050" i="50"/>
  <c r="A3052" i="50"/>
  <c r="A3054" i="50"/>
  <c r="A3056" i="50"/>
  <c r="A3058" i="50"/>
  <c r="A3060" i="50"/>
  <c r="A3062" i="50"/>
  <c r="A3064" i="50"/>
  <c r="A3066" i="50"/>
  <c r="A3068" i="50"/>
  <c r="A3070" i="50"/>
  <c r="A3072" i="50"/>
  <c r="A3074" i="50"/>
  <c r="A3076" i="50"/>
  <c r="A3078" i="50"/>
  <c r="A3080" i="50"/>
  <c r="A3082" i="50"/>
  <c r="A3084" i="50"/>
  <c r="A3086" i="50"/>
  <c r="A3088" i="50"/>
  <c r="A3090" i="50"/>
  <c r="A3092" i="50"/>
  <c r="A3094" i="50"/>
  <c r="A3096" i="50"/>
  <c r="A3098" i="50"/>
  <c r="A3100" i="50"/>
  <c r="A3102" i="50"/>
  <c r="A3104" i="50"/>
  <c r="A3106" i="50"/>
  <c r="A3108" i="50"/>
  <c r="A3110" i="50"/>
  <c r="A3112" i="50"/>
  <c r="A3114" i="50"/>
  <c r="A3116" i="50"/>
  <c r="A3118" i="50"/>
  <c r="A3120" i="50"/>
  <c r="A3122" i="50"/>
  <c r="A3124" i="50"/>
  <c r="A3126" i="50"/>
  <c r="A3128" i="50"/>
  <c r="A3130" i="50"/>
  <c r="A3132" i="50"/>
  <c r="A3134" i="50"/>
  <c r="A3136" i="50"/>
  <c r="A3138" i="50"/>
  <c r="A3140" i="50"/>
  <c r="A3142" i="50"/>
  <c r="A3144" i="50"/>
  <c r="A3146" i="50"/>
  <c r="A3148" i="50"/>
  <c r="A3150" i="50"/>
  <c r="A3152" i="50"/>
  <c r="A3154" i="50"/>
  <c r="A3156" i="50"/>
  <c r="A3158" i="50"/>
  <c r="A3160" i="50"/>
  <c r="A3162" i="50"/>
  <c r="A3164" i="50"/>
  <c r="A3166" i="50"/>
  <c r="A3168" i="50"/>
  <c r="A3170" i="50"/>
  <c r="A3172" i="50"/>
  <c r="A3174" i="50"/>
  <c r="A3176" i="50"/>
  <c r="A3178" i="50"/>
  <c r="A3180" i="50"/>
  <c r="A3182" i="50"/>
  <c r="A3184" i="50"/>
  <c r="A3186" i="50"/>
  <c r="A3188" i="50"/>
  <c r="A3190" i="50"/>
  <c r="A3192" i="50"/>
  <c r="A3194" i="50"/>
  <c r="A3196" i="50"/>
  <c r="A3198" i="50"/>
  <c r="A3200" i="50"/>
  <c r="A3202" i="50"/>
  <c r="A3204" i="50"/>
  <c r="A3206" i="50"/>
  <c r="A3208" i="50"/>
  <c r="A3210" i="50"/>
  <c r="A3212" i="50"/>
  <c r="A3214" i="50"/>
  <c r="A3216" i="50"/>
  <c r="A3218" i="50"/>
  <c r="A3220" i="50"/>
  <c r="A3222" i="50"/>
  <c r="A3224" i="50"/>
  <c r="A3226" i="50"/>
  <c r="A3228" i="50"/>
  <c r="A3230" i="50"/>
  <c r="A3232" i="50"/>
  <c r="A3234" i="50"/>
  <c r="A3236" i="50"/>
  <c r="A3238" i="50"/>
  <c r="A3240" i="50"/>
  <c r="A3242" i="50"/>
  <c r="A3244" i="50"/>
  <c r="A3246" i="50"/>
  <c r="A3248" i="50"/>
  <c r="A3250" i="50"/>
  <c r="A3252" i="50"/>
  <c r="A3254" i="50"/>
  <c r="A3256" i="50"/>
  <c r="A3258" i="50"/>
  <c r="A3260" i="50"/>
  <c r="A3262" i="50"/>
  <c r="A3264" i="50"/>
  <c r="A3266" i="50"/>
  <c r="A3268" i="50"/>
  <c r="A3270" i="50"/>
  <c r="A3272" i="50"/>
  <c r="A3274" i="50"/>
  <c r="A3276" i="50"/>
  <c r="A3278" i="50"/>
  <c r="A3280" i="50"/>
  <c r="A3282" i="50"/>
  <c r="A3284" i="50"/>
  <c r="A3286" i="50"/>
  <c r="A3288" i="50"/>
  <c r="A3290" i="50"/>
  <c r="A3292" i="50"/>
  <c r="A3294" i="50"/>
  <c r="A3296" i="50"/>
  <c r="A3298" i="50"/>
  <c r="A3300" i="50"/>
  <c r="A3302" i="50"/>
  <c r="A3304" i="50"/>
  <c r="A3306" i="50"/>
  <c r="A3308" i="50"/>
  <c r="A3310" i="50"/>
  <c r="A3312" i="50"/>
  <c r="A3314" i="50"/>
  <c r="A3316" i="50"/>
  <c r="A3318" i="50"/>
  <c r="A3320" i="50"/>
  <c r="A3322" i="50"/>
  <c r="A3324" i="50"/>
  <c r="A3326" i="50"/>
  <c r="A3328" i="50"/>
  <c r="A3330" i="50"/>
  <c r="A3332" i="50"/>
  <c r="A3334" i="50"/>
  <c r="A3336" i="50"/>
  <c r="A3338" i="50"/>
  <c r="A3340" i="50"/>
  <c r="A3342" i="50"/>
  <c r="A3344" i="50"/>
  <c r="A3346" i="50"/>
  <c r="A3348" i="50"/>
  <c r="A3350" i="50"/>
  <c r="A3352" i="50"/>
  <c r="A3354" i="50"/>
  <c r="A3356" i="50"/>
  <c r="A3358" i="50"/>
  <c r="A3360" i="50"/>
  <c r="A3362" i="50"/>
  <c r="A3364" i="50"/>
  <c r="A3366" i="50"/>
  <c r="A3368" i="50"/>
  <c r="A3370" i="50"/>
  <c r="A3372" i="50"/>
  <c r="A3374" i="50"/>
  <c r="A3376" i="50"/>
  <c r="A3378" i="50"/>
  <c r="A3380" i="50"/>
  <c r="A3382" i="50"/>
  <c r="A3384" i="50"/>
  <c r="A3386" i="50"/>
  <c r="A3388" i="50"/>
  <c r="A3390" i="50"/>
  <c r="A3392" i="50"/>
  <c r="A3394" i="50"/>
  <c r="A3396" i="50"/>
  <c r="A3398" i="50"/>
  <c r="A3400" i="50"/>
  <c r="A3402" i="50"/>
  <c r="A3404" i="50"/>
  <c r="A3406" i="50"/>
  <c r="A3408" i="50"/>
  <c r="A3410" i="50"/>
  <c r="A3412" i="50"/>
  <c r="A3414" i="50"/>
  <c r="A3416" i="50"/>
  <c r="A3418" i="50"/>
  <c r="A3420" i="50"/>
  <c r="A3422" i="50"/>
  <c r="A3424" i="50"/>
  <c r="A3426" i="50"/>
  <c r="A3428" i="50"/>
  <c r="A3430" i="50"/>
  <c r="A3432" i="50"/>
  <c r="A3434" i="50"/>
  <c r="A3436" i="50"/>
  <c r="A3438" i="50"/>
  <c r="A3440" i="50"/>
  <c r="A3442" i="50"/>
  <c r="A3444" i="50"/>
  <c r="A3446" i="50"/>
  <c r="A3448" i="50"/>
  <c r="A3450" i="50"/>
  <c r="A3452" i="50"/>
  <c r="A3454" i="50"/>
  <c r="A3456" i="50"/>
  <c r="A3458" i="50"/>
  <c r="A3460" i="50"/>
  <c r="A3462" i="50"/>
  <c r="A3464" i="50"/>
  <c r="A3466" i="50"/>
  <c r="A3468" i="50"/>
  <c r="A3470" i="50"/>
  <c r="A3472" i="50"/>
  <c r="A3474" i="50"/>
  <c r="A3476" i="50"/>
  <c r="A3478" i="50"/>
  <c r="A3480" i="50"/>
  <c r="A3482" i="50"/>
  <c r="A3484" i="50"/>
  <c r="A3486" i="50"/>
  <c r="A3488" i="50"/>
  <c r="A3490" i="50"/>
  <c r="A3492" i="50"/>
  <c r="A3494" i="50"/>
  <c r="A3496" i="50"/>
  <c r="A3498" i="50"/>
  <c r="A3500" i="50"/>
  <c r="A3502" i="50"/>
  <c r="A3504" i="50"/>
  <c r="A3506" i="50"/>
  <c r="A3508" i="50"/>
  <c r="A3510" i="50"/>
  <c r="A3512" i="50"/>
  <c r="A3514" i="50"/>
  <c r="A3516" i="50"/>
  <c r="A3518" i="50"/>
  <c r="A3520" i="50"/>
  <c r="A3522" i="50"/>
  <c r="A3524" i="50"/>
  <c r="A3526" i="50"/>
  <c r="A3528" i="50"/>
  <c r="A3530" i="50"/>
  <c r="A3532" i="50"/>
  <c r="A3534" i="50"/>
  <c r="A3536" i="50"/>
  <c r="A3538" i="50"/>
  <c r="A3540" i="50"/>
  <c r="A3542" i="50"/>
  <c r="A3544" i="50"/>
  <c r="A3546" i="50"/>
  <c r="A3548" i="50"/>
  <c r="A3550" i="50"/>
  <c r="A3552" i="50"/>
  <c r="A3554" i="50"/>
  <c r="A3556" i="50"/>
  <c r="A3558" i="50"/>
  <c r="A3560" i="50"/>
  <c r="A3562" i="50"/>
  <c r="A3564" i="50"/>
  <c r="A3566" i="50"/>
  <c r="A3568" i="50"/>
  <c r="A3570" i="50"/>
  <c r="A3572" i="50"/>
  <c r="A3574" i="50"/>
  <c r="A3576" i="50"/>
  <c r="A3578" i="50"/>
  <c r="A3580" i="50"/>
  <c r="A3582" i="50"/>
  <c r="A3584" i="50"/>
  <c r="A3586" i="50"/>
  <c r="A3588" i="50"/>
  <c r="A3590" i="50"/>
  <c r="A3592" i="50"/>
  <c r="A3594" i="50"/>
  <c r="A3596" i="50"/>
  <c r="A3598" i="50"/>
  <c r="A3600" i="50"/>
  <c r="A3602" i="50"/>
  <c r="A3604" i="50"/>
  <c r="A3606" i="50"/>
  <c r="A3608" i="50"/>
  <c r="A3610" i="50"/>
  <c r="A3612" i="50"/>
  <c r="A3614" i="50"/>
  <c r="A3616" i="50"/>
  <c r="A3618" i="50"/>
  <c r="A3620" i="50"/>
  <c r="A3622" i="50"/>
  <c r="A3624" i="50"/>
  <c r="A3626" i="50"/>
  <c r="A3628" i="50"/>
  <c r="A3630" i="50"/>
  <c r="A3632" i="50"/>
  <c r="A3634" i="50"/>
  <c r="A3636" i="50"/>
  <c r="A3638" i="50"/>
  <c r="A3640" i="50"/>
  <c r="A3642" i="50"/>
  <c r="A3644" i="50"/>
  <c r="A3646" i="50"/>
  <c r="A3648" i="50"/>
  <c r="A3650" i="50"/>
  <c r="A3652" i="50"/>
  <c r="A3654" i="50"/>
  <c r="A3656" i="50"/>
  <c r="A3658" i="50"/>
  <c r="A3660" i="50"/>
  <c r="A3662" i="50"/>
  <c r="A3664" i="50"/>
  <c r="A3666" i="50"/>
  <c r="A3668" i="50"/>
  <c r="A3670" i="50"/>
  <c r="A3672" i="50"/>
  <c r="A3674" i="50"/>
  <c r="A3676" i="50"/>
  <c r="A3678" i="50"/>
  <c r="A3680" i="50"/>
  <c r="A3682" i="50"/>
  <c r="A3684" i="50"/>
  <c r="A3686" i="50"/>
  <c r="A3688" i="50"/>
  <c r="A3690" i="50"/>
  <c r="A3692" i="50"/>
  <c r="A3694" i="50"/>
  <c r="A3696" i="50"/>
  <c r="A3698" i="50"/>
  <c r="A3700" i="50"/>
  <c r="A3702" i="50"/>
  <c r="A3704" i="50"/>
  <c r="A3706" i="50"/>
  <c r="A3708" i="50"/>
  <c r="A3710" i="50"/>
  <c r="A3712" i="50"/>
  <c r="A3714" i="50"/>
  <c r="A3716" i="50"/>
  <c r="A3718" i="50"/>
  <c r="A1845" i="50"/>
  <c r="A1853" i="50"/>
  <c r="A1861" i="50"/>
  <c r="A1869" i="50"/>
  <c r="A1877" i="50"/>
  <c r="A1885" i="50"/>
  <c r="A1893" i="50"/>
  <c r="A2213" i="50"/>
  <c r="A2221" i="50"/>
  <c r="A2229" i="50"/>
  <c r="A2237" i="50"/>
  <c r="A2245" i="50"/>
  <c r="A2253" i="50"/>
  <c r="A2261" i="50"/>
  <c r="A2269" i="50"/>
  <c r="A2277" i="50"/>
  <c r="A2285" i="50"/>
  <c r="A2293" i="50"/>
  <c r="A2301" i="50"/>
  <c r="A2309" i="50"/>
  <c r="A2317" i="50"/>
  <c r="A2325" i="50"/>
  <c r="A2333" i="50"/>
  <c r="A2341" i="50"/>
  <c r="A2349" i="50"/>
  <c r="A2357" i="50"/>
  <c r="A2365" i="50"/>
  <c r="A2373" i="50"/>
  <c r="A2381" i="50"/>
  <c r="A2389" i="50"/>
  <c r="A2397" i="50"/>
  <c r="A2405" i="50"/>
  <c r="A2413" i="50"/>
  <c r="A2421" i="50"/>
  <c r="A2429" i="50"/>
  <c r="A2437" i="50"/>
  <c r="A2445" i="50"/>
  <c r="A2453" i="50"/>
  <c r="A2461" i="50"/>
  <c r="A2469" i="50"/>
  <c r="A2477" i="50"/>
  <c r="A2485" i="50"/>
  <c r="A2493" i="50"/>
  <c r="A2501" i="50"/>
  <c r="A2509" i="50"/>
  <c r="A2517" i="50"/>
  <c r="A2525" i="50"/>
  <c r="A2527" i="50"/>
  <c r="A2529" i="50"/>
  <c r="A2531" i="50"/>
  <c r="A2533" i="50"/>
  <c r="A2535" i="50"/>
  <c r="A2537" i="50"/>
  <c r="A2539" i="50"/>
  <c r="A2541" i="50"/>
  <c r="A2543" i="50"/>
  <c r="A2545" i="50"/>
  <c r="A2547" i="50"/>
  <c r="A2549" i="50"/>
  <c r="A2551" i="50"/>
  <c r="A2553" i="50"/>
  <c r="A2555" i="50"/>
  <c r="A2557" i="50"/>
  <c r="A2559" i="50"/>
  <c r="A2561" i="50"/>
  <c r="A2563" i="50"/>
  <c r="A2565" i="50"/>
  <c r="A2567" i="50"/>
  <c r="A2569" i="50"/>
  <c r="A2571" i="50"/>
  <c r="A2573" i="50"/>
  <c r="A2575" i="50"/>
  <c r="A2577" i="50"/>
  <c r="A2579" i="50"/>
  <c r="A2581" i="50"/>
  <c r="A2583" i="50"/>
  <c r="A2585" i="50"/>
  <c r="A2587" i="50"/>
  <c r="A2589" i="50"/>
  <c r="A2591" i="50"/>
  <c r="A2593" i="50"/>
  <c r="A2595" i="50"/>
  <c r="A2597" i="50"/>
  <c r="A2599" i="50"/>
  <c r="A2601" i="50"/>
  <c r="A2603" i="50"/>
  <c r="A2605" i="50"/>
  <c r="A2607" i="50"/>
  <c r="A2609" i="50"/>
  <c r="A2611" i="50"/>
  <c r="A2613" i="50"/>
  <c r="A2615" i="50"/>
  <c r="A2617" i="50"/>
  <c r="A2619" i="50"/>
  <c r="A2621" i="50"/>
  <c r="A2623" i="50"/>
  <c r="A2625" i="50"/>
  <c r="A2627" i="50"/>
  <c r="A2629" i="50"/>
  <c r="A2631" i="50"/>
  <c r="A2633" i="50"/>
  <c r="A2635" i="50"/>
  <c r="A2637" i="50"/>
  <c r="A2639" i="50"/>
  <c r="A2641" i="50"/>
  <c r="A2643" i="50"/>
  <c r="A2645" i="50"/>
  <c r="A2647" i="50"/>
  <c r="A2649" i="50"/>
  <c r="A2651" i="50"/>
  <c r="A2653" i="50"/>
  <c r="A2655" i="50"/>
  <c r="A2657" i="50"/>
  <c r="A2659" i="50"/>
  <c r="A2661" i="50"/>
  <c r="A2663" i="50"/>
  <c r="A2665" i="50"/>
  <c r="A2667" i="50"/>
  <c r="A2669" i="50"/>
  <c r="A2671" i="50"/>
  <c r="A2673" i="50"/>
  <c r="A2675" i="50"/>
  <c r="A2677" i="50"/>
  <c r="A2679" i="50"/>
  <c r="A2681" i="50"/>
  <c r="A2683" i="50"/>
  <c r="A2685" i="50"/>
  <c r="A2687" i="50"/>
  <c r="A2689" i="50"/>
  <c r="A2691" i="50"/>
  <c r="A2693" i="50"/>
  <c r="A2695" i="50"/>
  <c r="A2697" i="50"/>
  <c r="A2699" i="50"/>
  <c r="A2701" i="50"/>
  <c r="A2703" i="50"/>
  <c r="A2705" i="50"/>
  <c r="A2707" i="50"/>
  <c r="A2709" i="50"/>
  <c r="A2711" i="50"/>
  <c r="A2713" i="50"/>
  <c r="A2715" i="50"/>
  <c r="A2717" i="50"/>
  <c r="A2719" i="50"/>
  <c r="A2721" i="50"/>
  <c r="A2723" i="50"/>
  <c r="A2725" i="50"/>
  <c r="A2727" i="50"/>
  <c r="A2729" i="50"/>
  <c r="A2731" i="50"/>
  <c r="A2733" i="50"/>
  <c r="A2735" i="50"/>
  <c r="A2737" i="50"/>
  <c r="A2739" i="50"/>
  <c r="A2741" i="50"/>
  <c r="A2743" i="50"/>
  <c r="A2745" i="50"/>
  <c r="A2747" i="50"/>
  <c r="A2749" i="50"/>
  <c r="A2751" i="50"/>
  <c r="A2753" i="50"/>
  <c r="A2755" i="50"/>
  <c r="A2757" i="50"/>
  <c r="A2759" i="50"/>
  <c r="A2761" i="50"/>
  <c r="A2763" i="50"/>
  <c r="A2765" i="50"/>
  <c r="A2767" i="50"/>
  <c r="A2769" i="50"/>
  <c r="A2771" i="50"/>
  <c r="A2773" i="50"/>
  <c r="A2775" i="50"/>
  <c r="A2777" i="50"/>
  <c r="A2779" i="50"/>
  <c r="A2781" i="50"/>
  <c r="A2783" i="50"/>
  <c r="A2785" i="50"/>
  <c r="A2787" i="50"/>
  <c r="A2789" i="50"/>
  <c r="A2791" i="50"/>
  <c r="A2793" i="50"/>
  <c r="A2795" i="50"/>
  <c r="A2797" i="50"/>
  <c r="A2799" i="50"/>
  <c r="A2801" i="50"/>
  <c r="A2803" i="50"/>
  <c r="A2805" i="50"/>
  <c r="A2807" i="50"/>
  <c r="A2809" i="50"/>
  <c r="A2811" i="50"/>
  <c r="A2813" i="50"/>
  <c r="A2815" i="50"/>
  <c r="A2817" i="50"/>
  <c r="A2819" i="50"/>
  <c r="A2821" i="50"/>
  <c r="A2823" i="50"/>
  <c r="A2825" i="50"/>
  <c r="A2827" i="50"/>
  <c r="A2829" i="50"/>
  <c r="A2831" i="50"/>
  <c r="A2833" i="50"/>
  <c r="A2835" i="50"/>
  <c r="A2837" i="50"/>
  <c r="A2839" i="50"/>
  <c r="A2841" i="50"/>
  <c r="A2843" i="50"/>
  <c r="A2845" i="50"/>
  <c r="A2847" i="50"/>
  <c r="A2849" i="50"/>
  <c r="A2851" i="50"/>
  <c r="A2853" i="50"/>
  <c r="A2855" i="50"/>
  <c r="A2857" i="50"/>
  <c r="A2859" i="50"/>
  <c r="A2861" i="50"/>
  <c r="A2863" i="50"/>
  <c r="A2865" i="50"/>
  <c r="A2867" i="50"/>
  <c r="A2869" i="50"/>
  <c r="A2871" i="50"/>
  <c r="A2873" i="50"/>
  <c r="A2875" i="50"/>
  <c r="A2877" i="50"/>
  <c r="A2879" i="50"/>
  <c r="A2881" i="50"/>
  <c r="A2883" i="50"/>
  <c r="A2885" i="50"/>
  <c r="A2887" i="50"/>
  <c r="A2889" i="50"/>
  <c r="A2891" i="50"/>
  <c r="A2893" i="50"/>
  <c r="A2895" i="50"/>
  <c r="A2897" i="50"/>
  <c r="A2899" i="50"/>
  <c r="A2901" i="50"/>
  <c r="A2903" i="50"/>
  <c r="A2905" i="50"/>
  <c r="A2907" i="50"/>
  <c r="A2909" i="50"/>
  <c r="A2911" i="50"/>
  <c r="A2913" i="50"/>
  <c r="A2915" i="50"/>
  <c r="A2917" i="50"/>
  <c r="A2919" i="50"/>
  <c r="A2921" i="50"/>
  <c r="A2923" i="50"/>
  <c r="A2925" i="50"/>
  <c r="A2927" i="50"/>
  <c r="A2929" i="50"/>
  <c r="A2931" i="50"/>
  <c r="A2933" i="50"/>
  <c r="A2935" i="50"/>
  <c r="A2937" i="50"/>
  <c r="A2939" i="50"/>
  <c r="A2941" i="50"/>
  <c r="A2943" i="50"/>
  <c r="A2945" i="50"/>
  <c r="A2947" i="50"/>
  <c r="A2949" i="50"/>
  <c r="A2951" i="50"/>
  <c r="A2953" i="50"/>
  <c r="A2955" i="50"/>
  <c r="A2957" i="50"/>
  <c r="A2959" i="50"/>
  <c r="A2961" i="50"/>
  <c r="A2963" i="50"/>
  <c r="A2965" i="50"/>
  <c r="A2967" i="50"/>
  <c r="A2969" i="50"/>
  <c r="A2971" i="50"/>
  <c r="A2973" i="50"/>
  <c r="A2975" i="50"/>
  <c r="A2977" i="50"/>
  <c r="A2979" i="50"/>
  <c r="A2981" i="50"/>
  <c r="A2983" i="50"/>
  <c r="A2985" i="50"/>
  <c r="A2987" i="50"/>
  <c r="A2989" i="50"/>
  <c r="A2991" i="50"/>
  <c r="A2993" i="50"/>
  <c r="A2995" i="50"/>
  <c r="A2997" i="50"/>
  <c r="A2999" i="50"/>
  <c r="A3001" i="50"/>
  <c r="A3003" i="50"/>
  <c r="A3005" i="50"/>
  <c r="A3007" i="50"/>
  <c r="A3009" i="50"/>
  <c r="A3011" i="50"/>
  <c r="A3013" i="50"/>
  <c r="A3015" i="50"/>
  <c r="A3017" i="50"/>
  <c r="A3019" i="50"/>
  <c r="A3021" i="50"/>
  <c r="A3023" i="50"/>
  <c r="A3025" i="50"/>
  <c r="A3027" i="50"/>
  <c r="A3029" i="50"/>
  <c r="A3031" i="50"/>
  <c r="A3033" i="50"/>
  <c r="A3035" i="50"/>
  <c r="A3037" i="50"/>
  <c r="A3039" i="50"/>
  <c r="A3041" i="50"/>
  <c r="A3043" i="50"/>
  <c r="A3045" i="50"/>
  <c r="A3047" i="50"/>
  <c r="A3049" i="50"/>
  <c r="A3051" i="50"/>
  <c r="A3053" i="50"/>
  <c r="A3055" i="50"/>
  <c r="A3057" i="50"/>
  <c r="A3059" i="50"/>
  <c r="A3061" i="50"/>
  <c r="A3063" i="50"/>
  <c r="A3065" i="50"/>
  <c r="A3067" i="50"/>
  <c r="A3069" i="50"/>
  <c r="A3071" i="50"/>
  <c r="A3073" i="50"/>
  <c r="A3075" i="50"/>
  <c r="A3077" i="50"/>
  <c r="A3079" i="50"/>
  <c r="A3081" i="50"/>
  <c r="A3083" i="50"/>
  <c r="A3085" i="50"/>
  <c r="A3087" i="50"/>
  <c r="A3089" i="50"/>
  <c r="A3091" i="50"/>
  <c r="A3093" i="50"/>
  <c r="A3095" i="50"/>
  <c r="A3097" i="50"/>
  <c r="A3099" i="50"/>
  <c r="A3101" i="50"/>
  <c r="A3103" i="50"/>
  <c r="A3105" i="50"/>
  <c r="A3107" i="50"/>
  <c r="A3109" i="50"/>
  <c r="A3111" i="50"/>
  <c r="A3113" i="50"/>
  <c r="A3115" i="50"/>
  <c r="A3117" i="50"/>
  <c r="A3119" i="50"/>
  <c r="A3121" i="50"/>
  <c r="A3123" i="50"/>
  <c r="A3125" i="50"/>
  <c r="A3127" i="50"/>
  <c r="A3129" i="50"/>
  <c r="A3131" i="50"/>
  <c r="A3133" i="50"/>
  <c r="A3135" i="50"/>
  <c r="A3137" i="50"/>
  <c r="A3139" i="50"/>
  <c r="A3141" i="50"/>
  <c r="A3143" i="50"/>
  <c r="A3145" i="50"/>
  <c r="A3147" i="50"/>
  <c r="A3149" i="50"/>
  <c r="A3151" i="50"/>
  <c r="A3153" i="50"/>
  <c r="A3155" i="50"/>
  <c r="A3157" i="50"/>
  <c r="A3159" i="50"/>
  <c r="A3161" i="50"/>
  <c r="A3163" i="50"/>
  <c r="A3165" i="50"/>
  <c r="A3167" i="50"/>
  <c r="A3169" i="50"/>
  <c r="A3171" i="50"/>
  <c r="A3173" i="50"/>
  <c r="A3175" i="50"/>
  <c r="A3177" i="50"/>
  <c r="A3179" i="50"/>
  <c r="A3181" i="50"/>
  <c r="A3183" i="50"/>
  <c r="A3185" i="50"/>
  <c r="A3187" i="50"/>
  <c r="A3189" i="50"/>
  <c r="A3191" i="50"/>
  <c r="A3193" i="50"/>
  <c r="A3195" i="50"/>
  <c r="A3197" i="50"/>
  <c r="A3199" i="50"/>
  <c r="A3201" i="50"/>
  <c r="A3203" i="50"/>
  <c r="A3205" i="50"/>
  <c r="A3207" i="50"/>
  <c r="A3209" i="50"/>
  <c r="A3211" i="50"/>
  <c r="A3213" i="50"/>
  <c r="A3215" i="50"/>
  <c r="A3217" i="50"/>
  <c r="A3219" i="50"/>
  <c r="A3221" i="50"/>
  <c r="A3223" i="50"/>
  <c r="A3225" i="50"/>
  <c r="A3227" i="50"/>
  <c r="A3229" i="50"/>
  <c r="A3231" i="50"/>
  <c r="A3233" i="50"/>
  <c r="A3235" i="50"/>
  <c r="A3237" i="50"/>
  <c r="A3239" i="50"/>
  <c r="A3241" i="50"/>
  <c r="A3243" i="50"/>
  <c r="A3245" i="50"/>
  <c r="A3247" i="50"/>
  <c r="A3249" i="50"/>
  <c r="A3251" i="50"/>
  <c r="A3253" i="50"/>
  <c r="A3255" i="50"/>
  <c r="A3257" i="50"/>
  <c r="A3259" i="50"/>
  <c r="A3261" i="50"/>
  <c r="A3263" i="50"/>
  <c r="A3265" i="50"/>
  <c r="A3267" i="50"/>
  <c r="A3269" i="50"/>
  <c r="A3271" i="50"/>
  <c r="A3273" i="50"/>
  <c r="A3275" i="50"/>
  <c r="A3277" i="50"/>
  <c r="A3279" i="50"/>
  <c r="A3281" i="50"/>
  <c r="A3283" i="50"/>
  <c r="A3285" i="50"/>
  <c r="A3287" i="50"/>
  <c r="A3289" i="50"/>
  <c r="A3291" i="50"/>
  <c r="A3293" i="50"/>
  <c r="A3295" i="50"/>
  <c r="A3297" i="50"/>
  <c r="A3299" i="50"/>
  <c r="A3301" i="50"/>
  <c r="A3303" i="50"/>
  <c r="A3305" i="50"/>
  <c r="A3307" i="50"/>
  <c r="A3309" i="50"/>
  <c r="A3311" i="50"/>
  <c r="A3313" i="50"/>
  <c r="A3315" i="50"/>
  <c r="A3317" i="50"/>
  <c r="A3319" i="50"/>
  <c r="A3321" i="50"/>
  <c r="A3323" i="50"/>
  <c r="A3325" i="50"/>
  <c r="A3327" i="50"/>
  <c r="A3329" i="50"/>
  <c r="A3331" i="50"/>
  <c r="A3333" i="50"/>
  <c r="A3335" i="50"/>
  <c r="A3337" i="50"/>
  <c r="A3339" i="50"/>
  <c r="A3341" i="50"/>
  <c r="A3343" i="50"/>
  <c r="A3345" i="50"/>
  <c r="A3347" i="50"/>
  <c r="A3349" i="50"/>
  <c r="A3351" i="50"/>
  <c r="A3353" i="50"/>
  <c r="A3355" i="50"/>
  <c r="A3357" i="50"/>
  <c r="A3359" i="50"/>
  <c r="A3361" i="50"/>
  <c r="A3363" i="50"/>
  <c r="A3365" i="50"/>
  <c r="A3367" i="50"/>
  <c r="A3369" i="50"/>
  <c r="A3371" i="50"/>
  <c r="A3373" i="50"/>
  <c r="A3375" i="50"/>
  <c r="A3377" i="50"/>
  <c r="A3379" i="50"/>
  <c r="A3381" i="50"/>
  <c r="A3383" i="50"/>
  <c r="A3385" i="50"/>
  <c r="A3387" i="50"/>
  <c r="A3389" i="50"/>
  <c r="A3391" i="50"/>
  <c r="A3393" i="50"/>
  <c r="A3395" i="50"/>
  <c r="A3397" i="50"/>
  <c r="A3399" i="50"/>
  <c r="A3401" i="50"/>
  <c r="A3403" i="50"/>
  <c r="A3405" i="50"/>
  <c r="A3407" i="50"/>
  <c r="A3409" i="50"/>
  <c r="A3411" i="50"/>
  <c r="A3413" i="50"/>
  <c r="A3415" i="50"/>
  <c r="A3417" i="50"/>
  <c r="A3419" i="50"/>
  <c r="A3421" i="50"/>
  <c r="A3423" i="50"/>
  <c r="A3425" i="50"/>
  <c r="A3427" i="50"/>
  <c r="A3429" i="50"/>
  <c r="A3431" i="50"/>
  <c r="A3433" i="50"/>
  <c r="A3435" i="50"/>
  <c r="A3437" i="50"/>
  <c r="A3439" i="50"/>
  <c r="A3441" i="50"/>
  <c r="A3443" i="50"/>
  <c r="A3445" i="50"/>
  <c r="A3447" i="50"/>
  <c r="A3449" i="50"/>
  <c r="A3451" i="50"/>
  <c r="A3453" i="50"/>
  <c r="A3455" i="50"/>
  <c r="A3457" i="50"/>
  <c r="A3459" i="50"/>
  <c r="A3461" i="50"/>
  <c r="A3463" i="50"/>
  <c r="A3465" i="50"/>
  <c r="A3467" i="50"/>
  <c r="A3469" i="50"/>
  <c r="A3471" i="50"/>
  <c r="A3473" i="50"/>
  <c r="A3475" i="50"/>
  <c r="A3477" i="50"/>
  <c r="A3479" i="50"/>
  <c r="A3481" i="50"/>
  <c r="A3483" i="50"/>
  <c r="A3485" i="50"/>
  <c r="A3487" i="50"/>
  <c r="A3489" i="50"/>
  <c r="A3491" i="50"/>
  <c r="A3493" i="50"/>
  <c r="A3495" i="50"/>
  <c r="A3497" i="50"/>
  <c r="A3499" i="50"/>
  <c r="A3501" i="50"/>
  <c r="A3503" i="50"/>
  <c r="A3505" i="50"/>
  <c r="A3507" i="50"/>
  <c r="A3509" i="50"/>
  <c r="A3511" i="50"/>
  <c r="A3513" i="50"/>
  <c r="A3515" i="50"/>
  <c r="A3517" i="50"/>
  <c r="A3519" i="50"/>
  <c r="A3521" i="50"/>
  <c r="A3523" i="50"/>
  <c r="A3525" i="50"/>
  <c r="A3527" i="50"/>
  <c r="A3529" i="50"/>
  <c r="A3531" i="50"/>
  <c r="A3533" i="50"/>
  <c r="A3535" i="50"/>
  <c r="A3537" i="50"/>
  <c r="A3539" i="50"/>
  <c r="A3541" i="50"/>
  <c r="A3543" i="50"/>
  <c r="A3545" i="50"/>
  <c r="A3547" i="50"/>
  <c r="A3549" i="50"/>
  <c r="A3551" i="50"/>
  <c r="A3553" i="50"/>
  <c r="A3555" i="50"/>
  <c r="A3557" i="50"/>
  <c r="A3559" i="50"/>
  <c r="A3561" i="50"/>
  <c r="A3563" i="50"/>
  <c r="A3565" i="50"/>
  <c r="A3567" i="50"/>
  <c r="A3569" i="50"/>
  <c r="A3571" i="50"/>
  <c r="A3573" i="50"/>
  <c r="A3575" i="50"/>
  <c r="A3577" i="50"/>
  <c r="A3579" i="50"/>
  <c r="A3581" i="50"/>
  <c r="A3583" i="50"/>
  <c r="A3585" i="50"/>
  <c r="A3587" i="50"/>
  <c r="A3589" i="50"/>
  <c r="A3591" i="50"/>
  <c r="A3593" i="50"/>
  <c r="A3595" i="50"/>
  <c r="A3597" i="50"/>
  <c r="A3599" i="50"/>
  <c r="A3601" i="50"/>
  <c r="A3603" i="50"/>
  <c r="A3605" i="50"/>
  <c r="A3607" i="50"/>
  <c r="A3609" i="50"/>
  <c r="A3611" i="50"/>
  <c r="A3613" i="50"/>
  <c r="A3615" i="50"/>
  <c r="A3617" i="50"/>
  <c r="A3619" i="50"/>
  <c r="A3621" i="50"/>
  <c r="A3623" i="50"/>
  <c r="A3625" i="50"/>
  <c r="A3627" i="50"/>
  <c r="A3629" i="50"/>
  <c r="A3631" i="50"/>
  <c r="A3633" i="50"/>
  <c r="A3635" i="50"/>
  <c r="A3637" i="50"/>
  <c r="A3639" i="50"/>
  <c r="A3641" i="50"/>
  <c r="A3643" i="50"/>
  <c r="A3645" i="50"/>
  <c r="A3647" i="50"/>
  <c r="A3649" i="50"/>
  <c r="A3651" i="50"/>
  <c r="A3653" i="50"/>
  <c r="A3655" i="50"/>
  <c r="A3657" i="50"/>
  <c r="A3659" i="50"/>
  <c r="A3661" i="50"/>
  <c r="A3663" i="50"/>
  <c r="A3665" i="50"/>
  <c r="A3667" i="50"/>
  <c r="A3669" i="50"/>
  <c r="A3671" i="50"/>
  <c r="A3673" i="50"/>
  <c r="A3675" i="50"/>
  <c r="A3677" i="50"/>
  <c r="A3679" i="50"/>
  <c r="A3681" i="50"/>
  <c r="A3683" i="50"/>
  <c r="A3685" i="50"/>
  <c r="A3687" i="50"/>
  <c r="A3689" i="50"/>
  <c r="A3691" i="50"/>
  <c r="A3693" i="50"/>
  <c r="A3695" i="50"/>
  <c r="A3697" i="50"/>
  <c r="A3699" i="50"/>
  <c r="A3701" i="50"/>
  <c r="A3703" i="50"/>
  <c r="A3705" i="50"/>
  <c r="A3707" i="50"/>
  <c r="A3709" i="50"/>
  <c r="A3711" i="50"/>
  <c r="A3713" i="50"/>
  <c r="A3715" i="50"/>
  <c r="A3717" i="50"/>
  <c r="A1851" i="50"/>
  <c r="A1867" i="50"/>
  <c r="A1883" i="50"/>
  <c r="A2219" i="50"/>
  <c r="A2235" i="50"/>
  <c r="A2251" i="50"/>
  <c r="A2267" i="50"/>
  <c r="A2283" i="50"/>
  <c r="A2299" i="50"/>
  <c r="A2315" i="50"/>
  <c r="A2331" i="50"/>
  <c r="A2347" i="50"/>
  <c r="A2363" i="50"/>
  <c r="A2379" i="50"/>
  <c r="A2395" i="50"/>
  <c r="A2411" i="50"/>
  <c r="A2427" i="50"/>
  <c r="A2443" i="50"/>
  <c r="A2459" i="50"/>
  <c r="A2475" i="50"/>
  <c r="A2491" i="50"/>
  <c r="A2507" i="50"/>
  <c r="A2523" i="50"/>
  <c r="A1855" i="50"/>
  <c r="A1871" i="50"/>
  <c r="A1887" i="50"/>
  <c r="A2223" i="50"/>
  <c r="A2239" i="50"/>
  <c r="A2255" i="50"/>
  <c r="A2271" i="50"/>
  <c r="A2287" i="50"/>
  <c r="A2303" i="50"/>
  <c r="A2319" i="50"/>
  <c r="A2335" i="50"/>
  <c r="A2351" i="50"/>
  <c r="A2367" i="50"/>
  <c r="A2383" i="50"/>
  <c r="A2399" i="50"/>
  <c r="A2415" i="50"/>
  <c r="A2431" i="50"/>
  <c r="A2447" i="50"/>
  <c r="A2463" i="50"/>
  <c r="A2479" i="50"/>
  <c r="A2495" i="50"/>
  <c r="A2511" i="50"/>
  <c r="A3719" i="50"/>
  <c r="A3721" i="50"/>
  <c r="A3723" i="50"/>
  <c r="A3725" i="50"/>
  <c r="A3727" i="50"/>
  <c r="A3729" i="50"/>
  <c r="A3731" i="50"/>
  <c r="A3733" i="50"/>
  <c r="A3735" i="50"/>
  <c r="A3737" i="50"/>
  <c r="A3739" i="50"/>
  <c r="A3741" i="50"/>
  <c r="A3743" i="50"/>
  <c r="A3745" i="50"/>
  <c r="A3747" i="50"/>
  <c r="A3749" i="50"/>
  <c r="A3751" i="50"/>
  <c r="A3753" i="50"/>
  <c r="A3755" i="50"/>
  <c r="A3757" i="50"/>
  <c r="A3759" i="50"/>
  <c r="A3761" i="50"/>
  <c r="A3763" i="50"/>
  <c r="A3765" i="50"/>
  <c r="A3767" i="50"/>
  <c r="A3769" i="50"/>
  <c r="A3771" i="50"/>
  <c r="A3773" i="50"/>
  <c r="A3775" i="50"/>
  <c r="A3777" i="50"/>
  <c r="A3779" i="50"/>
  <c r="A3781" i="50"/>
  <c r="A3783" i="50"/>
  <c r="A3785" i="50"/>
  <c r="A3787" i="50"/>
  <c r="A3789" i="50"/>
  <c r="A3791" i="50"/>
  <c r="A3793" i="50"/>
  <c r="A3795" i="50"/>
  <c r="A3797" i="50"/>
  <c r="A3799" i="50"/>
  <c r="A3801" i="50"/>
  <c r="A3803" i="50"/>
  <c r="A3805" i="50"/>
  <c r="A3807" i="50"/>
  <c r="A3809" i="50"/>
  <c r="A3811" i="50"/>
  <c r="A3813" i="50"/>
  <c r="A3815" i="50"/>
  <c r="A3817" i="50"/>
  <c r="A3819" i="50"/>
  <c r="A3821" i="50"/>
  <c r="A3823" i="50"/>
  <c r="A3825" i="50"/>
  <c r="A3827" i="50"/>
  <c r="A3829" i="50"/>
  <c r="A3831" i="50"/>
  <c r="A3833" i="50"/>
  <c r="A3835" i="50"/>
  <c r="A3837" i="50"/>
  <c r="A3839" i="50"/>
  <c r="A3841" i="50"/>
  <c r="A3843" i="50"/>
  <c r="A3845" i="50"/>
  <c r="A3847" i="50"/>
  <c r="A3849" i="50"/>
  <c r="A3851" i="50"/>
  <c r="A3853" i="50"/>
  <c r="A3855" i="50"/>
  <c r="A3857" i="50"/>
  <c r="A3859" i="50"/>
  <c r="A3861" i="50"/>
  <c r="A3863" i="50"/>
  <c r="A3865" i="50"/>
  <c r="A3867" i="50"/>
  <c r="A3869" i="50"/>
  <c r="A3871" i="50"/>
  <c r="A3873" i="50"/>
  <c r="A3875" i="50"/>
  <c r="A3877" i="50"/>
  <c r="A3879" i="50"/>
  <c r="A3881" i="50"/>
  <c r="A3883" i="50"/>
  <c r="A3885" i="50"/>
  <c r="A3887" i="50"/>
  <c r="A3889" i="50"/>
  <c r="A3891" i="50"/>
  <c r="A3893" i="50"/>
  <c r="A3895" i="50"/>
  <c r="A3897" i="50"/>
  <c r="A3898" i="50" s="1"/>
  <c r="A3899" i="50"/>
  <c r="A3900" i="50" s="1"/>
  <c r="A3901" i="50" s="1"/>
  <c r="A3902" i="50" s="1"/>
  <c r="A3903" i="50" s="1"/>
  <c r="A3904" i="50" s="1"/>
  <c r="A3905" i="50" s="1"/>
  <c r="A3906" i="50" s="1"/>
  <c r="A3907" i="50" s="1"/>
  <c r="A3908" i="50" s="1"/>
  <c r="A3909" i="50" s="1"/>
  <c r="A3910" i="50" s="1"/>
  <c r="A3911" i="50" s="1"/>
  <c r="A3912" i="50" s="1"/>
  <c r="A3913" i="50" s="1"/>
  <c r="A3914" i="50" s="1"/>
  <c r="A3915" i="50" s="1"/>
  <c r="A3916" i="50" s="1"/>
  <c r="A3917" i="50" s="1"/>
  <c r="A3918" i="50" s="1"/>
  <c r="A3919" i="50" s="1"/>
  <c r="A3920" i="50" s="1"/>
  <c r="A3921" i="50" s="1"/>
  <c r="A3922" i="50" s="1"/>
  <c r="A3923" i="50" s="1"/>
  <c r="A3924" i="50" s="1"/>
  <c r="A3925" i="50" s="1"/>
  <c r="A3926" i="50" s="1"/>
  <c r="A3927" i="50" s="1"/>
  <c r="A3928" i="50" s="1"/>
  <c r="A3929" i="50" s="1"/>
  <c r="A3930" i="50" s="1"/>
  <c r="A3931" i="50" s="1"/>
  <c r="A3932" i="50" s="1"/>
  <c r="A3933" i="50" s="1"/>
  <c r="A3934" i="50" s="1"/>
  <c r="A3935" i="50" s="1"/>
  <c r="A3936" i="50" s="1"/>
  <c r="A3937" i="50" s="1"/>
  <c r="A3938" i="50" s="1"/>
  <c r="A3939" i="50" s="1"/>
  <c r="A3940" i="50" s="1"/>
  <c r="A3941" i="50" s="1"/>
  <c r="A3942" i="50" s="1"/>
  <c r="A3943" i="50" s="1"/>
  <c r="A3944" i="50" s="1"/>
  <c r="A3945" i="50" s="1"/>
  <c r="A3946" i="50" s="1"/>
  <c r="A3947" i="50" s="1"/>
  <c r="A3948" i="50" s="1"/>
  <c r="A3949" i="50" s="1"/>
  <c r="A3950" i="50" s="1"/>
  <c r="A3951" i="50" s="1"/>
  <c r="A3952" i="50" s="1"/>
  <c r="A3953" i="50" s="1"/>
  <c r="A3954" i="50" s="1"/>
  <c r="A3955" i="50" s="1"/>
  <c r="A3956" i="50" s="1"/>
  <c r="A3957" i="50" s="1"/>
  <c r="A3958" i="50" s="1"/>
  <c r="A3959" i="50" s="1"/>
  <c r="A3960" i="50" s="1"/>
  <c r="A3961" i="50" s="1"/>
  <c r="A3962" i="50" s="1"/>
  <c r="A3963" i="50" s="1"/>
  <c r="A3964" i="50" s="1"/>
  <c r="A3965" i="50" s="1"/>
  <c r="A3966" i="50" s="1"/>
  <c r="A3967" i="50" s="1"/>
  <c r="A3968" i="50" s="1"/>
  <c r="A3969" i="50" s="1"/>
  <c r="A3970" i="50" s="1"/>
  <c r="A3971" i="50" s="1"/>
  <c r="A3972" i="50" s="1"/>
  <c r="A3973" i="50" s="1"/>
  <c r="A3974" i="50" s="1"/>
  <c r="A3975" i="50" s="1"/>
  <c r="A3976" i="50" s="1"/>
  <c r="A3977" i="50" s="1"/>
  <c r="A3978" i="50" s="1"/>
  <c r="A3979" i="50" s="1"/>
  <c r="A3980" i="50" s="1"/>
  <c r="A3981" i="50" s="1"/>
  <c r="A3982" i="50" s="1"/>
  <c r="A3983" i="50" s="1"/>
  <c r="A3984" i="50" s="1"/>
  <c r="A3985" i="50" s="1"/>
  <c r="A3986" i="50" s="1"/>
  <c r="A3987" i="50" s="1"/>
  <c r="A3988" i="50" s="1"/>
  <c r="A3989" i="50" s="1"/>
  <c r="A3990" i="50" s="1"/>
  <c r="A3991" i="50" s="1"/>
  <c r="A3992" i="50" s="1"/>
  <c r="A3993" i="50" s="1"/>
  <c r="A3994" i="50" s="1"/>
  <c r="A3995" i="50" s="1"/>
  <c r="A3996" i="50" s="1"/>
  <c r="A3997" i="50" s="1"/>
  <c r="A3998" i="50" s="1"/>
  <c r="A3999" i="50" s="1"/>
  <c r="A4000" i="50" s="1"/>
  <c r="A4001" i="50" s="1"/>
  <c r="A4002" i="50" s="1"/>
  <c r="A4003" i="50" s="1"/>
  <c r="A4004" i="50" s="1"/>
  <c r="A4005" i="50" s="1"/>
  <c r="A4006" i="50" s="1"/>
  <c r="A4007" i="50" s="1"/>
  <c r="A4008" i="50" s="1"/>
  <c r="A4009" i="50" s="1"/>
  <c r="A4010" i="50" s="1"/>
  <c r="A4011" i="50" s="1"/>
  <c r="A4012" i="50" s="1"/>
  <c r="A4013" i="50" s="1"/>
  <c r="A4014" i="50" s="1"/>
  <c r="A4015" i="50" s="1"/>
  <c r="A4016" i="50" s="1"/>
  <c r="A4017" i="50" s="1"/>
  <c r="A4018" i="50" s="1"/>
  <c r="A4019" i="50" s="1"/>
  <c r="A4020" i="50" s="1"/>
  <c r="A4021" i="50" s="1"/>
  <c r="A4022" i="50" s="1"/>
  <c r="A4023" i="50" s="1"/>
  <c r="A4024" i="50" s="1"/>
  <c r="A4025" i="50" s="1"/>
  <c r="A4026" i="50" s="1"/>
  <c r="A4027" i="50" s="1"/>
  <c r="A4028" i="50" s="1"/>
  <c r="A4029" i="50" s="1"/>
  <c r="A4030" i="50" s="1"/>
  <c r="A4031" i="50" s="1"/>
  <c r="A4032" i="50" s="1"/>
  <c r="A4033" i="50" s="1"/>
  <c r="A4034" i="50" s="1"/>
  <c r="A4035" i="50" s="1"/>
  <c r="A4036" i="50" s="1"/>
  <c r="A4037" i="50" s="1"/>
  <c r="A4038" i="50" s="1"/>
  <c r="A4039" i="50" s="1"/>
  <c r="A4040" i="50" s="1"/>
  <c r="A4041" i="50" s="1"/>
  <c r="A4042" i="50" s="1"/>
  <c r="A4043" i="50" s="1"/>
  <c r="A4044" i="50" s="1"/>
  <c r="A4045" i="50" s="1"/>
  <c r="A4046" i="50" s="1"/>
  <c r="A4047" i="50" s="1"/>
  <c r="A4048" i="50" s="1"/>
  <c r="A4049" i="50" s="1"/>
  <c r="A4050" i="50" s="1"/>
  <c r="A4051" i="50" s="1"/>
  <c r="A4052" i="50" s="1"/>
  <c r="A4053" i="50" s="1"/>
  <c r="A4054" i="50" s="1"/>
  <c r="A4055" i="50" s="1"/>
  <c r="A4056" i="50" s="1"/>
  <c r="A4057" i="50" s="1"/>
  <c r="A4058" i="50" s="1"/>
  <c r="A4059" i="50" s="1"/>
  <c r="A4060" i="50" s="1"/>
  <c r="A4061" i="50" s="1"/>
  <c r="A4062" i="50" s="1"/>
  <c r="A4063" i="50" s="1"/>
  <c r="A4064" i="50" s="1"/>
  <c r="A4065" i="50" s="1"/>
  <c r="A4066" i="50" s="1"/>
  <c r="A4067" i="50" s="1"/>
  <c r="A4068" i="50" s="1"/>
  <c r="A4069" i="50" s="1"/>
  <c r="A4070" i="50" s="1"/>
  <c r="A4071" i="50" s="1"/>
  <c r="A4072" i="50" s="1"/>
  <c r="A4073" i="50" s="1"/>
  <c r="A4074" i="50" s="1"/>
  <c r="A4075" i="50" s="1"/>
  <c r="A4076" i="50" s="1"/>
  <c r="A4077" i="50" s="1"/>
  <c r="A4078" i="50" s="1"/>
  <c r="A4079" i="50" s="1"/>
  <c r="A4080" i="50" s="1"/>
  <c r="A4081" i="50" s="1"/>
  <c r="A4082" i="50" s="1"/>
  <c r="A4083" i="50" s="1"/>
  <c r="A4084" i="50" s="1"/>
  <c r="A4085" i="50" s="1"/>
  <c r="A4086" i="50" s="1"/>
  <c r="A4087" i="50" s="1"/>
  <c r="A4088" i="50" s="1"/>
  <c r="A4089" i="50" s="1"/>
  <c r="A4090" i="50" s="1"/>
  <c r="A4091" i="50" s="1"/>
  <c r="A4092" i="50" s="1"/>
  <c r="A4093" i="50" s="1"/>
  <c r="A4094" i="50" s="1"/>
  <c r="A4095" i="50" s="1"/>
  <c r="A4096" i="50" s="1"/>
  <c r="A4097" i="50" s="1"/>
  <c r="A4098" i="50" s="1"/>
  <c r="A4099" i="50" s="1"/>
  <c r="A4100" i="50" s="1"/>
  <c r="A4101" i="50" s="1"/>
  <c r="A4102" i="50" s="1"/>
  <c r="A4103" i="50" s="1"/>
  <c r="A4104" i="50" s="1"/>
  <c r="A4105" i="50" s="1"/>
  <c r="A4106" i="50" s="1"/>
  <c r="A4107" i="50" s="1"/>
  <c r="A4108" i="50" s="1"/>
  <c r="A4109" i="50" s="1"/>
  <c r="A4110" i="50" s="1"/>
  <c r="A4111" i="50"/>
  <c r="A4113" i="50"/>
  <c r="A4115" i="50"/>
  <c r="A4117" i="50"/>
  <c r="A4119" i="50"/>
  <c r="A4121" i="50"/>
  <c r="A4123" i="50"/>
  <c r="A4125" i="50"/>
  <c r="A4127" i="50"/>
  <c r="A4129" i="50"/>
  <c r="A4131" i="50"/>
  <c r="A4133" i="50"/>
  <c r="A4135" i="50"/>
  <c r="A4137" i="50"/>
  <c r="A4139" i="50"/>
  <c r="A4141" i="50"/>
  <c r="A4143" i="50"/>
  <c r="A4145" i="50"/>
  <c r="A4147" i="50"/>
  <c r="A4149" i="50"/>
  <c r="A4151" i="50"/>
  <c r="A4153" i="50"/>
  <c r="A4155" i="50"/>
  <c r="A4157" i="50"/>
  <c r="A4159" i="50"/>
  <c r="A4161" i="50"/>
  <c r="A4163" i="50"/>
  <c r="A4165" i="50"/>
  <c r="A4167" i="50"/>
  <c r="A4169" i="50"/>
  <c r="A4171" i="50"/>
  <c r="A4173" i="50"/>
  <c r="A4175" i="50"/>
  <c r="A4177" i="50"/>
  <c r="A4179" i="50"/>
  <c r="A4181" i="50"/>
  <c r="A4183" i="50"/>
  <c r="A4185" i="50"/>
  <c r="A4187" i="50"/>
  <c r="A4189" i="50"/>
  <c r="A4191" i="50"/>
  <c r="A4193" i="50"/>
  <c r="A4195" i="50"/>
  <c r="A4197" i="50"/>
  <c r="A4199" i="50"/>
  <c r="A4201" i="50"/>
  <c r="A4203" i="50"/>
  <c r="A4205" i="50"/>
  <c r="A4207" i="50"/>
  <c r="A4209" i="50"/>
  <c r="A4211" i="50"/>
  <c r="A4213" i="50"/>
  <c r="A4215" i="50"/>
  <c r="A4217" i="50"/>
  <c r="A4219" i="50"/>
  <c r="A4221" i="50"/>
  <c r="A4223" i="50"/>
  <c r="A4225" i="50"/>
  <c r="A4227" i="50"/>
  <c r="A4229" i="50"/>
  <c r="A4231" i="50"/>
  <c r="A4233" i="50"/>
  <c r="A4235" i="50"/>
  <c r="A4237" i="50"/>
  <c r="A4239" i="50"/>
  <c r="A4241" i="50"/>
  <c r="A4243" i="50"/>
  <c r="A4245" i="50"/>
  <c r="A4247" i="50"/>
  <c r="A4249" i="50"/>
  <c r="A4251" i="50"/>
  <c r="A4253" i="50"/>
  <c r="A4255" i="50"/>
  <c r="A4257" i="50"/>
  <c r="A4259" i="50"/>
  <c r="A4261" i="50"/>
  <c r="A4263" i="50"/>
  <c r="A4265" i="50"/>
  <c r="A4267" i="50"/>
  <c r="A4269" i="50"/>
  <c r="A4271" i="50"/>
  <c r="A4273" i="50"/>
  <c r="A4275" i="50"/>
  <c r="A4277" i="50"/>
  <c r="A4279" i="50"/>
  <c r="A4281" i="50"/>
  <c r="A4283" i="50"/>
  <c r="A4285" i="50"/>
  <c r="A4287" i="50"/>
  <c r="A4289" i="50"/>
  <c r="A4291" i="50"/>
  <c r="A4293" i="50"/>
  <c r="A4295" i="50"/>
  <c r="A4297" i="50"/>
  <c r="A4299" i="50"/>
  <c r="A4301" i="50"/>
  <c r="A4303" i="50"/>
  <c r="A4305" i="50"/>
  <c r="A4307" i="50"/>
  <c r="A4309" i="50"/>
  <c r="A4311" i="50"/>
  <c r="A4313" i="50"/>
  <c r="A4315" i="50"/>
  <c r="A4317" i="50"/>
  <c r="A4319" i="50"/>
  <c r="A4321" i="50"/>
  <c r="A4323" i="50"/>
  <c r="A4325" i="50"/>
  <c r="A4327" i="50"/>
  <c r="A4329" i="50"/>
  <c r="A4331" i="50"/>
  <c r="A4333" i="50"/>
  <c r="A4335" i="50"/>
  <c r="A4337" i="50"/>
  <c r="A4339" i="50"/>
  <c r="A4341" i="50"/>
  <c r="A4343" i="50"/>
  <c r="A4345" i="50"/>
  <c r="A4347" i="50"/>
  <c r="A4349" i="50"/>
  <c r="A4351" i="50"/>
  <c r="A4353" i="50"/>
  <c r="A4355" i="50"/>
  <c r="A4357" i="50"/>
  <c r="A4359" i="50"/>
  <c r="A4361" i="50"/>
  <c r="A4363" i="50"/>
  <c r="A4365" i="50"/>
  <c r="A4367" i="50"/>
  <c r="A4369" i="50"/>
  <c r="A4371" i="50"/>
  <c r="A4373" i="50"/>
  <c r="A4375" i="50"/>
  <c r="A4377" i="50"/>
  <c r="A4379" i="50"/>
  <c r="A4381" i="50"/>
  <c r="A4383" i="50"/>
  <c r="A4385" i="50"/>
  <c r="A4387" i="50"/>
  <c r="A4389" i="50"/>
  <c r="A4391" i="50"/>
  <c r="A4393" i="50"/>
  <c r="A4395" i="50"/>
  <c r="A4397" i="50"/>
  <c r="A4399" i="50"/>
  <c r="A4401" i="50"/>
  <c r="A4403" i="50"/>
  <c r="A4405" i="50"/>
  <c r="A4407" i="50"/>
  <c r="A4409" i="50"/>
  <c r="A4411" i="50"/>
  <c r="A4413" i="50"/>
  <c r="A4415" i="50"/>
  <c r="A4417" i="50"/>
  <c r="A4419" i="50"/>
  <c r="A4421" i="50"/>
  <c r="A4423" i="50"/>
  <c r="A4425" i="50"/>
  <c r="A4427" i="50"/>
  <c r="A4429" i="50"/>
  <c r="A4431" i="50"/>
  <c r="A4433" i="50"/>
  <c r="A4435" i="50"/>
  <c r="A4437" i="50"/>
  <c r="A4439" i="50"/>
  <c r="A4441" i="50"/>
  <c r="A4443" i="50"/>
  <c r="A4445" i="50"/>
  <c r="A4447" i="50"/>
  <c r="A4449" i="50"/>
  <c r="A4451" i="50"/>
  <c r="A4453" i="50"/>
  <c r="A4455" i="50"/>
  <c r="A4457" i="50"/>
  <c r="A4459" i="50"/>
  <c r="A4461" i="50"/>
  <c r="A4463" i="50"/>
  <c r="A4465" i="50"/>
  <c r="A4467" i="50"/>
  <c r="A4469" i="50"/>
  <c r="A4471" i="50"/>
  <c r="A4473" i="50"/>
  <c r="A4475" i="50"/>
  <c r="A4477" i="50"/>
  <c r="A4479" i="50"/>
  <c r="A4481" i="50"/>
  <c r="A4483" i="50"/>
  <c r="A4485" i="50"/>
  <c r="A4487" i="50"/>
  <c r="A4489" i="50"/>
  <c r="A4491" i="50"/>
  <c r="A4493" i="50"/>
  <c r="A4495" i="50"/>
  <c r="A4497" i="50"/>
  <c r="A4499" i="50"/>
  <c r="A4501" i="50"/>
  <c r="A4503" i="50"/>
  <c r="A4505" i="50"/>
  <c r="A4507" i="50"/>
  <c r="A4509" i="50"/>
  <c r="A4511" i="50"/>
  <c r="A4513" i="50"/>
  <c r="A4515" i="50"/>
  <c r="A4517" i="50"/>
  <c r="A4519" i="50"/>
  <c r="A4521" i="50"/>
  <c r="A4523" i="50"/>
  <c r="A4525" i="50"/>
  <c r="A4527" i="50"/>
  <c r="A4529" i="50"/>
  <c r="A4531" i="50"/>
  <c r="A4533" i="50"/>
  <c r="A4535" i="50"/>
  <c r="A4537" i="50"/>
  <c r="A4539" i="50"/>
  <c r="A4541" i="50"/>
  <c r="A4543" i="50"/>
  <c r="A4545" i="50"/>
  <c r="A4547" i="50"/>
  <c r="A4549" i="50"/>
  <c r="A4551" i="50"/>
  <c r="A4553" i="50"/>
  <c r="A4555" i="50"/>
  <c r="A4557" i="50"/>
  <c r="A4559" i="50"/>
  <c r="A4561" i="50"/>
  <c r="A4563" i="50"/>
  <c r="A4565" i="50"/>
  <c r="A4567" i="50"/>
  <c r="A4569" i="50"/>
  <c r="A4571" i="50"/>
  <c r="A4573" i="50"/>
  <c r="A4575" i="50"/>
  <c r="A4577" i="50"/>
  <c r="A4579" i="50"/>
  <c r="A4581" i="50"/>
  <c r="A4583" i="50"/>
  <c r="A4585" i="50"/>
  <c r="A4587" i="50"/>
  <c r="A4589" i="50"/>
  <c r="A4591" i="50"/>
  <c r="A4593" i="50"/>
  <c r="A4595" i="50"/>
  <c r="A4597" i="50"/>
  <c r="A4599" i="50"/>
  <c r="A4601" i="50"/>
  <c r="A4603" i="50"/>
  <c r="A4605" i="50"/>
  <c r="A4607" i="50"/>
  <c r="A4609" i="50"/>
  <c r="A4611" i="50"/>
  <c r="A4613" i="50"/>
  <c r="A4615" i="50"/>
  <c r="A4617" i="50"/>
  <c r="A4619" i="50"/>
  <c r="A4621" i="50"/>
  <c r="A4623" i="50"/>
  <c r="A4625" i="50"/>
  <c r="A4627" i="50"/>
  <c r="A4629" i="50"/>
  <c r="A4631" i="50"/>
  <c r="A4633" i="50"/>
  <c r="A4635" i="50"/>
  <c r="A4637" i="50"/>
  <c r="A4639" i="50"/>
  <c r="A4641" i="50"/>
  <c r="A4643" i="50"/>
  <c r="A4645" i="50"/>
  <c r="A4647" i="50"/>
  <c r="A4649" i="50"/>
  <c r="A4651" i="50"/>
  <c r="A4653" i="50"/>
  <c r="A4655" i="50"/>
  <c r="A4657" i="50"/>
  <c r="A4659" i="50"/>
  <c r="A4661" i="50"/>
  <c r="A4663" i="50"/>
  <c r="A4665" i="50"/>
  <c r="A4667" i="50"/>
  <c r="A4669" i="50"/>
  <c r="A4671" i="50"/>
  <c r="A4673" i="50"/>
  <c r="A4675" i="50"/>
  <c r="A4677" i="50"/>
  <c r="A4679" i="50"/>
  <c r="A4681" i="50"/>
  <c r="A4683" i="50"/>
  <c r="A4685" i="50"/>
  <c r="A4687" i="50"/>
  <c r="A4689" i="50"/>
  <c r="A4691" i="50"/>
  <c r="A4693" i="50"/>
  <c r="A4695" i="50"/>
  <c r="A4697" i="50"/>
  <c r="A4699" i="50"/>
  <c r="A4701" i="50"/>
  <c r="A4703" i="50"/>
  <c r="A4705" i="50"/>
  <c r="A4707" i="50"/>
  <c r="A4709" i="50"/>
  <c r="A4711" i="50"/>
  <c r="A4713" i="50"/>
  <c r="A4715" i="50"/>
  <c r="A4717" i="50"/>
  <c r="A4719" i="50"/>
  <c r="A4721" i="50"/>
  <c r="A4723" i="50"/>
  <c r="A4725" i="50"/>
  <c r="A4727" i="50"/>
  <c r="A4729" i="50"/>
  <c r="A4731" i="50"/>
  <c r="A4733" i="50"/>
  <c r="A4735" i="50"/>
  <c r="A4737" i="50"/>
  <c r="A4739" i="50"/>
  <c r="A4741" i="50"/>
  <c r="A4743" i="50"/>
  <c r="A4745" i="50"/>
  <c r="A4747" i="50"/>
  <c r="A4749" i="50"/>
  <c r="A4751" i="50"/>
  <c r="A4753" i="50"/>
  <c r="A4755" i="50"/>
  <c r="A4757" i="50"/>
  <c r="A4759" i="50"/>
  <c r="A4761" i="50"/>
  <c r="A4763" i="50"/>
  <c r="A4765" i="50"/>
  <c r="A4767" i="50"/>
  <c r="A4769" i="50"/>
  <c r="A4771" i="50"/>
  <c r="A4773" i="50"/>
  <c r="A4775" i="50"/>
  <c r="A4777" i="50"/>
  <c r="A4779" i="50"/>
  <c r="A4781" i="50"/>
  <c r="A4783" i="50"/>
  <c r="A4785" i="50"/>
  <c r="A4787" i="50"/>
  <c r="A4789" i="50"/>
  <c r="A4791" i="50"/>
  <c r="A4793" i="50"/>
  <c r="A4795" i="50"/>
  <c r="A4797" i="50"/>
  <c r="A4799" i="50"/>
  <c r="A4801" i="50"/>
  <c r="A4803" i="50"/>
  <c r="A4805" i="50"/>
  <c r="A4807" i="50"/>
  <c r="A4809" i="50"/>
  <c r="A4811" i="50"/>
  <c r="A4813" i="50"/>
  <c r="A4815" i="50"/>
  <c r="A4817" i="50"/>
  <c r="A4819" i="50"/>
  <c r="A4821" i="50"/>
  <c r="A4823" i="50"/>
  <c r="A4825" i="50"/>
  <c r="A4827" i="50"/>
  <c r="A4829" i="50"/>
  <c r="A4831" i="50"/>
  <c r="A4833" i="50"/>
  <c r="A4835" i="50"/>
  <c r="A4837" i="50"/>
  <c r="A4839" i="50"/>
  <c r="A4841" i="50"/>
  <c r="A4843" i="50"/>
  <c r="A4845" i="50"/>
  <c r="A4847" i="50"/>
  <c r="A4849" i="50"/>
  <c r="A4851" i="50"/>
  <c r="A4853" i="50"/>
  <c r="A4855" i="50"/>
  <c r="A4857" i="50"/>
  <c r="A4859" i="50"/>
  <c r="A4861" i="50"/>
  <c r="A4863" i="50"/>
  <c r="A4865" i="50"/>
  <c r="A4867" i="50"/>
  <c r="A4869" i="50"/>
  <c r="A4871" i="50"/>
  <c r="A4873" i="50"/>
  <c r="A4875" i="50"/>
  <c r="A4877" i="50"/>
  <c r="A4879" i="50"/>
  <c r="A4881" i="50"/>
  <c r="A4883" i="50"/>
  <c r="A4885" i="50"/>
  <c r="A4887" i="50"/>
  <c r="A4889" i="50"/>
  <c r="A4891" i="50"/>
  <c r="A4893" i="50"/>
  <c r="A4895" i="50"/>
  <c r="A4897" i="50"/>
  <c r="A4899" i="50"/>
  <c r="A4901" i="50"/>
  <c r="A4903" i="50"/>
  <c r="A4905" i="50"/>
  <c r="A4907" i="50"/>
  <c r="A4909" i="50"/>
  <c r="A4911" i="50"/>
  <c r="A4913" i="50"/>
  <c r="A4915" i="50"/>
  <c r="A4917" i="50"/>
  <c r="A4919" i="50"/>
  <c r="A4921" i="50"/>
  <c r="A4923" i="50"/>
  <c r="A4925" i="50"/>
  <c r="A4927" i="50"/>
  <c r="A4929" i="50"/>
  <c r="A4931" i="50"/>
  <c r="A4933" i="50"/>
  <c r="A4935" i="50"/>
  <c r="A4937" i="50"/>
  <c r="A4939" i="50"/>
  <c r="A4941" i="50"/>
  <c r="A4943" i="50"/>
  <c r="A4945" i="50"/>
  <c r="A4947" i="50"/>
  <c r="A4949" i="50"/>
  <c r="A4951" i="50"/>
  <c r="A4953" i="50"/>
  <c r="A4955" i="50"/>
  <c r="A4957" i="50"/>
  <c r="A4959" i="50"/>
  <c r="A4961" i="50"/>
  <c r="A4963" i="50"/>
  <c r="A4965" i="50"/>
  <c r="A4967" i="50"/>
  <c r="A4969" i="50"/>
  <c r="A4971" i="50"/>
  <c r="A4973" i="50"/>
  <c r="A4975" i="50"/>
  <c r="A4977" i="50"/>
  <c r="A4979" i="50"/>
  <c r="A4981" i="50"/>
  <c r="A4983" i="50"/>
  <c r="A4985" i="50"/>
  <c r="A4987" i="50"/>
  <c r="A4989" i="50"/>
  <c r="A4991" i="50"/>
  <c r="A4993" i="50"/>
  <c r="A4995" i="50"/>
  <c r="A4997" i="50"/>
  <c r="A4999" i="50"/>
  <c r="A5001" i="50"/>
  <c r="A5003" i="50"/>
  <c r="A5005" i="50"/>
  <c r="A5007" i="50"/>
  <c r="A5009" i="50"/>
  <c r="A5011" i="50"/>
  <c r="A5013" i="50"/>
  <c r="A5015" i="50"/>
  <c r="A5017" i="50"/>
  <c r="A5019" i="50"/>
  <c r="A5021" i="50"/>
  <c r="A5023" i="50"/>
  <c r="A5025" i="50"/>
  <c r="A5027" i="50"/>
  <c r="A5029" i="50"/>
  <c r="A5031" i="50"/>
  <c r="A5033" i="50"/>
  <c r="A5035" i="50"/>
  <c r="A5037" i="50"/>
  <c r="A5039" i="50"/>
  <c r="A5041" i="50"/>
  <c r="A5043" i="50"/>
  <c r="A5045" i="50"/>
  <c r="A5047" i="50"/>
  <c r="A5049" i="50"/>
  <c r="A5051" i="50"/>
  <c r="A5053" i="50"/>
  <c r="A5055" i="50"/>
  <c r="A5057" i="50"/>
  <c r="A5059" i="50"/>
  <c r="A5061" i="50"/>
  <c r="A5063" i="50"/>
  <c r="A5065" i="50"/>
  <c r="A5067" i="50"/>
  <c r="A5069" i="50"/>
  <c r="A5071" i="50"/>
  <c r="A5073" i="50"/>
  <c r="A5075" i="50"/>
  <c r="A1847" i="50"/>
  <c r="A1879" i="50"/>
  <c r="A2231" i="50"/>
  <c r="A2263" i="50"/>
  <c r="A2295" i="50"/>
  <c r="A2327" i="50"/>
  <c r="A2359" i="50"/>
  <c r="A2391" i="50"/>
  <c r="A2423" i="50"/>
  <c r="A2455" i="50"/>
  <c r="A2487" i="50"/>
  <c r="A2519" i="50"/>
  <c r="A3724" i="50"/>
  <c r="A3732" i="50"/>
  <c r="A3740" i="50"/>
  <c r="A3748" i="50"/>
  <c r="A3756" i="50"/>
  <c r="A3764" i="50"/>
  <c r="A3772" i="50"/>
  <c r="A3780" i="50"/>
  <c r="A3788" i="50"/>
  <c r="A3796" i="50"/>
  <c r="A3804" i="50"/>
  <c r="A3812" i="50"/>
  <c r="A3820" i="50"/>
  <c r="A3828" i="50"/>
  <c r="A3836" i="50"/>
  <c r="A3844" i="50"/>
  <c r="A3852" i="50"/>
  <c r="A3860" i="50"/>
  <c r="A3868" i="50"/>
  <c r="A3876" i="50"/>
  <c r="A3884" i="50"/>
  <c r="A3892" i="50"/>
  <c r="A4116" i="50"/>
  <c r="A4124" i="50"/>
  <c r="A4132" i="50"/>
  <c r="A4140" i="50"/>
  <c r="A4148" i="50"/>
  <c r="A4156" i="50"/>
  <c r="A4164" i="50"/>
  <c r="A4172" i="50"/>
  <c r="A4180" i="50"/>
  <c r="A4188" i="50"/>
  <c r="A4196" i="50"/>
  <c r="A4204" i="50"/>
  <c r="A4212" i="50"/>
  <c r="A4220" i="50"/>
  <c r="A4228" i="50"/>
  <c r="A4236" i="50"/>
  <c r="A4244" i="50"/>
  <c r="A4252" i="50"/>
  <c r="A4260" i="50"/>
  <c r="A4268" i="50"/>
  <c r="A4276" i="50"/>
  <c r="A4284" i="50"/>
  <c r="A4292" i="50"/>
  <c r="A4300" i="50"/>
  <c r="A4308" i="50"/>
  <c r="A4316" i="50"/>
  <c r="A4324" i="50"/>
  <c r="A4332" i="50"/>
  <c r="A4340" i="50"/>
  <c r="A4348" i="50"/>
  <c r="A4356" i="50"/>
  <c r="A4364" i="50"/>
  <c r="A4372" i="50"/>
  <c r="A4380" i="50"/>
  <c r="A4388" i="50"/>
  <c r="A4396" i="50"/>
  <c r="A4404" i="50"/>
  <c r="A4412" i="50"/>
  <c r="A4420" i="50"/>
  <c r="A4428" i="50"/>
  <c r="A4436" i="50"/>
  <c r="A4444" i="50"/>
  <c r="A4452" i="50"/>
  <c r="A4460" i="50"/>
  <c r="A4468" i="50"/>
  <c r="A4476" i="50"/>
  <c r="A4484" i="50"/>
  <c r="A4492" i="50"/>
  <c r="A4500" i="50"/>
  <c r="A4508" i="50"/>
  <c r="A4516" i="50"/>
  <c r="A4524" i="50"/>
  <c r="A4532" i="50"/>
  <c r="A4540" i="50"/>
  <c r="A4548" i="50"/>
  <c r="A4556" i="50"/>
  <c r="A4564" i="50"/>
  <c r="A4572" i="50"/>
  <c r="A4580" i="50"/>
  <c r="A4588" i="50"/>
  <c r="A4596" i="50"/>
  <c r="A4604" i="50"/>
  <c r="A4612" i="50"/>
  <c r="A4620" i="50"/>
  <c r="A4628" i="50"/>
  <c r="A4636" i="50"/>
  <c r="A4644" i="50"/>
  <c r="A4652" i="50"/>
  <c r="A4660" i="50"/>
  <c r="A4668" i="50"/>
  <c r="A4676" i="50"/>
  <c r="A4684" i="50"/>
  <c r="A4692" i="50"/>
  <c r="A4700" i="50"/>
  <c r="A4708" i="50"/>
  <c r="A4716" i="50"/>
  <c r="A4724" i="50"/>
  <c r="A4732" i="50"/>
  <c r="A4740" i="50"/>
  <c r="A4748" i="50"/>
  <c r="A4756" i="50"/>
  <c r="A4764" i="50"/>
  <c r="A4772" i="50"/>
  <c r="A4780" i="50"/>
  <c r="A4788" i="50"/>
  <c r="A4796" i="50"/>
  <c r="A4804" i="50"/>
  <c r="A4812" i="50"/>
  <c r="A4820" i="50"/>
  <c r="A4828" i="50"/>
  <c r="A4836" i="50"/>
  <c r="A4844" i="50"/>
  <c r="A4852" i="50"/>
  <c r="A4860" i="50"/>
  <c r="A4868" i="50"/>
  <c r="A4876" i="50"/>
  <c r="A4884" i="50"/>
  <c r="A4892" i="50"/>
  <c r="A4900" i="50"/>
  <c r="A4908" i="50"/>
  <c r="A4916" i="50"/>
  <c r="A4924" i="50"/>
  <c r="A4932" i="50"/>
  <c r="A4940" i="50"/>
  <c r="A4948" i="50"/>
  <c r="A4956" i="50"/>
  <c r="A4964" i="50"/>
  <c r="A4972" i="50"/>
  <c r="A4980" i="50"/>
  <c r="A4988" i="50"/>
  <c r="A4996" i="50"/>
  <c r="A5004" i="50"/>
  <c r="A5012" i="50"/>
  <c r="A5020" i="50"/>
  <c r="A5028" i="50"/>
  <c r="A5036" i="50"/>
  <c r="A5044" i="50"/>
  <c r="A5052" i="50"/>
  <c r="A5060" i="50"/>
  <c r="A5068" i="50"/>
  <c r="A5076" i="50"/>
  <c r="A5078" i="50"/>
  <c r="A5080" i="50"/>
  <c r="A5082" i="50"/>
  <c r="A5084" i="50"/>
  <c r="A5086" i="50"/>
  <c r="A5088" i="50"/>
  <c r="A5090" i="50"/>
  <c r="A5092" i="50"/>
  <c r="A5094" i="50"/>
  <c r="A5096" i="50"/>
  <c r="A5098" i="50"/>
  <c r="A5100" i="50"/>
  <c r="A5102" i="50"/>
  <c r="A5104" i="50"/>
  <c r="A5106" i="50"/>
  <c r="A5108" i="50"/>
  <c r="A5110" i="50"/>
  <c r="A5112" i="50"/>
  <c r="A5114" i="50"/>
  <c r="A5116" i="50"/>
  <c r="A5118" i="50"/>
  <c r="A5120" i="50"/>
  <c r="A5122" i="50"/>
  <c r="A5124" i="50"/>
  <c r="A5126" i="50"/>
  <c r="A5128" i="50"/>
  <c r="A5130" i="50"/>
  <c r="A5132" i="50"/>
  <c r="A5134" i="50"/>
  <c r="A5136" i="50"/>
  <c r="A5138" i="50"/>
  <c r="A5140" i="50"/>
  <c r="A5142" i="50"/>
  <c r="A5144" i="50"/>
  <c r="A5146" i="50"/>
  <c r="A5148" i="50"/>
  <c r="A5150" i="50"/>
  <c r="A5152" i="50"/>
  <c r="A5154" i="50"/>
  <c r="A5156" i="50"/>
  <c r="A5158" i="50"/>
  <c r="A5160" i="50"/>
  <c r="A5162" i="50"/>
  <c r="A5164" i="50"/>
  <c r="A5166" i="50"/>
  <c r="A5168" i="50"/>
  <c r="A5170" i="50"/>
  <c r="A5172" i="50"/>
  <c r="A5174" i="50"/>
  <c r="A5176" i="50"/>
  <c r="A5178" i="50"/>
  <c r="A5180" i="50"/>
  <c r="A5182" i="50"/>
  <c r="A5184" i="50"/>
  <c r="A5186" i="50"/>
  <c r="A5188" i="50"/>
  <c r="A5190" i="50"/>
  <c r="A5192" i="50"/>
  <c r="A5194" i="50"/>
  <c r="A5196" i="50"/>
  <c r="A5198" i="50"/>
  <c r="A5200" i="50"/>
  <c r="A5202" i="50"/>
  <c r="A5204" i="50"/>
  <c r="A5206" i="50"/>
  <c r="A5208" i="50"/>
  <c r="A5210" i="50"/>
  <c r="A5212" i="50"/>
  <c r="A5214" i="50"/>
  <c r="A5216" i="50"/>
  <c r="A5218" i="50"/>
  <c r="A5220" i="50"/>
  <c r="A5222" i="50"/>
  <c r="A5224" i="50"/>
  <c r="A5226" i="50"/>
  <c r="A5228" i="50"/>
  <c r="A5230" i="50"/>
  <c r="A5232" i="50"/>
  <c r="A5234" i="50"/>
  <c r="A5236" i="50"/>
  <c r="A5238" i="50"/>
  <c r="A5240" i="50"/>
  <c r="A5242" i="50"/>
  <c r="A5244" i="50"/>
  <c r="A5246" i="50"/>
  <c r="A5248" i="50"/>
  <c r="A5250" i="50"/>
  <c r="A5252" i="50"/>
  <c r="A5254" i="50"/>
  <c r="A5256" i="50"/>
  <c r="A5258" i="50"/>
  <c r="A5260" i="50"/>
  <c r="A5262" i="50"/>
  <c r="A5264" i="50"/>
  <c r="A5266" i="50"/>
  <c r="A5268" i="50"/>
  <c r="A5270" i="50"/>
  <c r="A5272" i="50"/>
  <c r="A5274" i="50"/>
  <c r="A5276" i="50"/>
  <c r="A5278" i="50"/>
  <c r="A5280" i="50"/>
  <c r="A5282" i="50"/>
  <c r="A5284" i="50"/>
  <c r="A5286" i="50"/>
  <c r="A5288" i="50"/>
  <c r="A5290" i="50"/>
  <c r="A5292" i="50"/>
  <c r="A5294" i="50"/>
  <c r="A5296" i="50"/>
  <c r="A5298" i="50"/>
  <c r="A5300" i="50"/>
  <c r="A5302" i="50"/>
  <c r="A5304" i="50"/>
  <c r="A5306" i="50"/>
  <c r="A5308" i="50"/>
  <c r="A5310" i="50"/>
  <c r="A5312" i="50"/>
  <c r="A5314" i="50"/>
  <c r="A5316" i="50"/>
  <c r="A5318" i="50"/>
  <c r="A5320" i="50"/>
  <c r="A5322" i="50"/>
  <c r="A5324" i="50"/>
  <c r="A5326" i="50"/>
  <c r="A5328" i="50"/>
  <c r="A5330" i="50"/>
  <c r="A5332" i="50"/>
  <c r="A5334" i="50"/>
  <c r="A5336" i="50"/>
  <c r="A5338" i="50"/>
  <c r="A5340" i="50"/>
  <c r="A5342" i="50"/>
  <c r="A5344" i="50"/>
  <c r="A5346" i="50"/>
  <c r="A5348" i="50"/>
  <c r="A5350" i="50"/>
  <c r="A5352" i="50"/>
  <c r="A5354" i="50"/>
  <c r="A5356" i="50"/>
  <c r="A5358" i="50"/>
  <c r="A5360" i="50"/>
  <c r="A5362" i="50"/>
  <c r="A5364" i="50"/>
  <c r="A5366" i="50"/>
  <c r="A5368" i="50"/>
  <c r="A5370" i="50"/>
  <c r="A5372" i="50"/>
  <c r="A5374" i="50"/>
  <c r="A5376" i="50"/>
  <c r="A5378" i="50"/>
  <c r="A5380" i="50"/>
  <c r="A5382" i="50"/>
  <c r="A5384" i="50"/>
  <c r="A5386" i="50"/>
  <c r="A5388" i="50"/>
  <c r="A5390" i="50"/>
  <c r="A5392" i="50"/>
  <c r="A5394" i="50"/>
  <c r="A5396" i="50"/>
  <c r="A5398" i="50"/>
  <c r="A5400" i="50"/>
  <c r="A5402" i="50"/>
  <c r="A5404" i="50"/>
  <c r="A5406" i="50"/>
  <c r="A5408" i="50"/>
  <c r="A5410" i="50"/>
  <c r="A5412" i="50"/>
  <c r="A5414" i="50"/>
  <c r="A5416" i="50"/>
  <c r="A5418" i="50"/>
  <c r="A5420" i="50"/>
  <c r="A5422" i="50"/>
  <c r="A5424" i="50"/>
  <c r="A5426" i="50"/>
  <c r="A5428" i="50"/>
  <c r="A5430" i="50"/>
  <c r="A5432" i="50"/>
  <c r="A5434" i="50"/>
  <c r="A5436" i="50"/>
  <c r="A5438" i="50"/>
  <c r="A5440" i="50"/>
  <c r="A5442" i="50"/>
  <c r="A5444" i="50"/>
  <c r="A5446" i="50"/>
  <c r="A5448" i="50"/>
  <c r="A5450" i="50"/>
  <c r="A5452" i="50"/>
  <c r="A5454" i="50"/>
  <c r="A5456" i="50"/>
  <c r="A5458" i="50"/>
  <c r="A5460" i="50"/>
  <c r="A5462" i="50"/>
  <c r="A5464" i="50"/>
  <c r="A5466" i="50"/>
  <c r="A5468" i="50"/>
  <c r="A5470" i="50"/>
  <c r="A5472" i="50"/>
  <c r="A5474" i="50"/>
  <c r="A5476" i="50"/>
  <c r="A5478" i="50"/>
  <c r="A5480" i="50"/>
  <c r="A5482" i="50"/>
  <c r="A5484" i="50"/>
  <c r="A5486" i="50"/>
  <c r="A5488" i="50"/>
  <c r="A5490" i="50"/>
  <c r="A5492" i="50"/>
  <c r="A5494" i="50"/>
  <c r="A5496" i="50"/>
  <c r="A5498" i="50"/>
  <c r="A5500" i="50"/>
  <c r="A5502" i="50"/>
  <c r="A5504" i="50"/>
  <c r="A5506" i="50"/>
  <c r="A5508" i="50"/>
  <c r="A5510" i="50"/>
  <c r="A5512" i="50"/>
  <c r="A5514" i="50"/>
  <c r="A5516" i="50"/>
  <c r="A5518" i="50"/>
  <c r="A5520" i="50"/>
  <c r="A5522" i="50"/>
  <c r="A5524" i="50"/>
  <c r="A5526" i="50"/>
  <c r="A5528" i="50"/>
  <c r="A5530" i="50"/>
  <c r="A5532" i="50"/>
  <c r="A5534" i="50"/>
  <c r="A5536" i="50"/>
  <c r="A5538" i="50"/>
  <c r="A5540" i="50"/>
  <c r="A5542" i="50"/>
  <c r="A5544" i="50"/>
  <c r="A5546" i="50"/>
  <c r="A5548" i="50"/>
  <c r="A5550" i="50"/>
  <c r="A5552" i="50"/>
  <c r="A5554" i="50"/>
  <c r="A5556" i="50"/>
  <c r="A5558" i="50"/>
  <c r="A5560" i="50"/>
  <c r="A5562" i="50"/>
  <c r="A5564" i="50"/>
  <c r="A5566" i="50"/>
  <c r="A5568" i="50"/>
  <c r="A5570" i="50"/>
  <c r="A5572" i="50"/>
  <c r="A5574" i="50"/>
  <c r="A5576" i="50"/>
  <c r="A5578" i="50"/>
  <c r="A5580" i="50"/>
  <c r="A5582" i="50"/>
  <c r="A5584" i="50"/>
  <c r="A5586" i="50"/>
  <c r="A5588" i="50"/>
  <c r="A5590" i="50"/>
  <c r="A5592" i="50"/>
  <c r="A5594" i="50"/>
  <c r="A5596" i="50"/>
  <c r="A5598" i="50"/>
  <c r="A5600" i="50"/>
  <c r="A5602" i="50"/>
  <c r="A5604" i="50"/>
  <c r="A5606" i="50"/>
  <c r="A5608" i="50"/>
  <c r="A5610" i="50"/>
  <c r="A5612" i="50"/>
  <c r="A5614" i="50"/>
  <c r="A5616" i="50"/>
  <c r="A5618" i="50"/>
  <c r="A5620" i="50"/>
  <c r="A5622" i="50"/>
  <c r="A5624" i="50"/>
  <c r="A5626" i="50"/>
  <c r="A5628" i="50"/>
  <c r="A5630" i="50"/>
  <c r="A5632" i="50"/>
  <c r="A5634" i="50"/>
  <c r="A5636" i="50"/>
  <c r="A5638" i="50"/>
  <c r="A5640" i="50"/>
  <c r="A5642" i="50"/>
  <c r="A5644" i="50"/>
  <c r="A5646" i="50"/>
  <c r="A5648" i="50"/>
  <c r="A5650" i="50"/>
  <c r="A5652" i="50"/>
  <c r="A5654" i="50"/>
  <c r="A5656" i="50"/>
  <c r="A5658" i="50"/>
  <c r="A5660" i="50"/>
  <c r="A5662" i="50"/>
  <c r="A5664" i="50"/>
  <c r="A5666" i="50"/>
  <c r="A5668" i="50"/>
  <c r="A5670" i="50"/>
  <c r="A5672" i="50"/>
  <c r="A5674" i="50"/>
  <c r="A5676" i="50"/>
  <c r="A5678" i="50"/>
  <c r="A5680" i="50"/>
  <c r="A5682" i="50"/>
  <c r="A5684" i="50"/>
  <c r="A5686" i="50"/>
  <c r="A5688" i="50"/>
  <c r="A5690" i="50"/>
  <c r="A5692" i="50"/>
  <c r="A5694" i="50"/>
  <c r="A5696" i="50"/>
  <c r="A5698" i="50"/>
  <c r="A5700" i="50"/>
  <c r="A5702" i="50"/>
  <c r="A5704" i="50"/>
  <c r="A5706" i="50"/>
  <c r="A5708" i="50"/>
  <c r="A5710" i="50"/>
  <c r="A5712" i="50"/>
  <c r="A5714" i="50"/>
  <c r="A5864" i="50"/>
  <c r="A5866" i="50"/>
  <c r="A5868" i="50"/>
  <c r="A5870" i="50"/>
  <c r="A5872" i="50"/>
  <c r="A5874" i="50"/>
  <c r="A5876" i="50"/>
  <c r="A5878" i="50"/>
  <c r="A5880" i="50"/>
  <c r="A5882" i="50"/>
  <c r="A5884" i="50"/>
  <c r="A5886" i="50"/>
  <c r="A5888" i="50"/>
  <c r="A5890" i="50"/>
  <c r="A5892" i="50"/>
  <c r="A5894" i="50"/>
  <c r="A5896" i="50"/>
  <c r="A5898" i="50"/>
  <c r="A5900" i="50"/>
  <c r="A5902" i="50"/>
  <c r="A5904" i="50"/>
  <c r="A5906" i="50"/>
  <c r="A5908" i="50"/>
  <c r="A5910" i="50"/>
  <c r="A5912" i="50"/>
  <c r="A5914" i="50"/>
  <c r="A5916" i="50"/>
  <c r="A5918" i="50"/>
  <c r="A5920" i="50"/>
  <c r="A5922" i="50"/>
  <c r="A5924" i="50"/>
  <c r="A5926" i="50"/>
  <c r="A5928" i="50"/>
  <c r="A5930" i="50"/>
  <c r="A5932" i="50"/>
  <c r="A5934" i="50"/>
  <c r="A5936" i="50"/>
  <c r="A5938" i="50"/>
  <c r="A5940" i="50"/>
  <c r="A5942" i="50"/>
  <c r="A5944" i="50"/>
  <c r="A5946" i="50"/>
  <c r="A5948" i="50"/>
  <c r="A5950" i="50"/>
  <c r="A5952" i="50"/>
  <c r="A5954" i="50"/>
  <c r="A5956" i="50"/>
  <c r="A5958" i="50"/>
  <c r="A5960" i="50"/>
  <c r="A5962" i="50"/>
  <c r="A5964" i="50"/>
  <c r="A5966" i="50"/>
  <c r="A5968" i="50"/>
  <c r="A5970" i="50"/>
  <c r="A5972" i="50"/>
  <c r="A5974" i="50"/>
  <c r="A5976" i="50"/>
  <c r="A5978" i="50"/>
  <c r="A5980" i="50"/>
  <c r="A5982" i="50"/>
  <c r="A5984" i="50"/>
  <c r="A5986" i="50"/>
  <c r="A5988" i="50"/>
  <c r="A5990" i="50"/>
  <c r="A5992" i="50"/>
  <c r="A5994" i="50"/>
  <c r="A5996" i="50"/>
  <c r="A5998" i="50"/>
  <c r="A6000" i="50"/>
  <c r="A6002" i="50"/>
  <c r="A6004" i="50"/>
  <c r="A6006" i="50"/>
  <c r="A6008" i="50"/>
  <c r="A6010" i="50"/>
  <c r="A6012" i="50"/>
  <c r="A6014" i="50"/>
  <c r="A6016" i="50"/>
  <c r="A6018" i="50"/>
  <c r="A6020" i="50"/>
  <c r="A6022" i="50"/>
  <c r="A6024" i="50"/>
  <c r="A6026" i="50"/>
  <c r="A6028" i="50"/>
  <c r="A6030" i="50"/>
  <c r="A6032" i="50"/>
  <c r="A6034" i="50"/>
  <c r="A6036" i="50"/>
  <c r="A6038" i="50"/>
  <c r="A6040" i="50"/>
  <c r="A6042" i="50"/>
  <c r="A6044" i="50"/>
  <c r="A6046" i="50"/>
  <c r="A6048" i="50"/>
  <c r="A6050" i="50"/>
  <c r="A6052" i="50"/>
  <c r="A6054" i="50"/>
  <c r="A6056" i="50"/>
  <c r="A1863" i="50"/>
  <c r="A1895" i="50"/>
  <c r="A1896" i="50" s="1"/>
  <c r="A1897" i="50" s="1"/>
  <c r="A1898" i="50" s="1"/>
  <c r="A1899" i="50" s="1"/>
  <c r="A1900" i="50" s="1"/>
  <c r="A1901" i="50" s="1"/>
  <c r="A1902" i="50" s="1"/>
  <c r="A1903" i="50" s="1"/>
  <c r="A1904" i="50" s="1"/>
  <c r="A1905" i="50" s="1"/>
  <c r="A1906" i="50" s="1"/>
  <c r="A1907" i="50" s="1"/>
  <c r="A1908" i="50" s="1"/>
  <c r="A1909" i="50" s="1"/>
  <c r="A1910" i="50" s="1"/>
  <c r="A1911" i="50" s="1"/>
  <c r="A1912" i="50" s="1"/>
  <c r="A1913" i="50" s="1"/>
  <c r="A1914" i="50" s="1"/>
  <c r="A1915" i="50" s="1"/>
  <c r="A1916" i="50" s="1"/>
  <c r="A1917" i="50" s="1"/>
  <c r="A1918" i="50" s="1"/>
  <c r="A1919" i="50" s="1"/>
  <c r="A1920" i="50" s="1"/>
  <c r="A1921" i="50" s="1"/>
  <c r="A1922" i="50" s="1"/>
  <c r="A1923" i="50" s="1"/>
  <c r="A1924" i="50" s="1"/>
  <c r="A1925" i="50" s="1"/>
  <c r="A1926" i="50" s="1"/>
  <c r="A1927" i="50" s="1"/>
  <c r="A1928" i="50" s="1"/>
  <c r="A1929" i="50" s="1"/>
  <c r="A1930" i="50" s="1"/>
  <c r="A1931" i="50" s="1"/>
  <c r="A1932" i="50" s="1"/>
  <c r="A1933" i="50" s="1"/>
  <c r="A1934" i="50" s="1"/>
  <c r="A1935" i="50" s="1"/>
  <c r="A1936" i="50" s="1"/>
  <c r="A1937" i="50" s="1"/>
  <c r="A1938" i="50" s="1"/>
  <c r="A1939" i="50" s="1"/>
  <c r="A1940" i="50" s="1"/>
  <c r="A1941" i="50" s="1"/>
  <c r="A1942" i="50" s="1"/>
  <c r="A1943" i="50" s="1"/>
  <c r="A1944" i="50" s="1"/>
  <c r="A1945" i="50" s="1"/>
  <c r="A1946" i="50" s="1"/>
  <c r="A1947" i="50" s="1"/>
  <c r="A1948" i="50" s="1"/>
  <c r="A1949" i="50" s="1"/>
  <c r="A1950" i="50" s="1"/>
  <c r="A1951" i="50" s="1"/>
  <c r="A1952" i="50" s="1"/>
  <c r="A1953" i="50" s="1"/>
  <c r="A1954" i="50" s="1"/>
  <c r="A1955" i="50" s="1"/>
  <c r="A1956" i="50" s="1"/>
  <c r="A1957" i="50" s="1"/>
  <c r="A1958" i="50" s="1"/>
  <c r="A1959" i="50" s="1"/>
  <c r="A1960" i="50" s="1"/>
  <c r="A1961" i="50" s="1"/>
  <c r="A1962" i="50" s="1"/>
  <c r="A1963" i="50" s="1"/>
  <c r="A1964" i="50" s="1"/>
  <c r="A1965" i="50" s="1"/>
  <c r="A1966" i="50" s="1"/>
  <c r="A1967" i="50" s="1"/>
  <c r="A1968" i="50" s="1"/>
  <c r="A1969" i="50" s="1"/>
  <c r="A1970" i="50" s="1"/>
  <c r="A1971" i="50" s="1"/>
  <c r="A1972" i="50" s="1"/>
  <c r="A1973" i="50" s="1"/>
  <c r="A1974" i="50" s="1"/>
  <c r="A1975" i="50" s="1"/>
  <c r="A1976" i="50" s="1"/>
  <c r="A1977" i="50" s="1"/>
  <c r="A1978" i="50" s="1"/>
  <c r="A1979" i="50" s="1"/>
  <c r="A1980" i="50" s="1"/>
  <c r="A1981" i="50" s="1"/>
  <c r="A1982" i="50" s="1"/>
  <c r="A1983" i="50" s="1"/>
  <c r="A1984" i="50" s="1"/>
  <c r="A1985" i="50" s="1"/>
  <c r="A1986" i="50" s="1"/>
  <c r="A1987" i="50" s="1"/>
  <c r="A1988" i="50" s="1"/>
  <c r="A1989" i="50" s="1"/>
  <c r="A1990" i="50" s="1"/>
  <c r="A1991" i="50" s="1"/>
  <c r="A1992" i="50" s="1"/>
  <c r="A1993" i="50" s="1"/>
  <c r="A1994" i="50" s="1"/>
  <c r="A1995" i="50" s="1"/>
  <c r="A1996" i="50" s="1"/>
  <c r="A1997" i="50" s="1"/>
  <c r="A1998" i="50" s="1"/>
  <c r="A1999" i="50" s="1"/>
  <c r="A2000" i="50" s="1"/>
  <c r="A2001" i="50" s="1"/>
  <c r="A2002" i="50" s="1"/>
  <c r="A2003" i="50" s="1"/>
  <c r="A2004" i="50" s="1"/>
  <c r="A2005" i="50" s="1"/>
  <c r="A2006" i="50" s="1"/>
  <c r="A2007" i="50" s="1"/>
  <c r="A2008" i="50" s="1"/>
  <c r="A2009" i="50" s="1"/>
  <c r="A2010" i="50" s="1"/>
  <c r="A2011" i="50" s="1"/>
  <c r="A2012" i="50" s="1"/>
  <c r="A2013" i="50" s="1"/>
  <c r="A2014" i="50" s="1"/>
  <c r="A2015" i="50" s="1"/>
  <c r="A2016" i="50" s="1"/>
  <c r="A2017" i="50" s="1"/>
  <c r="A2018" i="50" s="1"/>
  <c r="A2019" i="50" s="1"/>
  <c r="A2020" i="50" s="1"/>
  <c r="A2021" i="50" s="1"/>
  <c r="A2022" i="50" s="1"/>
  <c r="A2023" i="50" s="1"/>
  <c r="A2024" i="50" s="1"/>
  <c r="A2025" i="50" s="1"/>
  <c r="A2026" i="50" s="1"/>
  <c r="A2027" i="50" s="1"/>
  <c r="A2028" i="50" s="1"/>
  <c r="A2029" i="50" s="1"/>
  <c r="A2030" i="50" s="1"/>
  <c r="A2031" i="50" s="1"/>
  <c r="A2032" i="50" s="1"/>
  <c r="A2033" i="50" s="1"/>
  <c r="A2034" i="50" s="1"/>
  <c r="A2035" i="50" s="1"/>
  <c r="A2036" i="50" s="1"/>
  <c r="A2037" i="50" s="1"/>
  <c r="A2038" i="50" s="1"/>
  <c r="A2039" i="50" s="1"/>
  <c r="A2040" i="50" s="1"/>
  <c r="A2041" i="50" s="1"/>
  <c r="A2042" i="50" s="1"/>
  <c r="A2043" i="50" s="1"/>
  <c r="A2044" i="50" s="1"/>
  <c r="A2045" i="50" s="1"/>
  <c r="A2046" i="50" s="1"/>
  <c r="A2047" i="50" s="1"/>
  <c r="A2048" i="50" s="1"/>
  <c r="A2049" i="50" s="1"/>
  <c r="A2050" i="50" s="1"/>
  <c r="A2051" i="50" s="1"/>
  <c r="A2052" i="50" s="1"/>
  <c r="A2053" i="50" s="1"/>
  <c r="A2054" i="50" s="1"/>
  <c r="A2055" i="50" s="1"/>
  <c r="A2056" i="50" s="1"/>
  <c r="A2057" i="50" s="1"/>
  <c r="A2058" i="50" s="1"/>
  <c r="A2059" i="50" s="1"/>
  <c r="A2060" i="50" s="1"/>
  <c r="A2061" i="50" s="1"/>
  <c r="A2062" i="50" s="1"/>
  <c r="A2063" i="50" s="1"/>
  <c r="A2064" i="50" s="1"/>
  <c r="A2065" i="50" s="1"/>
  <c r="A2066" i="50" s="1"/>
  <c r="A2067" i="50" s="1"/>
  <c r="A2068" i="50" s="1"/>
  <c r="A2069" i="50" s="1"/>
  <c r="A2070" i="50" s="1"/>
  <c r="A2071" i="50" s="1"/>
  <c r="A2072" i="50" s="1"/>
  <c r="A2073" i="50" s="1"/>
  <c r="A2074" i="50" s="1"/>
  <c r="A2075" i="50" s="1"/>
  <c r="A2076" i="50" s="1"/>
  <c r="A2077" i="50" s="1"/>
  <c r="A2078" i="50" s="1"/>
  <c r="A2079" i="50" s="1"/>
  <c r="A2080" i="50" s="1"/>
  <c r="A2081" i="50" s="1"/>
  <c r="A2082" i="50" s="1"/>
  <c r="A2083" i="50" s="1"/>
  <c r="A2084" i="50" s="1"/>
  <c r="A2085" i="50" s="1"/>
  <c r="A2086" i="50" s="1"/>
  <c r="A2087" i="50" s="1"/>
  <c r="A2088" i="50" s="1"/>
  <c r="A2089" i="50" s="1"/>
  <c r="A2090" i="50" s="1"/>
  <c r="A2091" i="50" s="1"/>
  <c r="A2092" i="50" s="1"/>
  <c r="A2093" i="50" s="1"/>
  <c r="A2094" i="50" s="1"/>
  <c r="A2095" i="50" s="1"/>
  <c r="A2096" i="50" s="1"/>
  <c r="A2097" i="50" s="1"/>
  <c r="A2098" i="50" s="1"/>
  <c r="A2099" i="50" s="1"/>
  <c r="A2100" i="50" s="1"/>
  <c r="A2101" i="50" s="1"/>
  <c r="A2102" i="50" s="1"/>
  <c r="A2103" i="50" s="1"/>
  <c r="A2104" i="50" s="1"/>
  <c r="A2105" i="50" s="1"/>
  <c r="A2106" i="50" s="1"/>
  <c r="A2107" i="50" s="1"/>
  <c r="A2108" i="50" s="1"/>
  <c r="A2109" i="50" s="1"/>
  <c r="A2110" i="50" s="1"/>
  <c r="A2111" i="50" s="1"/>
  <c r="A2112" i="50" s="1"/>
  <c r="A2113" i="50" s="1"/>
  <c r="A2114" i="50" s="1"/>
  <c r="A2115" i="50" s="1"/>
  <c r="A2116" i="50" s="1"/>
  <c r="A2117" i="50" s="1"/>
  <c r="A2118" i="50" s="1"/>
  <c r="A2119" i="50" s="1"/>
  <c r="A2120" i="50" s="1"/>
  <c r="A2121" i="50" s="1"/>
  <c r="A2122" i="50" s="1"/>
  <c r="A2123" i="50" s="1"/>
  <c r="A2124" i="50" s="1"/>
  <c r="A2125" i="50" s="1"/>
  <c r="A2126" i="50" s="1"/>
  <c r="A2127" i="50" s="1"/>
  <c r="A2128" i="50" s="1"/>
  <c r="A2129" i="50" s="1"/>
  <c r="A2130" i="50" s="1"/>
  <c r="A2131" i="50" s="1"/>
  <c r="A2132" i="50" s="1"/>
  <c r="A2133" i="50" s="1"/>
  <c r="A2134" i="50" s="1"/>
  <c r="A2135" i="50" s="1"/>
  <c r="A2136" i="50" s="1"/>
  <c r="A2137" i="50" s="1"/>
  <c r="A2138" i="50" s="1"/>
  <c r="A2139" i="50" s="1"/>
  <c r="A2140" i="50" s="1"/>
  <c r="A2141" i="50" s="1"/>
  <c r="A2142" i="50" s="1"/>
  <c r="A2143" i="50" s="1"/>
  <c r="A2144" i="50" s="1"/>
  <c r="A2145" i="50" s="1"/>
  <c r="A2146" i="50" s="1"/>
  <c r="A2147" i="50" s="1"/>
  <c r="A2148" i="50" s="1"/>
  <c r="A2149" i="50" s="1"/>
  <c r="A2150" i="50" s="1"/>
  <c r="A2151" i="50" s="1"/>
  <c r="A2152" i="50" s="1"/>
  <c r="A2153" i="50" s="1"/>
  <c r="A2154" i="50" s="1"/>
  <c r="A2155" i="50" s="1"/>
  <c r="A2156" i="50" s="1"/>
  <c r="A2157" i="50" s="1"/>
  <c r="A2158" i="50" s="1"/>
  <c r="A2159" i="50" s="1"/>
  <c r="A2160" i="50" s="1"/>
  <c r="A2161" i="50" s="1"/>
  <c r="A2162" i="50" s="1"/>
  <c r="A2163" i="50" s="1"/>
  <c r="A2164" i="50" s="1"/>
  <c r="A2165" i="50" s="1"/>
  <c r="A2166" i="50" s="1"/>
  <c r="A2167" i="50" s="1"/>
  <c r="A2168" i="50" s="1"/>
  <c r="A2169" i="50" s="1"/>
  <c r="A2170" i="50" s="1"/>
  <c r="A2171" i="50" s="1"/>
  <c r="A2172" i="50" s="1"/>
  <c r="A2173" i="50" s="1"/>
  <c r="A2174" i="50" s="1"/>
  <c r="A2175" i="50" s="1"/>
  <c r="A2176" i="50" s="1"/>
  <c r="A2177" i="50" s="1"/>
  <c r="A2178" i="50" s="1"/>
  <c r="A2179" i="50" s="1"/>
  <c r="A2180" i="50" s="1"/>
  <c r="A2181" i="50" s="1"/>
  <c r="A2182" i="50" s="1"/>
  <c r="A2183" i="50" s="1"/>
  <c r="A2184" i="50" s="1"/>
  <c r="A2185" i="50" s="1"/>
  <c r="A2186" i="50" s="1"/>
  <c r="A2187" i="50" s="1"/>
  <c r="A2188" i="50" s="1"/>
  <c r="A2189" i="50" s="1"/>
  <c r="A2190" i="50" s="1"/>
  <c r="A2191" i="50" s="1"/>
  <c r="A2192" i="50" s="1"/>
  <c r="A2193" i="50" s="1"/>
  <c r="A2194" i="50" s="1"/>
  <c r="A2195" i="50" s="1"/>
  <c r="A2196" i="50" s="1"/>
  <c r="A2197" i="50" s="1"/>
  <c r="A2198" i="50" s="1"/>
  <c r="A2199" i="50" s="1"/>
  <c r="A2200" i="50" s="1"/>
  <c r="A2201" i="50" s="1"/>
  <c r="A2202" i="50" s="1"/>
  <c r="A2203" i="50" s="1"/>
  <c r="A2204" i="50" s="1"/>
  <c r="A2205" i="50" s="1"/>
  <c r="A2206" i="50" s="1"/>
  <c r="A2207" i="50" s="1"/>
  <c r="A2208" i="50" s="1"/>
  <c r="A2209" i="50" s="1"/>
  <c r="A2210" i="50" s="1"/>
  <c r="A2215" i="50"/>
  <c r="A2247" i="50"/>
  <c r="A2279" i="50"/>
  <c r="A2311" i="50"/>
  <c r="A2343" i="50"/>
  <c r="A2375" i="50"/>
  <c r="A2407" i="50"/>
  <c r="A2439" i="50"/>
  <c r="A2471" i="50"/>
  <c r="A2503" i="50"/>
  <c r="A3720" i="50"/>
  <c r="A3728" i="50"/>
  <c r="A3736" i="50"/>
  <c r="A3744" i="50"/>
  <c r="A3752" i="50"/>
  <c r="A3760" i="50"/>
  <c r="A3768" i="50"/>
  <c r="A3776" i="50"/>
  <c r="A3784" i="50"/>
  <c r="A3792" i="50"/>
  <c r="A3800" i="50"/>
  <c r="A3808" i="50"/>
  <c r="A3816" i="50"/>
  <c r="A3824" i="50"/>
  <c r="A3832" i="50"/>
  <c r="A3840" i="50"/>
  <c r="A3848" i="50"/>
  <c r="A3856" i="50"/>
  <c r="A3864" i="50"/>
  <c r="A3872" i="50"/>
  <c r="A3880" i="50"/>
  <c r="A3888" i="50"/>
  <c r="A3896" i="50"/>
  <c r="A4112" i="50"/>
  <c r="A4120" i="50"/>
  <c r="A4128" i="50"/>
  <c r="A4136" i="50"/>
  <c r="A4144" i="50"/>
  <c r="A4152" i="50"/>
  <c r="A4160" i="50"/>
  <c r="A4168" i="50"/>
  <c r="A4176" i="50"/>
  <c r="A4184" i="50"/>
  <c r="A4192" i="50"/>
  <c r="A4200" i="50"/>
  <c r="A4208" i="50"/>
  <c r="A4216" i="50"/>
  <c r="A4224" i="50"/>
  <c r="A4232" i="50"/>
  <c r="A4240" i="50"/>
  <c r="A4248" i="50"/>
  <c r="A4256" i="50"/>
  <c r="A4264" i="50"/>
  <c r="A4272" i="50"/>
  <c r="A4280" i="50"/>
  <c r="A4288" i="50"/>
  <c r="A4296" i="50"/>
  <c r="A4304" i="50"/>
  <c r="A4312" i="50"/>
  <c r="A4320" i="50"/>
  <c r="A4328" i="50"/>
  <c r="A4336" i="50"/>
  <c r="A4344" i="50"/>
  <c r="A4352" i="50"/>
  <c r="A4360" i="50"/>
  <c r="A4368" i="50"/>
  <c r="A4376" i="50"/>
  <c r="A4384" i="50"/>
  <c r="A4392" i="50"/>
  <c r="A4400" i="50"/>
  <c r="A4408" i="50"/>
  <c r="A4416" i="50"/>
  <c r="A4424" i="50"/>
  <c r="A4432" i="50"/>
  <c r="A4440" i="50"/>
  <c r="A4448" i="50"/>
  <c r="A4456" i="50"/>
  <c r="A4464" i="50"/>
  <c r="A4472" i="50"/>
  <c r="A4480" i="50"/>
  <c r="A4488" i="50"/>
  <c r="A4496" i="50"/>
  <c r="A4504" i="50"/>
  <c r="A4512" i="50"/>
  <c r="A4520" i="50"/>
  <c r="A4528" i="50"/>
  <c r="A4536" i="50"/>
  <c r="A4544" i="50"/>
  <c r="A4552" i="50"/>
  <c r="A4560" i="50"/>
  <c r="A4568" i="50"/>
  <c r="A4576" i="50"/>
  <c r="A4584" i="50"/>
  <c r="A4592" i="50"/>
  <c r="A4600" i="50"/>
  <c r="A4608" i="50"/>
  <c r="A4616" i="50"/>
  <c r="A4624" i="50"/>
  <c r="A4632" i="50"/>
  <c r="A4640" i="50"/>
  <c r="A4648" i="50"/>
  <c r="A4656" i="50"/>
  <c r="A4664" i="50"/>
  <c r="A4672" i="50"/>
  <c r="A4680" i="50"/>
  <c r="A4688" i="50"/>
  <c r="A4696" i="50"/>
  <c r="A4704" i="50"/>
  <c r="A4712" i="50"/>
  <c r="A4720" i="50"/>
  <c r="A4728" i="50"/>
  <c r="A4736" i="50"/>
  <c r="A4744" i="50"/>
  <c r="A4752" i="50"/>
  <c r="A4760" i="50"/>
  <c r="A4768" i="50"/>
  <c r="A4776" i="50"/>
  <c r="A4784" i="50"/>
  <c r="A4792" i="50"/>
  <c r="A4800" i="50"/>
  <c r="A4808" i="50"/>
  <c r="A4816" i="50"/>
  <c r="A4824" i="50"/>
  <c r="A4832" i="50"/>
  <c r="A4840" i="50"/>
  <c r="A4848" i="50"/>
  <c r="A4856" i="50"/>
  <c r="A4864" i="50"/>
  <c r="A4872" i="50"/>
  <c r="A4880" i="50"/>
  <c r="A4888" i="50"/>
  <c r="A4896" i="50"/>
  <c r="A4904" i="50"/>
  <c r="A4912" i="50"/>
  <c r="A4920" i="50"/>
  <c r="A4928" i="50"/>
  <c r="A4936" i="50"/>
  <c r="A4944" i="50"/>
  <c r="A4952" i="50"/>
  <c r="A4960" i="50"/>
  <c r="A4968" i="50"/>
  <c r="A4976" i="50"/>
  <c r="A4984" i="50"/>
  <c r="A4992" i="50"/>
  <c r="A5000" i="50"/>
  <c r="A5008" i="50"/>
  <c r="A5016" i="50"/>
  <c r="A5024" i="50"/>
  <c r="A5032" i="50"/>
  <c r="A5040" i="50"/>
  <c r="A5048" i="50"/>
  <c r="A5056" i="50"/>
  <c r="A5064" i="50"/>
  <c r="A5072" i="50"/>
  <c r="A5077" i="50"/>
  <c r="A5079" i="50"/>
  <c r="A5081" i="50"/>
  <c r="A5083" i="50"/>
  <c r="A5085" i="50"/>
  <c r="A5087" i="50"/>
  <c r="A5089" i="50"/>
  <c r="A5091" i="50"/>
  <c r="A5093" i="50"/>
  <c r="A5095" i="50"/>
  <c r="A5097" i="50"/>
  <c r="A5099" i="50"/>
  <c r="A5101" i="50"/>
  <c r="A5103" i="50"/>
  <c r="A5105" i="50"/>
  <c r="A5107" i="50"/>
  <c r="A5109" i="50"/>
  <c r="A5111" i="50"/>
  <c r="A5113" i="50"/>
  <c r="A5115" i="50"/>
  <c r="A5117" i="50"/>
  <c r="A5119" i="50"/>
  <c r="A5121" i="50"/>
  <c r="A5123" i="50"/>
  <c r="A5125" i="50"/>
  <c r="A5127" i="50"/>
  <c r="A5129" i="50"/>
  <c r="A5131" i="50"/>
  <c r="A5133" i="50"/>
  <c r="A5135" i="50"/>
  <c r="A5137" i="50"/>
  <c r="A5139" i="50"/>
  <c r="A5141" i="50"/>
  <c r="A5143" i="50"/>
  <c r="A5145" i="50"/>
  <c r="A5147" i="50"/>
  <c r="A5149" i="50"/>
  <c r="A5151" i="50"/>
  <c r="A5153" i="50"/>
  <c r="A5155" i="50"/>
  <c r="A5157" i="50"/>
  <c r="A5159" i="50"/>
  <c r="A5161" i="50"/>
  <c r="A5163" i="50"/>
  <c r="A5165" i="50"/>
  <c r="A5167" i="50"/>
  <c r="A5169" i="50"/>
  <c r="A5171" i="50"/>
  <c r="A5173" i="50"/>
  <c r="A5175" i="50"/>
  <c r="A5177" i="50"/>
  <c r="A5179" i="50"/>
  <c r="A5181" i="50"/>
  <c r="A5183" i="50"/>
  <c r="A5185" i="50"/>
  <c r="A5187" i="50"/>
  <c r="A5189" i="50"/>
  <c r="A5191" i="50"/>
  <c r="A5193" i="50"/>
  <c r="A5195" i="50"/>
  <c r="A5197" i="50"/>
  <c r="A5199" i="50"/>
  <c r="A5201" i="50"/>
  <c r="A5203" i="50"/>
  <c r="A5205" i="50"/>
  <c r="A5207" i="50"/>
  <c r="A5209" i="50"/>
  <c r="A5211" i="50"/>
  <c r="A5213" i="50"/>
  <c r="A5215" i="50"/>
  <c r="A5217" i="50"/>
  <c r="A5219" i="50"/>
  <c r="A5221" i="50"/>
  <c r="A5223" i="50"/>
  <c r="A5225" i="50"/>
  <c r="A5227" i="50"/>
  <c r="A5229" i="50"/>
  <c r="A5231" i="50"/>
  <c r="A5233" i="50"/>
  <c r="A5235" i="50"/>
  <c r="A5237" i="50"/>
  <c r="A5239" i="50"/>
  <c r="A5241" i="50"/>
  <c r="A5243" i="50"/>
  <c r="A5245" i="50"/>
  <c r="A5247" i="50"/>
  <c r="A5249" i="50"/>
  <c r="A5251" i="50"/>
  <c r="A5253" i="50"/>
  <c r="A5255" i="50"/>
  <c r="A5257" i="50"/>
  <c r="A5259" i="50"/>
  <c r="A5261" i="50"/>
  <c r="A5263" i="50"/>
  <c r="A5265" i="50"/>
  <c r="A5267" i="50"/>
  <c r="A5269" i="50"/>
  <c r="A5271" i="50"/>
  <c r="A5273" i="50"/>
  <c r="A5275" i="50"/>
  <c r="A5277" i="50"/>
  <c r="A5279" i="50"/>
  <c r="A5281" i="50"/>
  <c r="A5283" i="50"/>
  <c r="A5285" i="50"/>
  <c r="A5287" i="50"/>
  <c r="A5289" i="50"/>
  <c r="A5291" i="50"/>
  <c r="A5293" i="50"/>
  <c r="A5295" i="50"/>
  <c r="A5297" i="50"/>
  <c r="A5299" i="50"/>
  <c r="A5301" i="50"/>
  <c r="A5303" i="50"/>
  <c r="A5305" i="50"/>
  <c r="A5307" i="50"/>
  <c r="A5309" i="50"/>
  <c r="A5311" i="50"/>
  <c r="A5313" i="50"/>
  <c r="A5315" i="50"/>
  <c r="A5317" i="50"/>
  <c r="A5319" i="50"/>
  <c r="A5321" i="50"/>
  <c r="A5323" i="50"/>
  <c r="A5325" i="50"/>
  <c r="A5327" i="50"/>
  <c r="A5329" i="50"/>
  <c r="A5331" i="50"/>
  <c r="A5333" i="50"/>
  <c r="A5335" i="50"/>
  <c r="A5337" i="50"/>
  <c r="A5339" i="50"/>
  <c r="A5341" i="50"/>
  <c r="A5343" i="50"/>
  <c r="A5345" i="50"/>
  <c r="A5347" i="50"/>
  <c r="A5349" i="50"/>
  <c r="A5351" i="50"/>
  <c r="A5353" i="50"/>
  <c r="A5355" i="50"/>
  <c r="A5357" i="50"/>
  <c r="A5359" i="50"/>
  <c r="A5361" i="50"/>
  <c r="A5363" i="50"/>
  <c r="A5365" i="50"/>
  <c r="A5367" i="50"/>
  <c r="A5369" i="50"/>
  <c r="A5371" i="50"/>
  <c r="A5373" i="50"/>
  <c r="A5375" i="50"/>
  <c r="A5377" i="50"/>
  <c r="A5379" i="50"/>
  <c r="A5381" i="50"/>
  <c r="A5383" i="50"/>
  <c r="A5385" i="50"/>
  <c r="A5387" i="50"/>
  <c r="A5389" i="50"/>
  <c r="A5391" i="50"/>
  <c r="A5393" i="50"/>
  <c r="A5395" i="50"/>
  <c r="A5397" i="50"/>
  <c r="A5399" i="50"/>
  <c r="A5401" i="50"/>
  <c r="A5403" i="50"/>
  <c r="A5405" i="50"/>
  <c r="A5407" i="50"/>
  <c r="A5409" i="50"/>
  <c r="A5411" i="50"/>
  <c r="A5413" i="50"/>
  <c r="A5415" i="50"/>
  <c r="A5417" i="50"/>
  <c r="A5419" i="50"/>
  <c r="A5421" i="50"/>
  <c r="A5423" i="50"/>
  <c r="A5425" i="50"/>
  <c r="A5427" i="50"/>
  <c r="A5429" i="50"/>
  <c r="A5431" i="50"/>
  <c r="A5433" i="50"/>
  <c r="A5435" i="50"/>
  <c r="A5437" i="50"/>
  <c r="A5439" i="50"/>
  <c r="A5441" i="50"/>
  <c r="A5443" i="50"/>
  <c r="A5445" i="50"/>
  <c r="A5447" i="50"/>
  <c r="A5449" i="50"/>
  <c r="A5451" i="50"/>
  <c r="A5453" i="50"/>
  <c r="A5455" i="50"/>
  <c r="A5457" i="50"/>
  <c r="A5459" i="50"/>
  <c r="A5461" i="50"/>
  <c r="A5463" i="50"/>
  <c r="A5465" i="50"/>
  <c r="A5467" i="50"/>
  <c r="A5469" i="50"/>
  <c r="A5471" i="50"/>
  <c r="A5473" i="50"/>
  <c r="A5475" i="50"/>
  <c r="A5477" i="50"/>
  <c r="A5479" i="50"/>
  <c r="A5481" i="50"/>
  <c r="A5483" i="50"/>
  <c r="A5485" i="50"/>
  <c r="A5487" i="50"/>
  <c r="A5489" i="50"/>
  <c r="A5491" i="50"/>
  <c r="A5493" i="50"/>
  <c r="A5495" i="50"/>
  <c r="A5497" i="50"/>
  <c r="A5499" i="50"/>
  <c r="A5501" i="50"/>
  <c r="A5503" i="50"/>
  <c r="A5505" i="50"/>
  <c r="A5507" i="50"/>
  <c r="A5509" i="50"/>
  <c r="A5511" i="50"/>
  <c r="A5513" i="50"/>
  <c r="A5515" i="50"/>
  <c r="A5517" i="50"/>
  <c r="A5519" i="50"/>
  <c r="A5521" i="50"/>
  <c r="A5523" i="50"/>
  <c r="A5525" i="50"/>
  <c r="A5527" i="50"/>
  <c r="A5529" i="50"/>
  <c r="A5531" i="50"/>
  <c r="A5533" i="50"/>
  <c r="A5535" i="50"/>
  <c r="A5537" i="50"/>
  <c r="A5539" i="50"/>
  <c r="A5541" i="50"/>
  <c r="A5543" i="50"/>
  <c r="A5545" i="50"/>
  <c r="A5547" i="50"/>
  <c r="A5549" i="50"/>
  <c r="A5551" i="50"/>
  <c r="A5553" i="50"/>
  <c r="A5555" i="50"/>
  <c r="A5557" i="50"/>
  <c r="A5559" i="50"/>
  <c r="A5561" i="50"/>
  <c r="A5563" i="50"/>
  <c r="A5565" i="50"/>
  <c r="A5567" i="50"/>
  <c r="A5569" i="50"/>
  <c r="A5571" i="50"/>
  <c r="A5573" i="50"/>
  <c r="A5575" i="50"/>
  <c r="A5577" i="50"/>
  <c r="A5579" i="50"/>
  <c r="A5581" i="50"/>
  <c r="A5583" i="50"/>
  <c r="A5585" i="50"/>
  <c r="A5587" i="50"/>
  <c r="A5589" i="50"/>
  <c r="A5591" i="50"/>
  <c r="A5593" i="50"/>
  <c r="A5595" i="50"/>
  <c r="A5597" i="50"/>
  <c r="A5599" i="50"/>
  <c r="A5601" i="50"/>
  <c r="A5603" i="50"/>
  <c r="A5605" i="50"/>
  <c r="A5607" i="50"/>
  <c r="A5609" i="50"/>
  <c r="A5611" i="50"/>
  <c r="A5613" i="50"/>
  <c r="A5615" i="50"/>
  <c r="A5617" i="50"/>
  <c r="A5619" i="50"/>
  <c r="A5621" i="50"/>
  <c r="A5623" i="50"/>
  <c r="A5625" i="50"/>
  <c r="A5627" i="50"/>
  <c r="A5629" i="50"/>
  <c r="A5631" i="50"/>
  <c r="A5633" i="50"/>
  <c r="A5635" i="50"/>
  <c r="A5637" i="50"/>
  <c r="A5639" i="50"/>
  <c r="A5641" i="50"/>
  <c r="A5643" i="50"/>
  <c r="A5645" i="50"/>
  <c r="A5647" i="50"/>
  <c r="A5649" i="50"/>
  <c r="A5651" i="50"/>
  <c r="A5653" i="50"/>
  <c r="A5655" i="50"/>
  <c r="A5657" i="50"/>
  <c r="A5659" i="50"/>
  <c r="A5661" i="50"/>
  <c r="A5663" i="50"/>
  <c r="A5665" i="50"/>
  <c r="A5667" i="50"/>
  <c r="A5669" i="50"/>
  <c r="A5671" i="50"/>
  <c r="A5673" i="50"/>
  <c r="A5675" i="50"/>
  <c r="A5677" i="50"/>
  <c r="A5679" i="50"/>
  <c r="A5681" i="50"/>
  <c r="A5683" i="50"/>
  <c r="A5685" i="50"/>
  <c r="A5687" i="50"/>
  <c r="A5689" i="50"/>
  <c r="A5691" i="50"/>
  <c r="A5693" i="50"/>
  <c r="A5695" i="50"/>
  <c r="A5697" i="50"/>
  <c r="A5699" i="50"/>
  <c r="A5701" i="50"/>
  <c r="A5703" i="50"/>
  <c r="A5705" i="50"/>
  <c r="A5707" i="50"/>
  <c r="A5709" i="50"/>
  <c r="A5711" i="50"/>
  <c r="A5713" i="50"/>
  <c r="A5715" i="50"/>
  <c r="A5716" i="50" s="1"/>
  <c r="A5717" i="50" s="1"/>
  <c r="A5718" i="50" s="1"/>
  <c r="A5719" i="50" s="1"/>
  <c r="A5720" i="50" s="1"/>
  <c r="A5721" i="50" s="1"/>
  <c r="A5722" i="50" s="1"/>
  <c r="A5723" i="50" s="1"/>
  <c r="A5724" i="50" s="1"/>
  <c r="A5725" i="50" s="1"/>
  <c r="A5726" i="50" s="1"/>
  <c r="A5727" i="50" s="1"/>
  <c r="A5728" i="50" s="1"/>
  <c r="A5729" i="50" s="1"/>
  <c r="A5730" i="50" s="1"/>
  <c r="A5731" i="50" s="1"/>
  <c r="A5732" i="50" s="1"/>
  <c r="A5733" i="50" s="1"/>
  <c r="A5734" i="50" s="1"/>
  <c r="A5735" i="50" s="1"/>
  <c r="A5736" i="50" s="1"/>
  <c r="A5737" i="50" s="1"/>
  <c r="A5738" i="50" s="1"/>
  <c r="A5739" i="50" s="1"/>
  <c r="A5740" i="50" s="1"/>
  <c r="A5741" i="50" s="1"/>
  <c r="A5742" i="50" s="1"/>
  <c r="A5743" i="50" s="1"/>
  <c r="A5744" i="50" s="1"/>
  <c r="A5745" i="50" s="1"/>
  <c r="A5746" i="50" s="1"/>
  <c r="A5747" i="50" s="1"/>
  <c r="A5748" i="50" s="1"/>
  <c r="A5749" i="50" s="1"/>
  <c r="A5750" i="50" s="1"/>
  <c r="A5751" i="50" s="1"/>
  <c r="A5752" i="50" s="1"/>
  <c r="A5753" i="50" s="1"/>
  <c r="A5754" i="50" s="1"/>
  <c r="A5755" i="50" s="1"/>
  <c r="A5756" i="50" s="1"/>
  <c r="A5757" i="50" s="1"/>
  <c r="A5758" i="50" s="1"/>
  <c r="A5759" i="50" s="1"/>
  <c r="A5760" i="50" s="1"/>
  <c r="A5761" i="50" s="1"/>
  <c r="A5762" i="50" s="1"/>
  <c r="A5763" i="50" s="1"/>
  <c r="A5764" i="50" s="1"/>
  <c r="A5765" i="50" s="1"/>
  <c r="A5766" i="50" s="1"/>
  <c r="A5767" i="50" s="1"/>
  <c r="A5768" i="50" s="1"/>
  <c r="A5769" i="50" s="1"/>
  <c r="A5770" i="50" s="1"/>
  <c r="A5771" i="50" s="1"/>
  <c r="A5772" i="50" s="1"/>
  <c r="A5773" i="50" s="1"/>
  <c r="A5774" i="50" s="1"/>
  <c r="A5775" i="50" s="1"/>
  <c r="A5776" i="50" s="1"/>
  <c r="A5777" i="50" s="1"/>
  <c r="A5778" i="50" s="1"/>
  <c r="A5779" i="50" s="1"/>
  <c r="A5780" i="50" s="1"/>
  <c r="A5781" i="50" s="1"/>
  <c r="A5782" i="50" s="1"/>
  <c r="A5783" i="50" s="1"/>
  <c r="A5784" i="50" s="1"/>
  <c r="A5785" i="50" s="1"/>
  <c r="A5786" i="50" s="1"/>
  <c r="A5787" i="50" s="1"/>
  <c r="A5788" i="50" s="1"/>
  <c r="A5789" i="50" s="1"/>
  <c r="A5790" i="50" s="1"/>
  <c r="A5791" i="50" s="1"/>
  <c r="A5792" i="50" s="1"/>
  <c r="A5793" i="50" s="1"/>
  <c r="A5794" i="50" s="1"/>
  <c r="A5795" i="50" s="1"/>
  <c r="A5796" i="50" s="1"/>
  <c r="A5797" i="50" s="1"/>
  <c r="A5798" i="50" s="1"/>
  <c r="A5799" i="50" s="1"/>
  <c r="A5800" i="50" s="1"/>
  <c r="A5801" i="50" s="1"/>
  <c r="A5802" i="50" s="1"/>
  <c r="A5803" i="50" s="1"/>
  <c r="A5804" i="50" s="1"/>
  <c r="A5805" i="50" s="1"/>
  <c r="A5806" i="50" s="1"/>
  <c r="A5807" i="50" s="1"/>
  <c r="A5808" i="50" s="1"/>
  <c r="A5809" i="50" s="1"/>
  <c r="A5810" i="50" s="1"/>
  <c r="A5811" i="50" s="1"/>
  <c r="A5812" i="50" s="1"/>
  <c r="A5813" i="50" s="1"/>
  <c r="A5814" i="50" s="1"/>
  <c r="A5815" i="50" s="1"/>
  <c r="A5816" i="50" s="1"/>
  <c r="A5817" i="50" s="1"/>
  <c r="A5818" i="50" s="1"/>
  <c r="A5819" i="50" s="1"/>
  <c r="A5820" i="50" s="1"/>
  <c r="A5821" i="50" s="1"/>
  <c r="A5822" i="50" s="1"/>
  <c r="A5823" i="50" s="1"/>
  <c r="A5824" i="50" s="1"/>
  <c r="A5825" i="50" s="1"/>
  <c r="A5826" i="50" s="1"/>
  <c r="A5827" i="50" s="1"/>
  <c r="A5828" i="50" s="1"/>
  <c r="A5829" i="50" s="1"/>
  <c r="A5830" i="50" s="1"/>
  <c r="A5831" i="50" s="1"/>
  <c r="A5832" i="50" s="1"/>
  <c r="A5833" i="50" s="1"/>
  <c r="A5834" i="50" s="1"/>
  <c r="A5835" i="50" s="1"/>
  <c r="A5836" i="50" s="1"/>
  <c r="A5837" i="50" s="1"/>
  <c r="A5838" i="50" s="1"/>
  <c r="A5839" i="50" s="1"/>
  <c r="A5840" i="50" s="1"/>
  <c r="A5841" i="50" s="1"/>
  <c r="A5842" i="50" s="1"/>
  <c r="A5843" i="50" s="1"/>
  <c r="A5844" i="50" s="1"/>
  <c r="A5845" i="50" s="1"/>
  <c r="A5846" i="50" s="1"/>
  <c r="A5847" i="50" s="1"/>
  <c r="A5848" i="50" s="1"/>
  <c r="A5849" i="50" s="1"/>
  <c r="A5850" i="50" s="1"/>
  <c r="A5851" i="50" s="1"/>
  <c r="A5852" i="50" s="1"/>
  <c r="A5853" i="50" s="1"/>
  <c r="A5854" i="50" s="1"/>
  <c r="A5855" i="50" s="1"/>
  <c r="A5856" i="50" s="1"/>
  <c r="A5857" i="50" s="1"/>
  <c r="A5858" i="50" s="1"/>
  <c r="A5859" i="50" s="1"/>
  <c r="A5860" i="50" s="1"/>
  <c r="A5861" i="50" s="1"/>
  <c r="A5862" i="50" s="1"/>
  <c r="A5863" i="50" s="1"/>
  <c r="A5865" i="50"/>
  <c r="A5867" i="50"/>
  <c r="A5869" i="50"/>
  <c r="A5871" i="50"/>
  <c r="A5873" i="50"/>
  <c r="A5875" i="50"/>
  <c r="A5877" i="50"/>
  <c r="A5879" i="50"/>
  <c r="A5881" i="50"/>
  <c r="A5883" i="50"/>
  <c r="A5885" i="50"/>
  <c r="A5887" i="50"/>
  <c r="A5889" i="50"/>
  <c r="A5891" i="50"/>
  <c r="A5893" i="50"/>
  <c r="A5895" i="50"/>
  <c r="A5897" i="50"/>
  <c r="A5899" i="50"/>
  <c r="A5901" i="50"/>
  <c r="A5903" i="50"/>
  <c r="A5905" i="50"/>
  <c r="A5907" i="50"/>
  <c r="A5909" i="50"/>
  <c r="A5911" i="50"/>
  <c r="A5913" i="50"/>
  <c r="A5915" i="50"/>
  <c r="A5917" i="50"/>
  <c r="A5919" i="50"/>
  <c r="A5921" i="50"/>
  <c r="A5923" i="50"/>
  <c r="A5925" i="50"/>
  <c r="A5927" i="50"/>
  <c r="A5929" i="50"/>
  <c r="A5931" i="50"/>
  <c r="A5933" i="50"/>
  <c r="A5935" i="50"/>
  <c r="A5937" i="50"/>
  <c r="A5939" i="50"/>
  <c r="A5941" i="50"/>
  <c r="A5943" i="50"/>
  <c r="A5945" i="50"/>
  <c r="A5947" i="50"/>
  <c r="A5949" i="50"/>
  <c r="A5951" i="50"/>
  <c r="A5953" i="50"/>
  <c r="A5955" i="50"/>
  <c r="A5957" i="50"/>
  <c r="A5959" i="50"/>
  <c r="A5961" i="50"/>
  <c r="A5963" i="50"/>
  <c r="A5965" i="50"/>
  <c r="A5967" i="50"/>
  <c r="A5969" i="50"/>
  <c r="A5971" i="50"/>
  <c r="A5973" i="50"/>
  <c r="A5975" i="50"/>
  <c r="A5977" i="50"/>
  <c r="A5979" i="50"/>
  <c r="A5981" i="50"/>
  <c r="A5983" i="50"/>
  <c r="A5985" i="50"/>
  <c r="A5987" i="50"/>
  <c r="A5989" i="50"/>
  <c r="A5991" i="50"/>
  <c r="A5993" i="50"/>
  <c r="A5995" i="50"/>
  <c r="A5997" i="50"/>
  <c r="A5999" i="50"/>
  <c r="A6001" i="50"/>
  <c r="A6003" i="50"/>
  <c r="A6005" i="50"/>
  <c r="A6007" i="50"/>
  <c r="A6009" i="50"/>
  <c r="A6011" i="50"/>
  <c r="A6013" i="50"/>
  <c r="A6015" i="50"/>
  <c r="A6017" i="50"/>
  <c r="A6019" i="50"/>
  <c r="A6021" i="50"/>
  <c r="A6023" i="50"/>
  <c r="A6025" i="50"/>
  <c r="A6027" i="50"/>
  <c r="A6029" i="50"/>
  <c r="A6031" i="50"/>
  <c r="A6033" i="50"/>
  <c r="A6035" i="50"/>
  <c r="A6037" i="50"/>
  <c r="A6039" i="50"/>
  <c r="A6041" i="50"/>
  <c r="A6043" i="50"/>
  <c r="A6045" i="50"/>
  <c r="A6047" i="50"/>
  <c r="A6049" i="50"/>
  <c r="A6051" i="50"/>
  <c r="A6053" i="50"/>
  <c r="A6055" i="50"/>
  <c r="A6057" i="50"/>
  <c r="A1859" i="50"/>
  <c r="A2243" i="50"/>
  <c r="A2307" i="50"/>
  <c r="A2371" i="50"/>
  <c r="A2435" i="50"/>
  <c r="A2499" i="50"/>
  <c r="A3734" i="50"/>
  <c r="A3750" i="50"/>
  <c r="A3766" i="50"/>
  <c r="A3782" i="50"/>
  <c r="A3798" i="50"/>
  <c r="A3814" i="50"/>
  <c r="A3830" i="50"/>
  <c r="A3846" i="50"/>
  <c r="A3862" i="50"/>
  <c r="A3878" i="50"/>
  <c r="A3894" i="50"/>
  <c r="A4118" i="50"/>
  <c r="A4134" i="50"/>
  <c r="A4150" i="50"/>
  <c r="A4166" i="50"/>
  <c r="A4182" i="50"/>
  <c r="A4198" i="50"/>
  <c r="A4214" i="50"/>
  <c r="A4230" i="50"/>
  <c r="A4246" i="50"/>
  <c r="A4262" i="50"/>
  <c r="A4278" i="50"/>
  <c r="A4294" i="50"/>
  <c r="A4310" i="50"/>
  <c r="A4326" i="50"/>
  <c r="A4342" i="50"/>
  <c r="A4358" i="50"/>
  <c r="A4374" i="50"/>
  <c r="A4390" i="50"/>
  <c r="A4406" i="50"/>
  <c r="A4422" i="50"/>
  <c r="A4438" i="50"/>
  <c r="A4454" i="50"/>
  <c r="A4470" i="50"/>
  <c r="A4486" i="50"/>
  <c r="A4502" i="50"/>
  <c r="A4518" i="50"/>
  <c r="A4534" i="50"/>
  <c r="A4550" i="50"/>
  <c r="A4566" i="50"/>
  <c r="A4582" i="50"/>
  <c r="A4598" i="50"/>
  <c r="A4614" i="50"/>
  <c r="A4630" i="50"/>
  <c r="A4646" i="50"/>
  <c r="A4662" i="50"/>
  <c r="A4678" i="50"/>
  <c r="A4694" i="50"/>
  <c r="A4710" i="50"/>
  <c r="A4726" i="50"/>
  <c r="A4742" i="50"/>
  <c r="A4758" i="50"/>
  <c r="A4774" i="50"/>
  <c r="A4790" i="50"/>
  <c r="A4806" i="50"/>
  <c r="A4822" i="50"/>
  <c r="A4838" i="50"/>
  <c r="A4854" i="50"/>
  <c r="A4870" i="50"/>
  <c r="A4886" i="50"/>
  <c r="A4902" i="50"/>
  <c r="A4918" i="50"/>
  <c r="A4934" i="50"/>
  <c r="A4950" i="50"/>
  <c r="A4966" i="50"/>
  <c r="A4982" i="50"/>
  <c r="A4998" i="50"/>
  <c r="A5014" i="50"/>
  <c r="A5030" i="50"/>
  <c r="A5046" i="50"/>
  <c r="A5062" i="50"/>
  <c r="A6058" i="50"/>
  <c r="A6060" i="50"/>
  <c r="A6062" i="50"/>
  <c r="A6064" i="50"/>
  <c r="A6066" i="50"/>
  <c r="A6068" i="50"/>
  <c r="A6070" i="50"/>
  <c r="A6072" i="50"/>
  <c r="A6074" i="50"/>
  <c r="A6076" i="50"/>
  <c r="A6078" i="50"/>
  <c r="A6080" i="50"/>
  <c r="A6082" i="50"/>
  <c r="A6084" i="50"/>
  <c r="A6086" i="50"/>
  <c r="A6088" i="50"/>
  <c r="A6090" i="50"/>
  <c r="A6092" i="50"/>
  <c r="A6094" i="50"/>
  <c r="A6096" i="50"/>
  <c r="A6098" i="50"/>
  <c r="A6100" i="50"/>
  <c r="A6102" i="50"/>
  <c r="A6104" i="50"/>
  <c r="A6106" i="50"/>
  <c r="A6108" i="50"/>
  <c r="A6110" i="50"/>
  <c r="A6112" i="50"/>
  <c r="A6114" i="50"/>
  <c r="A6116" i="50"/>
  <c r="A6118" i="50"/>
  <c r="A6120" i="50"/>
  <c r="A6122" i="50"/>
  <c r="A6124" i="50"/>
  <c r="A6126" i="50"/>
  <c r="A6128" i="50"/>
  <c r="A6130" i="50"/>
  <c r="A6132" i="50"/>
  <c r="A6134" i="50"/>
  <c r="A6136" i="50"/>
  <c r="A6138" i="50"/>
  <c r="A6140" i="50"/>
  <c r="A6142" i="50"/>
  <c r="A6144" i="50"/>
  <c r="A6146" i="50"/>
  <c r="A6148" i="50"/>
  <c r="A6150" i="50"/>
  <c r="A6152" i="50"/>
  <c r="A6154" i="50"/>
  <c r="A6156" i="50"/>
  <c r="A6158" i="50"/>
  <c r="A6160" i="50"/>
  <c r="A6162" i="50"/>
  <c r="A6164" i="50"/>
  <c r="A6166" i="50"/>
  <c r="A6168" i="50"/>
  <c r="A6170" i="50"/>
  <c r="A6172" i="50"/>
  <c r="A6174" i="50"/>
  <c r="A6176" i="50"/>
  <c r="A6178" i="50"/>
  <c r="A6180" i="50"/>
  <c r="A6182" i="50"/>
  <c r="A6184" i="50"/>
  <c r="A6186" i="50"/>
  <c r="A6188" i="50"/>
  <c r="A6190" i="50"/>
  <c r="A6192" i="50"/>
  <c r="A6194" i="50"/>
  <c r="A6196" i="50"/>
  <c r="A6198" i="50"/>
  <c r="A6200" i="50"/>
  <c r="A6202" i="50"/>
  <c r="A6204" i="50"/>
  <c r="A6206" i="50"/>
  <c r="A6208" i="50"/>
  <c r="A6210" i="50"/>
  <c r="A6212" i="50"/>
  <c r="A6214" i="50"/>
  <c r="A6216" i="50"/>
  <c r="A6218" i="50"/>
  <c r="A6220" i="50"/>
  <c r="A6222" i="50"/>
  <c r="A6224" i="50"/>
  <c r="A6226" i="50"/>
  <c r="A6228" i="50"/>
  <c r="A6230" i="50"/>
  <c r="A6232" i="50"/>
  <c r="A6234" i="50"/>
  <c r="A6236" i="50"/>
  <c r="A6238" i="50"/>
  <c r="A6240" i="50"/>
  <c r="A6242" i="50"/>
  <c r="A6244" i="50"/>
  <c r="A6246" i="50"/>
  <c r="A6248" i="50"/>
  <c r="A6250" i="50"/>
  <c r="A6252" i="50"/>
  <c r="A6254" i="50"/>
  <c r="A6256" i="50"/>
  <c r="A6258" i="50"/>
  <c r="A6260" i="50"/>
  <c r="A6262" i="50"/>
  <c r="A6264" i="50"/>
  <c r="A6266" i="50"/>
  <c r="A6268" i="50"/>
  <c r="A6270" i="50"/>
  <c r="A6272" i="50"/>
  <c r="A6274" i="50"/>
  <c r="A6276" i="50"/>
  <c r="A6278" i="50"/>
  <c r="A6280" i="50"/>
  <c r="A6282" i="50"/>
  <c r="A6284" i="50"/>
  <c r="A6286" i="50"/>
  <c r="A6288" i="50"/>
  <c r="A6290" i="50"/>
  <c r="A6292" i="50"/>
  <c r="A6294" i="50"/>
  <c r="A6296" i="50"/>
  <c r="A6298" i="50"/>
  <c r="A6300" i="50"/>
  <c r="A6302" i="50"/>
  <c r="A6304" i="50"/>
  <c r="A6306" i="50"/>
  <c r="A6308" i="50"/>
  <c r="A6310" i="50"/>
  <c r="A6312" i="50"/>
  <c r="A6314" i="50"/>
  <c r="A6316" i="50"/>
  <c r="A6318" i="50"/>
  <c r="A6320" i="50"/>
  <c r="A6322" i="50"/>
  <c r="A6324" i="50"/>
  <c r="A6326" i="50"/>
  <c r="A6328" i="50"/>
  <c r="A6330" i="50"/>
  <c r="A6332" i="50"/>
  <c r="A6334" i="50"/>
  <c r="A6336" i="50"/>
  <c r="A6338" i="50"/>
  <c r="A6340" i="50"/>
  <c r="A6342" i="50"/>
  <c r="A6344" i="50"/>
  <c r="A6346" i="50"/>
  <c r="A6348" i="50"/>
  <c r="A6350" i="50"/>
  <c r="A6352" i="50"/>
  <c r="A6354" i="50"/>
  <c r="A6356" i="50"/>
  <c r="A6358" i="50"/>
  <c r="A6360" i="50"/>
  <c r="A6362" i="50"/>
  <c r="A6364" i="50"/>
  <c r="A6366" i="50"/>
  <c r="A6368" i="50"/>
  <c r="A6370" i="50"/>
  <c r="A6372" i="50"/>
  <c r="A6374" i="50"/>
  <c r="A6376" i="50"/>
  <c r="A6378" i="50"/>
  <c r="A6380" i="50"/>
  <c r="A6382" i="50"/>
  <c r="A6384" i="50"/>
  <c r="A6386" i="50"/>
  <c r="A6388" i="50"/>
  <c r="A6390" i="50"/>
  <c r="A6392" i="50"/>
  <c r="A6394" i="50"/>
  <c r="A6396" i="50"/>
  <c r="A6398" i="50"/>
  <c r="A6400" i="50"/>
  <c r="A6402" i="50"/>
  <c r="A6404" i="50"/>
  <c r="A6406" i="50"/>
  <c r="A6408" i="50"/>
  <c r="A6410" i="50"/>
  <c r="A6412" i="50"/>
  <c r="A6414" i="50"/>
  <c r="A6416" i="50"/>
  <c r="A6418" i="50"/>
  <c r="A6420" i="50"/>
  <c r="A6422" i="50"/>
  <c r="A6424" i="50"/>
  <c r="A6426" i="50"/>
  <c r="A6428" i="50"/>
  <c r="A6430" i="50"/>
  <c r="A6432" i="50"/>
  <c r="A6434" i="50"/>
  <c r="A6436" i="50"/>
  <c r="A6438" i="50"/>
  <c r="A6440" i="50"/>
  <c r="A6442" i="50"/>
  <c r="A6444" i="50"/>
  <c r="A6446" i="50"/>
  <c r="A6448" i="50"/>
  <c r="A6450" i="50"/>
  <c r="A6452" i="50"/>
  <c r="A6454" i="50"/>
  <c r="A6456" i="50"/>
  <c r="A6458" i="50"/>
  <c r="A6460" i="50"/>
  <c r="A6462" i="50"/>
  <c r="A6464" i="50"/>
  <c r="A6466" i="50"/>
  <c r="A6468" i="50"/>
  <c r="A6470" i="50"/>
  <c r="A6472" i="50"/>
  <c r="A6474" i="50"/>
  <c r="A6476" i="50"/>
  <c r="A6478" i="50"/>
  <c r="A6480" i="50"/>
  <c r="A6482" i="50"/>
  <c r="A6484" i="50"/>
  <c r="A6486" i="50"/>
  <c r="A6488" i="50"/>
  <c r="A6490" i="50"/>
  <c r="A6492" i="50"/>
  <c r="A6494" i="50"/>
  <c r="A6496" i="50"/>
  <c r="A6498" i="50"/>
  <c r="A6500" i="50"/>
  <c r="A6502" i="50"/>
  <c r="A6504" i="50"/>
  <c r="A6506" i="50"/>
  <c r="A6508" i="50"/>
  <c r="A6510" i="50"/>
  <c r="A6512" i="50"/>
  <c r="A6514" i="50"/>
  <c r="A6516" i="50"/>
  <c r="A6518" i="50"/>
  <c r="A6520" i="50"/>
  <c r="A6522" i="50"/>
  <c r="A6524" i="50"/>
  <c r="A6526" i="50"/>
  <c r="A6528" i="50"/>
  <c r="A6530" i="50"/>
  <c r="A6532" i="50"/>
  <c r="A6534" i="50"/>
  <c r="A6536" i="50"/>
  <c r="A6538" i="50"/>
  <c r="A6540" i="50"/>
  <c r="A6542" i="50"/>
  <c r="A6544" i="50"/>
  <c r="A6546" i="50"/>
  <c r="A6548" i="50"/>
  <c r="A6550" i="50"/>
  <c r="A6552" i="50"/>
  <c r="A6554" i="50"/>
  <c r="A6556" i="50"/>
  <c r="A6558" i="50"/>
  <c r="A6560" i="50"/>
  <c r="A6562" i="50"/>
  <c r="A6564" i="50"/>
  <c r="A6566" i="50"/>
  <c r="A6568" i="50"/>
  <c r="A6570" i="50"/>
  <c r="A6572" i="50"/>
  <c r="A6574" i="50"/>
  <c r="A6576" i="50"/>
  <c r="A6578" i="50"/>
  <c r="A6580" i="50"/>
  <c r="A6582" i="50"/>
  <c r="A6584" i="50"/>
  <c r="A6586" i="50"/>
  <c r="A6588" i="50"/>
  <c r="A6590" i="50"/>
  <c r="A6592" i="50"/>
  <c r="A6594" i="50"/>
  <c r="A6596" i="50"/>
  <c r="A6598" i="50"/>
  <c r="A6600" i="50"/>
  <c r="A6602" i="50"/>
  <c r="A6604" i="50"/>
  <c r="A6606" i="50"/>
  <c r="A6608" i="50"/>
  <c r="A6610" i="50"/>
  <c r="A6612" i="50"/>
  <c r="A6614" i="50"/>
  <c r="A6616" i="50"/>
  <c r="A6618" i="50"/>
  <c r="A6620" i="50"/>
  <c r="A6622" i="50"/>
  <c r="A6624" i="50"/>
  <c r="A6626" i="50"/>
  <c r="A6628" i="50"/>
  <c r="A6630" i="50"/>
  <c r="A6632" i="50"/>
  <c r="A6634" i="50"/>
  <c r="A6636" i="50"/>
  <c r="A6638" i="50"/>
  <c r="A6640" i="50"/>
  <c r="A6642" i="50"/>
  <c r="A6644" i="50"/>
  <c r="A6646" i="50"/>
  <c r="A6648" i="50"/>
  <c r="A6650" i="50"/>
  <c r="A6652" i="50"/>
  <c r="A6654" i="50"/>
  <c r="A6656" i="50"/>
  <c r="A6658" i="50"/>
  <c r="A6660" i="50"/>
  <c r="A6662" i="50"/>
  <c r="A6664" i="50"/>
  <c r="A6666" i="50"/>
  <c r="A6668" i="50"/>
  <c r="A6670" i="50"/>
  <c r="A6672" i="50"/>
  <c r="A6674" i="50"/>
  <c r="A6676" i="50"/>
  <c r="A6678" i="50"/>
  <c r="A6680" i="50"/>
  <c r="A6682" i="50"/>
  <c r="A6684" i="50"/>
  <c r="A6686" i="50"/>
  <c r="A6688" i="50"/>
  <c r="A6690" i="50"/>
  <c r="A6692" i="50"/>
  <c r="A6694" i="50"/>
  <c r="A6696" i="50"/>
  <c r="A6698" i="50"/>
  <c r="A6700" i="50"/>
  <c r="A6702" i="50"/>
  <c r="A6704" i="50"/>
  <c r="A6706" i="50"/>
  <c r="A6708" i="50"/>
  <c r="A6710" i="50"/>
  <c r="A6712" i="50"/>
  <c r="A6714" i="50"/>
  <c r="A6716" i="50"/>
  <c r="A6718" i="50"/>
  <c r="A6720" i="50"/>
  <c r="A6722" i="50"/>
  <c r="A6724" i="50"/>
  <c r="A6726" i="50"/>
  <c r="A6728" i="50"/>
  <c r="A6730" i="50"/>
  <c r="A6732" i="50"/>
  <c r="A6734" i="50"/>
  <c r="A6736" i="50"/>
  <c r="A6738" i="50"/>
  <c r="A6740" i="50"/>
  <c r="A6742" i="50"/>
  <c r="A6744" i="50"/>
  <c r="A6746" i="50"/>
  <c r="A6748" i="50"/>
  <c r="A6750" i="50"/>
  <c r="A6752" i="50"/>
  <c r="A6754" i="50"/>
  <c r="A6756" i="50"/>
  <c r="A6758" i="50"/>
  <c r="A6760" i="50"/>
  <c r="A6762" i="50"/>
  <c r="A6764" i="50"/>
  <c r="A6766" i="50"/>
  <c r="A6768" i="50"/>
  <c r="A6770" i="50"/>
  <c r="A6772" i="50"/>
  <c r="A6774" i="50"/>
  <c r="A6776" i="50"/>
  <c r="A6778" i="50"/>
  <c r="A6780" i="50"/>
  <c r="A6782" i="50"/>
  <c r="A6784" i="50"/>
  <c r="A6786" i="50"/>
  <c r="A6788" i="50"/>
  <c r="A6790" i="50"/>
  <c r="A6792" i="50"/>
  <c r="A6794" i="50"/>
  <c r="A6796" i="50"/>
  <c r="A6798" i="50"/>
  <c r="A6800" i="50"/>
  <c r="A6802" i="50"/>
  <c r="A6804" i="50"/>
  <c r="A6806" i="50"/>
  <c r="A6808" i="50"/>
  <c r="A6810" i="50"/>
  <c r="A6812" i="50"/>
  <c r="A6814" i="50"/>
  <c r="A6816" i="50"/>
  <c r="A6818" i="50"/>
  <c r="A6820" i="50"/>
  <c r="A6822" i="50"/>
  <c r="A6824" i="50"/>
  <c r="A6826" i="50"/>
  <c r="A6828" i="50"/>
  <c r="A6830" i="50"/>
  <c r="A6832" i="50"/>
  <c r="A6834" i="50"/>
  <c r="A6836" i="50"/>
  <c r="A6838" i="50"/>
  <c r="A6840" i="50"/>
  <c r="A6842" i="50"/>
  <c r="A6844" i="50"/>
  <c r="A6846" i="50"/>
  <c r="A6848" i="50"/>
  <c r="A6850" i="50"/>
  <c r="A6852" i="50"/>
  <c r="A6854" i="50"/>
  <c r="A6856" i="50"/>
  <c r="A6858" i="50"/>
  <c r="A6860" i="50"/>
  <c r="A6862" i="50"/>
  <c r="A6864" i="50"/>
  <c r="A6866" i="50"/>
  <c r="A6868" i="50"/>
  <c r="A6870" i="50"/>
  <c r="A6872" i="50"/>
  <c r="A6874" i="50"/>
  <c r="A6876" i="50"/>
  <c r="A6878" i="50"/>
  <c r="A6880" i="50"/>
  <c r="A6882" i="50"/>
  <c r="A6884" i="50"/>
  <c r="A6886" i="50"/>
  <c r="A6888" i="50"/>
  <c r="A6890" i="50"/>
  <c r="A6892" i="50"/>
  <c r="A6894" i="50"/>
  <c r="A6896" i="50"/>
  <c r="A6898" i="50"/>
  <c r="A6900" i="50"/>
  <c r="A6902" i="50"/>
  <c r="A6904" i="50"/>
  <c r="A6906" i="50"/>
  <c r="A6908" i="50"/>
  <c r="A6910" i="50"/>
  <c r="A6912" i="50"/>
  <c r="A6914" i="50"/>
  <c r="A6916" i="50"/>
  <c r="A6918" i="50"/>
  <c r="A6920" i="50"/>
  <c r="A6922" i="50"/>
  <c r="A6924" i="50"/>
  <c r="A6926" i="50"/>
  <c r="A6928" i="50"/>
  <c r="A6930" i="50"/>
  <c r="A6932" i="50"/>
  <c r="A6934" i="50"/>
  <c r="A6936" i="50"/>
  <c r="A6938" i="50"/>
  <c r="A6940" i="50"/>
  <c r="A6942" i="50"/>
  <c r="A6944" i="50"/>
  <c r="A6946" i="50"/>
  <c r="A6948" i="50"/>
  <c r="A6950" i="50"/>
  <c r="A6952" i="50"/>
  <c r="A6954" i="50"/>
  <c r="A6956" i="50"/>
  <c r="A6958" i="50"/>
  <c r="A6960" i="50"/>
  <c r="A6962" i="50"/>
  <c r="A6964" i="50"/>
  <c r="A6966" i="50"/>
  <c r="A6968" i="50"/>
  <c r="A6970" i="50"/>
  <c r="A6972" i="50"/>
  <c r="A6974" i="50"/>
  <c r="A6976" i="50"/>
  <c r="A6978" i="50"/>
  <c r="A6980" i="50"/>
  <c r="A6982" i="50"/>
  <c r="A6984" i="50"/>
  <c r="A6986" i="50"/>
  <c r="A6988" i="50"/>
  <c r="A6990" i="50"/>
  <c r="A6992" i="50"/>
  <c r="A6994" i="50"/>
  <c r="A6996" i="50"/>
  <c r="A6998" i="50"/>
  <c r="A7000" i="50"/>
  <c r="A7002" i="50"/>
  <c r="A7004" i="50"/>
  <c r="A7006" i="50"/>
  <c r="A7008" i="50"/>
  <c r="A7010" i="50"/>
  <c r="A7012" i="50"/>
  <c r="A7014" i="50"/>
  <c r="A7016" i="50"/>
  <c r="A7018" i="50"/>
  <c r="A7020" i="50"/>
  <c r="A7022" i="50"/>
  <c r="A7024" i="50"/>
  <c r="A7026" i="50"/>
  <c r="A7028" i="50"/>
  <c r="A7030" i="50"/>
  <c r="A7032" i="50"/>
  <c r="A7034" i="50"/>
  <c r="A7036" i="50"/>
  <c r="A7038" i="50"/>
  <c r="A7040" i="50"/>
  <c r="A7042" i="50"/>
  <c r="A7044" i="50"/>
  <c r="A7046" i="50"/>
  <c r="A7048" i="50"/>
  <c r="A7050" i="50"/>
  <c r="A7052" i="50"/>
  <c r="A7054" i="50"/>
  <c r="A7056" i="50"/>
  <c r="A7058" i="50"/>
  <c r="A7060" i="50"/>
  <c r="A7062" i="50"/>
  <c r="A7064" i="50"/>
  <c r="A7066" i="50"/>
  <c r="A7068" i="50"/>
  <c r="A7070" i="50"/>
  <c r="A7072" i="50"/>
  <c r="A7074" i="50"/>
  <c r="A7076" i="50"/>
  <c r="A7078" i="50"/>
  <c r="A7080" i="50"/>
  <c r="A7082" i="50"/>
  <c r="A7084" i="50"/>
  <c r="A7086" i="50"/>
  <c r="A7088" i="50"/>
  <c r="A7090" i="50"/>
  <c r="A7092" i="50"/>
  <c r="A7094" i="50"/>
  <c r="A7096" i="50"/>
  <c r="A7098" i="50"/>
  <c r="A7100" i="50"/>
  <c r="A7102" i="50"/>
  <c r="A7104" i="50"/>
  <c r="A7106" i="50"/>
  <c r="A7108" i="50"/>
  <c r="A7110" i="50"/>
  <c r="A7112" i="50"/>
  <c r="A7114" i="50"/>
  <c r="A7116" i="50"/>
  <c r="A7118" i="50"/>
  <c r="A7120" i="50"/>
  <c r="A7122" i="50"/>
  <c r="A7124" i="50"/>
  <c r="A7126" i="50"/>
  <c r="A7128" i="50"/>
  <c r="A7130" i="50"/>
  <c r="A7132" i="50"/>
  <c r="A7134" i="50"/>
  <c r="A7136" i="50"/>
  <c r="A7138" i="50"/>
  <c r="A7140" i="50"/>
  <c r="A7142" i="50"/>
  <c r="A7144" i="50"/>
  <c r="A7146" i="50"/>
  <c r="A7148" i="50"/>
  <c r="A7150" i="50"/>
  <c r="A7152" i="50"/>
  <c r="A7154" i="50"/>
  <c r="A7156" i="50"/>
  <c r="A7158" i="50"/>
  <c r="A7160" i="50"/>
  <c r="A7162" i="50"/>
  <c r="A7164" i="50"/>
  <c r="A7166" i="50"/>
  <c r="A7168" i="50"/>
  <c r="A7170" i="50"/>
  <c r="A7172" i="50"/>
  <c r="A7174" i="50"/>
  <c r="A7176" i="50"/>
  <c r="A7178" i="50"/>
  <c r="A7180" i="50"/>
  <c r="A7182" i="50"/>
  <c r="A7184" i="50"/>
  <c r="A7186" i="50"/>
  <c r="A7188" i="50"/>
  <c r="A7190" i="50"/>
  <c r="A7192" i="50"/>
  <c r="A7194" i="50"/>
  <c r="A7196" i="50"/>
  <c r="A7198" i="50"/>
  <c r="A7200" i="50"/>
  <c r="A7202" i="50"/>
  <c r="A7204" i="50"/>
  <c r="A7206" i="50"/>
  <c r="A7208" i="50"/>
  <c r="A7210" i="50"/>
  <c r="A7212" i="50"/>
  <c r="A7214" i="50"/>
  <c r="A7216" i="50"/>
  <c r="A7218" i="50"/>
  <c r="A7220" i="50"/>
  <c r="A7222" i="50"/>
  <c r="A7224" i="50"/>
  <c r="A7226" i="50"/>
  <c r="A7228" i="50"/>
  <c r="A7230" i="50"/>
  <c r="A7232" i="50"/>
  <c r="A7234" i="50"/>
  <c r="A7236" i="50"/>
  <c r="A7238" i="50"/>
  <c r="A7240" i="50"/>
  <c r="A7242" i="50"/>
  <c r="A7244" i="50"/>
  <c r="A7246" i="50"/>
  <c r="A7248" i="50"/>
  <c r="A7250" i="50"/>
  <c r="A7252" i="50"/>
  <c r="A7254" i="50"/>
  <c r="A7256" i="50"/>
  <c r="A7258" i="50"/>
  <c r="A7260" i="50"/>
  <c r="A7262" i="50"/>
  <c r="A7264" i="50"/>
  <c r="A7266" i="50"/>
  <c r="A7268" i="50"/>
  <c r="A7270" i="50"/>
  <c r="A7272" i="50"/>
  <c r="A7274" i="50"/>
  <c r="A7276" i="50"/>
  <c r="A7278" i="50"/>
  <c r="A7280" i="50"/>
  <c r="A7282" i="50"/>
  <c r="A7284" i="50"/>
  <c r="A7286" i="50"/>
  <c r="A7288" i="50"/>
  <c r="A7290" i="50"/>
  <c r="A7292" i="50"/>
  <c r="A7294" i="50"/>
  <c r="A7296" i="50"/>
  <c r="A7298" i="50"/>
  <c r="A7300" i="50"/>
  <c r="A7302" i="50"/>
  <c r="A7304" i="50"/>
  <c r="A7306" i="50"/>
  <c r="A7308" i="50"/>
  <c r="A7310" i="50"/>
  <c r="A7312" i="50"/>
  <c r="A7314" i="50"/>
  <c r="A7316" i="50"/>
  <c r="A7318" i="50"/>
  <c r="A7320" i="50"/>
  <c r="A7322" i="50"/>
  <c r="A7324" i="50"/>
  <c r="A7326" i="50"/>
  <c r="A7328" i="50"/>
  <c r="A7330" i="50"/>
  <c r="A7332" i="50"/>
  <c r="A7334" i="50"/>
  <c r="A7336" i="50"/>
  <c r="A7338" i="50"/>
  <c r="A7340" i="50"/>
  <c r="A7342" i="50"/>
  <c r="A7344" i="50"/>
  <c r="A7346" i="50"/>
  <c r="A7348" i="50"/>
  <c r="A7350" i="50"/>
  <c r="A7352" i="50"/>
  <c r="A7354" i="50"/>
  <c r="A7356" i="50"/>
  <c r="A7358" i="50"/>
  <c r="A7360" i="50"/>
  <c r="A7362" i="50"/>
  <c r="A7364" i="50"/>
  <c r="A7366" i="50"/>
  <c r="A7368" i="50"/>
  <c r="A7370" i="50"/>
  <c r="A7372" i="50"/>
  <c r="A7374" i="50"/>
  <c r="A7376" i="50"/>
  <c r="A7378" i="50"/>
  <c r="A7380" i="50"/>
  <c r="A7382" i="50"/>
  <c r="A7384" i="50"/>
  <c r="A7386" i="50"/>
  <c r="A7388" i="50"/>
  <c r="A7390" i="50"/>
  <c r="A7392" i="50"/>
  <c r="A7394" i="50"/>
  <c r="A7396" i="50"/>
  <c r="A7398" i="50"/>
  <c r="A7400" i="50"/>
  <c r="A7402" i="50"/>
  <c r="A7404" i="50"/>
  <c r="A7406" i="50"/>
  <c r="A7408" i="50"/>
  <c r="A7410" i="50"/>
  <c r="A7412" i="50"/>
  <c r="A7414" i="50"/>
  <c r="A7416" i="50"/>
  <c r="A7418" i="50"/>
  <c r="A7420" i="50"/>
  <c r="A7422" i="50"/>
  <c r="A7424" i="50"/>
  <c r="A7426" i="50"/>
  <c r="A7428" i="50"/>
  <c r="A7430" i="50"/>
  <c r="A7432" i="50"/>
  <c r="A7434" i="50"/>
  <c r="A1891" i="50"/>
  <c r="A2211" i="50"/>
  <c r="A2275" i="50"/>
  <c r="A2339" i="50"/>
  <c r="A2403" i="50"/>
  <c r="A2467" i="50"/>
  <c r="A3726" i="50"/>
  <c r="A3742" i="50"/>
  <c r="A3758" i="50"/>
  <c r="A3774" i="50"/>
  <c r="A3790" i="50"/>
  <c r="A3806" i="50"/>
  <c r="A3822" i="50"/>
  <c r="A3838" i="50"/>
  <c r="A3854" i="50"/>
  <c r="A3870" i="50"/>
  <c r="A3886" i="50"/>
  <c r="A4126" i="50"/>
  <c r="A4142" i="50"/>
  <c r="A4158" i="50"/>
  <c r="A4174" i="50"/>
  <c r="A4190" i="50"/>
  <c r="A4206" i="50"/>
  <c r="A4222" i="50"/>
  <c r="A4238" i="50"/>
  <c r="A4254" i="50"/>
  <c r="A4270" i="50"/>
  <c r="A4286" i="50"/>
  <c r="A4302" i="50"/>
  <c r="A4318" i="50"/>
  <c r="A4334" i="50"/>
  <c r="A4350" i="50"/>
  <c r="A4366" i="50"/>
  <c r="A4382" i="50"/>
  <c r="A4398" i="50"/>
  <c r="A4414" i="50"/>
  <c r="A4430" i="50"/>
  <c r="A4446" i="50"/>
  <c r="A4462" i="50"/>
  <c r="A4478" i="50"/>
  <c r="A4494" i="50"/>
  <c r="A4510" i="50"/>
  <c r="A4526" i="50"/>
  <c r="A4542" i="50"/>
  <c r="A4558" i="50"/>
  <c r="A4574" i="50"/>
  <c r="A4590" i="50"/>
  <c r="A4606" i="50"/>
  <c r="A4622" i="50"/>
  <c r="A4638" i="50"/>
  <c r="A4654" i="50"/>
  <c r="A4670" i="50"/>
  <c r="A4686" i="50"/>
  <c r="A4702" i="50"/>
  <c r="A4718" i="50"/>
  <c r="A4734" i="50"/>
  <c r="A4750" i="50"/>
  <c r="A4766" i="50"/>
  <c r="A4782" i="50"/>
  <c r="A4798" i="50"/>
  <c r="A4814" i="50"/>
  <c r="A4830" i="50"/>
  <c r="A4846" i="50"/>
  <c r="A4862" i="50"/>
  <c r="A4878" i="50"/>
  <c r="A4894" i="50"/>
  <c r="A4910" i="50"/>
  <c r="A4926" i="50"/>
  <c r="A4942" i="50"/>
  <c r="A4958" i="50"/>
  <c r="A4974" i="50"/>
  <c r="A4990" i="50"/>
  <c r="A5006" i="50"/>
  <c r="A5022" i="50"/>
  <c r="A5038" i="50"/>
  <c r="A5054" i="50"/>
  <c r="A5070" i="50"/>
  <c r="A6059" i="50"/>
  <c r="A6061" i="50"/>
  <c r="A6063" i="50"/>
  <c r="A6065" i="50"/>
  <c r="A6067" i="50"/>
  <c r="A6069" i="50"/>
  <c r="A6071" i="50"/>
  <c r="A6073" i="50"/>
  <c r="A6075" i="50"/>
  <c r="A6077" i="50"/>
  <c r="A6079" i="50"/>
  <c r="A6081" i="50"/>
  <c r="A6083" i="50"/>
  <c r="A6085" i="50"/>
  <c r="A6087" i="50"/>
  <c r="A6089" i="50"/>
  <c r="A6091" i="50"/>
  <c r="A6093" i="50"/>
  <c r="A6095" i="50"/>
  <c r="A6097" i="50"/>
  <c r="A6099" i="50"/>
  <c r="A6101" i="50"/>
  <c r="A6103" i="50"/>
  <c r="A6105" i="50"/>
  <c r="A6107" i="50"/>
  <c r="A6109" i="50"/>
  <c r="A6111" i="50"/>
  <c r="A6113" i="50"/>
  <c r="A6115" i="50"/>
  <c r="A6117" i="50"/>
  <c r="A6119" i="50"/>
  <c r="A6121" i="50"/>
  <c r="A6123" i="50"/>
  <c r="A6125" i="50"/>
  <c r="A6127" i="50"/>
  <c r="A6129" i="50"/>
  <c r="A6131" i="50"/>
  <c r="A6133" i="50"/>
  <c r="A6135" i="50"/>
  <c r="A6137" i="50"/>
  <c r="A6139" i="50"/>
  <c r="A6141" i="50"/>
  <c r="A6143" i="50"/>
  <c r="A6145" i="50"/>
  <c r="A6147" i="50"/>
  <c r="A6149" i="50"/>
  <c r="A6151" i="50"/>
  <c r="A6153" i="50"/>
  <c r="A6155" i="50"/>
  <c r="A6157" i="50"/>
  <c r="A6159" i="50"/>
  <c r="A6161" i="50"/>
  <c r="A6163" i="50"/>
  <c r="A6165" i="50"/>
  <c r="A6167" i="50"/>
  <c r="A6169" i="50"/>
  <c r="A6171" i="50"/>
  <c r="A6173" i="50"/>
  <c r="A6175" i="50"/>
  <c r="A6177" i="50"/>
  <c r="A6179" i="50"/>
  <c r="A6181" i="50"/>
  <c r="A6183" i="50"/>
  <c r="A6185" i="50"/>
  <c r="A6187" i="50"/>
  <c r="A6189" i="50"/>
  <c r="A6191" i="50"/>
  <c r="A6193" i="50"/>
  <c r="A6195" i="50"/>
  <c r="A6197" i="50"/>
  <c r="A6199" i="50"/>
  <c r="A6201" i="50"/>
  <c r="A6203" i="50"/>
  <c r="A6205" i="50"/>
  <c r="A6207" i="50"/>
  <c r="A6209" i="50"/>
  <c r="A6211" i="50"/>
  <c r="A6213" i="50"/>
  <c r="A6215" i="50"/>
  <c r="A6217" i="50"/>
  <c r="A6219" i="50"/>
  <c r="A6221" i="50"/>
  <c r="A6223" i="50"/>
  <c r="A6225" i="50"/>
  <c r="A6227" i="50"/>
  <c r="A6229" i="50"/>
  <c r="A6231" i="50"/>
  <c r="A6233" i="50"/>
  <c r="A6235" i="50"/>
  <c r="A6237" i="50"/>
  <c r="A6239" i="50"/>
  <c r="A6241" i="50"/>
  <c r="A6243" i="50"/>
  <c r="A6245" i="50"/>
  <c r="A6247" i="50"/>
  <c r="A6249" i="50"/>
  <c r="A6251" i="50"/>
  <c r="A6253" i="50"/>
  <c r="A6255" i="50"/>
  <c r="A6257" i="50"/>
  <c r="A6259" i="50"/>
  <c r="A6261" i="50"/>
  <c r="A6263" i="50"/>
  <c r="A6265" i="50"/>
  <c r="A6267" i="50"/>
  <c r="A6269" i="50"/>
  <c r="A6271" i="50"/>
  <c r="A6273" i="50"/>
  <c r="A6275" i="50"/>
  <c r="A6277" i="50"/>
  <c r="A6279" i="50"/>
  <c r="A6281" i="50"/>
  <c r="A6283" i="50"/>
  <c r="A6285" i="50"/>
  <c r="A6287" i="50"/>
  <c r="A6289" i="50"/>
  <c r="A6291" i="50"/>
  <c r="A6293" i="50"/>
  <c r="A6295" i="50"/>
  <c r="A6297" i="50"/>
  <c r="A6299" i="50"/>
  <c r="A6301" i="50"/>
  <c r="A6303" i="50"/>
  <c r="A6305" i="50"/>
  <c r="A6307" i="50"/>
  <c r="A6309" i="50"/>
  <c r="A6311" i="50"/>
  <c r="A6313" i="50"/>
  <c r="A6315" i="50"/>
  <c r="A6317" i="50"/>
  <c r="A6319" i="50"/>
  <c r="A6321" i="50"/>
  <c r="A6323" i="50"/>
  <c r="A6325" i="50"/>
  <c r="A6327" i="50"/>
  <c r="A6329" i="50"/>
  <c r="A6331" i="50"/>
  <c r="A6333" i="50"/>
  <c r="A6335" i="50"/>
  <c r="A6337" i="50"/>
  <c r="A6339" i="50"/>
  <c r="A6341" i="50"/>
  <c r="A6343" i="50"/>
  <c r="A6345" i="50"/>
  <c r="A6347" i="50"/>
  <c r="A6349" i="50"/>
  <c r="A6351" i="50"/>
  <c r="A6353" i="50"/>
  <c r="A6355" i="50"/>
  <c r="A6357" i="50"/>
  <c r="A6359" i="50"/>
  <c r="A6361" i="50"/>
  <c r="A6363" i="50"/>
  <c r="A6365" i="50"/>
  <c r="A6367" i="50"/>
  <c r="A6369" i="50"/>
  <c r="A6371" i="50"/>
  <c r="A6373" i="50"/>
  <c r="A6375" i="50"/>
  <c r="A6377" i="50"/>
  <c r="A6379" i="50"/>
  <c r="A6381" i="50"/>
  <c r="A6383" i="50"/>
  <c r="A6385" i="50"/>
  <c r="A6387" i="50"/>
  <c r="A6389" i="50"/>
  <c r="A6391" i="50"/>
  <c r="A6393" i="50"/>
  <c r="A6395" i="50"/>
  <c r="A6397" i="50"/>
  <c r="A6399" i="50"/>
  <c r="A6401" i="50"/>
  <c r="A6403" i="50"/>
  <c r="A6405" i="50"/>
  <c r="A6407" i="50"/>
  <c r="A6409" i="50"/>
  <c r="A6411" i="50"/>
  <c r="A6413" i="50"/>
  <c r="A6415" i="50"/>
  <c r="A6417" i="50"/>
  <c r="A6419" i="50"/>
  <c r="A6421" i="50"/>
  <c r="A6423" i="50"/>
  <c r="A6425" i="50"/>
  <c r="A6427" i="50"/>
  <c r="A6429" i="50"/>
  <c r="A6431" i="50"/>
  <c r="A6433" i="50"/>
  <c r="A6435" i="50"/>
  <c r="A6437" i="50"/>
  <c r="A6439" i="50"/>
  <c r="A6441" i="50"/>
  <c r="A6443" i="50"/>
  <c r="A6445" i="50"/>
  <c r="A6447" i="50"/>
  <c r="A6449" i="50"/>
  <c r="A6451" i="50"/>
  <c r="A6453" i="50"/>
  <c r="A6455" i="50"/>
  <c r="A6457" i="50"/>
  <c r="A6459" i="50"/>
  <c r="A6461" i="50"/>
  <c r="A6463" i="50"/>
  <c r="A6465" i="50"/>
  <c r="A6467" i="50"/>
  <c r="A6469" i="50"/>
  <c r="A6471" i="50"/>
  <c r="A6473" i="50"/>
  <c r="A6475" i="50"/>
  <c r="A6477" i="50"/>
  <c r="A6479" i="50"/>
  <c r="A6481" i="50"/>
  <c r="A6483" i="50"/>
  <c r="A6485" i="50"/>
  <c r="A6487" i="50"/>
  <c r="A6489" i="50"/>
  <c r="A6491" i="50"/>
  <c r="A6493" i="50"/>
  <c r="A6495" i="50"/>
  <c r="A6497" i="50"/>
  <c r="A6499" i="50"/>
  <c r="A6501" i="50"/>
  <c r="A6503" i="50"/>
  <c r="A6505" i="50"/>
  <c r="A6507" i="50"/>
  <c r="A6509" i="50"/>
  <c r="A6511" i="50"/>
  <c r="A6513" i="50"/>
  <c r="A6515" i="50"/>
  <c r="A6517" i="50"/>
  <c r="A6519" i="50"/>
  <c r="A6521" i="50"/>
  <c r="A6523" i="50"/>
  <c r="A6525" i="50"/>
  <c r="A6527" i="50"/>
  <c r="A6529" i="50"/>
  <c r="A6531" i="50"/>
  <c r="A6533" i="50"/>
  <c r="A6535" i="50"/>
  <c r="A6537" i="50"/>
  <c r="A6539" i="50"/>
  <c r="A6541" i="50"/>
  <c r="A6543" i="50"/>
  <c r="A6545" i="50"/>
  <c r="A6547" i="50"/>
  <c r="A6549" i="50"/>
  <c r="A6551" i="50"/>
  <c r="A6553" i="50"/>
  <c r="A6555" i="50"/>
  <c r="A6557" i="50"/>
  <c r="A6559" i="50"/>
  <c r="A6561" i="50"/>
  <c r="A6563" i="50"/>
  <c r="A6565" i="50"/>
  <c r="A6567" i="50"/>
  <c r="A6569" i="50"/>
  <c r="A6571" i="50"/>
  <c r="A6573" i="50"/>
  <c r="A6575" i="50"/>
  <c r="A6577" i="50"/>
  <c r="A6579" i="50"/>
  <c r="A6581" i="50"/>
  <c r="A6583" i="50"/>
  <c r="A6585" i="50"/>
  <c r="A6587" i="50"/>
  <c r="A6589" i="50"/>
  <c r="A6591" i="50"/>
  <c r="A6593" i="50"/>
  <c r="A6595" i="50"/>
  <c r="A6597" i="50"/>
  <c r="A6599" i="50"/>
  <c r="A6601" i="50"/>
  <c r="A6603" i="50"/>
  <c r="A6605" i="50"/>
  <c r="A6607" i="50"/>
  <c r="A6609" i="50"/>
  <c r="A6611" i="50"/>
  <c r="A6613" i="50"/>
  <c r="A6615" i="50"/>
  <c r="A6617" i="50"/>
  <c r="A6619" i="50"/>
  <c r="A6621" i="50"/>
  <c r="A6623" i="50"/>
  <c r="A6625" i="50"/>
  <c r="A6627" i="50"/>
  <c r="A6629" i="50"/>
  <c r="A6631" i="50"/>
  <c r="A6633" i="50"/>
  <c r="A6635" i="50"/>
  <c r="A6637" i="50"/>
  <c r="A6639" i="50"/>
  <c r="A6641" i="50"/>
  <c r="A6643" i="50"/>
  <c r="A6645" i="50"/>
  <c r="A6647" i="50"/>
  <c r="A6649" i="50"/>
  <c r="A6651" i="50"/>
  <c r="A6653" i="50"/>
  <c r="A6655" i="50"/>
  <c r="A6657" i="50"/>
  <c r="A6659" i="50"/>
  <c r="A6661" i="50"/>
  <c r="A6663" i="50"/>
  <c r="A6665" i="50"/>
  <c r="A6667" i="50"/>
  <c r="A6669" i="50"/>
  <c r="A6671" i="50"/>
  <c r="A6673" i="50"/>
  <c r="A6675" i="50"/>
  <c r="A6677" i="50"/>
  <c r="A6679" i="50"/>
  <c r="A6681" i="50"/>
  <c r="A6683" i="50"/>
  <c r="A6685" i="50"/>
  <c r="A6687" i="50"/>
  <c r="A6689" i="50"/>
  <c r="A6691" i="50"/>
  <c r="A6693" i="50"/>
  <c r="A6695" i="50"/>
  <c r="A6697" i="50"/>
  <c r="A6699" i="50"/>
  <c r="A6701" i="50"/>
  <c r="A6703" i="50"/>
  <c r="A6705" i="50"/>
  <c r="A6707" i="50"/>
  <c r="A6709" i="50"/>
  <c r="A6711" i="50"/>
  <c r="A6713" i="50"/>
  <c r="A6715" i="50"/>
  <c r="A6717" i="50"/>
  <c r="A6719" i="50"/>
  <c r="A6721" i="50"/>
  <c r="A6723" i="50"/>
  <c r="A6725" i="50"/>
  <c r="A6727" i="50"/>
  <c r="A6729" i="50"/>
  <c r="A6731" i="50"/>
  <c r="A6733" i="50"/>
  <c r="A6735" i="50"/>
  <c r="A6737" i="50"/>
  <c r="A6739" i="50"/>
  <c r="A6741" i="50"/>
  <c r="A6743" i="50"/>
  <c r="A6745" i="50"/>
  <c r="A6747" i="50"/>
  <c r="A6749" i="50"/>
  <c r="A6751" i="50"/>
  <c r="A6753" i="50"/>
  <c r="A6755" i="50"/>
  <c r="A6757" i="50"/>
  <c r="A6759" i="50"/>
  <c r="A6761" i="50"/>
  <c r="A6763" i="50"/>
  <c r="A6765" i="50"/>
  <c r="A6767" i="50"/>
  <c r="A6769" i="50"/>
  <c r="A6771" i="50"/>
  <c r="A6773" i="50"/>
  <c r="A6775" i="50"/>
  <c r="A6777" i="50"/>
  <c r="A6779" i="50"/>
  <c r="A6781" i="50"/>
  <c r="A6783" i="50"/>
  <c r="A6785" i="50"/>
  <c r="A6787" i="50"/>
  <c r="A6789" i="50"/>
  <c r="A6791" i="50"/>
  <c r="A6793" i="50"/>
  <c r="A6795" i="50"/>
  <c r="A6797" i="50"/>
  <c r="A6799" i="50"/>
  <c r="A6801" i="50"/>
  <c r="A6803" i="50"/>
  <c r="A6805" i="50"/>
  <c r="A6807" i="50"/>
  <c r="A6809" i="50"/>
  <c r="A6811" i="50"/>
  <c r="A6813" i="50"/>
  <c r="A6815" i="50"/>
  <c r="A6817" i="50"/>
  <c r="A6819" i="50"/>
  <c r="A6821" i="50"/>
  <c r="A6823" i="50"/>
  <c r="A6825" i="50"/>
  <c r="A6827" i="50"/>
  <c r="A6829" i="50"/>
  <c r="A6831" i="50"/>
  <c r="A6833" i="50"/>
  <c r="A6835" i="50"/>
  <c r="A6837" i="50"/>
  <c r="A6839" i="50"/>
  <c r="A6841" i="50"/>
  <c r="A6843" i="50"/>
  <c r="A6845" i="50"/>
  <c r="A6847" i="50"/>
  <c r="A6849" i="50"/>
  <c r="A6851" i="50"/>
  <c r="A6853" i="50"/>
  <c r="A6855" i="50"/>
  <c r="A6857" i="50"/>
  <c r="A6859" i="50"/>
  <c r="A6861" i="50"/>
  <c r="A6863" i="50"/>
  <c r="A6865" i="50"/>
  <c r="A6867" i="50"/>
  <c r="A6869" i="50"/>
  <c r="A6871" i="50"/>
  <c r="A6873" i="50"/>
  <c r="A6875" i="50"/>
  <c r="A6877" i="50"/>
  <c r="A6879" i="50"/>
  <c r="A6881" i="50"/>
  <c r="A6883" i="50"/>
  <c r="A6885" i="50"/>
  <c r="A6887" i="50"/>
  <c r="A6889" i="50"/>
  <c r="A6891" i="50"/>
  <c r="A6893" i="50"/>
  <c r="A6895" i="50"/>
  <c r="A6897" i="50"/>
  <c r="A6899" i="50"/>
  <c r="A6901" i="50"/>
  <c r="A6903" i="50"/>
  <c r="A6905" i="50"/>
  <c r="A6907" i="50"/>
  <c r="A6909" i="50"/>
  <c r="A6911" i="50"/>
  <c r="A6913" i="50"/>
  <c r="A6915" i="50"/>
  <c r="A6917" i="50"/>
  <c r="A6919" i="50"/>
  <c r="A6921" i="50"/>
  <c r="A6923" i="50"/>
  <c r="A6925" i="50"/>
  <c r="A6927" i="50"/>
  <c r="A6929" i="50"/>
  <c r="A6931" i="50"/>
  <c r="A6933" i="50"/>
  <c r="A6935" i="50"/>
  <c r="A6937" i="50"/>
  <c r="A6939" i="50"/>
  <c r="A6941" i="50"/>
  <c r="A6943" i="50"/>
  <c r="A6945" i="50"/>
  <c r="A6947" i="50"/>
  <c r="A6949" i="50"/>
  <c r="A6951" i="50"/>
  <c r="A6953" i="50"/>
  <c r="A6955" i="50"/>
  <c r="A6957" i="50"/>
  <c r="A6959" i="50"/>
  <c r="A6961" i="50"/>
  <c r="A6963" i="50"/>
  <c r="A6965" i="50"/>
  <c r="A6967" i="50"/>
  <c r="A6969" i="50"/>
  <c r="A6971" i="50"/>
  <c r="A6973" i="50"/>
  <c r="A6975" i="50"/>
  <c r="A6977" i="50"/>
  <c r="A6979" i="50"/>
  <c r="A6981" i="50"/>
  <c r="A6983" i="50"/>
  <c r="A6985" i="50"/>
  <c r="A6987" i="50"/>
  <c r="A6989" i="50"/>
  <c r="A6991" i="50"/>
  <c r="A6993" i="50"/>
  <c r="A6995" i="50"/>
  <c r="A6997" i="50"/>
  <c r="A6999" i="50"/>
  <c r="A7001" i="50"/>
  <c r="A7003" i="50"/>
  <c r="A7005" i="50"/>
  <c r="A7007" i="50"/>
  <c r="A7009" i="50"/>
  <c r="A7011" i="50"/>
  <c r="A7013" i="50"/>
  <c r="A7015" i="50"/>
  <c r="A7017" i="50"/>
  <c r="A7019" i="50"/>
  <c r="A7021" i="50"/>
  <c r="A7023" i="50"/>
  <c r="A7025" i="50"/>
  <c r="A7027" i="50"/>
  <c r="A7029" i="50"/>
  <c r="A7031" i="50"/>
  <c r="A7033" i="50"/>
  <c r="A7035" i="50"/>
  <c r="A7037" i="50"/>
  <c r="A7039" i="50"/>
  <c r="A7041" i="50"/>
  <c r="A7043" i="50"/>
  <c r="A7045" i="50"/>
  <c r="A7047" i="50"/>
  <c r="A7049" i="50"/>
  <c r="A7051" i="50"/>
  <c r="A7053" i="50"/>
  <c r="A7055" i="50"/>
  <c r="A7057" i="50"/>
  <c r="A7059" i="50"/>
  <c r="A7061" i="50"/>
  <c r="A7063" i="50"/>
  <c r="A7065" i="50"/>
  <c r="A7067" i="50"/>
  <c r="A7069" i="50"/>
  <c r="A7071" i="50"/>
  <c r="A7073" i="50"/>
  <c r="A7075" i="50"/>
  <c r="A7077" i="50"/>
  <c r="A7079" i="50"/>
  <c r="A7081" i="50"/>
  <c r="A7083" i="50"/>
  <c r="A7085" i="50"/>
  <c r="A7087" i="50"/>
  <c r="A7089" i="50"/>
  <c r="A7091" i="50"/>
  <c r="A7093" i="50"/>
  <c r="A7095" i="50"/>
  <c r="A7097" i="50"/>
  <c r="A7099" i="50"/>
  <c r="A7101" i="50"/>
  <c r="A7103" i="50"/>
  <c r="A7105" i="50"/>
  <c r="A7107" i="50"/>
  <c r="A7109" i="50"/>
  <c r="A7111" i="50"/>
  <c r="A7113" i="50"/>
  <c r="A7115" i="50"/>
  <c r="A7117" i="50"/>
  <c r="A7119" i="50"/>
  <c r="A7121" i="50"/>
  <c r="A7123" i="50"/>
  <c r="A7125" i="50"/>
  <c r="A7127" i="50"/>
  <c r="A7129" i="50"/>
  <c r="A7131" i="50"/>
  <c r="A7133" i="50"/>
  <c r="A7135" i="50"/>
  <c r="A7137" i="50"/>
  <c r="A7139" i="50"/>
  <c r="A7141" i="50"/>
  <c r="A7143" i="50"/>
  <c r="A7145" i="50"/>
  <c r="A7147" i="50"/>
  <c r="A7149" i="50"/>
  <c r="A7151" i="50"/>
  <c r="A7153" i="50"/>
  <c r="A7155" i="50"/>
  <c r="A7157" i="50"/>
  <c r="A7159" i="50"/>
  <c r="A7161" i="50"/>
  <c r="A7163" i="50"/>
  <c r="A7165" i="50"/>
  <c r="A7167" i="50"/>
  <c r="A7169" i="50"/>
  <c r="A7171" i="50"/>
  <c r="A7173" i="50"/>
  <c r="A7175" i="50"/>
  <c r="A7177" i="50"/>
  <c r="A7179" i="50"/>
  <c r="A7181" i="50"/>
  <c r="A7183" i="50"/>
  <c r="A7185" i="50"/>
  <c r="A7187" i="50"/>
  <c r="A7189" i="50"/>
  <c r="A7191" i="50"/>
  <c r="A7193" i="50"/>
  <c r="A7195" i="50"/>
  <c r="A7197" i="50"/>
  <c r="A7199" i="50"/>
  <c r="A7201" i="50"/>
  <c r="A7203" i="50"/>
  <c r="A7205" i="50"/>
  <c r="A7207" i="50"/>
  <c r="A7209" i="50"/>
  <c r="A7211" i="50"/>
  <c r="A7213" i="50"/>
  <c r="A7215" i="50"/>
  <c r="A7217" i="50"/>
  <c r="A7219" i="50"/>
  <c r="A7221" i="50"/>
  <c r="A7223" i="50"/>
  <c r="A7225" i="50"/>
  <c r="A7227" i="50"/>
  <c r="A7229" i="50"/>
  <c r="A7231" i="50"/>
  <c r="A7233" i="50"/>
  <c r="A7235" i="50"/>
  <c r="A7237" i="50"/>
  <c r="A7239" i="50"/>
  <c r="A7241" i="50"/>
  <c r="A7243" i="50"/>
  <c r="A7245" i="50"/>
  <c r="A7247" i="50"/>
  <c r="A7249" i="50"/>
  <c r="A7251" i="50"/>
  <c r="A7253" i="50"/>
  <c r="A7255" i="50"/>
  <c r="A7257" i="50"/>
  <c r="A7259" i="50"/>
  <c r="A7261" i="50"/>
  <c r="A7263" i="50"/>
  <c r="A7265" i="50"/>
  <c r="A7267" i="50"/>
  <c r="A7269" i="50"/>
  <c r="A7271" i="50"/>
  <c r="A7273" i="50"/>
  <c r="A7275" i="50"/>
  <c r="A7277" i="50"/>
  <c r="A7279" i="50"/>
  <c r="A7281" i="50"/>
  <c r="A7283" i="50"/>
  <c r="A7285" i="50"/>
  <c r="A7287" i="50"/>
  <c r="A7289" i="50"/>
  <c r="A7291" i="50"/>
  <c r="A7293" i="50"/>
  <c r="A7295" i="50"/>
  <c r="A7297" i="50"/>
  <c r="A7299" i="50"/>
  <c r="A7301" i="50"/>
  <c r="A7303" i="50"/>
  <c r="A7305" i="50"/>
  <c r="A7307" i="50"/>
  <c r="A7309" i="50"/>
  <c r="A7311" i="50"/>
  <c r="A7313" i="50"/>
  <c r="A7315" i="50"/>
  <c r="A7317" i="50"/>
  <c r="A7319" i="50"/>
  <c r="A7321" i="50"/>
  <c r="A7323" i="50"/>
  <c r="A7325" i="50"/>
  <c r="A7327" i="50"/>
  <c r="A7329" i="50"/>
  <c r="A7331" i="50"/>
  <c r="A7333" i="50"/>
  <c r="A7335" i="50"/>
  <c r="A7337" i="50"/>
  <c r="A7339" i="50"/>
  <c r="A7341" i="50"/>
  <c r="A7343" i="50"/>
  <c r="A7345" i="50"/>
  <c r="A7347" i="50"/>
  <c r="A7349" i="50"/>
  <c r="A7351" i="50"/>
  <c r="A7353" i="50"/>
  <c r="A7355" i="50"/>
  <c r="A7357" i="50"/>
  <c r="A7359" i="50"/>
  <c r="A7361" i="50"/>
  <c r="A7363" i="50"/>
  <c r="A7365" i="50"/>
  <c r="A7367" i="50"/>
  <c r="A7369" i="50"/>
  <c r="A7371" i="50"/>
  <c r="A7373" i="50"/>
  <c r="A7375" i="50"/>
  <c r="A7377" i="50"/>
  <c r="A7379" i="50"/>
  <c r="A7381" i="50"/>
  <c r="A7383" i="50"/>
  <c r="A7385" i="50"/>
  <c r="A7387" i="50"/>
  <c r="A7389" i="50"/>
  <c r="A7391" i="50"/>
  <c r="A7393" i="50"/>
  <c r="A7395" i="50"/>
  <c r="A7397" i="50"/>
  <c r="A7399" i="50"/>
  <c r="A7401" i="50"/>
  <c r="A7403" i="50"/>
  <c r="A7405" i="50"/>
  <c r="A7407" i="50"/>
  <c r="A7409" i="50"/>
  <c r="A7411" i="50"/>
  <c r="A7413" i="50"/>
  <c r="A7415" i="50"/>
  <c r="A7417" i="50"/>
  <c r="A7419" i="50"/>
  <c r="A7421" i="50"/>
  <c r="A7423" i="50"/>
  <c r="A7425" i="50"/>
  <c r="A7427" i="50"/>
  <c r="A7429" i="50"/>
  <c r="A7431" i="50"/>
  <c r="A7433" i="50"/>
  <c r="A7435" i="50"/>
  <c r="A1875" i="50"/>
  <c r="A2259" i="50"/>
  <c r="A2387" i="50"/>
  <c r="A2515" i="50"/>
  <c r="A3722" i="50"/>
  <c r="A3754" i="50"/>
  <c r="A3786" i="50"/>
  <c r="A3818" i="50"/>
  <c r="A3850" i="50"/>
  <c r="A3882" i="50"/>
  <c r="A4138" i="50"/>
  <c r="A4170" i="50"/>
  <c r="A4202" i="50"/>
  <c r="A4234" i="50"/>
  <c r="A4266" i="50"/>
  <c r="A4298" i="50"/>
  <c r="A4330" i="50"/>
  <c r="A4362" i="50"/>
  <c r="A4394" i="50"/>
  <c r="A4426" i="50"/>
  <c r="A4458" i="50"/>
  <c r="A4490" i="50"/>
  <c r="A4522" i="50"/>
  <c r="A4554" i="50"/>
  <c r="A4586" i="50"/>
  <c r="A4618" i="50"/>
  <c r="A4650" i="50"/>
  <c r="A4682" i="50"/>
  <c r="A4714" i="50"/>
  <c r="A4746" i="50"/>
  <c r="A4778" i="50"/>
  <c r="A4810" i="50"/>
  <c r="A4842" i="50"/>
  <c r="A4874" i="50"/>
  <c r="A4906" i="50"/>
  <c r="A4938" i="50"/>
  <c r="A4970" i="50"/>
  <c r="A5002" i="50"/>
  <c r="A5034" i="50"/>
  <c r="A5066" i="50"/>
  <c r="A2323" i="50"/>
  <c r="A2451" i="50"/>
  <c r="A3738" i="50"/>
  <c r="A3770" i="50"/>
  <c r="A3802" i="50"/>
  <c r="A3834" i="50"/>
  <c r="A3866" i="50"/>
  <c r="A4122" i="50"/>
  <c r="A4154" i="50"/>
  <c r="A4186" i="50"/>
  <c r="A4218" i="50"/>
  <c r="A4250" i="50"/>
  <c r="A4282" i="50"/>
  <c r="A4314" i="50"/>
  <c r="A4346" i="50"/>
  <c r="A4378" i="50"/>
  <c r="A4410" i="50"/>
  <c r="A4442" i="50"/>
  <c r="A4474" i="50"/>
  <c r="A4506" i="50"/>
  <c r="A4538" i="50"/>
  <c r="A4570" i="50"/>
  <c r="A4602" i="50"/>
  <c r="A4634" i="50"/>
  <c r="A4666" i="50"/>
  <c r="A4698" i="50"/>
  <c r="A4730" i="50"/>
  <c r="A4762" i="50"/>
  <c r="A4794" i="50"/>
  <c r="A4826" i="50"/>
  <c r="A4858" i="50"/>
  <c r="A4890" i="50"/>
  <c r="A4922" i="50"/>
  <c r="A4954" i="50"/>
  <c r="A4986" i="50"/>
  <c r="A5018" i="50"/>
  <c r="A5050" i="50"/>
  <c r="A2419" i="50"/>
  <c r="A3778" i="50"/>
  <c r="A3842" i="50"/>
  <c r="A4162" i="50"/>
  <c r="A4226" i="50"/>
  <c r="A4290" i="50"/>
  <c r="A4354" i="50"/>
  <c r="A4418" i="50"/>
  <c r="A4482" i="50"/>
  <c r="A4546" i="50"/>
  <c r="A4610" i="50"/>
  <c r="A4674" i="50"/>
  <c r="A4738" i="50"/>
  <c r="A4802" i="50"/>
  <c r="A4866" i="50"/>
  <c r="A4930" i="50"/>
  <c r="A4994" i="50"/>
  <c r="A5058" i="50"/>
  <c r="A2227" i="50"/>
  <c r="A2483" i="50"/>
  <c r="A3730" i="50"/>
  <c r="A3794" i="50"/>
  <c r="A3858" i="50"/>
  <c r="A4114" i="50"/>
  <c r="A4178" i="50"/>
  <c r="A4242" i="50"/>
  <c r="A4306" i="50"/>
  <c r="A4370" i="50"/>
  <c r="A4434" i="50"/>
  <c r="A4498" i="50"/>
  <c r="A4562" i="50"/>
  <c r="A4626" i="50"/>
  <c r="A4690" i="50"/>
  <c r="A4754" i="50"/>
  <c r="A4818" i="50"/>
  <c r="A4882" i="50"/>
  <c r="A4946" i="50"/>
  <c r="A5010" i="50"/>
  <c r="A5074" i="50"/>
  <c r="A2291" i="50"/>
  <c r="A3746" i="50"/>
  <c r="A3810" i="50"/>
  <c r="A3874" i="50"/>
  <c r="A4130" i="50"/>
  <c r="A4194" i="50"/>
  <c r="A4258" i="50"/>
  <c r="A4322" i="50"/>
  <c r="A4386" i="50"/>
  <c r="A4450" i="50"/>
  <c r="A4514" i="50"/>
  <c r="A4578" i="50"/>
  <c r="A4642" i="50"/>
  <c r="A4706" i="50"/>
  <c r="A4770" i="50"/>
  <c r="A4834" i="50"/>
  <c r="A4898" i="50"/>
  <c r="A4962" i="50"/>
  <c r="A5026" i="50"/>
  <c r="A2355" i="50"/>
  <c r="A3762" i="50"/>
  <c r="A3826" i="50"/>
  <c r="A3890" i="50"/>
  <c r="A4146" i="50"/>
  <c r="A4210" i="50"/>
  <c r="A4274" i="50"/>
  <c r="A4338" i="50"/>
  <c r="A4402" i="50"/>
  <c r="A4466" i="50"/>
  <c r="A4530" i="50"/>
  <c r="A4594" i="50"/>
  <c r="A4658" i="50"/>
  <c r="A4722" i="50"/>
  <c r="A4786" i="50"/>
  <c r="A4850" i="50"/>
  <c r="A4914" i="50"/>
  <c r="A4978" i="50"/>
  <c r="A5042" i="50"/>
  <c r="B66" i="49"/>
  <c r="B65" i="49"/>
  <c r="B26" i="51"/>
  <c r="B40" i="51"/>
  <c r="B35" i="51"/>
  <c r="B42" i="51"/>
  <c r="B36" i="51"/>
  <c r="B29" i="51"/>
  <c r="B41" i="51"/>
  <c r="B28" i="51"/>
  <c r="B27" i="51"/>
  <c r="B33" i="51"/>
  <c r="B34" i="51"/>
  <c r="B37" i="51"/>
  <c r="B24" i="51"/>
  <c r="B25" i="51"/>
  <c r="B43" i="51"/>
  <c r="B32" i="51"/>
  <c r="B44" i="51"/>
  <c r="B74" i="49"/>
  <c r="B70" i="49"/>
  <c r="B72" i="49"/>
  <c r="B77" i="49"/>
  <c r="B73" i="49"/>
  <c r="B69" i="49"/>
  <c r="B4" i="49"/>
  <c r="B68" i="49"/>
  <c r="B71" i="49"/>
  <c r="B67" i="49"/>
  <c r="A2" i="50"/>
  <c r="A3" i="50" s="1"/>
  <c r="A4" i="50" s="1"/>
  <c r="A5" i="50" s="1"/>
  <c r="A6" i="50" s="1"/>
  <c r="A7" i="50" s="1"/>
  <c r="A8" i="50" s="1"/>
  <c r="A9" i="50" s="1"/>
  <c r="A10" i="50" s="1"/>
  <c r="A11" i="50" s="1"/>
  <c r="A12" i="50" s="1"/>
  <c r="A13" i="50" s="1"/>
  <c r="A14" i="50" s="1"/>
  <c r="A15" i="50" s="1"/>
  <c r="A16" i="50" s="1"/>
  <c r="A17" i="50" s="1"/>
  <c r="A18" i="50" s="1"/>
  <c r="A19" i="50" s="1"/>
  <c r="A20" i="50" s="1"/>
  <c r="A21" i="50" s="1"/>
  <c r="A22" i="50" s="1"/>
  <c r="A23" i="50" s="1"/>
  <c r="A24" i="50" s="1"/>
  <c r="A25" i="50" s="1"/>
  <c r="A26" i="50" s="1"/>
  <c r="A27" i="50" s="1"/>
  <c r="A28" i="50" s="1"/>
  <c r="A29" i="50" s="1"/>
  <c r="A30" i="50" s="1"/>
  <c r="A31" i="50" s="1"/>
  <c r="A32" i="50" s="1"/>
  <c r="A33" i="50" s="1"/>
  <c r="A34" i="50" s="1"/>
  <c r="A35" i="50" s="1"/>
  <c r="A36" i="50" s="1"/>
  <c r="A37" i="50" s="1"/>
  <c r="A38" i="50" s="1"/>
  <c r="A39" i="50" s="1"/>
  <c r="A40" i="50" s="1"/>
  <c r="A41" i="50" s="1"/>
  <c r="A42" i="50" s="1"/>
  <c r="A43" i="50" s="1"/>
  <c r="A44" i="50" s="1"/>
  <c r="A45" i="50" s="1"/>
  <c r="A46" i="50" s="1"/>
  <c r="A47" i="50" s="1"/>
  <c r="A48" i="50" s="1"/>
  <c r="A49" i="50" s="1"/>
  <c r="A50" i="50" s="1"/>
  <c r="A51" i="50" s="1"/>
  <c r="A52" i="50" s="1"/>
  <c r="A53" i="50" s="1"/>
  <c r="A54" i="50" s="1"/>
  <c r="A55" i="50" s="1"/>
  <c r="A56" i="50" s="1"/>
  <c r="A57" i="50" s="1"/>
  <c r="A58" i="50" s="1"/>
  <c r="A59" i="50" s="1"/>
  <c r="A60" i="50" s="1"/>
  <c r="A61" i="50" s="1"/>
  <c r="A62" i="50" s="1"/>
  <c r="A63" i="50" s="1"/>
  <c r="A64" i="50" s="1"/>
  <c r="A65" i="50" s="1"/>
  <c r="A66" i="50" s="1"/>
  <c r="A67" i="50" s="1"/>
  <c r="A68" i="50" s="1"/>
  <c r="A69" i="50" s="1"/>
  <c r="A70" i="50" s="1"/>
  <c r="A71" i="50" s="1"/>
  <c r="A72" i="50" s="1"/>
  <c r="A73" i="50" s="1"/>
  <c r="A74" i="50" s="1"/>
  <c r="A75" i="50" s="1"/>
  <c r="A76" i="50" s="1"/>
  <c r="A77" i="50" s="1"/>
  <c r="A78" i="50" s="1"/>
  <c r="A79" i="50" s="1"/>
  <c r="A80" i="50" s="1"/>
  <c r="A81" i="50" s="1"/>
  <c r="A82" i="50" s="1"/>
  <c r="A83" i="50" s="1"/>
  <c r="A84" i="50" s="1"/>
  <c r="A85" i="50" s="1"/>
  <c r="A86" i="50" s="1"/>
  <c r="A87" i="50" s="1"/>
  <c r="A88" i="50" s="1"/>
  <c r="A89" i="50" s="1"/>
  <c r="A90" i="50" s="1"/>
  <c r="A91" i="50" s="1"/>
  <c r="A92" i="50" s="1"/>
  <c r="A93" i="50" s="1"/>
  <c r="A94" i="50" s="1"/>
  <c r="A95" i="50" s="1"/>
  <c r="A96" i="50" s="1"/>
  <c r="A97" i="50" s="1"/>
  <c r="A98" i="50" s="1"/>
  <c r="A99" i="50" s="1"/>
  <c r="A100" i="50" s="1"/>
  <c r="A101" i="50" s="1"/>
  <c r="A102" i="50" s="1"/>
  <c r="A103" i="50" s="1"/>
  <c r="A104" i="50" s="1"/>
  <c r="A105" i="50" s="1"/>
  <c r="A106" i="50" s="1"/>
  <c r="A107" i="50" s="1"/>
  <c r="A108" i="50" s="1"/>
  <c r="A109" i="50" s="1"/>
  <c r="A110" i="50" s="1"/>
  <c r="A111" i="50" s="1"/>
  <c r="A112" i="50" s="1"/>
  <c r="A113" i="50" s="1"/>
  <c r="A114" i="50" s="1"/>
  <c r="A115" i="50" s="1"/>
  <c r="A116" i="50" s="1"/>
  <c r="A117" i="50" s="1"/>
  <c r="A118" i="50" s="1"/>
  <c r="A119" i="50" s="1"/>
  <c r="A120" i="50" s="1"/>
  <c r="A121" i="50" s="1"/>
  <c r="A122" i="50" s="1"/>
  <c r="A123" i="50" s="1"/>
  <c r="A124" i="50" s="1"/>
  <c r="A125" i="50" s="1"/>
  <c r="A126" i="50" s="1"/>
  <c r="A127" i="50" s="1"/>
  <c r="A128" i="50" s="1"/>
  <c r="A129" i="50" s="1"/>
  <c r="A130" i="50" s="1"/>
  <c r="A131" i="50" s="1"/>
  <c r="A132" i="50" s="1"/>
  <c r="A133" i="50" s="1"/>
  <c r="A134" i="50" s="1"/>
  <c r="A135" i="50" s="1"/>
  <c r="A136" i="50" s="1"/>
  <c r="A137" i="50" s="1"/>
  <c r="A138" i="50" s="1"/>
  <c r="A139" i="50" s="1"/>
  <c r="A140" i="50" s="1"/>
  <c r="A141" i="50" s="1"/>
  <c r="A142" i="50" s="1"/>
  <c r="A143" i="50" s="1"/>
  <c r="A144" i="50" s="1"/>
  <c r="A145" i="50" s="1"/>
  <c r="A146" i="50" s="1"/>
  <c r="A147" i="50" s="1"/>
  <c r="A148" i="50" s="1"/>
  <c r="A149" i="50" s="1"/>
  <c r="A150" i="50" s="1"/>
  <c r="A151" i="50" s="1"/>
  <c r="A152" i="50" s="1"/>
  <c r="A153" i="50" s="1"/>
  <c r="A154" i="50" s="1"/>
  <c r="A155" i="50" s="1"/>
  <c r="A156" i="50" s="1"/>
  <c r="A157" i="50" s="1"/>
  <c r="A158" i="50" s="1"/>
  <c r="A159" i="50" s="1"/>
  <c r="A160" i="50" s="1"/>
  <c r="A161" i="50" s="1"/>
  <c r="A162" i="50" s="1"/>
  <c r="A163" i="50" s="1"/>
  <c r="A164" i="50" s="1"/>
  <c r="A165" i="50" s="1"/>
  <c r="A166" i="50" s="1"/>
  <c r="A167" i="50" s="1"/>
  <c r="A168" i="50" s="1"/>
  <c r="A169" i="50" s="1"/>
  <c r="A170" i="50" s="1"/>
  <c r="A171" i="50" s="1"/>
  <c r="A172" i="50" s="1"/>
  <c r="A173" i="50" s="1"/>
  <c r="A174" i="50" s="1"/>
  <c r="A175" i="50" s="1"/>
  <c r="A176" i="50" s="1"/>
  <c r="A177" i="50" s="1"/>
  <c r="A178" i="50" s="1"/>
  <c r="A179" i="50" s="1"/>
  <c r="A180" i="50" s="1"/>
  <c r="A181" i="50" s="1"/>
  <c r="A182" i="50" s="1"/>
  <c r="A183" i="50" s="1"/>
  <c r="A184" i="50" s="1"/>
  <c r="A185" i="50" s="1"/>
  <c r="A186" i="50" s="1"/>
  <c r="A187" i="50" s="1"/>
  <c r="A188" i="50" s="1"/>
  <c r="A189" i="50" s="1"/>
  <c r="A190" i="50" s="1"/>
  <c r="A191" i="50" s="1"/>
  <c r="A192" i="50" s="1"/>
  <c r="A193" i="50" s="1"/>
  <c r="A194" i="50" s="1"/>
  <c r="A195" i="50" s="1"/>
  <c r="A196" i="50" s="1"/>
  <c r="A197" i="50" s="1"/>
  <c r="A198" i="50" s="1"/>
  <c r="A199" i="50" s="1"/>
  <c r="A200" i="50" s="1"/>
  <c r="A201" i="50" s="1"/>
  <c r="A202" i="50" s="1"/>
  <c r="A203" i="50" s="1"/>
  <c r="A204" i="50" s="1"/>
  <c r="A205" i="50" s="1"/>
  <c r="A206" i="50" s="1"/>
  <c r="A207" i="50" s="1"/>
  <c r="A208" i="50" s="1"/>
  <c r="A209" i="50" s="1"/>
  <c r="A210" i="50" s="1"/>
  <c r="A211" i="50" s="1"/>
  <c r="A212" i="50" s="1"/>
  <c r="A213" i="50" s="1"/>
  <c r="A214" i="50" s="1"/>
  <c r="A215" i="50" s="1"/>
  <c r="A216" i="50" s="1"/>
  <c r="A217" i="50" s="1"/>
  <c r="A218" i="50" s="1"/>
  <c r="A219" i="50" s="1"/>
  <c r="A220" i="50" s="1"/>
  <c r="A221" i="50" s="1"/>
  <c r="A222" i="50" s="1"/>
  <c r="A223" i="50" s="1"/>
  <c r="A224" i="50" s="1"/>
  <c r="A225" i="50" s="1"/>
  <c r="A226" i="50" s="1"/>
  <c r="A227" i="50" s="1"/>
  <c r="A228" i="50" s="1"/>
  <c r="A229" i="50" s="1"/>
  <c r="A230" i="50" s="1"/>
  <c r="A231" i="50" s="1"/>
  <c r="A232" i="50" s="1"/>
  <c r="A233" i="50" s="1"/>
  <c r="A234" i="50" s="1"/>
  <c r="A235" i="50" s="1"/>
  <c r="A236" i="50" s="1"/>
  <c r="A237" i="50" s="1"/>
  <c r="A238" i="50" s="1"/>
  <c r="A239" i="50" s="1"/>
  <c r="A240" i="50" s="1"/>
  <c r="A241" i="50" s="1"/>
  <c r="A242" i="50" s="1"/>
  <c r="A243" i="50" s="1"/>
  <c r="A244" i="50" s="1"/>
  <c r="A245" i="50" s="1"/>
  <c r="A246" i="50" s="1"/>
  <c r="A247" i="50" s="1"/>
  <c r="A248" i="50" s="1"/>
  <c r="A249" i="50" s="1"/>
  <c r="A250" i="50" s="1"/>
  <c r="A251" i="50" s="1"/>
  <c r="A252" i="50" s="1"/>
  <c r="A253" i="50" s="1"/>
  <c r="A254" i="50" s="1"/>
  <c r="A255" i="50" s="1"/>
  <c r="A256" i="50" s="1"/>
  <c r="A257" i="50" s="1"/>
  <c r="A258" i="50" s="1"/>
  <c r="A259" i="50" s="1"/>
  <c r="A260" i="50" s="1"/>
  <c r="A261" i="50" s="1"/>
  <c r="A262" i="50" s="1"/>
  <c r="A263" i="50" s="1"/>
  <c r="A264" i="50" s="1"/>
  <c r="A265" i="50" s="1"/>
  <c r="A266" i="50" s="1"/>
  <c r="A267" i="50" s="1"/>
  <c r="A268" i="50" s="1"/>
  <c r="A269" i="50" s="1"/>
  <c r="A270" i="50" s="1"/>
  <c r="A271" i="50" s="1"/>
  <c r="A272" i="50" s="1"/>
  <c r="A273" i="50" s="1"/>
  <c r="A274" i="50" s="1"/>
  <c r="A275" i="50" s="1"/>
  <c r="A276" i="50" s="1"/>
  <c r="A277" i="50" s="1"/>
  <c r="A278" i="50" s="1"/>
  <c r="A279" i="50" s="1"/>
  <c r="A280" i="50" s="1"/>
  <c r="A281" i="50" s="1"/>
  <c r="A282" i="50" s="1"/>
  <c r="A283" i="50" s="1"/>
  <c r="A284" i="50" s="1"/>
  <c r="A285" i="50" s="1"/>
  <c r="A286" i="50" s="1"/>
  <c r="A287" i="50" s="1"/>
  <c r="A288" i="50" s="1"/>
  <c r="A289" i="50" s="1"/>
  <c r="A290" i="50" s="1"/>
  <c r="A291" i="50" s="1"/>
  <c r="A292" i="50" s="1"/>
  <c r="A293" i="50" s="1"/>
  <c r="A294" i="50" s="1"/>
  <c r="A295" i="50" s="1"/>
  <c r="A296" i="50" s="1"/>
  <c r="A297" i="50" s="1"/>
  <c r="A298" i="50" s="1"/>
  <c r="A299" i="50" s="1"/>
  <c r="A300" i="50" s="1"/>
  <c r="A301" i="50" s="1"/>
  <c r="A302" i="50" s="1"/>
  <c r="A303" i="50" s="1"/>
  <c r="A304" i="50" s="1"/>
  <c r="A305" i="50" s="1"/>
  <c r="A306" i="50" s="1"/>
  <c r="A307" i="50" s="1"/>
  <c r="A308" i="50" s="1"/>
  <c r="A309" i="50" s="1"/>
  <c r="A310" i="50" s="1"/>
  <c r="A311" i="50" s="1"/>
  <c r="A312" i="50" s="1"/>
  <c r="A313" i="50" s="1"/>
  <c r="A314" i="50" s="1"/>
  <c r="A315" i="50" s="1"/>
  <c r="A316" i="50" s="1"/>
  <c r="A317" i="50" s="1"/>
  <c r="A318" i="50" s="1"/>
  <c r="A319" i="50" s="1"/>
  <c r="A320" i="50" s="1"/>
  <c r="A321" i="50" s="1"/>
  <c r="A322" i="50" s="1"/>
  <c r="A323" i="50" s="1"/>
  <c r="A324" i="50" s="1"/>
  <c r="A325" i="50" s="1"/>
  <c r="A326" i="50" s="1"/>
  <c r="A327" i="50" s="1"/>
  <c r="A328" i="50" s="1"/>
  <c r="A329" i="50" s="1"/>
  <c r="A330" i="50" s="1"/>
  <c r="A331" i="50" s="1"/>
  <c r="A332" i="50" s="1"/>
  <c r="A333" i="50" s="1"/>
  <c r="A334" i="50" s="1"/>
  <c r="A335" i="50" s="1"/>
  <c r="A336" i="50" s="1"/>
  <c r="A337" i="50" s="1"/>
  <c r="A338" i="50" s="1"/>
  <c r="A339" i="50" s="1"/>
  <c r="A340" i="50" s="1"/>
  <c r="A341" i="50" s="1"/>
  <c r="A342" i="50" s="1"/>
  <c r="A343" i="50" s="1"/>
  <c r="A344" i="50" s="1"/>
  <c r="A345" i="50" s="1"/>
  <c r="A346" i="50" s="1"/>
  <c r="A347" i="50" s="1"/>
  <c r="A348" i="50" s="1"/>
  <c r="A349" i="50" s="1"/>
  <c r="A350" i="50" s="1"/>
  <c r="A351" i="50" s="1"/>
  <c r="A352" i="50" s="1"/>
  <c r="A353" i="50" s="1"/>
  <c r="A354" i="50" s="1"/>
  <c r="A355" i="50" s="1"/>
  <c r="A356" i="50" s="1"/>
  <c r="A357" i="50" s="1"/>
  <c r="A358" i="50" s="1"/>
  <c r="A359" i="50" s="1"/>
  <c r="A360" i="50" s="1"/>
  <c r="A361" i="50" s="1"/>
  <c r="A362" i="50" s="1"/>
  <c r="A363" i="50" s="1"/>
  <c r="A364" i="50" s="1"/>
  <c r="A365" i="50" s="1"/>
  <c r="A366" i="50" s="1"/>
  <c r="A367" i="50" s="1"/>
  <c r="A368" i="50" s="1"/>
  <c r="A369" i="50" s="1"/>
  <c r="A370" i="50" s="1"/>
  <c r="A371" i="50" s="1"/>
  <c r="A372" i="50" s="1"/>
  <c r="A373" i="50" s="1"/>
  <c r="A374" i="50" s="1"/>
  <c r="A375" i="50" s="1"/>
  <c r="A376" i="50" s="1"/>
  <c r="A377" i="50" s="1"/>
  <c r="A378" i="50" s="1"/>
  <c r="A379" i="50" s="1"/>
  <c r="A380" i="50" s="1"/>
  <c r="A381" i="50" s="1"/>
  <c r="A382" i="50" s="1"/>
  <c r="A383" i="50" s="1"/>
  <c r="A384" i="50" s="1"/>
  <c r="A385" i="50" s="1"/>
  <c r="A386" i="50" s="1"/>
  <c r="A387" i="50" s="1"/>
  <c r="A388" i="50" s="1"/>
  <c r="A389" i="50" s="1"/>
  <c r="A390" i="50" s="1"/>
  <c r="A391" i="50" s="1"/>
  <c r="A392" i="50" s="1"/>
  <c r="A393" i="50" s="1"/>
  <c r="A394" i="50" s="1"/>
  <c r="A395" i="50" s="1"/>
  <c r="A396" i="50" s="1"/>
  <c r="A397" i="50" s="1"/>
  <c r="A398" i="50" s="1"/>
  <c r="A399" i="50" s="1"/>
  <c r="A400" i="50" s="1"/>
  <c r="A401" i="50" s="1"/>
  <c r="A402" i="50" s="1"/>
  <c r="A403" i="50" s="1"/>
  <c r="A404" i="50" s="1"/>
  <c r="A405" i="50" s="1"/>
  <c r="A406" i="50" s="1"/>
  <c r="A407" i="50" s="1"/>
  <c r="A408" i="50" s="1"/>
  <c r="A409" i="50" s="1"/>
  <c r="A410" i="50" s="1"/>
  <c r="A411" i="50" s="1"/>
  <c r="A412" i="50" s="1"/>
  <c r="A413" i="50" s="1"/>
  <c r="A414" i="50" s="1"/>
  <c r="A415" i="50" s="1"/>
  <c r="A416" i="50" s="1"/>
  <c r="A417" i="50" s="1"/>
  <c r="A418" i="50" s="1"/>
  <c r="A419" i="50" s="1"/>
  <c r="A420" i="50" s="1"/>
  <c r="A421" i="50" s="1"/>
  <c r="A422" i="50" s="1"/>
  <c r="A423" i="50" s="1"/>
  <c r="A424" i="50" s="1"/>
  <c r="A425" i="50" s="1"/>
  <c r="A426" i="50" s="1"/>
  <c r="A427" i="50" s="1"/>
  <c r="A428" i="50" s="1"/>
  <c r="A429" i="50" s="1"/>
  <c r="A430" i="50" s="1"/>
  <c r="A431" i="50" s="1"/>
  <c r="A432" i="50" s="1"/>
  <c r="A433" i="50" s="1"/>
  <c r="I411" i="39"/>
  <c r="J411" i="39"/>
  <c r="G411" i="39"/>
  <c r="H411" i="39"/>
  <c r="B51" i="46"/>
  <c r="B50" i="46"/>
  <c r="B4" i="46"/>
  <c r="B53" i="46"/>
  <c r="B55" i="46"/>
  <c r="B57" i="46"/>
  <c r="B59" i="46"/>
  <c r="B62" i="46"/>
  <c r="B52" i="46"/>
  <c r="B54" i="46"/>
  <c r="B56" i="46"/>
  <c r="B58" i="46"/>
  <c r="B8" i="46"/>
  <c r="K9" i="37"/>
  <c r="K7" i="37"/>
  <c r="K8" i="37"/>
  <c r="K14" i="37"/>
  <c r="B7" i="47"/>
  <c r="B8" i="38"/>
  <c r="B8" i="28"/>
  <c r="B8" i="4"/>
  <c r="K15" i="37"/>
  <c r="K411" i="39"/>
  <c r="L36" i="47"/>
  <c r="M38" i="47"/>
  <c r="M39" i="47"/>
  <c r="D40" i="47"/>
  <c r="E39" i="47"/>
  <c r="C38" i="47"/>
  <c r="L37" i="47"/>
  <c r="D39" i="47"/>
  <c r="D37" i="47"/>
  <c r="G40" i="47"/>
  <c r="N36" i="47"/>
  <c r="J39" i="47"/>
  <c r="J38" i="47"/>
  <c r="N39" i="47"/>
  <c r="G36" i="47"/>
  <c r="J40" i="47"/>
  <c r="G39" i="47"/>
  <c r="F39" i="47"/>
  <c r="J37" i="47"/>
  <c r="C36" i="47"/>
  <c r="M40" i="47"/>
  <c r="F40" i="47"/>
  <c r="F36" i="47"/>
  <c r="M36" i="47"/>
  <c r="K36" i="47"/>
  <c r="C40" i="47"/>
  <c r="D36" i="47"/>
  <c r="E36" i="47"/>
  <c r="F38" i="47"/>
  <c r="L38" i="47"/>
  <c r="K37" i="47"/>
  <c r="N37" i="47"/>
  <c r="D38" i="47"/>
  <c r="N38" i="47"/>
  <c r="F37" i="47"/>
  <c r="E37" i="47"/>
  <c r="L39" i="47"/>
  <c r="L40" i="47"/>
  <c r="M37" i="47"/>
  <c r="C37" i="47"/>
  <c r="E38" i="47"/>
  <c r="E40" i="47"/>
  <c r="J36" i="47"/>
  <c r="K40" i="47"/>
  <c r="G37" i="47"/>
  <c r="G38" i="47"/>
  <c r="K39" i="47"/>
  <c r="C39" i="47"/>
  <c r="N40" i="47"/>
  <c r="K38" i="47"/>
  <c r="D17" i="51"/>
  <c r="E15" i="46"/>
  <c r="E20" i="46"/>
  <c r="E17" i="46"/>
  <c r="F20" i="51"/>
  <c r="G17" i="51"/>
  <c r="M18" i="51"/>
  <c r="E20" i="51"/>
  <c r="K18" i="51"/>
  <c r="N16" i="51"/>
  <c r="J19" i="51"/>
  <c r="E19" i="46"/>
  <c r="M19" i="51"/>
  <c r="D18" i="51"/>
  <c r="C17" i="51"/>
  <c r="C18" i="51"/>
  <c r="F18" i="51"/>
  <c r="J16" i="51"/>
  <c r="L18" i="51"/>
  <c r="C18" i="46"/>
  <c r="G19" i="51"/>
  <c r="E18" i="46"/>
  <c r="K20" i="51"/>
  <c r="K16" i="51"/>
  <c r="M16" i="51"/>
  <c r="C16" i="51"/>
  <c r="M20" i="51"/>
  <c r="F19" i="51"/>
  <c r="K19" i="51"/>
  <c r="E17" i="51"/>
  <c r="F16" i="51"/>
  <c r="E19" i="51"/>
  <c r="J20" i="51"/>
  <c r="L17" i="51"/>
  <c r="M17" i="51"/>
  <c r="N19" i="51"/>
  <c r="E22" i="46"/>
  <c r="L19" i="51"/>
  <c r="N20" i="51"/>
  <c r="N18" i="51"/>
  <c r="N17" i="51"/>
  <c r="C12" i="46"/>
  <c r="E16" i="46"/>
  <c r="E21" i="46"/>
  <c r="J18" i="51"/>
  <c r="C20" i="51"/>
  <c r="J17" i="51"/>
  <c r="E16" i="51"/>
  <c r="D20" i="51"/>
  <c r="L16" i="51"/>
  <c r="C19" i="51"/>
  <c r="D19" i="51"/>
  <c r="D16" i="51"/>
  <c r="G20" i="51"/>
  <c r="K17" i="51"/>
  <c r="F17" i="51"/>
  <c r="G18" i="51"/>
  <c r="G16" i="51"/>
  <c r="G12" i="35"/>
  <c r="E18" i="51"/>
  <c r="L20" i="51"/>
  <c r="B15" i="48" l="1"/>
  <c r="B14" i="48"/>
  <c r="B30" i="47"/>
  <c r="B24" i="47"/>
  <c r="O26" i="37"/>
  <c r="O34" i="37"/>
  <c r="O22" i="37"/>
  <c r="O29" i="37"/>
  <c r="O37" i="37"/>
  <c r="L22" i="37"/>
  <c r="O30" i="37"/>
  <c r="O38" i="37"/>
  <c r="O25" i="37"/>
  <c r="O33" i="37"/>
  <c r="O41" i="37"/>
  <c r="O24" i="37"/>
  <c r="O28" i="37"/>
  <c r="O32" i="37"/>
  <c r="O36" i="37"/>
  <c r="O40" i="37"/>
  <c r="O23" i="37"/>
  <c r="O27" i="37"/>
  <c r="O31" i="37"/>
  <c r="O35" i="37"/>
  <c r="O39" i="37"/>
  <c r="M22" i="37"/>
  <c r="N22" i="37"/>
  <c r="F10" i="39" l="1"/>
  <c r="K22" i="37"/>
  <c r="H20" i="4" l="1"/>
  <c r="E16" i="4" l="1"/>
  <c r="K16" i="28"/>
  <c r="B10" i="39" l="1"/>
  <c r="D10" i="39"/>
  <c r="C10" i="39"/>
  <c r="E10" i="39"/>
  <c r="K10" i="37"/>
  <c r="P23" i="37" s="1"/>
  <c r="P24" i="37" s="1"/>
  <c r="P25" i="37" s="1"/>
  <c r="P26" i="37" s="1"/>
  <c r="P27" i="37" s="1"/>
  <c r="P28" i="37" s="1"/>
  <c r="P29" i="37" s="1"/>
  <c r="P30" i="37" s="1"/>
  <c r="P31" i="37" s="1"/>
  <c r="P32" i="37" s="1"/>
  <c r="P33" i="37" s="1"/>
  <c r="P34" i="37" s="1"/>
  <c r="P35" i="37" s="1"/>
  <c r="P36" i="37" s="1"/>
  <c r="P37" i="37" s="1"/>
  <c r="P38" i="37" s="1"/>
  <c r="P39" i="37" s="1"/>
  <c r="P40" i="37" s="1"/>
  <c r="P41" i="37" s="1"/>
  <c r="P42" i="37" s="1"/>
  <c r="P43" i="37" s="1"/>
  <c r="P44" i="37" s="1"/>
  <c r="P45" i="37" s="1"/>
  <c r="P46" i="37" s="1"/>
  <c r="P47" i="37" s="1"/>
  <c r="P48" i="37" s="1"/>
  <c r="P49" i="37" s="1"/>
  <c r="P50" i="37" s="1"/>
  <c r="P51" i="37" s="1"/>
  <c r="P52" i="37" s="1"/>
  <c r="P53" i="37" s="1"/>
  <c r="P54" i="37" s="1"/>
  <c r="P55" i="37" s="1"/>
  <c r="P56" i="37" s="1"/>
  <c r="P57" i="37" s="1"/>
  <c r="P58" i="37" s="1"/>
  <c r="P59" i="37" s="1"/>
  <c r="P60" i="37" s="1"/>
  <c r="P61" i="37" s="1"/>
  <c r="P62" i="37" s="1"/>
  <c r="P63" i="37" s="1"/>
  <c r="P64" i="37" s="1"/>
  <c r="P65" i="37" s="1"/>
  <c r="P66" i="37" s="1"/>
  <c r="P67" i="37" s="1"/>
  <c r="P68" i="37" s="1"/>
  <c r="P69" i="37" s="1"/>
  <c r="P70" i="37" s="1"/>
  <c r="P71" i="37" s="1"/>
  <c r="P72" i="37" s="1"/>
  <c r="P73" i="37" s="1"/>
  <c r="P74" i="37" s="1"/>
  <c r="P75" i="37" s="1"/>
  <c r="P76" i="37" s="1"/>
  <c r="P77" i="37" s="1"/>
  <c r="P78" i="37" s="1"/>
  <c r="P79" i="37" s="1"/>
  <c r="P80" i="37" s="1"/>
  <c r="P81" i="37" s="1"/>
  <c r="P82" i="37" s="1"/>
  <c r="P83" i="37" s="1"/>
  <c r="P84" i="37" s="1"/>
  <c r="P85" i="37" s="1"/>
  <c r="P86" i="37" s="1"/>
  <c r="P87" i="37" s="1"/>
  <c r="P88" i="37" s="1"/>
  <c r="P89" i="37" s="1"/>
  <c r="P90" i="37" s="1"/>
  <c r="P91" i="37" s="1"/>
  <c r="P92" i="37" s="1"/>
  <c r="P93" i="37" s="1"/>
  <c r="P94" i="37" s="1"/>
  <c r="P95" i="37" s="1"/>
  <c r="P96" i="37" s="1"/>
  <c r="P97" i="37" s="1"/>
  <c r="P98" i="37" s="1"/>
  <c r="P99" i="37" s="1"/>
  <c r="P100" i="37" s="1"/>
  <c r="P101" i="37" s="1"/>
  <c r="P102" i="37" s="1"/>
  <c r="P103" i="37" s="1"/>
  <c r="P104" i="37" s="1"/>
  <c r="P105" i="37" s="1"/>
  <c r="P106" i="37" s="1"/>
  <c r="P107" i="37" s="1"/>
  <c r="P108" i="37" s="1"/>
  <c r="P109" i="37" s="1"/>
  <c r="P110" i="37" s="1"/>
  <c r="P111" i="37" s="1"/>
  <c r="P112" i="37" s="1"/>
  <c r="P113" i="37" s="1"/>
  <c r="P114" i="37" s="1"/>
  <c r="P115" i="37" s="1"/>
  <c r="P116" i="37" s="1"/>
  <c r="P117" i="37" s="1"/>
  <c r="P118" i="37" s="1"/>
  <c r="P119" i="37" s="1"/>
  <c r="P120" i="37" s="1"/>
  <c r="P121" i="37" s="1"/>
  <c r="P122" i="37" s="1"/>
  <c r="P123" i="37" s="1"/>
  <c r="P124" i="37" s="1"/>
  <c r="P125" i="37" s="1"/>
  <c r="P126" i="37" s="1"/>
  <c r="P127" i="37" s="1"/>
  <c r="P128" i="37" s="1"/>
  <c r="P129" i="37" s="1"/>
  <c r="P130" i="37" s="1"/>
  <c r="P131" i="37" s="1"/>
  <c r="P132" i="37" s="1"/>
  <c r="P133" i="37" s="1"/>
  <c r="P134" i="37" s="1"/>
  <c r="P135" i="37" s="1"/>
  <c r="P136" i="37" s="1"/>
  <c r="P137" i="37" s="1"/>
  <c r="P138" i="37" s="1"/>
  <c r="P139" i="37" s="1"/>
  <c r="P140" i="37" s="1"/>
  <c r="P141" i="37" s="1"/>
  <c r="P142" i="37" s="1"/>
  <c r="P143" i="37" s="1"/>
  <c r="P144" i="37" s="1"/>
  <c r="P145" i="37" s="1"/>
  <c r="P146" i="37" s="1"/>
  <c r="P147" i="37" s="1"/>
  <c r="P148" i="37" s="1"/>
  <c r="P149" i="37" s="1"/>
  <c r="P150" i="37" s="1"/>
  <c r="P151" i="37" s="1"/>
  <c r="P152" i="37" s="1"/>
  <c r="P153" i="37" s="1"/>
  <c r="P154" i="37" s="1"/>
  <c r="P155" i="37" s="1"/>
  <c r="P156" i="37" s="1"/>
  <c r="P157" i="37" s="1"/>
  <c r="P158" i="37" s="1"/>
  <c r="P159" i="37" s="1"/>
  <c r="P160" i="37" s="1"/>
  <c r="P161" i="37" s="1"/>
  <c r="P162" i="37" s="1"/>
  <c r="P163" i="37" s="1"/>
  <c r="P164" i="37" s="1"/>
  <c r="P165" i="37" s="1"/>
  <c r="P166" i="37" s="1"/>
  <c r="P167" i="37" s="1"/>
  <c r="P168" i="37" s="1"/>
  <c r="P169" i="37" s="1"/>
  <c r="P170" i="37" s="1"/>
  <c r="P171" i="37" s="1"/>
  <c r="P172" i="37" s="1"/>
  <c r="P173" i="37" s="1"/>
  <c r="P174" i="37" s="1"/>
  <c r="P175" i="37" s="1"/>
  <c r="P176" i="37" s="1"/>
  <c r="P177" i="37" s="1"/>
  <c r="P178" i="37" s="1"/>
  <c r="P179" i="37" s="1"/>
  <c r="P180" i="37" s="1"/>
  <c r="P181" i="37" s="1"/>
  <c r="P182" i="37" s="1"/>
  <c r="P183" i="37" s="1"/>
  <c r="P184" i="37" s="1"/>
  <c r="P185" i="37" s="1"/>
  <c r="P186" i="37" s="1"/>
  <c r="P187" i="37" s="1"/>
  <c r="P188" i="37" s="1"/>
  <c r="P189" i="37" s="1"/>
  <c r="P190" i="37" s="1"/>
  <c r="P191" i="37" s="1"/>
  <c r="P192" i="37" s="1"/>
  <c r="P193" i="37" s="1"/>
  <c r="P194" i="37" s="1"/>
  <c r="P195" i="37" s="1"/>
  <c r="P196" i="37" s="1"/>
  <c r="P197" i="37" s="1"/>
  <c r="P198" i="37" s="1"/>
  <c r="P199" i="37" s="1"/>
  <c r="P200" i="37" s="1"/>
  <c r="P201" i="37" s="1"/>
  <c r="P202" i="37" s="1"/>
  <c r="P203" i="37" s="1"/>
  <c r="P204" i="37" s="1"/>
  <c r="P205" i="37" s="1"/>
  <c r="P206" i="37" s="1"/>
  <c r="P207" i="37" s="1"/>
  <c r="P208" i="37" s="1"/>
  <c r="P209" i="37" s="1"/>
  <c r="P210" i="37" s="1"/>
  <c r="P211" i="37" s="1"/>
  <c r="P212" i="37" s="1"/>
  <c r="P213" i="37" s="1"/>
  <c r="P214" i="37" s="1"/>
  <c r="P215" i="37" s="1"/>
  <c r="P216" i="37" s="1"/>
  <c r="P217" i="37" s="1"/>
  <c r="P218" i="37" s="1"/>
  <c r="P219" i="37" s="1"/>
  <c r="P220" i="37" s="1"/>
  <c r="P221" i="37" s="1"/>
  <c r="P222" i="37" s="1"/>
  <c r="P223" i="37" s="1"/>
  <c r="P224" i="37" s="1"/>
  <c r="P225" i="37" s="1"/>
  <c r="P226" i="37" s="1"/>
  <c r="P227" i="37" s="1"/>
  <c r="P228" i="37" s="1"/>
  <c r="P229" i="37" s="1"/>
  <c r="P230" i="37" s="1"/>
  <c r="P231" i="37" s="1"/>
  <c r="P232" i="37" s="1"/>
  <c r="P233" i="37" s="1"/>
  <c r="P234" i="37" s="1"/>
  <c r="P235" i="37" s="1"/>
  <c r="P236" i="37" s="1"/>
  <c r="P237" i="37" s="1"/>
  <c r="P238" i="37" s="1"/>
  <c r="P239" i="37" s="1"/>
  <c r="P240" i="37" s="1"/>
  <c r="P241" i="37" s="1"/>
  <c r="P242" i="37" s="1"/>
  <c r="P243" i="37" s="1"/>
  <c r="P244" i="37" s="1"/>
  <c r="P245" i="37" s="1"/>
  <c r="P246" i="37" s="1"/>
  <c r="P247" i="37" s="1"/>
  <c r="P248" i="37" s="1"/>
  <c r="P249" i="37" s="1"/>
  <c r="P250" i="37" s="1"/>
  <c r="P251" i="37" s="1"/>
  <c r="P252" i="37" s="1"/>
  <c r="P253" i="37" s="1"/>
  <c r="P254" i="37" s="1"/>
  <c r="P255" i="37" s="1"/>
  <c r="P256" i="37" s="1"/>
  <c r="P257" i="37" s="1"/>
  <c r="P258" i="37" s="1"/>
  <c r="P259" i="37" s="1"/>
  <c r="P260" i="37" s="1"/>
  <c r="P261" i="37" s="1"/>
  <c r="P262" i="37" s="1"/>
  <c r="P263" i="37" s="1"/>
  <c r="P264" i="37" s="1"/>
  <c r="P265" i="37" s="1"/>
  <c r="P266" i="37" s="1"/>
  <c r="P267" i="37" s="1"/>
  <c r="P268" i="37" s="1"/>
  <c r="P269" i="37" s="1"/>
  <c r="P270" i="37" s="1"/>
  <c r="P271" i="37" s="1"/>
  <c r="P272" i="37" s="1"/>
  <c r="P273" i="37" s="1"/>
  <c r="P274" i="37" s="1"/>
  <c r="P275" i="37" s="1"/>
  <c r="P276" i="37" s="1"/>
  <c r="P277" i="37" s="1"/>
  <c r="P278" i="37" s="1"/>
  <c r="P279" i="37" s="1"/>
  <c r="P280" i="37" s="1"/>
  <c r="P281" i="37" s="1"/>
  <c r="P282" i="37" s="1"/>
  <c r="P283" i="37" s="1"/>
  <c r="P284" i="37" s="1"/>
  <c r="P285" i="37" s="1"/>
  <c r="P286" i="37" s="1"/>
  <c r="P287" i="37" s="1"/>
  <c r="P288" i="37" s="1"/>
  <c r="P289" i="37" s="1"/>
  <c r="P290" i="37" s="1"/>
  <c r="P291" i="37" s="1"/>
  <c r="P292" i="37" s="1"/>
  <c r="P293" i="37" s="1"/>
  <c r="P294" i="37" s="1"/>
  <c r="P295" i="37" s="1"/>
  <c r="P296" i="37" s="1"/>
  <c r="P297" i="37" s="1"/>
  <c r="P298" i="37" s="1"/>
  <c r="P299" i="37" s="1"/>
  <c r="P300" i="37" s="1"/>
  <c r="P301" i="37" s="1"/>
  <c r="P302" i="37" s="1"/>
  <c r="P303" i="37" s="1"/>
  <c r="P304" i="37" s="1"/>
  <c r="P305" i="37" s="1"/>
  <c r="P306" i="37" s="1"/>
  <c r="P307" i="37" s="1"/>
  <c r="P308" i="37" s="1"/>
  <c r="P309" i="37" s="1"/>
  <c r="P310" i="37" s="1"/>
  <c r="P311" i="37" s="1"/>
  <c r="P312" i="37" s="1"/>
  <c r="P313" i="37" s="1"/>
  <c r="P314" i="37" s="1"/>
  <c r="P315" i="37" s="1"/>
  <c r="P316" i="37" s="1"/>
  <c r="P317" i="37" s="1"/>
  <c r="P318" i="37" s="1"/>
  <c r="P319" i="37" s="1"/>
  <c r="P320" i="37" s="1"/>
  <c r="P321" i="37" s="1"/>
  <c r="P322" i="37" s="1"/>
  <c r="P323" i="37" s="1"/>
  <c r="P324" i="37" s="1"/>
  <c r="P325" i="37" s="1"/>
  <c r="P326" i="37" s="1"/>
  <c r="P327" i="37" s="1"/>
  <c r="P328" i="37" s="1"/>
  <c r="P329" i="37" s="1"/>
  <c r="P330" i="37" s="1"/>
  <c r="P331" i="37" s="1"/>
  <c r="P332" i="37" s="1"/>
  <c r="P333" i="37" s="1"/>
  <c r="P334" i="37" s="1"/>
  <c r="P335" i="37" s="1"/>
  <c r="P336" i="37" s="1"/>
  <c r="P337" i="37" s="1"/>
  <c r="P338" i="37" s="1"/>
  <c r="P339" i="37" s="1"/>
  <c r="P340" i="37" s="1"/>
  <c r="P341" i="37" s="1"/>
  <c r="P342" i="37" s="1"/>
  <c r="P343" i="37" s="1"/>
  <c r="P344" i="37" s="1"/>
  <c r="P345" i="37" s="1"/>
  <c r="P346" i="37" s="1"/>
  <c r="P347" i="37" s="1"/>
  <c r="P348" i="37" s="1"/>
  <c r="P349" i="37" s="1"/>
  <c r="P350" i="37" s="1"/>
  <c r="P351" i="37" s="1"/>
  <c r="P352" i="37" s="1"/>
  <c r="P353" i="37" s="1"/>
  <c r="P354" i="37" s="1"/>
  <c r="P355" i="37" s="1"/>
  <c r="P356" i="37" s="1"/>
  <c r="P357" i="37" s="1"/>
  <c r="P358" i="37" s="1"/>
  <c r="P359" i="37" s="1"/>
  <c r="P360" i="37" s="1"/>
  <c r="P361" i="37" s="1"/>
  <c r="P362" i="37" s="1"/>
  <c r="P363" i="37" s="1"/>
  <c r="P364" i="37" s="1"/>
  <c r="P365" i="37" s="1"/>
  <c r="P366" i="37" s="1"/>
  <c r="P367" i="37" s="1"/>
  <c r="P368" i="37" s="1"/>
  <c r="P369" i="37" s="1"/>
  <c r="P370" i="37" s="1"/>
  <c r="P371" i="37" s="1"/>
  <c r="P372" i="37" s="1"/>
  <c r="P373" i="37" s="1"/>
  <c r="P374" i="37" s="1"/>
  <c r="P375" i="37" s="1"/>
  <c r="P376" i="37" s="1"/>
  <c r="P377" i="37" s="1"/>
  <c r="P378" i="37" s="1"/>
  <c r="P379" i="37" s="1"/>
  <c r="P380" i="37" s="1"/>
  <c r="P381" i="37" s="1"/>
  <c r="P382" i="37" s="1"/>
  <c r="P383" i="37" s="1"/>
  <c r="P384" i="37" s="1"/>
  <c r="P385" i="37" s="1"/>
  <c r="P386" i="37" s="1"/>
  <c r="P387" i="37" s="1"/>
  <c r="P388" i="37" s="1"/>
  <c r="P389" i="37" s="1"/>
  <c r="P390" i="37" s="1"/>
  <c r="P391" i="37" s="1"/>
  <c r="P392" i="37" s="1"/>
  <c r="P393" i="37" s="1"/>
  <c r="P394" i="37" s="1"/>
  <c r="P395" i="37" s="1"/>
  <c r="P396" i="37" s="1"/>
  <c r="P397" i="37" s="1"/>
  <c r="P398" i="37" s="1"/>
  <c r="P399" i="37" s="1"/>
  <c r="P400" i="37" s="1"/>
  <c r="P401" i="37" s="1"/>
  <c r="P402" i="37" s="1"/>
  <c r="P403" i="37" s="1"/>
  <c r="P404" i="37" s="1"/>
  <c r="P405" i="37" s="1"/>
  <c r="P406" i="37" s="1"/>
  <c r="P407" i="37" s="1"/>
  <c r="P408" i="37" s="1"/>
  <c r="P409" i="37" s="1"/>
  <c r="P410" i="37" s="1"/>
  <c r="P411" i="37" s="1"/>
  <c r="P412" i="37" s="1"/>
  <c r="P413" i="37" s="1"/>
  <c r="P414" i="37" s="1"/>
  <c r="P415" i="37" s="1"/>
  <c r="P416" i="37" s="1"/>
  <c r="P417" i="37" s="1"/>
  <c r="P418" i="37" s="1"/>
  <c r="P419" i="37" s="1"/>
  <c r="P420" i="37" s="1"/>
  <c r="P421" i="37" s="1"/>
  <c r="P422" i="37" s="1"/>
  <c r="H10" i="39" l="1"/>
  <c r="G10" i="39"/>
  <c r="J10" i="39"/>
  <c r="I10" i="39"/>
  <c r="D11" i="39"/>
  <c r="C11" i="39"/>
  <c r="F11" i="39"/>
  <c r="B11" i="39"/>
  <c r="E11" i="39"/>
  <c r="C32" i="28"/>
  <c r="G11" i="39" l="1"/>
  <c r="J11" i="39"/>
  <c r="I11" i="39"/>
  <c r="H11" i="39"/>
  <c r="K10" i="39"/>
  <c r="F12" i="39"/>
  <c r="B12" i="39"/>
  <c r="E12" i="39"/>
  <c r="D12" i="39"/>
  <c r="C12" i="39"/>
  <c r="D26" i="46"/>
  <c r="D17" i="46"/>
  <c r="M11" i="35"/>
  <c r="H17" i="46"/>
  <c r="I8" i="35"/>
  <c r="M15" i="35"/>
  <c r="H13" i="46"/>
  <c r="J10" i="35"/>
  <c r="E3" i="42"/>
  <c r="J18" i="35"/>
  <c r="H22" i="46"/>
  <c r="K8" i="35"/>
  <c r="H19" i="46"/>
  <c r="G3" i="42"/>
  <c r="G11" i="35"/>
  <c r="I3" i="42"/>
  <c r="F16" i="35"/>
  <c r="J16" i="35"/>
  <c r="K10" i="35"/>
  <c r="D13" i="46"/>
  <c r="H8" i="35"/>
  <c r="F10" i="35"/>
  <c r="I10" i="35"/>
  <c r="K3" i="42"/>
  <c r="D14" i="46"/>
  <c r="I17" i="46"/>
  <c r="K16" i="35"/>
  <c r="K15" i="35"/>
  <c r="C16" i="46"/>
  <c r="D12" i="35"/>
  <c r="E15" i="35"/>
  <c r="I9" i="35"/>
  <c r="D19" i="46"/>
  <c r="P3" i="42"/>
  <c r="E10" i="35"/>
  <c r="D14" i="35"/>
  <c r="J13" i="35"/>
  <c r="J12" i="35"/>
  <c r="E16" i="35"/>
  <c r="F3" i="42"/>
  <c r="K18" i="35"/>
  <c r="H11" i="35"/>
  <c r="D20" i="46"/>
  <c r="C21" i="46"/>
  <c r="L12" i="35"/>
  <c r="H15" i="46"/>
  <c r="L16" i="35"/>
  <c r="H13" i="35"/>
  <c r="C14" i="46"/>
  <c r="I16" i="35"/>
  <c r="L15" i="35"/>
  <c r="I12" i="35"/>
  <c r="H10" i="35"/>
  <c r="L18" i="35"/>
  <c r="I18" i="35"/>
  <c r="F17" i="35"/>
  <c r="D11" i="35"/>
  <c r="H18" i="35"/>
  <c r="G15" i="35"/>
  <c r="J14" i="35"/>
  <c r="H9" i="35"/>
  <c r="K13" i="35"/>
  <c r="E8" i="35"/>
  <c r="I15" i="46"/>
  <c r="F14" i="35"/>
  <c r="J9" i="35"/>
  <c r="I22" i="46"/>
  <c r="E13" i="35"/>
  <c r="E18" i="35"/>
  <c r="G16" i="35"/>
  <c r="E11" i="35"/>
  <c r="D21" i="46"/>
  <c r="C13" i="46"/>
  <c r="J17" i="35"/>
  <c r="D13" i="35"/>
  <c r="J8" i="35"/>
  <c r="I18" i="46"/>
  <c r="R3" i="42"/>
  <c r="C20" i="46"/>
  <c r="L9" i="35"/>
  <c r="L11" i="35"/>
  <c r="I15" i="35"/>
  <c r="F12" i="35"/>
  <c r="F8" i="35"/>
  <c r="G17" i="35"/>
  <c r="M3" i="42"/>
  <c r="D16" i="46"/>
  <c r="F18" i="35"/>
  <c r="H17" i="35"/>
  <c r="D16" i="35"/>
  <c r="C26" i="46"/>
  <c r="I20" i="46"/>
  <c r="F15" i="35"/>
  <c r="D22" i="46"/>
  <c r="I19" i="46"/>
  <c r="I12" i="46"/>
  <c r="O3" i="42"/>
  <c r="C17" i="46"/>
  <c r="D10" i="35"/>
  <c r="H16" i="46"/>
  <c r="F26" i="46"/>
  <c r="B3" i="42"/>
  <c r="M10" i="35"/>
  <c r="K14" i="35"/>
  <c r="E14" i="35"/>
  <c r="C15" i="46"/>
  <c r="D3" i="42"/>
  <c r="D12" i="46"/>
  <c r="D18" i="35"/>
  <c r="D15" i="35"/>
  <c r="I21" i="46"/>
  <c r="L13" i="35"/>
  <c r="J3" i="42"/>
  <c r="E9" i="35"/>
  <c r="G13" i="35"/>
  <c r="G14" i="35"/>
  <c r="G18" i="35"/>
  <c r="M18" i="35"/>
  <c r="I17" i="35"/>
  <c r="H14" i="35"/>
  <c r="H14" i="46"/>
  <c r="I14" i="46"/>
  <c r="D9" i="35"/>
  <c r="H15" i="35"/>
  <c r="H3" i="42"/>
  <c r="M12" i="35"/>
  <c r="J15" i="35"/>
  <c r="M13" i="35"/>
  <c r="I13" i="46"/>
  <c r="H12" i="46"/>
  <c r="K12" i="35"/>
  <c r="E12" i="35"/>
  <c r="K11" i="35"/>
  <c r="F13" i="35"/>
  <c r="C19" i="46"/>
  <c r="M17" i="35"/>
  <c r="L14" i="35"/>
  <c r="G10" i="35"/>
  <c r="H12" i="35"/>
  <c r="M8" i="35"/>
  <c r="G8" i="35"/>
  <c r="H18" i="46"/>
  <c r="M16" i="35"/>
  <c r="H20" i="46"/>
  <c r="G9" i="35"/>
  <c r="L17" i="35"/>
  <c r="J11" i="35"/>
  <c r="F11" i="35"/>
  <c r="M14" i="35"/>
  <c r="L3" i="42"/>
  <c r="L8" i="35"/>
  <c r="D17" i="35"/>
  <c r="I16" i="46"/>
  <c r="E17" i="35"/>
  <c r="D18" i="46"/>
  <c r="C22" i="46"/>
  <c r="I14" i="35"/>
  <c r="G26" i="46"/>
  <c r="M9" i="35"/>
  <c r="Q3" i="42"/>
  <c r="L10" i="35"/>
  <c r="K9" i="35"/>
  <c r="E26" i="46"/>
  <c r="I11" i="35"/>
  <c r="H21" i="46"/>
  <c r="D15" i="46"/>
  <c r="H16" i="35"/>
  <c r="I13" i="35"/>
  <c r="K17" i="35"/>
  <c r="C3" i="42"/>
  <c r="N3" i="42"/>
  <c r="F9" i="35"/>
  <c r="G12" i="39" l="1"/>
  <c r="H12" i="39"/>
  <c r="J12" i="39"/>
  <c r="I12" i="39"/>
  <c r="B29" i="47"/>
  <c r="B26" i="47"/>
  <c r="B25" i="47"/>
  <c r="B20" i="47"/>
  <c r="B19" i="47"/>
  <c r="B18" i="47"/>
  <c r="B14" i="47"/>
  <c r="B13" i="47"/>
  <c r="B12" i="47"/>
  <c r="B21" i="47"/>
  <c r="B15" i="47"/>
  <c r="M20" i="4"/>
  <c r="G17" i="4"/>
  <c r="G21" i="4"/>
  <c r="G22" i="4"/>
  <c r="I15" i="28"/>
  <c r="M24" i="4"/>
  <c r="F22" i="4"/>
  <c r="M17" i="4"/>
  <c r="K24" i="4"/>
  <c r="H24" i="4"/>
  <c r="I22" i="28"/>
  <c r="N20" i="4"/>
  <c r="H18" i="4"/>
  <c r="J18" i="4"/>
  <c r="K17" i="28"/>
  <c r="I21" i="28"/>
  <c r="I28" i="28"/>
  <c r="J21" i="28"/>
  <c r="G25" i="4"/>
  <c r="J17" i="28"/>
  <c r="N25" i="4"/>
  <c r="I21" i="4"/>
  <c r="I24" i="4"/>
  <c r="J33" i="28"/>
  <c r="I16" i="4"/>
  <c r="J16" i="28"/>
  <c r="H26" i="4"/>
  <c r="V3" i="42"/>
  <c r="U3" i="42"/>
  <c r="E17" i="4"/>
  <c r="H22" i="4"/>
  <c r="J16" i="4"/>
  <c r="I27" i="28"/>
  <c r="J20" i="4"/>
  <c r="I17" i="28"/>
  <c r="E21" i="4"/>
  <c r="F23" i="4"/>
  <c r="N22" i="4"/>
  <c r="K16" i="4"/>
  <c r="K35" i="28"/>
  <c r="H16" i="4"/>
  <c r="M18" i="4"/>
  <c r="J23" i="4"/>
  <c r="H17" i="4"/>
  <c r="I23" i="4"/>
  <c r="I25" i="4"/>
  <c r="K29" i="28"/>
  <c r="K19" i="4"/>
  <c r="F16" i="4"/>
  <c r="I18" i="28"/>
  <c r="S3" i="42"/>
  <c r="T3" i="42"/>
  <c r="E22" i="4"/>
  <c r="G16" i="4"/>
  <c r="N16" i="4"/>
  <c r="I17" i="4"/>
  <c r="I24" i="28"/>
  <c r="G23" i="4"/>
  <c r="M22" i="4"/>
  <c r="G26" i="4"/>
  <c r="L24" i="4"/>
  <c r="L25" i="4"/>
  <c r="E19" i="4"/>
  <c r="K20" i="4"/>
  <c r="L20" i="4"/>
  <c r="I30" i="28"/>
  <c r="J25" i="4"/>
  <c r="L17" i="4"/>
  <c r="F21" i="4"/>
  <c r="H25" i="4"/>
  <c r="E26" i="4"/>
  <c r="J22" i="28"/>
  <c r="J35" i="28"/>
  <c r="K30" i="28"/>
  <c r="F17" i="4"/>
  <c r="M21" i="4"/>
  <c r="G18" i="4"/>
  <c r="K18" i="4"/>
  <c r="I16" i="28"/>
  <c r="G20" i="4"/>
  <c r="K17" i="4"/>
  <c r="K28" i="28"/>
  <c r="J23" i="28"/>
  <c r="M23" i="4"/>
  <c r="H21" i="4"/>
  <c r="J24" i="4"/>
  <c r="N18" i="4"/>
  <c r="E23" i="4"/>
  <c r="L22" i="4"/>
  <c r="J19" i="4"/>
  <c r="I23" i="28"/>
  <c r="I34" i="28"/>
  <c r="J17" i="4"/>
  <c r="E20" i="4"/>
  <c r="K23" i="4"/>
  <c r="I29" i="28"/>
  <c r="K21" i="4"/>
  <c r="L16" i="4"/>
  <c r="I36" i="28"/>
  <c r="H19" i="4"/>
  <c r="J34" i="28"/>
  <c r="L18" i="4"/>
  <c r="J26" i="4"/>
  <c r="J15" i="28"/>
  <c r="I20" i="4"/>
  <c r="M26" i="4"/>
  <c r="J30" i="28"/>
  <c r="J24" i="28"/>
  <c r="N21" i="4"/>
  <c r="M19" i="4"/>
  <c r="N17" i="4"/>
  <c r="E24" i="4"/>
  <c r="E18" i="4"/>
  <c r="K18" i="28"/>
  <c r="L19" i="4"/>
  <c r="J21" i="4"/>
  <c r="J27" i="28"/>
  <c r="N24" i="4"/>
  <c r="G24" i="4"/>
  <c r="I19" i="4"/>
  <c r="F26" i="4"/>
  <c r="N19" i="4"/>
  <c r="L21" i="4"/>
  <c r="K22" i="4"/>
  <c r="K34" i="28"/>
  <c r="K36" i="28"/>
  <c r="L26" i="4"/>
  <c r="I22" i="4"/>
  <c r="F19" i="4"/>
  <c r="G19" i="4"/>
  <c r="M25" i="4"/>
  <c r="N23" i="4"/>
  <c r="K24" i="28"/>
  <c r="J18" i="28"/>
  <c r="F20" i="4"/>
  <c r="J29" i="28"/>
  <c r="F24" i="4"/>
  <c r="E25" i="4"/>
  <c r="K22" i="28"/>
  <c r="M16" i="4"/>
  <c r="I26" i="4"/>
  <c r="N26" i="4"/>
  <c r="L23" i="4"/>
  <c r="I33" i="28"/>
  <c r="I35" i="28"/>
  <c r="J22" i="4"/>
  <c r="K26" i="4"/>
  <c r="K23" i="28"/>
  <c r="H23" i="4"/>
  <c r="J36" i="28"/>
  <c r="J28" i="28"/>
  <c r="F18" i="4"/>
  <c r="I18" i="4"/>
  <c r="K25" i="4"/>
  <c r="F25" i="4"/>
  <c r="K11" i="39"/>
  <c r="D13" i="39"/>
  <c r="C13" i="39"/>
  <c r="F13" i="39"/>
  <c r="B13" i="39"/>
  <c r="E13" i="39"/>
  <c r="J13" i="39" l="1"/>
  <c r="I13" i="39"/>
  <c r="H13" i="39"/>
  <c r="G13" i="39"/>
  <c r="K12" i="39"/>
  <c r="F14" i="39"/>
  <c r="B14" i="39"/>
  <c r="E14" i="39"/>
  <c r="D14" i="39"/>
  <c r="C14" i="39"/>
  <c r="G14" i="39" l="1"/>
  <c r="J14" i="39"/>
  <c r="I14" i="39"/>
  <c r="H14" i="39"/>
  <c r="K13" i="39"/>
  <c r="D15" i="39"/>
  <c r="C15" i="39"/>
  <c r="F15" i="39"/>
  <c r="B15" i="39"/>
  <c r="E15" i="39"/>
  <c r="I15" i="39" l="1"/>
  <c r="G15" i="39"/>
  <c r="H15" i="39"/>
  <c r="J15" i="39"/>
  <c r="K14" i="39"/>
  <c r="F16" i="39"/>
  <c r="B16" i="39"/>
  <c r="E16" i="39"/>
  <c r="D16" i="39"/>
  <c r="C16" i="39"/>
  <c r="H16" i="39" l="1"/>
  <c r="G16" i="39"/>
  <c r="J16" i="39"/>
  <c r="I16" i="39"/>
  <c r="K15" i="39"/>
  <c r="D17" i="39"/>
  <c r="C17" i="39"/>
  <c r="F17" i="39"/>
  <c r="B17" i="39"/>
  <c r="E17" i="39"/>
  <c r="J17" i="39" l="1"/>
  <c r="I17" i="39"/>
  <c r="H17" i="39"/>
  <c r="G17" i="39"/>
  <c r="K16" i="39"/>
  <c r="F18" i="39"/>
  <c r="B18" i="39"/>
  <c r="E18" i="39"/>
  <c r="D18" i="39"/>
  <c r="C18" i="39"/>
  <c r="J18" i="39" l="1"/>
  <c r="I18" i="39"/>
  <c r="H18" i="39"/>
  <c r="G18" i="39"/>
  <c r="K17" i="39"/>
  <c r="D19" i="39"/>
  <c r="C19" i="39"/>
  <c r="F19" i="39"/>
  <c r="B19" i="39"/>
  <c r="E19" i="39"/>
  <c r="G19" i="39" l="1"/>
  <c r="J19" i="39"/>
  <c r="I19" i="39"/>
  <c r="H19" i="39"/>
  <c r="K18" i="39"/>
  <c r="F20" i="39"/>
  <c r="B20" i="39"/>
  <c r="E20" i="39"/>
  <c r="D20" i="39"/>
  <c r="C20" i="39"/>
  <c r="I20" i="39" l="1"/>
  <c r="G20" i="39"/>
  <c r="H20" i="39"/>
  <c r="J20" i="39"/>
  <c r="K19" i="39"/>
  <c r="D21" i="39"/>
  <c r="C21" i="39"/>
  <c r="F21" i="39"/>
  <c r="B21" i="39"/>
  <c r="E21" i="39"/>
  <c r="J21" i="39" l="1"/>
  <c r="I21" i="39"/>
  <c r="H21" i="39"/>
  <c r="G21" i="39"/>
  <c r="K20" i="39"/>
  <c r="F22" i="39"/>
  <c r="B22" i="39"/>
  <c r="E22" i="39"/>
  <c r="D22" i="39"/>
  <c r="C22" i="39"/>
  <c r="I22" i="39" l="1"/>
  <c r="G22" i="39"/>
  <c r="H22" i="39"/>
  <c r="J22" i="39"/>
  <c r="K21" i="39"/>
  <c r="D23" i="39"/>
  <c r="C23" i="39"/>
  <c r="F23" i="39"/>
  <c r="B23" i="39"/>
  <c r="E23" i="39"/>
  <c r="J23" i="39" l="1"/>
  <c r="I23" i="39"/>
  <c r="H23" i="39"/>
  <c r="G23" i="39"/>
  <c r="K22" i="39"/>
  <c r="F24" i="39"/>
  <c r="B24" i="39"/>
  <c r="E24" i="39"/>
  <c r="D24" i="39"/>
  <c r="C24" i="39"/>
  <c r="I24" i="39" l="1"/>
  <c r="H24" i="39"/>
  <c r="G24" i="39"/>
  <c r="J24" i="39"/>
  <c r="K23" i="39"/>
  <c r="D25" i="39"/>
  <c r="C25" i="39"/>
  <c r="F25" i="39"/>
  <c r="B25" i="39"/>
  <c r="E25" i="39"/>
  <c r="I25" i="39" l="1"/>
  <c r="H25" i="39"/>
  <c r="J25" i="39"/>
  <c r="G25" i="39"/>
  <c r="K24" i="39"/>
  <c r="F26" i="39"/>
  <c r="B26" i="39"/>
  <c r="E26" i="39"/>
  <c r="D26" i="39"/>
  <c r="C26" i="39"/>
  <c r="J26" i="39" l="1"/>
  <c r="I26" i="39"/>
  <c r="H26" i="39"/>
  <c r="G26" i="39"/>
  <c r="K25" i="39"/>
  <c r="D27" i="39"/>
  <c r="C27" i="39"/>
  <c r="F27" i="39"/>
  <c r="B27" i="39"/>
  <c r="E27" i="39"/>
  <c r="G27" i="39" l="1"/>
  <c r="I27" i="39"/>
  <c r="J27" i="39"/>
  <c r="H27" i="39"/>
  <c r="K26" i="39"/>
  <c r="F28" i="39"/>
  <c r="B28" i="39"/>
  <c r="E28" i="39"/>
  <c r="D28" i="39"/>
  <c r="C28" i="39"/>
  <c r="H28" i="39" l="1"/>
  <c r="G28" i="39"/>
  <c r="J28" i="39"/>
  <c r="I28" i="39"/>
  <c r="K27" i="39"/>
  <c r="D29" i="39"/>
  <c r="C29" i="39"/>
  <c r="F29" i="39"/>
  <c r="B29" i="39"/>
  <c r="E29" i="39"/>
  <c r="I29" i="39" l="1"/>
  <c r="H29" i="39"/>
  <c r="J29" i="39"/>
  <c r="G29" i="39"/>
  <c r="K28" i="39"/>
  <c r="F30" i="39"/>
  <c r="B30" i="39"/>
  <c r="E30" i="39"/>
  <c r="D30" i="39"/>
  <c r="C30" i="39"/>
  <c r="J30" i="39" l="1"/>
  <c r="I30" i="39"/>
  <c r="H30" i="39"/>
  <c r="G30" i="39"/>
  <c r="K29" i="39"/>
  <c r="D31" i="39"/>
  <c r="C31" i="39"/>
  <c r="F31" i="39"/>
  <c r="B31" i="39"/>
  <c r="E31" i="39"/>
  <c r="K30" i="39" l="1"/>
  <c r="J31" i="39"/>
  <c r="I31" i="39"/>
  <c r="G31" i="39"/>
  <c r="H31" i="39"/>
  <c r="F32" i="39"/>
  <c r="B32" i="39"/>
  <c r="E32" i="39"/>
  <c r="D32" i="39"/>
  <c r="C32" i="39"/>
  <c r="H32" i="39" l="1"/>
  <c r="G32" i="39"/>
  <c r="J32" i="39"/>
  <c r="I32" i="39"/>
  <c r="K31" i="39"/>
  <c r="D33" i="39"/>
  <c r="C33" i="39"/>
  <c r="F33" i="39"/>
  <c r="B33" i="39"/>
  <c r="E33" i="39"/>
  <c r="I33" i="39" l="1"/>
  <c r="G33" i="39"/>
  <c r="J33" i="39"/>
  <c r="H33" i="39"/>
  <c r="K32" i="39"/>
  <c r="F34" i="39"/>
  <c r="B34" i="39"/>
  <c r="E34" i="39"/>
  <c r="D34" i="39"/>
  <c r="C34" i="39"/>
  <c r="I34" i="39" l="1"/>
  <c r="H34" i="39"/>
  <c r="G34" i="39"/>
  <c r="J34" i="39"/>
  <c r="K33" i="39"/>
  <c r="D35" i="39"/>
  <c r="C35" i="39"/>
  <c r="F35" i="39"/>
  <c r="B35" i="39"/>
  <c r="E35" i="39"/>
  <c r="J35" i="39" l="1"/>
  <c r="H35" i="39"/>
  <c r="G35" i="39"/>
  <c r="I35" i="39"/>
  <c r="K34" i="39"/>
  <c r="F36" i="39"/>
  <c r="B36" i="39"/>
  <c r="E36" i="39"/>
  <c r="D36" i="39"/>
  <c r="C36" i="39"/>
  <c r="H36" i="39" l="1"/>
  <c r="G36" i="39"/>
  <c r="I36" i="39"/>
  <c r="J36" i="39"/>
  <c r="K35" i="39"/>
  <c r="D37" i="39"/>
  <c r="C37" i="39"/>
  <c r="F37" i="39"/>
  <c r="B37" i="39"/>
  <c r="E37" i="39"/>
  <c r="J37" i="39" l="1"/>
  <c r="I37" i="39"/>
  <c r="H37" i="39"/>
  <c r="G37" i="39"/>
  <c r="K36" i="39"/>
  <c r="F38" i="39"/>
  <c r="B38" i="39"/>
  <c r="E38" i="39"/>
  <c r="D38" i="39"/>
  <c r="C38" i="39"/>
  <c r="J38" i="39" l="1"/>
  <c r="I38" i="39"/>
  <c r="G38" i="39"/>
  <c r="H38" i="39"/>
  <c r="K37" i="39"/>
  <c r="D39" i="39"/>
  <c r="C39" i="39"/>
  <c r="F39" i="39"/>
  <c r="B39" i="39"/>
  <c r="E39" i="39"/>
  <c r="J39" i="39" l="1"/>
  <c r="I39" i="39"/>
  <c r="H39" i="39"/>
  <c r="G39" i="39"/>
  <c r="K38" i="39"/>
  <c r="F40" i="39"/>
  <c r="B40" i="39"/>
  <c r="E40" i="39"/>
  <c r="D40" i="39"/>
  <c r="C40" i="39"/>
  <c r="H40" i="39" l="1"/>
  <c r="G40" i="39"/>
  <c r="I40" i="39"/>
  <c r="J40" i="39"/>
  <c r="K39" i="39"/>
  <c r="D41" i="39"/>
  <c r="C41" i="39"/>
  <c r="F41" i="39"/>
  <c r="B41" i="39"/>
  <c r="E41" i="39"/>
  <c r="G41" i="39" l="1"/>
  <c r="H41" i="39"/>
  <c r="J41" i="39"/>
  <c r="I41" i="39"/>
  <c r="K40" i="39"/>
  <c r="F42" i="39"/>
  <c r="B42" i="39"/>
  <c r="E42" i="39"/>
  <c r="D42" i="39"/>
  <c r="C42" i="39"/>
  <c r="I42" i="39" l="1"/>
  <c r="G42" i="39"/>
  <c r="H42" i="39"/>
  <c r="J42" i="39"/>
  <c r="K41" i="39"/>
  <c r="D43" i="39"/>
  <c r="C43" i="39"/>
  <c r="F43" i="39"/>
  <c r="B43" i="39"/>
  <c r="E43" i="39"/>
  <c r="G43" i="39" l="1"/>
  <c r="H43" i="39"/>
  <c r="J43" i="39"/>
  <c r="I43" i="39"/>
  <c r="K42" i="39"/>
  <c r="F44" i="39"/>
  <c r="B44" i="39"/>
  <c r="E44" i="39"/>
  <c r="D44" i="39"/>
  <c r="C44" i="39"/>
  <c r="H44" i="39" l="1"/>
  <c r="J44" i="39"/>
  <c r="G44" i="39"/>
  <c r="I44" i="39"/>
  <c r="K43" i="39"/>
  <c r="D45" i="39"/>
  <c r="C45" i="39"/>
  <c r="F45" i="39"/>
  <c r="B45" i="39"/>
  <c r="E45" i="39"/>
  <c r="I45" i="39" l="1"/>
  <c r="G45" i="39"/>
  <c r="H45" i="39"/>
  <c r="J45" i="39"/>
  <c r="K44" i="39"/>
  <c r="F46" i="39"/>
  <c r="B46" i="39"/>
  <c r="E46" i="39"/>
  <c r="D46" i="39"/>
  <c r="C46" i="39"/>
  <c r="J46" i="39" l="1"/>
  <c r="I46" i="39"/>
  <c r="H46" i="39"/>
  <c r="G46" i="39"/>
  <c r="K45" i="39"/>
  <c r="D47" i="39"/>
  <c r="C47" i="39"/>
  <c r="F47" i="39"/>
  <c r="B47" i="39"/>
  <c r="E47" i="39"/>
  <c r="H47" i="39" l="1"/>
  <c r="I47" i="39"/>
  <c r="G47" i="39"/>
  <c r="J47" i="39"/>
  <c r="K46" i="39"/>
  <c r="F48" i="39"/>
  <c r="B48" i="39"/>
  <c r="E48" i="39"/>
  <c r="D48" i="39"/>
  <c r="C48" i="39"/>
  <c r="J48" i="39" l="1"/>
  <c r="I48" i="39"/>
  <c r="H48" i="39"/>
  <c r="G48" i="39"/>
  <c r="K47" i="39"/>
  <c r="D49" i="39"/>
  <c r="C49" i="39"/>
  <c r="F49" i="39"/>
  <c r="B49" i="39"/>
  <c r="E49" i="39"/>
  <c r="I49" i="39" l="1"/>
  <c r="G49" i="39"/>
  <c r="H49" i="39"/>
  <c r="J49" i="39"/>
  <c r="K48" i="39"/>
  <c r="F50" i="39"/>
  <c r="B50" i="39"/>
  <c r="E50" i="39"/>
  <c r="D50" i="39"/>
  <c r="C50" i="39"/>
  <c r="J50" i="39" l="1"/>
  <c r="I50" i="39"/>
  <c r="H50" i="39"/>
  <c r="G50" i="39"/>
  <c r="K49" i="39"/>
  <c r="D51" i="39"/>
  <c r="C51" i="39"/>
  <c r="F51" i="39"/>
  <c r="B51" i="39"/>
  <c r="E51" i="39"/>
  <c r="J51" i="39" l="1"/>
  <c r="G51" i="39"/>
  <c r="H51" i="39"/>
  <c r="I51" i="39"/>
  <c r="K50" i="39"/>
  <c r="F52" i="39"/>
  <c r="B52" i="39"/>
  <c r="E52" i="39"/>
  <c r="D52" i="39"/>
  <c r="C52" i="39"/>
  <c r="I52" i="39" l="1"/>
  <c r="J52" i="39"/>
  <c r="H52" i="39"/>
  <c r="G52" i="39"/>
  <c r="K51" i="39"/>
  <c r="D53" i="39"/>
  <c r="C53" i="39"/>
  <c r="F53" i="39"/>
  <c r="B53" i="39"/>
  <c r="E53" i="39"/>
  <c r="I53" i="39" l="1"/>
  <c r="G53" i="39"/>
  <c r="J53" i="39"/>
  <c r="H53" i="39"/>
  <c r="K52" i="39"/>
  <c r="F54" i="39"/>
  <c r="B54" i="39"/>
  <c r="E54" i="39"/>
  <c r="D54" i="39"/>
  <c r="C54" i="39"/>
  <c r="H54" i="39" l="1"/>
  <c r="G54" i="39"/>
  <c r="I54" i="39"/>
  <c r="J54" i="39"/>
  <c r="K53" i="39"/>
  <c r="D55" i="39"/>
  <c r="C55" i="39"/>
  <c r="F55" i="39"/>
  <c r="B55" i="39"/>
  <c r="E55" i="39"/>
  <c r="G55" i="39" l="1"/>
  <c r="H55" i="39"/>
  <c r="J55" i="39"/>
  <c r="I55" i="39"/>
  <c r="K54" i="39"/>
  <c r="F56" i="39"/>
  <c r="B56" i="39"/>
  <c r="E56" i="39"/>
  <c r="D56" i="39"/>
  <c r="C56" i="39"/>
  <c r="G56" i="39" l="1"/>
  <c r="J56" i="39"/>
  <c r="I56" i="39"/>
  <c r="H56" i="39"/>
  <c r="K55" i="39"/>
  <c r="D57" i="39"/>
  <c r="C57" i="39"/>
  <c r="F57" i="39"/>
  <c r="B57" i="39"/>
  <c r="E57" i="39"/>
  <c r="J57" i="39" l="1"/>
  <c r="G57" i="39"/>
  <c r="I57" i="39"/>
  <c r="H57" i="39"/>
  <c r="K56" i="39"/>
  <c r="F58" i="39"/>
  <c r="B58" i="39"/>
  <c r="E58" i="39"/>
  <c r="D58" i="39"/>
  <c r="C58" i="39"/>
  <c r="K57" i="39" l="1"/>
  <c r="H58" i="39"/>
  <c r="I58" i="39"/>
  <c r="J58" i="39"/>
  <c r="G58" i="39"/>
  <c r="D59" i="39"/>
  <c r="C59" i="39"/>
  <c r="F59" i="39"/>
  <c r="B59" i="39"/>
  <c r="E59" i="39"/>
  <c r="H59" i="39" l="1"/>
  <c r="K58" i="39"/>
  <c r="I59" i="39"/>
  <c r="J59" i="39"/>
  <c r="G59" i="39"/>
  <c r="F60" i="39"/>
  <c r="B60" i="39"/>
  <c r="E60" i="39"/>
  <c r="D60" i="39"/>
  <c r="C60" i="39"/>
  <c r="J60" i="39" l="1"/>
  <c r="I60" i="39"/>
  <c r="H60" i="39"/>
  <c r="G60" i="39"/>
  <c r="K59" i="39"/>
  <c r="D61" i="39"/>
  <c r="C61" i="39"/>
  <c r="F61" i="39"/>
  <c r="B61" i="39"/>
  <c r="E61" i="39"/>
  <c r="K60" i="39" l="1"/>
  <c r="G61" i="39"/>
  <c r="I61" i="39"/>
  <c r="J61" i="39"/>
  <c r="H61" i="39"/>
  <c r="F62" i="39"/>
  <c r="B62" i="39"/>
  <c r="E62" i="39"/>
  <c r="D62" i="39"/>
  <c r="C62" i="39"/>
  <c r="G62" i="39" l="1"/>
  <c r="J62" i="39"/>
  <c r="I62" i="39"/>
  <c r="H62" i="39"/>
  <c r="K61" i="39"/>
  <c r="D63" i="39"/>
  <c r="C63" i="39"/>
  <c r="F63" i="39"/>
  <c r="B63" i="39"/>
  <c r="E63" i="39"/>
  <c r="G63" i="39" l="1"/>
  <c r="I63" i="39"/>
  <c r="H63" i="39"/>
  <c r="J63" i="39"/>
  <c r="K62" i="39"/>
  <c r="F64" i="39"/>
  <c r="B64" i="39"/>
  <c r="E64" i="39"/>
  <c r="D64" i="39"/>
  <c r="C64" i="39"/>
  <c r="H64" i="39" l="1"/>
  <c r="G64" i="39"/>
  <c r="J64" i="39"/>
  <c r="I64" i="39"/>
  <c r="K63" i="39"/>
  <c r="D65" i="39"/>
  <c r="C65" i="39"/>
  <c r="F65" i="39"/>
  <c r="B65" i="39"/>
  <c r="E65" i="39"/>
  <c r="L138" i="42"/>
  <c r="O156" i="42"/>
  <c r="D14" i="42"/>
  <c r="G280" i="42"/>
  <c r="B318" i="42"/>
  <c r="E141" i="42"/>
  <c r="C119" i="42"/>
  <c r="H127" i="42"/>
  <c r="I172" i="42"/>
  <c r="C141" i="42"/>
  <c r="M95" i="42"/>
  <c r="Q119" i="42"/>
  <c r="D97" i="42"/>
  <c r="N120" i="42"/>
  <c r="B206" i="42"/>
  <c r="P81" i="42"/>
  <c r="F199" i="42"/>
  <c r="Q13" i="42"/>
  <c r="C51" i="42"/>
  <c r="D378" i="42"/>
  <c r="H189" i="42"/>
  <c r="K105" i="42"/>
  <c r="O163" i="42"/>
  <c r="E148" i="42"/>
  <c r="C73" i="42"/>
  <c r="H57" i="42"/>
  <c r="F152" i="42"/>
  <c r="R26" i="42"/>
  <c r="B17" i="42"/>
  <c r="K388" i="42"/>
  <c r="C168" i="42"/>
  <c r="Q102" i="42"/>
  <c r="N87" i="42"/>
  <c r="F155" i="42"/>
  <c r="D66" i="42"/>
  <c r="K201" i="42"/>
  <c r="M86" i="42"/>
  <c r="M184" i="42"/>
  <c r="K42" i="42"/>
  <c r="I157" i="42"/>
  <c r="G85" i="42"/>
  <c r="F193" i="42"/>
  <c r="F58" i="42"/>
  <c r="R127" i="42"/>
  <c r="N402" i="42"/>
  <c r="E24" i="42"/>
  <c r="M29" i="42"/>
  <c r="L171" i="42"/>
  <c r="L91" i="42"/>
  <c r="I125" i="42"/>
  <c r="G27" i="42"/>
  <c r="O155" i="42"/>
  <c r="B7" i="42"/>
  <c r="R95" i="42"/>
  <c r="E39" i="42"/>
  <c r="R138" i="42"/>
  <c r="B146" i="42"/>
  <c r="I252" i="42"/>
  <c r="I305" i="42"/>
  <c r="M94" i="42"/>
  <c r="D217" i="42"/>
  <c r="D127" i="42"/>
  <c r="Q123" i="42"/>
  <c r="I167" i="42"/>
  <c r="Q15" i="42"/>
  <c r="J136" i="42"/>
  <c r="I90" i="42"/>
  <c r="E65" i="42"/>
  <c r="M314" i="42"/>
  <c r="R132" i="42"/>
  <c r="J168" i="42"/>
  <c r="E106" i="42"/>
  <c r="M137" i="42"/>
  <c r="O205" i="42"/>
  <c r="Q197" i="42"/>
  <c r="F180" i="42"/>
  <c r="N313" i="42"/>
  <c r="E194" i="42"/>
  <c r="R173" i="42"/>
  <c r="Q27" i="42"/>
  <c r="L105" i="42"/>
  <c r="I96" i="42"/>
  <c r="R23" i="42"/>
  <c r="B186" i="42"/>
  <c r="R118" i="42"/>
  <c r="O145" i="42"/>
  <c r="B295" i="42"/>
  <c r="G341" i="42"/>
  <c r="M180" i="42"/>
  <c r="D56" i="42"/>
  <c r="G8" i="42"/>
  <c r="C79" i="42"/>
  <c r="H50" i="42"/>
  <c r="K154" i="42"/>
  <c r="Q168" i="42"/>
  <c r="R195" i="42"/>
  <c r="E193" i="42"/>
  <c r="H188" i="42"/>
  <c r="P77" i="42"/>
  <c r="I228" i="42"/>
  <c r="E44" i="42"/>
  <c r="Q255" i="42"/>
  <c r="N379" i="42"/>
  <c r="Q324" i="42"/>
  <c r="O41" i="42"/>
  <c r="K204" i="42"/>
  <c r="Q380" i="42"/>
  <c r="R168" i="42"/>
  <c r="L183" i="42"/>
  <c r="L113" i="42"/>
  <c r="P78" i="42"/>
  <c r="O106" i="42"/>
  <c r="E275" i="42"/>
  <c r="R35" i="42"/>
  <c r="D88" i="42"/>
  <c r="E103" i="42"/>
  <c r="P33" i="42"/>
  <c r="C196" i="42"/>
  <c r="G303" i="42"/>
  <c r="D188" i="42"/>
  <c r="N103" i="42"/>
  <c r="E4" i="42"/>
  <c r="M134" i="42"/>
  <c r="O349" i="42"/>
  <c r="O175" i="42"/>
  <c r="D198" i="42"/>
  <c r="O81" i="42"/>
  <c r="J325" i="42"/>
  <c r="M173" i="42"/>
  <c r="O364" i="42"/>
  <c r="Q254" i="42"/>
  <c r="R136" i="42"/>
  <c r="Q117" i="42"/>
  <c r="O221" i="42"/>
  <c r="G155" i="42"/>
  <c r="N200" i="42"/>
  <c r="C107" i="42"/>
  <c r="B360" i="42"/>
  <c r="L108" i="42"/>
  <c r="H278" i="42"/>
  <c r="E34" i="42"/>
  <c r="F343" i="42"/>
  <c r="K329" i="42"/>
  <c r="P98" i="42"/>
  <c r="K91" i="42"/>
  <c r="I97" i="42"/>
  <c r="G71" i="42"/>
  <c r="E69" i="42"/>
  <c r="J297" i="42"/>
  <c r="L44" i="42"/>
  <c r="C117" i="42"/>
  <c r="K85" i="42"/>
  <c r="B30" i="42"/>
  <c r="B193" i="42"/>
  <c r="K139" i="42"/>
  <c r="J91" i="42"/>
  <c r="I119" i="42"/>
  <c r="Q293" i="42"/>
  <c r="J13" i="42"/>
  <c r="H246" i="42"/>
  <c r="C30" i="42"/>
  <c r="K23" i="42"/>
  <c r="D65" i="42"/>
  <c r="F93" i="42"/>
  <c r="R157" i="42"/>
  <c r="B175" i="42"/>
  <c r="F129" i="42"/>
  <c r="G62" i="42"/>
  <c r="H172" i="42"/>
  <c r="Q65" i="42"/>
  <c r="E207" i="42"/>
  <c r="J201" i="42"/>
  <c r="H149" i="42"/>
  <c r="H208" i="42"/>
  <c r="B395" i="42"/>
  <c r="Q112" i="42"/>
  <c r="Q130" i="42"/>
  <c r="L77" i="42"/>
  <c r="C13" i="42"/>
  <c r="J71" i="42"/>
  <c r="M111" i="42"/>
  <c r="O346" i="42"/>
  <c r="E35" i="42"/>
  <c r="Q182" i="42"/>
  <c r="G145" i="42"/>
  <c r="M54" i="42"/>
  <c r="B71" i="42"/>
  <c r="C112" i="42"/>
  <c r="L127" i="42"/>
  <c r="O179" i="42"/>
  <c r="N198" i="42"/>
  <c r="P119" i="42"/>
  <c r="F177" i="42"/>
  <c r="R182" i="42"/>
  <c r="E187" i="42"/>
  <c r="I317" i="42"/>
  <c r="D155" i="42"/>
  <c r="R331" i="42"/>
  <c r="I107" i="42"/>
  <c r="D4" i="42"/>
  <c r="I372" i="42"/>
  <c r="L271" i="42"/>
  <c r="P138" i="42"/>
  <c r="Q39" i="42"/>
  <c r="J155" i="42"/>
  <c r="D191" i="42"/>
  <c r="L189" i="42"/>
  <c r="M136" i="42"/>
  <c r="P127" i="42"/>
  <c r="C72" i="42"/>
  <c r="G39" i="42"/>
  <c r="J88" i="42"/>
  <c r="Q190" i="42"/>
  <c r="G203" i="42"/>
  <c r="F35" i="42"/>
  <c r="J213" i="42"/>
  <c r="F62" i="42"/>
  <c r="P24" i="42"/>
  <c r="Q227" i="42"/>
  <c r="R89" i="42"/>
  <c r="L149" i="42"/>
  <c r="P64" i="42"/>
  <c r="B69" i="42"/>
  <c r="K34" i="42"/>
  <c r="E172" i="42"/>
  <c r="O15" i="42"/>
  <c r="L188" i="42"/>
  <c r="L79" i="42"/>
  <c r="B123" i="42"/>
  <c r="O113" i="42"/>
  <c r="L136" i="42"/>
  <c r="M186" i="42"/>
  <c r="O298" i="42"/>
  <c r="R71" i="42"/>
  <c r="R84" i="42"/>
  <c r="C340" i="42"/>
  <c r="Q73" i="42"/>
  <c r="D12" i="42"/>
  <c r="G389" i="42"/>
  <c r="E135" i="42"/>
  <c r="N164" i="42"/>
  <c r="I100" i="42"/>
  <c r="R209" i="42"/>
  <c r="E40" i="42"/>
  <c r="K151" i="42"/>
  <c r="G58" i="42"/>
  <c r="P321" i="42"/>
  <c r="C87" i="42"/>
  <c r="I9" i="42"/>
  <c r="N125" i="42"/>
  <c r="Q213" i="42"/>
  <c r="J184" i="42"/>
  <c r="D143" i="42"/>
  <c r="J167" i="42"/>
  <c r="M45" i="42"/>
  <c r="C52" i="42"/>
  <c r="I65" i="42"/>
  <c r="G35" i="42"/>
  <c r="J288" i="42"/>
  <c r="R20" i="42"/>
  <c r="Q157" i="42"/>
  <c r="D243" i="42"/>
  <c r="L227" i="42"/>
  <c r="D141" i="42"/>
  <c r="Q114" i="42"/>
  <c r="K45" i="42"/>
  <c r="J98" i="42"/>
  <c r="Q181" i="42"/>
  <c r="N145" i="42"/>
  <c r="E52" i="42"/>
  <c r="J99" i="42"/>
  <c r="K142" i="42"/>
  <c r="B102" i="42"/>
  <c r="I57" i="42"/>
  <c r="F29" i="42"/>
  <c r="E192" i="42"/>
  <c r="M83" i="42"/>
  <c r="F68" i="42"/>
  <c r="Q207" i="42"/>
  <c r="F133" i="42"/>
  <c r="D213" i="42"/>
  <c r="G98" i="42"/>
  <c r="K200" i="42"/>
  <c r="L208" i="42"/>
  <c r="O362" i="42"/>
  <c r="P263" i="42"/>
  <c r="M250" i="42"/>
  <c r="K182" i="42"/>
  <c r="L122" i="42"/>
  <c r="F109" i="42"/>
  <c r="Q309" i="42"/>
  <c r="K183" i="42"/>
  <c r="N83" i="42"/>
  <c r="D373" i="42"/>
  <c r="M41" i="42"/>
  <c r="B132" i="42"/>
  <c r="P47" i="42"/>
  <c r="O199" i="42"/>
  <c r="G36" i="42"/>
  <c r="M38" i="42"/>
  <c r="E122" i="42"/>
  <c r="E71" i="42"/>
  <c r="C213" i="42"/>
  <c r="N177" i="42"/>
  <c r="F48" i="42"/>
  <c r="D169" i="42"/>
  <c r="B182" i="42"/>
  <c r="G136" i="42"/>
  <c r="N215" i="42"/>
  <c r="F167" i="42"/>
  <c r="I101" i="42"/>
  <c r="Q101" i="42"/>
  <c r="R260" i="42"/>
  <c r="B152" i="42"/>
  <c r="C7" i="42"/>
  <c r="N17" i="42"/>
  <c r="E23" i="42"/>
  <c r="E55" i="42"/>
  <c r="I139" i="42"/>
  <c r="B139" i="42"/>
  <c r="D8" i="42"/>
  <c r="N163" i="42"/>
  <c r="R111" i="42"/>
  <c r="N104" i="42"/>
  <c r="Q193" i="42"/>
  <c r="D150" i="42"/>
  <c r="O133" i="42"/>
  <c r="I74" i="42"/>
  <c r="K16" i="42"/>
  <c r="E133" i="42"/>
  <c r="K123" i="42"/>
  <c r="O121" i="42"/>
  <c r="I198" i="42"/>
  <c r="H191" i="42"/>
  <c r="M122" i="42"/>
  <c r="R165" i="42"/>
  <c r="B47" i="42"/>
  <c r="Q105" i="42"/>
  <c r="F42" i="42"/>
  <c r="Q127" i="42"/>
  <c r="M191" i="42"/>
  <c r="N49" i="42"/>
  <c r="E138" i="42"/>
  <c r="N18" i="42"/>
  <c r="P167" i="42"/>
  <c r="P201" i="42"/>
  <c r="I84" i="42"/>
  <c r="F168" i="42"/>
  <c r="G76" i="42"/>
  <c r="L8" i="42"/>
  <c r="N44" i="42"/>
  <c r="B128" i="42"/>
  <c r="P7" i="42"/>
  <c r="G194" i="42"/>
  <c r="N101" i="42"/>
  <c r="R286" i="42"/>
  <c r="G193" i="42"/>
  <c r="G168" i="42"/>
  <c r="M172" i="42"/>
  <c r="E212" i="42"/>
  <c r="E77" i="42"/>
  <c r="P105" i="42"/>
  <c r="H78" i="42"/>
  <c r="G169" i="42"/>
  <c r="G251" i="42"/>
  <c r="O79" i="42"/>
  <c r="J137" i="42"/>
  <c r="K156" i="42"/>
  <c r="F196" i="42"/>
  <c r="Q72" i="42"/>
  <c r="L20" i="42"/>
  <c r="B18" i="42"/>
  <c r="K209" i="42"/>
  <c r="M36" i="42"/>
  <c r="E47" i="42"/>
  <c r="I185" i="42"/>
  <c r="I58" i="42"/>
  <c r="G57" i="42"/>
  <c r="G161" i="42"/>
  <c r="D144" i="42"/>
  <c r="R197" i="42"/>
  <c r="I211" i="42"/>
  <c r="B34" i="42"/>
  <c r="H174" i="42"/>
  <c r="M165" i="42"/>
  <c r="Q93" i="42"/>
  <c r="P272" i="42"/>
  <c r="O65" i="42"/>
  <c r="M125" i="42"/>
  <c r="B85" i="42"/>
  <c r="P90" i="42"/>
  <c r="I16" i="42"/>
  <c r="B207" i="42"/>
  <c r="Q62" i="42"/>
  <c r="M334" i="42"/>
  <c r="L243" i="42"/>
  <c r="R328" i="42"/>
  <c r="F77" i="42"/>
  <c r="J132" i="42"/>
  <c r="J105" i="42"/>
  <c r="L94" i="42"/>
  <c r="E291" i="42"/>
  <c r="D134" i="42"/>
  <c r="H29" i="42"/>
  <c r="B211" i="42"/>
  <c r="M320" i="42"/>
  <c r="H100" i="42"/>
  <c r="N213" i="42"/>
  <c r="F165" i="42"/>
  <c r="O110" i="42"/>
  <c r="C114" i="42"/>
  <c r="G60" i="42"/>
  <c r="C31" i="42"/>
  <c r="B191" i="42"/>
  <c r="G162" i="42"/>
  <c r="O5" i="42"/>
  <c r="M87" i="42"/>
  <c r="R31" i="42"/>
  <c r="N51" i="42"/>
  <c r="P252" i="42"/>
  <c r="Q375" i="42"/>
  <c r="Q212" i="42"/>
  <c r="J393" i="42"/>
  <c r="N42" i="42"/>
  <c r="H102" i="42"/>
  <c r="O196" i="42"/>
  <c r="R319" i="42"/>
  <c r="C69" i="42"/>
  <c r="E345" i="42"/>
  <c r="G158" i="42"/>
  <c r="R101" i="42"/>
  <c r="C109" i="42"/>
  <c r="P153" i="42"/>
  <c r="F115" i="42"/>
  <c r="G154" i="42"/>
  <c r="J183" i="42"/>
  <c r="M370" i="42"/>
  <c r="N153" i="42"/>
  <c r="I38" i="42"/>
  <c r="N16" i="42"/>
  <c r="H106" i="42"/>
  <c r="K66" i="42"/>
  <c r="F13" i="42"/>
  <c r="F143" i="42"/>
  <c r="D292" i="42"/>
  <c r="F102" i="42"/>
  <c r="N14" i="42"/>
  <c r="E402" i="42"/>
  <c r="G165" i="42"/>
  <c r="F79" i="42"/>
  <c r="N159" i="42"/>
  <c r="K191" i="42"/>
  <c r="M61" i="42"/>
  <c r="L165" i="42"/>
  <c r="E297" i="42"/>
  <c r="F72" i="42"/>
  <c r="H198" i="42"/>
  <c r="E199" i="42"/>
  <c r="M77" i="42"/>
  <c r="O62" i="42"/>
  <c r="O207" i="42"/>
  <c r="O294" i="42"/>
  <c r="M17" i="42"/>
  <c r="H250" i="42"/>
  <c r="N107" i="42"/>
  <c r="E46" i="42"/>
  <c r="K190" i="42"/>
  <c r="D22" i="42"/>
  <c r="P387" i="42"/>
  <c r="H162" i="42"/>
  <c r="F45" i="42"/>
  <c r="K69" i="42"/>
  <c r="L233" i="42"/>
  <c r="J73" i="42"/>
  <c r="Q71" i="42"/>
  <c r="E334" i="42"/>
  <c r="K97" i="42"/>
  <c r="L106" i="42"/>
  <c r="P207" i="42"/>
  <c r="D186" i="42"/>
  <c r="G24" i="42"/>
  <c r="B52" i="42"/>
  <c r="F99" i="42"/>
  <c r="O213" i="42"/>
  <c r="N48" i="42"/>
  <c r="I373" i="42"/>
  <c r="C257" i="42"/>
  <c r="M142" i="42"/>
  <c r="H120" i="42"/>
  <c r="O107" i="42"/>
  <c r="P203" i="42"/>
  <c r="R153" i="42"/>
  <c r="F127" i="42"/>
  <c r="H157" i="42"/>
  <c r="O123" i="42"/>
  <c r="D197" i="42"/>
  <c r="P97" i="42"/>
  <c r="D167" i="42"/>
  <c r="O32" i="42"/>
  <c r="F198" i="42"/>
  <c r="M175" i="42"/>
  <c r="R171" i="42"/>
  <c r="H125" i="42"/>
  <c r="P65" i="42"/>
  <c r="P85" i="42"/>
  <c r="O326" i="42"/>
  <c r="J150" i="42"/>
  <c r="J177" i="42"/>
  <c r="M9" i="42"/>
  <c r="O329" i="42"/>
  <c r="P209" i="42"/>
  <c r="N150" i="42"/>
  <c r="P355" i="42"/>
  <c r="G78" i="42"/>
  <c r="B378" i="42"/>
  <c r="R110" i="42"/>
  <c r="D193" i="42"/>
  <c r="M211" i="42"/>
  <c r="M362" i="42"/>
  <c r="J226" i="42"/>
  <c r="L133" i="42"/>
  <c r="L59" i="42"/>
  <c r="I331" i="42"/>
  <c r="R259" i="42"/>
  <c r="O344" i="42"/>
  <c r="P70" i="42"/>
  <c r="C163" i="42"/>
  <c r="F94" i="42"/>
  <c r="N193" i="42"/>
  <c r="P10" i="42"/>
  <c r="O198" i="42"/>
  <c r="E208" i="42"/>
  <c r="H31" i="42"/>
  <c r="F204" i="42"/>
  <c r="F173" i="42"/>
  <c r="Q45" i="42"/>
  <c r="K167" i="42"/>
  <c r="G117" i="42"/>
  <c r="M71" i="42"/>
  <c r="D57" i="42"/>
  <c r="P224" i="42"/>
  <c r="P170" i="42"/>
  <c r="N307" i="42"/>
  <c r="O63" i="42"/>
  <c r="D60" i="42"/>
  <c r="I163" i="42"/>
  <c r="C208" i="42"/>
  <c r="F256" i="42"/>
  <c r="M157" i="42"/>
  <c r="Q129" i="42"/>
  <c r="E349" i="42"/>
  <c r="P117" i="42"/>
  <c r="D83" i="42"/>
  <c r="J339" i="42"/>
  <c r="R69" i="42"/>
  <c r="J386" i="42"/>
  <c r="D94" i="42"/>
  <c r="P12" i="42"/>
  <c r="C159" i="42"/>
  <c r="F252" i="42"/>
  <c r="K103" i="42"/>
  <c r="K187" i="42"/>
  <c r="M139" i="42"/>
  <c r="K30" i="42"/>
  <c r="O290" i="42"/>
  <c r="B117" i="42"/>
  <c r="K121" i="42"/>
  <c r="G206" i="42"/>
  <c r="N12" i="42"/>
  <c r="O43" i="42"/>
  <c r="N161" i="42"/>
  <c r="M58" i="42"/>
  <c r="R86" i="42"/>
  <c r="C197" i="42"/>
  <c r="E123" i="42"/>
  <c r="K402" i="42"/>
  <c r="C94" i="42"/>
  <c r="B135" i="42"/>
  <c r="P40" i="42"/>
  <c r="B185" i="42"/>
  <c r="K46" i="42"/>
  <c r="O48" i="42"/>
  <c r="M189" i="42"/>
  <c r="P124" i="42"/>
  <c r="O92" i="42"/>
  <c r="G30" i="42"/>
  <c r="E307" i="42"/>
  <c r="I161" i="42"/>
  <c r="G23" i="42"/>
  <c r="O56" i="42"/>
  <c r="O18" i="42"/>
  <c r="I42" i="42"/>
  <c r="P109" i="42"/>
  <c r="R72" i="42"/>
  <c r="L74" i="42"/>
  <c r="Q74" i="42"/>
  <c r="B114" i="42"/>
  <c r="G197" i="42"/>
  <c r="F192" i="42"/>
  <c r="G22" i="42"/>
  <c r="F38" i="42"/>
  <c r="K210" i="42"/>
  <c r="G128" i="42"/>
  <c r="F231" i="42"/>
  <c r="F14" i="42"/>
  <c r="I27" i="42"/>
  <c r="F197" i="42"/>
  <c r="L155" i="42"/>
  <c r="O37" i="42"/>
  <c r="Q6" i="42"/>
  <c r="H144" i="42"/>
  <c r="B92" i="42"/>
  <c r="Q98" i="42"/>
  <c r="M90" i="42"/>
  <c r="H171" i="42"/>
  <c r="D124" i="42"/>
  <c r="B341" i="42"/>
  <c r="C209" i="42"/>
  <c r="F336" i="42"/>
  <c r="R10" i="42"/>
  <c r="H165" i="42"/>
  <c r="P88" i="42"/>
  <c r="E113" i="42"/>
  <c r="B161" i="42"/>
  <c r="M203" i="42"/>
  <c r="L391" i="42"/>
  <c r="C185" i="42"/>
  <c r="G7" i="42"/>
  <c r="B94" i="42"/>
  <c r="P110" i="42"/>
  <c r="P87" i="42"/>
  <c r="R15" i="42"/>
  <c r="G199" i="42"/>
  <c r="R92" i="42"/>
  <c r="F171" i="42"/>
  <c r="O397" i="42"/>
  <c r="E161" i="42"/>
  <c r="D95" i="42"/>
  <c r="O75" i="42"/>
  <c r="M154" i="42"/>
  <c r="L169" i="42"/>
  <c r="F208" i="42"/>
  <c r="R28" i="42"/>
  <c r="O135" i="42"/>
  <c r="K58" i="42"/>
  <c r="H49" i="42"/>
  <c r="R6" i="42"/>
  <c r="O211" i="42"/>
  <c r="Q14" i="42"/>
  <c r="E100" i="42"/>
  <c r="E366" i="42"/>
  <c r="G181" i="42"/>
  <c r="D250" i="42"/>
  <c r="J86" i="42"/>
  <c r="M269" i="42"/>
  <c r="J70" i="42"/>
  <c r="H196" i="42"/>
  <c r="C188" i="42"/>
  <c r="F190" i="42"/>
  <c r="D151" i="42"/>
  <c r="K336" i="42"/>
  <c r="L115" i="42"/>
  <c r="O258" i="42"/>
  <c r="C38" i="42"/>
  <c r="L69" i="42"/>
  <c r="H105" i="42"/>
  <c r="R124" i="42"/>
  <c r="Q145" i="42"/>
  <c r="K89" i="42"/>
  <c r="M151" i="42"/>
  <c r="M57" i="42"/>
  <c r="H354" i="42"/>
  <c r="I276" i="42"/>
  <c r="J131" i="42"/>
  <c r="H203" i="42"/>
  <c r="D149" i="42"/>
  <c r="F309" i="42"/>
  <c r="I137" i="42"/>
  <c r="R186" i="42"/>
  <c r="K68" i="42"/>
  <c r="H113" i="42"/>
  <c r="Q44" i="42"/>
  <c r="H212" i="42"/>
  <c r="O115" i="42"/>
  <c r="L213" i="42"/>
  <c r="J116" i="42"/>
  <c r="N59" i="42"/>
  <c r="B204" i="42"/>
  <c r="L185" i="42"/>
  <c r="Q80" i="42"/>
  <c r="N295" i="42"/>
  <c r="P140" i="42"/>
  <c r="E21" i="42"/>
  <c r="F90" i="42"/>
  <c r="C164" i="42"/>
  <c r="I56" i="42"/>
  <c r="I99" i="42"/>
  <c r="Q104" i="42"/>
  <c r="L192" i="42"/>
  <c r="H298" i="42"/>
  <c r="K159" i="42"/>
  <c r="F147" i="42"/>
  <c r="I71" i="42"/>
  <c r="H25" i="42"/>
  <c r="E239" i="42"/>
  <c r="E136" i="42"/>
  <c r="C20" i="42"/>
  <c r="E19" i="42"/>
  <c r="O131" i="42"/>
  <c r="G299" i="42"/>
  <c r="B35" i="42"/>
  <c r="E240" i="42"/>
  <c r="J123" i="42"/>
  <c r="F119" i="42"/>
  <c r="Q166" i="42"/>
  <c r="P155" i="42"/>
  <c r="N36" i="42"/>
  <c r="O181" i="42"/>
  <c r="E85" i="42"/>
  <c r="J49" i="42"/>
  <c r="F145" i="42"/>
  <c r="P35" i="42"/>
  <c r="O370" i="42"/>
  <c r="K320" i="42"/>
  <c r="I336" i="42"/>
  <c r="M129" i="42"/>
  <c r="P171" i="42"/>
  <c r="B12" i="42"/>
  <c r="B213" i="42"/>
  <c r="L96" i="42"/>
  <c r="M74" i="42"/>
  <c r="C398" i="42"/>
  <c r="K31" i="42"/>
  <c r="M88" i="42"/>
  <c r="M399" i="42"/>
  <c r="G25" i="42"/>
  <c r="Q75" i="42"/>
  <c r="N328" i="42"/>
  <c r="J113" i="42"/>
  <c r="C189" i="42"/>
  <c r="C8" i="42"/>
  <c r="H118" i="42"/>
  <c r="G151" i="42"/>
  <c r="P133" i="42"/>
  <c r="G90" i="42"/>
  <c r="L311" i="42"/>
  <c r="R167" i="42"/>
  <c r="H166" i="42"/>
  <c r="L143" i="42"/>
  <c r="G95" i="42"/>
  <c r="K17" i="42"/>
  <c r="R281" i="42"/>
  <c r="F104" i="42"/>
  <c r="B256" i="42"/>
  <c r="P125" i="42"/>
  <c r="P367" i="42"/>
  <c r="B390" i="42"/>
  <c r="E22" i="42"/>
  <c r="D122" i="42"/>
  <c r="R162" i="42"/>
  <c r="B354" i="42"/>
  <c r="B167" i="42"/>
  <c r="M47" i="42"/>
  <c r="E142" i="42"/>
  <c r="O188" i="42"/>
  <c r="P21" i="42"/>
  <c r="C140" i="42"/>
  <c r="P163" i="42"/>
  <c r="E204" i="42"/>
  <c r="E140" i="42"/>
  <c r="N81" i="42"/>
  <c r="J127" i="42"/>
  <c r="G222" i="42"/>
  <c r="B238" i="42"/>
  <c r="L200" i="42"/>
  <c r="D307" i="42"/>
  <c r="H45" i="42"/>
  <c r="L51" i="42"/>
  <c r="C63" i="42"/>
  <c r="F122" i="42"/>
  <c r="Q351" i="42"/>
  <c r="J126" i="42"/>
  <c r="H262" i="42"/>
  <c r="N66" i="42"/>
  <c r="C201" i="42"/>
  <c r="R179" i="42"/>
  <c r="M73" i="42"/>
  <c r="M96" i="42"/>
  <c r="C386" i="42"/>
  <c r="E139" i="42"/>
  <c r="R298" i="42"/>
  <c r="G156" i="42"/>
  <c r="Q225" i="42"/>
  <c r="L140" i="42"/>
  <c r="C33" i="42"/>
  <c r="D110" i="42"/>
  <c r="L256" i="42"/>
  <c r="G231" i="42"/>
  <c r="P309" i="42"/>
  <c r="R212" i="42"/>
  <c r="P261" i="42"/>
  <c r="K84" i="42"/>
  <c r="Q111" i="42"/>
  <c r="K38" i="42"/>
  <c r="D162" i="42"/>
  <c r="F206" i="42"/>
  <c r="K55" i="42"/>
  <c r="D78" i="42"/>
  <c r="K39" i="42"/>
  <c r="F55" i="42"/>
  <c r="J38" i="42"/>
  <c r="J62" i="42"/>
  <c r="B327" i="42"/>
  <c r="G109" i="42"/>
  <c r="C328" i="42"/>
  <c r="N90" i="42"/>
  <c r="I91" i="42"/>
  <c r="C301" i="42"/>
  <c r="E377" i="42"/>
  <c r="Q187" i="42"/>
  <c r="L202" i="42"/>
  <c r="I221" i="42"/>
  <c r="I202" i="42"/>
  <c r="R190" i="42"/>
  <c r="P11" i="42"/>
  <c r="P147" i="42"/>
  <c r="R155" i="42"/>
  <c r="D207" i="42"/>
  <c r="K88" i="42"/>
  <c r="G178" i="42"/>
  <c r="R79" i="42"/>
  <c r="M37" i="42"/>
  <c r="P265" i="42"/>
  <c r="B5" i="42"/>
  <c r="Q201" i="42"/>
  <c r="R117" i="42"/>
  <c r="I66" i="42"/>
  <c r="N95" i="42"/>
  <c r="K63" i="42"/>
  <c r="N77" i="42"/>
  <c r="K178" i="42"/>
  <c r="L177" i="42"/>
  <c r="I183" i="42"/>
  <c r="C61" i="42"/>
  <c r="B119" i="42"/>
  <c r="G180" i="42"/>
  <c r="M181" i="42"/>
  <c r="D214" i="42"/>
  <c r="G120" i="42"/>
  <c r="F229" i="42"/>
  <c r="J45" i="42"/>
  <c r="O173" i="42"/>
  <c r="F10" i="42"/>
  <c r="Q174" i="42"/>
  <c r="K397" i="42"/>
  <c r="H73" i="42"/>
  <c r="F178" i="42"/>
  <c r="R33" i="42"/>
  <c r="I108" i="42"/>
  <c r="B57" i="42"/>
  <c r="B179" i="42"/>
  <c r="D52" i="42"/>
  <c r="N310" i="42"/>
  <c r="K43" i="42"/>
  <c r="M187" i="42"/>
  <c r="F118" i="42"/>
  <c r="P212" i="42"/>
  <c r="Q319" i="42"/>
  <c r="E145" i="42"/>
  <c r="K82" i="42"/>
  <c r="P179" i="42"/>
  <c r="R199" i="42"/>
  <c r="G106" i="42"/>
  <c r="P211" i="42"/>
  <c r="G87" i="42"/>
  <c r="L139" i="42"/>
  <c r="D183" i="42"/>
  <c r="N37" i="42"/>
  <c r="P42" i="42"/>
  <c r="P73" i="42"/>
  <c r="Q281" i="42"/>
  <c r="D163" i="42"/>
  <c r="P393" i="42"/>
  <c r="J153" i="42"/>
  <c r="K195" i="42"/>
  <c r="K289" i="42"/>
  <c r="O162" i="42"/>
  <c r="H111" i="42"/>
  <c r="H96" i="42"/>
  <c r="O191" i="42"/>
  <c r="G124" i="42"/>
  <c r="I392" i="42"/>
  <c r="I28" i="42"/>
  <c r="C153" i="42"/>
  <c r="C210" i="42"/>
  <c r="K93" i="42"/>
  <c r="F297" i="42"/>
  <c r="C224" i="42"/>
  <c r="O42" i="42"/>
  <c r="I197" i="42"/>
  <c r="C162" i="42"/>
  <c r="C21" i="42"/>
  <c r="O8" i="42"/>
  <c r="Q282" i="42"/>
  <c r="Q135" i="42"/>
  <c r="R106" i="42"/>
  <c r="D137" i="42"/>
  <c r="M65" i="42"/>
  <c r="L163" i="42"/>
  <c r="R77" i="42"/>
  <c r="F121" i="42"/>
  <c r="I85" i="42"/>
  <c r="O58" i="42"/>
  <c r="F212" i="42"/>
  <c r="N192" i="42"/>
  <c r="R191" i="42"/>
  <c r="F205" i="42"/>
  <c r="R193" i="42"/>
  <c r="D261" i="42"/>
  <c r="Q69" i="42"/>
  <c r="F92" i="42"/>
  <c r="F272" i="42"/>
  <c r="Q116" i="42"/>
  <c r="H170" i="42"/>
  <c r="G6" i="42"/>
  <c r="M352" i="42"/>
  <c r="K100" i="42"/>
  <c r="D85" i="42"/>
  <c r="D165" i="42"/>
  <c r="J148" i="42"/>
  <c r="E50" i="42"/>
  <c r="K153" i="42"/>
  <c r="C222" i="42"/>
  <c r="H371" i="42"/>
  <c r="J129" i="42"/>
  <c r="J202" i="42"/>
  <c r="D112" i="42"/>
  <c r="I7" i="42"/>
  <c r="B131" i="42"/>
  <c r="O82" i="42"/>
  <c r="G107" i="42"/>
  <c r="K185" i="42"/>
  <c r="L70" i="42"/>
  <c r="F201" i="42"/>
  <c r="Q51" i="42"/>
  <c r="P32" i="42"/>
  <c r="M52" i="42"/>
  <c r="M15" i="42"/>
  <c r="N133" i="42"/>
  <c r="R314" i="42"/>
  <c r="I130" i="42"/>
  <c r="L160" i="42"/>
  <c r="L147" i="42"/>
  <c r="E95" i="42"/>
  <c r="J4" i="42"/>
  <c r="O38" i="42"/>
  <c r="J93" i="42"/>
  <c r="Q159" i="42"/>
  <c r="I133" i="42"/>
  <c r="J108" i="42"/>
  <c r="L93" i="42"/>
  <c r="M14" i="42"/>
  <c r="O49" i="42"/>
  <c r="G91" i="42"/>
  <c r="E167" i="42"/>
  <c r="H274" i="42"/>
  <c r="F243" i="42"/>
  <c r="P146" i="42"/>
  <c r="J360" i="42"/>
  <c r="P53" i="42"/>
  <c r="I105" i="42"/>
  <c r="M44" i="42"/>
  <c r="I35" i="42"/>
  <c r="Q198" i="42"/>
  <c r="J336" i="42"/>
  <c r="O130" i="42"/>
  <c r="D36" i="42"/>
  <c r="H55" i="42"/>
  <c r="B28" i="42"/>
  <c r="B110" i="42"/>
  <c r="F375" i="42"/>
  <c r="R14" i="42"/>
  <c r="K27" i="42"/>
  <c r="R371" i="42"/>
  <c r="Q143" i="42"/>
  <c r="I165" i="42"/>
  <c r="M35" i="42"/>
  <c r="G79" i="42"/>
  <c r="L18" i="42"/>
  <c r="H82" i="42"/>
  <c r="B250" i="42"/>
  <c r="C67" i="42"/>
  <c r="K188" i="42"/>
  <c r="P316" i="42"/>
  <c r="N115" i="42"/>
  <c r="D148" i="42"/>
  <c r="K78" i="42"/>
  <c r="O35" i="42"/>
  <c r="O27" i="42"/>
  <c r="R280" i="42"/>
  <c r="B99" i="42"/>
  <c r="L338" i="42"/>
  <c r="C98" i="42"/>
  <c r="D84" i="42"/>
  <c r="P151" i="42"/>
  <c r="E152" i="42"/>
  <c r="C347" i="42"/>
  <c r="F182" i="42"/>
  <c r="H21" i="42"/>
  <c r="L173" i="42"/>
  <c r="K176" i="42"/>
  <c r="J376" i="42"/>
  <c r="C372" i="42"/>
  <c r="E158" i="42"/>
  <c r="G292" i="42"/>
  <c r="O187" i="42"/>
  <c r="G377" i="42"/>
  <c r="H241" i="42"/>
  <c r="I182" i="42"/>
  <c r="M51" i="42"/>
  <c r="C191" i="42"/>
  <c r="E7" i="42"/>
  <c r="G208" i="42"/>
  <c r="R137" i="42"/>
  <c r="N146" i="42"/>
  <c r="I243" i="42"/>
  <c r="M144" i="42"/>
  <c r="Q205" i="42"/>
  <c r="D206" i="42"/>
  <c r="L50" i="42"/>
  <c r="R17" i="42"/>
  <c r="B310" i="42"/>
  <c r="O183" i="42"/>
  <c r="B156" i="42"/>
  <c r="F279" i="42"/>
  <c r="J259" i="42"/>
  <c r="C97" i="42"/>
  <c r="M207" i="42"/>
  <c r="N70" i="42"/>
  <c r="M229" i="42"/>
  <c r="M331" i="42"/>
  <c r="D29" i="42"/>
  <c r="M13" i="42"/>
  <c r="F11" i="42"/>
  <c r="D351" i="42"/>
  <c r="F236" i="42"/>
  <c r="B209" i="42"/>
  <c r="P330" i="42"/>
  <c r="B108" i="42"/>
  <c r="G236" i="42"/>
  <c r="H253" i="42"/>
  <c r="E61" i="42"/>
  <c r="P181" i="42"/>
  <c r="H199" i="42"/>
  <c r="D335" i="42"/>
  <c r="K272" i="42"/>
  <c r="Q161" i="42"/>
  <c r="N302" i="42"/>
  <c r="N234" i="42"/>
  <c r="H185" i="42"/>
  <c r="I389" i="42"/>
  <c r="D202" i="42"/>
  <c r="M128" i="42"/>
  <c r="N203" i="42"/>
  <c r="P385" i="42"/>
  <c r="L99" i="42"/>
  <c r="M391" i="42"/>
  <c r="R45" i="42"/>
  <c r="N117" i="42"/>
  <c r="Q175" i="42"/>
  <c r="L90" i="42"/>
  <c r="C199" i="42"/>
  <c r="I213" i="42"/>
  <c r="D50" i="42"/>
  <c r="H161" i="42"/>
  <c r="D175" i="42"/>
  <c r="N139" i="42"/>
  <c r="J144" i="42"/>
  <c r="M338" i="42"/>
  <c r="F227" i="42"/>
  <c r="E151" i="42"/>
  <c r="O222" i="42"/>
  <c r="O315" i="42"/>
  <c r="D395" i="42"/>
  <c r="M150" i="42"/>
  <c r="H277" i="42"/>
  <c r="N53" i="42"/>
  <c r="J208" i="42"/>
  <c r="M84" i="42"/>
  <c r="K239" i="42"/>
  <c r="J347" i="42"/>
  <c r="N29" i="42"/>
  <c r="J40" i="42"/>
  <c r="R363" i="42"/>
  <c r="L277" i="42"/>
  <c r="D172" i="42"/>
  <c r="F399" i="42"/>
  <c r="B65" i="42"/>
  <c r="J114" i="42"/>
  <c r="C154" i="42"/>
  <c r="I225" i="42"/>
  <c r="D160" i="42"/>
  <c r="M81" i="42"/>
  <c r="Q314" i="42"/>
  <c r="N91" i="42"/>
  <c r="K216" i="42"/>
  <c r="F181" i="42"/>
  <c r="J37" i="42"/>
  <c r="N242" i="42"/>
  <c r="L22" i="42"/>
  <c r="D286" i="42"/>
  <c r="E147" i="42"/>
  <c r="Q186" i="42"/>
  <c r="M102" i="42"/>
  <c r="N39" i="42"/>
  <c r="C22" i="42"/>
  <c r="C264" i="42"/>
  <c r="G141" i="42"/>
  <c r="I12" i="42"/>
  <c r="Q257" i="42"/>
  <c r="K9" i="42"/>
  <c r="K56" i="42"/>
  <c r="C47" i="42"/>
  <c r="I194" i="42"/>
  <c r="Q66" i="42"/>
  <c r="R350" i="42"/>
  <c r="C103" i="42"/>
  <c r="I187" i="42"/>
  <c r="F224" i="42"/>
  <c r="R78" i="42"/>
  <c r="M397" i="42"/>
  <c r="D311" i="42"/>
  <c r="K119" i="42"/>
  <c r="L116" i="42"/>
  <c r="C102" i="42"/>
  <c r="F313" i="42"/>
  <c r="Q170" i="42"/>
  <c r="Q55" i="42"/>
  <c r="C363" i="42"/>
  <c r="D30" i="42"/>
  <c r="H314" i="42"/>
  <c r="G123" i="42"/>
  <c r="R181" i="42"/>
  <c r="P30" i="42"/>
  <c r="B64" i="42"/>
  <c r="D369" i="42"/>
  <c r="D10" i="42"/>
  <c r="D228" i="42"/>
  <c r="H268" i="42"/>
  <c r="H134" i="42"/>
  <c r="I268" i="42"/>
  <c r="M101" i="42"/>
  <c r="B148" i="42"/>
  <c r="B342" i="42"/>
  <c r="L211" i="42"/>
  <c r="G131" i="42"/>
  <c r="I114" i="42"/>
  <c r="G11" i="42"/>
  <c r="J94" i="42"/>
  <c r="G285" i="42"/>
  <c r="K129" i="42"/>
  <c r="Q333" i="42"/>
  <c r="H9" i="42"/>
  <c r="I324" i="42"/>
  <c r="C122" i="42"/>
  <c r="J196" i="42"/>
  <c r="I76" i="42"/>
  <c r="N194" i="42"/>
  <c r="B154" i="42"/>
  <c r="J34" i="42"/>
  <c r="I247" i="42"/>
  <c r="C325" i="42"/>
  <c r="C139" i="42"/>
  <c r="J182" i="42"/>
  <c r="P46" i="42"/>
  <c r="H195" i="42"/>
  <c r="R213" i="42"/>
  <c r="F185" i="42"/>
  <c r="F174" i="42"/>
  <c r="D138" i="42"/>
  <c r="J111" i="42"/>
  <c r="B101" i="42"/>
  <c r="Q134" i="42"/>
  <c r="I149" i="42"/>
  <c r="I46" i="42"/>
  <c r="E175" i="42"/>
  <c r="E195" i="42"/>
  <c r="L104" i="42"/>
  <c r="M242" i="42"/>
  <c r="H145" i="42"/>
  <c r="B22" i="42"/>
  <c r="B115" i="42"/>
  <c r="C176" i="42"/>
  <c r="I199" i="42"/>
  <c r="B11" i="42"/>
  <c r="K359" i="42"/>
  <c r="N116" i="42"/>
  <c r="H83" i="42"/>
  <c r="H168" i="42"/>
  <c r="I142" i="42"/>
  <c r="G325" i="42"/>
  <c r="L353" i="42"/>
  <c r="I158" i="42"/>
  <c r="F348" i="42"/>
  <c r="P159" i="42"/>
  <c r="D91" i="42"/>
  <c r="L25" i="42"/>
  <c r="G297" i="42"/>
  <c r="J15" i="42"/>
  <c r="F64" i="42"/>
  <c r="H81" i="42"/>
  <c r="I37" i="42"/>
  <c r="H7" i="42"/>
  <c r="L30" i="42"/>
  <c r="P75" i="42"/>
  <c r="C212" i="42"/>
  <c r="F47" i="42"/>
  <c r="P192" i="42"/>
  <c r="C23" i="42"/>
  <c r="B181" i="42"/>
  <c r="L179" i="42"/>
  <c r="G263" i="42"/>
  <c r="G320" i="42"/>
  <c r="B38" i="42"/>
  <c r="Q79" i="42"/>
  <c r="F124" i="42"/>
  <c r="Q92" i="42"/>
  <c r="E8" i="42"/>
  <c r="J322" i="42"/>
  <c r="H13" i="42"/>
  <c r="J51" i="42"/>
  <c r="L53" i="42"/>
  <c r="F70" i="42"/>
  <c r="F340" i="42"/>
  <c r="P141" i="42"/>
  <c r="Q288" i="42"/>
  <c r="L43" i="42"/>
  <c r="G160" i="42"/>
  <c r="D274" i="42"/>
  <c r="M377" i="42"/>
  <c r="Q32" i="42"/>
  <c r="G73" i="42"/>
  <c r="G68" i="42"/>
  <c r="G204" i="42"/>
  <c r="C310" i="42"/>
  <c r="D386" i="42"/>
  <c r="C28" i="42"/>
  <c r="R202" i="42"/>
  <c r="D104" i="42"/>
  <c r="I203" i="42"/>
  <c r="I278" i="42"/>
  <c r="L111" i="42"/>
  <c r="J361" i="42"/>
  <c r="K299" i="42"/>
  <c r="G32" i="42"/>
  <c r="M20" i="42"/>
  <c r="K157" i="42"/>
  <c r="B174" i="42"/>
  <c r="I22" i="42"/>
  <c r="L299" i="42"/>
  <c r="O201" i="42"/>
  <c r="D123" i="42"/>
  <c r="F302" i="42"/>
  <c r="F344" i="42"/>
  <c r="D316" i="42"/>
  <c r="Q160" i="42"/>
  <c r="C315" i="42"/>
  <c r="L290" i="42"/>
  <c r="Q138" i="42"/>
  <c r="L187" i="42"/>
  <c r="G89" i="42"/>
  <c r="I206" i="42"/>
  <c r="L61" i="42"/>
  <c r="D154" i="42"/>
  <c r="Q301" i="42"/>
  <c r="F253" i="42"/>
  <c r="B359" i="42"/>
  <c r="G137" i="42"/>
  <c r="J235" i="42"/>
  <c r="Q128" i="42"/>
  <c r="E397" i="42"/>
  <c r="D11" i="42"/>
  <c r="E266" i="42"/>
  <c r="D21" i="42"/>
  <c r="N280" i="42"/>
  <c r="Q265" i="42"/>
  <c r="C68" i="42"/>
  <c r="G171" i="42"/>
  <c r="H51" i="42"/>
  <c r="C118" i="42"/>
  <c r="C184" i="42"/>
  <c r="D367" i="42"/>
  <c r="J185" i="42"/>
  <c r="I50" i="42"/>
  <c r="B82" i="42"/>
  <c r="Q96" i="42"/>
  <c r="M66" i="42"/>
  <c r="G321" i="42"/>
  <c r="R158" i="42"/>
  <c r="B56" i="42"/>
  <c r="J42" i="42"/>
  <c r="C146" i="42"/>
  <c r="O391" i="42"/>
  <c r="R228" i="42"/>
  <c r="L246" i="42"/>
  <c r="E48" i="42"/>
  <c r="Q41" i="42"/>
  <c r="R175" i="42"/>
  <c r="K13" i="42"/>
  <c r="J198" i="42"/>
  <c r="B255" i="42"/>
  <c r="D179" i="42"/>
  <c r="N88" i="42"/>
  <c r="Q256" i="42"/>
  <c r="D190" i="42"/>
  <c r="K361" i="42"/>
  <c r="N343" i="42"/>
  <c r="M135" i="42"/>
  <c r="P107" i="42"/>
  <c r="R82" i="42"/>
  <c r="R24" i="42"/>
  <c r="B263" i="42"/>
  <c r="I248" i="42"/>
  <c r="J327" i="42"/>
  <c r="M63" i="42"/>
  <c r="H137" i="42"/>
  <c r="M364" i="42"/>
  <c r="G143" i="42"/>
  <c r="G191" i="42"/>
  <c r="D239" i="42"/>
  <c r="J92" i="42"/>
  <c r="O12" i="42"/>
  <c r="F264" i="42"/>
  <c r="B234" i="42"/>
  <c r="L381" i="42"/>
  <c r="O225" i="42"/>
  <c r="R381" i="42"/>
  <c r="F22" i="42"/>
  <c r="O309" i="42"/>
  <c r="F323" i="42"/>
  <c r="P236" i="42"/>
  <c r="B328" i="42"/>
  <c r="I378" i="42"/>
  <c r="J87" i="42"/>
  <c r="L204" i="42"/>
  <c r="L57" i="42"/>
  <c r="B62" i="42"/>
  <c r="D25" i="42"/>
  <c r="R201" i="42"/>
  <c r="Q67" i="42"/>
  <c r="C16" i="42"/>
  <c r="G200" i="42"/>
  <c r="C225" i="42"/>
  <c r="D71" i="42"/>
  <c r="H194" i="42"/>
  <c r="D320" i="42"/>
  <c r="C29" i="42"/>
  <c r="K109" i="42"/>
  <c r="M358" i="42"/>
  <c r="F346" i="42"/>
  <c r="N185" i="42"/>
  <c r="E18" i="42"/>
  <c r="J25" i="42"/>
  <c r="D16" i="42"/>
  <c r="N181" i="42"/>
  <c r="K219" i="42"/>
  <c r="R112" i="42"/>
  <c r="H72" i="42"/>
  <c r="P86" i="42"/>
  <c r="N315" i="42"/>
  <c r="R145" i="42"/>
  <c r="J171" i="42"/>
  <c r="N122" i="42"/>
  <c r="K229" i="42"/>
  <c r="N184" i="42"/>
  <c r="B217" i="42"/>
  <c r="I156" i="42"/>
  <c r="N400" i="42"/>
  <c r="F188" i="42"/>
  <c r="D156" i="42"/>
  <c r="Q85" i="42"/>
  <c r="Q330" i="42"/>
  <c r="F161" i="42"/>
  <c r="L194" i="42"/>
  <c r="E177" i="42"/>
  <c r="Q100" i="42"/>
  <c r="E179" i="42"/>
  <c r="O247" i="42"/>
  <c r="H27" i="42"/>
  <c r="O59" i="42"/>
  <c r="O117" i="42"/>
  <c r="H119" i="42"/>
  <c r="O161" i="42"/>
  <c r="Q82" i="42"/>
  <c r="J186" i="42"/>
  <c r="O53" i="42"/>
  <c r="D166" i="42"/>
  <c r="G211" i="42"/>
  <c r="Q210" i="42"/>
  <c r="K184" i="42"/>
  <c r="D80" i="42"/>
  <c r="P399" i="42"/>
  <c r="P195" i="42"/>
  <c r="K67" i="42"/>
  <c r="F37" i="42"/>
  <c r="H76" i="42"/>
  <c r="N182" i="42"/>
  <c r="K256" i="42"/>
  <c r="C34" i="42"/>
  <c r="N211" i="42"/>
  <c r="P169" i="42"/>
  <c r="M79" i="42"/>
  <c r="D391" i="42"/>
  <c r="B79" i="42"/>
  <c r="G294" i="42"/>
  <c r="L190" i="42"/>
  <c r="P48" i="42"/>
  <c r="I365" i="42"/>
  <c r="B136" i="42"/>
  <c r="F103" i="42"/>
  <c r="D5" i="42"/>
  <c r="H287" i="42"/>
  <c r="M389" i="42"/>
  <c r="N106" i="42"/>
  <c r="J97" i="42"/>
  <c r="K375" i="42"/>
  <c r="J122" i="42"/>
  <c r="H30" i="42"/>
  <c r="F80" i="42"/>
  <c r="G238" i="42"/>
  <c r="E132" i="42"/>
  <c r="D192" i="42"/>
  <c r="K225" i="42"/>
  <c r="C48" i="42"/>
  <c r="Q142" i="42"/>
  <c r="M257" i="42"/>
  <c r="B138" i="42"/>
  <c r="G59" i="42"/>
  <c r="H130" i="42"/>
  <c r="J397" i="42"/>
  <c r="L219" i="42"/>
  <c r="P206" i="42"/>
  <c r="E213" i="42"/>
  <c r="O114" i="42"/>
  <c r="M119" i="42"/>
  <c r="I126" i="42"/>
  <c r="L309" i="42"/>
  <c r="R141" i="42"/>
  <c r="F332" i="42"/>
  <c r="K57" i="42"/>
  <c r="H317" i="42"/>
  <c r="R187" i="42"/>
  <c r="H89" i="42"/>
  <c r="M140" i="42"/>
  <c r="M40" i="42"/>
  <c r="G104" i="42"/>
  <c r="P66" i="42"/>
  <c r="M170" i="42"/>
  <c r="H68" i="42"/>
  <c r="H20" i="42"/>
  <c r="G275" i="42"/>
  <c r="C134" i="42"/>
  <c r="D61" i="42"/>
  <c r="E43" i="42"/>
  <c r="L289" i="42"/>
  <c r="J365" i="42"/>
  <c r="M116" i="42"/>
  <c r="P55" i="42"/>
  <c r="M124" i="42"/>
  <c r="B349" i="42"/>
  <c r="O231" i="42"/>
  <c r="L84" i="42"/>
  <c r="F84" i="42"/>
  <c r="D317" i="42"/>
  <c r="I40" i="42"/>
  <c r="Q360" i="42"/>
  <c r="C160" i="42"/>
  <c r="G46" i="42"/>
  <c r="P231" i="42"/>
  <c r="I120" i="42"/>
  <c r="F195" i="42"/>
  <c r="E174" i="42"/>
  <c r="H291" i="42"/>
  <c r="J18" i="42"/>
  <c r="O212" i="42"/>
  <c r="E76" i="42"/>
  <c r="M307" i="42"/>
  <c r="F157" i="42"/>
  <c r="P285" i="42"/>
  <c r="G51" i="42"/>
  <c r="C290" i="42"/>
  <c r="D67" i="42"/>
  <c r="P18" i="42"/>
  <c r="M155" i="42"/>
  <c r="L199" i="42"/>
  <c r="E144" i="42"/>
  <c r="N306" i="42"/>
  <c r="N96" i="42"/>
  <c r="E33" i="42"/>
  <c r="M120" i="42"/>
  <c r="M337" i="42"/>
  <c r="D283" i="42"/>
  <c r="P95" i="42"/>
  <c r="E60" i="42"/>
  <c r="H90" i="42"/>
  <c r="C58" i="42"/>
  <c r="O93" i="42"/>
  <c r="R192" i="42"/>
  <c r="I92" i="42"/>
  <c r="D33" i="42"/>
  <c r="E91" i="42"/>
  <c r="P101" i="42"/>
  <c r="P370" i="42"/>
  <c r="Q172" i="42"/>
  <c r="E216" i="42"/>
  <c r="H237" i="42"/>
  <c r="G312" i="42"/>
  <c r="B303" i="42"/>
  <c r="N121" i="42"/>
  <c r="N393" i="42"/>
  <c r="K98" i="42"/>
  <c r="F339" i="42"/>
  <c r="J191" i="42"/>
  <c r="B276" i="42"/>
  <c r="K83" i="42"/>
  <c r="O78" i="42"/>
  <c r="I328" i="42"/>
  <c r="C207" i="42"/>
  <c r="P123" i="42"/>
  <c r="I10" i="42"/>
  <c r="N92" i="42"/>
  <c r="P23" i="42"/>
  <c r="Q249" i="42"/>
  <c r="F238" i="42"/>
  <c r="D13" i="42"/>
  <c r="D233" i="42"/>
  <c r="R80" i="42"/>
  <c r="J21" i="42"/>
  <c r="I72" i="42"/>
  <c r="R279" i="42"/>
  <c r="G146" i="42"/>
  <c r="C251" i="42"/>
  <c r="G318" i="42"/>
  <c r="R169" i="42"/>
  <c r="D117" i="42"/>
  <c r="F116" i="42"/>
  <c r="M70" i="42"/>
  <c r="R149" i="42"/>
  <c r="I168" i="42"/>
  <c r="L80" i="42"/>
  <c r="P6" i="42"/>
  <c r="I87" i="42"/>
  <c r="R377" i="42"/>
  <c r="F49" i="42"/>
  <c r="H24" i="42"/>
  <c r="C203" i="42"/>
  <c r="M46" i="42"/>
  <c r="C314" i="42"/>
  <c r="G301" i="42"/>
  <c r="H326" i="42"/>
  <c r="K72" i="42"/>
  <c r="P308" i="42"/>
  <c r="B59" i="42"/>
  <c r="K384" i="42"/>
  <c r="Q68" i="42"/>
  <c r="D73" i="42"/>
  <c r="J216" i="42"/>
  <c r="D53" i="42"/>
  <c r="O154" i="42"/>
  <c r="L38" i="42"/>
  <c r="D125" i="42"/>
  <c r="L159" i="42"/>
  <c r="K318" i="42"/>
  <c r="C316" i="42"/>
  <c r="R150" i="42"/>
  <c r="K162" i="42"/>
  <c r="C158" i="42"/>
  <c r="N331" i="42"/>
  <c r="M201" i="42"/>
  <c r="B178" i="42"/>
  <c r="Q149" i="42"/>
  <c r="D45" i="42"/>
  <c r="N166" i="42"/>
  <c r="C179" i="42"/>
  <c r="L150" i="42"/>
  <c r="H36" i="42"/>
  <c r="J286" i="42"/>
  <c r="Q348" i="42"/>
  <c r="I273" i="42"/>
  <c r="L64" i="42"/>
  <c r="K198" i="42"/>
  <c r="I44" i="42"/>
  <c r="Q336" i="42"/>
  <c r="I193" i="42"/>
  <c r="N143" i="42"/>
  <c r="Q23" i="42"/>
  <c r="K341" i="42"/>
  <c r="P145" i="42"/>
  <c r="M188" i="42"/>
  <c r="J31" i="42"/>
  <c r="R68" i="42"/>
  <c r="N11" i="42"/>
  <c r="L146" i="42"/>
  <c r="B91" i="42"/>
  <c r="I30" i="42"/>
  <c r="G113" i="42"/>
  <c r="P103" i="42"/>
  <c r="E5" i="42"/>
  <c r="F312" i="42"/>
  <c r="C367" i="42"/>
  <c r="N206" i="42"/>
  <c r="O334" i="42"/>
  <c r="G317" i="42"/>
  <c r="Q108" i="42"/>
  <c r="F20" i="42"/>
  <c r="C291" i="42"/>
  <c r="F138" i="42"/>
  <c r="F352" i="42"/>
  <c r="J402" i="42"/>
  <c r="H17" i="42"/>
  <c r="L351" i="42"/>
  <c r="I47" i="42"/>
  <c r="L352" i="42"/>
  <c r="N281" i="42"/>
  <c r="F135" i="42"/>
  <c r="Q359" i="42"/>
  <c r="J96" i="42"/>
  <c r="Q76" i="42"/>
  <c r="J138" i="42"/>
  <c r="I24" i="42"/>
  <c r="E268" i="42"/>
  <c r="K342" i="42"/>
  <c r="H4" i="42"/>
  <c r="I49" i="42"/>
  <c r="L7" i="42"/>
  <c r="L182" i="42"/>
  <c r="C57" i="42"/>
  <c r="N239" i="42"/>
  <c r="M39" i="42"/>
  <c r="C337" i="42"/>
  <c r="D128" i="42"/>
  <c r="M31" i="42"/>
  <c r="R52" i="42"/>
  <c r="B221" i="42"/>
  <c r="N238" i="42"/>
  <c r="K181" i="42"/>
  <c r="H207" i="42"/>
  <c r="K288" i="42"/>
  <c r="J245" i="42"/>
  <c r="J275" i="42"/>
  <c r="B24" i="42"/>
  <c r="L362" i="42"/>
  <c r="F251" i="42"/>
  <c r="B188" i="42"/>
  <c r="L268" i="42"/>
  <c r="M5" i="42"/>
  <c r="I387" i="42"/>
  <c r="F148" i="42"/>
  <c r="I115" i="42"/>
  <c r="O278" i="42"/>
  <c r="M162" i="42"/>
  <c r="E203" i="42"/>
  <c r="I239" i="42"/>
  <c r="R9" i="42"/>
  <c r="B153" i="42"/>
  <c r="O22" i="42"/>
  <c r="F397" i="42"/>
  <c r="B124" i="42"/>
  <c r="D358" i="42"/>
  <c r="G235" i="42"/>
  <c r="F316" i="42"/>
  <c r="B281" i="42"/>
  <c r="M78" i="42"/>
  <c r="I401" i="42"/>
  <c r="K244" i="42"/>
  <c r="F385" i="42"/>
  <c r="P291" i="42"/>
  <c r="C177" i="42"/>
  <c r="G298" i="42"/>
  <c r="J269" i="42"/>
  <c r="N375" i="42"/>
  <c r="K202" i="42"/>
  <c r="B257" i="42"/>
  <c r="G376" i="42"/>
  <c r="P56" i="42"/>
  <c r="C131" i="42"/>
  <c r="L320" i="42"/>
  <c r="N201" i="42"/>
  <c r="K258" i="42"/>
  <c r="P135" i="42"/>
  <c r="K389" i="42"/>
  <c r="M153" i="42"/>
  <c r="D273" i="42"/>
  <c r="I19" i="42"/>
  <c r="N223" i="42"/>
  <c r="C115" i="42"/>
  <c r="J57" i="42"/>
  <c r="P149" i="42"/>
  <c r="I190" i="42"/>
  <c r="J356" i="42"/>
  <c r="E93" i="42"/>
  <c r="O129" i="42"/>
  <c r="R341" i="42"/>
  <c r="C137" i="42"/>
  <c r="E357" i="42"/>
  <c r="P62" i="42"/>
  <c r="M143" i="42"/>
  <c r="D152" i="42"/>
  <c r="G220" i="42"/>
  <c r="O208" i="42"/>
  <c r="O302" i="42"/>
  <c r="N28" i="42"/>
  <c r="K347" i="42"/>
  <c r="B158" i="42"/>
  <c r="G185" i="42"/>
  <c r="M382" i="42"/>
  <c r="P208" i="42"/>
  <c r="H271" i="42"/>
  <c r="I374" i="42"/>
  <c r="P37" i="42"/>
  <c r="O343" i="42"/>
  <c r="B248" i="42"/>
  <c r="E101" i="42"/>
  <c r="R226" i="42"/>
  <c r="Q179" i="42"/>
  <c r="B394" i="42"/>
  <c r="N386" i="42"/>
  <c r="R383" i="42"/>
  <c r="I286" i="42"/>
  <c r="P369" i="42"/>
  <c r="D314" i="42"/>
  <c r="B100" i="42"/>
  <c r="D277" i="42"/>
  <c r="M34" i="42"/>
  <c r="O177" i="42"/>
  <c r="Q31" i="42"/>
  <c r="H154" i="42"/>
  <c r="H322" i="42"/>
  <c r="L32" i="42"/>
  <c r="N317" i="42"/>
  <c r="O333" i="42"/>
  <c r="N63" i="42"/>
  <c r="B351" i="42"/>
  <c r="I135" i="42"/>
  <c r="I330" i="42"/>
  <c r="Q332" i="42"/>
  <c r="G21" i="42"/>
  <c r="K274" i="42"/>
  <c r="R16" i="42"/>
  <c r="H114" i="42"/>
  <c r="B264" i="42"/>
  <c r="P247" i="42"/>
  <c r="H108" i="42"/>
  <c r="D174" i="42"/>
  <c r="L365" i="42"/>
  <c r="L153" i="42"/>
  <c r="J106" i="42"/>
  <c r="R139" i="42"/>
  <c r="C243" i="42"/>
  <c r="I371" i="42"/>
  <c r="B377" i="42"/>
  <c r="O166" i="42"/>
  <c r="C357" i="42"/>
  <c r="F311" i="42"/>
  <c r="E323" i="42"/>
  <c r="B339" i="42"/>
  <c r="I31" i="42"/>
  <c r="R161" i="42"/>
  <c r="E169" i="42"/>
  <c r="G82" i="42"/>
  <c r="I98" i="42"/>
  <c r="M390" i="42"/>
  <c r="L39" i="42"/>
  <c r="G129" i="42"/>
  <c r="G310" i="42"/>
  <c r="I147" i="42"/>
  <c r="G159" i="42"/>
  <c r="K59" i="42"/>
  <c r="C113" i="42"/>
  <c r="C305" i="42"/>
  <c r="E306" i="42"/>
  <c r="R204" i="42"/>
  <c r="G134" i="42"/>
  <c r="Q295" i="42"/>
  <c r="M28" i="42"/>
  <c r="H358" i="42"/>
  <c r="L124" i="42"/>
  <c r="H296" i="42"/>
  <c r="D304" i="42"/>
  <c r="J143" i="42"/>
  <c r="D171" i="42"/>
  <c r="N47" i="42"/>
  <c r="G281" i="42"/>
  <c r="R330" i="42"/>
  <c r="F170" i="42"/>
  <c r="G127" i="42"/>
  <c r="H28" i="42"/>
  <c r="P83" i="42"/>
  <c r="L181" i="42"/>
  <c r="G50" i="42"/>
  <c r="E20" i="42"/>
  <c r="G166" i="42"/>
  <c r="H112" i="42"/>
  <c r="G384" i="42"/>
  <c r="F25" i="42"/>
  <c r="L323" i="42"/>
  <c r="J81" i="42"/>
  <c r="O216" i="42"/>
  <c r="L282" i="42"/>
  <c r="R309" i="42"/>
  <c r="M236" i="42"/>
  <c r="K60" i="42"/>
  <c r="B172" i="42"/>
  <c r="H327" i="42"/>
  <c r="I178" i="42"/>
  <c r="F128" i="42"/>
  <c r="J17" i="42"/>
  <c r="O148" i="42"/>
  <c r="N388" i="42"/>
  <c r="N230" i="42"/>
  <c r="P194" i="42"/>
  <c r="N132" i="42"/>
  <c r="L16" i="42"/>
  <c r="G362" i="42"/>
  <c r="H261" i="42"/>
  <c r="M43" i="42"/>
  <c r="C206" i="42"/>
  <c r="G94" i="42"/>
  <c r="M217" i="42"/>
  <c r="R30" i="42"/>
  <c r="P223" i="42"/>
  <c r="C402" i="42"/>
  <c r="J68" i="42"/>
  <c r="J54" i="42"/>
  <c r="R271" i="42"/>
  <c r="I396" i="42"/>
  <c r="N126" i="42"/>
  <c r="Q208" i="42"/>
  <c r="C120" i="42"/>
  <c r="Q192" i="42"/>
  <c r="G276" i="42"/>
  <c r="C104" i="42"/>
  <c r="P54" i="42"/>
  <c r="D362" i="42"/>
  <c r="R122" i="42"/>
  <c r="R382" i="42"/>
  <c r="B297" i="42"/>
  <c r="I186" i="42"/>
  <c r="O172" i="42"/>
  <c r="R367" i="42"/>
  <c r="R22" i="42"/>
  <c r="I254" i="42"/>
  <c r="N373" i="42"/>
  <c r="K143" i="42"/>
  <c r="B106" i="42"/>
  <c r="O368" i="42"/>
  <c r="L195" i="42"/>
  <c r="L315" i="42"/>
  <c r="J187" i="42"/>
  <c r="N178" i="42"/>
  <c r="Q137" i="42"/>
  <c r="H169" i="42"/>
  <c r="R176" i="42"/>
  <c r="C6" i="42"/>
  <c r="C358" i="42"/>
  <c r="L35" i="42"/>
  <c r="J370" i="42"/>
  <c r="I129" i="42"/>
  <c r="M133" i="42"/>
  <c r="N4" i="42"/>
  <c r="D352" i="42"/>
  <c r="M379" i="42"/>
  <c r="F172" i="42"/>
  <c r="D43" i="42"/>
  <c r="R151" i="42"/>
  <c r="O54" i="42"/>
  <c r="I335" i="42"/>
  <c r="J348" i="42"/>
  <c r="E353" i="42"/>
  <c r="I263" i="42"/>
  <c r="B287" i="42"/>
  <c r="N72" i="42"/>
  <c r="Q89" i="42"/>
  <c r="R264" i="42"/>
  <c r="Q109" i="42"/>
  <c r="D397" i="42"/>
  <c r="K395" i="42"/>
  <c r="N55" i="42"/>
  <c r="P306" i="42"/>
  <c r="N89" i="42"/>
  <c r="H93" i="42"/>
  <c r="C39" i="42"/>
  <c r="F235" i="42"/>
  <c r="B89" i="42"/>
  <c r="R147" i="42"/>
  <c r="C66" i="42"/>
  <c r="Q338" i="42"/>
  <c r="O44" i="42"/>
  <c r="H91" i="42"/>
  <c r="H183" i="42"/>
  <c r="G268" i="42"/>
  <c r="D366" i="42"/>
  <c r="F9" i="42"/>
  <c r="J180" i="42"/>
  <c r="K273" i="42"/>
  <c r="I173" i="42"/>
  <c r="H159" i="42"/>
  <c r="N251" i="42"/>
  <c r="Q313" i="42"/>
  <c r="P191" i="42"/>
  <c r="B189" i="42"/>
  <c r="P165" i="42"/>
  <c r="D140" i="42"/>
  <c r="K321" i="42"/>
  <c r="D181" i="42"/>
  <c r="H177" i="42"/>
  <c r="N165" i="42"/>
  <c r="P264" i="42"/>
  <c r="F32" i="42"/>
  <c r="N78" i="42"/>
  <c r="Q34" i="42"/>
  <c r="L125" i="42"/>
  <c r="N336" i="42"/>
  <c r="B198" i="42"/>
  <c r="I397" i="42"/>
  <c r="I321" i="42"/>
  <c r="P38" i="42"/>
  <c r="H71" i="42"/>
  <c r="C149" i="42"/>
  <c r="F240" i="42"/>
  <c r="F158" i="42"/>
  <c r="B331" i="42"/>
  <c r="C35" i="42"/>
  <c r="R284" i="42"/>
  <c r="K401" i="42"/>
  <c r="Q401" i="42"/>
  <c r="G308" i="42"/>
  <c r="N56" i="42"/>
  <c r="N171" i="42"/>
  <c r="P200" i="42"/>
  <c r="L41" i="42"/>
  <c r="L117" i="42"/>
  <c r="R66" i="42"/>
  <c r="Q300" i="42"/>
  <c r="J326" i="42"/>
  <c r="G102" i="42"/>
  <c r="G253" i="42"/>
  <c r="L361" i="42"/>
  <c r="R267" i="42"/>
  <c r="R285" i="42"/>
  <c r="O369" i="42"/>
  <c r="O337" i="42"/>
  <c r="I258" i="42"/>
  <c r="C247" i="42"/>
  <c r="N272" i="42"/>
  <c r="L198" i="42"/>
  <c r="C123" i="42"/>
  <c r="H361" i="42"/>
  <c r="M290" i="42"/>
  <c r="H284" i="42"/>
  <c r="E280" i="42"/>
  <c r="K346" i="42"/>
  <c r="O388" i="42"/>
  <c r="M255" i="42"/>
  <c r="E241" i="42"/>
  <c r="K50" i="42"/>
  <c r="P238" i="42"/>
  <c r="K350" i="42"/>
  <c r="L55" i="42"/>
  <c r="B260" i="42"/>
  <c r="G309" i="42"/>
  <c r="P249" i="42"/>
  <c r="D398" i="42"/>
  <c r="F330" i="42"/>
  <c r="N318" i="42"/>
  <c r="P80" i="42"/>
  <c r="N21" i="42"/>
  <c r="G88" i="42"/>
  <c r="E79" i="42"/>
  <c r="I376" i="42"/>
  <c r="D63" i="42"/>
  <c r="M264" i="42"/>
  <c r="O394" i="42"/>
  <c r="H42" i="42"/>
  <c r="O76" i="42"/>
  <c r="L336" i="42"/>
  <c r="R34" i="42"/>
  <c r="P143" i="42"/>
  <c r="L380" i="42"/>
  <c r="B31" i="42"/>
  <c r="B279" i="42"/>
  <c r="Q203" i="42"/>
  <c r="R385" i="42"/>
  <c r="H302" i="42"/>
  <c r="F394" i="42"/>
  <c r="F26" i="42"/>
  <c r="O224" i="42"/>
  <c r="I13" i="42"/>
  <c r="D185" i="42"/>
  <c r="J194" i="42"/>
  <c r="I223" i="42"/>
  <c r="N380" i="42"/>
  <c r="P150" i="42"/>
  <c r="B166" i="42"/>
  <c r="D285" i="42"/>
  <c r="D41" i="42"/>
  <c r="P63" i="42"/>
  <c r="B109" i="42"/>
  <c r="K96" i="42"/>
  <c r="B51" i="42"/>
  <c r="P13" i="42"/>
  <c r="Q43" i="42"/>
  <c r="C303" i="42"/>
  <c r="G75" i="42"/>
  <c r="F142" i="42"/>
  <c r="G101" i="42"/>
  <c r="M302" i="42"/>
  <c r="B305" i="42"/>
  <c r="M4" i="42"/>
  <c r="K234" i="42"/>
  <c r="J223" i="42"/>
  <c r="K282" i="42"/>
  <c r="I237" i="42"/>
  <c r="C88" i="42"/>
  <c r="L388" i="42"/>
  <c r="E166" i="42"/>
  <c r="K145" i="42"/>
  <c r="K76" i="42"/>
  <c r="P222" i="42"/>
  <c r="C165" i="42"/>
  <c r="K394" i="42"/>
  <c r="I359" i="42"/>
  <c r="R93" i="42"/>
  <c r="P353" i="42"/>
  <c r="J241" i="42"/>
  <c r="L46" i="42"/>
  <c r="F89" i="42"/>
  <c r="R47" i="42"/>
  <c r="B280" i="42"/>
  <c r="M277" i="42"/>
  <c r="G138" i="42"/>
  <c r="Q11" i="42"/>
  <c r="N366" i="42"/>
  <c r="C128" i="42"/>
  <c r="Q106" i="42"/>
  <c r="K279" i="42"/>
  <c r="L331" i="42"/>
  <c r="F215" i="42"/>
  <c r="D81" i="42"/>
  <c r="Q398" i="42"/>
  <c r="R349" i="42"/>
  <c r="F359" i="42"/>
  <c r="I153" i="42"/>
  <c r="R46" i="42"/>
  <c r="F260" i="42"/>
  <c r="J67" i="42"/>
  <c r="K126" i="42"/>
  <c r="F265" i="42"/>
  <c r="K333" i="42"/>
  <c r="P130" i="42"/>
  <c r="R123" i="42"/>
  <c r="G132" i="42"/>
  <c r="M369" i="42"/>
  <c r="B252" i="42"/>
  <c r="I123" i="42"/>
  <c r="M359" i="42"/>
  <c r="H123" i="42"/>
  <c r="D201" i="42"/>
  <c r="K303" i="42"/>
  <c r="H107" i="42"/>
  <c r="O89" i="42"/>
  <c r="D343" i="42"/>
  <c r="I344" i="42"/>
  <c r="L384" i="42"/>
  <c r="Q268" i="42"/>
  <c r="L342" i="42"/>
  <c r="B84" i="42"/>
  <c r="I80" i="42"/>
  <c r="Q218" i="42"/>
  <c r="H64" i="42"/>
  <c r="D153" i="42"/>
  <c r="H399" i="42"/>
  <c r="I184" i="42"/>
  <c r="N301" i="42"/>
  <c r="K338" i="42"/>
  <c r="F380" i="42"/>
  <c r="E251" i="42"/>
  <c r="P144" i="42"/>
  <c r="R277" i="42"/>
  <c r="I354" i="42"/>
  <c r="L395" i="42"/>
  <c r="D312" i="42"/>
  <c r="K213" i="42"/>
  <c r="N229" i="42"/>
  <c r="P14" i="42"/>
  <c r="G184" i="42"/>
  <c r="R98" i="42"/>
  <c r="E380" i="42"/>
  <c r="M317" i="42"/>
  <c r="I231" i="42"/>
  <c r="P164" i="42"/>
  <c r="F149" i="42"/>
  <c r="H385" i="42"/>
  <c r="E383" i="42"/>
  <c r="G147" i="42"/>
  <c r="K175" i="42"/>
  <c r="I304" i="42"/>
  <c r="E104" i="42"/>
  <c r="C345" i="42"/>
  <c r="M18" i="42"/>
  <c r="M239" i="42"/>
  <c r="C237" i="42"/>
  <c r="F130" i="42"/>
  <c r="H398" i="42"/>
  <c r="G329" i="42"/>
  <c r="P158" i="42"/>
  <c r="E219" i="42"/>
  <c r="P187" i="42"/>
  <c r="J203" i="42"/>
  <c r="Q19" i="42"/>
  <c r="M330" i="42"/>
  <c r="O159" i="42"/>
  <c r="F402" i="42"/>
  <c r="B363" i="42"/>
  <c r="Q164" i="42"/>
  <c r="M11" i="42"/>
  <c r="F230" i="42"/>
  <c r="O218" i="42"/>
  <c r="C59" i="42"/>
  <c r="H211" i="42"/>
  <c r="N137" i="42"/>
  <c r="C195" i="42"/>
  <c r="K250" i="42"/>
  <c r="I277" i="42"/>
  <c r="P180" i="42"/>
  <c r="R189" i="42"/>
  <c r="O235" i="42"/>
  <c r="L98" i="42"/>
  <c r="J160" i="42"/>
  <c r="O137" i="42"/>
  <c r="P36" i="42"/>
  <c r="O116" i="42"/>
  <c r="L369" i="42"/>
  <c r="K12" i="42"/>
  <c r="H47" i="42"/>
  <c r="N136" i="42"/>
  <c r="O319" i="42"/>
  <c r="K25" i="42"/>
  <c r="O120" i="42"/>
  <c r="D178" i="42"/>
  <c r="F95" i="42"/>
  <c r="G286" i="42"/>
  <c r="F125" i="42"/>
  <c r="H92" i="42"/>
  <c r="I177" i="42"/>
  <c r="D145" i="42"/>
  <c r="N128" i="42"/>
  <c r="F219" i="42"/>
  <c r="I160" i="42"/>
  <c r="N370" i="42"/>
  <c r="R154" i="42"/>
  <c r="F223" i="42"/>
  <c r="I41" i="42"/>
  <c r="G215" i="42"/>
  <c r="L109" i="42"/>
  <c r="R25" i="42"/>
  <c r="O200" i="42"/>
  <c r="H334" i="42"/>
  <c r="M200" i="42"/>
  <c r="I112" i="42"/>
  <c r="B371" i="42"/>
  <c r="R297" i="42"/>
  <c r="J76" i="42"/>
  <c r="E86" i="42"/>
  <c r="O55" i="42"/>
  <c r="O341" i="42"/>
  <c r="J307" i="42"/>
  <c r="F392" i="42"/>
  <c r="N147" i="42"/>
  <c r="J89" i="42"/>
  <c r="O33" i="42"/>
  <c r="K163" i="42"/>
  <c r="N168" i="42"/>
  <c r="K79" i="42"/>
  <c r="H11" i="42"/>
  <c r="J246" i="42"/>
  <c r="C91" i="42"/>
  <c r="H85" i="42"/>
  <c r="L34" i="42"/>
  <c r="G108" i="42"/>
  <c r="L390" i="42"/>
  <c r="J264" i="42"/>
  <c r="Q377" i="42"/>
  <c r="N396" i="42"/>
  <c r="R399" i="42"/>
  <c r="G119" i="42"/>
  <c r="Q17" i="42"/>
  <c r="G61" i="42"/>
  <c r="R303" i="42"/>
  <c r="G125" i="42"/>
  <c r="I73" i="42"/>
  <c r="D121" i="42"/>
  <c r="I347" i="42"/>
  <c r="K8" i="42"/>
  <c r="R172" i="42"/>
  <c r="R19" i="42"/>
  <c r="F33" i="42"/>
  <c r="E54" i="42"/>
  <c r="E398" i="42"/>
  <c r="K378" i="42"/>
  <c r="D247" i="42"/>
  <c r="G232" i="42"/>
  <c r="D218" i="42"/>
  <c r="Q334" i="42"/>
  <c r="F137" i="42"/>
  <c r="O80" i="42"/>
  <c r="F213" i="42"/>
  <c r="G328" i="42"/>
  <c r="C200" i="42"/>
  <c r="E311" i="42"/>
  <c r="E67" i="42"/>
  <c r="H180" i="42"/>
  <c r="L48" i="42"/>
  <c r="O186" i="42"/>
  <c r="F328" i="42"/>
  <c r="B235" i="42"/>
  <c r="E99" i="42"/>
  <c r="I95" i="42"/>
  <c r="M166" i="42"/>
  <c r="R230" i="42"/>
  <c r="O151" i="42"/>
  <c r="P112" i="42"/>
  <c r="N58" i="42"/>
  <c r="F169" i="42"/>
  <c r="Q328" i="42"/>
  <c r="F69" i="42"/>
  <c r="M223" i="42"/>
  <c r="O174" i="42"/>
  <c r="P255" i="42"/>
  <c r="N232" i="42"/>
  <c r="I297" i="42"/>
  <c r="N220" i="42"/>
  <c r="Q235" i="42"/>
  <c r="M182" i="42"/>
  <c r="M376" i="42"/>
  <c r="J101" i="42"/>
  <c r="P390" i="42"/>
  <c r="E198" i="42"/>
  <c r="C240" i="42"/>
  <c r="I196" i="42"/>
  <c r="F17" i="42"/>
  <c r="P210" i="42"/>
  <c r="J197" i="42"/>
  <c r="H142" i="42"/>
  <c r="H330" i="42"/>
  <c r="K53" i="42"/>
  <c r="N273" i="42"/>
  <c r="K133" i="42"/>
  <c r="G304" i="42"/>
  <c r="I55" i="42"/>
  <c r="L151" i="42"/>
  <c r="D265" i="42"/>
  <c r="B50" i="42"/>
  <c r="D75" i="42"/>
  <c r="M33" i="42"/>
  <c r="O157" i="42"/>
  <c r="I67" i="42"/>
  <c r="N363" i="42"/>
  <c r="O13" i="42"/>
  <c r="G381" i="42"/>
  <c r="N222" i="42"/>
  <c r="Q272" i="42"/>
  <c r="P116" i="42"/>
  <c r="R130" i="42"/>
  <c r="P352" i="42"/>
  <c r="M245" i="42"/>
  <c r="Q189" i="42"/>
  <c r="F110" i="42"/>
  <c r="F75" i="42"/>
  <c r="B162" i="42"/>
  <c r="D101" i="42"/>
  <c r="R102" i="42"/>
  <c r="H299" i="42"/>
  <c r="Q397" i="42"/>
  <c r="H121" i="42"/>
  <c r="N186" i="42"/>
  <c r="J156" i="42"/>
  <c r="C11" i="42"/>
  <c r="G282" i="42"/>
  <c r="I279" i="42"/>
  <c r="P372" i="42"/>
  <c r="I399" i="42"/>
  <c r="O100" i="42"/>
  <c r="R65" i="42"/>
  <c r="P196" i="42"/>
  <c r="M222" i="42"/>
  <c r="O97" i="42"/>
  <c r="F282" i="42"/>
  <c r="R131" i="42"/>
  <c r="I312" i="42"/>
  <c r="I316" i="42"/>
  <c r="N362" i="42"/>
  <c r="P326" i="42"/>
  <c r="G400" i="42"/>
  <c r="P310" i="42"/>
  <c r="R140" i="42"/>
  <c r="F306" i="42"/>
  <c r="O249" i="42"/>
  <c r="H272" i="42"/>
  <c r="L76" i="42"/>
  <c r="C216" i="42"/>
  <c r="H379" i="42"/>
  <c r="K36" i="42"/>
  <c r="E83" i="42"/>
  <c r="G34" i="42"/>
  <c r="B369" i="42"/>
  <c r="C42" i="42"/>
  <c r="P108" i="42"/>
  <c r="O141" i="42"/>
  <c r="Q305" i="42"/>
  <c r="I124" i="42"/>
  <c r="B118" i="42"/>
  <c r="P17" i="42"/>
  <c r="H234" i="42"/>
  <c r="D142" i="42"/>
  <c r="F46" i="42"/>
  <c r="G53" i="42"/>
  <c r="Q185" i="42"/>
  <c r="D106" i="42"/>
  <c r="O350" i="42"/>
  <c r="P234" i="42"/>
  <c r="I382" i="42"/>
  <c r="E59" i="42"/>
  <c r="N9" i="42"/>
  <c r="M233" i="42"/>
  <c r="H310" i="42"/>
  <c r="G315" i="42"/>
  <c r="G72" i="42"/>
  <c r="E284" i="42"/>
  <c r="N312" i="42"/>
  <c r="I17" i="42"/>
  <c r="J36" i="42"/>
  <c r="I346" i="42"/>
  <c r="C298" i="42"/>
  <c r="K240" i="42"/>
  <c r="F257" i="42"/>
  <c r="E98" i="42"/>
  <c r="B14" i="42"/>
  <c r="D103" i="42"/>
  <c r="F319" i="42"/>
  <c r="C77" i="42"/>
  <c r="O254" i="42"/>
  <c r="K124" i="42"/>
  <c r="K339" i="42"/>
  <c r="F331" i="42"/>
  <c r="L97" i="42"/>
  <c r="G332" i="42"/>
  <c r="I20" i="42"/>
  <c r="I300" i="42"/>
  <c r="J53" i="42"/>
  <c r="K71" i="42"/>
  <c r="L14" i="42"/>
  <c r="M131" i="42"/>
  <c r="L207" i="42"/>
  <c r="R335" i="42"/>
  <c r="E180" i="42"/>
  <c r="J340" i="42"/>
  <c r="I111" i="42"/>
  <c r="I113" i="42"/>
  <c r="K366" i="42"/>
  <c r="N54" i="42"/>
  <c r="M7" i="42"/>
  <c r="M109" i="42"/>
  <c r="K99" i="42"/>
  <c r="B63" i="42"/>
  <c r="O255" i="42"/>
  <c r="O139" i="42"/>
  <c r="M265" i="42"/>
  <c r="G139" i="42"/>
  <c r="M69" i="42"/>
  <c r="N113" i="42"/>
  <c r="R388" i="42"/>
  <c r="H160" i="42"/>
  <c r="G353" i="42"/>
  <c r="L252" i="42"/>
  <c r="J323" i="42"/>
  <c r="G192" i="42"/>
  <c r="E162" i="42"/>
  <c r="N131" i="42"/>
  <c r="M141" i="42"/>
  <c r="N110" i="42"/>
  <c r="J166" i="42"/>
  <c r="D372" i="42"/>
  <c r="G333" i="42"/>
  <c r="J10" i="42"/>
  <c r="I131" i="42"/>
  <c r="R249" i="42"/>
  <c r="E255" i="42"/>
  <c r="M76" i="42"/>
  <c r="I234" i="42"/>
  <c r="D328" i="42"/>
  <c r="Q238" i="42"/>
  <c r="F218" i="42"/>
  <c r="H215" i="42"/>
  <c r="K37" i="42"/>
  <c r="R119" i="42"/>
  <c r="E252" i="42"/>
  <c r="I140" i="42"/>
  <c r="J80" i="42"/>
  <c r="E191" i="42"/>
  <c r="E309" i="42"/>
  <c r="H52" i="42"/>
  <c r="G386" i="42"/>
  <c r="N134" i="42"/>
  <c r="P283" i="42"/>
  <c r="B361" i="42"/>
  <c r="Q306" i="42"/>
  <c r="R42" i="42"/>
  <c r="H320" i="42"/>
  <c r="D62" i="42"/>
  <c r="I375" i="42"/>
  <c r="E328" i="42"/>
  <c r="Q223" i="42"/>
  <c r="E338" i="42"/>
  <c r="B245" i="42"/>
  <c r="I143" i="42"/>
  <c r="K172" i="42"/>
  <c r="D113" i="42"/>
  <c r="M169" i="42"/>
  <c r="G80" i="42"/>
  <c r="N330" i="42"/>
  <c r="O339" i="42"/>
  <c r="Q311" i="42"/>
  <c r="I148" i="42"/>
  <c r="E310" i="42"/>
  <c r="E185" i="42"/>
  <c r="K117" i="42"/>
  <c r="P128" i="42"/>
  <c r="O287" i="42"/>
  <c r="K374" i="42"/>
  <c r="P184" i="42"/>
  <c r="Q258" i="42"/>
  <c r="G373" i="42"/>
  <c r="E294" i="42"/>
  <c r="E87" i="42"/>
  <c r="P134" i="42"/>
  <c r="D132" i="42"/>
  <c r="L72" i="42"/>
  <c r="I310" i="42"/>
  <c r="B54" i="42"/>
  <c r="H101" i="42"/>
  <c r="L230" i="42"/>
  <c r="Q188" i="42"/>
  <c r="Q335" i="42"/>
  <c r="L379" i="42"/>
  <c r="E165" i="42"/>
  <c r="L33" i="42"/>
  <c r="G19" i="42"/>
  <c r="J228" i="42"/>
  <c r="Q236" i="42"/>
  <c r="J161" i="42"/>
  <c r="O360" i="42"/>
  <c r="K337" i="42"/>
  <c r="N173" i="42"/>
  <c r="P342" i="42"/>
  <c r="M248" i="42"/>
  <c r="F146" i="42"/>
  <c r="D321" i="42"/>
  <c r="I299" i="42"/>
  <c r="E109" i="42"/>
  <c r="B311" i="42"/>
  <c r="Q155" i="42"/>
  <c r="B197" i="42"/>
  <c r="F28" i="42"/>
  <c r="F209" i="42"/>
  <c r="H33" i="42"/>
  <c r="N100" i="42"/>
  <c r="I77" i="42"/>
  <c r="H222" i="42"/>
  <c r="L142" i="42"/>
  <c r="J257" i="42"/>
  <c r="J239" i="42"/>
  <c r="I325" i="42"/>
  <c r="H67" i="42"/>
  <c r="M53" i="42"/>
  <c r="R200" i="42"/>
  <c r="L157" i="42"/>
  <c r="F151" i="42"/>
  <c r="N245" i="42"/>
  <c r="H282" i="42"/>
  <c r="G18" i="42"/>
  <c r="I314" i="42"/>
  <c r="L119" i="42"/>
  <c r="Q381" i="42"/>
  <c r="G65" i="42"/>
  <c r="G69" i="42"/>
  <c r="E289" i="42"/>
  <c r="D288" i="42"/>
  <c r="N19" i="42"/>
  <c r="O99" i="42"/>
  <c r="L201" i="42"/>
  <c r="N338" i="42"/>
  <c r="B190" i="42"/>
  <c r="L145" i="42"/>
  <c r="R196" i="42"/>
  <c r="D279" i="42"/>
  <c r="H131" i="42"/>
  <c r="B362" i="42"/>
  <c r="P329" i="42"/>
  <c r="K20" i="42"/>
  <c r="R273" i="42"/>
  <c r="J354" i="42"/>
  <c r="Q371" i="42"/>
  <c r="P304" i="42"/>
  <c r="N212" i="42"/>
  <c r="K306" i="42"/>
  <c r="H394" i="42"/>
  <c r="M23" i="42"/>
  <c r="K125" i="42"/>
  <c r="F123" i="42"/>
  <c r="N174" i="42"/>
  <c r="D82" i="42"/>
  <c r="M349" i="42"/>
  <c r="E313" i="42"/>
  <c r="Q217" i="42"/>
  <c r="I323" i="42"/>
  <c r="G343" i="42"/>
  <c r="R393" i="42"/>
  <c r="H37" i="42"/>
  <c r="O73" i="42"/>
  <c r="P394" i="42"/>
  <c r="B227" i="42"/>
  <c r="Q163" i="42"/>
  <c r="B26" i="42"/>
  <c r="G291" i="42"/>
  <c r="D26" i="42"/>
  <c r="H228" i="42"/>
  <c r="E244" i="42"/>
  <c r="R216" i="42"/>
  <c r="I169" i="42"/>
  <c r="H202" i="42"/>
  <c r="E15" i="42"/>
  <c r="B8" i="42"/>
  <c r="J217" i="42"/>
  <c r="O286" i="42"/>
  <c r="R248" i="42"/>
  <c r="H58" i="42"/>
  <c r="I267" i="42"/>
  <c r="D74" i="42"/>
  <c r="K360" i="42"/>
  <c r="H63" i="42"/>
  <c r="J35" i="42"/>
  <c r="H230" i="42"/>
  <c r="G179" i="42"/>
  <c r="J396" i="42"/>
  <c r="B326" i="42"/>
  <c r="Q54" i="42"/>
  <c r="L248" i="42"/>
  <c r="J147" i="42"/>
  <c r="N303" i="42"/>
  <c r="L300" i="42"/>
  <c r="N111" i="42"/>
  <c r="H295" i="42"/>
  <c r="M348" i="42"/>
  <c r="Q357" i="42"/>
  <c r="F294" i="42"/>
  <c r="O90" i="42"/>
  <c r="K295" i="42"/>
  <c r="N99" i="42"/>
  <c r="F153" i="42"/>
  <c r="G256" i="42"/>
  <c r="J56" i="42"/>
  <c r="N176" i="42"/>
  <c r="R245" i="42"/>
  <c r="O239" i="42"/>
  <c r="K141" i="42"/>
  <c r="F234" i="42"/>
  <c r="C239" i="42"/>
  <c r="M114" i="42"/>
  <c r="M249" i="42"/>
  <c r="O70" i="42"/>
  <c r="O16" i="42"/>
  <c r="H129" i="42"/>
  <c r="N207" i="42"/>
  <c r="D278" i="42"/>
  <c r="F267" i="42"/>
  <c r="M158" i="42"/>
  <c r="D326" i="42"/>
  <c r="F27" i="42"/>
  <c r="Q326" i="42"/>
  <c r="O71" i="42"/>
  <c r="J48" i="42"/>
  <c r="R241" i="42"/>
  <c r="K349" i="42"/>
  <c r="I195" i="42"/>
  <c r="L348" i="42"/>
  <c r="Q385" i="42"/>
  <c r="N365" i="42"/>
  <c r="G340" i="42"/>
  <c r="C180" i="42"/>
  <c r="C205" i="42"/>
  <c r="J193" i="42"/>
  <c r="G44" i="42"/>
  <c r="B365" i="42"/>
  <c r="P301" i="42"/>
  <c r="H133" i="42"/>
  <c r="M273" i="42"/>
  <c r="M145" i="42"/>
  <c r="G271" i="42"/>
  <c r="O303" i="42"/>
  <c r="N205" i="42"/>
  <c r="R60" i="42"/>
  <c r="J159" i="42"/>
  <c r="B210" i="42"/>
  <c r="K356" i="42"/>
  <c r="D349" i="42"/>
  <c r="E393" i="42"/>
  <c r="O50" i="42"/>
  <c r="I253" i="42"/>
  <c r="Q169" i="42"/>
  <c r="E116" i="42"/>
  <c r="P8" i="42"/>
  <c r="N80" i="42"/>
  <c r="K136" i="42"/>
  <c r="J328" i="42"/>
  <c r="E6" i="42"/>
  <c r="D225" i="42"/>
  <c r="M195" i="42"/>
  <c r="Q240" i="42"/>
  <c r="P378" i="42"/>
  <c r="P246" i="42"/>
  <c r="C331" i="42"/>
  <c r="B229" i="42"/>
  <c r="N98" i="42"/>
  <c r="O103" i="42"/>
  <c r="J115" i="42"/>
  <c r="D223" i="42"/>
  <c r="I166" i="42"/>
  <c r="D76" i="42"/>
  <c r="R301" i="42"/>
  <c r="J128" i="42"/>
  <c r="N82" i="42"/>
  <c r="F141" i="42"/>
  <c r="E186" i="42"/>
  <c r="F221" i="42"/>
  <c r="C384" i="42"/>
  <c r="E386" i="42"/>
  <c r="K4" i="42"/>
  <c r="F23" i="42"/>
  <c r="K248" i="42"/>
  <c r="H70" i="42"/>
  <c r="L378" i="42"/>
  <c r="R251" i="42"/>
  <c r="I210" i="42"/>
  <c r="R268" i="42"/>
  <c r="B271" i="42"/>
  <c r="E154" i="42"/>
  <c r="N140" i="42"/>
  <c r="L345" i="42"/>
  <c r="C319" i="42"/>
  <c r="B43" i="42"/>
  <c r="G14" i="42"/>
  <c r="C99" i="42"/>
  <c r="N250" i="42"/>
  <c r="B105" i="42"/>
  <c r="Q126" i="42"/>
  <c r="B90" i="42"/>
  <c r="J120" i="42"/>
  <c r="P402" i="42"/>
  <c r="O11" i="42"/>
  <c r="I176" i="42"/>
  <c r="K214" i="42"/>
  <c r="Q323" i="42"/>
  <c r="C70" i="42"/>
  <c r="C46" i="42"/>
  <c r="D90" i="42"/>
  <c r="M164" i="42"/>
  <c r="F85" i="42"/>
  <c r="D209" i="42"/>
  <c r="H339" i="42"/>
  <c r="B379" i="42"/>
  <c r="I170" i="42"/>
  <c r="L241" i="42"/>
  <c r="E354" i="42"/>
  <c r="I180" i="42"/>
  <c r="B141" i="42"/>
  <c r="F318" i="42"/>
  <c r="I272" i="42"/>
  <c r="G316" i="42"/>
  <c r="C147" i="42"/>
  <c r="R224" i="42"/>
  <c r="N351" i="42"/>
  <c r="R207" i="42"/>
  <c r="P389" i="42"/>
  <c r="R307" i="42"/>
  <c r="N210" i="42"/>
  <c r="Q246" i="42"/>
  <c r="B37" i="42"/>
  <c r="R293" i="42"/>
  <c r="C235" i="42"/>
  <c r="G174" i="42"/>
  <c r="M301" i="42"/>
  <c r="H242" i="42"/>
  <c r="R115" i="42"/>
  <c r="R302" i="42"/>
  <c r="G126" i="42"/>
  <c r="D17" i="42"/>
  <c r="O395" i="42"/>
  <c r="P241" i="42"/>
  <c r="D42" i="42"/>
  <c r="O392" i="42"/>
  <c r="M237" i="42"/>
  <c r="L118" i="42"/>
  <c r="E316" i="42"/>
  <c r="O295" i="42"/>
  <c r="D291" i="42"/>
  <c r="J5" i="42"/>
  <c r="O402" i="42"/>
  <c r="K194" i="42"/>
  <c r="O112" i="42"/>
  <c r="G246" i="42"/>
  <c r="L63" i="42"/>
  <c r="M380" i="42"/>
  <c r="G201" i="42"/>
  <c r="O263" i="42"/>
  <c r="K364" i="42"/>
  <c r="I61" i="42"/>
  <c r="I18" i="42"/>
  <c r="O219" i="42"/>
  <c r="E159" i="42"/>
  <c r="R306" i="42"/>
  <c r="B60" i="42"/>
  <c r="I358" i="42"/>
  <c r="L273" i="42"/>
  <c r="N246" i="42"/>
  <c r="D323" i="42"/>
  <c r="D222" i="42"/>
  <c r="R296" i="42"/>
  <c r="F202" i="42"/>
  <c r="F303" i="42"/>
  <c r="J391" i="42"/>
  <c r="L332" i="42"/>
  <c r="Q36" i="42"/>
  <c r="B157" i="42"/>
  <c r="N219" i="42"/>
  <c r="K80" i="42"/>
  <c r="O14" i="42"/>
  <c r="Q310" i="42"/>
  <c r="N52" i="42"/>
  <c r="K304" i="42"/>
  <c r="I45" i="42"/>
  <c r="E38" i="42"/>
  <c r="O374" i="42"/>
  <c r="O267" i="42"/>
  <c r="R21" i="42"/>
  <c r="B195" i="42"/>
  <c r="P99" i="42"/>
  <c r="K343" i="42"/>
  <c r="N218" i="42"/>
  <c r="E259" i="42"/>
  <c r="R261" i="42"/>
  <c r="I155" i="42"/>
  <c r="H255" i="42"/>
  <c r="P282" i="42"/>
  <c r="O243" i="42"/>
  <c r="J267" i="42"/>
  <c r="M60" i="42"/>
  <c r="Q383" i="42"/>
  <c r="P276" i="42"/>
  <c r="N22" i="42"/>
  <c r="Q64" i="42"/>
  <c r="E155" i="42"/>
  <c r="E279" i="42"/>
  <c r="L28" i="42"/>
  <c r="G164" i="42"/>
  <c r="F139" i="42"/>
  <c r="L377" i="42"/>
  <c r="C156" i="42"/>
  <c r="C89" i="42"/>
  <c r="M197" i="42"/>
  <c r="B215" i="42"/>
  <c r="P136" i="42"/>
  <c r="R7" i="42"/>
  <c r="O146" i="42"/>
  <c r="M296" i="42"/>
  <c r="J238" i="42"/>
  <c r="L134" i="42"/>
  <c r="J118" i="42"/>
  <c r="C74" i="42"/>
  <c r="C172" i="42"/>
  <c r="E390" i="42"/>
  <c r="D295" i="42"/>
  <c r="E227" i="42"/>
  <c r="N279" i="42"/>
  <c r="K10" i="42"/>
  <c r="I282" i="42"/>
  <c r="D375" i="42"/>
  <c r="H8" i="42"/>
  <c r="F390" i="42"/>
  <c r="M205" i="42"/>
  <c r="B149" i="42"/>
  <c r="Q280" i="42"/>
  <c r="F210" i="42"/>
  <c r="H32" i="42"/>
  <c r="O25" i="42"/>
  <c r="I134" i="42"/>
  <c r="N60" i="42"/>
  <c r="Q396" i="42"/>
  <c r="B266" i="42"/>
  <c r="Q125" i="42"/>
  <c r="H270" i="42"/>
  <c r="K51" i="42"/>
  <c r="I224" i="42"/>
  <c r="B116" i="42"/>
  <c r="J100" i="42"/>
  <c r="P4" i="42"/>
  <c r="M284" i="42"/>
  <c r="J121" i="42"/>
  <c r="Q321" i="42"/>
  <c r="I289" i="42"/>
  <c r="J299" i="42"/>
  <c r="J313" i="42"/>
  <c r="F86" i="42"/>
  <c r="C275" i="42"/>
  <c r="L284" i="42"/>
  <c r="G205" i="42"/>
  <c r="L206" i="42"/>
  <c r="P122" i="42"/>
  <c r="K155" i="42"/>
  <c r="N354" i="42"/>
  <c r="I307" i="42"/>
  <c r="E278" i="42"/>
  <c r="B323" i="42"/>
  <c r="G187" i="42"/>
  <c r="L298" i="42"/>
  <c r="J74" i="42"/>
  <c r="N62" i="42"/>
  <c r="G255" i="42"/>
  <c r="R64" i="42"/>
  <c r="L137" i="42"/>
  <c r="B292" i="42"/>
  <c r="P174" i="42"/>
  <c r="I179" i="42"/>
  <c r="K170" i="42"/>
  <c r="D92" i="42"/>
  <c r="I350" i="42"/>
  <c r="C373" i="42"/>
  <c r="L368" i="42"/>
  <c r="N399" i="42"/>
  <c r="M161" i="42"/>
  <c r="K222" i="42"/>
  <c r="M112" i="42"/>
  <c r="I217" i="42"/>
  <c r="M220" i="42"/>
  <c r="J388" i="42"/>
  <c r="K226" i="42"/>
  <c r="G260" i="42"/>
  <c r="O182" i="42"/>
  <c r="Q131" i="42"/>
  <c r="G293" i="42"/>
  <c r="Q177" i="42"/>
  <c r="I32" i="42"/>
  <c r="G37" i="42"/>
  <c r="L297" i="42"/>
  <c r="E27" i="42"/>
  <c r="H14" i="42"/>
  <c r="F364" i="42"/>
  <c r="E233" i="42"/>
  <c r="H395" i="42"/>
  <c r="G266" i="42"/>
  <c r="K192" i="42"/>
  <c r="C333" i="42"/>
  <c r="I171" i="42"/>
  <c r="B376" i="42"/>
  <c r="B347" i="42"/>
  <c r="O292" i="42"/>
  <c r="D28" i="42"/>
  <c r="B273" i="42"/>
  <c r="O19" i="42"/>
  <c r="H340" i="42"/>
  <c r="N283" i="42"/>
  <c r="L87" i="42"/>
  <c r="N260" i="42"/>
  <c r="P388" i="42"/>
  <c r="C279" i="42"/>
  <c r="M215" i="42"/>
  <c r="N268" i="42"/>
  <c r="N191" i="42"/>
  <c r="E125" i="42"/>
  <c r="H337" i="42"/>
  <c r="R211" i="42"/>
  <c r="G182" i="42"/>
  <c r="C389" i="42"/>
  <c r="D205" i="42"/>
  <c r="L376" i="42"/>
  <c r="C24" i="42"/>
  <c r="H313" i="42"/>
  <c r="B83" i="42"/>
  <c r="O293" i="42"/>
  <c r="O253" i="42"/>
  <c r="E220" i="42"/>
  <c r="C230" i="42"/>
  <c r="C181" i="42"/>
  <c r="L205" i="42"/>
  <c r="P168" i="42"/>
  <c r="E209" i="42"/>
  <c r="I402" i="42"/>
  <c r="L161" i="42"/>
  <c r="H10" i="42"/>
  <c r="I242" i="42"/>
  <c r="O384" i="42"/>
  <c r="D342" i="42"/>
  <c r="R402" i="42"/>
  <c r="J66" i="42"/>
  <c r="O83" i="42"/>
  <c r="K54" i="42"/>
  <c r="G360" i="42"/>
  <c r="R359" i="42"/>
  <c r="M92" i="42"/>
  <c r="N7" i="42"/>
  <c r="M32" i="42"/>
  <c r="G267" i="42"/>
  <c r="P300" i="42"/>
  <c r="I315" i="42"/>
  <c r="B147" i="42"/>
  <c r="G188" i="42"/>
  <c r="B96" i="42"/>
  <c r="D268" i="42"/>
  <c r="Q292" i="42"/>
  <c r="L363" i="42"/>
  <c r="M113" i="42"/>
  <c r="H117" i="42"/>
  <c r="R114" i="42"/>
  <c r="L58" i="42"/>
  <c r="Q20" i="42"/>
  <c r="R134" i="42"/>
  <c r="H126" i="42"/>
  <c r="H69" i="42"/>
  <c r="G150" i="42"/>
  <c r="F366" i="42"/>
  <c r="I238" i="42"/>
  <c r="L54" i="42"/>
  <c r="C312" i="42"/>
  <c r="C9" i="42"/>
  <c r="H153" i="42"/>
  <c r="J174" i="42"/>
  <c r="J6" i="42"/>
  <c r="G63" i="42"/>
  <c r="P58" i="42"/>
  <c r="M64" i="42"/>
  <c r="M374" i="42"/>
  <c r="K400" i="42"/>
  <c r="K315" i="42"/>
  <c r="C174" i="42"/>
  <c r="C271" i="42"/>
  <c r="C334" i="42"/>
  <c r="Q244" i="42"/>
  <c r="I290" i="42"/>
  <c r="D260" i="42"/>
  <c r="C335" i="42"/>
  <c r="H324" i="42"/>
  <c r="B223" i="42"/>
  <c r="F287" i="42"/>
  <c r="M398" i="42"/>
  <c r="L73" i="42"/>
  <c r="K81" i="42"/>
  <c r="K285" i="42"/>
  <c r="M68" i="42"/>
  <c r="K344" i="42"/>
  <c r="P82" i="42"/>
  <c r="I212" i="42"/>
  <c r="C144" i="42"/>
  <c r="O171" i="42"/>
  <c r="J384" i="42"/>
  <c r="M19" i="42"/>
  <c r="G93" i="42"/>
  <c r="E375" i="42"/>
  <c r="G186" i="42"/>
  <c r="K127" i="42"/>
  <c r="P340" i="42"/>
  <c r="C26" i="42"/>
  <c r="J332" i="42"/>
  <c r="L101" i="42"/>
  <c r="F249" i="42"/>
  <c r="F233" i="42"/>
  <c r="B73" i="42"/>
  <c r="L162" i="42"/>
  <c r="E373" i="42"/>
  <c r="L396" i="42"/>
  <c r="F114" i="42"/>
  <c r="I70" i="42"/>
  <c r="M353" i="42"/>
  <c r="C95" i="42"/>
  <c r="P131" i="42"/>
  <c r="R94" i="42"/>
  <c r="D345" i="42"/>
  <c r="G374" i="42"/>
  <c r="P323" i="42"/>
  <c r="G306" i="42"/>
  <c r="B113" i="42"/>
  <c r="J205" i="42"/>
  <c r="P186" i="42"/>
  <c r="Q153" i="42"/>
  <c r="R128" i="42"/>
  <c r="F16" i="42"/>
  <c r="B329" i="42"/>
  <c r="K382" i="42"/>
  <c r="P278" i="42"/>
  <c r="Q147" i="42"/>
  <c r="H239" i="42"/>
  <c r="C182" i="42"/>
  <c r="J20" i="42"/>
  <c r="L68" i="42"/>
  <c r="K110" i="42"/>
  <c r="N33" i="42"/>
  <c r="F117" i="42"/>
  <c r="O185" i="42"/>
  <c r="O118" i="42"/>
  <c r="E224" i="42"/>
  <c r="J43" i="42"/>
  <c r="F381" i="42"/>
  <c r="L397" i="42"/>
  <c r="E356" i="42"/>
  <c r="J221" i="42"/>
  <c r="F262" i="42"/>
  <c r="D79" i="42"/>
  <c r="Q347" i="42"/>
  <c r="O244" i="42"/>
  <c r="K128" i="42"/>
  <c r="H396" i="42"/>
  <c r="K74" i="42"/>
  <c r="J172" i="42"/>
  <c r="O160" i="42"/>
  <c r="M167" i="42"/>
  <c r="R104" i="42"/>
  <c r="J372" i="42"/>
  <c r="O282" i="42"/>
  <c r="O105" i="42"/>
  <c r="J389" i="42"/>
  <c r="M89" i="42"/>
  <c r="E13" i="42"/>
  <c r="Q81" i="42"/>
  <c r="I15" i="42"/>
  <c r="G83" i="42"/>
  <c r="C71" i="42"/>
  <c r="H276" i="42"/>
  <c r="E322" i="42"/>
  <c r="N32" i="42"/>
  <c r="H213" i="42"/>
  <c r="F356" i="42"/>
  <c r="H54" i="42"/>
  <c r="E66" i="42"/>
  <c r="I109" i="42"/>
  <c r="J349" i="42"/>
  <c r="K296" i="42"/>
  <c r="M179" i="42"/>
  <c r="D332" i="42"/>
  <c r="H75" i="42"/>
  <c r="H135" i="42"/>
  <c r="Q390" i="42"/>
  <c r="Q285" i="42"/>
  <c r="O332" i="42"/>
  <c r="I274" i="42"/>
  <c r="L328" i="42"/>
  <c r="L272" i="42"/>
  <c r="J145" i="42"/>
  <c r="N208" i="42"/>
  <c r="K32" i="42"/>
  <c r="K218" i="42"/>
  <c r="O361" i="42"/>
  <c r="Q99" i="42"/>
  <c r="H225" i="42"/>
  <c r="C355" i="42"/>
  <c r="Q151" i="42"/>
  <c r="G397" i="42"/>
  <c r="I262" i="42"/>
  <c r="O259" i="42"/>
  <c r="M80" i="42"/>
  <c r="F266" i="42"/>
  <c r="Q173" i="42"/>
  <c r="Q308" i="42"/>
  <c r="J285" i="42"/>
  <c r="J104" i="42"/>
  <c r="B251" i="42"/>
  <c r="E107" i="42"/>
  <c r="M251" i="42"/>
  <c r="G38" i="42"/>
  <c r="M192" i="42"/>
  <c r="B396" i="42"/>
  <c r="E285" i="42"/>
  <c r="M138" i="42"/>
  <c r="E339" i="42"/>
  <c r="N41" i="42"/>
  <c r="M8" i="42"/>
  <c r="D170" i="42"/>
  <c r="M75" i="42"/>
  <c r="N339" i="42"/>
  <c r="J274" i="42"/>
  <c r="O52" i="42"/>
  <c r="H252" i="42"/>
  <c r="E222" i="42"/>
  <c r="G229" i="42"/>
  <c r="B244" i="42"/>
  <c r="M268" i="42"/>
  <c r="P76" i="42"/>
  <c r="F285" i="42"/>
  <c r="E189" i="42"/>
  <c r="I292" i="42"/>
  <c r="N360" i="42"/>
  <c r="N284" i="42"/>
  <c r="G288" i="42"/>
  <c r="R238" i="42"/>
  <c r="H175" i="42"/>
  <c r="E226" i="42"/>
  <c r="R88" i="42"/>
  <c r="G390" i="42"/>
  <c r="O336" i="42"/>
  <c r="H357" i="42"/>
  <c r="K122" i="42"/>
  <c r="G258" i="42"/>
  <c r="C388" i="42"/>
  <c r="E68" i="42"/>
  <c r="E117" i="42"/>
  <c r="G313" i="42"/>
  <c r="L100" i="42"/>
  <c r="E341" i="42"/>
  <c r="B225" i="42"/>
  <c r="G209" i="42"/>
  <c r="Q59" i="42"/>
  <c r="N374" i="42"/>
  <c r="O296" i="42"/>
  <c r="J23" i="42"/>
  <c r="E364" i="42"/>
  <c r="R265" i="42"/>
  <c r="O85" i="42"/>
  <c r="N231" i="42"/>
  <c r="O248" i="42"/>
  <c r="O390" i="42"/>
  <c r="E286" i="42"/>
  <c r="N288" i="42"/>
  <c r="J387" i="42"/>
  <c r="H397" i="42"/>
  <c r="J84" i="42"/>
  <c r="I104" i="42"/>
  <c r="Q320" i="42"/>
  <c r="P185" i="42"/>
  <c r="B304" i="42"/>
  <c r="L210" i="42"/>
  <c r="P279" i="42"/>
  <c r="I250" i="42"/>
  <c r="G152" i="42"/>
  <c r="B355" i="42"/>
  <c r="L221" i="42"/>
  <c r="F71" i="42"/>
  <c r="R120" i="42"/>
  <c r="E318" i="42"/>
  <c r="E388" i="42"/>
  <c r="Q367" i="42"/>
  <c r="D23" i="42"/>
  <c r="J382" i="42"/>
  <c r="R355" i="42"/>
  <c r="C366" i="42"/>
  <c r="P354" i="42"/>
  <c r="B163" i="42"/>
  <c r="J59" i="42"/>
  <c r="R32" i="42"/>
  <c r="J315" i="42"/>
  <c r="E126" i="42"/>
  <c r="J265" i="42"/>
  <c r="M99" i="42"/>
  <c r="C125" i="42"/>
  <c r="L126" i="42"/>
  <c r="Q297" i="42"/>
  <c r="D159" i="42"/>
  <c r="F372" i="42"/>
  <c r="F111" i="42"/>
  <c r="H283" i="42"/>
  <c r="E378" i="42"/>
  <c r="F298" i="42"/>
  <c r="I192" i="42"/>
  <c r="F106" i="42"/>
  <c r="D301" i="42"/>
  <c r="E128" i="42"/>
  <c r="C55" i="42"/>
  <c r="L12" i="42"/>
  <c r="Q209" i="42"/>
  <c r="R354" i="42"/>
  <c r="C392" i="42"/>
  <c r="M332" i="42"/>
  <c r="E249" i="42"/>
  <c r="L347" i="42"/>
  <c r="H348" i="42"/>
  <c r="M6" i="42"/>
  <c r="O274" i="42"/>
  <c r="E29" i="42"/>
  <c r="L37" i="42"/>
  <c r="C250" i="42"/>
  <c r="R97" i="42"/>
  <c r="E245" i="42"/>
  <c r="H306" i="42"/>
  <c r="B344" i="42"/>
  <c r="M194" i="42"/>
  <c r="K302" i="42"/>
  <c r="I69" i="42"/>
  <c r="R135" i="42"/>
  <c r="H374" i="42"/>
  <c r="H6" i="42"/>
  <c r="K5" i="42"/>
  <c r="B33" i="42"/>
  <c r="M288" i="42"/>
  <c r="M130" i="42"/>
  <c r="I152" i="42"/>
  <c r="J398" i="42"/>
  <c r="N141" i="42"/>
  <c r="N265" i="42"/>
  <c r="H402" i="42"/>
  <c r="K334" i="42"/>
  <c r="G356" i="42"/>
  <c r="D54" i="42"/>
  <c r="M305" i="42"/>
  <c r="C148" i="42"/>
  <c r="P334" i="42"/>
  <c r="D253" i="42"/>
  <c r="K211" i="42"/>
  <c r="K118" i="42"/>
  <c r="Q83" i="42"/>
  <c r="P351" i="42"/>
  <c r="N319" i="42"/>
  <c r="I285" i="42"/>
  <c r="O265" i="42"/>
  <c r="J157" i="42"/>
  <c r="Q115" i="42"/>
  <c r="P319" i="42"/>
  <c r="M67" i="42"/>
  <c r="N263" i="42"/>
  <c r="I150" i="42"/>
  <c r="N325" i="42"/>
  <c r="E205" i="42"/>
  <c r="C256" i="42"/>
  <c r="D18" i="42"/>
  <c r="R340" i="42"/>
  <c r="F83" i="42"/>
  <c r="F271" i="42"/>
  <c r="R386" i="42"/>
  <c r="O260" i="42"/>
  <c r="E362" i="42"/>
  <c r="N6" i="42"/>
  <c r="R269" i="42"/>
  <c r="J162" i="42"/>
  <c r="G157" i="42"/>
  <c r="M108" i="42"/>
  <c r="K106" i="42"/>
  <c r="O193" i="42"/>
  <c r="C221" i="42"/>
  <c r="L263" i="42"/>
  <c r="K19" i="42"/>
  <c r="B282" i="42"/>
  <c r="I288" i="42"/>
  <c r="C259" i="42"/>
  <c r="Q49" i="42"/>
  <c r="M321" i="42"/>
  <c r="N267" i="42"/>
  <c r="O268" i="42"/>
  <c r="J273" i="42"/>
  <c r="H216" i="42"/>
  <c r="J192" i="42"/>
  <c r="H275" i="42"/>
  <c r="Q273" i="42"/>
  <c r="I208" i="42"/>
  <c r="K233" i="42"/>
  <c r="B49" i="42"/>
  <c r="Q325" i="42"/>
  <c r="M198" i="42"/>
  <c r="C43" i="42"/>
  <c r="Q239" i="42"/>
  <c r="L131" i="42"/>
  <c r="L286" i="42"/>
  <c r="I53" i="42"/>
  <c r="M202" i="42"/>
  <c r="D361" i="42"/>
  <c r="E211" i="42"/>
  <c r="L216" i="42"/>
  <c r="Q340" i="42"/>
  <c r="M93" i="42"/>
  <c r="I216" i="42"/>
  <c r="G40" i="42"/>
  <c r="F39" i="42"/>
  <c r="G307" i="42"/>
  <c r="P360" i="42"/>
  <c r="E319" i="42"/>
  <c r="E385" i="42"/>
  <c r="G103" i="42"/>
  <c r="F341" i="42"/>
  <c r="C242" i="42"/>
  <c r="F81" i="42"/>
  <c r="G189" i="42"/>
  <c r="L366" i="42"/>
  <c r="O69" i="42"/>
  <c r="J215" i="42"/>
  <c r="R76" i="42"/>
  <c r="M309" i="42"/>
  <c r="R57" i="42"/>
  <c r="N387" i="42"/>
  <c r="G133" i="42"/>
  <c r="Q284" i="42"/>
  <c r="G99" i="42"/>
  <c r="C64" i="42"/>
  <c r="O359" i="42"/>
  <c r="N73" i="42"/>
  <c r="O98" i="42"/>
  <c r="P26" i="42"/>
  <c r="N347" i="42"/>
  <c r="B202" i="42"/>
  <c r="C233" i="42"/>
  <c r="N214" i="42"/>
  <c r="E296" i="42"/>
  <c r="C204" i="42"/>
  <c r="F191" i="42"/>
  <c r="K294" i="42"/>
  <c r="J262" i="42"/>
  <c r="J368" i="42"/>
  <c r="O313" i="42"/>
  <c r="D334" i="42"/>
  <c r="P322" i="42"/>
  <c r="H288" i="42"/>
  <c r="C65" i="42"/>
  <c r="E114" i="42"/>
  <c r="N119" i="42"/>
  <c r="C136" i="42"/>
  <c r="C281" i="42"/>
  <c r="C272" i="42"/>
  <c r="D6" i="42"/>
  <c r="K328" i="42"/>
  <c r="R380" i="42"/>
  <c r="R368" i="42"/>
  <c r="N337" i="42"/>
  <c r="K396" i="42"/>
  <c r="F335" i="42"/>
  <c r="C62" i="42"/>
  <c r="R174" i="42"/>
  <c r="L258" i="42"/>
  <c r="D293" i="42"/>
  <c r="L10" i="42"/>
  <c r="K11" i="42"/>
  <c r="G283" i="42"/>
  <c r="R116" i="42"/>
  <c r="I388" i="42"/>
  <c r="N114" i="42"/>
  <c r="L250" i="42"/>
  <c r="R357" i="42"/>
  <c r="E369" i="42"/>
  <c r="P288" i="42"/>
  <c r="C368" i="42"/>
  <c r="F134" i="42"/>
  <c r="P19" i="42"/>
  <c r="F384" i="42"/>
  <c r="E340" i="42"/>
  <c r="J165" i="42"/>
  <c r="H205" i="42"/>
  <c r="C211" i="42"/>
  <c r="P298" i="42"/>
  <c r="F144" i="42"/>
  <c r="J392" i="42"/>
  <c r="G110" i="42"/>
  <c r="L13" i="42"/>
  <c r="M340" i="42"/>
  <c r="J314" i="42"/>
  <c r="H290" i="42"/>
  <c r="F374" i="42"/>
  <c r="N270" i="42"/>
  <c r="J335" i="42"/>
  <c r="E257" i="42"/>
  <c r="N151" i="42"/>
  <c r="P386" i="42"/>
  <c r="J244" i="42"/>
  <c r="B278" i="42"/>
  <c r="F395" i="42"/>
  <c r="I63" i="42"/>
  <c r="J154" i="42"/>
  <c r="E396" i="42"/>
  <c r="M118" i="42"/>
  <c r="O72" i="42"/>
  <c r="P270" i="42"/>
  <c r="C186" i="42"/>
  <c r="H219" i="42"/>
  <c r="K286" i="42"/>
  <c r="C375" i="42"/>
  <c r="K261" i="42"/>
  <c r="N277" i="42"/>
  <c r="J254" i="42"/>
  <c r="C151" i="42"/>
  <c r="J334" i="42"/>
  <c r="P25" i="42"/>
  <c r="L278" i="42"/>
  <c r="C226" i="42"/>
  <c r="D240" i="42"/>
  <c r="H365" i="42"/>
  <c r="F263" i="42"/>
  <c r="E384" i="42"/>
  <c r="R39" i="42"/>
  <c r="N291" i="42"/>
  <c r="G248" i="42"/>
  <c r="G219" i="42"/>
  <c r="P89" i="42"/>
  <c r="N293" i="42"/>
  <c r="B183" i="42"/>
  <c r="Q122" i="42"/>
  <c r="M199" i="42"/>
  <c r="F5" i="42"/>
  <c r="R41" i="42"/>
  <c r="L259" i="42"/>
  <c r="N256" i="42"/>
  <c r="L229" i="42"/>
  <c r="Q261" i="42"/>
  <c r="D327" i="42"/>
  <c r="G322" i="42"/>
  <c r="D47" i="42"/>
  <c r="H376" i="42"/>
  <c r="O122" i="42"/>
  <c r="G226" i="42"/>
  <c r="D238" i="42"/>
  <c r="B9" i="42"/>
  <c r="I26" i="42"/>
  <c r="E246" i="42"/>
  <c r="E276" i="42"/>
  <c r="L344" i="42"/>
  <c r="M335" i="42"/>
  <c r="O46" i="42"/>
  <c r="G273" i="42"/>
  <c r="M260" i="42"/>
  <c r="R342" i="42"/>
  <c r="O210" i="42"/>
  <c r="F308" i="42"/>
  <c r="D184" i="42"/>
  <c r="R222" i="42"/>
  <c r="R85" i="42"/>
  <c r="N5" i="42"/>
  <c r="L40" i="42"/>
  <c r="M310" i="42"/>
  <c r="Q48" i="42"/>
  <c r="Q372" i="42"/>
  <c r="J173" i="42"/>
  <c r="D385" i="42"/>
  <c r="D38" i="42"/>
  <c r="R394" i="42"/>
  <c r="L19" i="42"/>
  <c r="C361" i="42"/>
  <c r="I175" i="42"/>
  <c r="R96" i="42"/>
  <c r="L260" i="42"/>
  <c r="D302" i="42"/>
  <c r="B262" i="42"/>
  <c r="J220" i="42"/>
  <c r="O67" i="42"/>
  <c r="L293" i="42"/>
  <c r="B386" i="42"/>
  <c r="C53" i="42"/>
  <c r="H342" i="42"/>
  <c r="F396" i="42"/>
  <c r="N71" i="42"/>
  <c r="G116" i="42"/>
  <c r="B300" i="42"/>
  <c r="M344" i="42"/>
  <c r="C397" i="42"/>
  <c r="I94" i="42"/>
  <c r="R210" i="42"/>
  <c r="E337" i="42"/>
  <c r="M387" i="42"/>
  <c r="B112" i="42"/>
  <c r="N391" i="42"/>
  <c r="Q379" i="42"/>
  <c r="L355" i="42"/>
  <c r="B81" i="42"/>
  <c r="Q24" i="42"/>
  <c r="B388" i="42"/>
  <c r="K77" i="42"/>
  <c r="N249" i="42"/>
  <c r="L325" i="42"/>
  <c r="O366" i="42"/>
  <c r="G262" i="42"/>
  <c r="G114" i="42"/>
  <c r="L158" i="42"/>
  <c r="F349" i="42"/>
  <c r="R109" i="42"/>
  <c r="J152" i="42"/>
  <c r="L191" i="42"/>
  <c r="F333" i="42"/>
  <c r="I339" i="42"/>
  <c r="B334" i="42"/>
  <c r="K277" i="42"/>
  <c r="K70" i="42"/>
  <c r="M367" i="42"/>
  <c r="D269" i="42"/>
  <c r="G337" i="42"/>
  <c r="H124" i="42"/>
  <c r="B261" i="42"/>
  <c r="L392" i="42"/>
  <c r="J27" i="42"/>
  <c r="M208" i="42"/>
  <c r="J371" i="42"/>
  <c r="F21" i="42"/>
  <c r="H217" i="42"/>
  <c r="L83" i="42"/>
  <c r="E287" i="42"/>
  <c r="J41" i="42"/>
  <c r="I82" i="42"/>
  <c r="K387" i="42"/>
  <c r="M209" i="42"/>
  <c r="D27" i="42"/>
  <c r="Q132" i="42"/>
  <c r="E290" i="42"/>
  <c r="O47" i="42"/>
  <c r="H184" i="42"/>
  <c r="N395" i="42"/>
  <c r="M121" i="42"/>
  <c r="O273" i="42"/>
  <c r="R160" i="42"/>
  <c r="Q315" i="42"/>
  <c r="C32" i="42"/>
  <c r="C344" i="42"/>
  <c r="Q158" i="42"/>
  <c r="I121" i="42"/>
  <c r="O356" i="42"/>
  <c r="I34" i="42"/>
  <c r="N372" i="42"/>
  <c r="B335" i="42"/>
  <c r="H136" i="42"/>
  <c r="K52" i="42"/>
  <c r="G265" i="42"/>
  <c r="I4" i="42"/>
  <c r="Q245" i="42"/>
  <c r="D348" i="42"/>
  <c r="F220" i="42"/>
  <c r="K130" i="42"/>
  <c r="B267" i="42"/>
  <c r="D346" i="42"/>
  <c r="J124" i="42"/>
  <c r="R252" i="42"/>
  <c r="F250" i="42"/>
  <c r="N86" i="42"/>
  <c r="F317" i="42"/>
  <c r="O29" i="42"/>
  <c r="M341" i="42"/>
  <c r="N204" i="42"/>
  <c r="B23" i="42"/>
  <c r="H197" i="42"/>
  <c r="R225" i="42"/>
  <c r="I327" i="42"/>
  <c r="O164" i="42"/>
  <c r="D389" i="42"/>
  <c r="E317" i="42"/>
  <c r="C167" i="42"/>
  <c r="E32" i="42"/>
  <c r="Q91" i="42"/>
  <c r="R391" i="42"/>
  <c r="F176" i="42"/>
  <c r="L197" i="42"/>
  <c r="D199" i="42"/>
  <c r="Q221" i="42"/>
  <c r="K330" i="42"/>
  <c r="K316" i="42"/>
  <c r="N196" i="42"/>
  <c r="B338" i="42"/>
  <c r="K301" i="42"/>
  <c r="E355" i="42"/>
  <c r="K180" i="42"/>
  <c r="O195" i="42"/>
  <c r="E9" i="42"/>
  <c r="L383" i="42"/>
  <c r="F351" i="42"/>
  <c r="D336" i="42"/>
  <c r="E149" i="42"/>
  <c r="M110" i="42"/>
  <c r="O373" i="42"/>
  <c r="F207" i="42"/>
  <c r="E11" i="42"/>
  <c r="N190" i="42"/>
  <c r="R217" i="42"/>
  <c r="R361" i="42"/>
  <c r="I391" i="42"/>
  <c r="P152" i="42"/>
  <c r="P15" i="42"/>
  <c r="F296" i="42"/>
  <c r="J207" i="42"/>
  <c r="R38" i="42"/>
  <c r="C304" i="42"/>
  <c r="M263" i="42"/>
  <c r="M22" i="42"/>
  <c r="N326" i="42"/>
  <c r="C80" i="42"/>
  <c r="O288" i="42"/>
  <c r="F259" i="42"/>
  <c r="C266" i="42"/>
  <c r="L265" i="42"/>
  <c r="L212" i="42"/>
  <c r="D114" i="42"/>
  <c r="N183" i="42"/>
  <c r="H329" i="42"/>
  <c r="E153" i="42"/>
  <c r="C285" i="42"/>
  <c r="J227" i="42"/>
  <c r="P373" i="42"/>
  <c r="L121" i="42"/>
  <c r="Q392" i="42"/>
  <c r="Q346" i="42"/>
  <c r="G148" i="42"/>
  <c r="B16" i="42"/>
  <c r="J394" i="42"/>
  <c r="J350" i="42"/>
  <c r="L141" i="42"/>
  <c r="J294" i="42"/>
  <c r="N346" i="42"/>
  <c r="E94" i="42"/>
  <c r="C249" i="42"/>
  <c r="F65" i="42"/>
  <c r="L75" i="42"/>
  <c r="R353" i="42"/>
  <c r="D44" i="42"/>
  <c r="M401" i="42"/>
  <c r="C108" i="42"/>
  <c r="F154" i="42"/>
  <c r="D359" i="42"/>
  <c r="Q110" i="42"/>
  <c r="E121" i="42"/>
  <c r="Q329" i="42"/>
  <c r="R253" i="42"/>
  <c r="D392" i="42"/>
  <c r="G314" i="42"/>
  <c r="B301" i="42"/>
  <c r="O232" i="42"/>
  <c r="H389" i="42"/>
  <c r="Q287" i="42"/>
  <c r="H350" i="42"/>
  <c r="K238" i="42"/>
  <c r="C356" i="42"/>
  <c r="P60" i="42"/>
  <c r="I83" i="42"/>
  <c r="O142" i="42"/>
  <c r="B187" i="42"/>
  <c r="L264" i="42"/>
  <c r="K166" i="42"/>
  <c r="L254" i="42"/>
  <c r="R318" i="42"/>
  <c r="F373" i="42"/>
  <c r="J14" i="42"/>
  <c r="K22" i="42"/>
  <c r="N112" i="42"/>
  <c r="Q30" i="42"/>
  <c r="R233" i="42"/>
  <c r="H336" i="42"/>
  <c r="H44" i="42"/>
  <c r="E374" i="42"/>
  <c r="F44" i="42"/>
  <c r="C350" i="42"/>
  <c r="G261" i="42"/>
  <c r="L240" i="42"/>
  <c r="B296" i="42"/>
  <c r="J24" i="42"/>
  <c r="F291" i="42"/>
  <c r="F164" i="42"/>
  <c r="R255" i="42"/>
  <c r="E237" i="42"/>
  <c r="H359" i="42"/>
  <c r="Q400" i="42"/>
  <c r="B357" i="42"/>
  <c r="O325" i="42"/>
  <c r="D195" i="42"/>
  <c r="E302" i="42"/>
  <c r="P51" i="42"/>
  <c r="E160" i="42"/>
  <c r="N118" i="42"/>
  <c r="B348" i="42"/>
  <c r="N155" i="42"/>
  <c r="Q402" i="42"/>
  <c r="Q388" i="42"/>
  <c r="B277" i="42"/>
  <c r="D77" i="42"/>
  <c r="P358" i="42"/>
  <c r="E97" i="42"/>
  <c r="L334" i="42"/>
  <c r="P166" i="42"/>
  <c r="B380" i="42"/>
  <c r="C132" i="42"/>
  <c r="J234" i="42"/>
  <c r="B254" i="42"/>
  <c r="B321" i="42"/>
  <c r="P177" i="42"/>
  <c r="Q178" i="42"/>
  <c r="H179" i="42"/>
  <c r="G385" i="42"/>
  <c r="G173" i="42"/>
  <c r="K368" i="42"/>
  <c r="C155" i="42"/>
  <c r="R12" i="42"/>
  <c r="H192" i="42"/>
  <c r="G348" i="42"/>
  <c r="M30" i="42"/>
  <c r="D236" i="42"/>
  <c r="Q291" i="42"/>
  <c r="M49" i="42"/>
  <c r="Q386" i="42"/>
  <c r="L129" i="42"/>
  <c r="O331" i="42"/>
  <c r="C278" i="42"/>
  <c r="B20" i="42"/>
  <c r="I79" i="42"/>
  <c r="M210" i="42"/>
  <c r="Q26" i="42"/>
  <c r="N162" i="42"/>
  <c r="G370" i="42"/>
  <c r="B104" i="42"/>
  <c r="L135" i="42"/>
  <c r="G9" i="42"/>
  <c r="C83" i="42"/>
  <c r="K168" i="42"/>
  <c r="O28" i="42"/>
  <c r="F112" i="42"/>
  <c r="O149" i="42"/>
  <c r="N257" i="42"/>
  <c r="B308" i="42"/>
  <c r="P45" i="42"/>
  <c r="O176" i="42"/>
  <c r="Q364" i="42"/>
  <c r="R183" i="42"/>
  <c r="G42" i="42"/>
  <c r="M300" i="42"/>
  <c r="J110" i="42"/>
  <c r="L218" i="42"/>
  <c r="I345" i="42"/>
  <c r="J280" i="42"/>
  <c r="H289" i="42"/>
  <c r="K292" i="42"/>
  <c r="Q344" i="42"/>
  <c r="J311" i="42"/>
  <c r="Q232" i="42"/>
  <c r="C336" i="42"/>
  <c r="H35" i="42"/>
  <c r="L62" i="42"/>
  <c r="P118" i="42"/>
  <c r="R263" i="42"/>
  <c r="O242" i="42"/>
  <c r="Q165" i="42"/>
  <c r="J291" i="42"/>
  <c r="M392" i="42"/>
  <c r="C25" i="42"/>
  <c r="P260" i="42"/>
  <c r="C227" i="42"/>
  <c r="P216" i="42"/>
  <c r="B199" i="42"/>
  <c r="R49" i="42"/>
  <c r="E164" i="42"/>
  <c r="D309" i="42"/>
  <c r="J342" i="42"/>
  <c r="K49" i="42"/>
  <c r="P114" i="42"/>
  <c r="D176" i="42"/>
  <c r="H362" i="42"/>
  <c r="K205" i="42"/>
  <c r="Q399" i="42"/>
  <c r="I275" i="42"/>
  <c r="Q362" i="42"/>
  <c r="R227" i="42"/>
  <c r="M281" i="42"/>
  <c r="O381" i="42"/>
  <c r="Q358" i="42"/>
  <c r="E225" i="42"/>
  <c r="C374" i="42"/>
  <c r="I249" i="42"/>
  <c r="L52" i="42"/>
  <c r="I5" i="42"/>
  <c r="E51" i="42"/>
  <c r="M274" i="42"/>
  <c r="I215" i="42"/>
  <c r="B236" i="42"/>
  <c r="H94" i="42"/>
  <c r="C60" i="42"/>
  <c r="M177" i="42"/>
  <c r="N40" i="42"/>
  <c r="R327" i="42"/>
  <c r="H209" i="42"/>
  <c r="P377" i="42"/>
  <c r="N254" i="42"/>
  <c r="J301" i="42"/>
  <c r="O399" i="42"/>
  <c r="K150" i="42"/>
  <c r="D157" i="42"/>
  <c r="R159" i="42"/>
  <c r="J303" i="42"/>
  <c r="O165" i="42"/>
  <c r="C283" i="42"/>
  <c r="F315" i="42"/>
  <c r="C111" i="42"/>
  <c r="E124" i="42"/>
  <c r="E115" i="42"/>
  <c r="Q230" i="42"/>
  <c r="D242" i="42"/>
  <c r="M253" i="42"/>
  <c r="N244" i="42"/>
  <c r="R299" i="42"/>
  <c r="D287" i="42"/>
  <c r="R53" i="42"/>
  <c r="M48" i="42"/>
  <c r="C129" i="42"/>
  <c r="P317" i="42"/>
  <c r="C260" i="42"/>
  <c r="H5" i="42"/>
  <c r="J353" i="42"/>
  <c r="O262" i="42"/>
  <c r="R236" i="42"/>
  <c r="C352" i="42"/>
  <c r="M339" i="42"/>
  <c r="K101" i="42"/>
  <c r="P400" i="42"/>
  <c r="C255" i="42"/>
  <c r="K221" i="42"/>
  <c r="B241" i="42"/>
  <c r="H152" i="42"/>
  <c r="I398" i="42"/>
  <c r="G41" i="42"/>
  <c r="L387" i="42"/>
  <c r="H232" i="42"/>
  <c r="Q243" i="42"/>
  <c r="K307" i="42"/>
  <c r="B27" i="42"/>
  <c r="M103" i="42"/>
  <c r="E361" i="42"/>
  <c r="H267" i="42"/>
  <c r="R320" i="42"/>
  <c r="K207" i="42"/>
  <c r="N152" i="42"/>
  <c r="P148" i="42"/>
  <c r="I270" i="42"/>
  <c r="O147" i="42"/>
  <c r="H321" i="42"/>
  <c r="I88" i="42"/>
  <c r="E26" i="42"/>
  <c r="P178" i="42"/>
  <c r="G395" i="42"/>
  <c r="M105" i="42"/>
  <c r="O291" i="42"/>
  <c r="R266" i="42"/>
  <c r="C286" i="42"/>
  <c r="Q206" i="42"/>
  <c r="K313" i="42"/>
  <c r="P16" i="42"/>
  <c r="O6" i="42"/>
  <c r="J279" i="42"/>
  <c r="R133" i="42"/>
  <c r="D255" i="42"/>
  <c r="D390" i="42"/>
  <c r="P244" i="42"/>
  <c r="M171" i="42"/>
  <c r="G16" i="42"/>
  <c r="I188" i="42"/>
  <c r="H141" i="42"/>
  <c r="I329" i="42"/>
  <c r="E182" i="42"/>
  <c r="H345" i="42"/>
  <c r="R148" i="42"/>
  <c r="E288" i="42"/>
  <c r="K353" i="42"/>
  <c r="N294" i="42"/>
  <c r="G33" i="42"/>
  <c r="M91" i="42"/>
  <c r="J357" i="42"/>
  <c r="O189" i="42"/>
  <c r="G10" i="42"/>
  <c r="B144" i="42"/>
  <c r="C183" i="42"/>
  <c r="N129" i="42"/>
  <c r="H235" i="42"/>
  <c r="R100" i="42"/>
  <c r="M394" i="42"/>
  <c r="R103" i="42"/>
  <c r="D324" i="42"/>
  <c r="M333" i="42"/>
  <c r="O327" i="42"/>
  <c r="K158" i="42"/>
  <c r="P137" i="42"/>
  <c r="M323" i="42"/>
  <c r="P251" i="42"/>
  <c r="O386" i="42"/>
  <c r="P74" i="42"/>
  <c r="Q162" i="42"/>
  <c r="I8" i="42"/>
  <c r="E247" i="42"/>
  <c r="D182" i="42"/>
  <c r="H297" i="42"/>
  <c r="N144" i="42"/>
  <c r="H233" i="42"/>
  <c r="F305" i="42"/>
  <c r="L385" i="42"/>
  <c r="P296" i="42"/>
  <c r="M304" i="42"/>
  <c r="O365" i="42"/>
  <c r="P363" i="42"/>
  <c r="P228" i="42"/>
  <c r="D365" i="42"/>
  <c r="E228" i="42"/>
  <c r="H110" i="42"/>
  <c r="G223" i="42"/>
  <c r="K392" i="42"/>
  <c r="J358" i="42"/>
  <c r="Q252" i="42"/>
  <c r="D350" i="42"/>
  <c r="N123" i="42"/>
  <c r="G177" i="42"/>
  <c r="O354" i="42"/>
  <c r="O312" i="42"/>
  <c r="H363" i="42"/>
  <c r="Q25" i="42"/>
  <c r="N300" i="42"/>
  <c r="C130" i="42"/>
  <c r="F4" i="42"/>
  <c r="D203" i="42"/>
  <c r="P274" i="42"/>
  <c r="C385" i="42"/>
  <c r="J242" i="42"/>
  <c r="B95" i="42"/>
  <c r="C45" i="42"/>
  <c r="O178" i="42"/>
  <c r="K269" i="42"/>
  <c r="G216" i="42"/>
  <c r="J125" i="42"/>
  <c r="B345" i="42"/>
  <c r="M219" i="42"/>
  <c r="F107" i="42"/>
  <c r="O229" i="42"/>
  <c r="H333" i="42"/>
  <c r="O31" i="42"/>
  <c r="B265" i="42"/>
  <c r="Q289" i="42"/>
  <c r="J298" i="42"/>
  <c r="O87" i="42"/>
  <c r="P347" i="42"/>
  <c r="O30" i="42"/>
  <c r="M216" i="42"/>
  <c r="J95" i="42"/>
  <c r="M21" i="42"/>
  <c r="J83" i="42"/>
  <c r="J321" i="42"/>
  <c r="D298" i="42"/>
  <c r="J247" i="42"/>
  <c r="M228" i="42"/>
  <c r="J32" i="42"/>
  <c r="H343" i="42"/>
  <c r="B322" i="42"/>
  <c r="P29" i="42"/>
  <c r="E283" i="42"/>
  <c r="F203" i="42"/>
  <c r="L287" i="42"/>
  <c r="F275" i="42"/>
  <c r="L56" i="42"/>
  <c r="J199" i="42"/>
  <c r="H151" i="42"/>
  <c r="P202" i="42"/>
  <c r="O382" i="42"/>
  <c r="L279" i="42"/>
  <c r="J345" i="42"/>
  <c r="D322" i="42"/>
  <c r="J381" i="42"/>
  <c r="I393" i="42"/>
  <c r="Q40" i="42"/>
  <c r="C85" i="42"/>
  <c r="H332" i="42"/>
  <c r="L401" i="42"/>
  <c r="G270" i="42"/>
  <c r="L316" i="42"/>
  <c r="P232" i="42"/>
  <c r="Q95" i="42"/>
  <c r="J260" i="42"/>
  <c r="K223" i="42"/>
  <c r="H173" i="42"/>
  <c r="R304" i="42"/>
  <c r="L343" i="42"/>
  <c r="L203" i="42"/>
  <c r="B150" i="42"/>
  <c r="D173" i="42"/>
  <c r="R55" i="42"/>
  <c r="H273" i="42"/>
  <c r="K14" i="42"/>
  <c r="D282" i="42"/>
  <c r="O94" i="42"/>
  <c r="Q171" i="42"/>
  <c r="H16" i="42"/>
  <c r="G52" i="42"/>
  <c r="J204" i="42"/>
  <c r="L65" i="42"/>
  <c r="Q253" i="42"/>
  <c r="E210" i="42"/>
  <c r="J251" i="42"/>
  <c r="P28" i="42"/>
  <c r="P237" i="42"/>
  <c r="P61" i="42"/>
  <c r="P379" i="42"/>
  <c r="J29" i="42"/>
  <c r="G250" i="42"/>
  <c r="O264" i="42"/>
  <c r="E363" i="42"/>
  <c r="J268" i="42"/>
  <c r="F354" i="42"/>
  <c r="O347" i="42"/>
  <c r="O204" i="42"/>
  <c r="R170" i="42"/>
  <c r="C401" i="42"/>
  <c r="I51" i="42"/>
  <c r="M270" i="42"/>
  <c r="C383" i="42"/>
  <c r="B125" i="42"/>
  <c r="L364" i="42"/>
  <c r="J344" i="42"/>
  <c r="J400" i="42"/>
  <c r="K231" i="42"/>
  <c r="D48" i="42"/>
  <c r="R54" i="42"/>
  <c r="P217" i="42"/>
  <c r="I264" i="42"/>
  <c r="C178" i="42"/>
  <c r="G149" i="42"/>
  <c r="C379" i="42"/>
  <c r="Q312" i="42"/>
  <c r="F248" i="42"/>
  <c r="B285" i="42"/>
  <c r="F245" i="42"/>
  <c r="M282" i="42"/>
  <c r="R59" i="42"/>
  <c r="R322" i="42"/>
  <c r="J222" i="42"/>
  <c r="O261" i="42"/>
  <c r="B336" i="42"/>
  <c r="O269" i="42"/>
  <c r="R308" i="42"/>
  <c r="E112" i="42"/>
  <c r="F269" i="42"/>
  <c r="O299" i="42"/>
  <c r="C5" i="42"/>
  <c r="D204" i="42"/>
  <c r="P157" i="42"/>
  <c r="G135" i="42"/>
  <c r="F186" i="42"/>
  <c r="P9" i="42"/>
  <c r="K44" i="42"/>
  <c r="P111" i="42"/>
  <c r="H392" i="42"/>
  <c r="M351" i="42"/>
  <c r="E232" i="42"/>
  <c r="E324" i="42"/>
  <c r="E30" i="42"/>
  <c r="L257" i="42"/>
  <c r="H53" i="42"/>
  <c r="Q9" i="42"/>
  <c r="P214" i="42"/>
  <c r="K355" i="42"/>
  <c r="M206" i="42"/>
  <c r="D211" i="42"/>
  <c r="Q316" i="42"/>
  <c r="F156" i="42"/>
  <c r="L354" i="42"/>
  <c r="G74" i="42"/>
  <c r="D189" i="42"/>
  <c r="G319" i="42"/>
  <c r="E200" i="42"/>
  <c r="K376" i="42"/>
  <c r="G382" i="42"/>
  <c r="C381" i="42"/>
  <c r="R146" i="42"/>
  <c r="I11" i="42"/>
  <c r="E37" i="42"/>
  <c r="L92" i="42"/>
  <c r="L120" i="42"/>
  <c r="B375" i="42"/>
  <c r="E129" i="42"/>
  <c r="P392" i="42"/>
  <c r="N282" i="42"/>
  <c r="N357" i="42"/>
  <c r="O96" i="42"/>
  <c r="B366" i="42"/>
  <c r="K326" i="42"/>
  <c r="P315" i="42"/>
  <c r="P314" i="42"/>
  <c r="J390" i="42"/>
  <c r="N167" i="42"/>
  <c r="F98" i="42"/>
  <c r="J363" i="42"/>
  <c r="M366" i="42"/>
  <c r="M279" i="42"/>
  <c r="G13" i="42"/>
  <c r="K95" i="42"/>
  <c r="J369" i="42"/>
  <c r="M55" i="42"/>
  <c r="I162" i="42"/>
  <c r="B86" i="42"/>
  <c r="H366" i="42"/>
  <c r="K300" i="42"/>
  <c r="Q97" i="42"/>
  <c r="B129" i="42"/>
  <c r="F310" i="42"/>
  <c r="L321" i="42"/>
  <c r="O226" i="42"/>
  <c r="J225" i="42"/>
  <c r="H346" i="42"/>
  <c r="O202" i="42"/>
  <c r="C19" i="42"/>
  <c r="D374" i="42"/>
  <c r="C82" i="42"/>
  <c r="P245" i="42"/>
  <c r="M85" i="42"/>
  <c r="F15" i="42"/>
  <c r="Q331" i="42"/>
  <c r="L245" i="42"/>
  <c r="E305" i="42"/>
  <c r="H231" i="42"/>
  <c r="R283" i="42"/>
  <c r="L301" i="42"/>
  <c r="D111" i="42"/>
  <c r="G249" i="42"/>
  <c r="H238" i="42"/>
  <c r="L350" i="42"/>
  <c r="P221" i="42"/>
  <c r="J39" i="42"/>
  <c r="L132" i="42"/>
  <c r="J306" i="42"/>
  <c r="I146" i="42"/>
  <c r="G300" i="42"/>
  <c r="P331" i="42"/>
  <c r="O21" i="42"/>
  <c r="I141" i="42"/>
  <c r="I261" i="42"/>
  <c r="B93" i="42"/>
  <c r="K280" i="42"/>
  <c r="P341" i="42"/>
  <c r="Q370" i="42"/>
  <c r="M221" i="42"/>
  <c r="R247" i="42"/>
  <c r="K208" i="42"/>
  <c r="F345" i="42"/>
  <c r="P371" i="42"/>
  <c r="E119" i="42"/>
  <c r="I106" i="42"/>
  <c r="K254" i="42"/>
  <c r="Q322" i="42"/>
  <c r="J366" i="42"/>
  <c r="Q220" i="42"/>
  <c r="Q337" i="42"/>
  <c r="F342" i="42"/>
  <c r="L261" i="42"/>
  <c r="I116" i="42"/>
  <c r="Q141" i="42"/>
  <c r="H167" i="42"/>
  <c r="O111" i="42"/>
  <c r="L329" i="42"/>
  <c r="M355" i="42"/>
  <c r="R107" i="42"/>
  <c r="J139" i="42"/>
  <c r="N278" i="42"/>
  <c r="J377" i="42"/>
  <c r="O61" i="42"/>
  <c r="G359" i="42"/>
  <c r="G379" i="42"/>
  <c r="B53" i="42"/>
  <c r="Q339" i="42"/>
  <c r="L251" i="42"/>
  <c r="C292" i="42"/>
  <c r="O84" i="42"/>
  <c r="I333" i="42"/>
  <c r="M160" i="42"/>
  <c r="C324" i="42"/>
  <c r="G361" i="42"/>
  <c r="L398" i="42"/>
  <c r="C10" i="42"/>
  <c r="I25" i="42"/>
  <c r="F280" i="42"/>
  <c r="C293" i="42"/>
  <c r="G330" i="42"/>
  <c r="G202" i="42"/>
  <c r="F360" i="42"/>
  <c r="K305" i="42"/>
  <c r="B32" i="42"/>
  <c r="N85" i="42"/>
  <c r="N342" i="42"/>
  <c r="B275" i="42"/>
  <c r="J46" i="42"/>
  <c r="P113" i="42"/>
  <c r="R61" i="42"/>
  <c r="J181" i="42"/>
  <c r="J272" i="42"/>
  <c r="C150" i="42"/>
  <c r="G172" i="42"/>
  <c r="H128" i="42"/>
  <c r="H43" i="42"/>
  <c r="L102" i="42"/>
  <c r="B122" i="42"/>
  <c r="G170" i="42"/>
  <c r="F120" i="42"/>
  <c r="J367" i="42"/>
  <c r="G324" i="42"/>
  <c r="C400" i="42"/>
  <c r="R8" i="42"/>
  <c r="H84" i="42"/>
  <c r="E342" i="42"/>
  <c r="Q395" i="42"/>
  <c r="O400" i="42"/>
  <c r="J375" i="42"/>
  <c r="P220" i="42"/>
  <c r="B290" i="42"/>
  <c r="G196" i="42"/>
  <c r="Q247" i="42"/>
  <c r="H311" i="42"/>
  <c r="D257" i="42"/>
  <c r="R18" i="42"/>
  <c r="G393" i="42"/>
  <c r="F389" i="42"/>
  <c r="K137" i="42"/>
  <c r="Q18" i="42"/>
  <c r="Q47" i="42"/>
  <c r="N383" i="42"/>
  <c r="D40" i="42"/>
  <c r="G144" i="42"/>
  <c r="M400" i="42"/>
  <c r="K379" i="42"/>
  <c r="N275" i="42"/>
  <c r="O363" i="42"/>
  <c r="E17" i="42"/>
  <c r="F327" i="42"/>
  <c r="H178" i="42"/>
  <c r="I200" i="42"/>
  <c r="P31" i="42"/>
  <c r="C280" i="42"/>
  <c r="E304" i="42"/>
  <c r="J206" i="42"/>
  <c r="G97" i="42"/>
  <c r="H218" i="42"/>
  <c r="K345" i="42"/>
  <c r="H293" i="42"/>
  <c r="R365" i="42"/>
  <c r="C377" i="42"/>
  <c r="F355" i="42"/>
  <c r="F370" i="42"/>
  <c r="C394" i="42"/>
  <c r="P287" i="42"/>
  <c r="K372" i="42"/>
  <c r="Q8" i="42"/>
  <c r="K144" i="42"/>
  <c r="O311" i="42"/>
  <c r="B88" i="42"/>
  <c r="H214" i="42"/>
  <c r="J243" i="42"/>
  <c r="E330" i="42"/>
  <c r="M258" i="42"/>
  <c r="E326" i="42"/>
  <c r="H26" i="42"/>
  <c r="N35" i="42"/>
  <c r="N23" i="42"/>
  <c r="F76" i="42"/>
  <c r="Q144" i="42"/>
  <c r="P173" i="42"/>
  <c r="C36" i="42"/>
  <c r="K246" i="42"/>
  <c r="I36" i="42"/>
  <c r="O167" i="42"/>
  <c r="R256" i="42"/>
  <c r="B291" i="42"/>
  <c r="J112" i="42"/>
  <c r="D19" i="42"/>
  <c r="N79" i="42"/>
  <c r="O26" i="42"/>
  <c r="R366" i="42"/>
  <c r="R392" i="42"/>
  <c r="B29" i="42"/>
  <c r="F6" i="42"/>
  <c r="M316" i="42"/>
  <c r="P311" i="42"/>
  <c r="N322" i="42"/>
  <c r="P318" i="42"/>
  <c r="J253" i="42"/>
  <c r="E14" i="42"/>
  <c r="J119" i="42"/>
  <c r="D299" i="42"/>
  <c r="C263" i="42"/>
  <c r="P271" i="42"/>
  <c r="F184" i="42"/>
  <c r="I229" i="42"/>
  <c r="L330" i="42"/>
  <c r="E327" i="42"/>
  <c r="B302" i="42"/>
  <c r="F301" i="42"/>
  <c r="L312" i="42"/>
  <c r="L327" i="42"/>
  <c r="K135" i="42"/>
  <c r="K275" i="42"/>
  <c r="D339" i="42"/>
  <c r="E223" i="42"/>
  <c r="O280" i="42"/>
  <c r="H292" i="42"/>
  <c r="L303" i="42"/>
  <c r="I60" i="42"/>
  <c r="G183" i="42"/>
  <c r="E335" i="42"/>
  <c r="C341" i="42"/>
  <c r="M384" i="42"/>
  <c r="L285" i="42"/>
  <c r="F321" i="42"/>
  <c r="P375" i="42"/>
  <c r="Q365" i="42"/>
  <c r="M297" i="42"/>
  <c r="G111" i="42"/>
  <c r="N381" i="42"/>
  <c r="C231" i="42"/>
  <c r="N227" i="42"/>
  <c r="P345" i="42"/>
  <c r="G233" i="42"/>
  <c r="G198" i="42"/>
  <c r="C396" i="42"/>
  <c r="H388" i="42"/>
  <c r="G323" i="42"/>
  <c r="N368" i="42"/>
  <c r="E10" i="42"/>
  <c r="Q84" i="42"/>
  <c r="I265" i="42"/>
  <c r="R290" i="42"/>
  <c r="J19" i="42"/>
  <c r="F43" i="42"/>
  <c r="I189" i="42"/>
  <c r="L174" i="42"/>
  <c r="C173" i="42"/>
  <c r="P337" i="42"/>
  <c r="G305" i="42"/>
  <c r="G402" i="42"/>
  <c r="Q124" i="42"/>
  <c r="R346" i="42"/>
  <c r="F136" i="42"/>
  <c r="B111" i="42"/>
  <c r="O88" i="42"/>
  <c r="O246" i="42"/>
  <c r="F320" i="42"/>
  <c r="N124" i="42"/>
  <c r="G12" i="42"/>
  <c r="E381" i="42"/>
  <c r="H372" i="42"/>
  <c r="M328" i="42"/>
  <c r="C84" i="42"/>
  <c r="M299" i="42"/>
  <c r="O168" i="42"/>
  <c r="O338" i="42"/>
  <c r="P243" i="42"/>
  <c r="E150" i="42"/>
  <c r="D289" i="42"/>
  <c r="Q269" i="42"/>
  <c r="G5" i="42"/>
  <c r="O283" i="42"/>
  <c r="B392" i="42"/>
  <c r="I353" i="42"/>
  <c r="H307" i="42"/>
  <c r="G115" i="42"/>
  <c r="D258" i="42"/>
  <c r="L128" i="42"/>
  <c r="N361" i="42"/>
  <c r="Q120" i="42"/>
  <c r="H187" i="42"/>
  <c r="Q191" i="42"/>
  <c r="C359" i="42"/>
  <c r="P356" i="42"/>
  <c r="K319" i="42"/>
  <c r="K253" i="42"/>
  <c r="N290" i="42"/>
  <c r="P357" i="42"/>
  <c r="D251" i="42"/>
  <c r="N43" i="42"/>
  <c r="J380" i="42"/>
  <c r="M252" i="42"/>
  <c r="D37" i="42"/>
  <c r="M159" i="42"/>
  <c r="O256" i="42"/>
  <c r="N236" i="42"/>
  <c r="M402" i="42"/>
  <c r="L172" i="42"/>
  <c r="J141" i="42"/>
  <c r="J374" i="42"/>
  <c r="H338" i="42"/>
  <c r="P361" i="42"/>
  <c r="N382" i="42"/>
  <c r="E299" i="42"/>
  <c r="J82" i="42"/>
  <c r="Q374" i="42"/>
  <c r="J252" i="42"/>
  <c r="J236" i="42"/>
  <c r="J383" i="42"/>
  <c r="N172" i="42"/>
  <c r="B259" i="42"/>
  <c r="M212" i="42"/>
  <c r="I75" i="42"/>
  <c r="D161" i="42"/>
  <c r="N97" i="42"/>
  <c r="C267" i="42"/>
  <c r="M395" i="42"/>
  <c r="F361" i="42"/>
  <c r="G274" i="42"/>
  <c r="Q107" i="42"/>
  <c r="R356" i="42"/>
  <c r="C307" i="42"/>
  <c r="B46" i="42"/>
  <c r="E365" i="42"/>
  <c r="F189" i="42"/>
  <c r="L88" i="42"/>
  <c r="B169" i="42"/>
  <c r="Q10" i="42"/>
  <c r="P227" i="42"/>
  <c r="D241" i="42"/>
  <c r="N158" i="42"/>
  <c r="C27" i="42"/>
  <c r="L168" i="42"/>
  <c r="F53" i="42"/>
  <c r="L339" i="42"/>
  <c r="I363" i="42"/>
  <c r="E63" i="42"/>
  <c r="I284" i="42"/>
  <c r="E352" i="42"/>
  <c r="O284" i="42"/>
  <c r="P239" i="42"/>
  <c r="Q121" i="42"/>
  <c r="P259" i="42"/>
  <c r="K230" i="42"/>
  <c r="F101" i="42"/>
  <c r="G357" i="42"/>
  <c r="C106" i="42"/>
  <c r="L11" i="42"/>
  <c r="K386" i="42"/>
  <c r="C329" i="42"/>
  <c r="Q260" i="42"/>
  <c r="I383" i="42"/>
  <c r="K255" i="42"/>
  <c r="G45" i="42"/>
  <c r="D376" i="42"/>
  <c r="H60" i="42"/>
  <c r="R29" i="42"/>
  <c r="H264" i="42"/>
  <c r="H99" i="42"/>
  <c r="Q263" i="42"/>
  <c r="M106" i="42"/>
  <c r="J163" i="42"/>
  <c r="I377" i="42"/>
  <c r="M98" i="42"/>
  <c r="J255" i="42"/>
  <c r="K47" i="42"/>
  <c r="L288" i="42"/>
  <c r="P256" i="42"/>
  <c r="F232" i="42"/>
  <c r="D102" i="42"/>
  <c r="L247" i="42"/>
  <c r="F56" i="42"/>
  <c r="G239" i="42"/>
  <c r="B159" i="42"/>
  <c r="L184" i="42"/>
  <c r="C332" i="42"/>
  <c r="K171" i="42"/>
  <c r="H391" i="42"/>
  <c r="K48" i="42"/>
  <c r="G350" i="42"/>
  <c r="J277" i="42"/>
  <c r="C220" i="42"/>
  <c r="L367" i="42"/>
  <c r="E234" i="42"/>
  <c r="R278" i="42"/>
  <c r="G277" i="42"/>
  <c r="G344" i="42"/>
  <c r="I293" i="42"/>
  <c r="H256" i="42"/>
  <c r="E394" i="42"/>
  <c r="G241" i="42"/>
  <c r="D196" i="42"/>
  <c r="R287" i="42"/>
  <c r="N316" i="42"/>
  <c r="I33" i="42"/>
  <c r="G112" i="42"/>
  <c r="N221" i="42"/>
  <c r="Q150" i="42"/>
  <c r="M244" i="42"/>
  <c r="H80" i="42"/>
  <c r="O203" i="42"/>
  <c r="O279" i="42"/>
  <c r="L154" i="42"/>
  <c r="L402" i="42"/>
  <c r="R75" i="42"/>
  <c r="P57" i="42"/>
  <c r="B41" i="42"/>
  <c r="G364" i="42"/>
  <c r="Q21" i="42"/>
  <c r="O393" i="42"/>
  <c r="E53" i="42"/>
  <c r="F200" i="42"/>
  <c r="B249" i="42"/>
  <c r="J117" i="42"/>
  <c r="O398" i="42"/>
  <c r="C288" i="42"/>
  <c r="D259" i="42"/>
  <c r="B253" i="42"/>
  <c r="D264" i="42"/>
  <c r="K391" i="42"/>
  <c r="R198" i="42"/>
  <c r="M62" i="42"/>
  <c r="G121" i="42"/>
  <c r="M278" i="42"/>
  <c r="F261" i="42"/>
  <c r="D35" i="42"/>
  <c r="J355" i="42"/>
  <c r="D34" i="42"/>
  <c r="D107" i="42"/>
  <c r="R185" i="42"/>
  <c r="B316" i="42"/>
  <c r="D319" i="42"/>
  <c r="L130" i="42"/>
  <c r="L47" i="42"/>
  <c r="R332" i="42"/>
  <c r="R348" i="42"/>
  <c r="L27" i="42"/>
  <c r="P374" i="42"/>
  <c r="C269" i="42"/>
  <c r="J320" i="42"/>
  <c r="P69" i="42"/>
  <c r="Q302" i="42"/>
  <c r="O91" i="42"/>
  <c r="J229" i="42"/>
  <c r="F398" i="42"/>
  <c r="F379" i="42"/>
  <c r="D55" i="42"/>
  <c r="D68" i="42"/>
  <c r="G163" i="42"/>
  <c r="L238" i="42"/>
  <c r="M123" i="42"/>
  <c r="L231" i="42"/>
  <c r="J179" i="42"/>
  <c r="C391" i="42"/>
  <c r="P34" i="42"/>
  <c r="B15" i="42"/>
  <c r="E102" i="42"/>
  <c r="J214" i="42"/>
  <c r="I220" i="42"/>
  <c r="C261" i="42"/>
  <c r="K291" i="42"/>
  <c r="B176" i="42"/>
  <c r="E315" i="42"/>
  <c r="L237" i="42"/>
  <c r="G345" i="42"/>
  <c r="E57" i="42"/>
  <c r="O190" i="42"/>
  <c r="K149" i="42"/>
  <c r="F368" i="42"/>
  <c r="Q200" i="42"/>
  <c r="G365" i="42"/>
  <c r="J200" i="42"/>
  <c r="J352" i="42"/>
  <c r="G56" i="42"/>
  <c r="B325" i="42"/>
  <c r="J250" i="42"/>
  <c r="C232" i="42"/>
  <c r="I302" i="42"/>
  <c r="B97" i="42"/>
  <c r="Q354" i="42"/>
  <c r="L180" i="42"/>
  <c r="L266" i="42"/>
  <c r="B224" i="42"/>
  <c r="I337" i="42"/>
  <c r="C12" i="42"/>
  <c r="P401" i="42"/>
  <c r="E127" i="42"/>
  <c r="C175" i="42"/>
  <c r="G43" i="42"/>
  <c r="R396" i="42"/>
  <c r="L107" i="42"/>
  <c r="K177" i="42"/>
  <c r="R81" i="42"/>
  <c r="G210" i="42"/>
  <c r="E292" i="42"/>
  <c r="G105" i="42"/>
  <c r="E64" i="42"/>
  <c r="J263" i="42"/>
  <c r="F290" i="42"/>
  <c r="N350" i="42"/>
  <c r="L103" i="42"/>
  <c r="B269" i="42"/>
  <c r="R389" i="42"/>
  <c r="C81" i="42"/>
  <c r="H40" i="42"/>
  <c r="C244" i="42"/>
  <c r="M371" i="42"/>
  <c r="C238" i="42"/>
  <c r="F74" i="42"/>
  <c r="C143" i="42"/>
  <c r="O234" i="42"/>
  <c r="C198" i="42"/>
  <c r="H156" i="42"/>
  <c r="O51" i="42"/>
  <c r="L17" i="42"/>
  <c r="C93" i="42"/>
  <c r="M303" i="42"/>
  <c r="I103" i="42"/>
  <c r="M234" i="42"/>
  <c r="M356" i="42"/>
  <c r="D130" i="42"/>
  <c r="D272" i="42"/>
  <c r="Q16" i="42"/>
  <c r="G225" i="42"/>
  <c r="F273" i="42"/>
  <c r="L236" i="42"/>
  <c r="J249" i="42"/>
  <c r="F211" i="42"/>
  <c r="J351" i="42"/>
  <c r="J133" i="42"/>
  <c r="M97" i="42"/>
  <c r="B36" i="42"/>
  <c r="G142" i="42"/>
  <c r="R358" i="42"/>
  <c r="I259" i="42"/>
  <c r="E184" i="42"/>
  <c r="O39" i="42"/>
  <c r="H223" i="42"/>
  <c r="M193" i="42"/>
  <c r="D300" i="42"/>
  <c r="H360" i="42"/>
  <c r="L228" i="42"/>
  <c r="J318" i="42"/>
  <c r="O34" i="42"/>
  <c r="Q298" i="42"/>
  <c r="E181" i="42"/>
  <c r="K138" i="42"/>
  <c r="L66" i="42"/>
  <c r="L225" i="42"/>
  <c r="R305" i="42"/>
  <c r="G247" i="42"/>
  <c r="D86" i="42"/>
  <c r="L31" i="42"/>
  <c r="N353" i="42"/>
  <c r="E163" i="42"/>
  <c r="D59" i="42"/>
  <c r="L280" i="42"/>
  <c r="F377" i="42"/>
  <c r="C241" i="42"/>
  <c r="H226" i="42"/>
  <c r="E392" i="42"/>
  <c r="J69" i="42"/>
  <c r="H309" i="42"/>
  <c r="M50" i="42"/>
  <c r="B398" i="42"/>
  <c r="J343" i="42"/>
  <c r="G264" i="42"/>
  <c r="M327" i="42"/>
  <c r="B155" i="42"/>
  <c r="F244" i="42"/>
  <c r="K252" i="42"/>
  <c r="K340" i="42"/>
  <c r="G175" i="42"/>
  <c r="G272" i="42"/>
  <c r="L349" i="42"/>
  <c r="C313" i="42"/>
  <c r="N175" i="42"/>
  <c r="O95" i="42"/>
  <c r="I366" i="42"/>
  <c r="N127" i="42"/>
  <c r="J312" i="42"/>
  <c r="L235" i="42"/>
  <c r="G49" i="42"/>
  <c r="L322" i="42"/>
  <c r="Q118" i="42"/>
  <c r="G278" i="42"/>
  <c r="P67" i="42"/>
  <c r="I233" i="42"/>
  <c r="I269" i="42"/>
  <c r="J103" i="42"/>
  <c r="R360" i="42"/>
  <c r="Q219" i="42"/>
  <c r="L314" i="42"/>
  <c r="K247" i="42"/>
  <c r="M26" i="42"/>
  <c r="Q237" i="42"/>
  <c r="H316" i="42"/>
  <c r="B74" i="42"/>
  <c r="Q87" i="42"/>
  <c r="Q222" i="42"/>
  <c r="Q52" i="42"/>
  <c r="H393" i="42"/>
  <c r="K62" i="42"/>
  <c r="O101" i="42"/>
  <c r="K15" i="42"/>
  <c r="N311" i="42"/>
  <c r="R310" i="42"/>
  <c r="K131" i="42"/>
  <c r="G352" i="42"/>
  <c r="D364" i="42"/>
  <c r="G338" i="42"/>
  <c r="J12" i="42"/>
  <c r="F113" i="42"/>
  <c r="D69" i="42"/>
  <c r="N262" i="42"/>
  <c r="Q12" i="42"/>
  <c r="J293" i="42"/>
  <c r="C100" i="42"/>
  <c r="N45" i="42"/>
  <c r="J28" i="42"/>
  <c r="N160" i="42"/>
  <c r="F382" i="42"/>
  <c r="D296" i="42"/>
  <c r="M306" i="42"/>
  <c r="E293" i="42"/>
  <c r="O158" i="42"/>
  <c r="C75" i="42"/>
  <c r="E230" i="42"/>
  <c r="M185" i="42"/>
  <c r="K92" i="42"/>
  <c r="J170" i="42"/>
  <c r="H140" i="42"/>
  <c r="N156" i="42"/>
  <c r="N142" i="42"/>
  <c r="F388" i="42"/>
  <c r="M363" i="42"/>
  <c r="G342" i="42"/>
  <c r="I244" i="42"/>
  <c r="Q275" i="42"/>
  <c r="C380" i="42"/>
  <c r="F278" i="42"/>
  <c r="N364" i="42"/>
  <c r="L6" i="42"/>
  <c r="Q276" i="42"/>
  <c r="D93" i="42"/>
  <c r="Q70" i="42"/>
  <c r="N64" i="42"/>
  <c r="N327" i="42"/>
  <c r="N199" i="42"/>
  <c r="Q352" i="42"/>
  <c r="D394" i="42"/>
  <c r="J258" i="42"/>
  <c r="M230" i="42"/>
  <c r="N209" i="42"/>
  <c r="E12" i="42"/>
  <c r="R258" i="42"/>
  <c r="Q341" i="42"/>
  <c r="K369" i="42"/>
  <c r="D109" i="42"/>
  <c r="G369" i="42"/>
  <c r="I251" i="42"/>
  <c r="F36" i="42"/>
  <c r="N217" i="42"/>
  <c r="N332" i="42"/>
  <c r="M329" i="42"/>
  <c r="I43" i="42"/>
  <c r="D256" i="42"/>
  <c r="C127" i="42"/>
  <c r="F19" i="42"/>
  <c r="H204" i="42"/>
  <c r="N371" i="42"/>
  <c r="K352" i="42"/>
  <c r="C252" i="42"/>
  <c r="B140" i="42"/>
  <c r="R13" i="42"/>
  <c r="P126" i="42"/>
  <c r="H251" i="42"/>
  <c r="L9" i="42"/>
  <c r="C41" i="42"/>
  <c r="P139" i="42"/>
  <c r="E371" i="42"/>
  <c r="K75" i="42"/>
  <c r="E221" i="42"/>
  <c r="B55" i="42"/>
  <c r="I367" i="42"/>
  <c r="L270" i="42"/>
  <c r="P248" i="42"/>
  <c r="E253" i="42"/>
  <c r="N75" i="42"/>
  <c r="L123" i="42"/>
  <c r="J140" i="42"/>
  <c r="M267" i="42"/>
  <c r="Q368" i="42"/>
  <c r="D219" i="42"/>
  <c r="B214" i="42"/>
  <c r="N289" i="42"/>
  <c r="B400" i="42"/>
  <c r="N271" i="42"/>
  <c r="M276" i="42"/>
  <c r="C135" i="42"/>
  <c r="I394" i="42"/>
  <c r="D276" i="42"/>
  <c r="J109" i="42"/>
  <c r="O45" i="42"/>
  <c r="D180" i="42"/>
  <c r="H132" i="42"/>
  <c r="Q241" i="42"/>
  <c r="N398" i="42"/>
  <c r="K259" i="42"/>
  <c r="K354" i="42"/>
  <c r="R378" i="42"/>
  <c r="B6" i="42"/>
  <c r="H300" i="42"/>
  <c r="R352" i="42"/>
  <c r="K235" i="42"/>
  <c r="L232" i="42"/>
  <c r="R242" i="42"/>
  <c r="L371" i="42"/>
  <c r="P257" i="42"/>
  <c r="N390" i="42"/>
  <c r="F246" i="42"/>
  <c r="P339" i="42"/>
  <c r="F163" i="42"/>
  <c r="P5" i="42"/>
  <c r="I360" i="42"/>
  <c r="M324" i="42"/>
  <c r="H383" i="42"/>
  <c r="G290" i="42"/>
  <c r="E267" i="42"/>
  <c r="N135" i="42"/>
  <c r="C371" i="42"/>
  <c r="D370" i="42"/>
  <c r="H148" i="42"/>
  <c r="B330" i="42"/>
  <c r="Q195" i="42"/>
  <c r="H61" i="42"/>
  <c r="L281" i="42"/>
  <c r="P142" i="42"/>
  <c r="L274" i="42"/>
  <c r="F50" i="42"/>
  <c r="J256" i="42"/>
  <c r="P365" i="42"/>
  <c r="B48" i="42"/>
  <c r="K290" i="42"/>
  <c r="B298" i="42"/>
  <c r="P380" i="42"/>
  <c r="N76" i="42"/>
  <c r="I48" i="42"/>
  <c r="G237" i="42"/>
  <c r="H308" i="42"/>
  <c r="M238" i="42"/>
  <c r="O192" i="42"/>
  <c r="L26" i="42"/>
  <c r="R62" i="42"/>
  <c r="Q318" i="42"/>
  <c r="M148" i="42"/>
  <c r="D275" i="42"/>
  <c r="I385" i="42"/>
  <c r="D108" i="42"/>
  <c r="J282" i="42"/>
  <c r="E282" i="42"/>
  <c r="M12" i="42"/>
  <c r="H97" i="42"/>
  <c r="O348" i="42"/>
  <c r="O272" i="42"/>
  <c r="B42" i="42"/>
  <c r="F391" i="42"/>
  <c r="F183" i="42"/>
  <c r="I227" i="42"/>
  <c r="D31" i="42"/>
  <c r="L176" i="42"/>
  <c r="P154" i="42"/>
  <c r="D226" i="42"/>
  <c r="L393" i="42"/>
  <c r="Q46" i="42"/>
  <c r="P242" i="42"/>
  <c r="P376" i="42"/>
  <c r="Q353" i="42"/>
  <c r="M226" i="42"/>
  <c r="L359" i="42"/>
  <c r="F376" i="42"/>
  <c r="C393" i="42"/>
  <c r="C254" i="42"/>
  <c r="F52" i="42"/>
  <c r="K271" i="42"/>
  <c r="E331" i="42"/>
  <c r="C86" i="42"/>
  <c r="Q363" i="42"/>
  <c r="D384" i="42"/>
  <c r="D248" i="42"/>
  <c r="D305" i="42"/>
  <c r="I357" i="42"/>
  <c r="H182" i="42"/>
  <c r="N287" i="42"/>
  <c r="R313" i="42"/>
  <c r="R37" i="42"/>
  <c r="O68" i="42"/>
  <c r="C18" i="42"/>
  <c r="L71" i="42"/>
  <c r="N130" i="42"/>
  <c r="F281" i="42"/>
  <c r="K314" i="42"/>
  <c r="D216" i="42"/>
  <c r="N94" i="42"/>
  <c r="P277" i="42"/>
  <c r="I341" i="42"/>
  <c r="I352" i="42"/>
  <c r="K324" i="42"/>
  <c r="K390" i="42"/>
  <c r="L170" i="42"/>
  <c r="J266" i="42"/>
  <c r="E81" i="42"/>
  <c r="E218" i="42"/>
  <c r="P160" i="42"/>
  <c r="C276" i="42"/>
  <c r="B272" i="42"/>
  <c r="C297" i="42"/>
  <c r="Q140" i="42"/>
  <c r="E197" i="42"/>
  <c r="D252" i="42"/>
  <c r="Q113" i="42"/>
  <c r="J211" i="42"/>
  <c r="N394" i="42"/>
  <c r="P120" i="42"/>
  <c r="L307" i="42"/>
  <c r="M360" i="42"/>
  <c r="F91" i="42"/>
  <c r="O17" i="42"/>
  <c r="L217" i="42"/>
  <c r="D220" i="42"/>
  <c r="M24" i="42"/>
  <c r="P198" i="42"/>
  <c r="O236" i="42"/>
  <c r="B61" i="42"/>
  <c r="B134" i="42"/>
  <c r="B399" i="42"/>
  <c r="H138" i="42"/>
  <c r="R144" i="42"/>
  <c r="O227" i="42"/>
  <c r="M178" i="42"/>
  <c r="H368" i="42"/>
  <c r="M266" i="42"/>
  <c r="Q384" i="42"/>
  <c r="E170" i="42"/>
  <c r="N31" i="42"/>
  <c r="K102" i="42"/>
  <c r="K179" i="42"/>
  <c r="K24" i="42"/>
  <c r="O383" i="42"/>
  <c r="O237" i="42"/>
  <c r="L45" i="42"/>
  <c r="F277" i="42"/>
  <c r="L193" i="42"/>
  <c r="L15" i="42"/>
  <c r="R374" i="42"/>
  <c r="K29" i="42"/>
  <c r="L49" i="42"/>
  <c r="H373" i="42"/>
  <c r="H95" i="42"/>
  <c r="N356" i="42"/>
  <c r="N148" i="42"/>
  <c r="B142" i="42"/>
  <c r="R288" i="42"/>
  <c r="E391" i="42"/>
  <c r="C296" i="42"/>
  <c r="O197" i="42"/>
  <c r="I159" i="42"/>
  <c r="J276" i="42"/>
  <c r="L42" i="42"/>
  <c r="G380" i="42"/>
  <c r="M156" i="42"/>
  <c r="C346" i="42"/>
  <c r="P307" i="42"/>
  <c r="L389" i="42"/>
  <c r="O169" i="42"/>
  <c r="M149" i="42"/>
  <c r="H305" i="42"/>
  <c r="R40" i="42"/>
  <c r="E360" i="42"/>
  <c r="I14" i="42"/>
  <c r="P204" i="42"/>
  <c r="B286" i="42"/>
  <c r="F367" i="42"/>
  <c r="G227" i="42"/>
  <c r="Q152" i="42"/>
  <c r="O301" i="42"/>
  <c r="K220" i="42"/>
  <c r="L144" i="42"/>
  <c r="N309" i="42"/>
  <c r="G392" i="42"/>
  <c r="B219" i="42"/>
  <c r="N340" i="42"/>
  <c r="L318" i="42"/>
  <c r="P395" i="42"/>
  <c r="D244" i="42"/>
  <c r="L24" i="42"/>
  <c r="N255" i="42"/>
  <c r="I342" i="42"/>
  <c r="G81" i="42"/>
  <c r="Q283" i="42"/>
  <c r="K35" i="42"/>
  <c r="E273" i="42"/>
  <c r="O385" i="42"/>
  <c r="J61" i="42"/>
  <c r="E254" i="42"/>
  <c r="G367" i="42"/>
  <c r="Q271" i="42"/>
  <c r="J379" i="42"/>
  <c r="R275" i="42"/>
  <c r="O66" i="42"/>
  <c r="D246" i="42"/>
  <c r="M56" i="42"/>
  <c r="P273" i="42"/>
  <c r="D139" i="42"/>
  <c r="Q103" i="42"/>
  <c r="C138" i="42"/>
  <c r="N252" i="42"/>
  <c r="K113" i="42"/>
  <c r="J176" i="42"/>
  <c r="L394" i="42"/>
  <c r="E258" i="42"/>
  <c r="P132" i="42"/>
  <c r="K263" i="42"/>
  <c r="L296" i="42"/>
  <c r="N296" i="42"/>
  <c r="Q345" i="42"/>
  <c r="O372" i="42"/>
  <c r="C4" i="42"/>
  <c r="D396" i="42"/>
  <c r="E36" i="42"/>
  <c r="H201" i="42"/>
  <c r="G284" i="42"/>
  <c r="F222" i="42"/>
  <c r="C311" i="42"/>
  <c r="I201" i="42"/>
  <c r="J78" i="42"/>
  <c r="O220" i="42"/>
  <c r="R370" i="42"/>
  <c r="I218" i="42"/>
  <c r="J284" i="42"/>
  <c r="I78" i="42"/>
  <c r="H382" i="42"/>
  <c r="N26" i="42"/>
  <c r="K265" i="42"/>
  <c r="O304" i="42"/>
  <c r="G388" i="42"/>
  <c r="M231" i="42"/>
  <c r="Q37" i="42"/>
  <c r="G86" i="42"/>
  <c r="F242" i="42"/>
  <c r="M240" i="42"/>
  <c r="O140" i="42"/>
  <c r="K173" i="42"/>
  <c r="N352" i="42"/>
  <c r="D262" i="42"/>
  <c r="N248" i="42"/>
  <c r="N65" i="42"/>
  <c r="K236" i="42"/>
  <c r="J295" i="42"/>
  <c r="D338" i="42"/>
  <c r="D39" i="42"/>
  <c r="N241" i="42"/>
  <c r="B233" i="42"/>
  <c r="B130" i="42"/>
  <c r="L21" i="42"/>
  <c r="H210" i="42"/>
  <c r="G399" i="42"/>
  <c r="B200" i="42"/>
  <c r="D32" i="42"/>
  <c r="H341" i="42"/>
  <c r="P312" i="42"/>
  <c r="C354" i="42"/>
  <c r="D399" i="42"/>
  <c r="R90" i="42"/>
  <c r="P50" i="42"/>
  <c r="F225" i="42"/>
  <c r="D49" i="42"/>
  <c r="D119" i="42"/>
  <c r="M168" i="42"/>
  <c r="B270" i="42"/>
  <c r="H353" i="42"/>
  <c r="C282" i="42"/>
  <c r="K323" i="42"/>
  <c r="H355" i="42"/>
  <c r="H243" i="42"/>
  <c r="C308" i="42"/>
  <c r="N341" i="42"/>
  <c r="G140" i="42"/>
  <c r="P344" i="42"/>
  <c r="N25" i="42"/>
  <c r="P368" i="42"/>
  <c r="C300" i="42"/>
  <c r="D380" i="42"/>
  <c r="G54" i="42"/>
  <c r="P121" i="42"/>
  <c r="I306" i="42"/>
  <c r="H331" i="42"/>
  <c r="K7" i="42"/>
  <c r="M308" i="42"/>
  <c r="L255" i="42"/>
  <c r="K262" i="42"/>
  <c r="N188" i="42"/>
  <c r="E229" i="42"/>
  <c r="K380" i="42"/>
  <c r="G195" i="42"/>
  <c r="E183" i="42"/>
  <c r="O102" i="42"/>
  <c r="R397" i="42"/>
  <c r="E156" i="42"/>
  <c r="C284" i="42"/>
  <c r="F31" i="42"/>
  <c r="N261" i="42"/>
  <c r="H377" i="42"/>
  <c r="B10" i="42"/>
  <c r="F288" i="42"/>
  <c r="E70" i="42"/>
  <c r="N197" i="42"/>
  <c r="N358" i="42"/>
  <c r="R177" i="42"/>
  <c r="K358" i="42"/>
  <c r="P96" i="42"/>
  <c r="O377" i="42"/>
  <c r="P229" i="42"/>
  <c r="C152" i="42"/>
  <c r="I145" i="42"/>
  <c r="B381" i="42"/>
  <c r="K365" i="42"/>
  <c r="B239" i="42"/>
  <c r="R339" i="42"/>
  <c r="F7" i="42"/>
  <c r="H19" i="42"/>
  <c r="Q88" i="42"/>
  <c r="N67" i="42"/>
  <c r="R208" i="42"/>
  <c r="O223" i="42"/>
  <c r="H34" i="42"/>
  <c r="N274" i="42"/>
  <c r="M361" i="42"/>
  <c r="I164" i="42"/>
  <c r="E303" i="42"/>
  <c r="C50" i="42"/>
  <c r="D337" i="42"/>
  <c r="P219" i="42"/>
  <c r="J296" i="42"/>
  <c r="O358" i="42"/>
  <c r="F334" i="42"/>
  <c r="B374" i="42"/>
  <c r="K266" i="42"/>
  <c r="B320" i="42"/>
  <c r="Q299" i="42"/>
  <c r="J102" i="42"/>
  <c r="M289" i="42"/>
  <c r="L81" i="42"/>
  <c r="L249" i="42"/>
  <c r="E90" i="42"/>
  <c r="B237" i="42"/>
  <c r="C327" i="42"/>
  <c r="I117" i="42"/>
  <c r="O320" i="42"/>
  <c r="G217" i="42"/>
  <c r="R67" i="42"/>
  <c r="N108" i="42"/>
  <c r="L310" i="42"/>
  <c r="K86" i="42"/>
  <c r="Q389" i="42"/>
  <c r="P156" i="42"/>
  <c r="J290" i="42"/>
  <c r="I260" i="42"/>
  <c r="Q349" i="42"/>
  <c r="C17" i="42"/>
  <c r="G17" i="42"/>
  <c r="H303" i="42"/>
  <c r="M126" i="42"/>
  <c r="B192" i="42"/>
  <c r="H263" i="42"/>
  <c r="H146" i="42"/>
  <c r="H301" i="42"/>
  <c r="R398" i="42"/>
  <c r="N355" i="42"/>
  <c r="J142" i="42"/>
  <c r="K257" i="42"/>
  <c r="N8" i="42"/>
  <c r="N344" i="42"/>
  <c r="H249" i="42"/>
  <c r="R390" i="42"/>
  <c r="Q393" i="42"/>
  <c r="N240" i="42"/>
  <c r="H23" i="42"/>
  <c r="K287" i="42"/>
  <c r="Q136" i="42"/>
  <c r="O276" i="42"/>
  <c r="B397" i="42"/>
  <c r="E120" i="42"/>
  <c r="M393" i="42"/>
  <c r="P297" i="42"/>
  <c r="O306" i="42"/>
  <c r="E264" i="42"/>
  <c r="O245" i="42"/>
  <c r="O128" i="42"/>
  <c r="J237" i="42"/>
  <c r="P359" i="42"/>
  <c r="B299" i="42"/>
  <c r="O20" i="42"/>
  <c r="I214" i="42"/>
  <c r="E295" i="42"/>
  <c r="I362" i="42"/>
  <c r="R108" i="42"/>
  <c r="P20" i="42"/>
  <c r="C330" i="42"/>
  <c r="I209" i="42"/>
  <c r="I303" i="42"/>
  <c r="E72" i="42"/>
  <c r="R43" i="42"/>
  <c r="G214" i="42"/>
  <c r="C49" i="42"/>
  <c r="R231" i="42"/>
  <c r="P289" i="42"/>
  <c r="J8" i="42"/>
  <c r="M378" i="42"/>
  <c r="R4" i="42"/>
  <c r="Q204" i="42"/>
  <c r="J72" i="42"/>
  <c r="R373" i="42"/>
  <c r="R317" i="42"/>
  <c r="K322" i="42"/>
  <c r="C246" i="42"/>
  <c r="K87" i="42"/>
  <c r="D325" i="42"/>
  <c r="Q231" i="42"/>
  <c r="C56" i="42"/>
  <c r="C190" i="42"/>
  <c r="B373" i="42"/>
  <c r="D356" i="42"/>
  <c r="K283" i="42"/>
  <c r="F67" i="42"/>
  <c r="Q202" i="42"/>
  <c r="I340" i="42"/>
  <c r="Q277" i="42"/>
  <c r="O308" i="42"/>
  <c r="H364" i="42"/>
  <c r="N298" i="42"/>
  <c r="G259" i="42"/>
  <c r="F41" i="42"/>
  <c r="H39" i="42"/>
  <c r="B240" i="42"/>
  <c r="O289" i="42"/>
  <c r="B288" i="42"/>
  <c r="M373" i="42"/>
  <c r="C289" i="42"/>
  <c r="H104" i="42"/>
  <c r="C228" i="42"/>
  <c r="C110" i="42"/>
  <c r="C395" i="42"/>
  <c r="R329" i="42"/>
  <c r="M350" i="42"/>
  <c r="O40" i="42"/>
  <c r="F175" i="42"/>
  <c r="N334" i="42"/>
  <c r="F338" i="42"/>
  <c r="P27" i="42"/>
  <c r="B177" i="42"/>
  <c r="P320" i="42"/>
  <c r="G347" i="42"/>
  <c r="F88" i="42"/>
  <c r="N243" i="42"/>
  <c r="F179" i="42"/>
  <c r="K18" i="42"/>
  <c r="H352" i="42"/>
  <c r="D357" i="42"/>
  <c r="H193" i="42"/>
  <c r="O136" i="42"/>
  <c r="C192" i="42"/>
  <c r="L291" i="42"/>
  <c r="G355" i="42"/>
  <c r="D158" i="42"/>
  <c r="I219" i="42"/>
  <c r="L178" i="42"/>
  <c r="N34" i="42"/>
  <c r="G77" i="42"/>
  <c r="L82" i="42"/>
  <c r="M100" i="42"/>
  <c r="B372" i="42"/>
  <c r="O297" i="42"/>
  <c r="M315" i="42"/>
  <c r="C229" i="42"/>
  <c r="J85" i="42"/>
  <c r="K270" i="42"/>
  <c r="Q35" i="42"/>
  <c r="H259" i="42"/>
  <c r="J316" i="42"/>
  <c r="B358" i="42"/>
  <c r="R300" i="42"/>
  <c r="H38" i="42"/>
  <c r="M174" i="42"/>
  <c r="M372" i="42"/>
  <c r="P225" i="42"/>
  <c r="I294" i="42"/>
  <c r="H315" i="42"/>
  <c r="C317" i="42"/>
  <c r="O209" i="42"/>
  <c r="D58" i="42"/>
  <c r="D379" i="42"/>
  <c r="E387" i="42"/>
  <c r="E351" i="42"/>
  <c r="E217" i="42"/>
  <c r="C187" i="42"/>
  <c r="M246" i="42"/>
  <c r="I102" i="42"/>
  <c r="K94" i="42"/>
  <c r="K21" i="42"/>
  <c r="C105" i="42"/>
  <c r="H378" i="42"/>
  <c r="D98" i="42"/>
  <c r="M312" i="42"/>
  <c r="F63" i="42"/>
  <c r="G55" i="42"/>
  <c r="K152" i="42"/>
  <c r="M42" i="42"/>
  <c r="G296" i="42"/>
  <c r="R262" i="42"/>
  <c r="R152" i="42"/>
  <c r="M383" i="42"/>
  <c r="H356" i="42"/>
  <c r="C348" i="42"/>
  <c r="J319" i="42"/>
  <c r="P71" i="42"/>
  <c r="I29" i="42"/>
  <c r="K243" i="42"/>
  <c r="H384" i="42"/>
  <c r="P104" i="42"/>
  <c r="D20" i="42"/>
  <c r="P230" i="42"/>
  <c r="I309" i="42"/>
  <c r="B218" i="42"/>
  <c r="Q77" i="42"/>
  <c r="B216" i="42"/>
  <c r="K33" i="42"/>
  <c r="B368" i="42"/>
  <c r="L67" i="42"/>
  <c r="N179" i="42"/>
  <c r="B283" i="42"/>
  <c r="D212" i="42"/>
  <c r="C44" i="42"/>
  <c r="O77" i="42"/>
  <c r="L175" i="42"/>
  <c r="D15" i="42"/>
  <c r="B21" i="42"/>
  <c r="L326" i="42"/>
  <c r="P294" i="42"/>
  <c r="D355" i="42"/>
  <c r="O241" i="42"/>
  <c r="N74" i="42"/>
  <c r="B314" i="42"/>
  <c r="N247" i="42"/>
  <c r="C339" i="42"/>
  <c r="E146" i="42"/>
  <c r="K370" i="42"/>
  <c r="F350" i="42"/>
  <c r="O238" i="42"/>
  <c r="B45" i="42"/>
  <c r="L253" i="42"/>
  <c r="C306" i="42"/>
  <c r="K284" i="42"/>
  <c r="B312" i="42"/>
  <c r="E248" i="42"/>
  <c r="J210" i="42"/>
  <c r="Q355" i="42"/>
  <c r="Q56" i="42"/>
  <c r="B317" i="42"/>
  <c r="H65" i="42"/>
  <c r="N20" i="42"/>
  <c r="P364" i="42"/>
  <c r="H103" i="42"/>
  <c r="I68" i="42"/>
  <c r="L269" i="42"/>
  <c r="F357" i="42"/>
  <c r="C268" i="42"/>
  <c r="P235" i="42"/>
  <c r="O257" i="42"/>
  <c r="P161" i="42"/>
  <c r="G396" i="42"/>
  <c r="J189" i="42"/>
  <c r="M224" i="42"/>
  <c r="P262" i="42"/>
  <c r="G346" i="42"/>
  <c r="N367" i="42"/>
  <c r="N259" i="42"/>
  <c r="O321" i="42"/>
  <c r="O180" i="42"/>
  <c r="D254" i="42"/>
  <c r="Q154" i="42"/>
  <c r="L112" i="42"/>
  <c r="R232" i="42"/>
  <c r="Q378" i="42"/>
  <c r="K228" i="42"/>
  <c r="H370" i="42"/>
  <c r="I86" i="42"/>
  <c r="P213" i="42"/>
  <c r="E346" i="42"/>
  <c r="C295" i="42"/>
  <c r="H381" i="42"/>
  <c r="E188" i="42"/>
  <c r="M115" i="42"/>
  <c r="M294" i="42"/>
  <c r="J233" i="42"/>
  <c r="N69" i="42"/>
  <c r="J7" i="42"/>
  <c r="E206" i="42"/>
  <c r="J169" i="42"/>
  <c r="L275" i="42"/>
  <c r="F383" i="42"/>
  <c r="B98" i="42"/>
  <c r="K298" i="42"/>
  <c r="C376" i="42"/>
  <c r="N385" i="42"/>
  <c r="J240" i="42"/>
  <c r="B103" i="42"/>
  <c r="B226" i="42"/>
  <c r="E214" i="42"/>
  <c r="N224" i="42"/>
  <c r="M318" i="42"/>
  <c r="H248" i="42"/>
  <c r="H323" i="42"/>
  <c r="M225" i="42"/>
  <c r="H56" i="42"/>
  <c r="M146" i="42"/>
  <c r="P175" i="42"/>
  <c r="F369" i="42"/>
  <c r="I319" i="42"/>
  <c r="I313" i="42"/>
  <c r="N308" i="42"/>
  <c r="P215" i="42"/>
  <c r="L95" i="42"/>
  <c r="D126" i="42"/>
  <c r="P226" i="42"/>
  <c r="K147" i="42"/>
  <c r="J283" i="42"/>
  <c r="I368" i="42"/>
  <c r="J9" i="42"/>
  <c r="B383" i="42"/>
  <c r="H186" i="42"/>
  <c r="C101" i="42"/>
  <c r="I400" i="42"/>
  <c r="I322" i="42"/>
  <c r="G29" i="42"/>
  <c r="G26" i="42"/>
  <c r="J324" i="42"/>
  <c r="O266" i="42"/>
  <c r="J90" i="42"/>
  <c r="R50" i="42"/>
  <c r="Q274" i="42"/>
  <c r="K393" i="42"/>
  <c r="H62" i="42"/>
  <c r="O251" i="42"/>
  <c r="R401" i="42"/>
  <c r="B356" i="42"/>
  <c r="G339" i="42"/>
  <c r="L357" i="42"/>
  <c r="M259" i="42"/>
  <c r="J60" i="42"/>
  <c r="O380" i="42"/>
  <c r="H400" i="42"/>
  <c r="D187" i="42"/>
  <c r="D210" i="42"/>
  <c r="P44" i="42"/>
  <c r="C37" i="42"/>
  <c r="K90" i="42"/>
  <c r="G269" i="42"/>
  <c r="H15" i="42"/>
  <c r="P293" i="42"/>
  <c r="D118" i="42"/>
  <c r="C92" i="42"/>
  <c r="N377" i="42"/>
  <c r="I390" i="42"/>
  <c r="N333" i="42"/>
  <c r="N102" i="42"/>
  <c r="I348" i="42"/>
  <c r="O108" i="42"/>
  <c r="K242" i="42"/>
  <c r="R400" i="42"/>
  <c r="J362" i="42"/>
  <c r="J22" i="42"/>
  <c r="F228" i="42"/>
  <c r="K41" i="42"/>
  <c r="I349" i="42"/>
  <c r="J385" i="42"/>
  <c r="F286" i="42"/>
  <c r="B44" i="42"/>
  <c r="O109" i="42"/>
  <c r="H265" i="42"/>
  <c r="I52" i="42"/>
  <c r="O275" i="42"/>
  <c r="L262" i="42"/>
  <c r="N369" i="42"/>
  <c r="Q33" i="42"/>
  <c r="C302" i="42"/>
  <c r="G295" i="42"/>
  <c r="N157" i="42"/>
  <c r="M322" i="42"/>
  <c r="F217" i="42"/>
  <c r="K312" i="42"/>
  <c r="N253" i="42"/>
  <c r="N226" i="42"/>
  <c r="O10" i="42"/>
  <c r="L333" i="42"/>
  <c r="G212" i="42"/>
  <c r="F162" i="42"/>
  <c r="C248" i="42"/>
  <c r="P176" i="42"/>
  <c r="I311" i="42"/>
  <c r="D308" i="42"/>
  <c r="H77" i="42"/>
  <c r="F337" i="42"/>
  <c r="F40" i="42"/>
  <c r="O316" i="42"/>
  <c r="K203" i="42"/>
  <c r="I355" i="42"/>
  <c r="M388" i="42"/>
  <c r="K260" i="42"/>
  <c r="D70" i="42"/>
  <c r="H224" i="42"/>
  <c r="L302" i="42"/>
  <c r="Q148" i="42"/>
  <c r="E56" i="42"/>
  <c r="O270" i="42"/>
  <c r="N359" i="42"/>
  <c r="O104" i="42"/>
  <c r="F59" i="42"/>
  <c r="N180" i="42"/>
  <c r="Q29" i="42"/>
  <c r="Q90" i="42"/>
  <c r="C322" i="42"/>
  <c r="C218" i="42"/>
  <c r="E178" i="42"/>
  <c r="C15" i="42"/>
  <c r="O310" i="42"/>
  <c r="D133" i="42"/>
  <c r="Q373" i="42"/>
  <c r="Q28" i="42"/>
  <c r="H258" i="42"/>
  <c r="O228" i="42"/>
  <c r="M311" i="42"/>
  <c r="B173" i="42"/>
  <c r="N264" i="42"/>
  <c r="L386" i="42"/>
  <c r="C116" i="42"/>
  <c r="O217" i="42"/>
  <c r="G70" i="42"/>
  <c r="M72" i="42"/>
  <c r="B293" i="42"/>
  <c r="P286" i="42"/>
  <c r="M107" i="42"/>
  <c r="B39" i="42"/>
  <c r="H390" i="42"/>
  <c r="I64" i="42"/>
  <c r="R379" i="42"/>
  <c r="G207" i="42"/>
  <c r="R272" i="42"/>
  <c r="E350" i="42"/>
  <c r="D297" i="42"/>
  <c r="I256" i="42"/>
  <c r="B145" i="42"/>
  <c r="K278" i="42"/>
  <c r="R51" i="42"/>
  <c r="E176" i="42"/>
  <c r="M183" i="42"/>
  <c r="P52" i="42"/>
  <c r="L313" i="42"/>
  <c r="O57" i="42"/>
  <c r="D115" i="42"/>
  <c r="C245" i="42"/>
  <c r="I62" i="42"/>
  <c r="Q63" i="42"/>
  <c r="H257" i="42"/>
  <c r="L276" i="42"/>
  <c r="K161" i="42"/>
  <c r="G64" i="42"/>
  <c r="M261" i="42"/>
  <c r="P254" i="42"/>
  <c r="D232" i="42"/>
  <c r="B13" i="42"/>
  <c r="P39" i="42"/>
  <c r="N228" i="42"/>
  <c r="L167" i="42"/>
  <c r="R164" i="42"/>
  <c r="K281" i="42"/>
  <c r="H386" i="42"/>
  <c r="I287" i="42"/>
  <c r="F97" i="42"/>
  <c r="G331" i="42"/>
  <c r="E168" i="42"/>
  <c r="K311" i="42"/>
  <c r="F300" i="42"/>
  <c r="D100" i="42"/>
  <c r="Q394" i="42"/>
  <c r="C214" i="42"/>
  <c r="O60" i="42"/>
  <c r="Q228" i="42"/>
  <c r="G336" i="42"/>
  <c r="J219" i="42"/>
  <c r="O250" i="42"/>
  <c r="B107" i="42"/>
  <c r="N24" i="42"/>
  <c r="K196" i="42"/>
  <c r="Q183" i="42"/>
  <c r="C378" i="42"/>
  <c r="I338" i="42"/>
  <c r="M319" i="42"/>
  <c r="R246" i="42"/>
  <c r="Q214" i="42"/>
  <c r="O353" i="42"/>
  <c r="I132" i="42"/>
  <c r="K227" i="42"/>
  <c r="B393" i="42"/>
  <c r="K212" i="42"/>
  <c r="L224" i="42"/>
  <c r="F30" i="42"/>
  <c r="C54" i="42"/>
  <c r="I266" i="42"/>
  <c r="C318" i="42"/>
  <c r="M127" i="42"/>
  <c r="F131" i="42"/>
  <c r="Q61" i="42"/>
  <c r="R194" i="42"/>
  <c r="C194" i="42"/>
  <c r="P381" i="42"/>
  <c r="G327" i="42"/>
  <c r="L214" i="42"/>
  <c r="D318" i="42"/>
  <c r="B137" i="42"/>
  <c r="H12" i="42"/>
  <c r="Q361" i="42"/>
  <c r="O206" i="42"/>
  <c r="D290" i="42"/>
  <c r="H122" i="42"/>
  <c r="R56" i="42"/>
  <c r="L346" i="42"/>
  <c r="N321" i="42"/>
  <c r="P384" i="42"/>
  <c r="J30" i="42"/>
  <c r="N348" i="42"/>
  <c r="E78" i="42"/>
  <c r="O23" i="42"/>
  <c r="I271" i="42"/>
  <c r="Q53" i="42"/>
  <c r="J270" i="42"/>
  <c r="H401" i="42"/>
  <c r="E343" i="42"/>
  <c r="J26" i="42"/>
  <c r="O132" i="42"/>
  <c r="Q22" i="42"/>
  <c r="D46" i="42"/>
  <c r="N38" i="42"/>
  <c r="L372" i="42"/>
  <c r="D401" i="42"/>
  <c r="F292" i="42"/>
  <c r="B194" i="42"/>
  <c r="R316" i="42"/>
  <c r="I381" i="42"/>
  <c r="N105" i="42"/>
  <c r="B319" i="42"/>
  <c r="E190" i="42"/>
  <c r="H116" i="42"/>
  <c r="R270" i="42"/>
  <c r="K362" i="42"/>
  <c r="R235" i="42"/>
  <c r="E73" i="42"/>
  <c r="B127" i="42"/>
  <c r="K174" i="42"/>
  <c r="N68" i="42"/>
  <c r="F293" i="42"/>
  <c r="M365" i="42"/>
  <c r="H66" i="42"/>
  <c r="M326" i="42"/>
  <c r="J287" i="42"/>
  <c r="G176" i="42"/>
  <c r="M241" i="42"/>
  <c r="J331" i="42"/>
  <c r="K398" i="42"/>
  <c r="I205" i="42"/>
  <c r="Q216" i="42"/>
  <c r="D168" i="42"/>
  <c r="L356" i="42"/>
  <c r="D136" i="42"/>
  <c r="K108" i="42"/>
  <c r="F108" i="42"/>
  <c r="F214" i="42"/>
  <c r="E157" i="42"/>
  <c r="D387" i="42"/>
  <c r="K164" i="42"/>
  <c r="N46" i="42"/>
  <c r="K28" i="42"/>
  <c r="D313" i="42"/>
  <c r="I144" i="42"/>
  <c r="P338" i="42"/>
  <c r="L337" i="42"/>
  <c r="J218" i="42"/>
  <c r="Q215" i="42"/>
  <c r="N195" i="42"/>
  <c r="L226" i="42"/>
  <c r="L335" i="42"/>
  <c r="D105" i="42"/>
  <c r="R180" i="42"/>
  <c r="R126" i="42"/>
  <c r="H254" i="42"/>
  <c r="M280" i="42"/>
  <c r="K381" i="42"/>
  <c r="K245" i="42"/>
  <c r="G371" i="42"/>
  <c r="J261" i="42"/>
  <c r="G394" i="42"/>
  <c r="C169" i="42"/>
  <c r="E108" i="42"/>
  <c r="B247" i="42"/>
  <c r="O7" i="42"/>
  <c r="F255" i="42"/>
  <c r="R244" i="42"/>
  <c r="J305" i="42"/>
  <c r="M147" i="42"/>
  <c r="D99" i="42"/>
  <c r="R369" i="42"/>
  <c r="K348" i="42"/>
  <c r="B87" i="42"/>
  <c r="O127" i="42"/>
  <c r="F140" i="42"/>
  <c r="P302" i="42"/>
  <c r="P193" i="42"/>
  <c r="O318" i="42"/>
  <c r="K193" i="42"/>
  <c r="P253" i="42"/>
  <c r="K64" i="42"/>
  <c r="G130" i="42"/>
  <c r="N109" i="42"/>
  <c r="P79" i="42"/>
  <c r="B78" i="42"/>
  <c r="G15" i="42"/>
  <c r="E261" i="42"/>
  <c r="C270" i="42"/>
  <c r="E42" i="42"/>
  <c r="Q196" i="42"/>
  <c r="K309" i="42"/>
  <c r="H304" i="42"/>
  <c r="F307" i="42"/>
  <c r="F100" i="42"/>
  <c r="D224" i="42"/>
  <c r="C14" i="42"/>
  <c r="P391" i="42"/>
  <c r="N258" i="42"/>
  <c r="H200" i="42"/>
  <c r="E88" i="42"/>
  <c r="J330" i="42"/>
  <c r="O125" i="42"/>
  <c r="O24" i="42"/>
  <c r="B126" i="42"/>
  <c r="E376" i="42"/>
  <c r="D227" i="42"/>
  <c r="K206" i="42"/>
  <c r="N397" i="42"/>
  <c r="E301" i="42"/>
  <c r="M218" i="42"/>
  <c r="M262" i="42"/>
  <c r="H48" i="42"/>
  <c r="L85" i="42"/>
  <c r="L239" i="42"/>
  <c r="M283" i="42"/>
  <c r="L60" i="42"/>
  <c r="Q286" i="42"/>
  <c r="K371" i="42"/>
  <c r="F254" i="42"/>
  <c r="O305" i="42"/>
  <c r="G372" i="42"/>
  <c r="L305" i="42"/>
  <c r="D363" i="42"/>
  <c r="I318" i="42"/>
  <c r="I89" i="42"/>
  <c r="R292" i="42"/>
  <c r="E308" i="42"/>
  <c r="L244" i="42"/>
  <c r="M214" i="42"/>
  <c r="C202" i="42"/>
  <c r="B133" i="42"/>
  <c r="E235" i="42"/>
  <c r="O367" i="42"/>
  <c r="J338" i="42"/>
  <c r="E118" i="42"/>
  <c r="K224" i="42"/>
  <c r="D89" i="42"/>
  <c r="P335" i="42"/>
  <c r="R87" i="42"/>
  <c r="F237" i="42"/>
  <c r="M232" i="42"/>
  <c r="O64" i="42"/>
  <c r="E201" i="42"/>
  <c r="N149" i="42"/>
  <c r="F283" i="42"/>
  <c r="K197" i="42"/>
  <c r="L400" i="42"/>
  <c r="E321" i="42"/>
  <c r="K237" i="42"/>
  <c r="D347" i="42"/>
  <c r="M368" i="42"/>
  <c r="K26" i="42"/>
  <c r="I301" i="42"/>
  <c r="G383" i="42"/>
  <c r="E367" i="42"/>
  <c r="G368" i="42"/>
  <c r="G351" i="42"/>
  <c r="C96" i="42"/>
  <c r="O371" i="42"/>
  <c r="L78" i="42"/>
  <c r="H220" i="42"/>
  <c r="L110" i="42"/>
  <c r="F87" i="42"/>
  <c r="F353" i="42"/>
  <c r="E399" i="42"/>
  <c r="D281" i="42"/>
  <c r="P382" i="42"/>
  <c r="F347" i="42"/>
  <c r="N392" i="42"/>
  <c r="O271" i="42"/>
  <c r="D237" i="42"/>
  <c r="B164" i="42"/>
  <c r="C299" i="42"/>
  <c r="C217" i="42"/>
  <c r="M256" i="42"/>
  <c r="L374" i="42"/>
  <c r="E359" i="42"/>
  <c r="G398" i="42"/>
  <c r="N292" i="42"/>
  <c r="B401" i="42"/>
  <c r="R48" i="42"/>
  <c r="L215" i="42"/>
  <c r="M163" i="42"/>
  <c r="D249" i="42"/>
  <c r="I181" i="42"/>
  <c r="Q226" i="42"/>
  <c r="G167" i="42"/>
  <c r="D229" i="42"/>
  <c r="C360" i="42"/>
  <c r="B268" i="42"/>
  <c r="D371" i="42"/>
  <c r="F365" i="42"/>
  <c r="I384" i="42"/>
  <c r="D116" i="42"/>
  <c r="O126" i="42"/>
  <c r="L36" i="42"/>
  <c r="P205" i="42"/>
  <c r="B289" i="42"/>
  <c r="B151" i="42"/>
  <c r="L242" i="42"/>
  <c r="B212" i="42"/>
  <c r="E84" i="42"/>
  <c r="K61" i="42"/>
  <c r="J310" i="42"/>
  <c r="K140" i="42"/>
  <c r="N10" i="42"/>
  <c r="H87" i="42"/>
  <c r="B389" i="42"/>
  <c r="D271" i="42"/>
  <c r="K335" i="42"/>
  <c r="H139" i="42"/>
  <c r="K215" i="42"/>
  <c r="R5" i="42"/>
  <c r="J75" i="42"/>
  <c r="Q248" i="42"/>
  <c r="P250" i="42"/>
  <c r="D87" i="42"/>
  <c r="K385" i="42"/>
  <c r="G28" i="42"/>
  <c r="B120" i="42"/>
  <c r="M132" i="42"/>
  <c r="E49" i="42"/>
  <c r="I386" i="42"/>
  <c r="R113" i="42"/>
  <c r="D200" i="42"/>
  <c r="R326" i="42"/>
  <c r="D303" i="42"/>
  <c r="P182" i="42"/>
  <c r="P343" i="42"/>
  <c r="O170" i="42"/>
  <c r="G190" i="42"/>
  <c r="N266" i="42"/>
  <c r="M196" i="42"/>
  <c r="M152" i="42"/>
  <c r="R387" i="42"/>
  <c r="B307" i="42"/>
  <c r="Q350" i="42"/>
  <c r="F329" i="42"/>
  <c r="P49" i="42"/>
  <c r="B222" i="42"/>
  <c r="L4" i="42"/>
  <c r="P93" i="42"/>
  <c r="I332" i="42"/>
  <c r="I230" i="42"/>
  <c r="B367" i="42"/>
  <c r="H349" i="42"/>
  <c r="Q42" i="42"/>
  <c r="L358" i="42"/>
  <c r="F51" i="42"/>
  <c r="G334" i="42"/>
  <c r="P383" i="42"/>
  <c r="E325" i="42"/>
  <c r="C166" i="42"/>
  <c r="M286" i="42"/>
  <c r="R91" i="42"/>
  <c r="D368" i="42"/>
  <c r="L29" i="42"/>
  <c r="R395" i="42"/>
  <c r="R205" i="42"/>
  <c r="I59" i="42"/>
  <c r="O307" i="42"/>
  <c r="G153" i="42"/>
  <c r="I379" i="42"/>
  <c r="P299" i="42"/>
  <c r="N233" i="42"/>
  <c r="E256" i="42"/>
  <c r="K169" i="42"/>
  <c r="G240" i="42"/>
  <c r="D234" i="42"/>
  <c r="E265" i="42"/>
  <c r="D330" i="42"/>
  <c r="F258" i="42"/>
  <c r="N202" i="42"/>
  <c r="N401" i="42"/>
  <c r="G245" i="42"/>
  <c r="F159" i="42"/>
  <c r="N50" i="42"/>
  <c r="B25" i="42"/>
  <c r="K40" i="42"/>
  <c r="F268" i="42"/>
  <c r="R220" i="42"/>
  <c r="B294" i="42"/>
  <c r="E298" i="42"/>
  <c r="B121" i="42"/>
  <c r="J190" i="42"/>
  <c r="P240" i="42"/>
  <c r="B333" i="42"/>
  <c r="C365" i="42"/>
  <c r="P190" i="42"/>
  <c r="M292" i="42"/>
  <c r="E82" i="42"/>
  <c r="I369" i="42"/>
  <c r="F270" i="42"/>
  <c r="K116" i="42"/>
  <c r="C78" i="42"/>
  <c r="E16" i="42"/>
  <c r="R240" i="42"/>
  <c r="P284" i="42"/>
  <c r="I118" i="42"/>
  <c r="O36" i="42"/>
  <c r="P290" i="42"/>
  <c r="E329" i="42"/>
  <c r="G92" i="42"/>
  <c r="I138" i="42"/>
  <c r="J346" i="42"/>
  <c r="M396" i="42"/>
  <c r="G48" i="42"/>
  <c r="M16" i="42"/>
  <c r="J130" i="42"/>
  <c r="I204" i="42"/>
  <c r="G218" i="42"/>
  <c r="R384" i="42"/>
  <c r="D388" i="42"/>
  <c r="B72" i="42"/>
  <c r="E238" i="42"/>
  <c r="B75" i="42"/>
  <c r="D146" i="42"/>
  <c r="O4" i="42"/>
  <c r="D402" i="42"/>
  <c r="R321" i="42"/>
  <c r="D164" i="42"/>
  <c r="R74" i="42"/>
  <c r="F73" i="42"/>
  <c r="C215" i="42"/>
  <c r="L223" i="42"/>
  <c r="Q94" i="42"/>
  <c r="M386" i="42"/>
  <c r="B80" i="42"/>
  <c r="C273" i="42"/>
  <c r="K65" i="42"/>
  <c r="O124" i="42"/>
  <c r="I241" i="42"/>
  <c r="G234" i="42"/>
  <c r="R99" i="42"/>
  <c r="P183" i="42"/>
  <c r="I257" i="42"/>
  <c r="Q296" i="42"/>
  <c r="F326" i="42"/>
  <c r="I151" i="42"/>
  <c r="E271" i="42"/>
  <c r="D147" i="42"/>
  <c r="R254" i="42"/>
  <c r="J337" i="42"/>
  <c r="N225" i="42"/>
  <c r="N345" i="42"/>
  <c r="K73" i="42"/>
  <c r="M275" i="42"/>
  <c r="F60" i="42"/>
  <c r="O379" i="42"/>
  <c r="F8" i="42"/>
  <c r="H325" i="42"/>
  <c r="K363" i="42"/>
  <c r="P266" i="42"/>
  <c r="B246" i="42"/>
  <c r="Q50" i="42"/>
  <c r="J271" i="42"/>
  <c r="I395" i="42"/>
  <c r="N286" i="42"/>
  <c r="B324" i="42"/>
  <c r="H269" i="42"/>
  <c r="C370" i="42"/>
  <c r="O153" i="42"/>
  <c r="Q304" i="42"/>
  <c r="H86" i="42"/>
  <c r="B67" i="42"/>
  <c r="R166" i="42"/>
  <c r="R234" i="42"/>
  <c r="D7" i="42"/>
  <c r="D340" i="42"/>
  <c r="P100" i="42"/>
  <c r="J333" i="42"/>
  <c r="F324" i="42"/>
  <c r="O342" i="42"/>
  <c r="O389" i="42"/>
  <c r="B350" i="42"/>
  <c r="M313" i="42"/>
  <c r="P336" i="42"/>
  <c r="J50" i="42"/>
  <c r="N170" i="42"/>
  <c r="H344" i="42"/>
  <c r="H312" i="42"/>
  <c r="P324" i="42"/>
  <c r="B208" i="42"/>
  <c r="B364" i="42"/>
  <c r="J52" i="42"/>
  <c r="O119" i="42"/>
  <c r="L186" i="42"/>
  <c r="P115" i="42"/>
  <c r="D315" i="42"/>
  <c r="K308" i="42"/>
  <c r="D235" i="42"/>
  <c r="D341" i="42"/>
  <c r="Q224" i="42"/>
  <c r="E143" i="42"/>
  <c r="F304" i="42"/>
  <c r="P233" i="42"/>
  <c r="C170" i="42"/>
  <c r="D230" i="42"/>
  <c r="J248" i="42"/>
  <c r="H281" i="42"/>
  <c r="L222" i="42"/>
  <c r="H163" i="42"/>
  <c r="N27" i="42"/>
  <c r="B340" i="42"/>
  <c r="E130" i="42"/>
  <c r="E171" i="42"/>
  <c r="P106" i="42"/>
  <c r="I235" i="42"/>
  <c r="F12" i="42"/>
  <c r="R44" i="42"/>
  <c r="D267" i="42"/>
  <c r="F314" i="42"/>
  <c r="M243" i="42"/>
  <c r="H109" i="42"/>
  <c r="K377" i="42"/>
  <c r="C382" i="42"/>
  <c r="I154" i="42"/>
  <c r="R143" i="42"/>
  <c r="R315" i="42"/>
  <c r="C277" i="42"/>
  <c r="O230" i="42"/>
  <c r="L5" i="42"/>
  <c r="L360" i="42"/>
  <c r="C387" i="42"/>
  <c r="E368" i="42"/>
  <c r="O285" i="42"/>
  <c r="B313" i="42"/>
  <c r="M298" i="42"/>
  <c r="I21" i="42"/>
  <c r="D72" i="42"/>
  <c r="E395" i="42"/>
  <c r="I245" i="42"/>
  <c r="J77" i="42"/>
  <c r="K310" i="42"/>
  <c r="D231" i="42"/>
  <c r="L23" i="42"/>
  <c r="J373" i="42"/>
  <c r="P346" i="42"/>
  <c r="N378" i="42"/>
  <c r="E389" i="42"/>
  <c r="L220" i="42"/>
  <c r="C234" i="42"/>
  <c r="M375" i="42"/>
  <c r="K115" i="42"/>
  <c r="K251" i="42"/>
  <c r="O144" i="42"/>
  <c r="G213" i="42"/>
  <c r="R129" i="42"/>
  <c r="K249" i="42"/>
  <c r="H380" i="42"/>
  <c r="C262" i="42"/>
  <c r="J304" i="42"/>
  <c r="N187" i="42"/>
  <c r="K199" i="42"/>
  <c r="R376" i="42"/>
  <c r="R142" i="42"/>
  <c r="J178" i="42"/>
  <c r="J231" i="42"/>
  <c r="R105" i="42"/>
  <c r="M343" i="42"/>
  <c r="F295" i="42"/>
  <c r="C323" i="42"/>
  <c r="M287" i="42"/>
  <c r="D381" i="42"/>
  <c r="N93" i="42"/>
  <c r="R223" i="42"/>
  <c r="D280" i="42"/>
  <c r="H240" i="42"/>
  <c r="G287" i="42"/>
  <c r="Q38" i="42"/>
  <c r="I6" i="42"/>
  <c r="G335" i="42"/>
  <c r="F289" i="42"/>
  <c r="F325" i="42"/>
  <c r="G289" i="42"/>
  <c r="E131" i="42"/>
  <c r="F387" i="42"/>
  <c r="P275" i="42"/>
  <c r="J308" i="42"/>
  <c r="C321" i="42"/>
  <c r="C193" i="42"/>
  <c r="P267" i="42"/>
  <c r="F160" i="42"/>
  <c r="F371" i="42"/>
  <c r="B309" i="42"/>
  <c r="B143" i="42"/>
  <c r="G96" i="42"/>
  <c r="D382" i="42"/>
  <c r="D9" i="42"/>
  <c r="M59" i="42"/>
  <c r="K325" i="42"/>
  <c r="F96" i="42"/>
  <c r="B382" i="42"/>
  <c r="E31" i="42"/>
  <c r="G66" i="42"/>
  <c r="N30" i="42"/>
  <c r="Q317" i="42"/>
  <c r="F362" i="42"/>
  <c r="K267" i="42"/>
  <c r="E401" i="42"/>
  <c r="L295" i="42"/>
  <c r="E379" i="42"/>
  <c r="B77" i="42"/>
  <c r="O74" i="42"/>
  <c r="I122" i="42"/>
  <c r="E111" i="42"/>
  <c r="Q78" i="42"/>
  <c r="D120" i="42"/>
  <c r="F226" i="42"/>
  <c r="C121" i="42"/>
  <c r="B196" i="42"/>
  <c r="F150" i="42"/>
  <c r="H155" i="42"/>
  <c r="L267" i="42"/>
  <c r="C90" i="42"/>
  <c r="I296" i="42"/>
  <c r="J281" i="42"/>
  <c r="K186" i="42"/>
  <c r="R163" i="42"/>
  <c r="D215" i="42"/>
  <c r="D294" i="42"/>
  <c r="H247" i="42"/>
  <c r="R178" i="42"/>
  <c r="N299" i="42"/>
  <c r="F82" i="42"/>
  <c r="J44" i="42"/>
  <c r="D354" i="42"/>
  <c r="H221" i="42"/>
  <c r="J309" i="42"/>
  <c r="F132" i="42"/>
  <c r="C342" i="42"/>
  <c r="H46" i="42"/>
  <c r="Q366" i="42"/>
  <c r="C236" i="42"/>
  <c r="F393" i="42"/>
  <c r="I380" i="42"/>
  <c r="F34" i="42"/>
  <c r="N269" i="42"/>
  <c r="F18" i="42"/>
  <c r="K241" i="42"/>
  <c r="O322" i="42"/>
  <c r="Q270" i="42"/>
  <c r="C343" i="42"/>
  <c r="Q146" i="42"/>
  <c r="E400" i="42"/>
  <c r="M295" i="42"/>
  <c r="H347" i="42"/>
  <c r="R156" i="42"/>
  <c r="F126" i="42"/>
  <c r="H236" i="42"/>
  <c r="O252" i="42"/>
  <c r="Q86" i="42"/>
  <c r="O143" i="42"/>
  <c r="E260" i="42"/>
  <c r="G252" i="42"/>
  <c r="M82" i="42"/>
  <c r="E370" i="42"/>
  <c r="Q229" i="42"/>
  <c r="L164" i="42"/>
  <c r="N349" i="42"/>
  <c r="B160" i="42"/>
  <c r="R215" i="42"/>
  <c r="I23" i="42"/>
  <c r="D344" i="42"/>
  <c r="E274" i="42"/>
  <c r="P280" i="42"/>
  <c r="Q176" i="42"/>
  <c r="B205" i="42"/>
  <c r="E243" i="42"/>
  <c r="P325" i="42"/>
  <c r="K373" i="42"/>
  <c r="J300" i="42"/>
  <c r="B391" i="42"/>
  <c r="H88" i="42"/>
  <c r="H260" i="42"/>
  <c r="N61" i="42"/>
  <c r="M293" i="42"/>
  <c r="K232" i="42"/>
  <c r="B231" i="42"/>
  <c r="G230" i="42"/>
  <c r="O323" i="42"/>
  <c r="B387" i="42"/>
  <c r="J378" i="42"/>
  <c r="Q60" i="42"/>
  <c r="I226" i="42"/>
  <c r="R344" i="42"/>
  <c r="M25" i="42"/>
  <c r="M271" i="42"/>
  <c r="N305" i="42"/>
  <c r="J33" i="42"/>
  <c r="M247" i="42"/>
  <c r="F194" i="42"/>
  <c r="E347" i="42"/>
  <c r="O375" i="42"/>
  <c r="D306" i="42"/>
  <c r="L370" i="42"/>
  <c r="I127" i="42"/>
  <c r="C274" i="42"/>
  <c r="Q307" i="42"/>
  <c r="O345" i="42"/>
  <c r="J58" i="42"/>
  <c r="D245" i="42"/>
  <c r="P92" i="42"/>
  <c r="O240" i="42"/>
  <c r="F247" i="42"/>
  <c r="N285" i="42"/>
  <c r="B315" i="42"/>
  <c r="H41" i="42"/>
  <c r="P218" i="42"/>
  <c r="G302" i="42"/>
  <c r="Q5" i="42"/>
  <c r="R83" i="42"/>
  <c r="H18" i="42"/>
  <c r="H294" i="42"/>
  <c r="Q382" i="42"/>
  <c r="D96" i="42"/>
  <c r="P349" i="42"/>
  <c r="K331" i="42"/>
  <c r="E348" i="42"/>
  <c r="J164" i="42"/>
  <c r="J158" i="42"/>
  <c r="P333" i="42"/>
  <c r="I295" i="42"/>
  <c r="K367" i="42"/>
  <c r="E196" i="42"/>
  <c r="H245" i="42"/>
  <c r="R291" i="42"/>
  <c r="I255" i="42"/>
  <c r="O357" i="42"/>
  <c r="R276" i="42"/>
  <c r="E300" i="42"/>
  <c r="J224" i="42"/>
  <c r="P295" i="42"/>
  <c r="R311" i="42"/>
  <c r="L399" i="42"/>
  <c r="H190" i="42"/>
  <c r="C353" i="42"/>
  <c r="E74" i="42"/>
  <c r="B284" i="42"/>
  <c r="R239" i="42"/>
  <c r="I246" i="42"/>
  <c r="R214" i="42"/>
  <c r="B201" i="42"/>
  <c r="O355" i="42"/>
  <c r="R372" i="42"/>
  <c r="B352" i="42"/>
  <c r="H79" i="42"/>
  <c r="R294" i="42"/>
  <c r="F105" i="42"/>
  <c r="L306" i="42"/>
  <c r="M381" i="42"/>
  <c r="B68" i="42"/>
  <c r="L324" i="42"/>
  <c r="R257" i="42"/>
  <c r="E41" i="42"/>
  <c r="Q376" i="42"/>
  <c r="G243" i="42"/>
  <c r="E45" i="42"/>
  <c r="I110" i="42"/>
  <c r="L341" i="42"/>
  <c r="M104" i="42"/>
  <c r="J64" i="42"/>
  <c r="O317" i="42"/>
  <c r="P22" i="42"/>
  <c r="H143" i="42"/>
  <c r="O335" i="42"/>
  <c r="R333" i="42"/>
  <c r="J65" i="42"/>
  <c r="Q343" i="42"/>
  <c r="B337" i="42"/>
  <c r="K104" i="42"/>
  <c r="Q262" i="42"/>
  <c r="H181" i="42"/>
  <c r="I174" i="42"/>
  <c r="P397" i="42"/>
  <c r="M325" i="42"/>
  <c r="E312" i="42"/>
  <c r="B220" i="42"/>
  <c r="J47" i="42"/>
  <c r="C258" i="42"/>
  <c r="D329" i="42"/>
  <c r="L308" i="42"/>
  <c r="H244" i="42"/>
  <c r="H150" i="42"/>
  <c r="D266" i="42"/>
  <c r="B258" i="42"/>
  <c r="K357" i="42"/>
  <c r="K120" i="42"/>
  <c r="K399" i="42"/>
  <c r="J16" i="42"/>
  <c r="E134" i="42"/>
  <c r="B346" i="42"/>
  <c r="H74" i="42"/>
  <c r="M272" i="42"/>
  <c r="F216" i="42"/>
  <c r="O396" i="42"/>
  <c r="R237" i="42"/>
  <c r="R337" i="42"/>
  <c r="C390" i="42"/>
  <c r="M213" i="42"/>
  <c r="P68" i="42"/>
  <c r="H367" i="42"/>
  <c r="G311" i="42"/>
  <c r="O351" i="42"/>
  <c r="R218" i="42"/>
  <c r="Q278" i="42"/>
  <c r="C223" i="42"/>
  <c r="D177" i="42"/>
  <c r="C320" i="42"/>
  <c r="D131" i="42"/>
  <c r="G354" i="42"/>
  <c r="J399" i="42"/>
  <c r="D24" i="42"/>
  <c r="L152" i="42"/>
  <c r="Q294" i="42"/>
  <c r="R250" i="42"/>
  <c r="J292" i="42"/>
  <c r="E62" i="42"/>
  <c r="K268" i="42"/>
  <c r="P366" i="42"/>
  <c r="I283" i="42"/>
  <c r="H115" i="42"/>
  <c r="E320" i="42"/>
  <c r="C364" i="42"/>
  <c r="Q180" i="42"/>
  <c r="C133" i="42"/>
  <c r="R336" i="42"/>
  <c r="P129" i="42"/>
  <c r="K332" i="42"/>
  <c r="G20" i="42"/>
  <c r="P268" i="42"/>
  <c r="J289" i="42"/>
  <c r="R125" i="42"/>
  <c r="E28" i="42"/>
  <c r="O184" i="42"/>
  <c r="M342" i="42"/>
  <c r="M346" i="42"/>
  <c r="K351" i="42"/>
  <c r="I361" i="42"/>
  <c r="L375" i="42"/>
  <c r="Q156" i="42"/>
  <c r="B203" i="42"/>
  <c r="D383" i="42"/>
  <c r="P41" i="42"/>
  <c r="F276" i="42"/>
  <c r="M27" i="42"/>
  <c r="O134" i="42"/>
  <c r="J151" i="42"/>
  <c r="J209" i="42"/>
  <c r="N154" i="42"/>
  <c r="H158" i="42"/>
  <c r="O328" i="42"/>
  <c r="E202" i="42"/>
  <c r="O86" i="42"/>
  <c r="L234" i="42"/>
  <c r="R11" i="42"/>
  <c r="M204" i="42"/>
  <c r="J401" i="42"/>
  <c r="C76" i="42"/>
  <c r="Q356" i="42"/>
  <c r="P91" i="42"/>
  <c r="K293" i="42"/>
  <c r="J146" i="42"/>
  <c r="E25" i="42"/>
  <c r="P102" i="42"/>
  <c r="C126" i="42"/>
  <c r="B165" i="42"/>
  <c r="B232" i="42"/>
  <c r="P328" i="42"/>
  <c r="O233" i="42"/>
  <c r="E332" i="42"/>
  <c r="F57" i="42"/>
  <c r="B168" i="42"/>
  <c r="M354" i="42"/>
  <c r="O376" i="42"/>
  <c r="R73" i="42"/>
  <c r="G84" i="42"/>
  <c r="P303" i="42"/>
  <c r="B4" i="42"/>
  <c r="G221" i="42"/>
  <c r="J302" i="42"/>
  <c r="Q251" i="42"/>
  <c r="L89" i="42"/>
  <c r="I128" i="42"/>
  <c r="P362" i="42"/>
  <c r="G363" i="42"/>
  <c r="M117" i="42"/>
  <c r="E272" i="42"/>
  <c r="H285" i="42"/>
  <c r="P327" i="42"/>
  <c r="E250" i="42"/>
  <c r="C399" i="42"/>
  <c r="E80" i="42"/>
  <c r="C265" i="42"/>
  <c r="N389" i="42"/>
  <c r="R362" i="42"/>
  <c r="K317" i="42"/>
  <c r="C294" i="42"/>
  <c r="N324" i="42"/>
  <c r="I308" i="42"/>
  <c r="R221" i="42"/>
  <c r="R206" i="42"/>
  <c r="B385" i="42"/>
  <c r="P172" i="42"/>
  <c r="D360" i="42"/>
  <c r="E262" i="42"/>
  <c r="M347" i="42"/>
  <c r="K111" i="42"/>
  <c r="O352" i="42"/>
  <c r="L292" i="42"/>
  <c r="G67" i="42"/>
  <c r="J195" i="42"/>
  <c r="Q194" i="42"/>
  <c r="P269" i="42"/>
  <c r="N57" i="42"/>
  <c r="O215" i="42"/>
  <c r="J395" i="42"/>
  <c r="Q211" i="42"/>
  <c r="D284" i="42"/>
  <c r="B306" i="42"/>
  <c r="H164" i="42"/>
  <c r="H176" i="42"/>
  <c r="O150" i="42"/>
  <c r="E92" i="42"/>
  <c r="R188" i="42"/>
  <c r="E137" i="42"/>
  <c r="R27" i="42"/>
  <c r="P72" i="42"/>
  <c r="E215" i="42"/>
  <c r="P313" i="42"/>
  <c r="G244" i="42"/>
  <c r="B402" i="42"/>
  <c r="H318" i="42"/>
  <c r="B70" i="42"/>
  <c r="F166" i="42"/>
  <c r="P94" i="42"/>
  <c r="M357" i="42"/>
  <c r="J134" i="42"/>
  <c r="Q387" i="42"/>
  <c r="B332" i="42"/>
  <c r="Q139" i="42"/>
  <c r="J278" i="42"/>
  <c r="O324" i="42"/>
  <c r="I364" i="42"/>
  <c r="R219" i="42"/>
  <c r="H328" i="42"/>
  <c r="R334" i="42"/>
  <c r="F299" i="42"/>
  <c r="H369" i="42"/>
  <c r="C326" i="42"/>
  <c r="K264" i="42"/>
  <c r="I81" i="42"/>
  <c r="B40" i="42"/>
  <c r="O138" i="42"/>
  <c r="I320" i="42"/>
  <c r="P84" i="42"/>
  <c r="K107" i="42"/>
  <c r="H280" i="42"/>
  <c r="Q58" i="42"/>
  <c r="F239" i="42"/>
  <c r="C219" i="42"/>
  <c r="G254" i="42"/>
  <c r="R243" i="42"/>
  <c r="B180" i="42"/>
  <c r="E314" i="42"/>
  <c r="B184" i="42"/>
  <c r="J232" i="42"/>
  <c r="P258" i="42"/>
  <c r="D135" i="42"/>
  <c r="L340" i="42"/>
  <c r="C157" i="42"/>
  <c r="G326" i="42"/>
  <c r="J364" i="42"/>
  <c r="O401" i="42"/>
  <c r="G375" i="42"/>
  <c r="M227" i="42"/>
  <c r="B66" i="42"/>
  <c r="F274" i="42"/>
  <c r="F322" i="42"/>
  <c r="E358" i="42"/>
  <c r="R324" i="42"/>
  <c r="E263" i="42"/>
  <c r="J188" i="42"/>
  <c r="L86" i="42"/>
  <c r="I334" i="42"/>
  <c r="P197" i="42"/>
  <c r="F363" i="42"/>
  <c r="G47" i="42"/>
  <c r="O9" i="42"/>
  <c r="O214" i="42"/>
  <c r="R274" i="42"/>
  <c r="D353" i="42"/>
  <c r="K276" i="42"/>
  <c r="Q4" i="42"/>
  <c r="B343" i="42"/>
  <c r="G100" i="42"/>
  <c r="C161" i="42"/>
  <c r="E372" i="42"/>
  <c r="C338" i="42"/>
  <c r="N138" i="42"/>
  <c r="Q133" i="42"/>
  <c r="K189" i="42"/>
  <c r="R63" i="42"/>
  <c r="G257" i="42"/>
  <c r="Q264" i="42"/>
  <c r="Q184" i="42"/>
  <c r="E344" i="42"/>
  <c r="O277" i="42"/>
  <c r="I136" i="42"/>
  <c r="G387" i="42"/>
  <c r="F241" i="42"/>
  <c r="F78" i="42"/>
  <c r="D194" i="42"/>
  <c r="E110" i="42"/>
  <c r="I280" i="42"/>
  <c r="Q290" i="42"/>
  <c r="E270" i="42"/>
  <c r="G228" i="42"/>
  <c r="G122" i="42"/>
  <c r="N216" i="42"/>
  <c r="Q242" i="42"/>
  <c r="C369" i="42"/>
  <c r="D310" i="42"/>
  <c r="G349" i="42"/>
  <c r="B384" i="42"/>
  <c r="Q327" i="42"/>
  <c r="K383" i="42"/>
  <c r="M190" i="42"/>
  <c r="B228" i="42"/>
  <c r="R338" i="42"/>
  <c r="F66" i="42"/>
  <c r="I281" i="42"/>
  <c r="N84" i="42"/>
  <c r="R347" i="42"/>
  <c r="N276" i="42"/>
  <c r="Q342" i="42"/>
  <c r="O340" i="42"/>
  <c r="G378" i="42"/>
  <c r="N323" i="42"/>
  <c r="B76" i="42"/>
  <c r="N189" i="42"/>
  <c r="K327" i="42"/>
  <c r="L319" i="42"/>
  <c r="G31" i="42"/>
  <c r="R312" i="42"/>
  <c r="I191" i="42"/>
  <c r="O314" i="42"/>
  <c r="N235" i="42"/>
  <c r="G118" i="42"/>
  <c r="J317" i="42"/>
  <c r="Q233" i="42"/>
  <c r="L317" i="42"/>
  <c r="N297" i="42"/>
  <c r="O281" i="42"/>
  <c r="N314" i="42"/>
  <c r="H335" i="42"/>
  <c r="Q250" i="42"/>
  <c r="R289" i="42"/>
  <c r="D393" i="42"/>
  <c r="J79" i="42"/>
  <c r="J341" i="42"/>
  <c r="R343" i="42"/>
  <c r="L283" i="42"/>
  <c r="F24" i="42"/>
  <c r="M385" i="42"/>
  <c r="R36" i="42"/>
  <c r="Q234" i="42"/>
  <c r="N384" i="42"/>
  <c r="I93" i="42"/>
  <c r="C171" i="42"/>
  <c r="N15" i="42"/>
  <c r="M254" i="42"/>
  <c r="R364" i="42"/>
  <c r="M176" i="42"/>
  <c r="F284" i="42"/>
  <c r="M291" i="42"/>
  <c r="H266" i="42"/>
  <c r="B19" i="42"/>
  <c r="F187" i="42"/>
  <c r="L304" i="42"/>
  <c r="P188" i="42"/>
  <c r="I222" i="42"/>
  <c r="C287" i="42"/>
  <c r="O194" i="42"/>
  <c r="R184" i="42"/>
  <c r="K297" i="42"/>
  <c r="H351" i="42"/>
  <c r="D221" i="42"/>
  <c r="C124" i="42"/>
  <c r="N329" i="42"/>
  <c r="D64" i="42"/>
  <c r="R295" i="42"/>
  <c r="E336" i="42"/>
  <c r="P348" i="42"/>
  <c r="O378" i="42"/>
  <c r="G358" i="42"/>
  <c r="H387" i="42"/>
  <c r="D377" i="42"/>
  <c r="E281" i="42"/>
  <c r="H22" i="42"/>
  <c r="H147" i="42"/>
  <c r="E333" i="42"/>
  <c r="B353" i="42"/>
  <c r="G366" i="42"/>
  <c r="E105" i="42"/>
  <c r="R229" i="42"/>
  <c r="J149" i="42"/>
  <c r="G401" i="42"/>
  <c r="D51" i="42"/>
  <c r="K132" i="42"/>
  <c r="R203" i="42"/>
  <c r="E89" i="42"/>
  <c r="B370" i="42"/>
  <c r="R375" i="42"/>
  <c r="I236" i="42"/>
  <c r="F358" i="42"/>
  <c r="F378" i="42"/>
  <c r="L196" i="42"/>
  <c r="I370" i="42"/>
  <c r="P396" i="42"/>
  <c r="R58" i="42"/>
  <c r="J63" i="42"/>
  <c r="I291" i="42"/>
  <c r="I326" i="42"/>
  <c r="K165" i="42"/>
  <c r="C362" i="42"/>
  <c r="N169" i="42"/>
  <c r="M285" i="42"/>
  <c r="B274" i="42"/>
  <c r="H286" i="42"/>
  <c r="B243" i="42"/>
  <c r="M235" i="42"/>
  <c r="I356" i="42"/>
  <c r="D129" i="42"/>
  <c r="Q199" i="42"/>
  <c r="R325" i="42"/>
  <c r="L209" i="42"/>
  <c r="Q259" i="42"/>
  <c r="Q57" i="42"/>
  <c r="E173" i="42"/>
  <c r="C145" i="42"/>
  <c r="P398" i="42"/>
  <c r="P162" i="42"/>
  <c r="H279" i="42"/>
  <c r="E382" i="42"/>
  <c r="I39" i="42"/>
  <c r="C309" i="42"/>
  <c r="D331" i="42"/>
  <c r="Q266" i="42"/>
  <c r="P281" i="42"/>
  <c r="Q167" i="42"/>
  <c r="E231" i="42"/>
  <c r="L166" i="42"/>
  <c r="C351" i="42"/>
  <c r="N320" i="42"/>
  <c r="K146" i="42"/>
  <c r="I207" i="42"/>
  <c r="P350" i="42"/>
  <c r="Q267" i="42"/>
  <c r="M10" i="42"/>
  <c r="B58" i="42"/>
  <c r="R121" i="42"/>
  <c r="N376" i="42"/>
  <c r="Q391" i="42"/>
  <c r="R345" i="42"/>
  <c r="C40" i="42"/>
  <c r="G242" i="42"/>
  <c r="E236" i="42"/>
  <c r="K217" i="42"/>
  <c r="O152" i="42"/>
  <c r="B242" i="42"/>
  <c r="R323" i="42"/>
  <c r="P305" i="42"/>
  <c r="K160" i="42"/>
  <c r="I298" i="42"/>
  <c r="F400" i="42"/>
  <c r="F401" i="42"/>
  <c r="J11" i="42"/>
  <c r="Q7" i="42"/>
  <c r="E277" i="42"/>
  <c r="G4" i="42"/>
  <c r="I232" i="42"/>
  <c r="O300" i="42"/>
  <c r="J212" i="42"/>
  <c r="B170" i="42"/>
  <c r="R351" i="42"/>
  <c r="J329" i="42"/>
  <c r="O330" i="42"/>
  <c r="D263" i="42"/>
  <c r="L156" i="42"/>
  <c r="D270" i="42"/>
  <c r="H227" i="42"/>
  <c r="H229" i="42"/>
  <c r="M336" i="42"/>
  <c r="P189" i="42"/>
  <c r="P292" i="42"/>
  <c r="J230" i="42"/>
  <c r="P199" i="42"/>
  <c r="G391" i="42"/>
  <c r="L148" i="42"/>
  <c r="H206" i="42"/>
  <c r="C349" i="42"/>
  <c r="J175" i="42"/>
  <c r="E269" i="42"/>
  <c r="K114" i="42"/>
  <c r="I240" i="42"/>
  <c r="Q279" i="42"/>
  <c r="I54" i="42"/>
  <c r="F61" i="42"/>
  <c r="E96" i="42"/>
  <c r="L294" i="42"/>
  <c r="L382" i="42"/>
  <c r="H375" i="42"/>
  <c r="R282" i="42"/>
  <c r="E58" i="42"/>
  <c r="C253" i="42"/>
  <c r="K148" i="42"/>
  <c r="J359" i="42"/>
  <c r="J107" i="42"/>
  <c r="N237" i="42"/>
  <c r="L373" i="42"/>
  <c r="F54" i="42"/>
  <c r="Q303" i="42"/>
  <c r="J55" i="42"/>
  <c r="Q369" i="42"/>
  <c r="D400" i="42"/>
  <c r="K134" i="42"/>
  <c r="P59" i="42"/>
  <c r="P332" i="42"/>
  <c r="B171" i="42"/>
  <c r="K6" i="42"/>
  <c r="L114" i="42"/>
  <c r="D333" i="42"/>
  <c r="G279" i="42"/>
  <c r="H98" i="42"/>
  <c r="F386" i="42"/>
  <c r="C142" i="42"/>
  <c r="I351" i="42"/>
  <c r="E242" i="42"/>
  <c r="P43" i="42"/>
  <c r="N13" i="42"/>
  <c r="B230" i="42"/>
  <c r="K112" i="42"/>
  <c r="E75" i="42"/>
  <c r="G224" i="42"/>
  <c r="H59" i="42"/>
  <c r="O387" i="42"/>
  <c r="M345" i="42"/>
  <c r="N335" i="42"/>
  <c r="H319" i="42"/>
  <c r="N304" i="42"/>
  <c r="D208" i="42"/>
  <c r="R70" i="42"/>
  <c r="J135" i="42"/>
  <c r="I343" i="42"/>
  <c r="V142" i="42" l="1"/>
  <c r="U142" i="42"/>
  <c r="T369" i="42"/>
  <c r="S369" i="42"/>
  <c r="T303" i="42"/>
  <c r="S303" i="42"/>
  <c r="U253" i="42"/>
  <c r="V253" i="42"/>
  <c r="S279" i="42"/>
  <c r="T279" i="42"/>
  <c r="U349" i="42"/>
  <c r="V349" i="42"/>
  <c r="T7" i="42"/>
  <c r="S7" i="42"/>
  <c r="V40" i="42"/>
  <c r="U40" i="42"/>
  <c r="S391" i="42"/>
  <c r="T391" i="42"/>
  <c r="S267" i="42"/>
  <c r="T267" i="42"/>
  <c r="U351" i="42"/>
  <c r="V351" i="42"/>
  <c r="S167" i="42"/>
  <c r="T167" i="42"/>
  <c r="S266" i="42"/>
  <c r="T266" i="42"/>
  <c r="V309" i="42"/>
  <c r="U309" i="42"/>
  <c r="U145" i="42"/>
  <c r="V145" i="42"/>
  <c r="T57" i="42"/>
  <c r="S57" i="42"/>
  <c r="T259" i="42"/>
  <c r="S259" i="42"/>
  <c r="T199" i="42"/>
  <c r="S199" i="42"/>
  <c r="U362" i="42"/>
  <c r="V362" i="42"/>
  <c r="U124" i="42"/>
  <c r="V124" i="42"/>
  <c r="U287" i="42"/>
  <c r="V287" i="42"/>
  <c r="U171" i="42"/>
  <c r="V171" i="42"/>
  <c r="T234" i="42"/>
  <c r="S234" i="42"/>
  <c r="T250" i="42"/>
  <c r="S250" i="42"/>
  <c r="S233" i="42"/>
  <c r="T233" i="42"/>
  <c r="T342" i="42"/>
  <c r="S342" i="42"/>
  <c r="T327" i="42"/>
  <c r="S327" i="42"/>
  <c r="U369" i="42"/>
  <c r="V369" i="42"/>
  <c r="S242" i="42"/>
  <c r="T242" i="42"/>
  <c r="S290" i="42"/>
  <c r="T290" i="42"/>
  <c r="T184" i="42"/>
  <c r="S184" i="42"/>
  <c r="S264" i="42"/>
  <c r="T264" i="42"/>
  <c r="T133" i="42"/>
  <c r="S133" i="42"/>
  <c r="V338" i="42"/>
  <c r="U338" i="42"/>
  <c r="V161" i="42"/>
  <c r="U161" i="42"/>
  <c r="T4" i="42"/>
  <c r="S4" i="42"/>
  <c r="V157" i="42"/>
  <c r="U157" i="42"/>
  <c r="U219" i="42"/>
  <c r="V219" i="42"/>
  <c r="T58" i="42"/>
  <c r="S58" i="42"/>
  <c r="U326" i="42"/>
  <c r="V326" i="42"/>
  <c r="T139" i="42"/>
  <c r="S139" i="42"/>
  <c r="T387" i="42"/>
  <c r="S387" i="42"/>
  <c r="T211" i="42"/>
  <c r="S211" i="42"/>
  <c r="S194" i="42"/>
  <c r="T194" i="42"/>
  <c r="U294" i="42"/>
  <c r="V294" i="42"/>
  <c r="V265" i="42"/>
  <c r="U265" i="42"/>
  <c r="U399" i="42"/>
  <c r="V399" i="42"/>
  <c r="S251" i="42"/>
  <c r="T251" i="42"/>
  <c r="U126" i="42"/>
  <c r="V126" i="42"/>
  <c r="S356" i="42"/>
  <c r="T356" i="42"/>
  <c r="V76" i="42"/>
  <c r="U76" i="42"/>
  <c r="T156" i="42"/>
  <c r="S156" i="42"/>
  <c r="V133" i="42"/>
  <c r="U133" i="42"/>
  <c r="S180" i="42"/>
  <c r="T180" i="42"/>
  <c r="V364" i="42"/>
  <c r="U364" i="42"/>
  <c r="S294" i="42"/>
  <c r="T294" i="42"/>
  <c r="U320" i="42"/>
  <c r="V320" i="42"/>
  <c r="U223" i="42"/>
  <c r="V223" i="42"/>
  <c r="T278" i="42"/>
  <c r="S278" i="42"/>
  <c r="U390" i="42"/>
  <c r="V390" i="42"/>
  <c r="V258" i="42"/>
  <c r="U258" i="42"/>
  <c r="T262" i="42"/>
  <c r="S262" i="42"/>
  <c r="T343" i="42"/>
  <c r="S343" i="42"/>
  <c r="T376" i="42"/>
  <c r="S376" i="42"/>
  <c r="V353" i="42"/>
  <c r="U353" i="42"/>
  <c r="S382" i="42"/>
  <c r="T382" i="42"/>
  <c r="T5" i="42"/>
  <c r="S5" i="42"/>
  <c r="S307" i="42"/>
  <c r="T307" i="42"/>
  <c r="V274" i="42"/>
  <c r="U274" i="42"/>
  <c r="S60" i="42"/>
  <c r="T60" i="42"/>
  <c r="T176" i="42"/>
  <c r="S176" i="42"/>
  <c r="S229" i="42"/>
  <c r="T229" i="42"/>
  <c r="S86" i="42"/>
  <c r="T86" i="42"/>
  <c r="T146" i="42"/>
  <c r="S146" i="42"/>
  <c r="U343" i="42"/>
  <c r="V343" i="42"/>
  <c r="S270" i="42"/>
  <c r="T270" i="42"/>
  <c r="V236" i="42"/>
  <c r="U236" i="42"/>
  <c r="S366" i="42"/>
  <c r="T366" i="42"/>
  <c r="V342" i="42"/>
  <c r="U342" i="42"/>
  <c r="V90" i="42"/>
  <c r="U90" i="42"/>
  <c r="V121" i="42"/>
  <c r="U121" i="42"/>
  <c r="T78" i="42"/>
  <c r="S78" i="42"/>
  <c r="S317" i="42"/>
  <c r="T317" i="42"/>
  <c r="V193" i="42"/>
  <c r="U193" i="42"/>
  <c r="V321" i="42"/>
  <c r="U321" i="42"/>
  <c r="T38" i="42"/>
  <c r="S38" i="42"/>
  <c r="V323" i="42"/>
  <c r="U323" i="42"/>
  <c r="V262" i="42"/>
  <c r="U262" i="42"/>
  <c r="V234" i="42"/>
  <c r="U234" i="42"/>
  <c r="V387" i="42"/>
  <c r="U387" i="42"/>
  <c r="V277" i="42"/>
  <c r="U277" i="42"/>
  <c r="U382" i="42"/>
  <c r="V382" i="42"/>
  <c r="U170" i="42"/>
  <c r="V170" i="42"/>
  <c r="S224" i="42"/>
  <c r="T224" i="42"/>
  <c r="T304" i="42"/>
  <c r="S304" i="42"/>
  <c r="U370" i="42"/>
  <c r="V370" i="42"/>
  <c r="T50" i="42"/>
  <c r="S50" i="42"/>
  <c r="S296" i="42"/>
  <c r="T296" i="42"/>
  <c r="V273" i="42"/>
  <c r="U273" i="42"/>
  <c r="S94" i="42"/>
  <c r="T94" i="42"/>
  <c r="U215" i="42"/>
  <c r="V215" i="42"/>
  <c r="V78" i="42"/>
  <c r="U78" i="42"/>
  <c r="V365" i="42"/>
  <c r="U365" i="42"/>
  <c r="U166" i="42"/>
  <c r="V166" i="42"/>
  <c r="S42" i="42"/>
  <c r="T42" i="42"/>
  <c r="T350" i="42"/>
  <c r="S350" i="42"/>
  <c r="T248" i="42"/>
  <c r="S248" i="42"/>
  <c r="V360" i="42"/>
  <c r="U360" i="42"/>
  <c r="S226" i="42"/>
  <c r="T226" i="42"/>
  <c r="V217" i="42"/>
  <c r="U217" i="42"/>
  <c r="U299" i="42"/>
  <c r="V299" i="42"/>
  <c r="U96" i="42"/>
  <c r="V96" i="42"/>
  <c r="V202" i="42"/>
  <c r="U202" i="42"/>
  <c r="S286" i="42"/>
  <c r="T286" i="42"/>
  <c r="V14" i="42"/>
  <c r="U14" i="42"/>
  <c r="S196" i="42"/>
  <c r="T196" i="42"/>
  <c r="V270" i="42"/>
  <c r="U270" i="42"/>
  <c r="V169" i="42"/>
  <c r="U169" i="42"/>
  <c r="S215" i="42"/>
  <c r="T215" i="42"/>
  <c r="T216" i="42"/>
  <c r="S216" i="42"/>
  <c r="T22" i="42"/>
  <c r="S22" i="42"/>
  <c r="T53" i="42"/>
  <c r="S53" i="42"/>
  <c r="S361" i="42"/>
  <c r="T361" i="42"/>
  <c r="U194" i="42"/>
  <c r="V194" i="42"/>
  <c r="S61" i="42"/>
  <c r="T61" i="42"/>
  <c r="V318" i="42"/>
  <c r="U318" i="42"/>
  <c r="U54" i="42"/>
  <c r="V54" i="42"/>
  <c r="T214" i="42"/>
  <c r="S214" i="42"/>
  <c r="V378" i="42"/>
  <c r="U378" i="42"/>
  <c r="T183" i="42"/>
  <c r="S183" i="42"/>
  <c r="S228" i="42"/>
  <c r="T228" i="42"/>
  <c r="U214" i="42"/>
  <c r="V214" i="42"/>
  <c r="S394" i="42"/>
  <c r="T394" i="42"/>
  <c r="T63" i="42"/>
  <c r="S63" i="42"/>
  <c r="V245" i="42"/>
  <c r="U245" i="42"/>
  <c r="U116" i="42"/>
  <c r="V116" i="42"/>
  <c r="T28" i="42"/>
  <c r="S28" i="42"/>
  <c r="S373" i="42"/>
  <c r="T373" i="42"/>
  <c r="V15" i="42"/>
  <c r="U15" i="42"/>
  <c r="V218" i="42"/>
  <c r="U218" i="42"/>
  <c r="U322" i="42"/>
  <c r="V322" i="42"/>
  <c r="S90" i="42"/>
  <c r="T90" i="42"/>
  <c r="T29" i="42"/>
  <c r="S29" i="42"/>
  <c r="T148" i="42"/>
  <c r="S148" i="42"/>
  <c r="V248" i="42"/>
  <c r="U248" i="42"/>
  <c r="U302" i="42"/>
  <c r="V302" i="42"/>
  <c r="S33" i="42"/>
  <c r="T33" i="42"/>
  <c r="V92" i="42"/>
  <c r="U92" i="42"/>
  <c r="V37" i="42"/>
  <c r="U37" i="42"/>
  <c r="T274" i="42"/>
  <c r="S274" i="42"/>
  <c r="U101" i="42"/>
  <c r="V101" i="42"/>
  <c r="U376" i="42"/>
  <c r="V376" i="42"/>
  <c r="U295" i="42"/>
  <c r="V295" i="42"/>
  <c r="S378" i="42"/>
  <c r="T378" i="42"/>
  <c r="T154" i="42"/>
  <c r="S154" i="42"/>
  <c r="U268" i="42"/>
  <c r="V268" i="42"/>
  <c r="T56" i="42"/>
  <c r="S56" i="42"/>
  <c r="T355" i="42"/>
  <c r="S355" i="42"/>
  <c r="V306" i="42"/>
  <c r="U306" i="42"/>
  <c r="V339" i="42"/>
  <c r="U339" i="42"/>
  <c r="V44" i="42"/>
  <c r="U44" i="42"/>
  <c r="S77" i="42"/>
  <c r="T77" i="42"/>
  <c r="V348" i="42"/>
  <c r="U348" i="42"/>
  <c r="V105" i="42"/>
  <c r="U105" i="42"/>
  <c r="V187" i="42"/>
  <c r="U187" i="42"/>
  <c r="V317" i="42"/>
  <c r="U317" i="42"/>
  <c r="S35" i="42"/>
  <c r="T35" i="42"/>
  <c r="U229" i="42"/>
  <c r="V229" i="42"/>
  <c r="U192" i="42"/>
  <c r="V192" i="42"/>
  <c r="V395" i="42"/>
  <c r="U395" i="42"/>
  <c r="V110" i="42"/>
  <c r="U110" i="42"/>
  <c r="U228" i="42"/>
  <c r="V228" i="42"/>
  <c r="U289" i="42"/>
  <c r="V289" i="42"/>
  <c r="T277" i="42"/>
  <c r="S277" i="42"/>
  <c r="S202" i="42"/>
  <c r="T202" i="42"/>
  <c r="U190" i="42"/>
  <c r="V190" i="42"/>
  <c r="U56" i="42"/>
  <c r="V56" i="42"/>
  <c r="T231" i="42"/>
  <c r="S231" i="42"/>
  <c r="V246" i="42"/>
  <c r="U246" i="42"/>
  <c r="T204" i="42"/>
  <c r="S204" i="42"/>
  <c r="U49" i="42"/>
  <c r="V49" i="42"/>
  <c r="U330" i="42"/>
  <c r="V330" i="42"/>
  <c r="S136" i="42"/>
  <c r="T136" i="42"/>
  <c r="S393" i="42"/>
  <c r="T393" i="42"/>
  <c r="V17" i="42"/>
  <c r="U17" i="42"/>
  <c r="S349" i="42"/>
  <c r="T349" i="42"/>
  <c r="S389" i="42"/>
  <c r="T389" i="42"/>
  <c r="V327" i="42"/>
  <c r="U327" i="42"/>
  <c r="S299" i="42"/>
  <c r="T299" i="42"/>
  <c r="V50" i="42"/>
  <c r="U50" i="42"/>
  <c r="S88" i="42"/>
  <c r="T88" i="42"/>
  <c r="V152" i="42"/>
  <c r="U152" i="42"/>
  <c r="U284" i="42"/>
  <c r="V284" i="42"/>
  <c r="V300" i="42"/>
  <c r="U300" i="42"/>
  <c r="V308" i="42"/>
  <c r="U308" i="42"/>
  <c r="U282" i="42"/>
  <c r="V282" i="42"/>
  <c r="V354" i="42"/>
  <c r="U354" i="42"/>
  <c r="S37" i="42"/>
  <c r="T37" i="42"/>
  <c r="U311" i="42"/>
  <c r="V311" i="42"/>
  <c r="V4" i="42"/>
  <c r="U4" i="42"/>
  <c r="T345" i="42"/>
  <c r="S345" i="42"/>
  <c r="U138" i="42"/>
  <c r="V138" i="42"/>
  <c r="T103" i="42"/>
  <c r="S103" i="42"/>
  <c r="T271" i="42"/>
  <c r="S271" i="42"/>
  <c r="T283" i="42"/>
  <c r="S283" i="42"/>
  <c r="S152" i="42"/>
  <c r="T152" i="42"/>
  <c r="V346" i="42"/>
  <c r="U346" i="42"/>
  <c r="V296" i="42"/>
  <c r="U296" i="42"/>
  <c r="S384" i="42"/>
  <c r="T384" i="42"/>
  <c r="T113" i="42"/>
  <c r="S113" i="42"/>
  <c r="T140" i="42"/>
  <c r="S140" i="42"/>
  <c r="V297" i="42"/>
  <c r="U297" i="42"/>
  <c r="V276" i="42"/>
  <c r="U276" i="42"/>
  <c r="V18" i="42"/>
  <c r="U18" i="42"/>
  <c r="S363" i="42"/>
  <c r="T363" i="42"/>
  <c r="V86" i="42"/>
  <c r="U86" i="42"/>
  <c r="V254" i="42"/>
  <c r="U254" i="42"/>
  <c r="V393" i="42"/>
  <c r="U393" i="42"/>
  <c r="S353" i="42"/>
  <c r="T353" i="42"/>
  <c r="S46" i="42"/>
  <c r="T46" i="42"/>
  <c r="T318" i="42"/>
  <c r="S318" i="42"/>
  <c r="S195" i="42"/>
  <c r="T195" i="42"/>
  <c r="V371" i="42"/>
  <c r="U371" i="42"/>
  <c r="T241" i="42"/>
  <c r="S241" i="42"/>
  <c r="V135" i="42"/>
  <c r="U135" i="42"/>
  <c r="S368" i="42"/>
  <c r="T368" i="42"/>
  <c r="V41" i="42"/>
  <c r="U41" i="42"/>
  <c r="U252" i="42"/>
  <c r="V252" i="42"/>
  <c r="U127" i="42"/>
  <c r="V127" i="42"/>
  <c r="S341" i="42"/>
  <c r="T341" i="42"/>
  <c r="S352" i="42"/>
  <c r="T352" i="42"/>
  <c r="T70" i="42"/>
  <c r="S70" i="42"/>
  <c r="T276" i="42"/>
  <c r="S276" i="42"/>
  <c r="V380" i="42"/>
  <c r="U380" i="42"/>
  <c r="T275" i="42"/>
  <c r="S275" i="42"/>
  <c r="U75" i="42"/>
  <c r="V75" i="42"/>
  <c r="U100" i="42"/>
  <c r="V100" i="42"/>
  <c r="S12" i="42"/>
  <c r="T12" i="42"/>
  <c r="T52" i="42"/>
  <c r="S52" i="42"/>
  <c r="T222" i="42"/>
  <c r="S222" i="42"/>
  <c r="T87" i="42"/>
  <c r="S87" i="42"/>
  <c r="T237" i="42"/>
  <c r="S237" i="42"/>
  <c r="S219" i="42"/>
  <c r="T219" i="42"/>
  <c r="T118" i="42"/>
  <c r="S118" i="42"/>
  <c r="U313" i="42"/>
  <c r="V313" i="42"/>
  <c r="V241" i="42"/>
  <c r="U241" i="42"/>
  <c r="T298" i="42"/>
  <c r="S298" i="42"/>
  <c r="T16" i="42"/>
  <c r="S16" i="42"/>
  <c r="U93" i="42"/>
  <c r="V93" i="42"/>
  <c r="U198" i="42"/>
  <c r="V198" i="42"/>
  <c r="U143" i="42"/>
  <c r="V143" i="42"/>
  <c r="V238" i="42"/>
  <c r="U238" i="42"/>
  <c r="U244" i="42"/>
  <c r="V244" i="42"/>
  <c r="U81" i="42"/>
  <c r="V81" i="42"/>
  <c r="V175" i="42"/>
  <c r="U175" i="42"/>
  <c r="U12" i="42"/>
  <c r="V12" i="42"/>
  <c r="T354" i="42"/>
  <c r="S354" i="42"/>
  <c r="U232" i="42"/>
  <c r="V232" i="42"/>
  <c r="T200" i="42"/>
  <c r="S200" i="42"/>
  <c r="V261" i="42"/>
  <c r="U261" i="42"/>
  <c r="V391" i="42"/>
  <c r="U391" i="42"/>
  <c r="S302" i="42"/>
  <c r="T302" i="42"/>
  <c r="U269" i="42"/>
  <c r="V269" i="42"/>
  <c r="U288" i="42"/>
  <c r="V288" i="42"/>
  <c r="S21" i="42"/>
  <c r="T21" i="42"/>
  <c r="T150" i="42"/>
  <c r="S150" i="42"/>
  <c r="U220" i="42"/>
  <c r="V220" i="42"/>
  <c r="U332" i="42"/>
  <c r="V332" i="42"/>
  <c r="T263" i="42"/>
  <c r="S263" i="42"/>
  <c r="S260" i="42"/>
  <c r="T260" i="42"/>
  <c r="V329" i="42"/>
  <c r="U329" i="42"/>
  <c r="V106" i="42"/>
  <c r="U106" i="42"/>
  <c r="S121" i="42"/>
  <c r="T121" i="42"/>
  <c r="V27" i="42"/>
  <c r="U27" i="42"/>
  <c r="S10" i="42"/>
  <c r="T10" i="42"/>
  <c r="V307" i="42"/>
  <c r="U307" i="42"/>
  <c r="S107" i="42"/>
  <c r="T107" i="42"/>
  <c r="V267" i="42"/>
  <c r="U267" i="42"/>
  <c r="S374" i="42"/>
  <c r="T374" i="42"/>
  <c r="V359" i="42"/>
  <c r="U359" i="42"/>
  <c r="S191" i="42"/>
  <c r="T191" i="42"/>
  <c r="T120" i="42"/>
  <c r="S120" i="42"/>
  <c r="T269" i="42"/>
  <c r="S269" i="42"/>
  <c r="V84" i="42"/>
  <c r="U84" i="42"/>
  <c r="T124" i="42"/>
  <c r="S124" i="42"/>
  <c r="U173" i="42"/>
  <c r="V173" i="42"/>
  <c r="S84" i="42"/>
  <c r="T84" i="42"/>
  <c r="U396" i="42"/>
  <c r="V396" i="42"/>
  <c r="U231" i="42"/>
  <c r="V231" i="42"/>
  <c r="S365" i="42"/>
  <c r="T365" i="42"/>
  <c r="U341" i="42"/>
  <c r="V341" i="42"/>
  <c r="U263" i="42"/>
  <c r="V263" i="42"/>
  <c r="V36" i="42"/>
  <c r="U36" i="42"/>
  <c r="T144" i="42"/>
  <c r="S144" i="42"/>
  <c r="T8" i="42"/>
  <c r="S8" i="42"/>
  <c r="U394" i="42"/>
  <c r="V394" i="42"/>
  <c r="U377" i="42"/>
  <c r="V377" i="42"/>
  <c r="U280" i="42"/>
  <c r="V280" i="42"/>
  <c r="S47" i="42"/>
  <c r="T47" i="42"/>
  <c r="T18" i="42"/>
  <c r="S18" i="42"/>
  <c r="S247" i="42"/>
  <c r="T247" i="42"/>
  <c r="S395" i="42"/>
  <c r="T395" i="42"/>
  <c r="U400" i="42"/>
  <c r="V400" i="42"/>
  <c r="V150" i="42"/>
  <c r="U150" i="42"/>
  <c r="U293" i="42"/>
  <c r="V293" i="42"/>
  <c r="U10" i="42"/>
  <c r="V10" i="42"/>
  <c r="V324" i="42"/>
  <c r="U324" i="42"/>
  <c r="V292" i="42"/>
  <c r="U292" i="42"/>
  <c r="T339" i="42"/>
  <c r="S339" i="42"/>
  <c r="T141" i="42"/>
  <c r="S141" i="42"/>
  <c r="T337" i="42"/>
  <c r="S337" i="42"/>
  <c r="S220" i="42"/>
  <c r="T220" i="42"/>
  <c r="S322" i="42"/>
  <c r="T322" i="42"/>
  <c r="T370" i="42"/>
  <c r="S370" i="42"/>
  <c r="T331" i="42"/>
  <c r="S331" i="42"/>
  <c r="U82" i="42"/>
  <c r="V82" i="42"/>
  <c r="V19" i="42"/>
  <c r="U19" i="42"/>
  <c r="S97" i="42"/>
  <c r="T97" i="42"/>
  <c r="U381" i="42"/>
  <c r="V381" i="42"/>
  <c r="S316" i="42"/>
  <c r="T316" i="42"/>
  <c r="S9" i="42"/>
  <c r="T9" i="42"/>
  <c r="U5" i="42"/>
  <c r="V5" i="42"/>
  <c r="T312" i="42"/>
  <c r="S312" i="42"/>
  <c r="U379" i="42"/>
  <c r="V379" i="42"/>
  <c r="V178" i="42"/>
  <c r="U178" i="42"/>
  <c r="V383" i="42"/>
  <c r="U383" i="42"/>
  <c r="U401" i="42"/>
  <c r="V401" i="42"/>
  <c r="T253" i="42"/>
  <c r="S253" i="42"/>
  <c r="S171" i="42"/>
  <c r="T171" i="42"/>
  <c r="T95" i="42"/>
  <c r="S95" i="42"/>
  <c r="V85" i="42"/>
  <c r="U85" i="42"/>
  <c r="S40" i="42"/>
  <c r="T40" i="42"/>
  <c r="S289" i="42"/>
  <c r="T289" i="42"/>
  <c r="V45" i="42"/>
  <c r="U45" i="42"/>
  <c r="U385" i="42"/>
  <c r="V385" i="42"/>
  <c r="V130" i="42"/>
  <c r="U130" i="42"/>
  <c r="S25" i="42"/>
  <c r="T25" i="42"/>
  <c r="T252" i="42"/>
  <c r="S252" i="42"/>
  <c r="S162" i="42"/>
  <c r="T162" i="42"/>
  <c r="V183" i="42"/>
  <c r="U183" i="42"/>
  <c r="T206" i="42"/>
  <c r="S206" i="42"/>
  <c r="U286" i="42"/>
  <c r="V286" i="42"/>
  <c r="T243" i="42"/>
  <c r="S243" i="42"/>
  <c r="V255" i="42"/>
  <c r="U255" i="42"/>
  <c r="V352" i="42"/>
  <c r="U352" i="42"/>
  <c r="V260" i="42"/>
  <c r="U260" i="42"/>
  <c r="U129" i="42"/>
  <c r="V129" i="42"/>
  <c r="S230" i="42"/>
  <c r="T230" i="42"/>
  <c r="V111" i="42"/>
  <c r="U111" i="42"/>
  <c r="U283" i="42"/>
  <c r="V283" i="42"/>
  <c r="U60" i="42"/>
  <c r="V60" i="42"/>
  <c r="V374" i="42"/>
  <c r="U374" i="42"/>
  <c r="S358" i="42"/>
  <c r="T358" i="42"/>
  <c r="T362" i="42"/>
  <c r="S362" i="42"/>
  <c r="S399" i="42"/>
  <c r="T399" i="42"/>
  <c r="V227" i="42"/>
  <c r="U227" i="42"/>
  <c r="U25" i="42"/>
  <c r="V25" i="42"/>
  <c r="T165" i="42"/>
  <c r="S165" i="42"/>
  <c r="V336" i="42"/>
  <c r="U336" i="42"/>
  <c r="T232" i="42"/>
  <c r="S232" i="42"/>
  <c r="S344" i="42"/>
  <c r="T344" i="42"/>
  <c r="S364" i="42"/>
  <c r="T364" i="42"/>
  <c r="U83" i="42"/>
  <c r="V83" i="42"/>
  <c r="T26" i="42"/>
  <c r="S26" i="42"/>
  <c r="U278" i="42"/>
  <c r="V278" i="42"/>
  <c r="T386" i="42"/>
  <c r="S386" i="42"/>
  <c r="T291" i="42"/>
  <c r="S291" i="42"/>
  <c r="V155" i="42"/>
  <c r="U155" i="42"/>
  <c r="T178" i="42"/>
  <c r="S178" i="42"/>
  <c r="U132" i="42"/>
  <c r="V132" i="42"/>
  <c r="S388" i="42"/>
  <c r="T388" i="42"/>
  <c r="S402" i="42"/>
  <c r="T402" i="42"/>
  <c r="S400" i="42"/>
  <c r="T400" i="42"/>
  <c r="V350" i="42"/>
  <c r="U350" i="42"/>
  <c r="T30" i="42"/>
  <c r="S30" i="42"/>
  <c r="V356" i="42"/>
  <c r="U356" i="42"/>
  <c r="T287" i="42"/>
  <c r="S287" i="42"/>
  <c r="S329" i="42"/>
  <c r="T329" i="42"/>
  <c r="S110" i="42"/>
  <c r="T110" i="42"/>
  <c r="U108" i="42"/>
  <c r="V108" i="42"/>
  <c r="V249" i="42"/>
  <c r="U249" i="42"/>
  <c r="S346" i="42"/>
  <c r="T346" i="42"/>
  <c r="T392" i="42"/>
  <c r="S392" i="42"/>
  <c r="U285" i="42"/>
  <c r="V285" i="42"/>
  <c r="V266" i="42"/>
  <c r="U266" i="42"/>
  <c r="V80" i="42"/>
  <c r="U80" i="42"/>
  <c r="V304" i="42"/>
  <c r="U304" i="42"/>
  <c r="T221" i="42"/>
  <c r="S221" i="42"/>
  <c r="S91" i="42"/>
  <c r="T91" i="42"/>
  <c r="V167" i="42"/>
  <c r="U167" i="42"/>
  <c r="S245" i="42"/>
  <c r="T245" i="42"/>
  <c r="S158" i="42"/>
  <c r="T158" i="42"/>
  <c r="U344" i="42"/>
  <c r="V344" i="42"/>
  <c r="U32" i="42"/>
  <c r="V32" i="42"/>
  <c r="T315" i="42"/>
  <c r="S315" i="42"/>
  <c r="T132" i="42"/>
  <c r="S132" i="42"/>
  <c r="T24" i="42"/>
  <c r="S24" i="42"/>
  <c r="S379" i="42"/>
  <c r="T379" i="42"/>
  <c r="U397" i="42"/>
  <c r="V397" i="42"/>
  <c r="U53" i="42"/>
  <c r="V53" i="42"/>
  <c r="U361" i="42"/>
  <c r="V361" i="42"/>
  <c r="S372" i="42"/>
  <c r="T372" i="42"/>
  <c r="S48" i="42"/>
  <c r="T48" i="42"/>
  <c r="T261" i="42"/>
  <c r="S261" i="42"/>
  <c r="S122" i="42"/>
  <c r="T122" i="42"/>
  <c r="V226" i="42"/>
  <c r="U226" i="42"/>
  <c r="U151" i="42"/>
  <c r="V151" i="42"/>
  <c r="V375" i="42"/>
  <c r="U375" i="42"/>
  <c r="V186" i="42"/>
  <c r="U186" i="42"/>
  <c r="U211" i="42"/>
  <c r="V211" i="42"/>
  <c r="V368" i="42"/>
  <c r="U368" i="42"/>
  <c r="U62" i="42"/>
  <c r="V62" i="42"/>
  <c r="U272" i="42"/>
  <c r="V272" i="42"/>
  <c r="U281" i="42"/>
  <c r="V281" i="42"/>
  <c r="U136" i="42"/>
  <c r="V136" i="42"/>
  <c r="V65" i="42"/>
  <c r="U65" i="42"/>
  <c r="U204" i="42"/>
  <c r="V204" i="42"/>
  <c r="U233" i="42"/>
  <c r="V233" i="42"/>
  <c r="U64" i="42"/>
  <c r="V64" i="42"/>
  <c r="T284" i="42"/>
  <c r="S284" i="42"/>
  <c r="U242" i="42"/>
  <c r="V242" i="42"/>
  <c r="T340" i="42"/>
  <c r="S340" i="42"/>
  <c r="S239" i="42"/>
  <c r="T239" i="42"/>
  <c r="U43" i="42"/>
  <c r="V43" i="42"/>
  <c r="T325" i="42"/>
  <c r="S325" i="42"/>
  <c r="S273" i="42"/>
  <c r="T273" i="42"/>
  <c r="S49" i="42"/>
  <c r="T49" i="42"/>
  <c r="U259" i="42"/>
  <c r="V259" i="42"/>
  <c r="V221" i="42"/>
  <c r="U221" i="42"/>
  <c r="V256" i="42"/>
  <c r="U256" i="42"/>
  <c r="S115" i="42"/>
  <c r="T115" i="42"/>
  <c r="T83" i="42"/>
  <c r="S83" i="42"/>
  <c r="V148" i="42"/>
  <c r="U148" i="42"/>
  <c r="V250" i="42"/>
  <c r="U250" i="42"/>
  <c r="U392" i="42"/>
  <c r="V392" i="42"/>
  <c r="S209" i="42"/>
  <c r="T209" i="42"/>
  <c r="U55" i="42"/>
  <c r="V55" i="42"/>
  <c r="S297" i="42"/>
  <c r="T297" i="42"/>
  <c r="V125" i="42"/>
  <c r="U125" i="42"/>
  <c r="U366" i="42"/>
  <c r="V366" i="42"/>
  <c r="S367" i="42"/>
  <c r="T367" i="42"/>
  <c r="S320" i="42"/>
  <c r="T320" i="42"/>
  <c r="S59" i="42"/>
  <c r="T59" i="42"/>
  <c r="V388" i="42"/>
  <c r="U388" i="42"/>
  <c r="T308" i="42"/>
  <c r="S308" i="42"/>
  <c r="T173" i="42"/>
  <c r="S173" i="42"/>
  <c r="S151" i="42"/>
  <c r="T151" i="42"/>
  <c r="V355" i="42"/>
  <c r="U355" i="42"/>
  <c r="S99" i="42"/>
  <c r="T99" i="42"/>
  <c r="S285" i="42"/>
  <c r="T285" i="42"/>
  <c r="S390" i="42"/>
  <c r="T390" i="42"/>
  <c r="V71" i="42"/>
  <c r="U71" i="42"/>
  <c r="S81" i="42"/>
  <c r="T81" i="42"/>
  <c r="T347" i="42"/>
  <c r="S347" i="42"/>
  <c r="U182" i="42"/>
  <c r="V182" i="42"/>
  <c r="T147" i="42"/>
  <c r="S147" i="42"/>
  <c r="S153" i="42"/>
  <c r="T153" i="42"/>
  <c r="V95" i="42"/>
  <c r="U95" i="42"/>
  <c r="V26" i="42"/>
  <c r="U26" i="42"/>
  <c r="V144" i="42"/>
  <c r="U144" i="42"/>
  <c r="U335" i="42"/>
  <c r="V335" i="42"/>
  <c r="T244" i="42"/>
  <c r="S244" i="42"/>
  <c r="U334" i="42"/>
  <c r="V334" i="42"/>
  <c r="V271" i="42"/>
  <c r="U271" i="42"/>
  <c r="V174" i="42"/>
  <c r="U174" i="42"/>
  <c r="V9" i="42"/>
  <c r="U9" i="42"/>
  <c r="V312" i="42"/>
  <c r="U312" i="42"/>
  <c r="T20" i="42"/>
  <c r="S20" i="42"/>
  <c r="S292" i="42"/>
  <c r="T292" i="42"/>
  <c r="U181" i="42"/>
  <c r="V181" i="42"/>
  <c r="U230" i="42"/>
  <c r="V230" i="42"/>
  <c r="V24" i="42"/>
  <c r="U24" i="42"/>
  <c r="U389" i="42"/>
  <c r="V389" i="42"/>
  <c r="U279" i="42"/>
  <c r="V279" i="42"/>
  <c r="V333" i="42"/>
  <c r="U333" i="42"/>
  <c r="T177" i="42"/>
  <c r="S177" i="42"/>
  <c r="T131" i="42"/>
  <c r="S131" i="42"/>
  <c r="U373" i="42"/>
  <c r="V373" i="42"/>
  <c r="U275" i="42"/>
  <c r="V275" i="42"/>
  <c r="T321" i="42"/>
  <c r="S321" i="42"/>
  <c r="T125" i="42"/>
  <c r="S125" i="42"/>
  <c r="S396" i="42"/>
  <c r="T396" i="42"/>
  <c r="S280" i="42"/>
  <c r="T280" i="42"/>
  <c r="V172" i="42"/>
  <c r="U172" i="42"/>
  <c r="V74" i="42"/>
  <c r="U74" i="42"/>
  <c r="U89" i="42"/>
  <c r="V89" i="42"/>
  <c r="U156" i="42"/>
  <c r="V156" i="42"/>
  <c r="T64" i="42"/>
  <c r="S64" i="42"/>
  <c r="T383" i="42"/>
  <c r="S383" i="42"/>
  <c r="S310" i="42"/>
  <c r="T310" i="42"/>
  <c r="T36" i="42"/>
  <c r="S36" i="42"/>
  <c r="V235" i="42"/>
  <c r="U235" i="42"/>
  <c r="S246" i="42"/>
  <c r="T246" i="42"/>
  <c r="V147" i="42"/>
  <c r="U147" i="42"/>
  <c r="U46" i="42"/>
  <c r="V46" i="42"/>
  <c r="U70" i="42"/>
  <c r="V70" i="42"/>
  <c r="S323" i="42"/>
  <c r="T323" i="42"/>
  <c r="T126" i="42"/>
  <c r="S126" i="42"/>
  <c r="U99" i="42"/>
  <c r="V99" i="42"/>
  <c r="V319" i="42"/>
  <c r="U319" i="42"/>
  <c r="U384" i="42"/>
  <c r="V384" i="42"/>
  <c r="V331" i="42"/>
  <c r="U331" i="42"/>
  <c r="S240" i="42"/>
  <c r="T240" i="42"/>
  <c r="T169" i="42"/>
  <c r="S169" i="42"/>
  <c r="V205" i="42"/>
  <c r="U205" i="42"/>
  <c r="U180" i="42"/>
  <c r="V180" i="42"/>
  <c r="T385" i="42"/>
  <c r="S385" i="42"/>
  <c r="T326" i="42"/>
  <c r="S326" i="42"/>
  <c r="V239" i="42"/>
  <c r="U239" i="42"/>
  <c r="S357" i="42"/>
  <c r="T357" i="42"/>
  <c r="T54" i="42"/>
  <c r="S54" i="42"/>
  <c r="T163" i="42"/>
  <c r="S163" i="42"/>
  <c r="S217" i="42"/>
  <c r="T217" i="42"/>
  <c r="T371" i="42"/>
  <c r="S371" i="42"/>
  <c r="T381" i="42"/>
  <c r="S381" i="42"/>
  <c r="S155" i="42"/>
  <c r="T155" i="42"/>
  <c r="S236" i="42"/>
  <c r="T236" i="42"/>
  <c r="S335" i="42"/>
  <c r="T335" i="42"/>
  <c r="T188" i="42"/>
  <c r="S188" i="42"/>
  <c r="S258" i="42"/>
  <c r="T258" i="42"/>
  <c r="T311" i="42"/>
  <c r="S311" i="42"/>
  <c r="S223" i="42"/>
  <c r="T223" i="42"/>
  <c r="S306" i="42"/>
  <c r="T306" i="42"/>
  <c r="T238" i="42"/>
  <c r="S238" i="42"/>
  <c r="V77" i="42"/>
  <c r="U77" i="42"/>
  <c r="U298" i="42"/>
  <c r="V298" i="42"/>
  <c r="T185" i="42"/>
  <c r="S185" i="42"/>
  <c r="S305" i="42"/>
  <c r="T305" i="42"/>
  <c r="U42" i="42"/>
  <c r="V42" i="42"/>
  <c r="U216" i="42"/>
  <c r="V216" i="42"/>
  <c r="U11" i="42"/>
  <c r="V11" i="42"/>
  <c r="S397" i="42"/>
  <c r="T397" i="42"/>
  <c r="S189" i="42"/>
  <c r="T189" i="42"/>
  <c r="S272" i="42"/>
  <c r="T272" i="42"/>
  <c r="V240" i="42"/>
  <c r="U240" i="42"/>
  <c r="S235" i="42"/>
  <c r="T235" i="42"/>
  <c r="T328" i="42"/>
  <c r="S328" i="42"/>
  <c r="U200" i="42"/>
  <c r="V200" i="42"/>
  <c r="T334" i="42"/>
  <c r="S334" i="42"/>
  <c r="S17" i="42"/>
  <c r="T17" i="42"/>
  <c r="S377" i="42"/>
  <c r="T377" i="42"/>
  <c r="V91" i="42"/>
  <c r="U91" i="42"/>
  <c r="V195" i="42"/>
  <c r="U195" i="42"/>
  <c r="V59" i="42"/>
  <c r="U59" i="42"/>
  <c r="T164" i="42"/>
  <c r="S164" i="42"/>
  <c r="S19" i="42"/>
  <c r="T19" i="42"/>
  <c r="U237" i="42"/>
  <c r="V237" i="42"/>
  <c r="U345" i="42"/>
  <c r="V345" i="42"/>
  <c r="T218" i="42"/>
  <c r="S218" i="42"/>
  <c r="T268" i="42"/>
  <c r="S268" i="42"/>
  <c r="S398" i="42"/>
  <c r="T398" i="42"/>
  <c r="T106" i="42"/>
  <c r="S106" i="42"/>
  <c r="V128" i="42"/>
  <c r="U128" i="42"/>
  <c r="S11" i="42"/>
  <c r="T11" i="42"/>
  <c r="V165" i="42"/>
  <c r="U165" i="42"/>
  <c r="U88" i="42"/>
  <c r="V88" i="42"/>
  <c r="U303" i="42"/>
  <c r="V303" i="42"/>
  <c r="T43" i="42"/>
  <c r="S43" i="42"/>
  <c r="T203" i="42"/>
  <c r="S203" i="42"/>
  <c r="U123" i="42"/>
  <c r="V123" i="42"/>
  <c r="V247" i="42"/>
  <c r="U247" i="42"/>
  <c r="T300" i="42"/>
  <c r="S300" i="42"/>
  <c r="S401" i="42"/>
  <c r="T401" i="42"/>
  <c r="V35" i="42"/>
  <c r="U35" i="42"/>
  <c r="U149" i="42"/>
  <c r="V149" i="42"/>
  <c r="T34" i="42"/>
  <c r="S34" i="42"/>
  <c r="S313" i="42"/>
  <c r="T313" i="42"/>
  <c r="T338" i="42"/>
  <c r="S338" i="42"/>
  <c r="V66" i="42"/>
  <c r="U66" i="42"/>
  <c r="V39" i="42"/>
  <c r="U39" i="42"/>
  <c r="T109" i="42"/>
  <c r="S109" i="42"/>
  <c r="S89" i="42"/>
  <c r="T89" i="42"/>
  <c r="U358" i="42"/>
  <c r="V358" i="42"/>
  <c r="V6" i="42"/>
  <c r="U6" i="42"/>
  <c r="T137" i="42"/>
  <c r="S137" i="42"/>
  <c r="V104" i="42"/>
  <c r="U104" i="42"/>
  <c r="S192" i="42"/>
  <c r="T192" i="42"/>
  <c r="V120" i="42"/>
  <c r="U120" i="42"/>
  <c r="S208" i="42"/>
  <c r="T208" i="42"/>
  <c r="U402" i="42"/>
  <c r="V402" i="42"/>
  <c r="V206" i="42"/>
  <c r="U206" i="42"/>
  <c r="S295" i="42"/>
  <c r="T295" i="42"/>
  <c r="U305" i="42"/>
  <c r="V305" i="42"/>
  <c r="U113" i="42"/>
  <c r="V113" i="42"/>
  <c r="V357" i="42"/>
  <c r="U357" i="42"/>
  <c r="V243" i="42"/>
  <c r="U243" i="42"/>
  <c r="T332" i="42"/>
  <c r="S332" i="42"/>
  <c r="S31" i="42"/>
  <c r="T31" i="42"/>
  <c r="S179" i="42"/>
  <c r="T179" i="42"/>
  <c r="U137" i="42"/>
  <c r="V137" i="42"/>
  <c r="U115" i="42"/>
  <c r="V115" i="42"/>
  <c r="V131" i="42"/>
  <c r="U131" i="42"/>
  <c r="U177" i="42"/>
  <c r="V177" i="42"/>
  <c r="V337" i="42"/>
  <c r="U337" i="42"/>
  <c r="U57" i="42"/>
  <c r="V57" i="42"/>
  <c r="S76" i="42"/>
  <c r="T76" i="42"/>
  <c r="S359" i="42"/>
  <c r="T359" i="42"/>
  <c r="U291" i="42"/>
  <c r="V291" i="42"/>
  <c r="S108" i="42"/>
  <c r="T108" i="42"/>
  <c r="U367" i="42"/>
  <c r="V367" i="42"/>
  <c r="T23" i="42"/>
  <c r="S23" i="42"/>
  <c r="S336" i="42"/>
  <c r="T336" i="42"/>
  <c r="S348" i="42"/>
  <c r="T348" i="42"/>
  <c r="U179" i="42"/>
  <c r="V179" i="42"/>
  <c r="T149" i="42"/>
  <c r="S149" i="42"/>
  <c r="V158" i="42"/>
  <c r="U158" i="42"/>
  <c r="V316" i="42"/>
  <c r="U316" i="42"/>
  <c r="S68" i="42"/>
  <c r="T68" i="42"/>
  <c r="V314" i="42"/>
  <c r="U314" i="42"/>
  <c r="V203" i="42"/>
  <c r="U203" i="42"/>
  <c r="U251" i="42"/>
  <c r="V251" i="42"/>
  <c r="S249" i="42"/>
  <c r="T249" i="42"/>
  <c r="U207" i="42"/>
  <c r="V207" i="42"/>
  <c r="S172" i="42"/>
  <c r="T172" i="42"/>
  <c r="V58" i="42"/>
  <c r="U58" i="42"/>
  <c r="U290" i="42"/>
  <c r="V290" i="42"/>
  <c r="U160" i="42"/>
  <c r="V160" i="42"/>
  <c r="T360" i="42"/>
  <c r="S360" i="42"/>
  <c r="V134" i="42"/>
  <c r="U134" i="42"/>
  <c r="T142" i="42"/>
  <c r="S142" i="42"/>
  <c r="V48" i="42"/>
  <c r="U48" i="42"/>
  <c r="V34" i="42"/>
  <c r="U34" i="42"/>
  <c r="S210" i="42"/>
  <c r="T210" i="42"/>
  <c r="S82" i="42"/>
  <c r="T82" i="42"/>
  <c r="S100" i="42"/>
  <c r="T100" i="42"/>
  <c r="T330" i="42"/>
  <c r="S330" i="42"/>
  <c r="S85" i="42"/>
  <c r="T85" i="42"/>
  <c r="V29" i="42"/>
  <c r="U29" i="42"/>
  <c r="V225" i="42"/>
  <c r="U225" i="42"/>
  <c r="V16" i="42"/>
  <c r="U16" i="42"/>
  <c r="S67" i="42"/>
  <c r="T67" i="42"/>
  <c r="S256" i="42"/>
  <c r="T256" i="42"/>
  <c r="T41" i="42"/>
  <c r="S41" i="42"/>
  <c r="U146" i="42"/>
  <c r="V146" i="42"/>
  <c r="T96" i="42"/>
  <c r="S96" i="42"/>
  <c r="U184" i="42"/>
  <c r="V184" i="42"/>
  <c r="U118" i="42"/>
  <c r="V118" i="42"/>
  <c r="U68" i="42"/>
  <c r="V68" i="42"/>
  <c r="S265" i="42"/>
  <c r="T265" i="42"/>
  <c r="S128" i="42"/>
  <c r="T128" i="42"/>
  <c r="S301" i="42"/>
  <c r="T301" i="42"/>
  <c r="S138" i="42"/>
  <c r="T138" i="42"/>
  <c r="V315" i="42"/>
  <c r="U315" i="42"/>
  <c r="S160" i="42"/>
  <c r="T160" i="42"/>
  <c r="U28" i="42"/>
  <c r="V28" i="42"/>
  <c r="V310" i="42"/>
  <c r="U310" i="42"/>
  <c r="S32" i="42"/>
  <c r="T32" i="42"/>
  <c r="T288" i="42"/>
  <c r="S288" i="42"/>
  <c r="S92" i="42"/>
  <c r="T92" i="42"/>
  <c r="S79" i="42"/>
  <c r="T79" i="42"/>
  <c r="V23" i="42"/>
  <c r="U23" i="42"/>
  <c r="V212" i="42"/>
  <c r="U212" i="42"/>
  <c r="V176" i="42"/>
  <c r="U176" i="42"/>
  <c r="S134" i="42"/>
  <c r="T134" i="42"/>
  <c r="V139" i="42"/>
  <c r="U139" i="42"/>
  <c r="U325" i="42"/>
  <c r="V325" i="42"/>
  <c r="U122" i="42"/>
  <c r="V122" i="42"/>
  <c r="S333" i="42"/>
  <c r="T333" i="42"/>
  <c r="U363" i="42"/>
  <c r="V363" i="42"/>
  <c r="S55" i="42"/>
  <c r="T55" i="42"/>
  <c r="S170" i="42"/>
  <c r="T170" i="42"/>
  <c r="U102" i="42"/>
  <c r="V102" i="42"/>
  <c r="U103" i="42"/>
  <c r="V103" i="42"/>
  <c r="S66" i="42"/>
  <c r="T66" i="42"/>
  <c r="V47" i="42"/>
  <c r="U47" i="42"/>
  <c r="S257" i="42"/>
  <c r="T257" i="42"/>
  <c r="V264" i="42"/>
  <c r="U264" i="42"/>
  <c r="U22" i="42"/>
  <c r="V22" i="42"/>
  <c r="S186" i="42"/>
  <c r="T186" i="42"/>
  <c r="T314" i="42"/>
  <c r="S314" i="42"/>
  <c r="V154" i="42"/>
  <c r="U154" i="42"/>
  <c r="U199" i="42"/>
  <c r="V199" i="42"/>
  <c r="S175" i="42"/>
  <c r="T175" i="42"/>
  <c r="S161" i="42"/>
  <c r="T161" i="42"/>
  <c r="V97" i="42"/>
  <c r="U97" i="42"/>
  <c r="T205" i="42"/>
  <c r="S205" i="42"/>
  <c r="U191" i="42"/>
  <c r="V191" i="42"/>
  <c r="V372" i="42"/>
  <c r="U372" i="42"/>
  <c r="V347" i="42"/>
  <c r="U347" i="42"/>
  <c r="V98" i="42"/>
  <c r="U98" i="42"/>
  <c r="V67" i="42"/>
  <c r="U67" i="42"/>
  <c r="S143" i="42"/>
  <c r="T143" i="42"/>
  <c r="T198" i="42"/>
  <c r="S198" i="42"/>
  <c r="T159" i="42"/>
  <c r="S159" i="42"/>
  <c r="T51" i="42"/>
  <c r="S51" i="42"/>
  <c r="V222" i="42"/>
  <c r="U222" i="42"/>
  <c r="T116" i="42"/>
  <c r="S116" i="42"/>
  <c r="S69" i="42"/>
  <c r="T69" i="42"/>
  <c r="T135" i="42"/>
  <c r="S135" i="42"/>
  <c r="S282" i="42"/>
  <c r="T282" i="42"/>
  <c r="U21" i="42"/>
  <c r="V21" i="42"/>
  <c r="U162" i="42"/>
  <c r="V162" i="42"/>
  <c r="V224" i="42"/>
  <c r="U224" i="42"/>
  <c r="U210" i="42"/>
  <c r="V210" i="42"/>
  <c r="U153" i="42"/>
  <c r="V153" i="42"/>
  <c r="S281" i="42"/>
  <c r="T281" i="42"/>
  <c r="T319" i="42"/>
  <c r="S319" i="42"/>
  <c r="S174" i="42"/>
  <c r="T174" i="42"/>
  <c r="V61" i="42"/>
  <c r="U61" i="42"/>
  <c r="S201" i="42"/>
  <c r="T201" i="42"/>
  <c r="S187" i="42"/>
  <c r="T187" i="42"/>
  <c r="U301" i="42"/>
  <c r="V301" i="42"/>
  <c r="U328" i="42"/>
  <c r="V328" i="42"/>
  <c r="T111" i="42"/>
  <c r="S111" i="42"/>
  <c r="V33" i="42"/>
  <c r="U33" i="42"/>
  <c r="S225" i="42"/>
  <c r="T225" i="42"/>
  <c r="U386" i="42"/>
  <c r="V386" i="42"/>
  <c r="V201" i="42"/>
  <c r="U201" i="42"/>
  <c r="S351" i="42"/>
  <c r="T351" i="42"/>
  <c r="U63" i="42"/>
  <c r="V63" i="42"/>
  <c r="U140" i="42"/>
  <c r="V140" i="42"/>
  <c r="U8" i="42"/>
  <c r="V8" i="42"/>
  <c r="V189" i="42"/>
  <c r="U189" i="42"/>
  <c r="T75" i="42"/>
  <c r="S75" i="42"/>
  <c r="U398" i="42"/>
  <c r="V398" i="42"/>
  <c r="S166" i="42"/>
  <c r="T166" i="42"/>
  <c r="V20" i="42"/>
  <c r="U20" i="42"/>
  <c r="T104" i="42"/>
  <c r="S104" i="42"/>
  <c r="V164" i="42"/>
  <c r="U164" i="42"/>
  <c r="T80" i="42"/>
  <c r="S80" i="42"/>
  <c r="T44" i="42"/>
  <c r="S44" i="42"/>
  <c r="T145" i="42"/>
  <c r="S145" i="42"/>
  <c r="V38" i="42"/>
  <c r="U38" i="42"/>
  <c r="U188" i="42"/>
  <c r="V188" i="42"/>
  <c r="T14" i="42"/>
  <c r="S14" i="42"/>
  <c r="V185" i="42"/>
  <c r="U185" i="42"/>
  <c r="U209" i="42"/>
  <c r="V209" i="42"/>
  <c r="S98" i="42"/>
  <c r="T98" i="42"/>
  <c r="S6" i="42"/>
  <c r="T6" i="42"/>
  <c r="T74" i="42"/>
  <c r="S74" i="42"/>
  <c r="V94" i="42"/>
  <c r="U94" i="42"/>
  <c r="U197" i="42"/>
  <c r="V197" i="42"/>
  <c r="V159" i="42"/>
  <c r="U159" i="42"/>
  <c r="T129" i="42"/>
  <c r="S129" i="42"/>
  <c r="V208" i="42"/>
  <c r="U208" i="42"/>
  <c r="S45" i="42"/>
  <c r="T45" i="42"/>
  <c r="V163" i="42"/>
  <c r="U163" i="42"/>
  <c r="U257" i="42"/>
  <c r="V257" i="42"/>
  <c r="S71" i="42"/>
  <c r="T71" i="42"/>
  <c r="U109" i="42"/>
  <c r="V109" i="42"/>
  <c r="U69" i="42"/>
  <c r="V69" i="42"/>
  <c r="S212" i="42"/>
  <c r="T212" i="42"/>
  <c r="S375" i="42"/>
  <c r="T375" i="42"/>
  <c r="U31" i="42"/>
  <c r="V31" i="42"/>
  <c r="U114" i="42"/>
  <c r="V114" i="42"/>
  <c r="T62" i="42"/>
  <c r="S62" i="42"/>
  <c r="T93" i="42"/>
  <c r="S93" i="42"/>
  <c r="T72" i="42"/>
  <c r="S72" i="42"/>
  <c r="S127" i="42"/>
  <c r="T127" i="42"/>
  <c r="T105" i="42"/>
  <c r="S105" i="42"/>
  <c r="S193" i="42"/>
  <c r="T193" i="42"/>
  <c r="U7" i="42"/>
  <c r="V7" i="42"/>
  <c r="S101" i="42"/>
  <c r="T101" i="42"/>
  <c r="U213" i="42"/>
  <c r="V213" i="42"/>
  <c r="T309" i="42"/>
  <c r="S309" i="42"/>
  <c r="S207" i="42"/>
  <c r="T207" i="42"/>
  <c r="T181" i="42"/>
  <c r="S181" i="42"/>
  <c r="S114" i="42"/>
  <c r="T114" i="42"/>
  <c r="S157" i="42"/>
  <c r="T157" i="42"/>
  <c r="V52" i="42"/>
  <c r="U52" i="42"/>
  <c r="S213" i="42"/>
  <c r="T213" i="42"/>
  <c r="U87" i="42"/>
  <c r="V87" i="42"/>
  <c r="T73" i="42"/>
  <c r="S73" i="42"/>
  <c r="V340" i="42"/>
  <c r="U340" i="42"/>
  <c r="T227" i="42"/>
  <c r="S227" i="42"/>
  <c r="T190" i="42"/>
  <c r="S190" i="42"/>
  <c r="V72" i="42"/>
  <c r="U72" i="42"/>
  <c r="T39" i="42"/>
  <c r="S39" i="42"/>
  <c r="U112" i="42"/>
  <c r="V112" i="42"/>
  <c r="T182" i="42"/>
  <c r="S182" i="42"/>
  <c r="U13" i="42"/>
  <c r="V13" i="42"/>
  <c r="T130" i="42"/>
  <c r="S130" i="42"/>
  <c r="S112" i="42"/>
  <c r="T112" i="42"/>
  <c r="T65" i="42"/>
  <c r="S65" i="42"/>
  <c r="V30" i="42"/>
  <c r="U30" i="42"/>
  <c r="S293" i="42"/>
  <c r="T293" i="42"/>
  <c r="U117" i="42"/>
  <c r="V117" i="42"/>
  <c r="V107" i="42"/>
  <c r="U107" i="42"/>
  <c r="T117" i="42"/>
  <c r="S117" i="42"/>
  <c r="T254" i="42"/>
  <c r="S254" i="42"/>
  <c r="V196" i="42"/>
  <c r="U196" i="42"/>
  <c r="T380" i="42"/>
  <c r="S380" i="42"/>
  <c r="S324" i="42"/>
  <c r="T324" i="42"/>
  <c r="S255" i="42"/>
  <c r="T255" i="42"/>
  <c r="S168" i="42"/>
  <c r="T168" i="42"/>
  <c r="V79" i="42"/>
  <c r="U79" i="42"/>
  <c r="S27" i="42"/>
  <c r="T27" i="42"/>
  <c r="S197" i="42"/>
  <c r="T197" i="42"/>
  <c r="S15" i="42"/>
  <c r="T15" i="42"/>
  <c r="T123" i="42"/>
  <c r="S123" i="42"/>
  <c r="S102" i="42"/>
  <c r="T102" i="42"/>
  <c r="V168" i="42"/>
  <c r="U168" i="42"/>
  <c r="V73" i="42"/>
  <c r="U73" i="42"/>
  <c r="U51" i="42"/>
  <c r="V51" i="42"/>
  <c r="T13" i="42"/>
  <c r="S13" i="42"/>
  <c r="T119" i="42"/>
  <c r="S119" i="42"/>
  <c r="U141" i="42"/>
  <c r="V141" i="42"/>
  <c r="U119" i="42"/>
  <c r="V119" i="42"/>
  <c r="G65" i="39"/>
  <c r="H65" i="39"/>
  <c r="I65" i="39"/>
  <c r="J65" i="39"/>
  <c r="K64" i="39"/>
  <c r="F66" i="39"/>
  <c r="B66" i="39"/>
  <c r="E66" i="39"/>
  <c r="D66" i="39"/>
  <c r="C66" i="39"/>
  <c r="K12" i="37" l="1" a="1"/>
  <c r="K12" i="37" s="1"/>
  <c r="K13" i="37" s="1" a="1"/>
  <c r="K13" i="37" s="1"/>
  <c r="J23" i="37" s="1"/>
  <c r="L23" i="37" s="1"/>
  <c r="I66" i="39"/>
  <c r="J66" i="39"/>
  <c r="G66" i="39"/>
  <c r="H66" i="39"/>
  <c r="K65" i="39"/>
  <c r="D67" i="39"/>
  <c r="C67" i="39"/>
  <c r="F67" i="39"/>
  <c r="B67" i="39"/>
  <c r="E67" i="39"/>
  <c r="J24" i="37" l="1"/>
  <c r="N24" i="37" s="1"/>
  <c r="K23" i="37"/>
  <c r="M23" i="37"/>
  <c r="N23" i="37"/>
  <c r="J25" i="37"/>
  <c r="L25" i="37" s="1"/>
  <c r="I67" i="39"/>
  <c r="J67" i="39"/>
  <c r="H67" i="39"/>
  <c r="G67" i="39"/>
  <c r="K66" i="39"/>
  <c r="F68" i="39"/>
  <c r="B68" i="39"/>
  <c r="E68" i="39"/>
  <c r="D68" i="39"/>
  <c r="C68" i="39"/>
  <c r="N25" i="37" l="1"/>
  <c r="K24" i="37"/>
  <c r="K25" i="37"/>
  <c r="M24" i="37"/>
  <c r="L24" i="37"/>
  <c r="M25" i="37"/>
  <c r="J26" i="37"/>
  <c r="J27" i="37" s="1"/>
  <c r="I68" i="39"/>
  <c r="H68" i="39"/>
  <c r="G68" i="39"/>
  <c r="J68" i="39"/>
  <c r="K67" i="39"/>
  <c r="D69" i="39"/>
  <c r="C69" i="39"/>
  <c r="F69" i="39"/>
  <c r="B69" i="39"/>
  <c r="E69" i="39"/>
  <c r="K26" i="37" l="1"/>
  <c r="N26" i="37"/>
  <c r="L26" i="37"/>
  <c r="M26" i="37"/>
  <c r="L27" i="37"/>
  <c r="J28" i="37"/>
  <c r="K27" i="37"/>
  <c r="M27" i="37"/>
  <c r="N27" i="37"/>
  <c r="I69" i="39"/>
  <c r="H69" i="39"/>
  <c r="G69" i="39"/>
  <c r="J69" i="39"/>
  <c r="K68" i="39"/>
  <c r="F70" i="39"/>
  <c r="B70" i="39"/>
  <c r="E70" i="39"/>
  <c r="D70" i="39"/>
  <c r="C70" i="39"/>
  <c r="J29" i="37" l="1"/>
  <c r="K28" i="37"/>
  <c r="M28" i="37"/>
  <c r="N28" i="37"/>
  <c r="L28" i="37"/>
  <c r="H70" i="39"/>
  <c r="G70" i="39"/>
  <c r="I70" i="39"/>
  <c r="J70" i="39"/>
  <c r="K69" i="39"/>
  <c r="F71" i="39"/>
  <c r="D71" i="39"/>
  <c r="C71" i="39"/>
  <c r="B71" i="39"/>
  <c r="E71" i="39"/>
  <c r="J30" i="37" l="1"/>
  <c r="M29" i="37"/>
  <c r="N29" i="37"/>
  <c r="L29" i="37"/>
  <c r="K29" i="37"/>
  <c r="H71" i="39"/>
  <c r="G71" i="39"/>
  <c r="J71" i="39"/>
  <c r="I71" i="39"/>
  <c r="K70" i="39"/>
  <c r="C72" i="39"/>
  <c r="F72" i="39"/>
  <c r="B72" i="39"/>
  <c r="E72" i="39"/>
  <c r="D72" i="39"/>
  <c r="N30" i="37" l="1"/>
  <c r="K30" i="37"/>
  <c r="L30" i="37"/>
  <c r="M30" i="37"/>
  <c r="J31" i="37"/>
  <c r="G72" i="39"/>
  <c r="J72" i="39"/>
  <c r="I72" i="39"/>
  <c r="H72" i="39"/>
  <c r="K71" i="39"/>
  <c r="E73" i="39"/>
  <c r="D73" i="39"/>
  <c r="C73" i="39"/>
  <c r="F73" i="39"/>
  <c r="B73" i="39"/>
  <c r="K31" i="37" l="1"/>
  <c r="N31" i="37"/>
  <c r="M31" i="37"/>
  <c r="L31" i="37"/>
  <c r="J32" i="37"/>
  <c r="I73" i="39"/>
  <c r="G73" i="39"/>
  <c r="J73" i="39"/>
  <c r="H73" i="39"/>
  <c r="K72" i="39"/>
  <c r="C74" i="39"/>
  <c r="F74" i="39"/>
  <c r="B74" i="39"/>
  <c r="E74" i="39"/>
  <c r="D74" i="39"/>
  <c r="J33" i="37" l="1"/>
  <c r="K32" i="37"/>
  <c r="M32" i="37"/>
  <c r="N32" i="37"/>
  <c r="L32" i="37"/>
  <c r="I74" i="39"/>
  <c r="H74" i="39"/>
  <c r="J74" i="39"/>
  <c r="G74" i="39"/>
  <c r="K73" i="39"/>
  <c r="E75" i="39"/>
  <c r="D75" i="39"/>
  <c r="C75" i="39"/>
  <c r="F75" i="39"/>
  <c r="B75" i="39"/>
  <c r="K33" i="37" l="1"/>
  <c r="J34" i="37"/>
  <c r="N33" i="37"/>
  <c r="L33" i="37"/>
  <c r="M33" i="37"/>
  <c r="G75" i="39"/>
  <c r="I75" i="39"/>
  <c r="J75" i="39"/>
  <c r="H75" i="39"/>
  <c r="K74" i="39"/>
  <c r="C76" i="39"/>
  <c r="F76" i="39"/>
  <c r="B76" i="39"/>
  <c r="E76" i="39"/>
  <c r="D76" i="39"/>
  <c r="L34" i="37" l="1"/>
  <c r="M34" i="37"/>
  <c r="K34" i="37"/>
  <c r="J35" i="37"/>
  <c r="N34" i="37"/>
  <c r="I76" i="39"/>
  <c r="J76" i="39"/>
  <c r="H76" i="39"/>
  <c r="G76" i="39"/>
  <c r="K75" i="39"/>
  <c r="E77" i="39"/>
  <c r="D77" i="39"/>
  <c r="C77" i="39"/>
  <c r="F77" i="39"/>
  <c r="B77" i="39"/>
  <c r="K35" i="37" l="1"/>
  <c r="M35" i="37"/>
  <c r="J36" i="37"/>
  <c r="N35" i="37"/>
  <c r="L35" i="37"/>
  <c r="J77" i="39"/>
  <c r="H77" i="39"/>
  <c r="G77" i="39"/>
  <c r="I77" i="39"/>
  <c r="K76" i="39"/>
  <c r="C78" i="39"/>
  <c r="F78" i="39"/>
  <c r="B78" i="39"/>
  <c r="E78" i="39"/>
  <c r="D78" i="39"/>
  <c r="N36" i="37" l="1"/>
  <c r="M36" i="37"/>
  <c r="L36" i="37"/>
  <c r="K36" i="37"/>
  <c r="J37" i="37"/>
  <c r="J78" i="39"/>
  <c r="H78" i="39"/>
  <c r="G78" i="39"/>
  <c r="I78" i="39"/>
  <c r="K77" i="39"/>
  <c r="E79" i="39"/>
  <c r="D79" i="39"/>
  <c r="C79" i="39"/>
  <c r="F79" i="39"/>
  <c r="B79" i="39"/>
  <c r="K37" i="37" l="1"/>
  <c r="L37" i="37"/>
  <c r="N37" i="37"/>
  <c r="M37" i="37"/>
  <c r="J38" i="37"/>
  <c r="G79" i="39"/>
  <c r="J79" i="39"/>
  <c r="I79" i="39"/>
  <c r="H79" i="39"/>
  <c r="K78" i="39"/>
  <c r="C80" i="39"/>
  <c r="F80" i="39"/>
  <c r="B80" i="39"/>
  <c r="E80" i="39"/>
  <c r="D80" i="39"/>
  <c r="M38" i="37" l="1"/>
  <c r="K38" i="37"/>
  <c r="L38" i="37"/>
  <c r="N38" i="37"/>
  <c r="J39" i="37"/>
  <c r="G80" i="39"/>
  <c r="J80" i="39"/>
  <c r="H80" i="39"/>
  <c r="I80" i="39"/>
  <c r="K79" i="39"/>
  <c r="E81" i="39"/>
  <c r="D81" i="39"/>
  <c r="C81" i="39"/>
  <c r="F81" i="39"/>
  <c r="B81" i="39"/>
  <c r="J40" i="37" l="1"/>
  <c r="N39" i="37"/>
  <c r="M39" i="37"/>
  <c r="K39" i="37"/>
  <c r="L39" i="37"/>
  <c r="G81" i="39"/>
  <c r="I81" i="39"/>
  <c r="J81" i="39"/>
  <c r="H81" i="39"/>
  <c r="K80" i="39"/>
  <c r="C82" i="39"/>
  <c r="F82" i="39"/>
  <c r="B82" i="39"/>
  <c r="E82" i="39"/>
  <c r="D82" i="39"/>
  <c r="L40" i="37" l="1"/>
  <c r="K40" i="37"/>
  <c r="M40" i="37"/>
  <c r="N40" i="37"/>
  <c r="J41" i="37"/>
  <c r="I82" i="39"/>
  <c r="H82" i="39"/>
  <c r="G82" i="39"/>
  <c r="J82" i="39"/>
  <c r="K81" i="39"/>
  <c r="E83" i="39"/>
  <c r="D83" i="39"/>
  <c r="C83" i="39"/>
  <c r="F83" i="39"/>
  <c r="B83" i="39"/>
  <c r="K41" i="37" l="1"/>
  <c r="L41" i="37"/>
  <c r="M41" i="37"/>
  <c r="N41" i="37"/>
  <c r="J83" i="39"/>
  <c r="H83" i="39"/>
  <c r="G83" i="39"/>
  <c r="I83" i="39"/>
  <c r="K82" i="39"/>
  <c r="C84" i="39"/>
  <c r="F84" i="39"/>
  <c r="B84" i="39"/>
  <c r="E84" i="39"/>
  <c r="D84" i="39"/>
  <c r="I84" i="39" l="1"/>
  <c r="J84" i="39"/>
  <c r="H84" i="39"/>
  <c r="G84" i="39"/>
  <c r="K83" i="39"/>
  <c r="E85" i="39"/>
  <c r="D85" i="39"/>
  <c r="C85" i="39"/>
  <c r="F85" i="39"/>
  <c r="B85" i="39"/>
  <c r="G85" i="39" l="1"/>
  <c r="I85" i="39"/>
  <c r="H85" i="39"/>
  <c r="J85" i="39"/>
  <c r="K84" i="39"/>
  <c r="C86" i="39"/>
  <c r="F86" i="39"/>
  <c r="B86" i="39"/>
  <c r="E86" i="39"/>
  <c r="D86" i="39"/>
  <c r="H86" i="39" l="1"/>
  <c r="I86" i="39"/>
  <c r="J86" i="39"/>
  <c r="G86" i="39"/>
  <c r="K85" i="39"/>
  <c r="E87" i="39"/>
  <c r="D87" i="39"/>
  <c r="C87" i="39"/>
  <c r="F87" i="39"/>
  <c r="B87" i="39"/>
  <c r="I87" i="39" l="1"/>
  <c r="G87" i="39"/>
  <c r="H87" i="39"/>
  <c r="J87" i="39"/>
  <c r="K86" i="39"/>
  <c r="C88" i="39"/>
  <c r="F88" i="39"/>
  <c r="B88" i="39"/>
  <c r="E88" i="39"/>
  <c r="D88" i="39"/>
  <c r="H88" i="39" l="1"/>
  <c r="J88" i="39"/>
  <c r="G88" i="39"/>
  <c r="I88" i="39"/>
  <c r="K87" i="39"/>
  <c r="E89" i="39"/>
  <c r="D89" i="39"/>
  <c r="C89" i="39"/>
  <c r="F89" i="39"/>
  <c r="B89" i="39"/>
  <c r="H89" i="39" l="1"/>
  <c r="J89" i="39"/>
  <c r="G89" i="39"/>
  <c r="I89" i="39"/>
  <c r="K88" i="39"/>
  <c r="C90" i="39"/>
  <c r="F90" i="39"/>
  <c r="B90" i="39"/>
  <c r="E90" i="39"/>
  <c r="D90" i="39"/>
  <c r="J90" i="39" l="1"/>
  <c r="I90" i="39"/>
  <c r="G90" i="39"/>
  <c r="H90" i="39"/>
  <c r="K89" i="39"/>
  <c r="E91" i="39"/>
  <c r="D91" i="39"/>
  <c r="C91" i="39"/>
  <c r="F91" i="39"/>
  <c r="B91" i="39"/>
  <c r="G91" i="39" l="1"/>
  <c r="H91" i="39"/>
  <c r="J91" i="39"/>
  <c r="I91" i="39"/>
  <c r="K90" i="39"/>
  <c r="C92" i="39"/>
  <c r="F92" i="39"/>
  <c r="B92" i="39"/>
  <c r="E92" i="39"/>
  <c r="D92" i="39"/>
  <c r="H92" i="39" l="1"/>
  <c r="J92" i="39"/>
  <c r="G92" i="39"/>
  <c r="I92" i="39"/>
  <c r="K91" i="39"/>
  <c r="E93" i="39"/>
  <c r="D93" i="39"/>
  <c r="C93" i="39"/>
  <c r="F93" i="39"/>
  <c r="B93" i="39"/>
  <c r="J93" i="39" l="1"/>
  <c r="G93" i="39"/>
  <c r="I93" i="39"/>
  <c r="H93" i="39"/>
  <c r="K92" i="39"/>
  <c r="C94" i="39"/>
  <c r="F94" i="39"/>
  <c r="B94" i="39"/>
  <c r="E94" i="39"/>
  <c r="D94" i="39"/>
  <c r="H94" i="39" l="1"/>
  <c r="J94" i="39"/>
  <c r="G94" i="39"/>
  <c r="I94" i="39"/>
  <c r="K93" i="39"/>
  <c r="E95" i="39"/>
  <c r="D95" i="39"/>
  <c r="C95" i="39"/>
  <c r="F95" i="39"/>
  <c r="B95" i="39"/>
  <c r="H95" i="39" l="1"/>
  <c r="I95" i="39"/>
  <c r="G95" i="39"/>
  <c r="J95" i="39"/>
  <c r="K94" i="39"/>
  <c r="C96" i="39"/>
  <c r="F96" i="39"/>
  <c r="B96" i="39"/>
  <c r="E96" i="39"/>
  <c r="D96" i="39"/>
  <c r="G96" i="39" l="1"/>
  <c r="H96" i="39"/>
  <c r="J96" i="39"/>
  <c r="I96" i="39"/>
  <c r="K95" i="39"/>
  <c r="E97" i="39"/>
  <c r="D97" i="39"/>
  <c r="C97" i="39"/>
  <c r="F97" i="39"/>
  <c r="B97" i="39"/>
  <c r="G97" i="39" l="1"/>
  <c r="J97" i="39"/>
  <c r="I97" i="39"/>
  <c r="H97" i="39"/>
  <c r="K96" i="39"/>
  <c r="C98" i="39"/>
  <c r="F98" i="39"/>
  <c r="B98" i="39"/>
  <c r="E98" i="39"/>
  <c r="D98" i="39"/>
  <c r="J98" i="39" l="1"/>
  <c r="G98" i="39"/>
  <c r="H98" i="39"/>
  <c r="I98" i="39"/>
  <c r="K97" i="39"/>
  <c r="E99" i="39"/>
  <c r="D99" i="39"/>
  <c r="C99" i="39"/>
  <c r="F99" i="39"/>
  <c r="B99" i="39"/>
  <c r="H99" i="39" l="1"/>
  <c r="I99" i="39"/>
  <c r="J99" i="39"/>
  <c r="G99" i="39"/>
  <c r="K98" i="39"/>
  <c r="C100" i="39"/>
  <c r="F100" i="39"/>
  <c r="B100" i="39"/>
  <c r="E100" i="39"/>
  <c r="D100" i="39"/>
  <c r="H100" i="39" l="1"/>
  <c r="I100" i="39"/>
  <c r="J100" i="39"/>
  <c r="G100" i="39"/>
  <c r="K99" i="39"/>
  <c r="E101" i="39"/>
  <c r="D101" i="39"/>
  <c r="C101" i="39"/>
  <c r="F101" i="39"/>
  <c r="B101" i="39"/>
  <c r="J101" i="39" l="1"/>
  <c r="H101" i="39"/>
  <c r="G101" i="39"/>
  <c r="I101" i="39"/>
  <c r="K100" i="39"/>
  <c r="C102" i="39"/>
  <c r="F102" i="39"/>
  <c r="B102" i="39"/>
  <c r="E102" i="39"/>
  <c r="D102" i="39"/>
  <c r="J102" i="39" l="1"/>
  <c r="H102" i="39"/>
  <c r="G102" i="39"/>
  <c r="I102" i="39"/>
  <c r="K101" i="39"/>
  <c r="E103" i="39"/>
  <c r="D103" i="39"/>
  <c r="C103" i="39"/>
  <c r="F103" i="39"/>
  <c r="B103" i="39"/>
  <c r="G103" i="39" l="1"/>
  <c r="H103" i="39"/>
  <c r="J103" i="39"/>
  <c r="I103" i="39"/>
  <c r="K102" i="39"/>
  <c r="C104" i="39"/>
  <c r="F104" i="39"/>
  <c r="B104" i="39"/>
  <c r="E104" i="39"/>
  <c r="D104" i="39"/>
  <c r="I104" i="39" l="1"/>
  <c r="H104" i="39"/>
  <c r="J104" i="39"/>
  <c r="G104" i="39"/>
  <c r="K103" i="39"/>
  <c r="E105" i="39"/>
  <c r="D105" i="39"/>
  <c r="C105" i="39"/>
  <c r="F105" i="39"/>
  <c r="B105" i="39"/>
  <c r="G105" i="39" l="1"/>
  <c r="I105" i="39"/>
  <c r="J105" i="39"/>
  <c r="H105" i="39"/>
  <c r="K104" i="39"/>
  <c r="C106" i="39"/>
  <c r="F106" i="39"/>
  <c r="B106" i="39"/>
  <c r="E106" i="39"/>
  <c r="D106" i="39"/>
  <c r="I106" i="39" l="1"/>
  <c r="J106" i="39"/>
  <c r="H106" i="39"/>
  <c r="G106" i="39"/>
  <c r="K105" i="39"/>
  <c r="E107" i="39"/>
  <c r="D107" i="39"/>
  <c r="C107" i="39"/>
  <c r="F107" i="39"/>
  <c r="B107" i="39"/>
  <c r="H107" i="39" l="1"/>
  <c r="I107" i="39"/>
  <c r="G107" i="39"/>
  <c r="J107" i="39"/>
  <c r="K106" i="39"/>
  <c r="C108" i="39"/>
  <c r="F108" i="39"/>
  <c r="B108" i="39"/>
  <c r="E108" i="39"/>
  <c r="D108" i="39"/>
  <c r="G108" i="39" l="1"/>
  <c r="I108" i="39"/>
  <c r="J108" i="39"/>
  <c r="H108" i="39"/>
  <c r="K107" i="39"/>
  <c r="E109" i="39"/>
  <c r="D109" i="39"/>
  <c r="C109" i="39"/>
  <c r="F109" i="39"/>
  <c r="B109" i="39"/>
  <c r="G109" i="39" l="1"/>
  <c r="J109" i="39"/>
  <c r="I109" i="39"/>
  <c r="H109" i="39"/>
  <c r="K108" i="39"/>
  <c r="C110" i="39"/>
  <c r="F110" i="39"/>
  <c r="B110" i="39"/>
  <c r="E110" i="39"/>
  <c r="D110" i="39"/>
  <c r="G110" i="39" l="1"/>
  <c r="J110" i="39"/>
  <c r="I110" i="39"/>
  <c r="H110" i="39"/>
  <c r="K109" i="39"/>
  <c r="E111" i="39"/>
  <c r="D111" i="39"/>
  <c r="C111" i="39"/>
  <c r="F111" i="39"/>
  <c r="B111" i="39"/>
  <c r="H111" i="39" l="1"/>
  <c r="I111" i="39"/>
  <c r="G111" i="39"/>
  <c r="J111" i="39"/>
  <c r="K110" i="39"/>
  <c r="C112" i="39"/>
  <c r="F112" i="39"/>
  <c r="B112" i="39"/>
  <c r="E112" i="39"/>
  <c r="D112" i="39"/>
  <c r="I112" i="39" l="1"/>
  <c r="H112" i="39"/>
  <c r="G112" i="39"/>
  <c r="J112" i="39"/>
  <c r="K111" i="39"/>
  <c r="E113" i="39"/>
  <c r="D113" i="39"/>
  <c r="C113" i="39"/>
  <c r="F113" i="39"/>
  <c r="B113" i="39"/>
  <c r="G113" i="39" l="1"/>
  <c r="I113" i="39"/>
  <c r="H113" i="39"/>
  <c r="J113" i="39"/>
  <c r="K112" i="39"/>
  <c r="C114" i="39"/>
  <c r="F114" i="39"/>
  <c r="B114" i="39"/>
  <c r="E114" i="39"/>
  <c r="D114" i="39"/>
  <c r="G114" i="39" l="1"/>
  <c r="I114" i="39"/>
  <c r="H114" i="39"/>
  <c r="J114" i="39"/>
  <c r="K113" i="39"/>
  <c r="E115" i="39"/>
  <c r="D115" i="39"/>
  <c r="C115" i="39"/>
  <c r="F115" i="39"/>
  <c r="B115" i="39"/>
  <c r="J115" i="39" l="1"/>
  <c r="G115" i="39"/>
  <c r="I115" i="39"/>
  <c r="H115" i="39"/>
  <c r="K114" i="39"/>
  <c r="C116" i="39"/>
  <c r="F116" i="39"/>
  <c r="B116" i="39"/>
  <c r="E116" i="39"/>
  <c r="D116" i="39"/>
  <c r="I116" i="39" l="1"/>
  <c r="H116" i="39"/>
  <c r="G116" i="39"/>
  <c r="J116" i="39"/>
  <c r="K115" i="39"/>
  <c r="E117" i="39"/>
  <c r="D117" i="39"/>
  <c r="C117" i="39"/>
  <c r="F117" i="39"/>
  <c r="B117" i="39"/>
  <c r="J117" i="39" l="1"/>
  <c r="H117" i="39"/>
  <c r="G117" i="39"/>
  <c r="I117" i="39"/>
  <c r="K116" i="39"/>
  <c r="C118" i="39"/>
  <c r="F118" i="39"/>
  <c r="B118" i="39"/>
  <c r="E118" i="39"/>
  <c r="D118" i="39"/>
  <c r="I118" i="39" l="1"/>
  <c r="H118" i="39"/>
  <c r="J118" i="39"/>
  <c r="G118" i="39"/>
  <c r="K117" i="39"/>
  <c r="E119" i="39"/>
  <c r="D119" i="39"/>
  <c r="C119" i="39"/>
  <c r="F119" i="39"/>
  <c r="B119" i="39"/>
  <c r="H119" i="39" l="1"/>
  <c r="I119" i="39"/>
  <c r="G119" i="39"/>
  <c r="J119" i="39"/>
  <c r="K118" i="39"/>
  <c r="C120" i="39"/>
  <c r="F120" i="39"/>
  <c r="B120" i="39"/>
  <c r="E120" i="39"/>
  <c r="D120" i="39"/>
  <c r="G120" i="39" l="1"/>
  <c r="I120" i="39"/>
  <c r="J120" i="39"/>
  <c r="H120" i="39"/>
  <c r="K119" i="39"/>
  <c r="E121" i="39"/>
  <c r="D121" i="39"/>
  <c r="C121" i="39"/>
  <c r="F121" i="39"/>
  <c r="B121" i="39"/>
  <c r="G121" i="39" l="1"/>
  <c r="I121" i="39"/>
  <c r="H121" i="39"/>
  <c r="J121" i="39"/>
  <c r="K120" i="39"/>
  <c r="C122" i="39"/>
  <c r="F122" i="39"/>
  <c r="B122" i="39"/>
  <c r="E122" i="39"/>
  <c r="D122" i="39"/>
  <c r="I122" i="39" l="1"/>
  <c r="H122" i="39"/>
  <c r="G122" i="39"/>
  <c r="J122" i="39"/>
  <c r="K121" i="39"/>
  <c r="E123" i="39"/>
  <c r="D123" i="39"/>
  <c r="C123" i="39"/>
  <c r="F123" i="39"/>
  <c r="B123" i="39"/>
  <c r="K122" i="39" l="1"/>
  <c r="I123" i="39"/>
  <c r="G123" i="39"/>
  <c r="J123" i="39"/>
  <c r="H123" i="39"/>
  <c r="C124" i="39"/>
  <c r="F124" i="39"/>
  <c r="B124" i="39"/>
  <c r="E124" i="39"/>
  <c r="D124" i="39"/>
  <c r="G124" i="39" l="1"/>
  <c r="I124" i="39"/>
  <c r="H124" i="39"/>
  <c r="J124" i="39"/>
  <c r="K123" i="39"/>
  <c r="E125" i="39"/>
  <c r="D125" i="39"/>
  <c r="C125" i="39"/>
  <c r="F125" i="39"/>
  <c r="B125" i="39"/>
  <c r="I125" i="39" l="1"/>
  <c r="G125" i="39"/>
  <c r="H125" i="39"/>
  <c r="J125" i="39"/>
  <c r="K124" i="39"/>
  <c r="C126" i="39"/>
  <c r="F126" i="39"/>
  <c r="B126" i="39"/>
  <c r="E126" i="39"/>
  <c r="D126" i="39"/>
  <c r="I126" i="39" l="1"/>
  <c r="J126" i="39"/>
  <c r="H126" i="39"/>
  <c r="G126" i="39"/>
  <c r="K125" i="39"/>
  <c r="E127" i="39"/>
  <c r="D127" i="39"/>
  <c r="C127" i="39"/>
  <c r="F127" i="39"/>
  <c r="B127" i="39"/>
  <c r="H127" i="39" l="1"/>
  <c r="I127" i="39"/>
  <c r="G127" i="39"/>
  <c r="J127" i="39"/>
  <c r="K126" i="39"/>
  <c r="C128" i="39"/>
  <c r="F128" i="39"/>
  <c r="B128" i="39"/>
  <c r="E128" i="39"/>
  <c r="D128" i="39"/>
  <c r="G128" i="39" l="1"/>
  <c r="I128" i="39"/>
  <c r="J128" i="39"/>
  <c r="H128" i="39"/>
  <c r="K127" i="39"/>
  <c r="E129" i="39"/>
  <c r="D129" i="39"/>
  <c r="C129" i="39"/>
  <c r="F129" i="39"/>
  <c r="B129" i="39"/>
  <c r="H129" i="39" l="1"/>
  <c r="J129" i="39"/>
  <c r="I129" i="39"/>
  <c r="G129" i="39"/>
  <c r="K128" i="39"/>
  <c r="C130" i="39"/>
  <c r="F130" i="39"/>
  <c r="B130" i="39"/>
  <c r="E130" i="39"/>
  <c r="D130" i="39"/>
  <c r="H130" i="39" l="1"/>
  <c r="J130" i="39"/>
  <c r="I130" i="39"/>
  <c r="G130" i="39"/>
  <c r="K129" i="39"/>
  <c r="E131" i="39"/>
  <c r="D131" i="39"/>
  <c r="C131" i="39"/>
  <c r="F131" i="39"/>
  <c r="B131" i="39"/>
  <c r="H131" i="39" l="1"/>
  <c r="I131" i="39"/>
  <c r="G131" i="39"/>
  <c r="J131" i="39"/>
  <c r="K130" i="39"/>
  <c r="C132" i="39"/>
  <c r="F132" i="39"/>
  <c r="B132" i="39"/>
  <c r="E132" i="39"/>
  <c r="D132" i="39"/>
  <c r="G132" i="39" l="1"/>
  <c r="J132" i="39"/>
  <c r="I132" i="39"/>
  <c r="H132" i="39"/>
  <c r="K131" i="39"/>
  <c r="E133" i="39"/>
  <c r="D133" i="39"/>
  <c r="C133" i="39"/>
  <c r="F133" i="39"/>
  <c r="B133" i="39"/>
  <c r="G133" i="39" l="1"/>
  <c r="J133" i="39"/>
  <c r="H133" i="39"/>
  <c r="I133" i="39"/>
  <c r="K132" i="39"/>
  <c r="C134" i="39"/>
  <c r="F134" i="39"/>
  <c r="B134" i="39"/>
  <c r="E134" i="39"/>
  <c r="D134" i="39"/>
  <c r="H134" i="39" l="1"/>
  <c r="G134" i="39"/>
  <c r="I134" i="39"/>
  <c r="J134" i="39"/>
  <c r="K133" i="39"/>
  <c r="E135" i="39"/>
  <c r="D135" i="39"/>
  <c r="C135" i="39"/>
  <c r="F135" i="39"/>
  <c r="B135" i="39"/>
  <c r="J135" i="39" l="1"/>
  <c r="H135" i="39"/>
  <c r="G135" i="39"/>
  <c r="I135" i="39"/>
  <c r="K134" i="39"/>
  <c r="C136" i="39"/>
  <c r="F136" i="39"/>
  <c r="B136" i="39"/>
  <c r="E136" i="39"/>
  <c r="D136" i="39"/>
  <c r="I136" i="39" l="1"/>
  <c r="J136" i="39"/>
  <c r="H136" i="39"/>
  <c r="G136" i="39"/>
  <c r="K135" i="39"/>
  <c r="E137" i="39"/>
  <c r="D137" i="39"/>
  <c r="C137" i="39"/>
  <c r="F137" i="39"/>
  <c r="B137" i="39"/>
  <c r="G137" i="39" l="1"/>
  <c r="H137" i="39"/>
  <c r="J137" i="39"/>
  <c r="I137" i="39"/>
  <c r="K136" i="39"/>
  <c r="C138" i="39"/>
  <c r="F138" i="39"/>
  <c r="B138" i="39"/>
  <c r="E138" i="39"/>
  <c r="D138" i="39"/>
  <c r="I138" i="39" l="1"/>
  <c r="H138" i="39"/>
  <c r="J138" i="39"/>
  <c r="G138" i="39"/>
  <c r="K137" i="39"/>
  <c r="E139" i="39"/>
  <c r="D139" i="39"/>
  <c r="C139" i="39"/>
  <c r="F139" i="39"/>
  <c r="B139" i="39"/>
  <c r="H139" i="39" l="1"/>
  <c r="G139" i="39"/>
  <c r="J139" i="39"/>
  <c r="I139" i="39"/>
  <c r="K138" i="39"/>
  <c r="F140" i="39"/>
  <c r="B140" i="39"/>
  <c r="E140" i="39"/>
  <c r="D140" i="39"/>
  <c r="C140" i="39"/>
  <c r="I140" i="39" l="1"/>
  <c r="J140" i="39"/>
  <c r="G140" i="39"/>
  <c r="H140" i="39"/>
  <c r="K139" i="39"/>
  <c r="D141" i="39"/>
  <c r="C141" i="39"/>
  <c r="F141" i="39"/>
  <c r="B141" i="39"/>
  <c r="E141" i="39"/>
  <c r="J141" i="39" l="1"/>
  <c r="G141" i="39"/>
  <c r="H141" i="39"/>
  <c r="I141" i="39"/>
  <c r="K140" i="39"/>
  <c r="F142" i="39"/>
  <c r="B142" i="39"/>
  <c r="E142" i="39"/>
  <c r="D142" i="39"/>
  <c r="C142" i="39"/>
  <c r="H142" i="39" l="1"/>
  <c r="G142" i="39"/>
  <c r="I142" i="39"/>
  <c r="J142" i="39"/>
  <c r="K141" i="39"/>
  <c r="D143" i="39"/>
  <c r="C143" i="39"/>
  <c r="F143" i="39"/>
  <c r="B143" i="39"/>
  <c r="E143" i="39"/>
  <c r="G143" i="39" l="1"/>
  <c r="J143" i="39"/>
  <c r="I143" i="39"/>
  <c r="H143" i="39"/>
  <c r="K142" i="39"/>
  <c r="F144" i="39"/>
  <c r="B144" i="39"/>
  <c r="E144" i="39"/>
  <c r="D144" i="39"/>
  <c r="C144" i="39"/>
  <c r="G144" i="39" l="1"/>
  <c r="J144" i="39"/>
  <c r="I144" i="39"/>
  <c r="H144" i="39"/>
  <c r="K143" i="39"/>
  <c r="D145" i="39"/>
  <c r="C145" i="39"/>
  <c r="F145" i="39"/>
  <c r="B145" i="39"/>
  <c r="E145" i="39"/>
  <c r="G145" i="39" l="1"/>
  <c r="H145" i="39"/>
  <c r="J145" i="39"/>
  <c r="I145" i="39"/>
  <c r="K144" i="39"/>
  <c r="F146" i="39"/>
  <c r="B146" i="39"/>
  <c r="E146" i="39"/>
  <c r="D146" i="39"/>
  <c r="C146" i="39"/>
  <c r="H146" i="39" l="1"/>
  <c r="J146" i="39"/>
  <c r="G146" i="39"/>
  <c r="I146" i="39"/>
  <c r="K145" i="39"/>
  <c r="D147" i="39"/>
  <c r="C147" i="39"/>
  <c r="F147" i="39"/>
  <c r="B147" i="39"/>
  <c r="E147" i="39"/>
  <c r="J147" i="39" l="1"/>
  <c r="H147" i="39"/>
  <c r="I147" i="39"/>
  <c r="G147" i="39"/>
  <c r="K146" i="39"/>
  <c r="F148" i="39"/>
  <c r="B148" i="39"/>
  <c r="E148" i="39"/>
  <c r="D148" i="39"/>
  <c r="C148" i="39"/>
  <c r="H148" i="39" l="1"/>
  <c r="I148" i="39"/>
  <c r="G148" i="39"/>
  <c r="J148" i="39"/>
  <c r="K147" i="39"/>
  <c r="D149" i="39"/>
  <c r="C149" i="39"/>
  <c r="F149" i="39"/>
  <c r="B149" i="39"/>
  <c r="E149" i="39"/>
  <c r="G149" i="39" l="1"/>
  <c r="H149" i="39"/>
  <c r="J149" i="39"/>
  <c r="I149" i="39"/>
  <c r="K148" i="39"/>
  <c r="F150" i="39"/>
  <c r="B150" i="39"/>
  <c r="E150" i="39"/>
  <c r="D150" i="39"/>
  <c r="C150" i="39"/>
  <c r="I150" i="39" l="1"/>
  <c r="H150" i="39"/>
  <c r="J150" i="39"/>
  <c r="G150" i="39"/>
  <c r="K149" i="39"/>
  <c r="D151" i="39"/>
  <c r="C151" i="39"/>
  <c r="F151" i="39"/>
  <c r="B151" i="39"/>
  <c r="E151" i="39"/>
  <c r="I151" i="39" l="1"/>
  <c r="J151" i="39"/>
  <c r="G151" i="39"/>
  <c r="H151" i="39"/>
  <c r="K150" i="39"/>
  <c r="F152" i="39"/>
  <c r="B152" i="39"/>
  <c r="E152" i="39"/>
  <c r="D152" i="39"/>
  <c r="C152" i="39"/>
  <c r="G152" i="39" l="1"/>
  <c r="I152" i="39"/>
  <c r="H152" i="39"/>
  <c r="J152" i="39"/>
  <c r="K151" i="39"/>
  <c r="D153" i="39"/>
  <c r="C153" i="39"/>
  <c r="F153" i="39"/>
  <c r="B153" i="39"/>
  <c r="E153" i="39"/>
  <c r="H153" i="39" l="1"/>
  <c r="I153" i="39"/>
  <c r="J153" i="39"/>
  <c r="G153" i="39"/>
  <c r="K152" i="39"/>
  <c r="F154" i="39"/>
  <c r="B154" i="39"/>
  <c r="E154" i="39"/>
  <c r="D154" i="39"/>
  <c r="C154" i="39"/>
  <c r="J154" i="39" l="1"/>
  <c r="G154" i="39"/>
  <c r="I154" i="39"/>
  <c r="H154" i="39"/>
  <c r="K153" i="39"/>
  <c r="D155" i="39"/>
  <c r="C155" i="39"/>
  <c r="F155" i="39"/>
  <c r="B155" i="39"/>
  <c r="E155" i="39"/>
  <c r="H155" i="39" l="1"/>
  <c r="J155" i="39"/>
  <c r="G155" i="39"/>
  <c r="I155" i="39"/>
  <c r="K154" i="39"/>
  <c r="F156" i="39"/>
  <c r="B156" i="39"/>
  <c r="E156" i="39"/>
  <c r="D156" i="39"/>
  <c r="C156" i="39"/>
  <c r="G156" i="39" l="1"/>
  <c r="J156" i="39"/>
  <c r="I156" i="39"/>
  <c r="H156" i="39"/>
  <c r="K155" i="39"/>
  <c r="D157" i="39"/>
  <c r="C157" i="39"/>
  <c r="F157" i="39"/>
  <c r="B157" i="39"/>
  <c r="E157" i="39"/>
  <c r="H157" i="39" l="1"/>
  <c r="I157" i="39"/>
  <c r="G157" i="39"/>
  <c r="J157" i="39"/>
  <c r="K156" i="39"/>
  <c r="F158" i="39"/>
  <c r="B158" i="39"/>
  <c r="E158" i="39"/>
  <c r="D158" i="39"/>
  <c r="C158" i="39"/>
  <c r="K157" i="39" l="1"/>
  <c r="I158" i="39"/>
  <c r="G158" i="39"/>
  <c r="J158" i="39"/>
  <c r="H158" i="39"/>
  <c r="D159" i="39"/>
  <c r="C159" i="39"/>
  <c r="F159" i="39"/>
  <c r="B159" i="39"/>
  <c r="E159" i="39"/>
  <c r="G159" i="39" l="1"/>
  <c r="I159" i="39"/>
  <c r="H159" i="39"/>
  <c r="J159" i="39"/>
  <c r="K158" i="39"/>
  <c r="F160" i="39"/>
  <c r="B160" i="39"/>
  <c r="E160" i="39"/>
  <c r="D160" i="39"/>
  <c r="C160" i="39"/>
  <c r="H160" i="39" l="1"/>
  <c r="G160" i="39"/>
  <c r="J160" i="39"/>
  <c r="I160" i="39"/>
  <c r="K159" i="39"/>
  <c r="D161" i="39"/>
  <c r="C161" i="39"/>
  <c r="F161" i="39"/>
  <c r="B161" i="39"/>
  <c r="E161" i="39"/>
  <c r="G161" i="39" l="1"/>
  <c r="J161" i="39"/>
  <c r="H161" i="39"/>
  <c r="I161" i="39"/>
  <c r="K160" i="39"/>
  <c r="F162" i="39"/>
  <c r="B162" i="39"/>
  <c r="E162" i="39"/>
  <c r="D162" i="39"/>
  <c r="C162" i="39"/>
  <c r="G162" i="39" l="1"/>
  <c r="J162" i="39"/>
  <c r="I162" i="39"/>
  <c r="H162" i="39"/>
  <c r="K161" i="39"/>
  <c r="D163" i="39"/>
  <c r="C163" i="39"/>
  <c r="F163" i="39"/>
  <c r="B163" i="39"/>
  <c r="E163" i="39"/>
  <c r="I163" i="39" l="1"/>
  <c r="J163" i="39"/>
  <c r="G163" i="39"/>
  <c r="H163" i="39"/>
  <c r="K162" i="39"/>
  <c r="F164" i="39"/>
  <c r="B164" i="39"/>
  <c r="E164" i="39"/>
  <c r="D164" i="39"/>
  <c r="C164" i="39"/>
  <c r="H164" i="39" l="1"/>
  <c r="G164" i="39"/>
  <c r="J164" i="39"/>
  <c r="I164" i="39"/>
  <c r="K163" i="39"/>
  <c r="D165" i="39"/>
  <c r="C165" i="39"/>
  <c r="F165" i="39"/>
  <c r="B165" i="39"/>
  <c r="E165" i="39"/>
  <c r="I165" i="39" l="1"/>
  <c r="H165" i="39"/>
  <c r="J165" i="39"/>
  <c r="G165" i="39"/>
  <c r="K164" i="39"/>
  <c r="F166" i="39"/>
  <c r="B166" i="39"/>
  <c r="E166" i="39"/>
  <c r="D166" i="39"/>
  <c r="C166" i="39"/>
  <c r="H166" i="39" l="1"/>
  <c r="J166" i="39"/>
  <c r="I166" i="39"/>
  <c r="G166" i="39"/>
  <c r="K165" i="39"/>
  <c r="D167" i="39"/>
  <c r="C167" i="39"/>
  <c r="F167" i="39"/>
  <c r="B167" i="39"/>
  <c r="E167" i="39"/>
  <c r="I167" i="39" l="1"/>
  <c r="H167" i="39"/>
  <c r="J167" i="39"/>
  <c r="G167" i="39"/>
  <c r="K166" i="39"/>
  <c r="F168" i="39"/>
  <c r="B168" i="39"/>
  <c r="E168" i="39"/>
  <c r="D168" i="39"/>
  <c r="C168" i="39"/>
  <c r="I168" i="39" l="1"/>
  <c r="H168" i="39"/>
  <c r="J168" i="39"/>
  <c r="G168" i="39"/>
  <c r="K167" i="39"/>
  <c r="D169" i="39"/>
  <c r="C169" i="39"/>
  <c r="F169" i="39"/>
  <c r="B169" i="39"/>
  <c r="E169" i="39"/>
  <c r="H169" i="39" l="1"/>
  <c r="J169" i="39"/>
  <c r="I169" i="39"/>
  <c r="G169" i="39"/>
  <c r="K168" i="39"/>
  <c r="F170" i="39"/>
  <c r="B170" i="39"/>
  <c r="E170" i="39"/>
  <c r="D170" i="39"/>
  <c r="C170" i="39"/>
  <c r="H170" i="39" l="1"/>
  <c r="J170" i="39"/>
  <c r="I170" i="39"/>
  <c r="G170" i="39"/>
  <c r="K169" i="39"/>
  <c r="D171" i="39"/>
  <c r="C171" i="39"/>
  <c r="F171" i="39"/>
  <c r="B171" i="39"/>
  <c r="E171" i="39"/>
  <c r="I171" i="39" l="1"/>
  <c r="J171" i="39"/>
  <c r="G171" i="39"/>
  <c r="H171" i="39"/>
  <c r="K170" i="39"/>
  <c r="F172" i="39"/>
  <c r="B172" i="39"/>
  <c r="E172" i="39"/>
  <c r="D172" i="39"/>
  <c r="C172" i="39"/>
  <c r="I172" i="39" l="1"/>
  <c r="J172" i="39"/>
  <c r="H172" i="39"/>
  <c r="G172" i="39"/>
  <c r="K171" i="39"/>
  <c r="D173" i="39"/>
  <c r="C173" i="39"/>
  <c r="F173" i="39"/>
  <c r="B173" i="39"/>
  <c r="E173" i="39"/>
  <c r="G173" i="39" l="1"/>
  <c r="H173" i="39"/>
  <c r="I173" i="39"/>
  <c r="J173" i="39"/>
  <c r="K172" i="39"/>
  <c r="F174" i="39"/>
  <c r="B174" i="39"/>
  <c r="E174" i="39"/>
  <c r="D174" i="39"/>
  <c r="C174" i="39"/>
  <c r="G174" i="39" l="1"/>
  <c r="I174" i="39"/>
  <c r="H174" i="39"/>
  <c r="J174" i="39"/>
  <c r="K173" i="39"/>
  <c r="D175" i="39"/>
  <c r="C175" i="39"/>
  <c r="F175" i="39"/>
  <c r="B175" i="39"/>
  <c r="E175" i="39"/>
  <c r="I175" i="39" l="1"/>
  <c r="H175" i="39"/>
  <c r="J175" i="39"/>
  <c r="G175" i="39"/>
  <c r="K174" i="39"/>
  <c r="F176" i="39"/>
  <c r="B176" i="39"/>
  <c r="E176" i="39"/>
  <c r="D176" i="39"/>
  <c r="C176" i="39"/>
  <c r="H176" i="39" l="1"/>
  <c r="G176" i="39"/>
  <c r="J176" i="39"/>
  <c r="I176" i="39"/>
  <c r="K175" i="39"/>
  <c r="D177" i="39"/>
  <c r="C177" i="39"/>
  <c r="F177" i="39"/>
  <c r="B177" i="39"/>
  <c r="E177" i="39"/>
  <c r="G177" i="39" l="1"/>
  <c r="I177" i="39"/>
  <c r="H177" i="39"/>
  <c r="J177" i="39"/>
  <c r="K176" i="39"/>
  <c r="F178" i="39"/>
  <c r="B178" i="39"/>
  <c r="E178" i="39"/>
  <c r="D178" i="39"/>
  <c r="C178" i="39"/>
  <c r="J178" i="39" l="1"/>
  <c r="H178" i="39"/>
  <c r="G178" i="39"/>
  <c r="I178" i="39"/>
  <c r="K177" i="39"/>
  <c r="D179" i="39"/>
  <c r="C179" i="39"/>
  <c r="F179" i="39"/>
  <c r="B179" i="39"/>
  <c r="E179" i="39"/>
  <c r="I179" i="39" l="1"/>
  <c r="G179" i="39"/>
  <c r="H179" i="39"/>
  <c r="J179" i="39"/>
  <c r="K178" i="39"/>
  <c r="F180" i="39"/>
  <c r="B180" i="39"/>
  <c r="E180" i="39"/>
  <c r="D180" i="39"/>
  <c r="C180" i="39"/>
  <c r="I180" i="39" l="1"/>
  <c r="H180" i="39"/>
  <c r="J180" i="39"/>
  <c r="G180" i="39"/>
  <c r="K179" i="39"/>
  <c r="D181" i="39"/>
  <c r="C181" i="39"/>
  <c r="F181" i="39"/>
  <c r="B181" i="39"/>
  <c r="E181" i="39"/>
  <c r="I181" i="39" l="1"/>
  <c r="J181" i="39"/>
  <c r="H181" i="39"/>
  <c r="G181" i="39"/>
  <c r="K180" i="39"/>
  <c r="F182" i="39"/>
  <c r="B182" i="39"/>
  <c r="E182" i="39"/>
  <c r="D182" i="39"/>
  <c r="C182" i="39"/>
  <c r="H182" i="39" l="1"/>
  <c r="J182" i="39"/>
  <c r="G182" i="39"/>
  <c r="I182" i="39"/>
  <c r="K181" i="39"/>
  <c r="D183" i="39"/>
  <c r="C183" i="39"/>
  <c r="F183" i="39"/>
  <c r="B183" i="39"/>
  <c r="E183" i="39"/>
  <c r="J183" i="39" l="1"/>
  <c r="I183" i="39"/>
  <c r="G183" i="39"/>
  <c r="H183" i="39"/>
  <c r="K183" i="39" s="1"/>
  <c r="K182" i="39"/>
  <c r="F184" i="39"/>
  <c r="B184" i="39"/>
  <c r="E184" i="39"/>
  <c r="D184" i="39"/>
  <c r="C184" i="39"/>
  <c r="I184" i="39" l="1"/>
  <c r="H184" i="39"/>
  <c r="J184" i="39"/>
  <c r="G184" i="39"/>
  <c r="D185" i="39"/>
  <c r="C185" i="39"/>
  <c r="F185" i="39"/>
  <c r="B185" i="39"/>
  <c r="E185" i="39"/>
  <c r="I185" i="39" l="1"/>
  <c r="J185" i="39"/>
  <c r="H185" i="39"/>
  <c r="G185" i="39"/>
  <c r="K184" i="39"/>
  <c r="F186" i="39"/>
  <c r="B186" i="39"/>
  <c r="E186" i="39"/>
  <c r="D186" i="39"/>
  <c r="C186" i="39"/>
  <c r="G186" i="39" l="1"/>
  <c r="J186" i="39"/>
  <c r="I186" i="39"/>
  <c r="H186" i="39"/>
  <c r="K185" i="39"/>
  <c r="D187" i="39"/>
  <c r="C187" i="39"/>
  <c r="F187" i="39"/>
  <c r="B187" i="39"/>
  <c r="E187" i="39"/>
  <c r="J187" i="39" l="1"/>
  <c r="I187" i="39"/>
  <c r="G187" i="39"/>
  <c r="H187" i="39"/>
  <c r="K186" i="39"/>
  <c r="F188" i="39"/>
  <c r="B188" i="39"/>
  <c r="E188" i="39"/>
  <c r="D188" i="39"/>
  <c r="C188" i="39"/>
  <c r="G188" i="39" l="1"/>
  <c r="J188" i="39"/>
  <c r="I188" i="39"/>
  <c r="H188" i="39"/>
  <c r="K187" i="39"/>
  <c r="D189" i="39"/>
  <c r="C189" i="39"/>
  <c r="F189" i="39"/>
  <c r="B189" i="39"/>
  <c r="E189" i="39"/>
  <c r="I189" i="39" l="1"/>
  <c r="H189" i="39"/>
  <c r="G189" i="39"/>
  <c r="J189" i="39"/>
  <c r="K188" i="39"/>
  <c r="F190" i="39"/>
  <c r="B190" i="39"/>
  <c r="E190" i="39"/>
  <c r="D190" i="39"/>
  <c r="C190" i="39"/>
  <c r="I190" i="39" l="1"/>
  <c r="G190" i="39"/>
  <c r="J190" i="39"/>
  <c r="H190" i="39"/>
  <c r="K189" i="39"/>
  <c r="D191" i="39"/>
  <c r="C191" i="39"/>
  <c r="F191" i="39"/>
  <c r="B191" i="39"/>
  <c r="E191" i="39"/>
  <c r="I191" i="39" l="1"/>
  <c r="G191" i="39"/>
  <c r="H191" i="39"/>
  <c r="J191" i="39"/>
  <c r="K190" i="39"/>
  <c r="F192" i="39"/>
  <c r="B192" i="39"/>
  <c r="E192" i="39"/>
  <c r="D192" i="39"/>
  <c r="C192" i="39"/>
  <c r="I192" i="39" l="1"/>
  <c r="H192" i="39"/>
  <c r="J192" i="39"/>
  <c r="G192" i="39"/>
  <c r="K191" i="39"/>
  <c r="D193" i="39"/>
  <c r="C193" i="39"/>
  <c r="F193" i="39"/>
  <c r="B193" i="39"/>
  <c r="E193" i="39"/>
  <c r="H193" i="39" l="1"/>
  <c r="I193" i="39"/>
  <c r="J193" i="39"/>
  <c r="G193" i="39"/>
  <c r="K192" i="39"/>
  <c r="F194" i="39"/>
  <c r="B194" i="39"/>
  <c r="E194" i="39"/>
  <c r="D194" i="39"/>
  <c r="C194" i="39"/>
  <c r="H194" i="39" l="1"/>
  <c r="J194" i="39"/>
  <c r="I194" i="39"/>
  <c r="G194" i="39"/>
  <c r="K193" i="39"/>
  <c r="D195" i="39"/>
  <c r="C195" i="39"/>
  <c r="F195" i="39"/>
  <c r="B195" i="39"/>
  <c r="E195" i="39"/>
  <c r="I195" i="39" l="1"/>
  <c r="G195" i="39"/>
  <c r="J195" i="39"/>
  <c r="H195" i="39"/>
  <c r="K194" i="39"/>
  <c r="F196" i="39"/>
  <c r="B196" i="39"/>
  <c r="E196" i="39"/>
  <c r="D196" i="39"/>
  <c r="C196" i="39"/>
  <c r="I196" i="39" l="1"/>
  <c r="J196" i="39"/>
  <c r="H196" i="39"/>
  <c r="G196" i="39"/>
  <c r="K195" i="39"/>
  <c r="D197" i="39"/>
  <c r="C197" i="39"/>
  <c r="F197" i="39"/>
  <c r="B197" i="39"/>
  <c r="E197" i="39"/>
  <c r="G197" i="39" l="1"/>
  <c r="I197" i="39"/>
  <c r="H197" i="39"/>
  <c r="J197" i="39"/>
  <c r="K196" i="39"/>
  <c r="F198" i="39"/>
  <c r="B198" i="39"/>
  <c r="E198" i="39"/>
  <c r="D198" i="39"/>
  <c r="C198" i="39"/>
  <c r="I198" i="39" l="1"/>
  <c r="J198" i="39"/>
  <c r="H198" i="39"/>
  <c r="G198" i="39"/>
  <c r="K197" i="39"/>
  <c r="D199" i="39"/>
  <c r="C199" i="39"/>
  <c r="F199" i="39"/>
  <c r="B199" i="39"/>
  <c r="E199" i="39"/>
  <c r="I199" i="39" l="1"/>
  <c r="J199" i="39"/>
  <c r="H199" i="39"/>
  <c r="G199" i="39"/>
  <c r="K198" i="39"/>
  <c r="F200" i="39"/>
  <c r="B200" i="39"/>
  <c r="E200" i="39"/>
  <c r="D200" i="39"/>
  <c r="C200" i="39"/>
  <c r="G200" i="39" l="1"/>
  <c r="H200" i="39"/>
  <c r="J200" i="39"/>
  <c r="I200" i="39"/>
  <c r="K199" i="39"/>
  <c r="D201" i="39"/>
  <c r="C201" i="39"/>
  <c r="F201" i="39"/>
  <c r="B201" i="39"/>
  <c r="E201" i="39"/>
  <c r="G201" i="39" l="1"/>
  <c r="H201" i="39"/>
  <c r="I201" i="39"/>
  <c r="J201" i="39"/>
  <c r="K200" i="39"/>
  <c r="F202" i="39"/>
  <c r="B202" i="39"/>
  <c r="E202" i="39"/>
  <c r="D202" i="39"/>
  <c r="C202" i="39"/>
  <c r="G202" i="39" l="1"/>
  <c r="I202" i="39"/>
  <c r="H202" i="39"/>
  <c r="J202" i="39"/>
  <c r="K201" i="39"/>
  <c r="D203" i="39"/>
  <c r="C203" i="39"/>
  <c r="F203" i="39"/>
  <c r="B203" i="39"/>
  <c r="E203" i="39"/>
  <c r="I203" i="39" l="1"/>
  <c r="H203" i="39"/>
  <c r="J203" i="39"/>
  <c r="G203" i="39"/>
  <c r="K202" i="39"/>
  <c r="F204" i="39"/>
  <c r="B204" i="39"/>
  <c r="E204" i="39"/>
  <c r="D204" i="39"/>
  <c r="C204" i="39"/>
  <c r="G204" i="39" l="1"/>
  <c r="I204" i="39"/>
  <c r="J204" i="39"/>
  <c r="H204" i="39"/>
  <c r="K203" i="39"/>
  <c r="D205" i="39"/>
  <c r="C205" i="39"/>
  <c r="F205" i="39"/>
  <c r="B205" i="39"/>
  <c r="E205" i="39"/>
  <c r="G205" i="39" l="1"/>
  <c r="I205" i="39"/>
  <c r="J205" i="39"/>
  <c r="H205" i="39"/>
  <c r="K204" i="39"/>
  <c r="F206" i="39"/>
  <c r="B206" i="39"/>
  <c r="E206" i="39"/>
  <c r="D206" i="39"/>
  <c r="C206" i="39"/>
  <c r="K205" i="39" l="1"/>
  <c r="H206" i="39"/>
  <c r="J206" i="39"/>
  <c r="I206" i="39"/>
  <c r="G206" i="39"/>
  <c r="D207" i="39"/>
  <c r="C207" i="39"/>
  <c r="F207" i="39"/>
  <c r="B207" i="39"/>
  <c r="E207" i="39"/>
  <c r="G207" i="39" l="1"/>
  <c r="H207" i="39"/>
  <c r="J207" i="39"/>
  <c r="I207" i="39"/>
  <c r="K206" i="39"/>
  <c r="E208" i="39"/>
  <c r="D208" i="39"/>
  <c r="C208" i="39"/>
  <c r="F208" i="39"/>
  <c r="B208" i="39"/>
  <c r="G208" i="39" l="1"/>
  <c r="I208" i="39"/>
  <c r="H208" i="39"/>
  <c r="J208" i="39"/>
  <c r="K207" i="39"/>
  <c r="C209" i="39"/>
  <c r="F209" i="39"/>
  <c r="B209" i="39"/>
  <c r="E209" i="39"/>
  <c r="D209" i="39"/>
  <c r="H209" i="39" l="1"/>
  <c r="J209" i="39"/>
  <c r="I209" i="39"/>
  <c r="G209" i="39"/>
  <c r="K208" i="39"/>
  <c r="E210" i="39"/>
  <c r="D210" i="39"/>
  <c r="C210" i="39"/>
  <c r="F210" i="39"/>
  <c r="B210" i="39"/>
  <c r="J210" i="39" l="1"/>
  <c r="I210" i="39"/>
  <c r="G210" i="39"/>
  <c r="H210" i="39"/>
  <c r="K209" i="39"/>
  <c r="C211" i="39"/>
  <c r="F211" i="39"/>
  <c r="B211" i="39"/>
  <c r="E211" i="39"/>
  <c r="D211" i="39"/>
  <c r="J211" i="39" l="1"/>
  <c r="I211" i="39"/>
  <c r="H211" i="39"/>
  <c r="G211" i="39"/>
  <c r="K210" i="39"/>
  <c r="E212" i="39"/>
  <c r="D212" i="39"/>
  <c r="C212" i="39"/>
  <c r="F212" i="39"/>
  <c r="B212" i="39"/>
  <c r="H212" i="39" l="1"/>
  <c r="J212" i="39"/>
  <c r="G212" i="39"/>
  <c r="I212" i="39"/>
  <c r="K211" i="39"/>
  <c r="C213" i="39"/>
  <c r="F213" i="39"/>
  <c r="B213" i="39"/>
  <c r="E213" i="39"/>
  <c r="D213" i="39"/>
  <c r="G213" i="39" l="1"/>
  <c r="J213" i="39"/>
  <c r="H213" i="39"/>
  <c r="I213" i="39"/>
  <c r="K212" i="39"/>
  <c r="E214" i="39"/>
  <c r="D214" i="39"/>
  <c r="C214" i="39"/>
  <c r="F214" i="39"/>
  <c r="B214" i="39"/>
  <c r="J214" i="39" l="1"/>
  <c r="G214" i="39"/>
  <c r="H214" i="39"/>
  <c r="I214" i="39"/>
  <c r="K213" i="39"/>
  <c r="C215" i="39"/>
  <c r="F215" i="39"/>
  <c r="B215" i="39"/>
  <c r="E215" i="39"/>
  <c r="D215" i="39"/>
  <c r="H215" i="39" l="1"/>
  <c r="J215" i="39"/>
  <c r="I215" i="39"/>
  <c r="G215" i="39"/>
  <c r="K214" i="39"/>
  <c r="E216" i="39"/>
  <c r="D216" i="39"/>
  <c r="C216" i="39"/>
  <c r="F216" i="39"/>
  <c r="B216" i="39"/>
  <c r="G216" i="39" l="1"/>
  <c r="J216" i="39"/>
  <c r="H216" i="39"/>
  <c r="I216" i="39"/>
  <c r="K215" i="39"/>
  <c r="C217" i="39"/>
  <c r="F217" i="39"/>
  <c r="B217" i="39"/>
  <c r="E217" i="39"/>
  <c r="D217" i="39"/>
  <c r="G217" i="39" l="1"/>
  <c r="I217" i="39"/>
  <c r="H217" i="39"/>
  <c r="J217" i="39"/>
  <c r="K216" i="39"/>
  <c r="E218" i="39"/>
  <c r="D218" i="39"/>
  <c r="C218" i="39"/>
  <c r="F218" i="39"/>
  <c r="B218" i="39"/>
  <c r="J218" i="39" l="1"/>
  <c r="G218" i="39"/>
  <c r="H218" i="39"/>
  <c r="I218" i="39"/>
  <c r="K217" i="39"/>
  <c r="C219" i="39"/>
  <c r="F219" i="39"/>
  <c r="B219" i="39"/>
  <c r="E219" i="39"/>
  <c r="D219" i="39"/>
  <c r="I219" i="39" l="1"/>
  <c r="H219" i="39"/>
  <c r="J219" i="39"/>
  <c r="G219" i="39"/>
  <c r="K218" i="39"/>
  <c r="E220" i="39"/>
  <c r="D220" i="39"/>
  <c r="C220" i="39"/>
  <c r="F220" i="39"/>
  <c r="B220" i="39"/>
  <c r="G220" i="39" l="1"/>
  <c r="I220" i="39"/>
  <c r="H220" i="39"/>
  <c r="J220" i="39"/>
  <c r="K219" i="39"/>
  <c r="C221" i="39"/>
  <c r="F221" i="39"/>
  <c r="B221" i="39"/>
  <c r="E221" i="39"/>
  <c r="D221" i="39"/>
  <c r="H221" i="39" l="1"/>
  <c r="I221" i="39"/>
  <c r="J221" i="39"/>
  <c r="G221" i="39"/>
  <c r="K220" i="39"/>
  <c r="E222" i="39"/>
  <c r="D222" i="39"/>
  <c r="C222" i="39"/>
  <c r="F222" i="39"/>
  <c r="B222" i="39"/>
  <c r="J222" i="39" l="1"/>
  <c r="I222" i="39"/>
  <c r="G222" i="39"/>
  <c r="H222" i="39"/>
  <c r="K221" i="39"/>
  <c r="C223" i="39"/>
  <c r="F223" i="39"/>
  <c r="B223" i="39"/>
  <c r="E223" i="39"/>
  <c r="D223" i="39"/>
  <c r="K222" i="39" l="1"/>
  <c r="I223" i="39"/>
  <c r="J223" i="39"/>
  <c r="G223" i="39"/>
  <c r="H223" i="39"/>
  <c r="E224" i="39"/>
  <c r="D224" i="39"/>
  <c r="C224" i="39"/>
  <c r="F224" i="39"/>
  <c r="B224" i="39"/>
  <c r="J224" i="39" l="1"/>
  <c r="I224" i="39"/>
  <c r="H224" i="39"/>
  <c r="G224" i="39"/>
  <c r="K223" i="39"/>
  <c r="C225" i="39"/>
  <c r="F225" i="39"/>
  <c r="B225" i="39"/>
  <c r="E225" i="39"/>
  <c r="D225" i="39"/>
  <c r="K224" i="39" l="1"/>
  <c r="I225" i="39"/>
  <c r="J225" i="39"/>
  <c r="H225" i="39"/>
  <c r="G225" i="39"/>
  <c r="E226" i="39"/>
  <c r="D226" i="39"/>
  <c r="C226" i="39"/>
  <c r="F226" i="39"/>
  <c r="B226" i="39"/>
  <c r="H226" i="39" l="1"/>
  <c r="J226" i="39"/>
  <c r="I226" i="39"/>
  <c r="G226" i="39"/>
  <c r="K225" i="39"/>
  <c r="C227" i="39"/>
  <c r="F227" i="39"/>
  <c r="B227" i="39"/>
  <c r="E227" i="39"/>
  <c r="D227" i="39"/>
  <c r="I227" i="39" l="1"/>
  <c r="H227" i="39"/>
  <c r="G227" i="39"/>
  <c r="J227" i="39"/>
  <c r="K226" i="39"/>
  <c r="E228" i="39"/>
  <c r="D228" i="39"/>
  <c r="C228" i="39"/>
  <c r="F228" i="39"/>
  <c r="B228" i="39"/>
  <c r="G228" i="39" l="1"/>
  <c r="I228" i="39"/>
  <c r="H228" i="39"/>
  <c r="J228" i="39"/>
  <c r="K227" i="39"/>
  <c r="C229" i="39"/>
  <c r="F229" i="39"/>
  <c r="B229" i="39"/>
  <c r="E229" i="39"/>
  <c r="D229" i="39"/>
  <c r="I229" i="39" l="1"/>
  <c r="G229" i="39"/>
  <c r="H229" i="39"/>
  <c r="J229" i="39"/>
  <c r="K228" i="39"/>
  <c r="E230" i="39"/>
  <c r="D230" i="39"/>
  <c r="C230" i="39"/>
  <c r="F230" i="39"/>
  <c r="B230" i="39"/>
  <c r="I230" i="39" l="1"/>
  <c r="G230" i="39"/>
  <c r="H230" i="39"/>
  <c r="J230" i="39"/>
  <c r="K229" i="39"/>
  <c r="C231" i="39"/>
  <c r="F231" i="39"/>
  <c r="B231" i="39"/>
  <c r="E231" i="39"/>
  <c r="D231" i="39"/>
  <c r="K230" i="39" l="1"/>
  <c r="H231" i="39"/>
  <c r="G231" i="39"/>
  <c r="J231" i="39"/>
  <c r="I231" i="39"/>
  <c r="E232" i="39"/>
  <c r="D232" i="39"/>
  <c r="C232" i="39"/>
  <c r="F232" i="39"/>
  <c r="B232" i="39"/>
  <c r="K231" i="39" l="1"/>
  <c r="I232" i="39"/>
  <c r="H232" i="39"/>
  <c r="G232" i="39"/>
  <c r="J232" i="39"/>
  <c r="C233" i="39"/>
  <c r="F233" i="39"/>
  <c r="B233" i="39"/>
  <c r="E233" i="39"/>
  <c r="D233" i="39"/>
  <c r="K232" i="39" l="1"/>
  <c r="I233" i="39"/>
  <c r="J233" i="39"/>
  <c r="G233" i="39"/>
  <c r="H233" i="39"/>
  <c r="E234" i="39"/>
  <c r="D234" i="39"/>
  <c r="C234" i="39"/>
  <c r="F234" i="39"/>
  <c r="B234" i="39"/>
  <c r="J234" i="39" l="1"/>
  <c r="H234" i="39"/>
  <c r="I234" i="39"/>
  <c r="G234" i="39"/>
  <c r="K233" i="39"/>
  <c r="C235" i="39"/>
  <c r="F235" i="39"/>
  <c r="B235" i="39"/>
  <c r="E235" i="39"/>
  <c r="D235" i="39"/>
  <c r="K234" i="39" l="1"/>
  <c r="J235" i="39"/>
  <c r="G235" i="39"/>
  <c r="H235" i="39"/>
  <c r="I235" i="39"/>
  <c r="E236" i="39"/>
  <c r="D236" i="39"/>
  <c r="C236" i="39"/>
  <c r="F236" i="39"/>
  <c r="B236" i="39"/>
  <c r="I236" i="39" l="1"/>
  <c r="J236" i="39"/>
  <c r="G236" i="39"/>
  <c r="H236" i="39"/>
  <c r="K235" i="39"/>
  <c r="C237" i="39"/>
  <c r="F237" i="39"/>
  <c r="B237" i="39"/>
  <c r="E237" i="39"/>
  <c r="D237" i="39"/>
  <c r="I237" i="39" l="1"/>
  <c r="J237" i="39"/>
  <c r="G237" i="39"/>
  <c r="H237" i="39"/>
  <c r="K236" i="39"/>
  <c r="E238" i="39"/>
  <c r="D238" i="39"/>
  <c r="C238" i="39"/>
  <c r="F238" i="39"/>
  <c r="B238" i="39"/>
  <c r="G238" i="39" l="1"/>
  <c r="I238" i="39"/>
  <c r="H238" i="39"/>
  <c r="J238" i="39"/>
  <c r="K237" i="39"/>
  <c r="C239" i="39"/>
  <c r="F239" i="39"/>
  <c r="B239" i="39"/>
  <c r="E239" i="39"/>
  <c r="D239" i="39"/>
  <c r="K238" i="39" l="1"/>
  <c r="I239" i="39"/>
  <c r="G239" i="39"/>
  <c r="J239" i="39"/>
  <c r="H239" i="39"/>
  <c r="E240" i="39"/>
  <c r="D240" i="39"/>
  <c r="C240" i="39"/>
  <c r="F240" i="39"/>
  <c r="B240" i="39"/>
  <c r="K239" i="39" l="1"/>
  <c r="J240" i="39"/>
  <c r="G240" i="39"/>
  <c r="I240" i="39"/>
  <c r="H240" i="39"/>
  <c r="C241" i="39"/>
  <c r="F241" i="39"/>
  <c r="B241" i="39"/>
  <c r="E241" i="39"/>
  <c r="D241" i="39"/>
  <c r="K240" i="39" l="1"/>
  <c r="I241" i="39"/>
  <c r="G241" i="39"/>
  <c r="H241" i="39"/>
  <c r="J241" i="39"/>
  <c r="E242" i="39"/>
  <c r="D242" i="39"/>
  <c r="C242" i="39"/>
  <c r="F242" i="39"/>
  <c r="B242" i="39"/>
  <c r="K241" i="39" l="1"/>
  <c r="I242" i="39"/>
  <c r="G242" i="39"/>
  <c r="H242" i="39"/>
  <c r="J242" i="39"/>
  <c r="C243" i="39"/>
  <c r="F243" i="39"/>
  <c r="B243" i="39"/>
  <c r="E243" i="39"/>
  <c r="D243" i="39"/>
  <c r="K242" i="39" l="1"/>
  <c r="G243" i="39"/>
  <c r="I243" i="39"/>
  <c r="J243" i="39"/>
  <c r="H243" i="39"/>
  <c r="E244" i="39"/>
  <c r="D244" i="39"/>
  <c r="C244" i="39"/>
  <c r="F244" i="39"/>
  <c r="B244" i="39"/>
  <c r="K243" i="39" l="1"/>
  <c r="J244" i="39"/>
  <c r="G244" i="39"/>
  <c r="H244" i="39"/>
  <c r="I244" i="39"/>
  <c r="C245" i="39"/>
  <c r="F245" i="39"/>
  <c r="B245" i="39"/>
  <c r="E245" i="39"/>
  <c r="D245" i="39"/>
  <c r="K244" i="39" l="1"/>
  <c r="I245" i="39"/>
  <c r="J245" i="39"/>
  <c r="H245" i="39"/>
  <c r="G245" i="39"/>
  <c r="E246" i="39"/>
  <c r="D246" i="39"/>
  <c r="C246" i="39"/>
  <c r="F246" i="39"/>
  <c r="B246" i="39"/>
  <c r="H246" i="39" l="1"/>
  <c r="J246" i="39"/>
  <c r="G246" i="39"/>
  <c r="I246" i="39"/>
  <c r="K245" i="39"/>
  <c r="C247" i="39"/>
  <c r="F247" i="39"/>
  <c r="B247" i="39"/>
  <c r="E247" i="39"/>
  <c r="D247" i="39"/>
  <c r="K246" i="39" l="1"/>
  <c r="H247" i="39"/>
  <c r="G247" i="39"/>
  <c r="I247" i="39"/>
  <c r="J247" i="39"/>
  <c r="E248" i="39"/>
  <c r="D248" i="39"/>
  <c r="C248" i="39"/>
  <c r="F248" i="39"/>
  <c r="B248" i="39"/>
  <c r="K247" i="39" l="1"/>
  <c r="H248" i="39"/>
  <c r="J248" i="39"/>
  <c r="I248" i="39"/>
  <c r="G248" i="39"/>
  <c r="C249" i="39"/>
  <c r="F249" i="39"/>
  <c r="B249" i="39"/>
  <c r="E249" i="39"/>
  <c r="D249" i="39"/>
  <c r="H249" i="39" l="1"/>
  <c r="J249" i="39"/>
  <c r="I249" i="39"/>
  <c r="G249" i="39"/>
  <c r="K248" i="39"/>
  <c r="E250" i="39"/>
  <c r="D250" i="39"/>
  <c r="C250" i="39"/>
  <c r="F250" i="39"/>
  <c r="B250" i="39"/>
  <c r="I250" i="39" l="1"/>
  <c r="H250" i="39"/>
  <c r="J250" i="39"/>
  <c r="G250" i="39"/>
  <c r="K249" i="39"/>
  <c r="C251" i="39"/>
  <c r="F251" i="39"/>
  <c r="B251" i="39"/>
  <c r="E251" i="39"/>
  <c r="D251" i="39"/>
  <c r="K250" i="39" l="1"/>
  <c r="H251" i="39"/>
  <c r="G251" i="39"/>
  <c r="J251" i="39"/>
  <c r="I251" i="39"/>
  <c r="E252" i="39"/>
  <c r="D252" i="39"/>
  <c r="C252" i="39"/>
  <c r="F252" i="39"/>
  <c r="B252" i="39"/>
  <c r="I252" i="39" l="1"/>
  <c r="J252" i="39"/>
  <c r="G252" i="39"/>
  <c r="H252" i="39"/>
  <c r="K251" i="39"/>
  <c r="C253" i="39"/>
  <c r="F253" i="39"/>
  <c r="B253" i="39"/>
  <c r="E253" i="39"/>
  <c r="D253" i="39"/>
  <c r="I253" i="39" l="1"/>
  <c r="G253" i="39"/>
  <c r="H253" i="39"/>
  <c r="J253" i="39"/>
  <c r="K252" i="39"/>
  <c r="E254" i="39"/>
  <c r="D254" i="39"/>
  <c r="C254" i="39"/>
  <c r="F254" i="39"/>
  <c r="B254" i="39"/>
  <c r="G254" i="39" l="1"/>
  <c r="I254" i="39"/>
  <c r="H254" i="39"/>
  <c r="J254" i="39"/>
  <c r="K253" i="39"/>
  <c r="C255" i="39"/>
  <c r="F255" i="39"/>
  <c r="B255" i="39"/>
  <c r="E255" i="39"/>
  <c r="D255" i="39"/>
  <c r="K254" i="39" l="1"/>
  <c r="H255" i="39"/>
  <c r="I255" i="39"/>
  <c r="G255" i="39"/>
  <c r="J255" i="39"/>
  <c r="E256" i="39"/>
  <c r="D256" i="39"/>
  <c r="C256" i="39"/>
  <c r="F256" i="39"/>
  <c r="B256" i="39"/>
  <c r="J256" i="39" l="1"/>
  <c r="H256" i="39"/>
  <c r="G256" i="39"/>
  <c r="I256" i="39"/>
  <c r="K255" i="39"/>
  <c r="C257" i="39"/>
  <c r="F257" i="39"/>
  <c r="B257" i="39"/>
  <c r="E257" i="39"/>
  <c r="D257" i="39"/>
  <c r="K256" i="39" l="1"/>
  <c r="H257" i="39"/>
  <c r="I257" i="39"/>
  <c r="J257" i="39"/>
  <c r="G257" i="39"/>
  <c r="E258" i="39"/>
  <c r="D258" i="39"/>
  <c r="C258" i="39"/>
  <c r="F258" i="39"/>
  <c r="B258" i="39"/>
  <c r="J258" i="39" l="1"/>
  <c r="G258" i="39"/>
  <c r="I258" i="39"/>
  <c r="H258" i="39"/>
  <c r="K257" i="39"/>
  <c r="C259" i="39"/>
  <c r="F259" i="39"/>
  <c r="B259" i="39"/>
  <c r="E259" i="39"/>
  <c r="D259" i="39"/>
  <c r="K258" i="39" l="1"/>
  <c r="I259" i="39"/>
  <c r="J259" i="39"/>
  <c r="H259" i="39"/>
  <c r="G259" i="39"/>
  <c r="E260" i="39"/>
  <c r="D260" i="39"/>
  <c r="C260" i="39"/>
  <c r="F260" i="39"/>
  <c r="B260" i="39"/>
  <c r="J260" i="39" l="1"/>
  <c r="G260" i="39"/>
  <c r="H260" i="39"/>
  <c r="I260" i="39"/>
  <c r="K259" i="39"/>
  <c r="C261" i="39"/>
  <c r="F261" i="39"/>
  <c r="B261" i="39"/>
  <c r="E261" i="39"/>
  <c r="D261" i="39"/>
  <c r="H261" i="39" l="1"/>
  <c r="J261" i="39"/>
  <c r="I261" i="39"/>
  <c r="G261" i="39"/>
  <c r="K260" i="39"/>
  <c r="E262" i="39"/>
  <c r="D262" i="39"/>
  <c r="C262" i="39"/>
  <c r="F262" i="39"/>
  <c r="B262" i="39"/>
  <c r="H262" i="39" l="1"/>
  <c r="J262" i="39"/>
  <c r="G262" i="39"/>
  <c r="I262" i="39"/>
  <c r="K261" i="39"/>
  <c r="C263" i="39"/>
  <c r="F263" i="39"/>
  <c r="B263" i="39"/>
  <c r="E263" i="39"/>
  <c r="D263" i="39"/>
  <c r="J263" i="39" l="1"/>
  <c r="H263" i="39"/>
  <c r="I263" i="39"/>
  <c r="G263" i="39"/>
  <c r="K262" i="39"/>
  <c r="E264" i="39"/>
  <c r="D264" i="39"/>
  <c r="C264" i="39"/>
  <c r="F264" i="39"/>
  <c r="B264" i="39"/>
  <c r="H264" i="39" l="1"/>
  <c r="J264" i="39"/>
  <c r="I264" i="39"/>
  <c r="G264" i="39"/>
  <c r="K263" i="39"/>
  <c r="C265" i="39"/>
  <c r="F265" i="39"/>
  <c r="B265" i="39"/>
  <c r="E265" i="39"/>
  <c r="D265" i="39"/>
  <c r="K264" i="39" l="1"/>
  <c r="I265" i="39"/>
  <c r="H265" i="39"/>
  <c r="G265" i="39"/>
  <c r="J265" i="39"/>
  <c r="E266" i="39"/>
  <c r="D266" i="39"/>
  <c r="C266" i="39"/>
  <c r="F266" i="39"/>
  <c r="B266" i="39"/>
  <c r="I266" i="39" l="1"/>
  <c r="H266" i="39"/>
  <c r="J266" i="39"/>
  <c r="G266" i="39"/>
  <c r="K265" i="39"/>
  <c r="C267" i="39"/>
  <c r="F267" i="39"/>
  <c r="B267" i="39"/>
  <c r="E267" i="39"/>
  <c r="D267" i="39"/>
  <c r="K266" i="39" l="1"/>
  <c r="J267" i="39"/>
  <c r="I267" i="39"/>
  <c r="H267" i="39"/>
  <c r="G267" i="39"/>
  <c r="E268" i="39"/>
  <c r="D268" i="39"/>
  <c r="C268" i="39"/>
  <c r="F268" i="39"/>
  <c r="B268" i="39"/>
  <c r="H268" i="39" l="1"/>
  <c r="G268" i="39"/>
  <c r="I268" i="39"/>
  <c r="J268" i="39"/>
  <c r="K267" i="39"/>
  <c r="C269" i="39"/>
  <c r="F269" i="39"/>
  <c r="B269" i="39"/>
  <c r="E269" i="39"/>
  <c r="D269" i="39"/>
  <c r="H269" i="39" l="1"/>
  <c r="I269" i="39"/>
  <c r="G269" i="39"/>
  <c r="J269" i="39"/>
  <c r="K268" i="39"/>
  <c r="E270" i="39"/>
  <c r="D270" i="39"/>
  <c r="C270" i="39"/>
  <c r="F270" i="39"/>
  <c r="B270" i="39"/>
  <c r="K269" i="39" l="1"/>
  <c r="I270" i="39"/>
  <c r="H270" i="39"/>
  <c r="J270" i="39"/>
  <c r="G270" i="39"/>
  <c r="C271" i="39"/>
  <c r="F271" i="39"/>
  <c r="B271" i="39"/>
  <c r="E271" i="39"/>
  <c r="D271" i="39"/>
  <c r="K270" i="39" l="1"/>
  <c r="J271" i="39"/>
  <c r="G271" i="39"/>
  <c r="I271" i="39"/>
  <c r="H271" i="39"/>
  <c r="E272" i="39"/>
  <c r="D272" i="39"/>
  <c r="C272" i="39"/>
  <c r="F272" i="39"/>
  <c r="B272" i="39"/>
  <c r="K271" i="39" l="1"/>
  <c r="I272" i="39"/>
  <c r="G272" i="39"/>
  <c r="J272" i="39"/>
  <c r="H272" i="39"/>
  <c r="C273" i="39"/>
  <c r="F273" i="39"/>
  <c r="B273" i="39"/>
  <c r="E273" i="39"/>
  <c r="D273" i="39"/>
  <c r="K272" i="39" l="1"/>
  <c r="H273" i="39"/>
  <c r="J273" i="39"/>
  <c r="G273" i="39"/>
  <c r="I273" i="39"/>
  <c r="E274" i="39"/>
  <c r="D274" i="39"/>
  <c r="C274" i="39"/>
  <c r="F274" i="39"/>
  <c r="B274" i="39"/>
  <c r="K273" i="39" l="1"/>
  <c r="G274" i="39"/>
  <c r="I274" i="39"/>
  <c r="J274" i="39"/>
  <c r="H274" i="39"/>
  <c r="F275" i="39"/>
  <c r="C275" i="39"/>
  <c r="B275" i="39"/>
  <c r="E275" i="39"/>
  <c r="D275" i="39"/>
  <c r="J275" i="39" l="1"/>
  <c r="H275" i="39"/>
  <c r="G275" i="39"/>
  <c r="I275" i="39"/>
  <c r="K274" i="39"/>
  <c r="F276" i="39"/>
  <c r="B276" i="39"/>
  <c r="E276" i="39"/>
  <c r="D276" i="39"/>
  <c r="C276" i="39"/>
  <c r="K275" i="39" l="1"/>
  <c r="H276" i="39"/>
  <c r="I276" i="39"/>
  <c r="J276" i="39"/>
  <c r="G276" i="39"/>
  <c r="D277" i="39"/>
  <c r="C277" i="39"/>
  <c r="F277" i="39"/>
  <c r="B277" i="39"/>
  <c r="E277" i="39"/>
  <c r="K276" i="39" l="1"/>
  <c r="G277" i="39"/>
  <c r="H277" i="39"/>
  <c r="I277" i="39"/>
  <c r="J277" i="39"/>
  <c r="F278" i="39"/>
  <c r="B278" i="39"/>
  <c r="E278" i="39"/>
  <c r="D278" i="39"/>
  <c r="C278" i="39"/>
  <c r="J278" i="39" l="1"/>
  <c r="I278" i="39"/>
  <c r="G278" i="39"/>
  <c r="H278" i="39"/>
  <c r="K277" i="39"/>
  <c r="D279" i="39"/>
  <c r="C279" i="39"/>
  <c r="F279" i="39"/>
  <c r="B279" i="39"/>
  <c r="E279" i="39"/>
  <c r="G279" i="39" l="1"/>
  <c r="I279" i="39"/>
  <c r="J279" i="39"/>
  <c r="H279" i="39"/>
  <c r="K278" i="39"/>
  <c r="F280" i="39"/>
  <c r="B280" i="39"/>
  <c r="E280" i="39"/>
  <c r="D280" i="39"/>
  <c r="C280" i="39"/>
  <c r="J280" i="39" l="1"/>
  <c r="I280" i="39"/>
  <c r="G280" i="39"/>
  <c r="H280" i="39"/>
  <c r="K279" i="39"/>
  <c r="D281" i="39"/>
  <c r="C281" i="39"/>
  <c r="F281" i="39"/>
  <c r="B281" i="39"/>
  <c r="E281" i="39"/>
  <c r="H281" i="39" l="1"/>
  <c r="K280" i="39"/>
  <c r="J281" i="39"/>
  <c r="G281" i="39"/>
  <c r="I281" i="39"/>
  <c r="F282" i="39"/>
  <c r="B282" i="39"/>
  <c r="E282" i="39"/>
  <c r="D282" i="39"/>
  <c r="C282" i="39"/>
  <c r="K281" i="39" l="1"/>
  <c r="I282" i="39"/>
  <c r="J282" i="39"/>
  <c r="H282" i="39"/>
  <c r="G282" i="39"/>
  <c r="D283" i="39"/>
  <c r="C283" i="39"/>
  <c r="F283" i="39"/>
  <c r="B283" i="39"/>
  <c r="E283" i="39"/>
  <c r="K282" i="39" l="1"/>
  <c r="H283" i="39"/>
  <c r="I283" i="39"/>
  <c r="G283" i="39"/>
  <c r="J283" i="39"/>
  <c r="F284" i="39"/>
  <c r="B284" i="39"/>
  <c r="E284" i="39"/>
  <c r="D284" i="39"/>
  <c r="C284" i="39"/>
  <c r="K283" i="39" l="1"/>
  <c r="J284" i="39"/>
  <c r="I284" i="39"/>
  <c r="G284" i="39"/>
  <c r="H284" i="39"/>
  <c r="D285" i="39"/>
  <c r="C285" i="39"/>
  <c r="F285" i="39"/>
  <c r="B285" i="39"/>
  <c r="E285" i="39"/>
  <c r="K284" i="39" l="1"/>
  <c r="G285" i="39"/>
  <c r="H285" i="39"/>
  <c r="I285" i="39"/>
  <c r="J285" i="39"/>
  <c r="F286" i="39"/>
  <c r="B286" i="39"/>
  <c r="E286" i="39"/>
  <c r="D286" i="39"/>
  <c r="C286" i="39"/>
  <c r="K285" i="39" l="1"/>
  <c r="I286" i="39"/>
  <c r="H286" i="39"/>
  <c r="G286" i="39"/>
  <c r="J286" i="39"/>
  <c r="D287" i="39"/>
  <c r="C287" i="39"/>
  <c r="F287" i="39"/>
  <c r="B287" i="39"/>
  <c r="E287" i="39"/>
  <c r="K286" i="39" l="1"/>
  <c r="H287" i="39"/>
  <c r="G287" i="39"/>
  <c r="J287" i="39"/>
  <c r="I287" i="39"/>
  <c r="F288" i="39"/>
  <c r="B288" i="39"/>
  <c r="E288" i="39"/>
  <c r="D288" i="39"/>
  <c r="C288" i="39"/>
  <c r="H288" i="39" l="1"/>
  <c r="I288" i="39"/>
  <c r="G288" i="39"/>
  <c r="J288" i="39"/>
  <c r="K287" i="39"/>
  <c r="D289" i="39"/>
  <c r="C289" i="39"/>
  <c r="F289" i="39"/>
  <c r="B289" i="39"/>
  <c r="E289" i="39"/>
  <c r="H289" i="39" l="1"/>
  <c r="J289" i="39"/>
  <c r="G289" i="39"/>
  <c r="I289" i="39"/>
  <c r="K288" i="39"/>
  <c r="F290" i="39"/>
  <c r="B290" i="39"/>
  <c r="E290" i="39"/>
  <c r="D290" i="39"/>
  <c r="C290" i="39"/>
  <c r="K289" i="39" l="1"/>
  <c r="G290" i="39"/>
  <c r="J290" i="39"/>
  <c r="H290" i="39"/>
  <c r="I290" i="39"/>
  <c r="D291" i="39"/>
  <c r="C291" i="39"/>
  <c r="F291" i="39"/>
  <c r="B291" i="39"/>
  <c r="E291" i="39"/>
  <c r="K290" i="39" l="1"/>
  <c r="I291" i="39"/>
  <c r="G291" i="39"/>
  <c r="J291" i="39"/>
  <c r="H291" i="39"/>
  <c r="F292" i="39"/>
  <c r="B292" i="39"/>
  <c r="E292" i="39"/>
  <c r="D292" i="39"/>
  <c r="C292" i="39"/>
  <c r="K291" i="39" l="1"/>
  <c r="J292" i="39"/>
  <c r="I292" i="39"/>
  <c r="H292" i="39"/>
  <c r="G292" i="39"/>
  <c r="D293" i="39"/>
  <c r="C293" i="39"/>
  <c r="F293" i="39"/>
  <c r="B293" i="39"/>
  <c r="E293" i="39"/>
  <c r="K292" i="39" l="1"/>
  <c r="G293" i="39"/>
  <c r="I293" i="39"/>
  <c r="J293" i="39"/>
  <c r="H293" i="39"/>
  <c r="F294" i="39"/>
  <c r="B294" i="39"/>
  <c r="E294" i="39"/>
  <c r="D294" i="39"/>
  <c r="C294" i="39"/>
  <c r="K293" i="39"/>
  <c r="G294" i="39" l="1"/>
  <c r="I294" i="39"/>
  <c r="H294" i="39"/>
  <c r="J294" i="39"/>
  <c r="D295" i="39"/>
  <c r="C295" i="39"/>
  <c r="F295" i="39"/>
  <c r="B295" i="39"/>
  <c r="E295" i="39"/>
  <c r="K294" i="39"/>
  <c r="H295" i="39" l="1"/>
  <c r="J295" i="39"/>
  <c r="I295" i="39"/>
  <c r="G295" i="39"/>
  <c r="F296" i="39"/>
  <c r="B296" i="39"/>
  <c r="E296" i="39"/>
  <c r="D296" i="39"/>
  <c r="C296" i="39"/>
  <c r="K295" i="39"/>
  <c r="J296" i="39" l="1"/>
  <c r="I296" i="39"/>
  <c r="G296" i="39"/>
  <c r="H296" i="39"/>
  <c r="D297" i="39"/>
  <c r="C297" i="39"/>
  <c r="F297" i="39"/>
  <c r="B297" i="39"/>
  <c r="E297" i="39"/>
  <c r="K296" i="39"/>
  <c r="G297" i="39" l="1"/>
  <c r="J297" i="39"/>
  <c r="K297" i="39" s="1"/>
  <c r="H297" i="39"/>
  <c r="I297" i="39"/>
  <c r="F298" i="39"/>
  <c r="B298" i="39"/>
  <c r="E298" i="39"/>
  <c r="D298" i="39"/>
  <c r="C298" i="39"/>
  <c r="G298" i="39" l="1"/>
  <c r="J298" i="39"/>
  <c r="K298" i="39" s="1"/>
  <c r="H298" i="39"/>
  <c r="I298" i="39"/>
  <c r="D299" i="39"/>
  <c r="C299" i="39"/>
  <c r="F299" i="39"/>
  <c r="B299" i="39"/>
  <c r="E299" i="39"/>
  <c r="G299" i="39" l="1"/>
  <c r="J299" i="39"/>
  <c r="H299" i="39"/>
  <c r="I299" i="39"/>
  <c r="F300" i="39"/>
  <c r="B300" i="39"/>
  <c r="E300" i="39"/>
  <c r="D300" i="39"/>
  <c r="C300" i="39"/>
  <c r="K299" i="39"/>
  <c r="I300" i="39" l="1"/>
  <c r="H300" i="39"/>
  <c r="G300" i="39"/>
  <c r="J300" i="39"/>
  <c r="K300" i="39" s="1"/>
  <c r="D301" i="39"/>
  <c r="C301" i="39"/>
  <c r="F301" i="39"/>
  <c r="B301" i="39"/>
  <c r="E301" i="39"/>
  <c r="H301" i="39" l="1"/>
  <c r="J301" i="39"/>
  <c r="G301" i="39"/>
  <c r="I301" i="39"/>
  <c r="K301" i="39"/>
  <c r="F302" i="39"/>
  <c r="B302" i="39"/>
  <c r="E302" i="39"/>
  <c r="D302" i="39"/>
  <c r="C302" i="39"/>
  <c r="G302" i="39" l="1"/>
  <c r="I302" i="39"/>
  <c r="H302" i="39"/>
  <c r="J302" i="39"/>
  <c r="K302" i="39" s="1"/>
  <c r="D303" i="39"/>
  <c r="C303" i="39"/>
  <c r="F303" i="39"/>
  <c r="B303" i="39"/>
  <c r="E303" i="39"/>
  <c r="H303" i="39" l="1"/>
  <c r="G303" i="39"/>
  <c r="I303" i="39"/>
  <c r="J303" i="39"/>
  <c r="K303" i="39" s="1"/>
  <c r="F304" i="39"/>
  <c r="B304" i="39"/>
  <c r="E304" i="39"/>
  <c r="D304" i="39"/>
  <c r="C304" i="39"/>
  <c r="I304" i="39" l="1"/>
  <c r="G304" i="39"/>
  <c r="H304" i="39"/>
  <c r="J304" i="39"/>
  <c r="D305" i="39"/>
  <c r="C305" i="39"/>
  <c r="F305" i="39"/>
  <c r="B305" i="39"/>
  <c r="E305" i="39"/>
  <c r="K304" i="39"/>
  <c r="I305" i="39" l="1"/>
  <c r="J305" i="39"/>
  <c r="H305" i="39"/>
  <c r="G305" i="39"/>
  <c r="F306" i="39"/>
  <c r="B306" i="39"/>
  <c r="E306" i="39"/>
  <c r="D306" i="39"/>
  <c r="C306" i="39"/>
  <c r="K305" i="39"/>
  <c r="H306" i="39" l="1"/>
  <c r="J306" i="39"/>
  <c r="G306" i="39"/>
  <c r="I306" i="39"/>
  <c r="D307" i="39"/>
  <c r="C307" i="39"/>
  <c r="F307" i="39"/>
  <c r="B307" i="39"/>
  <c r="E307" i="39"/>
  <c r="H307" i="39" s="1"/>
  <c r="K306" i="39"/>
  <c r="J307" i="39" l="1"/>
  <c r="I307" i="39"/>
  <c r="G307" i="39"/>
  <c r="F308" i="39"/>
  <c r="B308" i="39"/>
  <c r="E308" i="39"/>
  <c r="D308" i="39"/>
  <c r="C308" i="39"/>
  <c r="K307" i="39"/>
  <c r="I308" i="39" l="1"/>
  <c r="G308" i="39"/>
  <c r="H308" i="39"/>
  <c r="J308" i="39"/>
  <c r="D309" i="39"/>
  <c r="C309" i="39"/>
  <c r="F309" i="39"/>
  <c r="B309" i="39"/>
  <c r="E309" i="39"/>
  <c r="J309" i="39" s="1"/>
  <c r="K308" i="39"/>
  <c r="G309" i="39" l="1"/>
  <c r="H309" i="39"/>
  <c r="I309" i="39"/>
  <c r="C310" i="39"/>
  <c r="F310" i="39"/>
  <c r="B310" i="39"/>
  <c r="E310" i="39"/>
  <c r="D310" i="39"/>
  <c r="K309" i="39"/>
  <c r="H310" i="39" l="1"/>
  <c r="I310" i="39"/>
  <c r="G310" i="39"/>
  <c r="J310" i="39"/>
  <c r="E311" i="39"/>
  <c r="D311" i="39"/>
  <c r="C311" i="39"/>
  <c r="F311" i="39"/>
  <c r="B311" i="39"/>
  <c r="K310" i="39"/>
  <c r="I311" i="39" l="1"/>
  <c r="G311" i="39"/>
  <c r="J311" i="39"/>
  <c r="H311" i="39"/>
  <c r="C312" i="39"/>
  <c r="F312" i="39"/>
  <c r="B312" i="39"/>
  <c r="E312" i="39"/>
  <c r="D312" i="39"/>
  <c r="K311" i="39"/>
  <c r="I312" i="39" l="1"/>
  <c r="H312" i="39"/>
  <c r="J312" i="39"/>
  <c r="K312" i="39" s="1"/>
  <c r="G312" i="39"/>
  <c r="E313" i="39"/>
  <c r="D313" i="39"/>
  <c r="C313" i="39"/>
  <c r="F313" i="39"/>
  <c r="B313" i="39"/>
  <c r="J313" i="39" l="1"/>
  <c r="G313" i="39"/>
  <c r="I313" i="39"/>
  <c r="H313" i="39"/>
  <c r="K313" i="39" s="1"/>
  <c r="C314" i="39"/>
  <c r="F314" i="39"/>
  <c r="B314" i="39"/>
  <c r="E314" i="39"/>
  <c r="D314" i="39"/>
  <c r="I314" i="39" l="1"/>
  <c r="J314" i="39"/>
  <c r="G314" i="39"/>
  <c r="H314" i="39"/>
  <c r="E315" i="39"/>
  <c r="D315" i="39"/>
  <c r="C315" i="39"/>
  <c r="F315" i="39"/>
  <c r="B315" i="39"/>
  <c r="K314" i="39"/>
  <c r="G315" i="39" l="1"/>
  <c r="J315" i="39"/>
  <c r="H315" i="39"/>
  <c r="I315" i="39"/>
  <c r="C316" i="39"/>
  <c r="F316" i="39"/>
  <c r="B316" i="39"/>
  <c r="E316" i="39"/>
  <c r="D316" i="39"/>
  <c r="K315" i="39"/>
  <c r="I316" i="39" l="1"/>
  <c r="H316" i="39"/>
  <c r="J316" i="39"/>
  <c r="K316" i="39" s="1"/>
  <c r="G316" i="39"/>
  <c r="E317" i="39"/>
  <c r="D317" i="39"/>
  <c r="C317" i="39"/>
  <c r="F317" i="39"/>
  <c r="B317" i="39"/>
  <c r="J317" i="39" l="1"/>
  <c r="G317" i="39"/>
  <c r="I317" i="39"/>
  <c r="H317" i="39"/>
  <c r="C318" i="39"/>
  <c r="F318" i="39"/>
  <c r="B318" i="39"/>
  <c r="E318" i="39"/>
  <c r="D318" i="39"/>
  <c r="K317" i="39"/>
  <c r="J318" i="39" l="1"/>
  <c r="H318" i="39"/>
  <c r="I318" i="39"/>
  <c r="K318" i="39" s="1"/>
  <c r="G318" i="39"/>
  <c r="E319" i="39"/>
  <c r="D319" i="39"/>
  <c r="C319" i="39"/>
  <c r="F319" i="39"/>
  <c r="B319" i="39"/>
  <c r="I319" i="39" l="1"/>
  <c r="H319" i="39"/>
  <c r="G319" i="39"/>
  <c r="J319" i="39"/>
  <c r="C320" i="39"/>
  <c r="F320" i="39"/>
  <c r="B320" i="39"/>
  <c r="E320" i="39"/>
  <c r="D320" i="39"/>
  <c r="K319" i="39"/>
  <c r="I320" i="39" l="1"/>
  <c r="J320" i="39"/>
  <c r="K320" i="39" s="1"/>
  <c r="H320" i="39"/>
  <c r="G320" i="39"/>
  <c r="E321" i="39"/>
  <c r="D321" i="39"/>
  <c r="C321" i="39"/>
  <c r="F321" i="39"/>
  <c r="B321" i="39"/>
  <c r="G321" i="39" l="1"/>
  <c r="I321" i="39"/>
  <c r="J321" i="39"/>
  <c r="K321" i="39" s="1"/>
  <c r="H321" i="39"/>
  <c r="C322" i="39"/>
  <c r="F322" i="39"/>
  <c r="B322" i="39"/>
  <c r="E322" i="39"/>
  <c r="D322" i="39"/>
  <c r="I322" i="39" l="1"/>
  <c r="J322" i="39"/>
  <c r="H322" i="39"/>
  <c r="G322" i="39"/>
  <c r="K322" i="39" s="1"/>
  <c r="E323" i="39"/>
  <c r="D323" i="39"/>
  <c r="C323" i="39"/>
  <c r="F323" i="39"/>
  <c r="B323" i="39"/>
  <c r="G323" i="39" l="1"/>
  <c r="H323" i="39"/>
  <c r="I323" i="39"/>
  <c r="J323" i="39"/>
  <c r="C324" i="39"/>
  <c r="F324" i="39"/>
  <c r="B324" i="39"/>
  <c r="E324" i="39"/>
  <c r="D324" i="39"/>
  <c r="K323" i="39"/>
  <c r="G324" i="39" l="1"/>
  <c r="H324" i="39"/>
  <c r="I324" i="39"/>
  <c r="J324" i="39"/>
  <c r="K324" i="39" s="1"/>
  <c r="E325" i="39"/>
  <c r="D325" i="39"/>
  <c r="C325" i="39"/>
  <c r="F325" i="39"/>
  <c r="B325" i="39"/>
  <c r="J325" i="39" l="1"/>
  <c r="G325" i="39"/>
  <c r="I325" i="39"/>
  <c r="H325" i="39"/>
  <c r="K325" i="39" s="1"/>
  <c r="C326" i="39"/>
  <c r="F326" i="39"/>
  <c r="B326" i="39"/>
  <c r="E326" i="39"/>
  <c r="D326" i="39"/>
  <c r="H326" i="39" l="1"/>
  <c r="I326" i="39"/>
  <c r="J326" i="39"/>
  <c r="K326" i="39" s="1"/>
  <c r="G326" i="39"/>
  <c r="E327" i="39"/>
  <c r="D327" i="39"/>
  <c r="C327" i="39"/>
  <c r="F327" i="39"/>
  <c r="B327" i="39"/>
  <c r="G327" i="39" l="1"/>
  <c r="H327" i="39"/>
  <c r="I327" i="39"/>
  <c r="J327" i="39"/>
  <c r="C328" i="39"/>
  <c r="F328" i="39"/>
  <c r="B328" i="39"/>
  <c r="E328" i="39"/>
  <c r="D328" i="39"/>
  <c r="K327" i="39"/>
  <c r="G328" i="39" l="1"/>
  <c r="H328" i="39"/>
  <c r="I328" i="39"/>
  <c r="J328" i="39"/>
  <c r="K328" i="39" s="1"/>
  <c r="E329" i="39"/>
  <c r="D329" i="39"/>
  <c r="C329" i="39"/>
  <c r="F329" i="39"/>
  <c r="B329" i="39"/>
  <c r="I329" i="39" l="1"/>
  <c r="J329" i="39"/>
  <c r="G329" i="39"/>
  <c r="H329" i="39"/>
  <c r="C330" i="39"/>
  <c r="F330" i="39"/>
  <c r="B330" i="39"/>
  <c r="E330" i="39"/>
  <c r="D330" i="39"/>
  <c r="K329" i="39"/>
  <c r="I330" i="39" l="1"/>
  <c r="J330" i="39"/>
  <c r="K330" i="39" s="1"/>
  <c r="G330" i="39"/>
  <c r="H330" i="39"/>
  <c r="E331" i="39"/>
  <c r="D331" i="39"/>
  <c r="C331" i="39"/>
  <c r="F331" i="39"/>
  <c r="B331" i="39"/>
  <c r="G331" i="39" l="1"/>
  <c r="H331" i="39"/>
  <c r="I331" i="39"/>
  <c r="J331" i="39"/>
  <c r="K331" i="39" s="1"/>
  <c r="C332" i="39"/>
  <c r="F332" i="39"/>
  <c r="B332" i="39"/>
  <c r="E332" i="39"/>
  <c r="D332" i="39"/>
  <c r="H332" i="39" l="1"/>
  <c r="J332" i="39"/>
  <c r="K332" i="39" s="1"/>
  <c r="G332" i="39"/>
  <c r="I332" i="39"/>
  <c r="E333" i="39"/>
  <c r="D333" i="39"/>
  <c r="C333" i="39"/>
  <c r="F333" i="39"/>
  <c r="B333" i="39"/>
  <c r="I333" i="39" l="1"/>
  <c r="J333" i="39"/>
  <c r="G333" i="39"/>
  <c r="H333" i="39"/>
  <c r="K333" i="39" s="1"/>
  <c r="C334" i="39"/>
  <c r="F334" i="39"/>
  <c r="B334" i="39"/>
  <c r="E334" i="39"/>
  <c r="D334" i="39"/>
  <c r="H334" i="39" l="1"/>
  <c r="I334" i="39"/>
  <c r="J334" i="39"/>
  <c r="K334" i="39" s="1"/>
  <c r="G334" i="39"/>
  <c r="E335" i="39"/>
  <c r="D335" i="39"/>
  <c r="C335" i="39"/>
  <c r="F335" i="39"/>
  <c r="B335" i="39"/>
  <c r="G335" i="39" l="1"/>
  <c r="J335" i="39"/>
  <c r="H335" i="39"/>
  <c r="I335" i="39"/>
  <c r="C336" i="39"/>
  <c r="F336" i="39"/>
  <c r="B336" i="39"/>
  <c r="E336" i="39"/>
  <c r="D336" i="39"/>
  <c r="K335" i="39"/>
  <c r="G336" i="39" l="1"/>
  <c r="H336" i="39"/>
  <c r="J336" i="39"/>
  <c r="K336" i="39" s="1"/>
  <c r="I336" i="39"/>
  <c r="E337" i="39"/>
  <c r="D337" i="39"/>
  <c r="C337" i="39"/>
  <c r="F337" i="39"/>
  <c r="B337" i="39"/>
  <c r="I337" i="39" l="1"/>
  <c r="H337" i="39"/>
  <c r="J337" i="39"/>
  <c r="G337" i="39"/>
  <c r="C338" i="39"/>
  <c r="F338" i="39"/>
  <c r="B338" i="39"/>
  <c r="E338" i="39"/>
  <c r="D338" i="39"/>
  <c r="K337" i="39"/>
  <c r="J338" i="39" l="1"/>
  <c r="I338" i="39"/>
  <c r="H338" i="39"/>
  <c r="K338" i="39" s="1"/>
  <c r="G338" i="39"/>
  <c r="E339" i="39"/>
  <c r="D339" i="39"/>
  <c r="C339" i="39"/>
  <c r="F339" i="39"/>
  <c r="B339" i="39"/>
  <c r="J339" i="39" l="1"/>
  <c r="H339" i="39"/>
  <c r="I339" i="39"/>
  <c r="G339" i="39"/>
  <c r="C340" i="39"/>
  <c r="F340" i="39"/>
  <c r="B340" i="39"/>
  <c r="E340" i="39"/>
  <c r="D340" i="39"/>
  <c r="K339" i="39"/>
  <c r="I340" i="39" l="1"/>
  <c r="H340" i="39"/>
  <c r="G340" i="39"/>
  <c r="J340" i="39"/>
  <c r="K340" i="39" s="1"/>
  <c r="E341" i="39"/>
  <c r="D341" i="39"/>
  <c r="C341" i="39"/>
  <c r="F341" i="39"/>
  <c r="B341" i="39"/>
  <c r="J341" i="39" l="1"/>
  <c r="G341" i="39"/>
  <c r="I341" i="39"/>
  <c r="H341" i="39"/>
  <c r="C342" i="39"/>
  <c r="F342" i="39"/>
  <c r="B342" i="39"/>
  <c r="E342" i="39"/>
  <c r="D342" i="39"/>
  <c r="K341" i="39"/>
  <c r="H342" i="39" l="1"/>
  <c r="J342" i="39"/>
  <c r="K342" i="39" s="1"/>
  <c r="I342" i="39"/>
  <c r="G342" i="39"/>
  <c r="E343" i="39"/>
  <c r="D343" i="39"/>
  <c r="C343" i="39"/>
  <c r="F343" i="39"/>
  <c r="B343" i="39"/>
  <c r="I343" i="39" l="1"/>
  <c r="G343" i="39"/>
  <c r="J343" i="39"/>
  <c r="K343" i="39" s="1"/>
  <c r="H343" i="39"/>
  <c r="F344" i="39"/>
  <c r="B344" i="39"/>
  <c r="E344" i="39"/>
  <c r="D344" i="39"/>
  <c r="C344" i="39"/>
  <c r="J344" i="39" l="1"/>
  <c r="G344" i="39"/>
  <c r="I344" i="39"/>
  <c r="H344" i="39"/>
  <c r="D345" i="39"/>
  <c r="C345" i="39"/>
  <c r="F345" i="39"/>
  <c r="B345" i="39"/>
  <c r="E345" i="39"/>
  <c r="K344" i="39"/>
  <c r="I345" i="39" l="1"/>
  <c r="J345" i="39"/>
  <c r="K345" i="39" s="1"/>
  <c r="G345" i="39"/>
  <c r="H345" i="39"/>
  <c r="F346" i="39"/>
  <c r="B346" i="39"/>
  <c r="E346" i="39"/>
  <c r="D346" i="39"/>
  <c r="C346" i="39"/>
  <c r="G346" i="39" l="1"/>
  <c r="I346" i="39"/>
  <c r="H346" i="39"/>
  <c r="J346" i="39"/>
  <c r="K346" i="39" s="1"/>
  <c r="D347" i="39"/>
  <c r="C347" i="39"/>
  <c r="F347" i="39"/>
  <c r="B347" i="39"/>
  <c r="E347" i="39"/>
  <c r="H347" i="39" l="1"/>
  <c r="G347" i="39"/>
  <c r="I347" i="39"/>
  <c r="J347" i="39"/>
  <c r="F348" i="39"/>
  <c r="B348" i="39"/>
  <c r="E348" i="39"/>
  <c r="D348" i="39"/>
  <c r="C348" i="39"/>
  <c r="K347" i="39"/>
  <c r="I348" i="39" l="1"/>
  <c r="H348" i="39"/>
  <c r="G348" i="39"/>
  <c r="J348" i="39"/>
  <c r="K348" i="39" s="1"/>
  <c r="D349" i="39"/>
  <c r="C349" i="39"/>
  <c r="F349" i="39"/>
  <c r="B349" i="39"/>
  <c r="E349" i="39"/>
  <c r="H349" i="39" l="1"/>
  <c r="G349" i="39"/>
  <c r="I349" i="39"/>
  <c r="J349" i="39"/>
  <c r="K349" i="39" s="1"/>
  <c r="F350" i="39"/>
  <c r="B350" i="39"/>
  <c r="E350" i="39"/>
  <c r="D350" i="39"/>
  <c r="C350" i="39"/>
  <c r="G350" i="39" l="1"/>
  <c r="H350" i="39"/>
  <c r="I350" i="39"/>
  <c r="J350" i="39"/>
  <c r="K350" i="39" s="1"/>
  <c r="D351" i="39"/>
  <c r="C351" i="39"/>
  <c r="F351" i="39"/>
  <c r="B351" i="39"/>
  <c r="E351" i="39"/>
  <c r="G351" i="39" l="1"/>
  <c r="I351" i="39"/>
  <c r="J351" i="39"/>
  <c r="K351" i="39" s="1"/>
  <c r="H351" i="39"/>
  <c r="F352" i="39"/>
  <c r="B352" i="39"/>
  <c r="E352" i="39"/>
  <c r="D352" i="39"/>
  <c r="C352" i="39"/>
  <c r="G352" i="39" l="1"/>
  <c r="I352" i="39"/>
  <c r="H352" i="39"/>
  <c r="J352" i="39"/>
  <c r="D353" i="39"/>
  <c r="C353" i="39"/>
  <c r="F353" i="39"/>
  <c r="B353" i="39"/>
  <c r="E353" i="39"/>
  <c r="K352" i="39"/>
  <c r="G353" i="39" l="1"/>
  <c r="H353" i="39"/>
  <c r="I353" i="39"/>
  <c r="J353" i="39"/>
  <c r="F354" i="39"/>
  <c r="B354" i="39"/>
  <c r="E354" i="39"/>
  <c r="D354" i="39"/>
  <c r="C354" i="39"/>
  <c r="K353" i="39"/>
  <c r="I354" i="39" l="1"/>
  <c r="H354" i="39"/>
  <c r="G354" i="39"/>
  <c r="J354" i="39"/>
  <c r="D355" i="39"/>
  <c r="C355" i="39"/>
  <c r="F355" i="39"/>
  <c r="B355" i="39"/>
  <c r="E355" i="39"/>
  <c r="K354" i="39"/>
  <c r="G355" i="39" l="1"/>
  <c r="J355" i="39"/>
  <c r="I355" i="39"/>
  <c r="H355" i="39"/>
  <c r="F356" i="39"/>
  <c r="B356" i="39"/>
  <c r="E356" i="39"/>
  <c r="D356" i="39"/>
  <c r="C356" i="39"/>
  <c r="K355" i="39"/>
  <c r="H356" i="39" l="1"/>
  <c r="I356" i="39"/>
  <c r="G356" i="39"/>
  <c r="J356" i="39"/>
  <c r="D357" i="39"/>
  <c r="C357" i="39"/>
  <c r="F357" i="39"/>
  <c r="B357" i="39"/>
  <c r="E357" i="39"/>
  <c r="K356" i="39"/>
  <c r="J357" i="39" l="1"/>
  <c r="H357" i="39"/>
  <c r="I357" i="39"/>
  <c r="G357" i="39"/>
  <c r="F358" i="39"/>
  <c r="B358" i="39"/>
  <c r="E358" i="39"/>
  <c r="D358" i="39"/>
  <c r="C358" i="39"/>
  <c r="K357" i="39"/>
  <c r="H358" i="39" l="1"/>
  <c r="J358" i="39"/>
  <c r="G358" i="39"/>
  <c r="I358" i="39"/>
  <c r="D359" i="39"/>
  <c r="C359" i="39"/>
  <c r="F359" i="39"/>
  <c r="B359" i="39"/>
  <c r="E359" i="39"/>
  <c r="K358" i="39"/>
  <c r="G359" i="39" l="1"/>
  <c r="I359" i="39"/>
  <c r="J359" i="39"/>
  <c r="H359" i="39"/>
  <c r="F360" i="39"/>
  <c r="B360" i="39"/>
  <c r="E360" i="39"/>
  <c r="D360" i="39"/>
  <c r="C360" i="39"/>
  <c r="K359" i="39"/>
  <c r="I360" i="39" l="1"/>
  <c r="G360" i="39"/>
  <c r="J360" i="39"/>
  <c r="H360" i="39"/>
  <c r="D361" i="39"/>
  <c r="C361" i="39"/>
  <c r="F361" i="39"/>
  <c r="B361" i="39"/>
  <c r="E361" i="39"/>
  <c r="K360" i="39"/>
  <c r="H361" i="39" l="1"/>
  <c r="G361" i="39"/>
  <c r="J361" i="39"/>
  <c r="I361" i="39"/>
  <c r="F362" i="39"/>
  <c r="B362" i="39"/>
  <c r="E362" i="39"/>
  <c r="D362" i="39"/>
  <c r="C362" i="39"/>
  <c r="K361" i="39"/>
  <c r="I362" i="39" l="1"/>
  <c r="J362" i="39"/>
  <c r="H362" i="39"/>
  <c r="G362" i="39"/>
  <c r="D363" i="39"/>
  <c r="C363" i="39"/>
  <c r="F363" i="39"/>
  <c r="B363" i="39"/>
  <c r="E363" i="39"/>
  <c r="K362" i="39"/>
  <c r="J363" i="39" l="1"/>
  <c r="H363" i="39"/>
  <c r="G363" i="39"/>
  <c r="I363" i="39"/>
  <c r="F364" i="39"/>
  <c r="B364" i="39"/>
  <c r="E364" i="39"/>
  <c r="D364" i="39"/>
  <c r="C364" i="39"/>
  <c r="K363" i="39"/>
  <c r="G364" i="39" l="1"/>
  <c r="J364" i="39"/>
  <c r="H364" i="39"/>
  <c r="I364" i="39"/>
  <c r="D365" i="39"/>
  <c r="C365" i="39"/>
  <c r="F365" i="39"/>
  <c r="B365" i="39"/>
  <c r="E365" i="39"/>
  <c r="K364" i="39"/>
  <c r="J365" i="39" l="1"/>
  <c r="H365" i="39"/>
  <c r="I365" i="39"/>
  <c r="G365" i="39"/>
  <c r="K365" i="39" s="1"/>
  <c r="F366" i="39"/>
  <c r="B366" i="39"/>
  <c r="E366" i="39"/>
  <c r="D366" i="39"/>
  <c r="C366" i="39"/>
  <c r="I366" i="39" l="1"/>
  <c r="H366" i="39"/>
  <c r="J366" i="39"/>
  <c r="K366" i="39" s="1"/>
  <c r="G366" i="39"/>
  <c r="D367" i="39"/>
  <c r="C367" i="39"/>
  <c r="F367" i="39"/>
  <c r="B367" i="39"/>
  <c r="E367" i="39"/>
  <c r="J367" i="39" l="1"/>
  <c r="G367" i="39"/>
  <c r="I367" i="39"/>
  <c r="H367" i="39"/>
  <c r="F368" i="39"/>
  <c r="B368" i="39"/>
  <c r="E368" i="39"/>
  <c r="D368" i="39"/>
  <c r="C368" i="39"/>
  <c r="K367" i="39"/>
  <c r="J368" i="39" l="1"/>
  <c r="H368" i="39"/>
  <c r="K368" i="39" s="1"/>
  <c r="G368" i="39"/>
  <c r="I368" i="39"/>
  <c r="D369" i="39"/>
  <c r="C369" i="39"/>
  <c r="F369" i="39"/>
  <c r="B369" i="39"/>
  <c r="E369" i="39"/>
  <c r="G369" i="39" l="1"/>
  <c r="J369" i="39"/>
  <c r="K369" i="39" s="1"/>
  <c r="I369" i="39"/>
  <c r="H369" i="39"/>
  <c r="F370" i="39"/>
  <c r="B370" i="39"/>
  <c r="E370" i="39"/>
  <c r="D370" i="39"/>
  <c r="C370" i="39"/>
  <c r="H370" i="39" l="1"/>
  <c r="I370" i="39"/>
  <c r="G370" i="39"/>
  <c r="J370" i="39"/>
  <c r="K370" i="39" s="1"/>
  <c r="D371" i="39"/>
  <c r="C371" i="39"/>
  <c r="F371" i="39"/>
  <c r="B371" i="39"/>
  <c r="E371" i="39"/>
  <c r="H371" i="39" l="1"/>
  <c r="I371" i="39"/>
  <c r="J371" i="39"/>
  <c r="K371" i="39" s="1"/>
  <c r="G371" i="39"/>
  <c r="F372" i="39"/>
  <c r="B372" i="39"/>
  <c r="E372" i="39"/>
  <c r="D372" i="39"/>
  <c r="C372" i="39"/>
  <c r="J372" i="39" l="1"/>
  <c r="I372" i="39"/>
  <c r="G372" i="39"/>
  <c r="H372" i="39"/>
  <c r="K372" i="39" s="1"/>
  <c r="D373" i="39"/>
  <c r="C373" i="39"/>
  <c r="F373" i="39"/>
  <c r="B373" i="39"/>
  <c r="E373" i="39"/>
  <c r="G373" i="39" l="1"/>
  <c r="H373" i="39"/>
  <c r="J373" i="39"/>
  <c r="K373" i="39" s="1"/>
  <c r="I373" i="39"/>
  <c r="F374" i="39"/>
  <c r="B374" i="39"/>
  <c r="E374" i="39"/>
  <c r="D374" i="39"/>
  <c r="C374" i="39"/>
  <c r="G374" i="39" l="1"/>
  <c r="I374" i="39"/>
  <c r="H374" i="39"/>
  <c r="J374" i="39"/>
  <c r="K374" i="39" s="1"/>
  <c r="D375" i="39"/>
  <c r="C375" i="39"/>
  <c r="F375" i="39"/>
  <c r="B375" i="39"/>
  <c r="E375" i="39"/>
  <c r="G375" i="39" s="1"/>
  <c r="I375" i="39" l="1"/>
  <c r="J375" i="39"/>
  <c r="H375" i="39"/>
  <c r="F376" i="39"/>
  <c r="B376" i="39"/>
  <c r="E376" i="39"/>
  <c r="D376" i="39"/>
  <c r="C376" i="39"/>
  <c r="K375" i="39"/>
  <c r="I376" i="39" l="1"/>
  <c r="G376" i="39"/>
  <c r="J376" i="39"/>
  <c r="K376" i="39" s="1"/>
  <c r="H376" i="39"/>
  <c r="F377" i="39"/>
  <c r="D377" i="39"/>
  <c r="C377" i="39"/>
  <c r="B377" i="39"/>
  <c r="E377" i="39"/>
  <c r="I377" i="39" l="1"/>
  <c r="G377" i="39"/>
  <c r="H377" i="39"/>
  <c r="J377" i="39"/>
  <c r="K377" i="39" s="1"/>
  <c r="F378" i="39"/>
  <c r="B378" i="39"/>
  <c r="E378" i="39"/>
  <c r="D378" i="39"/>
  <c r="C378" i="39"/>
  <c r="J378" i="39" l="1"/>
  <c r="H378" i="39"/>
  <c r="I378" i="39"/>
  <c r="K378" i="39" s="1"/>
  <c r="G378" i="39"/>
  <c r="D379" i="39"/>
  <c r="C379" i="39"/>
  <c r="F379" i="39"/>
  <c r="B379" i="39"/>
  <c r="E379" i="39"/>
  <c r="G379" i="39" l="1"/>
  <c r="J379" i="39"/>
  <c r="K379" i="39" s="1"/>
  <c r="I379" i="39"/>
  <c r="H379" i="39"/>
  <c r="F380" i="39"/>
  <c r="B380" i="39"/>
  <c r="E380" i="39"/>
  <c r="D380" i="39"/>
  <c r="C380" i="39"/>
  <c r="J380" i="39" l="1"/>
  <c r="I380" i="39"/>
  <c r="G380" i="39"/>
  <c r="H380" i="39"/>
  <c r="K380" i="39" s="1"/>
  <c r="D381" i="39"/>
  <c r="C381" i="39"/>
  <c r="F381" i="39"/>
  <c r="B381" i="39"/>
  <c r="E381" i="39"/>
  <c r="H381" i="39" l="1"/>
  <c r="J381" i="39"/>
  <c r="I381" i="39"/>
  <c r="G381" i="39"/>
  <c r="F382" i="39"/>
  <c r="B382" i="39"/>
  <c r="E382" i="39"/>
  <c r="D382" i="39"/>
  <c r="C382" i="39"/>
  <c r="K381" i="39"/>
  <c r="H382" i="39" l="1"/>
  <c r="G382" i="39"/>
  <c r="J382" i="39"/>
  <c r="I382" i="39"/>
  <c r="D383" i="39"/>
  <c r="C383" i="39"/>
  <c r="F383" i="39"/>
  <c r="B383" i="39"/>
  <c r="E383" i="39"/>
  <c r="K382" i="39"/>
  <c r="H383" i="39" l="1"/>
  <c r="I383" i="39"/>
  <c r="G383" i="39"/>
  <c r="J383" i="39"/>
  <c r="F384" i="39"/>
  <c r="B384" i="39"/>
  <c r="E384" i="39"/>
  <c r="D384" i="39"/>
  <c r="C384" i="39"/>
  <c r="K383" i="39"/>
  <c r="G384" i="39" l="1"/>
  <c r="I384" i="39"/>
  <c r="J384" i="39"/>
  <c r="H384" i="39"/>
  <c r="D385" i="39"/>
  <c r="C385" i="39"/>
  <c r="F385" i="39"/>
  <c r="B385" i="39"/>
  <c r="E385" i="39"/>
  <c r="K384" i="39"/>
  <c r="J385" i="39" l="1"/>
  <c r="G385" i="39"/>
  <c r="H385" i="39"/>
  <c r="I385" i="39"/>
  <c r="F386" i="39"/>
  <c r="B386" i="39"/>
  <c r="E386" i="39"/>
  <c r="D386" i="39"/>
  <c r="C386" i="39"/>
  <c r="K385" i="39"/>
  <c r="I386" i="39" l="1"/>
  <c r="H386" i="39"/>
  <c r="G386" i="39"/>
  <c r="J386" i="39"/>
  <c r="D387" i="39"/>
  <c r="C387" i="39"/>
  <c r="F387" i="39"/>
  <c r="B387" i="39"/>
  <c r="E387" i="39"/>
  <c r="K386" i="39"/>
  <c r="H387" i="39" l="1"/>
  <c r="I387" i="39"/>
  <c r="G387" i="39"/>
  <c r="J387" i="39"/>
  <c r="F388" i="39"/>
  <c r="B388" i="39"/>
  <c r="E388" i="39"/>
  <c r="D388" i="39"/>
  <c r="C388" i="39"/>
  <c r="K387" i="39"/>
  <c r="G388" i="39" l="1"/>
  <c r="I388" i="39"/>
  <c r="H388" i="39"/>
  <c r="J388" i="39"/>
  <c r="D389" i="39"/>
  <c r="C389" i="39"/>
  <c r="F389" i="39"/>
  <c r="B389" i="39"/>
  <c r="E389" i="39"/>
  <c r="K388" i="39"/>
  <c r="H389" i="39" l="1"/>
  <c r="G389" i="39"/>
  <c r="I389" i="39"/>
  <c r="J389" i="39"/>
  <c r="K389" i="39" s="1"/>
  <c r="F390" i="39"/>
  <c r="B390" i="39"/>
  <c r="E390" i="39"/>
  <c r="D390" i="39"/>
  <c r="C390" i="39"/>
  <c r="H390" i="39" l="1"/>
  <c r="G390" i="39"/>
  <c r="I390" i="39"/>
  <c r="J390" i="39"/>
  <c r="K390" i="39" s="1"/>
  <c r="D391" i="39"/>
  <c r="C391" i="39"/>
  <c r="F391" i="39"/>
  <c r="B391" i="39"/>
  <c r="E391" i="39"/>
  <c r="H391" i="39" l="1"/>
  <c r="J391" i="39"/>
  <c r="I391" i="39"/>
  <c r="G391" i="39"/>
  <c r="F392" i="39"/>
  <c r="B392" i="39"/>
  <c r="E392" i="39"/>
  <c r="D392" i="39"/>
  <c r="C392" i="39"/>
  <c r="K391" i="39"/>
  <c r="J392" i="39" l="1"/>
  <c r="I392" i="39"/>
  <c r="H392" i="39"/>
  <c r="K392" i="39" s="1"/>
  <c r="G392" i="39"/>
  <c r="D393" i="39"/>
  <c r="C393" i="39"/>
  <c r="F393" i="39"/>
  <c r="B393" i="39"/>
  <c r="E393" i="39"/>
  <c r="I393" i="39" l="1"/>
  <c r="J393" i="39"/>
  <c r="K393" i="39" s="1"/>
  <c r="H393" i="39"/>
  <c r="G393" i="39"/>
  <c r="F394" i="39"/>
  <c r="B394" i="39"/>
  <c r="E394" i="39"/>
  <c r="D394" i="39"/>
  <c r="C394" i="39"/>
  <c r="I394" i="39" l="1"/>
  <c r="H394" i="39"/>
  <c r="J394" i="39"/>
  <c r="K394" i="39" s="1"/>
  <c r="G394" i="39"/>
  <c r="D395" i="39"/>
  <c r="C395" i="39"/>
  <c r="F395" i="39"/>
  <c r="B395" i="39"/>
  <c r="E395" i="39"/>
  <c r="H395" i="39" l="1"/>
  <c r="G395" i="39"/>
  <c r="I395" i="39"/>
  <c r="J395" i="39"/>
  <c r="F396" i="39"/>
  <c r="B396" i="39"/>
  <c r="E396" i="39"/>
  <c r="D396" i="39"/>
  <c r="C396" i="39"/>
  <c r="K395" i="39"/>
  <c r="J396" i="39" l="1"/>
  <c r="I396" i="39"/>
  <c r="H396" i="39"/>
  <c r="K396" i="39" s="1"/>
  <c r="G396" i="39"/>
  <c r="D397" i="39"/>
  <c r="C397" i="39"/>
  <c r="F397" i="39"/>
  <c r="B397" i="39"/>
  <c r="E397" i="39"/>
  <c r="I397" i="39" l="1"/>
  <c r="J397" i="39"/>
  <c r="K397" i="39" s="1"/>
  <c r="H397" i="39"/>
  <c r="G397" i="39"/>
  <c r="F398" i="39"/>
  <c r="B398" i="39"/>
  <c r="E398" i="39"/>
  <c r="D398" i="39"/>
  <c r="C398" i="39"/>
  <c r="H398" i="39" l="1"/>
  <c r="J398" i="39"/>
  <c r="K398" i="39" s="1"/>
  <c r="G398" i="39"/>
  <c r="I398" i="39"/>
  <c r="D399" i="39"/>
  <c r="C399" i="39"/>
  <c r="F399" i="39"/>
  <c r="B399" i="39"/>
  <c r="E399" i="39"/>
  <c r="H399" i="39" l="1"/>
  <c r="G399" i="39"/>
  <c r="I399" i="39"/>
  <c r="J399" i="39"/>
  <c r="F400" i="39"/>
  <c r="B400" i="39"/>
  <c r="E400" i="39"/>
  <c r="D400" i="39"/>
  <c r="C400" i="39"/>
  <c r="K399" i="39"/>
  <c r="H400" i="39" l="1"/>
  <c r="G400" i="39"/>
  <c r="J400" i="39"/>
  <c r="I400" i="39"/>
  <c r="D401" i="39"/>
  <c r="C401" i="39"/>
  <c r="F401" i="39"/>
  <c r="B401" i="39"/>
  <c r="E401" i="39"/>
  <c r="K400" i="39"/>
  <c r="J401" i="39" l="1"/>
  <c r="G401" i="39"/>
  <c r="H401" i="39"/>
  <c r="K401" i="39" s="1"/>
  <c r="I401" i="39"/>
  <c r="F402" i="39"/>
  <c r="B402" i="39"/>
  <c r="E402" i="39"/>
  <c r="D402" i="39"/>
  <c r="C402" i="39"/>
  <c r="I402" i="39" l="1"/>
  <c r="G402" i="39"/>
  <c r="H402" i="39"/>
  <c r="J402" i="39"/>
  <c r="K402" i="39" s="1"/>
  <c r="D403" i="39"/>
  <c r="C403" i="39"/>
  <c r="F403" i="39"/>
  <c r="B403" i="39"/>
  <c r="E403" i="39"/>
  <c r="H403" i="39" l="1"/>
  <c r="I403" i="39"/>
  <c r="G403" i="39"/>
  <c r="J403" i="39"/>
  <c r="K403" i="39" s="1"/>
  <c r="F404" i="39"/>
  <c r="B404" i="39"/>
  <c r="E404" i="39"/>
  <c r="D404" i="39"/>
  <c r="C404" i="39"/>
  <c r="G404" i="39" l="1"/>
  <c r="J404" i="39"/>
  <c r="I404" i="39"/>
  <c r="H404" i="39"/>
  <c r="D405" i="39"/>
  <c r="C405" i="39"/>
  <c r="F405" i="39"/>
  <c r="B405" i="39"/>
  <c r="E405" i="39"/>
  <c r="K404" i="39"/>
  <c r="J405" i="39" l="1"/>
  <c r="I405" i="39"/>
  <c r="G405" i="39"/>
  <c r="H405" i="39"/>
  <c r="K405" i="39" s="1"/>
  <c r="F406" i="39"/>
  <c r="B406" i="39"/>
  <c r="E406" i="39"/>
  <c r="D406" i="39"/>
  <c r="C406" i="39"/>
  <c r="J406" i="39" l="1"/>
  <c r="I406" i="39"/>
  <c r="H406" i="39"/>
  <c r="G406" i="39"/>
  <c r="D407" i="39"/>
  <c r="C407" i="39"/>
  <c r="F407" i="39"/>
  <c r="B407" i="39"/>
  <c r="E407" i="39"/>
  <c r="K406" i="39"/>
  <c r="G407" i="39" l="1"/>
  <c r="I407" i="39"/>
  <c r="J407" i="39"/>
  <c r="H407" i="39"/>
  <c r="F408" i="39"/>
  <c r="B408" i="39"/>
  <c r="E408" i="39"/>
  <c r="D408" i="39"/>
  <c r="C408" i="39"/>
  <c r="K407" i="39"/>
  <c r="J408" i="39" l="1"/>
  <c r="I408" i="39"/>
  <c r="H408" i="39"/>
  <c r="K408" i="39" s="1"/>
  <c r="G408" i="39"/>
  <c r="D409" i="39"/>
  <c r="C409" i="39"/>
  <c r="F409" i="39"/>
  <c r="B409" i="39"/>
  <c r="E409" i="39"/>
  <c r="G409" i="39" l="1"/>
  <c r="J409" i="39"/>
  <c r="I409" i="39"/>
  <c r="H409" i="39"/>
  <c r="K409" i="39" s="1"/>
  <c r="F410" i="39"/>
  <c r="B410" i="39"/>
  <c r="E410" i="39"/>
  <c r="D410" i="39"/>
  <c r="C410" i="39"/>
  <c r="J410" i="39" l="1"/>
  <c r="H410" i="39"/>
  <c r="G410" i="39"/>
  <c r="I410" i="39"/>
  <c r="K410" i="39" s="1"/>
</calcChain>
</file>

<file path=xl/sharedStrings.xml><?xml version="1.0" encoding="utf-8"?>
<sst xmlns="http://schemas.openxmlformats.org/spreadsheetml/2006/main" count="148526" uniqueCount="6654">
  <si>
    <t>Aberdeen Varicose Vein Questionnaire</t>
  </si>
  <si>
    <t>Provider</t>
  </si>
  <si>
    <t>Standard Deviation</t>
  </si>
  <si>
    <t>Condition Specific</t>
  </si>
  <si>
    <t>N/A</t>
  </si>
  <si>
    <t>Key Facts</t>
  </si>
  <si>
    <t>Participation and Coverage</t>
  </si>
  <si>
    <t>SHA of responsibility</t>
  </si>
  <si>
    <t>PCT of responsibility</t>
  </si>
  <si>
    <t>Participation Rate</t>
  </si>
  <si>
    <t>Organisation A</t>
  </si>
  <si>
    <t>Organisation B</t>
  </si>
  <si>
    <t>Organisation C</t>
  </si>
  <si>
    <t>Hip Replacement</t>
  </si>
  <si>
    <t>Oxford Hip Score</t>
  </si>
  <si>
    <t>Knee Replacement</t>
  </si>
  <si>
    <t>Oxford Knee Score</t>
  </si>
  <si>
    <t>Varicose Vein</t>
  </si>
  <si>
    <t>Percentage getting worse</t>
  </si>
  <si>
    <t>Number improving</t>
  </si>
  <si>
    <t>Number getting worse</t>
  </si>
  <si>
    <t>mean</t>
  </si>
  <si>
    <t>x</t>
  </si>
  <si>
    <t>Number</t>
  </si>
  <si>
    <t>X2</t>
  </si>
  <si>
    <t>Y2</t>
  </si>
  <si>
    <t>Hip Replacement - Total Linked</t>
  </si>
  <si>
    <t>Knee Replacement - Total Linked</t>
  </si>
  <si>
    <t>Varicose Vein - Total Linked</t>
  </si>
  <si>
    <t>EQ-5D Index (a combination of five key criteria concerning general health)</t>
  </si>
  <si>
    <t>X</t>
  </si>
  <si>
    <t>Y</t>
  </si>
  <si>
    <t>Concatenate</t>
  </si>
  <si>
    <t>SHA</t>
  </si>
  <si>
    <t>PCT</t>
  </si>
  <si>
    <t>Procedure</t>
  </si>
  <si>
    <t>Organisation Level</t>
  </si>
  <si>
    <t xml:space="preserve"> </t>
  </si>
  <si>
    <t>Marker</t>
  </si>
  <si>
    <t>Significance</t>
  </si>
  <si>
    <t>Total</t>
  </si>
  <si>
    <t>Modelled records</t>
  </si>
  <si>
    <t>Average Q1 Score</t>
  </si>
  <si>
    <t>Average Q2 Score</t>
  </si>
  <si>
    <t>Health gain (Q2 average - Q1 average)</t>
  </si>
  <si>
    <t>Increase (Q2&gt;Q1)</t>
  </si>
  <si>
    <t>Same (Q2=Q1)</t>
  </si>
  <si>
    <t>Decrease (Q2&lt;Q1)</t>
  </si>
  <si>
    <t>Adjusted average Q2 score</t>
  </si>
  <si>
    <t>Adjusted average health gain</t>
  </si>
  <si>
    <t>Groin Hernia</t>
  </si>
  <si>
    <t>National</t>
  </si>
  <si>
    <t>EQ-5D Index</t>
  </si>
  <si>
    <t>*</t>
  </si>
  <si>
    <t>Groin Hernia - Total Linked</t>
  </si>
  <si>
    <t>Upper 95% control limit</t>
  </si>
  <si>
    <t>Upper 99.8% control limit</t>
  </si>
  <si>
    <t>All Procedures</t>
  </si>
  <si>
    <t>Linkage Rate</t>
  </si>
  <si>
    <t>Procedure group</t>
  </si>
  <si>
    <t>Organisation Type</t>
  </si>
  <si>
    <t>Organisation Code</t>
  </si>
  <si>
    <t>Organisation Name</t>
  </si>
  <si>
    <t>Measure</t>
  </si>
  <si>
    <t>Response Rate</t>
  </si>
  <si>
    <t>Pre-operative participation and linkage</t>
  </si>
  <si>
    <t>Pre-operative questionnaires completed</t>
  </si>
  <si>
    <t>Pre-operative questionnaires linked</t>
  </si>
  <si>
    <t>Post-operative questionnaires sent out</t>
  </si>
  <si>
    <t>Issue Rate</t>
  </si>
  <si>
    <t>Post-operative questionnaires returned</t>
  </si>
  <si>
    <t>Hip Replaceemnt</t>
  </si>
  <si>
    <t>Improved</t>
  </si>
  <si>
    <t>All Procedures - Total Linked</t>
  </si>
  <si>
    <t>Percentage improving</t>
  </si>
  <si>
    <t>Lookup</t>
  </si>
  <si>
    <t>How to use</t>
  </si>
  <si>
    <t>Key Facts - Raw Data</t>
  </si>
  <si>
    <t>Participation - Raw Data</t>
  </si>
  <si>
    <t>Funnel Lookup</t>
  </si>
  <si>
    <t>Reference</t>
  </si>
  <si>
    <t>TAB</t>
  </si>
  <si>
    <t xml:space="preserve">Finally </t>
  </si>
  <si>
    <t>Check all the 'Refers to' data in Named Ranges to ensure there are no #REF errors</t>
  </si>
  <si>
    <t>Hide tabs in yellow</t>
  </si>
  <si>
    <t>Modelled Records</t>
  </si>
  <si>
    <t>Adjusted Average Health Gain</t>
  </si>
  <si>
    <t>CCG of GP Practice</t>
  </si>
  <si>
    <t>CCG</t>
  </si>
  <si>
    <t>Acknowledgements</t>
  </si>
  <si>
    <t>Low numbers</t>
  </si>
  <si>
    <t>Exclusions</t>
  </si>
  <si>
    <t>Organisation level</t>
  </si>
  <si>
    <t xml:space="preserve">
Organisation name</t>
  </si>
  <si>
    <t xml:space="preserve">
Organisation level</t>
  </si>
  <si>
    <t>Organisation name</t>
  </si>
  <si>
    <t>Organisation code</t>
  </si>
  <si>
    <t>England average</t>
  </si>
  <si>
    <t>Lower
95%
control limit</t>
  </si>
  <si>
    <t>Upper
95%
control limit</t>
  </si>
  <si>
    <t>Lower
99.8%
control limit</t>
  </si>
  <si>
    <t>Upper
99.8%
control limit</t>
  </si>
  <si>
    <t>ENGLAND</t>
  </si>
  <si>
    <t>Chart 1: Percentage of patients that have improved for each procedure and scoring mechanism (unadjusted)</t>
  </si>
  <si>
    <t>Organisation validation</t>
  </si>
  <si>
    <t>No of Organisations</t>
  </si>
  <si>
    <t>Horizontal Axis</t>
  </si>
  <si>
    <t>Y values</t>
  </si>
  <si>
    <t>Post-operative issue and return</t>
  </si>
  <si>
    <t>No of National</t>
  </si>
  <si>
    <t>No of SHAs</t>
  </si>
  <si>
    <t>Number of PCTs</t>
  </si>
  <si>
    <t>Number of CCGs</t>
  </si>
  <si>
    <t>Number of Providers</t>
  </si>
  <si>
    <t>Number Improved</t>
  </si>
  <si>
    <t>Number Worse</t>
  </si>
  <si>
    <t>% Improved</t>
  </si>
  <si>
    <t>% Worse</t>
  </si>
  <si>
    <t>Condition Specific Measures (a series of questions specific to the patients condition)</t>
  </si>
  <si>
    <t>Table 1: Pre-operative participation and linkage</t>
  </si>
  <si>
    <t>Table 2: Post-operative issue and return</t>
  </si>
  <si>
    <t>Organisation Level (dropdown)</t>
  </si>
  <si>
    <t>Number of rows</t>
  </si>
  <si>
    <t>Select 10 - Table</t>
  </si>
  <si>
    <t>GH Measures</t>
  </si>
  <si>
    <t>HR Measures</t>
  </si>
  <si>
    <t>KR Measures</t>
  </si>
  <si>
    <t>VV Measures</t>
  </si>
  <si>
    <t>No of Measures for Funnel_Score</t>
  </si>
  <si>
    <t>Organisation Type - Funnel Plot</t>
  </si>
  <si>
    <t>Funnel_Plot</t>
  </si>
  <si>
    <t>Number of Organisations</t>
  </si>
  <si>
    <r>
      <t xml:space="preserve">lower 2 </t>
    </r>
    <r>
      <rPr>
        <b/>
        <sz val="10"/>
        <rFont val="Symbol"/>
        <family val="1"/>
        <charset val="2"/>
      </rPr>
      <t>s</t>
    </r>
    <r>
      <rPr>
        <b/>
        <sz val="10"/>
        <rFont val="Arial"/>
        <family val="2"/>
      </rPr>
      <t>igma</t>
    </r>
  </si>
  <si>
    <r>
      <t xml:space="preserve">upper 2 </t>
    </r>
    <r>
      <rPr>
        <b/>
        <sz val="10"/>
        <rFont val="Symbol"/>
        <family val="1"/>
        <charset val="2"/>
      </rPr>
      <t>s</t>
    </r>
    <r>
      <rPr>
        <b/>
        <sz val="10"/>
        <rFont val="Arial"/>
        <family val="2"/>
      </rPr>
      <t>igma</t>
    </r>
  </si>
  <si>
    <r>
      <t xml:space="preserve">lower 3 </t>
    </r>
    <r>
      <rPr>
        <b/>
        <sz val="10"/>
        <rFont val="Symbol"/>
        <family val="1"/>
        <charset val="2"/>
      </rPr>
      <t>s</t>
    </r>
    <r>
      <rPr>
        <b/>
        <sz val="10"/>
        <rFont val="Arial"/>
        <family val="2"/>
      </rPr>
      <t>igma</t>
    </r>
  </si>
  <si>
    <r>
      <t xml:space="preserve">upper 3 </t>
    </r>
    <r>
      <rPr>
        <b/>
        <sz val="10"/>
        <rFont val="Symbol"/>
        <family val="1"/>
        <charset val="2"/>
      </rPr>
      <t>s</t>
    </r>
    <r>
      <rPr>
        <b/>
        <sz val="10"/>
        <rFont val="Arial"/>
        <family val="2"/>
      </rPr>
      <t>igma</t>
    </r>
  </si>
  <si>
    <t xml:space="preserve">Funnel Plot - Image1 </t>
  </si>
  <si>
    <t>Funnel Plot - Image2</t>
  </si>
  <si>
    <t>Tables and Charts - Raw Data</t>
  </si>
  <si>
    <t>Number of rows - Org level 1</t>
  </si>
  <si>
    <t>Number of rows - Org level 2</t>
  </si>
  <si>
    <t>Number of rows - Org level 3</t>
  </si>
  <si>
    <t>Number of rows - Org level 4</t>
  </si>
  <si>
    <t>Number of rows - Org level 5</t>
  </si>
  <si>
    <t>Number of rows - Org level 6</t>
  </si>
  <si>
    <t>Number of rows - Org level 7</t>
  </si>
  <si>
    <t>Number of rows - Org level 8</t>
  </si>
  <si>
    <t>Number of rows - Org level 9</t>
  </si>
  <si>
    <t>Number of rows - Org level 10</t>
  </si>
  <si>
    <t>Number of Org level</t>
  </si>
  <si>
    <t>No of Org Types</t>
  </si>
  <si>
    <t>No of Measures for Select 10 Table</t>
  </si>
  <si>
    <t>Date ranges for Publication Title</t>
  </si>
  <si>
    <t>http://www.hscic.gov.uk/terms-and-conditions</t>
  </si>
  <si>
    <t>Link for copyright statement</t>
  </si>
  <si>
    <t>Update dates for each new publication</t>
  </si>
  <si>
    <t>Quarterly updates</t>
  </si>
  <si>
    <t>Chart data</t>
  </si>
  <si>
    <t>Column F on this worksheet has been formated as a tick list - key lower case a to enter a tick.</t>
  </si>
  <si>
    <t>Tick list</t>
  </si>
  <si>
    <t>Update cells A9 and B9 to change Copyright statement on each sheet.</t>
  </si>
  <si>
    <r>
      <t xml:space="preserve">Named ranges - SHAs; PCTs; CCGs; Providers contain INDIRECT formulas which do not automatically update if columns are added or removed in the 'Reference' sheet. This should only be a factor during development and </t>
    </r>
    <r>
      <rPr>
        <u/>
        <sz val="11"/>
        <rFont val="Arial"/>
        <family val="2"/>
      </rPr>
      <t>not</t>
    </r>
    <r>
      <rPr>
        <sz val="11"/>
        <rFont val="Arial"/>
        <family val="2"/>
      </rPr>
      <t xml:space="preserve"> quaterly updates.</t>
    </r>
  </si>
  <si>
    <t>All cells with this colour code contain formula's - Do not change.</t>
  </si>
  <si>
    <t>England</t>
  </si>
  <si>
    <t>% England Improved</t>
  </si>
  <si>
    <t>% England Worse</t>
  </si>
  <si>
    <t>Funnel Data</t>
  </si>
  <si>
    <t>table key</t>
  </si>
  <si>
    <t>Funnel Increment</t>
  </si>
  <si>
    <t>Selected (n)</t>
  </si>
  <si>
    <t>MAX (n)</t>
  </si>
  <si>
    <t>Number of records (n)</t>
  </si>
  <si>
    <t>Funnel setup</t>
  </si>
  <si>
    <t xml:space="preserve">Run query QRY SCORE COMPARISON - FUNNEL SETUP from Code Library </t>
  </si>
  <si>
    <t>NOTE
check AdjHG and UCL998 have the same sign for Aberdeen Varicose Vein Questionnaire (+ or - doesn't matter which)</t>
  </si>
  <si>
    <t>Check the Funnel Plot and Funnel Data worksheets are working properly e.g. drop down lists, dates, full data set included, no error messages etc.</t>
  </si>
  <si>
    <t>Publication</t>
  </si>
  <si>
    <t>Protect tabs</t>
  </si>
  <si>
    <t>Protect workbook structure</t>
  </si>
  <si>
    <t>EQ VAS</t>
  </si>
  <si>
    <t>**If there is an #N/A here check the formulas for Named ranges 'SHAs', 'PCTs', 'CCGs','Providers' as the INDIRECT formula will not update automatically if there is movement in the columns on the 'Reference' sheet</t>
  </si>
  <si>
    <t>EQ VAS (current state of the patients general health marked on a visual analogue scale)</t>
  </si>
  <si>
    <t>Protection applied to individual sheets and the workbook structure is not password protected. Protection is use to facilitate usage not protect data.</t>
  </si>
  <si>
    <t>DO NOT use a password - Protection is use to facilitate usage not protect data.</t>
  </si>
  <si>
    <t>User guide for PROMs Score Comparison workbook</t>
  </si>
  <si>
    <t>Check the Score Comparison workbook is working properly e.g. drop down lists, dates, data etc.</t>
  </si>
  <si>
    <t>How to</t>
  </si>
  <si>
    <t>To add or remove organisation levels on Reference tab</t>
  </si>
  <si>
    <t>When adding of removing organisations do not leave blank cells in the list.</t>
  </si>
  <si>
    <t>NOTE: Table 1 and Table 2 only display data at England and Provider level</t>
  </si>
  <si>
    <t>.</t>
  </si>
  <si>
    <t>MIN (n)</t>
  </si>
  <si>
    <t>95% control limits</t>
  </si>
  <si>
    <t>99.8% control limits</t>
  </si>
  <si>
    <t>Data Sources</t>
  </si>
  <si>
    <t>Hospital Episode Statistics (HES) / PROMs, Health and Social Care Information Centre.</t>
  </si>
  <si>
    <t>Methodology</t>
  </si>
  <si>
    <t>Where necessary for the protection of patient confidentiality, figures between 1 and 5 have been suppressed and replaced with an asterisk (‘*’) and derived figures have also been suppressed. Further suppression has been applied where it would otherwise have been possible to identify a suppressed figure by derivation from other published figures.</t>
  </si>
  <si>
    <t>The calculation of the casemix-adjusted measures presented in this tool includes only those records where both the pre- and post-operative questionnaires have been completed, the questionnaire pair has been successfully linked to a record of hospital inpatient activity and key data items used in the casemix-adjustment methodology have valid values recorded. Average casemix-adjusted scores have been calculated only where there are at least 30 modelled records, as the statistical models break down with fewer records and aggregate calculations on small numbers may return unrepresentative results.</t>
  </si>
  <si>
    <t>EQ-5D™ is a trademark of the Euroqol Group. Any and all copyrights in the EQ-5D™ questions, their order, layout and images vest in the Euroqol Group [http://www.euroqol.org]. The Euroqol Group reserves all rights. © Euroqol Group, 1992.</t>
  </si>
  <si>
    <t>Any and all copyrights in the Oxford Hip Score and Oxford Knee Score questions, their order and layout vest in Isis Innovation Limited [http://www.isis-innovation.com/outcomes/orthopaedic/]. Isis Innovation Limited reserves all rights. © Isis Innovation Limited, 1996.</t>
  </si>
  <si>
    <t>Except where expressly stated to the contrary, the Department of Health PROMs questionnaires are protected by Crown Copyright. © Crown Copyright, 2008–2011.</t>
  </si>
  <si>
    <t>PROMs Score Comparison Tool</t>
  </si>
  <si>
    <t>Eligible hospital procedures</t>
  </si>
  <si>
    <t>Guide to the 'Select 10' table</t>
  </si>
  <si>
    <t>This section allows for a quick comparison of up to ten organisations against the picture for England as a whole.</t>
  </si>
  <si>
    <t>Casemix-adjustment</t>
  </si>
  <si>
    <t>Unchanged</t>
  </si>
  <si>
    <t>Worsened</t>
  </si>
  <si>
    <t>Choose organisation level and name</t>
  </si>
  <si>
    <r>
      <rPr>
        <b/>
        <sz val="12"/>
        <rFont val="Arial"/>
        <family val="2"/>
      </rPr>
      <t>Modelled records:</t>
    </r>
    <r>
      <rPr>
        <sz val="12"/>
        <rFont val="Arial"/>
        <family val="2"/>
      </rPr>
      <t xml:space="preserve"> the number of questionnaire-pairs for which it has been possible to apply the casemix-adjustment model</t>
    </r>
  </si>
  <si>
    <r>
      <rPr>
        <b/>
        <sz val="12"/>
        <rFont val="Arial"/>
        <family val="2"/>
      </rPr>
      <t>Health Gain:</t>
    </r>
    <r>
      <rPr>
        <sz val="12"/>
        <rFont val="Arial"/>
        <family val="2"/>
      </rPr>
      <t xml:space="preserve"> unadjusted average difference between pre- and post-operative scores</t>
    </r>
  </si>
  <si>
    <r>
      <rPr>
        <b/>
        <sz val="12"/>
        <rFont val="Arial"/>
        <family val="2"/>
      </rPr>
      <t>Improved:</t>
    </r>
    <r>
      <rPr>
        <sz val="12"/>
        <rFont val="Arial"/>
        <family val="2"/>
      </rPr>
      <t xml:space="preserve"> number of the modelled records for which an improvement in health was recorded</t>
    </r>
  </si>
  <si>
    <r>
      <rPr>
        <b/>
        <sz val="12"/>
        <rFont val="Arial"/>
        <family val="2"/>
      </rPr>
      <t>Same:</t>
    </r>
    <r>
      <rPr>
        <sz val="12"/>
        <rFont val="Arial"/>
        <family val="2"/>
      </rPr>
      <t xml:space="preserve"> number of the modelled records for which no change in health was recorded</t>
    </r>
  </si>
  <si>
    <r>
      <rPr>
        <b/>
        <sz val="12"/>
        <rFont val="Arial"/>
        <family val="2"/>
      </rPr>
      <t>Worsened:</t>
    </r>
    <r>
      <rPr>
        <sz val="12"/>
        <rFont val="Arial"/>
        <family val="2"/>
      </rPr>
      <t xml:space="preserve"> number of the modelled records for which a worsening in health was recorded</t>
    </r>
  </si>
  <si>
    <r>
      <rPr>
        <b/>
        <sz val="12"/>
        <rFont val="Arial"/>
        <family val="2"/>
      </rPr>
      <t xml:space="preserve">Suppression: </t>
    </r>
    <r>
      <rPr>
        <sz val="12"/>
        <rFont val="Arial"/>
        <family val="2"/>
      </rPr>
      <t xml:space="preserve">Some figures are suppressed (shown with an asterisk - '*') to protect patient confidentiality. See </t>
    </r>
    <r>
      <rPr>
        <i/>
        <sz val="12"/>
        <rFont val="Arial"/>
        <family val="2"/>
      </rPr>
      <t>Footnotes</t>
    </r>
    <r>
      <rPr>
        <sz val="12"/>
        <rFont val="Arial"/>
        <family val="2"/>
      </rPr>
      <t xml:space="preserve"> tab for more details. Additionally, casemix-adjusted figrues are not</t>
    </r>
  </si>
  <si>
    <t>shown for organisations with fewer than 30 modelled records, as the underlying statistical models break down when counts are low and aggregate calculations based on small numbers</t>
  </si>
  <si>
    <t>may return unrepresentative results.</t>
  </si>
  <si>
    <r>
      <rPr>
        <b/>
        <sz val="12"/>
        <rFont val="Arial"/>
        <family val="2"/>
      </rPr>
      <t xml:space="preserve">Exclusions: </t>
    </r>
    <r>
      <rPr>
        <sz val="12"/>
        <rFont val="Arial"/>
        <family val="2"/>
      </rPr>
      <t>Casemix-adjusted figures are not shown for organisations with fewer than 30 modelled records, as the underlying statistical models break down when counts are low</t>
    </r>
  </si>
  <si>
    <t>and aggregate calculations based on small numbers may return unrepresentative results.</t>
  </si>
  <si>
    <t>'Select 10' table</t>
  </si>
  <si>
    <t>Guide to the Funnel Plot and Data</t>
  </si>
  <si>
    <t>This section allows for statistically-valid comparisons between organisations and England as a whole.</t>
  </si>
  <si>
    <r>
      <t xml:space="preserve">The table in the </t>
    </r>
    <r>
      <rPr>
        <i/>
        <sz val="12"/>
        <rFont val="Arial"/>
        <family val="2"/>
      </rPr>
      <t>Funnel Data</t>
    </r>
    <r>
      <rPr>
        <sz val="12"/>
        <rFont val="Arial"/>
        <family val="2"/>
      </rPr>
      <t xml:space="preserve"> tab shows the data that is plotted on the funnel plot.</t>
    </r>
  </si>
  <si>
    <t>Interpretation</t>
  </si>
  <si>
    <t>Funnel plot data</t>
  </si>
  <si>
    <t>Note: if the chart and table do not update following your selections, you may have automatic recalculations turned off; please press F9 to update.</t>
  </si>
  <si>
    <t>Sort by 'Procedure; Organisation Type; Measure; Organisation Name</t>
  </si>
  <si>
    <r>
      <t xml:space="preserve">Funnel Plot </t>
    </r>
    <r>
      <rPr>
        <b/>
        <sz val="20"/>
        <rFont val="Calibri"/>
        <family val="2"/>
      </rPr>
      <t>–</t>
    </r>
    <r>
      <rPr>
        <b/>
        <sz val="20"/>
        <rFont val="Arial"/>
        <family val="2"/>
      </rPr>
      <t xml:space="preserve"> casemix-adjusted average Health Gain</t>
    </r>
  </si>
  <si>
    <r>
      <t xml:space="preserve">● </t>
    </r>
    <r>
      <rPr>
        <i/>
        <sz val="12"/>
        <rFont val="Arial"/>
        <family val="2"/>
      </rPr>
      <t>post-operative issue rate</t>
    </r>
    <r>
      <rPr>
        <sz val="12"/>
        <rFont val="Arial"/>
        <family val="2"/>
      </rPr>
      <t>: percentage of returned pre-operative questionnaires for which a post-operative questionnaire has been sent to the patient.</t>
    </r>
  </si>
  <si>
    <t>Choose a PROMs procedure and measure from the dropdowns. The first row of the table underneath will show summary statistics for all of England. Choose up to ten sub-national organisation types and names from the dropdown boxes in the rows below to see comparable statistics for those selected organisations.</t>
  </si>
  <si>
    <r>
      <t xml:space="preserve">Adjusted average health gains have been calculated using statistical models which account for the fact that each provider organisation deals with patients with different case-mixes. This allows for fair comparisons between providers and England as a whole. Random variation in patients mean that small differences in averages, even when case-mix adjusted, may not be statistically significant. To see whether a difference from the all-England figure is statistically significant, please refer to the </t>
    </r>
    <r>
      <rPr>
        <i/>
        <sz val="12"/>
        <rFont val="Arial"/>
        <family val="2"/>
      </rPr>
      <t>Funnel Plot</t>
    </r>
    <r>
      <rPr>
        <sz val="12"/>
        <rFont val="Arial"/>
        <family val="2"/>
      </rPr>
      <t xml:space="preserve"> and</t>
    </r>
    <r>
      <rPr>
        <i/>
        <sz val="12"/>
        <rFont val="Arial"/>
        <family val="2"/>
      </rPr>
      <t xml:space="preserve"> Funnel Data</t>
    </r>
    <r>
      <rPr>
        <sz val="12"/>
        <rFont val="Arial"/>
        <family val="2"/>
      </rPr>
      <t xml:space="preserve"> tabs.</t>
    </r>
  </si>
  <si>
    <t>Choose a PROMs procedure and measure, and pick up to ten organisations to compare to the all-England figures. Casemix-adjusted figures are calculated only where there are at least 30 modelled records. Organisations with a questionnaire count of less than 30 are highlighted in grey italics. Some figures (shown with '*') have been suppressed to protect patient confidentiality; see Footnotes tab for further information.</t>
  </si>
  <si>
    <t>Using the dropdowns, choose a PROMs procedure, measure and organisation. The funnel plot will be automatically re-drawn to show a blue dot representing each provider organisation, showing their number of statistically-modelled records and average casemix-adjusted health gain for the chosen procedure and measure.</t>
  </si>
  <si>
    <t>The control limits represent boundaries, providers falling outside of which may be stated with statistical validity to be significantly better (if above the upper limit) or significantly worse (if below the lower limit) than England as a whole. Because of random variation in patients, it is not sufficient to draw such a conclusion just because they fall above or below the all-England rate (shown with a thick blue line) unless they fall outside the control limits.</t>
  </si>
  <si>
    <t>There is a choice of two control limits, representing two levels of statistical confidence. For a provider plotted outside the 99.8% limits, statistical theory provides that there is a 1 in 500 chance that their results would have been so far from the England rate merely because of random variation in their patients (1 in 20 for a provider outside the 95% limits) and so there is a good indication that there is something within that provider's control that caused so substantial a difference. It does not mean that the provider is necessarily doing something 'good' (if above the upper limit) or 'bad' (if below the lower limit), but might warrant further investigation.</t>
  </si>
  <si>
    <r>
      <rPr>
        <b/>
        <sz val="12"/>
        <rFont val="Arial"/>
        <family val="2"/>
      </rPr>
      <t xml:space="preserve">Exclusions: </t>
    </r>
    <r>
      <rPr>
        <sz val="12"/>
        <rFont val="Arial"/>
        <family val="2"/>
      </rPr>
      <t>Casemix-adjusted figures are not calculated for organisations with fewer than 30 modelled records, as the underlying statistical models break down when counts are low and aggregate calculations based on small numbers may return unrepresentative results.</t>
    </r>
  </si>
  <si>
    <t>Adjusted average Health Gain</t>
  </si>
  <si>
    <t>Eligible Procedures</t>
  </si>
  <si>
    <t>All Procedures - Total HES Procedures</t>
  </si>
  <si>
    <t>Groin Hernia - Total HES Procedures</t>
  </si>
  <si>
    <t>Hip Replacement - Total HES Procedures</t>
  </si>
  <si>
    <t>Knee Replacement - Total HES Procedures</t>
  </si>
  <si>
    <t>Varicose Vein - Total HES Procedures</t>
  </si>
  <si>
    <t>Data from dbo.AJW_Aggregated_Stats for Funnel Plot (Model2 for GH and VV; Model 3 for HR and KR)</t>
  </si>
  <si>
    <t>Mean (Adjusted Average Health Gain)</t>
  </si>
  <si>
    <t>Upper Control Limit 99.8</t>
  </si>
  <si>
    <t>Hip Replacement Revision</t>
  </si>
  <si>
    <t>Hip Replacement Primary</t>
  </si>
  <si>
    <t>Knee Replacement Primary</t>
  </si>
  <si>
    <t>Knee Replacement Revision</t>
  </si>
  <si>
    <t>Health Gain</t>
  </si>
  <si>
    <t>Adjusted Post-Op Score</t>
  </si>
  <si>
    <t>Case-Mix Adjusted Procedures</t>
  </si>
  <si>
    <t>Unadjusted Procedures</t>
  </si>
  <si>
    <t>Improved Percentage</t>
  </si>
  <si>
    <t>Unchanged Percentage</t>
  </si>
  <si>
    <t>Worsened Percentage</t>
  </si>
  <si>
    <t>Provider Code</t>
  </si>
  <si>
    <t>Provider Name</t>
  </si>
  <si>
    <t>Varicose Vein - Total Pre-Op Qs completed</t>
  </si>
  <si>
    <t>Knee Replacement - Total Pre-Op Qs completed</t>
  </si>
  <si>
    <t>Hip Replacement - Total Pre-Op Qs completed</t>
  </si>
  <si>
    <t>Groin Hernia - Total Pre-Op Qs completed</t>
  </si>
  <si>
    <t>All Procedures - Total Pre-Op Qs completed</t>
  </si>
  <si>
    <t>Average Pre-Op Q Score</t>
  </si>
  <si>
    <t>AveragePost-Op Q Score</t>
  </si>
  <si>
    <t>Average Post-Op Q Score</t>
  </si>
  <si>
    <t>All Procedures - Participation Rate</t>
  </si>
  <si>
    <t>All Procedures - Linkage Rate</t>
  </si>
  <si>
    <t>All Procedures - Issue Rate</t>
  </si>
  <si>
    <t>All Procedures - Response Rate</t>
  </si>
  <si>
    <t>Groin Hernia - Participation Rate</t>
  </si>
  <si>
    <t>Groin Hernia - Linkage Rate</t>
  </si>
  <si>
    <t>Groin Hernia - Issue Rate</t>
  </si>
  <si>
    <t>Groin Hernia - Response Rate</t>
  </si>
  <si>
    <t>Hip Replacement - Participation Rate</t>
  </si>
  <si>
    <t>Hip Replacement - Linkage Rate</t>
  </si>
  <si>
    <t>Hip Replacement - Issue Rate</t>
  </si>
  <si>
    <t>Hip Replacement - Response Rate</t>
  </si>
  <si>
    <t>Knee Replacement - Participation Rate</t>
  </si>
  <si>
    <t>Knee Replacement - Linkage Rate</t>
  </si>
  <si>
    <t>Knee Replacement - Issue Rate</t>
  </si>
  <si>
    <t>Knee Replacement - Response Rate</t>
  </si>
  <si>
    <t>Varicose Vein - Participation Rate</t>
  </si>
  <si>
    <t>Varicose Vein - Linkage Rate</t>
  </si>
  <si>
    <t>Varicose Vein - Issue Rate</t>
  </si>
  <si>
    <t>Varicose Vein - Response Rate</t>
  </si>
  <si>
    <t>All Procedures - Total Post-Op Q Sent</t>
  </si>
  <si>
    <t>All Procedures - Total Post-Op Q Returned</t>
  </si>
  <si>
    <t>Groin Hernia - Total Post-Op Q Sent</t>
  </si>
  <si>
    <t>Groin Hernia - Total Post-Op Q Returned</t>
  </si>
  <si>
    <t>Hip Replacement - Total Post-Op Q Sent</t>
  </si>
  <si>
    <t>Hip Replacement - Total Post-Op Q Returned</t>
  </si>
  <si>
    <t>Knee Replacement - Total Post-Op Q Sent</t>
  </si>
  <si>
    <t>Knee Replacement - Total Post-Op Q Returned</t>
  </si>
  <si>
    <t>Varicose Vein - Total Post-Op Q Sent</t>
  </si>
  <si>
    <t>Varicose Vein - Total Post-Op Q Returned</t>
  </si>
  <si>
    <t>q</t>
  </si>
  <si>
    <r>
      <t xml:space="preserve">Organisation Level
</t>
    </r>
    <r>
      <rPr>
        <i/>
        <sz val="11"/>
        <color rgb="FFFF0000"/>
        <rFont val="Calibri"/>
        <family val="2"/>
        <scheme val="minor"/>
      </rPr>
      <t>This column feeds these definitions in formulas - amend here to amend formulas, inc named ranges</t>
    </r>
  </si>
  <si>
    <t>Adjusted average Post-Op Q score</t>
  </si>
  <si>
    <r>
      <t>Update cells B2 - start of data range</t>
    </r>
    <r>
      <rPr>
        <i/>
        <sz val="9"/>
        <rFont val="Arial"/>
        <family val="2"/>
      </rPr>
      <t xml:space="preserve"> (month and year)</t>
    </r>
    <r>
      <rPr>
        <sz val="11"/>
        <rFont val="Arial"/>
        <family val="2"/>
      </rPr>
      <t xml:space="preserve"> for the Score Comparison (e.g. April 2011 for PROMs year 2011-12)</t>
    </r>
  </si>
  <si>
    <t>Please note:</t>
  </si>
  <si>
    <r>
      <t xml:space="preserve">                     B3 - end of data range</t>
    </r>
    <r>
      <rPr>
        <i/>
        <sz val="9"/>
        <rFont val="Arial"/>
        <family val="2"/>
      </rPr>
      <t xml:space="preserve"> (month and year)</t>
    </r>
    <r>
      <rPr>
        <sz val="11"/>
        <rFont val="Arial"/>
        <family val="2"/>
      </rPr>
      <t xml:space="preserve"> for the Score Comparison (e.g. March 2012 for PROMs year 2011-12)</t>
    </r>
  </si>
  <si>
    <t>Provider Commission - Raw Data</t>
  </si>
  <si>
    <r>
      <t xml:space="preserve">Data range from </t>
    </r>
    <r>
      <rPr>
        <i/>
        <sz val="9"/>
        <rFont val="Calibri"/>
        <family val="2"/>
        <scheme val="minor"/>
      </rPr>
      <t>(mmmm yyyy)</t>
    </r>
  </si>
  <si>
    <r>
      <t xml:space="preserve">Data range to </t>
    </r>
    <r>
      <rPr>
        <i/>
        <sz val="9"/>
        <rFont val="Calibri"/>
        <family val="2"/>
        <scheme val="minor"/>
      </rPr>
      <t>(mmmm yyyy)</t>
    </r>
  </si>
  <si>
    <r>
      <t xml:space="preserve">Published on </t>
    </r>
    <r>
      <rPr>
        <i/>
        <sz val="9"/>
        <rFont val="Calibri"/>
        <family val="2"/>
        <scheme val="minor"/>
      </rPr>
      <t>(dd mmmm yyyy)</t>
    </r>
  </si>
  <si>
    <r>
      <t>Provisional publication</t>
    </r>
    <r>
      <rPr>
        <i/>
        <sz val="9"/>
        <rFont val="Calibri"/>
        <family val="2"/>
        <scheme val="minor"/>
      </rPr>
      <t xml:space="preserve"> (TRUE/FALSE)</t>
    </r>
    <r>
      <rPr>
        <b/>
        <sz val="11"/>
        <rFont val="Calibri"/>
        <family val="2"/>
        <scheme val="minor"/>
      </rPr>
      <t>?</t>
    </r>
  </si>
  <si>
    <r>
      <t xml:space="preserve">When finalised publication expected? </t>
    </r>
    <r>
      <rPr>
        <i/>
        <sz val="9"/>
        <rFont val="Calibri"/>
        <family val="2"/>
        <scheme val="minor"/>
      </rPr>
      <t>(dd mmmm yyyy)</t>
    </r>
  </si>
  <si>
    <t xml:space="preserve">                     B5 - select true from the dropdown if this is a provisional data set and false if it is a finalised data set</t>
  </si>
  <si>
    <r>
      <t xml:space="preserve">                     B4 - date</t>
    </r>
    <r>
      <rPr>
        <i/>
        <sz val="9"/>
        <rFont val="Arial"/>
        <family val="2"/>
      </rPr>
      <t xml:space="preserve"> (day month and year)</t>
    </r>
    <r>
      <rPr>
        <sz val="11"/>
        <rFont val="Arial"/>
        <family val="2"/>
      </rPr>
      <t xml:space="preserve"> this Score Comparison will be published (e.g.15th November 2013)</t>
    </r>
  </si>
  <si>
    <r>
      <t xml:space="preserve">                     B6 - date </t>
    </r>
    <r>
      <rPr>
        <i/>
        <sz val="9"/>
        <rFont val="Arial"/>
        <family val="2"/>
      </rPr>
      <t>(day month and year)</t>
    </r>
    <r>
      <rPr>
        <sz val="11"/>
        <rFont val="Arial"/>
        <family val="2"/>
      </rPr>
      <t xml:space="preserve"> finalised data set is expected to be published.
                             If this is a finalised data set put the date it will be published</t>
    </r>
  </si>
  <si>
    <t>Get appropriate Provider Commissioner CSV file from SharePoint (Provider Level folder under current publication number) - Make sure the Organisation names for Providers and CCGs have the organisation code in brackets after the name.</t>
  </si>
  <si>
    <r>
      <rPr>
        <b/>
        <sz val="11"/>
        <rFont val="Arial"/>
        <family val="2"/>
      </rPr>
      <t>N.B.</t>
    </r>
    <r>
      <rPr>
        <sz val="11"/>
        <rFont val="Arial"/>
        <family val="2"/>
      </rPr>
      <t xml:space="preserve"> Provider Commission - Raw Data, columns A and B contain formulas</t>
    </r>
  </si>
  <si>
    <t>Copy down the formulas columns A and B (cells containing formula's will be highlighted automatically). Make a note of the last row number and check this is the number in cell B47 on the 'Chart data' tab.</t>
  </si>
  <si>
    <t>This selects England level data for the specified year by Procedure and Measure for Modelled Records; Average Post-Op Q score; Adjusted Average Health Gain; Upper Control limit 99.8; Standard Deviation.</t>
  </si>
  <si>
    <t>Check Adjusted Average Health Gain and Upper Control Limit 99.8 have the same sign for Aberdeen Varicose Vein Questionnaire (+ or - doesn't matter which)</t>
  </si>
  <si>
    <t>Provider Commission - Lookup</t>
  </si>
  <si>
    <t>Standard Deviation of adjusted Health Gain</t>
  </si>
  <si>
    <r>
      <rPr>
        <b/>
        <sz val="12"/>
        <rFont val="Arial"/>
        <family val="2"/>
      </rPr>
      <t>Average Pre-Op Q Score:</t>
    </r>
    <r>
      <rPr>
        <sz val="12"/>
        <rFont val="Arial"/>
        <family val="2"/>
      </rPr>
      <t xml:space="preserve"> for the modelled records, the average unadjusted pre-operative score</t>
    </r>
  </si>
  <si>
    <r>
      <rPr>
        <b/>
        <sz val="12"/>
        <rFont val="Arial"/>
        <family val="2"/>
      </rPr>
      <t>Average Post-Op Q Score:</t>
    </r>
    <r>
      <rPr>
        <sz val="12"/>
        <rFont val="Arial"/>
        <family val="2"/>
      </rPr>
      <t xml:space="preserve"> for the modelled records, the average unadjusted post-operative score</t>
    </r>
  </si>
  <si>
    <r>
      <rPr>
        <b/>
        <sz val="12"/>
        <rFont val="Arial"/>
        <family val="2"/>
      </rPr>
      <t>Adjusted average Health Gain:</t>
    </r>
    <r>
      <rPr>
        <sz val="12"/>
        <rFont val="Arial"/>
        <family val="2"/>
      </rPr>
      <t xml:space="preserve"> casemix-adjusted average gain in health from pre- to post-operative</t>
    </r>
  </si>
  <si>
    <r>
      <t>Standard Deviation of adjusted Health Gain</t>
    </r>
    <r>
      <rPr>
        <sz val="12"/>
        <rFont val="Arial"/>
        <family val="2"/>
      </rPr>
      <t xml:space="preserve">: used to determine whether a difference from England figure is 'statistically significant' - see </t>
    </r>
    <r>
      <rPr>
        <i/>
        <sz val="12"/>
        <rFont val="Arial"/>
        <family val="2"/>
      </rPr>
      <t>Funnel Plot tab</t>
    </r>
  </si>
  <si>
    <r>
      <t>-</t>
    </r>
    <r>
      <rPr>
        <sz val="7"/>
        <rFont val="Times New Roman"/>
        <family val="1"/>
      </rPr>
      <t xml:space="preserve">        </t>
    </r>
    <r>
      <rPr>
        <sz val="12"/>
        <rFont val="Arial"/>
        <family val="2"/>
      </rPr>
      <t>amend list in column AC for Key Facts – charts</t>
    </r>
  </si>
  <si>
    <r>
      <t>-</t>
    </r>
    <r>
      <rPr>
        <sz val="7"/>
        <rFont val="Times New Roman"/>
        <family val="1"/>
      </rPr>
      <t xml:space="preserve">        </t>
    </r>
    <r>
      <rPr>
        <sz val="12"/>
        <rFont val="Arial"/>
        <family val="2"/>
      </rPr>
      <t>amend list in column AF for Funnel Plot</t>
    </r>
  </si>
  <si>
    <r>
      <t xml:space="preserve">for example: to add </t>
    </r>
    <r>
      <rPr>
        <i/>
        <sz val="12"/>
        <rFont val="Arial"/>
        <family val="2"/>
      </rPr>
      <t>Test</t>
    </r>
    <r>
      <rPr>
        <sz val="12"/>
        <rFont val="Arial"/>
        <family val="2"/>
      </rPr>
      <t xml:space="preserve"> to the list of available organisation levels for Key Facts – charts, type </t>
    </r>
    <r>
      <rPr>
        <i/>
        <sz val="12"/>
        <rFont val="Arial"/>
        <family val="2"/>
      </rPr>
      <t xml:space="preserve">Test </t>
    </r>
    <r>
      <rPr>
        <sz val="12"/>
        <rFont val="Arial"/>
        <family val="2"/>
      </rPr>
      <t xml:space="preserve">in the next available blank cell in column AC. </t>
    </r>
  </si>
  <si>
    <t>Copy the new data set (without the column headings) and paste (use paste special - values and number formatting) into cell A2. Make a note of the last row number and check this is the number in cell B41 on the 'Chart data' tab.</t>
  </si>
  <si>
    <t>Copy the new data set (without the column headings) and paste (use paste special - values and number formatting) into cell A2. Make a note of the last row number and check this is the number in cell B44 on the 'Chart data' tab.</t>
  </si>
  <si>
    <t>Get appropriate Key Facts CSV file from SharePoint (Key Facts folder under current publication number).
Make sure 
                   - the Organisation names for Providers and CCGs have the organisation code in brackets after the name.
                   - the lookup column is Organisation Type Organisation Name Procedure Measure concaternated with no 
                     additional spaces between the fields.
                   - Check Orgnaisation Type, Organisation Name and Organisation Code are all ENGLAND and not National or 
                     ENG at England level.</t>
  </si>
  <si>
    <t>Get appropriate Participation and Linkage CSV file from SharePoint (Participation Rates folder under current publication number). Make sure
                  - the Organisation names for Providers and CCGs have the organisation code in brackets after the name.
                  - check Organisation Name and Organisation Code are both England and not National or ENG at England level.</t>
  </si>
  <si>
    <t>Copy the new data set (without the column headings) and paste  (use paste special - values and number formatting) into cell C2</t>
  </si>
  <si>
    <t>Copy new data (without column headings) and paste (use paste special - values and number formatting) in cells B4.</t>
  </si>
  <si>
    <t>Check there are no #N/A's in Chart Data</t>
  </si>
  <si>
    <t>Updated Columns E and H with the current CCG and Provider names from both Provider Commission - Raw Data and Participation - Raw data data sets. 
Make sure each name only appears once in each list and has the organisation code in brackets after the name.
Sort each list alphabetically if there are any 'Unknown' place at the bottom of the list and not under 'U'.
Check the number of organisations match those given on the 'Chart data' tab
There are place holders for PCTs and SHAs which can be over typed with new organisational levels should the need arise.</t>
  </si>
  <si>
    <t>Check there are no error messages in Provider Commission - Lookup</t>
  </si>
  <si>
    <t>NHS NORTHUMBERLAND CCG (00L)</t>
  </si>
  <si>
    <t>NHS LEEDS NORTH CCG (02V)</t>
  </si>
  <si>
    <t>NHS MILTON KEYNES CCG (04F)</t>
  </si>
  <si>
    <t>NHS ASHFORD CCG (09C)</t>
  </si>
  <si>
    <t>SPIRE PORTSMOUTH HOSPITAL (NT305)</t>
  </si>
  <si>
    <t>YEOVIL DISTRICT HOSPITAL NHS FOUNDATION TRUST (RA4)</t>
  </si>
  <si>
    <t>MID CHESHIRE HOSPITALS NHS FOUNDATION TRUST (RBT)</t>
  </si>
  <si>
    <t>YORK TEACHING HOSPITAL NHS FOUNDATION TRUST (RCB)</t>
  </si>
  <si>
    <t>LEEDS TEACHING HOSPITALS NHS TRUST (RR8)</t>
  </si>
  <si>
    <t>ASHFORD AND ST PETER'S HOSPITALS NHS FOUNDATION TRUST (RTK)</t>
  </si>
  <si>
    <t>THAMES VALLEY COMMISSIONING HUB (13M)</t>
  </si>
  <si>
    <t>a</t>
  </si>
  <si>
    <t xml:space="preserve">                                                                                                                                                                                                                               </t>
  </si>
  <si>
    <t>England modelled records</t>
  </si>
  <si>
    <t>y increments= no. categories +1 / no. categories</t>
  </si>
  <si>
    <t xml:space="preserve">EQ VAS                 </t>
  </si>
  <si>
    <t>EQ-5D</t>
  </si>
  <si>
    <t>EQ-VAS</t>
  </si>
  <si>
    <t>OHS / OKS</t>
  </si>
  <si>
    <t xml:space="preserve">Oxford Hip Score        </t>
  </si>
  <si>
    <t>min EQ-5D</t>
  </si>
  <si>
    <t>max EQ-5D</t>
  </si>
  <si>
    <t>min EQ Vas</t>
  </si>
  <si>
    <t>max EQ Vas</t>
  </si>
  <si>
    <t>Min OKS/OHS</t>
  </si>
  <si>
    <t>Max OKS/OHS</t>
  </si>
  <si>
    <t>Min AVVQ</t>
  </si>
  <si>
    <t>Max AVVQ</t>
  </si>
  <si>
    <t>Adjusted average health gain (England)</t>
  </si>
  <si>
    <t>Condition Specific Measures (a series of questions specific to the patient's condition)</t>
  </si>
  <si>
    <r>
      <t>EQ-5D</t>
    </r>
    <r>
      <rPr>
        <b/>
        <vertAlign val="superscript"/>
        <sz val="12"/>
        <rFont val="Arial"/>
        <family val="2"/>
      </rPr>
      <t>TM</t>
    </r>
    <r>
      <rPr>
        <b/>
        <sz val="12"/>
        <rFont val="Arial"/>
        <family val="2"/>
      </rPr>
      <t xml:space="preserve"> Index (a combination of five key criteria concerning general health)</t>
    </r>
  </si>
  <si>
    <r>
      <t>Please note that the graphs above use different scales on their x-axes, reflecting differences in the underlying measures:
 -- scores on the EQ-5D</t>
    </r>
    <r>
      <rPr>
        <vertAlign val="superscript"/>
        <sz val="12"/>
        <color indexed="8"/>
        <rFont val="Arial"/>
        <family val="2"/>
      </rPr>
      <t>TM</t>
    </r>
    <r>
      <rPr>
        <sz val="12"/>
        <color indexed="8"/>
        <rFont val="Arial"/>
        <family val="2"/>
      </rPr>
      <t xml:space="preserve"> Index range from -0.594 (worst possible health) to 1.0 (full health)
 -- scores on the EQ-VAS range from 0 (worst) to 100  (best)
 -- scores on the Oxford Hip Score and the Oxford Knee Score range from 0 (worst) to 48 (best)
 -- scores on the Aberdeen Varicose Vein Questionnaire range from 100 (worst) to 0 (best): a negative adjusted average health gain indicates improvement.
The count of modelled records on which provider- or CCG- level findings are based is given in parentheses following the procedure: 
 -- an asterisk (*) denotes a small number of records, the exact count having been suppressed
 -- a '0' indicates that there were no procedures of this type for the provider or CCG.
The exact England-level score for the various measures sits at the centre of the filled circle that represents the England-level findings.
Provider- or CCG-level adjusted average health gain can only be produced for a procedure where 30 or more modelled records exist.
</t>
    </r>
  </si>
  <si>
    <t>EQ VAS (current state of the patient's general health marked on a visual analogue scale)</t>
  </si>
  <si>
    <t>England and Provider-level participation and coverage</t>
  </si>
  <si>
    <t xml:space="preserve">This section provides an overview of top-level PROMs figures for a selected organisation, including the adjusted average health gain by procedure and measure following surgery, and patients' estimated rates of participation. </t>
  </si>
  <si>
    <t>Guide to the Adjusted Average Health Gain Charts and Key Facts</t>
  </si>
  <si>
    <t>The Adjusted Health Gain Charts and Key Facts worksheets present case-mix adjusted average health gain by procedure type and measure. These scores can be compared across organisations and against England-level figures.</t>
  </si>
  <si>
    <t>Note: if the charts and tables do not update following your selections, you may have automatic recalculations turned off; please press F9 to update.</t>
  </si>
  <si>
    <t xml:space="preserve">Choose an organisation level (England, provider or commissioner) and an organisation name using the dropdown boxes. On the Adjusted Health Gain Chart worksheet, Figures 1-4 will show the adjusted average health gain by measure and procedure for the organisation selected and for England overall. Summary participation and coverage data for the selected organisation are also provided. </t>
  </si>
  <si>
    <r>
      <t xml:space="preserve">The text and tables in the </t>
    </r>
    <r>
      <rPr>
        <i/>
        <sz val="12"/>
        <rFont val="Arial"/>
        <family val="2"/>
      </rPr>
      <t>Key Facts worksheet</t>
    </r>
    <r>
      <rPr>
        <sz val="12"/>
        <rFont val="Arial"/>
        <family val="2"/>
      </rPr>
      <t xml:space="preserve"> show some further information, including some technical measures of data quality which may be of interest to provider and commissioner organisations.</t>
    </r>
  </si>
  <si>
    <r>
      <t xml:space="preserve">The </t>
    </r>
    <r>
      <rPr>
        <b/>
        <i/>
        <sz val="12"/>
        <rFont val="Arial"/>
        <family val="2"/>
      </rPr>
      <t>Key Facts worksheet</t>
    </r>
  </si>
  <si>
    <r>
      <t xml:space="preserve">● </t>
    </r>
    <r>
      <rPr>
        <i/>
        <sz val="12"/>
        <rFont val="Arial"/>
        <family val="2"/>
      </rPr>
      <t>post-operative response rate</t>
    </r>
    <r>
      <rPr>
        <sz val="12"/>
        <rFont val="Arial"/>
        <family val="2"/>
      </rPr>
      <t>: percentage of issued post-operative questionnaires which have been returned.</t>
    </r>
  </si>
  <si>
    <t>Statistical models were developed by contractors (CHKS Ltd in conjunction with Northgate Information Solutions) on behalf of the Department of Health during the initial development of the PROMs programme and were further developed by NHS England in 2013 in order to separate primary from revision procedures in hip and knee replacement surgery. Further information regarding the methodology can be found at the NHS England website [http://www.england.nhs.uk/statistics/statistical-work-areas/proms/]</t>
  </si>
  <si>
    <r>
      <t xml:space="preserve">● </t>
    </r>
    <r>
      <rPr>
        <i/>
        <sz val="12"/>
        <rFont val="Arial"/>
        <family val="2"/>
      </rPr>
      <t>linkage rate</t>
    </r>
    <r>
      <rPr>
        <sz val="12"/>
        <rFont val="Arial"/>
        <family val="2"/>
      </rPr>
      <t>: percentage of PROMs questionnaires which have been successfully linked to records of hospital inpatient activty.</t>
    </r>
  </si>
  <si>
    <r>
      <rPr>
        <b/>
        <sz val="12"/>
        <rFont val="Arial"/>
        <family val="2"/>
      </rPr>
      <t>Adjusted average Post-Op Q score:</t>
    </r>
    <r>
      <rPr>
        <sz val="12"/>
        <rFont val="Arial"/>
        <family val="2"/>
      </rPr>
      <t xml:space="preserve"> casemix-adjusted average post-operative score; may be legitimately compared to the all-England figure</t>
    </r>
  </si>
  <si>
    <r>
      <t xml:space="preserve">This worksheet displays some additional data for the organisation selected on the main </t>
    </r>
    <r>
      <rPr>
        <i/>
        <sz val="12"/>
        <rFont val="Arial"/>
        <family val="2"/>
      </rPr>
      <t>Adjusted Health Gain charts</t>
    </r>
    <r>
      <rPr>
        <sz val="12"/>
        <rFont val="Arial"/>
        <family val="2"/>
      </rPr>
      <t>, including some technical measures of data quality of interest to provider and commissioner organisations:</t>
    </r>
  </si>
  <si>
    <t>Copy into Provider Commission New Chart</t>
  </si>
  <si>
    <t>For more details on the background to the PROMs programme, an overview of data collection, processing, scoring and linking, it is suggested to read 'A Guide to PROMs Methodology', which is available from the PROMs homepage at [http://www.hscic.gov.uk/proms].</t>
  </si>
  <si>
    <t>EnglandEnglandGroin HerniaEQ VAS</t>
  </si>
  <si>
    <t>EnglandEnglandGroin HerniaEQ-5D Index</t>
  </si>
  <si>
    <t>EnglandEnglandHip ReplacementEQ VAS</t>
  </si>
  <si>
    <t>EnglandEnglandHip ReplacementEQ-5D Index</t>
  </si>
  <si>
    <t>EnglandEnglandHip ReplacementOxford Hip Score</t>
  </si>
  <si>
    <t>EnglandEnglandKnee ReplacementEQ VAS</t>
  </si>
  <si>
    <t>EnglandEnglandKnee ReplacementEQ-5D Index</t>
  </si>
  <si>
    <t>EnglandEnglandKnee ReplacementOxford Knee Score</t>
  </si>
  <si>
    <t>EnglandEnglandVaricose VeinAberdeen Varicose Vein Questionnaire</t>
  </si>
  <si>
    <t>EnglandEnglandVaricose VeinEQ VAS</t>
  </si>
  <si>
    <t>EnglandEnglandVaricose VeinEQ-5D Index</t>
  </si>
  <si>
    <t>CCG of GP PracticeNHS LEEDS SOUTH AND EAST CCG (03G)Groin HerniaEQ VAS</t>
  </si>
  <si>
    <t>03G</t>
  </si>
  <si>
    <t>NHS LEEDS SOUTH AND EAST CCG (03G)</t>
  </si>
  <si>
    <t>CCG of GP PracticeNHS LEEDS WEST CCG (03C)Groin HerniaEQ VAS</t>
  </si>
  <si>
    <t>03C</t>
  </si>
  <si>
    <t>NHS LEEDS WEST CCG (03C)</t>
  </si>
  <si>
    <t>CCG of GP PracticeNHS WEST CHESHIRE CCG (02F)Groin HerniaEQ VAS</t>
  </si>
  <si>
    <t>02F</t>
  </si>
  <si>
    <t>NHS WEST CHESHIRE CCG (02F)</t>
  </si>
  <si>
    <t>CCG of GP PracticeNHS WEST ESSEX CCG (07H)Groin HerniaEQ VAS</t>
  </si>
  <si>
    <t>07H</t>
  </si>
  <si>
    <t>NHS WEST ESSEX CCG (07H)</t>
  </si>
  <si>
    <t>CCG of GP PracticeNHS LINCOLNSHIRE WEST CCG (04D)Groin HerniaEQ VAS</t>
  </si>
  <si>
    <t>04D</t>
  </si>
  <si>
    <t>NHS LINCOLNSHIRE WEST CCG (04D)</t>
  </si>
  <si>
    <t>CCG of GP PracticeNHS LIVERPOOL CCG (99A)Groin HerniaEQ VAS</t>
  </si>
  <si>
    <t>99A</t>
  </si>
  <si>
    <t>NHS LIVERPOOL CCG (99A)</t>
  </si>
  <si>
    <t>CCG of GP PracticeNHS LUTON CCG (06P)Groin HerniaEQ VAS</t>
  </si>
  <si>
    <t>06P</t>
  </si>
  <si>
    <t>NHS LUTON CCG (06P)</t>
  </si>
  <si>
    <t>CCG of GP PracticeNHS MANSFIELD AND ASHFIELD CCG (04E)Groin HerniaEQ VAS</t>
  </si>
  <si>
    <t>04E</t>
  </si>
  <si>
    <t>NHS MANSFIELD AND ASHFIELD CCG (04E)</t>
  </si>
  <si>
    <t>CCG of GP PracticeNHS VALE OF YORK CCG (03Q)Groin HerniaEQ VAS</t>
  </si>
  <si>
    <t>03Q</t>
  </si>
  <si>
    <t>NHS VALE OF YORK CCG (03Q)</t>
  </si>
  <si>
    <t>CCG of GP PracticeNHS VALE ROYAL CCG (02D)Groin HerniaEQ VAS</t>
  </si>
  <si>
    <t>02D</t>
  </si>
  <si>
    <t>NHS VALE ROYAL CCG (02D)</t>
  </si>
  <si>
    <t>CCG of GP PracticeNHS WAKEFIELD CCG (03R)Groin HerniaEQ VAS</t>
  </si>
  <si>
    <t>03R</t>
  </si>
  <si>
    <t>NHS WAKEFIELD CCG (03R)</t>
  </si>
  <si>
    <t>CCG of GP PracticeNHS WALSALL CCG (05Y)Groin HerniaEQ VAS</t>
  </si>
  <si>
    <t>05Y</t>
  </si>
  <si>
    <t>NHS WALSALL CCG (05Y)</t>
  </si>
  <si>
    <t>CCG of GP PracticeNHS WALTHAM FOREST CCG (08W)Groin HerniaEQ VAS</t>
  </si>
  <si>
    <t>08W</t>
  </si>
  <si>
    <t>NHS WALTHAM FOREST CCG (08W)</t>
  </si>
  <si>
    <t>CCG of GP PracticeNHS WANDSWORTH CCG (08X)Groin HerniaEQ VAS</t>
  </si>
  <si>
    <t>08X</t>
  </si>
  <si>
    <t>NHS WANDSWORTH CCG (08X)</t>
  </si>
  <si>
    <t>CCG of GP PracticeNHS WARWICKSHIRE NORTH CCG (05H)Groin HerniaEQ VAS</t>
  </si>
  <si>
    <t>05H</t>
  </si>
  <si>
    <t>NHS WARWICKSHIRE NORTH CCG (05H)</t>
  </si>
  <si>
    <t>CCG of GP PracticeNHS WARRINGTON CCG (02E)Groin HerniaEQ VAS</t>
  </si>
  <si>
    <t>02E</t>
  </si>
  <si>
    <t>NHS WARRINGTON CCG (02E)</t>
  </si>
  <si>
    <t>CCG of GP PracticeNHS WEST HAMPSHIRE CCG (11A)Groin HerniaEQ VAS</t>
  </si>
  <si>
    <t>11A</t>
  </si>
  <si>
    <t>NHS WEST HAMPSHIRE CCG (11A)</t>
  </si>
  <si>
    <t>CCG of GP PracticeNHS WEST KENT CCG (99J)Groin HerniaEQ VAS</t>
  </si>
  <si>
    <t>99J</t>
  </si>
  <si>
    <t>NHS WEST KENT CCG (99J)</t>
  </si>
  <si>
    <t>CCG of GP PracticeNHS WEST LANCASHIRE CCG (02G)Groin HerniaEQ VAS</t>
  </si>
  <si>
    <t>02G</t>
  </si>
  <si>
    <t>NHS WEST LANCASHIRE CCG (02G)</t>
  </si>
  <si>
    <t>CCG of GP PracticeNHS WEST LEICESTERSHIRE CCG (04V)Groin HerniaEQ VAS</t>
  </si>
  <si>
    <t>04V</t>
  </si>
  <si>
    <t>NHS WEST LEICESTERSHIRE CCG (04V)</t>
  </si>
  <si>
    <t>CCG of GP PracticeNHS WEST LONDON CCG (08Y)Groin HerniaEQ VAS</t>
  </si>
  <si>
    <t>08Y</t>
  </si>
  <si>
    <t>NHS WEST LONDON CCG (08Y)</t>
  </si>
  <si>
    <t>CCG of GP PracticeNHS WEST NORFOLK CCG (07J)Groin HerniaEQ VAS</t>
  </si>
  <si>
    <t>07J</t>
  </si>
  <si>
    <t>NHS WEST NORFOLK CCG (07J)</t>
  </si>
  <si>
    <t>CCG of GP PracticeNHS WEST SUFFOLK CCG (07K)Groin HerniaEQ VAS</t>
  </si>
  <si>
    <t>07K</t>
  </si>
  <si>
    <t>NHS WEST SUFFOLK CCG (07K)</t>
  </si>
  <si>
    <t>CCG of GP PracticeNHS WIGAN BOROUGH CCG (02H)Groin HerniaEQ VAS</t>
  </si>
  <si>
    <t>02H</t>
  </si>
  <si>
    <t>NHS WIGAN BOROUGH CCG (02H)</t>
  </si>
  <si>
    <t>CCG of GP PracticeNHS WILTSHIRE CCG (99N)Groin HerniaEQ VAS</t>
  </si>
  <si>
    <t>99N</t>
  </si>
  <si>
    <t>NHS WILTSHIRE CCG (99N)</t>
  </si>
  <si>
    <t>CCG of GP PracticeNHS WINDSOR, ASCOT AND MAIDENHEAD CCG (11C)Groin HerniaEQ VAS</t>
  </si>
  <si>
    <t>11C</t>
  </si>
  <si>
    <t>NHS WINDSOR, ASCOT AND MAIDENHEAD CCG (11C)</t>
  </si>
  <si>
    <t>CCG of GP PracticeNHS WIRRAL CCG (12F)Groin HerniaEQ VAS</t>
  </si>
  <si>
    <t>12F</t>
  </si>
  <si>
    <t>NHS WIRRAL CCG (12F)</t>
  </si>
  <si>
    <t>CCG of GP PracticeNHS WOKINGHAM CCG (11D)Groin HerniaEQ VAS</t>
  </si>
  <si>
    <t>11D</t>
  </si>
  <si>
    <t>NHS WOKINGHAM CCG (11D)</t>
  </si>
  <si>
    <t>CCG of GP PracticeNHS WOLVERHAMPTON CCG (06A)Groin HerniaEQ VAS</t>
  </si>
  <si>
    <t>06A</t>
  </si>
  <si>
    <t>NHS WOLVERHAMPTON CCG (06A)</t>
  </si>
  <si>
    <t>CCG of GP PracticeNHS WYRE FOREST CCG (06D)Groin HerniaEQ VAS</t>
  </si>
  <si>
    <t>06D</t>
  </si>
  <si>
    <t>NHS WYRE FOREST CCG (06D)</t>
  </si>
  <si>
    <t>CCG of GP PracticeNHS GREATER PRESTON CCG (01E)Groin HerniaEQ VAS</t>
  </si>
  <si>
    <t>01E</t>
  </si>
  <si>
    <t>NHS GREATER PRESTON CCG (01E)</t>
  </si>
  <si>
    <t>CCG of GP PracticeNHS GREENWICH CCG (08A)Groin HerniaEQ VAS</t>
  </si>
  <si>
    <t>08A</t>
  </si>
  <si>
    <t>NHS GREENWICH CCG (08A)</t>
  </si>
  <si>
    <t>CCG of GP PracticeNHS HARROW CCG (08E)Groin HerniaEQ VAS</t>
  </si>
  <si>
    <t>08E</t>
  </si>
  <si>
    <t>NHS HARROW CCG (08E)</t>
  </si>
  <si>
    <t>CCG of GP PracticeNHS HARTLEPOOL AND STOCKTON-ON-TEES CCG (00K)Groin HerniaEQ VAS</t>
  </si>
  <si>
    <t>00K</t>
  </si>
  <si>
    <t>NHS HARTLEPOOL AND STOCKTON-ON-TEES CCG (00K)</t>
  </si>
  <si>
    <t>CCG of GP PracticeNHS HASTINGS AND ROTHER CCG (09P)Groin HerniaEQ VAS</t>
  </si>
  <si>
    <t>09P</t>
  </si>
  <si>
    <t>NHS HASTINGS AND ROTHER CCG (09P)</t>
  </si>
  <si>
    <t>CCG of GP PracticeNHS HAVERING CCG (08F)Groin HerniaEQ VAS</t>
  </si>
  <si>
    <t>08F</t>
  </si>
  <si>
    <t>NHS HAVERING CCG (08F)</t>
  </si>
  <si>
    <t>CCG of GP PracticeNHS HEREFORDSHIRE CCG (05F)Groin HerniaEQ VAS</t>
  </si>
  <si>
    <t>05F</t>
  </si>
  <si>
    <t>NHS HEREFORDSHIRE CCG (05F)</t>
  </si>
  <si>
    <t>CCG of GP PracticeNHS HERTS VALLEYS CCG (06N)Groin HerniaEQ VAS</t>
  </si>
  <si>
    <t>06N</t>
  </si>
  <si>
    <t>NHS HERTS VALLEYS CCG (06N)</t>
  </si>
  <si>
    <t>CCG of GP PracticeNHS HEYWOOD, MIDDLETON AND ROCHDALE CCG (01D)Groin HerniaEQ VAS</t>
  </si>
  <si>
    <t>01D</t>
  </si>
  <si>
    <t>NHS HEYWOOD, MIDDLETON AND ROCHDALE CCG (01D)</t>
  </si>
  <si>
    <t>CCG of GP PracticeNHS HIGH WEALD LEWES HAVENS CCG (99K)Groin HerniaEQ VAS</t>
  </si>
  <si>
    <t>99K</t>
  </si>
  <si>
    <t>NHS HIGH WEALD LEWES HAVENS CCG (99K)</t>
  </si>
  <si>
    <t>CCG of GP PracticeNHS HILLINGDON CCG (08G)Groin HerniaEQ VAS</t>
  </si>
  <si>
    <t>08G</t>
  </si>
  <si>
    <t>NHS HILLINGDON CCG (08G)</t>
  </si>
  <si>
    <t>CCG of GP PracticeNHS HORSHAM AND MID SUSSEX CCG (09X)Groin HerniaEQ VAS</t>
  </si>
  <si>
    <t>09X</t>
  </si>
  <si>
    <t>NHS HORSHAM AND MID SUSSEX CCG (09X)</t>
  </si>
  <si>
    <t>CCG of GP PracticeNHS HOUNSLOW CCG (07Y)Groin HerniaEQ VAS</t>
  </si>
  <si>
    <t>07Y</t>
  </si>
  <si>
    <t>NHS HOUNSLOW CCG (07Y)</t>
  </si>
  <si>
    <t>CCG of GP PracticeNHS HULL CCG (03F)Groin HerniaEQ VAS</t>
  </si>
  <si>
    <t>03F</t>
  </si>
  <si>
    <t>NHS HULL CCG (03F)</t>
  </si>
  <si>
    <t>CCG of GP PracticeNHS IPSWICH AND EAST SUFFOLK CCG (06L)Groin HerniaEQ VAS</t>
  </si>
  <si>
    <t>06L</t>
  </si>
  <si>
    <t>NHS IPSWICH AND EAST SUFFOLK CCG (06L)</t>
  </si>
  <si>
    <t>CCG of GP PracticeNHS ISLE OF WIGHT CCG (10L)Groin HerniaEQ VAS</t>
  </si>
  <si>
    <t>10L</t>
  </si>
  <si>
    <t>NHS ISLE OF WIGHT CCG (10L)</t>
  </si>
  <si>
    <t>CCG of GP PracticeNHS ISLINGTON CCG (08H)Groin HerniaEQ VAS</t>
  </si>
  <si>
    <t>08H</t>
  </si>
  <si>
    <t>NHS ISLINGTON CCG (08H)</t>
  </si>
  <si>
    <t>CCG of GP PracticeNHS KERNOW CCG (11N)Groin HerniaEQ VAS</t>
  </si>
  <si>
    <t>11N</t>
  </si>
  <si>
    <t>NHS KERNOW CCG (11N)</t>
  </si>
  <si>
    <t>CCG of GP PracticeNHS KINGSTON CCG (08J)Groin HerniaEQ VAS</t>
  </si>
  <si>
    <t>08J</t>
  </si>
  <si>
    <t>NHS KINGSTON CCG (08J)</t>
  </si>
  <si>
    <t>CCG of GP PracticeNHS KNOWSLEY CCG (01J)Groin HerniaEQ VAS</t>
  </si>
  <si>
    <t>01J</t>
  </si>
  <si>
    <t>NHS KNOWSLEY CCG (01J)</t>
  </si>
  <si>
    <t>CCG of GP PracticeNHS LAMBETH CCG (08K)Groin HerniaEQ VAS</t>
  </si>
  <si>
    <t>08K</t>
  </si>
  <si>
    <t>NHS LAMBETH CCG (08K)</t>
  </si>
  <si>
    <t>CCG of GP PracticeNHS LANCASHIRE NORTH CCG (01K)Groin HerniaEQ VAS</t>
  </si>
  <si>
    <t>01K</t>
  </si>
  <si>
    <t>NHS LANCASHIRE NORTH CCG (01K)</t>
  </si>
  <si>
    <t>CCG of GP PracticeNHS LEEDS NORTH CCG (02V)Groin HerniaEQ VAS</t>
  </si>
  <si>
    <t>02V</t>
  </si>
  <si>
    <t>CCG of GP PracticeNHS LEICESTER CITY CCG (04C)Groin HerniaEQ VAS</t>
  </si>
  <si>
    <t>04C</t>
  </si>
  <si>
    <t>NHS LEICESTER CITY CCG (04C)</t>
  </si>
  <si>
    <t>CCG of GP PracticeNHS LEWISHAM CCG (08L)Groin HerniaEQ VAS</t>
  </si>
  <si>
    <t>08L</t>
  </si>
  <si>
    <t>NHS LEWISHAM CCG (08L)</t>
  </si>
  <si>
    <t>CCG of GP PracticeNHS LINCOLNSHIRE EAST CCG (03T)Groin HerniaEQ VAS</t>
  </si>
  <si>
    <t>03T</t>
  </si>
  <si>
    <t>NHS LINCOLNSHIRE EAST CCG (03T)</t>
  </si>
  <si>
    <t>CCG of GP PracticeNATIONAL COMMISSIONING HUB 1 (13Q)Groin HerniaEQ VAS</t>
  </si>
  <si>
    <t>13Q</t>
  </si>
  <si>
    <t>NATIONAL COMMISSIONING HUB 1 (13Q)</t>
  </si>
  <si>
    <t>CCG of GP PracticeNHS AIREDALE, WHARFEDALE AND CRAVEN CCG (02N)Groin HerniaEQ VAS</t>
  </si>
  <si>
    <t>02N</t>
  </si>
  <si>
    <t>NHS AIREDALE, WHARFEDALE AND CRAVEN CCG (02N)</t>
  </si>
  <si>
    <t>CCG of GP PracticeNHS ASHFORD CCG (09C)Groin HerniaEQ VAS</t>
  </si>
  <si>
    <t>09C</t>
  </si>
  <si>
    <t>CCG of GP PracticeNHS AYLESBURY VALE CCG (10Y)Groin HerniaEQ VAS</t>
  </si>
  <si>
    <t>10Y</t>
  </si>
  <si>
    <t>NHS AYLESBURY VALE CCG (10Y)</t>
  </si>
  <si>
    <t>CCG of GP PracticeNHS BARKING AND DAGENHAM CCG (07L)Groin HerniaEQ VAS</t>
  </si>
  <si>
    <t>07L</t>
  </si>
  <si>
    <t>NHS BARKING AND DAGENHAM CCG (07L)</t>
  </si>
  <si>
    <t>CCG of GP PracticeNHS BARNET CCG (07M)Groin HerniaEQ VAS</t>
  </si>
  <si>
    <t>07M</t>
  </si>
  <si>
    <t>NHS BARNET CCG (07M)</t>
  </si>
  <si>
    <t>CCG of GP PracticeNHS BARNSLEY CCG (02P)Groin HerniaEQ VAS</t>
  </si>
  <si>
    <t>02P</t>
  </si>
  <si>
    <t>NHS BARNSLEY CCG (02P)</t>
  </si>
  <si>
    <t>CCG of GP PracticeNHS BASILDON AND BRENTWOOD CCG (99E)Groin HerniaEQ VAS</t>
  </si>
  <si>
    <t>99E</t>
  </si>
  <si>
    <t>NHS BASILDON AND BRENTWOOD CCG (99E)</t>
  </si>
  <si>
    <t>CCG of GP PracticeNHS BASSETLAW CCG (02Q)Groin HerniaEQ VAS</t>
  </si>
  <si>
    <t>02Q</t>
  </si>
  <si>
    <t>NHS BASSETLAW CCG (02Q)</t>
  </si>
  <si>
    <t>CCG of GP PracticeNHS BATH AND NORTH EAST SOMERSET CCG (11E)Groin HerniaEQ VAS</t>
  </si>
  <si>
    <t>11E</t>
  </si>
  <si>
    <t>NHS BATH AND NORTH EAST SOMERSET CCG (11E)</t>
  </si>
  <si>
    <t>CCG of GP PracticeNHS BEDFORDSHIRE CCG (06F)Groin HerniaEQ VAS</t>
  </si>
  <si>
    <t>06F</t>
  </si>
  <si>
    <t>NHS BEDFORDSHIRE CCG (06F)</t>
  </si>
  <si>
    <t>CCG of GP PracticeNHS BEXLEY CCG (07N)Groin HerniaEQ VAS</t>
  </si>
  <si>
    <t>07N</t>
  </si>
  <si>
    <t>NHS BEXLEY CCG (07N)</t>
  </si>
  <si>
    <t>CCG of GP PracticeNHS BIRMINGHAM CROSSCITY CCG (13P)Groin HerniaEQ VAS</t>
  </si>
  <si>
    <t>13P</t>
  </si>
  <si>
    <t>NHS BIRMINGHAM CROSSCITY CCG (13P)</t>
  </si>
  <si>
    <t>CCG of GP PracticeNHS BIRMINGHAM SOUTH AND CENTRAL CCG (04X)Groin HerniaEQ VAS</t>
  </si>
  <si>
    <t>04X</t>
  </si>
  <si>
    <t>NHS BIRMINGHAM SOUTH AND CENTRAL CCG (04X)</t>
  </si>
  <si>
    <t>CCG of GP PracticeNHS BLACKBURN WITH DARWEN CCG (00Q)Groin HerniaEQ VAS</t>
  </si>
  <si>
    <t>00Q</t>
  </si>
  <si>
    <t>NHS BLACKBURN WITH DARWEN CCG (00Q)</t>
  </si>
  <si>
    <t>CCG of GP PracticeNHS BLACKPOOL CCG (00R)Groin HerniaEQ VAS</t>
  </si>
  <si>
    <t>00R</t>
  </si>
  <si>
    <t>NHS BLACKPOOL CCG (00R)</t>
  </si>
  <si>
    <t>CCG of GP PracticeNHS MEDWAY CCG (09W)Groin HerniaEQ VAS</t>
  </si>
  <si>
    <t>09W</t>
  </si>
  <si>
    <t>NHS MEDWAY CCG (09W)</t>
  </si>
  <si>
    <t>CCG of GP PracticeNHS MERTON CCG (08R)Groin HerniaEQ VAS</t>
  </si>
  <si>
    <t>08R</t>
  </si>
  <si>
    <t>NHS MERTON CCG (08R)</t>
  </si>
  <si>
    <t>CCG of GP PracticeNHS MID ESSEX CCG (06Q)Groin HerniaEQ VAS</t>
  </si>
  <si>
    <t>06Q</t>
  </si>
  <si>
    <t>NHS MID ESSEX CCG (06Q)</t>
  </si>
  <si>
    <t>CCG of GP PracticeNHS MILTON KEYNES CCG (04F)Groin HerniaEQ VAS</t>
  </si>
  <si>
    <t>04F</t>
  </si>
  <si>
    <t>CCG of GP PracticeNHS NENE CCG (04G)Groin HerniaEQ VAS</t>
  </si>
  <si>
    <t>04G</t>
  </si>
  <si>
    <t>NHS NENE CCG (04G)</t>
  </si>
  <si>
    <t>CCG of GP PracticeNHS NEWARK &amp; SHERWOOD CCG (04H)Groin HerniaEQ VAS</t>
  </si>
  <si>
    <t>04H</t>
  </si>
  <si>
    <t>NHS NEWARK &amp; SHERWOOD CCG (04H)</t>
  </si>
  <si>
    <t>CCG of GP PracticeNHS NEWBURY AND DISTRICT CCG (10M)Groin HerniaEQ VAS</t>
  </si>
  <si>
    <t>10M</t>
  </si>
  <si>
    <t>NHS NEWBURY AND DISTRICT CCG (10M)</t>
  </si>
  <si>
    <t>CCG of GP PracticeNHS NEWHAM CCG (08M)Groin HerniaEQ VAS</t>
  </si>
  <si>
    <t>08M</t>
  </si>
  <si>
    <t>NHS NEWHAM CCG (08M)</t>
  </si>
  <si>
    <t>CCG of GP PracticeNHS NORTH &amp; WEST READING CCG (10N)Groin HerniaEQ VAS</t>
  </si>
  <si>
    <t>10N</t>
  </si>
  <si>
    <t>NHS NORTH &amp; WEST READING CCG (10N)</t>
  </si>
  <si>
    <t>CCG of GP PracticeNHS NORTH DERBYSHIRE CCG (04J)Groin HerniaEQ VAS</t>
  </si>
  <si>
    <t>04J</t>
  </si>
  <si>
    <t>NHS NORTH DERBYSHIRE CCG (04J)</t>
  </si>
  <si>
    <t>CCG of GP PracticeNHS NORTH DURHAM CCG (00J)Groin HerniaEQ VAS</t>
  </si>
  <si>
    <t>00J</t>
  </si>
  <si>
    <t>NHS NORTH DURHAM CCG (00J)</t>
  </si>
  <si>
    <t>CCG of GP PracticeNHS NORTH EAST ESSEX CCG (06T)Groin HerniaEQ VAS</t>
  </si>
  <si>
    <t>06T</t>
  </si>
  <si>
    <t>NHS NORTH EAST ESSEX CCG (06T)</t>
  </si>
  <si>
    <t>CCG of GP PracticeNHS NORTH EAST HAMPSHIRE AND FARNHAM CCG (99M)Groin HerniaEQ VAS</t>
  </si>
  <si>
    <t>99M</t>
  </si>
  <si>
    <t>NHS NORTH EAST HAMPSHIRE AND FARNHAM CCG (99M)</t>
  </si>
  <si>
    <t>CCG of GP PracticeNHS NORTH EAST LINCOLNSHIRE CCG (03H)Groin HerniaEQ VAS</t>
  </si>
  <si>
    <t>03H</t>
  </si>
  <si>
    <t>NHS NORTH EAST LINCOLNSHIRE CCG (03H)</t>
  </si>
  <si>
    <t>CCG of GP PracticeNHS NORTH HAMPSHIRE CCG (10J)Groin HerniaEQ VAS</t>
  </si>
  <si>
    <t>10J</t>
  </si>
  <si>
    <t>NHS NORTH HAMPSHIRE CCG (10J)</t>
  </si>
  <si>
    <t>CCG of GP PracticeNHS NORTH KIRKLEES CCG (03J)Groin HerniaEQ VAS</t>
  </si>
  <si>
    <t>03J</t>
  </si>
  <si>
    <t>NHS NORTH KIRKLEES CCG (03J)</t>
  </si>
  <si>
    <t>CCG of GP PracticeNHS NORTH LINCOLNSHIRE CCG (03K)Groin HerniaEQ VAS</t>
  </si>
  <si>
    <t>03K</t>
  </si>
  <si>
    <t>NHS NORTH LINCOLNSHIRE CCG (03K)</t>
  </si>
  <si>
    <t>CCG of GP PracticeNHS NORTH MANCHESTER CCG (01M)Groin HerniaEQ VAS</t>
  </si>
  <si>
    <t>01M</t>
  </si>
  <si>
    <t>NHS NORTH MANCHESTER CCG (01M)</t>
  </si>
  <si>
    <t>CCG of GP PracticeNHS NORTH NORFOLK CCG (06V)Groin HerniaEQ VAS</t>
  </si>
  <si>
    <t>06V</t>
  </si>
  <si>
    <t>NHS NORTH NORFOLK CCG (06V)</t>
  </si>
  <si>
    <t>CCG of GP PracticeNHS NORTH SOMERSET CCG (11T)Groin HerniaEQ VAS</t>
  </si>
  <si>
    <t>11T</t>
  </si>
  <si>
    <t>NHS NORTH SOMERSET CCG (11T)</t>
  </si>
  <si>
    <t>CCG of GP PracticeNHS NORTH STAFFORDSHIRE CCG (05G)Groin HerniaEQ VAS</t>
  </si>
  <si>
    <t>05G</t>
  </si>
  <si>
    <t>NHS NORTH STAFFORDSHIRE CCG (05G)</t>
  </si>
  <si>
    <t>CCG of GP PracticeNHS NORTH TYNESIDE CCG (99C)Groin HerniaEQ VAS</t>
  </si>
  <si>
    <t>99C</t>
  </si>
  <si>
    <t>NHS NORTH TYNESIDE CCG (99C)</t>
  </si>
  <si>
    <t>CCG of GP PracticeNHS NORTH WEST SURREY CCG (09Y)Groin HerniaEQ VAS</t>
  </si>
  <si>
    <t>09Y</t>
  </si>
  <si>
    <t>NHS NORTH WEST SURREY CCG (09Y)</t>
  </si>
  <si>
    <t>CCG of GP PracticeNHS NORTHERN, EASTERN AND WESTERN DEVON CCG (99P)Groin HerniaEQ VAS</t>
  </si>
  <si>
    <t>99P</t>
  </si>
  <si>
    <t>NHS NORTHERN, EASTERN AND WESTERN DEVON CCG (99P)</t>
  </si>
  <si>
    <t>CCG of GP PracticeNHS NORTHUMBERLAND CCG (00L)Groin HerniaEQ VAS</t>
  </si>
  <si>
    <t>00L</t>
  </si>
  <si>
    <t>CCG of GP PracticeNHS BOLTON CCG (00T)Groin HerniaEQ VAS</t>
  </si>
  <si>
    <t>00T</t>
  </si>
  <si>
    <t>NHS BOLTON CCG (00T)</t>
  </si>
  <si>
    <t>CCG of GP PracticeNHS BRACKNELL AND ASCOT CCG (10G)Groin HerniaEQ VAS</t>
  </si>
  <si>
    <t>10G</t>
  </si>
  <si>
    <t>NHS BRACKNELL AND ASCOT CCG (10G)</t>
  </si>
  <si>
    <t>CCG of GP PracticeNHS BRADFORD CITY CCG (02W)Groin HerniaEQ VAS</t>
  </si>
  <si>
    <t>02W</t>
  </si>
  <si>
    <t>NHS BRADFORD CITY CCG (02W)</t>
  </si>
  <si>
    <t>CCG of GP PracticeNHS BRADFORD DISTRICTS CCG (02R)Groin HerniaEQ VAS</t>
  </si>
  <si>
    <t>02R</t>
  </si>
  <si>
    <t>NHS BRADFORD DISTRICTS CCG (02R)</t>
  </si>
  <si>
    <t>CCG of GP PracticeNHS BRENT CCG (07P)Groin HerniaEQ VAS</t>
  </si>
  <si>
    <t>07P</t>
  </si>
  <si>
    <t>NHS BRENT CCG (07P)</t>
  </si>
  <si>
    <t>CCG of GP PracticeNHS BRIGHTON AND HOVE CCG (09D)Groin HerniaEQ VAS</t>
  </si>
  <si>
    <t>09D</t>
  </si>
  <si>
    <t>NHS BRIGHTON AND HOVE CCG (09D)</t>
  </si>
  <si>
    <t>CCG of GP PracticeNHS BRISTOL CCG (11H)Groin HerniaEQ VAS</t>
  </si>
  <si>
    <t>11H</t>
  </si>
  <si>
    <t>NHS BRISTOL CCG (11H)</t>
  </si>
  <si>
    <t>CCG of GP PracticeNHS BROMLEY CCG (07Q)Groin HerniaEQ VAS</t>
  </si>
  <si>
    <t>07Q</t>
  </si>
  <si>
    <t>NHS BROMLEY CCG (07Q)</t>
  </si>
  <si>
    <t>CCG of GP PracticeNHS BURY CCG (00V)Groin HerniaEQ VAS</t>
  </si>
  <si>
    <t>00V</t>
  </si>
  <si>
    <t>NHS BURY CCG (00V)</t>
  </si>
  <si>
    <t>CCG of GP PracticeNHS CALDERDALE CCG (02T)Groin HerniaEQ VAS</t>
  </si>
  <si>
    <t>02T</t>
  </si>
  <si>
    <t>NHS CALDERDALE CCG (02T)</t>
  </si>
  <si>
    <t>CCG of GP PracticeNHS CAMBRIDGESHIRE AND PETERBOROUGH CCG (06H)Groin HerniaEQ VAS</t>
  </si>
  <si>
    <t>06H</t>
  </si>
  <si>
    <t>NHS CAMBRIDGESHIRE AND PETERBOROUGH CCG (06H)</t>
  </si>
  <si>
    <t>CCG of GP PracticeNHS CAMDEN CCG (07R)Groin HerniaEQ VAS</t>
  </si>
  <si>
    <t>07R</t>
  </si>
  <si>
    <t>NHS CAMDEN CCG (07R)</t>
  </si>
  <si>
    <t>CCG of GP PracticeNHS CANNOCK CHASE CCG (04Y)Groin HerniaEQ VAS</t>
  </si>
  <si>
    <t>04Y</t>
  </si>
  <si>
    <t>NHS CANNOCK CHASE CCG (04Y)</t>
  </si>
  <si>
    <t>CCG of GP PracticeNHS CANTERBURY AND COASTAL CCG (09E)Groin HerniaEQ VAS</t>
  </si>
  <si>
    <t>09E</t>
  </si>
  <si>
    <t>NHS CANTERBURY AND COASTAL CCG (09E)</t>
  </si>
  <si>
    <t>CCG of GP PracticeNHS CASTLE POINT AND ROCHFORD CCG (99F)Groin HerniaEQ VAS</t>
  </si>
  <si>
    <t>99F</t>
  </si>
  <si>
    <t>NHS CASTLE POINT AND ROCHFORD CCG (99F)</t>
  </si>
  <si>
    <t>CCG of GP PracticeNHS CENTRAL LONDON (WESTMINSTER) CCG (09A)Groin HerniaEQ VAS</t>
  </si>
  <si>
    <t>09A</t>
  </si>
  <si>
    <t>NHS CENTRAL LONDON (WESTMINSTER) CCG (09A)</t>
  </si>
  <si>
    <t>CCG of GP PracticeNHS CENTRAL MANCHESTER CCG (00W)Groin HerniaEQ VAS</t>
  </si>
  <si>
    <t>00W</t>
  </si>
  <si>
    <t>NHS CENTRAL MANCHESTER CCG (00W)</t>
  </si>
  <si>
    <t>CCG of GP PracticeNHS CHILTERN CCG (10H)Groin HerniaEQ VAS</t>
  </si>
  <si>
    <t>10H</t>
  </si>
  <si>
    <t>NHS CHILTERN CCG (10H)</t>
  </si>
  <si>
    <t>CCG of GP PracticeNHS CHORLEY AND SOUTH RIBBLE CCG (00X)Groin HerniaEQ VAS</t>
  </si>
  <si>
    <t>00X</t>
  </si>
  <si>
    <t>NHS CHORLEY AND SOUTH RIBBLE CCG (00X)</t>
  </si>
  <si>
    <t>CCG of GP PracticeNHS CITY AND HACKNEY CCG (07T)Groin HerniaEQ VAS</t>
  </si>
  <si>
    <t>07T</t>
  </si>
  <si>
    <t>NHS CITY AND HACKNEY CCG (07T)</t>
  </si>
  <si>
    <t>CCG of GP PracticeNHS COASTAL WEST SUSSEX CCG (09G)Groin HerniaEQ VAS</t>
  </si>
  <si>
    <t>09G</t>
  </si>
  <si>
    <t>NHS COASTAL WEST SUSSEX CCG (09G)</t>
  </si>
  <si>
    <t>CCG of GP PracticeNHS CORBY CCG (03V)Groin HerniaEQ VAS</t>
  </si>
  <si>
    <t>03V</t>
  </si>
  <si>
    <t>NHS CORBY CCG (03V)</t>
  </si>
  <si>
    <t>CCG of GP PracticeNHS COVENTRY AND RUGBY CCG (05A)Groin HerniaEQ VAS</t>
  </si>
  <si>
    <t>05A</t>
  </si>
  <si>
    <t>NHS COVENTRY AND RUGBY CCG (05A)</t>
  </si>
  <si>
    <t>CCG of GP PracticeNHS CRAWLEY CCG (09H)Groin HerniaEQ VAS</t>
  </si>
  <si>
    <t>09H</t>
  </si>
  <si>
    <t>NHS CRAWLEY CCG (09H)</t>
  </si>
  <si>
    <t>CCG of GP PracticeNHS CROYDON CCG (07V)Groin HerniaEQ VAS</t>
  </si>
  <si>
    <t>07V</t>
  </si>
  <si>
    <t>NHS CROYDON CCG (07V)</t>
  </si>
  <si>
    <t>CCG of GP PracticeNHS CUMBRIA CCG (01H)Groin HerniaEQ VAS</t>
  </si>
  <si>
    <t>01H</t>
  </si>
  <si>
    <t>NHS CUMBRIA CCG (01H)</t>
  </si>
  <si>
    <t>CCG of GP PracticeNHS DARLINGTON CCG (00C)Groin HerniaEQ VAS</t>
  </si>
  <si>
    <t>00C</t>
  </si>
  <si>
    <t>NHS DARLINGTON CCG (00C)</t>
  </si>
  <si>
    <t>CCG of GP PracticeNHS DARTFORD, GRAVESHAM AND SWANLEY CCG (09J)Groin HerniaEQ VAS</t>
  </si>
  <si>
    <t>09J</t>
  </si>
  <si>
    <t>NHS DARTFORD, GRAVESHAM AND SWANLEY CCG (09J)</t>
  </si>
  <si>
    <t>CCG of GP PracticeNHS DONCASTER CCG (02X)Groin HerniaEQ VAS</t>
  </si>
  <si>
    <t>02X</t>
  </si>
  <si>
    <t>NHS DONCASTER CCG (02X)</t>
  </si>
  <si>
    <t>CCG of GP PracticeNHS NORWICH CCG (06W)Groin HerniaEQ VAS</t>
  </si>
  <si>
    <t>06W</t>
  </si>
  <si>
    <t>NHS NORWICH CCG (06W)</t>
  </si>
  <si>
    <t>CCG of GP PracticeNHS NOTTINGHAM CITY CCG (04K)Groin HerniaEQ VAS</t>
  </si>
  <si>
    <t>04K</t>
  </si>
  <si>
    <t>NHS NOTTINGHAM CITY CCG (04K)</t>
  </si>
  <si>
    <t>CCG of GP PracticeNHS NOTTINGHAM NORTH AND EAST CCG (04L)Groin HerniaEQ VAS</t>
  </si>
  <si>
    <t>04L</t>
  </si>
  <si>
    <t>NHS NOTTINGHAM NORTH AND EAST CCG (04L)</t>
  </si>
  <si>
    <t>CCG of GP PracticeNHS NOTTINGHAM WEST CCG (04M)Groin HerniaEQ VAS</t>
  </si>
  <si>
    <t>04M</t>
  </si>
  <si>
    <t>NHS NOTTINGHAM WEST CCG (04M)</t>
  </si>
  <si>
    <t>CCG of GP PracticeNHS OLDHAM CCG (00Y)Groin HerniaEQ VAS</t>
  </si>
  <si>
    <t>00Y</t>
  </si>
  <si>
    <t>NHS OLDHAM CCG (00Y)</t>
  </si>
  <si>
    <t>CCG of GP PracticeNHS OXFORDSHIRE CCG (10Q)Groin HerniaEQ VAS</t>
  </si>
  <si>
    <t>10Q</t>
  </si>
  <si>
    <t>NHS OXFORDSHIRE CCG (10Q)</t>
  </si>
  <si>
    <t>CCG of GP PracticeNHS PORTSMOUTH CCG (10R)Groin HerniaEQ VAS</t>
  </si>
  <si>
    <t>10R</t>
  </si>
  <si>
    <t>NHS PORTSMOUTH CCG (10R)</t>
  </si>
  <si>
    <t>CCG of GP PracticeNHS REDBRIDGE CCG (08N)Groin HerniaEQ VAS</t>
  </si>
  <si>
    <t>08N</t>
  </si>
  <si>
    <t>NHS REDBRIDGE CCG (08N)</t>
  </si>
  <si>
    <t>CCG of GP PracticeNHS REDDITCH AND BROMSGROVE CCG (05J)Groin HerniaEQ VAS</t>
  </si>
  <si>
    <t>05J</t>
  </si>
  <si>
    <t>NHS REDDITCH AND BROMSGROVE CCG (05J)</t>
  </si>
  <si>
    <t>CCG of GP PracticeNHS RICHMOND CCG (08P)Groin HerniaEQ VAS</t>
  </si>
  <si>
    <t>08P</t>
  </si>
  <si>
    <t>NHS RICHMOND CCG (08P)</t>
  </si>
  <si>
    <t>CCG of GP PracticeNHS ROTHERHAM CCG (03L)Groin HerniaEQ VAS</t>
  </si>
  <si>
    <t>03L</t>
  </si>
  <si>
    <t>NHS ROTHERHAM CCG (03L)</t>
  </si>
  <si>
    <t>CCG of GP PracticeNHS RUSHCLIFFE CCG (04N)Groin HerniaEQ VAS</t>
  </si>
  <si>
    <t>04N</t>
  </si>
  <si>
    <t>NHS RUSHCLIFFE CCG (04N)</t>
  </si>
  <si>
    <t>CCG of GP PracticeNHS SALFORD CCG (01G)Groin HerniaEQ VAS</t>
  </si>
  <si>
    <t>01G</t>
  </si>
  <si>
    <t>NHS SALFORD CCG (01G)</t>
  </si>
  <si>
    <t>CCG of GP PracticeNHS SANDWELL AND WEST BIRMINGHAM CCG (05L)Groin HerniaEQ VAS</t>
  </si>
  <si>
    <t>05L</t>
  </si>
  <si>
    <t>NHS SANDWELL AND WEST BIRMINGHAM CCG (05L)</t>
  </si>
  <si>
    <t>CCG of GP PracticeNHS SCARBOROUGH AND RYEDALE CCG (03M)Groin HerniaEQ VAS</t>
  </si>
  <si>
    <t>03M</t>
  </si>
  <si>
    <t>NHS SCARBOROUGH AND RYEDALE CCG (03M)</t>
  </si>
  <si>
    <t>CCG of GP PracticeNHS SHEFFIELD CCG (03N)Groin HerniaEQ VAS</t>
  </si>
  <si>
    <t>03N</t>
  </si>
  <si>
    <t>NHS SHEFFIELD CCG (03N)</t>
  </si>
  <si>
    <t>CCG of GP PracticeNHS SHROPSHIRE CCG (05N)Groin HerniaEQ VAS</t>
  </si>
  <si>
    <t>05N</t>
  </si>
  <si>
    <t>NHS SHROPSHIRE CCG (05N)</t>
  </si>
  <si>
    <t>CCG of GP PracticeNHS SLOUGH CCG (10T)Groin HerniaEQ VAS</t>
  </si>
  <si>
    <t>10T</t>
  </si>
  <si>
    <t>NHS SLOUGH CCG (10T)</t>
  </si>
  <si>
    <t>CCG of GP PracticeNHS SOLIHULL CCG (05P)Groin HerniaEQ VAS</t>
  </si>
  <si>
    <t>05P</t>
  </si>
  <si>
    <t>NHS SOLIHULL CCG (05P)</t>
  </si>
  <si>
    <t>CCG of GP PracticeNHS SOMERSET CCG (11X)Groin HerniaEQ VAS</t>
  </si>
  <si>
    <t>11X</t>
  </si>
  <si>
    <t>NHS SOMERSET CCG (11X)</t>
  </si>
  <si>
    <t>CCG of GP PracticeNHS SOUTH CHESHIRE CCG (01R)Groin HerniaEQ VAS</t>
  </si>
  <si>
    <t>01R</t>
  </si>
  <si>
    <t>NHS SOUTH CHESHIRE CCG (01R)</t>
  </si>
  <si>
    <t>CCG of GP PracticeNHS SOUTH DEVON AND TORBAY CCG (99Q)Groin HerniaEQ VAS</t>
  </si>
  <si>
    <t>99Q</t>
  </si>
  <si>
    <t>NHS SOUTH DEVON AND TORBAY CCG (99Q)</t>
  </si>
  <si>
    <t>CCG of GP PracticeNHS SOUTH EAST STAFFORDSHIRE AND SEISDON PENINSULA CCG (05Q)Groin HerniaEQ VAS</t>
  </si>
  <si>
    <t>05Q</t>
  </si>
  <si>
    <t>NHS SOUTH EAST STAFFORDSHIRE AND SEISDON PENINSULA CCG (05Q)</t>
  </si>
  <si>
    <t>CCG of GP PracticeNHS SOUTH EASTERN HAMPSHIRE CCG (10V)Groin HerniaEQ VAS</t>
  </si>
  <si>
    <t>10V</t>
  </si>
  <si>
    <t>NHS SOUTH EASTERN HAMPSHIRE CCG (10V)</t>
  </si>
  <si>
    <t>CCG of GP PracticeNHS SOUTH GLOUCESTERSHIRE CCG (12A)Groin HerniaEQ VAS</t>
  </si>
  <si>
    <t>12A</t>
  </si>
  <si>
    <t>NHS SOUTH GLOUCESTERSHIRE CCG (12A)</t>
  </si>
  <si>
    <t>CCG of GP PracticeNHS SOUTH KENT COAST CCG (10A)Groin HerniaEQ VAS</t>
  </si>
  <si>
    <t>10A</t>
  </si>
  <si>
    <t>NHS SOUTH KENT COAST CCG (10A)</t>
  </si>
  <si>
    <t>CCG of GP PracticeNHS SOUTH LINCOLNSHIRE CCG (99D)Groin HerniaEQ VAS</t>
  </si>
  <si>
    <t>99D</t>
  </si>
  <si>
    <t>NHS SOUTH LINCOLNSHIRE CCG (99D)</t>
  </si>
  <si>
    <t>CCG of GP PracticeNHS SOUTH MANCHESTER CCG (01N)Groin HerniaEQ VAS</t>
  </si>
  <si>
    <t>01N</t>
  </si>
  <si>
    <t>NHS SOUTH MANCHESTER CCG (01N)</t>
  </si>
  <si>
    <t>CCG of GP PracticeNHS DORSET CCG (11J)Groin HerniaEQ VAS</t>
  </si>
  <si>
    <t>11J</t>
  </si>
  <si>
    <t>NHS DORSET CCG (11J)</t>
  </si>
  <si>
    <t>CCG of GP PracticeNHS DUDLEY CCG (05C)Groin HerniaEQ VAS</t>
  </si>
  <si>
    <t>05C</t>
  </si>
  <si>
    <t>NHS DUDLEY CCG (05C)</t>
  </si>
  <si>
    <t>CCG of GP PracticeNHS DURHAM DALES, EASINGTON AND SEDGEFIELD CCG (00D)Groin HerniaEQ VAS</t>
  </si>
  <si>
    <t>00D</t>
  </si>
  <si>
    <t>NHS DURHAM DALES, EASINGTON AND SEDGEFIELD CCG (00D)</t>
  </si>
  <si>
    <t>CCG of GP PracticeNHS EALING CCG (07W)Groin HerniaEQ VAS</t>
  </si>
  <si>
    <t>07W</t>
  </si>
  <si>
    <t>NHS EALING CCG (07W)</t>
  </si>
  <si>
    <t>CCG of GP PracticeNHS EAST AND NORTH HERTFORDSHIRE CCG (06K)Groin HerniaEQ VAS</t>
  </si>
  <si>
    <t>06K</t>
  </si>
  <si>
    <t>NHS EAST AND NORTH HERTFORDSHIRE CCG (06K)</t>
  </si>
  <si>
    <t>CCG of GP PracticeNHS EAST LANCASHIRE CCG (01A)Groin HerniaEQ VAS</t>
  </si>
  <si>
    <t>01A</t>
  </si>
  <si>
    <t>NHS EAST LANCASHIRE CCG (01A)</t>
  </si>
  <si>
    <t>CCG of GP PracticeNHS EAST LEICESTERSHIRE AND RUTLAND CCG (03W)Groin HerniaEQ VAS</t>
  </si>
  <si>
    <t>03W</t>
  </si>
  <si>
    <t>NHS EAST LEICESTERSHIRE AND RUTLAND CCG (03W)</t>
  </si>
  <si>
    <t>CCG of GP PracticeNHS EAST RIDING OF YORKSHIRE CCG (02Y)Groin HerniaEQ VAS</t>
  </si>
  <si>
    <t>02Y</t>
  </si>
  <si>
    <t>NHS EAST RIDING OF YORKSHIRE CCG (02Y)</t>
  </si>
  <si>
    <t>CCG of GP PracticeNHS EAST STAFFORDSHIRE CCG (05D)Groin HerniaEQ VAS</t>
  </si>
  <si>
    <t>05D</t>
  </si>
  <si>
    <t>NHS EAST STAFFORDSHIRE CCG (05D)</t>
  </si>
  <si>
    <t>CCG of GP PracticeNHS EAST SURREY CCG (09L)Groin HerniaEQ VAS</t>
  </si>
  <si>
    <t>09L</t>
  </si>
  <si>
    <t>NHS EAST SURREY CCG (09L)</t>
  </si>
  <si>
    <t>CCG of GP PracticeNHS EASTBOURNE, HAILSHAM AND SEAFORD CCG (09F)Groin HerniaEQ VAS</t>
  </si>
  <si>
    <t>09F</t>
  </si>
  <si>
    <t>NHS EASTBOURNE, HAILSHAM AND SEAFORD CCG (09F)</t>
  </si>
  <si>
    <t>CCG of GP PracticeNHS EASTERN CHESHIRE CCG (01C)Groin HerniaEQ VAS</t>
  </si>
  <si>
    <t>01C</t>
  </si>
  <si>
    <t>NHS EASTERN CHESHIRE CCG (01C)</t>
  </si>
  <si>
    <t>CCG of GP PracticeNHS ENFIELD CCG (07X)Groin HerniaEQ VAS</t>
  </si>
  <si>
    <t>07X</t>
  </si>
  <si>
    <t>NHS ENFIELD CCG (07X)</t>
  </si>
  <si>
    <t>CCG of GP PracticeNHS EREWASH CCG (03X)Groin HerniaEQ VAS</t>
  </si>
  <si>
    <t>03X</t>
  </si>
  <si>
    <t>NHS EREWASH CCG (03X)</t>
  </si>
  <si>
    <t>CCG of GP PracticeNHS FAREHAM AND GOSPORT CCG (10K)Groin HerniaEQ VAS</t>
  </si>
  <si>
    <t>10K</t>
  </si>
  <si>
    <t>NHS FAREHAM AND GOSPORT CCG (10K)</t>
  </si>
  <si>
    <t>CCG of GP PracticeNHS FYLDE &amp; WYRE CCG (02M)Groin HerniaEQ VAS</t>
  </si>
  <si>
    <t>02M</t>
  </si>
  <si>
    <t>NHS FYLDE &amp; WYRE CCG (02M)</t>
  </si>
  <si>
    <t>CCG of GP PracticeNHS GLOUCESTERSHIRE CCG (11M)Groin HerniaEQ VAS</t>
  </si>
  <si>
    <t>11M</t>
  </si>
  <si>
    <t>NHS GLOUCESTERSHIRE CCG (11M)</t>
  </si>
  <si>
    <t>CCG of GP PracticeNHS GREAT YARMOUTH AND WAVENEY CCG (06M)Groin HerniaEQ VAS</t>
  </si>
  <si>
    <t>06M</t>
  </si>
  <si>
    <t>NHS GREAT YARMOUTH AND WAVENEY CCG (06M)</t>
  </si>
  <si>
    <t>CCG of GP PracticeNHS GREATER HUDDERSFIELD CCG (03A)Groin HerniaEQ VAS</t>
  </si>
  <si>
    <t>03A</t>
  </si>
  <si>
    <t>NHS GREATER HUDDERSFIELD CCG (03A)</t>
  </si>
  <si>
    <t>CCG of GP PracticeNHS GUILDFORD AND WAVERLEY CCG (09N)Groin HerniaEQ VAS</t>
  </si>
  <si>
    <t>09N</t>
  </si>
  <si>
    <t>NHS GUILDFORD AND WAVERLEY CCG (09N)</t>
  </si>
  <si>
    <t>CCG of GP PracticeNHS HALTON CCG (01F)Groin HerniaEQ VAS</t>
  </si>
  <si>
    <t>01F</t>
  </si>
  <si>
    <t>NHS HALTON CCG (01F)</t>
  </si>
  <si>
    <t>CCG of GP PracticeNHS HAMBLETON, RICHMONDSHIRE AND WHITBY CCG (03D)Groin HerniaEQ VAS</t>
  </si>
  <si>
    <t>03D</t>
  </si>
  <si>
    <t>NHS HAMBLETON, RICHMONDSHIRE AND WHITBY CCG (03D)</t>
  </si>
  <si>
    <t>CCG of GP PracticeNHS HAMMERSMITH AND FULHAM CCG (08C)Groin HerniaEQ VAS</t>
  </si>
  <si>
    <t>08C</t>
  </si>
  <si>
    <t>NHS HAMMERSMITH AND FULHAM CCG (08C)</t>
  </si>
  <si>
    <t>CCG of GP PracticeNHS HARDWICK CCG (03Y)Groin HerniaEQ VAS</t>
  </si>
  <si>
    <t>03Y</t>
  </si>
  <si>
    <t>NHS HARDWICK CCG (03Y)</t>
  </si>
  <si>
    <t>CCG of GP PracticeNHS HARINGEY CCG (08D)Groin HerniaEQ VAS</t>
  </si>
  <si>
    <t>08D</t>
  </si>
  <si>
    <t>NHS HARINGEY CCG (08D)</t>
  </si>
  <si>
    <t>CCG of GP PracticeNHS HARROGATE AND RURAL DISTRICT CCG (03E)Groin HerniaEQ VAS</t>
  </si>
  <si>
    <t>03E</t>
  </si>
  <si>
    <t>NHS HARROGATE AND RURAL DISTRICT CCG (03E)</t>
  </si>
  <si>
    <t>CCG of GP PracticeNHS SOUTH NORFOLK CCG (06Y)Groin HerniaEQ VAS</t>
  </si>
  <si>
    <t>06Y</t>
  </si>
  <si>
    <t>NHS SOUTH NORFOLK CCG (06Y)</t>
  </si>
  <si>
    <t>CCG of GP PracticeNHS SOUTH READING CCG (10W)Groin HerniaEQ VAS</t>
  </si>
  <si>
    <t>10W</t>
  </si>
  <si>
    <t>NHS SOUTH READING CCG (10W)</t>
  </si>
  <si>
    <t>CCG of GP PracticeNHS SOUTH SEFTON CCG (01T)Groin HerniaEQ VAS</t>
  </si>
  <si>
    <t>01T</t>
  </si>
  <si>
    <t>NHS SOUTH SEFTON CCG (01T)</t>
  </si>
  <si>
    <t>CCG of GP PracticeNHS SOUTH TEES CCG (00M)Groin HerniaEQ VAS</t>
  </si>
  <si>
    <t>00M</t>
  </si>
  <si>
    <t>NHS SOUTH TEES CCG (00M)</t>
  </si>
  <si>
    <t>CCG of GP PracticeNHS SOUTH WARWICKSHIRE CCG (05R)Groin HerniaEQ VAS</t>
  </si>
  <si>
    <t>05R</t>
  </si>
  <si>
    <t>NHS SOUTH WARWICKSHIRE CCG (05R)</t>
  </si>
  <si>
    <t>CCG of GP PracticeNHS SOUTH WEST LINCOLNSHIRE CCG (04Q)Groin HerniaEQ VAS</t>
  </si>
  <si>
    <t>04Q</t>
  </si>
  <si>
    <t>NHS SOUTH WEST LINCOLNSHIRE CCG (04Q)</t>
  </si>
  <si>
    <t>CCG of GP PracticeNHS SOUTH WORCESTERSHIRE CCG (05T)Groin HerniaEQ VAS</t>
  </si>
  <si>
    <t>05T</t>
  </si>
  <si>
    <t>NHS SOUTH WORCESTERSHIRE CCG (05T)</t>
  </si>
  <si>
    <t>CCG of GP PracticeNHS SOUTHAMPTON CCG (10X)Groin HerniaEQ VAS</t>
  </si>
  <si>
    <t>10X</t>
  </si>
  <si>
    <t>NHS SOUTHAMPTON CCG (10X)</t>
  </si>
  <si>
    <t>CCG of GP PracticeNHS SOUTHEND CCG (99G)Groin HerniaEQ VAS</t>
  </si>
  <si>
    <t>99G</t>
  </si>
  <si>
    <t>NHS SOUTHEND CCG (99G)</t>
  </si>
  <si>
    <t>CCG of GP PracticeNHS SOUTHERN DERBYSHIRE CCG (04R)Groin HerniaEQ VAS</t>
  </si>
  <si>
    <t>04R</t>
  </si>
  <si>
    <t>NHS SOUTHERN DERBYSHIRE CCG (04R)</t>
  </si>
  <si>
    <t>CCG of GP PracticeNHS SOUTHPORT AND FORMBY CCG (01V)Groin HerniaEQ VAS</t>
  </si>
  <si>
    <t>01V</t>
  </si>
  <si>
    <t>NHS SOUTHPORT AND FORMBY CCG (01V)</t>
  </si>
  <si>
    <t>CCG of GP PracticeNHS SOUTHWARK CCG (08Q)Groin HerniaEQ VAS</t>
  </si>
  <si>
    <t>08Q</t>
  </si>
  <si>
    <t>NHS SOUTHWARK CCG (08Q)</t>
  </si>
  <si>
    <t>CCG of GP PracticeNHS ST HELENS CCG (01X)Groin HerniaEQ VAS</t>
  </si>
  <si>
    <t>01X</t>
  </si>
  <si>
    <t>NHS ST HELENS CCG (01X)</t>
  </si>
  <si>
    <t>CCG of GP PracticeNHS STAFFORD AND SURROUNDS CCG (05V)Groin HerniaEQ VAS</t>
  </si>
  <si>
    <t>05V</t>
  </si>
  <si>
    <t>NHS STAFFORD AND SURROUNDS CCG (05V)</t>
  </si>
  <si>
    <t>CCG of GP PracticeNHS STOCKPORT CCG (01W)Groin HerniaEQ VAS</t>
  </si>
  <si>
    <t>01W</t>
  </si>
  <si>
    <t>NHS STOCKPORT CCG (01W)</t>
  </si>
  <si>
    <t>CCG of GP PracticeNHS STOKE ON TRENT CCG (05W)Groin HerniaEQ VAS</t>
  </si>
  <si>
    <t>05W</t>
  </si>
  <si>
    <t>NHS STOKE ON TRENT CCG (05W)</t>
  </si>
  <si>
    <t>CCG of GP PracticeNHS SUNDERLAND CCG (00P)Groin HerniaEQ VAS</t>
  </si>
  <si>
    <t>00P</t>
  </si>
  <si>
    <t>NHS SUNDERLAND CCG (00P)</t>
  </si>
  <si>
    <t>CCG of GP PracticeNHS SURREY DOWNS CCG (99H)Groin HerniaEQ VAS</t>
  </si>
  <si>
    <t>99H</t>
  </si>
  <si>
    <t>NHS SURREY DOWNS CCG (99H)</t>
  </si>
  <si>
    <t>CCG of GP PracticeNHS SURREY HEATH CCG (10C)Groin HerniaEQ VAS</t>
  </si>
  <si>
    <t>10C</t>
  </si>
  <si>
    <t>NHS SURREY HEATH CCG (10C)</t>
  </si>
  <si>
    <t>CCG of GP PracticeNHS SUTTON CCG (08T)Groin HerniaEQ VAS</t>
  </si>
  <si>
    <t>08T</t>
  </si>
  <si>
    <t>NHS SUTTON CCG (08T)</t>
  </si>
  <si>
    <t>CCG of GP PracticeNHS SWALE CCG (10D)Groin HerniaEQ VAS</t>
  </si>
  <si>
    <t>10D</t>
  </si>
  <si>
    <t>NHS SWALE CCG (10D)</t>
  </si>
  <si>
    <t>CCG of GP PracticeNHS SWINDON CCG (12D)Groin HerniaEQ VAS</t>
  </si>
  <si>
    <t>12D</t>
  </si>
  <si>
    <t>NHS SWINDON CCG (12D)</t>
  </si>
  <si>
    <t>CCG of GP PracticeNHS TAMESIDE AND GLOSSOP CCG (01Y)Groin HerniaEQ VAS</t>
  </si>
  <si>
    <t>01Y</t>
  </si>
  <si>
    <t>NHS TAMESIDE AND GLOSSOP CCG (01Y)</t>
  </si>
  <si>
    <t>CCG of GP PracticeNHS TELFORD AND WREKIN CCG (05X)Groin HerniaEQ VAS</t>
  </si>
  <si>
    <t>05X</t>
  </si>
  <si>
    <t>NHS TELFORD AND WREKIN CCG (05X)</t>
  </si>
  <si>
    <t>CCG of GP PracticeNHS THANET CCG (10E)Groin HerniaEQ VAS</t>
  </si>
  <si>
    <t>10E</t>
  </si>
  <si>
    <t>NHS THANET CCG (10E)</t>
  </si>
  <si>
    <t>CCG of GP PracticeNHS THURROCK CCG (07G)Groin HerniaEQ VAS</t>
  </si>
  <si>
    <t>07G</t>
  </si>
  <si>
    <t>NHS THURROCK CCG (07G)</t>
  </si>
  <si>
    <t>CCG of GP PracticeNHS TOWER HAMLETS CCG (08V)Groin HerniaEQ VAS</t>
  </si>
  <si>
    <t>08V</t>
  </si>
  <si>
    <t>NHS TOWER HAMLETS CCG (08V)</t>
  </si>
  <si>
    <t>CCG of GP PracticeNHS TRAFFORD CCG (02A)Groin HerniaEQ VAS</t>
  </si>
  <si>
    <t>02A</t>
  </si>
  <si>
    <t>NHS TRAFFORD CCG (02A)</t>
  </si>
  <si>
    <t>CCG of GP PracticeNHS SOUTH TYNESIDE CCG (00N)Groin HerniaEQ VAS</t>
  </si>
  <si>
    <t>00N</t>
  </si>
  <si>
    <t>NHS SOUTH TYNESIDE CCG (00N)</t>
  </si>
  <si>
    <t>CCG of GP PracticeNHS TOWER HAMLETS CCG (08V)Groin HerniaEQ-5D Index</t>
  </si>
  <si>
    <t>CCG of GP PracticeNHS THURROCK CCG (07G)Groin HerniaEQ-5D Index</t>
  </si>
  <si>
    <t>CCG of GP PracticeNHS THANET CCG (10E)Groin HerniaEQ-5D Index</t>
  </si>
  <si>
    <t>CCG of GP PracticeNHS TELFORD AND WREKIN CCG (05X)Groin HerniaEQ-5D Index</t>
  </si>
  <si>
    <t>CCG of GP PracticeNHS TAMESIDE AND GLOSSOP CCG (01Y)Groin HerniaEQ-5D Index</t>
  </si>
  <si>
    <t>CCG of GP PracticeNHS SWINDON CCG (12D)Groin HerniaEQ-5D Index</t>
  </si>
  <si>
    <t>CCG of GP PracticeNHS SWALE CCG (10D)Groin HerniaEQ-5D Index</t>
  </si>
  <si>
    <t>CCG of GP PracticeNHS SUTTON CCG (08T)Groin HerniaEQ-5D Index</t>
  </si>
  <si>
    <t>CCG of GP PracticeNHS SURREY HEATH CCG (10C)Groin HerniaEQ-5D Index</t>
  </si>
  <si>
    <t>CCG of GP PracticeNHS SURREY DOWNS CCG (99H)Groin HerniaEQ-5D Index</t>
  </si>
  <si>
    <t>CCG of GP PracticeNHS SUNDERLAND CCG (00P)Groin HerniaEQ-5D Index</t>
  </si>
  <si>
    <t>CCG of GP PracticeNHS STOKE ON TRENT CCG (05W)Groin HerniaEQ-5D Index</t>
  </si>
  <si>
    <t>CCG of GP PracticeNHS STOCKPORT CCG (01W)Groin HerniaEQ-5D Index</t>
  </si>
  <si>
    <t>CCG of GP PracticeNHS STAFFORD AND SURROUNDS CCG (05V)Groin HerniaEQ-5D Index</t>
  </si>
  <si>
    <t>CCG of GP PracticeNHS ST HELENS CCG (01X)Groin HerniaEQ-5D Index</t>
  </si>
  <si>
    <t>CCG of GP PracticeNHS SOUTHWARK CCG (08Q)Groin HerniaEQ-5D Index</t>
  </si>
  <si>
    <t>CCG of GP PracticeNHS SOUTHPORT AND FORMBY CCG (01V)Groin HerniaEQ-5D Index</t>
  </si>
  <si>
    <t>CCG of GP PracticeNHS SOUTHERN DERBYSHIRE CCG (04R)Groin HerniaEQ-5D Index</t>
  </si>
  <si>
    <t>CCG of GP PracticeNHS SOUTHEND CCG (99G)Groin HerniaEQ-5D Index</t>
  </si>
  <si>
    <t>CCG of GP PracticeNHS SOUTHAMPTON CCG (10X)Groin HerniaEQ-5D Index</t>
  </si>
  <si>
    <t>CCG of GP PracticeNHS SOUTH WORCESTERSHIRE CCG (05T)Groin HerniaEQ-5D Index</t>
  </si>
  <si>
    <t>CCG of GP PracticeNHS SOUTH WEST LINCOLNSHIRE CCG (04Q)Groin HerniaEQ-5D Index</t>
  </si>
  <si>
    <t>CCG of GP PracticeNHS SOUTH WARWICKSHIRE CCG (05R)Groin HerniaEQ-5D Index</t>
  </si>
  <si>
    <t>CCG of GP PracticeNHS SOUTH TEES CCG (00M)Groin HerniaEQ-5D Index</t>
  </si>
  <si>
    <t>CCG of GP PracticeNHS SOUTH SEFTON CCG (01T)Groin HerniaEQ-5D Index</t>
  </si>
  <si>
    <t>CCG of GP PracticeNHS SOUTH READING CCG (10W)Groin HerniaEQ-5D Index</t>
  </si>
  <si>
    <t>CCG of GP PracticeNHS SOUTH NORFOLK CCG (06Y)Groin HerniaEQ-5D Index</t>
  </si>
  <si>
    <t>CCG of GP PracticeNHS HARROGATE AND RURAL DISTRICT CCG (03E)Groin HerniaEQ-5D Index</t>
  </si>
  <si>
    <t>CCG of GP PracticeNHS HARINGEY CCG (08D)Groin HerniaEQ-5D Index</t>
  </si>
  <si>
    <t>CCG of GP PracticeNHS HARDWICK CCG (03Y)Groin HerniaEQ-5D Index</t>
  </si>
  <si>
    <t>CCG of GP PracticeNHS HAMMERSMITH AND FULHAM CCG (08C)Groin HerniaEQ-5D Index</t>
  </si>
  <si>
    <t>CCG of GP PracticeNHS HAMBLETON, RICHMONDSHIRE AND WHITBY CCG (03D)Groin HerniaEQ-5D Index</t>
  </si>
  <si>
    <t>CCG of GP PracticeNHS HALTON CCG (01F)Groin HerniaEQ-5D Index</t>
  </si>
  <si>
    <t>CCG of GP PracticeNHS GUILDFORD AND WAVERLEY CCG (09N)Groin HerniaEQ-5D Index</t>
  </si>
  <si>
    <t>CCG of GP PracticeNHS GREATER HUDDERSFIELD CCG (03A)Groin HerniaEQ-5D Index</t>
  </si>
  <si>
    <t>CCG of GP PracticeNHS GREAT YARMOUTH AND WAVENEY CCG (06M)Groin HerniaEQ-5D Index</t>
  </si>
  <si>
    <t>CCG of GP PracticeNHS SOUTH TYNESIDE CCG (00N)Groin HerniaEQ-5D Index</t>
  </si>
  <si>
    <t>CCG of GP PracticeNHS GREENWICH CCG (08A)Groin HerniaEQ-5D Index</t>
  </si>
  <si>
    <t>CCG of GP PracticeNHS GLOUCESTERSHIRE CCG (11M)Groin HerniaEQ-5D Index</t>
  </si>
  <si>
    <t>CCG of GP PracticeNHS FYLDE &amp; WYRE CCG (02M)Groin HerniaEQ-5D Index</t>
  </si>
  <si>
    <t>CCG of GP PracticeNHS FAREHAM AND GOSPORT CCG (10K)Groin HerniaEQ-5D Index</t>
  </si>
  <si>
    <t>CCG of GP PracticeNHS EREWASH CCG (03X)Groin HerniaEQ-5D Index</t>
  </si>
  <si>
    <t>CCG of GP PracticeNHS ENFIELD CCG (07X)Groin HerniaEQ-5D Index</t>
  </si>
  <si>
    <t>CCG of GP PracticeNHS EASTERN CHESHIRE CCG (01C)Groin HerniaEQ-5D Index</t>
  </si>
  <si>
    <t>CCG of GP PracticeNHS EASTBOURNE, HAILSHAM AND SEAFORD CCG (09F)Groin HerniaEQ-5D Index</t>
  </si>
  <si>
    <t>CCG of GP PracticeNHS EAST SURREY CCG (09L)Groin HerniaEQ-5D Index</t>
  </si>
  <si>
    <t>CCG of GP PracticeNHS EAST STAFFORDSHIRE CCG (05D)Groin HerniaEQ-5D Index</t>
  </si>
  <si>
    <t>CCG of GP PracticeNHS EAST RIDING OF YORKSHIRE CCG (02Y)Groin HerniaEQ-5D Index</t>
  </si>
  <si>
    <t>CCG of GP PracticeNHS EAST LEICESTERSHIRE AND RUTLAND CCG (03W)Groin HerniaEQ-5D Index</t>
  </si>
  <si>
    <t>CCG of GP PracticeNHS EAST LANCASHIRE CCG (01A)Groin HerniaEQ-5D Index</t>
  </si>
  <si>
    <t>CCG of GP PracticeNHS EAST AND NORTH HERTFORDSHIRE CCG (06K)Groin HerniaEQ-5D Index</t>
  </si>
  <si>
    <t>CCG of GP PracticeNHS EALING CCG (07W)Groin HerniaEQ-5D Index</t>
  </si>
  <si>
    <t>CCG of GP PracticeNHS DURHAM DALES, EASINGTON AND SEDGEFIELD CCG (00D)Groin HerniaEQ-5D Index</t>
  </si>
  <si>
    <t>CCG of GP PracticeNHS DUDLEY CCG (05C)Groin HerniaEQ-5D Index</t>
  </si>
  <si>
    <t>CCG of GP PracticeNHS DORSET CCG (11J)Groin HerniaEQ-5D Index</t>
  </si>
  <si>
    <t>CCG of GP PracticeNHS CENTRAL MANCHESTER CCG (00W)Groin HerniaEQ-5D Index</t>
  </si>
  <si>
    <t>CCG of GP PracticeNHS SOUTH MANCHESTER CCG (01N)Groin HerniaEQ-5D Index</t>
  </si>
  <si>
    <t>CCG of GP PracticeNHS SOUTH LINCOLNSHIRE CCG (99D)Groin HerniaEQ-5D Index</t>
  </si>
  <si>
    <t>CCG of GP PracticeNHS SOUTH KENT COAST CCG (10A)Groin HerniaEQ-5D Index</t>
  </si>
  <si>
    <t>CCG of GP PracticeNHS SOUTH GLOUCESTERSHIRE CCG (12A)Groin HerniaEQ-5D Index</t>
  </si>
  <si>
    <t>CCG of GP PracticeNHS SOUTH EASTERN HAMPSHIRE CCG (10V)Groin HerniaEQ-5D Index</t>
  </si>
  <si>
    <t>CCG of GP PracticeNHS SOUTH EAST STAFFORDSHIRE AND SEISDON PENINSULA CCG (05Q)Groin HerniaEQ-5D Index</t>
  </si>
  <si>
    <t>CCG of GP PracticeNHS SOUTH DEVON AND TORBAY CCG (99Q)Groin HerniaEQ-5D Index</t>
  </si>
  <si>
    <t>CCG of GP PracticeNHS SOUTH CHESHIRE CCG (01R)Groin HerniaEQ-5D Index</t>
  </si>
  <si>
    <t>CCG of GP PracticeNHS SOMERSET CCG (11X)Groin HerniaEQ-5D Index</t>
  </si>
  <si>
    <t>CCG of GP PracticeNHS SOLIHULL CCG (05P)Groin HerniaEQ-5D Index</t>
  </si>
  <si>
    <t>CCG of GP PracticeNHS SLOUGH CCG (10T)Groin HerniaEQ-5D Index</t>
  </si>
  <si>
    <t>CCG of GP PracticeNHS SHROPSHIRE CCG (05N)Groin HerniaEQ-5D Index</t>
  </si>
  <si>
    <t>CCG of GP PracticeNHS SHEFFIELD CCG (03N)Groin HerniaEQ-5D Index</t>
  </si>
  <si>
    <t>CCG of GP PracticeNHS SCARBOROUGH AND RYEDALE CCG (03M)Groin HerniaEQ-5D Index</t>
  </si>
  <si>
    <t>CCG of GP PracticeNHS SANDWELL AND WEST BIRMINGHAM CCG (05L)Groin HerniaEQ-5D Index</t>
  </si>
  <si>
    <t>CCG of GP PracticeNHS SALFORD CCG (01G)Groin HerniaEQ-5D Index</t>
  </si>
  <si>
    <t>CCG of GP PracticeNHS RUSHCLIFFE CCG (04N)Groin HerniaEQ-5D Index</t>
  </si>
  <si>
    <t>CCG of GP PracticeNHS ROTHERHAM CCG (03L)Groin HerniaEQ-5D Index</t>
  </si>
  <si>
    <t>CCG of GP PracticeNHS RICHMOND CCG (08P)Groin HerniaEQ-5D Index</t>
  </si>
  <si>
    <t>CCG of GP PracticeNHS REDDITCH AND BROMSGROVE CCG (05J)Groin HerniaEQ-5D Index</t>
  </si>
  <si>
    <t>CCG of GP PracticeNHS REDBRIDGE CCG (08N)Groin HerniaEQ-5D Index</t>
  </si>
  <si>
    <t>CCG of GP PracticeNHS PORTSMOUTH CCG (10R)Groin HerniaEQ-5D Index</t>
  </si>
  <si>
    <t>CCG of GP PracticeNHS OXFORDSHIRE CCG (10Q)Groin HerniaEQ-5D Index</t>
  </si>
  <si>
    <t>CCG of GP PracticeNHS OLDHAM CCG (00Y)Groin HerniaEQ-5D Index</t>
  </si>
  <si>
    <t>CCG of GP PracticeNHS NOTTINGHAM WEST CCG (04M)Groin HerniaEQ-5D Index</t>
  </si>
  <si>
    <t>CCG of GP PracticeNHS NOTTINGHAM NORTH AND EAST CCG (04L)Groin HerniaEQ-5D Index</t>
  </si>
  <si>
    <t>CCG of GP PracticeNHS NOTTINGHAM CITY CCG (04K)Groin HerniaEQ-5D Index</t>
  </si>
  <si>
    <t>CCG of GP PracticeNHS NORWICH CCG (06W)Groin HerniaEQ-5D Index</t>
  </si>
  <si>
    <t>CCG of GP PracticeNHS DONCASTER CCG (02X)Groin HerniaEQ-5D Index</t>
  </si>
  <si>
    <t>CCG of GP PracticeNHS DARTFORD, GRAVESHAM AND SWANLEY CCG (09J)Groin HerniaEQ-5D Index</t>
  </si>
  <si>
    <t>CCG of GP PracticeNHS DARLINGTON CCG (00C)Groin HerniaEQ-5D Index</t>
  </si>
  <si>
    <t>CCG of GP PracticeNHS CUMBRIA CCG (01H)Groin HerniaEQ-5D Index</t>
  </si>
  <si>
    <t>CCG of GP PracticeNHS CROYDON CCG (07V)Groin HerniaEQ-5D Index</t>
  </si>
  <si>
    <t>CCG of GP PracticeNHS CRAWLEY CCG (09H)Groin HerniaEQ-5D Index</t>
  </si>
  <si>
    <t>CCG of GP PracticeNHS COVENTRY AND RUGBY CCG (05A)Groin HerniaEQ-5D Index</t>
  </si>
  <si>
    <t>CCG of GP PracticeNHS CORBY CCG (03V)Groin HerniaEQ-5D Index</t>
  </si>
  <si>
    <t>CCG of GP PracticeNHS COASTAL WEST SUSSEX CCG (09G)Groin HerniaEQ-5D Index</t>
  </si>
  <si>
    <t>CCG of GP PracticeNHS CITY AND HACKNEY CCG (07T)Groin HerniaEQ-5D Index</t>
  </si>
  <si>
    <t>CCG of GP PracticeNHS CHORLEY AND SOUTH RIBBLE CCG (00X)Groin HerniaEQ-5D Index</t>
  </si>
  <si>
    <t>CCG of GP PracticeNHS CHILTERN CCG (10H)Groin HerniaEQ-5D Index</t>
  </si>
  <si>
    <t>CCG of GP PracticeNHS CENTRAL LONDON (WESTMINSTER) CCG (09A)Groin HerniaEQ-5D Index</t>
  </si>
  <si>
    <t>CCG of GP PracticeNHS CASTLE POINT AND ROCHFORD CCG (99F)Groin HerniaEQ-5D Index</t>
  </si>
  <si>
    <t>CCG of GP PracticeNHS CANTERBURY AND COASTAL CCG (09E)Groin HerniaEQ-5D Index</t>
  </si>
  <si>
    <t>CCG of GP PracticeNHS CANNOCK CHASE CCG (04Y)Groin HerniaEQ-5D Index</t>
  </si>
  <si>
    <t>CCG of GP PracticeNHS CAMDEN CCG (07R)Groin HerniaEQ-5D Index</t>
  </si>
  <si>
    <t>CCG of GP PracticeNHS CAMBRIDGESHIRE AND PETERBOROUGH CCG (06H)Groin HerniaEQ-5D Index</t>
  </si>
  <si>
    <t>CCG of GP PracticeNHS CALDERDALE CCG (02T)Groin HerniaEQ-5D Index</t>
  </si>
  <si>
    <t>CCG of GP PracticeNHS BURY CCG (00V)Groin HerniaEQ-5D Index</t>
  </si>
  <si>
    <t>CCG of GP PracticeNHS BROMLEY CCG (07Q)Groin HerniaEQ-5D Index</t>
  </si>
  <si>
    <t>CCG of GP PracticeNHS BRISTOL CCG (11H)Groin HerniaEQ-5D Index</t>
  </si>
  <si>
    <t>CCG of GP PracticeNHS BRIGHTON AND HOVE CCG (09D)Groin HerniaEQ-5D Index</t>
  </si>
  <si>
    <t>CCG of GP PracticeNHS BRENT CCG (07P)Groin HerniaEQ-5D Index</t>
  </si>
  <si>
    <t>CCG of GP PracticeNHS BRADFORD DISTRICTS CCG (02R)Groin HerniaEQ-5D Index</t>
  </si>
  <si>
    <t>CCG of GP PracticeNHS BRADFORD CITY CCG (02W)Groin HerniaEQ-5D Index</t>
  </si>
  <si>
    <t>CCG of GP PracticeNHS BRACKNELL AND ASCOT CCG (10G)Groin HerniaEQ-5D Index</t>
  </si>
  <si>
    <t>CCG of GP PracticeNHS BOLTON CCG (00T)Groin HerniaEQ-5D Index</t>
  </si>
  <si>
    <t>CCG of GP PracticeNHS NORTHUMBERLAND CCG (00L)Groin HerniaEQ-5D Index</t>
  </si>
  <si>
    <t>CCG of GP PracticeNHS NORTHERN, EASTERN AND WESTERN DEVON CCG (99P)Groin HerniaEQ-5D Index</t>
  </si>
  <si>
    <t>CCG of GP PracticeNHS NORTH WEST SURREY CCG (09Y)Groin HerniaEQ-5D Index</t>
  </si>
  <si>
    <t>CCG of GP PracticeNHS NORTH TYNESIDE CCG (99C)Groin HerniaEQ-5D Index</t>
  </si>
  <si>
    <t>CCG of GP PracticeNHS NORTH STAFFORDSHIRE CCG (05G)Groin HerniaEQ-5D Index</t>
  </si>
  <si>
    <t>CCG of GP PracticeNHS NORTH SOMERSET CCG (11T)Groin HerniaEQ-5D Index</t>
  </si>
  <si>
    <t>CCG of GP PracticeNHS NORTH NORFOLK CCG (06V)Groin HerniaEQ-5D Index</t>
  </si>
  <si>
    <t>CCG of GP PracticeNHS NORTH MANCHESTER CCG (01M)Groin HerniaEQ-5D Index</t>
  </si>
  <si>
    <t>CCG of GP PracticeNHS NORTH LINCOLNSHIRE CCG (03K)Groin HerniaEQ-5D Index</t>
  </si>
  <si>
    <t>CCG of GP PracticeNHS NORTH KIRKLEES CCG (03J)Groin HerniaEQ-5D Index</t>
  </si>
  <si>
    <t>CCG of GP PracticeNHS NORTH HAMPSHIRE CCG (10J)Groin HerniaEQ-5D Index</t>
  </si>
  <si>
    <t>CCG of GP PracticeNHS NORTH EAST LINCOLNSHIRE CCG (03H)Groin HerniaEQ-5D Index</t>
  </si>
  <si>
    <t>CCG of GP PracticeNHS NORTH EAST HAMPSHIRE AND FARNHAM CCG (99M)Groin HerniaEQ-5D Index</t>
  </si>
  <si>
    <t>CCG of GP PracticeNHS NORTH EAST ESSEX CCG (06T)Groin HerniaEQ-5D Index</t>
  </si>
  <si>
    <t>CCG of GP PracticeNHS NORTH DURHAM CCG (00J)Groin HerniaEQ-5D Index</t>
  </si>
  <si>
    <t>CCG of GP PracticeNHS NORTH DERBYSHIRE CCG (04J)Groin HerniaEQ-5D Index</t>
  </si>
  <si>
    <t>CCG of GP PracticeNHS NORTH &amp; WEST READING CCG (10N)Groin HerniaEQ-5D Index</t>
  </si>
  <si>
    <t>CCG of GP PracticeNHS NEWHAM CCG (08M)Groin HerniaEQ-5D Index</t>
  </si>
  <si>
    <t>CCG of GP PracticeNHS NEWBURY AND DISTRICT CCG (10M)Groin HerniaEQ-5D Index</t>
  </si>
  <si>
    <t>CCG of GP PracticeNHS NEWARK &amp; SHERWOOD CCG (04H)Groin HerniaEQ-5D Index</t>
  </si>
  <si>
    <t>CCG of GP PracticeNHS NENE CCG (04G)Groin HerniaEQ-5D Index</t>
  </si>
  <si>
    <t>CCG of GP PracticeNHS MILTON KEYNES CCG (04F)Groin HerniaEQ-5D Index</t>
  </si>
  <si>
    <t>CCG of GP PracticeNHS MID ESSEX CCG (06Q)Groin HerniaEQ-5D Index</t>
  </si>
  <si>
    <t>CCG of GP PracticeNHS MERTON CCG (08R)Groin HerniaEQ-5D Index</t>
  </si>
  <si>
    <t>CCG of GP PracticeNHS MEDWAY CCG (09W)Groin HerniaEQ-5D Index</t>
  </si>
  <si>
    <t>CCG of GP PracticeNHS MANSFIELD AND ASHFIELD CCG (04E)Groin HerniaEQ-5D Index</t>
  </si>
  <si>
    <t>CCG of GP PracticeNHS BLACKPOOL CCG (00R)Groin HerniaEQ-5D Index</t>
  </si>
  <si>
    <t>CCG of GP PracticeNHS BLACKBURN WITH DARWEN CCG (00Q)Groin HerniaEQ-5D Index</t>
  </si>
  <si>
    <t>CCG of GP PracticeNHS BIRMINGHAM SOUTH AND CENTRAL CCG (04X)Groin HerniaEQ-5D Index</t>
  </si>
  <si>
    <t>CCG of GP PracticeNHS BIRMINGHAM CROSSCITY CCG (13P)Groin HerniaEQ-5D Index</t>
  </si>
  <si>
    <t>CCG of GP PracticeNHS BEXLEY CCG (07N)Groin HerniaEQ-5D Index</t>
  </si>
  <si>
    <t>CCG of GP PracticeNHS BEDFORDSHIRE CCG (06F)Groin HerniaEQ-5D Index</t>
  </si>
  <si>
    <t>CCG of GP PracticeNHS BATH AND NORTH EAST SOMERSET CCG (11E)Groin HerniaEQ-5D Index</t>
  </si>
  <si>
    <t>CCG of GP PracticeNHS BASSETLAW CCG (02Q)Groin HerniaEQ-5D Index</t>
  </si>
  <si>
    <t>CCG of GP PracticeNHS BASILDON AND BRENTWOOD CCG (99E)Groin HerniaEQ-5D Index</t>
  </si>
  <si>
    <t>CCG of GP PracticeNHS BARNSLEY CCG (02P)Groin HerniaEQ-5D Index</t>
  </si>
  <si>
    <t>CCG of GP PracticeNHS BARNET CCG (07M)Groin HerniaEQ-5D Index</t>
  </si>
  <si>
    <t>CCG of GP PracticeNHS BARKING AND DAGENHAM CCG (07L)Groin HerniaEQ-5D Index</t>
  </si>
  <si>
    <t>CCG of GP PracticeNHS AYLESBURY VALE CCG (10Y)Groin HerniaEQ-5D Index</t>
  </si>
  <si>
    <t>CCG of GP PracticeNHS ASHFORD CCG (09C)Groin HerniaEQ-5D Index</t>
  </si>
  <si>
    <t>CCG of GP PracticeNHS AIREDALE, WHARFEDALE AND CRAVEN CCG (02N)Groin HerniaEQ-5D Index</t>
  </si>
  <si>
    <t>CCG of GP PracticeNATIONAL COMMISSIONING HUB 1 (13Q)Groin HerniaEQ-5D Index</t>
  </si>
  <si>
    <t>CCG of GP PracticeNHS LINCOLNSHIRE EAST CCG (03T)Groin HerniaEQ-5D Index</t>
  </si>
  <si>
    <t>CCG of GP PracticeNHS LEWISHAM CCG (08L)Groin HerniaEQ-5D Index</t>
  </si>
  <si>
    <t>CCG of GP PracticeNHS LEICESTER CITY CCG (04C)Groin HerniaEQ-5D Index</t>
  </si>
  <si>
    <t>CCG of GP PracticeNHS LEEDS NORTH CCG (02V)Groin HerniaEQ-5D Index</t>
  </si>
  <si>
    <t>CCG of GP PracticeNHS LANCASHIRE NORTH CCG (01K)Groin HerniaEQ-5D Index</t>
  </si>
  <si>
    <t>CCG of GP PracticeNHS LAMBETH CCG (08K)Groin HerniaEQ-5D Index</t>
  </si>
  <si>
    <t>CCG of GP PracticeNHS KNOWSLEY CCG (01J)Groin HerniaEQ-5D Index</t>
  </si>
  <si>
    <t>CCG of GP PracticeNHS KINGSTON CCG (08J)Groin HerniaEQ-5D Index</t>
  </si>
  <si>
    <t>CCG of GP PracticeNHS KERNOW CCG (11N)Groin HerniaEQ-5D Index</t>
  </si>
  <si>
    <t>CCG of GP PracticeNHS ISLINGTON CCG (08H)Groin HerniaEQ-5D Index</t>
  </si>
  <si>
    <t>CCG of GP PracticeNHS ISLE OF WIGHT CCG (10L)Groin HerniaEQ-5D Index</t>
  </si>
  <si>
    <t>CCG of GP PracticeNHS IPSWICH AND EAST SUFFOLK CCG (06L)Groin HerniaEQ-5D Index</t>
  </si>
  <si>
    <t>CCG of GP PracticeNHS HULL CCG (03F)Groin HerniaEQ-5D Index</t>
  </si>
  <si>
    <t>CCG of GP PracticeNHS HOUNSLOW CCG (07Y)Groin HerniaEQ-5D Index</t>
  </si>
  <si>
    <t>CCG of GP PracticeNHS HORSHAM AND MID SUSSEX CCG (09X)Groin HerniaEQ-5D Index</t>
  </si>
  <si>
    <t>CCG of GP PracticeNHS HILLINGDON CCG (08G)Groin HerniaEQ-5D Index</t>
  </si>
  <si>
    <t>CCG of GP PracticeNHS HIGH WEALD LEWES HAVENS CCG (99K)Groin HerniaEQ-5D Index</t>
  </si>
  <si>
    <t>CCG of GP PracticeNHS HEYWOOD, MIDDLETON AND ROCHDALE CCG (01D)Groin HerniaEQ-5D Index</t>
  </si>
  <si>
    <t>CCG of GP PracticeNHS HERTS VALLEYS CCG (06N)Groin HerniaEQ-5D Index</t>
  </si>
  <si>
    <t>CCG of GP PracticeNHS HEREFORDSHIRE CCG (05F)Groin HerniaEQ-5D Index</t>
  </si>
  <si>
    <t>CCG of GP PracticeNHS HAVERING CCG (08F)Groin HerniaEQ-5D Index</t>
  </si>
  <si>
    <t>CCG of GP PracticeNHS HASTINGS AND ROTHER CCG (09P)Groin HerniaEQ-5D Index</t>
  </si>
  <si>
    <t>CCG of GP PracticeNHS HARTLEPOOL AND STOCKTON-ON-TEES CCG (00K)Groin HerniaEQ-5D Index</t>
  </si>
  <si>
    <t>CCG of GP PracticeNHS HARROW CCG (08E)Groin HerniaEQ-5D Index</t>
  </si>
  <si>
    <t>CCG of GP PracticeNHS GREATER PRESTON CCG (01E)Groin HerniaEQ-5D Index</t>
  </si>
  <si>
    <t>CCG of GP PracticeNHS WYRE FOREST CCG (06D)Groin HerniaEQ-5D Index</t>
  </si>
  <si>
    <t>CCG of GP PracticeNHS WOLVERHAMPTON CCG (06A)Groin HerniaEQ-5D Index</t>
  </si>
  <si>
    <t>CCG of GP PracticeNHS WOKINGHAM CCG (11D)Groin HerniaEQ-5D Index</t>
  </si>
  <si>
    <t>CCG of GP PracticeNHS WIRRAL CCG (12F)Groin HerniaEQ-5D Index</t>
  </si>
  <si>
    <t>CCG of GP PracticeNHS WINDSOR, ASCOT AND MAIDENHEAD CCG (11C)Groin HerniaEQ-5D Index</t>
  </si>
  <si>
    <t>CCG of GP PracticeNHS WILTSHIRE CCG (99N)Groin HerniaEQ-5D Index</t>
  </si>
  <si>
    <t>CCG of GP PracticeNHS WIGAN BOROUGH CCG (02H)Groin HerniaEQ-5D Index</t>
  </si>
  <si>
    <t>CCG of GP PracticeNHS WEST SUFFOLK CCG (07K)Groin HerniaEQ-5D Index</t>
  </si>
  <si>
    <t>CCG of GP PracticeNHS WEST NORFOLK CCG (07J)Groin HerniaEQ-5D Index</t>
  </si>
  <si>
    <t>CCG of GP PracticeNHS WEST LONDON CCG (08Y)Groin HerniaEQ-5D Index</t>
  </si>
  <si>
    <t>CCG of GP PracticeNHS WEST LEICESTERSHIRE CCG (04V)Groin HerniaEQ-5D Index</t>
  </si>
  <si>
    <t>CCG of GP PracticeNHS WEST LANCASHIRE CCG (02G)Groin HerniaEQ-5D Index</t>
  </si>
  <si>
    <t>CCG of GP PracticeNHS WEST KENT CCG (99J)Groin HerniaEQ-5D Index</t>
  </si>
  <si>
    <t>CCG of GP PracticeNHS WEST HAMPSHIRE CCG (11A)Groin HerniaEQ-5D Index</t>
  </si>
  <si>
    <t>CCG of GP PracticeNHS WARRINGTON CCG (02E)Groin HerniaEQ-5D Index</t>
  </si>
  <si>
    <t>CCG of GP PracticeNHS WARWICKSHIRE NORTH CCG (05H)Groin HerniaEQ-5D Index</t>
  </si>
  <si>
    <t>CCG of GP PracticeNHS WANDSWORTH CCG (08X)Groin HerniaEQ-5D Index</t>
  </si>
  <si>
    <t>CCG of GP PracticeNHS WALTHAM FOREST CCG (08W)Groin HerniaEQ-5D Index</t>
  </si>
  <si>
    <t>CCG of GP PracticeNHS WALSALL CCG (05Y)Groin HerniaEQ-5D Index</t>
  </si>
  <si>
    <t>CCG of GP PracticeNHS WAKEFIELD CCG (03R)Groin HerniaEQ-5D Index</t>
  </si>
  <si>
    <t>CCG of GP PracticeNHS VALE ROYAL CCG (02D)Groin HerniaEQ-5D Index</t>
  </si>
  <si>
    <t>CCG of GP PracticeNHS VALE OF YORK CCG (03Q)Groin HerniaEQ-5D Index</t>
  </si>
  <si>
    <t>CCG of GP PracticeNHS TRAFFORD CCG (02A)Groin HerniaEQ-5D Index</t>
  </si>
  <si>
    <t>CCG of GP PracticeNHS LUTON CCG (06P)Groin HerniaEQ-5D Index</t>
  </si>
  <si>
    <t>CCG of GP PracticeNHS LIVERPOOL CCG (99A)Groin HerniaEQ-5D Index</t>
  </si>
  <si>
    <t>CCG of GP PracticeNHS LINCOLNSHIRE WEST CCG (04D)Groin HerniaEQ-5D Index</t>
  </si>
  <si>
    <t>CCG of GP PracticeNHS WEST ESSEX CCG (07H)Groin HerniaEQ-5D Index</t>
  </si>
  <si>
    <t>CCG of GP PracticeNHS WEST CHESHIRE CCG (02F)Groin HerniaEQ-5D Index</t>
  </si>
  <si>
    <t>CCG of GP PracticeNHS LEEDS WEST CCG (03C)Groin HerniaEQ-5D Index</t>
  </si>
  <si>
    <t>CCG of GP PracticeNHS LEEDS SOUTH AND EAST CCG (03G)Groin HerniaEQ-5D Index</t>
  </si>
  <si>
    <t>CCG of GP PracticeNHS LEEDS SOUTH AND EAST CCG (03G)Hip ReplacementEQ VAS</t>
  </si>
  <si>
    <t>CCG of GP PracticeNHS LEEDS WEST CCG (03C)Hip ReplacementEQ VAS</t>
  </si>
  <si>
    <t>CCG of GP PracticeNHS WEST CHESHIRE CCG (02F)Hip ReplacementEQ VAS</t>
  </si>
  <si>
    <t>CCG of GP PracticeNHS WEST ESSEX CCG (07H)Hip ReplacementEQ VAS</t>
  </si>
  <si>
    <t>CCG of GP PracticeNHS LINCOLNSHIRE WEST CCG (04D)Hip ReplacementEQ VAS</t>
  </si>
  <si>
    <t>CCG of GP PracticeNHS LIVERPOOL CCG (99A)Hip ReplacementEQ VAS</t>
  </si>
  <si>
    <t>CCG of GP PracticeNHS LUTON CCG (06P)Hip ReplacementEQ VAS</t>
  </si>
  <si>
    <t>CCG of GP PracticeNHS TRAFFORD CCG (02A)Hip ReplacementEQ VAS</t>
  </si>
  <si>
    <t>CCG of GP PracticeNHS VALE OF YORK CCG (03Q)Hip ReplacementEQ VAS</t>
  </si>
  <si>
    <t>CCG of GP PracticeNHS VALE ROYAL CCG (02D)Hip ReplacementEQ VAS</t>
  </si>
  <si>
    <t>CCG of GP PracticeNHS WAKEFIELD CCG (03R)Hip ReplacementEQ VAS</t>
  </si>
  <si>
    <t>CCG of GP PracticeNHS WALSALL CCG (05Y)Hip ReplacementEQ VAS</t>
  </si>
  <si>
    <t>CCG of GP PracticeNHS WALTHAM FOREST CCG (08W)Hip ReplacementEQ VAS</t>
  </si>
  <si>
    <t>CCG of GP PracticeNHS WANDSWORTH CCG (08X)Hip ReplacementEQ VAS</t>
  </si>
  <si>
    <t>CCG of GP PracticeNHS WARWICKSHIRE NORTH CCG (05H)Hip ReplacementEQ VAS</t>
  </si>
  <si>
    <t>CCG of GP PracticeNHS WARRINGTON CCG (02E)Hip ReplacementEQ VAS</t>
  </si>
  <si>
    <t>CCG of GP PracticeNHS WEST HAMPSHIRE CCG (11A)Hip ReplacementEQ VAS</t>
  </si>
  <si>
    <t>CCG of GP PracticeNHS WEST KENT CCG (99J)Hip ReplacementEQ VAS</t>
  </si>
  <si>
    <t>CCG of GP PracticeNHS WEST LANCASHIRE CCG (02G)Hip ReplacementEQ VAS</t>
  </si>
  <si>
    <t>CCG of GP PracticeNHS WEST LEICESTERSHIRE CCG (04V)Hip ReplacementEQ VAS</t>
  </si>
  <si>
    <t>CCG of GP PracticeNHS WEST LONDON CCG (08Y)Hip ReplacementEQ VAS</t>
  </si>
  <si>
    <t>CCG of GP PracticeNHS WEST NORFOLK CCG (07J)Hip ReplacementEQ VAS</t>
  </si>
  <si>
    <t>CCG of GP PracticeNHS WEST SUFFOLK CCG (07K)Hip ReplacementEQ VAS</t>
  </si>
  <si>
    <t>CCG of GP PracticeNHS WIGAN BOROUGH CCG (02H)Hip ReplacementEQ VAS</t>
  </si>
  <si>
    <t>CCG of GP PracticeNHS WILTSHIRE CCG (99N)Hip ReplacementEQ VAS</t>
  </si>
  <si>
    <t>CCG of GP PracticeNHS WINDSOR, ASCOT AND MAIDENHEAD CCG (11C)Hip ReplacementEQ VAS</t>
  </si>
  <si>
    <t>CCG of GP PracticeNHS WIRRAL CCG (12F)Hip ReplacementEQ VAS</t>
  </si>
  <si>
    <t>CCG of GP PracticeNHS WOKINGHAM CCG (11D)Hip ReplacementEQ VAS</t>
  </si>
  <si>
    <t>CCG of GP PracticeNHS WOLVERHAMPTON CCG (06A)Hip ReplacementEQ VAS</t>
  </si>
  <si>
    <t>CCG of GP PracticeNHS WYRE FOREST CCG (06D)Hip ReplacementEQ VAS</t>
  </si>
  <si>
    <t>CCG of GP PracticeNHS GREATER PRESTON CCG (01E)Hip ReplacementEQ VAS</t>
  </si>
  <si>
    <t>CCG of GP PracticeNHS HARROW CCG (08E)Hip ReplacementEQ VAS</t>
  </si>
  <si>
    <t>CCG of GP PracticeNHS HARTLEPOOL AND STOCKTON-ON-TEES CCG (00K)Hip ReplacementEQ VAS</t>
  </si>
  <si>
    <t>CCG of GP PracticeNHS HASTINGS AND ROTHER CCG (09P)Hip ReplacementEQ VAS</t>
  </si>
  <si>
    <t>CCG of GP PracticeNHS HAVERING CCG (08F)Hip ReplacementEQ VAS</t>
  </si>
  <si>
    <t>CCG of GP PracticeNHS HEREFORDSHIRE CCG (05F)Hip ReplacementEQ VAS</t>
  </si>
  <si>
    <t>CCG of GP PracticeNHS HERTS VALLEYS CCG (06N)Hip ReplacementEQ VAS</t>
  </si>
  <si>
    <t>CCG of GP PracticeNHS HEYWOOD, MIDDLETON AND ROCHDALE CCG (01D)Hip ReplacementEQ VAS</t>
  </si>
  <si>
    <t>CCG of GP PracticeNHS HIGH WEALD LEWES HAVENS CCG (99K)Hip ReplacementEQ VAS</t>
  </si>
  <si>
    <t>CCG of GP PracticeNHS HILLINGDON CCG (08G)Hip ReplacementEQ VAS</t>
  </si>
  <si>
    <t>CCG of GP PracticeNHS HORSHAM AND MID SUSSEX CCG (09X)Hip ReplacementEQ VAS</t>
  </si>
  <si>
    <t>CCG of GP PracticeNHS HOUNSLOW CCG (07Y)Hip ReplacementEQ VAS</t>
  </si>
  <si>
    <t>CCG of GP PracticeNHS HULL CCG (03F)Hip ReplacementEQ VAS</t>
  </si>
  <si>
    <t>CCG of GP PracticeNHS IPSWICH AND EAST SUFFOLK CCG (06L)Hip ReplacementEQ VAS</t>
  </si>
  <si>
    <t>CCG of GP PracticeNHS ISLE OF WIGHT CCG (10L)Hip ReplacementEQ VAS</t>
  </si>
  <si>
    <t>CCG of GP PracticeNHS ISLINGTON CCG (08H)Hip ReplacementEQ VAS</t>
  </si>
  <si>
    <t>CCG of GP PracticeNHS KERNOW CCG (11N)Hip ReplacementEQ VAS</t>
  </si>
  <si>
    <t>CCG of GP PracticeNHS KINGSTON CCG (08J)Hip ReplacementEQ VAS</t>
  </si>
  <si>
    <t>CCG of GP PracticeNHS KNOWSLEY CCG (01J)Hip ReplacementEQ VAS</t>
  </si>
  <si>
    <t>CCG of GP PracticeNHS LAMBETH CCG (08K)Hip ReplacementEQ VAS</t>
  </si>
  <si>
    <t>CCG of GP PracticeNHS LANCASHIRE NORTH CCG (01K)Hip ReplacementEQ VAS</t>
  </si>
  <si>
    <t>CCG of GP PracticeNHS LEEDS NORTH CCG (02V)Hip ReplacementEQ VAS</t>
  </si>
  <si>
    <t>CCG of GP PracticeNHS LEICESTER CITY CCG (04C)Hip ReplacementEQ VAS</t>
  </si>
  <si>
    <t>CCG of GP PracticeNHS LEWISHAM CCG (08L)Hip ReplacementEQ VAS</t>
  </si>
  <si>
    <t>CCG of GP PracticeNHS LINCOLNSHIRE EAST CCG (03T)Hip ReplacementEQ VAS</t>
  </si>
  <si>
    <t>CCG of GP PracticeNATIONAL COMMISSIONING HUB 1 (13Q)Hip ReplacementEQ VAS</t>
  </si>
  <si>
    <t>CCG of GP PracticeNHS AIREDALE, WHARFEDALE AND CRAVEN CCG (02N)Hip ReplacementEQ VAS</t>
  </si>
  <si>
    <t>CCG of GP PracticeNHS ASHFORD CCG (09C)Hip ReplacementEQ VAS</t>
  </si>
  <si>
    <t>CCG of GP PracticeNHS AYLESBURY VALE CCG (10Y)Hip ReplacementEQ VAS</t>
  </si>
  <si>
    <t>CCG of GP PracticeNHS BARKING AND DAGENHAM CCG (07L)Hip ReplacementEQ VAS</t>
  </si>
  <si>
    <t>CCG of GP PracticeNHS BARNET CCG (07M)Hip ReplacementEQ VAS</t>
  </si>
  <si>
    <t>CCG of GP PracticeNHS BARNSLEY CCG (02P)Hip ReplacementEQ VAS</t>
  </si>
  <si>
    <t>CCG of GP PracticeNHS BASILDON AND BRENTWOOD CCG (99E)Hip ReplacementEQ VAS</t>
  </si>
  <si>
    <t>CCG of GP PracticeNHS BASSETLAW CCG (02Q)Hip ReplacementEQ VAS</t>
  </si>
  <si>
    <t>CCG of GP PracticeNHS BATH AND NORTH EAST SOMERSET CCG (11E)Hip ReplacementEQ VAS</t>
  </si>
  <si>
    <t>CCG of GP PracticeNHS BEDFORDSHIRE CCG (06F)Hip ReplacementEQ VAS</t>
  </si>
  <si>
    <t>CCG of GP PracticeNHS BEXLEY CCG (07N)Hip ReplacementEQ VAS</t>
  </si>
  <si>
    <t>CCG of GP PracticeNHS BIRMINGHAM CROSSCITY CCG (13P)Hip ReplacementEQ VAS</t>
  </si>
  <si>
    <t>CCG of GP PracticeNHS BIRMINGHAM SOUTH AND CENTRAL CCG (04X)Hip ReplacementEQ VAS</t>
  </si>
  <si>
    <t>CCG of GP PracticeNHS BLACKBURN WITH DARWEN CCG (00Q)Hip ReplacementEQ VAS</t>
  </si>
  <si>
    <t>CCG of GP PracticeNHS BLACKPOOL CCG (00R)Hip ReplacementEQ VAS</t>
  </si>
  <si>
    <t>CCG of GP PracticeNHS MANSFIELD AND ASHFIELD CCG (04E)Hip ReplacementEQ VAS</t>
  </si>
  <si>
    <t>CCG of GP PracticeNHS MEDWAY CCG (09W)Hip ReplacementEQ VAS</t>
  </si>
  <si>
    <t>CCG of GP PracticeNHS MERTON CCG (08R)Hip ReplacementEQ VAS</t>
  </si>
  <si>
    <t>CCG of GP PracticeNHS MID ESSEX CCG (06Q)Hip ReplacementEQ VAS</t>
  </si>
  <si>
    <t>CCG of GP PracticeNHS MILTON KEYNES CCG (04F)Hip ReplacementEQ VAS</t>
  </si>
  <si>
    <t>CCG of GP PracticeNHS NENE CCG (04G)Hip ReplacementEQ VAS</t>
  </si>
  <si>
    <t>CCG of GP PracticeNHS NEWARK &amp; SHERWOOD CCG (04H)Hip ReplacementEQ VAS</t>
  </si>
  <si>
    <t>CCG of GP PracticeNHS NEWBURY AND DISTRICT CCG (10M)Hip ReplacementEQ VAS</t>
  </si>
  <si>
    <t>CCG of GP PracticeNHS NEWHAM CCG (08M)Hip ReplacementEQ VAS</t>
  </si>
  <si>
    <t>CCG of GP PracticeNHS NORTH &amp; WEST READING CCG (10N)Hip ReplacementEQ VAS</t>
  </si>
  <si>
    <t>CCG of GP PracticeNHS NORTH DERBYSHIRE CCG (04J)Hip ReplacementEQ VAS</t>
  </si>
  <si>
    <t>CCG of GP PracticeNHS NORTH DURHAM CCG (00J)Hip ReplacementEQ VAS</t>
  </si>
  <si>
    <t>CCG of GP PracticeNHS NORTH EAST ESSEX CCG (06T)Hip ReplacementEQ VAS</t>
  </si>
  <si>
    <t>CCG of GP PracticeNHS NORTH EAST HAMPSHIRE AND FARNHAM CCG (99M)Hip ReplacementEQ VAS</t>
  </si>
  <si>
    <t>CCG of GP PracticeNHS NORTH EAST LINCOLNSHIRE CCG (03H)Hip ReplacementEQ VAS</t>
  </si>
  <si>
    <t>CCG of GP PracticeNHS NORTH HAMPSHIRE CCG (10J)Hip ReplacementEQ VAS</t>
  </si>
  <si>
    <t>CCG of GP PracticeNHS NORTH KIRKLEES CCG (03J)Hip ReplacementEQ VAS</t>
  </si>
  <si>
    <t>CCG of GP PracticeNHS NORTH LINCOLNSHIRE CCG (03K)Hip ReplacementEQ VAS</t>
  </si>
  <si>
    <t>CCG of GP PracticeNHS NORTH MANCHESTER CCG (01M)Hip ReplacementEQ VAS</t>
  </si>
  <si>
    <t>CCG of GP PracticeNHS NORTH NORFOLK CCG (06V)Hip ReplacementEQ VAS</t>
  </si>
  <si>
    <t>CCG of GP PracticeNHS NORTH SOMERSET CCG (11T)Hip ReplacementEQ VAS</t>
  </si>
  <si>
    <t>CCG of GP PracticeNHS NORTH STAFFORDSHIRE CCG (05G)Hip ReplacementEQ VAS</t>
  </si>
  <si>
    <t>CCG of GP PracticeNHS NORTH TYNESIDE CCG (99C)Hip ReplacementEQ VAS</t>
  </si>
  <si>
    <t>CCG of GP PracticeNHS NORTH WEST SURREY CCG (09Y)Hip ReplacementEQ VAS</t>
  </si>
  <si>
    <t>CCG of GP PracticeNHS NORTHERN, EASTERN AND WESTERN DEVON CCG (99P)Hip ReplacementEQ VAS</t>
  </si>
  <si>
    <t>CCG of GP PracticeNHS NORTHUMBERLAND CCG (00L)Hip ReplacementEQ VAS</t>
  </si>
  <si>
    <t>CCG of GP PracticeNHS BOLTON CCG (00T)Hip ReplacementEQ VAS</t>
  </si>
  <si>
    <t>CCG of GP PracticeNHS BRACKNELL AND ASCOT CCG (10G)Hip ReplacementEQ VAS</t>
  </si>
  <si>
    <t>CCG of GP PracticeNHS BRADFORD CITY CCG (02W)Hip ReplacementEQ VAS</t>
  </si>
  <si>
    <t>CCG of GP PracticeNHS BRADFORD DISTRICTS CCG (02R)Hip ReplacementEQ VAS</t>
  </si>
  <si>
    <t>CCG of GP PracticeNHS BRENT CCG (07P)Hip ReplacementEQ VAS</t>
  </si>
  <si>
    <t>CCG of GP PracticeNHS BRIGHTON AND HOVE CCG (09D)Hip ReplacementEQ VAS</t>
  </si>
  <si>
    <t>CCG of GP PracticeNHS BRISTOL CCG (11H)Hip ReplacementEQ VAS</t>
  </si>
  <si>
    <t>CCG of GP PracticeNHS BROMLEY CCG (07Q)Hip ReplacementEQ VAS</t>
  </si>
  <si>
    <t>CCG of GP PracticeNHS BURY CCG (00V)Hip ReplacementEQ VAS</t>
  </si>
  <si>
    <t>CCG of GP PracticeNHS CALDERDALE CCG (02T)Hip ReplacementEQ VAS</t>
  </si>
  <si>
    <t>CCG of GP PracticeNHS CAMBRIDGESHIRE AND PETERBOROUGH CCG (06H)Hip ReplacementEQ VAS</t>
  </si>
  <si>
    <t>CCG of GP PracticeNHS CAMDEN CCG (07R)Hip ReplacementEQ VAS</t>
  </si>
  <si>
    <t>CCG of GP PracticeNHS CANNOCK CHASE CCG (04Y)Hip ReplacementEQ VAS</t>
  </si>
  <si>
    <t>CCG of GP PracticeNHS CANTERBURY AND COASTAL CCG (09E)Hip ReplacementEQ VAS</t>
  </si>
  <si>
    <t>CCG of GP PracticeNHS CASTLE POINT AND ROCHFORD CCG (99F)Hip ReplacementEQ VAS</t>
  </si>
  <si>
    <t>CCG of GP PracticeNHS CENTRAL LONDON (WESTMINSTER) CCG (09A)Hip ReplacementEQ VAS</t>
  </si>
  <si>
    <t>CCG of GP PracticeNHS CHILTERN CCG (10H)Hip ReplacementEQ VAS</t>
  </si>
  <si>
    <t>CCG of GP PracticeNHS CHORLEY AND SOUTH RIBBLE CCG (00X)Hip ReplacementEQ VAS</t>
  </si>
  <si>
    <t>CCG of GP PracticeNHS CITY AND HACKNEY CCG (07T)Hip ReplacementEQ VAS</t>
  </si>
  <si>
    <t>CCG of GP PracticeNHS COASTAL WEST SUSSEX CCG (09G)Hip ReplacementEQ VAS</t>
  </si>
  <si>
    <t>CCG of GP PracticeNHS CORBY CCG (03V)Hip ReplacementEQ VAS</t>
  </si>
  <si>
    <t>CCG of GP PracticeNHS COVENTRY AND RUGBY CCG (05A)Hip ReplacementEQ VAS</t>
  </si>
  <si>
    <t>CCG of GP PracticeNHS CRAWLEY CCG (09H)Hip ReplacementEQ VAS</t>
  </si>
  <si>
    <t>CCG of GP PracticeNHS CROYDON CCG (07V)Hip ReplacementEQ VAS</t>
  </si>
  <si>
    <t>CCG of GP PracticeNHS CUMBRIA CCG (01H)Hip ReplacementEQ VAS</t>
  </si>
  <si>
    <t>CCG of GP PracticeNHS DARLINGTON CCG (00C)Hip ReplacementEQ VAS</t>
  </si>
  <si>
    <t>CCG of GP PracticeNHS DARTFORD, GRAVESHAM AND SWANLEY CCG (09J)Hip ReplacementEQ VAS</t>
  </si>
  <si>
    <t>CCG of GP PracticeNHS DONCASTER CCG (02X)Hip ReplacementEQ VAS</t>
  </si>
  <si>
    <t>CCG of GP PracticeNHS NORWICH CCG (06W)Hip ReplacementEQ VAS</t>
  </si>
  <si>
    <t>CCG of GP PracticeNHS NOTTINGHAM CITY CCG (04K)Hip ReplacementEQ VAS</t>
  </si>
  <si>
    <t>CCG of GP PracticeNHS NOTTINGHAM NORTH AND EAST CCG (04L)Hip ReplacementEQ VAS</t>
  </si>
  <si>
    <t>CCG of GP PracticeNHS NOTTINGHAM WEST CCG (04M)Hip ReplacementEQ VAS</t>
  </si>
  <si>
    <t>CCG of GP PracticeNHS OLDHAM CCG (00Y)Hip ReplacementEQ VAS</t>
  </si>
  <si>
    <t>CCG of GP PracticeNHS OXFORDSHIRE CCG (10Q)Hip ReplacementEQ VAS</t>
  </si>
  <si>
    <t>CCG of GP PracticeNHS PORTSMOUTH CCG (10R)Hip ReplacementEQ VAS</t>
  </si>
  <si>
    <t>CCG of GP PracticeNHS REDBRIDGE CCG (08N)Hip ReplacementEQ VAS</t>
  </si>
  <si>
    <t>CCG of GP PracticeNHS REDDITCH AND BROMSGROVE CCG (05J)Hip ReplacementEQ VAS</t>
  </si>
  <si>
    <t>CCG of GP PracticeNHS RICHMOND CCG (08P)Hip ReplacementEQ VAS</t>
  </si>
  <si>
    <t>CCG of GP PracticeNHS ROTHERHAM CCG (03L)Hip ReplacementEQ VAS</t>
  </si>
  <si>
    <t>CCG of GP PracticeNHS RUSHCLIFFE CCG (04N)Hip ReplacementEQ VAS</t>
  </si>
  <si>
    <t>CCG of GP PracticeNHS SALFORD CCG (01G)Hip ReplacementEQ VAS</t>
  </si>
  <si>
    <t>CCG of GP PracticeNHS SANDWELL AND WEST BIRMINGHAM CCG (05L)Hip ReplacementEQ VAS</t>
  </si>
  <si>
    <t>CCG of GP PracticeNHS SCARBOROUGH AND RYEDALE CCG (03M)Hip ReplacementEQ VAS</t>
  </si>
  <si>
    <t>CCG of GP PracticeNHS SHEFFIELD CCG (03N)Hip ReplacementEQ VAS</t>
  </si>
  <si>
    <t>CCG of GP PracticeNHS SHROPSHIRE CCG (05N)Hip ReplacementEQ VAS</t>
  </si>
  <si>
    <t>CCG of GP PracticeNHS SLOUGH CCG (10T)Hip ReplacementEQ VAS</t>
  </si>
  <si>
    <t>CCG of GP PracticeNHS SOLIHULL CCG (05P)Hip ReplacementEQ VAS</t>
  </si>
  <si>
    <t>CCG of GP PracticeNHS SOMERSET CCG (11X)Hip ReplacementEQ VAS</t>
  </si>
  <si>
    <t>CCG of GP PracticeNHS SOUTH CHESHIRE CCG (01R)Hip ReplacementEQ VAS</t>
  </si>
  <si>
    <t>CCG of GP PracticeNHS SOUTH DEVON AND TORBAY CCG (99Q)Hip ReplacementEQ VAS</t>
  </si>
  <si>
    <t>CCG of GP PracticeNHS SOUTH EAST STAFFORDSHIRE AND SEISDON PENINSULA CCG (05Q)Hip ReplacementEQ VAS</t>
  </si>
  <si>
    <t>CCG of GP PracticeNHS SOUTH EASTERN HAMPSHIRE CCG (10V)Hip ReplacementEQ VAS</t>
  </si>
  <si>
    <t>CCG of GP PracticeNHS SOUTH GLOUCESTERSHIRE CCG (12A)Hip ReplacementEQ VAS</t>
  </si>
  <si>
    <t>CCG of GP PracticeNHS SOUTH KENT COAST CCG (10A)Hip ReplacementEQ VAS</t>
  </si>
  <si>
    <t>CCG of GP PracticeNHS SOUTH LINCOLNSHIRE CCG (99D)Hip ReplacementEQ VAS</t>
  </si>
  <si>
    <t>CCG of GP PracticeNHS SOUTH MANCHESTER CCG (01N)Hip ReplacementEQ VAS</t>
  </si>
  <si>
    <t>CCG of GP PracticeNHS CENTRAL MANCHESTER CCG (00W)Hip ReplacementEQ VAS</t>
  </si>
  <si>
    <t>CCG of GP PracticeNHS DORSET CCG (11J)Hip ReplacementEQ VAS</t>
  </si>
  <si>
    <t>CCG of GP PracticeNHS DUDLEY CCG (05C)Hip ReplacementEQ VAS</t>
  </si>
  <si>
    <t>CCG of GP PracticeNHS DURHAM DALES, EASINGTON AND SEDGEFIELD CCG (00D)Hip ReplacementEQ VAS</t>
  </si>
  <si>
    <t>CCG of GP PracticeNHS EALING CCG (07W)Hip ReplacementEQ VAS</t>
  </si>
  <si>
    <t>CCG of GP PracticeNHS EAST AND NORTH HERTFORDSHIRE CCG (06K)Hip ReplacementEQ VAS</t>
  </si>
  <si>
    <t>CCG of GP PracticeNHS EAST LANCASHIRE CCG (01A)Hip ReplacementEQ VAS</t>
  </si>
  <si>
    <t>CCG of GP PracticeNHS EAST LEICESTERSHIRE AND RUTLAND CCG (03W)Hip ReplacementEQ VAS</t>
  </si>
  <si>
    <t>CCG of GP PracticeNHS EAST RIDING OF YORKSHIRE CCG (02Y)Hip ReplacementEQ VAS</t>
  </si>
  <si>
    <t>CCG of GP PracticeNHS EAST STAFFORDSHIRE CCG (05D)Hip ReplacementEQ VAS</t>
  </si>
  <si>
    <t>CCG of GP PracticeNHS EAST SURREY CCG (09L)Hip ReplacementEQ VAS</t>
  </si>
  <si>
    <t>CCG of GP PracticeNHS EASTBOURNE, HAILSHAM AND SEAFORD CCG (09F)Hip ReplacementEQ VAS</t>
  </si>
  <si>
    <t>CCG of GP PracticeNHS EASTERN CHESHIRE CCG (01C)Hip ReplacementEQ VAS</t>
  </si>
  <si>
    <t>CCG of GP PracticeNHS ENFIELD CCG (07X)Hip ReplacementEQ VAS</t>
  </si>
  <si>
    <t>CCG of GP PracticeNHS EREWASH CCG (03X)Hip ReplacementEQ VAS</t>
  </si>
  <si>
    <t>CCG of GP PracticeNHS FAREHAM AND GOSPORT CCG (10K)Hip ReplacementEQ VAS</t>
  </si>
  <si>
    <t>CCG of GP PracticeNHS FYLDE &amp; WYRE CCG (02M)Hip ReplacementEQ VAS</t>
  </si>
  <si>
    <t>CCG of GP PracticeNHS GLOUCESTERSHIRE CCG (11M)Hip ReplacementEQ VAS</t>
  </si>
  <si>
    <t>CCG of GP PracticeNHS GREENWICH CCG (08A)Hip ReplacementEQ VAS</t>
  </si>
  <si>
    <t>CCG of GP PracticeNHS SOUTH TYNESIDE CCG (00N)Hip ReplacementEQ VAS</t>
  </si>
  <si>
    <t>CCG of GP PracticeNHS GREAT YARMOUTH AND WAVENEY CCG (06M)Hip ReplacementEQ VAS</t>
  </si>
  <si>
    <t>CCG of GP PracticeNHS GREATER HUDDERSFIELD CCG (03A)Hip ReplacementEQ VAS</t>
  </si>
  <si>
    <t>CCG of GP PracticeNHS GUILDFORD AND WAVERLEY CCG (09N)Hip ReplacementEQ VAS</t>
  </si>
  <si>
    <t>CCG of GP PracticeNHS HALTON CCG (01F)Hip ReplacementEQ VAS</t>
  </si>
  <si>
    <t>CCG of GP PracticeNHS HAMBLETON, RICHMONDSHIRE AND WHITBY CCG (03D)Hip ReplacementEQ VAS</t>
  </si>
  <si>
    <t>CCG of GP PracticeNHS HAMMERSMITH AND FULHAM CCG (08C)Hip ReplacementEQ VAS</t>
  </si>
  <si>
    <t>CCG of GP PracticeNHS HARDWICK CCG (03Y)Hip ReplacementEQ VAS</t>
  </si>
  <si>
    <t>CCG of GP PracticeNHS HARINGEY CCG (08D)Hip ReplacementEQ VAS</t>
  </si>
  <si>
    <t>CCG of GP PracticeNHS HARROGATE AND RURAL DISTRICT CCG (03E)Hip ReplacementEQ VAS</t>
  </si>
  <si>
    <t>CCG of GP PracticeNHS SOUTH NORFOLK CCG (06Y)Hip ReplacementEQ VAS</t>
  </si>
  <si>
    <t>CCG of GP PracticeNHS SOUTH READING CCG (10W)Hip ReplacementEQ VAS</t>
  </si>
  <si>
    <t>CCG of GP PracticeNHS SOUTH SEFTON CCG (01T)Hip ReplacementEQ VAS</t>
  </si>
  <si>
    <t>CCG of GP PracticeNHS SOUTH TEES CCG (00M)Hip ReplacementEQ VAS</t>
  </si>
  <si>
    <t>CCG of GP PracticeNHS SOUTH WARWICKSHIRE CCG (05R)Hip ReplacementEQ VAS</t>
  </si>
  <si>
    <t>CCG of GP PracticeNHS SOUTH WEST LINCOLNSHIRE CCG (04Q)Hip ReplacementEQ VAS</t>
  </si>
  <si>
    <t>CCG of GP PracticeNHS SOUTH WORCESTERSHIRE CCG (05T)Hip ReplacementEQ VAS</t>
  </si>
  <si>
    <t>CCG of GP PracticeNHS SOUTHAMPTON CCG (10X)Hip ReplacementEQ VAS</t>
  </si>
  <si>
    <t>CCG of GP PracticeNHS SOUTHEND CCG (99G)Hip ReplacementEQ VAS</t>
  </si>
  <si>
    <t>CCG of GP PracticeNHS SOUTHERN DERBYSHIRE CCG (04R)Hip ReplacementEQ VAS</t>
  </si>
  <si>
    <t>CCG of GP PracticeNHS SOUTHPORT AND FORMBY CCG (01V)Hip ReplacementEQ VAS</t>
  </si>
  <si>
    <t>CCG of GP PracticeNHS SOUTHWARK CCG (08Q)Hip ReplacementEQ VAS</t>
  </si>
  <si>
    <t>CCG of GP PracticeNHS ST HELENS CCG (01X)Hip ReplacementEQ VAS</t>
  </si>
  <si>
    <t>CCG of GP PracticeNHS STAFFORD AND SURROUNDS CCG (05V)Hip ReplacementEQ VAS</t>
  </si>
  <si>
    <t>CCG of GP PracticeNHS STOCKPORT CCG (01W)Hip ReplacementEQ VAS</t>
  </si>
  <si>
    <t>CCG of GP PracticeNHS STOKE ON TRENT CCG (05W)Hip ReplacementEQ VAS</t>
  </si>
  <si>
    <t>CCG of GP PracticeNHS SUNDERLAND CCG (00P)Hip ReplacementEQ VAS</t>
  </si>
  <si>
    <t>CCG of GP PracticeNHS SURREY DOWNS CCG (99H)Hip ReplacementEQ VAS</t>
  </si>
  <si>
    <t>CCG of GP PracticeNHS SURREY HEATH CCG (10C)Hip ReplacementEQ VAS</t>
  </si>
  <si>
    <t>CCG of GP PracticeNHS SUTTON CCG (08T)Hip ReplacementEQ VAS</t>
  </si>
  <si>
    <t>CCG of GP PracticeNHS SWALE CCG (10D)Hip ReplacementEQ VAS</t>
  </si>
  <si>
    <t>CCG of GP PracticeNHS SWINDON CCG (12D)Hip ReplacementEQ VAS</t>
  </si>
  <si>
    <t>CCG of GP PracticeNHS TAMESIDE AND GLOSSOP CCG (01Y)Hip ReplacementEQ VAS</t>
  </si>
  <si>
    <t>CCG of GP PracticeNHS TELFORD AND WREKIN CCG (05X)Hip ReplacementEQ VAS</t>
  </si>
  <si>
    <t>CCG of GP PracticeNHS THANET CCG (10E)Hip ReplacementEQ VAS</t>
  </si>
  <si>
    <t>CCG of GP PracticeNHS THURROCK CCG (07G)Hip ReplacementEQ VAS</t>
  </si>
  <si>
    <t>CCG of GP PracticeNHS TOWER HAMLETS CCG (08V)Hip ReplacementEQ VAS</t>
  </si>
  <si>
    <t>CCG of GP PracticeNHS TOWER HAMLETS CCG (08V)Hip ReplacementEQ-5D Index</t>
  </si>
  <si>
    <t>CCG of GP PracticeNHS THURROCK CCG (07G)Hip ReplacementEQ-5D Index</t>
  </si>
  <si>
    <t>CCG of GP PracticeNHS THANET CCG (10E)Hip ReplacementEQ-5D Index</t>
  </si>
  <si>
    <t>CCG of GP PracticeNHS TELFORD AND WREKIN CCG (05X)Hip ReplacementEQ-5D Index</t>
  </si>
  <si>
    <t>CCG of GP PracticeNHS TAMESIDE AND GLOSSOP CCG (01Y)Hip ReplacementEQ-5D Index</t>
  </si>
  <si>
    <t>CCG of GP PracticeNHS SWINDON CCG (12D)Hip ReplacementEQ-5D Index</t>
  </si>
  <si>
    <t>CCG of GP PracticeNHS SWALE CCG (10D)Hip ReplacementEQ-5D Index</t>
  </si>
  <si>
    <t>CCG of GP PracticeNHS SUTTON CCG (08T)Hip ReplacementEQ-5D Index</t>
  </si>
  <si>
    <t>CCG of GP PracticeNHS SURREY HEATH CCG (10C)Hip ReplacementEQ-5D Index</t>
  </si>
  <si>
    <t>CCG of GP PracticeNHS SURREY DOWNS CCG (99H)Hip ReplacementEQ-5D Index</t>
  </si>
  <si>
    <t>CCG of GP PracticeNHS SUNDERLAND CCG (00P)Hip ReplacementEQ-5D Index</t>
  </si>
  <si>
    <t>CCG of GP PracticeNHS STOKE ON TRENT CCG (05W)Hip ReplacementEQ-5D Index</t>
  </si>
  <si>
    <t>CCG of GP PracticeNHS STOCKPORT CCG (01W)Hip ReplacementEQ-5D Index</t>
  </si>
  <si>
    <t>CCG of GP PracticeNHS STAFFORD AND SURROUNDS CCG (05V)Hip ReplacementEQ-5D Index</t>
  </si>
  <si>
    <t>CCG of GP PracticeNHS ST HELENS CCG (01X)Hip ReplacementEQ-5D Index</t>
  </si>
  <si>
    <t>CCG of GP PracticeNHS SOUTHWARK CCG (08Q)Hip ReplacementEQ-5D Index</t>
  </si>
  <si>
    <t>CCG of GP PracticeNHS SOUTHPORT AND FORMBY CCG (01V)Hip ReplacementEQ-5D Index</t>
  </si>
  <si>
    <t>CCG of GP PracticeNHS SOUTHERN DERBYSHIRE CCG (04R)Hip ReplacementEQ-5D Index</t>
  </si>
  <si>
    <t>CCG of GP PracticeNHS SOUTHEND CCG (99G)Hip ReplacementEQ-5D Index</t>
  </si>
  <si>
    <t>CCG of GP PracticeNHS SOUTHAMPTON CCG (10X)Hip ReplacementEQ-5D Index</t>
  </si>
  <si>
    <t>CCG of GP PracticeNHS SOUTH WORCESTERSHIRE CCG (05T)Hip ReplacementEQ-5D Index</t>
  </si>
  <si>
    <t>CCG of GP PracticeNHS SOUTH WEST LINCOLNSHIRE CCG (04Q)Hip ReplacementEQ-5D Index</t>
  </si>
  <si>
    <t>CCG of GP PracticeNHS SOUTH WARWICKSHIRE CCG (05R)Hip ReplacementEQ-5D Index</t>
  </si>
  <si>
    <t>CCG of GP PracticeNHS SOUTH TEES CCG (00M)Hip ReplacementEQ-5D Index</t>
  </si>
  <si>
    <t>CCG of GP PracticeNHS SOUTH SEFTON CCG (01T)Hip ReplacementEQ-5D Index</t>
  </si>
  <si>
    <t>CCG of GP PracticeNHS SOUTH READING CCG (10W)Hip ReplacementEQ-5D Index</t>
  </si>
  <si>
    <t>CCG of GP PracticeNHS SOUTH NORFOLK CCG (06Y)Hip ReplacementEQ-5D Index</t>
  </si>
  <si>
    <t>CCG of GP PracticeNHS HARROGATE AND RURAL DISTRICT CCG (03E)Hip ReplacementEQ-5D Index</t>
  </si>
  <si>
    <t>CCG of GP PracticeNHS SOUTH MANCHESTER CCG (01N)Hip ReplacementEQ-5D Index</t>
  </si>
  <si>
    <t>CCG of GP PracticeNHS HARINGEY CCG (08D)Hip ReplacementEQ-5D Index</t>
  </si>
  <si>
    <t>CCG of GP PracticeNHS HARDWICK CCG (03Y)Hip ReplacementEQ-5D Index</t>
  </si>
  <si>
    <t>CCG of GP PracticeNHS HAMMERSMITH AND FULHAM CCG (08C)Hip ReplacementEQ-5D Index</t>
  </si>
  <si>
    <t>CCG of GP PracticeNHS HAMBLETON, RICHMONDSHIRE AND WHITBY CCG (03D)Hip ReplacementEQ-5D Index</t>
  </si>
  <si>
    <t>CCG of GP PracticeNHS HALTON CCG (01F)Hip ReplacementEQ-5D Index</t>
  </si>
  <si>
    <t>CCG of GP PracticeNHS GUILDFORD AND WAVERLEY CCG (09N)Hip ReplacementEQ-5D Index</t>
  </si>
  <si>
    <t>CCG of GP PracticeNHS GREATER HUDDERSFIELD CCG (03A)Hip ReplacementEQ-5D Index</t>
  </si>
  <si>
    <t>CCG of GP PracticeNHS GREAT YARMOUTH AND WAVENEY CCG (06M)Hip ReplacementEQ-5D Index</t>
  </si>
  <si>
    <t>CCG of GP PracticeNHS SOUTH TYNESIDE CCG (00N)Hip ReplacementEQ-5D Index</t>
  </si>
  <si>
    <t>CCG of GP PracticeNHS GREENWICH CCG (08A)Hip ReplacementEQ-5D Index</t>
  </si>
  <si>
    <t>CCG of GP PracticeNHS GLOUCESTERSHIRE CCG (11M)Hip ReplacementEQ-5D Index</t>
  </si>
  <si>
    <t>CCG of GP PracticeNHS FYLDE &amp; WYRE CCG (02M)Hip ReplacementEQ-5D Index</t>
  </si>
  <si>
    <t>CCG of GP PracticeNHS FAREHAM AND GOSPORT CCG (10K)Hip ReplacementEQ-5D Index</t>
  </si>
  <si>
    <t>CCG of GP PracticeNHS EREWASH CCG (03X)Hip ReplacementEQ-5D Index</t>
  </si>
  <si>
    <t>CCG of GP PracticeNHS ENFIELD CCG (07X)Hip ReplacementEQ-5D Index</t>
  </si>
  <si>
    <t>CCG of GP PracticeNHS EASTERN CHESHIRE CCG (01C)Hip ReplacementEQ-5D Index</t>
  </si>
  <si>
    <t>CCG of GP PracticeNHS EASTBOURNE, HAILSHAM AND SEAFORD CCG (09F)Hip ReplacementEQ-5D Index</t>
  </si>
  <si>
    <t>CCG of GP PracticeNHS EAST SURREY CCG (09L)Hip ReplacementEQ-5D Index</t>
  </si>
  <si>
    <t>CCG of GP PracticeNHS EAST STAFFORDSHIRE CCG (05D)Hip ReplacementEQ-5D Index</t>
  </si>
  <si>
    <t>CCG of GP PracticeNHS EAST RIDING OF YORKSHIRE CCG (02Y)Hip ReplacementEQ-5D Index</t>
  </si>
  <si>
    <t>CCG of GP PracticeNHS EAST LEICESTERSHIRE AND RUTLAND CCG (03W)Hip ReplacementEQ-5D Index</t>
  </si>
  <si>
    <t>CCG of GP PracticeNHS EAST LANCASHIRE CCG (01A)Hip ReplacementEQ-5D Index</t>
  </si>
  <si>
    <t>CCG of GP PracticeNHS EAST AND NORTH HERTFORDSHIRE CCG (06K)Hip ReplacementEQ-5D Index</t>
  </si>
  <si>
    <t>CCG of GP PracticeNHS EALING CCG (07W)Hip ReplacementEQ-5D Index</t>
  </si>
  <si>
    <t>CCG of GP PracticeNHS DURHAM DALES, EASINGTON AND SEDGEFIELD CCG (00D)Hip ReplacementEQ-5D Index</t>
  </si>
  <si>
    <t>CCG of GP PracticeNHS DUDLEY CCG (05C)Hip ReplacementEQ-5D Index</t>
  </si>
  <si>
    <t>CCG of GP PracticeNHS DORSET CCG (11J)Hip ReplacementEQ-5D Index</t>
  </si>
  <si>
    <t>CCG of GP PracticeNHS CENTRAL MANCHESTER CCG (00W)Hip ReplacementEQ-5D Index</t>
  </si>
  <si>
    <t>CCG of GP PracticeNHS SOUTH LINCOLNSHIRE CCG (99D)Hip ReplacementEQ-5D Index</t>
  </si>
  <si>
    <t>CCG of GP PracticeNHS SOUTH KENT COAST CCG (10A)Hip ReplacementEQ-5D Index</t>
  </si>
  <si>
    <t>CCG of GP PracticeNHS SOUTH GLOUCESTERSHIRE CCG (12A)Hip ReplacementEQ-5D Index</t>
  </si>
  <si>
    <t>CCG of GP PracticeNHS SOUTH EASTERN HAMPSHIRE CCG (10V)Hip ReplacementEQ-5D Index</t>
  </si>
  <si>
    <t>CCG of GP PracticeNHS SOUTH EAST STAFFORDSHIRE AND SEISDON PENINSULA CCG (05Q)Hip ReplacementEQ-5D Index</t>
  </si>
  <si>
    <t>CCG of GP PracticeNHS SOUTH DEVON AND TORBAY CCG (99Q)Hip ReplacementEQ-5D Index</t>
  </si>
  <si>
    <t>CCG of GP PracticeNHS SOUTH CHESHIRE CCG (01R)Hip ReplacementEQ-5D Index</t>
  </si>
  <si>
    <t>CCG of GP PracticeNHS SOMERSET CCG (11X)Hip ReplacementEQ-5D Index</t>
  </si>
  <si>
    <t>CCG of GP PracticeNHS SOLIHULL CCG (05P)Hip ReplacementEQ-5D Index</t>
  </si>
  <si>
    <t>CCG of GP PracticeNHS SLOUGH CCG (10T)Hip ReplacementEQ-5D Index</t>
  </si>
  <si>
    <t>CCG of GP PracticeNHS SHROPSHIRE CCG (05N)Hip ReplacementEQ-5D Index</t>
  </si>
  <si>
    <t>CCG of GP PracticeNHS SHEFFIELD CCG (03N)Hip ReplacementEQ-5D Index</t>
  </si>
  <si>
    <t>CCG of GP PracticeNHS SCARBOROUGH AND RYEDALE CCG (03M)Hip ReplacementEQ-5D Index</t>
  </si>
  <si>
    <t>CCG of GP PracticeNHS SANDWELL AND WEST BIRMINGHAM CCG (05L)Hip ReplacementEQ-5D Index</t>
  </si>
  <si>
    <t>CCG of GP PracticeNHS SALFORD CCG (01G)Hip ReplacementEQ-5D Index</t>
  </si>
  <si>
    <t>CCG of GP PracticeNHS RUSHCLIFFE CCG (04N)Hip ReplacementEQ-5D Index</t>
  </si>
  <si>
    <t>CCG of GP PracticeNHS ROTHERHAM CCG (03L)Hip ReplacementEQ-5D Index</t>
  </si>
  <si>
    <t>CCG of GP PracticeNHS RICHMOND CCG (08P)Hip ReplacementEQ-5D Index</t>
  </si>
  <si>
    <t>CCG of GP PracticeNHS REDDITCH AND BROMSGROVE CCG (05J)Hip ReplacementEQ-5D Index</t>
  </si>
  <si>
    <t>CCG of GP PracticeNHS REDBRIDGE CCG (08N)Hip ReplacementEQ-5D Index</t>
  </si>
  <si>
    <t>CCG of GP PracticeNHS PORTSMOUTH CCG (10R)Hip ReplacementEQ-5D Index</t>
  </si>
  <si>
    <t>CCG of GP PracticeNHS OXFORDSHIRE CCG (10Q)Hip ReplacementEQ-5D Index</t>
  </si>
  <si>
    <t>CCG of GP PracticeNHS OLDHAM CCG (00Y)Hip ReplacementEQ-5D Index</t>
  </si>
  <si>
    <t>CCG of GP PracticeNHS NOTTINGHAM WEST CCG (04M)Hip ReplacementEQ-5D Index</t>
  </si>
  <si>
    <t>CCG of GP PracticeNHS NOTTINGHAM NORTH AND EAST CCG (04L)Hip ReplacementEQ-5D Index</t>
  </si>
  <si>
    <t>CCG of GP PracticeNHS NOTTINGHAM CITY CCG (04K)Hip ReplacementEQ-5D Index</t>
  </si>
  <si>
    <t>CCG of GP PracticeNHS NORWICH CCG (06W)Hip ReplacementEQ-5D Index</t>
  </si>
  <si>
    <t>CCG of GP PracticeNHS DONCASTER CCG (02X)Hip ReplacementEQ-5D Index</t>
  </si>
  <si>
    <t>CCG of GP PracticeNHS DARTFORD, GRAVESHAM AND SWANLEY CCG (09J)Hip ReplacementEQ-5D Index</t>
  </si>
  <si>
    <t>CCG of GP PracticeNHS DARLINGTON CCG (00C)Hip ReplacementEQ-5D Index</t>
  </si>
  <si>
    <t>CCG of GP PracticeNHS CUMBRIA CCG (01H)Hip ReplacementEQ-5D Index</t>
  </si>
  <si>
    <t>CCG of GP PracticeNHS CROYDON CCG (07V)Hip ReplacementEQ-5D Index</t>
  </si>
  <si>
    <t>CCG of GP PracticeNHS CRAWLEY CCG (09H)Hip ReplacementEQ-5D Index</t>
  </si>
  <si>
    <t>CCG of GP PracticeNHS COVENTRY AND RUGBY CCG (05A)Hip ReplacementEQ-5D Index</t>
  </si>
  <si>
    <t>CCG of GP PracticeNHS CORBY CCG (03V)Hip ReplacementEQ-5D Index</t>
  </si>
  <si>
    <t>CCG of GP PracticeNHS COASTAL WEST SUSSEX CCG (09G)Hip ReplacementEQ-5D Index</t>
  </si>
  <si>
    <t>CCG of GP PracticeNHS CITY AND HACKNEY CCG (07T)Hip ReplacementEQ-5D Index</t>
  </si>
  <si>
    <t>CCG of GP PracticeNHS CHORLEY AND SOUTH RIBBLE CCG (00X)Hip ReplacementEQ-5D Index</t>
  </si>
  <si>
    <t>CCG of GP PracticeNHS CHILTERN CCG (10H)Hip ReplacementEQ-5D Index</t>
  </si>
  <si>
    <t>CCG of GP PracticeNHS CENTRAL LONDON (WESTMINSTER) CCG (09A)Hip ReplacementEQ-5D Index</t>
  </si>
  <si>
    <t>CCG of GP PracticeNHS CASTLE POINT AND ROCHFORD CCG (99F)Hip ReplacementEQ-5D Index</t>
  </si>
  <si>
    <t>CCG of GP PracticeNHS CANTERBURY AND COASTAL CCG (09E)Hip ReplacementEQ-5D Index</t>
  </si>
  <si>
    <t>CCG of GP PracticeNHS CANNOCK CHASE CCG (04Y)Hip ReplacementEQ-5D Index</t>
  </si>
  <si>
    <t>CCG of GP PracticeNHS CAMDEN CCG (07R)Hip ReplacementEQ-5D Index</t>
  </si>
  <si>
    <t>CCG of GP PracticeNHS CAMBRIDGESHIRE AND PETERBOROUGH CCG (06H)Hip ReplacementEQ-5D Index</t>
  </si>
  <si>
    <t>CCG of GP PracticeNHS CALDERDALE CCG (02T)Hip ReplacementEQ-5D Index</t>
  </si>
  <si>
    <t>CCG of GP PracticeNHS BURY CCG (00V)Hip ReplacementEQ-5D Index</t>
  </si>
  <si>
    <t>CCG of GP PracticeNHS BROMLEY CCG (07Q)Hip ReplacementEQ-5D Index</t>
  </si>
  <si>
    <t>CCG of GP PracticeNHS BRISTOL CCG (11H)Hip ReplacementEQ-5D Index</t>
  </si>
  <si>
    <t>CCG of GP PracticeNHS BRIGHTON AND HOVE CCG (09D)Hip ReplacementEQ-5D Index</t>
  </si>
  <si>
    <t>CCG of GP PracticeNHS BRENT CCG (07P)Hip ReplacementEQ-5D Index</t>
  </si>
  <si>
    <t>CCG of GP PracticeNHS BRADFORD DISTRICTS CCG (02R)Hip ReplacementEQ-5D Index</t>
  </si>
  <si>
    <t>CCG of GP PracticeNHS BRADFORD CITY CCG (02W)Hip ReplacementEQ-5D Index</t>
  </si>
  <si>
    <t>CCG of GP PracticeNHS BRACKNELL AND ASCOT CCG (10G)Hip ReplacementEQ-5D Index</t>
  </si>
  <si>
    <t>CCG of GP PracticeNHS BOLTON CCG (00T)Hip ReplacementEQ-5D Index</t>
  </si>
  <si>
    <t>CCG of GP PracticeNHS NORTHUMBERLAND CCG (00L)Hip ReplacementEQ-5D Index</t>
  </si>
  <si>
    <t>CCG of GP PracticeNHS NORTHERN, EASTERN AND WESTERN DEVON CCG (99P)Hip ReplacementEQ-5D Index</t>
  </si>
  <si>
    <t>CCG of GP PracticeNHS NORTH WEST SURREY CCG (09Y)Hip ReplacementEQ-5D Index</t>
  </si>
  <si>
    <t>CCG of GP PracticeNHS NORTH TYNESIDE CCG (99C)Hip ReplacementEQ-5D Index</t>
  </si>
  <si>
    <t>CCG of GP PracticeNHS NORTH STAFFORDSHIRE CCG (05G)Hip ReplacementEQ-5D Index</t>
  </si>
  <si>
    <t>CCG of GP PracticeNHS NORTH SOMERSET CCG (11T)Hip ReplacementEQ-5D Index</t>
  </si>
  <si>
    <t>CCG of GP PracticeNHS NORTH NORFOLK CCG (06V)Hip ReplacementEQ-5D Index</t>
  </si>
  <si>
    <t>CCG of GP PracticeNHS NORTH MANCHESTER CCG (01M)Hip ReplacementEQ-5D Index</t>
  </si>
  <si>
    <t>CCG of GP PracticeNHS NORTH LINCOLNSHIRE CCG (03K)Hip ReplacementEQ-5D Index</t>
  </si>
  <si>
    <t>CCG of GP PracticeNHS NORTH KIRKLEES CCG (03J)Hip ReplacementEQ-5D Index</t>
  </si>
  <si>
    <t>CCG of GP PracticeNHS NORTH HAMPSHIRE CCG (10J)Hip ReplacementEQ-5D Index</t>
  </si>
  <si>
    <t>CCG of GP PracticeNHS NORTH EAST LINCOLNSHIRE CCG (03H)Hip ReplacementEQ-5D Index</t>
  </si>
  <si>
    <t>CCG of GP PracticeNHS NORTH EAST HAMPSHIRE AND FARNHAM CCG (99M)Hip ReplacementEQ-5D Index</t>
  </si>
  <si>
    <t>CCG of GP PracticeNHS NORTH EAST ESSEX CCG (06T)Hip ReplacementEQ-5D Index</t>
  </si>
  <si>
    <t>CCG of GP PracticeNHS NORTH DURHAM CCG (00J)Hip ReplacementEQ-5D Index</t>
  </si>
  <si>
    <t>CCG of GP PracticeNHS NORTH DERBYSHIRE CCG (04J)Hip ReplacementEQ-5D Index</t>
  </si>
  <si>
    <t>CCG of GP PracticeNHS NORTH &amp; WEST READING CCG (10N)Hip ReplacementEQ-5D Index</t>
  </si>
  <si>
    <t>CCG of GP PracticeNHS NEWHAM CCG (08M)Hip ReplacementEQ-5D Index</t>
  </si>
  <si>
    <t>CCG of GP PracticeNHS NEWBURY AND DISTRICT CCG (10M)Hip ReplacementEQ-5D Index</t>
  </si>
  <si>
    <t>CCG of GP PracticeNHS NEWARK &amp; SHERWOOD CCG (04H)Hip ReplacementEQ-5D Index</t>
  </si>
  <si>
    <t>CCG of GP PracticeNHS NENE CCG (04G)Hip ReplacementEQ-5D Index</t>
  </si>
  <si>
    <t>CCG of GP PracticeNHS MILTON KEYNES CCG (04F)Hip ReplacementEQ-5D Index</t>
  </si>
  <si>
    <t>CCG of GP PracticeNHS MID ESSEX CCG (06Q)Hip ReplacementEQ-5D Index</t>
  </si>
  <si>
    <t>CCG of GP PracticeNHS MERTON CCG (08R)Hip ReplacementEQ-5D Index</t>
  </si>
  <si>
    <t>CCG of GP PracticeNHS MEDWAY CCG (09W)Hip ReplacementEQ-5D Index</t>
  </si>
  <si>
    <t>CCG of GP PracticeNHS MANSFIELD AND ASHFIELD CCG (04E)Hip ReplacementEQ-5D Index</t>
  </si>
  <si>
    <t>CCG of GP PracticeNHS BLACKPOOL CCG (00R)Hip ReplacementEQ-5D Index</t>
  </si>
  <si>
    <t>CCG of GP PracticeNHS BLACKBURN WITH DARWEN CCG (00Q)Hip ReplacementEQ-5D Index</t>
  </si>
  <si>
    <t>CCG of GP PracticeNHS BIRMINGHAM SOUTH AND CENTRAL CCG (04X)Hip ReplacementEQ-5D Index</t>
  </si>
  <si>
    <t>CCG of GP PracticeNHS BIRMINGHAM CROSSCITY CCG (13P)Hip ReplacementEQ-5D Index</t>
  </si>
  <si>
    <t>CCG of GP PracticeNHS BEXLEY CCG (07N)Hip ReplacementEQ-5D Index</t>
  </si>
  <si>
    <t>CCG of GP PracticeNHS BEDFORDSHIRE CCG (06F)Hip ReplacementEQ-5D Index</t>
  </si>
  <si>
    <t>CCG of GP PracticeNHS BATH AND NORTH EAST SOMERSET CCG (11E)Hip ReplacementEQ-5D Index</t>
  </si>
  <si>
    <t>CCG of GP PracticeNHS BASSETLAW CCG (02Q)Hip ReplacementEQ-5D Index</t>
  </si>
  <si>
    <t>CCG of GP PracticeNHS BASILDON AND BRENTWOOD CCG (99E)Hip ReplacementEQ-5D Index</t>
  </si>
  <si>
    <t>CCG of GP PracticeNHS BARNSLEY CCG (02P)Hip ReplacementEQ-5D Index</t>
  </si>
  <si>
    <t>CCG of GP PracticeNHS BARNET CCG (07M)Hip ReplacementEQ-5D Index</t>
  </si>
  <si>
    <t>CCG of GP PracticeNHS BARKING AND DAGENHAM CCG (07L)Hip ReplacementEQ-5D Index</t>
  </si>
  <si>
    <t>CCG of GP PracticeNHS AYLESBURY VALE CCG (10Y)Hip ReplacementEQ-5D Index</t>
  </si>
  <si>
    <t>CCG of GP PracticeNHS ASHFORD CCG (09C)Hip ReplacementEQ-5D Index</t>
  </si>
  <si>
    <t>CCG of GP PracticeNHS AIREDALE, WHARFEDALE AND CRAVEN CCG (02N)Hip ReplacementEQ-5D Index</t>
  </si>
  <si>
    <t>CCG of GP PracticeNATIONAL COMMISSIONING HUB 1 (13Q)Hip ReplacementEQ-5D Index</t>
  </si>
  <si>
    <t>CCG of GP PracticeNHS LINCOLNSHIRE EAST CCG (03T)Hip ReplacementEQ-5D Index</t>
  </si>
  <si>
    <t>CCG of GP PracticeNHS LEWISHAM CCG (08L)Hip ReplacementEQ-5D Index</t>
  </si>
  <si>
    <t>CCG of GP PracticeNHS LEICESTER CITY CCG (04C)Hip ReplacementEQ-5D Index</t>
  </si>
  <si>
    <t>CCG of GP PracticeNHS LEEDS NORTH CCG (02V)Hip ReplacementEQ-5D Index</t>
  </si>
  <si>
    <t>CCG of GP PracticeNHS LANCASHIRE NORTH CCG (01K)Hip ReplacementEQ-5D Index</t>
  </si>
  <si>
    <t>CCG of GP PracticeNHS LAMBETH CCG (08K)Hip ReplacementEQ-5D Index</t>
  </si>
  <si>
    <t>CCG of GP PracticeNHS KNOWSLEY CCG (01J)Hip ReplacementEQ-5D Index</t>
  </si>
  <si>
    <t>CCG of GP PracticeNHS KINGSTON CCG (08J)Hip ReplacementEQ-5D Index</t>
  </si>
  <si>
    <t>CCG of GP PracticeNHS KERNOW CCG (11N)Hip ReplacementEQ-5D Index</t>
  </si>
  <si>
    <t>CCG of GP PracticeNHS ISLINGTON CCG (08H)Hip ReplacementEQ-5D Index</t>
  </si>
  <si>
    <t>CCG of GP PracticeNHS ISLE OF WIGHT CCG (10L)Hip ReplacementEQ-5D Index</t>
  </si>
  <si>
    <t>CCG of GP PracticeNHS IPSWICH AND EAST SUFFOLK CCG (06L)Hip ReplacementEQ-5D Index</t>
  </si>
  <si>
    <t>CCG of GP PracticeNHS HULL CCG (03F)Hip ReplacementEQ-5D Index</t>
  </si>
  <si>
    <t>CCG of GP PracticeNHS HOUNSLOW CCG (07Y)Hip ReplacementEQ-5D Index</t>
  </si>
  <si>
    <t>CCG of GP PracticeNHS HORSHAM AND MID SUSSEX CCG (09X)Hip ReplacementEQ-5D Index</t>
  </si>
  <si>
    <t>CCG of GP PracticeNHS HILLINGDON CCG (08G)Hip ReplacementEQ-5D Index</t>
  </si>
  <si>
    <t>CCG of GP PracticeNHS HIGH WEALD LEWES HAVENS CCG (99K)Hip ReplacementEQ-5D Index</t>
  </si>
  <si>
    <t>CCG of GP PracticeNHS HEYWOOD, MIDDLETON AND ROCHDALE CCG (01D)Hip ReplacementEQ-5D Index</t>
  </si>
  <si>
    <t>CCG of GP PracticeNHS HERTS VALLEYS CCG (06N)Hip ReplacementEQ-5D Index</t>
  </si>
  <si>
    <t>CCG of GP PracticeNHS HEREFORDSHIRE CCG (05F)Hip ReplacementEQ-5D Index</t>
  </si>
  <si>
    <t>CCG of GP PracticeNHS HAVERING CCG (08F)Hip ReplacementEQ-5D Index</t>
  </si>
  <si>
    <t>CCG of GP PracticeNHS HASTINGS AND ROTHER CCG (09P)Hip ReplacementEQ-5D Index</t>
  </si>
  <si>
    <t>CCG of GP PracticeNHS HARTLEPOOL AND STOCKTON-ON-TEES CCG (00K)Hip ReplacementEQ-5D Index</t>
  </si>
  <si>
    <t>CCG of GP PracticeNHS HARROW CCG (08E)Hip ReplacementEQ-5D Index</t>
  </si>
  <si>
    <t>CCG of GP PracticeNHS GREATER PRESTON CCG (01E)Hip ReplacementEQ-5D Index</t>
  </si>
  <si>
    <t>CCG of GP PracticeNHS WYRE FOREST CCG (06D)Hip ReplacementEQ-5D Index</t>
  </si>
  <si>
    <t>CCG of GP PracticeNHS WOLVERHAMPTON CCG (06A)Hip ReplacementEQ-5D Index</t>
  </si>
  <si>
    <t>CCG of GP PracticeNHS WOKINGHAM CCG (11D)Hip ReplacementEQ-5D Index</t>
  </si>
  <si>
    <t>CCG of GP PracticeNHS WIRRAL CCG (12F)Hip ReplacementEQ-5D Index</t>
  </si>
  <si>
    <t>CCG of GP PracticeNHS WINDSOR, ASCOT AND MAIDENHEAD CCG (11C)Hip ReplacementEQ-5D Index</t>
  </si>
  <si>
    <t>CCG of GP PracticeNHS WILTSHIRE CCG (99N)Hip ReplacementEQ-5D Index</t>
  </si>
  <si>
    <t>CCG of GP PracticeNHS WIGAN BOROUGH CCG (02H)Hip ReplacementEQ-5D Index</t>
  </si>
  <si>
    <t>CCG of GP PracticeNHS WEST SUFFOLK CCG (07K)Hip ReplacementEQ-5D Index</t>
  </si>
  <si>
    <t>CCG of GP PracticeNHS WEST NORFOLK CCG (07J)Hip ReplacementEQ-5D Index</t>
  </si>
  <si>
    <t>CCG of GP PracticeNHS WEST LONDON CCG (08Y)Hip ReplacementEQ-5D Index</t>
  </si>
  <si>
    <t>CCG of GP PracticeNHS WEST LEICESTERSHIRE CCG (04V)Hip ReplacementEQ-5D Index</t>
  </si>
  <si>
    <t>CCG of GP PracticeNHS WEST LANCASHIRE CCG (02G)Hip ReplacementEQ-5D Index</t>
  </si>
  <si>
    <t>CCG of GP PracticeNHS WEST KENT CCG (99J)Hip ReplacementEQ-5D Index</t>
  </si>
  <si>
    <t>CCG of GP PracticeNHS WEST HAMPSHIRE CCG (11A)Hip ReplacementEQ-5D Index</t>
  </si>
  <si>
    <t>CCG of GP PracticeNHS WARRINGTON CCG (02E)Hip ReplacementEQ-5D Index</t>
  </si>
  <si>
    <t>CCG of GP PracticeNHS WARWICKSHIRE NORTH CCG (05H)Hip ReplacementEQ-5D Index</t>
  </si>
  <si>
    <t>CCG of GP PracticeNHS WANDSWORTH CCG (08X)Hip ReplacementEQ-5D Index</t>
  </si>
  <si>
    <t>CCG of GP PracticeNHS WALTHAM FOREST CCG (08W)Hip ReplacementEQ-5D Index</t>
  </si>
  <si>
    <t>CCG of GP PracticeNHS WALSALL CCG (05Y)Hip ReplacementEQ-5D Index</t>
  </si>
  <si>
    <t>CCG of GP PracticeNHS WAKEFIELD CCG (03R)Hip ReplacementEQ-5D Index</t>
  </si>
  <si>
    <t>CCG of GP PracticeNHS VALE ROYAL CCG (02D)Hip ReplacementEQ-5D Index</t>
  </si>
  <si>
    <t>CCG of GP PracticeNHS VALE OF YORK CCG (03Q)Hip ReplacementEQ-5D Index</t>
  </si>
  <si>
    <t>CCG of GP PracticeNHS TRAFFORD CCG (02A)Hip ReplacementEQ-5D Index</t>
  </si>
  <si>
    <t>CCG of GP PracticeNHS LUTON CCG (06P)Hip ReplacementEQ-5D Index</t>
  </si>
  <si>
    <t>CCG of GP PracticeNHS LIVERPOOL CCG (99A)Hip ReplacementEQ-5D Index</t>
  </si>
  <si>
    <t>CCG of GP PracticeNHS LINCOLNSHIRE WEST CCG (04D)Hip ReplacementEQ-5D Index</t>
  </si>
  <si>
    <t>CCG of GP PracticeNHS WEST ESSEX CCG (07H)Hip ReplacementEQ-5D Index</t>
  </si>
  <si>
    <t>CCG of GP PracticeNHS WEST CHESHIRE CCG (02F)Hip ReplacementEQ-5D Index</t>
  </si>
  <si>
    <t>CCG of GP PracticeNHS LEEDS WEST CCG (03C)Hip ReplacementEQ-5D Index</t>
  </si>
  <si>
    <t>CCG of GP PracticeNHS LEEDS SOUTH AND EAST CCG (03G)Hip ReplacementEQ-5D Index</t>
  </si>
  <si>
    <t>CCG of GP PracticeNHS LEEDS SOUTH AND EAST CCG (03G)Hip ReplacementOxford Hip Score</t>
  </si>
  <si>
    <t>CCG of GP PracticeNHS WEST CHESHIRE CCG (02F)Hip ReplacementOxford Hip Score</t>
  </si>
  <si>
    <t>CCG of GP PracticeNHS WEST ESSEX CCG (07H)Hip ReplacementOxford Hip Score</t>
  </si>
  <si>
    <t>CCG of GP PracticeNHS LINCOLNSHIRE WEST CCG (04D)Hip ReplacementOxford Hip Score</t>
  </si>
  <si>
    <t>CCG of GP PracticeNHS LIVERPOOL CCG (99A)Hip ReplacementOxford Hip Score</t>
  </si>
  <si>
    <t>CCG of GP PracticeNHS LUTON CCG (06P)Hip ReplacementOxford Hip Score</t>
  </si>
  <si>
    <t>CCG of GP PracticeNHS TRAFFORD CCG (02A)Hip ReplacementOxford Hip Score</t>
  </si>
  <si>
    <t>CCG of GP PracticeNHS VALE OF YORK CCG (03Q)Hip ReplacementOxford Hip Score</t>
  </si>
  <si>
    <t>CCG of GP PracticeNHS VALE ROYAL CCG (02D)Hip ReplacementOxford Hip Score</t>
  </si>
  <si>
    <t>CCG of GP PracticeNHS WAKEFIELD CCG (03R)Hip ReplacementOxford Hip Score</t>
  </si>
  <si>
    <t>CCG of GP PracticeNHS WALSALL CCG (05Y)Hip ReplacementOxford Hip Score</t>
  </si>
  <si>
    <t>CCG of GP PracticeNHS WALTHAM FOREST CCG (08W)Hip ReplacementOxford Hip Score</t>
  </si>
  <si>
    <t>CCG of GP PracticeNHS WANDSWORTH CCG (08X)Hip ReplacementOxford Hip Score</t>
  </si>
  <si>
    <t>CCG of GP PracticeNHS WARWICKSHIRE NORTH CCG (05H)Hip ReplacementOxford Hip Score</t>
  </si>
  <si>
    <t>CCG of GP PracticeNHS WARRINGTON CCG (02E)Hip ReplacementOxford Hip Score</t>
  </si>
  <si>
    <t>CCG of GP PracticeNHS LINCOLNSHIRE EAST CCG (03T)Hip ReplacementOxford Hip Score</t>
  </si>
  <si>
    <t>CCG of GP PracticeNHS WEST HAMPSHIRE CCG (11A)Hip ReplacementOxford Hip Score</t>
  </si>
  <si>
    <t>CCG of GP PracticeNHS WEST KENT CCG (99J)Hip ReplacementOxford Hip Score</t>
  </si>
  <si>
    <t>CCG of GP PracticeNHS WEST LANCASHIRE CCG (02G)Hip ReplacementOxford Hip Score</t>
  </si>
  <si>
    <t>CCG of GP PracticeNHS WEST LEICESTERSHIRE CCG (04V)Hip ReplacementOxford Hip Score</t>
  </si>
  <si>
    <t>CCG of GP PracticeNHS WEST LONDON CCG (08Y)Hip ReplacementOxford Hip Score</t>
  </si>
  <si>
    <t>CCG of GP PracticeNHS WEST NORFOLK CCG (07J)Hip ReplacementOxford Hip Score</t>
  </si>
  <si>
    <t>CCG of GP PracticeNHS WEST SUFFOLK CCG (07K)Hip ReplacementOxford Hip Score</t>
  </si>
  <si>
    <t>CCG of GP PracticeNHS WIGAN BOROUGH CCG (02H)Hip ReplacementOxford Hip Score</t>
  </si>
  <si>
    <t>CCG of GP PracticeNHS WILTSHIRE CCG (99N)Hip ReplacementOxford Hip Score</t>
  </si>
  <si>
    <t>CCG of GP PracticeNHS WINDSOR, ASCOT AND MAIDENHEAD CCG (11C)Hip ReplacementOxford Hip Score</t>
  </si>
  <si>
    <t>CCG of GP PracticeNHS WIRRAL CCG (12F)Hip ReplacementOxford Hip Score</t>
  </si>
  <si>
    <t>CCG of GP PracticeNHS WOKINGHAM CCG (11D)Hip ReplacementOxford Hip Score</t>
  </si>
  <si>
    <t>CCG of GP PracticeNHS WOLVERHAMPTON CCG (06A)Hip ReplacementOxford Hip Score</t>
  </si>
  <si>
    <t>CCG of GP PracticeNHS WYRE FOREST CCG (06D)Hip ReplacementOxford Hip Score</t>
  </si>
  <si>
    <t>CCG of GP PracticeNHS GREATER PRESTON CCG (01E)Hip ReplacementOxford Hip Score</t>
  </si>
  <si>
    <t>CCG of GP PracticeNHS HARROW CCG (08E)Hip ReplacementOxford Hip Score</t>
  </si>
  <si>
    <t>CCG of GP PracticeNHS HARTLEPOOL AND STOCKTON-ON-TEES CCG (00K)Hip ReplacementOxford Hip Score</t>
  </si>
  <si>
    <t>CCG of GP PracticeNHS HASTINGS AND ROTHER CCG (09P)Hip ReplacementOxford Hip Score</t>
  </si>
  <si>
    <t>CCG of GP PracticeNHS HAVERING CCG (08F)Hip ReplacementOxford Hip Score</t>
  </si>
  <si>
    <t>CCG of GP PracticeNHS HEREFORDSHIRE CCG (05F)Hip ReplacementOxford Hip Score</t>
  </si>
  <si>
    <t>CCG of GP PracticeNHS HERTS VALLEYS CCG (06N)Hip ReplacementOxford Hip Score</t>
  </si>
  <si>
    <t>CCG of GP PracticeNHS HEYWOOD, MIDDLETON AND ROCHDALE CCG (01D)Hip ReplacementOxford Hip Score</t>
  </si>
  <si>
    <t>CCG of GP PracticeNHS HIGH WEALD LEWES HAVENS CCG (99K)Hip ReplacementOxford Hip Score</t>
  </si>
  <si>
    <t>CCG of GP PracticeNHS HILLINGDON CCG (08G)Hip ReplacementOxford Hip Score</t>
  </si>
  <si>
    <t>CCG of GP PracticeNHS HORSHAM AND MID SUSSEX CCG (09X)Hip ReplacementOxford Hip Score</t>
  </si>
  <si>
    <t>CCG of GP PracticeNHS HOUNSLOW CCG (07Y)Hip ReplacementOxford Hip Score</t>
  </si>
  <si>
    <t>CCG of GP PracticeNHS HULL CCG (03F)Hip ReplacementOxford Hip Score</t>
  </si>
  <si>
    <t>CCG of GP PracticeNHS IPSWICH AND EAST SUFFOLK CCG (06L)Hip ReplacementOxford Hip Score</t>
  </si>
  <si>
    <t>CCG of GP PracticeNHS ISLE OF WIGHT CCG (10L)Hip ReplacementOxford Hip Score</t>
  </si>
  <si>
    <t>CCG of GP PracticeNHS ISLINGTON CCG (08H)Hip ReplacementOxford Hip Score</t>
  </si>
  <si>
    <t>CCG of GP PracticeNHS KERNOW CCG (11N)Hip ReplacementOxford Hip Score</t>
  </si>
  <si>
    <t>CCG of GP PracticeNHS KINGSTON CCG (08J)Hip ReplacementOxford Hip Score</t>
  </si>
  <si>
    <t>CCG of GP PracticeNHS KNOWSLEY CCG (01J)Hip ReplacementOxford Hip Score</t>
  </si>
  <si>
    <t>CCG of GP PracticeNHS LAMBETH CCG (08K)Hip ReplacementOxford Hip Score</t>
  </si>
  <si>
    <t>CCG of GP PracticeNHS LANCASHIRE NORTH CCG (01K)Hip ReplacementOxford Hip Score</t>
  </si>
  <si>
    <t>CCG of GP PracticeNHS LEEDS NORTH CCG (02V)Hip ReplacementOxford Hip Score</t>
  </si>
  <si>
    <t>CCG of GP PracticeNHS LEICESTER CITY CCG (04C)Hip ReplacementOxford Hip Score</t>
  </si>
  <si>
    <t>CCG of GP PracticeNHS LEWISHAM CCG (08L)Hip ReplacementOxford Hip Score</t>
  </si>
  <si>
    <t>CCG of GP PracticeNHS LEEDS WEST CCG (03C)Hip ReplacementOxford Hip Score</t>
  </si>
  <si>
    <t>CCG of GP PracticeNATIONAL COMMISSIONING HUB 1 (13Q)Hip ReplacementOxford Hip Score</t>
  </si>
  <si>
    <t>CCG of GP PracticeNHS AIREDALE, WHARFEDALE AND CRAVEN CCG (02N)Hip ReplacementOxford Hip Score</t>
  </si>
  <si>
    <t>CCG of GP PracticeNHS ASHFORD CCG (09C)Hip ReplacementOxford Hip Score</t>
  </si>
  <si>
    <t>CCG of GP PracticeNHS AYLESBURY VALE CCG (10Y)Hip ReplacementOxford Hip Score</t>
  </si>
  <si>
    <t>CCG of GP PracticeNHS BARKING AND DAGENHAM CCG (07L)Hip ReplacementOxford Hip Score</t>
  </si>
  <si>
    <t>CCG of GP PracticeNHS BARNET CCG (07M)Hip ReplacementOxford Hip Score</t>
  </si>
  <si>
    <t>CCG of GP PracticeNHS BARNSLEY CCG (02P)Hip ReplacementOxford Hip Score</t>
  </si>
  <si>
    <t>CCG of GP PracticeNHS BASILDON AND BRENTWOOD CCG (99E)Hip ReplacementOxford Hip Score</t>
  </si>
  <si>
    <t>CCG of GP PracticeNHS BASSETLAW CCG (02Q)Hip ReplacementOxford Hip Score</t>
  </si>
  <si>
    <t>CCG of GP PracticeNHS BATH AND NORTH EAST SOMERSET CCG (11E)Hip ReplacementOxford Hip Score</t>
  </si>
  <si>
    <t>CCG of GP PracticeNHS BEDFORDSHIRE CCG (06F)Hip ReplacementOxford Hip Score</t>
  </si>
  <si>
    <t>CCG of GP PracticeNHS BEXLEY CCG (07N)Hip ReplacementOxford Hip Score</t>
  </si>
  <si>
    <t>CCG of GP PracticeNHS BIRMINGHAM CROSSCITY CCG (13P)Hip ReplacementOxford Hip Score</t>
  </si>
  <si>
    <t>CCG of GP PracticeNHS BIRMINGHAM SOUTH AND CENTRAL CCG (04X)Hip ReplacementOxford Hip Score</t>
  </si>
  <si>
    <t>CCG of GP PracticeNHS BLACKBURN WITH DARWEN CCG (00Q)Hip ReplacementOxford Hip Score</t>
  </si>
  <si>
    <t>CCG of GP PracticeNHS BLACKPOOL CCG (00R)Hip ReplacementOxford Hip Score</t>
  </si>
  <si>
    <t>CCG of GP PracticeNHS MANSFIELD AND ASHFIELD CCG (04E)Hip ReplacementOxford Hip Score</t>
  </si>
  <si>
    <t>CCG of GP PracticeNHS MEDWAY CCG (09W)Hip ReplacementOxford Hip Score</t>
  </si>
  <si>
    <t>CCG of GP PracticeNHS MERTON CCG (08R)Hip ReplacementOxford Hip Score</t>
  </si>
  <si>
    <t>CCG of GP PracticeNHS MID ESSEX CCG (06Q)Hip ReplacementOxford Hip Score</t>
  </si>
  <si>
    <t>CCG of GP PracticeNHS MILTON KEYNES CCG (04F)Hip ReplacementOxford Hip Score</t>
  </si>
  <si>
    <t>CCG of GP PracticeNHS NENE CCG (04G)Hip ReplacementOxford Hip Score</t>
  </si>
  <si>
    <t>CCG of GP PracticeNHS NEWARK &amp; SHERWOOD CCG (04H)Hip ReplacementOxford Hip Score</t>
  </si>
  <si>
    <t>CCG of GP PracticeNHS NEWBURY AND DISTRICT CCG (10M)Hip ReplacementOxford Hip Score</t>
  </si>
  <si>
    <t>CCG of GP PracticeNHS NEWHAM CCG (08M)Hip ReplacementOxford Hip Score</t>
  </si>
  <si>
    <t>CCG of GP PracticeNHS NORTH &amp; WEST READING CCG (10N)Hip ReplacementOxford Hip Score</t>
  </si>
  <si>
    <t>CCG of GP PracticeNHS NORTH DERBYSHIRE CCG (04J)Hip ReplacementOxford Hip Score</t>
  </si>
  <si>
    <t>CCG of GP PracticeNHS NORTH DURHAM CCG (00J)Hip ReplacementOxford Hip Score</t>
  </si>
  <si>
    <t>CCG of GP PracticeNHS NORTH EAST ESSEX CCG (06T)Hip ReplacementOxford Hip Score</t>
  </si>
  <si>
    <t>CCG of GP PracticeNHS NORTH EAST HAMPSHIRE AND FARNHAM CCG (99M)Hip ReplacementOxford Hip Score</t>
  </si>
  <si>
    <t>CCG of GP PracticeNHS NORTH EAST LINCOLNSHIRE CCG (03H)Hip ReplacementOxford Hip Score</t>
  </si>
  <si>
    <t>CCG of GP PracticeNHS NORTH HAMPSHIRE CCG (10J)Hip ReplacementOxford Hip Score</t>
  </si>
  <si>
    <t>CCG of GP PracticeNHS NORTH KIRKLEES CCG (03J)Hip ReplacementOxford Hip Score</t>
  </si>
  <si>
    <t>CCG of GP PracticeNHS NORTH LINCOLNSHIRE CCG (03K)Hip ReplacementOxford Hip Score</t>
  </si>
  <si>
    <t>CCG of GP PracticeNHS NORTH MANCHESTER CCG (01M)Hip ReplacementOxford Hip Score</t>
  </si>
  <si>
    <t>CCG of GP PracticeNHS NORTH NORFOLK CCG (06V)Hip ReplacementOxford Hip Score</t>
  </si>
  <si>
    <t>CCG of GP PracticeNHS NORTH SOMERSET CCG (11T)Hip ReplacementOxford Hip Score</t>
  </si>
  <si>
    <t>CCG of GP PracticeNHS NORTH STAFFORDSHIRE CCG (05G)Hip ReplacementOxford Hip Score</t>
  </si>
  <si>
    <t>CCG of GP PracticeNHS NORTH TYNESIDE CCG (99C)Hip ReplacementOxford Hip Score</t>
  </si>
  <si>
    <t>CCG of GP PracticeNHS NORTH WEST SURREY CCG (09Y)Hip ReplacementOxford Hip Score</t>
  </si>
  <si>
    <t>CCG of GP PracticeNHS NORTHERN, EASTERN AND WESTERN DEVON CCG (99P)Hip ReplacementOxford Hip Score</t>
  </si>
  <si>
    <t>CCG of GP PracticeNHS NORTHUMBERLAND CCG (00L)Hip ReplacementOxford Hip Score</t>
  </si>
  <si>
    <t>CCG of GP PracticeNHS BOLTON CCG (00T)Hip ReplacementOxford Hip Score</t>
  </si>
  <si>
    <t>CCG of GP PracticeNHS BRACKNELL AND ASCOT CCG (10G)Hip ReplacementOxford Hip Score</t>
  </si>
  <si>
    <t>CCG of GP PracticeNHS BRADFORD CITY CCG (02W)Hip ReplacementOxford Hip Score</t>
  </si>
  <si>
    <t>CCG of GP PracticeNHS BRADFORD DISTRICTS CCG (02R)Hip ReplacementOxford Hip Score</t>
  </si>
  <si>
    <t>CCG of GP PracticeNHS BRENT CCG (07P)Hip ReplacementOxford Hip Score</t>
  </si>
  <si>
    <t>CCG of GP PracticeNHS BRIGHTON AND HOVE CCG (09D)Hip ReplacementOxford Hip Score</t>
  </si>
  <si>
    <t>CCG of GP PracticeNHS BRISTOL CCG (11H)Hip ReplacementOxford Hip Score</t>
  </si>
  <si>
    <t>CCG of GP PracticeNHS BROMLEY CCG (07Q)Hip ReplacementOxford Hip Score</t>
  </si>
  <si>
    <t>CCG of GP PracticeNHS BURY CCG (00V)Hip ReplacementOxford Hip Score</t>
  </si>
  <si>
    <t>CCG of GP PracticeNHS CALDERDALE CCG (02T)Hip ReplacementOxford Hip Score</t>
  </si>
  <si>
    <t>CCG of GP PracticeNHS CAMBRIDGESHIRE AND PETERBOROUGH CCG (06H)Hip ReplacementOxford Hip Score</t>
  </si>
  <si>
    <t>CCG of GP PracticeNHS CAMDEN CCG (07R)Hip ReplacementOxford Hip Score</t>
  </si>
  <si>
    <t>CCG of GP PracticeNHS CANNOCK CHASE CCG (04Y)Hip ReplacementOxford Hip Score</t>
  </si>
  <si>
    <t>CCG of GP PracticeNHS CANTERBURY AND COASTAL CCG (09E)Hip ReplacementOxford Hip Score</t>
  </si>
  <si>
    <t>CCG of GP PracticeNHS CASTLE POINT AND ROCHFORD CCG (99F)Hip ReplacementOxford Hip Score</t>
  </si>
  <si>
    <t>CCG of GP PracticeNHS CENTRAL LONDON (WESTMINSTER) CCG (09A)Hip ReplacementOxford Hip Score</t>
  </si>
  <si>
    <t>CCG of GP PracticeNHS CHILTERN CCG (10H)Hip ReplacementOxford Hip Score</t>
  </si>
  <si>
    <t>CCG of GP PracticeNHS CHORLEY AND SOUTH RIBBLE CCG (00X)Hip ReplacementOxford Hip Score</t>
  </si>
  <si>
    <t>CCG of GP PracticeNHS CITY AND HACKNEY CCG (07T)Hip ReplacementOxford Hip Score</t>
  </si>
  <si>
    <t>CCG of GP PracticeNHS COASTAL WEST SUSSEX CCG (09G)Hip ReplacementOxford Hip Score</t>
  </si>
  <si>
    <t>CCG of GP PracticeNHS CORBY CCG (03V)Hip ReplacementOxford Hip Score</t>
  </si>
  <si>
    <t>CCG of GP PracticeNHS COVENTRY AND RUGBY CCG (05A)Hip ReplacementOxford Hip Score</t>
  </si>
  <si>
    <t>CCG of GP PracticeNHS CRAWLEY CCG (09H)Hip ReplacementOxford Hip Score</t>
  </si>
  <si>
    <t>CCG of GP PracticeNHS CROYDON CCG (07V)Hip ReplacementOxford Hip Score</t>
  </si>
  <si>
    <t>CCG of GP PracticeNHS CUMBRIA CCG (01H)Hip ReplacementOxford Hip Score</t>
  </si>
  <si>
    <t>CCG of GP PracticeNHS DARLINGTON CCG (00C)Hip ReplacementOxford Hip Score</t>
  </si>
  <si>
    <t>CCG of GP PracticeNHS DARTFORD, GRAVESHAM AND SWANLEY CCG (09J)Hip ReplacementOxford Hip Score</t>
  </si>
  <si>
    <t>CCG of GP PracticeNHS DONCASTER CCG (02X)Hip ReplacementOxford Hip Score</t>
  </si>
  <si>
    <t>CCG of GP PracticeNHS NORWICH CCG (06W)Hip ReplacementOxford Hip Score</t>
  </si>
  <si>
    <t>CCG of GP PracticeNHS NOTTINGHAM CITY CCG (04K)Hip ReplacementOxford Hip Score</t>
  </si>
  <si>
    <t>CCG of GP PracticeNHS NOTTINGHAM NORTH AND EAST CCG (04L)Hip ReplacementOxford Hip Score</t>
  </si>
  <si>
    <t>CCG of GP PracticeNHS NOTTINGHAM WEST CCG (04M)Hip ReplacementOxford Hip Score</t>
  </si>
  <si>
    <t>CCG of GP PracticeNHS OLDHAM CCG (00Y)Hip ReplacementOxford Hip Score</t>
  </si>
  <si>
    <t>CCG of GP PracticeNHS OXFORDSHIRE CCG (10Q)Hip ReplacementOxford Hip Score</t>
  </si>
  <si>
    <t>CCG of GP PracticeNHS PORTSMOUTH CCG (10R)Hip ReplacementOxford Hip Score</t>
  </si>
  <si>
    <t>CCG of GP PracticeNHS REDBRIDGE CCG (08N)Hip ReplacementOxford Hip Score</t>
  </si>
  <si>
    <t>CCG of GP PracticeNHS REDDITCH AND BROMSGROVE CCG (05J)Hip ReplacementOxford Hip Score</t>
  </si>
  <si>
    <t>CCG of GP PracticeNHS RICHMOND CCG (08P)Hip ReplacementOxford Hip Score</t>
  </si>
  <si>
    <t>CCG of GP PracticeNHS ROTHERHAM CCG (03L)Hip ReplacementOxford Hip Score</t>
  </si>
  <si>
    <t>CCG of GP PracticeNHS RUSHCLIFFE CCG (04N)Hip ReplacementOxford Hip Score</t>
  </si>
  <si>
    <t>CCG of GP PracticeNHS SALFORD CCG (01G)Hip ReplacementOxford Hip Score</t>
  </si>
  <si>
    <t>CCG of GP PracticeNHS SANDWELL AND WEST BIRMINGHAM CCG (05L)Hip ReplacementOxford Hip Score</t>
  </si>
  <si>
    <t>CCG of GP PracticeNHS SCARBOROUGH AND RYEDALE CCG (03M)Hip ReplacementOxford Hip Score</t>
  </si>
  <si>
    <t>CCG of GP PracticeNHS SHEFFIELD CCG (03N)Hip ReplacementOxford Hip Score</t>
  </si>
  <si>
    <t>CCG of GP PracticeNHS SHROPSHIRE CCG (05N)Hip ReplacementOxford Hip Score</t>
  </si>
  <si>
    <t>CCG of GP PracticeNHS SLOUGH CCG (10T)Hip ReplacementOxford Hip Score</t>
  </si>
  <si>
    <t>CCG of GP PracticeNHS SOLIHULL CCG (05P)Hip ReplacementOxford Hip Score</t>
  </si>
  <si>
    <t>CCG of GP PracticeNHS SOMERSET CCG (11X)Hip ReplacementOxford Hip Score</t>
  </si>
  <si>
    <t>CCG of GP PracticeNHS SOUTH CHESHIRE CCG (01R)Hip ReplacementOxford Hip Score</t>
  </si>
  <si>
    <t>CCG of GP PracticeNHS SOUTH DEVON AND TORBAY CCG (99Q)Hip ReplacementOxford Hip Score</t>
  </si>
  <si>
    <t>CCG of GP PracticeNHS SOUTH EAST STAFFORDSHIRE AND SEISDON PENINSULA CCG (05Q)Hip ReplacementOxford Hip Score</t>
  </si>
  <si>
    <t>CCG of GP PracticeNHS SOUTH EASTERN HAMPSHIRE CCG (10V)Hip ReplacementOxford Hip Score</t>
  </si>
  <si>
    <t>CCG of GP PracticeNHS SOUTH GLOUCESTERSHIRE CCG (12A)Hip ReplacementOxford Hip Score</t>
  </si>
  <si>
    <t>CCG of GP PracticeNHS SOUTH KENT COAST CCG (10A)Hip ReplacementOxford Hip Score</t>
  </si>
  <si>
    <t>CCG of GP PracticeNHS SOUTH LINCOLNSHIRE CCG (99D)Hip ReplacementOxford Hip Score</t>
  </si>
  <si>
    <t>CCG of GP PracticeNHS CENTRAL MANCHESTER CCG (00W)Hip ReplacementOxford Hip Score</t>
  </si>
  <si>
    <t>CCG of GP PracticeNHS DORSET CCG (11J)Hip ReplacementOxford Hip Score</t>
  </si>
  <si>
    <t>CCG of GP PracticeNHS DUDLEY CCG (05C)Hip ReplacementOxford Hip Score</t>
  </si>
  <si>
    <t>CCG of GP PracticeNHS DURHAM DALES, EASINGTON AND SEDGEFIELD CCG (00D)Hip ReplacementOxford Hip Score</t>
  </si>
  <si>
    <t>CCG of GP PracticeNHS EALING CCG (07W)Hip ReplacementOxford Hip Score</t>
  </si>
  <si>
    <t>CCG of GP PracticeNHS EAST AND NORTH HERTFORDSHIRE CCG (06K)Hip ReplacementOxford Hip Score</t>
  </si>
  <si>
    <t>CCG of GP PracticeNHS EAST LANCASHIRE CCG (01A)Hip ReplacementOxford Hip Score</t>
  </si>
  <si>
    <t>CCG of GP PracticeNHS EAST LEICESTERSHIRE AND RUTLAND CCG (03W)Hip ReplacementOxford Hip Score</t>
  </si>
  <si>
    <t>CCG of GP PracticeNHS EAST RIDING OF YORKSHIRE CCG (02Y)Hip ReplacementOxford Hip Score</t>
  </si>
  <si>
    <t>CCG of GP PracticeNHS EAST STAFFORDSHIRE CCG (05D)Hip ReplacementOxford Hip Score</t>
  </si>
  <si>
    <t>CCG of GP PracticeNHS EAST SURREY CCG (09L)Hip ReplacementOxford Hip Score</t>
  </si>
  <si>
    <t>CCG of GP PracticeNHS EASTBOURNE, HAILSHAM AND SEAFORD CCG (09F)Hip ReplacementOxford Hip Score</t>
  </si>
  <si>
    <t>CCG of GP PracticeNHS EASTERN CHESHIRE CCG (01C)Hip ReplacementOxford Hip Score</t>
  </si>
  <si>
    <t>CCG of GP PracticeNHS ENFIELD CCG (07X)Hip ReplacementOxford Hip Score</t>
  </si>
  <si>
    <t>CCG of GP PracticeNHS EREWASH CCG (03X)Hip ReplacementOxford Hip Score</t>
  </si>
  <si>
    <t>CCG of GP PracticeNHS FAREHAM AND GOSPORT CCG (10K)Hip ReplacementOxford Hip Score</t>
  </si>
  <si>
    <t>CCG of GP PracticeNHS FYLDE &amp; WYRE CCG (02M)Hip ReplacementOxford Hip Score</t>
  </si>
  <si>
    <t>CCG of GP PracticeNHS GLOUCESTERSHIRE CCG (11M)Hip ReplacementOxford Hip Score</t>
  </si>
  <si>
    <t>CCG of GP PracticeNHS GREENWICH CCG (08A)Hip ReplacementOxford Hip Score</t>
  </si>
  <si>
    <t>CCG of GP PracticeNHS SOUTH TYNESIDE CCG (00N)Hip ReplacementOxford Hip Score</t>
  </si>
  <si>
    <t>CCG of GP PracticeNHS GREAT YARMOUTH AND WAVENEY CCG (06M)Hip ReplacementOxford Hip Score</t>
  </si>
  <si>
    <t>CCG of GP PracticeNHS GREATER HUDDERSFIELD CCG (03A)Hip ReplacementOxford Hip Score</t>
  </si>
  <si>
    <t>CCG of GP PracticeNHS GUILDFORD AND WAVERLEY CCG (09N)Hip ReplacementOxford Hip Score</t>
  </si>
  <si>
    <t>CCG of GP PracticeNHS HALTON CCG (01F)Hip ReplacementOxford Hip Score</t>
  </si>
  <si>
    <t>CCG of GP PracticeNHS HAMBLETON, RICHMONDSHIRE AND WHITBY CCG (03D)Hip ReplacementOxford Hip Score</t>
  </si>
  <si>
    <t>CCG of GP PracticeNHS HAMMERSMITH AND FULHAM CCG (08C)Hip ReplacementOxford Hip Score</t>
  </si>
  <si>
    <t>CCG of GP PracticeNHS HARDWICK CCG (03Y)Hip ReplacementOxford Hip Score</t>
  </si>
  <si>
    <t>CCG of GP PracticeNHS HARINGEY CCG (08D)Hip ReplacementOxford Hip Score</t>
  </si>
  <si>
    <t>CCG of GP PracticeNHS SOUTH MANCHESTER CCG (01N)Hip ReplacementOxford Hip Score</t>
  </si>
  <si>
    <t>CCG of GP PracticeNHS HARROGATE AND RURAL DISTRICT CCG (03E)Hip ReplacementOxford Hip Score</t>
  </si>
  <si>
    <t>CCG of GP PracticeNHS SOUTH NORFOLK CCG (06Y)Hip ReplacementOxford Hip Score</t>
  </si>
  <si>
    <t>CCG of GP PracticeNHS SOUTH READING CCG (10W)Hip ReplacementOxford Hip Score</t>
  </si>
  <si>
    <t>CCG of GP PracticeNHS SOUTH SEFTON CCG (01T)Hip ReplacementOxford Hip Score</t>
  </si>
  <si>
    <t>CCG of GP PracticeNHS SOUTH TEES CCG (00M)Hip ReplacementOxford Hip Score</t>
  </si>
  <si>
    <t>CCG of GP PracticeNHS SOUTH WARWICKSHIRE CCG (05R)Hip ReplacementOxford Hip Score</t>
  </si>
  <si>
    <t>CCG of GP PracticeNHS SOUTH WEST LINCOLNSHIRE CCG (04Q)Hip ReplacementOxford Hip Score</t>
  </si>
  <si>
    <t>CCG of GP PracticeNHS SOUTH WORCESTERSHIRE CCG (05T)Hip ReplacementOxford Hip Score</t>
  </si>
  <si>
    <t>CCG of GP PracticeNHS SOUTHAMPTON CCG (10X)Hip ReplacementOxford Hip Score</t>
  </si>
  <si>
    <t>CCG of GP PracticeNHS SOUTHEND CCG (99G)Hip ReplacementOxford Hip Score</t>
  </si>
  <si>
    <t>CCG of GP PracticeNHS SOUTHERN DERBYSHIRE CCG (04R)Hip ReplacementOxford Hip Score</t>
  </si>
  <si>
    <t>CCG of GP PracticeNHS SOUTHPORT AND FORMBY CCG (01V)Hip ReplacementOxford Hip Score</t>
  </si>
  <si>
    <t>CCG of GP PracticeNHS SOUTHWARK CCG (08Q)Hip ReplacementOxford Hip Score</t>
  </si>
  <si>
    <t>CCG of GP PracticeNHS ST HELENS CCG (01X)Hip ReplacementOxford Hip Score</t>
  </si>
  <si>
    <t>CCG of GP PracticeNHS STAFFORD AND SURROUNDS CCG (05V)Hip ReplacementOxford Hip Score</t>
  </si>
  <si>
    <t>CCG of GP PracticeNHS STOCKPORT CCG (01W)Hip ReplacementOxford Hip Score</t>
  </si>
  <si>
    <t>CCG of GP PracticeNHS STOKE ON TRENT CCG (05W)Hip ReplacementOxford Hip Score</t>
  </si>
  <si>
    <t>CCG of GP PracticeNHS SUNDERLAND CCG (00P)Hip ReplacementOxford Hip Score</t>
  </si>
  <si>
    <t>CCG of GP PracticeNHS SURREY DOWNS CCG (99H)Hip ReplacementOxford Hip Score</t>
  </si>
  <si>
    <t>CCG of GP PracticeNHS SURREY HEATH CCG (10C)Hip ReplacementOxford Hip Score</t>
  </si>
  <si>
    <t>CCG of GP PracticeNHS SUTTON CCG (08T)Hip ReplacementOxford Hip Score</t>
  </si>
  <si>
    <t>CCG of GP PracticeNHS SWALE CCG (10D)Hip ReplacementOxford Hip Score</t>
  </si>
  <si>
    <t>CCG of GP PracticeNHS SWINDON CCG (12D)Hip ReplacementOxford Hip Score</t>
  </si>
  <si>
    <t>CCG of GP PracticeNHS TAMESIDE AND GLOSSOP CCG (01Y)Hip ReplacementOxford Hip Score</t>
  </si>
  <si>
    <t>CCG of GP PracticeNHS TELFORD AND WREKIN CCG (05X)Hip ReplacementOxford Hip Score</t>
  </si>
  <si>
    <t>CCG of GP PracticeNHS THANET CCG (10E)Hip ReplacementOxford Hip Score</t>
  </si>
  <si>
    <t>CCG of GP PracticeNHS THURROCK CCG (07G)Hip ReplacementOxford Hip Score</t>
  </si>
  <si>
    <t>CCG of GP PracticeNHS TOWER HAMLETS CCG (08V)Hip ReplacementOxford Hip Score</t>
  </si>
  <si>
    <t>CCG of GP PracticeNHS TOWER HAMLETS CCG (08V)Knee ReplacementEQ VAS</t>
  </si>
  <si>
    <t>CCG of GP PracticeNHS THURROCK CCG (07G)Knee ReplacementEQ VAS</t>
  </si>
  <si>
    <t>CCG of GP PracticeNHS THANET CCG (10E)Knee ReplacementEQ VAS</t>
  </si>
  <si>
    <t>CCG of GP PracticeNHS TELFORD AND WREKIN CCG (05X)Knee ReplacementEQ VAS</t>
  </si>
  <si>
    <t>CCG of GP PracticeNHS TAMESIDE AND GLOSSOP CCG (01Y)Knee ReplacementEQ VAS</t>
  </si>
  <si>
    <t>CCG of GP PracticeNHS SWINDON CCG (12D)Knee ReplacementEQ VAS</t>
  </si>
  <si>
    <t>CCG of GP PracticeNHS SWALE CCG (10D)Knee ReplacementEQ VAS</t>
  </si>
  <si>
    <t>CCG of GP PracticeNHS SUTTON CCG (08T)Knee ReplacementEQ VAS</t>
  </si>
  <si>
    <t>CCG of GP PracticeNHS SURREY HEATH CCG (10C)Knee ReplacementEQ VAS</t>
  </si>
  <si>
    <t>CCG of GP PracticeNHS SURREY DOWNS CCG (99H)Knee ReplacementEQ VAS</t>
  </si>
  <si>
    <t>CCG of GP PracticeNHS SUNDERLAND CCG (00P)Knee ReplacementEQ VAS</t>
  </si>
  <si>
    <t>CCG of GP PracticeNHS STOKE ON TRENT CCG (05W)Knee ReplacementEQ VAS</t>
  </si>
  <si>
    <t>CCG of GP PracticeNHS STOCKPORT CCG (01W)Knee ReplacementEQ VAS</t>
  </si>
  <si>
    <t>CCG of GP PracticeNHS STAFFORD AND SURROUNDS CCG (05V)Knee ReplacementEQ VAS</t>
  </si>
  <si>
    <t>CCG of GP PracticeNHS ST HELENS CCG (01X)Knee ReplacementEQ VAS</t>
  </si>
  <si>
    <t>CCG of GP PracticeNHS SOUTHWARK CCG (08Q)Knee ReplacementEQ VAS</t>
  </si>
  <si>
    <t>CCG of GP PracticeNHS SOUTHPORT AND FORMBY CCG (01V)Knee ReplacementEQ VAS</t>
  </si>
  <si>
    <t>CCG of GP PracticeNHS SOUTHERN DERBYSHIRE CCG (04R)Knee ReplacementEQ VAS</t>
  </si>
  <si>
    <t>CCG of GP PracticeNHS SOUTHEND CCG (99G)Knee ReplacementEQ VAS</t>
  </si>
  <si>
    <t>CCG of GP PracticeNHS SOUTHAMPTON CCG (10X)Knee ReplacementEQ VAS</t>
  </si>
  <si>
    <t>CCG of GP PracticeNHS SOUTH WORCESTERSHIRE CCG (05T)Knee ReplacementEQ VAS</t>
  </si>
  <si>
    <t>CCG of GP PracticeNHS SOUTH WEST LINCOLNSHIRE CCG (04Q)Knee ReplacementEQ VAS</t>
  </si>
  <si>
    <t>CCG of GP PracticeNHS SOUTH WARWICKSHIRE CCG (05R)Knee ReplacementEQ VAS</t>
  </si>
  <si>
    <t>CCG of GP PracticeNHS SOUTH TEES CCG (00M)Knee ReplacementEQ VAS</t>
  </si>
  <si>
    <t>CCG of GP PracticeNHS SOUTH SEFTON CCG (01T)Knee ReplacementEQ VAS</t>
  </si>
  <si>
    <t>CCG of GP PracticeNHS SOUTH READING CCG (10W)Knee ReplacementEQ VAS</t>
  </si>
  <si>
    <t>CCG of GP PracticeNHS SOUTH NORFOLK CCG (06Y)Knee ReplacementEQ VAS</t>
  </si>
  <si>
    <t>CCG of GP PracticeNHS HARROGATE AND RURAL DISTRICT CCG (03E)Knee ReplacementEQ VAS</t>
  </si>
  <si>
    <t>CCG of GP PracticeNHS SOUTH MANCHESTER CCG (01N)Knee ReplacementEQ VAS</t>
  </si>
  <si>
    <t>CCG of GP PracticeNHS HARINGEY CCG (08D)Knee ReplacementEQ VAS</t>
  </si>
  <si>
    <t>CCG of GP PracticeNHS HARDWICK CCG (03Y)Knee ReplacementEQ VAS</t>
  </si>
  <si>
    <t>CCG of GP PracticeNHS HAMMERSMITH AND FULHAM CCG (08C)Knee ReplacementEQ VAS</t>
  </si>
  <si>
    <t>CCG of GP PracticeNHS HAMBLETON, RICHMONDSHIRE AND WHITBY CCG (03D)Knee ReplacementEQ VAS</t>
  </si>
  <si>
    <t>CCG of GP PracticeNHS HALTON CCG (01F)Knee ReplacementEQ VAS</t>
  </si>
  <si>
    <t>CCG of GP PracticeNHS GUILDFORD AND WAVERLEY CCG (09N)Knee ReplacementEQ VAS</t>
  </si>
  <si>
    <t>CCG of GP PracticeNHS GREATER HUDDERSFIELD CCG (03A)Knee ReplacementEQ VAS</t>
  </si>
  <si>
    <t>CCG of GP PracticeNHS GREAT YARMOUTH AND WAVENEY CCG (06M)Knee ReplacementEQ VAS</t>
  </si>
  <si>
    <t>CCG of GP PracticeNHS SOUTH TYNESIDE CCG (00N)Knee ReplacementEQ VAS</t>
  </si>
  <si>
    <t>CCG of GP PracticeNHS GREENWICH CCG (08A)Knee ReplacementEQ VAS</t>
  </si>
  <si>
    <t>CCG of GP PracticeNHS GLOUCESTERSHIRE CCG (11M)Knee ReplacementEQ VAS</t>
  </si>
  <si>
    <t>CCG of GP PracticeNHS FYLDE &amp; WYRE CCG (02M)Knee ReplacementEQ VAS</t>
  </si>
  <si>
    <t>CCG of GP PracticeNHS FAREHAM AND GOSPORT CCG (10K)Knee ReplacementEQ VAS</t>
  </si>
  <si>
    <t>CCG of GP PracticeNHS EREWASH CCG (03X)Knee ReplacementEQ VAS</t>
  </si>
  <si>
    <t>CCG of GP PracticeNHS ENFIELD CCG (07X)Knee ReplacementEQ VAS</t>
  </si>
  <si>
    <t>CCG of GP PracticeNHS EASTERN CHESHIRE CCG (01C)Knee ReplacementEQ VAS</t>
  </si>
  <si>
    <t>CCG of GP PracticeNHS EASTBOURNE, HAILSHAM AND SEAFORD CCG (09F)Knee ReplacementEQ VAS</t>
  </si>
  <si>
    <t>CCG of GP PracticeNHS EAST SURREY CCG (09L)Knee ReplacementEQ VAS</t>
  </si>
  <si>
    <t>CCG of GP PracticeNHS EAST STAFFORDSHIRE CCG (05D)Knee ReplacementEQ VAS</t>
  </si>
  <si>
    <t>CCG of GP PracticeNHS EAST RIDING OF YORKSHIRE CCG (02Y)Knee ReplacementEQ VAS</t>
  </si>
  <si>
    <t>CCG of GP PracticeNHS EAST LEICESTERSHIRE AND RUTLAND CCG (03W)Knee ReplacementEQ VAS</t>
  </si>
  <si>
    <t>CCG of GP PracticeNHS EAST LANCASHIRE CCG (01A)Knee ReplacementEQ VAS</t>
  </si>
  <si>
    <t>CCG of GP PracticeNHS EAST AND NORTH HERTFORDSHIRE CCG (06K)Knee ReplacementEQ VAS</t>
  </si>
  <si>
    <t>CCG of GP PracticeNHS EALING CCG (07W)Knee ReplacementEQ VAS</t>
  </si>
  <si>
    <t>CCG of GP PracticeNHS DURHAM DALES, EASINGTON AND SEDGEFIELD CCG (00D)Knee ReplacementEQ VAS</t>
  </si>
  <si>
    <t>CCG of GP PracticeNHS DUDLEY CCG (05C)Knee ReplacementEQ VAS</t>
  </si>
  <si>
    <t>CCG of GP PracticeNHS DORSET CCG (11J)Knee ReplacementEQ VAS</t>
  </si>
  <si>
    <t>CCG of GP PracticeNHS CENTRAL MANCHESTER CCG (00W)Knee ReplacementEQ VAS</t>
  </si>
  <si>
    <t>CCG of GP PracticeNHS SOUTH LINCOLNSHIRE CCG (99D)Knee ReplacementEQ VAS</t>
  </si>
  <si>
    <t>CCG of GP PracticeNHS SOUTH KENT COAST CCG (10A)Knee ReplacementEQ VAS</t>
  </si>
  <si>
    <t>CCG of GP PracticeNHS SOUTH GLOUCESTERSHIRE CCG (12A)Knee ReplacementEQ VAS</t>
  </si>
  <si>
    <t>CCG of GP PracticeNHS SOUTH EASTERN HAMPSHIRE CCG (10V)Knee ReplacementEQ VAS</t>
  </si>
  <si>
    <t>CCG of GP PracticeNHS SOUTH EAST STAFFORDSHIRE AND SEISDON PENINSULA CCG (05Q)Knee ReplacementEQ VAS</t>
  </si>
  <si>
    <t>CCG of GP PracticeNHS SOUTH DEVON AND TORBAY CCG (99Q)Knee ReplacementEQ VAS</t>
  </si>
  <si>
    <t>CCG of GP PracticeNHS SOUTH CHESHIRE CCG (01R)Knee ReplacementEQ VAS</t>
  </si>
  <si>
    <t>CCG of GP PracticeNHS SOMERSET CCG (11X)Knee ReplacementEQ VAS</t>
  </si>
  <si>
    <t>CCG of GP PracticeNHS SOLIHULL CCG (05P)Knee ReplacementEQ VAS</t>
  </si>
  <si>
    <t>CCG of GP PracticeNHS SLOUGH CCG (10T)Knee ReplacementEQ VAS</t>
  </si>
  <si>
    <t>CCG of GP PracticeNHS SHROPSHIRE CCG (05N)Knee ReplacementEQ VAS</t>
  </si>
  <si>
    <t>CCG of GP PracticeNHS SHEFFIELD CCG (03N)Knee ReplacementEQ VAS</t>
  </si>
  <si>
    <t>CCG of GP PracticeNHS SCARBOROUGH AND RYEDALE CCG (03M)Knee ReplacementEQ VAS</t>
  </si>
  <si>
    <t>CCG of GP PracticeNHS SANDWELL AND WEST BIRMINGHAM CCG (05L)Knee ReplacementEQ VAS</t>
  </si>
  <si>
    <t>CCG of GP PracticeNHS SALFORD CCG (01G)Knee ReplacementEQ VAS</t>
  </si>
  <si>
    <t>CCG of GP PracticeNHS RUSHCLIFFE CCG (04N)Knee ReplacementEQ VAS</t>
  </si>
  <si>
    <t>CCG of GP PracticeNHS ROTHERHAM CCG (03L)Knee ReplacementEQ VAS</t>
  </si>
  <si>
    <t>CCG of GP PracticeNHS RICHMOND CCG (08P)Knee ReplacementEQ VAS</t>
  </si>
  <si>
    <t>CCG of GP PracticeNHS REDDITCH AND BROMSGROVE CCG (05J)Knee ReplacementEQ VAS</t>
  </si>
  <si>
    <t>CCG of GP PracticeNHS REDBRIDGE CCG (08N)Knee ReplacementEQ VAS</t>
  </si>
  <si>
    <t>CCG of GP PracticeNHS PORTSMOUTH CCG (10R)Knee ReplacementEQ VAS</t>
  </si>
  <si>
    <t>CCG of GP PracticeNHS OXFORDSHIRE CCG (10Q)Knee ReplacementEQ VAS</t>
  </si>
  <si>
    <t>CCG of GP PracticeNHS OLDHAM CCG (00Y)Knee ReplacementEQ VAS</t>
  </si>
  <si>
    <t>CCG of GP PracticeNHS NOTTINGHAM WEST CCG (04M)Knee ReplacementEQ VAS</t>
  </si>
  <si>
    <t>CCG of GP PracticeNHS NOTTINGHAM NORTH AND EAST CCG (04L)Knee ReplacementEQ VAS</t>
  </si>
  <si>
    <t>CCG of GP PracticeNHS NOTTINGHAM CITY CCG (04K)Knee ReplacementEQ VAS</t>
  </si>
  <si>
    <t>CCG of GP PracticeNHS NORWICH CCG (06W)Knee ReplacementEQ VAS</t>
  </si>
  <si>
    <t>CCG of GP PracticeNHS DONCASTER CCG (02X)Knee ReplacementEQ VAS</t>
  </si>
  <si>
    <t>CCG of GP PracticeNHS DARTFORD, GRAVESHAM AND SWANLEY CCG (09J)Knee ReplacementEQ VAS</t>
  </si>
  <si>
    <t>CCG of GP PracticeNHS DARLINGTON CCG (00C)Knee ReplacementEQ VAS</t>
  </si>
  <si>
    <t>CCG of GP PracticeNHS CUMBRIA CCG (01H)Knee ReplacementEQ VAS</t>
  </si>
  <si>
    <t>CCG of GP PracticeNHS CROYDON CCG (07V)Knee ReplacementEQ VAS</t>
  </si>
  <si>
    <t>CCG of GP PracticeNHS CRAWLEY CCG (09H)Knee ReplacementEQ VAS</t>
  </si>
  <si>
    <t>CCG of GP PracticeNHS COVENTRY AND RUGBY CCG (05A)Knee ReplacementEQ VAS</t>
  </si>
  <si>
    <t>CCG of GP PracticeNHS CORBY CCG (03V)Knee ReplacementEQ VAS</t>
  </si>
  <si>
    <t>CCG of GP PracticeNHS COASTAL WEST SUSSEX CCG (09G)Knee ReplacementEQ VAS</t>
  </si>
  <si>
    <t>CCG of GP PracticeNHS CITY AND HACKNEY CCG (07T)Knee ReplacementEQ VAS</t>
  </si>
  <si>
    <t>CCG of GP PracticeNHS CHORLEY AND SOUTH RIBBLE CCG (00X)Knee ReplacementEQ VAS</t>
  </si>
  <si>
    <t>CCG of GP PracticeNHS CHILTERN CCG (10H)Knee ReplacementEQ VAS</t>
  </si>
  <si>
    <t>CCG of GP PracticeNHS CENTRAL LONDON (WESTMINSTER) CCG (09A)Knee ReplacementEQ VAS</t>
  </si>
  <si>
    <t>CCG of GP PracticeNHS CASTLE POINT AND ROCHFORD CCG (99F)Knee ReplacementEQ VAS</t>
  </si>
  <si>
    <t>CCG of GP PracticeNHS CANTERBURY AND COASTAL CCG (09E)Knee ReplacementEQ VAS</t>
  </si>
  <si>
    <t>CCG of GP PracticeNHS CANNOCK CHASE CCG (04Y)Knee ReplacementEQ VAS</t>
  </si>
  <si>
    <t>CCG of GP PracticeNHS CAMDEN CCG (07R)Knee ReplacementEQ VAS</t>
  </si>
  <si>
    <t>CCG of GP PracticeNHS CAMBRIDGESHIRE AND PETERBOROUGH CCG (06H)Knee ReplacementEQ VAS</t>
  </si>
  <si>
    <t>CCG of GP PracticeNHS CALDERDALE CCG (02T)Knee ReplacementEQ VAS</t>
  </si>
  <si>
    <t>CCG of GP PracticeNHS BURY CCG (00V)Knee ReplacementEQ VAS</t>
  </si>
  <si>
    <t>CCG of GP PracticeNHS BROMLEY CCG (07Q)Knee ReplacementEQ VAS</t>
  </si>
  <si>
    <t>CCG of GP PracticeNHS BRISTOL CCG (11H)Knee ReplacementEQ VAS</t>
  </si>
  <si>
    <t>CCG of GP PracticeNHS BRIGHTON AND HOVE CCG (09D)Knee ReplacementEQ VAS</t>
  </si>
  <si>
    <t>CCG of GP PracticeNHS BRENT CCG (07P)Knee ReplacementEQ VAS</t>
  </si>
  <si>
    <t>CCG of GP PracticeNHS BRADFORD DISTRICTS CCG (02R)Knee ReplacementEQ VAS</t>
  </si>
  <si>
    <t>CCG of GP PracticeNHS BRADFORD CITY CCG (02W)Knee ReplacementEQ VAS</t>
  </si>
  <si>
    <t>CCG of GP PracticeNHS BRACKNELL AND ASCOT CCG (10G)Knee ReplacementEQ VAS</t>
  </si>
  <si>
    <t>CCG of GP PracticeNHS BOLTON CCG (00T)Knee ReplacementEQ VAS</t>
  </si>
  <si>
    <t>CCG of GP PracticeNHS NORTHUMBERLAND CCG (00L)Knee ReplacementEQ VAS</t>
  </si>
  <si>
    <t>CCG of GP PracticeNHS NORTHERN, EASTERN AND WESTERN DEVON CCG (99P)Knee ReplacementEQ VAS</t>
  </si>
  <si>
    <t>CCG of GP PracticeNHS NORTH WEST SURREY CCG (09Y)Knee ReplacementEQ VAS</t>
  </si>
  <si>
    <t>CCG of GP PracticeNHS NORTH TYNESIDE CCG (99C)Knee ReplacementEQ VAS</t>
  </si>
  <si>
    <t>CCG of GP PracticeNHS NORTH STAFFORDSHIRE CCG (05G)Knee ReplacementEQ VAS</t>
  </si>
  <si>
    <t>CCG of GP PracticeNHS NORTH SOMERSET CCG (11T)Knee ReplacementEQ VAS</t>
  </si>
  <si>
    <t>CCG of GP PracticeNHS NORTH NORFOLK CCG (06V)Knee ReplacementEQ VAS</t>
  </si>
  <si>
    <t>CCG of GP PracticeNHS NORTH MANCHESTER CCG (01M)Knee ReplacementEQ VAS</t>
  </si>
  <si>
    <t>CCG of GP PracticeNHS NORTH LINCOLNSHIRE CCG (03K)Knee ReplacementEQ VAS</t>
  </si>
  <si>
    <t>CCG of GP PracticeNHS NORTH KIRKLEES CCG (03J)Knee ReplacementEQ VAS</t>
  </si>
  <si>
    <t>CCG of GP PracticeNHS NORTH HAMPSHIRE CCG (10J)Knee ReplacementEQ VAS</t>
  </si>
  <si>
    <t>CCG of GP PracticeNHS NORTH EAST LINCOLNSHIRE CCG (03H)Knee ReplacementEQ VAS</t>
  </si>
  <si>
    <t>CCG of GP PracticeNHS NORTH EAST HAMPSHIRE AND FARNHAM CCG (99M)Knee ReplacementEQ VAS</t>
  </si>
  <si>
    <t>CCG of GP PracticeNHS NORTH EAST ESSEX CCG (06T)Knee ReplacementEQ VAS</t>
  </si>
  <si>
    <t>CCG of GP PracticeNHS NORTH DURHAM CCG (00J)Knee ReplacementEQ VAS</t>
  </si>
  <si>
    <t>CCG of GP PracticeNHS NORTH DERBYSHIRE CCG (04J)Knee ReplacementEQ VAS</t>
  </si>
  <si>
    <t>CCG of GP PracticeNHS NORTH &amp; WEST READING CCG (10N)Knee ReplacementEQ VAS</t>
  </si>
  <si>
    <t>CCG of GP PracticeNHS NEWHAM CCG (08M)Knee ReplacementEQ VAS</t>
  </si>
  <si>
    <t>CCG of GP PracticeNHS NEWBURY AND DISTRICT CCG (10M)Knee ReplacementEQ VAS</t>
  </si>
  <si>
    <t>CCG of GP PracticeNHS NEWARK &amp; SHERWOOD CCG (04H)Knee ReplacementEQ VAS</t>
  </si>
  <si>
    <t>CCG of GP PracticeNHS NENE CCG (04G)Knee ReplacementEQ VAS</t>
  </si>
  <si>
    <t>CCG of GP PracticeNHS MILTON KEYNES CCG (04F)Knee ReplacementEQ VAS</t>
  </si>
  <si>
    <t>CCG of GP PracticeNHS MID ESSEX CCG (06Q)Knee ReplacementEQ VAS</t>
  </si>
  <si>
    <t>CCG of GP PracticeNHS MERTON CCG (08R)Knee ReplacementEQ VAS</t>
  </si>
  <si>
    <t>CCG of GP PracticeNHS MEDWAY CCG (09W)Knee ReplacementEQ VAS</t>
  </si>
  <si>
    <t>CCG of GP PracticeNHS MANSFIELD AND ASHFIELD CCG (04E)Knee ReplacementEQ VAS</t>
  </si>
  <si>
    <t>CCG of GP PracticeNHS BLACKPOOL CCG (00R)Knee ReplacementEQ VAS</t>
  </si>
  <si>
    <t>CCG of GP PracticeNHS BLACKBURN WITH DARWEN CCG (00Q)Knee ReplacementEQ VAS</t>
  </si>
  <si>
    <t>CCG of GP PracticeNHS BIRMINGHAM SOUTH AND CENTRAL CCG (04X)Knee ReplacementEQ VAS</t>
  </si>
  <si>
    <t>CCG of GP PracticeNHS BIRMINGHAM CROSSCITY CCG (13P)Knee ReplacementEQ VAS</t>
  </si>
  <si>
    <t>CCG of GP PracticeNHS BEXLEY CCG (07N)Knee ReplacementEQ VAS</t>
  </si>
  <si>
    <t>CCG of GP PracticeNHS BEDFORDSHIRE CCG (06F)Knee ReplacementEQ VAS</t>
  </si>
  <si>
    <t>CCG of GP PracticeNHS BATH AND NORTH EAST SOMERSET CCG (11E)Knee ReplacementEQ VAS</t>
  </si>
  <si>
    <t>CCG of GP PracticeNHS BASSETLAW CCG (02Q)Knee ReplacementEQ VAS</t>
  </si>
  <si>
    <t>CCG of GP PracticeNHS BASILDON AND BRENTWOOD CCG (99E)Knee ReplacementEQ VAS</t>
  </si>
  <si>
    <t>CCG of GP PracticeNHS BARNSLEY CCG (02P)Knee ReplacementEQ VAS</t>
  </si>
  <si>
    <t>CCG of GP PracticeNHS BARNET CCG (07M)Knee ReplacementEQ VAS</t>
  </si>
  <si>
    <t>CCG of GP PracticeNHS BARKING AND DAGENHAM CCG (07L)Knee ReplacementEQ VAS</t>
  </si>
  <si>
    <t>CCG of GP PracticeNHS AYLESBURY VALE CCG (10Y)Knee ReplacementEQ VAS</t>
  </si>
  <si>
    <t>CCG of GP PracticeNHS ASHFORD CCG (09C)Knee ReplacementEQ VAS</t>
  </si>
  <si>
    <t>CCG of GP PracticeNHS AIREDALE, WHARFEDALE AND CRAVEN CCG (02N)Knee ReplacementEQ VAS</t>
  </si>
  <si>
    <t>CCG of GP PracticeNATIONAL COMMISSIONING HUB 1 (13Q)Knee ReplacementEQ VAS</t>
  </si>
  <si>
    <t>CCG of GP PracticeNHS LEEDS WEST CCG (03C)Knee ReplacementEQ VAS</t>
  </si>
  <si>
    <t>CCG of GP PracticeNHS LEWISHAM CCG (08L)Knee ReplacementEQ VAS</t>
  </si>
  <si>
    <t>CCG of GP PracticeNHS LEICESTER CITY CCG (04C)Knee ReplacementEQ VAS</t>
  </si>
  <si>
    <t>CCG of GP PracticeNHS LEEDS NORTH CCG (02V)Knee ReplacementEQ VAS</t>
  </si>
  <si>
    <t>CCG of GP PracticeNHS LANCASHIRE NORTH CCG (01K)Knee ReplacementEQ VAS</t>
  </si>
  <si>
    <t>CCG of GP PracticeNHS LAMBETH CCG (08K)Knee ReplacementEQ VAS</t>
  </si>
  <si>
    <t>CCG of GP PracticeNHS KNOWSLEY CCG (01J)Knee ReplacementEQ VAS</t>
  </si>
  <si>
    <t>CCG of GP PracticeNHS KINGSTON CCG (08J)Knee ReplacementEQ VAS</t>
  </si>
  <si>
    <t>CCG of GP PracticeNHS KERNOW CCG (11N)Knee ReplacementEQ VAS</t>
  </si>
  <si>
    <t>CCG of GP PracticeNHS ISLINGTON CCG (08H)Knee ReplacementEQ VAS</t>
  </si>
  <si>
    <t>CCG of GP PracticeNHS ISLE OF WIGHT CCG (10L)Knee ReplacementEQ VAS</t>
  </si>
  <si>
    <t>CCG of GP PracticeNHS IPSWICH AND EAST SUFFOLK CCG (06L)Knee ReplacementEQ VAS</t>
  </si>
  <si>
    <t>CCG of GP PracticeNHS HULL CCG (03F)Knee ReplacementEQ VAS</t>
  </si>
  <si>
    <t>CCG of GP PracticeNHS HOUNSLOW CCG (07Y)Knee ReplacementEQ VAS</t>
  </si>
  <si>
    <t>CCG of GP PracticeNHS HORSHAM AND MID SUSSEX CCG (09X)Knee ReplacementEQ VAS</t>
  </si>
  <si>
    <t>CCG of GP PracticeNHS HILLINGDON CCG (08G)Knee ReplacementEQ VAS</t>
  </si>
  <si>
    <t>CCG of GP PracticeNHS HIGH WEALD LEWES HAVENS CCG (99K)Knee ReplacementEQ VAS</t>
  </si>
  <si>
    <t>CCG of GP PracticeNHS HEYWOOD, MIDDLETON AND ROCHDALE CCG (01D)Knee ReplacementEQ VAS</t>
  </si>
  <si>
    <t>CCG of GP PracticeNHS HERTS VALLEYS CCG (06N)Knee ReplacementEQ VAS</t>
  </si>
  <si>
    <t>CCG of GP PracticeNHS HEREFORDSHIRE CCG (05F)Knee ReplacementEQ VAS</t>
  </si>
  <si>
    <t>CCG of GP PracticeNHS HAVERING CCG (08F)Knee ReplacementEQ VAS</t>
  </si>
  <si>
    <t>CCG of GP PracticeNHS HASTINGS AND ROTHER CCG (09P)Knee ReplacementEQ VAS</t>
  </si>
  <si>
    <t>CCG of GP PracticeNHS HARTLEPOOL AND STOCKTON-ON-TEES CCG (00K)Knee ReplacementEQ VAS</t>
  </si>
  <si>
    <t>CCG of GP PracticeNHS HARROW CCG (08E)Knee ReplacementEQ VAS</t>
  </si>
  <si>
    <t>CCG of GP PracticeNHS GREATER PRESTON CCG (01E)Knee ReplacementEQ VAS</t>
  </si>
  <si>
    <t>CCG of GP PracticeNHS WYRE FOREST CCG (06D)Knee ReplacementEQ VAS</t>
  </si>
  <si>
    <t>CCG of GP PracticeNHS WOLVERHAMPTON CCG (06A)Knee ReplacementEQ VAS</t>
  </si>
  <si>
    <t>CCG of GP PracticeNHS WOKINGHAM CCG (11D)Knee ReplacementEQ VAS</t>
  </si>
  <si>
    <t>CCG of GP PracticeNHS WIRRAL CCG (12F)Knee ReplacementEQ VAS</t>
  </si>
  <si>
    <t>CCG of GP PracticeNHS WINDSOR, ASCOT AND MAIDENHEAD CCG (11C)Knee ReplacementEQ VAS</t>
  </si>
  <si>
    <t>CCG of GP PracticeNHS WILTSHIRE CCG (99N)Knee ReplacementEQ VAS</t>
  </si>
  <si>
    <t>CCG of GP PracticeNHS WIGAN BOROUGH CCG (02H)Knee ReplacementEQ VAS</t>
  </si>
  <si>
    <t>CCG of GP PracticeNHS WEST SUFFOLK CCG (07K)Knee ReplacementEQ VAS</t>
  </si>
  <si>
    <t>CCG of GP PracticeNHS WEST NORFOLK CCG (07J)Knee ReplacementEQ VAS</t>
  </si>
  <si>
    <t>CCG of GP PracticeNHS WEST LONDON CCG (08Y)Knee ReplacementEQ VAS</t>
  </si>
  <si>
    <t>CCG of GP PracticeNHS WEST LEICESTERSHIRE CCG (04V)Knee ReplacementEQ VAS</t>
  </si>
  <si>
    <t>CCG of GP PracticeNHS WEST LANCASHIRE CCG (02G)Knee ReplacementEQ VAS</t>
  </si>
  <si>
    <t>CCG of GP PracticeNHS WEST KENT CCG (99J)Knee ReplacementEQ VAS</t>
  </si>
  <si>
    <t>CCG of GP PracticeNHS WEST HAMPSHIRE CCG (11A)Knee ReplacementEQ VAS</t>
  </si>
  <si>
    <t>CCG of GP PracticeNHS LINCOLNSHIRE EAST CCG (03T)Knee ReplacementEQ VAS</t>
  </si>
  <si>
    <t>CCG of GP PracticeNHS WARRINGTON CCG (02E)Knee ReplacementEQ VAS</t>
  </si>
  <si>
    <t>CCG of GP PracticeNHS WARWICKSHIRE NORTH CCG (05H)Knee ReplacementEQ VAS</t>
  </si>
  <si>
    <t>CCG of GP PracticeNHS WANDSWORTH CCG (08X)Knee ReplacementEQ VAS</t>
  </si>
  <si>
    <t>CCG of GP PracticeNHS WALTHAM FOREST CCG (08W)Knee ReplacementEQ VAS</t>
  </si>
  <si>
    <t>CCG of GP PracticeNHS WALSALL CCG (05Y)Knee ReplacementEQ VAS</t>
  </si>
  <si>
    <t>CCG of GP PracticeNHS WAKEFIELD CCG (03R)Knee ReplacementEQ VAS</t>
  </si>
  <si>
    <t>CCG of GP PracticeNHS VALE ROYAL CCG (02D)Knee ReplacementEQ VAS</t>
  </si>
  <si>
    <t>CCG of GP PracticeNHS VALE OF YORK CCG (03Q)Knee ReplacementEQ VAS</t>
  </si>
  <si>
    <t>CCG of GP PracticeNHS TRAFFORD CCG (02A)Knee ReplacementEQ VAS</t>
  </si>
  <si>
    <t>CCG of GP PracticeNHS LUTON CCG (06P)Knee ReplacementEQ VAS</t>
  </si>
  <si>
    <t>CCG of GP PracticeNHS LIVERPOOL CCG (99A)Knee ReplacementEQ VAS</t>
  </si>
  <si>
    <t>CCG of GP PracticeNHS LINCOLNSHIRE WEST CCG (04D)Knee ReplacementEQ VAS</t>
  </si>
  <si>
    <t>CCG of GP PracticeNHS WEST ESSEX CCG (07H)Knee ReplacementEQ VAS</t>
  </si>
  <si>
    <t>CCG of GP PracticeNHS WEST CHESHIRE CCG (02F)Knee ReplacementEQ VAS</t>
  </si>
  <si>
    <t>CCG of GP PracticeNHS LEEDS SOUTH AND EAST CCG (03G)Knee ReplacementEQ VAS</t>
  </si>
  <si>
    <t>CCG of GP PracticeNHS LEEDS SOUTH AND EAST CCG (03G)Knee ReplacementEQ-5D Index</t>
  </si>
  <si>
    <t>CCG of GP PracticeNHS WEST CHESHIRE CCG (02F)Knee ReplacementEQ-5D Index</t>
  </si>
  <si>
    <t>CCG of GP PracticeNHS WEST ESSEX CCG (07H)Knee ReplacementEQ-5D Index</t>
  </si>
  <si>
    <t>CCG of GP PracticeNHS LINCOLNSHIRE WEST CCG (04D)Knee ReplacementEQ-5D Index</t>
  </si>
  <si>
    <t>CCG of GP PracticeNHS LIVERPOOL CCG (99A)Knee ReplacementEQ-5D Index</t>
  </si>
  <si>
    <t>CCG of GP PracticeNHS LUTON CCG (06P)Knee ReplacementEQ-5D Index</t>
  </si>
  <si>
    <t>CCG of GP PracticeNHS TRAFFORD CCG (02A)Knee ReplacementEQ-5D Index</t>
  </si>
  <si>
    <t>CCG of GP PracticeNHS VALE OF YORK CCG (03Q)Knee ReplacementEQ-5D Index</t>
  </si>
  <si>
    <t>CCG of GP PracticeNHS VALE ROYAL CCG (02D)Knee ReplacementEQ-5D Index</t>
  </si>
  <si>
    <t>CCG of GP PracticeNHS WAKEFIELD CCG (03R)Knee ReplacementEQ-5D Index</t>
  </si>
  <si>
    <t>CCG of GP PracticeNHS WALSALL CCG (05Y)Knee ReplacementEQ-5D Index</t>
  </si>
  <si>
    <t>CCG of GP PracticeNHS WALTHAM FOREST CCG (08W)Knee ReplacementEQ-5D Index</t>
  </si>
  <si>
    <t>CCG of GP PracticeNHS WANDSWORTH CCG (08X)Knee ReplacementEQ-5D Index</t>
  </si>
  <si>
    <t>CCG of GP PracticeNHS WARWICKSHIRE NORTH CCG (05H)Knee ReplacementEQ-5D Index</t>
  </si>
  <si>
    <t>CCG of GP PracticeNHS WARRINGTON CCG (02E)Knee ReplacementEQ-5D Index</t>
  </si>
  <si>
    <t>CCG of GP PracticeNHS LINCOLNSHIRE EAST CCG (03T)Knee ReplacementEQ-5D Index</t>
  </si>
  <si>
    <t>CCG of GP PracticeNHS WEST HAMPSHIRE CCG (11A)Knee ReplacementEQ-5D Index</t>
  </si>
  <si>
    <t>CCG of GP PracticeNHS WEST KENT CCG (99J)Knee ReplacementEQ-5D Index</t>
  </si>
  <si>
    <t>CCG of GP PracticeNHS WEST LANCASHIRE CCG (02G)Knee ReplacementEQ-5D Index</t>
  </si>
  <si>
    <t>CCG of GP PracticeNHS WEST LEICESTERSHIRE CCG (04V)Knee ReplacementEQ-5D Index</t>
  </si>
  <si>
    <t>CCG of GP PracticeNHS WEST LONDON CCG (08Y)Knee ReplacementEQ-5D Index</t>
  </si>
  <si>
    <t>CCG of GP PracticeNHS WEST NORFOLK CCG (07J)Knee ReplacementEQ-5D Index</t>
  </si>
  <si>
    <t>CCG of GP PracticeNHS WEST SUFFOLK CCG (07K)Knee ReplacementEQ-5D Index</t>
  </si>
  <si>
    <t>CCG of GP PracticeNHS WIGAN BOROUGH CCG (02H)Knee ReplacementEQ-5D Index</t>
  </si>
  <si>
    <t>CCG of GP PracticeNHS WILTSHIRE CCG (99N)Knee ReplacementEQ-5D Index</t>
  </si>
  <si>
    <t>CCG of GP PracticeNHS WINDSOR, ASCOT AND MAIDENHEAD CCG (11C)Knee ReplacementEQ-5D Index</t>
  </si>
  <si>
    <t>CCG of GP PracticeNHS WIRRAL CCG (12F)Knee ReplacementEQ-5D Index</t>
  </si>
  <si>
    <t>CCG of GP PracticeNHS WOKINGHAM CCG (11D)Knee ReplacementEQ-5D Index</t>
  </si>
  <si>
    <t>CCG of GP PracticeNHS WOLVERHAMPTON CCG (06A)Knee ReplacementEQ-5D Index</t>
  </si>
  <si>
    <t>CCG of GP PracticeNHS WYRE FOREST CCG (06D)Knee ReplacementEQ-5D Index</t>
  </si>
  <si>
    <t>CCG of GP PracticeNHS GREATER PRESTON CCG (01E)Knee ReplacementEQ-5D Index</t>
  </si>
  <si>
    <t>CCG of GP PracticeNHS GREATER HUDDERSFIELD CCG (03A)Knee ReplacementEQ-5D Index</t>
  </si>
  <si>
    <t>CCG of GP PracticeNHS HARROW CCG (08E)Knee ReplacementEQ-5D Index</t>
  </si>
  <si>
    <t>CCG of GP PracticeNHS HARTLEPOOL AND STOCKTON-ON-TEES CCG (00K)Knee ReplacementEQ-5D Index</t>
  </si>
  <si>
    <t>CCG of GP PracticeNHS HASTINGS AND ROTHER CCG (09P)Knee ReplacementEQ-5D Index</t>
  </si>
  <si>
    <t>CCG of GP PracticeNHS HAVERING CCG (08F)Knee ReplacementEQ-5D Index</t>
  </si>
  <si>
    <t>CCG of GP PracticeNHS HEREFORDSHIRE CCG (05F)Knee ReplacementEQ-5D Index</t>
  </si>
  <si>
    <t>CCG of GP PracticeNHS HERTS VALLEYS CCG (06N)Knee ReplacementEQ-5D Index</t>
  </si>
  <si>
    <t>CCG of GP PracticeNHS HEYWOOD, MIDDLETON AND ROCHDALE CCG (01D)Knee ReplacementEQ-5D Index</t>
  </si>
  <si>
    <t>CCG of GP PracticeNHS HIGH WEALD LEWES HAVENS CCG (99K)Knee ReplacementEQ-5D Index</t>
  </si>
  <si>
    <t>CCG of GP PracticeNHS HILLINGDON CCG (08G)Knee ReplacementEQ-5D Index</t>
  </si>
  <si>
    <t>CCG of GP PracticeNHS HORSHAM AND MID SUSSEX CCG (09X)Knee ReplacementEQ-5D Index</t>
  </si>
  <si>
    <t>CCG of GP PracticeNHS HOUNSLOW CCG (07Y)Knee ReplacementEQ-5D Index</t>
  </si>
  <si>
    <t>CCG of GP PracticeNHS HULL CCG (03F)Knee ReplacementEQ-5D Index</t>
  </si>
  <si>
    <t>CCG of GP PracticeNHS IPSWICH AND EAST SUFFOLK CCG (06L)Knee ReplacementEQ-5D Index</t>
  </si>
  <si>
    <t>CCG of GP PracticeNHS ISLE OF WIGHT CCG (10L)Knee ReplacementEQ-5D Index</t>
  </si>
  <si>
    <t>CCG of GP PracticeNHS ISLINGTON CCG (08H)Knee ReplacementEQ-5D Index</t>
  </si>
  <si>
    <t>CCG of GP PracticeNHS KERNOW CCG (11N)Knee ReplacementEQ-5D Index</t>
  </si>
  <si>
    <t>CCG of GP PracticeNHS KINGSTON CCG (08J)Knee ReplacementEQ-5D Index</t>
  </si>
  <si>
    <t>CCG of GP PracticeNHS KNOWSLEY CCG (01J)Knee ReplacementEQ-5D Index</t>
  </si>
  <si>
    <t>CCG of GP PracticeNHS LAMBETH CCG (08K)Knee ReplacementEQ-5D Index</t>
  </si>
  <si>
    <t>CCG of GP PracticeNHS LANCASHIRE NORTH CCG (01K)Knee ReplacementEQ-5D Index</t>
  </si>
  <si>
    <t>CCG of GP PracticeNHS LEEDS NORTH CCG (02V)Knee ReplacementEQ-5D Index</t>
  </si>
  <si>
    <t>CCG of GP PracticeNHS LEICESTER CITY CCG (04C)Knee ReplacementEQ-5D Index</t>
  </si>
  <si>
    <t>CCG of GP PracticeNHS LEWISHAM CCG (08L)Knee ReplacementEQ-5D Index</t>
  </si>
  <si>
    <t>CCG of GP PracticeNHS LEEDS WEST CCG (03C)Knee ReplacementEQ-5D Index</t>
  </si>
  <si>
    <t>CCG of GP PracticeNATIONAL COMMISSIONING HUB 1 (13Q)Knee ReplacementEQ-5D Index</t>
  </si>
  <si>
    <t>CCG of GP PracticeNHS AIREDALE, WHARFEDALE AND CRAVEN CCG (02N)Knee ReplacementEQ-5D Index</t>
  </si>
  <si>
    <t>CCG of GP PracticeNHS ASHFORD CCG (09C)Knee ReplacementEQ-5D Index</t>
  </si>
  <si>
    <t>CCG of GP PracticeNHS AYLESBURY VALE CCG (10Y)Knee ReplacementEQ-5D Index</t>
  </si>
  <si>
    <t>CCG of GP PracticeNHS BARKING AND DAGENHAM CCG (07L)Knee ReplacementEQ-5D Index</t>
  </si>
  <si>
    <t>CCG of GP PracticeNHS BARNET CCG (07M)Knee ReplacementEQ-5D Index</t>
  </si>
  <si>
    <t>CCG of GP PracticeNHS BARNSLEY CCG (02P)Knee ReplacementEQ-5D Index</t>
  </si>
  <si>
    <t>CCG of GP PracticeNHS BASILDON AND BRENTWOOD CCG (99E)Knee ReplacementEQ-5D Index</t>
  </si>
  <si>
    <t>CCG of GP PracticeNHS BASSETLAW CCG (02Q)Knee ReplacementEQ-5D Index</t>
  </si>
  <si>
    <t>CCG of GP PracticeNHS BATH AND NORTH EAST SOMERSET CCG (11E)Knee ReplacementEQ-5D Index</t>
  </si>
  <si>
    <t>CCG of GP PracticeNHS BEDFORDSHIRE CCG (06F)Knee ReplacementEQ-5D Index</t>
  </si>
  <si>
    <t>CCG of GP PracticeNHS BEXLEY CCG (07N)Knee ReplacementEQ-5D Index</t>
  </si>
  <si>
    <t>CCG of GP PracticeNHS BIRMINGHAM CROSSCITY CCG (13P)Knee ReplacementEQ-5D Index</t>
  </si>
  <si>
    <t>CCG of GP PracticeNHS BIRMINGHAM SOUTH AND CENTRAL CCG (04X)Knee ReplacementEQ-5D Index</t>
  </si>
  <si>
    <t>CCG of GP PracticeNHS BLACKBURN WITH DARWEN CCG (00Q)Knee ReplacementEQ-5D Index</t>
  </si>
  <si>
    <t>CCG of GP PracticeNHS BLACKPOOL CCG (00R)Knee ReplacementEQ-5D Index</t>
  </si>
  <si>
    <t>CCG of GP PracticeNHS MANSFIELD AND ASHFIELD CCG (04E)Knee ReplacementEQ-5D Index</t>
  </si>
  <si>
    <t>CCG of GP PracticeNHS MEDWAY CCG (09W)Knee ReplacementEQ-5D Index</t>
  </si>
  <si>
    <t>CCG of GP PracticeNHS MERTON CCG (08R)Knee ReplacementEQ-5D Index</t>
  </si>
  <si>
    <t>CCG of GP PracticeNHS MID ESSEX CCG (06Q)Knee ReplacementEQ-5D Index</t>
  </si>
  <si>
    <t>CCG of GP PracticeNHS MILTON KEYNES CCG (04F)Knee ReplacementEQ-5D Index</t>
  </si>
  <si>
    <t>CCG of GP PracticeNHS NENE CCG (04G)Knee ReplacementEQ-5D Index</t>
  </si>
  <si>
    <t>CCG of GP PracticeNHS NEWARK &amp; SHERWOOD CCG (04H)Knee ReplacementEQ-5D Index</t>
  </si>
  <si>
    <t>CCG of GP PracticeNHS NEWBURY AND DISTRICT CCG (10M)Knee ReplacementEQ-5D Index</t>
  </si>
  <si>
    <t>CCG of GP PracticeNHS NEWHAM CCG (08M)Knee ReplacementEQ-5D Index</t>
  </si>
  <si>
    <t>CCG of GP PracticeNHS NORTH &amp; WEST READING CCG (10N)Knee ReplacementEQ-5D Index</t>
  </si>
  <si>
    <t>CCG of GP PracticeNHS NORTH DERBYSHIRE CCG (04J)Knee ReplacementEQ-5D Index</t>
  </si>
  <si>
    <t>CCG of GP PracticeNHS NORTH DURHAM CCG (00J)Knee ReplacementEQ-5D Index</t>
  </si>
  <si>
    <t>CCG of GP PracticeNHS NORTH EAST ESSEX CCG (06T)Knee ReplacementEQ-5D Index</t>
  </si>
  <si>
    <t>CCG of GP PracticeNHS NORTH EAST HAMPSHIRE AND FARNHAM CCG (99M)Knee ReplacementEQ-5D Index</t>
  </si>
  <si>
    <t>CCG of GP PracticeNHS NORTH EAST LINCOLNSHIRE CCG (03H)Knee ReplacementEQ-5D Index</t>
  </si>
  <si>
    <t>CCG of GP PracticeNHS NORTH HAMPSHIRE CCG (10J)Knee ReplacementEQ-5D Index</t>
  </si>
  <si>
    <t>CCG of GP PracticeNHS NORTH KIRKLEES CCG (03J)Knee ReplacementEQ-5D Index</t>
  </si>
  <si>
    <t>CCG of GP PracticeNHS NORTH LINCOLNSHIRE CCG (03K)Knee ReplacementEQ-5D Index</t>
  </si>
  <si>
    <t>CCG of GP PracticeNHS NORTH MANCHESTER CCG (01M)Knee ReplacementEQ-5D Index</t>
  </si>
  <si>
    <t>CCG of GP PracticeNHS NORTH NORFOLK CCG (06V)Knee ReplacementEQ-5D Index</t>
  </si>
  <si>
    <t>CCG of GP PracticeNHS NORTH SOMERSET CCG (11T)Knee ReplacementEQ-5D Index</t>
  </si>
  <si>
    <t>CCG of GP PracticeNHS NORTH STAFFORDSHIRE CCG (05G)Knee ReplacementEQ-5D Index</t>
  </si>
  <si>
    <t>CCG of GP PracticeNHS NORTH TYNESIDE CCG (99C)Knee ReplacementEQ-5D Index</t>
  </si>
  <si>
    <t>CCG of GP PracticeNHS NORTH WEST SURREY CCG (09Y)Knee ReplacementEQ-5D Index</t>
  </si>
  <si>
    <t>CCG of GP PracticeNHS NORTHERN, EASTERN AND WESTERN DEVON CCG (99P)Knee ReplacementEQ-5D Index</t>
  </si>
  <si>
    <t>CCG of GP PracticeNHS BOLTON CCG (00T)Knee ReplacementEQ-5D Index</t>
  </si>
  <si>
    <t>CCG of GP PracticeNHS BRACKNELL AND ASCOT CCG (10G)Knee ReplacementEQ-5D Index</t>
  </si>
  <si>
    <t>CCG of GP PracticeNHS BRADFORD CITY CCG (02W)Knee ReplacementEQ-5D Index</t>
  </si>
  <si>
    <t>CCG of GP PracticeNHS BRADFORD DISTRICTS CCG (02R)Knee ReplacementEQ-5D Index</t>
  </si>
  <si>
    <t>CCG of GP PracticeNHS BRENT CCG (07P)Knee ReplacementEQ-5D Index</t>
  </si>
  <si>
    <t>CCG of GP PracticeNHS BRIGHTON AND HOVE CCG (09D)Knee ReplacementEQ-5D Index</t>
  </si>
  <si>
    <t>CCG of GP PracticeNHS BRISTOL CCG (11H)Knee ReplacementEQ-5D Index</t>
  </si>
  <si>
    <t>CCG of GP PracticeNHS BROMLEY CCG (07Q)Knee ReplacementEQ-5D Index</t>
  </si>
  <si>
    <t>CCG of GP PracticeNHS BURY CCG (00V)Knee ReplacementEQ-5D Index</t>
  </si>
  <si>
    <t>CCG of GP PracticeNHS CALDERDALE CCG (02T)Knee ReplacementEQ-5D Index</t>
  </si>
  <si>
    <t>CCG of GP PracticeNHS CAMBRIDGESHIRE AND PETERBOROUGH CCG (06H)Knee ReplacementEQ-5D Index</t>
  </si>
  <si>
    <t>CCG of GP PracticeNHS CAMDEN CCG (07R)Knee ReplacementEQ-5D Index</t>
  </si>
  <si>
    <t>CCG of GP PracticeNHS CANNOCK CHASE CCG (04Y)Knee ReplacementEQ-5D Index</t>
  </si>
  <si>
    <t>CCG of GP PracticeNHS CANTERBURY AND COASTAL CCG (09E)Knee ReplacementEQ-5D Index</t>
  </si>
  <si>
    <t>CCG of GP PracticeNHS CASTLE POINT AND ROCHFORD CCG (99F)Knee ReplacementEQ-5D Index</t>
  </si>
  <si>
    <t>CCG of GP PracticeNHS CENTRAL LONDON (WESTMINSTER) CCG (09A)Knee ReplacementEQ-5D Index</t>
  </si>
  <si>
    <t>CCG of GP PracticeNHS CHILTERN CCG (10H)Knee ReplacementEQ-5D Index</t>
  </si>
  <si>
    <t>CCG of GP PracticeNHS CHORLEY AND SOUTH RIBBLE CCG (00X)Knee ReplacementEQ-5D Index</t>
  </si>
  <si>
    <t>CCG of GP PracticeNHS CITY AND HACKNEY CCG (07T)Knee ReplacementEQ-5D Index</t>
  </si>
  <si>
    <t>CCG of GP PracticeNHS COASTAL WEST SUSSEX CCG (09G)Knee ReplacementEQ-5D Index</t>
  </si>
  <si>
    <t>CCG of GP PracticeNHS CORBY CCG (03V)Knee ReplacementEQ-5D Index</t>
  </si>
  <si>
    <t>CCG of GP PracticeNHS COVENTRY AND RUGBY CCG (05A)Knee ReplacementEQ-5D Index</t>
  </si>
  <si>
    <t>CCG of GP PracticeNHS CRAWLEY CCG (09H)Knee ReplacementEQ-5D Index</t>
  </si>
  <si>
    <t>CCG of GP PracticeNHS CROYDON CCG (07V)Knee ReplacementEQ-5D Index</t>
  </si>
  <si>
    <t>CCG of GP PracticeNHS CUMBRIA CCG (01H)Knee ReplacementEQ-5D Index</t>
  </si>
  <si>
    <t>CCG of GP PracticeNHS DARLINGTON CCG (00C)Knee ReplacementEQ-5D Index</t>
  </si>
  <si>
    <t>CCG of GP PracticeNHS DARTFORD, GRAVESHAM AND SWANLEY CCG (09J)Knee ReplacementEQ-5D Index</t>
  </si>
  <si>
    <t>CCG of GP PracticeNHS DONCASTER CCG (02X)Knee ReplacementEQ-5D Index</t>
  </si>
  <si>
    <t>CCG of GP PracticeNHS NORWICH CCG (06W)Knee ReplacementEQ-5D Index</t>
  </si>
  <si>
    <t>CCG of GP PracticeNHS NORTHUMBERLAND CCG (00L)Knee ReplacementEQ-5D Index</t>
  </si>
  <si>
    <t>CCG of GP PracticeNHS NOTTINGHAM CITY CCG (04K)Knee ReplacementEQ-5D Index</t>
  </si>
  <si>
    <t>CCG of GP PracticeNHS NOTTINGHAM NORTH AND EAST CCG (04L)Knee ReplacementEQ-5D Index</t>
  </si>
  <si>
    <t>CCG of GP PracticeNHS NOTTINGHAM WEST CCG (04M)Knee ReplacementEQ-5D Index</t>
  </si>
  <si>
    <t>CCG of GP PracticeNHS OLDHAM CCG (00Y)Knee ReplacementEQ-5D Index</t>
  </si>
  <si>
    <t>CCG of GP PracticeNHS OXFORDSHIRE CCG (10Q)Knee ReplacementEQ-5D Index</t>
  </si>
  <si>
    <t>CCG of GP PracticeNHS PORTSMOUTH CCG (10R)Knee ReplacementEQ-5D Index</t>
  </si>
  <si>
    <t>CCG of GP PracticeNHS REDBRIDGE CCG (08N)Knee ReplacementEQ-5D Index</t>
  </si>
  <si>
    <t>CCG of GP PracticeNHS REDDITCH AND BROMSGROVE CCG (05J)Knee ReplacementEQ-5D Index</t>
  </si>
  <si>
    <t>CCG of GP PracticeNHS RICHMOND CCG (08P)Knee ReplacementEQ-5D Index</t>
  </si>
  <si>
    <t>CCG of GP PracticeNHS ROTHERHAM CCG (03L)Knee ReplacementEQ-5D Index</t>
  </si>
  <si>
    <t>CCG of GP PracticeNHS RUSHCLIFFE CCG (04N)Knee ReplacementEQ-5D Index</t>
  </si>
  <si>
    <t>CCG of GP PracticeNHS SALFORD CCG (01G)Knee ReplacementEQ-5D Index</t>
  </si>
  <si>
    <t>CCG of GP PracticeNHS SANDWELL AND WEST BIRMINGHAM CCG (05L)Knee ReplacementEQ-5D Index</t>
  </si>
  <si>
    <t>CCG of GP PracticeNHS SCARBOROUGH AND RYEDALE CCG (03M)Knee ReplacementEQ-5D Index</t>
  </si>
  <si>
    <t>CCG of GP PracticeNHS SHEFFIELD CCG (03N)Knee ReplacementEQ-5D Index</t>
  </si>
  <si>
    <t>CCG of GP PracticeNHS SHROPSHIRE CCG (05N)Knee ReplacementEQ-5D Index</t>
  </si>
  <si>
    <t>CCG of GP PracticeNHS SLOUGH CCG (10T)Knee ReplacementEQ-5D Index</t>
  </si>
  <si>
    <t>CCG of GP PracticeNHS SOLIHULL CCG (05P)Knee ReplacementEQ-5D Index</t>
  </si>
  <si>
    <t>CCG of GP PracticeNHS SOMERSET CCG (11X)Knee ReplacementEQ-5D Index</t>
  </si>
  <si>
    <t>CCG of GP PracticeNHS SOUTH CHESHIRE CCG (01R)Knee ReplacementEQ-5D Index</t>
  </si>
  <si>
    <t>CCG of GP PracticeNHS SOUTH DEVON AND TORBAY CCG (99Q)Knee ReplacementEQ-5D Index</t>
  </si>
  <si>
    <t>CCG of GP PracticeNHS SOUTH EAST STAFFORDSHIRE AND SEISDON PENINSULA CCG (05Q)Knee ReplacementEQ-5D Index</t>
  </si>
  <si>
    <t>CCG of GP PracticeNHS SOUTH EASTERN HAMPSHIRE CCG (10V)Knee ReplacementEQ-5D Index</t>
  </si>
  <si>
    <t>CCG of GP PracticeNHS SOUTH GLOUCESTERSHIRE CCG (12A)Knee ReplacementEQ-5D Index</t>
  </si>
  <si>
    <t>CCG of GP PracticeNHS SOUTH KENT COAST CCG (10A)Knee ReplacementEQ-5D Index</t>
  </si>
  <si>
    <t>CCG of GP PracticeNHS SOUTH LINCOLNSHIRE CCG (99D)Knee ReplacementEQ-5D Index</t>
  </si>
  <si>
    <t>CCG of GP PracticeNHS CENTRAL MANCHESTER CCG (00W)Knee ReplacementEQ-5D Index</t>
  </si>
  <si>
    <t>CCG of GP PracticeNHS DORSET CCG (11J)Knee ReplacementEQ-5D Index</t>
  </si>
  <si>
    <t>CCG of GP PracticeNHS DUDLEY CCG (05C)Knee ReplacementEQ-5D Index</t>
  </si>
  <si>
    <t>CCG of GP PracticeNHS DURHAM DALES, EASINGTON AND SEDGEFIELD CCG (00D)Knee ReplacementEQ-5D Index</t>
  </si>
  <si>
    <t>CCG of GP PracticeNHS EALING CCG (07W)Knee ReplacementEQ-5D Index</t>
  </si>
  <si>
    <t>CCG of GP PracticeNHS EAST AND NORTH HERTFORDSHIRE CCG (06K)Knee ReplacementEQ-5D Index</t>
  </si>
  <si>
    <t>CCG of GP PracticeNHS EAST LANCASHIRE CCG (01A)Knee ReplacementEQ-5D Index</t>
  </si>
  <si>
    <t>CCG of GP PracticeNHS EAST LEICESTERSHIRE AND RUTLAND CCG (03W)Knee ReplacementEQ-5D Index</t>
  </si>
  <si>
    <t>CCG of GP PracticeNHS EAST RIDING OF YORKSHIRE CCG (02Y)Knee ReplacementEQ-5D Index</t>
  </si>
  <si>
    <t>CCG of GP PracticeNHS EAST STAFFORDSHIRE CCG (05D)Knee ReplacementEQ-5D Index</t>
  </si>
  <si>
    <t>CCG of GP PracticeNHS EAST SURREY CCG (09L)Knee ReplacementEQ-5D Index</t>
  </si>
  <si>
    <t>CCG of GP PracticeNHS EASTBOURNE, HAILSHAM AND SEAFORD CCG (09F)Knee ReplacementEQ-5D Index</t>
  </si>
  <si>
    <t>CCG of GP PracticeNHS EASTERN CHESHIRE CCG (01C)Knee ReplacementEQ-5D Index</t>
  </si>
  <si>
    <t>CCG of GP PracticeNHS ENFIELD CCG (07X)Knee ReplacementEQ-5D Index</t>
  </si>
  <si>
    <t>CCG of GP PracticeNHS EREWASH CCG (03X)Knee ReplacementEQ-5D Index</t>
  </si>
  <si>
    <t>CCG of GP PracticeNHS FAREHAM AND GOSPORT CCG (10K)Knee ReplacementEQ-5D Index</t>
  </si>
  <si>
    <t>CCG of GP PracticeNHS FYLDE &amp; WYRE CCG (02M)Knee ReplacementEQ-5D Index</t>
  </si>
  <si>
    <t>CCG of GP PracticeNHS GLOUCESTERSHIRE CCG (11M)Knee ReplacementEQ-5D Index</t>
  </si>
  <si>
    <t>CCG of GP PracticeNHS GREENWICH CCG (08A)Knee ReplacementEQ-5D Index</t>
  </si>
  <si>
    <t>CCG of GP PracticeNHS SOUTH TYNESIDE CCG (00N)Knee ReplacementEQ-5D Index</t>
  </si>
  <si>
    <t>CCG of GP PracticeNHS GREAT YARMOUTH AND WAVENEY CCG (06M)Knee ReplacementEQ-5D Index</t>
  </si>
  <si>
    <t>CCG of GP PracticeNHS GUILDFORD AND WAVERLEY CCG (09N)Knee ReplacementEQ-5D Index</t>
  </si>
  <si>
    <t>CCG of GP PracticeNHS HALTON CCG (01F)Knee ReplacementEQ-5D Index</t>
  </si>
  <si>
    <t>CCG of GP PracticeNHS HAMBLETON, RICHMONDSHIRE AND WHITBY CCG (03D)Knee ReplacementEQ-5D Index</t>
  </si>
  <si>
    <t>CCG of GP PracticeNHS HAMMERSMITH AND FULHAM CCG (08C)Knee ReplacementEQ-5D Index</t>
  </si>
  <si>
    <t>CCG of GP PracticeNHS HARDWICK CCG (03Y)Knee ReplacementEQ-5D Index</t>
  </si>
  <si>
    <t>CCG of GP PracticeNHS HARINGEY CCG (08D)Knee ReplacementEQ-5D Index</t>
  </si>
  <si>
    <t>CCG of GP PracticeNHS SOUTH MANCHESTER CCG (01N)Knee ReplacementEQ-5D Index</t>
  </si>
  <si>
    <t>CCG of GP PracticeNHS HARROGATE AND RURAL DISTRICT CCG (03E)Knee ReplacementEQ-5D Index</t>
  </si>
  <si>
    <t>CCG of GP PracticeNHS SOUTH NORFOLK CCG (06Y)Knee ReplacementEQ-5D Index</t>
  </si>
  <si>
    <t>CCG of GP PracticeNHS SOUTH READING CCG (10W)Knee ReplacementEQ-5D Index</t>
  </si>
  <si>
    <t>CCG of GP PracticeNHS SOUTH SEFTON CCG (01T)Knee ReplacementEQ-5D Index</t>
  </si>
  <si>
    <t>CCG of GP PracticeNHS SOUTH TEES CCG (00M)Knee ReplacementEQ-5D Index</t>
  </si>
  <si>
    <t>CCG of GP PracticeNHS SOUTH WARWICKSHIRE CCG (05R)Knee ReplacementEQ-5D Index</t>
  </si>
  <si>
    <t>CCG of GP PracticeNHS SOUTH WEST LINCOLNSHIRE CCG (04Q)Knee ReplacementEQ-5D Index</t>
  </si>
  <si>
    <t>CCG of GP PracticeNHS SOUTH WORCESTERSHIRE CCG (05T)Knee ReplacementEQ-5D Index</t>
  </si>
  <si>
    <t>CCG of GP PracticeNHS SOUTHAMPTON CCG (10X)Knee ReplacementEQ-5D Index</t>
  </si>
  <si>
    <t>CCG of GP PracticeNHS SOUTHEND CCG (99G)Knee ReplacementEQ-5D Index</t>
  </si>
  <si>
    <t>CCG of GP PracticeNHS SOUTHERN DERBYSHIRE CCG (04R)Knee ReplacementEQ-5D Index</t>
  </si>
  <si>
    <t>CCG of GP PracticeNHS SOUTHPORT AND FORMBY CCG (01V)Knee ReplacementEQ-5D Index</t>
  </si>
  <si>
    <t>CCG of GP PracticeNHS SOUTHWARK CCG (08Q)Knee ReplacementEQ-5D Index</t>
  </si>
  <si>
    <t>CCG of GP PracticeNHS ST HELENS CCG (01X)Knee ReplacementEQ-5D Index</t>
  </si>
  <si>
    <t>CCG of GP PracticeNHS STAFFORD AND SURROUNDS CCG (05V)Knee ReplacementEQ-5D Index</t>
  </si>
  <si>
    <t>CCG of GP PracticeNHS STOCKPORT CCG (01W)Knee ReplacementEQ-5D Index</t>
  </si>
  <si>
    <t>CCG of GP PracticeNHS STOKE ON TRENT CCG (05W)Knee ReplacementEQ-5D Index</t>
  </si>
  <si>
    <t>CCG of GP PracticeNHS SUNDERLAND CCG (00P)Knee ReplacementEQ-5D Index</t>
  </si>
  <si>
    <t>CCG of GP PracticeNHS SURREY DOWNS CCG (99H)Knee ReplacementEQ-5D Index</t>
  </si>
  <si>
    <t>CCG of GP PracticeNHS SURREY HEATH CCG (10C)Knee ReplacementEQ-5D Index</t>
  </si>
  <si>
    <t>CCG of GP PracticeNHS SUTTON CCG (08T)Knee ReplacementEQ-5D Index</t>
  </si>
  <si>
    <t>CCG of GP PracticeNHS SWALE CCG (10D)Knee ReplacementEQ-5D Index</t>
  </si>
  <si>
    <t>CCG of GP PracticeNHS SWINDON CCG (12D)Knee ReplacementEQ-5D Index</t>
  </si>
  <si>
    <t>CCG of GP PracticeNHS TAMESIDE AND GLOSSOP CCG (01Y)Knee ReplacementEQ-5D Index</t>
  </si>
  <si>
    <t>CCG of GP PracticeNHS TELFORD AND WREKIN CCG (05X)Knee ReplacementEQ-5D Index</t>
  </si>
  <si>
    <t>CCG of GP PracticeNHS THANET CCG (10E)Knee ReplacementEQ-5D Index</t>
  </si>
  <si>
    <t>CCG of GP PracticeNHS THURROCK CCG (07G)Knee ReplacementEQ-5D Index</t>
  </si>
  <si>
    <t>CCG of GP PracticeNHS TOWER HAMLETS CCG (08V)Knee ReplacementEQ-5D Index</t>
  </si>
  <si>
    <t>CCG of GP PracticeNHS TOWER HAMLETS CCG (08V)Knee ReplacementOxford Knee Score</t>
  </si>
  <si>
    <t>CCG of GP PracticeNHS THURROCK CCG (07G)Knee ReplacementOxford Knee Score</t>
  </si>
  <si>
    <t>CCG of GP PracticeNHS THANET CCG (10E)Knee ReplacementOxford Knee Score</t>
  </si>
  <si>
    <t>CCG of GP PracticeNHS TELFORD AND WREKIN CCG (05X)Knee ReplacementOxford Knee Score</t>
  </si>
  <si>
    <t>CCG of GP PracticeNHS TAMESIDE AND GLOSSOP CCG (01Y)Knee ReplacementOxford Knee Score</t>
  </si>
  <si>
    <t>CCG of GP PracticeNHS SWINDON CCG (12D)Knee ReplacementOxford Knee Score</t>
  </si>
  <si>
    <t>CCG of GP PracticeNHS SWALE CCG (10D)Knee ReplacementOxford Knee Score</t>
  </si>
  <si>
    <t>CCG of GP PracticeNHS SUTTON CCG (08T)Knee ReplacementOxford Knee Score</t>
  </si>
  <si>
    <t>CCG of GP PracticeNHS SURREY HEATH CCG (10C)Knee ReplacementOxford Knee Score</t>
  </si>
  <si>
    <t>CCG of GP PracticeNHS SURREY DOWNS CCG (99H)Knee ReplacementOxford Knee Score</t>
  </si>
  <si>
    <t>CCG of GP PracticeNHS SUNDERLAND CCG (00P)Knee ReplacementOxford Knee Score</t>
  </si>
  <si>
    <t>CCG of GP PracticeNHS STOKE ON TRENT CCG (05W)Knee ReplacementOxford Knee Score</t>
  </si>
  <si>
    <t>CCG of GP PracticeNHS STOCKPORT CCG (01W)Knee ReplacementOxford Knee Score</t>
  </si>
  <si>
    <t>CCG of GP PracticeNHS STAFFORD AND SURROUNDS CCG (05V)Knee ReplacementOxford Knee Score</t>
  </si>
  <si>
    <t>CCG of GP PracticeNHS ST HELENS CCG (01X)Knee ReplacementOxford Knee Score</t>
  </si>
  <si>
    <t>CCG of GP PracticeNHS SOUTHWARK CCG (08Q)Knee ReplacementOxford Knee Score</t>
  </si>
  <si>
    <t>CCG of GP PracticeNHS SOUTHPORT AND FORMBY CCG (01V)Knee ReplacementOxford Knee Score</t>
  </si>
  <si>
    <t>CCG of GP PracticeNHS SOUTHERN DERBYSHIRE CCG (04R)Knee ReplacementOxford Knee Score</t>
  </si>
  <si>
    <t>CCG of GP PracticeNHS SOUTHEND CCG (99G)Knee ReplacementOxford Knee Score</t>
  </si>
  <si>
    <t>CCG of GP PracticeNHS SOUTHAMPTON CCG (10X)Knee ReplacementOxford Knee Score</t>
  </si>
  <si>
    <t>CCG of GP PracticeNHS SOUTH WORCESTERSHIRE CCG (05T)Knee ReplacementOxford Knee Score</t>
  </si>
  <si>
    <t>CCG of GP PracticeNHS SOUTH WEST LINCOLNSHIRE CCG (04Q)Knee ReplacementOxford Knee Score</t>
  </si>
  <si>
    <t>CCG of GP PracticeNHS SOUTH WARWICKSHIRE CCG (05R)Knee ReplacementOxford Knee Score</t>
  </si>
  <si>
    <t>CCG of GP PracticeNHS SOUTH TEES CCG (00M)Knee ReplacementOxford Knee Score</t>
  </si>
  <si>
    <t>CCG of GP PracticeNHS SOUTH SEFTON CCG (01T)Knee ReplacementOxford Knee Score</t>
  </si>
  <si>
    <t>CCG of GP PracticeNHS SOUTH READING CCG (10W)Knee ReplacementOxford Knee Score</t>
  </si>
  <si>
    <t>CCG of GP PracticeNHS SOUTH NORFOLK CCG (06Y)Knee ReplacementOxford Knee Score</t>
  </si>
  <si>
    <t>CCG of GP PracticeNHS HARROGATE AND RURAL DISTRICT CCG (03E)Knee ReplacementOxford Knee Score</t>
  </si>
  <si>
    <t>CCG of GP PracticeNHS SOUTH MANCHESTER CCG (01N)Knee ReplacementOxford Knee Score</t>
  </si>
  <si>
    <t>CCG of GP PracticeNHS HARINGEY CCG (08D)Knee ReplacementOxford Knee Score</t>
  </si>
  <si>
    <t>CCG of GP PracticeNHS HARDWICK CCG (03Y)Knee ReplacementOxford Knee Score</t>
  </si>
  <si>
    <t>CCG of GP PracticeNHS HAMMERSMITH AND FULHAM CCG (08C)Knee ReplacementOxford Knee Score</t>
  </si>
  <si>
    <t>CCG of GP PracticeNHS HAMBLETON, RICHMONDSHIRE AND WHITBY CCG (03D)Knee ReplacementOxford Knee Score</t>
  </si>
  <si>
    <t>CCG of GP PracticeNHS HALTON CCG (01F)Knee ReplacementOxford Knee Score</t>
  </si>
  <si>
    <t>CCG of GP PracticeNHS GUILDFORD AND WAVERLEY CCG (09N)Knee ReplacementOxford Knee Score</t>
  </si>
  <si>
    <t>CCG of GP PracticeNHS GREAT YARMOUTH AND WAVENEY CCG (06M)Knee ReplacementOxford Knee Score</t>
  </si>
  <si>
    <t>CCG of GP PracticeNHS SOUTH TYNESIDE CCG (00N)Knee ReplacementOxford Knee Score</t>
  </si>
  <si>
    <t>CCG of GP PracticeNHS GREENWICH CCG (08A)Knee ReplacementOxford Knee Score</t>
  </si>
  <si>
    <t>CCG of GP PracticeNHS GLOUCESTERSHIRE CCG (11M)Knee ReplacementOxford Knee Score</t>
  </si>
  <si>
    <t>CCG of GP PracticeNHS FYLDE &amp; WYRE CCG (02M)Knee ReplacementOxford Knee Score</t>
  </si>
  <si>
    <t>CCG of GP PracticeNHS FAREHAM AND GOSPORT CCG (10K)Knee ReplacementOxford Knee Score</t>
  </si>
  <si>
    <t>CCG of GP PracticeNHS EREWASH CCG (03X)Knee ReplacementOxford Knee Score</t>
  </si>
  <si>
    <t>CCG of GP PracticeNHS ENFIELD CCG (07X)Knee ReplacementOxford Knee Score</t>
  </si>
  <si>
    <t>CCG of GP PracticeNHS EASTERN CHESHIRE CCG (01C)Knee ReplacementOxford Knee Score</t>
  </si>
  <si>
    <t>CCG of GP PracticeNHS EASTBOURNE, HAILSHAM AND SEAFORD CCG (09F)Knee ReplacementOxford Knee Score</t>
  </si>
  <si>
    <t>CCG of GP PracticeNHS EAST SURREY CCG (09L)Knee ReplacementOxford Knee Score</t>
  </si>
  <si>
    <t>CCG of GP PracticeNHS EAST STAFFORDSHIRE CCG (05D)Knee ReplacementOxford Knee Score</t>
  </si>
  <si>
    <t>CCG of GP PracticeNHS EAST RIDING OF YORKSHIRE CCG (02Y)Knee ReplacementOxford Knee Score</t>
  </si>
  <si>
    <t>CCG of GP PracticeNHS EAST LEICESTERSHIRE AND RUTLAND CCG (03W)Knee ReplacementOxford Knee Score</t>
  </si>
  <si>
    <t>CCG of GP PracticeNHS EAST LANCASHIRE CCG (01A)Knee ReplacementOxford Knee Score</t>
  </si>
  <si>
    <t>CCG of GP PracticeNHS EAST AND NORTH HERTFORDSHIRE CCG (06K)Knee ReplacementOxford Knee Score</t>
  </si>
  <si>
    <t>CCG of GP PracticeNHS EALING CCG (07W)Knee ReplacementOxford Knee Score</t>
  </si>
  <si>
    <t>CCG of GP PracticeNHS DURHAM DALES, EASINGTON AND SEDGEFIELD CCG (00D)Knee ReplacementOxford Knee Score</t>
  </si>
  <si>
    <t>CCG of GP PracticeNHS DUDLEY CCG (05C)Knee ReplacementOxford Knee Score</t>
  </si>
  <si>
    <t>CCG of GP PracticeNHS DORSET CCG (11J)Knee ReplacementOxford Knee Score</t>
  </si>
  <si>
    <t>CCG of GP PracticeNHS CENTRAL MANCHESTER CCG (00W)Knee ReplacementOxford Knee Score</t>
  </si>
  <si>
    <t>CCG of GP PracticeNHS SOUTH LINCOLNSHIRE CCG (99D)Knee ReplacementOxford Knee Score</t>
  </si>
  <si>
    <t>CCG of GP PracticeNHS SOUTH KENT COAST CCG (10A)Knee ReplacementOxford Knee Score</t>
  </si>
  <si>
    <t>CCG of GP PracticeNHS SOUTH GLOUCESTERSHIRE CCG (12A)Knee ReplacementOxford Knee Score</t>
  </si>
  <si>
    <t>CCG of GP PracticeNHS SOUTH EASTERN HAMPSHIRE CCG (10V)Knee ReplacementOxford Knee Score</t>
  </si>
  <si>
    <t>CCG of GP PracticeNHS SOUTH EAST STAFFORDSHIRE AND SEISDON PENINSULA CCG (05Q)Knee ReplacementOxford Knee Score</t>
  </si>
  <si>
    <t>CCG of GP PracticeNHS SOUTH DEVON AND TORBAY CCG (99Q)Knee ReplacementOxford Knee Score</t>
  </si>
  <si>
    <t>CCG of GP PracticeNHS SOUTH CHESHIRE CCG (01R)Knee ReplacementOxford Knee Score</t>
  </si>
  <si>
    <t>CCG of GP PracticeNHS SOMERSET CCG (11X)Knee ReplacementOxford Knee Score</t>
  </si>
  <si>
    <t>CCG of GP PracticeNHS SOLIHULL CCG (05P)Knee ReplacementOxford Knee Score</t>
  </si>
  <si>
    <t>CCG of GP PracticeNHS SLOUGH CCG (10T)Knee ReplacementOxford Knee Score</t>
  </si>
  <si>
    <t>CCG of GP PracticeNHS SHROPSHIRE CCG (05N)Knee ReplacementOxford Knee Score</t>
  </si>
  <si>
    <t>CCG of GP PracticeNHS SHEFFIELD CCG (03N)Knee ReplacementOxford Knee Score</t>
  </si>
  <si>
    <t>CCG of GP PracticeNHS SCARBOROUGH AND RYEDALE CCG (03M)Knee ReplacementOxford Knee Score</t>
  </si>
  <si>
    <t>CCG of GP PracticeNHS SANDWELL AND WEST BIRMINGHAM CCG (05L)Knee ReplacementOxford Knee Score</t>
  </si>
  <si>
    <t>CCG of GP PracticeNHS SALFORD CCG (01G)Knee ReplacementOxford Knee Score</t>
  </si>
  <si>
    <t>CCG of GP PracticeNHS RUSHCLIFFE CCG (04N)Knee ReplacementOxford Knee Score</t>
  </si>
  <si>
    <t>CCG of GP PracticeNHS ROTHERHAM CCG (03L)Knee ReplacementOxford Knee Score</t>
  </si>
  <si>
    <t>CCG of GP PracticeNHS RICHMOND CCG (08P)Knee ReplacementOxford Knee Score</t>
  </si>
  <si>
    <t>CCG of GP PracticeNHS REDDITCH AND BROMSGROVE CCG (05J)Knee ReplacementOxford Knee Score</t>
  </si>
  <si>
    <t>CCG of GP PracticeNHS REDBRIDGE CCG (08N)Knee ReplacementOxford Knee Score</t>
  </si>
  <si>
    <t>CCG of GP PracticeNHS PORTSMOUTH CCG (10R)Knee ReplacementOxford Knee Score</t>
  </si>
  <si>
    <t>CCG of GP PracticeNHS OXFORDSHIRE CCG (10Q)Knee ReplacementOxford Knee Score</t>
  </si>
  <si>
    <t>CCG of GP PracticeNHS OLDHAM CCG (00Y)Knee ReplacementOxford Knee Score</t>
  </si>
  <si>
    <t>CCG of GP PracticeNHS NOTTINGHAM WEST CCG (04M)Knee ReplacementOxford Knee Score</t>
  </si>
  <si>
    <t>CCG of GP PracticeNHS NOTTINGHAM NORTH AND EAST CCG (04L)Knee ReplacementOxford Knee Score</t>
  </si>
  <si>
    <t>CCG of GP PracticeNHS NOTTINGHAM CITY CCG (04K)Knee ReplacementOxford Knee Score</t>
  </si>
  <si>
    <t>CCG of GP PracticeNHS NORTHUMBERLAND CCG (00L)Knee ReplacementOxford Knee Score</t>
  </si>
  <si>
    <t>CCG of GP PracticeNHS NORWICH CCG (06W)Knee ReplacementOxford Knee Score</t>
  </si>
  <si>
    <t>CCG of GP PracticeNHS DONCASTER CCG (02X)Knee ReplacementOxford Knee Score</t>
  </si>
  <si>
    <t>CCG of GP PracticeNHS DARTFORD, GRAVESHAM AND SWANLEY CCG (09J)Knee ReplacementOxford Knee Score</t>
  </si>
  <si>
    <t>CCG of GP PracticeNHS DARLINGTON CCG (00C)Knee ReplacementOxford Knee Score</t>
  </si>
  <si>
    <t>CCG of GP PracticeNHS CUMBRIA CCG (01H)Knee ReplacementOxford Knee Score</t>
  </si>
  <si>
    <t>CCG of GP PracticeNHS CROYDON CCG (07V)Knee ReplacementOxford Knee Score</t>
  </si>
  <si>
    <t>CCG of GP PracticeNHS CRAWLEY CCG (09H)Knee ReplacementOxford Knee Score</t>
  </si>
  <si>
    <t>CCG of GP PracticeNHS COVENTRY AND RUGBY CCG (05A)Knee ReplacementOxford Knee Score</t>
  </si>
  <si>
    <t>CCG of GP PracticeNHS CORBY CCG (03V)Knee ReplacementOxford Knee Score</t>
  </si>
  <si>
    <t>CCG of GP PracticeNHS COASTAL WEST SUSSEX CCG (09G)Knee ReplacementOxford Knee Score</t>
  </si>
  <si>
    <t>CCG of GP PracticeNHS CITY AND HACKNEY CCG (07T)Knee ReplacementOxford Knee Score</t>
  </si>
  <si>
    <t>CCG of GP PracticeNHS CHORLEY AND SOUTH RIBBLE CCG (00X)Knee ReplacementOxford Knee Score</t>
  </si>
  <si>
    <t>CCG of GP PracticeNHS CHILTERN CCG (10H)Knee ReplacementOxford Knee Score</t>
  </si>
  <si>
    <t>CCG of GP PracticeNHS CENTRAL LONDON (WESTMINSTER) CCG (09A)Knee ReplacementOxford Knee Score</t>
  </si>
  <si>
    <t>CCG of GP PracticeNHS CASTLE POINT AND ROCHFORD CCG (99F)Knee ReplacementOxford Knee Score</t>
  </si>
  <si>
    <t>CCG of GP PracticeNHS CANTERBURY AND COASTAL CCG (09E)Knee ReplacementOxford Knee Score</t>
  </si>
  <si>
    <t>CCG of GP PracticeNHS CANNOCK CHASE CCG (04Y)Knee ReplacementOxford Knee Score</t>
  </si>
  <si>
    <t>CCG of GP PracticeNHS CAMDEN CCG (07R)Knee ReplacementOxford Knee Score</t>
  </si>
  <si>
    <t>CCG of GP PracticeNHS CAMBRIDGESHIRE AND PETERBOROUGH CCG (06H)Knee ReplacementOxford Knee Score</t>
  </si>
  <si>
    <t>CCG of GP PracticeNHS CALDERDALE CCG (02T)Knee ReplacementOxford Knee Score</t>
  </si>
  <si>
    <t>CCG of GP PracticeNHS BURY CCG (00V)Knee ReplacementOxford Knee Score</t>
  </si>
  <si>
    <t>CCG of GP PracticeNHS BROMLEY CCG (07Q)Knee ReplacementOxford Knee Score</t>
  </si>
  <si>
    <t>CCG of GP PracticeNHS BRISTOL CCG (11H)Knee ReplacementOxford Knee Score</t>
  </si>
  <si>
    <t>CCG of GP PracticeNHS BRIGHTON AND HOVE CCG (09D)Knee ReplacementOxford Knee Score</t>
  </si>
  <si>
    <t>CCG of GP PracticeNHS BRENT CCG (07P)Knee ReplacementOxford Knee Score</t>
  </si>
  <si>
    <t>CCG of GP PracticeNHS BRADFORD DISTRICTS CCG (02R)Knee ReplacementOxford Knee Score</t>
  </si>
  <si>
    <t>CCG of GP PracticeNHS BRADFORD CITY CCG (02W)Knee ReplacementOxford Knee Score</t>
  </si>
  <si>
    <t>CCG of GP PracticeNHS BRACKNELL AND ASCOT CCG (10G)Knee ReplacementOxford Knee Score</t>
  </si>
  <si>
    <t>CCG of GP PracticeNHS BOLTON CCG (00T)Knee ReplacementOxford Knee Score</t>
  </si>
  <si>
    <t>CCG of GP PracticeNHS NORTHERN, EASTERN AND WESTERN DEVON CCG (99P)Knee ReplacementOxford Knee Score</t>
  </si>
  <si>
    <t>CCG of GP PracticeNHS NORTH WEST SURREY CCG (09Y)Knee ReplacementOxford Knee Score</t>
  </si>
  <si>
    <t>CCG of GP PracticeNHS NORTH TYNESIDE CCG (99C)Knee ReplacementOxford Knee Score</t>
  </si>
  <si>
    <t>CCG of GP PracticeNHS NORTH STAFFORDSHIRE CCG (05G)Knee ReplacementOxford Knee Score</t>
  </si>
  <si>
    <t>CCG of GP PracticeNHS NORTH SOMERSET CCG (11T)Knee ReplacementOxford Knee Score</t>
  </si>
  <si>
    <t>CCG of GP PracticeNHS NORTH NORFOLK CCG (06V)Knee ReplacementOxford Knee Score</t>
  </si>
  <si>
    <t>CCG of GP PracticeNHS NORTH MANCHESTER CCG (01M)Knee ReplacementOxford Knee Score</t>
  </si>
  <si>
    <t>CCG of GP PracticeNHS NORTH LINCOLNSHIRE CCG (03K)Knee ReplacementOxford Knee Score</t>
  </si>
  <si>
    <t>CCG of GP PracticeNHS NORTH KIRKLEES CCG (03J)Knee ReplacementOxford Knee Score</t>
  </si>
  <si>
    <t>CCG of GP PracticeNHS NORTH HAMPSHIRE CCG (10J)Knee ReplacementOxford Knee Score</t>
  </si>
  <si>
    <t>CCG of GP PracticeNHS NORTH EAST LINCOLNSHIRE CCG (03H)Knee ReplacementOxford Knee Score</t>
  </si>
  <si>
    <t>CCG of GP PracticeNHS NORTH EAST HAMPSHIRE AND FARNHAM CCG (99M)Knee ReplacementOxford Knee Score</t>
  </si>
  <si>
    <t>CCG of GP PracticeNHS NORTH EAST ESSEX CCG (06T)Knee ReplacementOxford Knee Score</t>
  </si>
  <si>
    <t>CCG of GP PracticeNHS NORTH DURHAM CCG (00J)Knee ReplacementOxford Knee Score</t>
  </si>
  <si>
    <t>CCG of GP PracticeNHS NORTH DERBYSHIRE CCG (04J)Knee ReplacementOxford Knee Score</t>
  </si>
  <si>
    <t>CCG of GP PracticeNHS NORTH &amp; WEST READING CCG (10N)Knee ReplacementOxford Knee Score</t>
  </si>
  <si>
    <t>CCG of GP PracticeNHS NEWHAM CCG (08M)Knee ReplacementOxford Knee Score</t>
  </si>
  <si>
    <t>CCG of GP PracticeNHS NEWBURY AND DISTRICT CCG (10M)Knee ReplacementOxford Knee Score</t>
  </si>
  <si>
    <t>CCG of GP PracticeNHS NEWARK &amp; SHERWOOD CCG (04H)Knee ReplacementOxford Knee Score</t>
  </si>
  <si>
    <t>CCG of GP PracticeNHS NENE CCG (04G)Knee ReplacementOxford Knee Score</t>
  </si>
  <si>
    <t>CCG of GP PracticeNHS MILTON KEYNES CCG (04F)Knee ReplacementOxford Knee Score</t>
  </si>
  <si>
    <t>CCG of GP PracticeNHS MID ESSEX CCG (06Q)Knee ReplacementOxford Knee Score</t>
  </si>
  <si>
    <t>CCG of GP PracticeNHS MERTON CCG (08R)Knee ReplacementOxford Knee Score</t>
  </si>
  <si>
    <t>CCG of GP PracticeNHS MEDWAY CCG (09W)Knee ReplacementOxford Knee Score</t>
  </si>
  <si>
    <t>CCG of GP PracticeNHS MANSFIELD AND ASHFIELD CCG (04E)Knee ReplacementOxford Knee Score</t>
  </si>
  <si>
    <t>CCG of GP PracticeNHS BLACKPOOL CCG (00R)Knee ReplacementOxford Knee Score</t>
  </si>
  <si>
    <t>CCG of GP PracticeNHS BLACKBURN WITH DARWEN CCG (00Q)Knee ReplacementOxford Knee Score</t>
  </si>
  <si>
    <t>CCG of GP PracticeNHS BIRMINGHAM SOUTH AND CENTRAL CCG (04X)Knee ReplacementOxford Knee Score</t>
  </si>
  <si>
    <t>CCG of GP PracticeNHS BIRMINGHAM CROSSCITY CCG (13P)Knee ReplacementOxford Knee Score</t>
  </si>
  <si>
    <t>CCG of GP PracticeNHS BEXLEY CCG (07N)Knee ReplacementOxford Knee Score</t>
  </si>
  <si>
    <t>CCG of GP PracticeNHS BEDFORDSHIRE CCG (06F)Knee ReplacementOxford Knee Score</t>
  </si>
  <si>
    <t>CCG of GP PracticeNHS BATH AND NORTH EAST SOMERSET CCG (11E)Knee ReplacementOxford Knee Score</t>
  </si>
  <si>
    <t>CCG of GP PracticeNHS BASSETLAW CCG (02Q)Knee ReplacementOxford Knee Score</t>
  </si>
  <si>
    <t>CCG of GP PracticeNHS BASILDON AND BRENTWOOD CCG (99E)Knee ReplacementOxford Knee Score</t>
  </si>
  <si>
    <t>CCG of GP PracticeNHS BARNSLEY CCG (02P)Knee ReplacementOxford Knee Score</t>
  </si>
  <si>
    <t>CCG of GP PracticeNHS BARNET CCG (07M)Knee ReplacementOxford Knee Score</t>
  </si>
  <si>
    <t>CCG of GP PracticeNHS BARKING AND DAGENHAM CCG (07L)Knee ReplacementOxford Knee Score</t>
  </si>
  <si>
    <t>CCG of GP PracticeNHS AYLESBURY VALE CCG (10Y)Knee ReplacementOxford Knee Score</t>
  </si>
  <si>
    <t>CCG of GP PracticeNHS ASHFORD CCG (09C)Knee ReplacementOxford Knee Score</t>
  </si>
  <si>
    <t>CCG of GP PracticeNHS AIREDALE, WHARFEDALE AND CRAVEN CCG (02N)Knee ReplacementOxford Knee Score</t>
  </si>
  <si>
    <t>CCG of GP PracticeNATIONAL COMMISSIONING HUB 1 (13Q)Knee ReplacementOxford Knee Score</t>
  </si>
  <si>
    <t>CCG of GP PracticeNHS LEEDS WEST CCG (03C)Knee ReplacementOxford Knee Score</t>
  </si>
  <si>
    <t>CCG of GP PracticeNHS LEWISHAM CCG (08L)Knee ReplacementOxford Knee Score</t>
  </si>
  <si>
    <t>CCG of GP PracticeNHS LEICESTER CITY CCG (04C)Knee ReplacementOxford Knee Score</t>
  </si>
  <si>
    <t>CCG of GP PracticeNHS LEEDS NORTH CCG (02V)Knee ReplacementOxford Knee Score</t>
  </si>
  <si>
    <t>CCG of GP PracticeNHS LANCASHIRE NORTH CCG (01K)Knee ReplacementOxford Knee Score</t>
  </si>
  <si>
    <t>CCG of GP PracticeNHS LAMBETH CCG (08K)Knee ReplacementOxford Knee Score</t>
  </si>
  <si>
    <t>CCG of GP PracticeNHS KNOWSLEY CCG (01J)Knee ReplacementOxford Knee Score</t>
  </si>
  <si>
    <t>CCG of GP PracticeNHS KINGSTON CCG (08J)Knee ReplacementOxford Knee Score</t>
  </si>
  <si>
    <t>CCG of GP PracticeNHS KERNOW CCG (11N)Knee ReplacementOxford Knee Score</t>
  </si>
  <si>
    <t>CCG of GP PracticeNHS ISLINGTON CCG (08H)Knee ReplacementOxford Knee Score</t>
  </si>
  <si>
    <t>CCG of GP PracticeNHS ISLE OF WIGHT CCG (10L)Knee ReplacementOxford Knee Score</t>
  </si>
  <si>
    <t>CCG of GP PracticeNHS IPSWICH AND EAST SUFFOLK CCG (06L)Knee ReplacementOxford Knee Score</t>
  </si>
  <si>
    <t>CCG of GP PracticeNHS HULL CCG (03F)Knee ReplacementOxford Knee Score</t>
  </si>
  <si>
    <t>CCG of GP PracticeNHS HOUNSLOW CCG (07Y)Knee ReplacementOxford Knee Score</t>
  </si>
  <si>
    <t>CCG of GP PracticeNHS HORSHAM AND MID SUSSEX CCG (09X)Knee ReplacementOxford Knee Score</t>
  </si>
  <si>
    <t>CCG of GP PracticeNHS HILLINGDON CCG (08G)Knee ReplacementOxford Knee Score</t>
  </si>
  <si>
    <t>CCG of GP PracticeNHS HIGH WEALD LEWES HAVENS CCG (99K)Knee ReplacementOxford Knee Score</t>
  </si>
  <si>
    <t>CCG of GP PracticeNHS HEYWOOD, MIDDLETON AND ROCHDALE CCG (01D)Knee ReplacementOxford Knee Score</t>
  </si>
  <si>
    <t>CCG of GP PracticeNHS HERTS VALLEYS CCG (06N)Knee ReplacementOxford Knee Score</t>
  </si>
  <si>
    <t>CCG of GP PracticeNHS HEREFORDSHIRE CCG (05F)Knee ReplacementOxford Knee Score</t>
  </si>
  <si>
    <t>CCG of GP PracticeNHS HAVERING CCG (08F)Knee ReplacementOxford Knee Score</t>
  </si>
  <si>
    <t>CCG of GP PracticeNHS HASTINGS AND ROTHER CCG (09P)Knee ReplacementOxford Knee Score</t>
  </si>
  <si>
    <t>CCG of GP PracticeNHS HARTLEPOOL AND STOCKTON-ON-TEES CCG (00K)Knee ReplacementOxford Knee Score</t>
  </si>
  <si>
    <t>CCG of GP PracticeNHS HARROW CCG (08E)Knee ReplacementOxford Knee Score</t>
  </si>
  <si>
    <t>CCG of GP PracticeNHS GREATER HUDDERSFIELD CCG (03A)Knee ReplacementOxford Knee Score</t>
  </si>
  <si>
    <t>CCG of GP PracticeNHS GREATER PRESTON CCG (01E)Knee ReplacementOxford Knee Score</t>
  </si>
  <si>
    <t>CCG of GP PracticeNHS WYRE FOREST CCG (06D)Knee ReplacementOxford Knee Score</t>
  </si>
  <si>
    <t>CCG of GP PracticeNHS WOLVERHAMPTON CCG (06A)Knee ReplacementOxford Knee Score</t>
  </si>
  <si>
    <t>CCG of GP PracticeNHS WOKINGHAM CCG (11D)Knee ReplacementOxford Knee Score</t>
  </si>
  <si>
    <t>CCG of GP PracticeNHS WIRRAL CCG (12F)Knee ReplacementOxford Knee Score</t>
  </si>
  <si>
    <t>CCG of GP PracticeNHS WINDSOR, ASCOT AND MAIDENHEAD CCG (11C)Knee ReplacementOxford Knee Score</t>
  </si>
  <si>
    <t>CCG of GP PracticeNHS WILTSHIRE CCG (99N)Knee ReplacementOxford Knee Score</t>
  </si>
  <si>
    <t>CCG of GP PracticeNHS WIGAN BOROUGH CCG (02H)Knee ReplacementOxford Knee Score</t>
  </si>
  <si>
    <t>CCG of GP PracticeNHS WEST SUFFOLK CCG (07K)Knee ReplacementOxford Knee Score</t>
  </si>
  <si>
    <t>CCG of GP PracticeNHS WEST NORFOLK CCG (07J)Knee ReplacementOxford Knee Score</t>
  </si>
  <si>
    <t>CCG of GP PracticeNHS WEST LONDON CCG (08Y)Knee ReplacementOxford Knee Score</t>
  </si>
  <si>
    <t>CCG of GP PracticeNHS WEST LEICESTERSHIRE CCG (04V)Knee ReplacementOxford Knee Score</t>
  </si>
  <si>
    <t>CCG of GP PracticeNHS WEST LANCASHIRE CCG (02G)Knee ReplacementOxford Knee Score</t>
  </si>
  <si>
    <t>CCG of GP PracticeNHS WEST KENT CCG (99J)Knee ReplacementOxford Knee Score</t>
  </si>
  <si>
    <t>CCG of GP PracticeNHS WEST HAMPSHIRE CCG (11A)Knee ReplacementOxford Knee Score</t>
  </si>
  <si>
    <t>CCG of GP PracticeNHS LINCOLNSHIRE EAST CCG (03T)Knee ReplacementOxford Knee Score</t>
  </si>
  <si>
    <t>CCG of GP PracticeNHS WARRINGTON CCG (02E)Knee ReplacementOxford Knee Score</t>
  </si>
  <si>
    <t>CCG of GP PracticeNHS WARWICKSHIRE NORTH CCG (05H)Knee ReplacementOxford Knee Score</t>
  </si>
  <si>
    <t>CCG of GP PracticeNHS WANDSWORTH CCG (08X)Knee ReplacementOxford Knee Score</t>
  </si>
  <si>
    <t>CCG of GP PracticeNHS WALTHAM FOREST CCG (08W)Knee ReplacementOxford Knee Score</t>
  </si>
  <si>
    <t>CCG of GP PracticeNHS WALSALL CCG (05Y)Knee ReplacementOxford Knee Score</t>
  </si>
  <si>
    <t>CCG of GP PracticeNHS WAKEFIELD CCG (03R)Knee ReplacementOxford Knee Score</t>
  </si>
  <si>
    <t>CCG of GP PracticeNHS VALE ROYAL CCG (02D)Knee ReplacementOxford Knee Score</t>
  </si>
  <si>
    <t>CCG of GP PracticeNHS VALE OF YORK CCG (03Q)Knee ReplacementOxford Knee Score</t>
  </si>
  <si>
    <t>CCG of GP PracticeNHS TRAFFORD CCG (02A)Knee ReplacementOxford Knee Score</t>
  </si>
  <si>
    <t>CCG of GP PracticeNHS LUTON CCG (06P)Knee ReplacementOxford Knee Score</t>
  </si>
  <si>
    <t>CCG of GP PracticeNHS LIVERPOOL CCG (99A)Knee ReplacementOxford Knee Score</t>
  </si>
  <si>
    <t>CCG of GP PracticeNHS LINCOLNSHIRE WEST CCG (04D)Knee ReplacementOxford Knee Score</t>
  </si>
  <si>
    <t>CCG of GP PracticeNHS WEST ESSEX CCG (07H)Knee ReplacementOxford Knee Score</t>
  </si>
  <si>
    <t>CCG of GP PracticeNHS WEST CHESHIRE CCG (02F)Knee ReplacementOxford Knee Score</t>
  </si>
  <si>
    <t>CCG of GP PracticeNHS LEEDS SOUTH AND EAST CCG (03G)Knee ReplacementOxford Knee Score</t>
  </si>
  <si>
    <t>CCG of GP PracticeNHS LEEDS SOUTH AND EAST CCG (03G)Varicose VeinAberdeen Varicose Vein Questionnaire</t>
  </si>
  <si>
    <t>CCG of GP PracticeNHS WEST CHESHIRE CCG (02F)Varicose VeinAberdeen Varicose Vein Questionnaire</t>
  </si>
  <si>
    <t>CCG of GP PracticeNHS LINCOLNSHIRE WEST CCG (04D)Varicose VeinAberdeen Varicose Vein Questionnaire</t>
  </si>
  <si>
    <t>CCG of GP PracticeNHS LIVERPOOL CCG (99A)Varicose VeinAberdeen Varicose Vein Questionnaire</t>
  </si>
  <si>
    <t>CCG of GP PracticeNHS LUTON CCG (06P)Varicose VeinAberdeen Varicose Vein Questionnaire</t>
  </si>
  <si>
    <t>CCG of GP PracticeNHS TRAFFORD CCG (02A)Varicose VeinAberdeen Varicose Vein Questionnaire</t>
  </si>
  <si>
    <t>CCG of GP PracticeNHS VALE OF YORK CCG (03Q)Varicose VeinAberdeen Varicose Vein Questionnaire</t>
  </si>
  <si>
    <t>CCG of GP PracticeNHS VALE ROYAL CCG (02D)Varicose VeinAberdeen Varicose Vein Questionnaire</t>
  </si>
  <si>
    <t>CCG of GP PracticeNHS WAKEFIELD CCG (03R)Varicose VeinAberdeen Varicose Vein Questionnaire</t>
  </si>
  <si>
    <t>CCG of GP PracticeNHS WALSALL CCG (05Y)Varicose VeinAberdeen Varicose Vein Questionnaire</t>
  </si>
  <si>
    <t>CCG of GP PracticeNHS WALTHAM FOREST CCG (08W)Varicose VeinAberdeen Varicose Vein Questionnaire</t>
  </si>
  <si>
    <t>CCG of GP PracticeNHS WANDSWORTH CCG (08X)Varicose VeinAberdeen Varicose Vein Questionnaire</t>
  </si>
  <si>
    <t>CCG of GP PracticeNHS WARWICKSHIRE NORTH CCG (05H)Varicose VeinAberdeen Varicose Vein Questionnaire</t>
  </si>
  <si>
    <t>CCG of GP PracticeNHS WARRINGTON CCG (02E)Varicose VeinAberdeen Varicose Vein Questionnaire</t>
  </si>
  <si>
    <t>CCG of GP PracticeNHS LINCOLNSHIRE EAST CCG (03T)Varicose VeinAberdeen Varicose Vein Questionnaire</t>
  </si>
  <si>
    <t>CCG of GP PracticeNHS HARROGATE AND RURAL DISTRICT CCG (03E)Varicose VeinAberdeen Varicose Vein Questionnaire</t>
  </si>
  <si>
    <t>CCG of GP PracticeNHS WEST ESSEX CCG (07H)Varicose VeinAberdeen Varicose Vein Questionnaire</t>
  </si>
  <si>
    <t>CCG of GP PracticeNHS WEST HAMPSHIRE CCG (11A)Varicose VeinAberdeen Varicose Vein Questionnaire</t>
  </si>
  <si>
    <t>CCG of GP PracticeNHS WEST KENT CCG (99J)Varicose VeinAberdeen Varicose Vein Questionnaire</t>
  </si>
  <si>
    <t>CCG of GP PracticeNHS WEST LANCASHIRE CCG (02G)Varicose VeinAberdeen Varicose Vein Questionnaire</t>
  </si>
  <si>
    <t>CCG of GP PracticeNHS WEST LEICESTERSHIRE CCG (04V)Varicose VeinAberdeen Varicose Vein Questionnaire</t>
  </si>
  <si>
    <t>CCG of GP PracticeNHS WEST LONDON CCG (08Y)Varicose VeinAberdeen Varicose Vein Questionnaire</t>
  </si>
  <si>
    <t>CCG of GP PracticeNHS WEST NORFOLK CCG (07J)Varicose VeinAberdeen Varicose Vein Questionnaire</t>
  </si>
  <si>
    <t>CCG of GP PracticeNHS WEST SUFFOLK CCG (07K)Varicose VeinAberdeen Varicose Vein Questionnaire</t>
  </si>
  <si>
    <t>CCG of GP PracticeNHS WIGAN BOROUGH CCG (02H)Varicose VeinAberdeen Varicose Vein Questionnaire</t>
  </si>
  <si>
    <t>CCG of GP PracticeNHS WILTSHIRE CCG (99N)Varicose VeinAberdeen Varicose Vein Questionnaire</t>
  </si>
  <si>
    <t>CCG of GP PracticeNHS WIRRAL CCG (12F)Varicose VeinAberdeen Varicose Vein Questionnaire</t>
  </si>
  <si>
    <t>CCG of GP PracticeNHS WOKINGHAM CCG (11D)Varicose VeinAberdeen Varicose Vein Questionnaire</t>
  </si>
  <si>
    <t>CCG of GP PracticeNHS WOLVERHAMPTON CCG (06A)Varicose VeinAberdeen Varicose Vein Questionnaire</t>
  </si>
  <si>
    <t>CCG of GP PracticeNHS WYRE FOREST CCG (06D)Varicose VeinAberdeen Varicose Vein Questionnaire</t>
  </si>
  <si>
    <t>CCG of GP PracticeNHS GREATER PRESTON CCG (01E)Varicose VeinAberdeen Varicose Vein Questionnaire</t>
  </si>
  <si>
    <t>CCG of GP PracticeNHS GREATER HUDDERSFIELD CCG (03A)Varicose VeinAberdeen Varicose Vein Questionnaire</t>
  </si>
  <si>
    <t>CCG of GP PracticeNHS HARROW CCG (08E)Varicose VeinAberdeen Varicose Vein Questionnaire</t>
  </si>
  <si>
    <t>CCG of GP PracticeNHS HARTLEPOOL AND STOCKTON-ON-TEES CCG (00K)Varicose VeinAberdeen Varicose Vein Questionnaire</t>
  </si>
  <si>
    <t>CCG of GP PracticeNHS HASTINGS AND ROTHER CCG (09P)Varicose VeinAberdeen Varicose Vein Questionnaire</t>
  </si>
  <si>
    <t>CCG of GP PracticeNHS HAVERING CCG (08F)Varicose VeinAberdeen Varicose Vein Questionnaire</t>
  </si>
  <si>
    <t>CCG of GP PracticeNHS HEREFORDSHIRE CCG (05F)Varicose VeinAberdeen Varicose Vein Questionnaire</t>
  </si>
  <si>
    <t>CCG of GP PracticeNHS HERTS VALLEYS CCG (06N)Varicose VeinAberdeen Varicose Vein Questionnaire</t>
  </si>
  <si>
    <t>CCG of GP PracticeNHS HEYWOOD, MIDDLETON AND ROCHDALE CCG (01D)Varicose VeinAberdeen Varicose Vein Questionnaire</t>
  </si>
  <si>
    <t>CCG of GP PracticeNHS HIGH WEALD LEWES HAVENS CCG (99K)Varicose VeinAberdeen Varicose Vein Questionnaire</t>
  </si>
  <si>
    <t>CCG of GP PracticeNHS HILLINGDON CCG (08G)Varicose VeinAberdeen Varicose Vein Questionnaire</t>
  </si>
  <si>
    <t>CCG of GP PracticeNHS HORSHAM AND MID SUSSEX CCG (09X)Varicose VeinAberdeen Varicose Vein Questionnaire</t>
  </si>
  <si>
    <t>CCG of GP PracticeNHS HOUNSLOW CCG (07Y)Varicose VeinAberdeen Varicose Vein Questionnaire</t>
  </si>
  <si>
    <t>CCG of GP PracticeNHS HULL CCG (03F)Varicose VeinAberdeen Varicose Vein Questionnaire</t>
  </si>
  <si>
    <t>CCG of GP PracticeNHS IPSWICH AND EAST SUFFOLK CCG (06L)Varicose VeinAberdeen Varicose Vein Questionnaire</t>
  </si>
  <si>
    <t>CCG of GP PracticeNHS ISLINGTON CCG (08H)Varicose VeinAberdeen Varicose Vein Questionnaire</t>
  </si>
  <si>
    <t>CCG of GP PracticeNHS KERNOW CCG (11N)Varicose VeinAberdeen Varicose Vein Questionnaire</t>
  </si>
  <si>
    <t>CCG of GP PracticeNHS KINGSTON CCG (08J)Varicose VeinAberdeen Varicose Vein Questionnaire</t>
  </si>
  <si>
    <t>CCG of GP PracticeNHS KNOWSLEY CCG (01J)Varicose VeinAberdeen Varicose Vein Questionnaire</t>
  </si>
  <si>
    <t>CCG of GP PracticeNHS LAMBETH CCG (08K)Varicose VeinAberdeen Varicose Vein Questionnaire</t>
  </si>
  <si>
    <t>CCG of GP PracticeNHS LANCASHIRE NORTH CCG (01K)Varicose VeinAberdeen Varicose Vein Questionnaire</t>
  </si>
  <si>
    <t>CCG of GP PracticeNHS LEEDS NORTH CCG (02V)Varicose VeinAberdeen Varicose Vein Questionnaire</t>
  </si>
  <si>
    <t>CCG of GP PracticeNHS LEICESTER CITY CCG (04C)Varicose VeinAberdeen Varicose Vein Questionnaire</t>
  </si>
  <si>
    <t>CCG of GP PracticeNHS LEWISHAM CCG (08L)Varicose VeinAberdeen Varicose Vein Questionnaire</t>
  </si>
  <si>
    <t>CCG of GP PracticeNHS LEEDS WEST CCG (03C)Varicose VeinAberdeen Varicose Vein Questionnaire</t>
  </si>
  <si>
    <t>CCG of GP PracticeNATIONAL COMMISSIONING HUB 1 (13Q)Varicose VeinAberdeen Varicose Vein Questionnaire</t>
  </si>
  <si>
    <t>CCG of GP PracticeNHS AIREDALE, WHARFEDALE AND CRAVEN CCG (02N)Varicose VeinAberdeen Varicose Vein Questionnaire</t>
  </si>
  <si>
    <t>CCG of GP PracticeNHS ASHFORD CCG (09C)Varicose VeinAberdeen Varicose Vein Questionnaire</t>
  </si>
  <si>
    <t>CCG of GP PracticeNHS AYLESBURY VALE CCG (10Y)Varicose VeinAberdeen Varicose Vein Questionnaire</t>
  </si>
  <si>
    <t>CCG of GP PracticeNHS BARKING AND DAGENHAM CCG (07L)Varicose VeinAberdeen Varicose Vein Questionnaire</t>
  </si>
  <si>
    <t>CCG of GP PracticeNHS BARNET CCG (07M)Varicose VeinAberdeen Varicose Vein Questionnaire</t>
  </si>
  <si>
    <t>CCG of GP PracticeNHS BARNSLEY CCG (02P)Varicose VeinAberdeen Varicose Vein Questionnaire</t>
  </si>
  <si>
    <t>CCG of GP PracticeNHS BASILDON AND BRENTWOOD CCG (99E)Varicose VeinAberdeen Varicose Vein Questionnaire</t>
  </si>
  <si>
    <t>CCG of GP PracticeNHS BASSETLAW CCG (02Q)Varicose VeinAberdeen Varicose Vein Questionnaire</t>
  </si>
  <si>
    <t>CCG of GP PracticeNHS BATH AND NORTH EAST SOMERSET CCG (11E)Varicose VeinAberdeen Varicose Vein Questionnaire</t>
  </si>
  <si>
    <t>CCG of GP PracticeNHS BEDFORDSHIRE CCG (06F)Varicose VeinAberdeen Varicose Vein Questionnaire</t>
  </si>
  <si>
    <t>CCG of GP PracticeNHS BEXLEY CCG (07N)Varicose VeinAberdeen Varicose Vein Questionnaire</t>
  </si>
  <si>
    <t>CCG of GP PracticeNHS BIRMINGHAM CROSSCITY CCG (13P)Varicose VeinAberdeen Varicose Vein Questionnaire</t>
  </si>
  <si>
    <t>CCG of GP PracticeNHS BIRMINGHAM SOUTH AND CENTRAL CCG (04X)Varicose VeinAberdeen Varicose Vein Questionnaire</t>
  </si>
  <si>
    <t>CCG of GP PracticeNHS BLACKBURN WITH DARWEN CCG (00Q)Varicose VeinAberdeen Varicose Vein Questionnaire</t>
  </si>
  <si>
    <t>CCG of GP PracticeNHS MANSFIELD AND ASHFIELD CCG (04E)Varicose VeinAberdeen Varicose Vein Questionnaire</t>
  </si>
  <si>
    <t>CCG of GP PracticeNHS MEDWAY CCG (09W)Varicose VeinAberdeen Varicose Vein Questionnaire</t>
  </si>
  <si>
    <t>CCG of GP PracticeNHS MERTON CCG (08R)Varicose VeinAberdeen Varicose Vein Questionnaire</t>
  </si>
  <si>
    <t>CCG of GP PracticeNHS MID ESSEX CCG (06Q)Varicose VeinAberdeen Varicose Vein Questionnaire</t>
  </si>
  <si>
    <t>CCG of GP PracticeNHS MILTON KEYNES CCG (04F)Varicose VeinAberdeen Varicose Vein Questionnaire</t>
  </si>
  <si>
    <t>CCG of GP PracticeNHS NENE CCG (04G)Varicose VeinAberdeen Varicose Vein Questionnaire</t>
  </si>
  <si>
    <t>CCG of GP PracticeNHS NEWARK &amp; SHERWOOD CCG (04H)Varicose VeinAberdeen Varicose Vein Questionnaire</t>
  </si>
  <si>
    <t>CCG of GP PracticeNHS NEWHAM CCG (08M)Varicose VeinAberdeen Varicose Vein Questionnaire</t>
  </si>
  <si>
    <t>CCG of GP PracticeNHS NORTH &amp; WEST READING CCG (10N)Varicose VeinAberdeen Varicose Vein Questionnaire</t>
  </si>
  <si>
    <t>CCG of GP PracticeNHS NORTH DERBYSHIRE CCG (04J)Varicose VeinAberdeen Varicose Vein Questionnaire</t>
  </si>
  <si>
    <t>CCG of GP PracticeNHS NORTH DURHAM CCG (00J)Varicose VeinAberdeen Varicose Vein Questionnaire</t>
  </si>
  <si>
    <t>CCG of GP PracticeNHS NORTH EAST ESSEX CCG (06T)Varicose VeinAberdeen Varicose Vein Questionnaire</t>
  </si>
  <si>
    <t>CCG of GP PracticeNHS NORTH EAST HAMPSHIRE AND FARNHAM CCG (99M)Varicose VeinAberdeen Varicose Vein Questionnaire</t>
  </si>
  <si>
    <t>CCG of GP PracticeNHS NORTH EAST LINCOLNSHIRE CCG (03H)Varicose VeinAberdeen Varicose Vein Questionnaire</t>
  </si>
  <si>
    <t>CCG of GP PracticeNHS NORTH KIRKLEES CCG (03J)Varicose VeinAberdeen Varicose Vein Questionnaire</t>
  </si>
  <si>
    <t>CCG of GP PracticeNHS NORTH LINCOLNSHIRE CCG (03K)Varicose VeinAberdeen Varicose Vein Questionnaire</t>
  </si>
  <si>
    <t>CCG of GP PracticeNHS NORTH MANCHESTER CCG (01M)Varicose VeinAberdeen Varicose Vein Questionnaire</t>
  </si>
  <si>
    <t>CCG of GP PracticeNHS NORTH NORFOLK CCG (06V)Varicose VeinAberdeen Varicose Vein Questionnaire</t>
  </si>
  <si>
    <t>CCG of GP PracticeNHS NORTH SOMERSET CCG (11T)Varicose VeinAberdeen Varicose Vein Questionnaire</t>
  </si>
  <si>
    <t>CCG of GP PracticeNHS NORTH STAFFORDSHIRE CCG (05G)Varicose VeinAberdeen Varicose Vein Questionnaire</t>
  </si>
  <si>
    <t>CCG of GP PracticeNHS NORTH TYNESIDE CCG (99C)Varicose VeinAberdeen Varicose Vein Questionnaire</t>
  </si>
  <si>
    <t>CCG of GP PracticeNHS NORTH WEST SURREY CCG (09Y)Varicose VeinAberdeen Varicose Vein Questionnaire</t>
  </si>
  <si>
    <t>CCG of GP PracticeNHS NORTHERN, EASTERN AND WESTERN DEVON CCG (99P)Varicose VeinAberdeen Varicose Vein Questionnaire</t>
  </si>
  <si>
    <t>CCG of GP PracticeNHS BOLTON CCG (00T)Varicose VeinAberdeen Varicose Vein Questionnaire</t>
  </si>
  <si>
    <t>CCG of GP PracticeNHS BRADFORD CITY CCG (02W)Varicose VeinAberdeen Varicose Vein Questionnaire</t>
  </si>
  <si>
    <t>CCG of GP PracticeNHS BRADFORD DISTRICTS CCG (02R)Varicose VeinAberdeen Varicose Vein Questionnaire</t>
  </si>
  <si>
    <t>CCG of GP PracticeNHS BRENT CCG (07P)Varicose VeinAberdeen Varicose Vein Questionnaire</t>
  </si>
  <si>
    <t>CCG of GP PracticeNHS BRIGHTON AND HOVE CCG (09D)Varicose VeinAberdeen Varicose Vein Questionnaire</t>
  </si>
  <si>
    <t>CCG of GP PracticeNHS BRISTOL CCG (11H)Varicose VeinAberdeen Varicose Vein Questionnaire</t>
  </si>
  <si>
    <t>CCG of GP PracticeNHS BROMLEY CCG (07Q)Varicose VeinAberdeen Varicose Vein Questionnaire</t>
  </si>
  <si>
    <t>CCG of GP PracticeNHS BURY CCG (00V)Varicose VeinAberdeen Varicose Vein Questionnaire</t>
  </si>
  <si>
    <t>CCG of GP PracticeNHS CALDERDALE CCG (02T)Varicose VeinAberdeen Varicose Vein Questionnaire</t>
  </si>
  <si>
    <t>CCG of GP PracticeNHS CAMBRIDGESHIRE AND PETERBOROUGH CCG (06H)Varicose VeinAberdeen Varicose Vein Questionnaire</t>
  </si>
  <si>
    <t>CCG of GP PracticeNHS CAMDEN CCG (07R)Varicose VeinAberdeen Varicose Vein Questionnaire</t>
  </si>
  <si>
    <t>CCG of GP PracticeNHS CANNOCK CHASE CCG (04Y)Varicose VeinAberdeen Varicose Vein Questionnaire</t>
  </si>
  <si>
    <t>CCG of GP PracticeNHS CASTLE POINT AND ROCHFORD CCG (99F)Varicose VeinAberdeen Varicose Vein Questionnaire</t>
  </si>
  <si>
    <t>CCG of GP PracticeNHS CENTRAL LONDON (WESTMINSTER) CCG (09A)Varicose VeinAberdeen Varicose Vein Questionnaire</t>
  </si>
  <si>
    <t>CCG of GP PracticeNHS CENTRAL MANCHESTER CCG (00W)Varicose VeinAberdeen Varicose Vein Questionnaire</t>
  </si>
  <si>
    <t>CCG of GP PracticeNHS BLACKPOOL CCG (00R)Varicose VeinAberdeen Varicose Vein Questionnaire</t>
  </si>
  <si>
    <t>CCG of GP PracticeNHS CHILTERN CCG (10H)Varicose VeinAberdeen Varicose Vein Questionnaire</t>
  </si>
  <si>
    <t>CCG of GP PracticeNHS CHORLEY AND SOUTH RIBBLE CCG (00X)Varicose VeinAberdeen Varicose Vein Questionnaire</t>
  </si>
  <si>
    <t>CCG of GP PracticeNHS CITY AND HACKNEY CCG (07T)Varicose VeinAberdeen Varicose Vein Questionnaire</t>
  </si>
  <si>
    <t>CCG of GP PracticeNHS COASTAL WEST SUSSEX CCG (09G)Varicose VeinAberdeen Varicose Vein Questionnaire</t>
  </si>
  <si>
    <t>CCG of GP PracticeNHS COVENTRY AND RUGBY CCG (05A)Varicose VeinAberdeen Varicose Vein Questionnaire</t>
  </si>
  <si>
    <t>CCG of GP PracticeNHS CRAWLEY CCG (09H)Varicose VeinAberdeen Varicose Vein Questionnaire</t>
  </si>
  <si>
    <t>CCG of GP PracticeNHS CROYDON CCG (07V)Varicose VeinAberdeen Varicose Vein Questionnaire</t>
  </si>
  <si>
    <t>CCG of GP PracticeNHS CUMBRIA CCG (01H)Varicose VeinAberdeen Varicose Vein Questionnaire</t>
  </si>
  <si>
    <t>CCG of GP PracticeNHS DARLINGTON CCG (00C)Varicose VeinAberdeen Varicose Vein Questionnaire</t>
  </si>
  <si>
    <t>CCG of GP PracticeNHS DARTFORD, GRAVESHAM AND SWANLEY CCG (09J)Varicose VeinAberdeen Varicose Vein Questionnaire</t>
  </si>
  <si>
    <t>CCG of GP PracticeNHS DONCASTER CCG (02X)Varicose VeinAberdeen Varicose Vein Questionnaire</t>
  </si>
  <si>
    <t>CCG of GP PracticeNHS NORWICH CCG (06W)Varicose VeinAberdeen Varicose Vein Questionnaire</t>
  </si>
  <si>
    <t>CCG of GP PracticeNHS NORTHUMBERLAND CCG (00L)Varicose VeinAberdeen Varicose Vein Questionnaire</t>
  </si>
  <si>
    <t>CCG of GP PracticeNHS NOTTINGHAM CITY CCG (04K)Varicose VeinAberdeen Varicose Vein Questionnaire</t>
  </si>
  <si>
    <t>CCG of GP PracticeNHS NOTTINGHAM NORTH AND EAST CCG (04L)Varicose VeinAberdeen Varicose Vein Questionnaire</t>
  </si>
  <si>
    <t>CCG of GP PracticeNHS NOTTINGHAM WEST CCG (04M)Varicose VeinAberdeen Varicose Vein Questionnaire</t>
  </si>
  <si>
    <t>CCG of GP PracticeNHS OLDHAM CCG (00Y)Varicose VeinAberdeen Varicose Vein Questionnaire</t>
  </si>
  <si>
    <t>CCG of GP PracticeNHS OXFORDSHIRE CCG (10Q)Varicose VeinAberdeen Varicose Vein Questionnaire</t>
  </si>
  <si>
    <t>CCG of GP PracticeNHS PORTSMOUTH CCG (10R)Varicose VeinAberdeen Varicose Vein Questionnaire</t>
  </si>
  <si>
    <t>CCG of GP PracticeNHS REDBRIDGE CCG (08N)Varicose VeinAberdeen Varicose Vein Questionnaire</t>
  </si>
  <si>
    <t>CCG of GP PracticeNHS RICHMOND CCG (08P)Varicose VeinAberdeen Varicose Vein Questionnaire</t>
  </si>
  <si>
    <t>CCG of GP PracticeNHS ROTHERHAM CCG (03L)Varicose VeinAberdeen Varicose Vein Questionnaire</t>
  </si>
  <si>
    <t>CCG of GP PracticeNHS RUSHCLIFFE CCG (04N)Varicose VeinAberdeen Varicose Vein Questionnaire</t>
  </si>
  <si>
    <t>CCG of GP PracticeNHS SALFORD CCG (01G)Varicose VeinAberdeen Varicose Vein Questionnaire</t>
  </si>
  <si>
    <t>CCG of GP PracticeNHS SANDWELL AND WEST BIRMINGHAM CCG (05L)Varicose VeinAberdeen Varicose Vein Questionnaire</t>
  </si>
  <si>
    <t>CCG of GP PracticeNHS SCARBOROUGH AND RYEDALE CCG (03M)Varicose VeinAberdeen Varicose Vein Questionnaire</t>
  </si>
  <si>
    <t>CCG of GP PracticeNHS SHEFFIELD CCG (03N)Varicose VeinAberdeen Varicose Vein Questionnaire</t>
  </si>
  <si>
    <t>CCG of GP PracticeNHS SHROPSHIRE CCG (05N)Varicose VeinAberdeen Varicose Vein Questionnaire</t>
  </si>
  <si>
    <t>CCG of GP PracticeNHS SOLIHULL CCG (05P)Varicose VeinAberdeen Varicose Vein Questionnaire</t>
  </si>
  <si>
    <t>CCG of GP PracticeNHS SOMERSET CCG (11X)Varicose VeinAberdeen Varicose Vein Questionnaire</t>
  </si>
  <si>
    <t>CCG of GP PracticeNHS SOUTH CHESHIRE CCG (01R)Varicose VeinAberdeen Varicose Vein Questionnaire</t>
  </si>
  <si>
    <t>CCG of GP PracticeNHS SOUTH DEVON AND TORBAY CCG (99Q)Varicose VeinAberdeen Varicose Vein Questionnaire</t>
  </si>
  <si>
    <t>CCG of GP PracticeNHS SOUTH EAST STAFFORDSHIRE AND SEISDON PENINSULA CCG (05Q)Varicose VeinAberdeen Varicose Vein Questionnaire</t>
  </si>
  <si>
    <t>CCG of GP PracticeNHS SOUTH EASTERN HAMPSHIRE CCG (10V)Varicose VeinAberdeen Varicose Vein Questionnaire</t>
  </si>
  <si>
    <t>CCG of GP PracticeNHS SOUTH GLOUCESTERSHIRE CCG (12A)Varicose VeinAberdeen Varicose Vein Questionnaire</t>
  </si>
  <si>
    <t>CCG of GP PracticeNHS SOUTH LINCOLNSHIRE CCG (99D)Varicose VeinAberdeen Varicose Vein Questionnaire</t>
  </si>
  <si>
    <t>CCG of GP PracticeNHS DORSET CCG (11J)Varicose VeinAberdeen Varicose Vein Questionnaire</t>
  </si>
  <si>
    <t>CCG of GP PracticeNHS DUDLEY CCG (05C)Varicose VeinAberdeen Varicose Vein Questionnaire</t>
  </si>
  <si>
    <t>CCG of GP PracticeNHS DURHAM DALES, EASINGTON AND SEDGEFIELD CCG (00D)Varicose VeinAberdeen Varicose Vein Questionnaire</t>
  </si>
  <si>
    <t>CCG of GP PracticeNHS EALING CCG (07W)Varicose VeinAberdeen Varicose Vein Questionnaire</t>
  </si>
  <si>
    <t>CCG of GP PracticeNHS EAST AND NORTH HERTFORDSHIRE CCG (06K)Varicose VeinAberdeen Varicose Vein Questionnaire</t>
  </si>
  <si>
    <t>CCG of GP PracticeNHS EAST LANCASHIRE CCG (01A)Varicose VeinAberdeen Varicose Vein Questionnaire</t>
  </si>
  <si>
    <t>CCG of GP PracticeNHS EAST LEICESTERSHIRE AND RUTLAND CCG (03W)Varicose VeinAberdeen Varicose Vein Questionnaire</t>
  </si>
  <si>
    <t>CCG of GP PracticeNHS EAST RIDING OF YORKSHIRE CCG (02Y)Varicose VeinAberdeen Varicose Vein Questionnaire</t>
  </si>
  <si>
    <t>CCG of GP PracticeNHS EAST STAFFORDSHIRE CCG (05D)Varicose VeinAberdeen Varicose Vein Questionnaire</t>
  </si>
  <si>
    <t>CCG of GP PracticeNHS EAST SURREY CCG (09L)Varicose VeinAberdeen Varicose Vein Questionnaire</t>
  </si>
  <si>
    <t>CCG of GP PracticeNHS EASTBOURNE, HAILSHAM AND SEAFORD CCG (09F)Varicose VeinAberdeen Varicose Vein Questionnaire</t>
  </si>
  <si>
    <t>CCG of GP PracticeNHS EASTERN CHESHIRE CCG (01C)Varicose VeinAberdeen Varicose Vein Questionnaire</t>
  </si>
  <si>
    <t>CCG of GP PracticeNHS ENFIELD CCG (07X)Varicose VeinAberdeen Varicose Vein Questionnaire</t>
  </si>
  <si>
    <t>CCG of GP PracticeNHS EREWASH CCG (03X)Varicose VeinAberdeen Varicose Vein Questionnaire</t>
  </si>
  <si>
    <t>CCG of GP PracticeNHS FAREHAM AND GOSPORT CCG (10K)Varicose VeinAberdeen Varicose Vein Questionnaire</t>
  </si>
  <si>
    <t>CCG of GP PracticeNHS FYLDE &amp; WYRE CCG (02M)Varicose VeinAberdeen Varicose Vein Questionnaire</t>
  </si>
  <si>
    <t>CCG of GP PracticeNHS GLOUCESTERSHIRE CCG (11M)Varicose VeinAberdeen Varicose Vein Questionnaire</t>
  </si>
  <si>
    <t>CCG of GP PracticeNHS GREENWICH CCG (08A)Varicose VeinAberdeen Varicose Vein Questionnaire</t>
  </si>
  <si>
    <t>CCG of GP PracticeNHS SOUTH TYNESIDE CCG (00N)Varicose VeinAberdeen Varicose Vein Questionnaire</t>
  </si>
  <si>
    <t>CCG of GP PracticeNHS GREAT YARMOUTH AND WAVENEY CCG (06M)Varicose VeinAberdeen Varicose Vein Questionnaire</t>
  </si>
  <si>
    <t>CCG of GP PracticeNHS GUILDFORD AND WAVERLEY CCG (09N)Varicose VeinAberdeen Varicose Vein Questionnaire</t>
  </si>
  <si>
    <t>CCG of GP PracticeNHS HALTON CCG (01F)Varicose VeinAberdeen Varicose Vein Questionnaire</t>
  </si>
  <si>
    <t>CCG of GP PracticeNHS HAMBLETON, RICHMONDSHIRE AND WHITBY CCG (03D)Varicose VeinAberdeen Varicose Vein Questionnaire</t>
  </si>
  <si>
    <t>CCG of GP PracticeNHS HAMMERSMITH AND FULHAM CCG (08C)Varicose VeinAberdeen Varicose Vein Questionnaire</t>
  </si>
  <si>
    <t>CCG of GP PracticeNHS HARDWICK CCG (03Y)Varicose VeinAberdeen Varicose Vein Questionnaire</t>
  </si>
  <si>
    <t>CCG of GP PracticeNHS HARINGEY CCG (08D)Varicose VeinAberdeen Varicose Vein Questionnaire</t>
  </si>
  <si>
    <t>CCG of GP PracticeNHS SOUTH MANCHESTER CCG (01N)Varicose VeinAberdeen Varicose Vein Questionnaire</t>
  </si>
  <si>
    <t>CCG of GP PracticeNHS SOUTH NORFOLK CCG (06Y)Varicose VeinAberdeen Varicose Vein Questionnaire</t>
  </si>
  <si>
    <t>CCG of GP PracticeNHS SOUTH READING CCG (10W)Varicose VeinAberdeen Varicose Vein Questionnaire</t>
  </si>
  <si>
    <t>CCG of GP PracticeNHS SOUTH SEFTON CCG (01T)Varicose VeinAberdeen Varicose Vein Questionnaire</t>
  </si>
  <si>
    <t>CCG of GP PracticeNHS SOUTH TEES CCG (00M)Varicose VeinAberdeen Varicose Vein Questionnaire</t>
  </si>
  <si>
    <t>CCG of GP PracticeNHS SOUTH WARWICKSHIRE CCG (05R)Varicose VeinAberdeen Varicose Vein Questionnaire</t>
  </si>
  <si>
    <t>CCG of GP PracticeNHS SOUTH WEST LINCOLNSHIRE CCG (04Q)Varicose VeinAberdeen Varicose Vein Questionnaire</t>
  </si>
  <si>
    <t>CCG of GP PracticeNHS SOUTH WORCESTERSHIRE CCG (05T)Varicose VeinAberdeen Varicose Vein Questionnaire</t>
  </si>
  <si>
    <t>CCG of GP PracticeNHS SOUTHAMPTON CCG (10X)Varicose VeinAberdeen Varicose Vein Questionnaire</t>
  </si>
  <si>
    <t>CCG of GP PracticeNHS SOUTHEND CCG (99G)Varicose VeinAberdeen Varicose Vein Questionnaire</t>
  </si>
  <si>
    <t>CCG of GP PracticeNHS SOUTHERN DERBYSHIRE CCG (04R)Varicose VeinAberdeen Varicose Vein Questionnaire</t>
  </si>
  <si>
    <t>CCG of GP PracticeNHS SOUTHPORT AND FORMBY CCG (01V)Varicose VeinAberdeen Varicose Vein Questionnaire</t>
  </si>
  <si>
    <t>CCG of GP PracticeNHS SOUTHWARK CCG (08Q)Varicose VeinAberdeen Varicose Vein Questionnaire</t>
  </si>
  <si>
    <t>CCG of GP PracticeNHS ST HELENS CCG (01X)Varicose VeinAberdeen Varicose Vein Questionnaire</t>
  </si>
  <si>
    <t>CCG of GP PracticeNHS STAFFORD AND SURROUNDS CCG (05V)Varicose VeinAberdeen Varicose Vein Questionnaire</t>
  </si>
  <si>
    <t>CCG of GP PracticeNHS STOCKPORT CCG (01W)Varicose VeinAberdeen Varicose Vein Questionnaire</t>
  </si>
  <si>
    <t>CCG of GP PracticeNHS STOKE ON TRENT CCG (05W)Varicose VeinAberdeen Varicose Vein Questionnaire</t>
  </si>
  <si>
    <t>CCG of GP PracticeNHS SUNDERLAND CCG (00P)Varicose VeinAberdeen Varicose Vein Questionnaire</t>
  </si>
  <si>
    <t>CCG of GP PracticeNHS SURREY DOWNS CCG (99H)Varicose VeinAberdeen Varicose Vein Questionnaire</t>
  </si>
  <si>
    <t>CCG of GP PracticeNHS SURREY HEATH CCG (10C)Varicose VeinAberdeen Varicose Vein Questionnaire</t>
  </si>
  <si>
    <t>CCG of GP PracticeNHS SUTTON CCG (08T)Varicose VeinAberdeen Varicose Vein Questionnaire</t>
  </si>
  <si>
    <t>CCG of GP PracticeNHS SWALE CCG (10D)Varicose VeinAberdeen Varicose Vein Questionnaire</t>
  </si>
  <si>
    <t>CCG of GP PracticeNHS SWINDON CCG (12D)Varicose VeinAberdeen Varicose Vein Questionnaire</t>
  </si>
  <si>
    <t>CCG of GP PracticeNHS TAMESIDE AND GLOSSOP CCG (01Y)Varicose VeinAberdeen Varicose Vein Questionnaire</t>
  </si>
  <si>
    <t>CCG of GP PracticeNHS TELFORD AND WREKIN CCG (05X)Varicose VeinAberdeen Varicose Vein Questionnaire</t>
  </si>
  <si>
    <t>CCG of GP PracticeNHS THURROCK CCG (07G)Varicose VeinAberdeen Varicose Vein Questionnaire</t>
  </si>
  <si>
    <t>CCG of GP PracticeNHS TOWER HAMLETS CCG (08V)Varicose VeinAberdeen Varicose Vein Questionnaire</t>
  </si>
  <si>
    <t>CCG of GP PracticeNHS TOWER HAMLETS CCG (08V)Varicose VeinEQ VAS</t>
  </si>
  <si>
    <t>CCG of GP PracticeNHS THURROCK CCG (07G)Varicose VeinEQ VAS</t>
  </si>
  <si>
    <t>CCG of GP PracticeNHS SOUTH TYNESIDE CCG (00N)Varicose VeinEQ VAS</t>
  </si>
  <si>
    <t>CCG of GP PracticeNHS TELFORD AND WREKIN CCG (05X)Varicose VeinEQ VAS</t>
  </si>
  <si>
    <t>CCG of GP PracticeNHS TAMESIDE AND GLOSSOP CCG (01Y)Varicose VeinEQ VAS</t>
  </si>
  <si>
    <t>CCG of GP PracticeNHS SWINDON CCG (12D)Varicose VeinEQ VAS</t>
  </si>
  <si>
    <t>CCG of GP PracticeNHS SWALE CCG (10D)Varicose VeinEQ VAS</t>
  </si>
  <si>
    <t>CCG of GP PracticeNHS SUTTON CCG (08T)Varicose VeinEQ VAS</t>
  </si>
  <si>
    <t>CCG of GP PracticeNHS SURREY HEATH CCG (10C)Varicose VeinEQ VAS</t>
  </si>
  <si>
    <t>CCG of GP PracticeNHS SURREY DOWNS CCG (99H)Varicose VeinEQ VAS</t>
  </si>
  <si>
    <t>CCG of GP PracticeNHS SUNDERLAND CCG (00P)Varicose VeinEQ VAS</t>
  </si>
  <si>
    <t>CCG of GP PracticeNHS STOKE ON TRENT CCG (05W)Varicose VeinEQ VAS</t>
  </si>
  <si>
    <t>CCG of GP PracticeNHS STOCKPORT CCG (01W)Varicose VeinEQ VAS</t>
  </si>
  <si>
    <t>CCG of GP PracticeNHS STAFFORD AND SURROUNDS CCG (05V)Varicose VeinEQ VAS</t>
  </si>
  <si>
    <t>CCG of GP PracticeNHS ST HELENS CCG (01X)Varicose VeinEQ VAS</t>
  </si>
  <si>
    <t>CCG of GP PracticeNHS SOUTHWARK CCG (08Q)Varicose VeinEQ VAS</t>
  </si>
  <si>
    <t>CCG of GP PracticeNHS SOUTHPORT AND FORMBY CCG (01V)Varicose VeinEQ VAS</t>
  </si>
  <si>
    <t>CCG of GP PracticeNHS SOUTHERN DERBYSHIRE CCG (04R)Varicose VeinEQ VAS</t>
  </si>
  <si>
    <t>CCG of GP PracticeNHS SOUTHEND CCG (99G)Varicose VeinEQ VAS</t>
  </si>
  <si>
    <t>CCG of GP PracticeNHS SOUTHAMPTON CCG (10X)Varicose VeinEQ VAS</t>
  </si>
  <si>
    <t>CCG of GP PracticeNHS SOUTH WORCESTERSHIRE CCG (05T)Varicose VeinEQ VAS</t>
  </si>
  <si>
    <t>CCG of GP PracticeNHS SOUTH WEST LINCOLNSHIRE CCG (04Q)Varicose VeinEQ VAS</t>
  </si>
  <si>
    <t>CCG of GP PracticeNHS SOUTH WARWICKSHIRE CCG (05R)Varicose VeinEQ VAS</t>
  </si>
  <si>
    <t>CCG of GP PracticeNHS SOUTH TEES CCG (00M)Varicose VeinEQ VAS</t>
  </si>
  <si>
    <t>CCG of GP PracticeNHS SOUTH SEFTON CCG (01T)Varicose VeinEQ VAS</t>
  </si>
  <si>
    <t>CCG of GP PracticeNHS SOUTH READING CCG (10W)Varicose VeinEQ VAS</t>
  </si>
  <si>
    <t>CCG of GP PracticeNHS SOUTH NORFOLK CCG (06Y)Varicose VeinEQ VAS</t>
  </si>
  <si>
    <t>CCG of GP PracticeNHS SOUTH MANCHESTER CCG (01N)Varicose VeinEQ VAS</t>
  </si>
  <si>
    <t>CCG of GP PracticeNHS HARINGEY CCG (08D)Varicose VeinEQ VAS</t>
  </si>
  <si>
    <t>CCG of GP PracticeNHS HARDWICK CCG (03Y)Varicose VeinEQ VAS</t>
  </si>
  <si>
    <t>CCG of GP PracticeNHS HAMMERSMITH AND FULHAM CCG (08C)Varicose VeinEQ VAS</t>
  </si>
  <si>
    <t>CCG of GP PracticeNHS HAMBLETON, RICHMONDSHIRE AND WHITBY CCG (03D)Varicose VeinEQ VAS</t>
  </si>
  <si>
    <t>CCG of GP PracticeNHS HALTON CCG (01F)Varicose VeinEQ VAS</t>
  </si>
  <si>
    <t>CCG of GP PracticeNHS GUILDFORD AND WAVERLEY CCG (09N)Varicose VeinEQ VAS</t>
  </si>
  <si>
    <t>CCG of GP PracticeNHS GREAT YARMOUTH AND WAVENEY CCG (06M)Varicose VeinEQ VAS</t>
  </si>
  <si>
    <t>CCG of GP PracticeNHS GREENWICH CCG (08A)Varicose VeinEQ VAS</t>
  </si>
  <si>
    <t>CCG of GP PracticeNHS GLOUCESTERSHIRE CCG (11M)Varicose VeinEQ VAS</t>
  </si>
  <si>
    <t>CCG of GP PracticeNHS FYLDE &amp; WYRE CCG (02M)Varicose VeinEQ VAS</t>
  </si>
  <si>
    <t>CCG of GP PracticeNHS FAREHAM AND GOSPORT CCG (10K)Varicose VeinEQ VAS</t>
  </si>
  <si>
    <t>CCG of GP PracticeNHS EREWASH CCG (03X)Varicose VeinEQ VAS</t>
  </si>
  <si>
    <t>CCG of GP PracticeNHS ENFIELD CCG (07X)Varicose VeinEQ VAS</t>
  </si>
  <si>
    <t>CCG of GP PracticeNHS EASTERN CHESHIRE CCG (01C)Varicose VeinEQ VAS</t>
  </si>
  <si>
    <t>CCG of GP PracticeNHS EASTBOURNE, HAILSHAM AND SEAFORD CCG (09F)Varicose VeinEQ VAS</t>
  </si>
  <si>
    <t>CCG of GP PracticeNHS EAST SURREY CCG (09L)Varicose VeinEQ VAS</t>
  </si>
  <si>
    <t>CCG of GP PracticeNHS EAST STAFFORDSHIRE CCG (05D)Varicose VeinEQ VAS</t>
  </si>
  <si>
    <t>CCG of GP PracticeNHS EAST RIDING OF YORKSHIRE CCG (02Y)Varicose VeinEQ VAS</t>
  </si>
  <si>
    <t>CCG of GP PracticeNHS EAST LEICESTERSHIRE AND RUTLAND CCG (03W)Varicose VeinEQ VAS</t>
  </si>
  <si>
    <t>CCG of GP PracticeNHS EAST LANCASHIRE CCG (01A)Varicose VeinEQ VAS</t>
  </si>
  <si>
    <t>CCG of GP PracticeNHS EAST AND NORTH HERTFORDSHIRE CCG (06K)Varicose VeinEQ VAS</t>
  </si>
  <si>
    <t>CCG of GP PracticeNHS EALING CCG (07W)Varicose VeinEQ VAS</t>
  </si>
  <si>
    <t>CCG of GP PracticeNHS DURHAM DALES, EASINGTON AND SEDGEFIELD CCG (00D)Varicose VeinEQ VAS</t>
  </si>
  <si>
    <t>CCG of GP PracticeNHS DUDLEY CCG (05C)Varicose VeinEQ VAS</t>
  </si>
  <si>
    <t>CCG of GP PracticeNHS DORSET CCG (11J)Varicose VeinEQ VAS</t>
  </si>
  <si>
    <t>CCG of GP PracticeNHS SOUTH LINCOLNSHIRE CCG (99D)Varicose VeinEQ VAS</t>
  </si>
  <si>
    <t>CCG of GP PracticeNHS SOUTH GLOUCESTERSHIRE CCG (12A)Varicose VeinEQ VAS</t>
  </si>
  <si>
    <t>CCG of GP PracticeNHS SOUTH EASTERN HAMPSHIRE CCG (10V)Varicose VeinEQ VAS</t>
  </si>
  <si>
    <t>CCG of GP PracticeNHS SOUTH EAST STAFFORDSHIRE AND SEISDON PENINSULA CCG (05Q)Varicose VeinEQ VAS</t>
  </si>
  <si>
    <t>CCG of GP PracticeNHS SOUTH DEVON AND TORBAY CCG (99Q)Varicose VeinEQ VAS</t>
  </si>
  <si>
    <t>CCG of GP PracticeNHS SOUTH CHESHIRE CCG (01R)Varicose VeinEQ VAS</t>
  </si>
  <si>
    <t>CCG of GP PracticeNHS SOMERSET CCG (11X)Varicose VeinEQ VAS</t>
  </si>
  <si>
    <t>CCG of GP PracticeNHS SOLIHULL CCG (05P)Varicose VeinEQ VAS</t>
  </si>
  <si>
    <t>CCG of GP PracticeNHS SHROPSHIRE CCG (05N)Varicose VeinEQ VAS</t>
  </si>
  <si>
    <t>CCG of GP PracticeNHS SHEFFIELD CCG (03N)Varicose VeinEQ VAS</t>
  </si>
  <si>
    <t>CCG of GP PracticeNHS SCARBOROUGH AND RYEDALE CCG (03M)Varicose VeinEQ VAS</t>
  </si>
  <si>
    <t>CCG of GP PracticeNHS SANDWELL AND WEST BIRMINGHAM CCG (05L)Varicose VeinEQ VAS</t>
  </si>
  <si>
    <t>CCG of GP PracticeNHS SALFORD CCG (01G)Varicose VeinEQ VAS</t>
  </si>
  <si>
    <t>CCG of GP PracticeNHS RUSHCLIFFE CCG (04N)Varicose VeinEQ VAS</t>
  </si>
  <si>
    <t>CCG of GP PracticeNHS ROTHERHAM CCG (03L)Varicose VeinEQ VAS</t>
  </si>
  <si>
    <t>CCG of GP PracticeNHS RICHMOND CCG (08P)Varicose VeinEQ VAS</t>
  </si>
  <si>
    <t>CCG of GP PracticeNHS REDBRIDGE CCG (08N)Varicose VeinEQ VAS</t>
  </si>
  <si>
    <t>CCG of GP PracticeNHS PORTSMOUTH CCG (10R)Varicose VeinEQ VAS</t>
  </si>
  <si>
    <t>CCG of GP PracticeNHS OXFORDSHIRE CCG (10Q)Varicose VeinEQ VAS</t>
  </si>
  <si>
    <t>CCG of GP PracticeNHS OLDHAM CCG (00Y)Varicose VeinEQ VAS</t>
  </si>
  <si>
    <t>CCG of GP PracticeNHS NOTTINGHAM WEST CCG (04M)Varicose VeinEQ VAS</t>
  </si>
  <si>
    <t>CCG of GP PracticeNHS NOTTINGHAM NORTH AND EAST CCG (04L)Varicose VeinEQ VAS</t>
  </si>
  <si>
    <t>CCG of GP PracticeNHS NOTTINGHAM CITY CCG (04K)Varicose VeinEQ VAS</t>
  </si>
  <si>
    <t>CCG of GP PracticeNHS NORTHUMBERLAND CCG (00L)Varicose VeinEQ VAS</t>
  </si>
  <si>
    <t>CCG of GP PracticeNHS NORWICH CCG (06W)Varicose VeinEQ VAS</t>
  </si>
  <si>
    <t>CCG of GP PracticeNHS DONCASTER CCG (02X)Varicose VeinEQ VAS</t>
  </si>
  <si>
    <t>CCG of GP PracticeNHS DARTFORD, GRAVESHAM AND SWANLEY CCG (09J)Varicose VeinEQ VAS</t>
  </si>
  <si>
    <t>CCG of GP PracticeNHS DARLINGTON CCG (00C)Varicose VeinEQ VAS</t>
  </si>
  <si>
    <t>CCG of GP PracticeNHS CUMBRIA CCG (01H)Varicose VeinEQ VAS</t>
  </si>
  <si>
    <t>CCG of GP PracticeNHS CROYDON CCG (07V)Varicose VeinEQ VAS</t>
  </si>
  <si>
    <t>CCG of GP PracticeNHS CRAWLEY CCG (09H)Varicose VeinEQ VAS</t>
  </si>
  <si>
    <t>CCG of GP PracticeNHS COVENTRY AND RUGBY CCG (05A)Varicose VeinEQ VAS</t>
  </si>
  <si>
    <t>CCG of GP PracticeNHS COASTAL WEST SUSSEX CCG (09G)Varicose VeinEQ VAS</t>
  </si>
  <si>
    <t>CCG of GP PracticeNHS CITY AND HACKNEY CCG (07T)Varicose VeinEQ VAS</t>
  </si>
  <si>
    <t>CCG of GP PracticeNHS CHORLEY AND SOUTH RIBBLE CCG (00X)Varicose VeinEQ VAS</t>
  </si>
  <si>
    <t>CCG of GP PracticeNHS CHILTERN CCG (10H)Varicose VeinEQ VAS</t>
  </si>
  <si>
    <t>CCG of GP PracticeNHS BLACKPOOL CCG (00R)Varicose VeinEQ VAS</t>
  </si>
  <si>
    <t>CCG of GP PracticeNHS CENTRAL MANCHESTER CCG (00W)Varicose VeinEQ VAS</t>
  </si>
  <si>
    <t>CCG of GP PracticeNHS CENTRAL LONDON (WESTMINSTER) CCG (09A)Varicose VeinEQ VAS</t>
  </si>
  <si>
    <t>CCG of GP PracticeNHS CASTLE POINT AND ROCHFORD CCG (99F)Varicose VeinEQ VAS</t>
  </si>
  <si>
    <t>CCG of GP PracticeNHS CANNOCK CHASE CCG (04Y)Varicose VeinEQ VAS</t>
  </si>
  <si>
    <t>CCG of GP PracticeNHS CAMDEN CCG (07R)Varicose VeinEQ VAS</t>
  </si>
  <si>
    <t>CCG of GP PracticeNHS CAMBRIDGESHIRE AND PETERBOROUGH CCG (06H)Varicose VeinEQ VAS</t>
  </si>
  <si>
    <t>CCG of GP PracticeNHS CALDERDALE CCG (02T)Varicose VeinEQ VAS</t>
  </si>
  <si>
    <t>CCG of GP PracticeNHS BURY CCG (00V)Varicose VeinEQ VAS</t>
  </si>
  <si>
    <t>CCG of GP PracticeNHS BROMLEY CCG (07Q)Varicose VeinEQ VAS</t>
  </si>
  <si>
    <t>CCG of GP PracticeNHS BRISTOL CCG (11H)Varicose VeinEQ VAS</t>
  </si>
  <si>
    <t>CCG of GP PracticeNHS BRIGHTON AND HOVE CCG (09D)Varicose VeinEQ VAS</t>
  </si>
  <si>
    <t>CCG of GP PracticeNHS BRENT CCG (07P)Varicose VeinEQ VAS</t>
  </si>
  <si>
    <t>CCG of GP PracticeNHS BRADFORD DISTRICTS CCG (02R)Varicose VeinEQ VAS</t>
  </si>
  <si>
    <t>CCG of GP PracticeNHS BRADFORD CITY CCG (02W)Varicose VeinEQ VAS</t>
  </si>
  <si>
    <t>CCG of GP PracticeNHS BOLTON CCG (00T)Varicose VeinEQ VAS</t>
  </si>
  <si>
    <t>CCG of GP PracticeNHS NORTHERN, EASTERN AND WESTERN DEVON CCG (99P)Varicose VeinEQ VAS</t>
  </si>
  <si>
    <t>CCG of GP PracticeNHS NORTH WEST SURREY CCG (09Y)Varicose VeinEQ VAS</t>
  </si>
  <si>
    <t>CCG of GP PracticeNHS NORTH TYNESIDE CCG (99C)Varicose VeinEQ VAS</t>
  </si>
  <si>
    <t>CCG of GP PracticeNHS NORTH STAFFORDSHIRE CCG (05G)Varicose VeinEQ VAS</t>
  </si>
  <si>
    <t>CCG of GP PracticeNHS NORTH SOMERSET CCG (11T)Varicose VeinEQ VAS</t>
  </si>
  <si>
    <t>CCG of GP PracticeNHS NORTH NORFOLK CCG (06V)Varicose VeinEQ VAS</t>
  </si>
  <si>
    <t>CCG of GP PracticeNHS NORTH MANCHESTER CCG (01M)Varicose VeinEQ VAS</t>
  </si>
  <si>
    <t>CCG of GP PracticeNHS NORTH LINCOLNSHIRE CCG (03K)Varicose VeinEQ VAS</t>
  </si>
  <si>
    <t>CCG of GP PracticeNHS NORTH KIRKLEES CCG (03J)Varicose VeinEQ VAS</t>
  </si>
  <si>
    <t>CCG of GP PracticeNHS NORTH EAST LINCOLNSHIRE CCG (03H)Varicose VeinEQ VAS</t>
  </si>
  <si>
    <t>CCG of GP PracticeNHS NORTH EAST HAMPSHIRE AND FARNHAM CCG (99M)Varicose VeinEQ VAS</t>
  </si>
  <si>
    <t>CCG of GP PracticeNHS NORTH EAST ESSEX CCG (06T)Varicose VeinEQ VAS</t>
  </si>
  <si>
    <t>CCG of GP PracticeNHS NORTH DURHAM CCG (00J)Varicose VeinEQ VAS</t>
  </si>
  <si>
    <t>CCG of GP PracticeNHS NORTH DERBYSHIRE CCG (04J)Varicose VeinEQ VAS</t>
  </si>
  <si>
    <t>CCG of GP PracticeNHS NORTH &amp; WEST READING CCG (10N)Varicose VeinEQ VAS</t>
  </si>
  <si>
    <t>CCG of GP PracticeNHS NEWHAM CCG (08M)Varicose VeinEQ VAS</t>
  </si>
  <si>
    <t>CCG of GP PracticeNHS NEWARK &amp; SHERWOOD CCG (04H)Varicose VeinEQ VAS</t>
  </si>
  <si>
    <t>CCG of GP PracticeNHS NENE CCG (04G)Varicose VeinEQ VAS</t>
  </si>
  <si>
    <t>CCG of GP PracticeNHS MILTON KEYNES CCG (04F)Varicose VeinEQ VAS</t>
  </si>
  <si>
    <t>CCG of GP PracticeNHS MID ESSEX CCG (06Q)Varicose VeinEQ VAS</t>
  </si>
  <si>
    <t>CCG of GP PracticeNHS MERTON CCG (08R)Varicose VeinEQ VAS</t>
  </si>
  <si>
    <t>CCG of GP PracticeNHS MEDWAY CCG (09W)Varicose VeinEQ VAS</t>
  </si>
  <si>
    <t>CCG of GP PracticeNHS MANSFIELD AND ASHFIELD CCG (04E)Varicose VeinEQ VAS</t>
  </si>
  <si>
    <t>CCG of GP PracticeNHS BLACKBURN WITH DARWEN CCG (00Q)Varicose VeinEQ VAS</t>
  </si>
  <si>
    <t>CCG of GP PracticeNHS BIRMINGHAM SOUTH AND CENTRAL CCG (04X)Varicose VeinEQ VAS</t>
  </si>
  <si>
    <t>CCG of GP PracticeNHS BIRMINGHAM CROSSCITY CCG (13P)Varicose VeinEQ VAS</t>
  </si>
  <si>
    <t>CCG of GP PracticeNHS BEXLEY CCG (07N)Varicose VeinEQ VAS</t>
  </si>
  <si>
    <t>CCG of GP PracticeNHS BEDFORDSHIRE CCG (06F)Varicose VeinEQ VAS</t>
  </si>
  <si>
    <t>CCG of GP PracticeNHS BATH AND NORTH EAST SOMERSET CCG (11E)Varicose VeinEQ VAS</t>
  </si>
  <si>
    <t>CCG of GP PracticeNHS BASSETLAW CCG (02Q)Varicose VeinEQ VAS</t>
  </si>
  <si>
    <t>CCG of GP PracticeNHS BASILDON AND BRENTWOOD CCG (99E)Varicose VeinEQ VAS</t>
  </si>
  <si>
    <t>CCG of GP PracticeNHS BARNSLEY CCG (02P)Varicose VeinEQ VAS</t>
  </si>
  <si>
    <t>CCG of GP PracticeNHS BARNET CCG (07M)Varicose VeinEQ VAS</t>
  </si>
  <si>
    <t>CCG of GP PracticeNHS BARKING AND DAGENHAM CCG (07L)Varicose VeinEQ VAS</t>
  </si>
  <si>
    <t>CCG of GP PracticeNHS AYLESBURY VALE CCG (10Y)Varicose VeinEQ VAS</t>
  </si>
  <si>
    <t>CCG of GP PracticeNHS ASHFORD CCG (09C)Varicose VeinEQ VAS</t>
  </si>
  <si>
    <t>CCG of GP PracticeNHS AIREDALE, WHARFEDALE AND CRAVEN CCG (02N)Varicose VeinEQ VAS</t>
  </si>
  <si>
    <t>CCG of GP PracticeNATIONAL COMMISSIONING HUB 1 (13Q)Varicose VeinEQ VAS</t>
  </si>
  <si>
    <t>CCG of GP PracticeNHS LEEDS WEST CCG (03C)Varicose VeinEQ VAS</t>
  </si>
  <si>
    <t>CCG of GP PracticeNHS LEWISHAM CCG (08L)Varicose VeinEQ VAS</t>
  </si>
  <si>
    <t>CCG of GP PracticeNHS LEICESTER CITY CCG (04C)Varicose VeinEQ VAS</t>
  </si>
  <si>
    <t>CCG of GP PracticeNHS LEEDS NORTH CCG (02V)Varicose VeinEQ VAS</t>
  </si>
  <si>
    <t>CCG of GP PracticeNHS LANCASHIRE NORTH CCG (01K)Varicose VeinEQ VAS</t>
  </si>
  <si>
    <t>CCG of GP PracticeNHS LAMBETH CCG (08K)Varicose VeinEQ VAS</t>
  </si>
  <si>
    <t>CCG of GP PracticeNHS KNOWSLEY CCG (01J)Varicose VeinEQ VAS</t>
  </si>
  <si>
    <t>CCG of GP PracticeNHS KINGSTON CCG (08J)Varicose VeinEQ VAS</t>
  </si>
  <si>
    <t>CCG of GP PracticeNHS KERNOW CCG (11N)Varicose VeinEQ VAS</t>
  </si>
  <si>
    <t>CCG of GP PracticeNHS ISLINGTON CCG (08H)Varicose VeinEQ VAS</t>
  </si>
  <si>
    <t>CCG of GP PracticeNHS IPSWICH AND EAST SUFFOLK CCG (06L)Varicose VeinEQ VAS</t>
  </si>
  <si>
    <t>CCG of GP PracticeNHS HULL CCG (03F)Varicose VeinEQ VAS</t>
  </si>
  <si>
    <t>CCG of GP PracticeNHS HOUNSLOW CCG (07Y)Varicose VeinEQ VAS</t>
  </si>
  <si>
    <t>CCG of GP PracticeNHS HORSHAM AND MID SUSSEX CCG (09X)Varicose VeinEQ VAS</t>
  </si>
  <si>
    <t>CCG of GP PracticeNHS HILLINGDON CCG (08G)Varicose VeinEQ VAS</t>
  </si>
  <si>
    <t>CCG of GP PracticeNHS HIGH WEALD LEWES HAVENS CCG (99K)Varicose VeinEQ VAS</t>
  </si>
  <si>
    <t>CCG of GP PracticeNHS HEYWOOD, MIDDLETON AND ROCHDALE CCG (01D)Varicose VeinEQ VAS</t>
  </si>
  <si>
    <t>CCG of GP PracticeNHS HERTS VALLEYS CCG (06N)Varicose VeinEQ VAS</t>
  </si>
  <si>
    <t>CCG of GP PracticeNHS HEREFORDSHIRE CCG (05F)Varicose VeinEQ VAS</t>
  </si>
  <si>
    <t>CCG of GP PracticeNHS HAVERING CCG (08F)Varicose VeinEQ VAS</t>
  </si>
  <si>
    <t>CCG of GP PracticeNHS HASTINGS AND ROTHER CCG (09P)Varicose VeinEQ VAS</t>
  </si>
  <si>
    <t>CCG of GP PracticeNHS HARTLEPOOL AND STOCKTON-ON-TEES CCG (00K)Varicose VeinEQ VAS</t>
  </si>
  <si>
    <t>CCG of GP PracticeNHS HARROW CCG (08E)Varicose VeinEQ VAS</t>
  </si>
  <si>
    <t>CCG of GP PracticeNHS GREATER HUDDERSFIELD CCG (03A)Varicose VeinEQ VAS</t>
  </si>
  <si>
    <t>CCG of GP PracticeNHS GREATER PRESTON CCG (01E)Varicose VeinEQ VAS</t>
  </si>
  <si>
    <t>CCG of GP PracticeNHS WYRE FOREST CCG (06D)Varicose VeinEQ VAS</t>
  </si>
  <si>
    <t>CCG of GP PracticeNHS WOLVERHAMPTON CCG (06A)Varicose VeinEQ VAS</t>
  </si>
  <si>
    <t>CCG of GP PracticeNHS WOKINGHAM CCG (11D)Varicose VeinEQ VAS</t>
  </si>
  <si>
    <t>CCG of GP PracticeNHS WIRRAL CCG (12F)Varicose VeinEQ VAS</t>
  </si>
  <si>
    <t>CCG of GP PracticeNHS WILTSHIRE CCG (99N)Varicose VeinEQ VAS</t>
  </si>
  <si>
    <t>CCG of GP PracticeNHS WIGAN BOROUGH CCG (02H)Varicose VeinEQ VAS</t>
  </si>
  <si>
    <t>CCG of GP PracticeNHS WEST SUFFOLK CCG (07K)Varicose VeinEQ VAS</t>
  </si>
  <si>
    <t>CCG of GP PracticeNHS WEST NORFOLK CCG (07J)Varicose VeinEQ VAS</t>
  </si>
  <si>
    <t>CCG of GP PracticeNHS WEST LONDON CCG (08Y)Varicose VeinEQ VAS</t>
  </si>
  <si>
    <t>CCG of GP PracticeNHS WEST LEICESTERSHIRE CCG (04V)Varicose VeinEQ VAS</t>
  </si>
  <si>
    <t>CCG of GP PracticeNHS WEST LANCASHIRE CCG (02G)Varicose VeinEQ VAS</t>
  </si>
  <si>
    <t>CCG of GP PracticeNHS WEST KENT CCG (99J)Varicose VeinEQ VAS</t>
  </si>
  <si>
    <t>CCG of GP PracticeNHS WEST HAMPSHIRE CCG (11A)Varicose VeinEQ VAS</t>
  </si>
  <si>
    <t>CCG of GP PracticeNHS WEST ESSEX CCG (07H)Varicose VeinEQ VAS</t>
  </si>
  <si>
    <t>CCG of GP PracticeNHS HARROGATE AND RURAL DISTRICT CCG (03E)Varicose VeinEQ VAS</t>
  </si>
  <si>
    <t>CCG of GP PracticeNHS LINCOLNSHIRE EAST CCG (03T)Varicose VeinEQ VAS</t>
  </si>
  <si>
    <t>CCG of GP PracticeNHS WARRINGTON CCG (02E)Varicose VeinEQ VAS</t>
  </si>
  <si>
    <t>CCG of GP PracticeNHS WARWICKSHIRE NORTH CCG (05H)Varicose VeinEQ VAS</t>
  </si>
  <si>
    <t>CCG of GP PracticeNHS WANDSWORTH CCG (08X)Varicose VeinEQ VAS</t>
  </si>
  <si>
    <t>CCG of GP PracticeNHS WALTHAM FOREST CCG (08W)Varicose VeinEQ VAS</t>
  </si>
  <si>
    <t>CCG of GP PracticeNHS WALSALL CCG (05Y)Varicose VeinEQ VAS</t>
  </si>
  <si>
    <t>CCG of GP PracticeNHS WAKEFIELD CCG (03R)Varicose VeinEQ VAS</t>
  </si>
  <si>
    <t>CCG of GP PracticeNHS VALE ROYAL CCG (02D)Varicose VeinEQ VAS</t>
  </si>
  <si>
    <t>CCG of GP PracticeNHS VALE OF YORK CCG (03Q)Varicose VeinEQ VAS</t>
  </si>
  <si>
    <t>CCG of GP PracticeNHS TRAFFORD CCG (02A)Varicose VeinEQ VAS</t>
  </si>
  <si>
    <t>CCG of GP PracticeNHS LUTON CCG (06P)Varicose VeinEQ VAS</t>
  </si>
  <si>
    <t>CCG of GP PracticeNHS LIVERPOOL CCG (99A)Varicose VeinEQ VAS</t>
  </si>
  <si>
    <t>CCG of GP PracticeNHS LINCOLNSHIRE WEST CCG (04D)Varicose VeinEQ VAS</t>
  </si>
  <si>
    <t>CCG of GP PracticeNHS WEST CHESHIRE CCG (02F)Varicose VeinEQ VAS</t>
  </si>
  <si>
    <t>CCG of GP PracticeNHS LEEDS SOUTH AND EAST CCG (03G)Varicose VeinEQ VAS</t>
  </si>
  <si>
    <t>CCG of GP PracticeNHS LEEDS SOUTH AND EAST CCG (03G)Varicose VeinEQ-5D Index</t>
  </si>
  <si>
    <t>CCG of GP PracticeNHS WEST CHESHIRE CCG (02F)Varicose VeinEQ-5D Index</t>
  </si>
  <si>
    <t>CCG of GP PracticeNHS LINCOLNSHIRE WEST CCG (04D)Varicose VeinEQ-5D Index</t>
  </si>
  <si>
    <t>CCG of GP PracticeNHS LIVERPOOL CCG (99A)Varicose VeinEQ-5D Index</t>
  </si>
  <si>
    <t>CCG of GP PracticeNHS LUTON CCG (06P)Varicose VeinEQ-5D Index</t>
  </si>
  <si>
    <t>CCG of GP PracticeNHS TRAFFORD CCG (02A)Varicose VeinEQ-5D Index</t>
  </si>
  <si>
    <t>CCG of GP PracticeNHS VALE OF YORK CCG (03Q)Varicose VeinEQ-5D Index</t>
  </si>
  <si>
    <t>CCG of GP PracticeNHS VALE ROYAL CCG (02D)Varicose VeinEQ-5D Index</t>
  </si>
  <si>
    <t>CCG of GP PracticeNHS WAKEFIELD CCG (03R)Varicose VeinEQ-5D Index</t>
  </si>
  <si>
    <t>CCG of GP PracticeNHS WALSALL CCG (05Y)Varicose VeinEQ-5D Index</t>
  </si>
  <si>
    <t>CCG of GP PracticeNHS WALTHAM FOREST CCG (08W)Varicose VeinEQ-5D Index</t>
  </si>
  <si>
    <t>CCG of GP PracticeNHS WANDSWORTH CCG (08X)Varicose VeinEQ-5D Index</t>
  </si>
  <si>
    <t>CCG of GP PracticeNHS WARWICKSHIRE NORTH CCG (05H)Varicose VeinEQ-5D Index</t>
  </si>
  <si>
    <t>CCG of GP PracticeNHS WARRINGTON CCG (02E)Varicose VeinEQ-5D Index</t>
  </si>
  <si>
    <t>CCG of GP PracticeNHS LINCOLNSHIRE EAST CCG (03T)Varicose VeinEQ-5D Index</t>
  </si>
  <si>
    <t>CCG of GP PracticeNHS HARROGATE AND RURAL DISTRICT CCG (03E)Varicose VeinEQ-5D Index</t>
  </si>
  <si>
    <t>CCG of GP PracticeNHS WEST ESSEX CCG (07H)Varicose VeinEQ-5D Index</t>
  </si>
  <si>
    <t>CCG of GP PracticeNHS WEST HAMPSHIRE CCG (11A)Varicose VeinEQ-5D Index</t>
  </si>
  <si>
    <t>CCG of GP PracticeNHS WEST KENT CCG (99J)Varicose VeinEQ-5D Index</t>
  </si>
  <si>
    <t>CCG of GP PracticeNHS WEST LANCASHIRE CCG (02G)Varicose VeinEQ-5D Index</t>
  </si>
  <si>
    <t>CCG of GP PracticeNHS WEST LEICESTERSHIRE CCG (04V)Varicose VeinEQ-5D Index</t>
  </si>
  <si>
    <t>CCG of GP PracticeNHS WEST LONDON CCG (08Y)Varicose VeinEQ-5D Index</t>
  </si>
  <si>
    <t>CCG of GP PracticeNHS WEST NORFOLK CCG (07J)Varicose VeinEQ-5D Index</t>
  </si>
  <si>
    <t>CCG of GP PracticeNHS WEST SUFFOLK CCG (07K)Varicose VeinEQ-5D Index</t>
  </si>
  <si>
    <t>CCG of GP PracticeNHS WIGAN BOROUGH CCG (02H)Varicose VeinEQ-5D Index</t>
  </si>
  <si>
    <t>CCG of GP PracticeNHS WILTSHIRE CCG (99N)Varicose VeinEQ-5D Index</t>
  </si>
  <si>
    <t>CCG of GP PracticeNHS WIRRAL CCG (12F)Varicose VeinEQ-5D Index</t>
  </si>
  <si>
    <t>CCG of GP PracticeNHS WOKINGHAM CCG (11D)Varicose VeinEQ-5D Index</t>
  </si>
  <si>
    <t>CCG of GP PracticeNHS WOLVERHAMPTON CCG (06A)Varicose VeinEQ-5D Index</t>
  </si>
  <si>
    <t>CCG of GP PracticeNHS WYRE FOREST CCG (06D)Varicose VeinEQ-5D Index</t>
  </si>
  <si>
    <t>CCG of GP PracticeNHS GREATER PRESTON CCG (01E)Varicose VeinEQ-5D Index</t>
  </si>
  <si>
    <t>CCG of GP PracticeNHS GREATER HUDDERSFIELD CCG (03A)Varicose VeinEQ-5D Index</t>
  </si>
  <si>
    <t>CCG of GP PracticeNHS HARROW CCG (08E)Varicose VeinEQ-5D Index</t>
  </si>
  <si>
    <t>CCG of GP PracticeNHS HARTLEPOOL AND STOCKTON-ON-TEES CCG (00K)Varicose VeinEQ-5D Index</t>
  </si>
  <si>
    <t>CCG of GP PracticeNHS HASTINGS AND ROTHER CCG (09P)Varicose VeinEQ-5D Index</t>
  </si>
  <si>
    <t>CCG of GP PracticeNHS HAVERING CCG (08F)Varicose VeinEQ-5D Index</t>
  </si>
  <si>
    <t>CCG of GP PracticeNHS HEREFORDSHIRE CCG (05F)Varicose VeinEQ-5D Index</t>
  </si>
  <si>
    <t>CCG of GP PracticeNHS HERTS VALLEYS CCG (06N)Varicose VeinEQ-5D Index</t>
  </si>
  <si>
    <t>CCG of GP PracticeNHS HEYWOOD, MIDDLETON AND ROCHDALE CCG (01D)Varicose VeinEQ-5D Index</t>
  </si>
  <si>
    <t>CCG of GP PracticeNHS HIGH WEALD LEWES HAVENS CCG (99K)Varicose VeinEQ-5D Index</t>
  </si>
  <si>
    <t>CCG of GP PracticeNHS HILLINGDON CCG (08G)Varicose VeinEQ-5D Index</t>
  </si>
  <si>
    <t>CCG of GP PracticeNHS HORSHAM AND MID SUSSEX CCG (09X)Varicose VeinEQ-5D Index</t>
  </si>
  <si>
    <t>CCG of GP PracticeNHS HOUNSLOW CCG (07Y)Varicose VeinEQ-5D Index</t>
  </si>
  <si>
    <t>CCG of GP PracticeNHS HULL CCG (03F)Varicose VeinEQ-5D Index</t>
  </si>
  <si>
    <t>CCG of GP PracticeNHS IPSWICH AND EAST SUFFOLK CCG (06L)Varicose VeinEQ-5D Index</t>
  </si>
  <si>
    <t>CCG of GP PracticeNHS ISLINGTON CCG (08H)Varicose VeinEQ-5D Index</t>
  </si>
  <si>
    <t>CCG of GP PracticeNHS KERNOW CCG (11N)Varicose VeinEQ-5D Index</t>
  </si>
  <si>
    <t>CCG of GP PracticeNHS KINGSTON CCG (08J)Varicose VeinEQ-5D Index</t>
  </si>
  <si>
    <t>CCG of GP PracticeNHS KNOWSLEY CCG (01J)Varicose VeinEQ-5D Index</t>
  </si>
  <si>
    <t>CCG of GP PracticeNHS LAMBETH CCG (08K)Varicose VeinEQ-5D Index</t>
  </si>
  <si>
    <t>CCG of GP PracticeNHS LANCASHIRE NORTH CCG (01K)Varicose VeinEQ-5D Index</t>
  </si>
  <si>
    <t>CCG of GP PracticeNHS LEEDS NORTH CCG (02V)Varicose VeinEQ-5D Index</t>
  </si>
  <si>
    <t>CCG of GP PracticeNHS LEICESTER CITY CCG (04C)Varicose VeinEQ-5D Index</t>
  </si>
  <si>
    <t>CCG of GP PracticeNHS LEWISHAM CCG (08L)Varicose VeinEQ-5D Index</t>
  </si>
  <si>
    <t>CCG of GP PracticeNHS LEEDS WEST CCG (03C)Varicose VeinEQ-5D Index</t>
  </si>
  <si>
    <t>CCG of GP PracticeNATIONAL COMMISSIONING HUB 1 (13Q)Varicose VeinEQ-5D Index</t>
  </si>
  <si>
    <t>CCG of GP PracticeNHS AIREDALE, WHARFEDALE AND CRAVEN CCG (02N)Varicose VeinEQ-5D Index</t>
  </si>
  <si>
    <t>CCG of GP PracticeNHS ASHFORD CCG (09C)Varicose VeinEQ-5D Index</t>
  </si>
  <si>
    <t>CCG of GP PracticeNHS AYLESBURY VALE CCG (10Y)Varicose VeinEQ-5D Index</t>
  </si>
  <si>
    <t>CCG of GP PracticeNHS BARKING AND DAGENHAM CCG (07L)Varicose VeinEQ-5D Index</t>
  </si>
  <si>
    <t>CCG of GP PracticeNHS BARNET CCG (07M)Varicose VeinEQ-5D Index</t>
  </si>
  <si>
    <t>CCG of GP PracticeNHS BARNSLEY CCG (02P)Varicose VeinEQ-5D Index</t>
  </si>
  <si>
    <t>CCG of GP PracticeNHS BASILDON AND BRENTWOOD CCG (99E)Varicose VeinEQ-5D Index</t>
  </si>
  <si>
    <t>CCG of GP PracticeNHS BASSETLAW CCG (02Q)Varicose VeinEQ-5D Index</t>
  </si>
  <si>
    <t>CCG of GP PracticeNHS BATH AND NORTH EAST SOMERSET CCG (11E)Varicose VeinEQ-5D Index</t>
  </si>
  <si>
    <t>CCG of GP PracticeNHS BEDFORDSHIRE CCG (06F)Varicose VeinEQ-5D Index</t>
  </si>
  <si>
    <t>CCG of GP PracticeNHS BEXLEY CCG (07N)Varicose VeinEQ-5D Index</t>
  </si>
  <si>
    <t>CCG of GP PracticeNHS BIRMINGHAM CROSSCITY CCG (13P)Varicose VeinEQ-5D Index</t>
  </si>
  <si>
    <t>CCG of GP PracticeNHS BIRMINGHAM SOUTH AND CENTRAL CCG (04X)Varicose VeinEQ-5D Index</t>
  </si>
  <si>
    <t>CCG of GP PracticeNHS BLACKBURN WITH DARWEN CCG (00Q)Varicose VeinEQ-5D Index</t>
  </si>
  <si>
    <t>CCG of GP PracticeNHS MANSFIELD AND ASHFIELD CCG (04E)Varicose VeinEQ-5D Index</t>
  </si>
  <si>
    <t>CCG of GP PracticeNHS MEDWAY CCG (09W)Varicose VeinEQ-5D Index</t>
  </si>
  <si>
    <t>CCG of GP PracticeNHS MERTON CCG (08R)Varicose VeinEQ-5D Index</t>
  </si>
  <si>
    <t>CCG of GP PracticeNHS MID ESSEX CCG (06Q)Varicose VeinEQ-5D Index</t>
  </si>
  <si>
    <t>CCG of GP PracticeNHS MILTON KEYNES CCG (04F)Varicose VeinEQ-5D Index</t>
  </si>
  <si>
    <t>CCG of GP PracticeNHS NENE CCG (04G)Varicose VeinEQ-5D Index</t>
  </si>
  <si>
    <t>CCG of GP PracticeNHS NEWARK &amp; SHERWOOD CCG (04H)Varicose VeinEQ-5D Index</t>
  </si>
  <si>
    <t>CCG of GP PracticeNHS NEWHAM CCG (08M)Varicose VeinEQ-5D Index</t>
  </si>
  <si>
    <t>CCG of GP PracticeNHS NORTH &amp; WEST READING CCG (10N)Varicose VeinEQ-5D Index</t>
  </si>
  <si>
    <t>CCG of GP PracticeNHS NORTH DERBYSHIRE CCG (04J)Varicose VeinEQ-5D Index</t>
  </si>
  <si>
    <t>CCG of GP PracticeNHS NORTH DURHAM CCG (00J)Varicose VeinEQ-5D Index</t>
  </si>
  <si>
    <t>CCG of GP PracticeNHS NORTH EAST ESSEX CCG (06T)Varicose VeinEQ-5D Index</t>
  </si>
  <si>
    <t>CCG of GP PracticeNHS NORTH EAST HAMPSHIRE AND FARNHAM CCG (99M)Varicose VeinEQ-5D Index</t>
  </si>
  <si>
    <t>CCG of GP PracticeNHS NORTH EAST LINCOLNSHIRE CCG (03H)Varicose VeinEQ-5D Index</t>
  </si>
  <si>
    <t>CCG of GP PracticeNHS NORTH KIRKLEES CCG (03J)Varicose VeinEQ-5D Index</t>
  </si>
  <si>
    <t>CCG of GP PracticeNHS NORTH LINCOLNSHIRE CCG (03K)Varicose VeinEQ-5D Index</t>
  </si>
  <si>
    <t>CCG of GP PracticeNHS NORTH MANCHESTER CCG (01M)Varicose VeinEQ-5D Index</t>
  </si>
  <si>
    <t>CCG of GP PracticeNHS NORTH NORFOLK CCG (06V)Varicose VeinEQ-5D Index</t>
  </si>
  <si>
    <t>CCG of GP PracticeNHS NORTH SOMERSET CCG (11T)Varicose VeinEQ-5D Index</t>
  </si>
  <si>
    <t>CCG of GP PracticeNHS NORTH STAFFORDSHIRE CCG (05G)Varicose VeinEQ-5D Index</t>
  </si>
  <si>
    <t>CCG of GP PracticeNHS NORTH TYNESIDE CCG (99C)Varicose VeinEQ-5D Index</t>
  </si>
  <si>
    <t>CCG of GP PracticeNHS NORTH WEST SURREY CCG (09Y)Varicose VeinEQ-5D Index</t>
  </si>
  <si>
    <t>CCG of GP PracticeNHS NORTHERN, EASTERN AND WESTERN DEVON CCG (99P)Varicose VeinEQ-5D Index</t>
  </si>
  <si>
    <t>CCG of GP PracticeNHS BOLTON CCG (00T)Varicose VeinEQ-5D Index</t>
  </si>
  <si>
    <t>CCG of GP PracticeNHS BRADFORD CITY CCG (02W)Varicose VeinEQ-5D Index</t>
  </si>
  <si>
    <t>CCG of GP PracticeNHS BRADFORD DISTRICTS CCG (02R)Varicose VeinEQ-5D Index</t>
  </si>
  <si>
    <t>CCG of GP PracticeNHS BRENT CCG (07P)Varicose VeinEQ-5D Index</t>
  </si>
  <si>
    <t>CCG of GP PracticeNHS BRIGHTON AND HOVE CCG (09D)Varicose VeinEQ-5D Index</t>
  </si>
  <si>
    <t>CCG of GP PracticeNHS BRISTOL CCG (11H)Varicose VeinEQ-5D Index</t>
  </si>
  <si>
    <t>CCG of GP PracticeNHS BROMLEY CCG (07Q)Varicose VeinEQ-5D Index</t>
  </si>
  <si>
    <t>CCG of GP PracticeNHS BURY CCG (00V)Varicose VeinEQ-5D Index</t>
  </si>
  <si>
    <t>CCG of GP PracticeNHS CALDERDALE CCG (02T)Varicose VeinEQ-5D Index</t>
  </si>
  <si>
    <t>CCG of GP PracticeNHS CAMBRIDGESHIRE AND PETERBOROUGH CCG (06H)Varicose VeinEQ-5D Index</t>
  </si>
  <si>
    <t>CCG of GP PracticeNHS CAMDEN CCG (07R)Varicose VeinEQ-5D Index</t>
  </si>
  <si>
    <t>CCG of GP PracticeNHS CANNOCK CHASE CCG (04Y)Varicose VeinEQ-5D Index</t>
  </si>
  <si>
    <t>CCG of GP PracticeNHS CASTLE POINT AND ROCHFORD CCG (99F)Varicose VeinEQ-5D Index</t>
  </si>
  <si>
    <t>CCG of GP PracticeNHS CENTRAL LONDON (WESTMINSTER) CCG (09A)Varicose VeinEQ-5D Index</t>
  </si>
  <si>
    <t>CCG of GP PracticeNHS CENTRAL MANCHESTER CCG (00W)Varicose VeinEQ-5D Index</t>
  </si>
  <si>
    <t>CCG of GP PracticeNHS BLACKPOOL CCG (00R)Varicose VeinEQ-5D Index</t>
  </si>
  <si>
    <t>CCG of GP PracticeNHS CHILTERN CCG (10H)Varicose VeinEQ-5D Index</t>
  </si>
  <si>
    <t>CCG of GP PracticeNHS CHORLEY AND SOUTH RIBBLE CCG (00X)Varicose VeinEQ-5D Index</t>
  </si>
  <si>
    <t>CCG of GP PracticeNHS CITY AND HACKNEY CCG (07T)Varicose VeinEQ-5D Index</t>
  </si>
  <si>
    <t>CCG of GP PracticeNHS COASTAL WEST SUSSEX CCG (09G)Varicose VeinEQ-5D Index</t>
  </si>
  <si>
    <t>CCG of GP PracticeNHS COVENTRY AND RUGBY CCG (05A)Varicose VeinEQ-5D Index</t>
  </si>
  <si>
    <t>CCG of GP PracticeNHS CRAWLEY CCG (09H)Varicose VeinEQ-5D Index</t>
  </si>
  <si>
    <t>CCG of GP PracticeNHS CROYDON CCG (07V)Varicose VeinEQ-5D Index</t>
  </si>
  <si>
    <t>CCG of GP PracticeNHS CUMBRIA CCG (01H)Varicose VeinEQ-5D Index</t>
  </si>
  <si>
    <t>CCG of GP PracticeNHS DARLINGTON CCG (00C)Varicose VeinEQ-5D Index</t>
  </si>
  <si>
    <t>CCG of GP PracticeNHS DARTFORD, GRAVESHAM AND SWANLEY CCG (09J)Varicose VeinEQ-5D Index</t>
  </si>
  <si>
    <t>CCG of GP PracticeNHS DONCASTER CCG (02X)Varicose VeinEQ-5D Index</t>
  </si>
  <si>
    <t>CCG of GP PracticeNHS NORWICH CCG (06W)Varicose VeinEQ-5D Index</t>
  </si>
  <si>
    <t>CCG of GP PracticeNHS NORTHUMBERLAND CCG (00L)Varicose VeinEQ-5D Index</t>
  </si>
  <si>
    <t>CCG of GP PracticeNHS NOTTINGHAM CITY CCG (04K)Varicose VeinEQ-5D Index</t>
  </si>
  <si>
    <t>CCG of GP PracticeNHS NOTTINGHAM NORTH AND EAST CCG (04L)Varicose VeinEQ-5D Index</t>
  </si>
  <si>
    <t>CCG of GP PracticeNHS NOTTINGHAM WEST CCG (04M)Varicose VeinEQ-5D Index</t>
  </si>
  <si>
    <t>CCG of GP PracticeNHS OLDHAM CCG (00Y)Varicose VeinEQ-5D Index</t>
  </si>
  <si>
    <t>CCG of GP PracticeNHS OXFORDSHIRE CCG (10Q)Varicose VeinEQ-5D Index</t>
  </si>
  <si>
    <t>CCG of GP PracticeNHS PORTSMOUTH CCG (10R)Varicose VeinEQ-5D Index</t>
  </si>
  <si>
    <t>CCG of GP PracticeNHS REDBRIDGE CCG (08N)Varicose VeinEQ-5D Index</t>
  </si>
  <si>
    <t>CCG of GP PracticeNHS RICHMOND CCG (08P)Varicose VeinEQ-5D Index</t>
  </si>
  <si>
    <t>CCG of GP PracticeNHS ROTHERHAM CCG (03L)Varicose VeinEQ-5D Index</t>
  </si>
  <si>
    <t>CCG of GP PracticeNHS RUSHCLIFFE CCG (04N)Varicose VeinEQ-5D Index</t>
  </si>
  <si>
    <t>CCG of GP PracticeNHS SALFORD CCG (01G)Varicose VeinEQ-5D Index</t>
  </si>
  <si>
    <t>CCG of GP PracticeNHS SANDWELL AND WEST BIRMINGHAM CCG (05L)Varicose VeinEQ-5D Index</t>
  </si>
  <si>
    <t>CCG of GP PracticeNHS SCARBOROUGH AND RYEDALE CCG (03M)Varicose VeinEQ-5D Index</t>
  </si>
  <si>
    <t>CCG of GP PracticeNHS SHEFFIELD CCG (03N)Varicose VeinEQ-5D Index</t>
  </si>
  <si>
    <t>CCG of GP PracticeNHS SHROPSHIRE CCG (05N)Varicose VeinEQ-5D Index</t>
  </si>
  <si>
    <t>CCG of GP PracticeNHS SOLIHULL CCG (05P)Varicose VeinEQ-5D Index</t>
  </si>
  <si>
    <t>CCG of GP PracticeNHS SOMERSET CCG (11X)Varicose VeinEQ-5D Index</t>
  </si>
  <si>
    <t>CCG of GP PracticeNHS SOUTH CHESHIRE CCG (01R)Varicose VeinEQ-5D Index</t>
  </si>
  <si>
    <t>CCG of GP PracticeNHS SOUTH DEVON AND TORBAY CCG (99Q)Varicose VeinEQ-5D Index</t>
  </si>
  <si>
    <t>CCG of GP PracticeNHS SOUTH EAST STAFFORDSHIRE AND SEISDON PENINSULA CCG (05Q)Varicose VeinEQ-5D Index</t>
  </si>
  <si>
    <t>CCG of GP PracticeNHS SOUTH EASTERN HAMPSHIRE CCG (10V)Varicose VeinEQ-5D Index</t>
  </si>
  <si>
    <t>CCG of GP PracticeNHS SOUTH GLOUCESTERSHIRE CCG (12A)Varicose VeinEQ-5D Index</t>
  </si>
  <si>
    <t>CCG of GP PracticeNHS SOUTH LINCOLNSHIRE CCG (99D)Varicose VeinEQ-5D Index</t>
  </si>
  <si>
    <t>CCG of GP PracticeNHS DORSET CCG (11J)Varicose VeinEQ-5D Index</t>
  </si>
  <si>
    <t>CCG of GP PracticeNHS DUDLEY CCG (05C)Varicose VeinEQ-5D Index</t>
  </si>
  <si>
    <t>CCG of GP PracticeNHS DURHAM DALES, EASINGTON AND SEDGEFIELD CCG (00D)Varicose VeinEQ-5D Index</t>
  </si>
  <si>
    <t>CCG of GP PracticeNHS EALING CCG (07W)Varicose VeinEQ-5D Index</t>
  </si>
  <si>
    <t>CCG of GP PracticeNHS EAST AND NORTH HERTFORDSHIRE CCG (06K)Varicose VeinEQ-5D Index</t>
  </si>
  <si>
    <t>CCG of GP PracticeNHS EAST LANCASHIRE CCG (01A)Varicose VeinEQ-5D Index</t>
  </si>
  <si>
    <t>CCG of GP PracticeNHS EAST LEICESTERSHIRE AND RUTLAND CCG (03W)Varicose VeinEQ-5D Index</t>
  </si>
  <si>
    <t>CCG of GP PracticeNHS EAST RIDING OF YORKSHIRE CCG (02Y)Varicose VeinEQ-5D Index</t>
  </si>
  <si>
    <t>CCG of GP PracticeNHS EAST STAFFORDSHIRE CCG (05D)Varicose VeinEQ-5D Index</t>
  </si>
  <si>
    <t>CCG of GP PracticeNHS EAST SURREY CCG (09L)Varicose VeinEQ-5D Index</t>
  </si>
  <si>
    <t>CCG of GP PracticeNHS EASTBOURNE, HAILSHAM AND SEAFORD CCG (09F)Varicose VeinEQ-5D Index</t>
  </si>
  <si>
    <t>CCG of GP PracticeNHS EASTERN CHESHIRE CCG (01C)Varicose VeinEQ-5D Index</t>
  </si>
  <si>
    <t>CCG of GP PracticeNHS ENFIELD CCG (07X)Varicose VeinEQ-5D Index</t>
  </si>
  <si>
    <t>CCG of GP PracticeNHS EREWASH CCG (03X)Varicose VeinEQ-5D Index</t>
  </si>
  <si>
    <t>CCG of GP PracticeNHS FAREHAM AND GOSPORT CCG (10K)Varicose VeinEQ-5D Index</t>
  </si>
  <si>
    <t>CCG of GP PracticeNHS FYLDE &amp; WYRE CCG (02M)Varicose VeinEQ-5D Index</t>
  </si>
  <si>
    <t>CCG of GP PracticeNHS GLOUCESTERSHIRE CCG (11M)Varicose VeinEQ-5D Index</t>
  </si>
  <si>
    <t>CCG of GP PracticeNHS GREENWICH CCG (08A)Varicose VeinEQ-5D Index</t>
  </si>
  <si>
    <t>CCG of GP PracticeNHS GREAT YARMOUTH AND WAVENEY CCG (06M)Varicose VeinEQ-5D Index</t>
  </si>
  <si>
    <t>CCG of GP PracticeNHS GUILDFORD AND WAVERLEY CCG (09N)Varicose VeinEQ-5D Index</t>
  </si>
  <si>
    <t>CCG of GP PracticeNHS HALTON CCG (01F)Varicose VeinEQ-5D Index</t>
  </si>
  <si>
    <t>CCG of GP PracticeNHS HAMBLETON, RICHMONDSHIRE AND WHITBY CCG (03D)Varicose VeinEQ-5D Index</t>
  </si>
  <si>
    <t>CCG of GP PracticeNHS HAMMERSMITH AND FULHAM CCG (08C)Varicose VeinEQ-5D Index</t>
  </si>
  <si>
    <t>CCG of GP PracticeNHS HARDWICK CCG (03Y)Varicose VeinEQ-5D Index</t>
  </si>
  <si>
    <t>CCG of GP PracticeNHS HARINGEY CCG (08D)Varicose VeinEQ-5D Index</t>
  </si>
  <si>
    <t>CCG of GP PracticeNHS SOUTH MANCHESTER CCG (01N)Varicose VeinEQ-5D Index</t>
  </si>
  <si>
    <t>CCG of GP PracticeNHS SOUTH NORFOLK CCG (06Y)Varicose VeinEQ-5D Index</t>
  </si>
  <si>
    <t>CCG of GP PracticeNHS SOUTH READING CCG (10W)Varicose VeinEQ-5D Index</t>
  </si>
  <si>
    <t>CCG of GP PracticeNHS SOUTH SEFTON CCG (01T)Varicose VeinEQ-5D Index</t>
  </si>
  <si>
    <t>CCG of GP PracticeNHS SOUTH TEES CCG (00M)Varicose VeinEQ-5D Index</t>
  </si>
  <si>
    <t>CCG of GP PracticeNHS SOUTH WARWICKSHIRE CCG (05R)Varicose VeinEQ-5D Index</t>
  </si>
  <si>
    <t>CCG of GP PracticeNHS SOUTH WEST LINCOLNSHIRE CCG (04Q)Varicose VeinEQ-5D Index</t>
  </si>
  <si>
    <t>CCG of GP PracticeNHS SOUTH WORCESTERSHIRE CCG (05T)Varicose VeinEQ-5D Index</t>
  </si>
  <si>
    <t>CCG of GP PracticeNHS SOUTHAMPTON CCG (10X)Varicose VeinEQ-5D Index</t>
  </si>
  <si>
    <t>CCG of GP PracticeNHS SOUTHEND CCG (99G)Varicose VeinEQ-5D Index</t>
  </si>
  <si>
    <t>CCG of GP PracticeNHS SOUTHERN DERBYSHIRE CCG (04R)Varicose VeinEQ-5D Index</t>
  </si>
  <si>
    <t>CCG of GP PracticeNHS SOUTHPORT AND FORMBY CCG (01V)Varicose VeinEQ-5D Index</t>
  </si>
  <si>
    <t>CCG of GP PracticeNHS SOUTHWARK CCG (08Q)Varicose VeinEQ-5D Index</t>
  </si>
  <si>
    <t>CCG of GP PracticeNHS ST HELENS CCG (01X)Varicose VeinEQ-5D Index</t>
  </si>
  <si>
    <t>CCG of GP PracticeNHS STAFFORD AND SURROUNDS CCG (05V)Varicose VeinEQ-5D Index</t>
  </si>
  <si>
    <t>CCG of GP PracticeNHS STOCKPORT CCG (01W)Varicose VeinEQ-5D Index</t>
  </si>
  <si>
    <t>CCG of GP PracticeNHS STOKE ON TRENT CCG (05W)Varicose VeinEQ-5D Index</t>
  </si>
  <si>
    <t>CCG of GP PracticeNHS SUNDERLAND CCG (00P)Varicose VeinEQ-5D Index</t>
  </si>
  <si>
    <t>CCG of GP PracticeNHS SURREY DOWNS CCG (99H)Varicose VeinEQ-5D Index</t>
  </si>
  <si>
    <t>CCG of GP PracticeNHS SURREY HEATH CCG (10C)Varicose VeinEQ-5D Index</t>
  </si>
  <si>
    <t>CCG of GP PracticeNHS SUTTON CCG (08T)Varicose VeinEQ-5D Index</t>
  </si>
  <si>
    <t>CCG of GP PracticeNHS SWALE CCG (10D)Varicose VeinEQ-5D Index</t>
  </si>
  <si>
    <t>CCG of GP PracticeNHS SWINDON CCG (12D)Varicose VeinEQ-5D Index</t>
  </si>
  <si>
    <t>CCG of GP PracticeNHS TAMESIDE AND GLOSSOP CCG (01Y)Varicose VeinEQ-5D Index</t>
  </si>
  <si>
    <t>CCG of GP PracticeNHS TELFORD AND WREKIN CCG (05X)Varicose VeinEQ-5D Index</t>
  </si>
  <si>
    <t>CCG of GP PracticeNHS SOUTH TYNESIDE CCG (00N)Varicose VeinEQ-5D Index</t>
  </si>
  <si>
    <t>CCG of GP PracticeNHS THURROCK CCG (07G)Varicose VeinEQ-5D Index</t>
  </si>
  <si>
    <t>CCG of GP PracticeNHS TOWER HAMLETS CCG (08V)Varicose VeinEQ-5D Index</t>
  </si>
  <si>
    <t>ProviderCAMBRIDGE UNIVERSITY HOSPITALS NHS FOUNDATION TRUST (RGT)Groin HerniaEQ VAS</t>
  </si>
  <si>
    <t>RGT</t>
  </si>
  <si>
    <t>CAMBRIDGE UNIVERSITY HOSPITALS NHS FOUNDATION TRUST (RGT)</t>
  </si>
  <si>
    <t>ProviderCENTRAL MANCHESTER UNIVERSITY HOSPITALS NHS FOUNDATION TRUST (RW3)Groin HerniaEQ VAS</t>
  </si>
  <si>
    <t>RW3</t>
  </si>
  <si>
    <t>CENTRAL MANCHESTER UNIVERSITY HOSPITALS NHS FOUNDATION TRUST (RW3)</t>
  </si>
  <si>
    <t>ProviderCHELSEA AND WESTMINSTER HOSPITAL NHS FOUNDATION TRUST (RQM)Groin HerniaEQ VAS</t>
  </si>
  <si>
    <t>RQM</t>
  </si>
  <si>
    <t>CHELSEA AND WESTMINSTER HOSPITAL NHS FOUNDATION TRUST (RQM)</t>
  </si>
  <si>
    <t>ProviderCHESTERFIELD ROYAL HOSPITAL NHS FOUNDATION TRUST (RFS)Groin HerniaEQ VAS</t>
  </si>
  <si>
    <t>RFS</t>
  </si>
  <si>
    <t>CHESTERFIELD ROYAL HOSPITAL NHS FOUNDATION TRUST (RFS)</t>
  </si>
  <si>
    <t>ProviderCIRENCESTER NHS TREATMENT CENTRE (NTPH4)Groin HerniaEQ VAS</t>
  </si>
  <si>
    <t>NTPH4</t>
  </si>
  <si>
    <t>CIRENCESTER NHS TREATMENT CENTRE (NTPH4)</t>
  </si>
  <si>
    <t>ProviderCIRCLE READING HOSPITAL (NV323)Groin HerniaEQ VAS</t>
  </si>
  <si>
    <t>NV323</t>
  </si>
  <si>
    <t>CIRCLE READING HOSPITAL (NV323)</t>
  </si>
  <si>
    <t>ProviderCIRCLE - NOTTINGHAM NHS TREATMENT CENTRE (NV313)Groin HerniaEQ VAS</t>
  </si>
  <si>
    <t>NV313</t>
  </si>
  <si>
    <t>CIRCLE - NOTTINGHAM NHS TREATMENT CENTRE (NV313)</t>
  </si>
  <si>
    <t>ProviderCIRCLE BATH HOSPITAL (NV302)Groin HerniaEQ VAS</t>
  </si>
  <si>
    <t>NV302</t>
  </si>
  <si>
    <t>CIRCLE BATH HOSPITAL (NV302)</t>
  </si>
  <si>
    <t>ProviderCITY HOSPITALS SUNDERLAND NHS FOUNDATION TRUST (RLN)Groin HerniaEQ VAS</t>
  </si>
  <si>
    <t>RLN</t>
  </si>
  <si>
    <t>CITY HOSPITALS SUNDERLAND NHS FOUNDATION TRUST (RLN)</t>
  </si>
  <si>
    <t>ProviderCLINICENTA SURGICENTRE (NW931)Groin HerniaEQ VAS</t>
  </si>
  <si>
    <t>NW931</t>
  </si>
  <si>
    <t>CLINICENTA SURGICENTRE (NW931)</t>
  </si>
  <si>
    <t>ProviderCOBALT HOSPITAL (NVC29)Groin HerniaEQ VAS</t>
  </si>
  <si>
    <t>NVC29</t>
  </si>
  <si>
    <t>COBALT HOSPITAL (NVC29)</t>
  </si>
  <si>
    <t>ProviderCOLCHESTER HOSPITAL UNIVERSITY NHS FOUNDATION TRUST (RDE)Groin HerniaEQ VAS</t>
  </si>
  <si>
    <t>RDE</t>
  </si>
  <si>
    <t>COLCHESTER HOSPITAL UNIVERSITY NHS FOUNDATION TRUST (RDE)</t>
  </si>
  <si>
    <t>ProviderTEES VALLEY TREATMENT CENTRE (NVC35)Groin HerniaEQ VAS</t>
  </si>
  <si>
    <t>NVC35</t>
  </si>
  <si>
    <t>TEES VALLEY TREATMENT CENTRE (NVC35)</t>
  </si>
  <si>
    <t>ProviderTHE HILLINGDON HOSPITALS NHS FOUNDATION TRUST (RAS)Groin HerniaEQ VAS</t>
  </si>
  <si>
    <t>RAS</t>
  </si>
  <si>
    <t>THE HILLINGDON HOSPITALS NHS FOUNDATION TRUST (RAS)</t>
  </si>
  <si>
    <t>ProviderTHE BERKSHIRE INDEPENDENT HOSPITAL (NVC02)Groin HerniaEQ VAS</t>
  </si>
  <si>
    <t>NVC02</t>
  </si>
  <si>
    <t>THE BERKSHIRE INDEPENDENT HOSPITAL (NVC02)</t>
  </si>
  <si>
    <t>ProviderTHE DUDLEY GROUP NHS FOUNDATION TRUST (RNA)Groin HerniaEQ VAS</t>
  </si>
  <si>
    <t>RNA</t>
  </si>
  <si>
    <t>THE DUDLEY GROUP NHS FOUNDATION TRUST (RNA)</t>
  </si>
  <si>
    <t>ProviderST GEORGE'S UNIVERSITY HOSPITALS NHS FOUNDATION TRUST (RJ7)Groin HerniaEQ VAS</t>
  </si>
  <si>
    <t>RJ7</t>
  </si>
  <si>
    <t>ST GEORGE'S UNIVERSITY HOSPITALS NHS FOUNDATION TRUST (RJ7)</t>
  </si>
  <si>
    <t>ProviderST HELENS AND KNOWSLEY HOSPITALS NHS TRUST (RBN)Groin HerniaEQ VAS</t>
  </si>
  <si>
    <t>RBN</t>
  </si>
  <si>
    <t>ST HELENS AND KNOWSLEY HOSPITALS NHS TRUST (RBN)</t>
  </si>
  <si>
    <t>ProviderST HUGH'S HOSPITAL (NTE02)Groin HerniaEQ VAS</t>
  </si>
  <si>
    <t>NTE02</t>
  </si>
  <si>
    <t>ST HUGH'S HOSPITAL (NTE02)</t>
  </si>
  <si>
    <t>ProviderSPIRE SOUTHAMPTON HOSPITAL (NT304)Groin HerniaEQ VAS</t>
  </si>
  <si>
    <t>NT304</t>
  </si>
  <si>
    <t>SPIRE SOUTHAMPTON HOSPITAL (NT304)</t>
  </si>
  <si>
    <t>ProviderPROBUS SURGICAL CENTRE (NAM01)Groin HerniaEQ VAS</t>
  </si>
  <si>
    <t>NAM01</t>
  </si>
  <si>
    <t>PROBUS SURGICAL CENTRE (NAM01)</t>
  </si>
  <si>
    <t>ProviderST MARY'S NHS TREATMENT CENTRE (NTPAD)Groin HerniaEQ VAS</t>
  </si>
  <si>
    <t>NTPAD</t>
  </si>
  <si>
    <t>ST MARY'S NHS TREATMENT CENTRE (NTPAD)</t>
  </si>
  <si>
    <t>ProviderSTOCKPORT NHS FOUNDATION TRUST (RWJ)Groin HerniaEQ VAS</t>
  </si>
  <si>
    <t>RWJ</t>
  </si>
  <si>
    <t>STOCKPORT NHS FOUNDATION TRUST (RWJ)</t>
  </si>
  <si>
    <t>ProviderSURREY AND SUSSEX HEALTHCARE NHS TRUST (RTP)Groin HerniaEQ VAS</t>
  </si>
  <si>
    <t>RTP</t>
  </si>
  <si>
    <t>SURREY AND SUSSEX HEALTHCARE NHS TRUST (RTP)</t>
  </si>
  <si>
    <t>ProviderTAMESIDE HOSPITAL NHS FOUNDATION TRUST (RMP)Groin HerniaEQ VAS</t>
  </si>
  <si>
    <t>RMP</t>
  </si>
  <si>
    <t>TAMESIDE HOSPITAL NHS FOUNDATION TRUST (RMP)</t>
  </si>
  <si>
    <t>ProviderTAUNTON AND SOMERSET NHS FOUNDATION TRUST (RBA)Groin HerniaEQ VAS</t>
  </si>
  <si>
    <t>RBA</t>
  </si>
  <si>
    <t>TAUNTON AND SOMERSET NHS FOUNDATION TRUST (RBA)</t>
  </si>
  <si>
    <t>ProviderSPIRE MANCHESTER HOSPITAL (NT327)Groin HerniaEQ VAS</t>
  </si>
  <si>
    <t>NT327</t>
  </si>
  <si>
    <t>SPIRE MANCHESTER HOSPITAL (NT327)</t>
  </si>
  <si>
    <t>ProviderSPIRE METHLEY PARK HOSPITAL (NT350)Groin HerniaEQ VAS</t>
  </si>
  <si>
    <t>NT350</t>
  </si>
  <si>
    <t>SPIRE METHLEY PARK HOSPITAL (NT350)</t>
  </si>
  <si>
    <t>ProviderSPIRE MONTEFIORE HOSPITAL (NT364)Groin HerniaEQ VAS</t>
  </si>
  <si>
    <t>NT364</t>
  </si>
  <si>
    <t>SPIRE MONTEFIORE HOSPITAL (NT364)</t>
  </si>
  <si>
    <t>ProviderSPIRE MURRAYFIELD HOSPITAL (NT325)Groin HerniaEQ VAS</t>
  </si>
  <si>
    <t>NT325</t>
  </si>
  <si>
    <t>SPIRE MURRAYFIELD HOSPITAL (NT325)</t>
  </si>
  <si>
    <t>ProviderSPIRE PARKWAY HOSPITAL (NT320)Groin HerniaEQ VAS</t>
  </si>
  <si>
    <t>NT320</t>
  </si>
  <si>
    <t>SPIRE PARKWAY HOSPITAL (NT320)</t>
  </si>
  <si>
    <t>ProviderSPIRE PORTSMOUTH HOSPITAL (NT305)Groin HerniaEQ VAS</t>
  </si>
  <si>
    <t>NT305</t>
  </si>
  <si>
    <t>ProviderSPIRE REGENCY HOSPITAL (NT339)Groin HerniaEQ VAS</t>
  </si>
  <si>
    <t>NT339</t>
  </si>
  <si>
    <t>SPIRE REGENCY HOSPITAL (NT339)</t>
  </si>
  <si>
    <t>ProviderSPIRE SOUTH BANK HOSPITAL (NT301)Groin HerniaEQ VAS</t>
  </si>
  <si>
    <t>NT301</t>
  </si>
  <si>
    <t>SPIRE SOUTH BANK HOSPITAL (NT301)</t>
  </si>
  <si>
    <t>ProviderSPIRE ST SAVIOURS HOSPITAL (NT346)Groin HerniaEQ VAS</t>
  </si>
  <si>
    <t>NT346</t>
  </si>
  <si>
    <t>SPIRE ST SAVIOURS HOSPITAL (NT346)</t>
  </si>
  <si>
    <t>ProviderSPIRE SUSSEX HOSPITAL (NT309)Groin HerniaEQ VAS</t>
  </si>
  <si>
    <t>NT309</t>
  </si>
  <si>
    <t>SPIRE SUSSEX HOSPITAL (NT309)</t>
  </si>
  <si>
    <t>ProviderSPIRE THAMES VALLEY HOSPITAL (NT343)Groin HerniaEQ VAS</t>
  </si>
  <si>
    <t>NT343</t>
  </si>
  <si>
    <t>SPIRE THAMES VALLEY HOSPITAL (NT343)</t>
  </si>
  <si>
    <t>ProviderSPIRE TUNBRIDGE WELLS HOSPITAL (NT310)Groin HerniaEQ VAS</t>
  </si>
  <si>
    <t>NT310</t>
  </si>
  <si>
    <t>SPIRE TUNBRIDGE WELLS HOSPITAL (NT310)</t>
  </si>
  <si>
    <t>ProviderSPIRE WASHINGTON HOSPITAL (NT333)Groin HerniaEQ VAS</t>
  </si>
  <si>
    <t>NT333</t>
  </si>
  <si>
    <t>SPIRE WASHINGTON HOSPITAL (NT333)</t>
  </si>
  <si>
    <t>ProviderSPIRE WELLESLEY HOSPITAL (NT313)Groin HerniaEQ VAS</t>
  </si>
  <si>
    <t>NT313</t>
  </si>
  <si>
    <t>SPIRE WELLESLEY HOSPITAL (NT313)</t>
  </si>
  <si>
    <t>ProviderSPRINGFIELD HOSPITAL (NVC18)Groin HerniaEQ VAS</t>
  </si>
  <si>
    <t>NVC18</t>
  </si>
  <si>
    <t>SPRINGFIELD HOSPITAL (NVC18)</t>
  </si>
  <si>
    <t>ProviderSPIRE LEEDS HOSPITAL (NT332)Groin HerniaEQ VAS</t>
  </si>
  <si>
    <t>NT332</t>
  </si>
  <si>
    <t>SPIRE LEEDS HOSPITAL (NT332)</t>
  </si>
  <si>
    <t>ProviderSPIRE LEICESTER HOSPITAL (NT322)Groin HerniaEQ VAS</t>
  </si>
  <si>
    <t>NT322</t>
  </si>
  <si>
    <t>SPIRE LEICESTER HOSPITAL (NT322)</t>
  </si>
  <si>
    <t>ProviderRIVERS HOSPITAL (NVC19)Groin HerniaEQ VAS</t>
  </si>
  <si>
    <t>NVC19</t>
  </si>
  <si>
    <t>RIVERS HOSPITAL (NVC19)</t>
  </si>
  <si>
    <t>ProviderROWLEY HALL HOSPITAL (NVC17)Groin HerniaEQ VAS</t>
  </si>
  <si>
    <t>NVC17</t>
  </si>
  <si>
    <t>ROWLEY HALL HOSPITAL (NVC17)</t>
  </si>
  <si>
    <t>ProviderSPIRE HARTSWOOD HOSPITAL (NT319)Groin HerniaEQ VAS</t>
  </si>
  <si>
    <t>NT319</t>
  </si>
  <si>
    <t>SPIRE HARTSWOOD HOSPITAL (NT319)</t>
  </si>
  <si>
    <t>ProviderSPIRE HULL AND EAST RIDING HOSPITAL (NT351)Groin HerniaEQ VAS</t>
  </si>
  <si>
    <t>NT351</t>
  </si>
  <si>
    <t>SPIRE HULL AND EAST RIDING HOSPITAL (NT351)</t>
  </si>
  <si>
    <t>ProviderPENNINE ACUTE HOSPITALS NHS TRUST (RW6)Groin HerniaEQ VAS</t>
  </si>
  <si>
    <t>RW6</t>
  </si>
  <si>
    <t>PENNINE ACUTE HOSPITALS NHS TRUST (RW6)</t>
  </si>
  <si>
    <t>ProviderPETERBOROUGH AND STAMFORD HOSPITALS NHS FOUNDATION TRUST (RGN)Groin HerniaEQ VAS</t>
  </si>
  <si>
    <t>RGN</t>
  </si>
  <si>
    <t>PETERBOROUGH AND STAMFORD HOSPITALS NHS FOUNDATION TRUST (RGN)</t>
  </si>
  <si>
    <t>ProviderPINEHILL HOSPITAL (NVC15)Groin HerniaEQ VAS</t>
  </si>
  <si>
    <t>NVC15</t>
  </si>
  <si>
    <t>PINEHILL HOSPITAL (NVC15)</t>
  </si>
  <si>
    <t>ProviderPLYMOUTH HOSPITALS NHS TRUST (RK9)Groin HerniaEQ VAS</t>
  </si>
  <si>
    <t>RK9</t>
  </si>
  <si>
    <t>PLYMOUTH HOSPITALS NHS TRUST (RK9)</t>
  </si>
  <si>
    <t>ProviderBODMIN NHS TREATMENT CENTRE (NVC24)Groin HerniaEQ VAS</t>
  </si>
  <si>
    <t>NVC24</t>
  </si>
  <si>
    <t>BODMIN NHS TREATMENT CENTRE (NVC24)</t>
  </si>
  <si>
    <t>ProviderPOOLE HOSPITAL NHS FOUNDATION TRUST (RD3)Groin HerniaEQ VAS</t>
  </si>
  <si>
    <t>RD3</t>
  </si>
  <si>
    <t>POOLE HOSPITAL NHS FOUNDATION TRUST (RD3)</t>
  </si>
  <si>
    <t>ProviderPORTSMOUTH HOSPITALS NHS TRUST (RHU)Groin HerniaEQ VAS</t>
  </si>
  <si>
    <t>RHU</t>
  </si>
  <si>
    <t>PORTSMOUTH HOSPITALS NHS TRUST (RHU)</t>
  </si>
  <si>
    <t>ProviderRENACRES HOSPITAL (NVC16)Groin HerniaEQ VAS</t>
  </si>
  <si>
    <t>NVC16</t>
  </si>
  <si>
    <t>RENACRES HOSPITAL (NVC16)</t>
  </si>
  <si>
    <t>ProviderNUFFIELD HEALTH, SHREWSBURY HOSPITAL (NT235)Groin HerniaEQ VAS</t>
  </si>
  <si>
    <t>NT235</t>
  </si>
  <si>
    <t>NUFFIELD HEALTH, SHREWSBURY HOSPITAL (NT235)</t>
  </si>
  <si>
    <t>ProviderNUFFIELD HEALTH, TAUNTON HOSPITAL (NT238)Groin HerniaEQ VAS</t>
  </si>
  <si>
    <t>NT238</t>
  </si>
  <si>
    <t>NUFFIELD HEALTH, TAUNTON HOSPITAL (NT238)</t>
  </si>
  <si>
    <t>ProviderNUFFIELD HEALTH, TEES HOSPITAL (NT237)Groin HerniaEQ VAS</t>
  </si>
  <si>
    <t>NT237</t>
  </si>
  <si>
    <t>NUFFIELD HEALTH, TEES HOSPITAL (NT237)</t>
  </si>
  <si>
    <t>ProviderNUFFIELD HEALTH, THE GROSVENOR HOSPITAL, CHESTER (NT210)Groin HerniaEQ VAS</t>
  </si>
  <si>
    <t>NT210</t>
  </si>
  <si>
    <t>NUFFIELD HEALTH, THE GROSVENOR HOSPITAL, CHESTER (NT210)</t>
  </si>
  <si>
    <t>ProviderNUFFIELD HEALTH, TUNBRIDGE WELLS HOSPITAL (NT239)Groin HerniaEQ VAS</t>
  </si>
  <si>
    <t>NT239</t>
  </si>
  <si>
    <t>NUFFIELD HEALTH, TUNBRIDGE WELLS HOSPITAL (NT239)</t>
  </si>
  <si>
    <t>ProviderNUFFIELD HEALTH, WARWICKSHIRE HOSPITAL (NT224)Groin HerniaEQ VAS</t>
  </si>
  <si>
    <t>NT224</t>
  </si>
  <si>
    <t>NUFFIELD HEALTH, WARWICKSHIRE HOSPITAL (NT224)</t>
  </si>
  <si>
    <t>ProviderNUFFIELD HEALTH, WESSEX HOSPITAL (NT214)Groin HerniaEQ VAS</t>
  </si>
  <si>
    <t>NT214</t>
  </si>
  <si>
    <t>NUFFIELD HEALTH, WESSEX HOSPITAL (NT214)</t>
  </si>
  <si>
    <t>ProviderNUFFIELD HEALTH, WOKING HOSPITAL (NT241)Groin HerniaEQ VAS</t>
  </si>
  <si>
    <t>NT241</t>
  </si>
  <si>
    <t>NUFFIELD HEALTH, WOKING HOSPITAL (NT241)</t>
  </si>
  <si>
    <t>ProviderNUFFIELD HEALTH, WOLVERHAMPTON HOSPITAL (NT242)Groin HerniaEQ VAS</t>
  </si>
  <si>
    <t>NT242</t>
  </si>
  <si>
    <t>NUFFIELD HEALTH, WOLVERHAMPTON HOSPITAL (NT242)</t>
  </si>
  <si>
    <t>ProviderOAKLANDS HOSPITAL (NVC12)Groin HerniaEQ VAS</t>
  </si>
  <si>
    <t>NVC12</t>
  </si>
  <si>
    <t>OAKLANDS HOSPITAL (NVC12)</t>
  </si>
  <si>
    <t>ProviderOAKS HOSPITAL (NVC13)Groin HerniaEQ VAS</t>
  </si>
  <si>
    <t>NVC13</t>
  </si>
  <si>
    <t>OAKS HOSPITAL (NVC13)</t>
  </si>
  <si>
    <t>ProviderONE HEALTH GROUP CLINIC - CLAREMONT (NTX12)Groin HerniaEQ VAS</t>
  </si>
  <si>
    <t>NTX12</t>
  </si>
  <si>
    <t>ONE HEALTH GROUP CLINIC - CLAREMONT (NTX12)</t>
  </si>
  <si>
    <t>ProviderONE HEALTH GROUP CLINIC - THORNBURY (NTX11)Groin HerniaEQ VAS</t>
  </si>
  <si>
    <t>NTX11</t>
  </si>
  <si>
    <t>ONE HEALTH GROUP CLINIC - THORNBURY (NTX11)</t>
  </si>
  <si>
    <t>RTH</t>
  </si>
  <si>
    <t>ProviderPARK HILL HOSPITAL (NVC14)Groin HerniaEQ VAS</t>
  </si>
  <si>
    <t>NVC14</t>
  </si>
  <si>
    <t>PARK HILL HOSPITAL (NVC14)</t>
  </si>
  <si>
    <t>ProviderBMI - THE MERIDEN HOSPITAL (NT424)Groin HerniaEQ VAS</t>
  </si>
  <si>
    <t>NT424</t>
  </si>
  <si>
    <t>BMI - THE MERIDEN HOSPITAL (NT424)</t>
  </si>
  <si>
    <t>ProviderBMI - THE PARK HOSPITAL (NT427)Groin HerniaEQ VAS</t>
  </si>
  <si>
    <t>NT427</t>
  </si>
  <si>
    <t>BMI - THE PARK HOSPITAL (NT427)</t>
  </si>
  <si>
    <t>ProviderBMI - THE PRINCESS MARGARET HOSPITAL (NT428)Groin HerniaEQ VAS</t>
  </si>
  <si>
    <t>NT428</t>
  </si>
  <si>
    <t>BMI - THE PRINCESS MARGARET HOSPITAL (NT428)</t>
  </si>
  <si>
    <t>ProviderBMI - THE RIDGEWAY HOSPITAL (NT430)Groin HerniaEQ VAS</t>
  </si>
  <si>
    <t>NT430</t>
  </si>
  <si>
    <t>BMI - THE RIDGEWAY HOSPITAL (NT430)</t>
  </si>
  <si>
    <t>ProviderBMI - THE RUNNYMEDE HOSPITAL (NT431)Groin HerniaEQ VAS</t>
  </si>
  <si>
    <t>NT431</t>
  </si>
  <si>
    <t>BMI - THE RUNNYMEDE HOSPITAL (NT431)</t>
  </si>
  <si>
    <t>ProviderBMI - THE SANDRINGHAM HOSPITAL (NT432)Groin HerniaEQ VAS</t>
  </si>
  <si>
    <t>NT432</t>
  </si>
  <si>
    <t>BMI - THE SANDRINGHAM HOSPITAL (NT432)</t>
  </si>
  <si>
    <t>ProviderBMI - THE SAXON CLINIC (NT434)Groin HerniaEQ VAS</t>
  </si>
  <si>
    <t>NT434</t>
  </si>
  <si>
    <t>BMI - THE SAXON CLINIC (NT434)</t>
  </si>
  <si>
    <t>ProviderBMI - THE SOMERFIELD HOSPITAL (NT438)Groin HerniaEQ VAS</t>
  </si>
  <si>
    <t>NT438</t>
  </si>
  <si>
    <t>BMI - THE SOMERFIELD HOSPITAL (NT438)</t>
  </si>
  <si>
    <t>ProviderBMI - THE SOUTH CHESHIRE PRIVATE HOSPITAL (NT439)Groin HerniaEQ VAS</t>
  </si>
  <si>
    <t>NT439</t>
  </si>
  <si>
    <t>BMI - THE SOUTH CHESHIRE PRIVATE HOSPITAL (NT439)</t>
  </si>
  <si>
    <t>ProviderBMI - THE WINTERBOURNE HOSPITAL (NT443)Groin HerniaEQ VAS</t>
  </si>
  <si>
    <t>NT443</t>
  </si>
  <si>
    <t>BMI - THE WINTERBOURNE HOSPITAL (NT443)</t>
  </si>
  <si>
    <t>ProviderBMI - THORNBURY HOSPITAL (NT440)Groin HerniaEQ VAS</t>
  </si>
  <si>
    <t>NT440</t>
  </si>
  <si>
    <t>BMI - THORNBURY HOSPITAL (NT440)</t>
  </si>
  <si>
    <t>ProviderBMI - THREE SHIRES HOSPITAL (NT441)Groin HerniaEQ VAS</t>
  </si>
  <si>
    <t>NT441</t>
  </si>
  <si>
    <t>BMI - THREE SHIRES HOSPITAL (NT441)</t>
  </si>
  <si>
    <t>ProviderBMI GISBURNE PARK HOSPITAL (NT497)Groin HerniaEQ VAS</t>
  </si>
  <si>
    <t>NT497</t>
  </si>
  <si>
    <t>BMI GISBURNE PARK HOSPITAL (NT497)</t>
  </si>
  <si>
    <t>ProviderBMI MOUNT ALVERNIA HOSPITAL (NT455)Groin HerniaEQ VAS</t>
  </si>
  <si>
    <t>NT455</t>
  </si>
  <si>
    <t>BMI MOUNT ALVERNIA HOSPITAL (NT455)</t>
  </si>
  <si>
    <t>ProviderBMI SOUTHEND PRIVATE HOSPITAL (NT490)Groin HerniaEQ VAS</t>
  </si>
  <si>
    <t>NT490</t>
  </si>
  <si>
    <t>BMI SOUTHEND PRIVATE HOSPITAL (NT490)</t>
  </si>
  <si>
    <t>ProviderBMI ST EDMUNDS HOSPITAL (NT446)Groin HerniaEQ VAS</t>
  </si>
  <si>
    <t>NT446</t>
  </si>
  <si>
    <t>BMI ST EDMUNDS HOSPITAL (NT446)</t>
  </si>
  <si>
    <t>ProviderBMI THE CAVELL HOSPITAL (NT451)Groin HerniaEQ VAS</t>
  </si>
  <si>
    <t>NT451</t>
  </si>
  <si>
    <t>BMI THE CAVELL HOSPITAL (NT451)</t>
  </si>
  <si>
    <t>ProviderBMI THE DUCHY HOSPITAL (NT447)Groin HerniaEQ VAS</t>
  </si>
  <si>
    <t>NT447</t>
  </si>
  <si>
    <t>BMI THE DUCHY HOSPITAL (NT447)</t>
  </si>
  <si>
    <t>ProviderBMI THE EDGBASTON HOSPITAL (NT445)Groin HerniaEQ VAS</t>
  </si>
  <si>
    <t>NT445</t>
  </si>
  <si>
    <t>BMI THE EDGBASTON HOSPITAL (NT445)</t>
  </si>
  <si>
    <t>ProviderNUFFIELD HEALTH, DERBY HOSPITAL (NT213)Groin HerniaEQ VAS</t>
  </si>
  <si>
    <t>NT213</t>
  </si>
  <si>
    <t>NUFFIELD HEALTH, DERBY HOSPITAL (NT213)</t>
  </si>
  <si>
    <t>ProviderNUFFIELD HEALTH, HEREFORD HOSPITAL (NT219)Groin HerniaEQ VAS</t>
  </si>
  <si>
    <t>NT219</t>
  </si>
  <si>
    <t>NUFFIELD HEALTH, HEREFORD HOSPITAL (NT219)</t>
  </si>
  <si>
    <t>ProviderBMI THE HUDDERSFIELD HOSPITAL (NT448)Groin HerniaEQ VAS</t>
  </si>
  <si>
    <t>NT448</t>
  </si>
  <si>
    <t>BMI THE HUDDERSFIELD HOSPITAL (NT448)</t>
  </si>
  <si>
    <t>ProviderBMI THE LANCASTER HOSPITAL (NT449)Groin HerniaEQ VAS</t>
  </si>
  <si>
    <t>NT449</t>
  </si>
  <si>
    <t>BMI THE LANCASTER HOSPITAL (NT449)</t>
  </si>
  <si>
    <t>ProviderBMI THE LINCOLN HOSPITAL (NT450)Groin HerniaEQ VAS</t>
  </si>
  <si>
    <t>NT450</t>
  </si>
  <si>
    <t>BMI THE LINCOLN HOSPITAL (NT450)</t>
  </si>
  <si>
    <t>ProviderBMI WOODLANDS HOSPITAL (NT457)Groin HerniaEQ VAS</t>
  </si>
  <si>
    <t>NT457</t>
  </si>
  <si>
    <t>BMI WOODLANDS HOSPITAL (NT457)</t>
  </si>
  <si>
    <t>ProviderBOLTON NHS FOUNDATION TRUST (RMC)Groin HerniaEQ VAS</t>
  </si>
  <si>
    <t>RMC</t>
  </si>
  <si>
    <t>BOLTON NHS FOUNDATION TRUST (RMC)</t>
  </si>
  <si>
    <t>ProviderBRADFORD TEACHING HOSPITALS NHS FOUNDATION TRUST (RAE)Groin HerniaEQ VAS</t>
  </si>
  <si>
    <t>RAE</t>
  </si>
  <si>
    <t>BRADFORD TEACHING HOSPITALS NHS FOUNDATION TRUST (RAE)</t>
  </si>
  <si>
    <t>ProviderBRAINTREE COMMUNITY HOSPITAL (NNQ01)Groin HerniaEQ VAS</t>
  </si>
  <si>
    <t>NNQ01</t>
  </si>
  <si>
    <t>BRAINTREE COMMUNITY HOSPITAL (NNQ01)</t>
  </si>
  <si>
    <t>ProviderBRIGHTON AND SUSSEX UNIVERSITY HOSPITALS NHS TRUST (RXH)Groin HerniaEQ VAS</t>
  </si>
  <si>
    <t>RXH</t>
  </si>
  <si>
    <t>BRIGHTON AND SUSSEX UNIVERSITY HOSPITALS NHS TRUST (RXH)</t>
  </si>
  <si>
    <t>ProviderBUCKINGHAMSHIRE HEALTHCARE NHS TRUST (RXQ)Groin HerniaEQ VAS</t>
  </si>
  <si>
    <t>RXQ</t>
  </si>
  <si>
    <t>BUCKINGHAMSHIRE HEALTHCARE NHS TRUST (RXQ)</t>
  </si>
  <si>
    <t>ProviderBURTON HOSPITALS NHS FOUNDATION TRUST (RJF)Groin HerniaEQ VAS</t>
  </si>
  <si>
    <t>RJF</t>
  </si>
  <si>
    <t>BURTON HOSPITALS NHS FOUNDATION TRUST (RJF)</t>
  </si>
  <si>
    <t>ProviderBOSTON WEST HOSPITAL (NVC27)Groin HerniaEQ VAS</t>
  </si>
  <si>
    <t>NVC27</t>
  </si>
  <si>
    <t>BOSTON WEST HOSPITAL (NVC27)</t>
  </si>
  <si>
    <t>ProviderCALDERDALE AND HUDDERSFIELD NHS FOUNDATION TRUST (RWY)Groin HerniaEQ VAS</t>
  </si>
  <si>
    <t>RWY</t>
  </si>
  <si>
    <t>CALDERDALE AND HUDDERSFIELD NHS FOUNDATION TRUST (RWY)</t>
  </si>
  <si>
    <t>ProviderTHE ROYAL WOLVERHAMPTON NHS TRUST (RL4)Groin HerniaEQ VAS</t>
  </si>
  <si>
    <t>RL4</t>
  </si>
  <si>
    <t>THE ROYAL WOLVERHAMPTON NHS TRUST (RL4)</t>
  </si>
  <si>
    <t>ProviderNUFFIELD HEALTH, IPSWICH HOSPITAL (NT222)Groin HerniaEQ VAS</t>
  </si>
  <si>
    <t>NT222</t>
  </si>
  <si>
    <t>NUFFIELD HEALTH, IPSWICH HOSPITAL (NT222)</t>
  </si>
  <si>
    <t>ProviderNUFFIELD HEALTH, LEEDS HOSPITAL (NT225)Groin HerniaEQ VAS</t>
  </si>
  <si>
    <t>NT225</t>
  </si>
  <si>
    <t>NUFFIELD HEALTH, LEEDS HOSPITAL (NT225)</t>
  </si>
  <si>
    <t>ProviderNUFFIELD HEALTH, LEICESTER HOSPITAL (NT226)Groin HerniaEQ VAS</t>
  </si>
  <si>
    <t>NT226</t>
  </si>
  <si>
    <t>NUFFIELD HEALTH, LEICESTER HOSPITAL (NT226)</t>
  </si>
  <si>
    <t>ProviderNUFFIELD HEALTH, NEWCASTLE UPON TYNE HOSPITAL (NT229)Groin HerniaEQ VAS</t>
  </si>
  <si>
    <t>NT229</t>
  </si>
  <si>
    <t>NUFFIELD HEALTH, NEWCASTLE UPON TYNE HOSPITAL (NT229)</t>
  </si>
  <si>
    <t>ProviderNUFFIELD HEALTH, NORTH STAFFORDSHIRE HOSPITAL (NT230)Groin HerniaEQ VAS</t>
  </si>
  <si>
    <t>NT230</t>
  </si>
  <si>
    <t>NUFFIELD HEALTH, NORTH STAFFORDSHIRE HOSPITAL (NT230)</t>
  </si>
  <si>
    <t>ProviderNUFFIELD HEALTH, PLYMOUTH HOSPITAL (NT233)Groin HerniaEQ VAS</t>
  </si>
  <si>
    <t>NT233</t>
  </si>
  <si>
    <t>NUFFIELD HEALTH, PLYMOUTH HOSPITAL (NT233)</t>
  </si>
  <si>
    <t>ProviderBMI - GORING HALL HOSPITAL (NT417)Groin HerniaEQ VAS</t>
  </si>
  <si>
    <t>NT417</t>
  </si>
  <si>
    <t>BMI - GORING HALL HOSPITAL (NT417)</t>
  </si>
  <si>
    <t>ProviderSOUTHERN HEALTH NHS FOUNDATION TRUST (RW1)Groin HerniaEQ VAS</t>
  </si>
  <si>
    <t>RW1</t>
  </si>
  <si>
    <t>SOUTHERN HEALTH NHS FOUNDATION TRUST (RW1)</t>
  </si>
  <si>
    <t>ProviderSPIRE GATWICK PARK HOSPITAL (NT308)Groin HerniaEQ VAS</t>
  </si>
  <si>
    <t>NT308</t>
  </si>
  <si>
    <t>SPIRE GATWICK PARK HOSPITAL (NT308)</t>
  </si>
  <si>
    <t>ProviderSPIRE CLARE PARK HOSPITAL (NT345)Groin HerniaEQ VAS</t>
  </si>
  <si>
    <t>NT345</t>
  </si>
  <si>
    <t>SPIRE CLARE PARK HOSPITAL (NT345)</t>
  </si>
  <si>
    <t>ProviderSPIRE DUNEDIN HOSPITAL (NT344)Groin HerniaEQ VAS</t>
  </si>
  <si>
    <t>NT344</t>
  </si>
  <si>
    <t>SPIRE DUNEDIN HOSPITAL (NT344)</t>
  </si>
  <si>
    <t>ProviderSPIRE ELLAND HOSPITAL (NT348)Groin HerniaEQ VAS</t>
  </si>
  <si>
    <t>NT348</t>
  </si>
  <si>
    <t>SPIRE ELLAND HOSPITAL (NT348)</t>
  </si>
  <si>
    <t>ProviderSOUTH WARWICKSHIRE NHS FOUNDATION TRUST (RJC)Groin HerniaEQ VAS</t>
  </si>
  <si>
    <t>RJC</t>
  </si>
  <si>
    <t>SOUTH WARWICKSHIRE NHS FOUNDATION TRUST (RJC)</t>
  </si>
  <si>
    <t>ProviderSOUTHAMPTON NHS TREATMENT CENTRE (NTP11)Groin HerniaEQ VAS</t>
  </si>
  <si>
    <t>NTP11</t>
  </si>
  <si>
    <t>SOUTHAMPTON NHS TREATMENT CENTRE (NTP11)</t>
  </si>
  <si>
    <t>ProviderSOUTHEND UNIVERSITY HOSPITAL NHS FOUNDATION TRUST (RAJ)Groin HerniaEQ VAS</t>
  </si>
  <si>
    <t>RAJ</t>
  </si>
  <si>
    <t>SOUTHEND UNIVERSITY HOSPITAL NHS FOUNDATION TRUST (RAJ)</t>
  </si>
  <si>
    <t>ProviderSOUTHPORT AND ORMSKIRK HOSPITAL NHS TRUST (RVY)Groin HerniaEQ VAS</t>
  </si>
  <si>
    <t>RVY</t>
  </si>
  <si>
    <t>SOUTHPORT AND ORMSKIRK HOSPITAL NHS TRUST (RVY)</t>
  </si>
  <si>
    <t>ProviderSPIRE ALEXANDRA HOSPITAL (NT312)Groin HerniaEQ VAS</t>
  </si>
  <si>
    <t>NT312</t>
  </si>
  <si>
    <t>SPIRE ALEXANDRA HOSPITAL (NT312)</t>
  </si>
  <si>
    <t>ProviderSPIRE CAMBRIDGE LEA HOSPITAL (NT317)Groin HerniaEQ VAS</t>
  </si>
  <si>
    <t>NT317</t>
  </si>
  <si>
    <t>SPIRE CAMBRIDGE LEA HOSPITAL (NT317)</t>
  </si>
  <si>
    <t>ProviderSPIRE CHESHIRE HOSPITAL (NT324)Groin HerniaEQ VAS</t>
  </si>
  <si>
    <t>NT324</t>
  </si>
  <si>
    <t>SPIRE CHESHIRE HOSPITAL (NT324)</t>
  </si>
  <si>
    <t>ProviderROYAL DEVON AND EXETER NHS FOUNDATION TRUST (RH8)Groin HerniaEQ VAS</t>
  </si>
  <si>
    <t>RH8</t>
  </si>
  <si>
    <t>ROYAL DEVON AND EXETER NHS FOUNDATION TRUST (RH8)</t>
  </si>
  <si>
    <t>ProviderROYAL FREE LONDON NHS FOUNDATION TRUST (RAL)Groin HerniaEQ VAS</t>
  </si>
  <si>
    <t>RAL</t>
  </si>
  <si>
    <t>ROYAL FREE LONDON NHS FOUNDATION TRUST (RAL)</t>
  </si>
  <si>
    <t>ProviderROYAL LIVERPOOL AND BROADGREEN UNIVERSITY HOSPITALS NHS TRUST (RQ6)Groin HerniaEQ VAS</t>
  </si>
  <si>
    <t>RQ6</t>
  </si>
  <si>
    <t>ROYAL LIVERPOOL AND BROADGREEN UNIVERSITY HOSPITALS NHS TRUST (RQ6)</t>
  </si>
  <si>
    <t>ProviderROYAL SURREY COUNTY HOSPITAL NHS FOUNDATION TRUST (RA2)Groin HerniaEQ VAS</t>
  </si>
  <si>
    <t>RA2</t>
  </si>
  <si>
    <t>ROYAL SURREY COUNTY HOSPITAL NHS FOUNDATION TRUST (RA2)</t>
  </si>
  <si>
    <t>ProviderROYAL UNITED HOSPITALS BATH NHS FOUNDATION TRUST (RD1)Groin HerniaEQ VAS</t>
  </si>
  <si>
    <t>RD1</t>
  </si>
  <si>
    <t>ROYAL UNITED HOSPITALS BATH NHS FOUNDATION TRUST (RD1)</t>
  </si>
  <si>
    <t>ProviderSALFORD ROYAL NHS FOUNDATION TRUST (RM3)Groin HerniaEQ VAS</t>
  </si>
  <si>
    <t>RM3</t>
  </si>
  <si>
    <t>SALFORD ROYAL NHS FOUNDATION TRUST (RM3)</t>
  </si>
  <si>
    <t>ProviderSALISBURY NHS FOUNDATION TRUST (RNZ)Groin HerniaEQ VAS</t>
  </si>
  <si>
    <t>RNZ</t>
  </si>
  <si>
    <t>SALISBURY NHS FOUNDATION TRUST (RNZ)</t>
  </si>
  <si>
    <t>ProviderSANDWELL AND WEST BIRMINGHAM HOSPITALS NHS TRUST (RXK)Groin HerniaEQ VAS</t>
  </si>
  <si>
    <t>RXK</t>
  </si>
  <si>
    <t>SANDWELL AND WEST BIRMINGHAM HOSPITALS NHS TRUST (RXK)</t>
  </si>
  <si>
    <t>ProviderSHEFFIELD TEACHING HOSPITALS NHS FOUNDATION TRUST (RHQ)Groin HerniaEQ VAS</t>
  </si>
  <si>
    <t>RHQ</t>
  </si>
  <si>
    <t>SHEFFIELD TEACHING HOSPITALS NHS FOUNDATION TRUST (RHQ)</t>
  </si>
  <si>
    <t>ProviderSHEPTON MALLET NHS TREATMENT CENTRE (NTC01)Groin HerniaEQ VAS</t>
  </si>
  <si>
    <t>NTC01</t>
  </si>
  <si>
    <t>SHEPTON MALLET NHS TREATMENT CENTRE (NTC01)</t>
  </si>
  <si>
    <t>ProviderSHEPTON MALLET NHS TREATMENT CENTRE (NTPH1)Groin HerniaEQ VAS</t>
  </si>
  <si>
    <t>NTPH1</t>
  </si>
  <si>
    <t>SHEPTON MALLET NHS TREATMENT CENTRE (NTPH1)</t>
  </si>
  <si>
    <t>ProviderSHERWOOD FOREST HOSPITALS NHS FOUNDATION TRUST (RK5)Groin HerniaEQ VAS</t>
  </si>
  <si>
    <t>RK5</t>
  </si>
  <si>
    <t>SHERWOOD FOREST HOSPITALS NHS FOUNDATION TRUST (RK5)</t>
  </si>
  <si>
    <t>ProviderSHREWSBURY AND TELFORD HOSPITAL NHS TRUST (RXW)Groin HerniaEQ VAS</t>
  </si>
  <si>
    <t>RXW</t>
  </si>
  <si>
    <t>SHREWSBURY AND TELFORD HOSPITAL NHS TRUST (RXW)</t>
  </si>
  <si>
    <t>RA9</t>
  </si>
  <si>
    <t>ProviderSOUTH TEES HOSPITALS NHS FOUNDATION TRUST (RTR)Groin HerniaEQ VAS</t>
  </si>
  <si>
    <t>RTR</t>
  </si>
  <si>
    <t>SOUTH TEES HOSPITALS NHS FOUNDATION TRUST (RTR)</t>
  </si>
  <si>
    <t>ProviderSOUTH TYNESIDE NHS FOUNDATION TRUST (RE9)Groin HerniaEQ VAS</t>
  </si>
  <si>
    <t>RE9</t>
  </si>
  <si>
    <t>SOUTH TYNESIDE NHS FOUNDATION TRUST (RE9)</t>
  </si>
  <si>
    <t>ProviderBMI - BATH CLINIC (NT402)Groin HerniaEQ VAS</t>
  </si>
  <si>
    <t>NT402</t>
  </si>
  <si>
    <t>BMI - BATH CLINIC (NT402)</t>
  </si>
  <si>
    <t>ProviderBMI - BISHOPS WOOD (NT405)Groin HerniaEQ VAS</t>
  </si>
  <si>
    <t>NT405</t>
  </si>
  <si>
    <t>BMI - BISHOPS WOOD (NT405)</t>
  </si>
  <si>
    <t>ProviderBMI - CHELSFIELD PARK HOSPITAL (NT409)Groin HerniaEQ VAS</t>
  </si>
  <si>
    <t>NT409</t>
  </si>
  <si>
    <t>BMI - CHELSFIELD PARK HOSPITAL (NT409)</t>
  </si>
  <si>
    <t>ProviderBMI - FAWKHAM MANOR HOSPITAL (NT414)Groin HerniaEQ VAS</t>
  </si>
  <si>
    <t>NT414</t>
  </si>
  <si>
    <t>BMI - FAWKHAM MANOR HOSPITAL (NT414)</t>
  </si>
  <si>
    <t>ProviderASPEN - CLAREMONT HOSPITAL (NYW04)Groin HerniaEQ VAS</t>
  </si>
  <si>
    <t>NYW04</t>
  </si>
  <si>
    <t>ASPEN - CLAREMONT HOSPITAL (NYW04)</t>
  </si>
  <si>
    <t>ProviderASPEN - HIGHGATE HOSPITAL (NYW03)Groin HerniaEQ VAS</t>
  </si>
  <si>
    <t>NYW03</t>
  </si>
  <si>
    <t>ASPEN - HIGHGATE HOSPITAL (NYW03)</t>
  </si>
  <si>
    <t>ProviderASPEN - HOLLY HOUSE HOSPITAL (NYW01)Groin HerniaEQ VAS</t>
  </si>
  <si>
    <t>NYW01</t>
  </si>
  <si>
    <t>ASPEN - HOLLY HOUSE HOSPITAL (NYW01)</t>
  </si>
  <si>
    <t>ProviderBARKING, HAVERING AND REDBRIDGE UNIVERSITY HOSPITALS NHS TRUST (RF4)Groin HerniaEQ VAS</t>
  </si>
  <si>
    <t>RF4</t>
  </si>
  <si>
    <t>BARKING, HAVERING AND REDBRIDGE UNIVERSITY HOSPITALS NHS TRUST (RF4)</t>
  </si>
  <si>
    <t>ProviderBARNET AND CHASE FARM HOSPITALS NHS TRUST (RVL)Groin HerniaEQ VAS</t>
  </si>
  <si>
    <t>RVL</t>
  </si>
  <si>
    <t>BARNET AND CHASE FARM HOSPITALS NHS TRUST (RVL)</t>
  </si>
  <si>
    <t>ProviderYORK TEACHING HOSPITAL NHS FOUNDATION TRUST (RCB)Groin HerniaEQ VAS</t>
  </si>
  <si>
    <t>RCB</t>
  </si>
  <si>
    <t>ProviderWYE VALLEY NHS TRUST (RLQ)Groin HerniaEQ VAS</t>
  </si>
  <si>
    <t>RLQ</t>
  </si>
  <si>
    <t>WYE VALLEY NHS TRUST (RLQ)</t>
  </si>
  <si>
    <t>ProviderYEOVIL DISTRICT HOSPITAL NHS FOUNDATION TRUST (RA4)Groin HerniaEQ VAS</t>
  </si>
  <si>
    <t>RA4</t>
  </si>
  <si>
    <t>ProviderLEWISHAM AND GREENWICH NHS TRUST (RJ2)Groin HerniaEQ VAS</t>
  </si>
  <si>
    <t>RJ2</t>
  </si>
  <si>
    <t>LEWISHAM AND GREENWICH NHS TRUST (RJ2)</t>
  </si>
  <si>
    <t>ProviderWESTON AREA HEALTH NHS TRUST (RA3)Groin HerniaEQ VAS</t>
  </si>
  <si>
    <t>RA3</t>
  </si>
  <si>
    <t>WESTON AREA HEALTH NHS TRUST (RA3)</t>
  </si>
  <si>
    <t>ProviderLUTON AND DUNSTABLE UNIVERSITY HOSPITAL NHS FOUNDATION TRUST (RC9)Groin HerniaEQ VAS</t>
  </si>
  <si>
    <t>RC9</t>
  </si>
  <si>
    <t>LUTON AND DUNSTABLE UNIVERSITY HOSPITAL NHS FOUNDATION TRUST (RC9)</t>
  </si>
  <si>
    <t>ProviderWILL ADAMS NHS TREATMENT CENTRE (NTP16)Groin HerniaEQ VAS</t>
  </si>
  <si>
    <t>NTP16</t>
  </si>
  <si>
    <t>WILL ADAMS NHS TREATMENT CENTRE (NTP16)</t>
  </si>
  <si>
    <t>ProviderWINFIELD HOSPITAL (NVC22)Groin HerniaEQ VAS</t>
  </si>
  <si>
    <t>NVC22</t>
  </si>
  <si>
    <t>WINFIELD HOSPITAL (NVC22)</t>
  </si>
  <si>
    <t>ProviderWIRRAL UNIVERSITY TEACHING HOSPITAL NHS FOUNDATION TRUST (RBL)Groin HerniaEQ VAS</t>
  </si>
  <si>
    <t>RBL</t>
  </si>
  <si>
    <t>WIRRAL UNIVERSITY TEACHING HOSPITAL NHS FOUNDATION TRUST (RBL)</t>
  </si>
  <si>
    <t>ProviderWOODLAND HOSPITAL (NVC23)Groin HerniaEQ VAS</t>
  </si>
  <si>
    <t>NVC23</t>
  </si>
  <si>
    <t>WOODLAND HOSPITAL (NVC23)</t>
  </si>
  <si>
    <t>ProviderWORCESTERSHIRE ACUTE HOSPITALS NHS TRUST (RWP)Groin HerniaEQ VAS</t>
  </si>
  <si>
    <t>RWP</t>
  </si>
  <si>
    <t>WORCESTERSHIRE ACUTE HOSPITALS NHS TRUST (RWP)</t>
  </si>
  <si>
    <t>ProviderWRIGHTINGTON, WIGAN AND LEIGH NHS FOUNDATION TRUST (RRF)Groin HerniaEQ VAS</t>
  </si>
  <si>
    <t>RRF</t>
  </si>
  <si>
    <t>WRIGHTINGTON, WIGAN AND LEIGH NHS FOUNDATION TRUST (RRF)</t>
  </si>
  <si>
    <t>ProviderBARNSLEY HOSPITAL NHS FOUNDATION TRUST (RFF)Groin HerniaEQ VAS</t>
  </si>
  <si>
    <t>RFF</t>
  </si>
  <si>
    <t>BARNSLEY HOSPITAL NHS FOUNDATION TRUST (RFF)</t>
  </si>
  <si>
    <t>ProviderBARTS HEALTH NHS TRUST (R1H)Groin HerniaEQ VAS</t>
  </si>
  <si>
    <t>R1H</t>
  </si>
  <si>
    <t>BARTS HEALTH NHS TRUST (R1H)</t>
  </si>
  <si>
    <t>ProviderBASILDON AND THURROCK UNIVERSITY HOSPITALS NHS FOUNDATION TRUST (RDD)Groin HerniaEQ VAS</t>
  </si>
  <si>
    <t>RDD</t>
  </si>
  <si>
    <t>BASILDON AND THURROCK UNIVERSITY HOSPITALS NHS FOUNDATION TRUST (RDD)</t>
  </si>
  <si>
    <t>ProviderBEDFORD HOSPITAL NHS TRUST (RC1)Groin HerniaEQ VAS</t>
  </si>
  <si>
    <t>RC1</t>
  </si>
  <si>
    <t>BEDFORD HOSPITAL NHS TRUST (RC1)</t>
  </si>
  <si>
    <t>ProviderBLACKPOOL TEACHING HOSPITALS NHS FOUNDATION TRUST (RXL)Groin HerniaEQ VAS</t>
  </si>
  <si>
    <t>RXL</t>
  </si>
  <si>
    <t>BLACKPOOL TEACHING HOSPITALS NHS FOUNDATION TRUST (RXL)</t>
  </si>
  <si>
    <t>ProviderBLAKELANDS HOSPITAL (NVC31)Groin HerniaEQ VAS</t>
  </si>
  <si>
    <t>NVC31</t>
  </si>
  <si>
    <t>BLAKELANDS HOSPITAL (NVC31)</t>
  </si>
  <si>
    <t>ProviderLANCASHIRE TEACHING HOSPITALS NHS FOUNDATION TRUST (RXN)Groin HerniaEQ VAS</t>
  </si>
  <si>
    <t>RXN</t>
  </si>
  <si>
    <t>LANCASHIRE TEACHING HOSPITALS NHS FOUNDATION TRUST (RXN)</t>
  </si>
  <si>
    <t>ProviderBMI - HENDON HOSPITAL (NT416)Groin HerniaEQ VAS</t>
  </si>
  <si>
    <t>NT416</t>
  </si>
  <si>
    <t>BMI - HENDON HOSPITAL (NT416)</t>
  </si>
  <si>
    <t>ProviderBMI - SARUM ROAD HOSPITAL (NT433)Groin HerniaEQ VAS</t>
  </si>
  <si>
    <t>NT433</t>
  </si>
  <si>
    <t>BMI - SARUM ROAD HOSPITAL (NT433)</t>
  </si>
  <si>
    <t>ProviderBMI - SHIRLEY OAKS HOSPITAL (NT436)Groin HerniaEQ VAS</t>
  </si>
  <si>
    <t>NT436</t>
  </si>
  <si>
    <t>BMI - SHIRLEY OAKS HOSPITAL (NT436)</t>
  </si>
  <si>
    <t>ProviderBMI - THE ALEXANDRA HOSPITAL (NT401)Groin HerniaEQ VAS</t>
  </si>
  <si>
    <t>NT401</t>
  </si>
  <si>
    <t>BMI - THE ALEXANDRA HOSPITAL (NT401)</t>
  </si>
  <si>
    <t>ProviderBMI - THE BEARDWOOD HOSPITAL (NT403)Groin HerniaEQ VAS</t>
  </si>
  <si>
    <t>NT403</t>
  </si>
  <si>
    <t>BMI - THE BEARDWOOD HOSPITAL (NT403)</t>
  </si>
  <si>
    <t>ProviderBMI - THE BEAUMONT HOSPITAL (NT404)Groin HerniaEQ VAS</t>
  </si>
  <si>
    <t>NT404</t>
  </si>
  <si>
    <t>BMI - THE BEAUMONT HOSPITAL (NT404)</t>
  </si>
  <si>
    <t>ProviderBMI - THE BLACKHEATH HOSPITAL (NT406)Groin HerniaEQ VAS</t>
  </si>
  <si>
    <t>NT406</t>
  </si>
  <si>
    <t>BMI - THE BLACKHEATH HOSPITAL (NT406)</t>
  </si>
  <si>
    <t>ProviderBMI - THE CHAUCER HOSPITAL (NT408)Groin HerniaEQ VAS</t>
  </si>
  <si>
    <t>NT408</t>
  </si>
  <si>
    <t>BMI - THE CHAUCER HOSPITAL (NT408)</t>
  </si>
  <si>
    <t>ProviderBMI - THE CHILTERN HOSPITAL (NT410)Groin HerniaEQ VAS</t>
  </si>
  <si>
    <t>NT410</t>
  </si>
  <si>
    <t>BMI - THE CHILTERN HOSPITAL (NT410)</t>
  </si>
  <si>
    <t>ProviderBMI - THE CLEMENTINE CHURCHILL HOSPITAL (NT411)Groin HerniaEQ VAS</t>
  </si>
  <si>
    <t>NT411</t>
  </si>
  <si>
    <t>BMI - THE CLEMENTINE CHURCHILL HOSPITAL (NT411)</t>
  </si>
  <si>
    <t>ProviderBMI - THE DROITWICH SPA HOSPITAL (NT412)Groin HerniaEQ VAS</t>
  </si>
  <si>
    <t>NT412</t>
  </si>
  <si>
    <t>BMI - THE DROITWICH SPA HOSPITAL (NT412)</t>
  </si>
  <si>
    <t>ProviderBMI - THE ESPERANCE HOSPITAL (NT413)Groin HerniaEQ VAS</t>
  </si>
  <si>
    <t>NT413</t>
  </si>
  <si>
    <t>BMI - THE ESPERANCE HOSPITAL (NT413)</t>
  </si>
  <si>
    <t>ProviderBMI - THE FOSCOTE HOSPITAL (NT415)Groin HerniaEQ VAS</t>
  </si>
  <si>
    <t>NT415</t>
  </si>
  <si>
    <t>BMI - THE FOSCOTE HOSPITAL (NT415)</t>
  </si>
  <si>
    <t>ProviderBMI - THE HAMPSHIRE CLINIC (NT418)Groin HerniaEQ VAS</t>
  </si>
  <si>
    <t>NT418</t>
  </si>
  <si>
    <t>BMI - THE HAMPSHIRE CLINIC (NT418)</t>
  </si>
  <si>
    <t>ProviderBMI - THE HARBOUR HOSPITAL (NT419)Groin HerniaEQ VAS</t>
  </si>
  <si>
    <t>NT419</t>
  </si>
  <si>
    <t>BMI - THE HARBOUR HOSPITAL (NT419)</t>
  </si>
  <si>
    <t>ProviderBMI - THE HIGHFIELD HOSPITAL (NT420)Groin HerniaEQ VAS</t>
  </si>
  <si>
    <t>NT420</t>
  </si>
  <si>
    <t>BMI - THE HIGHFIELD HOSPITAL (NT420)</t>
  </si>
  <si>
    <t>ProviderBMI - THE KINGS OAK HOSPITAL (NT421)Groin HerniaEQ VAS</t>
  </si>
  <si>
    <t>NT421</t>
  </si>
  <si>
    <t>BMI - THE KINGS OAK HOSPITAL (NT421)</t>
  </si>
  <si>
    <t>ProviderBMI - THE LONDON INDEPENDENT HOSPITAL (NT422)Groin HerniaEQ VAS</t>
  </si>
  <si>
    <t>NT422</t>
  </si>
  <si>
    <t>BMI - THE LONDON INDEPENDENT HOSPITAL (NT422)</t>
  </si>
  <si>
    <t>ProviderBMI - THE MANOR HOSPITAL (NT423)Groin HerniaEQ VAS</t>
  </si>
  <si>
    <t>NT423</t>
  </si>
  <si>
    <t>BMI - THE MANOR HOSPITAL (NT423)</t>
  </si>
  <si>
    <t>ProviderMAIDSTONE AND TUNBRIDGE WELLS NHS TRUST (RWF)Groin HerniaEQ VAS</t>
  </si>
  <si>
    <t>RWF</t>
  </si>
  <si>
    <t>MAIDSTONE AND TUNBRIDGE WELLS NHS TRUST (RWF)</t>
  </si>
  <si>
    <t>ProviderMEDWAY NHS FOUNDATION TRUST (RPA)Groin HerniaEQ VAS</t>
  </si>
  <si>
    <t>RPA</t>
  </si>
  <si>
    <t>MEDWAY NHS FOUNDATION TRUST (RPA)</t>
  </si>
  <si>
    <t>ProviderMID CHESHIRE HOSPITALS NHS FOUNDATION TRUST (RBT)Groin HerniaEQ VAS</t>
  </si>
  <si>
    <t>RBT</t>
  </si>
  <si>
    <t>ProviderMID ESSEX HOSPITAL SERVICES NHS TRUST (RQ8)Groin HerniaEQ VAS</t>
  </si>
  <si>
    <t>RQ8</t>
  </si>
  <si>
    <t>MID ESSEX HOSPITAL SERVICES NHS TRUST (RQ8)</t>
  </si>
  <si>
    <t>ProviderMID STAFFORDSHIRE NHS FOUNDATION TRUST (RJD)Groin HerniaEQ VAS</t>
  </si>
  <si>
    <t>RJD</t>
  </si>
  <si>
    <t>MID STAFFORDSHIRE NHS FOUNDATION TRUST (RJD)</t>
  </si>
  <si>
    <t>ProviderMID YORKSHIRE HOSPITALS NHS TRUST (RXF)Groin HerniaEQ VAS</t>
  </si>
  <si>
    <t>RXF</t>
  </si>
  <si>
    <t>MID YORKSHIRE HOSPITALS NHS TRUST (RXF)</t>
  </si>
  <si>
    <t>RD8</t>
  </si>
  <si>
    <t>ProviderMOUNT STUART HOSPITAL (NVC08)Groin HerniaEQ VAS</t>
  </si>
  <si>
    <t>NVC08</t>
  </si>
  <si>
    <t>MOUNT STUART HOSPITAL (NVC08)</t>
  </si>
  <si>
    <t>ProviderNEW HALL HOSPITAL (NVC09)Groin HerniaEQ VAS</t>
  </si>
  <si>
    <t>NVC09</t>
  </si>
  <si>
    <t>NEW HALL HOSPITAL (NVC09)</t>
  </si>
  <si>
    <t>ProviderNORFOLK AND NORWICH UNIVERSITY HOSPITALS NHS FOUNDATION TRUST (RM1)Groin HerniaEQ VAS</t>
  </si>
  <si>
    <t>RM1</t>
  </si>
  <si>
    <t>NORFOLK AND NORWICH UNIVERSITY HOSPITALS NHS FOUNDATION TRUST (RM1)</t>
  </si>
  <si>
    <t>ProviderNORTH BRISTOL NHS TRUST (RVJ)Groin HerniaEQ VAS</t>
  </si>
  <si>
    <t>RVJ</t>
  </si>
  <si>
    <t>NORTH BRISTOL NHS TRUST (RVJ)</t>
  </si>
  <si>
    <t>ProviderNORTH CUMBRIA UNIVERSITY HOSPITALS NHS TRUST (RNL)Groin HerniaEQ VAS</t>
  </si>
  <si>
    <t>RNL</t>
  </si>
  <si>
    <t>NORTH CUMBRIA UNIVERSITY HOSPITALS NHS TRUST (RNL)</t>
  </si>
  <si>
    <t>ProviderNORTH DOWNS HOSPITAL (NVC11)Groin HerniaEQ VAS</t>
  </si>
  <si>
    <t>NVC11</t>
  </si>
  <si>
    <t>NORTH DOWNS HOSPITAL (NVC11)</t>
  </si>
  <si>
    <t>ProviderNORTH EAST LONDON TREATMENT CENTRE CARE UK (NTP15)Groin HerniaEQ VAS</t>
  </si>
  <si>
    <t>NTP15</t>
  </si>
  <si>
    <t>NORTH EAST LONDON TREATMENT CENTRE CARE UK (NTP15)</t>
  </si>
  <si>
    <t>ProviderNORTH MIDDLESEX UNIVERSITY HOSPITAL NHS TRUST (RAP)Groin HerniaEQ VAS</t>
  </si>
  <si>
    <t>RAP</t>
  </si>
  <si>
    <t>NORTH MIDDLESEX UNIVERSITY HOSPITAL NHS TRUST (RAP)</t>
  </si>
  <si>
    <t>ProviderNORTH TEES AND HARTLEPOOL NHS FOUNDATION TRUST (RVW)Groin HerniaEQ VAS</t>
  </si>
  <si>
    <t>RVW</t>
  </si>
  <si>
    <t>NORTH TEES AND HARTLEPOOL NHS FOUNDATION TRUST (RVW)</t>
  </si>
  <si>
    <t>ProviderNORTH WEST LONDON HOSPITALS NHS TRUST (RV8)Groin HerniaEQ VAS</t>
  </si>
  <si>
    <t>RV8</t>
  </si>
  <si>
    <t>NORTH WEST LONDON HOSPITALS NHS TRUST (RV8)</t>
  </si>
  <si>
    <t>ProviderNORTHAMPTON GENERAL HOSPITAL NHS TRUST (RNS)Groin HerniaEQ VAS</t>
  </si>
  <si>
    <t>RNS</t>
  </si>
  <si>
    <t>NORTHAMPTON GENERAL HOSPITAL NHS TRUST (RNS)</t>
  </si>
  <si>
    <t>ProviderNORTHERN DEVON HEALTHCARE NHS TRUST (RBZ)Groin HerniaEQ VAS</t>
  </si>
  <si>
    <t>RBZ</t>
  </si>
  <si>
    <t>NORTHERN DEVON HEALTHCARE NHS TRUST (RBZ)</t>
  </si>
  <si>
    <t>ProviderNORTHERN LINCOLNSHIRE AND GOOLE NHS FOUNDATION TRUST (RJL)Groin HerniaEQ VAS</t>
  </si>
  <si>
    <t>RJL</t>
  </si>
  <si>
    <t>NORTHERN LINCOLNSHIRE AND GOOLE NHS FOUNDATION TRUST (RJL)</t>
  </si>
  <si>
    <t>ProviderNORTHUMBRIA HEALTHCARE NHS FOUNDATION TRUST (RTF)Groin HerniaEQ VAS</t>
  </si>
  <si>
    <t>RTF</t>
  </si>
  <si>
    <t>NORTHUMBRIA HEALTHCARE NHS FOUNDATION TRUST (RTF)</t>
  </si>
  <si>
    <t>ProviderNOTTINGHAM UNIVERSITY HOSPITALS NHS TRUST (RX1)Groin HerniaEQ VAS</t>
  </si>
  <si>
    <t>RX1</t>
  </si>
  <si>
    <t>NOTTINGHAM UNIVERSITY HOSPITALS NHS TRUST (RX1)</t>
  </si>
  <si>
    <t>NVC40</t>
  </si>
  <si>
    <t>ProviderNUFFIELD HEALTH, BRENTWOOD HOSPITAL (NT204)Groin HerniaEQ VAS</t>
  </si>
  <si>
    <t>NT204</t>
  </si>
  <si>
    <t>NUFFIELD HEALTH, BRENTWOOD HOSPITAL (NT204)</t>
  </si>
  <si>
    <t>ProviderWHITE HORSE HEALTH CENTRE - IHG (NXP17)Groin HerniaEQ VAS</t>
  </si>
  <si>
    <t>NXP17</t>
  </si>
  <si>
    <t>WHITE HORSE HEALTH CENTRE - IHG (NXP17)</t>
  </si>
  <si>
    <t>ProviderNUFFIELD HEALTH, BRIGHTON HOSPITAL (NT205)Groin HerniaEQ VAS</t>
  </si>
  <si>
    <t>NT205</t>
  </si>
  <si>
    <t>NUFFIELD HEALTH, BRIGHTON HOSPITAL (NT205)</t>
  </si>
  <si>
    <t>ProviderNUFFIELD HEALTH, BRISTOL HOSPITAL (CHESTERFIELD) (NT206)Groin HerniaEQ VAS</t>
  </si>
  <si>
    <t>NT206</t>
  </si>
  <si>
    <t>NUFFIELD HEALTH, BRISTOL HOSPITAL (CHESTERFIELD) (NT206)</t>
  </si>
  <si>
    <t>ProviderNUFFIELD HEALTH, CHELTENHAM HOSPITAL (NT211)Groin HerniaEQ VAS</t>
  </si>
  <si>
    <t>NT211</t>
  </si>
  <si>
    <t>NUFFIELD HEALTH, CHELTENHAM HOSPITAL (NT211)</t>
  </si>
  <si>
    <t>ProviderWESTERN SUSSEX HOSPITALS NHS FOUNDATION TRUST (RYR)Groin HerniaEQ VAS</t>
  </si>
  <si>
    <t>RYR</t>
  </si>
  <si>
    <t>WESTERN SUSSEX HOSPITALS NHS FOUNDATION TRUST (RYR)</t>
  </si>
  <si>
    <t>ProviderWEST MIDLANDS HOSPITAL (NVC21)Groin HerniaEQ VAS</t>
  </si>
  <si>
    <t>NVC21</t>
  </si>
  <si>
    <t>WEST MIDLANDS HOSPITAL (NVC21)</t>
  </si>
  <si>
    <t>ProviderWEST SUFFOLK NHS FOUNDATION TRUST (RGR)Groin HerniaEQ VAS</t>
  </si>
  <si>
    <t>RGR</t>
  </si>
  <si>
    <t>WEST SUFFOLK NHS FOUNDATION TRUST (RGR)</t>
  </si>
  <si>
    <t>ProviderUNIVERSITY HOSPITALS COVENTRY AND WARWICKSHIRE NHS TRUST (RKB)Groin HerniaEQ VAS</t>
  </si>
  <si>
    <t>RKB</t>
  </si>
  <si>
    <t>UNIVERSITY HOSPITALS COVENTRY AND WARWICKSHIRE NHS TRUST (RKB)</t>
  </si>
  <si>
    <t>ProviderUNIVERSITY HOSPITALS OF LEICESTER NHS TRUST (RWE)Groin HerniaEQ VAS</t>
  </si>
  <si>
    <t>RWE</t>
  </si>
  <si>
    <t>UNIVERSITY HOSPITALS OF LEICESTER NHS TRUST (RWE)</t>
  </si>
  <si>
    <t>ProviderUNIVERSITY HOSPITALS OF MORECAMBE BAY NHS FOUNDATION TRUST (RTX)Groin HerniaEQ VAS</t>
  </si>
  <si>
    <t>RTX</t>
  </si>
  <si>
    <t>UNIVERSITY HOSPITALS OF MORECAMBE BAY NHS FOUNDATION TRUST (RTX)</t>
  </si>
  <si>
    <t>ProviderUNIVERSITY HOSPITALS OF NORTH MIDLANDS NHS TRUST (RJE)Groin HerniaEQ VAS</t>
  </si>
  <si>
    <t>RJE</t>
  </si>
  <si>
    <t>UNIVERSITY HOSPITALS OF NORTH MIDLANDS NHS TRUST (RJE)</t>
  </si>
  <si>
    <t>ProviderWALSALL HEALTHCARE NHS TRUST (RBK)Groin HerniaEQ VAS</t>
  </si>
  <si>
    <t>RBK</t>
  </si>
  <si>
    <t>WALSALL HEALTHCARE NHS TRUST (RBK)</t>
  </si>
  <si>
    <t>ProviderWARRINGTON AND HALTON HOSPITALS NHS FOUNDATION TRUST (RWW)Groin HerniaEQ VAS</t>
  </si>
  <si>
    <t>RWW</t>
  </si>
  <si>
    <t>WARRINGTON AND HALTON HOSPITALS NHS FOUNDATION TRUST (RWW)</t>
  </si>
  <si>
    <t>ProviderWEST HERTFORDSHIRE HOSPITALS NHS TRUST (RWG)Groin HerniaEQ VAS</t>
  </si>
  <si>
    <t>RWG</t>
  </si>
  <si>
    <t>WEST HERTFORDSHIRE HOSPITALS NHS TRUST (RWG)</t>
  </si>
  <si>
    <t>ProviderWEST MIDDLESEX UNIVERSITY HOSPITAL NHS TRUST (RFW)Groin HerniaEQ VAS</t>
  </si>
  <si>
    <t>RFW</t>
  </si>
  <si>
    <t>WEST MIDDLESEX UNIVERSITY HOSPITAL NHS TRUST (RFW)</t>
  </si>
  <si>
    <t>ProviderTHE ROTHERHAM NHS FOUNDATION TRUST (RFR)Groin HerniaEQ VAS</t>
  </si>
  <si>
    <t>RFR</t>
  </si>
  <si>
    <t>THE ROTHERHAM NHS FOUNDATION TRUST (RFR)</t>
  </si>
  <si>
    <t>ProviderTHE ROYAL BOURNEMOUTH AND CHRISTCHURCH HOSPITALS NHS FOUNDATION TRUST (RDZ)Groin HerniaEQ VAS</t>
  </si>
  <si>
    <t>RDZ</t>
  </si>
  <si>
    <t>THE ROYAL BOURNEMOUTH AND CHRISTCHURCH HOSPITALS NHS FOUNDATION TRUST (RDZ)</t>
  </si>
  <si>
    <t>ProviderROYAL CORNWALL HOSPITALS NHS TRUST (REF)Groin HerniaEQ VAS</t>
  </si>
  <si>
    <t>REF</t>
  </si>
  <si>
    <t>ROYAL CORNWALL HOSPITALS NHS TRUST (REF)</t>
  </si>
  <si>
    <t>ProviderTHE NEWCASTLE UPON TYNE HOSPITALS NHS FOUNDATION TRUST (RTD)Groin HerniaEQ VAS</t>
  </si>
  <si>
    <t>RTD</t>
  </si>
  <si>
    <t>THE NEWCASTLE UPON TYNE HOSPITALS NHS FOUNDATION TRUST (RTD)</t>
  </si>
  <si>
    <t>ProviderTHE PRINCESS ALEXANDRA HOSPITAL NHS TRUST (RQW)Groin HerniaEQ VAS</t>
  </si>
  <si>
    <t>RQW</t>
  </si>
  <si>
    <t>THE PRINCESS ALEXANDRA HOSPITAL NHS TRUST (RQW)</t>
  </si>
  <si>
    <t>ProviderTHE QUEEN ELIZABETH HOSPITAL, KING'S LYNN, NHS FOUNDATION TRUST (RCX)Groin HerniaEQ VAS</t>
  </si>
  <si>
    <t>RCX</t>
  </si>
  <si>
    <t>THE QUEEN ELIZABETH HOSPITAL, KING'S LYNN, NHS FOUNDATION TRUST (RCX)</t>
  </si>
  <si>
    <t>ProviderTHE SPENCER WING (RAMSGATE ROAD) (NN801)Groin HerniaEQ VAS</t>
  </si>
  <si>
    <t>NN801</t>
  </si>
  <si>
    <t>THE SPENCER WING (RAMSGATE ROAD) (NN801)</t>
  </si>
  <si>
    <t>ProviderTHE YORKSHIRE CLINIC (NVC20)Groin HerniaEQ VAS</t>
  </si>
  <si>
    <t>NVC20</t>
  </si>
  <si>
    <t>THE YORKSHIRE CLINIC (NVC20)</t>
  </si>
  <si>
    <t>ProviderUNITED LINCOLNSHIRE HOSPITALS NHS TRUST (RWD)Groin HerniaEQ VAS</t>
  </si>
  <si>
    <t>RWD</t>
  </si>
  <si>
    <t>UNITED LINCOLNSHIRE HOSPITALS NHS TRUST (RWD)</t>
  </si>
  <si>
    <t>ProviderUNIVERSITY COLLEGE LONDON HOSPITALS NHS FOUNDATION TRUST (RRV)Groin HerniaEQ VAS</t>
  </si>
  <si>
    <t>RRV</t>
  </si>
  <si>
    <t>UNIVERSITY COLLEGE LONDON HOSPITALS NHS FOUNDATION TRUST (RRV)</t>
  </si>
  <si>
    <t>ProviderUNIVERSITY HOSPITAL OF SOUTH MANCHESTER NHS FOUNDATION TRUST (RM2)Groin HerniaEQ VAS</t>
  </si>
  <si>
    <t>RM2</t>
  </si>
  <si>
    <t>UNIVERSITY HOSPITAL OF SOUTH MANCHESTER NHS FOUNDATION TRUST (RM2)</t>
  </si>
  <si>
    <t>ProviderUNIVERSITY HOSPITAL SOUTHAMPTON NHS FOUNDATION TRUST (RHM)Groin HerniaEQ VAS</t>
  </si>
  <si>
    <t>RHM</t>
  </si>
  <si>
    <t>UNIVERSITY HOSPITAL SOUTHAMPTON NHS FOUNDATION TRUST (RHM)</t>
  </si>
  <si>
    <t>ProviderTHE WESTBOURNE CENTRE (NVC44)Groin HerniaEQ VAS</t>
  </si>
  <si>
    <t>NVC44</t>
  </si>
  <si>
    <t>THE WESTBOURNE CENTRE (NVC44)</t>
  </si>
  <si>
    <t>ProviderUNIVERSITY HOSPITALS BIRMINGHAM NHS FOUNDATION TRUST (RRK)Groin HerniaEQ VAS</t>
  </si>
  <si>
    <t>RRK</t>
  </si>
  <si>
    <t>UNIVERSITY HOSPITALS BIRMINGHAM NHS FOUNDATION TRUST (RRK)</t>
  </si>
  <si>
    <t>ProviderCOUNTESS OF CHESTER HOSPITAL NHS FOUNDATION TRUST (RJR)Groin HerniaEQ VAS</t>
  </si>
  <si>
    <t>RJR</t>
  </si>
  <si>
    <t>COUNTESS OF CHESTER HOSPITAL NHS FOUNDATION TRUST (RJR)</t>
  </si>
  <si>
    <t>ProviderCOUNTY DURHAM AND DARLINGTON NHS FOUNDATION TRUST (RXP)Groin HerniaEQ VAS</t>
  </si>
  <si>
    <t>RXP</t>
  </si>
  <si>
    <t>COUNTY DURHAM AND DARLINGTON NHS FOUNDATION TRUST (RXP)</t>
  </si>
  <si>
    <t>ProviderDARTFORD AND GRAVESHAM NHS TRUST (RN7)Groin HerniaEQ VAS</t>
  </si>
  <si>
    <t>RN7</t>
  </si>
  <si>
    <t>DARTFORD AND GRAVESHAM NHS TRUST (RN7)</t>
  </si>
  <si>
    <t>ProviderDERBY TEACHING HOSPITALS NHS FOUNDATION TRUST (RTG)Groin HerniaEQ VAS</t>
  </si>
  <si>
    <t>RTG</t>
  </si>
  <si>
    <t>DERBY TEACHING HOSPITALS NHS FOUNDATION TRUST (RTG)</t>
  </si>
  <si>
    <t>ProviderCOBHAM DAY SURGERY HOSPITAL (NVM01)Groin HerniaEQ VAS</t>
  </si>
  <si>
    <t>NVM01</t>
  </si>
  <si>
    <t>COBHAM DAY SURGERY HOSPITAL (NVM01)</t>
  </si>
  <si>
    <t>ProviderDEVIZES NHS TREATMENT CENTRE (NTPH3)Groin HerniaEQ VAS</t>
  </si>
  <si>
    <t>NTPH3</t>
  </si>
  <si>
    <t>DEVIZES NHS TREATMENT CENTRE (NTPH3)</t>
  </si>
  <si>
    <t>ProviderDONCASTER AND BASSETLAW HOSPITALS NHS FOUNDATION TRUST (RP5)Groin HerniaEQ VAS</t>
  </si>
  <si>
    <t>RP5</t>
  </si>
  <si>
    <t>DONCASTER AND BASSETLAW HOSPITALS NHS FOUNDATION TRUST (RP5)</t>
  </si>
  <si>
    <t>ProviderDORSET COUNTY HOSPITAL NHS FOUNDATION TRUST (RBD)Groin HerniaEQ VAS</t>
  </si>
  <si>
    <t>RBD</t>
  </si>
  <si>
    <t>DORSET COUNTY HOSPITAL NHS FOUNDATION TRUST (RBD)</t>
  </si>
  <si>
    <t>ProviderDORSET HEALTHCARE UNIVERSITY NHS FOUNDATION TRUST (RDY)Groin HerniaEQ VAS</t>
  </si>
  <si>
    <t>RDY</t>
  </si>
  <si>
    <t>DORSET HEALTHCARE UNIVERSITY NHS FOUNDATION TRUST (RDY)</t>
  </si>
  <si>
    <t>ProviderEALING HOSPITAL NHS TRUST (RC3)Groin HerniaEQ VAS</t>
  </si>
  <si>
    <t>RC3</t>
  </si>
  <si>
    <t>EALING HOSPITAL NHS TRUST (RC3)</t>
  </si>
  <si>
    <t>ProviderDERBYSHIRE COMMUNITY HEALTH SERVICES NHS FOUNDATION TRUST (RY8)Groin HerniaEQ VAS</t>
  </si>
  <si>
    <t>RY8</t>
  </si>
  <si>
    <t>DERBYSHIRE COMMUNITY HEALTH SERVICES NHS FOUNDATION TRUST (RY8)</t>
  </si>
  <si>
    <t>ProviderEAST AND NORTH HERTFORDSHIRE NHS TRUST (RWH)Groin HerniaEQ VAS</t>
  </si>
  <si>
    <t>RWH</t>
  </si>
  <si>
    <t>EAST AND NORTH HERTFORDSHIRE NHS TRUST (RWH)</t>
  </si>
  <si>
    <t>ProviderEAST CHESHIRE NHS TRUST (RJN)Groin HerniaEQ VAS</t>
  </si>
  <si>
    <t>RJN</t>
  </si>
  <si>
    <t>EAST CHESHIRE NHS TRUST (RJN)</t>
  </si>
  <si>
    <t>ProviderEAST KENT HOSPITALS UNIVERSITY NHS FOUNDATION TRUST (RVV)Groin HerniaEQ VAS</t>
  </si>
  <si>
    <t>RVV</t>
  </si>
  <si>
    <t>EAST KENT HOSPITALS UNIVERSITY NHS FOUNDATION TRUST (RVV)</t>
  </si>
  <si>
    <t>ProviderEAST LANCASHIRE HOSPITALS NHS TRUST (RXR)Groin HerniaEQ VAS</t>
  </si>
  <si>
    <t>RXR</t>
  </si>
  <si>
    <t>EAST LANCASHIRE HOSPITALS NHS TRUST (RXR)</t>
  </si>
  <si>
    <t>ProviderEAST SUSSEX HEALTHCARE NHS TRUST (RXC)Groin HerniaEQ VAS</t>
  </si>
  <si>
    <t>RXC</t>
  </si>
  <si>
    <t>EAST SUSSEX HEALTHCARE NHS TRUST (RXC)</t>
  </si>
  <si>
    <t>ProviderEMERSONS GREEN NHS TREATMENT CENTRE (NTPH2)Groin HerniaEQ VAS</t>
  </si>
  <si>
    <t>NTPH2</t>
  </si>
  <si>
    <t>EMERSONS GREEN NHS TREATMENT CENTRE (NTPH2)</t>
  </si>
  <si>
    <t>ProviderROYAL BERKSHIRE NHS FOUNDATION TRUST (RHW)Groin HerniaEQ VAS</t>
  </si>
  <si>
    <t>RHW</t>
  </si>
  <si>
    <t>ROYAL BERKSHIRE NHS FOUNDATION TRUST (RHW)</t>
  </si>
  <si>
    <t>ProviderUNIVERSITY HOSPITALS BRISTOL NHS FOUNDATION TRUST (RA7)Groin HerniaEQ VAS</t>
  </si>
  <si>
    <t>RA7</t>
  </si>
  <si>
    <t>UNIVERSITY HOSPITALS BRISTOL NHS FOUNDATION TRUST (RA7)</t>
  </si>
  <si>
    <t>ProviderAINTREE UNIVERSITY HOSPITAL NHS FOUNDATION TRUST (REM)Groin HerniaEQ VAS</t>
  </si>
  <si>
    <t>REM</t>
  </si>
  <si>
    <t>AINTREE UNIVERSITY HOSPITAL NHS FOUNDATION TRUST (REM)</t>
  </si>
  <si>
    <t>ProviderAIREDALE NHS FOUNDATION TRUST (RCF)Groin HerniaEQ VAS</t>
  </si>
  <si>
    <t>RCF</t>
  </si>
  <si>
    <t>AIREDALE NHS FOUNDATION TRUST (RCF)</t>
  </si>
  <si>
    <t>ProviderASHFORD AND ST PETER'S HOSPITALS NHS FOUNDATION TRUST (RTK)Groin HerniaEQ VAS</t>
  </si>
  <si>
    <t>RTK</t>
  </si>
  <si>
    <t>ProviderASHTEAD HOSPITAL (NVC01)Groin HerniaEQ VAS</t>
  </si>
  <si>
    <t>NVC01</t>
  </si>
  <si>
    <t>ASHTEAD HOSPITAL (NVC01)</t>
  </si>
  <si>
    <t>ProviderEPSOM AND ST HELIER UNIVERSITY HOSPITALS NHS TRUST (RVR)Groin HerniaEQ VAS</t>
  </si>
  <si>
    <t>RVR</t>
  </si>
  <si>
    <t>EPSOM AND ST HELIER UNIVERSITY HOSPITALS NHS TRUST (RVR)</t>
  </si>
  <si>
    <t>ProviderEUXTON HALL HOSPITAL (NVC05)Groin HerniaEQ VAS</t>
  </si>
  <si>
    <t>NVC05</t>
  </si>
  <si>
    <t>EUXTON HALL HOSPITAL (NVC05)</t>
  </si>
  <si>
    <t>ProviderFAIRFIELD HOSPITAL (NVG01)Groin HerniaEQ VAS</t>
  </si>
  <si>
    <t>NVG01</t>
  </si>
  <si>
    <t>FAIRFIELD HOSPITAL (NVG01)</t>
  </si>
  <si>
    <t>ProviderFITZWILLIAM HOSPITAL (NVC06)Groin HerniaEQ VAS</t>
  </si>
  <si>
    <t>NVC06</t>
  </si>
  <si>
    <t>FITZWILLIAM HOSPITAL (NVC06)</t>
  </si>
  <si>
    <t>ProviderFRIMLEY HEALTH NHS FOUNDATION TRUST (RDU)Groin HerniaEQ VAS</t>
  </si>
  <si>
    <t>RDU</t>
  </si>
  <si>
    <t>FRIMLEY HEALTH NHS FOUNDATION TRUST (RDU)</t>
  </si>
  <si>
    <t>ProviderFULWOOD HALL HOSPITAL (NVC07)Groin HerniaEQ VAS</t>
  </si>
  <si>
    <t>NVC07</t>
  </si>
  <si>
    <t>FULWOOD HALL HOSPITAL (NVC07)</t>
  </si>
  <si>
    <t>ProviderGATESHEAD HEALTH NHS FOUNDATION TRUST (RR7)Groin HerniaEQ VAS</t>
  </si>
  <si>
    <t>RR7</t>
  </si>
  <si>
    <t>GATESHEAD HEALTH NHS FOUNDATION TRUST (RR7)</t>
  </si>
  <si>
    <t>ProviderGEORGE ELIOT HOSPITAL NHS TRUST (RLT)Groin HerniaEQ VAS</t>
  </si>
  <si>
    <t>RLT</t>
  </si>
  <si>
    <t>GEORGE ELIOT HOSPITAL NHS TRUST (RLT)</t>
  </si>
  <si>
    <t>ProviderGLOUCESTERSHIRE HOSPITALS NHS FOUNDATION TRUST (RTE)Groin HerniaEQ VAS</t>
  </si>
  <si>
    <t>RTE</t>
  </si>
  <si>
    <t>GLOUCESTERSHIRE HOSPITALS NHS FOUNDATION TRUST (RTE)</t>
  </si>
  <si>
    <t>ProviderGREAT WESTERN HOSPITALS NHS FOUNDATION TRUST (RN3)Groin HerniaEQ VAS</t>
  </si>
  <si>
    <t>RN3</t>
  </si>
  <si>
    <t>GREAT WESTERN HOSPITALS NHS FOUNDATION TRUST (RN3)</t>
  </si>
  <si>
    <t>ProviderGUY'S AND ST THOMAS' NHS FOUNDATION TRUST (RJ1)Groin HerniaEQ VAS</t>
  </si>
  <si>
    <t>RJ1</t>
  </si>
  <si>
    <t>GUY'S AND ST THOMAS' NHS FOUNDATION TRUST (RJ1)</t>
  </si>
  <si>
    <t>ProviderHAMPSHIRE HOSPITALS NHS FOUNDATION TRUST (RN5)Groin HerniaEQ VAS</t>
  </si>
  <si>
    <t>RN5</t>
  </si>
  <si>
    <t>HAMPSHIRE HOSPITALS NHS FOUNDATION TRUST (RN5)</t>
  </si>
  <si>
    <t>ProviderHARROGATE AND DISTRICT NHS FOUNDATION TRUST (RCD)Groin HerniaEQ VAS</t>
  </si>
  <si>
    <t>RCD</t>
  </si>
  <si>
    <t>HARROGATE AND DISTRICT NHS FOUNDATION TRUST (RCD)</t>
  </si>
  <si>
    <t>ProviderHEART OF ENGLAND NHS FOUNDATION TRUST (RR1)Groin HerniaEQ VAS</t>
  </si>
  <si>
    <t>RR1</t>
  </si>
  <si>
    <t>HEART OF ENGLAND NHS FOUNDATION TRUST (RR1)</t>
  </si>
  <si>
    <t>ProviderHEATHERWOOD AND WEXHAM PARK HOSPITALS NHS FOUNDATION TRUST (RD7)Groin HerniaEQ VAS</t>
  </si>
  <si>
    <t>RD7</t>
  </si>
  <si>
    <t>HEATHERWOOD AND WEXHAM PARK HOSPITALS NHS FOUNDATION TRUST (RD7)</t>
  </si>
  <si>
    <t>ProviderHINCHINGBROOKE HEALTH CARE NHS TRUST (RQQ)Groin HerniaEQ VAS</t>
  </si>
  <si>
    <t>RQQ</t>
  </si>
  <si>
    <t>HINCHINGBROOKE HEALTH CARE NHS TRUST (RQQ)</t>
  </si>
  <si>
    <t>ProviderHOMERTON UNIVERSITY HOSPITAL NHS FOUNDATION TRUST (RQX)Groin HerniaEQ VAS</t>
  </si>
  <si>
    <t>RQX</t>
  </si>
  <si>
    <t>HOMERTON UNIVERSITY HOSPITAL NHS FOUNDATION TRUST (RQX)</t>
  </si>
  <si>
    <t>ProviderFOSCOTE COURT (BANBURY) TRUST LTD (AHH)Groin HerniaEQ VAS</t>
  </si>
  <si>
    <t>AHH</t>
  </si>
  <si>
    <t>FOSCOTE COURT (BANBURY) TRUST LTD (AHH)</t>
  </si>
  <si>
    <t>ProviderHATHAWAY MEDICAL CENTRE (NXP04)Groin HerniaEQ VAS</t>
  </si>
  <si>
    <t>NXP04</t>
  </si>
  <si>
    <t>HATHAWAY MEDICAL CENTRE (NXP04)</t>
  </si>
  <si>
    <t>ProviderHULL AND EAST YORKSHIRE HOSPITALS NHS TRUST (RWA)Groin HerniaEQ VAS</t>
  </si>
  <si>
    <t>RWA</t>
  </si>
  <si>
    <t>HULL AND EAST YORKSHIRE HOSPITALS NHS TRUST (RWA)</t>
  </si>
  <si>
    <t>ProviderIPSWICH HOSPITAL NHS TRUST (RGQ)Groin HerniaEQ VAS</t>
  </si>
  <si>
    <t>RGQ</t>
  </si>
  <si>
    <t>IPSWICH HOSPITAL NHS TRUST (RGQ)</t>
  </si>
  <si>
    <t>ProviderISLE OF WIGHT NHS TRUST (R1F)Groin HerniaEQ VAS</t>
  </si>
  <si>
    <t>R1F</t>
  </si>
  <si>
    <t>ISLE OF WIGHT NHS TRUST (R1F)</t>
  </si>
  <si>
    <t>ProviderJAMES PAGET UNIVERSITY HOSPITALS NHS FOUNDATION TRUST (RGP)Groin HerniaEQ VAS</t>
  </si>
  <si>
    <t>RGP</t>
  </si>
  <si>
    <t>JAMES PAGET UNIVERSITY HOSPITALS NHS FOUNDATION TRUST (RGP)</t>
  </si>
  <si>
    <t>ProviderKETTERING GENERAL HOSPITAL NHS FOUNDATION TRUST (RNQ)Groin HerniaEQ VAS</t>
  </si>
  <si>
    <t>RNQ</t>
  </si>
  <si>
    <t>KETTERING GENERAL HOSPITAL NHS FOUNDATION TRUST (RNQ)</t>
  </si>
  <si>
    <t>ProviderSPIRE LITTLE ASTON HOSPITAL (NT321)Groin HerniaEQ VAS</t>
  </si>
  <si>
    <t>NT321</t>
  </si>
  <si>
    <t>SPIRE LITTLE ASTON HOSPITAL (NT321)</t>
  </si>
  <si>
    <t>ProviderKING'S COLLEGE HOSPITAL NHS FOUNDATION TRUST (RJZ)Groin HerniaEQ VAS</t>
  </si>
  <si>
    <t>RJZ</t>
  </si>
  <si>
    <t>KING'S COLLEGE HOSPITAL NHS FOUNDATION TRUST (RJZ)</t>
  </si>
  <si>
    <t>ProviderSPIRE LIVERPOOL HOSPITAL (NT337)Groin HerniaEQ VAS</t>
  </si>
  <si>
    <t>NT337</t>
  </si>
  <si>
    <t>SPIRE LIVERPOOL HOSPITAL (NT337)</t>
  </si>
  <si>
    <t>ProviderLEEDS TEACHING HOSPITALS NHS TRUST (RR8)Groin HerniaEQ VAS</t>
  </si>
  <si>
    <t>RR8</t>
  </si>
  <si>
    <t>ProviderLEEDS TEACHING HOSPITALS NHS TRUST (RR8)Groin HerniaEQ-5D Index</t>
  </si>
  <si>
    <t>ProviderSPIRE LIVERPOOL HOSPITAL (NT337)Groin HerniaEQ-5D Index</t>
  </si>
  <si>
    <t>ProviderKING'S COLLEGE HOSPITAL NHS FOUNDATION TRUST (RJZ)Groin HerniaEQ-5D Index</t>
  </si>
  <si>
    <t>ProviderSPIRE LITTLE ASTON HOSPITAL (NT321)Groin HerniaEQ-5D Index</t>
  </si>
  <si>
    <t>ProviderKETTERING GENERAL HOSPITAL NHS FOUNDATION TRUST (RNQ)Groin HerniaEQ-5D Index</t>
  </si>
  <si>
    <t>ProviderJAMES PAGET UNIVERSITY HOSPITALS NHS FOUNDATION TRUST (RGP)Groin HerniaEQ-5D Index</t>
  </si>
  <si>
    <t>ProviderISLE OF WIGHT NHS TRUST (R1F)Groin HerniaEQ-5D Index</t>
  </si>
  <si>
    <t>ProviderIPSWICH HOSPITAL NHS TRUST (RGQ)Groin HerniaEQ-5D Index</t>
  </si>
  <si>
    <t>ProviderHULL AND EAST YORKSHIRE HOSPITALS NHS TRUST (RWA)Groin HerniaEQ-5D Index</t>
  </si>
  <si>
    <t>ProviderHATHAWAY MEDICAL CENTRE (NXP04)Groin HerniaEQ-5D Index</t>
  </si>
  <si>
    <t>ProviderFOSCOTE COURT (BANBURY) TRUST LTD (AHH)Groin HerniaEQ-5D Index</t>
  </si>
  <si>
    <t>ProviderHOMERTON UNIVERSITY HOSPITAL NHS FOUNDATION TRUST (RQX)Groin HerniaEQ-5D Index</t>
  </si>
  <si>
    <t>ProviderHINCHINGBROOKE HEALTH CARE NHS TRUST (RQQ)Groin HerniaEQ-5D Index</t>
  </si>
  <si>
    <t>ProviderHEATHERWOOD AND WEXHAM PARK HOSPITALS NHS FOUNDATION TRUST (RD7)Groin HerniaEQ-5D Index</t>
  </si>
  <si>
    <t>ProviderHEART OF ENGLAND NHS FOUNDATION TRUST (RR1)Groin HerniaEQ-5D Index</t>
  </si>
  <si>
    <t>ProviderHARROGATE AND DISTRICT NHS FOUNDATION TRUST (RCD)Groin HerniaEQ-5D Index</t>
  </si>
  <si>
    <t>ProviderHAMPSHIRE HOSPITALS NHS FOUNDATION TRUST (RN5)Groin HerniaEQ-5D Index</t>
  </si>
  <si>
    <t>ProviderGUY'S AND ST THOMAS' NHS FOUNDATION TRUST (RJ1)Groin HerniaEQ-5D Index</t>
  </si>
  <si>
    <t>ProviderGREAT WESTERN HOSPITALS NHS FOUNDATION TRUST (RN3)Groin HerniaEQ-5D Index</t>
  </si>
  <si>
    <t>ProviderGLOUCESTERSHIRE HOSPITALS NHS FOUNDATION TRUST (RTE)Groin HerniaEQ-5D Index</t>
  </si>
  <si>
    <t>ProviderGEORGE ELIOT HOSPITAL NHS TRUST (RLT)Groin HerniaEQ-5D Index</t>
  </si>
  <si>
    <t>ProviderGATESHEAD HEALTH NHS FOUNDATION TRUST (RR7)Groin HerniaEQ-5D Index</t>
  </si>
  <si>
    <t>ProviderFULWOOD HALL HOSPITAL (NVC07)Groin HerniaEQ-5D Index</t>
  </si>
  <si>
    <t>ProviderFRIMLEY HEALTH NHS FOUNDATION TRUST (RDU)Groin HerniaEQ-5D Index</t>
  </si>
  <si>
    <t>ProviderFITZWILLIAM HOSPITAL (NVC06)Groin HerniaEQ-5D Index</t>
  </si>
  <si>
    <t>ProviderFAIRFIELD HOSPITAL (NVG01)Groin HerniaEQ-5D Index</t>
  </si>
  <si>
    <t>ProviderEUXTON HALL HOSPITAL (NVC05)Groin HerniaEQ-5D Index</t>
  </si>
  <si>
    <t>ProviderEPSOM AND ST HELIER UNIVERSITY HOSPITALS NHS TRUST (RVR)Groin HerniaEQ-5D Index</t>
  </si>
  <si>
    <t>ProviderASHTEAD HOSPITAL (NVC01)Groin HerniaEQ-5D Index</t>
  </si>
  <si>
    <t>ProviderASHFORD AND ST PETER'S HOSPITALS NHS FOUNDATION TRUST (RTK)Groin HerniaEQ-5D Index</t>
  </si>
  <si>
    <t>ProviderAIREDALE NHS FOUNDATION TRUST (RCF)Groin HerniaEQ-5D Index</t>
  </si>
  <si>
    <t>ProviderAINTREE UNIVERSITY HOSPITAL NHS FOUNDATION TRUST (REM)Groin HerniaEQ-5D Index</t>
  </si>
  <si>
    <t>ProviderUNIVERSITY HOSPITALS BRISTOL NHS FOUNDATION TRUST (RA7)Groin HerniaEQ-5D Index</t>
  </si>
  <si>
    <t>ProviderEALING HOSPITAL NHS TRUST (RC3)Groin HerniaEQ-5D Index</t>
  </si>
  <si>
    <t>ProviderROYAL BERKSHIRE NHS FOUNDATION TRUST (RHW)Groin HerniaEQ-5D Index</t>
  </si>
  <si>
    <t>ProviderEMERSONS GREEN NHS TREATMENT CENTRE (NTPH2)Groin HerniaEQ-5D Index</t>
  </si>
  <si>
    <t>ProviderEAST SUSSEX HEALTHCARE NHS TRUST (RXC)Groin HerniaEQ-5D Index</t>
  </si>
  <si>
    <t>ProviderEAST LANCASHIRE HOSPITALS NHS TRUST (RXR)Groin HerniaEQ-5D Index</t>
  </si>
  <si>
    <t>ProviderEAST KENT HOSPITALS UNIVERSITY NHS FOUNDATION TRUST (RVV)Groin HerniaEQ-5D Index</t>
  </si>
  <si>
    <t>ProviderEAST CHESHIRE NHS TRUST (RJN)Groin HerniaEQ-5D Index</t>
  </si>
  <si>
    <t>ProviderEAST AND NORTH HERTFORDSHIRE NHS TRUST (RWH)Groin HerniaEQ-5D Index</t>
  </si>
  <si>
    <t>ProviderDERBYSHIRE COMMUNITY HEALTH SERVICES NHS FOUNDATION TRUST (RY8)Groin HerniaEQ-5D Index</t>
  </si>
  <si>
    <t>ProviderDORSET HEALTHCARE UNIVERSITY NHS FOUNDATION TRUST (RDY)Groin HerniaEQ-5D Index</t>
  </si>
  <si>
    <t>ProviderDORSET COUNTY HOSPITAL NHS FOUNDATION TRUST (RBD)Groin HerniaEQ-5D Index</t>
  </si>
  <si>
    <t>ProviderDONCASTER AND BASSETLAW HOSPITALS NHS FOUNDATION TRUST (RP5)Groin HerniaEQ-5D Index</t>
  </si>
  <si>
    <t>ProviderDEVIZES NHS TREATMENT CENTRE (NTPH3)Groin HerniaEQ-5D Index</t>
  </si>
  <si>
    <t>ProviderCOBHAM DAY SURGERY HOSPITAL (NVM01)Groin HerniaEQ-5D Index</t>
  </si>
  <si>
    <t>ProviderDERBY TEACHING HOSPITALS NHS FOUNDATION TRUST (RTG)Groin HerniaEQ-5D Index</t>
  </si>
  <si>
    <t>ProviderDARTFORD AND GRAVESHAM NHS TRUST (RN7)Groin HerniaEQ-5D Index</t>
  </si>
  <si>
    <t>ProviderCOUNTY DURHAM AND DARLINGTON NHS FOUNDATION TRUST (RXP)Groin HerniaEQ-5D Index</t>
  </si>
  <si>
    <t>ProviderCOUNTESS OF CHESTER HOSPITAL NHS FOUNDATION TRUST (RJR)Groin HerniaEQ-5D Index</t>
  </si>
  <si>
    <t>ProviderUNIVERSITY HOSPITALS BIRMINGHAM NHS FOUNDATION TRUST (RRK)Groin HerniaEQ-5D Index</t>
  </si>
  <si>
    <t>ProviderTHE WESTBOURNE CENTRE (NVC44)Groin HerniaEQ-5D Index</t>
  </si>
  <si>
    <t>ProviderUNIVERSITY HOSPITAL SOUTHAMPTON NHS FOUNDATION TRUST (RHM)Groin HerniaEQ-5D Index</t>
  </si>
  <si>
    <t>ProviderUNIVERSITY HOSPITAL OF SOUTH MANCHESTER NHS FOUNDATION TRUST (RM2)Groin HerniaEQ-5D Index</t>
  </si>
  <si>
    <t>ProviderUNIVERSITY COLLEGE LONDON HOSPITALS NHS FOUNDATION TRUST (RRV)Groin HerniaEQ-5D Index</t>
  </si>
  <si>
    <t>ProviderUNITED LINCOLNSHIRE HOSPITALS NHS TRUST (RWD)Groin HerniaEQ-5D Index</t>
  </si>
  <si>
    <t>ProviderTHE YORKSHIRE CLINIC (NVC20)Groin HerniaEQ-5D Index</t>
  </si>
  <si>
    <t>ProviderTHE SPENCER WING (RAMSGATE ROAD) (NN801)Groin HerniaEQ-5D Index</t>
  </si>
  <si>
    <t>ProviderTHE QUEEN ELIZABETH HOSPITAL, KING'S LYNN, NHS FOUNDATION TRUST (RCX)Groin HerniaEQ-5D Index</t>
  </si>
  <si>
    <t>ProviderTHE PRINCESS ALEXANDRA HOSPITAL NHS TRUST (RQW)Groin HerniaEQ-5D Index</t>
  </si>
  <si>
    <t>ProviderTHE NEWCASTLE UPON TYNE HOSPITALS NHS FOUNDATION TRUST (RTD)Groin HerniaEQ-5D Index</t>
  </si>
  <si>
    <t>ProviderROYAL CORNWALL HOSPITALS NHS TRUST (REF)Groin HerniaEQ-5D Index</t>
  </si>
  <si>
    <t>ProviderTHE ROYAL BOURNEMOUTH AND CHRISTCHURCH HOSPITALS NHS FOUNDATION TRUST (RDZ)Groin HerniaEQ-5D Index</t>
  </si>
  <si>
    <t>ProviderTHE ROTHERHAM NHS FOUNDATION TRUST (RFR)Groin HerniaEQ-5D Index</t>
  </si>
  <si>
    <t>ProviderWEST MIDDLESEX UNIVERSITY HOSPITAL NHS TRUST (RFW)Groin HerniaEQ-5D Index</t>
  </si>
  <si>
    <t>ProviderWEST HERTFORDSHIRE HOSPITALS NHS TRUST (RWG)Groin HerniaEQ-5D Index</t>
  </si>
  <si>
    <t>ProviderWARRINGTON AND HALTON HOSPITALS NHS FOUNDATION TRUST (RWW)Groin HerniaEQ-5D Index</t>
  </si>
  <si>
    <t>ProviderWALSALL HEALTHCARE NHS TRUST (RBK)Groin HerniaEQ-5D Index</t>
  </si>
  <si>
    <t>ProviderUNIVERSITY HOSPITALS OF NORTH MIDLANDS NHS TRUST (RJE)Groin HerniaEQ-5D Index</t>
  </si>
  <si>
    <t>ProviderUNIVERSITY HOSPITALS OF MORECAMBE BAY NHS FOUNDATION TRUST (RTX)Groin HerniaEQ-5D Index</t>
  </si>
  <si>
    <t>ProviderUNIVERSITY HOSPITALS OF LEICESTER NHS TRUST (RWE)Groin HerniaEQ-5D Index</t>
  </si>
  <si>
    <t>ProviderUNIVERSITY HOSPITALS COVENTRY AND WARWICKSHIRE NHS TRUST (RKB)Groin HerniaEQ-5D Index</t>
  </si>
  <si>
    <t>ProviderWEST SUFFOLK NHS FOUNDATION TRUST (RGR)Groin HerniaEQ-5D Index</t>
  </si>
  <si>
    <t>ProviderWEST MIDLANDS HOSPITAL (NVC21)Groin HerniaEQ-5D Index</t>
  </si>
  <si>
    <t>ProviderWESTERN SUSSEX HOSPITALS NHS FOUNDATION TRUST (RYR)Groin HerniaEQ-5D Index</t>
  </si>
  <si>
    <t>ProviderNUFFIELD HEALTH, CHELTENHAM HOSPITAL (NT211)Groin HerniaEQ-5D Index</t>
  </si>
  <si>
    <t>ProviderNUFFIELD HEALTH, BRISTOL HOSPITAL (CHESTERFIELD) (NT206)Groin HerniaEQ-5D Index</t>
  </si>
  <si>
    <t>ProviderWHITE HORSE HEALTH CENTRE - IHG (NXP17)Groin HerniaEQ-5D Index</t>
  </si>
  <si>
    <t>ProviderNUFFIELD HEALTH, BRENTWOOD HOSPITAL (NT204)Groin HerniaEQ-5D Index</t>
  </si>
  <si>
    <t>ProviderNOTTINGHAM UNIVERSITY HOSPITALS NHS TRUST (RX1)Groin HerniaEQ-5D Index</t>
  </si>
  <si>
    <t>ProviderNORTHUMBRIA HEALTHCARE NHS FOUNDATION TRUST (RTF)Groin HerniaEQ-5D Index</t>
  </si>
  <si>
    <t>ProviderNORTHERN LINCOLNSHIRE AND GOOLE NHS FOUNDATION TRUST (RJL)Groin HerniaEQ-5D Index</t>
  </si>
  <si>
    <t>ProviderNORTHERN DEVON HEALTHCARE NHS TRUST (RBZ)Groin HerniaEQ-5D Index</t>
  </si>
  <si>
    <t>ProviderNORTHAMPTON GENERAL HOSPITAL NHS TRUST (RNS)Groin HerniaEQ-5D Index</t>
  </si>
  <si>
    <t>ProviderNORTH WEST LONDON HOSPITALS NHS TRUST (RV8)Groin HerniaEQ-5D Index</t>
  </si>
  <si>
    <t>ProviderNORTH TEES AND HARTLEPOOL NHS FOUNDATION TRUST (RVW)Groin HerniaEQ-5D Index</t>
  </si>
  <si>
    <t>ProviderNORTH MIDDLESEX UNIVERSITY HOSPITAL NHS TRUST (RAP)Groin HerniaEQ-5D Index</t>
  </si>
  <si>
    <t>ProviderNORTH EAST LONDON TREATMENT CENTRE CARE UK (NTP15)Groin HerniaEQ-5D Index</t>
  </si>
  <si>
    <t>ProviderNORTH DOWNS HOSPITAL (NVC11)Groin HerniaEQ-5D Index</t>
  </si>
  <si>
    <t>ProviderNORTH CUMBRIA UNIVERSITY HOSPITALS NHS TRUST (RNL)Groin HerniaEQ-5D Index</t>
  </si>
  <si>
    <t>ProviderNORTH BRISTOL NHS TRUST (RVJ)Groin HerniaEQ-5D Index</t>
  </si>
  <si>
    <t>ProviderNORFOLK AND NORWICH UNIVERSITY HOSPITALS NHS FOUNDATION TRUST (RM1)Groin HerniaEQ-5D Index</t>
  </si>
  <si>
    <t>ProviderNEW HALL HOSPITAL (NVC09)Groin HerniaEQ-5D Index</t>
  </si>
  <si>
    <t>ProviderMOUNT STUART HOSPITAL (NVC08)Groin HerniaEQ-5D Index</t>
  </si>
  <si>
    <t>ProviderMID YORKSHIRE HOSPITALS NHS TRUST (RXF)Groin HerniaEQ-5D Index</t>
  </si>
  <si>
    <t>ProviderMID STAFFORDSHIRE NHS FOUNDATION TRUST (RJD)Groin HerniaEQ-5D Index</t>
  </si>
  <si>
    <t>ProviderMID ESSEX HOSPITAL SERVICES NHS TRUST (RQ8)Groin HerniaEQ-5D Index</t>
  </si>
  <si>
    <t>ProviderMID CHESHIRE HOSPITALS NHS FOUNDATION TRUST (RBT)Groin HerniaEQ-5D Index</t>
  </si>
  <si>
    <t>ProviderMEDWAY NHS FOUNDATION TRUST (RPA)Groin HerniaEQ-5D Index</t>
  </si>
  <si>
    <t>ProviderMAIDSTONE AND TUNBRIDGE WELLS NHS TRUST (RWF)Groin HerniaEQ-5D Index</t>
  </si>
  <si>
    <t>ProviderBMI - THE MANOR HOSPITAL (NT423)Groin HerniaEQ-5D Index</t>
  </si>
  <si>
    <t>ProviderBMI - THE LONDON INDEPENDENT HOSPITAL (NT422)Groin HerniaEQ-5D Index</t>
  </si>
  <si>
    <t>ProviderBMI - THE KINGS OAK HOSPITAL (NT421)Groin HerniaEQ-5D Index</t>
  </si>
  <si>
    <t>ProviderBMI - THE HIGHFIELD HOSPITAL (NT420)Groin HerniaEQ-5D Index</t>
  </si>
  <si>
    <t>ProviderBMI - THE HARBOUR HOSPITAL (NT419)Groin HerniaEQ-5D Index</t>
  </si>
  <si>
    <t>ProviderBMI - THE HAMPSHIRE CLINIC (NT418)Groin HerniaEQ-5D Index</t>
  </si>
  <si>
    <t>ProviderBMI - THE FOSCOTE HOSPITAL (NT415)Groin HerniaEQ-5D Index</t>
  </si>
  <si>
    <t>ProviderBMI - THE ESPERANCE HOSPITAL (NT413)Groin HerniaEQ-5D Index</t>
  </si>
  <si>
    <t>ProviderBMI - THE DROITWICH SPA HOSPITAL (NT412)Groin HerniaEQ-5D Index</t>
  </si>
  <si>
    <t>ProviderBMI - THE CLEMENTINE CHURCHILL HOSPITAL (NT411)Groin HerniaEQ-5D Index</t>
  </si>
  <si>
    <t>ProviderBMI - THE CHILTERN HOSPITAL (NT410)Groin HerniaEQ-5D Index</t>
  </si>
  <si>
    <t>ProviderBMI - THE CHAUCER HOSPITAL (NT408)Groin HerniaEQ-5D Index</t>
  </si>
  <si>
    <t>ProviderBMI - THE BLACKHEATH HOSPITAL (NT406)Groin HerniaEQ-5D Index</t>
  </si>
  <si>
    <t>ProviderBMI - THE BEAUMONT HOSPITAL (NT404)Groin HerniaEQ-5D Index</t>
  </si>
  <si>
    <t>ProviderBMI - THE BEARDWOOD HOSPITAL (NT403)Groin HerniaEQ-5D Index</t>
  </si>
  <si>
    <t>ProviderBMI - THE ALEXANDRA HOSPITAL (NT401)Groin HerniaEQ-5D Index</t>
  </si>
  <si>
    <t>ProviderBMI - SHIRLEY OAKS HOSPITAL (NT436)Groin HerniaEQ-5D Index</t>
  </si>
  <si>
    <t>ProviderBMI - SARUM ROAD HOSPITAL (NT433)Groin HerniaEQ-5D Index</t>
  </si>
  <si>
    <t>ProviderBMI - HENDON HOSPITAL (NT416)Groin HerniaEQ-5D Index</t>
  </si>
  <si>
    <t>ProviderLANCASHIRE TEACHING HOSPITALS NHS FOUNDATION TRUST (RXN)Groin HerniaEQ-5D Index</t>
  </si>
  <si>
    <t>ProviderBLAKELANDS HOSPITAL (NVC31)Groin HerniaEQ-5D Index</t>
  </si>
  <si>
    <t>ProviderBLACKPOOL TEACHING HOSPITALS NHS FOUNDATION TRUST (RXL)Groin HerniaEQ-5D Index</t>
  </si>
  <si>
    <t>ProviderBEDFORD HOSPITAL NHS TRUST (RC1)Groin HerniaEQ-5D Index</t>
  </si>
  <si>
    <t>ProviderBASILDON AND THURROCK UNIVERSITY HOSPITALS NHS FOUNDATION TRUST (RDD)Groin HerniaEQ-5D Index</t>
  </si>
  <si>
    <t>ProviderBARTS HEALTH NHS TRUST (R1H)Groin HerniaEQ-5D Index</t>
  </si>
  <si>
    <t>ProviderBARNSLEY HOSPITAL NHS FOUNDATION TRUST (RFF)Groin HerniaEQ-5D Index</t>
  </si>
  <si>
    <t>ProviderWRIGHTINGTON, WIGAN AND LEIGH NHS FOUNDATION TRUST (RRF)Groin HerniaEQ-5D Index</t>
  </si>
  <si>
    <t>ProviderWORCESTERSHIRE ACUTE HOSPITALS NHS TRUST (RWP)Groin HerniaEQ-5D Index</t>
  </si>
  <si>
    <t>ProviderWOODLAND HOSPITAL (NVC23)Groin HerniaEQ-5D Index</t>
  </si>
  <si>
    <t>ProviderWIRRAL UNIVERSITY TEACHING HOSPITAL NHS FOUNDATION TRUST (RBL)Groin HerniaEQ-5D Index</t>
  </si>
  <si>
    <t>ProviderWINFIELD HOSPITAL (NVC22)Groin HerniaEQ-5D Index</t>
  </si>
  <si>
    <t>ProviderWILL ADAMS NHS TREATMENT CENTRE (NTP16)Groin HerniaEQ-5D Index</t>
  </si>
  <si>
    <t>ProviderLUTON AND DUNSTABLE UNIVERSITY HOSPITAL NHS FOUNDATION TRUST (RC9)Groin HerniaEQ-5D Index</t>
  </si>
  <si>
    <t>ProviderWESTON AREA HEALTH NHS TRUST (RA3)Groin HerniaEQ-5D Index</t>
  </si>
  <si>
    <t>ProviderLEWISHAM AND GREENWICH NHS TRUST (RJ2)Groin HerniaEQ-5D Index</t>
  </si>
  <si>
    <t>ProviderYEOVIL DISTRICT HOSPITAL NHS FOUNDATION TRUST (RA4)Groin HerniaEQ-5D Index</t>
  </si>
  <si>
    <t>ProviderWYE VALLEY NHS TRUST (RLQ)Groin HerniaEQ-5D Index</t>
  </si>
  <si>
    <t>ProviderYORK TEACHING HOSPITAL NHS FOUNDATION TRUST (RCB)Groin HerniaEQ-5D Index</t>
  </si>
  <si>
    <t>ProviderBARNET AND CHASE FARM HOSPITALS NHS TRUST (RVL)Groin HerniaEQ-5D Index</t>
  </si>
  <si>
    <t>ProviderBARKING, HAVERING AND REDBRIDGE UNIVERSITY HOSPITALS NHS TRUST (RF4)Groin HerniaEQ-5D Index</t>
  </si>
  <si>
    <t>ProviderASPEN - HOLLY HOUSE HOSPITAL (NYW01)Groin HerniaEQ-5D Index</t>
  </si>
  <si>
    <t>ProviderASPEN - HIGHGATE HOSPITAL (NYW03)Groin HerniaEQ-5D Index</t>
  </si>
  <si>
    <t>ProviderASPEN - CLAREMONT HOSPITAL (NYW04)Groin HerniaEQ-5D Index</t>
  </si>
  <si>
    <t>ProviderBMI - FAWKHAM MANOR HOSPITAL (NT414)Groin HerniaEQ-5D Index</t>
  </si>
  <si>
    <t>ProviderBMI - CHELSFIELD PARK HOSPITAL (NT409)Groin HerniaEQ-5D Index</t>
  </si>
  <si>
    <t>ProviderBMI - BISHOPS WOOD (NT405)Groin HerniaEQ-5D Index</t>
  </si>
  <si>
    <t>ProviderBMI - BATH CLINIC (NT402)Groin HerniaEQ-5D Index</t>
  </si>
  <si>
    <t>ProviderSOUTH TYNESIDE NHS FOUNDATION TRUST (RE9)Groin HerniaEQ-5D Index</t>
  </si>
  <si>
    <t>ProviderSOUTH TEES HOSPITALS NHS FOUNDATION TRUST (RTR)Groin HerniaEQ-5D Index</t>
  </si>
  <si>
    <t>ProviderSHREWSBURY AND TELFORD HOSPITAL NHS TRUST (RXW)Groin HerniaEQ-5D Index</t>
  </si>
  <si>
    <t>ProviderSHERWOOD FOREST HOSPITALS NHS FOUNDATION TRUST (RK5)Groin HerniaEQ-5D Index</t>
  </si>
  <si>
    <t>ProviderSHEPTON MALLET NHS TREATMENT CENTRE (NTPH1)Groin HerniaEQ-5D Index</t>
  </si>
  <si>
    <t>ProviderSHEPTON MALLET NHS TREATMENT CENTRE (NTC01)Groin HerniaEQ-5D Index</t>
  </si>
  <si>
    <t>ProviderSHEFFIELD TEACHING HOSPITALS NHS FOUNDATION TRUST (RHQ)Groin HerniaEQ-5D Index</t>
  </si>
  <si>
    <t>ProviderSANDWELL AND WEST BIRMINGHAM HOSPITALS NHS TRUST (RXK)Groin HerniaEQ-5D Index</t>
  </si>
  <si>
    <t>ProviderSALISBURY NHS FOUNDATION TRUST (RNZ)Groin HerniaEQ-5D Index</t>
  </si>
  <si>
    <t>ProviderSALFORD ROYAL NHS FOUNDATION TRUST (RM3)Groin HerniaEQ-5D Index</t>
  </si>
  <si>
    <t>ProviderROYAL UNITED HOSPITALS BATH NHS FOUNDATION TRUST (RD1)Groin HerniaEQ-5D Index</t>
  </si>
  <si>
    <t>ProviderROYAL SURREY COUNTY HOSPITAL NHS FOUNDATION TRUST (RA2)Groin HerniaEQ-5D Index</t>
  </si>
  <si>
    <t>ProviderROYAL LIVERPOOL AND BROADGREEN UNIVERSITY HOSPITALS NHS TRUST (RQ6)Groin HerniaEQ-5D Index</t>
  </si>
  <si>
    <t>ProviderROYAL FREE LONDON NHS FOUNDATION TRUST (RAL)Groin HerniaEQ-5D Index</t>
  </si>
  <si>
    <t>ProviderROYAL DEVON AND EXETER NHS FOUNDATION TRUST (RH8)Groin HerniaEQ-5D Index</t>
  </si>
  <si>
    <t>ProviderSPIRE CHESHIRE HOSPITAL (NT324)Groin HerniaEQ-5D Index</t>
  </si>
  <si>
    <t>ProviderSPIRE CAMBRIDGE LEA HOSPITAL (NT317)Groin HerniaEQ-5D Index</t>
  </si>
  <si>
    <t>ProviderSPIRE ALEXANDRA HOSPITAL (NT312)Groin HerniaEQ-5D Index</t>
  </si>
  <si>
    <t>ProviderSOUTHPORT AND ORMSKIRK HOSPITAL NHS TRUST (RVY)Groin HerniaEQ-5D Index</t>
  </si>
  <si>
    <t>ProviderSOUTHEND UNIVERSITY HOSPITAL NHS FOUNDATION TRUST (RAJ)Groin HerniaEQ-5D Index</t>
  </si>
  <si>
    <t>ProviderSOUTHAMPTON NHS TREATMENT CENTRE (NTP11)Groin HerniaEQ-5D Index</t>
  </si>
  <si>
    <t>ProviderSOUTH WARWICKSHIRE NHS FOUNDATION TRUST (RJC)Groin HerniaEQ-5D Index</t>
  </si>
  <si>
    <t>ProviderSPIRE ELLAND HOSPITAL (NT348)Groin HerniaEQ-5D Index</t>
  </si>
  <si>
    <t>ProviderSPIRE DUNEDIN HOSPITAL (NT344)Groin HerniaEQ-5D Index</t>
  </si>
  <si>
    <t>ProviderSPIRE CLARE PARK HOSPITAL (NT345)Groin HerniaEQ-5D Index</t>
  </si>
  <si>
    <t>ProviderSPIRE GATWICK PARK HOSPITAL (NT308)Groin HerniaEQ-5D Index</t>
  </si>
  <si>
    <t>ProviderSOUTHERN HEALTH NHS FOUNDATION TRUST (RW1)Groin HerniaEQ-5D Index</t>
  </si>
  <si>
    <t>ProviderBMI - GORING HALL HOSPITAL (NT417)Groin HerniaEQ-5D Index</t>
  </si>
  <si>
    <t>ProviderNUFFIELD HEALTH, PLYMOUTH HOSPITAL (NT233)Groin HerniaEQ-5D Index</t>
  </si>
  <si>
    <t>ProviderNUFFIELD HEALTH, NORTH STAFFORDSHIRE HOSPITAL (NT230)Groin HerniaEQ-5D Index</t>
  </si>
  <si>
    <t>ProviderNUFFIELD HEALTH, NEWCASTLE UPON TYNE HOSPITAL (NT229)Groin HerniaEQ-5D Index</t>
  </si>
  <si>
    <t>ProviderNUFFIELD HEALTH, LEICESTER HOSPITAL (NT226)Groin HerniaEQ-5D Index</t>
  </si>
  <si>
    <t>ProviderNUFFIELD HEALTH, LEEDS HOSPITAL (NT225)Groin HerniaEQ-5D Index</t>
  </si>
  <si>
    <t>ProviderNUFFIELD HEALTH, IPSWICH HOSPITAL (NT222)Groin HerniaEQ-5D Index</t>
  </si>
  <si>
    <t>ProviderTHE ROYAL WOLVERHAMPTON NHS TRUST (RL4)Groin HerniaEQ-5D Index</t>
  </si>
  <si>
    <t>ProviderCALDERDALE AND HUDDERSFIELD NHS FOUNDATION TRUST (RWY)Groin HerniaEQ-5D Index</t>
  </si>
  <si>
    <t>ProviderBOSTON WEST HOSPITAL (NVC27)Groin HerniaEQ-5D Index</t>
  </si>
  <si>
    <t>ProviderBURTON HOSPITALS NHS FOUNDATION TRUST (RJF)Groin HerniaEQ-5D Index</t>
  </si>
  <si>
    <t>ProviderBUCKINGHAMSHIRE HEALTHCARE NHS TRUST (RXQ)Groin HerniaEQ-5D Index</t>
  </si>
  <si>
    <t>ProviderBRIGHTON AND SUSSEX UNIVERSITY HOSPITALS NHS TRUST (RXH)Groin HerniaEQ-5D Index</t>
  </si>
  <si>
    <t>ProviderBRAINTREE COMMUNITY HOSPITAL (NNQ01)Groin HerniaEQ-5D Index</t>
  </si>
  <si>
    <t>ProviderBRADFORD TEACHING HOSPITALS NHS FOUNDATION TRUST (RAE)Groin HerniaEQ-5D Index</t>
  </si>
  <si>
    <t>ProviderBOLTON NHS FOUNDATION TRUST (RMC)Groin HerniaEQ-5D Index</t>
  </si>
  <si>
    <t>ProviderBMI WOODLANDS HOSPITAL (NT457)Groin HerniaEQ-5D Index</t>
  </si>
  <si>
    <t>ProviderBMI THE LINCOLN HOSPITAL (NT450)Groin HerniaEQ-5D Index</t>
  </si>
  <si>
    <t>ProviderBMI THE LANCASTER HOSPITAL (NT449)Groin HerniaEQ-5D Index</t>
  </si>
  <si>
    <t>ProviderBMI THE HUDDERSFIELD HOSPITAL (NT448)Groin HerniaEQ-5D Index</t>
  </si>
  <si>
    <t>ProviderNUFFIELD HEALTH, HEREFORD HOSPITAL (NT219)Groin HerniaEQ-5D Index</t>
  </si>
  <si>
    <t>ProviderBMI THE EDGBASTON HOSPITAL (NT445)Groin HerniaEQ-5D Index</t>
  </si>
  <si>
    <t>ProviderNUFFIELD HEALTH, DERBY HOSPITAL (NT213)Groin HerniaEQ-5D Index</t>
  </si>
  <si>
    <t>ProviderBMI THE DUCHY HOSPITAL (NT447)Groin HerniaEQ-5D Index</t>
  </si>
  <si>
    <t>ProviderBMI THE CAVELL HOSPITAL (NT451)Groin HerniaEQ-5D Index</t>
  </si>
  <si>
    <t>ProviderBMI ST EDMUNDS HOSPITAL (NT446)Groin HerniaEQ-5D Index</t>
  </si>
  <si>
    <t>ProviderBMI SOUTHEND PRIVATE HOSPITAL (NT490)Groin HerniaEQ-5D Index</t>
  </si>
  <si>
    <t>ProviderBMI MOUNT ALVERNIA HOSPITAL (NT455)Groin HerniaEQ-5D Index</t>
  </si>
  <si>
    <t>ProviderBMI GISBURNE PARK HOSPITAL (NT497)Groin HerniaEQ-5D Index</t>
  </si>
  <si>
    <t>ProviderBMI - THREE SHIRES HOSPITAL (NT441)Groin HerniaEQ-5D Index</t>
  </si>
  <si>
    <t>ProviderBMI - THORNBURY HOSPITAL (NT440)Groin HerniaEQ-5D Index</t>
  </si>
  <si>
    <t>ProviderBMI - THE WINTERBOURNE HOSPITAL (NT443)Groin HerniaEQ-5D Index</t>
  </si>
  <si>
    <t>ProviderBMI - THE SOUTH CHESHIRE PRIVATE HOSPITAL (NT439)Groin HerniaEQ-5D Index</t>
  </si>
  <si>
    <t>ProviderBMI - THE SOMERFIELD HOSPITAL (NT438)Groin HerniaEQ-5D Index</t>
  </si>
  <si>
    <t>ProviderBMI - THE SAXON CLINIC (NT434)Groin HerniaEQ-5D Index</t>
  </si>
  <si>
    <t>ProviderBMI - THE SANDRINGHAM HOSPITAL (NT432)Groin HerniaEQ-5D Index</t>
  </si>
  <si>
    <t>ProviderBMI - THE RUNNYMEDE HOSPITAL (NT431)Groin HerniaEQ-5D Index</t>
  </si>
  <si>
    <t>ProviderBMI - THE RIDGEWAY HOSPITAL (NT430)Groin HerniaEQ-5D Index</t>
  </si>
  <si>
    <t>ProviderBMI - THE PRINCESS MARGARET HOSPITAL (NT428)Groin HerniaEQ-5D Index</t>
  </si>
  <si>
    <t>ProviderBMI - THE PARK HOSPITAL (NT427)Groin HerniaEQ-5D Index</t>
  </si>
  <si>
    <t>ProviderBMI - THE MERIDEN HOSPITAL (NT424)Groin HerniaEQ-5D Index</t>
  </si>
  <si>
    <t>ProviderPARK HILL HOSPITAL (NVC14)Groin HerniaEQ-5D Index</t>
  </si>
  <si>
    <t>ProviderONE HEALTH GROUP CLINIC - THORNBURY (NTX11)Groin HerniaEQ-5D Index</t>
  </si>
  <si>
    <t>ProviderONE HEALTH GROUP CLINIC - CLAREMONT (NTX12)Groin HerniaEQ-5D Index</t>
  </si>
  <si>
    <t>ProviderOAKS HOSPITAL (NVC13)Groin HerniaEQ-5D Index</t>
  </si>
  <si>
    <t>ProviderOAKLANDS HOSPITAL (NVC12)Groin HerniaEQ-5D Index</t>
  </si>
  <si>
    <t>ProviderNUFFIELD HEALTH, WOLVERHAMPTON HOSPITAL (NT242)Groin HerniaEQ-5D Index</t>
  </si>
  <si>
    <t>ProviderNUFFIELD HEALTH, WOKING HOSPITAL (NT241)Groin HerniaEQ-5D Index</t>
  </si>
  <si>
    <t>ProviderNUFFIELD HEALTH, WESSEX HOSPITAL (NT214)Groin HerniaEQ-5D Index</t>
  </si>
  <si>
    <t>ProviderNUFFIELD HEALTH, WARWICKSHIRE HOSPITAL (NT224)Groin HerniaEQ-5D Index</t>
  </si>
  <si>
    <t>ProviderNUFFIELD HEALTH, TUNBRIDGE WELLS HOSPITAL (NT239)Groin HerniaEQ-5D Index</t>
  </si>
  <si>
    <t>ProviderNUFFIELD HEALTH, THE GROSVENOR HOSPITAL, CHESTER (NT210)Groin HerniaEQ-5D Index</t>
  </si>
  <si>
    <t>ProviderNUFFIELD HEALTH, TEES HOSPITAL (NT237)Groin HerniaEQ-5D Index</t>
  </si>
  <si>
    <t>ProviderNUFFIELD HEALTH, TAUNTON HOSPITAL (NT238)Groin HerniaEQ-5D Index</t>
  </si>
  <si>
    <t>ProviderNUFFIELD HEALTH, SHREWSBURY HOSPITAL (NT235)Groin HerniaEQ-5D Index</t>
  </si>
  <si>
    <t>ProviderRENACRES HOSPITAL (NVC16)Groin HerniaEQ-5D Index</t>
  </si>
  <si>
    <t>ProviderPORTSMOUTH HOSPITALS NHS TRUST (RHU)Groin HerniaEQ-5D Index</t>
  </si>
  <si>
    <t>ProviderPOOLE HOSPITAL NHS FOUNDATION TRUST (RD3)Groin HerniaEQ-5D Index</t>
  </si>
  <si>
    <t>ProviderBODMIN NHS TREATMENT CENTRE (NVC24)Groin HerniaEQ-5D Index</t>
  </si>
  <si>
    <t>ProviderPLYMOUTH HOSPITALS NHS TRUST (RK9)Groin HerniaEQ-5D Index</t>
  </si>
  <si>
    <t>ProviderPINEHILL HOSPITAL (NVC15)Groin HerniaEQ-5D Index</t>
  </si>
  <si>
    <t>ProviderPETERBOROUGH AND STAMFORD HOSPITALS NHS FOUNDATION TRUST (RGN)Groin HerniaEQ-5D Index</t>
  </si>
  <si>
    <t>ProviderPENNINE ACUTE HOSPITALS NHS TRUST (RW6)Groin HerniaEQ-5D Index</t>
  </si>
  <si>
    <t>ProviderSPIRE HULL AND EAST RIDING HOSPITAL (NT351)Groin HerniaEQ-5D Index</t>
  </si>
  <si>
    <t>ProviderSPIRE HARTSWOOD HOSPITAL (NT319)Groin HerniaEQ-5D Index</t>
  </si>
  <si>
    <t>ProviderROWLEY HALL HOSPITAL (NVC17)Groin HerniaEQ-5D Index</t>
  </si>
  <si>
    <t>ProviderRIVERS HOSPITAL (NVC19)Groin HerniaEQ-5D Index</t>
  </si>
  <si>
    <t>ProviderSPIRE LEICESTER HOSPITAL (NT322)Groin HerniaEQ-5D Index</t>
  </si>
  <si>
    <t>ProviderSPIRE LEEDS HOSPITAL (NT332)Groin HerniaEQ-5D Index</t>
  </si>
  <si>
    <t>ProviderSPRINGFIELD HOSPITAL (NVC18)Groin HerniaEQ-5D Index</t>
  </si>
  <si>
    <t>ProviderSPIRE WELLESLEY HOSPITAL (NT313)Groin HerniaEQ-5D Index</t>
  </si>
  <si>
    <t>ProviderSPIRE WASHINGTON HOSPITAL (NT333)Groin HerniaEQ-5D Index</t>
  </si>
  <si>
    <t>ProviderSPIRE TUNBRIDGE WELLS HOSPITAL (NT310)Groin HerniaEQ-5D Index</t>
  </si>
  <si>
    <t>ProviderSPIRE THAMES VALLEY HOSPITAL (NT343)Groin HerniaEQ-5D Index</t>
  </si>
  <si>
    <t>ProviderSPIRE SUSSEX HOSPITAL (NT309)Groin HerniaEQ-5D Index</t>
  </si>
  <si>
    <t>ProviderSPIRE ST SAVIOURS HOSPITAL (NT346)Groin HerniaEQ-5D Index</t>
  </si>
  <si>
    <t>ProviderSPIRE SOUTH BANK HOSPITAL (NT301)Groin HerniaEQ-5D Index</t>
  </si>
  <si>
    <t>ProviderSPIRE REGENCY HOSPITAL (NT339)Groin HerniaEQ-5D Index</t>
  </si>
  <si>
    <t>ProviderSPIRE PORTSMOUTH HOSPITAL (NT305)Groin HerniaEQ-5D Index</t>
  </si>
  <si>
    <t>ProviderSPIRE PARKWAY HOSPITAL (NT320)Groin HerniaEQ-5D Index</t>
  </si>
  <si>
    <t>ProviderSPIRE MURRAYFIELD HOSPITAL (NT325)Groin HerniaEQ-5D Index</t>
  </si>
  <si>
    <t>ProviderSPIRE MONTEFIORE HOSPITAL (NT364)Groin HerniaEQ-5D Index</t>
  </si>
  <si>
    <t>ProviderSPIRE METHLEY PARK HOSPITAL (NT350)Groin HerniaEQ-5D Index</t>
  </si>
  <si>
    <t>ProviderSPIRE MANCHESTER HOSPITAL (NT327)Groin HerniaEQ-5D Index</t>
  </si>
  <si>
    <t>ProviderTAUNTON AND SOMERSET NHS FOUNDATION TRUST (RBA)Groin HerniaEQ-5D Index</t>
  </si>
  <si>
    <t>ProviderTAMESIDE HOSPITAL NHS FOUNDATION TRUST (RMP)Groin HerniaEQ-5D Index</t>
  </si>
  <si>
    <t>ProviderSURREY AND SUSSEX HEALTHCARE NHS TRUST (RTP)Groin HerniaEQ-5D Index</t>
  </si>
  <si>
    <t>ProviderSTOCKPORT NHS FOUNDATION TRUST (RWJ)Groin HerniaEQ-5D Index</t>
  </si>
  <si>
    <t>ProviderST MARY'S NHS TREATMENT CENTRE (NTPAD)Groin HerniaEQ-5D Index</t>
  </si>
  <si>
    <t>ProviderPROBUS SURGICAL CENTRE (NAM01)Groin HerniaEQ-5D Index</t>
  </si>
  <si>
    <t>ProviderSPIRE SOUTHAMPTON HOSPITAL (NT304)Groin HerniaEQ-5D Index</t>
  </si>
  <si>
    <t>ProviderST HUGH'S HOSPITAL (NTE02)Groin HerniaEQ-5D Index</t>
  </si>
  <si>
    <t>ProviderST HELENS AND KNOWSLEY HOSPITALS NHS TRUST (RBN)Groin HerniaEQ-5D Index</t>
  </si>
  <si>
    <t>ProviderST GEORGE'S UNIVERSITY HOSPITALS NHS FOUNDATION TRUST (RJ7)Groin HerniaEQ-5D Index</t>
  </si>
  <si>
    <t>ProviderTHE DUDLEY GROUP NHS FOUNDATION TRUST (RNA)Groin HerniaEQ-5D Index</t>
  </si>
  <si>
    <t>ProviderTHE BERKSHIRE INDEPENDENT HOSPITAL (NVC02)Groin HerniaEQ-5D Index</t>
  </si>
  <si>
    <t>ProviderTHE HILLINGDON HOSPITALS NHS FOUNDATION TRUST (RAS)Groin HerniaEQ-5D Index</t>
  </si>
  <si>
    <t>ProviderTEES VALLEY TREATMENT CENTRE (NVC35)Groin HerniaEQ-5D Index</t>
  </si>
  <si>
    <t>ProviderCOLCHESTER HOSPITAL UNIVERSITY NHS FOUNDATION TRUST (RDE)Groin HerniaEQ-5D Index</t>
  </si>
  <si>
    <t>ProviderCOBALT HOSPITAL (NVC29)Groin HerniaEQ-5D Index</t>
  </si>
  <si>
    <t>ProviderCLINICENTA SURGICENTRE (NW931)Groin HerniaEQ-5D Index</t>
  </si>
  <si>
    <t>ProviderCITY HOSPITALS SUNDERLAND NHS FOUNDATION TRUST (RLN)Groin HerniaEQ-5D Index</t>
  </si>
  <si>
    <t>ProviderCIRCLE BATH HOSPITAL (NV302)Groin HerniaEQ-5D Index</t>
  </si>
  <si>
    <t>ProviderCIRCLE - NOTTINGHAM NHS TREATMENT CENTRE (NV313)Groin HerniaEQ-5D Index</t>
  </si>
  <si>
    <t>ProviderCIRCLE READING HOSPITAL (NV323)Groin HerniaEQ-5D Index</t>
  </si>
  <si>
    <t>ProviderCIRENCESTER NHS TREATMENT CENTRE (NTPH4)Groin HerniaEQ-5D Index</t>
  </si>
  <si>
    <t>ProviderCHESTERFIELD ROYAL HOSPITAL NHS FOUNDATION TRUST (RFS)Groin HerniaEQ-5D Index</t>
  </si>
  <si>
    <t>ProviderCHELSEA AND WESTMINSTER HOSPITAL NHS FOUNDATION TRUST (RQM)Groin HerniaEQ-5D Index</t>
  </si>
  <si>
    <t>ProviderCENTRAL MANCHESTER UNIVERSITY HOSPITALS NHS FOUNDATION TRUST (RW3)Groin HerniaEQ-5D Index</t>
  </si>
  <si>
    <t>ProviderCAMBRIDGE UNIVERSITY HOSPITALS NHS FOUNDATION TRUST (RGT)Groin HerniaEQ-5D Index</t>
  </si>
  <si>
    <t>ProviderCAMBRIDGE UNIVERSITY HOSPITALS NHS FOUNDATION TRUST (RGT)Hip ReplacementEQ VAS</t>
  </si>
  <si>
    <t>ProviderCENTRAL MANCHESTER UNIVERSITY HOSPITALS NHS FOUNDATION TRUST (RW3)Hip ReplacementEQ VAS</t>
  </si>
  <si>
    <t>ProviderCHELSEA AND WESTMINSTER HOSPITAL NHS FOUNDATION TRUST (RQM)Hip ReplacementEQ VAS</t>
  </si>
  <si>
    <t>ProviderCHESTERFIELD ROYAL HOSPITAL NHS FOUNDATION TRUST (RFS)Hip ReplacementEQ VAS</t>
  </si>
  <si>
    <t>ProviderCALDERDALE AND HUDDERSFIELD NHS FOUNDATION TRUST (RWY)Hip ReplacementEQ VAS</t>
  </si>
  <si>
    <t>ProviderTHE HORDER CENTRE - ST JOHNS ROAD (NXM01)Hip ReplacementEQ VAS</t>
  </si>
  <si>
    <t>NXM01</t>
  </si>
  <si>
    <t>THE HORDER CENTRE - ST JOHNS ROAD (NXM01)</t>
  </si>
  <si>
    <t>ProviderCIRCLE READING HOSPITAL (NV323)Hip ReplacementEQ VAS</t>
  </si>
  <si>
    <t>ProviderCIRCLE BATH HOSPITAL (NV302)Hip ReplacementEQ VAS</t>
  </si>
  <si>
    <t>ProviderCITY HOSPITALS SUNDERLAND NHS FOUNDATION TRUST (RLN)Hip ReplacementEQ VAS</t>
  </si>
  <si>
    <t>ProviderCLINICENTA SURGICENTRE (NW931)Hip ReplacementEQ VAS</t>
  </si>
  <si>
    <t>ProviderCLIFTON PARK HOSPITAL (NVC28)Hip ReplacementEQ VAS</t>
  </si>
  <si>
    <t>NVC28</t>
  </si>
  <si>
    <t>CLIFTON PARK HOSPITAL (NVC28)</t>
  </si>
  <si>
    <t>ProviderCOLCHESTER HOSPITAL UNIVERSITY NHS FOUNDATION TRUST (RDE)Hip ReplacementEQ VAS</t>
  </si>
  <si>
    <t>ProviderTHE HILLINGDON HOSPITALS NHS FOUNDATION TRUST (RAS)Hip ReplacementEQ VAS</t>
  </si>
  <si>
    <t>ProviderTHE BERKSHIRE INDEPENDENT HOSPITAL (NVC02)Hip ReplacementEQ VAS</t>
  </si>
  <si>
    <t>ProviderTHE DUDLEY GROUP NHS FOUNDATION TRUST (RNA)Hip ReplacementEQ VAS</t>
  </si>
  <si>
    <t>ProviderST GEORGE'S UNIVERSITY HOSPITALS NHS FOUNDATION TRUST (RJ7)Hip ReplacementEQ VAS</t>
  </si>
  <si>
    <t>ProviderST HELENS AND KNOWSLEY HOSPITALS NHS TRUST (RBN)Hip ReplacementEQ VAS</t>
  </si>
  <si>
    <t>ProviderST HUGH'S HOSPITAL (NTE02)Hip ReplacementEQ VAS</t>
  </si>
  <si>
    <t>ProviderSPIRE SOUTHAMPTON HOSPITAL (NT304)Hip ReplacementEQ VAS</t>
  </si>
  <si>
    <t>ProviderSTOCKPORT NHS FOUNDATION TRUST (RWJ)Hip ReplacementEQ VAS</t>
  </si>
  <si>
    <t>ProviderSURREY AND SUSSEX HEALTHCARE NHS TRUST (RTP)Hip ReplacementEQ VAS</t>
  </si>
  <si>
    <t>ProviderTAMESIDE HOSPITAL NHS FOUNDATION TRUST (RMP)Hip ReplacementEQ VAS</t>
  </si>
  <si>
    <t>ProviderTAUNTON AND SOMERSET NHS FOUNDATION TRUST (RBA)Hip ReplacementEQ VAS</t>
  </si>
  <si>
    <t>ProviderSPIRE MANCHESTER HOSPITAL (NT327)Hip ReplacementEQ VAS</t>
  </si>
  <si>
    <t>ProviderSPIRE METHLEY PARK HOSPITAL (NT350)Hip ReplacementEQ VAS</t>
  </si>
  <si>
    <t>ProviderSPIRE MONTEFIORE HOSPITAL (NT364)Hip ReplacementEQ VAS</t>
  </si>
  <si>
    <t>ProviderSPIRE MURRAYFIELD HOSPITAL (NT325)Hip ReplacementEQ VAS</t>
  </si>
  <si>
    <t>ProviderSPIRE PARKWAY HOSPITAL (NT320)Hip ReplacementEQ VAS</t>
  </si>
  <si>
    <t>ProviderSPIRE PORTSMOUTH HOSPITAL (NT305)Hip ReplacementEQ VAS</t>
  </si>
  <si>
    <t>ProviderSPIRE REGENCY HOSPITAL (NT339)Hip ReplacementEQ VAS</t>
  </si>
  <si>
    <t>ProviderSPIRE NORWICH HOSPITAL (NT318)Hip ReplacementEQ VAS</t>
  </si>
  <si>
    <t>NT318</t>
  </si>
  <si>
    <t>SPIRE NORWICH HOSPITAL (NT318)</t>
  </si>
  <si>
    <t>ProviderSPIRE RODING HOSPITAL (NT314)Hip ReplacementEQ VAS</t>
  </si>
  <si>
    <t>NT314</t>
  </si>
  <si>
    <t>SPIRE RODING HOSPITAL (NT314)</t>
  </si>
  <si>
    <t>ProviderSPIRE SOUTH BANK HOSPITAL (NT301)Hip ReplacementEQ VAS</t>
  </si>
  <si>
    <t>ProviderSPIRE ST SAVIOURS HOSPITAL (NT346)Hip ReplacementEQ VAS</t>
  </si>
  <si>
    <t>ProviderSPIRE SUSSEX HOSPITAL (NT309)Hip ReplacementEQ VAS</t>
  </si>
  <si>
    <t>ProviderSPIRE THAMES VALLEY HOSPITAL (NT343)Hip ReplacementEQ VAS</t>
  </si>
  <si>
    <t>ProviderSPIRE TUNBRIDGE WELLS HOSPITAL (NT310)Hip ReplacementEQ VAS</t>
  </si>
  <si>
    <t>ProviderSPIRE WASHINGTON HOSPITAL (NT333)Hip ReplacementEQ VAS</t>
  </si>
  <si>
    <t>ProviderSPIRE WELLESLEY HOSPITAL (NT313)Hip ReplacementEQ VAS</t>
  </si>
  <si>
    <t>ProviderSPRINGFIELD HOSPITAL (NVC18)Hip ReplacementEQ VAS</t>
  </si>
  <si>
    <t>ProviderSPIRE LEEDS HOSPITAL (NT332)Hip ReplacementEQ VAS</t>
  </si>
  <si>
    <t>ProviderSPIRE LEICESTER HOSPITAL (NT322)Hip ReplacementEQ VAS</t>
  </si>
  <si>
    <t>ProviderSPIRE HARPENDEN HOSPITAL (NT316)Hip ReplacementEQ VAS</t>
  </si>
  <si>
    <t>NT316</t>
  </si>
  <si>
    <t>SPIRE HARPENDEN HOSPITAL (NT316)</t>
  </si>
  <si>
    <t>ProviderSPIRE LIVERPOOL HOSPITAL (NT337)Hip ReplacementEQ VAS</t>
  </si>
  <si>
    <t>ProviderRIVERS HOSPITAL (NVC19)Hip ReplacementEQ VAS</t>
  </si>
  <si>
    <t>ProviderROWLEY HALL HOSPITAL (NVC17)Hip ReplacementEQ VAS</t>
  </si>
  <si>
    <t>ProviderSPIRE HARTSWOOD HOSPITAL (NT319)Hip ReplacementEQ VAS</t>
  </si>
  <si>
    <t>ProviderSPIRE HULL AND EAST RIDING HOSPITAL (NT351)Hip ReplacementEQ VAS</t>
  </si>
  <si>
    <t>ProviderPENNINE ACUTE HOSPITALS NHS TRUST (RW6)Hip ReplacementEQ VAS</t>
  </si>
  <si>
    <t>ProviderORTHOPAEDICS &amp; SPINE SPECIALIST HOSPITAL SITE (NQM01)Hip ReplacementEQ VAS</t>
  </si>
  <si>
    <t>NQM01</t>
  </si>
  <si>
    <t>ORTHOPAEDICS &amp; SPINE SPECIALIST HOSPITAL SITE (NQM01)</t>
  </si>
  <si>
    <t>ProviderPENINSULA NHS TREATMENT CENTRE (NTC05)Hip ReplacementEQ VAS</t>
  </si>
  <si>
    <t>NTC05</t>
  </si>
  <si>
    <t>PENINSULA NHS TREATMENT CENTRE (NTC05)</t>
  </si>
  <si>
    <t>ProviderPETERBOROUGH AND STAMFORD HOSPITALS NHS FOUNDATION TRUST (RGN)Hip ReplacementEQ VAS</t>
  </si>
  <si>
    <t>ProviderPINEHILL HOSPITAL (NVC15)Hip ReplacementEQ VAS</t>
  </si>
  <si>
    <t>ProviderPLYMOUTH HOSPITALS NHS TRUST (RK9)Hip ReplacementEQ VAS</t>
  </si>
  <si>
    <t>ProviderPENINSULA NHS TREATMENT CENTRE (NTPH5)Hip ReplacementEQ VAS</t>
  </si>
  <si>
    <t>NTPH5</t>
  </si>
  <si>
    <t>PENINSULA NHS TREATMENT CENTRE (NTPH5)</t>
  </si>
  <si>
    <t>ProviderPORTSMOUTH HOSPITALS NHS TRUST (RHU)Hip ReplacementEQ VAS</t>
  </si>
  <si>
    <t>ProviderRENACRES HOSPITAL (NVC16)Hip ReplacementEQ VAS</t>
  </si>
  <si>
    <t>ProviderNUFFIELD HEALTH, SHREWSBURY HOSPITAL (NT235)Hip ReplacementEQ VAS</t>
  </si>
  <si>
    <t>ProviderNUFFIELD HEALTH, TAUNTON HOSPITAL (NT238)Hip ReplacementEQ VAS</t>
  </si>
  <si>
    <t>ProviderNUFFIELD HEALTH, TEES HOSPITAL (NT237)Hip ReplacementEQ VAS</t>
  </si>
  <si>
    <t>ProviderNUFFIELD HEALTH, THE GROSVENOR HOSPITAL, CHESTER (NT210)Hip ReplacementEQ VAS</t>
  </si>
  <si>
    <t>ProviderNUFFIELD HEALTH, TUNBRIDGE WELLS HOSPITAL (NT239)Hip ReplacementEQ VAS</t>
  </si>
  <si>
    <t>ProviderNUFFIELD HEALTH, WARWICKSHIRE HOSPITAL (NT224)Hip ReplacementEQ VAS</t>
  </si>
  <si>
    <t>ProviderNUFFIELD HEALTH, WESSEX HOSPITAL (NT214)Hip ReplacementEQ VAS</t>
  </si>
  <si>
    <t>ProviderNUFFIELD HEALTH, WOKING HOSPITAL (NT241)Hip ReplacementEQ VAS</t>
  </si>
  <si>
    <t>ProviderNUFFIELD HEALTH, WOLVERHAMPTON HOSPITAL (NT242)Hip ReplacementEQ VAS</t>
  </si>
  <si>
    <t>ProviderNUFFIELD HEALTH, YORK HOSPITAL (NT245)Hip ReplacementEQ VAS</t>
  </si>
  <si>
    <t>NT245</t>
  </si>
  <si>
    <t>NUFFIELD HEALTH, YORK HOSPITAL (NT245)</t>
  </si>
  <si>
    <t>ProviderNUFFIELD HOSPITAL OXFORD (THE MANOR) (NT244)Hip ReplacementEQ VAS</t>
  </si>
  <si>
    <t>NT244</t>
  </si>
  <si>
    <t>NUFFIELD HOSPITAL OXFORD (THE MANOR) (NT244)</t>
  </si>
  <si>
    <t>ProviderOAKLANDS HOSPITAL (NVC12)Hip ReplacementEQ VAS</t>
  </si>
  <si>
    <t>ProviderOAKS HOSPITAL (NVC13)Hip ReplacementEQ VAS</t>
  </si>
  <si>
    <t>ProviderONE HEALTH GROUP CLINIC - CLAREMONT (NTX12)Hip ReplacementEQ VAS</t>
  </si>
  <si>
    <t>ProviderONE HEALTH GROUP CLINIC - THORNBURY (NTX11)Hip ReplacementEQ VAS</t>
  </si>
  <si>
    <t>ProviderPARK HILL HOSPITAL (NVC14)Hip ReplacementEQ VAS</t>
  </si>
  <si>
    <t>ProviderBMI - THE MERIDEN HOSPITAL (NT424)Hip ReplacementEQ VAS</t>
  </si>
  <si>
    <t>ProviderBMI - THE PARK HOSPITAL (NT427)Hip ReplacementEQ VAS</t>
  </si>
  <si>
    <t>ProviderBMI - THE PRINCESS MARGARET HOSPITAL (NT428)Hip ReplacementEQ VAS</t>
  </si>
  <si>
    <t>ProviderBMI - THE RIDGEWAY HOSPITAL (NT430)Hip ReplacementEQ VAS</t>
  </si>
  <si>
    <t>ProviderBMI - THE RUNNYMEDE HOSPITAL (NT431)Hip ReplacementEQ VAS</t>
  </si>
  <si>
    <t>ProviderBMI - THE SANDRINGHAM HOSPITAL (NT432)Hip ReplacementEQ VAS</t>
  </si>
  <si>
    <t>ProviderBMI - THE SAXON CLINIC (NT434)Hip ReplacementEQ VAS</t>
  </si>
  <si>
    <t>ProviderBMI - THE SOMERFIELD HOSPITAL (NT438)Hip ReplacementEQ VAS</t>
  </si>
  <si>
    <t>ProviderBMI - THE SHELBURNE HOSPITAL (NT435)Hip ReplacementEQ VAS</t>
  </si>
  <si>
    <t>NT435</t>
  </si>
  <si>
    <t>BMI - THE SHELBURNE HOSPITAL (NT435)</t>
  </si>
  <si>
    <t>ProviderBMI - THE SOUTH CHESHIRE PRIVATE HOSPITAL (NT439)Hip ReplacementEQ VAS</t>
  </si>
  <si>
    <t>ProviderBMI - THE WINTERBOURNE HOSPITAL (NT443)Hip ReplacementEQ VAS</t>
  </si>
  <si>
    <t>ProviderBMI - THORNBURY HOSPITAL (NT440)Hip ReplacementEQ VAS</t>
  </si>
  <si>
    <t>ProviderBMI - THREE SHIRES HOSPITAL (NT441)Hip ReplacementEQ VAS</t>
  </si>
  <si>
    <t>ProviderBMI GISBURNE PARK HOSPITAL (NT497)Hip ReplacementEQ VAS</t>
  </si>
  <si>
    <t>ProviderBMI MOUNT ALVERNIA HOSPITAL (NT455)Hip ReplacementEQ VAS</t>
  </si>
  <si>
    <t>ProviderBMI - THE SLOANE HOSPITAL (NT437)Hip ReplacementEQ VAS</t>
  </si>
  <si>
    <t>NT437</t>
  </si>
  <si>
    <t>BMI - THE SLOANE HOSPITAL (NT437)</t>
  </si>
  <si>
    <t>ProviderBMI ST EDMUNDS HOSPITAL (NT446)Hip ReplacementEQ VAS</t>
  </si>
  <si>
    <t>ProviderBMI THE CAVELL HOSPITAL (NT451)Hip ReplacementEQ VAS</t>
  </si>
  <si>
    <t>ProviderBMI THE DUCHY HOSPITAL (NT447)Hip ReplacementEQ VAS</t>
  </si>
  <si>
    <t>ProviderNUFFIELD HEALTH, DERBY HOSPITAL (NT213)Hip ReplacementEQ VAS</t>
  </si>
  <si>
    <t>ProviderNUFFIELD HEALTH, CHICHESTER HOSPITAL (NT212)Hip ReplacementEQ VAS</t>
  </si>
  <si>
    <t>NT212</t>
  </si>
  <si>
    <t>NUFFIELD HEALTH, CHICHESTER HOSPITAL (NT212)</t>
  </si>
  <si>
    <t>ProviderBMI THE EDGBASTON HOSPITAL (NT445)Hip ReplacementEQ VAS</t>
  </si>
  <si>
    <t>ProviderNUFFIELD HEALTH, HEREFORD HOSPITAL (NT219)Hip ReplacementEQ VAS</t>
  </si>
  <si>
    <t>ProviderNUFFIELD HEALTH, EXETER HOSPITAL (NT215)Hip ReplacementEQ VAS</t>
  </si>
  <si>
    <t>NT215</t>
  </si>
  <si>
    <t>NUFFIELD HEALTH, EXETER HOSPITAL (NT215)</t>
  </si>
  <si>
    <t>ProviderNUFFIELD HEALTH, HAYWARDS HEATH HOSPITAL (NT218)Hip ReplacementEQ VAS</t>
  </si>
  <si>
    <t>NT218</t>
  </si>
  <si>
    <t>NUFFIELD HEALTH, HAYWARDS HEATH HOSPITAL (NT218)</t>
  </si>
  <si>
    <t>ProviderBMI THE HUDDERSFIELD HOSPITAL (NT448)Hip ReplacementEQ VAS</t>
  </si>
  <si>
    <t>ProviderBMI THE LANCASTER HOSPITAL (NT449)Hip ReplacementEQ VAS</t>
  </si>
  <si>
    <t>ProviderBMI THE LINCOLN HOSPITAL (NT450)Hip ReplacementEQ VAS</t>
  </si>
  <si>
    <t>ProviderBMI WOODLANDS HOSPITAL (NT457)Hip ReplacementEQ VAS</t>
  </si>
  <si>
    <t>ProviderBOLTON NHS FOUNDATION TRUST (RMC)Hip ReplacementEQ VAS</t>
  </si>
  <si>
    <t>ProviderBRADFORD TEACHING HOSPITALS NHS FOUNDATION TRUST (RAE)Hip ReplacementEQ VAS</t>
  </si>
  <si>
    <t>ProviderBRAINTREE COMMUNITY HOSPITAL (NNQ01)Hip ReplacementEQ VAS</t>
  </si>
  <si>
    <t>ProviderBRIGHTON AND SUSSEX UNIVERSITY HOSPITALS NHS TRUST (RXH)Hip ReplacementEQ VAS</t>
  </si>
  <si>
    <t>ProviderBUCKINGHAMSHIRE HEALTHCARE NHS TRUST (RXQ)Hip ReplacementEQ VAS</t>
  </si>
  <si>
    <t>ProviderBURTON HOSPITALS NHS FOUNDATION TRUST (RJF)Hip ReplacementEQ VAS</t>
  </si>
  <si>
    <t>ProviderTHE ROYAL WOLVERHAMPTON NHS TRUST (RL4)Hip ReplacementEQ VAS</t>
  </si>
  <si>
    <t>ProviderNUFFIELD HEALTH, IPSWICH HOSPITAL (NT222)Hip ReplacementEQ VAS</t>
  </si>
  <si>
    <t>ProviderNUFFIELD HEALTH, LEEDS HOSPITAL (NT225)Hip ReplacementEQ VAS</t>
  </si>
  <si>
    <t>ProviderNUFFIELD HEALTH, LEICESTER HOSPITAL (NT226)Hip ReplacementEQ VAS</t>
  </si>
  <si>
    <t>ProviderNUFFIELD HEALTH, NEWCASTLE UPON TYNE HOSPITAL (NT229)Hip ReplacementEQ VAS</t>
  </si>
  <si>
    <t>ProviderNUFFIELD HEALTH, NORTH STAFFORDSHIRE HOSPITAL (NT230)Hip ReplacementEQ VAS</t>
  </si>
  <si>
    <t>ProviderNUFFIELD HEALTH, PLYMOUTH HOSPITAL (NT233)Hip ReplacementEQ VAS</t>
  </si>
  <si>
    <t>ProviderBMI - GORING HALL HOSPITAL (NT417)Hip ReplacementEQ VAS</t>
  </si>
  <si>
    <t>ProviderSPIRE GATWICK PARK HOSPITAL (NT308)Hip ReplacementEQ VAS</t>
  </si>
  <si>
    <t>ProviderSPIRE BUSHEY HOSPITAL (NT315)Hip ReplacementEQ VAS</t>
  </si>
  <si>
    <t>NT315</t>
  </si>
  <si>
    <t>SPIRE BUSHEY HOSPITAL (NT315)</t>
  </si>
  <si>
    <t>ProviderSPIRE CLARE PARK HOSPITAL (NT345)Hip ReplacementEQ VAS</t>
  </si>
  <si>
    <t>ProviderSPIRE DUNEDIN HOSPITAL (NT344)Hip ReplacementEQ VAS</t>
  </si>
  <si>
    <t>ProviderSPIRE ELLAND HOSPITAL (NT348)Hip ReplacementEQ VAS</t>
  </si>
  <si>
    <t>ProviderSPIRE FYLDE COAST HOSPITAL (NT347)Hip ReplacementEQ VAS</t>
  </si>
  <si>
    <t>NT347</t>
  </si>
  <si>
    <t>SPIRE FYLDE COAST HOSPITAL (NT347)</t>
  </si>
  <si>
    <t>ProviderSOUTH WARWICKSHIRE NHS FOUNDATION TRUST (RJC)Hip ReplacementEQ VAS</t>
  </si>
  <si>
    <t>ProviderSOUTHAMPTON NHS TREATMENT CENTRE (NTP11)Hip ReplacementEQ VAS</t>
  </si>
  <si>
    <t>ProviderSOUTHEND UNIVERSITY HOSPITAL NHS FOUNDATION TRUST (RAJ)Hip ReplacementEQ VAS</t>
  </si>
  <si>
    <t>ProviderSOUTHPORT AND ORMSKIRK HOSPITAL NHS TRUST (RVY)Hip ReplacementEQ VAS</t>
  </si>
  <si>
    <t>ProviderSPIRE ALEXANDRA HOSPITAL (NT312)Hip ReplacementEQ VAS</t>
  </si>
  <si>
    <t>ProviderROYAL NATIONAL ORTHOPAEDIC HOSPITAL NHS TRUST (RAN)Hip ReplacementEQ VAS</t>
  </si>
  <si>
    <t>RAN</t>
  </si>
  <si>
    <t>ROYAL NATIONAL ORTHOPAEDIC HOSPITAL NHS TRUST (RAN)</t>
  </si>
  <si>
    <t>ProviderSPIRE BRISTOL HOSPITAL (NT302)Hip ReplacementEQ VAS</t>
  </si>
  <si>
    <t>NT302</t>
  </si>
  <si>
    <t>SPIRE BRISTOL HOSPITAL (NT302)</t>
  </si>
  <si>
    <t>ProviderSPIRE CAMBRIDGE LEA HOSPITAL (NT317)Hip ReplacementEQ VAS</t>
  </si>
  <si>
    <t>ProviderSPIRE CHESHIRE HOSPITAL (NT324)Hip ReplacementEQ VAS</t>
  </si>
  <si>
    <t>ProviderROYAL DEVON AND EXETER NHS FOUNDATION TRUST (RH8)Hip ReplacementEQ VAS</t>
  </si>
  <si>
    <t>ProviderROYAL FREE LONDON NHS FOUNDATION TRUST (RAL)Hip ReplacementEQ VAS</t>
  </si>
  <si>
    <t>ProviderROYAL LIVERPOOL AND BROADGREEN UNIVERSITY HOSPITALS NHS TRUST (RQ6)Hip ReplacementEQ VAS</t>
  </si>
  <si>
    <t>ProviderROYAL SURREY COUNTY HOSPITAL NHS FOUNDATION TRUST (RA2)Hip ReplacementEQ VAS</t>
  </si>
  <si>
    <t>ProviderROYAL UNITED HOSPITALS BATH NHS FOUNDATION TRUST (RD1)Hip ReplacementEQ VAS</t>
  </si>
  <si>
    <t>ProviderSALFORD ROYAL NHS FOUNDATION TRUST (RM3)Hip ReplacementEQ VAS</t>
  </si>
  <si>
    <t>ProviderSALISBURY NHS FOUNDATION TRUST (RNZ)Hip ReplacementEQ VAS</t>
  </si>
  <si>
    <t>ProviderSANDWELL AND WEST BIRMINGHAM HOSPITALS NHS TRUST (RXK)Hip ReplacementEQ VAS</t>
  </si>
  <si>
    <t>ProviderSHEFFIELD TEACHING HOSPITALS NHS FOUNDATION TRUST (RHQ)Hip ReplacementEQ VAS</t>
  </si>
  <si>
    <t>ProviderSHEPTON MALLET NHS TREATMENT CENTRE (NTC01)Hip ReplacementEQ VAS</t>
  </si>
  <si>
    <t>ProviderSHEPTON MALLET NHS TREATMENT CENTRE (NTPH1)Hip ReplacementEQ VAS</t>
  </si>
  <si>
    <t>ProviderSHERWOOD FOREST HOSPITALS NHS FOUNDATION TRUST (RK5)Hip ReplacementEQ VAS</t>
  </si>
  <si>
    <t>ProviderSHREWSBURY AND TELFORD HOSPITAL NHS TRUST (RXW)Hip ReplacementEQ VAS</t>
  </si>
  <si>
    <t>ProviderSOUTH TEES HOSPITALS NHS FOUNDATION TRUST (RTR)Hip ReplacementEQ VAS</t>
  </si>
  <si>
    <t>ProviderSOUTH TYNESIDE NHS FOUNDATION TRUST (RE9)Hip ReplacementEQ VAS</t>
  </si>
  <si>
    <t>ProviderBMI - BATH CLINIC (NT402)Hip ReplacementEQ VAS</t>
  </si>
  <si>
    <t>ProviderBMI - BISHOPS WOOD (NT405)Hip ReplacementEQ VAS</t>
  </si>
  <si>
    <t>ProviderBMI - CHELSFIELD PARK HOSPITAL (NT409)Hip ReplacementEQ VAS</t>
  </si>
  <si>
    <t>ProviderBMI - FAWKHAM MANOR HOSPITAL (NT414)Hip ReplacementEQ VAS</t>
  </si>
  <si>
    <t>ProviderASPEN - CLAREMONT HOSPITAL (NYW04)Hip ReplacementEQ VAS</t>
  </si>
  <si>
    <t>ProviderASPEN - HIGHGATE HOSPITAL (NYW03)Hip ReplacementEQ VAS</t>
  </si>
  <si>
    <t>ProviderASPEN - HOLLY HOUSE HOSPITAL (NYW01)Hip ReplacementEQ VAS</t>
  </si>
  <si>
    <t>ProviderBARKING, HAVERING AND REDBRIDGE UNIVERSITY HOSPITALS NHS TRUST (RF4)Hip ReplacementEQ VAS</t>
  </si>
  <si>
    <t>ProviderBARNET AND CHASE FARM HOSPITALS NHS TRUST (RVL)Hip ReplacementEQ VAS</t>
  </si>
  <si>
    <t>ProviderYORK TEACHING HOSPITAL NHS FOUNDATION TRUST (RCB)Hip ReplacementEQ VAS</t>
  </si>
  <si>
    <t>ProviderWYE VALLEY NHS TRUST (RLQ)Hip ReplacementEQ VAS</t>
  </si>
  <si>
    <t>ProviderYEOVIL DISTRICT HOSPITAL NHS FOUNDATION TRUST (RA4)Hip ReplacementEQ VAS</t>
  </si>
  <si>
    <t>ProviderLEWISHAM AND GREENWICH NHS TRUST (RJ2)Hip ReplacementEQ VAS</t>
  </si>
  <si>
    <t>ProviderWESTON AREA HEALTH NHS TRUST (RA3)Hip ReplacementEQ VAS</t>
  </si>
  <si>
    <t>ProviderWINFIELD HOSPITAL (NVC22)Hip ReplacementEQ VAS</t>
  </si>
  <si>
    <t>ProviderWIRRAL UNIVERSITY TEACHING HOSPITAL NHS FOUNDATION TRUST (RBL)Hip ReplacementEQ VAS</t>
  </si>
  <si>
    <t>ProviderWOODLAND HOSPITAL (NVC23)Hip ReplacementEQ VAS</t>
  </si>
  <si>
    <t>ProviderWORCESTERSHIRE ACUTE HOSPITALS NHS TRUST (RWP)Hip ReplacementEQ VAS</t>
  </si>
  <si>
    <t>ProviderWRIGHTINGTON, WIGAN AND LEIGH NHS FOUNDATION TRUST (RRF)Hip ReplacementEQ VAS</t>
  </si>
  <si>
    <t>ProviderBARNSLEY HOSPITAL NHS FOUNDATION TRUST (RFF)Hip ReplacementEQ VAS</t>
  </si>
  <si>
    <t>ProviderBARTS HEALTH NHS TRUST (R1H)Hip ReplacementEQ VAS</t>
  </si>
  <si>
    <t>ProviderBASILDON AND THURROCK UNIVERSITY HOSPITALS NHS FOUNDATION TRUST (RDD)Hip ReplacementEQ VAS</t>
  </si>
  <si>
    <t>ProviderBEDFORD HOSPITAL NHS TRUST (RC1)Hip ReplacementEQ VAS</t>
  </si>
  <si>
    <t>ProviderBLACKPOOL TEACHING HOSPITALS NHS FOUNDATION TRUST (RXL)Hip ReplacementEQ VAS</t>
  </si>
  <si>
    <t>ProviderBARLBOROUGH NHS TREATMENT CENTRE (NTP13)Hip ReplacementEQ VAS</t>
  </si>
  <si>
    <t>NTP13</t>
  </si>
  <si>
    <t>BARLBOROUGH NHS TREATMENT CENTRE (NTP13)</t>
  </si>
  <si>
    <t>ProviderBENENDEN HOSPITAL (NWF01)Hip ReplacementEQ VAS</t>
  </si>
  <si>
    <t>NWF01</t>
  </si>
  <si>
    <t>BENENDEN HOSPITAL (NWF01)</t>
  </si>
  <si>
    <t>ProviderKING'S COLLEGE HOSPITAL NHS FOUNDATION TRUST (RJZ)Hip ReplacementEQ VAS</t>
  </si>
  <si>
    <t>ProviderLANCASHIRE TEACHING HOSPITALS NHS FOUNDATION TRUST (RXN)Hip ReplacementEQ VAS</t>
  </si>
  <si>
    <t>ProviderBMI - HENDON HOSPITAL (NT416)Hip ReplacementEQ VAS</t>
  </si>
  <si>
    <t>ProviderBMI - SARUM ROAD HOSPITAL (NT433)Hip ReplacementEQ VAS</t>
  </si>
  <si>
    <t>ProviderBMI - SHIRLEY OAKS HOSPITAL (NT436)Hip ReplacementEQ VAS</t>
  </si>
  <si>
    <t>ProviderBMI - THE ALEXANDRA HOSPITAL (NT401)Hip ReplacementEQ VAS</t>
  </si>
  <si>
    <t>ProviderBMI - THE BEARDWOOD HOSPITAL (NT403)Hip ReplacementEQ VAS</t>
  </si>
  <si>
    <t>ProviderBMI - THE BEAUMONT HOSPITAL (NT404)Hip ReplacementEQ VAS</t>
  </si>
  <si>
    <t>ProviderBMI - THE BLACKHEATH HOSPITAL (NT406)Hip ReplacementEQ VAS</t>
  </si>
  <si>
    <t>ProviderBMI - THE CHAUCER HOSPITAL (NT408)Hip ReplacementEQ VAS</t>
  </si>
  <si>
    <t>ProviderBMI - THE CHILTERN HOSPITAL (NT410)Hip ReplacementEQ VAS</t>
  </si>
  <si>
    <t>ProviderBMI - THE CLEMENTINE CHURCHILL HOSPITAL (NT411)Hip ReplacementEQ VAS</t>
  </si>
  <si>
    <t>ProviderBMI - THE DROITWICH SPA HOSPITAL (NT412)Hip ReplacementEQ VAS</t>
  </si>
  <si>
    <t>ProviderBMI - THE ESPERANCE HOSPITAL (NT413)Hip ReplacementEQ VAS</t>
  </si>
  <si>
    <t>ProviderBMI - THE FOSCOTE HOSPITAL (NT415)Hip ReplacementEQ VAS</t>
  </si>
  <si>
    <t>ProviderBMI - THE HAMPSHIRE CLINIC (NT418)Hip ReplacementEQ VAS</t>
  </si>
  <si>
    <t>ProviderBMI - THE HIGHFIELD HOSPITAL (NT420)Hip ReplacementEQ VAS</t>
  </si>
  <si>
    <t>ProviderBMI - THE KINGS OAK HOSPITAL (NT421)Hip ReplacementEQ VAS</t>
  </si>
  <si>
    <t>ProviderBMI - THE LONDON INDEPENDENT HOSPITAL (NT422)Hip ReplacementEQ VAS</t>
  </si>
  <si>
    <t>ProviderBMI - THE MANOR HOSPITAL (NT423)Hip ReplacementEQ VAS</t>
  </si>
  <si>
    <t>ProviderLUTON AND DUNSTABLE UNIVERSITY HOSPITAL NHS FOUNDATION TRUST (RC9)Hip ReplacementEQ VAS</t>
  </si>
  <si>
    <t>ProviderMAIDSTONE AND TUNBRIDGE WELLS NHS TRUST (RWF)Hip ReplacementEQ VAS</t>
  </si>
  <si>
    <t>ProviderMEDWAY NHS FOUNDATION TRUST (RPA)Hip ReplacementEQ VAS</t>
  </si>
  <si>
    <t>ProviderMID CHESHIRE HOSPITALS NHS FOUNDATION TRUST (RBT)Hip ReplacementEQ VAS</t>
  </si>
  <si>
    <t>ProviderMID ESSEX HOSPITAL SERVICES NHS TRUST (RQ8)Hip ReplacementEQ VAS</t>
  </si>
  <si>
    <t>ProviderMID STAFFORDSHIRE NHS FOUNDATION TRUST (RJD)Hip ReplacementEQ VAS</t>
  </si>
  <si>
    <t>ProviderMID YORKSHIRE HOSPITALS NHS TRUST (RXF)Hip ReplacementEQ VAS</t>
  </si>
  <si>
    <t>ProviderMOUNT STUART HOSPITAL (NVC08)Hip ReplacementEQ VAS</t>
  </si>
  <si>
    <t>ProviderNEW HALL HOSPITAL (NVC09)Hip ReplacementEQ VAS</t>
  </si>
  <si>
    <t>ProviderNORFOLK AND NORWICH UNIVERSITY HOSPITALS NHS FOUNDATION TRUST (RM1)Hip ReplacementEQ VAS</t>
  </si>
  <si>
    <t>ProviderNORTH BRISTOL NHS TRUST (RVJ)Hip ReplacementEQ VAS</t>
  </si>
  <si>
    <t>ProviderNORTH CUMBRIA UNIVERSITY HOSPITALS NHS TRUST (RNL)Hip ReplacementEQ VAS</t>
  </si>
  <si>
    <t>ProviderNORTH DOWNS HOSPITAL (NVC11)Hip ReplacementEQ VAS</t>
  </si>
  <si>
    <t>ProviderNORTH EAST LONDON TREATMENT CENTRE CARE UK (NTP15)Hip ReplacementEQ VAS</t>
  </si>
  <si>
    <t>ProviderNORTH MIDDLESEX UNIVERSITY HOSPITAL NHS TRUST (RAP)Hip ReplacementEQ VAS</t>
  </si>
  <si>
    <t>ProviderNORTH TEES AND HARTLEPOOL NHS FOUNDATION TRUST (RVW)Hip ReplacementEQ VAS</t>
  </si>
  <si>
    <t>ProviderNORTH WEST LONDON HOSPITALS NHS TRUST (RV8)Hip ReplacementEQ VAS</t>
  </si>
  <si>
    <t>ProviderNORTHAMPTON GENERAL HOSPITAL NHS TRUST (RNS)Hip ReplacementEQ VAS</t>
  </si>
  <si>
    <t>ProviderNORTHERN DEVON HEALTHCARE NHS TRUST (RBZ)Hip ReplacementEQ VAS</t>
  </si>
  <si>
    <t>ProviderNORTHERN LINCOLNSHIRE AND GOOLE NHS FOUNDATION TRUST (RJL)Hip ReplacementEQ VAS</t>
  </si>
  <si>
    <t>ProviderNORTHUMBRIA HEALTHCARE NHS FOUNDATION TRUST (RTF)Hip ReplacementEQ VAS</t>
  </si>
  <si>
    <t>ProviderNOTTINGHAM UNIVERSITY HOSPITALS NHS TRUST (RX1)Hip ReplacementEQ VAS</t>
  </si>
  <si>
    <t>ProviderNUFFIELD HEALTH, BRENTWOOD HOSPITAL (NT204)Hip ReplacementEQ VAS</t>
  </si>
  <si>
    <t>ProviderNUFFIELD HEALTH, BRIGHTON HOSPITAL (NT205)Hip ReplacementEQ VAS</t>
  </si>
  <si>
    <t>ProviderNUFFIELD HEALTH, BRISTOL HOSPITAL (CHESTERFIELD) (NT206)Hip ReplacementEQ VAS</t>
  </si>
  <si>
    <t>ProviderNUFFIELD HEALTH, CHELTENHAM HOSPITAL (NT211)Hip ReplacementEQ VAS</t>
  </si>
  <si>
    <t>ProviderNUFFIELD HEALTH, CAMBRIDGE HOSPITAL (NT209)Hip ReplacementEQ VAS</t>
  </si>
  <si>
    <t>NT209</t>
  </si>
  <si>
    <t>NUFFIELD HEALTH, CAMBRIDGE HOSPITAL (NT209)</t>
  </si>
  <si>
    <t>ProviderTHE ROYAL ORTHOPAEDIC HOSPITAL NHS FOUNDATION TRUST (RRJ)Hip ReplacementEQ VAS</t>
  </si>
  <si>
    <t>RRJ</t>
  </si>
  <si>
    <t>THE ROYAL ORTHOPAEDIC HOSPITAL NHS FOUNDATION TRUST (RRJ)</t>
  </si>
  <si>
    <t>ProviderWESTERN SUSSEX HOSPITALS NHS FOUNDATION TRUST (RYR)Hip ReplacementEQ VAS</t>
  </si>
  <si>
    <t>ProviderWEST MIDLANDS HOSPITAL (NVC21)Hip ReplacementEQ VAS</t>
  </si>
  <si>
    <t>ProviderWEST SUFFOLK NHS FOUNDATION TRUST (RGR)Hip ReplacementEQ VAS</t>
  </si>
  <si>
    <t>ProviderUNIVERSITY HOSPITALS COVENTRY AND WARWICKSHIRE NHS TRUST (RKB)Hip ReplacementEQ VAS</t>
  </si>
  <si>
    <t>ProviderUNIVERSITY HOSPITALS OF LEICESTER NHS TRUST (RWE)Hip ReplacementEQ VAS</t>
  </si>
  <si>
    <t>ProviderUNIVERSITY HOSPITALS OF MORECAMBE BAY NHS FOUNDATION TRUST (RTX)Hip ReplacementEQ VAS</t>
  </si>
  <si>
    <t>ProviderUNIVERSITY HOSPITALS OF NORTH MIDLANDS NHS TRUST (RJE)Hip ReplacementEQ VAS</t>
  </si>
  <si>
    <t>ProviderWALSALL HEALTHCARE NHS TRUST (RBK)Hip ReplacementEQ VAS</t>
  </si>
  <si>
    <t>ProviderWARRINGTON AND HALTON HOSPITALS NHS FOUNDATION TRUST (RWW)Hip ReplacementEQ VAS</t>
  </si>
  <si>
    <t>ProviderWEST HERTFORDSHIRE HOSPITALS NHS TRUST (RWG)Hip ReplacementEQ VAS</t>
  </si>
  <si>
    <t>ProviderWEST MIDDLESEX UNIVERSITY HOSPITAL NHS TRUST (RFW)Hip ReplacementEQ VAS</t>
  </si>
  <si>
    <t>ProviderTHE ROTHERHAM NHS FOUNDATION TRUST (RFR)Hip ReplacementEQ VAS</t>
  </si>
  <si>
    <t>ProviderTHE ROYAL BOURNEMOUTH AND CHRISTCHURCH HOSPITALS NHS FOUNDATION TRUST (RDZ)Hip ReplacementEQ VAS</t>
  </si>
  <si>
    <t>ProviderTHE ROBERT JONES AND AGNES HUNT ORTHOPAEDIC HOSPITAL NHS FOUNDATION TRUST (RL1)Hip ReplacementEQ VAS</t>
  </si>
  <si>
    <t>RL1</t>
  </si>
  <si>
    <t>THE ROBERT JONES AND AGNES HUNT ORTHOPAEDIC HOSPITAL NHS FOUNDATION TRUST (RL1)</t>
  </si>
  <si>
    <t>ProviderROYAL CORNWALL HOSPITALS NHS TRUST (REF)Hip ReplacementEQ VAS</t>
  </si>
  <si>
    <t>ProviderTHE NEWCASTLE UPON TYNE HOSPITALS NHS FOUNDATION TRUST (RTD)Hip ReplacementEQ VAS</t>
  </si>
  <si>
    <t>ProviderTHE PRINCESS ALEXANDRA HOSPITAL NHS TRUST (RQW)Hip ReplacementEQ VAS</t>
  </si>
  <si>
    <t>ProviderTHE QUEEN ELIZABETH HOSPITAL, KING'S LYNN, NHS FOUNDATION TRUST (RCX)Hip ReplacementEQ VAS</t>
  </si>
  <si>
    <t>ProviderTHE SPENCER WING (RAMSGATE ROAD) (NN801)Hip ReplacementEQ VAS</t>
  </si>
  <si>
    <t>ProviderTHE YORKSHIRE CLINIC (NVC20)Hip ReplacementEQ VAS</t>
  </si>
  <si>
    <t>ProviderUNITED LINCOLNSHIRE HOSPITALS NHS TRUST (RWD)Hip ReplacementEQ VAS</t>
  </si>
  <si>
    <t>ProviderTYNESIDE SURGICAL SERVICES AT THE NORTH EAST NHS SURGERY CENTRE (NN401)Hip ReplacementEQ VAS</t>
  </si>
  <si>
    <t>NN401</t>
  </si>
  <si>
    <t>TYNESIDE SURGICAL SERVICES AT THE NORTH EAST NHS SURGERY CENTRE (NN401)</t>
  </si>
  <si>
    <t>ProviderUNIVERSITY COLLEGE LONDON HOSPITALS NHS FOUNDATION TRUST (RRV)Hip ReplacementEQ VAS</t>
  </si>
  <si>
    <t>ProviderUNIVERSITY HOSPITAL OF SOUTH MANCHESTER NHS FOUNDATION TRUST (RM2)Hip ReplacementEQ VAS</t>
  </si>
  <si>
    <t>ProviderUNIVERSITY HOSPITAL SOUTHAMPTON NHS FOUNDATION TRUST (RHM)Hip ReplacementEQ VAS</t>
  </si>
  <si>
    <t>ProviderCOUNTESS OF CHESTER HOSPITAL NHS FOUNDATION TRUST (RJR)Hip ReplacementEQ VAS</t>
  </si>
  <si>
    <t>ProviderCOUNTY DURHAM AND DARLINGTON NHS FOUNDATION TRUST (RXP)Hip ReplacementEQ VAS</t>
  </si>
  <si>
    <t>ProviderDARTFORD AND GRAVESHAM NHS TRUST (RN7)Hip ReplacementEQ VAS</t>
  </si>
  <si>
    <t>ProviderDERBY TEACHING HOSPITALS NHS FOUNDATION TRUST (RTG)Hip ReplacementEQ VAS</t>
  </si>
  <si>
    <t>ProviderDONCASTER AND BASSETLAW HOSPITALS NHS FOUNDATION TRUST (RP5)Hip ReplacementEQ VAS</t>
  </si>
  <si>
    <t>ProviderDORSET COUNTY HOSPITAL NHS FOUNDATION TRUST (RBD)Hip ReplacementEQ VAS</t>
  </si>
  <si>
    <t>ProviderDUCHY HOSPITAL (NVC04)Hip ReplacementEQ VAS</t>
  </si>
  <si>
    <t>NVC04</t>
  </si>
  <si>
    <t>DUCHY HOSPITAL (NVC04)</t>
  </si>
  <si>
    <t>ProviderEAST AND NORTH HERTFORDSHIRE NHS TRUST (RWH)Hip ReplacementEQ VAS</t>
  </si>
  <si>
    <t>ProviderEAST CHESHIRE NHS TRUST (RJN)Hip ReplacementEQ VAS</t>
  </si>
  <si>
    <t>ProviderEAST KENT HOSPITALS UNIVERSITY NHS FOUNDATION TRUST (RVV)Hip ReplacementEQ VAS</t>
  </si>
  <si>
    <t>ProviderEAST LANCASHIRE HOSPITALS NHS TRUST (RXR)Hip ReplacementEQ VAS</t>
  </si>
  <si>
    <t>ProviderEAST SUSSEX HEALTHCARE NHS TRUST (RXC)Hip ReplacementEQ VAS</t>
  </si>
  <si>
    <t>ProviderEMERSONS GREEN NHS TREATMENT CENTRE (NTPH2)Hip ReplacementEQ VAS</t>
  </si>
  <si>
    <t>ProviderROYAL BERKSHIRE NHS FOUNDATION TRUST (RHW)Hip ReplacementEQ VAS</t>
  </si>
  <si>
    <t>ProviderEALING HOSPITAL NHS TRUST (RC3)Hip ReplacementEQ VAS</t>
  </si>
  <si>
    <t>ProviderEMERSONS GREEN NHS TREATMENT CENTRE (NTC02)Hip ReplacementEQ VAS</t>
  </si>
  <si>
    <t>NTC02</t>
  </si>
  <si>
    <t>EMERSONS GREEN NHS TREATMENT CENTRE (NTC02)</t>
  </si>
  <si>
    <t>ProviderAINTREE UNIVERSITY HOSPITAL NHS FOUNDATION TRUST (REM)Hip ReplacementEQ VAS</t>
  </si>
  <si>
    <t>ProviderAIREDALE NHS FOUNDATION TRUST (RCF)Hip ReplacementEQ VAS</t>
  </si>
  <si>
    <t>ProviderASHFORD AND ST PETER'S HOSPITALS NHS FOUNDATION TRUST (RTK)Hip ReplacementEQ VAS</t>
  </si>
  <si>
    <t>ProviderASHTEAD HOSPITAL (NVC01)Hip ReplacementEQ VAS</t>
  </si>
  <si>
    <t>ProviderEPSOM AND ST HELIER UNIVERSITY HOSPITALS NHS TRUST (RVR)Hip ReplacementEQ VAS</t>
  </si>
  <si>
    <t>ProviderEUXTON HALL HOSPITAL (NVC05)Hip ReplacementEQ VAS</t>
  </si>
  <si>
    <t>ProviderFAIRFIELD HOSPITAL (NVG01)Hip ReplacementEQ VAS</t>
  </si>
  <si>
    <t>ProviderFITZWILLIAM HOSPITAL (NVC06)Hip ReplacementEQ VAS</t>
  </si>
  <si>
    <t>ProviderFRIMLEY HEALTH NHS FOUNDATION TRUST (RDU)Hip ReplacementEQ VAS</t>
  </si>
  <si>
    <t>ProviderFULWOOD HALL HOSPITAL (NVC07)Hip ReplacementEQ VAS</t>
  </si>
  <si>
    <t>ProviderGATESHEAD HEALTH NHS FOUNDATION TRUST (RR7)Hip ReplacementEQ VAS</t>
  </si>
  <si>
    <t>ProviderGEORGE ELIOT HOSPITAL NHS TRUST (RLT)Hip ReplacementEQ VAS</t>
  </si>
  <si>
    <t>ProviderGLOUCESTERSHIRE HOSPITALS NHS FOUNDATION TRUST (RTE)Hip ReplacementEQ VAS</t>
  </si>
  <si>
    <t>ProviderGREAT WESTERN HOSPITALS NHS FOUNDATION TRUST (RN3)Hip ReplacementEQ VAS</t>
  </si>
  <si>
    <t>ProviderGUY'S AND ST THOMAS' NHS FOUNDATION TRUST (RJ1)Hip ReplacementEQ VAS</t>
  </si>
  <si>
    <t>ProviderHAMPSHIRE HOSPITALS NHS FOUNDATION TRUST (RN5)Hip ReplacementEQ VAS</t>
  </si>
  <si>
    <t>ProviderHARROGATE AND DISTRICT NHS FOUNDATION TRUST (RCD)Hip ReplacementEQ VAS</t>
  </si>
  <si>
    <t>ProviderHEART OF ENGLAND NHS FOUNDATION TRUST (RR1)Hip ReplacementEQ VAS</t>
  </si>
  <si>
    <t>ProviderHEATHERWOOD AND WEXHAM PARK HOSPITALS NHS FOUNDATION TRUST (RD7)Hip ReplacementEQ VAS</t>
  </si>
  <si>
    <t>ProviderHINCHINGBROOKE HEALTH CARE NHS TRUST (RQQ)Hip ReplacementEQ VAS</t>
  </si>
  <si>
    <t>ProviderHOMERTON UNIVERSITY HOSPITAL NHS FOUNDATION TRUST (RQX)Hip ReplacementEQ VAS</t>
  </si>
  <si>
    <t>ProviderHORTON NHS TREATMENT CENTRE (NVC25)Hip ReplacementEQ VAS</t>
  </si>
  <si>
    <t>NVC25</t>
  </si>
  <si>
    <t>HORTON NHS TREATMENT CENTRE (NVC25)</t>
  </si>
  <si>
    <t>ProviderHULL AND EAST YORKSHIRE HOSPITALS NHS TRUST (RWA)Hip ReplacementEQ VAS</t>
  </si>
  <si>
    <t>ProviderIPSWICH HOSPITAL NHS TRUST (RGQ)Hip ReplacementEQ VAS</t>
  </si>
  <si>
    <t>ProviderIMPERIAL COLLEGE HEALTHCARE NHS TRUST (RYJ)Hip ReplacementEQ VAS</t>
  </si>
  <si>
    <t>RYJ</t>
  </si>
  <si>
    <t>IMPERIAL COLLEGE HEALTHCARE NHS TRUST (RYJ)</t>
  </si>
  <si>
    <t>ProviderISLE OF WIGHT NHS TRUST (R1F)Hip ReplacementEQ VAS</t>
  </si>
  <si>
    <t>ProviderJAMES PAGET UNIVERSITY HOSPITALS NHS FOUNDATION TRUST (RGP)Hip ReplacementEQ VAS</t>
  </si>
  <si>
    <t>ProviderKETTERING GENERAL HOSPITAL NHS FOUNDATION TRUST (RNQ)Hip ReplacementEQ VAS</t>
  </si>
  <si>
    <t>ProviderSPIRE LITTLE ASTON HOSPITAL (NT321)Hip ReplacementEQ VAS</t>
  </si>
  <si>
    <t>ProviderLEEDS TEACHING HOSPITALS NHS TRUST (RR8)Hip ReplacementEQ VAS</t>
  </si>
  <si>
    <t>ProviderLEEDS TEACHING HOSPITALS NHS TRUST (RR8)Hip ReplacementEQ-5D Index</t>
  </si>
  <si>
    <t>ProviderSPIRE LITTLE ASTON HOSPITAL (NT321)Hip ReplacementEQ-5D Index</t>
  </si>
  <si>
    <t>ProviderKETTERING GENERAL HOSPITAL NHS FOUNDATION TRUST (RNQ)Hip ReplacementEQ-5D Index</t>
  </si>
  <si>
    <t>ProviderJAMES PAGET UNIVERSITY HOSPITALS NHS FOUNDATION TRUST (RGP)Hip ReplacementEQ-5D Index</t>
  </si>
  <si>
    <t>ProviderISLE OF WIGHT NHS TRUST (R1F)Hip ReplacementEQ-5D Index</t>
  </si>
  <si>
    <t>ProviderIMPERIAL COLLEGE HEALTHCARE NHS TRUST (RYJ)Hip ReplacementEQ-5D Index</t>
  </si>
  <si>
    <t>ProviderIPSWICH HOSPITAL NHS TRUST (RGQ)Hip ReplacementEQ-5D Index</t>
  </si>
  <si>
    <t>ProviderHULL AND EAST YORKSHIRE HOSPITALS NHS TRUST (RWA)Hip ReplacementEQ-5D Index</t>
  </si>
  <si>
    <t>ProviderHORTON NHS TREATMENT CENTRE (NVC25)Hip ReplacementEQ-5D Index</t>
  </si>
  <si>
    <t>ProviderHOMERTON UNIVERSITY HOSPITAL NHS FOUNDATION TRUST (RQX)Hip ReplacementEQ-5D Index</t>
  </si>
  <si>
    <t>ProviderHINCHINGBROOKE HEALTH CARE NHS TRUST (RQQ)Hip ReplacementEQ-5D Index</t>
  </si>
  <si>
    <t>ProviderHEATHERWOOD AND WEXHAM PARK HOSPITALS NHS FOUNDATION TRUST (RD7)Hip ReplacementEQ-5D Index</t>
  </si>
  <si>
    <t>ProviderHEART OF ENGLAND NHS FOUNDATION TRUST (RR1)Hip ReplacementEQ-5D Index</t>
  </si>
  <si>
    <t>ProviderHARROGATE AND DISTRICT NHS FOUNDATION TRUST (RCD)Hip ReplacementEQ-5D Index</t>
  </si>
  <si>
    <t>ProviderHAMPSHIRE HOSPITALS NHS FOUNDATION TRUST (RN5)Hip ReplacementEQ-5D Index</t>
  </si>
  <si>
    <t>ProviderGUY'S AND ST THOMAS' NHS FOUNDATION TRUST (RJ1)Hip ReplacementEQ-5D Index</t>
  </si>
  <si>
    <t>ProviderGREAT WESTERN HOSPITALS NHS FOUNDATION TRUST (RN3)Hip ReplacementEQ-5D Index</t>
  </si>
  <si>
    <t>ProviderGLOUCESTERSHIRE HOSPITALS NHS FOUNDATION TRUST (RTE)Hip ReplacementEQ-5D Index</t>
  </si>
  <si>
    <t>ProviderGEORGE ELIOT HOSPITAL NHS TRUST (RLT)Hip ReplacementEQ-5D Index</t>
  </si>
  <si>
    <t>ProviderGATESHEAD HEALTH NHS FOUNDATION TRUST (RR7)Hip ReplacementEQ-5D Index</t>
  </si>
  <si>
    <t>ProviderFULWOOD HALL HOSPITAL (NVC07)Hip ReplacementEQ-5D Index</t>
  </si>
  <si>
    <t>ProviderFRIMLEY HEALTH NHS FOUNDATION TRUST (RDU)Hip ReplacementEQ-5D Index</t>
  </si>
  <si>
    <t>ProviderFITZWILLIAM HOSPITAL (NVC06)Hip ReplacementEQ-5D Index</t>
  </si>
  <si>
    <t>ProviderFAIRFIELD HOSPITAL (NVG01)Hip ReplacementEQ-5D Index</t>
  </si>
  <si>
    <t>ProviderEUXTON HALL HOSPITAL (NVC05)Hip ReplacementEQ-5D Index</t>
  </si>
  <si>
    <t>ProviderEPSOM AND ST HELIER UNIVERSITY HOSPITALS NHS TRUST (RVR)Hip ReplacementEQ-5D Index</t>
  </si>
  <si>
    <t>ProviderASHTEAD HOSPITAL (NVC01)Hip ReplacementEQ-5D Index</t>
  </si>
  <si>
    <t>ProviderASHFORD AND ST PETER'S HOSPITALS NHS FOUNDATION TRUST (RTK)Hip ReplacementEQ-5D Index</t>
  </si>
  <si>
    <t>ProviderAIREDALE NHS FOUNDATION TRUST (RCF)Hip ReplacementEQ-5D Index</t>
  </si>
  <si>
    <t>ProviderAINTREE UNIVERSITY HOSPITAL NHS FOUNDATION TRUST (REM)Hip ReplacementEQ-5D Index</t>
  </si>
  <si>
    <t>ProviderEMERSONS GREEN NHS TREATMENT CENTRE (NTC02)Hip ReplacementEQ-5D Index</t>
  </si>
  <si>
    <t>ProviderEALING HOSPITAL NHS TRUST (RC3)Hip ReplacementEQ-5D Index</t>
  </si>
  <si>
    <t>ProviderROYAL BERKSHIRE NHS FOUNDATION TRUST (RHW)Hip ReplacementEQ-5D Index</t>
  </si>
  <si>
    <t>ProviderEMERSONS GREEN NHS TREATMENT CENTRE (NTPH2)Hip ReplacementEQ-5D Index</t>
  </si>
  <si>
    <t>ProviderEAST SUSSEX HEALTHCARE NHS TRUST (RXC)Hip ReplacementEQ-5D Index</t>
  </si>
  <si>
    <t>ProviderEAST LANCASHIRE HOSPITALS NHS TRUST (RXR)Hip ReplacementEQ-5D Index</t>
  </si>
  <si>
    <t>ProviderEAST KENT HOSPITALS UNIVERSITY NHS FOUNDATION TRUST (RVV)Hip ReplacementEQ-5D Index</t>
  </si>
  <si>
    <t>ProviderEAST CHESHIRE NHS TRUST (RJN)Hip ReplacementEQ-5D Index</t>
  </si>
  <si>
    <t>ProviderEAST AND NORTH HERTFORDSHIRE NHS TRUST (RWH)Hip ReplacementEQ-5D Index</t>
  </si>
  <si>
    <t>ProviderDUCHY HOSPITAL (NVC04)Hip ReplacementEQ-5D Index</t>
  </si>
  <si>
    <t>ProviderDORSET COUNTY HOSPITAL NHS FOUNDATION TRUST (RBD)Hip ReplacementEQ-5D Index</t>
  </si>
  <si>
    <t>ProviderDONCASTER AND BASSETLAW HOSPITALS NHS FOUNDATION TRUST (RP5)Hip ReplacementEQ-5D Index</t>
  </si>
  <si>
    <t>ProviderDERBY TEACHING HOSPITALS NHS FOUNDATION TRUST (RTG)Hip ReplacementEQ-5D Index</t>
  </si>
  <si>
    <t>ProviderDARTFORD AND GRAVESHAM NHS TRUST (RN7)Hip ReplacementEQ-5D Index</t>
  </si>
  <si>
    <t>ProviderCOUNTY DURHAM AND DARLINGTON NHS FOUNDATION TRUST (RXP)Hip ReplacementEQ-5D Index</t>
  </si>
  <si>
    <t>ProviderCOUNTESS OF CHESTER HOSPITAL NHS FOUNDATION TRUST (RJR)Hip ReplacementEQ-5D Index</t>
  </si>
  <si>
    <t>ProviderUNIVERSITY HOSPITAL SOUTHAMPTON NHS FOUNDATION TRUST (RHM)Hip ReplacementEQ-5D Index</t>
  </si>
  <si>
    <t>ProviderUNIVERSITY HOSPITAL OF SOUTH MANCHESTER NHS FOUNDATION TRUST (RM2)Hip ReplacementEQ-5D Index</t>
  </si>
  <si>
    <t>ProviderUNIVERSITY COLLEGE LONDON HOSPITALS NHS FOUNDATION TRUST (RRV)Hip ReplacementEQ-5D Index</t>
  </si>
  <si>
    <t>ProviderTYNESIDE SURGICAL SERVICES AT THE NORTH EAST NHS SURGERY CENTRE (NN401)Hip ReplacementEQ-5D Index</t>
  </si>
  <si>
    <t>ProviderUNITED LINCOLNSHIRE HOSPITALS NHS TRUST (RWD)Hip ReplacementEQ-5D Index</t>
  </si>
  <si>
    <t>ProviderTHE YORKSHIRE CLINIC (NVC20)Hip ReplacementEQ-5D Index</t>
  </si>
  <si>
    <t>ProviderTHE SPENCER WING (RAMSGATE ROAD) (NN801)Hip ReplacementEQ-5D Index</t>
  </si>
  <si>
    <t>ProviderTHE QUEEN ELIZABETH HOSPITAL, KING'S LYNN, NHS FOUNDATION TRUST (RCX)Hip ReplacementEQ-5D Index</t>
  </si>
  <si>
    <t>ProviderTHE PRINCESS ALEXANDRA HOSPITAL NHS TRUST (RQW)Hip ReplacementEQ-5D Index</t>
  </si>
  <si>
    <t>ProviderTHE NEWCASTLE UPON TYNE HOSPITALS NHS FOUNDATION TRUST (RTD)Hip ReplacementEQ-5D Index</t>
  </si>
  <si>
    <t>ProviderROYAL CORNWALL HOSPITALS NHS TRUST (REF)Hip ReplacementEQ-5D Index</t>
  </si>
  <si>
    <t>ProviderTHE HORDER CENTRE - ST JOHNS ROAD (NXM01)Hip ReplacementEQ-5D Index</t>
  </si>
  <si>
    <t>ProviderTHE ROBERT JONES AND AGNES HUNT ORTHOPAEDIC HOSPITAL NHS FOUNDATION TRUST (RL1)Hip ReplacementEQ-5D Index</t>
  </si>
  <si>
    <t>ProviderTHE ROYAL BOURNEMOUTH AND CHRISTCHURCH HOSPITALS NHS FOUNDATION TRUST (RDZ)Hip ReplacementEQ-5D Index</t>
  </si>
  <si>
    <t>ProviderTHE ROTHERHAM NHS FOUNDATION TRUST (RFR)Hip ReplacementEQ-5D Index</t>
  </si>
  <si>
    <t>ProviderWEST MIDDLESEX UNIVERSITY HOSPITAL NHS TRUST (RFW)Hip ReplacementEQ-5D Index</t>
  </si>
  <si>
    <t>ProviderWEST HERTFORDSHIRE HOSPITALS NHS TRUST (RWG)Hip ReplacementEQ-5D Index</t>
  </si>
  <si>
    <t>ProviderWARRINGTON AND HALTON HOSPITALS NHS FOUNDATION TRUST (RWW)Hip ReplacementEQ-5D Index</t>
  </si>
  <si>
    <t>ProviderWALSALL HEALTHCARE NHS TRUST (RBK)Hip ReplacementEQ-5D Index</t>
  </si>
  <si>
    <t>ProviderUNIVERSITY HOSPITALS OF NORTH MIDLANDS NHS TRUST (RJE)Hip ReplacementEQ-5D Index</t>
  </si>
  <si>
    <t>ProviderUNIVERSITY HOSPITALS OF MORECAMBE BAY NHS FOUNDATION TRUST (RTX)Hip ReplacementEQ-5D Index</t>
  </si>
  <si>
    <t>ProviderUNIVERSITY HOSPITALS OF LEICESTER NHS TRUST (RWE)Hip ReplacementEQ-5D Index</t>
  </si>
  <si>
    <t>ProviderUNIVERSITY HOSPITALS COVENTRY AND WARWICKSHIRE NHS TRUST (RKB)Hip ReplacementEQ-5D Index</t>
  </si>
  <si>
    <t>ProviderWEST SUFFOLK NHS FOUNDATION TRUST (RGR)Hip ReplacementEQ-5D Index</t>
  </si>
  <si>
    <t>ProviderWEST MIDLANDS HOSPITAL (NVC21)Hip ReplacementEQ-5D Index</t>
  </si>
  <si>
    <t>ProviderWESTERN SUSSEX HOSPITALS NHS FOUNDATION TRUST (RYR)Hip ReplacementEQ-5D Index</t>
  </si>
  <si>
    <t>ProviderNUFFIELD HEALTH, CAMBRIDGE HOSPITAL (NT209)Hip ReplacementEQ-5D Index</t>
  </si>
  <si>
    <t>ProviderNUFFIELD HEALTH, CHELTENHAM HOSPITAL (NT211)Hip ReplacementEQ-5D Index</t>
  </si>
  <si>
    <t>ProviderNUFFIELD HEALTH, BRISTOL HOSPITAL (CHESTERFIELD) (NT206)Hip ReplacementEQ-5D Index</t>
  </si>
  <si>
    <t>ProviderNUFFIELD HEALTH, BRIGHTON HOSPITAL (NT205)Hip ReplacementEQ-5D Index</t>
  </si>
  <si>
    <t>ProviderNUFFIELD HEALTH, BRENTWOOD HOSPITAL (NT204)Hip ReplacementEQ-5D Index</t>
  </si>
  <si>
    <t>ProviderNOTTINGHAM UNIVERSITY HOSPITALS NHS TRUST (RX1)Hip ReplacementEQ-5D Index</t>
  </si>
  <si>
    <t>ProviderNORTHUMBRIA HEALTHCARE NHS FOUNDATION TRUST (RTF)Hip ReplacementEQ-5D Index</t>
  </si>
  <si>
    <t>ProviderNORTHERN LINCOLNSHIRE AND GOOLE NHS FOUNDATION TRUST (RJL)Hip ReplacementEQ-5D Index</t>
  </si>
  <si>
    <t>ProviderNORTHERN DEVON HEALTHCARE NHS TRUST (RBZ)Hip ReplacementEQ-5D Index</t>
  </si>
  <si>
    <t>ProviderNORTHAMPTON GENERAL HOSPITAL NHS TRUST (RNS)Hip ReplacementEQ-5D Index</t>
  </si>
  <si>
    <t>ProviderNORTH WEST LONDON HOSPITALS NHS TRUST (RV8)Hip ReplacementEQ-5D Index</t>
  </si>
  <si>
    <t>ProviderNORTH TEES AND HARTLEPOOL NHS FOUNDATION TRUST (RVW)Hip ReplacementEQ-5D Index</t>
  </si>
  <si>
    <t>ProviderNORTH MIDDLESEX UNIVERSITY HOSPITAL NHS TRUST (RAP)Hip ReplacementEQ-5D Index</t>
  </si>
  <si>
    <t>ProviderNORTH EAST LONDON TREATMENT CENTRE CARE UK (NTP15)Hip ReplacementEQ-5D Index</t>
  </si>
  <si>
    <t>ProviderNORTH DOWNS HOSPITAL (NVC11)Hip ReplacementEQ-5D Index</t>
  </si>
  <si>
    <t>ProviderNORTH CUMBRIA UNIVERSITY HOSPITALS NHS TRUST (RNL)Hip ReplacementEQ-5D Index</t>
  </si>
  <si>
    <t>ProviderNORTH BRISTOL NHS TRUST (RVJ)Hip ReplacementEQ-5D Index</t>
  </si>
  <si>
    <t>ProviderNORFOLK AND NORWICH UNIVERSITY HOSPITALS NHS FOUNDATION TRUST (RM1)Hip ReplacementEQ-5D Index</t>
  </si>
  <si>
    <t>ProviderNEW HALL HOSPITAL (NVC09)Hip ReplacementEQ-5D Index</t>
  </si>
  <si>
    <t>ProviderMOUNT STUART HOSPITAL (NVC08)Hip ReplacementEQ-5D Index</t>
  </si>
  <si>
    <t>ProviderMID YORKSHIRE HOSPITALS NHS TRUST (RXF)Hip ReplacementEQ-5D Index</t>
  </si>
  <si>
    <t>ProviderMID STAFFORDSHIRE NHS FOUNDATION TRUST (RJD)Hip ReplacementEQ-5D Index</t>
  </si>
  <si>
    <t>ProviderMID ESSEX HOSPITAL SERVICES NHS TRUST (RQ8)Hip ReplacementEQ-5D Index</t>
  </si>
  <si>
    <t>ProviderMID CHESHIRE HOSPITALS NHS FOUNDATION TRUST (RBT)Hip ReplacementEQ-5D Index</t>
  </si>
  <si>
    <t>ProviderMEDWAY NHS FOUNDATION TRUST (RPA)Hip ReplacementEQ-5D Index</t>
  </si>
  <si>
    <t>ProviderMAIDSTONE AND TUNBRIDGE WELLS NHS TRUST (RWF)Hip ReplacementEQ-5D Index</t>
  </si>
  <si>
    <t>ProviderLUTON AND DUNSTABLE UNIVERSITY HOSPITAL NHS FOUNDATION TRUST (RC9)Hip ReplacementEQ-5D Index</t>
  </si>
  <si>
    <t>ProviderBMI - THE LONDON INDEPENDENT HOSPITAL (NT422)Hip ReplacementEQ-5D Index</t>
  </si>
  <si>
    <t>ProviderBMI - THE KINGS OAK HOSPITAL (NT421)Hip ReplacementEQ-5D Index</t>
  </si>
  <si>
    <t>ProviderBMI - THE HIGHFIELD HOSPITAL (NT420)Hip ReplacementEQ-5D Index</t>
  </si>
  <si>
    <t>ProviderBMI - THE HAMPSHIRE CLINIC (NT418)Hip ReplacementEQ-5D Index</t>
  </si>
  <si>
    <t>ProviderBMI - THE FOSCOTE HOSPITAL (NT415)Hip ReplacementEQ-5D Index</t>
  </si>
  <si>
    <t>ProviderBMI - THE ESPERANCE HOSPITAL (NT413)Hip ReplacementEQ-5D Index</t>
  </si>
  <si>
    <t>ProviderBMI - THE DROITWICH SPA HOSPITAL (NT412)Hip ReplacementEQ-5D Index</t>
  </si>
  <si>
    <t>ProviderBMI - THE CLEMENTINE CHURCHILL HOSPITAL (NT411)Hip ReplacementEQ-5D Index</t>
  </si>
  <si>
    <t>ProviderBMI - THE CHILTERN HOSPITAL (NT410)Hip ReplacementEQ-5D Index</t>
  </si>
  <si>
    <t>ProviderBMI - THE CHAUCER HOSPITAL (NT408)Hip ReplacementEQ-5D Index</t>
  </si>
  <si>
    <t>ProviderBMI - THE BLACKHEATH HOSPITAL (NT406)Hip ReplacementEQ-5D Index</t>
  </si>
  <si>
    <t>ProviderBMI - THE BEAUMONT HOSPITAL (NT404)Hip ReplacementEQ-5D Index</t>
  </si>
  <si>
    <t>ProviderBMI - THE BEARDWOOD HOSPITAL (NT403)Hip ReplacementEQ-5D Index</t>
  </si>
  <si>
    <t>ProviderBMI - THE ALEXANDRA HOSPITAL (NT401)Hip ReplacementEQ-5D Index</t>
  </si>
  <si>
    <t>ProviderBMI - SHIRLEY OAKS HOSPITAL (NT436)Hip ReplacementEQ-5D Index</t>
  </si>
  <si>
    <t>ProviderBMI - SARUM ROAD HOSPITAL (NT433)Hip ReplacementEQ-5D Index</t>
  </si>
  <si>
    <t>ProviderBMI - HENDON HOSPITAL (NT416)Hip ReplacementEQ-5D Index</t>
  </si>
  <si>
    <t>ProviderLANCASHIRE TEACHING HOSPITALS NHS FOUNDATION TRUST (RXN)Hip ReplacementEQ-5D Index</t>
  </si>
  <si>
    <t>ProviderKING'S COLLEGE HOSPITAL NHS FOUNDATION TRUST (RJZ)Hip ReplacementEQ-5D Index</t>
  </si>
  <si>
    <t>ProviderBENENDEN HOSPITAL (NWF01)Hip ReplacementEQ-5D Index</t>
  </si>
  <si>
    <t>ProviderBARLBOROUGH NHS TREATMENT CENTRE (NTP13)Hip ReplacementEQ-5D Index</t>
  </si>
  <si>
    <t>ProviderBLACKPOOL TEACHING HOSPITALS NHS FOUNDATION TRUST (RXL)Hip ReplacementEQ-5D Index</t>
  </si>
  <si>
    <t>ProviderBEDFORD HOSPITAL NHS TRUST (RC1)Hip ReplacementEQ-5D Index</t>
  </si>
  <si>
    <t>ProviderBASILDON AND THURROCK UNIVERSITY HOSPITALS NHS FOUNDATION TRUST (RDD)Hip ReplacementEQ-5D Index</t>
  </si>
  <si>
    <t>ProviderBARTS HEALTH NHS TRUST (R1H)Hip ReplacementEQ-5D Index</t>
  </si>
  <si>
    <t>ProviderBARNSLEY HOSPITAL NHS FOUNDATION TRUST (RFF)Hip ReplacementEQ-5D Index</t>
  </si>
  <si>
    <t>ProviderWRIGHTINGTON, WIGAN AND LEIGH NHS FOUNDATION TRUST (RRF)Hip ReplacementEQ-5D Index</t>
  </si>
  <si>
    <t>ProviderWORCESTERSHIRE ACUTE HOSPITALS NHS TRUST (RWP)Hip ReplacementEQ-5D Index</t>
  </si>
  <si>
    <t>ProviderWOODLAND HOSPITAL (NVC23)Hip ReplacementEQ-5D Index</t>
  </si>
  <si>
    <t>ProviderWIRRAL UNIVERSITY TEACHING HOSPITAL NHS FOUNDATION TRUST (RBL)Hip ReplacementEQ-5D Index</t>
  </si>
  <si>
    <t>ProviderWINFIELD HOSPITAL (NVC22)Hip ReplacementEQ-5D Index</t>
  </si>
  <si>
    <t>ProviderWESTON AREA HEALTH NHS TRUST (RA3)Hip ReplacementEQ-5D Index</t>
  </si>
  <si>
    <t>ProviderLEWISHAM AND GREENWICH NHS TRUST (RJ2)Hip ReplacementEQ-5D Index</t>
  </si>
  <si>
    <t>ProviderYEOVIL DISTRICT HOSPITAL NHS FOUNDATION TRUST (RA4)Hip ReplacementEQ-5D Index</t>
  </si>
  <si>
    <t>ProviderWYE VALLEY NHS TRUST (RLQ)Hip ReplacementEQ-5D Index</t>
  </si>
  <si>
    <t>ProviderYORK TEACHING HOSPITAL NHS FOUNDATION TRUST (RCB)Hip ReplacementEQ-5D Index</t>
  </si>
  <si>
    <t>ProviderBARNET AND CHASE FARM HOSPITALS NHS TRUST (RVL)Hip ReplacementEQ-5D Index</t>
  </si>
  <si>
    <t>ProviderBARKING, HAVERING AND REDBRIDGE UNIVERSITY HOSPITALS NHS TRUST (RF4)Hip ReplacementEQ-5D Index</t>
  </si>
  <si>
    <t>ProviderASPEN - HOLLY HOUSE HOSPITAL (NYW01)Hip ReplacementEQ-5D Index</t>
  </si>
  <si>
    <t>ProviderASPEN - HIGHGATE HOSPITAL (NYW03)Hip ReplacementEQ-5D Index</t>
  </si>
  <si>
    <t>ProviderASPEN - CLAREMONT HOSPITAL (NYW04)Hip ReplacementEQ-5D Index</t>
  </si>
  <si>
    <t>ProviderBMI - FAWKHAM MANOR HOSPITAL (NT414)Hip ReplacementEQ-5D Index</t>
  </si>
  <si>
    <t>ProviderBMI - CHELSFIELD PARK HOSPITAL (NT409)Hip ReplacementEQ-5D Index</t>
  </si>
  <si>
    <t>ProviderBMI - BISHOPS WOOD (NT405)Hip ReplacementEQ-5D Index</t>
  </si>
  <si>
    <t>ProviderBMI - BATH CLINIC (NT402)Hip ReplacementEQ-5D Index</t>
  </si>
  <si>
    <t>ProviderSOUTH TYNESIDE NHS FOUNDATION TRUST (RE9)Hip ReplacementEQ-5D Index</t>
  </si>
  <si>
    <t>ProviderSOUTH TEES HOSPITALS NHS FOUNDATION TRUST (RTR)Hip ReplacementEQ-5D Index</t>
  </si>
  <si>
    <t>ProviderSHREWSBURY AND TELFORD HOSPITAL NHS TRUST (RXW)Hip ReplacementEQ-5D Index</t>
  </si>
  <si>
    <t>ProviderSHERWOOD FOREST HOSPITALS NHS FOUNDATION TRUST (RK5)Hip ReplacementEQ-5D Index</t>
  </si>
  <si>
    <t>ProviderSHEPTON MALLET NHS TREATMENT CENTRE (NTPH1)Hip ReplacementEQ-5D Index</t>
  </si>
  <si>
    <t>ProviderSHEPTON MALLET NHS TREATMENT CENTRE (NTC01)Hip ReplacementEQ-5D Index</t>
  </si>
  <si>
    <t>ProviderSHEFFIELD TEACHING HOSPITALS NHS FOUNDATION TRUST (RHQ)Hip ReplacementEQ-5D Index</t>
  </si>
  <si>
    <t>ProviderSANDWELL AND WEST BIRMINGHAM HOSPITALS NHS TRUST (RXK)Hip ReplacementEQ-5D Index</t>
  </si>
  <si>
    <t>ProviderSALISBURY NHS FOUNDATION TRUST (RNZ)Hip ReplacementEQ-5D Index</t>
  </si>
  <si>
    <t>ProviderSALFORD ROYAL NHS FOUNDATION TRUST (RM3)Hip ReplacementEQ-5D Index</t>
  </si>
  <si>
    <t>ProviderROYAL UNITED HOSPITALS BATH NHS FOUNDATION TRUST (RD1)Hip ReplacementEQ-5D Index</t>
  </si>
  <si>
    <t>ProviderROYAL SURREY COUNTY HOSPITAL NHS FOUNDATION TRUST (RA2)Hip ReplacementEQ-5D Index</t>
  </si>
  <si>
    <t>ProviderROYAL LIVERPOOL AND BROADGREEN UNIVERSITY HOSPITALS NHS TRUST (RQ6)Hip ReplacementEQ-5D Index</t>
  </si>
  <si>
    <t>ProviderROYAL FREE LONDON NHS FOUNDATION TRUST (RAL)Hip ReplacementEQ-5D Index</t>
  </si>
  <si>
    <t>ProviderROYAL DEVON AND EXETER NHS FOUNDATION TRUST (RH8)Hip ReplacementEQ-5D Index</t>
  </si>
  <si>
    <t>ProviderSPIRE CHESHIRE HOSPITAL (NT324)Hip ReplacementEQ-5D Index</t>
  </si>
  <si>
    <t>ProviderSPIRE CAMBRIDGE LEA HOSPITAL (NT317)Hip ReplacementEQ-5D Index</t>
  </si>
  <si>
    <t>ProviderSPIRE BRISTOL HOSPITAL (NT302)Hip ReplacementEQ-5D Index</t>
  </si>
  <si>
    <t>ProviderROYAL NATIONAL ORTHOPAEDIC HOSPITAL NHS TRUST (RAN)Hip ReplacementEQ-5D Index</t>
  </si>
  <si>
    <t>ProviderSPIRE ALEXANDRA HOSPITAL (NT312)Hip ReplacementEQ-5D Index</t>
  </si>
  <si>
    <t>ProviderSOUTHPORT AND ORMSKIRK HOSPITAL NHS TRUST (RVY)Hip ReplacementEQ-5D Index</t>
  </si>
  <si>
    <t>ProviderSOUTHEND UNIVERSITY HOSPITAL NHS FOUNDATION TRUST (RAJ)Hip ReplacementEQ-5D Index</t>
  </si>
  <si>
    <t>ProviderSOUTHAMPTON NHS TREATMENT CENTRE (NTP11)Hip ReplacementEQ-5D Index</t>
  </si>
  <si>
    <t>ProviderSOUTH WARWICKSHIRE NHS FOUNDATION TRUST (RJC)Hip ReplacementEQ-5D Index</t>
  </si>
  <si>
    <t>ProviderSPIRE FYLDE COAST HOSPITAL (NT347)Hip ReplacementEQ-5D Index</t>
  </si>
  <si>
    <t>ProviderSPIRE ELLAND HOSPITAL (NT348)Hip ReplacementEQ-5D Index</t>
  </si>
  <si>
    <t>ProviderSPIRE DUNEDIN HOSPITAL (NT344)Hip ReplacementEQ-5D Index</t>
  </si>
  <si>
    <t>ProviderSPIRE CLARE PARK HOSPITAL (NT345)Hip ReplacementEQ-5D Index</t>
  </si>
  <si>
    <t>ProviderSPIRE BUSHEY HOSPITAL (NT315)Hip ReplacementEQ-5D Index</t>
  </si>
  <si>
    <t>ProviderSPIRE GATWICK PARK HOSPITAL (NT308)Hip ReplacementEQ-5D Index</t>
  </si>
  <si>
    <t>ProviderBMI - GORING HALL HOSPITAL (NT417)Hip ReplacementEQ-5D Index</t>
  </si>
  <si>
    <t>ProviderNUFFIELD HEALTH, PLYMOUTH HOSPITAL (NT233)Hip ReplacementEQ-5D Index</t>
  </si>
  <si>
    <t>ProviderNUFFIELD HEALTH, NORTH STAFFORDSHIRE HOSPITAL (NT230)Hip ReplacementEQ-5D Index</t>
  </si>
  <si>
    <t>ProviderNUFFIELD HEALTH, NEWCASTLE UPON TYNE HOSPITAL (NT229)Hip ReplacementEQ-5D Index</t>
  </si>
  <si>
    <t>ProviderNUFFIELD HEALTH, LEICESTER HOSPITAL (NT226)Hip ReplacementEQ-5D Index</t>
  </si>
  <si>
    <t>ProviderNUFFIELD HEALTH, LEEDS HOSPITAL (NT225)Hip ReplacementEQ-5D Index</t>
  </si>
  <si>
    <t>ProviderNUFFIELD HEALTH, IPSWICH HOSPITAL (NT222)Hip ReplacementEQ-5D Index</t>
  </si>
  <si>
    <t>ProviderTHE ROYAL WOLVERHAMPTON NHS TRUST (RL4)Hip ReplacementEQ-5D Index</t>
  </si>
  <si>
    <t>ProviderTHE ROYAL ORTHOPAEDIC HOSPITAL NHS FOUNDATION TRUST (RRJ)Hip ReplacementEQ-5D Index</t>
  </si>
  <si>
    <t>ProviderBURTON HOSPITALS NHS FOUNDATION TRUST (RJF)Hip ReplacementEQ-5D Index</t>
  </si>
  <si>
    <t>ProviderBUCKINGHAMSHIRE HEALTHCARE NHS TRUST (RXQ)Hip ReplacementEQ-5D Index</t>
  </si>
  <si>
    <t>ProviderBRIGHTON AND SUSSEX UNIVERSITY HOSPITALS NHS TRUST (RXH)Hip ReplacementEQ-5D Index</t>
  </si>
  <si>
    <t>ProviderBRAINTREE COMMUNITY HOSPITAL (NNQ01)Hip ReplacementEQ-5D Index</t>
  </si>
  <si>
    <t>ProviderBRADFORD TEACHING HOSPITALS NHS FOUNDATION TRUST (RAE)Hip ReplacementEQ-5D Index</t>
  </si>
  <si>
    <t>ProviderBOLTON NHS FOUNDATION TRUST (RMC)Hip ReplacementEQ-5D Index</t>
  </si>
  <si>
    <t>ProviderBMI WOODLANDS HOSPITAL (NT457)Hip ReplacementEQ-5D Index</t>
  </si>
  <si>
    <t>ProviderBMI THE LINCOLN HOSPITAL (NT450)Hip ReplacementEQ-5D Index</t>
  </si>
  <si>
    <t>ProviderBMI THE LANCASTER HOSPITAL (NT449)Hip ReplacementEQ-5D Index</t>
  </si>
  <si>
    <t>ProviderBMI THE HUDDERSFIELD HOSPITAL (NT448)Hip ReplacementEQ-5D Index</t>
  </si>
  <si>
    <t>ProviderNUFFIELD HEALTH, HAYWARDS HEATH HOSPITAL (NT218)Hip ReplacementEQ-5D Index</t>
  </si>
  <si>
    <t>ProviderNUFFIELD HEALTH, EXETER HOSPITAL (NT215)Hip ReplacementEQ-5D Index</t>
  </si>
  <si>
    <t>ProviderNUFFIELD HEALTH, HEREFORD HOSPITAL (NT219)Hip ReplacementEQ-5D Index</t>
  </si>
  <si>
    <t>ProviderBMI THE EDGBASTON HOSPITAL (NT445)Hip ReplacementEQ-5D Index</t>
  </si>
  <si>
    <t>ProviderNUFFIELD HEALTH, CHICHESTER HOSPITAL (NT212)Hip ReplacementEQ-5D Index</t>
  </si>
  <si>
    <t>ProviderNUFFIELD HEALTH, DERBY HOSPITAL (NT213)Hip ReplacementEQ-5D Index</t>
  </si>
  <si>
    <t>ProviderBMI THE DUCHY HOSPITAL (NT447)Hip ReplacementEQ-5D Index</t>
  </si>
  <si>
    <t>ProviderBMI THE CAVELL HOSPITAL (NT451)Hip ReplacementEQ-5D Index</t>
  </si>
  <si>
    <t>ProviderBMI ST EDMUNDS HOSPITAL (NT446)Hip ReplacementEQ-5D Index</t>
  </si>
  <si>
    <t>ProviderBMI - THE SLOANE HOSPITAL (NT437)Hip ReplacementEQ-5D Index</t>
  </si>
  <si>
    <t>ProviderBMI MOUNT ALVERNIA HOSPITAL (NT455)Hip ReplacementEQ-5D Index</t>
  </si>
  <si>
    <t>ProviderBMI GISBURNE PARK HOSPITAL (NT497)Hip ReplacementEQ-5D Index</t>
  </si>
  <si>
    <t>ProviderBMI - THREE SHIRES HOSPITAL (NT441)Hip ReplacementEQ-5D Index</t>
  </si>
  <si>
    <t>ProviderBMI - THORNBURY HOSPITAL (NT440)Hip ReplacementEQ-5D Index</t>
  </si>
  <si>
    <t>ProviderBMI - THE WINTERBOURNE HOSPITAL (NT443)Hip ReplacementEQ-5D Index</t>
  </si>
  <si>
    <t>ProviderBMI - THE SOUTH CHESHIRE PRIVATE HOSPITAL (NT439)Hip ReplacementEQ-5D Index</t>
  </si>
  <si>
    <t>ProviderBMI - THE SHELBURNE HOSPITAL (NT435)Hip ReplacementEQ-5D Index</t>
  </si>
  <si>
    <t>ProviderBMI - THE PRIORY HOSPITAL (NT429)Hip ReplacementEQ-5D Index</t>
  </si>
  <si>
    <t>NT429</t>
  </si>
  <si>
    <t>BMI - THE PRIORY HOSPITAL (NT429)</t>
  </si>
  <si>
    <t>ProviderBMI - THE SOMERFIELD HOSPITAL (NT438)Hip ReplacementEQ-5D Index</t>
  </si>
  <si>
    <t>ProviderBMI - THE SAXON CLINIC (NT434)Hip ReplacementEQ-5D Index</t>
  </si>
  <si>
    <t>ProviderBMI - THE SANDRINGHAM HOSPITAL (NT432)Hip ReplacementEQ-5D Index</t>
  </si>
  <si>
    <t>ProviderBMI - THE RUNNYMEDE HOSPITAL (NT431)Hip ReplacementEQ-5D Index</t>
  </si>
  <si>
    <t>ProviderBMI - THE RIDGEWAY HOSPITAL (NT430)Hip ReplacementEQ-5D Index</t>
  </si>
  <si>
    <t>ProviderBMI - THE PRINCESS MARGARET HOSPITAL (NT428)Hip ReplacementEQ-5D Index</t>
  </si>
  <si>
    <t>ProviderBMI - THE PARK HOSPITAL (NT427)Hip ReplacementEQ-5D Index</t>
  </si>
  <si>
    <t>ProviderBMI - THE MERIDEN HOSPITAL (NT424)Hip ReplacementEQ-5D Index</t>
  </si>
  <si>
    <t>ProviderBMI - THE MANOR HOSPITAL (NT423)Hip ReplacementEQ-5D Index</t>
  </si>
  <si>
    <t>ProviderPARK HILL HOSPITAL (NVC14)Hip ReplacementEQ-5D Index</t>
  </si>
  <si>
    <t>ProviderONE HEALTH GROUP CLINIC - THORNBURY (NTX11)Hip ReplacementEQ-5D Index</t>
  </si>
  <si>
    <t>ProviderONE HEALTH GROUP CLINIC - CLAREMONT (NTX12)Hip ReplacementEQ-5D Index</t>
  </si>
  <si>
    <t>ProviderOAKS HOSPITAL (NVC13)Hip ReplacementEQ-5D Index</t>
  </si>
  <si>
    <t>ProviderOAKLANDS HOSPITAL (NVC12)Hip ReplacementEQ-5D Index</t>
  </si>
  <si>
    <t>ProviderNUFFIELD HOSPITAL OXFORD (THE MANOR) (NT244)Hip ReplacementEQ-5D Index</t>
  </si>
  <si>
    <t>ProviderNUFFIELD HEALTH, YORK HOSPITAL (NT245)Hip ReplacementEQ-5D Index</t>
  </si>
  <si>
    <t>ProviderNUFFIELD HEALTH, WOLVERHAMPTON HOSPITAL (NT242)Hip ReplacementEQ-5D Index</t>
  </si>
  <si>
    <t>ProviderNUFFIELD HEALTH, WOKING HOSPITAL (NT241)Hip ReplacementEQ-5D Index</t>
  </si>
  <si>
    <t>ProviderNUFFIELD HEALTH, WESSEX HOSPITAL (NT214)Hip ReplacementEQ-5D Index</t>
  </si>
  <si>
    <t>ProviderNUFFIELD HEALTH, WARWICKSHIRE HOSPITAL (NT224)Hip ReplacementEQ-5D Index</t>
  </si>
  <si>
    <t>ProviderNUFFIELD HEALTH, TUNBRIDGE WELLS HOSPITAL (NT239)Hip ReplacementEQ-5D Index</t>
  </si>
  <si>
    <t>ProviderNUFFIELD HEALTH, THE GROSVENOR HOSPITAL, CHESTER (NT210)Hip ReplacementEQ-5D Index</t>
  </si>
  <si>
    <t>ProviderNUFFIELD HEALTH, TEES HOSPITAL (NT237)Hip ReplacementEQ-5D Index</t>
  </si>
  <si>
    <t>ProviderNUFFIELD HEALTH, TAUNTON HOSPITAL (NT238)Hip ReplacementEQ-5D Index</t>
  </si>
  <si>
    <t>ProviderNUFFIELD HEALTH, SHREWSBURY HOSPITAL (NT235)Hip ReplacementEQ-5D Index</t>
  </si>
  <si>
    <t>ProviderRENACRES HOSPITAL (NVC16)Hip ReplacementEQ-5D Index</t>
  </si>
  <si>
    <t>ProviderPORTSMOUTH HOSPITALS NHS TRUST (RHU)Hip ReplacementEQ-5D Index</t>
  </si>
  <si>
    <t>ProviderPENINSULA NHS TREATMENT CENTRE (NTPH5)Hip ReplacementEQ-5D Index</t>
  </si>
  <si>
    <t>ProviderPLYMOUTH HOSPITALS NHS TRUST (RK9)Hip ReplacementEQ-5D Index</t>
  </si>
  <si>
    <t>ProviderPINEHILL HOSPITAL (NVC15)Hip ReplacementEQ-5D Index</t>
  </si>
  <si>
    <t>ProviderPETERBOROUGH AND STAMFORD HOSPITALS NHS FOUNDATION TRUST (RGN)Hip ReplacementEQ-5D Index</t>
  </si>
  <si>
    <t>ProviderPENINSULA NHS TREATMENT CENTRE (NTC05)Hip ReplacementEQ-5D Index</t>
  </si>
  <si>
    <t>ProviderORTHOPAEDICS &amp; SPINE SPECIALIST HOSPITAL SITE (NQM01)Hip ReplacementEQ-5D Index</t>
  </si>
  <si>
    <t>ProviderPENNINE ACUTE HOSPITALS NHS TRUST (RW6)Hip ReplacementEQ-5D Index</t>
  </si>
  <si>
    <t>ProviderSPIRE HULL AND EAST RIDING HOSPITAL (NT351)Hip ReplacementEQ-5D Index</t>
  </si>
  <si>
    <t>ProviderSPIRE HARTSWOOD HOSPITAL (NT319)Hip ReplacementEQ-5D Index</t>
  </si>
  <si>
    <t>ProviderROWLEY HALL HOSPITAL (NVC17)Hip ReplacementEQ-5D Index</t>
  </si>
  <si>
    <t>ProviderRIVERS HOSPITAL (NVC19)Hip ReplacementEQ-5D Index</t>
  </si>
  <si>
    <t>ProviderSPIRE LIVERPOOL HOSPITAL (NT337)Hip ReplacementEQ-5D Index</t>
  </si>
  <si>
    <t>ProviderSPIRE HARPENDEN HOSPITAL (NT316)Hip ReplacementEQ-5D Index</t>
  </si>
  <si>
    <t>ProviderSPIRE LEICESTER HOSPITAL (NT322)Hip ReplacementEQ-5D Index</t>
  </si>
  <si>
    <t>ProviderSPIRE LEEDS HOSPITAL (NT332)Hip ReplacementEQ-5D Index</t>
  </si>
  <si>
    <t>ProviderSPRINGFIELD HOSPITAL (NVC18)Hip ReplacementEQ-5D Index</t>
  </si>
  <si>
    <t>ProviderSPIRE WELLESLEY HOSPITAL (NT313)Hip ReplacementEQ-5D Index</t>
  </si>
  <si>
    <t>ProviderSPIRE WASHINGTON HOSPITAL (NT333)Hip ReplacementEQ-5D Index</t>
  </si>
  <si>
    <t>ProviderSPIRE TUNBRIDGE WELLS HOSPITAL (NT310)Hip ReplacementEQ-5D Index</t>
  </si>
  <si>
    <t>ProviderSPIRE THAMES VALLEY HOSPITAL (NT343)Hip ReplacementEQ-5D Index</t>
  </si>
  <si>
    <t>ProviderSPIRE SUSSEX HOSPITAL (NT309)Hip ReplacementEQ-5D Index</t>
  </si>
  <si>
    <t>ProviderSPIRE ST SAVIOURS HOSPITAL (NT346)Hip ReplacementEQ-5D Index</t>
  </si>
  <si>
    <t>ProviderSPIRE SOUTH BANK HOSPITAL (NT301)Hip ReplacementEQ-5D Index</t>
  </si>
  <si>
    <t>ProviderSPIRE RODING HOSPITAL (NT314)Hip ReplacementEQ-5D Index</t>
  </si>
  <si>
    <t>ProviderSPIRE NORWICH HOSPITAL (NT318)Hip ReplacementEQ-5D Index</t>
  </si>
  <si>
    <t>ProviderSPIRE REGENCY HOSPITAL (NT339)Hip ReplacementEQ-5D Index</t>
  </si>
  <si>
    <t>ProviderSPIRE PORTSMOUTH HOSPITAL (NT305)Hip ReplacementEQ-5D Index</t>
  </si>
  <si>
    <t>ProviderSPIRE PARKWAY HOSPITAL (NT320)Hip ReplacementEQ-5D Index</t>
  </si>
  <si>
    <t>ProviderSPIRE MURRAYFIELD HOSPITAL (NT325)Hip ReplacementEQ-5D Index</t>
  </si>
  <si>
    <t>ProviderSPIRE MONTEFIORE HOSPITAL (NT364)Hip ReplacementEQ-5D Index</t>
  </si>
  <si>
    <t>ProviderSPIRE METHLEY PARK HOSPITAL (NT350)Hip ReplacementEQ-5D Index</t>
  </si>
  <si>
    <t>ProviderSPIRE MANCHESTER HOSPITAL (NT327)Hip ReplacementEQ-5D Index</t>
  </si>
  <si>
    <t>ProviderTAUNTON AND SOMERSET NHS FOUNDATION TRUST (RBA)Hip ReplacementEQ-5D Index</t>
  </si>
  <si>
    <t>ProviderTAMESIDE HOSPITAL NHS FOUNDATION TRUST (RMP)Hip ReplacementEQ-5D Index</t>
  </si>
  <si>
    <t>ProviderSURREY AND SUSSEX HEALTHCARE NHS TRUST (RTP)Hip ReplacementEQ-5D Index</t>
  </si>
  <si>
    <t>ProviderSTOCKPORT NHS FOUNDATION TRUST (RWJ)Hip ReplacementEQ-5D Index</t>
  </si>
  <si>
    <t>ProviderSPIRE SOUTHAMPTON HOSPITAL (NT304)Hip ReplacementEQ-5D Index</t>
  </si>
  <si>
    <t>ProviderST HUGH'S HOSPITAL (NTE02)Hip ReplacementEQ-5D Index</t>
  </si>
  <si>
    <t>ProviderST HELENS AND KNOWSLEY HOSPITALS NHS TRUST (RBN)Hip ReplacementEQ-5D Index</t>
  </si>
  <si>
    <t>ProviderST GEORGE'S UNIVERSITY HOSPITALS NHS FOUNDATION TRUST (RJ7)Hip ReplacementEQ-5D Index</t>
  </si>
  <si>
    <t>ProviderTHE DUDLEY GROUP NHS FOUNDATION TRUST (RNA)Hip ReplacementEQ-5D Index</t>
  </si>
  <si>
    <t>ProviderTHE BERKSHIRE INDEPENDENT HOSPITAL (NVC02)Hip ReplacementEQ-5D Index</t>
  </si>
  <si>
    <t>ProviderTHE HILLINGDON HOSPITALS NHS FOUNDATION TRUST (RAS)Hip ReplacementEQ-5D Index</t>
  </si>
  <si>
    <t>ProviderCOLCHESTER HOSPITAL UNIVERSITY NHS FOUNDATION TRUST (RDE)Hip ReplacementEQ-5D Index</t>
  </si>
  <si>
    <t>ProviderCLIFTON PARK HOSPITAL (NVC28)Hip ReplacementEQ-5D Index</t>
  </si>
  <si>
    <t>ProviderCLINICENTA SURGICENTRE (NW931)Hip ReplacementEQ-5D Index</t>
  </si>
  <si>
    <t>ProviderCITY HOSPITALS SUNDERLAND NHS FOUNDATION TRUST (RLN)Hip ReplacementEQ-5D Index</t>
  </si>
  <si>
    <t>ProviderCIRCLE BATH HOSPITAL (NV302)Hip ReplacementEQ-5D Index</t>
  </si>
  <si>
    <t>ProviderCIRCLE READING HOSPITAL (NV323)Hip ReplacementEQ-5D Index</t>
  </si>
  <si>
    <t>ProviderCALDERDALE AND HUDDERSFIELD NHS FOUNDATION TRUST (RWY)Hip ReplacementEQ-5D Index</t>
  </si>
  <si>
    <t>ProviderCHESTERFIELD ROYAL HOSPITAL NHS FOUNDATION TRUST (RFS)Hip ReplacementEQ-5D Index</t>
  </si>
  <si>
    <t>ProviderCHELSEA AND WESTMINSTER HOSPITAL NHS FOUNDATION TRUST (RQM)Hip ReplacementEQ-5D Index</t>
  </si>
  <si>
    <t>ProviderCENTRAL MANCHESTER UNIVERSITY HOSPITALS NHS FOUNDATION TRUST (RW3)Hip ReplacementEQ-5D Index</t>
  </si>
  <si>
    <t>ProviderCAMBRIDGE UNIVERSITY HOSPITALS NHS FOUNDATION TRUST (RGT)Hip ReplacementEQ-5D Index</t>
  </si>
  <si>
    <t>ProviderCAMBRIDGE UNIVERSITY HOSPITALS NHS FOUNDATION TRUST (RGT)Hip ReplacementOxford Hip Score</t>
  </si>
  <si>
    <t>ProviderCENTRAL MANCHESTER UNIVERSITY HOSPITALS NHS FOUNDATION TRUST (RW3)Hip ReplacementOxford Hip Score</t>
  </si>
  <si>
    <t>ProviderCHELSEA AND WESTMINSTER HOSPITAL NHS FOUNDATION TRUST (RQM)Hip ReplacementOxford Hip Score</t>
  </si>
  <si>
    <t>ProviderCHESTERFIELD ROYAL HOSPITAL NHS FOUNDATION TRUST (RFS)Hip ReplacementOxford Hip Score</t>
  </si>
  <si>
    <t>ProviderCALDERDALE AND HUDDERSFIELD NHS FOUNDATION TRUST (RWY)Hip ReplacementOxford Hip Score</t>
  </si>
  <si>
    <t>ProviderCIRCLE READING HOSPITAL (NV323)Hip ReplacementOxford Hip Score</t>
  </si>
  <si>
    <t>ProviderCIRCLE BATH HOSPITAL (NV302)Hip ReplacementOxford Hip Score</t>
  </si>
  <si>
    <t>ProviderCITY HOSPITALS SUNDERLAND NHS FOUNDATION TRUST (RLN)Hip ReplacementOxford Hip Score</t>
  </si>
  <si>
    <t>ProviderCLINICENTA SURGICENTRE (NW931)Hip ReplacementOxford Hip Score</t>
  </si>
  <si>
    <t>ProviderCLIFTON PARK HOSPITAL (NVC28)Hip ReplacementOxford Hip Score</t>
  </si>
  <si>
    <t>ProviderCOLCHESTER HOSPITAL UNIVERSITY NHS FOUNDATION TRUST (RDE)Hip ReplacementOxford Hip Score</t>
  </si>
  <si>
    <t>ProviderTHE HILLINGDON HOSPITALS NHS FOUNDATION TRUST (RAS)Hip ReplacementOxford Hip Score</t>
  </si>
  <si>
    <t>ProviderTHE BERKSHIRE INDEPENDENT HOSPITAL (NVC02)Hip ReplacementOxford Hip Score</t>
  </si>
  <si>
    <t>ProviderTHE DUDLEY GROUP NHS FOUNDATION TRUST (RNA)Hip ReplacementOxford Hip Score</t>
  </si>
  <si>
    <t>ProviderST GEORGE'S UNIVERSITY HOSPITALS NHS FOUNDATION TRUST (RJ7)Hip ReplacementOxford Hip Score</t>
  </si>
  <si>
    <t>ProviderST HELENS AND KNOWSLEY HOSPITALS NHS TRUST (RBN)Hip ReplacementOxford Hip Score</t>
  </si>
  <si>
    <t>ProviderST HUGH'S HOSPITAL (NTE02)Hip ReplacementOxford Hip Score</t>
  </si>
  <si>
    <t>ProviderSPIRE SOUTHAMPTON HOSPITAL (NT304)Hip ReplacementOxford Hip Score</t>
  </si>
  <si>
    <t>ProviderSTOCKPORT NHS FOUNDATION TRUST (RWJ)Hip ReplacementOxford Hip Score</t>
  </si>
  <si>
    <t>ProviderSURREY AND SUSSEX HEALTHCARE NHS TRUST (RTP)Hip ReplacementOxford Hip Score</t>
  </si>
  <si>
    <t>ProviderTAMESIDE HOSPITAL NHS FOUNDATION TRUST (RMP)Hip ReplacementOxford Hip Score</t>
  </si>
  <si>
    <t>ProviderTAUNTON AND SOMERSET NHS FOUNDATION TRUST (RBA)Hip ReplacementOxford Hip Score</t>
  </si>
  <si>
    <t>ProviderSPIRE MANCHESTER HOSPITAL (NT327)Hip ReplacementOxford Hip Score</t>
  </si>
  <si>
    <t>ProviderSPIRE METHLEY PARK HOSPITAL (NT350)Hip ReplacementOxford Hip Score</t>
  </si>
  <si>
    <t>ProviderSPIRE MONTEFIORE HOSPITAL (NT364)Hip ReplacementOxford Hip Score</t>
  </si>
  <si>
    <t>ProviderSPIRE MURRAYFIELD HOSPITAL (NT325)Hip ReplacementOxford Hip Score</t>
  </si>
  <si>
    <t>ProviderSPIRE PARKWAY HOSPITAL (NT320)Hip ReplacementOxford Hip Score</t>
  </si>
  <si>
    <t>ProviderSPIRE PORTSMOUTH HOSPITAL (NT305)Hip ReplacementOxford Hip Score</t>
  </si>
  <si>
    <t>ProviderSPIRE REGENCY HOSPITAL (NT339)Hip ReplacementOxford Hip Score</t>
  </si>
  <si>
    <t>ProviderSPIRE NORWICH HOSPITAL (NT318)Hip ReplacementOxford Hip Score</t>
  </si>
  <si>
    <t>ProviderSPIRE RODING HOSPITAL (NT314)Hip ReplacementOxford Hip Score</t>
  </si>
  <si>
    <t>ProviderSPIRE SOUTH BANK HOSPITAL (NT301)Hip ReplacementOxford Hip Score</t>
  </si>
  <si>
    <t>ProviderSPIRE ST SAVIOURS HOSPITAL (NT346)Hip ReplacementOxford Hip Score</t>
  </si>
  <si>
    <t>ProviderSPIRE SUSSEX HOSPITAL (NT309)Hip ReplacementOxford Hip Score</t>
  </si>
  <si>
    <t>ProviderSPIRE THAMES VALLEY HOSPITAL (NT343)Hip ReplacementOxford Hip Score</t>
  </si>
  <si>
    <t>ProviderSPIRE TUNBRIDGE WELLS HOSPITAL (NT310)Hip ReplacementOxford Hip Score</t>
  </si>
  <si>
    <t>ProviderSPIRE WASHINGTON HOSPITAL (NT333)Hip ReplacementOxford Hip Score</t>
  </si>
  <si>
    <t>ProviderSPIRE WELLESLEY HOSPITAL (NT313)Hip ReplacementOxford Hip Score</t>
  </si>
  <si>
    <t>ProviderSPRINGFIELD HOSPITAL (NVC18)Hip ReplacementOxford Hip Score</t>
  </si>
  <si>
    <t>ProviderSPIRE LEEDS HOSPITAL (NT332)Hip ReplacementOxford Hip Score</t>
  </si>
  <si>
    <t>ProviderSPIRE HARPENDEN HOSPITAL (NT316)Hip ReplacementOxford Hip Score</t>
  </si>
  <si>
    <t>ProviderSPIRE LIVERPOOL HOSPITAL (NT337)Hip ReplacementOxford Hip Score</t>
  </si>
  <si>
    <t>ProviderRIVERS HOSPITAL (NVC19)Hip ReplacementOxford Hip Score</t>
  </si>
  <si>
    <t>ProviderROWLEY HALL HOSPITAL (NVC17)Hip ReplacementOxford Hip Score</t>
  </si>
  <si>
    <t>ProviderSPIRE HARTSWOOD HOSPITAL (NT319)Hip ReplacementOxford Hip Score</t>
  </si>
  <si>
    <t>ProviderSPIRE HULL AND EAST RIDING HOSPITAL (NT351)Hip ReplacementOxford Hip Score</t>
  </si>
  <si>
    <t>ProviderPENNINE ACUTE HOSPITALS NHS TRUST (RW6)Hip ReplacementOxford Hip Score</t>
  </si>
  <si>
    <t>ProviderORTHOPAEDICS &amp; SPINE SPECIALIST HOSPITAL SITE (NQM01)Hip ReplacementOxford Hip Score</t>
  </si>
  <si>
    <t>ProviderPENINSULA NHS TREATMENT CENTRE (NTC05)Hip ReplacementOxford Hip Score</t>
  </si>
  <si>
    <t>ProviderPETERBOROUGH AND STAMFORD HOSPITALS NHS FOUNDATION TRUST (RGN)Hip ReplacementOxford Hip Score</t>
  </si>
  <si>
    <t>ProviderPINEHILL HOSPITAL (NVC15)Hip ReplacementOxford Hip Score</t>
  </si>
  <si>
    <t>ProviderPLYMOUTH HOSPITALS NHS TRUST (RK9)Hip ReplacementOxford Hip Score</t>
  </si>
  <si>
    <t>ProviderPENINSULA NHS TREATMENT CENTRE (NTPH5)Hip ReplacementOxford Hip Score</t>
  </si>
  <si>
    <t>ProviderPORTSMOUTH HOSPITALS NHS TRUST (RHU)Hip ReplacementOxford Hip Score</t>
  </si>
  <si>
    <t>ProviderRENACRES HOSPITAL (NVC16)Hip ReplacementOxford Hip Score</t>
  </si>
  <si>
    <t>ProviderNUFFIELD HEALTH, SHREWSBURY HOSPITAL (NT235)Hip ReplacementOxford Hip Score</t>
  </si>
  <si>
    <t>ProviderNUFFIELD HEALTH, TAUNTON HOSPITAL (NT238)Hip ReplacementOxford Hip Score</t>
  </si>
  <si>
    <t>ProviderNUFFIELD HEALTH, TEES HOSPITAL (NT237)Hip ReplacementOxford Hip Score</t>
  </si>
  <si>
    <t>ProviderNUFFIELD HEALTH, THE GROSVENOR HOSPITAL, CHESTER (NT210)Hip ReplacementOxford Hip Score</t>
  </si>
  <si>
    <t>ProviderNUFFIELD HEALTH, TUNBRIDGE WELLS HOSPITAL (NT239)Hip ReplacementOxford Hip Score</t>
  </si>
  <si>
    <t>ProviderNUFFIELD HEALTH, WARWICKSHIRE HOSPITAL (NT224)Hip ReplacementOxford Hip Score</t>
  </si>
  <si>
    <t>ProviderNUFFIELD HEALTH, WESSEX HOSPITAL (NT214)Hip ReplacementOxford Hip Score</t>
  </si>
  <si>
    <t>ProviderNUFFIELD HEALTH, WOKING HOSPITAL (NT241)Hip ReplacementOxford Hip Score</t>
  </si>
  <si>
    <t>ProviderNUFFIELD HEALTH, WOLVERHAMPTON HOSPITAL (NT242)Hip ReplacementOxford Hip Score</t>
  </si>
  <si>
    <t>ProviderNUFFIELD HEALTH, YORK HOSPITAL (NT245)Hip ReplacementOxford Hip Score</t>
  </si>
  <si>
    <t>ProviderNUFFIELD HOSPITAL OXFORD (THE MANOR) (NT244)Hip ReplacementOxford Hip Score</t>
  </si>
  <si>
    <t>ProviderOAKLANDS HOSPITAL (NVC12)Hip ReplacementOxford Hip Score</t>
  </si>
  <si>
    <t>ProviderOAKS HOSPITAL (NVC13)Hip ReplacementOxford Hip Score</t>
  </si>
  <si>
    <t>ProviderONE HEALTH GROUP CLINIC - CLAREMONT (NTX12)Hip ReplacementOxford Hip Score</t>
  </si>
  <si>
    <t>ProviderONE HEALTH GROUP CLINIC - THORNBURY (NTX11)Hip ReplacementOxford Hip Score</t>
  </si>
  <si>
    <t>ProviderPARK HILL HOSPITAL (NVC14)Hip ReplacementOxford Hip Score</t>
  </si>
  <si>
    <t>ProviderBMI - THE MANOR HOSPITAL (NT423)Hip ReplacementOxford Hip Score</t>
  </si>
  <si>
    <t>ProviderBMI - THE MERIDEN HOSPITAL (NT424)Hip ReplacementOxford Hip Score</t>
  </si>
  <si>
    <t>ProviderBMI - THE PARK HOSPITAL (NT427)Hip ReplacementOxford Hip Score</t>
  </si>
  <si>
    <t>ProviderBMI - THE PRINCESS MARGARET HOSPITAL (NT428)Hip ReplacementOxford Hip Score</t>
  </si>
  <si>
    <t>ProviderBMI - THE RIDGEWAY HOSPITAL (NT430)Hip ReplacementOxford Hip Score</t>
  </si>
  <si>
    <t>ProviderBMI - THE RUNNYMEDE HOSPITAL (NT431)Hip ReplacementOxford Hip Score</t>
  </si>
  <si>
    <t>ProviderBMI - THE SANDRINGHAM HOSPITAL (NT432)Hip ReplacementOxford Hip Score</t>
  </si>
  <si>
    <t>ProviderBMI - THE SAXON CLINIC (NT434)Hip ReplacementOxford Hip Score</t>
  </si>
  <si>
    <t>ProviderBMI - THE SOMERFIELD HOSPITAL (NT438)Hip ReplacementOxford Hip Score</t>
  </si>
  <si>
    <t>ProviderBMI - THE PRIORY HOSPITAL (NT429)Hip ReplacementOxford Hip Score</t>
  </si>
  <si>
    <t>ProviderBMI - THE SHELBURNE HOSPITAL (NT435)Hip ReplacementOxford Hip Score</t>
  </si>
  <si>
    <t>ProviderBMI - THE SOUTH CHESHIRE PRIVATE HOSPITAL (NT439)Hip ReplacementOxford Hip Score</t>
  </si>
  <si>
    <t>ProviderBMI - THE WINTERBOURNE HOSPITAL (NT443)Hip ReplacementOxford Hip Score</t>
  </si>
  <si>
    <t>ProviderBMI - THORNBURY HOSPITAL (NT440)Hip ReplacementOxford Hip Score</t>
  </si>
  <si>
    <t>ProviderBMI - THREE SHIRES HOSPITAL (NT441)Hip ReplacementOxford Hip Score</t>
  </si>
  <si>
    <t>ProviderBMI GISBURNE PARK HOSPITAL (NT497)Hip ReplacementOxford Hip Score</t>
  </si>
  <si>
    <t>ProviderBMI MOUNT ALVERNIA HOSPITAL (NT455)Hip ReplacementOxford Hip Score</t>
  </si>
  <si>
    <t>ProviderBMI - THE SLOANE HOSPITAL (NT437)Hip ReplacementOxford Hip Score</t>
  </si>
  <si>
    <t>ProviderBMI ST EDMUNDS HOSPITAL (NT446)Hip ReplacementOxford Hip Score</t>
  </si>
  <si>
    <t>ProviderBMI THE CAVELL HOSPITAL (NT451)Hip ReplacementOxford Hip Score</t>
  </si>
  <si>
    <t>ProviderBMI THE DUCHY HOSPITAL (NT447)Hip ReplacementOxford Hip Score</t>
  </si>
  <si>
    <t>ProviderNUFFIELD HEALTH, DERBY HOSPITAL (NT213)Hip ReplacementOxford Hip Score</t>
  </si>
  <si>
    <t>ProviderNUFFIELD HEALTH, CHICHESTER HOSPITAL (NT212)Hip ReplacementOxford Hip Score</t>
  </si>
  <si>
    <t>ProviderBMI THE EDGBASTON HOSPITAL (NT445)Hip ReplacementOxford Hip Score</t>
  </si>
  <si>
    <t>ProviderNUFFIELD HEALTH, EXETER HOSPITAL (NT215)Hip ReplacementOxford Hip Score</t>
  </si>
  <si>
    <t>ProviderNUFFIELD HEALTH, HAYWARDS HEATH HOSPITAL (NT218)Hip ReplacementOxford Hip Score</t>
  </si>
  <si>
    <t>ProviderBMI THE HUDDERSFIELD HOSPITAL (NT448)Hip ReplacementOxford Hip Score</t>
  </si>
  <si>
    <t>ProviderBMI THE LANCASTER HOSPITAL (NT449)Hip ReplacementOxford Hip Score</t>
  </si>
  <si>
    <t>ProviderBMI THE LINCOLN HOSPITAL (NT450)Hip ReplacementOxford Hip Score</t>
  </si>
  <si>
    <t>ProviderBMI WOODLANDS HOSPITAL (NT457)Hip ReplacementOxford Hip Score</t>
  </si>
  <si>
    <t>ProviderBOLTON NHS FOUNDATION TRUST (RMC)Hip ReplacementOxford Hip Score</t>
  </si>
  <si>
    <t>ProviderBRADFORD TEACHING HOSPITALS NHS FOUNDATION TRUST (RAE)Hip ReplacementOxford Hip Score</t>
  </si>
  <si>
    <t>ProviderBRAINTREE COMMUNITY HOSPITAL (NNQ01)Hip ReplacementOxford Hip Score</t>
  </si>
  <si>
    <t>ProviderBRIGHTON AND SUSSEX UNIVERSITY HOSPITALS NHS TRUST (RXH)Hip ReplacementOxford Hip Score</t>
  </si>
  <si>
    <t>ProviderBUCKINGHAMSHIRE HEALTHCARE NHS TRUST (RXQ)Hip ReplacementOxford Hip Score</t>
  </si>
  <si>
    <t>ProviderBURTON HOSPITALS NHS FOUNDATION TRUST (RJF)Hip ReplacementOxford Hip Score</t>
  </si>
  <si>
    <t>ProviderTHE ROYAL ORTHOPAEDIC HOSPITAL NHS FOUNDATION TRUST (RRJ)Hip ReplacementOxford Hip Score</t>
  </si>
  <si>
    <t>ProviderTHE ROYAL WOLVERHAMPTON NHS TRUST (RL4)Hip ReplacementOxford Hip Score</t>
  </si>
  <si>
    <t>ProviderNUFFIELD HEALTH, HEREFORD HOSPITAL (NT219)Hip ReplacementOxford Hip Score</t>
  </si>
  <si>
    <t>ProviderNUFFIELD HEALTH, IPSWICH HOSPITAL (NT222)Hip ReplacementOxford Hip Score</t>
  </si>
  <si>
    <t>ProviderNUFFIELD HEALTH, LEEDS HOSPITAL (NT225)Hip ReplacementOxford Hip Score</t>
  </si>
  <si>
    <t>ProviderNUFFIELD HEALTH, LEICESTER HOSPITAL (NT226)Hip ReplacementOxford Hip Score</t>
  </si>
  <si>
    <t>ProviderNUFFIELD HEALTH, NEWCASTLE UPON TYNE HOSPITAL (NT229)Hip ReplacementOxford Hip Score</t>
  </si>
  <si>
    <t>ProviderNUFFIELD HEALTH, NORTH STAFFORDSHIRE HOSPITAL (NT230)Hip ReplacementOxford Hip Score</t>
  </si>
  <si>
    <t>ProviderNUFFIELD HEALTH, PLYMOUTH HOSPITAL (NT233)Hip ReplacementOxford Hip Score</t>
  </si>
  <si>
    <t>ProviderSPIRE GATWICK PARK HOSPITAL (NT308)Hip ReplacementOxford Hip Score</t>
  </si>
  <si>
    <t>ProviderSPIRE BUSHEY HOSPITAL (NT315)Hip ReplacementOxford Hip Score</t>
  </si>
  <si>
    <t>ProviderSPIRE CLARE PARK HOSPITAL (NT345)Hip ReplacementOxford Hip Score</t>
  </si>
  <si>
    <t>ProviderSPIRE DUNEDIN HOSPITAL (NT344)Hip ReplacementOxford Hip Score</t>
  </si>
  <si>
    <t>ProviderSPIRE ELLAND HOSPITAL (NT348)Hip ReplacementOxford Hip Score</t>
  </si>
  <si>
    <t>ProviderSPIRE FYLDE COAST HOSPITAL (NT347)Hip ReplacementOxford Hip Score</t>
  </si>
  <si>
    <t>ProviderSOUTH WARWICKSHIRE NHS FOUNDATION TRUST (RJC)Hip ReplacementOxford Hip Score</t>
  </si>
  <si>
    <t>ProviderSOUTHAMPTON NHS TREATMENT CENTRE (NTP11)Hip ReplacementOxford Hip Score</t>
  </si>
  <si>
    <t>ProviderSOUTHEND UNIVERSITY HOSPITAL NHS FOUNDATION TRUST (RAJ)Hip ReplacementOxford Hip Score</t>
  </si>
  <si>
    <t>ProviderSOUTHPORT AND ORMSKIRK HOSPITAL NHS TRUST (RVY)Hip ReplacementOxford Hip Score</t>
  </si>
  <si>
    <t>ProviderSPIRE ALEXANDRA HOSPITAL (NT312)Hip ReplacementOxford Hip Score</t>
  </si>
  <si>
    <t>ProviderROYAL NATIONAL ORTHOPAEDIC HOSPITAL NHS TRUST (RAN)Hip ReplacementOxford Hip Score</t>
  </si>
  <si>
    <t>ProviderSPIRE BRISTOL HOSPITAL (NT302)Hip ReplacementOxford Hip Score</t>
  </si>
  <si>
    <t>ProviderSPIRE CAMBRIDGE LEA HOSPITAL (NT317)Hip ReplacementOxford Hip Score</t>
  </si>
  <si>
    <t>ProviderSPIRE CHESHIRE HOSPITAL (NT324)Hip ReplacementOxford Hip Score</t>
  </si>
  <si>
    <t>ProviderROYAL DEVON AND EXETER NHS FOUNDATION TRUST (RH8)Hip ReplacementOxford Hip Score</t>
  </si>
  <si>
    <t>ProviderROYAL FREE LONDON NHS FOUNDATION TRUST (RAL)Hip ReplacementOxford Hip Score</t>
  </si>
  <si>
    <t>ProviderROYAL LIVERPOOL AND BROADGREEN UNIVERSITY HOSPITALS NHS TRUST (RQ6)Hip ReplacementOxford Hip Score</t>
  </si>
  <si>
    <t>ProviderROYAL SURREY COUNTY HOSPITAL NHS FOUNDATION TRUST (RA2)Hip ReplacementOxford Hip Score</t>
  </si>
  <si>
    <t>ProviderROYAL UNITED HOSPITALS BATH NHS FOUNDATION TRUST (RD1)Hip ReplacementOxford Hip Score</t>
  </si>
  <si>
    <t>ProviderSALFORD ROYAL NHS FOUNDATION TRUST (RM3)Hip ReplacementOxford Hip Score</t>
  </si>
  <si>
    <t>ProviderSALISBURY NHS FOUNDATION TRUST (RNZ)Hip ReplacementOxford Hip Score</t>
  </si>
  <si>
    <t>ProviderSANDWELL AND WEST BIRMINGHAM HOSPITALS NHS TRUST (RXK)Hip ReplacementOxford Hip Score</t>
  </si>
  <si>
    <t>ProviderSHEFFIELD TEACHING HOSPITALS NHS FOUNDATION TRUST (RHQ)Hip ReplacementOxford Hip Score</t>
  </si>
  <si>
    <t>ProviderSHEPTON MALLET NHS TREATMENT CENTRE (NTC01)Hip ReplacementOxford Hip Score</t>
  </si>
  <si>
    <t>ProviderSHEPTON MALLET NHS TREATMENT CENTRE (NTPH1)Hip ReplacementOxford Hip Score</t>
  </si>
  <si>
    <t>ProviderSHERWOOD FOREST HOSPITALS NHS FOUNDATION TRUST (RK5)Hip ReplacementOxford Hip Score</t>
  </si>
  <si>
    <t>ProviderSHREWSBURY AND TELFORD HOSPITAL NHS TRUST (RXW)Hip ReplacementOxford Hip Score</t>
  </si>
  <si>
    <t>ProviderSOUTH TEES HOSPITALS NHS FOUNDATION TRUST (RTR)Hip ReplacementOxford Hip Score</t>
  </si>
  <si>
    <t>ProviderSOUTH TYNESIDE NHS FOUNDATION TRUST (RE9)Hip ReplacementOxford Hip Score</t>
  </si>
  <si>
    <t>ProviderBMI - BATH CLINIC (NT402)Hip ReplacementOxford Hip Score</t>
  </si>
  <si>
    <t>ProviderBMI - BISHOPS WOOD (NT405)Hip ReplacementOxford Hip Score</t>
  </si>
  <si>
    <t>ProviderBMI - CHELSFIELD PARK HOSPITAL (NT409)Hip ReplacementOxford Hip Score</t>
  </si>
  <si>
    <t>ProviderBMI - FAWKHAM MANOR HOSPITAL (NT414)Hip ReplacementOxford Hip Score</t>
  </si>
  <si>
    <t>ProviderASPEN - CLAREMONT HOSPITAL (NYW04)Hip ReplacementOxford Hip Score</t>
  </si>
  <si>
    <t>ProviderASPEN - HIGHGATE HOSPITAL (NYW03)Hip ReplacementOxford Hip Score</t>
  </si>
  <si>
    <t>ProviderASPEN - HOLLY HOUSE HOSPITAL (NYW01)Hip ReplacementOxford Hip Score</t>
  </si>
  <si>
    <t>ProviderBARKING, HAVERING AND REDBRIDGE UNIVERSITY HOSPITALS NHS TRUST (RF4)Hip ReplacementOxford Hip Score</t>
  </si>
  <si>
    <t>ProviderBARNET AND CHASE FARM HOSPITALS NHS TRUST (RVL)Hip ReplacementOxford Hip Score</t>
  </si>
  <si>
    <t>ProviderYORK TEACHING HOSPITAL NHS FOUNDATION TRUST (RCB)Hip ReplacementOxford Hip Score</t>
  </si>
  <si>
    <t>ProviderWYE VALLEY NHS TRUST (RLQ)Hip ReplacementOxford Hip Score</t>
  </si>
  <si>
    <t>ProviderYEOVIL DISTRICT HOSPITAL NHS FOUNDATION TRUST (RA4)Hip ReplacementOxford Hip Score</t>
  </si>
  <si>
    <t>ProviderLEWISHAM AND GREENWICH NHS TRUST (RJ2)Hip ReplacementOxford Hip Score</t>
  </si>
  <si>
    <t>ProviderWESTON AREA HEALTH NHS TRUST (RA3)Hip ReplacementOxford Hip Score</t>
  </si>
  <si>
    <t>ProviderWINFIELD HOSPITAL (NVC22)Hip ReplacementOxford Hip Score</t>
  </si>
  <si>
    <t>ProviderWIRRAL UNIVERSITY TEACHING HOSPITAL NHS FOUNDATION TRUST (RBL)Hip ReplacementOxford Hip Score</t>
  </si>
  <si>
    <t>ProviderWOODLAND HOSPITAL (NVC23)Hip ReplacementOxford Hip Score</t>
  </si>
  <si>
    <t>ProviderWORCESTERSHIRE ACUTE HOSPITALS NHS TRUST (RWP)Hip ReplacementOxford Hip Score</t>
  </si>
  <si>
    <t>ProviderWRIGHTINGTON, WIGAN AND LEIGH NHS FOUNDATION TRUST (RRF)Hip ReplacementOxford Hip Score</t>
  </si>
  <si>
    <t>ProviderBARNSLEY HOSPITAL NHS FOUNDATION TRUST (RFF)Hip ReplacementOxford Hip Score</t>
  </si>
  <si>
    <t>ProviderBARTS HEALTH NHS TRUST (R1H)Hip ReplacementOxford Hip Score</t>
  </si>
  <si>
    <t>ProviderBASILDON AND THURROCK UNIVERSITY HOSPITALS NHS FOUNDATION TRUST (RDD)Hip ReplacementOxford Hip Score</t>
  </si>
  <si>
    <t>ProviderBEDFORD HOSPITAL NHS TRUST (RC1)Hip ReplacementOxford Hip Score</t>
  </si>
  <si>
    <t>ProviderBLACKPOOL TEACHING HOSPITALS NHS FOUNDATION TRUST (RXL)Hip ReplacementOxford Hip Score</t>
  </si>
  <si>
    <t>ProviderBARLBOROUGH NHS TREATMENT CENTRE (NTP13)Hip ReplacementOxford Hip Score</t>
  </si>
  <si>
    <t>ProviderBENENDEN HOSPITAL (NWF01)Hip ReplacementOxford Hip Score</t>
  </si>
  <si>
    <t>ProviderKING'S COLLEGE HOSPITAL NHS FOUNDATION TRUST (RJZ)Hip ReplacementOxford Hip Score</t>
  </si>
  <si>
    <t>ProviderLANCASHIRE TEACHING HOSPITALS NHS FOUNDATION TRUST (RXN)Hip ReplacementOxford Hip Score</t>
  </si>
  <si>
    <t>ProviderBMI - HENDON HOSPITAL (NT416)Hip ReplacementOxford Hip Score</t>
  </si>
  <si>
    <t>ProviderBMI - SARUM ROAD HOSPITAL (NT433)Hip ReplacementOxford Hip Score</t>
  </si>
  <si>
    <t>ProviderBMI - SHIRLEY OAKS HOSPITAL (NT436)Hip ReplacementOxford Hip Score</t>
  </si>
  <si>
    <t>ProviderBMI - THE ALEXANDRA HOSPITAL (NT401)Hip ReplacementOxford Hip Score</t>
  </si>
  <si>
    <t>ProviderBMI - THE BEARDWOOD HOSPITAL (NT403)Hip ReplacementOxford Hip Score</t>
  </si>
  <si>
    <t>ProviderBMI - THE BEAUMONT HOSPITAL (NT404)Hip ReplacementOxford Hip Score</t>
  </si>
  <si>
    <t>ProviderBMI - THE BLACKHEATH HOSPITAL (NT406)Hip ReplacementOxford Hip Score</t>
  </si>
  <si>
    <t>ProviderBMI - THE CHAUCER HOSPITAL (NT408)Hip ReplacementOxford Hip Score</t>
  </si>
  <si>
    <t>ProviderBMI - THE CHILTERN HOSPITAL (NT410)Hip ReplacementOxford Hip Score</t>
  </si>
  <si>
    <t>ProviderBMI - THE CLEMENTINE CHURCHILL HOSPITAL (NT411)Hip ReplacementOxford Hip Score</t>
  </si>
  <si>
    <t>ProviderBMI - THE DROITWICH SPA HOSPITAL (NT412)Hip ReplacementOxford Hip Score</t>
  </si>
  <si>
    <t>ProviderBMI - THE ESPERANCE HOSPITAL (NT413)Hip ReplacementOxford Hip Score</t>
  </si>
  <si>
    <t>ProviderBMI - THE FOSCOTE HOSPITAL (NT415)Hip ReplacementOxford Hip Score</t>
  </si>
  <si>
    <t>ProviderBMI - THE HAMPSHIRE CLINIC (NT418)Hip ReplacementOxford Hip Score</t>
  </si>
  <si>
    <t>ProviderBMI - THE HIGHFIELD HOSPITAL (NT420)Hip ReplacementOxford Hip Score</t>
  </si>
  <si>
    <t>ProviderBMI - GORING HALL HOSPITAL (NT417)Hip ReplacementOxford Hip Score</t>
  </si>
  <si>
    <t>ProviderBMI - THE KINGS OAK HOSPITAL (NT421)Hip ReplacementOxford Hip Score</t>
  </si>
  <si>
    <t>ProviderBMI - THE LONDON INDEPENDENT HOSPITAL (NT422)Hip ReplacementOxford Hip Score</t>
  </si>
  <si>
    <t>ProviderLUTON AND DUNSTABLE UNIVERSITY HOSPITAL NHS FOUNDATION TRUST (RC9)Hip ReplacementOxford Hip Score</t>
  </si>
  <si>
    <t>ProviderMAIDSTONE AND TUNBRIDGE WELLS NHS TRUST (RWF)Hip ReplacementOxford Hip Score</t>
  </si>
  <si>
    <t>ProviderMEDWAY NHS FOUNDATION TRUST (RPA)Hip ReplacementOxford Hip Score</t>
  </si>
  <si>
    <t>ProviderMID CHESHIRE HOSPITALS NHS FOUNDATION TRUST (RBT)Hip ReplacementOxford Hip Score</t>
  </si>
  <si>
    <t>ProviderMID ESSEX HOSPITAL SERVICES NHS TRUST (RQ8)Hip ReplacementOxford Hip Score</t>
  </si>
  <si>
    <t>ProviderMID STAFFORDSHIRE NHS FOUNDATION TRUST (RJD)Hip ReplacementOxford Hip Score</t>
  </si>
  <si>
    <t>ProviderMID YORKSHIRE HOSPITALS NHS TRUST (RXF)Hip ReplacementOxford Hip Score</t>
  </si>
  <si>
    <t>ProviderMOUNT STUART HOSPITAL (NVC08)Hip ReplacementOxford Hip Score</t>
  </si>
  <si>
    <t>ProviderNEW HALL HOSPITAL (NVC09)Hip ReplacementOxford Hip Score</t>
  </si>
  <si>
    <t>ProviderNORFOLK AND NORWICH UNIVERSITY HOSPITALS NHS FOUNDATION TRUST (RM1)Hip ReplacementOxford Hip Score</t>
  </si>
  <si>
    <t>ProviderNORTH BRISTOL NHS TRUST (RVJ)Hip ReplacementOxford Hip Score</t>
  </si>
  <si>
    <t>ProviderNORTH CUMBRIA UNIVERSITY HOSPITALS NHS TRUST (RNL)Hip ReplacementOxford Hip Score</t>
  </si>
  <si>
    <t>ProviderNORTH DOWNS HOSPITAL (NVC11)Hip ReplacementOxford Hip Score</t>
  </si>
  <si>
    <t>ProviderNORTH EAST LONDON TREATMENT CENTRE CARE UK (NTP15)Hip ReplacementOxford Hip Score</t>
  </si>
  <si>
    <t>ProviderNORTH MIDDLESEX UNIVERSITY HOSPITAL NHS TRUST (RAP)Hip ReplacementOxford Hip Score</t>
  </si>
  <si>
    <t>ProviderNORTH TEES AND HARTLEPOOL NHS FOUNDATION TRUST (RVW)Hip ReplacementOxford Hip Score</t>
  </si>
  <si>
    <t>ProviderNORTH WEST LONDON HOSPITALS NHS TRUST (RV8)Hip ReplacementOxford Hip Score</t>
  </si>
  <si>
    <t>ProviderNORTHAMPTON GENERAL HOSPITAL NHS TRUST (RNS)Hip ReplacementOxford Hip Score</t>
  </si>
  <si>
    <t>ProviderNORTHERN DEVON HEALTHCARE NHS TRUST (RBZ)Hip ReplacementOxford Hip Score</t>
  </si>
  <si>
    <t>ProviderNORTHERN LINCOLNSHIRE AND GOOLE NHS FOUNDATION TRUST (RJL)Hip ReplacementOxford Hip Score</t>
  </si>
  <si>
    <t>ProviderNORTHUMBRIA HEALTHCARE NHS FOUNDATION TRUST (RTF)Hip ReplacementOxford Hip Score</t>
  </si>
  <si>
    <t>ProviderNOTTINGHAM UNIVERSITY HOSPITALS NHS TRUST (RX1)Hip ReplacementOxford Hip Score</t>
  </si>
  <si>
    <t>ProviderNUFFIELD HEALTH, BRENTWOOD HOSPITAL (NT204)Hip ReplacementOxford Hip Score</t>
  </si>
  <si>
    <t>ProviderNUFFIELD HEALTH, BRIGHTON HOSPITAL (NT205)Hip ReplacementOxford Hip Score</t>
  </si>
  <si>
    <t>ProviderNUFFIELD HEALTH, BRISTOL HOSPITAL (CHESTERFIELD) (NT206)Hip ReplacementOxford Hip Score</t>
  </si>
  <si>
    <t>ProviderNUFFIELD HEALTH, CHELTENHAM HOSPITAL (NT211)Hip ReplacementOxford Hip Score</t>
  </si>
  <si>
    <t>ProviderTHE ROYAL BOURNEMOUTH AND CHRISTCHURCH HOSPITALS NHS FOUNDATION TRUST (RDZ)Hip ReplacementOxford Hip Score</t>
  </si>
  <si>
    <t>ProviderNUFFIELD HEALTH, CAMBRIDGE HOSPITAL (NT209)Hip ReplacementOxford Hip Score</t>
  </si>
  <si>
    <t>ProviderWESTERN SUSSEX HOSPITALS NHS FOUNDATION TRUST (RYR)Hip ReplacementOxford Hip Score</t>
  </si>
  <si>
    <t>ProviderWEST MIDLANDS HOSPITAL (NVC21)Hip ReplacementOxford Hip Score</t>
  </si>
  <si>
    <t>ProviderWEST SUFFOLK NHS FOUNDATION TRUST (RGR)Hip ReplacementOxford Hip Score</t>
  </si>
  <si>
    <t>ProviderUNIVERSITY HOSPITALS COVENTRY AND WARWICKSHIRE NHS TRUST (RKB)Hip ReplacementOxford Hip Score</t>
  </si>
  <si>
    <t>ProviderUNIVERSITY HOSPITALS OF LEICESTER NHS TRUST (RWE)Hip ReplacementOxford Hip Score</t>
  </si>
  <si>
    <t>ProviderUNIVERSITY HOSPITALS OF MORECAMBE BAY NHS FOUNDATION TRUST (RTX)Hip ReplacementOxford Hip Score</t>
  </si>
  <si>
    <t>ProviderUNIVERSITY HOSPITALS OF NORTH MIDLANDS NHS TRUST (RJE)Hip ReplacementOxford Hip Score</t>
  </si>
  <si>
    <t>ProviderWALSALL HEALTHCARE NHS TRUST (RBK)Hip ReplacementOxford Hip Score</t>
  </si>
  <si>
    <t>ProviderWARRINGTON AND HALTON HOSPITALS NHS FOUNDATION TRUST (RWW)Hip ReplacementOxford Hip Score</t>
  </si>
  <si>
    <t>ProviderWEST HERTFORDSHIRE HOSPITALS NHS TRUST (RWG)Hip ReplacementOxford Hip Score</t>
  </si>
  <si>
    <t>ProviderWEST MIDDLESEX UNIVERSITY HOSPITAL NHS TRUST (RFW)Hip ReplacementOxford Hip Score</t>
  </si>
  <si>
    <t>ProviderTHE ROTHERHAM NHS FOUNDATION TRUST (RFR)Hip ReplacementOxford Hip Score</t>
  </si>
  <si>
    <t>ProviderTHE ROBERT JONES AND AGNES HUNT ORTHOPAEDIC HOSPITAL NHS FOUNDATION TRUST (RL1)Hip ReplacementOxford Hip Score</t>
  </si>
  <si>
    <t>ProviderTHE HORDER CENTRE - ST JOHNS ROAD (NXM01)Hip ReplacementOxford Hip Score</t>
  </si>
  <si>
    <t>ProviderROYAL CORNWALL HOSPITALS NHS TRUST (REF)Hip ReplacementOxford Hip Score</t>
  </si>
  <si>
    <t>ProviderTHE NEWCASTLE UPON TYNE HOSPITALS NHS FOUNDATION TRUST (RTD)Hip ReplacementOxford Hip Score</t>
  </si>
  <si>
    <t>ProviderTHE PRINCESS ALEXANDRA HOSPITAL NHS TRUST (RQW)Hip ReplacementOxford Hip Score</t>
  </si>
  <si>
    <t>ProviderTHE QUEEN ELIZABETH HOSPITAL, KING'S LYNN, NHS FOUNDATION TRUST (RCX)Hip ReplacementOxford Hip Score</t>
  </si>
  <si>
    <t>ProviderTHE SPENCER WING (RAMSGATE ROAD) (NN801)Hip ReplacementOxford Hip Score</t>
  </si>
  <si>
    <t>ProviderTHE YORKSHIRE CLINIC (NVC20)Hip ReplacementOxford Hip Score</t>
  </si>
  <si>
    <t>ProviderUNITED LINCOLNSHIRE HOSPITALS NHS TRUST (RWD)Hip ReplacementOxford Hip Score</t>
  </si>
  <si>
    <t>ProviderTYNESIDE SURGICAL SERVICES AT THE NORTH EAST NHS SURGERY CENTRE (NN401)Hip ReplacementOxford Hip Score</t>
  </si>
  <si>
    <t>ProviderUNIVERSITY COLLEGE LONDON HOSPITALS NHS FOUNDATION TRUST (RRV)Hip ReplacementOxford Hip Score</t>
  </si>
  <si>
    <t>ProviderUNIVERSITY HOSPITAL OF SOUTH MANCHESTER NHS FOUNDATION TRUST (RM2)Hip ReplacementOxford Hip Score</t>
  </si>
  <si>
    <t>ProviderUNIVERSITY HOSPITAL SOUTHAMPTON NHS FOUNDATION TRUST (RHM)Hip ReplacementOxford Hip Score</t>
  </si>
  <si>
    <t>ProviderCOUNTESS OF CHESTER HOSPITAL NHS FOUNDATION TRUST (RJR)Hip ReplacementOxford Hip Score</t>
  </si>
  <si>
    <t>ProviderCOUNTY DURHAM AND DARLINGTON NHS FOUNDATION TRUST (RXP)Hip ReplacementOxford Hip Score</t>
  </si>
  <si>
    <t>ProviderDARTFORD AND GRAVESHAM NHS TRUST (RN7)Hip ReplacementOxford Hip Score</t>
  </si>
  <si>
    <t>ProviderDERBY TEACHING HOSPITALS NHS FOUNDATION TRUST (RTG)Hip ReplacementOxford Hip Score</t>
  </si>
  <si>
    <t>ProviderDONCASTER AND BASSETLAW HOSPITALS NHS FOUNDATION TRUST (RP5)Hip ReplacementOxford Hip Score</t>
  </si>
  <si>
    <t>ProviderDORSET COUNTY HOSPITAL NHS FOUNDATION TRUST (RBD)Hip ReplacementOxford Hip Score</t>
  </si>
  <si>
    <t>ProviderDUCHY HOSPITAL (NVC04)Hip ReplacementOxford Hip Score</t>
  </si>
  <si>
    <t>ProviderEAST AND NORTH HERTFORDSHIRE NHS TRUST (RWH)Hip ReplacementOxford Hip Score</t>
  </si>
  <si>
    <t>ProviderEAST CHESHIRE NHS TRUST (RJN)Hip ReplacementOxford Hip Score</t>
  </si>
  <si>
    <t>ProviderEAST KENT HOSPITALS UNIVERSITY NHS FOUNDATION TRUST (RVV)Hip ReplacementOxford Hip Score</t>
  </si>
  <si>
    <t>ProviderEAST LANCASHIRE HOSPITALS NHS TRUST (RXR)Hip ReplacementOxford Hip Score</t>
  </si>
  <si>
    <t>ProviderEAST SUSSEX HEALTHCARE NHS TRUST (RXC)Hip ReplacementOxford Hip Score</t>
  </si>
  <si>
    <t>ProviderEMERSONS GREEN NHS TREATMENT CENTRE (NTPH2)Hip ReplacementOxford Hip Score</t>
  </si>
  <si>
    <t>ProviderROYAL BERKSHIRE NHS FOUNDATION TRUST (RHW)Hip ReplacementOxford Hip Score</t>
  </si>
  <si>
    <t>ProviderEALING HOSPITAL NHS TRUST (RC3)Hip ReplacementOxford Hip Score</t>
  </si>
  <si>
    <t>ProviderEMERSONS GREEN NHS TREATMENT CENTRE (NTC02)Hip ReplacementOxford Hip Score</t>
  </si>
  <si>
    <t>ProviderAINTREE UNIVERSITY HOSPITAL NHS FOUNDATION TRUST (REM)Hip ReplacementOxford Hip Score</t>
  </si>
  <si>
    <t>ProviderAIREDALE NHS FOUNDATION TRUST (RCF)Hip ReplacementOxford Hip Score</t>
  </si>
  <si>
    <t>ProviderASHFORD AND ST PETER'S HOSPITALS NHS FOUNDATION TRUST (RTK)Hip ReplacementOxford Hip Score</t>
  </si>
  <si>
    <t>ProviderASHTEAD HOSPITAL (NVC01)Hip ReplacementOxford Hip Score</t>
  </si>
  <si>
    <t>ProviderEPSOM AND ST HELIER UNIVERSITY HOSPITALS NHS TRUST (RVR)Hip ReplacementOxford Hip Score</t>
  </si>
  <si>
    <t>ProviderEUXTON HALL HOSPITAL (NVC05)Hip ReplacementOxford Hip Score</t>
  </si>
  <si>
    <t>ProviderFAIRFIELD HOSPITAL (NVG01)Hip ReplacementOxford Hip Score</t>
  </si>
  <si>
    <t>ProviderFITZWILLIAM HOSPITAL (NVC06)Hip ReplacementOxford Hip Score</t>
  </si>
  <si>
    <t>ProviderFRIMLEY HEALTH NHS FOUNDATION TRUST (RDU)Hip ReplacementOxford Hip Score</t>
  </si>
  <si>
    <t>ProviderFULWOOD HALL HOSPITAL (NVC07)Hip ReplacementOxford Hip Score</t>
  </si>
  <si>
    <t>ProviderGATESHEAD HEALTH NHS FOUNDATION TRUST (RR7)Hip ReplacementOxford Hip Score</t>
  </si>
  <si>
    <t>ProviderGEORGE ELIOT HOSPITAL NHS TRUST (RLT)Hip ReplacementOxford Hip Score</t>
  </si>
  <si>
    <t>ProviderGLOUCESTERSHIRE HOSPITALS NHS FOUNDATION TRUST (RTE)Hip ReplacementOxford Hip Score</t>
  </si>
  <si>
    <t>ProviderGREAT WESTERN HOSPITALS NHS FOUNDATION TRUST (RN3)Hip ReplacementOxford Hip Score</t>
  </si>
  <si>
    <t>ProviderGUY'S AND ST THOMAS' NHS FOUNDATION TRUST (RJ1)Hip ReplacementOxford Hip Score</t>
  </si>
  <si>
    <t>ProviderHAMPSHIRE HOSPITALS NHS FOUNDATION TRUST (RN5)Hip ReplacementOxford Hip Score</t>
  </si>
  <si>
    <t>ProviderHARROGATE AND DISTRICT NHS FOUNDATION TRUST (RCD)Hip ReplacementOxford Hip Score</t>
  </si>
  <si>
    <t>ProviderHEART OF ENGLAND NHS FOUNDATION TRUST (RR1)Hip ReplacementOxford Hip Score</t>
  </si>
  <si>
    <t>ProviderHEATHERWOOD AND WEXHAM PARK HOSPITALS NHS FOUNDATION TRUST (RD7)Hip ReplacementOxford Hip Score</t>
  </si>
  <si>
    <t>ProviderHINCHINGBROOKE HEALTH CARE NHS TRUST (RQQ)Hip ReplacementOxford Hip Score</t>
  </si>
  <si>
    <t>ProviderHOMERTON UNIVERSITY HOSPITAL NHS FOUNDATION TRUST (RQX)Hip ReplacementOxford Hip Score</t>
  </si>
  <si>
    <t>ProviderHORTON NHS TREATMENT CENTRE (NVC25)Hip ReplacementOxford Hip Score</t>
  </si>
  <si>
    <t>ProviderHULL AND EAST YORKSHIRE HOSPITALS NHS TRUST (RWA)Hip ReplacementOxford Hip Score</t>
  </si>
  <si>
    <t>ProviderIPSWICH HOSPITAL NHS TRUST (RGQ)Hip ReplacementOxford Hip Score</t>
  </si>
  <si>
    <t>ProviderIMPERIAL COLLEGE HEALTHCARE NHS TRUST (RYJ)Hip ReplacementOxford Hip Score</t>
  </si>
  <si>
    <t>ProviderISLE OF WIGHT NHS TRUST (R1F)Hip ReplacementOxford Hip Score</t>
  </si>
  <si>
    <t>ProviderJAMES PAGET UNIVERSITY HOSPITALS NHS FOUNDATION TRUST (RGP)Hip ReplacementOxford Hip Score</t>
  </si>
  <si>
    <t>ProviderKETTERING GENERAL HOSPITAL NHS FOUNDATION TRUST (RNQ)Hip ReplacementOxford Hip Score</t>
  </si>
  <si>
    <t>ProviderSPIRE LITTLE ASTON HOSPITAL (NT321)Hip ReplacementOxford Hip Score</t>
  </si>
  <si>
    <t>ProviderLEEDS TEACHING HOSPITALS NHS TRUST (RR8)Hip ReplacementOxford Hip Score</t>
  </si>
  <si>
    <t>ProviderSPIRE LEICESTER HOSPITAL (NT322)Hip ReplacementOxford Hip Score</t>
  </si>
  <si>
    <t>ProviderSPIRE LEICESTER HOSPITAL (NT322)Knee ReplacementEQ VAS</t>
  </si>
  <si>
    <t>ProviderLEEDS TEACHING HOSPITALS NHS TRUST (RR8)Knee ReplacementEQ VAS</t>
  </si>
  <si>
    <t>ProviderSPIRE LITTLE ASTON HOSPITAL (NT321)Knee ReplacementEQ VAS</t>
  </si>
  <si>
    <t>ProviderKETTERING GENERAL HOSPITAL NHS FOUNDATION TRUST (RNQ)Knee ReplacementEQ VAS</t>
  </si>
  <si>
    <t>ProviderJAMES PAGET UNIVERSITY HOSPITALS NHS FOUNDATION TRUST (RGP)Knee ReplacementEQ VAS</t>
  </si>
  <si>
    <t>ProviderISLE OF WIGHT NHS TRUST (R1F)Knee ReplacementEQ VAS</t>
  </si>
  <si>
    <t>ProviderIMPERIAL COLLEGE HEALTHCARE NHS TRUST (RYJ)Knee ReplacementEQ VAS</t>
  </si>
  <si>
    <t>ProviderIPSWICH HOSPITAL NHS TRUST (RGQ)Knee ReplacementEQ VAS</t>
  </si>
  <si>
    <t>ProviderHULL AND EAST YORKSHIRE HOSPITALS NHS TRUST (RWA)Knee ReplacementEQ VAS</t>
  </si>
  <si>
    <t>ProviderHORTON NHS TREATMENT CENTRE (NVC25)Knee ReplacementEQ VAS</t>
  </si>
  <si>
    <t>ProviderHOMERTON UNIVERSITY HOSPITAL NHS FOUNDATION TRUST (RQX)Knee ReplacementEQ VAS</t>
  </si>
  <si>
    <t>ProviderHINCHINGBROOKE HEALTH CARE NHS TRUST (RQQ)Knee ReplacementEQ VAS</t>
  </si>
  <si>
    <t>ProviderHEATHERWOOD AND WEXHAM PARK HOSPITALS NHS FOUNDATION TRUST (RD7)Knee ReplacementEQ VAS</t>
  </si>
  <si>
    <t>ProviderHEART OF ENGLAND NHS FOUNDATION TRUST (RR1)Knee ReplacementEQ VAS</t>
  </si>
  <si>
    <t>ProviderHARROGATE AND DISTRICT NHS FOUNDATION TRUST (RCD)Knee ReplacementEQ VAS</t>
  </si>
  <si>
    <t>ProviderHAMPSHIRE HOSPITALS NHS FOUNDATION TRUST (RN5)Knee ReplacementEQ VAS</t>
  </si>
  <si>
    <t>ProviderGUY'S AND ST THOMAS' NHS FOUNDATION TRUST (RJ1)Knee ReplacementEQ VAS</t>
  </si>
  <si>
    <t>ProviderGREAT WESTERN HOSPITALS NHS FOUNDATION TRUST (RN3)Knee ReplacementEQ VAS</t>
  </si>
  <si>
    <t>ProviderGLOUCESTERSHIRE HOSPITALS NHS FOUNDATION TRUST (RTE)Knee ReplacementEQ VAS</t>
  </si>
  <si>
    <t>ProviderGEORGE ELIOT HOSPITAL NHS TRUST (RLT)Knee ReplacementEQ VAS</t>
  </si>
  <si>
    <t>ProviderGATESHEAD HEALTH NHS FOUNDATION TRUST (RR7)Knee ReplacementEQ VAS</t>
  </si>
  <si>
    <t>ProviderFULWOOD HALL HOSPITAL (NVC07)Knee ReplacementEQ VAS</t>
  </si>
  <si>
    <t>ProviderFRIMLEY HEALTH NHS FOUNDATION TRUST (RDU)Knee ReplacementEQ VAS</t>
  </si>
  <si>
    <t>ProviderFITZWILLIAM HOSPITAL (NVC06)Knee ReplacementEQ VAS</t>
  </si>
  <si>
    <t>ProviderFAIRFIELD HOSPITAL (NVG01)Knee ReplacementEQ VAS</t>
  </si>
  <si>
    <t>ProviderEUXTON HALL HOSPITAL (NVC05)Knee ReplacementEQ VAS</t>
  </si>
  <si>
    <t>ProviderEPSOM AND ST HELIER UNIVERSITY HOSPITALS NHS TRUST (RVR)Knee ReplacementEQ VAS</t>
  </si>
  <si>
    <t>ProviderASHTEAD HOSPITAL (NVC01)Knee ReplacementEQ VAS</t>
  </si>
  <si>
    <t>ProviderASHFORD AND ST PETER'S HOSPITALS NHS FOUNDATION TRUST (RTK)Knee ReplacementEQ VAS</t>
  </si>
  <si>
    <t>ProviderAIREDALE NHS FOUNDATION TRUST (RCF)Knee ReplacementEQ VAS</t>
  </si>
  <si>
    <t>ProviderAINTREE UNIVERSITY HOSPITAL NHS FOUNDATION TRUST (REM)Knee ReplacementEQ VAS</t>
  </si>
  <si>
    <t>ProviderEALING HOSPITAL NHS TRUST (RC3)Knee ReplacementEQ VAS</t>
  </si>
  <si>
    <t>ProviderROYAL BERKSHIRE NHS FOUNDATION TRUST (RHW)Knee ReplacementEQ VAS</t>
  </si>
  <si>
    <t>ProviderEMERSONS GREEN NHS TREATMENT CENTRE (NTPH2)Knee ReplacementEQ VAS</t>
  </si>
  <si>
    <t>ProviderEAST SUSSEX HEALTHCARE NHS TRUST (RXC)Knee ReplacementEQ VAS</t>
  </si>
  <si>
    <t>ProviderEAST LANCASHIRE HOSPITALS NHS TRUST (RXR)Knee ReplacementEQ VAS</t>
  </si>
  <si>
    <t>ProviderEAST KENT HOSPITALS UNIVERSITY NHS FOUNDATION TRUST (RVV)Knee ReplacementEQ VAS</t>
  </si>
  <si>
    <t>ProviderEAST CHESHIRE NHS TRUST (RJN)Knee ReplacementEQ VAS</t>
  </si>
  <si>
    <t>ProviderEAST AND NORTH HERTFORDSHIRE NHS TRUST (RWH)Knee ReplacementEQ VAS</t>
  </si>
  <si>
    <t>ProviderDUCHY HOSPITAL (NVC04)Knee ReplacementEQ VAS</t>
  </si>
  <si>
    <t>ProviderDORSET COUNTY HOSPITAL NHS FOUNDATION TRUST (RBD)Knee ReplacementEQ VAS</t>
  </si>
  <si>
    <t>ProviderDONCASTER AND BASSETLAW HOSPITALS NHS FOUNDATION TRUST (RP5)Knee ReplacementEQ VAS</t>
  </si>
  <si>
    <t>ProviderDERBY TEACHING HOSPITALS NHS FOUNDATION TRUST (RTG)Knee ReplacementEQ VAS</t>
  </si>
  <si>
    <t>ProviderDARTFORD AND GRAVESHAM NHS TRUST (RN7)Knee ReplacementEQ VAS</t>
  </si>
  <si>
    <t>ProviderCOUNTY DURHAM AND DARLINGTON NHS FOUNDATION TRUST (RXP)Knee ReplacementEQ VAS</t>
  </si>
  <si>
    <t>ProviderCOUNTESS OF CHESTER HOSPITAL NHS FOUNDATION TRUST (RJR)Knee ReplacementEQ VAS</t>
  </si>
  <si>
    <t>ProviderUNIVERSITY HOSPITAL SOUTHAMPTON NHS FOUNDATION TRUST (RHM)Knee ReplacementEQ VAS</t>
  </si>
  <si>
    <t>ProviderUNIVERSITY HOSPITAL OF SOUTH MANCHESTER NHS FOUNDATION TRUST (RM2)Knee ReplacementEQ VAS</t>
  </si>
  <si>
    <t>ProviderUNIVERSITY COLLEGE LONDON HOSPITALS NHS FOUNDATION TRUST (RRV)Knee ReplacementEQ VAS</t>
  </si>
  <si>
    <t>ProviderTYNESIDE SURGICAL SERVICES AT THE NORTH EAST NHS SURGERY CENTRE (NN401)Knee ReplacementEQ VAS</t>
  </si>
  <si>
    <t>ProviderUNITED LINCOLNSHIRE HOSPITALS NHS TRUST (RWD)Knee ReplacementEQ VAS</t>
  </si>
  <si>
    <t>ProviderTHE YORKSHIRE CLINIC (NVC20)Knee ReplacementEQ VAS</t>
  </si>
  <si>
    <t>ProviderTHE SPENCER WING (RAMSGATE ROAD) (NN801)Knee ReplacementEQ VAS</t>
  </si>
  <si>
    <t>ProviderTHE QUEEN ELIZABETH HOSPITAL, KING'S LYNN, NHS FOUNDATION TRUST (RCX)Knee ReplacementEQ VAS</t>
  </si>
  <si>
    <t>ProviderTHE PRINCESS ALEXANDRA HOSPITAL NHS TRUST (RQW)Knee ReplacementEQ VAS</t>
  </si>
  <si>
    <t>ProviderTHE NEWCASTLE UPON TYNE HOSPITALS NHS FOUNDATION TRUST (RTD)Knee ReplacementEQ VAS</t>
  </si>
  <si>
    <t>ProviderROYAL CORNWALL HOSPITALS NHS TRUST (REF)Knee ReplacementEQ VAS</t>
  </si>
  <si>
    <t>ProviderTHE HORDER CENTRE - ST JOHNS ROAD (NXM01)Knee ReplacementEQ VAS</t>
  </si>
  <si>
    <t>ProviderTHE ROBERT JONES AND AGNES HUNT ORTHOPAEDIC HOSPITAL NHS FOUNDATION TRUST (RL1)Knee ReplacementEQ VAS</t>
  </si>
  <si>
    <t>ProviderTHE ROTHERHAM NHS FOUNDATION TRUST (RFR)Knee ReplacementEQ VAS</t>
  </si>
  <si>
    <t>ProviderWEST MIDDLESEX UNIVERSITY HOSPITAL NHS TRUST (RFW)Knee ReplacementEQ VAS</t>
  </si>
  <si>
    <t>ProviderWEST HERTFORDSHIRE HOSPITALS NHS TRUST (RWG)Knee ReplacementEQ VAS</t>
  </si>
  <si>
    <t>ProviderWARRINGTON AND HALTON HOSPITALS NHS FOUNDATION TRUST (RWW)Knee ReplacementEQ VAS</t>
  </si>
  <si>
    <t>ProviderWALSALL HEALTHCARE NHS TRUST (RBK)Knee ReplacementEQ VAS</t>
  </si>
  <si>
    <t>ProviderUNIVERSITY HOSPITALS OF NORTH MIDLANDS NHS TRUST (RJE)Knee ReplacementEQ VAS</t>
  </si>
  <si>
    <t>ProviderUNIVERSITY HOSPITALS OF MORECAMBE BAY NHS FOUNDATION TRUST (RTX)Knee ReplacementEQ VAS</t>
  </si>
  <si>
    <t>ProviderUNIVERSITY HOSPITALS OF LEICESTER NHS TRUST (RWE)Knee ReplacementEQ VAS</t>
  </si>
  <si>
    <t>ProviderUNIVERSITY HOSPITALS COVENTRY AND WARWICKSHIRE NHS TRUST (RKB)Knee ReplacementEQ VAS</t>
  </si>
  <si>
    <t>ProviderWEST SUFFOLK NHS FOUNDATION TRUST (RGR)Knee ReplacementEQ VAS</t>
  </si>
  <si>
    <t>ProviderWEST MIDLANDS HOSPITAL (NVC21)Knee ReplacementEQ VAS</t>
  </si>
  <si>
    <t>ProviderWESTERN SUSSEX HOSPITALS NHS FOUNDATION TRUST (RYR)Knee ReplacementEQ VAS</t>
  </si>
  <si>
    <t>ProviderNUFFIELD HEALTH, CAMBRIDGE HOSPITAL (NT209)Knee ReplacementEQ VAS</t>
  </si>
  <si>
    <t>ProviderTHE ROYAL BOURNEMOUTH AND CHRISTCHURCH HOSPITALS NHS FOUNDATION TRUST (RDZ)Knee ReplacementEQ VAS</t>
  </si>
  <si>
    <t>ProviderNUFFIELD HEALTH, BRISTOL HOSPITAL (CHESTERFIELD) (NT206)Knee ReplacementEQ VAS</t>
  </si>
  <si>
    <t>ProviderNUFFIELD HEALTH, BRIGHTON HOSPITAL (NT205)Knee ReplacementEQ VAS</t>
  </si>
  <si>
    <t>ProviderNEW HALL NHS TREATMENT CENTRE (NVC10)Knee ReplacementEQ VAS</t>
  </si>
  <si>
    <t>NVC10</t>
  </si>
  <si>
    <t>NEW HALL NHS TREATMENT CENTRE (NVC10)</t>
  </si>
  <si>
    <t>ProviderNUFFIELD HEALTH, BRENTWOOD HOSPITAL (NT204)Knee ReplacementEQ VAS</t>
  </si>
  <si>
    <t>ProviderNOTTINGHAM UNIVERSITY HOSPITALS NHS TRUST (RX1)Knee ReplacementEQ VAS</t>
  </si>
  <si>
    <t>ProviderNORTHUMBRIA HEALTHCARE NHS FOUNDATION TRUST (RTF)Knee ReplacementEQ VAS</t>
  </si>
  <si>
    <t>ProviderNORTHERN LINCOLNSHIRE AND GOOLE NHS FOUNDATION TRUST (RJL)Knee ReplacementEQ VAS</t>
  </si>
  <si>
    <t>ProviderNORTHERN DEVON HEALTHCARE NHS TRUST (RBZ)Knee ReplacementEQ VAS</t>
  </si>
  <si>
    <t>ProviderNORTHAMPTON GENERAL HOSPITAL NHS TRUST (RNS)Knee ReplacementEQ VAS</t>
  </si>
  <si>
    <t>ProviderNORTH WEST LONDON HOSPITALS NHS TRUST (RV8)Knee ReplacementEQ VAS</t>
  </si>
  <si>
    <t>ProviderNORTH TEES AND HARTLEPOOL NHS FOUNDATION TRUST (RVW)Knee ReplacementEQ VAS</t>
  </si>
  <si>
    <t>ProviderNORTH MIDDLESEX UNIVERSITY HOSPITAL NHS TRUST (RAP)Knee ReplacementEQ VAS</t>
  </si>
  <si>
    <t>ProviderNORTH EAST LONDON TREATMENT CENTRE CARE UK (NTP15)Knee ReplacementEQ VAS</t>
  </si>
  <si>
    <t>ProviderNORTH DOWNS HOSPITAL (NVC11)Knee ReplacementEQ VAS</t>
  </si>
  <si>
    <t>ProviderNORTH CUMBRIA UNIVERSITY HOSPITALS NHS TRUST (RNL)Knee ReplacementEQ VAS</t>
  </si>
  <si>
    <t>ProviderNORTH BRISTOL NHS TRUST (RVJ)Knee ReplacementEQ VAS</t>
  </si>
  <si>
    <t>ProviderNORFOLK AND NORWICH UNIVERSITY HOSPITALS NHS FOUNDATION TRUST (RM1)Knee ReplacementEQ VAS</t>
  </si>
  <si>
    <t>ProviderNEW HALL HOSPITAL (NVC09)Knee ReplacementEQ VAS</t>
  </si>
  <si>
    <t>ProviderMOUNT STUART HOSPITAL (NVC08)Knee ReplacementEQ VAS</t>
  </si>
  <si>
    <t>ProviderMID YORKSHIRE HOSPITALS NHS TRUST (RXF)Knee ReplacementEQ VAS</t>
  </si>
  <si>
    <t>ProviderMID STAFFORDSHIRE NHS FOUNDATION TRUST (RJD)Knee ReplacementEQ VAS</t>
  </si>
  <si>
    <t>ProviderMID ESSEX HOSPITAL SERVICES NHS TRUST (RQ8)Knee ReplacementEQ VAS</t>
  </si>
  <si>
    <t>ProviderMID CHESHIRE HOSPITALS NHS FOUNDATION TRUST (RBT)Knee ReplacementEQ VAS</t>
  </si>
  <si>
    <t>ProviderMEDWAY NHS FOUNDATION TRUST (RPA)Knee ReplacementEQ VAS</t>
  </si>
  <si>
    <t>ProviderMAIDSTONE AND TUNBRIDGE WELLS NHS TRUST (RWF)Knee ReplacementEQ VAS</t>
  </si>
  <si>
    <t>ProviderLUTON AND DUNSTABLE UNIVERSITY HOSPITAL NHS FOUNDATION TRUST (RC9)Knee ReplacementEQ VAS</t>
  </si>
  <si>
    <t>ProviderBMI - THE LONDON INDEPENDENT HOSPITAL (NT422)Knee ReplacementEQ VAS</t>
  </si>
  <si>
    <t>ProviderBMI - THE KINGS OAK HOSPITAL (NT421)Knee ReplacementEQ VAS</t>
  </si>
  <si>
    <t>ProviderBMI - GORING HALL HOSPITAL (NT417)Knee ReplacementEQ VAS</t>
  </si>
  <si>
    <t>ProviderBMI - THE HARBOUR HOSPITAL (NT419)Knee ReplacementEQ VAS</t>
  </si>
  <si>
    <t>ProviderBMI - THE HIGHFIELD HOSPITAL (NT420)Knee ReplacementEQ VAS</t>
  </si>
  <si>
    <t>ProviderBMI - THE HAMPSHIRE CLINIC (NT418)Knee ReplacementEQ VAS</t>
  </si>
  <si>
    <t>ProviderBMI - THE FOSCOTE HOSPITAL (NT415)Knee ReplacementEQ VAS</t>
  </si>
  <si>
    <t>ProviderBMI - THE ESPERANCE HOSPITAL (NT413)Knee ReplacementEQ VAS</t>
  </si>
  <si>
    <t>ProviderBMI - THE DROITWICH SPA HOSPITAL (NT412)Knee ReplacementEQ VAS</t>
  </si>
  <si>
    <t>ProviderBMI - THE CLEMENTINE CHURCHILL HOSPITAL (NT411)Knee ReplacementEQ VAS</t>
  </si>
  <si>
    <t>ProviderBMI - THE CHILTERN HOSPITAL (NT410)Knee ReplacementEQ VAS</t>
  </si>
  <si>
    <t>ProviderBMI - THE CHAUCER HOSPITAL (NT408)Knee ReplacementEQ VAS</t>
  </si>
  <si>
    <t>ProviderBMI - THE BLACKHEATH HOSPITAL (NT406)Knee ReplacementEQ VAS</t>
  </si>
  <si>
    <t>ProviderBMI - THE BEAUMONT HOSPITAL (NT404)Knee ReplacementEQ VAS</t>
  </si>
  <si>
    <t>ProviderBMI - THE BEARDWOOD HOSPITAL (NT403)Knee ReplacementEQ VAS</t>
  </si>
  <si>
    <t>ProviderBMI - THE ALEXANDRA HOSPITAL (NT401)Knee ReplacementEQ VAS</t>
  </si>
  <si>
    <t>ProviderBMI - SHIRLEY OAKS HOSPITAL (NT436)Knee ReplacementEQ VAS</t>
  </si>
  <si>
    <t>ProviderBMI - SARUM ROAD HOSPITAL (NT433)Knee ReplacementEQ VAS</t>
  </si>
  <si>
    <t>ProviderBMI - HENDON HOSPITAL (NT416)Knee ReplacementEQ VAS</t>
  </si>
  <si>
    <t>ProviderLANCASHIRE TEACHING HOSPITALS NHS FOUNDATION TRUST (RXN)Knee ReplacementEQ VAS</t>
  </si>
  <si>
    <t>ProviderKING'S COLLEGE HOSPITAL NHS FOUNDATION TRUST (RJZ)Knee ReplacementEQ VAS</t>
  </si>
  <si>
    <t>ProviderBENENDEN HOSPITAL (NWF01)Knee ReplacementEQ VAS</t>
  </si>
  <si>
    <t>ProviderBARLBOROUGH NHS TREATMENT CENTRE (NTP13)Knee ReplacementEQ VAS</t>
  </si>
  <si>
    <t>ProviderBLACKPOOL TEACHING HOSPITALS NHS FOUNDATION TRUST (RXL)Knee ReplacementEQ VAS</t>
  </si>
  <si>
    <t>ProviderBEDFORD HOSPITAL NHS TRUST (RC1)Knee ReplacementEQ VAS</t>
  </si>
  <si>
    <t>ProviderBASILDON AND THURROCK UNIVERSITY HOSPITALS NHS FOUNDATION TRUST (RDD)Knee ReplacementEQ VAS</t>
  </si>
  <si>
    <t>ProviderBARTS HEALTH NHS TRUST (R1H)Knee ReplacementEQ VAS</t>
  </si>
  <si>
    <t>ProviderBARNSLEY HOSPITAL NHS FOUNDATION TRUST (RFF)Knee ReplacementEQ VAS</t>
  </si>
  <si>
    <t>ProviderWRIGHTINGTON, WIGAN AND LEIGH NHS FOUNDATION TRUST (RRF)Knee ReplacementEQ VAS</t>
  </si>
  <si>
    <t>ProviderWORCESTERSHIRE ACUTE HOSPITALS NHS TRUST (RWP)Knee ReplacementEQ VAS</t>
  </si>
  <si>
    <t>ProviderWOODLAND HOSPITAL (NVC23)Knee ReplacementEQ VAS</t>
  </si>
  <si>
    <t>ProviderWIRRAL UNIVERSITY TEACHING HOSPITAL NHS FOUNDATION TRUST (RBL)Knee ReplacementEQ VAS</t>
  </si>
  <si>
    <t>ProviderWINFIELD HOSPITAL (NVC22)Knee ReplacementEQ VAS</t>
  </si>
  <si>
    <t>ProviderWESTON AREA HEALTH NHS TRUST (RA3)Knee ReplacementEQ VAS</t>
  </si>
  <si>
    <t>ProviderLEWISHAM AND GREENWICH NHS TRUST (RJ2)Knee ReplacementEQ VAS</t>
  </si>
  <si>
    <t>ProviderYEOVIL DISTRICT HOSPITAL NHS FOUNDATION TRUST (RA4)Knee ReplacementEQ VAS</t>
  </si>
  <si>
    <t>ProviderWYE VALLEY NHS TRUST (RLQ)Knee ReplacementEQ VAS</t>
  </si>
  <si>
    <t>ProviderYORK TEACHING HOSPITAL NHS FOUNDATION TRUST (RCB)Knee ReplacementEQ VAS</t>
  </si>
  <si>
    <t>ProviderBARNET AND CHASE FARM HOSPITALS NHS TRUST (RVL)Knee ReplacementEQ VAS</t>
  </si>
  <si>
    <t>ProviderBARKING, HAVERING AND REDBRIDGE UNIVERSITY HOSPITALS NHS TRUST (RF4)Knee ReplacementEQ VAS</t>
  </si>
  <si>
    <t>ProviderASPEN - HOLLY HOUSE HOSPITAL (NYW01)Knee ReplacementEQ VAS</t>
  </si>
  <si>
    <t>ProviderASPEN - HIGHGATE HOSPITAL (NYW03)Knee ReplacementEQ VAS</t>
  </si>
  <si>
    <t>ProviderASPEN - CLAREMONT HOSPITAL (NYW04)Knee ReplacementEQ VAS</t>
  </si>
  <si>
    <t>ProviderBMI - FAWKHAM MANOR HOSPITAL (NT414)Knee ReplacementEQ VAS</t>
  </si>
  <si>
    <t>ProviderBMI - CHELSFIELD PARK HOSPITAL (NT409)Knee ReplacementEQ VAS</t>
  </si>
  <si>
    <t>ProviderBMI - BISHOPS WOOD (NT405)Knee ReplacementEQ VAS</t>
  </si>
  <si>
    <t>ProviderBMI - BATH CLINIC (NT402)Knee ReplacementEQ VAS</t>
  </si>
  <si>
    <t>ProviderSOUTH TYNESIDE NHS FOUNDATION TRUST (RE9)Knee ReplacementEQ VAS</t>
  </si>
  <si>
    <t>ProviderSOUTH TEES HOSPITALS NHS FOUNDATION TRUST (RTR)Knee ReplacementEQ VAS</t>
  </si>
  <si>
    <t>ProviderSHREWSBURY AND TELFORD HOSPITAL NHS TRUST (RXW)Knee ReplacementEQ VAS</t>
  </si>
  <si>
    <t>ProviderSHERWOOD FOREST HOSPITALS NHS FOUNDATION TRUST (RK5)Knee ReplacementEQ VAS</t>
  </si>
  <si>
    <t>ProviderSHEPTON MALLET NHS TREATMENT CENTRE (NTPH1)Knee ReplacementEQ VAS</t>
  </si>
  <si>
    <t>ProviderSHEPTON MALLET NHS TREATMENT CENTRE (NTC01)Knee ReplacementEQ VAS</t>
  </si>
  <si>
    <t>ProviderSHEFFIELD TEACHING HOSPITALS NHS FOUNDATION TRUST (RHQ)Knee ReplacementEQ VAS</t>
  </si>
  <si>
    <t>ProviderSANDWELL AND WEST BIRMINGHAM HOSPITALS NHS TRUST (RXK)Knee ReplacementEQ VAS</t>
  </si>
  <si>
    <t>ProviderSALISBURY NHS FOUNDATION TRUST (RNZ)Knee ReplacementEQ VAS</t>
  </si>
  <si>
    <t>ProviderSALFORD ROYAL NHS FOUNDATION TRUST (RM3)Knee ReplacementEQ VAS</t>
  </si>
  <si>
    <t>ProviderROYAL UNITED HOSPITALS BATH NHS FOUNDATION TRUST (RD1)Knee ReplacementEQ VAS</t>
  </si>
  <si>
    <t>ProviderROYAL SURREY COUNTY HOSPITAL NHS FOUNDATION TRUST (RA2)Knee ReplacementEQ VAS</t>
  </si>
  <si>
    <t>ProviderROYAL LIVERPOOL AND BROADGREEN UNIVERSITY HOSPITALS NHS TRUST (RQ6)Knee ReplacementEQ VAS</t>
  </si>
  <si>
    <t>ProviderROYAL FREE LONDON NHS FOUNDATION TRUST (RAL)Knee ReplacementEQ VAS</t>
  </si>
  <si>
    <t>ProviderROYAL DEVON AND EXETER NHS FOUNDATION TRUST (RH8)Knee ReplacementEQ VAS</t>
  </si>
  <si>
    <t>ProviderSPIRE CHESHIRE HOSPITAL (NT324)Knee ReplacementEQ VAS</t>
  </si>
  <si>
    <t>ProviderSPIRE CAMBRIDGE LEA HOSPITAL (NT317)Knee ReplacementEQ VAS</t>
  </si>
  <si>
    <t>ProviderSPIRE BRISTOL HOSPITAL (NT302)Knee ReplacementEQ VAS</t>
  </si>
  <si>
    <t>ProviderROYAL NATIONAL ORTHOPAEDIC HOSPITAL NHS TRUST (RAN)Knee ReplacementEQ VAS</t>
  </si>
  <si>
    <t>ProviderSPIRE ALEXANDRA HOSPITAL (NT312)Knee ReplacementEQ VAS</t>
  </si>
  <si>
    <t>ProviderSOUTHPORT AND ORMSKIRK HOSPITAL NHS TRUST (RVY)Knee ReplacementEQ VAS</t>
  </si>
  <si>
    <t>ProviderSOUTHEND UNIVERSITY HOSPITAL NHS FOUNDATION TRUST (RAJ)Knee ReplacementEQ VAS</t>
  </si>
  <si>
    <t>ProviderSOUTHAMPTON NHS TREATMENT CENTRE (NTP11)Knee ReplacementEQ VAS</t>
  </si>
  <si>
    <t>ProviderSOUTH WARWICKSHIRE NHS FOUNDATION TRUST (RJC)Knee ReplacementEQ VAS</t>
  </si>
  <si>
    <t>ProviderSPIRE FYLDE COAST HOSPITAL (NT347)Knee ReplacementEQ VAS</t>
  </si>
  <si>
    <t>ProviderSPIRE ELLAND HOSPITAL (NT348)Knee ReplacementEQ VAS</t>
  </si>
  <si>
    <t>ProviderSPIRE DUNEDIN HOSPITAL (NT344)Knee ReplacementEQ VAS</t>
  </si>
  <si>
    <t>ProviderSPIRE CLARE PARK HOSPITAL (NT345)Knee ReplacementEQ VAS</t>
  </si>
  <si>
    <t>ProviderSPIRE BUSHEY HOSPITAL (NT315)Knee ReplacementEQ VAS</t>
  </si>
  <si>
    <t>ProviderSPIRE GATWICK PARK HOSPITAL (NT308)Knee ReplacementEQ VAS</t>
  </si>
  <si>
    <t>ProviderNUFFIELD HEALTH, PLYMOUTH HOSPITAL (NT233)Knee ReplacementEQ VAS</t>
  </si>
  <si>
    <t>ProviderNUFFIELD HEALTH, NORTH STAFFORDSHIRE HOSPITAL (NT230)Knee ReplacementEQ VAS</t>
  </si>
  <si>
    <t>ProviderNUFFIELD HEALTH, NEWCASTLE UPON TYNE HOSPITAL (NT229)Knee ReplacementEQ VAS</t>
  </si>
  <si>
    <t>ProviderNUFFIELD HEALTH, LEICESTER HOSPITAL (NT226)Knee ReplacementEQ VAS</t>
  </si>
  <si>
    <t>ProviderNUFFIELD HEALTH, LEEDS HOSPITAL (NT225)Knee ReplacementEQ VAS</t>
  </si>
  <si>
    <t>ProviderNUFFIELD HEALTH, IPSWICH HOSPITAL (NT222)Knee ReplacementEQ VAS</t>
  </si>
  <si>
    <t>ProviderNUFFIELD HEALTH, HEREFORD HOSPITAL (NT219)Knee ReplacementEQ VAS</t>
  </si>
  <si>
    <t>ProviderTHE ROYAL WOLVERHAMPTON NHS TRUST (RL4)Knee ReplacementEQ VAS</t>
  </si>
  <si>
    <t>ProviderTHE ROYAL ORTHOPAEDIC HOSPITAL NHS FOUNDATION TRUST (RRJ)Knee ReplacementEQ VAS</t>
  </si>
  <si>
    <t>ProviderBURTON HOSPITALS NHS FOUNDATION TRUST (RJF)Knee ReplacementEQ VAS</t>
  </si>
  <si>
    <t>ProviderBUCKINGHAMSHIRE HEALTHCARE NHS TRUST (RXQ)Knee ReplacementEQ VAS</t>
  </si>
  <si>
    <t>ProviderBRIGHTON AND SUSSEX UNIVERSITY HOSPITALS NHS TRUST (RXH)Knee ReplacementEQ VAS</t>
  </si>
  <si>
    <t>ProviderBRAINTREE COMMUNITY HOSPITAL (NNQ01)Knee ReplacementEQ VAS</t>
  </si>
  <si>
    <t>ProviderBRADFORD TEACHING HOSPITALS NHS FOUNDATION TRUST (RAE)Knee ReplacementEQ VAS</t>
  </si>
  <si>
    <t>ProviderBOLTON NHS FOUNDATION TRUST (RMC)Knee ReplacementEQ VAS</t>
  </si>
  <si>
    <t>ProviderBMI WOODLANDS HOSPITAL (NT457)Knee ReplacementEQ VAS</t>
  </si>
  <si>
    <t>ProviderBMI THE LINCOLN HOSPITAL (NT450)Knee ReplacementEQ VAS</t>
  </si>
  <si>
    <t>ProviderBMI THE LANCASTER HOSPITAL (NT449)Knee ReplacementEQ VAS</t>
  </si>
  <si>
    <t>ProviderBMI THE HUDDERSFIELD HOSPITAL (NT448)Knee ReplacementEQ VAS</t>
  </si>
  <si>
    <t>ProviderNUFFIELD HEALTH, HAYWARDS HEATH HOSPITAL (NT218)Knee ReplacementEQ VAS</t>
  </si>
  <si>
    <t>ProviderNUFFIELD HEALTH, EXETER HOSPITAL (NT215)Knee ReplacementEQ VAS</t>
  </si>
  <si>
    <t>ProviderBMI THE EDGBASTON HOSPITAL (NT445)Knee ReplacementEQ VAS</t>
  </si>
  <si>
    <t>ProviderNUFFIELD HEALTH, CHICHESTER HOSPITAL (NT212)Knee ReplacementEQ VAS</t>
  </si>
  <si>
    <t>ProviderNUFFIELD HEALTH, CHELTENHAM HOSPITAL (NT211)Knee ReplacementEQ VAS</t>
  </si>
  <si>
    <t>ProviderNUFFIELD HEALTH, DERBY HOSPITAL (NT213)Knee ReplacementEQ VAS</t>
  </si>
  <si>
    <t>ProviderBMI THE DUCHY HOSPITAL (NT447)Knee ReplacementEQ VAS</t>
  </si>
  <si>
    <t>ProviderBMI THE CAVELL HOSPITAL (NT451)Knee ReplacementEQ VAS</t>
  </si>
  <si>
    <t>ProviderBMI ST EDMUNDS HOSPITAL (NT446)Knee ReplacementEQ VAS</t>
  </si>
  <si>
    <t>ProviderBMI - THE SLOANE HOSPITAL (NT437)Knee ReplacementEQ VAS</t>
  </si>
  <si>
    <t>ProviderBMI MOUNT ALVERNIA HOSPITAL (NT455)Knee ReplacementEQ VAS</t>
  </si>
  <si>
    <t>ProviderBMI GISBURNE PARK HOSPITAL (NT497)Knee ReplacementEQ VAS</t>
  </si>
  <si>
    <t>ProviderBMI - THREE SHIRES HOSPITAL (NT441)Knee ReplacementEQ VAS</t>
  </si>
  <si>
    <t>ProviderBMI - THORNBURY HOSPITAL (NT440)Knee ReplacementEQ VAS</t>
  </si>
  <si>
    <t>ProviderBMI - THE WINTERBOURNE HOSPITAL (NT443)Knee ReplacementEQ VAS</t>
  </si>
  <si>
    <t>ProviderBMI - THE SOUTH CHESHIRE PRIVATE HOSPITAL (NT439)Knee ReplacementEQ VAS</t>
  </si>
  <si>
    <t>ProviderBMI - THE SHELBURNE HOSPITAL (NT435)Knee ReplacementEQ VAS</t>
  </si>
  <si>
    <t>ProviderBMI - THE PRIORY HOSPITAL (NT429)Knee ReplacementEQ VAS</t>
  </si>
  <si>
    <t>ProviderBMI - THE SOMERFIELD HOSPITAL (NT438)Knee ReplacementEQ VAS</t>
  </si>
  <si>
    <t>ProviderBMI - THE SAXON CLINIC (NT434)Knee ReplacementEQ VAS</t>
  </si>
  <si>
    <t>ProviderBMI - THE SANDRINGHAM HOSPITAL (NT432)Knee ReplacementEQ VAS</t>
  </si>
  <si>
    <t>ProviderBMI - THE RUNNYMEDE HOSPITAL (NT431)Knee ReplacementEQ VAS</t>
  </si>
  <si>
    <t>ProviderBMI - THE RIDGEWAY HOSPITAL (NT430)Knee ReplacementEQ VAS</t>
  </si>
  <si>
    <t>ProviderBMI - THE PRINCESS MARGARET HOSPITAL (NT428)Knee ReplacementEQ VAS</t>
  </si>
  <si>
    <t>ProviderBMI - THE PARK HOSPITAL (NT427)Knee ReplacementEQ VAS</t>
  </si>
  <si>
    <t>ProviderBMI - THE MERIDEN HOSPITAL (NT424)Knee ReplacementEQ VAS</t>
  </si>
  <si>
    <t>ProviderBMI - THE MANOR HOSPITAL (NT423)Knee ReplacementEQ VAS</t>
  </si>
  <si>
    <t>ProviderPARK HILL HOSPITAL (NVC14)Knee ReplacementEQ VAS</t>
  </si>
  <si>
    <t>ProviderONE HEALTH GROUP CLINIC - THORNBURY (NTX11)Knee ReplacementEQ VAS</t>
  </si>
  <si>
    <t>ProviderONE HEALTH GROUP CLINIC - CLAREMONT (NTX12)Knee ReplacementEQ VAS</t>
  </si>
  <si>
    <t>ProviderOAKS HOSPITAL (NVC13)Knee ReplacementEQ VAS</t>
  </si>
  <si>
    <t>ProviderOAKLANDS HOSPITAL (NVC12)Knee ReplacementEQ VAS</t>
  </si>
  <si>
    <t>ProviderNUFFIELD HOSPITAL OXFORD (THE MANOR) (NT244)Knee ReplacementEQ VAS</t>
  </si>
  <si>
    <t>ProviderNUFFIELD HEALTH, YORK HOSPITAL (NT245)Knee ReplacementEQ VAS</t>
  </si>
  <si>
    <t>ProviderNUFFIELD HEALTH, WOLVERHAMPTON HOSPITAL (NT242)Knee ReplacementEQ VAS</t>
  </si>
  <si>
    <t>ProviderNUFFIELD HEALTH, WOKING HOSPITAL (NT241)Knee ReplacementEQ VAS</t>
  </si>
  <si>
    <t>ProviderNUFFIELD HEALTH, WESSEX HOSPITAL (NT214)Knee ReplacementEQ VAS</t>
  </si>
  <si>
    <t>ProviderNUFFIELD HEALTH, WARWICKSHIRE HOSPITAL (NT224)Knee ReplacementEQ VAS</t>
  </si>
  <si>
    <t>ProviderNUFFIELD HEALTH, TUNBRIDGE WELLS HOSPITAL (NT239)Knee ReplacementEQ VAS</t>
  </si>
  <si>
    <t>ProviderNUFFIELD HEALTH, THE GROSVENOR HOSPITAL, CHESTER (NT210)Knee ReplacementEQ VAS</t>
  </si>
  <si>
    <t>ProviderNUFFIELD HEALTH, TEES HOSPITAL (NT237)Knee ReplacementEQ VAS</t>
  </si>
  <si>
    <t>ProviderNUFFIELD HEALTH, TAUNTON HOSPITAL (NT238)Knee ReplacementEQ VAS</t>
  </si>
  <si>
    <t>ProviderNUFFIELD HEALTH, SHREWSBURY HOSPITAL (NT235)Knee ReplacementEQ VAS</t>
  </si>
  <si>
    <t>ProviderRENACRES HOSPITAL (NVC16)Knee ReplacementEQ VAS</t>
  </si>
  <si>
    <t>ProviderPORTSMOUTH HOSPITALS NHS TRUST (RHU)Knee ReplacementEQ VAS</t>
  </si>
  <si>
    <t>ProviderPENINSULA NHS TREATMENT CENTRE (NTPH5)Knee ReplacementEQ VAS</t>
  </si>
  <si>
    <t>ProviderPLYMOUTH HOSPITALS NHS TRUST (RK9)Knee ReplacementEQ VAS</t>
  </si>
  <si>
    <t>ProviderPINEHILL HOSPITAL (NVC15)Knee ReplacementEQ VAS</t>
  </si>
  <si>
    <t>ProviderPETERBOROUGH AND STAMFORD HOSPITALS NHS FOUNDATION TRUST (RGN)Knee ReplacementEQ VAS</t>
  </si>
  <si>
    <t>ProviderPENINSULA NHS TREATMENT CENTRE (NTC05)Knee ReplacementEQ VAS</t>
  </si>
  <si>
    <t>ProviderORTHOPAEDICS &amp; SPINE SPECIALIST HOSPITAL SITE (NQM01)Knee ReplacementEQ VAS</t>
  </si>
  <si>
    <t>ProviderPENNINE ACUTE HOSPITALS NHS TRUST (RW6)Knee ReplacementEQ VAS</t>
  </si>
  <si>
    <t>ProviderSPIRE HULL AND EAST RIDING HOSPITAL (NT351)Knee ReplacementEQ VAS</t>
  </si>
  <si>
    <t>ProviderSPIRE HARTSWOOD HOSPITAL (NT319)Knee ReplacementEQ VAS</t>
  </si>
  <si>
    <t>ProviderROWLEY HALL HOSPITAL (NVC17)Knee ReplacementEQ VAS</t>
  </si>
  <si>
    <t>ProviderRIVERS HOSPITAL (NVC19)Knee ReplacementEQ VAS</t>
  </si>
  <si>
    <t>ProviderSPIRE LIVERPOOL HOSPITAL (NT337)Knee ReplacementEQ VAS</t>
  </si>
  <si>
    <t>ProviderSPIRE HARPENDEN HOSPITAL (NT316)Knee ReplacementEQ VAS</t>
  </si>
  <si>
    <t>ProviderSPIRE LEEDS HOSPITAL (NT332)Knee ReplacementEQ VAS</t>
  </si>
  <si>
    <t>ProviderSPRINGFIELD HOSPITAL (NVC18)Knee ReplacementEQ VAS</t>
  </si>
  <si>
    <t>ProviderSPIRE WELLESLEY HOSPITAL (NT313)Knee ReplacementEQ VAS</t>
  </si>
  <si>
    <t>ProviderSPIRE WASHINGTON HOSPITAL (NT333)Knee ReplacementEQ VAS</t>
  </si>
  <si>
    <t>ProviderSPIRE TUNBRIDGE WELLS HOSPITAL (NT310)Knee ReplacementEQ VAS</t>
  </si>
  <si>
    <t>ProviderSPIRE THAMES VALLEY HOSPITAL (NT343)Knee ReplacementEQ VAS</t>
  </si>
  <si>
    <t>ProviderSPIRE SUSSEX HOSPITAL (NT309)Knee ReplacementEQ VAS</t>
  </si>
  <si>
    <t>ProviderSPIRE ST SAVIOURS HOSPITAL (NT346)Knee ReplacementEQ VAS</t>
  </si>
  <si>
    <t>ProviderSPIRE SOUTH BANK HOSPITAL (NT301)Knee ReplacementEQ VAS</t>
  </si>
  <si>
    <t>ProviderSPIRE RODING HOSPITAL (NT314)Knee ReplacementEQ VAS</t>
  </si>
  <si>
    <t>ProviderSPIRE NORWICH HOSPITAL (NT318)Knee ReplacementEQ VAS</t>
  </si>
  <si>
    <t>ProviderSPIRE REGENCY HOSPITAL (NT339)Knee ReplacementEQ VAS</t>
  </si>
  <si>
    <t>ProviderSPIRE PORTSMOUTH HOSPITAL (NT305)Knee ReplacementEQ VAS</t>
  </si>
  <si>
    <t>ProviderSPIRE PARKWAY HOSPITAL (NT320)Knee ReplacementEQ VAS</t>
  </si>
  <si>
    <t>ProviderSPIRE MURRAYFIELD HOSPITAL (NT325)Knee ReplacementEQ VAS</t>
  </si>
  <si>
    <t>ProviderSPIRE MONTEFIORE HOSPITAL (NT364)Knee ReplacementEQ VAS</t>
  </si>
  <si>
    <t>ProviderSPIRE METHLEY PARK HOSPITAL (NT350)Knee ReplacementEQ VAS</t>
  </si>
  <si>
    <t>ProviderSPIRE MANCHESTER HOSPITAL (NT327)Knee ReplacementEQ VAS</t>
  </si>
  <si>
    <t>ProviderTAUNTON AND SOMERSET NHS FOUNDATION TRUST (RBA)Knee ReplacementEQ VAS</t>
  </si>
  <si>
    <t>ProviderTAMESIDE HOSPITAL NHS FOUNDATION TRUST (RMP)Knee ReplacementEQ VAS</t>
  </si>
  <si>
    <t>ProviderSURREY AND SUSSEX HEALTHCARE NHS TRUST (RTP)Knee ReplacementEQ VAS</t>
  </si>
  <si>
    <t>ProviderSTOCKPORT NHS FOUNDATION TRUST (RWJ)Knee ReplacementEQ VAS</t>
  </si>
  <si>
    <t>ProviderST HUGH'S HOSPITAL (NTE02)Knee ReplacementEQ VAS</t>
  </si>
  <si>
    <t>ProviderST HELENS AND KNOWSLEY HOSPITALS NHS TRUST (RBN)Knee ReplacementEQ VAS</t>
  </si>
  <si>
    <t>ProviderST GEORGE'S UNIVERSITY HOSPITALS NHS FOUNDATION TRUST (RJ7)Knee ReplacementEQ VAS</t>
  </si>
  <si>
    <t>ProviderTHE DUDLEY GROUP NHS FOUNDATION TRUST (RNA)Knee ReplacementEQ VAS</t>
  </si>
  <si>
    <t>ProviderTHE BERKSHIRE INDEPENDENT HOSPITAL (NVC02)Knee ReplacementEQ VAS</t>
  </si>
  <si>
    <t>ProviderTHE HILLINGDON HOSPITALS NHS FOUNDATION TRUST (RAS)Knee ReplacementEQ VAS</t>
  </si>
  <si>
    <t>ProviderCOLCHESTER HOSPITAL UNIVERSITY NHS FOUNDATION TRUST (RDE)Knee ReplacementEQ VAS</t>
  </si>
  <si>
    <t>ProviderCLIFTON PARK HOSPITAL (NVC28)Knee ReplacementEQ VAS</t>
  </si>
  <si>
    <t>ProviderCLINICENTA SURGICENTRE (NW931)Knee ReplacementEQ VAS</t>
  </si>
  <si>
    <t>ProviderCITY HOSPITALS SUNDERLAND NHS FOUNDATION TRUST (RLN)Knee ReplacementEQ VAS</t>
  </si>
  <si>
    <t>ProviderCIRCLE BATH HOSPITAL (NV302)Knee ReplacementEQ VAS</t>
  </si>
  <si>
    <t>ProviderCIRCLE - NOTTINGHAM NHS TREATMENT CENTRE (NV313)Knee ReplacementEQ VAS</t>
  </si>
  <si>
    <t>ProviderCIRCLE READING HOSPITAL (NV323)Knee ReplacementEQ VAS</t>
  </si>
  <si>
    <t>ProviderCALDERDALE AND HUDDERSFIELD NHS FOUNDATION TRUST (RWY)Knee ReplacementEQ VAS</t>
  </si>
  <si>
    <t>ProviderCHESTERFIELD ROYAL HOSPITAL NHS FOUNDATION TRUST (RFS)Knee ReplacementEQ VAS</t>
  </si>
  <si>
    <t>ProviderCHELSEA AND WESTMINSTER HOSPITAL NHS FOUNDATION TRUST (RQM)Knee ReplacementEQ VAS</t>
  </si>
  <si>
    <t>ProviderCENTRAL MANCHESTER UNIVERSITY HOSPITALS NHS FOUNDATION TRUST (RW3)Knee ReplacementEQ VAS</t>
  </si>
  <si>
    <t>ProviderCAMBRIDGE UNIVERSITY HOSPITALS NHS FOUNDATION TRUST (RGT)Knee ReplacementEQ VAS</t>
  </si>
  <si>
    <t>ProviderCAMBRIDGE UNIVERSITY HOSPITALS NHS FOUNDATION TRUST (RGT)Knee ReplacementEQ-5D Index</t>
  </si>
  <si>
    <t>ProviderCENTRAL MANCHESTER UNIVERSITY HOSPITALS NHS FOUNDATION TRUST (RW3)Knee ReplacementEQ-5D Index</t>
  </si>
  <si>
    <t>ProviderCHELSEA AND WESTMINSTER HOSPITAL NHS FOUNDATION TRUST (RQM)Knee ReplacementEQ-5D Index</t>
  </si>
  <si>
    <t>ProviderCHESTERFIELD ROYAL HOSPITAL NHS FOUNDATION TRUST (RFS)Knee ReplacementEQ-5D Index</t>
  </si>
  <si>
    <t>ProviderCALDERDALE AND HUDDERSFIELD NHS FOUNDATION TRUST (RWY)Knee ReplacementEQ-5D Index</t>
  </si>
  <si>
    <t>ProviderCIRCLE READING HOSPITAL (NV323)Knee ReplacementEQ-5D Index</t>
  </si>
  <si>
    <t>ProviderCIRCLE - NOTTINGHAM NHS TREATMENT CENTRE (NV313)Knee ReplacementEQ-5D Index</t>
  </si>
  <si>
    <t>ProviderCIRCLE BATH HOSPITAL (NV302)Knee ReplacementEQ-5D Index</t>
  </si>
  <si>
    <t>ProviderCITY HOSPITALS SUNDERLAND NHS FOUNDATION TRUST (RLN)Knee ReplacementEQ-5D Index</t>
  </si>
  <si>
    <t>ProviderCLINICENTA SURGICENTRE (NW931)Knee ReplacementEQ-5D Index</t>
  </si>
  <si>
    <t>ProviderCLIFTON PARK HOSPITAL (NVC28)Knee ReplacementEQ-5D Index</t>
  </si>
  <si>
    <t>ProviderCOLCHESTER HOSPITAL UNIVERSITY NHS FOUNDATION TRUST (RDE)Knee ReplacementEQ-5D Index</t>
  </si>
  <si>
    <t>ProviderTHE HILLINGDON HOSPITALS NHS FOUNDATION TRUST (RAS)Knee ReplacementEQ-5D Index</t>
  </si>
  <si>
    <t>ProviderTHE BERKSHIRE INDEPENDENT HOSPITAL (NVC02)Knee ReplacementEQ-5D Index</t>
  </si>
  <si>
    <t>ProviderTHE DUDLEY GROUP NHS FOUNDATION TRUST (RNA)Knee ReplacementEQ-5D Index</t>
  </si>
  <si>
    <t>ProviderST GEORGE'S UNIVERSITY HOSPITALS NHS FOUNDATION TRUST (RJ7)Knee ReplacementEQ-5D Index</t>
  </si>
  <si>
    <t>ProviderST HELENS AND KNOWSLEY HOSPITALS NHS TRUST (RBN)Knee ReplacementEQ-5D Index</t>
  </si>
  <si>
    <t>ProviderST HUGH'S HOSPITAL (NTE02)Knee ReplacementEQ-5D Index</t>
  </si>
  <si>
    <t>ProviderSTOCKPORT NHS FOUNDATION TRUST (RWJ)Knee ReplacementEQ-5D Index</t>
  </si>
  <si>
    <t>ProviderSURREY AND SUSSEX HEALTHCARE NHS TRUST (RTP)Knee ReplacementEQ-5D Index</t>
  </si>
  <si>
    <t>ProviderTAMESIDE HOSPITAL NHS FOUNDATION TRUST (RMP)Knee ReplacementEQ-5D Index</t>
  </si>
  <si>
    <t>ProviderTAUNTON AND SOMERSET NHS FOUNDATION TRUST (RBA)Knee ReplacementEQ-5D Index</t>
  </si>
  <si>
    <t>ProviderSPIRE MANCHESTER HOSPITAL (NT327)Knee ReplacementEQ-5D Index</t>
  </si>
  <si>
    <t>ProviderSPIRE METHLEY PARK HOSPITAL (NT350)Knee ReplacementEQ-5D Index</t>
  </si>
  <si>
    <t>ProviderSPIRE MONTEFIORE HOSPITAL (NT364)Knee ReplacementEQ-5D Index</t>
  </si>
  <si>
    <t>ProviderSPIRE MURRAYFIELD HOSPITAL (NT325)Knee ReplacementEQ-5D Index</t>
  </si>
  <si>
    <t>ProviderSPIRE PARKWAY HOSPITAL (NT320)Knee ReplacementEQ-5D Index</t>
  </si>
  <si>
    <t>ProviderSPIRE PORTSMOUTH HOSPITAL (NT305)Knee ReplacementEQ-5D Index</t>
  </si>
  <si>
    <t>ProviderSPIRE REGENCY HOSPITAL (NT339)Knee ReplacementEQ-5D Index</t>
  </si>
  <si>
    <t>ProviderSPIRE NORWICH HOSPITAL (NT318)Knee ReplacementEQ-5D Index</t>
  </si>
  <si>
    <t>ProviderSPIRE RODING HOSPITAL (NT314)Knee ReplacementEQ-5D Index</t>
  </si>
  <si>
    <t>ProviderSPIRE SOUTH BANK HOSPITAL (NT301)Knee ReplacementEQ-5D Index</t>
  </si>
  <si>
    <t>ProviderSPIRE ST SAVIOURS HOSPITAL (NT346)Knee ReplacementEQ-5D Index</t>
  </si>
  <si>
    <t>ProviderSPIRE SUSSEX HOSPITAL (NT309)Knee ReplacementEQ-5D Index</t>
  </si>
  <si>
    <t>ProviderSPIRE THAMES VALLEY HOSPITAL (NT343)Knee ReplacementEQ-5D Index</t>
  </si>
  <si>
    <t>ProviderSPIRE TUNBRIDGE WELLS HOSPITAL (NT310)Knee ReplacementEQ-5D Index</t>
  </si>
  <si>
    <t>ProviderSPIRE WASHINGTON HOSPITAL (NT333)Knee ReplacementEQ-5D Index</t>
  </si>
  <si>
    <t>ProviderSPIRE WELLESLEY HOSPITAL (NT313)Knee ReplacementEQ-5D Index</t>
  </si>
  <si>
    <t>ProviderSPRINGFIELD HOSPITAL (NVC18)Knee ReplacementEQ-5D Index</t>
  </si>
  <si>
    <t>ProviderSPIRE LEEDS HOSPITAL (NT332)Knee ReplacementEQ-5D Index</t>
  </si>
  <si>
    <t>ProviderSPIRE HARPENDEN HOSPITAL (NT316)Knee ReplacementEQ-5D Index</t>
  </si>
  <si>
    <t>ProviderSPIRE LIVERPOOL HOSPITAL (NT337)Knee ReplacementEQ-5D Index</t>
  </si>
  <si>
    <t>ProviderRIVERS HOSPITAL (NVC19)Knee ReplacementEQ-5D Index</t>
  </si>
  <si>
    <t>ProviderSPIRE GATWICK PARK HOSPITAL (NT308)Knee ReplacementEQ-5D Index</t>
  </si>
  <si>
    <t>ProviderSPIRE HARTSWOOD HOSPITAL (NT319)Knee ReplacementEQ-5D Index</t>
  </si>
  <si>
    <t>ProviderSPIRE HULL AND EAST RIDING HOSPITAL (NT351)Knee ReplacementEQ-5D Index</t>
  </si>
  <si>
    <t>ProviderPENNINE ACUTE HOSPITALS NHS TRUST (RW6)Knee ReplacementEQ-5D Index</t>
  </si>
  <si>
    <t>ProviderORTHOPAEDICS &amp; SPINE SPECIALIST HOSPITAL SITE (NQM01)Knee ReplacementEQ-5D Index</t>
  </si>
  <si>
    <t>ProviderPENINSULA NHS TREATMENT CENTRE (NTC05)Knee ReplacementEQ-5D Index</t>
  </si>
  <si>
    <t>ProviderPETERBOROUGH AND STAMFORD HOSPITALS NHS FOUNDATION TRUST (RGN)Knee ReplacementEQ-5D Index</t>
  </si>
  <si>
    <t>ProviderPINEHILL HOSPITAL (NVC15)Knee ReplacementEQ-5D Index</t>
  </si>
  <si>
    <t>ProviderPLYMOUTH HOSPITALS NHS TRUST (RK9)Knee ReplacementEQ-5D Index</t>
  </si>
  <si>
    <t>ProviderPENINSULA NHS TREATMENT CENTRE (NTPH5)Knee ReplacementEQ-5D Index</t>
  </si>
  <si>
    <t>ProviderPORTSMOUTH HOSPITALS NHS TRUST (RHU)Knee ReplacementEQ-5D Index</t>
  </si>
  <si>
    <t>ProviderRENACRES HOSPITAL (NVC16)Knee ReplacementEQ-5D Index</t>
  </si>
  <si>
    <t>ProviderNUFFIELD HEALTH, SHREWSBURY HOSPITAL (NT235)Knee ReplacementEQ-5D Index</t>
  </si>
  <si>
    <t>ProviderNUFFIELD HEALTH, TAUNTON HOSPITAL (NT238)Knee ReplacementEQ-5D Index</t>
  </si>
  <si>
    <t>ProviderNUFFIELD HEALTH, TEES HOSPITAL (NT237)Knee ReplacementEQ-5D Index</t>
  </si>
  <si>
    <t>ProviderNUFFIELD HEALTH, THE GROSVENOR HOSPITAL, CHESTER (NT210)Knee ReplacementEQ-5D Index</t>
  </si>
  <si>
    <t>ProviderNUFFIELD HEALTH, TUNBRIDGE WELLS HOSPITAL (NT239)Knee ReplacementEQ-5D Index</t>
  </si>
  <si>
    <t>ProviderNUFFIELD HEALTH, WARWICKSHIRE HOSPITAL (NT224)Knee ReplacementEQ-5D Index</t>
  </si>
  <si>
    <t>ProviderNUFFIELD HEALTH, WESSEX HOSPITAL (NT214)Knee ReplacementEQ-5D Index</t>
  </si>
  <si>
    <t>ProviderNUFFIELD HEALTH, WOKING HOSPITAL (NT241)Knee ReplacementEQ-5D Index</t>
  </si>
  <si>
    <t>ProviderNUFFIELD HEALTH, WOLVERHAMPTON HOSPITAL (NT242)Knee ReplacementEQ-5D Index</t>
  </si>
  <si>
    <t>ProviderNUFFIELD HEALTH, YORK HOSPITAL (NT245)Knee ReplacementEQ-5D Index</t>
  </si>
  <si>
    <t>ProviderNUFFIELD HOSPITAL OXFORD (THE MANOR) (NT244)Knee ReplacementEQ-5D Index</t>
  </si>
  <si>
    <t>ProviderOAKLANDS HOSPITAL (NVC12)Knee ReplacementEQ-5D Index</t>
  </si>
  <si>
    <t>ProviderOAKS HOSPITAL (NVC13)Knee ReplacementEQ-5D Index</t>
  </si>
  <si>
    <t>ProviderONE HEALTH GROUP CLINIC - CLAREMONT (NTX12)Knee ReplacementEQ-5D Index</t>
  </si>
  <si>
    <t>ProviderONE HEALTH GROUP CLINIC - THORNBURY (NTX11)Knee ReplacementEQ-5D Index</t>
  </si>
  <si>
    <t>ProviderPARK HILL HOSPITAL (NVC14)Knee ReplacementEQ-5D Index</t>
  </si>
  <si>
    <t>ProviderBMI - THE MANOR HOSPITAL (NT423)Knee ReplacementEQ-5D Index</t>
  </si>
  <si>
    <t>ProviderBMI - THE MERIDEN HOSPITAL (NT424)Knee ReplacementEQ-5D Index</t>
  </si>
  <si>
    <t>ProviderBMI - THE PARK HOSPITAL (NT427)Knee ReplacementEQ-5D Index</t>
  </si>
  <si>
    <t>ProviderBMI - THE PRINCESS MARGARET HOSPITAL (NT428)Knee ReplacementEQ-5D Index</t>
  </si>
  <si>
    <t>ProviderBMI - THE RIDGEWAY HOSPITAL (NT430)Knee ReplacementEQ-5D Index</t>
  </si>
  <si>
    <t>ProviderBMI - THE RUNNYMEDE HOSPITAL (NT431)Knee ReplacementEQ-5D Index</t>
  </si>
  <si>
    <t>ProviderBMI - THE SANDRINGHAM HOSPITAL (NT432)Knee ReplacementEQ-5D Index</t>
  </si>
  <si>
    <t>ProviderBMI - THE SAXON CLINIC (NT434)Knee ReplacementEQ-5D Index</t>
  </si>
  <si>
    <t>ProviderBMI - THE SOMERFIELD HOSPITAL (NT438)Knee ReplacementEQ-5D Index</t>
  </si>
  <si>
    <t>ProviderBMI - THE PRIORY HOSPITAL (NT429)Knee ReplacementEQ-5D Index</t>
  </si>
  <si>
    <t>ProviderBMI - THE SHELBURNE HOSPITAL (NT435)Knee ReplacementEQ-5D Index</t>
  </si>
  <si>
    <t>ProviderBMI - THE SOUTH CHESHIRE PRIVATE HOSPITAL (NT439)Knee ReplacementEQ-5D Index</t>
  </si>
  <si>
    <t>ProviderBMI - THE WINTERBOURNE HOSPITAL (NT443)Knee ReplacementEQ-5D Index</t>
  </si>
  <si>
    <t>ProviderBMI - THORNBURY HOSPITAL (NT440)Knee ReplacementEQ-5D Index</t>
  </si>
  <si>
    <t>ProviderBMI - THREE SHIRES HOSPITAL (NT441)Knee ReplacementEQ-5D Index</t>
  </si>
  <si>
    <t>ProviderBMI GISBURNE PARK HOSPITAL (NT497)Knee ReplacementEQ-5D Index</t>
  </si>
  <si>
    <t>ProviderBMI MOUNT ALVERNIA HOSPITAL (NT455)Knee ReplacementEQ-5D Index</t>
  </si>
  <si>
    <t>ProviderBMI - THE SLOANE HOSPITAL (NT437)Knee ReplacementEQ-5D Index</t>
  </si>
  <si>
    <t>ProviderBMI ST EDMUNDS HOSPITAL (NT446)Knee ReplacementEQ-5D Index</t>
  </si>
  <si>
    <t>ProviderBMI THE CAVELL HOSPITAL (NT451)Knee ReplacementEQ-5D Index</t>
  </si>
  <si>
    <t>ProviderBMI THE DUCHY HOSPITAL (NT447)Knee ReplacementEQ-5D Index</t>
  </si>
  <si>
    <t>ProviderNUFFIELD HEALTH, DERBY HOSPITAL (NT213)Knee ReplacementEQ-5D Index</t>
  </si>
  <si>
    <t>ProviderNUFFIELD HEALTH, CHELTENHAM HOSPITAL (NT211)Knee ReplacementEQ-5D Index</t>
  </si>
  <si>
    <t>ProviderNUFFIELD HEALTH, CHICHESTER HOSPITAL (NT212)Knee ReplacementEQ-5D Index</t>
  </si>
  <si>
    <t>ProviderBMI THE EDGBASTON HOSPITAL (NT445)Knee ReplacementEQ-5D Index</t>
  </si>
  <si>
    <t>ProviderNUFFIELD HEALTH, EXETER HOSPITAL (NT215)Knee ReplacementEQ-5D Index</t>
  </si>
  <si>
    <t>ProviderNUFFIELD HEALTH, HAYWARDS HEATH HOSPITAL (NT218)Knee ReplacementEQ-5D Index</t>
  </si>
  <si>
    <t>ProviderBMI THE HUDDERSFIELD HOSPITAL (NT448)Knee ReplacementEQ-5D Index</t>
  </si>
  <si>
    <t>ProviderBMI THE LANCASTER HOSPITAL (NT449)Knee ReplacementEQ-5D Index</t>
  </si>
  <si>
    <t>ProviderBMI THE LINCOLN HOSPITAL (NT450)Knee ReplacementEQ-5D Index</t>
  </si>
  <si>
    <t>ProviderBMI WOODLANDS HOSPITAL (NT457)Knee ReplacementEQ-5D Index</t>
  </si>
  <si>
    <t>ProviderBOLTON NHS FOUNDATION TRUST (RMC)Knee ReplacementEQ-5D Index</t>
  </si>
  <si>
    <t>ProviderBRADFORD TEACHING HOSPITALS NHS FOUNDATION TRUST (RAE)Knee ReplacementEQ-5D Index</t>
  </si>
  <si>
    <t>ProviderBRAINTREE COMMUNITY HOSPITAL (NNQ01)Knee ReplacementEQ-5D Index</t>
  </si>
  <si>
    <t>ProviderBRIGHTON AND SUSSEX UNIVERSITY HOSPITALS NHS TRUST (RXH)Knee ReplacementEQ-5D Index</t>
  </si>
  <si>
    <t>ProviderBUCKINGHAMSHIRE HEALTHCARE NHS TRUST (RXQ)Knee ReplacementEQ-5D Index</t>
  </si>
  <si>
    <t>ProviderBURTON HOSPITALS NHS FOUNDATION TRUST (RJF)Knee ReplacementEQ-5D Index</t>
  </si>
  <si>
    <t>ProviderTHE ROYAL ORTHOPAEDIC HOSPITAL NHS FOUNDATION TRUST (RRJ)Knee ReplacementEQ-5D Index</t>
  </si>
  <si>
    <t>ProviderTHE ROYAL WOLVERHAMPTON NHS TRUST (RL4)Knee ReplacementEQ-5D Index</t>
  </si>
  <si>
    <t>ProviderNUFFIELD HEALTH, HEREFORD HOSPITAL (NT219)Knee ReplacementEQ-5D Index</t>
  </si>
  <si>
    <t>ProviderNUFFIELD HEALTH, IPSWICH HOSPITAL (NT222)Knee ReplacementEQ-5D Index</t>
  </si>
  <si>
    <t>ProviderNUFFIELD HEALTH, LEEDS HOSPITAL (NT225)Knee ReplacementEQ-5D Index</t>
  </si>
  <si>
    <t>ProviderNUFFIELD HEALTH, LEICESTER HOSPITAL (NT226)Knee ReplacementEQ-5D Index</t>
  </si>
  <si>
    <t>ProviderNUFFIELD HEALTH, NEWCASTLE UPON TYNE HOSPITAL (NT229)Knee ReplacementEQ-5D Index</t>
  </si>
  <si>
    <t>ProviderNUFFIELD HEALTH, NORTH STAFFORDSHIRE HOSPITAL (NT230)Knee ReplacementEQ-5D Index</t>
  </si>
  <si>
    <t>ProviderNUFFIELD HEALTH, PLYMOUTH HOSPITAL (NT233)Knee ReplacementEQ-5D Index</t>
  </si>
  <si>
    <t>ProviderSPIRE BUSHEY HOSPITAL (NT315)Knee ReplacementEQ-5D Index</t>
  </si>
  <si>
    <t>ProviderSPIRE CLARE PARK HOSPITAL (NT345)Knee ReplacementEQ-5D Index</t>
  </si>
  <si>
    <t>ProviderSPIRE DUNEDIN HOSPITAL (NT344)Knee ReplacementEQ-5D Index</t>
  </si>
  <si>
    <t>ProviderSPIRE ELLAND HOSPITAL (NT348)Knee ReplacementEQ-5D Index</t>
  </si>
  <si>
    <t>ProviderSPIRE FYLDE COAST HOSPITAL (NT347)Knee ReplacementEQ-5D Index</t>
  </si>
  <si>
    <t>ProviderSOUTH WARWICKSHIRE NHS FOUNDATION TRUST (RJC)Knee ReplacementEQ-5D Index</t>
  </si>
  <si>
    <t>ProviderSOUTHAMPTON NHS TREATMENT CENTRE (NTP11)Knee ReplacementEQ-5D Index</t>
  </si>
  <si>
    <t>ProviderSOUTHEND UNIVERSITY HOSPITAL NHS FOUNDATION TRUST (RAJ)Knee ReplacementEQ-5D Index</t>
  </si>
  <si>
    <t>ProviderSOUTHPORT AND ORMSKIRK HOSPITAL NHS TRUST (RVY)Knee ReplacementEQ-5D Index</t>
  </si>
  <si>
    <t>ProviderSPIRE ALEXANDRA HOSPITAL (NT312)Knee ReplacementEQ-5D Index</t>
  </si>
  <si>
    <t>ProviderROYAL NATIONAL ORTHOPAEDIC HOSPITAL NHS TRUST (RAN)Knee ReplacementEQ-5D Index</t>
  </si>
  <si>
    <t>ProviderSPIRE BRISTOL HOSPITAL (NT302)Knee ReplacementEQ-5D Index</t>
  </si>
  <si>
    <t>ProviderSPIRE CAMBRIDGE LEA HOSPITAL (NT317)Knee ReplacementEQ-5D Index</t>
  </si>
  <si>
    <t>ProviderSPIRE CHESHIRE HOSPITAL (NT324)Knee ReplacementEQ-5D Index</t>
  </si>
  <si>
    <t>ProviderROYAL DEVON AND EXETER NHS FOUNDATION TRUST (RH8)Knee ReplacementEQ-5D Index</t>
  </si>
  <si>
    <t>ProviderROYAL FREE LONDON NHS FOUNDATION TRUST (RAL)Knee ReplacementEQ-5D Index</t>
  </si>
  <si>
    <t>ProviderROYAL LIVERPOOL AND BROADGREEN UNIVERSITY HOSPITALS NHS TRUST (RQ6)Knee ReplacementEQ-5D Index</t>
  </si>
  <si>
    <t>ProviderROYAL SURREY COUNTY HOSPITAL NHS FOUNDATION TRUST (RA2)Knee ReplacementEQ-5D Index</t>
  </si>
  <si>
    <t>ProviderROYAL UNITED HOSPITALS BATH NHS FOUNDATION TRUST (RD1)Knee ReplacementEQ-5D Index</t>
  </si>
  <si>
    <t>ProviderSALFORD ROYAL NHS FOUNDATION TRUST (RM3)Knee ReplacementEQ-5D Index</t>
  </si>
  <si>
    <t>ProviderSALISBURY NHS FOUNDATION TRUST (RNZ)Knee ReplacementEQ-5D Index</t>
  </si>
  <si>
    <t>ProviderSANDWELL AND WEST BIRMINGHAM HOSPITALS NHS TRUST (RXK)Knee ReplacementEQ-5D Index</t>
  </si>
  <si>
    <t>ProviderSHEFFIELD TEACHING HOSPITALS NHS FOUNDATION TRUST (RHQ)Knee ReplacementEQ-5D Index</t>
  </si>
  <si>
    <t>ProviderSHEPTON MALLET NHS TREATMENT CENTRE (NTC01)Knee ReplacementEQ-5D Index</t>
  </si>
  <si>
    <t>ProviderSHEPTON MALLET NHS TREATMENT CENTRE (NTPH1)Knee ReplacementEQ-5D Index</t>
  </si>
  <si>
    <t>ProviderSHERWOOD FOREST HOSPITALS NHS FOUNDATION TRUST (RK5)Knee ReplacementEQ-5D Index</t>
  </si>
  <si>
    <t>ProviderSHREWSBURY AND TELFORD HOSPITAL NHS TRUST (RXW)Knee ReplacementEQ-5D Index</t>
  </si>
  <si>
    <t>ProviderSOUTH TEES HOSPITALS NHS FOUNDATION TRUST (RTR)Knee ReplacementEQ-5D Index</t>
  </si>
  <si>
    <t>ProviderSOUTH TYNESIDE NHS FOUNDATION TRUST (RE9)Knee ReplacementEQ-5D Index</t>
  </si>
  <si>
    <t>ProviderBMI - FAWKHAM MANOR HOSPITAL (NT414)Knee ReplacementEQ-5D Index</t>
  </si>
  <si>
    <t>ProviderBMI - BATH CLINIC (NT402)Knee ReplacementEQ-5D Index</t>
  </si>
  <si>
    <t>ProviderBMI - BISHOPS WOOD (NT405)Knee ReplacementEQ-5D Index</t>
  </si>
  <si>
    <t>ProviderBMI - CHELSFIELD PARK HOSPITAL (NT409)Knee ReplacementEQ-5D Index</t>
  </si>
  <si>
    <t>ProviderASPEN - CLAREMONT HOSPITAL (NYW04)Knee ReplacementEQ-5D Index</t>
  </si>
  <si>
    <t>ProviderASPEN - HIGHGATE HOSPITAL (NYW03)Knee ReplacementEQ-5D Index</t>
  </si>
  <si>
    <t>ProviderASPEN - HOLLY HOUSE HOSPITAL (NYW01)Knee ReplacementEQ-5D Index</t>
  </si>
  <si>
    <t>ProviderBARKING, HAVERING AND REDBRIDGE UNIVERSITY HOSPITALS NHS TRUST (RF4)Knee ReplacementEQ-5D Index</t>
  </si>
  <si>
    <t>ProviderBARNET AND CHASE FARM HOSPITALS NHS TRUST (RVL)Knee ReplacementEQ-5D Index</t>
  </si>
  <si>
    <t>ProviderYORK TEACHING HOSPITAL NHS FOUNDATION TRUST (RCB)Knee ReplacementEQ-5D Index</t>
  </si>
  <si>
    <t>ProviderWYE VALLEY NHS TRUST (RLQ)Knee ReplacementEQ-5D Index</t>
  </si>
  <si>
    <t>ProviderYEOVIL DISTRICT HOSPITAL NHS FOUNDATION TRUST (RA4)Knee ReplacementEQ-5D Index</t>
  </si>
  <si>
    <t>ProviderLEWISHAM AND GREENWICH NHS TRUST (RJ2)Knee ReplacementEQ-5D Index</t>
  </si>
  <si>
    <t>ProviderWESTON AREA HEALTH NHS TRUST (RA3)Knee ReplacementEQ-5D Index</t>
  </si>
  <si>
    <t>ProviderWINFIELD HOSPITAL (NVC22)Knee ReplacementEQ-5D Index</t>
  </si>
  <si>
    <t>ProviderWIRRAL UNIVERSITY TEACHING HOSPITAL NHS FOUNDATION TRUST (RBL)Knee ReplacementEQ-5D Index</t>
  </si>
  <si>
    <t>ProviderWOODLAND HOSPITAL (NVC23)Knee ReplacementEQ-5D Index</t>
  </si>
  <si>
    <t>ProviderWORCESTERSHIRE ACUTE HOSPITALS NHS TRUST (RWP)Knee ReplacementEQ-5D Index</t>
  </si>
  <si>
    <t>ProviderWRIGHTINGTON, WIGAN AND LEIGH NHS FOUNDATION TRUST (RRF)Knee ReplacementEQ-5D Index</t>
  </si>
  <si>
    <t>ProviderBARNSLEY HOSPITAL NHS FOUNDATION TRUST (RFF)Knee ReplacementEQ-5D Index</t>
  </si>
  <si>
    <t>ProviderBARTS HEALTH NHS TRUST (R1H)Knee ReplacementEQ-5D Index</t>
  </si>
  <si>
    <t>ProviderBASILDON AND THURROCK UNIVERSITY HOSPITALS NHS FOUNDATION TRUST (RDD)Knee ReplacementEQ-5D Index</t>
  </si>
  <si>
    <t>ProviderBEDFORD HOSPITAL NHS TRUST (RC1)Knee ReplacementEQ-5D Index</t>
  </si>
  <si>
    <t>ProviderBLACKPOOL TEACHING HOSPITALS NHS FOUNDATION TRUST (RXL)Knee ReplacementEQ-5D Index</t>
  </si>
  <si>
    <t>ProviderBARLBOROUGH NHS TREATMENT CENTRE (NTP13)Knee ReplacementEQ-5D Index</t>
  </si>
  <si>
    <t>ProviderBENENDEN HOSPITAL (NWF01)Knee ReplacementEQ-5D Index</t>
  </si>
  <si>
    <t>ProviderKING'S COLLEGE HOSPITAL NHS FOUNDATION TRUST (RJZ)Knee ReplacementEQ-5D Index</t>
  </si>
  <si>
    <t>ProviderLANCASHIRE TEACHING HOSPITALS NHS FOUNDATION TRUST (RXN)Knee ReplacementEQ-5D Index</t>
  </si>
  <si>
    <t>ProviderBMI - HENDON HOSPITAL (NT416)Knee ReplacementEQ-5D Index</t>
  </si>
  <si>
    <t>ProviderBMI - SARUM ROAD HOSPITAL (NT433)Knee ReplacementEQ-5D Index</t>
  </si>
  <si>
    <t>ProviderBMI - SHIRLEY OAKS HOSPITAL (NT436)Knee ReplacementEQ-5D Index</t>
  </si>
  <si>
    <t>ProviderBMI - THE ALEXANDRA HOSPITAL (NT401)Knee ReplacementEQ-5D Index</t>
  </si>
  <si>
    <t>ProviderBMI - THE BEARDWOOD HOSPITAL (NT403)Knee ReplacementEQ-5D Index</t>
  </si>
  <si>
    <t>ProviderBMI - THE BEAUMONT HOSPITAL (NT404)Knee ReplacementEQ-5D Index</t>
  </si>
  <si>
    <t>ProviderBMI - THE BLACKHEATH HOSPITAL (NT406)Knee ReplacementEQ-5D Index</t>
  </si>
  <si>
    <t>ProviderBMI - THE CHAUCER HOSPITAL (NT408)Knee ReplacementEQ-5D Index</t>
  </si>
  <si>
    <t>ProviderBMI - THE CHILTERN HOSPITAL (NT410)Knee ReplacementEQ-5D Index</t>
  </si>
  <si>
    <t>ProviderBMI - THE CLEMENTINE CHURCHILL HOSPITAL (NT411)Knee ReplacementEQ-5D Index</t>
  </si>
  <si>
    <t>ProviderBMI - THE DROITWICH SPA HOSPITAL (NT412)Knee ReplacementEQ-5D Index</t>
  </si>
  <si>
    <t>ProviderBMI - THE ESPERANCE HOSPITAL (NT413)Knee ReplacementEQ-5D Index</t>
  </si>
  <si>
    <t>ProviderBMI - THE FOSCOTE HOSPITAL (NT415)Knee ReplacementEQ-5D Index</t>
  </si>
  <si>
    <t>ProviderBMI - THE HAMPSHIRE CLINIC (NT418)Knee ReplacementEQ-5D Index</t>
  </si>
  <si>
    <t>ProviderBMI - THE HIGHFIELD HOSPITAL (NT420)Knee ReplacementEQ-5D Index</t>
  </si>
  <si>
    <t>ProviderBMI - THE HARBOUR HOSPITAL (NT419)Knee ReplacementEQ-5D Index</t>
  </si>
  <si>
    <t>ProviderBMI - GORING HALL HOSPITAL (NT417)Knee ReplacementEQ-5D Index</t>
  </si>
  <si>
    <t>ProviderBMI - THE KINGS OAK HOSPITAL (NT421)Knee ReplacementEQ-5D Index</t>
  </si>
  <si>
    <t>ProviderBMI - THE LONDON INDEPENDENT HOSPITAL (NT422)Knee ReplacementEQ-5D Index</t>
  </si>
  <si>
    <t>ProviderLUTON AND DUNSTABLE UNIVERSITY HOSPITAL NHS FOUNDATION TRUST (RC9)Knee ReplacementEQ-5D Index</t>
  </si>
  <si>
    <t>ProviderMAIDSTONE AND TUNBRIDGE WELLS NHS TRUST (RWF)Knee ReplacementEQ-5D Index</t>
  </si>
  <si>
    <t>ProviderMEDWAY NHS FOUNDATION TRUST (RPA)Knee ReplacementEQ-5D Index</t>
  </si>
  <si>
    <t>ProviderMID CHESHIRE HOSPITALS NHS FOUNDATION TRUST (RBT)Knee ReplacementEQ-5D Index</t>
  </si>
  <si>
    <t>ProviderMID ESSEX HOSPITAL SERVICES NHS TRUST (RQ8)Knee ReplacementEQ-5D Index</t>
  </si>
  <si>
    <t>ProviderMID STAFFORDSHIRE NHS FOUNDATION TRUST (RJD)Knee ReplacementEQ-5D Index</t>
  </si>
  <si>
    <t>ProviderMID YORKSHIRE HOSPITALS NHS TRUST (RXF)Knee ReplacementEQ-5D Index</t>
  </si>
  <si>
    <t>ProviderMOUNT STUART HOSPITAL (NVC08)Knee ReplacementEQ-5D Index</t>
  </si>
  <si>
    <t>ProviderNEW HALL HOSPITAL (NVC09)Knee ReplacementEQ-5D Index</t>
  </si>
  <si>
    <t>ProviderNORFOLK AND NORWICH UNIVERSITY HOSPITALS NHS FOUNDATION TRUST (RM1)Knee ReplacementEQ-5D Index</t>
  </si>
  <si>
    <t>ProviderNORTH BRISTOL NHS TRUST (RVJ)Knee ReplacementEQ-5D Index</t>
  </si>
  <si>
    <t>ProviderNORTH CUMBRIA UNIVERSITY HOSPITALS NHS TRUST (RNL)Knee ReplacementEQ-5D Index</t>
  </si>
  <si>
    <t>ProviderNORTH DOWNS HOSPITAL (NVC11)Knee ReplacementEQ-5D Index</t>
  </si>
  <si>
    <t>ProviderNORTH EAST LONDON TREATMENT CENTRE CARE UK (NTP15)Knee ReplacementEQ-5D Index</t>
  </si>
  <si>
    <t>ProviderNORTH MIDDLESEX UNIVERSITY HOSPITAL NHS TRUST (RAP)Knee ReplacementEQ-5D Index</t>
  </si>
  <si>
    <t>ProviderNORTH TEES AND HARTLEPOOL NHS FOUNDATION TRUST (RVW)Knee ReplacementEQ-5D Index</t>
  </si>
  <si>
    <t>ProviderNORTH WEST LONDON HOSPITALS NHS TRUST (RV8)Knee ReplacementEQ-5D Index</t>
  </si>
  <si>
    <t>ProviderNORTHAMPTON GENERAL HOSPITAL NHS TRUST (RNS)Knee ReplacementEQ-5D Index</t>
  </si>
  <si>
    <t>ProviderNORTHERN DEVON HEALTHCARE NHS TRUST (RBZ)Knee ReplacementEQ-5D Index</t>
  </si>
  <si>
    <t>ProviderNORTHERN LINCOLNSHIRE AND GOOLE NHS FOUNDATION TRUST (RJL)Knee ReplacementEQ-5D Index</t>
  </si>
  <si>
    <t>ProviderNORTHUMBRIA HEALTHCARE NHS FOUNDATION TRUST (RTF)Knee ReplacementEQ-5D Index</t>
  </si>
  <si>
    <t>ProviderNOTTINGHAM UNIVERSITY HOSPITALS NHS TRUST (RX1)Knee ReplacementEQ-5D Index</t>
  </si>
  <si>
    <t>ProviderNUFFIELD HEALTH, BRENTWOOD HOSPITAL (NT204)Knee ReplacementEQ-5D Index</t>
  </si>
  <si>
    <t>ProviderNEW HALL NHS TREATMENT CENTRE (NVC10)Knee ReplacementEQ-5D Index</t>
  </si>
  <si>
    <t>ProviderNUFFIELD HEALTH, BRIGHTON HOSPITAL (NT205)Knee ReplacementEQ-5D Index</t>
  </si>
  <si>
    <t>ProviderNUFFIELD HEALTH, BRISTOL HOSPITAL (CHESTERFIELD) (NT206)Knee ReplacementEQ-5D Index</t>
  </si>
  <si>
    <t>ProviderTHE ROYAL BOURNEMOUTH AND CHRISTCHURCH HOSPITALS NHS FOUNDATION TRUST (RDZ)Knee ReplacementEQ-5D Index</t>
  </si>
  <si>
    <t>ProviderNUFFIELD HEALTH, CAMBRIDGE HOSPITAL (NT209)Knee ReplacementEQ-5D Index</t>
  </si>
  <si>
    <t>ProviderWESTERN SUSSEX HOSPITALS NHS FOUNDATION TRUST (RYR)Knee ReplacementEQ-5D Index</t>
  </si>
  <si>
    <t>ProviderWEST MIDLANDS HOSPITAL (NVC21)Knee ReplacementEQ-5D Index</t>
  </si>
  <si>
    <t>ProviderWEST SUFFOLK NHS FOUNDATION TRUST (RGR)Knee ReplacementEQ-5D Index</t>
  </si>
  <si>
    <t>ProviderUNIVERSITY HOSPITALS COVENTRY AND WARWICKSHIRE NHS TRUST (RKB)Knee ReplacementEQ-5D Index</t>
  </si>
  <si>
    <t>ProviderUNIVERSITY HOSPITALS OF LEICESTER NHS TRUST (RWE)Knee ReplacementEQ-5D Index</t>
  </si>
  <si>
    <t>ProviderUNIVERSITY HOSPITALS OF MORECAMBE BAY NHS FOUNDATION TRUST (RTX)Knee ReplacementEQ-5D Index</t>
  </si>
  <si>
    <t>ProviderUNIVERSITY HOSPITALS OF NORTH MIDLANDS NHS TRUST (RJE)Knee ReplacementEQ-5D Index</t>
  </si>
  <si>
    <t>ProviderWALSALL HEALTHCARE NHS TRUST (RBK)Knee ReplacementEQ-5D Index</t>
  </si>
  <si>
    <t>ProviderWARRINGTON AND HALTON HOSPITALS NHS FOUNDATION TRUST (RWW)Knee ReplacementEQ-5D Index</t>
  </si>
  <si>
    <t>ProviderWEST HERTFORDSHIRE HOSPITALS NHS TRUST (RWG)Knee ReplacementEQ-5D Index</t>
  </si>
  <si>
    <t>ProviderWEST MIDDLESEX UNIVERSITY HOSPITAL NHS TRUST (RFW)Knee ReplacementEQ-5D Index</t>
  </si>
  <si>
    <t>ProviderTHE ROTHERHAM NHS FOUNDATION TRUST (RFR)Knee ReplacementEQ-5D Index</t>
  </si>
  <si>
    <t>ProviderTHE ROBERT JONES AND AGNES HUNT ORTHOPAEDIC HOSPITAL NHS FOUNDATION TRUST (RL1)Knee ReplacementEQ-5D Index</t>
  </si>
  <si>
    <t>ProviderTHE HORDER CENTRE - ST JOHNS ROAD (NXM01)Knee ReplacementEQ-5D Index</t>
  </si>
  <si>
    <t>ProviderROYAL CORNWALL HOSPITALS NHS TRUST (REF)Knee ReplacementEQ-5D Index</t>
  </si>
  <si>
    <t>ProviderTHE NEWCASTLE UPON TYNE HOSPITALS NHS FOUNDATION TRUST (RTD)Knee ReplacementEQ-5D Index</t>
  </si>
  <si>
    <t>ProviderTHE PRINCESS ALEXANDRA HOSPITAL NHS TRUST (RQW)Knee ReplacementEQ-5D Index</t>
  </si>
  <si>
    <t>ProviderTHE QUEEN ELIZABETH HOSPITAL, KING'S LYNN, NHS FOUNDATION TRUST (RCX)Knee ReplacementEQ-5D Index</t>
  </si>
  <si>
    <t>ProviderTHE SPENCER WING (RAMSGATE ROAD) (NN801)Knee ReplacementEQ-5D Index</t>
  </si>
  <si>
    <t>ProviderTHE YORKSHIRE CLINIC (NVC20)Knee ReplacementEQ-5D Index</t>
  </si>
  <si>
    <t>ProviderUNITED LINCOLNSHIRE HOSPITALS NHS TRUST (RWD)Knee ReplacementEQ-5D Index</t>
  </si>
  <si>
    <t>ProviderTYNESIDE SURGICAL SERVICES AT THE NORTH EAST NHS SURGERY CENTRE (NN401)Knee ReplacementEQ-5D Index</t>
  </si>
  <si>
    <t>ProviderUNIVERSITY COLLEGE LONDON HOSPITALS NHS FOUNDATION TRUST (RRV)Knee ReplacementEQ-5D Index</t>
  </si>
  <si>
    <t>ProviderUNIVERSITY HOSPITAL OF SOUTH MANCHESTER NHS FOUNDATION TRUST (RM2)Knee ReplacementEQ-5D Index</t>
  </si>
  <si>
    <t>ProviderUNIVERSITY HOSPITAL SOUTHAMPTON NHS FOUNDATION TRUST (RHM)Knee ReplacementEQ-5D Index</t>
  </si>
  <si>
    <t>ProviderCOUNTESS OF CHESTER HOSPITAL NHS FOUNDATION TRUST (RJR)Knee ReplacementEQ-5D Index</t>
  </si>
  <si>
    <t>ProviderCOUNTY DURHAM AND DARLINGTON NHS FOUNDATION TRUST (RXP)Knee ReplacementEQ-5D Index</t>
  </si>
  <si>
    <t>ProviderDARTFORD AND GRAVESHAM NHS TRUST (RN7)Knee ReplacementEQ-5D Index</t>
  </si>
  <si>
    <t>ProviderDERBY TEACHING HOSPITALS NHS FOUNDATION TRUST (RTG)Knee ReplacementEQ-5D Index</t>
  </si>
  <si>
    <t>ProviderDONCASTER AND BASSETLAW HOSPITALS NHS FOUNDATION TRUST (RP5)Knee ReplacementEQ-5D Index</t>
  </si>
  <si>
    <t>ProviderDORSET COUNTY HOSPITAL NHS FOUNDATION TRUST (RBD)Knee ReplacementEQ-5D Index</t>
  </si>
  <si>
    <t>ProviderDUCHY HOSPITAL (NVC04)Knee ReplacementEQ-5D Index</t>
  </si>
  <si>
    <t>ProviderEAST AND NORTH HERTFORDSHIRE NHS TRUST (RWH)Knee ReplacementEQ-5D Index</t>
  </si>
  <si>
    <t>ProviderEAST CHESHIRE NHS TRUST (RJN)Knee ReplacementEQ-5D Index</t>
  </si>
  <si>
    <t>ProviderEAST KENT HOSPITALS UNIVERSITY NHS FOUNDATION TRUST (RVV)Knee ReplacementEQ-5D Index</t>
  </si>
  <si>
    <t>ProviderEAST LANCASHIRE HOSPITALS NHS TRUST (RXR)Knee ReplacementEQ-5D Index</t>
  </si>
  <si>
    <t>ProviderEAST SUSSEX HEALTHCARE NHS TRUST (RXC)Knee ReplacementEQ-5D Index</t>
  </si>
  <si>
    <t>ProviderEMERSONS GREEN NHS TREATMENT CENTRE (NTPH2)Knee ReplacementEQ-5D Index</t>
  </si>
  <si>
    <t>ProviderROWLEY HALL HOSPITAL (NVC17)Knee ReplacementEQ-5D Index</t>
  </si>
  <si>
    <t>ProviderROYAL BERKSHIRE NHS FOUNDATION TRUST (RHW)Knee ReplacementEQ-5D Index</t>
  </si>
  <si>
    <t>ProviderEALING HOSPITAL NHS TRUST (RC3)Knee ReplacementEQ-5D Index</t>
  </si>
  <si>
    <t>ProviderAINTREE UNIVERSITY HOSPITAL NHS FOUNDATION TRUST (REM)Knee ReplacementEQ-5D Index</t>
  </si>
  <si>
    <t>ProviderAIREDALE NHS FOUNDATION TRUST (RCF)Knee ReplacementEQ-5D Index</t>
  </si>
  <si>
    <t>ProviderASHFORD AND ST PETER'S HOSPITALS NHS FOUNDATION TRUST (RTK)Knee ReplacementEQ-5D Index</t>
  </si>
  <si>
    <t>ProviderASHTEAD HOSPITAL (NVC01)Knee ReplacementEQ-5D Index</t>
  </si>
  <si>
    <t>ProviderEPSOM AND ST HELIER UNIVERSITY HOSPITALS NHS TRUST (RVR)Knee ReplacementEQ-5D Index</t>
  </si>
  <si>
    <t>ProviderEUXTON HALL HOSPITAL (NVC05)Knee ReplacementEQ-5D Index</t>
  </si>
  <si>
    <t>ProviderFAIRFIELD HOSPITAL (NVG01)Knee ReplacementEQ-5D Index</t>
  </si>
  <si>
    <t>ProviderFITZWILLIAM HOSPITAL (NVC06)Knee ReplacementEQ-5D Index</t>
  </si>
  <si>
    <t>ProviderFRIMLEY HEALTH NHS FOUNDATION TRUST (RDU)Knee ReplacementEQ-5D Index</t>
  </si>
  <si>
    <t>ProviderFULWOOD HALL HOSPITAL (NVC07)Knee ReplacementEQ-5D Index</t>
  </si>
  <si>
    <t>ProviderGATESHEAD HEALTH NHS FOUNDATION TRUST (RR7)Knee ReplacementEQ-5D Index</t>
  </si>
  <si>
    <t>ProviderGEORGE ELIOT HOSPITAL NHS TRUST (RLT)Knee ReplacementEQ-5D Index</t>
  </si>
  <si>
    <t>ProviderGLOUCESTERSHIRE HOSPITALS NHS FOUNDATION TRUST (RTE)Knee ReplacementEQ-5D Index</t>
  </si>
  <si>
    <t>ProviderGREAT WESTERN HOSPITALS NHS FOUNDATION TRUST (RN3)Knee ReplacementEQ-5D Index</t>
  </si>
  <si>
    <t>ProviderGUY'S AND ST THOMAS' NHS FOUNDATION TRUST (RJ1)Knee ReplacementEQ-5D Index</t>
  </si>
  <si>
    <t>ProviderHAMPSHIRE HOSPITALS NHS FOUNDATION TRUST (RN5)Knee ReplacementEQ-5D Index</t>
  </si>
  <si>
    <t>ProviderHARROGATE AND DISTRICT NHS FOUNDATION TRUST (RCD)Knee ReplacementEQ-5D Index</t>
  </si>
  <si>
    <t>ProviderHEART OF ENGLAND NHS FOUNDATION TRUST (RR1)Knee ReplacementEQ-5D Index</t>
  </si>
  <si>
    <t>ProviderHEATHERWOOD AND WEXHAM PARK HOSPITALS NHS FOUNDATION TRUST (RD7)Knee ReplacementEQ-5D Index</t>
  </si>
  <si>
    <t>ProviderHINCHINGBROOKE HEALTH CARE NHS TRUST (RQQ)Knee ReplacementEQ-5D Index</t>
  </si>
  <si>
    <t>ProviderHOMERTON UNIVERSITY HOSPITAL NHS FOUNDATION TRUST (RQX)Knee ReplacementEQ-5D Index</t>
  </si>
  <si>
    <t>ProviderHORTON NHS TREATMENT CENTRE (NVC25)Knee ReplacementEQ-5D Index</t>
  </si>
  <si>
    <t>ProviderHULL AND EAST YORKSHIRE HOSPITALS NHS TRUST (RWA)Knee ReplacementEQ-5D Index</t>
  </si>
  <si>
    <t>ProviderIPSWICH HOSPITAL NHS TRUST (RGQ)Knee ReplacementEQ-5D Index</t>
  </si>
  <si>
    <t>ProviderIMPERIAL COLLEGE HEALTHCARE NHS TRUST (RYJ)Knee ReplacementEQ-5D Index</t>
  </si>
  <si>
    <t>ProviderISLE OF WIGHT NHS TRUST (R1F)Knee ReplacementEQ-5D Index</t>
  </si>
  <si>
    <t>ProviderJAMES PAGET UNIVERSITY HOSPITALS NHS FOUNDATION TRUST (RGP)Knee ReplacementEQ-5D Index</t>
  </si>
  <si>
    <t>ProviderKETTERING GENERAL HOSPITAL NHS FOUNDATION TRUST (RNQ)Knee ReplacementEQ-5D Index</t>
  </si>
  <si>
    <t>ProviderSPIRE LITTLE ASTON HOSPITAL (NT321)Knee ReplacementEQ-5D Index</t>
  </si>
  <si>
    <t>ProviderLEEDS TEACHING HOSPITALS NHS TRUST (RR8)Knee ReplacementEQ-5D Index</t>
  </si>
  <si>
    <t>ProviderSPIRE LEICESTER HOSPITAL (NT322)Knee ReplacementEQ-5D Index</t>
  </si>
  <si>
    <t>ProviderSPIRE LEICESTER HOSPITAL (NT322)Knee ReplacementOxford Knee Score</t>
  </si>
  <si>
    <t>ProviderLEEDS TEACHING HOSPITALS NHS TRUST (RR8)Knee ReplacementOxford Knee Score</t>
  </si>
  <si>
    <t>ProviderSPIRE LITTLE ASTON HOSPITAL (NT321)Knee ReplacementOxford Knee Score</t>
  </si>
  <si>
    <t>ProviderKETTERING GENERAL HOSPITAL NHS FOUNDATION TRUST (RNQ)Knee ReplacementOxford Knee Score</t>
  </si>
  <si>
    <t>ProviderJAMES PAGET UNIVERSITY HOSPITALS NHS FOUNDATION TRUST (RGP)Knee ReplacementOxford Knee Score</t>
  </si>
  <si>
    <t>ProviderISLE OF WIGHT NHS TRUST (R1F)Knee ReplacementOxford Knee Score</t>
  </si>
  <si>
    <t>ProviderIMPERIAL COLLEGE HEALTHCARE NHS TRUST (RYJ)Knee ReplacementOxford Knee Score</t>
  </si>
  <si>
    <t>ProviderIPSWICH HOSPITAL NHS TRUST (RGQ)Knee ReplacementOxford Knee Score</t>
  </si>
  <si>
    <t>ProviderHULL AND EAST YORKSHIRE HOSPITALS NHS TRUST (RWA)Knee ReplacementOxford Knee Score</t>
  </si>
  <si>
    <t>ProviderHORTON NHS TREATMENT CENTRE (NVC25)Knee ReplacementOxford Knee Score</t>
  </si>
  <si>
    <t>ProviderHOMERTON UNIVERSITY HOSPITAL NHS FOUNDATION TRUST (RQX)Knee ReplacementOxford Knee Score</t>
  </si>
  <si>
    <t>ProviderHINCHINGBROOKE HEALTH CARE NHS TRUST (RQQ)Knee ReplacementOxford Knee Score</t>
  </si>
  <si>
    <t>ProviderHEATHERWOOD AND WEXHAM PARK HOSPITALS NHS FOUNDATION TRUST (RD7)Knee ReplacementOxford Knee Score</t>
  </si>
  <si>
    <t>ProviderHEART OF ENGLAND NHS FOUNDATION TRUST (RR1)Knee ReplacementOxford Knee Score</t>
  </si>
  <si>
    <t>ProviderHARROGATE AND DISTRICT NHS FOUNDATION TRUST (RCD)Knee ReplacementOxford Knee Score</t>
  </si>
  <si>
    <t>ProviderHAMPSHIRE HOSPITALS NHS FOUNDATION TRUST (RN5)Knee ReplacementOxford Knee Score</t>
  </si>
  <si>
    <t>ProviderGUY'S AND ST THOMAS' NHS FOUNDATION TRUST (RJ1)Knee ReplacementOxford Knee Score</t>
  </si>
  <si>
    <t>ProviderGREAT WESTERN HOSPITALS NHS FOUNDATION TRUST (RN3)Knee ReplacementOxford Knee Score</t>
  </si>
  <si>
    <t>ProviderGLOUCESTERSHIRE HOSPITALS NHS FOUNDATION TRUST (RTE)Knee ReplacementOxford Knee Score</t>
  </si>
  <si>
    <t>ProviderGEORGE ELIOT HOSPITAL NHS TRUST (RLT)Knee ReplacementOxford Knee Score</t>
  </si>
  <si>
    <t>ProviderGATESHEAD HEALTH NHS FOUNDATION TRUST (RR7)Knee ReplacementOxford Knee Score</t>
  </si>
  <si>
    <t>ProviderFULWOOD HALL HOSPITAL (NVC07)Knee ReplacementOxford Knee Score</t>
  </si>
  <si>
    <t>ProviderFRIMLEY HEALTH NHS FOUNDATION TRUST (RDU)Knee ReplacementOxford Knee Score</t>
  </si>
  <si>
    <t>ProviderFITZWILLIAM HOSPITAL (NVC06)Knee ReplacementOxford Knee Score</t>
  </si>
  <si>
    <t>ProviderFAIRFIELD HOSPITAL (NVG01)Knee ReplacementOxford Knee Score</t>
  </si>
  <si>
    <t>ProviderEUXTON HALL HOSPITAL (NVC05)Knee ReplacementOxford Knee Score</t>
  </si>
  <si>
    <t>ProviderEPSOM AND ST HELIER UNIVERSITY HOSPITALS NHS TRUST (RVR)Knee ReplacementOxford Knee Score</t>
  </si>
  <si>
    <t>ProviderASHTEAD HOSPITAL (NVC01)Knee ReplacementOxford Knee Score</t>
  </si>
  <si>
    <t>ProviderEMERSONS GREEN NHS TREATMENT CENTRE (NTPH2)Knee ReplacementOxford Knee Score</t>
  </si>
  <si>
    <t>ProviderASHFORD AND ST PETER'S HOSPITALS NHS FOUNDATION TRUST (RTK)Knee ReplacementOxford Knee Score</t>
  </si>
  <si>
    <t>ProviderAIREDALE NHS FOUNDATION TRUST (RCF)Knee ReplacementOxford Knee Score</t>
  </si>
  <si>
    <t>ProviderAINTREE UNIVERSITY HOSPITAL NHS FOUNDATION TRUST (REM)Knee ReplacementOxford Knee Score</t>
  </si>
  <si>
    <t>ProviderEALING HOSPITAL NHS TRUST (RC3)Knee ReplacementOxford Knee Score</t>
  </si>
  <si>
    <t>ProviderROYAL BERKSHIRE NHS FOUNDATION TRUST (RHW)Knee ReplacementOxford Knee Score</t>
  </si>
  <si>
    <t>ProviderROWLEY HALL HOSPITAL (NVC17)Knee ReplacementOxford Knee Score</t>
  </si>
  <si>
    <t>ProviderEAST SUSSEX HEALTHCARE NHS TRUST (RXC)Knee ReplacementOxford Knee Score</t>
  </si>
  <si>
    <t>ProviderEAST LANCASHIRE HOSPITALS NHS TRUST (RXR)Knee ReplacementOxford Knee Score</t>
  </si>
  <si>
    <t>ProviderEAST KENT HOSPITALS UNIVERSITY NHS FOUNDATION TRUST (RVV)Knee ReplacementOxford Knee Score</t>
  </si>
  <si>
    <t>ProviderEAST CHESHIRE NHS TRUST (RJN)Knee ReplacementOxford Knee Score</t>
  </si>
  <si>
    <t>ProviderEAST AND NORTH HERTFORDSHIRE NHS TRUST (RWH)Knee ReplacementOxford Knee Score</t>
  </si>
  <si>
    <t>ProviderROYAL CORNWALL HOSPITALS NHS TRUST (REF)Knee ReplacementOxford Knee Score</t>
  </si>
  <si>
    <t>ProviderDUCHY HOSPITAL (NVC04)Knee ReplacementOxford Knee Score</t>
  </si>
  <si>
    <t>ProviderDORSET COUNTY HOSPITAL NHS FOUNDATION TRUST (RBD)Knee ReplacementOxford Knee Score</t>
  </si>
  <si>
    <t>ProviderDONCASTER AND BASSETLAW HOSPITALS NHS FOUNDATION TRUST (RP5)Knee ReplacementOxford Knee Score</t>
  </si>
  <si>
    <t>ProviderDERBY TEACHING HOSPITALS NHS FOUNDATION TRUST (RTG)Knee ReplacementOxford Knee Score</t>
  </si>
  <si>
    <t>ProviderDARTFORD AND GRAVESHAM NHS TRUST (RN7)Knee ReplacementOxford Knee Score</t>
  </si>
  <si>
    <t>ProviderCOUNTY DURHAM AND DARLINGTON NHS FOUNDATION TRUST (RXP)Knee ReplacementOxford Knee Score</t>
  </si>
  <si>
    <t>ProviderCOUNTESS OF CHESTER HOSPITAL NHS FOUNDATION TRUST (RJR)Knee ReplacementOxford Knee Score</t>
  </si>
  <si>
    <t>ProviderUNIVERSITY HOSPITAL SOUTHAMPTON NHS FOUNDATION TRUST (RHM)Knee ReplacementOxford Knee Score</t>
  </si>
  <si>
    <t>ProviderUNIVERSITY HOSPITAL OF SOUTH MANCHESTER NHS FOUNDATION TRUST (RM2)Knee ReplacementOxford Knee Score</t>
  </si>
  <si>
    <t>ProviderUNIVERSITY COLLEGE LONDON HOSPITALS NHS FOUNDATION TRUST (RRV)Knee ReplacementOxford Knee Score</t>
  </si>
  <si>
    <t>ProviderTYNESIDE SURGICAL SERVICES AT THE NORTH EAST NHS SURGERY CENTRE (NN401)Knee ReplacementOxford Knee Score</t>
  </si>
  <si>
    <t>ProviderUNITED LINCOLNSHIRE HOSPITALS NHS TRUST (RWD)Knee ReplacementOxford Knee Score</t>
  </si>
  <si>
    <t>ProviderTHE YORKSHIRE CLINIC (NVC20)Knee ReplacementOxford Knee Score</t>
  </si>
  <si>
    <t>ProviderTHE SPENCER WING (RAMSGATE ROAD) (NN801)Knee ReplacementOxford Knee Score</t>
  </si>
  <si>
    <t>ProviderTHE QUEEN ELIZABETH HOSPITAL, KING'S LYNN, NHS FOUNDATION TRUST (RCX)Knee ReplacementOxford Knee Score</t>
  </si>
  <si>
    <t>ProviderTHE PRINCESS ALEXANDRA HOSPITAL NHS TRUST (RQW)Knee ReplacementOxford Knee Score</t>
  </si>
  <si>
    <t>ProviderTHE NEWCASTLE UPON TYNE HOSPITALS NHS FOUNDATION TRUST (RTD)Knee ReplacementOxford Knee Score</t>
  </si>
  <si>
    <t>ProviderTHE HORDER CENTRE - ST JOHNS ROAD (NXM01)Knee ReplacementOxford Knee Score</t>
  </si>
  <si>
    <t>ProviderTHE ROBERT JONES AND AGNES HUNT ORTHOPAEDIC HOSPITAL NHS FOUNDATION TRUST (RL1)Knee ReplacementOxford Knee Score</t>
  </si>
  <si>
    <t>ProviderTHE ROTHERHAM NHS FOUNDATION TRUST (RFR)Knee ReplacementOxford Knee Score</t>
  </si>
  <si>
    <t>ProviderTHE ROYAL WOLVERHAMPTON NHS TRUST (RL4)Knee ReplacementOxford Knee Score</t>
  </si>
  <si>
    <t>ProviderWEST MIDDLESEX UNIVERSITY HOSPITAL NHS TRUST (RFW)Knee ReplacementOxford Knee Score</t>
  </si>
  <si>
    <t>ProviderWEST HERTFORDSHIRE HOSPITALS NHS TRUST (RWG)Knee ReplacementOxford Knee Score</t>
  </si>
  <si>
    <t>ProviderWARRINGTON AND HALTON HOSPITALS NHS FOUNDATION TRUST (RWW)Knee ReplacementOxford Knee Score</t>
  </si>
  <si>
    <t>ProviderWALSALL HEALTHCARE NHS TRUST (RBK)Knee ReplacementOxford Knee Score</t>
  </si>
  <si>
    <t>ProviderUNIVERSITY HOSPITALS OF NORTH MIDLANDS NHS TRUST (RJE)Knee ReplacementOxford Knee Score</t>
  </si>
  <si>
    <t>ProviderUNIVERSITY HOSPITALS OF MORECAMBE BAY NHS FOUNDATION TRUST (RTX)Knee ReplacementOxford Knee Score</t>
  </si>
  <si>
    <t>ProviderUNIVERSITY HOSPITALS OF LEICESTER NHS TRUST (RWE)Knee ReplacementOxford Knee Score</t>
  </si>
  <si>
    <t>ProviderUNIVERSITY HOSPITALS COVENTRY AND WARWICKSHIRE NHS TRUST (RKB)Knee ReplacementOxford Knee Score</t>
  </si>
  <si>
    <t>ProviderWEST SUFFOLK NHS FOUNDATION TRUST (RGR)Knee ReplacementOxford Knee Score</t>
  </si>
  <si>
    <t>ProviderWEST MIDLANDS HOSPITAL (NVC21)Knee ReplacementOxford Knee Score</t>
  </si>
  <si>
    <t>ProviderWESTERN SUSSEX HOSPITALS NHS FOUNDATION TRUST (RYR)Knee ReplacementOxford Knee Score</t>
  </si>
  <si>
    <t>ProviderNUFFIELD HEALTH, CAMBRIDGE HOSPITAL (NT209)Knee ReplacementOxford Knee Score</t>
  </si>
  <si>
    <t>ProviderTHE ROYAL BOURNEMOUTH AND CHRISTCHURCH HOSPITALS NHS FOUNDATION TRUST (RDZ)Knee ReplacementOxford Knee Score</t>
  </si>
  <si>
    <t>ProviderNUFFIELD HEALTH, BRISTOL HOSPITAL (CHESTERFIELD) (NT206)Knee ReplacementOxford Knee Score</t>
  </si>
  <si>
    <t>ProviderNUFFIELD HEALTH, BRIGHTON HOSPITAL (NT205)Knee ReplacementOxford Knee Score</t>
  </si>
  <si>
    <t>ProviderNEW HALL NHS TREATMENT CENTRE (NVC10)Knee ReplacementOxford Knee Score</t>
  </si>
  <si>
    <t>ProviderNUFFIELD HEALTH, BRENTWOOD HOSPITAL (NT204)Knee ReplacementOxford Knee Score</t>
  </si>
  <si>
    <t>ProviderNOTTINGHAM UNIVERSITY HOSPITALS NHS TRUST (RX1)Knee ReplacementOxford Knee Score</t>
  </si>
  <si>
    <t>ProviderNORTHUMBRIA HEALTHCARE NHS FOUNDATION TRUST (RTF)Knee ReplacementOxford Knee Score</t>
  </si>
  <si>
    <t>ProviderNORTHERN LINCOLNSHIRE AND GOOLE NHS FOUNDATION TRUST (RJL)Knee ReplacementOxford Knee Score</t>
  </si>
  <si>
    <t>ProviderNORTHERN DEVON HEALTHCARE NHS TRUST (RBZ)Knee ReplacementOxford Knee Score</t>
  </si>
  <si>
    <t>ProviderNORTHAMPTON GENERAL HOSPITAL NHS TRUST (RNS)Knee ReplacementOxford Knee Score</t>
  </si>
  <si>
    <t>ProviderNORTH WEST LONDON HOSPITALS NHS TRUST (RV8)Knee ReplacementOxford Knee Score</t>
  </si>
  <si>
    <t>ProviderNORTH TEES AND HARTLEPOOL NHS FOUNDATION TRUST (RVW)Knee ReplacementOxford Knee Score</t>
  </si>
  <si>
    <t>ProviderNORTH MIDDLESEX UNIVERSITY HOSPITAL NHS TRUST (RAP)Knee ReplacementOxford Knee Score</t>
  </si>
  <si>
    <t>ProviderNORTH EAST LONDON TREATMENT CENTRE CARE UK (NTP15)Knee ReplacementOxford Knee Score</t>
  </si>
  <si>
    <t>ProviderNORTH DOWNS HOSPITAL (NVC11)Knee ReplacementOxford Knee Score</t>
  </si>
  <si>
    <t>ProviderNORTH CUMBRIA UNIVERSITY HOSPITALS NHS TRUST (RNL)Knee ReplacementOxford Knee Score</t>
  </si>
  <si>
    <t>ProviderNORTH BRISTOL NHS TRUST (RVJ)Knee ReplacementOxford Knee Score</t>
  </si>
  <si>
    <t>ProviderNORFOLK AND NORWICH UNIVERSITY HOSPITALS NHS FOUNDATION TRUST (RM1)Knee ReplacementOxford Knee Score</t>
  </si>
  <si>
    <t>ProviderNEW HALL HOSPITAL (NVC09)Knee ReplacementOxford Knee Score</t>
  </si>
  <si>
    <t>ProviderMOUNT STUART HOSPITAL (NVC08)Knee ReplacementOxford Knee Score</t>
  </si>
  <si>
    <t>ProviderMID YORKSHIRE HOSPITALS NHS TRUST (RXF)Knee ReplacementOxford Knee Score</t>
  </si>
  <si>
    <t>ProviderMID STAFFORDSHIRE NHS FOUNDATION TRUST (RJD)Knee ReplacementOxford Knee Score</t>
  </si>
  <si>
    <t>ProviderMID ESSEX HOSPITAL SERVICES NHS TRUST (RQ8)Knee ReplacementOxford Knee Score</t>
  </si>
  <si>
    <t>ProviderMID CHESHIRE HOSPITALS NHS FOUNDATION TRUST (RBT)Knee ReplacementOxford Knee Score</t>
  </si>
  <si>
    <t>ProviderMEDWAY NHS FOUNDATION TRUST (RPA)Knee ReplacementOxford Knee Score</t>
  </si>
  <si>
    <t>ProviderMAIDSTONE AND TUNBRIDGE WELLS NHS TRUST (RWF)Knee ReplacementOxford Knee Score</t>
  </si>
  <si>
    <t>ProviderLUTON AND DUNSTABLE UNIVERSITY HOSPITAL NHS FOUNDATION TRUST (RC9)Knee ReplacementOxford Knee Score</t>
  </si>
  <si>
    <t>ProviderBMI - THE LONDON INDEPENDENT HOSPITAL (NT422)Knee ReplacementOxford Knee Score</t>
  </si>
  <si>
    <t>ProviderBMI - THE KINGS OAK HOSPITAL (NT421)Knee ReplacementOxford Knee Score</t>
  </si>
  <si>
    <t>ProviderBMI - GORING HALL HOSPITAL (NT417)Knee ReplacementOxford Knee Score</t>
  </si>
  <si>
    <t>ProviderBMI - THE HARBOUR HOSPITAL (NT419)Knee ReplacementOxford Knee Score</t>
  </si>
  <si>
    <t>ProviderBMI - THE HIGHFIELD HOSPITAL (NT420)Knee ReplacementOxford Knee Score</t>
  </si>
  <si>
    <t>ProviderBMI - THE HAMPSHIRE CLINIC (NT418)Knee ReplacementOxford Knee Score</t>
  </si>
  <si>
    <t>ProviderBMI - THE FOSCOTE HOSPITAL (NT415)Knee ReplacementOxford Knee Score</t>
  </si>
  <si>
    <t>ProviderBMI - THE ESPERANCE HOSPITAL (NT413)Knee ReplacementOxford Knee Score</t>
  </si>
  <si>
    <t>ProviderBMI - THE DROITWICH SPA HOSPITAL (NT412)Knee ReplacementOxford Knee Score</t>
  </si>
  <si>
    <t>ProviderBMI - THE CLEMENTINE CHURCHILL HOSPITAL (NT411)Knee ReplacementOxford Knee Score</t>
  </si>
  <si>
    <t>ProviderBMI - THE CHILTERN HOSPITAL (NT410)Knee ReplacementOxford Knee Score</t>
  </si>
  <si>
    <t>ProviderBMI - THE CHAUCER HOSPITAL (NT408)Knee ReplacementOxford Knee Score</t>
  </si>
  <si>
    <t>ProviderBMI - THE BLACKHEATH HOSPITAL (NT406)Knee ReplacementOxford Knee Score</t>
  </si>
  <si>
    <t>ProviderBMI - THE BEAUMONT HOSPITAL (NT404)Knee ReplacementOxford Knee Score</t>
  </si>
  <si>
    <t>ProviderBMI - THE BEARDWOOD HOSPITAL (NT403)Knee ReplacementOxford Knee Score</t>
  </si>
  <si>
    <t>ProviderBMI - THE ALEXANDRA HOSPITAL (NT401)Knee ReplacementOxford Knee Score</t>
  </si>
  <si>
    <t>ProviderBMI - SHIRLEY OAKS HOSPITAL (NT436)Knee ReplacementOxford Knee Score</t>
  </si>
  <si>
    <t>ProviderBMI - SARUM ROAD HOSPITAL (NT433)Knee ReplacementOxford Knee Score</t>
  </si>
  <si>
    <t>ProviderBMI - HENDON HOSPITAL (NT416)Knee ReplacementOxford Knee Score</t>
  </si>
  <si>
    <t>ProviderLANCASHIRE TEACHING HOSPITALS NHS FOUNDATION TRUST (RXN)Knee ReplacementOxford Knee Score</t>
  </si>
  <si>
    <t>ProviderKING'S COLLEGE HOSPITAL NHS FOUNDATION TRUST (RJZ)Knee ReplacementOxford Knee Score</t>
  </si>
  <si>
    <t>ProviderBENENDEN HOSPITAL (NWF01)Knee ReplacementOxford Knee Score</t>
  </si>
  <si>
    <t>ProviderBARLBOROUGH NHS TREATMENT CENTRE (NTP13)Knee ReplacementOxford Knee Score</t>
  </si>
  <si>
    <t>ProviderBLACKPOOL TEACHING HOSPITALS NHS FOUNDATION TRUST (RXL)Knee ReplacementOxford Knee Score</t>
  </si>
  <si>
    <t>ProviderBEDFORD HOSPITAL NHS TRUST (RC1)Knee ReplacementOxford Knee Score</t>
  </si>
  <si>
    <t>ProviderBASILDON AND THURROCK UNIVERSITY HOSPITALS NHS FOUNDATION TRUST (RDD)Knee ReplacementOxford Knee Score</t>
  </si>
  <si>
    <t>ProviderBARTS HEALTH NHS TRUST (R1H)Knee ReplacementOxford Knee Score</t>
  </si>
  <si>
    <t>ProviderBARNSLEY HOSPITAL NHS FOUNDATION TRUST (RFF)Knee ReplacementOxford Knee Score</t>
  </si>
  <si>
    <t>ProviderWRIGHTINGTON, WIGAN AND LEIGH NHS FOUNDATION TRUST (RRF)Knee ReplacementOxford Knee Score</t>
  </si>
  <si>
    <t>ProviderWORCESTERSHIRE ACUTE HOSPITALS NHS TRUST (RWP)Knee ReplacementOxford Knee Score</t>
  </si>
  <si>
    <t>ProviderWOODLAND HOSPITAL (NVC23)Knee ReplacementOxford Knee Score</t>
  </si>
  <si>
    <t>ProviderWIRRAL UNIVERSITY TEACHING HOSPITAL NHS FOUNDATION TRUST (RBL)Knee ReplacementOxford Knee Score</t>
  </si>
  <si>
    <t>ProviderWINFIELD HOSPITAL (NVC22)Knee ReplacementOxford Knee Score</t>
  </si>
  <si>
    <t>ProviderWESTON AREA HEALTH NHS TRUST (RA3)Knee ReplacementOxford Knee Score</t>
  </si>
  <si>
    <t>ProviderLEWISHAM AND GREENWICH NHS TRUST (RJ2)Knee ReplacementOxford Knee Score</t>
  </si>
  <si>
    <t>ProviderYEOVIL DISTRICT HOSPITAL NHS FOUNDATION TRUST (RA4)Knee ReplacementOxford Knee Score</t>
  </si>
  <si>
    <t>ProviderWYE VALLEY NHS TRUST (RLQ)Knee ReplacementOxford Knee Score</t>
  </si>
  <si>
    <t>ProviderYORK TEACHING HOSPITAL NHS FOUNDATION TRUST (RCB)Knee ReplacementOxford Knee Score</t>
  </si>
  <si>
    <t>ProviderBARNET AND CHASE FARM HOSPITALS NHS TRUST (RVL)Knee ReplacementOxford Knee Score</t>
  </si>
  <si>
    <t>ProviderBARKING, HAVERING AND REDBRIDGE UNIVERSITY HOSPITALS NHS TRUST (RF4)Knee ReplacementOxford Knee Score</t>
  </si>
  <si>
    <t>ProviderASPEN - HOLLY HOUSE HOSPITAL (NYW01)Knee ReplacementOxford Knee Score</t>
  </si>
  <si>
    <t>ProviderASPEN - HIGHGATE HOSPITAL (NYW03)Knee ReplacementOxford Knee Score</t>
  </si>
  <si>
    <t>ProviderASPEN - CLAREMONT HOSPITAL (NYW04)Knee ReplacementOxford Knee Score</t>
  </si>
  <si>
    <t>ProviderBMI - CHELSFIELD PARK HOSPITAL (NT409)Knee ReplacementOxford Knee Score</t>
  </si>
  <si>
    <t>ProviderBMI - BISHOPS WOOD (NT405)Knee ReplacementOxford Knee Score</t>
  </si>
  <si>
    <t>ProviderBMI - BATH CLINIC (NT402)Knee ReplacementOxford Knee Score</t>
  </si>
  <si>
    <t>ProviderBMI - FAWKHAM MANOR HOSPITAL (NT414)Knee ReplacementOxford Knee Score</t>
  </si>
  <si>
    <t>ProviderSOUTH TYNESIDE NHS FOUNDATION TRUST (RE9)Knee ReplacementOxford Knee Score</t>
  </si>
  <si>
    <t>ProviderSOUTH TEES HOSPITALS NHS FOUNDATION TRUST (RTR)Knee ReplacementOxford Knee Score</t>
  </si>
  <si>
    <t>ProviderSHREWSBURY AND TELFORD HOSPITAL NHS TRUST (RXW)Knee ReplacementOxford Knee Score</t>
  </si>
  <si>
    <t>ProviderSHERWOOD FOREST HOSPITALS NHS FOUNDATION TRUST (RK5)Knee ReplacementOxford Knee Score</t>
  </si>
  <si>
    <t>ProviderSHEPTON MALLET NHS TREATMENT CENTRE (NTPH1)Knee ReplacementOxford Knee Score</t>
  </si>
  <si>
    <t>ProviderSHEPTON MALLET NHS TREATMENT CENTRE (NTC01)Knee ReplacementOxford Knee Score</t>
  </si>
  <si>
    <t>ProviderSHEFFIELD TEACHING HOSPITALS NHS FOUNDATION TRUST (RHQ)Knee ReplacementOxford Knee Score</t>
  </si>
  <si>
    <t>ProviderSANDWELL AND WEST BIRMINGHAM HOSPITALS NHS TRUST (RXK)Knee ReplacementOxford Knee Score</t>
  </si>
  <si>
    <t>ProviderSALISBURY NHS FOUNDATION TRUST (RNZ)Knee ReplacementOxford Knee Score</t>
  </si>
  <si>
    <t>ProviderSALFORD ROYAL NHS FOUNDATION TRUST (RM3)Knee ReplacementOxford Knee Score</t>
  </si>
  <si>
    <t>ProviderROYAL UNITED HOSPITALS BATH NHS FOUNDATION TRUST (RD1)Knee ReplacementOxford Knee Score</t>
  </si>
  <si>
    <t>ProviderROYAL SURREY COUNTY HOSPITAL NHS FOUNDATION TRUST (RA2)Knee ReplacementOxford Knee Score</t>
  </si>
  <si>
    <t>ProviderROYAL LIVERPOOL AND BROADGREEN UNIVERSITY HOSPITALS NHS TRUST (RQ6)Knee ReplacementOxford Knee Score</t>
  </si>
  <si>
    <t>ProviderROYAL FREE LONDON NHS FOUNDATION TRUST (RAL)Knee ReplacementOxford Knee Score</t>
  </si>
  <si>
    <t>ProviderROYAL DEVON AND EXETER NHS FOUNDATION TRUST (RH8)Knee ReplacementOxford Knee Score</t>
  </si>
  <si>
    <t>ProviderSPIRE CHESHIRE HOSPITAL (NT324)Knee ReplacementOxford Knee Score</t>
  </si>
  <si>
    <t>ProviderSPIRE CAMBRIDGE LEA HOSPITAL (NT317)Knee ReplacementOxford Knee Score</t>
  </si>
  <si>
    <t>ProviderSPIRE BRISTOL HOSPITAL (NT302)Knee ReplacementOxford Knee Score</t>
  </si>
  <si>
    <t>ProviderROYAL NATIONAL ORTHOPAEDIC HOSPITAL NHS TRUST (RAN)Knee ReplacementOxford Knee Score</t>
  </si>
  <si>
    <t>ProviderSPIRE ALEXANDRA HOSPITAL (NT312)Knee ReplacementOxford Knee Score</t>
  </si>
  <si>
    <t>ProviderSOUTHPORT AND ORMSKIRK HOSPITAL NHS TRUST (RVY)Knee ReplacementOxford Knee Score</t>
  </si>
  <si>
    <t>ProviderSOUTHEND UNIVERSITY HOSPITAL NHS FOUNDATION TRUST (RAJ)Knee ReplacementOxford Knee Score</t>
  </si>
  <si>
    <t>ProviderSOUTHAMPTON NHS TREATMENT CENTRE (NTP11)Knee ReplacementOxford Knee Score</t>
  </si>
  <si>
    <t>ProviderSOUTH WARWICKSHIRE NHS FOUNDATION TRUST (RJC)Knee ReplacementOxford Knee Score</t>
  </si>
  <si>
    <t>ProviderSPIRE FYLDE COAST HOSPITAL (NT347)Knee ReplacementOxford Knee Score</t>
  </si>
  <si>
    <t>ProviderSPIRE ELLAND HOSPITAL (NT348)Knee ReplacementOxford Knee Score</t>
  </si>
  <si>
    <t>ProviderSPIRE DUNEDIN HOSPITAL (NT344)Knee ReplacementOxford Knee Score</t>
  </si>
  <si>
    <t>ProviderSPIRE CLARE PARK HOSPITAL (NT345)Knee ReplacementOxford Knee Score</t>
  </si>
  <si>
    <t>ProviderSPIRE BUSHEY HOSPITAL (NT315)Knee ReplacementOxford Knee Score</t>
  </si>
  <si>
    <t>ProviderNUFFIELD HEALTH, PLYMOUTH HOSPITAL (NT233)Knee ReplacementOxford Knee Score</t>
  </si>
  <si>
    <t>ProviderNUFFIELD HEALTH, NORTH STAFFORDSHIRE HOSPITAL (NT230)Knee ReplacementOxford Knee Score</t>
  </si>
  <si>
    <t>ProviderNUFFIELD HEALTH, NEWCASTLE UPON TYNE HOSPITAL (NT229)Knee ReplacementOxford Knee Score</t>
  </si>
  <si>
    <t>ProviderNUFFIELD HEALTH, LEICESTER HOSPITAL (NT226)Knee ReplacementOxford Knee Score</t>
  </si>
  <si>
    <t>ProviderNUFFIELD HEALTH, LEEDS HOSPITAL (NT225)Knee ReplacementOxford Knee Score</t>
  </si>
  <si>
    <t>ProviderNUFFIELD HEALTH, IPSWICH HOSPITAL (NT222)Knee ReplacementOxford Knee Score</t>
  </si>
  <si>
    <t>ProviderNUFFIELD HEALTH, HEREFORD HOSPITAL (NT219)Knee ReplacementOxford Knee Score</t>
  </si>
  <si>
    <t>ProviderTHE ROYAL ORTHOPAEDIC HOSPITAL NHS FOUNDATION TRUST (RRJ)Knee ReplacementOxford Knee Score</t>
  </si>
  <si>
    <t>ProviderBURTON HOSPITALS NHS FOUNDATION TRUST (RJF)Knee ReplacementOxford Knee Score</t>
  </si>
  <si>
    <t>ProviderBUCKINGHAMSHIRE HEALTHCARE NHS TRUST (RXQ)Knee ReplacementOxford Knee Score</t>
  </si>
  <si>
    <t>ProviderBRIGHTON AND SUSSEX UNIVERSITY HOSPITALS NHS TRUST (RXH)Knee ReplacementOxford Knee Score</t>
  </si>
  <si>
    <t>ProviderBRAINTREE COMMUNITY HOSPITAL (NNQ01)Knee ReplacementOxford Knee Score</t>
  </si>
  <si>
    <t>ProviderBRADFORD TEACHING HOSPITALS NHS FOUNDATION TRUST (RAE)Knee ReplacementOxford Knee Score</t>
  </si>
  <si>
    <t>ProviderBOLTON NHS FOUNDATION TRUST (RMC)Knee ReplacementOxford Knee Score</t>
  </si>
  <si>
    <t>ProviderBMI WOODLANDS HOSPITAL (NT457)Knee ReplacementOxford Knee Score</t>
  </si>
  <si>
    <t>ProviderBMI THE LINCOLN HOSPITAL (NT450)Knee ReplacementOxford Knee Score</t>
  </si>
  <si>
    <t>ProviderBMI THE LANCASTER HOSPITAL (NT449)Knee ReplacementOxford Knee Score</t>
  </si>
  <si>
    <t>ProviderBMI THE HUDDERSFIELD HOSPITAL (NT448)Knee ReplacementOxford Knee Score</t>
  </si>
  <si>
    <t>ProviderNUFFIELD HEALTH, HAYWARDS HEATH HOSPITAL (NT218)Knee ReplacementOxford Knee Score</t>
  </si>
  <si>
    <t>ProviderNUFFIELD HEALTH, EXETER HOSPITAL (NT215)Knee ReplacementOxford Knee Score</t>
  </si>
  <si>
    <t>ProviderBMI THE EDGBASTON HOSPITAL (NT445)Knee ReplacementOxford Knee Score</t>
  </si>
  <si>
    <t>ProviderNUFFIELD HEALTH, CHICHESTER HOSPITAL (NT212)Knee ReplacementOxford Knee Score</t>
  </si>
  <si>
    <t>ProviderNUFFIELD HEALTH, CHELTENHAM HOSPITAL (NT211)Knee ReplacementOxford Knee Score</t>
  </si>
  <si>
    <t>ProviderNUFFIELD HEALTH, DERBY HOSPITAL (NT213)Knee ReplacementOxford Knee Score</t>
  </si>
  <si>
    <t>ProviderBMI THE DUCHY HOSPITAL (NT447)Knee ReplacementOxford Knee Score</t>
  </si>
  <si>
    <t>ProviderBMI THE CAVELL HOSPITAL (NT451)Knee ReplacementOxford Knee Score</t>
  </si>
  <si>
    <t>ProviderBMI ST EDMUNDS HOSPITAL (NT446)Knee ReplacementOxford Knee Score</t>
  </si>
  <si>
    <t>ProviderBMI - THE SLOANE HOSPITAL (NT437)Knee ReplacementOxford Knee Score</t>
  </si>
  <si>
    <t>ProviderBMI MOUNT ALVERNIA HOSPITAL (NT455)Knee ReplacementOxford Knee Score</t>
  </si>
  <si>
    <t>ProviderBMI GISBURNE PARK HOSPITAL (NT497)Knee ReplacementOxford Knee Score</t>
  </si>
  <si>
    <t>ProviderBMI - THREE SHIRES HOSPITAL (NT441)Knee ReplacementOxford Knee Score</t>
  </si>
  <si>
    <t>ProviderBMI - THORNBURY HOSPITAL (NT440)Knee ReplacementOxford Knee Score</t>
  </si>
  <si>
    <t>ProviderBMI - THE WINTERBOURNE HOSPITAL (NT443)Knee ReplacementOxford Knee Score</t>
  </si>
  <si>
    <t>ProviderBMI - THE SOUTH CHESHIRE PRIVATE HOSPITAL (NT439)Knee ReplacementOxford Knee Score</t>
  </si>
  <si>
    <t>ProviderBMI - THE SHELBURNE HOSPITAL (NT435)Knee ReplacementOxford Knee Score</t>
  </si>
  <si>
    <t>ProviderBMI - THE PRIORY HOSPITAL (NT429)Knee ReplacementOxford Knee Score</t>
  </si>
  <si>
    <t>ProviderBMI - THE SOMERFIELD HOSPITAL (NT438)Knee ReplacementOxford Knee Score</t>
  </si>
  <si>
    <t>ProviderBMI - THE SAXON CLINIC (NT434)Knee ReplacementOxford Knee Score</t>
  </si>
  <si>
    <t>ProviderBMI - THE SANDRINGHAM HOSPITAL (NT432)Knee ReplacementOxford Knee Score</t>
  </si>
  <si>
    <t>ProviderBMI - THE RUNNYMEDE HOSPITAL (NT431)Knee ReplacementOxford Knee Score</t>
  </si>
  <si>
    <t>ProviderBMI - THE RIDGEWAY HOSPITAL (NT430)Knee ReplacementOxford Knee Score</t>
  </si>
  <si>
    <t>ProviderBMI - THE PRINCESS MARGARET HOSPITAL (NT428)Knee ReplacementOxford Knee Score</t>
  </si>
  <si>
    <t>ProviderBMI - THE PARK HOSPITAL (NT427)Knee ReplacementOxford Knee Score</t>
  </si>
  <si>
    <t>ProviderBMI - THE MERIDEN HOSPITAL (NT424)Knee ReplacementOxford Knee Score</t>
  </si>
  <si>
    <t>ProviderBMI - THE MANOR HOSPITAL (NT423)Knee ReplacementOxford Knee Score</t>
  </si>
  <si>
    <t>ProviderPARK HILL HOSPITAL (NVC14)Knee ReplacementOxford Knee Score</t>
  </si>
  <si>
    <t>ProviderONE HEALTH GROUP CLINIC - THORNBURY (NTX11)Knee ReplacementOxford Knee Score</t>
  </si>
  <si>
    <t>ProviderONE HEALTH GROUP CLINIC - CLAREMONT (NTX12)Knee ReplacementOxford Knee Score</t>
  </si>
  <si>
    <t>ProviderOAKS HOSPITAL (NVC13)Knee ReplacementOxford Knee Score</t>
  </si>
  <si>
    <t>ProviderOAKLANDS HOSPITAL (NVC12)Knee ReplacementOxford Knee Score</t>
  </si>
  <si>
    <t>ProviderNUFFIELD HOSPITAL OXFORD (THE MANOR) (NT244)Knee ReplacementOxford Knee Score</t>
  </si>
  <si>
    <t>ProviderNUFFIELD HEALTH, YORK HOSPITAL (NT245)Knee ReplacementOxford Knee Score</t>
  </si>
  <si>
    <t>ProviderNUFFIELD HEALTH, WOLVERHAMPTON HOSPITAL (NT242)Knee ReplacementOxford Knee Score</t>
  </si>
  <si>
    <t>ProviderNUFFIELD HEALTH, WOKING HOSPITAL (NT241)Knee ReplacementOxford Knee Score</t>
  </si>
  <si>
    <t>ProviderNUFFIELD HEALTH, WESSEX HOSPITAL (NT214)Knee ReplacementOxford Knee Score</t>
  </si>
  <si>
    <t>ProviderNUFFIELD HEALTH, WARWICKSHIRE HOSPITAL (NT224)Knee ReplacementOxford Knee Score</t>
  </si>
  <si>
    <t>ProviderNUFFIELD HEALTH, TUNBRIDGE WELLS HOSPITAL (NT239)Knee ReplacementOxford Knee Score</t>
  </si>
  <si>
    <t>ProviderNUFFIELD HEALTH, THE GROSVENOR HOSPITAL, CHESTER (NT210)Knee ReplacementOxford Knee Score</t>
  </si>
  <si>
    <t>ProviderNUFFIELD HEALTH, TEES HOSPITAL (NT237)Knee ReplacementOxford Knee Score</t>
  </si>
  <si>
    <t>ProviderNUFFIELD HEALTH, TAUNTON HOSPITAL (NT238)Knee ReplacementOxford Knee Score</t>
  </si>
  <si>
    <t>ProviderNUFFIELD HEALTH, SHREWSBURY HOSPITAL (NT235)Knee ReplacementOxford Knee Score</t>
  </si>
  <si>
    <t>ProviderRENACRES HOSPITAL (NVC16)Knee ReplacementOxford Knee Score</t>
  </si>
  <si>
    <t>ProviderPORTSMOUTH HOSPITALS NHS TRUST (RHU)Knee ReplacementOxford Knee Score</t>
  </si>
  <si>
    <t>ProviderPENINSULA NHS TREATMENT CENTRE (NTPH5)Knee ReplacementOxford Knee Score</t>
  </si>
  <si>
    <t>ProviderPLYMOUTH HOSPITALS NHS TRUST (RK9)Knee ReplacementOxford Knee Score</t>
  </si>
  <si>
    <t>ProviderPINEHILL HOSPITAL (NVC15)Knee ReplacementOxford Knee Score</t>
  </si>
  <si>
    <t>ProviderPETERBOROUGH AND STAMFORD HOSPITALS NHS FOUNDATION TRUST (RGN)Knee ReplacementOxford Knee Score</t>
  </si>
  <si>
    <t>ProviderPENINSULA NHS TREATMENT CENTRE (NTC05)Knee ReplacementOxford Knee Score</t>
  </si>
  <si>
    <t>ProviderORTHOPAEDICS &amp; SPINE SPECIALIST HOSPITAL SITE (NQM01)Knee ReplacementOxford Knee Score</t>
  </si>
  <si>
    <t>ProviderPENNINE ACUTE HOSPITALS NHS TRUST (RW6)Knee ReplacementOxford Knee Score</t>
  </si>
  <si>
    <t>ProviderSPIRE HULL AND EAST RIDING HOSPITAL (NT351)Knee ReplacementOxford Knee Score</t>
  </si>
  <si>
    <t>ProviderSPIRE HARTSWOOD HOSPITAL (NT319)Knee ReplacementOxford Knee Score</t>
  </si>
  <si>
    <t>ProviderSPIRE GATWICK PARK HOSPITAL (NT308)Knee ReplacementOxford Knee Score</t>
  </si>
  <si>
    <t>ProviderRIVERS HOSPITAL (NVC19)Knee ReplacementOxford Knee Score</t>
  </si>
  <si>
    <t>ProviderSPIRE LIVERPOOL HOSPITAL (NT337)Knee ReplacementOxford Knee Score</t>
  </si>
  <si>
    <t>ProviderSPIRE HARPENDEN HOSPITAL (NT316)Knee ReplacementOxford Knee Score</t>
  </si>
  <si>
    <t>ProviderSPIRE LEEDS HOSPITAL (NT332)Knee ReplacementOxford Knee Score</t>
  </si>
  <si>
    <t>ProviderSPRINGFIELD HOSPITAL (NVC18)Knee ReplacementOxford Knee Score</t>
  </si>
  <si>
    <t>ProviderSPIRE WELLESLEY HOSPITAL (NT313)Knee ReplacementOxford Knee Score</t>
  </si>
  <si>
    <t>ProviderSPIRE WASHINGTON HOSPITAL (NT333)Knee ReplacementOxford Knee Score</t>
  </si>
  <si>
    <t>ProviderSPIRE TUNBRIDGE WELLS HOSPITAL (NT310)Knee ReplacementOxford Knee Score</t>
  </si>
  <si>
    <t>ProviderSPIRE THAMES VALLEY HOSPITAL (NT343)Knee ReplacementOxford Knee Score</t>
  </si>
  <si>
    <t>ProviderSPIRE SUSSEX HOSPITAL (NT309)Knee ReplacementOxford Knee Score</t>
  </si>
  <si>
    <t>ProviderSPIRE ST SAVIOURS HOSPITAL (NT346)Knee ReplacementOxford Knee Score</t>
  </si>
  <si>
    <t>ProviderSPIRE SOUTH BANK HOSPITAL (NT301)Knee ReplacementOxford Knee Score</t>
  </si>
  <si>
    <t>ProviderSPIRE RODING HOSPITAL (NT314)Knee ReplacementOxford Knee Score</t>
  </si>
  <si>
    <t>ProviderSPIRE NORWICH HOSPITAL (NT318)Knee ReplacementOxford Knee Score</t>
  </si>
  <si>
    <t>ProviderSPIRE REGENCY HOSPITAL (NT339)Knee ReplacementOxford Knee Score</t>
  </si>
  <si>
    <t>ProviderSPIRE PORTSMOUTH HOSPITAL (NT305)Knee ReplacementOxford Knee Score</t>
  </si>
  <si>
    <t>ProviderSPIRE PARKWAY HOSPITAL (NT320)Knee ReplacementOxford Knee Score</t>
  </si>
  <si>
    <t>ProviderSPIRE MURRAYFIELD HOSPITAL (NT325)Knee ReplacementOxford Knee Score</t>
  </si>
  <si>
    <t>ProviderSPIRE MONTEFIORE HOSPITAL (NT364)Knee ReplacementOxford Knee Score</t>
  </si>
  <si>
    <t>ProviderSPIRE METHLEY PARK HOSPITAL (NT350)Knee ReplacementOxford Knee Score</t>
  </si>
  <si>
    <t>ProviderSPIRE MANCHESTER HOSPITAL (NT327)Knee ReplacementOxford Knee Score</t>
  </si>
  <si>
    <t>ProviderTAUNTON AND SOMERSET NHS FOUNDATION TRUST (RBA)Knee ReplacementOxford Knee Score</t>
  </si>
  <si>
    <t>ProviderTAMESIDE HOSPITAL NHS FOUNDATION TRUST (RMP)Knee ReplacementOxford Knee Score</t>
  </si>
  <si>
    <t>ProviderSURREY AND SUSSEX HEALTHCARE NHS TRUST (RTP)Knee ReplacementOxford Knee Score</t>
  </si>
  <si>
    <t>ProviderSTOCKPORT NHS FOUNDATION TRUST (RWJ)Knee ReplacementOxford Knee Score</t>
  </si>
  <si>
    <t>ProviderST HUGH'S HOSPITAL (NTE02)Knee ReplacementOxford Knee Score</t>
  </si>
  <si>
    <t>ProviderST HELENS AND KNOWSLEY HOSPITALS NHS TRUST (RBN)Knee ReplacementOxford Knee Score</t>
  </si>
  <si>
    <t>ProviderST GEORGE'S UNIVERSITY HOSPITALS NHS FOUNDATION TRUST (RJ7)Knee ReplacementOxford Knee Score</t>
  </si>
  <si>
    <t>ProviderTHE DUDLEY GROUP NHS FOUNDATION TRUST (RNA)Knee ReplacementOxford Knee Score</t>
  </si>
  <si>
    <t>ProviderTHE BERKSHIRE INDEPENDENT HOSPITAL (NVC02)Knee ReplacementOxford Knee Score</t>
  </si>
  <si>
    <t>ProviderTHE HILLINGDON HOSPITALS NHS FOUNDATION TRUST (RAS)Knee ReplacementOxford Knee Score</t>
  </si>
  <si>
    <t>ProviderCOLCHESTER HOSPITAL UNIVERSITY NHS FOUNDATION TRUST (RDE)Knee ReplacementOxford Knee Score</t>
  </si>
  <si>
    <t>ProviderCLIFTON PARK HOSPITAL (NVC28)Knee ReplacementOxford Knee Score</t>
  </si>
  <si>
    <t>ProviderCLINICENTA SURGICENTRE (NW931)Knee ReplacementOxford Knee Score</t>
  </si>
  <si>
    <t>ProviderCITY HOSPITALS SUNDERLAND NHS FOUNDATION TRUST (RLN)Knee ReplacementOxford Knee Score</t>
  </si>
  <si>
    <t>ProviderCIRCLE BATH HOSPITAL (NV302)Knee ReplacementOxford Knee Score</t>
  </si>
  <si>
    <t>ProviderCIRCLE - NOTTINGHAM NHS TREATMENT CENTRE (NV313)Knee ReplacementOxford Knee Score</t>
  </si>
  <si>
    <t>ProviderCIRCLE READING HOSPITAL (NV323)Knee ReplacementOxford Knee Score</t>
  </si>
  <si>
    <t>ProviderCALDERDALE AND HUDDERSFIELD NHS FOUNDATION TRUST (RWY)Knee ReplacementOxford Knee Score</t>
  </si>
  <si>
    <t>ProviderCHESTERFIELD ROYAL HOSPITAL NHS FOUNDATION TRUST (RFS)Knee ReplacementOxford Knee Score</t>
  </si>
  <si>
    <t>ProviderCHELSEA AND WESTMINSTER HOSPITAL NHS FOUNDATION TRUST (RQM)Knee ReplacementOxford Knee Score</t>
  </si>
  <si>
    <t>ProviderCENTRAL MANCHESTER UNIVERSITY HOSPITALS NHS FOUNDATION TRUST (RW3)Knee ReplacementOxford Knee Score</t>
  </si>
  <si>
    <t>ProviderCAMBRIDGE UNIVERSITY HOSPITALS NHS FOUNDATION TRUST (RGT)Knee ReplacementOxford Knee Score</t>
  </si>
  <si>
    <t>ProviderCAMBRIDGE UNIVERSITY HOSPITALS NHS FOUNDATION TRUST (RGT)Varicose VeinAberdeen Varicose Vein Questionnaire</t>
  </si>
  <si>
    <t>ProviderCENTRAL MANCHESTER UNIVERSITY HOSPITALS NHS FOUNDATION TRUST (RW3)Varicose VeinAberdeen Varicose Vein Questionnaire</t>
  </si>
  <si>
    <t>ProviderCHELSEA AND WESTMINSTER HOSPITAL NHS FOUNDATION TRUST (RQM)Varicose VeinAberdeen Varicose Vein Questionnaire</t>
  </si>
  <si>
    <t>ProviderCHESTERFIELD ROYAL HOSPITAL NHS FOUNDATION TRUST (RFS)Varicose VeinAberdeen Varicose Vein Questionnaire</t>
  </si>
  <si>
    <t>ProviderCALDERDALE AND HUDDERSFIELD NHS FOUNDATION TRUST (RWY)Varicose VeinAberdeen Varicose Vein Questionnaire</t>
  </si>
  <si>
    <t>ProviderCIRENCESTER NHS TREATMENT CENTRE (NTPH4)Varicose VeinAberdeen Varicose Vein Questionnaire</t>
  </si>
  <si>
    <t>ProviderCIRCLE - NOTTINGHAM NHS TREATMENT CENTRE (NV313)Varicose VeinAberdeen Varicose Vein Questionnaire</t>
  </si>
  <si>
    <t>ProviderCIRCLE BATH HOSPITAL (NV302)Varicose VeinAberdeen Varicose Vein Questionnaire</t>
  </si>
  <si>
    <t>ProviderCITY HOSPITALS SUNDERLAND NHS FOUNDATION TRUST (RLN)Varicose VeinAberdeen Varicose Vein Questionnaire</t>
  </si>
  <si>
    <t>ProviderCLINICENTA SURGICENTRE (NW931)Varicose VeinAberdeen Varicose Vein Questionnaire</t>
  </si>
  <si>
    <t>ProviderCOBALT HOSPITAL (NVC29)Varicose VeinAberdeen Varicose Vein Questionnaire</t>
  </si>
  <si>
    <t>ProviderCOLCHESTER HOSPITAL UNIVERSITY NHS FOUNDATION TRUST (RDE)Varicose VeinAberdeen Varicose Vein Questionnaire</t>
  </si>
  <si>
    <t>ProviderTEES VALLEY TREATMENT CENTRE (NVC35)Varicose VeinAberdeen Varicose Vein Questionnaire</t>
  </si>
  <si>
    <t>ProviderTHE HILLINGDON HOSPITALS NHS FOUNDATION TRUST (RAS)Varicose VeinAberdeen Varicose Vein Questionnaire</t>
  </si>
  <si>
    <t>ProviderTHE DUDLEY GROUP NHS FOUNDATION TRUST (RNA)Varicose VeinAberdeen Varicose Vein Questionnaire</t>
  </si>
  <si>
    <t>ProviderST GEORGE'S UNIVERSITY HOSPITALS NHS FOUNDATION TRUST (RJ7)Varicose VeinAberdeen Varicose Vein Questionnaire</t>
  </si>
  <si>
    <t>ProviderST HELENS AND KNOWSLEY HOSPITALS NHS TRUST (RBN)Varicose VeinAberdeen Varicose Vein Questionnaire</t>
  </si>
  <si>
    <t>ProviderSURREY AND SUSSEX HEALTHCARE NHS TRUST (RTP)Varicose VeinAberdeen Varicose Vein Questionnaire</t>
  </si>
  <si>
    <t>ProviderTAMESIDE HOSPITAL NHS FOUNDATION TRUST (RMP)Varicose VeinAberdeen Varicose Vein Questionnaire</t>
  </si>
  <si>
    <t>ProviderTAUNTON AND SOMERSET NHS FOUNDATION TRUST (RBA)Varicose VeinAberdeen Varicose Vein Questionnaire</t>
  </si>
  <si>
    <t>ProviderSPIRE METHLEY PARK HOSPITAL (NT350)Varicose VeinAberdeen Varicose Vein Questionnaire</t>
  </si>
  <si>
    <t>ProviderSPIRE MONTEFIORE HOSPITAL (NT364)Varicose VeinAberdeen Varicose Vein Questionnaire</t>
  </si>
  <si>
    <t>ProviderSPIRE MURRAYFIELD HOSPITAL (NT325)Varicose VeinAberdeen Varicose Vein Questionnaire</t>
  </si>
  <si>
    <t>ProviderSPIRE WASHINGTON HOSPITAL (NT333)Varicose VeinAberdeen Varicose Vein Questionnaire</t>
  </si>
  <si>
    <t>ProviderSPIRE LIVERPOOL HOSPITAL (NT337)Varicose VeinAberdeen Varicose Vein Questionnaire</t>
  </si>
  <si>
    <t>ProviderPENNINE ACUTE HOSPITALS NHS TRUST (RW6)Varicose VeinAberdeen Varicose Vein Questionnaire</t>
  </si>
  <si>
    <t>ProviderPETERBOROUGH AND STAMFORD HOSPITALS NHS FOUNDATION TRUST (RGN)Varicose VeinAberdeen Varicose Vein Questionnaire</t>
  </si>
  <si>
    <t>ProviderPINEHILL HOSPITAL (NVC15)Varicose VeinAberdeen Varicose Vein Questionnaire</t>
  </si>
  <si>
    <t>ProviderPLYMOUTH HOSPITALS NHS TRUST (RK9)Varicose VeinAberdeen Varicose Vein Questionnaire</t>
  </si>
  <si>
    <t>ProviderPORTSMOUTH HOSPITALS NHS TRUST (RHU)Varicose VeinAberdeen Varicose Vein Questionnaire</t>
  </si>
  <si>
    <t>ProviderOAKS HOSPITAL (NVC13)Varicose VeinAberdeen Varicose Vein Questionnaire</t>
  </si>
  <si>
    <t>ProviderBMI - THE SOUTH CHESHIRE PRIVATE HOSPITAL (NT439)Varicose VeinAberdeen Varicose Vein Questionnaire</t>
  </si>
  <si>
    <t>ProviderBMI SOUTHEND PRIVATE HOSPITAL (NT490)Varicose VeinAberdeen Varicose Vein Questionnaire</t>
  </si>
  <si>
    <t>ProviderBOLTON NHS FOUNDATION TRUST (RMC)Varicose VeinAberdeen Varicose Vein Questionnaire</t>
  </si>
  <si>
    <t>ProviderBRADFORD TEACHING HOSPITALS NHS FOUNDATION TRUST (RAE)Varicose VeinAberdeen Varicose Vein Questionnaire</t>
  </si>
  <si>
    <t>ProviderBRIGHTON AND SUSSEX UNIVERSITY HOSPITALS NHS TRUST (RXH)Varicose VeinAberdeen Varicose Vein Questionnaire</t>
  </si>
  <si>
    <t>ProviderBUCKINGHAMSHIRE HEALTHCARE NHS TRUST (RXQ)Varicose VeinAberdeen Varicose Vein Questionnaire</t>
  </si>
  <si>
    <t>ProviderBURTON HOSPITALS NHS FOUNDATION TRUST (RJF)Varicose VeinAberdeen Varicose Vein Questionnaire</t>
  </si>
  <si>
    <t>ProviderBOSTON WEST HOSPITAL (NVC27)Varicose VeinAberdeen Varicose Vein Questionnaire</t>
  </si>
  <si>
    <t>ProviderSPIRE ELLAND HOSPITAL (NT348)Varicose VeinAberdeen Varicose Vein Questionnaire</t>
  </si>
  <si>
    <t>ProviderSPIRE FYLDE COAST HOSPITAL (NT347)Varicose VeinAberdeen Varicose Vein Questionnaire</t>
  </si>
  <si>
    <t>ProviderSOUTH WARWICKSHIRE NHS FOUNDATION TRUST (RJC)Varicose VeinAberdeen Varicose Vein Questionnaire</t>
  </si>
  <si>
    <t>ProviderSOUTHAMPTON NHS TREATMENT CENTRE (NTP11)Varicose VeinAberdeen Varicose Vein Questionnaire</t>
  </si>
  <si>
    <t>ProviderSOUTHEND UNIVERSITY HOSPITAL NHS FOUNDATION TRUST (RAJ)Varicose VeinAberdeen Varicose Vein Questionnaire</t>
  </si>
  <si>
    <t>ProviderSOUTHPORT AND ORMSKIRK HOSPITAL NHS TRUST (RVY)Varicose VeinAberdeen Varicose Vein Questionnaire</t>
  </si>
  <si>
    <t>ProviderSPIRE CHESHIRE HOSPITAL (NT324)Varicose VeinAberdeen Varicose Vein Questionnaire</t>
  </si>
  <si>
    <t>ProviderROYAL DEVON AND EXETER NHS FOUNDATION TRUST (RH8)Varicose VeinAberdeen Varicose Vein Questionnaire</t>
  </si>
  <si>
    <t>ProviderROYAL FREE LONDON NHS FOUNDATION TRUST (RAL)Varicose VeinAberdeen Varicose Vein Questionnaire</t>
  </si>
  <si>
    <t>ProviderROYAL UNITED HOSPITALS BATH NHS FOUNDATION TRUST (RD1)Varicose VeinAberdeen Varicose Vein Questionnaire</t>
  </si>
  <si>
    <t>ProviderSALISBURY NHS FOUNDATION TRUST (RNZ)Varicose VeinAberdeen Varicose Vein Questionnaire</t>
  </si>
  <si>
    <t>ProviderSANDWELL AND WEST BIRMINGHAM HOSPITALS NHS TRUST (RXK)Varicose VeinAberdeen Varicose Vein Questionnaire</t>
  </si>
  <si>
    <t>ProviderSHEFFIELD TEACHING HOSPITALS NHS FOUNDATION TRUST (RHQ)Varicose VeinAberdeen Varicose Vein Questionnaire</t>
  </si>
  <si>
    <t>ProviderSHERWOOD FOREST HOSPITALS NHS FOUNDATION TRUST (RK5)Varicose VeinAberdeen Varicose Vein Questionnaire</t>
  </si>
  <si>
    <t>ProviderSHREWSBURY AND TELFORD HOSPITAL NHS TRUST (RXW)Varicose VeinAberdeen Varicose Vein Questionnaire</t>
  </si>
  <si>
    <t>ProviderSOUTH TEES HOSPITALS NHS FOUNDATION TRUST (RTR)Varicose VeinAberdeen Varicose Vein Questionnaire</t>
  </si>
  <si>
    <t>ProviderASHTEAD HOSPITAL (NVC01)Varicose VeinAberdeen Varicose Vein Questionnaire</t>
  </si>
  <si>
    <t>ProviderASPEN - HIGHGATE HOSPITAL (NYW03)Varicose VeinAberdeen Varicose Vein Questionnaire</t>
  </si>
  <si>
    <t>ProviderBARKING, HAVERING AND REDBRIDGE UNIVERSITY HOSPITALS NHS TRUST (RF4)Varicose VeinAberdeen Varicose Vein Questionnaire</t>
  </si>
  <si>
    <t>ProviderBARNET AND CHASE FARM HOSPITALS NHS TRUST (RVL)Varicose VeinAberdeen Varicose Vein Questionnaire</t>
  </si>
  <si>
    <t>ProviderYORK TEACHING HOSPITAL NHS FOUNDATION TRUST (RCB)Varicose VeinAberdeen Varicose Vein Questionnaire</t>
  </si>
  <si>
    <t>ProviderWYE VALLEY NHS TRUST (RLQ)Varicose VeinAberdeen Varicose Vein Questionnaire</t>
  </si>
  <si>
    <t>ProviderLEWISHAM AND GREENWICH NHS TRUST (RJ2)Varicose VeinAberdeen Varicose Vein Questionnaire</t>
  </si>
  <si>
    <t>ProviderWESTERN SUSSEX HOSPITALS NHS FOUNDATION TRUST (RYR)Varicose VeinAberdeen Varicose Vein Questionnaire</t>
  </si>
  <si>
    <t>ProviderWILL ADAMS NHS TREATMENT CENTRE (NTP16)Varicose VeinAberdeen Varicose Vein Questionnaire</t>
  </si>
  <si>
    <t>ProviderWIRRAL UNIVERSITY TEACHING HOSPITAL NHS FOUNDATION TRUST (RBL)Varicose VeinAberdeen Varicose Vein Questionnaire</t>
  </si>
  <si>
    <t>ProviderWRIGHTINGTON, WIGAN AND LEIGH NHS FOUNDATION TRUST (RRF)Varicose VeinAberdeen Varicose Vein Questionnaire</t>
  </si>
  <si>
    <t>ProviderBARNSLEY HOSPITAL NHS FOUNDATION TRUST (RFF)Varicose VeinAberdeen Varicose Vein Questionnaire</t>
  </si>
  <si>
    <t>ProviderBARTS HEALTH NHS TRUST (R1H)Varicose VeinAberdeen Varicose Vein Questionnaire</t>
  </si>
  <si>
    <t>ProviderBASILDON AND THURROCK UNIVERSITY HOSPITALS NHS FOUNDATION TRUST (RDD)Varicose VeinAberdeen Varicose Vein Questionnaire</t>
  </si>
  <si>
    <t>ProviderBEDFORD HOSPITAL NHS TRUST (RC1)Varicose VeinAberdeen Varicose Vein Questionnaire</t>
  </si>
  <si>
    <t>ProviderBLACKPOOL TEACHING HOSPITALS NHS FOUNDATION TRUST (RXL)Varicose VeinAberdeen Varicose Vein Questionnaire</t>
  </si>
  <si>
    <t>ProviderKING'S COLLEGE HOSPITAL NHS FOUNDATION TRUST (RJZ)Varicose VeinAberdeen Varicose Vein Questionnaire</t>
  </si>
  <si>
    <t>ProviderBMI - HENDON HOSPITAL (NT416)Varicose VeinAberdeen Varicose Vein Questionnaire</t>
  </si>
  <si>
    <t>ProviderBMI - SHIRLEY OAKS HOSPITAL (NT436)Varicose VeinAberdeen Varicose Vein Questionnaire</t>
  </si>
  <si>
    <t>ProviderBMI - THE BLACKHEATH HOSPITAL (NT406)Varicose VeinAberdeen Varicose Vein Questionnaire</t>
  </si>
  <si>
    <t>ProviderBMI - THE DROITWICH SPA HOSPITAL (NT412)Varicose VeinAberdeen Varicose Vein Questionnaire</t>
  </si>
  <si>
    <t>ProviderBMI - THE KINGS OAK HOSPITAL (NT421)Varicose VeinAberdeen Varicose Vein Questionnaire</t>
  </si>
  <si>
    <t>ProviderLUTON AND DUNSTABLE UNIVERSITY HOSPITAL NHS FOUNDATION TRUST (RC9)Varicose VeinAberdeen Varicose Vein Questionnaire</t>
  </si>
  <si>
    <t>ProviderMAIDSTONE AND TUNBRIDGE WELLS NHS TRUST (RWF)Varicose VeinAberdeen Varicose Vein Questionnaire</t>
  </si>
  <si>
    <t>ProviderMEDWAY NHS FOUNDATION TRUST (RPA)Varicose VeinAberdeen Varicose Vein Questionnaire</t>
  </si>
  <si>
    <t>ProviderMID CHESHIRE HOSPITALS NHS FOUNDATION TRUST (RBT)Varicose VeinAberdeen Varicose Vein Questionnaire</t>
  </si>
  <si>
    <t>ProviderMID ESSEX HOSPITAL SERVICES NHS TRUST (RQ8)Varicose VeinAberdeen Varicose Vein Questionnaire</t>
  </si>
  <si>
    <t>ProviderMID STAFFORDSHIRE NHS FOUNDATION TRUST (RJD)Varicose VeinAberdeen Varicose Vein Questionnaire</t>
  </si>
  <si>
    <t>ProviderMID YORKSHIRE HOSPITALS NHS TRUST (RXF)Varicose VeinAberdeen Varicose Vein Questionnaire</t>
  </si>
  <si>
    <t>ProviderNORFOLK AND NORWICH UNIVERSITY HOSPITALS NHS FOUNDATION TRUST (RM1)Varicose VeinAberdeen Varicose Vein Questionnaire</t>
  </si>
  <si>
    <t>ProviderNORTH CUMBRIA UNIVERSITY HOSPITALS NHS TRUST (RNL)Varicose VeinAberdeen Varicose Vein Questionnaire</t>
  </si>
  <si>
    <t>ProviderNORTH DOWNS HOSPITAL (NVC11)Varicose VeinAberdeen Varicose Vein Questionnaire</t>
  </si>
  <si>
    <t>ProviderNORTH EAST LONDON TREATMENT CENTRE CARE UK (NTP15)Varicose VeinAberdeen Varicose Vein Questionnaire</t>
  </si>
  <si>
    <t>ProviderNORTH TEES AND HARTLEPOOL NHS FOUNDATION TRUST (RVW)Varicose VeinAberdeen Varicose Vein Questionnaire</t>
  </si>
  <si>
    <t>ProviderNORTH WEST LONDON HOSPITALS NHS TRUST (RV8)Varicose VeinAberdeen Varicose Vein Questionnaire</t>
  </si>
  <si>
    <t>ProviderNORTHAMPTON GENERAL HOSPITAL NHS TRUST (RNS)Varicose VeinAberdeen Varicose Vein Questionnaire</t>
  </si>
  <si>
    <t>ProviderNORTHERN DEVON HEALTHCARE NHS TRUST (RBZ)Varicose VeinAberdeen Varicose Vein Questionnaire</t>
  </si>
  <si>
    <t>ProviderNORTHERN LINCOLNSHIRE AND GOOLE NHS FOUNDATION TRUST (RJL)Varicose VeinAberdeen Varicose Vein Questionnaire</t>
  </si>
  <si>
    <t>ProviderTHE ROYAL BOURNEMOUTH AND CHRISTCHURCH HOSPITALS NHS FOUNDATION TRUST (RDZ)Varicose VeinAberdeen Varicose Vein Questionnaire</t>
  </si>
  <si>
    <t>ProviderWEST SUFFOLK NHS FOUNDATION TRUST (RGR)Varicose VeinAberdeen Varicose Vein Questionnaire</t>
  </si>
  <si>
    <t>ProviderUNIVERSITY HOSPITALS COVENTRY AND WARWICKSHIRE NHS TRUST (RKB)Varicose VeinAberdeen Varicose Vein Questionnaire</t>
  </si>
  <si>
    <t>ProviderUNIVERSITY HOSPITALS OF LEICESTER NHS TRUST (RWE)Varicose VeinAberdeen Varicose Vein Questionnaire</t>
  </si>
  <si>
    <t>ProviderUNIVERSITY HOSPITALS OF MORECAMBE BAY NHS FOUNDATION TRUST (RTX)Varicose VeinAberdeen Varicose Vein Questionnaire</t>
  </si>
  <si>
    <t>ProviderUNIVERSITY HOSPITALS OF NORTH MIDLANDS NHS TRUST (RJE)Varicose VeinAberdeen Varicose Vein Questionnaire</t>
  </si>
  <si>
    <t>ProviderWALSALL HEALTHCARE NHS TRUST (RBK)Varicose VeinAberdeen Varicose Vein Questionnaire</t>
  </si>
  <si>
    <t>ProviderWARRINGTON AND HALTON HOSPITALS NHS FOUNDATION TRUST (RWW)Varicose VeinAberdeen Varicose Vein Questionnaire</t>
  </si>
  <si>
    <t>ProviderWEST HERTFORDSHIRE HOSPITALS NHS TRUST (RWG)Varicose VeinAberdeen Varicose Vein Questionnaire</t>
  </si>
  <si>
    <t>ProviderTHE ROYAL WOLVERHAMPTON NHS TRUST (RL4)Varicose VeinAberdeen Varicose Vein Questionnaire</t>
  </si>
  <si>
    <t>ProviderTHE ROTHERHAM NHS FOUNDATION TRUST (RFR)Varicose VeinAberdeen Varicose Vein Questionnaire</t>
  </si>
  <si>
    <t>ProviderTHE NEWCASTLE UPON TYNE HOSPITALS NHS FOUNDATION TRUST (RTD)Varicose VeinAberdeen Varicose Vein Questionnaire</t>
  </si>
  <si>
    <t>ProviderTHE PRINCESS ALEXANDRA HOSPITAL NHS TRUST (RQW)Varicose VeinAberdeen Varicose Vein Questionnaire</t>
  </si>
  <si>
    <t>ProviderTHE QUEEN ELIZABETH HOSPITAL, KING'S LYNN, NHS FOUNDATION TRUST (RCX)Varicose VeinAberdeen Varicose Vein Questionnaire</t>
  </si>
  <si>
    <t>ProviderUNITED LINCOLNSHIRE HOSPITALS NHS TRUST (RWD)Varicose VeinAberdeen Varicose Vein Questionnaire</t>
  </si>
  <si>
    <t>ProviderTYNESIDE SURGICAL SERVICES AT THE NORTH EAST NHS SURGERY CENTRE (NN401)Varicose VeinAberdeen Varicose Vein Questionnaire</t>
  </si>
  <si>
    <t>ProviderUNIVERSITY COLLEGE LONDON HOSPITALS NHS FOUNDATION TRUST (RRV)Varicose VeinAberdeen Varicose Vein Questionnaire</t>
  </si>
  <si>
    <t>ProviderUNIVERSITY HOSPITAL OF SOUTH MANCHESTER NHS FOUNDATION TRUST (RM2)Varicose VeinAberdeen Varicose Vein Questionnaire</t>
  </si>
  <si>
    <t>ProviderTHE WESTBOURNE CENTRE (NVC44)Varicose VeinAberdeen Varicose Vein Questionnaire</t>
  </si>
  <si>
    <t>ProviderUNIVERSITY HOSPITALS BIRMINGHAM NHS FOUNDATION TRUST (RRK)Varicose VeinAberdeen Varicose Vein Questionnaire</t>
  </si>
  <si>
    <t>ProviderCOUNTESS OF CHESTER HOSPITAL NHS FOUNDATION TRUST (RJR)Varicose VeinAberdeen Varicose Vein Questionnaire</t>
  </si>
  <si>
    <t>ProviderCOUNTY DURHAM AND DARLINGTON NHS FOUNDATION TRUST (RXP)Varicose VeinAberdeen Varicose Vein Questionnaire</t>
  </si>
  <si>
    <t>ProviderDERBY TEACHING HOSPITALS NHS FOUNDATION TRUST (RTG)Varicose VeinAberdeen Varicose Vein Questionnaire</t>
  </si>
  <si>
    <t>ProviderDONCASTER AND BASSETLAW HOSPITALS NHS FOUNDATION TRUST (RP5)Varicose VeinAberdeen Varicose Vein Questionnaire</t>
  </si>
  <si>
    <t>ProviderCOBHAM DAY SURGERY HOSPITAL (NVM01)Varicose VeinAberdeen Varicose Vein Questionnaire</t>
  </si>
  <si>
    <t>ProviderDEVIZES NHS TREATMENT CENTRE (NTPH3)Varicose VeinAberdeen Varicose Vein Questionnaire</t>
  </si>
  <si>
    <t>ProviderDORSET COUNTY HOSPITAL NHS FOUNDATION TRUST (RBD)Varicose VeinAberdeen Varicose Vein Questionnaire</t>
  </si>
  <si>
    <t>ProviderROYAL CORNWALL HOSPITALS NHS TRUST (REF)Varicose VeinAberdeen Varicose Vein Questionnaire</t>
  </si>
  <si>
    <t>ProviderEALING HOSPITAL NHS TRUST (RC3)Varicose VeinAberdeen Varicose Vein Questionnaire</t>
  </si>
  <si>
    <t>ProviderEAST AND NORTH HERTFORDSHIRE NHS TRUST (RWH)Varicose VeinAberdeen Varicose Vein Questionnaire</t>
  </si>
  <si>
    <t>ProviderEAST CHESHIRE NHS TRUST (RJN)Varicose VeinAberdeen Varicose Vein Questionnaire</t>
  </si>
  <si>
    <t>ProviderEAST KENT HOSPITALS UNIVERSITY NHS FOUNDATION TRUST (RVV)Varicose VeinAberdeen Varicose Vein Questionnaire</t>
  </si>
  <si>
    <t>ProviderEAST LANCASHIRE HOSPITALS NHS TRUST (RXR)Varicose VeinAberdeen Varicose Vein Questionnaire</t>
  </si>
  <si>
    <t>ProviderEAST SUSSEX HEALTHCARE NHS TRUST (RXC)Varicose VeinAberdeen Varicose Vein Questionnaire</t>
  </si>
  <si>
    <t>ProviderROYAL BERKSHIRE NHS FOUNDATION TRUST (RHW)Varicose VeinAberdeen Varicose Vein Questionnaire</t>
  </si>
  <si>
    <t>ProviderAINTREE UNIVERSITY HOSPITAL NHS FOUNDATION TRUST (REM)Varicose VeinAberdeen Varicose Vein Questionnaire</t>
  </si>
  <si>
    <t>ProviderAIREDALE NHS FOUNDATION TRUST (RCF)Varicose VeinAberdeen Varicose Vein Questionnaire</t>
  </si>
  <si>
    <t>ProviderASHFORD AND ST PETER'S HOSPITALS NHS FOUNDATION TRUST (RTK)Varicose VeinAberdeen Varicose Vein Questionnaire</t>
  </si>
  <si>
    <t>ProviderEMERSONS GREEN NHS TREATMENT CENTRE (NTPH2)Varicose VeinAberdeen Varicose Vein Questionnaire</t>
  </si>
  <si>
    <t>ProviderEPSOM AND ST HELIER UNIVERSITY HOSPITALS NHS TRUST (RVR)Varicose VeinAberdeen Varicose Vein Questionnaire</t>
  </si>
  <si>
    <t>ProviderEUXTON HALL HOSPITAL (NVC05)Varicose VeinAberdeen Varicose Vein Questionnaire</t>
  </si>
  <si>
    <t>ProviderFAIRFIELD HOSPITAL (NVG01)Varicose VeinAberdeen Varicose Vein Questionnaire</t>
  </si>
  <si>
    <t>ProviderFRIMLEY HEALTH NHS FOUNDATION TRUST (RDU)Varicose VeinAberdeen Varicose Vein Questionnaire</t>
  </si>
  <si>
    <t>ProviderFULWOOD HALL HOSPITAL (NVC07)Varicose VeinAberdeen Varicose Vein Questionnaire</t>
  </si>
  <si>
    <t>ProviderGATESHEAD HEALTH NHS FOUNDATION TRUST (RR7)Varicose VeinAberdeen Varicose Vein Questionnaire</t>
  </si>
  <si>
    <t>ProviderGEORGE ELIOT HOSPITAL NHS TRUST (RLT)Varicose VeinAberdeen Varicose Vein Questionnaire</t>
  </si>
  <si>
    <t>ProviderGLOUCESTERSHIRE HOSPITALS NHS FOUNDATION TRUST (RTE)Varicose VeinAberdeen Varicose Vein Questionnaire</t>
  </si>
  <si>
    <t>ProviderGREAT WESTERN HOSPITALS NHS FOUNDATION TRUST (RN3)Varicose VeinAberdeen Varicose Vein Questionnaire</t>
  </si>
  <si>
    <t>ProviderGUY'S AND ST THOMAS' NHS FOUNDATION TRUST (RJ1)Varicose VeinAberdeen Varicose Vein Questionnaire</t>
  </si>
  <si>
    <t>ProviderHAMPSHIRE HOSPITALS NHS FOUNDATION TRUST (RN5)Varicose VeinAberdeen Varicose Vein Questionnaire</t>
  </si>
  <si>
    <t>ProviderHARROGATE AND DISTRICT NHS FOUNDATION TRUST (RCD)Varicose VeinAberdeen Varicose Vein Questionnaire</t>
  </si>
  <si>
    <t>ProviderHEART OF ENGLAND NHS FOUNDATION TRUST (RR1)Varicose VeinAberdeen Varicose Vein Questionnaire</t>
  </si>
  <si>
    <t>ProviderHINCHINGBROOKE HEALTH CARE NHS TRUST (RQQ)Varicose VeinAberdeen Varicose Vein Questionnaire</t>
  </si>
  <si>
    <t>ProviderHULL AND EAST YORKSHIRE HOSPITALS NHS TRUST (RWA)Varicose VeinAberdeen Varicose Vein Questionnaire</t>
  </si>
  <si>
    <t>ProviderIPSWICH HOSPITAL NHS TRUST (RGQ)Varicose VeinAberdeen Varicose Vein Questionnaire</t>
  </si>
  <si>
    <t>ProviderIMPERIAL COLLEGE HEALTHCARE NHS TRUST (RYJ)Varicose VeinAberdeen Varicose Vein Questionnaire</t>
  </si>
  <si>
    <t>ProviderJAMES PAGET UNIVERSITY HOSPITALS NHS FOUNDATION TRUST (RGP)Varicose VeinAberdeen Varicose Vein Questionnaire</t>
  </si>
  <si>
    <t>ProviderKETTERING GENERAL HOSPITAL NHS FOUNDATION TRUST (RNQ)Varicose VeinAberdeen Varicose Vein Questionnaire</t>
  </si>
  <si>
    <t>ProviderLEEDS TEACHING HOSPITALS NHS TRUST (RR8)Varicose VeinAberdeen Varicose Vein Questionnaire</t>
  </si>
  <si>
    <t>ProviderLANCASHIRE TEACHING HOSPITALS NHS FOUNDATION TRUST (RXN)Varicose VeinAberdeen Varicose Vein Questionnaire</t>
  </si>
  <si>
    <t>ProviderLANCASHIRE TEACHING HOSPITALS NHS FOUNDATION TRUST (RXN)Varicose VeinEQ VAS</t>
  </si>
  <si>
    <t>ProviderLEEDS TEACHING HOSPITALS NHS TRUST (RR8)Varicose VeinEQ VAS</t>
  </si>
  <si>
    <t>ProviderJAMES PAGET UNIVERSITY HOSPITALS NHS FOUNDATION TRUST (RGP)Varicose VeinEQ VAS</t>
  </si>
  <si>
    <t>ProviderIMPERIAL COLLEGE HEALTHCARE NHS TRUST (RYJ)Varicose VeinEQ VAS</t>
  </si>
  <si>
    <t>ProviderIPSWICH HOSPITAL NHS TRUST (RGQ)Varicose VeinEQ VAS</t>
  </si>
  <si>
    <t>ProviderHULL AND EAST YORKSHIRE HOSPITALS NHS TRUST (RWA)Varicose VeinEQ VAS</t>
  </si>
  <si>
    <t>ProviderHINCHINGBROOKE HEALTH CARE NHS TRUST (RQQ)Varicose VeinEQ VAS</t>
  </si>
  <si>
    <t>ProviderHEART OF ENGLAND NHS FOUNDATION TRUST (RR1)Varicose VeinEQ VAS</t>
  </si>
  <si>
    <t>ProviderHARROGATE AND DISTRICT NHS FOUNDATION TRUST (RCD)Varicose VeinEQ VAS</t>
  </si>
  <si>
    <t>ProviderHAMPSHIRE HOSPITALS NHS FOUNDATION TRUST (RN5)Varicose VeinEQ VAS</t>
  </si>
  <si>
    <t>ProviderGUY'S AND ST THOMAS' NHS FOUNDATION TRUST (RJ1)Varicose VeinEQ VAS</t>
  </si>
  <si>
    <t>ProviderGREAT WESTERN HOSPITALS NHS FOUNDATION TRUST (RN3)Varicose VeinEQ VAS</t>
  </si>
  <si>
    <t>ProviderGLOUCESTERSHIRE HOSPITALS NHS FOUNDATION TRUST (RTE)Varicose VeinEQ VAS</t>
  </si>
  <si>
    <t>ProviderGEORGE ELIOT HOSPITAL NHS TRUST (RLT)Varicose VeinEQ VAS</t>
  </si>
  <si>
    <t>ProviderGATESHEAD HEALTH NHS FOUNDATION TRUST (RR7)Varicose VeinEQ VAS</t>
  </si>
  <si>
    <t>ProviderFULWOOD HALL HOSPITAL (NVC07)Varicose VeinEQ VAS</t>
  </si>
  <si>
    <t>ProviderFRIMLEY HEALTH NHS FOUNDATION TRUST (RDU)Varicose VeinEQ VAS</t>
  </si>
  <si>
    <t>ProviderFAIRFIELD HOSPITAL (NVG01)Varicose VeinEQ VAS</t>
  </si>
  <si>
    <t>ProviderEUXTON HALL HOSPITAL (NVC05)Varicose VeinEQ VAS</t>
  </si>
  <si>
    <t>ProviderEPSOM AND ST HELIER UNIVERSITY HOSPITALS NHS TRUST (RVR)Varicose VeinEQ VAS</t>
  </si>
  <si>
    <t>ProviderEMERSONS GREEN NHS TREATMENT CENTRE (NTPH2)Varicose VeinEQ VAS</t>
  </si>
  <si>
    <t>ProviderASHFORD AND ST PETER'S HOSPITALS NHS FOUNDATION TRUST (RTK)Varicose VeinEQ VAS</t>
  </si>
  <si>
    <t>ProviderAIREDALE NHS FOUNDATION TRUST (RCF)Varicose VeinEQ VAS</t>
  </si>
  <si>
    <t>ProviderAINTREE UNIVERSITY HOSPITAL NHS FOUNDATION TRUST (REM)Varicose VeinEQ VAS</t>
  </si>
  <si>
    <t>ProviderROYAL BERKSHIRE NHS FOUNDATION TRUST (RHW)Varicose VeinEQ VAS</t>
  </si>
  <si>
    <t>ProviderEAST SUSSEX HEALTHCARE NHS TRUST (RXC)Varicose VeinEQ VAS</t>
  </si>
  <si>
    <t>ProviderEAST LANCASHIRE HOSPITALS NHS TRUST (RXR)Varicose VeinEQ VAS</t>
  </si>
  <si>
    <t>ProviderEAST KENT HOSPITALS UNIVERSITY NHS FOUNDATION TRUST (RVV)Varicose VeinEQ VAS</t>
  </si>
  <si>
    <t>ProviderEAST CHESHIRE NHS TRUST (RJN)Varicose VeinEQ VAS</t>
  </si>
  <si>
    <t>ProviderEAST AND NORTH HERTFORDSHIRE NHS TRUST (RWH)Varicose VeinEQ VAS</t>
  </si>
  <si>
    <t>ProviderEALING HOSPITAL NHS TRUST (RC3)Varicose VeinEQ VAS</t>
  </si>
  <si>
    <t>ProviderROYAL CORNWALL HOSPITALS NHS TRUST (REF)Varicose VeinEQ VAS</t>
  </si>
  <si>
    <t>ProviderDORSET COUNTY HOSPITAL NHS FOUNDATION TRUST (RBD)Varicose VeinEQ VAS</t>
  </si>
  <si>
    <t>ProviderDEVIZES NHS TREATMENT CENTRE (NTPH3)Varicose VeinEQ VAS</t>
  </si>
  <si>
    <t>ProviderCOBHAM DAY SURGERY HOSPITAL (NVM01)Varicose VeinEQ VAS</t>
  </si>
  <si>
    <t>ProviderDONCASTER AND BASSETLAW HOSPITALS NHS FOUNDATION TRUST (RP5)Varicose VeinEQ VAS</t>
  </si>
  <si>
    <t>ProviderDERBY TEACHING HOSPITALS NHS FOUNDATION TRUST (RTG)Varicose VeinEQ VAS</t>
  </si>
  <si>
    <t>ProviderCOUNTY DURHAM AND DARLINGTON NHS FOUNDATION TRUST (RXP)Varicose VeinEQ VAS</t>
  </si>
  <si>
    <t>ProviderCOUNTESS OF CHESTER HOSPITAL NHS FOUNDATION TRUST (RJR)Varicose VeinEQ VAS</t>
  </si>
  <si>
    <t>ProviderUNIVERSITY HOSPITALS BIRMINGHAM NHS FOUNDATION TRUST (RRK)Varicose VeinEQ VAS</t>
  </si>
  <si>
    <t>ProviderTHE WESTBOURNE CENTRE (NVC44)Varicose VeinEQ VAS</t>
  </si>
  <si>
    <t>ProviderUNIVERSITY HOSPITAL OF SOUTH MANCHESTER NHS FOUNDATION TRUST (RM2)Varicose VeinEQ VAS</t>
  </si>
  <si>
    <t>ProviderUNIVERSITY COLLEGE LONDON HOSPITALS NHS FOUNDATION TRUST (RRV)Varicose VeinEQ VAS</t>
  </si>
  <si>
    <t>ProviderTYNESIDE SURGICAL SERVICES AT THE NORTH EAST NHS SURGERY CENTRE (NN401)Varicose VeinEQ VAS</t>
  </si>
  <si>
    <t>ProviderUNITED LINCOLNSHIRE HOSPITALS NHS TRUST (RWD)Varicose VeinEQ VAS</t>
  </si>
  <si>
    <t>ProviderTHE QUEEN ELIZABETH HOSPITAL, KING'S LYNN, NHS FOUNDATION TRUST (RCX)Varicose VeinEQ VAS</t>
  </si>
  <si>
    <t>ProviderTHE PRINCESS ALEXANDRA HOSPITAL NHS TRUST (RQW)Varicose VeinEQ VAS</t>
  </si>
  <si>
    <t>ProviderTHE NEWCASTLE UPON TYNE HOSPITALS NHS FOUNDATION TRUST (RTD)Varicose VeinEQ VAS</t>
  </si>
  <si>
    <t>ProviderTHE ROTHERHAM NHS FOUNDATION TRUST (RFR)Varicose VeinEQ VAS</t>
  </si>
  <si>
    <t>ProviderTHE ROYAL WOLVERHAMPTON NHS TRUST (RL4)Varicose VeinEQ VAS</t>
  </si>
  <si>
    <t>ProviderWEST HERTFORDSHIRE HOSPITALS NHS TRUST (RWG)Varicose VeinEQ VAS</t>
  </si>
  <si>
    <t>ProviderWARRINGTON AND HALTON HOSPITALS NHS FOUNDATION TRUST (RWW)Varicose VeinEQ VAS</t>
  </si>
  <si>
    <t>ProviderWALSALL HEALTHCARE NHS TRUST (RBK)Varicose VeinEQ VAS</t>
  </si>
  <si>
    <t>ProviderUNIVERSITY HOSPITALS OF NORTH MIDLANDS NHS TRUST (RJE)Varicose VeinEQ VAS</t>
  </si>
  <si>
    <t>ProviderUNIVERSITY HOSPITALS OF MORECAMBE BAY NHS FOUNDATION TRUST (RTX)Varicose VeinEQ VAS</t>
  </si>
  <si>
    <t>ProviderUNIVERSITY HOSPITALS OF LEICESTER NHS TRUST (RWE)Varicose VeinEQ VAS</t>
  </si>
  <si>
    <t>ProviderUNIVERSITY HOSPITALS COVENTRY AND WARWICKSHIRE NHS TRUST (RKB)Varicose VeinEQ VAS</t>
  </si>
  <si>
    <t>ProviderWEST SUFFOLK NHS FOUNDATION TRUST (RGR)Varicose VeinEQ VAS</t>
  </si>
  <si>
    <t>ProviderTHE ROYAL BOURNEMOUTH AND CHRISTCHURCH HOSPITALS NHS FOUNDATION TRUST (RDZ)Varicose VeinEQ VAS</t>
  </si>
  <si>
    <t>ProviderNORTHERN LINCOLNSHIRE AND GOOLE NHS FOUNDATION TRUST (RJL)Varicose VeinEQ VAS</t>
  </si>
  <si>
    <t>ProviderNORTHERN DEVON HEALTHCARE NHS TRUST (RBZ)Varicose VeinEQ VAS</t>
  </si>
  <si>
    <t>ProviderNORTHAMPTON GENERAL HOSPITAL NHS TRUST (RNS)Varicose VeinEQ VAS</t>
  </si>
  <si>
    <t>ProviderNORTH WEST LONDON HOSPITALS NHS TRUST (RV8)Varicose VeinEQ VAS</t>
  </si>
  <si>
    <t>ProviderNORTH TEES AND HARTLEPOOL NHS FOUNDATION TRUST (RVW)Varicose VeinEQ VAS</t>
  </si>
  <si>
    <t>ProviderNORTH EAST LONDON TREATMENT CENTRE CARE UK (NTP15)Varicose VeinEQ VAS</t>
  </si>
  <si>
    <t>ProviderNORTH DOWNS HOSPITAL (NVC11)Varicose VeinEQ VAS</t>
  </si>
  <si>
    <t>ProviderNORTH CUMBRIA UNIVERSITY HOSPITALS NHS TRUST (RNL)Varicose VeinEQ VAS</t>
  </si>
  <si>
    <t>ProviderNORFOLK AND NORWICH UNIVERSITY HOSPITALS NHS FOUNDATION TRUST (RM1)Varicose VeinEQ VAS</t>
  </si>
  <si>
    <t>ProviderMID YORKSHIRE HOSPITALS NHS TRUST (RXF)Varicose VeinEQ VAS</t>
  </si>
  <si>
    <t>ProviderMID STAFFORDSHIRE NHS FOUNDATION TRUST (RJD)Varicose VeinEQ VAS</t>
  </si>
  <si>
    <t>ProviderMID ESSEX HOSPITAL SERVICES NHS TRUST (RQ8)Varicose VeinEQ VAS</t>
  </si>
  <si>
    <t>ProviderMID CHESHIRE HOSPITALS NHS FOUNDATION TRUST (RBT)Varicose VeinEQ VAS</t>
  </si>
  <si>
    <t>ProviderMEDWAY NHS FOUNDATION TRUST (RPA)Varicose VeinEQ VAS</t>
  </si>
  <si>
    <t>ProviderMAIDSTONE AND TUNBRIDGE WELLS NHS TRUST (RWF)Varicose VeinEQ VAS</t>
  </si>
  <si>
    <t>ProviderLUTON AND DUNSTABLE UNIVERSITY HOSPITAL NHS FOUNDATION TRUST (RC9)Varicose VeinEQ VAS</t>
  </si>
  <si>
    <t>ProviderBMI - THE KINGS OAK HOSPITAL (NT421)Varicose VeinEQ VAS</t>
  </si>
  <si>
    <t>ProviderBMI - THE DROITWICH SPA HOSPITAL (NT412)Varicose VeinEQ VAS</t>
  </si>
  <si>
    <t>ProviderBMI - THE BLACKHEATH HOSPITAL (NT406)Varicose VeinEQ VAS</t>
  </si>
  <si>
    <t>ProviderBMI - SHIRLEY OAKS HOSPITAL (NT436)Varicose VeinEQ VAS</t>
  </si>
  <si>
    <t>ProviderBMI - HENDON HOSPITAL (NT416)Varicose VeinEQ VAS</t>
  </si>
  <si>
    <t>ProviderKING'S COLLEGE HOSPITAL NHS FOUNDATION TRUST (RJZ)Varicose VeinEQ VAS</t>
  </si>
  <si>
    <t>ProviderBLACKPOOL TEACHING HOSPITALS NHS FOUNDATION TRUST (RXL)Varicose VeinEQ VAS</t>
  </si>
  <si>
    <t>ProviderBEDFORD HOSPITAL NHS TRUST (RC1)Varicose VeinEQ VAS</t>
  </si>
  <si>
    <t>ProviderBASILDON AND THURROCK UNIVERSITY HOSPITALS NHS FOUNDATION TRUST (RDD)Varicose VeinEQ VAS</t>
  </si>
  <si>
    <t>ProviderBARTS HEALTH NHS TRUST (R1H)Varicose VeinEQ VAS</t>
  </si>
  <si>
    <t>ProviderBARNSLEY HOSPITAL NHS FOUNDATION TRUST (RFF)Varicose VeinEQ VAS</t>
  </si>
  <si>
    <t>ProviderWRIGHTINGTON, WIGAN AND LEIGH NHS FOUNDATION TRUST (RRF)Varicose VeinEQ VAS</t>
  </si>
  <si>
    <t>ProviderWIRRAL UNIVERSITY TEACHING HOSPITAL NHS FOUNDATION TRUST (RBL)Varicose VeinEQ VAS</t>
  </si>
  <si>
    <t>ProviderWILL ADAMS NHS TREATMENT CENTRE (NTP16)Varicose VeinEQ VAS</t>
  </si>
  <si>
    <t>ProviderWESTERN SUSSEX HOSPITALS NHS FOUNDATION TRUST (RYR)Varicose VeinEQ VAS</t>
  </si>
  <si>
    <t>ProviderLEWISHAM AND GREENWICH NHS TRUST (RJ2)Varicose VeinEQ VAS</t>
  </si>
  <si>
    <t>ProviderWYE VALLEY NHS TRUST (RLQ)Varicose VeinEQ VAS</t>
  </si>
  <si>
    <t>ProviderYORK TEACHING HOSPITAL NHS FOUNDATION TRUST (RCB)Varicose VeinEQ VAS</t>
  </si>
  <si>
    <t>ProviderBARNET AND CHASE FARM HOSPITALS NHS TRUST (RVL)Varicose VeinEQ VAS</t>
  </si>
  <si>
    <t>ProviderBARKING, HAVERING AND REDBRIDGE UNIVERSITY HOSPITALS NHS TRUST (RF4)Varicose VeinEQ VAS</t>
  </si>
  <si>
    <t>ProviderASPEN - HIGHGATE HOSPITAL (NYW03)Varicose VeinEQ VAS</t>
  </si>
  <si>
    <t>ProviderASHTEAD HOSPITAL (NVC01)Varicose VeinEQ VAS</t>
  </si>
  <si>
    <t>ProviderSOUTH TEES HOSPITALS NHS FOUNDATION TRUST (RTR)Varicose VeinEQ VAS</t>
  </si>
  <si>
    <t>ProviderSHREWSBURY AND TELFORD HOSPITAL NHS TRUST (RXW)Varicose VeinEQ VAS</t>
  </si>
  <si>
    <t>ProviderSHERWOOD FOREST HOSPITALS NHS FOUNDATION TRUST (RK5)Varicose VeinEQ VAS</t>
  </si>
  <si>
    <t>ProviderSHEFFIELD TEACHING HOSPITALS NHS FOUNDATION TRUST (RHQ)Varicose VeinEQ VAS</t>
  </si>
  <si>
    <t>ProviderSANDWELL AND WEST BIRMINGHAM HOSPITALS NHS TRUST (RXK)Varicose VeinEQ VAS</t>
  </si>
  <si>
    <t>ProviderSALISBURY NHS FOUNDATION TRUST (RNZ)Varicose VeinEQ VAS</t>
  </si>
  <si>
    <t>ProviderROYAL UNITED HOSPITALS BATH NHS FOUNDATION TRUST (RD1)Varicose VeinEQ VAS</t>
  </si>
  <si>
    <t>ProviderROYAL FREE LONDON NHS FOUNDATION TRUST (RAL)Varicose VeinEQ VAS</t>
  </si>
  <si>
    <t>ProviderROYAL DEVON AND EXETER NHS FOUNDATION TRUST (RH8)Varicose VeinEQ VAS</t>
  </si>
  <si>
    <t>ProviderSPIRE CHESHIRE HOSPITAL (NT324)Varicose VeinEQ VAS</t>
  </si>
  <si>
    <t>ProviderSOUTHPORT AND ORMSKIRK HOSPITAL NHS TRUST (RVY)Varicose VeinEQ VAS</t>
  </si>
  <si>
    <t>ProviderSOUTHEND UNIVERSITY HOSPITAL NHS FOUNDATION TRUST (RAJ)Varicose VeinEQ VAS</t>
  </si>
  <si>
    <t>ProviderSOUTHAMPTON NHS TREATMENT CENTRE (NTP11)Varicose VeinEQ VAS</t>
  </si>
  <si>
    <t>ProviderSOUTH WARWICKSHIRE NHS FOUNDATION TRUST (RJC)Varicose VeinEQ VAS</t>
  </si>
  <si>
    <t>ProviderSPIRE FYLDE COAST HOSPITAL (NT347)Varicose VeinEQ VAS</t>
  </si>
  <si>
    <t>ProviderSPIRE ELLAND HOSPITAL (NT348)Varicose VeinEQ VAS</t>
  </si>
  <si>
    <t>ProviderBOSTON WEST HOSPITAL (NVC27)Varicose VeinEQ VAS</t>
  </si>
  <si>
    <t>ProviderBURTON HOSPITALS NHS FOUNDATION TRUST (RJF)Varicose VeinEQ VAS</t>
  </si>
  <si>
    <t>ProviderBUCKINGHAMSHIRE HEALTHCARE NHS TRUST (RXQ)Varicose VeinEQ VAS</t>
  </si>
  <si>
    <t>ProviderBRIGHTON AND SUSSEX UNIVERSITY HOSPITALS NHS TRUST (RXH)Varicose VeinEQ VAS</t>
  </si>
  <si>
    <t>ProviderBRADFORD TEACHING HOSPITALS NHS FOUNDATION TRUST (RAE)Varicose VeinEQ VAS</t>
  </si>
  <si>
    <t>ProviderBOLTON NHS FOUNDATION TRUST (RMC)Varicose VeinEQ VAS</t>
  </si>
  <si>
    <t>ProviderBMI SOUTHEND PRIVATE HOSPITAL (NT490)Varicose VeinEQ VAS</t>
  </si>
  <si>
    <t>ProviderOAKS HOSPITAL (NVC13)Varicose VeinEQ VAS</t>
  </si>
  <si>
    <t>ProviderPORTSMOUTH HOSPITALS NHS TRUST (RHU)Varicose VeinEQ VAS</t>
  </si>
  <si>
    <t>ProviderPLYMOUTH HOSPITALS NHS TRUST (RK9)Varicose VeinEQ VAS</t>
  </si>
  <si>
    <t>ProviderPINEHILL HOSPITAL (NVC15)Varicose VeinEQ VAS</t>
  </si>
  <si>
    <t>ProviderPETERBOROUGH AND STAMFORD HOSPITALS NHS FOUNDATION TRUST (RGN)Varicose VeinEQ VAS</t>
  </si>
  <si>
    <t>ProviderPENNINE ACUTE HOSPITALS NHS TRUST (RW6)Varicose VeinEQ VAS</t>
  </si>
  <si>
    <t>ProviderSPIRE LIVERPOOL HOSPITAL (NT337)Varicose VeinEQ VAS</t>
  </si>
  <si>
    <t>ProviderSPIRE WASHINGTON HOSPITAL (NT333)Varicose VeinEQ VAS</t>
  </si>
  <si>
    <t>ProviderSPIRE MURRAYFIELD HOSPITAL (NT325)Varicose VeinEQ VAS</t>
  </si>
  <si>
    <t>ProviderSPIRE MONTEFIORE HOSPITAL (NT364)Varicose VeinEQ VAS</t>
  </si>
  <si>
    <t>ProviderSPIRE METHLEY PARK HOSPITAL (NT350)Varicose VeinEQ VAS</t>
  </si>
  <si>
    <t>ProviderTAUNTON AND SOMERSET NHS FOUNDATION TRUST (RBA)Varicose VeinEQ VAS</t>
  </si>
  <si>
    <t>ProviderTAMESIDE HOSPITAL NHS FOUNDATION TRUST (RMP)Varicose VeinEQ VAS</t>
  </si>
  <si>
    <t>ProviderSURREY AND SUSSEX HEALTHCARE NHS TRUST (RTP)Varicose VeinEQ VAS</t>
  </si>
  <si>
    <t>ProviderST HELENS AND KNOWSLEY HOSPITALS NHS TRUST (RBN)Varicose VeinEQ VAS</t>
  </si>
  <si>
    <t>ProviderST GEORGE'S UNIVERSITY HOSPITALS NHS FOUNDATION TRUST (RJ7)Varicose VeinEQ VAS</t>
  </si>
  <si>
    <t>ProviderTHE DUDLEY GROUP NHS FOUNDATION TRUST (RNA)Varicose VeinEQ VAS</t>
  </si>
  <si>
    <t>ProviderTHE HILLINGDON HOSPITALS NHS FOUNDATION TRUST (RAS)Varicose VeinEQ VAS</t>
  </si>
  <si>
    <t>ProviderTEES VALLEY TREATMENT CENTRE (NVC35)Varicose VeinEQ VAS</t>
  </si>
  <si>
    <t>ProviderCOLCHESTER HOSPITAL UNIVERSITY NHS FOUNDATION TRUST (RDE)Varicose VeinEQ VAS</t>
  </si>
  <si>
    <t>ProviderCOBALT HOSPITAL (NVC29)Varicose VeinEQ VAS</t>
  </si>
  <si>
    <t>ProviderCLINICENTA SURGICENTRE (NW931)Varicose VeinEQ VAS</t>
  </si>
  <si>
    <t>ProviderCITY HOSPITALS SUNDERLAND NHS FOUNDATION TRUST (RLN)Varicose VeinEQ VAS</t>
  </si>
  <si>
    <t>ProviderCIRCLE BATH HOSPITAL (NV302)Varicose VeinEQ VAS</t>
  </si>
  <si>
    <t>ProviderCIRCLE - NOTTINGHAM NHS TREATMENT CENTRE (NV313)Varicose VeinEQ VAS</t>
  </si>
  <si>
    <t>ProviderCIRENCESTER NHS TREATMENT CENTRE (NTPH4)Varicose VeinEQ VAS</t>
  </si>
  <si>
    <t>ProviderCALDERDALE AND HUDDERSFIELD NHS FOUNDATION TRUST (RWY)Varicose VeinEQ VAS</t>
  </si>
  <si>
    <t>ProviderCHESTERFIELD ROYAL HOSPITAL NHS FOUNDATION TRUST (RFS)Varicose VeinEQ VAS</t>
  </si>
  <si>
    <t>ProviderCHELSEA AND WESTMINSTER HOSPITAL NHS FOUNDATION TRUST (RQM)Varicose VeinEQ VAS</t>
  </si>
  <si>
    <t>ProviderCENTRAL MANCHESTER UNIVERSITY HOSPITALS NHS FOUNDATION TRUST (RW3)Varicose VeinEQ VAS</t>
  </si>
  <si>
    <t>ProviderCAMBRIDGE UNIVERSITY HOSPITALS NHS FOUNDATION TRUST (RGT)Varicose VeinEQ VAS</t>
  </si>
  <si>
    <t>ProviderCAMBRIDGE UNIVERSITY HOSPITALS NHS FOUNDATION TRUST (RGT)Varicose VeinEQ-5D Index</t>
  </si>
  <si>
    <t>ProviderCENTRAL MANCHESTER UNIVERSITY HOSPITALS NHS FOUNDATION TRUST (RW3)Varicose VeinEQ-5D Index</t>
  </si>
  <si>
    <t>ProviderCHELSEA AND WESTMINSTER HOSPITAL NHS FOUNDATION TRUST (RQM)Varicose VeinEQ-5D Index</t>
  </si>
  <si>
    <t>ProviderCHESTERFIELD ROYAL HOSPITAL NHS FOUNDATION TRUST (RFS)Varicose VeinEQ-5D Index</t>
  </si>
  <si>
    <t>ProviderCALDERDALE AND HUDDERSFIELD NHS FOUNDATION TRUST (RWY)Varicose VeinEQ-5D Index</t>
  </si>
  <si>
    <t>ProviderCIRENCESTER NHS TREATMENT CENTRE (NTPH4)Varicose VeinEQ-5D Index</t>
  </si>
  <si>
    <t>ProviderROYAL CORNWALL HOSPITALS NHS TRUST (REF)Varicose VeinEQ-5D Index</t>
  </si>
  <si>
    <t>ProviderCIRCLE - NOTTINGHAM NHS TREATMENT CENTRE (NV313)Varicose VeinEQ-5D Index</t>
  </si>
  <si>
    <t>ProviderCIRCLE BATH HOSPITAL (NV302)Varicose VeinEQ-5D Index</t>
  </si>
  <si>
    <t>ProviderCITY HOSPITALS SUNDERLAND NHS FOUNDATION TRUST (RLN)Varicose VeinEQ-5D Index</t>
  </si>
  <si>
    <t>ProviderCLINICENTA SURGICENTRE (NW931)Varicose VeinEQ-5D Index</t>
  </si>
  <si>
    <t>ProviderCOBALT HOSPITAL (NVC29)Varicose VeinEQ-5D Index</t>
  </si>
  <si>
    <t>ProviderCOLCHESTER HOSPITAL UNIVERSITY NHS FOUNDATION TRUST (RDE)Varicose VeinEQ-5D Index</t>
  </si>
  <si>
    <t>ProviderTEES VALLEY TREATMENT CENTRE (NVC35)Varicose VeinEQ-5D Index</t>
  </si>
  <si>
    <t>ProviderTHE HILLINGDON HOSPITALS NHS FOUNDATION TRUST (RAS)Varicose VeinEQ-5D Index</t>
  </si>
  <si>
    <t>ProviderTHE DUDLEY GROUP NHS FOUNDATION TRUST (RNA)Varicose VeinEQ-5D Index</t>
  </si>
  <si>
    <t>ProviderST GEORGE'S UNIVERSITY HOSPITALS NHS FOUNDATION TRUST (RJ7)Varicose VeinEQ-5D Index</t>
  </si>
  <si>
    <t>ProviderST HELENS AND KNOWSLEY HOSPITALS NHS TRUST (RBN)Varicose VeinEQ-5D Index</t>
  </si>
  <si>
    <t>ProviderSURREY AND SUSSEX HEALTHCARE NHS TRUST (RTP)Varicose VeinEQ-5D Index</t>
  </si>
  <si>
    <t>ProviderTAMESIDE HOSPITAL NHS FOUNDATION TRUST (RMP)Varicose VeinEQ-5D Index</t>
  </si>
  <si>
    <t>ProviderTAUNTON AND SOMERSET NHS FOUNDATION TRUST (RBA)Varicose VeinEQ-5D Index</t>
  </si>
  <si>
    <t>ProviderSPIRE METHLEY PARK HOSPITAL (NT350)Varicose VeinEQ-5D Index</t>
  </si>
  <si>
    <t>ProviderSPIRE MONTEFIORE HOSPITAL (NT364)Varicose VeinEQ-5D Index</t>
  </si>
  <si>
    <t>ProviderSPIRE MURRAYFIELD HOSPITAL (NT325)Varicose VeinEQ-5D Index</t>
  </si>
  <si>
    <t>ProviderSPIRE WASHINGTON HOSPITAL (NT333)Varicose VeinEQ-5D Index</t>
  </si>
  <si>
    <t>ProviderSPIRE LIVERPOOL HOSPITAL (NT337)Varicose VeinEQ-5D Index</t>
  </si>
  <si>
    <t>ProviderPENNINE ACUTE HOSPITALS NHS TRUST (RW6)Varicose VeinEQ-5D Index</t>
  </si>
  <si>
    <t>ProviderPETERBOROUGH AND STAMFORD HOSPITALS NHS FOUNDATION TRUST (RGN)Varicose VeinEQ-5D Index</t>
  </si>
  <si>
    <t>ProviderPINEHILL HOSPITAL (NVC15)Varicose VeinEQ-5D Index</t>
  </si>
  <si>
    <t>ProviderPLYMOUTH HOSPITALS NHS TRUST (RK9)Varicose VeinEQ-5D Index</t>
  </si>
  <si>
    <t>ProviderPORTSMOUTH HOSPITALS NHS TRUST (RHU)Varicose VeinEQ-5D Index</t>
  </si>
  <si>
    <t>ProviderOAKS HOSPITAL (NVC13)Varicose VeinEQ-5D Index</t>
  </si>
  <si>
    <t>ProviderBMI SOUTHEND PRIVATE HOSPITAL (NT490)Varicose VeinEQ-5D Index</t>
  </si>
  <si>
    <t>ProviderBMI - THE SOUTH CHESHIRE PRIVATE HOSPITAL (NT439)Varicose VeinEQ-5D Index</t>
  </si>
  <si>
    <t>ProviderBOLTON NHS FOUNDATION TRUST (RMC)Varicose VeinEQ-5D Index</t>
  </si>
  <si>
    <t>ProviderBRADFORD TEACHING HOSPITALS NHS FOUNDATION TRUST (RAE)Varicose VeinEQ-5D Index</t>
  </si>
  <si>
    <t>ProviderBRIGHTON AND SUSSEX UNIVERSITY HOSPITALS NHS TRUST (RXH)Varicose VeinEQ-5D Index</t>
  </si>
  <si>
    <t>ProviderBUCKINGHAMSHIRE HEALTHCARE NHS TRUST (RXQ)Varicose VeinEQ-5D Index</t>
  </si>
  <si>
    <t>ProviderBURTON HOSPITALS NHS FOUNDATION TRUST (RJF)Varicose VeinEQ-5D Index</t>
  </si>
  <si>
    <t>ProviderBOSTON WEST HOSPITAL (NVC27)Varicose VeinEQ-5D Index</t>
  </si>
  <si>
    <t>ProviderNUFFIELD HEALTH, HEREFORD HOSPITAL (NT219)Varicose VeinEQ-5D Index</t>
  </si>
  <si>
    <t>ProviderSPIRE ELLAND HOSPITAL (NT348)Varicose VeinEQ-5D Index</t>
  </si>
  <si>
    <t>ProviderSPIRE FYLDE COAST HOSPITAL (NT347)Varicose VeinEQ-5D Index</t>
  </si>
  <si>
    <t>ProviderSOUTH WARWICKSHIRE NHS FOUNDATION TRUST (RJC)Varicose VeinEQ-5D Index</t>
  </si>
  <si>
    <t>ProviderSOUTHAMPTON NHS TREATMENT CENTRE (NTP11)Varicose VeinEQ-5D Index</t>
  </si>
  <si>
    <t>ProviderSOUTHEND UNIVERSITY HOSPITAL NHS FOUNDATION TRUST (RAJ)Varicose VeinEQ-5D Index</t>
  </si>
  <si>
    <t>ProviderSOUTHPORT AND ORMSKIRK HOSPITAL NHS TRUST (RVY)Varicose VeinEQ-5D Index</t>
  </si>
  <si>
    <t>ProviderSPIRE CHESHIRE HOSPITAL (NT324)Varicose VeinEQ-5D Index</t>
  </si>
  <si>
    <t>ProviderROYAL DEVON AND EXETER NHS FOUNDATION TRUST (RH8)Varicose VeinEQ-5D Index</t>
  </si>
  <si>
    <t>ProviderROYAL FREE LONDON NHS FOUNDATION TRUST (RAL)Varicose VeinEQ-5D Index</t>
  </si>
  <si>
    <t>ProviderROYAL UNITED HOSPITALS BATH NHS FOUNDATION TRUST (RD1)Varicose VeinEQ-5D Index</t>
  </si>
  <si>
    <t>ProviderSALISBURY NHS FOUNDATION TRUST (RNZ)Varicose VeinEQ-5D Index</t>
  </si>
  <si>
    <t>ProviderSANDWELL AND WEST BIRMINGHAM HOSPITALS NHS TRUST (RXK)Varicose VeinEQ-5D Index</t>
  </si>
  <si>
    <t>ProviderSHEFFIELD TEACHING HOSPITALS NHS FOUNDATION TRUST (RHQ)Varicose VeinEQ-5D Index</t>
  </si>
  <si>
    <t>ProviderSHERWOOD FOREST HOSPITALS NHS FOUNDATION TRUST (RK5)Varicose VeinEQ-5D Index</t>
  </si>
  <si>
    <t>ProviderSHREWSBURY AND TELFORD HOSPITAL NHS TRUST (RXW)Varicose VeinEQ-5D Index</t>
  </si>
  <si>
    <t>ProviderSOUTH TEES HOSPITALS NHS FOUNDATION TRUST (RTR)Varicose VeinEQ-5D Index</t>
  </si>
  <si>
    <t>ProviderASHTEAD HOSPITAL (NVC01)Varicose VeinEQ-5D Index</t>
  </si>
  <si>
    <t>ProviderASPEN - HIGHGATE HOSPITAL (NYW03)Varicose VeinEQ-5D Index</t>
  </si>
  <si>
    <t>ProviderBARKING, HAVERING AND REDBRIDGE UNIVERSITY HOSPITALS NHS TRUST (RF4)Varicose VeinEQ-5D Index</t>
  </si>
  <si>
    <t>ProviderBARNET AND CHASE FARM HOSPITALS NHS TRUST (RVL)Varicose VeinEQ-5D Index</t>
  </si>
  <si>
    <t>ProviderYORK TEACHING HOSPITAL NHS FOUNDATION TRUST (RCB)Varicose VeinEQ-5D Index</t>
  </si>
  <si>
    <t>ProviderWYE VALLEY NHS TRUST (RLQ)Varicose VeinEQ-5D Index</t>
  </si>
  <si>
    <t>ProviderLEWISHAM AND GREENWICH NHS TRUST (RJ2)Varicose VeinEQ-5D Index</t>
  </si>
  <si>
    <t>ProviderWESTERN SUSSEX HOSPITALS NHS FOUNDATION TRUST (RYR)Varicose VeinEQ-5D Index</t>
  </si>
  <si>
    <t>ProviderWILL ADAMS NHS TREATMENT CENTRE (NTP16)Varicose VeinEQ-5D Index</t>
  </si>
  <si>
    <t>ProviderWIRRAL UNIVERSITY TEACHING HOSPITAL NHS FOUNDATION TRUST (RBL)Varicose VeinEQ-5D Index</t>
  </si>
  <si>
    <t>ProviderWRIGHTINGTON, WIGAN AND LEIGH NHS FOUNDATION TRUST (RRF)Varicose VeinEQ-5D Index</t>
  </si>
  <si>
    <t>ProviderBARNSLEY HOSPITAL NHS FOUNDATION TRUST (RFF)Varicose VeinEQ-5D Index</t>
  </si>
  <si>
    <t>ProviderBARTS HEALTH NHS TRUST (R1H)Varicose VeinEQ-5D Index</t>
  </si>
  <si>
    <t>ProviderBASILDON AND THURROCK UNIVERSITY HOSPITALS NHS FOUNDATION TRUST (RDD)Varicose VeinEQ-5D Index</t>
  </si>
  <si>
    <t>ProviderBEDFORD HOSPITAL NHS TRUST (RC1)Varicose VeinEQ-5D Index</t>
  </si>
  <si>
    <t>ProviderBLACKPOOL TEACHING HOSPITALS NHS FOUNDATION TRUST (RXL)Varicose VeinEQ-5D Index</t>
  </si>
  <si>
    <t>ProviderKING'S COLLEGE HOSPITAL NHS FOUNDATION TRUST (RJZ)Varicose VeinEQ-5D Index</t>
  </si>
  <si>
    <t>ProviderBMI - HENDON HOSPITAL (NT416)Varicose VeinEQ-5D Index</t>
  </si>
  <si>
    <t>ProviderBMI - SHIRLEY OAKS HOSPITAL (NT436)Varicose VeinEQ-5D Index</t>
  </si>
  <si>
    <t>ProviderBMI - THE BLACKHEATH HOSPITAL (NT406)Varicose VeinEQ-5D Index</t>
  </si>
  <si>
    <t>ProviderBMI - THE DROITWICH SPA HOSPITAL (NT412)Varicose VeinEQ-5D Index</t>
  </si>
  <si>
    <t>ProviderBMI - THE KINGS OAK HOSPITAL (NT421)Varicose VeinEQ-5D Index</t>
  </si>
  <si>
    <t>ProviderLUTON AND DUNSTABLE UNIVERSITY HOSPITAL NHS FOUNDATION TRUST (RC9)Varicose VeinEQ-5D Index</t>
  </si>
  <si>
    <t>ProviderMAIDSTONE AND TUNBRIDGE WELLS NHS TRUST (RWF)Varicose VeinEQ-5D Index</t>
  </si>
  <si>
    <t>ProviderMEDWAY NHS FOUNDATION TRUST (RPA)Varicose VeinEQ-5D Index</t>
  </si>
  <si>
    <t>ProviderMID CHESHIRE HOSPITALS NHS FOUNDATION TRUST (RBT)Varicose VeinEQ-5D Index</t>
  </si>
  <si>
    <t>ProviderMID ESSEX HOSPITAL SERVICES NHS TRUST (RQ8)Varicose VeinEQ-5D Index</t>
  </si>
  <si>
    <t>ProviderMID STAFFORDSHIRE NHS FOUNDATION TRUST (RJD)Varicose VeinEQ-5D Index</t>
  </si>
  <si>
    <t>ProviderMID YORKSHIRE HOSPITALS NHS TRUST (RXF)Varicose VeinEQ-5D Index</t>
  </si>
  <si>
    <t>ProviderNORFOLK AND NORWICH UNIVERSITY HOSPITALS NHS FOUNDATION TRUST (RM1)Varicose VeinEQ-5D Index</t>
  </si>
  <si>
    <t>ProviderNORTH CUMBRIA UNIVERSITY HOSPITALS NHS TRUST (RNL)Varicose VeinEQ-5D Index</t>
  </si>
  <si>
    <t>ProviderNORTH DOWNS HOSPITAL (NVC11)Varicose VeinEQ-5D Index</t>
  </si>
  <si>
    <t>ProviderNORTH EAST LONDON TREATMENT CENTRE CARE UK (NTP15)Varicose VeinEQ-5D Index</t>
  </si>
  <si>
    <t>ProviderNORTH TEES AND HARTLEPOOL NHS FOUNDATION TRUST (RVW)Varicose VeinEQ-5D Index</t>
  </si>
  <si>
    <t>ProviderNORTH WEST LONDON HOSPITALS NHS TRUST (RV8)Varicose VeinEQ-5D Index</t>
  </si>
  <si>
    <t>ProviderNORTHAMPTON GENERAL HOSPITAL NHS TRUST (RNS)Varicose VeinEQ-5D Index</t>
  </si>
  <si>
    <t>ProviderNORTHERN DEVON HEALTHCARE NHS TRUST (RBZ)Varicose VeinEQ-5D Index</t>
  </si>
  <si>
    <t>ProviderNORTHERN LINCOLNSHIRE AND GOOLE NHS FOUNDATION TRUST (RJL)Varicose VeinEQ-5D Index</t>
  </si>
  <si>
    <t>ProviderTHE ROYAL BOURNEMOUTH AND CHRISTCHURCH HOSPITALS NHS FOUNDATION TRUST (RDZ)Varicose VeinEQ-5D Index</t>
  </si>
  <si>
    <t>ProviderWEST SUFFOLK NHS FOUNDATION TRUST (RGR)Varicose VeinEQ-5D Index</t>
  </si>
  <si>
    <t>ProviderUNIVERSITY HOSPITALS COVENTRY AND WARWICKSHIRE NHS TRUST (RKB)Varicose VeinEQ-5D Index</t>
  </si>
  <si>
    <t>ProviderUNIVERSITY HOSPITALS OF LEICESTER NHS TRUST (RWE)Varicose VeinEQ-5D Index</t>
  </si>
  <si>
    <t>ProviderUNIVERSITY HOSPITALS OF MORECAMBE BAY NHS FOUNDATION TRUST (RTX)Varicose VeinEQ-5D Index</t>
  </si>
  <si>
    <t>ProviderUNIVERSITY HOSPITALS OF NORTH MIDLANDS NHS TRUST (RJE)Varicose VeinEQ-5D Index</t>
  </si>
  <si>
    <t>ProviderWALSALL HEALTHCARE NHS TRUST (RBK)Varicose VeinEQ-5D Index</t>
  </si>
  <si>
    <t>ProviderWARRINGTON AND HALTON HOSPITALS NHS FOUNDATION TRUST (RWW)Varicose VeinEQ-5D Index</t>
  </si>
  <si>
    <t>ProviderWEST HERTFORDSHIRE HOSPITALS NHS TRUST (RWG)Varicose VeinEQ-5D Index</t>
  </si>
  <si>
    <t>ProviderTHE ROYAL WOLVERHAMPTON NHS TRUST (RL4)Varicose VeinEQ-5D Index</t>
  </si>
  <si>
    <t>ProviderTHE ROTHERHAM NHS FOUNDATION TRUST (RFR)Varicose VeinEQ-5D Index</t>
  </si>
  <si>
    <t>ProviderTHE NEWCASTLE UPON TYNE HOSPITALS NHS FOUNDATION TRUST (RTD)Varicose VeinEQ-5D Index</t>
  </si>
  <si>
    <t>ProviderTHE PRINCESS ALEXANDRA HOSPITAL NHS TRUST (RQW)Varicose VeinEQ-5D Index</t>
  </si>
  <si>
    <t>ProviderTHE QUEEN ELIZABETH HOSPITAL, KING'S LYNN, NHS FOUNDATION TRUST (RCX)Varicose VeinEQ-5D Index</t>
  </si>
  <si>
    <t>ProviderUNITED LINCOLNSHIRE HOSPITALS NHS TRUST (RWD)Varicose VeinEQ-5D Index</t>
  </si>
  <si>
    <t>ProviderTYNESIDE SURGICAL SERVICES AT THE NORTH EAST NHS SURGERY CENTRE (NN401)Varicose VeinEQ-5D Index</t>
  </si>
  <si>
    <t>ProviderUNIVERSITY COLLEGE LONDON HOSPITALS NHS FOUNDATION TRUST (RRV)Varicose VeinEQ-5D Index</t>
  </si>
  <si>
    <t>ProviderUNIVERSITY HOSPITAL OF SOUTH MANCHESTER NHS FOUNDATION TRUST (RM2)Varicose VeinEQ-5D Index</t>
  </si>
  <si>
    <t>ProviderTHE WESTBOURNE CENTRE (NVC44)Varicose VeinEQ-5D Index</t>
  </si>
  <si>
    <t>ProviderUNIVERSITY HOSPITALS BIRMINGHAM NHS FOUNDATION TRUST (RRK)Varicose VeinEQ-5D Index</t>
  </si>
  <si>
    <t>ProviderCOUNTESS OF CHESTER HOSPITAL NHS FOUNDATION TRUST (RJR)Varicose VeinEQ-5D Index</t>
  </si>
  <si>
    <t>ProviderCOUNTY DURHAM AND DARLINGTON NHS FOUNDATION TRUST (RXP)Varicose VeinEQ-5D Index</t>
  </si>
  <si>
    <t>ProviderDERBY TEACHING HOSPITALS NHS FOUNDATION TRUST (RTG)Varicose VeinEQ-5D Index</t>
  </si>
  <si>
    <t>ProviderDONCASTER AND BASSETLAW HOSPITALS NHS FOUNDATION TRUST (RP5)Varicose VeinEQ-5D Index</t>
  </si>
  <si>
    <t>ProviderCOBHAM DAY SURGERY HOSPITAL (NVM01)Varicose VeinEQ-5D Index</t>
  </si>
  <si>
    <t>ProviderDEVIZES NHS TREATMENT CENTRE (NTPH3)Varicose VeinEQ-5D Index</t>
  </si>
  <si>
    <t>ProviderDORSET COUNTY HOSPITAL NHS FOUNDATION TRUST (RBD)Varicose VeinEQ-5D Index</t>
  </si>
  <si>
    <t>ProviderEALING HOSPITAL NHS TRUST (RC3)Varicose VeinEQ-5D Index</t>
  </si>
  <si>
    <t>ProviderDEVIZES NHS TREATMENT CENTRE (NTC03)Varicose VeinEQ-5D Index</t>
  </si>
  <si>
    <t>NTC03</t>
  </si>
  <si>
    <t>DEVIZES NHS TREATMENT CENTRE (NTC03)</t>
  </si>
  <si>
    <t>ProviderEAST AND NORTH HERTFORDSHIRE NHS TRUST (RWH)Varicose VeinEQ-5D Index</t>
  </si>
  <si>
    <t>ProviderEAST CHESHIRE NHS TRUST (RJN)Varicose VeinEQ-5D Index</t>
  </si>
  <si>
    <t>ProviderEAST KENT HOSPITALS UNIVERSITY NHS FOUNDATION TRUST (RVV)Varicose VeinEQ-5D Index</t>
  </si>
  <si>
    <t>ProviderEAST LANCASHIRE HOSPITALS NHS TRUST (RXR)Varicose VeinEQ-5D Index</t>
  </si>
  <si>
    <t>ProviderEAST SUSSEX HEALTHCARE NHS TRUST (RXC)Varicose VeinEQ-5D Index</t>
  </si>
  <si>
    <t>ProviderROYAL BERKSHIRE NHS FOUNDATION TRUST (RHW)Varicose VeinEQ-5D Index</t>
  </si>
  <si>
    <t>ProviderAINTREE UNIVERSITY HOSPITAL NHS FOUNDATION TRUST (REM)Varicose VeinEQ-5D Index</t>
  </si>
  <si>
    <t>ProviderAIREDALE NHS FOUNDATION TRUST (RCF)Varicose VeinEQ-5D Index</t>
  </si>
  <si>
    <t>ProviderASHFORD AND ST PETER'S HOSPITALS NHS FOUNDATION TRUST (RTK)Varicose VeinEQ-5D Index</t>
  </si>
  <si>
    <t>ProviderEMERSONS GREEN NHS TREATMENT CENTRE (NTPH2)Varicose VeinEQ-5D Index</t>
  </si>
  <si>
    <t>ProviderEPSOM AND ST HELIER UNIVERSITY HOSPITALS NHS TRUST (RVR)Varicose VeinEQ-5D Index</t>
  </si>
  <si>
    <t>ProviderEUXTON HALL HOSPITAL (NVC05)Varicose VeinEQ-5D Index</t>
  </si>
  <si>
    <t>ProviderFAIRFIELD HOSPITAL (NVG01)Varicose VeinEQ-5D Index</t>
  </si>
  <si>
    <t>ProviderFRIMLEY HEALTH NHS FOUNDATION TRUST (RDU)Varicose VeinEQ-5D Index</t>
  </si>
  <si>
    <t>ProviderFULWOOD HALL HOSPITAL (NVC07)Varicose VeinEQ-5D Index</t>
  </si>
  <si>
    <t>ProviderGATESHEAD HEALTH NHS FOUNDATION TRUST (RR7)Varicose VeinEQ-5D Index</t>
  </si>
  <si>
    <t>ProviderGEORGE ELIOT HOSPITAL NHS TRUST (RLT)Varicose VeinEQ-5D Index</t>
  </si>
  <si>
    <t>ProviderGLOUCESTERSHIRE HOSPITALS NHS FOUNDATION TRUST (RTE)Varicose VeinEQ-5D Index</t>
  </si>
  <si>
    <t>ProviderGREAT WESTERN HOSPITALS NHS FOUNDATION TRUST (RN3)Varicose VeinEQ-5D Index</t>
  </si>
  <si>
    <t>ProviderGUY'S AND ST THOMAS' NHS FOUNDATION TRUST (RJ1)Varicose VeinEQ-5D Index</t>
  </si>
  <si>
    <t>ProviderHAMPSHIRE HOSPITALS NHS FOUNDATION TRUST (RN5)Varicose VeinEQ-5D Index</t>
  </si>
  <si>
    <t>ProviderHARROGATE AND DISTRICT NHS FOUNDATION TRUST (RCD)Varicose VeinEQ-5D Index</t>
  </si>
  <si>
    <t>ProviderHEART OF ENGLAND NHS FOUNDATION TRUST (RR1)Varicose VeinEQ-5D Index</t>
  </si>
  <si>
    <t>ProviderHINCHINGBROOKE HEALTH CARE NHS TRUST (RQQ)Varicose VeinEQ-5D Index</t>
  </si>
  <si>
    <t>ProviderHULL AND EAST YORKSHIRE HOSPITALS NHS TRUST (RWA)Varicose VeinEQ-5D Index</t>
  </si>
  <si>
    <t>ProviderIPSWICH HOSPITAL NHS TRUST (RGQ)Varicose VeinEQ-5D Index</t>
  </si>
  <si>
    <t>ProviderIMPERIAL COLLEGE HEALTHCARE NHS TRUST (RYJ)Varicose VeinEQ-5D Index</t>
  </si>
  <si>
    <t>ProviderJAMES PAGET UNIVERSITY HOSPITALS NHS FOUNDATION TRUST (RGP)Varicose VeinEQ-5D Index</t>
  </si>
  <si>
    <t>ProviderLEEDS TEACHING HOSPITALS NHS TRUST (RR8)Varicose VeinEQ-5D Index</t>
  </si>
  <si>
    <t>ProviderLANCASHIRE TEACHING HOSPITALS NHS FOUNDATION TRUST (RXN)Varicose VeinEQ-5D Index</t>
  </si>
  <si>
    <t>ProviderKETTERING GENERAL HOSPITAL NHS FOUNDATION TRUST (RNQ)Varicose VeinEQ-5D Index</t>
  </si>
  <si>
    <t>NEQ01</t>
  </si>
  <si>
    <t>PHOENIX HEALTH SOLUTIONS LIMITED (NEQ01)</t>
  </si>
  <si>
    <t>NFH01</t>
  </si>
  <si>
    <t>SOMERSET SURGICAL SERVICES (NFH01)</t>
  </si>
  <si>
    <t>NN501</t>
  </si>
  <si>
    <t>TRAFFORD GENERAL HOSPITAL (NN501)</t>
  </si>
  <si>
    <t>NNE02</t>
  </si>
  <si>
    <t>DORKING GENERAL HOSPITAL (NNE02)</t>
  </si>
  <si>
    <t>NT202</t>
  </si>
  <si>
    <t>NUFFIELD HEALTH, BOURNEMOUTH HOSPITAL (NT202)</t>
  </si>
  <si>
    <t>NTC04</t>
  </si>
  <si>
    <t>CIRENCESTER NHS TREATMENT CENTRE (NTC04)</t>
  </si>
  <si>
    <t>NTP23</t>
  </si>
  <si>
    <t>ECCLESHILL NHS TREATMENT CENTRE (NTP23)</t>
  </si>
  <si>
    <t>NTX01</t>
  </si>
  <si>
    <t>ONE HEALTH GROUP LTD (NTX01)</t>
  </si>
  <si>
    <t>NVM02</t>
  </si>
  <si>
    <t>EPSOM DAY SURGERY LIMITED (NVM02)</t>
  </si>
  <si>
    <t>NXP15</t>
  </si>
  <si>
    <t>GREAT WESTERN HOSPITAL (GWH) (NXP15)</t>
  </si>
  <si>
    <t>NYW02</t>
  </si>
  <si>
    <t>ASPEN - PARKSIDE HOSPITAL (NYW02)</t>
  </si>
  <si>
    <t>R1K</t>
  </si>
  <si>
    <t>LONDON NORTH WEST HEALTHCARE NHS TRUST (R1K)</t>
  </si>
  <si>
    <t>RAX</t>
  </si>
  <si>
    <t>KINGSTON HOSPITAL NHS FOUNDATION TRUST (RAX)</t>
  </si>
  <si>
    <t>RBS</t>
  </si>
  <si>
    <t>ALDER HEY CHILDREN'S NHS FOUNDATION TRUST (RBS)</t>
  </si>
  <si>
    <t>RBV</t>
  </si>
  <si>
    <t>THE CHRISTIE NHS FOUNDATION TRUST (RBV)</t>
  </si>
  <si>
    <t>RCU</t>
  </si>
  <si>
    <t>SHEFFIELD CHILDREN'S NHS FOUNDATION TRUST (RCU)</t>
  </si>
  <si>
    <t>RGM</t>
  </si>
  <si>
    <t>PAPWORTH HOSPITAL NHS FOUNDATION TRUST (RGM)</t>
  </si>
  <si>
    <t>RJ6</t>
  </si>
  <si>
    <t>CROYDON HEALTH SERVICES NHS TRUST (RJ6)</t>
  </si>
  <si>
    <t>RKE</t>
  </si>
  <si>
    <t>THE WHITTINGTON HOSPITAL NHS TRUST (RKE)</t>
  </si>
  <si>
    <t>RP4</t>
  </si>
  <si>
    <t>GREAT ORMOND STREET HOSPITAL FOR CHILDREN NHS FOUNDATION TRUST (RP4)</t>
  </si>
  <si>
    <t>RPC</t>
  </si>
  <si>
    <t>QUEEN VICTORIA HOSPITAL NHS FOUNDATION TRUST (RPC)</t>
  </si>
  <si>
    <t>RPY</t>
  </si>
  <si>
    <t>THE ROYAL MARSDEN NHS FOUNDATION TRUST (RPY)</t>
  </si>
  <si>
    <t>RQ3</t>
  </si>
  <si>
    <t>BIRMINGHAM CHILDREN'S HOSPITAL NHS FOUNDATION TRUST (RQ3)</t>
  </si>
  <si>
    <t>RYV</t>
  </si>
  <si>
    <t>CAMBRIDGESHIRE COMMUNITY SERVICES NHS TRUST (RYV)</t>
  </si>
  <si>
    <r>
      <t xml:space="preserve">● </t>
    </r>
    <r>
      <rPr>
        <i/>
        <sz val="12"/>
        <rFont val="Arial"/>
        <family val="2"/>
      </rPr>
      <t>participation rate</t>
    </r>
    <r>
      <rPr>
        <sz val="12"/>
        <rFont val="Arial"/>
        <family val="2"/>
      </rPr>
      <t>: an approximation of the rate of participation in PROMs by the selected organisation's patients, being the number of pre-operative questionnaires returned as a percentage of eligible hospital inpatient procedures carried out by that organisation. Presented participation rates provide an estimate of the true rate and may be affected by organisational mergers and subcontracting whereby the Q1 may be completed at one provider whilst the operation is performed at another. In some cases this may result in rates over 100%</t>
    </r>
  </si>
  <si>
    <t>EAST COMMISSIONING HUB (14E)</t>
  </si>
  <si>
    <t>NHS NEWCASTLE GATESHEAD CCG (13T)</t>
  </si>
  <si>
    <t>SOUTH CENTRAL COMMISSIONING HUB (14H)</t>
  </si>
  <si>
    <t>SOUTH EAST COMMISSIONING HUB (14G)</t>
  </si>
  <si>
    <t>CCG of GP PracticeSOUTH CENTRAL COMMISSIONING HUB (14H)Groin HerniaEQ VAS</t>
  </si>
  <si>
    <t>14H</t>
  </si>
  <si>
    <t>CCG of GP PracticeSOUTH EAST COMMISSIONING HUB (14G)Groin HerniaEQ VAS</t>
  </si>
  <si>
    <t>14G</t>
  </si>
  <si>
    <t>CCG of GP PracticeEAST COMMISSIONING HUB (14E)Groin HerniaEQ VAS</t>
  </si>
  <si>
    <t>14E</t>
  </si>
  <si>
    <t>CCG of GP PracticeNHS NEWCASTLE GATESHEAD CCG (13T)Groin HerniaEQ VAS</t>
  </si>
  <si>
    <t>13T</t>
  </si>
  <si>
    <t>CCG of GP PracticeNHS NEWCASTLE GATESHEAD CCG (13T)Groin HerniaEQ-5D Index</t>
  </si>
  <si>
    <t>CCG of GP PracticeEAST COMMISSIONING HUB (14E)Groin HerniaEQ-5D Index</t>
  </si>
  <si>
    <t>CCG of GP PracticeSOUTH EAST COMMISSIONING HUB (14G)Groin HerniaEQ-5D Index</t>
  </si>
  <si>
    <t>CCG of GP PracticeSOUTH CENTRAL COMMISSIONING HUB (14H)Groin HerniaEQ-5D Index</t>
  </si>
  <si>
    <t>CCG of GP PracticeNHS NEWCASTLE GATESHEAD CCG (13T)Hip ReplacementEQ VAS</t>
  </si>
  <si>
    <t>CCG of GP PracticeNHS NEWCASTLE GATESHEAD CCG (13T)Hip ReplacementEQ-5D Index</t>
  </si>
  <si>
    <t>CCG of GP PracticeEAST COMMISSIONING HUB (14E)Hip ReplacementOxford Hip Score</t>
  </si>
  <si>
    <t>CCG of GP PracticeNHS NEWCASTLE GATESHEAD CCG (13T)Hip ReplacementOxford Hip Score</t>
  </si>
  <si>
    <t>CCG of GP PracticeNHS NEWCASTLE GATESHEAD CCG (13T)Knee ReplacementEQ VAS</t>
  </si>
  <si>
    <t>CCG of GP PracticeNHS NEWCASTLE GATESHEAD CCG (13T)Knee ReplacementEQ-5D Index</t>
  </si>
  <si>
    <t>CCG of GP PracticeNHS NEWCASTLE GATESHEAD CCG (13T)Knee ReplacementOxford Knee Score</t>
  </si>
  <si>
    <t>CCG of GP PracticeNHS NEWCASTLE GATESHEAD CCG (13T)Varicose VeinAberdeen Varicose Vein Questionnaire</t>
  </si>
  <si>
    <t>CCG of GP PracticeNHS NEWCASTLE GATESHEAD CCG (13T)Varicose VeinEQ VAS</t>
  </si>
  <si>
    <t>CCG of GP PracticeNHS NEWCASTLE GATESHEAD CCG (13T)Varicose VeinEQ-5D Index</t>
  </si>
  <si>
    <t>12 November 2015</t>
  </si>
  <si>
    <t>CCG of GP PracticeNHS BRACKNELL AND ASCOT CCG (10G)Varicose VeinAberdeen Varicose Vein Questionnaire</t>
  </si>
  <si>
    <t>CCG of GP PracticeNHS REDDITCH AND BROMSGROVE CCG (05J)Varicose VeinAberdeen Varicose Vein Questionnaire</t>
  </si>
  <si>
    <t>CCG of GP PracticeNHS REDDITCH AND BROMSGROVE CCG (05J)Varicose VeinEQ VAS</t>
  </si>
  <si>
    <t>CCG of GP PracticeNHS BRACKNELL AND ASCOT CCG (10G)Varicose VeinEQ VAS</t>
  </si>
  <si>
    <t>CCG of GP PracticeNHS BRACKNELL AND ASCOT CCG (10G)Varicose VeinEQ-5D Index</t>
  </si>
  <si>
    <t>CCG of GP PracticeNHS REDDITCH AND BROMSGROVE CCG (05J)Varicose VeinEQ-5D Index</t>
  </si>
  <si>
    <t>ProviderWOODTHORPE HOSPITAL (NVC40)Groin HerniaEQ VAS</t>
  </si>
  <si>
    <t>WOODTHORPE HOSPITAL (NVC40)</t>
  </si>
  <si>
    <t>ProviderOXFORD UNIVERSITY HOSPITALS NHS FOUNDATION TRUST (RTH)Groin HerniaEQ VAS</t>
  </si>
  <si>
    <t>OXFORD UNIVERSITY HOSPITALS NHS FOUNDATION TRUST (RTH)</t>
  </si>
  <si>
    <t>ProviderMILTON KEYNES UNIVERSITY HOSPITAL NHS FOUNDATION TRUST (RD8)Groin HerniaEQ VAS</t>
  </si>
  <si>
    <t>MILTON KEYNES UNIVERSITY HOSPITAL NHS FOUNDATION TRUST (RD8)</t>
  </si>
  <si>
    <t>ProviderTHE WHITTINGTON HOSPITAL NHS TRUST (RKE)Groin HerniaEQ VAS</t>
  </si>
  <si>
    <t>ProviderLONDON NORTH WEST HEALTHCARE NHS TRUST (R1K)Groin HerniaEQ VAS</t>
  </si>
  <si>
    <t>ProviderTORBAY AND SOUTH DEVON NHS FOUNDATION TRUST (RA9)Groin HerniaEQ VAS</t>
  </si>
  <si>
    <t>TORBAY AND SOUTH DEVON NHS FOUNDATION TRUST (RA9)</t>
  </si>
  <si>
    <t>ProviderSPIRE FYLDE COAST HOSPITAL (NT347)Groin HerniaEQ VAS</t>
  </si>
  <si>
    <t>ProviderBMI - THE SHELBURNE HOSPITAL (NT435)Groin HerniaEQ VAS</t>
  </si>
  <si>
    <t>ProviderBMI - THE SHELBURNE HOSPITAL (NT435)Groin HerniaEQ-5D Index</t>
  </si>
  <si>
    <t>ProviderNUFFIELD HEALTH, BRIGHTON HOSPITAL (NT205)Groin HerniaEQ-5D Index</t>
  </si>
  <si>
    <t>ProviderSPIRE FYLDE COAST HOSPITAL (NT347)Groin HerniaEQ-5D Index</t>
  </si>
  <si>
    <t>ProviderTORBAY AND SOUTH DEVON NHS FOUNDATION TRUST (RA9)Groin HerniaEQ-5D Index</t>
  </si>
  <si>
    <t>ProviderLONDON NORTH WEST HEALTHCARE NHS TRUST (R1K)Groin HerniaEQ-5D Index</t>
  </si>
  <si>
    <t>ProviderTHE WHITTINGTON HOSPITAL NHS TRUST (RKE)Groin HerniaEQ-5D Index</t>
  </si>
  <si>
    <t>ProviderMILTON KEYNES UNIVERSITY HOSPITAL NHS FOUNDATION TRUST (RD8)Groin HerniaEQ-5D Index</t>
  </si>
  <si>
    <t>ProviderOXFORD UNIVERSITY HOSPITALS NHS FOUNDATION TRUST (RTH)Groin HerniaEQ-5D Index</t>
  </si>
  <si>
    <t>ProviderWOODTHORPE HOSPITAL (NVC40)Groin HerniaEQ-5D Index</t>
  </si>
  <si>
    <t>ProviderWOODTHORPE HOSPITAL (NVC40)Hip ReplacementEQ VAS</t>
  </si>
  <si>
    <t>ProviderOXFORD UNIVERSITY HOSPITALS NHS FOUNDATION TRUST (RTH)Hip ReplacementEQ VAS</t>
  </si>
  <si>
    <t>ProviderMILTON KEYNES UNIVERSITY HOSPITAL NHS FOUNDATION TRUST (RD8)Hip ReplacementEQ VAS</t>
  </si>
  <si>
    <t>ProviderLONDON NORTH WEST HEALTHCARE NHS TRUST (R1K)Hip ReplacementEQ VAS</t>
  </si>
  <si>
    <t>ProviderTORBAY AND SOUTH DEVON NHS FOUNDATION TRUST (RA9)Hip ReplacementEQ VAS</t>
  </si>
  <si>
    <t>ProviderFOSCOTE COURT (BANBURY) TRUST LTD (AHH)Hip ReplacementEQ VAS</t>
  </si>
  <si>
    <t>ProviderBMI - THE PRIORY HOSPITAL (NT429)Hip ReplacementEQ VAS</t>
  </si>
  <si>
    <t>ProviderBMI - THE HARBOUR HOSPITAL (NT419)Hip ReplacementEQ VAS</t>
  </si>
  <si>
    <t>ProviderBMI - THE HARBOUR HOSPITAL (NT419)Hip ReplacementEQ-5D Index</t>
  </si>
  <si>
    <t>ProviderFOSCOTE COURT (BANBURY) TRUST LTD (AHH)Hip ReplacementEQ-5D Index</t>
  </si>
  <si>
    <t>ProviderTORBAY AND SOUTH DEVON NHS FOUNDATION TRUST (RA9)Hip ReplacementEQ-5D Index</t>
  </si>
  <si>
    <t>ProviderLONDON NORTH WEST HEALTHCARE NHS TRUST (R1K)Hip ReplacementEQ-5D Index</t>
  </si>
  <si>
    <t>ProviderMILTON KEYNES UNIVERSITY HOSPITAL NHS FOUNDATION TRUST (RD8)Hip ReplacementEQ-5D Index</t>
  </si>
  <si>
    <t>ProviderOXFORD UNIVERSITY HOSPITALS NHS FOUNDATION TRUST (RTH)Hip ReplacementEQ-5D Index</t>
  </si>
  <si>
    <t>ProviderWOODTHORPE HOSPITAL (NVC40)Hip ReplacementEQ-5D Index</t>
  </si>
  <si>
    <t>ProviderWOODTHORPE HOSPITAL (NVC40)Hip ReplacementOxford Hip Score</t>
  </si>
  <si>
    <t>ProviderOXFORD UNIVERSITY HOSPITALS NHS FOUNDATION TRUST (RTH)Hip ReplacementOxford Hip Score</t>
  </si>
  <si>
    <t>ProviderMILTON KEYNES UNIVERSITY HOSPITAL NHS FOUNDATION TRUST (RD8)Hip ReplacementOxford Hip Score</t>
  </si>
  <si>
    <t>ProviderLONDON NORTH WEST HEALTHCARE NHS TRUST (R1K)Hip ReplacementOxford Hip Score</t>
  </si>
  <si>
    <t>ProviderTORBAY AND SOUTH DEVON NHS FOUNDATION TRUST (RA9)Hip ReplacementOxford Hip Score</t>
  </si>
  <si>
    <t>ProviderFOSCOTE COURT (BANBURY) TRUST LTD (AHH)Hip ReplacementOxford Hip Score</t>
  </si>
  <si>
    <t>ProviderBMI - THE HARBOUR HOSPITAL (NT419)Hip ReplacementOxford Hip Score</t>
  </si>
  <si>
    <t>ProviderFOSCOTE COURT (BANBURY) TRUST LTD (AHH)Knee ReplacementEQ VAS</t>
  </si>
  <si>
    <t>ProviderTORBAY AND SOUTH DEVON NHS FOUNDATION TRUST (RA9)Knee ReplacementEQ VAS</t>
  </si>
  <si>
    <t>ProviderLONDON NORTH WEST HEALTHCARE NHS TRUST (R1K)Knee ReplacementEQ VAS</t>
  </si>
  <si>
    <t>ProviderMILTON KEYNES UNIVERSITY HOSPITAL NHS FOUNDATION TRUST (RD8)Knee ReplacementEQ VAS</t>
  </si>
  <si>
    <t>ProviderOXFORD UNIVERSITY HOSPITALS NHS FOUNDATION TRUST (RTH)Knee ReplacementEQ VAS</t>
  </si>
  <si>
    <t>ProviderWOODTHORPE HOSPITAL (NVC40)Knee ReplacementEQ VAS</t>
  </si>
  <si>
    <t>ProviderWOODTHORPE HOSPITAL (NVC40)Knee ReplacementEQ-5D Index</t>
  </si>
  <si>
    <t>ProviderOXFORD UNIVERSITY HOSPITALS NHS FOUNDATION TRUST (RTH)Knee ReplacementEQ-5D Index</t>
  </si>
  <si>
    <t>ProviderMILTON KEYNES UNIVERSITY HOSPITAL NHS FOUNDATION TRUST (RD8)Knee ReplacementEQ-5D Index</t>
  </si>
  <si>
    <t>ProviderLONDON NORTH WEST HEALTHCARE NHS TRUST (R1K)Knee ReplacementEQ-5D Index</t>
  </si>
  <si>
    <t>ProviderTORBAY AND SOUTH DEVON NHS FOUNDATION TRUST (RA9)Knee ReplacementEQ-5D Index</t>
  </si>
  <si>
    <t>ProviderFOSCOTE COURT (BANBURY) TRUST LTD (AHH)Knee ReplacementEQ-5D Index</t>
  </si>
  <si>
    <t>ProviderFOSCOTE COURT (BANBURY) TRUST LTD (AHH)Knee ReplacementOxford Knee Score</t>
  </si>
  <si>
    <t>ProviderTORBAY AND SOUTH DEVON NHS FOUNDATION TRUST (RA9)Knee ReplacementOxford Knee Score</t>
  </si>
  <si>
    <t>ProviderLONDON NORTH WEST HEALTHCARE NHS TRUST (R1K)Knee ReplacementOxford Knee Score</t>
  </si>
  <si>
    <t>ProviderMILTON KEYNES UNIVERSITY HOSPITAL NHS FOUNDATION TRUST (RD8)Knee ReplacementOxford Knee Score</t>
  </si>
  <si>
    <t>ProviderOXFORD UNIVERSITY HOSPITALS NHS FOUNDATION TRUST (RTH)Knee ReplacementOxford Knee Score</t>
  </si>
  <si>
    <t>ProviderWOODTHORPE HOSPITAL (NVC40)Knee ReplacementOxford Knee Score</t>
  </si>
  <si>
    <t>ProviderWORCESTERSHIRE ACUTE HOSPITALS NHS TRUST (RWP)Varicose VeinAberdeen Varicose Vein Questionnaire</t>
  </si>
  <si>
    <t>ProviderOXFORD UNIVERSITY HOSPITALS NHS FOUNDATION TRUST (RTH)Varicose VeinAberdeen Varicose Vein Questionnaire</t>
  </si>
  <si>
    <t>ProviderMILTON KEYNES UNIVERSITY HOSPITAL NHS FOUNDATION TRUST (RD8)Varicose VeinAberdeen Varicose Vein Questionnaire</t>
  </si>
  <si>
    <t>ProviderTORBAY AND SOUTH DEVON NHS FOUNDATION TRUST (RA9)Varicose VeinAberdeen Varicose Vein Questionnaire</t>
  </si>
  <si>
    <t>ProviderDARTFORD AND GRAVESHAM NHS TRUST (RN7)Varicose VeinAberdeen Varicose Vein Questionnaire</t>
  </si>
  <si>
    <t>ProviderDARTFORD AND GRAVESHAM NHS TRUST (RN7)Varicose VeinEQ VAS</t>
  </si>
  <si>
    <t>ProviderTORBAY AND SOUTH DEVON NHS FOUNDATION TRUST (RA9)Varicose VeinEQ VAS</t>
  </si>
  <si>
    <t>ProviderKETTERING GENERAL HOSPITAL NHS FOUNDATION TRUST (RNQ)Varicose VeinEQ VAS</t>
  </si>
  <si>
    <t>ProviderMILTON KEYNES UNIVERSITY HOSPITAL NHS FOUNDATION TRUST (RD8)Varicose VeinEQ VAS</t>
  </si>
  <si>
    <t>ProviderOXFORD UNIVERSITY HOSPITALS NHS FOUNDATION TRUST (RTH)Varicose VeinEQ VAS</t>
  </si>
  <si>
    <t>ProviderWORCESTERSHIRE ACUTE HOSPITALS NHS TRUST (RWP)Varicose VeinEQ VAS</t>
  </si>
  <si>
    <t>ProviderWORCESTERSHIRE ACUTE HOSPITALS NHS TRUST (RWP)Varicose VeinEQ-5D Index</t>
  </si>
  <si>
    <t>ProviderOXFORD UNIVERSITY HOSPITALS NHS FOUNDATION TRUST (RTH)Varicose VeinEQ-5D Index</t>
  </si>
  <si>
    <t>ProviderMILTON KEYNES UNIVERSITY HOSPITAL NHS FOUNDATION TRUST (RD8)Varicose VeinEQ-5D Index</t>
  </si>
  <si>
    <t>ProviderTORBAY AND SOUTH DEVON NHS FOUNDATION TRUST (RA9)Varicose VeinEQ-5D Index</t>
  </si>
  <si>
    <t>ProviderDARTFORD AND GRAVESHAM NHS TRUST (RN7)Varicose VeinEQ-5D Index</t>
  </si>
  <si>
    <t>AJX</t>
  </si>
  <si>
    <t>SUSSEX MSK PARTNERSHIP 2 (AJX)</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</si>
</sst>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quot;£&quot;* #,##0.00_-;_-&quot;£&quot;* &quot;-&quot;??_-;_-@_-"/>
    <numFmt numFmtId="43" formatCode="_-* #,##0.00_-;\-* #,##0.00_-;_-* &quot;-&quot;??_-;_-@_-"/>
    <numFmt numFmtId="164" formatCode="#,##0.000"/>
    <numFmt numFmtId="165" formatCode="0.000"/>
    <numFmt numFmtId="166" formatCode="0.0%"/>
    <numFmt numFmtId="167" formatCode="#,##0\ \ ;[Red]\-#,##0\ \ ;\-\ \ "/>
    <numFmt numFmtId="168" formatCode="mmmm\ yyyy"/>
    <numFmt numFmtId="169" formatCode="0.0"/>
  </numFmts>
  <fonts count="117" x14ac:knownFonts="1">
    <font>
      <sz val="10"/>
      <name val="Arial"/>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sz val="10"/>
      <color indexed="9"/>
      <name val="Arial"/>
      <family val="2"/>
    </font>
    <font>
      <i/>
      <sz val="10"/>
      <name val="Arial"/>
      <family val="2"/>
    </font>
    <font>
      <sz val="10"/>
      <color indexed="12"/>
      <name val="Arial"/>
      <family val="2"/>
    </font>
    <font>
      <u/>
      <sz val="10"/>
      <color indexed="12"/>
      <name val="Arial"/>
      <family val="2"/>
    </font>
    <font>
      <b/>
      <sz val="10"/>
      <name val="Arial"/>
      <family val="2"/>
    </font>
    <font>
      <b/>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name val="Arial"/>
      <family val="2"/>
    </font>
    <font>
      <b/>
      <sz val="16"/>
      <color indexed="9"/>
      <name val="Arial"/>
      <family val="2"/>
    </font>
    <font>
      <b/>
      <sz val="10"/>
      <color indexed="8"/>
      <name val="Arial"/>
      <family val="2"/>
    </font>
    <font>
      <sz val="10"/>
      <color indexed="8"/>
      <name val="Arial"/>
      <family val="2"/>
    </font>
    <font>
      <b/>
      <sz val="10"/>
      <name val="Arial"/>
      <family val="2"/>
    </font>
    <font>
      <sz val="10"/>
      <name val="Arial"/>
      <family val="2"/>
    </font>
    <font>
      <sz val="10"/>
      <color indexed="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sz val="10"/>
      <color theme="0"/>
      <name val="Arial"/>
      <family val="2"/>
    </font>
    <font>
      <b/>
      <sz val="12"/>
      <color theme="0"/>
      <name val="Arial"/>
      <family val="2"/>
    </font>
    <font>
      <sz val="10"/>
      <color theme="3"/>
      <name val="Arial"/>
      <family val="2"/>
    </font>
    <font>
      <sz val="10"/>
      <color indexed="63"/>
      <name val="Arial"/>
      <family val="2"/>
    </font>
    <font>
      <b/>
      <sz val="12"/>
      <color indexed="8"/>
      <name val="Arial"/>
      <family val="2"/>
    </font>
    <font>
      <sz val="12"/>
      <color indexed="8"/>
      <name val="Arial"/>
      <family val="2"/>
    </font>
    <font>
      <sz val="12"/>
      <color indexed="63"/>
      <name val="Arial"/>
      <family val="2"/>
    </font>
    <font>
      <b/>
      <sz val="20"/>
      <name val="Arial"/>
      <family val="2"/>
    </font>
    <font>
      <sz val="12"/>
      <name val="Arial"/>
      <family val="2"/>
    </font>
    <font>
      <sz val="14"/>
      <name val="Arial"/>
      <family val="2"/>
    </font>
    <font>
      <sz val="12"/>
      <color indexed="9"/>
      <name val="Arial"/>
      <family val="2"/>
    </font>
    <font>
      <sz val="14"/>
      <color theme="3"/>
      <name val="Arial"/>
      <family val="2"/>
    </font>
    <font>
      <sz val="12"/>
      <color indexed="10"/>
      <name val="Arial"/>
      <family val="2"/>
    </font>
    <font>
      <sz val="12"/>
      <color theme="0"/>
      <name val="Arial"/>
      <family val="2"/>
    </font>
    <font>
      <sz val="12"/>
      <color indexed="8"/>
      <name val="Verdana"/>
      <family val="2"/>
    </font>
    <font>
      <sz val="20"/>
      <name val="Arial"/>
      <family val="2"/>
    </font>
    <font>
      <sz val="10"/>
      <name val="Arial"/>
      <family val="2"/>
    </font>
    <font>
      <u/>
      <sz val="12"/>
      <color indexed="12"/>
      <name val="Arial"/>
      <family val="2"/>
    </font>
    <font>
      <sz val="10"/>
      <color rgb="FFFF0000"/>
      <name val="Arial"/>
      <family val="2"/>
    </font>
    <font>
      <sz val="14"/>
      <color rgb="FFFF0000"/>
      <name val="Arial"/>
      <family val="2"/>
    </font>
    <font>
      <sz val="12"/>
      <color rgb="FFFF0000"/>
      <name val="Arial"/>
      <family val="2"/>
    </font>
    <font>
      <sz val="12"/>
      <color rgb="FFFF0000"/>
      <name val="Verdana"/>
      <family val="2"/>
    </font>
    <font>
      <b/>
      <sz val="10"/>
      <color theme="0"/>
      <name val="Arial"/>
      <family val="2"/>
    </font>
    <font>
      <b/>
      <i/>
      <sz val="12"/>
      <color indexed="8"/>
      <name val="Arial"/>
      <family val="2"/>
    </font>
    <font>
      <b/>
      <sz val="11"/>
      <name val="Calibri"/>
      <family val="2"/>
      <scheme val="minor"/>
    </font>
    <font>
      <sz val="11"/>
      <name val="Calibri"/>
      <family val="2"/>
      <scheme val="minor"/>
    </font>
    <font>
      <b/>
      <i/>
      <sz val="12"/>
      <name val="Arial"/>
      <family val="2"/>
    </font>
    <font>
      <b/>
      <sz val="10"/>
      <name val="Symbol"/>
      <family val="1"/>
      <charset val="2"/>
    </font>
    <font>
      <b/>
      <i/>
      <sz val="11"/>
      <color rgb="FF80A0B0"/>
      <name val="Arial"/>
      <family val="2"/>
    </font>
    <font>
      <b/>
      <sz val="12"/>
      <color theme="1"/>
      <name val="Arial"/>
      <family val="2"/>
    </font>
    <font>
      <i/>
      <sz val="10"/>
      <color rgb="FFFF0000"/>
      <name val="Arial"/>
      <family val="2"/>
    </font>
    <font>
      <b/>
      <sz val="14"/>
      <color theme="0"/>
      <name val="Arial"/>
      <family val="2"/>
    </font>
    <font>
      <b/>
      <sz val="11"/>
      <color theme="0"/>
      <name val="Arial"/>
      <family val="2"/>
    </font>
    <font>
      <sz val="11"/>
      <name val="Webdings"/>
      <family val="1"/>
      <charset val="2"/>
    </font>
    <font>
      <sz val="11"/>
      <name val="Arial"/>
      <family val="2"/>
    </font>
    <font>
      <b/>
      <sz val="11"/>
      <name val="Arial"/>
      <family val="2"/>
    </font>
    <font>
      <u/>
      <sz val="11"/>
      <name val="Arial"/>
      <family val="2"/>
    </font>
    <font>
      <b/>
      <i/>
      <sz val="11"/>
      <name val="Arial"/>
      <family val="2"/>
    </font>
    <font>
      <sz val="12"/>
      <name val="Symbol"/>
      <family val="1"/>
      <charset val="2"/>
    </font>
    <font>
      <sz val="7"/>
      <name val="Times New Roman"/>
      <family val="1"/>
    </font>
    <font>
      <i/>
      <sz val="12"/>
      <name val="Arial"/>
      <family val="2"/>
    </font>
    <font>
      <sz val="10"/>
      <name val="Arial"/>
      <family val="2"/>
    </font>
    <font>
      <i/>
      <sz val="12"/>
      <color theme="0"/>
      <name val="Arial"/>
      <family val="2"/>
    </font>
    <font>
      <i/>
      <sz val="12"/>
      <color rgb="FFFF0000"/>
      <name val="Arial"/>
      <family val="2"/>
    </font>
    <font>
      <b/>
      <i/>
      <sz val="11"/>
      <color rgb="FF005090"/>
      <name val="Arial"/>
      <family val="2"/>
    </font>
    <font>
      <b/>
      <sz val="20"/>
      <name val="Calibri"/>
      <family val="2"/>
    </font>
    <font>
      <sz val="10"/>
      <name val="Arial"/>
      <family val="2"/>
    </font>
    <font>
      <b/>
      <i/>
      <sz val="11"/>
      <color rgb="FFFF0000"/>
      <name val="Calibri"/>
      <family val="2"/>
      <scheme val="minor"/>
    </font>
    <font>
      <i/>
      <sz val="11"/>
      <color rgb="FFFF0000"/>
      <name val="Calibri"/>
      <family val="2"/>
      <scheme val="minor"/>
    </font>
    <font>
      <u/>
      <sz val="11"/>
      <color indexed="12"/>
      <name val="Calibri"/>
      <family val="2"/>
      <scheme val="minor"/>
    </font>
    <font>
      <b/>
      <sz val="11"/>
      <color rgb="FFFF0000"/>
      <name val="Calibri"/>
      <family val="2"/>
      <scheme val="minor"/>
    </font>
    <font>
      <sz val="11"/>
      <name val="Wingdings 3"/>
      <family val="1"/>
      <charset val="2"/>
    </font>
    <font>
      <i/>
      <sz val="9"/>
      <name val="Arial"/>
      <family val="2"/>
    </font>
    <font>
      <i/>
      <sz val="9"/>
      <name val="Calibri"/>
      <family val="2"/>
      <scheme val="minor"/>
    </font>
    <font>
      <sz val="10"/>
      <name val="Arial"/>
      <family val="2"/>
    </font>
    <font>
      <vertAlign val="superscript"/>
      <sz val="12"/>
      <color indexed="8"/>
      <name val="Arial"/>
      <family val="2"/>
    </font>
    <font>
      <b/>
      <vertAlign val="superscript"/>
      <sz val="12"/>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7"/>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62"/>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3350"/>
        <bgColor indexed="64"/>
      </patternFill>
    </fill>
    <fill>
      <patternFill patternType="solid">
        <fgColor rgb="FF80A0B0"/>
        <bgColor indexed="64"/>
      </patternFill>
    </fill>
    <fill>
      <patternFill patternType="solid">
        <fgColor theme="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DE9D9"/>
        <bgColor indexed="64"/>
      </patternFill>
    </fill>
    <fill>
      <patternFill patternType="solid">
        <fgColor theme="5" tint="0.79998168889431442"/>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theme="0"/>
      </top>
      <bottom style="medium">
        <color theme="0"/>
      </bottom>
      <diagonal/>
    </border>
    <border>
      <left style="thin">
        <color rgb="FF003350"/>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thin">
        <color rgb="FF003350"/>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top style="thin">
        <color theme="0"/>
      </top>
      <bottom style="medium">
        <color theme="0"/>
      </bottom>
      <diagonal/>
    </border>
    <border>
      <left/>
      <right/>
      <top/>
      <bottom style="medium">
        <color theme="0"/>
      </bottom>
      <diagonal/>
    </border>
    <border>
      <left/>
      <right style="thin">
        <color indexed="64"/>
      </right>
      <top/>
      <bottom/>
      <diagonal/>
    </border>
    <border>
      <left style="thin">
        <color rgb="FF003350"/>
      </left>
      <right style="thin">
        <color rgb="FF003350"/>
      </right>
      <top style="medium">
        <color theme="0"/>
      </top>
      <bottom style="thin">
        <color rgb="FF003350"/>
      </bottom>
      <diagonal/>
    </border>
    <border>
      <left style="thin">
        <color rgb="FF003350"/>
      </left>
      <right style="thin">
        <color rgb="FF003350"/>
      </right>
      <top style="medium">
        <color theme="0"/>
      </top>
      <bottom/>
      <diagonal/>
    </border>
    <border>
      <left style="thin">
        <color rgb="FF80A0B0"/>
      </left>
      <right style="thin">
        <color rgb="FF80A0B0"/>
      </right>
      <top style="thin">
        <color rgb="FF80A0B0"/>
      </top>
      <bottom style="medium">
        <color theme="0"/>
      </bottom>
      <diagonal/>
    </border>
    <border>
      <left style="thin">
        <color rgb="FF003350"/>
      </left>
      <right style="thin">
        <color rgb="FF003350"/>
      </right>
      <top style="thin">
        <color rgb="FF003350"/>
      </top>
      <bottom style="medium">
        <color theme="0"/>
      </bottom>
      <diagonal/>
    </border>
    <border>
      <left style="medium">
        <color theme="0"/>
      </left>
      <right/>
      <top style="thin">
        <color indexed="64"/>
      </top>
      <bottom style="thin">
        <color indexed="64"/>
      </bottom>
      <diagonal/>
    </border>
    <border>
      <left/>
      <right style="medium">
        <color theme="0"/>
      </right>
      <top style="thin">
        <color indexed="64"/>
      </top>
      <bottom style="thin">
        <color indexed="64"/>
      </bottom>
      <diagonal/>
    </border>
    <border>
      <left/>
      <right style="medium">
        <color theme="0"/>
      </right>
      <top style="medium">
        <color theme="0"/>
      </top>
      <bottom style="medium">
        <color theme="0"/>
      </bottom>
      <diagonal/>
    </border>
    <border>
      <left style="thin">
        <color rgb="FF003350"/>
      </left>
      <right/>
      <top style="medium">
        <color theme="0"/>
      </top>
      <bottom style="thin">
        <color rgb="FF003350"/>
      </bottom>
      <diagonal/>
    </border>
    <border>
      <left/>
      <right/>
      <top style="medium">
        <color theme="0"/>
      </top>
      <bottom style="thin">
        <color rgb="FF003350"/>
      </bottom>
      <diagonal/>
    </border>
    <border>
      <left/>
      <right style="thin">
        <color rgb="FF003350"/>
      </right>
      <top style="medium">
        <color theme="0"/>
      </top>
      <bottom style="thin">
        <color rgb="FF003350"/>
      </bottom>
      <diagonal/>
    </border>
    <border>
      <left style="thin">
        <color rgb="FF003350"/>
      </left>
      <right/>
      <top style="thin">
        <color rgb="FF003350"/>
      </top>
      <bottom style="medium">
        <color theme="0"/>
      </bottom>
      <diagonal/>
    </border>
    <border>
      <left/>
      <right style="thin">
        <color rgb="FF003350"/>
      </right>
      <top style="thin">
        <color rgb="FF003350"/>
      </top>
      <bottom style="medium">
        <color theme="0"/>
      </bottom>
      <diagonal/>
    </border>
    <border>
      <left style="thin">
        <color rgb="FF80A0B0"/>
      </left>
      <right/>
      <top style="thin">
        <color rgb="FF80A0B0"/>
      </top>
      <bottom style="medium">
        <color theme="0"/>
      </bottom>
      <diagonal/>
    </border>
    <border>
      <left/>
      <right/>
      <top style="thin">
        <color rgb="FF80A0B0"/>
      </top>
      <bottom style="medium">
        <color theme="0"/>
      </bottom>
      <diagonal/>
    </border>
    <border>
      <left/>
      <right style="thin">
        <color rgb="FF80A0B0"/>
      </right>
      <top style="thin">
        <color rgb="FF80A0B0"/>
      </top>
      <bottom style="medium">
        <color theme="0"/>
      </bottom>
      <diagonal/>
    </border>
    <border>
      <left style="thin">
        <color indexed="64"/>
      </left>
      <right style="medium">
        <color theme="0"/>
      </right>
      <top style="thin">
        <color indexed="64"/>
      </top>
      <bottom/>
      <diagonal/>
    </border>
    <border>
      <left style="medium">
        <color theme="0"/>
      </left>
      <right style="medium">
        <color theme="0"/>
      </right>
      <top style="thin">
        <color indexed="64"/>
      </top>
      <bottom/>
      <diagonal/>
    </border>
    <border>
      <left style="medium">
        <color theme="0"/>
      </left>
      <right style="thin">
        <color indexed="64"/>
      </right>
      <top style="thin">
        <color indexed="64"/>
      </top>
      <bottom/>
      <diagonal/>
    </border>
    <border>
      <left style="thin">
        <color rgb="FF80A0B0"/>
      </left>
      <right/>
      <top/>
      <bottom style="medium">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tted">
        <color theme="0" tint="-0.14996795556505021"/>
      </left>
      <right style="thin">
        <color indexed="64"/>
      </right>
      <top style="thin">
        <color indexed="64"/>
      </top>
      <bottom style="dotted">
        <color theme="0" tint="-0.14996795556505021"/>
      </bottom>
      <diagonal/>
    </border>
  </borders>
  <cellStyleXfs count="785">
    <xf numFmtId="0" fontId="0" fillId="0" borderId="0"/>
    <xf numFmtId="0" fontId="17" fillId="2" borderId="0" applyNumberFormat="0" applyBorder="0" applyAlignment="0" applyProtection="0"/>
    <xf numFmtId="0" fontId="17" fillId="2" borderId="0" applyNumberFormat="0" applyBorder="0" applyAlignment="0" applyProtection="0"/>
    <xf numFmtId="0" fontId="42" fillId="26"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0" fontId="42" fillId="27" borderId="0" applyNumberFormat="0" applyBorder="0" applyAlignment="0" applyProtection="0"/>
    <xf numFmtId="0" fontId="17" fillId="3"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42" fillId="28"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42" fillId="29"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7" borderId="0" applyNumberFormat="0" applyBorder="0" applyAlignment="0" applyProtection="0"/>
    <xf numFmtId="0" fontId="42" fillId="30" borderId="0" applyNumberFormat="0" applyBorder="0" applyAlignment="0" applyProtection="0"/>
    <xf numFmtId="0" fontId="17" fillId="7"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42" fillId="31" borderId="0" applyNumberFormat="0" applyBorder="0" applyAlignment="0" applyProtection="0"/>
    <xf numFmtId="0" fontId="17" fillId="4"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42" fillId="32" borderId="0" applyNumberFormat="0" applyBorder="0" applyAlignment="0" applyProtection="0"/>
    <xf numFmtId="0" fontId="17" fillId="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42" fillId="3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42" fillId="34"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42" fillId="35" borderId="0" applyNumberFormat="0" applyBorder="0" applyAlignment="0" applyProtection="0"/>
    <xf numFmtId="0" fontId="17" fillId="6"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42" fillId="36" borderId="0" applyNumberFormat="0" applyBorder="0" applyAlignment="0" applyProtection="0"/>
    <xf numFmtId="0" fontId="17" fillId="8"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42" fillId="37"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43" fillId="38"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43" fillId="3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43" fillId="40" borderId="0" applyNumberFormat="0" applyBorder="0" applyAlignment="0" applyProtection="0"/>
    <xf numFmtId="0" fontId="18" fillId="11"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43" fillId="41" borderId="0" applyNumberFormat="0" applyBorder="0" applyAlignment="0" applyProtection="0"/>
    <xf numFmtId="0" fontId="18" fillId="16"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43" fillId="42"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43" fillId="43" borderId="0" applyNumberFormat="0" applyBorder="0" applyAlignment="0" applyProtection="0"/>
    <xf numFmtId="0" fontId="18" fillId="17"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43" fillId="4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43" fillId="4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43" fillId="46" borderId="0" applyNumberFormat="0" applyBorder="0" applyAlignment="0" applyProtection="0"/>
    <xf numFmtId="0" fontId="18" fillId="19"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43" fillId="47" borderId="0" applyNumberFormat="0" applyBorder="0" applyAlignment="0" applyProtection="0"/>
    <xf numFmtId="0" fontId="18" fillId="16"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43" fillId="48" borderId="0" applyNumberFormat="0" applyBorder="0" applyAlignment="0" applyProtection="0"/>
    <xf numFmtId="0" fontId="18" fillId="14"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43" fillId="49" borderId="0" applyNumberFormat="0" applyBorder="0" applyAlignment="0" applyProtection="0"/>
    <xf numFmtId="0" fontId="18" fillId="20"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44" fillId="50" borderId="0" applyNumberFormat="0" applyBorder="0" applyAlignment="0" applyProtection="0"/>
    <xf numFmtId="0" fontId="19" fillId="3" borderId="0" applyNumberFormat="0" applyBorder="0" applyAlignment="0" applyProtection="0"/>
    <xf numFmtId="0" fontId="20" fillId="9" borderId="1" applyNumberFormat="0" applyAlignment="0" applyProtection="0"/>
    <xf numFmtId="0" fontId="20" fillId="9" borderId="1" applyNumberFormat="0" applyAlignment="0" applyProtection="0"/>
    <xf numFmtId="0" fontId="45" fillId="51" borderId="17" applyNumberFormat="0" applyAlignment="0" applyProtection="0"/>
    <xf numFmtId="0" fontId="20" fillId="9" borderId="1" applyNumberFormat="0" applyAlignment="0" applyProtection="0"/>
    <xf numFmtId="0" fontId="21" fillId="21" borderId="2" applyNumberFormat="0" applyAlignment="0" applyProtection="0"/>
    <xf numFmtId="0" fontId="21" fillId="21" borderId="2" applyNumberFormat="0" applyAlignment="0" applyProtection="0"/>
    <xf numFmtId="0" fontId="46" fillId="52" borderId="18" applyNumberFormat="0" applyAlignment="0" applyProtection="0"/>
    <xf numFmtId="0" fontId="21" fillId="21" borderId="2" applyNumberFormat="0" applyAlignment="0" applyProtection="0"/>
    <xf numFmtId="4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1" fillId="0" borderId="0" applyFont="0" applyFill="0" applyBorder="0" applyAlignment="0" applyProtection="0"/>
    <xf numFmtId="44" fontId="9" fillId="0" borderId="0" applyFont="0" applyFill="0" applyBorder="0" applyAlignment="0" applyProtection="0"/>
    <xf numFmtId="44" fontId="41" fillId="0" borderId="0" applyFont="0" applyFill="0" applyBorder="0" applyAlignment="0" applyProtection="0"/>
    <xf numFmtId="44" fontId="9"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7" fillId="0" borderId="0" applyNumberFormat="0" applyFill="0" applyBorder="0" applyAlignment="0" applyProtection="0"/>
    <xf numFmtId="0" fontId="22" fillId="0" borderId="0" applyNumberFormat="0" applyFill="0" applyBorder="0" applyAlignment="0" applyProtection="0"/>
    <xf numFmtId="0" fontId="23" fillId="5" borderId="0" applyNumberFormat="0" applyBorder="0" applyAlignment="0" applyProtection="0"/>
    <xf numFmtId="0" fontId="23" fillId="5" borderId="0" applyNumberFormat="0" applyBorder="0" applyAlignment="0" applyProtection="0"/>
    <xf numFmtId="0" fontId="48" fillId="53" borderId="0" applyNumberFormat="0" applyBorder="0" applyAlignment="0" applyProtection="0"/>
    <xf numFmtId="0" fontId="23" fillId="5" borderId="0" applyNumberFormat="0" applyBorder="0" applyAlignment="0" applyProtection="0"/>
    <xf numFmtId="0" fontId="24" fillId="0" borderId="3" applyNumberFormat="0" applyFill="0" applyAlignment="0" applyProtection="0"/>
    <xf numFmtId="0" fontId="24" fillId="0" borderId="3" applyNumberFormat="0" applyFill="0" applyAlignment="0" applyProtection="0"/>
    <xf numFmtId="0" fontId="49" fillId="0" borderId="19"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50" fillId="0" borderId="20"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51" fillId="0" borderId="21"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1" fillId="0" borderId="0" applyNumberFormat="0" applyFill="0" applyBorder="0" applyAlignment="0" applyProtection="0"/>
    <xf numFmtId="0" fontId="26" fillId="0" borderId="0" applyNumberFormat="0" applyFill="0" applyBorder="0" applyAlignment="0" applyProtection="0"/>
    <xf numFmtId="0" fontId="14" fillId="0" borderId="0" applyNumberFormat="0" applyFill="0" applyBorder="0" applyAlignment="0" applyProtection="0">
      <alignment vertical="top"/>
      <protection locked="0"/>
    </xf>
    <xf numFmtId="0" fontId="27" fillId="4" borderId="1" applyNumberFormat="0" applyAlignment="0" applyProtection="0"/>
    <xf numFmtId="0" fontId="27" fillId="4" borderId="1" applyNumberFormat="0" applyAlignment="0" applyProtection="0"/>
    <xf numFmtId="0" fontId="52" fillId="54" borderId="17" applyNumberFormat="0" applyAlignment="0" applyProtection="0"/>
    <xf numFmtId="0" fontId="27" fillId="4" borderId="1" applyNumberFormat="0" applyAlignment="0" applyProtection="0"/>
    <xf numFmtId="0" fontId="28" fillId="0" borderId="6" applyNumberFormat="0" applyFill="0" applyAlignment="0" applyProtection="0"/>
    <xf numFmtId="0" fontId="28" fillId="0" borderId="6" applyNumberFormat="0" applyFill="0" applyAlignment="0" applyProtection="0"/>
    <xf numFmtId="0" fontId="53" fillId="0" borderId="22" applyNumberFormat="0" applyFill="0" applyAlignment="0" applyProtection="0"/>
    <xf numFmtId="0" fontId="28" fillId="0" borderId="6" applyNumberFormat="0" applyFill="0" applyAlignment="0" applyProtection="0"/>
    <xf numFmtId="0" fontId="29" fillId="22" borderId="0" applyNumberFormat="0" applyBorder="0" applyAlignment="0" applyProtection="0"/>
    <xf numFmtId="0" fontId="29" fillId="22" borderId="0" applyNumberFormat="0" applyBorder="0" applyAlignment="0" applyProtection="0"/>
    <xf numFmtId="0" fontId="54" fillId="55" borderId="0" applyNumberFormat="0" applyBorder="0" applyAlignment="0" applyProtection="0"/>
    <xf numFmtId="0" fontId="29" fillId="22" borderId="0" applyNumberFormat="0" applyBorder="0" applyAlignment="0" applyProtection="0"/>
    <xf numFmtId="0" fontId="9" fillId="0" borderId="0"/>
    <xf numFmtId="0" fontId="9" fillId="0" borderId="0"/>
    <xf numFmtId="0" fontId="9" fillId="0" borderId="0"/>
    <xf numFmtId="0" fontId="9" fillId="0" borderId="0"/>
    <xf numFmtId="0" fontId="42" fillId="0" borderId="0"/>
    <xf numFmtId="0" fontId="41" fillId="0" borderId="0"/>
    <xf numFmtId="0" fontId="9" fillId="0" borderId="0"/>
    <xf numFmtId="0" fontId="8"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41" fillId="23" borderId="7" applyNumberFormat="0" applyFont="0" applyAlignment="0" applyProtection="0"/>
    <xf numFmtId="0" fontId="9" fillId="23" borderId="7" applyNumberFormat="0" applyFont="0" applyAlignment="0" applyProtection="0"/>
    <xf numFmtId="0" fontId="42" fillId="56" borderId="23" applyNumberFormat="0" applyFont="0" applyAlignment="0" applyProtection="0"/>
    <xf numFmtId="0" fontId="41" fillId="23" borderId="7" applyNumberFormat="0" applyFont="0" applyAlignment="0" applyProtection="0"/>
    <xf numFmtId="0" fontId="9" fillId="23" borderId="7" applyNumberFormat="0" applyFont="0" applyAlignment="0" applyProtection="0"/>
    <xf numFmtId="0" fontId="30" fillId="9" borderId="8" applyNumberFormat="0" applyAlignment="0" applyProtection="0"/>
    <xf numFmtId="0" fontId="30" fillId="9" borderId="8" applyNumberFormat="0" applyAlignment="0" applyProtection="0"/>
    <xf numFmtId="0" fontId="55" fillId="51" borderId="24" applyNumberFormat="0" applyAlignment="0" applyProtection="0"/>
    <xf numFmtId="0" fontId="30" fillId="9" borderId="8" applyNumberFormat="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1" fillId="0" borderId="0" applyFont="0" applyFill="0" applyBorder="0" applyAlignment="0" applyProtection="0"/>
    <xf numFmtId="9" fontId="9" fillId="0" borderId="0" applyFont="0" applyFill="0" applyBorder="0" applyAlignment="0" applyProtection="0"/>
    <xf numFmtId="9" fontId="41" fillId="0" borderId="0" applyFont="0" applyFill="0" applyBorder="0" applyAlignment="0" applyProtection="0"/>
    <xf numFmtId="9" fontId="9"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56" fillId="0" borderId="0" applyNumberForma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2" fillId="0" borderId="9" applyNumberFormat="0" applyFill="0" applyAlignment="0" applyProtection="0"/>
    <xf numFmtId="0" fontId="57" fillId="0" borderId="25" applyNumberFormat="0" applyFill="0" applyAlignment="0" applyProtection="0"/>
    <xf numFmtId="0" fontId="32" fillId="0" borderId="9"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9" fillId="0" borderId="0"/>
    <xf numFmtId="0" fontId="17" fillId="2" borderId="0" applyNumberFormat="0" applyBorder="0" applyAlignment="0" applyProtection="0"/>
    <xf numFmtId="0" fontId="17" fillId="3"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4" borderId="0" applyNumberFormat="0" applyBorder="0" applyAlignment="0" applyProtection="0"/>
    <xf numFmtId="0" fontId="17" fillId="8"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8"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6"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6" borderId="0" applyNumberFormat="0" applyBorder="0" applyAlignment="0" applyProtection="0"/>
    <xf numFmtId="0" fontId="18" fillId="14" borderId="0" applyNumberFormat="0" applyBorder="0" applyAlignment="0" applyProtection="0"/>
    <xf numFmtId="0" fontId="18" fillId="20" borderId="0" applyNumberFormat="0" applyBorder="0" applyAlignment="0" applyProtection="0"/>
    <xf numFmtId="0" fontId="19" fillId="3" borderId="0" applyNumberFormat="0" applyBorder="0" applyAlignment="0" applyProtection="0"/>
    <xf numFmtId="0" fontId="20" fillId="9" borderId="1" applyNumberFormat="0" applyAlignment="0" applyProtection="0"/>
    <xf numFmtId="0" fontId="21" fillId="21" borderId="2" applyNumberFormat="0" applyAlignment="0" applyProtection="0"/>
    <xf numFmtId="43" fontId="9" fillId="0" borderId="0" applyFont="0" applyFill="0" applyBorder="0" applyAlignment="0" applyProtection="0"/>
    <xf numFmtId="44" fontId="9" fillId="0" borderId="0" applyFont="0" applyFill="0" applyBorder="0" applyAlignment="0" applyProtection="0"/>
    <xf numFmtId="0" fontId="22" fillId="0" borderId="0" applyNumberFormat="0" applyFill="0" applyBorder="0" applyAlignment="0" applyProtection="0"/>
    <xf numFmtId="0" fontId="23" fillId="5"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7" fillId="4"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9" fillId="23" borderId="7" applyNumberFormat="0" applyFont="0" applyAlignment="0" applyProtection="0"/>
    <xf numFmtId="0" fontId="30" fillId="9" borderId="8" applyNumberFormat="0" applyAlignment="0" applyProtection="0"/>
    <xf numFmtId="9" fontId="9"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0" fontId="7" fillId="0" borderId="0"/>
    <xf numFmtId="0" fontId="7" fillId="56" borderId="23" applyNumberFormat="0" applyFont="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7" fillId="30" borderId="0" applyNumberFormat="0" applyBorder="0" applyAlignment="0" applyProtection="0"/>
    <xf numFmtId="0" fontId="7" fillId="36" borderId="0" applyNumberFormat="0" applyBorder="0" applyAlignment="0" applyProtection="0"/>
    <xf numFmtId="0" fontId="7" fillId="31" borderId="0" applyNumberFormat="0" applyBorder="0" applyAlignment="0" applyProtection="0"/>
    <xf numFmtId="0" fontId="7" fillId="37"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7" fillId="2" borderId="0" applyNumberFormat="0" applyBorder="0" applyAlignment="0" applyProtection="0"/>
    <xf numFmtId="0" fontId="6" fillId="26" borderId="0" applyNumberFormat="0" applyBorder="0" applyAlignment="0" applyProtection="0"/>
    <xf numFmtId="0" fontId="17"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7" fillId="3" borderId="0" applyNumberFormat="0" applyBorder="0" applyAlignment="0" applyProtection="0"/>
    <xf numFmtId="0" fontId="6" fillId="27" borderId="0" applyNumberFormat="0" applyBorder="0" applyAlignment="0" applyProtection="0"/>
    <xf numFmtId="0" fontId="17" fillId="3"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17" fillId="5" borderId="0" applyNumberFormat="0" applyBorder="0" applyAlignment="0" applyProtection="0"/>
    <xf numFmtId="0" fontId="6" fillId="28" borderId="0" applyNumberFormat="0" applyBorder="0" applyAlignment="0" applyProtection="0"/>
    <xf numFmtId="0" fontId="17" fillId="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17" fillId="6" borderId="0" applyNumberFormat="0" applyBorder="0" applyAlignment="0" applyProtection="0"/>
    <xf numFmtId="0" fontId="6" fillId="29" borderId="0" applyNumberFormat="0" applyBorder="0" applyAlignment="0" applyProtection="0"/>
    <xf numFmtId="0" fontId="17" fillId="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7" fillId="7" borderId="0" applyNumberFormat="0" applyBorder="0" applyAlignment="0" applyProtection="0"/>
    <xf numFmtId="0" fontId="6" fillId="30" borderId="0" applyNumberFormat="0" applyBorder="0" applyAlignment="0" applyProtection="0"/>
    <xf numFmtId="0" fontId="17" fillId="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7" fillId="4" borderId="0" applyNumberFormat="0" applyBorder="0" applyAlignment="0" applyProtection="0"/>
    <xf numFmtId="0" fontId="6" fillId="31" borderId="0" applyNumberFormat="0" applyBorder="0" applyAlignment="0" applyProtection="0"/>
    <xf numFmtId="0" fontId="17" fillId="4"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17" fillId="8" borderId="0" applyNumberFormat="0" applyBorder="0" applyAlignment="0" applyProtection="0"/>
    <xf numFmtId="0" fontId="6" fillId="32" borderId="0" applyNumberFormat="0" applyBorder="0" applyAlignment="0" applyProtection="0"/>
    <xf numFmtId="0" fontId="17" fillId="8"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17" fillId="10" borderId="0" applyNumberFormat="0" applyBorder="0" applyAlignment="0" applyProtection="0"/>
    <xf numFmtId="0" fontId="6" fillId="33" borderId="0" applyNumberFormat="0" applyBorder="0" applyAlignment="0" applyProtection="0"/>
    <xf numFmtId="0" fontId="17" fillId="1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7" fillId="11" borderId="0" applyNumberFormat="0" applyBorder="0" applyAlignment="0" applyProtection="0"/>
    <xf numFmtId="0" fontId="6" fillId="34" borderId="0" applyNumberFormat="0" applyBorder="0" applyAlignment="0" applyProtection="0"/>
    <xf numFmtId="0" fontId="17" fillId="1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7" fillId="6" borderId="0" applyNumberFormat="0" applyBorder="0" applyAlignment="0" applyProtection="0"/>
    <xf numFmtId="0" fontId="6" fillId="35" borderId="0" applyNumberFormat="0" applyBorder="0" applyAlignment="0" applyProtection="0"/>
    <xf numFmtId="0" fontId="17" fillId="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17" fillId="8" borderId="0" applyNumberFormat="0" applyBorder="0" applyAlignment="0" applyProtection="0"/>
    <xf numFmtId="0" fontId="6" fillId="36" borderId="0" applyNumberFormat="0" applyBorder="0" applyAlignment="0" applyProtection="0"/>
    <xf numFmtId="0" fontId="17" fillId="8"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17" fillId="12" borderId="0" applyNumberFormat="0" applyBorder="0" applyAlignment="0" applyProtection="0"/>
    <xf numFmtId="0" fontId="6" fillId="37"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20" fillId="9" borderId="1" applyNumberFormat="0" applyAlignment="0" applyProtection="0"/>
    <xf numFmtId="0" fontId="20" fillId="9" borderId="1" applyNumberFormat="0" applyAlignment="0" applyProtection="0"/>
    <xf numFmtId="0" fontId="21" fillId="21" borderId="2" applyNumberFormat="0" applyAlignment="0" applyProtection="0"/>
    <xf numFmtId="0" fontId="21" fillId="21" borderId="2"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5" borderId="0" applyNumberFormat="0" applyBorder="0" applyAlignment="0" applyProtection="0"/>
    <xf numFmtId="0" fontId="23" fillId="5" borderId="0" applyNumberFormat="0" applyBorder="0" applyAlignment="0" applyProtection="0"/>
    <xf numFmtId="0" fontId="24" fillId="0" borderId="3"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4" borderId="1" applyNumberFormat="0" applyAlignment="0" applyProtection="0"/>
    <xf numFmtId="0" fontId="27" fillId="4" borderId="1" applyNumberFormat="0" applyAlignment="0" applyProtection="0"/>
    <xf numFmtId="0" fontId="28" fillId="0" borderId="6" applyNumberFormat="0" applyFill="0" applyAlignment="0" applyProtection="0"/>
    <xf numFmtId="0" fontId="28" fillId="0" borderId="6" applyNumberFormat="0" applyFill="0" applyAlignment="0" applyProtection="0"/>
    <xf numFmtId="0" fontId="29" fillId="22" borderId="0" applyNumberFormat="0" applyBorder="0" applyAlignment="0" applyProtection="0"/>
    <xf numFmtId="0" fontId="29" fillId="2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6" fillId="0" borderId="0"/>
    <xf numFmtId="0" fontId="76" fillId="0" borderId="0"/>
    <xf numFmtId="0" fontId="8" fillId="0" borderId="0"/>
    <xf numFmtId="0" fontId="6" fillId="0" borderId="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6" fillId="56" borderId="23"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6" fillId="56" borderId="23" applyNumberFormat="0" applyFont="0" applyAlignment="0" applyProtection="0"/>
    <xf numFmtId="0" fontId="8" fillId="23" borderId="7" applyNumberFormat="0" applyFont="0" applyAlignment="0" applyProtection="0"/>
    <xf numFmtId="0" fontId="6" fillId="56" borderId="23" applyNumberFormat="0" applyFont="0" applyAlignment="0" applyProtection="0"/>
    <xf numFmtId="0" fontId="30" fillId="9" borderId="8" applyNumberFormat="0" applyAlignment="0" applyProtection="0"/>
    <xf numFmtId="0" fontId="30" fillId="9" borderId="8"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2" fillId="0" borderId="9"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 fillId="0" borderId="0"/>
    <xf numFmtId="0" fontId="101" fillId="0" borderId="0"/>
    <xf numFmtId="0" fontId="17" fillId="2" borderId="0" applyNumberFormat="0" applyBorder="0" applyAlignment="0" applyProtection="0"/>
    <xf numFmtId="0" fontId="17" fillId="3"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4" borderId="0" applyNumberFormat="0" applyBorder="0" applyAlignment="0" applyProtection="0"/>
    <xf numFmtId="0" fontId="17" fillId="8"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8"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6"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6" borderId="0" applyNumberFormat="0" applyBorder="0" applyAlignment="0" applyProtection="0"/>
    <xf numFmtId="0" fontId="18" fillId="14" borderId="0" applyNumberFormat="0" applyBorder="0" applyAlignment="0" applyProtection="0"/>
    <xf numFmtId="0" fontId="18" fillId="20" borderId="0" applyNumberFormat="0" applyBorder="0" applyAlignment="0" applyProtection="0"/>
    <xf numFmtId="0" fontId="19" fillId="3" borderId="0" applyNumberFormat="0" applyBorder="0" applyAlignment="0" applyProtection="0"/>
    <xf numFmtId="0" fontId="20" fillId="9" borderId="1" applyNumberFormat="0" applyAlignment="0" applyProtection="0"/>
    <xf numFmtId="0" fontId="21" fillId="21" borderId="2" applyNumberFormat="0" applyAlignment="0" applyProtection="0"/>
    <xf numFmtId="43" fontId="8" fillId="0" borderId="0" applyFont="0" applyFill="0" applyBorder="0" applyAlignment="0" applyProtection="0"/>
    <xf numFmtId="0" fontId="22" fillId="0" borderId="0" applyNumberFormat="0" applyFill="0" applyBorder="0" applyAlignment="0" applyProtection="0"/>
    <xf numFmtId="0" fontId="23" fillId="5"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7" fillId="4"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8" fillId="23" borderId="7" applyNumberFormat="0" applyFont="0" applyAlignment="0" applyProtection="0"/>
    <xf numFmtId="0" fontId="30" fillId="9" borderId="8" applyNumberFormat="0" applyAlignment="0" applyProtection="0"/>
    <xf numFmtId="9" fontId="8"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0" fontId="4" fillId="0" borderId="0"/>
    <xf numFmtId="0" fontId="106" fillId="0" borderId="0"/>
    <xf numFmtId="0" fontId="17" fillId="2" borderId="0" applyNumberFormat="0" applyBorder="0" applyAlignment="0" applyProtection="0"/>
    <xf numFmtId="0" fontId="17" fillId="3"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4" borderId="0" applyNumberFormat="0" applyBorder="0" applyAlignment="0" applyProtection="0"/>
    <xf numFmtId="0" fontId="17" fillId="8" borderId="0" applyNumberFormat="0" applyBorder="0" applyAlignment="0" applyProtection="0"/>
    <xf numFmtId="0" fontId="17" fillId="6"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8"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7" fillId="11" borderId="0" applyNumberFormat="0" applyBorder="0" applyAlignment="0" applyProtection="0"/>
    <xf numFmtId="0" fontId="17" fillId="5" borderId="0" applyNumberFormat="0" applyBorder="0" applyAlignment="0" applyProtection="0"/>
    <xf numFmtId="0" fontId="18" fillId="16"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17" borderId="0" applyNumberFormat="0" applyBorder="0" applyAlignment="0" applyProtection="0"/>
    <xf numFmtId="0" fontId="18" fillId="14" borderId="0" applyNumberFormat="0" applyBorder="0" applyAlignment="0" applyProtection="0"/>
    <xf numFmtId="0" fontId="18" fillId="20" borderId="0" applyNumberFormat="0" applyBorder="0" applyAlignment="0" applyProtection="0"/>
    <xf numFmtId="0" fontId="19" fillId="3" borderId="0" applyNumberFormat="0" applyBorder="0" applyAlignment="0" applyProtection="0"/>
    <xf numFmtId="0" fontId="21" fillId="21" borderId="2" applyNumberFormat="0" applyAlignment="0" applyProtection="0"/>
    <xf numFmtId="0" fontId="20" fillId="9" borderId="1" applyNumberFormat="0" applyAlignment="0" applyProtection="0"/>
    <xf numFmtId="0" fontId="21" fillId="21" borderId="2" applyNumberFormat="0" applyAlignment="0" applyProtection="0"/>
    <xf numFmtId="0" fontId="20" fillId="9" borderId="1" applyNumberFormat="0" applyAlignment="0" applyProtection="0"/>
    <xf numFmtId="43" fontId="8" fillId="0" borderId="0" applyFont="0" applyFill="0" applyBorder="0" applyAlignment="0" applyProtection="0"/>
    <xf numFmtId="0" fontId="22" fillId="0" borderId="0" applyNumberFormat="0" applyFill="0" applyBorder="0" applyAlignment="0" applyProtection="0"/>
    <xf numFmtId="0" fontId="23" fillId="5" borderId="0" applyNumberFormat="0" applyBorder="0" applyAlignment="0" applyProtection="0"/>
    <xf numFmtId="0" fontId="24" fillId="0" borderId="3" applyNumberFormat="0" applyFill="0" applyAlignment="0" applyProtection="0"/>
    <xf numFmtId="0" fontId="29" fillId="22" borderId="0" applyNumberFormat="0" applyBorder="0" applyAlignment="0" applyProtection="0"/>
    <xf numFmtId="0" fontId="25" fillId="0" borderId="4" applyNumberFormat="0" applyFill="0" applyAlignment="0" applyProtection="0"/>
    <xf numFmtId="43" fontId="8" fillId="0" borderId="0" applyFont="0" applyFill="0" applyBorder="0" applyAlignment="0" applyProtection="0"/>
    <xf numFmtId="0" fontId="22" fillId="0" borderId="0" applyNumberFormat="0" applyFill="0" applyBorder="0" applyAlignment="0" applyProtection="0"/>
    <xf numFmtId="0" fontId="26" fillId="0" borderId="5" applyNumberFormat="0" applyFill="0" applyAlignment="0" applyProtection="0"/>
    <xf numFmtId="0" fontId="18" fillId="14" borderId="0" applyNumberFormat="0" applyBorder="0" applyAlignment="0" applyProtection="0"/>
    <xf numFmtId="0" fontId="18" fillId="16" borderId="0" applyNumberFormat="0" applyBorder="0" applyAlignment="0" applyProtection="0"/>
    <xf numFmtId="0" fontId="26" fillId="0" borderId="0" applyNumberFormat="0" applyFill="0" applyBorder="0" applyAlignment="0" applyProtection="0"/>
    <xf numFmtId="0" fontId="27" fillId="4"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8" fillId="23" borderId="7" applyNumberFormat="0" applyFont="0" applyAlignment="0" applyProtection="0"/>
    <xf numFmtId="0" fontId="30" fillId="9" borderId="8"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26" fillId="0" borderId="0" applyNumberFormat="0" applyFill="0" applyBorder="0" applyAlignment="0" applyProtection="0"/>
    <xf numFmtId="0" fontId="18" fillId="18" borderId="0" applyNumberFormat="0" applyBorder="0" applyAlignment="0" applyProtection="0"/>
    <xf numFmtId="0" fontId="31" fillId="0" borderId="0" applyNumberFormat="0" applyFill="0" applyBorder="0" applyAlignment="0" applyProtection="0"/>
    <xf numFmtId="0" fontId="17" fillId="8" borderId="0" applyNumberFormat="0" applyBorder="0" applyAlignment="0" applyProtection="0"/>
    <xf numFmtId="0" fontId="17" fillId="7" borderId="0" applyNumberFormat="0" applyBorder="0" applyAlignment="0" applyProtection="0"/>
    <xf numFmtId="0" fontId="32" fillId="0" borderId="9" applyNumberFormat="0" applyFill="0" applyAlignment="0" applyProtection="0"/>
    <xf numFmtId="0" fontId="33" fillId="0" borderId="0" applyNumberFormat="0" applyFill="0" applyBorder="0" applyAlignment="0" applyProtection="0"/>
    <xf numFmtId="0" fontId="18" fillId="13"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8" fillId="10" borderId="0" applyNumberFormat="0" applyBorder="0" applyAlignment="0" applyProtection="0"/>
    <xf numFmtId="0" fontId="33" fillId="0" borderId="0" applyNumberFormat="0" applyFill="0" applyBorder="0" applyAlignment="0" applyProtection="0"/>
    <xf numFmtId="0" fontId="23" fillId="5" borderId="0" applyNumberFormat="0" applyBorder="0" applyAlignment="0" applyProtection="0"/>
    <xf numFmtId="0" fontId="18" fillId="19" borderId="0" applyNumberFormat="0" applyBorder="0" applyAlignment="0" applyProtection="0"/>
    <xf numFmtId="0" fontId="17" fillId="6" borderId="0" applyNumberFormat="0" applyBorder="0" applyAlignment="0" applyProtection="0"/>
    <xf numFmtId="0" fontId="17" fillId="2" borderId="0" applyNumberFormat="0" applyBorder="0" applyAlignment="0" applyProtection="0"/>
    <xf numFmtId="0" fontId="32" fillId="0" borderId="9" applyNumberFormat="0" applyFill="0" applyAlignment="0" applyProtection="0"/>
    <xf numFmtId="0" fontId="27" fillId="4" borderId="1" applyNumberFormat="0" applyAlignment="0" applyProtection="0"/>
    <xf numFmtId="0" fontId="24" fillId="0" borderId="3" applyNumberFormat="0" applyFill="0" applyAlignment="0" applyProtection="0"/>
    <xf numFmtId="0" fontId="17" fillId="10" borderId="0" applyNumberFormat="0" applyBorder="0" applyAlignment="0" applyProtection="0"/>
    <xf numFmtId="0" fontId="26" fillId="0" borderId="5" applyNumberFormat="0" applyFill="0" applyAlignment="0" applyProtection="0"/>
    <xf numFmtId="0" fontId="17" fillId="8" borderId="0" applyNumberFormat="0" applyBorder="0" applyAlignment="0" applyProtection="0"/>
    <xf numFmtId="0" fontId="28" fillId="0" borderId="6" applyNumberFormat="0" applyFill="0" applyAlignment="0" applyProtection="0"/>
    <xf numFmtId="0" fontId="25" fillId="0" borderId="4" applyNumberFormat="0" applyFill="0" applyAlignment="0" applyProtection="0"/>
    <xf numFmtId="0" fontId="17" fillId="12" borderId="0" applyNumberFormat="0" applyBorder="0" applyAlignment="0" applyProtection="0"/>
    <xf numFmtId="0" fontId="4" fillId="0" borderId="0"/>
    <xf numFmtId="0" fontId="8" fillId="0" borderId="0"/>
    <xf numFmtId="0" fontId="31" fillId="0" borderId="0" applyNumberFormat="0" applyFill="0" applyBorder="0" applyAlignment="0" applyProtection="0"/>
    <xf numFmtId="0" fontId="8" fillId="23" borderId="7" applyNumberFormat="0" applyFont="0" applyAlignment="0" applyProtection="0"/>
    <xf numFmtId="0" fontId="106" fillId="0" borderId="0"/>
    <xf numFmtId="0" fontId="18" fillId="14" borderId="0" applyNumberFormat="0" applyBorder="0" applyAlignment="0" applyProtection="0"/>
    <xf numFmtId="0" fontId="30" fillId="9" borderId="8" applyNumberFormat="0" applyAlignment="0" applyProtection="0"/>
    <xf numFmtId="0" fontId="18" fillId="15" borderId="0" applyNumberFormat="0" applyBorder="0" applyAlignment="0" applyProtection="0"/>
    <xf numFmtId="0" fontId="19" fillId="3" borderId="0" applyNumberFormat="0" applyBorder="0" applyAlignment="0" applyProtection="0"/>
    <xf numFmtId="0" fontId="3" fillId="0" borderId="0"/>
    <xf numFmtId="0" fontId="8" fillId="0" borderId="0"/>
    <xf numFmtId="0" fontId="17" fillId="2" borderId="0" applyNumberFormat="0" applyBorder="0" applyAlignment="0" applyProtection="0"/>
    <xf numFmtId="0" fontId="3" fillId="26" borderId="0" applyNumberFormat="0" applyBorder="0" applyAlignment="0" applyProtection="0"/>
    <xf numFmtId="0" fontId="17" fillId="3" borderId="0" applyNumberFormat="0" applyBorder="0" applyAlignment="0" applyProtection="0"/>
    <xf numFmtId="0" fontId="3" fillId="27" borderId="0" applyNumberFormat="0" applyBorder="0" applyAlignment="0" applyProtection="0"/>
    <xf numFmtId="0" fontId="17" fillId="5" borderId="0" applyNumberFormat="0" applyBorder="0" applyAlignment="0" applyProtection="0"/>
    <xf numFmtId="0" fontId="3" fillId="28" borderId="0" applyNumberFormat="0" applyBorder="0" applyAlignment="0" applyProtection="0"/>
    <xf numFmtId="0" fontId="17" fillId="6" borderId="0" applyNumberFormat="0" applyBorder="0" applyAlignment="0" applyProtection="0"/>
    <xf numFmtId="0" fontId="3" fillId="29" borderId="0" applyNumberFormat="0" applyBorder="0" applyAlignment="0" applyProtection="0"/>
    <xf numFmtId="0" fontId="17" fillId="7" borderId="0" applyNumberFormat="0" applyBorder="0" applyAlignment="0" applyProtection="0"/>
    <xf numFmtId="0" fontId="3" fillId="30" borderId="0" applyNumberFormat="0" applyBorder="0" applyAlignment="0" applyProtection="0"/>
    <xf numFmtId="0" fontId="17" fillId="4" borderId="0" applyNumberFormat="0" applyBorder="0" applyAlignment="0" applyProtection="0"/>
    <xf numFmtId="0" fontId="3" fillId="31" borderId="0" applyNumberFormat="0" applyBorder="0" applyAlignment="0" applyProtection="0"/>
    <xf numFmtId="0" fontId="17" fillId="8" borderId="0" applyNumberFormat="0" applyBorder="0" applyAlignment="0" applyProtection="0"/>
    <xf numFmtId="0" fontId="3" fillId="32" borderId="0" applyNumberFormat="0" applyBorder="0" applyAlignment="0" applyProtection="0"/>
    <xf numFmtId="0" fontId="17" fillId="10" borderId="0" applyNumberFormat="0" applyBorder="0" applyAlignment="0" applyProtection="0"/>
    <xf numFmtId="0" fontId="3" fillId="33" borderId="0" applyNumberFormat="0" applyBorder="0" applyAlignment="0" applyProtection="0"/>
    <xf numFmtId="0" fontId="17" fillId="11" borderId="0" applyNumberFormat="0" applyBorder="0" applyAlignment="0" applyProtection="0"/>
    <xf numFmtId="0" fontId="3" fillId="34" borderId="0" applyNumberFormat="0" applyBorder="0" applyAlignment="0" applyProtection="0"/>
    <xf numFmtId="0" fontId="17" fillId="6" borderId="0" applyNumberFormat="0" applyBorder="0" applyAlignment="0" applyProtection="0"/>
    <xf numFmtId="0" fontId="3" fillId="35" borderId="0" applyNumberFormat="0" applyBorder="0" applyAlignment="0" applyProtection="0"/>
    <xf numFmtId="0" fontId="17" fillId="8" borderId="0" applyNumberFormat="0" applyBorder="0" applyAlignment="0" applyProtection="0"/>
    <xf numFmtId="0" fontId="3" fillId="36" borderId="0" applyNumberFormat="0" applyBorder="0" applyAlignment="0" applyProtection="0"/>
    <xf numFmtId="0" fontId="17" fillId="12" borderId="0" applyNumberFormat="0" applyBorder="0" applyAlignment="0" applyProtection="0"/>
    <xf numFmtId="0" fontId="3" fillId="37"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6"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6" borderId="0" applyNumberFormat="0" applyBorder="0" applyAlignment="0" applyProtection="0"/>
    <xf numFmtId="0" fontId="18" fillId="14" borderId="0" applyNumberFormat="0" applyBorder="0" applyAlignment="0" applyProtection="0"/>
    <xf numFmtId="0" fontId="18" fillId="20" borderId="0" applyNumberFormat="0" applyBorder="0" applyAlignment="0" applyProtection="0"/>
    <xf numFmtId="0" fontId="19" fillId="3" borderId="0" applyNumberFormat="0" applyBorder="0" applyAlignment="0" applyProtection="0"/>
    <xf numFmtId="0" fontId="20" fillId="9" borderId="1" applyNumberFormat="0" applyAlignment="0" applyProtection="0"/>
    <xf numFmtId="0" fontId="21" fillId="21" borderId="2" applyNumberFormat="0" applyAlignment="0" applyProtection="0"/>
    <xf numFmtId="43" fontId="8" fillId="0" borderId="0" applyFont="0" applyFill="0" applyBorder="0" applyAlignment="0" applyProtection="0"/>
    <xf numFmtId="0" fontId="22" fillId="0" borderId="0" applyNumberFormat="0" applyFill="0" applyBorder="0" applyAlignment="0" applyProtection="0"/>
    <xf numFmtId="0" fontId="23" fillId="5"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7" fillId="4"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3" fillId="0" borderId="0"/>
    <xf numFmtId="0" fontId="8" fillId="23" borderId="7" applyNumberFormat="0" applyFont="0" applyAlignment="0" applyProtection="0"/>
    <xf numFmtId="0" fontId="3" fillId="56" borderId="23" applyNumberFormat="0" applyFont="0" applyAlignment="0" applyProtection="0"/>
    <xf numFmtId="0" fontId="30" fillId="9" borderId="8" applyNumberFormat="0" applyAlignment="0" applyProtection="0"/>
    <xf numFmtId="9" fontId="8"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0" fontId="3" fillId="0" borderId="0"/>
    <xf numFmtId="0" fontId="3" fillId="56" borderId="23" applyNumberFormat="0" applyFont="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30" borderId="0" applyNumberFormat="0" applyBorder="0" applyAlignment="0" applyProtection="0"/>
    <xf numFmtId="0" fontId="3" fillId="36" borderId="0" applyNumberFormat="0" applyBorder="0" applyAlignment="0" applyProtection="0"/>
    <xf numFmtId="0" fontId="3" fillId="31" borderId="0" applyNumberFormat="0" applyBorder="0" applyAlignment="0" applyProtection="0"/>
    <xf numFmtId="0" fontId="3" fillId="3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0" borderId="0"/>
    <xf numFmtId="0" fontId="3" fillId="0" borderId="0"/>
    <xf numFmtId="0" fontId="3" fillId="0" borderId="0"/>
    <xf numFmtId="0" fontId="3" fillId="56" borderId="23" applyNumberFormat="0" applyFont="0" applyAlignment="0" applyProtection="0"/>
    <xf numFmtId="0" fontId="3" fillId="56" borderId="23" applyNumberFormat="0" applyFont="0" applyAlignment="0" applyProtection="0"/>
    <xf numFmtId="0" fontId="3" fillId="56" borderId="23" applyNumberFormat="0" applyFont="0" applyAlignment="0" applyProtection="0"/>
    <xf numFmtId="0" fontId="8" fillId="0" borderId="0"/>
    <xf numFmtId="0" fontId="8" fillId="0" borderId="0"/>
    <xf numFmtId="0" fontId="2" fillId="0" borderId="0"/>
    <xf numFmtId="0" fontId="8" fillId="0" borderId="0"/>
    <xf numFmtId="0" fontId="17" fillId="2" borderId="0" applyNumberFormat="0" applyBorder="0" applyAlignment="0" applyProtection="0"/>
    <xf numFmtId="0" fontId="17" fillId="3"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4" borderId="0" applyNumberFormat="0" applyBorder="0" applyAlignment="0" applyProtection="0"/>
    <xf numFmtId="0" fontId="17" fillId="8"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8"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6"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6" borderId="0" applyNumberFormat="0" applyBorder="0" applyAlignment="0" applyProtection="0"/>
    <xf numFmtId="0" fontId="18" fillId="14" borderId="0" applyNumberFormat="0" applyBorder="0" applyAlignment="0" applyProtection="0"/>
    <xf numFmtId="0" fontId="18" fillId="20" borderId="0" applyNumberFormat="0" applyBorder="0" applyAlignment="0" applyProtection="0"/>
    <xf numFmtId="0" fontId="19" fillId="3" borderId="0" applyNumberFormat="0" applyBorder="0" applyAlignment="0" applyProtection="0"/>
    <xf numFmtId="0" fontId="20" fillId="9" borderId="1" applyNumberFormat="0" applyAlignment="0" applyProtection="0"/>
    <xf numFmtId="0" fontId="21" fillId="21" borderId="2" applyNumberFormat="0" applyAlignment="0" applyProtection="0"/>
    <xf numFmtId="43" fontId="8" fillId="0" borderId="0" applyFont="0" applyFill="0" applyBorder="0" applyAlignment="0" applyProtection="0"/>
    <xf numFmtId="0" fontId="22" fillId="0" borderId="0" applyNumberFormat="0" applyFill="0" applyBorder="0" applyAlignment="0" applyProtection="0"/>
    <xf numFmtId="0" fontId="23" fillId="5"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7" fillId="4"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8" fillId="23" borderId="7" applyNumberFormat="0" applyFont="0" applyAlignment="0" applyProtection="0"/>
    <xf numFmtId="0" fontId="30" fillId="9" borderId="8" applyNumberFormat="0" applyAlignment="0" applyProtection="0"/>
    <xf numFmtId="9" fontId="8"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0" fontId="2" fillId="0" borderId="0"/>
    <xf numFmtId="0" fontId="2" fillId="0" borderId="0"/>
    <xf numFmtId="0" fontId="2" fillId="0" borderId="0"/>
    <xf numFmtId="0" fontId="1" fillId="0" borderId="0"/>
    <xf numFmtId="0" fontId="8" fillId="0" borderId="0"/>
    <xf numFmtId="0" fontId="17" fillId="2" borderId="0" applyNumberFormat="0" applyBorder="0" applyAlignment="0" applyProtection="0"/>
    <xf numFmtId="0" fontId="17" fillId="3"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4" borderId="0" applyNumberFormat="0" applyBorder="0" applyAlignment="0" applyProtection="0"/>
    <xf numFmtId="0" fontId="17" fillId="8"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8"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6"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6" borderId="0" applyNumberFormat="0" applyBorder="0" applyAlignment="0" applyProtection="0"/>
    <xf numFmtId="0" fontId="18" fillId="14" borderId="0" applyNumberFormat="0" applyBorder="0" applyAlignment="0" applyProtection="0"/>
    <xf numFmtId="0" fontId="18" fillId="20" borderId="0" applyNumberFormat="0" applyBorder="0" applyAlignment="0" applyProtection="0"/>
    <xf numFmtId="0" fontId="19" fillId="3" borderId="0" applyNumberFormat="0" applyBorder="0" applyAlignment="0" applyProtection="0"/>
    <xf numFmtId="0" fontId="20" fillId="9" borderId="1" applyNumberFormat="0" applyAlignment="0" applyProtection="0"/>
    <xf numFmtId="0" fontId="21" fillId="21" borderId="2" applyNumberFormat="0" applyAlignment="0" applyProtection="0"/>
    <xf numFmtId="43" fontId="8" fillId="0" borderId="0" applyFont="0" applyFill="0" applyBorder="0" applyAlignment="0" applyProtection="0"/>
    <xf numFmtId="0" fontId="22" fillId="0" borderId="0" applyNumberFormat="0" applyFill="0" applyBorder="0" applyAlignment="0" applyProtection="0"/>
    <xf numFmtId="0" fontId="23" fillId="5"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7" fillId="4"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8" fillId="23" borderId="7" applyNumberFormat="0" applyFont="0" applyAlignment="0" applyProtection="0"/>
    <xf numFmtId="0" fontId="30" fillId="9" borderId="8" applyNumberFormat="0" applyAlignment="0" applyProtection="0"/>
    <xf numFmtId="9" fontId="8"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4" fillId="0" borderId="0"/>
    <xf numFmtId="0" fontId="114" fillId="0" borderId="0"/>
  </cellStyleXfs>
  <cellXfs count="575">
    <xf numFmtId="0" fontId="0" fillId="0" borderId="0" xfId="0"/>
    <xf numFmtId="3" fontId="9" fillId="0" borderId="0" xfId="0" applyNumberFormat="1" applyFont="1" applyFill="1" applyBorder="1" applyAlignment="1">
      <alignment horizontal="left" vertical="center"/>
    </xf>
    <xf numFmtId="3" fontId="9" fillId="0" borderId="0" xfId="0" applyNumberFormat="1" applyFont="1" applyFill="1" applyBorder="1" applyAlignment="1">
      <alignment vertical="center"/>
    </xf>
    <xf numFmtId="0" fontId="0" fillId="0" borderId="0" xfId="0" applyBorder="1"/>
    <xf numFmtId="0" fontId="15" fillId="0" borderId="0" xfId="0" applyFont="1"/>
    <xf numFmtId="0" fontId="0" fillId="24" borderId="0" xfId="0" applyFill="1" applyProtection="1">
      <protection hidden="1"/>
    </xf>
    <xf numFmtId="0" fontId="9" fillId="24" borderId="0" xfId="0" applyFont="1" applyFill="1" applyAlignment="1" applyProtection="1">
      <alignment horizontal="left" wrapText="1"/>
      <protection hidden="1"/>
    </xf>
    <xf numFmtId="0" fontId="0" fillId="24" borderId="0" xfId="0" applyFill="1" applyAlignment="1" applyProtection="1">
      <alignment horizontal="center" vertical="center" wrapText="1"/>
      <protection hidden="1"/>
    </xf>
    <xf numFmtId="0" fontId="0" fillId="24" borderId="0" xfId="0" applyNumberFormat="1" applyFill="1" applyProtection="1">
      <protection hidden="1"/>
    </xf>
    <xf numFmtId="0" fontId="8" fillId="24" borderId="0" xfId="0" applyFont="1" applyFill="1" applyAlignment="1" applyProtection="1">
      <alignment wrapText="1"/>
      <protection hidden="1"/>
    </xf>
    <xf numFmtId="0" fontId="8" fillId="24" borderId="0" xfId="0" applyFont="1" applyFill="1" applyAlignment="1" applyProtection="1">
      <alignment horizontal="left" wrapText="1"/>
      <protection hidden="1"/>
    </xf>
    <xf numFmtId="0" fontId="8" fillId="24" borderId="0" xfId="0" applyNumberFormat="1" applyFont="1" applyFill="1" applyAlignment="1" applyProtection="1">
      <alignment wrapText="1"/>
      <protection hidden="1"/>
    </xf>
    <xf numFmtId="0" fontId="39" fillId="24" borderId="0" xfId="0" applyFont="1" applyFill="1" applyAlignment="1" applyProtection="1">
      <alignment wrapText="1"/>
      <protection hidden="1"/>
    </xf>
    <xf numFmtId="0" fontId="39" fillId="24" borderId="0" xfId="0" applyFont="1" applyFill="1" applyProtection="1">
      <protection hidden="1"/>
    </xf>
    <xf numFmtId="0" fontId="8" fillId="24" borderId="0" xfId="0" applyFont="1" applyFill="1" applyBorder="1" applyAlignment="1" applyProtection="1">
      <alignment horizontal="left" wrapText="1"/>
      <protection hidden="1"/>
    </xf>
    <xf numFmtId="0" fontId="8" fillId="24" borderId="0" xfId="0" applyFont="1" applyFill="1" applyAlignment="1" applyProtection="1">
      <alignment horizontal="left"/>
      <protection hidden="1"/>
    </xf>
    <xf numFmtId="0" fontId="9" fillId="24" borderId="0" xfId="0" applyFont="1" applyFill="1" applyBorder="1" applyAlignment="1" applyProtection="1">
      <alignment horizontal="left" vertical="center" wrapText="1"/>
      <protection hidden="1"/>
    </xf>
    <xf numFmtId="0" fontId="0" fillId="24" borderId="0" xfId="0" applyFill="1" applyBorder="1" applyAlignment="1" applyProtection="1">
      <alignment horizontal="left"/>
      <protection hidden="1"/>
    </xf>
    <xf numFmtId="0" fontId="36" fillId="24" borderId="0" xfId="0" applyFont="1" applyFill="1" applyAlignment="1" applyProtection="1">
      <alignment horizontal="left" wrapText="1"/>
      <protection hidden="1"/>
    </xf>
    <xf numFmtId="0" fontId="14" fillId="24" borderId="0" xfId="148" applyFont="1" applyFill="1" applyAlignment="1" applyProtection="1">
      <alignment horizontal="left"/>
      <protection hidden="1"/>
    </xf>
    <xf numFmtId="0" fontId="0" fillId="24" borderId="0" xfId="0" applyFill="1" applyAlignment="1" applyProtection="1">
      <alignment horizontal="left"/>
      <protection hidden="1"/>
    </xf>
    <xf numFmtId="0" fontId="11" fillId="24" borderId="0" xfId="0" applyFont="1" applyFill="1" applyAlignment="1" applyProtection="1">
      <alignment horizontal="left"/>
      <protection hidden="1"/>
    </xf>
    <xf numFmtId="0" fontId="8" fillId="24" borderId="0" xfId="0" applyFont="1" applyFill="1" applyProtection="1">
      <protection hidden="1"/>
    </xf>
    <xf numFmtId="0" fontId="8" fillId="24" borderId="0" xfId="0" applyNumberFormat="1" applyFont="1" applyFill="1" applyProtection="1">
      <protection hidden="1"/>
    </xf>
    <xf numFmtId="0" fontId="9" fillId="24" borderId="0" xfId="0" applyFont="1" applyFill="1" applyAlignment="1" applyProtection="1">
      <alignment wrapText="1"/>
      <protection hidden="1"/>
    </xf>
    <xf numFmtId="0" fontId="0" fillId="25" borderId="0" xfId="0" applyFill="1"/>
    <xf numFmtId="0" fontId="8" fillId="24" borderId="0" xfId="0" applyNumberFormat="1" applyFont="1" applyFill="1" applyAlignment="1" applyProtection="1">
      <alignment horizontal="left" wrapText="1"/>
      <protection hidden="1"/>
    </xf>
    <xf numFmtId="0" fontId="9" fillId="0" borderId="0" xfId="0" applyFont="1" applyFill="1" applyBorder="1" applyAlignment="1">
      <alignment horizontal="left" vertical="center"/>
    </xf>
    <xf numFmtId="164" fontId="9" fillId="0" borderId="0" xfId="0" applyNumberFormat="1" applyFont="1" applyFill="1" applyBorder="1" applyAlignment="1">
      <alignment horizontal="left" vertical="center"/>
    </xf>
    <xf numFmtId="0" fontId="0" fillId="0" borderId="14" xfId="0" applyBorder="1"/>
    <xf numFmtId="0" fontId="0" fillId="0" borderId="0" xfId="0" applyFill="1"/>
    <xf numFmtId="0" fontId="42" fillId="0" borderId="0" xfId="165"/>
    <xf numFmtId="0" fontId="8" fillId="0" borderId="0" xfId="0" applyFont="1"/>
    <xf numFmtId="0" fontId="0" fillId="0" borderId="0" xfId="0" applyFill="1" applyProtection="1">
      <protection hidden="1"/>
    </xf>
    <xf numFmtId="0" fontId="60" fillId="0" borderId="0" xfId="0" applyFont="1" applyFill="1" applyProtection="1">
      <protection hidden="1"/>
    </xf>
    <xf numFmtId="0" fontId="62" fillId="0" borderId="0" xfId="0" applyFont="1" applyFill="1" applyProtection="1">
      <protection hidden="1"/>
    </xf>
    <xf numFmtId="0" fontId="62" fillId="0" borderId="0" xfId="0" applyFont="1" applyFill="1" applyBorder="1" applyProtection="1">
      <protection hidden="1"/>
    </xf>
    <xf numFmtId="0" fontId="8" fillId="0" borderId="0" xfId="0" applyFont="1" applyFill="1" applyAlignment="1" applyProtection="1">
      <alignment wrapText="1"/>
      <protection hidden="1"/>
    </xf>
    <xf numFmtId="0" fontId="8" fillId="0" borderId="0" xfId="0" applyFont="1" applyFill="1" applyAlignment="1" applyProtection="1">
      <protection hidden="1"/>
    </xf>
    <xf numFmtId="0" fontId="15" fillId="0" borderId="0" xfId="0" applyFont="1" applyFill="1" applyBorder="1" applyAlignment="1" applyProtection="1">
      <alignment vertical="center"/>
      <protection hidden="1"/>
    </xf>
    <xf numFmtId="0" fontId="15" fillId="0" borderId="0" xfId="0" applyFont="1" applyFill="1" applyBorder="1" applyAlignment="1" applyProtection="1">
      <alignment horizontal="left" vertical="center"/>
      <protection hidden="1"/>
    </xf>
    <xf numFmtId="0" fontId="40" fillId="0" borderId="0" xfId="0" applyFont="1" applyFill="1" applyProtection="1">
      <protection hidden="1"/>
    </xf>
    <xf numFmtId="1" fontId="8" fillId="0" borderId="0" xfId="109" applyNumberForma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0" fillId="0" borderId="0" xfId="0" applyFill="1" applyAlignment="1" applyProtection="1">
      <alignment vertical="center"/>
      <protection hidden="1"/>
    </xf>
    <xf numFmtId="0" fontId="11" fillId="0" borderId="0" xfId="0" applyNumberFormat="1" applyFont="1" applyFill="1" applyProtection="1">
      <protection hidden="1"/>
    </xf>
    <xf numFmtId="0" fontId="11" fillId="0" borderId="0" xfId="0" applyFont="1" applyFill="1" applyProtection="1">
      <protection hidden="1"/>
    </xf>
    <xf numFmtId="0" fontId="35" fillId="0" borderId="0" xfId="0" applyFont="1" applyFill="1" applyBorder="1" applyAlignment="1" applyProtection="1">
      <alignment horizontal="left" vertical="center" wrapText="1" indent="1"/>
      <protection hidden="1"/>
    </xf>
    <xf numFmtId="0" fontId="15" fillId="0" borderId="0" xfId="0" applyFont="1" applyFill="1" applyBorder="1" applyAlignment="1" applyProtection="1">
      <alignment horizontal="center" vertical="center" wrapText="1"/>
      <protection hidden="1"/>
    </xf>
    <xf numFmtId="0" fontId="0" fillId="0" borderId="0" xfId="0" applyFill="1" applyAlignment="1" applyProtection="1">
      <alignment wrapText="1"/>
      <protection hidden="1"/>
    </xf>
    <xf numFmtId="0" fontId="0" fillId="0" borderId="0" xfId="0" applyFill="1" applyBorder="1" applyProtection="1">
      <protection hidden="1"/>
    </xf>
    <xf numFmtId="0" fontId="0" fillId="0" borderId="0" xfId="0" applyFill="1" applyBorder="1" applyAlignment="1" applyProtection="1">
      <protection hidden="1"/>
    </xf>
    <xf numFmtId="167" fontId="37" fillId="0" borderId="0" xfId="0" applyNumberFormat="1" applyFont="1" applyFill="1" applyBorder="1" applyAlignment="1" applyProtection="1">
      <alignment horizontal="center"/>
      <protection hidden="1"/>
    </xf>
    <xf numFmtId="0" fontId="37" fillId="0" borderId="0" xfId="0" applyNumberFormat="1" applyFont="1" applyFill="1" applyBorder="1" applyAlignment="1" applyProtection="1">
      <alignment horizontal="center"/>
      <protection hidden="1"/>
    </xf>
    <xf numFmtId="165" fontId="37" fillId="0" borderId="0" xfId="0" applyNumberFormat="1" applyFont="1" applyFill="1" applyBorder="1" applyAlignment="1" applyProtection="1">
      <alignment horizontal="center"/>
      <protection hidden="1"/>
    </xf>
    <xf numFmtId="0" fontId="11" fillId="0" borderId="0" xfId="0" applyFont="1" applyFill="1" applyAlignment="1" applyProtection="1">
      <alignment wrapText="1"/>
      <protection hidden="1"/>
    </xf>
    <xf numFmtId="0" fontId="0" fillId="0" borderId="0" xfId="0" applyFill="1" applyAlignment="1" applyProtection="1">
      <alignment vertical="center" wrapText="1"/>
      <protection hidden="1"/>
    </xf>
    <xf numFmtId="166" fontId="11" fillId="0" borderId="0" xfId="0" applyNumberFormat="1" applyFont="1" applyFill="1" applyProtection="1">
      <protection hidden="1"/>
    </xf>
    <xf numFmtId="166" fontId="37" fillId="0" borderId="0" xfId="0" applyNumberFormat="1" applyFont="1" applyFill="1" applyBorder="1" applyAlignment="1" applyProtection="1">
      <alignment horizontal="center"/>
      <protection hidden="1"/>
    </xf>
    <xf numFmtId="166" fontId="37" fillId="0" borderId="0" xfId="181" applyNumberFormat="1" applyFont="1" applyFill="1" applyBorder="1" applyAlignment="1" applyProtection="1">
      <alignment horizontal="center"/>
      <protection hidden="1"/>
    </xf>
    <xf numFmtId="0" fontId="0" fillId="0" borderId="0" xfId="0" applyFill="1" applyAlignment="1" applyProtection="1">
      <protection hidden="1"/>
    </xf>
    <xf numFmtId="0" fontId="14" fillId="0" borderId="0" xfId="148" applyFont="1" applyFill="1" applyAlignment="1" applyProtection="1">
      <alignment horizontal="left"/>
      <protection hidden="1"/>
    </xf>
    <xf numFmtId="0" fontId="12" fillId="0" borderId="0" xfId="0" applyFont="1" applyFill="1" applyProtection="1">
      <protection hidden="1"/>
    </xf>
    <xf numFmtId="0" fontId="13" fillId="0" borderId="0" xfId="0" applyFont="1" applyFill="1" applyProtection="1">
      <protection hidden="1"/>
    </xf>
    <xf numFmtId="0" fontId="8" fillId="0" borderId="0" xfId="0" applyNumberFormat="1" applyFont="1" applyFill="1" applyAlignment="1" applyProtection="1">
      <alignment wrapText="1"/>
      <protection hidden="1"/>
    </xf>
    <xf numFmtId="0" fontId="38" fillId="0" borderId="0" xfId="0" applyFont="1" applyFill="1" applyBorder="1" applyAlignment="1" applyProtection="1">
      <alignment horizontal="left" vertical="center"/>
      <protection hidden="1"/>
    </xf>
    <xf numFmtId="0" fontId="38" fillId="0" borderId="0" xfId="0" applyFont="1" applyFill="1" applyBorder="1" applyAlignment="1" applyProtection="1">
      <alignment vertical="center" wrapText="1"/>
      <protection hidden="1"/>
    </xf>
    <xf numFmtId="0" fontId="39" fillId="0" borderId="0" xfId="0" applyFont="1" applyFill="1" applyAlignment="1" applyProtection="1">
      <alignment wrapText="1"/>
      <protection hidden="1"/>
    </xf>
    <xf numFmtId="0" fontId="39" fillId="0" borderId="0" xfId="0" applyFont="1" applyFill="1" applyAlignment="1" applyProtection="1">
      <alignment vertical="center"/>
      <protection hidden="1"/>
    </xf>
    <xf numFmtId="0" fontId="39" fillId="0" borderId="0" xfId="0" applyFont="1" applyFill="1" applyProtection="1">
      <protection hidden="1"/>
    </xf>
    <xf numFmtId="0" fontId="8" fillId="0" borderId="0" xfId="0" applyFont="1" applyFill="1" applyAlignment="1" applyProtection="1">
      <alignment horizontal="left" wrapText="1"/>
      <protection hidden="1"/>
    </xf>
    <xf numFmtId="0" fontId="0" fillId="0" borderId="0" xfId="0" applyFill="1" applyAlignment="1" applyProtection="1">
      <alignment horizontal="left"/>
      <protection hidden="1"/>
    </xf>
    <xf numFmtId="0" fontId="11" fillId="0" borderId="0" xfId="0" applyFont="1" applyFill="1" applyAlignment="1" applyProtection="1">
      <alignment horizontal="left"/>
      <protection hidden="1"/>
    </xf>
    <xf numFmtId="0" fontId="8" fillId="0" borderId="0" xfId="0" applyFont="1" applyFill="1" applyAlignment="1" applyProtection="1">
      <alignment horizontal="left"/>
      <protection hidden="1"/>
    </xf>
    <xf numFmtId="0" fontId="8" fillId="0" borderId="0" xfId="0" applyFont="1" applyFill="1" applyProtection="1">
      <protection hidden="1"/>
    </xf>
    <xf numFmtId="0" fontId="8" fillId="0" borderId="0" xfId="0" applyNumberFormat="1" applyFont="1" applyFill="1" applyProtection="1">
      <protection hidden="1"/>
    </xf>
    <xf numFmtId="0" fontId="9" fillId="0" borderId="0" xfId="0" applyFont="1" applyFill="1" applyAlignment="1" applyProtection="1">
      <alignment horizontal="left" wrapText="1"/>
      <protection hidden="1"/>
    </xf>
    <xf numFmtId="0" fontId="0" fillId="0" borderId="0" xfId="0" applyFill="1" applyBorder="1" applyAlignment="1" applyProtection="1">
      <alignment horizontal="center"/>
      <protection hidden="1"/>
    </xf>
    <xf numFmtId="0" fontId="0" fillId="0" borderId="0" xfId="0" applyFill="1" applyAlignment="1" applyProtection="1">
      <alignment horizontal="center" vertical="center" wrapText="1"/>
      <protection hidden="1"/>
    </xf>
    <xf numFmtId="0" fontId="9" fillId="0" borderId="0" xfId="0" applyFont="1" applyFill="1" applyAlignment="1" applyProtection="1">
      <alignment vertical="center"/>
      <protection hidden="1"/>
    </xf>
    <xf numFmtId="0" fontId="9" fillId="0" borderId="0" xfId="0" applyFont="1" applyFill="1" applyAlignment="1" applyProtection="1">
      <alignment horizontal="left"/>
      <protection hidden="1"/>
    </xf>
    <xf numFmtId="0" fontId="63" fillId="0" borderId="0" xfId="0" applyFont="1" applyFill="1" applyAlignment="1" applyProtection="1">
      <alignment vertical="center"/>
      <protection hidden="1"/>
    </xf>
    <xf numFmtId="0" fontId="8" fillId="0" borderId="0" xfId="0" applyFont="1" applyFill="1" applyAlignment="1" applyProtection="1">
      <alignment vertical="center"/>
      <protection hidden="1"/>
    </xf>
    <xf numFmtId="0" fontId="64" fillId="0" borderId="0" xfId="0" applyFont="1" applyFill="1" applyAlignment="1" applyProtection="1">
      <alignment horizontal="left" vertical="center"/>
      <protection hidden="1"/>
    </xf>
    <xf numFmtId="0" fontId="64" fillId="0" borderId="0" xfId="0" applyFont="1" applyFill="1" applyAlignment="1" applyProtection="1">
      <alignment vertical="center" wrapText="1"/>
      <protection hidden="1"/>
    </xf>
    <xf numFmtId="0" fontId="34" fillId="0" borderId="0" xfId="0" applyFont="1" applyFill="1" applyAlignment="1">
      <alignment vertical="center"/>
    </xf>
    <xf numFmtId="0" fontId="64" fillId="0" borderId="0" xfId="0" applyFont="1" applyFill="1" applyAlignment="1" applyProtection="1">
      <alignment vertical="center"/>
      <protection hidden="1"/>
    </xf>
    <xf numFmtId="0" fontId="65" fillId="0" borderId="0" xfId="0" applyFont="1" applyFill="1" applyAlignment="1" applyProtection="1">
      <alignment wrapText="1"/>
      <protection hidden="1"/>
    </xf>
    <xf numFmtId="0" fontId="67" fillId="0" borderId="0" xfId="0" applyFont="1" applyFill="1" applyAlignment="1" applyProtection="1">
      <protection hidden="1"/>
    </xf>
    <xf numFmtId="0" fontId="64" fillId="0" borderId="0" xfId="0" applyFont="1" applyFill="1" applyAlignment="1" applyProtection="1">
      <alignment horizontal="left" vertical="center" wrapText="1"/>
      <protection hidden="1"/>
    </xf>
    <xf numFmtId="0" fontId="67" fillId="0" borderId="0" xfId="0" applyFont="1" applyFill="1" applyProtection="1">
      <protection hidden="1"/>
    </xf>
    <xf numFmtId="0" fontId="69" fillId="0" borderId="0" xfId="0" applyFont="1" applyFill="1" applyProtection="1">
      <protection hidden="1"/>
    </xf>
    <xf numFmtId="0" fontId="16" fillId="0" borderId="0" xfId="0" applyFont="1" applyFill="1" applyAlignment="1" applyProtection="1">
      <alignment horizontal="left"/>
      <protection hidden="1"/>
    </xf>
    <xf numFmtId="0" fontId="68" fillId="0" borderId="0" xfId="0" applyFont="1" applyFill="1" applyAlignment="1" applyProtection="1">
      <protection hidden="1"/>
    </xf>
    <xf numFmtId="0" fontId="68" fillId="0" borderId="0" xfId="0" applyFont="1" applyFill="1" applyAlignment="1" applyProtection="1">
      <alignment wrapText="1"/>
      <protection hidden="1"/>
    </xf>
    <xf numFmtId="0" fontId="68" fillId="0" borderId="0" xfId="0" applyFont="1" applyFill="1" applyAlignment="1" applyProtection="1">
      <alignment vertical="center" wrapText="1"/>
      <protection hidden="1"/>
    </xf>
    <xf numFmtId="0" fontId="68" fillId="0" borderId="0" xfId="0" applyFont="1" applyFill="1" applyProtection="1">
      <protection hidden="1"/>
    </xf>
    <xf numFmtId="0" fontId="68" fillId="0" borderId="0" xfId="0" applyNumberFormat="1" applyFont="1" applyFill="1" applyAlignment="1" applyProtection="1">
      <alignment wrapText="1"/>
      <protection hidden="1"/>
    </xf>
    <xf numFmtId="0" fontId="68" fillId="0" borderId="0" xfId="0" applyFont="1" applyFill="1" applyAlignment="1" applyProtection="1">
      <alignment horizontal="left" vertical="center"/>
      <protection hidden="1"/>
    </xf>
    <xf numFmtId="0" fontId="68" fillId="0" borderId="0" xfId="0" applyFont="1" applyFill="1" applyAlignment="1" applyProtection="1">
      <alignment vertical="center"/>
      <protection hidden="1"/>
    </xf>
    <xf numFmtId="0" fontId="64" fillId="0" borderId="0" xfId="0" applyFont="1" applyFill="1" applyProtection="1">
      <protection hidden="1"/>
    </xf>
    <xf numFmtId="0" fontId="16" fillId="0" borderId="0" xfId="0" applyFont="1" applyFill="1" applyBorder="1" applyAlignment="1" applyProtection="1">
      <alignment horizontal="center"/>
      <protection hidden="1"/>
    </xf>
    <xf numFmtId="0" fontId="68" fillId="0" borderId="0" xfId="0" applyFont="1" applyFill="1" applyBorder="1" applyProtection="1">
      <protection hidden="1"/>
    </xf>
    <xf numFmtId="0" fontId="0" fillId="0" borderId="0" xfId="0" applyFill="1" applyAlignment="1" applyProtection="1">
      <alignment horizontal="left" vertical="top" wrapText="1"/>
      <protection hidden="1"/>
    </xf>
    <xf numFmtId="0" fontId="16" fillId="0" borderId="10" xfId="0" applyFont="1" applyFill="1" applyBorder="1" applyAlignment="1" applyProtection="1">
      <alignment horizontal="center" vertical="center"/>
      <protection hidden="1"/>
    </xf>
    <xf numFmtId="166" fontId="68" fillId="0" borderId="10" xfId="181" applyNumberFormat="1" applyFont="1" applyFill="1" applyBorder="1" applyAlignment="1" applyProtection="1">
      <alignment horizontal="center" vertical="center"/>
      <protection hidden="1"/>
    </xf>
    <xf numFmtId="0" fontId="68" fillId="0" borderId="0" xfId="0" applyFont="1" applyFill="1" applyAlignment="1" applyProtection="1">
      <alignment horizontal="center" vertical="center"/>
      <protection hidden="1"/>
    </xf>
    <xf numFmtId="3" fontId="68" fillId="0" borderId="10" xfId="109" applyNumberFormat="1" applyFont="1" applyFill="1" applyBorder="1" applyAlignment="1" applyProtection="1">
      <alignment horizontal="center" vertical="center"/>
      <protection hidden="1"/>
    </xf>
    <xf numFmtId="3" fontId="68" fillId="0" borderId="10" xfId="181" applyNumberFormat="1" applyFont="1" applyFill="1" applyBorder="1" applyAlignment="1" applyProtection="1">
      <alignment horizontal="center" vertical="center"/>
      <protection hidden="1"/>
    </xf>
    <xf numFmtId="0" fontId="16" fillId="0" borderId="0" xfId="0" applyFont="1" applyFill="1" applyBorder="1" applyAlignment="1" applyProtection="1">
      <alignment horizontal="left" vertical="center"/>
      <protection hidden="1"/>
    </xf>
    <xf numFmtId="0" fontId="68" fillId="0" borderId="0" xfId="0" applyFont="1" applyFill="1" applyBorder="1" applyAlignment="1" applyProtection="1">
      <alignment vertical="center" wrapText="1"/>
      <protection hidden="1"/>
    </xf>
    <xf numFmtId="3" fontId="64" fillId="0" borderId="11" xfId="0" applyNumberFormat="1" applyFont="1" applyFill="1" applyBorder="1" applyAlignment="1" applyProtection="1">
      <alignment horizontal="center" vertical="center" wrapText="1"/>
      <protection hidden="1"/>
    </xf>
    <xf numFmtId="0" fontId="64" fillId="0" borderId="11" xfId="0" applyFont="1" applyFill="1" applyBorder="1" applyAlignment="1" applyProtection="1">
      <alignment horizontal="center" vertical="center" wrapText="1"/>
      <protection hidden="1"/>
    </xf>
    <xf numFmtId="0" fontId="71" fillId="0" borderId="0" xfId="0" applyFont="1" applyFill="1" applyProtection="1">
      <protection hidden="1"/>
    </xf>
    <xf numFmtId="0" fontId="73" fillId="0" borderId="0" xfId="0" applyFont="1" applyFill="1" applyProtection="1">
      <protection hidden="1"/>
    </xf>
    <xf numFmtId="0" fontId="16" fillId="0" borderId="10" xfId="0" applyFont="1" applyFill="1" applyBorder="1" applyAlignment="1" applyProtection="1">
      <alignment horizontal="center" vertical="center" wrapText="1"/>
      <protection hidden="1"/>
    </xf>
    <xf numFmtId="1" fontId="68" fillId="0" borderId="10" xfId="109" applyNumberFormat="1" applyFont="1" applyFill="1" applyBorder="1" applyAlignment="1" applyProtection="1">
      <alignment horizontal="center" vertical="center"/>
      <protection hidden="1"/>
    </xf>
    <xf numFmtId="3" fontId="68" fillId="0" borderId="11" xfId="109" applyNumberFormat="1" applyFont="1" applyFill="1" applyBorder="1" applyAlignment="1" applyProtection="1">
      <alignment horizontal="center" vertical="center"/>
      <protection hidden="1"/>
    </xf>
    <xf numFmtId="0" fontId="16" fillId="0" borderId="12" xfId="0" applyFont="1" applyFill="1" applyBorder="1" applyAlignment="1" applyProtection="1">
      <alignment horizontal="center" vertical="center"/>
      <protection hidden="1"/>
    </xf>
    <xf numFmtId="1" fontId="68" fillId="0" borderId="0" xfId="109" applyNumberFormat="1" applyFont="1" applyFill="1" applyBorder="1" applyAlignment="1" applyProtection="1">
      <alignment horizontal="center" vertical="center"/>
      <protection hidden="1"/>
    </xf>
    <xf numFmtId="0" fontId="68" fillId="0" borderId="0" xfId="0" applyFont="1" applyFill="1" applyBorder="1" applyAlignment="1" applyProtection="1">
      <alignment vertical="center"/>
      <protection hidden="1"/>
    </xf>
    <xf numFmtId="0" fontId="74" fillId="0" borderId="0" xfId="0" applyFont="1" applyFill="1" applyAlignment="1" applyProtection="1">
      <alignment vertical="center" wrapText="1"/>
      <protection hidden="1"/>
    </xf>
    <xf numFmtId="0" fontId="74" fillId="0" borderId="0" xfId="0" applyFont="1" applyFill="1" applyAlignment="1" applyProtection="1">
      <alignment wrapText="1"/>
      <protection hidden="1"/>
    </xf>
    <xf numFmtId="0" fontId="64" fillId="0" borderId="0" xfId="0" applyFont="1" applyFill="1" applyAlignment="1" applyProtection="1">
      <protection hidden="1"/>
    </xf>
    <xf numFmtId="0" fontId="64" fillId="0" borderId="0" xfId="0" applyFont="1" applyFill="1" applyAlignment="1" applyProtection="1">
      <alignment wrapText="1"/>
      <protection hidden="1"/>
    </xf>
    <xf numFmtId="0" fontId="68" fillId="0" borderId="0" xfId="0" applyFont="1" applyFill="1" applyBorder="1" applyAlignment="1" applyProtection="1">
      <protection hidden="1"/>
    </xf>
    <xf numFmtId="0" fontId="16" fillId="0" borderId="0" xfId="0" applyFont="1" applyFill="1" applyBorder="1" applyAlignment="1" applyProtection="1">
      <alignment horizontal="left"/>
      <protection hidden="1"/>
    </xf>
    <xf numFmtId="1" fontId="68" fillId="0" borderId="0" xfId="109" applyNumberFormat="1" applyFont="1" applyFill="1" applyBorder="1" applyAlignment="1" applyProtection="1">
      <alignment horizontal="center"/>
      <protection hidden="1"/>
    </xf>
    <xf numFmtId="0" fontId="75" fillId="0" borderId="0" xfId="0" applyFont="1" applyFill="1" applyProtection="1">
      <protection hidden="1"/>
    </xf>
    <xf numFmtId="0" fontId="68" fillId="0" borderId="10" xfId="0" applyFont="1" applyFill="1" applyBorder="1" applyAlignment="1" applyProtection="1">
      <alignment horizontal="center" vertical="center" wrapText="1"/>
      <protection hidden="1"/>
    </xf>
    <xf numFmtId="3" fontId="68" fillId="0" borderId="10" xfId="0" applyNumberFormat="1" applyFont="1" applyFill="1" applyBorder="1" applyAlignment="1" applyProtection="1">
      <alignment horizontal="center" vertical="center" wrapText="1"/>
      <protection hidden="1"/>
    </xf>
    <xf numFmtId="165" fontId="68" fillId="0" borderId="10" xfId="0" applyNumberFormat="1" applyFont="1" applyFill="1" applyBorder="1" applyAlignment="1" applyProtection="1">
      <alignment horizontal="center" vertical="center" wrapText="1"/>
      <protection hidden="1"/>
    </xf>
    <xf numFmtId="165" fontId="68" fillId="0" borderId="0" xfId="0" applyNumberFormat="1" applyFont="1" applyFill="1" applyBorder="1" applyAlignment="1" applyProtection="1">
      <alignment horizontal="center" vertical="center" wrapText="1"/>
      <protection hidden="1"/>
    </xf>
    <xf numFmtId="0" fontId="70" fillId="0" borderId="0" xfId="0" applyFont="1" applyFill="1" applyAlignment="1" applyProtection="1">
      <alignment horizontal="left"/>
      <protection hidden="1"/>
    </xf>
    <xf numFmtId="0" fontId="68" fillId="0" borderId="0" xfId="0" applyFont="1" applyFill="1" applyBorder="1" applyAlignment="1" applyProtection="1">
      <alignment vertical="top" wrapText="1"/>
      <protection hidden="1"/>
    </xf>
    <xf numFmtId="0" fontId="63" fillId="0" borderId="0" xfId="0" applyFont="1" applyFill="1" applyAlignment="1" applyProtection="1">
      <protection hidden="1"/>
    </xf>
    <xf numFmtId="164" fontId="68" fillId="0" borderId="10" xfId="0" applyNumberFormat="1" applyFont="1" applyFill="1" applyBorder="1" applyAlignment="1" applyProtection="1">
      <alignment horizontal="center" vertical="center" wrapText="1"/>
      <protection hidden="1"/>
    </xf>
    <xf numFmtId="0" fontId="68" fillId="24" borderId="0" xfId="0" applyFont="1" applyFill="1" applyProtection="1">
      <protection hidden="1"/>
    </xf>
    <xf numFmtId="0" fontId="68" fillId="24" borderId="0" xfId="0" applyFont="1" applyFill="1" applyAlignment="1" applyProtection="1">
      <alignment wrapText="1"/>
      <protection hidden="1"/>
    </xf>
    <xf numFmtId="0" fontId="8" fillId="0" borderId="0" xfId="0" applyFont="1" applyFill="1" applyBorder="1" applyAlignment="1" applyProtection="1">
      <alignment horizontal="left" wrapText="1"/>
      <protection hidden="1"/>
    </xf>
    <xf numFmtId="0" fontId="68" fillId="0" borderId="0" xfId="0" applyFont="1" applyFill="1" applyAlignment="1" applyProtection="1">
      <alignment horizontal="left"/>
      <protection hidden="1"/>
    </xf>
    <xf numFmtId="0" fontId="57" fillId="0" borderId="0" xfId="0" applyFont="1"/>
    <xf numFmtId="0" fontId="57" fillId="0" borderId="0" xfId="0" applyFont="1" applyAlignment="1">
      <alignment wrapText="1"/>
    </xf>
    <xf numFmtId="0" fontId="57" fillId="0" borderId="0" xfId="0" applyFont="1" applyAlignment="1">
      <alignment horizontal="left" wrapText="1"/>
    </xf>
    <xf numFmtId="0" fontId="0" fillId="0" borderId="0" xfId="0" applyAlignment="1">
      <alignment horizontal="left"/>
    </xf>
    <xf numFmtId="0" fontId="0" fillId="0" borderId="0" xfId="0" applyAlignment="1">
      <alignment horizontal="right"/>
    </xf>
    <xf numFmtId="0" fontId="15" fillId="0" borderId="0" xfId="0" applyFont="1" applyAlignment="1">
      <alignment wrapText="1"/>
    </xf>
    <xf numFmtId="0" fontId="15" fillId="0" borderId="0" xfId="0" applyFont="1" applyFill="1" applyBorder="1" applyAlignment="1">
      <alignment horizontal="left" vertical="center" wrapText="1"/>
    </xf>
    <xf numFmtId="0" fontId="15" fillId="0" borderId="0" xfId="0" applyFont="1" applyFill="1" applyBorder="1" applyAlignment="1">
      <alignment vertical="center" wrapText="1"/>
    </xf>
    <xf numFmtId="0" fontId="61" fillId="57" borderId="29" xfId="0" applyFont="1" applyFill="1" applyBorder="1" applyAlignment="1" applyProtection="1">
      <alignment horizontal="center" vertical="top" wrapText="1"/>
      <protection hidden="1"/>
    </xf>
    <xf numFmtId="3" fontId="61" fillId="57" borderId="30" xfId="0" applyNumberFormat="1" applyFont="1" applyFill="1" applyBorder="1" applyAlignment="1" applyProtection="1">
      <alignment horizontal="center" vertical="center" wrapText="1"/>
      <protection hidden="1"/>
    </xf>
    <xf numFmtId="164" fontId="61" fillId="57" borderId="30" xfId="0" applyNumberFormat="1" applyFont="1" applyFill="1" applyBorder="1" applyAlignment="1" applyProtection="1">
      <alignment horizontal="center" vertical="center" wrapText="1"/>
      <protection hidden="1"/>
    </xf>
    <xf numFmtId="3" fontId="61" fillId="57" borderId="31" xfId="0" applyNumberFormat="1" applyFont="1" applyFill="1" applyBorder="1" applyAlignment="1" applyProtection="1">
      <alignment horizontal="center" vertical="center" wrapText="1"/>
      <protection hidden="1"/>
    </xf>
    <xf numFmtId="0" fontId="78" fillId="0" borderId="0" xfId="0" applyFont="1" applyFill="1" applyProtection="1">
      <protection hidden="1"/>
    </xf>
    <xf numFmtId="0" fontId="79" fillId="0" borderId="0" xfId="0" applyFont="1" applyFill="1" applyProtection="1">
      <protection hidden="1"/>
    </xf>
    <xf numFmtId="0" fontId="80" fillId="0" borderId="0" xfId="0" applyFont="1" applyFill="1" applyProtection="1">
      <protection hidden="1"/>
    </xf>
    <xf numFmtId="0" fontId="78" fillId="0" borderId="0" xfId="0" applyFont="1" applyFill="1" applyBorder="1" applyProtection="1">
      <protection hidden="1"/>
    </xf>
    <xf numFmtId="166" fontId="78" fillId="0" borderId="0" xfId="0" applyNumberFormat="1" applyFont="1" applyFill="1" applyBorder="1" applyProtection="1">
      <protection hidden="1"/>
    </xf>
    <xf numFmtId="166" fontId="78" fillId="0" borderId="0" xfId="0" applyNumberFormat="1" applyFont="1" applyFill="1" applyProtection="1">
      <protection hidden="1"/>
    </xf>
    <xf numFmtId="166" fontId="78" fillId="0" borderId="0" xfId="181" applyNumberFormat="1" applyFont="1" applyFill="1" applyBorder="1" applyAlignment="1" applyProtection="1">
      <alignment horizontal="center" vertical="center"/>
      <protection hidden="1"/>
    </xf>
    <xf numFmtId="1" fontId="78" fillId="0" borderId="0" xfId="109" applyNumberFormat="1" applyFont="1" applyFill="1" applyBorder="1" applyAlignment="1" applyProtection="1">
      <alignment horizontal="center" vertical="center"/>
      <protection hidden="1"/>
    </xf>
    <xf numFmtId="0" fontId="78" fillId="0" borderId="0" xfId="0" applyFont="1" applyFill="1" applyBorder="1" applyAlignment="1" applyProtection="1">
      <alignment horizontal="center" vertical="center"/>
      <protection hidden="1"/>
    </xf>
    <xf numFmtId="3" fontId="78" fillId="0" borderId="0" xfId="181" applyNumberFormat="1" applyFont="1" applyFill="1" applyBorder="1" applyAlignment="1" applyProtection="1">
      <alignment horizontal="center" vertical="center"/>
      <protection hidden="1"/>
    </xf>
    <xf numFmtId="0" fontId="80" fillId="0" borderId="0" xfId="0" applyFont="1" applyFill="1" applyAlignment="1" applyProtection="1">
      <protection hidden="1"/>
    </xf>
    <xf numFmtId="49" fontId="80" fillId="0" borderId="0" xfId="0" applyNumberFormat="1" applyFont="1" applyFill="1" applyAlignment="1" applyProtection="1">
      <protection hidden="1"/>
    </xf>
    <xf numFmtId="0" fontId="81" fillId="0" borderId="0" xfId="0" applyFont="1" applyFill="1" applyAlignment="1" applyProtection="1">
      <alignment wrapText="1"/>
      <protection hidden="1"/>
    </xf>
    <xf numFmtId="0" fontId="80" fillId="0" borderId="0" xfId="0" applyFont="1" applyFill="1" applyAlignment="1" applyProtection="1">
      <alignment vertical="center"/>
      <protection hidden="1"/>
    </xf>
    <xf numFmtId="0" fontId="81" fillId="0" borderId="0" xfId="0" applyFont="1" applyFill="1" applyAlignment="1" applyProtection="1">
      <alignment vertical="center" wrapText="1"/>
      <protection hidden="1"/>
    </xf>
    <xf numFmtId="0" fontId="80" fillId="0" borderId="0" xfId="0" applyFont="1" applyFill="1" applyBorder="1" applyProtection="1">
      <protection hidden="1"/>
    </xf>
    <xf numFmtId="0" fontId="59" fillId="0" borderId="0" xfId="0" applyFont="1" applyFill="1" applyBorder="1" applyAlignment="1" applyProtection="1">
      <alignment horizontal="center" vertical="center"/>
      <protection hidden="1"/>
    </xf>
    <xf numFmtId="3" fontId="59" fillId="0" borderId="0" xfId="0" applyNumberFormat="1" applyFont="1" applyFill="1" applyBorder="1" applyAlignment="1" applyProtection="1">
      <alignment horizontal="center" vertical="center" wrapText="1"/>
      <protection hidden="1"/>
    </xf>
    <xf numFmtId="3" fontId="78" fillId="0" borderId="0" xfId="109" applyNumberFormat="1" applyFont="1" applyFill="1" applyBorder="1" applyAlignment="1" applyProtection="1">
      <alignment horizontal="center" vertical="center"/>
      <protection hidden="1"/>
    </xf>
    <xf numFmtId="166" fontId="78" fillId="0" borderId="0" xfId="109" applyNumberFormat="1" applyFont="1" applyFill="1" applyBorder="1" applyAlignment="1" applyProtection="1">
      <alignment horizontal="center" vertical="center"/>
      <protection hidden="1"/>
    </xf>
    <xf numFmtId="0" fontId="65" fillId="0" borderId="0" xfId="0" applyFont="1" applyFill="1" applyAlignment="1" applyProtection="1">
      <alignment horizontal="left" wrapText="1"/>
      <protection hidden="1"/>
    </xf>
    <xf numFmtId="0" fontId="64" fillId="0" borderId="0" xfId="0" applyFont="1" applyFill="1" applyAlignment="1" applyProtection="1">
      <alignment horizontal="left" wrapText="1"/>
      <protection hidden="1"/>
    </xf>
    <xf numFmtId="0" fontId="59" fillId="0" borderId="0" xfId="0" applyFont="1" applyFill="1" applyBorder="1" applyAlignment="1" applyProtection="1">
      <alignment horizontal="center" vertical="center"/>
      <protection hidden="1"/>
    </xf>
    <xf numFmtId="0" fontId="59" fillId="0" borderId="0" xfId="0" applyFont="1" applyFill="1" applyBorder="1" applyAlignment="1" applyProtection="1">
      <alignment horizontal="center" vertical="center" wrapText="1"/>
      <protection hidden="1"/>
    </xf>
    <xf numFmtId="0" fontId="82" fillId="59" borderId="0" xfId="0" applyFont="1" applyFill="1"/>
    <xf numFmtId="0" fontId="60" fillId="59" borderId="0" xfId="0" applyFont="1" applyFill="1"/>
    <xf numFmtId="0" fontId="15" fillId="0" borderId="0" xfId="0" applyFont="1" applyFill="1" applyBorder="1" applyProtection="1">
      <protection hidden="1"/>
    </xf>
    <xf numFmtId="0" fontId="15" fillId="0" borderId="14" xfId="0" applyFont="1" applyFill="1" applyBorder="1" applyProtection="1">
      <protection hidden="1"/>
    </xf>
    <xf numFmtId="0" fontId="15" fillId="0" borderId="0" xfId="0" applyFont="1" applyFill="1"/>
    <xf numFmtId="0" fontId="8" fillId="0" borderId="0" xfId="0" applyFont="1" applyFill="1"/>
    <xf numFmtId="0" fontId="15" fillId="60" borderId="10" xfId="0" applyFont="1" applyFill="1" applyBorder="1" applyAlignment="1" applyProtection="1">
      <alignment horizontal="center" vertical="center" wrapText="1"/>
      <protection hidden="1"/>
    </xf>
    <xf numFmtId="0" fontId="15" fillId="60" borderId="11" xfId="0" applyFont="1" applyFill="1" applyBorder="1" applyAlignment="1" applyProtection="1">
      <alignment horizontal="center" vertical="center" wrapText="1"/>
      <protection hidden="1"/>
    </xf>
    <xf numFmtId="0" fontId="15" fillId="0" borderId="32" xfId="0" applyFont="1" applyFill="1" applyBorder="1" applyProtection="1">
      <protection hidden="1"/>
    </xf>
    <xf numFmtId="0" fontId="15" fillId="0" borderId="35" xfId="0" applyFont="1" applyFill="1" applyBorder="1" applyProtection="1">
      <protection hidden="1"/>
    </xf>
    <xf numFmtId="0" fontId="15" fillId="0" borderId="36" xfId="0" applyFont="1" applyFill="1" applyBorder="1" applyProtection="1">
      <protection hidden="1"/>
    </xf>
    <xf numFmtId="3" fontId="15" fillId="60" borderId="10" xfId="0" applyNumberFormat="1" applyFont="1" applyFill="1" applyBorder="1" applyAlignment="1" applyProtection="1">
      <alignment horizontal="center" vertical="center" wrapText="1"/>
      <protection hidden="1"/>
    </xf>
    <xf numFmtId="3" fontId="15" fillId="0" borderId="0" xfId="0" applyNumberFormat="1" applyFont="1" applyFill="1" applyBorder="1" applyAlignment="1" applyProtection="1">
      <alignment horizontal="center" vertical="center" wrapText="1"/>
      <protection hidden="1"/>
    </xf>
    <xf numFmtId="0" fontId="15" fillId="0" borderId="10" xfId="0" applyFont="1" applyFill="1" applyBorder="1" applyAlignment="1" applyProtection="1">
      <alignment horizontal="center" vertical="center"/>
      <protection hidden="1"/>
    </xf>
    <xf numFmtId="3" fontId="8" fillId="0" borderId="0" xfId="109" applyNumberFormat="1" applyFont="1" applyFill="1" applyBorder="1" applyAlignment="1" applyProtection="1">
      <alignment horizontal="center" vertical="center"/>
      <protection hidden="1"/>
    </xf>
    <xf numFmtId="166" fontId="8" fillId="0" borderId="0" xfId="109" applyNumberFormat="1" applyFont="1" applyFill="1" applyBorder="1" applyAlignment="1" applyProtection="1">
      <alignment horizontal="center" vertical="center"/>
      <protection hidden="1"/>
    </xf>
    <xf numFmtId="0" fontId="8" fillId="0" borderId="0" xfId="0" applyFont="1" applyFill="1" applyBorder="1" applyProtection="1">
      <protection hidden="1"/>
    </xf>
    <xf numFmtId="0" fontId="85" fillId="0" borderId="0" xfId="0" applyFont="1" applyAlignment="1">
      <alignment horizontal="center"/>
    </xf>
    <xf numFmtId="0" fontId="84" fillId="0" borderId="0" xfId="0" applyFont="1" applyFill="1"/>
    <xf numFmtId="0" fontId="15" fillId="60" borderId="13" xfId="0" applyFont="1" applyFill="1" applyBorder="1" applyAlignment="1" applyProtection="1">
      <alignment horizontal="center" vertical="center" wrapText="1"/>
      <protection hidden="1"/>
    </xf>
    <xf numFmtId="0" fontId="83" fillId="0" borderId="0" xfId="0" applyFont="1" applyFill="1" applyAlignment="1" applyProtection="1">
      <alignment vertical="center"/>
      <protection hidden="1"/>
    </xf>
    <xf numFmtId="0" fontId="72" fillId="0" borderId="0" xfId="0" applyFont="1" applyFill="1" applyAlignment="1" applyProtection="1">
      <alignment vertical="center"/>
      <protection hidden="1"/>
    </xf>
    <xf numFmtId="0" fontId="68" fillId="0" borderId="0" xfId="0" applyNumberFormat="1" applyFont="1" applyFill="1" applyBorder="1" applyAlignment="1" applyProtection="1">
      <alignment vertical="center"/>
      <protection hidden="1"/>
    </xf>
    <xf numFmtId="0" fontId="68" fillId="0" borderId="0" xfId="0" applyNumberFormat="1" applyFont="1" applyFill="1" applyAlignment="1" applyProtection="1">
      <alignment vertical="center"/>
      <protection hidden="1"/>
    </xf>
    <xf numFmtId="3" fontId="64" fillId="0" borderId="0" xfId="0" applyNumberFormat="1" applyFont="1" applyFill="1" applyBorder="1" applyAlignment="1" applyProtection="1">
      <alignment horizontal="center" vertical="center" wrapText="1"/>
      <protection hidden="1"/>
    </xf>
    <xf numFmtId="0" fontId="64" fillId="0" borderId="0" xfId="0" applyFont="1" applyFill="1" applyBorder="1" applyAlignment="1" applyProtection="1">
      <alignment horizontal="center" vertical="center" wrapText="1"/>
      <protection hidden="1"/>
    </xf>
    <xf numFmtId="0" fontId="60" fillId="0" borderId="0" xfId="0" applyFont="1" applyFill="1" applyBorder="1" applyProtection="1">
      <protection hidden="1"/>
    </xf>
    <xf numFmtId="0" fontId="16" fillId="0" borderId="0" xfId="0" applyFont="1" applyFill="1" applyBorder="1" applyAlignment="1" applyProtection="1">
      <alignment vertical="center" wrapText="1"/>
      <protection hidden="1"/>
    </xf>
    <xf numFmtId="0" fontId="86" fillId="0" borderId="0" xfId="0" applyNumberFormat="1" applyFont="1" applyFill="1" applyAlignment="1" applyProtection="1">
      <alignment vertical="top"/>
      <protection hidden="1"/>
    </xf>
    <xf numFmtId="0" fontId="86" fillId="0" borderId="0" xfId="0" applyFont="1" applyFill="1" applyAlignment="1" applyProtection="1">
      <alignment vertical="top"/>
      <protection hidden="1"/>
    </xf>
    <xf numFmtId="0" fontId="16" fillId="0" borderId="12" xfId="0" applyFont="1" applyFill="1" applyBorder="1" applyAlignment="1" applyProtection="1">
      <alignment vertical="center" wrapText="1"/>
      <protection hidden="1"/>
    </xf>
    <xf numFmtId="0" fontId="16" fillId="0" borderId="10" xfId="0" applyFont="1" applyFill="1" applyBorder="1" applyAlignment="1" applyProtection="1">
      <alignment horizontal="left" vertical="center"/>
      <protection hidden="1"/>
    </xf>
    <xf numFmtId="166" fontId="68" fillId="0" borderId="10" xfId="109" applyNumberFormat="1" applyFont="1" applyFill="1" applyBorder="1" applyAlignment="1" applyProtection="1">
      <alignment horizontal="center" vertical="center"/>
      <protection hidden="1"/>
    </xf>
    <xf numFmtId="0" fontId="68" fillId="0" borderId="0" xfId="0" applyFont="1" applyFill="1"/>
    <xf numFmtId="0" fontId="68" fillId="0" borderId="0" xfId="0" applyFont="1" applyFill="1" applyAlignment="1">
      <alignment horizontal="center"/>
    </xf>
    <xf numFmtId="0" fontId="68" fillId="0" borderId="0" xfId="0" applyFont="1"/>
    <xf numFmtId="0" fontId="16" fillId="0" borderId="0" xfId="0" applyFont="1"/>
    <xf numFmtId="0" fontId="68" fillId="61" borderId="0" xfId="0" applyFont="1" applyFill="1"/>
    <xf numFmtId="0" fontId="68" fillId="0" borderId="0" xfId="0" applyFont="1" applyFill="1" applyBorder="1" applyAlignment="1"/>
    <xf numFmtId="0" fontId="68" fillId="0" borderId="0" xfId="0" applyFont="1" applyBorder="1" applyAlignment="1">
      <alignment horizontal="center" vertical="center"/>
    </xf>
    <xf numFmtId="0" fontId="68" fillId="0" borderId="0" xfId="0" applyFont="1" applyBorder="1"/>
    <xf numFmtId="0" fontId="68" fillId="0" borderId="0" xfId="0" applyFont="1" applyAlignment="1">
      <alignment horizontal="center" vertical="center" wrapText="1"/>
    </xf>
    <xf numFmtId="0" fontId="68" fillId="0" borderId="10" xfId="0" applyFont="1" applyBorder="1" applyAlignment="1">
      <alignment horizontal="center" vertical="center" wrapText="1"/>
    </xf>
    <xf numFmtId="0" fontId="68" fillId="0" borderId="0" xfId="0" applyFont="1" applyBorder="1" applyAlignment="1">
      <alignment horizontal="center" vertical="center" wrapText="1"/>
    </xf>
    <xf numFmtId="166" fontId="68" fillId="0" borderId="0" xfId="181" applyNumberFormat="1" applyFont="1" applyBorder="1" applyAlignment="1">
      <alignment horizontal="center" vertical="center"/>
    </xf>
    <xf numFmtId="0" fontId="61" fillId="59" borderId="0" xfId="0" applyFont="1" applyFill="1"/>
    <xf numFmtId="0" fontId="61" fillId="59" borderId="0" xfId="0" applyFont="1" applyFill="1" applyAlignment="1">
      <alignment horizontal="center"/>
    </xf>
    <xf numFmtId="0" fontId="16" fillId="60" borderId="10" xfId="0" applyFont="1" applyFill="1" applyBorder="1" applyAlignment="1">
      <alignment horizontal="center" vertical="center" wrapText="1"/>
    </xf>
    <xf numFmtId="3" fontId="16" fillId="60" borderId="10" xfId="0" applyNumberFormat="1" applyFont="1" applyFill="1" applyBorder="1" applyAlignment="1">
      <alignment horizontal="center" vertical="center" wrapText="1"/>
    </xf>
    <xf numFmtId="164" fontId="16" fillId="60" borderId="10" xfId="0" applyNumberFormat="1" applyFont="1" applyFill="1" applyBorder="1" applyAlignment="1">
      <alignment horizontal="center" vertical="center" wrapText="1"/>
    </xf>
    <xf numFmtId="0" fontId="68" fillId="61" borderId="10" xfId="0" applyFont="1" applyFill="1" applyBorder="1" applyAlignment="1">
      <alignment horizontal="center"/>
    </xf>
    <xf numFmtId="0" fontId="68" fillId="61" borderId="10" xfId="0" applyFont="1" applyFill="1" applyBorder="1" applyAlignment="1">
      <alignment horizontal="left"/>
    </xf>
    <xf numFmtId="3" fontId="68" fillId="61" borderId="10" xfId="0" applyNumberFormat="1" applyFont="1" applyFill="1" applyBorder="1" applyAlignment="1">
      <alignment horizontal="center" vertical="center"/>
    </xf>
    <xf numFmtId="165" fontId="68" fillId="61" borderId="10" xfId="0" applyNumberFormat="1" applyFont="1" applyFill="1" applyBorder="1" applyAlignment="1">
      <alignment horizontal="center" vertical="center"/>
    </xf>
    <xf numFmtId="0" fontId="68" fillId="61" borderId="10" xfId="0" applyFont="1" applyFill="1" applyBorder="1" applyAlignment="1">
      <alignment horizontal="center" vertical="center" wrapText="1"/>
    </xf>
    <xf numFmtId="0" fontId="8" fillId="61" borderId="0" xfId="0" applyFont="1" applyFill="1"/>
    <xf numFmtId="0" fontId="8" fillId="61" borderId="0" xfId="0" applyFont="1" applyFill="1" applyAlignment="1">
      <alignment horizontal="left"/>
    </xf>
    <xf numFmtId="166" fontId="8" fillId="61" borderId="11" xfId="0" applyNumberFormat="1" applyFont="1" applyFill="1" applyBorder="1" applyAlignment="1" applyProtection="1">
      <alignment horizontal="right"/>
      <protection hidden="1"/>
    </xf>
    <xf numFmtId="166" fontId="8" fillId="61" borderId="0" xfId="0" applyNumberFormat="1" applyFont="1" applyFill="1" applyAlignment="1" applyProtection="1">
      <alignment horizontal="right"/>
      <protection hidden="1"/>
    </xf>
    <xf numFmtId="0" fontId="8" fillId="61" borderId="11" xfId="0" applyFont="1" applyFill="1" applyBorder="1" applyAlignment="1" applyProtection="1">
      <alignment horizontal="right"/>
      <protection hidden="1"/>
    </xf>
    <xf numFmtId="0" fontId="8" fillId="61" borderId="11" xfId="0" applyFont="1" applyFill="1" applyBorder="1" applyAlignment="1">
      <alignment horizontal="right"/>
    </xf>
    <xf numFmtId="0" fontId="8" fillId="61" borderId="33" xfId="0" applyFont="1" applyFill="1" applyBorder="1" applyAlignment="1">
      <alignment horizontal="right"/>
    </xf>
    <xf numFmtId="166" fontId="8" fillId="61" borderId="15" xfId="0" applyNumberFormat="1" applyFont="1" applyFill="1" applyBorder="1" applyAlignment="1" applyProtection="1">
      <alignment horizontal="right"/>
      <protection hidden="1"/>
    </xf>
    <xf numFmtId="0" fontId="8" fillId="61" borderId="15" xfId="0" applyFont="1" applyFill="1" applyBorder="1" applyAlignment="1" applyProtection="1">
      <alignment horizontal="right"/>
      <protection hidden="1"/>
    </xf>
    <xf numFmtId="0" fontId="8" fillId="61" borderId="15" xfId="0" applyFont="1" applyFill="1" applyBorder="1" applyAlignment="1">
      <alignment horizontal="right"/>
    </xf>
    <xf numFmtId="0" fontId="8" fillId="61" borderId="39" xfId="0" applyFont="1" applyFill="1" applyBorder="1" applyAlignment="1">
      <alignment horizontal="right"/>
    </xf>
    <xf numFmtId="166" fontId="8" fillId="61" borderId="14" xfId="0" applyNumberFormat="1" applyFont="1" applyFill="1" applyBorder="1" applyAlignment="1" applyProtection="1">
      <alignment horizontal="right"/>
      <protection hidden="1"/>
    </xf>
    <xf numFmtId="166" fontId="8" fillId="61" borderId="16" xfId="0" applyNumberFormat="1" applyFont="1" applyFill="1" applyBorder="1" applyAlignment="1" applyProtection="1">
      <alignment horizontal="right"/>
      <protection hidden="1"/>
    </xf>
    <xf numFmtId="0" fontId="8" fillId="61" borderId="16" xfId="0" applyFont="1" applyFill="1" applyBorder="1" applyAlignment="1" applyProtection="1">
      <alignment horizontal="right"/>
      <protection hidden="1"/>
    </xf>
    <xf numFmtId="0" fontId="8" fillId="61" borderId="16" xfId="0" applyFont="1" applyFill="1" applyBorder="1" applyAlignment="1">
      <alignment horizontal="right"/>
    </xf>
    <xf numFmtId="0" fontId="8" fillId="61" borderId="34" xfId="0" applyFont="1" applyFill="1" applyBorder="1" applyAlignment="1">
      <alignment horizontal="right"/>
    </xf>
    <xf numFmtId="3" fontId="8" fillId="61" borderId="10" xfId="109" applyNumberFormat="1" applyFont="1" applyFill="1" applyBorder="1" applyAlignment="1" applyProtection="1">
      <alignment horizontal="center" vertical="center"/>
      <protection hidden="1"/>
    </xf>
    <xf numFmtId="166" fontId="8" fillId="61" borderId="10" xfId="109" applyNumberFormat="1" applyFont="1" applyFill="1" applyBorder="1" applyAlignment="1" applyProtection="1">
      <alignment horizontal="center" vertical="center"/>
      <protection hidden="1"/>
    </xf>
    <xf numFmtId="0" fontId="61" fillId="57" borderId="41" xfId="0" applyFont="1" applyFill="1" applyBorder="1" applyAlignment="1" applyProtection="1">
      <alignment vertical="center"/>
      <protection hidden="1"/>
    </xf>
    <xf numFmtId="0" fontId="61" fillId="0" borderId="28" xfId="0" applyFont="1" applyFill="1" applyBorder="1" applyAlignment="1" applyProtection="1">
      <alignment vertical="center"/>
      <protection hidden="1"/>
    </xf>
    <xf numFmtId="0" fontId="61" fillId="58" borderId="42" xfId="0" applyFont="1" applyFill="1" applyBorder="1" applyAlignment="1" applyProtection="1">
      <alignment vertical="center" wrapText="1"/>
      <protection hidden="1"/>
    </xf>
    <xf numFmtId="0" fontId="0" fillId="0" borderId="10" xfId="0" applyBorder="1"/>
    <xf numFmtId="0" fontId="15" fillId="60" borderId="10" xfId="0" applyFont="1" applyFill="1" applyBorder="1"/>
    <xf numFmtId="0" fontId="15" fillId="60" borderId="10" xfId="0" applyFont="1" applyFill="1" applyBorder="1" applyAlignment="1">
      <alignment wrapText="1"/>
    </xf>
    <xf numFmtId="0" fontId="15" fillId="0" borderId="0" xfId="0" applyFont="1" applyFill="1" applyBorder="1"/>
    <xf numFmtId="0" fontId="0" fillId="0" borderId="0" xfId="0" applyFill="1" applyBorder="1"/>
    <xf numFmtId="0" fontId="9" fillId="0" borderId="0" xfId="0" applyFont="1" applyFill="1" applyBorder="1"/>
    <xf numFmtId="0" fontId="15" fillId="60" borderId="11" xfId="0" applyFont="1" applyFill="1" applyBorder="1"/>
    <xf numFmtId="0" fontId="15" fillId="60" borderId="16" xfId="0" applyFont="1" applyFill="1" applyBorder="1" applyAlignment="1">
      <alignment horizontal="right"/>
    </xf>
    <xf numFmtId="0" fontId="15" fillId="60" borderId="16" xfId="0" applyFont="1" applyFill="1" applyBorder="1"/>
    <xf numFmtId="0" fontId="61" fillId="57" borderId="43" xfId="0" applyFont="1" applyFill="1" applyBorder="1" applyAlignment="1" applyProtection="1">
      <alignment vertical="center"/>
      <protection hidden="1"/>
    </xf>
    <xf numFmtId="0" fontId="61" fillId="0" borderId="28" xfId="0" applyFont="1" applyFill="1" applyBorder="1" applyAlignment="1" applyProtection="1">
      <alignment vertical="center" wrapText="1"/>
      <protection hidden="1"/>
    </xf>
    <xf numFmtId="0" fontId="61" fillId="0" borderId="37" xfId="0" applyFont="1" applyFill="1" applyBorder="1" applyAlignment="1" applyProtection="1">
      <alignment vertical="center"/>
      <protection hidden="1"/>
    </xf>
    <xf numFmtId="0" fontId="16" fillId="0" borderId="0" xfId="0" applyFont="1" applyFill="1" applyProtection="1">
      <protection hidden="1"/>
    </xf>
    <xf numFmtId="0" fontId="78" fillId="0" borderId="0" xfId="0" applyFont="1" applyFill="1" applyAlignment="1" applyProtection="1">
      <alignment horizontal="center" vertical="center" wrapText="1"/>
      <protection hidden="1"/>
    </xf>
    <xf numFmtId="0" fontId="78" fillId="24" borderId="0" xfId="0" applyFont="1" applyFill="1" applyProtection="1">
      <protection hidden="1"/>
    </xf>
    <xf numFmtId="0" fontId="61" fillId="0" borderId="28" xfId="0" applyFont="1" applyFill="1" applyBorder="1" applyAlignment="1" applyProtection="1">
      <alignment horizontal="left" vertical="center"/>
      <protection hidden="1"/>
    </xf>
    <xf numFmtId="0" fontId="61" fillId="0" borderId="28" xfId="0" applyFont="1" applyFill="1" applyBorder="1" applyAlignment="1" applyProtection="1">
      <alignment horizontal="left" vertical="center" wrapText="1"/>
      <protection hidden="1"/>
    </xf>
    <xf numFmtId="0" fontId="61" fillId="0" borderId="46" xfId="0" applyFont="1" applyFill="1" applyBorder="1" applyAlignment="1" applyProtection="1">
      <alignment vertical="center" wrapText="1"/>
      <protection locked="0"/>
    </xf>
    <xf numFmtId="0" fontId="80" fillId="24" borderId="0" xfId="0" applyFont="1" applyFill="1" applyProtection="1">
      <protection hidden="1"/>
    </xf>
    <xf numFmtId="0" fontId="0" fillId="0" borderId="0" xfId="0" applyFill="1" applyBorder="1" applyAlignment="1" applyProtection="1">
      <alignment vertical="center" wrapText="1"/>
      <protection hidden="1"/>
    </xf>
    <xf numFmtId="0" fontId="8" fillId="0" borderId="0" xfId="0" applyFont="1" applyFill="1" applyBorder="1" applyAlignment="1" applyProtection="1">
      <alignment vertical="center" wrapText="1"/>
      <protection hidden="1"/>
    </xf>
    <xf numFmtId="0" fontId="15" fillId="0" borderId="0" xfId="0" applyFont="1" applyFill="1" applyAlignment="1" applyProtection="1">
      <alignment vertical="center"/>
      <protection hidden="1"/>
    </xf>
    <xf numFmtId="0" fontId="66" fillId="0" borderId="0" xfId="0" applyFont="1" applyFill="1" applyAlignment="1" applyProtection="1">
      <alignment vertical="center"/>
      <protection hidden="1"/>
    </xf>
    <xf numFmtId="0" fontId="93" fillId="0" borderId="0" xfId="0" applyFont="1"/>
    <xf numFmtId="0" fontId="94" fillId="0" borderId="0" xfId="0" applyFont="1"/>
    <xf numFmtId="0" fontId="94" fillId="0" borderId="0" xfId="0" applyFont="1" applyFill="1"/>
    <xf numFmtId="0" fontId="95" fillId="0" borderId="0" xfId="0" applyFont="1" applyFill="1" applyAlignment="1">
      <alignment horizontal="left"/>
    </xf>
    <xf numFmtId="0" fontId="93" fillId="0" borderId="0" xfId="0" applyFont="1" applyFill="1"/>
    <xf numFmtId="0" fontId="94" fillId="0" borderId="0" xfId="0" applyFont="1" applyFill="1" applyAlignment="1">
      <alignment horizontal="center" vertical="top"/>
    </xf>
    <xf numFmtId="0" fontId="95" fillId="61" borderId="10" xfId="0" applyFont="1" applyFill="1" applyBorder="1" applyAlignment="1">
      <alignment horizontal="left" vertical="top"/>
    </xf>
    <xf numFmtId="0" fontId="94" fillId="0" borderId="0" xfId="0" applyFont="1" applyFill="1" applyAlignment="1">
      <alignment horizontal="left" vertical="top"/>
    </xf>
    <xf numFmtId="0" fontId="95" fillId="0" borderId="0" xfId="0" applyFont="1" applyFill="1" applyAlignment="1">
      <alignment horizontal="center" vertical="center"/>
    </xf>
    <xf numFmtId="0" fontId="94" fillId="0" borderId="0" xfId="0" applyFont="1" applyFill="1" applyAlignment="1">
      <alignment horizontal="left" vertical="center" wrapText="1"/>
    </xf>
    <xf numFmtId="0" fontId="97" fillId="0" borderId="0" xfId="0" applyFont="1" applyFill="1"/>
    <xf numFmtId="0" fontId="94" fillId="0" borderId="0" xfId="0" applyFont="1" applyAlignment="1">
      <alignment horizontal="center"/>
    </xf>
    <xf numFmtId="0" fontId="95" fillId="0" borderId="0" xfId="0" applyFont="1"/>
    <xf numFmtId="0" fontId="94" fillId="0" borderId="0" xfId="0" applyFont="1" applyBorder="1"/>
    <xf numFmtId="0" fontId="94" fillId="0" borderId="0" xfId="0" applyFont="1" applyAlignment="1">
      <alignment horizontal="center" vertical="top"/>
    </xf>
    <xf numFmtId="0" fontId="94" fillId="0" borderId="0" xfId="0" applyFont="1" applyAlignment="1">
      <alignment vertical="top"/>
    </xf>
    <xf numFmtId="0" fontId="94" fillId="0" borderId="0" xfId="0" applyFont="1" applyAlignment="1">
      <alignment vertical="top" wrapText="1"/>
    </xf>
    <xf numFmtId="0" fontId="93" fillId="0" borderId="10" xfId="0" applyFont="1" applyBorder="1" applyAlignment="1">
      <alignment vertical="center"/>
    </xf>
    <xf numFmtId="0" fontId="93" fillId="0" borderId="0" xfId="0" applyFont="1" applyAlignment="1">
      <alignment vertical="center"/>
    </xf>
    <xf numFmtId="0" fontId="94" fillId="0" borderId="0" xfId="0" applyFont="1" applyAlignment="1">
      <alignment horizontal="left" vertical="top"/>
    </xf>
    <xf numFmtId="0" fontId="8" fillId="0" borderId="14" xfId="0" applyFont="1" applyBorder="1"/>
    <xf numFmtId="0" fontId="0" fillId="61" borderId="10" xfId="0" applyFill="1" applyBorder="1"/>
    <xf numFmtId="0" fontId="0" fillId="61" borderId="12" xfId="0" applyFill="1" applyBorder="1"/>
    <xf numFmtId="0" fontId="0" fillId="61" borderId="10" xfId="0" applyFill="1" applyBorder="1" applyAlignment="1">
      <alignment horizontal="left"/>
    </xf>
    <xf numFmtId="3" fontId="0" fillId="61" borderId="10" xfId="0" applyNumberFormat="1" applyFill="1" applyBorder="1" applyAlignment="1">
      <alignment horizontal="left"/>
    </xf>
    <xf numFmtId="0" fontId="59" fillId="0" borderId="0" xfId="0" applyFont="1" applyFill="1" applyBorder="1" applyAlignment="1" applyProtection="1">
      <alignment horizontal="centerContinuous" vertical="center" wrapText="1"/>
      <protection hidden="1"/>
    </xf>
    <xf numFmtId="0" fontId="61" fillId="57" borderId="55" xfId="0" applyFont="1" applyFill="1" applyBorder="1" applyAlignment="1" applyProtection="1">
      <alignment horizontal="center" vertical="center" wrapText="1"/>
      <protection hidden="1"/>
    </xf>
    <xf numFmtId="0" fontId="61" fillId="57" borderId="56" xfId="0" applyFont="1" applyFill="1" applyBorder="1" applyAlignment="1" applyProtection="1">
      <alignment horizontal="center" vertical="center" wrapText="1"/>
      <protection hidden="1"/>
    </xf>
    <xf numFmtId="3" fontId="61" fillId="57" borderId="56" xfId="0" applyNumberFormat="1" applyFont="1" applyFill="1" applyBorder="1" applyAlignment="1" applyProtection="1">
      <alignment horizontal="center" vertical="center" wrapText="1"/>
      <protection hidden="1"/>
    </xf>
    <xf numFmtId="164" fontId="61" fillId="57" borderId="56" xfId="0" applyNumberFormat="1" applyFont="1" applyFill="1" applyBorder="1" applyAlignment="1" applyProtection="1">
      <alignment horizontal="center" vertical="center" wrapText="1"/>
      <protection hidden="1"/>
    </xf>
    <xf numFmtId="164" fontId="61" fillId="57" borderId="57" xfId="0" applyNumberFormat="1" applyFont="1" applyFill="1" applyBorder="1" applyAlignment="1" applyProtection="1">
      <alignment horizontal="center" vertical="center" wrapText="1"/>
      <protection hidden="1"/>
    </xf>
    <xf numFmtId="0" fontId="68" fillId="24" borderId="0" xfId="0" applyFont="1" applyFill="1" applyBorder="1" applyAlignment="1" applyProtection="1">
      <alignment horizontal="left"/>
      <protection hidden="1"/>
    </xf>
    <xf numFmtId="0" fontId="68" fillId="24" borderId="0" xfId="0" applyFont="1" applyFill="1" applyBorder="1" applyAlignment="1" applyProtection="1">
      <alignment wrapText="1"/>
      <protection hidden="1"/>
    </xf>
    <xf numFmtId="0" fontId="68" fillId="24" borderId="0" xfId="0" applyFont="1" applyFill="1" applyBorder="1" applyAlignment="1" applyProtection="1">
      <alignment horizontal="right"/>
      <protection hidden="1"/>
    </xf>
    <xf numFmtId="165" fontId="68" fillId="24" borderId="0" xfId="0" applyNumberFormat="1" applyFont="1" applyFill="1" applyBorder="1" applyProtection="1">
      <protection hidden="1"/>
    </xf>
    <xf numFmtId="0" fontId="68" fillId="24" borderId="0" xfId="0" applyFont="1" applyFill="1" applyBorder="1" applyAlignment="1" applyProtection="1">
      <alignment horizontal="center"/>
      <protection hidden="1"/>
    </xf>
    <xf numFmtId="0" fontId="0" fillId="61" borderId="15" xfId="0" applyFill="1" applyBorder="1"/>
    <xf numFmtId="0" fontId="0" fillId="61" borderId="16" xfId="0" applyFill="1" applyBorder="1"/>
    <xf numFmtId="0" fontId="93" fillId="0" borderId="0" xfId="0" applyFont="1" applyBorder="1" applyAlignment="1">
      <alignment vertical="center"/>
    </xf>
    <xf numFmtId="0" fontId="94" fillId="0" borderId="0" xfId="0" applyFont="1" applyBorder="1" applyAlignment="1">
      <alignment wrapText="1"/>
    </xf>
    <xf numFmtId="0" fontId="95" fillId="0" borderId="0" xfId="0" applyFont="1" applyBorder="1" applyAlignment="1">
      <alignment horizontal="left"/>
    </xf>
    <xf numFmtId="0" fontId="94" fillId="0" borderId="0" xfId="0" applyFont="1" applyBorder="1" applyAlignment="1">
      <alignment horizontal="left" vertical="top"/>
    </xf>
    <xf numFmtId="0" fontId="94" fillId="0" borderId="0" xfId="0" applyFont="1" applyBorder="1" applyAlignment="1"/>
    <xf numFmtId="0" fontId="94" fillId="0" borderId="0" xfId="0" applyFont="1" applyAlignment="1"/>
    <xf numFmtId="0" fontId="16" fillId="0" borderId="10" xfId="0" applyFont="1" applyFill="1" applyBorder="1" applyAlignment="1" applyProtection="1">
      <alignment horizontal="center" vertical="center"/>
      <protection hidden="1"/>
    </xf>
    <xf numFmtId="0" fontId="68" fillId="0" borderId="0" xfId="0" applyFont="1" applyAlignment="1">
      <alignment vertical="center"/>
    </xf>
    <xf numFmtId="0" fontId="16" fillId="0" borderId="40" xfId="0" applyFont="1" applyFill="1" applyBorder="1" applyAlignment="1" applyProtection="1">
      <alignment vertical="center" wrapText="1"/>
      <protection locked="0"/>
    </xf>
    <xf numFmtId="0" fontId="102" fillId="0" borderId="0" xfId="0" applyFont="1" applyFill="1" applyProtection="1">
      <protection hidden="1"/>
    </xf>
    <xf numFmtId="0" fontId="100" fillId="0" borderId="0" xfId="0" applyNumberFormat="1" applyFont="1" applyFill="1" applyAlignment="1" applyProtection="1">
      <alignment vertical="center"/>
      <protection hidden="1"/>
    </xf>
    <xf numFmtId="0" fontId="103" fillId="0" borderId="0" xfId="0" applyFont="1" applyFill="1" applyProtection="1">
      <protection hidden="1"/>
    </xf>
    <xf numFmtId="0" fontId="103" fillId="0" borderId="0" xfId="0" applyFont="1" applyFill="1" applyBorder="1" applyProtection="1">
      <protection hidden="1"/>
    </xf>
    <xf numFmtId="0" fontId="16" fillId="0" borderId="40" xfId="0" applyFont="1" applyFill="1" applyBorder="1" applyAlignment="1" applyProtection="1">
      <alignment horizontal="left" vertical="center" wrapText="1"/>
      <protection locked="0"/>
    </xf>
    <xf numFmtId="0" fontId="16" fillId="0" borderId="40" xfId="0" applyFont="1" applyFill="1" applyBorder="1" applyAlignment="1" applyProtection="1">
      <alignment horizontal="left" vertical="center"/>
      <protection locked="0"/>
    </xf>
    <xf numFmtId="0" fontId="66" fillId="0" borderId="0" xfId="0" applyFont="1" applyFill="1" applyAlignment="1" applyProtection="1">
      <alignment horizontal="left" vertical="center"/>
      <protection hidden="1"/>
    </xf>
    <xf numFmtId="0" fontId="65" fillId="0" borderId="0" xfId="0" applyFont="1" applyFill="1" applyAlignment="1" applyProtection="1">
      <alignment horizontal="left" wrapText="1"/>
      <protection hidden="1"/>
    </xf>
    <xf numFmtId="0" fontId="68" fillId="0" borderId="0" xfId="0" applyFont="1" applyFill="1" applyAlignment="1" applyProtection="1">
      <alignment horizontal="left" wrapText="1"/>
      <protection hidden="1"/>
    </xf>
    <xf numFmtId="0" fontId="16" fillId="0" borderId="10" xfId="0" applyFont="1" applyFill="1" applyBorder="1" applyAlignment="1" applyProtection="1">
      <alignment horizontal="center" vertical="center"/>
      <protection hidden="1"/>
    </xf>
    <xf numFmtId="0" fontId="68" fillId="0" borderId="0" xfId="0" applyFont="1" applyFill="1" applyBorder="1" applyAlignment="1" applyProtection="1">
      <alignment horizontal="center" vertical="top" wrapText="1"/>
      <protection hidden="1"/>
    </xf>
    <xf numFmtId="0" fontId="68" fillId="0" borderId="0" xfId="0" applyFont="1" applyFill="1" applyBorder="1" applyAlignment="1" applyProtection="1">
      <alignment horizontal="left" vertical="center" wrapText="1"/>
      <protection hidden="1"/>
    </xf>
    <xf numFmtId="0" fontId="68" fillId="0" borderId="0" xfId="0" applyFont="1" applyFill="1" applyBorder="1" applyAlignment="1" applyProtection="1">
      <alignment horizontal="center" vertical="center" wrapText="1"/>
      <protection hidden="1"/>
    </xf>
    <xf numFmtId="0" fontId="0" fillId="0" borderId="10" xfId="0" applyBorder="1" applyAlignment="1">
      <alignment horizontal="left"/>
    </xf>
    <xf numFmtId="0" fontId="15" fillId="60" borderId="11" xfId="0" applyFont="1" applyFill="1" applyBorder="1" applyAlignment="1">
      <alignment horizontal="center"/>
    </xf>
    <xf numFmtId="0" fontId="15" fillId="60" borderId="16" xfId="0" applyFont="1" applyFill="1" applyBorder="1" applyAlignment="1">
      <alignment horizontal="center"/>
    </xf>
    <xf numFmtId="0" fontId="16" fillId="0" borderId="0" xfId="0" applyFont="1" applyAlignment="1">
      <alignment wrapText="1"/>
    </xf>
    <xf numFmtId="0" fontId="65" fillId="0" borderId="0" xfId="0" applyFont="1" applyFill="1" applyAlignment="1" applyProtection="1">
      <alignment horizontal="left"/>
      <protection hidden="1"/>
    </xf>
    <xf numFmtId="0" fontId="65" fillId="0" borderId="0" xfId="0" applyFont="1" applyFill="1" applyAlignment="1" applyProtection="1">
      <alignment vertical="center"/>
      <protection hidden="1"/>
    </xf>
    <xf numFmtId="0" fontId="65" fillId="0" borderId="0" xfId="0" applyFont="1" applyFill="1" applyAlignment="1" applyProtection="1">
      <alignment horizontal="left" vertical="center"/>
      <protection hidden="1"/>
    </xf>
    <xf numFmtId="0" fontId="65" fillId="0" borderId="0" xfId="0" applyFont="1" applyFill="1" applyAlignment="1" applyProtection="1">
      <protection hidden="1"/>
    </xf>
    <xf numFmtId="0" fontId="68" fillId="0" borderId="0" xfId="0" applyFont="1" applyAlignment="1">
      <alignment horizontal="left"/>
    </xf>
    <xf numFmtId="0" fontId="68" fillId="0" borderId="0" xfId="0" applyFont="1" applyAlignment="1"/>
    <xf numFmtId="0" fontId="67" fillId="0" borderId="0" xfId="0" quotePrefix="1" applyFont="1" applyFill="1" applyProtection="1">
      <protection hidden="1"/>
    </xf>
    <xf numFmtId="0" fontId="61" fillId="57" borderId="0" xfId="0" applyFont="1" applyFill="1" applyBorder="1" applyAlignment="1" applyProtection="1">
      <alignment vertical="center"/>
      <protection hidden="1"/>
    </xf>
    <xf numFmtId="0" fontId="61" fillId="0" borderId="0" xfId="0" applyFont="1" applyFill="1" applyBorder="1" applyAlignment="1" applyProtection="1">
      <alignment vertical="center"/>
      <protection hidden="1"/>
    </xf>
    <xf numFmtId="0" fontId="61" fillId="58" borderId="0" xfId="0" applyFont="1" applyFill="1" applyBorder="1" applyAlignment="1" applyProtection="1">
      <alignment vertical="center" wrapText="1"/>
      <protection hidden="1"/>
    </xf>
    <xf numFmtId="0" fontId="9" fillId="0" borderId="0" xfId="0" applyFont="1" applyFill="1" applyBorder="1" applyAlignment="1" applyProtection="1">
      <alignment horizontal="left" wrapText="1"/>
      <protection hidden="1"/>
    </xf>
    <xf numFmtId="0" fontId="8" fillId="0" borderId="0" xfId="0" applyFont="1" applyFill="1" applyBorder="1" applyAlignment="1" applyProtection="1">
      <alignment wrapText="1"/>
      <protection hidden="1"/>
    </xf>
    <xf numFmtId="0" fontId="8" fillId="0" borderId="0" xfId="0" applyFont="1" applyFill="1" applyBorder="1" applyAlignment="1" applyProtection="1">
      <alignment vertical="center"/>
      <protection hidden="1"/>
    </xf>
    <xf numFmtId="0" fontId="11" fillId="0" borderId="0" xfId="0" applyFont="1" applyFill="1" applyBorder="1" applyProtection="1">
      <protection hidden="1"/>
    </xf>
    <xf numFmtId="0" fontId="16" fillId="0" borderId="16" xfId="0" applyFont="1" applyFill="1" applyBorder="1" applyAlignment="1" applyProtection="1">
      <alignment horizontal="left" vertical="center" wrapText="1"/>
      <protection hidden="1"/>
    </xf>
    <xf numFmtId="0" fontId="68" fillId="0" borderId="10" xfId="0" applyFont="1" applyFill="1" applyBorder="1" applyAlignment="1" applyProtection="1">
      <alignment horizontal="center" vertical="center" wrapText="1"/>
      <protection locked="0"/>
    </xf>
    <xf numFmtId="0" fontId="16" fillId="0" borderId="10" xfId="0" applyFont="1" applyFill="1" applyBorder="1" applyAlignment="1" applyProtection="1">
      <alignment horizontal="center" vertical="center"/>
      <protection hidden="1"/>
    </xf>
    <xf numFmtId="0" fontId="68" fillId="0" borderId="0" xfId="0" applyFont="1" applyAlignment="1"/>
    <xf numFmtId="0" fontId="16" fillId="0" borderId="0" xfId="0" applyFont="1" applyAlignment="1"/>
    <xf numFmtId="0" fontId="68" fillId="0" borderId="0" xfId="0" applyFont="1" applyAlignment="1">
      <alignment vertical="center" wrapText="1"/>
    </xf>
    <xf numFmtId="0" fontId="68" fillId="0" borderId="0" xfId="0" applyFont="1" applyAlignment="1">
      <alignment horizontal="left" vertical="center" wrapText="1"/>
    </xf>
    <xf numFmtId="0" fontId="77" fillId="0" borderId="0" xfId="148" applyFont="1" applyAlignment="1" applyProtection="1"/>
    <xf numFmtId="0" fontId="68" fillId="0" borderId="0" xfId="0" applyFont="1" applyBorder="1" applyAlignment="1">
      <alignment vertical="center"/>
    </xf>
    <xf numFmtId="0" fontId="8" fillId="0" borderId="0" xfId="0" applyFont="1" applyFill="1" applyAlignment="1" applyProtection="1">
      <alignment vertical="center" wrapText="1"/>
      <protection hidden="1"/>
    </xf>
    <xf numFmtId="0" fontId="16" fillId="0" borderId="0" xfId="0" applyFont="1" applyAlignment="1">
      <alignment vertical="center"/>
    </xf>
    <xf numFmtId="0" fontId="68" fillId="0" borderId="0" xfId="0" applyFont="1" applyBorder="1" applyAlignment="1">
      <alignment vertical="center" wrapText="1"/>
    </xf>
    <xf numFmtId="3" fontId="8" fillId="0" borderId="0" xfId="0" applyNumberFormat="1" applyFont="1"/>
    <xf numFmtId="166" fontId="68" fillId="0" borderId="0" xfId="109" applyNumberFormat="1" applyFont="1" applyFill="1" applyBorder="1" applyAlignment="1" applyProtection="1">
      <alignment horizontal="center" vertical="center"/>
      <protection hidden="1"/>
    </xf>
    <xf numFmtId="3" fontId="68" fillId="0" borderId="0" xfId="109" applyNumberFormat="1" applyFont="1" applyFill="1" applyBorder="1" applyAlignment="1" applyProtection="1">
      <alignment horizontal="center" vertical="center"/>
      <protection hidden="1"/>
    </xf>
    <xf numFmtId="0" fontId="8" fillId="0" borderId="0" xfId="684"/>
    <xf numFmtId="10" fontId="8" fillId="0" borderId="0" xfId="684" applyNumberFormat="1"/>
    <xf numFmtId="0" fontId="15" fillId="0" borderId="0" xfId="684" applyFont="1" applyAlignment="1">
      <alignment wrapText="1"/>
    </xf>
    <xf numFmtId="0" fontId="0" fillId="61" borderId="33" xfId="0" applyFill="1" applyBorder="1"/>
    <xf numFmtId="0" fontId="0" fillId="61" borderId="39" xfId="0" applyFill="1" applyBorder="1"/>
    <xf numFmtId="0" fontId="0" fillId="61" borderId="63" xfId="0" applyFill="1" applyBorder="1"/>
    <xf numFmtId="0" fontId="0" fillId="0" borderId="62" xfId="0" applyBorder="1"/>
    <xf numFmtId="0" fontId="15" fillId="60" borderId="63" xfId="0" applyFont="1" applyFill="1" applyBorder="1"/>
    <xf numFmtId="0" fontId="15" fillId="60" borderId="62" xfId="0" applyFont="1" applyFill="1" applyBorder="1"/>
    <xf numFmtId="0" fontId="15" fillId="60" borderId="62" xfId="0" applyFont="1" applyFill="1" applyBorder="1" applyAlignment="1">
      <alignment horizontal="center" wrapText="1"/>
    </xf>
    <xf numFmtId="0" fontId="12" fillId="0" borderId="62" xfId="0" applyFont="1" applyBorder="1" applyAlignment="1">
      <alignment horizontal="center" wrapText="1"/>
    </xf>
    <xf numFmtId="0" fontId="0" fillId="61" borderId="64" xfId="0" applyFill="1" applyBorder="1"/>
    <xf numFmtId="0" fontId="0" fillId="0" borderId="0" xfId="0" applyFill="1" applyAlignment="1">
      <alignment horizontal="right" indent="1"/>
    </xf>
    <xf numFmtId="0" fontId="0" fillId="0" borderId="62" xfId="0" applyFill="1" applyBorder="1" applyAlignment="1">
      <alignment horizontal="right" indent="1"/>
    </xf>
    <xf numFmtId="0" fontId="0" fillId="0" borderId="14" xfId="0" applyFill="1" applyBorder="1" applyAlignment="1">
      <alignment horizontal="right" indent="1"/>
    </xf>
    <xf numFmtId="0" fontId="0" fillId="0" borderId="0" xfId="0" applyAlignment="1">
      <alignment horizontal="right" indent="1"/>
    </xf>
    <xf numFmtId="0" fontId="0" fillId="0" borderId="62" xfId="0" applyBorder="1" applyAlignment="1">
      <alignment horizontal="right" indent="1"/>
    </xf>
    <xf numFmtId="0" fontId="0" fillId="0" borderId="26" xfId="0" applyBorder="1" applyAlignment="1">
      <alignment horizontal="right" indent="1"/>
    </xf>
    <xf numFmtId="0" fontId="0" fillId="0" borderId="27" xfId="0" applyBorder="1" applyAlignment="1">
      <alignment horizontal="right" indent="1"/>
    </xf>
    <xf numFmtId="0" fontId="0" fillId="0" borderId="62" xfId="0" applyBorder="1" applyAlignment="1">
      <alignment wrapText="1"/>
    </xf>
    <xf numFmtId="0" fontId="8" fillId="0" borderId="62" xfId="0" applyFont="1" applyBorder="1"/>
    <xf numFmtId="0" fontId="94" fillId="0" borderId="0" xfId="0" applyFont="1" applyAlignment="1">
      <alignment horizontal="left" vertical="top"/>
    </xf>
    <xf numFmtId="0" fontId="85" fillId="0" borderId="0" xfId="561" applyFont="1"/>
    <xf numFmtId="0" fontId="85" fillId="0" borderId="0" xfId="389" applyFont="1" applyFill="1" applyBorder="1" applyAlignment="1">
      <alignment vertical="center"/>
    </xf>
    <xf numFmtId="0" fontId="85" fillId="0" borderId="0" xfId="431" applyFont="1"/>
    <xf numFmtId="0" fontId="85" fillId="0" borderId="0" xfId="0" applyFont="1"/>
    <xf numFmtId="0" fontId="3" fillId="0" borderId="0" xfId="246" applyFont="1"/>
    <xf numFmtId="0" fontId="84" fillId="0" borderId="0" xfId="0" applyFont="1" applyFill="1" applyBorder="1" applyAlignment="1">
      <alignment vertical="center" wrapText="1"/>
    </xf>
    <xf numFmtId="0" fontId="84" fillId="0" borderId="0" xfId="0" applyFont="1"/>
    <xf numFmtId="168" fontId="85" fillId="0" borderId="0" xfId="0" applyNumberFormat="1" applyFont="1" applyFill="1" applyBorder="1"/>
    <xf numFmtId="0" fontId="85" fillId="0" borderId="0" xfId="201" applyFont="1"/>
    <xf numFmtId="0" fontId="3" fillId="0" borderId="0" xfId="557" applyFont="1"/>
    <xf numFmtId="0" fontId="85" fillId="0" borderId="0" xfId="166" applyFont="1" applyFill="1" applyBorder="1" applyAlignment="1">
      <alignment vertical="center"/>
    </xf>
    <xf numFmtId="0" fontId="85" fillId="0" borderId="0" xfId="0" applyFont="1" applyBorder="1"/>
    <xf numFmtId="0" fontId="85" fillId="0" borderId="0" xfId="0" applyFont="1" applyFill="1"/>
    <xf numFmtId="49" fontId="85" fillId="0" borderId="0" xfId="0" applyNumberFormat="1" applyFont="1" applyFill="1" applyBorder="1"/>
    <xf numFmtId="0" fontId="85" fillId="0" borderId="0" xfId="0" applyFont="1" applyFill="1" applyAlignment="1">
      <alignment horizontal="left"/>
    </xf>
    <xf numFmtId="168" fontId="85" fillId="0" borderId="0" xfId="0" applyNumberFormat="1" applyFont="1" applyFill="1"/>
    <xf numFmtId="0" fontId="84" fillId="0" borderId="0" xfId="0" applyFont="1" applyFill="1" applyBorder="1" applyAlignment="1">
      <alignment horizontal="left" wrapText="1"/>
    </xf>
    <xf numFmtId="0" fontId="85" fillId="0" borderId="10" xfId="0" applyFont="1" applyBorder="1" applyAlignment="1">
      <alignment vertical="center" wrapText="1"/>
    </xf>
    <xf numFmtId="0" fontId="109" fillId="0" borderId="10" xfId="148" applyFont="1" applyBorder="1" applyAlignment="1" applyProtection="1">
      <alignment vertical="center"/>
    </xf>
    <xf numFmtId="0" fontId="109" fillId="0" borderId="0" xfId="148" applyFont="1" applyFill="1" applyBorder="1" applyAlignment="1" applyProtection="1">
      <alignment vertical="center"/>
    </xf>
    <xf numFmtId="0" fontId="85" fillId="0" borderId="0" xfId="0" applyFont="1" applyAlignment="1">
      <alignment vertical="center"/>
    </xf>
    <xf numFmtId="0" fontId="107" fillId="0" borderId="10" xfId="0" applyFont="1" applyBorder="1" applyAlignment="1">
      <alignment vertical="center" wrapText="1"/>
    </xf>
    <xf numFmtId="0" fontId="84" fillId="60" borderId="10" xfId="0" applyFont="1" applyFill="1" applyBorder="1" applyAlignment="1">
      <alignment vertical="center" wrapText="1"/>
    </xf>
    <xf numFmtId="0" fontId="84" fillId="60" borderId="10" xfId="0" applyFont="1" applyFill="1" applyBorder="1" applyAlignment="1">
      <alignment horizontal="left"/>
    </xf>
    <xf numFmtId="0" fontId="85" fillId="0" borderId="10" xfId="0" applyFont="1" applyBorder="1" applyAlignment="1">
      <alignment horizontal="left"/>
    </xf>
    <xf numFmtId="0" fontId="111" fillId="0" borderId="10" xfId="0" applyFont="1" applyFill="1" applyBorder="1" applyAlignment="1">
      <alignment horizontal="center"/>
    </xf>
    <xf numFmtId="0" fontId="84" fillId="60" borderId="10" xfId="0" applyFont="1" applyFill="1" applyBorder="1"/>
    <xf numFmtId="0" fontId="3" fillId="61" borderId="10" xfId="246" applyFont="1" applyFill="1" applyBorder="1" applyAlignment="1">
      <alignment horizontal="center"/>
    </xf>
    <xf numFmtId="0" fontId="85" fillId="61" borderId="10" xfId="166" applyFont="1" applyFill="1" applyBorder="1" applyAlignment="1">
      <alignment horizontal="center" vertical="center"/>
    </xf>
    <xf numFmtId="0" fontId="85" fillId="61" borderId="10" xfId="201" applyFont="1" applyFill="1" applyBorder="1" applyAlignment="1">
      <alignment horizontal="center"/>
    </xf>
    <xf numFmtId="0" fontId="84" fillId="60" borderId="10" xfId="0" applyFont="1" applyFill="1" applyBorder="1" applyAlignment="1">
      <alignment wrapText="1"/>
    </xf>
    <xf numFmtId="0" fontId="85" fillId="0" borderId="10" xfId="0" applyFont="1" applyBorder="1" applyAlignment="1">
      <alignment horizontal="center"/>
    </xf>
    <xf numFmtId="0" fontId="85" fillId="61" borderId="10" xfId="0" applyFont="1" applyFill="1" applyBorder="1" applyAlignment="1">
      <alignment horizontal="center"/>
    </xf>
    <xf numFmtId="0" fontId="85" fillId="61" borderId="13" xfId="0" applyFont="1" applyFill="1" applyBorder="1" applyAlignment="1">
      <alignment horizontal="center"/>
    </xf>
    <xf numFmtId="0" fontId="85" fillId="0" borderId="11" xfId="0" applyFont="1" applyBorder="1"/>
    <xf numFmtId="0" fontId="85" fillId="0" borderId="16" xfId="0" applyFont="1" applyBorder="1"/>
    <xf numFmtId="0" fontId="85" fillId="0" borderId="15" xfId="0" applyFont="1" applyBorder="1"/>
    <xf numFmtId="0" fontId="85" fillId="0" borderId="16" xfId="0" applyFont="1" applyBorder="1" applyAlignment="1">
      <alignment wrapText="1"/>
    </xf>
    <xf numFmtId="0" fontId="85" fillId="0" borderId="10" xfId="0" applyFont="1" applyBorder="1"/>
    <xf numFmtId="0" fontId="111" fillId="0" borderId="65" xfId="561" applyFont="1" applyBorder="1" applyAlignment="1">
      <alignment horizontal="center"/>
    </xf>
    <xf numFmtId="0" fontId="0" fillId="62" borderId="0" xfId="0" applyFill="1"/>
    <xf numFmtId="168" fontId="85" fillId="0" borderId="10" xfId="0" applyNumberFormat="1" applyFont="1" applyBorder="1" applyAlignment="1">
      <alignment horizontal="left"/>
    </xf>
    <xf numFmtId="49" fontId="85" fillId="0" borderId="10" xfId="0" applyNumberFormat="1" applyFont="1" applyBorder="1" applyAlignment="1">
      <alignment horizontal="left"/>
    </xf>
    <xf numFmtId="0" fontId="95" fillId="0" borderId="0" xfId="0" applyFont="1" applyAlignment="1">
      <alignment vertical="top"/>
    </xf>
    <xf numFmtId="0" fontId="94" fillId="0" borderId="0" xfId="783" applyFont="1" applyAlignment="1">
      <alignment vertical="top" wrapText="1"/>
    </xf>
    <xf numFmtId="0" fontId="98" fillId="0" borderId="0" xfId="0" quotePrefix="1" applyFont="1" applyAlignment="1">
      <alignment horizontal="left" vertical="center" indent="4"/>
    </xf>
    <xf numFmtId="0" fontId="93" fillId="0" borderId="16" xfId="0" applyFont="1" applyBorder="1" applyAlignment="1">
      <alignment vertical="center"/>
    </xf>
    <xf numFmtId="0" fontId="114" fillId="0" borderId="0" xfId="784"/>
    <xf numFmtId="0" fontId="15" fillId="0" borderId="14" xfId="0" applyFont="1" applyFill="1" applyBorder="1" applyAlignment="1"/>
    <xf numFmtId="0" fontId="59" fillId="0" borderId="0" xfId="0" applyFont="1" applyFill="1" applyBorder="1" applyAlignment="1" applyProtection="1">
      <alignment horizontal="center" vertical="center"/>
      <protection hidden="1"/>
    </xf>
    <xf numFmtId="0" fontId="0" fillId="0" borderId="0" xfId="0" applyFill="1" applyAlignment="1">
      <alignment horizontal="right" indent="2"/>
    </xf>
    <xf numFmtId="0" fontId="0" fillId="0" borderId="62" xfId="0" applyFill="1" applyBorder="1" applyAlignment="1">
      <alignment horizontal="right" indent="2"/>
    </xf>
    <xf numFmtId="0" fontId="0" fillId="0" borderId="14" xfId="0" applyFill="1" applyBorder="1" applyAlignment="1">
      <alignment horizontal="right" indent="2"/>
    </xf>
    <xf numFmtId="0" fontId="0" fillId="0" borderId="0" xfId="0" applyAlignment="1">
      <alignment horizontal="right" indent="2"/>
    </xf>
    <xf numFmtId="0" fontId="0" fillId="0" borderId="62" xfId="0" applyBorder="1" applyAlignment="1">
      <alignment horizontal="right" indent="2"/>
    </xf>
    <xf numFmtId="165" fontId="68" fillId="24" borderId="0" xfId="0" applyNumberFormat="1" applyFont="1" applyFill="1" applyBorder="1" applyAlignment="1" applyProtection="1">
      <alignment horizontal="right"/>
      <protection hidden="1"/>
    </xf>
    <xf numFmtId="165" fontId="0" fillId="24" borderId="0" xfId="0" applyNumberFormat="1" applyFill="1" applyProtection="1">
      <protection hidden="1"/>
    </xf>
    <xf numFmtId="0" fontId="15" fillId="0" borderId="35" xfId="0" applyFont="1" applyFill="1" applyBorder="1" applyAlignment="1" applyProtection="1">
      <alignment wrapText="1"/>
      <protection hidden="1"/>
    </xf>
    <xf numFmtId="0" fontId="15" fillId="60" borderId="0" xfId="0" applyFont="1" applyFill="1" applyBorder="1" applyAlignment="1" applyProtection="1">
      <alignment horizontal="center" vertical="center" wrapText="1"/>
      <protection hidden="1"/>
    </xf>
    <xf numFmtId="0" fontId="16" fillId="0" borderId="0"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wrapText="1"/>
      <protection hidden="1"/>
    </xf>
    <xf numFmtId="166" fontId="68" fillId="0" borderId="0" xfId="181" applyNumberFormat="1" applyFont="1" applyFill="1" applyBorder="1" applyAlignment="1" applyProtection="1">
      <alignment horizontal="center" vertical="center"/>
      <protection hidden="1"/>
    </xf>
    <xf numFmtId="0" fontId="68" fillId="0" borderId="0" xfId="0" applyFont="1" applyFill="1" applyBorder="1" applyAlignment="1" applyProtection="1">
      <alignment horizontal="center" vertical="center"/>
      <protection hidden="1"/>
    </xf>
    <xf numFmtId="3" fontId="68" fillId="0" borderId="0" xfId="181" applyNumberFormat="1" applyFont="1" applyFill="1" applyBorder="1" applyAlignment="1" applyProtection="1">
      <alignment horizontal="center" vertical="center"/>
      <protection hidden="1"/>
    </xf>
    <xf numFmtId="165" fontId="8" fillId="61" borderId="0" xfId="0" applyNumberFormat="1" applyFont="1" applyFill="1" applyBorder="1" applyAlignment="1" applyProtection="1">
      <alignment horizontal="right"/>
      <protection hidden="1"/>
    </xf>
    <xf numFmtId="0" fontId="15" fillId="60" borderId="15" xfId="0" applyFont="1" applyFill="1" applyBorder="1" applyAlignment="1" applyProtection="1">
      <alignment horizontal="center" vertical="center" wrapText="1"/>
      <protection hidden="1"/>
    </xf>
    <xf numFmtId="3" fontId="8" fillId="61" borderId="0" xfId="0" applyNumberFormat="1" applyFont="1" applyFill="1" applyBorder="1" applyAlignment="1" applyProtection="1">
      <alignment horizontal="right"/>
      <protection hidden="1"/>
    </xf>
    <xf numFmtId="3" fontId="8" fillId="63" borderId="0" xfId="0" applyNumberFormat="1" applyFont="1" applyFill="1"/>
    <xf numFmtId="165" fontId="8" fillId="61" borderId="15" xfId="0" applyNumberFormat="1" applyFont="1" applyFill="1" applyBorder="1" applyAlignment="1" applyProtection="1">
      <alignment horizontal="right"/>
      <protection hidden="1"/>
    </xf>
    <xf numFmtId="1" fontId="8" fillId="61" borderId="15" xfId="0" applyNumberFormat="1" applyFont="1" applyFill="1" applyBorder="1" applyAlignment="1" applyProtection="1">
      <alignment horizontal="right"/>
      <protection hidden="1"/>
    </xf>
    <xf numFmtId="0" fontId="59" fillId="0" borderId="0" xfId="0" applyFont="1" applyFill="1" applyBorder="1" applyAlignment="1" applyProtection="1">
      <alignment horizontal="center" vertical="center"/>
      <protection hidden="1"/>
    </xf>
    <xf numFmtId="0" fontId="59" fillId="0" borderId="0" xfId="0" applyFont="1" applyFill="1" applyBorder="1" applyAlignment="1" applyProtection="1">
      <alignment horizontal="center" vertical="center" wrapText="1"/>
      <protection hidden="1"/>
    </xf>
    <xf numFmtId="169" fontId="8" fillId="61" borderId="0" xfId="0" applyNumberFormat="1" applyFont="1" applyFill="1" applyBorder="1" applyAlignment="1" applyProtection="1">
      <alignment horizontal="right"/>
      <protection hidden="1"/>
    </xf>
    <xf numFmtId="166" fontId="8" fillId="61" borderId="0" xfId="109" applyNumberFormat="1" applyFont="1" applyFill="1" applyBorder="1" applyAlignment="1" applyProtection="1">
      <alignment horizontal="center" vertical="center"/>
      <protection hidden="1"/>
    </xf>
    <xf numFmtId="169" fontId="8" fillId="0" borderId="0" xfId="0" applyNumberFormat="1" applyFont="1"/>
    <xf numFmtId="169" fontId="8" fillId="61" borderId="15" xfId="0" applyNumberFormat="1" applyFont="1" applyFill="1" applyBorder="1" applyAlignment="1" applyProtection="1">
      <alignment horizontal="right"/>
      <protection hidden="1"/>
    </xf>
    <xf numFmtId="0" fontId="64" fillId="0" borderId="0" xfId="0" applyFont="1" applyFill="1" applyAlignment="1" applyProtection="1">
      <alignment vertical="center"/>
      <protection hidden="1"/>
    </xf>
    <xf numFmtId="3" fontId="8" fillId="63" borderId="0" xfId="0" applyNumberFormat="1" applyFont="1" applyFill="1" applyAlignment="1">
      <alignment horizontal="right"/>
    </xf>
    <xf numFmtId="3" fontId="8" fillId="61" borderId="15" xfId="0" applyNumberFormat="1" applyFont="1" applyFill="1" applyBorder="1" applyAlignment="1">
      <alignment horizontal="right"/>
    </xf>
    <xf numFmtId="3" fontId="8" fillId="61" borderId="15" xfId="0" applyNumberFormat="1" applyFont="1" applyFill="1" applyBorder="1" applyAlignment="1" applyProtection="1">
      <alignment horizontal="right"/>
      <protection hidden="1"/>
    </xf>
    <xf numFmtId="3" fontId="8" fillId="61" borderId="11" xfId="0" applyNumberFormat="1" applyFont="1" applyFill="1" applyBorder="1" applyAlignment="1">
      <alignment horizontal="right"/>
    </xf>
    <xf numFmtId="0" fontId="68" fillId="0" borderId="0" xfId="0" applyFont="1" applyAlignment="1">
      <alignment horizontal="left"/>
    </xf>
    <xf numFmtId="0" fontId="0" fillId="0" borderId="0" xfId="0" applyAlignment="1">
      <alignment wrapText="1"/>
    </xf>
    <xf numFmtId="0" fontId="16" fillId="0" borderId="0" xfId="0" applyNumberFormat="1" applyFont="1" applyFill="1" applyAlignment="1" applyProtection="1">
      <alignment vertical="top"/>
      <protection hidden="1"/>
    </xf>
    <xf numFmtId="0" fontId="16" fillId="0" borderId="0" xfId="0" applyFont="1" applyFill="1" applyAlignment="1" applyProtection="1">
      <alignment vertical="top"/>
      <protection hidden="1"/>
    </xf>
    <xf numFmtId="0" fontId="34" fillId="0" borderId="0" xfId="0" applyFont="1" applyFill="1" applyBorder="1" applyAlignment="1" applyProtection="1">
      <alignment horizontal="left" vertical="center"/>
      <protection locked="0" hidden="1"/>
    </xf>
    <xf numFmtId="0" fontId="15" fillId="0" borderId="0" xfId="0" applyFont="1" applyFill="1" applyBorder="1" applyAlignment="1" applyProtection="1">
      <alignment horizontal="left" vertical="center"/>
      <protection locked="0" hidden="1"/>
    </xf>
    <xf numFmtId="0" fontId="66" fillId="0" borderId="0" xfId="0" applyFont="1" applyFill="1" applyAlignment="1" applyProtection="1">
      <alignment horizontal="left" vertical="center"/>
      <protection hidden="1"/>
    </xf>
    <xf numFmtId="166" fontId="57" fillId="0" borderId="0" xfId="0" applyNumberFormat="1" applyFont="1" applyAlignment="1">
      <alignment wrapText="1"/>
    </xf>
    <xf numFmtId="166" fontId="0" fillId="0" borderId="0" xfId="0" applyNumberFormat="1"/>
    <xf numFmtId="166" fontId="0" fillId="0" borderId="0" xfId="0" applyNumberFormat="1" applyAlignment="1">
      <alignment horizontal="right"/>
    </xf>
    <xf numFmtId="10" fontId="0" fillId="0" borderId="0" xfId="0" applyNumberFormat="1"/>
    <xf numFmtId="0" fontId="94" fillId="0" borderId="0" xfId="0" applyFont="1" applyAlignment="1">
      <alignment horizontal="left" vertical="top"/>
    </xf>
    <xf numFmtId="0" fontId="91" fillId="59" borderId="0" xfId="0" applyFont="1" applyFill="1" applyAlignment="1">
      <alignment horizontal="left"/>
    </xf>
    <xf numFmtId="0" fontId="95" fillId="0" borderId="0" xfId="0" applyFont="1" applyFill="1" applyAlignment="1">
      <alignment horizontal="left"/>
    </xf>
    <xf numFmtId="0" fontId="94" fillId="0" borderId="0" xfId="0" applyFont="1" applyFill="1" applyAlignment="1">
      <alignment horizontal="left" vertical="top" wrapText="1"/>
    </xf>
    <xf numFmtId="0" fontId="94" fillId="0" borderId="0" xfId="0" applyFont="1" applyAlignment="1">
      <alignment horizontal="left"/>
    </xf>
    <xf numFmtId="0" fontId="92" fillId="59" borderId="0" xfId="0" applyFont="1" applyFill="1" applyAlignment="1">
      <alignment horizontal="left"/>
    </xf>
    <xf numFmtId="0" fontId="84" fillId="60" borderId="12" xfId="0" applyFont="1" applyFill="1" applyBorder="1" applyAlignment="1">
      <alignment horizontal="left" wrapText="1"/>
    </xf>
    <xf numFmtId="0" fontId="84" fillId="60" borderId="13" xfId="0" applyFont="1" applyFill="1" applyBorder="1" applyAlignment="1">
      <alignment horizontal="left" wrapText="1"/>
    </xf>
    <xf numFmtId="0" fontId="110" fillId="0" borderId="35" xfId="0" applyFont="1" applyBorder="1" applyAlignment="1">
      <alignment horizontal="left" wrapText="1"/>
    </xf>
    <xf numFmtId="0" fontId="59" fillId="0" borderId="62" xfId="0" applyFont="1" applyBorder="1" applyAlignment="1">
      <alignment horizontal="left" wrapText="1"/>
    </xf>
    <xf numFmtId="0" fontId="16" fillId="0" borderId="14" xfId="0" applyFont="1" applyBorder="1" applyAlignment="1">
      <alignment horizontal="center" wrapText="1"/>
    </xf>
    <xf numFmtId="0" fontId="15" fillId="0" borderId="10" xfId="0" applyFont="1" applyFill="1" applyBorder="1" applyAlignment="1" applyProtection="1">
      <alignment horizontal="center" vertical="center" textRotation="90"/>
      <protection hidden="1"/>
    </xf>
    <xf numFmtId="0" fontId="90" fillId="0" borderId="0" xfId="0" applyFont="1" applyFill="1" applyAlignment="1">
      <alignment horizontal="left" wrapText="1"/>
    </xf>
    <xf numFmtId="0" fontId="15" fillId="60" borderId="10" xfId="0" applyFont="1" applyFill="1" applyBorder="1" applyAlignment="1" applyProtection="1">
      <alignment horizontal="center" vertical="center"/>
      <protection hidden="1"/>
    </xf>
    <xf numFmtId="0" fontId="15" fillId="60" borderId="12" xfId="0" applyFont="1" applyFill="1" applyBorder="1" applyAlignment="1" applyProtection="1">
      <alignment horizontal="center" vertical="center"/>
      <protection hidden="1"/>
    </xf>
    <xf numFmtId="0" fontId="15" fillId="60" borderId="12" xfId="0" applyFont="1" applyFill="1" applyBorder="1" applyAlignment="1" applyProtection="1">
      <alignment horizontal="left" vertical="center" wrapText="1"/>
      <protection hidden="1"/>
    </xf>
    <xf numFmtId="0" fontId="15" fillId="60" borderId="13" xfId="0" applyFont="1" applyFill="1" applyBorder="1" applyAlignment="1" applyProtection="1">
      <alignment horizontal="left" vertical="center" wrapText="1"/>
      <protection hidden="1"/>
    </xf>
    <xf numFmtId="0" fontId="68" fillId="0" borderId="59" xfId="0" applyFont="1" applyBorder="1" applyAlignment="1">
      <alignment vertical="center" wrapText="1"/>
    </xf>
    <xf numFmtId="0" fontId="68" fillId="0" borderId="60" xfId="0" applyFont="1" applyBorder="1" applyAlignment="1">
      <alignment vertical="center" wrapText="1"/>
    </xf>
    <xf numFmtId="0" fontId="68" fillId="0" borderId="61" xfId="0" applyFont="1" applyBorder="1" applyAlignment="1">
      <alignment vertical="center" wrapText="1"/>
    </xf>
    <xf numFmtId="0" fontId="68" fillId="0" borderId="0" xfId="0" applyFont="1" applyAlignment="1">
      <alignment horizontal="left" vertical="center" wrapText="1"/>
    </xf>
    <xf numFmtId="0" fontId="68" fillId="0" borderId="0" xfId="0" applyFont="1" applyAlignment="1">
      <alignment vertical="center" wrapText="1"/>
    </xf>
    <xf numFmtId="0" fontId="16" fillId="0" borderId="0" xfId="0" applyFont="1" applyAlignment="1">
      <alignment wrapText="1"/>
    </xf>
    <xf numFmtId="0" fontId="68" fillId="0" borderId="0" xfId="0" applyFont="1" applyAlignment="1">
      <alignment horizontal="left"/>
    </xf>
    <xf numFmtId="0" fontId="104" fillId="0" borderId="0" xfId="0" applyFont="1" applyFill="1" applyAlignment="1" applyProtection="1">
      <alignment horizontal="left" vertical="center" wrapText="1"/>
      <protection hidden="1"/>
    </xf>
    <xf numFmtId="0" fontId="88" fillId="0" borderId="0" xfId="0" applyFont="1" applyFill="1" applyAlignment="1" applyProtection="1">
      <alignment horizontal="left" vertical="center" wrapText="1"/>
      <protection hidden="1"/>
    </xf>
    <xf numFmtId="0" fontId="61" fillId="0" borderId="0" xfId="0" applyFont="1" applyFill="1" applyBorder="1" applyAlignment="1" applyProtection="1">
      <alignment horizontal="left" vertical="center"/>
      <protection hidden="1"/>
    </xf>
    <xf numFmtId="0" fontId="61" fillId="0" borderId="0" xfId="0" applyFont="1" applyFill="1" applyBorder="1" applyAlignment="1" applyProtection="1">
      <alignment horizontal="center" vertical="center" wrapText="1"/>
      <protection hidden="1"/>
    </xf>
    <xf numFmtId="0" fontId="61" fillId="0" borderId="0" xfId="0" applyFont="1" applyFill="1" applyBorder="1" applyAlignment="1" applyProtection="1">
      <alignment horizontal="left" vertical="center" wrapText="1"/>
      <protection hidden="1"/>
    </xf>
    <xf numFmtId="0" fontId="77" fillId="0" borderId="0" xfId="148" applyFont="1" applyFill="1" applyAlignment="1" applyProtection="1">
      <alignment horizontal="left" vertical="center"/>
      <protection hidden="1"/>
    </xf>
    <xf numFmtId="0" fontId="66" fillId="0" borderId="0" xfId="0" applyFont="1" applyFill="1" applyAlignment="1" applyProtection="1">
      <alignment horizontal="left" vertical="center"/>
      <protection hidden="1"/>
    </xf>
    <xf numFmtId="0" fontId="8" fillId="24" borderId="0" xfId="0" applyFont="1" applyFill="1" applyAlignment="1" applyProtection="1">
      <alignment horizontal="left" wrapText="1"/>
      <protection hidden="1"/>
    </xf>
    <xf numFmtId="0" fontId="16" fillId="0" borderId="0" xfId="0" applyFont="1" applyAlignment="1">
      <alignment horizontal="left"/>
    </xf>
    <xf numFmtId="0" fontId="68" fillId="0" borderId="0" xfId="0" applyFont="1" applyFill="1" applyBorder="1" applyAlignment="1" applyProtection="1">
      <alignment horizontal="left" wrapText="1"/>
      <protection hidden="1"/>
    </xf>
    <xf numFmtId="0" fontId="65" fillId="0" borderId="0" xfId="0" applyFont="1" applyFill="1" applyAlignment="1" applyProtection="1">
      <alignment vertical="top" wrapText="1"/>
      <protection hidden="1"/>
    </xf>
    <xf numFmtId="0" fontId="0" fillId="0" borderId="0" xfId="0" applyAlignment="1">
      <alignment vertical="top" wrapText="1"/>
    </xf>
    <xf numFmtId="0" fontId="0" fillId="0" borderId="0" xfId="0" applyAlignment="1">
      <alignment horizontal="left" vertical="center"/>
    </xf>
    <xf numFmtId="0" fontId="16" fillId="0" borderId="0" xfId="0" applyFont="1" applyFill="1" applyBorder="1" applyAlignment="1" applyProtection="1">
      <alignment horizontal="center" vertical="center" textRotation="90"/>
      <protection hidden="1"/>
    </xf>
    <xf numFmtId="0" fontId="59" fillId="0" borderId="0" xfId="0" applyFont="1" applyFill="1" applyBorder="1" applyAlignment="1" applyProtection="1">
      <alignment horizontal="center" vertical="center" textRotation="90"/>
      <protection hidden="1"/>
    </xf>
    <xf numFmtId="0" fontId="16" fillId="0" borderId="0" xfId="0" applyFont="1" applyFill="1" applyBorder="1" applyAlignment="1" applyProtection="1">
      <alignment horizontal="center" vertical="center" wrapText="1"/>
      <protection hidden="1"/>
    </xf>
    <xf numFmtId="0" fontId="59" fillId="0" borderId="0" xfId="0" applyFont="1" applyFill="1" applyBorder="1" applyAlignment="1" applyProtection="1">
      <alignment horizontal="center" vertical="center"/>
      <protection hidden="1"/>
    </xf>
    <xf numFmtId="0" fontId="79" fillId="0" borderId="0" xfId="0" applyFont="1" applyFill="1" applyBorder="1" applyAlignment="1" applyProtection="1">
      <alignment horizontal="left" vertical="center" wrapText="1"/>
      <protection hidden="1"/>
    </xf>
    <xf numFmtId="0" fontId="61" fillId="58" borderId="58" xfId="0" applyFont="1" applyFill="1" applyBorder="1" applyAlignment="1" applyProtection="1">
      <alignment horizontal="left" vertical="center"/>
      <protection locked="0"/>
    </xf>
    <xf numFmtId="0" fontId="61" fillId="58" borderId="38" xfId="0" applyFont="1" applyFill="1" applyBorder="1" applyAlignment="1" applyProtection="1">
      <alignment horizontal="left" vertical="center"/>
      <protection locked="0"/>
    </xf>
    <xf numFmtId="0" fontId="78" fillId="0" borderId="0" xfId="0" applyFont="1" applyFill="1" applyBorder="1" applyAlignment="1" applyProtection="1">
      <alignment horizontal="left" vertical="center" wrapText="1"/>
      <protection hidden="1"/>
    </xf>
    <xf numFmtId="0" fontId="16" fillId="0" borderId="47" xfId="0" applyFont="1" applyFill="1" applyBorder="1" applyAlignment="1" applyProtection="1">
      <alignment horizontal="left" vertical="center" wrapText="1"/>
      <protection locked="0"/>
    </xf>
    <xf numFmtId="0" fontId="16" fillId="0" borderId="49" xfId="0"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hidden="1"/>
    </xf>
    <xf numFmtId="0" fontId="68" fillId="0" borderId="0" xfId="0" applyFont="1" applyFill="1" applyBorder="1" applyAlignment="1" applyProtection="1">
      <alignment horizontal="left" vertical="center" wrapText="1"/>
      <protection locked="0" hidden="1"/>
    </xf>
    <xf numFmtId="0" fontId="0" fillId="0" borderId="0" xfId="0" applyAlignment="1">
      <alignment horizontal="left" vertical="center" wrapText="1"/>
    </xf>
    <xf numFmtId="0" fontId="71" fillId="0" borderId="0" xfId="0" applyFont="1" applyFill="1" applyBorder="1" applyAlignment="1" applyProtection="1">
      <alignment horizontal="left" vertical="center" wrapText="1"/>
      <protection hidden="1"/>
    </xf>
    <xf numFmtId="0" fontId="59" fillId="0" borderId="0" xfId="0" applyFont="1" applyFill="1" applyBorder="1" applyAlignment="1" applyProtection="1">
      <alignment horizontal="center" vertical="center" wrapText="1"/>
      <protection hidden="1"/>
    </xf>
    <xf numFmtId="0" fontId="16" fillId="0" borderId="11" xfId="0" applyFont="1" applyFill="1" applyBorder="1" applyAlignment="1" applyProtection="1">
      <alignment horizontal="center" vertical="center" textRotation="90"/>
      <protection hidden="1"/>
    </xf>
    <xf numFmtId="0" fontId="16" fillId="0" borderId="15" xfId="0" applyFont="1" applyFill="1" applyBorder="1" applyAlignment="1" applyProtection="1">
      <alignment horizontal="center" vertical="center" textRotation="90"/>
      <protection hidden="1"/>
    </xf>
    <xf numFmtId="0" fontId="16" fillId="0" borderId="16" xfId="0" applyFont="1" applyFill="1" applyBorder="1" applyAlignment="1" applyProtection="1">
      <alignment horizontal="center" vertical="center" textRotation="90"/>
      <protection hidden="1"/>
    </xf>
    <xf numFmtId="0" fontId="16" fillId="0" borderId="12" xfId="0" applyFont="1" applyFill="1" applyBorder="1" applyAlignment="1" applyProtection="1">
      <alignment horizontal="center" vertical="center" wrapText="1"/>
      <protection hidden="1"/>
    </xf>
    <xf numFmtId="0" fontId="16" fillId="0" borderId="13" xfId="0" applyFont="1" applyFill="1" applyBorder="1" applyAlignment="1" applyProtection="1">
      <alignment horizontal="center" vertical="center" wrapText="1"/>
      <protection hidden="1"/>
    </xf>
    <xf numFmtId="0" fontId="68" fillId="0" borderId="0" xfId="0" applyFont="1" applyFill="1" applyAlignment="1" applyProtection="1">
      <alignment horizontal="left" vertical="center" wrapText="1"/>
      <protection hidden="1"/>
    </xf>
    <xf numFmtId="0" fontId="68" fillId="0" borderId="0" xfId="0" applyFont="1" applyAlignment="1">
      <alignment horizontal="left" vertical="center"/>
    </xf>
    <xf numFmtId="0" fontId="68" fillId="0" borderId="0" xfId="0" applyFont="1" applyFill="1" applyAlignment="1" applyProtection="1">
      <alignment horizontal="left" wrapText="1"/>
      <protection hidden="1"/>
    </xf>
    <xf numFmtId="0" fontId="68" fillId="0" borderId="0" xfId="0" applyFont="1" applyFill="1" applyBorder="1" applyAlignment="1" applyProtection="1">
      <alignment horizontal="left" vertical="top" wrapText="1"/>
      <protection hidden="1"/>
    </xf>
    <xf numFmtId="0" fontId="104" fillId="0" borderId="0" xfId="0" applyFont="1" applyFill="1" applyBorder="1" applyAlignment="1" applyProtection="1">
      <alignment horizontal="center" vertical="top" wrapText="1"/>
      <protection hidden="1"/>
    </xf>
    <xf numFmtId="0" fontId="61" fillId="57" borderId="50" xfId="0" applyFont="1" applyFill="1" applyBorder="1" applyAlignment="1" applyProtection="1">
      <alignment horizontal="left" vertical="center"/>
      <protection hidden="1"/>
    </xf>
    <xf numFmtId="0" fontId="61" fillId="57" borderId="51" xfId="0" applyFont="1" applyFill="1" applyBorder="1" applyAlignment="1" applyProtection="1">
      <alignment horizontal="left" vertical="center"/>
      <protection hidden="1"/>
    </xf>
    <xf numFmtId="0" fontId="16" fillId="0" borderId="47" xfId="0" applyFont="1" applyFill="1" applyBorder="1" applyAlignment="1" applyProtection="1">
      <alignment horizontal="left" vertical="center"/>
      <protection hidden="1"/>
    </xf>
    <xf numFmtId="0" fontId="16" fillId="0" borderId="49" xfId="0" applyFont="1" applyFill="1" applyBorder="1" applyAlignment="1" applyProtection="1">
      <alignment horizontal="left" vertical="center"/>
      <protection hidden="1"/>
    </xf>
    <xf numFmtId="0" fontId="16" fillId="0" borderId="48" xfId="0" applyFont="1" applyFill="1" applyBorder="1" applyAlignment="1" applyProtection="1">
      <alignment horizontal="left" vertical="center"/>
      <protection hidden="1"/>
    </xf>
    <xf numFmtId="0" fontId="61" fillId="57" borderId="44" xfId="0" applyFont="1" applyFill="1" applyBorder="1" applyAlignment="1" applyProtection="1">
      <alignment horizontal="center" vertical="top" wrapText="1"/>
      <protection hidden="1"/>
    </xf>
    <xf numFmtId="0" fontId="61" fillId="57" borderId="45" xfId="0" applyFont="1" applyFill="1" applyBorder="1" applyAlignment="1" applyProtection="1">
      <alignment horizontal="center" vertical="top" wrapText="1"/>
      <protection hidden="1"/>
    </xf>
    <xf numFmtId="0" fontId="68" fillId="0" borderId="12" xfId="0" applyFont="1" applyFill="1" applyBorder="1" applyAlignment="1" applyProtection="1">
      <alignment horizontal="center" vertical="center" wrapText="1"/>
      <protection hidden="1"/>
    </xf>
    <xf numFmtId="0" fontId="68" fillId="0" borderId="13" xfId="0" applyFont="1" applyFill="1" applyBorder="1" applyAlignment="1" applyProtection="1">
      <alignment horizontal="center" vertical="center" wrapText="1"/>
      <protection hidden="1"/>
    </xf>
    <xf numFmtId="0" fontId="61" fillId="58" borderId="52" xfId="0" applyFont="1" applyFill="1" applyBorder="1" applyAlignment="1" applyProtection="1">
      <alignment horizontal="left" vertical="center"/>
      <protection hidden="1"/>
    </xf>
    <xf numFmtId="0" fontId="61" fillId="58" borderId="53" xfId="0" applyFont="1" applyFill="1" applyBorder="1" applyAlignment="1" applyProtection="1">
      <alignment horizontal="left" vertical="center"/>
      <protection hidden="1"/>
    </xf>
    <xf numFmtId="0" fontId="61" fillId="58" borderId="54" xfId="0" applyFont="1" applyFill="1" applyBorder="1" applyAlignment="1" applyProtection="1">
      <alignment horizontal="left" vertical="center"/>
      <protection hidden="1"/>
    </xf>
    <xf numFmtId="0" fontId="68" fillId="0" borderId="12" xfId="0"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89" fillId="0" borderId="47" xfId="0" applyFont="1" applyFill="1" applyBorder="1" applyAlignment="1" applyProtection="1">
      <alignment vertical="center"/>
      <protection locked="0"/>
    </xf>
    <xf numFmtId="0" fontId="89" fillId="0" borderId="49" xfId="0" applyFont="1" applyFill="1" applyBorder="1" applyAlignment="1" applyProtection="1">
      <alignment vertical="center"/>
      <protection locked="0"/>
    </xf>
    <xf numFmtId="0" fontId="61" fillId="58" borderId="52" xfId="0" applyFont="1" applyFill="1" applyBorder="1" applyAlignment="1" applyProtection="1">
      <alignment horizontal="left" vertical="center" wrapText="1"/>
      <protection locked="0"/>
    </xf>
    <xf numFmtId="0" fontId="61" fillId="58" borderId="53" xfId="0" applyFont="1" applyFill="1" applyBorder="1" applyAlignment="1" applyProtection="1">
      <alignment horizontal="left" vertical="center" wrapText="1"/>
      <protection locked="0"/>
    </xf>
    <xf numFmtId="0" fontId="61" fillId="58" borderId="54" xfId="0" applyFont="1" applyFill="1" applyBorder="1" applyAlignment="1" applyProtection="1">
      <alignment horizontal="left" vertical="center" wrapText="1"/>
      <protection locked="0"/>
    </xf>
    <xf numFmtId="0" fontId="89" fillId="0" borderId="47" xfId="0" applyFont="1" applyFill="1" applyBorder="1" applyAlignment="1" applyProtection="1">
      <alignment horizontal="left" vertical="center" wrapText="1"/>
      <protection locked="0"/>
    </xf>
    <xf numFmtId="0" fontId="89" fillId="0" borderId="48" xfId="0" applyFont="1" applyFill="1" applyBorder="1" applyAlignment="1" applyProtection="1">
      <alignment horizontal="left" vertical="center" wrapText="1"/>
      <protection locked="0"/>
    </xf>
    <xf numFmtId="0" fontId="89" fillId="0" borderId="49" xfId="0" applyFont="1" applyFill="1" applyBorder="1" applyAlignment="1" applyProtection="1">
      <alignment horizontal="left" vertical="center" wrapText="1"/>
      <protection locked="0"/>
    </xf>
    <xf numFmtId="0" fontId="68" fillId="0" borderId="0" xfId="0" applyFont="1" applyAlignment="1"/>
    <xf numFmtId="0" fontId="77" fillId="0" borderId="0" xfId="148" applyFont="1" applyAlignment="1" applyProtection="1">
      <alignment horizontal="left"/>
    </xf>
    <xf numFmtId="0" fontId="8" fillId="0" borderId="0" xfId="0" applyNumberFormat="1" applyFont="1" applyFill="1" applyBorder="1" applyAlignment="1" applyProtection="1">
      <alignment horizontal="left" wrapText="1"/>
      <protection hidden="1"/>
    </xf>
    <xf numFmtId="0" fontId="16" fillId="0" borderId="0" xfId="0" applyFont="1" applyAlignment="1">
      <alignment vertical="center"/>
    </xf>
    <xf numFmtId="0" fontId="68" fillId="0" borderId="59" xfId="0" applyFont="1" applyBorder="1" applyAlignment="1">
      <alignment horizontal="left" vertical="center" wrapText="1"/>
    </xf>
    <xf numFmtId="0" fontId="68" fillId="0" borderId="60" xfId="0" applyFont="1" applyBorder="1" applyAlignment="1">
      <alignment horizontal="left" vertical="center" wrapText="1"/>
    </xf>
    <xf numFmtId="0" fontId="68" fillId="0" borderId="61" xfId="0" applyFont="1" applyBorder="1" applyAlignment="1">
      <alignment horizontal="left" vertical="center" wrapText="1"/>
    </xf>
    <xf numFmtId="11" fontId="0" fillId="0" borderId="0" xfId="0" applyNumberFormat="1"/>
  </cellXfs>
  <cellStyles count="785">
    <cellStyle name="20% - Accent1" xfId="1" builtinId="30" customBuiltin="1"/>
    <cellStyle name="20% - Accent1 10" xfId="432"/>
    <cellStyle name="20% - Accent1 11" xfId="477"/>
    <cellStyle name="20% - Accent1 12" xfId="547"/>
    <cellStyle name="20% - Accent1 13" xfId="568"/>
    <cellStyle name="20% - Accent1 14" xfId="685"/>
    <cellStyle name="20% - Accent1 15" xfId="733"/>
    <cellStyle name="20% - Accent1 2" xfId="2"/>
    <cellStyle name="20% - Accent1 3" xfId="3"/>
    <cellStyle name="20% - Accent1 3 2" xfId="260"/>
    <cellStyle name="20% - Accent1 3 2 2" xfId="639"/>
    <cellStyle name="20% - Accent1 3 3" xfId="569"/>
    <cellStyle name="20% - Accent1 4" xfId="4"/>
    <cellStyle name="20% - Accent1 5" xfId="202"/>
    <cellStyle name="20% - Accent1 6" xfId="248"/>
    <cellStyle name="20% - Accent1 6 2" xfId="261"/>
    <cellStyle name="20% - Accent1 6 2 2" xfId="640"/>
    <cellStyle name="20% - Accent1 6 3" xfId="627"/>
    <cellStyle name="20% - Accent1 7" xfId="262"/>
    <cellStyle name="20% - Accent1 8" xfId="263"/>
    <cellStyle name="20% - Accent1 8 2" xfId="641"/>
    <cellStyle name="20% - Accent1 9" xfId="264"/>
    <cellStyle name="20% - Accent2" xfId="5" builtinId="34" customBuiltin="1"/>
    <cellStyle name="20% - Accent2 10" xfId="433"/>
    <cellStyle name="20% - Accent2 11" xfId="478"/>
    <cellStyle name="20% - Accent2 12" xfId="540"/>
    <cellStyle name="20% - Accent2 13" xfId="570"/>
    <cellStyle name="20% - Accent2 14" xfId="686"/>
    <cellStyle name="20% - Accent2 15" xfId="734"/>
    <cellStyle name="20% - Accent2 2" xfId="6"/>
    <cellStyle name="20% - Accent2 3" xfId="7"/>
    <cellStyle name="20% - Accent2 3 2" xfId="265"/>
    <cellStyle name="20% - Accent2 3 2 2" xfId="642"/>
    <cellStyle name="20% - Accent2 3 3" xfId="571"/>
    <cellStyle name="20% - Accent2 4" xfId="8"/>
    <cellStyle name="20% - Accent2 5" xfId="203"/>
    <cellStyle name="20% - Accent2 6" xfId="250"/>
    <cellStyle name="20% - Accent2 6 2" xfId="266"/>
    <cellStyle name="20% - Accent2 6 2 2" xfId="643"/>
    <cellStyle name="20% - Accent2 6 3" xfId="629"/>
    <cellStyle name="20% - Accent2 7" xfId="267"/>
    <cellStyle name="20% - Accent2 8" xfId="268"/>
    <cellStyle name="20% - Accent2 8 2" xfId="644"/>
    <cellStyle name="20% - Accent2 9" xfId="269"/>
    <cellStyle name="20% - Accent3" xfId="9" builtinId="38" customBuiltin="1"/>
    <cellStyle name="20% - Accent3 10" xfId="434"/>
    <cellStyle name="20% - Accent3 11" xfId="479"/>
    <cellStyle name="20% - Accent3 12" xfId="495"/>
    <cellStyle name="20% - Accent3 13" xfId="572"/>
    <cellStyle name="20% - Accent3 14" xfId="687"/>
    <cellStyle name="20% - Accent3 15" xfId="735"/>
    <cellStyle name="20% - Accent3 2" xfId="10"/>
    <cellStyle name="20% - Accent3 3" xfId="11"/>
    <cellStyle name="20% - Accent3 3 2" xfId="270"/>
    <cellStyle name="20% - Accent3 3 2 2" xfId="645"/>
    <cellStyle name="20% - Accent3 3 3" xfId="573"/>
    <cellStyle name="20% - Accent3 4" xfId="12"/>
    <cellStyle name="20% - Accent3 5" xfId="204"/>
    <cellStyle name="20% - Accent3 6" xfId="252"/>
    <cellStyle name="20% - Accent3 6 2" xfId="271"/>
    <cellStyle name="20% - Accent3 6 2 2" xfId="646"/>
    <cellStyle name="20% - Accent3 6 3" xfId="631"/>
    <cellStyle name="20% - Accent3 7" xfId="272"/>
    <cellStyle name="20% - Accent3 8" xfId="273"/>
    <cellStyle name="20% - Accent3 8 2" xfId="647"/>
    <cellStyle name="20% - Accent3 9" xfId="274"/>
    <cellStyle name="20% - Accent4" xfId="13" builtinId="42" customBuiltin="1"/>
    <cellStyle name="20% - Accent4 10" xfId="435"/>
    <cellStyle name="20% - Accent4 11" xfId="480"/>
    <cellStyle name="20% - Accent4 12" xfId="484"/>
    <cellStyle name="20% - Accent4 13" xfId="574"/>
    <cellStyle name="20% - Accent4 14" xfId="688"/>
    <cellStyle name="20% - Accent4 15" xfId="736"/>
    <cellStyle name="20% - Accent4 2" xfId="14"/>
    <cellStyle name="20% - Accent4 3" xfId="15"/>
    <cellStyle name="20% - Accent4 3 2" xfId="275"/>
    <cellStyle name="20% - Accent4 3 2 2" xfId="648"/>
    <cellStyle name="20% - Accent4 3 3" xfId="575"/>
    <cellStyle name="20% - Accent4 4" xfId="16"/>
    <cellStyle name="20% - Accent4 5" xfId="205"/>
    <cellStyle name="20% - Accent4 6" xfId="254"/>
    <cellStyle name="20% - Accent4 6 2" xfId="276"/>
    <cellStyle name="20% - Accent4 6 2 2" xfId="649"/>
    <cellStyle name="20% - Accent4 6 3" xfId="633"/>
    <cellStyle name="20% - Accent4 7" xfId="277"/>
    <cellStyle name="20% - Accent4 8" xfId="278"/>
    <cellStyle name="20% - Accent4 8 2" xfId="650"/>
    <cellStyle name="20% - Accent4 9" xfId="279"/>
    <cellStyle name="20% - Accent5" xfId="17" builtinId="46" customBuiltin="1"/>
    <cellStyle name="20% - Accent5 10" xfId="436"/>
    <cellStyle name="20% - Accent5 11" xfId="481"/>
    <cellStyle name="20% - Accent5 12" xfId="536"/>
    <cellStyle name="20% - Accent5 13" xfId="576"/>
    <cellStyle name="20% - Accent5 14" xfId="689"/>
    <cellStyle name="20% - Accent5 15" xfId="737"/>
    <cellStyle name="20% - Accent5 2" xfId="18"/>
    <cellStyle name="20% - Accent5 3" xfId="19"/>
    <cellStyle name="20% - Accent5 3 2" xfId="280"/>
    <cellStyle name="20% - Accent5 3 2 2" xfId="651"/>
    <cellStyle name="20% - Accent5 3 3" xfId="577"/>
    <cellStyle name="20% - Accent5 4" xfId="20"/>
    <cellStyle name="20% - Accent5 5" xfId="206"/>
    <cellStyle name="20% - Accent5 6" xfId="256"/>
    <cellStyle name="20% - Accent5 6 2" xfId="281"/>
    <cellStyle name="20% - Accent5 6 2 2" xfId="652"/>
    <cellStyle name="20% - Accent5 6 3" xfId="635"/>
    <cellStyle name="20% - Accent5 7" xfId="282"/>
    <cellStyle name="20% - Accent5 8" xfId="283"/>
    <cellStyle name="20% - Accent5 8 2" xfId="653"/>
    <cellStyle name="20% - Accent5 9" xfId="284"/>
    <cellStyle name="20% - Accent6" xfId="21" builtinId="50" customBuiltin="1"/>
    <cellStyle name="20% - Accent6 10" xfId="437"/>
    <cellStyle name="20% - Accent6 11" xfId="482"/>
    <cellStyle name="20% - Accent6 12" xfId="541"/>
    <cellStyle name="20% - Accent6 13" xfId="578"/>
    <cellStyle name="20% - Accent6 14" xfId="690"/>
    <cellStyle name="20% - Accent6 15" xfId="738"/>
    <cellStyle name="20% - Accent6 2" xfId="22"/>
    <cellStyle name="20% - Accent6 3" xfId="23"/>
    <cellStyle name="20% - Accent6 3 2" xfId="285"/>
    <cellStyle name="20% - Accent6 3 2 2" xfId="654"/>
    <cellStyle name="20% - Accent6 3 3" xfId="579"/>
    <cellStyle name="20% - Accent6 4" xfId="24"/>
    <cellStyle name="20% - Accent6 5" xfId="207"/>
    <cellStyle name="20% - Accent6 6" xfId="258"/>
    <cellStyle name="20% - Accent6 6 2" xfId="286"/>
    <cellStyle name="20% - Accent6 6 2 2" xfId="655"/>
    <cellStyle name="20% - Accent6 6 3" xfId="637"/>
    <cellStyle name="20% - Accent6 7" xfId="287"/>
    <cellStyle name="20% - Accent6 8" xfId="288"/>
    <cellStyle name="20% - Accent6 8 2" xfId="656"/>
    <cellStyle name="20% - Accent6 9" xfId="289"/>
    <cellStyle name="40% - Accent1" xfId="25" builtinId="31" customBuiltin="1"/>
    <cellStyle name="40% - Accent1 10" xfId="438"/>
    <cellStyle name="40% - Accent1 11" xfId="483"/>
    <cellStyle name="40% - Accent1 12" xfId="535"/>
    <cellStyle name="40% - Accent1 13" xfId="580"/>
    <cellStyle name="40% - Accent1 14" xfId="691"/>
    <cellStyle name="40% - Accent1 15" xfId="739"/>
    <cellStyle name="40% - Accent1 2" xfId="26"/>
    <cellStyle name="40% - Accent1 3" xfId="27"/>
    <cellStyle name="40% - Accent1 3 2" xfId="290"/>
    <cellStyle name="40% - Accent1 3 2 2" xfId="657"/>
    <cellStyle name="40% - Accent1 3 3" xfId="581"/>
    <cellStyle name="40% - Accent1 4" xfId="28"/>
    <cellStyle name="40% - Accent1 5" xfId="208"/>
    <cellStyle name="40% - Accent1 6" xfId="249"/>
    <cellStyle name="40% - Accent1 6 2" xfId="291"/>
    <cellStyle name="40% - Accent1 6 2 2" xfId="658"/>
    <cellStyle name="40% - Accent1 6 3" xfId="628"/>
    <cellStyle name="40% - Accent1 7" xfId="292"/>
    <cellStyle name="40% - Accent1 8" xfId="293"/>
    <cellStyle name="40% - Accent1 8 2" xfId="659"/>
    <cellStyle name="40% - Accent1 9" xfId="294"/>
    <cellStyle name="40% - Accent2" xfId="29" builtinId="35" customBuiltin="1"/>
    <cellStyle name="40% - Accent2 10" xfId="439"/>
    <cellStyle name="40% - Accent2 11" xfId="485"/>
    <cellStyle name="40% - Accent2 12" xfId="551"/>
    <cellStyle name="40% - Accent2 13" xfId="582"/>
    <cellStyle name="40% - Accent2 14" xfId="692"/>
    <cellStyle name="40% - Accent2 15" xfId="740"/>
    <cellStyle name="40% - Accent2 2" xfId="30"/>
    <cellStyle name="40% - Accent2 3" xfId="31"/>
    <cellStyle name="40% - Accent2 3 2" xfId="295"/>
    <cellStyle name="40% - Accent2 3 2 2" xfId="660"/>
    <cellStyle name="40% - Accent2 3 3" xfId="583"/>
    <cellStyle name="40% - Accent2 4" xfId="32"/>
    <cellStyle name="40% - Accent2 5" xfId="209"/>
    <cellStyle name="40% - Accent2 6" xfId="251"/>
    <cellStyle name="40% - Accent2 6 2" xfId="296"/>
    <cellStyle name="40% - Accent2 6 2 2" xfId="661"/>
    <cellStyle name="40% - Accent2 6 3" xfId="630"/>
    <cellStyle name="40% - Accent2 7" xfId="297"/>
    <cellStyle name="40% - Accent2 8" xfId="298"/>
    <cellStyle name="40% - Accent2 8 2" xfId="662"/>
    <cellStyle name="40% - Accent2 9" xfId="299"/>
    <cellStyle name="40% - Accent3" xfId="33" builtinId="39" customBuiltin="1"/>
    <cellStyle name="40% - Accent3 10" xfId="440"/>
    <cellStyle name="40% - Accent3 11" xfId="486"/>
    <cellStyle name="40% - Accent3 12" xfId="494"/>
    <cellStyle name="40% - Accent3 13" xfId="584"/>
    <cellStyle name="40% - Accent3 14" xfId="693"/>
    <cellStyle name="40% - Accent3 15" xfId="741"/>
    <cellStyle name="40% - Accent3 2" xfId="34"/>
    <cellStyle name="40% - Accent3 3" xfId="35"/>
    <cellStyle name="40% - Accent3 3 2" xfId="300"/>
    <cellStyle name="40% - Accent3 3 2 2" xfId="663"/>
    <cellStyle name="40% - Accent3 3 3" xfId="585"/>
    <cellStyle name="40% - Accent3 4" xfId="36"/>
    <cellStyle name="40% - Accent3 5" xfId="210"/>
    <cellStyle name="40% - Accent3 6" xfId="253"/>
    <cellStyle name="40% - Accent3 6 2" xfId="301"/>
    <cellStyle name="40% - Accent3 6 2 2" xfId="664"/>
    <cellStyle name="40% - Accent3 6 3" xfId="632"/>
    <cellStyle name="40% - Accent3 7" xfId="302"/>
    <cellStyle name="40% - Accent3 8" xfId="303"/>
    <cellStyle name="40% - Accent3 8 2" xfId="665"/>
    <cellStyle name="40% - Accent3 9" xfId="304"/>
    <cellStyle name="40% - Accent4" xfId="37" builtinId="43" customBuiltin="1"/>
    <cellStyle name="40% - Accent4 10" xfId="441"/>
    <cellStyle name="40% - Accent4 11" xfId="487"/>
    <cellStyle name="40% - Accent4 12" xfId="546"/>
    <cellStyle name="40% - Accent4 13" xfId="586"/>
    <cellStyle name="40% - Accent4 14" xfId="694"/>
    <cellStyle name="40% - Accent4 15" xfId="742"/>
    <cellStyle name="40% - Accent4 2" xfId="38"/>
    <cellStyle name="40% - Accent4 3" xfId="39"/>
    <cellStyle name="40% - Accent4 3 2" xfId="305"/>
    <cellStyle name="40% - Accent4 3 2 2" xfId="666"/>
    <cellStyle name="40% - Accent4 3 3" xfId="587"/>
    <cellStyle name="40% - Accent4 4" xfId="40"/>
    <cellStyle name="40% - Accent4 5" xfId="211"/>
    <cellStyle name="40% - Accent4 6" xfId="255"/>
    <cellStyle name="40% - Accent4 6 2" xfId="306"/>
    <cellStyle name="40% - Accent4 6 2 2" xfId="667"/>
    <cellStyle name="40% - Accent4 6 3" xfId="634"/>
    <cellStyle name="40% - Accent4 7" xfId="307"/>
    <cellStyle name="40% - Accent4 8" xfId="308"/>
    <cellStyle name="40% - Accent4 8 2" xfId="668"/>
    <cellStyle name="40% - Accent4 9" xfId="309"/>
    <cellStyle name="40% - Accent5" xfId="41" builtinId="47" customBuiltin="1"/>
    <cellStyle name="40% - Accent5 10" xfId="442"/>
    <cellStyle name="40% - Accent5 11" xfId="488"/>
    <cellStyle name="40% - Accent5 12" xfId="553"/>
    <cellStyle name="40% - Accent5 13" xfId="588"/>
    <cellStyle name="40% - Accent5 14" xfId="695"/>
    <cellStyle name="40% - Accent5 15" xfId="743"/>
    <cellStyle name="40% - Accent5 2" xfId="42"/>
    <cellStyle name="40% - Accent5 3" xfId="43"/>
    <cellStyle name="40% - Accent5 3 2" xfId="310"/>
    <cellStyle name="40% - Accent5 3 2 2" xfId="669"/>
    <cellStyle name="40% - Accent5 3 3" xfId="589"/>
    <cellStyle name="40% - Accent5 4" xfId="44"/>
    <cellStyle name="40% - Accent5 5" xfId="212"/>
    <cellStyle name="40% - Accent5 6" xfId="257"/>
    <cellStyle name="40% - Accent5 6 2" xfId="311"/>
    <cellStyle name="40% - Accent5 6 2 2" xfId="670"/>
    <cellStyle name="40% - Accent5 6 3" xfId="636"/>
    <cellStyle name="40% - Accent5 7" xfId="312"/>
    <cellStyle name="40% - Accent5 8" xfId="313"/>
    <cellStyle name="40% - Accent5 8 2" xfId="671"/>
    <cellStyle name="40% - Accent5 9" xfId="314"/>
    <cellStyle name="40% - Accent6" xfId="45" builtinId="51" customBuiltin="1"/>
    <cellStyle name="40% - Accent6 10" xfId="443"/>
    <cellStyle name="40% - Accent6 11" xfId="489"/>
    <cellStyle name="40% - Accent6 12" xfId="556"/>
    <cellStyle name="40% - Accent6 13" xfId="590"/>
    <cellStyle name="40% - Accent6 14" xfId="696"/>
    <cellStyle name="40% - Accent6 15" xfId="744"/>
    <cellStyle name="40% - Accent6 2" xfId="46"/>
    <cellStyle name="40% - Accent6 3" xfId="47"/>
    <cellStyle name="40% - Accent6 3 2" xfId="315"/>
    <cellStyle name="40% - Accent6 3 2 2" xfId="672"/>
    <cellStyle name="40% - Accent6 3 3" xfId="591"/>
    <cellStyle name="40% - Accent6 4" xfId="48"/>
    <cellStyle name="40% - Accent6 5" xfId="213"/>
    <cellStyle name="40% - Accent6 6" xfId="259"/>
    <cellStyle name="40% - Accent6 6 2" xfId="316"/>
    <cellStyle name="40% - Accent6 6 2 2" xfId="673"/>
    <cellStyle name="40% - Accent6 6 3" xfId="638"/>
    <cellStyle name="40% - Accent6 7" xfId="317"/>
    <cellStyle name="40% - Accent6 8" xfId="318"/>
    <cellStyle name="40% - Accent6 8 2" xfId="674"/>
    <cellStyle name="40% - Accent6 9" xfId="319"/>
    <cellStyle name="60% - Accent1" xfId="49" builtinId="32" customBuiltin="1"/>
    <cellStyle name="60% - Accent1 10" xfId="539"/>
    <cellStyle name="60% - Accent1 11" xfId="592"/>
    <cellStyle name="60% - Accent1 12" xfId="697"/>
    <cellStyle name="60% - Accent1 13" xfId="745"/>
    <cellStyle name="60% - Accent1 2" xfId="50"/>
    <cellStyle name="60% - Accent1 3" xfId="51"/>
    <cellStyle name="60% - Accent1 4" xfId="52"/>
    <cellStyle name="60% - Accent1 5" xfId="214"/>
    <cellStyle name="60% - Accent1 6" xfId="320"/>
    <cellStyle name="60% - Accent1 7" xfId="321"/>
    <cellStyle name="60% - Accent1 8" xfId="444"/>
    <cellStyle name="60% - Accent1 9" xfId="490"/>
    <cellStyle name="60% - Accent2" xfId="53" builtinId="36" customBuiltin="1"/>
    <cellStyle name="60% - Accent2 10" xfId="542"/>
    <cellStyle name="60% - Accent2 11" xfId="593"/>
    <cellStyle name="60% - Accent2 12" xfId="698"/>
    <cellStyle name="60% - Accent2 13" xfId="746"/>
    <cellStyle name="60% - Accent2 2" xfId="54"/>
    <cellStyle name="60% - Accent2 3" xfId="55"/>
    <cellStyle name="60% - Accent2 4" xfId="56"/>
    <cellStyle name="60% - Accent2 5" xfId="215"/>
    <cellStyle name="60% - Accent2 6" xfId="322"/>
    <cellStyle name="60% - Accent2 7" xfId="323"/>
    <cellStyle name="60% - Accent2 8" xfId="445"/>
    <cellStyle name="60% - Accent2 9" xfId="491"/>
    <cellStyle name="60% - Accent3" xfId="57" builtinId="40" customBuiltin="1"/>
    <cellStyle name="60% - Accent3 10" xfId="499"/>
    <cellStyle name="60% - Accent3 11" xfId="594"/>
    <cellStyle name="60% - Accent3 12" xfId="699"/>
    <cellStyle name="60% - Accent3 13" xfId="747"/>
    <cellStyle name="60% - Accent3 2" xfId="58"/>
    <cellStyle name="60% - Accent3 3" xfId="59"/>
    <cellStyle name="60% - Accent3 4" xfId="60"/>
    <cellStyle name="60% - Accent3 5" xfId="216"/>
    <cellStyle name="60% - Accent3 6" xfId="324"/>
    <cellStyle name="60% - Accent3 7" xfId="325"/>
    <cellStyle name="60% - Accent3 8" xfId="446"/>
    <cellStyle name="60% - Accent3 9" xfId="493"/>
    <cellStyle name="60% - Accent4" xfId="61" builtinId="44" customBuiltin="1"/>
    <cellStyle name="60% - Accent4 10" xfId="492"/>
    <cellStyle name="60% - Accent4 11" xfId="595"/>
    <cellStyle name="60% - Accent4 12" xfId="700"/>
    <cellStyle name="60% - Accent4 13" xfId="748"/>
    <cellStyle name="60% - Accent4 2" xfId="62"/>
    <cellStyle name="60% - Accent4 3" xfId="63"/>
    <cellStyle name="60% - Accent4 4" xfId="64"/>
    <cellStyle name="60% - Accent4 5" xfId="217"/>
    <cellStyle name="60% - Accent4 6" xfId="326"/>
    <cellStyle name="60% - Accent4 7" xfId="327"/>
    <cellStyle name="60% - Accent4 8" xfId="447"/>
    <cellStyle name="60% - Accent4 9" xfId="496"/>
    <cellStyle name="60% - Accent5" xfId="65" builtinId="48" customBuiltin="1"/>
    <cellStyle name="60% - Accent5 10" xfId="522"/>
    <cellStyle name="60% - Accent5 11" xfId="596"/>
    <cellStyle name="60% - Accent5 12" xfId="701"/>
    <cellStyle name="60% - Accent5 13" xfId="749"/>
    <cellStyle name="60% - Accent5 2" xfId="66"/>
    <cellStyle name="60% - Accent5 3" xfId="67"/>
    <cellStyle name="60% - Accent5 4" xfId="68"/>
    <cellStyle name="60% - Accent5 5" xfId="218"/>
    <cellStyle name="60% - Accent5 6" xfId="328"/>
    <cellStyle name="60% - Accent5 7" xfId="329"/>
    <cellStyle name="60% - Accent5 8" xfId="448"/>
    <cellStyle name="60% - Accent5 9" xfId="497"/>
    <cellStyle name="60% - Accent6" xfId="69" builtinId="52" customBuiltin="1"/>
    <cellStyle name="60% - Accent6 10" xfId="505"/>
    <cellStyle name="60% - Accent6 11" xfId="597"/>
    <cellStyle name="60% - Accent6 12" xfId="702"/>
    <cellStyle name="60% - Accent6 13" xfId="750"/>
    <cellStyle name="60% - Accent6 2" xfId="70"/>
    <cellStyle name="60% - Accent6 3" xfId="71"/>
    <cellStyle name="60% - Accent6 4" xfId="72"/>
    <cellStyle name="60% - Accent6 5" xfId="219"/>
    <cellStyle name="60% - Accent6 6" xfId="330"/>
    <cellStyle name="60% - Accent6 7" xfId="331"/>
    <cellStyle name="60% - Accent6 8" xfId="449"/>
    <cellStyle name="60% - Accent6 9" xfId="498"/>
    <cellStyle name="Accent1" xfId="73" builtinId="29" customBuiltin="1"/>
    <cellStyle name="Accent1 10" xfId="564"/>
    <cellStyle name="Accent1 11" xfId="598"/>
    <cellStyle name="Accent1 12" xfId="703"/>
    <cellStyle name="Accent1 13" xfId="751"/>
    <cellStyle name="Accent1 2" xfId="74"/>
    <cellStyle name="Accent1 3" xfId="75"/>
    <cellStyle name="Accent1 4" xfId="76"/>
    <cellStyle name="Accent1 5" xfId="220"/>
    <cellStyle name="Accent1 6" xfId="332"/>
    <cellStyle name="Accent1 7" xfId="333"/>
    <cellStyle name="Accent1 8" xfId="450"/>
    <cellStyle name="Accent1 9" xfId="500"/>
    <cellStyle name="Accent2" xfId="77" builtinId="33" customBuiltin="1"/>
    <cellStyle name="Accent2 10" xfId="533"/>
    <cellStyle name="Accent2 11" xfId="599"/>
    <cellStyle name="Accent2 12" xfId="704"/>
    <cellStyle name="Accent2 13" xfId="752"/>
    <cellStyle name="Accent2 2" xfId="78"/>
    <cellStyle name="Accent2 3" xfId="79"/>
    <cellStyle name="Accent2 4" xfId="80"/>
    <cellStyle name="Accent2 5" xfId="221"/>
    <cellStyle name="Accent2 6" xfId="334"/>
    <cellStyle name="Accent2 7" xfId="335"/>
    <cellStyle name="Accent2 8" xfId="451"/>
    <cellStyle name="Accent2 9" xfId="501"/>
    <cellStyle name="Accent3" xfId="81" builtinId="37" customBuiltin="1"/>
    <cellStyle name="Accent3 10" xfId="545"/>
    <cellStyle name="Accent3 11" xfId="600"/>
    <cellStyle name="Accent3 12" xfId="705"/>
    <cellStyle name="Accent3 13" xfId="753"/>
    <cellStyle name="Accent3 2" xfId="82"/>
    <cellStyle name="Accent3 3" xfId="83"/>
    <cellStyle name="Accent3 4" xfId="84"/>
    <cellStyle name="Accent3 5" xfId="222"/>
    <cellStyle name="Accent3 6" xfId="336"/>
    <cellStyle name="Accent3 7" xfId="337"/>
    <cellStyle name="Accent3 8" xfId="452"/>
    <cellStyle name="Accent3 9" xfId="502"/>
    <cellStyle name="Accent4" xfId="85" builtinId="41" customBuiltin="1"/>
    <cellStyle name="Accent4 10" xfId="523"/>
    <cellStyle name="Accent4 11" xfId="601"/>
    <cellStyle name="Accent4 12" xfId="706"/>
    <cellStyle name="Accent4 13" xfId="754"/>
    <cellStyle name="Accent4 2" xfId="86"/>
    <cellStyle name="Accent4 3" xfId="87"/>
    <cellStyle name="Accent4 4" xfId="88"/>
    <cellStyle name="Accent4 5" xfId="223"/>
    <cellStyle name="Accent4 6" xfId="338"/>
    <cellStyle name="Accent4 7" xfId="339"/>
    <cellStyle name="Accent4 8" xfId="453"/>
    <cellStyle name="Accent4 9" xfId="503"/>
    <cellStyle name="Accent5" xfId="89" builtinId="45" customBuiltin="1"/>
    <cellStyle name="Accent5 10" xfId="562"/>
    <cellStyle name="Accent5 11" xfId="602"/>
    <cellStyle name="Accent5 12" xfId="707"/>
    <cellStyle name="Accent5 13" xfId="755"/>
    <cellStyle name="Accent5 2" xfId="90"/>
    <cellStyle name="Accent5 3" xfId="91"/>
    <cellStyle name="Accent5 4" xfId="92"/>
    <cellStyle name="Accent5 5" xfId="224"/>
    <cellStyle name="Accent5 6" xfId="340"/>
    <cellStyle name="Accent5 7" xfId="341"/>
    <cellStyle name="Accent5 8" xfId="454"/>
    <cellStyle name="Accent5 9" xfId="506"/>
    <cellStyle name="Accent6" xfId="93" builtinId="49" customBuiltin="1"/>
    <cellStyle name="Accent6 10" xfId="504"/>
    <cellStyle name="Accent6 11" xfId="603"/>
    <cellStyle name="Accent6 12" xfId="708"/>
    <cellStyle name="Accent6 13" xfId="756"/>
    <cellStyle name="Accent6 2" xfId="94"/>
    <cellStyle name="Accent6 3" xfId="95"/>
    <cellStyle name="Accent6 4" xfId="96"/>
    <cellStyle name="Accent6 5" xfId="225"/>
    <cellStyle name="Accent6 6" xfId="342"/>
    <cellStyle name="Accent6 7" xfId="343"/>
    <cellStyle name="Accent6 8" xfId="455"/>
    <cellStyle name="Accent6 9" xfId="507"/>
    <cellStyle name="Bad" xfId="97" builtinId="27" customBuiltin="1"/>
    <cellStyle name="Bad 10" xfId="565"/>
    <cellStyle name="Bad 11" xfId="604"/>
    <cellStyle name="Bad 12" xfId="709"/>
    <cellStyle name="Bad 13" xfId="757"/>
    <cellStyle name="Bad 2" xfId="98"/>
    <cellStyle name="Bad 3" xfId="99"/>
    <cellStyle name="Bad 4" xfId="100"/>
    <cellStyle name="Bad 5" xfId="226"/>
    <cellStyle name="Bad 6" xfId="344"/>
    <cellStyle name="Bad 7" xfId="345"/>
    <cellStyle name="Bad 8" xfId="456"/>
    <cellStyle name="Bad 9" xfId="508"/>
    <cellStyle name="Calculation" xfId="101" builtinId="22" customBuiltin="1"/>
    <cellStyle name="Calculation 10" xfId="512"/>
    <cellStyle name="Calculation 11" xfId="605"/>
    <cellStyle name="Calculation 12" xfId="710"/>
    <cellStyle name="Calculation 13" xfId="758"/>
    <cellStyle name="Calculation 2" xfId="102"/>
    <cellStyle name="Calculation 3" xfId="103"/>
    <cellStyle name="Calculation 4" xfId="104"/>
    <cellStyle name="Calculation 5" xfId="227"/>
    <cellStyle name="Calculation 6" xfId="346"/>
    <cellStyle name="Calculation 7" xfId="347"/>
    <cellStyle name="Calculation 8" xfId="457"/>
    <cellStyle name="Calculation 9" xfId="510"/>
    <cellStyle name="Check Cell" xfId="105" builtinId="23" customBuiltin="1"/>
    <cellStyle name="Check Cell 10" xfId="509"/>
    <cellStyle name="Check Cell 11" xfId="606"/>
    <cellStyle name="Check Cell 12" xfId="711"/>
    <cellStyle name="Check Cell 13" xfId="759"/>
    <cellStyle name="Check Cell 2" xfId="106"/>
    <cellStyle name="Check Cell 3" xfId="107"/>
    <cellStyle name="Check Cell 4" xfId="108"/>
    <cellStyle name="Check Cell 5" xfId="228"/>
    <cellStyle name="Check Cell 6" xfId="348"/>
    <cellStyle name="Check Cell 7" xfId="349"/>
    <cellStyle name="Check Cell 8" xfId="458"/>
    <cellStyle name="Check Cell 9" xfId="511"/>
    <cellStyle name="Comma" xfId="109" builtinId="3"/>
    <cellStyle name="Comma 10" xfId="519"/>
    <cellStyle name="Comma 11" xfId="607"/>
    <cellStyle name="Comma 12" xfId="712"/>
    <cellStyle name="Comma 13" xfId="760"/>
    <cellStyle name="Comma 2" xfId="110"/>
    <cellStyle name="Comma 2 2" xfId="111"/>
    <cellStyle name="Comma 2 2 2" xfId="350"/>
    <cellStyle name="Comma 2 3" xfId="112"/>
    <cellStyle name="Comma 2 3 2" xfId="351"/>
    <cellStyle name="Comma 2 4" xfId="352"/>
    <cellStyle name="Comma 3" xfId="113"/>
    <cellStyle name="Comma 3 2" xfId="114"/>
    <cellStyle name="Comma 3 2 2" xfId="353"/>
    <cellStyle name="Comma 3 3" xfId="354"/>
    <cellStyle name="Comma 4" xfId="115"/>
    <cellStyle name="Comma 4 2" xfId="116"/>
    <cellStyle name="Comma 4 2 2" xfId="355"/>
    <cellStyle name="Comma 4 3" xfId="356"/>
    <cellStyle name="Comma 5" xfId="229"/>
    <cellStyle name="Comma 5 2" xfId="357"/>
    <cellStyle name="Comma 6" xfId="358"/>
    <cellStyle name="Comma 7" xfId="359"/>
    <cellStyle name="Comma 8" xfId="459"/>
    <cellStyle name="Comma 9" xfId="513"/>
    <cellStyle name="Currency 2" xfId="117"/>
    <cellStyle name="Currency 2 2" xfId="118"/>
    <cellStyle name="Currency 2 2 2" xfId="360"/>
    <cellStyle name="Currency 2 3" xfId="119"/>
    <cellStyle name="Currency 2 3 2" xfId="361"/>
    <cellStyle name="Currency 2 4" xfId="362"/>
    <cellStyle name="Currency 3" xfId="120"/>
    <cellStyle name="Currency 3 2" xfId="121"/>
    <cellStyle name="Currency 3 2 2" xfId="363"/>
    <cellStyle name="Currency 3 3" xfId="364"/>
    <cellStyle name="Currency 4" xfId="122"/>
    <cellStyle name="Currency 4 2" xfId="123"/>
    <cellStyle name="Currency 4 2 2" xfId="365"/>
    <cellStyle name="Currency 4 3" xfId="366"/>
    <cellStyle name="Currency 5" xfId="230"/>
    <cellStyle name="Currency 5 2" xfId="367"/>
    <cellStyle name="Explanatory Text" xfId="124" builtinId="53" customBuiltin="1"/>
    <cellStyle name="Explanatory Text 10" xfId="520"/>
    <cellStyle name="Explanatory Text 11" xfId="608"/>
    <cellStyle name="Explanatory Text 12" xfId="713"/>
    <cellStyle name="Explanatory Text 13" xfId="761"/>
    <cellStyle name="Explanatory Text 2" xfId="125"/>
    <cellStyle name="Explanatory Text 3" xfId="126"/>
    <cellStyle name="Explanatory Text 4" xfId="127"/>
    <cellStyle name="Explanatory Text 5" xfId="231"/>
    <cellStyle name="Explanatory Text 6" xfId="368"/>
    <cellStyle name="Explanatory Text 7" xfId="369"/>
    <cellStyle name="Explanatory Text 8" xfId="460"/>
    <cellStyle name="Explanatory Text 9" xfId="514"/>
    <cellStyle name="Good" xfId="128" builtinId="26" customBuiltin="1"/>
    <cellStyle name="Good 10" xfId="544"/>
    <cellStyle name="Good 11" xfId="609"/>
    <cellStyle name="Good 12" xfId="714"/>
    <cellStyle name="Good 13" xfId="762"/>
    <cellStyle name="Good 2" xfId="129"/>
    <cellStyle name="Good 3" xfId="130"/>
    <cellStyle name="Good 4" xfId="131"/>
    <cellStyle name="Good 5" xfId="232"/>
    <cellStyle name="Good 6" xfId="370"/>
    <cellStyle name="Good 7" xfId="371"/>
    <cellStyle name="Good 8" xfId="461"/>
    <cellStyle name="Good 9" xfId="515"/>
    <cellStyle name="Heading 1" xfId="132" builtinId="16" customBuiltin="1"/>
    <cellStyle name="Heading 1 10" xfId="550"/>
    <cellStyle name="Heading 1 11" xfId="610"/>
    <cellStyle name="Heading 1 12" xfId="715"/>
    <cellStyle name="Heading 1 13" xfId="763"/>
    <cellStyle name="Heading 1 2" xfId="133"/>
    <cellStyle name="Heading 1 3" xfId="134"/>
    <cellStyle name="Heading 1 4" xfId="135"/>
    <cellStyle name="Heading 1 5" xfId="233"/>
    <cellStyle name="Heading 1 6" xfId="372"/>
    <cellStyle name="Heading 1 7" xfId="373"/>
    <cellStyle name="Heading 1 8" xfId="462"/>
    <cellStyle name="Heading 1 9" xfId="516"/>
    <cellStyle name="Heading 2" xfId="136" builtinId="17" customBuiltin="1"/>
    <cellStyle name="Heading 2 10" xfId="555"/>
    <cellStyle name="Heading 2 11" xfId="611"/>
    <cellStyle name="Heading 2 12" xfId="716"/>
    <cellStyle name="Heading 2 13" xfId="764"/>
    <cellStyle name="Heading 2 2" xfId="137"/>
    <cellStyle name="Heading 2 3" xfId="138"/>
    <cellStyle name="Heading 2 4" xfId="139"/>
    <cellStyle name="Heading 2 5" xfId="234"/>
    <cellStyle name="Heading 2 6" xfId="374"/>
    <cellStyle name="Heading 2 7" xfId="375"/>
    <cellStyle name="Heading 2 8" xfId="463"/>
    <cellStyle name="Heading 2 9" xfId="518"/>
    <cellStyle name="Heading 3" xfId="140" builtinId="18" customBuiltin="1"/>
    <cellStyle name="Heading 3 10" xfId="552"/>
    <cellStyle name="Heading 3 11" xfId="612"/>
    <cellStyle name="Heading 3 12" xfId="717"/>
    <cellStyle name="Heading 3 13" xfId="765"/>
    <cellStyle name="Heading 3 2" xfId="141"/>
    <cellStyle name="Heading 3 3" xfId="142"/>
    <cellStyle name="Heading 3 4" xfId="143"/>
    <cellStyle name="Heading 3 5" xfId="235"/>
    <cellStyle name="Heading 3 6" xfId="376"/>
    <cellStyle name="Heading 3 7" xfId="377"/>
    <cellStyle name="Heading 3 8" xfId="464"/>
    <cellStyle name="Heading 3 9" xfId="521"/>
    <cellStyle name="Heading 4" xfId="144" builtinId="19" customBuiltin="1"/>
    <cellStyle name="Heading 4 10" xfId="532"/>
    <cellStyle name="Heading 4 11" xfId="613"/>
    <cellStyle name="Heading 4 12" xfId="718"/>
    <cellStyle name="Heading 4 13" xfId="766"/>
    <cellStyle name="Heading 4 2" xfId="145"/>
    <cellStyle name="Heading 4 3" xfId="146"/>
    <cellStyle name="Heading 4 4" xfId="147"/>
    <cellStyle name="Heading 4 5" xfId="236"/>
    <cellStyle name="Heading 4 6" xfId="378"/>
    <cellStyle name="Heading 4 7" xfId="379"/>
    <cellStyle name="Heading 4 8" xfId="465"/>
    <cellStyle name="Heading 4 9" xfId="524"/>
    <cellStyle name="Hyperlink" xfId="148" builtinId="8"/>
    <cellStyle name="Input" xfId="149" builtinId="20" customBuiltin="1"/>
    <cellStyle name="Input 10" xfId="549"/>
    <cellStyle name="Input 11" xfId="614"/>
    <cellStyle name="Input 12" xfId="719"/>
    <cellStyle name="Input 13" xfId="767"/>
    <cellStyle name="Input 2" xfId="150"/>
    <cellStyle name="Input 3" xfId="151"/>
    <cellStyle name="Input 4" xfId="152"/>
    <cellStyle name="Input 5" xfId="237"/>
    <cellStyle name="Input 6" xfId="380"/>
    <cellStyle name="Input 7" xfId="381"/>
    <cellStyle name="Input 8" xfId="466"/>
    <cellStyle name="Input 9" xfId="525"/>
    <cellStyle name="Linked Cell" xfId="153" builtinId="24" customBuiltin="1"/>
    <cellStyle name="Linked Cell 10" xfId="554"/>
    <cellStyle name="Linked Cell 11" xfId="615"/>
    <cellStyle name="Linked Cell 12" xfId="720"/>
    <cellStyle name="Linked Cell 13" xfId="768"/>
    <cellStyle name="Linked Cell 2" xfId="154"/>
    <cellStyle name="Linked Cell 3" xfId="155"/>
    <cellStyle name="Linked Cell 4" xfId="156"/>
    <cellStyle name="Linked Cell 5" xfId="238"/>
    <cellStyle name="Linked Cell 6" xfId="382"/>
    <cellStyle name="Linked Cell 7" xfId="383"/>
    <cellStyle name="Linked Cell 8" xfId="467"/>
    <cellStyle name="Linked Cell 9" xfId="526"/>
    <cellStyle name="Neutral" xfId="157" builtinId="28" customBuiltin="1"/>
    <cellStyle name="Neutral 10" xfId="517"/>
    <cellStyle name="Neutral 11" xfId="616"/>
    <cellStyle name="Neutral 12" xfId="721"/>
    <cellStyle name="Neutral 13" xfId="769"/>
    <cellStyle name="Neutral 2" xfId="158"/>
    <cellStyle name="Neutral 3" xfId="159"/>
    <cellStyle name="Neutral 4" xfId="160"/>
    <cellStyle name="Neutral 5" xfId="239"/>
    <cellStyle name="Neutral 6" xfId="384"/>
    <cellStyle name="Neutral 7" xfId="385"/>
    <cellStyle name="Neutral 8" xfId="468"/>
    <cellStyle name="Neutral 9" xfId="527"/>
    <cellStyle name="Normal" xfId="0" builtinId="0"/>
    <cellStyle name="Normal 10" xfId="386"/>
    <cellStyle name="Normal 11" xfId="431"/>
    <cellStyle name="Normal 11 2" xfId="558"/>
    <cellStyle name="Normal 12" xfId="430"/>
    <cellStyle name="Normal 12 2" xfId="557"/>
    <cellStyle name="Normal 12 2 2" xfId="730"/>
    <cellStyle name="Normal 12 2 2 2" xfId="782"/>
    <cellStyle name="Normal 12 2 3" xfId="778"/>
    <cellStyle name="Normal 12 3" xfId="728"/>
    <cellStyle name="Normal 12 3 2" xfId="780"/>
    <cellStyle name="Normal 12 4" xfId="776"/>
    <cellStyle name="Normal 13" xfId="476"/>
    <cellStyle name="Normal 13 2" xfId="681"/>
    <cellStyle name="Normal 14" xfId="475"/>
    <cellStyle name="Normal 14 2" xfId="729"/>
    <cellStyle name="Normal 14 2 2" xfId="781"/>
    <cellStyle name="Normal 14 3" xfId="777"/>
    <cellStyle name="Normal 15" xfId="561"/>
    <cellStyle name="Normal 15 2" xfId="682"/>
    <cellStyle name="Normal 16" xfId="567"/>
    <cellStyle name="Normal 17" xfId="566"/>
    <cellStyle name="Normal 18" xfId="684"/>
    <cellStyle name="Normal 19" xfId="683"/>
    <cellStyle name="Normal 19 2" xfId="779"/>
    <cellStyle name="Normal 2" xfId="161"/>
    <cellStyle name="Normal 2 2" xfId="387"/>
    <cellStyle name="Normal 20" xfId="732"/>
    <cellStyle name="Normal 21" xfId="731"/>
    <cellStyle name="Normal 22" xfId="783"/>
    <cellStyle name="Normal 23" xfId="784"/>
    <cellStyle name="Normal 3" xfId="162"/>
    <cellStyle name="Normal 3 2" xfId="163"/>
    <cellStyle name="Normal 3 2 2" xfId="388"/>
    <cellStyle name="Normal 3 3" xfId="164"/>
    <cellStyle name="Normal 3 3 2" xfId="389"/>
    <cellStyle name="Normal 3 4" xfId="390"/>
    <cellStyle name="Normal 4" xfId="165"/>
    <cellStyle name="Normal 4 2" xfId="391"/>
    <cellStyle name="Normal 4 2 2" xfId="675"/>
    <cellStyle name="Normal 4 3" xfId="617"/>
    <cellStyle name="Normal 5" xfId="166"/>
    <cellStyle name="Normal 5 2" xfId="167"/>
    <cellStyle name="Normal 5 2 2" xfId="392"/>
    <cellStyle name="Normal 5 3" xfId="393"/>
    <cellStyle name="Normal 6" xfId="201"/>
    <cellStyle name="Normal 6 2" xfId="394"/>
    <cellStyle name="Normal 7" xfId="246"/>
    <cellStyle name="Normal 7 2" xfId="395"/>
    <cellStyle name="Normal 7 2 2" xfId="676"/>
    <cellStyle name="Normal 7 3" xfId="625"/>
    <cellStyle name="Normal 8" xfId="396"/>
    <cellStyle name="Normal 8 2" xfId="397"/>
    <cellStyle name="Normal 9" xfId="398"/>
    <cellStyle name="Normal 9 2" xfId="677"/>
    <cellStyle name="Note" xfId="168" builtinId="10" customBuiltin="1"/>
    <cellStyle name="Note 10" xfId="399"/>
    <cellStyle name="Note 11" xfId="469"/>
    <cellStyle name="Note 12" xfId="528"/>
    <cellStyle name="Note 13" xfId="560"/>
    <cellStyle name="Note 14" xfId="618"/>
    <cellStyle name="Note 15" xfId="722"/>
    <cellStyle name="Note 16" xfId="770"/>
    <cellStyle name="Note 2" xfId="169"/>
    <cellStyle name="Note 2 2" xfId="170"/>
    <cellStyle name="Note 2 2 2" xfId="400"/>
    <cellStyle name="Note 2 3" xfId="171"/>
    <cellStyle name="Note 2 3 2" xfId="401"/>
    <cellStyle name="Note 2 4" xfId="402"/>
    <cellStyle name="Note 3" xfId="172"/>
    <cellStyle name="Note 3 2" xfId="173"/>
    <cellStyle name="Note 3 2 2" xfId="403"/>
    <cellStyle name="Note 3 3" xfId="404"/>
    <cellStyle name="Note 4" xfId="174"/>
    <cellStyle name="Note 4 2" xfId="405"/>
    <cellStyle name="Note 4 2 2" xfId="678"/>
    <cellStyle name="Note 4 3" xfId="619"/>
    <cellStyle name="Note 5" xfId="175"/>
    <cellStyle name="Note 5 2" xfId="176"/>
    <cellStyle name="Note 5 2 2" xfId="406"/>
    <cellStyle name="Note 5 3" xfId="407"/>
    <cellStyle name="Note 6" xfId="240"/>
    <cellStyle name="Note 6 2" xfId="408"/>
    <cellStyle name="Note 7" xfId="247"/>
    <cellStyle name="Note 7 2" xfId="409"/>
    <cellStyle name="Note 7 2 2" xfId="679"/>
    <cellStyle name="Note 7 3" xfId="626"/>
    <cellStyle name="Note 8" xfId="410"/>
    <cellStyle name="Note 9" xfId="411"/>
    <cellStyle name="Note 9 2" xfId="680"/>
    <cellStyle name="Output" xfId="177" builtinId="21" customBuiltin="1"/>
    <cellStyle name="Output 10" xfId="563"/>
    <cellStyle name="Output 11" xfId="620"/>
    <cellStyle name="Output 12" xfId="723"/>
    <cellStyle name="Output 13" xfId="771"/>
    <cellStyle name="Output 2" xfId="178"/>
    <cellStyle name="Output 3" xfId="179"/>
    <cellStyle name="Output 4" xfId="180"/>
    <cellStyle name="Output 5" xfId="241"/>
    <cellStyle name="Output 6" xfId="412"/>
    <cellStyle name="Output 7" xfId="413"/>
    <cellStyle name="Output 8" xfId="470"/>
    <cellStyle name="Output 9" xfId="529"/>
    <cellStyle name="Percent" xfId="181" builtinId="5"/>
    <cellStyle name="Percent 10" xfId="531"/>
    <cellStyle name="Percent 11" xfId="621"/>
    <cellStyle name="Percent 12" xfId="724"/>
    <cellStyle name="Percent 13" xfId="772"/>
    <cellStyle name="Percent 2" xfId="182"/>
    <cellStyle name="Percent 2 2" xfId="183"/>
    <cellStyle name="Percent 2 2 2" xfId="414"/>
    <cellStyle name="Percent 2 3" xfId="184"/>
    <cellStyle name="Percent 2 3 2" xfId="415"/>
    <cellStyle name="Percent 2 4" xfId="416"/>
    <cellStyle name="Percent 3" xfId="185"/>
    <cellStyle name="Percent 3 2" xfId="186"/>
    <cellStyle name="Percent 3 2 2" xfId="417"/>
    <cellStyle name="Percent 3 3" xfId="418"/>
    <cellStyle name="Percent 4" xfId="187"/>
    <cellStyle name="Percent 4 2" xfId="188"/>
    <cellStyle name="Percent 4 2 2" xfId="419"/>
    <cellStyle name="Percent 4 3" xfId="420"/>
    <cellStyle name="Percent 5" xfId="242"/>
    <cellStyle name="Percent 5 2" xfId="421"/>
    <cellStyle name="Percent 6" xfId="422"/>
    <cellStyle name="Percent 7" xfId="423"/>
    <cellStyle name="Percent 8" xfId="471"/>
    <cellStyle name="Percent 9" xfId="530"/>
    <cellStyle name="Title" xfId="189" builtinId="15" customBuiltin="1"/>
    <cellStyle name="Title 10" xfId="559"/>
    <cellStyle name="Title 11" xfId="622"/>
    <cellStyle name="Title 12" xfId="725"/>
    <cellStyle name="Title 13" xfId="773"/>
    <cellStyle name="Title 2" xfId="190"/>
    <cellStyle name="Title 3" xfId="191"/>
    <cellStyle name="Title 4" xfId="192"/>
    <cellStyle name="Title 5" xfId="243"/>
    <cellStyle name="Title 6" xfId="424"/>
    <cellStyle name="Title 7" xfId="425"/>
    <cellStyle name="Title 8" xfId="472"/>
    <cellStyle name="Title 9" xfId="534"/>
    <cellStyle name="Total" xfId="193" builtinId="25" customBuiltin="1"/>
    <cellStyle name="Total 10" xfId="548"/>
    <cellStyle name="Total 11" xfId="623"/>
    <cellStyle name="Total 12" xfId="726"/>
    <cellStyle name="Total 13" xfId="774"/>
    <cellStyle name="Total 2" xfId="194"/>
    <cellStyle name="Total 3" xfId="195"/>
    <cellStyle name="Total 4" xfId="196"/>
    <cellStyle name="Total 5" xfId="244"/>
    <cellStyle name="Total 6" xfId="426"/>
    <cellStyle name="Total 7" xfId="427"/>
    <cellStyle name="Total 8" xfId="473"/>
    <cellStyle name="Total 9" xfId="537"/>
    <cellStyle name="Warning Text" xfId="197" builtinId="11" customBuiltin="1"/>
    <cellStyle name="Warning Text 10" xfId="543"/>
    <cellStyle name="Warning Text 11" xfId="624"/>
    <cellStyle name="Warning Text 12" xfId="727"/>
    <cellStyle name="Warning Text 13" xfId="775"/>
    <cellStyle name="Warning Text 2" xfId="198"/>
    <cellStyle name="Warning Text 3" xfId="199"/>
    <cellStyle name="Warning Text 4" xfId="200"/>
    <cellStyle name="Warning Text 5" xfId="245"/>
    <cellStyle name="Warning Text 6" xfId="428"/>
    <cellStyle name="Warning Text 7" xfId="429"/>
    <cellStyle name="Warning Text 8" xfId="474"/>
    <cellStyle name="Warning Text 9" xfId="538"/>
  </cellStyles>
  <dxfs count="14">
    <dxf>
      <fill>
        <patternFill patternType="none">
          <bgColor indexed="65"/>
        </patternFill>
      </fill>
    </dxf>
    <dxf>
      <border>
        <left style="thin">
          <color auto="1"/>
        </left>
        <right style="thin">
          <color auto="1"/>
        </right>
        <top style="thin">
          <color auto="1"/>
        </top>
        <bottom style="thin">
          <color auto="1"/>
        </bottom>
        <vertical/>
        <horizontal/>
      </border>
    </dxf>
    <dxf>
      <font>
        <color theme="0"/>
      </font>
    </dxf>
    <dxf>
      <font>
        <b val="0"/>
        <i/>
        <condense val="0"/>
        <extend val="0"/>
        <color indexed="55"/>
      </font>
    </dxf>
    <dxf>
      <font>
        <b val="0"/>
        <i/>
        <condense val="0"/>
        <extend val="0"/>
        <color indexed="55"/>
      </font>
    </dxf>
    <dxf>
      <font>
        <b val="0"/>
        <i/>
        <condense val="0"/>
        <extend val="0"/>
        <color indexed="55"/>
      </font>
    </dxf>
    <dxf>
      <font>
        <color theme="0"/>
      </font>
    </dxf>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tint="-0.14996795556505021"/>
      </font>
    </dxf>
    <dxf>
      <font>
        <color theme="0" tint="-0.14996795556505021"/>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DFFED2"/>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EFFAEA"/>
      <rgbColor rgb="00339966"/>
      <rgbColor rgb="00003300"/>
      <rgbColor rgb="00333300"/>
      <rgbColor rgb="00993300"/>
      <rgbColor rgb="00993366"/>
      <rgbColor rgb="0099CC99"/>
      <rgbColor rgb="00009866"/>
    </indexedColors>
    <mruColors>
      <color rgb="FFC0C0C0"/>
      <color rgb="FF003350"/>
      <color rgb="FFA0D0E8"/>
      <color rgb="FF005090"/>
      <color rgb="FFFDE9D9"/>
      <color rgb="FFFFFFB3"/>
      <color rgb="FF80A0B0"/>
      <color rgb="FFA3BAC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lgn="l">
              <a:defRPr b="1"/>
            </a:pPr>
            <a:r>
              <a:rPr lang="en-US" b="1"/>
              <a:t>Figure 1:  Adjusted </a:t>
            </a:r>
            <a:r>
              <a:rPr lang="en-US" sz="1200" b="1" i="0" u="none" strike="noStrike" baseline="0">
                <a:effectLst/>
              </a:rPr>
              <a:t>average </a:t>
            </a:r>
            <a:r>
              <a:rPr lang="en-US" b="1"/>
              <a:t>health gain on the EQ-5D</a:t>
            </a:r>
            <a:r>
              <a:rPr lang="en-US" b="1" baseline="30000"/>
              <a:t>TM</a:t>
            </a:r>
            <a:r>
              <a:rPr lang="en-US" b="1"/>
              <a:t> Index by procedure</a:t>
            </a:r>
          </a:p>
        </c:rich>
      </c:tx>
      <c:layout>
        <c:manualLayout>
          <c:xMode val="edge"/>
          <c:yMode val="edge"/>
          <c:x val="0.23755296116395092"/>
          <c:y val="2.9076747445267174E-2"/>
        </c:manualLayout>
      </c:layout>
      <c:overlay val="0"/>
    </c:title>
    <c:autoTitleDeleted val="0"/>
    <c:plotArea>
      <c:layout>
        <c:manualLayout>
          <c:layoutTarget val="inner"/>
          <c:xMode val="edge"/>
          <c:yMode val="edge"/>
          <c:x val="0.22506626984126984"/>
          <c:y val="0.2391391625121691"/>
          <c:w val="0.75083983371353613"/>
          <c:h val="0.55865627198049828"/>
        </c:manualLayout>
      </c:layout>
      <c:barChart>
        <c:barDir val="bar"/>
        <c:grouping val="clustered"/>
        <c:varyColors val="0"/>
        <c:ser>
          <c:idx val="2"/>
          <c:order val="0"/>
          <c:tx>
            <c:strRef>
              <c:f>ProvCommData!$C$11</c:f>
              <c:strCache>
                <c:ptCount val="1"/>
                <c:pt idx="0">
                  <c:v>Adjusted average health gain</c:v>
                </c:pt>
              </c:strCache>
            </c:strRef>
          </c:tx>
          <c:spPr>
            <a:solidFill>
              <a:srgbClr val="003350"/>
            </a:solidFill>
            <a:ln w="28575">
              <a:noFill/>
            </a:ln>
          </c:spPr>
          <c:invertIfNegative val="0"/>
          <c:cat>
            <c:strRef>
              <c:f>ProvCommData!$B$31:$B$36</c:f>
              <c:strCache>
                <c:ptCount val="6"/>
                <c:pt idx="0">
                  <c:v>Varicose vein (5559)</c:v>
                </c:pt>
                <c:pt idx="1">
                  <c:v>Knee - revision (1505)</c:v>
                </c:pt>
                <c:pt idx="2">
                  <c:v>Knee - primary (37855)</c:v>
                </c:pt>
                <c:pt idx="3">
                  <c:v>Hip - revision (2263)</c:v>
                </c:pt>
                <c:pt idx="4">
                  <c:v>Hip - primary (35825)</c:v>
                </c:pt>
                <c:pt idx="5">
                  <c:v>Groin hernia (20191)</c:v>
                </c:pt>
              </c:strCache>
            </c:strRef>
          </c:cat>
          <c:val>
            <c:numRef>
              <c:f>ProvCommData!$C$31:$C$36</c:f>
              <c:numCache>
                <c:formatCode>0.000</c:formatCode>
                <c:ptCount val="6"/>
                <c:pt idx="0">
                  <c:v>9.4882892999999996E-2</c:v>
                </c:pt>
                <c:pt idx="1">
                  <c:v>0.25834352199999999</c:v>
                </c:pt>
                <c:pt idx="2">
                  <c:v>0.31506112800000002</c:v>
                </c:pt>
                <c:pt idx="3">
                  <c:v>0.27656076000000002</c:v>
                </c:pt>
                <c:pt idx="4">
                  <c:v>0.43664440999999998</c:v>
                </c:pt>
                <c:pt idx="5">
                  <c:v>8.3654400000000004E-2</c:v>
                </c:pt>
              </c:numCache>
            </c:numRef>
          </c:val>
        </c:ser>
        <c:dLbls>
          <c:showLegendKey val="0"/>
          <c:showVal val="0"/>
          <c:showCatName val="0"/>
          <c:showSerName val="0"/>
          <c:showPercent val="0"/>
          <c:showBubbleSize val="0"/>
        </c:dLbls>
        <c:gapWidth val="50"/>
        <c:axId val="332822016"/>
        <c:axId val="332819456"/>
      </c:barChart>
      <c:scatterChart>
        <c:scatterStyle val="lineMarker"/>
        <c:varyColors val="0"/>
        <c:ser>
          <c:idx val="0"/>
          <c:order val="1"/>
          <c:tx>
            <c:strRef>
              <c:f>ProvCommData!$D$11</c:f>
              <c:strCache>
                <c:ptCount val="1"/>
                <c:pt idx="0">
                  <c:v>Adjusted average health gain (England)</c:v>
                </c:pt>
              </c:strCache>
            </c:strRef>
          </c:tx>
          <c:spPr>
            <a:ln w="28575">
              <a:noFill/>
            </a:ln>
          </c:spPr>
          <c:marker>
            <c:symbol val="circle"/>
            <c:size val="12"/>
            <c:spPr>
              <a:solidFill>
                <a:srgbClr val="A0D0E8"/>
              </a:solidFill>
              <a:ln>
                <a:solidFill>
                  <a:srgbClr val="003350"/>
                </a:solidFill>
              </a:ln>
            </c:spPr>
          </c:marker>
          <c:xVal>
            <c:numRef>
              <c:f>ProvCommData!$D$31:$D$36</c:f>
              <c:numCache>
                <c:formatCode>0.000</c:formatCode>
                <c:ptCount val="6"/>
                <c:pt idx="0">
                  <c:v>9.4882892999999996E-2</c:v>
                </c:pt>
                <c:pt idx="1">
                  <c:v>0.25834352199999999</c:v>
                </c:pt>
                <c:pt idx="2">
                  <c:v>0.31506112800000002</c:v>
                </c:pt>
                <c:pt idx="3">
                  <c:v>0.27656076000000002</c:v>
                </c:pt>
                <c:pt idx="4">
                  <c:v>0.43664440999999998</c:v>
                </c:pt>
                <c:pt idx="5">
                  <c:v>8.3654400000000004E-2</c:v>
                </c:pt>
              </c:numCache>
            </c:numRef>
          </c:xVal>
          <c:yVal>
            <c:numRef>
              <c:f>ProvCommData!$E$31:$E$36</c:f>
              <c:numCache>
                <c:formatCode>0.0</c:formatCode>
                <c:ptCount val="6"/>
                <c:pt idx="0">
                  <c:v>0.58333333333333337</c:v>
                </c:pt>
                <c:pt idx="1">
                  <c:v>1.75</c:v>
                </c:pt>
                <c:pt idx="2">
                  <c:v>2.916666666666667</c:v>
                </c:pt>
                <c:pt idx="3">
                  <c:v>4.0833333333333339</c:v>
                </c:pt>
                <c:pt idx="4">
                  <c:v>5.2500000000000009</c:v>
                </c:pt>
                <c:pt idx="5">
                  <c:v>6.4166666666666679</c:v>
                </c:pt>
              </c:numCache>
            </c:numRef>
          </c:yVal>
          <c:smooth val="0"/>
        </c:ser>
        <c:dLbls>
          <c:showLegendKey val="0"/>
          <c:showVal val="0"/>
          <c:showCatName val="0"/>
          <c:showSerName val="0"/>
          <c:showPercent val="0"/>
          <c:showBubbleSize val="0"/>
        </c:dLbls>
        <c:axId val="332837632"/>
        <c:axId val="332823552"/>
      </c:scatterChart>
      <c:valAx>
        <c:axId val="332819456"/>
        <c:scaling>
          <c:orientation val="minMax"/>
          <c:max val="0.60000000000000009"/>
          <c:min val="-0.1"/>
        </c:scaling>
        <c:delete val="0"/>
        <c:axPos val="b"/>
        <c:title>
          <c:tx>
            <c:rich>
              <a:bodyPr/>
              <a:lstStyle/>
              <a:p>
                <a:pPr>
                  <a:defRPr/>
                </a:pPr>
                <a:r>
                  <a:rPr lang="en-GB" sz="1200" b="1"/>
                  <a:t>Average adjusted</a:t>
                </a:r>
                <a:r>
                  <a:rPr lang="en-GB" sz="1200" b="1" baseline="0"/>
                  <a:t> health gain: EQ-5D Index</a:t>
                </a:r>
                <a:r>
                  <a:rPr lang="en-GB" sz="1200" b="1" baseline="30000"/>
                  <a:t>TM</a:t>
                </a:r>
              </a:p>
            </c:rich>
          </c:tx>
          <c:layout>
            <c:manualLayout>
              <c:xMode val="edge"/>
              <c:yMode val="edge"/>
              <c:x val="0.39745992063492064"/>
              <c:y val="0.89569024212353154"/>
            </c:manualLayout>
          </c:layout>
          <c:overlay val="0"/>
        </c:title>
        <c:numFmt formatCode="#,##0.0" sourceLinked="0"/>
        <c:majorTickMark val="none"/>
        <c:minorTickMark val="none"/>
        <c:tickLblPos val="nextTo"/>
        <c:spPr>
          <a:ln w="3175">
            <a:solidFill>
              <a:srgbClr val="C0C0C0"/>
            </a:solidFill>
            <a:prstDash val="solid"/>
          </a:ln>
        </c:spPr>
        <c:txPr>
          <a:bodyPr rot="0" vert="horz"/>
          <a:lstStyle/>
          <a:p>
            <a:pPr>
              <a:defRPr sz="1200" b="0"/>
            </a:pPr>
            <a:endParaRPr lang="en-US"/>
          </a:p>
        </c:txPr>
        <c:crossAx val="332822016"/>
        <c:crossesAt val="0"/>
        <c:crossBetween val="between"/>
        <c:majorUnit val="0.1"/>
        <c:minorUnit val="5.000000000000001E-2"/>
      </c:valAx>
      <c:catAx>
        <c:axId val="332822016"/>
        <c:scaling>
          <c:orientation val="minMax"/>
        </c:scaling>
        <c:delete val="0"/>
        <c:axPos val="l"/>
        <c:majorGridlines>
          <c:spPr>
            <a:ln w="3175">
              <a:solidFill>
                <a:srgbClr val="C0C0C0"/>
              </a:solidFill>
              <a:prstDash val="solid"/>
            </a:ln>
          </c:spPr>
        </c:majorGridlines>
        <c:numFmt formatCode="0.0%" sourceLinked="1"/>
        <c:majorTickMark val="none"/>
        <c:minorTickMark val="none"/>
        <c:tickLblPos val="low"/>
        <c:spPr>
          <a:ln w="3175">
            <a:solidFill>
              <a:srgbClr val="C0C0C0"/>
            </a:solidFill>
            <a:prstDash val="solid"/>
          </a:ln>
        </c:spPr>
        <c:txPr>
          <a:bodyPr rot="0" vert="horz"/>
          <a:lstStyle/>
          <a:p>
            <a:pPr>
              <a:defRPr sz="1200"/>
            </a:pPr>
            <a:endParaRPr lang="en-US"/>
          </a:p>
        </c:txPr>
        <c:crossAx val="332819456"/>
        <c:crossesAt val="0"/>
        <c:auto val="1"/>
        <c:lblAlgn val="ctr"/>
        <c:lblOffset val="100"/>
        <c:noMultiLvlLbl val="1"/>
      </c:catAx>
      <c:valAx>
        <c:axId val="332823552"/>
        <c:scaling>
          <c:orientation val="minMax"/>
          <c:max val="7"/>
          <c:min val="0"/>
        </c:scaling>
        <c:delete val="1"/>
        <c:axPos val="r"/>
        <c:numFmt formatCode="0.0" sourceLinked="1"/>
        <c:majorTickMark val="out"/>
        <c:minorTickMark val="none"/>
        <c:tickLblPos val="nextTo"/>
        <c:crossAx val="332837632"/>
        <c:crosses val="max"/>
        <c:crossBetween val="midCat"/>
      </c:valAx>
      <c:valAx>
        <c:axId val="332837632"/>
        <c:scaling>
          <c:orientation val="minMax"/>
        </c:scaling>
        <c:delete val="1"/>
        <c:axPos val="b"/>
        <c:numFmt formatCode="0.000" sourceLinked="1"/>
        <c:majorTickMark val="out"/>
        <c:minorTickMark val="none"/>
        <c:tickLblPos val="nextTo"/>
        <c:crossAx val="332823552"/>
        <c:crosses val="autoZero"/>
        <c:crossBetween val="midCat"/>
      </c:valAx>
      <c:spPr>
        <a:noFill/>
        <a:ln w="12700">
          <a:solidFill>
            <a:srgbClr val="808080"/>
          </a:solidFill>
          <a:prstDash val="solid"/>
        </a:ln>
      </c:spPr>
    </c:plotArea>
    <c:legend>
      <c:legendPos val="t"/>
      <c:layout>
        <c:manualLayout>
          <c:xMode val="edge"/>
          <c:yMode val="edge"/>
          <c:x val="0.22249395649470735"/>
          <c:y val="0.13466675359208988"/>
          <c:w val="0.75434943676715671"/>
          <c:h val="7.2216146948017895E-2"/>
        </c:manualLayout>
      </c:layout>
      <c:overlay val="0"/>
      <c:txPr>
        <a:bodyPr/>
        <a:lstStyle/>
        <a:p>
          <a:pPr>
            <a:defRPr sz="1200"/>
          </a:pPr>
          <a:endParaRPr lang="en-US"/>
        </a:p>
      </c:txPr>
    </c:legend>
    <c:plotVisOnly val="1"/>
    <c:dispBlanksAs val="gap"/>
    <c:showDLblsOverMax val="0"/>
  </c:chart>
  <c:spPr>
    <a:solidFill>
      <a:srgbClr val="FFFFFF"/>
    </a:solidFill>
    <a:ln w="3175">
      <a:no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b="1"/>
              <a:t>Figure 2: </a:t>
            </a:r>
            <a:r>
              <a:rPr lang="en-US" sz="1200" b="1" i="0" u="none" strike="noStrike" baseline="0">
                <a:effectLst/>
              </a:rPr>
              <a:t>Adjusted average </a:t>
            </a:r>
            <a:r>
              <a:rPr lang="en-GB" b="1"/>
              <a:t>health gain on the EQ-VAS by procedure</a:t>
            </a:r>
          </a:p>
        </c:rich>
      </c:tx>
      <c:layout>
        <c:manualLayout>
          <c:xMode val="edge"/>
          <c:yMode val="edge"/>
          <c:x val="0.23916386567041281"/>
          <c:y val="3.9039026327129633E-2"/>
        </c:manualLayout>
      </c:layout>
      <c:overlay val="0"/>
    </c:title>
    <c:autoTitleDeleted val="0"/>
    <c:plotArea>
      <c:layout>
        <c:manualLayout>
          <c:layoutTarget val="inner"/>
          <c:xMode val="edge"/>
          <c:yMode val="edge"/>
          <c:x val="0.23417671957671957"/>
          <c:y val="0.22206262650017211"/>
          <c:w val="0.72958332752450894"/>
          <c:h val="0.55607546748655534"/>
        </c:manualLayout>
      </c:layout>
      <c:barChart>
        <c:barDir val="bar"/>
        <c:grouping val="clustered"/>
        <c:varyColors val="0"/>
        <c:ser>
          <c:idx val="2"/>
          <c:order val="0"/>
          <c:tx>
            <c:strRef>
              <c:f>ProvCommData!$C$11</c:f>
              <c:strCache>
                <c:ptCount val="1"/>
                <c:pt idx="0">
                  <c:v>Adjusted average health gain</c:v>
                </c:pt>
              </c:strCache>
            </c:strRef>
          </c:tx>
          <c:spPr>
            <a:solidFill>
              <a:srgbClr val="003350"/>
            </a:solidFill>
            <a:ln w="28575">
              <a:noFill/>
            </a:ln>
          </c:spPr>
          <c:invertIfNegative val="0"/>
          <c:cat>
            <c:strRef>
              <c:f>ProvCommData!$B$23:$B$28</c:f>
              <c:strCache>
                <c:ptCount val="6"/>
                <c:pt idx="0">
                  <c:v>Varicose vein (5505)</c:v>
                </c:pt>
                <c:pt idx="1">
                  <c:v>Knee - revision (1445)</c:v>
                </c:pt>
                <c:pt idx="2">
                  <c:v>Knee - primary (35839)</c:v>
                </c:pt>
                <c:pt idx="3">
                  <c:v>Hip - revision (2143)</c:v>
                </c:pt>
                <c:pt idx="4">
                  <c:v>Hip - primary (34129)</c:v>
                </c:pt>
                <c:pt idx="5">
                  <c:v>Groin hernia (20817)</c:v>
                </c:pt>
              </c:strCache>
            </c:strRef>
          </c:cat>
          <c:val>
            <c:numRef>
              <c:f>ProvCommData!$C$23:$C$28</c:f>
              <c:numCache>
                <c:formatCode>0.000</c:formatCode>
                <c:ptCount val="6"/>
                <c:pt idx="0">
                  <c:v>-0.54005449599999999</c:v>
                </c:pt>
                <c:pt idx="1">
                  <c:v>2.0595155709999999</c:v>
                </c:pt>
                <c:pt idx="2">
                  <c:v>5.8550461790000004</c:v>
                </c:pt>
                <c:pt idx="3">
                  <c:v>5.2300513300000002</c:v>
                </c:pt>
                <c:pt idx="4">
                  <c:v>11.954964990000001</c:v>
                </c:pt>
                <c:pt idx="5">
                  <c:v>-0.498198588</c:v>
                </c:pt>
              </c:numCache>
            </c:numRef>
          </c:val>
        </c:ser>
        <c:dLbls>
          <c:showLegendKey val="0"/>
          <c:showVal val="0"/>
          <c:showCatName val="0"/>
          <c:showSerName val="0"/>
          <c:showPercent val="0"/>
          <c:showBubbleSize val="0"/>
        </c:dLbls>
        <c:gapWidth val="50"/>
        <c:axId val="333264000"/>
        <c:axId val="333261440"/>
      </c:barChart>
      <c:scatterChart>
        <c:scatterStyle val="lineMarker"/>
        <c:varyColors val="0"/>
        <c:ser>
          <c:idx val="0"/>
          <c:order val="1"/>
          <c:tx>
            <c:strRef>
              <c:f>ProvCommData!$D$11</c:f>
              <c:strCache>
                <c:ptCount val="1"/>
                <c:pt idx="0">
                  <c:v>Adjusted average health gain (England)</c:v>
                </c:pt>
              </c:strCache>
            </c:strRef>
          </c:tx>
          <c:spPr>
            <a:ln w="28575">
              <a:noFill/>
            </a:ln>
          </c:spPr>
          <c:marker>
            <c:symbol val="circle"/>
            <c:size val="12"/>
            <c:spPr>
              <a:solidFill>
                <a:srgbClr val="A0D0E8"/>
              </a:solidFill>
              <a:ln>
                <a:solidFill>
                  <a:srgbClr val="003350"/>
                </a:solidFill>
              </a:ln>
            </c:spPr>
          </c:marker>
          <c:xVal>
            <c:numRef>
              <c:f>ProvCommData!$D$23:$D$28</c:f>
              <c:numCache>
                <c:formatCode>0.0</c:formatCode>
                <c:ptCount val="6"/>
                <c:pt idx="0">
                  <c:v>-0.54005449599999999</c:v>
                </c:pt>
                <c:pt idx="1">
                  <c:v>2.0595155709999999</c:v>
                </c:pt>
                <c:pt idx="2">
                  <c:v>5.8550461790000004</c:v>
                </c:pt>
                <c:pt idx="3">
                  <c:v>5.2300513300000002</c:v>
                </c:pt>
                <c:pt idx="4">
                  <c:v>11.954964990000001</c:v>
                </c:pt>
                <c:pt idx="5">
                  <c:v>-0.498198588</c:v>
                </c:pt>
              </c:numCache>
            </c:numRef>
          </c:xVal>
          <c:yVal>
            <c:numRef>
              <c:f>ProvCommData!$E$23:$E$28</c:f>
              <c:numCache>
                <c:formatCode>0.0</c:formatCode>
                <c:ptCount val="6"/>
                <c:pt idx="0">
                  <c:v>0.58333333333333337</c:v>
                </c:pt>
                <c:pt idx="1">
                  <c:v>1.75</c:v>
                </c:pt>
                <c:pt idx="2">
                  <c:v>2.916666666666667</c:v>
                </c:pt>
                <c:pt idx="3">
                  <c:v>4.0833333333333339</c:v>
                </c:pt>
                <c:pt idx="4">
                  <c:v>5.2500000000000009</c:v>
                </c:pt>
                <c:pt idx="5">
                  <c:v>6.4166666666666679</c:v>
                </c:pt>
              </c:numCache>
            </c:numRef>
          </c:yVal>
          <c:smooth val="0"/>
        </c:ser>
        <c:dLbls>
          <c:showLegendKey val="0"/>
          <c:showVal val="0"/>
          <c:showCatName val="0"/>
          <c:showSerName val="0"/>
          <c:showPercent val="0"/>
          <c:showBubbleSize val="0"/>
        </c:dLbls>
        <c:axId val="333275520"/>
        <c:axId val="333265536"/>
      </c:scatterChart>
      <c:valAx>
        <c:axId val="333261440"/>
        <c:scaling>
          <c:orientation val="minMax"/>
          <c:max val="20"/>
          <c:min val="-10"/>
        </c:scaling>
        <c:delete val="0"/>
        <c:axPos val="b"/>
        <c:title>
          <c:tx>
            <c:rich>
              <a:bodyPr/>
              <a:lstStyle/>
              <a:p>
                <a:pPr>
                  <a:defRPr/>
                </a:pPr>
                <a:r>
                  <a:rPr lang="en-GB" sz="1200" b="1" i="0" baseline="0">
                    <a:effectLst/>
                  </a:rPr>
                  <a:t>Average adjusted health gain: EQ-VAS</a:t>
                </a:r>
                <a:endParaRPr lang="en-GB" sz="1200">
                  <a:effectLst/>
                </a:endParaRPr>
              </a:p>
            </c:rich>
          </c:tx>
          <c:layout>
            <c:manualLayout>
              <c:xMode val="edge"/>
              <c:yMode val="edge"/>
              <c:x val="0.41020701058201059"/>
              <c:y val="0.86908810547477233"/>
            </c:manualLayout>
          </c:layout>
          <c:overlay val="0"/>
        </c:title>
        <c:numFmt formatCode="#,##0.0" sourceLinked="0"/>
        <c:majorTickMark val="none"/>
        <c:minorTickMark val="none"/>
        <c:tickLblPos val="nextTo"/>
        <c:spPr>
          <a:ln w="3175">
            <a:solidFill>
              <a:srgbClr val="C0C0C0"/>
            </a:solidFill>
            <a:prstDash val="solid"/>
          </a:ln>
        </c:spPr>
        <c:txPr>
          <a:bodyPr rot="0" vert="horz"/>
          <a:lstStyle/>
          <a:p>
            <a:pPr>
              <a:defRPr sz="1200"/>
            </a:pPr>
            <a:endParaRPr lang="en-US"/>
          </a:p>
        </c:txPr>
        <c:crossAx val="333264000"/>
        <c:crossesAt val="0"/>
        <c:crossBetween val="between"/>
        <c:majorUnit val="5"/>
        <c:minorUnit val="1"/>
      </c:valAx>
      <c:catAx>
        <c:axId val="333264000"/>
        <c:scaling>
          <c:orientation val="minMax"/>
        </c:scaling>
        <c:delete val="0"/>
        <c:axPos val="l"/>
        <c:majorGridlines>
          <c:spPr>
            <a:ln w="3175">
              <a:solidFill>
                <a:srgbClr val="C0C0C0"/>
              </a:solidFill>
              <a:prstDash val="solid"/>
            </a:ln>
          </c:spPr>
        </c:majorGridlines>
        <c:numFmt formatCode="0.0%" sourceLinked="1"/>
        <c:majorTickMark val="none"/>
        <c:minorTickMark val="none"/>
        <c:tickLblPos val="low"/>
        <c:spPr>
          <a:ln w="3175">
            <a:solidFill>
              <a:srgbClr val="C0C0C0"/>
            </a:solidFill>
            <a:prstDash val="solid"/>
          </a:ln>
        </c:spPr>
        <c:txPr>
          <a:bodyPr rot="0" vert="horz"/>
          <a:lstStyle/>
          <a:p>
            <a:pPr>
              <a:defRPr sz="1200"/>
            </a:pPr>
            <a:endParaRPr lang="en-US"/>
          </a:p>
        </c:txPr>
        <c:crossAx val="333261440"/>
        <c:crossesAt val="0"/>
        <c:auto val="1"/>
        <c:lblAlgn val="ctr"/>
        <c:lblOffset val="100"/>
        <c:noMultiLvlLbl val="1"/>
      </c:catAx>
      <c:valAx>
        <c:axId val="333265536"/>
        <c:scaling>
          <c:orientation val="minMax"/>
          <c:max val="7"/>
          <c:min val="0"/>
        </c:scaling>
        <c:delete val="1"/>
        <c:axPos val="r"/>
        <c:numFmt formatCode="0.0" sourceLinked="1"/>
        <c:majorTickMark val="out"/>
        <c:minorTickMark val="none"/>
        <c:tickLblPos val="nextTo"/>
        <c:crossAx val="333275520"/>
        <c:crosses val="max"/>
        <c:crossBetween val="midCat"/>
      </c:valAx>
      <c:valAx>
        <c:axId val="333275520"/>
        <c:scaling>
          <c:orientation val="minMax"/>
        </c:scaling>
        <c:delete val="1"/>
        <c:axPos val="b"/>
        <c:numFmt formatCode="0.0" sourceLinked="1"/>
        <c:majorTickMark val="out"/>
        <c:minorTickMark val="none"/>
        <c:tickLblPos val="nextTo"/>
        <c:crossAx val="333265536"/>
        <c:crosses val="autoZero"/>
        <c:crossBetween val="midCat"/>
      </c:valAx>
      <c:spPr>
        <a:noFill/>
        <a:ln w="12700">
          <a:solidFill>
            <a:srgbClr val="808080"/>
          </a:solidFill>
          <a:prstDash val="solid"/>
        </a:ln>
      </c:spPr>
    </c:plotArea>
    <c:legend>
      <c:legendPos val="t"/>
      <c:layout>
        <c:manualLayout>
          <c:xMode val="edge"/>
          <c:yMode val="edge"/>
          <c:x val="0.23580251322751322"/>
          <c:y val="0.12223279761367542"/>
          <c:w val="0.72494259259259264"/>
          <c:h val="6.969812492900046E-2"/>
        </c:manualLayout>
      </c:layout>
      <c:overlay val="0"/>
      <c:txPr>
        <a:bodyPr/>
        <a:lstStyle/>
        <a:p>
          <a:pPr>
            <a:defRPr sz="1200"/>
          </a:pPr>
          <a:endParaRPr lang="en-US"/>
        </a:p>
      </c:txPr>
    </c:legend>
    <c:plotVisOnly val="1"/>
    <c:dispBlanksAs val="gap"/>
    <c:showDLblsOverMax val="0"/>
  </c:chart>
  <c:spPr>
    <a:solidFill>
      <a:srgbClr val="FFFFFF"/>
    </a:solidFill>
    <a:ln w="3175">
      <a:no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GB" sz="1200" b="1" i="0" baseline="0">
                <a:effectLst/>
              </a:rPr>
              <a:t>Figure 3: </a:t>
            </a:r>
            <a:r>
              <a:rPr lang="en-US" sz="1200" b="1" i="0" u="none" strike="noStrike" baseline="0">
                <a:effectLst/>
              </a:rPr>
              <a:t>Adjusted average </a:t>
            </a:r>
            <a:r>
              <a:rPr lang="en-GB" sz="1200" b="1" i="0" baseline="0">
                <a:effectLst/>
              </a:rPr>
              <a:t>health gain on the Oxford Hip Score </a:t>
            </a:r>
          </a:p>
          <a:p>
            <a:pPr algn="l">
              <a:defRPr/>
            </a:pPr>
            <a:r>
              <a:rPr lang="en-GB" sz="1200" b="1" i="0" baseline="0">
                <a:effectLst/>
              </a:rPr>
              <a:t>/ Oxford Knee Score by procedure</a:t>
            </a:r>
          </a:p>
        </c:rich>
      </c:tx>
      <c:layout>
        <c:manualLayout>
          <c:xMode val="edge"/>
          <c:yMode val="edge"/>
          <c:x val="0.24134700433633272"/>
          <c:y val="4.3137773252518677E-2"/>
        </c:manualLayout>
      </c:layout>
      <c:overlay val="0"/>
    </c:title>
    <c:autoTitleDeleted val="0"/>
    <c:plotArea>
      <c:layout>
        <c:manualLayout>
          <c:layoutTarget val="inner"/>
          <c:xMode val="edge"/>
          <c:yMode val="edge"/>
          <c:x val="0.24177808549979166"/>
          <c:y val="0.27434754049610732"/>
          <c:w val="0.72853073654977185"/>
          <c:h val="0.5602918302822858"/>
        </c:manualLayout>
      </c:layout>
      <c:barChart>
        <c:barDir val="bar"/>
        <c:grouping val="clustered"/>
        <c:varyColors val="0"/>
        <c:ser>
          <c:idx val="2"/>
          <c:order val="0"/>
          <c:tx>
            <c:strRef>
              <c:f>ProvCommData!$C$11</c:f>
              <c:strCache>
                <c:ptCount val="1"/>
                <c:pt idx="0">
                  <c:v>Adjusted average health gain</c:v>
                </c:pt>
              </c:strCache>
            </c:strRef>
          </c:tx>
          <c:spPr>
            <a:solidFill>
              <a:srgbClr val="003350"/>
            </a:solidFill>
            <a:ln w="28575">
              <a:noFill/>
            </a:ln>
          </c:spPr>
          <c:invertIfNegative val="0"/>
          <c:cat>
            <c:strRef>
              <c:f>ProvCommData!$B$15:$B$21</c:f>
              <c:strCache>
                <c:ptCount val="7"/>
                <c:pt idx="0">
                  <c:v>Knee - revision (1637)</c:v>
                </c:pt>
                <c:pt idx="1">
                  <c:v>Knee - primary (40818)</c:v>
                </c:pt>
                <c:pt idx="2">
                  <c:v>Oxford Knee Score     </c:v>
                </c:pt>
                <c:pt idx="4">
                  <c:v>Hip - revision (2477)</c:v>
                </c:pt>
                <c:pt idx="5">
                  <c:v>Hip - primary (38709)</c:v>
                </c:pt>
                <c:pt idx="6">
                  <c:v>Oxford Hip Score        </c:v>
                </c:pt>
              </c:strCache>
            </c:strRef>
          </c:cat>
          <c:val>
            <c:numRef>
              <c:f>ProvCommData!$C$15:$C$21</c:f>
              <c:numCache>
                <c:formatCode>0.000</c:formatCode>
                <c:ptCount val="7"/>
                <c:pt idx="0">
                  <c:v>12.337813069999999</c:v>
                </c:pt>
                <c:pt idx="1">
                  <c:v>16.141555199999999</c:v>
                </c:pt>
                <c:pt idx="4">
                  <c:v>12.724666940000001</c:v>
                </c:pt>
                <c:pt idx="5">
                  <c:v>21.454777960000001</c:v>
                </c:pt>
              </c:numCache>
            </c:numRef>
          </c:val>
        </c:ser>
        <c:dLbls>
          <c:showLegendKey val="0"/>
          <c:showVal val="0"/>
          <c:showCatName val="0"/>
          <c:showSerName val="0"/>
          <c:showPercent val="0"/>
          <c:showBubbleSize val="0"/>
        </c:dLbls>
        <c:gapWidth val="50"/>
        <c:axId val="333300096"/>
        <c:axId val="333293440"/>
      </c:barChart>
      <c:scatterChart>
        <c:scatterStyle val="lineMarker"/>
        <c:varyColors val="0"/>
        <c:ser>
          <c:idx val="0"/>
          <c:order val="1"/>
          <c:tx>
            <c:strRef>
              <c:f>ProvCommData!$D$11</c:f>
              <c:strCache>
                <c:ptCount val="1"/>
                <c:pt idx="0">
                  <c:v>Adjusted average health gain (England)</c:v>
                </c:pt>
              </c:strCache>
            </c:strRef>
          </c:tx>
          <c:spPr>
            <a:ln w="28575">
              <a:noFill/>
            </a:ln>
          </c:spPr>
          <c:marker>
            <c:symbol val="circle"/>
            <c:size val="12"/>
            <c:spPr>
              <a:solidFill>
                <a:srgbClr val="A0D0E8"/>
              </a:solidFill>
              <a:ln>
                <a:solidFill>
                  <a:srgbClr val="003350"/>
                </a:solidFill>
              </a:ln>
            </c:spPr>
          </c:marker>
          <c:xVal>
            <c:numRef>
              <c:f>ProvCommData!$D$15:$D$21</c:f>
              <c:numCache>
                <c:formatCode>0.0</c:formatCode>
                <c:ptCount val="7"/>
                <c:pt idx="0">
                  <c:v>12.337813069999999</c:v>
                </c:pt>
                <c:pt idx="1">
                  <c:v>16.141555199999999</c:v>
                </c:pt>
                <c:pt idx="4">
                  <c:v>12.724666940000001</c:v>
                </c:pt>
                <c:pt idx="5">
                  <c:v>21.454777960000001</c:v>
                </c:pt>
              </c:numCache>
            </c:numRef>
          </c:xVal>
          <c:yVal>
            <c:numRef>
              <c:f>ProvCommData!$E$15:$E$21</c:f>
              <c:numCache>
                <c:formatCode>0.0</c:formatCode>
                <c:ptCount val="7"/>
                <c:pt idx="0">
                  <c:v>0.5714285714285714</c:v>
                </c:pt>
                <c:pt idx="1">
                  <c:v>1.7142857142857142</c:v>
                </c:pt>
                <c:pt idx="2">
                  <c:v>2.8571428571428568</c:v>
                </c:pt>
                <c:pt idx="3">
                  <c:v>3.9999999999999996</c:v>
                </c:pt>
                <c:pt idx="4">
                  <c:v>5.1428571428571423</c:v>
                </c:pt>
                <c:pt idx="5">
                  <c:v>6.2857142857142847</c:v>
                </c:pt>
                <c:pt idx="6">
                  <c:v>7.428571428571427</c:v>
                </c:pt>
              </c:numCache>
            </c:numRef>
          </c:yVal>
          <c:smooth val="0"/>
        </c:ser>
        <c:dLbls>
          <c:showLegendKey val="0"/>
          <c:showVal val="0"/>
          <c:showCatName val="0"/>
          <c:showSerName val="0"/>
          <c:showPercent val="0"/>
          <c:showBubbleSize val="0"/>
        </c:dLbls>
        <c:axId val="333303168"/>
        <c:axId val="333301632"/>
      </c:scatterChart>
      <c:valAx>
        <c:axId val="333293440"/>
        <c:scaling>
          <c:orientation val="minMax"/>
          <c:max val="26"/>
          <c:min val="0"/>
        </c:scaling>
        <c:delete val="0"/>
        <c:axPos val="b"/>
        <c:title>
          <c:tx>
            <c:rich>
              <a:bodyPr/>
              <a:lstStyle/>
              <a:p>
                <a:pPr>
                  <a:defRPr/>
                </a:pPr>
                <a:r>
                  <a:rPr lang="en-GB" sz="1200" b="1"/>
                  <a:t>Average</a:t>
                </a:r>
                <a:r>
                  <a:rPr lang="en-GB" sz="1200" b="1" baseline="0"/>
                  <a:t> adjusted health gain: Oxford Hip Score / Oxford Knee Score</a:t>
                </a:r>
                <a:endParaRPr lang="en-GB" sz="1200" b="1"/>
              </a:p>
            </c:rich>
          </c:tx>
          <c:layout>
            <c:manualLayout>
              <c:xMode val="edge"/>
              <c:yMode val="edge"/>
              <c:x val="0.27514004158384509"/>
              <c:y val="0.91755267340652891"/>
            </c:manualLayout>
          </c:layout>
          <c:overlay val="0"/>
        </c:title>
        <c:numFmt formatCode="#,##0.0" sourceLinked="0"/>
        <c:majorTickMark val="none"/>
        <c:minorTickMark val="none"/>
        <c:tickLblPos val="nextTo"/>
        <c:spPr>
          <a:ln w="3175">
            <a:solidFill>
              <a:srgbClr val="000000"/>
            </a:solidFill>
            <a:prstDash val="solid"/>
          </a:ln>
        </c:spPr>
        <c:txPr>
          <a:bodyPr rot="0" vert="horz"/>
          <a:lstStyle/>
          <a:p>
            <a:pPr>
              <a:defRPr sz="1200"/>
            </a:pPr>
            <a:endParaRPr lang="en-US"/>
          </a:p>
        </c:txPr>
        <c:crossAx val="333300096"/>
        <c:crossesAt val="0"/>
        <c:crossBetween val="between"/>
        <c:majorUnit val="5"/>
        <c:minorUnit val="1"/>
      </c:valAx>
      <c:catAx>
        <c:axId val="333300096"/>
        <c:scaling>
          <c:orientation val="minMax"/>
        </c:scaling>
        <c:delete val="0"/>
        <c:axPos val="l"/>
        <c:majorGridlines>
          <c:spPr>
            <a:ln w="3175">
              <a:solidFill>
                <a:srgbClr val="C0C0C0"/>
              </a:solidFill>
              <a:prstDash val="solid"/>
            </a:ln>
          </c:spPr>
        </c:majorGridlines>
        <c:numFmt formatCode="0.0%" sourceLinked="1"/>
        <c:majorTickMark val="none"/>
        <c:minorTickMark val="none"/>
        <c:tickLblPos val="low"/>
        <c:spPr>
          <a:ln w="3175">
            <a:noFill/>
            <a:prstDash val="solid"/>
          </a:ln>
        </c:spPr>
        <c:txPr>
          <a:bodyPr rot="0" vert="horz"/>
          <a:lstStyle/>
          <a:p>
            <a:pPr>
              <a:defRPr sz="1200"/>
            </a:pPr>
            <a:endParaRPr lang="en-US"/>
          </a:p>
        </c:txPr>
        <c:crossAx val="333293440"/>
        <c:crossesAt val="0"/>
        <c:auto val="1"/>
        <c:lblAlgn val="ctr"/>
        <c:lblOffset val="100"/>
        <c:noMultiLvlLbl val="1"/>
      </c:catAx>
      <c:valAx>
        <c:axId val="333301632"/>
        <c:scaling>
          <c:orientation val="minMax"/>
          <c:max val="8"/>
          <c:min val="0"/>
        </c:scaling>
        <c:delete val="1"/>
        <c:axPos val="r"/>
        <c:numFmt formatCode="0.0" sourceLinked="1"/>
        <c:majorTickMark val="out"/>
        <c:minorTickMark val="none"/>
        <c:tickLblPos val="nextTo"/>
        <c:crossAx val="333303168"/>
        <c:crosses val="max"/>
        <c:crossBetween val="midCat"/>
      </c:valAx>
      <c:valAx>
        <c:axId val="333303168"/>
        <c:scaling>
          <c:orientation val="minMax"/>
        </c:scaling>
        <c:delete val="1"/>
        <c:axPos val="b"/>
        <c:numFmt formatCode="0.0" sourceLinked="1"/>
        <c:majorTickMark val="out"/>
        <c:minorTickMark val="none"/>
        <c:tickLblPos val="nextTo"/>
        <c:crossAx val="333301632"/>
        <c:crosses val="autoZero"/>
        <c:crossBetween val="midCat"/>
      </c:valAx>
      <c:spPr>
        <a:noFill/>
        <a:ln w="12700">
          <a:solidFill>
            <a:srgbClr val="808080"/>
          </a:solidFill>
          <a:prstDash val="solid"/>
        </a:ln>
      </c:spPr>
    </c:plotArea>
    <c:legend>
      <c:legendPos val="t"/>
      <c:layout>
        <c:manualLayout>
          <c:xMode val="edge"/>
          <c:yMode val="edge"/>
          <c:x val="0.22483647853657734"/>
          <c:y val="0.18216378561554178"/>
          <c:w val="0.72768862433862436"/>
          <c:h val="5.7593731796396305E-2"/>
        </c:manualLayout>
      </c:layout>
      <c:overlay val="0"/>
      <c:txPr>
        <a:bodyPr/>
        <a:lstStyle/>
        <a:p>
          <a:pPr>
            <a:defRPr sz="1200"/>
          </a:pPr>
          <a:endParaRPr lang="en-US"/>
        </a:p>
      </c:txPr>
    </c:legend>
    <c:plotVisOnly val="1"/>
    <c:dispBlanksAs val="gap"/>
    <c:showDLblsOverMax val="0"/>
  </c:chart>
  <c:spPr>
    <a:solidFill>
      <a:srgbClr val="FFFFFF"/>
    </a:solidFill>
    <a:ln w="3175">
      <a:no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GB" sz="1200" b="1" i="0" baseline="0">
                <a:effectLst/>
              </a:rPr>
              <a:t>Figure 4: </a:t>
            </a:r>
            <a:r>
              <a:rPr lang="en-US" sz="1200" b="1" i="0" u="none" strike="noStrike" baseline="0">
                <a:effectLst/>
              </a:rPr>
              <a:t>Adjusted average </a:t>
            </a:r>
            <a:r>
              <a:rPr lang="en-GB" sz="1200" b="1" i="0" baseline="0">
                <a:effectLst/>
              </a:rPr>
              <a:t>health gain on the Aberdeen Varicose Vein Questionnaire </a:t>
            </a:r>
            <a:endParaRPr lang="en-GB" sz="1200">
              <a:effectLst/>
            </a:endParaRPr>
          </a:p>
        </c:rich>
      </c:tx>
      <c:layout>
        <c:manualLayout>
          <c:xMode val="edge"/>
          <c:yMode val="edge"/>
          <c:x val="0.21718910730205029"/>
          <c:y val="5.2287554789998046E-2"/>
        </c:manualLayout>
      </c:layout>
      <c:overlay val="0"/>
    </c:title>
    <c:autoTitleDeleted val="0"/>
    <c:plotArea>
      <c:layout>
        <c:manualLayout>
          <c:layoutTarget val="inner"/>
          <c:xMode val="edge"/>
          <c:yMode val="edge"/>
          <c:x val="0.21721483073060602"/>
          <c:y val="0.44542049023699753"/>
          <c:w val="0.73268951992695797"/>
          <c:h val="0.25013985376982462"/>
        </c:manualLayout>
      </c:layout>
      <c:barChart>
        <c:barDir val="bar"/>
        <c:grouping val="clustered"/>
        <c:varyColors val="0"/>
        <c:ser>
          <c:idx val="2"/>
          <c:order val="0"/>
          <c:tx>
            <c:strRef>
              <c:f>ProvCommData!$C$11</c:f>
              <c:strCache>
                <c:ptCount val="1"/>
                <c:pt idx="0">
                  <c:v>Adjusted average health gain</c:v>
                </c:pt>
              </c:strCache>
            </c:strRef>
          </c:tx>
          <c:spPr>
            <a:solidFill>
              <a:srgbClr val="003350"/>
            </a:solidFill>
            <a:ln w="28575">
              <a:noFill/>
            </a:ln>
          </c:spPr>
          <c:invertIfNegative val="0"/>
          <c:cat>
            <c:strRef>
              <c:f>ProvCommData!$B$13</c:f>
              <c:strCache>
                <c:ptCount val="1"/>
                <c:pt idx="0">
                  <c:v>Varicose vein (5721)</c:v>
                </c:pt>
              </c:strCache>
            </c:strRef>
          </c:cat>
          <c:val>
            <c:numRef>
              <c:f>ProvCommData!$C$13</c:f>
              <c:numCache>
                <c:formatCode>0.000</c:formatCode>
                <c:ptCount val="1"/>
                <c:pt idx="0">
                  <c:v>-8.2810064669999992</c:v>
                </c:pt>
              </c:numCache>
            </c:numRef>
          </c:val>
        </c:ser>
        <c:dLbls>
          <c:showLegendKey val="0"/>
          <c:showVal val="0"/>
          <c:showCatName val="0"/>
          <c:showSerName val="0"/>
          <c:showPercent val="0"/>
          <c:showBubbleSize val="0"/>
        </c:dLbls>
        <c:gapWidth val="50"/>
        <c:axId val="333856128"/>
        <c:axId val="333853824"/>
      </c:barChart>
      <c:scatterChart>
        <c:scatterStyle val="lineMarker"/>
        <c:varyColors val="0"/>
        <c:ser>
          <c:idx val="0"/>
          <c:order val="1"/>
          <c:tx>
            <c:strRef>
              <c:f>ProvCommData!$D$11</c:f>
              <c:strCache>
                <c:ptCount val="1"/>
                <c:pt idx="0">
                  <c:v>Adjusted average health gain (England)</c:v>
                </c:pt>
              </c:strCache>
            </c:strRef>
          </c:tx>
          <c:spPr>
            <a:ln w="28575">
              <a:noFill/>
            </a:ln>
          </c:spPr>
          <c:marker>
            <c:symbol val="circle"/>
            <c:size val="12"/>
            <c:spPr>
              <a:solidFill>
                <a:srgbClr val="A0D0E8"/>
              </a:solidFill>
              <a:ln>
                <a:solidFill>
                  <a:srgbClr val="003350"/>
                </a:solidFill>
              </a:ln>
            </c:spPr>
          </c:marker>
          <c:xVal>
            <c:numRef>
              <c:f>ProvCommData!$D$13</c:f>
              <c:numCache>
                <c:formatCode>0.0</c:formatCode>
                <c:ptCount val="1"/>
                <c:pt idx="0">
                  <c:v>-8.2810064669999992</c:v>
                </c:pt>
              </c:numCache>
            </c:numRef>
          </c:xVal>
          <c:yVal>
            <c:numRef>
              <c:f>ProvCommData!$E$13</c:f>
              <c:numCache>
                <c:formatCode>General</c:formatCode>
                <c:ptCount val="1"/>
                <c:pt idx="0">
                  <c:v>1</c:v>
                </c:pt>
              </c:numCache>
            </c:numRef>
          </c:yVal>
          <c:smooth val="0"/>
        </c:ser>
        <c:dLbls>
          <c:showLegendKey val="0"/>
          <c:showVal val="0"/>
          <c:showCatName val="0"/>
          <c:showSerName val="0"/>
          <c:showPercent val="0"/>
          <c:showBubbleSize val="0"/>
        </c:dLbls>
        <c:axId val="333867648"/>
        <c:axId val="333866112"/>
      </c:scatterChart>
      <c:valAx>
        <c:axId val="333853824"/>
        <c:scaling>
          <c:orientation val="minMax"/>
          <c:max val="12"/>
          <c:min val="-18"/>
        </c:scaling>
        <c:delete val="0"/>
        <c:axPos val="b"/>
        <c:title>
          <c:tx>
            <c:rich>
              <a:bodyPr/>
              <a:lstStyle/>
              <a:p>
                <a:pPr>
                  <a:defRPr sz="1200"/>
                </a:pPr>
                <a:r>
                  <a:rPr lang="en-GB" sz="1200"/>
                  <a:t>Improved</a:t>
                </a:r>
                <a:r>
                  <a:rPr lang="en-GB" sz="1200" baseline="0"/>
                  <a:t>                                                                              Worsened</a:t>
                </a:r>
                <a:endParaRPr lang="en-GB" sz="1200"/>
              </a:p>
            </c:rich>
          </c:tx>
          <c:layout>
            <c:manualLayout>
              <c:xMode val="edge"/>
              <c:yMode val="edge"/>
              <c:x val="0.27141792023309913"/>
              <c:y val="0.84035364090698339"/>
            </c:manualLayout>
          </c:layout>
          <c:overlay val="0"/>
        </c:title>
        <c:numFmt formatCode="#,##0.0" sourceLinked="0"/>
        <c:majorTickMark val="none"/>
        <c:minorTickMark val="none"/>
        <c:tickLblPos val="nextTo"/>
        <c:spPr>
          <a:ln w="3175">
            <a:solidFill>
              <a:srgbClr val="000000"/>
            </a:solidFill>
            <a:prstDash val="solid"/>
          </a:ln>
        </c:spPr>
        <c:txPr>
          <a:bodyPr rot="0" vert="horz"/>
          <a:lstStyle/>
          <a:p>
            <a:pPr>
              <a:defRPr sz="1200"/>
            </a:pPr>
            <a:endParaRPr lang="en-US"/>
          </a:p>
        </c:txPr>
        <c:crossAx val="333856128"/>
        <c:crossesAt val="0"/>
        <c:crossBetween val="between"/>
        <c:majorUnit val="6"/>
        <c:minorUnit val="1"/>
      </c:valAx>
      <c:catAx>
        <c:axId val="333856128"/>
        <c:scaling>
          <c:orientation val="minMax"/>
        </c:scaling>
        <c:delete val="0"/>
        <c:axPos val="l"/>
        <c:numFmt formatCode="0.0%" sourceLinked="1"/>
        <c:majorTickMark val="none"/>
        <c:minorTickMark val="none"/>
        <c:tickLblPos val="low"/>
        <c:spPr>
          <a:ln w="3175">
            <a:noFill/>
            <a:prstDash val="solid"/>
          </a:ln>
        </c:spPr>
        <c:txPr>
          <a:bodyPr rot="0" vert="horz"/>
          <a:lstStyle/>
          <a:p>
            <a:pPr>
              <a:defRPr sz="1200"/>
            </a:pPr>
            <a:endParaRPr lang="en-US"/>
          </a:p>
        </c:txPr>
        <c:crossAx val="333853824"/>
        <c:crossesAt val="0"/>
        <c:auto val="1"/>
        <c:lblAlgn val="ctr"/>
        <c:lblOffset val="100"/>
        <c:noMultiLvlLbl val="1"/>
      </c:catAx>
      <c:valAx>
        <c:axId val="333866112"/>
        <c:scaling>
          <c:orientation val="minMax"/>
          <c:max val="2"/>
          <c:min val="0"/>
        </c:scaling>
        <c:delete val="1"/>
        <c:axPos val="r"/>
        <c:numFmt formatCode="General" sourceLinked="1"/>
        <c:majorTickMark val="out"/>
        <c:minorTickMark val="none"/>
        <c:tickLblPos val="nextTo"/>
        <c:crossAx val="333867648"/>
        <c:crosses val="max"/>
        <c:crossBetween val="midCat"/>
      </c:valAx>
      <c:valAx>
        <c:axId val="333867648"/>
        <c:scaling>
          <c:orientation val="minMax"/>
        </c:scaling>
        <c:delete val="1"/>
        <c:axPos val="b"/>
        <c:numFmt formatCode="0.0" sourceLinked="1"/>
        <c:majorTickMark val="out"/>
        <c:minorTickMark val="none"/>
        <c:tickLblPos val="nextTo"/>
        <c:crossAx val="333866112"/>
        <c:crosses val="autoZero"/>
        <c:crossBetween val="midCat"/>
      </c:valAx>
      <c:spPr>
        <a:noFill/>
        <a:ln w="12700">
          <a:noFill/>
          <a:prstDash val="solid"/>
        </a:ln>
      </c:spPr>
    </c:plotArea>
    <c:legend>
      <c:legendPos val="t"/>
      <c:layout>
        <c:manualLayout>
          <c:xMode val="edge"/>
          <c:yMode val="edge"/>
          <c:x val="0.20974421941794344"/>
          <c:y val="0.28428681782367465"/>
          <c:w val="0.74812386416277665"/>
          <c:h val="9.2456830255108202E-2"/>
        </c:manualLayout>
      </c:layout>
      <c:overlay val="0"/>
      <c:txPr>
        <a:bodyPr/>
        <a:lstStyle/>
        <a:p>
          <a:pPr>
            <a:defRPr sz="1200"/>
          </a:pPr>
          <a:endParaRPr lang="en-US"/>
        </a:p>
      </c:txPr>
    </c:legend>
    <c:plotVisOnly val="1"/>
    <c:dispBlanksAs val="gap"/>
    <c:showDLblsOverMax val="0"/>
  </c:chart>
  <c:spPr>
    <a:solidFill>
      <a:srgbClr val="FFFFFF"/>
    </a:solidFill>
    <a:ln w="3175">
      <a:no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436694781944458"/>
          <c:y val="2.2624467713735674E-2"/>
          <c:w val="0.69541521785830984"/>
          <c:h val="0.87074346262272773"/>
        </c:manualLayout>
      </c:layout>
      <c:barChart>
        <c:barDir val="bar"/>
        <c:grouping val="stacked"/>
        <c:varyColors val="0"/>
        <c:ser>
          <c:idx val="1"/>
          <c:order val="0"/>
          <c:tx>
            <c:strRef>
              <c:f>'Chart data'!$D$11</c:f>
              <c:strCache>
                <c:ptCount val="1"/>
                <c:pt idx="0">
                  <c:v>% Worse</c:v>
                </c:pt>
              </c:strCache>
            </c:strRef>
          </c:tx>
          <c:spPr>
            <a:solidFill>
              <a:srgbClr val="80A0B0"/>
            </a:solidFill>
            <a:ln w="12700">
              <a:noFill/>
              <a:prstDash val="solid"/>
            </a:ln>
          </c:spPr>
          <c:invertIfNegative val="0"/>
          <c:cat>
            <c:multiLvlStrRef>
              <c:f>'Chart data'!$A$12:$B$22</c:f>
              <c:multiLvlStrCache>
                <c:ptCount val="11"/>
                <c:lvl>
                  <c:pt idx="0">
                    <c:v>Aberdeen Varicose Vein Questionnaire</c:v>
                  </c:pt>
                  <c:pt idx="1">
                    <c:v>EQ VAS</c:v>
                  </c:pt>
                  <c:pt idx="2">
                    <c:v>EQ-5D Index</c:v>
                  </c:pt>
                  <c:pt idx="3">
                    <c:v>Oxford Knee Score</c:v>
                  </c:pt>
                  <c:pt idx="4">
                    <c:v>EQ VAS</c:v>
                  </c:pt>
                  <c:pt idx="5">
                    <c:v>EQ-5D Index</c:v>
                  </c:pt>
                  <c:pt idx="6">
                    <c:v>Oxford Hip Score</c:v>
                  </c:pt>
                  <c:pt idx="7">
                    <c:v>EQ VAS</c:v>
                  </c:pt>
                  <c:pt idx="8">
                    <c:v>EQ-5D Index</c:v>
                  </c:pt>
                  <c:pt idx="9">
                    <c:v>EQ VAS</c:v>
                  </c:pt>
                  <c:pt idx="10">
                    <c:v>EQ-5D Index</c:v>
                  </c:pt>
                </c:lvl>
                <c:lvl>
                  <c:pt idx="0">
                    <c:v>Varicose Vein</c:v>
                  </c:pt>
                  <c:pt idx="3">
                    <c:v>Knee Replacement</c:v>
                  </c:pt>
                  <c:pt idx="6">
                    <c:v>Hip Replacement</c:v>
                  </c:pt>
                  <c:pt idx="9">
                    <c:v>Groin Hernia</c:v>
                  </c:pt>
                </c:lvl>
              </c:multiLvlStrCache>
            </c:multiLvlStrRef>
          </c:cat>
          <c:val>
            <c:numRef>
              <c:f>'Chart data'!$D$12:$D$22</c:f>
              <c:numCache>
                <c:formatCode>0.0%</c:formatCode>
                <c:ptCount val="11"/>
                <c:pt idx="0">
                  <c:v>0</c:v>
                </c:pt>
                <c:pt idx="1">
                  <c:v>0</c:v>
                </c:pt>
                <c:pt idx="2">
                  <c:v>0</c:v>
                </c:pt>
                <c:pt idx="3">
                  <c:v>-6.2E-2</c:v>
                </c:pt>
                <c:pt idx="4">
                  <c:v>-0.46700000000000003</c:v>
                </c:pt>
                <c:pt idx="5">
                  <c:v>-8.5999999999999993E-2</c:v>
                </c:pt>
                <c:pt idx="6">
                  <c:v>-1.2E-2</c:v>
                </c:pt>
                <c:pt idx="7">
                  <c:v>-0.20599999999999999</c:v>
                </c:pt>
                <c:pt idx="8">
                  <c:v>-5.0999999999999997E-2</c:v>
                </c:pt>
                <c:pt idx="9">
                  <c:v>-0.55200000000000005</c:v>
                </c:pt>
                <c:pt idx="10">
                  <c:v>-0.27600000000000002</c:v>
                </c:pt>
              </c:numCache>
            </c:numRef>
          </c:val>
        </c:ser>
        <c:ser>
          <c:idx val="0"/>
          <c:order val="1"/>
          <c:tx>
            <c:strRef>
              <c:f>'Chart data'!$C$11</c:f>
              <c:strCache>
                <c:ptCount val="1"/>
                <c:pt idx="0">
                  <c:v>% Improved</c:v>
                </c:pt>
              </c:strCache>
            </c:strRef>
          </c:tx>
          <c:spPr>
            <a:solidFill>
              <a:srgbClr val="A0D0E8"/>
            </a:solidFill>
            <a:ln w="12700">
              <a:noFill/>
              <a:prstDash val="solid"/>
            </a:ln>
          </c:spPr>
          <c:invertIfNegative val="0"/>
          <c:cat>
            <c:multiLvlStrRef>
              <c:f>'Chart data'!$A$12:$B$22</c:f>
              <c:multiLvlStrCache>
                <c:ptCount val="11"/>
                <c:lvl>
                  <c:pt idx="0">
                    <c:v>Aberdeen Varicose Vein Questionnaire</c:v>
                  </c:pt>
                  <c:pt idx="1">
                    <c:v>EQ VAS</c:v>
                  </c:pt>
                  <c:pt idx="2">
                    <c:v>EQ-5D Index</c:v>
                  </c:pt>
                  <c:pt idx="3">
                    <c:v>Oxford Knee Score</c:v>
                  </c:pt>
                  <c:pt idx="4">
                    <c:v>EQ VAS</c:v>
                  </c:pt>
                  <c:pt idx="5">
                    <c:v>EQ-5D Index</c:v>
                  </c:pt>
                  <c:pt idx="6">
                    <c:v>Oxford Hip Score</c:v>
                  </c:pt>
                  <c:pt idx="7">
                    <c:v>EQ VAS</c:v>
                  </c:pt>
                  <c:pt idx="8">
                    <c:v>EQ-5D Index</c:v>
                  </c:pt>
                  <c:pt idx="9">
                    <c:v>EQ VAS</c:v>
                  </c:pt>
                  <c:pt idx="10">
                    <c:v>EQ-5D Index</c:v>
                  </c:pt>
                </c:lvl>
                <c:lvl>
                  <c:pt idx="0">
                    <c:v>Varicose Vein</c:v>
                  </c:pt>
                  <c:pt idx="3">
                    <c:v>Knee Replacement</c:v>
                  </c:pt>
                  <c:pt idx="6">
                    <c:v>Hip Replacement</c:v>
                  </c:pt>
                  <c:pt idx="9">
                    <c:v>Groin Hernia</c:v>
                  </c:pt>
                </c:lvl>
              </c:multiLvlStrCache>
            </c:multiLvlStrRef>
          </c:cat>
          <c:val>
            <c:numRef>
              <c:f>'Chart data'!$C$12:$C$22</c:f>
              <c:numCache>
                <c:formatCode>0.0%</c:formatCode>
                <c:ptCount val="11"/>
                <c:pt idx="0">
                  <c:v>0</c:v>
                </c:pt>
                <c:pt idx="1">
                  <c:v>0</c:v>
                </c:pt>
                <c:pt idx="2">
                  <c:v>0</c:v>
                </c:pt>
                <c:pt idx="3">
                  <c:v>0.93799999999999994</c:v>
                </c:pt>
                <c:pt idx="4">
                  <c:v>0.33300000000000002</c:v>
                </c:pt>
                <c:pt idx="5">
                  <c:v>0.79300000000000004</c:v>
                </c:pt>
                <c:pt idx="6">
                  <c:v>0.98799999999999999</c:v>
                </c:pt>
                <c:pt idx="7">
                  <c:v>0.67600000000000005</c:v>
                </c:pt>
                <c:pt idx="8">
                  <c:v>0.89700000000000002</c:v>
                </c:pt>
                <c:pt idx="9">
                  <c:v>0.41399999999999998</c:v>
                </c:pt>
                <c:pt idx="10">
                  <c:v>0.44800000000000001</c:v>
                </c:pt>
              </c:numCache>
            </c:numRef>
          </c:val>
        </c:ser>
        <c:dLbls>
          <c:showLegendKey val="0"/>
          <c:showVal val="0"/>
          <c:showCatName val="0"/>
          <c:showSerName val="0"/>
          <c:showPercent val="0"/>
          <c:showBubbleSize val="0"/>
        </c:dLbls>
        <c:gapWidth val="40"/>
        <c:overlap val="100"/>
        <c:axId val="197649920"/>
        <c:axId val="197651840"/>
      </c:barChart>
      <c:scatterChart>
        <c:scatterStyle val="lineMarker"/>
        <c:varyColors val="0"/>
        <c:ser>
          <c:idx val="3"/>
          <c:order val="2"/>
          <c:tx>
            <c:strRef>
              <c:f>'Chart data'!$F$11</c:f>
              <c:strCache>
                <c:ptCount val="1"/>
                <c:pt idx="0">
                  <c:v>% England Worse</c:v>
                </c:pt>
              </c:strCache>
            </c:strRef>
          </c:tx>
          <c:spPr>
            <a:ln w="28575">
              <a:noFill/>
            </a:ln>
          </c:spPr>
          <c:marker>
            <c:symbol val="triangle"/>
            <c:size val="10"/>
            <c:spPr>
              <a:solidFill>
                <a:srgbClr val="A0D0E8"/>
              </a:solidFill>
              <a:ln w="1270">
                <a:solidFill>
                  <a:srgbClr val="000000"/>
                </a:solidFill>
                <a:prstDash val="solid"/>
              </a:ln>
            </c:spPr>
          </c:marker>
          <c:xVal>
            <c:numRef>
              <c:f>'Chart data'!$F$12:$F$22</c:f>
              <c:numCache>
                <c:formatCode>0.0%</c:formatCode>
                <c:ptCount val="11"/>
                <c:pt idx="0">
                  <c:v>-0.17499999999999999</c:v>
                </c:pt>
                <c:pt idx="1">
                  <c:v>-0.41299999999999998</c:v>
                </c:pt>
                <c:pt idx="2">
                  <c:v>-0.16600000000000001</c:v>
                </c:pt>
                <c:pt idx="3">
                  <c:v>-5.6000000000000001E-2</c:v>
                </c:pt>
                <c:pt idx="4">
                  <c:v>-0.31</c:v>
                </c:pt>
                <c:pt idx="5">
                  <c:v>-9.5000000000000001E-2</c:v>
                </c:pt>
                <c:pt idx="6">
                  <c:v>-2.9000000000000001E-2</c:v>
                </c:pt>
                <c:pt idx="7">
                  <c:v>-0.23599999999999999</c:v>
                </c:pt>
                <c:pt idx="8">
                  <c:v>-5.8000000000000003E-2</c:v>
                </c:pt>
                <c:pt idx="9">
                  <c:v>-0.42099999999999999</c:v>
                </c:pt>
                <c:pt idx="10">
                  <c:v>-0.17799999999999999</c:v>
                </c:pt>
              </c:numCache>
            </c:numRef>
          </c:xVal>
          <c:yVal>
            <c:numRef>
              <c:f>'Chart data'!$G$12:$G$22</c:f>
              <c:numCache>
                <c:formatCode>General</c:formatCode>
                <c:ptCount val="11"/>
                <c:pt idx="0">
                  <c:v>0.5</c:v>
                </c:pt>
                <c:pt idx="1">
                  <c:v>1.5</c:v>
                </c:pt>
                <c:pt idx="2">
                  <c:v>2.5</c:v>
                </c:pt>
                <c:pt idx="3">
                  <c:v>3.5</c:v>
                </c:pt>
                <c:pt idx="4">
                  <c:v>4.5</c:v>
                </c:pt>
                <c:pt idx="5">
                  <c:v>5.5</c:v>
                </c:pt>
                <c:pt idx="6">
                  <c:v>6.5</c:v>
                </c:pt>
                <c:pt idx="7">
                  <c:v>7.5</c:v>
                </c:pt>
                <c:pt idx="8">
                  <c:v>8.5</c:v>
                </c:pt>
                <c:pt idx="9">
                  <c:v>9.5</c:v>
                </c:pt>
                <c:pt idx="10">
                  <c:v>10.5</c:v>
                </c:pt>
              </c:numCache>
            </c:numRef>
          </c:yVal>
          <c:smooth val="0"/>
        </c:ser>
        <c:ser>
          <c:idx val="2"/>
          <c:order val="3"/>
          <c:tx>
            <c:strRef>
              <c:f>'Chart data'!$E$11</c:f>
              <c:strCache>
                <c:ptCount val="1"/>
                <c:pt idx="0">
                  <c:v>% England Improved</c:v>
                </c:pt>
              </c:strCache>
            </c:strRef>
          </c:tx>
          <c:spPr>
            <a:ln w="28575">
              <a:noFill/>
            </a:ln>
          </c:spPr>
          <c:marker>
            <c:symbol val="triangle"/>
            <c:size val="10"/>
            <c:spPr>
              <a:solidFill>
                <a:srgbClr val="80A0B0"/>
              </a:solidFill>
              <a:ln w="1270">
                <a:solidFill>
                  <a:schemeClr val="tx1"/>
                </a:solidFill>
                <a:prstDash val="solid"/>
              </a:ln>
            </c:spPr>
          </c:marker>
          <c:xVal>
            <c:numRef>
              <c:f>'Chart data'!$E$12:$E$22</c:f>
              <c:numCache>
                <c:formatCode>0.0%</c:formatCode>
                <c:ptCount val="11"/>
                <c:pt idx="0">
                  <c:v>0.82399999999999995</c:v>
                </c:pt>
                <c:pt idx="1">
                  <c:v>0.39</c:v>
                </c:pt>
                <c:pt idx="2">
                  <c:v>0.51900000000000002</c:v>
                </c:pt>
                <c:pt idx="3">
                  <c:v>0.93300000000000005</c:v>
                </c:pt>
                <c:pt idx="4">
                  <c:v>0.55400000000000005</c:v>
                </c:pt>
                <c:pt idx="5">
                  <c:v>0.80600000000000005</c:v>
                </c:pt>
                <c:pt idx="6">
                  <c:v>0.96499999999999997</c:v>
                </c:pt>
                <c:pt idx="7">
                  <c:v>0.65200000000000002</c:v>
                </c:pt>
                <c:pt idx="8">
                  <c:v>0.88300000000000001</c:v>
                </c:pt>
                <c:pt idx="9">
                  <c:v>0.38</c:v>
                </c:pt>
                <c:pt idx="10">
                  <c:v>0.5</c:v>
                </c:pt>
              </c:numCache>
            </c:numRef>
          </c:xVal>
          <c:yVal>
            <c:numRef>
              <c:f>'Chart data'!$G$12:$G$22</c:f>
              <c:numCache>
                <c:formatCode>General</c:formatCode>
                <c:ptCount val="11"/>
                <c:pt idx="0">
                  <c:v>0.5</c:v>
                </c:pt>
                <c:pt idx="1">
                  <c:v>1.5</c:v>
                </c:pt>
                <c:pt idx="2">
                  <c:v>2.5</c:v>
                </c:pt>
                <c:pt idx="3">
                  <c:v>3.5</c:v>
                </c:pt>
                <c:pt idx="4">
                  <c:v>4.5</c:v>
                </c:pt>
                <c:pt idx="5">
                  <c:v>5.5</c:v>
                </c:pt>
                <c:pt idx="6">
                  <c:v>6.5</c:v>
                </c:pt>
                <c:pt idx="7">
                  <c:v>7.5</c:v>
                </c:pt>
                <c:pt idx="8">
                  <c:v>8.5</c:v>
                </c:pt>
                <c:pt idx="9">
                  <c:v>9.5</c:v>
                </c:pt>
                <c:pt idx="10">
                  <c:v>10.5</c:v>
                </c:pt>
              </c:numCache>
            </c:numRef>
          </c:yVal>
          <c:smooth val="0"/>
        </c:ser>
        <c:dLbls>
          <c:showLegendKey val="0"/>
          <c:showVal val="0"/>
          <c:showCatName val="0"/>
          <c:showSerName val="0"/>
          <c:showPercent val="0"/>
          <c:showBubbleSize val="0"/>
        </c:dLbls>
        <c:axId val="334967936"/>
        <c:axId val="334969472"/>
      </c:scatterChart>
      <c:catAx>
        <c:axId val="19764992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100"/>
            </a:pPr>
            <a:endParaRPr lang="en-US"/>
          </a:p>
        </c:txPr>
        <c:crossAx val="197651840"/>
        <c:crossesAt val="-1"/>
        <c:auto val="1"/>
        <c:lblAlgn val="ctr"/>
        <c:lblOffset val="100"/>
        <c:tickLblSkip val="1"/>
        <c:tickMarkSkip val="1"/>
        <c:noMultiLvlLbl val="0"/>
      </c:catAx>
      <c:valAx>
        <c:axId val="197651840"/>
        <c:scaling>
          <c:orientation val="minMax"/>
          <c:max val="1"/>
          <c:min val="-1"/>
        </c:scaling>
        <c:delete val="0"/>
        <c:axPos val="b"/>
        <c:majorGridlines>
          <c:spPr>
            <a:ln w="3175">
              <a:solidFill>
                <a:srgbClr val="C0C0C0"/>
              </a:solidFill>
              <a:prstDash val="dash"/>
            </a:ln>
          </c:spPr>
        </c:majorGridlines>
        <c:numFmt formatCode="0%" sourceLinked="0"/>
        <c:majorTickMark val="out"/>
        <c:minorTickMark val="none"/>
        <c:tickLblPos val="nextTo"/>
        <c:spPr>
          <a:ln w="3175">
            <a:solidFill>
              <a:srgbClr val="000000"/>
            </a:solidFill>
            <a:prstDash val="solid"/>
          </a:ln>
        </c:spPr>
        <c:txPr>
          <a:bodyPr rot="0" vert="horz"/>
          <a:lstStyle/>
          <a:p>
            <a:pPr>
              <a:defRPr sz="1200"/>
            </a:pPr>
            <a:endParaRPr lang="en-US"/>
          </a:p>
        </c:txPr>
        <c:crossAx val="197649920"/>
        <c:crosses val="autoZero"/>
        <c:crossBetween val="between"/>
        <c:majorUnit val="0.25"/>
      </c:valAx>
      <c:valAx>
        <c:axId val="334967936"/>
        <c:scaling>
          <c:orientation val="minMax"/>
          <c:max val="1"/>
          <c:min val="-1"/>
        </c:scaling>
        <c:delete val="0"/>
        <c:axPos val="t"/>
        <c:numFmt formatCode="0.0%" sourceLinked="1"/>
        <c:majorTickMark val="none"/>
        <c:minorTickMark val="none"/>
        <c:tickLblPos val="none"/>
        <c:spPr>
          <a:ln w="3175">
            <a:solidFill>
              <a:srgbClr val="000000"/>
            </a:solidFill>
            <a:prstDash val="solid"/>
          </a:ln>
        </c:spPr>
        <c:crossAx val="334969472"/>
        <c:crosses val="max"/>
        <c:crossBetween val="midCat"/>
      </c:valAx>
      <c:valAx>
        <c:axId val="334969472"/>
        <c:scaling>
          <c:orientation val="minMax"/>
          <c:max val="11"/>
          <c:min val="0"/>
        </c:scaling>
        <c:delete val="0"/>
        <c:axPos val="r"/>
        <c:numFmt formatCode="General" sourceLinked="1"/>
        <c:majorTickMark val="none"/>
        <c:minorTickMark val="none"/>
        <c:tickLblPos val="none"/>
        <c:spPr>
          <a:ln w="3175">
            <a:solidFill>
              <a:srgbClr val="000000"/>
            </a:solidFill>
            <a:prstDash val="solid"/>
          </a:ln>
        </c:spPr>
        <c:crossAx val="334967936"/>
        <c:crosses val="max"/>
        <c:crossBetween val="midCat"/>
      </c:valAx>
      <c:spPr>
        <a:noFill/>
        <a:ln w="12700">
          <a:solidFill>
            <a:srgbClr val="808080"/>
          </a:solidFill>
          <a:prstDash val="solid"/>
        </a:ln>
      </c:spPr>
    </c:plotArea>
    <c:legend>
      <c:legendPos val="r"/>
      <c:layout>
        <c:manualLayout>
          <c:xMode val="edge"/>
          <c:yMode val="edge"/>
          <c:x val="0.27774090507490512"/>
          <c:y val="0.95022764363229184"/>
          <c:w val="0.64628855345046943"/>
          <c:h val="4.2232277526395134E-2"/>
        </c:manualLayout>
      </c:layout>
      <c:overlay val="0"/>
      <c:spPr>
        <a:solidFill>
          <a:srgbClr val="FFFFFF"/>
        </a:solidFill>
        <a:ln w="3175">
          <a:noFill/>
          <a:prstDash val="solid"/>
        </a:ln>
      </c:spPr>
      <c:txPr>
        <a:bodyPr/>
        <a:lstStyle/>
        <a:p>
          <a:pPr>
            <a:defRPr sz="1100"/>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16905763491892E-2"/>
          <c:y val="5.3160917499222256E-2"/>
          <c:w val="0.75113909007656221"/>
          <c:h val="0.81645350979409059"/>
        </c:manualLayout>
      </c:layout>
      <c:scatterChart>
        <c:scatterStyle val="lineMarker"/>
        <c:varyColors val="0"/>
        <c:ser>
          <c:idx val="0"/>
          <c:order val="0"/>
          <c:tx>
            <c:strRef>
              <c:f>'Funnel setup'!$K$20</c:f>
              <c:strCache>
                <c:ptCount val="1"/>
                <c:pt idx="0">
                  <c:v>95% control limits</c:v>
                </c:pt>
              </c:strCache>
            </c:strRef>
          </c:tx>
          <c:spPr>
            <a:ln w="12700">
              <a:solidFill>
                <a:srgbClr val="80A0B0"/>
              </a:solidFill>
              <a:prstDash val="lgDash"/>
            </a:ln>
          </c:spPr>
          <c:marker>
            <c:symbol val="none"/>
          </c:marker>
          <c:xVal>
            <c:numRef>
              <c:f>'Funnel setup'!$J$22:$J$121</c:f>
              <c:numCache>
                <c:formatCode>General</c:formatCode>
                <c:ptCount val="100"/>
                <c:pt idx="0">
                  <c:v>10</c:v>
                </c:pt>
                <c:pt idx="1">
                  <c:v>12.14280293453858</c:v>
                </c:pt>
                <c:pt idx="2">
                  <c:v>14.744766310703874</c:v>
                </c:pt>
                <c:pt idx="3">
                  <c:v>17.904279162670058</c:v>
                </c:pt>
                <c:pt idx="4">
                  <c:v>21.74081335572679</c:v>
                </c:pt>
                <c:pt idx="5">
                  <c:v>26.399441221517478</c:v>
                </c:pt>
                <c:pt idx="6">
                  <c:v>32.056321233482116</c:v>
                </c:pt>
                <c:pt idx="7">
                  <c:v>38.925359154443797</c:v>
                </c:pt>
                <c:pt idx="8">
                  <c:v>47.266296536854824</c:v>
                </c:pt>
                <c:pt idx="9">
                  <c:v>57.394532429249146</c:v>
                </c:pt>
                <c:pt idx="10">
                  <c:v>69.693049680835614</c:v>
                </c:pt>
                <c:pt idx="11">
                  <c:v>84.626896818139372</c:v>
                </c:pt>
                <c:pt idx="12">
                  <c:v>102.76077310241963</c:v>
                </c:pt>
                <c:pt idx="13">
                  <c:v>124.78038171835142</c:v>
                </c:pt>
                <c:pt idx="14">
                  <c:v>151.51835853024417</c:v>
                </c:pt>
                <c:pt idx="15">
                  <c:v>183.98575685975175</c:v>
                </c:pt>
                <c:pt idx="16">
                  <c:v>223.41027883098951</c:v>
                </c:pt>
                <c:pt idx="17">
                  <c:v>271.28269893950215</c:v>
                </c:pt>
                <c:pt idx="18">
                  <c:v>329.41323527721329</c:v>
                </c:pt>
                <c:pt idx="19">
                  <c:v>399.99999999999932</c:v>
                </c:pt>
              </c:numCache>
            </c:numRef>
          </c:xVal>
          <c:yVal>
            <c:numRef>
              <c:f>'Funnel setup'!$K$22:$K$121</c:f>
              <c:numCache>
                <c:formatCode>General</c:formatCode>
                <c:ptCount val="100"/>
                <c:pt idx="0">
                  <c:v>-1.6804396578292774E-2</c:v>
                </c:pt>
                <c:pt idx="1">
                  <c:v>-7.510675854341578E-3</c:v>
                </c:pt>
                <c:pt idx="2">
                  <c:v>9.2325710160894026E-4</c:v>
                </c:pt>
                <c:pt idx="3">
                  <c:v>8.5769436302080837E-3</c:v>
                </c:pt>
                <c:pt idx="4">
                  <c:v>1.5522566483035002E-2</c:v>
                </c:pt>
                <c:pt idx="5">
                  <c:v>2.1825630585993676E-2</c:v>
                </c:pt>
                <c:pt idx="6">
                  <c:v>2.754558082340635E-2</c:v>
                </c:pt>
                <c:pt idx="7">
                  <c:v>3.2736362669194573E-2</c:v>
                </c:pt>
                <c:pt idx="8">
                  <c:v>3.7446930952521509E-2</c:v>
                </c:pt>
                <c:pt idx="9">
                  <c:v>4.1721711556119825E-2</c:v>
                </c:pt>
                <c:pt idx="10">
                  <c:v>4.560102040163222E-2</c:v>
                </c:pt>
                <c:pt idx="11">
                  <c:v>4.9121443673461232E-2</c:v>
                </c:pt>
                <c:pt idx="12">
                  <c:v>5.2316182867060614E-2</c:v>
                </c:pt>
                <c:pt idx="13">
                  <c:v>5.5215367915856579E-2</c:v>
                </c:pt>
                <c:pt idx="14">
                  <c:v>5.7846341349932801E-2</c:v>
                </c:pt>
                <c:pt idx="15">
                  <c:v>6.0233916166410821E-2</c:v>
                </c:pt>
                <c:pt idx="16">
                  <c:v>6.240060984352945E-2</c:v>
                </c:pt>
                <c:pt idx="17">
                  <c:v>6.4366856705435516E-2</c:v>
                </c:pt>
                <c:pt idx="18">
                  <c:v>6.6151200640521324E-2</c:v>
                </c:pt>
                <c:pt idx="19">
                  <c:v>6.7770469990856702E-2</c:v>
                </c:pt>
              </c:numCache>
            </c:numRef>
          </c:yVal>
          <c:smooth val="0"/>
        </c:ser>
        <c:ser>
          <c:idx val="1"/>
          <c:order val="1"/>
          <c:tx>
            <c:strRef>
              <c:f>'Funnel setup'!$L$20</c:f>
              <c:strCache>
                <c:ptCount val="1"/>
                <c:pt idx="0">
                  <c:v>Upper 95% control limit</c:v>
                </c:pt>
              </c:strCache>
            </c:strRef>
          </c:tx>
          <c:spPr>
            <a:ln w="12700">
              <a:solidFill>
                <a:srgbClr val="80A0B0"/>
              </a:solidFill>
              <a:prstDash val="lgDash"/>
            </a:ln>
          </c:spPr>
          <c:marker>
            <c:symbol val="none"/>
          </c:marker>
          <c:xVal>
            <c:numRef>
              <c:f>'Funnel setup'!$J$22:$J$121</c:f>
              <c:numCache>
                <c:formatCode>General</c:formatCode>
                <c:ptCount val="100"/>
                <c:pt idx="0">
                  <c:v>10</c:v>
                </c:pt>
                <c:pt idx="1">
                  <c:v>12.14280293453858</c:v>
                </c:pt>
                <c:pt idx="2">
                  <c:v>14.744766310703874</c:v>
                </c:pt>
                <c:pt idx="3">
                  <c:v>17.904279162670058</c:v>
                </c:pt>
                <c:pt idx="4">
                  <c:v>21.74081335572679</c:v>
                </c:pt>
                <c:pt idx="5">
                  <c:v>26.399441221517478</c:v>
                </c:pt>
                <c:pt idx="6">
                  <c:v>32.056321233482116</c:v>
                </c:pt>
                <c:pt idx="7">
                  <c:v>38.925359154443797</c:v>
                </c:pt>
                <c:pt idx="8">
                  <c:v>47.266296536854824</c:v>
                </c:pt>
                <c:pt idx="9">
                  <c:v>57.394532429249146</c:v>
                </c:pt>
                <c:pt idx="10">
                  <c:v>69.693049680835614</c:v>
                </c:pt>
                <c:pt idx="11">
                  <c:v>84.626896818139372</c:v>
                </c:pt>
                <c:pt idx="12">
                  <c:v>102.76077310241963</c:v>
                </c:pt>
                <c:pt idx="13">
                  <c:v>124.78038171835142</c:v>
                </c:pt>
                <c:pt idx="14">
                  <c:v>151.51835853024417</c:v>
                </c:pt>
                <c:pt idx="15">
                  <c:v>183.98575685975175</c:v>
                </c:pt>
                <c:pt idx="16">
                  <c:v>223.41027883098951</c:v>
                </c:pt>
                <c:pt idx="17">
                  <c:v>271.28269893950215</c:v>
                </c:pt>
                <c:pt idx="18">
                  <c:v>329.41323527721329</c:v>
                </c:pt>
                <c:pt idx="19">
                  <c:v>399.99999999999932</c:v>
                </c:pt>
              </c:numCache>
            </c:numRef>
          </c:xVal>
          <c:yVal>
            <c:numRef>
              <c:f>'Funnel setup'!$L$22:$L$121</c:f>
              <c:numCache>
                <c:formatCode>General</c:formatCode>
                <c:ptCount val="100"/>
                <c:pt idx="0">
                  <c:v>0.18411319752902339</c:v>
                </c:pt>
                <c:pt idx="1">
                  <c:v>0.1748194768050722</c:v>
                </c:pt>
                <c:pt idx="2">
                  <c:v>0.16638554384912169</c:v>
                </c:pt>
                <c:pt idx="3">
                  <c:v>0.15873185732052253</c:v>
                </c:pt>
                <c:pt idx="4">
                  <c:v>0.15178623446769562</c:v>
                </c:pt>
                <c:pt idx="5">
                  <c:v>0.14548317036473693</c:v>
                </c:pt>
                <c:pt idx="6">
                  <c:v>0.13976322012732426</c:v>
                </c:pt>
                <c:pt idx="7">
                  <c:v>0.13457243828153603</c:v>
                </c:pt>
                <c:pt idx="8">
                  <c:v>0.12986186999820909</c:v>
                </c:pt>
                <c:pt idx="9">
                  <c:v>0.12558708939461077</c:v>
                </c:pt>
                <c:pt idx="10">
                  <c:v>0.12170778054909839</c:v>
                </c:pt>
                <c:pt idx="11">
                  <c:v>0.11818735727726938</c:v>
                </c:pt>
                <c:pt idx="12">
                  <c:v>0.11499261808367001</c:v>
                </c:pt>
                <c:pt idx="13">
                  <c:v>0.11209343303487404</c:v>
                </c:pt>
                <c:pt idx="14">
                  <c:v>0.10946245960079781</c:v>
                </c:pt>
                <c:pt idx="15">
                  <c:v>0.10707488478431978</c:v>
                </c:pt>
                <c:pt idx="16">
                  <c:v>0.10490819110720116</c:v>
                </c:pt>
                <c:pt idx="17">
                  <c:v>0.1029419442452951</c:v>
                </c:pt>
                <c:pt idx="18">
                  <c:v>0.10115760031020929</c:v>
                </c:pt>
                <c:pt idx="19">
                  <c:v>9.9538330959873911E-2</c:v>
                </c:pt>
              </c:numCache>
            </c:numRef>
          </c:yVal>
          <c:smooth val="0"/>
        </c:ser>
        <c:ser>
          <c:idx val="2"/>
          <c:order val="2"/>
          <c:tx>
            <c:strRef>
              <c:f>'Funnel setup'!$M$20</c:f>
              <c:strCache>
                <c:ptCount val="1"/>
                <c:pt idx="0">
                  <c:v>99.8% control limits</c:v>
                </c:pt>
              </c:strCache>
            </c:strRef>
          </c:tx>
          <c:spPr>
            <a:ln w="12700">
              <a:solidFill>
                <a:srgbClr val="003350"/>
              </a:solidFill>
              <a:prstDash val="sysDash"/>
            </a:ln>
          </c:spPr>
          <c:marker>
            <c:symbol val="none"/>
          </c:marker>
          <c:xVal>
            <c:numRef>
              <c:f>'Funnel setup'!$J$22:$J$121</c:f>
              <c:numCache>
                <c:formatCode>General</c:formatCode>
                <c:ptCount val="100"/>
                <c:pt idx="0">
                  <c:v>10</c:v>
                </c:pt>
                <c:pt idx="1">
                  <c:v>12.14280293453858</c:v>
                </c:pt>
                <c:pt idx="2">
                  <c:v>14.744766310703874</c:v>
                </c:pt>
                <c:pt idx="3">
                  <c:v>17.904279162670058</c:v>
                </c:pt>
                <c:pt idx="4">
                  <c:v>21.74081335572679</c:v>
                </c:pt>
                <c:pt idx="5">
                  <c:v>26.399441221517478</c:v>
                </c:pt>
                <c:pt idx="6">
                  <c:v>32.056321233482116</c:v>
                </c:pt>
                <c:pt idx="7">
                  <c:v>38.925359154443797</c:v>
                </c:pt>
                <c:pt idx="8">
                  <c:v>47.266296536854824</c:v>
                </c:pt>
                <c:pt idx="9">
                  <c:v>57.394532429249146</c:v>
                </c:pt>
                <c:pt idx="10">
                  <c:v>69.693049680835614</c:v>
                </c:pt>
                <c:pt idx="11">
                  <c:v>84.626896818139372</c:v>
                </c:pt>
                <c:pt idx="12">
                  <c:v>102.76077310241963</c:v>
                </c:pt>
                <c:pt idx="13">
                  <c:v>124.78038171835142</c:v>
                </c:pt>
                <c:pt idx="14">
                  <c:v>151.51835853024417</c:v>
                </c:pt>
                <c:pt idx="15">
                  <c:v>183.98575685975175</c:v>
                </c:pt>
                <c:pt idx="16">
                  <c:v>223.41027883098951</c:v>
                </c:pt>
                <c:pt idx="17">
                  <c:v>271.28269893950215</c:v>
                </c:pt>
                <c:pt idx="18">
                  <c:v>329.41323527721329</c:v>
                </c:pt>
                <c:pt idx="19">
                  <c:v>399.99999999999932</c:v>
                </c:pt>
              </c:numCache>
            </c:numRef>
          </c:xVal>
          <c:yVal>
            <c:numRef>
              <c:f>'Funnel setup'!$M$22:$M$121</c:f>
              <c:numCache>
                <c:formatCode>General</c:formatCode>
                <c:ptCount val="100"/>
                <c:pt idx="0">
                  <c:v>-6.7033795105121793E-2</c:v>
                </c:pt>
                <c:pt idx="1">
                  <c:v>-5.309321401919502E-2</c:v>
                </c:pt>
                <c:pt idx="2">
                  <c:v>-4.0442314585269243E-2</c:v>
                </c:pt>
                <c:pt idx="3">
                  <c:v>-2.8961784792370535E-2</c:v>
                </c:pt>
                <c:pt idx="4">
                  <c:v>-1.854335051313015E-2</c:v>
                </c:pt>
                <c:pt idx="5">
                  <c:v>-9.088754358692136E-3</c:v>
                </c:pt>
                <c:pt idx="6">
                  <c:v>-5.0882900257312458E-4</c:v>
                </c:pt>
                <c:pt idx="7">
                  <c:v>7.2773437661092094E-3</c:v>
                </c:pt>
                <c:pt idx="8">
                  <c:v>1.4343196191099625E-2</c:v>
                </c:pt>
                <c:pt idx="9">
                  <c:v>2.0755367096497099E-2</c:v>
                </c:pt>
                <c:pt idx="10">
                  <c:v>2.6574330364765683E-2</c:v>
                </c:pt>
                <c:pt idx="11">
                  <c:v>3.1854965272509195E-2</c:v>
                </c:pt>
                <c:pt idx="12">
                  <c:v>3.6647074062908264E-2</c:v>
                </c:pt>
                <c:pt idx="13">
                  <c:v>4.0995851636102219E-2</c:v>
                </c:pt>
                <c:pt idx="14">
                  <c:v>4.4942311787216555E-2</c:v>
                </c:pt>
                <c:pt idx="15">
                  <c:v>4.8523674011933582E-2</c:v>
                </c:pt>
                <c:pt idx="16">
                  <c:v>5.1773714527611522E-2</c:v>
                </c:pt>
                <c:pt idx="17">
                  <c:v>5.4723084820470613E-2</c:v>
                </c:pt>
                <c:pt idx="18">
                  <c:v>5.7399600723099346E-2</c:v>
                </c:pt>
                <c:pt idx="19">
                  <c:v>5.9828504748602393E-2</c:v>
                </c:pt>
              </c:numCache>
            </c:numRef>
          </c:yVal>
          <c:smooth val="0"/>
        </c:ser>
        <c:ser>
          <c:idx val="3"/>
          <c:order val="3"/>
          <c:tx>
            <c:strRef>
              <c:f>'Funnel setup'!$N$20</c:f>
              <c:strCache>
                <c:ptCount val="1"/>
                <c:pt idx="0">
                  <c:v>Upper 99.8% control limit</c:v>
                </c:pt>
              </c:strCache>
            </c:strRef>
          </c:tx>
          <c:spPr>
            <a:ln w="12700">
              <a:solidFill>
                <a:srgbClr val="003350"/>
              </a:solidFill>
              <a:prstDash val="sysDash"/>
            </a:ln>
          </c:spPr>
          <c:marker>
            <c:symbol val="none"/>
          </c:marker>
          <c:xVal>
            <c:numRef>
              <c:f>'Funnel setup'!$J$22:$J$121</c:f>
              <c:numCache>
                <c:formatCode>General</c:formatCode>
                <c:ptCount val="100"/>
                <c:pt idx="0">
                  <c:v>10</c:v>
                </c:pt>
                <c:pt idx="1">
                  <c:v>12.14280293453858</c:v>
                </c:pt>
                <c:pt idx="2">
                  <c:v>14.744766310703874</c:v>
                </c:pt>
                <c:pt idx="3">
                  <c:v>17.904279162670058</c:v>
                </c:pt>
                <c:pt idx="4">
                  <c:v>21.74081335572679</c:v>
                </c:pt>
                <c:pt idx="5">
                  <c:v>26.399441221517478</c:v>
                </c:pt>
                <c:pt idx="6">
                  <c:v>32.056321233482116</c:v>
                </c:pt>
                <c:pt idx="7">
                  <c:v>38.925359154443797</c:v>
                </c:pt>
                <c:pt idx="8">
                  <c:v>47.266296536854824</c:v>
                </c:pt>
                <c:pt idx="9">
                  <c:v>57.394532429249146</c:v>
                </c:pt>
                <c:pt idx="10">
                  <c:v>69.693049680835614</c:v>
                </c:pt>
                <c:pt idx="11">
                  <c:v>84.626896818139372</c:v>
                </c:pt>
                <c:pt idx="12">
                  <c:v>102.76077310241963</c:v>
                </c:pt>
                <c:pt idx="13">
                  <c:v>124.78038171835142</c:v>
                </c:pt>
                <c:pt idx="14">
                  <c:v>151.51835853024417</c:v>
                </c:pt>
                <c:pt idx="15">
                  <c:v>183.98575685975175</c:v>
                </c:pt>
                <c:pt idx="16">
                  <c:v>223.41027883098951</c:v>
                </c:pt>
                <c:pt idx="17">
                  <c:v>271.28269893950215</c:v>
                </c:pt>
                <c:pt idx="18">
                  <c:v>329.41323527721329</c:v>
                </c:pt>
                <c:pt idx="19">
                  <c:v>399.99999999999932</c:v>
                </c:pt>
              </c:numCache>
            </c:numRef>
          </c:xVal>
          <c:yVal>
            <c:numRef>
              <c:f>'Funnel setup'!$N$22:$N$121</c:f>
              <c:numCache>
                <c:formatCode>General</c:formatCode>
                <c:ptCount val="100"/>
                <c:pt idx="0">
                  <c:v>0.23434259605585239</c:v>
                </c:pt>
                <c:pt idx="1">
                  <c:v>0.22040201496992562</c:v>
                </c:pt>
                <c:pt idx="2">
                  <c:v>0.20775111553599984</c:v>
                </c:pt>
                <c:pt idx="3">
                  <c:v>0.19627058574310113</c:v>
                </c:pt>
                <c:pt idx="4">
                  <c:v>0.18585215146386075</c:v>
                </c:pt>
                <c:pt idx="5">
                  <c:v>0.17639755530942275</c:v>
                </c:pt>
                <c:pt idx="6">
                  <c:v>0.16781762995330374</c:v>
                </c:pt>
                <c:pt idx="7">
                  <c:v>0.16003145718462142</c:v>
                </c:pt>
                <c:pt idx="8">
                  <c:v>0.152965604759631</c:v>
                </c:pt>
                <c:pt idx="9">
                  <c:v>0.14655343385423353</c:v>
                </c:pt>
                <c:pt idx="10">
                  <c:v>0.14073447058596494</c:v>
                </c:pt>
                <c:pt idx="11">
                  <c:v>0.13545383567822142</c:v>
                </c:pt>
                <c:pt idx="12">
                  <c:v>0.13066172688782235</c:v>
                </c:pt>
                <c:pt idx="13">
                  <c:v>0.12631294931462839</c:v>
                </c:pt>
                <c:pt idx="14">
                  <c:v>0.12236648916351406</c:v>
                </c:pt>
                <c:pt idx="15">
                  <c:v>0.11878512693879703</c:v>
                </c:pt>
                <c:pt idx="16">
                  <c:v>0.11553508642311909</c:v>
                </c:pt>
                <c:pt idx="17">
                  <c:v>0.11258571613026</c:v>
                </c:pt>
                <c:pt idx="18">
                  <c:v>0.10990920022763126</c:v>
                </c:pt>
                <c:pt idx="19">
                  <c:v>0.10748029620212822</c:v>
                </c:pt>
              </c:numCache>
            </c:numRef>
          </c:yVal>
          <c:smooth val="0"/>
        </c:ser>
        <c:ser>
          <c:idx val="4"/>
          <c:order val="4"/>
          <c:tx>
            <c:strRef>
              <c:f>'Funnel setup'!$O$20</c:f>
              <c:strCache>
                <c:ptCount val="1"/>
                <c:pt idx="0">
                  <c:v>England</c:v>
                </c:pt>
              </c:strCache>
            </c:strRef>
          </c:tx>
          <c:spPr>
            <a:ln w="25400">
              <a:solidFill>
                <a:srgbClr val="005090"/>
              </a:solidFill>
              <a:prstDash val="solid"/>
            </a:ln>
          </c:spPr>
          <c:marker>
            <c:symbol val="none"/>
          </c:marker>
          <c:xVal>
            <c:numRef>
              <c:f>'Funnel setup'!$J$22:$J$121</c:f>
              <c:numCache>
                <c:formatCode>General</c:formatCode>
                <c:ptCount val="100"/>
                <c:pt idx="0">
                  <c:v>10</c:v>
                </c:pt>
                <c:pt idx="1">
                  <c:v>12.14280293453858</c:v>
                </c:pt>
                <c:pt idx="2">
                  <c:v>14.744766310703874</c:v>
                </c:pt>
                <c:pt idx="3">
                  <c:v>17.904279162670058</c:v>
                </c:pt>
                <c:pt idx="4">
                  <c:v>21.74081335572679</c:v>
                </c:pt>
                <c:pt idx="5">
                  <c:v>26.399441221517478</c:v>
                </c:pt>
                <c:pt idx="6">
                  <c:v>32.056321233482116</c:v>
                </c:pt>
                <c:pt idx="7">
                  <c:v>38.925359154443797</c:v>
                </c:pt>
                <c:pt idx="8">
                  <c:v>47.266296536854824</c:v>
                </c:pt>
                <c:pt idx="9">
                  <c:v>57.394532429249146</c:v>
                </c:pt>
                <c:pt idx="10">
                  <c:v>69.693049680835614</c:v>
                </c:pt>
                <c:pt idx="11">
                  <c:v>84.626896818139372</c:v>
                </c:pt>
                <c:pt idx="12">
                  <c:v>102.76077310241963</c:v>
                </c:pt>
                <c:pt idx="13">
                  <c:v>124.78038171835142</c:v>
                </c:pt>
                <c:pt idx="14">
                  <c:v>151.51835853024417</c:v>
                </c:pt>
                <c:pt idx="15">
                  <c:v>183.98575685975175</c:v>
                </c:pt>
                <c:pt idx="16">
                  <c:v>223.41027883098951</c:v>
                </c:pt>
                <c:pt idx="17">
                  <c:v>271.28269893950215</c:v>
                </c:pt>
                <c:pt idx="18">
                  <c:v>329.41323527721329</c:v>
                </c:pt>
                <c:pt idx="19">
                  <c:v>399.99999999999932</c:v>
                </c:pt>
              </c:numCache>
            </c:numRef>
          </c:xVal>
          <c:yVal>
            <c:numRef>
              <c:f>'Funnel setup'!$O$22:$O$121</c:f>
              <c:numCache>
                <c:formatCode>General</c:formatCode>
                <c:ptCount val="100"/>
                <c:pt idx="0">
                  <c:v>8.3654400475365306E-2</c:v>
                </c:pt>
                <c:pt idx="1">
                  <c:v>8.3654400475365306E-2</c:v>
                </c:pt>
                <c:pt idx="2">
                  <c:v>8.3654400475365306E-2</c:v>
                </c:pt>
                <c:pt idx="3">
                  <c:v>8.3654400475365306E-2</c:v>
                </c:pt>
                <c:pt idx="4">
                  <c:v>8.3654400475365306E-2</c:v>
                </c:pt>
                <c:pt idx="5">
                  <c:v>8.3654400475365306E-2</c:v>
                </c:pt>
                <c:pt idx="6">
                  <c:v>8.3654400475365306E-2</c:v>
                </c:pt>
                <c:pt idx="7">
                  <c:v>8.3654400475365306E-2</c:v>
                </c:pt>
                <c:pt idx="8">
                  <c:v>8.3654400475365306E-2</c:v>
                </c:pt>
                <c:pt idx="9">
                  <c:v>8.3654400475365306E-2</c:v>
                </c:pt>
                <c:pt idx="10">
                  <c:v>8.3654400475365306E-2</c:v>
                </c:pt>
                <c:pt idx="11">
                  <c:v>8.3654400475365306E-2</c:v>
                </c:pt>
                <c:pt idx="12">
                  <c:v>8.3654400475365306E-2</c:v>
                </c:pt>
                <c:pt idx="13">
                  <c:v>8.3654400475365306E-2</c:v>
                </c:pt>
                <c:pt idx="14">
                  <c:v>8.3654400475365306E-2</c:v>
                </c:pt>
                <c:pt idx="15">
                  <c:v>8.3654400475365306E-2</c:v>
                </c:pt>
                <c:pt idx="16">
                  <c:v>8.3654400475365306E-2</c:v>
                </c:pt>
                <c:pt idx="17">
                  <c:v>8.3654400475365306E-2</c:v>
                </c:pt>
                <c:pt idx="18">
                  <c:v>8.3654400475365306E-2</c:v>
                </c:pt>
                <c:pt idx="19">
                  <c:v>8.3654400475365306E-2</c:v>
                </c:pt>
              </c:numCache>
            </c:numRef>
          </c:yVal>
          <c:smooth val="0"/>
        </c:ser>
        <c:ser>
          <c:idx val="6"/>
          <c:order val="5"/>
          <c:tx>
            <c:v>All</c:v>
          </c:tx>
          <c:spPr>
            <a:ln w="28575">
              <a:noFill/>
            </a:ln>
          </c:spPr>
          <c:marker>
            <c:symbol val="circle"/>
            <c:size val="6"/>
            <c:spPr>
              <a:solidFill>
                <a:schemeClr val="tx2">
                  <a:lumMod val="60000"/>
                  <a:lumOff val="40000"/>
                </a:schemeClr>
              </a:solidFill>
              <a:ln w="9525">
                <a:noFill/>
              </a:ln>
            </c:spPr>
          </c:marker>
          <c:xVal>
            <c:numRef>
              <c:f>'Funnel Lookup'!$S$3:$S$402</c:f>
              <c:numCache>
                <c:formatCode>General</c:formatCode>
                <c:ptCount val="400"/>
                <c:pt idx="0">
                  <c:v>95</c:v>
                </c:pt>
                <c:pt idx="1">
                  <c:v>115</c:v>
                </c:pt>
                <c:pt idx="2">
                  <c:v>#N/A</c:v>
                </c:pt>
                <c:pt idx="3">
                  <c:v>49</c:v>
                </c:pt>
                <c:pt idx="4">
                  <c:v>#N/A</c:v>
                </c:pt>
                <c:pt idx="5">
                  <c:v>#N/A</c:v>
                </c:pt>
                <c:pt idx="6">
                  <c:v>#N/A</c:v>
                </c:pt>
                <c:pt idx="7">
                  <c:v>#N/A</c:v>
                </c:pt>
                <c:pt idx="8">
                  <c:v>92</c:v>
                </c:pt>
                <c:pt idx="9">
                  <c:v>67</c:v>
                </c:pt>
                <c:pt idx="10">
                  <c:v>79</c:v>
                </c:pt>
                <c:pt idx="11">
                  <c:v>75</c:v>
                </c:pt>
                <c:pt idx="12">
                  <c:v>#N/A</c:v>
                </c:pt>
                <c:pt idx="13">
                  <c:v>#N/A</c:v>
                </c:pt>
                <c:pt idx="14">
                  <c:v>#N/A</c:v>
                </c:pt>
                <c:pt idx="15">
                  <c:v>#N/A</c:v>
                </c:pt>
                <c:pt idx="16">
                  <c:v>#N/A</c:v>
                </c:pt>
                <c:pt idx="17">
                  <c:v>#N/A</c:v>
                </c:pt>
                <c:pt idx="18">
                  <c:v>#N/A</c:v>
                </c:pt>
                <c:pt idx="19">
                  <c:v>#N/A</c:v>
                </c:pt>
                <c:pt idx="20">
                  <c:v>#N/A</c:v>
                </c:pt>
                <c:pt idx="21">
                  <c:v>#N/A</c:v>
                </c:pt>
                <c:pt idx="22">
                  <c:v>45</c:v>
                </c:pt>
                <c:pt idx="23">
                  <c:v>78</c:v>
                </c:pt>
                <c:pt idx="24">
                  <c:v>#N/A</c:v>
                </c:pt>
                <c:pt idx="25">
                  <c:v>#N/A</c:v>
                </c:pt>
                <c:pt idx="26">
                  <c:v>50</c:v>
                </c:pt>
                <c:pt idx="27">
                  <c:v>#N/A</c:v>
                </c:pt>
                <c:pt idx="28">
                  <c:v>66</c:v>
                </c:pt>
                <c:pt idx="29">
                  <c:v>#N/A</c:v>
                </c:pt>
                <c:pt idx="30">
                  <c:v>#N/A</c:v>
                </c:pt>
                <c:pt idx="31">
                  <c:v>87</c:v>
                </c:pt>
                <c:pt idx="32">
                  <c:v>#N/A</c:v>
                </c:pt>
                <c:pt idx="33">
                  <c:v>#N/A</c:v>
                </c:pt>
                <c:pt idx="34">
                  <c:v>#N/A</c:v>
                </c:pt>
                <c:pt idx="35">
                  <c:v>#N/A</c:v>
                </c:pt>
                <c:pt idx="36">
                  <c:v>39</c:v>
                </c:pt>
                <c:pt idx="37">
                  <c:v>#N/A</c:v>
                </c:pt>
                <c:pt idx="38">
                  <c:v>#N/A</c:v>
                </c:pt>
                <c:pt idx="39">
                  <c:v>43</c:v>
                </c:pt>
                <c:pt idx="40">
                  <c:v>#N/A</c:v>
                </c:pt>
                <c:pt idx="41">
                  <c:v>40</c:v>
                </c:pt>
                <c:pt idx="42">
                  <c:v>38</c:v>
                </c:pt>
                <c:pt idx="43">
                  <c:v>38</c:v>
                </c:pt>
                <c:pt idx="44">
                  <c:v>37</c:v>
                </c:pt>
                <c:pt idx="45">
                  <c:v>35</c:v>
                </c:pt>
                <c:pt idx="46">
                  <c:v>#N/A</c:v>
                </c:pt>
                <c:pt idx="47">
                  <c:v>#N/A</c:v>
                </c:pt>
                <c:pt idx="48">
                  <c:v>39</c:v>
                </c:pt>
                <c:pt idx="49">
                  <c:v>#N/A</c:v>
                </c:pt>
                <c:pt idx="50">
                  <c:v>#N/A</c:v>
                </c:pt>
                <c:pt idx="51">
                  <c:v>#N/A</c:v>
                </c:pt>
                <c:pt idx="52">
                  <c:v>#N/A</c:v>
                </c:pt>
                <c:pt idx="53">
                  <c:v>#N/A</c:v>
                </c:pt>
                <c:pt idx="54">
                  <c:v>76</c:v>
                </c:pt>
                <c:pt idx="55">
                  <c:v>#N/A</c:v>
                </c:pt>
                <c:pt idx="56">
                  <c:v>37</c:v>
                </c:pt>
                <c:pt idx="57">
                  <c:v>30</c:v>
                </c:pt>
                <c:pt idx="58">
                  <c:v>56</c:v>
                </c:pt>
                <c:pt idx="59">
                  <c:v>102</c:v>
                </c:pt>
                <c:pt idx="60">
                  <c:v>34</c:v>
                </c:pt>
                <c:pt idx="61">
                  <c:v>73</c:v>
                </c:pt>
                <c:pt idx="62">
                  <c:v>#N/A</c:v>
                </c:pt>
                <c:pt idx="63">
                  <c:v>253</c:v>
                </c:pt>
                <c:pt idx="64">
                  <c:v>161</c:v>
                </c:pt>
                <c:pt idx="65">
                  <c:v>162</c:v>
                </c:pt>
                <c:pt idx="66">
                  <c:v>151</c:v>
                </c:pt>
                <c:pt idx="67">
                  <c:v>206</c:v>
                </c:pt>
                <c:pt idx="68">
                  <c:v>53</c:v>
                </c:pt>
                <c:pt idx="69">
                  <c:v>#N/A</c:v>
                </c:pt>
                <c:pt idx="70">
                  <c:v>143</c:v>
                </c:pt>
                <c:pt idx="71">
                  <c:v>187</c:v>
                </c:pt>
                <c:pt idx="72">
                  <c:v>41</c:v>
                </c:pt>
                <c:pt idx="73">
                  <c:v>32</c:v>
                </c:pt>
                <c:pt idx="74">
                  <c:v>71</c:v>
                </c:pt>
                <c:pt idx="75">
                  <c:v>139</c:v>
                </c:pt>
                <c:pt idx="76">
                  <c:v>54</c:v>
                </c:pt>
                <c:pt idx="77">
                  <c:v>153</c:v>
                </c:pt>
                <c:pt idx="78">
                  <c:v>88</c:v>
                </c:pt>
                <c:pt idx="79">
                  <c:v>169</c:v>
                </c:pt>
                <c:pt idx="80">
                  <c:v>56</c:v>
                </c:pt>
                <c:pt idx="81">
                  <c:v>144</c:v>
                </c:pt>
                <c:pt idx="82">
                  <c:v>#N/A</c:v>
                </c:pt>
                <c:pt idx="83">
                  <c:v>90</c:v>
                </c:pt>
                <c:pt idx="84">
                  <c:v>257</c:v>
                </c:pt>
                <c:pt idx="85">
                  <c:v>59</c:v>
                </c:pt>
                <c:pt idx="86">
                  <c:v>88</c:v>
                </c:pt>
                <c:pt idx="87">
                  <c:v>68</c:v>
                </c:pt>
                <c:pt idx="88">
                  <c:v>73</c:v>
                </c:pt>
                <c:pt idx="89">
                  <c:v>183</c:v>
                </c:pt>
                <c:pt idx="90">
                  <c:v>182</c:v>
                </c:pt>
                <c:pt idx="91">
                  <c:v>127</c:v>
                </c:pt>
                <c:pt idx="92">
                  <c:v>248</c:v>
                </c:pt>
                <c:pt idx="93">
                  <c:v>#N/A</c:v>
                </c:pt>
                <c:pt idx="94">
                  <c:v>114</c:v>
                </c:pt>
                <c:pt idx="95">
                  <c:v>38</c:v>
                </c:pt>
                <c:pt idx="96">
                  <c:v>#N/A</c:v>
                </c:pt>
                <c:pt idx="97">
                  <c:v>267</c:v>
                </c:pt>
                <c:pt idx="98">
                  <c:v>119</c:v>
                </c:pt>
                <c:pt idx="99">
                  <c:v>142</c:v>
                </c:pt>
                <c:pt idx="100">
                  <c:v>32</c:v>
                </c:pt>
                <c:pt idx="101">
                  <c:v>179</c:v>
                </c:pt>
                <c:pt idx="102">
                  <c:v>64</c:v>
                </c:pt>
                <c:pt idx="103">
                  <c:v>#N/A</c:v>
                </c:pt>
                <c:pt idx="104">
                  <c:v>96</c:v>
                </c:pt>
                <c:pt idx="105">
                  <c:v>183</c:v>
                </c:pt>
                <c:pt idx="106">
                  <c:v>#N/A</c:v>
                </c:pt>
                <c:pt idx="107">
                  <c:v>329</c:v>
                </c:pt>
                <c:pt idx="108">
                  <c:v>89</c:v>
                </c:pt>
                <c:pt idx="109">
                  <c:v>#N/A</c:v>
                </c:pt>
                <c:pt idx="110">
                  <c:v>278</c:v>
                </c:pt>
                <c:pt idx="111">
                  <c:v>193</c:v>
                </c:pt>
                <c:pt idx="112">
                  <c:v>45</c:v>
                </c:pt>
                <c:pt idx="113">
                  <c:v>97</c:v>
                </c:pt>
                <c:pt idx="114">
                  <c:v>50</c:v>
                </c:pt>
                <c:pt idx="115">
                  <c:v>#N/A</c:v>
                </c:pt>
                <c:pt idx="116">
                  <c:v>61</c:v>
                </c:pt>
                <c:pt idx="117">
                  <c:v>101</c:v>
                </c:pt>
                <c:pt idx="118">
                  <c:v>49</c:v>
                </c:pt>
                <c:pt idx="119">
                  <c:v>47</c:v>
                </c:pt>
                <c:pt idx="120">
                  <c:v>122</c:v>
                </c:pt>
                <c:pt idx="121">
                  <c:v>37</c:v>
                </c:pt>
                <c:pt idx="122">
                  <c:v>47</c:v>
                </c:pt>
                <c:pt idx="123">
                  <c:v>161</c:v>
                </c:pt>
                <c:pt idx="124">
                  <c:v>56</c:v>
                </c:pt>
                <c:pt idx="125">
                  <c:v>90</c:v>
                </c:pt>
                <c:pt idx="126">
                  <c:v>164</c:v>
                </c:pt>
                <c:pt idx="127">
                  <c:v>58</c:v>
                </c:pt>
                <c:pt idx="128">
                  <c:v>126</c:v>
                </c:pt>
                <c:pt idx="129">
                  <c:v>#N/A</c:v>
                </c:pt>
                <c:pt idx="130">
                  <c:v>382</c:v>
                </c:pt>
                <c:pt idx="131">
                  <c:v>#N/A</c:v>
                </c:pt>
                <c:pt idx="132">
                  <c:v>88</c:v>
                </c:pt>
                <c:pt idx="133">
                  <c:v>34</c:v>
                </c:pt>
                <c:pt idx="134">
                  <c:v>71</c:v>
                </c:pt>
                <c:pt idx="135">
                  <c:v>34</c:v>
                </c:pt>
                <c:pt idx="136">
                  <c:v>113</c:v>
                </c:pt>
                <c:pt idx="137">
                  <c:v>81</c:v>
                </c:pt>
                <c:pt idx="138">
                  <c:v>156</c:v>
                </c:pt>
                <c:pt idx="139">
                  <c:v>132</c:v>
                </c:pt>
                <c:pt idx="140">
                  <c:v>299</c:v>
                </c:pt>
                <c:pt idx="141">
                  <c:v>#N/A</c:v>
                </c:pt>
                <c:pt idx="142">
                  <c:v>#N/A</c:v>
                </c:pt>
                <c:pt idx="143">
                  <c:v>#N/A</c:v>
                </c:pt>
                <c:pt idx="144">
                  <c:v>#N/A</c:v>
                </c:pt>
                <c:pt idx="145">
                  <c:v>#N/A</c:v>
                </c:pt>
                <c:pt idx="146">
                  <c:v>65</c:v>
                </c:pt>
                <c:pt idx="147">
                  <c:v>#N/A</c:v>
                </c:pt>
                <c:pt idx="148">
                  <c:v>36</c:v>
                </c:pt>
                <c:pt idx="149">
                  <c:v>44</c:v>
                </c:pt>
                <c:pt idx="150">
                  <c:v>58</c:v>
                </c:pt>
                <c:pt idx="151">
                  <c:v>#N/A</c:v>
                </c:pt>
                <c:pt idx="152">
                  <c:v>214</c:v>
                </c:pt>
                <c:pt idx="153">
                  <c:v>50</c:v>
                </c:pt>
                <c:pt idx="154">
                  <c:v>59</c:v>
                </c:pt>
                <c:pt idx="155">
                  <c:v>93</c:v>
                </c:pt>
                <c:pt idx="156">
                  <c:v>#N/A</c:v>
                </c:pt>
                <c:pt idx="157">
                  <c:v>#N/A</c:v>
                </c:pt>
                <c:pt idx="158">
                  <c:v>#N/A</c:v>
                </c:pt>
                <c:pt idx="159">
                  <c:v>#N/A</c:v>
                </c:pt>
                <c:pt idx="160">
                  <c:v>37</c:v>
                </c:pt>
                <c:pt idx="161">
                  <c:v>77</c:v>
                </c:pt>
                <c:pt idx="162">
                  <c:v>31</c:v>
                </c:pt>
                <c:pt idx="163">
                  <c:v>170</c:v>
                </c:pt>
                <c:pt idx="164">
                  <c:v>65</c:v>
                </c:pt>
                <c:pt idx="165">
                  <c:v>154</c:v>
                </c:pt>
                <c:pt idx="166">
                  <c:v>34</c:v>
                </c:pt>
                <c:pt idx="167">
                  <c:v>55</c:v>
                </c:pt>
                <c:pt idx="168">
                  <c:v>55</c:v>
                </c:pt>
                <c:pt idx="169">
                  <c:v>76</c:v>
                </c:pt>
                <c:pt idx="170">
                  <c:v>82</c:v>
                </c:pt>
                <c:pt idx="171">
                  <c:v>111</c:v>
                </c:pt>
                <c:pt idx="172">
                  <c:v>#N/A</c:v>
                </c:pt>
                <c:pt idx="173">
                  <c:v>71</c:v>
                </c:pt>
                <c:pt idx="174">
                  <c:v>109</c:v>
                </c:pt>
                <c:pt idx="175">
                  <c:v>238</c:v>
                </c:pt>
                <c:pt idx="176">
                  <c:v>#N/A</c:v>
                </c:pt>
                <c:pt idx="177">
                  <c:v>76</c:v>
                </c:pt>
                <c:pt idx="178">
                  <c:v>162</c:v>
                </c:pt>
                <c:pt idx="179">
                  <c:v>101</c:v>
                </c:pt>
                <c:pt idx="180">
                  <c:v>34</c:v>
                </c:pt>
                <c:pt idx="181">
                  <c:v>61</c:v>
                </c:pt>
                <c:pt idx="182">
                  <c:v>157</c:v>
                </c:pt>
                <c:pt idx="183">
                  <c:v>189</c:v>
                </c:pt>
                <c:pt idx="184">
                  <c:v>192</c:v>
                </c:pt>
                <c:pt idx="185">
                  <c:v>240</c:v>
                </c:pt>
                <c:pt idx="186">
                  <c:v>176</c:v>
                </c:pt>
                <c:pt idx="187">
                  <c:v>112</c:v>
                </c:pt>
                <c:pt idx="188">
                  <c:v>60</c:v>
                </c:pt>
                <c:pt idx="189">
                  <c:v>195</c:v>
                </c:pt>
                <c:pt idx="190">
                  <c:v>129</c:v>
                </c:pt>
                <c:pt idx="191">
                  <c:v>81</c:v>
                </c:pt>
                <c:pt idx="192">
                  <c:v>66</c:v>
                </c:pt>
                <c:pt idx="193">
                  <c:v>117</c:v>
                </c:pt>
                <c:pt idx="194">
                  <c:v>#N/A</c:v>
                </c:pt>
                <c:pt idx="195">
                  <c:v>#N/A</c:v>
                </c:pt>
                <c:pt idx="196">
                  <c:v>#N/A</c:v>
                </c:pt>
                <c:pt idx="197">
                  <c:v>#N/A</c:v>
                </c:pt>
                <c:pt idx="198">
                  <c:v>32</c:v>
                </c:pt>
                <c:pt idx="199">
                  <c:v>41</c:v>
                </c:pt>
                <c:pt idx="200">
                  <c:v>#N/A</c:v>
                </c:pt>
                <c:pt idx="201">
                  <c:v>#N/A</c:v>
                </c:pt>
                <c:pt idx="202">
                  <c:v>#N/A</c:v>
                </c:pt>
                <c:pt idx="203">
                  <c:v>93</c:v>
                </c:pt>
                <c:pt idx="204">
                  <c:v>83</c:v>
                </c:pt>
                <c:pt idx="205">
                  <c:v>79</c:v>
                </c:pt>
                <c:pt idx="206">
                  <c:v>58</c:v>
                </c:pt>
                <c:pt idx="207">
                  <c:v>#N/A</c:v>
                </c:pt>
                <c:pt idx="208">
                  <c:v>#N/A</c:v>
                </c:pt>
                <c:pt idx="209">
                  <c:v>88</c:v>
                </c:pt>
                <c:pt idx="210">
                  <c:v>47</c:v>
                </c:pt>
                <c:pt idx="211">
                  <c:v>#N/A</c:v>
                </c:pt>
                <c:pt idx="212">
                  <c:v>#N/A</c:v>
                </c:pt>
                <c:pt idx="213">
                  <c:v>32</c:v>
                </c:pt>
                <c:pt idx="214">
                  <c:v>69</c:v>
                </c:pt>
                <c:pt idx="215">
                  <c:v>#N/A</c:v>
                </c:pt>
                <c:pt idx="216">
                  <c:v>#N/A</c:v>
                </c:pt>
                <c:pt idx="217">
                  <c:v>#N/A</c:v>
                </c:pt>
                <c:pt idx="218">
                  <c:v>#N/A</c:v>
                </c:pt>
                <c:pt idx="219">
                  <c:v>#N/A</c:v>
                </c:pt>
                <c:pt idx="220">
                  <c:v>60</c:v>
                </c:pt>
                <c:pt idx="221">
                  <c:v>111</c:v>
                </c:pt>
                <c:pt idx="222">
                  <c:v>#N/A</c:v>
                </c:pt>
                <c:pt idx="223">
                  <c:v>157</c:v>
                </c:pt>
                <c:pt idx="224">
                  <c:v>#N/A</c:v>
                </c:pt>
                <c:pt idx="225">
                  <c:v>151</c:v>
                </c:pt>
                <c:pt idx="226">
                  <c:v>146</c:v>
                </c:pt>
                <c:pt idx="227">
                  <c:v>154</c:v>
                </c:pt>
                <c:pt idx="228">
                  <c:v>36</c:v>
                </c:pt>
                <c:pt idx="229">
                  <c:v>138</c:v>
                </c:pt>
                <c:pt idx="230">
                  <c:v>59</c:v>
                </c:pt>
                <c:pt idx="231">
                  <c:v>39</c:v>
                </c:pt>
                <c:pt idx="232">
                  <c:v>159</c:v>
                </c:pt>
                <c:pt idx="233">
                  <c:v>47</c:v>
                </c:pt>
                <c:pt idx="234">
                  <c:v>36</c:v>
                </c:pt>
                <c:pt idx="235">
                  <c:v>57</c:v>
                </c:pt>
                <c:pt idx="236">
                  <c:v>61</c:v>
                </c:pt>
                <c:pt idx="237">
                  <c:v>66</c:v>
                </c:pt>
                <c:pt idx="238">
                  <c:v>46</c:v>
                </c:pt>
                <c:pt idx="239">
                  <c:v>132</c:v>
                </c:pt>
                <c:pt idx="240">
                  <c:v>#N/A</c:v>
                </c:pt>
                <c:pt idx="241">
                  <c:v>#N/A</c:v>
                </c:pt>
                <c:pt idx="242">
                  <c:v>30</c:v>
                </c:pt>
                <c:pt idx="243">
                  <c:v>#N/A</c:v>
                </c:pt>
                <c:pt idx="244">
                  <c:v>141</c:v>
                </c:pt>
                <c:pt idx="245">
                  <c:v>#N/A</c:v>
                </c:pt>
                <c:pt idx="246">
                  <c:v>84</c:v>
                </c:pt>
                <c:pt idx="247">
                  <c:v>#N/A</c:v>
                </c:pt>
                <c:pt idx="248">
                  <c:v>107</c:v>
                </c:pt>
                <c:pt idx="249">
                  <c:v>#N/A</c:v>
                </c:pt>
                <c:pt idx="250">
                  <c:v>30</c:v>
                </c:pt>
                <c:pt idx="251">
                  <c:v>220</c:v>
                </c:pt>
                <c:pt idx="252">
                  <c:v>201</c:v>
                </c:pt>
                <c:pt idx="253">
                  <c:v>74</c:v>
                </c:pt>
                <c:pt idx="254">
                  <c:v>58</c:v>
                </c:pt>
                <c:pt idx="255">
                  <c:v>102</c:v>
                </c:pt>
                <c:pt idx="256">
                  <c:v>217</c:v>
                </c:pt>
                <c:pt idx="257">
                  <c:v>#N/A</c:v>
                </c:pt>
                <c:pt idx="258">
                  <c:v>40</c:v>
                </c:pt>
                <c:pt idx="259">
                  <c:v>143</c:v>
                </c:pt>
                <c:pt idx="260">
                  <c:v>113</c:v>
                </c:pt>
                <c:pt idx="261">
                  <c:v>#N/A</c:v>
                </c:pt>
                <c:pt idx="262">
                  <c:v>#N/A</c:v>
                </c:pt>
                <c:pt idx="263">
                  <c:v>47</c:v>
                </c:pt>
                <c:pt idx="264">
                  <c:v>#N/A</c:v>
                </c:pt>
                <c:pt idx="265">
                  <c:v>88</c:v>
                </c:pt>
                <c:pt idx="266">
                  <c:v>53</c:v>
                </c:pt>
                <c:pt idx="267">
                  <c:v>42</c:v>
                </c:pt>
                <c:pt idx="268">
                  <c:v>162</c:v>
                </c:pt>
                <c:pt idx="269">
                  <c:v>114</c:v>
                </c:pt>
                <c:pt idx="270">
                  <c:v>76</c:v>
                </c:pt>
                <c:pt idx="271">
                  <c:v>#N/A</c:v>
                </c:pt>
                <c:pt idx="272">
                  <c:v>292</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numCache>
            </c:numRef>
          </c:xVal>
          <c:yVal>
            <c:numRef>
              <c:f>'Funnel Lookup'!$T$3:$T$402</c:f>
              <c:numCache>
                <c:formatCode>General</c:formatCode>
                <c:ptCount val="400"/>
                <c:pt idx="0">
                  <c:v>6.3055412000000005E-2</c:v>
                </c:pt>
                <c:pt idx="1">
                  <c:v>9.4257629999999995E-2</c:v>
                </c:pt>
                <c:pt idx="2">
                  <c:v>#N/A</c:v>
                </c:pt>
                <c:pt idx="3">
                  <c:v>7.5555035000000006E-2</c:v>
                </c:pt>
                <c:pt idx="4">
                  <c:v>#N/A</c:v>
                </c:pt>
                <c:pt idx="5">
                  <c:v>#N/A</c:v>
                </c:pt>
                <c:pt idx="6">
                  <c:v>#N/A</c:v>
                </c:pt>
                <c:pt idx="7">
                  <c:v>#N/A</c:v>
                </c:pt>
                <c:pt idx="8">
                  <c:v>8.8611220000000004E-2</c:v>
                </c:pt>
                <c:pt idx="9">
                  <c:v>2.6824482E-2</c:v>
                </c:pt>
                <c:pt idx="10">
                  <c:v>8.0307681000000006E-2</c:v>
                </c:pt>
                <c:pt idx="11">
                  <c:v>6.8518924999999994E-2</c:v>
                </c:pt>
                <c:pt idx="12">
                  <c:v>#N/A</c:v>
                </c:pt>
                <c:pt idx="13">
                  <c:v>#N/A</c:v>
                </c:pt>
                <c:pt idx="14">
                  <c:v>#N/A</c:v>
                </c:pt>
                <c:pt idx="15">
                  <c:v>#N/A</c:v>
                </c:pt>
                <c:pt idx="16">
                  <c:v>#N/A</c:v>
                </c:pt>
                <c:pt idx="17">
                  <c:v>#N/A</c:v>
                </c:pt>
                <c:pt idx="18">
                  <c:v>#N/A</c:v>
                </c:pt>
                <c:pt idx="19">
                  <c:v>#N/A</c:v>
                </c:pt>
                <c:pt idx="20">
                  <c:v>#N/A</c:v>
                </c:pt>
                <c:pt idx="21">
                  <c:v>#N/A</c:v>
                </c:pt>
                <c:pt idx="22">
                  <c:v>6.8197717000000005E-2</c:v>
                </c:pt>
                <c:pt idx="23">
                  <c:v>0.104319943</c:v>
                </c:pt>
                <c:pt idx="24">
                  <c:v>#N/A</c:v>
                </c:pt>
                <c:pt idx="25">
                  <c:v>#N/A</c:v>
                </c:pt>
                <c:pt idx="26">
                  <c:v>0.135742062</c:v>
                </c:pt>
                <c:pt idx="27">
                  <c:v>#N/A</c:v>
                </c:pt>
                <c:pt idx="28">
                  <c:v>0.101002103</c:v>
                </c:pt>
                <c:pt idx="29">
                  <c:v>#N/A</c:v>
                </c:pt>
                <c:pt idx="30">
                  <c:v>#N/A</c:v>
                </c:pt>
                <c:pt idx="31">
                  <c:v>7.7626913000000006E-2</c:v>
                </c:pt>
                <c:pt idx="32">
                  <c:v>#N/A</c:v>
                </c:pt>
                <c:pt idx="33">
                  <c:v>#N/A</c:v>
                </c:pt>
                <c:pt idx="34">
                  <c:v>#N/A</c:v>
                </c:pt>
                <c:pt idx="35">
                  <c:v>#N/A</c:v>
                </c:pt>
                <c:pt idx="36">
                  <c:v>0.1229592</c:v>
                </c:pt>
                <c:pt idx="37">
                  <c:v>#N/A</c:v>
                </c:pt>
                <c:pt idx="38">
                  <c:v>#N/A</c:v>
                </c:pt>
                <c:pt idx="39">
                  <c:v>4.8560342999999999E-2</c:v>
                </c:pt>
                <c:pt idx="40">
                  <c:v>#N/A</c:v>
                </c:pt>
                <c:pt idx="41">
                  <c:v>8.4292561000000002E-2</c:v>
                </c:pt>
                <c:pt idx="42">
                  <c:v>0.115977277</c:v>
                </c:pt>
                <c:pt idx="43">
                  <c:v>9.0213208000000003E-2</c:v>
                </c:pt>
                <c:pt idx="44">
                  <c:v>4.8118213999999999E-2</c:v>
                </c:pt>
                <c:pt idx="45">
                  <c:v>0.100175574</c:v>
                </c:pt>
                <c:pt idx="46">
                  <c:v>#N/A</c:v>
                </c:pt>
                <c:pt idx="47">
                  <c:v>#N/A</c:v>
                </c:pt>
                <c:pt idx="48">
                  <c:v>0.141161756</c:v>
                </c:pt>
                <c:pt idx="49">
                  <c:v>#N/A</c:v>
                </c:pt>
                <c:pt idx="50">
                  <c:v>#N/A</c:v>
                </c:pt>
                <c:pt idx="51">
                  <c:v>#N/A</c:v>
                </c:pt>
                <c:pt idx="52">
                  <c:v>#N/A</c:v>
                </c:pt>
                <c:pt idx="53">
                  <c:v>#N/A</c:v>
                </c:pt>
                <c:pt idx="54">
                  <c:v>0.104014623</c:v>
                </c:pt>
                <c:pt idx="55">
                  <c:v>#N/A</c:v>
                </c:pt>
                <c:pt idx="56">
                  <c:v>8.0250742E-2</c:v>
                </c:pt>
                <c:pt idx="57">
                  <c:v>2.8878641E-2</c:v>
                </c:pt>
                <c:pt idx="58">
                  <c:v>0.148738545</c:v>
                </c:pt>
                <c:pt idx="59">
                  <c:v>8.0903020000000006E-2</c:v>
                </c:pt>
                <c:pt idx="60">
                  <c:v>9.6083479999999999E-2</c:v>
                </c:pt>
                <c:pt idx="61">
                  <c:v>0.102408044</c:v>
                </c:pt>
                <c:pt idx="62">
                  <c:v>#N/A</c:v>
                </c:pt>
                <c:pt idx="63">
                  <c:v>8.7293819999999994E-2</c:v>
                </c:pt>
                <c:pt idx="64">
                  <c:v>9.9039297999999998E-2</c:v>
                </c:pt>
                <c:pt idx="65">
                  <c:v>9.992769E-2</c:v>
                </c:pt>
                <c:pt idx="66">
                  <c:v>9.0187214000000002E-2</c:v>
                </c:pt>
                <c:pt idx="67">
                  <c:v>0.102099393</c:v>
                </c:pt>
                <c:pt idx="68">
                  <c:v>9.1662668000000003E-2</c:v>
                </c:pt>
                <c:pt idx="69">
                  <c:v>#N/A</c:v>
                </c:pt>
                <c:pt idx="70">
                  <c:v>9.7340948999999996E-2</c:v>
                </c:pt>
                <c:pt idx="71">
                  <c:v>6.6365306999999998E-2</c:v>
                </c:pt>
                <c:pt idx="72">
                  <c:v>8.2273259000000001E-2</c:v>
                </c:pt>
                <c:pt idx="73">
                  <c:v>9.8334087000000001E-2</c:v>
                </c:pt>
                <c:pt idx="74">
                  <c:v>9.4803411000000004E-2</c:v>
                </c:pt>
                <c:pt idx="75">
                  <c:v>5.4335804000000001E-2</c:v>
                </c:pt>
                <c:pt idx="76">
                  <c:v>4.4608923000000002E-2</c:v>
                </c:pt>
                <c:pt idx="77">
                  <c:v>9.5608597000000003E-2</c:v>
                </c:pt>
                <c:pt idx="78">
                  <c:v>7.1019235E-2</c:v>
                </c:pt>
                <c:pt idx="79">
                  <c:v>6.3684451000000003E-2</c:v>
                </c:pt>
                <c:pt idx="80">
                  <c:v>0.11299629899999999</c:v>
                </c:pt>
                <c:pt idx="81">
                  <c:v>6.3254006000000002E-2</c:v>
                </c:pt>
                <c:pt idx="82">
                  <c:v>#N/A</c:v>
                </c:pt>
                <c:pt idx="83">
                  <c:v>9.3310833999999995E-2</c:v>
                </c:pt>
                <c:pt idx="84">
                  <c:v>6.3738845000000002E-2</c:v>
                </c:pt>
                <c:pt idx="85">
                  <c:v>6.6132237999999996E-2</c:v>
                </c:pt>
                <c:pt idx="86">
                  <c:v>9.3678017000000002E-2</c:v>
                </c:pt>
                <c:pt idx="87">
                  <c:v>7.2647681000000006E-2</c:v>
                </c:pt>
                <c:pt idx="88">
                  <c:v>8.4394472999999998E-2</c:v>
                </c:pt>
                <c:pt idx="89">
                  <c:v>9.9536235000000001E-2</c:v>
                </c:pt>
                <c:pt idx="90">
                  <c:v>0.11866541999999999</c:v>
                </c:pt>
                <c:pt idx="91">
                  <c:v>7.8364306999999994E-2</c:v>
                </c:pt>
                <c:pt idx="92">
                  <c:v>9.2602118999999997E-2</c:v>
                </c:pt>
                <c:pt idx="93">
                  <c:v>#N/A</c:v>
                </c:pt>
                <c:pt idx="94">
                  <c:v>8.2150920000000002E-2</c:v>
                </c:pt>
                <c:pt idx="95">
                  <c:v>5.1100228999999997E-2</c:v>
                </c:pt>
                <c:pt idx="96">
                  <c:v>#N/A</c:v>
                </c:pt>
                <c:pt idx="97">
                  <c:v>5.6542137999999999E-2</c:v>
                </c:pt>
                <c:pt idx="98">
                  <c:v>6.9528922000000007E-2</c:v>
                </c:pt>
                <c:pt idx="99">
                  <c:v>8.3921820999999994E-2</c:v>
                </c:pt>
                <c:pt idx="100">
                  <c:v>0.12635337499999999</c:v>
                </c:pt>
                <c:pt idx="101">
                  <c:v>0.10062122599999999</c:v>
                </c:pt>
                <c:pt idx="102">
                  <c:v>7.1385926000000002E-2</c:v>
                </c:pt>
                <c:pt idx="103">
                  <c:v>#N/A</c:v>
                </c:pt>
                <c:pt idx="104">
                  <c:v>0.106128031</c:v>
                </c:pt>
                <c:pt idx="105">
                  <c:v>7.6433062999999996E-2</c:v>
                </c:pt>
                <c:pt idx="106">
                  <c:v>#N/A</c:v>
                </c:pt>
                <c:pt idx="107">
                  <c:v>9.3615085000000001E-2</c:v>
                </c:pt>
                <c:pt idx="108">
                  <c:v>0.113835114</c:v>
                </c:pt>
                <c:pt idx="109">
                  <c:v>#N/A</c:v>
                </c:pt>
                <c:pt idx="110">
                  <c:v>0.100149804</c:v>
                </c:pt>
                <c:pt idx="111">
                  <c:v>8.1525332000000006E-2</c:v>
                </c:pt>
                <c:pt idx="112">
                  <c:v>0.11733144099999999</c:v>
                </c:pt>
                <c:pt idx="113">
                  <c:v>7.3444544E-2</c:v>
                </c:pt>
                <c:pt idx="114">
                  <c:v>7.3450193999999996E-2</c:v>
                </c:pt>
                <c:pt idx="115">
                  <c:v>#N/A</c:v>
                </c:pt>
                <c:pt idx="116">
                  <c:v>7.5516317999999999E-2</c:v>
                </c:pt>
                <c:pt idx="117">
                  <c:v>9.1534189000000002E-2</c:v>
                </c:pt>
                <c:pt idx="118">
                  <c:v>-6.2145199999999996E-5</c:v>
                </c:pt>
                <c:pt idx="119">
                  <c:v>3.1995728000000001E-2</c:v>
                </c:pt>
                <c:pt idx="120">
                  <c:v>8.4408456000000007E-2</c:v>
                </c:pt>
                <c:pt idx="121">
                  <c:v>8.7700679000000004E-2</c:v>
                </c:pt>
                <c:pt idx="122">
                  <c:v>0.12806562099999999</c:v>
                </c:pt>
                <c:pt idx="123">
                  <c:v>7.2851709000000001E-2</c:v>
                </c:pt>
                <c:pt idx="124">
                  <c:v>9.9617537000000006E-2</c:v>
                </c:pt>
                <c:pt idx="125">
                  <c:v>9.0840900000000002E-2</c:v>
                </c:pt>
                <c:pt idx="126">
                  <c:v>6.5627817000000005E-2</c:v>
                </c:pt>
                <c:pt idx="127">
                  <c:v>3.0097684E-2</c:v>
                </c:pt>
                <c:pt idx="128">
                  <c:v>7.9292324999999997E-2</c:v>
                </c:pt>
                <c:pt idx="129">
                  <c:v>#N/A</c:v>
                </c:pt>
                <c:pt idx="130">
                  <c:v>9.8217831000000005E-2</c:v>
                </c:pt>
                <c:pt idx="131">
                  <c:v>#N/A</c:v>
                </c:pt>
                <c:pt idx="132">
                  <c:v>5.4190055000000001E-2</c:v>
                </c:pt>
                <c:pt idx="133">
                  <c:v>5.0259881999999999E-2</c:v>
                </c:pt>
                <c:pt idx="134">
                  <c:v>6.8836907000000003E-2</c:v>
                </c:pt>
                <c:pt idx="135">
                  <c:v>7.5956009000000005E-2</c:v>
                </c:pt>
                <c:pt idx="136">
                  <c:v>4.4371046999999997E-2</c:v>
                </c:pt>
                <c:pt idx="137">
                  <c:v>9.9514200999999997E-2</c:v>
                </c:pt>
                <c:pt idx="138">
                  <c:v>7.8711932999999998E-2</c:v>
                </c:pt>
                <c:pt idx="139">
                  <c:v>8.7008800999999997E-2</c:v>
                </c:pt>
                <c:pt idx="140">
                  <c:v>8.6034131E-2</c:v>
                </c:pt>
                <c:pt idx="141">
                  <c:v>#N/A</c:v>
                </c:pt>
                <c:pt idx="142">
                  <c:v>#N/A</c:v>
                </c:pt>
                <c:pt idx="143">
                  <c:v>#N/A</c:v>
                </c:pt>
                <c:pt idx="144">
                  <c:v>#N/A</c:v>
                </c:pt>
                <c:pt idx="145">
                  <c:v>#N/A</c:v>
                </c:pt>
                <c:pt idx="146">
                  <c:v>9.6846765000000001E-2</c:v>
                </c:pt>
                <c:pt idx="147">
                  <c:v>#N/A</c:v>
                </c:pt>
                <c:pt idx="148">
                  <c:v>8.7819670000000002E-2</c:v>
                </c:pt>
                <c:pt idx="149">
                  <c:v>0.121565096</c:v>
                </c:pt>
                <c:pt idx="150">
                  <c:v>7.4759554000000006E-2</c:v>
                </c:pt>
                <c:pt idx="151">
                  <c:v>#N/A</c:v>
                </c:pt>
                <c:pt idx="152">
                  <c:v>8.3826815999999998E-2</c:v>
                </c:pt>
                <c:pt idx="153">
                  <c:v>0.101615418</c:v>
                </c:pt>
                <c:pt idx="154">
                  <c:v>0.112470717</c:v>
                </c:pt>
                <c:pt idx="155">
                  <c:v>9.3466969999999996E-2</c:v>
                </c:pt>
                <c:pt idx="156">
                  <c:v>#N/A</c:v>
                </c:pt>
                <c:pt idx="157">
                  <c:v>#N/A</c:v>
                </c:pt>
                <c:pt idx="158">
                  <c:v>#N/A</c:v>
                </c:pt>
                <c:pt idx="159">
                  <c:v>#N/A</c:v>
                </c:pt>
                <c:pt idx="160">
                  <c:v>0.10477222</c:v>
                </c:pt>
                <c:pt idx="161">
                  <c:v>9.5053023E-2</c:v>
                </c:pt>
                <c:pt idx="162">
                  <c:v>0.130356577</c:v>
                </c:pt>
                <c:pt idx="163">
                  <c:v>8.8665896999999994E-2</c:v>
                </c:pt>
                <c:pt idx="164">
                  <c:v>9.9950194000000006E-2</c:v>
                </c:pt>
                <c:pt idx="165">
                  <c:v>0.10350071199999999</c:v>
                </c:pt>
                <c:pt idx="166">
                  <c:v>0.124148895</c:v>
                </c:pt>
                <c:pt idx="167">
                  <c:v>0.103635694</c:v>
                </c:pt>
                <c:pt idx="168">
                  <c:v>0.15411097200000001</c:v>
                </c:pt>
                <c:pt idx="169">
                  <c:v>8.8446668000000006E-2</c:v>
                </c:pt>
                <c:pt idx="170">
                  <c:v>8.0986986999999996E-2</c:v>
                </c:pt>
                <c:pt idx="171">
                  <c:v>8.1219313000000001E-2</c:v>
                </c:pt>
                <c:pt idx="172">
                  <c:v>#N/A</c:v>
                </c:pt>
                <c:pt idx="173">
                  <c:v>7.9829477999999995E-2</c:v>
                </c:pt>
                <c:pt idx="174">
                  <c:v>9.2522706999999996E-2</c:v>
                </c:pt>
                <c:pt idx="175">
                  <c:v>0.10103403499999999</c:v>
                </c:pt>
                <c:pt idx="176">
                  <c:v>#N/A</c:v>
                </c:pt>
                <c:pt idx="177">
                  <c:v>9.1845047999999999E-2</c:v>
                </c:pt>
                <c:pt idx="178">
                  <c:v>9.8828581999999998E-2</c:v>
                </c:pt>
                <c:pt idx="179">
                  <c:v>7.7328656999999995E-2</c:v>
                </c:pt>
                <c:pt idx="180">
                  <c:v>4.8562352000000003E-2</c:v>
                </c:pt>
                <c:pt idx="181">
                  <c:v>0.119604209</c:v>
                </c:pt>
                <c:pt idx="182">
                  <c:v>5.8628701999999998E-2</c:v>
                </c:pt>
                <c:pt idx="183">
                  <c:v>4.9513359E-2</c:v>
                </c:pt>
                <c:pt idx="184">
                  <c:v>6.7259847999999997E-2</c:v>
                </c:pt>
                <c:pt idx="185">
                  <c:v>8.7303250999999998E-2</c:v>
                </c:pt>
                <c:pt idx="186">
                  <c:v>8.5662910999999994E-2</c:v>
                </c:pt>
                <c:pt idx="187">
                  <c:v>9.5664431999999994E-2</c:v>
                </c:pt>
                <c:pt idx="188">
                  <c:v>2.8492366000000002E-2</c:v>
                </c:pt>
                <c:pt idx="189">
                  <c:v>9.6472132000000002E-2</c:v>
                </c:pt>
                <c:pt idx="190">
                  <c:v>8.7035871000000001E-2</c:v>
                </c:pt>
                <c:pt idx="191">
                  <c:v>9.9949494E-2</c:v>
                </c:pt>
                <c:pt idx="192">
                  <c:v>5.1976034999999997E-2</c:v>
                </c:pt>
                <c:pt idx="193">
                  <c:v>7.0971181999999994E-2</c:v>
                </c:pt>
                <c:pt idx="194">
                  <c:v>#N/A</c:v>
                </c:pt>
                <c:pt idx="195">
                  <c:v>#N/A</c:v>
                </c:pt>
                <c:pt idx="196">
                  <c:v>#N/A</c:v>
                </c:pt>
                <c:pt idx="197">
                  <c:v>#N/A</c:v>
                </c:pt>
                <c:pt idx="198">
                  <c:v>9.6749439000000007E-2</c:v>
                </c:pt>
                <c:pt idx="199">
                  <c:v>0.12433517199999999</c:v>
                </c:pt>
                <c:pt idx="200">
                  <c:v>#N/A</c:v>
                </c:pt>
                <c:pt idx="201">
                  <c:v>#N/A</c:v>
                </c:pt>
                <c:pt idx="202">
                  <c:v>#N/A</c:v>
                </c:pt>
                <c:pt idx="203">
                  <c:v>8.4374378E-2</c:v>
                </c:pt>
                <c:pt idx="204">
                  <c:v>0.117905044</c:v>
                </c:pt>
                <c:pt idx="205">
                  <c:v>7.7353325000000001E-2</c:v>
                </c:pt>
                <c:pt idx="206">
                  <c:v>0.133034977</c:v>
                </c:pt>
                <c:pt idx="207">
                  <c:v>#N/A</c:v>
                </c:pt>
                <c:pt idx="208">
                  <c:v>#N/A</c:v>
                </c:pt>
                <c:pt idx="209">
                  <c:v>7.2514273000000004E-2</c:v>
                </c:pt>
                <c:pt idx="210">
                  <c:v>0.104626898</c:v>
                </c:pt>
                <c:pt idx="211">
                  <c:v>#N/A</c:v>
                </c:pt>
                <c:pt idx="212">
                  <c:v>#N/A</c:v>
                </c:pt>
                <c:pt idx="213">
                  <c:v>0.100912472</c:v>
                </c:pt>
                <c:pt idx="214">
                  <c:v>9.6529165E-2</c:v>
                </c:pt>
                <c:pt idx="215">
                  <c:v>#N/A</c:v>
                </c:pt>
                <c:pt idx="216">
                  <c:v>#N/A</c:v>
                </c:pt>
                <c:pt idx="217">
                  <c:v>#N/A</c:v>
                </c:pt>
                <c:pt idx="218">
                  <c:v>#N/A</c:v>
                </c:pt>
                <c:pt idx="219">
                  <c:v>#N/A</c:v>
                </c:pt>
                <c:pt idx="220">
                  <c:v>6.7710256999999996E-2</c:v>
                </c:pt>
                <c:pt idx="221">
                  <c:v>8.5802442000000007E-2</c:v>
                </c:pt>
                <c:pt idx="222">
                  <c:v>#N/A</c:v>
                </c:pt>
                <c:pt idx="223">
                  <c:v>7.6627967000000005E-2</c:v>
                </c:pt>
                <c:pt idx="224">
                  <c:v>#N/A</c:v>
                </c:pt>
                <c:pt idx="225">
                  <c:v>8.0078969E-2</c:v>
                </c:pt>
                <c:pt idx="226">
                  <c:v>8.9808126000000002E-2</c:v>
                </c:pt>
                <c:pt idx="227">
                  <c:v>8.6034282000000004E-2</c:v>
                </c:pt>
                <c:pt idx="228">
                  <c:v>0.115671327</c:v>
                </c:pt>
                <c:pt idx="229">
                  <c:v>6.2918911999999994E-2</c:v>
                </c:pt>
                <c:pt idx="230">
                  <c:v>6.6215974999999996E-2</c:v>
                </c:pt>
                <c:pt idx="231">
                  <c:v>4.7999160999999999E-2</c:v>
                </c:pt>
                <c:pt idx="232">
                  <c:v>5.3653121999999998E-2</c:v>
                </c:pt>
                <c:pt idx="233">
                  <c:v>9.1606622999999998E-2</c:v>
                </c:pt>
                <c:pt idx="234">
                  <c:v>9.2231270000000004E-2</c:v>
                </c:pt>
                <c:pt idx="235">
                  <c:v>3.2337428000000001E-2</c:v>
                </c:pt>
                <c:pt idx="236">
                  <c:v>7.2714572000000005E-2</c:v>
                </c:pt>
                <c:pt idx="237">
                  <c:v>0.10264369299999999</c:v>
                </c:pt>
                <c:pt idx="238">
                  <c:v>8.4152780999999996E-2</c:v>
                </c:pt>
                <c:pt idx="239">
                  <c:v>8.4475421999999994E-2</c:v>
                </c:pt>
                <c:pt idx="240">
                  <c:v>#N/A</c:v>
                </c:pt>
                <c:pt idx="241">
                  <c:v>#N/A</c:v>
                </c:pt>
                <c:pt idx="242">
                  <c:v>0.103862631</c:v>
                </c:pt>
                <c:pt idx="243">
                  <c:v>#N/A</c:v>
                </c:pt>
                <c:pt idx="244">
                  <c:v>7.3690227999999997E-2</c:v>
                </c:pt>
                <c:pt idx="245">
                  <c:v>#N/A</c:v>
                </c:pt>
                <c:pt idx="246">
                  <c:v>7.1541544999999998E-2</c:v>
                </c:pt>
                <c:pt idx="247">
                  <c:v>#N/A</c:v>
                </c:pt>
                <c:pt idx="248">
                  <c:v>6.8290825999999999E-2</c:v>
                </c:pt>
                <c:pt idx="249">
                  <c:v>#N/A</c:v>
                </c:pt>
                <c:pt idx="250">
                  <c:v>7.7271954000000004E-2</c:v>
                </c:pt>
                <c:pt idx="251">
                  <c:v>7.2738715999999995E-2</c:v>
                </c:pt>
                <c:pt idx="252">
                  <c:v>7.6726156000000004E-2</c:v>
                </c:pt>
                <c:pt idx="253">
                  <c:v>8.8799225999999995E-2</c:v>
                </c:pt>
                <c:pt idx="254">
                  <c:v>6.9478940000000003E-2</c:v>
                </c:pt>
                <c:pt idx="255">
                  <c:v>6.5385523000000001E-2</c:v>
                </c:pt>
                <c:pt idx="256">
                  <c:v>7.8530607000000002E-2</c:v>
                </c:pt>
                <c:pt idx="257">
                  <c:v>#N/A</c:v>
                </c:pt>
                <c:pt idx="258">
                  <c:v>8.5943453000000003E-2</c:v>
                </c:pt>
                <c:pt idx="259">
                  <c:v>8.9514248000000005E-2</c:v>
                </c:pt>
                <c:pt idx="260">
                  <c:v>7.8833668999999995E-2</c:v>
                </c:pt>
                <c:pt idx="261">
                  <c:v>#N/A</c:v>
                </c:pt>
                <c:pt idx="262">
                  <c:v>#N/A</c:v>
                </c:pt>
                <c:pt idx="263">
                  <c:v>6.5247911000000006E-2</c:v>
                </c:pt>
                <c:pt idx="264">
                  <c:v>#N/A</c:v>
                </c:pt>
                <c:pt idx="265">
                  <c:v>2.7652383999999999E-2</c:v>
                </c:pt>
                <c:pt idx="266">
                  <c:v>9.0388745000000006E-2</c:v>
                </c:pt>
                <c:pt idx="267">
                  <c:v>5.7388695000000003E-2</c:v>
                </c:pt>
                <c:pt idx="268">
                  <c:v>9.2321829999999994E-2</c:v>
                </c:pt>
                <c:pt idx="269">
                  <c:v>7.3957198000000002E-2</c:v>
                </c:pt>
                <c:pt idx="270">
                  <c:v>0.107959664</c:v>
                </c:pt>
                <c:pt idx="271">
                  <c:v>#N/A</c:v>
                </c:pt>
                <c:pt idx="272">
                  <c:v>8.0336284999999993E-2</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numCache>
            </c:numRef>
          </c:yVal>
          <c:smooth val="0"/>
        </c:ser>
        <c:ser>
          <c:idx val="5"/>
          <c:order val="6"/>
          <c:tx>
            <c:v>Selected</c:v>
          </c:tx>
          <c:spPr>
            <a:ln w="28575">
              <a:noFill/>
            </a:ln>
          </c:spPr>
          <c:marker>
            <c:symbol val="circle"/>
            <c:size val="8"/>
            <c:spPr>
              <a:solidFill>
                <a:schemeClr val="accent6">
                  <a:lumMod val="75000"/>
                </a:schemeClr>
              </a:solidFill>
            </c:spPr>
          </c:marker>
          <c:xVal>
            <c:numRef>
              <c:f>'Funnel Lookup'!$U$3:$U$402</c:f>
              <c:numCache>
                <c:formatCode>General</c:formatCode>
                <c:ptCount val="400"/>
                <c:pt idx="0">
                  <c:v>95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numCache>
            </c:numRef>
          </c:xVal>
          <c:yVal>
            <c:numRef>
              <c:f>'Funnel Lookup'!$V$3:$V$402</c:f>
              <c:numCache>
                <c:formatCode>General</c:formatCode>
                <c:ptCount val="400"/>
                <c:pt idx="0">
                  <c:v>6.3055412000000005E-2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numCache>
            </c:numRef>
          </c:yVal>
          <c:smooth val="0"/>
        </c:ser>
        <c:dLbls>
          <c:showLegendKey val="0"/>
          <c:showVal val="0"/>
          <c:showCatName val="0"/>
          <c:showSerName val="0"/>
          <c:showPercent val="0"/>
          <c:showBubbleSize val="0"/>
        </c:dLbls>
        <c:axId val="335618816"/>
        <c:axId val="335621120"/>
      </c:scatterChart>
      <c:valAx>
        <c:axId val="335618816"/>
        <c:scaling>
          <c:orientation val="minMax"/>
          <c:min val="0"/>
        </c:scaling>
        <c:delete val="0"/>
        <c:axPos val="b"/>
        <c:majorGridlines>
          <c:spPr>
            <a:ln w="3175">
              <a:solidFill>
                <a:srgbClr val="C0C0C0"/>
              </a:solidFill>
              <a:prstDash val="sysDash"/>
            </a:ln>
          </c:spPr>
        </c:majorGridlines>
        <c:title>
          <c:tx>
            <c:rich>
              <a:bodyPr/>
              <a:lstStyle/>
              <a:p>
                <a:pPr>
                  <a:defRPr sz="1100" b="1" i="0" u="none" strike="noStrike" baseline="0">
                    <a:solidFill>
                      <a:srgbClr val="003350"/>
                    </a:solidFill>
                    <a:latin typeface="Arial" pitchFamily="34" charset="0"/>
                    <a:ea typeface="Arial Narrow"/>
                    <a:cs typeface="Arial" pitchFamily="34" charset="0"/>
                  </a:defRPr>
                </a:pPr>
                <a:r>
                  <a:rPr lang="en-GB" sz="1100">
                    <a:solidFill>
                      <a:srgbClr val="003350"/>
                    </a:solidFill>
                    <a:latin typeface="Arial" pitchFamily="34" charset="0"/>
                    <a:cs typeface="Arial" pitchFamily="34" charset="0"/>
                  </a:rPr>
                  <a:t>Number of Modelled Records</a:t>
                </a:r>
              </a:p>
            </c:rich>
          </c:tx>
          <c:layout>
            <c:manualLayout>
              <c:xMode val="edge"/>
              <c:yMode val="edge"/>
              <c:x val="0.36446884550390107"/>
              <c:y val="0.94027140299375156"/>
            </c:manualLayout>
          </c:layout>
          <c:overlay val="0"/>
          <c:spPr>
            <a:noFill/>
            <a:ln w="25400">
              <a:noFill/>
            </a:ln>
          </c:spPr>
        </c:title>
        <c:numFmt formatCode="General" sourceLinked="1"/>
        <c:majorTickMark val="out"/>
        <c:minorTickMark val="none"/>
        <c:tickLblPos val="low"/>
        <c:spPr>
          <a:ln w="3175">
            <a:solidFill>
              <a:srgbClr val="C0C0C0"/>
            </a:solidFill>
            <a:prstDash val="solid"/>
          </a:ln>
        </c:spPr>
        <c:txPr>
          <a:bodyPr rot="0" vert="horz"/>
          <a:lstStyle/>
          <a:p>
            <a:pPr>
              <a:defRPr sz="1200" b="0" i="0" u="none" strike="noStrike" baseline="0">
                <a:solidFill>
                  <a:srgbClr val="003350"/>
                </a:solidFill>
                <a:latin typeface="Arial" pitchFamily="34" charset="0"/>
                <a:ea typeface="Arial Narrow"/>
                <a:cs typeface="Arial" pitchFamily="34" charset="0"/>
              </a:defRPr>
            </a:pPr>
            <a:endParaRPr lang="en-US"/>
          </a:p>
        </c:txPr>
        <c:crossAx val="335621120"/>
        <c:crosses val="autoZero"/>
        <c:crossBetween val="midCat"/>
      </c:valAx>
      <c:valAx>
        <c:axId val="335621120"/>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3350"/>
                    </a:solidFill>
                    <a:latin typeface="Arial" pitchFamily="34" charset="0"/>
                    <a:ea typeface="Arial Narrow"/>
                    <a:cs typeface="Arial" pitchFamily="34" charset="0"/>
                  </a:defRPr>
                </a:pPr>
                <a:r>
                  <a:rPr lang="en-GB" sz="1100">
                    <a:solidFill>
                      <a:srgbClr val="003350"/>
                    </a:solidFill>
                    <a:latin typeface="Arial" pitchFamily="34" charset="0"/>
                    <a:cs typeface="Arial" pitchFamily="34" charset="0"/>
                  </a:rPr>
                  <a:t>Adjusted Health Gain</a:t>
                </a:r>
              </a:p>
            </c:rich>
          </c:tx>
          <c:layout>
            <c:manualLayout>
              <c:xMode val="edge"/>
              <c:yMode val="edge"/>
              <c:x val="1.2894089748994175E-2"/>
              <c:y val="0.33547192157160044"/>
            </c:manualLayout>
          </c:layout>
          <c:overlay val="0"/>
          <c:spPr>
            <a:noFill/>
            <a:ln w="25400">
              <a:noFill/>
            </a:ln>
          </c:spPr>
        </c:title>
        <c:numFmt formatCode="General" sourceLinked="1"/>
        <c:majorTickMark val="out"/>
        <c:minorTickMark val="none"/>
        <c:tickLblPos val="nextTo"/>
        <c:spPr>
          <a:ln w="3175">
            <a:solidFill>
              <a:srgbClr val="C0C0C0"/>
            </a:solidFill>
            <a:prstDash val="solid"/>
          </a:ln>
        </c:spPr>
        <c:txPr>
          <a:bodyPr rot="0" vert="horz"/>
          <a:lstStyle/>
          <a:p>
            <a:pPr>
              <a:defRPr sz="1200" b="0" i="0" u="none" strike="noStrike" baseline="0">
                <a:solidFill>
                  <a:srgbClr val="003350"/>
                </a:solidFill>
                <a:latin typeface="Arial" pitchFamily="34" charset="0"/>
                <a:ea typeface="Arial Narrow"/>
                <a:cs typeface="Arial" pitchFamily="34" charset="0"/>
              </a:defRPr>
            </a:pPr>
            <a:endParaRPr lang="en-US"/>
          </a:p>
        </c:txPr>
        <c:crossAx val="335618816"/>
        <c:crosses val="autoZero"/>
        <c:crossBetween val="midCat"/>
      </c:valAx>
      <c:spPr>
        <a:noFill/>
        <a:ln w="12700">
          <a:solidFill>
            <a:srgbClr val="C0C0C0"/>
          </a:solidFill>
          <a:prstDash val="solid"/>
        </a:ln>
      </c:spPr>
    </c:plotArea>
    <c:legend>
      <c:legendPos val="r"/>
      <c:legendEntry>
        <c:idx val="1"/>
        <c:delete val="1"/>
      </c:legendEntry>
      <c:legendEntry>
        <c:idx val="3"/>
        <c:delete val="1"/>
      </c:legendEntry>
      <c:layout>
        <c:manualLayout>
          <c:xMode val="edge"/>
          <c:yMode val="edge"/>
          <c:x val="0.83514057567620181"/>
          <c:y val="5.5461306585487466E-2"/>
          <c:w val="0.14648185780844175"/>
          <c:h val="0.42041918944913281"/>
        </c:manualLayout>
      </c:layout>
      <c:overlay val="0"/>
      <c:spPr>
        <a:solidFill>
          <a:srgbClr val="FFFFFF"/>
        </a:solidFill>
        <a:ln w="3175">
          <a:noFill/>
          <a:prstDash val="solid"/>
        </a:ln>
      </c:spPr>
      <c:txPr>
        <a:bodyPr/>
        <a:lstStyle/>
        <a:p>
          <a:pPr>
            <a:defRPr sz="1200" b="0" i="0" u="none" strike="noStrike" baseline="0">
              <a:solidFill>
                <a:srgbClr val="003350"/>
              </a:solidFill>
              <a:latin typeface="Arial" pitchFamily="34" charset="0"/>
              <a:ea typeface="Arial Narrow"/>
              <a:cs typeface="Arial" pitchFamily="34" charset="0"/>
            </a:defRPr>
          </a:pPr>
          <a:endParaRPr lang="en-US"/>
        </a:p>
      </c:txPr>
    </c:legend>
    <c:plotVisOnly val="1"/>
    <c:dispBlanksAs val="gap"/>
    <c:showDLblsOverMax val="0"/>
  </c:chart>
  <c:spPr>
    <a:solidFill>
      <a:srgbClr val="FFFFFF"/>
    </a:solidFill>
    <a:ln w="12700">
      <a:solidFill>
        <a:schemeClr val="tx1"/>
      </a:solidFill>
      <a:prstDash val="solid"/>
    </a:ln>
  </c:spPr>
  <c:txPr>
    <a:bodyPr/>
    <a:lstStyle/>
    <a:p>
      <a:pPr>
        <a:defRPr sz="1750" b="0" i="0" u="none" strike="noStrike" baseline="0">
          <a:solidFill>
            <a:srgbClr val="009866"/>
          </a:solidFill>
          <a:latin typeface="Arial Narrow"/>
          <a:ea typeface="Arial Narrow"/>
          <a:cs typeface="Arial Narrow"/>
        </a:defRPr>
      </a:pPr>
      <a:endParaRPr lang="en-US"/>
    </a:p>
  </c:txPr>
  <c:printSettings>
    <c:headerFooter alignWithMargins="0"/>
    <c:pageMargins b="1" l="0.75" r="0.75" t="1" header="0.5" footer="0.5"/>
    <c:pageSetup paperSize="9" orientation="landscape"/>
  </c:printSettings>
</c:chartSpace>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6.jpeg"/><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10</xdr:col>
      <xdr:colOff>66675</xdr:colOff>
      <xdr:row>16</xdr:row>
      <xdr:rowOff>19050</xdr:rowOff>
    </xdr:from>
    <xdr:to>
      <xdr:col>10</xdr:col>
      <xdr:colOff>209550</xdr:colOff>
      <xdr:row>17</xdr:row>
      <xdr:rowOff>0</xdr:rowOff>
    </xdr:to>
    <xdr:sp macro="" textlink="">
      <xdr:nvSpPr>
        <xdr:cNvPr id="21631" name="Oval 5"/>
        <xdr:cNvSpPr>
          <a:spLocks noChangeAspect="1" noChangeArrowheads="1"/>
        </xdr:cNvSpPr>
      </xdr:nvSpPr>
      <xdr:spPr bwMode="auto">
        <a:xfrm>
          <a:off x="13030200" y="3095625"/>
          <a:ext cx="142875" cy="142875"/>
        </a:xfrm>
        <a:prstGeom prst="ellipse">
          <a:avLst/>
        </a:prstGeom>
        <a:solidFill>
          <a:srgbClr val="FA6464">
            <a:alpha val="74901"/>
          </a:srgbClr>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10</xdr:col>
      <xdr:colOff>85725</xdr:colOff>
      <xdr:row>15</xdr:row>
      <xdr:rowOff>47625</xdr:rowOff>
    </xdr:from>
    <xdr:to>
      <xdr:col>10</xdr:col>
      <xdr:colOff>171450</xdr:colOff>
      <xdr:row>15</xdr:row>
      <xdr:rowOff>133350</xdr:rowOff>
    </xdr:to>
    <xdr:sp macro="" textlink="">
      <xdr:nvSpPr>
        <xdr:cNvPr id="21632" name="Oval 6"/>
        <xdr:cNvSpPr>
          <a:spLocks noChangeAspect="1" noChangeArrowheads="1"/>
        </xdr:cNvSpPr>
      </xdr:nvSpPr>
      <xdr:spPr bwMode="auto">
        <a:xfrm>
          <a:off x="13049250" y="2962275"/>
          <a:ext cx="85725" cy="85725"/>
        </a:xfrm>
        <a:prstGeom prst="ellipse">
          <a:avLst/>
        </a:prstGeom>
        <a:solidFill>
          <a:srgbClr val="3366FF">
            <a:alpha val="50195"/>
          </a:srgbClr>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27</xdr:row>
      <xdr:rowOff>123825</xdr:rowOff>
    </xdr:from>
    <xdr:to>
      <xdr:col>2</xdr:col>
      <xdr:colOff>0</xdr:colOff>
      <xdr:row>27</xdr:row>
      <xdr:rowOff>371475</xdr:rowOff>
    </xdr:to>
    <xdr:sp macro="" textlink="">
      <xdr:nvSpPr>
        <xdr:cNvPr id="199965" name="AutoShape 4"/>
        <xdr:cNvSpPr>
          <a:spLocks noChangeArrowheads="1"/>
        </xdr:cNvSpPr>
      </xdr:nvSpPr>
      <xdr:spPr bwMode="auto">
        <a:xfrm>
          <a:off x="1704975" y="5972175"/>
          <a:ext cx="0" cy="3810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28</xdr:row>
      <xdr:rowOff>0</xdr:rowOff>
    </xdr:from>
    <xdr:to>
      <xdr:col>2</xdr:col>
      <xdr:colOff>0</xdr:colOff>
      <xdr:row>28</xdr:row>
      <xdr:rowOff>0</xdr:rowOff>
    </xdr:to>
    <xdr:sp macro="" textlink="">
      <xdr:nvSpPr>
        <xdr:cNvPr id="199966" name="AutoShape 29"/>
        <xdr:cNvSpPr>
          <a:spLocks noChangeArrowheads="1"/>
        </xdr:cNvSpPr>
      </xdr:nvSpPr>
      <xdr:spPr bwMode="auto">
        <a:xfrm>
          <a:off x="1704975" y="6010275"/>
          <a:ext cx="0" cy="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27</xdr:row>
      <xdr:rowOff>76200</xdr:rowOff>
    </xdr:from>
    <xdr:to>
      <xdr:col>2</xdr:col>
      <xdr:colOff>0</xdr:colOff>
      <xdr:row>27</xdr:row>
      <xdr:rowOff>390525</xdr:rowOff>
    </xdr:to>
    <xdr:sp macro="" textlink="">
      <xdr:nvSpPr>
        <xdr:cNvPr id="199967" name="AutoShape 32"/>
        <xdr:cNvSpPr>
          <a:spLocks noChangeArrowheads="1"/>
        </xdr:cNvSpPr>
      </xdr:nvSpPr>
      <xdr:spPr bwMode="auto">
        <a:xfrm>
          <a:off x="1704975" y="5924550"/>
          <a:ext cx="0" cy="857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28</xdr:row>
      <xdr:rowOff>0</xdr:rowOff>
    </xdr:from>
    <xdr:to>
      <xdr:col>2</xdr:col>
      <xdr:colOff>0</xdr:colOff>
      <xdr:row>28</xdr:row>
      <xdr:rowOff>0</xdr:rowOff>
    </xdr:to>
    <xdr:sp macro="" textlink="">
      <xdr:nvSpPr>
        <xdr:cNvPr id="199968" name="AutoShape 33"/>
        <xdr:cNvSpPr>
          <a:spLocks noChangeArrowheads="1"/>
        </xdr:cNvSpPr>
      </xdr:nvSpPr>
      <xdr:spPr bwMode="auto">
        <a:xfrm>
          <a:off x="1704975" y="6010275"/>
          <a:ext cx="0" cy="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27</xdr:row>
      <xdr:rowOff>76200</xdr:rowOff>
    </xdr:from>
    <xdr:to>
      <xdr:col>2</xdr:col>
      <xdr:colOff>0</xdr:colOff>
      <xdr:row>27</xdr:row>
      <xdr:rowOff>390525</xdr:rowOff>
    </xdr:to>
    <xdr:sp macro="" textlink="">
      <xdr:nvSpPr>
        <xdr:cNvPr id="199969" name="AutoShape 34"/>
        <xdr:cNvSpPr>
          <a:spLocks noChangeArrowheads="1"/>
        </xdr:cNvSpPr>
      </xdr:nvSpPr>
      <xdr:spPr bwMode="auto">
        <a:xfrm>
          <a:off x="1704975" y="5924550"/>
          <a:ext cx="0" cy="857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28</xdr:row>
      <xdr:rowOff>0</xdr:rowOff>
    </xdr:from>
    <xdr:to>
      <xdr:col>2</xdr:col>
      <xdr:colOff>0</xdr:colOff>
      <xdr:row>28</xdr:row>
      <xdr:rowOff>0</xdr:rowOff>
    </xdr:to>
    <xdr:sp macro="" textlink="">
      <xdr:nvSpPr>
        <xdr:cNvPr id="199970" name="AutoShape 35"/>
        <xdr:cNvSpPr>
          <a:spLocks noChangeArrowheads="1"/>
        </xdr:cNvSpPr>
      </xdr:nvSpPr>
      <xdr:spPr bwMode="auto">
        <a:xfrm>
          <a:off x="1704975" y="6010275"/>
          <a:ext cx="0" cy="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27</xdr:row>
      <xdr:rowOff>123825</xdr:rowOff>
    </xdr:from>
    <xdr:to>
      <xdr:col>2</xdr:col>
      <xdr:colOff>0</xdr:colOff>
      <xdr:row>27</xdr:row>
      <xdr:rowOff>371475</xdr:rowOff>
    </xdr:to>
    <xdr:sp macro="" textlink="">
      <xdr:nvSpPr>
        <xdr:cNvPr id="199971" name="AutoShape 4"/>
        <xdr:cNvSpPr>
          <a:spLocks noChangeArrowheads="1"/>
        </xdr:cNvSpPr>
      </xdr:nvSpPr>
      <xdr:spPr bwMode="auto">
        <a:xfrm>
          <a:off x="1704975" y="5972175"/>
          <a:ext cx="0" cy="3810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28</xdr:row>
      <xdr:rowOff>0</xdr:rowOff>
    </xdr:from>
    <xdr:to>
      <xdr:col>2</xdr:col>
      <xdr:colOff>0</xdr:colOff>
      <xdr:row>28</xdr:row>
      <xdr:rowOff>0</xdr:rowOff>
    </xdr:to>
    <xdr:sp macro="" textlink="">
      <xdr:nvSpPr>
        <xdr:cNvPr id="199972" name="AutoShape 29"/>
        <xdr:cNvSpPr>
          <a:spLocks noChangeArrowheads="1"/>
        </xdr:cNvSpPr>
      </xdr:nvSpPr>
      <xdr:spPr bwMode="auto">
        <a:xfrm>
          <a:off x="1704975" y="6010275"/>
          <a:ext cx="0" cy="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27</xdr:row>
      <xdr:rowOff>76200</xdr:rowOff>
    </xdr:from>
    <xdr:to>
      <xdr:col>2</xdr:col>
      <xdr:colOff>0</xdr:colOff>
      <xdr:row>27</xdr:row>
      <xdr:rowOff>390525</xdr:rowOff>
    </xdr:to>
    <xdr:sp macro="" textlink="">
      <xdr:nvSpPr>
        <xdr:cNvPr id="199973" name="AutoShape 32"/>
        <xdr:cNvSpPr>
          <a:spLocks noChangeArrowheads="1"/>
        </xdr:cNvSpPr>
      </xdr:nvSpPr>
      <xdr:spPr bwMode="auto">
        <a:xfrm>
          <a:off x="1704975" y="5924550"/>
          <a:ext cx="0" cy="857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28</xdr:row>
      <xdr:rowOff>0</xdr:rowOff>
    </xdr:from>
    <xdr:to>
      <xdr:col>2</xdr:col>
      <xdr:colOff>0</xdr:colOff>
      <xdr:row>28</xdr:row>
      <xdr:rowOff>0</xdr:rowOff>
    </xdr:to>
    <xdr:sp macro="" textlink="">
      <xdr:nvSpPr>
        <xdr:cNvPr id="199974" name="AutoShape 33"/>
        <xdr:cNvSpPr>
          <a:spLocks noChangeArrowheads="1"/>
        </xdr:cNvSpPr>
      </xdr:nvSpPr>
      <xdr:spPr bwMode="auto">
        <a:xfrm>
          <a:off x="1704975" y="6010275"/>
          <a:ext cx="0" cy="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27</xdr:row>
      <xdr:rowOff>76200</xdr:rowOff>
    </xdr:from>
    <xdr:to>
      <xdr:col>2</xdr:col>
      <xdr:colOff>0</xdr:colOff>
      <xdr:row>27</xdr:row>
      <xdr:rowOff>390525</xdr:rowOff>
    </xdr:to>
    <xdr:sp macro="" textlink="">
      <xdr:nvSpPr>
        <xdr:cNvPr id="199975" name="AutoShape 34"/>
        <xdr:cNvSpPr>
          <a:spLocks noChangeArrowheads="1"/>
        </xdr:cNvSpPr>
      </xdr:nvSpPr>
      <xdr:spPr bwMode="auto">
        <a:xfrm>
          <a:off x="1704975" y="5924550"/>
          <a:ext cx="0" cy="857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28</xdr:row>
      <xdr:rowOff>0</xdr:rowOff>
    </xdr:from>
    <xdr:to>
      <xdr:col>2</xdr:col>
      <xdr:colOff>0</xdr:colOff>
      <xdr:row>28</xdr:row>
      <xdr:rowOff>0</xdr:rowOff>
    </xdr:to>
    <xdr:sp macro="" textlink="">
      <xdr:nvSpPr>
        <xdr:cNvPr id="199976" name="AutoShape 35"/>
        <xdr:cNvSpPr>
          <a:spLocks noChangeArrowheads="1"/>
        </xdr:cNvSpPr>
      </xdr:nvSpPr>
      <xdr:spPr bwMode="auto">
        <a:xfrm>
          <a:off x="1704975" y="6010275"/>
          <a:ext cx="0" cy="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571500</xdr:colOff>
      <xdr:row>30</xdr:row>
      <xdr:rowOff>0</xdr:rowOff>
    </xdr:from>
    <xdr:to>
      <xdr:col>3</xdr:col>
      <xdr:colOff>571500</xdr:colOff>
      <xdr:row>30</xdr:row>
      <xdr:rowOff>0</xdr:rowOff>
    </xdr:to>
    <xdr:sp macro="" textlink="">
      <xdr:nvSpPr>
        <xdr:cNvPr id="199977" name="Line 42"/>
        <xdr:cNvSpPr>
          <a:spLocks noChangeShapeType="1"/>
        </xdr:cNvSpPr>
      </xdr:nvSpPr>
      <xdr:spPr bwMode="auto">
        <a:xfrm flipH="1" flipV="1">
          <a:off x="4752975" y="6867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542925</xdr:colOff>
      <xdr:row>30</xdr:row>
      <xdr:rowOff>0</xdr:rowOff>
    </xdr:from>
    <xdr:to>
      <xdr:col>4</xdr:col>
      <xdr:colOff>542925</xdr:colOff>
      <xdr:row>30</xdr:row>
      <xdr:rowOff>0</xdr:rowOff>
    </xdr:to>
    <xdr:sp macro="" textlink="">
      <xdr:nvSpPr>
        <xdr:cNvPr id="199979" name="Line 42"/>
        <xdr:cNvSpPr>
          <a:spLocks noChangeShapeType="1"/>
        </xdr:cNvSpPr>
      </xdr:nvSpPr>
      <xdr:spPr bwMode="auto">
        <a:xfrm flipH="1" flipV="1">
          <a:off x="5829300" y="6867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542925</xdr:colOff>
      <xdr:row>32</xdr:row>
      <xdr:rowOff>0</xdr:rowOff>
    </xdr:from>
    <xdr:to>
      <xdr:col>5</xdr:col>
      <xdr:colOff>542925</xdr:colOff>
      <xdr:row>32</xdr:row>
      <xdr:rowOff>0</xdr:rowOff>
    </xdr:to>
    <xdr:sp macro="" textlink="">
      <xdr:nvSpPr>
        <xdr:cNvPr id="199980" name="Line 42"/>
        <xdr:cNvSpPr>
          <a:spLocks noChangeShapeType="1"/>
        </xdr:cNvSpPr>
      </xdr:nvSpPr>
      <xdr:spPr bwMode="auto">
        <a:xfrm flipH="1" flipV="1">
          <a:off x="6934200" y="7191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581025</xdr:colOff>
      <xdr:row>32</xdr:row>
      <xdr:rowOff>0</xdr:rowOff>
    </xdr:from>
    <xdr:to>
      <xdr:col>6</xdr:col>
      <xdr:colOff>581025</xdr:colOff>
      <xdr:row>32</xdr:row>
      <xdr:rowOff>0</xdr:rowOff>
    </xdr:to>
    <xdr:sp macro="" textlink="">
      <xdr:nvSpPr>
        <xdr:cNvPr id="199981" name="Line 42"/>
        <xdr:cNvSpPr>
          <a:spLocks noChangeShapeType="1"/>
        </xdr:cNvSpPr>
      </xdr:nvSpPr>
      <xdr:spPr bwMode="auto">
        <a:xfrm flipH="1" flipV="1">
          <a:off x="8077200" y="7191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542925</xdr:colOff>
      <xdr:row>32</xdr:row>
      <xdr:rowOff>0</xdr:rowOff>
    </xdr:from>
    <xdr:to>
      <xdr:col>7</xdr:col>
      <xdr:colOff>542925</xdr:colOff>
      <xdr:row>32</xdr:row>
      <xdr:rowOff>0</xdr:rowOff>
    </xdr:to>
    <xdr:sp macro="" textlink="">
      <xdr:nvSpPr>
        <xdr:cNvPr id="199982" name="Line 42"/>
        <xdr:cNvSpPr>
          <a:spLocks noChangeShapeType="1"/>
        </xdr:cNvSpPr>
      </xdr:nvSpPr>
      <xdr:spPr bwMode="auto">
        <a:xfrm flipH="1" flipV="1">
          <a:off x="9229725" y="7191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533400</xdr:colOff>
      <xdr:row>32</xdr:row>
      <xdr:rowOff>0</xdr:rowOff>
    </xdr:from>
    <xdr:to>
      <xdr:col>8</xdr:col>
      <xdr:colOff>533400</xdr:colOff>
      <xdr:row>32</xdr:row>
      <xdr:rowOff>0</xdr:rowOff>
    </xdr:to>
    <xdr:sp macro="" textlink="">
      <xdr:nvSpPr>
        <xdr:cNvPr id="199983" name="Line 42"/>
        <xdr:cNvSpPr>
          <a:spLocks noChangeShapeType="1"/>
        </xdr:cNvSpPr>
      </xdr:nvSpPr>
      <xdr:spPr bwMode="auto">
        <a:xfrm flipH="1" flipV="1">
          <a:off x="10315575" y="7191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561975</xdr:colOff>
      <xdr:row>32</xdr:row>
      <xdr:rowOff>0</xdr:rowOff>
    </xdr:from>
    <xdr:to>
      <xdr:col>9</xdr:col>
      <xdr:colOff>561975</xdr:colOff>
      <xdr:row>32</xdr:row>
      <xdr:rowOff>0</xdr:rowOff>
    </xdr:to>
    <xdr:sp macro="" textlink="">
      <xdr:nvSpPr>
        <xdr:cNvPr id="199984" name="Line 42"/>
        <xdr:cNvSpPr>
          <a:spLocks noChangeShapeType="1"/>
        </xdr:cNvSpPr>
      </xdr:nvSpPr>
      <xdr:spPr bwMode="auto">
        <a:xfrm flipH="1" flipV="1">
          <a:off x="11439525" y="7191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542925</xdr:colOff>
      <xdr:row>32</xdr:row>
      <xdr:rowOff>0</xdr:rowOff>
    </xdr:from>
    <xdr:to>
      <xdr:col>10</xdr:col>
      <xdr:colOff>542925</xdr:colOff>
      <xdr:row>32</xdr:row>
      <xdr:rowOff>0</xdr:rowOff>
    </xdr:to>
    <xdr:sp macro="" textlink="">
      <xdr:nvSpPr>
        <xdr:cNvPr id="199985" name="Line 42"/>
        <xdr:cNvSpPr>
          <a:spLocks noChangeShapeType="1"/>
        </xdr:cNvSpPr>
      </xdr:nvSpPr>
      <xdr:spPr bwMode="auto">
        <a:xfrm flipH="1" flipV="1">
          <a:off x="12515850" y="7191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542925</xdr:colOff>
      <xdr:row>32</xdr:row>
      <xdr:rowOff>0</xdr:rowOff>
    </xdr:from>
    <xdr:to>
      <xdr:col>11</xdr:col>
      <xdr:colOff>542925</xdr:colOff>
      <xdr:row>32</xdr:row>
      <xdr:rowOff>0</xdr:rowOff>
    </xdr:to>
    <xdr:sp macro="" textlink="">
      <xdr:nvSpPr>
        <xdr:cNvPr id="199986" name="Line 42"/>
        <xdr:cNvSpPr>
          <a:spLocks noChangeShapeType="1"/>
        </xdr:cNvSpPr>
      </xdr:nvSpPr>
      <xdr:spPr bwMode="auto">
        <a:xfrm flipH="1" flipV="1">
          <a:off x="13611225" y="7191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638175</xdr:colOff>
      <xdr:row>32</xdr:row>
      <xdr:rowOff>0</xdr:rowOff>
    </xdr:from>
    <xdr:to>
      <xdr:col>12</xdr:col>
      <xdr:colOff>638175</xdr:colOff>
      <xdr:row>32</xdr:row>
      <xdr:rowOff>0</xdr:rowOff>
    </xdr:to>
    <xdr:sp macro="" textlink="">
      <xdr:nvSpPr>
        <xdr:cNvPr id="199987" name="Line 42"/>
        <xdr:cNvSpPr>
          <a:spLocks noChangeShapeType="1"/>
        </xdr:cNvSpPr>
      </xdr:nvSpPr>
      <xdr:spPr bwMode="auto">
        <a:xfrm flipH="1" flipV="1">
          <a:off x="14801850" y="7191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676275</xdr:colOff>
      <xdr:row>32</xdr:row>
      <xdr:rowOff>0</xdr:rowOff>
    </xdr:from>
    <xdr:to>
      <xdr:col>13</xdr:col>
      <xdr:colOff>676275</xdr:colOff>
      <xdr:row>32</xdr:row>
      <xdr:rowOff>0</xdr:rowOff>
    </xdr:to>
    <xdr:sp macro="" textlink="">
      <xdr:nvSpPr>
        <xdr:cNvPr id="199988" name="Line 42"/>
        <xdr:cNvSpPr>
          <a:spLocks noChangeShapeType="1"/>
        </xdr:cNvSpPr>
      </xdr:nvSpPr>
      <xdr:spPr bwMode="auto">
        <a:xfrm flipH="1" flipV="1">
          <a:off x="16125825" y="7191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1066800</xdr:colOff>
      <xdr:row>30</xdr:row>
      <xdr:rowOff>0</xdr:rowOff>
    </xdr:from>
    <xdr:to>
      <xdr:col>2</xdr:col>
      <xdr:colOff>1371600</xdr:colOff>
      <xdr:row>30</xdr:row>
      <xdr:rowOff>0</xdr:rowOff>
    </xdr:to>
    <xdr:sp macro="" textlink="">
      <xdr:nvSpPr>
        <xdr:cNvPr id="199991" name="AutoShape 38"/>
        <xdr:cNvSpPr>
          <a:spLocks noChangeArrowheads="1"/>
        </xdr:cNvSpPr>
      </xdr:nvSpPr>
      <xdr:spPr bwMode="auto">
        <a:xfrm rot="5400000">
          <a:off x="2924175" y="6715125"/>
          <a:ext cx="0" cy="30480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1314450</xdr:colOff>
      <xdr:row>28</xdr:row>
      <xdr:rowOff>0</xdr:rowOff>
    </xdr:from>
    <xdr:to>
      <xdr:col>2</xdr:col>
      <xdr:colOff>2457450</xdr:colOff>
      <xdr:row>28</xdr:row>
      <xdr:rowOff>0</xdr:rowOff>
    </xdr:to>
    <xdr:sp macro="" textlink="">
      <xdr:nvSpPr>
        <xdr:cNvPr id="199992" name="AutoShape 39"/>
        <xdr:cNvSpPr>
          <a:spLocks noChangeArrowheads="1"/>
        </xdr:cNvSpPr>
      </xdr:nvSpPr>
      <xdr:spPr bwMode="auto">
        <a:xfrm>
          <a:off x="3019425" y="6010275"/>
          <a:ext cx="1143000" cy="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1314450</xdr:colOff>
      <xdr:row>28</xdr:row>
      <xdr:rowOff>0</xdr:rowOff>
    </xdr:from>
    <xdr:to>
      <xdr:col>2</xdr:col>
      <xdr:colOff>2457450</xdr:colOff>
      <xdr:row>28</xdr:row>
      <xdr:rowOff>0</xdr:rowOff>
    </xdr:to>
    <xdr:sp macro="" textlink="">
      <xdr:nvSpPr>
        <xdr:cNvPr id="199993" name="AutoShape 40"/>
        <xdr:cNvSpPr>
          <a:spLocks noChangeArrowheads="1"/>
        </xdr:cNvSpPr>
      </xdr:nvSpPr>
      <xdr:spPr bwMode="auto">
        <a:xfrm>
          <a:off x="3019425" y="6010275"/>
          <a:ext cx="1143000" cy="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124385</xdr:colOff>
      <xdr:row>0</xdr:row>
      <xdr:rowOff>295275</xdr:rowOff>
    </xdr:from>
    <xdr:to>
      <xdr:col>3</xdr:col>
      <xdr:colOff>314560</xdr:colOff>
      <xdr:row>4</xdr:row>
      <xdr:rowOff>131826</xdr:rowOff>
    </xdr:to>
    <xdr:pic>
      <xdr:nvPicPr>
        <xdr:cNvPr id="39" name="Picture 3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385" y="295275"/>
          <a:ext cx="2431351" cy="789051"/>
        </a:xfrm>
        <a:prstGeom prst="rect">
          <a:avLst/>
        </a:prstGeom>
      </xdr:spPr>
    </xdr:pic>
    <xdr:clientData/>
  </xdr:twoCellAnchor>
  <xdr:twoCellAnchor>
    <xdr:from>
      <xdr:col>1</xdr:col>
      <xdr:colOff>1066800</xdr:colOff>
      <xdr:row>26</xdr:row>
      <xdr:rowOff>0</xdr:rowOff>
    </xdr:from>
    <xdr:to>
      <xdr:col>1</xdr:col>
      <xdr:colOff>1343025</xdr:colOff>
      <xdr:row>26</xdr:row>
      <xdr:rowOff>0</xdr:rowOff>
    </xdr:to>
    <xdr:sp macro="" textlink="">
      <xdr:nvSpPr>
        <xdr:cNvPr id="50" name="AutoShape 10"/>
        <xdr:cNvSpPr>
          <a:spLocks noChangeArrowheads="1"/>
        </xdr:cNvSpPr>
      </xdr:nvSpPr>
      <xdr:spPr bwMode="auto">
        <a:xfrm rot="5400000">
          <a:off x="1681163" y="2652712"/>
          <a:ext cx="0" cy="2762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523875</xdr:colOff>
      <xdr:row>24</xdr:row>
      <xdr:rowOff>552450</xdr:rowOff>
    </xdr:from>
    <xdr:to>
      <xdr:col>5</xdr:col>
      <xdr:colOff>828675</xdr:colOff>
      <xdr:row>24</xdr:row>
      <xdr:rowOff>647700</xdr:rowOff>
    </xdr:to>
    <xdr:sp macro="" textlink="">
      <xdr:nvSpPr>
        <xdr:cNvPr id="51" name="AutoShape 8"/>
        <xdr:cNvSpPr>
          <a:spLocks noChangeArrowheads="1"/>
        </xdr:cNvSpPr>
      </xdr:nvSpPr>
      <xdr:spPr bwMode="auto">
        <a:xfrm rot="5400000">
          <a:off x="6553200" y="2314575"/>
          <a:ext cx="0" cy="30480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523875</xdr:colOff>
      <xdr:row>24</xdr:row>
      <xdr:rowOff>0</xdr:rowOff>
    </xdr:from>
    <xdr:to>
      <xdr:col>7</xdr:col>
      <xdr:colOff>828675</xdr:colOff>
      <xdr:row>24</xdr:row>
      <xdr:rowOff>0</xdr:rowOff>
    </xdr:to>
    <xdr:sp macro="" textlink="">
      <xdr:nvSpPr>
        <xdr:cNvPr id="52" name="AutoShape 8"/>
        <xdr:cNvSpPr>
          <a:spLocks noChangeArrowheads="1"/>
        </xdr:cNvSpPr>
      </xdr:nvSpPr>
      <xdr:spPr bwMode="auto">
        <a:xfrm rot="5400000">
          <a:off x="9886950" y="1990725"/>
          <a:ext cx="0" cy="30480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1066800</xdr:colOff>
      <xdr:row>24</xdr:row>
      <xdr:rowOff>552450</xdr:rowOff>
    </xdr:from>
    <xdr:to>
      <xdr:col>7</xdr:col>
      <xdr:colOff>1343025</xdr:colOff>
      <xdr:row>24</xdr:row>
      <xdr:rowOff>647700</xdr:rowOff>
    </xdr:to>
    <xdr:sp macro="" textlink="">
      <xdr:nvSpPr>
        <xdr:cNvPr id="53" name="AutoShape 10"/>
        <xdr:cNvSpPr>
          <a:spLocks noChangeArrowheads="1"/>
        </xdr:cNvSpPr>
      </xdr:nvSpPr>
      <xdr:spPr bwMode="auto">
        <a:xfrm rot="5400000">
          <a:off x="10415588" y="2328862"/>
          <a:ext cx="0" cy="2762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523875</xdr:colOff>
      <xdr:row>24</xdr:row>
      <xdr:rowOff>0</xdr:rowOff>
    </xdr:from>
    <xdr:to>
      <xdr:col>7</xdr:col>
      <xdr:colOff>828675</xdr:colOff>
      <xdr:row>24</xdr:row>
      <xdr:rowOff>0</xdr:rowOff>
    </xdr:to>
    <xdr:sp macro="" textlink="">
      <xdr:nvSpPr>
        <xdr:cNvPr id="47" name="AutoShape 8"/>
        <xdr:cNvSpPr>
          <a:spLocks noChangeArrowheads="1"/>
        </xdr:cNvSpPr>
      </xdr:nvSpPr>
      <xdr:spPr bwMode="auto">
        <a:xfrm rot="5400000">
          <a:off x="9429750" y="6010275"/>
          <a:ext cx="0" cy="30480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1643028</xdr:colOff>
      <xdr:row>24</xdr:row>
      <xdr:rowOff>155039</xdr:rowOff>
    </xdr:from>
    <xdr:to>
      <xdr:col>1</xdr:col>
      <xdr:colOff>1762574</xdr:colOff>
      <xdr:row>24</xdr:row>
      <xdr:rowOff>251815</xdr:rowOff>
    </xdr:to>
    <xdr:sp macro="" textlink="">
      <xdr:nvSpPr>
        <xdr:cNvPr id="49" name="Isosceles Triangle 48"/>
        <xdr:cNvSpPr>
          <a:spLocks noChangeAspect="1"/>
        </xdr:cNvSpPr>
      </xdr:nvSpPr>
      <xdr:spPr>
        <a:xfrm rot="10800000">
          <a:off x="2119278" y="6322477"/>
          <a:ext cx="119546" cy="96776"/>
        </a:xfrm>
        <a:prstGeom prst="triangle">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lientData/>
  </xdr:twoCellAnchor>
  <xdr:twoCellAnchor>
    <xdr:from>
      <xdr:col>3</xdr:col>
      <xdr:colOff>2913424</xdr:colOff>
      <xdr:row>24</xdr:row>
      <xdr:rowOff>155039</xdr:rowOff>
    </xdr:from>
    <xdr:to>
      <xdr:col>3</xdr:col>
      <xdr:colOff>3032970</xdr:colOff>
      <xdr:row>24</xdr:row>
      <xdr:rowOff>251815</xdr:rowOff>
    </xdr:to>
    <xdr:sp macro="" textlink="">
      <xdr:nvSpPr>
        <xdr:cNvPr id="57" name="Isosceles Triangle 56"/>
        <xdr:cNvSpPr>
          <a:spLocks noChangeAspect="1"/>
        </xdr:cNvSpPr>
      </xdr:nvSpPr>
      <xdr:spPr>
        <a:xfrm rot="10800000">
          <a:off x="5378018" y="6322477"/>
          <a:ext cx="119546" cy="96776"/>
        </a:xfrm>
        <a:prstGeom prst="triangle">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lientData/>
  </xdr:twoCellAnchor>
  <xdr:twoCellAnchor>
    <xdr:from>
      <xdr:col>5</xdr:col>
      <xdr:colOff>2639586</xdr:colOff>
      <xdr:row>24</xdr:row>
      <xdr:rowOff>155039</xdr:rowOff>
    </xdr:from>
    <xdr:to>
      <xdr:col>5</xdr:col>
      <xdr:colOff>2759132</xdr:colOff>
      <xdr:row>24</xdr:row>
      <xdr:rowOff>251815</xdr:rowOff>
    </xdr:to>
    <xdr:sp macro="" textlink="">
      <xdr:nvSpPr>
        <xdr:cNvPr id="59" name="Isosceles Triangle 58"/>
        <xdr:cNvSpPr>
          <a:spLocks noChangeAspect="1"/>
        </xdr:cNvSpPr>
      </xdr:nvSpPr>
      <xdr:spPr>
        <a:xfrm rot="10800000">
          <a:off x="8354586" y="6322477"/>
          <a:ext cx="119546" cy="96776"/>
        </a:xfrm>
        <a:prstGeom prst="triangle">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lientData/>
  </xdr:twoCellAnchor>
  <xdr:twoCellAnchor>
    <xdr:from>
      <xdr:col>7</xdr:col>
      <xdr:colOff>3034694</xdr:colOff>
      <xdr:row>24</xdr:row>
      <xdr:rowOff>154778</xdr:rowOff>
    </xdr:from>
    <xdr:to>
      <xdr:col>7</xdr:col>
      <xdr:colOff>3154240</xdr:colOff>
      <xdr:row>24</xdr:row>
      <xdr:rowOff>251554</xdr:rowOff>
    </xdr:to>
    <xdr:sp macro="" textlink="">
      <xdr:nvSpPr>
        <xdr:cNvPr id="60" name="Isosceles Triangle 59"/>
        <xdr:cNvSpPr>
          <a:spLocks noChangeAspect="1"/>
        </xdr:cNvSpPr>
      </xdr:nvSpPr>
      <xdr:spPr>
        <a:xfrm rot="10800000">
          <a:off x="11773882" y="6322216"/>
          <a:ext cx="119546" cy="96776"/>
        </a:xfrm>
        <a:prstGeom prst="triangle">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2</xdr:col>
      <xdr:colOff>15194</xdr:colOff>
      <xdr:row>25</xdr:row>
      <xdr:rowOff>173831</xdr:rowOff>
    </xdr:from>
    <xdr:to>
      <xdr:col>2</xdr:col>
      <xdr:colOff>172379</xdr:colOff>
      <xdr:row>26</xdr:row>
      <xdr:rowOff>11928</xdr:rowOff>
    </xdr:to>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12400" y="6639625"/>
          <a:ext cx="157185" cy="163068"/>
        </a:xfrm>
        <a:prstGeom prst="rect">
          <a:avLst/>
        </a:prstGeom>
      </xdr:spPr>
    </xdr:pic>
    <xdr:clientData/>
  </xdr:twoCellAnchor>
  <xdr:twoCellAnchor editAs="oneCell">
    <xdr:from>
      <xdr:col>4</xdr:col>
      <xdr:colOff>15755</xdr:colOff>
      <xdr:row>25</xdr:row>
      <xdr:rowOff>173830</xdr:rowOff>
    </xdr:from>
    <xdr:to>
      <xdr:col>4</xdr:col>
      <xdr:colOff>168177</xdr:colOff>
      <xdr:row>26</xdr:row>
      <xdr:rowOff>11927</xdr:rowOff>
    </xdr:to>
    <xdr:pic>
      <xdr:nvPicPr>
        <xdr:cNvPr id="62" name="Picture 6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73873" y="6639624"/>
          <a:ext cx="152422" cy="163068"/>
        </a:xfrm>
        <a:prstGeom prst="rect">
          <a:avLst/>
        </a:prstGeom>
      </xdr:spPr>
    </xdr:pic>
    <xdr:clientData/>
  </xdr:twoCellAnchor>
  <xdr:twoCellAnchor editAs="oneCell">
    <xdr:from>
      <xdr:col>8</xdr:col>
      <xdr:colOff>12954</xdr:colOff>
      <xdr:row>25</xdr:row>
      <xdr:rowOff>173829</xdr:rowOff>
    </xdr:from>
    <xdr:to>
      <xdr:col>8</xdr:col>
      <xdr:colOff>165376</xdr:colOff>
      <xdr:row>26</xdr:row>
      <xdr:rowOff>11926</xdr:rowOff>
    </xdr:to>
    <xdr:pic>
      <xdr:nvPicPr>
        <xdr:cNvPr id="63" name="Picture 6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992042" y="6639623"/>
          <a:ext cx="152422" cy="163068"/>
        </a:xfrm>
        <a:prstGeom prst="rect">
          <a:avLst/>
        </a:prstGeom>
      </xdr:spPr>
    </xdr:pic>
    <xdr:clientData/>
  </xdr:twoCellAnchor>
  <xdr:twoCellAnchor editAs="oneCell">
    <xdr:from>
      <xdr:col>6</xdr:col>
      <xdr:colOff>11273</xdr:colOff>
      <xdr:row>25</xdr:row>
      <xdr:rowOff>173829</xdr:rowOff>
    </xdr:from>
    <xdr:to>
      <xdr:col>6</xdr:col>
      <xdr:colOff>166077</xdr:colOff>
      <xdr:row>26</xdr:row>
      <xdr:rowOff>11926</xdr:rowOff>
    </xdr:to>
    <xdr:pic>
      <xdr:nvPicPr>
        <xdr:cNvPr id="64" name="Picture 6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94979" y="6639623"/>
          <a:ext cx="154804" cy="163068"/>
        </a:xfrm>
        <a:prstGeom prst="rect">
          <a:avLst/>
        </a:prstGeom>
      </xdr:spPr>
    </xdr:pic>
    <xdr:clientData/>
  </xdr:twoCellAnchor>
  <xdr:twoCellAnchor>
    <xdr:from>
      <xdr:col>3</xdr:col>
      <xdr:colOff>1066800</xdr:colOff>
      <xdr:row>26</xdr:row>
      <xdr:rowOff>0</xdr:rowOff>
    </xdr:from>
    <xdr:to>
      <xdr:col>3</xdr:col>
      <xdr:colOff>1343025</xdr:colOff>
      <xdr:row>26</xdr:row>
      <xdr:rowOff>0</xdr:rowOff>
    </xdr:to>
    <xdr:sp macro="" textlink="">
      <xdr:nvSpPr>
        <xdr:cNvPr id="65" name="AutoShape 10"/>
        <xdr:cNvSpPr>
          <a:spLocks noChangeArrowheads="1"/>
        </xdr:cNvSpPr>
      </xdr:nvSpPr>
      <xdr:spPr bwMode="auto">
        <a:xfrm rot="5400000">
          <a:off x="1681163" y="6672262"/>
          <a:ext cx="0" cy="2762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1066800</xdr:colOff>
      <xdr:row>26</xdr:row>
      <xdr:rowOff>0</xdr:rowOff>
    </xdr:from>
    <xdr:to>
      <xdr:col>5</xdr:col>
      <xdr:colOff>1343025</xdr:colOff>
      <xdr:row>26</xdr:row>
      <xdr:rowOff>0</xdr:rowOff>
    </xdr:to>
    <xdr:sp macro="" textlink="">
      <xdr:nvSpPr>
        <xdr:cNvPr id="67" name="AutoShape 10"/>
        <xdr:cNvSpPr>
          <a:spLocks noChangeArrowheads="1"/>
        </xdr:cNvSpPr>
      </xdr:nvSpPr>
      <xdr:spPr bwMode="auto">
        <a:xfrm rot="5400000">
          <a:off x="1681163" y="6672262"/>
          <a:ext cx="0" cy="2762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1066800</xdr:colOff>
      <xdr:row>26</xdr:row>
      <xdr:rowOff>0</xdr:rowOff>
    </xdr:from>
    <xdr:to>
      <xdr:col>7</xdr:col>
      <xdr:colOff>1343025</xdr:colOff>
      <xdr:row>26</xdr:row>
      <xdr:rowOff>0</xdr:rowOff>
    </xdr:to>
    <xdr:sp macro="" textlink="">
      <xdr:nvSpPr>
        <xdr:cNvPr id="69" name="AutoShape 10"/>
        <xdr:cNvSpPr>
          <a:spLocks noChangeArrowheads="1"/>
        </xdr:cNvSpPr>
      </xdr:nvSpPr>
      <xdr:spPr bwMode="auto">
        <a:xfrm rot="5400000">
          <a:off x="1681163" y="6672262"/>
          <a:ext cx="0" cy="2762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8</xdr:col>
      <xdr:colOff>381001</xdr:colOff>
      <xdr:row>24</xdr:row>
      <xdr:rowOff>100853</xdr:rowOff>
    </xdr:from>
    <xdr:ext cx="1273969" cy="477730"/>
    <xdr:sp macro="" textlink="">
      <xdr:nvSpPr>
        <xdr:cNvPr id="54" name="Text Box 44"/>
        <xdr:cNvSpPr txBox="1">
          <a:spLocks noChangeArrowheads="1"/>
        </xdr:cNvSpPr>
      </xdr:nvSpPr>
      <xdr:spPr bwMode="auto">
        <a:xfrm>
          <a:off x="12360089" y="6264088"/>
          <a:ext cx="1273969" cy="477730"/>
        </a:xfrm>
        <a:prstGeom prst="rect">
          <a:avLst/>
        </a:prstGeom>
        <a:solidFill>
          <a:srgbClr val="FFFFFF"/>
        </a:solidFill>
        <a:ln w="9525">
          <a:solidFill>
            <a:srgbClr val="005090"/>
          </a:solidFill>
          <a:prstDash val="sysDash"/>
          <a:miter lim="800000"/>
          <a:headEnd/>
          <a:tailEnd/>
        </a:ln>
      </xdr:spPr>
      <xdr:txBody>
        <a:bodyPr vertOverflow="clip" wrap="square" lIns="76200" tIns="76200" rIns="76200" bIns="75600" anchor="ctr" anchorCtr="0" upright="1">
          <a:spAutoFit/>
        </a:bodyPr>
        <a:lstStyle/>
        <a:p>
          <a:pPr algn="l" rtl="0">
            <a:defRPr sz="1000"/>
          </a:pPr>
          <a:r>
            <a:rPr lang="en-GB" sz="1100" b="1" i="1" u="none" strike="noStrike" baseline="0">
              <a:solidFill>
                <a:srgbClr val="005090"/>
              </a:solidFill>
              <a:latin typeface="Arial"/>
              <a:cs typeface="Arial"/>
            </a:rPr>
            <a:t>Choose from the dropdown boxes</a:t>
          </a:r>
        </a:p>
      </xdr:txBody>
    </xdr:sp>
    <xdr:clientData/>
  </xdr:oneCellAnchor>
  <xdr:twoCellAnchor>
    <xdr:from>
      <xdr:col>1</xdr:col>
      <xdr:colOff>0</xdr:colOff>
      <xdr:row>27</xdr:row>
      <xdr:rowOff>11205</xdr:rowOff>
    </xdr:from>
    <xdr:to>
      <xdr:col>8</xdr:col>
      <xdr:colOff>58765</xdr:colOff>
      <xdr:row>38</xdr:row>
      <xdr:rowOff>404362</xdr:rowOff>
    </xdr:to>
    <xdr:grpSp>
      <xdr:nvGrpSpPr>
        <xdr:cNvPr id="7" name="Group 6"/>
        <xdr:cNvGrpSpPr/>
      </xdr:nvGrpSpPr>
      <xdr:grpSpPr>
        <a:xfrm>
          <a:off x="246529" y="7014881"/>
          <a:ext cx="11556001" cy="5312540"/>
          <a:chOff x="481853" y="7205381"/>
          <a:chExt cx="11556000" cy="5312540"/>
        </a:xfrm>
      </xdr:grpSpPr>
      <xdr:pic>
        <xdr:nvPicPr>
          <xdr:cNvPr id="55" name="Picture 5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1853" y="7205381"/>
            <a:ext cx="11556000" cy="53125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4" name="Text Box 44"/>
          <xdr:cNvSpPr txBox="1">
            <a:spLocks noChangeArrowheads="1"/>
          </xdr:cNvSpPr>
        </xdr:nvSpPr>
        <xdr:spPr bwMode="auto">
          <a:xfrm>
            <a:off x="5584563" y="7624164"/>
            <a:ext cx="2740819" cy="639954"/>
          </a:xfrm>
          <a:prstGeom prst="rect">
            <a:avLst/>
          </a:prstGeom>
          <a:solidFill>
            <a:srgbClr val="FFFFFF"/>
          </a:solidFill>
          <a:ln w="9525">
            <a:solidFill>
              <a:srgbClr val="005090"/>
            </a:solidFill>
            <a:prstDash val="sysDash"/>
            <a:miter lim="800000"/>
            <a:headEnd/>
            <a:tailEnd/>
          </a:ln>
        </xdr:spPr>
        <xdr:txBody>
          <a:bodyPr vertOverflow="clip" wrap="square" lIns="76200" tIns="76200" rIns="76200" bIns="75600" anchor="ctr" anchorCtr="0" upright="1">
            <a:spAutoFit/>
          </a:bodyPr>
          <a:lstStyle/>
          <a:p>
            <a:pPr algn="l" rtl="0">
              <a:defRPr sz="1000"/>
            </a:pPr>
            <a:r>
              <a:rPr lang="en-GB" sz="1100" b="1" i="1" u="none" strike="noStrike" baseline="0">
                <a:solidFill>
                  <a:srgbClr val="005090"/>
                </a:solidFill>
                <a:latin typeface="Arial"/>
                <a:cs typeface="Arial"/>
              </a:rPr>
              <a:t>One marker plotted for each provider with 30 or more modelled records for the chosen procedure and measure</a:t>
            </a:r>
          </a:p>
        </xdr:txBody>
      </xdr:sp>
      <xdr:cxnSp macro="">
        <xdr:nvCxnSpPr>
          <xdr:cNvPr id="77" name="Straight Arrow Connector 76"/>
          <xdr:cNvCxnSpPr/>
        </xdr:nvCxnSpPr>
        <xdr:spPr>
          <a:xfrm flipH="1">
            <a:off x="3406588" y="8244509"/>
            <a:ext cx="2158856" cy="720197"/>
          </a:xfrm>
          <a:prstGeom prst="straightConnector1">
            <a:avLst/>
          </a:prstGeom>
          <a:ln w="12700">
            <a:solidFill>
              <a:schemeClr val="tx1"/>
            </a:solidFill>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79" name="Straight Arrow Connector 78"/>
          <xdr:cNvCxnSpPr/>
        </xdr:nvCxnSpPr>
        <xdr:spPr>
          <a:xfrm flipH="1">
            <a:off x="4247029" y="8244509"/>
            <a:ext cx="1318415" cy="1123609"/>
          </a:xfrm>
          <a:prstGeom prst="straightConnector1">
            <a:avLst/>
          </a:prstGeom>
          <a:ln w="12700">
            <a:solidFill>
              <a:schemeClr val="tx1"/>
            </a:solidFill>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75" name="Text Box 44"/>
          <xdr:cNvSpPr txBox="1">
            <a:spLocks noChangeArrowheads="1"/>
          </xdr:cNvSpPr>
        </xdr:nvSpPr>
        <xdr:spPr bwMode="auto">
          <a:xfrm>
            <a:off x="6153682" y="10505492"/>
            <a:ext cx="2159793" cy="477730"/>
          </a:xfrm>
          <a:prstGeom prst="rect">
            <a:avLst/>
          </a:prstGeom>
          <a:solidFill>
            <a:srgbClr val="FFFFFF"/>
          </a:solidFill>
          <a:ln w="9525">
            <a:solidFill>
              <a:srgbClr val="005090"/>
            </a:solidFill>
            <a:prstDash val="sysDash"/>
            <a:miter lim="800000"/>
            <a:headEnd/>
            <a:tailEnd/>
          </a:ln>
        </xdr:spPr>
        <xdr:txBody>
          <a:bodyPr vertOverflow="clip" wrap="square" lIns="76200" tIns="76200" rIns="76200" bIns="75600" anchor="ctr" anchorCtr="0" upright="1">
            <a:spAutoFit/>
          </a:bodyPr>
          <a:lstStyle/>
          <a:p>
            <a:pPr algn="l" rtl="0">
              <a:defRPr sz="1000"/>
            </a:pPr>
            <a:r>
              <a:rPr lang="en-GB" sz="1100" b="1" i="1" u="none" strike="noStrike" baseline="0">
                <a:solidFill>
                  <a:srgbClr val="005090"/>
                </a:solidFill>
                <a:latin typeface="Arial"/>
                <a:cs typeface="Arial"/>
              </a:rPr>
              <a:t>Selected organisation shown with a larger, orange, marker</a:t>
            </a:r>
          </a:p>
        </xdr:txBody>
      </xdr:sp>
      <xdr:cxnSp macro="">
        <xdr:nvCxnSpPr>
          <xdr:cNvPr id="76" name="Straight Arrow Connector 75"/>
          <xdr:cNvCxnSpPr/>
        </xdr:nvCxnSpPr>
        <xdr:spPr>
          <a:xfrm flipH="1" flipV="1">
            <a:off x="5356412" y="9771529"/>
            <a:ext cx="795618" cy="728385"/>
          </a:xfrm>
          <a:prstGeom prst="straightConnector1">
            <a:avLst/>
          </a:prstGeom>
          <a:ln w="12700">
            <a:solidFill>
              <a:schemeClr val="tx1"/>
            </a:solidFill>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476249</xdr:colOff>
      <xdr:row>12</xdr:row>
      <xdr:rowOff>35720</xdr:rowOff>
    </xdr:from>
    <xdr:to>
      <xdr:col>7</xdr:col>
      <xdr:colOff>5165230</xdr:colOff>
      <xdr:row>23</xdr:row>
      <xdr:rowOff>25295</xdr:rowOff>
    </xdr:to>
    <xdr:graphicFrame macro="">
      <xdr:nvGraphicFramePr>
        <xdr:cNvPr id="2319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116682</xdr:colOff>
      <xdr:row>0</xdr:row>
      <xdr:rowOff>285750</xdr:rowOff>
    </xdr:from>
    <xdr:to>
      <xdr:col>3</xdr:col>
      <xdr:colOff>214408</xdr:colOff>
      <xdr:row>4</xdr:row>
      <xdr:rowOff>122301</xdr:rowOff>
    </xdr:to>
    <xdr:pic>
      <xdr:nvPicPr>
        <xdr:cNvPr id="11" name="Picture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682" y="285750"/>
          <a:ext cx="2419445" cy="789051"/>
        </a:xfrm>
        <a:prstGeom prst="rect">
          <a:avLst/>
        </a:prstGeom>
      </xdr:spPr>
    </xdr:pic>
    <xdr:clientData/>
  </xdr:twoCellAnchor>
  <xdr:twoCellAnchor>
    <xdr:from>
      <xdr:col>5</xdr:col>
      <xdr:colOff>523875</xdr:colOff>
      <xdr:row>9</xdr:row>
      <xdr:rowOff>552450</xdr:rowOff>
    </xdr:from>
    <xdr:to>
      <xdr:col>5</xdr:col>
      <xdr:colOff>828675</xdr:colOff>
      <xdr:row>9</xdr:row>
      <xdr:rowOff>647700</xdr:rowOff>
    </xdr:to>
    <xdr:sp macro="" textlink="">
      <xdr:nvSpPr>
        <xdr:cNvPr id="14" name="AutoShape 8"/>
        <xdr:cNvSpPr>
          <a:spLocks noChangeArrowheads="1"/>
        </xdr:cNvSpPr>
      </xdr:nvSpPr>
      <xdr:spPr bwMode="auto">
        <a:xfrm rot="5400000">
          <a:off x="1152525" y="4231481"/>
          <a:ext cx="0" cy="30480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523875</xdr:colOff>
      <xdr:row>8</xdr:row>
      <xdr:rowOff>552450</xdr:rowOff>
    </xdr:from>
    <xdr:to>
      <xdr:col>7</xdr:col>
      <xdr:colOff>828675</xdr:colOff>
      <xdr:row>8</xdr:row>
      <xdr:rowOff>647700</xdr:rowOff>
    </xdr:to>
    <xdr:sp macro="" textlink="">
      <xdr:nvSpPr>
        <xdr:cNvPr id="15" name="AutoShape 8"/>
        <xdr:cNvSpPr>
          <a:spLocks noChangeArrowheads="1"/>
        </xdr:cNvSpPr>
      </xdr:nvSpPr>
      <xdr:spPr bwMode="auto">
        <a:xfrm rot="5400000">
          <a:off x="1152525" y="4231481"/>
          <a:ext cx="0" cy="30480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1066800</xdr:colOff>
      <xdr:row>9</xdr:row>
      <xdr:rowOff>552450</xdr:rowOff>
    </xdr:from>
    <xdr:to>
      <xdr:col>7</xdr:col>
      <xdr:colOff>1343025</xdr:colOff>
      <xdr:row>9</xdr:row>
      <xdr:rowOff>647700</xdr:rowOff>
    </xdr:to>
    <xdr:sp macro="" textlink="">
      <xdr:nvSpPr>
        <xdr:cNvPr id="16" name="AutoShape 10"/>
        <xdr:cNvSpPr>
          <a:spLocks noChangeArrowheads="1"/>
        </xdr:cNvSpPr>
      </xdr:nvSpPr>
      <xdr:spPr bwMode="auto">
        <a:xfrm rot="5400000">
          <a:off x="1681163" y="4567237"/>
          <a:ext cx="0" cy="2762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1644364</xdr:colOff>
      <xdr:row>9</xdr:row>
      <xdr:rowOff>143133</xdr:rowOff>
    </xdr:from>
    <xdr:to>
      <xdr:col>1</xdr:col>
      <xdr:colOff>1763910</xdr:colOff>
      <xdr:row>9</xdr:row>
      <xdr:rowOff>239909</xdr:rowOff>
    </xdr:to>
    <xdr:sp macro="" textlink="">
      <xdr:nvSpPr>
        <xdr:cNvPr id="20" name="Isosceles Triangle 19"/>
        <xdr:cNvSpPr>
          <a:spLocks noChangeAspect="1"/>
        </xdr:cNvSpPr>
      </xdr:nvSpPr>
      <xdr:spPr>
        <a:xfrm rot="10800000">
          <a:off x="2120614" y="2274352"/>
          <a:ext cx="119546" cy="96776"/>
        </a:xfrm>
        <a:prstGeom prst="triangle">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lientData/>
  </xdr:twoCellAnchor>
  <xdr:twoCellAnchor>
    <xdr:from>
      <xdr:col>3</xdr:col>
      <xdr:colOff>2914760</xdr:colOff>
      <xdr:row>9</xdr:row>
      <xdr:rowOff>143133</xdr:rowOff>
    </xdr:from>
    <xdr:to>
      <xdr:col>3</xdr:col>
      <xdr:colOff>3034306</xdr:colOff>
      <xdr:row>9</xdr:row>
      <xdr:rowOff>239909</xdr:rowOff>
    </xdr:to>
    <xdr:sp macro="" textlink="">
      <xdr:nvSpPr>
        <xdr:cNvPr id="21" name="Isosceles Triangle 20"/>
        <xdr:cNvSpPr>
          <a:spLocks noChangeAspect="1"/>
        </xdr:cNvSpPr>
      </xdr:nvSpPr>
      <xdr:spPr>
        <a:xfrm rot="10800000">
          <a:off x="5462698" y="2274352"/>
          <a:ext cx="119546" cy="96776"/>
        </a:xfrm>
        <a:prstGeom prst="triangle">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lientData/>
  </xdr:twoCellAnchor>
  <xdr:twoCellAnchor>
    <xdr:from>
      <xdr:col>5</xdr:col>
      <xdr:colOff>2914760</xdr:colOff>
      <xdr:row>9</xdr:row>
      <xdr:rowOff>143133</xdr:rowOff>
    </xdr:from>
    <xdr:to>
      <xdr:col>5</xdr:col>
      <xdr:colOff>3034306</xdr:colOff>
      <xdr:row>9</xdr:row>
      <xdr:rowOff>239909</xdr:rowOff>
    </xdr:to>
    <xdr:sp macro="" textlink="">
      <xdr:nvSpPr>
        <xdr:cNvPr id="22" name="Isosceles Triangle 21"/>
        <xdr:cNvSpPr>
          <a:spLocks noChangeAspect="1"/>
        </xdr:cNvSpPr>
      </xdr:nvSpPr>
      <xdr:spPr>
        <a:xfrm rot="10800000">
          <a:off x="8796448" y="2274352"/>
          <a:ext cx="119546" cy="96776"/>
        </a:xfrm>
        <a:prstGeom prst="triangle">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lientData/>
  </xdr:twoCellAnchor>
  <xdr:twoCellAnchor>
    <xdr:from>
      <xdr:col>7</xdr:col>
      <xdr:colOff>5034073</xdr:colOff>
      <xdr:row>9</xdr:row>
      <xdr:rowOff>143133</xdr:rowOff>
    </xdr:from>
    <xdr:to>
      <xdr:col>7</xdr:col>
      <xdr:colOff>5153619</xdr:colOff>
      <xdr:row>9</xdr:row>
      <xdr:rowOff>239909</xdr:rowOff>
    </xdr:to>
    <xdr:sp macro="" textlink="">
      <xdr:nvSpPr>
        <xdr:cNvPr id="23" name="Isosceles Triangle 22"/>
        <xdr:cNvSpPr>
          <a:spLocks noChangeAspect="1"/>
        </xdr:cNvSpPr>
      </xdr:nvSpPr>
      <xdr:spPr>
        <a:xfrm rot="10800000">
          <a:off x="14249511" y="2274352"/>
          <a:ext cx="119546" cy="96776"/>
        </a:xfrm>
        <a:prstGeom prst="triangle">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523875</xdr:colOff>
      <xdr:row>11</xdr:row>
      <xdr:rowOff>552450</xdr:rowOff>
    </xdr:from>
    <xdr:to>
      <xdr:col>1</xdr:col>
      <xdr:colOff>828675</xdr:colOff>
      <xdr:row>11</xdr:row>
      <xdr:rowOff>647700</xdr:rowOff>
    </xdr:to>
    <xdr:sp macro="" textlink="">
      <xdr:nvSpPr>
        <xdr:cNvPr id="23928" name="AutoShape 5"/>
        <xdr:cNvSpPr>
          <a:spLocks noChangeArrowheads="1"/>
        </xdr:cNvSpPr>
      </xdr:nvSpPr>
      <xdr:spPr bwMode="auto">
        <a:xfrm rot="5400000">
          <a:off x="857250" y="2609850"/>
          <a:ext cx="0" cy="30480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1066800</xdr:colOff>
      <xdr:row>11</xdr:row>
      <xdr:rowOff>552450</xdr:rowOff>
    </xdr:from>
    <xdr:to>
      <xdr:col>2</xdr:col>
      <xdr:colOff>1371600</xdr:colOff>
      <xdr:row>11</xdr:row>
      <xdr:rowOff>647700</xdr:rowOff>
    </xdr:to>
    <xdr:sp macro="" textlink="">
      <xdr:nvSpPr>
        <xdr:cNvPr id="23929" name="AutoShape 6"/>
        <xdr:cNvSpPr>
          <a:spLocks noChangeArrowheads="1"/>
        </xdr:cNvSpPr>
      </xdr:nvSpPr>
      <xdr:spPr bwMode="auto">
        <a:xfrm rot="5400000">
          <a:off x="2400300" y="2609850"/>
          <a:ext cx="0" cy="30480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1066800</xdr:colOff>
      <xdr:row>12</xdr:row>
      <xdr:rowOff>552450</xdr:rowOff>
    </xdr:from>
    <xdr:to>
      <xdr:col>1</xdr:col>
      <xdr:colOff>1000125</xdr:colOff>
      <xdr:row>12</xdr:row>
      <xdr:rowOff>647700</xdr:rowOff>
    </xdr:to>
    <xdr:sp macro="" textlink="">
      <xdr:nvSpPr>
        <xdr:cNvPr id="23930" name="AutoShape 7"/>
        <xdr:cNvSpPr>
          <a:spLocks noChangeArrowheads="1"/>
        </xdr:cNvSpPr>
      </xdr:nvSpPr>
      <xdr:spPr bwMode="auto">
        <a:xfrm rot="5400000">
          <a:off x="1181100" y="2924175"/>
          <a:ext cx="0" cy="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1066800</xdr:colOff>
      <xdr:row>11</xdr:row>
      <xdr:rowOff>552450</xdr:rowOff>
    </xdr:from>
    <xdr:to>
      <xdr:col>1</xdr:col>
      <xdr:colOff>1000125</xdr:colOff>
      <xdr:row>11</xdr:row>
      <xdr:rowOff>647700</xdr:rowOff>
    </xdr:to>
    <xdr:sp macro="" textlink="">
      <xdr:nvSpPr>
        <xdr:cNvPr id="23931" name="AutoShape 12"/>
        <xdr:cNvSpPr>
          <a:spLocks noChangeArrowheads="1"/>
        </xdr:cNvSpPr>
      </xdr:nvSpPr>
      <xdr:spPr bwMode="auto">
        <a:xfrm rot="5400000">
          <a:off x="1181100" y="2762250"/>
          <a:ext cx="0" cy="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128587</xdr:colOff>
      <xdr:row>0</xdr:row>
      <xdr:rowOff>285750</xdr:rowOff>
    </xdr:from>
    <xdr:to>
      <xdr:col>2</xdr:col>
      <xdr:colOff>1159764</xdr:colOff>
      <xdr:row>4</xdr:row>
      <xdr:rowOff>122301</xdr:rowOff>
    </xdr:to>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587" y="285750"/>
          <a:ext cx="2424208" cy="7890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142875</xdr:colOff>
      <xdr:row>0</xdr:row>
      <xdr:rowOff>285750</xdr:rowOff>
    </xdr:from>
    <xdr:to>
      <xdr:col>1</xdr:col>
      <xdr:colOff>2302764</xdr:colOff>
      <xdr:row>4</xdr:row>
      <xdr:rowOff>122301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285750"/>
          <a:ext cx="2409920" cy="7890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6</xdr:col>
      <xdr:colOff>273040</xdr:colOff>
      <xdr:row>30</xdr:row>
      <xdr:rowOff>421126</xdr:rowOff>
    </xdr:to>
    <xdr:pic>
      <xdr:nvPicPr>
        <xdr:cNvPr id="53" name="Picture 52"/>
        <xdr:cNvPicPr>
          <a:picLocks noChangeAspect="1"/>
        </xdr:cNvPicPr>
      </xdr:nvPicPr>
      <xdr:blipFill>
        <a:blip xmlns:r="http://schemas.openxmlformats.org/officeDocument/2006/relationships" r:embed="rId1"/>
        <a:stretch>
          <a:fillRect/>
        </a:stretch>
      </xdr:blipFill>
      <xdr:spPr>
        <a:xfrm>
          <a:off x="476250" y="6679406"/>
          <a:ext cx="6428572" cy="2838095"/>
        </a:xfrm>
        <a:prstGeom prst="rect">
          <a:avLst/>
        </a:prstGeom>
      </xdr:spPr>
    </xdr:pic>
    <xdr:clientData/>
  </xdr:twoCellAnchor>
  <xdr:twoCellAnchor>
    <xdr:from>
      <xdr:col>1</xdr:col>
      <xdr:colOff>1419225</xdr:colOff>
      <xdr:row>13</xdr:row>
      <xdr:rowOff>76200</xdr:rowOff>
    </xdr:from>
    <xdr:to>
      <xdr:col>1</xdr:col>
      <xdr:colOff>381000</xdr:colOff>
      <xdr:row>13</xdr:row>
      <xdr:rowOff>390525</xdr:rowOff>
    </xdr:to>
    <xdr:sp macro="" textlink="">
      <xdr:nvSpPr>
        <xdr:cNvPr id="11" name="AutoShape 31"/>
        <xdr:cNvSpPr>
          <a:spLocks noChangeArrowheads="1"/>
        </xdr:cNvSpPr>
      </xdr:nvSpPr>
      <xdr:spPr bwMode="auto">
        <a:xfrm>
          <a:off x="790575" y="3724275"/>
          <a:ext cx="0" cy="3143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76200</xdr:rowOff>
    </xdr:from>
    <xdr:to>
      <xdr:col>2</xdr:col>
      <xdr:colOff>0</xdr:colOff>
      <xdr:row>12</xdr:row>
      <xdr:rowOff>390525</xdr:rowOff>
    </xdr:to>
    <xdr:sp macro="" textlink="">
      <xdr:nvSpPr>
        <xdr:cNvPr id="12" name="AutoShape 32"/>
        <xdr:cNvSpPr>
          <a:spLocks noChangeArrowheads="1"/>
        </xdr:cNvSpPr>
      </xdr:nvSpPr>
      <xdr:spPr bwMode="auto">
        <a:xfrm>
          <a:off x="790575" y="3524250"/>
          <a:ext cx="0" cy="1238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13</xdr:row>
      <xdr:rowOff>76200</xdr:rowOff>
    </xdr:from>
    <xdr:to>
      <xdr:col>2</xdr:col>
      <xdr:colOff>0</xdr:colOff>
      <xdr:row>13</xdr:row>
      <xdr:rowOff>390525</xdr:rowOff>
    </xdr:to>
    <xdr:sp macro="" textlink="">
      <xdr:nvSpPr>
        <xdr:cNvPr id="13" name="AutoShape 33"/>
        <xdr:cNvSpPr>
          <a:spLocks noChangeArrowheads="1"/>
        </xdr:cNvSpPr>
      </xdr:nvSpPr>
      <xdr:spPr bwMode="auto">
        <a:xfrm>
          <a:off x="790575" y="3724275"/>
          <a:ext cx="0" cy="3143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76200</xdr:rowOff>
    </xdr:from>
    <xdr:to>
      <xdr:col>2</xdr:col>
      <xdr:colOff>0</xdr:colOff>
      <xdr:row>12</xdr:row>
      <xdr:rowOff>390525</xdr:rowOff>
    </xdr:to>
    <xdr:sp macro="" textlink="">
      <xdr:nvSpPr>
        <xdr:cNvPr id="14" name="AutoShape 34"/>
        <xdr:cNvSpPr>
          <a:spLocks noChangeArrowheads="1"/>
        </xdr:cNvSpPr>
      </xdr:nvSpPr>
      <xdr:spPr bwMode="auto">
        <a:xfrm>
          <a:off x="790575" y="3524250"/>
          <a:ext cx="0" cy="1238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13</xdr:row>
      <xdr:rowOff>76200</xdr:rowOff>
    </xdr:from>
    <xdr:to>
      <xdr:col>2</xdr:col>
      <xdr:colOff>0</xdr:colOff>
      <xdr:row>13</xdr:row>
      <xdr:rowOff>390525</xdr:rowOff>
    </xdr:to>
    <xdr:sp macro="" textlink="">
      <xdr:nvSpPr>
        <xdr:cNvPr id="15" name="AutoShape 35"/>
        <xdr:cNvSpPr>
          <a:spLocks noChangeArrowheads="1"/>
        </xdr:cNvSpPr>
      </xdr:nvSpPr>
      <xdr:spPr bwMode="auto">
        <a:xfrm>
          <a:off x="790575" y="3724275"/>
          <a:ext cx="0" cy="3143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123825</xdr:rowOff>
    </xdr:from>
    <xdr:to>
      <xdr:col>2</xdr:col>
      <xdr:colOff>0</xdr:colOff>
      <xdr:row>12</xdr:row>
      <xdr:rowOff>371475</xdr:rowOff>
    </xdr:to>
    <xdr:sp macro="" textlink="">
      <xdr:nvSpPr>
        <xdr:cNvPr id="16" name="AutoShape 4"/>
        <xdr:cNvSpPr>
          <a:spLocks noChangeArrowheads="1"/>
        </xdr:cNvSpPr>
      </xdr:nvSpPr>
      <xdr:spPr bwMode="auto">
        <a:xfrm>
          <a:off x="790575" y="3571875"/>
          <a:ext cx="0" cy="7620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13</xdr:row>
      <xdr:rowOff>123825</xdr:rowOff>
    </xdr:from>
    <xdr:to>
      <xdr:col>2</xdr:col>
      <xdr:colOff>0</xdr:colOff>
      <xdr:row>13</xdr:row>
      <xdr:rowOff>371475</xdr:rowOff>
    </xdr:to>
    <xdr:sp macro="" textlink="">
      <xdr:nvSpPr>
        <xdr:cNvPr id="17" name="AutoShape 29"/>
        <xdr:cNvSpPr>
          <a:spLocks noChangeArrowheads="1"/>
        </xdr:cNvSpPr>
      </xdr:nvSpPr>
      <xdr:spPr bwMode="auto">
        <a:xfrm>
          <a:off x="790575" y="3771900"/>
          <a:ext cx="0" cy="24765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76200</xdr:rowOff>
    </xdr:from>
    <xdr:to>
      <xdr:col>2</xdr:col>
      <xdr:colOff>0</xdr:colOff>
      <xdr:row>12</xdr:row>
      <xdr:rowOff>390525</xdr:rowOff>
    </xdr:to>
    <xdr:sp macro="" textlink="">
      <xdr:nvSpPr>
        <xdr:cNvPr id="18" name="AutoShape 32"/>
        <xdr:cNvSpPr>
          <a:spLocks noChangeArrowheads="1"/>
        </xdr:cNvSpPr>
      </xdr:nvSpPr>
      <xdr:spPr bwMode="auto">
        <a:xfrm>
          <a:off x="790575" y="3524250"/>
          <a:ext cx="0" cy="1238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13</xdr:row>
      <xdr:rowOff>76200</xdr:rowOff>
    </xdr:from>
    <xdr:to>
      <xdr:col>2</xdr:col>
      <xdr:colOff>0</xdr:colOff>
      <xdr:row>13</xdr:row>
      <xdr:rowOff>390525</xdr:rowOff>
    </xdr:to>
    <xdr:sp macro="" textlink="">
      <xdr:nvSpPr>
        <xdr:cNvPr id="19" name="AutoShape 33"/>
        <xdr:cNvSpPr>
          <a:spLocks noChangeArrowheads="1"/>
        </xdr:cNvSpPr>
      </xdr:nvSpPr>
      <xdr:spPr bwMode="auto">
        <a:xfrm>
          <a:off x="790575" y="3724275"/>
          <a:ext cx="0" cy="3143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76200</xdr:rowOff>
    </xdr:from>
    <xdr:to>
      <xdr:col>2</xdr:col>
      <xdr:colOff>0</xdr:colOff>
      <xdr:row>12</xdr:row>
      <xdr:rowOff>390525</xdr:rowOff>
    </xdr:to>
    <xdr:sp macro="" textlink="">
      <xdr:nvSpPr>
        <xdr:cNvPr id="20" name="AutoShape 34"/>
        <xdr:cNvSpPr>
          <a:spLocks noChangeArrowheads="1"/>
        </xdr:cNvSpPr>
      </xdr:nvSpPr>
      <xdr:spPr bwMode="auto">
        <a:xfrm>
          <a:off x="790575" y="3524250"/>
          <a:ext cx="0" cy="1238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13</xdr:row>
      <xdr:rowOff>76200</xdr:rowOff>
    </xdr:from>
    <xdr:to>
      <xdr:col>2</xdr:col>
      <xdr:colOff>0</xdr:colOff>
      <xdr:row>13</xdr:row>
      <xdr:rowOff>390525</xdr:rowOff>
    </xdr:to>
    <xdr:sp macro="" textlink="">
      <xdr:nvSpPr>
        <xdr:cNvPr id="21" name="AutoShape 35"/>
        <xdr:cNvSpPr>
          <a:spLocks noChangeArrowheads="1"/>
        </xdr:cNvSpPr>
      </xdr:nvSpPr>
      <xdr:spPr bwMode="auto">
        <a:xfrm>
          <a:off x="790575" y="3724275"/>
          <a:ext cx="0" cy="3143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116681</xdr:colOff>
      <xdr:row>0</xdr:row>
      <xdr:rowOff>295275</xdr:rowOff>
    </xdr:from>
    <xdr:to>
      <xdr:col>3</xdr:col>
      <xdr:colOff>483489</xdr:colOff>
      <xdr:row>4</xdr:row>
      <xdr:rowOff>131826</xdr:rowOff>
    </xdr:to>
    <xdr:pic>
      <xdr:nvPicPr>
        <xdr:cNvPr id="22" name="Picture 2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681" y="295275"/>
          <a:ext cx="2414683" cy="789051"/>
        </a:xfrm>
        <a:prstGeom prst="rect">
          <a:avLst/>
        </a:prstGeom>
      </xdr:spPr>
    </xdr:pic>
    <xdr:clientData/>
  </xdr:twoCellAnchor>
  <xdr:twoCellAnchor>
    <xdr:from>
      <xdr:col>2</xdr:col>
      <xdr:colOff>0</xdr:colOff>
      <xdr:row>20</xdr:row>
      <xdr:rowOff>123825</xdr:rowOff>
    </xdr:from>
    <xdr:to>
      <xdr:col>2</xdr:col>
      <xdr:colOff>0</xdr:colOff>
      <xdr:row>20</xdr:row>
      <xdr:rowOff>371475</xdr:rowOff>
    </xdr:to>
    <xdr:sp macro="" textlink="">
      <xdr:nvSpPr>
        <xdr:cNvPr id="23" name="AutoShape 29"/>
        <xdr:cNvSpPr>
          <a:spLocks noChangeArrowheads="1"/>
        </xdr:cNvSpPr>
      </xdr:nvSpPr>
      <xdr:spPr bwMode="auto">
        <a:xfrm>
          <a:off x="790575" y="5762625"/>
          <a:ext cx="0" cy="2000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1419225</xdr:colOff>
      <xdr:row>20</xdr:row>
      <xdr:rowOff>76200</xdr:rowOff>
    </xdr:from>
    <xdr:to>
      <xdr:col>1</xdr:col>
      <xdr:colOff>381000</xdr:colOff>
      <xdr:row>20</xdr:row>
      <xdr:rowOff>390525</xdr:rowOff>
    </xdr:to>
    <xdr:sp macro="" textlink="">
      <xdr:nvSpPr>
        <xdr:cNvPr id="24" name="AutoShape 31"/>
        <xdr:cNvSpPr>
          <a:spLocks noChangeArrowheads="1"/>
        </xdr:cNvSpPr>
      </xdr:nvSpPr>
      <xdr:spPr bwMode="auto">
        <a:xfrm>
          <a:off x="790575" y="5715000"/>
          <a:ext cx="0" cy="24765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76200</xdr:rowOff>
    </xdr:from>
    <xdr:to>
      <xdr:col>2</xdr:col>
      <xdr:colOff>0</xdr:colOff>
      <xdr:row>20</xdr:row>
      <xdr:rowOff>390525</xdr:rowOff>
    </xdr:to>
    <xdr:sp macro="" textlink="">
      <xdr:nvSpPr>
        <xdr:cNvPr id="25" name="AutoShape 33"/>
        <xdr:cNvSpPr>
          <a:spLocks noChangeArrowheads="1"/>
        </xdr:cNvSpPr>
      </xdr:nvSpPr>
      <xdr:spPr bwMode="auto">
        <a:xfrm>
          <a:off x="790575" y="5715000"/>
          <a:ext cx="0" cy="24765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76200</xdr:rowOff>
    </xdr:from>
    <xdr:to>
      <xdr:col>2</xdr:col>
      <xdr:colOff>0</xdr:colOff>
      <xdr:row>20</xdr:row>
      <xdr:rowOff>390525</xdr:rowOff>
    </xdr:to>
    <xdr:sp macro="" textlink="">
      <xdr:nvSpPr>
        <xdr:cNvPr id="26" name="AutoShape 35"/>
        <xdr:cNvSpPr>
          <a:spLocks noChangeArrowheads="1"/>
        </xdr:cNvSpPr>
      </xdr:nvSpPr>
      <xdr:spPr bwMode="auto">
        <a:xfrm>
          <a:off x="790575" y="5715000"/>
          <a:ext cx="0" cy="24765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123825</xdr:rowOff>
    </xdr:from>
    <xdr:to>
      <xdr:col>2</xdr:col>
      <xdr:colOff>0</xdr:colOff>
      <xdr:row>20</xdr:row>
      <xdr:rowOff>371475</xdr:rowOff>
    </xdr:to>
    <xdr:sp macro="" textlink="">
      <xdr:nvSpPr>
        <xdr:cNvPr id="27" name="AutoShape 29"/>
        <xdr:cNvSpPr>
          <a:spLocks noChangeArrowheads="1"/>
        </xdr:cNvSpPr>
      </xdr:nvSpPr>
      <xdr:spPr bwMode="auto">
        <a:xfrm>
          <a:off x="790575" y="5762625"/>
          <a:ext cx="0" cy="2000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76200</xdr:rowOff>
    </xdr:from>
    <xdr:to>
      <xdr:col>2</xdr:col>
      <xdr:colOff>0</xdr:colOff>
      <xdr:row>20</xdr:row>
      <xdr:rowOff>390525</xdr:rowOff>
    </xdr:to>
    <xdr:sp macro="" textlink="">
      <xdr:nvSpPr>
        <xdr:cNvPr id="28" name="AutoShape 33"/>
        <xdr:cNvSpPr>
          <a:spLocks noChangeArrowheads="1"/>
        </xdr:cNvSpPr>
      </xdr:nvSpPr>
      <xdr:spPr bwMode="auto">
        <a:xfrm>
          <a:off x="790575" y="5715000"/>
          <a:ext cx="0" cy="24765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76200</xdr:rowOff>
    </xdr:from>
    <xdr:to>
      <xdr:col>2</xdr:col>
      <xdr:colOff>0</xdr:colOff>
      <xdr:row>20</xdr:row>
      <xdr:rowOff>390525</xdr:rowOff>
    </xdr:to>
    <xdr:sp macro="" textlink="">
      <xdr:nvSpPr>
        <xdr:cNvPr id="29" name="AutoShape 35"/>
        <xdr:cNvSpPr>
          <a:spLocks noChangeArrowheads="1"/>
        </xdr:cNvSpPr>
      </xdr:nvSpPr>
      <xdr:spPr bwMode="auto">
        <a:xfrm>
          <a:off x="790575" y="5715000"/>
          <a:ext cx="0" cy="24765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19</xdr:row>
      <xdr:rowOff>123825</xdr:rowOff>
    </xdr:from>
    <xdr:to>
      <xdr:col>2</xdr:col>
      <xdr:colOff>0</xdr:colOff>
      <xdr:row>19</xdr:row>
      <xdr:rowOff>371475</xdr:rowOff>
    </xdr:to>
    <xdr:sp macro="" textlink="">
      <xdr:nvSpPr>
        <xdr:cNvPr id="30" name="AutoShape 4"/>
        <xdr:cNvSpPr>
          <a:spLocks noChangeArrowheads="1"/>
        </xdr:cNvSpPr>
      </xdr:nvSpPr>
      <xdr:spPr bwMode="auto">
        <a:xfrm>
          <a:off x="790575" y="5438775"/>
          <a:ext cx="0" cy="2000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1419225</xdr:colOff>
      <xdr:row>19</xdr:row>
      <xdr:rowOff>76200</xdr:rowOff>
    </xdr:from>
    <xdr:to>
      <xdr:col>1</xdr:col>
      <xdr:colOff>381000</xdr:colOff>
      <xdr:row>19</xdr:row>
      <xdr:rowOff>390525</xdr:rowOff>
    </xdr:to>
    <xdr:sp macro="" textlink="">
      <xdr:nvSpPr>
        <xdr:cNvPr id="31" name="AutoShape 30"/>
        <xdr:cNvSpPr>
          <a:spLocks noChangeArrowheads="1"/>
        </xdr:cNvSpPr>
      </xdr:nvSpPr>
      <xdr:spPr bwMode="auto">
        <a:xfrm>
          <a:off x="790575" y="5391150"/>
          <a:ext cx="0" cy="24765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19</xdr:row>
      <xdr:rowOff>76200</xdr:rowOff>
    </xdr:from>
    <xdr:to>
      <xdr:col>2</xdr:col>
      <xdr:colOff>0</xdr:colOff>
      <xdr:row>19</xdr:row>
      <xdr:rowOff>390525</xdr:rowOff>
    </xdr:to>
    <xdr:sp macro="" textlink="">
      <xdr:nvSpPr>
        <xdr:cNvPr id="32" name="AutoShape 32"/>
        <xdr:cNvSpPr>
          <a:spLocks noChangeArrowheads="1"/>
        </xdr:cNvSpPr>
      </xdr:nvSpPr>
      <xdr:spPr bwMode="auto">
        <a:xfrm>
          <a:off x="790575" y="5391150"/>
          <a:ext cx="0" cy="24765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19</xdr:row>
      <xdr:rowOff>76200</xdr:rowOff>
    </xdr:from>
    <xdr:to>
      <xdr:col>2</xdr:col>
      <xdr:colOff>0</xdr:colOff>
      <xdr:row>19</xdr:row>
      <xdr:rowOff>390525</xdr:rowOff>
    </xdr:to>
    <xdr:sp macro="" textlink="">
      <xdr:nvSpPr>
        <xdr:cNvPr id="33" name="AutoShape 34"/>
        <xdr:cNvSpPr>
          <a:spLocks noChangeArrowheads="1"/>
        </xdr:cNvSpPr>
      </xdr:nvSpPr>
      <xdr:spPr bwMode="auto">
        <a:xfrm>
          <a:off x="790575" y="5391150"/>
          <a:ext cx="0" cy="24765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19</xdr:row>
      <xdr:rowOff>123825</xdr:rowOff>
    </xdr:from>
    <xdr:to>
      <xdr:col>2</xdr:col>
      <xdr:colOff>0</xdr:colOff>
      <xdr:row>19</xdr:row>
      <xdr:rowOff>371475</xdr:rowOff>
    </xdr:to>
    <xdr:sp macro="" textlink="">
      <xdr:nvSpPr>
        <xdr:cNvPr id="34" name="AutoShape 4"/>
        <xdr:cNvSpPr>
          <a:spLocks noChangeArrowheads="1"/>
        </xdr:cNvSpPr>
      </xdr:nvSpPr>
      <xdr:spPr bwMode="auto">
        <a:xfrm>
          <a:off x="790575" y="5438775"/>
          <a:ext cx="0" cy="2000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19</xdr:row>
      <xdr:rowOff>76200</xdr:rowOff>
    </xdr:from>
    <xdr:to>
      <xdr:col>2</xdr:col>
      <xdr:colOff>0</xdr:colOff>
      <xdr:row>19</xdr:row>
      <xdr:rowOff>390525</xdr:rowOff>
    </xdr:to>
    <xdr:sp macro="" textlink="">
      <xdr:nvSpPr>
        <xdr:cNvPr id="35" name="AutoShape 32"/>
        <xdr:cNvSpPr>
          <a:spLocks noChangeArrowheads="1"/>
        </xdr:cNvSpPr>
      </xdr:nvSpPr>
      <xdr:spPr bwMode="auto">
        <a:xfrm>
          <a:off x="790575" y="5391150"/>
          <a:ext cx="0" cy="24765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19</xdr:row>
      <xdr:rowOff>76200</xdr:rowOff>
    </xdr:from>
    <xdr:to>
      <xdr:col>2</xdr:col>
      <xdr:colOff>0</xdr:colOff>
      <xdr:row>19</xdr:row>
      <xdr:rowOff>390525</xdr:rowOff>
    </xdr:to>
    <xdr:sp macro="" textlink="">
      <xdr:nvSpPr>
        <xdr:cNvPr id="36" name="AutoShape 34"/>
        <xdr:cNvSpPr>
          <a:spLocks noChangeArrowheads="1"/>
        </xdr:cNvSpPr>
      </xdr:nvSpPr>
      <xdr:spPr bwMode="auto">
        <a:xfrm>
          <a:off x="790575" y="5391150"/>
          <a:ext cx="0" cy="24765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110262</xdr:colOff>
      <xdr:row>21</xdr:row>
      <xdr:rowOff>190299</xdr:rowOff>
    </xdr:from>
    <xdr:to>
      <xdr:col>10</xdr:col>
      <xdr:colOff>190501</xdr:colOff>
      <xdr:row>34</xdr:row>
      <xdr:rowOff>19319</xdr:rowOff>
    </xdr:to>
    <xdr:grpSp>
      <xdr:nvGrpSpPr>
        <xdr:cNvPr id="37" name="Group 36"/>
        <xdr:cNvGrpSpPr/>
      </xdr:nvGrpSpPr>
      <xdr:grpSpPr>
        <a:xfrm>
          <a:off x="360293" y="6393455"/>
          <a:ext cx="10200552" cy="4150989"/>
          <a:chOff x="338374" y="6021877"/>
          <a:chExt cx="11305322" cy="4249208"/>
        </a:xfrm>
      </xdr:grpSpPr>
      <xdr:sp macro="" textlink="">
        <xdr:nvSpPr>
          <xdr:cNvPr id="39" name="TextBox 38"/>
          <xdr:cNvSpPr txBox="1"/>
        </xdr:nvSpPr>
        <xdr:spPr>
          <a:xfrm>
            <a:off x="8370404" y="6021877"/>
            <a:ext cx="3273292" cy="9996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1" i="1">
                <a:solidFill>
                  <a:srgbClr val="005090"/>
                </a:solidFill>
                <a:latin typeface="Arial" pitchFamily="34" charset="0"/>
                <a:cs typeface="Arial" pitchFamily="34" charset="0"/>
              </a:rPr>
              <a:t>Figure</a:t>
            </a:r>
            <a:r>
              <a:rPr lang="en-GB" sz="1100" b="1" i="1" baseline="0">
                <a:solidFill>
                  <a:srgbClr val="005090"/>
                </a:solidFill>
                <a:latin typeface="Arial" pitchFamily="34" charset="0"/>
                <a:cs typeface="Arial" pitchFamily="34" charset="0"/>
              </a:rPr>
              <a:t> title shows the measure  being charted: note that  each chart has a different horizontal scale, as the  underlying measures have different ranges.</a:t>
            </a:r>
            <a:endParaRPr lang="en-GB" sz="1100" b="1" i="1">
              <a:solidFill>
                <a:srgbClr val="005090"/>
              </a:solidFill>
              <a:latin typeface="Arial" pitchFamily="34" charset="0"/>
              <a:cs typeface="Arial" pitchFamily="34" charset="0"/>
            </a:endParaRPr>
          </a:p>
        </xdr:txBody>
      </xdr:sp>
      <xdr:cxnSp macro="">
        <xdr:nvCxnSpPr>
          <xdr:cNvPr id="40" name="Straight Arrow Connector 39"/>
          <xdr:cNvCxnSpPr/>
        </xdr:nvCxnSpPr>
        <xdr:spPr>
          <a:xfrm flipH="1">
            <a:off x="6141064" y="7364911"/>
            <a:ext cx="2232926" cy="10039"/>
          </a:xfrm>
          <a:prstGeom prst="straightConnector1">
            <a:avLst/>
          </a:prstGeom>
          <a:ln w="19050">
            <a:solidFill>
              <a:schemeClr val="tx1"/>
            </a:solidFill>
            <a:headEnd type="non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1" name="TextBox 40"/>
          <xdr:cNvSpPr txBox="1"/>
        </xdr:nvSpPr>
        <xdr:spPr>
          <a:xfrm>
            <a:off x="8389831" y="7082259"/>
            <a:ext cx="3180703" cy="8334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1" i="1">
                <a:solidFill>
                  <a:srgbClr val="005090"/>
                </a:solidFill>
                <a:latin typeface="Arial" pitchFamily="34" charset="0"/>
                <a:cs typeface="Arial" pitchFamily="34" charset="0"/>
              </a:rPr>
              <a:t>The light blue dots </a:t>
            </a:r>
            <a:r>
              <a:rPr lang="en-GB" sz="1100" b="1" i="1" baseline="0">
                <a:solidFill>
                  <a:srgbClr val="005090"/>
                </a:solidFill>
                <a:latin typeface="Arial" pitchFamily="34" charset="0"/>
                <a:cs typeface="Arial" pitchFamily="34" charset="0"/>
              </a:rPr>
              <a:t>show the England-level  average adjusted health gain (the mid point of the dot represents the exact score).</a:t>
            </a:r>
            <a:endParaRPr lang="en-GB" sz="1100" b="1" i="1">
              <a:solidFill>
                <a:srgbClr val="005090"/>
              </a:solidFill>
              <a:latin typeface="Arial" pitchFamily="34" charset="0"/>
              <a:cs typeface="Arial" pitchFamily="34" charset="0"/>
            </a:endParaRPr>
          </a:p>
        </xdr:txBody>
      </xdr:sp>
      <xdr:cxnSp macro="">
        <xdr:nvCxnSpPr>
          <xdr:cNvPr id="42" name="Straight Arrow Connector 41"/>
          <xdr:cNvCxnSpPr/>
        </xdr:nvCxnSpPr>
        <xdr:spPr>
          <a:xfrm flipH="1" flipV="1">
            <a:off x="4808294" y="8203732"/>
            <a:ext cx="3602190" cy="6146"/>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3" name="TextBox 42"/>
          <xdr:cNvSpPr txBox="1"/>
        </xdr:nvSpPr>
        <xdr:spPr>
          <a:xfrm>
            <a:off x="8463475" y="7877540"/>
            <a:ext cx="3173039" cy="19959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1" i="1">
                <a:solidFill>
                  <a:srgbClr val="005090"/>
                </a:solidFill>
                <a:latin typeface="Arial" pitchFamily="34" charset="0"/>
                <a:cs typeface="Arial" pitchFamily="34" charset="0"/>
              </a:rPr>
              <a:t>The dark blue bars show the average</a:t>
            </a:r>
            <a:r>
              <a:rPr lang="en-GB" sz="1100" b="1" i="1" baseline="0">
                <a:solidFill>
                  <a:srgbClr val="005090"/>
                </a:solidFill>
                <a:latin typeface="Arial" pitchFamily="34" charset="0"/>
                <a:cs typeface="Arial" pitchFamily="34" charset="0"/>
              </a:rPr>
              <a:t> adjusted health gain for the selected organisation.  If the dot  lies  inside the bar, then the organisation  has  a higher average health gain than the England-level , though this difference may not be statistically significant. Conversely, if the dot lies outside the bar, the organisation has a lower adjusted average health gain than for England overall.</a:t>
            </a:r>
            <a:endParaRPr lang="en-GB" sz="1100" b="1" i="1">
              <a:solidFill>
                <a:srgbClr val="005090"/>
              </a:solidFill>
              <a:latin typeface="Arial" pitchFamily="34" charset="0"/>
              <a:cs typeface="Arial" pitchFamily="34" charset="0"/>
            </a:endParaRPr>
          </a:p>
        </xdr:txBody>
      </xdr:sp>
      <xdr:sp macro="" textlink="">
        <xdr:nvSpPr>
          <xdr:cNvPr id="44" name="TextBox 43"/>
          <xdr:cNvSpPr txBox="1"/>
        </xdr:nvSpPr>
        <xdr:spPr>
          <a:xfrm>
            <a:off x="338374" y="9441841"/>
            <a:ext cx="3119781" cy="8292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1" i="1">
                <a:solidFill>
                  <a:srgbClr val="005090"/>
                </a:solidFill>
                <a:latin typeface="Arial" pitchFamily="34" charset="0"/>
                <a:cs typeface="Arial" pitchFamily="34" charset="0"/>
              </a:rPr>
              <a:t>The count of modelled records on which the adjusted</a:t>
            </a:r>
            <a:r>
              <a:rPr lang="en-GB" sz="1100" b="1" i="1" baseline="0">
                <a:solidFill>
                  <a:srgbClr val="005090"/>
                </a:solidFill>
                <a:latin typeface="Arial" pitchFamily="34" charset="0"/>
                <a:cs typeface="Arial" pitchFamily="34" charset="0"/>
              </a:rPr>
              <a:t> average health gain for the selected organisation are based are given in parentheses.</a:t>
            </a:r>
            <a:endParaRPr lang="en-GB" sz="1100" b="1" i="1">
              <a:solidFill>
                <a:srgbClr val="005090"/>
              </a:solidFill>
              <a:latin typeface="Arial" pitchFamily="34" charset="0"/>
              <a:cs typeface="Arial" pitchFamily="34" charset="0"/>
            </a:endParaRPr>
          </a:p>
        </xdr:txBody>
      </xdr:sp>
      <xdr:cxnSp macro="">
        <xdr:nvCxnSpPr>
          <xdr:cNvPr id="38" name="Straight Arrow Connector 37"/>
          <xdr:cNvCxnSpPr/>
        </xdr:nvCxnSpPr>
        <xdr:spPr>
          <a:xfrm flipH="1">
            <a:off x="7328683" y="6427191"/>
            <a:ext cx="1028275" cy="9286"/>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816736</xdr:colOff>
      <xdr:row>29</xdr:row>
      <xdr:rowOff>166688</xdr:rowOff>
    </xdr:from>
    <xdr:to>
      <xdr:col>2</xdr:col>
      <xdr:colOff>821531</xdr:colOff>
      <xdr:row>31</xdr:row>
      <xdr:rowOff>15810</xdr:rowOff>
    </xdr:to>
    <xdr:cxnSp macro="">
      <xdr:nvCxnSpPr>
        <xdr:cNvPr id="45" name="Straight Arrow Connector 44"/>
        <xdr:cNvCxnSpPr/>
      </xdr:nvCxnSpPr>
      <xdr:spPr>
        <a:xfrm flipV="1">
          <a:off x="1602549" y="9024938"/>
          <a:ext cx="4795" cy="563497"/>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1378323</xdr:colOff>
      <xdr:row>20</xdr:row>
      <xdr:rowOff>112059</xdr:rowOff>
    </xdr:from>
    <xdr:to>
      <xdr:col>3</xdr:col>
      <xdr:colOff>57141</xdr:colOff>
      <xdr:row>20</xdr:row>
      <xdr:rowOff>274007</xdr:rowOff>
    </xdr:to>
    <xdr:pic>
      <xdr:nvPicPr>
        <xdr:cNvPr id="46" name="Picture 45"/>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68898" y="5750859"/>
          <a:ext cx="164718" cy="161948"/>
        </a:xfrm>
        <a:prstGeom prst="rect">
          <a:avLst/>
        </a:prstGeom>
      </xdr:spPr>
    </xdr:pic>
    <xdr:clientData/>
  </xdr:twoCellAnchor>
  <xdr:twoCellAnchor editAs="oneCell">
    <xdr:from>
      <xdr:col>1</xdr:col>
      <xdr:colOff>0</xdr:colOff>
      <xdr:row>19</xdr:row>
      <xdr:rowOff>0</xdr:rowOff>
    </xdr:from>
    <xdr:to>
      <xdr:col>6</xdr:col>
      <xdr:colOff>899766</xdr:colOff>
      <xdr:row>21</xdr:row>
      <xdr:rowOff>83344</xdr:rowOff>
    </xdr:to>
    <xdr:pic>
      <xdr:nvPicPr>
        <xdr:cNvPr id="48" name="Picture 47"/>
        <xdr:cNvPicPr>
          <a:picLocks noChangeAspect="1"/>
        </xdr:cNvPicPr>
      </xdr:nvPicPr>
      <xdr:blipFill>
        <a:blip xmlns:r="http://schemas.openxmlformats.org/officeDocument/2006/relationships" r:embed="rId4"/>
        <a:stretch>
          <a:fillRect/>
        </a:stretch>
      </xdr:blipFill>
      <xdr:spPr>
        <a:xfrm>
          <a:off x="476250" y="5560219"/>
          <a:ext cx="7055298" cy="726281"/>
        </a:xfrm>
        <a:prstGeom prst="rect">
          <a:avLst/>
        </a:prstGeom>
      </xdr:spPr>
    </xdr:pic>
    <xdr:clientData/>
  </xdr:twoCellAnchor>
  <xdr:twoCellAnchor>
    <xdr:from>
      <xdr:col>4</xdr:col>
      <xdr:colOff>1047751</xdr:colOff>
      <xdr:row>31</xdr:row>
      <xdr:rowOff>107157</xdr:rowOff>
    </xdr:from>
    <xdr:to>
      <xdr:col>6</xdr:col>
      <xdr:colOff>726282</xdr:colOff>
      <xdr:row>33</xdr:row>
      <xdr:rowOff>154782</xdr:rowOff>
    </xdr:to>
    <xdr:sp macro="" textlink="">
      <xdr:nvSpPr>
        <xdr:cNvPr id="61" name="TextBox 60"/>
        <xdr:cNvSpPr txBox="1"/>
      </xdr:nvSpPr>
      <xdr:spPr>
        <a:xfrm>
          <a:off x="4774407" y="9679782"/>
          <a:ext cx="2583656" cy="7977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1" i="1" baseline="0">
              <a:solidFill>
                <a:srgbClr val="005090"/>
              </a:solidFill>
              <a:latin typeface="Arial" pitchFamily="34" charset="0"/>
              <a:cs typeface="Arial" pitchFamily="34" charset="0"/>
            </a:rPr>
            <a:t>Note that each chart has a different horizontal scale, as the  underlying measures have different ranges.</a:t>
          </a:r>
          <a:endParaRPr lang="en-GB" sz="1100" b="1" i="1">
            <a:solidFill>
              <a:srgbClr val="005090"/>
            </a:solidFill>
            <a:latin typeface="Arial" pitchFamily="34" charset="0"/>
            <a:cs typeface="Arial" pitchFamily="34" charset="0"/>
          </a:endParaRPr>
        </a:p>
      </xdr:txBody>
    </xdr:sp>
    <xdr:clientData/>
  </xdr:twoCellAnchor>
  <xdr:twoCellAnchor>
    <xdr:from>
      <xdr:col>5</xdr:col>
      <xdr:colOff>892968</xdr:colOff>
      <xdr:row>30</xdr:row>
      <xdr:rowOff>107156</xdr:rowOff>
    </xdr:from>
    <xdr:to>
      <xdr:col>5</xdr:col>
      <xdr:colOff>897763</xdr:colOff>
      <xdr:row>32</xdr:row>
      <xdr:rowOff>15809</xdr:rowOff>
    </xdr:to>
    <xdr:cxnSp macro="">
      <xdr:nvCxnSpPr>
        <xdr:cNvPr id="62" name="Straight Arrow Connector 61"/>
        <xdr:cNvCxnSpPr/>
      </xdr:nvCxnSpPr>
      <xdr:spPr>
        <a:xfrm flipV="1">
          <a:off x="6072187" y="9203531"/>
          <a:ext cx="4795" cy="563497"/>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18</xdr:row>
      <xdr:rowOff>23811</xdr:rowOff>
    </xdr:from>
    <xdr:to>
      <xdr:col>4</xdr:col>
      <xdr:colOff>285281</xdr:colOff>
      <xdr:row>32</xdr:row>
      <xdr:rowOff>25512</xdr:rowOff>
    </xdr:to>
    <xdr:graphicFrame macro="">
      <xdr:nvGraphicFramePr>
        <xdr:cNvPr id="2" name="EQ5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123687</xdr:colOff>
      <xdr:row>0</xdr:row>
      <xdr:rowOff>214314</xdr:rowOff>
    </xdr:from>
    <xdr:to>
      <xdr:col>3</xdr:col>
      <xdr:colOff>222533</xdr:colOff>
      <xdr:row>4</xdr:row>
      <xdr:rowOff>122302</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687" y="214314"/>
          <a:ext cx="2407258" cy="793253"/>
        </a:xfrm>
        <a:prstGeom prst="rect">
          <a:avLst/>
        </a:prstGeom>
      </xdr:spPr>
    </xdr:pic>
    <xdr:clientData/>
  </xdr:twoCellAnchor>
  <xdr:twoCellAnchor>
    <xdr:from>
      <xdr:col>1</xdr:col>
      <xdr:colOff>1693034</xdr:colOff>
      <xdr:row>9</xdr:row>
      <xdr:rowOff>168272</xdr:rowOff>
    </xdr:from>
    <xdr:to>
      <xdr:col>1</xdr:col>
      <xdr:colOff>1812580</xdr:colOff>
      <xdr:row>9</xdr:row>
      <xdr:rowOff>265048</xdr:rowOff>
    </xdr:to>
    <xdr:sp macro="" textlink="">
      <xdr:nvSpPr>
        <xdr:cNvPr id="4" name="Isosceles Triangle 3"/>
        <xdr:cNvSpPr>
          <a:spLocks noChangeAspect="1"/>
        </xdr:cNvSpPr>
      </xdr:nvSpPr>
      <xdr:spPr>
        <a:xfrm rot="10800000">
          <a:off x="1883534" y="2212972"/>
          <a:ext cx="119546" cy="96776"/>
        </a:xfrm>
        <a:prstGeom prst="triangle">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lientData/>
  </xdr:twoCellAnchor>
  <xdr:twoCellAnchor>
    <xdr:from>
      <xdr:col>4</xdr:col>
      <xdr:colOff>857189</xdr:colOff>
      <xdr:row>9</xdr:row>
      <xdr:rowOff>142883</xdr:rowOff>
    </xdr:from>
    <xdr:to>
      <xdr:col>4</xdr:col>
      <xdr:colOff>976735</xdr:colOff>
      <xdr:row>9</xdr:row>
      <xdr:rowOff>239659</xdr:rowOff>
    </xdr:to>
    <xdr:sp macro="" textlink="">
      <xdr:nvSpPr>
        <xdr:cNvPr id="5" name="Isosceles Triangle 4"/>
        <xdr:cNvSpPr>
          <a:spLocks noChangeAspect="1"/>
        </xdr:cNvSpPr>
      </xdr:nvSpPr>
      <xdr:spPr>
        <a:xfrm rot="10800000">
          <a:off x="8315264" y="2200283"/>
          <a:ext cx="119546" cy="96776"/>
        </a:xfrm>
        <a:prstGeom prst="triangle">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1</xdr:col>
      <xdr:colOff>25284</xdr:colOff>
      <xdr:row>32</xdr:row>
      <xdr:rowOff>95810</xdr:rowOff>
    </xdr:from>
    <xdr:to>
      <xdr:col>4</xdr:col>
      <xdr:colOff>326440</xdr:colOff>
      <xdr:row>51</xdr:row>
      <xdr:rowOff>45241</xdr:rowOff>
    </xdr:to>
    <xdr:graphicFrame macro="">
      <xdr:nvGraphicFramePr>
        <xdr:cNvPr id="7" name="EQVA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188913</xdr:colOff>
      <xdr:row>52</xdr:row>
      <xdr:rowOff>162604</xdr:rowOff>
    </xdr:from>
    <xdr:to>
      <xdr:col>4</xdr:col>
      <xdr:colOff>227665</xdr:colOff>
      <xdr:row>78</xdr:row>
      <xdr:rowOff>99105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67809</xdr:colOff>
      <xdr:row>80</xdr:row>
      <xdr:rowOff>76199</xdr:rowOff>
    </xdr:from>
    <xdr:to>
      <xdr:col>4</xdr:col>
      <xdr:colOff>371347</xdr:colOff>
      <xdr:row>92</xdr:row>
      <xdr:rowOff>38100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188122</xdr:colOff>
      <xdr:row>0</xdr:row>
      <xdr:rowOff>285750</xdr:rowOff>
    </xdr:from>
    <xdr:to>
      <xdr:col>2</xdr:col>
      <xdr:colOff>861771</xdr:colOff>
      <xdr:row>4</xdr:row>
      <xdr:rowOff>122301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8122" y="285750"/>
          <a:ext cx="2419445" cy="7985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14287</xdr:colOff>
      <xdr:row>12</xdr:row>
      <xdr:rowOff>214311</xdr:rowOff>
    </xdr:from>
    <xdr:to>
      <xdr:col>4</xdr:col>
      <xdr:colOff>1023168</xdr:colOff>
      <xdr:row>36</xdr:row>
      <xdr:rowOff>11905</xdr:rowOff>
    </xdr:to>
    <xdr:graphicFrame macro="">
      <xdr:nvGraphicFramePr>
        <xdr:cNvPr id="166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235746</xdr:colOff>
      <xdr:row>0</xdr:row>
      <xdr:rowOff>214314</xdr:rowOff>
    </xdr:from>
    <xdr:to>
      <xdr:col>3</xdr:col>
      <xdr:colOff>342997</xdr:colOff>
      <xdr:row>4</xdr:row>
      <xdr:rowOff>122302</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746" y="214314"/>
          <a:ext cx="2417064" cy="789051"/>
        </a:xfrm>
        <a:prstGeom prst="rect">
          <a:avLst/>
        </a:prstGeom>
      </xdr:spPr>
    </xdr:pic>
    <xdr:clientData/>
  </xdr:twoCellAnchor>
  <xdr:twoCellAnchor>
    <xdr:from>
      <xdr:col>1</xdr:col>
      <xdr:colOff>1654934</xdr:colOff>
      <xdr:row>9</xdr:row>
      <xdr:rowOff>142872</xdr:rowOff>
    </xdr:from>
    <xdr:to>
      <xdr:col>1</xdr:col>
      <xdr:colOff>1774480</xdr:colOff>
      <xdr:row>9</xdr:row>
      <xdr:rowOff>239648</xdr:rowOff>
    </xdr:to>
    <xdr:sp macro="" textlink="">
      <xdr:nvSpPr>
        <xdr:cNvPr id="5" name="Isosceles Triangle 4"/>
        <xdr:cNvSpPr>
          <a:spLocks noChangeAspect="1"/>
        </xdr:cNvSpPr>
      </xdr:nvSpPr>
      <xdr:spPr>
        <a:xfrm rot="10800000">
          <a:off x="2000215" y="2702716"/>
          <a:ext cx="119546" cy="96776"/>
        </a:xfrm>
        <a:prstGeom prst="triangle">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lientData/>
  </xdr:twoCellAnchor>
  <xdr:twoCellAnchor>
    <xdr:from>
      <xdr:col>4</xdr:col>
      <xdr:colOff>857189</xdr:colOff>
      <xdr:row>9</xdr:row>
      <xdr:rowOff>142883</xdr:rowOff>
    </xdr:from>
    <xdr:to>
      <xdr:col>4</xdr:col>
      <xdr:colOff>976735</xdr:colOff>
      <xdr:row>9</xdr:row>
      <xdr:rowOff>239659</xdr:rowOff>
    </xdr:to>
    <xdr:sp macro="" textlink="">
      <xdr:nvSpPr>
        <xdr:cNvPr id="9" name="Isosceles Triangle 8"/>
        <xdr:cNvSpPr>
          <a:spLocks noChangeAspect="1"/>
        </xdr:cNvSpPr>
      </xdr:nvSpPr>
      <xdr:spPr>
        <a:xfrm rot="10800000">
          <a:off x="8322408" y="2202664"/>
          <a:ext cx="119546" cy="96776"/>
        </a:xfrm>
        <a:prstGeom prst="triangle">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188122</xdr:colOff>
      <xdr:row>0</xdr:row>
      <xdr:rowOff>285750</xdr:rowOff>
    </xdr:from>
    <xdr:to>
      <xdr:col>2</xdr:col>
      <xdr:colOff>807342</xdr:colOff>
      <xdr:row>4</xdr:row>
      <xdr:rowOff>122301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8122" y="285750"/>
          <a:ext cx="2417064" cy="7890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17</xdr:row>
      <xdr:rowOff>123825</xdr:rowOff>
    </xdr:from>
    <xdr:to>
      <xdr:col>2</xdr:col>
      <xdr:colOff>0</xdr:colOff>
      <xdr:row>17</xdr:row>
      <xdr:rowOff>371475</xdr:rowOff>
    </xdr:to>
    <xdr:sp macro="" textlink="">
      <xdr:nvSpPr>
        <xdr:cNvPr id="134012" name="AutoShape 4"/>
        <xdr:cNvSpPr>
          <a:spLocks noChangeArrowheads="1"/>
        </xdr:cNvSpPr>
      </xdr:nvSpPr>
      <xdr:spPr bwMode="auto">
        <a:xfrm>
          <a:off x="1714500" y="4105275"/>
          <a:ext cx="0" cy="3810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123825</xdr:rowOff>
    </xdr:from>
    <xdr:to>
      <xdr:col>2</xdr:col>
      <xdr:colOff>0</xdr:colOff>
      <xdr:row>18</xdr:row>
      <xdr:rowOff>371475</xdr:rowOff>
    </xdr:to>
    <xdr:sp macro="" textlink="">
      <xdr:nvSpPr>
        <xdr:cNvPr id="134013" name="AutoShape 29"/>
        <xdr:cNvSpPr>
          <a:spLocks noChangeArrowheads="1"/>
        </xdr:cNvSpPr>
      </xdr:nvSpPr>
      <xdr:spPr bwMode="auto">
        <a:xfrm>
          <a:off x="1714500" y="4267200"/>
          <a:ext cx="0" cy="24765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76200</xdr:rowOff>
    </xdr:from>
    <xdr:to>
      <xdr:col>2</xdr:col>
      <xdr:colOff>0</xdr:colOff>
      <xdr:row>17</xdr:row>
      <xdr:rowOff>390525</xdr:rowOff>
    </xdr:to>
    <xdr:sp macro="" textlink="">
      <xdr:nvSpPr>
        <xdr:cNvPr id="134014" name="AutoShape 32"/>
        <xdr:cNvSpPr>
          <a:spLocks noChangeArrowheads="1"/>
        </xdr:cNvSpPr>
      </xdr:nvSpPr>
      <xdr:spPr bwMode="auto">
        <a:xfrm>
          <a:off x="1714500" y="4057650"/>
          <a:ext cx="0" cy="857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76200</xdr:rowOff>
    </xdr:from>
    <xdr:to>
      <xdr:col>2</xdr:col>
      <xdr:colOff>0</xdr:colOff>
      <xdr:row>18</xdr:row>
      <xdr:rowOff>390525</xdr:rowOff>
    </xdr:to>
    <xdr:sp macro="" textlink="">
      <xdr:nvSpPr>
        <xdr:cNvPr id="134015" name="AutoShape 33"/>
        <xdr:cNvSpPr>
          <a:spLocks noChangeArrowheads="1"/>
        </xdr:cNvSpPr>
      </xdr:nvSpPr>
      <xdr:spPr bwMode="auto">
        <a:xfrm>
          <a:off x="1714500" y="4219575"/>
          <a:ext cx="0" cy="3143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76200</xdr:rowOff>
    </xdr:from>
    <xdr:to>
      <xdr:col>2</xdr:col>
      <xdr:colOff>0</xdr:colOff>
      <xdr:row>17</xdr:row>
      <xdr:rowOff>390525</xdr:rowOff>
    </xdr:to>
    <xdr:sp macro="" textlink="">
      <xdr:nvSpPr>
        <xdr:cNvPr id="134016" name="AutoShape 34"/>
        <xdr:cNvSpPr>
          <a:spLocks noChangeArrowheads="1"/>
        </xdr:cNvSpPr>
      </xdr:nvSpPr>
      <xdr:spPr bwMode="auto">
        <a:xfrm>
          <a:off x="1714500" y="4057650"/>
          <a:ext cx="0" cy="857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76200</xdr:rowOff>
    </xdr:from>
    <xdr:to>
      <xdr:col>2</xdr:col>
      <xdr:colOff>0</xdr:colOff>
      <xdr:row>18</xdr:row>
      <xdr:rowOff>390525</xdr:rowOff>
    </xdr:to>
    <xdr:sp macro="" textlink="">
      <xdr:nvSpPr>
        <xdr:cNvPr id="134017" name="AutoShape 35"/>
        <xdr:cNvSpPr>
          <a:spLocks noChangeArrowheads="1"/>
        </xdr:cNvSpPr>
      </xdr:nvSpPr>
      <xdr:spPr bwMode="auto">
        <a:xfrm>
          <a:off x="1714500" y="4219575"/>
          <a:ext cx="0" cy="3143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123825</xdr:rowOff>
    </xdr:from>
    <xdr:to>
      <xdr:col>2</xdr:col>
      <xdr:colOff>0</xdr:colOff>
      <xdr:row>17</xdr:row>
      <xdr:rowOff>371475</xdr:rowOff>
    </xdr:to>
    <xdr:sp macro="" textlink="">
      <xdr:nvSpPr>
        <xdr:cNvPr id="134018" name="AutoShape 4"/>
        <xdr:cNvSpPr>
          <a:spLocks noChangeArrowheads="1"/>
        </xdr:cNvSpPr>
      </xdr:nvSpPr>
      <xdr:spPr bwMode="auto">
        <a:xfrm>
          <a:off x="1714500" y="4105275"/>
          <a:ext cx="0" cy="3810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123825</xdr:rowOff>
    </xdr:from>
    <xdr:to>
      <xdr:col>2</xdr:col>
      <xdr:colOff>0</xdr:colOff>
      <xdr:row>18</xdr:row>
      <xdr:rowOff>371475</xdr:rowOff>
    </xdr:to>
    <xdr:sp macro="" textlink="">
      <xdr:nvSpPr>
        <xdr:cNvPr id="134019" name="AutoShape 29"/>
        <xdr:cNvSpPr>
          <a:spLocks noChangeArrowheads="1"/>
        </xdr:cNvSpPr>
      </xdr:nvSpPr>
      <xdr:spPr bwMode="auto">
        <a:xfrm>
          <a:off x="1714500" y="4267200"/>
          <a:ext cx="0" cy="247650"/>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76200</xdr:rowOff>
    </xdr:from>
    <xdr:to>
      <xdr:col>2</xdr:col>
      <xdr:colOff>0</xdr:colOff>
      <xdr:row>17</xdr:row>
      <xdr:rowOff>390525</xdr:rowOff>
    </xdr:to>
    <xdr:sp macro="" textlink="">
      <xdr:nvSpPr>
        <xdr:cNvPr id="134020" name="AutoShape 32"/>
        <xdr:cNvSpPr>
          <a:spLocks noChangeArrowheads="1"/>
        </xdr:cNvSpPr>
      </xdr:nvSpPr>
      <xdr:spPr bwMode="auto">
        <a:xfrm>
          <a:off x="1714500" y="4057650"/>
          <a:ext cx="0" cy="857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76200</xdr:rowOff>
    </xdr:from>
    <xdr:to>
      <xdr:col>2</xdr:col>
      <xdr:colOff>0</xdr:colOff>
      <xdr:row>18</xdr:row>
      <xdr:rowOff>390525</xdr:rowOff>
    </xdr:to>
    <xdr:sp macro="" textlink="">
      <xdr:nvSpPr>
        <xdr:cNvPr id="134021" name="AutoShape 33"/>
        <xdr:cNvSpPr>
          <a:spLocks noChangeArrowheads="1"/>
        </xdr:cNvSpPr>
      </xdr:nvSpPr>
      <xdr:spPr bwMode="auto">
        <a:xfrm>
          <a:off x="1714500" y="4219575"/>
          <a:ext cx="0" cy="3143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76200</xdr:rowOff>
    </xdr:from>
    <xdr:to>
      <xdr:col>2</xdr:col>
      <xdr:colOff>0</xdr:colOff>
      <xdr:row>17</xdr:row>
      <xdr:rowOff>390525</xdr:rowOff>
    </xdr:to>
    <xdr:sp macro="" textlink="">
      <xdr:nvSpPr>
        <xdr:cNvPr id="134022" name="AutoShape 34"/>
        <xdr:cNvSpPr>
          <a:spLocks noChangeArrowheads="1"/>
        </xdr:cNvSpPr>
      </xdr:nvSpPr>
      <xdr:spPr bwMode="auto">
        <a:xfrm>
          <a:off x="1714500" y="4057650"/>
          <a:ext cx="0" cy="857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76200</xdr:rowOff>
    </xdr:from>
    <xdr:to>
      <xdr:col>2</xdr:col>
      <xdr:colOff>0</xdr:colOff>
      <xdr:row>18</xdr:row>
      <xdr:rowOff>390525</xdr:rowOff>
    </xdr:to>
    <xdr:sp macro="" textlink="">
      <xdr:nvSpPr>
        <xdr:cNvPr id="134023" name="AutoShape 35"/>
        <xdr:cNvSpPr>
          <a:spLocks noChangeArrowheads="1"/>
        </xdr:cNvSpPr>
      </xdr:nvSpPr>
      <xdr:spPr bwMode="auto">
        <a:xfrm>
          <a:off x="1714500" y="4219575"/>
          <a:ext cx="0" cy="314325"/>
        </a:xfrm>
        <a:prstGeom prst="rightArrow">
          <a:avLst>
            <a:gd name="adj1" fmla="val 50000"/>
            <a:gd name="adj2" fmla="val -2147483648"/>
          </a:avLst>
        </a:prstGeom>
        <a:solidFill>
          <a:srgbClr val="00008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116681</xdr:colOff>
      <xdr:row>0</xdr:row>
      <xdr:rowOff>295275</xdr:rowOff>
    </xdr:from>
    <xdr:to>
      <xdr:col>2</xdr:col>
      <xdr:colOff>1043083</xdr:colOff>
      <xdr:row>4</xdr:row>
      <xdr:rowOff>131826</xdr:rowOff>
    </xdr:to>
    <xdr:pic>
      <xdr:nvPicPr>
        <xdr:cNvPr id="32" name="Picture 3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681" y="295275"/>
          <a:ext cx="2414683" cy="789051"/>
        </a:xfrm>
        <a:prstGeom prst="rect">
          <a:avLst/>
        </a:prstGeom>
      </xdr:spPr>
    </xdr:pic>
    <xdr:clientData/>
  </xdr:twoCellAnchor>
  <xdr:twoCellAnchor>
    <xdr:from>
      <xdr:col>2</xdr:col>
      <xdr:colOff>1654908</xdr:colOff>
      <xdr:row>18</xdr:row>
      <xdr:rowOff>178590</xdr:rowOff>
    </xdr:from>
    <xdr:to>
      <xdr:col>2</xdr:col>
      <xdr:colOff>1774454</xdr:colOff>
      <xdr:row>18</xdr:row>
      <xdr:rowOff>275366</xdr:rowOff>
    </xdr:to>
    <xdr:sp macro="" textlink="">
      <xdr:nvSpPr>
        <xdr:cNvPr id="26" name="Isosceles Triangle 25"/>
        <xdr:cNvSpPr>
          <a:spLocks noChangeAspect="1"/>
        </xdr:cNvSpPr>
      </xdr:nvSpPr>
      <xdr:spPr>
        <a:xfrm rot="10800000">
          <a:off x="3369408" y="5036340"/>
          <a:ext cx="119546" cy="96776"/>
        </a:xfrm>
        <a:prstGeom prst="triangle">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lientData/>
  </xdr:twoCellAnchor>
  <xdr:twoCellAnchor>
    <xdr:from>
      <xdr:col>6</xdr:col>
      <xdr:colOff>833378</xdr:colOff>
      <xdr:row>18</xdr:row>
      <xdr:rowOff>178590</xdr:rowOff>
    </xdr:from>
    <xdr:to>
      <xdr:col>6</xdr:col>
      <xdr:colOff>952924</xdr:colOff>
      <xdr:row>18</xdr:row>
      <xdr:rowOff>275366</xdr:rowOff>
    </xdr:to>
    <xdr:sp macro="" textlink="">
      <xdr:nvSpPr>
        <xdr:cNvPr id="27" name="Isosceles Triangle 26"/>
        <xdr:cNvSpPr>
          <a:spLocks noChangeAspect="1"/>
        </xdr:cNvSpPr>
      </xdr:nvSpPr>
      <xdr:spPr>
        <a:xfrm rot="10800000">
          <a:off x="6679347" y="5036340"/>
          <a:ext cx="119546" cy="96776"/>
        </a:xfrm>
        <a:prstGeom prst="triangle">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lientData/>
  </xdr:twoCellAnchor>
  <xdr:twoCellAnchor>
    <xdr:from>
      <xdr:col>1</xdr:col>
      <xdr:colOff>559582</xdr:colOff>
      <xdr:row>21</xdr:row>
      <xdr:rowOff>702454</xdr:rowOff>
    </xdr:from>
    <xdr:to>
      <xdr:col>1</xdr:col>
      <xdr:colOff>679128</xdr:colOff>
      <xdr:row>21</xdr:row>
      <xdr:rowOff>799230</xdr:rowOff>
    </xdr:to>
    <xdr:sp macro="" textlink="">
      <xdr:nvSpPr>
        <xdr:cNvPr id="28" name="Isosceles Triangle 27"/>
        <xdr:cNvSpPr>
          <a:spLocks noChangeAspect="1"/>
        </xdr:cNvSpPr>
      </xdr:nvSpPr>
      <xdr:spPr>
        <a:xfrm rot="10800000">
          <a:off x="1035832" y="5976923"/>
          <a:ext cx="119546" cy="96776"/>
        </a:xfrm>
        <a:prstGeom prst="triangle">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lientData/>
  </xdr:twoCellAnchor>
  <xdr:twoCellAnchor>
    <xdr:from>
      <xdr:col>2</xdr:col>
      <xdr:colOff>1035821</xdr:colOff>
      <xdr:row>21</xdr:row>
      <xdr:rowOff>702454</xdr:rowOff>
    </xdr:from>
    <xdr:to>
      <xdr:col>2</xdr:col>
      <xdr:colOff>1155367</xdr:colOff>
      <xdr:row>21</xdr:row>
      <xdr:rowOff>799230</xdr:rowOff>
    </xdr:to>
    <xdr:sp macro="" textlink="">
      <xdr:nvSpPr>
        <xdr:cNvPr id="29" name="Isosceles Triangle 28"/>
        <xdr:cNvSpPr>
          <a:spLocks noChangeAspect="1"/>
        </xdr:cNvSpPr>
      </xdr:nvSpPr>
      <xdr:spPr>
        <a:xfrm rot="10800000">
          <a:off x="2750321" y="5976923"/>
          <a:ext cx="119546" cy="96776"/>
        </a:xfrm>
        <a:prstGeom prst="triangle">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lientData/>
  </xdr:twoCellAnchor>
  <xdr:twoCellAnchor>
    <xdr:from>
      <xdr:col>7</xdr:col>
      <xdr:colOff>273843</xdr:colOff>
      <xdr:row>18</xdr:row>
      <xdr:rowOff>47625</xdr:rowOff>
    </xdr:from>
    <xdr:to>
      <xdr:col>8</xdr:col>
      <xdr:colOff>988216</xdr:colOff>
      <xdr:row>20</xdr:row>
      <xdr:rowOff>23813</xdr:rowOff>
    </xdr:to>
    <xdr:sp macro="" textlink="">
      <xdr:nvSpPr>
        <xdr:cNvPr id="24" name="TextBox 23"/>
        <xdr:cNvSpPr txBox="1"/>
      </xdr:nvSpPr>
      <xdr:spPr>
        <a:xfrm>
          <a:off x="7143749" y="4536281"/>
          <a:ext cx="1845467" cy="619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b="1" i="1">
              <a:solidFill>
                <a:srgbClr val="005090"/>
              </a:solidFill>
              <a:latin typeface="Arial" pitchFamily="34" charset="0"/>
              <a:cs typeface="Arial" pitchFamily="34" charset="0"/>
            </a:rPr>
            <a:t>Select a PROMs procedure  and measure </a:t>
          </a:r>
        </a:p>
      </xdr:txBody>
    </xdr:sp>
    <xdr:clientData/>
  </xdr:twoCellAnchor>
  <xdr:twoCellAnchor editAs="oneCell">
    <xdr:from>
      <xdr:col>3</xdr:col>
      <xdr:colOff>11902</xdr:colOff>
      <xdr:row>19</xdr:row>
      <xdr:rowOff>166687</xdr:rowOff>
    </xdr:from>
    <xdr:to>
      <xdr:col>3</xdr:col>
      <xdr:colOff>173850</xdr:colOff>
      <xdr:row>20</xdr:row>
      <xdr:rowOff>7166</xdr:rowOff>
    </xdr:to>
    <xdr:pic>
      <xdr:nvPicPr>
        <xdr:cNvPr id="25" name="Picture 2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59965" y="4976812"/>
          <a:ext cx="161948" cy="161948"/>
        </a:xfrm>
        <a:prstGeom prst="rect">
          <a:avLst/>
        </a:prstGeom>
      </xdr:spPr>
    </xdr:pic>
    <xdr:clientData/>
  </xdr:twoCellAnchor>
  <xdr:twoCellAnchor editAs="oneCell">
    <xdr:from>
      <xdr:col>7</xdr:col>
      <xdr:colOff>11903</xdr:colOff>
      <xdr:row>19</xdr:row>
      <xdr:rowOff>166687</xdr:rowOff>
    </xdr:from>
    <xdr:to>
      <xdr:col>7</xdr:col>
      <xdr:colOff>173851</xdr:colOff>
      <xdr:row>20</xdr:row>
      <xdr:rowOff>7166</xdr:rowOff>
    </xdr:to>
    <xdr:pic>
      <xdr:nvPicPr>
        <xdr:cNvPr id="30" name="Picture 2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81809" y="4976812"/>
          <a:ext cx="161948" cy="161948"/>
        </a:xfrm>
        <a:prstGeom prst="rect">
          <a:avLst/>
        </a:prstGeom>
      </xdr:spPr>
    </xdr:pic>
    <xdr:clientData/>
  </xdr:twoCellAnchor>
  <xdr:twoCellAnchor editAs="oneCell">
    <xdr:from>
      <xdr:col>1</xdr:col>
      <xdr:colOff>1076323</xdr:colOff>
      <xdr:row>24</xdr:row>
      <xdr:rowOff>266700</xdr:rowOff>
    </xdr:from>
    <xdr:to>
      <xdr:col>2</xdr:col>
      <xdr:colOff>21</xdr:colOff>
      <xdr:row>25</xdr:row>
      <xdr:rowOff>23</xdr:rowOff>
    </xdr:to>
    <xdr:pic>
      <xdr:nvPicPr>
        <xdr:cNvPr id="31" name="Picture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52573" y="7296150"/>
          <a:ext cx="161948" cy="161948"/>
        </a:xfrm>
        <a:prstGeom prst="rect">
          <a:avLst/>
        </a:prstGeom>
      </xdr:spPr>
    </xdr:pic>
    <xdr:clientData/>
  </xdr:twoCellAnchor>
  <xdr:twoCellAnchor editAs="oneCell">
    <xdr:from>
      <xdr:col>1</xdr:col>
      <xdr:colOff>1073941</xdr:colOff>
      <xdr:row>25</xdr:row>
      <xdr:rowOff>267892</xdr:rowOff>
    </xdr:from>
    <xdr:to>
      <xdr:col>1</xdr:col>
      <xdr:colOff>1235889</xdr:colOff>
      <xdr:row>26</xdr:row>
      <xdr:rowOff>1215</xdr:rowOff>
    </xdr:to>
    <xdr:pic>
      <xdr:nvPicPr>
        <xdr:cNvPr id="33" name="Picture 3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50191" y="7725967"/>
          <a:ext cx="161948" cy="161948"/>
        </a:xfrm>
        <a:prstGeom prst="rect">
          <a:avLst/>
        </a:prstGeom>
      </xdr:spPr>
    </xdr:pic>
    <xdr:clientData/>
  </xdr:twoCellAnchor>
  <xdr:twoCellAnchor editAs="oneCell">
    <xdr:from>
      <xdr:col>1</xdr:col>
      <xdr:colOff>1076325</xdr:colOff>
      <xdr:row>23</xdr:row>
      <xdr:rowOff>267891</xdr:rowOff>
    </xdr:from>
    <xdr:to>
      <xdr:col>2</xdr:col>
      <xdr:colOff>23</xdr:colOff>
      <xdr:row>24</xdr:row>
      <xdr:rowOff>1214</xdr:rowOff>
    </xdr:to>
    <xdr:pic>
      <xdr:nvPicPr>
        <xdr:cNvPr id="34" name="Picture 3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52575" y="6868716"/>
          <a:ext cx="161948" cy="161948"/>
        </a:xfrm>
        <a:prstGeom prst="rect">
          <a:avLst/>
        </a:prstGeom>
      </xdr:spPr>
    </xdr:pic>
    <xdr:clientData/>
  </xdr:twoCellAnchor>
  <xdr:twoCellAnchor editAs="oneCell">
    <xdr:from>
      <xdr:col>1</xdr:col>
      <xdr:colOff>1076323</xdr:colOff>
      <xdr:row>24</xdr:row>
      <xdr:rowOff>266700</xdr:rowOff>
    </xdr:from>
    <xdr:to>
      <xdr:col>2</xdr:col>
      <xdr:colOff>21</xdr:colOff>
      <xdr:row>25</xdr:row>
      <xdr:rowOff>23</xdr:rowOff>
    </xdr:to>
    <xdr:pic>
      <xdr:nvPicPr>
        <xdr:cNvPr id="35" name="Picture 3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52573" y="7296150"/>
          <a:ext cx="161948" cy="161948"/>
        </a:xfrm>
        <a:prstGeom prst="rect">
          <a:avLst/>
        </a:prstGeom>
      </xdr:spPr>
    </xdr:pic>
    <xdr:clientData/>
  </xdr:twoCellAnchor>
  <xdr:twoCellAnchor editAs="oneCell">
    <xdr:from>
      <xdr:col>1</xdr:col>
      <xdr:colOff>1073941</xdr:colOff>
      <xdr:row>25</xdr:row>
      <xdr:rowOff>267892</xdr:rowOff>
    </xdr:from>
    <xdr:to>
      <xdr:col>1</xdr:col>
      <xdr:colOff>1235889</xdr:colOff>
      <xdr:row>26</xdr:row>
      <xdr:rowOff>1215</xdr:rowOff>
    </xdr:to>
    <xdr:pic>
      <xdr:nvPicPr>
        <xdr:cNvPr id="36" name="Picture 3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50191" y="7725967"/>
          <a:ext cx="161948" cy="161948"/>
        </a:xfrm>
        <a:prstGeom prst="rect">
          <a:avLst/>
        </a:prstGeom>
      </xdr:spPr>
    </xdr:pic>
    <xdr:clientData/>
  </xdr:twoCellAnchor>
  <xdr:twoCellAnchor editAs="oneCell">
    <xdr:from>
      <xdr:col>3</xdr:col>
      <xdr:colOff>86915</xdr:colOff>
      <xdr:row>23</xdr:row>
      <xdr:rowOff>265510</xdr:rowOff>
    </xdr:from>
    <xdr:to>
      <xdr:col>4</xdr:col>
      <xdr:colOff>1212</xdr:colOff>
      <xdr:row>23</xdr:row>
      <xdr:rowOff>427458</xdr:rowOff>
    </xdr:to>
    <xdr:pic>
      <xdr:nvPicPr>
        <xdr:cNvPr id="37" name="Picture 3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30215" y="6866335"/>
          <a:ext cx="161947" cy="161948"/>
        </a:xfrm>
        <a:prstGeom prst="rect">
          <a:avLst/>
        </a:prstGeom>
      </xdr:spPr>
    </xdr:pic>
    <xdr:clientData/>
  </xdr:twoCellAnchor>
  <xdr:twoCellAnchor editAs="oneCell">
    <xdr:from>
      <xdr:col>3</xdr:col>
      <xdr:colOff>84533</xdr:colOff>
      <xdr:row>24</xdr:row>
      <xdr:rowOff>264319</xdr:rowOff>
    </xdr:from>
    <xdr:to>
      <xdr:col>4</xdr:col>
      <xdr:colOff>1552</xdr:colOff>
      <xdr:row>24</xdr:row>
      <xdr:rowOff>426267</xdr:rowOff>
    </xdr:to>
    <xdr:pic>
      <xdr:nvPicPr>
        <xdr:cNvPr id="38" name="Picture 3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27833" y="7293769"/>
          <a:ext cx="161947" cy="161948"/>
        </a:xfrm>
        <a:prstGeom prst="rect">
          <a:avLst/>
        </a:prstGeom>
      </xdr:spPr>
    </xdr:pic>
    <xdr:clientData/>
  </xdr:twoCellAnchor>
  <xdr:twoCellAnchor editAs="oneCell">
    <xdr:from>
      <xdr:col>3</xdr:col>
      <xdr:colOff>86914</xdr:colOff>
      <xdr:row>25</xdr:row>
      <xdr:rowOff>265511</xdr:rowOff>
    </xdr:from>
    <xdr:to>
      <xdr:col>4</xdr:col>
      <xdr:colOff>1211</xdr:colOff>
      <xdr:row>25</xdr:row>
      <xdr:rowOff>427459</xdr:rowOff>
    </xdr:to>
    <xdr:pic>
      <xdr:nvPicPr>
        <xdr:cNvPr id="39" name="Picture 3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30214" y="7723586"/>
          <a:ext cx="161947" cy="161948"/>
        </a:xfrm>
        <a:prstGeom prst="rect">
          <a:avLst/>
        </a:prstGeom>
      </xdr:spPr>
    </xdr:pic>
    <xdr:clientData/>
  </xdr:twoCellAnchor>
  <xdr:twoCellAnchor editAs="oneCell">
    <xdr:from>
      <xdr:col>1</xdr:col>
      <xdr:colOff>1073941</xdr:colOff>
      <xdr:row>25</xdr:row>
      <xdr:rowOff>267892</xdr:rowOff>
    </xdr:from>
    <xdr:to>
      <xdr:col>1</xdr:col>
      <xdr:colOff>1235889</xdr:colOff>
      <xdr:row>26</xdr:row>
      <xdr:rowOff>1215</xdr:rowOff>
    </xdr:to>
    <xdr:pic>
      <xdr:nvPicPr>
        <xdr:cNvPr id="41" name="Picture 4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50191" y="7725967"/>
          <a:ext cx="161948" cy="161948"/>
        </a:xfrm>
        <a:prstGeom prst="rect">
          <a:avLst/>
        </a:prstGeom>
      </xdr:spPr>
    </xdr:pic>
    <xdr:clientData/>
  </xdr:twoCellAnchor>
  <xdr:twoCellAnchor>
    <xdr:from>
      <xdr:col>3</xdr:col>
      <xdr:colOff>226248</xdr:colOff>
      <xdr:row>27</xdr:row>
      <xdr:rowOff>178594</xdr:rowOff>
    </xdr:from>
    <xdr:to>
      <xdr:col>7</xdr:col>
      <xdr:colOff>666780</xdr:colOff>
      <xdr:row>29</xdr:row>
      <xdr:rowOff>166688</xdr:rowOff>
    </xdr:to>
    <xdr:sp macro="" textlink="">
      <xdr:nvSpPr>
        <xdr:cNvPr id="42" name="TextBox 41"/>
        <xdr:cNvSpPr txBox="1"/>
      </xdr:nvSpPr>
      <xdr:spPr>
        <a:xfrm>
          <a:off x="3774311" y="8191500"/>
          <a:ext cx="3762375" cy="381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en-GB" sz="1100" b="1" i="1">
              <a:solidFill>
                <a:srgbClr val="005090"/>
              </a:solidFill>
              <a:latin typeface="Arial" pitchFamily="34" charset="0"/>
              <a:cs typeface="Arial" pitchFamily="34" charset="0"/>
            </a:rPr>
            <a:t>Cells suppressed to protect patient confidentiality,</a:t>
          </a:r>
          <a:r>
            <a:rPr lang="en-GB" sz="1100" b="1" i="1" baseline="0">
              <a:solidFill>
                <a:srgbClr val="005090"/>
              </a:solidFill>
              <a:latin typeface="Arial" pitchFamily="34" charset="0"/>
              <a:cs typeface="Arial" pitchFamily="34" charset="0"/>
            </a:rPr>
            <a:t> shown with an asterisk</a:t>
          </a:r>
          <a:endParaRPr lang="en-GB" sz="1100" b="1" i="1">
            <a:solidFill>
              <a:srgbClr val="005090"/>
            </a:solidFill>
            <a:latin typeface="Arial" pitchFamily="34" charset="0"/>
            <a:cs typeface="Arial" pitchFamily="34" charset="0"/>
          </a:endParaRPr>
        </a:p>
      </xdr:txBody>
    </xdr:sp>
    <xdr:clientData/>
  </xdr:twoCellAnchor>
  <xdr:twoCellAnchor>
    <xdr:from>
      <xdr:col>11</xdr:col>
      <xdr:colOff>535782</xdr:colOff>
      <xdr:row>25</xdr:row>
      <xdr:rowOff>273846</xdr:rowOff>
    </xdr:from>
    <xdr:to>
      <xdr:col>11</xdr:col>
      <xdr:colOff>547688</xdr:colOff>
      <xdr:row>27</xdr:row>
      <xdr:rowOff>130969</xdr:rowOff>
    </xdr:to>
    <xdr:cxnSp macro="">
      <xdr:nvCxnSpPr>
        <xdr:cNvPr id="43" name="Straight Arrow Connector 42"/>
        <xdr:cNvCxnSpPr/>
      </xdr:nvCxnSpPr>
      <xdr:spPr>
        <a:xfrm flipH="1" flipV="1">
          <a:off x="11787188" y="7727159"/>
          <a:ext cx="11906" cy="416716"/>
        </a:xfrm>
        <a:prstGeom prst="straightConnector1">
          <a:avLst/>
        </a:prstGeom>
        <a:ln w="19050">
          <a:solidFill>
            <a:schemeClr val="tx1"/>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783335</xdr:colOff>
      <xdr:row>27</xdr:row>
      <xdr:rowOff>152403</xdr:rowOff>
    </xdr:from>
    <xdr:to>
      <xdr:col>13</xdr:col>
      <xdr:colOff>378523</xdr:colOff>
      <xdr:row>30</xdr:row>
      <xdr:rowOff>59532</xdr:rowOff>
    </xdr:to>
    <xdr:sp macro="" textlink="">
      <xdr:nvSpPr>
        <xdr:cNvPr id="44" name="TextBox 43"/>
        <xdr:cNvSpPr txBox="1"/>
      </xdr:nvSpPr>
      <xdr:spPr>
        <a:xfrm>
          <a:off x="9915429" y="8165309"/>
          <a:ext cx="3762375" cy="490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en-GB" sz="1100" b="1" i="1">
              <a:solidFill>
                <a:srgbClr val="005090"/>
              </a:solidFill>
              <a:latin typeface="Arial" pitchFamily="34" charset="0"/>
              <a:cs typeface="Arial" pitchFamily="34" charset="0"/>
            </a:rPr>
            <a:t>Casemix-adjusted</a:t>
          </a:r>
          <a:r>
            <a:rPr lang="en-GB" sz="1100" b="1" i="1" baseline="0">
              <a:solidFill>
                <a:srgbClr val="005090"/>
              </a:solidFill>
              <a:latin typeface="Arial" pitchFamily="34" charset="0"/>
              <a:cs typeface="Arial" pitchFamily="34" charset="0"/>
            </a:rPr>
            <a:t> figures not calculated where there are fewer than 30 modelled records.  Whole row  highlighted in grey italics.</a:t>
          </a:r>
        </a:p>
      </xdr:txBody>
    </xdr:sp>
    <xdr:clientData/>
  </xdr:twoCellAnchor>
  <xdr:twoCellAnchor>
    <xdr:from>
      <xdr:col>4</xdr:col>
      <xdr:colOff>583408</xdr:colOff>
      <xdr:row>23</xdr:row>
      <xdr:rowOff>238126</xdr:rowOff>
    </xdr:from>
    <xdr:to>
      <xdr:col>5</xdr:col>
      <xdr:colOff>535782</xdr:colOff>
      <xdr:row>27</xdr:row>
      <xdr:rowOff>190501</xdr:rowOff>
    </xdr:to>
    <xdr:cxnSp macro="">
      <xdr:nvCxnSpPr>
        <xdr:cNvPr id="45" name="Straight Arrow Connector 44"/>
        <xdr:cNvCxnSpPr/>
      </xdr:nvCxnSpPr>
      <xdr:spPr>
        <a:xfrm flipH="1" flipV="1">
          <a:off x="4381502" y="6834189"/>
          <a:ext cx="976311" cy="1369218"/>
        </a:xfrm>
        <a:prstGeom prst="straightConnector1">
          <a:avLst/>
        </a:prstGeom>
        <a:ln w="19050">
          <a:solidFill>
            <a:schemeClr val="tx1"/>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678648</xdr:colOff>
      <xdr:row>26</xdr:row>
      <xdr:rowOff>35720</xdr:rowOff>
    </xdr:from>
    <xdr:to>
      <xdr:col>2</xdr:col>
      <xdr:colOff>990591</xdr:colOff>
      <xdr:row>28</xdr:row>
      <xdr:rowOff>23811</xdr:rowOff>
    </xdr:to>
    <xdr:sp macro="" textlink="">
      <xdr:nvSpPr>
        <xdr:cNvPr id="46" name="Right Brace 45"/>
        <xdr:cNvSpPr/>
      </xdr:nvSpPr>
      <xdr:spPr>
        <a:xfrm rot="5400000">
          <a:off x="1769262" y="7291387"/>
          <a:ext cx="321466" cy="1550193"/>
        </a:xfrm>
        <a:prstGeom prst="rightBrace">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116681</xdr:colOff>
      <xdr:row>0</xdr:row>
      <xdr:rowOff>250032</xdr:rowOff>
    </xdr:from>
    <xdr:to>
      <xdr:col>2</xdr:col>
      <xdr:colOff>1076420</xdr:colOff>
      <xdr:row>4</xdr:row>
      <xdr:rowOff>86583</xdr:rowOff>
    </xdr:to>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681" y="250032"/>
          <a:ext cx="2424208" cy="789051"/>
        </a:xfrm>
        <a:prstGeom prst="rect">
          <a:avLst/>
        </a:prstGeom>
      </xdr:spPr>
    </xdr:pic>
    <xdr:clientData/>
  </xdr:twoCellAnchor>
  <xdr:twoCellAnchor>
    <xdr:from>
      <xdr:col>2</xdr:col>
      <xdr:colOff>1893029</xdr:colOff>
      <xdr:row>11</xdr:row>
      <xdr:rowOff>166684</xdr:rowOff>
    </xdr:from>
    <xdr:to>
      <xdr:col>2</xdr:col>
      <xdr:colOff>2012575</xdr:colOff>
      <xdr:row>11</xdr:row>
      <xdr:rowOff>263460</xdr:rowOff>
    </xdr:to>
    <xdr:sp macro="" textlink="">
      <xdr:nvSpPr>
        <xdr:cNvPr id="11" name="Isosceles Triangle 10"/>
        <xdr:cNvSpPr>
          <a:spLocks noChangeAspect="1"/>
        </xdr:cNvSpPr>
      </xdr:nvSpPr>
      <xdr:spPr>
        <a:xfrm rot="10800000">
          <a:off x="3559904" y="3000372"/>
          <a:ext cx="119546" cy="96776"/>
        </a:xfrm>
        <a:prstGeom prst="triangle">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lientData/>
  </xdr:twoCellAnchor>
  <xdr:twoCellAnchor>
    <xdr:from>
      <xdr:col>6</xdr:col>
      <xdr:colOff>857191</xdr:colOff>
      <xdr:row>11</xdr:row>
      <xdr:rowOff>166684</xdr:rowOff>
    </xdr:from>
    <xdr:to>
      <xdr:col>6</xdr:col>
      <xdr:colOff>976737</xdr:colOff>
      <xdr:row>11</xdr:row>
      <xdr:rowOff>263460</xdr:rowOff>
    </xdr:to>
    <xdr:sp macro="" textlink="">
      <xdr:nvSpPr>
        <xdr:cNvPr id="12" name="Isosceles Triangle 11"/>
        <xdr:cNvSpPr>
          <a:spLocks noChangeAspect="1"/>
        </xdr:cNvSpPr>
      </xdr:nvSpPr>
      <xdr:spPr>
        <a:xfrm rot="10800000">
          <a:off x="6679347" y="3000372"/>
          <a:ext cx="119546" cy="96776"/>
        </a:xfrm>
        <a:prstGeom prst="triangle">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lientData/>
  </xdr:twoCellAnchor>
  <xdr:twoCellAnchor>
    <xdr:from>
      <xdr:col>1</xdr:col>
      <xdr:colOff>559582</xdr:colOff>
      <xdr:row>14</xdr:row>
      <xdr:rowOff>773890</xdr:rowOff>
    </xdr:from>
    <xdr:to>
      <xdr:col>1</xdr:col>
      <xdr:colOff>679128</xdr:colOff>
      <xdr:row>14</xdr:row>
      <xdr:rowOff>870666</xdr:rowOff>
    </xdr:to>
    <xdr:sp macro="" textlink="">
      <xdr:nvSpPr>
        <xdr:cNvPr id="13" name="Isosceles Triangle 12"/>
        <xdr:cNvSpPr>
          <a:spLocks noChangeAspect="1"/>
        </xdr:cNvSpPr>
      </xdr:nvSpPr>
      <xdr:spPr>
        <a:xfrm rot="10800000">
          <a:off x="1012020" y="5333984"/>
          <a:ext cx="119546" cy="96776"/>
        </a:xfrm>
        <a:prstGeom prst="triangle">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lientData/>
  </xdr:twoCellAnchor>
  <xdr:twoCellAnchor>
    <xdr:from>
      <xdr:col>2</xdr:col>
      <xdr:colOff>1154882</xdr:colOff>
      <xdr:row>14</xdr:row>
      <xdr:rowOff>773890</xdr:rowOff>
    </xdr:from>
    <xdr:to>
      <xdr:col>2</xdr:col>
      <xdr:colOff>1274428</xdr:colOff>
      <xdr:row>14</xdr:row>
      <xdr:rowOff>870666</xdr:rowOff>
    </xdr:to>
    <xdr:sp macro="" textlink="">
      <xdr:nvSpPr>
        <xdr:cNvPr id="14" name="Isosceles Triangle 13"/>
        <xdr:cNvSpPr>
          <a:spLocks noChangeAspect="1"/>
        </xdr:cNvSpPr>
      </xdr:nvSpPr>
      <xdr:spPr>
        <a:xfrm rot="10800000">
          <a:off x="2821757" y="4452921"/>
          <a:ext cx="119546" cy="96776"/>
        </a:xfrm>
        <a:prstGeom prst="triangle">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hyperlink" Target="http://www.hscic.gov.uk/terms-and-conditions"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hscic.gov.uk/terms-and-conditions" TargetMode="External"/><Relationship Id="rId1" Type="http://schemas.openxmlformats.org/officeDocument/2006/relationships/hyperlink" Target="http://www.ic.nhs.uk/terms-and-conditions" TargetMode="External"/><Relationship Id="rId4"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hscic.gov.uk/terms-and-conditions" TargetMode="External"/><Relationship Id="rId1" Type="http://schemas.openxmlformats.org/officeDocument/2006/relationships/hyperlink" Target="http://www.hscic.gov.uk/terms-and-conditions" TargetMode="External"/><Relationship Id="rId4"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hscic.gov.uk/terms-and-conditions" TargetMode="External"/><Relationship Id="rId1" Type="http://schemas.openxmlformats.org/officeDocument/2006/relationships/hyperlink" Target="http://www.ic.nhs.uk/terms-and-conditions" TargetMode="External"/><Relationship Id="rId4"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hscic.gov.uk/terms-and-conditions" TargetMode="External"/><Relationship Id="rId1" Type="http://schemas.openxmlformats.org/officeDocument/2006/relationships/hyperlink" Target="http://www.ic.nhs.uk/terms-and-conditions" TargetMode="External"/><Relationship Id="rId4"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hscic.gov.uk/terms-and-conditions"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6.bin"/><Relationship Id="rId1" Type="http://schemas.openxmlformats.org/officeDocument/2006/relationships/hyperlink" Target="http://www.hscic.gov.uk/terms-and-conditions"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hscic.gov.uk/terms-and-conditions" TargetMode="External"/><Relationship Id="rId1" Type="http://schemas.openxmlformats.org/officeDocument/2006/relationships/hyperlink" Target="http://www.ic.nhs.uk/terms-and-conditions" TargetMode="External"/><Relationship Id="rId4" Type="http://schemas.openxmlformats.org/officeDocument/2006/relationships/drawing" Target="../drawings/drawing1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F284"/>
  <sheetViews>
    <sheetView topLeftCell="B1" workbookViewId="0">
      <pane ySplit="9" topLeftCell="A25" activePane="bottomLeft" state="frozen"/>
      <selection activeCell="E31" sqref="E31"/>
      <selection pane="bottomLeft" activeCell="E31" sqref="E31"/>
    </sheetView>
  </sheetViews>
  <sheetFormatPr defaultRowHeight="15.75" x14ac:dyDescent="0.3"/>
  <cols>
    <col min="1" max="1" width="4" style="277" customWidth="1"/>
    <col min="2" max="2" width="11.28515625" style="277" customWidth="1"/>
    <col min="3" max="3" width="4.28515625" style="277" customWidth="1"/>
    <col min="4" max="4" width="28.42578125" style="277" customWidth="1"/>
    <col min="5" max="5" width="115.140625" style="277" customWidth="1"/>
    <col min="6" max="6" width="9.140625" style="276"/>
    <col min="7" max="16384" width="9.140625" style="277"/>
  </cols>
  <sheetData>
    <row r="1" spans="1:6" ht="18.75" x14ac:dyDescent="0.3">
      <c r="A1" s="484" t="s">
        <v>184</v>
      </c>
      <c r="B1" s="484"/>
      <c r="C1" s="484"/>
      <c r="D1" s="484"/>
      <c r="E1" s="484"/>
    </row>
    <row r="2" spans="1:6" s="278" customFormat="1" x14ac:dyDescent="0.3">
      <c r="B2" s="279"/>
      <c r="C2" s="279"/>
      <c r="D2" s="279"/>
      <c r="E2" s="279"/>
      <c r="F2" s="280"/>
    </row>
    <row r="3" spans="1:6" s="278" customFormat="1" x14ac:dyDescent="0.3">
      <c r="A3" s="485" t="s">
        <v>302</v>
      </c>
      <c r="B3" s="485"/>
      <c r="C3" s="281">
        <v>1</v>
      </c>
      <c r="D3" s="282"/>
      <c r="E3" s="283" t="s">
        <v>162</v>
      </c>
      <c r="F3" s="280"/>
    </row>
    <row r="4" spans="1:6" s="278" customFormat="1" ht="38.25" customHeight="1" x14ac:dyDescent="0.3">
      <c r="B4" s="279"/>
      <c r="C4" s="281">
        <v>2</v>
      </c>
      <c r="D4" s="486" t="s">
        <v>161</v>
      </c>
      <c r="E4" s="486"/>
      <c r="F4" s="280"/>
    </row>
    <row r="5" spans="1:6" s="278" customFormat="1" ht="63.75" customHeight="1" x14ac:dyDescent="0.3">
      <c r="B5" s="279"/>
      <c r="C5" s="281">
        <v>3</v>
      </c>
      <c r="D5" s="486" t="s">
        <v>348</v>
      </c>
      <c r="E5" s="486"/>
      <c r="F5" s="280"/>
    </row>
    <row r="6" spans="1:6" s="278" customFormat="1" ht="35.25" customHeight="1" x14ac:dyDescent="0.3">
      <c r="B6" s="279"/>
      <c r="C6" s="281">
        <v>4</v>
      </c>
      <c r="D6" s="486" t="s">
        <v>182</v>
      </c>
      <c r="E6" s="486"/>
      <c r="F6" s="280"/>
    </row>
    <row r="7" spans="1:6" s="278" customFormat="1" ht="21" customHeight="1" x14ac:dyDescent="0.3">
      <c r="B7" s="279"/>
      <c r="C7" s="281">
        <v>5</v>
      </c>
      <c r="D7" s="486" t="s">
        <v>158</v>
      </c>
      <c r="E7" s="486"/>
      <c r="F7" s="280"/>
    </row>
    <row r="8" spans="1:6" s="278" customFormat="1" ht="18" customHeight="1" x14ac:dyDescent="0.3">
      <c r="B8" s="279"/>
      <c r="C8" s="281"/>
      <c r="F8" s="280"/>
    </row>
    <row r="9" spans="1:6" s="278" customFormat="1" ht="18" customHeight="1" x14ac:dyDescent="0.3">
      <c r="B9" s="279"/>
      <c r="C9" s="284"/>
      <c r="D9" s="285"/>
      <c r="E9" s="285"/>
      <c r="F9" s="280"/>
    </row>
    <row r="10" spans="1:6" s="278" customFormat="1" ht="18" customHeight="1" x14ac:dyDescent="0.25">
      <c r="A10" s="488" t="s">
        <v>156</v>
      </c>
      <c r="B10" s="488"/>
      <c r="C10" s="488"/>
      <c r="D10" s="488"/>
      <c r="E10" s="285"/>
      <c r="F10" s="286" t="s">
        <v>159</v>
      </c>
    </row>
    <row r="12" spans="1:6" x14ac:dyDescent="0.2">
      <c r="A12" s="290">
        <v>1</v>
      </c>
      <c r="B12" s="291" t="s">
        <v>81</v>
      </c>
      <c r="C12" s="483" t="s">
        <v>80</v>
      </c>
      <c r="D12" s="483"/>
      <c r="E12" s="291" t="s">
        <v>301</v>
      </c>
      <c r="F12" s="293" t="s">
        <v>347</v>
      </c>
    </row>
    <row r="13" spans="1:6" x14ac:dyDescent="0.2">
      <c r="A13" s="290"/>
      <c r="B13" s="291"/>
      <c r="C13" s="390"/>
      <c r="D13" s="390"/>
      <c r="E13" s="291" t="s">
        <v>303</v>
      </c>
      <c r="F13" s="293" t="s">
        <v>347</v>
      </c>
    </row>
    <row r="14" spans="1:6" x14ac:dyDescent="0.2">
      <c r="A14" s="290"/>
      <c r="B14" s="291"/>
      <c r="C14" s="390"/>
      <c r="D14" s="390"/>
      <c r="E14" s="291" t="s">
        <v>311</v>
      </c>
      <c r="F14" s="293" t="s">
        <v>347</v>
      </c>
    </row>
    <row r="15" spans="1:6" x14ac:dyDescent="0.2">
      <c r="A15" s="290"/>
      <c r="B15" s="291"/>
      <c r="C15" s="390"/>
      <c r="D15" s="390"/>
      <c r="E15" s="291" t="s">
        <v>310</v>
      </c>
      <c r="F15" s="293" t="s">
        <v>347</v>
      </c>
    </row>
    <row r="16" spans="1:6" ht="30" customHeight="1" x14ac:dyDescent="0.2">
      <c r="A16" s="290"/>
      <c r="B16" s="291"/>
      <c r="C16" s="390"/>
      <c r="D16" s="390"/>
      <c r="E16" s="292" t="s">
        <v>312</v>
      </c>
      <c r="F16" s="293" t="s">
        <v>347</v>
      </c>
    </row>
    <row r="17" spans="1:6" x14ac:dyDescent="0.2">
      <c r="F17" s="294"/>
    </row>
    <row r="18" spans="1:6" ht="103.5" customHeight="1" x14ac:dyDescent="0.2">
      <c r="A18" s="290">
        <v>2</v>
      </c>
      <c r="B18" s="291" t="s">
        <v>81</v>
      </c>
      <c r="C18" s="483" t="s">
        <v>77</v>
      </c>
      <c r="D18" s="483"/>
      <c r="E18" s="435" t="s">
        <v>329</v>
      </c>
      <c r="F18" s="293" t="s">
        <v>347</v>
      </c>
    </row>
    <row r="19" spans="1:6" ht="28.5" x14ac:dyDescent="0.2">
      <c r="A19" s="290"/>
      <c r="B19" s="291"/>
      <c r="C19" s="295"/>
      <c r="D19" s="295"/>
      <c r="E19" s="292" t="s">
        <v>327</v>
      </c>
      <c r="F19" s="293" t="s">
        <v>347</v>
      </c>
    </row>
    <row r="20" spans="1:6" x14ac:dyDescent="0.2">
      <c r="F20" s="294"/>
    </row>
    <row r="21" spans="1:6" ht="60.75" customHeight="1" x14ac:dyDescent="0.2">
      <c r="A21" s="290">
        <v>3</v>
      </c>
      <c r="B21" s="291" t="s">
        <v>81</v>
      </c>
      <c r="C21" s="483" t="s">
        <v>78</v>
      </c>
      <c r="D21" s="483"/>
      <c r="E21" s="292" t="s">
        <v>330</v>
      </c>
      <c r="F21" s="293" t="s">
        <v>347</v>
      </c>
    </row>
    <row r="22" spans="1:6" ht="28.5" x14ac:dyDescent="0.2">
      <c r="E22" s="292" t="s">
        <v>328</v>
      </c>
      <c r="F22" s="293" t="s">
        <v>347</v>
      </c>
    </row>
    <row r="23" spans="1:6" x14ac:dyDescent="0.25">
      <c r="B23" s="288"/>
      <c r="C23" s="288"/>
      <c r="F23" s="294"/>
    </row>
    <row r="24" spans="1:6" ht="33" customHeight="1" x14ac:dyDescent="0.2">
      <c r="A24" s="290">
        <v>4</v>
      </c>
      <c r="B24" s="291" t="s">
        <v>81</v>
      </c>
      <c r="C24" s="483" t="s">
        <v>304</v>
      </c>
      <c r="D24" s="483"/>
      <c r="E24" s="292" t="s">
        <v>313</v>
      </c>
      <c r="F24" s="293" t="s">
        <v>347</v>
      </c>
    </row>
    <row r="25" spans="1:6" x14ac:dyDescent="0.25">
      <c r="B25" s="288"/>
      <c r="C25" s="434"/>
      <c r="D25" s="291"/>
      <c r="E25" s="291" t="s">
        <v>227</v>
      </c>
      <c r="F25" s="293" t="s">
        <v>347</v>
      </c>
    </row>
    <row r="26" spans="1:6" x14ac:dyDescent="0.25">
      <c r="B26" s="288"/>
      <c r="C26" s="434"/>
      <c r="D26" s="291"/>
      <c r="E26" s="291" t="s">
        <v>314</v>
      </c>
      <c r="F26" s="294"/>
    </row>
    <row r="27" spans="1:6" ht="28.5" x14ac:dyDescent="0.25">
      <c r="B27" s="288"/>
      <c r="C27" s="434"/>
      <c r="D27" s="291"/>
      <c r="E27" s="292" t="s">
        <v>331</v>
      </c>
      <c r="F27" s="293" t="s">
        <v>347</v>
      </c>
    </row>
    <row r="28" spans="1:6" ht="28.5" x14ac:dyDescent="0.25">
      <c r="B28" s="288"/>
      <c r="C28" s="434"/>
      <c r="D28" s="291"/>
      <c r="E28" s="292" t="s">
        <v>315</v>
      </c>
      <c r="F28" s="293" t="s">
        <v>347</v>
      </c>
    </row>
    <row r="29" spans="1:6" x14ac:dyDescent="0.2">
      <c r="E29" s="277" t="s">
        <v>382</v>
      </c>
      <c r="F29" s="294"/>
    </row>
    <row r="30" spans="1:6" s="289" customFormat="1" x14ac:dyDescent="0.2">
      <c r="A30" s="290">
        <v>5</v>
      </c>
      <c r="B30" s="277" t="s">
        <v>81</v>
      </c>
      <c r="C30" s="487" t="s">
        <v>172</v>
      </c>
      <c r="D30" s="487"/>
      <c r="E30" s="289" t="s">
        <v>173</v>
      </c>
      <c r="F30" s="293"/>
    </row>
    <row r="31" spans="1:6" s="289" customFormat="1" ht="28.5" x14ac:dyDescent="0.2">
      <c r="E31" s="315" t="s">
        <v>316</v>
      </c>
      <c r="F31" s="314"/>
    </row>
    <row r="32" spans="1:6" s="289" customFormat="1" x14ac:dyDescent="0.2">
      <c r="E32" s="289" t="s">
        <v>332</v>
      </c>
      <c r="F32" s="293"/>
    </row>
    <row r="33" spans="1:6" s="289" customFormat="1" x14ac:dyDescent="0.2">
      <c r="F33" s="314"/>
    </row>
    <row r="34" spans="1:6" s="289" customFormat="1" ht="28.5" x14ac:dyDescent="0.2">
      <c r="E34" s="315" t="s">
        <v>317</v>
      </c>
      <c r="F34" s="293"/>
    </row>
    <row r="35" spans="1:6" s="289" customFormat="1" x14ac:dyDescent="0.2">
      <c r="F35" s="314"/>
    </row>
    <row r="36" spans="1:6" ht="134.25" customHeight="1" x14ac:dyDescent="0.2">
      <c r="A36" s="290">
        <v>6</v>
      </c>
      <c r="B36" s="291" t="s">
        <v>81</v>
      </c>
      <c r="C36" s="483" t="s">
        <v>80</v>
      </c>
      <c r="D36" s="483"/>
      <c r="E36" s="292" t="s">
        <v>334</v>
      </c>
      <c r="F36" s="293"/>
    </row>
    <row r="37" spans="1:6" x14ac:dyDescent="0.2">
      <c r="F37" s="294"/>
    </row>
    <row r="38" spans="1:6" x14ac:dyDescent="0.25">
      <c r="A38" s="290">
        <v>7</v>
      </c>
      <c r="B38" s="317" t="s">
        <v>82</v>
      </c>
      <c r="C38" s="277" t="s">
        <v>83</v>
      </c>
      <c r="D38" s="316"/>
      <c r="E38" s="316"/>
      <c r="F38" s="293"/>
    </row>
    <row r="39" spans="1:6" x14ac:dyDescent="0.25">
      <c r="A39" s="290"/>
      <c r="B39" s="317"/>
      <c r="C39" s="277" t="s">
        <v>333</v>
      </c>
      <c r="D39" s="316"/>
      <c r="E39" s="316"/>
      <c r="F39" s="293"/>
    </row>
    <row r="40" spans="1:6" x14ac:dyDescent="0.2">
      <c r="B40" s="289"/>
      <c r="C40" s="277" t="s">
        <v>185</v>
      </c>
      <c r="F40" s="293"/>
    </row>
    <row r="41" spans="1:6" x14ac:dyDescent="0.2">
      <c r="B41" s="289"/>
      <c r="C41" s="277" t="s">
        <v>175</v>
      </c>
      <c r="F41" s="437"/>
    </row>
    <row r="42" spans="1:6" x14ac:dyDescent="0.2">
      <c r="B42" s="289"/>
      <c r="C42" s="277" t="s">
        <v>335</v>
      </c>
      <c r="F42" s="314"/>
    </row>
    <row r="43" spans="1:6" x14ac:dyDescent="0.2">
      <c r="B43" s="289"/>
      <c r="F43" s="314"/>
    </row>
    <row r="44" spans="1:6" x14ac:dyDescent="0.2">
      <c r="A44" s="287">
        <v>8</v>
      </c>
      <c r="B44" s="318" t="s">
        <v>176</v>
      </c>
      <c r="C44" s="287">
        <v>1</v>
      </c>
      <c r="D44" s="319" t="s">
        <v>84</v>
      </c>
      <c r="F44" s="293"/>
    </row>
    <row r="45" spans="1:6" x14ac:dyDescent="0.2">
      <c r="E45" s="277" t="s">
        <v>76</v>
      </c>
      <c r="F45" s="294"/>
    </row>
    <row r="46" spans="1:6" x14ac:dyDescent="0.2">
      <c r="E46" s="277" t="s">
        <v>80</v>
      </c>
      <c r="F46" s="294"/>
    </row>
    <row r="47" spans="1:6" x14ac:dyDescent="0.2">
      <c r="E47" s="277" t="s">
        <v>77</v>
      </c>
      <c r="F47" s="294"/>
    </row>
    <row r="48" spans="1:6" x14ac:dyDescent="0.2">
      <c r="E48" s="277" t="s">
        <v>78</v>
      </c>
      <c r="F48" s="294"/>
    </row>
    <row r="49" spans="1:6" x14ac:dyDescent="0.2">
      <c r="E49" s="277" t="s">
        <v>304</v>
      </c>
      <c r="F49" s="294"/>
    </row>
    <row r="50" spans="1:6" x14ac:dyDescent="0.2">
      <c r="E50" s="277" t="s">
        <v>172</v>
      </c>
      <c r="F50" s="294"/>
    </row>
    <row r="51" spans="1:6" x14ac:dyDescent="0.2">
      <c r="E51" s="277" t="s">
        <v>157</v>
      </c>
      <c r="F51" s="294"/>
    </row>
    <row r="52" spans="1:6" x14ac:dyDescent="0.2">
      <c r="E52" s="277" t="s">
        <v>318</v>
      </c>
      <c r="F52" s="294"/>
    </row>
    <row r="53" spans="1:6" x14ac:dyDescent="0.2">
      <c r="E53" s="277" t="s">
        <v>79</v>
      </c>
      <c r="F53" s="294"/>
    </row>
    <row r="54" spans="1:6" x14ac:dyDescent="0.2">
      <c r="F54" s="294"/>
    </row>
    <row r="55" spans="1:6" x14ac:dyDescent="0.2">
      <c r="F55" s="294"/>
    </row>
    <row r="56" spans="1:6" x14ac:dyDescent="0.2">
      <c r="C56" s="287">
        <v>2</v>
      </c>
      <c r="D56" s="277" t="s">
        <v>177</v>
      </c>
      <c r="E56" s="277" t="s">
        <v>183</v>
      </c>
      <c r="F56" s="293"/>
    </row>
    <row r="57" spans="1:6" x14ac:dyDescent="0.2">
      <c r="C57" s="287">
        <v>3</v>
      </c>
      <c r="D57" s="277" t="s">
        <v>178</v>
      </c>
      <c r="E57" s="277" t="s">
        <v>183</v>
      </c>
      <c r="F57" s="293"/>
    </row>
    <row r="58" spans="1:6" x14ac:dyDescent="0.2">
      <c r="F58" s="294"/>
    </row>
    <row r="59" spans="1:6" x14ac:dyDescent="0.2">
      <c r="A59" s="277">
        <v>9</v>
      </c>
      <c r="B59" s="277" t="s">
        <v>186</v>
      </c>
      <c r="C59" s="321" t="s">
        <v>187</v>
      </c>
      <c r="F59" s="294"/>
    </row>
    <row r="60" spans="1:6" x14ac:dyDescent="0.2">
      <c r="C60" s="436" t="s">
        <v>324</v>
      </c>
      <c r="F60" s="294"/>
    </row>
    <row r="61" spans="1:6" x14ac:dyDescent="0.2">
      <c r="C61" s="436" t="s">
        <v>325</v>
      </c>
      <c r="F61" s="294"/>
    </row>
    <row r="62" spans="1:6" x14ac:dyDescent="0.2">
      <c r="C62" s="321" t="s">
        <v>326</v>
      </c>
      <c r="F62" s="294"/>
    </row>
    <row r="63" spans="1:6" x14ac:dyDescent="0.2">
      <c r="C63" s="321" t="s">
        <v>188</v>
      </c>
      <c r="F63" s="294"/>
    </row>
    <row r="64" spans="1:6" x14ac:dyDescent="0.2">
      <c r="F64" s="294"/>
    </row>
    <row r="65" spans="6:6" x14ac:dyDescent="0.2">
      <c r="F65" s="294"/>
    </row>
    <row r="66" spans="6:6" x14ac:dyDescent="0.2">
      <c r="F66" s="294"/>
    </row>
    <row r="67" spans="6:6" x14ac:dyDescent="0.2">
      <c r="F67" s="294"/>
    </row>
    <row r="68" spans="6:6" x14ac:dyDescent="0.2">
      <c r="F68" s="294"/>
    </row>
    <row r="69" spans="6:6" x14ac:dyDescent="0.2">
      <c r="F69" s="294"/>
    </row>
    <row r="70" spans="6:6" x14ac:dyDescent="0.2">
      <c r="F70" s="294"/>
    </row>
    <row r="71" spans="6:6" x14ac:dyDescent="0.2">
      <c r="F71" s="294"/>
    </row>
    <row r="72" spans="6:6" x14ac:dyDescent="0.2">
      <c r="F72" s="294"/>
    </row>
    <row r="73" spans="6:6" x14ac:dyDescent="0.2">
      <c r="F73" s="294"/>
    </row>
    <row r="74" spans="6:6" x14ac:dyDescent="0.2">
      <c r="F74" s="294"/>
    </row>
    <row r="75" spans="6:6" x14ac:dyDescent="0.2">
      <c r="F75" s="294"/>
    </row>
    <row r="76" spans="6:6" x14ac:dyDescent="0.2">
      <c r="F76" s="294"/>
    </row>
    <row r="77" spans="6:6" x14ac:dyDescent="0.2">
      <c r="F77" s="294"/>
    </row>
    <row r="78" spans="6:6" x14ac:dyDescent="0.2">
      <c r="F78" s="294"/>
    </row>
    <row r="79" spans="6:6" x14ac:dyDescent="0.2">
      <c r="F79" s="294"/>
    </row>
    <row r="80" spans="6:6" x14ac:dyDescent="0.2">
      <c r="F80" s="294"/>
    </row>
    <row r="81" spans="6:6" x14ac:dyDescent="0.2">
      <c r="F81" s="294"/>
    </row>
    <row r="82" spans="6:6" x14ac:dyDescent="0.2">
      <c r="F82" s="294"/>
    </row>
    <row r="83" spans="6:6" x14ac:dyDescent="0.2">
      <c r="F83" s="294"/>
    </row>
    <row r="84" spans="6:6" x14ac:dyDescent="0.2">
      <c r="F84" s="294"/>
    </row>
    <row r="85" spans="6:6" x14ac:dyDescent="0.2">
      <c r="F85" s="294"/>
    </row>
    <row r="86" spans="6:6" x14ac:dyDescent="0.2">
      <c r="F86" s="294"/>
    </row>
    <row r="87" spans="6:6" x14ac:dyDescent="0.2">
      <c r="F87" s="294"/>
    </row>
    <row r="88" spans="6:6" x14ac:dyDescent="0.2">
      <c r="F88" s="294"/>
    </row>
    <row r="89" spans="6:6" x14ac:dyDescent="0.2">
      <c r="F89" s="294"/>
    </row>
    <row r="90" spans="6:6" x14ac:dyDescent="0.2">
      <c r="F90" s="294"/>
    </row>
    <row r="91" spans="6:6" x14ac:dyDescent="0.2">
      <c r="F91" s="294"/>
    </row>
    <row r="92" spans="6:6" x14ac:dyDescent="0.2">
      <c r="F92" s="294"/>
    </row>
    <row r="93" spans="6:6" x14ac:dyDescent="0.2">
      <c r="F93" s="294"/>
    </row>
    <row r="94" spans="6:6" x14ac:dyDescent="0.2">
      <c r="F94" s="294"/>
    </row>
    <row r="95" spans="6:6" x14ac:dyDescent="0.2">
      <c r="F95" s="294"/>
    </row>
    <row r="96" spans="6:6" x14ac:dyDescent="0.2">
      <c r="F96" s="294"/>
    </row>
    <row r="97" spans="6:6" x14ac:dyDescent="0.2">
      <c r="F97" s="294"/>
    </row>
    <row r="98" spans="6:6" x14ac:dyDescent="0.2">
      <c r="F98" s="294"/>
    </row>
    <row r="99" spans="6:6" x14ac:dyDescent="0.2">
      <c r="F99" s="294"/>
    </row>
    <row r="100" spans="6:6" x14ac:dyDescent="0.2">
      <c r="F100" s="294"/>
    </row>
    <row r="101" spans="6:6" x14ac:dyDescent="0.2">
      <c r="F101" s="294"/>
    </row>
    <row r="102" spans="6:6" x14ac:dyDescent="0.2">
      <c r="F102" s="294"/>
    </row>
    <row r="103" spans="6:6" x14ac:dyDescent="0.2">
      <c r="F103" s="294"/>
    </row>
    <row r="104" spans="6:6" x14ac:dyDescent="0.2">
      <c r="F104" s="294"/>
    </row>
    <row r="105" spans="6:6" x14ac:dyDescent="0.2">
      <c r="F105" s="294"/>
    </row>
    <row r="106" spans="6:6" x14ac:dyDescent="0.2">
      <c r="F106" s="294"/>
    </row>
    <row r="107" spans="6:6" x14ac:dyDescent="0.2">
      <c r="F107" s="294"/>
    </row>
    <row r="108" spans="6:6" x14ac:dyDescent="0.2">
      <c r="F108" s="294"/>
    </row>
    <row r="109" spans="6:6" x14ac:dyDescent="0.2">
      <c r="F109" s="294"/>
    </row>
    <row r="110" spans="6:6" x14ac:dyDescent="0.2">
      <c r="F110" s="294"/>
    </row>
    <row r="111" spans="6:6" x14ac:dyDescent="0.2">
      <c r="F111" s="294"/>
    </row>
    <row r="112" spans="6:6" x14ac:dyDescent="0.2">
      <c r="F112" s="294"/>
    </row>
    <row r="113" spans="6:6" x14ac:dyDescent="0.2">
      <c r="F113" s="294"/>
    </row>
    <row r="114" spans="6:6" x14ac:dyDescent="0.2">
      <c r="F114" s="294"/>
    </row>
    <row r="115" spans="6:6" x14ac:dyDescent="0.2">
      <c r="F115" s="294"/>
    </row>
    <row r="116" spans="6:6" x14ac:dyDescent="0.2">
      <c r="F116" s="294"/>
    </row>
    <row r="117" spans="6:6" x14ac:dyDescent="0.2">
      <c r="F117" s="294"/>
    </row>
    <row r="118" spans="6:6" x14ac:dyDescent="0.2">
      <c r="F118" s="294"/>
    </row>
    <row r="119" spans="6:6" x14ac:dyDescent="0.2">
      <c r="F119" s="294"/>
    </row>
    <row r="120" spans="6:6" x14ac:dyDescent="0.2">
      <c r="F120" s="294"/>
    </row>
    <row r="121" spans="6:6" x14ac:dyDescent="0.2">
      <c r="F121" s="294"/>
    </row>
    <row r="122" spans="6:6" x14ac:dyDescent="0.2">
      <c r="F122" s="294"/>
    </row>
    <row r="123" spans="6:6" x14ac:dyDescent="0.2">
      <c r="F123" s="294"/>
    </row>
    <row r="124" spans="6:6" x14ac:dyDescent="0.2">
      <c r="F124" s="294"/>
    </row>
    <row r="125" spans="6:6" x14ac:dyDescent="0.2">
      <c r="F125" s="294"/>
    </row>
    <row r="126" spans="6:6" x14ac:dyDescent="0.2">
      <c r="F126" s="294"/>
    </row>
    <row r="127" spans="6:6" x14ac:dyDescent="0.2">
      <c r="F127" s="294"/>
    </row>
    <row r="128" spans="6:6" x14ac:dyDescent="0.2">
      <c r="F128" s="294"/>
    </row>
    <row r="129" spans="6:6" x14ac:dyDescent="0.2">
      <c r="F129" s="294"/>
    </row>
    <row r="130" spans="6:6" x14ac:dyDescent="0.2">
      <c r="F130" s="294"/>
    </row>
    <row r="131" spans="6:6" x14ac:dyDescent="0.2">
      <c r="F131" s="294"/>
    </row>
    <row r="132" spans="6:6" x14ac:dyDescent="0.2">
      <c r="F132" s="294"/>
    </row>
    <row r="133" spans="6:6" x14ac:dyDescent="0.2">
      <c r="F133" s="294"/>
    </row>
    <row r="134" spans="6:6" x14ac:dyDescent="0.2">
      <c r="F134" s="294"/>
    </row>
    <row r="135" spans="6:6" x14ac:dyDescent="0.2">
      <c r="F135" s="294"/>
    </row>
    <row r="136" spans="6:6" x14ac:dyDescent="0.2">
      <c r="F136" s="294"/>
    </row>
    <row r="137" spans="6:6" x14ac:dyDescent="0.2">
      <c r="F137" s="294"/>
    </row>
    <row r="138" spans="6:6" x14ac:dyDescent="0.2">
      <c r="F138" s="294"/>
    </row>
    <row r="139" spans="6:6" x14ac:dyDescent="0.2">
      <c r="F139" s="294"/>
    </row>
    <row r="140" spans="6:6" x14ac:dyDescent="0.2">
      <c r="F140" s="294"/>
    </row>
    <row r="141" spans="6:6" x14ac:dyDescent="0.2">
      <c r="F141" s="294"/>
    </row>
    <row r="142" spans="6:6" x14ac:dyDescent="0.2">
      <c r="F142" s="294"/>
    </row>
    <row r="143" spans="6:6" x14ac:dyDescent="0.2">
      <c r="F143" s="294"/>
    </row>
    <row r="144" spans="6:6" x14ac:dyDescent="0.2">
      <c r="F144" s="294"/>
    </row>
    <row r="145" spans="6:6" x14ac:dyDescent="0.2">
      <c r="F145" s="294"/>
    </row>
    <row r="146" spans="6:6" x14ac:dyDescent="0.2">
      <c r="F146" s="294"/>
    </row>
    <row r="147" spans="6:6" x14ac:dyDescent="0.2">
      <c r="F147" s="294"/>
    </row>
    <row r="148" spans="6:6" x14ac:dyDescent="0.2">
      <c r="F148" s="294"/>
    </row>
    <row r="149" spans="6:6" x14ac:dyDescent="0.2">
      <c r="F149" s="294"/>
    </row>
    <row r="150" spans="6:6" x14ac:dyDescent="0.2">
      <c r="F150" s="294"/>
    </row>
    <row r="151" spans="6:6" x14ac:dyDescent="0.2">
      <c r="F151" s="294"/>
    </row>
    <row r="152" spans="6:6" x14ac:dyDescent="0.2">
      <c r="F152" s="294"/>
    </row>
    <row r="153" spans="6:6" x14ac:dyDescent="0.2">
      <c r="F153" s="294"/>
    </row>
    <row r="154" spans="6:6" x14ac:dyDescent="0.2">
      <c r="F154" s="294"/>
    </row>
    <row r="155" spans="6:6" x14ac:dyDescent="0.2">
      <c r="F155" s="294"/>
    </row>
    <row r="156" spans="6:6" x14ac:dyDescent="0.2">
      <c r="F156" s="294"/>
    </row>
    <row r="157" spans="6:6" x14ac:dyDescent="0.2">
      <c r="F157" s="294"/>
    </row>
    <row r="158" spans="6:6" x14ac:dyDescent="0.2">
      <c r="F158" s="294"/>
    </row>
    <row r="159" spans="6:6" x14ac:dyDescent="0.2">
      <c r="F159" s="294"/>
    </row>
    <row r="160" spans="6:6" x14ac:dyDescent="0.2">
      <c r="F160" s="294"/>
    </row>
    <row r="161" spans="6:6" x14ac:dyDescent="0.2">
      <c r="F161" s="294"/>
    </row>
    <row r="162" spans="6:6" x14ac:dyDescent="0.2">
      <c r="F162" s="294"/>
    </row>
    <row r="163" spans="6:6" x14ac:dyDescent="0.2">
      <c r="F163" s="294"/>
    </row>
    <row r="164" spans="6:6" x14ac:dyDescent="0.2">
      <c r="F164" s="294"/>
    </row>
    <row r="165" spans="6:6" x14ac:dyDescent="0.2">
      <c r="F165" s="294"/>
    </row>
    <row r="166" spans="6:6" x14ac:dyDescent="0.2">
      <c r="F166" s="294"/>
    </row>
    <row r="167" spans="6:6" x14ac:dyDescent="0.2">
      <c r="F167" s="294"/>
    </row>
    <row r="168" spans="6:6" x14ac:dyDescent="0.2">
      <c r="F168" s="294"/>
    </row>
    <row r="169" spans="6:6" x14ac:dyDescent="0.2">
      <c r="F169" s="294"/>
    </row>
    <row r="170" spans="6:6" x14ac:dyDescent="0.2">
      <c r="F170" s="294"/>
    </row>
    <row r="171" spans="6:6" x14ac:dyDescent="0.2">
      <c r="F171" s="294"/>
    </row>
    <row r="172" spans="6:6" x14ac:dyDescent="0.2">
      <c r="F172" s="294"/>
    </row>
    <row r="173" spans="6:6" x14ac:dyDescent="0.2">
      <c r="F173" s="294"/>
    </row>
    <row r="174" spans="6:6" x14ac:dyDescent="0.2">
      <c r="F174" s="294"/>
    </row>
    <row r="175" spans="6:6" x14ac:dyDescent="0.2">
      <c r="F175" s="294"/>
    </row>
    <row r="176" spans="6:6" x14ac:dyDescent="0.2">
      <c r="F176" s="294"/>
    </row>
    <row r="177" spans="6:6" x14ac:dyDescent="0.2">
      <c r="F177" s="294"/>
    </row>
    <row r="178" spans="6:6" x14ac:dyDescent="0.2">
      <c r="F178" s="294"/>
    </row>
    <row r="179" spans="6:6" x14ac:dyDescent="0.2">
      <c r="F179" s="294"/>
    </row>
    <row r="180" spans="6:6" x14ac:dyDescent="0.2">
      <c r="F180" s="294"/>
    </row>
    <row r="181" spans="6:6" x14ac:dyDescent="0.2">
      <c r="F181" s="294"/>
    </row>
    <row r="182" spans="6:6" x14ac:dyDescent="0.2">
      <c r="F182" s="294"/>
    </row>
    <row r="183" spans="6:6" x14ac:dyDescent="0.2">
      <c r="F183" s="294"/>
    </row>
    <row r="184" spans="6:6" x14ac:dyDescent="0.2">
      <c r="F184" s="294"/>
    </row>
    <row r="185" spans="6:6" x14ac:dyDescent="0.2">
      <c r="F185" s="294"/>
    </row>
    <row r="186" spans="6:6" x14ac:dyDescent="0.2">
      <c r="F186" s="294"/>
    </row>
    <row r="187" spans="6:6" x14ac:dyDescent="0.2">
      <c r="F187" s="294"/>
    </row>
    <row r="188" spans="6:6" x14ac:dyDescent="0.2">
      <c r="F188" s="294"/>
    </row>
    <row r="189" spans="6:6" x14ac:dyDescent="0.2">
      <c r="F189" s="294"/>
    </row>
    <row r="190" spans="6:6" x14ac:dyDescent="0.2">
      <c r="F190" s="294"/>
    </row>
    <row r="191" spans="6:6" x14ac:dyDescent="0.2">
      <c r="F191" s="294"/>
    </row>
    <row r="192" spans="6:6" x14ac:dyDescent="0.2">
      <c r="F192" s="294"/>
    </row>
    <row r="193" spans="6:6" x14ac:dyDescent="0.2">
      <c r="F193" s="294"/>
    </row>
    <row r="194" spans="6:6" x14ac:dyDescent="0.2">
      <c r="F194" s="294"/>
    </row>
    <row r="195" spans="6:6" x14ac:dyDescent="0.2">
      <c r="F195" s="294"/>
    </row>
    <row r="196" spans="6:6" x14ac:dyDescent="0.2">
      <c r="F196" s="294"/>
    </row>
    <row r="197" spans="6:6" x14ac:dyDescent="0.2">
      <c r="F197" s="294"/>
    </row>
    <row r="198" spans="6:6" x14ac:dyDescent="0.2">
      <c r="F198" s="294"/>
    </row>
    <row r="199" spans="6:6" x14ac:dyDescent="0.2">
      <c r="F199" s="294"/>
    </row>
    <row r="200" spans="6:6" x14ac:dyDescent="0.2">
      <c r="F200" s="294"/>
    </row>
    <row r="201" spans="6:6" x14ac:dyDescent="0.2">
      <c r="F201" s="294"/>
    </row>
    <row r="202" spans="6:6" x14ac:dyDescent="0.2">
      <c r="F202" s="294"/>
    </row>
    <row r="203" spans="6:6" x14ac:dyDescent="0.2">
      <c r="F203" s="294"/>
    </row>
    <row r="204" spans="6:6" x14ac:dyDescent="0.2">
      <c r="F204" s="294"/>
    </row>
    <row r="205" spans="6:6" x14ac:dyDescent="0.2">
      <c r="F205" s="294"/>
    </row>
    <row r="206" spans="6:6" x14ac:dyDescent="0.2">
      <c r="F206" s="294"/>
    </row>
    <row r="207" spans="6:6" x14ac:dyDescent="0.2">
      <c r="F207" s="294"/>
    </row>
    <row r="208" spans="6:6" x14ac:dyDescent="0.2">
      <c r="F208" s="294"/>
    </row>
    <row r="209" spans="6:6" x14ac:dyDescent="0.2">
      <c r="F209" s="294"/>
    </row>
    <row r="210" spans="6:6" x14ac:dyDescent="0.2">
      <c r="F210" s="294"/>
    </row>
    <row r="211" spans="6:6" x14ac:dyDescent="0.2">
      <c r="F211" s="294"/>
    </row>
    <row r="212" spans="6:6" x14ac:dyDescent="0.2">
      <c r="F212" s="294"/>
    </row>
    <row r="213" spans="6:6" x14ac:dyDescent="0.2">
      <c r="F213" s="294"/>
    </row>
    <row r="214" spans="6:6" x14ac:dyDescent="0.2">
      <c r="F214" s="294"/>
    </row>
    <row r="215" spans="6:6" x14ac:dyDescent="0.2">
      <c r="F215" s="294"/>
    </row>
    <row r="216" spans="6:6" x14ac:dyDescent="0.2">
      <c r="F216" s="294"/>
    </row>
    <row r="217" spans="6:6" x14ac:dyDescent="0.2">
      <c r="F217" s="294"/>
    </row>
    <row r="218" spans="6:6" x14ac:dyDescent="0.2">
      <c r="F218" s="294"/>
    </row>
    <row r="219" spans="6:6" x14ac:dyDescent="0.2">
      <c r="F219" s="294"/>
    </row>
    <row r="220" spans="6:6" x14ac:dyDescent="0.2">
      <c r="F220" s="294"/>
    </row>
    <row r="221" spans="6:6" x14ac:dyDescent="0.2">
      <c r="F221" s="294"/>
    </row>
    <row r="222" spans="6:6" x14ac:dyDescent="0.2">
      <c r="F222" s="294"/>
    </row>
    <row r="223" spans="6:6" x14ac:dyDescent="0.2">
      <c r="F223" s="294"/>
    </row>
    <row r="224" spans="6:6" x14ac:dyDescent="0.2">
      <c r="F224" s="294"/>
    </row>
    <row r="225" spans="6:6" x14ac:dyDescent="0.2">
      <c r="F225" s="294"/>
    </row>
    <row r="226" spans="6:6" x14ac:dyDescent="0.2">
      <c r="F226" s="294"/>
    </row>
    <row r="227" spans="6:6" x14ac:dyDescent="0.2">
      <c r="F227" s="294"/>
    </row>
    <row r="228" spans="6:6" x14ac:dyDescent="0.2">
      <c r="F228" s="294"/>
    </row>
    <row r="229" spans="6:6" x14ac:dyDescent="0.2">
      <c r="F229" s="294"/>
    </row>
    <row r="230" spans="6:6" x14ac:dyDescent="0.2">
      <c r="F230" s="294"/>
    </row>
    <row r="231" spans="6:6" x14ac:dyDescent="0.2">
      <c r="F231" s="294"/>
    </row>
    <row r="232" spans="6:6" x14ac:dyDescent="0.2">
      <c r="F232" s="294"/>
    </row>
    <row r="233" spans="6:6" x14ac:dyDescent="0.2">
      <c r="F233" s="294"/>
    </row>
    <row r="234" spans="6:6" x14ac:dyDescent="0.2">
      <c r="F234" s="294"/>
    </row>
    <row r="235" spans="6:6" x14ac:dyDescent="0.2">
      <c r="F235" s="294"/>
    </row>
    <row r="236" spans="6:6" x14ac:dyDescent="0.2">
      <c r="F236" s="294"/>
    </row>
    <row r="237" spans="6:6" x14ac:dyDescent="0.2">
      <c r="F237" s="294"/>
    </row>
    <row r="238" spans="6:6" x14ac:dyDescent="0.2">
      <c r="F238" s="294"/>
    </row>
    <row r="239" spans="6:6" x14ac:dyDescent="0.2">
      <c r="F239" s="294"/>
    </row>
    <row r="240" spans="6:6" x14ac:dyDescent="0.2">
      <c r="F240" s="294"/>
    </row>
    <row r="241" spans="6:6" x14ac:dyDescent="0.2">
      <c r="F241" s="294"/>
    </row>
    <row r="242" spans="6:6" x14ac:dyDescent="0.2">
      <c r="F242" s="294"/>
    </row>
    <row r="243" spans="6:6" x14ac:dyDescent="0.2">
      <c r="F243" s="294"/>
    </row>
    <row r="244" spans="6:6" x14ac:dyDescent="0.2">
      <c r="F244" s="294"/>
    </row>
    <row r="245" spans="6:6" x14ac:dyDescent="0.2">
      <c r="F245" s="294"/>
    </row>
    <row r="246" spans="6:6" x14ac:dyDescent="0.2">
      <c r="F246" s="294"/>
    </row>
    <row r="247" spans="6:6" x14ac:dyDescent="0.2">
      <c r="F247" s="294"/>
    </row>
    <row r="248" spans="6:6" x14ac:dyDescent="0.2">
      <c r="F248" s="294"/>
    </row>
    <row r="249" spans="6:6" x14ac:dyDescent="0.2">
      <c r="F249" s="294"/>
    </row>
    <row r="250" spans="6:6" x14ac:dyDescent="0.2">
      <c r="F250" s="294"/>
    </row>
    <row r="251" spans="6:6" x14ac:dyDescent="0.2">
      <c r="F251" s="294"/>
    </row>
    <row r="252" spans="6:6" x14ac:dyDescent="0.2">
      <c r="F252" s="294"/>
    </row>
    <row r="253" spans="6:6" x14ac:dyDescent="0.2">
      <c r="F253" s="294"/>
    </row>
    <row r="254" spans="6:6" x14ac:dyDescent="0.2">
      <c r="F254" s="294"/>
    </row>
    <row r="255" spans="6:6" x14ac:dyDescent="0.2">
      <c r="F255" s="294"/>
    </row>
    <row r="256" spans="6:6" x14ac:dyDescent="0.2">
      <c r="F256" s="294"/>
    </row>
    <row r="257" spans="6:6" x14ac:dyDescent="0.2">
      <c r="F257" s="294"/>
    </row>
    <row r="258" spans="6:6" x14ac:dyDescent="0.2">
      <c r="F258" s="294"/>
    </row>
    <row r="259" spans="6:6" x14ac:dyDescent="0.2">
      <c r="F259" s="294"/>
    </row>
    <row r="260" spans="6:6" x14ac:dyDescent="0.2">
      <c r="F260" s="294"/>
    </row>
    <row r="261" spans="6:6" x14ac:dyDescent="0.2">
      <c r="F261" s="294"/>
    </row>
    <row r="262" spans="6:6" x14ac:dyDescent="0.2">
      <c r="F262" s="294"/>
    </row>
    <row r="263" spans="6:6" x14ac:dyDescent="0.2">
      <c r="F263" s="294"/>
    </row>
    <row r="264" spans="6:6" x14ac:dyDescent="0.2">
      <c r="F264" s="294"/>
    </row>
    <row r="265" spans="6:6" x14ac:dyDescent="0.2">
      <c r="F265" s="294"/>
    </row>
    <row r="266" spans="6:6" x14ac:dyDescent="0.2">
      <c r="F266" s="294"/>
    </row>
    <row r="267" spans="6:6" x14ac:dyDescent="0.2">
      <c r="F267" s="294"/>
    </row>
    <row r="268" spans="6:6" x14ac:dyDescent="0.2">
      <c r="F268" s="294"/>
    </row>
    <row r="269" spans="6:6" x14ac:dyDescent="0.2">
      <c r="F269" s="294"/>
    </row>
    <row r="270" spans="6:6" x14ac:dyDescent="0.2">
      <c r="F270" s="294"/>
    </row>
    <row r="271" spans="6:6" x14ac:dyDescent="0.2">
      <c r="F271" s="294"/>
    </row>
    <row r="272" spans="6:6" x14ac:dyDescent="0.2">
      <c r="F272" s="294"/>
    </row>
    <row r="273" spans="6:6" x14ac:dyDescent="0.2">
      <c r="F273" s="294"/>
    </row>
    <row r="274" spans="6:6" x14ac:dyDescent="0.2">
      <c r="F274" s="294"/>
    </row>
    <row r="275" spans="6:6" x14ac:dyDescent="0.2">
      <c r="F275" s="294"/>
    </row>
    <row r="276" spans="6:6" x14ac:dyDescent="0.2">
      <c r="F276" s="294"/>
    </row>
    <row r="277" spans="6:6" x14ac:dyDescent="0.2">
      <c r="F277" s="294"/>
    </row>
    <row r="278" spans="6:6" x14ac:dyDescent="0.2">
      <c r="F278" s="294"/>
    </row>
    <row r="279" spans="6:6" x14ac:dyDescent="0.2">
      <c r="F279" s="294"/>
    </row>
    <row r="280" spans="6:6" x14ac:dyDescent="0.2">
      <c r="F280" s="294"/>
    </row>
    <row r="281" spans="6:6" x14ac:dyDescent="0.2">
      <c r="F281" s="294"/>
    </row>
    <row r="282" spans="6:6" x14ac:dyDescent="0.2">
      <c r="F282" s="294"/>
    </row>
    <row r="283" spans="6:6" x14ac:dyDescent="0.2">
      <c r="F283" s="294"/>
    </row>
    <row r="284" spans="6:6" x14ac:dyDescent="0.2">
      <c r="F284" s="294"/>
    </row>
  </sheetData>
  <mergeCells count="13">
    <mergeCell ref="C36:D36"/>
    <mergeCell ref="A1:E1"/>
    <mergeCell ref="A3:B3"/>
    <mergeCell ref="C24:D24"/>
    <mergeCell ref="D4:E4"/>
    <mergeCell ref="D5:E5"/>
    <mergeCell ref="D6:E6"/>
    <mergeCell ref="D7:E7"/>
    <mergeCell ref="C12:D12"/>
    <mergeCell ref="C18:D18"/>
    <mergeCell ref="C21:D21"/>
    <mergeCell ref="C30:D30"/>
    <mergeCell ref="A10:D10"/>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B3"/>
  </sheetPr>
  <dimension ref="A1:Z19"/>
  <sheetViews>
    <sheetView zoomScale="70" zoomScaleNormal="70" workbookViewId="0">
      <selection activeCell="E31" sqref="E31"/>
    </sheetView>
  </sheetViews>
  <sheetFormatPr defaultRowHeight="15" x14ac:dyDescent="0.2"/>
  <cols>
    <col min="1" max="1" width="4.42578125" style="212" customWidth="1"/>
    <col min="2" max="2" width="23.28515625" style="212" bestFit="1" customWidth="1"/>
    <col min="3" max="3" width="37.28515625" style="212" customWidth="1"/>
    <col min="4" max="13" width="16.85546875" style="212" customWidth="1"/>
    <col min="14" max="14" width="17.42578125" style="212" customWidth="1"/>
    <col min="15" max="17" width="16.5703125" style="212" customWidth="1"/>
    <col min="18" max="16384" width="9.140625" style="212"/>
  </cols>
  <sheetData>
    <row r="1" spans="1:26" ht="15.75" x14ac:dyDescent="0.25">
      <c r="A1" s="222" t="s">
        <v>123</v>
      </c>
      <c r="B1" s="223"/>
      <c r="C1" s="222"/>
      <c r="D1" s="210"/>
      <c r="E1" s="211"/>
    </row>
    <row r="2" spans="1:26" x14ac:dyDescent="0.2">
      <c r="A2" s="210"/>
      <c r="B2" s="210"/>
      <c r="D2" s="210"/>
      <c r="E2" s="210"/>
    </row>
    <row r="3" spans="1:26" ht="15.75" x14ac:dyDescent="0.25">
      <c r="B3" s="213" t="s">
        <v>35</v>
      </c>
      <c r="C3" s="214" t="str">
        <f>'Select 10 table'!B13</f>
        <v>Groin Hernia</v>
      </c>
      <c r="D3" s="210"/>
      <c r="E3" s="210"/>
    </row>
    <row r="4" spans="1:26" ht="15.75" x14ac:dyDescent="0.25">
      <c r="B4" s="213" t="s">
        <v>63</v>
      </c>
      <c r="C4" s="214" t="str">
        <f>'Select 10 table'!E13</f>
        <v>EQ-5D Index</v>
      </c>
      <c r="D4" s="210"/>
      <c r="E4" s="215"/>
    </row>
    <row r="5" spans="1:26" ht="15.75" x14ac:dyDescent="0.25">
      <c r="B5" s="213"/>
      <c r="C5" s="213"/>
    </row>
    <row r="6" spans="1:26" x14ac:dyDescent="0.2">
      <c r="N6" s="216"/>
      <c r="W6" s="217"/>
      <c r="X6" s="217"/>
      <c r="Y6" s="217"/>
      <c r="Z6" s="217"/>
    </row>
    <row r="7" spans="1:26" s="218" customFormat="1" ht="55.5" customHeight="1" x14ac:dyDescent="0.2">
      <c r="B7" s="224" t="s">
        <v>36</v>
      </c>
      <c r="C7" s="224" t="s">
        <v>62</v>
      </c>
      <c r="D7" s="225" t="s">
        <v>41</v>
      </c>
      <c r="E7" s="225" t="s">
        <v>265</v>
      </c>
      <c r="F7" s="225" t="s">
        <v>267</v>
      </c>
      <c r="G7" s="225" t="s">
        <v>251</v>
      </c>
      <c r="H7" s="225" t="s">
        <v>72</v>
      </c>
      <c r="I7" s="225" t="s">
        <v>207</v>
      </c>
      <c r="J7" s="225" t="s">
        <v>208</v>
      </c>
      <c r="K7" s="225" t="s">
        <v>300</v>
      </c>
      <c r="L7" s="226" t="s">
        <v>237</v>
      </c>
      <c r="M7" s="225" t="s">
        <v>2</v>
      </c>
      <c r="N7" s="212"/>
      <c r="O7" s="212"/>
      <c r="P7" s="212"/>
      <c r="Q7" s="212"/>
      <c r="R7" s="212"/>
      <c r="S7" s="212"/>
      <c r="W7" s="220"/>
      <c r="X7" s="220"/>
      <c r="Y7" s="220"/>
      <c r="Z7" s="220"/>
    </row>
    <row r="8" spans="1:26" ht="30" customHeight="1" x14ac:dyDescent="0.2">
      <c r="B8" s="219" t="s">
        <v>102</v>
      </c>
      <c r="C8" s="219" t="s">
        <v>102</v>
      </c>
      <c r="D8" s="229">
        <f ca="1">IF(ISERROR(VLOOKUP($C$3&amp;$B8&amp;$C8&amp;$C$4,TableandCharts_RawData,7,FALSE)),"No data",VLOOKUP($C$3&amp;$B8&amp;$C8&amp;$C$4,TableandCharts_RawData,7,FALSE))</f>
        <v>20191</v>
      </c>
      <c r="E8" s="230">
        <f t="shared" ref="E8:E18" ca="1" si="0">IF(ISERROR(VLOOKUP($C$3&amp;$B8&amp;$C8&amp;$C$4,TableandCharts_RawData,8,FALSE)),"No data",VLOOKUP($C$3&amp;$B8&amp;$C8&amp;$C$4,TableandCharts_RawData,8,FALSE))</f>
        <v>0.79300000000000004</v>
      </c>
      <c r="F8" s="230">
        <f t="shared" ref="F8:F18" ca="1" si="1">IF(ISERROR(VLOOKUP($C$3&amp;$B8&amp;$C8&amp;$C$4,TableandCharts_RawData,9,FALSE)),"No data",VLOOKUP($C$3&amp;$B8&amp;$C8&amp;$C$4,TableandCharts_RawData,9,FALSE))</f>
        <v>0.877</v>
      </c>
      <c r="G8" s="230">
        <f t="shared" ref="G8:G18" ca="1" si="2">IF(ISERROR(VLOOKUP($C$3&amp;$B8&amp;$C8&amp;$C$4,TableandCharts_RawData,10,FALSE)),"No data",VLOOKUP($C$3&amp;$B8&amp;$C8&amp;$C$4,TableandCharts_RawData,10,FALSE))</f>
        <v>8.4000000000000005E-2</v>
      </c>
      <c r="H8" s="231" t="str">
        <f t="shared" ref="H8:H18" ca="1" si="3">IF(ISERROR(VLOOKUP($C$3&amp;$B8&amp;$C8&amp;$C$4,TableandCharts_RawData,11,FALSE)),"No data",IF(VLOOKUP($C$3&amp;$B8&amp;$C8&amp;$C$4,TableandCharts_RawData,11,FALSE)="*","*",IF(VLOOKUP($C$3&amp;$B8&amp;$C8&amp;$C$4,TableandCharts_RawData,11,FALSE)=0,"0"&amp;CHAR(10)&amp;"(0.0%)",TEXT(VLOOKUP($C$3&amp;$B8&amp;$C8&amp;$C$4,TableandCharts_RawData,11,FALSE),"?,0")&amp;CHAR(10)&amp;" ("&amp;TEXT(VLOOKUP($C$3&amp;$B8&amp;$C8&amp;$C$4,TableandCharts_RawData,11,FALSE)/VLOOKUP($C$3&amp;$B8&amp;$C8&amp;$C$4,TableandCharts_RawData,7,FALSE),"0.0%")&amp;")")))</f>
        <v>10,248
 (50.8%)</v>
      </c>
      <c r="I8" s="231" t="str">
        <f t="shared" ref="I8:I18" ca="1" si="4">IF(ISERROR(VLOOKUP($C$3&amp;$B8&amp;$C8&amp;$C$4,TableandCharts_RawData,12,FALSE)),"No data",IF(VLOOKUP($C$3&amp;$B8&amp;$C8&amp;$C$4,TableandCharts_RawData,12,FALSE)="*","*",IF(VLOOKUP($C$3&amp;$B8&amp;$C8&amp;$C$4,TableandCharts_RawData,12,FALSE)=0,"0"&amp;CHAR(10)&amp;"(0.0%)",TEXT(VLOOKUP($C$3&amp;$B8&amp;$C8&amp;$C$4,TableandCharts_RawData,12,FALSE),"?,0")&amp;CHAR(10)&amp;" ("&amp;TEXT(VLOOKUP($C$3&amp;$B8&amp;$C8&amp;$C$4,TableandCharts_RawData,12,FALSE)/VLOOKUP($C$3&amp;$B8&amp;$C8&amp;$C$4,TableandCharts_RawData,7,FALSE),"0.0%")&amp;")")))</f>
        <v>6,475
 (32.1%)</v>
      </c>
      <c r="J8" s="231" t="str">
        <f t="shared" ref="J8:J18" ca="1" si="5">IF(ISERROR(VLOOKUP($C$3&amp;$B8&amp;$C8&amp;$C$4,TableandCharts_RawData,13,FALSE)),"No data",IF(VLOOKUP($C$3&amp;$B8&amp;$C8&amp;$C$4,TableandCharts_RawData,13,FALSE)="*","*",IF(VLOOKUP($C$3&amp;$B8&amp;$C8&amp;$C$4,TableandCharts_RawData,13,FALSE)=0,"0"&amp;CHAR(10)&amp;"(0.0%)",TEXT(VLOOKUP($C$3&amp;$B8&amp;$C8&amp;$C$4,TableandCharts_RawData,13,FALSE),"?,0")&amp;CHAR(10)&amp;" ("&amp;TEXT(VLOOKUP($C$3&amp;$B8&amp;$C8&amp;$C$4,TableandCharts_RawData,13,FALSE)/VLOOKUP($C$3&amp;$B8&amp;$C8&amp;$C$4,TableandCharts_RawData,7,FALSE),"0.0%")&amp;")")))</f>
        <v>3,468
 (17.2%)</v>
      </c>
      <c r="K8" s="230">
        <f t="shared" ref="K8:K18" ca="1" si="6">IF(ISERROR(VLOOKUP($C$3&amp;$B8&amp;$C8&amp;$C$4,TableandCharts_RawData,14,FALSE)),"No data",VLOOKUP($C$3&amp;$B8&amp;$C8&amp;$C$4,TableandCharts_RawData,14,FALSE))</f>
        <v>0.877</v>
      </c>
      <c r="L8" s="230">
        <f t="shared" ref="L8:L18" ca="1" si="7">IF(ISERROR(VLOOKUP($C$3&amp;$B8&amp;$C8&amp;$C$4,TableandCharts_RawData,15,FALSE)),"No data",VLOOKUP($C$3&amp;$B8&amp;$C8&amp;$C$4,TableandCharts_RawData,15,FALSE))</f>
        <v>8.3654400000000004E-2</v>
      </c>
      <c r="M8" s="230">
        <f t="shared" ref="M8:M18" ca="1" si="8">IF(ISERROR(VLOOKUP($C$3&amp;$B8&amp;$C8&amp;$C$4,TableandCharts_RawData,16,FALSE)),"No data",VLOOKUP($C$3&amp;$B8&amp;$C8&amp;$C$4,TableandCharts_RawData,16,FALSE))</f>
        <v>0.159</v>
      </c>
      <c r="W8" s="216"/>
      <c r="X8" s="216"/>
      <c r="Y8" s="216"/>
      <c r="Z8" s="221"/>
    </row>
    <row r="9" spans="1:26" ht="30" customHeight="1" x14ac:dyDescent="0.2">
      <c r="B9" s="227" t="str">
        <f>'Select 10 table'!B17</f>
        <v>Provider</v>
      </c>
      <c r="C9" s="228" t="str">
        <f>'Select 10 table'!C17</f>
        <v>ASHFORD AND ST PETER'S HOSPITALS NHS FOUNDATION TRUST (RTK)</v>
      </c>
      <c r="D9" s="229">
        <f ca="1">IF(ISERROR(VLOOKUP($C$3&amp;$B9&amp;$C9&amp;$C$4,TableandCharts_RawData,7,FALSE)),"No data",VLOOKUP($C$3&amp;$B9&amp;$C9&amp;$C$4,TableandCharts_RawData,7,FALSE))</f>
        <v>16</v>
      </c>
      <c r="E9" s="230">
        <f t="shared" ca="1" si="0"/>
        <v>0.83</v>
      </c>
      <c r="F9" s="230">
        <f t="shared" ca="1" si="1"/>
        <v>0.76400000000000001</v>
      </c>
      <c r="G9" s="230">
        <f t="shared" ca="1" si="2"/>
        <v>-6.6000000000000003E-2</v>
      </c>
      <c r="H9" s="231" t="str">
        <f t="shared" ca="1" si="3"/>
        <v xml:space="preserve"> 7
 (43.8%)</v>
      </c>
      <c r="I9" s="231" t="str">
        <f t="shared" ca="1" si="4"/>
        <v xml:space="preserve"> 4
 (25.0%)</v>
      </c>
      <c r="J9" s="231" t="str">
        <f t="shared" ca="1" si="5"/>
        <v xml:space="preserve"> 5
 (31.3%)</v>
      </c>
      <c r="K9" s="230" t="str">
        <f t="shared" ca="1" si="6"/>
        <v>*</v>
      </c>
      <c r="L9" s="230" t="str">
        <f t="shared" ca="1" si="7"/>
        <v>*</v>
      </c>
      <c r="M9" s="230" t="str">
        <f t="shared" ca="1" si="8"/>
        <v>*</v>
      </c>
      <c r="W9" s="216"/>
      <c r="X9" s="216"/>
      <c r="Y9" s="216"/>
      <c r="Z9" s="221"/>
    </row>
    <row r="10" spans="1:26" ht="30" customHeight="1" x14ac:dyDescent="0.2">
      <c r="B10" s="227" t="str">
        <f>'Select 10 table'!B18</f>
        <v>Provider</v>
      </c>
      <c r="C10" s="228" t="str">
        <f>'Select 10 table'!C18</f>
        <v>YEOVIL DISTRICT HOSPITAL NHS FOUNDATION TRUST (RA4)</v>
      </c>
      <c r="D10" s="229">
        <f t="shared" ref="D10:D18" ca="1" si="9">IF(ISERROR(VLOOKUP($C$3&amp;$B10&amp;$C10&amp;$C$4,TableandCharts_RawData,7,FALSE)),"No data",VLOOKUP($C$3&amp;$B10&amp;$C10&amp;$C$4,TableandCharts_RawData,7,FALSE))</f>
        <v>25</v>
      </c>
      <c r="E10" s="230">
        <f t="shared" ca="1" si="0"/>
        <v>0.79200000000000004</v>
      </c>
      <c r="F10" s="230">
        <f t="shared" ca="1" si="1"/>
        <v>0.91900000000000004</v>
      </c>
      <c r="G10" s="230">
        <f t="shared" ca="1" si="2"/>
        <v>0.127</v>
      </c>
      <c r="H10" s="231" t="str">
        <f t="shared" ca="1" si="3"/>
        <v>13
 (52.0%)</v>
      </c>
      <c r="I10" s="231" t="str">
        <f t="shared" ca="1" si="4"/>
        <v xml:space="preserve"> 9
 (36.0%)</v>
      </c>
      <c r="J10" s="231" t="str">
        <f t="shared" ca="1" si="5"/>
        <v xml:space="preserve"> 3
 (12.0%)</v>
      </c>
      <c r="K10" s="230" t="str">
        <f t="shared" ca="1" si="6"/>
        <v>*</v>
      </c>
      <c r="L10" s="230" t="str">
        <f t="shared" ca="1" si="7"/>
        <v>*</v>
      </c>
      <c r="M10" s="230" t="str">
        <f t="shared" ca="1" si="8"/>
        <v>*</v>
      </c>
      <c r="W10" s="216"/>
      <c r="X10" s="216"/>
      <c r="Y10" s="216"/>
      <c r="Z10" s="221"/>
    </row>
    <row r="11" spans="1:26" ht="30" customHeight="1" x14ac:dyDescent="0.2">
      <c r="B11" s="227" t="str">
        <f>'Select 10 table'!B19</f>
        <v>Provider</v>
      </c>
      <c r="C11" s="228" t="str">
        <f>'Select 10 table'!C19</f>
        <v>SPIRE PORTSMOUTH HOSPITAL (NT305)</v>
      </c>
      <c r="D11" s="229">
        <f t="shared" ca="1" si="9"/>
        <v>6</v>
      </c>
      <c r="E11" s="230">
        <f t="shared" ca="1" si="0"/>
        <v>0.88100000000000001</v>
      </c>
      <c r="F11" s="230">
        <f t="shared" ca="1" si="1"/>
        <v>0.93200000000000005</v>
      </c>
      <c r="G11" s="230">
        <f t="shared" ca="1" si="2"/>
        <v>5.1999999999999998E-2</v>
      </c>
      <c r="H11" s="231" t="str">
        <f t="shared" ca="1" si="3"/>
        <v xml:space="preserve"> 2
 (33.3%)</v>
      </c>
      <c r="I11" s="231" t="str">
        <f t="shared" ca="1" si="4"/>
        <v xml:space="preserve"> 3
 (50.0%)</v>
      </c>
      <c r="J11" s="231" t="str">
        <f t="shared" ca="1" si="5"/>
        <v xml:space="preserve"> 1
 (16.7%)</v>
      </c>
      <c r="K11" s="230" t="str">
        <f t="shared" ca="1" si="6"/>
        <v>*</v>
      </c>
      <c r="L11" s="230" t="str">
        <f t="shared" ca="1" si="7"/>
        <v>*</v>
      </c>
      <c r="M11" s="230" t="str">
        <f t="shared" ca="1" si="8"/>
        <v>*</v>
      </c>
      <c r="W11" s="216"/>
      <c r="X11" s="216"/>
      <c r="Y11" s="216"/>
      <c r="Z11" s="221"/>
    </row>
    <row r="12" spans="1:26" ht="30" customHeight="1" x14ac:dyDescent="0.2">
      <c r="B12" s="227" t="str">
        <f>'Select 10 table'!B20</f>
        <v>CCG of GP Practice</v>
      </c>
      <c r="C12" s="228" t="str">
        <f>'Select 10 table'!C20</f>
        <v>NHS NORTHUMBERLAND CCG (00L)</v>
      </c>
      <c r="D12" s="229">
        <f t="shared" ca="1" si="9"/>
        <v>203</v>
      </c>
      <c r="E12" s="230">
        <f t="shared" ca="1" si="0"/>
        <v>0.78100000000000003</v>
      </c>
      <c r="F12" s="230">
        <f t="shared" ca="1" si="1"/>
        <v>0.85799999999999998</v>
      </c>
      <c r="G12" s="230">
        <f ca="1">IF(ISERROR(VLOOKUP($C$3&amp;$B12&amp;$C12&amp;$C$4,TableandCharts_RawData,10,FALSE)),"No data",VLOOKUP($C$3&amp;$B12&amp;$C12&amp;$C$4,TableandCharts_RawData,10,FALSE))</f>
        <v>7.6999999999999999E-2</v>
      </c>
      <c r="H12" s="231" t="str">
        <f t="shared" ca="1" si="3"/>
        <v>114
 (56.2%)</v>
      </c>
      <c r="I12" s="231" t="str">
        <f t="shared" ca="1" si="4"/>
        <v>54
 (26.6%)</v>
      </c>
      <c r="J12" s="231" t="str">
        <f t="shared" ca="1" si="5"/>
        <v>35
 (17.2%)</v>
      </c>
      <c r="K12" s="230">
        <f t="shared" ca="1" si="6"/>
        <v>0.871</v>
      </c>
      <c r="L12" s="230">
        <f t="shared" ca="1" si="7"/>
        <v>7.7984292999999996E-2</v>
      </c>
      <c r="M12" s="230">
        <f t="shared" ca="1" si="8"/>
        <v>0.17299999999999999</v>
      </c>
      <c r="W12" s="216"/>
      <c r="X12" s="216"/>
      <c r="Y12" s="216"/>
      <c r="Z12" s="221"/>
    </row>
    <row r="13" spans="1:26" ht="30" customHeight="1" x14ac:dyDescent="0.2">
      <c r="B13" s="227" t="str">
        <f>'Select 10 table'!B21</f>
        <v>Provider</v>
      </c>
      <c r="C13" s="228" t="str">
        <f>'Select 10 table'!C21</f>
        <v>MID CHESHIRE HOSPITALS NHS FOUNDATION TRUST (RBT)</v>
      </c>
      <c r="D13" s="229">
        <f t="shared" ca="1" si="9"/>
        <v>161</v>
      </c>
      <c r="E13" s="230">
        <f t="shared" ca="1" si="0"/>
        <v>0.81799999999999995</v>
      </c>
      <c r="F13" s="230">
        <f t="shared" ca="1" si="1"/>
        <v>0.88100000000000001</v>
      </c>
      <c r="G13" s="230">
        <f t="shared" ca="1" si="2"/>
        <v>6.3E-2</v>
      </c>
      <c r="H13" s="231" t="str">
        <f t="shared" ca="1" si="3"/>
        <v>69
 (42.9%)</v>
      </c>
      <c r="I13" s="231" t="str">
        <f t="shared" ca="1" si="4"/>
        <v>54
 (33.5%)</v>
      </c>
      <c r="J13" s="231" t="str">
        <f t="shared" ca="1" si="5"/>
        <v>38
 (23.6%)</v>
      </c>
      <c r="K13" s="230">
        <f t="shared" ca="1" si="6"/>
        <v>0.86599999999999999</v>
      </c>
      <c r="L13" s="230">
        <f t="shared" ca="1" si="7"/>
        <v>7.2851709000000001E-2</v>
      </c>
      <c r="M13" s="230">
        <f t="shared" ca="1" si="8"/>
        <v>0.151</v>
      </c>
      <c r="W13" s="216"/>
      <c r="X13" s="216"/>
      <c r="Y13" s="216"/>
      <c r="Z13" s="221"/>
    </row>
    <row r="14" spans="1:26" ht="30" customHeight="1" x14ac:dyDescent="0.2">
      <c r="B14" s="227" t="str">
        <f>'Select 10 table'!B22</f>
        <v>CCG of GP Practice</v>
      </c>
      <c r="C14" s="228" t="str">
        <f>'Select 10 table'!C22</f>
        <v>NHS MILTON KEYNES CCG (04F)</v>
      </c>
      <c r="D14" s="229">
        <f t="shared" ca="1" si="9"/>
        <v>95</v>
      </c>
      <c r="E14" s="230">
        <f t="shared" ca="1" si="0"/>
        <v>0.79100000000000004</v>
      </c>
      <c r="F14" s="230">
        <f t="shared" ca="1" si="1"/>
        <v>0.83499999999999996</v>
      </c>
      <c r="G14" s="230">
        <f t="shared" ca="1" si="2"/>
        <v>4.3999999999999997E-2</v>
      </c>
      <c r="H14" s="231" t="str">
        <f t="shared" ca="1" si="3"/>
        <v>48
 (50.5%)</v>
      </c>
      <c r="I14" s="231" t="str">
        <f t="shared" ca="1" si="4"/>
        <v>22
 (23.2%)</v>
      </c>
      <c r="J14" s="231" t="str">
        <f t="shared" ca="1" si="5"/>
        <v>25
 (26.3%)</v>
      </c>
      <c r="K14" s="230">
        <f t="shared" ca="1" si="6"/>
        <v>0.83599999999999997</v>
      </c>
      <c r="L14" s="230">
        <f t="shared" ca="1" si="7"/>
        <v>4.2955304999999999E-2</v>
      </c>
      <c r="M14" s="230">
        <f t="shared" ca="1" si="8"/>
        <v>0.19</v>
      </c>
      <c r="W14" s="216"/>
      <c r="X14" s="216"/>
      <c r="Y14" s="216"/>
      <c r="Z14" s="221"/>
    </row>
    <row r="15" spans="1:26" ht="30" customHeight="1" x14ac:dyDescent="0.2">
      <c r="B15" s="227" t="str">
        <f>'Select 10 table'!B23</f>
        <v>Provider</v>
      </c>
      <c r="C15" s="228" t="str">
        <f>'Select 10 table'!C23</f>
        <v>LEEDS TEACHING HOSPITALS NHS TRUST (RR8)</v>
      </c>
      <c r="D15" s="229">
        <f t="shared" ca="1" si="9"/>
        <v>101</v>
      </c>
      <c r="E15" s="230">
        <f t="shared" ca="1" si="0"/>
        <v>0.80500000000000005</v>
      </c>
      <c r="F15" s="230">
        <f t="shared" ca="1" si="1"/>
        <v>0.89300000000000002</v>
      </c>
      <c r="G15" s="230">
        <f t="shared" ca="1" si="2"/>
        <v>8.6999999999999994E-2</v>
      </c>
      <c r="H15" s="231" t="str">
        <f t="shared" ca="1" si="3"/>
        <v>51
 (50.5%)</v>
      </c>
      <c r="I15" s="231" t="str">
        <f t="shared" ca="1" si="4"/>
        <v>35
 (34.7%)</v>
      </c>
      <c r="J15" s="231" t="str">
        <f t="shared" ca="1" si="5"/>
        <v>15
 (14.9%)</v>
      </c>
      <c r="K15" s="230">
        <f t="shared" ca="1" si="6"/>
        <v>0.88500000000000001</v>
      </c>
      <c r="L15" s="230">
        <f t="shared" ca="1" si="7"/>
        <v>9.1534189000000002E-2</v>
      </c>
      <c r="M15" s="230">
        <f t="shared" ca="1" si="8"/>
        <v>0.105</v>
      </c>
      <c r="W15" s="216"/>
      <c r="X15" s="216"/>
      <c r="Y15" s="216"/>
      <c r="Z15" s="221"/>
    </row>
    <row r="16" spans="1:26" ht="30" customHeight="1" x14ac:dyDescent="0.2">
      <c r="B16" s="227" t="str">
        <f>'Select 10 table'!B24</f>
        <v>CCG of GP Practice</v>
      </c>
      <c r="C16" s="228" t="str">
        <f>'Select 10 table'!C24</f>
        <v>NHS LEEDS NORTH CCG (02V)</v>
      </c>
      <c r="D16" s="229">
        <f t="shared" ca="1" si="9"/>
        <v>111</v>
      </c>
      <c r="E16" s="230">
        <f t="shared" ca="1" si="0"/>
        <v>0.85099999999999998</v>
      </c>
      <c r="F16" s="230">
        <f t="shared" ca="1" si="1"/>
        <v>0.91</v>
      </c>
      <c r="G16" s="230">
        <f t="shared" ca="1" si="2"/>
        <v>5.8999999999999997E-2</v>
      </c>
      <c r="H16" s="231" t="str">
        <f t="shared" ca="1" si="3"/>
        <v>45
 (40.5%)</v>
      </c>
      <c r="I16" s="231" t="str">
        <f t="shared" ca="1" si="4"/>
        <v>51
 (45.9%)</v>
      </c>
      <c r="J16" s="231" t="str">
        <f t="shared" ca="1" si="5"/>
        <v>15
 (13.5%)</v>
      </c>
      <c r="K16" s="230">
        <f t="shared" ca="1" si="6"/>
        <v>0.89200000000000002</v>
      </c>
      <c r="L16" s="230">
        <f t="shared" ca="1" si="7"/>
        <v>9.8985877999999999E-2</v>
      </c>
      <c r="M16" s="230">
        <f t="shared" ca="1" si="8"/>
        <v>0.10299999999999999</v>
      </c>
      <c r="W16" s="216"/>
      <c r="X16" s="216"/>
      <c r="Y16" s="216"/>
      <c r="Z16" s="221"/>
    </row>
    <row r="17" spans="2:26" ht="30" customHeight="1" x14ac:dyDescent="0.2">
      <c r="B17" s="227" t="str">
        <f>'Select 10 table'!B25</f>
        <v>Provider</v>
      </c>
      <c r="C17" s="228" t="str">
        <f>'Select 10 table'!C25</f>
        <v>YORK TEACHING HOSPITAL NHS FOUNDATION TRUST (RCB)</v>
      </c>
      <c r="D17" s="229">
        <f t="shared" ca="1" si="9"/>
        <v>292</v>
      </c>
      <c r="E17" s="230">
        <f t="shared" ca="1" si="0"/>
        <v>0.80200000000000005</v>
      </c>
      <c r="F17" s="230">
        <f t="shared" ca="1" si="1"/>
        <v>0.88300000000000001</v>
      </c>
      <c r="G17" s="230">
        <f t="shared" ca="1" si="2"/>
        <v>0.08</v>
      </c>
      <c r="H17" s="231" t="str">
        <f t="shared" ca="1" si="3"/>
        <v>150
 (51.4%)</v>
      </c>
      <c r="I17" s="231" t="str">
        <f t="shared" ca="1" si="4"/>
        <v>98
 (33.6%)</v>
      </c>
      <c r="J17" s="231" t="str">
        <f t="shared" ca="1" si="5"/>
        <v>44
 (15.1%)</v>
      </c>
      <c r="K17" s="230">
        <f t="shared" ca="1" si="6"/>
        <v>0.874</v>
      </c>
      <c r="L17" s="230">
        <f t="shared" ca="1" si="7"/>
        <v>8.0336284999999993E-2</v>
      </c>
      <c r="M17" s="230">
        <f t="shared" ca="1" si="8"/>
        <v>0.16</v>
      </c>
      <c r="W17" s="216"/>
      <c r="X17" s="216"/>
      <c r="Y17" s="216"/>
      <c r="Z17" s="221"/>
    </row>
    <row r="18" spans="2:26" ht="30" customHeight="1" x14ac:dyDescent="0.2">
      <c r="B18" s="227" t="str">
        <f>'Select 10 table'!B26</f>
        <v>CCG of GP Practice</v>
      </c>
      <c r="C18" s="228" t="str">
        <f>'Select 10 table'!C26</f>
        <v>THAMES VALLEY COMMISSIONING HUB (13M)</v>
      </c>
      <c r="D18" s="229" t="str">
        <f t="shared" ca="1" si="9"/>
        <v>No data</v>
      </c>
      <c r="E18" s="230" t="str">
        <f t="shared" ca="1" si="0"/>
        <v>No data</v>
      </c>
      <c r="F18" s="230" t="str">
        <f t="shared" ca="1" si="1"/>
        <v>No data</v>
      </c>
      <c r="G18" s="230" t="str">
        <f t="shared" ca="1" si="2"/>
        <v>No data</v>
      </c>
      <c r="H18" s="231" t="str">
        <f t="shared" ca="1" si="3"/>
        <v>No data</v>
      </c>
      <c r="I18" s="231" t="str">
        <f t="shared" ca="1" si="4"/>
        <v>No data</v>
      </c>
      <c r="J18" s="231" t="str">
        <f t="shared" ca="1" si="5"/>
        <v>No data</v>
      </c>
      <c r="K18" s="230" t="str">
        <f t="shared" ca="1" si="6"/>
        <v>No data</v>
      </c>
      <c r="L18" s="230" t="str">
        <f t="shared" ca="1" si="7"/>
        <v>No data</v>
      </c>
      <c r="M18" s="230" t="str">
        <f t="shared" ca="1" si="8"/>
        <v>No data</v>
      </c>
      <c r="W18" s="216"/>
      <c r="X18" s="216"/>
      <c r="Y18" s="216"/>
      <c r="Z18" s="221"/>
    </row>
    <row r="19" spans="2:26" x14ac:dyDescent="0.2">
      <c r="K19" s="216"/>
      <c r="L19" s="216"/>
      <c r="M19" s="216"/>
    </row>
  </sheetData>
  <phoneticPr fontId="10"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rgb="FFFFFFB3"/>
  </sheetPr>
  <dimension ref="A1:V402"/>
  <sheetViews>
    <sheetView zoomScale="85" workbookViewId="0">
      <selection activeCell="E31" sqref="E31"/>
    </sheetView>
  </sheetViews>
  <sheetFormatPr defaultRowHeight="12.75" x14ac:dyDescent="0.2"/>
  <cols>
    <col min="3" max="3" width="47" customWidth="1"/>
    <col min="4" max="4" width="17.5703125" bestFit="1" customWidth="1"/>
    <col min="5" max="5" width="18.85546875" bestFit="1" customWidth="1"/>
    <col min="7" max="7" width="19.140625" customWidth="1"/>
    <col min="8" max="8" width="33.85546875" bestFit="1" customWidth="1"/>
  </cols>
  <sheetData>
    <row r="1" spans="1:22" x14ac:dyDescent="0.2">
      <c r="B1">
        <v>1</v>
      </c>
      <c r="C1">
        <v>2</v>
      </c>
      <c r="D1">
        <v>3</v>
      </c>
      <c r="E1">
        <v>4</v>
      </c>
      <c r="F1">
        <v>5</v>
      </c>
      <c r="G1">
        <v>6</v>
      </c>
      <c r="H1">
        <v>7</v>
      </c>
      <c r="I1">
        <v>8</v>
      </c>
      <c r="J1">
        <v>9</v>
      </c>
      <c r="K1">
        <v>10</v>
      </c>
      <c r="L1">
        <v>11</v>
      </c>
      <c r="M1">
        <v>12</v>
      </c>
      <c r="N1">
        <v>13</v>
      </c>
      <c r="O1">
        <v>14</v>
      </c>
      <c r="P1">
        <v>15</v>
      </c>
      <c r="Q1">
        <v>16</v>
      </c>
      <c r="R1">
        <v>17</v>
      </c>
    </row>
    <row r="2" spans="1:22" x14ac:dyDescent="0.2">
      <c r="A2" t="s">
        <v>23</v>
      </c>
      <c r="B2" t="s">
        <v>38</v>
      </c>
      <c r="C2" s="25" t="s">
        <v>32</v>
      </c>
      <c r="D2" s="27" t="s">
        <v>59</v>
      </c>
      <c r="E2" s="27" t="s">
        <v>60</v>
      </c>
      <c r="F2" s="27" t="s">
        <v>61</v>
      </c>
      <c r="G2" s="27" t="s">
        <v>62</v>
      </c>
      <c r="H2" s="27" t="s">
        <v>63</v>
      </c>
      <c r="I2" s="1" t="s">
        <v>41</v>
      </c>
      <c r="J2" s="1" t="s">
        <v>42</v>
      </c>
      <c r="K2" s="1" t="s">
        <v>43</v>
      </c>
      <c r="L2" s="1" t="s">
        <v>44</v>
      </c>
      <c r="M2" s="1" t="s">
        <v>45</v>
      </c>
      <c r="N2" s="1" t="s">
        <v>46</v>
      </c>
      <c r="O2" s="1" t="s">
        <v>47</v>
      </c>
      <c r="P2" s="1" t="s">
        <v>48</v>
      </c>
      <c r="Q2" s="28" t="s">
        <v>49</v>
      </c>
      <c r="R2" s="2" t="s">
        <v>2</v>
      </c>
      <c r="S2" s="1" t="s">
        <v>30</v>
      </c>
      <c r="T2" s="1" t="s">
        <v>31</v>
      </c>
      <c r="U2" s="1" t="s">
        <v>24</v>
      </c>
      <c r="V2" s="1" t="s">
        <v>25</v>
      </c>
    </row>
    <row r="3" spans="1:22" x14ac:dyDescent="0.2">
      <c r="A3">
        <v>1</v>
      </c>
      <c r="B3">
        <f ca="1">VLOOKUP($A3,Funnel_Data,B$1,FALSE)</f>
        <v>1</v>
      </c>
      <c r="C3" t="str">
        <f t="shared" ref="B3:K12" ca="1" si="0">VLOOKUP($A3,Funnel_Data,C$1,FALSE)</f>
        <v>Groin HerniaProviderAINTREE UNIVERSITY HOSPITAL NHS FOUNDATION TRUST (REM)EQ-5D Index</v>
      </c>
      <c r="D3" t="str">
        <f t="shared" ca="1" si="0"/>
        <v>Groin Hernia</v>
      </c>
      <c r="E3" t="str">
        <f t="shared" ca="1" si="0"/>
        <v>Provider</v>
      </c>
      <c r="F3" t="str">
        <f t="shared" ca="1" si="0"/>
        <v>REM</v>
      </c>
      <c r="G3" t="str">
        <f t="shared" ca="1" si="0"/>
        <v>AINTREE UNIVERSITY HOSPITAL NHS FOUNDATION TRUST (REM)</v>
      </c>
      <c r="H3" t="str">
        <f t="shared" ca="1" si="0"/>
        <v>EQ-5D Index</v>
      </c>
      <c r="I3">
        <f t="shared" ca="1" si="0"/>
        <v>95</v>
      </c>
      <c r="J3">
        <f t="shared" ca="1" si="0"/>
        <v>0.76500000000000001</v>
      </c>
      <c r="K3">
        <f t="shared" ca="1" si="0"/>
        <v>0.83599999999999997</v>
      </c>
      <c r="L3">
        <f t="shared" ref="L3:R12" ca="1" si="1">VLOOKUP($A3,Funnel_Data,L$1,FALSE)</f>
        <v>7.0999999999999994E-2</v>
      </c>
      <c r="M3">
        <f t="shared" ca="1" si="1"/>
        <v>54</v>
      </c>
      <c r="N3">
        <f t="shared" ca="1" si="1"/>
        <v>26</v>
      </c>
      <c r="O3">
        <f t="shared" ca="1" si="1"/>
        <v>15</v>
      </c>
      <c r="P3">
        <f t="shared" ca="1" si="1"/>
        <v>0.85599999999999998</v>
      </c>
      <c r="Q3">
        <f t="shared" ca="1" si="1"/>
        <v>6.3055412000000005E-2</v>
      </c>
      <c r="R3">
        <f t="shared" ca="1" si="1"/>
        <v>0.19700000000000001</v>
      </c>
      <c r="S3">
        <f ca="1">IF($Q3="*",#N/A,I3)</f>
        <v>95</v>
      </c>
      <c r="T3">
        <f ca="1">IF($Q3="*",#N/A,Q3)</f>
        <v>6.3055412000000005E-2</v>
      </c>
      <c r="U3">
        <f ca="1">IF(AND($C3='Funnel setup'!$K$3&amp;'Funnel setup'!$K$5&amp;'Funnel setup'!$K$6&amp;'Funnel setup'!$K$4,'Funnel Lookup'!I3="*"),#N/A,IF(AND($C3='Funnel setup'!$K$3&amp;'Funnel setup'!$K$5&amp;'Funnel setup'!$K$6&amp;'Funnel setup'!$K$4,'Funnel Lookup'!I3&gt;29),'Funnel Lookup'!I3,#N/A))</f>
        <v>95</v>
      </c>
      <c r="V3">
        <f ca="1">IF(AND($C3='Funnel setup'!$K$3&amp;'Funnel setup'!$K$5&amp;'Funnel setup'!$K$6&amp;'Funnel setup'!$K$4,'Funnel Lookup'!I3="*"),#N/A,IF(AND($C3='Funnel setup'!$K$3&amp;'Funnel setup'!$K$5&amp;'Funnel setup'!$K$6&amp;'Funnel setup'!$K$4,'Funnel Lookup'!I3&gt;29),'Funnel Lookup'!Q3,#N/A))</f>
        <v>6.3055412000000005E-2</v>
      </c>
    </row>
    <row r="4" spans="1:22" x14ac:dyDescent="0.2">
      <c r="A4">
        <v>2</v>
      </c>
      <c r="B4">
        <f t="shared" ca="1" si="0"/>
        <v>2</v>
      </c>
      <c r="C4" t="str">
        <f t="shared" ca="1" si="0"/>
        <v>Groin HerniaProviderAIREDALE NHS FOUNDATION TRUST (RCF)EQ-5D Index</v>
      </c>
      <c r="D4" t="str">
        <f t="shared" ca="1" si="0"/>
        <v>Groin Hernia</v>
      </c>
      <c r="E4" t="str">
        <f t="shared" ca="1" si="0"/>
        <v>Provider</v>
      </c>
      <c r="F4" t="str">
        <f t="shared" ca="1" si="0"/>
        <v>RCF</v>
      </c>
      <c r="G4" t="str">
        <f t="shared" ca="1" si="0"/>
        <v>AIREDALE NHS FOUNDATION TRUST (RCF)</v>
      </c>
      <c r="H4" t="str">
        <f t="shared" ca="1" si="0"/>
        <v>EQ-5D Index</v>
      </c>
      <c r="I4">
        <f t="shared" ca="1" si="0"/>
        <v>115</v>
      </c>
      <c r="J4">
        <f t="shared" ca="1" si="0"/>
        <v>0.82799999999999996</v>
      </c>
      <c r="K4">
        <f t="shared" ca="1" si="0"/>
        <v>0.89100000000000001</v>
      </c>
      <c r="L4">
        <f t="shared" ca="1" si="1"/>
        <v>6.3E-2</v>
      </c>
      <c r="M4">
        <f t="shared" ca="1" si="1"/>
        <v>53</v>
      </c>
      <c r="N4">
        <f t="shared" ca="1" si="1"/>
        <v>38</v>
      </c>
      <c r="O4">
        <f t="shared" ca="1" si="1"/>
        <v>24</v>
      </c>
      <c r="P4">
        <f t="shared" ca="1" si="1"/>
        <v>0.88800000000000001</v>
      </c>
      <c r="Q4">
        <f t="shared" ca="1" si="1"/>
        <v>9.4257629999999995E-2</v>
      </c>
      <c r="R4">
        <f t="shared" ca="1" si="1"/>
        <v>0.155</v>
      </c>
      <c r="S4">
        <f t="shared" ref="S4:S67" ca="1" si="2">IF($Q4="*",#N/A,I4)</f>
        <v>115</v>
      </c>
      <c r="T4">
        <f t="shared" ref="T4:T67" ca="1" si="3">IF($Q4="*",#N/A,Q4)</f>
        <v>9.4257629999999995E-2</v>
      </c>
      <c r="U4" t="e">
        <f ca="1">IF(AND($C4='Funnel setup'!$K$3&amp;'Funnel setup'!$K$5&amp;'Funnel setup'!$K$6&amp;'Funnel setup'!$K$4,'Funnel Lookup'!I4="*"),#N/A,IF(AND($C4='Funnel setup'!$K$3&amp;'Funnel setup'!$K$5&amp;'Funnel setup'!$K$6&amp;'Funnel setup'!$K$4,'Funnel Lookup'!I4&gt;29),'Funnel Lookup'!I4,#N/A))</f>
        <v>#N/A</v>
      </c>
      <c r="V4" t="e">
        <f ca="1">IF(AND($C4='Funnel setup'!$K$3&amp;'Funnel setup'!$K$5&amp;'Funnel setup'!$K$6&amp;'Funnel setup'!$K$4,'Funnel Lookup'!I4="*"),#N/A,IF(AND($C4='Funnel setup'!$K$3&amp;'Funnel setup'!$K$5&amp;'Funnel setup'!$K$6&amp;'Funnel setup'!$K$4,'Funnel Lookup'!I4&gt;29),'Funnel Lookup'!Q4,#N/A))</f>
        <v>#N/A</v>
      </c>
    </row>
    <row r="5" spans="1:22" x14ac:dyDescent="0.2">
      <c r="A5">
        <v>3</v>
      </c>
      <c r="B5">
        <f t="shared" ca="1" si="0"/>
        <v>3</v>
      </c>
      <c r="C5" t="str">
        <f t="shared" ca="1" si="0"/>
        <v>Groin HerniaProviderASHFORD AND ST PETER'S HOSPITALS NHS FOUNDATION TRUST (RTK)EQ-5D Index</v>
      </c>
      <c r="D5" t="str">
        <f t="shared" ca="1" si="0"/>
        <v>Groin Hernia</v>
      </c>
      <c r="E5" t="str">
        <f t="shared" ca="1" si="0"/>
        <v>Provider</v>
      </c>
      <c r="F5" t="str">
        <f t="shared" ca="1" si="0"/>
        <v>RTK</v>
      </c>
      <c r="G5" t="str">
        <f t="shared" ca="1" si="0"/>
        <v>ASHFORD AND ST PETER'S HOSPITALS NHS FOUNDATION TRUST (RTK)</v>
      </c>
      <c r="H5" t="str">
        <f t="shared" ca="1" si="0"/>
        <v>EQ-5D Index</v>
      </c>
      <c r="I5">
        <f t="shared" ca="1" si="0"/>
        <v>16</v>
      </c>
      <c r="J5">
        <f t="shared" ca="1" si="0"/>
        <v>0.83</v>
      </c>
      <c r="K5">
        <f t="shared" ca="1" si="0"/>
        <v>0.76400000000000001</v>
      </c>
      <c r="L5">
        <f t="shared" ca="1" si="1"/>
        <v>-6.6000000000000003E-2</v>
      </c>
      <c r="M5">
        <f t="shared" ca="1" si="1"/>
        <v>7</v>
      </c>
      <c r="N5">
        <f t="shared" ca="1" si="1"/>
        <v>4</v>
      </c>
      <c r="O5">
        <f t="shared" ca="1" si="1"/>
        <v>5</v>
      </c>
      <c r="P5" t="str">
        <f t="shared" ca="1" si="1"/>
        <v>*</v>
      </c>
      <c r="Q5" t="str">
        <f t="shared" ca="1" si="1"/>
        <v>*</v>
      </c>
      <c r="R5" t="str">
        <f t="shared" ca="1" si="1"/>
        <v>*</v>
      </c>
      <c r="S5" t="e">
        <f t="shared" ca="1" si="2"/>
        <v>#N/A</v>
      </c>
      <c r="T5" t="e">
        <f t="shared" ca="1" si="3"/>
        <v>#N/A</v>
      </c>
      <c r="U5" t="e">
        <f ca="1">IF(AND($C5='Funnel setup'!$K$3&amp;'Funnel setup'!$K$5&amp;'Funnel setup'!$K$6&amp;'Funnel setup'!$K$4,'Funnel Lookup'!I5="*"),#N/A,IF(AND($C5='Funnel setup'!$K$3&amp;'Funnel setup'!$K$5&amp;'Funnel setup'!$K$6&amp;'Funnel setup'!$K$4,'Funnel Lookup'!I5&gt;29),'Funnel Lookup'!I5,#N/A))</f>
        <v>#N/A</v>
      </c>
      <c r="V5" t="e">
        <f ca="1">IF(AND($C5='Funnel setup'!$K$3&amp;'Funnel setup'!$K$5&amp;'Funnel setup'!$K$6&amp;'Funnel setup'!$K$4,'Funnel Lookup'!I5="*"),#N/A,IF(AND($C5='Funnel setup'!$K$3&amp;'Funnel setup'!$K$5&amp;'Funnel setup'!$K$6&amp;'Funnel setup'!$K$4,'Funnel Lookup'!I5&gt;29),'Funnel Lookup'!Q5,#N/A))</f>
        <v>#N/A</v>
      </c>
    </row>
    <row r="6" spans="1:22" x14ac:dyDescent="0.2">
      <c r="A6">
        <v>4</v>
      </c>
      <c r="B6">
        <f t="shared" ca="1" si="0"/>
        <v>4</v>
      </c>
      <c r="C6" t="str">
        <f t="shared" ca="1" si="0"/>
        <v>Groin HerniaProviderASHTEAD HOSPITAL (NVC01)EQ-5D Index</v>
      </c>
      <c r="D6" t="str">
        <f t="shared" ca="1" si="0"/>
        <v>Groin Hernia</v>
      </c>
      <c r="E6" t="str">
        <f t="shared" ca="1" si="0"/>
        <v>Provider</v>
      </c>
      <c r="F6" t="str">
        <f t="shared" ca="1" si="0"/>
        <v>NVC01</v>
      </c>
      <c r="G6" t="str">
        <f t="shared" ca="1" si="0"/>
        <v>ASHTEAD HOSPITAL (NVC01)</v>
      </c>
      <c r="H6" t="str">
        <f t="shared" ca="1" si="0"/>
        <v>EQ-5D Index</v>
      </c>
      <c r="I6">
        <f t="shared" ca="1" si="0"/>
        <v>49</v>
      </c>
      <c r="J6">
        <f t="shared" ca="1" si="0"/>
        <v>0.82699999999999996</v>
      </c>
      <c r="K6">
        <f t="shared" ca="1" si="0"/>
        <v>0.90100000000000002</v>
      </c>
      <c r="L6">
        <f t="shared" ca="1" si="1"/>
        <v>7.4999999999999997E-2</v>
      </c>
      <c r="M6">
        <f t="shared" ca="1" si="1"/>
        <v>25</v>
      </c>
      <c r="N6">
        <f t="shared" ca="1" si="1"/>
        <v>13</v>
      </c>
      <c r="O6">
        <f t="shared" ca="1" si="1"/>
        <v>11</v>
      </c>
      <c r="P6">
        <f t="shared" ca="1" si="1"/>
        <v>0.86899999999999999</v>
      </c>
      <c r="Q6">
        <f t="shared" ca="1" si="1"/>
        <v>7.5555035000000006E-2</v>
      </c>
      <c r="R6">
        <f t="shared" ca="1" si="1"/>
        <v>0.122</v>
      </c>
      <c r="S6">
        <f t="shared" ca="1" si="2"/>
        <v>49</v>
      </c>
      <c r="T6">
        <f t="shared" ca="1" si="3"/>
        <v>7.5555035000000006E-2</v>
      </c>
      <c r="U6" t="e">
        <f ca="1">IF(AND($C6='Funnel setup'!$K$3&amp;'Funnel setup'!$K$5&amp;'Funnel setup'!$K$6&amp;'Funnel setup'!$K$4,'Funnel Lookup'!I6="*"),#N/A,IF(AND($C6='Funnel setup'!$K$3&amp;'Funnel setup'!$K$5&amp;'Funnel setup'!$K$6&amp;'Funnel setup'!$K$4,'Funnel Lookup'!I6&gt;29),'Funnel Lookup'!I6,#N/A))</f>
        <v>#N/A</v>
      </c>
      <c r="V6" t="e">
        <f ca="1">IF(AND($C6='Funnel setup'!$K$3&amp;'Funnel setup'!$K$5&amp;'Funnel setup'!$K$6&amp;'Funnel setup'!$K$4,'Funnel Lookup'!I6="*"),#N/A,IF(AND($C6='Funnel setup'!$K$3&amp;'Funnel setup'!$K$5&amp;'Funnel setup'!$K$6&amp;'Funnel setup'!$K$4,'Funnel Lookup'!I6&gt;29),'Funnel Lookup'!Q6,#N/A))</f>
        <v>#N/A</v>
      </c>
    </row>
    <row r="7" spans="1:22" x14ac:dyDescent="0.2">
      <c r="A7">
        <v>5</v>
      </c>
      <c r="B7">
        <f t="shared" ca="1" si="0"/>
        <v>5</v>
      </c>
      <c r="C7" t="str">
        <f t="shared" ca="1" si="0"/>
        <v>Groin HerniaProviderASPEN - CLAREMONT HOSPITAL (NYW04)EQ-5D Index</v>
      </c>
      <c r="D7" t="str">
        <f t="shared" ca="1" si="0"/>
        <v>Groin Hernia</v>
      </c>
      <c r="E7" t="str">
        <f t="shared" ca="1" si="0"/>
        <v>Provider</v>
      </c>
      <c r="F7" t="str">
        <f t="shared" ca="1" si="0"/>
        <v>NYW04</v>
      </c>
      <c r="G7" t="str">
        <f t="shared" ca="1" si="0"/>
        <v>ASPEN - CLAREMONT HOSPITAL (NYW04)</v>
      </c>
      <c r="H7" t="str">
        <f t="shared" ca="1" si="0"/>
        <v>EQ-5D Index</v>
      </c>
      <c r="I7" t="str">
        <f t="shared" ca="1" si="0"/>
        <v>*</v>
      </c>
      <c r="J7" t="str">
        <f t="shared" ca="1" si="0"/>
        <v>*</v>
      </c>
      <c r="K7" t="str">
        <f t="shared" ca="1" si="0"/>
        <v>*</v>
      </c>
      <c r="L7" t="str">
        <f t="shared" ca="1" si="1"/>
        <v>*</v>
      </c>
      <c r="M7" t="str">
        <f t="shared" ca="1" si="1"/>
        <v>*</v>
      </c>
      <c r="N7" t="str">
        <f t="shared" ca="1" si="1"/>
        <v>*</v>
      </c>
      <c r="O7" t="str">
        <f t="shared" ca="1" si="1"/>
        <v>*</v>
      </c>
      <c r="P7" t="str">
        <f t="shared" ca="1" si="1"/>
        <v>*</v>
      </c>
      <c r="Q7" t="str">
        <f t="shared" ca="1" si="1"/>
        <v>*</v>
      </c>
      <c r="R7" t="str">
        <f t="shared" ca="1" si="1"/>
        <v>*</v>
      </c>
      <c r="S7" t="e">
        <f t="shared" ca="1" si="2"/>
        <v>#N/A</v>
      </c>
      <c r="T7" t="e">
        <f t="shared" ca="1" si="3"/>
        <v>#N/A</v>
      </c>
      <c r="U7" t="e">
        <f ca="1">IF(AND($C7='Funnel setup'!$K$3&amp;'Funnel setup'!$K$5&amp;'Funnel setup'!$K$6&amp;'Funnel setup'!$K$4,'Funnel Lookup'!I7="*"),#N/A,IF(AND($C7='Funnel setup'!$K$3&amp;'Funnel setup'!$K$5&amp;'Funnel setup'!$K$6&amp;'Funnel setup'!$K$4,'Funnel Lookup'!I7&gt;29),'Funnel Lookup'!I7,#N/A))</f>
        <v>#N/A</v>
      </c>
      <c r="V7" t="e">
        <f ca="1">IF(AND($C7='Funnel setup'!$K$3&amp;'Funnel setup'!$K$5&amp;'Funnel setup'!$K$6&amp;'Funnel setup'!$K$4,'Funnel Lookup'!I7="*"),#N/A,IF(AND($C7='Funnel setup'!$K$3&amp;'Funnel setup'!$K$5&amp;'Funnel setup'!$K$6&amp;'Funnel setup'!$K$4,'Funnel Lookup'!I7&gt;29),'Funnel Lookup'!Q7,#N/A))</f>
        <v>#N/A</v>
      </c>
    </row>
    <row r="8" spans="1:22" x14ac:dyDescent="0.2">
      <c r="A8">
        <v>6</v>
      </c>
      <c r="B8">
        <f t="shared" ca="1" si="0"/>
        <v>6</v>
      </c>
      <c r="C8" t="str">
        <f t="shared" ca="1" si="0"/>
        <v>Groin HerniaProviderASPEN - HIGHGATE HOSPITAL (NYW03)EQ-5D Index</v>
      </c>
      <c r="D8" t="str">
        <f t="shared" ca="1" si="0"/>
        <v>Groin Hernia</v>
      </c>
      <c r="E8" t="str">
        <f t="shared" ca="1" si="0"/>
        <v>Provider</v>
      </c>
      <c r="F8" t="str">
        <f t="shared" ca="1" si="0"/>
        <v>NYW03</v>
      </c>
      <c r="G8" t="str">
        <f t="shared" ca="1" si="0"/>
        <v>ASPEN - HIGHGATE HOSPITAL (NYW03)</v>
      </c>
      <c r="H8" t="str">
        <f t="shared" ca="1" si="0"/>
        <v>EQ-5D Index</v>
      </c>
      <c r="I8" t="str">
        <f t="shared" ca="1" si="0"/>
        <v>*</v>
      </c>
      <c r="J8" t="str">
        <f t="shared" ca="1" si="0"/>
        <v>*</v>
      </c>
      <c r="K8" t="str">
        <f t="shared" ca="1" si="0"/>
        <v>*</v>
      </c>
      <c r="L8" t="str">
        <f t="shared" ca="1" si="1"/>
        <v>*</v>
      </c>
      <c r="M8" t="str">
        <f t="shared" ca="1" si="1"/>
        <v>*</v>
      </c>
      <c r="N8" t="str">
        <f t="shared" ca="1" si="1"/>
        <v>*</v>
      </c>
      <c r="O8" t="str">
        <f t="shared" ca="1" si="1"/>
        <v>*</v>
      </c>
      <c r="P8" t="str">
        <f t="shared" ca="1" si="1"/>
        <v>*</v>
      </c>
      <c r="Q8" t="str">
        <f t="shared" ca="1" si="1"/>
        <v>*</v>
      </c>
      <c r="R8" t="str">
        <f t="shared" ca="1" si="1"/>
        <v>*</v>
      </c>
      <c r="S8" t="e">
        <f t="shared" ca="1" si="2"/>
        <v>#N/A</v>
      </c>
      <c r="T8" t="e">
        <f t="shared" ca="1" si="3"/>
        <v>#N/A</v>
      </c>
      <c r="U8" t="e">
        <f ca="1">IF(AND($C8='Funnel setup'!$K$3&amp;'Funnel setup'!$K$5&amp;'Funnel setup'!$K$6&amp;'Funnel setup'!$K$4,'Funnel Lookup'!I8="*"),#N/A,IF(AND($C8='Funnel setup'!$K$3&amp;'Funnel setup'!$K$5&amp;'Funnel setup'!$K$6&amp;'Funnel setup'!$K$4,'Funnel Lookup'!I8&gt;29),'Funnel Lookup'!I8,#N/A))</f>
        <v>#N/A</v>
      </c>
      <c r="V8" t="e">
        <f ca="1">IF(AND($C8='Funnel setup'!$K$3&amp;'Funnel setup'!$K$5&amp;'Funnel setup'!$K$6&amp;'Funnel setup'!$K$4,'Funnel Lookup'!I8="*"),#N/A,IF(AND($C8='Funnel setup'!$K$3&amp;'Funnel setup'!$K$5&amp;'Funnel setup'!$K$6&amp;'Funnel setup'!$K$4,'Funnel Lookup'!I8&gt;29),'Funnel Lookup'!Q8,#N/A))</f>
        <v>#N/A</v>
      </c>
    </row>
    <row r="9" spans="1:22" x14ac:dyDescent="0.2">
      <c r="A9">
        <v>7</v>
      </c>
      <c r="B9">
        <f t="shared" ca="1" si="0"/>
        <v>7</v>
      </c>
      <c r="C9" t="str">
        <f t="shared" ca="1" si="0"/>
        <v>Groin HerniaProviderASPEN - HOLLY HOUSE HOSPITAL (NYW01)EQ-5D Index</v>
      </c>
      <c r="D9" t="str">
        <f t="shared" ca="1" si="0"/>
        <v>Groin Hernia</v>
      </c>
      <c r="E9" t="str">
        <f t="shared" ca="1" si="0"/>
        <v>Provider</v>
      </c>
      <c r="F9" t="str">
        <f t="shared" ca="1" si="0"/>
        <v>NYW01</v>
      </c>
      <c r="G9" t="str">
        <f t="shared" ca="1" si="0"/>
        <v>ASPEN - HOLLY HOUSE HOSPITAL (NYW01)</v>
      </c>
      <c r="H9" t="str">
        <f t="shared" ca="1" si="0"/>
        <v>EQ-5D Index</v>
      </c>
      <c r="I9" t="str">
        <f t="shared" ca="1" si="0"/>
        <v>*</v>
      </c>
      <c r="J9" t="str">
        <f t="shared" ca="1" si="0"/>
        <v>*</v>
      </c>
      <c r="K9" t="str">
        <f t="shared" ca="1" si="0"/>
        <v>*</v>
      </c>
      <c r="L9" t="str">
        <f t="shared" ca="1" si="1"/>
        <v>*</v>
      </c>
      <c r="M9" t="str">
        <f t="shared" ca="1" si="1"/>
        <v>*</v>
      </c>
      <c r="N9" t="str">
        <f t="shared" ca="1" si="1"/>
        <v>*</v>
      </c>
      <c r="O9" t="str">
        <f t="shared" ca="1" si="1"/>
        <v>*</v>
      </c>
      <c r="P9" t="str">
        <f t="shared" ca="1" si="1"/>
        <v>*</v>
      </c>
      <c r="Q9" t="str">
        <f t="shared" ca="1" si="1"/>
        <v>*</v>
      </c>
      <c r="R9" t="str">
        <f t="shared" ca="1" si="1"/>
        <v>*</v>
      </c>
      <c r="S9" t="e">
        <f t="shared" ca="1" si="2"/>
        <v>#N/A</v>
      </c>
      <c r="T9" t="e">
        <f t="shared" ca="1" si="3"/>
        <v>#N/A</v>
      </c>
      <c r="U9" t="e">
        <f ca="1">IF(AND($C9='Funnel setup'!$K$3&amp;'Funnel setup'!$K$5&amp;'Funnel setup'!$K$6&amp;'Funnel setup'!$K$4,'Funnel Lookup'!I9="*"),#N/A,IF(AND($C9='Funnel setup'!$K$3&amp;'Funnel setup'!$K$5&amp;'Funnel setup'!$K$6&amp;'Funnel setup'!$K$4,'Funnel Lookup'!I9&gt;29),'Funnel Lookup'!I9,#N/A))</f>
        <v>#N/A</v>
      </c>
      <c r="V9" t="e">
        <f ca="1">IF(AND($C9='Funnel setup'!$K$3&amp;'Funnel setup'!$K$5&amp;'Funnel setup'!$K$6&amp;'Funnel setup'!$K$4,'Funnel Lookup'!I9="*"),#N/A,IF(AND($C9='Funnel setup'!$K$3&amp;'Funnel setup'!$K$5&amp;'Funnel setup'!$K$6&amp;'Funnel setup'!$K$4,'Funnel Lookup'!I9&gt;29),'Funnel Lookup'!Q9,#N/A))</f>
        <v>#N/A</v>
      </c>
    </row>
    <row r="10" spans="1:22" x14ac:dyDescent="0.2">
      <c r="A10">
        <v>8</v>
      </c>
      <c r="B10">
        <f t="shared" ca="1" si="0"/>
        <v>8</v>
      </c>
      <c r="C10" t="str">
        <f t="shared" ca="1" si="0"/>
        <v>Groin HerniaProviderBARKING, HAVERING AND REDBRIDGE UNIVERSITY HOSPITALS NHS TRUST (RF4)EQ-5D Index</v>
      </c>
      <c r="D10" t="str">
        <f t="shared" ca="1" si="0"/>
        <v>Groin Hernia</v>
      </c>
      <c r="E10" t="str">
        <f t="shared" ca="1" si="0"/>
        <v>Provider</v>
      </c>
      <c r="F10" t="str">
        <f t="shared" ca="1" si="0"/>
        <v>RF4</v>
      </c>
      <c r="G10" t="str">
        <f t="shared" ca="1" si="0"/>
        <v>BARKING, HAVERING AND REDBRIDGE UNIVERSITY HOSPITALS NHS TRUST (RF4)</v>
      </c>
      <c r="H10" t="str">
        <f t="shared" ca="1" si="0"/>
        <v>EQ-5D Index</v>
      </c>
      <c r="I10">
        <f t="shared" ca="1" si="0"/>
        <v>13</v>
      </c>
      <c r="J10">
        <f t="shared" ca="1" si="0"/>
        <v>0.79400000000000004</v>
      </c>
      <c r="K10">
        <f t="shared" ca="1" si="0"/>
        <v>0.81499999999999995</v>
      </c>
      <c r="L10">
        <f t="shared" ca="1" si="1"/>
        <v>2.1999999999999999E-2</v>
      </c>
      <c r="M10">
        <f t="shared" ca="1" si="1"/>
        <v>5</v>
      </c>
      <c r="N10">
        <f t="shared" ca="1" si="1"/>
        <v>6</v>
      </c>
      <c r="O10">
        <f t="shared" ca="1" si="1"/>
        <v>2</v>
      </c>
      <c r="P10" t="str">
        <f t="shared" ca="1" si="1"/>
        <v>*</v>
      </c>
      <c r="Q10" t="str">
        <f t="shared" ca="1" si="1"/>
        <v>*</v>
      </c>
      <c r="R10" t="str">
        <f t="shared" ca="1" si="1"/>
        <v>*</v>
      </c>
      <c r="S10" t="e">
        <f t="shared" ca="1" si="2"/>
        <v>#N/A</v>
      </c>
      <c r="T10" t="e">
        <f t="shared" ca="1" si="3"/>
        <v>#N/A</v>
      </c>
      <c r="U10" t="e">
        <f ca="1">IF(AND($C10='Funnel setup'!$K$3&amp;'Funnel setup'!$K$5&amp;'Funnel setup'!$K$6&amp;'Funnel setup'!$K$4,'Funnel Lookup'!I10="*"),#N/A,IF(AND($C10='Funnel setup'!$K$3&amp;'Funnel setup'!$K$5&amp;'Funnel setup'!$K$6&amp;'Funnel setup'!$K$4,'Funnel Lookup'!I10&gt;29),'Funnel Lookup'!I10,#N/A))</f>
        <v>#N/A</v>
      </c>
      <c r="V10" t="e">
        <f ca="1">IF(AND($C10='Funnel setup'!$K$3&amp;'Funnel setup'!$K$5&amp;'Funnel setup'!$K$6&amp;'Funnel setup'!$K$4,'Funnel Lookup'!I10="*"),#N/A,IF(AND($C10='Funnel setup'!$K$3&amp;'Funnel setup'!$K$5&amp;'Funnel setup'!$K$6&amp;'Funnel setup'!$K$4,'Funnel Lookup'!I10&gt;29),'Funnel Lookup'!Q10,#N/A))</f>
        <v>#N/A</v>
      </c>
    </row>
    <row r="11" spans="1:22" x14ac:dyDescent="0.2">
      <c r="A11">
        <v>9</v>
      </c>
      <c r="B11">
        <f t="shared" ca="1" si="0"/>
        <v>9</v>
      </c>
      <c r="C11" t="str">
        <f t="shared" ca="1" si="0"/>
        <v>Groin HerniaProviderBARNSLEY HOSPITAL NHS FOUNDATION TRUST (RFF)EQ-5D Index</v>
      </c>
      <c r="D11" t="str">
        <f t="shared" ca="1" si="0"/>
        <v>Groin Hernia</v>
      </c>
      <c r="E11" t="str">
        <f t="shared" ca="1" si="0"/>
        <v>Provider</v>
      </c>
      <c r="F11" t="str">
        <f t="shared" ca="1" si="0"/>
        <v>RFF</v>
      </c>
      <c r="G11" t="str">
        <f t="shared" ca="1" si="0"/>
        <v>BARNSLEY HOSPITAL NHS FOUNDATION TRUST (RFF)</v>
      </c>
      <c r="H11" t="str">
        <f t="shared" ca="1" si="0"/>
        <v>EQ-5D Index</v>
      </c>
      <c r="I11">
        <f t="shared" ca="1" si="0"/>
        <v>92</v>
      </c>
      <c r="J11">
        <f t="shared" ca="1" si="0"/>
        <v>0.78600000000000003</v>
      </c>
      <c r="K11">
        <f t="shared" ca="1" si="0"/>
        <v>0.88600000000000001</v>
      </c>
      <c r="L11">
        <f t="shared" ca="1" si="1"/>
        <v>9.9000000000000005E-2</v>
      </c>
      <c r="M11">
        <f t="shared" ca="1" si="1"/>
        <v>49</v>
      </c>
      <c r="N11">
        <f t="shared" ca="1" si="1"/>
        <v>28</v>
      </c>
      <c r="O11">
        <f t="shared" ca="1" si="1"/>
        <v>15</v>
      </c>
      <c r="P11">
        <f t="shared" ca="1" si="1"/>
        <v>0.88200000000000001</v>
      </c>
      <c r="Q11">
        <f t="shared" ca="1" si="1"/>
        <v>8.8611220000000004E-2</v>
      </c>
      <c r="R11">
        <f t="shared" ca="1" si="1"/>
        <v>0.158</v>
      </c>
      <c r="S11">
        <f t="shared" ca="1" si="2"/>
        <v>92</v>
      </c>
      <c r="T11">
        <f t="shared" ca="1" si="3"/>
        <v>8.8611220000000004E-2</v>
      </c>
      <c r="U11" t="e">
        <f ca="1">IF(AND($C11='Funnel setup'!$K$3&amp;'Funnel setup'!$K$5&amp;'Funnel setup'!$K$6&amp;'Funnel setup'!$K$4,'Funnel Lookup'!I11="*"),#N/A,IF(AND($C11='Funnel setup'!$K$3&amp;'Funnel setup'!$K$5&amp;'Funnel setup'!$K$6&amp;'Funnel setup'!$K$4,'Funnel Lookup'!I11&gt;29),'Funnel Lookup'!I11,#N/A))</f>
        <v>#N/A</v>
      </c>
      <c r="V11" t="e">
        <f ca="1">IF(AND($C11='Funnel setup'!$K$3&amp;'Funnel setup'!$K$5&amp;'Funnel setup'!$K$6&amp;'Funnel setup'!$K$4,'Funnel Lookup'!I11="*"),#N/A,IF(AND($C11='Funnel setup'!$K$3&amp;'Funnel setup'!$K$5&amp;'Funnel setup'!$K$6&amp;'Funnel setup'!$K$4,'Funnel Lookup'!I11&gt;29),'Funnel Lookup'!Q11,#N/A))</f>
        <v>#N/A</v>
      </c>
    </row>
    <row r="12" spans="1:22" x14ac:dyDescent="0.2">
      <c r="A12">
        <v>10</v>
      </c>
      <c r="B12">
        <f t="shared" ca="1" si="0"/>
        <v>10</v>
      </c>
      <c r="C12" t="str">
        <f t="shared" ca="1" si="0"/>
        <v>Groin HerniaProviderBARTS HEALTH NHS TRUST (R1H)EQ-5D Index</v>
      </c>
      <c r="D12" t="str">
        <f t="shared" ca="1" si="0"/>
        <v>Groin Hernia</v>
      </c>
      <c r="E12" t="str">
        <f t="shared" ca="1" si="0"/>
        <v>Provider</v>
      </c>
      <c r="F12" t="str">
        <f t="shared" ca="1" si="0"/>
        <v>R1H</v>
      </c>
      <c r="G12" t="str">
        <f t="shared" ca="1" si="0"/>
        <v>BARTS HEALTH NHS TRUST (R1H)</v>
      </c>
      <c r="H12" t="str">
        <f t="shared" ca="1" si="0"/>
        <v>EQ-5D Index</v>
      </c>
      <c r="I12">
        <f t="shared" ca="1" si="0"/>
        <v>67</v>
      </c>
      <c r="J12">
        <f t="shared" ca="1" si="0"/>
        <v>0.79900000000000004</v>
      </c>
      <c r="K12">
        <f t="shared" ca="1" si="0"/>
        <v>0.77900000000000003</v>
      </c>
      <c r="L12">
        <f t="shared" ca="1" si="1"/>
        <v>-2.1000000000000001E-2</v>
      </c>
      <c r="M12">
        <f t="shared" ca="1" si="1"/>
        <v>22</v>
      </c>
      <c r="N12">
        <f t="shared" ca="1" si="1"/>
        <v>25</v>
      </c>
      <c r="O12">
        <f t="shared" ca="1" si="1"/>
        <v>20</v>
      </c>
      <c r="P12">
        <f t="shared" ca="1" si="1"/>
        <v>0.82</v>
      </c>
      <c r="Q12">
        <f t="shared" ca="1" si="1"/>
        <v>2.6824482E-2</v>
      </c>
      <c r="R12">
        <f t="shared" ca="1" si="1"/>
        <v>0.254</v>
      </c>
      <c r="S12">
        <f t="shared" ca="1" si="2"/>
        <v>67</v>
      </c>
      <c r="T12">
        <f t="shared" ca="1" si="3"/>
        <v>2.6824482E-2</v>
      </c>
      <c r="U12" t="e">
        <f ca="1">IF(AND($C12='Funnel setup'!$K$3&amp;'Funnel setup'!$K$5&amp;'Funnel setup'!$K$6&amp;'Funnel setup'!$K$4,'Funnel Lookup'!I12="*"),#N/A,IF(AND($C12='Funnel setup'!$K$3&amp;'Funnel setup'!$K$5&amp;'Funnel setup'!$K$6&amp;'Funnel setup'!$K$4,'Funnel Lookup'!I12&gt;29),'Funnel Lookup'!I12,#N/A))</f>
        <v>#N/A</v>
      </c>
      <c r="V12" t="e">
        <f ca="1">IF(AND($C12='Funnel setup'!$K$3&amp;'Funnel setup'!$K$5&amp;'Funnel setup'!$K$6&amp;'Funnel setup'!$K$4,'Funnel Lookup'!I12="*"),#N/A,IF(AND($C12='Funnel setup'!$K$3&amp;'Funnel setup'!$K$5&amp;'Funnel setup'!$K$6&amp;'Funnel setup'!$K$4,'Funnel Lookup'!I12&gt;29),'Funnel Lookup'!Q12,#N/A))</f>
        <v>#N/A</v>
      </c>
    </row>
    <row r="13" spans="1:22" x14ac:dyDescent="0.2">
      <c r="A13">
        <v>11</v>
      </c>
      <c r="B13">
        <f t="shared" ref="B13:K22" ca="1" si="4">VLOOKUP($A13,Funnel_Data,B$1,FALSE)</f>
        <v>11</v>
      </c>
      <c r="C13" t="str">
        <f t="shared" ca="1" si="4"/>
        <v>Groin HerniaProviderBASILDON AND THURROCK UNIVERSITY HOSPITALS NHS FOUNDATION TRUST (RDD)EQ-5D Index</v>
      </c>
      <c r="D13" t="str">
        <f t="shared" ca="1" si="4"/>
        <v>Groin Hernia</v>
      </c>
      <c r="E13" t="str">
        <f t="shared" ca="1" si="4"/>
        <v>Provider</v>
      </c>
      <c r="F13" t="str">
        <f t="shared" ca="1" si="4"/>
        <v>RDD</v>
      </c>
      <c r="G13" t="str">
        <f t="shared" ca="1" si="4"/>
        <v>BASILDON AND THURROCK UNIVERSITY HOSPITALS NHS FOUNDATION TRUST (RDD)</v>
      </c>
      <c r="H13" t="str">
        <f t="shared" ca="1" si="4"/>
        <v>EQ-5D Index</v>
      </c>
      <c r="I13">
        <f t="shared" ca="1" si="4"/>
        <v>79</v>
      </c>
      <c r="J13">
        <f t="shared" ca="1" si="4"/>
        <v>0.73699999999999999</v>
      </c>
      <c r="K13">
        <f t="shared" ca="1" si="4"/>
        <v>0.84499999999999997</v>
      </c>
      <c r="L13">
        <f t="shared" ref="L13:R22" ca="1" si="5">VLOOKUP($A13,Funnel_Data,L$1,FALSE)</f>
        <v>0.108</v>
      </c>
      <c r="M13">
        <f t="shared" ca="1" si="5"/>
        <v>47</v>
      </c>
      <c r="N13">
        <f t="shared" ca="1" si="5"/>
        <v>19</v>
      </c>
      <c r="O13">
        <f t="shared" ca="1" si="5"/>
        <v>13</v>
      </c>
      <c r="P13">
        <f t="shared" ca="1" si="5"/>
        <v>0.874</v>
      </c>
      <c r="Q13">
        <f t="shared" ca="1" si="5"/>
        <v>8.0307681000000006E-2</v>
      </c>
      <c r="R13">
        <f t="shared" ca="1" si="5"/>
        <v>0.17499999999999999</v>
      </c>
      <c r="S13">
        <f t="shared" ca="1" si="2"/>
        <v>79</v>
      </c>
      <c r="T13">
        <f t="shared" ca="1" si="3"/>
        <v>8.0307681000000006E-2</v>
      </c>
      <c r="U13" t="e">
        <f ca="1">IF(AND($C13='Funnel setup'!$K$3&amp;'Funnel setup'!$K$5&amp;'Funnel setup'!$K$6&amp;'Funnel setup'!$K$4,'Funnel Lookup'!I13="*"),#N/A,IF(AND($C13='Funnel setup'!$K$3&amp;'Funnel setup'!$K$5&amp;'Funnel setup'!$K$6&amp;'Funnel setup'!$K$4,'Funnel Lookup'!I13&gt;29),'Funnel Lookup'!I13,#N/A))</f>
        <v>#N/A</v>
      </c>
      <c r="V13" t="e">
        <f ca="1">IF(AND($C13='Funnel setup'!$K$3&amp;'Funnel setup'!$K$5&amp;'Funnel setup'!$K$6&amp;'Funnel setup'!$K$4,'Funnel Lookup'!I13="*"),#N/A,IF(AND($C13='Funnel setup'!$K$3&amp;'Funnel setup'!$K$5&amp;'Funnel setup'!$K$6&amp;'Funnel setup'!$K$4,'Funnel Lookup'!I13&gt;29),'Funnel Lookup'!Q13,#N/A))</f>
        <v>#N/A</v>
      </c>
    </row>
    <row r="14" spans="1:22" x14ac:dyDescent="0.2">
      <c r="A14">
        <v>12</v>
      </c>
      <c r="B14">
        <f t="shared" ca="1" si="4"/>
        <v>12</v>
      </c>
      <c r="C14" t="str">
        <f t="shared" ca="1" si="4"/>
        <v>Groin HerniaProviderBEDFORD HOSPITAL NHS TRUST (RC1)EQ-5D Index</v>
      </c>
      <c r="D14" t="str">
        <f t="shared" ca="1" si="4"/>
        <v>Groin Hernia</v>
      </c>
      <c r="E14" t="str">
        <f t="shared" ca="1" si="4"/>
        <v>Provider</v>
      </c>
      <c r="F14" t="str">
        <f t="shared" ca="1" si="4"/>
        <v>RC1</v>
      </c>
      <c r="G14" t="str">
        <f t="shared" ca="1" si="4"/>
        <v>BEDFORD HOSPITAL NHS TRUST (RC1)</v>
      </c>
      <c r="H14" t="str">
        <f t="shared" ca="1" si="4"/>
        <v>EQ-5D Index</v>
      </c>
      <c r="I14">
        <f t="shared" ca="1" si="4"/>
        <v>75</v>
      </c>
      <c r="J14">
        <f t="shared" ca="1" si="4"/>
        <v>0.78100000000000003</v>
      </c>
      <c r="K14">
        <f t="shared" ca="1" si="4"/>
        <v>0.85899999999999999</v>
      </c>
      <c r="L14">
        <f t="shared" ca="1" si="5"/>
        <v>7.8E-2</v>
      </c>
      <c r="M14">
        <f t="shared" ca="1" si="5"/>
        <v>40</v>
      </c>
      <c r="N14">
        <f t="shared" ca="1" si="5"/>
        <v>22</v>
      </c>
      <c r="O14">
        <f t="shared" ca="1" si="5"/>
        <v>13</v>
      </c>
      <c r="P14">
        <f t="shared" ca="1" si="5"/>
        <v>0.86199999999999999</v>
      </c>
      <c r="Q14">
        <f t="shared" ca="1" si="5"/>
        <v>6.8518924999999994E-2</v>
      </c>
      <c r="R14">
        <f t="shared" ca="1" si="5"/>
        <v>0.16700000000000001</v>
      </c>
      <c r="S14">
        <f t="shared" ca="1" si="2"/>
        <v>75</v>
      </c>
      <c r="T14">
        <f t="shared" ca="1" si="3"/>
        <v>6.8518924999999994E-2</v>
      </c>
      <c r="U14" t="e">
        <f ca="1">IF(AND($C14='Funnel setup'!$K$3&amp;'Funnel setup'!$K$5&amp;'Funnel setup'!$K$6&amp;'Funnel setup'!$K$4,'Funnel Lookup'!I14="*"),#N/A,IF(AND($C14='Funnel setup'!$K$3&amp;'Funnel setup'!$K$5&amp;'Funnel setup'!$K$6&amp;'Funnel setup'!$K$4,'Funnel Lookup'!I14&gt;29),'Funnel Lookup'!I14,#N/A))</f>
        <v>#N/A</v>
      </c>
      <c r="V14" t="e">
        <f ca="1">IF(AND($C14='Funnel setup'!$K$3&amp;'Funnel setup'!$K$5&amp;'Funnel setup'!$K$6&amp;'Funnel setup'!$K$4,'Funnel Lookup'!I14="*"),#N/A,IF(AND($C14='Funnel setup'!$K$3&amp;'Funnel setup'!$K$5&amp;'Funnel setup'!$K$6&amp;'Funnel setup'!$K$4,'Funnel Lookup'!I14&gt;29),'Funnel Lookup'!Q14,#N/A))</f>
        <v>#N/A</v>
      </c>
    </row>
    <row r="15" spans="1:22" x14ac:dyDescent="0.2">
      <c r="A15">
        <v>13</v>
      </c>
      <c r="B15">
        <f t="shared" ca="1" si="4"/>
        <v>13</v>
      </c>
      <c r="C15" t="str">
        <f t="shared" ca="1" si="4"/>
        <v>Groin HerniaProviderBLACKPOOL TEACHING HOSPITALS NHS FOUNDATION TRUST (RXL)EQ-5D Index</v>
      </c>
      <c r="D15" t="str">
        <f t="shared" ca="1" si="4"/>
        <v>Groin Hernia</v>
      </c>
      <c r="E15" t="str">
        <f t="shared" ca="1" si="4"/>
        <v>Provider</v>
      </c>
      <c r="F15" t="str">
        <f t="shared" ca="1" si="4"/>
        <v>RXL</v>
      </c>
      <c r="G15" t="str">
        <f t="shared" ca="1" si="4"/>
        <v>BLACKPOOL TEACHING HOSPITALS NHS FOUNDATION TRUST (RXL)</v>
      </c>
      <c r="H15" t="str">
        <f t="shared" ca="1" si="4"/>
        <v>EQ-5D Index</v>
      </c>
      <c r="I15">
        <f t="shared" ca="1" si="4"/>
        <v>28</v>
      </c>
      <c r="J15">
        <f t="shared" ca="1" si="4"/>
        <v>0.77800000000000002</v>
      </c>
      <c r="K15">
        <f t="shared" ca="1" si="4"/>
        <v>0.78700000000000003</v>
      </c>
      <c r="L15">
        <f t="shared" ca="1" si="5"/>
        <v>8.0000000000000002E-3</v>
      </c>
      <c r="M15">
        <f t="shared" ca="1" si="5"/>
        <v>14</v>
      </c>
      <c r="N15">
        <f t="shared" ca="1" si="5"/>
        <v>8</v>
      </c>
      <c r="O15">
        <f t="shared" ca="1" si="5"/>
        <v>6</v>
      </c>
      <c r="P15" t="str">
        <f t="shared" ca="1" si="5"/>
        <v>*</v>
      </c>
      <c r="Q15" t="str">
        <f t="shared" ca="1" si="5"/>
        <v>*</v>
      </c>
      <c r="R15" t="str">
        <f t="shared" ca="1" si="5"/>
        <v>*</v>
      </c>
      <c r="S15" t="e">
        <f t="shared" ca="1" si="2"/>
        <v>#N/A</v>
      </c>
      <c r="T15" t="e">
        <f t="shared" ca="1" si="3"/>
        <v>#N/A</v>
      </c>
      <c r="U15" t="e">
        <f ca="1">IF(AND($C15='Funnel setup'!$K$3&amp;'Funnel setup'!$K$5&amp;'Funnel setup'!$K$6&amp;'Funnel setup'!$K$4,'Funnel Lookup'!I15="*"),#N/A,IF(AND($C15='Funnel setup'!$K$3&amp;'Funnel setup'!$K$5&amp;'Funnel setup'!$K$6&amp;'Funnel setup'!$K$4,'Funnel Lookup'!I15&gt;29),'Funnel Lookup'!I15,#N/A))</f>
        <v>#N/A</v>
      </c>
      <c r="V15" t="e">
        <f ca="1">IF(AND($C15='Funnel setup'!$K$3&amp;'Funnel setup'!$K$5&amp;'Funnel setup'!$K$6&amp;'Funnel setup'!$K$4,'Funnel Lookup'!I15="*"),#N/A,IF(AND($C15='Funnel setup'!$K$3&amp;'Funnel setup'!$K$5&amp;'Funnel setup'!$K$6&amp;'Funnel setup'!$K$4,'Funnel Lookup'!I15&gt;29),'Funnel Lookup'!Q15,#N/A))</f>
        <v>#N/A</v>
      </c>
    </row>
    <row r="16" spans="1:22" x14ac:dyDescent="0.2">
      <c r="A16">
        <v>14</v>
      </c>
      <c r="B16">
        <f t="shared" ca="1" si="4"/>
        <v>14</v>
      </c>
      <c r="C16" t="str">
        <f t="shared" ca="1" si="4"/>
        <v>Groin HerniaProviderBLAKELANDS HOSPITAL (NVC31)EQ-5D Index</v>
      </c>
      <c r="D16" t="str">
        <f t="shared" ca="1" si="4"/>
        <v>Groin Hernia</v>
      </c>
      <c r="E16" t="str">
        <f t="shared" ca="1" si="4"/>
        <v>Provider</v>
      </c>
      <c r="F16" t="str">
        <f t="shared" ca="1" si="4"/>
        <v>NVC31</v>
      </c>
      <c r="G16" t="str">
        <f t="shared" ca="1" si="4"/>
        <v>BLAKELANDS HOSPITAL (NVC31)</v>
      </c>
      <c r="H16" t="str">
        <f t="shared" ca="1" si="4"/>
        <v>EQ-5D Index</v>
      </c>
      <c r="I16">
        <f t="shared" ca="1" si="4"/>
        <v>28</v>
      </c>
      <c r="J16">
        <f t="shared" ca="1" si="4"/>
        <v>0.84499999999999997</v>
      </c>
      <c r="K16">
        <f t="shared" ca="1" si="4"/>
        <v>0.875</v>
      </c>
      <c r="L16">
        <f t="shared" ca="1" si="5"/>
        <v>0.03</v>
      </c>
      <c r="M16">
        <f t="shared" ca="1" si="5"/>
        <v>10</v>
      </c>
      <c r="N16">
        <f t="shared" ca="1" si="5"/>
        <v>9</v>
      </c>
      <c r="O16">
        <f t="shared" ca="1" si="5"/>
        <v>9</v>
      </c>
      <c r="P16" t="str">
        <f t="shared" ca="1" si="5"/>
        <v>*</v>
      </c>
      <c r="Q16" t="str">
        <f t="shared" ca="1" si="5"/>
        <v>*</v>
      </c>
      <c r="R16" t="str">
        <f t="shared" ca="1" si="5"/>
        <v>*</v>
      </c>
      <c r="S16" t="e">
        <f t="shared" ca="1" si="2"/>
        <v>#N/A</v>
      </c>
      <c r="T16" t="e">
        <f t="shared" ca="1" si="3"/>
        <v>#N/A</v>
      </c>
      <c r="U16" t="e">
        <f ca="1">IF(AND($C16='Funnel setup'!$K$3&amp;'Funnel setup'!$K$5&amp;'Funnel setup'!$K$6&amp;'Funnel setup'!$K$4,'Funnel Lookup'!I16="*"),#N/A,IF(AND($C16='Funnel setup'!$K$3&amp;'Funnel setup'!$K$5&amp;'Funnel setup'!$K$6&amp;'Funnel setup'!$K$4,'Funnel Lookup'!I16&gt;29),'Funnel Lookup'!I16,#N/A))</f>
        <v>#N/A</v>
      </c>
      <c r="V16" t="e">
        <f ca="1">IF(AND($C16='Funnel setup'!$K$3&amp;'Funnel setup'!$K$5&amp;'Funnel setup'!$K$6&amp;'Funnel setup'!$K$4,'Funnel Lookup'!I16="*"),#N/A,IF(AND($C16='Funnel setup'!$K$3&amp;'Funnel setup'!$K$5&amp;'Funnel setup'!$K$6&amp;'Funnel setup'!$K$4,'Funnel Lookup'!I16&gt;29),'Funnel Lookup'!Q16,#N/A))</f>
        <v>#N/A</v>
      </c>
    </row>
    <row r="17" spans="1:22" x14ac:dyDescent="0.2">
      <c r="A17">
        <v>15</v>
      </c>
      <c r="B17">
        <f t="shared" ca="1" si="4"/>
        <v>15</v>
      </c>
      <c r="C17" t="str">
        <f t="shared" ca="1" si="4"/>
        <v>Groin HerniaProviderBMI - BATH CLINIC (NT402)EQ-5D Index</v>
      </c>
      <c r="D17" t="str">
        <f t="shared" ca="1" si="4"/>
        <v>Groin Hernia</v>
      </c>
      <c r="E17" t="str">
        <f t="shared" ca="1" si="4"/>
        <v>Provider</v>
      </c>
      <c r="F17" t="str">
        <f t="shared" ca="1" si="4"/>
        <v>NT402</v>
      </c>
      <c r="G17" t="str">
        <f t="shared" ca="1" si="4"/>
        <v>BMI - BATH CLINIC (NT402)</v>
      </c>
      <c r="H17" t="str">
        <f t="shared" ca="1" si="4"/>
        <v>EQ-5D Index</v>
      </c>
      <c r="I17">
        <f t="shared" ca="1" si="4"/>
        <v>8</v>
      </c>
      <c r="J17">
        <f t="shared" ca="1" si="4"/>
        <v>0.84</v>
      </c>
      <c r="K17">
        <f t="shared" ca="1" si="4"/>
        <v>0.88500000000000001</v>
      </c>
      <c r="L17">
        <f t="shared" ca="1" si="5"/>
        <v>4.4999999999999998E-2</v>
      </c>
      <c r="M17">
        <f t="shared" ca="1" si="5"/>
        <v>4</v>
      </c>
      <c r="N17">
        <f t="shared" ca="1" si="5"/>
        <v>3</v>
      </c>
      <c r="O17">
        <f t="shared" ca="1" si="5"/>
        <v>1</v>
      </c>
      <c r="P17" t="str">
        <f t="shared" ca="1" si="5"/>
        <v>*</v>
      </c>
      <c r="Q17" t="str">
        <f t="shared" ca="1" si="5"/>
        <v>*</v>
      </c>
      <c r="R17" t="str">
        <f t="shared" ca="1" si="5"/>
        <v>*</v>
      </c>
      <c r="S17" t="e">
        <f t="shared" ca="1" si="2"/>
        <v>#N/A</v>
      </c>
      <c r="T17" t="e">
        <f t="shared" ca="1" si="3"/>
        <v>#N/A</v>
      </c>
      <c r="U17" t="e">
        <f ca="1">IF(AND($C17='Funnel setup'!$K$3&amp;'Funnel setup'!$K$5&amp;'Funnel setup'!$K$6&amp;'Funnel setup'!$K$4,'Funnel Lookup'!I17="*"),#N/A,IF(AND($C17='Funnel setup'!$K$3&amp;'Funnel setup'!$K$5&amp;'Funnel setup'!$K$6&amp;'Funnel setup'!$K$4,'Funnel Lookup'!I17&gt;29),'Funnel Lookup'!I17,#N/A))</f>
        <v>#N/A</v>
      </c>
      <c r="V17" t="e">
        <f ca="1">IF(AND($C17='Funnel setup'!$K$3&amp;'Funnel setup'!$K$5&amp;'Funnel setup'!$K$6&amp;'Funnel setup'!$K$4,'Funnel Lookup'!I17="*"),#N/A,IF(AND($C17='Funnel setup'!$K$3&amp;'Funnel setup'!$K$5&amp;'Funnel setup'!$K$6&amp;'Funnel setup'!$K$4,'Funnel Lookup'!I17&gt;29),'Funnel Lookup'!Q17,#N/A))</f>
        <v>#N/A</v>
      </c>
    </row>
    <row r="18" spans="1:22" x14ac:dyDescent="0.2">
      <c r="A18">
        <v>16</v>
      </c>
      <c r="B18">
        <f t="shared" ca="1" si="4"/>
        <v>16</v>
      </c>
      <c r="C18" t="str">
        <f t="shared" ca="1" si="4"/>
        <v>Groin HerniaProviderBMI - BISHOPS WOOD (NT405)EQ-5D Index</v>
      </c>
      <c r="D18" t="str">
        <f t="shared" ca="1" si="4"/>
        <v>Groin Hernia</v>
      </c>
      <c r="E18" t="str">
        <f t="shared" ca="1" si="4"/>
        <v>Provider</v>
      </c>
      <c r="F18" t="str">
        <f t="shared" ca="1" si="4"/>
        <v>NT405</v>
      </c>
      <c r="G18" t="str">
        <f t="shared" ca="1" si="4"/>
        <v>BMI - BISHOPS WOOD (NT405)</v>
      </c>
      <c r="H18" t="str">
        <f t="shared" ca="1" si="4"/>
        <v>EQ-5D Index</v>
      </c>
      <c r="I18">
        <f t="shared" ca="1" si="4"/>
        <v>16</v>
      </c>
      <c r="J18">
        <f t="shared" ca="1" si="4"/>
        <v>0.82299999999999995</v>
      </c>
      <c r="K18">
        <f t="shared" ca="1" si="4"/>
        <v>0.85599999999999998</v>
      </c>
      <c r="L18">
        <f t="shared" ca="1" si="5"/>
        <v>3.3000000000000002E-2</v>
      </c>
      <c r="M18">
        <f t="shared" ca="1" si="5"/>
        <v>9</v>
      </c>
      <c r="N18">
        <f t="shared" ca="1" si="5"/>
        <v>2</v>
      </c>
      <c r="O18">
        <f t="shared" ca="1" si="5"/>
        <v>5</v>
      </c>
      <c r="P18" t="str">
        <f t="shared" ca="1" si="5"/>
        <v>*</v>
      </c>
      <c r="Q18" t="str">
        <f t="shared" ca="1" si="5"/>
        <v>*</v>
      </c>
      <c r="R18" t="str">
        <f t="shared" ca="1" si="5"/>
        <v>*</v>
      </c>
      <c r="S18" t="e">
        <f t="shared" ca="1" si="2"/>
        <v>#N/A</v>
      </c>
      <c r="T18" t="e">
        <f t="shared" ca="1" si="3"/>
        <v>#N/A</v>
      </c>
      <c r="U18" t="e">
        <f ca="1">IF(AND($C18='Funnel setup'!$K$3&amp;'Funnel setup'!$K$5&amp;'Funnel setup'!$K$6&amp;'Funnel setup'!$K$4,'Funnel Lookup'!I18="*"),#N/A,IF(AND($C18='Funnel setup'!$K$3&amp;'Funnel setup'!$K$5&amp;'Funnel setup'!$K$6&amp;'Funnel setup'!$K$4,'Funnel Lookup'!I18&gt;29),'Funnel Lookup'!I18,#N/A))</f>
        <v>#N/A</v>
      </c>
      <c r="V18" t="e">
        <f ca="1">IF(AND($C18='Funnel setup'!$K$3&amp;'Funnel setup'!$K$5&amp;'Funnel setup'!$K$6&amp;'Funnel setup'!$K$4,'Funnel Lookup'!I18="*"),#N/A,IF(AND($C18='Funnel setup'!$K$3&amp;'Funnel setup'!$K$5&amp;'Funnel setup'!$K$6&amp;'Funnel setup'!$K$4,'Funnel Lookup'!I18&gt;29),'Funnel Lookup'!Q18,#N/A))</f>
        <v>#N/A</v>
      </c>
    </row>
    <row r="19" spans="1:22" x14ac:dyDescent="0.2">
      <c r="A19">
        <v>17</v>
      </c>
      <c r="B19">
        <f t="shared" ca="1" si="4"/>
        <v>17</v>
      </c>
      <c r="C19" t="str">
        <f t="shared" ca="1" si="4"/>
        <v>Groin HerniaProviderBMI - CHELSFIELD PARK HOSPITAL (NT409)EQ-5D Index</v>
      </c>
      <c r="D19" t="str">
        <f t="shared" ca="1" si="4"/>
        <v>Groin Hernia</v>
      </c>
      <c r="E19" t="str">
        <f t="shared" ca="1" si="4"/>
        <v>Provider</v>
      </c>
      <c r="F19" t="str">
        <f t="shared" ca="1" si="4"/>
        <v>NT409</v>
      </c>
      <c r="G19" t="str">
        <f t="shared" ca="1" si="4"/>
        <v>BMI - CHELSFIELD PARK HOSPITAL (NT409)</v>
      </c>
      <c r="H19" t="str">
        <f t="shared" ca="1" si="4"/>
        <v>EQ-5D Index</v>
      </c>
      <c r="I19" t="str">
        <f t="shared" ca="1" si="4"/>
        <v>*</v>
      </c>
      <c r="J19" t="str">
        <f t="shared" ca="1" si="4"/>
        <v>*</v>
      </c>
      <c r="K19" t="str">
        <f t="shared" ca="1" si="4"/>
        <v>*</v>
      </c>
      <c r="L19" t="str">
        <f t="shared" ca="1" si="5"/>
        <v>*</v>
      </c>
      <c r="M19" t="str">
        <f t="shared" ca="1" si="5"/>
        <v>*</v>
      </c>
      <c r="N19" t="str">
        <f t="shared" ca="1" si="5"/>
        <v>*</v>
      </c>
      <c r="O19" t="str">
        <f t="shared" ca="1" si="5"/>
        <v>*</v>
      </c>
      <c r="P19" t="str">
        <f t="shared" ca="1" si="5"/>
        <v>*</v>
      </c>
      <c r="Q19" t="str">
        <f t="shared" ca="1" si="5"/>
        <v>*</v>
      </c>
      <c r="R19" t="str">
        <f t="shared" ca="1" si="5"/>
        <v>*</v>
      </c>
      <c r="S19" t="e">
        <f t="shared" ca="1" si="2"/>
        <v>#N/A</v>
      </c>
      <c r="T19" t="e">
        <f t="shared" ca="1" si="3"/>
        <v>#N/A</v>
      </c>
      <c r="U19" t="e">
        <f ca="1">IF(AND($C19='Funnel setup'!$K$3&amp;'Funnel setup'!$K$5&amp;'Funnel setup'!$K$6&amp;'Funnel setup'!$K$4,'Funnel Lookup'!I19="*"),#N/A,IF(AND($C19='Funnel setup'!$K$3&amp;'Funnel setup'!$K$5&amp;'Funnel setup'!$K$6&amp;'Funnel setup'!$K$4,'Funnel Lookup'!I19&gt;29),'Funnel Lookup'!I19,#N/A))</f>
        <v>#N/A</v>
      </c>
      <c r="V19" t="e">
        <f ca="1">IF(AND($C19='Funnel setup'!$K$3&amp;'Funnel setup'!$K$5&amp;'Funnel setup'!$K$6&amp;'Funnel setup'!$K$4,'Funnel Lookup'!I19="*"),#N/A,IF(AND($C19='Funnel setup'!$K$3&amp;'Funnel setup'!$K$5&amp;'Funnel setup'!$K$6&amp;'Funnel setup'!$K$4,'Funnel Lookup'!I19&gt;29),'Funnel Lookup'!Q19,#N/A))</f>
        <v>#N/A</v>
      </c>
    </row>
    <row r="20" spans="1:22" x14ac:dyDescent="0.2">
      <c r="A20">
        <v>18</v>
      </c>
      <c r="B20">
        <f t="shared" ca="1" si="4"/>
        <v>18</v>
      </c>
      <c r="C20" t="str">
        <f t="shared" ca="1" si="4"/>
        <v>Groin HerniaProviderBMI - FAWKHAM MANOR HOSPITAL (NT414)EQ-5D Index</v>
      </c>
      <c r="D20" t="str">
        <f t="shared" ca="1" si="4"/>
        <v>Groin Hernia</v>
      </c>
      <c r="E20" t="str">
        <f t="shared" ca="1" si="4"/>
        <v>Provider</v>
      </c>
      <c r="F20" t="str">
        <f t="shared" ca="1" si="4"/>
        <v>NT414</v>
      </c>
      <c r="G20" t="str">
        <f t="shared" ca="1" si="4"/>
        <v>BMI - FAWKHAM MANOR HOSPITAL (NT414)</v>
      </c>
      <c r="H20" t="str">
        <f t="shared" ca="1" si="4"/>
        <v>EQ-5D Index</v>
      </c>
      <c r="I20">
        <f t="shared" ca="1" si="4"/>
        <v>21</v>
      </c>
      <c r="J20">
        <f t="shared" ca="1" si="4"/>
        <v>0.84499999999999997</v>
      </c>
      <c r="K20">
        <f t="shared" ca="1" si="4"/>
        <v>0.91100000000000003</v>
      </c>
      <c r="L20">
        <f t="shared" ca="1" si="5"/>
        <v>6.7000000000000004E-2</v>
      </c>
      <c r="M20">
        <f t="shared" ca="1" si="5"/>
        <v>13</v>
      </c>
      <c r="N20">
        <f t="shared" ca="1" si="5"/>
        <v>4</v>
      </c>
      <c r="O20">
        <f t="shared" ca="1" si="5"/>
        <v>4</v>
      </c>
      <c r="P20" t="str">
        <f t="shared" ca="1" si="5"/>
        <v>*</v>
      </c>
      <c r="Q20" t="str">
        <f t="shared" ca="1" si="5"/>
        <v>*</v>
      </c>
      <c r="R20" t="str">
        <f t="shared" ca="1" si="5"/>
        <v>*</v>
      </c>
      <c r="S20" t="e">
        <f t="shared" ca="1" si="2"/>
        <v>#N/A</v>
      </c>
      <c r="T20" t="e">
        <f t="shared" ca="1" si="3"/>
        <v>#N/A</v>
      </c>
      <c r="U20" t="e">
        <f ca="1">IF(AND($C20='Funnel setup'!$K$3&amp;'Funnel setup'!$K$5&amp;'Funnel setup'!$K$6&amp;'Funnel setup'!$K$4,'Funnel Lookup'!I20="*"),#N/A,IF(AND($C20='Funnel setup'!$K$3&amp;'Funnel setup'!$K$5&amp;'Funnel setup'!$K$6&amp;'Funnel setup'!$K$4,'Funnel Lookup'!I20&gt;29),'Funnel Lookup'!I20,#N/A))</f>
        <v>#N/A</v>
      </c>
      <c r="V20" t="e">
        <f ca="1">IF(AND($C20='Funnel setup'!$K$3&amp;'Funnel setup'!$K$5&amp;'Funnel setup'!$K$6&amp;'Funnel setup'!$K$4,'Funnel Lookup'!I20="*"),#N/A,IF(AND($C20='Funnel setup'!$K$3&amp;'Funnel setup'!$K$5&amp;'Funnel setup'!$K$6&amp;'Funnel setup'!$K$4,'Funnel Lookup'!I20&gt;29),'Funnel Lookup'!Q20,#N/A))</f>
        <v>#N/A</v>
      </c>
    </row>
    <row r="21" spans="1:22" x14ac:dyDescent="0.2">
      <c r="A21">
        <v>19</v>
      </c>
      <c r="B21">
        <f t="shared" ca="1" si="4"/>
        <v>19</v>
      </c>
      <c r="C21" t="str">
        <f t="shared" ca="1" si="4"/>
        <v>Groin HerniaProviderBMI - GORING HALL HOSPITAL (NT417)EQ-5D Index</v>
      </c>
      <c r="D21" t="str">
        <f t="shared" ca="1" si="4"/>
        <v>Groin Hernia</v>
      </c>
      <c r="E21" t="str">
        <f t="shared" ca="1" si="4"/>
        <v>Provider</v>
      </c>
      <c r="F21" t="str">
        <f t="shared" ca="1" si="4"/>
        <v>NT417</v>
      </c>
      <c r="G21" t="str">
        <f t="shared" ca="1" si="4"/>
        <v>BMI - GORING HALL HOSPITAL (NT417)</v>
      </c>
      <c r="H21" t="str">
        <f t="shared" ca="1" si="4"/>
        <v>EQ-5D Index</v>
      </c>
      <c r="I21">
        <f t="shared" ca="1" si="4"/>
        <v>27</v>
      </c>
      <c r="J21">
        <f t="shared" ca="1" si="4"/>
        <v>0.79900000000000004</v>
      </c>
      <c r="K21">
        <f t="shared" ca="1" si="4"/>
        <v>0.93400000000000005</v>
      </c>
      <c r="L21">
        <f t="shared" ca="1" si="5"/>
        <v>0.13500000000000001</v>
      </c>
      <c r="M21">
        <f t="shared" ca="1" si="5"/>
        <v>15</v>
      </c>
      <c r="N21">
        <f t="shared" ca="1" si="5"/>
        <v>10</v>
      </c>
      <c r="O21">
        <f t="shared" ca="1" si="5"/>
        <v>2</v>
      </c>
      <c r="P21" t="str">
        <f t="shared" ca="1" si="5"/>
        <v>*</v>
      </c>
      <c r="Q21" t="str">
        <f t="shared" ca="1" si="5"/>
        <v>*</v>
      </c>
      <c r="R21" t="str">
        <f t="shared" ca="1" si="5"/>
        <v>*</v>
      </c>
      <c r="S21" t="e">
        <f t="shared" ca="1" si="2"/>
        <v>#N/A</v>
      </c>
      <c r="T21" t="e">
        <f t="shared" ca="1" si="3"/>
        <v>#N/A</v>
      </c>
      <c r="U21" t="e">
        <f ca="1">IF(AND($C21='Funnel setup'!$K$3&amp;'Funnel setup'!$K$5&amp;'Funnel setup'!$K$6&amp;'Funnel setup'!$K$4,'Funnel Lookup'!I21="*"),#N/A,IF(AND($C21='Funnel setup'!$K$3&amp;'Funnel setup'!$K$5&amp;'Funnel setup'!$K$6&amp;'Funnel setup'!$K$4,'Funnel Lookup'!I21&gt;29),'Funnel Lookup'!I21,#N/A))</f>
        <v>#N/A</v>
      </c>
      <c r="V21" t="e">
        <f ca="1">IF(AND($C21='Funnel setup'!$K$3&amp;'Funnel setup'!$K$5&amp;'Funnel setup'!$K$6&amp;'Funnel setup'!$K$4,'Funnel Lookup'!I21="*"),#N/A,IF(AND($C21='Funnel setup'!$K$3&amp;'Funnel setup'!$K$5&amp;'Funnel setup'!$K$6&amp;'Funnel setup'!$K$4,'Funnel Lookup'!I21&gt;29),'Funnel Lookup'!Q21,#N/A))</f>
        <v>#N/A</v>
      </c>
    </row>
    <row r="22" spans="1:22" x14ac:dyDescent="0.2">
      <c r="A22">
        <v>20</v>
      </c>
      <c r="B22">
        <f t="shared" ca="1" si="4"/>
        <v>20</v>
      </c>
      <c r="C22" t="str">
        <f t="shared" ca="1" si="4"/>
        <v>Groin HerniaProviderBMI - SARUM ROAD HOSPITAL (NT433)EQ-5D Index</v>
      </c>
      <c r="D22" t="str">
        <f t="shared" ca="1" si="4"/>
        <v>Groin Hernia</v>
      </c>
      <c r="E22" t="str">
        <f t="shared" ca="1" si="4"/>
        <v>Provider</v>
      </c>
      <c r="F22" t="str">
        <f t="shared" ca="1" si="4"/>
        <v>NT433</v>
      </c>
      <c r="G22" t="str">
        <f t="shared" ca="1" si="4"/>
        <v>BMI - SARUM ROAD HOSPITAL (NT433)</v>
      </c>
      <c r="H22" t="str">
        <f t="shared" ca="1" si="4"/>
        <v>EQ-5D Index</v>
      </c>
      <c r="I22">
        <f t="shared" ca="1" si="4"/>
        <v>7</v>
      </c>
      <c r="J22">
        <f t="shared" ca="1" si="4"/>
        <v>0.72599999999999998</v>
      </c>
      <c r="K22">
        <f t="shared" ca="1" si="4"/>
        <v>0.93100000000000005</v>
      </c>
      <c r="L22">
        <f t="shared" ca="1" si="5"/>
        <v>0.20499999999999999</v>
      </c>
      <c r="M22">
        <f t="shared" ca="1" si="5"/>
        <v>5</v>
      </c>
      <c r="N22">
        <f t="shared" ca="1" si="5"/>
        <v>1</v>
      </c>
      <c r="O22">
        <f t="shared" ca="1" si="5"/>
        <v>1</v>
      </c>
      <c r="P22" t="str">
        <f t="shared" ca="1" si="5"/>
        <v>*</v>
      </c>
      <c r="Q22" t="str">
        <f t="shared" ca="1" si="5"/>
        <v>*</v>
      </c>
      <c r="R22" t="str">
        <f t="shared" ca="1" si="5"/>
        <v>*</v>
      </c>
      <c r="S22" t="e">
        <f t="shared" ca="1" si="2"/>
        <v>#N/A</v>
      </c>
      <c r="T22" t="e">
        <f t="shared" ca="1" si="3"/>
        <v>#N/A</v>
      </c>
      <c r="U22" t="e">
        <f ca="1">IF(AND($C22='Funnel setup'!$K$3&amp;'Funnel setup'!$K$5&amp;'Funnel setup'!$K$6&amp;'Funnel setup'!$K$4,'Funnel Lookup'!I22="*"),#N/A,IF(AND($C22='Funnel setup'!$K$3&amp;'Funnel setup'!$K$5&amp;'Funnel setup'!$K$6&amp;'Funnel setup'!$K$4,'Funnel Lookup'!I22&gt;29),'Funnel Lookup'!I22,#N/A))</f>
        <v>#N/A</v>
      </c>
      <c r="V22" t="e">
        <f ca="1">IF(AND($C22='Funnel setup'!$K$3&amp;'Funnel setup'!$K$5&amp;'Funnel setup'!$K$6&amp;'Funnel setup'!$K$4,'Funnel Lookup'!I22="*"),#N/A,IF(AND($C22='Funnel setup'!$K$3&amp;'Funnel setup'!$K$5&amp;'Funnel setup'!$K$6&amp;'Funnel setup'!$K$4,'Funnel Lookup'!I22&gt;29),'Funnel Lookup'!Q22,#N/A))</f>
        <v>#N/A</v>
      </c>
    </row>
    <row r="23" spans="1:22" x14ac:dyDescent="0.2">
      <c r="A23">
        <v>21</v>
      </c>
      <c r="B23">
        <f t="shared" ref="B23:K32" ca="1" si="6">VLOOKUP($A23,Funnel_Data,B$1,FALSE)</f>
        <v>21</v>
      </c>
      <c r="C23" t="str">
        <f t="shared" ca="1" si="6"/>
        <v>Groin HerniaProviderBMI - SHIRLEY OAKS HOSPITAL (NT436)EQ-5D Index</v>
      </c>
      <c r="D23" t="str">
        <f t="shared" ca="1" si="6"/>
        <v>Groin Hernia</v>
      </c>
      <c r="E23" t="str">
        <f t="shared" ca="1" si="6"/>
        <v>Provider</v>
      </c>
      <c r="F23" t="str">
        <f t="shared" ca="1" si="6"/>
        <v>NT436</v>
      </c>
      <c r="G23" t="str">
        <f t="shared" ca="1" si="6"/>
        <v>BMI - SHIRLEY OAKS HOSPITAL (NT436)</v>
      </c>
      <c r="H23" t="str">
        <f t="shared" ca="1" si="6"/>
        <v>EQ-5D Index</v>
      </c>
      <c r="I23">
        <f t="shared" ca="1" si="6"/>
        <v>10</v>
      </c>
      <c r="J23">
        <f t="shared" ca="1" si="6"/>
        <v>0.78800000000000003</v>
      </c>
      <c r="K23">
        <f t="shared" ca="1" si="6"/>
        <v>0.59</v>
      </c>
      <c r="L23">
        <f t="shared" ref="L23:R32" ca="1" si="7">VLOOKUP($A23,Funnel_Data,L$1,FALSE)</f>
        <v>-0.19800000000000001</v>
      </c>
      <c r="M23">
        <f t="shared" ca="1" si="7"/>
        <v>3</v>
      </c>
      <c r="N23">
        <f t="shared" ca="1" si="7"/>
        <v>3</v>
      </c>
      <c r="O23">
        <f t="shared" ca="1" si="7"/>
        <v>4</v>
      </c>
      <c r="P23" t="str">
        <f t="shared" ca="1" si="7"/>
        <v>*</v>
      </c>
      <c r="Q23" t="str">
        <f t="shared" ca="1" si="7"/>
        <v>*</v>
      </c>
      <c r="R23" t="str">
        <f t="shared" ca="1" si="7"/>
        <v>*</v>
      </c>
      <c r="S23" t="e">
        <f t="shared" ca="1" si="2"/>
        <v>#N/A</v>
      </c>
      <c r="T23" t="e">
        <f t="shared" ca="1" si="3"/>
        <v>#N/A</v>
      </c>
      <c r="U23" t="e">
        <f ca="1">IF(AND($C23='Funnel setup'!$K$3&amp;'Funnel setup'!$K$5&amp;'Funnel setup'!$K$6&amp;'Funnel setup'!$K$4,'Funnel Lookup'!I23="*"),#N/A,IF(AND($C23='Funnel setup'!$K$3&amp;'Funnel setup'!$K$5&amp;'Funnel setup'!$K$6&amp;'Funnel setup'!$K$4,'Funnel Lookup'!I23&gt;29),'Funnel Lookup'!I23,#N/A))</f>
        <v>#N/A</v>
      </c>
      <c r="V23" t="e">
        <f ca="1">IF(AND($C23='Funnel setup'!$K$3&amp;'Funnel setup'!$K$5&amp;'Funnel setup'!$K$6&amp;'Funnel setup'!$K$4,'Funnel Lookup'!I23="*"),#N/A,IF(AND($C23='Funnel setup'!$K$3&amp;'Funnel setup'!$K$5&amp;'Funnel setup'!$K$6&amp;'Funnel setup'!$K$4,'Funnel Lookup'!I23&gt;29),'Funnel Lookup'!Q23,#N/A))</f>
        <v>#N/A</v>
      </c>
    </row>
    <row r="24" spans="1:22" x14ac:dyDescent="0.2">
      <c r="A24">
        <v>22</v>
      </c>
      <c r="B24">
        <f t="shared" ca="1" si="6"/>
        <v>22</v>
      </c>
      <c r="C24" t="str">
        <f t="shared" ca="1" si="6"/>
        <v>Groin HerniaProviderBMI - THE ALEXANDRA HOSPITAL (NT401)EQ-5D Index</v>
      </c>
      <c r="D24" t="str">
        <f t="shared" ca="1" si="6"/>
        <v>Groin Hernia</v>
      </c>
      <c r="E24" t="str">
        <f t="shared" ca="1" si="6"/>
        <v>Provider</v>
      </c>
      <c r="F24" t="str">
        <f t="shared" ca="1" si="6"/>
        <v>NT401</v>
      </c>
      <c r="G24" t="str">
        <f t="shared" ca="1" si="6"/>
        <v>BMI - THE ALEXANDRA HOSPITAL (NT401)</v>
      </c>
      <c r="H24" t="str">
        <f t="shared" ca="1" si="6"/>
        <v>EQ-5D Index</v>
      </c>
      <c r="I24">
        <f t="shared" ca="1" si="6"/>
        <v>18</v>
      </c>
      <c r="J24">
        <f t="shared" ca="1" si="6"/>
        <v>0.82499999999999996</v>
      </c>
      <c r="K24">
        <f t="shared" ca="1" si="6"/>
        <v>0.84699999999999998</v>
      </c>
      <c r="L24">
        <f t="shared" ca="1" si="7"/>
        <v>2.1999999999999999E-2</v>
      </c>
      <c r="M24">
        <f t="shared" ca="1" si="7"/>
        <v>6</v>
      </c>
      <c r="N24">
        <f t="shared" ca="1" si="7"/>
        <v>5</v>
      </c>
      <c r="O24">
        <f t="shared" ca="1" si="7"/>
        <v>7</v>
      </c>
      <c r="P24" t="str">
        <f t="shared" ca="1" si="7"/>
        <v>*</v>
      </c>
      <c r="Q24" t="str">
        <f t="shared" ca="1" si="7"/>
        <v>*</v>
      </c>
      <c r="R24" t="str">
        <f t="shared" ca="1" si="7"/>
        <v>*</v>
      </c>
      <c r="S24" t="e">
        <f t="shared" ca="1" si="2"/>
        <v>#N/A</v>
      </c>
      <c r="T24" t="e">
        <f t="shared" ca="1" si="3"/>
        <v>#N/A</v>
      </c>
      <c r="U24" t="e">
        <f ca="1">IF(AND($C24='Funnel setup'!$K$3&amp;'Funnel setup'!$K$5&amp;'Funnel setup'!$K$6&amp;'Funnel setup'!$K$4,'Funnel Lookup'!I24="*"),#N/A,IF(AND($C24='Funnel setup'!$K$3&amp;'Funnel setup'!$K$5&amp;'Funnel setup'!$K$6&amp;'Funnel setup'!$K$4,'Funnel Lookup'!I24&gt;29),'Funnel Lookup'!I24,#N/A))</f>
        <v>#N/A</v>
      </c>
      <c r="V24" t="e">
        <f ca="1">IF(AND($C24='Funnel setup'!$K$3&amp;'Funnel setup'!$K$5&amp;'Funnel setup'!$K$6&amp;'Funnel setup'!$K$4,'Funnel Lookup'!I24="*"),#N/A,IF(AND($C24='Funnel setup'!$K$3&amp;'Funnel setup'!$K$5&amp;'Funnel setup'!$K$6&amp;'Funnel setup'!$K$4,'Funnel Lookup'!I24&gt;29),'Funnel Lookup'!Q24,#N/A))</f>
        <v>#N/A</v>
      </c>
    </row>
    <row r="25" spans="1:22" x14ac:dyDescent="0.2">
      <c r="A25">
        <v>23</v>
      </c>
      <c r="B25">
        <f t="shared" ca="1" si="6"/>
        <v>23</v>
      </c>
      <c r="C25" t="str">
        <f t="shared" ca="1" si="6"/>
        <v>Groin HerniaProviderBMI - THE BEARDWOOD HOSPITAL (NT403)EQ-5D Index</v>
      </c>
      <c r="D25" t="str">
        <f t="shared" ca="1" si="6"/>
        <v>Groin Hernia</v>
      </c>
      <c r="E25" t="str">
        <f t="shared" ca="1" si="6"/>
        <v>Provider</v>
      </c>
      <c r="F25" t="str">
        <f t="shared" ca="1" si="6"/>
        <v>NT403</v>
      </c>
      <c r="G25" t="str">
        <f t="shared" ca="1" si="6"/>
        <v>BMI - THE BEARDWOOD HOSPITAL (NT403)</v>
      </c>
      <c r="H25" t="str">
        <f t="shared" ca="1" si="6"/>
        <v>EQ-5D Index</v>
      </c>
      <c r="I25">
        <f t="shared" ca="1" si="6"/>
        <v>45</v>
      </c>
      <c r="J25">
        <f t="shared" ca="1" si="6"/>
        <v>0.79</v>
      </c>
      <c r="K25">
        <f t="shared" ca="1" si="6"/>
        <v>0.86899999999999999</v>
      </c>
      <c r="L25">
        <f t="shared" ca="1" si="7"/>
        <v>0.08</v>
      </c>
      <c r="M25">
        <f t="shared" ca="1" si="7"/>
        <v>19</v>
      </c>
      <c r="N25">
        <f t="shared" ca="1" si="7"/>
        <v>16</v>
      </c>
      <c r="O25">
        <f t="shared" ca="1" si="7"/>
        <v>10</v>
      </c>
      <c r="P25">
        <f t="shared" ca="1" si="7"/>
        <v>0.86199999999999999</v>
      </c>
      <c r="Q25">
        <f t="shared" ca="1" si="7"/>
        <v>6.8197717000000005E-2</v>
      </c>
      <c r="R25">
        <f t="shared" ca="1" si="7"/>
        <v>0.14699999999999999</v>
      </c>
      <c r="S25">
        <f t="shared" ca="1" si="2"/>
        <v>45</v>
      </c>
      <c r="T25">
        <f t="shared" ca="1" si="3"/>
        <v>6.8197717000000005E-2</v>
      </c>
      <c r="U25" t="e">
        <f ca="1">IF(AND($C25='Funnel setup'!$K$3&amp;'Funnel setup'!$K$5&amp;'Funnel setup'!$K$6&amp;'Funnel setup'!$K$4,'Funnel Lookup'!I25="*"),#N/A,IF(AND($C25='Funnel setup'!$K$3&amp;'Funnel setup'!$K$5&amp;'Funnel setup'!$K$6&amp;'Funnel setup'!$K$4,'Funnel Lookup'!I25&gt;29),'Funnel Lookup'!I25,#N/A))</f>
        <v>#N/A</v>
      </c>
      <c r="V25" t="e">
        <f ca="1">IF(AND($C25='Funnel setup'!$K$3&amp;'Funnel setup'!$K$5&amp;'Funnel setup'!$K$6&amp;'Funnel setup'!$K$4,'Funnel Lookup'!I25="*"),#N/A,IF(AND($C25='Funnel setup'!$K$3&amp;'Funnel setup'!$K$5&amp;'Funnel setup'!$K$6&amp;'Funnel setup'!$K$4,'Funnel Lookup'!I25&gt;29),'Funnel Lookup'!Q25,#N/A))</f>
        <v>#N/A</v>
      </c>
    </row>
    <row r="26" spans="1:22" x14ac:dyDescent="0.2">
      <c r="A26">
        <v>24</v>
      </c>
      <c r="B26">
        <f t="shared" ca="1" si="6"/>
        <v>24</v>
      </c>
      <c r="C26" t="str">
        <f t="shared" ca="1" si="6"/>
        <v>Groin HerniaProviderBMI - THE BEAUMONT HOSPITAL (NT404)EQ-5D Index</v>
      </c>
      <c r="D26" t="str">
        <f t="shared" ca="1" si="6"/>
        <v>Groin Hernia</v>
      </c>
      <c r="E26" t="str">
        <f t="shared" ca="1" si="6"/>
        <v>Provider</v>
      </c>
      <c r="F26" t="str">
        <f t="shared" ca="1" si="6"/>
        <v>NT404</v>
      </c>
      <c r="G26" t="str">
        <f t="shared" ca="1" si="6"/>
        <v>BMI - THE BEAUMONT HOSPITAL (NT404)</v>
      </c>
      <c r="H26" t="str">
        <f t="shared" ca="1" si="6"/>
        <v>EQ-5D Index</v>
      </c>
      <c r="I26">
        <f t="shared" ca="1" si="6"/>
        <v>78</v>
      </c>
      <c r="J26">
        <f t="shared" ca="1" si="6"/>
        <v>0.84899999999999998</v>
      </c>
      <c r="K26">
        <f t="shared" ca="1" si="6"/>
        <v>0.92200000000000004</v>
      </c>
      <c r="L26">
        <f t="shared" ca="1" si="7"/>
        <v>7.2999999999999995E-2</v>
      </c>
      <c r="M26">
        <f t="shared" ca="1" si="7"/>
        <v>36</v>
      </c>
      <c r="N26">
        <f t="shared" ca="1" si="7"/>
        <v>32</v>
      </c>
      <c r="O26">
        <f t="shared" ca="1" si="7"/>
        <v>10</v>
      </c>
      <c r="P26">
        <f t="shared" ca="1" si="7"/>
        <v>0.89800000000000002</v>
      </c>
      <c r="Q26">
        <f t="shared" ca="1" si="7"/>
        <v>0.104319943</v>
      </c>
      <c r="R26">
        <f t="shared" ca="1" si="7"/>
        <v>0.10100000000000001</v>
      </c>
      <c r="S26">
        <f t="shared" ca="1" si="2"/>
        <v>78</v>
      </c>
      <c r="T26">
        <f t="shared" ca="1" si="3"/>
        <v>0.104319943</v>
      </c>
      <c r="U26" t="e">
        <f ca="1">IF(AND($C26='Funnel setup'!$K$3&amp;'Funnel setup'!$K$5&amp;'Funnel setup'!$K$6&amp;'Funnel setup'!$K$4,'Funnel Lookup'!I26="*"),#N/A,IF(AND($C26='Funnel setup'!$K$3&amp;'Funnel setup'!$K$5&amp;'Funnel setup'!$K$6&amp;'Funnel setup'!$K$4,'Funnel Lookup'!I26&gt;29),'Funnel Lookup'!I26,#N/A))</f>
        <v>#N/A</v>
      </c>
      <c r="V26" t="e">
        <f ca="1">IF(AND($C26='Funnel setup'!$K$3&amp;'Funnel setup'!$K$5&amp;'Funnel setup'!$K$6&amp;'Funnel setup'!$K$4,'Funnel Lookup'!I26="*"),#N/A,IF(AND($C26='Funnel setup'!$K$3&amp;'Funnel setup'!$K$5&amp;'Funnel setup'!$K$6&amp;'Funnel setup'!$K$4,'Funnel Lookup'!I26&gt;29),'Funnel Lookup'!Q26,#N/A))</f>
        <v>#N/A</v>
      </c>
    </row>
    <row r="27" spans="1:22" x14ac:dyDescent="0.2">
      <c r="A27">
        <v>25</v>
      </c>
      <c r="B27">
        <f t="shared" ca="1" si="6"/>
        <v>25</v>
      </c>
      <c r="C27" t="str">
        <f t="shared" ca="1" si="6"/>
        <v>Groin HerniaProviderBMI - THE BLACKHEATH HOSPITAL (NT406)EQ-5D Index</v>
      </c>
      <c r="D27" t="str">
        <f t="shared" ca="1" si="6"/>
        <v>Groin Hernia</v>
      </c>
      <c r="E27" t="str">
        <f t="shared" ca="1" si="6"/>
        <v>Provider</v>
      </c>
      <c r="F27" t="str">
        <f t="shared" ca="1" si="6"/>
        <v>NT406</v>
      </c>
      <c r="G27" t="str">
        <f t="shared" ca="1" si="6"/>
        <v>BMI - THE BLACKHEATH HOSPITAL (NT406)</v>
      </c>
      <c r="H27" t="str">
        <f t="shared" ca="1" si="6"/>
        <v>EQ-5D Index</v>
      </c>
      <c r="I27">
        <f t="shared" ca="1" si="6"/>
        <v>9</v>
      </c>
      <c r="J27">
        <f t="shared" ca="1" si="6"/>
        <v>0.85499999999999998</v>
      </c>
      <c r="K27">
        <f t="shared" ca="1" si="6"/>
        <v>0.82699999999999996</v>
      </c>
      <c r="L27">
        <f t="shared" ca="1" si="7"/>
        <v>-2.9000000000000001E-2</v>
      </c>
      <c r="M27">
        <f t="shared" ca="1" si="7"/>
        <v>1</v>
      </c>
      <c r="N27">
        <f t="shared" ca="1" si="7"/>
        <v>7</v>
      </c>
      <c r="O27">
        <f t="shared" ca="1" si="7"/>
        <v>1</v>
      </c>
      <c r="P27" t="str">
        <f t="shared" ca="1" si="7"/>
        <v>*</v>
      </c>
      <c r="Q27" t="str">
        <f t="shared" ca="1" si="7"/>
        <v>*</v>
      </c>
      <c r="R27" t="str">
        <f t="shared" ca="1" si="7"/>
        <v>*</v>
      </c>
      <c r="S27" t="e">
        <f t="shared" ca="1" si="2"/>
        <v>#N/A</v>
      </c>
      <c r="T27" t="e">
        <f t="shared" ca="1" si="3"/>
        <v>#N/A</v>
      </c>
      <c r="U27" t="e">
        <f ca="1">IF(AND($C27='Funnel setup'!$K$3&amp;'Funnel setup'!$K$5&amp;'Funnel setup'!$K$6&amp;'Funnel setup'!$K$4,'Funnel Lookup'!I27="*"),#N/A,IF(AND($C27='Funnel setup'!$K$3&amp;'Funnel setup'!$K$5&amp;'Funnel setup'!$K$6&amp;'Funnel setup'!$K$4,'Funnel Lookup'!I27&gt;29),'Funnel Lookup'!I27,#N/A))</f>
        <v>#N/A</v>
      </c>
      <c r="V27" t="e">
        <f ca="1">IF(AND($C27='Funnel setup'!$K$3&amp;'Funnel setup'!$K$5&amp;'Funnel setup'!$K$6&amp;'Funnel setup'!$K$4,'Funnel Lookup'!I27="*"),#N/A,IF(AND($C27='Funnel setup'!$K$3&amp;'Funnel setup'!$K$5&amp;'Funnel setup'!$K$6&amp;'Funnel setup'!$K$4,'Funnel Lookup'!I27&gt;29),'Funnel Lookup'!Q27,#N/A))</f>
        <v>#N/A</v>
      </c>
    </row>
    <row r="28" spans="1:22" x14ac:dyDescent="0.2">
      <c r="A28">
        <v>26</v>
      </c>
      <c r="B28">
        <f t="shared" ca="1" si="6"/>
        <v>26</v>
      </c>
      <c r="C28" t="str">
        <f t="shared" ca="1" si="6"/>
        <v>Groin HerniaProviderBMI - THE CHAUCER HOSPITAL (NT408)EQ-5D Index</v>
      </c>
      <c r="D28" t="str">
        <f t="shared" ca="1" si="6"/>
        <v>Groin Hernia</v>
      </c>
      <c r="E28" t="str">
        <f t="shared" ca="1" si="6"/>
        <v>Provider</v>
      </c>
      <c r="F28" t="str">
        <f t="shared" ca="1" si="6"/>
        <v>NT408</v>
      </c>
      <c r="G28" t="str">
        <f t="shared" ca="1" si="6"/>
        <v>BMI - THE CHAUCER HOSPITAL (NT408)</v>
      </c>
      <c r="H28" t="str">
        <f t="shared" ca="1" si="6"/>
        <v>EQ-5D Index</v>
      </c>
      <c r="I28">
        <f t="shared" ca="1" si="6"/>
        <v>22</v>
      </c>
      <c r="J28">
        <f t="shared" ca="1" si="6"/>
        <v>0.82399999999999995</v>
      </c>
      <c r="K28">
        <f t="shared" ca="1" si="6"/>
        <v>0.875</v>
      </c>
      <c r="L28">
        <f t="shared" ca="1" si="7"/>
        <v>5.0999999999999997E-2</v>
      </c>
      <c r="M28">
        <f t="shared" ca="1" si="7"/>
        <v>9</v>
      </c>
      <c r="N28">
        <f t="shared" ca="1" si="7"/>
        <v>8</v>
      </c>
      <c r="O28">
        <f t="shared" ca="1" si="7"/>
        <v>5</v>
      </c>
      <c r="P28" t="str">
        <f t="shared" ca="1" si="7"/>
        <v>*</v>
      </c>
      <c r="Q28" t="str">
        <f t="shared" ca="1" si="7"/>
        <v>*</v>
      </c>
      <c r="R28" t="str">
        <f t="shared" ca="1" si="7"/>
        <v>*</v>
      </c>
      <c r="S28" t="e">
        <f t="shared" ca="1" si="2"/>
        <v>#N/A</v>
      </c>
      <c r="T28" t="e">
        <f t="shared" ca="1" si="3"/>
        <v>#N/A</v>
      </c>
      <c r="U28" t="e">
        <f ca="1">IF(AND($C28='Funnel setup'!$K$3&amp;'Funnel setup'!$K$5&amp;'Funnel setup'!$K$6&amp;'Funnel setup'!$K$4,'Funnel Lookup'!I28="*"),#N/A,IF(AND($C28='Funnel setup'!$K$3&amp;'Funnel setup'!$K$5&amp;'Funnel setup'!$K$6&amp;'Funnel setup'!$K$4,'Funnel Lookup'!I28&gt;29),'Funnel Lookup'!I28,#N/A))</f>
        <v>#N/A</v>
      </c>
      <c r="V28" t="e">
        <f ca="1">IF(AND($C28='Funnel setup'!$K$3&amp;'Funnel setup'!$K$5&amp;'Funnel setup'!$K$6&amp;'Funnel setup'!$K$4,'Funnel Lookup'!I28="*"),#N/A,IF(AND($C28='Funnel setup'!$K$3&amp;'Funnel setup'!$K$5&amp;'Funnel setup'!$K$6&amp;'Funnel setup'!$K$4,'Funnel Lookup'!I28&gt;29),'Funnel Lookup'!Q28,#N/A))</f>
        <v>#N/A</v>
      </c>
    </row>
    <row r="29" spans="1:22" x14ac:dyDescent="0.2">
      <c r="A29">
        <v>27</v>
      </c>
      <c r="B29">
        <f t="shared" ca="1" si="6"/>
        <v>27</v>
      </c>
      <c r="C29" t="str">
        <f t="shared" ca="1" si="6"/>
        <v>Groin HerniaProviderBMI - THE CHILTERN HOSPITAL (NT410)EQ-5D Index</v>
      </c>
      <c r="D29" t="str">
        <f t="shared" ca="1" si="6"/>
        <v>Groin Hernia</v>
      </c>
      <c r="E29" t="str">
        <f t="shared" ca="1" si="6"/>
        <v>Provider</v>
      </c>
      <c r="F29" t="str">
        <f t="shared" ca="1" si="6"/>
        <v>NT410</v>
      </c>
      <c r="G29" t="str">
        <f t="shared" ca="1" si="6"/>
        <v>BMI - THE CHILTERN HOSPITAL (NT410)</v>
      </c>
      <c r="H29" t="str">
        <f t="shared" ca="1" si="6"/>
        <v>EQ-5D Index</v>
      </c>
      <c r="I29">
        <f t="shared" ca="1" si="6"/>
        <v>50</v>
      </c>
      <c r="J29">
        <f t="shared" ca="1" si="6"/>
        <v>0.82</v>
      </c>
      <c r="K29">
        <f t="shared" ca="1" si="6"/>
        <v>0.95899999999999996</v>
      </c>
      <c r="L29">
        <f t="shared" ca="1" si="7"/>
        <v>0.13900000000000001</v>
      </c>
      <c r="M29">
        <f t="shared" ca="1" si="7"/>
        <v>33</v>
      </c>
      <c r="N29">
        <f t="shared" ca="1" si="7"/>
        <v>14</v>
      </c>
      <c r="O29">
        <f t="shared" ca="1" si="7"/>
        <v>3</v>
      </c>
      <c r="P29">
        <f t="shared" ca="1" si="7"/>
        <v>0.92900000000000005</v>
      </c>
      <c r="Q29">
        <f t="shared" ca="1" si="7"/>
        <v>0.135742062</v>
      </c>
      <c r="R29">
        <f t="shared" ca="1" si="7"/>
        <v>9.4E-2</v>
      </c>
      <c r="S29">
        <f t="shared" ca="1" si="2"/>
        <v>50</v>
      </c>
      <c r="T29">
        <f t="shared" ca="1" si="3"/>
        <v>0.135742062</v>
      </c>
      <c r="U29" t="e">
        <f ca="1">IF(AND($C29='Funnel setup'!$K$3&amp;'Funnel setup'!$K$5&amp;'Funnel setup'!$K$6&amp;'Funnel setup'!$K$4,'Funnel Lookup'!I29="*"),#N/A,IF(AND($C29='Funnel setup'!$K$3&amp;'Funnel setup'!$K$5&amp;'Funnel setup'!$K$6&amp;'Funnel setup'!$K$4,'Funnel Lookup'!I29&gt;29),'Funnel Lookup'!I29,#N/A))</f>
        <v>#N/A</v>
      </c>
      <c r="V29" t="e">
        <f ca="1">IF(AND($C29='Funnel setup'!$K$3&amp;'Funnel setup'!$K$5&amp;'Funnel setup'!$K$6&amp;'Funnel setup'!$K$4,'Funnel Lookup'!I29="*"),#N/A,IF(AND($C29='Funnel setup'!$K$3&amp;'Funnel setup'!$K$5&amp;'Funnel setup'!$K$6&amp;'Funnel setup'!$K$4,'Funnel Lookup'!I29&gt;29),'Funnel Lookup'!Q29,#N/A))</f>
        <v>#N/A</v>
      </c>
    </row>
    <row r="30" spans="1:22" x14ac:dyDescent="0.2">
      <c r="A30">
        <v>28</v>
      </c>
      <c r="B30">
        <f t="shared" ca="1" si="6"/>
        <v>28</v>
      </c>
      <c r="C30" t="str">
        <f t="shared" ca="1" si="6"/>
        <v>Groin HerniaProviderBMI - THE CLEMENTINE CHURCHILL HOSPITAL (NT411)EQ-5D Index</v>
      </c>
      <c r="D30" t="str">
        <f t="shared" ca="1" si="6"/>
        <v>Groin Hernia</v>
      </c>
      <c r="E30" t="str">
        <f t="shared" ca="1" si="6"/>
        <v>Provider</v>
      </c>
      <c r="F30" t="str">
        <f t="shared" ca="1" si="6"/>
        <v>NT411</v>
      </c>
      <c r="G30" t="str">
        <f t="shared" ca="1" si="6"/>
        <v>BMI - THE CLEMENTINE CHURCHILL HOSPITAL (NT411)</v>
      </c>
      <c r="H30" t="str">
        <f t="shared" ca="1" si="6"/>
        <v>EQ-5D Index</v>
      </c>
      <c r="I30">
        <f t="shared" ca="1" si="6"/>
        <v>12</v>
      </c>
      <c r="J30">
        <f t="shared" ca="1" si="6"/>
        <v>0.80300000000000005</v>
      </c>
      <c r="K30">
        <f t="shared" ca="1" si="6"/>
        <v>0.81899999999999995</v>
      </c>
      <c r="L30">
        <f t="shared" ca="1" si="7"/>
        <v>1.6E-2</v>
      </c>
      <c r="M30">
        <f t="shared" ca="1" si="7"/>
        <v>5</v>
      </c>
      <c r="N30">
        <f t="shared" ca="1" si="7"/>
        <v>4</v>
      </c>
      <c r="O30">
        <f t="shared" ca="1" si="7"/>
        <v>3</v>
      </c>
      <c r="P30" t="str">
        <f t="shared" ca="1" si="7"/>
        <v>*</v>
      </c>
      <c r="Q30" t="str">
        <f t="shared" ca="1" si="7"/>
        <v>*</v>
      </c>
      <c r="R30" t="str">
        <f t="shared" ca="1" si="7"/>
        <v>*</v>
      </c>
      <c r="S30" t="e">
        <f t="shared" ca="1" si="2"/>
        <v>#N/A</v>
      </c>
      <c r="T30" t="e">
        <f t="shared" ca="1" si="3"/>
        <v>#N/A</v>
      </c>
      <c r="U30" t="e">
        <f ca="1">IF(AND($C30='Funnel setup'!$K$3&amp;'Funnel setup'!$K$5&amp;'Funnel setup'!$K$6&amp;'Funnel setup'!$K$4,'Funnel Lookup'!I30="*"),#N/A,IF(AND($C30='Funnel setup'!$K$3&amp;'Funnel setup'!$K$5&amp;'Funnel setup'!$K$6&amp;'Funnel setup'!$K$4,'Funnel Lookup'!I30&gt;29),'Funnel Lookup'!I30,#N/A))</f>
        <v>#N/A</v>
      </c>
      <c r="V30" t="e">
        <f ca="1">IF(AND($C30='Funnel setup'!$K$3&amp;'Funnel setup'!$K$5&amp;'Funnel setup'!$K$6&amp;'Funnel setup'!$K$4,'Funnel Lookup'!I30="*"),#N/A,IF(AND($C30='Funnel setup'!$K$3&amp;'Funnel setup'!$K$5&amp;'Funnel setup'!$K$6&amp;'Funnel setup'!$K$4,'Funnel Lookup'!I30&gt;29),'Funnel Lookup'!Q30,#N/A))</f>
        <v>#N/A</v>
      </c>
    </row>
    <row r="31" spans="1:22" x14ac:dyDescent="0.2">
      <c r="A31">
        <v>29</v>
      </c>
      <c r="B31">
        <f t="shared" ca="1" si="6"/>
        <v>29</v>
      </c>
      <c r="C31" t="str">
        <f t="shared" ca="1" si="6"/>
        <v>Groin HerniaProviderBMI - THE DROITWICH SPA HOSPITAL (NT412)EQ-5D Index</v>
      </c>
      <c r="D31" t="str">
        <f t="shared" ca="1" si="6"/>
        <v>Groin Hernia</v>
      </c>
      <c r="E31" t="str">
        <f t="shared" ca="1" si="6"/>
        <v>Provider</v>
      </c>
      <c r="F31" t="str">
        <f t="shared" ca="1" si="6"/>
        <v>NT412</v>
      </c>
      <c r="G31" t="str">
        <f t="shared" ca="1" si="6"/>
        <v>BMI - THE DROITWICH SPA HOSPITAL (NT412)</v>
      </c>
      <c r="H31" t="str">
        <f t="shared" ca="1" si="6"/>
        <v>EQ-5D Index</v>
      </c>
      <c r="I31">
        <f t="shared" ca="1" si="6"/>
        <v>66</v>
      </c>
      <c r="J31">
        <f t="shared" ca="1" si="6"/>
        <v>0.77400000000000002</v>
      </c>
      <c r="K31">
        <f t="shared" ca="1" si="6"/>
        <v>0.89900000000000002</v>
      </c>
      <c r="L31">
        <f t="shared" ca="1" si="7"/>
        <v>0.124</v>
      </c>
      <c r="M31">
        <f t="shared" ca="1" si="7"/>
        <v>41</v>
      </c>
      <c r="N31">
        <f t="shared" ca="1" si="7"/>
        <v>15</v>
      </c>
      <c r="O31">
        <f t="shared" ca="1" si="7"/>
        <v>10</v>
      </c>
      <c r="P31">
        <f t="shared" ca="1" si="7"/>
        <v>0.89400000000000002</v>
      </c>
      <c r="Q31">
        <f t="shared" ca="1" si="7"/>
        <v>0.101002103</v>
      </c>
      <c r="R31">
        <f t="shared" ca="1" si="7"/>
        <v>0.13600000000000001</v>
      </c>
      <c r="S31">
        <f t="shared" ca="1" si="2"/>
        <v>66</v>
      </c>
      <c r="T31">
        <f t="shared" ca="1" si="3"/>
        <v>0.101002103</v>
      </c>
      <c r="U31" t="e">
        <f ca="1">IF(AND($C31='Funnel setup'!$K$3&amp;'Funnel setup'!$K$5&amp;'Funnel setup'!$K$6&amp;'Funnel setup'!$K$4,'Funnel Lookup'!I31="*"),#N/A,IF(AND($C31='Funnel setup'!$K$3&amp;'Funnel setup'!$K$5&amp;'Funnel setup'!$K$6&amp;'Funnel setup'!$K$4,'Funnel Lookup'!I31&gt;29),'Funnel Lookup'!I31,#N/A))</f>
        <v>#N/A</v>
      </c>
      <c r="V31" t="e">
        <f ca="1">IF(AND($C31='Funnel setup'!$K$3&amp;'Funnel setup'!$K$5&amp;'Funnel setup'!$K$6&amp;'Funnel setup'!$K$4,'Funnel Lookup'!I31="*"),#N/A,IF(AND($C31='Funnel setup'!$K$3&amp;'Funnel setup'!$K$5&amp;'Funnel setup'!$K$6&amp;'Funnel setup'!$K$4,'Funnel Lookup'!I31&gt;29),'Funnel Lookup'!Q31,#N/A))</f>
        <v>#N/A</v>
      </c>
    </row>
    <row r="32" spans="1:22" x14ac:dyDescent="0.2">
      <c r="A32">
        <v>30</v>
      </c>
      <c r="B32">
        <f t="shared" ca="1" si="6"/>
        <v>30</v>
      </c>
      <c r="C32" t="str">
        <f t="shared" ca="1" si="6"/>
        <v>Groin HerniaProviderBMI - THE ESPERANCE HOSPITAL (NT413)EQ-5D Index</v>
      </c>
      <c r="D32" t="str">
        <f t="shared" ca="1" si="6"/>
        <v>Groin Hernia</v>
      </c>
      <c r="E32" t="str">
        <f t="shared" ca="1" si="6"/>
        <v>Provider</v>
      </c>
      <c r="F32" t="str">
        <f t="shared" ca="1" si="6"/>
        <v>NT413</v>
      </c>
      <c r="G32" t="str">
        <f t="shared" ca="1" si="6"/>
        <v>BMI - THE ESPERANCE HOSPITAL (NT413)</v>
      </c>
      <c r="H32" t="str">
        <f t="shared" ca="1" si="6"/>
        <v>EQ-5D Index</v>
      </c>
      <c r="I32">
        <f t="shared" ca="1" si="6"/>
        <v>15</v>
      </c>
      <c r="J32">
        <f t="shared" ca="1" si="6"/>
        <v>0.84499999999999997</v>
      </c>
      <c r="K32">
        <f t="shared" ca="1" si="6"/>
        <v>0.97199999999999998</v>
      </c>
      <c r="L32">
        <f t="shared" ca="1" si="7"/>
        <v>0.126</v>
      </c>
      <c r="M32">
        <f t="shared" ca="1" si="7"/>
        <v>9</v>
      </c>
      <c r="N32">
        <f t="shared" ca="1" si="7"/>
        <v>4</v>
      </c>
      <c r="O32">
        <f t="shared" ca="1" si="7"/>
        <v>2</v>
      </c>
      <c r="P32" t="str">
        <f t="shared" ca="1" si="7"/>
        <v>*</v>
      </c>
      <c r="Q32" t="str">
        <f t="shared" ca="1" si="7"/>
        <v>*</v>
      </c>
      <c r="R32" t="str">
        <f t="shared" ca="1" si="7"/>
        <v>*</v>
      </c>
      <c r="S32" t="e">
        <f t="shared" ca="1" si="2"/>
        <v>#N/A</v>
      </c>
      <c r="T32" t="e">
        <f t="shared" ca="1" si="3"/>
        <v>#N/A</v>
      </c>
      <c r="U32" t="e">
        <f ca="1">IF(AND($C32='Funnel setup'!$K$3&amp;'Funnel setup'!$K$5&amp;'Funnel setup'!$K$6&amp;'Funnel setup'!$K$4,'Funnel Lookup'!I32="*"),#N/A,IF(AND($C32='Funnel setup'!$K$3&amp;'Funnel setup'!$K$5&amp;'Funnel setup'!$K$6&amp;'Funnel setup'!$K$4,'Funnel Lookup'!I32&gt;29),'Funnel Lookup'!I32,#N/A))</f>
        <v>#N/A</v>
      </c>
      <c r="V32" t="e">
        <f ca="1">IF(AND($C32='Funnel setup'!$K$3&amp;'Funnel setup'!$K$5&amp;'Funnel setup'!$K$6&amp;'Funnel setup'!$K$4,'Funnel Lookup'!I32="*"),#N/A,IF(AND($C32='Funnel setup'!$K$3&amp;'Funnel setup'!$K$5&amp;'Funnel setup'!$K$6&amp;'Funnel setup'!$K$4,'Funnel Lookup'!I32&gt;29),'Funnel Lookup'!Q32,#N/A))</f>
        <v>#N/A</v>
      </c>
    </row>
    <row r="33" spans="1:22" x14ac:dyDescent="0.2">
      <c r="A33">
        <v>31</v>
      </c>
      <c r="B33">
        <f t="shared" ref="B33:K42" ca="1" si="8">VLOOKUP($A33,Funnel_Data,B$1,FALSE)</f>
        <v>31</v>
      </c>
      <c r="C33" t="str">
        <f t="shared" ca="1" si="8"/>
        <v>Groin HerniaProviderBMI - THE HAMPSHIRE CLINIC (NT418)EQ-5D Index</v>
      </c>
      <c r="D33" t="str">
        <f t="shared" ca="1" si="8"/>
        <v>Groin Hernia</v>
      </c>
      <c r="E33" t="str">
        <f t="shared" ca="1" si="8"/>
        <v>Provider</v>
      </c>
      <c r="F33" t="str">
        <f t="shared" ca="1" si="8"/>
        <v>NT418</v>
      </c>
      <c r="G33" t="str">
        <f t="shared" ca="1" si="8"/>
        <v>BMI - THE HAMPSHIRE CLINIC (NT418)</v>
      </c>
      <c r="H33" t="str">
        <f t="shared" ca="1" si="8"/>
        <v>EQ-5D Index</v>
      </c>
      <c r="I33">
        <f t="shared" ca="1" si="8"/>
        <v>16</v>
      </c>
      <c r="J33">
        <f t="shared" ca="1" si="8"/>
        <v>0.78500000000000003</v>
      </c>
      <c r="K33">
        <f t="shared" ca="1" si="8"/>
        <v>0.97399999999999998</v>
      </c>
      <c r="L33">
        <f t="shared" ref="L33:R42" ca="1" si="9">VLOOKUP($A33,Funnel_Data,L$1,FALSE)</f>
        <v>0.189</v>
      </c>
      <c r="M33">
        <f t="shared" ca="1" si="9"/>
        <v>12</v>
      </c>
      <c r="N33">
        <f t="shared" ca="1" si="9"/>
        <v>4</v>
      </c>
      <c r="O33">
        <f t="shared" ca="1" si="9"/>
        <v>0</v>
      </c>
      <c r="P33" t="str">
        <f t="shared" ca="1" si="9"/>
        <v>*</v>
      </c>
      <c r="Q33" t="str">
        <f t="shared" ca="1" si="9"/>
        <v>*</v>
      </c>
      <c r="R33" t="str">
        <f t="shared" ca="1" si="9"/>
        <v>*</v>
      </c>
      <c r="S33" t="e">
        <f t="shared" ca="1" si="2"/>
        <v>#N/A</v>
      </c>
      <c r="T33" t="e">
        <f t="shared" ca="1" si="3"/>
        <v>#N/A</v>
      </c>
      <c r="U33" t="e">
        <f ca="1">IF(AND($C33='Funnel setup'!$K$3&amp;'Funnel setup'!$K$5&amp;'Funnel setup'!$K$6&amp;'Funnel setup'!$K$4,'Funnel Lookup'!I33="*"),#N/A,IF(AND($C33='Funnel setup'!$K$3&amp;'Funnel setup'!$K$5&amp;'Funnel setup'!$K$6&amp;'Funnel setup'!$K$4,'Funnel Lookup'!I33&gt;29),'Funnel Lookup'!I33,#N/A))</f>
        <v>#N/A</v>
      </c>
      <c r="V33" t="e">
        <f ca="1">IF(AND($C33='Funnel setup'!$K$3&amp;'Funnel setup'!$K$5&amp;'Funnel setup'!$K$6&amp;'Funnel setup'!$K$4,'Funnel Lookup'!I33="*"),#N/A,IF(AND($C33='Funnel setup'!$K$3&amp;'Funnel setup'!$K$5&amp;'Funnel setup'!$K$6&amp;'Funnel setup'!$K$4,'Funnel Lookup'!I33&gt;29),'Funnel Lookup'!Q33,#N/A))</f>
        <v>#N/A</v>
      </c>
    </row>
    <row r="34" spans="1:22" x14ac:dyDescent="0.2">
      <c r="A34">
        <v>32</v>
      </c>
      <c r="B34">
        <f t="shared" ca="1" si="8"/>
        <v>32</v>
      </c>
      <c r="C34" t="str">
        <f t="shared" ca="1" si="8"/>
        <v>Groin HerniaProviderBMI - THE HARBOUR HOSPITAL (NT419)EQ-5D Index</v>
      </c>
      <c r="D34" t="str">
        <f t="shared" ca="1" si="8"/>
        <v>Groin Hernia</v>
      </c>
      <c r="E34" t="str">
        <f t="shared" ca="1" si="8"/>
        <v>Provider</v>
      </c>
      <c r="F34" t="str">
        <f t="shared" ca="1" si="8"/>
        <v>NT419</v>
      </c>
      <c r="G34" t="str">
        <f t="shared" ca="1" si="8"/>
        <v>BMI - THE HARBOUR HOSPITAL (NT419)</v>
      </c>
      <c r="H34" t="str">
        <f t="shared" ca="1" si="8"/>
        <v>EQ-5D Index</v>
      </c>
      <c r="I34">
        <f t="shared" ca="1" si="8"/>
        <v>87</v>
      </c>
      <c r="J34">
        <f t="shared" ca="1" si="8"/>
        <v>0.83199999999999996</v>
      </c>
      <c r="K34">
        <f t="shared" ca="1" si="8"/>
        <v>0.88800000000000001</v>
      </c>
      <c r="L34">
        <f t="shared" ca="1" si="9"/>
        <v>5.6000000000000001E-2</v>
      </c>
      <c r="M34">
        <f t="shared" ca="1" si="9"/>
        <v>37</v>
      </c>
      <c r="N34">
        <f t="shared" ca="1" si="9"/>
        <v>30</v>
      </c>
      <c r="O34">
        <f t="shared" ca="1" si="9"/>
        <v>20</v>
      </c>
      <c r="P34">
        <f t="shared" ca="1" si="9"/>
        <v>0.871</v>
      </c>
      <c r="Q34">
        <f t="shared" ca="1" si="9"/>
        <v>7.7626913000000006E-2</v>
      </c>
      <c r="R34">
        <f t="shared" ca="1" si="9"/>
        <v>0.17199999999999999</v>
      </c>
      <c r="S34">
        <f t="shared" ca="1" si="2"/>
        <v>87</v>
      </c>
      <c r="T34">
        <f t="shared" ca="1" si="3"/>
        <v>7.7626913000000006E-2</v>
      </c>
      <c r="U34" t="e">
        <f ca="1">IF(AND($C34='Funnel setup'!$K$3&amp;'Funnel setup'!$K$5&amp;'Funnel setup'!$K$6&amp;'Funnel setup'!$K$4,'Funnel Lookup'!I34="*"),#N/A,IF(AND($C34='Funnel setup'!$K$3&amp;'Funnel setup'!$K$5&amp;'Funnel setup'!$K$6&amp;'Funnel setup'!$K$4,'Funnel Lookup'!I34&gt;29),'Funnel Lookup'!I34,#N/A))</f>
        <v>#N/A</v>
      </c>
      <c r="V34" t="e">
        <f ca="1">IF(AND($C34='Funnel setup'!$K$3&amp;'Funnel setup'!$K$5&amp;'Funnel setup'!$K$6&amp;'Funnel setup'!$K$4,'Funnel Lookup'!I34="*"),#N/A,IF(AND($C34='Funnel setup'!$K$3&amp;'Funnel setup'!$K$5&amp;'Funnel setup'!$K$6&amp;'Funnel setup'!$K$4,'Funnel Lookup'!I34&gt;29),'Funnel Lookup'!Q34,#N/A))</f>
        <v>#N/A</v>
      </c>
    </row>
    <row r="35" spans="1:22" x14ac:dyDescent="0.2">
      <c r="A35">
        <v>33</v>
      </c>
      <c r="B35">
        <f t="shared" ca="1" si="8"/>
        <v>33</v>
      </c>
      <c r="C35" t="str">
        <f t="shared" ca="1" si="8"/>
        <v>Groin HerniaProviderBMI - THE HIGHFIELD HOSPITAL (NT420)EQ-5D Index</v>
      </c>
      <c r="D35" t="str">
        <f t="shared" ca="1" si="8"/>
        <v>Groin Hernia</v>
      </c>
      <c r="E35" t="str">
        <f t="shared" ca="1" si="8"/>
        <v>Provider</v>
      </c>
      <c r="F35" t="str">
        <f t="shared" ca="1" si="8"/>
        <v>NT420</v>
      </c>
      <c r="G35" t="str">
        <f t="shared" ca="1" si="8"/>
        <v>BMI - THE HIGHFIELD HOSPITAL (NT420)</v>
      </c>
      <c r="H35" t="str">
        <f t="shared" ca="1" si="8"/>
        <v>EQ-5D Index</v>
      </c>
      <c r="I35">
        <f t="shared" ca="1" si="8"/>
        <v>25</v>
      </c>
      <c r="J35">
        <f t="shared" ca="1" si="8"/>
        <v>0.8</v>
      </c>
      <c r="K35">
        <f t="shared" ca="1" si="8"/>
        <v>0.84799999999999998</v>
      </c>
      <c r="L35">
        <f t="shared" ca="1" si="9"/>
        <v>4.8000000000000001E-2</v>
      </c>
      <c r="M35">
        <f t="shared" ca="1" si="9"/>
        <v>10</v>
      </c>
      <c r="N35">
        <f t="shared" ca="1" si="9"/>
        <v>9</v>
      </c>
      <c r="O35">
        <f t="shared" ca="1" si="9"/>
        <v>6</v>
      </c>
      <c r="P35" t="str">
        <f t="shared" ca="1" si="9"/>
        <v>*</v>
      </c>
      <c r="Q35" t="str">
        <f t="shared" ca="1" si="9"/>
        <v>*</v>
      </c>
      <c r="R35" t="str">
        <f t="shared" ca="1" si="9"/>
        <v>*</v>
      </c>
      <c r="S35" t="e">
        <f t="shared" ca="1" si="2"/>
        <v>#N/A</v>
      </c>
      <c r="T35" t="e">
        <f t="shared" ca="1" si="3"/>
        <v>#N/A</v>
      </c>
      <c r="U35" t="e">
        <f ca="1">IF(AND($C35='Funnel setup'!$K$3&amp;'Funnel setup'!$K$5&amp;'Funnel setup'!$K$6&amp;'Funnel setup'!$K$4,'Funnel Lookup'!I35="*"),#N/A,IF(AND($C35='Funnel setup'!$K$3&amp;'Funnel setup'!$K$5&amp;'Funnel setup'!$K$6&amp;'Funnel setup'!$K$4,'Funnel Lookup'!I35&gt;29),'Funnel Lookup'!I35,#N/A))</f>
        <v>#N/A</v>
      </c>
      <c r="V35" t="e">
        <f ca="1">IF(AND($C35='Funnel setup'!$K$3&amp;'Funnel setup'!$K$5&amp;'Funnel setup'!$K$6&amp;'Funnel setup'!$K$4,'Funnel Lookup'!I35="*"),#N/A,IF(AND($C35='Funnel setup'!$K$3&amp;'Funnel setup'!$K$5&amp;'Funnel setup'!$K$6&amp;'Funnel setup'!$K$4,'Funnel Lookup'!I35&gt;29),'Funnel Lookup'!Q35,#N/A))</f>
        <v>#N/A</v>
      </c>
    </row>
    <row r="36" spans="1:22" x14ac:dyDescent="0.2">
      <c r="A36">
        <v>34</v>
      </c>
      <c r="B36">
        <f t="shared" ca="1" si="8"/>
        <v>34</v>
      </c>
      <c r="C36" t="str">
        <f t="shared" ca="1" si="8"/>
        <v>Groin HerniaProviderBMI - THE KINGS OAK HOSPITAL (NT421)EQ-5D Index</v>
      </c>
      <c r="D36" t="str">
        <f t="shared" ca="1" si="8"/>
        <v>Groin Hernia</v>
      </c>
      <c r="E36" t="str">
        <f t="shared" ca="1" si="8"/>
        <v>Provider</v>
      </c>
      <c r="F36" t="str">
        <f t="shared" ca="1" si="8"/>
        <v>NT421</v>
      </c>
      <c r="G36" t="str">
        <f t="shared" ca="1" si="8"/>
        <v>BMI - THE KINGS OAK HOSPITAL (NT421)</v>
      </c>
      <c r="H36" t="str">
        <f t="shared" ca="1" si="8"/>
        <v>EQ-5D Index</v>
      </c>
      <c r="I36">
        <f t="shared" ca="1" si="8"/>
        <v>7</v>
      </c>
      <c r="J36">
        <f t="shared" ca="1" si="8"/>
        <v>0.85399999999999998</v>
      </c>
      <c r="K36">
        <f t="shared" ca="1" si="8"/>
        <v>0.95599999999999996</v>
      </c>
      <c r="L36">
        <f t="shared" ca="1" si="9"/>
        <v>0.10199999999999999</v>
      </c>
      <c r="M36">
        <f t="shared" ca="1" si="9"/>
        <v>4</v>
      </c>
      <c r="N36">
        <f t="shared" ca="1" si="9"/>
        <v>2</v>
      </c>
      <c r="O36">
        <f t="shared" ca="1" si="9"/>
        <v>1</v>
      </c>
      <c r="P36" t="str">
        <f t="shared" ca="1" si="9"/>
        <v>*</v>
      </c>
      <c r="Q36" t="str">
        <f t="shared" ca="1" si="9"/>
        <v>*</v>
      </c>
      <c r="R36" t="str">
        <f t="shared" ca="1" si="9"/>
        <v>*</v>
      </c>
      <c r="S36" t="e">
        <f t="shared" ca="1" si="2"/>
        <v>#N/A</v>
      </c>
      <c r="T36" t="e">
        <f t="shared" ca="1" si="3"/>
        <v>#N/A</v>
      </c>
      <c r="U36" t="e">
        <f ca="1">IF(AND($C36='Funnel setup'!$K$3&amp;'Funnel setup'!$K$5&amp;'Funnel setup'!$K$6&amp;'Funnel setup'!$K$4,'Funnel Lookup'!I36="*"),#N/A,IF(AND($C36='Funnel setup'!$K$3&amp;'Funnel setup'!$K$5&amp;'Funnel setup'!$K$6&amp;'Funnel setup'!$K$4,'Funnel Lookup'!I36&gt;29),'Funnel Lookup'!I36,#N/A))</f>
        <v>#N/A</v>
      </c>
      <c r="V36" t="e">
        <f ca="1">IF(AND($C36='Funnel setup'!$K$3&amp;'Funnel setup'!$K$5&amp;'Funnel setup'!$K$6&amp;'Funnel setup'!$K$4,'Funnel Lookup'!I36="*"),#N/A,IF(AND($C36='Funnel setup'!$K$3&amp;'Funnel setup'!$K$5&amp;'Funnel setup'!$K$6&amp;'Funnel setup'!$K$4,'Funnel Lookup'!I36&gt;29),'Funnel Lookup'!Q36,#N/A))</f>
        <v>#N/A</v>
      </c>
    </row>
    <row r="37" spans="1:22" x14ac:dyDescent="0.2">
      <c r="A37">
        <v>35</v>
      </c>
      <c r="B37">
        <f t="shared" ca="1" si="8"/>
        <v>35</v>
      </c>
      <c r="C37" t="str">
        <f t="shared" ca="1" si="8"/>
        <v>Groin HerniaProviderBMI - THE LONDON INDEPENDENT HOSPITAL (NT422)EQ-5D Index</v>
      </c>
      <c r="D37" t="str">
        <f t="shared" ca="1" si="8"/>
        <v>Groin Hernia</v>
      </c>
      <c r="E37" t="str">
        <f t="shared" ca="1" si="8"/>
        <v>Provider</v>
      </c>
      <c r="F37" t="str">
        <f t="shared" ca="1" si="8"/>
        <v>NT422</v>
      </c>
      <c r="G37" t="str">
        <f t="shared" ca="1" si="8"/>
        <v>BMI - THE LONDON INDEPENDENT HOSPITAL (NT422)</v>
      </c>
      <c r="H37" t="str">
        <f t="shared" ca="1" si="8"/>
        <v>EQ-5D Index</v>
      </c>
      <c r="I37">
        <f t="shared" ca="1" si="8"/>
        <v>16</v>
      </c>
      <c r="J37">
        <f t="shared" ca="1" si="8"/>
        <v>0.75900000000000001</v>
      </c>
      <c r="K37">
        <f t="shared" ca="1" si="8"/>
        <v>0.77100000000000002</v>
      </c>
      <c r="L37">
        <f t="shared" ca="1" si="9"/>
        <v>1.2E-2</v>
      </c>
      <c r="M37">
        <f t="shared" ca="1" si="9"/>
        <v>5</v>
      </c>
      <c r="N37">
        <f t="shared" ca="1" si="9"/>
        <v>7</v>
      </c>
      <c r="O37">
        <f t="shared" ca="1" si="9"/>
        <v>4</v>
      </c>
      <c r="P37" t="str">
        <f t="shared" ca="1" si="9"/>
        <v>*</v>
      </c>
      <c r="Q37" t="str">
        <f t="shared" ca="1" si="9"/>
        <v>*</v>
      </c>
      <c r="R37" t="str">
        <f t="shared" ca="1" si="9"/>
        <v>*</v>
      </c>
      <c r="S37" t="e">
        <f t="shared" ca="1" si="2"/>
        <v>#N/A</v>
      </c>
      <c r="T37" t="e">
        <f t="shared" ca="1" si="3"/>
        <v>#N/A</v>
      </c>
      <c r="U37" t="e">
        <f ca="1">IF(AND($C37='Funnel setup'!$K$3&amp;'Funnel setup'!$K$5&amp;'Funnel setup'!$K$6&amp;'Funnel setup'!$K$4,'Funnel Lookup'!I37="*"),#N/A,IF(AND($C37='Funnel setup'!$K$3&amp;'Funnel setup'!$K$5&amp;'Funnel setup'!$K$6&amp;'Funnel setup'!$K$4,'Funnel Lookup'!I37&gt;29),'Funnel Lookup'!I37,#N/A))</f>
        <v>#N/A</v>
      </c>
      <c r="V37" t="e">
        <f ca="1">IF(AND($C37='Funnel setup'!$K$3&amp;'Funnel setup'!$K$5&amp;'Funnel setup'!$K$6&amp;'Funnel setup'!$K$4,'Funnel Lookup'!I37="*"),#N/A,IF(AND($C37='Funnel setup'!$K$3&amp;'Funnel setup'!$K$5&amp;'Funnel setup'!$K$6&amp;'Funnel setup'!$K$4,'Funnel Lookup'!I37&gt;29),'Funnel Lookup'!Q37,#N/A))</f>
        <v>#N/A</v>
      </c>
    </row>
    <row r="38" spans="1:22" x14ac:dyDescent="0.2">
      <c r="A38">
        <v>36</v>
      </c>
      <c r="B38">
        <f t="shared" ca="1" si="8"/>
        <v>36</v>
      </c>
      <c r="C38" t="str">
        <f t="shared" ca="1" si="8"/>
        <v>Groin HerniaProviderBMI - THE MANOR HOSPITAL (NT423)EQ-5D Index</v>
      </c>
      <c r="D38" t="str">
        <f t="shared" ca="1" si="8"/>
        <v>Groin Hernia</v>
      </c>
      <c r="E38" t="str">
        <f t="shared" ca="1" si="8"/>
        <v>Provider</v>
      </c>
      <c r="F38" t="str">
        <f t="shared" ca="1" si="8"/>
        <v>NT423</v>
      </c>
      <c r="G38" t="str">
        <f t="shared" ca="1" si="8"/>
        <v>BMI - THE MANOR HOSPITAL (NT423)</v>
      </c>
      <c r="H38" t="str">
        <f t="shared" ca="1" si="8"/>
        <v>EQ-5D Index</v>
      </c>
      <c r="I38">
        <f t="shared" ca="1" si="8"/>
        <v>26</v>
      </c>
      <c r="J38">
        <f t="shared" ca="1" si="8"/>
        <v>0.83299999999999996</v>
      </c>
      <c r="K38">
        <f t="shared" ca="1" si="8"/>
        <v>0.871</v>
      </c>
      <c r="L38">
        <f t="shared" ca="1" si="9"/>
        <v>3.7999999999999999E-2</v>
      </c>
      <c r="M38">
        <f t="shared" ca="1" si="9"/>
        <v>10</v>
      </c>
      <c r="N38">
        <f t="shared" ca="1" si="9"/>
        <v>9</v>
      </c>
      <c r="O38">
        <f t="shared" ca="1" si="9"/>
        <v>7</v>
      </c>
      <c r="P38" t="str">
        <f t="shared" ca="1" si="9"/>
        <v>*</v>
      </c>
      <c r="Q38" t="str">
        <f t="shared" ca="1" si="9"/>
        <v>*</v>
      </c>
      <c r="R38" t="str">
        <f t="shared" ca="1" si="9"/>
        <v>*</v>
      </c>
      <c r="S38" t="e">
        <f t="shared" ca="1" si="2"/>
        <v>#N/A</v>
      </c>
      <c r="T38" t="e">
        <f t="shared" ca="1" si="3"/>
        <v>#N/A</v>
      </c>
      <c r="U38" t="e">
        <f ca="1">IF(AND($C38='Funnel setup'!$K$3&amp;'Funnel setup'!$K$5&amp;'Funnel setup'!$K$6&amp;'Funnel setup'!$K$4,'Funnel Lookup'!I38="*"),#N/A,IF(AND($C38='Funnel setup'!$K$3&amp;'Funnel setup'!$K$5&amp;'Funnel setup'!$K$6&amp;'Funnel setup'!$K$4,'Funnel Lookup'!I38&gt;29),'Funnel Lookup'!I38,#N/A))</f>
        <v>#N/A</v>
      </c>
      <c r="V38" t="e">
        <f ca="1">IF(AND($C38='Funnel setup'!$K$3&amp;'Funnel setup'!$K$5&amp;'Funnel setup'!$K$6&amp;'Funnel setup'!$K$4,'Funnel Lookup'!I38="*"),#N/A,IF(AND($C38='Funnel setup'!$K$3&amp;'Funnel setup'!$K$5&amp;'Funnel setup'!$K$6&amp;'Funnel setup'!$K$4,'Funnel Lookup'!I38&gt;29),'Funnel Lookup'!Q38,#N/A))</f>
        <v>#N/A</v>
      </c>
    </row>
    <row r="39" spans="1:22" x14ac:dyDescent="0.2">
      <c r="A39">
        <v>37</v>
      </c>
      <c r="B39">
        <f t="shared" ca="1" si="8"/>
        <v>37</v>
      </c>
      <c r="C39" t="str">
        <f t="shared" ca="1" si="8"/>
        <v>Groin HerniaProviderBMI - THE MERIDEN HOSPITAL (NT424)EQ-5D Index</v>
      </c>
      <c r="D39" t="str">
        <f t="shared" ca="1" si="8"/>
        <v>Groin Hernia</v>
      </c>
      <c r="E39" t="str">
        <f t="shared" ca="1" si="8"/>
        <v>Provider</v>
      </c>
      <c r="F39" t="str">
        <f t="shared" ca="1" si="8"/>
        <v>NT424</v>
      </c>
      <c r="G39" t="str">
        <f t="shared" ca="1" si="8"/>
        <v>BMI - THE MERIDEN HOSPITAL (NT424)</v>
      </c>
      <c r="H39" t="str">
        <f t="shared" ca="1" si="8"/>
        <v>EQ-5D Index</v>
      </c>
      <c r="I39">
        <f t="shared" ca="1" si="8"/>
        <v>39</v>
      </c>
      <c r="J39">
        <f t="shared" ca="1" si="8"/>
        <v>0.74199999999999999</v>
      </c>
      <c r="K39">
        <f t="shared" ca="1" si="8"/>
        <v>0.92300000000000004</v>
      </c>
      <c r="L39">
        <f t="shared" ca="1" si="9"/>
        <v>0.18099999999999999</v>
      </c>
      <c r="M39">
        <f t="shared" ca="1" si="9"/>
        <v>25</v>
      </c>
      <c r="N39">
        <f t="shared" ca="1" si="9"/>
        <v>10</v>
      </c>
      <c r="O39">
        <f t="shared" ca="1" si="9"/>
        <v>4</v>
      </c>
      <c r="P39">
        <f t="shared" ca="1" si="9"/>
        <v>0.91600000000000004</v>
      </c>
      <c r="Q39">
        <f t="shared" ca="1" si="9"/>
        <v>0.1229592</v>
      </c>
      <c r="R39">
        <f t="shared" ca="1" si="9"/>
        <v>0.17100000000000001</v>
      </c>
      <c r="S39">
        <f t="shared" ca="1" si="2"/>
        <v>39</v>
      </c>
      <c r="T39">
        <f t="shared" ca="1" si="3"/>
        <v>0.1229592</v>
      </c>
      <c r="U39" t="e">
        <f ca="1">IF(AND($C39='Funnel setup'!$K$3&amp;'Funnel setup'!$K$5&amp;'Funnel setup'!$K$6&amp;'Funnel setup'!$K$4,'Funnel Lookup'!I39="*"),#N/A,IF(AND($C39='Funnel setup'!$K$3&amp;'Funnel setup'!$K$5&amp;'Funnel setup'!$K$6&amp;'Funnel setup'!$K$4,'Funnel Lookup'!I39&gt;29),'Funnel Lookup'!I39,#N/A))</f>
        <v>#N/A</v>
      </c>
      <c r="V39" t="e">
        <f ca="1">IF(AND($C39='Funnel setup'!$K$3&amp;'Funnel setup'!$K$5&amp;'Funnel setup'!$K$6&amp;'Funnel setup'!$K$4,'Funnel Lookup'!I39="*"),#N/A,IF(AND($C39='Funnel setup'!$K$3&amp;'Funnel setup'!$K$5&amp;'Funnel setup'!$K$6&amp;'Funnel setup'!$K$4,'Funnel Lookup'!I39&gt;29),'Funnel Lookup'!Q39,#N/A))</f>
        <v>#N/A</v>
      </c>
    </row>
    <row r="40" spans="1:22" x14ac:dyDescent="0.2">
      <c r="A40">
        <v>38</v>
      </c>
      <c r="B40">
        <f t="shared" ca="1" si="8"/>
        <v>38</v>
      </c>
      <c r="C40" t="str">
        <f t="shared" ca="1" si="8"/>
        <v>Groin HerniaProviderBMI - THE PARK HOSPITAL (NT427)EQ-5D Index</v>
      </c>
      <c r="D40" t="str">
        <f t="shared" ca="1" si="8"/>
        <v>Groin Hernia</v>
      </c>
      <c r="E40" t="str">
        <f t="shared" ca="1" si="8"/>
        <v>Provider</v>
      </c>
      <c r="F40" t="str">
        <f t="shared" ca="1" si="8"/>
        <v>NT427</v>
      </c>
      <c r="G40" t="str">
        <f t="shared" ca="1" si="8"/>
        <v>BMI - THE PARK HOSPITAL (NT427)</v>
      </c>
      <c r="H40" t="str">
        <f t="shared" ca="1" si="8"/>
        <v>EQ-5D Index</v>
      </c>
      <c r="I40" t="str">
        <f t="shared" ca="1" si="8"/>
        <v>*</v>
      </c>
      <c r="J40" t="str">
        <f t="shared" ca="1" si="8"/>
        <v>*</v>
      </c>
      <c r="K40" t="str">
        <f t="shared" ca="1" si="8"/>
        <v>*</v>
      </c>
      <c r="L40" t="str">
        <f t="shared" ca="1" si="9"/>
        <v>*</v>
      </c>
      <c r="M40" t="str">
        <f t="shared" ca="1" si="9"/>
        <v>*</v>
      </c>
      <c r="N40" t="str">
        <f t="shared" ca="1" si="9"/>
        <v>*</v>
      </c>
      <c r="O40" t="str">
        <f t="shared" ca="1" si="9"/>
        <v>*</v>
      </c>
      <c r="P40" t="str">
        <f t="shared" ca="1" si="9"/>
        <v>*</v>
      </c>
      <c r="Q40" t="str">
        <f t="shared" ca="1" si="9"/>
        <v>*</v>
      </c>
      <c r="R40" t="str">
        <f t="shared" ca="1" si="9"/>
        <v>*</v>
      </c>
      <c r="S40" t="e">
        <f t="shared" ca="1" si="2"/>
        <v>#N/A</v>
      </c>
      <c r="T40" t="e">
        <f t="shared" ca="1" si="3"/>
        <v>#N/A</v>
      </c>
      <c r="U40" t="e">
        <f ca="1">IF(AND($C40='Funnel setup'!$K$3&amp;'Funnel setup'!$K$5&amp;'Funnel setup'!$K$6&amp;'Funnel setup'!$K$4,'Funnel Lookup'!I40="*"),#N/A,IF(AND($C40='Funnel setup'!$K$3&amp;'Funnel setup'!$K$5&amp;'Funnel setup'!$K$6&amp;'Funnel setup'!$K$4,'Funnel Lookup'!I40&gt;29),'Funnel Lookup'!I40,#N/A))</f>
        <v>#N/A</v>
      </c>
      <c r="V40" t="e">
        <f ca="1">IF(AND($C40='Funnel setup'!$K$3&amp;'Funnel setup'!$K$5&amp;'Funnel setup'!$K$6&amp;'Funnel setup'!$K$4,'Funnel Lookup'!I40="*"),#N/A,IF(AND($C40='Funnel setup'!$K$3&amp;'Funnel setup'!$K$5&amp;'Funnel setup'!$K$6&amp;'Funnel setup'!$K$4,'Funnel Lookup'!I40&gt;29),'Funnel Lookup'!Q40,#N/A))</f>
        <v>#N/A</v>
      </c>
    </row>
    <row r="41" spans="1:22" x14ac:dyDescent="0.2">
      <c r="A41">
        <v>39</v>
      </c>
      <c r="B41">
        <f t="shared" ca="1" si="8"/>
        <v>39</v>
      </c>
      <c r="C41" t="str">
        <f t="shared" ca="1" si="8"/>
        <v>Groin HerniaProviderBMI - THE PRINCESS MARGARET HOSPITAL (NT428)EQ-5D Index</v>
      </c>
      <c r="D41" t="str">
        <f t="shared" ca="1" si="8"/>
        <v>Groin Hernia</v>
      </c>
      <c r="E41" t="str">
        <f t="shared" ca="1" si="8"/>
        <v>Provider</v>
      </c>
      <c r="F41" t="str">
        <f t="shared" ca="1" si="8"/>
        <v>NT428</v>
      </c>
      <c r="G41" t="str">
        <f t="shared" ca="1" si="8"/>
        <v>BMI - THE PRINCESS MARGARET HOSPITAL (NT428)</v>
      </c>
      <c r="H41" t="str">
        <f t="shared" ca="1" si="8"/>
        <v>EQ-5D Index</v>
      </c>
      <c r="I41">
        <f t="shared" ca="1" si="8"/>
        <v>8</v>
      </c>
      <c r="J41">
        <f t="shared" ca="1" si="8"/>
        <v>0.81599999999999995</v>
      </c>
      <c r="K41">
        <f t="shared" ca="1" si="8"/>
        <v>0.96099999999999997</v>
      </c>
      <c r="L41">
        <f t="shared" ca="1" si="9"/>
        <v>0.14499999999999999</v>
      </c>
      <c r="M41">
        <f t="shared" ca="1" si="9"/>
        <v>5</v>
      </c>
      <c r="N41">
        <f t="shared" ca="1" si="9"/>
        <v>2</v>
      </c>
      <c r="O41">
        <f t="shared" ca="1" si="9"/>
        <v>1</v>
      </c>
      <c r="P41" t="str">
        <f t="shared" ca="1" si="9"/>
        <v>*</v>
      </c>
      <c r="Q41" t="str">
        <f t="shared" ca="1" si="9"/>
        <v>*</v>
      </c>
      <c r="R41" t="str">
        <f t="shared" ca="1" si="9"/>
        <v>*</v>
      </c>
      <c r="S41" t="e">
        <f t="shared" ca="1" si="2"/>
        <v>#N/A</v>
      </c>
      <c r="T41" t="e">
        <f t="shared" ca="1" si="3"/>
        <v>#N/A</v>
      </c>
      <c r="U41" t="e">
        <f ca="1">IF(AND($C41='Funnel setup'!$K$3&amp;'Funnel setup'!$K$5&amp;'Funnel setup'!$K$6&amp;'Funnel setup'!$K$4,'Funnel Lookup'!I41="*"),#N/A,IF(AND($C41='Funnel setup'!$K$3&amp;'Funnel setup'!$K$5&amp;'Funnel setup'!$K$6&amp;'Funnel setup'!$K$4,'Funnel Lookup'!I41&gt;29),'Funnel Lookup'!I41,#N/A))</f>
        <v>#N/A</v>
      </c>
      <c r="V41" t="e">
        <f ca="1">IF(AND($C41='Funnel setup'!$K$3&amp;'Funnel setup'!$K$5&amp;'Funnel setup'!$K$6&amp;'Funnel setup'!$K$4,'Funnel Lookup'!I41="*"),#N/A,IF(AND($C41='Funnel setup'!$K$3&amp;'Funnel setup'!$K$5&amp;'Funnel setup'!$K$6&amp;'Funnel setup'!$K$4,'Funnel Lookup'!I41&gt;29),'Funnel Lookup'!Q41,#N/A))</f>
        <v>#N/A</v>
      </c>
    </row>
    <row r="42" spans="1:22" x14ac:dyDescent="0.2">
      <c r="A42">
        <v>40</v>
      </c>
      <c r="B42">
        <f t="shared" ca="1" si="8"/>
        <v>40</v>
      </c>
      <c r="C42" t="str">
        <f t="shared" ca="1" si="8"/>
        <v>Groin HerniaProviderBMI - THE RIDGEWAY HOSPITAL (NT430)EQ-5D Index</v>
      </c>
      <c r="D42" t="str">
        <f t="shared" ca="1" si="8"/>
        <v>Groin Hernia</v>
      </c>
      <c r="E42" t="str">
        <f t="shared" ca="1" si="8"/>
        <v>Provider</v>
      </c>
      <c r="F42" t="str">
        <f t="shared" ca="1" si="8"/>
        <v>NT430</v>
      </c>
      <c r="G42" t="str">
        <f t="shared" ca="1" si="8"/>
        <v>BMI - THE RIDGEWAY HOSPITAL (NT430)</v>
      </c>
      <c r="H42" t="str">
        <f t="shared" ca="1" si="8"/>
        <v>EQ-5D Index</v>
      </c>
      <c r="I42">
        <f t="shared" ca="1" si="8"/>
        <v>43</v>
      </c>
      <c r="J42">
        <f t="shared" ca="1" si="8"/>
        <v>0.82</v>
      </c>
      <c r="K42">
        <f t="shared" ca="1" si="8"/>
        <v>0.88400000000000001</v>
      </c>
      <c r="L42">
        <f t="shared" ca="1" si="9"/>
        <v>6.4000000000000001E-2</v>
      </c>
      <c r="M42">
        <f t="shared" ca="1" si="9"/>
        <v>22</v>
      </c>
      <c r="N42">
        <f t="shared" ca="1" si="9"/>
        <v>14</v>
      </c>
      <c r="O42">
        <f t="shared" ca="1" si="9"/>
        <v>7</v>
      </c>
      <c r="P42">
        <f t="shared" ca="1" si="9"/>
        <v>0.84199999999999997</v>
      </c>
      <c r="Q42">
        <f t="shared" ca="1" si="9"/>
        <v>4.8560342999999999E-2</v>
      </c>
      <c r="R42">
        <f t="shared" ca="1" si="9"/>
        <v>0.161</v>
      </c>
      <c r="S42">
        <f t="shared" ca="1" si="2"/>
        <v>43</v>
      </c>
      <c r="T42">
        <f t="shared" ca="1" si="3"/>
        <v>4.8560342999999999E-2</v>
      </c>
      <c r="U42" t="e">
        <f ca="1">IF(AND($C42='Funnel setup'!$K$3&amp;'Funnel setup'!$K$5&amp;'Funnel setup'!$K$6&amp;'Funnel setup'!$K$4,'Funnel Lookup'!I42="*"),#N/A,IF(AND($C42='Funnel setup'!$K$3&amp;'Funnel setup'!$K$5&amp;'Funnel setup'!$K$6&amp;'Funnel setup'!$K$4,'Funnel Lookup'!I42&gt;29),'Funnel Lookup'!I42,#N/A))</f>
        <v>#N/A</v>
      </c>
      <c r="V42" t="e">
        <f ca="1">IF(AND($C42='Funnel setup'!$K$3&amp;'Funnel setup'!$K$5&amp;'Funnel setup'!$K$6&amp;'Funnel setup'!$K$4,'Funnel Lookup'!I42="*"),#N/A,IF(AND($C42='Funnel setup'!$K$3&amp;'Funnel setup'!$K$5&amp;'Funnel setup'!$K$6&amp;'Funnel setup'!$K$4,'Funnel Lookup'!I42&gt;29),'Funnel Lookup'!Q42,#N/A))</f>
        <v>#N/A</v>
      </c>
    </row>
    <row r="43" spans="1:22" x14ac:dyDescent="0.2">
      <c r="A43">
        <v>41</v>
      </c>
      <c r="B43">
        <f t="shared" ref="B43:K52" ca="1" si="10">VLOOKUP($A43,Funnel_Data,B$1,FALSE)</f>
        <v>41</v>
      </c>
      <c r="C43" t="str">
        <f t="shared" ca="1" si="10"/>
        <v>Groin HerniaProviderBMI - THE RUNNYMEDE HOSPITAL (NT431)EQ-5D Index</v>
      </c>
      <c r="D43" t="str">
        <f t="shared" ca="1" si="10"/>
        <v>Groin Hernia</v>
      </c>
      <c r="E43" t="str">
        <f t="shared" ca="1" si="10"/>
        <v>Provider</v>
      </c>
      <c r="F43" t="str">
        <f t="shared" ca="1" si="10"/>
        <v>NT431</v>
      </c>
      <c r="G43" t="str">
        <f t="shared" ca="1" si="10"/>
        <v>BMI - THE RUNNYMEDE HOSPITAL (NT431)</v>
      </c>
      <c r="H43" t="str">
        <f t="shared" ca="1" si="10"/>
        <v>EQ-5D Index</v>
      </c>
      <c r="I43">
        <f t="shared" ca="1" si="10"/>
        <v>12</v>
      </c>
      <c r="J43">
        <f t="shared" ca="1" si="10"/>
        <v>0.75600000000000001</v>
      </c>
      <c r="K43">
        <f t="shared" ca="1" si="10"/>
        <v>0.84099999999999997</v>
      </c>
      <c r="L43">
        <f t="shared" ref="L43:R52" ca="1" si="11">VLOOKUP($A43,Funnel_Data,L$1,FALSE)</f>
        <v>8.5999999999999993E-2</v>
      </c>
      <c r="M43">
        <f t="shared" ca="1" si="11"/>
        <v>6</v>
      </c>
      <c r="N43">
        <f t="shared" ca="1" si="11"/>
        <v>4</v>
      </c>
      <c r="O43">
        <f t="shared" ca="1" si="11"/>
        <v>2</v>
      </c>
      <c r="P43" t="str">
        <f t="shared" ca="1" si="11"/>
        <v>*</v>
      </c>
      <c r="Q43" t="str">
        <f t="shared" ca="1" si="11"/>
        <v>*</v>
      </c>
      <c r="R43" t="str">
        <f t="shared" ca="1" si="11"/>
        <v>*</v>
      </c>
      <c r="S43" t="e">
        <f t="shared" ca="1" si="2"/>
        <v>#N/A</v>
      </c>
      <c r="T43" t="e">
        <f t="shared" ca="1" si="3"/>
        <v>#N/A</v>
      </c>
      <c r="U43" t="e">
        <f ca="1">IF(AND($C43='Funnel setup'!$K$3&amp;'Funnel setup'!$K$5&amp;'Funnel setup'!$K$6&amp;'Funnel setup'!$K$4,'Funnel Lookup'!I43="*"),#N/A,IF(AND($C43='Funnel setup'!$K$3&amp;'Funnel setup'!$K$5&amp;'Funnel setup'!$K$6&amp;'Funnel setup'!$K$4,'Funnel Lookup'!I43&gt;29),'Funnel Lookup'!I43,#N/A))</f>
        <v>#N/A</v>
      </c>
      <c r="V43" t="e">
        <f ca="1">IF(AND($C43='Funnel setup'!$K$3&amp;'Funnel setup'!$K$5&amp;'Funnel setup'!$K$6&amp;'Funnel setup'!$K$4,'Funnel Lookup'!I43="*"),#N/A,IF(AND($C43='Funnel setup'!$K$3&amp;'Funnel setup'!$K$5&amp;'Funnel setup'!$K$6&amp;'Funnel setup'!$K$4,'Funnel Lookup'!I43&gt;29),'Funnel Lookup'!Q43,#N/A))</f>
        <v>#N/A</v>
      </c>
    </row>
    <row r="44" spans="1:22" x14ac:dyDescent="0.2">
      <c r="A44">
        <v>42</v>
      </c>
      <c r="B44">
        <f t="shared" ca="1" si="10"/>
        <v>42</v>
      </c>
      <c r="C44" t="str">
        <f t="shared" ca="1" si="10"/>
        <v>Groin HerniaProviderBMI - THE SANDRINGHAM HOSPITAL (NT432)EQ-5D Index</v>
      </c>
      <c r="D44" t="str">
        <f t="shared" ca="1" si="10"/>
        <v>Groin Hernia</v>
      </c>
      <c r="E44" t="str">
        <f t="shared" ca="1" si="10"/>
        <v>Provider</v>
      </c>
      <c r="F44" t="str">
        <f t="shared" ca="1" si="10"/>
        <v>NT432</v>
      </c>
      <c r="G44" t="str">
        <f t="shared" ca="1" si="10"/>
        <v>BMI - THE SANDRINGHAM HOSPITAL (NT432)</v>
      </c>
      <c r="H44" t="str">
        <f t="shared" ca="1" si="10"/>
        <v>EQ-5D Index</v>
      </c>
      <c r="I44">
        <f t="shared" ca="1" si="10"/>
        <v>40</v>
      </c>
      <c r="J44">
        <f t="shared" ca="1" si="10"/>
        <v>0.85599999999999998</v>
      </c>
      <c r="K44">
        <f t="shared" ca="1" si="10"/>
        <v>0.90700000000000003</v>
      </c>
      <c r="L44">
        <f t="shared" ca="1" si="11"/>
        <v>5.0999999999999997E-2</v>
      </c>
      <c r="M44">
        <f t="shared" ca="1" si="11"/>
        <v>14</v>
      </c>
      <c r="N44">
        <f t="shared" ca="1" si="11"/>
        <v>21</v>
      </c>
      <c r="O44">
        <f t="shared" ca="1" si="11"/>
        <v>5</v>
      </c>
      <c r="P44">
        <f t="shared" ca="1" si="11"/>
        <v>0.878</v>
      </c>
      <c r="Q44">
        <f t="shared" ca="1" si="11"/>
        <v>8.4292561000000002E-2</v>
      </c>
      <c r="R44">
        <f t="shared" ca="1" si="11"/>
        <v>0.154</v>
      </c>
      <c r="S44">
        <f t="shared" ca="1" si="2"/>
        <v>40</v>
      </c>
      <c r="T44">
        <f t="shared" ca="1" si="3"/>
        <v>8.4292561000000002E-2</v>
      </c>
      <c r="U44" t="e">
        <f ca="1">IF(AND($C44='Funnel setup'!$K$3&amp;'Funnel setup'!$K$5&amp;'Funnel setup'!$K$6&amp;'Funnel setup'!$K$4,'Funnel Lookup'!I44="*"),#N/A,IF(AND($C44='Funnel setup'!$K$3&amp;'Funnel setup'!$K$5&amp;'Funnel setup'!$K$6&amp;'Funnel setup'!$K$4,'Funnel Lookup'!I44&gt;29),'Funnel Lookup'!I44,#N/A))</f>
        <v>#N/A</v>
      </c>
      <c r="V44" t="e">
        <f ca="1">IF(AND($C44='Funnel setup'!$K$3&amp;'Funnel setup'!$K$5&amp;'Funnel setup'!$K$6&amp;'Funnel setup'!$K$4,'Funnel Lookup'!I44="*"),#N/A,IF(AND($C44='Funnel setup'!$K$3&amp;'Funnel setup'!$K$5&amp;'Funnel setup'!$K$6&amp;'Funnel setup'!$K$4,'Funnel Lookup'!I44&gt;29),'Funnel Lookup'!Q44,#N/A))</f>
        <v>#N/A</v>
      </c>
    </row>
    <row r="45" spans="1:22" x14ac:dyDescent="0.2">
      <c r="A45">
        <v>43</v>
      </c>
      <c r="B45">
        <f t="shared" ca="1" si="10"/>
        <v>43</v>
      </c>
      <c r="C45" t="str">
        <f t="shared" ca="1" si="10"/>
        <v>Groin HerniaProviderBMI - THE SAXON CLINIC (NT434)EQ-5D Index</v>
      </c>
      <c r="D45" t="str">
        <f t="shared" ca="1" si="10"/>
        <v>Groin Hernia</v>
      </c>
      <c r="E45" t="str">
        <f t="shared" ca="1" si="10"/>
        <v>Provider</v>
      </c>
      <c r="F45" t="str">
        <f t="shared" ca="1" si="10"/>
        <v>NT434</v>
      </c>
      <c r="G45" t="str">
        <f t="shared" ca="1" si="10"/>
        <v>BMI - THE SAXON CLINIC (NT434)</v>
      </c>
      <c r="H45" t="str">
        <f t="shared" ca="1" si="10"/>
        <v>EQ-5D Index</v>
      </c>
      <c r="I45">
        <f t="shared" ca="1" si="10"/>
        <v>38</v>
      </c>
      <c r="J45">
        <f t="shared" ca="1" si="10"/>
        <v>0.82199999999999995</v>
      </c>
      <c r="K45">
        <f t="shared" ca="1" si="10"/>
        <v>0.93100000000000005</v>
      </c>
      <c r="L45">
        <f t="shared" ca="1" si="11"/>
        <v>0.109</v>
      </c>
      <c r="M45">
        <f t="shared" ca="1" si="11"/>
        <v>23</v>
      </c>
      <c r="N45">
        <f t="shared" ca="1" si="11"/>
        <v>12</v>
      </c>
      <c r="O45">
        <f t="shared" ca="1" si="11"/>
        <v>3</v>
      </c>
      <c r="P45">
        <f t="shared" ca="1" si="11"/>
        <v>0.90900000000000003</v>
      </c>
      <c r="Q45">
        <f t="shared" ca="1" si="11"/>
        <v>0.115977277</v>
      </c>
      <c r="R45">
        <f t="shared" ca="1" si="11"/>
        <v>0.111</v>
      </c>
      <c r="S45">
        <f t="shared" ca="1" si="2"/>
        <v>38</v>
      </c>
      <c r="T45">
        <f t="shared" ca="1" si="3"/>
        <v>0.115977277</v>
      </c>
      <c r="U45" t="e">
        <f ca="1">IF(AND($C45='Funnel setup'!$K$3&amp;'Funnel setup'!$K$5&amp;'Funnel setup'!$K$6&amp;'Funnel setup'!$K$4,'Funnel Lookup'!I45="*"),#N/A,IF(AND($C45='Funnel setup'!$K$3&amp;'Funnel setup'!$K$5&amp;'Funnel setup'!$K$6&amp;'Funnel setup'!$K$4,'Funnel Lookup'!I45&gt;29),'Funnel Lookup'!I45,#N/A))</f>
        <v>#N/A</v>
      </c>
      <c r="V45" t="e">
        <f ca="1">IF(AND($C45='Funnel setup'!$K$3&amp;'Funnel setup'!$K$5&amp;'Funnel setup'!$K$6&amp;'Funnel setup'!$K$4,'Funnel Lookup'!I45="*"),#N/A,IF(AND($C45='Funnel setup'!$K$3&amp;'Funnel setup'!$K$5&amp;'Funnel setup'!$K$6&amp;'Funnel setup'!$K$4,'Funnel Lookup'!I45&gt;29),'Funnel Lookup'!Q45,#N/A))</f>
        <v>#N/A</v>
      </c>
    </row>
    <row r="46" spans="1:22" x14ac:dyDescent="0.2">
      <c r="A46">
        <v>44</v>
      </c>
      <c r="B46">
        <f t="shared" ca="1" si="10"/>
        <v>44</v>
      </c>
      <c r="C46" t="str">
        <f t="shared" ca="1" si="10"/>
        <v>Groin HerniaProviderBMI - THE SOMERFIELD HOSPITAL (NT438)EQ-5D Index</v>
      </c>
      <c r="D46" t="str">
        <f t="shared" ca="1" si="10"/>
        <v>Groin Hernia</v>
      </c>
      <c r="E46" t="str">
        <f t="shared" ca="1" si="10"/>
        <v>Provider</v>
      </c>
      <c r="F46" t="str">
        <f t="shared" ca="1" si="10"/>
        <v>NT438</v>
      </c>
      <c r="G46" t="str">
        <f t="shared" ca="1" si="10"/>
        <v>BMI - THE SOMERFIELD HOSPITAL (NT438)</v>
      </c>
      <c r="H46" t="str">
        <f t="shared" ca="1" si="10"/>
        <v>EQ-5D Index</v>
      </c>
      <c r="I46">
        <f t="shared" ca="1" si="10"/>
        <v>38</v>
      </c>
      <c r="J46">
        <f t="shared" ca="1" si="10"/>
        <v>0.83099999999999996</v>
      </c>
      <c r="K46">
        <f t="shared" ca="1" si="10"/>
        <v>0.90800000000000003</v>
      </c>
      <c r="L46">
        <f t="shared" ca="1" si="11"/>
        <v>7.6999999999999999E-2</v>
      </c>
      <c r="M46">
        <f t="shared" ca="1" si="11"/>
        <v>21</v>
      </c>
      <c r="N46">
        <f t="shared" ca="1" si="11"/>
        <v>11</v>
      </c>
      <c r="O46">
        <f t="shared" ca="1" si="11"/>
        <v>6</v>
      </c>
      <c r="P46">
        <f t="shared" ca="1" si="11"/>
        <v>0.88400000000000001</v>
      </c>
      <c r="Q46">
        <f t="shared" ca="1" si="11"/>
        <v>9.0213208000000003E-2</v>
      </c>
      <c r="R46">
        <f t="shared" ca="1" si="11"/>
        <v>0.16200000000000001</v>
      </c>
      <c r="S46">
        <f t="shared" ca="1" si="2"/>
        <v>38</v>
      </c>
      <c r="T46">
        <f t="shared" ca="1" si="3"/>
        <v>9.0213208000000003E-2</v>
      </c>
      <c r="U46" t="e">
        <f ca="1">IF(AND($C46='Funnel setup'!$K$3&amp;'Funnel setup'!$K$5&amp;'Funnel setup'!$K$6&amp;'Funnel setup'!$K$4,'Funnel Lookup'!I46="*"),#N/A,IF(AND($C46='Funnel setup'!$K$3&amp;'Funnel setup'!$K$5&amp;'Funnel setup'!$K$6&amp;'Funnel setup'!$K$4,'Funnel Lookup'!I46&gt;29),'Funnel Lookup'!I46,#N/A))</f>
        <v>#N/A</v>
      </c>
      <c r="V46" t="e">
        <f ca="1">IF(AND($C46='Funnel setup'!$K$3&amp;'Funnel setup'!$K$5&amp;'Funnel setup'!$K$6&amp;'Funnel setup'!$K$4,'Funnel Lookup'!I46="*"),#N/A,IF(AND($C46='Funnel setup'!$K$3&amp;'Funnel setup'!$K$5&amp;'Funnel setup'!$K$6&amp;'Funnel setup'!$K$4,'Funnel Lookup'!I46&gt;29),'Funnel Lookup'!Q46,#N/A))</f>
        <v>#N/A</v>
      </c>
    </row>
    <row r="47" spans="1:22" x14ac:dyDescent="0.2">
      <c r="A47">
        <v>45</v>
      </c>
      <c r="B47">
        <f t="shared" ca="1" si="10"/>
        <v>45</v>
      </c>
      <c r="C47" t="str">
        <f t="shared" ca="1" si="10"/>
        <v>Groin HerniaProviderBMI - THE SOUTH CHESHIRE PRIVATE HOSPITAL (NT439)EQ-5D Index</v>
      </c>
      <c r="D47" t="str">
        <f t="shared" ca="1" si="10"/>
        <v>Groin Hernia</v>
      </c>
      <c r="E47" t="str">
        <f t="shared" ca="1" si="10"/>
        <v>Provider</v>
      </c>
      <c r="F47" t="str">
        <f t="shared" ca="1" si="10"/>
        <v>NT439</v>
      </c>
      <c r="G47" t="str">
        <f t="shared" ca="1" si="10"/>
        <v>BMI - THE SOUTH CHESHIRE PRIVATE HOSPITAL (NT439)</v>
      </c>
      <c r="H47" t="str">
        <f t="shared" ca="1" si="10"/>
        <v>EQ-5D Index</v>
      </c>
      <c r="I47">
        <f t="shared" ca="1" si="10"/>
        <v>37</v>
      </c>
      <c r="J47">
        <f t="shared" ca="1" si="10"/>
        <v>0.83099999999999996</v>
      </c>
      <c r="K47">
        <f t="shared" ca="1" si="10"/>
        <v>0.878</v>
      </c>
      <c r="L47">
        <f t="shared" ca="1" si="11"/>
        <v>4.7E-2</v>
      </c>
      <c r="M47">
        <f t="shared" ca="1" si="11"/>
        <v>16</v>
      </c>
      <c r="N47">
        <f t="shared" ca="1" si="11"/>
        <v>14</v>
      </c>
      <c r="O47">
        <f t="shared" ca="1" si="11"/>
        <v>7</v>
      </c>
      <c r="P47">
        <f t="shared" ca="1" si="11"/>
        <v>0.84099999999999997</v>
      </c>
      <c r="Q47">
        <f t="shared" ca="1" si="11"/>
        <v>4.8118213999999999E-2</v>
      </c>
      <c r="R47">
        <f t="shared" ca="1" si="11"/>
        <v>0.187</v>
      </c>
      <c r="S47">
        <f t="shared" ca="1" si="2"/>
        <v>37</v>
      </c>
      <c r="T47">
        <f t="shared" ca="1" si="3"/>
        <v>4.8118213999999999E-2</v>
      </c>
      <c r="U47" t="e">
        <f ca="1">IF(AND($C47='Funnel setup'!$K$3&amp;'Funnel setup'!$K$5&amp;'Funnel setup'!$K$6&amp;'Funnel setup'!$K$4,'Funnel Lookup'!I47="*"),#N/A,IF(AND($C47='Funnel setup'!$K$3&amp;'Funnel setup'!$K$5&amp;'Funnel setup'!$K$6&amp;'Funnel setup'!$K$4,'Funnel Lookup'!I47&gt;29),'Funnel Lookup'!I47,#N/A))</f>
        <v>#N/A</v>
      </c>
      <c r="V47" t="e">
        <f ca="1">IF(AND($C47='Funnel setup'!$K$3&amp;'Funnel setup'!$K$5&amp;'Funnel setup'!$K$6&amp;'Funnel setup'!$K$4,'Funnel Lookup'!I47="*"),#N/A,IF(AND($C47='Funnel setup'!$K$3&amp;'Funnel setup'!$K$5&amp;'Funnel setup'!$K$6&amp;'Funnel setup'!$K$4,'Funnel Lookup'!I47&gt;29),'Funnel Lookup'!Q47,#N/A))</f>
        <v>#N/A</v>
      </c>
    </row>
    <row r="48" spans="1:22" x14ac:dyDescent="0.2">
      <c r="A48">
        <v>46</v>
      </c>
      <c r="B48">
        <f t="shared" ca="1" si="10"/>
        <v>46</v>
      </c>
      <c r="C48" t="str">
        <f t="shared" ca="1" si="10"/>
        <v>Groin HerniaProviderBMI - THE WINTERBOURNE HOSPITAL (NT443)EQ-5D Index</v>
      </c>
      <c r="D48" t="str">
        <f t="shared" ca="1" si="10"/>
        <v>Groin Hernia</v>
      </c>
      <c r="E48" t="str">
        <f t="shared" ca="1" si="10"/>
        <v>Provider</v>
      </c>
      <c r="F48" t="str">
        <f t="shared" ca="1" si="10"/>
        <v>NT443</v>
      </c>
      <c r="G48" t="str">
        <f t="shared" ca="1" si="10"/>
        <v>BMI - THE WINTERBOURNE HOSPITAL (NT443)</v>
      </c>
      <c r="H48" t="str">
        <f t="shared" ca="1" si="10"/>
        <v>EQ-5D Index</v>
      </c>
      <c r="I48">
        <f t="shared" ca="1" si="10"/>
        <v>35</v>
      </c>
      <c r="J48">
        <f t="shared" ca="1" si="10"/>
        <v>0.85299999999999998</v>
      </c>
      <c r="K48">
        <f t="shared" ca="1" si="10"/>
        <v>0.91</v>
      </c>
      <c r="L48">
        <f t="shared" ca="1" si="11"/>
        <v>5.7000000000000002E-2</v>
      </c>
      <c r="M48">
        <f t="shared" ca="1" si="11"/>
        <v>16</v>
      </c>
      <c r="N48">
        <f t="shared" ca="1" si="11"/>
        <v>10</v>
      </c>
      <c r="O48">
        <f t="shared" ca="1" si="11"/>
        <v>9</v>
      </c>
      <c r="P48">
        <f t="shared" ca="1" si="11"/>
        <v>0.89400000000000002</v>
      </c>
      <c r="Q48">
        <f t="shared" ca="1" si="11"/>
        <v>0.100175574</v>
      </c>
      <c r="R48">
        <f t="shared" ca="1" si="11"/>
        <v>0.14099999999999999</v>
      </c>
      <c r="S48">
        <f t="shared" ca="1" si="2"/>
        <v>35</v>
      </c>
      <c r="T48">
        <f t="shared" ca="1" si="3"/>
        <v>0.100175574</v>
      </c>
      <c r="U48" t="e">
        <f ca="1">IF(AND($C48='Funnel setup'!$K$3&amp;'Funnel setup'!$K$5&amp;'Funnel setup'!$K$6&amp;'Funnel setup'!$K$4,'Funnel Lookup'!I48="*"),#N/A,IF(AND($C48='Funnel setup'!$K$3&amp;'Funnel setup'!$K$5&amp;'Funnel setup'!$K$6&amp;'Funnel setup'!$K$4,'Funnel Lookup'!I48&gt;29),'Funnel Lookup'!I48,#N/A))</f>
        <v>#N/A</v>
      </c>
      <c r="V48" t="e">
        <f ca="1">IF(AND($C48='Funnel setup'!$K$3&amp;'Funnel setup'!$K$5&amp;'Funnel setup'!$K$6&amp;'Funnel setup'!$K$4,'Funnel Lookup'!I48="*"),#N/A,IF(AND($C48='Funnel setup'!$K$3&amp;'Funnel setup'!$K$5&amp;'Funnel setup'!$K$6&amp;'Funnel setup'!$K$4,'Funnel Lookup'!I48&gt;29),'Funnel Lookup'!Q48,#N/A))</f>
        <v>#N/A</v>
      </c>
    </row>
    <row r="49" spans="1:22" x14ac:dyDescent="0.2">
      <c r="A49">
        <v>47</v>
      </c>
      <c r="B49">
        <f t="shared" ca="1" si="10"/>
        <v>47</v>
      </c>
      <c r="C49" t="str">
        <f t="shared" ca="1" si="10"/>
        <v>Groin HerniaProviderBMI - THORNBURY HOSPITAL (NT440)EQ-5D Index</v>
      </c>
      <c r="D49" t="str">
        <f t="shared" ca="1" si="10"/>
        <v>Groin Hernia</v>
      </c>
      <c r="E49" t="str">
        <f t="shared" ca="1" si="10"/>
        <v>Provider</v>
      </c>
      <c r="F49" t="str">
        <f t="shared" ca="1" si="10"/>
        <v>NT440</v>
      </c>
      <c r="G49" t="str">
        <f t="shared" ca="1" si="10"/>
        <v>BMI - THORNBURY HOSPITAL (NT440)</v>
      </c>
      <c r="H49" t="str">
        <f t="shared" ca="1" si="10"/>
        <v>EQ-5D Index</v>
      </c>
      <c r="I49">
        <f t="shared" ca="1" si="10"/>
        <v>14</v>
      </c>
      <c r="J49">
        <f t="shared" ca="1" si="10"/>
        <v>0.91900000000000004</v>
      </c>
      <c r="K49">
        <f t="shared" ca="1" si="10"/>
        <v>1</v>
      </c>
      <c r="L49">
        <f t="shared" ca="1" si="11"/>
        <v>8.1000000000000003E-2</v>
      </c>
      <c r="M49">
        <f t="shared" ca="1" si="11"/>
        <v>6</v>
      </c>
      <c r="N49">
        <f t="shared" ca="1" si="11"/>
        <v>8</v>
      </c>
      <c r="O49">
        <f t="shared" ca="1" si="11"/>
        <v>0</v>
      </c>
      <c r="P49" t="str">
        <f t="shared" ca="1" si="11"/>
        <v>*</v>
      </c>
      <c r="Q49" t="str">
        <f t="shared" ca="1" si="11"/>
        <v>*</v>
      </c>
      <c r="R49" t="str">
        <f t="shared" ca="1" si="11"/>
        <v>*</v>
      </c>
      <c r="S49" t="e">
        <f t="shared" ca="1" si="2"/>
        <v>#N/A</v>
      </c>
      <c r="T49" t="e">
        <f t="shared" ca="1" si="3"/>
        <v>#N/A</v>
      </c>
      <c r="U49" t="e">
        <f ca="1">IF(AND($C49='Funnel setup'!$K$3&amp;'Funnel setup'!$K$5&amp;'Funnel setup'!$K$6&amp;'Funnel setup'!$K$4,'Funnel Lookup'!I49="*"),#N/A,IF(AND($C49='Funnel setup'!$K$3&amp;'Funnel setup'!$K$5&amp;'Funnel setup'!$K$6&amp;'Funnel setup'!$K$4,'Funnel Lookup'!I49&gt;29),'Funnel Lookup'!I49,#N/A))</f>
        <v>#N/A</v>
      </c>
      <c r="V49" t="e">
        <f ca="1">IF(AND($C49='Funnel setup'!$K$3&amp;'Funnel setup'!$K$5&amp;'Funnel setup'!$K$6&amp;'Funnel setup'!$K$4,'Funnel Lookup'!I49="*"),#N/A,IF(AND($C49='Funnel setup'!$K$3&amp;'Funnel setup'!$K$5&amp;'Funnel setup'!$K$6&amp;'Funnel setup'!$K$4,'Funnel Lookup'!I49&gt;29),'Funnel Lookup'!Q49,#N/A))</f>
        <v>#N/A</v>
      </c>
    </row>
    <row r="50" spans="1:22" x14ac:dyDescent="0.2">
      <c r="A50">
        <v>48</v>
      </c>
      <c r="B50">
        <f t="shared" ca="1" si="10"/>
        <v>48</v>
      </c>
      <c r="C50" t="str">
        <f t="shared" ca="1" si="10"/>
        <v>Groin HerniaProviderBMI - THREE SHIRES HOSPITAL (NT441)EQ-5D Index</v>
      </c>
      <c r="D50" t="str">
        <f t="shared" ca="1" si="10"/>
        <v>Groin Hernia</v>
      </c>
      <c r="E50" t="str">
        <f t="shared" ca="1" si="10"/>
        <v>Provider</v>
      </c>
      <c r="F50" t="str">
        <f t="shared" ca="1" si="10"/>
        <v>NT441</v>
      </c>
      <c r="G50" t="str">
        <f t="shared" ca="1" si="10"/>
        <v>BMI - THREE SHIRES HOSPITAL (NT441)</v>
      </c>
      <c r="H50" t="str">
        <f t="shared" ca="1" si="10"/>
        <v>EQ-5D Index</v>
      </c>
      <c r="I50">
        <f t="shared" ca="1" si="10"/>
        <v>23</v>
      </c>
      <c r="J50">
        <f t="shared" ca="1" si="10"/>
        <v>0.85399999999999998</v>
      </c>
      <c r="K50">
        <f t="shared" ca="1" si="10"/>
        <v>0.94599999999999995</v>
      </c>
      <c r="L50">
        <f t="shared" ca="1" si="11"/>
        <v>9.1999999999999998E-2</v>
      </c>
      <c r="M50">
        <f t="shared" ca="1" si="11"/>
        <v>12</v>
      </c>
      <c r="N50">
        <f t="shared" ca="1" si="11"/>
        <v>10</v>
      </c>
      <c r="O50">
        <f t="shared" ca="1" si="11"/>
        <v>1</v>
      </c>
      <c r="P50" t="str">
        <f t="shared" ca="1" si="11"/>
        <v>*</v>
      </c>
      <c r="Q50" t="str">
        <f t="shared" ca="1" si="11"/>
        <v>*</v>
      </c>
      <c r="R50" t="str">
        <f t="shared" ca="1" si="11"/>
        <v>*</v>
      </c>
      <c r="S50" t="e">
        <f t="shared" ca="1" si="2"/>
        <v>#N/A</v>
      </c>
      <c r="T50" t="e">
        <f t="shared" ca="1" si="3"/>
        <v>#N/A</v>
      </c>
      <c r="U50" t="e">
        <f ca="1">IF(AND($C50='Funnel setup'!$K$3&amp;'Funnel setup'!$K$5&amp;'Funnel setup'!$K$6&amp;'Funnel setup'!$K$4,'Funnel Lookup'!I50="*"),#N/A,IF(AND($C50='Funnel setup'!$K$3&amp;'Funnel setup'!$K$5&amp;'Funnel setup'!$K$6&amp;'Funnel setup'!$K$4,'Funnel Lookup'!I50&gt;29),'Funnel Lookup'!I50,#N/A))</f>
        <v>#N/A</v>
      </c>
      <c r="V50" t="e">
        <f ca="1">IF(AND($C50='Funnel setup'!$K$3&amp;'Funnel setup'!$K$5&amp;'Funnel setup'!$K$6&amp;'Funnel setup'!$K$4,'Funnel Lookup'!I50="*"),#N/A,IF(AND($C50='Funnel setup'!$K$3&amp;'Funnel setup'!$K$5&amp;'Funnel setup'!$K$6&amp;'Funnel setup'!$K$4,'Funnel Lookup'!I50&gt;29),'Funnel Lookup'!Q50,#N/A))</f>
        <v>#N/A</v>
      </c>
    </row>
    <row r="51" spans="1:22" x14ac:dyDescent="0.2">
      <c r="A51">
        <v>49</v>
      </c>
      <c r="B51">
        <f t="shared" ca="1" si="10"/>
        <v>49</v>
      </c>
      <c r="C51" t="str">
        <f t="shared" ca="1" si="10"/>
        <v>Groin HerniaProviderBMI GISBURNE PARK HOSPITAL (NT497)EQ-5D Index</v>
      </c>
      <c r="D51" t="str">
        <f t="shared" ca="1" si="10"/>
        <v>Groin Hernia</v>
      </c>
      <c r="E51" t="str">
        <f t="shared" ca="1" si="10"/>
        <v>Provider</v>
      </c>
      <c r="F51" t="str">
        <f t="shared" ca="1" si="10"/>
        <v>NT497</v>
      </c>
      <c r="G51" t="str">
        <f t="shared" ca="1" si="10"/>
        <v>BMI GISBURNE PARK HOSPITAL (NT497)</v>
      </c>
      <c r="H51" t="str">
        <f t="shared" ca="1" si="10"/>
        <v>EQ-5D Index</v>
      </c>
      <c r="I51">
        <f t="shared" ca="1" si="10"/>
        <v>39</v>
      </c>
      <c r="J51">
        <f t="shared" ca="1" si="10"/>
        <v>0.82799999999999996</v>
      </c>
      <c r="K51">
        <f t="shared" ca="1" si="10"/>
        <v>0.95699999999999996</v>
      </c>
      <c r="L51">
        <f t="shared" ca="1" si="11"/>
        <v>0.129</v>
      </c>
      <c r="M51">
        <f t="shared" ca="1" si="11"/>
        <v>20</v>
      </c>
      <c r="N51">
        <f t="shared" ca="1" si="11"/>
        <v>17</v>
      </c>
      <c r="O51">
        <f t="shared" ca="1" si="11"/>
        <v>2</v>
      </c>
      <c r="P51">
        <f t="shared" ca="1" si="11"/>
        <v>0.93500000000000005</v>
      </c>
      <c r="Q51">
        <f t="shared" ca="1" si="11"/>
        <v>0.141161756</v>
      </c>
      <c r="R51">
        <f t="shared" ca="1" si="11"/>
        <v>9.8000000000000004E-2</v>
      </c>
      <c r="S51">
        <f t="shared" ca="1" si="2"/>
        <v>39</v>
      </c>
      <c r="T51">
        <f t="shared" ca="1" si="3"/>
        <v>0.141161756</v>
      </c>
      <c r="U51" t="e">
        <f ca="1">IF(AND($C51='Funnel setup'!$K$3&amp;'Funnel setup'!$K$5&amp;'Funnel setup'!$K$6&amp;'Funnel setup'!$K$4,'Funnel Lookup'!I51="*"),#N/A,IF(AND($C51='Funnel setup'!$K$3&amp;'Funnel setup'!$K$5&amp;'Funnel setup'!$K$6&amp;'Funnel setup'!$K$4,'Funnel Lookup'!I51&gt;29),'Funnel Lookup'!I51,#N/A))</f>
        <v>#N/A</v>
      </c>
      <c r="V51" t="e">
        <f ca="1">IF(AND($C51='Funnel setup'!$K$3&amp;'Funnel setup'!$K$5&amp;'Funnel setup'!$K$6&amp;'Funnel setup'!$K$4,'Funnel Lookup'!I51="*"),#N/A,IF(AND($C51='Funnel setup'!$K$3&amp;'Funnel setup'!$K$5&amp;'Funnel setup'!$K$6&amp;'Funnel setup'!$K$4,'Funnel Lookup'!I51&gt;29),'Funnel Lookup'!Q51,#N/A))</f>
        <v>#N/A</v>
      </c>
    </row>
    <row r="52" spans="1:22" x14ac:dyDescent="0.2">
      <c r="A52">
        <v>50</v>
      </c>
      <c r="B52">
        <f t="shared" ca="1" si="10"/>
        <v>50</v>
      </c>
      <c r="C52" t="str">
        <f t="shared" ca="1" si="10"/>
        <v>Groin HerniaProviderBMI MOUNT ALVERNIA HOSPITAL (NT455)EQ-5D Index</v>
      </c>
      <c r="D52" t="str">
        <f t="shared" ca="1" si="10"/>
        <v>Groin Hernia</v>
      </c>
      <c r="E52" t="str">
        <f t="shared" ca="1" si="10"/>
        <v>Provider</v>
      </c>
      <c r="F52" t="str">
        <f t="shared" ca="1" si="10"/>
        <v>NT455</v>
      </c>
      <c r="G52" t="str">
        <f t="shared" ca="1" si="10"/>
        <v>BMI MOUNT ALVERNIA HOSPITAL (NT455)</v>
      </c>
      <c r="H52" t="str">
        <f t="shared" ca="1" si="10"/>
        <v>EQ-5D Index</v>
      </c>
      <c r="I52">
        <f t="shared" ca="1" si="10"/>
        <v>11</v>
      </c>
      <c r="J52">
        <f t="shared" ca="1" si="10"/>
        <v>0.86599999999999999</v>
      </c>
      <c r="K52">
        <f t="shared" ca="1" si="10"/>
        <v>0.97399999999999998</v>
      </c>
      <c r="L52">
        <f t="shared" ca="1" si="11"/>
        <v>0.107</v>
      </c>
      <c r="M52">
        <f t="shared" ca="1" si="11"/>
        <v>5</v>
      </c>
      <c r="N52">
        <f t="shared" ca="1" si="11"/>
        <v>5</v>
      </c>
      <c r="O52">
        <f t="shared" ca="1" si="11"/>
        <v>1</v>
      </c>
      <c r="P52" t="str">
        <f t="shared" ca="1" si="11"/>
        <v>*</v>
      </c>
      <c r="Q52" t="str">
        <f t="shared" ca="1" si="11"/>
        <v>*</v>
      </c>
      <c r="R52" t="str">
        <f t="shared" ca="1" si="11"/>
        <v>*</v>
      </c>
      <c r="S52" t="e">
        <f t="shared" ca="1" si="2"/>
        <v>#N/A</v>
      </c>
      <c r="T52" t="e">
        <f t="shared" ca="1" si="3"/>
        <v>#N/A</v>
      </c>
      <c r="U52" t="e">
        <f ca="1">IF(AND($C52='Funnel setup'!$K$3&amp;'Funnel setup'!$K$5&amp;'Funnel setup'!$K$6&amp;'Funnel setup'!$K$4,'Funnel Lookup'!I52="*"),#N/A,IF(AND($C52='Funnel setup'!$K$3&amp;'Funnel setup'!$K$5&amp;'Funnel setup'!$K$6&amp;'Funnel setup'!$K$4,'Funnel Lookup'!I52&gt;29),'Funnel Lookup'!I52,#N/A))</f>
        <v>#N/A</v>
      </c>
      <c r="V52" t="e">
        <f ca="1">IF(AND($C52='Funnel setup'!$K$3&amp;'Funnel setup'!$K$5&amp;'Funnel setup'!$K$6&amp;'Funnel setup'!$K$4,'Funnel Lookup'!I52="*"),#N/A,IF(AND($C52='Funnel setup'!$K$3&amp;'Funnel setup'!$K$5&amp;'Funnel setup'!$K$6&amp;'Funnel setup'!$K$4,'Funnel Lookup'!I52&gt;29),'Funnel Lookup'!Q52,#N/A))</f>
        <v>#N/A</v>
      </c>
    </row>
    <row r="53" spans="1:22" x14ac:dyDescent="0.2">
      <c r="A53">
        <v>51</v>
      </c>
      <c r="B53">
        <f t="shared" ref="B53:K62" ca="1" si="12">VLOOKUP($A53,Funnel_Data,B$1,FALSE)</f>
        <v>51</v>
      </c>
      <c r="C53" t="str">
        <f t="shared" ca="1" si="12"/>
        <v>Groin HerniaProviderBMI ST EDMUNDS HOSPITAL (NT446)EQ-5D Index</v>
      </c>
      <c r="D53" t="str">
        <f t="shared" ca="1" si="12"/>
        <v>Groin Hernia</v>
      </c>
      <c r="E53" t="str">
        <f t="shared" ca="1" si="12"/>
        <v>Provider</v>
      </c>
      <c r="F53" t="str">
        <f t="shared" ca="1" si="12"/>
        <v>NT446</v>
      </c>
      <c r="G53" t="str">
        <f t="shared" ca="1" si="12"/>
        <v>BMI ST EDMUNDS HOSPITAL (NT446)</v>
      </c>
      <c r="H53" t="str">
        <f t="shared" ca="1" si="12"/>
        <v>EQ-5D Index</v>
      </c>
      <c r="I53">
        <f t="shared" ca="1" si="12"/>
        <v>9</v>
      </c>
      <c r="J53">
        <f t="shared" ca="1" si="12"/>
        <v>0.71799999999999997</v>
      </c>
      <c r="K53">
        <f t="shared" ca="1" si="12"/>
        <v>0.79600000000000004</v>
      </c>
      <c r="L53">
        <f t="shared" ref="L53:R62" ca="1" si="13">VLOOKUP($A53,Funnel_Data,L$1,FALSE)</f>
        <v>7.8E-2</v>
      </c>
      <c r="M53">
        <f t="shared" ca="1" si="13"/>
        <v>5</v>
      </c>
      <c r="N53">
        <f t="shared" ca="1" si="13"/>
        <v>1</v>
      </c>
      <c r="O53">
        <f t="shared" ca="1" si="13"/>
        <v>3</v>
      </c>
      <c r="P53" t="str">
        <f t="shared" ca="1" si="13"/>
        <v>*</v>
      </c>
      <c r="Q53" t="str">
        <f t="shared" ca="1" si="13"/>
        <v>*</v>
      </c>
      <c r="R53" t="str">
        <f t="shared" ca="1" si="13"/>
        <v>*</v>
      </c>
      <c r="S53" t="e">
        <f t="shared" ca="1" si="2"/>
        <v>#N/A</v>
      </c>
      <c r="T53" t="e">
        <f t="shared" ca="1" si="3"/>
        <v>#N/A</v>
      </c>
      <c r="U53" t="e">
        <f ca="1">IF(AND($C53='Funnel setup'!$K$3&amp;'Funnel setup'!$K$5&amp;'Funnel setup'!$K$6&amp;'Funnel setup'!$K$4,'Funnel Lookup'!I53="*"),#N/A,IF(AND($C53='Funnel setup'!$K$3&amp;'Funnel setup'!$K$5&amp;'Funnel setup'!$K$6&amp;'Funnel setup'!$K$4,'Funnel Lookup'!I53&gt;29),'Funnel Lookup'!I53,#N/A))</f>
        <v>#N/A</v>
      </c>
      <c r="V53" t="e">
        <f ca="1">IF(AND($C53='Funnel setup'!$K$3&amp;'Funnel setup'!$K$5&amp;'Funnel setup'!$K$6&amp;'Funnel setup'!$K$4,'Funnel Lookup'!I53="*"),#N/A,IF(AND($C53='Funnel setup'!$K$3&amp;'Funnel setup'!$K$5&amp;'Funnel setup'!$K$6&amp;'Funnel setup'!$K$4,'Funnel Lookup'!I53&gt;29),'Funnel Lookup'!Q53,#N/A))</f>
        <v>#N/A</v>
      </c>
    </row>
    <row r="54" spans="1:22" x14ac:dyDescent="0.2">
      <c r="A54">
        <v>52</v>
      </c>
      <c r="B54">
        <f t="shared" ca="1" si="12"/>
        <v>52</v>
      </c>
      <c r="C54" t="str">
        <f t="shared" ca="1" si="12"/>
        <v>Groin HerniaProviderBMI THE CAVELL HOSPITAL (NT451)EQ-5D Index</v>
      </c>
      <c r="D54" t="str">
        <f t="shared" ca="1" si="12"/>
        <v>Groin Hernia</v>
      </c>
      <c r="E54" t="str">
        <f t="shared" ca="1" si="12"/>
        <v>Provider</v>
      </c>
      <c r="F54" t="str">
        <f t="shared" ca="1" si="12"/>
        <v>NT451</v>
      </c>
      <c r="G54" t="str">
        <f t="shared" ca="1" si="12"/>
        <v>BMI THE CAVELL HOSPITAL (NT451)</v>
      </c>
      <c r="H54" t="str">
        <f t="shared" ca="1" si="12"/>
        <v>EQ-5D Index</v>
      </c>
      <c r="I54">
        <f t="shared" ca="1" si="12"/>
        <v>7</v>
      </c>
      <c r="J54">
        <f t="shared" ca="1" si="12"/>
        <v>0.82299999999999995</v>
      </c>
      <c r="K54">
        <f t="shared" ca="1" si="12"/>
        <v>0.92</v>
      </c>
      <c r="L54">
        <f t="shared" ca="1" si="13"/>
        <v>9.7000000000000003E-2</v>
      </c>
      <c r="M54">
        <f t="shared" ca="1" si="13"/>
        <v>4</v>
      </c>
      <c r="N54">
        <f t="shared" ca="1" si="13"/>
        <v>3</v>
      </c>
      <c r="O54">
        <f t="shared" ca="1" si="13"/>
        <v>0</v>
      </c>
      <c r="P54" t="str">
        <f t="shared" ca="1" si="13"/>
        <v>*</v>
      </c>
      <c r="Q54" t="str">
        <f t="shared" ca="1" si="13"/>
        <v>*</v>
      </c>
      <c r="R54" t="str">
        <f t="shared" ca="1" si="13"/>
        <v>*</v>
      </c>
      <c r="S54" t="e">
        <f t="shared" ca="1" si="2"/>
        <v>#N/A</v>
      </c>
      <c r="T54" t="e">
        <f t="shared" ca="1" si="3"/>
        <v>#N/A</v>
      </c>
      <c r="U54" t="e">
        <f ca="1">IF(AND($C54='Funnel setup'!$K$3&amp;'Funnel setup'!$K$5&amp;'Funnel setup'!$K$6&amp;'Funnel setup'!$K$4,'Funnel Lookup'!I54="*"),#N/A,IF(AND($C54='Funnel setup'!$K$3&amp;'Funnel setup'!$K$5&amp;'Funnel setup'!$K$6&amp;'Funnel setup'!$K$4,'Funnel Lookup'!I54&gt;29),'Funnel Lookup'!I54,#N/A))</f>
        <v>#N/A</v>
      </c>
      <c r="V54" t="e">
        <f ca="1">IF(AND($C54='Funnel setup'!$K$3&amp;'Funnel setup'!$K$5&amp;'Funnel setup'!$K$6&amp;'Funnel setup'!$K$4,'Funnel Lookup'!I54="*"),#N/A,IF(AND($C54='Funnel setup'!$K$3&amp;'Funnel setup'!$K$5&amp;'Funnel setup'!$K$6&amp;'Funnel setup'!$K$4,'Funnel Lookup'!I54&gt;29),'Funnel Lookup'!Q54,#N/A))</f>
        <v>#N/A</v>
      </c>
    </row>
    <row r="55" spans="1:22" x14ac:dyDescent="0.2">
      <c r="A55">
        <v>53</v>
      </c>
      <c r="B55">
        <f t="shared" ca="1" si="12"/>
        <v>53</v>
      </c>
      <c r="C55" t="str">
        <f t="shared" ca="1" si="12"/>
        <v>Groin HerniaProviderBMI THE DUCHY HOSPITAL (NT447)EQ-5D Index</v>
      </c>
      <c r="D55" t="str">
        <f t="shared" ca="1" si="12"/>
        <v>Groin Hernia</v>
      </c>
      <c r="E55" t="str">
        <f t="shared" ca="1" si="12"/>
        <v>Provider</v>
      </c>
      <c r="F55" t="str">
        <f t="shared" ca="1" si="12"/>
        <v>NT447</v>
      </c>
      <c r="G55" t="str">
        <f t="shared" ca="1" si="12"/>
        <v>BMI THE DUCHY HOSPITAL (NT447)</v>
      </c>
      <c r="H55" t="str">
        <f t="shared" ca="1" si="12"/>
        <v>EQ-5D Index</v>
      </c>
      <c r="I55">
        <f t="shared" ca="1" si="12"/>
        <v>23</v>
      </c>
      <c r="J55">
        <f t="shared" ca="1" si="12"/>
        <v>0.81399999999999995</v>
      </c>
      <c r="K55">
        <f t="shared" ca="1" si="12"/>
        <v>0.93899999999999995</v>
      </c>
      <c r="L55">
        <f t="shared" ca="1" si="13"/>
        <v>0.125</v>
      </c>
      <c r="M55">
        <f t="shared" ca="1" si="13"/>
        <v>14</v>
      </c>
      <c r="N55">
        <f t="shared" ca="1" si="13"/>
        <v>5</v>
      </c>
      <c r="O55">
        <f t="shared" ca="1" si="13"/>
        <v>4</v>
      </c>
      <c r="P55" t="str">
        <f t="shared" ca="1" si="13"/>
        <v>*</v>
      </c>
      <c r="Q55" t="str">
        <f t="shared" ca="1" si="13"/>
        <v>*</v>
      </c>
      <c r="R55" t="str">
        <f t="shared" ca="1" si="13"/>
        <v>*</v>
      </c>
      <c r="S55" t="e">
        <f t="shared" ca="1" si="2"/>
        <v>#N/A</v>
      </c>
      <c r="T55" t="e">
        <f t="shared" ca="1" si="3"/>
        <v>#N/A</v>
      </c>
      <c r="U55" t="e">
        <f ca="1">IF(AND($C55='Funnel setup'!$K$3&amp;'Funnel setup'!$K$5&amp;'Funnel setup'!$K$6&amp;'Funnel setup'!$K$4,'Funnel Lookup'!I55="*"),#N/A,IF(AND($C55='Funnel setup'!$K$3&amp;'Funnel setup'!$K$5&amp;'Funnel setup'!$K$6&amp;'Funnel setup'!$K$4,'Funnel Lookup'!I55&gt;29),'Funnel Lookup'!I55,#N/A))</f>
        <v>#N/A</v>
      </c>
      <c r="V55" t="e">
        <f ca="1">IF(AND($C55='Funnel setup'!$K$3&amp;'Funnel setup'!$K$5&amp;'Funnel setup'!$K$6&amp;'Funnel setup'!$K$4,'Funnel Lookup'!I55="*"),#N/A,IF(AND($C55='Funnel setup'!$K$3&amp;'Funnel setup'!$K$5&amp;'Funnel setup'!$K$6&amp;'Funnel setup'!$K$4,'Funnel Lookup'!I55&gt;29),'Funnel Lookup'!Q55,#N/A))</f>
        <v>#N/A</v>
      </c>
    </row>
    <row r="56" spans="1:22" x14ac:dyDescent="0.2">
      <c r="A56">
        <v>54</v>
      </c>
      <c r="B56">
        <f t="shared" ca="1" si="12"/>
        <v>54</v>
      </c>
      <c r="C56" t="str">
        <f t="shared" ca="1" si="12"/>
        <v>Groin HerniaProviderBMI THE EDGBASTON HOSPITAL (NT445)EQ-5D Index</v>
      </c>
      <c r="D56" t="str">
        <f t="shared" ca="1" si="12"/>
        <v>Groin Hernia</v>
      </c>
      <c r="E56" t="str">
        <f t="shared" ca="1" si="12"/>
        <v>Provider</v>
      </c>
      <c r="F56" t="str">
        <f t="shared" ca="1" si="12"/>
        <v>NT445</v>
      </c>
      <c r="G56" t="str">
        <f t="shared" ca="1" si="12"/>
        <v>BMI THE EDGBASTON HOSPITAL (NT445)</v>
      </c>
      <c r="H56" t="str">
        <f t="shared" ca="1" si="12"/>
        <v>EQ-5D Index</v>
      </c>
      <c r="I56">
        <f t="shared" ca="1" si="12"/>
        <v>23</v>
      </c>
      <c r="J56">
        <f t="shared" ca="1" si="12"/>
        <v>0.84099999999999997</v>
      </c>
      <c r="K56">
        <f t="shared" ca="1" si="12"/>
        <v>0.91100000000000003</v>
      </c>
      <c r="L56">
        <f t="shared" ca="1" si="13"/>
        <v>6.9000000000000006E-2</v>
      </c>
      <c r="M56">
        <f t="shared" ca="1" si="13"/>
        <v>13</v>
      </c>
      <c r="N56">
        <f t="shared" ca="1" si="13"/>
        <v>7</v>
      </c>
      <c r="O56">
        <f t="shared" ca="1" si="13"/>
        <v>3</v>
      </c>
      <c r="P56" t="str">
        <f t="shared" ca="1" si="13"/>
        <v>*</v>
      </c>
      <c r="Q56" t="str">
        <f t="shared" ca="1" si="13"/>
        <v>*</v>
      </c>
      <c r="R56" t="str">
        <f t="shared" ca="1" si="13"/>
        <v>*</v>
      </c>
      <c r="S56" t="e">
        <f t="shared" ca="1" si="2"/>
        <v>#N/A</v>
      </c>
      <c r="T56" t="e">
        <f t="shared" ca="1" si="3"/>
        <v>#N/A</v>
      </c>
      <c r="U56" t="e">
        <f ca="1">IF(AND($C56='Funnel setup'!$K$3&amp;'Funnel setup'!$K$5&amp;'Funnel setup'!$K$6&amp;'Funnel setup'!$K$4,'Funnel Lookup'!I56="*"),#N/A,IF(AND($C56='Funnel setup'!$K$3&amp;'Funnel setup'!$K$5&amp;'Funnel setup'!$K$6&amp;'Funnel setup'!$K$4,'Funnel Lookup'!I56&gt;29),'Funnel Lookup'!I56,#N/A))</f>
        <v>#N/A</v>
      </c>
      <c r="V56" t="e">
        <f ca="1">IF(AND($C56='Funnel setup'!$K$3&amp;'Funnel setup'!$K$5&amp;'Funnel setup'!$K$6&amp;'Funnel setup'!$K$4,'Funnel Lookup'!I56="*"),#N/A,IF(AND($C56='Funnel setup'!$K$3&amp;'Funnel setup'!$K$5&amp;'Funnel setup'!$K$6&amp;'Funnel setup'!$K$4,'Funnel Lookup'!I56&gt;29),'Funnel Lookup'!Q56,#N/A))</f>
        <v>#N/A</v>
      </c>
    </row>
    <row r="57" spans="1:22" x14ac:dyDescent="0.2">
      <c r="A57">
        <v>55</v>
      </c>
      <c r="B57">
        <f t="shared" ca="1" si="12"/>
        <v>55</v>
      </c>
      <c r="C57" t="str">
        <f t="shared" ca="1" si="12"/>
        <v>Groin HerniaProviderBMI THE HUDDERSFIELD HOSPITAL (NT448)EQ-5D Index</v>
      </c>
      <c r="D57" t="str">
        <f t="shared" ca="1" si="12"/>
        <v>Groin Hernia</v>
      </c>
      <c r="E57" t="str">
        <f t="shared" ca="1" si="12"/>
        <v>Provider</v>
      </c>
      <c r="F57" t="str">
        <f t="shared" ca="1" si="12"/>
        <v>NT448</v>
      </c>
      <c r="G57" t="str">
        <f t="shared" ca="1" si="12"/>
        <v>BMI THE HUDDERSFIELD HOSPITAL (NT448)</v>
      </c>
      <c r="H57" t="str">
        <f t="shared" ca="1" si="12"/>
        <v>EQ-5D Index</v>
      </c>
      <c r="I57">
        <f t="shared" ca="1" si="12"/>
        <v>76</v>
      </c>
      <c r="J57">
        <f t="shared" ca="1" si="12"/>
        <v>0.83099999999999996</v>
      </c>
      <c r="K57">
        <f t="shared" ca="1" si="12"/>
        <v>0.93100000000000005</v>
      </c>
      <c r="L57">
        <f t="shared" ca="1" si="13"/>
        <v>0.1</v>
      </c>
      <c r="M57">
        <f t="shared" ca="1" si="13"/>
        <v>40</v>
      </c>
      <c r="N57">
        <f t="shared" ca="1" si="13"/>
        <v>26</v>
      </c>
      <c r="O57">
        <f t="shared" ca="1" si="13"/>
        <v>10</v>
      </c>
      <c r="P57">
        <f t="shared" ca="1" si="13"/>
        <v>0.89700000000000002</v>
      </c>
      <c r="Q57">
        <f t="shared" ca="1" si="13"/>
        <v>0.104014623</v>
      </c>
      <c r="R57">
        <f t="shared" ca="1" si="13"/>
        <v>0.105</v>
      </c>
      <c r="S57">
        <f t="shared" ca="1" si="2"/>
        <v>76</v>
      </c>
      <c r="T57">
        <f t="shared" ca="1" si="3"/>
        <v>0.104014623</v>
      </c>
      <c r="U57" t="e">
        <f ca="1">IF(AND($C57='Funnel setup'!$K$3&amp;'Funnel setup'!$K$5&amp;'Funnel setup'!$K$6&amp;'Funnel setup'!$K$4,'Funnel Lookup'!I57="*"),#N/A,IF(AND($C57='Funnel setup'!$K$3&amp;'Funnel setup'!$K$5&amp;'Funnel setup'!$K$6&amp;'Funnel setup'!$K$4,'Funnel Lookup'!I57&gt;29),'Funnel Lookup'!I57,#N/A))</f>
        <v>#N/A</v>
      </c>
      <c r="V57" t="e">
        <f ca="1">IF(AND($C57='Funnel setup'!$K$3&amp;'Funnel setup'!$K$5&amp;'Funnel setup'!$K$6&amp;'Funnel setup'!$K$4,'Funnel Lookup'!I57="*"),#N/A,IF(AND($C57='Funnel setup'!$K$3&amp;'Funnel setup'!$K$5&amp;'Funnel setup'!$K$6&amp;'Funnel setup'!$K$4,'Funnel Lookup'!I57&gt;29),'Funnel Lookup'!Q57,#N/A))</f>
        <v>#N/A</v>
      </c>
    </row>
    <row r="58" spans="1:22" x14ac:dyDescent="0.2">
      <c r="A58">
        <v>56</v>
      </c>
      <c r="B58">
        <f t="shared" ca="1" si="12"/>
        <v>56</v>
      </c>
      <c r="C58" t="str">
        <f t="shared" ca="1" si="12"/>
        <v>Groin HerniaProviderBMI THE LANCASTER HOSPITAL (NT449)EQ-5D Index</v>
      </c>
      <c r="D58" t="str">
        <f t="shared" ca="1" si="12"/>
        <v>Groin Hernia</v>
      </c>
      <c r="E58" t="str">
        <f t="shared" ca="1" si="12"/>
        <v>Provider</v>
      </c>
      <c r="F58" t="str">
        <f t="shared" ca="1" si="12"/>
        <v>NT449</v>
      </c>
      <c r="G58" t="str">
        <f t="shared" ca="1" si="12"/>
        <v>BMI THE LANCASTER HOSPITAL (NT449)</v>
      </c>
      <c r="H58" t="str">
        <f t="shared" ca="1" si="12"/>
        <v>EQ-5D Index</v>
      </c>
      <c r="I58">
        <f t="shared" ca="1" si="12"/>
        <v>9</v>
      </c>
      <c r="J58">
        <f t="shared" ca="1" si="12"/>
        <v>0.85799999999999998</v>
      </c>
      <c r="K58">
        <f t="shared" ca="1" si="12"/>
        <v>0.87</v>
      </c>
      <c r="L58">
        <f t="shared" ca="1" si="13"/>
        <v>1.2E-2</v>
      </c>
      <c r="M58">
        <f t="shared" ca="1" si="13"/>
        <v>3</v>
      </c>
      <c r="N58">
        <f t="shared" ca="1" si="13"/>
        <v>3</v>
      </c>
      <c r="O58">
        <f t="shared" ca="1" si="13"/>
        <v>3</v>
      </c>
      <c r="P58" t="str">
        <f t="shared" ca="1" si="13"/>
        <v>*</v>
      </c>
      <c r="Q58" t="str">
        <f t="shared" ca="1" si="13"/>
        <v>*</v>
      </c>
      <c r="R58" t="str">
        <f t="shared" ca="1" si="13"/>
        <v>*</v>
      </c>
      <c r="S58" t="e">
        <f t="shared" ca="1" si="2"/>
        <v>#N/A</v>
      </c>
      <c r="T58" t="e">
        <f t="shared" ca="1" si="3"/>
        <v>#N/A</v>
      </c>
      <c r="U58" t="e">
        <f ca="1">IF(AND($C58='Funnel setup'!$K$3&amp;'Funnel setup'!$K$5&amp;'Funnel setup'!$K$6&amp;'Funnel setup'!$K$4,'Funnel Lookup'!I58="*"),#N/A,IF(AND($C58='Funnel setup'!$K$3&amp;'Funnel setup'!$K$5&amp;'Funnel setup'!$K$6&amp;'Funnel setup'!$K$4,'Funnel Lookup'!I58&gt;29),'Funnel Lookup'!I58,#N/A))</f>
        <v>#N/A</v>
      </c>
      <c r="V58" t="e">
        <f ca="1">IF(AND($C58='Funnel setup'!$K$3&amp;'Funnel setup'!$K$5&amp;'Funnel setup'!$K$6&amp;'Funnel setup'!$K$4,'Funnel Lookup'!I58="*"),#N/A,IF(AND($C58='Funnel setup'!$K$3&amp;'Funnel setup'!$K$5&amp;'Funnel setup'!$K$6&amp;'Funnel setup'!$K$4,'Funnel Lookup'!I58&gt;29),'Funnel Lookup'!Q58,#N/A))</f>
        <v>#N/A</v>
      </c>
    </row>
    <row r="59" spans="1:22" x14ac:dyDescent="0.2">
      <c r="A59">
        <v>57</v>
      </c>
      <c r="B59">
        <f t="shared" ca="1" si="12"/>
        <v>57</v>
      </c>
      <c r="C59" t="str">
        <f t="shared" ca="1" si="12"/>
        <v>Groin HerniaProviderBMI THE LINCOLN HOSPITAL (NT450)EQ-5D Index</v>
      </c>
      <c r="D59" t="str">
        <f t="shared" ca="1" si="12"/>
        <v>Groin Hernia</v>
      </c>
      <c r="E59" t="str">
        <f t="shared" ca="1" si="12"/>
        <v>Provider</v>
      </c>
      <c r="F59" t="str">
        <f t="shared" ca="1" si="12"/>
        <v>NT450</v>
      </c>
      <c r="G59" t="str">
        <f t="shared" ca="1" si="12"/>
        <v>BMI THE LINCOLN HOSPITAL (NT450)</v>
      </c>
      <c r="H59" t="str">
        <f t="shared" ca="1" si="12"/>
        <v>EQ-5D Index</v>
      </c>
      <c r="I59">
        <f t="shared" ca="1" si="12"/>
        <v>37</v>
      </c>
      <c r="J59">
        <f t="shared" ca="1" si="12"/>
        <v>0.75</v>
      </c>
      <c r="K59">
        <f t="shared" ca="1" si="12"/>
        <v>0.85599999999999998</v>
      </c>
      <c r="L59">
        <f t="shared" ca="1" si="13"/>
        <v>0.106</v>
      </c>
      <c r="M59">
        <f t="shared" ca="1" si="13"/>
        <v>19</v>
      </c>
      <c r="N59">
        <f t="shared" ca="1" si="13"/>
        <v>11</v>
      </c>
      <c r="O59">
        <f t="shared" ca="1" si="13"/>
        <v>7</v>
      </c>
      <c r="P59">
        <f t="shared" ca="1" si="13"/>
        <v>0.874</v>
      </c>
      <c r="Q59">
        <f t="shared" ca="1" si="13"/>
        <v>8.0250742E-2</v>
      </c>
      <c r="R59">
        <f t="shared" ca="1" si="13"/>
        <v>0.14899999999999999</v>
      </c>
      <c r="S59">
        <f t="shared" ca="1" si="2"/>
        <v>37</v>
      </c>
      <c r="T59">
        <f t="shared" ca="1" si="3"/>
        <v>8.0250742E-2</v>
      </c>
      <c r="U59" t="e">
        <f ca="1">IF(AND($C59='Funnel setup'!$K$3&amp;'Funnel setup'!$K$5&amp;'Funnel setup'!$K$6&amp;'Funnel setup'!$K$4,'Funnel Lookup'!I59="*"),#N/A,IF(AND($C59='Funnel setup'!$K$3&amp;'Funnel setup'!$K$5&amp;'Funnel setup'!$K$6&amp;'Funnel setup'!$K$4,'Funnel Lookup'!I59&gt;29),'Funnel Lookup'!I59,#N/A))</f>
        <v>#N/A</v>
      </c>
      <c r="V59" t="e">
        <f ca="1">IF(AND($C59='Funnel setup'!$K$3&amp;'Funnel setup'!$K$5&amp;'Funnel setup'!$K$6&amp;'Funnel setup'!$K$4,'Funnel Lookup'!I59="*"),#N/A,IF(AND($C59='Funnel setup'!$K$3&amp;'Funnel setup'!$K$5&amp;'Funnel setup'!$K$6&amp;'Funnel setup'!$K$4,'Funnel Lookup'!I59&gt;29),'Funnel Lookup'!Q59,#N/A))</f>
        <v>#N/A</v>
      </c>
    </row>
    <row r="60" spans="1:22" x14ac:dyDescent="0.2">
      <c r="A60">
        <v>58</v>
      </c>
      <c r="B60">
        <f t="shared" ca="1" si="12"/>
        <v>58</v>
      </c>
      <c r="C60" t="str">
        <f t="shared" ca="1" si="12"/>
        <v>Groin HerniaProviderBMI WOODLANDS HOSPITAL (NT457)EQ-5D Index</v>
      </c>
      <c r="D60" t="str">
        <f t="shared" ca="1" si="12"/>
        <v>Groin Hernia</v>
      </c>
      <c r="E60" t="str">
        <f t="shared" ca="1" si="12"/>
        <v>Provider</v>
      </c>
      <c r="F60" t="str">
        <f t="shared" ca="1" si="12"/>
        <v>NT457</v>
      </c>
      <c r="G60" t="str">
        <f t="shared" ca="1" si="12"/>
        <v>BMI WOODLANDS HOSPITAL (NT457)</v>
      </c>
      <c r="H60" t="str">
        <f t="shared" ca="1" si="12"/>
        <v>EQ-5D Index</v>
      </c>
      <c r="I60">
        <f t="shared" ca="1" si="12"/>
        <v>30</v>
      </c>
      <c r="J60">
        <f t="shared" ca="1" si="12"/>
        <v>0.81</v>
      </c>
      <c r="K60">
        <f t="shared" ca="1" si="12"/>
        <v>0.83299999999999996</v>
      </c>
      <c r="L60">
        <f t="shared" ca="1" si="13"/>
        <v>2.3E-2</v>
      </c>
      <c r="M60">
        <f t="shared" ca="1" si="13"/>
        <v>12</v>
      </c>
      <c r="N60">
        <f t="shared" ca="1" si="13"/>
        <v>9</v>
      </c>
      <c r="O60">
        <f t="shared" ca="1" si="13"/>
        <v>9</v>
      </c>
      <c r="P60">
        <f t="shared" ca="1" si="13"/>
        <v>0.82199999999999995</v>
      </c>
      <c r="Q60">
        <f t="shared" ca="1" si="13"/>
        <v>2.8878641E-2</v>
      </c>
      <c r="R60">
        <f t="shared" ca="1" si="13"/>
        <v>0.161</v>
      </c>
      <c r="S60">
        <f t="shared" ca="1" si="2"/>
        <v>30</v>
      </c>
      <c r="T60">
        <f t="shared" ca="1" si="3"/>
        <v>2.8878641E-2</v>
      </c>
      <c r="U60" t="e">
        <f ca="1">IF(AND($C60='Funnel setup'!$K$3&amp;'Funnel setup'!$K$5&amp;'Funnel setup'!$K$6&amp;'Funnel setup'!$K$4,'Funnel Lookup'!I60="*"),#N/A,IF(AND($C60='Funnel setup'!$K$3&amp;'Funnel setup'!$K$5&amp;'Funnel setup'!$K$6&amp;'Funnel setup'!$K$4,'Funnel Lookup'!I60&gt;29),'Funnel Lookup'!I60,#N/A))</f>
        <v>#N/A</v>
      </c>
      <c r="V60" t="e">
        <f ca="1">IF(AND($C60='Funnel setup'!$K$3&amp;'Funnel setup'!$K$5&amp;'Funnel setup'!$K$6&amp;'Funnel setup'!$K$4,'Funnel Lookup'!I60="*"),#N/A,IF(AND($C60='Funnel setup'!$K$3&amp;'Funnel setup'!$K$5&amp;'Funnel setup'!$K$6&amp;'Funnel setup'!$K$4,'Funnel Lookup'!I60&gt;29),'Funnel Lookup'!Q60,#N/A))</f>
        <v>#N/A</v>
      </c>
    </row>
    <row r="61" spans="1:22" x14ac:dyDescent="0.2">
      <c r="A61">
        <v>59</v>
      </c>
      <c r="B61">
        <f t="shared" ca="1" si="12"/>
        <v>59</v>
      </c>
      <c r="C61" t="str">
        <f t="shared" ca="1" si="12"/>
        <v>Groin HerniaProviderBODMIN NHS TREATMENT CENTRE (NVC24)EQ-5D Index</v>
      </c>
      <c r="D61" t="str">
        <f t="shared" ca="1" si="12"/>
        <v>Groin Hernia</v>
      </c>
      <c r="E61" t="str">
        <f t="shared" ca="1" si="12"/>
        <v>Provider</v>
      </c>
      <c r="F61" t="str">
        <f t="shared" ca="1" si="12"/>
        <v>NVC24</v>
      </c>
      <c r="G61" t="str">
        <f t="shared" ca="1" si="12"/>
        <v>BODMIN NHS TREATMENT CENTRE (NVC24)</v>
      </c>
      <c r="H61" t="str">
        <f t="shared" ca="1" si="12"/>
        <v>EQ-5D Index</v>
      </c>
      <c r="I61">
        <f t="shared" ca="1" si="12"/>
        <v>56</v>
      </c>
      <c r="J61">
        <f t="shared" ca="1" si="12"/>
        <v>0.748</v>
      </c>
      <c r="K61">
        <f t="shared" ca="1" si="12"/>
        <v>0.93799999999999994</v>
      </c>
      <c r="L61">
        <f t="shared" ca="1" si="13"/>
        <v>0.19</v>
      </c>
      <c r="M61">
        <f t="shared" ca="1" si="13"/>
        <v>39</v>
      </c>
      <c r="N61">
        <f t="shared" ca="1" si="13"/>
        <v>14</v>
      </c>
      <c r="O61">
        <f t="shared" ca="1" si="13"/>
        <v>3</v>
      </c>
      <c r="P61">
        <f t="shared" ca="1" si="13"/>
        <v>0.94199999999999995</v>
      </c>
      <c r="Q61">
        <f t="shared" ca="1" si="13"/>
        <v>0.148738545</v>
      </c>
      <c r="R61">
        <f t="shared" ca="1" si="13"/>
        <v>0.10199999999999999</v>
      </c>
      <c r="S61">
        <f t="shared" ca="1" si="2"/>
        <v>56</v>
      </c>
      <c r="T61">
        <f t="shared" ca="1" si="3"/>
        <v>0.148738545</v>
      </c>
      <c r="U61" t="e">
        <f ca="1">IF(AND($C61='Funnel setup'!$K$3&amp;'Funnel setup'!$K$5&amp;'Funnel setup'!$K$6&amp;'Funnel setup'!$K$4,'Funnel Lookup'!I61="*"),#N/A,IF(AND($C61='Funnel setup'!$K$3&amp;'Funnel setup'!$K$5&amp;'Funnel setup'!$K$6&amp;'Funnel setup'!$K$4,'Funnel Lookup'!I61&gt;29),'Funnel Lookup'!I61,#N/A))</f>
        <v>#N/A</v>
      </c>
      <c r="V61" t="e">
        <f ca="1">IF(AND($C61='Funnel setup'!$K$3&amp;'Funnel setup'!$K$5&amp;'Funnel setup'!$K$6&amp;'Funnel setup'!$K$4,'Funnel Lookup'!I61="*"),#N/A,IF(AND($C61='Funnel setup'!$K$3&amp;'Funnel setup'!$K$5&amp;'Funnel setup'!$K$6&amp;'Funnel setup'!$K$4,'Funnel Lookup'!I61&gt;29),'Funnel Lookup'!Q61,#N/A))</f>
        <v>#N/A</v>
      </c>
    </row>
    <row r="62" spans="1:22" x14ac:dyDescent="0.2">
      <c r="A62">
        <v>60</v>
      </c>
      <c r="B62">
        <f t="shared" ca="1" si="12"/>
        <v>60</v>
      </c>
      <c r="C62" t="str">
        <f t="shared" ca="1" si="12"/>
        <v>Groin HerniaProviderBOLTON NHS FOUNDATION TRUST (RMC)EQ-5D Index</v>
      </c>
      <c r="D62" t="str">
        <f t="shared" ca="1" si="12"/>
        <v>Groin Hernia</v>
      </c>
      <c r="E62" t="str">
        <f t="shared" ca="1" si="12"/>
        <v>Provider</v>
      </c>
      <c r="F62" t="str">
        <f t="shared" ca="1" si="12"/>
        <v>RMC</v>
      </c>
      <c r="G62" t="str">
        <f t="shared" ca="1" si="12"/>
        <v>BOLTON NHS FOUNDATION TRUST (RMC)</v>
      </c>
      <c r="H62" t="str">
        <f t="shared" ca="1" si="12"/>
        <v>EQ-5D Index</v>
      </c>
      <c r="I62">
        <f t="shared" ca="1" si="12"/>
        <v>102</v>
      </c>
      <c r="J62">
        <f t="shared" ca="1" si="12"/>
        <v>0.81299999999999994</v>
      </c>
      <c r="K62">
        <f t="shared" ca="1" si="12"/>
        <v>0.87</v>
      </c>
      <c r="L62">
        <f t="shared" ca="1" si="13"/>
        <v>5.7000000000000002E-2</v>
      </c>
      <c r="M62">
        <f t="shared" ca="1" si="13"/>
        <v>46</v>
      </c>
      <c r="N62">
        <f t="shared" ca="1" si="13"/>
        <v>38</v>
      </c>
      <c r="O62">
        <f t="shared" ca="1" si="13"/>
        <v>18</v>
      </c>
      <c r="P62">
        <f t="shared" ca="1" si="13"/>
        <v>0.874</v>
      </c>
      <c r="Q62">
        <f t="shared" ca="1" si="13"/>
        <v>8.0903020000000006E-2</v>
      </c>
      <c r="R62">
        <f t="shared" ca="1" si="13"/>
        <v>0.193</v>
      </c>
      <c r="S62">
        <f t="shared" ca="1" si="2"/>
        <v>102</v>
      </c>
      <c r="T62">
        <f t="shared" ca="1" si="3"/>
        <v>8.0903020000000006E-2</v>
      </c>
      <c r="U62" t="e">
        <f ca="1">IF(AND($C62='Funnel setup'!$K$3&amp;'Funnel setup'!$K$5&amp;'Funnel setup'!$K$6&amp;'Funnel setup'!$K$4,'Funnel Lookup'!I62="*"),#N/A,IF(AND($C62='Funnel setup'!$K$3&amp;'Funnel setup'!$K$5&amp;'Funnel setup'!$K$6&amp;'Funnel setup'!$K$4,'Funnel Lookup'!I62&gt;29),'Funnel Lookup'!I62,#N/A))</f>
        <v>#N/A</v>
      </c>
      <c r="V62" t="e">
        <f ca="1">IF(AND($C62='Funnel setup'!$K$3&amp;'Funnel setup'!$K$5&amp;'Funnel setup'!$K$6&amp;'Funnel setup'!$K$4,'Funnel Lookup'!I62="*"),#N/A,IF(AND($C62='Funnel setup'!$K$3&amp;'Funnel setup'!$K$5&amp;'Funnel setup'!$K$6&amp;'Funnel setup'!$K$4,'Funnel Lookup'!I62&gt;29),'Funnel Lookup'!Q62,#N/A))</f>
        <v>#N/A</v>
      </c>
    </row>
    <row r="63" spans="1:22" x14ac:dyDescent="0.2">
      <c r="A63">
        <v>61</v>
      </c>
      <c r="B63">
        <f t="shared" ref="B63:K72" ca="1" si="14">VLOOKUP($A63,Funnel_Data,B$1,FALSE)</f>
        <v>61</v>
      </c>
      <c r="C63" t="str">
        <f t="shared" ca="1" si="14"/>
        <v>Groin HerniaProviderBOSTON WEST HOSPITAL (NVC27)EQ-5D Index</v>
      </c>
      <c r="D63" t="str">
        <f t="shared" ca="1" si="14"/>
        <v>Groin Hernia</v>
      </c>
      <c r="E63" t="str">
        <f t="shared" ca="1" si="14"/>
        <v>Provider</v>
      </c>
      <c r="F63" t="str">
        <f t="shared" ca="1" si="14"/>
        <v>NVC27</v>
      </c>
      <c r="G63" t="str">
        <f t="shared" ca="1" si="14"/>
        <v>BOSTON WEST HOSPITAL (NVC27)</v>
      </c>
      <c r="H63" t="str">
        <f t="shared" ca="1" si="14"/>
        <v>EQ-5D Index</v>
      </c>
      <c r="I63">
        <f t="shared" ca="1" si="14"/>
        <v>34</v>
      </c>
      <c r="J63">
        <f t="shared" ca="1" si="14"/>
        <v>0.85699999999999998</v>
      </c>
      <c r="K63">
        <f t="shared" ca="1" si="14"/>
        <v>0.92700000000000005</v>
      </c>
      <c r="L63">
        <f t="shared" ref="L63:R72" ca="1" si="15">VLOOKUP($A63,Funnel_Data,L$1,FALSE)</f>
        <v>7.0999999999999994E-2</v>
      </c>
      <c r="M63">
        <f t="shared" ca="1" si="15"/>
        <v>15</v>
      </c>
      <c r="N63">
        <f t="shared" ca="1" si="15"/>
        <v>13</v>
      </c>
      <c r="O63">
        <f t="shared" ca="1" si="15"/>
        <v>6</v>
      </c>
      <c r="P63">
        <f t="shared" ca="1" si="15"/>
        <v>0.88900000000000001</v>
      </c>
      <c r="Q63">
        <f t="shared" ca="1" si="15"/>
        <v>9.6083479999999999E-2</v>
      </c>
      <c r="R63">
        <f t="shared" ca="1" si="15"/>
        <v>0.12</v>
      </c>
      <c r="S63">
        <f t="shared" ca="1" si="2"/>
        <v>34</v>
      </c>
      <c r="T63">
        <f t="shared" ca="1" si="3"/>
        <v>9.6083479999999999E-2</v>
      </c>
      <c r="U63" t="e">
        <f ca="1">IF(AND($C63='Funnel setup'!$K$3&amp;'Funnel setup'!$K$5&amp;'Funnel setup'!$K$6&amp;'Funnel setup'!$K$4,'Funnel Lookup'!I63="*"),#N/A,IF(AND($C63='Funnel setup'!$K$3&amp;'Funnel setup'!$K$5&amp;'Funnel setup'!$K$6&amp;'Funnel setup'!$K$4,'Funnel Lookup'!I63&gt;29),'Funnel Lookup'!I63,#N/A))</f>
        <v>#N/A</v>
      </c>
      <c r="V63" t="e">
        <f ca="1">IF(AND($C63='Funnel setup'!$K$3&amp;'Funnel setup'!$K$5&amp;'Funnel setup'!$K$6&amp;'Funnel setup'!$K$4,'Funnel Lookup'!I63="*"),#N/A,IF(AND($C63='Funnel setup'!$K$3&amp;'Funnel setup'!$K$5&amp;'Funnel setup'!$K$6&amp;'Funnel setup'!$K$4,'Funnel Lookup'!I63&gt;29),'Funnel Lookup'!Q63,#N/A))</f>
        <v>#N/A</v>
      </c>
    </row>
    <row r="64" spans="1:22" x14ac:dyDescent="0.2">
      <c r="A64">
        <v>62</v>
      </c>
      <c r="B64">
        <f t="shared" ca="1" si="14"/>
        <v>62</v>
      </c>
      <c r="C64" t="str">
        <f t="shared" ca="1" si="14"/>
        <v>Groin HerniaProviderBRADFORD TEACHING HOSPITALS NHS FOUNDATION TRUST (RAE)EQ-5D Index</v>
      </c>
      <c r="D64" t="str">
        <f t="shared" ca="1" si="14"/>
        <v>Groin Hernia</v>
      </c>
      <c r="E64" t="str">
        <f t="shared" ca="1" si="14"/>
        <v>Provider</v>
      </c>
      <c r="F64" t="str">
        <f t="shared" ca="1" si="14"/>
        <v>RAE</v>
      </c>
      <c r="G64" t="str">
        <f t="shared" ca="1" si="14"/>
        <v>BRADFORD TEACHING HOSPITALS NHS FOUNDATION TRUST (RAE)</v>
      </c>
      <c r="H64" t="str">
        <f t="shared" ca="1" si="14"/>
        <v>EQ-5D Index</v>
      </c>
      <c r="I64">
        <f t="shared" ca="1" si="14"/>
        <v>73</v>
      </c>
      <c r="J64">
        <f t="shared" ca="1" si="14"/>
        <v>0.755</v>
      </c>
      <c r="K64">
        <f t="shared" ca="1" si="14"/>
        <v>0.85799999999999998</v>
      </c>
      <c r="L64">
        <f t="shared" ca="1" si="15"/>
        <v>0.10299999999999999</v>
      </c>
      <c r="M64">
        <f t="shared" ca="1" si="15"/>
        <v>36</v>
      </c>
      <c r="N64">
        <f t="shared" ca="1" si="15"/>
        <v>21</v>
      </c>
      <c r="O64">
        <f t="shared" ca="1" si="15"/>
        <v>16</v>
      </c>
      <c r="P64">
        <f t="shared" ca="1" si="15"/>
        <v>0.89600000000000002</v>
      </c>
      <c r="Q64">
        <f t="shared" ca="1" si="15"/>
        <v>0.102408044</v>
      </c>
      <c r="R64">
        <f t="shared" ca="1" si="15"/>
        <v>0.17</v>
      </c>
      <c r="S64">
        <f t="shared" ca="1" si="2"/>
        <v>73</v>
      </c>
      <c r="T64">
        <f t="shared" ca="1" si="3"/>
        <v>0.102408044</v>
      </c>
      <c r="U64" t="e">
        <f ca="1">IF(AND($C64='Funnel setup'!$K$3&amp;'Funnel setup'!$K$5&amp;'Funnel setup'!$K$6&amp;'Funnel setup'!$K$4,'Funnel Lookup'!I64="*"),#N/A,IF(AND($C64='Funnel setup'!$K$3&amp;'Funnel setup'!$K$5&amp;'Funnel setup'!$K$6&amp;'Funnel setup'!$K$4,'Funnel Lookup'!I64&gt;29),'Funnel Lookup'!I64,#N/A))</f>
        <v>#N/A</v>
      </c>
      <c r="V64" t="e">
        <f ca="1">IF(AND($C64='Funnel setup'!$K$3&amp;'Funnel setup'!$K$5&amp;'Funnel setup'!$K$6&amp;'Funnel setup'!$K$4,'Funnel Lookup'!I64="*"),#N/A,IF(AND($C64='Funnel setup'!$K$3&amp;'Funnel setup'!$K$5&amp;'Funnel setup'!$K$6&amp;'Funnel setup'!$K$4,'Funnel Lookup'!I64&gt;29),'Funnel Lookup'!Q64,#N/A))</f>
        <v>#N/A</v>
      </c>
    </row>
    <row r="65" spans="1:22" x14ac:dyDescent="0.2">
      <c r="A65">
        <v>63</v>
      </c>
      <c r="B65">
        <f t="shared" ca="1" si="14"/>
        <v>63</v>
      </c>
      <c r="C65" t="str">
        <f t="shared" ca="1" si="14"/>
        <v>Groin HerniaProviderBRAINTREE COMMUNITY HOSPITAL (NNQ01)EQ-5D Index</v>
      </c>
      <c r="D65" t="str">
        <f t="shared" ca="1" si="14"/>
        <v>Groin Hernia</v>
      </c>
      <c r="E65" t="str">
        <f t="shared" ca="1" si="14"/>
        <v>Provider</v>
      </c>
      <c r="F65" t="str">
        <f t="shared" ca="1" si="14"/>
        <v>NNQ01</v>
      </c>
      <c r="G65" t="str">
        <f t="shared" ca="1" si="14"/>
        <v>BRAINTREE COMMUNITY HOSPITAL (NNQ01)</v>
      </c>
      <c r="H65" t="str">
        <f t="shared" ca="1" si="14"/>
        <v>EQ-5D Index</v>
      </c>
      <c r="I65" t="str">
        <f t="shared" ca="1" si="14"/>
        <v>*</v>
      </c>
      <c r="J65" t="str">
        <f t="shared" ca="1" si="14"/>
        <v>*</v>
      </c>
      <c r="K65" t="str">
        <f t="shared" ca="1" si="14"/>
        <v>*</v>
      </c>
      <c r="L65" t="str">
        <f t="shared" ca="1" si="15"/>
        <v>*</v>
      </c>
      <c r="M65" t="str">
        <f t="shared" ca="1" si="15"/>
        <v>*</v>
      </c>
      <c r="N65" t="str">
        <f t="shared" ca="1" si="15"/>
        <v>*</v>
      </c>
      <c r="O65" t="str">
        <f t="shared" ca="1" si="15"/>
        <v>*</v>
      </c>
      <c r="P65" t="str">
        <f t="shared" ca="1" si="15"/>
        <v>*</v>
      </c>
      <c r="Q65" t="str">
        <f t="shared" ca="1" si="15"/>
        <v>*</v>
      </c>
      <c r="R65" t="str">
        <f t="shared" ca="1" si="15"/>
        <v>*</v>
      </c>
      <c r="S65" t="e">
        <f t="shared" ca="1" si="2"/>
        <v>#N/A</v>
      </c>
      <c r="T65" t="e">
        <f t="shared" ca="1" si="3"/>
        <v>#N/A</v>
      </c>
      <c r="U65" t="e">
        <f ca="1">IF(AND($C65='Funnel setup'!$K$3&amp;'Funnel setup'!$K$5&amp;'Funnel setup'!$K$6&amp;'Funnel setup'!$K$4,'Funnel Lookup'!I65="*"),#N/A,IF(AND($C65='Funnel setup'!$K$3&amp;'Funnel setup'!$K$5&amp;'Funnel setup'!$K$6&amp;'Funnel setup'!$K$4,'Funnel Lookup'!I65&gt;29),'Funnel Lookup'!I65,#N/A))</f>
        <v>#N/A</v>
      </c>
      <c r="V65" t="e">
        <f ca="1">IF(AND($C65='Funnel setup'!$K$3&amp;'Funnel setup'!$K$5&amp;'Funnel setup'!$K$6&amp;'Funnel setup'!$K$4,'Funnel Lookup'!I65="*"),#N/A,IF(AND($C65='Funnel setup'!$K$3&amp;'Funnel setup'!$K$5&amp;'Funnel setup'!$K$6&amp;'Funnel setup'!$K$4,'Funnel Lookup'!I65&gt;29),'Funnel Lookup'!Q65,#N/A))</f>
        <v>#N/A</v>
      </c>
    </row>
    <row r="66" spans="1:22" x14ac:dyDescent="0.2">
      <c r="A66">
        <v>64</v>
      </c>
      <c r="B66">
        <f t="shared" ca="1" si="14"/>
        <v>64</v>
      </c>
      <c r="C66" t="str">
        <f t="shared" ca="1" si="14"/>
        <v>Groin HerniaProviderBRIGHTON AND SUSSEX UNIVERSITY HOSPITALS NHS TRUST (RXH)EQ-5D Index</v>
      </c>
      <c r="D66" t="str">
        <f t="shared" ca="1" si="14"/>
        <v>Groin Hernia</v>
      </c>
      <c r="E66" t="str">
        <f t="shared" ca="1" si="14"/>
        <v>Provider</v>
      </c>
      <c r="F66" t="str">
        <f t="shared" ca="1" si="14"/>
        <v>RXH</v>
      </c>
      <c r="G66" t="str">
        <f t="shared" ca="1" si="14"/>
        <v>BRIGHTON AND SUSSEX UNIVERSITY HOSPITALS NHS TRUST (RXH)</v>
      </c>
      <c r="H66" t="str">
        <f t="shared" ca="1" si="14"/>
        <v>EQ-5D Index</v>
      </c>
      <c r="I66">
        <f t="shared" ca="1" si="14"/>
        <v>253</v>
      </c>
      <c r="J66">
        <f t="shared" ca="1" si="14"/>
        <v>0.81499999999999995</v>
      </c>
      <c r="K66">
        <f t="shared" ca="1" si="14"/>
        <v>0.88900000000000001</v>
      </c>
      <c r="L66">
        <f t="shared" ca="1" si="15"/>
        <v>7.3999999999999996E-2</v>
      </c>
      <c r="M66">
        <f t="shared" ca="1" si="15"/>
        <v>111</v>
      </c>
      <c r="N66">
        <f t="shared" ca="1" si="15"/>
        <v>96</v>
      </c>
      <c r="O66">
        <f t="shared" ca="1" si="15"/>
        <v>46</v>
      </c>
      <c r="P66">
        <f t="shared" ca="1" si="15"/>
        <v>0.88100000000000001</v>
      </c>
      <c r="Q66">
        <f t="shared" ca="1" si="15"/>
        <v>8.7293819999999994E-2</v>
      </c>
      <c r="R66">
        <f t="shared" ca="1" si="15"/>
        <v>0.14599999999999999</v>
      </c>
      <c r="S66">
        <f t="shared" ca="1" si="2"/>
        <v>253</v>
      </c>
      <c r="T66">
        <f t="shared" ca="1" si="3"/>
        <v>8.7293819999999994E-2</v>
      </c>
      <c r="U66" t="e">
        <f ca="1">IF(AND($C66='Funnel setup'!$K$3&amp;'Funnel setup'!$K$5&amp;'Funnel setup'!$K$6&amp;'Funnel setup'!$K$4,'Funnel Lookup'!I66="*"),#N/A,IF(AND($C66='Funnel setup'!$K$3&amp;'Funnel setup'!$K$5&amp;'Funnel setup'!$K$6&amp;'Funnel setup'!$K$4,'Funnel Lookup'!I66&gt;29),'Funnel Lookup'!I66,#N/A))</f>
        <v>#N/A</v>
      </c>
      <c r="V66" t="e">
        <f ca="1">IF(AND($C66='Funnel setup'!$K$3&amp;'Funnel setup'!$K$5&amp;'Funnel setup'!$K$6&amp;'Funnel setup'!$K$4,'Funnel Lookup'!I66="*"),#N/A,IF(AND($C66='Funnel setup'!$K$3&amp;'Funnel setup'!$K$5&amp;'Funnel setup'!$K$6&amp;'Funnel setup'!$K$4,'Funnel Lookup'!I66&gt;29),'Funnel Lookup'!Q66,#N/A))</f>
        <v>#N/A</v>
      </c>
    </row>
    <row r="67" spans="1:22" x14ac:dyDescent="0.2">
      <c r="A67">
        <v>65</v>
      </c>
      <c r="B67">
        <f t="shared" ca="1" si="14"/>
        <v>65</v>
      </c>
      <c r="C67" t="str">
        <f t="shared" ca="1" si="14"/>
        <v>Groin HerniaProviderBUCKINGHAMSHIRE HEALTHCARE NHS TRUST (RXQ)EQ-5D Index</v>
      </c>
      <c r="D67" t="str">
        <f t="shared" ca="1" si="14"/>
        <v>Groin Hernia</v>
      </c>
      <c r="E67" t="str">
        <f t="shared" ca="1" si="14"/>
        <v>Provider</v>
      </c>
      <c r="F67" t="str">
        <f t="shared" ca="1" si="14"/>
        <v>RXQ</v>
      </c>
      <c r="G67" t="str">
        <f t="shared" ca="1" si="14"/>
        <v>BUCKINGHAMSHIRE HEALTHCARE NHS TRUST (RXQ)</v>
      </c>
      <c r="H67" t="str">
        <f t="shared" ca="1" si="14"/>
        <v>EQ-5D Index</v>
      </c>
      <c r="I67">
        <f t="shared" ca="1" si="14"/>
        <v>161</v>
      </c>
      <c r="J67">
        <f t="shared" ca="1" si="14"/>
        <v>0.746</v>
      </c>
      <c r="K67">
        <f t="shared" ca="1" si="14"/>
        <v>0.88500000000000001</v>
      </c>
      <c r="L67">
        <f t="shared" ca="1" si="15"/>
        <v>0.13900000000000001</v>
      </c>
      <c r="M67">
        <f t="shared" ca="1" si="15"/>
        <v>101</v>
      </c>
      <c r="N67">
        <f t="shared" ca="1" si="15"/>
        <v>42</v>
      </c>
      <c r="O67">
        <f t="shared" ca="1" si="15"/>
        <v>18</v>
      </c>
      <c r="P67">
        <f t="shared" ca="1" si="15"/>
        <v>0.89200000000000002</v>
      </c>
      <c r="Q67">
        <f t="shared" ca="1" si="15"/>
        <v>9.9039297999999998E-2</v>
      </c>
      <c r="R67">
        <f t="shared" ca="1" si="15"/>
        <v>0.14099999999999999</v>
      </c>
      <c r="S67">
        <f t="shared" ca="1" si="2"/>
        <v>161</v>
      </c>
      <c r="T67">
        <f t="shared" ca="1" si="3"/>
        <v>9.9039297999999998E-2</v>
      </c>
      <c r="U67" t="e">
        <f ca="1">IF(AND($C67='Funnel setup'!$K$3&amp;'Funnel setup'!$K$5&amp;'Funnel setup'!$K$6&amp;'Funnel setup'!$K$4,'Funnel Lookup'!I67="*"),#N/A,IF(AND($C67='Funnel setup'!$K$3&amp;'Funnel setup'!$K$5&amp;'Funnel setup'!$K$6&amp;'Funnel setup'!$K$4,'Funnel Lookup'!I67&gt;29),'Funnel Lookup'!I67,#N/A))</f>
        <v>#N/A</v>
      </c>
      <c r="V67" t="e">
        <f ca="1">IF(AND($C67='Funnel setup'!$K$3&amp;'Funnel setup'!$K$5&amp;'Funnel setup'!$K$6&amp;'Funnel setup'!$K$4,'Funnel Lookup'!I67="*"),#N/A,IF(AND($C67='Funnel setup'!$K$3&amp;'Funnel setup'!$K$5&amp;'Funnel setup'!$K$6&amp;'Funnel setup'!$K$4,'Funnel Lookup'!I67&gt;29),'Funnel Lookup'!Q67,#N/A))</f>
        <v>#N/A</v>
      </c>
    </row>
    <row r="68" spans="1:22" x14ac:dyDescent="0.2">
      <c r="A68">
        <v>66</v>
      </c>
      <c r="B68">
        <f t="shared" ca="1" si="14"/>
        <v>66</v>
      </c>
      <c r="C68" t="str">
        <f t="shared" ca="1" si="14"/>
        <v>Groin HerniaProviderBURTON HOSPITALS NHS FOUNDATION TRUST (RJF)EQ-5D Index</v>
      </c>
      <c r="D68" t="str">
        <f t="shared" ca="1" si="14"/>
        <v>Groin Hernia</v>
      </c>
      <c r="E68" t="str">
        <f t="shared" ca="1" si="14"/>
        <v>Provider</v>
      </c>
      <c r="F68" t="str">
        <f t="shared" ca="1" si="14"/>
        <v>RJF</v>
      </c>
      <c r="G68" t="str">
        <f t="shared" ca="1" si="14"/>
        <v>BURTON HOSPITALS NHS FOUNDATION TRUST (RJF)</v>
      </c>
      <c r="H68" t="str">
        <f t="shared" ca="1" si="14"/>
        <v>EQ-5D Index</v>
      </c>
      <c r="I68">
        <f t="shared" ca="1" si="14"/>
        <v>162</v>
      </c>
      <c r="J68">
        <f t="shared" ca="1" si="14"/>
        <v>0.82</v>
      </c>
      <c r="K68">
        <f t="shared" ca="1" si="14"/>
        <v>0.91100000000000003</v>
      </c>
      <c r="L68">
        <f t="shared" ca="1" si="15"/>
        <v>0.09</v>
      </c>
      <c r="M68">
        <f t="shared" ca="1" si="15"/>
        <v>76</v>
      </c>
      <c r="N68">
        <f t="shared" ca="1" si="15"/>
        <v>64</v>
      </c>
      <c r="O68">
        <f t="shared" ca="1" si="15"/>
        <v>22</v>
      </c>
      <c r="P68">
        <f t="shared" ca="1" si="15"/>
        <v>0.89300000000000002</v>
      </c>
      <c r="Q68">
        <f t="shared" ca="1" si="15"/>
        <v>9.992769E-2</v>
      </c>
      <c r="R68">
        <f t="shared" ca="1" si="15"/>
        <v>0.14199999999999999</v>
      </c>
      <c r="S68">
        <f t="shared" ref="S68:S131" ca="1" si="16">IF($Q68="*",#N/A,I68)</f>
        <v>162</v>
      </c>
      <c r="T68">
        <f t="shared" ref="T68:T131" ca="1" si="17">IF($Q68="*",#N/A,Q68)</f>
        <v>9.992769E-2</v>
      </c>
      <c r="U68" t="e">
        <f ca="1">IF(AND($C68='Funnel setup'!$K$3&amp;'Funnel setup'!$K$5&amp;'Funnel setup'!$K$6&amp;'Funnel setup'!$K$4,'Funnel Lookup'!I68="*"),#N/A,IF(AND($C68='Funnel setup'!$K$3&amp;'Funnel setup'!$K$5&amp;'Funnel setup'!$K$6&amp;'Funnel setup'!$K$4,'Funnel Lookup'!I68&gt;29),'Funnel Lookup'!I68,#N/A))</f>
        <v>#N/A</v>
      </c>
      <c r="V68" t="e">
        <f ca="1">IF(AND($C68='Funnel setup'!$K$3&amp;'Funnel setup'!$K$5&amp;'Funnel setup'!$K$6&amp;'Funnel setup'!$K$4,'Funnel Lookup'!I68="*"),#N/A,IF(AND($C68='Funnel setup'!$K$3&amp;'Funnel setup'!$K$5&amp;'Funnel setup'!$K$6&amp;'Funnel setup'!$K$4,'Funnel Lookup'!I68&gt;29),'Funnel Lookup'!Q68,#N/A))</f>
        <v>#N/A</v>
      </c>
    </row>
    <row r="69" spans="1:22" x14ac:dyDescent="0.2">
      <c r="A69">
        <v>67</v>
      </c>
      <c r="B69">
        <f t="shared" ca="1" si="14"/>
        <v>67</v>
      </c>
      <c r="C69" t="str">
        <f t="shared" ca="1" si="14"/>
        <v>Groin HerniaProviderCALDERDALE AND HUDDERSFIELD NHS FOUNDATION TRUST (RWY)EQ-5D Index</v>
      </c>
      <c r="D69" t="str">
        <f t="shared" ca="1" si="14"/>
        <v>Groin Hernia</v>
      </c>
      <c r="E69" t="str">
        <f t="shared" ca="1" si="14"/>
        <v>Provider</v>
      </c>
      <c r="F69" t="str">
        <f t="shared" ca="1" si="14"/>
        <v>RWY</v>
      </c>
      <c r="G69" t="str">
        <f t="shared" ca="1" si="14"/>
        <v>CALDERDALE AND HUDDERSFIELD NHS FOUNDATION TRUST (RWY)</v>
      </c>
      <c r="H69" t="str">
        <f t="shared" ca="1" si="14"/>
        <v>EQ-5D Index</v>
      </c>
      <c r="I69">
        <f t="shared" ca="1" si="14"/>
        <v>151</v>
      </c>
      <c r="J69">
        <f t="shared" ca="1" si="14"/>
        <v>0.78900000000000003</v>
      </c>
      <c r="K69">
        <f t="shared" ca="1" si="14"/>
        <v>0.879</v>
      </c>
      <c r="L69">
        <f t="shared" ca="1" si="15"/>
        <v>0.09</v>
      </c>
      <c r="M69">
        <f t="shared" ca="1" si="15"/>
        <v>76</v>
      </c>
      <c r="N69">
        <f t="shared" ca="1" si="15"/>
        <v>43</v>
      </c>
      <c r="O69">
        <f t="shared" ca="1" si="15"/>
        <v>32</v>
      </c>
      <c r="P69">
        <f t="shared" ca="1" si="15"/>
        <v>0.88400000000000001</v>
      </c>
      <c r="Q69">
        <f t="shared" ca="1" si="15"/>
        <v>9.0187214000000002E-2</v>
      </c>
      <c r="R69">
        <f t="shared" ca="1" si="15"/>
        <v>0.17100000000000001</v>
      </c>
      <c r="S69">
        <f t="shared" ca="1" si="16"/>
        <v>151</v>
      </c>
      <c r="T69">
        <f t="shared" ca="1" si="17"/>
        <v>9.0187214000000002E-2</v>
      </c>
      <c r="U69" t="e">
        <f ca="1">IF(AND($C69='Funnel setup'!$K$3&amp;'Funnel setup'!$K$5&amp;'Funnel setup'!$K$6&amp;'Funnel setup'!$K$4,'Funnel Lookup'!I69="*"),#N/A,IF(AND($C69='Funnel setup'!$K$3&amp;'Funnel setup'!$K$5&amp;'Funnel setup'!$K$6&amp;'Funnel setup'!$K$4,'Funnel Lookup'!I69&gt;29),'Funnel Lookup'!I69,#N/A))</f>
        <v>#N/A</v>
      </c>
      <c r="V69" t="e">
        <f ca="1">IF(AND($C69='Funnel setup'!$K$3&amp;'Funnel setup'!$K$5&amp;'Funnel setup'!$K$6&amp;'Funnel setup'!$K$4,'Funnel Lookup'!I69="*"),#N/A,IF(AND($C69='Funnel setup'!$K$3&amp;'Funnel setup'!$K$5&amp;'Funnel setup'!$K$6&amp;'Funnel setup'!$K$4,'Funnel Lookup'!I69&gt;29),'Funnel Lookup'!Q69,#N/A))</f>
        <v>#N/A</v>
      </c>
    </row>
    <row r="70" spans="1:22" x14ac:dyDescent="0.2">
      <c r="A70">
        <v>68</v>
      </c>
      <c r="B70">
        <f t="shared" ca="1" si="14"/>
        <v>68</v>
      </c>
      <c r="C70" t="str">
        <f t="shared" ca="1" si="14"/>
        <v>Groin HerniaProviderCAMBRIDGE UNIVERSITY HOSPITALS NHS FOUNDATION TRUST (RGT)EQ-5D Index</v>
      </c>
      <c r="D70" t="str">
        <f t="shared" ca="1" si="14"/>
        <v>Groin Hernia</v>
      </c>
      <c r="E70" t="str">
        <f t="shared" ca="1" si="14"/>
        <v>Provider</v>
      </c>
      <c r="F70" t="str">
        <f t="shared" ca="1" si="14"/>
        <v>RGT</v>
      </c>
      <c r="G70" t="str">
        <f t="shared" ca="1" si="14"/>
        <v>CAMBRIDGE UNIVERSITY HOSPITALS NHS FOUNDATION TRUST (RGT)</v>
      </c>
      <c r="H70" t="str">
        <f t="shared" ca="1" si="14"/>
        <v>EQ-5D Index</v>
      </c>
      <c r="I70">
        <f t="shared" ca="1" si="14"/>
        <v>206</v>
      </c>
      <c r="J70">
        <f t="shared" ca="1" si="14"/>
        <v>0.80200000000000005</v>
      </c>
      <c r="K70">
        <f t="shared" ca="1" si="14"/>
        <v>0.91</v>
      </c>
      <c r="L70">
        <f t="shared" ca="1" si="15"/>
        <v>0.108</v>
      </c>
      <c r="M70">
        <f t="shared" ca="1" si="15"/>
        <v>121</v>
      </c>
      <c r="N70">
        <f t="shared" ca="1" si="15"/>
        <v>58</v>
      </c>
      <c r="O70">
        <f t="shared" ca="1" si="15"/>
        <v>27</v>
      </c>
      <c r="P70">
        <f t="shared" ca="1" si="15"/>
        <v>0.89500000000000002</v>
      </c>
      <c r="Q70">
        <f t="shared" ca="1" si="15"/>
        <v>0.102099393</v>
      </c>
      <c r="R70">
        <f t="shared" ca="1" si="15"/>
        <v>0.126</v>
      </c>
      <c r="S70">
        <f t="shared" ca="1" si="16"/>
        <v>206</v>
      </c>
      <c r="T70">
        <f t="shared" ca="1" si="17"/>
        <v>0.102099393</v>
      </c>
      <c r="U70" t="e">
        <f ca="1">IF(AND($C70='Funnel setup'!$K$3&amp;'Funnel setup'!$K$5&amp;'Funnel setup'!$K$6&amp;'Funnel setup'!$K$4,'Funnel Lookup'!I70="*"),#N/A,IF(AND($C70='Funnel setup'!$K$3&amp;'Funnel setup'!$K$5&amp;'Funnel setup'!$K$6&amp;'Funnel setup'!$K$4,'Funnel Lookup'!I70&gt;29),'Funnel Lookup'!I70,#N/A))</f>
        <v>#N/A</v>
      </c>
      <c r="V70" t="e">
        <f ca="1">IF(AND($C70='Funnel setup'!$K$3&amp;'Funnel setup'!$K$5&amp;'Funnel setup'!$K$6&amp;'Funnel setup'!$K$4,'Funnel Lookup'!I70="*"),#N/A,IF(AND($C70='Funnel setup'!$K$3&amp;'Funnel setup'!$K$5&amp;'Funnel setup'!$K$6&amp;'Funnel setup'!$K$4,'Funnel Lookup'!I70&gt;29),'Funnel Lookup'!Q70,#N/A))</f>
        <v>#N/A</v>
      </c>
    </row>
    <row r="71" spans="1:22" x14ac:dyDescent="0.2">
      <c r="A71">
        <v>69</v>
      </c>
      <c r="B71">
        <f t="shared" ca="1" si="14"/>
        <v>69</v>
      </c>
      <c r="C71" t="str">
        <f t="shared" ca="1" si="14"/>
        <v>Groin HerniaProviderCENTRAL MANCHESTER UNIVERSITY HOSPITALS NHS FOUNDATION TRUST (RW3)EQ-5D Index</v>
      </c>
      <c r="D71" t="str">
        <f t="shared" ca="1" si="14"/>
        <v>Groin Hernia</v>
      </c>
      <c r="E71" t="str">
        <f t="shared" ca="1" si="14"/>
        <v>Provider</v>
      </c>
      <c r="F71" t="str">
        <f t="shared" ca="1" si="14"/>
        <v>RW3</v>
      </c>
      <c r="G71" t="str">
        <f t="shared" ca="1" si="14"/>
        <v>CENTRAL MANCHESTER UNIVERSITY HOSPITALS NHS FOUNDATION TRUST (RW3)</v>
      </c>
      <c r="H71" t="str">
        <f t="shared" ca="1" si="14"/>
        <v>EQ-5D Index</v>
      </c>
      <c r="I71">
        <f t="shared" ca="1" si="14"/>
        <v>53</v>
      </c>
      <c r="J71">
        <f t="shared" ca="1" si="14"/>
        <v>0.70199999999999996</v>
      </c>
      <c r="K71">
        <f t="shared" ca="1" si="14"/>
        <v>0.84499999999999997</v>
      </c>
      <c r="L71">
        <f t="shared" ca="1" si="15"/>
        <v>0.14399999999999999</v>
      </c>
      <c r="M71">
        <f t="shared" ca="1" si="15"/>
        <v>37</v>
      </c>
      <c r="N71">
        <f t="shared" ca="1" si="15"/>
        <v>10</v>
      </c>
      <c r="O71">
        <f t="shared" ca="1" si="15"/>
        <v>6</v>
      </c>
      <c r="P71">
        <f t="shared" ca="1" si="15"/>
        <v>0.88500000000000001</v>
      </c>
      <c r="Q71">
        <f t="shared" ca="1" si="15"/>
        <v>9.1662668000000003E-2</v>
      </c>
      <c r="R71">
        <f t="shared" ca="1" si="15"/>
        <v>0.113</v>
      </c>
      <c r="S71">
        <f t="shared" ca="1" si="16"/>
        <v>53</v>
      </c>
      <c r="T71">
        <f t="shared" ca="1" si="17"/>
        <v>9.1662668000000003E-2</v>
      </c>
      <c r="U71" t="e">
        <f ca="1">IF(AND($C71='Funnel setup'!$K$3&amp;'Funnel setup'!$K$5&amp;'Funnel setup'!$K$6&amp;'Funnel setup'!$K$4,'Funnel Lookup'!I71="*"),#N/A,IF(AND($C71='Funnel setup'!$K$3&amp;'Funnel setup'!$K$5&amp;'Funnel setup'!$K$6&amp;'Funnel setup'!$K$4,'Funnel Lookup'!I71&gt;29),'Funnel Lookup'!I71,#N/A))</f>
        <v>#N/A</v>
      </c>
      <c r="V71" t="e">
        <f ca="1">IF(AND($C71='Funnel setup'!$K$3&amp;'Funnel setup'!$K$5&amp;'Funnel setup'!$K$6&amp;'Funnel setup'!$K$4,'Funnel Lookup'!I71="*"),#N/A,IF(AND($C71='Funnel setup'!$K$3&amp;'Funnel setup'!$K$5&amp;'Funnel setup'!$K$6&amp;'Funnel setup'!$K$4,'Funnel Lookup'!I71&gt;29),'Funnel Lookup'!Q71,#N/A))</f>
        <v>#N/A</v>
      </c>
    </row>
    <row r="72" spans="1:22" x14ac:dyDescent="0.2">
      <c r="A72">
        <v>70</v>
      </c>
      <c r="B72">
        <f t="shared" ca="1" si="14"/>
        <v>70</v>
      </c>
      <c r="C72" t="str">
        <f t="shared" ca="1" si="14"/>
        <v>Groin HerniaProviderCHELSEA AND WESTMINSTER HOSPITAL NHS FOUNDATION TRUST (RQM)EQ-5D Index</v>
      </c>
      <c r="D72" t="str">
        <f t="shared" ca="1" si="14"/>
        <v>Groin Hernia</v>
      </c>
      <c r="E72" t="str">
        <f t="shared" ca="1" si="14"/>
        <v>Provider</v>
      </c>
      <c r="F72" t="str">
        <f t="shared" ca="1" si="14"/>
        <v>RQM</v>
      </c>
      <c r="G72" t="str">
        <f t="shared" ca="1" si="14"/>
        <v>CHELSEA AND WESTMINSTER HOSPITAL NHS FOUNDATION TRUST (RQM)</v>
      </c>
      <c r="H72" t="str">
        <f t="shared" ca="1" si="14"/>
        <v>EQ-5D Index</v>
      </c>
      <c r="I72">
        <f t="shared" ca="1" si="14"/>
        <v>21</v>
      </c>
      <c r="J72">
        <f t="shared" ca="1" si="14"/>
        <v>0.81799999999999995</v>
      </c>
      <c r="K72">
        <f t="shared" ca="1" si="14"/>
        <v>0.89900000000000002</v>
      </c>
      <c r="L72">
        <f t="shared" ca="1" si="15"/>
        <v>8.2000000000000003E-2</v>
      </c>
      <c r="M72">
        <f t="shared" ca="1" si="15"/>
        <v>9</v>
      </c>
      <c r="N72">
        <f t="shared" ca="1" si="15"/>
        <v>6</v>
      </c>
      <c r="O72">
        <f t="shared" ca="1" si="15"/>
        <v>6</v>
      </c>
      <c r="P72" t="str">
        <f t="shared" ca="1" si="15"/>
        <v>*</v>
      </c>
      <c r="Q72" t="str">
        <f t="shared" ca="1" si="15"/>
        <v>*</v>
      </c>
      <c r="R72" t="str">
        <f t="shared" ca="1" si="15"/>
        <v>*</v>
      </c>
      <c r="S72" t="e">
        <f t="shared" ca="1" si="16"/>
        <v>#N/A</v>
      </c>
      <c r="T72" t="e">
        <f t="shared" ca="1" si="17"/>
        <v>#N/A</v>
      </c>
      <c r="U72" t="e">
        <f ca="1">IF(AND($C72='Funnel setup'!$K$3&amp;'Funnel setup'!$K$5&amp;'Funnel setup'!$K$6&amp;'Funnel setup'!$K$4,'Funnel Lookup'!I72="*"),#N/A,IF(AND($C72='Funnel setup'!$K$3&amp;'Funnel setup'!$K$5&amp;'Funnel setup'!$K$6&amp;'Funnel setup'!$K$4,'Funnel Lookup'!I72&gt;29),'Funnel Lookup'!I72,#N/A))</f>
        <v>#N/A</v>
      </c>
      <c r="V72" t="e">
        <f ca="1">IF(AND($C72='Funnel setup'!$K$3&amp;'Funnel setup'!$K$5&amp;'Funnel setup'!$K$6&amp;'Funnel setup'!$K$4,'Funnel Lookup'!I72="*"),#N/A,IF(AND($C72='Funnel setup'!$K$3&amp;'Funnel setup'!$K$5&amp;'Funnel setup'!$K$6&amp;'Funnel setup'!$K$4,'Funnel Lookup'!I72&gt;29),'Funnel Lookup'!Q72,#N/A))</f>
        <v>#N/A</v>
      </c>
    </row>
    <row r="73" spans="1:22" x14ac:dyDescent="0.2">
      <c r="A73">
        <v>71</v>
      </c>
      <c r="B73">
        <f t="shared" ref="B73:K82" ca="1" si="18">VLOOKUP($A73,Funnel_Data,B$1,FALSE)</f>
        <v>71</v>
      </c>
      <c r="C73" t="str">
        <f t="shared" ca="1" si="18"/>
        <v>Groin HerniaProviderCHESTERFIELD ROYAL HOSPITAL NHS FOUNDATION TRUST (RFS)EQ-5D Index</v>
      </c>
      <c r="D73" t="str">
        <f t="shared" ca="1" si="18"/>
        <v>Groin Hernia</v>
      </c>
      <c r="E73" t="str">
        <f t="shared" ca="1" si="18"/>
        <v>Provider</v>
      </c>
      <c r="F73" t="str">
        <f t="shared" ca="1" si="18"/>
        <v>RFS</v>
      </c>
      <c r="G73" t="str">
        <f t="shared" ca="1" si="18"/>
        <v>CHESTERFIELD ROYAL HOSPITAL NHS FOUNDATION TRUST (RFS)</v>
      </c>
      <c r="H73" t="str">
        <f t="shared" ca="1" si="18"/>
        <v>EQ-5D Index</v>
      </c>
      <c r="I73">
        <f t="shared" ca="1" si="18"/>
        <v>143</v>
      </c>
      <c r="J73">
        <f t="shared" ca="1" si="18"/>
        <v>0.76600000000000001</v>
      </c>
      <c r="K73">
        <f t="shared" ca="1" si="18"/>
        <v>0.875</v>
      </c>
      <c r="L73">
        <f t="shared" ref="L73:R82" ca="1" si="19">VLOOKUP($A73,Funnel_Data,L$1,FALSE)</f>
        <v>0.109</v>
      </c>
      <c r="M73">
        <f t="shared" ca="1" si="19"/>
        <v>83</v>
      </c>
      <c r="N73">
        <f t="shared" ca="1" si="19"/>
        <v>36</v>
      </c>
      <c r="O73">
        <f t="shared" ca="1" si="19"/>
        <v>24</v>
      </c>
      <c r="P73">
        <f t="shared" ca="1" si="19"/>
        <v>0.89100000000000001</v>
      </c>
      <c r="Q73">
        <f t="shared" ca="1" si="19"/>
        <v>9.7340948999999996E-2</v>
      </c>
      <c r="R73">
        <f t="shared" ca="1" si="19"/>
        <v>0.13800000000000001</v>
      </c>
      <c r="S73">
        <f t="shared" ca="1" si="16"/>
        <v>143</v>
      </c>
      <c r="T73">
        <f t="shared" ca="1" si="17"/>
        <v>9.7340948999999996E-2</v>
      </c>
      <c r="U73" t="e">
        <f ca="1">IF(AND($C73='Funnel setup'!$K$3&amp;'Funnel setup'!$K$5&amp;'Funnel setup'!$K$6&amp;'Funnel setup'!$K$4,'Funnel Lookup'!I73="*"),#N/A,IF(AND($C73='Funnel setup'!$K$3&amp;'Funnel setup'!$K$5&amp;'Funnel setup'!$K$6&amp;'Funnel setup'!$K$4,'Funnel Lookup'!I73&gt;29),'Funnel Lookup'!I73,#N/A))</f>
        <v>#N/A</v>
      </c>
      <c r="V73" t="e">
        <f ca="1">IF(AND($C73='Funnel setup'!$K$3&amp;'Funnel setup'!$K$5&amp;'Funnel setup'!$K$6&amp;'Funnel setup'!$K$4,'Funnel Lookup'!I73="*"),#N/A,IF(AND($C73='Funnel setup'!$K$3&amp;'Funnel setup'!$K$5&amp;'Funnel setup'!$K$6&amp;'Funnel setup'!$K$4,'Funnel Lookup'!I73&gt;29),'Funnel Lookup'!Q73,#N/A))</f>
        <v>#N/A</v>
      </c>
    </row>
    <row r="74" spans="1:22" x14ac:dyDescent="0.2">
      <c r="A74">
        <v>72</v>
      </c>
      <c r="B74">
        <f t="shared" ca="1" si="18"/>
        <v>72</v>
      </c>
      <c r="C74" t="str">
        <f t="shared" ca="1" si="18"/>
        <v>Groin HerniaProviderCIRCLE - NOTTINGHAM NHS TREATMENT CENTRE (NV313)EQ-5D Index</v>
      </c>
      <c r="D74" t="str">
        <f t="shared" ca="1" si="18"/>
        <v>Groin Hernia</v>
      </c>
      <c r="E74" t="str">
        <f t="shared" ca="1" si="18"/>
        <v>Provider</v>
      </c>
      <c r="F74" t="str">
        <f t="shared" ca="1" si="18"/>
        <v>NV313</v>
      </c>
      <c r="G74" t="str">
        <f t="shared" ca="1" si="18"/>
        <v>CIRCLE - NOTTINGHAM NHS TREATMENT CENTRE (NV313)</v>
      </c>
      <c r="H74" t="str">
        <f t="shared" ca="1" si="18"/>
        <v>EQ-5D Index</v>
      </c>
      <c r="I74">
        <f t="shared" ca="1" si="18"/>
        <v>187</v>
      </c>
      <c r="J74">
        <f t="shared" ca="1" si="18"/>
        <v>0.82799999999999996</v>
      </c>
      <c r="K74">
        <f t="shared" ca="1" si="18"/>
        <v>0.88</v>
      </c>
      <c r="L74">
        <f t="shared" ca="1" si="19"/>
        <v>5.1999999999999998E-2</v>
      </c>
      <c r="M74">
        <f t="shared" ca="1" si="19"/>
        <v>92</v>
      </c>
      <c r="N74">
        <f t="shared" ca="1" si="19"/>
        <v>59</v>
      </c>
      <c r="O74">
        <f t="shared" ca="1" si="19"/>
        <v>36</v>
      </c>
      <c r="P74">
        <f t="shared" ca="1" si="19"/>
        <v>0.86</v>
      </c>
      <c r="Q74">
        <f t="shared" ca="1" si="19"/>
        <v>6.6365306999999998E-2</v>
      </c>
      <c r="R74">
        <f t="shared" ca="1" si="19"/>
        <v>0.16400000000000001</v>
      </c>
      <c r="S74">
        <f t="shared" ca="1" si="16"/>
        <v>187</v>
      </c>
      <c r="T74">
        <f t="shared" ca="1" si="17"/>
        <v>6.6365306999999998E-2</v>
      </c>
      <c r="U74" t="e">
        <f ca="1">IF(AND($C74='Funnel setup'!$K$3&amp;'Funnel setup'!$K$5&amp;'Funnel setup'!$K$6&amp;'Funnel setup'!$K$4,'Funnel Lookup'!I74="*"),#N/A,IF(AND($C74='Funnel setup'!$K$3&amp;'Funnel setup'!$K$5&amp;'Funnel setup'!$K$6&amp;'Funnel setup'!$K$4,'Funnel Lookup'!I74&gt;29),'Funnel Lookup'!I74,#N/A))</f>
        <v>#N/A</v>
      </c>
      <c r="V74" t="e">
        <f ca="1">IF(AND($C74='Funnel setup'!$K$3&amp;'Funnel setup'!$K$5&amp;'Funnel setup'!$K$6&amp;'Funnel setup'!$K$4,'Funnel Lookup'!I74="*"),#N/A,IF(AND($C74='Funnel setup'!$K$3&amp;'Funnel setup'!$K$5&amp;'Funnel setup'!$K$6&amp;'Funnel setup'!$K$4,'Funnel Lookup'!I74&gt;29),'Funnel Lookup'!Q74,#N/A))</f>
        <v>#N/A</v>
      </c>
    </row>
    <row r="75" spans="1:22" x14ac:dyDescent="0.2">
      <c r="A75">
        <v>73</v>
      </c>
      <c r="B75">
        <f t="shared" ca="1" si="18"/>
        <v>73</v>
      </c>
      <c r="C75" t="str">
        <f t="shared" ca="1" si="18"/>
        <v>Groin HerniaProviderCIRCLE BATH HOSPITAL (NV302)EQ-5D Index</v>
      </c>
      <c r="D75" t="str">
        <f t="shared" ca="1" si="18"/>
        <v>Groin Hernia</v>
      </c>
      <c r="E75" t="str">
        <f t="shared" ca="1" si="18"/>
        <v>Provider</v>
      </c>
      <c r="F75" t="str">
        <f t="shared" ca="1" si="18"/>
        <v>NV302</v>
      </c>
      <c r="G75" t="str">
        <f t="shared" ca="1" si="18"/>
        <v>CIRCLE BATH HOSPITAL (NV302)</v>
      </c>
      <c r="H75" t="str">
        <f t="shared" ca="1" si="18"/>
        <v>EQ-5D Index</v>
      </c>
      <c r="I75">
        <f t="shared" ca="1" si="18"/>
        <v>41</v>
      </c>
      <c r="J75">
        <f t="shared" ca="1" si="18"/>
        <v>0.878</v>
      </c>
      <c r="K75">
        <f t="shared" ca="1" si="18"/>
        <v>0.92500000000000004</v>
      </c>
      <c r="L75">
        <f t="shared" ca="1" si="19"/>
        <v>4.7E-2</v>
      </c>
      <c r="M75">
        <f t="shared" ca="1" si="19"/>
        <v>17</v>
      </c>
      <c r="N75">
        <f t="shared" ca="1" si="19"/>
        <v>18</v>
      </c>
      <c r="O75">
        <f t="shared" ca="1" si="19"/>
        <v>6</v>
      </c>
      <c r="P75">
        <f t="shared" ca="1" si="19"/>
        <v>0.876</v>
      </c>
      <c r="Q75">
        <f t="shared" ca="1" si="19"/>
        <v>8.2273259000000001E-2</v>
      </c>
      <c r="R75">
        <f t="shared" ca="1" si="19"/>
        <v>0.125</v>
      </c>
      <c r="S75">
        <f t="shared" ca="1" si="16"/>
        <v>41</v>
      </c>
      <c r="T75">
        <f t="shared" ca="1" si="17"/>
        <v>8.2273259000000001E-2</v>
      </c>
      <c r="U75" t="e">
        <f ca="1">IF(AND($C75='Funnel setup'!$K$3&amp;'Funnel setup'!$K$5&amp;'Funnel setup'!$K$6&amp;'Funnel setup'!$K$4,'Funnel Lookup'!I75="*"),#N/A,IF(AND($C75='Funnel setup'!$K$3&amp;'Funnel setup'!$K$5&amp;'Funnel setup'!$K$6&amp;'Funnel setup'!$K$4,'Funnel Lookup'!I75&gt;29),'Funnel Lookup'!I75,#N/A))</f>
        <v>#N/A</v>
      </c>
      <c r="V75" t="e">
        <f ca="1">IF(AND($C75='Funnel setup'!$K$3&amp;'Funnel setup'!$K$5&amp;'Funnel setup'!$K$6&amp;'Funnel setup'!$K$4,'Funnel Lookup'!I75="*"),#N/A,IF(AND($C75='Funnel setup'!$K$3&amp;'Funnel setup'!$K$5&amp;'Funnel setup'!$K$6&amp;'Funnel setup'!$K$4,'Funnel Lookup'!I75&gt;29),'Funnel Lookup'!Q75,#N/A))</f>
        <v>#N/A</v>
      </c>
    </row>
    <row r="76" spans="1:22" x14ac:dyDescent="0.2">
      <c r="A76">
        <v>74</v>
      </c>
      <c r="B76">
        <f t="shared" ca="1" si="18"/>
        <v>74</v>
      </c>
      <c r="C76" t="str">
        <f t="shared" ca="1" si="18"/>
        <v>Groin HerniaProviderCIRCLE READING HOSPITAL (NV323)EQ-5D Index</v>
      </c>
      <c r="D76" t="str">
        <f t="shared" ca="1" si="18"/>
        <v>Groin Hernia</v>
      </c>
      <c r="E76" t="str">
        <f t="shared" ca="1" si="18"/>
        <v>Provider</v>
      </c>
      <c r="F76" t="str">
        <f t="shared" ca="1" si="18"/>
        <v>NV323</v>
      </c>
      <c r="G76" t="str">
        <f t="shared" ca="1" si="18"/>
        <v>CIRCLE READING HOSPITAL (NV323)</v>
      </c>
      <c r="H76" t="str">
        <f t="shared" ca="1" si="18"/>
        <v>EQ-5D Index</v>
      </c>
      <c r="I76">
        <f t="shared" ca="1" si="18"/>
        <v>32</v>
      </c>
      <c r="J76">
        <f t="shared" ca="1" si="18"/>
        <v>0.81299999999999994</v>
      </c>
      <c r="K76">
        <f t="shared" ca="1" si="18"/>
        <v>0.92300000000000004</v>
      </c>
      <c r="L76">
        <f t="shared" ca="1" si="19"/>
        <v>0.11</v>
      </c>
      <c r="M76">
        <f t="shared" ca="1" si="19"/>
        <v>22</v>
      </c>
      <c r="N76">
        <f t="shared" ca="1" si="19"/>
        <v>8</v>
      </c>
      <c r="O76">
        <f t="shared" ca="1" si="19"/>
        <v>2</v>
      </c>
      <c r="P76">
        <f t="shared" ca="1" si="19"/>
        <v>0.89200000000000002</v>
      </c>
      <c r="Q76">
        <f t="shared" ca="1" si="19"/>
        <v>9.8334087000000001E-2</v>
      </c>
      <c r="R76">
        <f t="shared" ca="1" si="19"/>
        <v>9.7000000000000003E-2</v>
      </c>
      <c r="S76">
        <f t="shared" ca="1" si="16"/>
        <v>32</v>
      </c>
      <c r="T76">
        <f t="shared" ca="1" si="17"/>
        <v>9.8334087000000001E-2</v>
      </c>
      <c r="U76" t="e">
        <f ca="1">IF(AND($C76='Funnel setup'!$K$3&amp;'Funnel setup'!$K$5&amp;'Funnel setup'!$K$6&amp;'Funnel setup'!$K$4,'Funnel Lookup'!I76="*"),#N/A,IF(AND($C76='Funnel setup'!$K$3&amp;'Funnel setup'!$K$5&amp;'Funnel setup'!$K$6&amp;'Funnel setup'!$K$4,'Funnel Lookup'!I76&gt;29),'Funnel Lookup'!I76,#N/A))</f>
        <v>#N/A</v>
      </c>
      <c r="V76" t="e">
        <f ca="1">IF(AND($C76='Funnel setup'!$K$3&amp;'Funnel setup'!$K$5&amp;'Funnel setup'!$K$6&amp;'Funnel setup'!$K$4,'Funnel Lookup'!I76="*"),#N/A,IF(AND($C76='Funnel setup'!$K$3&amp;'Funnel setup'!$K$5&amp;'Funnel setup'!$K$6&amp;'Funnel setup'!$K$4,'Funnel Lookup'!I76&gt;29),'Funnel Lookup'!Q76,#N/A))</f>
        <v>#N/A</v>
      </c>
    </row>
    <row r="77" spans="1:22" x14ac:dyDescent="0.2">
      <c r="A77">
        <v>75</v>
      </c>
      <c r="B77">
        <f t="shared" ca="1" si="18"/>
        <v>75</v>
      </c>
      <c r="C77" t="str">
        <f t="shared" ca="1" si="18"/>
        <v>Groin HerniaProviderCIRENCESTER NHS TREATMENT CENTRE (NTPH4)EQ-5D Index</v>
      </c>
      <c r="D77" t="str">
        <f t="shared" ca="1" si="18"/>
        <v>Groin Hernia</v>
      </c>
      <c r="E77" t="str">
        <f t="shared" ca="1" si="18"/>
        <v>Provider</v>
      </c>
      <c r="F77" t="str">
        <f t="shared" ca="1" si="18"/>
        <v>NTPH4</v>
      </c>
      <c r="G77" t="str">
        <f t="shared" ca="1" si="18"/>
        <v>CIRENCESTER NHS TREATMENT CENTRE (NTPH4)</v>
      </c>
      <c r="H77" t="str">
        <f t="shared" ca="1" si="18"/>
        <v>EQ-5D Index</v>
      </c>
      <c r="I77">
        <f t="shared" ca="1" si="18"/>
        <v>71</v>
      </c>
      <c r="J77">
        <f t="shared" ca="1" si="18"/>
        <v>0.871</v>
      </c>
      <c r="K77">
        <f t="shared" ca="1" si="18"/>
        <v>0.93400000000000005</v>
      </c>
      <c r="L77">
        <f t="shared" ca="1" si="19"/>
        <v>6.2E-2</v>
      </c>
      <c r="M77">
        <f t="shared" ca="1" si="19"/>
        <v>28</v>
      </c>
      <c r="N77">
        <f t="shared" ca="1" si="19"/>
        <v>36</v>
      </c>
      <c r="O77">
        <f t="shared" ca="1" si="19"/>
        <v>7</v>
      </c>
      <c r="P77">
        <f t="shared" ca="1" si="19"/>
        <v>0.88800000000000001</v>
      </c>
      <c r="Q77">
        <f t="shared" ca="1" si="19"/>
        <v>9.4803411000000004E-2</v>
      </c>
      <c r="R77">
        <f t="shared" ca="1" si="19"/>
        <v>0.13900000000000001</v>
      </c>
      <c r="S77">
        <f t="shared" ca="1" si="16"/>
        <v>71</v>
      </c>
      <c r="T77">
        <f t="shared" ca="1" si="17"/>
        <v>9.4803411000000004E-2</v>
      </c>
      <c r="U77" t="e">
        <f ca="1">IF(AND($C77='Funnel setup'!$K$3&amp;'Funnel setup'!$K$5&amp;'Funnel setup'!$K$6&amp;'Funnel setup'!$K$4,'Funnel Lookup'!I77="*"),#N/A,IF(AND($C77='Funnel setup'!$K$3&amp;'Funnel setup'!$K$5&amp;'Funnel setup'!$K$6&amp;'Funnel setup'!$K$4,'Funnel Lookup'!I77&gt;29),'Funnel Lookup'!I77,#N/A))</f>
        <v>#N/A</v>
      </c>
      <c r="V77" t="e">
        <f ca="1">IF(AND($C77='Funnel setup'!$K$3&amp;'Funnel setup'!$K$5&amp;'Funnel setup'!$K$6&amp;'Funnel setup'!$K$4,'Funnel Lookup'!I77="*"),#N/A,IF(AND($C77='Funnel setup'!$K$3&amp;'Funnel setup'!$K$5&amp;'Funnel setup'!$K$6&amp;'Funnel setup'!$K$4,'Funnel Lookup'!I77&gt;29),'Funnel Lookup'!Q77,#N/A))</f>
        <v>#N/A</v>
      </c>
    </row>
    <row r="78" spans="1:22" x14ac:dyDescent="0.2">
      <c r="A78">
        <v>76</v>
      </c>
      <c r="B78">
        <f t="shared" ca="1" si="18"/>
        <v>76</v>
      </c>
      <c r="C78" t="str">
        <f t="shared" ca="1" si="18"/>
        <v>Groin HerniaProviderCITY HOSPITALS SUNDERLAND NHS FOUNDATION TRUST (RLN)EQ-5D Index</v>
      </c>
      <c r="D78" t="str">
        <f t="shared" ca="1" si="18"/>
        <v>Groin Hernia</v>
      </c>
      <c r="E78" t="str">
        <f t="shared" ca="1" si="18"/>
        <v>Provider</v>
      </c>
      <c r="F78" t="str">
        <f t="shared" ca="1" si="18"/>
        <v>RLN</v>
      </c>
      <c r="G78" t="str">
        <f t="shared" ca="1" si="18"/>
        <v>CITY HOSPITALS SUNDERLAND NHS FOUNDATION TRUST (RLN)</v>
      </c>
      <c r="H78" t="str">
        <f t="shared" ca="1" si="18"/>
        <v>EQ-5D Index</v>
      </c>
      <c r="I78">
        <f t="shared" ca="1" si="18"/>
        <v>139</v>
      </c>
      <c r="J78">
        <f t="shared" ca="1" si="18"/>
        <v>0.71899999999999997</v>
      </c>
      <c r="K78">
        <f t="shared" ca="1" si="18"/>
        <v>0.78</v>
      </c>
      <c r="L78">
        <f t="shared" ca="1" si="19"/>
        <v>6.0999999999999999E-2</v>
      </c>
      <c r="M78">
        <f t="shared" ca="1" si="19"/>
        <v>63</v>
      </c>
      <c r="N78">
        <f t="shared" ca="1" si="19"/>
        <v>36</v>
      </c>
      <c r="O78">
        <f t="shared" ca="1" si="19"/>
        <v>40</v>
      </c>
      <c r="P78">
        <f t="shared" ca="1" si="19"/>
        <v>0.84799999999999998</v>
      </c>
      <c r="Q78">
        <f t="shared" ca="1" si="19"/>
        <v>5.4335804000000001E-2</v>
      </c>
      <c r="R78">
        <f t="shared" ca="1" si="19"/>
        <v>0.19700000000000001</v>
      </c>
      <c r="S78">
        <f t="shared" ca="1" si="16"/>
        <v>139</v>
      </c>
      <c r="T78">
        <f t="shared" ca="1" si="17"/>
        <v>5.4335804000000001E-2</v>
      </c>
      <c r="U78" t="e">
        <f ca="1">IF(AND($C78='Funnel setup'!$K$3&amp;'Funnel setup'!$K$5&amp;'Funnel setup'!$K$6&amp;'Funnel setup'!$K$4,'Funnel Lookup'!I78="*"),#N/A,IF(AND($C78='Funnel setup'!$K$3&amp;'Funnel setup'!$K$5&amp;'Funnel setup'!$K$6&amp;'Funnel setup'!$K$4,'Funnel Lookup'!I78&gt;29),'Funnel Lookup'!I78,#N/A))</f>
        <v>#N/A</v>
      </c>
      <c r="V78" t="e">
        <f ca="1">IF(AND($C78='Funnel setup'!$K$3&amp;'Funnel setup'!$K$5&amp;'Funnel setup'!$K$6&amp;'Funnel setup'!$K$4,'Funnel Lookup'!I78="*"),#N/A,IF(AND($C78='Funnel setup'!$K$3&amp;'Funnel setup'!$K$5&amp;'Funnel setup'!$K$6&amp;'Funnel setup'!$K$4,'Funnel Lookup'!I78&gt;29),'Funnel Lookup'!Q78,#N/A))</f>
        <v>#N/A</v>
      </c>
    </row>
    <row r="79" spans="1:22" x14ac:dyDescent="0.2">
      <c r="A79">
        <v>77</v>
      </c>
      <c r="B79">
        <f t="shared" ca="1" si="18"/>
        <v>77</v>
      </c>
      <c r="C79" t="str">
        <f t="shared" ca="1" si="18"/>
        <v>Groin HerniaProviderCOBALT HOSPITAL (NVC29)EQ-5D Index</v>
      </c>
      <c r="D79" t="str">
        <f t="shared" ca="1" si="18"/>
        <v>Groin Hernia</v>
      </c>
      <c r="E79" t="str">
        <f t="shared" ca="1" si="18"/>
        <v>Provider</v>
      </c>
      <c r="F79" t="str">
        <f t="shared" ca="1" si="18"/>
        <v>NVC29</v>
      </c>
      <c r="G79" t="str">
        <f t="shared" ca="1" si="18"/>
        <v>COBALT HOSPITAL (NVC29)</v>
      </c>
      <c r="H79" t="str">
        <f t="shared" ca="1" si="18"/>
        <v>EQ-5D Index</v>
      </c>
      <c r="I79">
        <f t="shared" ca="1" si="18"/>
        <v>54</v>
      </c>
      <c r="J79">
        <f t="shared" ca="1" si="18"/>
        <v>0.85699999999999998</v>
      </c>
      <c r="K79">
        <f t="shared" ca="1" si="18"/>
        <v>0.88200000000000001</v>
      </c>
      <c r="L79">
        <f t="shared" ca="1" si="19"/>
        <v>2.5000000000000001E-2</v>
      </c>
      <c r="M79">
        <f t="shared" ca="1" si="19"/>
        <v>18</v>
      </c>
      <c r="N79">
        <f t="shared" ca="1" si="19"/>
        <v>27</v>
      </c>
      <c r="O79">
        <f t="shared" ca="1" si="19"/>
        <v>9</v>
      </c>
      <c r="P79">
        <f t="shared" ca="1" si="19"/>
        <v>0.83799999999999997</v>
      </c>
      <c r="Q79">
        <f t="shared" ca="1" si="19"/>
        <v>4.4608923000000002E-2</v>
      </c>
      <c r="R79">
        <f t="shared" ca="1" si="19"/>
        <v>0.158</v>
      </c>
      <c r="S79">
        <f t="shared" ca="1" si="16"/>
        <v>54</v>
      </c>
      <c r="T79">
        <f t="shared" ca="1" si="17"/>
        <v>4.4608923000000002E-2</v>
      </c>
      <c r="U79" t="e">
        <f ca="1">IF(AND($C79='Funnel setup'!$K$3&amp;'Funnel setup'!$K$5&amp;'Funnel setup'!$K$6&amp;'Funnel setup'!$K$4,'Funnel Lookup'!I79="*"),#N/A,IF(AND($C79='Funnel setup'!$K$3&amp;'Funnel setup'!$K$5&amp;'Funnel setup'!$K$6&amp;'Funnel setup'!$K$4,'Funnel Lookup'!I79&gt;29),'Funnel Lookup'!I79,#N/A))</f>
        <v>#N/A</v>
      </c>
      <c r="V79" t="e">
        <f ca="1">IF(AND($C79='Funnel setup'!$K$3&amp;'Funnel setup'!$K$5&amp;'Funnel setup'!$K$6&amp;'Funnel setup'!$K$4,'Funnel Lookup'!I79="*"),#N/A,IF(AND($C79='Funnel setup'!$K$3&amp;'Funnel setup'!$K$5&amp;'Funnel setup'!$K$6&amp;'Funnel setup'!$K$4,'Funnel Lookup'!I79&gt;29),'Funnel Lookup'!Q79,#N/A))</f>
        <v>#N/A</v>
      </c>
    </row>
    <row r="80" spans="1:22" x14ac:dyDescent="0.2">
      <c r="A80">
        <v>78</v>
      </c>
      <c r="B80">
        <f t="shared" ca="1" si="18"/>
        <v>78</v>
      </c>
      <c r="C80" t="str">
        <f t="shared" ca="1" si="18"/>
        <v>Groin HerniaProviderCOLCHESTER HOSPITAL UNIVERSITY NHS FOUNDATION TRUST (RDE)EQ-5D Index</v>
      </c>
      <c r="D80" t="str">
        <f t="shared" ca="1" si="18"/>
        <v>Groin Hernia</v>
      </c>
      <c r="E80" t="str">
        <f t="shared" ca="1" si="18"/>
        <v>Provider</v>
      </c>
      <c r="F80" t="str">
        <f t="shared" ca="1" si="18"/>
        <v>RDE</v>
      </c>
      <c r="G80" t="str">
        <f t="shared" ca="1" si="18"/>
        <v>COLCHESTER HOSPITAL UNIVERSITY NHS FOUNDATION TRUST (RDE)</v>
      </c>
      <c r="H80" t="str">
        <f t="shared" ca="1" si="18"/>
        <v>EQ-5D Index</v>
      </c>
      <c r="I80">
        <f t="shared" ca="1" si="18"/>
        <v>153</v>
      </c>
      <c r="J80">
        <f t="shared" ca="1" si="18"/>
        <v>0.748</v>
      </c>
      <c r="K80">
        <f t="shared" ca="1" si="18"/>
        <v>0.85599999999999998</v>
      </c>
      <c r="L80">
        <f t="shared" ca="1" si="19"/>
        <v>0.108</v>
      </c>
      <c r="M80">
        <f t="shared" ca="1" si="19"/>
        <v>77</v>
      </c>
      <c r="N80">
        <f t="shared" ca="1" si="19"/>
        <v>51</v>
      </c>
      <c r="O80">
        <f t="shared" ca="1" si="19"/>
        <v>25</v>
      </c>
      <c r="P80">
        <f t="shared" ca="1" si="19"/>
        <v>0.88900000000000001</v>
      </c>
      <c r="Q80">
        <f t="shared" ca="1" si="19"/>
        <v>9.5608597000000003E-2</v>
      </c>
      <c r="R80">
        <f t="shared" ca="1" si="19"/>
        <v>0.16700000000000001</v>
      </c>
      <c r="S80">
        <f t="shared" ca="1" si="16"/>
        <v>153</v>
      </c>
      <c r="T80">
        <f t="shared" ca="1" si="17"/>
        <v>9.5608597000000003E-2</v>
      </c>
      <c r="U80" t="e">
        <f ca="1">IF(AND($C80='Funnel setup'!$K$3&amp;'Funnel setup'!$K$5&amp;'Funnel setup'!$K$6&amp;'Funnel setup'!$K$4,'Funnel Lookup'!I80="*"),#N/A,IF(AND($C80='Funnel setup'!$K$3&amp;'Funnel setup'!$K$5&amp;'Funnel setup'!$K$6&amp;'Funnel setup'!$K$4,'Funnel Lookup'!I80&gt;29),'Funnel Lookup'!I80,#N/A))</f>
        <v>#N/A</v>
      </c>
      <c r="V80" t="e">
        <f ca="1">IF(AND($C80='Funnel setup'!$K$3&amp;'Funnel setup'!$K$5&amp;'Funnel setup'!$K$6&amp;'Funnel setup'!$K$4,'Funnel Lookup'!I80="*"),#N/A,IF(AND($C80='Funnel setup'!$K$3&amp;'Funnel setup'!$K$5&amp;'Funnel setup'!$K$6&amp;'Funnel setup'!$K$4,'Funnel Lookup'!I80&gt;29),'Funnel Lookup'!Q80,#N/A))</f>
        <v>#N/A</v>
      </c>
    </row>
    <row r="81" spans="1:22" x14ac:dyDescent="0.2">
      <c r="A81">
        <v>79</v>
      </c>
      <c r="B81">
        <f t="shared" ca="1" si="18"/>
        <v>79</v>
      </c>
      <c r="C81" t="str">
        <f t="shared" ca="1" si="18"/>
        <v>Groin HerniaProviderCOUNTESS OF CHESTER HOSPITAL NHS FOUNDATION TRUST (RJR)EQ-5D Index</v>
      </c>
      <c r="D81" t="str">
        <f t="shared" ca="1" si="18"/>
        <v>Groin Hernia</v>
      </c>
      <c r="E81" t="str">
        <f t="shared" ca="1" si="18"/>
        <v>Provider</v>
      </c>
      <c r="F81" t="str">
        <f t="shared" ca="1" si="18"/>
        <v>RJR</v>
      </c>
      <c r="G81" t="str">
        <f t="shared" ca="1" si="18"/>
        <v>COUNTESS OF CHESTER HOSPITAL NHS FOUNDATION TRUST (RJR)</v>
      </c>
      <c r="H81" t="str">
        <f t="shared" ca="1" si="18"/>
        <v>EQ-5D Index</v>
      </c>
      <c r="I81">
        <f t="shared" ca="1" si="18"/>
        <v>88</v>
      </c>
      <c r="J81">
        <f t="shared" ca="1" si="18"/>
        <v>0.78800000000000003</v>
      </c>
      <c r="K81">
        <f t="shared" ca="1" si="18"/>
        <v>0.85899999999999999</v>
      </c>
      <c r="L81">
        <f t="shared" ca="1" si="19"/>
        <v>7.0999999999999994E-2</v>
      </c>
      <c r="M81">
        <f t="shared" ca="1" si="19"/>
        <v>36</v>
      </c>
      <c r="N81">
        <f t="shared" ca="1" si="19"/>
        <v>32</v>
      </c>
      <c r="O81">
        <f t="shared" ca="1" si="19"/>
        <v>20</v>
      </c>
      <c r="P81">
        <f t="shared" ca="1" si="19"/>
        <v>0.86399999999999999</v>
      </c>
      <c r="Q81">
        <f t="shared" ca="1" si="19"/>
        <v>7.1019235E-2</v>
      </c>
      <c r="R81">
        <f t="shared" ca="1" si="19"/>
        <v>0.14399999999999999</v>
      </c>
      <c r="S81">
        <f t="shared" ca="1" si="16"/>
        <v>88</v>
      </c>
      <c r="T81">
        <f t="shared" ca="1" si="17"/>
        <v>7.1019235E-2</v>
      </c>
      <c r="U81" t="e">
        <f ca="1">IF(AND($C81='Funnel setup'!$K$3&amp;'Funnel setup'!$K$5&amp;'Funnel setup'!$K$6&amp;'Funnel setup'!$K$4,'Funnel Lookup'!I81="*"),#N/A,IF(AND($C81='Funnel setup'!$K$3&amp;'Funnel setup'!$K$5&amp;'Funnel setup'!$K$6&amp;'Funnel setup'!$K$4,'Funnel Lookup'!I81&gt;29),'Funnel Lookup'!I81,#N/A))</f>
        <v>#N/A</v>
      </c>
      <c r="V81" t="e">
        <f ca="1">IF(AND($C81='Funnel setup'!$K$3&amp;'Funnel setup'!$K$5&amp;'Funnel setup'!$K$6&amp;'Funnel setup'!$K$4,'Funnel Lookup'!I81="*"),#N/A,IF(AND($C81='Funnel setup'!$K$3&amp;'Funnel setup'!$K$5&amp;'Funnel setup'!$K$6&amp;'Funnel setup'!$K$4,'Funnel Lookup'!I81&gt;29),'Funnel Lookup'!Q81,#N/A))</f>
        <v>#N/A</v>
      </c>
    </row>
    <row r="82" spans="1:22" x14ac:dyDescent="0.2">
      <c r="A82">
        <v>80</v>
      </c>
      <c r="B82">
        <f t="shared" ca="1" si="18"/>
        <v>80</v>
      </c>
      <c r="C82" t="str">
        <f t="shared" ca="1" si="18"/>
        <v>Groin HerniaProviderCOUNTY DURHAM AND DARLINGTON NHS FOUNDATION TRUST (RXP)EQ-5D Index</v>
      </c>
      <c r="D82" t="str">
        <f t="shared" ca="1" si="18"/>
        <v>Groin Hernia</v>
      </c>
      <c r="E82" t="str">
        <f t="shared" ca="1" si="18"/>
        <v>Provider</v>
      </c>
      <c r="F82" t="str">
        <f t="shared" ca="1" si="18"/>
        <v>RXP</v>
      </c>
      <c r="G82" t="str">
        <f t="shared" ca="1" si="18"/>
        <v>COUNTY DURHAM AND DARLINGTON NHS FOUNDATION TRUST (RXP)</v>
      </c>
      <c r="H82" t="str">
        <f t="shared" ca="1" si="18"/>
        <v>EQ-5D Index</v>
      </c>
      <c r="I82">
        <f t="shared" ca="1" si="18"/>
        <v>169</v>
      </c>
      <c r="J82">
        <f t="shared" ca="1" si="18"/>
        <v>0.80800000000000005</v>
      </c>
      <c r="K82">
        <f t="shared" ca="1" si="18"/>
        <v>0.85</v>
      </c>
      <c r="L82">
        <f t="shared" ca="1" si="19"/>
        <v>4.2999999999999997E-2</v>
      </c>
      <c r="M82">
        <f t="shared" ca="1" si="19"/>
        <v>78</v>
      </c>
      <c r="N82">
        <f t="shared" ca="1" si="19"/>
        <v>53</v>
      </c>
      <c r="O82">
        <f t="shared" ca="1" si="19"/>
        <v>38</v>
      </c>
      <c r="P82">
        <f t="shared" ca="1" si="19"/>
        <v>0.85699999999999998</v>
      </c>
      <c r="Q82">
        <f t="shared" ca="1" si="19"/>
        <v>6.3684451000000003E-2</v>
      </c>
      <c r="R82">
        <f t="shared" ca="1" si="19"/>
        <v>0.187</v>
      </c>
      <c r="S82">
        <f t="shared" ca="1" si="16"/>
        <v>169</v>
      </c>
      <c r="T82">
        <f t="shared" ca="1" si="17"/>
        <v>6.3684451000000003E-2</v>
      </c>
      <c r="U82" t="e">
        <f ca="1">IF(AND($C82='Funnel setup'!$K$3&amp;'Funnel setup'!$K$5&amp;'Funnel setup'!$K$6&amp;'Funnel setup'!$K$4,'Funnel Lookup'!I82="*"),#N/A,IF(AND($C82='Funnel setup'!$K$3&amp;'Funnel setup'!$K$5&amp;'Funnel setup'!$K$6&amp;'Funnel setup'!$K$4,'Funnel Lookup'!I82&gt;29),'Funnel Lookup'!I82,#N/A))</f>
        <v>#N/A</v>
      </c>
      <c r="V82" t="e">
        <f ca="1">IF(AND($C82='Funnel setup'!$K$3&amp;'Funnel setup'!$K$5&amp;'Funnel setup'!$K$6&amp;'Funnel setup'!$K$4,'Funnel Lookup'!I82="*"),#N/A,IF(AND($C82='Funnel setup'!$K$3&amp;'Funnel setup'!$K$5&amp;'Funnel setup'!$K$6&amp;'Funnel setup'!$K$4,'Funnel Lookup'!I82&gt;29),'Funnel Lookup'!Q82,#N/A))</f>
        <v>#N/A</v>
      </c>
    </row>
    <row r="83" spans="1:22" x14ac:dyDescent="0.2">
      <c r="A83">
        <v>81</v>
      </c>
      <c r="B83">
        <f t="shared" ref="B83:K92" ca="1" si="20">VLOOKUP($A83,Funnel_Data,B$1,FALSE)</f>
        <v>81</v>
      </c>
      <c r="C83" t="str">
        <f t="shared" ca="1" si="20"/>
        <v>Groin HerniaProviderDARTFORD AND GRAVESHAM NHS TRUST (RN7)EQ-5D Index</v>
      </c>
      <c r="D83" t="str">
        <f t="shared" ca="1" si="20"/>
        <v>Groin Hernia</v>
      </c>
      <c r="E83" t="str">
        <f t="shared" ca="1" si="20"/>
        <v>Provider</v>
      </c>
      <c r="F83" t="str">
        <f t="shared" ca="1" si="20"/>
        <v>RN7</v>
      </c>
      <c r="G83" t="str">
        <f t="shared" ca="1" si="20"/>
        <v>DARTFORD AND GRAVESHAM NHS TRUST (RN7)</v>
      </c>
      <c r="H83" t="str">
        <f t="shared" ca="1" si="20"/>
        <v>EQ-5D Index</v>
      </c>
      <c r="I83">
        <f t="shared" ca="1" si="20"/>
        <v>56</v>
      </c>
      <c r="J83">
        <f t="shared" ca="1" si="20"/>
        <v>0.79600000000000004</v>
      </c>
      <c r="K83">
        <f t="shared" ca="1" si="20"/>
        <v>0.88</v>
      </c>
      <c r="L83">
        <f t="shared" ref="L83:R92" ca="1" si="21">VLOOKUP($A83,Funnel_Data,L$1,FALSE)</f>
        <v>8.4000000000000005E-2</v>
      </c>
      <c r="M83">
        <f t="shared" ca="1" si="21"/>
        <v>23</v>
      </c>
      <c r="N83">
        <f t="shared" ca="1" si="21"/>
        <v>27</v>
      </c>
      <c r="O83">
        <f t="shared" ca="1" si="21"/>
        <v>6</v>
      </c>
      <c r="P83">
        <f t="shared" ca="1" si="21"/>
        <v>0.90600000000000003</v>
      </c>
      <c r="Q83">
        <f t="shared" ca="1" si="21"/>
        <v>0.11299629899999999</v>
      </c>
      <c r="R83">
        <f t="shared" ca="1" si="21"/>
        <v>0.115</v>
      </c>
      <c r="S83">
        <f t="shared" ca="1" si="16"/>
        <v>56</v>
      </c>
      <c r="T83">
        <f t="shared" ca="1" si="17"/>
        <v>0.11299629899999999</v>
      </c>
      <c r="U83" t="e">
        <f ca="1">IF(AND($C83='Funnel setup'!$K$3&amp;'Funnel setup'!$K$5&amp;'Funnel setup'!$K$6&amp;'Funnel setup'!$K$4,'Funnel Lookup'!I83="*"),#N/A,IF(AND($C83='Funnel setup'!$K$3&amp;'Funnel setup'!$K$5&amp;'Funnel setup'!$K$6&amp;'Funnel setup'!$K$4,'Funnel Lookup'!I83&gt;29),'Funnel Lookup'!I83,#N/A))</f>
        <v>#N/A</v>
      </c>
      <c r="V83" t="e">
        <f ca="1">IF(AND($C83='Funnel setup'!$K$3&amp;'Funnel setup'!$K$5&amp;'Funnel setup'!$K$6&amp;'Funnel setup'!$K$4,'Funnel Lookup'!I83="*"),#N/A,IF(AND($C83='Funnel setup'!$K$3&amp;'Funnel setup'!$K$5&amp;'Funnel setup'!$K$6&amp;'Funnel setup'!$K$4,'Funnel Lookup'!I83&gt;29),'Funnel Lookup'!Q83,#N/A))</f>
        <v>#N/A</v>
      </c>
    </row>
    <row r="84" spans="1:22" x14ac:dyDescent="0.2">
      <c r="A84">
        <v>82</v>
      </c>
      <c r="B84">
        <f t="shared" ca="1" si="20"/>
        <v>82</v>
      </c>
      <c r="C84" t="str">
        <f t="shared" ca="1" si="20"/>
        <v>Groin HerniaProviderDERBY TEACHING HOSPITALS NHS FOUNDATION TRUST (RTG)EQ-5D Index</v>
      </c>
      <c r="D84" t="str">
        <f t="shared" ca="1" si="20"/>
        <v>Groin Hernia</v>
      </c>
      <c r="E84" t="str">
        <f t="shared" ca="1" si="20"/>
        <v>Provider</v>
      </c>
      <c r="F84" t="str">
        <f t="shared" ca="1" si="20"/>
        <v>RTG</v>
      </c>
      <c r="G84" t="str">
        <f t="shared" ca="1" si="20"/>
        <v>DERBY TEACHING HOSPITALS NHS FOUNDATION TRUST (RTG)</v>
      </c>
      <c r="H84" t="str">
        <f t="shared" ca="1" si="20"/>
        <v>EQ-5D Index</v>
      </c>
      <c r="I84">
        <f t="shared" ca="1" si="20"/>
        <v>144</v>
      </c>
      <c r="J84">
        <f t="shared" ca="1" si="20"/>
        <v>0.81</v>
      </c>
      <c r="K84">
        <f t="shared" ca="1" si="20"/>
        <v>0.86399999999999999</v>
      </c>
      <c r="L84">
        <f t="shared" ca="1" si="21"/>
        <v>5.5E-2</v>
      </c>
      <c r="M84">
        <f t="shared" ca="1" si="21"/>
        <v>65</v>
      </c>
      <c r="N84">
        <f t="shared" ca="1" si="21"/>
        <v>52</v>
      </c>
      <c r="O84">
        <f t="shared" ca="1" si="21"/>
        <v>27</v>
      </c>
      <c r="P84">
        <f t="shared" ca="1" si="21"/>
        <v>0.85699999999999998</v>
      </c>
      <c r="Q84">
        <f t="shared" ca="1" si="21"/>
        <v>6.3254006000000002E-2</v>
      </c>
      <c r="R84">
        <f t="shared" ca="1" si="21"/>
        <v>0.158</v>
      </c>
      <c r="S84">
        <f t="shared" ca="1" si="16"/>
        <v>144</v>
      </c>
      <c r="T84">
        <f t="shared" ca="1" si="17"/>
        <v>6.3254006000000002E-2</v>
      </c>
      <c r="U84" t="e">
        <f ca="1">IF(AND($C84='Funnel setup'!$K$3&amp;'Funnel setup'!$K$5&amp;'Funnel setup'!$K$6&amp;'Funnel setup'!$K$4,'Funnel Lookup'!I84="*"),#N/A,IF(AND($C84='Funnel setup'!$K$3&amp;'Funnel setup'!$K$5&amp;'Funnel setup'!$K$6&amp;'Funnel setup'!$K$4,'Funnel Lookup'!I84&gt;29),'Funnel Lookup'!I84,#N/A))</f>
        <v>#N/A</v>
      </c>
      <c r="V84" t="e">
        <f ca="1">IF(AND($C84='Funnel setup'!$K$3&amp;'Funnel setup'!$K$5&amp;'Funnel setup'!$K$6&amp;'Funnel setup'!$K$4,'Funnel Lookup'!I84="*"),#N/A,IF(AND($C84='Funnel setup'!$K$3&amp;'Funnel setup'!$K$5&amp;'Funnel setup'!$K$6&amp;'Funnel setup'!$K$4,'Funnel Lookup'!I84&gt;29),'Funnel Lookup'!Q84,#N/A))</f>
        <v>#N/A</v>
      </c>
    </row>
    <row r="85" spans="1:22" x14ac:dyDescent="0.2">
      <c r="A85">
        <v>83</v>
      </c>
      <c r="B85">
        <f t="shared" ca="1" si="20"/>
        <v>83</v>
      </c>
      <c r="C85" t="str">
        <f t="shared" ca="1" si="20"/>
        <v>Groin HerniaProviderDERBYSHIRE COMMUNITY HEALTH SERVICES NHS FOUNDATION TRUST (RY8)EQ-5D Index</v>
      </c>
      <c r="D85" t="str">
        <f t="shared" ca="1" si="20"/>
        <v>Groin Hernia</v>
      </c>
      <c r="E85" t="str">
        <f t="shared" ca="1" si="20"/>
        <v>Provider</v>
      </c>
      <c r="F85" t="str">
        <f t="shared" ca="1" si="20"/>
        <v>RY8</v>
      </c>
      <c r="G85" t="str">
        <f t="shared" ca="1" si="20"/>
        <v>DERBYSHIRE COMMUNITY HEALTH SERVICES NHS FOUNDATION TRUST (RY8)</v>
      </c>
      <c r="H85" t="str">
        <f t="shared" ca="1" si="20"/>
        <v>EQ-5D Index</v>
      </c>
      <c r="I85" t="str">
        <f t="shared" ca="1" si="20"/>
        <v>*</v>
      </c>
      <c r="J85" t="str">
        <f t="shared" ca="1" si="20"/>
        <v>*</v>
      </c>
      <c r="K85" t="str">
        <f t="shared" ca="1" si="20"/>
        <v>*</v>
      </c>
      <c r="L85" t="str">
        <f t="shared" ca="1" si="21"/>
        <v>*</v>
      </c>
      <c r="M85" t="str">
        <f t="shared" ca="1" si="21"/>
        <v>*</v>
      </c>
      <c r="N85" t="str">
        <f t="shared" ca="1" si="21"/>
        <v>*</v>
      </c>
      <c r="O85" t="str">
        <f t="shared" ca="1" si="21"/>
        <v>*</v>
      </c>
      <c r="P85" t="str">
        <f t="shared" ca="1" si="21"/>
        <v>*</v>
      </c>
      <c r="Q85" t="str">
        <f t="shared" ca="1" si="21"/>
        <v>*</v>
      </c>
      <c r="R85" t="str">
        <f t="shared" ca="1" si="21"/>
        <v>*</v>
      </c>
      <c r="S85" t="e">
        <f t="shared" ca="1" si="16"/>
        <v>#N/A</v>
      </c>
      <c r="T85" t="e">
        <f t="shared" ca="1" si="17"/>
        <v>#N/A</v>
      </c>
      <c r="U85" t="e">
        <f ca="1">IF(AND($C85='Funnel setup'!$K$3&amp;'Funnel setup'!$K$5&amp;'Funnel setup'!$K$6&amp;'Funnel setup'!$K$4,'Funnel Lookup'!I85="*"),#N/A,IF(AND($C85='Funnel setup'!$K$3&amp;'Funnel setup'!$K$5&amp;'Funnel setup'!$K$6&amp;'Funnel setup'!$K$4,'Funnel Lookup'!I85&gt;29),'Funnel Lookup'!I85,#N/A))</f>
        <v>#N/A</v>
      </c>
      <c r="V85" t="e">
        <f ca="1">IF(AND($C85='Funnel setup'!$K$3&amp;'Funnel setup'!$K$5&amp;'Funnel setup'!$K$6&amp;'Funnel setup'!$K$4,'Funnel Lookup'!I85="*"),#N/A,IF(AND($C85='Funnel setup'!$K$3&amp;'Funnel setup'!$K$5&amp;'Funnel setup'!$K$6&amp;'Funnel setup'!$K$4,'Funnel Lookup'!I85&gt;29),'Funnel Lookup'!Q85,#N/A))</f>
        <v>#N/A</v>
      </c>
    </row>
    <row r="86" spans="1:22" x14ac:dyDescent="0.2">
      <c r="A86">
        <v>84</v>
      </c>
      <c r="B86">
        <f t="shared" ca="1" si="20"/>
        <v>84</v>
      </c>
      <c r="C86" t="str">
        <f t="shared" ca="1" si="20"/>
        <v>Groin HerniaProviderDEVIZES NHS TREATMENT CENTRE (NTPH3)EQ-5D Index</v>
      </c>
      <c r="D86" t="str">
        <f t="shared" ca="1" si="20"/>
        <v>Groin Hernia</v>
      </c>
      <c r="E86" t="str">
        <f t="shared" ca="1" si="20"/>
        <v>Provider</v>
      </c>
      <c r="F86" t="str">
        <f t="shared" ca="1" si="20"/>
        <v>NTPH3</v>
      </c>
      <c r="G86" t="str">
        <f t="shared" ca="1" si="20"/>
        <v>DEVIZES NHS TREATMENT CENTRE (NTPH3)</v>
      </c>
      <c r="H86" t="str">
        <f t="shared" ca="1" si="20"/>
        <v>EQ-5D Index</v>
      </c>
      <c r="I86">
        <f t="shared" ca="1" si="20"/>
        <v>90</v>
      </c>
      <c r="J86">
        <f t="shared" ca="1" si="20"/>
        <v>0.83199999999999996</v>
      </c>
      <c r="K86">
        <f t="shared" ca="1" si="20"/>
        <v>0.91800000000000004</v>
      </c>
      <c r="L86">
        <f t="shared" ca="1" si="21"/>
        <v>8.6999999999999994E-2</v>
      </c>
      <c r="M86">
        <f t="shared" ca="1" si="21"/>
        <v>48</v>
      </c>
      <c r="N86">
        <f t="shared" ca="1" si="21"/>
        <v>32</v>
      </c>
      <c r="O86">
        <f t="shared" ca="1" si="21"/>
        <v>10</v>
      </c>
      <c r="P86">
        <f t="shared" ca="1" si="21"/>
        <v>0.88700000000000001</v>
      </c>
      <c r="Q86">
        <f t="shared" ca="1" si="21"/>
        <v>9.3310833999999995E-2</v>
      </c>
      <c r="R86">
        <f t="shared" ca="1" si="21"/>
        <v>0.11600000000000001</v>
      </c>
      <c r="S86">
        <f t="shared" ca="1" si="16"/>
        <v>90</v>
      </c>
      <c r="T86">
        <f t="shared" ca="1" si="17"/>
        <v>9.3310833999999995E-2</v>
      </c>
      <c r="U86" t="e">
        <f ca="1">IF(AND($C86='Funnel setup'!$K$3&amp;'Funnel setup'!$K$5&amp;'Funnel setup'!$K$6&amp;'Funnel setup'!$K$4,'Funnel Lookup'!I86="*"),#N/A,IF(AND($C86='Funnel setup'!$K$3&amp;'Funnel setup'!$K$5&amp;'Funnel setup'!$K$6&amp;'Funnel setup'!$K$4,'Funnel Lookup'!I86&gt;29),'Funnel Lookup'!I86,#N/A))</f>
        <v>#N/A</v>
      </c>
      <c r="V86" t="e">
        <f ca="1">IF(AND($C86='Funnel setup'!$K$3&amp;'Funnel setup'!$K$5&amp;'Funnel setup'!$K$6&amp;'Funnel setup'!$K$4,'Funnel Lookup'!I86="*"),#N/A,IF(AND($C86='Funnel setup'!$K$3&amp;'Funnel setup'!$K$5&amp;'Funnel setup'!$K$6&amp;'Funnel setup'!$K$4,'Funnel Lookup'!I86&gt;29),'Funnel Lookup'!Q86,#N/A))</f>
        <v>#N/A</v>
      </c>
    </row>
    <row r="87" spans="1:22" x14ac:dyDescent="0.2">
      <c r="A87">
        <v>85</v>
      </c>
      <c r="B87">
        <f t="shared" ca="1" si="20"/>
        <v>85</v>
      </c>
      <c r="C87" t="str">
        <f t="shared" ca="1" si="20"/>
        <v>Groin HerniaProviderDONCASTER AND BASSETLAW HOSPITALS NHS FOUNDATION TRUST (RP5)EQ-5D Index</v>
      </c>
      <c r="D87" t="str">
        <f t="shared" ca="1" si="20"/>
        <v>Groin Hernia</v>
      </c>
      <c r="E87" t="str">
        <f t="shared" ca="1" si="20"/>
        <v>Provider</v>
      </c>
      <c r="F87" t="str">
        <f t="shared" ca="1" si="20"/>
        <v>RP5</v>
      </c>
      <c r="G87" t="str">
        <f t="shared" ca="1" si="20"/>
        <v>DONCASTER AND BASSETLAW HOSPITALS NHS FOUNDATION TRUST (RP5)</v>
      </c>
      <c r="H87" t="str">
        <f t="shared" ca="1" si="20"/>
        <v>EQ-5D Index</v>
      </c>
      <c r="I87">
        <f t="shared" ca="1" si="20"/>
        <v>257</v>
      </c>
      <c r="J87">
        <f t="shared" ca="1" si="20"/>
        <v>0.77100000000000002</v>
      </c>
      <c r="K87">
        <f t="shared" ca="1" si="20"/>
        <v>0.83599999999999997</v>
      </c>
      <c r="L87">
        <f t="shared" ca="1" si="21"/>
        <v>6.5000000000000002E-2</v>
      </c>
      <c r="M87">
        <f t="shared" ca="1" si="21"/>
        <v>130</v>
      </c>
      <c r="N87">
        <f t="shared" ca="1" si="21"/>
        <v>67</v>
      </c>
      <c r="O87">
        <f t="shared" ca="1" si="21"/>
        <v>60</v>
      </c>
      <c r="P87">
        <f t="shared" ca="1" si="21"/>
        <v>0.85699999999999998</v>
      </c>
      <c r="Q87">
        <f t="shared" ca="1" si="21"/>
        <v>6.3738845000000002E-2</v>
      </c>
      <c r="R87">
        <f t="shared" ca="1" si="21"/>
        <v>0.17699999999999999</v>
      </c>
      <c r="S87">
        <f t="shared" ca="1" si="16"/>
        <v>257</v>
      </c>
      <c r="T87">
        <f t="shared" ca="1" si="17"/>
        <v>6.3738845000000002E-2</v>
      </c>
      <c r="U87" t="e">
        <f ca="1">IF(AND($C87='Funnel setup'!$K$3&amp;'Funnel setup'!$K$5&amp;'Funnel setup'!$K$6&amp;'Funnel setup'!$K$4,'Funnel Lookup'!I87="*"),#N/A,IF(AND($C87='Funnel setup'!$K$3&amp;'Funnel setup'!$K$5&amp;'Funnel setup'!$K$6&amp;'Funnel setup'!$K$4,'Funnel Lookup'!I87&gt;29),'Funnel Lookup'!I87,#N/A))</f>
        <v>#N/A</v>
      </c>
      <c r="V87" t="e">
        <f ca="1">IF(AND($C87='Funnel setup'!$K$3&amp;'Funnel setup'!$K$5&amp;'Funnel setup'!$K$6&amp;'Funnel setup'!$K$4,'Funnel Lookup'!I87="*"),#N/A,IF(AND($C87='Funnel setup'!$K$3&amp;'Funnel setup'!$K$5&amp;'Funnel setup'!$K$6&amp;'Funnel setup'!$K$4,'Funnel Lookup'!I87&gt;29),'Funnel Lookup'!Q87,#N/A))</f>
        <v>#N/A</v>
      </c>
    </row>
    <row r="88" spans="1:22" x14ac:dyDescent="0.2">
      <c r="A88">
        <v>86</v>
      </c>
      <c r="B88">
        <f t="shared" ca="1" si="20"/>
        <v>86</v>
      </c>
      <c r="C88" t="str">
        <f t="shared" ca="1" si="20"/>
        <v>Groin HerniaProviderDORSET COUNTY HOSPITAL NHS FOUNDATION TRUST (RBD)EQ-5D Index</v>
      </c>
      <c r="D88" t="str">
        <f t="shared" ca="1" si="20"/>
        <v>Groin Hernia</v>
      </c>
      <c r="E88" t="str">
        <f t="shared" ca="1" si="20"/>
        <v>Provider</v>
      </c>
      <c r="F88" t="str">
        <f t="shared" ca="1" si="20"/>
        <v>RBD</v>
      </c>
      <c r="G88" t="str">
        <f t="shared" ca="1" si="20"/>
        <v>DORSET COUNTY HOSPITAL NHS FOUNDATION TRUST (RBD)</v>
      </c>
      <c r="H88" t="str">
        <f t="shared" ca="1" si="20"/>
        <v>EQ-5D Index</v>
      </c>
      <c r="I88">
        <f t="shared" ca="1" si="20"/>
        <v>59</v>
      </c>
      <c r="J88">
        <f t="shared" ca="1" si="20"/>
        <v>0.82799999999999996</v>
      </c>
      <c r="K88">
        <f t="shared" ca="1" si="20"/>
        <v>0.88200000000000001</v>
      </c>
      <c r="L88">
        <f t="shared" ca="1" si="21"/>
        <v>5.2999999999999999E-2</v>
      </c>
      <c r="M88">
        <f t="shared" ca="1" si="21"/>
        <v>22</v>
      </c>
      <c r="N88">
        <f t="shared" ca="1" si="21"/>
        <v>26</v>
      </c>
      <c r="O88">
        <f t="shared" ca="1" si="21"/>
        <v>11</v>
      </c>
      <c r="P88">
        <f t="shared" ca="1" si="21"/>
        <v>0.86</v>
      </c>
      <c r="Q88">
        <f t="shared" ca="1" si="21"/>
        <v>6.6132237999999996E-2</v>
      </c>
      <c r="R88">
        <f t="shared" ca="1" si="21"/>
        <v>0.14199999999999999</v>
      </c>
      <c r="S88">
        <f t="shared" ca="1" si="16"/>
        <v>59</v>
      </c>
      <c r="T88">
        <f t="shared" ca="1" si="17"/>
        <v>6.6132237999999996E-2</v>
      </c>
      <c r="U88" t="e">
        <f ca="1">IF(AND($C88='Funnel setup'!$K$3&amp;'Funnel setup'!$K$5&amp;'Funnel setup'!$K$6&amp;'Funnel setup'!$K$4,'Funnel Lookup'!I88="*"),#N/A,IF(AND($C88='Funnel setup'!$K$3&amp;'Funnel setup'!$K$5&amp;'Funnel setup'!$K$6&amp;'Funnel setup'!$K$4,'Funnel Lookup'!I88&gt;29),'Funnel Lookup'!I88,#N/A))</f>
        <v>#N/A</v>
      </c>
      <c r="V88" t="e">
        <f ca="1">IF(AND($C88='Funnel setup'!$K$3&amp;'Funnel setup'!$K$5&amp;'Funnel setup'!$K$6&amp;'Funnel setup'!$K$4,'Funnel Lookup'!I88="*"),#N/A,IF(AND($C88='Funnel setup'!$K$3&amp;'Funnel setup'!$K$5&amp;'Funnel setup'!$K$6&amp;'Funnel setup'!$K$4,'Funnel Lookup'!I88&gt;29),'Funnel Lookup'!Q88,#N/A))</f>
        <v>#N/A</v>
      </c>
    </row>
    <row r="89" spans="1:22" x14ac:dyDescent="0.2">
      <c r="A89">
        <v>87</v>
      </c>
      <c r="B89">
        <f t="shared" ca="1" si="20"/>
        <v>87</v>
      </c>
      <c r="C89" t="str">
        <f t="shared" ca="1" si="20"/>
        <v>Groin HerniaProviderDORSET HEALTHCARE UNIVERSITY NHS FOUNDATION TRUST (RDY)EQ-5D Index</v>
      </c>
      <c r="D89" t="str">
        <f t="shared" ca="1" si="20"/>
        <v>Groin Hernia</v>
      </c>
      <c r="E89" t="str">
        <f t="shared" ca="1" si="20"/>
        <v>Provider</v>
      </c>
      <c r="F89" t="str">
        <f t="shared" ca="1" si="20"/>
        <v>RDY</v>
      </c>
      <c r="G89" t="str">
        <f t="shared" ca="1" si="20"/>
        <v>DORSET HEALTHCARE UNIVERSITY NHS FOUNDATION TRUST (RDY)</v>
      </c>
      <c r="H89" t="str">
        <f t="shared" ca="1" si="20"/>
        <v>EQ-5D Index</v>
      </c>
      <c r="I89">
        <f t="shared" ca="1" si="20"/>
        <v>88</v>
      </c>
      <c r="J89">
        <f t="shared" ca="1" si="20"/>
        <v>0.83099999999999996</v>
      </c>
      <c r="K89">
        <f t="shared" ca="1" si="20"/>
        <v>0.93100000000000005</v>
      </c>
      <c r="L89">
        <f t="shared" ca="1" si="21"/>
        <v>0.1</v>
      </c>
      <c r="M89">
        <f t="shared" ca="1" si="21"/>
        <v>42</v>
      </c>
      <c r="N89">
        <f t="shared" ca="1" si="21"/>
        <v>34</v>
      </c>
      <c r="O89">
        <f t="shared" ca="1" si="21"/>
        <v>12</v>
      </c>
      <c r="P89">
        <f t="shared" ca="1" si="21"/>
        <v>0.88700000000000001</v>
      </c>
      <c r="Q89">
        <f t="shared" ca="1" si="21"/>
        <v>9.3678017000000002E-2</v>
      </c>
      <c r="R89">
        <f t="shared" ca="1" si="21"/>
        <v>0.106</v>
      </c>
      <c r="S89">
        <f t="shared" ca="1" si="16"/>
        <v>88</v>
      </c>
      <c r="T89">
        <f t="shared" ca="1" si="17"/>
        <v>9.3678017000000002E-2</v>
      </c>
      <c r="U89" t="e">
        <f ca="1">IF(AND($C89='Funnel setup'!$K$3&amp;'Funnel setup'!$K$5&amp;'Funnel setup'!$K$6&amp;'Funnel setup'!$K$4,'Funnel Lookup'!I89="*"),#N/A,IF(AND($C89='Funnel setup'!$K$3&amp;'Funnel setup'!$K$5&amp;'Funnel setup'!$K$6&amp;'Funnel setup'!$K$4,'Funnel Lookup'!I89&gt;29),'Funnel Lookup'!I89,#N/A))</f>
        <v>#N/A</v>
      </c>
      <c r="V89" t="e">
        <f ca="1">IF(AND($C89='Funnel setup'!$K$3&amp;'Funnel setup'!$K$5&amp;'Funnel setup'!$K$6&amp;'Funnel setup'!$K$4,'Funnel Lookup'!I89="*"),#N/A,IF(AND($C89='Funnel setup'!$K$3&amp;'Funnel setup'!$K$5&amp;'Funnel setup'!$K$6&amp;'Funnel setup'!$K$4,'Funnel Lookup'!I89&gt;29),'Funnel Lookup'!Q89,#N/A))</f>
        <v>#N/A</v>
      </c>
    </row>
    <row r="90" spans="1:22" x14ac:dyDescent="0.2">
      <c r="A90">
        <v>88</v>
      </c>
      <c r="B90">
        <f t="shared" ca="1" si="20"/>
        <v>88</v>
      </c>
      <c r="C90" t="str">
        <f t="shared" ca="1" si="20"/>
        <v>Groin HerniaProviderEAST AND NORTH HERTFORDSHIRE NHS TRUST (RWH)EQ-5D Index</v>
      </c>
      <c r="D90" t="str">
        <f t="shared" ca="1" si="20"/>
        <v>Groin Hernia</v>
      </c>
      <c r="E90" t="str">
        <f t="shared" ca="1" si="20"/>
        <v>Provider</v>
      </c>
      <c r="F90" t="str">
        <f t="shared" ca="1" si="20"/>
        <v>RWH</v>
      </c>
      <c r="G90" t="str">
        <f t="shared" ca="1" si="20"/>
        <v>EAST AND NORTH HERTFORDSHIRE NHS TRUST (RWH)</v>
      </c>
      <c r="H90" t="str">
        <f t="shared" ca="1" si="20"/>
        <v>EQ-5D Index</v>
      </c>
      <c r="I90">
        <f t="shared" ca="1" si="20"/>
        <v>68</v>
      </c>
      <c r="J90">
        <f t="shared" ca="1" si="20"/>
        <v>0.77800000000000002</v>
      </c>
      <c r="K90">
        <f t="shared" ca="1" si="20"/>
        <v>0.873</v>
      </c>
      <c r="L90">
        <f t="shared" ca="1" si="21"/>
        <v>9.5000000000000001E-2</v>
      </c>
      <c r="M90">
        <f t="shared" ca="1" si="21"/>
        <v>41</v>
      </c>
      <c r="N90">
        <f t="shared" ca="1" si="21"/>
        <v>15</v>
      </c>
      <c r="O90">
        <f t="shared" ca="1" si="21"/>
        <v>12</v>
      </c>
      <c r="P90">
        <f t="shared" ca="1" si="21"/>
        <v>0.86599999999999999</v>
      </c>
      <c r="Q90">
        <f t="shared" ca="1" si="21"/>
        <v>7.2647681000000006E-2</v>
      </c>
      <c r="R90">
        <f t="shared" ca="1" si="21"/>
        <v>0.17699999999999999</v>
      </c>
      <c r="S90">
        <f t="shared" ca="1" si="16"/>
        <v>68</v>
      </c>
      <c r="T90">
        <f t="shared" ca="1" si="17"/>
        <v>7.2647681000000006E-2</v>
      </c>
      <c r="U90" t="e">
        <f ca="1">IF(AND($C90='Funnel setup'!$K$3&amp;'Funnel setup'!$K$5&amp;'Funnel setup'!$K$6&amp;'Funnel setup'!$K$4,'Funnel Lookup'!I90="*"),#N/A,IF(AND($C90='Funnel setup'!$K$3&amp;'Funnel setup'!$K$5&amp;'Funnel setup'!$K$6&amp;'Funnel setup'!$K$4,'Funnel Lookup'!I90&gt;29),'Funnel Lookup'!I90,#N/A))</f>
        <v>#N/A</v>
      </c>
      <c r="V90" t="e">
        <f ca="1">IF(AND($C90='Funnel setup'!$K$3&amp;'Funnel setup'!$K$5&amp;'Funnel setup'!$K$6&amp;'Funnel setup'!$K$4,'Funnel Lookup'!I90="*"),#N/A,IF(AND($C90='Funnel setup'!$K$3&amp;'Funnel setup'!$K$5&amp;'Funnel setup'!$K$6&amp;'Funnel setup'!$K$4,'Funnel Lookup'!I90&gt;29),'Funnel Lookup'!Q90,#N/A))</f>
        <v>#N/A</v>
      </c>
    </row>
    <row r="91" spans="1:22" x14ac:dyDescent="0.2">
      <c r="A91">
        <v>89</v>
      </c>
      <c r="B91">
        <f t="shared" ca="1" si="20"/>
        <v>89</v>
      </c>
      <c r="C91" t="str">
        <f t="shared" ca="1" si="20"/>
        <v>Groin HerniaProviderEAST CHESHIRE NHS TRUST (RJN)EQ-5D Index</v>
      </c>
      <c r="D91" t="str">
        <f t="shared" ca="1" si="20"/>
        <v>Groin Hernia</v>
      </c>
      <c r="E91" t="str">
        <f t="shared" ca="1" si="20"/>
        <v>Provider</v>
      </c>
      <c r="F91" t="str">
        <f t="shared" ca="1" si="20"/>
        <v>RJN</v>
      </c>
      <c r="G91" t="str">
        <f t="shared" ca="1" si="20"/>
        <v>EAST CHESHIRE NHS TRUST (RJN)</v>
      </c>
      <c r="H91" t="str">
        <f t="shared" ca="1" si="20"/>
        <v>EQ-5D Index</v>
      </c>
      <c r="I91">
        <f t="shared" ca="1" si="20"/>
        <v>73</v>
      </c>
      <c r="J91">
        <f t="shared" ca="1" si="20"/>
        <v>0.78800000000000003</v>
      </c>
      <c r="K91">
        <f t="shared" ca="1" si="20"/>
        <v>0.88200000000000001</v>
      </c>
      <c r="L91">
        <f t="shared" ca="1" si="21"/>
        <v>9.4E-2</v>
      </c>
      <c r="M91">
        <f t="shared" ca="1" si="21"/>
        <v>42</v>
      </c>
      <c r="N91">
        <f t="shared" ca="1" si="21"/>
        <v>18</v>
      </c>
      <c r="O91">
        <f t="shared" ca="1" si="21"/>
        <v>13</v>
      </c>
      <c r="P91">
        <f t="shared" ca="1" si="21"/>
        <v>0.878</v>
      </c>
      <c r="Q91">
        <f t="shared" ca="1" si="21"/>
        <v>8.4394472999999998E-2</v>
      </c>
      <c r="R91">
        <f t="shared" ca="1" si="21"/>
        <v>0.154</v>
      </c>
      <c r="S91">
        <f t="shared" ca="1" si="16"/>
        <v>73</v>
      </c>
      <c r="T91">
        <f t="shared" ca="1" si="17"/>
        <v>8.4394472999999998E-2</v>
      </c>
      <c r="U91" t="e">
        <f ca="1">IF(AND($C91='Funnel setup'!$K$3&amp;'Funnel setup'!$K$5&amp;'Funnel setup'!$K$6&amp;'Funnel setup'!$K$4,'Funnel Lookup'!I91="*"),#N/A,IF(AND($C91='Funnel setup'!$K$3&amp;'Funnel setup'!$K$5&amp;'Funnel setup'!$K$6&amp;'Funnel setup'!$K$4,'Funnel Lookup'!I91&gt;29),'Funnel Lookup'!I91,#N/A))</f>
        <v>#N/A</v>
      </c>
      <c r="V91" t="e">
        <f ca="1">IF(AND($C91='Funnel setup'!$K$3&amp;'Funnel setup'!$K$5&amp;'Funnel setup'!$K$6&amp;'Funnel setup'!$K$4,'Funnel Lookup'!I91="*"),#N/A,IF(AND($C91='Funnel setup'!$K$3&amp;'Funnel setup'!$K$5&amp;'Funnel setup'!$K$6&amp;'Funnel setup'!$K$4,'Funnel Lookup'!I91&gt;29),'Funnel Lookup'!Q91,#N/A))</f>
        <v>#N/A</v>
      </c>
    </row>
    <row r="92" spans="1:22" x14ac:dyDescent="0.2">
      <c r="A92">
        <v>90</v>
      </c>
      <c r="B92">
        <f t="shared" ca="1" si="20"/>
        <v>90</v>
      </c>
      <c r="C92" t="str">
        <f t="shared" ca="1" si="20"/>
        <v>Groin HerniaProviderEAST KENT HOSPITALS UNIVERSITY NHS FOUNDATION TRUST (RVV)EQ-5D Index</v>
      </c>
      <c r="D92" t="str">
        <f t="shared" ca="1" si="20"/>
        <v>Groin Hernia</v>
      </c>
      <c r="E92" t="str">
        <f t="shared" ca="1" si="20"/>
        <v>Provider</v>
      </c>
      <c r="F92" t="str">
        <f t="shared" ca="1" si="20"/>
        <v>RVV</v>
      </c>
      <c r="G92" t="str">
        <f t="shared" ca="1" si="20"/>
        <v>EAST KENT HOSPITALS UNIVERSITY NHS FOUNDATION TRUST (RVV)</v>
      </c>
      <c r="H92" t="str">
        <f t="shared" ca="1" si="20"/>
        <v>EQ-5D Index</v>
      </c>
      <c r="I92">
        <f t="shared" ca="1" si="20"/>
        <v>183</v>
      </c>
      <c r="J92">
        <f t="shared" ca="1" si="20"/>
        <v>0.78100000000000003</v>
      </c>
      <c r="K92">
        <f t="shared" ca="1" si="20"/>
        <v>0.88500000000000001</v>
      </c>
      <c r="L92">
        <f t="shared" ca="1" si="21"/>
        <v>0.104</v>
      </c>
      <c r="M92">
        <f t="shared" ca="1" si="21"/>
        <v>101</v>
      </c>
      <c r="N92">
        <f t="shared" ca="1" si="21"/>
        <v>50</v>
      </c>
      <c r="O92">
        <f t="shared" ca="1" si="21"/>
        <v>32</v>
      </c>
      <c r="P92">
        <f t="shared" ca="1" si="21"/>
        <v>0.89300000000000002</v>
      </c>
      <c r="Q92">
        <f t="shared" ca="1" si="21"/>
        <v>9.9536235000000001E-2</v>
      </c>
      <c r="R92">
        <f t="shared" ca="1" si="21"/>
        <v>0.158</v>
      </c>
      <c r="S92">
        <f t="shared" ca="1" si="16"/>
        <v>183</v>
      </c>
      <c r="T92">
        <f t="shared" ca="1" si="17"/>
        <v>9.9536235000000001E-2</v>
      </c>
      <c r="U92" t="e">
        <f ca="1">IF(AND($C92='Funnel setup'!$K$3&amp;'Funnel setup'!$K$5&amp;'Funnel setup'!$K$6&amp;'Funnel setup'!$K$4,'Funnel Lookup'!I92="*"),#N/A,IF(AND($C92='Funnel setup'!$K$3&amp;'Funnel setup'!$K$5&amp;'Funnel setup'!$K$6&amp;'Funnel setup'!$K$4,'Funnel Lookup'!I92&gt;29),'Funnel Lookup'!I92,#N/A))</f>
        <v>#N/A</v>
      </c>
      <c r="V92" t="e">
        <f ca="1">IF(AND($C92='Funnel setup'!$K$3&amp;'Funnel setup'!$K$5&amp;'Funnel setup'!$K$6&amp;'Funnel setup'!$K$4,'Funnel Lookup'!I92="*"),#N/A,IF(AND($C92='Funnel setup'!$K$3&amp;'Funnel setup'!$K$5&amp;'Funnel setup'!$K$6&amp;'Funnel setup'!$K$4,'Funnel Lookup'!I92&gt;29),'Funnel Lookup'!Q92,#N/A))</f>
        <v>#N/A</v>
      </c>
    </row>
    <row r="93" spans="1:22" x14ac:dyDescent="0.2">
      <c r="A93">
        <v>91</v>
      </c>
      <c r="B93">
        <f t="shared" ref="B93:K102" ca="1" si="22">VLOOKUP($A93,Funnel_Data,B$1,FALSE)</f>
        <v>91</v>
      </c>
      <c r="C93" t="str">
        <f t="shared" ca="1" si="22"/>
        <v>Groin HerniaProviderEAST LANCASHIRE HOSPITALS NHS TRUST (RXR)EQ-5D Index</v>
      </c>
      <c r="D93" t="str">
        <f t="shared" ca="1" si="22"/>
        <v>Groin Hernia</v>
      </c>
      <c r="E93" t="str">
        <f t="shared" ca="1" si="22"/>
        <v>Provider</v>
      </c>
      <c r="F93" t="str">
        <f t="shared" ca="1" si="22"/>
        <v>RXR</v>
      </c>
      <c r="G93" t="str">
        <f t="shared" ca="1" si="22"/>
        <v>EAST LANCASHIRE HOSPITALS NHS TRUST (RXR)</v>
      </c>
      <c r="H93" t="str">
        <f t="shared" ca="1" si="22"/>
        <v>EQ-5D Index</v>
      </c>
      <c r="I93">
        <f t="shared" ca="1" si="22"/>
        <v>182</v>
      </c>
      <c r="J93">
        <f t="shared" ca="1" si="22"/>
        <v>0.72899999999999998</v>
      </c>
      <c r="K93">
        <f t="shared" ca="1" si="22"/>
        <v>0.86099999999999999</v>
      </c>
      <c r="L93">
        <f t="shared" ref="L93:R102" ca="1" si="23">VLOOKUP($A93,Funnel_Data,L$1,FALSE)</f>
        <v>0.13200000000000001</v>
      </c>
      <c r="M93">
        <f t="shared" ca="1" si="23"/>
        <v>103</v>
      </c>
      <c r="N93">
        <f t="shared" ca="1" si="23"/>
        <v>55</v>
      </c>
      <c r="O93">
        <f t="shared" ca="1" si="23"/>
        <v>24</v>
      </c>
      <c r="P93">
        <f t="shared" ca="1" si="23"/>
        <v>0.91200000000000003</v>
      </c>
      <c r="Q93">
        <f t="shared" ca="1" si="23"/>
        <v>0.11866541999999999</v>
      </c>
      <c r="R93">
        <f t="shared" ca="1" si="23"/>
        <v>0.17100000000000001</v>
      </c>
      <c r="S93">
        <f t="shared" ca="1" si="16"/>
        <v>182</v>
      </c>
      <c r="T93">
        <f t="shared" ca="1" si="17"/>
        <v>0.11866541999999999</v>
      </c>
      <c r="U93" t="e">
        <f ca="1">IF(AND($C93='Funnel setup'!$K$3&amp;'Funnel setup'!$K$5&amp;'Funnel setup'!$K$6&amp;'Funnel setup'!$K$4,'Funnel Lookup'!I93="*"),#N/A,IF(AND($C93='Funnel setup'!$K$3&amp;'Funnel setup'!$K$5&amp;'Funnel setup'!$K$6&amp;'Funnel setup'!$K$4,'Funnel Lookup'!I93&gt;29),'Funnel Lookup'!I93,#N/A))</f>
        <v>#N/A</v>
      </c>
      <c r="V93" t="e">
        <f ca="1">IF(AND($C93='Funnel setup'!$K$3&amp;'Funnel setup'!$K$5&amp;'Funnel setup'!$K$6&amp;'Funnel setup'!$K$4,'Funnel Lookup'!I93="*"),#N/A,IF(AND($C93='Funnel setup'!$K$3&amp;'Funnel setup'!$K$5&amp;'Funnel setup'!$K$6&amp;'Funnel setup'!$K$4,'Funnel Lookup'!I93&gt;29),'Funnel Lookup'!Q93,#N/A))</f>
        <v>#N/A</v>
      </c>
    </row>
    <row r="94" spans="1:22" x14ac:dyDescent="0.2">
      <c r="A94">
        <v>92</v>
      </c>
      <c r="B94">
        <f t="shared" ca="1" si="22"/>
        <v>92</v>
      </c>
      <c r="C94" t="str">
        <f t="shared" ca="1" si="22"/>
        <v>Groin HerniaProviderEAST SUSSEX HEALTHCARE NHS TRUST (RXC)EQ-5D Index</v>
      </c>
      <c r="D94" t="str">
        <f t="shared" ca="1" si="22"/>
        <v>Groin Hernia</v>
      </c>
      <c r="E94" t="str">
        <f t="shared" ca="1" si="22"/>
        <v>Provider</v>
      </c>
      <c r="F94" t="str">
        <f t="shared" ca="1" si="22"/>
        <v>RXC</v>
      </c>
      <c r="G94" t="str">
        <f t="shared" ca="1" si="22"/>
        <v>EAST SUSSEX HEALTHCARE NHS TRUST (RXC)</v>
      </c>
      <c r="H94" t="str">
        <f t="shared" ca="1" si="22"/>
        <v>EQ-5D Index</v>
      </c>
      <c r="I94">
        <f t="shared" ca="1" si="22"/>
        <v>127</v>
      </c>
      <c r="J94">
        <f t="shared" ca="1" si="22"/>
        <v>0.77600000000000002</v>
      </c>
      <c r="K94">
        <f t="shared" ca="1" si="22"/>
        <v>0.875</v>
      </c>
      <c r="L94">
        <f t="shared" ca="1" si="23"/>
        <v>0.1</v>
      </c>
      <c r="M94">
        <f t="shared" ca="1" si="23"/>
        <v>68</v>
      </c>
      <c r="N94">
        <f t="shared" ca="1" si="23"/>
        <v>36</v>
      </c>
      <c r="O94">
        <f t="shared" ca="1" si="23"/>
        <v>23</v>
      </c>
      <c r="P94">
        <f t="shared" ca="1" si="23"/>
        <v>0.872</v>
      </c>
      <c r="Q94">
        <f t="shared" ca="1" si="23"/>
        <v>7.8364306999999994E-2</v>
      </c>
      <c r="R94">
        <f t="shared" ca="1" si="23"/>
        <v>0.14399999999999999</v>
      </c>
      <c r="S94">
        <f t="shared" ca="1" si="16"/>
        <v>127</v>
      </c>
      <c r="T94">
        <f t="shared" ca="1" si="17"/>
        <v>7.8364306999999994E-2</v>
      </c>
      <c r="U94" t="e">
        <f ca="1">IF(AND($C94='Funnel setup'!$K$3&amp;'Funnel setup'!$K$5&amp;'Funnel setup'!$K$6&amp;'Funnel setup'!$K$4,'Funnel Lookup'!I94="*"),#N/A,IF(AND($C94='Funnel setup'!$K$3&amp;'Funnel setup'!$K$5&amp;'Funnel setup'!$K$6&amp;'Funnel setup'!$K$4,'Funnel Lookup'!I94&gt;29),'Funnel Lookup'!I94,#N/A))</f>
        <v>#N/A</v>
      </c>
      <c r="V94" t="e">
        <f ca="1">IF(AND($C94='Funnel setup'!$K$3&amp;'Funnel setup'!$K$5&amp;'Funnel setup'!$K$6&amp;'Funnel setup'!$K$4,'Funnel Lookup'!I94="*"),#N/A,IF(AND($C94='Funnel setup'!$K$3&amp;'Funnel setup'!$K$5&amp;'Funnel setup'!$K$6&amp;'Funnel setup'!$K$4,'Funnel Lookup'!I94&gt;29),'Funnel Lookup'!Q94,#N/A))</f>
        <v>#N/A</v>
      </c>
    </row>
    <row r="95" spans="1:22" x14ac:dyDescent="0.2">
      <c r="A95">
        <v>93</v>
      </c>
      <c r="B95">
        <f t="shared" ca="1" si="22"/>
        <v>93</v>
      </c>
      <c r="C95" t="str">
        <f t="shared" ca="1" si="22"/>
        <v>Groin HerniaProviderEMERSONS GREEN NHS TREATMENT CENTRE (NTPH2)EQ-5D Index</v>
      </c>
      <c r="D95" t="str">
        <f t="shared" ca="1" si="22"/>
        <v>Groin Hernia</v>
      </c>
      <c r="E95" t="str">
        <f t="shared" ca="1" si="22"/>
        <v>Provider</v>
      </c>
      <c r="F95" t="str">
        <f t="shared" ca="1" si="22"/>
        <v>NTPH2</v>
      </c>
      <c r="G95" t="str">
        <f t="shared" ca="1" si="22"/>
        <v>EMERSONS GREEN NHS TREATMENT CENTRE (NTPH2)</v>
      </c>
      <c r="H95" t="str">
        <f t="shared" ca="1" si="22"/>
        <v>EQ-5D Index</v>
      </c>
      <c r="I95">
        <f t="shared" ca="1" si="22"/>
        <v>248</v>
      </c>
      <c r="J95">
        <f t="shared" ca="1" si="22"/>
        <v>0.82699999999999996</v>
      </c>
      <c r="K95">
        <f t="shared" ca="1" si="22"/>
        <v>0.90900000000000003</v>
      </c>
      <c r="L95">
        <f t="shared" ca="1" si="23"/>
        <v>8.2000000000000003E-2</v>
      </c>
      <c r="M95">
        <f t="shared" ca="1" si="23"/>
        <v>121</v>
      </c>
      <c r="N95">
        <f t="shared" ca="1" si="23"/>
        <v>93</v>
      </c>
      <c r="O95">
        <f t="shared" ca="1" si="23"/>
        <v>34</v>
      </c>
      <c r="P95">
        <f t="shared" ca="1" si="23"/>
        <v>0.88600000000000001</v>
      </c>
      <c r="Q95">
        <f t="shared" ca="1" si="23"/>
        <v>9.2602118999999997E-2</v>
      </c>
      <c r="R95">
        <f t="shared" ca="1" si="23"/>
        <v>0.128</v>
      </c>
      <c r="S95">
        <f t="shared" ca="1" si="16"/>
        <v>248</v>
      </c>
      <c r="T95">
        <f t="shared" ca="1" si="17"/>
        <v>9.2602118999999997E-2</v>
      </c>
      <c r="U95" t="e">
        <f ca="1">IF(AND($C95='Funnel setup'!$K$3&amp;'Funnel setup'!$K$5&amp;'Funnel setup'!$K$6&amp;'Funnel setup'!$K$4,'Funnel Lookup'!I95="*"),#N/A,IF(AND($C95='Funnel setup'!$K$3&amp;'Funnel setup'!$K$5&amp;'Funnel setup'!$K$6&amp;'Funnel setup'!$K$4,'Funnel Lookup'!I95&gt;29),'Funnel Lookup'!I95,#N/A))</f>
        <v>#N/A</v>
      </c>
      <c r="V95" t="e">
        <f ca="1">IF(AND($C95='Funnel setup'!$K$3&amp;'Funnel setup'!$K$5&amp;'Funnel setup'!$K$6&amp;'Funnel setup'!$K$4,'Funnel Lookup'!I95="*"),#N/A,IF(AND($C95='Funnel setup'!$K$3&amp;'Funnel setup'!$K$5&amp;'Funnel setup'!$K$6&amp;'Funnel setup'!$K$4,'Funnel Lookup'!I95&gt;29),'Funnel Lookup'!Q95,#N/A))</f>
        <v>#N/A</v>
      </c>
    </row>
    <row r="96" spans="1:22" x14ac:dyDescent="0.2">
      <c r="A96">
        <v>94</v>
      </c>
      <c r="B96">
        <f t="shared" ca="1" si="22"/>
        <v>94</v>
      </c>
      <c r="C96" t="str">
        <f t="shared" ca="1" si="22"/>
        <v>Groin HerniaProviderEPSOM AND ST HELIER UNIVERSITY HOSPITALS NHS TRUST (RVR)EQ-5D Index</v>
      </c>
      <c r="D96" t="str">
        <f t="shared" ca="1" si="22"/>
        <v>Groin Hernia</v>
      </c>
      <c r="E96" t="str">
        <f t="shared" ca="1" si="22"/>
        <v>Provider</v>
      </c>
      <c r="F96" t="str">
        <f t="shared" ca="1" si="22"/>
        <v>RVR</v>
      </c>
      <c r="G96" t="str">
        <f t="shared" ca="1" si="22"/>
        <v>EPSOM AND ST HELIER UNIVERSITY HOSPITALS NHS TRUST (RVR)</v>
      </c>
      <c r="H96" t="str">
        <f t="shared" ca="1" si="22"/>
        <v>EQ-5D Index</v>
      </c>
      <c r="I96">
        <f t="shared" ca="1" si="22"/>
        <v>28</v>
      </c>
      <c r="J96">
        <f t="shared" ca="1" si="22"/>
        <v>0.79200000000000004</v>
      </c>
      <c r="K96">
        <f t="shared" ca="1" si="22"/>
        <v>0.82599999999999996</v>
      </c>
      <c r="L96">
        <f t="shared" ca="1" si="23"/>
        <v>3.4000000000000002E-2</v>
      </c>
      <c r="M96">
        <f t="shared" ca="1" si="23"/>
        <v>10</v>
      </c>
      <c r="N96">
        <f t="shared" ca="1" si="23"/>
        <v>10</v>
      </c>
      <c r="O96">
        <f t="shared" ca="1" si="23"/>
        <v>8</v>
      </c>
      <c r="P96" t="str">
        <f t="shared" ca="1" si="23"/>
        <v>*</v>
      </c>
      <c r="Q96" t="str">
        <f t="shared" ca="1" si="23"/>
        <v>*</v>
      </c>
      <c r="R96" t="str">
        <f t="shared" ca="1" si="23"/>
        <v>*</v>
      </c>
      <c r="S96" t="e">
        <f t="shared" ca="1" si="16"/>
        <v>#N/A</v>
      </c>
      <c r="T96" t="e">
        <f t="shared" ca="1" si="17"/>
        <v>#N/A</v>
      </c>
      <c r="U96" t="e">
        <f ca="1">IF(AND($C96='Funnel setup'!$K$3&amp;'Funnel setup'!$K$5&amp;'Funnel setup'!$K$6&amp;'Funnel setup'!$K$4,'Funnel Lookup'!I96="*"),#N/A,IF(AND($C96='Funnel setup'!$K$3&amp;'Funnel setup'!$K$5&amp;'Funnel setup'!$K$6&amp;'Funnel setup'!$K$4,'Funnel Lookup'!I96&gt;29),'Funnel Lookup'!I96,#N/A))</f>
        <v>#N/A</v>
      </c>
      <c r="V96" t="e">
        <f ca="1">IF(AND($C96='Funnel setup'!$K$3&amp;'Funnel setup'!$K$5&amp;'Funnel setup'!$K$6&amp;'Funnel setup'!$K$4,'Funnel Lookup'!I96="*"),#N/A,IF(AND($C96='Funnel setup'!$K$3&amp;'Funnel setup'!$K$5&amp;'Funnel setup'!$K$6&amp;'Funnel setup'!$K$4,'Funnel Lookup'!I96&gt;29),'Funnel Lookup'!Q96,#N/A))</f>
        <v>#N/A</v>
      </c>
    </row>
    <row r="97" spans="1:22" x14ac:dyDescent="0.2">
      <c r="A97">
        <v>95</v>
      </c>
      <c r="B97">
        <f t="shared" ca="1" si="22"/>
        <v>95</v>
      </c>
      <c r="C97" t="str">
        <f t="shared" ca="1" si="22"/>
        <v>Groin HerniaProviderEUXTON HALL HOSPITAL (NVC05)EQ-5D Index</v>
      </c>
      <c r="D97" t="str">
        <f t="shared" ca="1" si="22"/>
        <v>Groin Hernia</v>
      </c>
      <c r="E97" t="str">
        <f t="shared" ca="1" si="22"/>
        <v>Provider</v>
      </c>
      <c r="F97" t="str">
        <f t="shared" ca="1" si="22"/>
        <v>NVC05</v>
      </c>
      <c r="G97" t="str">
        <f t="shared" ca="1" si="22"/>
        <v>EUXTON HALL HOSPITAL (NVC05)</v>
      </c>
      <c r="H97" t="str">
        <f t="shared" ca="1" si="22"/>
        <v>EQ-5D Index</v>
      </c>
      <c r="I97">
        <f t="shared" ca="1" si="22"/>
        <v>114</v>
      </c>
      <c r="J97">
        <f t="shared" ca="1" si="22"/>
        <v>0.81</v>
      </c>
      <c r="K97">
        <f t="shared" ca="1" si="22"/>
        <v>0.88900000000000001</v>
      </c>
      <c r="L97">
        <f t="shared" ca="1" si="23"/>
        <v>7.9000000000000001E-2</v>
      </c>
      <c r="M97">
        <f t="shared" ca="1" si="23"/>
        <v>57</v>
      </c>
      <c r="N97">
        <f t="shared" ca="1" si="23"/>
        <v>37</v>
      </c>
      <c r="O97">
        <f t="shared" ca="1" si="23"/>
        <v>20</v>
      </c>
      <c r="P97">
        <f t="shared" ca="1" si="23"/>
        <v>0.876</v>
      </c>
      <c r="Q97">
        <f t="shared" ca="1" si="23"/>
        <v>8.2150920000000002E-2</v>
      </c>
      <c r="R97">
        <f t="shared" ca="1" si="23"/>
        <v>0.13900000000000001</v>
      </c>
      <c r="S97">
        <f t="shared" ca="1" si="16"/>
        <v>114</v>
      </c>
      <c r="T97">
        <f t="shared" ca="1" si="17"/>
        <v>8.2150920000000002E-2</v>
      </c>
      <c r="U97" t="e">
        <f ca="1">IF(AND($C97='Funnel setup'!$K$3&amp;'Funnel setup'!$K$5&amp;'Funnel setup'!$K$6&amp;'Funnel setup'!$K$4,'Funnel Lookup'!I97="*"),#N/A,IF(AND($C97='Funnel setup'!$K$3&amp;'Funnel setup'!$K$5&amp;'Funnel setup'!$K$6&amp;'Funnel setup'!$K$4,'Funnel Lookup'!I97&gt;29),'Funnel Lookup'!I97,#N/A))</f>
        <v>#N/A</v>
      </c>
      <c r="V97" t="e">
        <f ca="1">IF(AND($C97='Funnel setup'!$K$3&amp;'Funnel setup'!$K$5&amp;'Funnel setup'!$K$6&amp;'Funnel setup'!$K$4,'Funnel Lookup'!I97="*"),#N/A,IF(AND($C97='Funnel setup'!$K$3&amp;'Funnel setup'!$K$5&amp;'Funnel setup'!$K$6&amp;'Funnel setup'!$K$4,'Funnel Lookup'!I97&gt;29),'Funnel Lookup'!Q97,#N/A))</f>
        <v>#N/A</v>
      </c>
    </row>
    <row r="98" spans="1:22" x14ac:dyDescent="0.2">
      <c r="A98">
        <v>96</v>
      </c>
      <c r="B98">
        <f t="shared" ca="1" si="22"/>
        <v>96</v>
      </c>
      <c r="C98" t="str">
        <f t="shared" ca="1" si="22"/>
        <v>Groin HerniaProviderFITZWILLIAM HOSPITAL (NVC06)EQ-5D Index</v>
      </c>
      <c r="D98" t="str">
        <f t="shared" ca="1" si="22"/>
        <v>Groin Hernia</v>
      </c>
      <c r="E98" t="str">
        <f t="shared" ca="1" si="22"/>
        <v>Provider</v>
      </c>
      <c r="F98" t="str">
        <f t="shared" ca="1" si="22"/>
        <v>NVC06</v>
      </c>
      <c r="G98" t="str">
        <f t="shared" ca="1" si="22"/>
        <v>FITZWILLIAM HOSPITAL (NVC06)</v>
      </c>
      <c r="H98" t="str">
        <f t="shared" ca="1" si="22"/>
        <v>EQ-5D Index</v>
      </c>
      <c r="I98">
        <f t="shared" ca="1" si="22"/>
        <v>38</v>
      </c>
      <c r="J98">
        <f t="shared" ca="1" si="22"/>
        <v>0.83099999999999996</v>
      </c>
      <c r="K98">
        <f t="shared" ca="1" si="22"/>
        <v>0.86</v>
      </c>
      <c r="L98">
        <f t="shared" ca="1" si="23"/>
        <v>2.9000000000000001E-2</v>
      </c>
      <c r="M98">
        <f t="shared" ca="1" si="23"/>
        <v>18</v>
      </c>
      <c r="N98">
        <f t="shared" ca="1" si="23"/>
        <v>6</v>
      </c>
      <c r="O98">
        <f t="shared" ca="1" si="23"/>
        <v>14</v>
      </c>
      <c r="P98">
        <f t="shared" ca="1" si="23"/>
        <v>0.84399999999999997</v>
      </c>
      <c r="Q98">
        <f t="shared" ca="1" si="23"/>
        <v>5.1100228999999997E-2</v>
      </c>
      <c r="R98">
        <f t="shared" ca="1" si="23"/>
        <v>0.17100000000000001</v>
      </c>
      <c r="S98">
        <f t="shared" ca="1" si="16"/>
        <v>38</v>
      </c>
      <c r="T98">
        <f t="shared" ca="1" si="17"/>
        <v>5.1100228999999997E-2</v>
      </c>
      <c r="U98" t="e">
        <f ca="1">IF(AND($C98='Funnel setup'!$K$3&amp;'Funnel setup'!$K$5&amp;'Funnel setup'!$K$6&amp;'Funnel setup'!$K$4,'Funnel Lookup'!I98="*"),#N/A,IF(AND($C98='Funnel setup'!$K$3&amp;'Funnel setup'!$K$5&amp;'Funnel setup'!$K$6&amp;'Funnel setup'!$K$4,'Funnel Lookup'!I98&gt;29),'Funnel Lookup'!I98,#N/A))</f>
        <v>#N/A</v>
      </c>
      <c r="V98" t="e">
        <f ca="1">IF(AND($C98='Funnel setup'!$K$3&amp;'Funnel setup'!$K$5&amp;'Funnel setup'!$K$6&amp;'Funnel setup'!$K$4,'Funnel Lookup'!I98="*"),#N/A,IF(AND($C98='Funnel setup'!$K$3&amp;'Funnel setup'!$K$5&amp;'Funnel setup'!$K$6&amp;'Funnel setup'!$K$4,'Funnel Lookup'!I98&gt;29),'Funnel Lookup'!Q98,#N/A))</f>
        <v>#N/A</v>
      </c>
    </row>
    <row r="99" spans="1:22" x14ac:dyDescent="0.2">
      <c r="A99">
        <v>97</v>
      </c>
      <c r="B99">
        <f t="shared" ca="1" si="22"/>
        <v>97</v>
      </c>
      <c r="C99" t="str">
        <f t="shared" ca="1" si="22"/>
        <v>Groin HerniaProviderFOSCOTE COURT (BANBURY) TRUST LTD (AHH)EQ-5D Index</v>
      </c>
      <c r="D99" t="str">
        <f t="shared" ca="1" si="22"/>
        <v>Groin Hernia</v>
      </c>
      <c r="E99" t="str">
        <f t="shared" ca="1" si="22"/>
        <v>Provider</v>
      </c>
      <c r="F99" t="str">
        <f t="shared" ca="1" si="22"/>
        <v>AHH</v>
      </c>
      <c r="G99" t="str">
        <f t="shared" ca="1" si="22"/>
        <v>FOSCOTE COURT (BANBURY) TRUST LTD (AHH)</v>
      </c>
      <c r="H99" t="str">
        <f t="shared" ca="1" si="22"/>
        <v>EQ-5D Index</v>
      </c>
      <c r="I99">
        <f t="shared" ca="1" si="22"/>
        <v>28</v>
      </c>
      <c r="J99">
        <f t="shared" ca="1" si="22"/>
        <v>0.78400000000000003</v>
      </c>
      <c r="K99">
        <f t="shared" ca="1" si="22"/>
        <v>0.95099999999999996</v>
      </c>
      <c r="L99">
        <f t="shared" ca="1" si="23"/>
        <v>0.16600000000000001</v>
      </c>
      <c r="M99">
        <f t="shared" ca="1" si="23"/>
        <v>17</v>
      </c>
      <c r="N99">
        <f t="shared" ca="1" si="23"/>
        <v>10</v>
      </c>
      <c r="O99">
        <f t="shared" ca="1" si="23"/>
        <v>1</v>
      </c>
      <c r="P99" t="str">
        <f t="shared" ca="1" si="23"/>
        <v>*</v>
      </c>
      <c r="Q99" t="str">
        <f t="shared" ca="1" si="23"/>
        <v>*</v>
      </c>
      <c r="R99" t="str">
        <f t="shared" ca="1" si="23"/>
        <v>*</v>
      </c>
      <c r="S99" t="e">
        <f t="shared" ca="1" si="16"/>
        <v>#N/A</v>
      </c>
      <c r="T99" t="e">
        <f t="shared" ca="1" si="17"/>
        <v>#N/A</v>
      </c>
      <c r="U99" t="e">
        <f ca="1">IF(AND($C99='Funnel setup'!$K$3&amp;'Funnel setup'!$K$5&amp;'Funnel setup'!$K$6&amp;'Funnel setup'!$K$4,'Funnel Lookup'!I99="*"),#N/A,IF(AND($C99='Funnel setup'!$K$3&amp;'Funnel setup'!$K$5&amp;'Funnel setup'!$K$6&amp;'Funnel setup'!$K$4,'Funnel Lookup'!I99&gt;29),'Funnel Lookup'!I99,#N/A))</f>
        <v>#N/A</v>
      </c>
      <c r="V99" t="e">
        <f ca="1">IF(AND($C99='Funnel setup'!$K$3&amp;'Funnel setup'!$K$5&amp;'Funnel setup'!$K$6&amp;'Funnel setup'!$K$4,'Funnel Lookup'!I99="*"),#N/A,IF(AND($C99='Funnel setup'!$K$3&amp;'Funnel setup'!$K$5&amp;'Funnel setup'!$K$6&amp;'Funnel setup'!$K$4,'Funnel Lookup'!I99&gt;29),'Funnel Lookup'!Q99,#N/A))</f>
        <v>#N/A</v>
      </c>
    </row>
    <row r="100" spans="1:22" x14ac:dyDescent="0.2">
      <c r="A100">
        <v>98</v>
      </c>
      <c r="B100">
        <f t="shared" ca="1" si="22"/>
        <v>98</v>
      </c>
      <c r="C100" t="str">
        <f t="shared" ca="1" si="22"/>
        <v>Groin HerniaProviderFRIMLEY HEALTH NHS FOUNDATION TRUST (RDU)EQ-5D Index</v>
      </c>
      <c r="D100" t="str">
        <f t="shared" ca="1" si="22"/>
        <v>Groin Hernia</v>
      </c>
      <c r="E100" t="str">
        <f t="shared" ca="1" si="22"/>
        <v>Provider</v>
      </c>
      <c r="F100" t="str">
        <f t="shared" ca="1" si="22"/>
        <v>RDU</v>
      </c>
      <c r="G100" t="str">
        <f t="shared" ca="1" si="22"/>
        <v>FRIMLEY HEALTH NHS FOUNDATION TRUST (RDU)</v>
      </c>
      <c r="H100" t="str">
        <f t="shared" ca="1" si="22"/>
        <v>EQ-5D Index</v>
      </c>
      <c r="I100">
        <f t="shared" ca="1" si="22"/>
        <v>267</v>
      </c>
      <c r="J100">
        <f t="shared" ca="1" si="22"/>
        <v>0.78800000000000003</v>
      </c>
      <c r="K100">
        <f t="shared" ca="1" si="22"/>
        <v>0.84799999999999998</v>
      </c>
      <c r="L100">
        <f t="shared" ca="1" si="23"/>
        <v>0.06</v>
      </c>
      <c r="M100">
        <f t="shared" ca="1" si="23"/>
        <v>118</v>
      </c>
      <c r="N100">
        <f t="shared" ca="1" si="23"/>
        <v>92</v>
      </c>
      <c r="O100">
        <f t="shared" ca="1" si="23"/>
        <v>57</v>
      </c>
      <c r="P100">
        <f t="shared" ca="1" si="23"/>
        <v>0.85</v>
      </c>
      <c r="Q100">
        <f t="shared" ca="1" si="23"/>
        <v>5.6542137999999999E-2</v>
      </c>
      <c r="R100">
        <f t="shared" ca="1" si="23"/>
        <v>0.17799999999999999</v>
      </c>
      <c r="S100">
        <f t="shared" ca="1" si="16"/>
        <v>267</v>
      </c>
      <c r="T100">
        <f t="shared" ca="1" si="17"/>
        <v>5.6542137999999999E-2</v>
      </c>
      <c r="U100" t="e">
        <f ca="1">IF(AND($C100='Funnel setup'!$K$3&amp;'Funnel setup'!$K$5&amp;'Funnel setup'!$K$6&amp;'Funnel setup'!$K$4,'Funnel Lookup'!I100="*"),#N/A,IF(AND($C100='Funnel setup'!$K$3&amp;'Funnel setup'!$K$5&amp;'Funnel setup'!$K$6&amp;'Funnel setup'!$K$4,'Funnel Lookup'!I100&gt;29),'Funnel Lookup'!I100,#N/A))</f>
        <v>#N/A</v>
      </c>
      <c r="V100" t="e">
        <f ca="1">IF(AND($C100='Funnel setup'!$K$3&amp;'Funnel setup'!$K$5&amp;'Funnel setup'!$K$6&amp;'Funnel setup'!$K$4,'Funnel Lookup'!I100="*"),#N/A,IF(AND($C100='Funnel setup'!$K$3&amp;'Funnel setup'!$K$5&amp;'Funnel setup'!$K$6&amp;'Funnel setup'!$K$4,'Funnel Lookup'!I100&gt;29),'Funnel Lookup'!Q100,#N/A))</f>
        <v>#N/A</v>
      </c>
    </row>
    <row r="101" spans="1:22" x14ac:dyDescent="0.2">
      <c r="A101">
        <v>99</v>
      </c>
      <c r="B101">
        <f t="shared" ca="1" si="22"/>
        <v>99</v>
      </c>
      <c r="C101" t="str">
        <f t="shared" ca="1" si="22"/>
        <v>Groin HerniaProviderFULWOOD HALL HOSPITAL (NVC07)EQ-5D Index</v>
      </c>
      <c r="D101" t="str">
        <f t="shared" ca="1" si="22"/>
        <v>Groin Hernia</v>
      </c>
      <c r="E101" t="str">
        <f t="shared" ca="1" si="22"/>
        <v>Provider</v>
      </c>
      <c r="F101" t="str">
        <f t="shared" ca="1" si="22"/>
        <v>NVC07</v>
      </c>
      <c r="G101" t="str">
        <f t="shared" ca="1" si="22"/>
        <v>FULWOOD HALL HOSPITAL (NVC07)</v>
      </c>
      <c r="H101" t="str">
        <f t="shared" ca="1" si="22"/>
        <v>EQ-5D Index</v>
      </c>
      <c r="I101">
        <f t="shared" ca="1" si="22"/>
        <v>119</v>
      </c>
      <c r="J101">
        <f t="shared" ca="1" si="22"/>
        <v>0.83599999999999997</v>
      </c>
      <c r="K101">
        <f t="shared" ca="1" si="22"/>
        <v>0.88</v>
      </c>
      <c r="L101">
        <f t="shared" ca="1" si="23"/>
        <v>4.3999999999999997E-2</v>
      </c>
      <c r="M101">
        <f t="shared" ca="1" si="23"/>
        <v>45</v>
      </c>
      <c r="N101">
        <f t="shared" ca="1" si="23"/>
        <v>55</v>
      </c>
      <c r="O101">
        <f t="shared" ca="1" si="23"/>
        <v>19</v>
      </c>
      <c r="P101">
        <f t="shared" ca="1" si="23"/>
        <v>0.86299999999999999</v>
      </c>
      <c r="Q101">
        <f t="shared" ca="1" si="23"/>
        <v>6.9528922000000007E-2</v>
      </c>
      <c r="R101">
        <f t="shared" ca="1" si="23"/>
        <v>0.13400000000000001</v>
      </c>
      <c r="S101">
        <f t="shared" ca="1" si="16"/>
        <v>119</v>
      </c>
      <c r="T101">
        <f t="shared" ca="1" si="17"/>
        <v>6.9528922000000007E-2</v>
      </c>
      <c r="U101" t="e">
        <f ca="1">IF(AND($C101='Funnel setup'!$K$3&amp;'Funnel setup'!$K$5&amp;'Funnel setup'!$K$6&amp;'Funnel setup'!$K$4,'Funnel Lookup'!I101="*"),#N/A,IF(AND($C101='Funnel setup'!$K$3&amp;'Funnel setup'!$K$5&amp;'Funnel setup'!$K$6&amp;'Funnel setup'!$K$4,'Funnel Lookup'!I101&gt;29),'Funnel Lookup'!I101,#N/A))</f>
        <v>#N/A</v>
      </c>
      <c r="V101" t="e">
        <f ca="1">IF(AND($C101='Funnel setup'!$K$3&amp;'Funnel setup'!$K$5&amp;'Funnel setup'!$K$6&amp;'Funnel setup'!$K$4,'Funnel Lookup'!I101="*"),#N/A,IF(AND($C101='Funnel setup'!$K$3&amp;'Funnel setup'!$K$5&amp;'Funnel setup'!$K$6&amp;'Funnel setup'!$K$4,'Funnel Lookup'!I101&gt;29),'Funnel Lookup'!Q101,#N/A))</f>
        <v>#N/A</v>
      </c>
    </row>
    <row r="102" spans="1:22" x14ac:dyDescent="0.2">
      <c r="A102">
        <v>100</v>
      </c>
      <c r="B102">
        <f t="shared" ca="1" si="22"/>
        <v>100</v>
      </c>
      <c r="C102" t="str">
        <f t="shared" ca="1" si="22"/>
        <v>Groin HerniaProviderGATESHEAD HEALTH NHS FOUNDATION TRUST (RR7)EQ-5D Index</v>
      </c>
      <c r="D102" t="str">
        <f t="shared" ca="1" si="22"/>
        <v>Groin Hernia</v>
      </c>
      <c r="E102" t="str">
        <f t="shared" ca="1" si="22"/>
        <v>Provider</v>
      </c>
      <c r="F102" t="str">
        <f t="shared" ca="1" si="22"/>
        <v>RR7</v>
      </c>
      <c r="G102" t="str">
        <f t="shared" ca="1" si="22"/>
        <v>GATESHEAD HEALTH NHS FOUNDATION TRUST (RR7)</v>
      </c>
      <c r="H102" t="str">
        <f t="shared" ca="1" si="22"/>
        <v>EQ-5D Index</v>
      </c>
      <c r="I102">
        <f t="shared" ca="1" si="22"/>
        <v>142</v>
      </c>
      <c r="J102">
        <f t="shared" ca="1" si="22"/>
        <v>0.79300000000000004</v>
      </c>
      <c r="K102">
        <f t="shared" ca="1" si="22"/>
        <v>0.88</v>
      </c>
      <c r="L102">
        <f t="shared" ca="1" si="23"/>
        <v>8.6999999999999994E-2</v>
      </c>
      <c r="M102">
        <f t="shared" ca="1" si="23"/>
        <v>70</v>
      </c>
      <c r="N102">
        <f t="shared" ca="1" si="23"/>
        <v>52</v>
      </c>
      <c r="O102">
        <f t="shared" ca="1" si="23"/>
        <v>20</v>
      </c>
      <c r="P102">
        <f t="shared" ca="1" si="23"/>
        <v>0.877</v>
      </c>
      <c r="Q102">
        <f t="shared" ca="1" si="23"/>
        <v>8.3921820999999994E-2</v>
      </c>
      <c r="R102">
        <f t="shared" ca="1" si="23"/>
        <v>0.156</v>
      </c>
      <c r="S102">
        <f t="shared" ca="1" si="16"/>
        <v>142</v>
      </c>
      <c r="T102">
        <f t="shared" ca="1" si="17"/>
        <v>8.3921820999999994E-2</v>
      </c>
      <c r="U102" t="e">
        <f ca="1">IF(AND($C102='Funnel setup'!$K$3&amp;'Funnel setup'!$K$5&amp;'Funnel setup'!$K$6&amp;'Funnel setup'!$K$4,'Funnel Lookup'!I102="*"),#N/A,IF(AND($C102='Funnel setup'!$K$3&amp;'Funnel setup'!$K$5&amp;'Funnel setup'!$K$6&amp;'Funnel setup'!$K$4,'Funnel Lookup'!I102&gt;29),'Funnel Lookup'!I102,#N/A))</f>
        <v>#N/A</v>
      </c>
      <c r="V102" t="e">
        <f ca="1">IF(AND($C102='Funnel setup'!$K$3&amp;'Funnel setup'!$K$5&amp;'Funnel setup'!$K$6&amp;'Funnel setup'!$K$4,'Funnel Lookup'!I102="*"),#N/A,IF(AND($C102='Funnel setup'!$K$3&amp;'Funnel setup'!$K$5&amp;'Funnel setup'!$K$6&amp;'Funnel setup'!$K$4,'Funnel Lookup'!I102&gt;29),'Funnel Lookup'!Q102,#N/A))</f>
        <v>#N/A</v>
      </c>
    </row>
    <row r="103" spans="1:22" x14ac:dyDescent="0.2">
      <c r="A103">
        <v>101</v>
      </c>
      <c r="B103">
        <f t="shared" ref="B103:K112" ca="1" si="24">VLOOKUP($A103,Funnel_Data,B$1,FALSE)</f>
        <v>101</v>
      </c>
      <c r="C103" t="str">
        <f t="shared" ca="1" si="24"/>
        <v>Groin HerniaProviderGEORGE ELIOT HOSPITAL NHS TRUST (RLT)EQ-5D Index</v>
      </c>
      <c r="D103" t="str">
        <f t="shared" ca="1" si="24"/>
        <v>Groin Hernia</v>
      </c>
      <c r="E103" t="str">
        <f t="shared" ca="1" si="24"/>
        <v>Provider</v>
      </c>
      <c r="F103" t="str">
        <f t="shared" ca="1" si="24"/>
        <v>RLT</v>
      </c>
      <c r="G103" t="str">
        <f t="shared" ca="1" si="24"/>
        <v>GEORGE ELIOT HOSPITAL NHS TRUST (RLT)</v>
      </c>
      <c r="H103" t="str">
        <f t="shared" ca="1" si="24"/>
        <v>EQ-5D Index</v>
      </c>
      <c r="I103">
        <f t="shared" ca="1" si="24"/>
        <v>32</v>
      </c>
      <c r="J103">
        <f t="shared" ca="1" si="24"/>
        <v>0.74</v>
      </c>
      <c r="K103">
        <f t="shared" ca="1" si="24"/>
        <v>0.90400000000000003</v>
      </c>
      <c r="L103">
        <f t="shared" ref="L103:R112" ca="1" si="25">VLOOKUP($A103,Funnel_Data,L$1,FALSE)</f>
        <v>0.16400000000000001</v>
      </c>
      <c r="M103">
        <f t="shared" ca="1" si="25"/>
        <v>21</v>
      </c>
      <c r="N103">
        <f t="shared" ca="1" si="25"/>
        <v>10</v>
      </c>
      <c r="O103">
        <f t="shared" ca="1" si="25"/>
        <v>1</v>
      </c>
      <c r="P103">
        <f t="shared" ca="1" si="25"/>
        <v>0.92</v>
      </c>
      <c r="Q103">
        <f t="shared" ca="1" si="25"/>
        <v>0.12635337499999999</v>
      </c>
      <c r="R103">
        <f t="shared" ca="1" si="25"/>
        <v>0.184</v>
      </c>
      <c r="S103">
        <f t="shared" ca="1" si="16"/>
        <v>32</v>
      </c>
      <c r="T103">
        <f t="shared" ca="1" si="17"/>
        <v>0.12635337499999999</v>
      </c>
      <c r="U103" t="e">
        <f ca="1">IF(AND($C103='Funnel setup'!$K$3&amp;'Funnel setup'!$K$5&amp;'Funnel setup'!$K$6&amp;'Funnel setup'!$K$4,'Funnel Lookup'!I103="*"),#N/A,IF(AND($C103='Funnel setup'!$K$3&amp;'Funnel setup'!$K$5&amp;'Funnel setup'!$K$6&amp;'Funnel setup'!$K$4,'Funnel Lookup'!I103&gt;29),'Funnel Lookup'!I103,#N/A))</f>
        <v>#N/A</v>
      </c>
      <c r="V103" t="e">
        <f ca="1">IF(AND($C103='Funnel setup'!$K$3&amp;'Funnel setup'!$K$5&amp;'Funnel setup'!$K$6&amp;'Funnel setup'!$K$4,'Funnel Lookup'!I103="*"),#N/A,IF(AND($C103='Funnel setup'!$K$3&amp;'Funnel setup'!$K$5&amp;'Funnel setup'!$K$6&amp;'Funnel setup'!$K$4,'Funnel Lookup'!I103&gt;29),'Funnel Lookup'!Q103,#N/A))</f>
        <v>#N/A</v>
      </c>
    </row>
    <row r="104" spans="1:22" x14ac:dyDescent="0.2">
      <c r="A104">
        <v>102</v>
      </c>
      <c r="B104">
        <f t="shared" ca="1" si="24"/>
        <v>102</v>
      </c>
      <c r="C104" t="str">
        <f t="shared" ca="1" si="24"/>
        <v>Groin HerniaProviderGLOUCESTERSHIRE HOSPITALS NHS FOUNDATION TRUST (RTE)EQ-5D Index</v>
      </c>
      <c r="D104" t="str">
        <f t="shared" ca="1" si="24"/>
        <v>Groin Hernia</v>
      </c>
      <c r="E104" t="str">
        <f t="shared" ca="1" si="24"/>
        <v>Provider</v>
      </c>
      <c r="F104" t="str">
        <f t="shared" ca="1" si="24"/>
        <v>RTE</v>
      </c>
      <c r="G104" t="str">
        <f t="shared" ca="1" si="24"/>
        <v>GLOUCESTERSHIRE HOSPITALS NHS FOUNDATION TRUST (RTE)</v>
      </c>
      <c r="H104" t="str">
        <f t="shared" ca="1" si="24"/>
        <v>EQ-5D Index</v>
      </c>
      <c r="I104">
        <f t="shared" ca="1" si="24"/>
        <v>179</v>
      </c>
      <c r="J104">
        <f t="shared" ca="1" si="24"/>
        <v>0.82899999999999996</v>
      </c>
      <c r="K104">
        <f t="shared" ca="1" si="24"/>
        <v>0.91300000000000003</v>
      </c>
      <c r="L104">
        <f t="shared" ca="1" si="25"/>
        <v>8.4000000000000005E-2</v>
      </c>
      <c r="M104">
        <f t="shared" ca="1" si="25"/>
        <v>93</v>
      </c>
      <c r="N104">
        <f t="shared" ca="1" si="25"/>
        <v>69</v>
      </c>
      <c r="O104">
        <f t="shared" ca="1" si="25"/>
        <v>17</v>
      </c>
      <c r="P104">
        <f t="shared" ca="1" si="25"/>
        <v>0.89400000000000002</v>
      </c>
      <c r="Q104">
        <f t="shared" ca="1" si="25"/>
        <v>0.10062122599999999</v>
      </c>
      <c r="R104">
        <f t="shared" ca="1" si="25"/>
        <v>0.128</v>
      </c>
      <c r="S104">
        <f t="shared" ca="1" si="16"/>
        <v>179</v>
      </c>
      <c r="T104">
        <f t="shared" ca="1" si="17"/>
        <v>0.10062122599999999</v>
      </c>
      <c r="U104" t="e">
        <f ca="1">IF(AND($C104='Funnel setup'!$K$3&amp;'Funnel setup'!$K$5&amp;'Funnel setup'!$K$6&amp;'Funnel setup'!$K$4,'Funnel Lookup'!I104="*"),#N/A,IF(AND($C104='Funnel setup'!$K$3&amp;'Funnel setup'!$K$5&amp;'Funnel setup'!$K$6&amp;'Funnel setup'!$K$4,'Funnel Lookup'!I104&gt;29),'Funnel Lookup'!I104,#N/A))</f>
        <v>#N/A</v>
      </c>
      <c r="V104" t="e">
        <f ca="1">IF(AND($C104='Funnel setup'!$K$3&amp;'Funnel setup'!$K$5&amp;'Funnel setup'!$K$6&amp;'Funnel setup'!$K$4,'Funnel Lookup'!I104="*"),#N/A,IF(AND($C104='Funnel setup'!$K$3&amp;'Funnel setup'!$K$5&amp;'Funnel setup'!$K$6&amp;'Funnel setup'!$K$4,'Funnel Lookup'!I104&gt;29),'Funnel Lookup'!Q104,#N/A))</f>
        <v>#N/A</v>
      </c>
    </row>
    <row r="105" spans="1:22" x14ac:dyDescent="0.2">
      <c r="A105">
        <v>103</v>
      </c>
      <c r="B105">
        <f t="shared" ca="1" si="24"/>
        <v>103</v>
      </c>
      <c r="C105" t="str">
        <f t="shared" ca="1" si="24"/>
        <v>Groin HerniaProviderGREAT WESTERN HOSPITALS NHS FOUNDATION TRUST (RN3)EQ-5D Index</v>
      </c>
      <c r="D105" t="str">
        <f t="shared" ca="1" si="24"/>
        <v>Groin Hernia</v>
      </c>
      <c r="E105" t="str">
        <f t="shared" ca="1" si="24"/>
        <v>Provider</v>
      </c>
      <c r="F105" t="str">
        <f t="shared" ca="1" si="24"/>
        <v>RN3</v>
      </c>
      <c r="G105" t="str">
        <f t="shared" ca="1" si="24"/>
        <v>GREAT WESTERN HOSPITALS NHS FOUNDATION TRUST (RN3)</v>
      </c>
      <c r="H105" t="str">
        <f t="shared" ca="1" si="24"/>
        <v>EQ-5D Index</v>
      </c>
      <c r="I105">
        <f t="shared" ca="1" si="24"/>
        <v>64</v>
      </c>
      <c r="J105">
        <f t="shared" ca="1" si="24"/>
        <v>0.82699999999999996</v>
      </c>
      <c r="K105">
        <f t="shared" ca="1" si="24"/>
        <v>0.88700000000000001</v>
      </c>
      <c r="L105">
        <f t="shared" ca="1" si="25"/>
        <v>0.06</v>
      </c>
      <c r="M105">
        <f t="shared" ca="1" si="25"/>
        <v>27</v>
      </c>
      <c r="N105">
        <f t="shared" ca="1" si="25"/>
        <v>23</v>
      </c>
      <c r="O105">
        <f t="shared" ca="1" si="25"/>
        <v>14</v>
      </c>
      <c r="P105">
        <f t="shared" ca="1" si="25"/>
        <v>0.86499999999999999</v>
      </c>
      <c r="Q105">
        <f t="shared" ca="1" si="25"/>
        <v>7.1385926000000002E-2</v>
      </c>
      <c r="R105">
        <f t="shared" ca="1" si="25"/>
        <v>0.13</v>
      </c>
      <c r="S105">
        <f t="shared" ca="1" si="16"/>
        <v>64</v>
      </c>
      <c r="T105">
        <f t="shared" ca="1" si="17"/>
        <v>7.1385926000000002E-2</v>
      </c>
      <c r="U105" t="e">
        <f ca="1">IF(AND($C105='Funnel setup'!$K$3&amp;'Funnel setup'!$K$5&amp;'Funnel setup'!$K$6&amp;'Funnel setup'!$K$4,'Funnel Lookup'!I105="*"),#N/A,IF(AND($C105='Funnel setup'!$K$3&amp;'Funnel setup'!$K$5&amp;'Funnel setup'!$K$6&amp;'Funnel setup'!$K$4,'Funnel Lookup'!I105&gt;29),'Funnel Lookup'!I105,#N/A))</f>
        <v>#N/A</v>
      </c>
      <c r="V105" t="e">
        <f ca="1">IF(AND($C105='Funnel setup'!$K$3&amp;'Funnel setup'!$K$5&amp;'Funnel setup'!$K$6&amp;'Funnel setup'!$K$4,'Funnel Lookup'!I105="*"),#N/A,IF(AND($C105='Funnel setup'!$K$3&amp;'Funnel setup'!$K$5&amp;'Funnel setup'!$K$6&amp;'Funnel setup'!$K$4,'Funnel Lookup'!I105&gt;29),'Funnel Lookup'!Q105,#N/A))</f>
        <v>#N/A</v>
      </c>
    </row>
    <row r="106" spans="1:22" x14ac:dyDescent="0.2">
      <c r="A106">
        <v>104</v>
      </c>
      <c r="B106">
        <f t="shared" ca="1" si="24"/>
        <v>104</v>
      </c>
      <c r="C106" t="str">
        <f t="shared" ca="1" si="24"/>
        <v>Groin HerniaProviderGUY'S AND ST THOMAS' NHS FOUNDATION TRUST (RJ1)EQ-5D Index</v>
      </c>
      <c r="D106" t="str">
        <f t="shared" ca="1" si="24"/>
        <v>Groin Hernia</v>
      </c>
      <c r="E106" t="str">
        <f t="shared" ca="1" si="24"/>
        <v>Provider</v>
      </c>
      <c r="F106" t="str">
        <f t="shared" ca="1" si="24"/>
        <v>RJ1</v>
      </c>
      <c r="G106" t="str">
        <f t="shared" ca="1" si="24"/>
        <v>GUY'S AND ST THOMAS' NHS FOUNDATION TRUST (RJ1)</v>
      </c>
      <c r="H106" t="str">
        <f t="shared" ca="1" si="24"/>
        <v>EQ-5D Index</v>
      </c>
      <c r="I106">
        <f t="shared" ca="1" si="24"/>
        <v>12</v>
      </c>
      <c r="J106">
        <f t="shared" ca="1" si="24"/>
        <v>0.85899999999999999</v>
      </c>
      <c r="K106">
        <f t="shared" ca="1" si="24"/>
        <v>0.878</v>
      </c>
      <c r="L106">
        <f t="shared" ca="1" si="25"/>
        <v>1.9E-2</v>
      </c>
      <c r="M106">
        <f t="shared" ca="1" si="25"/>
        <v>3</v>
      </c>
      <c r="N106">
        <f t="shared" ca="1" si="25"/>
        <v>6</v>
      </c>
      <c r="O106">
        <f t="shared" ca="1" si="25"/>
        <v>3</v>
      </c>
      <c r="P106" t="str">
        <f t="shared" ca="1" si="25"/>
        <v>*</v>
      </c>
      <c r="Q106" t="str">
        <f t="shared" ca="1" si="25"/>
        <v>*</v>
      </c>
      <c r="R106" t="str">
        <f t="shared" ca="1" si="25"/>
        <v>*</v>
      </c>
      <c r="S106" t="e">
        <f t="shared" ca="1" si="16"/>
        <v>#N/A</v>
      </c>
      <c r="T106" t="e">
        <f t="shared" ca="1" si="17"/>
        <v>#N/A</v>
      </c>
      <c r="U106" t="e">
        <f ca="1">IF(AND($C106='Funnel setup'!$K$3&amp;'Funnel setup'!$K$5&amp;'Funnel setup'!$K$6&amp;'Funnel setup'!$K$4,'Funnel Lookup'!I106="*"),#N/A,IF(AND($C106='Funnel setup'!$K$3&amp;'Funnel setup'!$K$5&amp;'Funnel setup'!$K$6&amp;'Funnel setup'!$K$4,'Funnel Lookup'!I106&gt;29),'Funnel Lookup'!I106,#N/A))</f>
        <v>#N/A</v>
      </c>
      <c r="V106" t="e">
        <f ca="1">IF(AND($C106='Funnel setup'!$K$3&amp;'Funnel setup'!$K$5&amp;'Funnel setup'!$K$6&amp;'Funnel setup'!$K$4,'Funnel Lookup'!I106="*"),#N/A,IF(AND($C106='Funnel setup'!$K$3&amp;'Funnel setup'!$K$5&amp;'Funnel setup'!$K$6&amp;'Funnel setup'!$K$4,'Funnel Lookup'!I106&gt;29),'Funnel Lookup'!Q106,#N/A))</f>
        <v>#N/A</v>
      </c>
    </row>
    <row r="107" spans="1:22" x14ac:dyDescent="0.2">
      <c r="A107">
        <v>105</v>
      </c>
      <c r="B107">
        <f t="shared" ca="1" si="24"/>
        <v>105</v>
      </c>
      <c r="C107" t="str">
        <f t="shared" ca="1" si="24"/>
        <v>Groin HerniaProviderHAMPSHIRE HOSPITALS NHS FOUNDATION TRUST (RN5)EQ-5D Index</v>
      </c>
      <c r="D107" t="str">
        <f t="shared" ca="1" si="24"/>
        <v>Groin Hernia</v>
      </c>
      <c r="E107" t="str">
        <f t="shared" ca="1" si="24"/>
        <v>Provider</v>
      </c>
      <c r="F107" t="str">
        <f t="shared" ca="1" si="24"/>
        <v>RN5</v>
      </c>
      <c r="G107" t="str">
        <f t="shared" ca="1" si="24"/>
        <v>HAMPSHIRE HOSPITALS NHS FOUNDATION TRUST (RN5)</v>
      </c>
      <c r="H107" t="str">
        <f t="shared" ca="1" si="24"/>
        <v>EQ-5D Index</v>
      </c>
      <c r="I107">
        <f t="shared" ca="1" si="24"/>
        <v>96</v>
      </c>
      <c r="J107">
        <f t="shared" ca="1" si="24"/>
        <v>0.78800000000000003</v>
      </c>
      <c r="K107">
        <f t="shared" ca="1" si="24"/>
        <v>0.90300000000000002</v>
      </c>
      <c r="L107">
        <f t="shared" ca="1" si="25"/>
        <v>0.115</v>
      </c>
      <c r="M107">
        <f t="shared" ca="1" si="25"/>
        <v>53</v>
      </c>
      <c r="N107">
        <f t="shared" ca="1" si="25"/>
        <v>33</v>
      </c>
      <c r="O107">
        <f t="shared" ca="1" si="25"/>
        <v>10</v>
      </c>
      <c r="P107">
        <f t="shared" ca="1" si="25"/>
        <v>0.9</v>
      </c>
      <c r="Q107">
        <f t="shared" ca="1" si="25"/>
        <v>0.106128031</v>
      </c>
      <c r="R107">
        <f t="shared" ca="1" si="25"/>
        <v>0.13700000000000001</v>
      </c>
      <c r="S107">
        <f t="shared" ca="1" si="16"/>
        <v>96</v>
      </c>
      <c r="T107">
        <f t="shared" ca="1" si="17"/>
        <v>0.106128031</v>
      </c>
      <c r="U107" t="e">
        <f ca="1">IF(AND($C107='Funnel setup'!$K$3&amp;'Funnel setup'!$K$5&amp;'Funnel setup'!$K$6&amp;'Funnel setup'!$K$4,'Funnel Lookup'!I107="*"),#N/A,IF(AND($C107='Funnel setup'!$K$3&amp;'Funnel setup'!$K$5&amp;'Funnel setup'!$K$6&amp;'Funnel setup'!$K$4,'Funnel Lookup'!I107&gt;29),'Funnel Lookup'!I107,#N/A))</f>
        <v>#N/A</v>
      </c>
      <c r="V107" t="e">
        <f ca="1">IF(AND($C107='Funnel setup'!$K$3&amp;'Funnel setup'!$K$5&amp;'Funnel setup'!$K$6&amp;'Funnel setup'!$K$4,'Funnel Lookup'!I107="*"),#N/A,IF(AND($C107='Funnel setup'!$K$3&amp;'Funnel setup'!$K$5&amp;'Funnel setup'!$K$6&amp;'Funnel setup'!$K$4,'Funnel Lookup'!I107&gt;29),'Funnel Lookup'!Q107,#N/A))</f>
        <v>#N/A</v>
      </c>
    </row>
    <row r="108" spans="1:22" x14ac:dyDescent="0.2">
      <c r="A108">
        <v>106</v>
      </c>
      <c r="B108">
        <f t="shared" ca="1" si="24"/>
        <v>106</v>
      </c>
      <c r="C108" t="str">
        <f t="shared" ca="1" si="24"/>
        <v>Groin HerniaProviderHARROGATE AND DISTRICT NHS FOUNDATION TRUST (RCD)EQ-5D Index</v>
      </c>
      <c r="D108" t="str">
        <f t="shared" ca="1" si="24"/>
        <v>Groin Hernia</v>
      </c>
      <c r="E108" t="str">
        <f t="shared" ca="1" si="24"/>
        <v>Provider</v>
      </c>
      <c r="F108" t="str">
        <f t="shared" ca="1" si="24"/>
        <v>RCD</v>
      </c>
      <c r="G108" t="str">
        <f t="shared" ca="1" si="24"/>
        <v>HARROGATE AND DISTRICT NHS FOUNDATION TRUST (RCD)</v>
      </c>
      <c r="H108" t="str">
        <f t="shared" ca="1" si="24"/>
        <v>EQ-5D Index</v>
      </c>
      <c r="I108">
        <f t="shared" ca="1" si="24"/>
        <v>183</v>
      </c>
      <c r="J108">
        <f t="shared" ca="1" si="24"/>
        <v>0.81599999999999995</v>
      </c>
      <c r="K108">
        <f t="shared" ca="1" si="24"/>
        <v>0.878</v>
      </c>
      <c r="L108">
        <f t="shared" ca="1" si="25"/>
        <v>6.2E-2</v>
      </c>
      <c r="M108">
        <f t="shared" ca="1" si="25"/>
        <v>88</v>
      </c>
      <c r="N108">
        <f t="shared" ca="1" si="25"/>
        <v>53</v>
      </c>
      <c r="O108">
        <f t="shared" ca="1" si="25"/>
        <v>42</v>
      </c>
      <c r="P108">
        <f t="shared" ca="1" si="25"/>
        <v>0.87</v>
      </c>
      <c r="Q108">
        <f t="shared" ca="1" si="25"/>
        <v>7.6433062999999996E-2</v>
      </c>
      <c r="R108">
        <f t="shared" ca="1" si="25"/>
        <v>0.152</v>
      </c>
      <c r="S108">
        <f t="shared" ca="1" si="16"/>
        <v>183</v>
      </c>
      <c r="T108">
        <f t="shared" ca="1" si="17"/>
        <v>7.6433062999999996E-2</v>
      </c>
      <c r="U108" t="e">
        <f ca="1">IF(AND($C108='Funnel setup'!$K$3&amp;'Funnel setup'!$K$5&amp;'Funnel setup'!$K$6&amp;'Funnel setup'!$K$4,'Funnel Lookup'!I108="*"),#N/A,IF(AND($C108='Funnel setup'!$K$3&amp;'Funnel setup'!$K$5&amp;'Funnel setup'!$K$6&amp;'Funnel setup'!$K$4,'Funnel Lookup'!I108&gt;29),'Funnel Lookup'!I108,#N/A))</f>
        <v>#N/A</v>
      </c>
      <c r="V108" t="e">
        <f ca="1">IF(AND($C108='Funnel setup'!$K$3&amp;'Funnel setup'!$K$5&amp;'Funnel setup'!$K$6&amp;'Funnel setup'!$K$4,'Funnel Lookup'!I108="*"),#N/A,IF(AND($C108='Funnel setup'!$K$3&amp;'Funnel setup'!$K$5&amp;'Funnel setup'!$K$6&amp;'Funnel setup'!$K$4,'Funnel Lookup'!I108&gt;29),'Funnel Lookup'!Q108,#N/A))</f>
        <v>#N/A</v>
      </c>
    </row>
    <row r="109" spans="1:22" x14ac:dyDescent="0.2">
      <c r="A109">
        <v>107</v>
      </c>
      <c r="B109">
        <f t="shared" ca="1" si="24"/>
        <v>107</v>
      </c>
      <c r="C109" t="str">
        <f t="shared" ca="1" si="24"/>
        <v>Groin HerniaProviderHATHAWAY MEDICAL CENTRE (NXP04)EQ-5D Index</v>
      </c>
      <c r="D109" t="str">
        <f t="shared" ca="1" si="24"/>
        <v>Groin Hernia</v>
      </c>
      <c r="E109" t="str">
        <f t="shared" ca="1" si="24"/>
        <v>Provider</v>
      </c>
      <c r="F109" t="str">
        <f t="shared" ca="1" si="24"/>
        <v>NXP04</v>
      </c>
      <c r="G109" t="str">
        <f t="shared" ca="1" si="24"/>
        <v>HATHAWAY MEDICAL CENTRE (NXP04)</v>
      </c>
      <c r="H109" t="str">
        <f t="shared" ca="1" si="24"/>
        <v>EQ-5D Index</v>
      </c>
      <c r="I109">
        <f t="shared" ca="1" si="24"/>
        <v>15</v>
      </c>
      <c r="J109">
        <f t="shared" ca="1" si="24"/>
        <v>0.82399999999999995</v>
      </c>
      <c r="K109">
        <f t="shared" ca="1" si="24"/>
        <v>0.93</v>
      </c>
      <c r="L109">
        <f t="shared" ca="1" si="25"/>
        <v>0.106</v>
      </c>
      <c r="M109">
        <f t="shared" ca="1" si="25"/>
        <v>9</v>
      </c>
      <c r="N109">
        <f t="shared" ca="1" si="25"/>
        <v>4</v>
      </c>
      <c r="O109">
        <f t="shared" ca="1" si="25"/>
        <v>2</v>
      </c>
      <c r="P109" t="str">
        <f t="shared" ca="1" si="25"/>
        <v>*</v>
      </c>
      <c r="Q109" t="str">
        <f t="shared" ca="1" si="25"/>
        <v>*</v>
      </c>
      <c r="R109" t="str">
        <f t="shared" ca="1" si="25"/>
        <v>*</v>
      </c>
      <c r="S109" t="e">
        <f t="shared" ca="1" si="16"/>
        <v>#N/A</v>
      </c>
      <c r="T109" t="e">
        <f t="shared" ca="1" si="17"/>
        <v>#N/A</v>
      </c>
      <c r="U109" t="e">
        <f ca="1">IF(AND($C109='Funnel setup'!$K$3&amp;'Funnel setup'!$K$5&amp;'Funnel setup'!$K$6&amp;'Funnel setup'!$K$4,'Funnel Lookup'!I109="*"),#N/A,IF(AND($C109='Funnel setup'!$K$3&amp;'Funnel setup'!$K$5&amp;'Funnel setup'!$K$6&amp;'Funnel setup'!$K$4,'Funnel Lookup'!I109&gt;29),'Funnel Lookup'!I109,#N/A))</f>
        <v>#N/A</v>
      </c>
      <c r="V109" t="e">
        <f ca="1">IF(AND($C109='Funnel setup'!$K$3&amp;'Funnel setup'!$K$5&amp;'Funnel setup'!$K$6&amp;'Funnel setup'!$K$4,'Funnel Lookup'!I109="*"),#N/A,IF(AND($C109='Funnel setup'!$K$3&amp;'Funnel setup'!$K$5&amp;'Funnel setup'!$K$6&amp;'Funnel setup'!$K$4,'Funnel Lookup'!I109&gt;29),'Funnel Lookup'!Q109,#N/A))</f>
        <v>#N/A</v>
      </c>
    </row>
    <row r="110" spans="1:22" x14ac:dyDescent="0.2">
      <c r="A110">
        <v>108</v>
      </c>
      <c r="B110">
        <f t="shared" ca="1" si="24"/>
        <v>108</v>
      </c>
      <c r="C110" t="str">
        <f t="shared" ca="1" si="24"/>
        <v>Groin HerniaProviderHEART OF ENGLAND NHS FOUNDATION TRUST (RR1)EQ-5D Index</v>
      </c>
      <c r="D110" t="str">
        <f t="shared" ca="1" si="24"/>
        <v>Groin Hernia</v>
      </c>
      <c r="E110" t="str">
        <f t="shared" ca="1" si="24"/>
        <v>Provider</v>
      </c>
      <c r="F110" t="str">
        <f t="shared" ca="1" si="24"/>
        <v>RR1</v>
      </c>
      <c r="G110" t="str">
        <f t="shared" ca="1" si="24"/>
        <v>HEART OF ENGLAND NHS FOUNDATION TRUST (RR1)</v>
      </c>
      <c r="H110" t="str">
        <f t="shared" ca="1" si="24"/>
        <v>EQ-5D Index</v>
      </c>
      <c r="I110">
        <f t="shared" ca="1" si="24"/>
        <v>329</v>
      </c>
      <c r="J110">
        <f t="shared" ca="1" si="24"/>
        <v>0.78100000000000003</v>
      </c>
      <c r="K110">
        <f t="shared" ca="1" si="24"/>
        <v>0.878</v>
      </c>
      <c r="L110">
        <f t="shared" ca="1" si="25"/>
        <v>9.7000000000000003E-2</v>
      </c>
      <c r="M110">
        <f t="shared" ca="1" si="25"/>
        <v>185</v>
      </c>
      <c r="N110">
        <f t="shared" ca="1" si="25"/>
        <v>86</v>
      </c>
      <c r="O110">
        <f t="shared" ca="1" si="25"/>
        <v>58</v>
      </c>
      <c r="P110">
        <f t="shared" ca="1" si="25"/>
        <v>0.88700000000000001</v>
      </c>
      <c r="Q110">
        <f t="shared" ca="1" si="25"/>
        <v>9.3615085000000001E-2</v>
      </c>
      <c r="R110">
        <f t="shared" ca="1" si="25"/>
        <v>0.154</v>
      </c>
      <c r="S110">
        <f t="shared" ca="1" si="16"/>
        <v>329</v>
      </c>
      <c r="T110">
        <f t="shared" ca="1" si="17"/>
        <v>9.3615085000000001E-2</v>
      </c>
      <c r="U110" t="e">
        <f ca="1">IF(AND($C110='Funnel setup'!$K$3&amp;'Funnel setup'!$K$5&amp;'Funnel setup'!$K$6&amp;'Funnel setup'!$K$4,'Funnel Lookup'!I110="*"),#N/A,IF(AND($C110='Funnel setup'!$K$3&amp;'Funnel setup'!$K$5&amp;'Funnel setup'!$K$6&amp;'Funnel setup'!$K$4,'Funnel Lookup'!I110&gt;29),'Funnel Lookup'!I110,#N/A))</f>
        <v>#N/A</v>
      </c>
      <c r="V110" t="e">
        <f ca="1">IF(AND($C110='Funnel setup'!$K$3&amp;'Funnel setup'!$K$5&amp;'Funnel setup'!$K$6&amp;'Funnel setup'!$K$4,'Funnel Lookup'!I110="*"),#N/A,IF(AND($C110='Funnel setup'!$K$3&amp;'Funnel setup'!$K$5&amp;'Funnel setup'!$K$6&amp;'Funnel setup'!$K$4,'Funnel Lookup'!I110&gt;29),'Funnel Lookup'!Q110,#N/A))</f>
        <v>#N/A</v>
      </c>
    </row>
    <row r="111" spans="1:22" x14ac:dyDescent="0.2">
      <c r="A111">
        <v>109</v>
      </c>
      <c r="B111">
        <f t="shared" ca="1" si="24"/>
        <v>109</v>
      </c>
      <c r="C111" t="str">
        <f t="shared" ca="1" si="24"/>
        <v>Groin HerniaProviderHINCHINGBROOKE HEALTH CARE NHS TRUST (RQQ)EQ-5D Index</v>
      </c>
      <c r="D111" t="str">
        <f t="shared" ca="1" si="24"/>
        <v>Groin Hernia</v>
      </c>
      <c r="E111" t="str">
        <f t="shared" ca="1" si="24"/>
        <v>Provider</v>
      </c>
      <c r="F111" t="str">
        <f t="shared" ca="1" si="24"/>
        <v>RQQ</v>
      </c>
      <c r="G111" t="str">
        <f t="shared" ca="1" si="24"/>
        <v>HINCHINGBROOKE HEALTH CARE NHS TRUST (RQQ)</v>
      </c>
      <c r="H111" t="str">
        <f t="shared" ca="1" si="24"/>
        <v>EQ-5D Index</v>
      </c>
      <c r="I111">
        <f t="shared" ca="1" si="24"/>
        <v>89</v>
      </c>
      <c r="J111">
        <f t="shared" ca="1" si="24"/>
        <v>0.76</v>
      </c>
      <c r="K111">
        <f t="shared" ca="1" si="24"/>
        <v>0.90500000000000003</v>
      </c>
      <c r="L111">
        <f t="shared" ca="1" si="25"/>
        <v>0.14499999999999999</v>
      </c>
      <c r="M111">
        <f t="shared" ca="1" si="25"/>
        <v>61</v>
      </c>
      <c r="N111">
        <f t="shared" ca="1" si="25"/>
        <v>19</v>
      </c>
      <c r="O111">
        <f t="shared" ca="1" si="25"/>
        <v>9</v>
      </c>
      <c r="P111">
        <f t="shared" ca="1" si="25"/>
        <v>0.90700000000000003</v>
      </c>
      <c r="Q111">
        <f t="shared" ca="1" si="25"/>
        <v>0.113835114</v>
      </c>
      <c r="R111">
        <f t="shared" ca="1" si="25"/>
        <v>0.158</v>
      </c>
      <c r="S111">
        <f t="shared" ca="1" si="16"/>
        <v>89</v>
      </c>
      <c r="T111">
        <f t="shared" ca="1" si="17"/>
        <v>0.113835114</v>
      </c>
      <c r="U111" t="e">
        <f ca="1">IF(AND($C111='Funnel setup'!$K$3&amp;'Funnel setup'!$K$5&amp;'Funnel setup'!$K$6&amp;'Funnel setup'!$K$4,'Funnel Lookup'!I111="*"),#N/A,IF(AND($C111='Funnel setup'!$K$3&amp;'Funnel setup'!$K$5&amp;'Funnel setup'!$K$6&amp;'Funnel setup'!$K$4,'Funnel Lookup'!I111&gt;29),'Funnel Lookup'!I111,#N/A))</f>
        <v>#N/A</v>
      </c>
      <c r="V111" t="e">
        <f ca="1">IF(AND($C111='Funnel setup'!$K$3&amp;'Funnel setup'!$K$5&amp;'Funnel setup'!$K$6&amp;'Funnel setup'!$K$4,'Funnel Lookup'!I111="*"),#N/A,IF(AND($C111='Funnel setup'!$K$3&amp;'Funnel setup'!$K$5&amp;'Funnel setup'!$K$6&amp;'Funnel setup'!$K$4,'Funnel Lookup'!I111&gt;29),'Funnel Lookup'!Q111,#N/A))</f>
        <v>#N/A</v>
      </c>
    </row>
    <row r="112" spans="1:22" x14ac:dyDescent="0.2">
      <c r="A112">
        <v>110</v>
      </c>
      <c r="B112">
        <f t="shared" ca="1" si="24"/>
        <v>110</v>
      </c>
      <c r="C112" t="str">
        <f t="shared" ca="1" si="24"/>
        <v>Groin HerniaProviderHOMERTON UNIVERSITY HOSPITAL NHS FOUNDATION TRUST (RQX)EQ-5D Index</v>
      </c>
      <c r="D112" t="str">
        <f t="shared" ca="1" si="24"/>
        <v>Groin Hernia</v>
      </c>
      <c r="E112" t="str">
        <f t="shared" ca="1" si="24"/>
        <v>Provider</v>
      </c>
      <c r="F112" t="str">
        <f t="shared" ca="1" si="24"/>
        <v>RQX</v>
      </c>
      <c r="G112" t="str">
        <f t="shared" ca="1" si="24"/>
        <v>HOMERTON UNIVERSITY HOSPITAL NHS FOUNDATION TRUST (RQX)</v>
      </c>
      <c r="H112" t="str">
        <f t="shared" ca="1" si="24"/>
        <v>EQ-5D Index</v>
      </c>
      <c r="I112">
        <f t="shared" ca="1" si="24"/>
        <v>29</v>
      </c>
      <c r="J112">
        <f t="shared" ca="1" si="24"/>
        <v>0.71399999999999997</v>
      </c>
      <c r="K112">
        <f t="shared" ca="1" si="24"/>
        <v>0.84899999999999998</v>
      </c>
      <c r="L112">
        <f t="shared" ca="1" si="25"/>
        <v>0.13500000000000001</v>
      </c>
      <c r="M112">
        <f t="shared" ca="1" si="25"/>
        <v>14</v>
      </c>
      <c r="N112">
        <f t="shared" ca="1" si="25"/>
        <v>8</v>
      </c>
      <c r="O112">
        <f t="shared" ca="1" si="25"/>
        <v>7</v>
      </c>
      <c r="P112" t="str">
        <f t="shared" ca="1" si="25"/>
        <v>*</v>
      </c>
      <c r="Q112" t="str">
        <f t="shared" ca="1" si="25"/>
        <v>*</v>
      </c>
      <c r="R112" t="str">
        <f t="shared" ca="1" si="25"/>
        <v>*</v>
      </c>
      <c r="S112" t="e">
        <f t="shared" ca="1" si="16"/>
        <v>#N/A</v>
      </c>
      <c r="T112" t="e">
        <f t="shared" ca="1" si="17"/>
        <v>#N/A</v>
      </c>
      <c r="U112" t="e">
        <f ca="1">IF(AND($C112='Funnel setup'!$K$3&amp;'Funnel setup'!$K$5&amp;'Funnel setup'!$K$6&amp;'Funnel setup'!$K$4,'Funnel Lookup'!I112="*"),#N/A,IF(AND($C112='Funnel setup'!$K$3&amp;'Funnel setup'!$K$5&amp;'Funnel setup'!$K$6&amp;'Funnel setup'!$K$4,'Funnel Lookup'!I112&gt;29),'Funnel Lookup'!I112,#N/A))</f>
        <v>#N/A</v>
      </c>
      <c r="V112" t="e">
        <f ca="1">IF(AND($C112='Funnel setup'!$K$3&amp;'Funnel setup'!$K$5&amp;'Funnel setup'!$K$6&amp;'Funnel setup'!$K$4,'Funnel Lookup'!I112="*"),#N/A,IF(AND($C112='Funnel setup'!$K$3&amp;'Funnel setup'!$K$5&amp;'Funnel setup'!$K$6&amp;'Funnel setup'!$K$4,'Funnel Lookup'!I112&gt;29),'Funnel Lookup'!Q112,#N/A))</f>
        <v>#N/A</v>
      </c>
    </row>
    <row r="113" spans="1:22" x14ac:dyDescent="0.2">
      <c r="A113">
        <v>111</v>
      </c>
      <c r="B113">
        <f t="shared" ref="B113:K122" ca="1" si="26">VLOOKUP($A113,Funnel_Data,B$1,FALSE)</f>
        <v>111</v>
      </c>
      <c r="C113" t="str">
        <f t="shared" ca="1" si="26"/>
        <v>Groin HerniaProviderHULL AND EAST YORKSHIRE HOSPITALS NHS TRUST (RWA)EQ-5D Index</v>
      </c>
      <c r="D113" t="str">
        <f t="shared" ca="1" si="26"/>
        <v>Groin Hernia</v>
      </c>
      <c r="E113" t="str">
        <f t="shared" ca="1" si="26"/>
        <v>Provider</v>
      </c>
      <c r="F113" t="str">
        <f t="shared" ca="1" si="26"/>
        <v>RWA</v>
      </c>
      <c r="G113" t="str">
        <f t="shared" ca="1" si="26"/>
        <v>HULL AND EAST YORKSHIRE HOSPITALS NHS TRUST (RWA)</v>
      </c>
      <c r="H113" t="str">
        <f t="shared" ca="1" si="26"/>
        <v>EQ-5D Index</v>
      </c>
      <c r="I113">
        <f t="shared" ca="1" si="26"/>
        <v>278</v>
      </c>
      <c r="J113">
        <f t="shared" ca="1" si="26"/>
        <v>0.77400000000000002</v>
      </c>
      <c r="K113">
        <f t="shared" ca="1" si="26"/>
        <v>0.88</v>
      </c>
      <c r="L113">
        <f t="shared" ref="L113:R122" ca="1" si="27">VLOOKUP($A113,Funnel_Data,L$1,FALSE)</f>
        <v>0.106</v>
      </c>
      <c r="M113">
        <f t="shared" ca="1" si="27"/>
        <v>149</v>
      </c>
      <c r="N113">
        <f t="shared" ca="1" si="27"/>
        <v>90</v>
      </c>
      <c r="O113">
        <f t="shared" ca="1" si="27"/>
        <v>39</v>
      </c>
      <c r="P113">
        <f t="shared" ca="1" si="27"/>
        <v>0.89400000000000002</v>
      </c>
      <c r="Q113">
        <f t="shared" ca="1" si="27"/>
        <v>0.100149804</v>
      </c>
      <c r="R113">
        <f t="shared" ca="1" si="27"/>
        <v>0.17499999999999999</v>
      </c>
      <c r="S113">
        <f t="shared" ca="1" si="16"/>
        <v>278</v>
      </c>
      <c r="T113">
        <f t="shared" ca="1" si="17"/>
        <v>0.100149804</v>
      </c>
      <c r="U113" t="e">
        <f ca="1">IF(AND($C113='Funnel setup'!$K$3&amp;'Funnel setup'!$K$5&amp;'Funnel setup'!$K$6&amp;'Funnel setup'!$K$4,'Funnel Lookup'!I113="*"),#N/A,IF(AND($C113='Funnel setup'!$K$3&amp;'Funnel setup'!$K$5&amp;'Funnel setup'!$K$6&amp;'Funnel setup'!$K$4,'Funnel Lookup'!I113&gt;29),'Funnel Lookup'!I113,#N/A))</f>
        <v>#N/A</v>
      </c>
      <c r="V113" t="e">
        <f ca="1">IF(AND($C113='Funnel setup'!$K$3&amp;'Funnel setup'!$K$5&amp;'Funnel setup'!$K$6&amp;'Funnel setup'!$K$4,'Funnel Lookup'!I113="*"),#N/A,IF(AND($C113='Funnel setup'!$K$3&amp;'Funnel setup'!$K$5&amp;'Funnel setup'!$K$6&amp;'Funnel setup'!$K$4,'Funnel Lookup'!I113&gt;29),'Funnel Lookup'!Q113,#N/A))</f>
        <v>#N/A</v>
      </c>
    </row>
    <row r="114" spans="1:22" x14ac:dyDescent="0.2">
      <c r="A114">
        <v>112</v>
      </c>
      <c r="B114">
        <f t="shared" ca="1" si="26"/>
        <v>112</v>
      </c>
      <c r="C114" t="str">
        <f t="shared" ca="1" si="26"/>
        <v>Groin HerniaProviderIPSWICH HOSPITAL NHS TRUST (RGQ)EQ-5D Index</v>
      </c>
      <c r="D114" t="str">
        <f t="shared" ca="1" si="26"/>
        <v>Groin Hernia</v>
      </c>
      <c r="E114" t="str">
        <f t="shared" ca="1" si="26"/>
        <v>Provider</v>
      </c>
      <c r="F114" t="str">
        <f t="shared" ca="1" si="26"/>
        <v>RGQ</v>
      </c>
      <c r="G114" t="str">
        <f t="shared" ca="1" si="26"/>
        <v>IPSWICH HOSPITAL NHS TRUST (RGQ)</v>
      </c>
      <c r="H114" t="str">
        <f t="shared" ca="1" si="26"/>
        <v>EQ-5D Index</v>
      </c>
      <c r="I114">
        <f t="shared" ca="1" si="26"/>
        <v>193</v>
      </c>
      <c r="J114">
        <f t="shared" ca="1" si="26"/>
        <v>0.77500000000000002</v>
      </c>
      <c r="K114">
        <f t="shared" ca="1" si="26"/>
        <v>0.86899999999999999</v>
      </c>
      <c r="L114">
        <f t="shared" ca="1" si="27"/>
        <v>9.2999999999999999E-2</v>
      </c>
      <c r="M114">
        <f t="shared" ca="1" si="27"/>
        <v>116</v>
      </c>
      <c r="N114">
        <f t="shared" ca="1" si="27"/>
        <v>51</v>
      </c>
      <c r="O114">
        <f t="shared" ca="1" si="27"/>
        <v>26</v>
      </c>
      <c r="P114">
        <f t="shared" ca="1" si="27"/>
        <v>0.875</v>
      </c>
      <c r="Q114">
        <f t="shared" ca="1" si="27"/>
        <v>8.1525332000000006E-2</v>
      </c>
      <c r="R114">
        <f t="shared" ca="1" si="27"/>
        <v>0.214</v>
      </c>
      <c r="S114">
        <f t="shared" ca="1" si="16"/>
        <v>193</v>
      </c>
      <c r="T114">
        <f t="shared" ca="1" si="17"/>
        <v>8.1525332000000006E-2</v>
      </c>
      <c r="U114" t="e">
        <f ca="1">IF(AND($C114='Funnel setup'!$K$3&amp;'Funnel setup'!$K$5&amp;'Funnel setup'!$K$6&amp;'Funnel setup'!$K$4,'Funnel Lookup'!I114="*"),#N/A,IF(AND($C114='Funnel setup'!$K$3&amp;'Funnel setup'!$K$5&amp;'Funnel setup'!$K$6&amp;'Funnel setup'!$K$4,'Funnel Lookup'!I114&gt;29),'Funnel Lookup'!I114,#N/A))</f>
        <v>#N/A</v>
      </c>
      <c r="V114" t="e">
        <f ca="1">IF(AND($C114='Funnel setup'!$K$3&amp;'Funnel setup'!$K$5&amp;'Funnel setup'!$K$6&amp;'Funnel setup'!$K$4,'Funnel Lookup'!I114="*"),#N/A,IF(AND($C114='Funnel setup'!$K$3&amp;'Funnel setup'!$K$5&amp;'Funnel setup'!$K$6&amp;'Funnel setup'!$K$4,'Funnel Lookup'!I114&gt;29),'Funnel Lookup'!Q114,#N/A))</f>
        <v>#N/A</v>
      </c>
    </row>
    <row r="115" spans="1:22" x14ac:dyDescent="0.2">
      <c r="A115">
        <v>113</v>
      </c>
      <c r="B115">
        <f t="shared" ca="1" si="26"/>
        <v>113</v>
      </c>
      <c r="C115" t="str">
        <f t="shared" ca="1" si="26"/>
        <v>Groin HerniaProviderISLE OF WIGHT NHS TRUST (R1F)EQ-5D Index</v>
      </c>
      <c r="D115" t="str">
        <f t="shared" ca="1" si="26"/>
        <v>Groin Hernia</v>
      </c>
      <c r="E115" t="str">
        <f t="shared" ca="1" si="26"/>
        <v>Provider</v>
      </c>
      <c r="F115" t="str">
        <f t="shared" ca="1" si="26"/>
        <v>R1F</v>
      </c>
      <c r="G115" t="str">
        <f t="shared" ca="1" si="26"/>
        <v>ISLE OF WIGHT NHS TRUST (R1F)</v>
      </c>
      <c r="H115" t="str">
        <f t="shared" ca="1" si="26"/>
        <v>EQ-5D Index</v>
      </c>
      <c r="I115">
        <f t="shared" ca="1" si="26"/>
        <v>45</v>
      </c>
      <c r="J115">
        <f t="shared" ca="1" si="26"/>
        <v>0.79300000000000004</v>
      </c>
      <c r="K115">
        <f t="shared" ca="1" si="26"/>
        <v>0.89700000000000002</v>
      </c>
      <c r="L115">
        <f t="shared" ca="1" si="27"/>
        <v>0.104</v>
      </c>
      <c r="M115">
        <f t="shared" ca="1" si="27"/>
        <v>26</v>
      </c>
      <c r="N115">
        <f t="shared" ca="1" si="27"/>
        <v>13</v>
      </c>
      <c r="O115">
        <f t="shared" ca="1" si="27"/>
        <v>6</v>
      </c>
      <c r="P115">
        <f t="shared" ca="1" si="27"/>
        <v>0.91100000000000003</v>
      </c>
      <c r="Q115">
        <f t="shared" ca="1" si="27"/>
        <v>0.11733144099999999</v>
      </c>
      <c r="R115">
        <f t="shared" ca="1" si="27"/>
        <v>0.11700000000000001</v>
      </c>
      <c r="S115">
        <f t="shared" ca="1" si="16"/>
        <v>45</v>
      </c>
      <c r="T115">
        <f t="shared" ca="1" si="17"/>
        <v>0.11733144099999999</v>
      </c>
      <c r="U115" t="e">
        <f ca="1">IF(AND($C115='Funnel setup'!$K$3&amp;'Funnel setup'!$K$5&amp;'Funnel setup'!$K$6&amp;'Funnel setup'!$K$4,'Funnel Lookup'!I115="*"),#N/A,IF(AND($C115='Funnel setup'!$K$3&amp;'Funnel setup'!$K$5&amp;'Funnel setup'!$K$6&amp;'Funnel setup'!$K$4,'Funnel Lookup'!I115&gt;29),'Funnel Lookup'!I115,#N/A))</f>
        <v>#N/A</v>
      </c>
      <c r="V115" t="e">
        <f ca="1">IF(AND($C115='Funnel setup'!$K$3&amp;'Funnel setup'!$K$5&amp;'Funnel setup'!$K$6&amp;'Funnel setup'!$K$4,'Funnel Lookup'!I115="*"),#N/A,IF(AND($C115='Funnel setup'!$K$3&amp;'Funnel setup'!$K$5&amp;'Funnel setup'!$K$6&amp;'Funnel setup'!$K$4,'Funnel Lookup'!I115&gt;29),'Funnel Lookup'!Q115,#N/A))</f>
        <v>#N/A</v>
      </c>
    </row>
    <row r="116" spans="1:22" x14ac:dyDescent="0.2">
      <c r="A116">
        <v>114</v>
      </c>
      <c r="B116">
        <f t="shared" ca="1" si="26"/>
        <v>114</v>
      </c>
      <c r="C116" t="str">
        <f t="shared" ca="1" si="26"/>
        <v>Groin HerniaProviderJAMES PAGET UNIVERSITY HOSPITALS NHS FOUNDATION TRUST (RGP)EQ-5D Index</v>
      </c>
      <c r="D116" t="str">
        <f t="shared" ca="1" si="26"/>
        <v>Groin Hernia</v>
      </c>
      <c r="E116" t="str">
        <f t="shared" ca="1" si="26"/>
        <v>Provider</v>
      </c>
      <c r="F116" t="str">
        <f t="shared" ca="1" si="26"/>
        <v>RGP</v>
      </c>
      <c r="G116" t="str">
        <f t="shared" ca="1" si="26"/>
        <v>JAMES PAGET UNIVERSITY HOSPITALS NHS FOUNDATION TRUST (RGP)</v>
      </c>
      <c r="H116" t="str">
        <f t="shared" ca="1" si="26"/>
        <v>EQ-5D Index</v>
      </c>
      <c r="I116">
        <f t="shared" ca="1" si="26"/>
        <v>97</v>
      </c>
      <c r="J116">
        <f t="shared" ca="1" si="26"/>
        <v>0.78500000000000003</v>
      </c>
      <c r="K116">
        <f t="shared" ca="1" si="26"/>
        <v>0.86499999999999999</v>
      </c>
      <c r="L116">
        <f t="shared" ca="1" si="27"/>
        <v>0.08</v>
      </c>
      <c r="M116">
        <f t="shared" ca="1" si="27"/>
        <v>50</v>
      </c>
      <c r="N116">
        <f t="shared" ca="1" si="27"/>
        <v>32</v>
      </c>
      <c r="O116">
        <f t="shared" ca="1" si="27"/>
        <v>15</v>
      </c>
      <c r="P116">
        <f t="shared" ca="1" si="27"/>
        <v>0.86699999999999999</v>
      </c>
      <c r="Q116">
        <f t="shared" ca="1" si="27"/>
        <v>7.3444544E-2</v>
      </c>
      <c r="R116">
        <f t="shared" ca="1" si="27"/>
        <v>0.14499999999999999</v>
      </c>
      <c r="S116">
        <f t="shared" ca="1" si="16"/>
        <v>97</v>
      </c>
      <c r="T116">
        <f t="shared" ca="1" si="17"/>
        <v>7.3444544E-2</v>
      </c>
      <c r="U116" t="e">
        <f ca="1">IF(AND($C116='Funnel setup'!$K$3&amp;'Funnel setup'!$K$5&amp;'Funnel setup'!$K$6&amp;'Funnel setup'!$K$4,'Funnel Lookup'!I116="*"),#N/A,IF(AND($C116='Funnel setup'!$K$3&amp;'Funnel setup'!$K$5&amp;'Funnel setup'!$K$6&amp;'Funnel setup'!$K$4,'Funnel Lookup'!I116&gt;29),'Funnel Lookup'!I116,#N/A))</f>
        <v>#N/A</v>
      </c>
      <c r="V116" t="e">
        <f ca="1">IF(AND($C116='Funnel setup'!$K$3&amp;'Funnel setup'!$K$5&amp;'Funnel setup'!$K$6&amp;'Funnel setup'!$K$4,'Funnel Lookup'!I116="*"),#N/A,IF(AND($C116='Funnel setup'!$K$3&amp;'Funnel setup'!$K$5&amp;'Funnel setup'!$K$6&amp;'Funnel setup'!$K$4,'Funnel Lookup'!I116&gt;29),'Funnel Lookup'!Q116,#N/A))</f>
        <v>#N/A</v>
      </c>
    </row>
    <row r="117" spans="1:22" x14ac:dyDescent="0.2">
      <c r="A117">
        <v>115</v>
      </c>
      <c r="B117">
        <f t="shared" ca="1" si="26"/>
        <v>115</v>
      </c>
      <c r="C117" t="str">
        <f t="shared" ca="1" si="26"/>
        <v>Groin HerniaProviderKETTERING GENERAL HOSPITAL NHS FOUNDATION TRUST (RNQ)EQ-5D Index</v>
      </c>
      <c r="D117" t="str">
        <f t="shared" ca="1" si="26"/>
        <v>Groin Hernia</v>
      </c>
      <c r="E117" t="str">
        <f t="shared" ca="1" si="26"/>
        <v>Provider</v>
      </c>
      <c r="F117" t="str">
        <f t="shared" ca="1" si="26"/>
        <v>RNQ</v>
      </c>
      <c r="G117" t="str">
        <f t="shared" ca="1" si="26"/>
        <v>KETTERING GENERAL HOSPITAL NHS FOUNDATION TRUST (RNQ)</v>
      </c>
      <c r="H117" t="str">
        <f t="shared" ca="1" si="26"/>
        <v>EQ-5D Index</v>
      </c>
      <c r="I117">
        <f t="shared" ca="1" si="26"/>
        <v>50</v>
      </c>
      <c r="J117">
        <f t="shared" ca="1" si="26"/>
        <v>0.80200000000000005</v>
      </c>
      <c r="K117">
        <f t="shared" ca="1" si="26"/>
        <v>0.85599999999999998</v>
      </c>
      <c r="L117">
        <f t="shared" ca="1" si="27"/>
        <v>5.3999999999999999E-2</v>
      </c>
      <c r="M117">
        <f t="shared" ca="1" si="27"/>
        <v>22</v>
      </c>
      <c r="N117">
        <f t="shared" ca="1" si="27"/>
        <v>19</v>
      </c>
      <c r="O117">
        <f t="shared" ca="1" si="27"/>
        <v>9</v>
      </c>
      <c r="P117">
        <f t="shared" ca="1" si="27"/>
        <v>0.86699999999999999</v>
      </c>
      <c r="Q117">
        <f t="shared" ca="1" si="27"/>
        <v>7.3450193999999996E-2</v>
      </c>
      <c r="R117">
        <f t="shared" ca="1" si="27"/>
        <v>0.14599999999999999</v>
      </c>
      <c r="S117">
        <f t="shared" ca="1" si="16"/>
        <v>50</v>
      </c>
      <c r="T117">
        <f t="shared" ca="1" si="17"/>
        <v>7.3450193999999996E-2</v>
      </c>
      <c r="U117" t="e">
        <f ca="1">IF(AND($C117='Funnel setup'!$K$3&amp;'Funnel setup'!$K$5&amp;'Funnel setup'!$K$6&amp;'Funnel setup'!$K$4,'Funnel Lookup'!I117="*"),#N/A,IF(AND($C117='Funnel setup'!$K$3&amp;'Funnel setup'!$K$5&amp;'Funnel setup'!$K$6&amp;'Funnel setup'!$K$4,'Funnel Lookup'!I117&gt;29),'Funnel Lookup'!I117,#N/A))</f>
        <v>#N/A</v>
      </c>
      <c r="V117" t="e">
        <f ca="1">IF(AND($C117='Funnel setup'!$K$3&amp;'Funnel setup'!$K$5&amp;'Funnel setup'!$K$6&amp;'Funnel setup'!$K$4,'Funnel Lookup'!I117="*"),#N/A,IF(AND($C117='Funnel setup'!$K$3&amp;'Funnel setup'!$K$5&amp;'Funnel setup'!$K$6&amp;'Funnel setup'!$K$4,'Funnel Lookup'!I117&gt;29),'Funnel Lookup'!Q117,#N/A))</f>
        <v>#N/A</v>
      </c>
    </row>
    <row r="118" spans="1:22" x14ac:dyDescent="0.2">
      <c r="A118">
        <v>116</v>
      </c>
      <c r="B118">
        <f t="shared" ca="1" si="26"/>
        <v>116</v>
      </c>
      <c r="C118" t="str">
        <f t="shared" ca="1" si="26"/>
        <v>Groin HerniaProviderKING'S COLLEGE HOSPITAL NHS FOUNDATION TRUST (RJZ)EQ-5D Index</v>
      </c>
      <c r="D118" t="str">
        <f t="shared" ca="1" si="26"/>
        <v>Groin Hernia</v>
      </c>
      <c r="E118" t="str">
        <f t="shared" ca="1" si="26"/>
        <v>Provider</v>
      </c>
      <c r="F118" t="str">
        <f t="shared" ca="1" si="26"/>
        <v>RJZ</v>
      </c>
      <c r="G118" t="str">
        <f t="shared" ca="1" si="26"/>
        <v>KING'S COLLEGE HOSPITAL NHS FOUNDATION TRUST (RJZ)</v>
      </c>
      <c r="H118" t="str">
        <f t="shared" ca="1" si="26"/>
        <v>EQ-5D Index</v>
      </c>
      <c r="I118">
        <f t="shared" ca="1" si="26"/>
        <v>11</v>
      </c>
      <c r="J118">
        <f t="shared" ca="1" si="26"/>
        <v>0.71699999999999997</v>
      </c>
      <c r="K118">
        <f t="shared" ca="1" si="26"/>
        <v>0.73699999999999999</v>
      </c>
      <c r="L118">
        <f t="shared" ca="1" si="27"/>
        <v>0.02</v>
      </c>
      <c r="M118">
        <f t="shared" ca="1" si="27"/>
        <v>6</v>
      </c>
      <c r="N118">
        <f t="shared" ca="1" si="27"/>
        <v>1</v>
      </c>
      <c r="O118">
        <f t="shared" ca="1" si="27"/>
        <v>4</v>
      </c>
      <c r="P118" t="str">
        <f t="shared" ca="1" si="27"/>
        <v>*</v>
      </c>
      <c r="Q118" t="str">
        <f t="shared" ca="1" si="27"/>
        <v>*</v>
      </c>
      <c r="R118" t="str">
        <f t="shared" ca="1" si="27"/>
        <v>*</v>
      </c>
      <c r="S118" t="e">
        <f t="shared" ca="1" si="16"/>
        <v>#N/A</v>
      </c>
      <c r="T118" t="e">
        <f t="shared" ca="1" si="17"/>
        <v>#N/A</v>
      </c>
      <c r="U118" t="e">
        <f ca="1">IF(AND($C118='Funnel setup'!$K$3&amp;'Funnel setup'!$K$5&amp;'Funnel setup'!$K$6&amp;'Funnel setup'!$K$4,'Funnel Lookup'!I118="*"),#N/A,IF(AND($C118='Funnel setup'!$K$3&amp;'Funnel setup'!$K$5&amp;'Funnel setup'!$K$6&amp;'Funnel setup'!$K$4,'Funnel Lookup'!I118&gt;29),'Funnel Lookup'!I118,#N/A))</f>
        <v>#N/A</v>
      </c>
      <c r="V118" t="e">
        <f ca="1">IF(AND($C118='Funnel setup'!$K$3&amp;'Funnel setup'!$K$5&amp;'Funnel setup'!$K$6&amp;'Funnel setup'!$K$4,'Funnel Lookup'!I118="*"),#N/A,IF(AND($C118='Funnel setup'!$K$3&amp;'Funnel setup'!$K$5&amp;'Funnel setup'!$K$6&amp;'Funnel setup'!$K$4,'Funnel Lookup'!I118&gt;29),'Funnel Lookup'!Q118,#N/A))</f>
        <v>#N/A</v>
      </c>
    </row>
    <row r="119" spans="1:22" x14ac:dyDescent="0.2">
      <c r="A119">
        <v>117</v>
      </c>
      <c r="B119">
        <f t="shared" ca="1" si="26"/>
        <v>117</v>
      </c>
      <c r="C119" t="str">
        <f t="shared" ca="1" si="26"/>
        <v>Groin HerniaProviderLANCASHIRE TEACHING HOSPITALS NHS FOUNDATION TRUST (RXN)EQ-5D Index</v>
      </c>
      <c r="D119" t="str">
        <f t="shared" ca="1" si="26"/>
        <v>Groin Hernia</v>
      </c>
      <c r="E119" t="str">
        <f t="shared" ca="1" si="26"/>
        <v>Provider</v>
      </c>
      <c r="F119" t="str">
        <f t="shared" ca="1" si="26"/>
        <v>RXN</v>
      </c>
      <c r="G119" t="str">
        <f t="shared" ca="1" si="26"/>
        <v>LANCASHIRE TEACHING HOSPITALS NHS FOUNDATION TRUST (RXN)</v>
      </c>
      <c r="H119" t="str">
        <f t="shared" ca="1" si="26"/>
        <v>EQ-5D Index</v>
      </c>
      <c r="I119">
        <f t="shared" ca="1" si="26"/>
        <v>61</v>
      </c>
      <c r="J119">
        <f t="shared" ca="1" si="26"/>
        <v>0.75600000000000001</v>
      </c>
      <c r="K119">
        <f t="shared" ca="1" si="26"/>
        <v>0.83699999999999997</v>
      </c>
      <c r="L119">
        <f t="shared" ca="1" si="27"/>
        <v>0.08</v>
      </c>
      <c r="M119">
        <f t="shared" ca="1" si="27"/>
        <v>29</v>
      </c>
      <c r="N119">
        <f t="shared" ca="1" si="27"/>
        <v>18</v>
      </c>
      <c r="O119">
        <f t="shared" ca="1" si="27"/>
        <v>14</v>
      </c>
      <c r="P119">
        <f t="shared" ca="1" si="27"/>
        <v>0.86899999999999999</v>
      </c>
      <c r="Q119">
        <f t="shared" ca="1" si="27"/>
        <v>7.5516317999999999E-2</v>
      </c>
      <c r="R119">
        <f t="shared" ca="1" si="27"/>
        <v>0.16700000000000001</v>
      </c>
      <c r="S119">
        <f t="shared" ca="1" si="16"/>
        <v>61</v>
      </c>
      <c r="T119">
        <f t="shared" ca="1" si="17"/>
        <v>7.5516317999999999E-2</v>
      </c>
      <c r="U119" t="e">
        <f ca="1">IF(AND($C119='Funnel setup'!$K$3&amp;'Funnel setup'!$K$5&amp;'Funnel setup'!$K$6&amp;'Funnel setup'!$K$4,'Funnel Lookup'!I119="*"),#N/A,IF(AND($C119='Funnel setup'!$K$3&amp;'Funnel setup'!$K$5&amp;'Funnel setup'!$K$6&amp;'Funnel setup'!$K$4,'Funnel Lookup'!I119&gt;29),'Funnel Lookup'!I119,#N/A))</f>
        <v>#N/A</v>
      </c>
      <c r="V119" t="e">
        <f ca="1">IF(AND($C119='Funnel setup'!$K$3&amp;'Funnel setup'!$K$5&amp;'Funnel setup'!$K$6&amp;'Funnel setup'!$K$4,'Funnel Lookup'!I119="*"),#N/A,IF(AND($C119='Funnel setup'!$K$3&amp;'Funnel setup'!$K$5&amp;'Funnel setup'!$K$6&amp;'Funnel setup'!$K$4,'Funnel Lookup'!I119&gt;29),'Funnel Lookup'!Q119,#N/A))</f>
        <v>#N/A</v>
      </c>
    </row>
    <row r="120" spans="1:22" x14ac:dyDescent="0.2">
      <c r="A120">
        <v>118</v>
      </c>
      <c r="B120">
        <f t="shared" ca="1" si="26"/>
        <v>118</v>
      </c>
      <c r="C120" t="str">
        <f t="shared" ca="1" si="26"/>
        <v>Groin HerniaProviderLEEDS TEACHING HOSPITALS NHS TRUST (RR8)EQ-5D Index</v>
      </c>
      <c r="D120" t="str">
        <f t="shared" ca="1" si="26"/>
        <v>Groin Hernia</v>
      </c>
      <c r="E120" t="str">
        <f t="shared" ca="1" si="26"/>
        <v>Provider</v>
      </c>
      <c r="F120" t="str">
        <f t="shared" ca="1" si="26"/>
        <v>RR8</v>
      </c>
      <c r="G120" t="str">
        <f t="shared" ca="1" si="26"/>
        <v>LEEDS TEACHING HOSPITALS NHS TRUST (RR8)</v>
      </c>
      <c r="H120" t="str">
        <f t="shared" ca="1" si="26"/>
        <v>EQ-5D Index</v>
      </c>
      <c r="I120">
        <f t="shared" ca="1" si="26"/>
        <v>101</v>
      </c>
      <c r="J120">
        <f t="shared" ca="1" si="26"/>
        <v>0.80500000000000005</v>
      </c>
      <c r="K120">
        <f t="shared" ca="1" si="26"/>
        <v>0.89300000000000002</v>
      </c>
      <c r="L120">
        <f t="shared" ca="1" si="27"/>
        <v>8.6999999999999994E-2</v>
      </c>
      <c r="M120">
        <f t="shared" ca="1" si="27"/>
        <v>51</v>
      </c>
      <c r="N120">
        <f t="shared" ca="1" si="27"/>
        <v>35</v>
      </c>
      <c r="O120">
        <f t="shared" ca="1" si="27"/>
        <v>15</v>
      </c>
      <c r="P120">
        <f t="shared" ca="1" si="27"/>
        <v>0.88500000000000001</v>
      </c>
      <c r="Q120">
        <f t="shared" ca="1" si="27"/>
        <v>9.1534189000000002E-2</v>
      </c>
      <c r="R120">
        <f t="shared" ca="1" si="27"/>
        <v>0.105</v>
      </c>
      <c r="S120">
        <f t="shared" ca="1" si="16"/>
        <v>101</v>
      </c>
      <c r="T120">
        <f t="shared" ca="1" si="17"/>
        <v>9.1534189000000002E-2</v>
      </c>
      <c r="U120" t="e">
        <f ca="1">IF(AND($C120='Funnel setup'!$K$3&amp;'Funnel setup'!$K$5&amp;'Funnel setup'!$K$6&amp;'Funnel setup'!$K$4,'Funnel Lookup'!I120="*"),#N/A,IF(AND($C120='Funnel setup'!$K$3&amp;'Funnel setup'!$K$5&amp;'Funnel setup'!$K$6&amp;'Funnel setup'!$K$4,'Funnel Lookup'!I120&gt;29),'Funnel Lookup'!I120,#N/A))</f>
        <v>#N/A</v>
      </c>
      <c r="V120" t="e">
        <f ca="1">IF(AND($C120='Funnel setup'!$K$3&amp;'Funnel setup'!$K$5&amp;'Funnel setup'!$K$6&amp;'Funnel setup'!$K$4,'Funnel Lookup'!I120="*"),#N/A,IF(AND($C120='Funnel setup'!$K$3&amp;'Funnel setup'!$K$5&amp;'Funnel setup'!$K$6&amp;'Funnel setup'!$K$4,'Funnel Lookup'!I120&gt;29),'Funnel Lookup'!Q120,#N/A))</f>
        <v>#N/A</v>
      </c>
    </row>
    <row r="121" spans="1:22" x14ac:dyDescent="0.2">
      <c r="A121">
        <v>119</v>
      </c>
      <c r="B121">
        <f t="shared" ca="1" si="26"/>
        <v>119</v>
      </c>
      <c r="C121" t="str">
        <f t="shared" ca="1" si="26"/>
        <v>Groin HerniaProviderLEWISHAM AND GREENWICH NHS TRUST (RJ2)EQ-5D Index</v>
      </c>
      <c r="D121" t="str">
        <f t="shared" ca="1" si="26"/>
        <v>Groin Hernia</v>
      </c>
      <c r="E121" t="str">
        <f t="shared" ca="1" si="26"/>
        <v>Provider</v>
      </c>
      <c r="F121" t="str">
        <f t="shared" ca="1" si="26"/>
        <v>RJ2</v>
      </c>
      <c r="G121" t="str">
        <f t="shared" ca="1" si="26"/>
        <v>LEWISHAM AND GREENWICH NHS TRUST (RJ2)</v>
      </c>
      <c r="H121" t="str">
        <f t="shared" ca="1" si="26"/>
        <v>EQ-5D Index</v>
      </c>
      <c r="I121">
        <f t="shared" ca="1" si="26"/>
        <v>49</v>
      </c>
      <c r="J121">
        <f t="shared" ca="1" si="26"/>
        <v>0.625</v>
      </c>
      <c r="K121">
        <f t="shared" ca="1" si="26"/>
        <v>0.70799999999999996</v>
      </c>
      <c r="L121">
        <f t="shared" ca="1" si="27"/>
        <v>8.3000000000000004E-2</v>
      </c>
      <c r="M121">
        <f t="shared" ca="1" si="27"/>
        <v>23</v>
      </c>
      <c r="N121">
        <f t="shared" ca="1" si="27"/>
        <v>11</v>
      </c>
      <c r="O121">
        <f t="shared" ca="1" si="27"/>
        <v>15</v>
      </c>
      <c r="P121">
        <f t="shared" ca="1" si="27"/>
        <v>0.79300000000000004</v>
      </c>
      <c r="Q121">
        <f t="shared" ca="1" si="27"/>
        <v>-6.2145199999999996E-5</v>
      </c>
      <c r="R121">
        <f t="shared" ca="1" si="27"/>
        <v>0.255</v>
      </c>
      <c r="S121">
        <f t="shared" ca="1" si="16"/>
        <v>49</v>
      </c>
      <c r="T121">
        <f t="shared" ca="1" si="17"/>
        <v>-6.2145199999999996E-5</v>
      </c>
      <c r="U121" t="e">
        <f ca="1">IF(AND($C121='Funnel setup'!$K$3&amp;'Funnel setup'!$K$5&amp;'Funnel setup'!$K$6&amp;'Funnel setup'!$K$4,'Funnel Lookup'!I121="*"),#N/A,IF(AND($C121='Funnel setup'!$K$3&amp;'Funnel setup'!$K$5&amp;'Funnel setup'!$K$6&amp;'Funnel setup'!$K$4,'Funnel Lookup'!I121&gt;29),'Funnel Lookup'!I121,#N/A))</f>
        <v>#N/A</v>
      </c>
      <c r="V121" t="e">
        <f ca="1">IF(AND($C121='Funnel setup'!$K$3&amp;'Funnel setup'!$K$5&amp;'Funnel setup'!$K$6&amp;'Funnel setup'!$K$4,'Funnel Lookup'!I121="*"),#N/A,IF(AND($C121='Funnel setup'!$K$3&amp;'Funnel setup'!$K$5&amp;'Funnel setup'!$K$6&amp;'Funnel setup'!$K$4,'Funnel Lookup'!I121&gt;29),'Funnel Lookup'!Q121,#N/A))</f>
        <v>#N/A</v>
      </c>
    </row>
    <row r="122" spans="1:22" x14ac:dyDescent="0.2">
      <c r="A122">
        <v>120</v>
      </c>
      <c r="B122">
        <f t="shared" ca="1" si="26"/>
        <v>120</v>
      </c>
      <c r="C122" t="str">
        <f t="shared" ca="1" si="26"/>
        <v>Groin HerniaProviderLONDON NORTH WEST HEALTHCARE NHS TRUST (R1K)EQ-5D Index</v>
      </c>
      <c r="D122" t="str">
        <f t="shared" ca="1" si="26"/>
        <v>Groin Hernia</v>
      </c>
      <c r="E122" t="str">
        <f t="shared" ca="1" si="26"/>
        <v>Provider</v>
      </c>
      <c r="F122" t="str">
        <f t="shared" ca="1" si="26"/>
        <v>R1K</v>
      </c>
      <c r="G122" t="str">
        <f t="shared" ca="1" si="26"/>
        <v>LONDON NORTH WEST HEALTHCARE NHS TRUST (R1K)</v>
      </c>
      <c r="H122" t="str">
        <f t="shared" ca="1" si="26"/>
        <v>EQ-5D Index</v>
      </c>
      <c r="I122">
        <f t="shared" ca="1" si="26"/>
        <v>47</v>
      </c>
      <c r="J122">
        <f t="shared" ca="1" si="26"/>
        <v>0.72899999999999998</v>
      </c>
      <c r="K122">
        <f t="shared" ca="1" si="26"/>
        <v>0.76900000000000002</v>
      </c>
      <c r="L122">
        <f t="shared" ca="1" si="27"/>
        <v>0.04</v>
      </c>
      <c r="M122">
        <f t="shared" ca="1" si="27"/>
        <v>20</v>
      </c>
      <c r="N122">
        <f t="shared" ca="1" si="27"/>
        <v>9</v>
      </c>
      <c r="O122">
        <f t="shared" ca="1" si="27"/>
        <v>18</v>
      </c>
      <c r="P122">
        <f t="shared" ca="1" si="27"/>
        <v>0.82499999999999996</v>
      </c>
      <c r="Q122">
        <f t="shared" ca="1" si="27"/>
        <v>3.1995728000000001E-2</v>
      </c>
      <c r="R122">
        <f t="shared" ca="1" si="27"/>
        <v>0.214</v>
      </c>
      <c r="S122">
        <f t="shared" ca="1" si="16"/>
        <v>47</v>
      </c>
      <c r="T122">
        <f t="shared" ca="1" si="17"/>
        <v>3.1995728000000001E-2</v>
      </c>
      <c r="U122" t="e">
        <f ca="1">IF(AND($C122='Funnel setup'!$K$3&amp;'Funnel setup'!$K$5&amp;'Funnel setup'!$K$6&amp;'Funnel setup'!$K$4,'Funnel Lookup'!I122="*"),#N/A,IF(AND($C122='Funnel setup'!$K$3&amp;'Funnel setup'!$K$5&amp;'Funnel setup'!$K$6&amp;'Funnel setup'!$K$4,'Funnel Lookup'!I122&gt;29),'Funnel Lookup'!I122,#N/A))</f>
        <v>#N/A</v>
      </c>
      <c r="V122" t="e">
        <f ca="1">IF(AND($C122='Funnel setup'!$K$3&amp;'Funnel setup'!$K$5&amp;'Funnel setup'!$K$6&amp;'Funnel setup'!$K$4,'Funnel Lookup'!I122="*"),#N/A,IF(AND($C122='Funnel setup'!$K$3&amp;'Funnel setup'!$K$5&amp;'Funnel setup'!$K$6&amp;'Funnel setup'!$K$4,'Funnel Lookup'!I122&gt;29),'Funnel Lookup'!Q122,#N/A))</f>
        <v>#N/A</v>
      </c>
    </row>
    <row r="123" spans="1:22" x14ac:dyDescent="0.2">
      <c r="A123">
        <v>121</v>
      </c>
      <c r="B123">
        <f t="shared" ref="B123:K132" ca="1" si="28">VLOOKUP($A123,Funnel_Data,B$1,FALSE)</f>
        <v>121</v>
      </c>
      <c r="C123" t="str">
        <f t="shared" ca="1" si="28"/>
        <v>Groin HerniaProviderLUTON AND DUNSTABLE UNIVERSITY HOSPITAL NHS FOUNDATION TRUST (RC9)EQ-5D Index</v>
      </c>
      <c r="D123" t="str">
        <f t="shared" ca="1" si="28"/>
        <v>Groin Hernia</v>
      </c>
      <c r="E123" t="str">
        <f t="shared" ca="1" si="28"/>
        <v>Provider</v>
      </c>
      <c r="F123" t="str">
        <f t="shared" ca="1" si="28"/>
        <v>RC9</v>
      </c>
      <c r="G123" t="str">
        <f t="shared" ca="1" si="28"/>
        <v>LUTON AND DUNSTABLE UNIVERSITY HOSPITAL NHS FOUNDATION TRUST (RC9)</v>
      </c>
      <c r="H123" t="str">
        <f t="shared" ca="1" si="28"/>
        <v>EQ-5D Index</v>
      </c>
      <c r="I123">
        <f t="shared" ca="1" si="28"/>
        <v>122</v>
      </c>
      <c r="J123">
        <f t="shared" ca="1" si="28"/>
        <v>0.78100000000000003</v>
      </c>
      <c r="K123">
        <f t="shared" ca="1" si="28"/>
        <v>0.86899999999999999</v>
      </c>
      <c r="L123">
        <f t="shared" ref="L123:R132" ca="1" si="29">VLOOKUP($A123,Funnel_Data,L$1,FALSE)</f>
        <v>8.7999999999999995E-2</v>
      </c>
      <c r="M123">
        <f t="shared" ca="1" si="29"/>
        <v>64</v>
      </c>
      <c r="N123">
        <f t="shared" ca="1" si="29"/>
        <v>41</v>
      </c>
      <c r="O123">
        <f t="shared" ca="1" si="29"/>
        <v>17</v>
      </c>
      <c r="P123">
        <f t="shared" ca="1" si="29"/>
        <v>0.878</v>
      </c>
      <c r="Q123">
        <f t="shared" ca="1" si="29"/>
        <v>8.4408456000000007E-2</v>
      </c>
      <c r="R123">
        <f t="shared" ca="1" si="29"/>
        <v>0.154</v>
      </c>
      <c r="S123">
        <f t="shared" ca="1" si="16"/>
        <v>122</v>
      </c>
      <c r="T123">
        <f t="shared" ca="1" si="17"/>
        <v>8.4408456000000007E-2</v>
      </c>
      <c r="U123" t="e">
        <f ca="1">IF(AND($C123='Funnel setup'!$K$3&amp;'Funnel setup'!$K$5&amp;'Funnel setup'!$K$6&amp;'Funnel setup'!$K$4,'Funnel Lookup'!I123="*"),#N/A,IF(AND($C123='Funnel setup'!$K$3&amp;'Funnel setup'!$K$5&amp;'Funnel setup'!$K$6&amp;'Funnel setup'!$K$4,'Funnel Lookup'!I123&gt;29),'Funnel Lookup'!I123,#N/A))</f>
        <v>#N/A</v>
      </c>
      <c r="V123" t="e">
        <f ca="1">IF(AND($C123='Funnel setup'!$K$3&amp;'Funnel setup'!$K$5&amp;'Funnel setup'!$K$6&amp;'Funnel setup'!$K$4,'Funnel Lookup'!I123="*"),#N/A,IF(AND($C123='Funnel setup'!$K$3&amp;'Funnel setup'!$K$5&amp;'Funnel setup'!$K$6&amp;'Funnel setup'!$K$4,'Funnel Lookup'!I123&gt;29),'Funnel Lookup'!Q123,#N/A))</f>
        <v>#N/A</v>
      </c>
    </row>
    <row r="124" spans="1:22" x14ac:dyDescent="0.2">
      <c r="A124">
        <v>122</v>
      </c>
      <c r="B124">
        <f t="shared" ca="1" si="28"/>
        <v>122</v>
      </c>
      <c r="C124" t="str">
        <f t="shared" ca="1" si="28"/>
        <v>Groin HerniaProviderMAIDSTONE AND TUNBRIDGE WELLS NHS TRUST (RWF)EQ-5D Index</v>
      </c>
      <c r="D124" t="str">
        <f t="shared" ca="1" si="28"/>
        <v>Groin Hernia</v>
      </c>
      <c r="E124" t="str">
        <f t="shared" ca="1" si="28"/>
        <v>Provider</v>
      </c>
      <c r="F124" t="str">
        <f t="shared" ca="1" si="28"/>
        <v>RWF</v>
      </c>
      <c r="G124" t="str">
        <f t="shared" ca="1" si="28"/>
        <v>MAIDSTONE AND TUNBRIDGE WELLS NHS TRUST (RWF)</v>
      </c>
      <c r="H124" t="str">
        <f t="shared" ca="1" si="28"/>
        <v>EQ-5D Index</v>
      </c>
      <c r="I124">
        <f t="shared" ca="1" si="28"/>
        <v>37</v>
      </c>
      <c r="J124">
        <f t="shared" ca="1" si="28"/>
        <v>0.77</v>
      </c>
      <c r="K124">
        <f t="shared" ca="1" si="28"/>
        <v>0.874</v>
      </c>
      <c r="L124">
        <f t="shared" ca="1" si="29"/>
        <v>0.104</v>
      </c>
      <c r="M124">
        <f t="shared" ca="1" si="29"/>
        <v>25</v>
      </c>
      <c r="N124">
        <f t="shared" ca="1" si="29"/>
        <v>7</v>
      </c>
      <c r="O124">
        <f t="shared" ca="1" si="29"/>
        <v>5</v>
      </c>
      <c r="P124">
        <f t="shared" ca="1" si="29"/>
        <v>0.88100000000000001</v>
      </c>
      <c r="Q124">
        <f t="shared" ca="1" si="29"/>
        <v>8.7700679000000004E-2</v>
      </c>
      <c r="R124">
        <f t="shared" ca="1" si="29"/>
        <v>0.247</v>
      </c>
      <c r="S124">
        <f t="shared" ca="1" si="16"/>
        <v>37</v>
      </c>
      <c r="T124">
        <f t="shared" ca="1" si="17"/>
        <v>8.7700679000000004E-2</v>
      </c>
      <c r="U124" t="e">
        <f ca="1">IF(AND($C124='Funnel setup'!$K$3&amp;'Funnel setup'!$K$5&amp;'Funnel setup'!$K$6&amp;'Funnel setup'!$K$4,'Funnel Lookup'!I124="*"),#N/A,IF(AND($C124='Funnel setup'!$K$3&amp;'Funnel setup'!$K$5&amp;'Funnel setup'!$K$6&amp;'Funnel setup'!$K$4,'Funnel Lookup'!I124&gt;29),'Funnel Lookup'!I124,#N/A))</f>
        <v>#N/A</v>
      </c>
      <c r="V124" t="e">
        <f ca="1">IF(AND($C124='Funnel setup'!$K$3&amp;'Funnel setup'!$K$5&amp;'Funnel setup'!$K$6&amp;'Funnel setup'!$K$4,'Funnel Lookup'!I124="*"),#N/A,IF(AND($C124='Funnel setup'!$K$3&amp;'Funnel setup'!$K$5&amp;'Funnel setup'!$K$6&amp;'Funnel setup'!$K$4,'Funnel Lookup'!I124&gt;29),'Funnel Lookup'!Q124,#N/A))</f>
        <v>#N/A</v>
      </c>
    </row>
    <row r="125" spans="1:22" x14ac:dyDescent="0.2">
      <c r="A125">
        <v>123</v>
      </c>
      <c r="B125">
        <f t="shared" ca="1" si="28"/>
        <v>123</v>
      </c>
      <c r="C125" t="str">
        <f t="shared" ca="1" si="28"/>
        <v>Groin HerniaProviderMEDWAY NHS FOUNDATION TRUST (RPA)EQ-5D Index</v>
      </c>
      <c r="D125" t="str">
        <f t="shared" ca="1" si="28"/>
        <v>Groin Hernia</v>
      </c>
      <c r="E125" t="str">
        <f t="shared" ca="1" si="28"/>
        <v>Provider</v>
      </c>
      <c r="F125" t="str">
        <f t="shared" ca="1" si="28"/>
        <v>RPA</v>
      </c>
      <c r="G125" t="str">
        <f t="shared" ca="1" si="28"/>
        <v>MEDWAY NHS FOUNDATION TRUST (RPA)</v>
      </c>
      <c r="H125" t="str">
        <f t="shared" ca="1" si="28"/>
        <v>EQ-5D Index</v>
      </c>
      <c r="I125">
        <f t="shared" ca="1" si="28"/>
        <v>47</v>
      </c>
      <c r="J125">
        <f t="shared" ca="1" si="28"/>
        <v>0.71</v>
      </c>
      <c r="K125">
        <f t="shared" ca="1" si="28"/>
        <v>0.871</v>
      </c>
      <c r="L125">
        <f t="shared" ca="1" si="29"/>
        <v>0.16200000000000001</v>
      </c>
      <c r="M125">
        <f t="shared" ca="1" si="29"/>
        <v>34</v>
      </c>
      <c r="N125">
        <f t="shared" ca="1" si="29"/>
        <v>7</v>
      </c>
      <c r="O125">
        <f t="shared" ca="1" si="29"/>
        <v>6</v>
      </c>
      <c r="P125">
        <f t="shared" ca="1" si="29"/>
        <v>0.92100000000000004</v>
      </c>
      <c r="Q125">
        <f t="shared" ca="1" si="29"/>
        <v>0.12806562099999999</v>
      </c>
      <c r="R125">
        <f t="shared" ca="1" si="29"/>
        <v>0.13500000000000001</v>
      </c>
      <c r="S125">
        <f t="shared" ca="1" si="16"/>
        <v>47</v>
      </c>
      <c r="T125">
        <f t="shared" ca="1" si="17"/>
        <v>0.12806562099999999</v>
      </c>
      <c r="U125" t="e">
        <f ca="1">IF(AND($C125='Funnel setup'!$K$3&amp;'Funnel setup'!$K$5&amp;'Funnel setup'!$K$6&amp;'Funnel setup'!$K$4,'Funnel Lookup'!I125="*"),#N/A,IF(AND($C125='Funnel setup'!$K$3&amp;'Funnel setup'!$K$5&amp;'Funnel setup'!$K$6&amp;'Funnel setup'!$K$4,'Funnel Lookup'!I125&gt;29),'Funnel Lookup'!I125,#N/A))</f>
        <v>#N/A</v>
      </c>
      <c r="V125" t="e">
        <f ca="1">IF(AND($C125='Funnel setup'!$K$3&amp;'Funnel setup'!$K$5&amp;'Funnel setup'!$K$6&amp;'Funnel setup'!$K$4,'Funnel Lookup'!I125="*"),#N/A,IF(AND($C125='Funnel setup'!$K$3&amp;'Funnel setup'!$K$5&amp;'Funnel setup'!$K$6&amp;'Funnel setup'!$K$4,'Funnel Lookup'!I125&gt;29),'Funnel Lookup'!Q125,#N/A))</f>
        <v>#N/A</v>
      </c>
    </row>
    <row r="126" spans="1:22" x14ac:dyDescent="0.2">
      <c r="A126">
        <v>124</v>
      </c>
      <c r="B126">
        <f t="shared" ca="1" si="28"/>
        <v>124</v>
      </c>
      <c r="C126" t="str">
        <f t="shared" ca="1" si="28"/>
        <v>Groin HerniaProviderMID CHESHIRE HOSPITALS NHS FOUNDATION TRUST (RBT)EQ-5D Index</v>
      </c>
      <c r="D126" t="str">
        <f t="shared" ca="1" si="28"/>
        <v>Groin Hernia</v>
      </c>
      <c r="E126" t="str">
        <f t="shared" ca="1" si="28"/>
        <v>Provider</v>
      </c>
      <c r="F126" t="str">
        <f t="shared" ca="1" si="28"/>
        <v>RBT</v>
      </c>
      <c r="G126" t="str">
        <f t="shared" ca="1" si="28"/>
        <v>MID CHESHIRE HOSPITALS NHS FOUNDATION TRUST (RBT)</v>
      </c>
      <c r="H126" t="str">
        <f t="shared" ca="1" si="28"/>
        <v>EQ-5D Index</v>
      </c>
      <c r="I126">
        <f t="shared" ca="1" si="28"/>
        <v>161</v>
      </c>
      <c r="J126">
        <f t="shared" ca="1" si="28"/>
        <v>0.81799999999999995</v>
      </c>
      <c r="K126">
        <f t="shared" ca="1" si="28"/>
        <v>0.88100000000000001</v>
      </c>
      <c r="L126">
        <f t="shared" ca="1" si="29"/>
        <v>6.3E-2</v>
      </c>
      <c r="M126">
        <f t="shared" ca="1" si="29"/>
        <v>69</v>
      </c>
      <c r="N126">
        <f t="shared" ca="1" si="29"/>
        <v>54</v>
      </c>
      <c r="O126">
        <f t="shared" ca="1" si="29"/>
        <v>38</v>
      </c>
      <c r="P126">
        <f t="shared" ca="1" si="29"/>
        <v>0.86599999999999999</v>
      </c>
      <c r="Q126">
        <f t="shared" ca="1" si="29"/>
        <v>7.2851709000000001E-2</v>
      </c>
      <c r="R126">
        <f t="shared" ca="1" si="29"/>
        <v>0.151</v>
      </c>
      <c r="S126">
        <f t="shared" ca="1" si="16"/>
        <v>161</v>
      </c>
      <c r="T126">
        <f t="shared" ca="1" si="17"/>
        <v>7.2851709000000001E-2</v>
      </c>
      <c r="U126" t="e">
        <f ca="1">IF(AND($C126='Funnel setup'!$K$3&amp;'Funnel setup'!$K$5&amp;'Funnel setup'!$K$6&amp;'Funnel setup'!$K$4,'Funnel Lookup'!I126="*"),#N/A,IF(AND($C126='Funnel setup'!$K$3&amp;'Funnel setup'!$K$5&amp;'Funnel setup'!$K$6&amp;'Funnel setup'!$K$4,'Funnel Lookup'!I126&gt;29),'Funnel Lookup'!I126,#N/A))</f>
        <v>#N/A</v>
      </c>
      <c r="V126" t="e">
        <f ca="1">IF(AND($C126='Funnel setup'!$K$3&amp;'Funnel setup'!$K$5&amp;'Funnel setup'!$K$6&amp;'Funnel setup'!$K$4,'Funnel Lookup'!I126="*"),#N/A,IF(AND($C126='Funnel setup'!$K$3&amp;'Funnel setup'!$K$5&amp;'Funnel setup'!$K$6&amp;'Funnel setup'!$K$4,'Funnel Lookup'!I126&gt;29),'Funnel Lookup'!Q126,#N/A))</f>
        <v>#N/A</v>
      </c>
    </row>
    <row r="127" spans="1:22" x14ac:dyDescent="0.2">
      <c r="A127">
        <v>125</v>
      </c>
      <c r="B127">
        <f t="shared" ca="1" si="28"/>
        <v>125</v>
      </c>
      <c r="C127" t="str">
        <f t="shared" ca="1" si="28"/>
        <v>Groin HerniaProviderMID ESSEX HOSPITAL SERVICES NHS TRUST (RQ8)EQ-5D Index</v>
      </c>
      <c r="D127" t="str">
        <f t="shared" ca="1" si="28"/>
        <v>Groin Hernia</v>
      </c>
      <c r="E127" t="str">
        <f t="shared" ca="1" si="28"/>
        <v>Provider</v>
      </c>
      <c r="F127" t="str">
        <f t="shared" ca="1" si="28"/>
        <v>RQ8</v>
      </c>
      <c r="G127" t="str">
        <f t="shared" ca="1" si="28"/>
        <v>MID ESSEX HOSPITAL SERVICES NHS TRUST (RQ8)</v>
      </c>
      <c r="H127" t="str">
        <f t="shared" ca="1" si="28"/>
        <v>EQ-5D Index</v>
      </c>
      <c r="I127">
        <f t="shared" ca="1" si="28"/>
        <v>56</v>
      </c>
      <c r="J127">
        <f t="shared" ca="1" si="28"/>
        <v>0.79100000000000004</v>
      </c>
      <c r="K127">
        <f t="shared" ca="1" si="28"/>
        <v>0.88500000000000001</v>
      </c>
      <c r="L127">
        <f t="shared" ca="1" si="29"/>
        <v>9.4E-2</v>
      </c>
      <c r="M127">
        <f t="shared" ca="1" si="29"/>
        <v>30</v>
      </c>
      <c r="N127">
        <f t="shared" ca="1" si="29"/>
        <v>14</v>
      </c>
      <c r="O127">
        <f t="shared" ca="1" si="29"/>
        <v>12</v>
      </c>
      <c r="P127">
        <f t="shared" ca="1" si="29"/>
        <v>0.89300000000000002</v>
      </c>
      <c r="Q127">
        <f t="shared" ca="1" si="29"/>
        <v>9.9617537000000006E-2</v>
      </c>
      <c r="R127">
        <f t="shared" ca="1" si="29"/>
        <v>0.153</v>
      </c>
      <c r="S127">
        <f t="shared" ca="1" si="16"/>
        <v>56</v>
      </c>
      <c r="T127">
        <f t="shared" ca="1" si="17"/>
        <v>9.9617537000000006E-2</v>
      </c>
      <c r="U127" t="e">
        <f ca="1">IF(AND($C127='Funnel setup'!$K$3&amp;'Funnel setup'!$K$5&amp;'Funnel setup'!$K$6&amp;'Funnel setup'!$K$4,'Funnel Lookup'!I127="*"),#N/A,IF(AND($C127='Funnel setup'!$K$3&amp;'Funnel setup'!$K$5&amp;'Funnel setup'!$K$6&amp;'Funnel setup'!$K$4,'Funnel Lookup'!I127&gt;29),'Funnel Lookup'!I127,#N/A))</f>
        <v>#N/A</v>
      </c>
      <c r="V127" t="e">
        <f ca="1">IF(AND($C127='Funnel setup'!$K$3&amp;'Funnel setup'!$K$5&amp;'Funnel setup'!$K$6&amp;'Funnel setup'!$K$4,'Funnel Lookup'!I127="*"),#N/A,IF(AND($C127='Funnel setup'!$K$3&amp;'Funnel setup'!$K$5&amp;'Funnel setup'!$K$6&amp;'Funnel setup'!$K$4,'Funnel Lookup'!I127&gt;29),'Funnel Lookup'!Q127,#N/A))</f>
        <v>#N/A</v>
      </c>
    </row>
    <row r="128" spans="1:22" x14ac:dyDescent="0.2">
      <c r="A128">
        <v>126</v>
      </c>
      <c r="B128">
        <f t="shared" ca="1" si="28"/>
        <v>126</v>
      </c>
      <c r="C128" t="str">
        <f t="shared" ca="1" si="28"/>
        <v>Groin HerniaProviderMID STAFFORDSHIRE NHS FOUNDATION TRUST (RJD)EQ-5D Index</v>
      </c>
      <c r="D128" t="str">
        <f t="shared" ca="1" si="28"/>
        <v>Groin Hernia</v>
      </c>
      <c r="E128" t="str">
        <f t="shared" ca="1" si="28"/>
        <v>Provider</v>
      </c>
      <c r="F128" t="str">
        <f t="shared" ca="1" si="28"/>
        <v>RJD</v>
      </c>
      <c r="G128" t="str">
        <f t="shared" ca="1" si="28"/>
        <v>MID STAFFORDSHIRE NHS FOUNDATION TRUST (RJD)</v>
      </c>
      <c r="H128" t="str">
        <f t="shared" ca="1" si="28"/>
        <v>EQ-5D Index</v>
      </c>
      <c r="I128">
        <f t="shared" ca="1" si="28"/>
        <v>90</v>
      </c>
      <c r="J128">
        <f t="shared" ca="1" si="28"/>
        <v>0.76900000000000002</v>
      </c>
      <c r="K128">
        <f t="shared" ca="1" si="28"/>
        <v>0.88300000000000001</v>
      </c>
      <c r="L128">
        <f t="shared" ca="1" si="29"/>
        <v>0.114</v>
      </c>
      <c r="M128">
        <f t="shared" ca="1" si="29"/>
        <v>59</v>
      </c>
      <c r="N128">
        <f t="shared" ca="1" si="29"/>
        <v>17</v>
      </c>
      <c r="O128">
        <f t="shared" ca="1" si="29"/>
        <v>14</v>
      </c>
      <c r="P128">
        <f t="shared" ca="1" si="29"/>
        <v>0.88400000000000001</v>
      </c>
      <c r="Q128">
        <f t="shared" ca="1" si="29"/>
        <v>9.0840900000000002E-2</v>
      </c>
      <c r="R128">
        <f t="shared" ca="1" si="29"/>
        <v>0.16900000000000001</v>
      </c>
      <c r="S128">
        <f t="shared" ca="1" si="16"/>
        <v>90</v>
      </c>
      <c r="T128">
        <f t="shared" ca="1" si="17"/>
        <v>9.0840900000000002E-2</v>
      </c>
      <c r="U128" t="e">
        <f ca="1">IF(AND($C128='Funnel setup'!$K$3&amp;'Funnel setup'!$K$5&amp;'Funnel setup'!$K$6&amp;'Funnel setup'!$K$4,'Funnel Lookup'!I128="*"),#N/A,IF(AND($C128='Funnel setup'!$K$3&amp;'Funnel setup'!$K$5&amp;'Funnel setup'!$K$6&amp;'Funnel setup'!$K$4,'Funnel Lookup'!I128&gt;29),'Funnel Lookup'!I128,#N/A))</f>
        <v>#N/A</v>
      </c>
      <c r="V128" t="e">
        <f ca="1">IF(AND($C128='Funnel setup'!$K$3&amp;'Funnel setup'!$K$5&amp;'Funnel setup'!$K$6&amp;'Funnel setup'!$K$4,'Funnel Lookup'!I128="*"),#N/A,IF(AND($C128='Funnel setup'!$K$3&amp;'Funnel setup'!$K$5&amp;'Funnel setup'!$K$6&amp;'Funnel setup'!$K$4,'Funnel Lookup'!I128&gt;29),'Funnel Lookup'!Q128,#N/A))</f>
        <v>#N/A</v>
      </c>
    </row>
    <row r="129" spans="1:22" x14ac:dyDescent="0.2">
      <c r="A129">
        <v>127</v>
      </c>
      <c r="B129">
        <f t="shared" ca="1" si="28"/>
        <v>127</v>
      </c>
      <c r="C129" t="str">
        <f t="shared" ca="1" si="28"/>
        <v>Groin HerniaProviderMID YORKSHIRE HOSPITALS NHS TRUST (RXF)EQ-5D Index</v>
      </c>
      <c r="D129" t="str">
        <f t="shared" ca="1" si="28"/>
        <v>Groin Hernia</v>
      </c>
      <c r="E129" t="str">
        <f t="shared" ca="1" si="28"/>
        <v>Provider</v>
      </c>
      <c r="F129" t="str">
        <f t="shared" ca="1" si="28"/>
        <v>RXF</v>
      </c>
      <c r="G129" t="str">
        <f t="shared" ca="1" si="28"/>
        <v>MID YORKSHIRE HOSPITALS NHS TRUST (RXF)</v>
      </c>
      <c r="H129" t="str">
        <f t="shared" ca="1" si="28"/>
        <v>EQ-5D Index</v>
      </c>
      <c r="I129">
        <f t="shared" ca="1" si="28"/>
        <v>164</v>
      </c>
      <c r="J129">
        <f t="shared" ca="1" si="28"/>
        <v>0.84599999999999997</v>
      </c>
      <c r="K129">
        <f t="shared" ca="1" si="28"/>
        <v>0.86599999999999999</v>
      </c>
      <c r="L129">
        <f t="shared" ca="1" si="29"/>
        <v>0.02</v>
      </c>
      <c r="M129">
        <f t="shared" ca="1" si="29"/>
        <v>57</v>
      </c>
      <c r="N129">
        <f t="shared" ca="1" si="29"/>
        <v>68</v>
      </c>
      <c r="O129">
        <f t="shared" ca="1" si="29"/>
        <v>39</v>
      </c>
      <c r="P129">
        <f t="shared" ca="1" si="29"/>
        <v>0.85899999999999999</v>
      </c>
      <c r="Q129">
        <f t="shared" ca="1" si="29"/>
        <v>6.5627817000000005E-2</v>
      </c>
      <c r="R129">
        <f t="shared" ca="1" si="29"/>
        <v>0.158</v>
      </c>
      <c r="S129">
        <f t="shared" ca="1" si="16"/>
        <v>164</v>
      </c>
      <c r="T129">
        <f t="shared" ca="1" si="17"/>
        <v>6.5627817000000005E-2</v>
      </c>
      <c r="U129" t="e">
        <f ca="1">IF(AND($C129='Funnel setup'!$K$3&amp;'Funnel setup'!$K$5&amp;'Funnel setup'!$K$6&amp;'Funnel setup'!$K$4,'Funnel Lookup'!I129="*"),#N/A,IF(AND($C129='Funnel setup'!$K$3&amp;'Funnel setup'!$K$5&amp;'Funnel setup'!$K$6&amp;'Funnel setup'!$K$4,'Funnel Lookup'!I129&gt;29),'Funnel Lookup'!I129,#N/A))</f>
        <v>#N/A</v>
      </c>
      <c r="V129" t="e">
        <f ca="1">IF(AND($C129='Funnel setup'!$K$3&amp;'Funnel setup'!$K$5&amp;'Funnel setup'!$K$6&amp;'Funnel setup'!$K$4,'Funnel Lookup'!I129="*"),#N/A,IF(AND($C129='Funnel setup'!$K$3&amp;'Funnel setup'!$K$5&amp;'Funnel setup'!$K$6&amp;'Funnel setup'!$K$4,'Funnel Lookup'!I129&gt;29),'Funnel Lookup'!Q129,#N/A))</f>
        <v>#N/A</v>
      </c>
    </row>
    <row r="130" spans="1:22" x14ac:dyDescent="0.2">
      <c r="A130">
        <v>128</v>
      </c>
      <c r="B130">
        <f t="shared" ca="1" si="28"/>
        <v>128</v>
      </c>
      <c r="C130" t="str">
        <f t="shared" ca="1" si="28"/>
        <v>Groin HerniaProviderMILTON KEYNES UNIVERSITY HOSPITAL NHS FOUNDATION TRUST (RD8)EQ-5D Index</v>
      </c>
      <c r="D130" t="str">
        <f t="shared" ca="1" si="28"/>
        <v>Groin Hernia</v>
      </c>
      <c r="E130" t="str">
        <f t="shared" ca="1" si="28"/>
        <v>Provider</v>
      </c>
      <c r="F130" t="str">
        <f t="shared" ca="1" si="28"/>
        <v>RD8</v>
      </c>
      <c r="G130" t="str">
        <f t="shared" ca="1" si="28"/>
        <v>MILTON KEYNES UNIVERSITY HOSPITAL NHS FOUNDATION TRUST (RD8)</v>
      </c>
      <c r="H130" t="str">
        <f t="shared" ca="1" si="28"/>
        <v>EQ-5D Index</v>
      </c>
      <c r="I130">
        <f t="shared" ca="1" si="28"/>
        <v>58</v>
      </c>
      <c r="J130">
        <f t="shared" ca="1" si="28"/>
        <v>0.77500000000000002</v>
      </c>
      <c r="K130">
        <f t="shared" ca="1" si="28"/>
        <v>0.8</v>
      </c>
      <c r="L130">
        <f t="shared" ca="1" si="29"/>
        <v>2.5000000000000001E-2</v>
      </c>
      <c r="M130">
        <f t="shared" ca="1" si="29"/>
        <v>30</v>
      </c>
      <c r="N130">
        <f t="shared" ca="1" si="29"/>
        <v>11</v>
      </c>
      <c r="O130">
        <f t="shared" ca="1" si="29"/>
        <v>17</v>
      </c>
      <c r="P130">
        <f t="shared" ca="1" si="29"/>
        <v>0.82299999999999995</v>
      </c>
      <c r="Q130">
        <f t="shared" ca="1" si="29"/>
        <v>3.0097684E-2</v>
      </c>
      <c r="R130">
        <f t="shared" ca="1" si="29"/>
        <v>0.217</v>
      </c>
      <c r="S130">
        <f t="shared" ca="1" si="16"/>
        <v>58</v>
      </c>
      <c r="T130">
        <f t="shared" ca="1" si="17"/>
        <v>3.0097684E-2</v>
      </c>
      <c r="U130" t="e">
        <f ca="1">IF(AND($C130='Funnel setup'!$K$3&amp;'Funnel setup'!$K$5&amp;'Funnel setup'!$K$6&amp;'Funnel setup'!$K$4,'Funnel Lookup'!I130="*"),#N/A,IF(AND($C130='Funnel setup'!$K$3&amp;'Funnel setup'!$K$5&amp;'Funnel setup'!$K$6&amp;'Funnel setup'!$K$4,'Funnel Lookup'!I130&gt;29),'Funnel Lookup'!I130,#N/A))</f>
        <v>#N/A</v>
      </c>
      <c r="V130" t="e">
        <f ca="1">IF(AND($C130='Funnel setup'!$K$3&amp;'Funnel setup'!$K$5&amp;'Funnel setup'!$K$6&amp;'Funnel setup'!$K$4,'Funnel Lookup'!I130="*"),#N/A,IF(AND($C130='Funnel setup'!$K$3&amp;'Funnel setup'!$K$5&amp;'Funnel setup'!$K$6&amp;'Funnel setup'!$K$4,'Funnel Lookup'!I130&gt;29),'Funnel Lookup'!Q130,#N/A))</f>
        <v>#N/A</v>
      </c>
    </row>
    <row r="131" spans="1:22" x14ac:dyDescent="0.2">
      <c r="A131">
        <v>129</v>
      </c>
      <c r="B131">
        <f t="shared" ca="1" si="28"/>
        <v>129</v>
      </c>
      <c r="C131" t="str">
        <f t="shared" ca="1" si="28"/>
        <v>Groin HerniaProviderMOUNT STUART HOSPITAL (NVC08)EQ-5D Index</v>
      </c>
      <c r="D131" t="str">
        <f t="shared" ca="1" si="28"/>
        <v>Groin Hernia</v>
      </c>
      <c r="E131" t="str">
        <f t="shared" ca="1" si="28"/>
        <v>Provider</v>
      </c>
      <c r="F131" t="str">
        <f t="shared" ca="1" si="28"/>
        <v>NVC08</v>
      </c>
      <c r="G131" t="str">
        <f t="shared" ca="1" si="28"/>
        <v>MOUNT STUART HOSPITAL (NVC08)</v>
      </c>
      <c r="H131" t="str">
        <f t="shared" ca="1" si="28"/>
        <v>EQ-5D Index</v>
      </c>
      <c r="I131">
        <f t="shared" ca="1" si="28"/>
        <v>126</v>
      </c>
      <c r="J131">
        <f t="shared" ca="1" si="28"/>
        <v>0.86199999999999999</v>
      </c>
      <c r="K131">
        <f t="shared" ca="1" si="28"/>
        <v>0.91500000000000004</v>
      </c>
      <c r="L131">
        <f t="shared" ca="1" si="29"/>
        <v>5.1999999999999998E-2</v>
      </c>
      <c r="M131">
        <f t="shared" ca="1" si="29"/>
        <v>52</v>
      </c>
      <c r="N131">
        <f t="shared" ca="1" si="29"/>
        <v>50</v>
      </c>
      <c r="O131">
        <f t="shared" ca="1" si="29"/>
        <v>24</v>
      </c>
      <c r="P131">
        <f t="shared" ca="1" si="29"/>
        <v>0.873</v>
      </c>
      <c r="Q131">
        <f t="shared" ca="1" si="29"/>
        <v>7.9292324999999997E-2</v>
      </c>
      <c r="R131">
        <f t="shared" ca="1" si="29"/>
        <v>0.121</v>
      </c>
      <c r="S131">
        <f t="shared" ca="1" si="16"/>
        <v>126</v>
      </c>
      <c r="T131">
        <f t="shared" ca="1" si="17"/>
        <v>7.9292324999999997E-2</v>
      </c>
      <c r="U131" t="e">
        <f ca="1">IF(AND($C131='Funnel setup'!$K$3&amp;'Funnel setup'!$K$5&amp;'Funnel setup'!$K$6&amp;'Funnel setup'!$K$4,'Funnel Lookup'!I131="*"),#N/A,IF(AND($C131='Funnel setup'!$K$3&amp;'Funnel setup'!$K$5&amp;'Funnel setup'!$K$6&amp;'Funnel setup'!$K$4,'Funnel Lookup'!I131&gt;29),'Funnel Lookup'!I131,#N/A))</f>
        <v>#N/A</v>
      </c>
      <c r="V131" t="e">
        <f ca="1">IF(AND($C131='Funnel setup'!$K$3&amp;'Funnel setup'!$K$5&amp;'Funnel setup'!$K$6&amp;'Funnel setup'!$K$4,'Funnel Lookup'!I131="*"),#N/A,IF(AND($C131='Funnel setup'!$K$3&amp;'Funnel setup'!$K$5&amp;'Funnel setup'!$K$6&amp;'Funnel setup'!$K$4,'Funnel Lookup'!I131&gt;29),'Funnel Lookup'!Q131,#N/A))</f>
        <v>#N/A</v>
      </c>
    </row>
    <row r="132" spans="1:22" x14ac:dyDescent="0.2">
      <c r="A132">
        <v>130</v>
      </c>
      <c r="B132">
        <f t="shared" ca="1" si="28"/>
        <v>130</v>
      </c>
      <c r="C132" t="str">
        <f t="shared" ca="1" si="28"/>
        <v>Groin HerniaProviderNEW HALL HOSPITAL (NVC09)EQ-5D Index</v>
      </c>
      <c r="D132" t="str">
        <f t="shared" ca="1" si="28"/>
        <v>Groin Hernia</v>
      </c>
      <c r="E132" t="str">
        <f t="shared" ca="1" si="28"/>
        <v>Provider</v>
      </c>
      <c r="F132" t="str">
        <f t="shared" ca="1" si="28"/>
        <v>NVC09</v>
      </c>
      <c r="G132" t="str">
        <f t="shared" ca="1" si="28"/>
        <v>NEW HALL HOSPITAL (NVC09)</v>
      </c>
      <c r="H132" t="str">
        <f t="shared" ca="1" si="28"/>
        <v>EQ-5D Index</v>
      </c>
      <c r="I132">
        <f t="shared" ca="1" si="28"/>
        <v>14</v>
      </c>
      <c r="J132">
        <f t="shared" ca="1" si="28"/>
        <v>0.84199999999999997</v>
      </c>
      <c r="K132">
        <f t="shared" ca="1" si="28"/>
        <v>0.95399999999999996</v>
      </c>
      <c r="L132">
        <f t="shared" ca="1" si="29"/>
        <v>0.112</v>
      </c>
      <c r="M132">
        <f t="shared" ca="1" si="29"/>
        <v>9</v>
      </c>
      <c r="N132">
        <f t="shared" ca="1" si="29"/>
        <v>4</v>
      </c>
      <c r="O132">
        <f t="shared" ca="1" si="29"/>
        <v>1</v>
      </c>
      <c r="P132" t="str">
        <f t="shared" ca="1" si="29"/>
        <v>*</v>
      </c>
      <c r="Q132" t="str">
        <f t="shared" ca="1" si="29"/>
        <v>*</v>
      </c>
      <c r="R132" t="str">
        <f t="shared" ca="1" si="29"/>
        <v>*</v>
      </c>
      <c r="S132" t="e">
        <f t="shared" ref="S132:S195" ca="1" si="30">IF($Q132="*",#N/A,I132)</f>
        <v>#N/A</v>
      </c>
      <c r="T132" t="e">
        <f t="shared" ref="T132:T195" ca="1" si="31">IF($Q132="*",#N/A,Q132)</f>
        <v>#N/A</v>
      </c>
      <c r="U132" t="e">
        <f ca="1">IF(AND($C132='Funnel setup'!$K$3&amp;'Funnel setup'!$K$5&amp;'Funnel setup'!$K$6&amp;'Funnel setup'!$K$4,'Funnel Lookup'!I132="*"),#N/A,IF(AND($C132='Funnel setup'!$K$3&amp;'Funnel setup'!$K$5&amp;'Funnel setup'!$K$6&amp;'Funnel setup'!$K$4,'Funnel Lookup'!I132&gt;29),'Funnel Lookup'!I132,#N/A))</f>
        <v>#N/A</v>
      </c>
      <c r="V132" t="e">
        <f ca="1">IF(AND($C132='Funnel setup'!$K$3&amp;'Funnel setup'!$K$5&amp;'Funnel setup'!$K$6&amp;'Funnel setup'!$K$4,'Funnel Lookup'!I132="*"),#N/A,IF(AND($C132='Funnel setup'!$K$3&amp;'Funnel setup'!$K$5&amp;'Funnel setup'!$K$6&amp;'Funnel setup'!$K$4,'Funnel Lookup'!I132&gt;29),'Funnel Lookup'!Q132,#N/A))</f>
        <v>#N/A</v>
      </c>
    </row>
    <row r="133" spans="1:22" x14ac:dyDescent="0.2">
      <c r="A133">
        <v>131</v>
      </c>
      <c r="B133">
        <f t="shared" ref="B133:K142" ca="1" si="32">VLOOKUP($A133,Funnel_Data,B$1,FALSE)</f>
        <v>131</v>
      </c>
      <c r="C133" t="str">
        <f t="shared" ca="1" si="32"/>
        <v>Groin HerniaProviderNORFOLK AND NORWICH UNIVERSITY HOSPITALS NHS FOUNDATION TRUST (RM1)EQ-5D Index</v>
      </c>
      <c r="D133" t="str">
        <f t="shared" ca="1" si="32"/>
        <v>Groin Hernia</v>
      </c>
      <c r="E133" t="str">
        <f t="shared" ca="1" si="32"/>
        <v>Provider</v>
      </c>
      <c r="F133" t="str">
        <f t="shared" ca="1" si="32"/>
        <v>RM1</v>
      </c>
      <c r="G133" t="str">
        <f t="shared" ca="1" si="32"/>
        <v>NORFOLK AND NORWICH UNIVERSITY HOSPITALS NHS FOUNDATION TRUST (RM1)</v>
      </c>
      <c r="H133" t="str">
        <f t="shared" ca="1" si="32"/>
        <v>EQ-5D Index</v>
      </c>
      <c r="I133">
        <f t="shared" ca="1" si="32"/>
        <v>382</v>
      </c>
      <c r="J133">
        <f t="shared" ca="1" si="32"/>
        <v>0.76800000000000002</v>
      </c>
      <c r="K133">
        <f t="shared" ca="1" si="32"/>
        <v>0.89200000000000002</v>
      </c>
      <c r="L133">
        <f t="shared" ref="L133:R142" ca="1" si="33">VLOOKUP($A133,Funnel_Data,L$1,FALSE)</f>
        <v>0.124</v>
      </c>
      <c r="M133">
        <f t="shared" ca="1" si="33"/>
        <v>232</v>
      </c>
      <c r="N133">
        <f t="shared" ca="1" si="33"/>
        <v>105</v>
      </c>
      <c r="O133">
        <f t="shared" ca="1" si="33"/>
        <v>45</v>
      </c>
      <c r="P133">
        <f t="shared" ca="1" si="33"/>
        <v>0.89200000000000002</v>
      </c>
      <c r="Q133">
        <f t="shared" ca="1" si="33"/>
        <v>9.8217831000000005E-2</v>
      </c>
      <c r="R133">
        <f t="shared" ca="1" si="33"/>
        <v>0.13800000000000001</v>
      </c>
      <c r="S133">
        <f t="shared" ca="1" si="30"/>
        <v>382</v>
      </c>
      <c r="T133">
        <f t="shared" ca="1" si="31"/>
        <v>9.8217831000000005E-2</v>
      </c>
      <c r="U133" t="e">
        <f ca="1">IF(AND($C133='Funnel setup'!$K$3&amp;'Funnel setup'!$K$5&amp;'Funnel setup'!$K$6&amp;'Funnel setup'!$K$4,'Funnel Lookup'!I133="*"),#N/A,IF(AND($C133='Funnel setup'!$K$3&amp;'Funnel setup'!$K$5&amp;'Funnel setup'!$K$6&amp;'Funnel setup'!$K$4,'Funnel Lookup'!I133&gt;29),'Funnel Lookup'!I133,#N/A))</f>
        <v>#N/A</v>
      </c>
      <c r="V133" t="e">
        <f ca="1">IF(AND($C133='Funnel setup'!$K$3&amp;'Funnel setup'!$K$5&amp;'Funnel setup'!$K$6&amp;'Funnel setup'!$K$4,'Funnel Lookup'!I133="*"),#N/A,IF(AND($C133='Funnel setup'!$K$3&amp;'Funnel setup'!$K$5&amp;'Funnel setup'!$K$6&amp;'Funnel setup'!$K$4,'Funnel Lookup'!I133&gt;29),'Funnel Lookup'!Q133,#N/A))</f>
        <v>#N/A</v>
      </c>
    </row>
    <row r="134" spans="1:22" x14ac:dyDescent="0.2">
      <c r="A134">
        <v>132</v>
      </c>
      <c r="B134">
        <f t="shared" ca="1" si="32"/>
        <v>132</v>
      </c>
      <c r="C134" t="str">
        <f t="shared" ca="1" si="32"/>
        <v>Groin HerniaProviderNORTH BRISTOL NHS TRUST (RVJ)EQ-5D Index</v>
      </c>
      <c r="D134" t="str">
        <f t="shared" ca="1" si="32"/>
        <v>Groin Hernia</v>
      </c>
      <c r="E134" t="str">
        <f t="shared" ca="1" si="32"/>
        <v>Provider</v>
      </c>
      <c r="F134" t="str">
        <f t="shared" ca="1" si="32"/>
        <v>RVJ</v>
      </c>
      <c r="G134" t="str">
        <f t="shared" ca="1" si="32"/>
        <v>NORTH BRISTOL NHS TRUST (RVJ)</v>
      </c>
      <c r="H134" t="str">
        <f t="shared" ca="1" si="32"/>
        <v>EQ-5D Index</v>
      </c>
      <c r="I134">
        <f t="shared" ca="1" si="32"/>
        <v>9</v>
      </c>
      <c r="J134">
        <f t="shared" ca="1" si="32"/>
        <v>0.81399999999999995</v>
      </c>
      <c r="K134">
        <f t="shared" ca="1" si="32"/>
        <v>0.96</v>
      </c>
      <c r="L134">
        <f t="shared" ca="1" si="33"/>
        <v>0.14699999999999999</v>
      </c>
      <c r="M134">
        <f t="shared" ca="1" si="33"/>
        <v>6</v>
      </c>
      <c r="N134">
        <f t="shared" ca="1" si="33"/>
        <v>3</v>
      </c>
      <c r="O134">
        <f t="shared" ca="1" si="33"/>
        <v>0</v>
      </c>
      <c r="P134" t="str">
        <f t="shared" ca="1" si="33"/>
        <v>*</v>
      </c>
      <c r="Q134" t="str">
        <f t="shared" ca="1" si="33"/>
        <v>*</v>
      </c>
      <c r="R134" t="str">
        <f t="shared" ca="1" si="33"/>
        <v>*</v>
      </c>
      <c r="S134" t="e">
        <f t="shared" ca="1" si="30"/>
        <v>#N/A</v>
      </c>
      <c r="T134" t="e">
        <f t="shared" ca="1" si="31"/>
        <v>#N/A</v>
      </c>
      <c r="U134" t="e">
        <f ca="1">IF(AND($C134='Funnel setup'!$K$3&amp;'Funnel setup'!$K$5&amp;'Funnel setup'!$K$6&amp;'Funnel setup'!$K$4,'Funnel Lookup'!I134="*"),#N/A,IF(AND($C134='Funnel setup'!$K$3&amp;'Funnel setup'!$K$5&amp;'Funnel setup'!$K$6&amp;'Funnel setup'!$K$4,'Funnel Lookup'!I134&gt;29),'Funnel Lookup'!I134,#N/A))</f>
        <v>#N/A</v>
      </c>
      <c r="V134" t="e">
        <f ca="1">IF(AND($C134='Funnel setup'!$K$3&amp;'Funnel setup'!$K$5&amp;'Funnel setup'!$K$6&amp;'Funnel setup'!$K$4,'Funnel Lookup'!I134="*"),#N/A,IF(AND($C134='Funnel setup'!$K$3&amp;'Funnel setup'!$K$5&amp;'Funnel setup'!$K$6&amp;'Funnel setup'!$K$4,'Funnel Lookup'!I134&gt;29),'Funnel Lookup'!Q134,#N/A))</f>
        <v>#N/A</v>
      </c>
    </row>
    <row r="135" spans="1:22" x14ac:dyDescent="0.2">
      <c r="A135">
        <v>133</v>
      </c>
      <c r="B135">
        <f t="shared" ca="1" si="32"/>
        <v>133</v>
      </c>
      <c r="C135" t="str">
        <f t="shared" ca="1" si="32"/>
        <v>Groin HerniaProviderNORTH CUMBRIA UNIVERSITY HOSPITALS NHS TRUST (RNL)EQ-5D Index</v>
      </c>
      <c r="D135" t="str">
        <f t="shared" ca="1" si="32"/>
        <v>Groin Hernia</v>
      </c>
      <c r="E135" t="str">
        <f t="shared" ca="1" si="32"/>
        <v>Provider</v>
      </c>
      <c r="F135" t="str">
        <f t="shared" ca="1" si="32"/>
        <v>RNL</v>
      </c>
      <c r="G135" t="str">
        <f t="shared" ca="1" si="32"/>
        <v>NORTH CUMBRIA UNIVERSITY HOSPITALS NHS TRUST (RNL)</v>
      </c>
      <c r="H135" t="str">
        <f t="shared" ca="1" si="32"/>
        <v>EQ-5D Index</v>
      </c>
      <c r="I135">
        <f t="shared" ca="1" si="32"/>
        <v>88</v>
      </c>
      <c r="J135">
        <f t="shared" ca="1" si="32"/>
        <v>0.81100000000000005</v>
      </c>
      <c r="K135">
        <f t="shared" ca="1" si="32"/>
        <v>0.85599999999999998</v>
      </c>
      <c r="L135">
        <f t="shared" ca="1" si="33"/>
        <v>4.4999999999999998E-2</v>
      </c>
      <c r="M135">
        <f t="shared" ca="1" si="33"/>
        <v>38</v>
      </c>
      <c r="N135">
        <f t="shared" ca="1" si="33"/>
        <v>28</v>
      </c>
      <c r="O135">
        <f t="shared" ca="1" si="33"/>
        <v>22</v>
      </c>
      <c r="P135">
        <f t="shared" ca="1" si="33"/>
        <v>0.84799999999999998</v>
      </c>
      <c r="Q135">
        <f t="shared" ca="1" si="33"/>
        <v>5.4190055000000001E-2</v>
      </c>
      <c r="R135">
        <f t="shared" ca="1" si="33"/>
        <v>0.21199999999999999</v>
      </c>
      <c r="S135">
        <f t="shared" ca="1" si="30"/>
        <v>88</v>
      </c>
      <c r="T135">
        <f t="shared" ca="1" si="31"/>
        <v>5.4190055000000001E-2</v>
      </c>
      <c r="U135" t="e">
        <f ca="1">IF(AND($C135='Funnel setup'!$K$3&amp;'Funnel setup'!$K$5&amp;'Funnel setup'!$K$6&amp;'Funnel setup'!$K$4,'Funnel Lookup'!I135="*"),#N/A,IF(AND($C135='Funnel setup'!$K$3&amp;'Funnel setup'!$K$5&amp;'Funnel setup'!$K$6&amp;'Funnel setup'!$K$4,'Funnel Lookup'!I135&gt;29),'Funnel Lookup'!I135,#N/A))</f>
        <v>#N/A</v>
      </c>
      <c r="V135" t="e">
        <f ca="1">IF(AND($C135='Funnel setup'!$K$3&amp;'Funnel setup'!$K$5&amp;'Funnel setup'!$K$6&amp;'Funnel setup'!$K$4,'Funnel Lookup'!I135="*"),#N/A,IF(AND($C135='Funnel setup'!$K$3&amp;'Funnel setup'!$K$5&amp;'Funnel setup'!$K$6&amp;'Funnel setup'!$K$4,'Funnel Lookup'!I135&gt;29),'Funnel Lookup'!Q135,#N/A))</f>
        <v>#N/A</v>
      </c>
    </row>
    <row r="136" spans="1:22" x14ac:dyDescent="0.2">
      <c r="A136">
        <v>134</v>
      </c>
      <c r="B136">
        <f t="shared" ca="1" si="32"/>
        <v>134</v>
      </c>
      <c r="C136" t="str">
        <f t="shared" ca="1" si="32"/>
        <v>Groin HerniaProviderNORTH DOWNS HOSPITAL (NVC11)EQ-5D Index</v>
      </c>
      <c r="D136" t="str">
        <f t="shared" ca="1" si="32"/>
        <v>Groin Hernia</v>
      </c>
      <c r="E136" t="str">
        <f t="shared" ca="1" si="32"/>
        <v>Provider</v>
      </c>
      <c r="F136" t="str">
        <f t="shared" ca="1" si="32"/>
        <v>NVC11</v>
      </c>
      <c r="G136" t="str">
        <f t="shared" ca="1" si="32"/>
        <v>NORTH DOWNS HOSPITAL (NVC11)</v>
      </c>
      <c r="H136" t="str">
        <f t="shared" ca="1" si="32"/>
        <v>EQ-5D Index</v>
      </c>
      <c r="I136">
        <f t="shared" ca="1" si="32"/>
        <v>34</v>
      </c>
      <c r="J136">
        <f t="shared" ca="1" si="32"/>
        <v>0.84599999999999997</v>
      </c>
      <c r="K136">
        <f t="shared" ca="1" si="32"/>
        <v>0.88400000000000001</v>
      </c>
      <c r="L136">
        <f t="shared" ca="1" si="33"/>
        <v>3.7999999999999999E-2</v>
      </c>
      <c r="M136">
        <f t="shared" ca="1" si="33"/>
        <v>15</v>
      </c>
      <c r="N136">
        <f t="shared" ca="1" si="33"/>
        <v>13</v>
      </c>
      <c r="O136">
        <f t="shared" ca="1" si="33"/>
        <v>6</v>
      </c>
      <c r="P136">
        <f t="shared" ca="1" si="33"/>
        <v>0.84399999999999997</v>
      </c>
      <c r="Q136">
        <f t="shared" ca="1" si="33"/>
        <v>5.0259881999999999E-2</v>
      </c>
      <c r="R136">
        <f t="shared" ca="1" si="33"/>
        <v>0.14799999999999999</v>
      </c>
      <c r="S136">
        <f t="shared" ca="1" si="30"/>
        <v>34</v>
      </c>
      <c r="T136">
        <f t="shared" ca="1" si="31"/>
        <v>5.0259881999999999E-2</v>
      </c>
      <c r="U136" t="e">
        <f ca="1">IF(AND($C136='Funnel setup'!$K$3&amp;'Funnel setup'!$K$5&amp;'Funnel setup'!$K$6&amp;'Funnel setup'!$K$4,'Funnel Lookup'!I136="*"),#N/A,IF(AND($C136='Funnel setup'!$K$3&amp;'Funnel setup'!$K$5&amp;'Funnel setup'!$K$6&amp;'Funnel setup'!$K$4,'Funnel Lookup'!I136&gt;29),'Funnel Lookup'!I136,#N/A))</f>
        <v>#N/A</v>
      </c>
      <c r="V136" t="e">
        <f ca="1">IF(AND($C136='Funnel setup'!$K$3&amp;'Funnel setup'!$K$5&amp;'Funnel setup'!$K$6&amp;'Funnel setup'!$K$4,'Funnel Lookup'!I136="*"),#N/A,IF(AND($C136='Funnel setup'!$K$3&amp;'Funnel setup'!$K$5&amp;'Funnel setup'!$K$6&amp;'Funnel setup'!$K$4,'Funnel Lookup'!I136&gt;29),'Funnel Lookup'!Q136,#N/A))</f>
        <v>#N/A</v>
      </c>
    </row>
    <row r="137" spans="1:22" x14ac:dyDescent="0.2">
      <c r="A137">
        <v>135</v>
      </c>
      <c r="B137">
        <f t="shared" ca="1" si="32"/>
        <v>135</v>
      </c>
      <c r="C137" t="str">
        <f t="shared" ca="1" si="32"/>
        <v>Groin HerniaProviderNORTH EAST LONDON TREATMENT CENTRE CARE UK (NTP15)EQ-5D Index</v>
      </c>
      <c r="D137" t="str">
        <f t="shared" ca="1" si="32"/>
        <v>Groin Hernia</v>
      </c>
      <c r="E137" t="str">
        <f t="shared" ca="1" si="32"/>
        <v>Provider</v>
      </c>
      <c r="F137" t="str">
        <f t="shared" ca="1" si="32"/>
        <v>NTP15</v>
      </c>
      <c r="G137" t="str">
        <f t="shared" ca="1" si="32"/>
        <v>NORTH EAST LONDON TREATMENT CENTRE CARE UK (NTP15)</v>
      </c>
      <c r="H137" t="str">
        <f t="shared" ca="1" si="32"/>
        <v>EQ-5D Index</v>
      </c>
      <c r="I137">
        <f t="shared" ca="1" si="32"/>
        <v>71</v>
      </c>
      <c r="J137">
        <f t="shared" ca="1" si="32"/>
        <v>0.79</v>
      </c>
      <c r="K137">
        <f t="shared" ca="1" si="32"/>
        <v>0.85899999999999999</v>
      </c>
      <c r="L137">
        <f t="shared" ca="1" si="33"/>
        <v>7.0000000000000007E-2</v>
      </c>
      <c r="M137">
        <f t="shared" ca="1" si="33"/>
        <v>35</v>
      </c>
      <c r="N137">
        <f t="shared" ca="1" si="33"/>
        <v>22</v>
      </c>
      <c r="O137">
        <f t="shared" ca="1" si="33"/>
        <v>14</v>
      </c>
      <c r="P137">
        <f t="shared" ca="1" si="33"/>
        <v>0.86199999999999999</v>
      </c>
      <c r="Q137">
        <f t="shared" ca="1" si="33"/>
        <v>6.8836907000000003E-2</v>
      </c>
      <c r="R137">
        <f t="shared" ca="1" si="33"/>
        <v>0.14199999999999999</v>
      </c>
      <c r="S137">
        <f t="shared" ca="1" si="30"/>
        <v>71</v>
      </c>
      <c r="T137">
        <f t="shared" ca="1" si="31"/>
        <v>6.8836907000000003E-2</v>
      </c>
      <c r="U137" t="e">
        <f ca="1">IF(AND($C137='Funnel setup'!$K$3&amp;'Funnel setup'!$K$5&amp;'Funnel setup'!$K$6&amp;'Funnel setup'!$K$4,'Funnel Lookup'!I137="*"),#N/A,IF(AND($C137='Funnel setup'!$K$3&amp;'Funnel setup'!$K$5&amp;'Funnel setup'!$K$6&amp;'Funnel setup'!$K$4,'Funnel Lookup'!I137&gt;29),'Funnel Lookup'!I137,#N/A))</f>
        <v>#N/A</v>
      </c>
      <c r="V137" t="e">
        <f ca="1">IF(AND($C137='Funnel setup'!$K$3&amp;'Funnel setup'!$K$5&amp;'Funnel setup'!$K$6&amp;'Funnel setup'!$K$4,'Funnel Lookup'!I137="*"),#N/A,IF(AND($C137='Funnel setup'!$K$3&amp;'Funnel setup'!$K$5&amp;'Funnel setup'!$K$6&amp;'Funnel setup'!$K$4,'Funnel Lookup'!I137&gt;29),'Funnel Lookup'!Q137,#N/A))</f>
        <v>#N/A</v>
      </c>
    </row>
    <row r="138" spans="1:22" x14ac:dyDescent="0.2">
      <c r="A138">
        <v>136</v>
      </c>
      <c r="B138">
        <f t="shared" ca="1" si="32"/>
        <v>136</v>
      </c>
      <c r="C138" t="str">
        <f t="shared" ca="1" si="32"/>
        <v>Groin HerniaProviderNORTH MIDDLESEX UNIVERSITY HOSPITAL NHS TRUST (RAP)EQ-5D Index</v>
      </c>
      <c r="D138" t="str">
        <f t="shared" ca="1" si="32"/>
        <v>Groin Hernia</v>
      </c>
      <c r="E138" t="str">
        <f t="shared" ca="1" si="32"/>
        <v>Provider</v>
      </c>
      <c r="F138" t="str">
        <f t="shared" ca="1" si="32"/>
        <v>RAP</v>
      </c>
      <c r="G138" t="str">
        <f t="shared" ca="1" si="32"/>
        <v>NORTH MIDDLESEX UNIVERSITY HOSPITAL NHS TRUST (RAP)</v>
      </c>
      <c r="H138" t="str">
        <f t="shared" ca="1" si="32"/>
        <v>EQ-5D Index</v>
      </c>
      <c r="I138">
        <f t="shared" ca="1" si="32"/>
        <v>34</v>
      </c>
      <c r="J138">
        <f t="shared" ca="1" si="32"/>
        <v>0.69699999999999995</v>
      </c>
      <c r="K138">
        <f t="shared" ca="1" si="32"/>
        <v>0.82</v>
      </c>
      <c r="L138">
        <f t="shared" ca="1" si="33"/>
        <v>0.123</v>
      </c>
      <c r="M138">
        <f t="shared" ca="1" si="33"/>
        <v>18</v>
      </c>
      <c r="N138">
        <f t="shared" ca="1" si="33"/>
        <v>7</v>
      </c>
      <c r="O138">
        <f t="shared" ca="1" si="33"/>
        <v>9</v>
      </c>
      <c r="P138">
        <f t="shared" ca="1" si="33"/>
        <v>0.86899999999999999</v>
      </c>
      <c r="Q138">
        <f t="shared" ca="1" si="33"/>
        <v>7.5956009000000005E-2</v>
      </c>
      <c r="R138">
        <f t="shared" ca="1" si="33"/>
        <v>0.19700000000000001</v>
      </c>
      <c r="S138">
        <f t="shared" ca="1" si="30"/>
        <v>34</v>
      </c>
      <c r="T138">
        <f t="shared" ca="1" si="31"/>
        <v>7.5956009000000005E-2</v>
      </c>
      <c r="U138" t="e">
        <f ca="1">IF(AND($C138='Funnel setup'!$K$3&amp;'Funnel setup'!$K$5&amp;'Funnel setup'!$K$6&amp;'Funnel setup'!$K$4,'Funnel Lookup'!I138="*"),#N/A,IF(AND($C138='Funnel setup'!$K$3&amp;'Funnel setup'!$K$5&amp;'Funnel setup'!$K$6&amp;'Funnel setup'!$K$4,'Funnel Lookup'!I138&gt;29),'Funnel Lookup'!I138,#N/A))</f>
        <v>#N/A</v>
      </c>
      <c r="V138" t="e">
        <f ca="1">IF(AND($C138='Funnel setup'!$K$3&amp;'Funnel setup'!$K$5&amp;'Funnel setup'!$K$6&amp;'Funnel setup'!$K$4,'Funnel Lookup'!I138="*"),#N/A,IF(AND($C138='Funnel setup'!$K$3&amp;'Funnel setup'!$K$5&amp;'Funnel setup'!$K$6&amp;'Funnel setup'!$K$4,'Funnel Lookup'!I138&gt;29),'Funnel Lookup'!Q138,#N/A))</f>
        <v>#N/A</v>
      </c>
    </row>
    <row r="139" spans="1:22" x14ac:dyDescent="0.2">
      <c r="A139">
        <v>137</v>
      </c>
      <c r="B139">
        <f t="shared" ca="1" si="32"/>
        <v>137</v>
      </c>
      <c r="C139" t="str">
        <f t="shared" ca="1" si="32"/>
        <v>Groin HerniaProviderNORTH TEES AND HARTLEPOOL NHS FOUNDATION TRUST (RVW)EQ-5D Index</v>
      </c>
      <c r="D139" t="str">
        <f t="shared" ca="1" si="32"/>
        <v>Groin Hernia</v>
      </c>
      <c r="E139" t="str">
        <f t="shared" ca="1" si="32"/>
        <v>Provider</v>
      </c>
      <c r="F139" t="str">
        <f t="shared" ca="1" si="32"/>
        <v>RVW</v>
      </c>
      <c r="G139" t="str">
        <f t="shared" ca="1" si="32"/>
        <v>NORTH TEES AND HARTLEPOOL NHS FOUNDATION TRUST (RVW)</v>
      </c>
      <c r="H139" t="str">
        <f t="shared" ca="1" si="32"/>
        <v>EQ-5D Index</v>
      </c>
      <c r="I139">
        <f t="shared" ca="1" si="32"/>
        <v>113</v>
      </c>
      <c r="J139">
        <f t="shared" ca="1" si="32"/>
        <v>0.79</v>
      </c>
      <c r="K139">
        <f t="shared" ca="1" si="32"/>
        <v>0.81799999999999995</v>
      </c>
      <c r="L139">
        <f t="shared" ca="1" si="33"/>
        <v>2.8000000000000001E-2</v>
      </c>
      <c r="M139">
        <f t="shared" ca="1" si="33"/>
        <v>45</v>
      </c>
      <c r="N139">
        <f t="shared" ca="1" si="33"/>
        <v>39</v>
      </c>
      <c r="O139">
        <f t="shared" ca="1" si="33"/>
        <v>29</v>
      </c>
      <c r="P139">
        <f t="shared" ca="1" si="33"/>
        <v>0.83799999999999997</v>
      </c>
      <c r="Q139">
        <f t="shared" ca="1" si="33"/>
        <v>4.4371046999999997E-2</v>
      </c>
      <c r="R139">
        <f t="shared" ca="1" si="33"/>
        <v>0.158</v>
      </c>
      <c r="S139">
        <f t="shared" ca="1" si="30"/>
        <v>113</v>
      </c>
      <c r="T139">
        <f t="shared" ca="1" si="31"/>
        <v>4.4371046999999997E-2</v>
      </c>
      <c r="U139" t="e">
        <f ca="1">IF(AND($C139='Funnel setup'!$K$3&amp;'Funnel setup'!$K$5&amp;'Funnel setup'!$K$6&amp;'Funnel setup'!$K$4,'Funnel Lookup'!I139="*"),#N/A,IF(AND($C139='Funnel setup'!$K$3&amp;'Funnel setup'!$K$5&amp;'Funnel setup'!$K$6&amp;'Funnel setup'!$K$4,'Funnel Lookup'!I139&gt;29),'Funnel Lookup'!I139,#N/A))</f>
        <v>#N/A</v>
      </c>
      <c r="V139" t="e">
        <f ca="1">IF(AND($C139='Funnel setup'!$K$3&amp;'Funnel setup'!$K$5&amp;'Funnel setup'!$K$6&amp;'Funnel setup'!$K$4,'Funnel Lookup'!I139="*"),#N/A,IF(AND($C139='Funnel setup'!$K$3&amp;'Funnel setup'!$K$5&amp;'Funnel setup'!$K$6&amp;'Funnel setup'!$K$4,'Funnel Lookup'!I139&gt;29),'Funnel Lookup'!Q139,#N/A))</f>
        <v>#N/A</v>
      </c>
    </row>
    <row r="140" spans="1:22" x14ac:dyDescent="0.2">
      <c r="A140">
        <v>138</v>
      </c>
      <c r="B140">
        <f t="shared" ca="1" si="32"/>
        <v>138</v>
      </c>
      <c r="C140" t="str">
        <f t="shared" ca="1" si="32"/>
        <v>Groin HerniaProviderNORTHAMPTON GENERAL HOSPITAL NHS TRUST (RNS)EQ-5D Index</v>
      </c>
      <c r="D140" t="str">
        <f t="shared" ca="1" si="32"/>
        <v>Groin Hernia</v>
      </c>
      <c r="E140" t="str">
        <f t="shared" ca="1" si="32"/>
        <v>Provider</v>
      </c>
      <c r="F140" t="str">
        <f t="shared" ca="1" si="32"/>
        <v>RNS</v>
      </c>
      <c r="G140" t="str">
        <f t="shared" ca="1" si="32"/>
        <v>NORTHAMPTON GENERAL HOSPITAL NHS TRUST (RNS)</v>
      </c>
      <c r="H140" t="str">
        <f t="shared" ca="1" si="32"/>
        <v>EQ-5D Index</v>
      </c>
      <c r="I140">
        <f t="shared" ca="1" si="32"/>
        <v>81</v>
      </c>
      <c r="J140">
        <f t="shared" ca="1" si="32"/>
        <v>0.73399999999999999</v>
      </c>
      <c r="K140">
        <f t="shared" ca="1" si="32"/>
        <v>0.86299999999999999</v>
      </c>
      <c r="L140">
        <f t="shared" ca="1" si="33"/>
        <v>0.129</v>
      </c>
      <c r="M140">
        <f t="shared" ca="1" si="33"/>
        <v>47</v>
      </c>
      <c r="N140">
        <f t="shared" ca="1" si="33"/>
        <v>21</v>
      </c>
      <c r="O140">
        <f t="shared" ca="1" si="33"/>
        <v>13</v>
      </c>
      <c r="P140">
        <f t="shared" ca="1" si="33"/>
        <v>0.89300000000000002</v>
      </c>
      <c r="Q140">
        <f t="shared" ca="1" si="33"/>
        <v>9.9514200999999997E-2</v>
      </c>
      <c r="R140">
        <f t="shared" ca="1" si="33"/>
        <v>0.20399999999999999</v>
      </c>
      <c r="S140">
        <f t="shared" ca="1" si="30"/>
        <v>81</v>
      </c>
      <c r="T140">
        <f t="shared" ca="1" si="31"/>
        <v>9.9514200999999997E-2</v>
      </c>
      <c r="U140" t="e">
        <f ca="1">IF(AND($C140='Funnel setup'!$K$3&amp;'Funnel setup'!$K$5&amp;'Funnel setup'!$K$6&amp;'Funnel setup'!$K$4,'Funnel Lookup'!I140="*"),#N/A,IF(AND($C140='Funnel setup'!$K$3&amp;'Funnel setup'!$K$5&amp;'Funnel setup'!$K$6&amp;'Funnel setup'!$K$4,'Funnel Lookup'!I140&gt;29),'Funnel Lookup'!I140,#N/A))</f>
        <v>#N/A</v>
      </c>
      <c r="V140" t="e">
        <f ca="1">IF(AND($C140='Funnel setup'!$K$3&amp;'Funnel setup'!$K$5&amp;'Funnel setup'!$K$6&amp;'Funnel setup'!$K$4,'Funnel Lookup'!I140="*"),#N/A,IF(AND($C140='Funnel setup'!$K$3&amp;'Funnel setup'!$K$5&amp;'Funnel setup'!$K$6&amp;'Funnel setup'!$K$4,'Funnel Lookup'!I140&gt;29),'Funnel Lookup'!Q140,#N/A))</f>
        <v>#N/A</v>
      </c>
    </row>
    <row r="141" spans="1:22" x14ac:dyDescent="0.2">
      <c r="A141">
        <v>139</v>
      </c>
      <c r="B141">
        <f t="shared" ca="1" si="32"/>
        <v>139</v>
      </c>
      <c r="C141" t="str">
        <f t="shared" ca="1" si="32"/>
        <v>Groin HerniaProviderNORTHERN DEVON HEALTHCARE NHS TRUST (RBZ)EQ-5D Index</v>
      </c>
      <c r="D141" t="str">
        <f t="shared" ca="1" si="32"/>
        <v>Groin Hernia</v>
      </c>
      <c r="E141" t="str">
        <f t="shared" ca="1" si="32"/>
        <v>Provider</v>
      </c>
      <c r="F141" t="str">
        <f t="shared" ca="1" si="32"/>
        <v>RBZ</v>
      </c>
      <c r="G141" t="str">
        <f t="shared" ca="1" si="32"/>
        <v>NORTHERN DEVON HEALTHCARE NHS TRUST (RBZ)</v>
      </c>
      <c r="H141" t="str">
        <f t="shared" ca="1" si="32"/>
        <v>EQ-5D Index</v>
      </c>
      <c r="I141">
        <f t="shared" ca="1" si="32"/>
        <v>156</v>
      </c>
      <c r="J141">
        <f t="shared" ca="1" si="32"/>
        <v>0.76300000000000001</v>
      </c>
      <c r="K141">
        <f t="shared" ca="1" si="32"/>
        <v>0.86799999999999999</v>
      </c>
      <c r="L141">
        <f t="shared" ca="1" si="33"/>
        <v>0.105</v>
      </c>
      <c r="M141">
        <f t="shared" ca="1" si="33"/>
        <v>95</v>
      </c>
      <c r="N141">
        <f t="shared" ca="1" si="33"/>
        <v>38</v>
      </c>
      <c r="O141">
        <f t="shared" ca="1" si="33"/>
        <v>23</v>
      </c>
      <c r="P141">
        <f t="shared" ca="1" si="33"/>
        <v>0.872</v>
      </c>
      <c r="Q141">
        <f t="shared" ca="1" si="33"/>
        <v>7.8711932999999998E-2</v>
      </c>
      <c r="R141">
        <f t="shared" ca="1" si="33"/>
        <v>0.158</v>
      </c>
      <c r="S141">
        <f t="shared" ca="1" si="30"/>
        <v>156</v>
      </c>
      <c r="T141">
        <f t="shared" ca="1" si="31"/>
        <v>7.8711932999999998E-2</v>
      </c>
      <c r="U141" t="e">
        <f ca="1">IF(AND($C141='Funnel setup'!$K$3&amp;'Funnel setup'!$K$5&amp;'Funnel setup'!$K$6&amp;'Funnel setup'!$K$4,'Funnel Lookup'!I141="*"),#N/A,IF(AND($C141='Funnel setup'!$K$3&amp;'Funnel setup'!$K$5&amp;'Funnel setup'!$K$6&amp;'Funnel setup'!$K$4,'Funnel Lookup'!I141&gt;29),'Funnel Lookup'!I141,#N/A))</f>
        <v>#N/A</v>
      </c>
      <c r="V141" t="e">
        <f ca="1">IF(AND($C141='Funnel setup'!$K$3&amp;'Funnel setup'!$K$5&amp;'Funnel setup'!$K$6&amp;'Funnel setup'!$K$4,'Funnel Lookup'!I141="*"),#N/A,IF(AND($C141='Funnel setup'!$K$3&amp;'Funnel setup'!$K$5&amp;'Funnel setup'!$K$6&amp;'Funnel setup'!$K$4,'Funnel Lookup'!I141&gt;29),'Funnel Lookup'!Q141,#N/A))</f>
        <v>#N/A</v>
      </c>
    </row>
    <row r="142" spans="1:22" x14ac:dyDescent="0.2">
      <c r="A142">
        <v>140</v>
      </c>
      <c r="B142">
        <f t="shared" ca="1" si="32"/>
        <v>140</v>
      </c>
      <c r="C142" t="str">
        <f t="shared" ca="1" si="32"/>
        <v>Groin HerniaProviderNORTHERN LINCOLNSHIRE AND GOOLE NHS FOUNDATION TRUST (RJL)EQ-5D Index</v>
      </c>
      <c r="D142" t="str">
        <f t="shared" ca="1" si="32"/>
        <v>Groin Hernia</v>
      </c>
      <c r="E142" t="str">
        <f t="shared" ca="1" si="32"/>
        <v>Provider</v>
      </c>
      <c r="F142" t="str">
        <f t="shared" ca="1" si="32"/>
        <v>RJL</v>
      </c>
      <c r="G142" t="str">
        <f t="shared" ca="1" si="32"/>
        <v>NORTHERN LINCOLNSHIRE AND GOOLE NHS FOUNDATION TRUST (RJL)</v>
      </c>
      <c r="H142" t="str">
        <f t="shared" ca="1" si="32"/>
        <v>EQ-5D Index</v>
      </c>
      <c r="I142">
        <f t="shared" ca="1" si="32"/>
        <v>132</v>
      </c>
      <c r="J142">
        <f t="shared" ca="1" si="32"/>
        <v>0.71</v>
      </c>
      <c r="K142">
        <f t="shared" ca="1" si="32"/>
        <v>0.84399999999999997</v>
      </c>
      <c r="L142">
        <f t="shared" ca="1" si="33"/>
        <v>0.13300000000000001</v>
      </c>
      <c r="M142">
        <f t="shared" ca="1" si="33"/>
        <v>86</v>
      </c>
      <c r="N142">
        <f t="shared" ca="1" si="33"/>
        <v>33</v>
      </c>
      <c r="O142">
        <f t="shared" ca="1" si="33"/>
        <v>13</v>
      </c>
      <c r="P142">
        <f t="shared" ca="1" si="33"/>
        <v>0.88</v>
      </c>
      <c r="Q142">
        <f t="shared" ca="1" si="33"/>
        <v>8.7008800999999997E-2</v>
      </c>
      <c r="R142">
        <f t="shared" ca="1" si="33"/>
        <v>0.161</v>
      </c>
      <c r="S142">
        <f t="shared" ca="1" si="30"/>
        <v>132</v>
      </c>
      <c r="T142">
        <f t="shared" ca="1" si="31"/>
        <v>8.7008800999999997E-2</v>
      </c>
      <c r="U142" t="e">
        <f ca="1">IF(AND($C142='Funnel setup'!$K$3&amp;'Funnel setup'!$K$5&amp;'Funnel setup'!$K$6&amp;'Funnel setup'!$K$4,'Funnel Lookup'!I142="*"),#N/A,IF(AND($C142='Funnel setup'!$K$3&amp;'Funnel setup'!$K$5&amp;'Funnel setup'!$K$6&amp;'Funnel setup'!$K$4,'Funnel Lookup'!I142&gt;29),'Funnel Lookup'!I142,#N/A))</f>
        <v>#N/A</v>
      </c>
      <c r="V142" t="e">
        <f ca="1">IF(AND($C142='Funnel setup'!$K$3&amp;'Funnel setup'!$K$5&amp;'Funnel setup'!$K$6&amp;'Funnel setup'!$K$4,'Funnel Lookup'!I142="*"),#N/A,IF(AND($C142='Funnel setup'!$K$3&amp;'Funnel setup'!$K$5&amp;'Funnel setup'!$K$6&amp;'Funnel setup'!$K$4,'Funnel Lookup'!I142&gt;29),'Funnel Lookup'!Q142,#N/A))</f>
        <v>#N/A</v>
      </c>
    </row>
    <row r="143" spans="1:22" x14ac:dyDescent="0.2">
      <c r="A143">
        <v>141</v>
      </c>
      <c r="B143">
        <f t="shared" ref="B143:K152" ca="1" si="34">VLOOKUP($A143,Funnel_Data,B$1,FALSE)</f>
        <v>141</v>
      </c>
      <c r="C143" t="str">
        <f t="shared" ca="1" si="34"/>
        <v>Groin HerniaProviderNORTHUMBRIA HEALTHCARE NHS FOUNDATION TRUST (RTF)EQ-5D Index</v>
      </c>
      <c r="D143" t="str">
        <f t="shared" ca="1" si="34"/>
        <v>Groin Hernia</v>
      </c>
      <c r="E143" t="str">
        <f t="shared" ca="1" si="34"/>
        <v>Provider</v>
      </c>
      <c r="F143" t="str">
        <f t="shared" ca="1" si="34"/>
        <v>RTF</v>
      </c>
      <c r="G143" t="str">
        <f t="shared" ca="1" si="34"/>
        <v>NORTHUMBRIA HEALTHCARE NHS FOUNDATION TRUST (RTF)</v>
      </c>
      <c r="H143" t="str">
        <f t="shared" ca="1" si="34"/>
        <v>EQ-5D Index</v>
      </c>
      <c r="I143">
        <f t="shared" ca="1" si="34"/>
        <v>299</v>
      </c>
      <c r="J143">
        <f t="shared" ca="1" si="34"/>
        <v>0.76800000000000002</v>
      </c>
      <c r="K143">
        <f t="shared" ca="1" si="34"/>
        <v>0.86</v>
      </c>
      <c r="L143">
        <f t="shared" ref="L143:R152" ca="1" si="35">VLOOKUP($A143,Funnel_Data,L$1,FALSE)</f>
        <v>9.0999999999999998E-2</v>
      </c>
      <c r="M143">
        <f t="shared" ca="1" si="35"/>
        <v>164</v>
      </c>
      <c r="N143">
        <f t="shared" ca="1" si="35"/>
        <v>85</v>
      </c>
      <c r="O143">
        <f t="shared" ca="1" si="35"/>
        <v>50</v>
      </c>
      <c r="P143">
        <f t="shared" ca="1" si="35"/>
        <v>0.879</v>
      </c>
      <c r="Q143">
        <f t="shared" ca="1" si="35"/>
        <v>8.6034131E-2</v>
      </c>
      <c r="R143">
        <f t="shared" ca="1" si="35"/>
        <v>0.17</v>
      </c>
      <c r="S143">
        <f t="shared" ca="1" si="30"/>
        <v>299</v>
      </c>
      <c r="T143">
        <f t="shared" ca="1" si="31"/>
        <v>8.6034131E-2</v>
      </c>
      <c r="U143" t="e">
        <f ca="1">IF(AND($C143='Funnel setup'!$K$3&amp;'Funnel setup'!$K$5&amp;'Funnel setup'!$K$6&amp;'Funnel setup'!$K$4,'Funnel Lookup'!I143="*"),#N/A,IF(AND($C143='Funnel setup'!$K$3&amp;'Funnel setup'!$K$5&amp;'Funnel setup'!$K$6&amp;'Funnel setup'!$K$4,'Funnel Lookup'!I143&gt;29),'Funnel Lookup'!I143,#N/A))</f>
        <v>#N/A</v>
      </c>
      <c r="V143" t="e">
        <f ca="1">IF(AND($C143='Funnel setup'!$K$3&amp;'Funnel setup'!$K$5&amp;'Funnel setup'!$K$6&amp;'Funnel setup'!$K$4,'Funnel Lookup'!I143="*"),#N/A,IF(AND($C143='Funnel setup'!$K$3&amp;'Funnel setup'!$K$5&amp;'Funnel setup'!$K$6&amp;'Funnel setup'!$K$4,'Funnel Lookup'!I143&gt;29),'Funnel Lookup'!Q143,#N/A))</f>
        <v>#N/A</v>
      </c>
    </row>
    <row r="144" spans="1:22" x14ac:dyDescent="0.2">
      <c r="A144">
        <v>142</v>
      </c>
      <c r="B144">
        <f t="shared" ca="1" si="34"/>
        <v>142</v>
      </c>
      <c r="C144" t="str">
        <f t="shared" ca="1" si="34"/>
        <v>Groin HerniaProviderNOTTINGHAM UNIVERSITY HOSPITALS NHS TRUST (RX1)EQ-5D Index</v>
      </c>
      <c r="D144" t="str">
        <f t="shared" ca="1" si="34"/>
        <v>Groin Hernia</v>
      </c>
      <c r="E144" t="str">
        <f t="shared" ca="1" si="34"/>
        <v>Provider</v>
      </c>
      <c r="F144" t="str">
        <f t="shared" ca="1" si="34"/>
        <v>RX1</v>
      </c>
      <c r="G144" t="str">
        <f t="shared" ca="1" si="34"/>
        <v>NOTTINGHAM UNIVERSITY HOSPITALS NHS TRUST (RX1)</v>
      </c>
      <c r="H144" t="str">
        <f t="shared" ca="1" si="34"/>
        <v>EQ-5D Index</v>
      </c>
      <c r="I144" t="str">
        <f t="shared" ca="1" si="34"/>
        <v>*</v>
      </c>
      <c r="J144" t="str">
        <f t="shared" ca="1" si="34"/>
        <v>*</v>
      </c>
      <c r="K144" t="str">
        <f t="shared" ca="1" si="34"/>
        <v>*</v>
      </c>
      <c r="L144" t="str">
        <f t="shared" ca="1" si="35"/>
        <v>*</v>
      </c>
      <c r="M144" t="str">
        <f t="shared" ca="1" si="35"/>
        <v>*</v>
      </c>
      <c r="N144" t="str">
        <f t="shared" ca="1" si="35"/>
        <v>*</v>
      </c>
      <c r="O144" t="str">
        <f t="shared" ca="1" si="35"/>
        <v>*</v>
      </c>
      <c r="P144" t="str">
        <f t="shared" ca="1" si="35"/>
        <v>*</v>
      </c>
      <c r="Q144" t="str">
        <f t="shared" ca="1" si="35"/>
        <v>*</v>
      </c>
      <c r="R144" t="str">
        <f t="shared" ca="1" si="35"/>
        <v>*</v>
      </c>
      <c r="S144" t="e">
        <f t="shared" ca="1" si="30"/>
        <v>#N/A</v>
      </c>
      <c r="T144" t="e">
        <f t="shared" ca="1" si="31"/>
        <v>#N/A</v>
      </c>
      <c r="U144" t="e">
        <f ca="1">IF(AND($C144='Funnel setup'!$K$3&amp;'Funnel setup'!$K$5&amp;'Funnel setup'!$K$6&amp;'Funnel setup'!$K$4,'Funnel Lookup'!I144="*"),#N/A,IF(AND($C144='Funnel setup'!$K$3&amp;'Funnel setup'!$K$5&amp;'Funnel setup'!$K$6&amp;'Funnel setup'!$K$4,'Funnel Lookup'!I144&gt;29),'Funnel Lookup'!I144,#N/A))</f>
        <v>#N/A</v>
      </c>
      <c r="V144" t="e">
        <f ca="1">IF(AND($C144='Funnel setup'!$K$3&amp;'Funnel setup'!$K$5&amp;'Funnel setup'!$K$6&amp;'Funnel setup'!$K$4,'Funnel Lookup'!I144="*"),#N/A,IF(AND($C144='Funnel setup'!$K$3&amp;'Funnel setup'!$K$5&amp;'Funnel setup'!$K$6&amp;'Funnel setup'!$K$4,'Funnel Lookup'!I144&gt;29),'Funnel Lookup'!Q144,#N/A))</f>
        <v>#N/A</v>
      </c>
    </row>
    <row r="145" spans="1:22" x14ac:dyDescent="0.2">
      <c r="A145">
        <v>143</v>
      </c>
      <c r="B145">
        <f t="shared" ca="1" si="34"/>
        <v>143</v>
      </c>
      <c r="C145" t="str">
        <f t="shared" ca="1" si="34"/>
        <v>Groin HerniaProviderNUFFIELD HEALTH, BRENTWOOD HOSPITAL (NT204)EQ-5D Index</v>
      </c>
      <c r="D145" t="str">
        <f t="shared" ca="1" si="34"/>
        <v>Groin Hernia</v>
      </c>
      <c r="E145" t="str">
        <f t="shared" ca="1" si="34"/>
        <v>Provider</v>
      </c>
      <c r="F145" t="str">
        <f t="shared" ca="1" si="34"/>
        <v>NT204</v>
      </c>
      <c r="G145" t="str">
        <f t="shared" ca="1" si="34"/>
        <v>NUFFIELD HEALTH, BRENTWOOD HOSPITAL (NT204)</v>
      </c>
      <c r="H145" t="str">
        <f t="shared" ca="1" si="34"/>
        <v>EQ-5D Index</v>
      </c>
      <c r="I145" t="str">
        <f t="shared" ca="1" si="34"/>
        <v>*</v>
      </c>
      <c r="J145" t="str">
        <f t="shared" ca="1" si="34"/>
        <v>*</v>
      </c>
      <c r="K145" t="str">
        <f t="shared" ca="1" si="34"/>
        <v>*</v>
      </c>
      <c r="L145" t="str">
        <f t="shared" ca="1" si="35"/>
        <v>*</v>
      </c>
      <c r="M145" t="str">
        <f t="shared" ca="1" si="35"/>
        <v>*</v>
      </c>
      <c r="N145" t="str">
        <f t="shared" ca="1" si="35"/>
        <v>*</v>
      </c>
      <c r="O145" t="str">
        <f t="shared" ca="1" si="35"/>
        <v>*</v>
      </c>
      <c r="P145" t="str">
        <f t="shared" ca="1" si="35"/>
        <v>*</v>
      </c>
      <c r="Q145" t="str">
        <f t="shared" ca="1" si="35"/>
        <v>*</v>
      </c>
      <c r="R145" t="str">
        <f t="shared" ca="1" si="35"/>
        <v>*</v>
      </c>
      <c r="S145" t="e">
        <f t="shared" ca="1" si="30"/>
        <v>#N/A</v>
      </c>
      <c r="T145" t="e">
        <f t="shared" ca="1" si="31"/>
        <v>#N/A</v>
      </c>
      <c r="U145" t="e">
        <f ca="1">IF(AND($C145='Funnel setup'!$K$3&amp;'Funnel setup'!$K$5&amp;'Funnel setup'!$K$6&amp;'Funnel setup'!$K$4,'Funnel Lookup'!I145="*"),#N/A,IF(AND($C145='Funnel setup'!$K$3&amp;'Funnel setup'!$K$5&amp;'Funnel setup'!$K$6&amp;'Funnel setup'!$K$4,'Funnel Lookup'!I145&gt;29),'Funnel Lookup'!I145,#N/A))</f>
        <v>#N/A</v>
      </c>
      <c r="V145" t="e">
        <f ca="1">IF(AND($C145='Funnel setup'!$K$3&amp;'Funnel setup'!$K$5&amp;'Funnel setup'!$K$6&amp;'Funnel setup'!$K$4,'Funnel Lookup'!I145="*"),#N/A,IF(AND($C145='Funnel setup'!$K$3&amp;'Funnel setup'!$K$5&amp;'Funnel setup'!$K$6&amp;'Funnel setup'!$K$4,'Funnel Lookup'!I145&gt;29),'Funnel Lookup'!Q145,#N/A))</f>
        <v>#N/A</v>
      </c>
    </row>
    <row r="146" spans="1:22" x14ac:dyDescent="0.2">
      <c r="A146">
        <v>144</v>
      </c>
      <c r="B146">
        <f t="shared" ca="1" si="34"/>
        <v>144</v>
      </c>
      <c r="C146" t="str">
        <f t="shared" ca="1" si="34"/>
        <v>Groin HerniaProviderNUFFIELD HEALTH, BRISTOL HOSPITAL (CHESTERFIELD) (NT206)EQ-5D Index</v>
      </c>
      <c r="D146" t="str">
        <f t="shared" ca="1" si="34"/>
        <v>Groin Hernia</v>
      </c>
      <c r="E146" t="str">
        <f t="shared" ca="1" si="34"/>
        <v>Provider</v>
      </c>
      <c r="F146" t="str">
        <f t="shared" ca="1" si="34"/>
        <v>NT206</v>
      </c>
      <c r="G146" t="str">
        <f t="shared" ca="1" si="34"/>
        <v>NUFFIELD HEALTH, BRISTOL HOSPITAL (CHESTERFIELD) (NT206)</v>
      </c>
      <c r="H146" t="str">
        <f t="shared" ca="1" si="34"/>
        <v>EQ-5D Index</v>
      </c>
      <c r="I146" t="str">
        <f t="shared" ca="1" si="34"/>
        <v>*</v>
      </c>
      <c r="J146" t="str">
        <f t="shared" ca="1" si="34"/>
        <v>*</v>
      </c>
      <c r="K146" t="str">
        <f t="shared" ca="1" si="34"/>
        <v>*</v>
      </c>
      <c r="L146" t="str">
        <f t="shared" ca="1" si="35"/>
        <v>*</v>
      </c>
      <c r="M146" t="str">
        <f t="shared" ca="1" si="35"/>
        <v>*</v>
      </c>
      <c r="N146" t="str">
        <f t="shared" ca="1" si="35"/>
        <v>*</v>
      </c>
      <c r="O146" t="str">
        <f t="shared" ca="1" si="35"/>
        <v>*</v>
      </c>
      <c r="P146" t="str">
        <f t="shared" ca="1" si="35"/>
        <v>*</v>
      </c>
      <c r="Q146" t="str">
        <f t="shared" ca="1" si="35"/>
        <v>*</v>
      </c>
      <c r="R146" t="str">
        <f t="shared" ca="1" si="35"/>
        <v>*</v>
      </c>
      <c r="S146" t="e">
        <f t="shared" ca="1" si="30"/>
        <v>#N/A</v>
      </c>
      <c r="T146" t="e">
        <f t="shared" ca="1" si="31"/>
        <v>#N/A</v>
      </c>
      <c r="U146" t="e">
        <f ca="1">IF(AND($C146='Funnel setup'!$K$3&amp;'Funnel setup'!$K$5&amp;'Funnel setup'!$K$6&amp;'Funnel setup'!$K$4,'Funnel Lookup'!I146="*"),#N/A,IF(AND($C146='Funnel setup'!$K$3&amp;'Funnel setup'!$K$5&amp;'Funnel setup'!$K$6&amp;'Funnel setup'!$K$4,'Funnel Lookup'!I146&gt;29),'Funnel Lookup'!I146,#N/A))</f>
        <v>#N/A</v>
      </c>
      <c r="V146" t="e">
        <f ca="1">IF(AND($C146='Funnel setup'!$K$3&amp;'Funnel setup'!$K$5&amp;'Funnel setup'!$K$6&amp;'Funnel setup'!$K$4,'Funnel Lookup'!I146="*"),#N/A,IF(AND($C146='Funnel setup'!$K$3&amp;'Funnel setup'!$K$5&amp;'Funnel setup'!$K$6&amp;'Funnel setup'!$K$4,'Funnel Lookup'!I146&gt;29),'Funnel Lookup'!Q146,#N/A))</f>
        <v>#N/A</v>
      </c>
    </row>
    <row r="147" spans="1:22" x14ac:dyDescent="0.2">
      <c r="A147">
        <v>145</v>
      </c>
      <c r="B147">
        <f t="shared" ca="1" si="34"/>
        <v>145</v>
      </c>
      <c r="C147" t="str">
        <f t="shared" ca="1" si="34"/>
        <v>Groin HerniaProviderNUFFIELD HEALTH, CHELTENHAM HOSPITAL (NT211)EQ-5D Index</v>
      </c>
      <c r="D147" t="str">
        <f t="shared" ca="1" si="34"/>
        <v>Groin Hernia</v>
      </c>
      <c r="E147" t="str">
        <f t="shared" ca="1" si="34"/>
        <v>Provider</v>
      </c>
      <c r="F147" t="str">
        <f t="shared" ca="1" si="34"/>
        <v>NT211</v>
      </c>
      <c r="G147" t="str">
        <f t="shared" ca="1" si="34"/>
        <v>NUFFIELD HEALTH, CHELTENHAM HOSPITAL (NT211)</v>
      </c>
      <c r="H147" t="str">
        <f t="shared" ca="1" si="34"/>
        <v>EQ-5D Index</v>
      </c>
      <c r="I147">
        <f t="shared" ca="1" si="34"/>
        <v>7</v>
      </c>
      <c r="J147">
        <f t="shared" ca="1" si="34"/>
        <v>0.86799999999999999</v>
      </c>
      <c r="K147">
        <f t="shared" ca="1" si="34"/>
        <v>0.96599999999999997</v>
      </c>
      <c r="L147">
        <f t="shared" ca="1" si="35"/>
        <v>9.8000000000000004E-2</v>
      </c>
      <c r="M147">
        <f t="shared" ca="1" si="35"/>
        <v>3</v>
      </c>
      <c r="N147">
        <f t="shared" ca="1" si="35"/>
        <v>3</v>
      </c>
      <c r="O147">
        <f t="shared" ca="1" si="35"/>
        <v>1</v>
      </c>
      <c r="P147" t="str">
        <f t="shared" ca="1" si="35"/>
        <v>*</v>
      </c>
      <c r="Q147" t="str">
        <f t="shared" ca="1" si="35"/>
        <v>*</v>
      </c>
      <c r="R147" t="str">
        <f t="shared" ca="1" si="35"/>
        <v>*</v>
      </c>
      <c r="S147" t="e">
        <f t="shared" ca="1" si="30"/>
        <v>#N/A</v>
      </c>
      <c r="T147" t="e">
        <f t="shared" ca="1" si="31"/>
        <v>#N/A</v>
      </c>
      <c r="U147" t="e">
        <f ca="1">IF(AND($C147='Funnel setup'!$K$3&amp;'Funnel setup'!$K$5&amp;'Funnel setup'!$K$6&amp;'Funnel setup'!$K$4,'Funnel Lookup'!I147="*"),#N/A,IF(AND($C147='Funnel setup'!$K$3&amp;'Funnel setup'!$K$5&amp;'Funnel setup'!$K$6&amp;'Funnel setup'!$K$4,'Funnel Lookup'!I147&gt;29),'Funnel Lookup'!I147,#N/A))</f>
        <v>#N/A</v>
      </c>
      <c r="V147" t="e">
        <f ca="1">IF(AND($C147='Funnel setup'!$K$3&amp;'Funnel setup'!$K$5&amp;'Funnel setup'!$K$6&amp;'Funnel setup'!$K$4,'Funnel Lookup'!I147="*"),#N/A,IF(AND($C147='Funnel setup'!$K$3&amp;'Funnel setup'!$K$5&amp;'Funnel setup'!$K$6&amp;'Funnel setup'!$K$4,'Funnel Lookup'!I147&gt;29),'Funnel Lookup'!Q147,#N/A))</f>
        <v>#N/A</v>
      </c>
    </row>
    <row r="148" spans="1:22" x14ac:dyDescent="0.2">
      <c r="A148">
        <v>146</v>
      </c>
      <c r="B148">
        <f t="shared" ca="1" si="34"/>
        <v>146</v>
      </c>
      <c r="C148" t="str">
        <f t="shared" ca="1" si="34"/>
        <v>Groin HerniaProviderNUFFIELD HEALTH, DERBY HOSPITAL (NT213)EQ-5D Index</v>
      </c>
      <c r="D148" t="str">
        <f t="shared" ca="1" si="34"/>
        <v>Groin Hernia</v>
      </c>
      <c r="E148" t="str">
        <f t="shared" ca="1" si="34"/>
        <v>Provider</v>
      </c>
      <c r="F148" t="str">
        <f t="shared" ca="1" si="34"/>
        <v>NT213</v>
      </c>
      <c r="G148" t="str">
        <f t="shared" ca="1" si="34"/>
        <v>NUFFIELD HEALTH, DERBY HOSPITAL (NT213)</v>
      </c>
      <c r="H148" t="str">
        <f t="shared" ca="1" si="34"/>
        <v>EQ-5D Index</v>
      </c>
      <c r="I148">
        <f t="shared" ca="1" si="34"/>
        <v>9</v>
      </c>
      <c r="J148">
        <f t="shared" ca="1" si="34"/>
        <v>0.70099999999999996</v>
      </c>
      <c r="K148">
        <f t="shared" ca="1" si="34"/>
        <v>0.85799999999999998</v>
      </c>
      <c r="L148">
        <f t="shared" ca="1" si="35"/>
        <v>0.157</v>
      </c>
      <c r="M148">
        <f t="shared" ca="1" si="35"/>
        <v>5</v>
      </c>
      <c r="N148">
        <f t="shared" ca="1" si="35"/>
        <v>4</v>
      </c>
      <c r="O148">
        <f t="shared" ca="1" si="35"/>
        <v>0</v>
      </c>
      <c r="P148" t="str">
        <f t="shared" ca="1" si="35"/>
        <v>*</v>
      </c>
      <c r="Q148" t="str">
        <f t="shared" ca="1" si="35"/>
        <v>*</v>
      </c>
      <c r="R148" t="str">
        <f t="shared" ca="1" si="35"/>
        <v>*</v>
      </c>
      <c r="S148" t="e">
        <f t="shared" ca="1" si="30"/>
        <v>#N/A</v>
      </c>
      <c r="T148" t="e">
        <f t="shared" ca="1" si="31"/>
        <v>#N/A</v>
      </c>
      <c r="U148" t="e">
        <f ca="1">IF(AND($C148='Funnel setup'!$K$3&amp;'Funnel setup'!$K$5&amp;'Funnel setup'!$K$6&amp;'Funnel setup'!$K$4,'Funnel Lookup'!I148="*"),#N/A,IF(AND($C148='Funnel setup'!$K$3&amp;'Funnel setup'!$K$5&amp;'Funnel setup'!$K$6&amp;'Funnel setup'!$K$4,'Funnel Lookup'!I148&gt;29),'Funnel Lookup'!I148,#N/A))</f>
        <v>#N/A</v>
      </c>
      <c r="V148" t="e">
        <f ca="1">IF(AND($C148='Funnel setup'!$K$3&amp;'Funnel setup'!$K$5&amp;'Funnel setup'!$K$6&amp;'Funnel setup'!$K$4,'Funnel Lookup'!I148="*"),#N/A,IF(AND($C148='Funnel setup'!$K$3&amp;'Funnel setup'!$K$5&amp;'Funnel setup'!$K$6&amp;'Funnel setup'!$K$4,'Funnel Lookup'!I148&gt;29),'Funnel Lookup'!Q148,#N/A))</f>
        <v>#N/A</v>
      </c>
    </row>
    <row r="149" spans="1:22" x14ac:dyDescent="0.2">
      <c r="A149">
        <v>147</v>
      </c>
      <c r="B149">
        <f t="shared" ca="1" si="34"/>
        <v>147</v>
      </c>
      <c r="C149" t="str">
        <f t="shared" ca="1" si="34"/>
        <v>Groin HerniaProviderNUFFIELD HEALTH, HEREFORD HOSPITAL (NT219)EQ-5D Index</v>
      </c>
      <c r="D149" t="str">
        <f t="shared" ca="1" si="34"/>
        <v>Groin Hernia</v>
      </c>
      <c r="E149" t="str">
        <f t="shared" ca="1" si="34"/>
        <v>Provider</v>
      </c>
      <c r="F149" t="str">
        <f t="shared" ca="1" si="34"/>
        <v>NT219</v>
      </c>
      <c r="G149" t="str">
        <f t="shared" ca="1" si="34"/>
        <v>NUFFIELD HEALTH, HEREFORD HOSPITAL (NT219)</v>
      </c>
      <c r="H149" t="str">
        <f t="shared" ca="1" si="34"/>
        <v>EQ-5D Index</v>
      </c>
      <c r="I149">
        <f t="shared" ca="1" si="34"/>
        <v>65</v>
      </c>
      <c r="J149">
        <f t="shared" ca="1" si="34"/>
        <v>0.79600000000000004</v>
      </c>
      <c r="K149">
        <f t="shared" ca="1" si="34"/>
        <v>0.90200000000000002</v>
      </c>
      <c r="L149">
        <f t="shared" ca="1" si="35"/>
        <v>0.106</v>
      </c>
      <c r="M149">
        <f t="shared" ca="1" si="35"/>
        <v>40</v>
      </c>
      <c r="N149">
        <f t="shared" ca="1" si="35"/>
        <v>14</v>
      </c>
      <c r="O149">
        <f t="shared" ca="1" si="35"/>
        <v>11</v>
      </c>
      <c r="P149">
        <f t="shared" ca="1" si="35"/>
        <v>0.89</v>
      </c>
      <c r="Q149">
        <f t="shared" ca="1" si="35"/>
        <v>9.6846765000000001E-2</v>
      </c>
      <c r="R149">
        <f t="shared" ca="1" si="35"/>
        <v>0.17399999999999999</v>
      </c>
      <c r="S149">
        <f t="shared" ca="1" si="30"/>
        <v>65</v>
      </c>
      <c r="T149">
        <f t="shared" ca="1" si="31"/>
        <v>9.6846765000000001E-2</v>
      </c>
      <c r="U149" t="e">
        <f ca="1">IF(AND($C149='Funnel setup'!$K$3&amp;'Funnel setup'!$K$5&amp;'Funnel setup'!$K$6&amp;'Funnel setup'!$K$4,'Funnel Lookup'!I149="*"),#N/A,IF(AND($C149='Funnel setup'!$K$3&amp;'Funnel setup'!$K$5&amp;'Funnel setup'!$K$6&amp;'Funnel setup'!$K$4,'Funnel Lookup'!I149&gt;29),'Funnel Lookup'!I149,#N/A))</f>
        <v>#N/A</v>
      </c>
      <c r="V149" t="e">
        <f ca="1">IF(AND($C149='Funnel setup'!$K$3&amp;'Funnel setup'!$K$5&amp;'Funnel setup'!$K$6&amp;'Funnel setup'!$K$4,'Funnel Lookup'!I149="*"),#N/A,IF(AND($C149='Funnel setup'!$K$3&amp;'Funnel setup'!$K$5&amp;'Funnel setup'!$K$6&amp;'Funnel setup'!$K$4,'Funnel Lookup'!I149&gt;29),'Funnel Lookup'!Q149,#N/A))</f>
        <v>#N/A</v>
      </c>
    </row>
    <row r="150" spans="1:22" x14ac:dyDescent="0.2">
      <c r="A150">
        <v>148</v>
      </c>
      <c r="B150">
        <f t="shared" ca="1" si="34"/>
        <v>148</v>
      </c>
      <c r="C150" t="str">
        <f t="shared" ca="1" si="34"/>
        <v>Groin HerniaProviderNUFFIELD HEALTH, IPSWICH HOSPITAL (NT222)EQ-5D Index</v>
      </c>
      <c r="D150" t="str">
        <f t="shared" ca="1" si="34"/>
        <v>Groin Hernia</v>
      </c>
      <c r="E150" t="str">
        <f t="shared" ca="1" si="34"/>
        <v>Provider</v>
      </c>
      <c r="F150" t="str">
        <f t="shared" ca="1" si="34"/>
        <v>NT222</v>
      </c>
      <c r="G150" t="str">
        <f t="shared" ca="1" si="34"/>
        <v>NUFFIELD HEALTH, IPSWICH HOSPITAL (NT222)</v>
      </c>
      <c r="H150" t="str">
        <f t="shared" ca="1" si="34"/>
        <v>EQ-5D Index</v>
      </c>
      <c r="I150">
        <f t="shared" ca="1" si="34"/>
        <v>18</v>
      </c>
      <c r="J150">
        <f t="shared" ca="1" si="34"/>
        <v>0.72499999999999998</v>
      </c>
      <c r="K150">
        <f t="shared" ca="1" si="34"/>
        <v>0.90300000000000002</v>
      </c>
      <c r="L150">
        <f t="shared" ca="1" si="35"/>
        <v>0.17799999999999999</v>
      </c>
      <c r="M150">
        <f t="shared" ca="1" si="35"/>
        <v>11</v>
      </c>
      <c r="N150">
        <f t="shared" ca="1" si="35"/>
        <v>6</v>
      </c>
      <c r="O150">
        <f t="shared" ca="1" si="35"/>
        <v>1</v>
      </c>
      <c r="P150" t="str">
        <f t="shared" ca="1" si="35"/>
        <v>*</v>
      </c>
      <c r="Q150" t="str">
        <f t="shared" ca="1" si="35"/>
        <v>*</v>
      </c>
      <c r="R150" t="str">
        <f t="shared" ca="1" si="35"/>
        <v>*</v>
      </c>
      <c r="S150" t="e">
        <f t="shared" ca="1" si="30"/>
        <v>#N/A</v>
      </c>
      <c r="T150" t="e">
        <f t="shared" ca="1" si="31"/>
        <v>#N/A</v>
      </c>
      <c r="U150" t="e">
        <f ca="1">IF(AND($C150='Funnel setup'!$K$3&amp;'Funnel setup'!$K$5&amp;'Funnel setup'!$K$6&amp;'Funnel setup'!$K$4,'Funnel Lookup'!I150="*"),#N/A,IF(AND($C150='Funnel setup'!$K$3&amp;'Funnel setup'!$K$5&amp;'Funnel setup'!$K$6&amp;'Funnel setup'!$K$4,'Funnel Lookup'!I150&gt;29),'Funnel Lookup'!I150,#N/A))</f>
        <v>#N/A</v>
      </c>
      <c r="V150" t="e">
        <f ca="1">IF(AND($C150='Funnel setup'!$K$3&amp;'Funnel setup'!$K$5&amp;'Funnel setup'!$K$6&amp;'Funnel setup'!$K$4,'Funnel Lookup'!I150="*"),#N/A,IF(AND($C150='Funnel setup'!$K$3&amp;'Funnel setup'!$K$5&amp;'Funnel setup'!$K$6&amp;'Funnel setup'!$K$4,'Funnel Lookup'!I150&gt;29),'Funnel Lookup'!Q150,#N/A))</f>
        <v>#N/A</v>
      </c>
    </row>
    <row r="151" spans="1:22" x14ac:dyDescent="0.2">
      <c r="A151">
        <v>149</v>
      </c>
      <c r="B151">
        <f t="shared" ca="1" si="34"/>
        <v>149</v>
      </c>
      <c r="C151" t="str">
        <f t="shared" ca="1" si="34"/>
        <v>Groin HerniaProviderNUFFIELD HEALTH, LEEDS HOSPITAL (NT225)EQ-5D Index</v>
      </c>
      <c r="D151" t="str">
        <f t="shared" ca="1" si="34"/>
        <v>Groin Hernia</v>
      </c>
      <c r="E151" t="str">
        <f t="shared" ca="1" si="34"/>
        <v>Provider</v>
      </c>
      <c r="F151" t="str">
        <f t="shared" ca="1" si="34"/>
        <v>NT225</v>
      </c>
      <c r="G151" t="str">
        <f t="shared" ca="1" si="34"/>
        <v>NUFFIELD HEALTH, LEEDS HOSPITAL (NT225)</v>
      </c>
      <c r="H151" t="str">
        <f t="shared" ca="1" si="34"/>
        <v>EQ-5D Index</v>
      </c>
      <c r="I151">
        <f t="shared" ca="1" si="34"/>
        <v>36</v>
      </c>
      <c r="J151">
        <f t="shared" ca="1" si="34"/>
        <v>0.80100000000000005</v>
      </c>
      <c r="K151">
        <f t="shared" ca="1" si="34"/>
        <v>0.90400000000000003</v>
      </c>
      <c r="L151">
        <f t="shared" ca="1" si="35"/>
        <v>0.10299999999999999</v>
      </c>
      <c r="M151">
        <f t="shared" ca="1" si="35"/>
        <v>17</v>
      </c>
      <c r="N151">
        <f t="shared" ca="1" si="35"/>
        <v>11</v>
      </c>
      <c r="O151">
        <f t="shared" ca="1" si="35"/>
        <v>8</v>
      </c>
      <c r="P151">
        <f t="shared" ca="1" si="35"/>
        <v>0.88100000000000001</v>
      </c>
      <c r="Q151">
        <f t="shared" ca="1" si="35"/>
        <v>8.7819670000000002E-2</v>
      </c>
      <c r="R151">
        <f t="shared" ca="1" si="35"/>
        <v>0.11700000000000001</v>
      </c>
      <c r="S151">
        <f t="shared" ca="1" si="30"/>
        <v>36</v>
      </c>
      <c r="T151">
        <f t="shared" ca="1" si="31"/>
        <v>8.7819670000000002E-2</v>
      </c>
      <c r="U151" t="e">
        <f ca="1">IF(AND($C151='Funnel setup'!$K$3&amp;'Funnel setup'!$K$5&amp;'Funnel setup'!$K$6&amp;'Funnel setup'!$K$4,'Funnel Lookup'!I151="*"),#N/A,IF(AND($C151='Funnel setup'!$K$3&amp;'Funnel setup'!$K$5&amp;'Funnel setup'!$K$6&amp;'Funnel setup'!$K$4,'Funnel Lookup'!I151&gt;29),'Funnel Lookup'!I151,#N/A))</f>
        <v>#N/A</v>
      </c>
      <c r="V151" t="e">
        <f ca="1">IF(AND($C151='Funnel setup'!$K$3&amp;'Funnel setup'!$K$5&amp;'Funnel setup'!$K$6&amp;'Funnel setup'!$K$4,'Funnel Lookup'!I151="*"),#N/A,IF(AND($C151='Funnel setup'!$K$3&amp;'Funnel setup'!$K$5&amp;'Funnel setup'!$K$6&amp;'Funnel setup'!$K$4,'Funnel Lookup'!I151&gt;29),'Funnel Lookup'!Q151,#N/A))</f>
        <v>#N/A</v>
      </c>
    </row>
    <row r="152" spans="1:22" x14ac:dyDescent="0.2">
      <c r="A152">
        <v>150</v>
      </c>
      <c r="B152">
        <f t="shared" ca="1" si="34"/>
        <v>150</v>
      </c>
      <c r="C152" t="str">
        <f t="shared" ca="1" si="34"/>
        <v>Groin HerniaProviderNUFFIELD HEALTH, LEICESTER HOSPITAL (NT226)EQ-5D Index</v>
      </c>
      <c r="D152" t="str">
        <f t="shared" ca="1" si="34"/>
        <v>Groin Hernia</v>
      </c>
      <c r="E152" t="str">
        <f t="shared" ca="1" si="34"/>
        <v>Provider</v>
      </c>
      <c r="F152" t="str">
        <f t="shared" ca="1" si="34"/>
        <v>NT226</v>
      </c>
      <c r="G152" t="str">
        <f t="shared" ca="1" si="34"/>
        <v>NUFFIELD HEALTH, LEICESTER HOSPITAL (NT226)</v>
      </c>
      <c r="H152" t="str">
        <f t="shared" ca="1" si="34"/>
        <v>EQ-5D Index</v>
      </c>
      <c r="I152">
        <f t="shared" ca="1" si="34"/>
        <v>44</v>
      </c>
      <c r="J152">
        <f t="shared" ca="1" si="34"/>
        <v>0.76</v>
      </c>
      <c r="K152">
        <f t="shared" ca="1" si="34"/>
        <v>0.89800000000000002</v>
      </c>
      <c r="L152">
        <f t="shared" ca="1" si="35"/>
        <v>0.13800000000000001</v>
      </c>
      <c r="M152">
        <f t="shared" ca="1" si="35"/>
        <v>21</v>
      </c>
      <c r="N152">
        <f t="shared" ca="1" si="35"/>
        <v>17</v>
      </c>
      <c r="O152">
        <f t="shared" ca="1" si="35"/>
        <v>6</v>
      </c>
      <c r="P152">
        <f t="shared" ca="1" si="35"/>
        <v>0.91500000000000004</v>
      </c>
      <c r="Q152">
        <f t="shared" ca="1" si="35"/>
        <v>0.121565096</v>
      </c>
      <c r="R152">
        <f t="shared" ca="1" si="35"/>
        <v>0.14299999999999999</v>
      </c>
      <c r="S152">
        <f t="shared" ca="1" si="30"/>
        <v>44</v>
      </c>
      <c r="T152">
        <f t="shared" ca="1" si="31"/>
        <v>0.121565096</v>
      </c>
      <c r="U152" t="e">
        <f ca="1">IF(AND($C152='Funnel setup'!$K$3&amp;'Funnel setup'!$K$5&amp;'Funnel setup'!$K$6&amp;'Funnel setup'!$K$4,'Funnel Lookup'!I152="*"),#N/A,IF(AND($C152='Funnel setup'!$K$3&amp;'Funnel setup'!$K$5&amp;'Funnel setup'!$K$6&amp;'Funnel setup'!$K$4,'Funnel Lookup'!I152&gt;29),'Funnel Lookup'!I152,#N/A))</f>
        <v>#N/A</v>
      </c>
      <c r="V152" t="e">
        <f ca="1">IF(AND($C152='Funnel setup'!$K$3&amp;'Funnel setup'!$K$5&amp;'Funnel setup'!$K$6&amp;'Funnel setup'!$K$4,'Funnel Lookup'!I152="*"),#N/A,IF(AND($C152='Funnel setup'!$K$3&amp;'Funnel setup'!$K$5&amp;'Funnel setup'!$K$6&amp;'Funnel setup'!$K$4,'Funnel Lookup'!I152&gt;29),'Funnel Lookup'!Q152,#N/A))</f>
        <v>#N/A</v>
      </c>
    </row>
    <row r="153" spans="1:22" x14ac:dyDescent="0.2">
      <c r="A153">
        <v>151</v>
      </c>
      <c r="B153">
        <f t="shared" ref="B153:K162" ca="1" si="36">VLOOKUP($A153,Funnel_Data,B$1,FALSE)</f>
        <v>151</v>
      </c>
      <c r="C153" t="str">
        <f t="shared" ca="1" si="36"/>
        <v>Groin HerniaProviderNUFFIELD HEALTH, NEWCASTLE UPON TYNE HOSPITAL (NT229)EQ-5D Index</v>
      </c>
      <c r="D153" t="str">
        <f t="shared" ca="1" si="36"/>
        <v>Groin Hernia</v>
      </c>
      <c r="E153" t="str">
        <f t="shared" ca="1" si="36"/>
        <v>Provider</v>
      </c>
      <c r="F153" t="str">
        <f t="shared" ca="1" si="36"/>
        <v>NT229</v>
      </c>
      <c r="G153" t="str">
        <f t="shared" ca="1" si="36"/>
        <v>NUFFIELD HEALTH, NEWCASTLE UPON TYNE HOSPITAL (NT229)</v>
      </c>
      <c r="H153" t="str">
        <f t="shared" ca="1" si="36"/>
        <v>EQ-5D Index</v>
      </c>
      <c r="I153">
        <f t="shared" ca="1" si="36"/>
        <v>58</v>
      </c>
      <c r="J153">
        <f t="shared" ca="1" si="36"/>
        <v>0.80500000000000005</v>
      </c>
      <c r="K153">
        <f t="shared" ca="1" si="36"/>
        <v>0.86</v>
      </c>
      <c r="L153">
        <f t="shared" ref="L153:R162" ca="1" si="37">VLOOKUP($A153,Funnel_Data,L$1,FALSE)</f>
        <v>5.5E-2</v>
      </c>
      <c r="M153">
        <f t="shared" ca="1" si="37"/>
        <v>30</v>
      </c>
      <c r="N153">
        <f t="shared" ca="1" si="37"/>
        <v>12</v>
      </c>
      <c r="O153">
        <f t="shared" ca="1" si="37"/>
        <v>16</v>
      </c>
      <c r="P153">
        <f t="shared" ca="1" si="37"/>
        <v>0.86799999999999999</v>
      </c>
      <c r="Q153">
        <f t="shared" ca="1" si="37"/>
        <v>7.4759554000000006E-2</v>
      </c>
      <c r="R153">
        <f t="shared" ca="1" si="37"/>
        <v>0.161</v>
      </c>
      <c r="S153">
        <f t="shared" ca="1" si="30"/>
        <v>58</v>
      </c>
      <c r="T153">
        <f t="shared" ca="1" si="31"/>
        <v>7.4759554000000006E-2</v>
      </c>
      <c r="U153" t="e">
        <f ca="1">IF(AND($C153='Funnel setup'!$K$3&amp;'Funnel setup'!$K$5&amp;'Funnel setup'!$K$6&amp;'Funnel setup'!$K$4,'Funnel Lookup'!I153="*"),#N/A,IF(AND($C153='Funnel setup'!$K$3&amp;'Funnel setup'!$K$5&amp;'Funnel setup'!$K$6&amp;'Funnel setup'!$K$4,'Funnel Lookup'!I153&gt;29),'Funnel Lookup'!I153,#N/A))</f>
        <v>#N/A</v>
      </c>
      <c r="V153" t="e">
        <f ca="1">IF(AND($C153='Funnel setup'!$K$3&amp;'Funnel setup'!$K$5&amp;'Funnel setup'!$K$6&amp;'Funnel setup'!$K$4,'Funnel Lookup'!I153="*"),#N/A,IF(AND($C153='Funnel setup'!$K$3&amp;'Funnel setup'!$K$5&amp;'Funnel setup'!$K$6&amp;'Funnel setup'!$K$4,'Funnel Lookup'!I153&gt;29),'Funnel Lookup'!Q153,#N/A))</f>
        <v>#N/A</v>
      </c>
    </row>
    <row r="154" spans="1:22" x14ac:dyDescent="0.2">
      <c r="A154">
        <v>152</v>
      </c>
      <c r="B154">
        <f t="shared" ca="1" si="36"/>
        <v>152</v>
      </c>
      <c r="C154" t="str">
        <f t="shared" ca="1" si="36"/>
        <v>Groin HerniaProviderNUFFIELD HEALTH, NORTH STAFFORDSHIRE HOSPITAL (NT230)EQ-5D Index</v>
      </c>
      <c r="D154" t="str">
        <f t="shared" ca="1" si="36"/>
        <v>Groin Hernia</v>
      </c>
      <c r="E154" t="str">
        <f t="shared" ca="1" si="36"/>
        <v>Provider</v>
      </c>
      <c r="F154" t="str">
        <f t="shared" ca="1" si="36"/>
        <v>NT230</v>
      </c>
      <c r="G154" t="str">
        <f t="shared" ca="1" si="36"/>
        <v>NUFFIELD HEALTH, NORTH STAFFORDSHIRE HOSPITAL (NT230)</v>
      </c>
      <c r="H154" t="str">
        <f t="shared" ca="1" si="36"/>
        <v>EQ-5D Index</v>
      </c>
      <c r="I154">
        <f t="shared" ca="1" si="36"/>
        <v>27</v>
      </c>
      <c r="J154">
        <f t="shared" ca="1" si="36"/>
        <v>0.78</v>
      </c>
      <c r="K154">
        <f t="shared" ca="1" si="36"/>
        <v>0.88600000000000001</v>
      </c>
      <c r="L154">
        <f t="shared" ca="1" si="37"/>
        <v>0.105</v>
      </c>
      <c r="M154">
        <f t="shared" ca="1" si="37"/>
        <v>20</v>
      </c>
      <c r="N154">
        <f t="shared" ca="1" si="37"/>
        <v>5</v>
      </c>
      <c r="O154">
        <f t="shared" ca="1" si="37"/>
        <v>2</v>
      </c>
      <c r="P154" t="str">
        <f t="shared" ca="1" si="37"/>
        <v>*</v>
      </c>
      <c r="Q154" t="str">
        <f t="shared" ca="1" si="37"/>
        <v>*</v>
      </c>
      <c r="R154" t="str">
        <f t="shared" ca="1" si="37"/>
        <v>*</v>
      </c>
      <c r="S154" t="e">
        <f t="shared" ca="1" si="30"/>
        <v>#N/A</v>
      </c>
      <c r="T154" t="e">
        <f t="shared" ca="1" si="31"/>
        <v>#N/A</v>
      </c>
      <c r="U154" t="e">
        <f ca="1">IF(AND($C154='Funnel setup'!$K$3&amp;'Funnel setup'!$K$5&amp;'Funnel setup'!$K$6&amp;'Funnel setup'!$K$4,'Funnel Lookup'!I154="*"),#N/A,IF(AND($C154='Funnel setup'!$K$3&amp;'Funnel setup'!$K$5&amp;'Funnel setup'!$K$6&amp;'Funnel setup'!$K$4,'Funnel Lookup'!I154&gt;29),'Funnel Lookup'!I154,#N/A))</f>
        <v>#N/A</v>
      </c>
      <c r="V154" t="e">
        <f ca="1">IF(AND($C154='Funnel setup'!$K$3&amp;'Funnel setup'!$K$5&amp;'Funnel setup'!$K$6&amp;'Funnel setup'!$K$4,'Funnel Lookup'!I154="*"),#N/A,IF(AND($C154='Funnel setup'!$K$3&amp;'Funnel setup'!$K$5&amp;'Funnel setup'!$K$6&amp;'Funnel setup'!$K$4,'Funnel Lookup'!I154&gt;29),'Funnel Lookup'!Q154,#N/A))</f>
        <v>#N/A</v>
      </c>
    </row>
    <row r="155" spans="1:22" x14ac:dyDescent="0.2">
      <c r="A155">
        <v>153</v>
      </c>
      <c r="B155">
        <f t="shared" ca="1" si="36"/>
        <v>153</v>
      </c>
      <c r="C155" t="str">
        <f t="shared" ca="1" si="36"/>
        <v>Groin HerniaProviderNUFFIELD HEALTH, PLYMOUTH HOSPITAL (NT233)EQ-5D Index</v>
      </c>
      <c r="D155" t="str">
        <f t="shared" ca="1" si="36"/>
        <v>Groin Hernia</v>
      </c>
      <c r="E155" t="str">
        <f t="shared" ca="1" si="36"/>
        <v>Provider</v>
      </c>
      <c r="F155" t="str">
        <f t="shared" ca="1" si="36"/>
        <v>NT233</v>
      </c>
      <c r="G155" t="str">
        <f t="shared" ca="1" si="36"/>
        <v>NUFFIELD HEALTH, PLYMOUTH HOSPITAL (NT233)</v>
      </c>
      <c r="H155" t="str">
        <f t="shared" ca="1" si="36"/>
        <v>EQ-5D Index</v>
      </c>
      <c r="I155">
        <f t="shared" ca="1" si="36"/>
        <v>214</v>
      </c>
      <c r="J155">
        <f t="shared" ca="1" si="36"/>
        <v>0.80700000000000005</v>
      </c>
      <c r="K155">
        <f t="shared" ca="1" si="36"/>
        <v>0.89800000000000002</v>
      </c>
      <c r="L155">
        <f t="shared" ca="1" si="37"/>
        <v>0.09</v>
      </c>
      <c r="M155">
        <f t="shared" ca="1" si="37"/>
        <v>111</v>
      </c>
      <c r="N155">
        <f t="shared" ca="1" si="37"/>
        <v>73</v>
      </c>
      <c r="O155">
        <f t="shared" ca="1" si="37"/>
        <v>30</v>
      </c>
      <c r="P155">
        <f t="shared" ca="1" si="37"/>
        <v>0.877</v>
      </c>
      <c r="Q155">
        <f t="shared" ca="1" si="37"/>
        <v>8.3826815999999998E-2</v>
      </c>
      <c r="R155">
        <f t="shared" ca="1" si="37"/>
        <v>0.14699999999999999</v>
      </c>
      <c r="S155">
        <f t="shared" ca="1" si="30"/>
        <v>214</v>
      </c>
      <c r="T155">
        <f t="shared" ca="1" si="31"/>
        <v>8.3826815999999998E-2</v>
      </c>
      <c r="U155" t="e">
        <f ca="1">IF(AND($C155='Funnel setup'!$K$3&amp;'Funnel setup'!$K$5&amp;'Funnel setup'!$K$6&amp;'Funnel setup'!$K$4,'Funnel Lookup'!I155="*"),#N/A,IF(AND($C155='Funnel setup'!$K$3&amp;'Funnel setup'!$K$5&amp;'Funnel setup'!$K$6&amp;'Funnel setup'!$K$4,'Funnel Lookup'!I155&gt;29),'Funnel Lookup'!I155,#N/A))</f>
        <v>#N/A</v>
      </c>
      <c r="V155" t="e">
        <f ca="1">IF(AND($C155='Funnel setup'!$K$3&amp;'Funnel setup'!$K$5&amp;'Funnel setup'!$K$6&amp;'Funnel setup'!$K$4,'Funnel Lookup'!I155="*"),#N/A,IF(AND($C155='Funnel setup'!$K$3&amp;'Funnel setup'!$K$5&amp;'Funnel setup'!$K$6&amp;'Funnel setup'!$K$4,'Funnel Lookup'!I155&gt;29),'Funnel Lookup'!Q155,#N/A))</f>
        <v>#N/A</v>
      </c>
    </row>
    <row r="156" spans="1:22" x14ac:dyDescent="0.2">
      <c r="A156">
        <v>154</v>
      </c>
      <c r="B156">
        <f t="shared" ca="1" si="36"/>
        <v>154</v>
      </c>
      <c r="C156" t="str">
        <f t="shared" ca="1" si="36"/>
        <v>Groin HerniaProviderNUFFIELD HEALTH, SHREWSBURY HOSPITAL (NT235)EQ-5D Index</v>
      </c>
      <c r="D156" t="str">
        <f t="shared" ca="1" si="36"/>
        <v>Groin Hernia</v>
      </c>
      <c r="E156" t="str">
        <f t="shared" ca="1" si="36"/>
        <v>Provider</v>
      </c>
      <c r="F156" t="str">
        <f t="shared" ca="1" si="36"/>
        <v>NT235</v>
      </c>
      <c r="G156" t="str">
        <f t="shared" ca="1" si="36"/>
        <v>NUFFIELD HEALTH, SHREWSBURY HOSPITAL (NT235)</v>
      </c>
      <c r="H156" t="str">
        <f t="shared" ca="1" si="36"/>
        <v>EQ-5D Index</v>
      </c>
      <c r="I156">
        <f t="shared" ca="1" si="36"/>
        <v>50</v>
      </c>
      <c r="J156">
        <f t="shared" ca="1" si="36"/>
        <v>0.78500000000000003</v>
      </c>
      <c r="K156">
        <f t="shared" ca="1" si="36"/>
        <v>0.9</v>
      </c>
      <c r="L156">
        <f t="shared" ca="1" si="37"/>
        <v>0.115</v>
      </c>
      <c r="M156">
        <f t="shared" ca="1" si="37"/>
        <v>27</v>
      </c>
      <c r="N156">
        <f t="shared" ca="1" si="37"/>
        <v>13</v>
      </c>
      <c r="O156">
        <f t="shared" ca="1" si="37"/>
        <v>10</v>
      </c>
      <c r="P156">
        <f t="shared" ca="1" si="37"/>
        <v>0.89500000000000002</v>
      </c>
      <c r="Q156">
        <f t="shared" ca="1" si="37"/>
        <v>0.101615418</v>
      </c>
      <c r="R156">
        <f t="shared" ca="1" si="37"/>
        <v>0.114</v>
      </c>
      <c r="S156">
        <f t="shared" ca="1" si="30"/>
        <v>50</v>
      </c>
      <c r="T156">
        <f t="shared" ca="1" si="31"/>
        <v>0.101615418</v>
      </c>
      <c r="U156" t="e">
        <f ca="1">IF(AND($C156='Funnel setup'!$K$3&amp;'Funnel setup'!$K$5&amp;'Funnel setup'!$K$6&amp;'Funnel setup'!$K$4,'Funnel Lookup'!I156="*"),#N/A,IF(AND($C156='Funnel setup'!$K$3&amp;'Funnel setup'!$K$5&amp;'Funnel setup'!$K$6&amp;'Funnel setup'!$K$4,'Funnel Lookup'!I156&gt;29),'Funnel Lookup'!I156,#N/A))</f>
        <v>#N/A</v>
      </c>
      <c r="V156" t="e">
        <f ca="1">IF(AND($C156='Funnel setup'!$K$3&amp;'Funnel setup'!$K$5&amp;'Funnel setup'!$K$6&amp;'Funnel setup'!$K$4,'Funnel Lookup'!I156="*"),#N/A,IF(AND($C156='Funnel setup'!$K$3&amp;'Funnel setup'!$K$5&amp;'Funnel setup'!$K$6&amp;'Funnel setup'!$K$4,'Funnel Lookup'!I156&gt;29),'Funnel Lookup'!Q156,#N/A))</f>
        <v>#N/A</v>
      </c>
    </row>
    <row r="157" spans="1:22" x14ac:dyDescent="0.2">
      <c r="A157">
        <v>155</v>
      </c>
      <c r="B157">
        <f t="shared" ca="1" si="36"/>
        <v>155</v>
      </c>
      <c r="C157" t="str">
        <f t="shared" ca="1" si="36"/>
        <v>Groin HerniaProviderNUFFIELD HEALTH, TAUNTON HOSPITAL (NT238)EQ-5D Index</v>
      </c>
      <c r="D157" t="str">
        <f t="shared" ca="1" si="36"/>
        <v>Groin Hernia</v>
      </c>
      <c r="E157" t="str">
        <f t="shared" ca="1" si="36"/>
        <v>Provider</v>
      </c>
      <c r="F157" t="str">
        <f t="shared" ca="1" si="36"/>
        <v>NT238</v>
      </c>
      <c r="G157" t="str">
        <f t="shared" ca="1" si="36"/>
        <v>NUFFIELD HEALTH, TAUNTON HOSPITAL (NT238)</v>
      </c>
      <c r="H157" t="str">
        <f t="shared" ca="1" si="36"/>
        <v>EQ-5D Index</v>
      </c>
      <c r="I157">
        <f t="shared" ca="1" si="36"/>
        <v>59</v>
      </c>
      <c r="J157">
        <f t="shared" ca="1" si="36"/>
        <v>0.81499999999999995</v>
      </c>
      <c r="K157">
        <f t="shared" ca="1" si="36"/>
        <v>0.92800000000000005</v>
      </c>
      <c r="L157">
        <f t="shared" ca="1" si="37"/>
        <v>0.113</v>
      </c>
      <c r="M157">
        <f t="shared" ca="1" si="37"/>
        <v>33</v>
      </c>
      <c r="N157">
        <f t="shared" ca="1" si="37"/>
        <v>20</v>
      </c>
      <c r="O157">
        <f t="shared" ca="1" si="37"/>
        <v>6</v>
      </c>
      <c r="P157">
        <f t="shared" ca="1" si="37"/>
        <v>0.90600000000000003</v>
      </c>
      <c r="Q157">
        <f t="shared" ca="1" si="37"/>
        <v>0.112470717</v>
      </c>
      <c r="R157">
        <f t="shared" ca="1" si="37"/>
        <v>0.11</v>
      </c>
      <c r="S157">
        <f t="shared" ca="1" si="30"/>
        <v>59</v>
      </c>
      <c r="T157">
        <f t="shared" ca="1" si="31"/>
        <v>0.112470717</v>
      </c>
      <c r="U157" t="e">
        <f ca="1">IF(AND($C157='Funnel setup'!$K$3&amp;'Funnel setup'!$K$5&amp;'Funnel setup'!$K$6&amp;'Funnel setup'!$K$4,'Funnel Lookup'!I157="*"),#N/A,IF(AND($C157='Funnel setup'!$K$3&amp;'Funnel setup'!$K$5&amp;'Funnel setup'!$K$6&amp;'Funnel setup'!$K$4,'Funnel Lookup'!I157&gt;29),'Funnel Lookup'!I157,#N/A))</f>
        <v>#N/A</v>
      </c>
      <c r="V157" t="e">
        <f ca="1">IF(AND($C157='Funnel setup'!$K$3&amp;'Funnel setup'!$K$5&amp;'Funnel setup'!$K$6&amp;'Funnel setup'!$K$4,'Funnel Lookup'!I157="*"),#N/A,IF(AND($C157='Funnel setup'!$K$3&amp;'Funnel setup'!$K$5&amp;'Funnel setup'!$K$6&amp;'Funnel setup'!$K$4,'Funnel Lookup'!I157&gt;29),'Funnel Lookup'!Q157,#N/A))</f>
        <v>#N/A</v>
      </c>
    </row>
    <row r="158" spans="1:22" x14ac:dyDescent="0.2">
      <c r="A158">
        <v>156</v>
      </c>
      <c r="B158">
        <f t="shared" ca="1" si="36"/>
        <v>156</v>
      </c>
      <c r="C158" t="str">
        <f t="shared" ca="1" si="36"/>
        <v>Groin HerniaProviderNUFFIELD HEALTH, TEES HOSPITAL (NT237)EQ-5D Index</v>
      </c>
      <c r="D158" t="str">
        <f t="shared" ca="1" si="36"/>
        <v>Groin Hernia</v>
      </c>
      <c r="E158" t="str">
        <f t="shared" ca="1" si="36"/>
        <v>Provider</v>
      </c>
      <c r="F158" t="str">
        <f t="shared" ca="1" si="36"/>
        <v>NT237</v>
      </c>
      <c r="G158" t="str">
        <f t="shared" ca="1" si="36"/>
        <v>NUFFIELD HEALTH, TEES HOSPITAL (NT237)</v>
      </c>
      <c r="H158" t="str">
        <f t="shared" ca="1" si="36"/>
        <v>EQ-5D Index</v>
      </c>
      <c r="I158">
        <f t="shared" ca="1" si="36"/>
        <v>93</v>
      </c>
      <c r="J158">
        <f t="shared" ca="1" si="36"/>
        <v>0.78</v>
      </c>
      <c r="K158">
        <f t="shared" ca="1" si="36"/>
        <v>0.89500000000000002</v>
      </c>
      <c r="L158">
        <f t="shared" ca="1" si="37"/>
        <v>0.115</v>
      </c>
      <c r="M158">
        <f t="shared" ca="1" si="37"/>
        <v>51</v>
      </c>
      <c r="N158">
        <f t="shared" ca="1" si="37"/>
        <v>25</v>
      </c>
      <c r="O158">
        <f t="shared" ca="1" si="37"/>
        <v>17</v>
      </c>
      <c r="P158">
        <f t="shared" ca="1" si="37"/>
        <v>0.88700000000000001</v>
      </c>
      <c r="Q158">
        <f t="shared" ca="1" si="37"/>
        <v>9.3466969999999996E-2</v>
      </c>
      <c r="R158">
        <f t="shared" ca="1" si="37"/>
        <v>0.157</v>
      </c>
      <c r="S158">
        <f t="shared" ca="1" si="30"/>
        <v>93</v>
      </c>
      <c r="T158">
        <f t="shared" ca="1" si="31"/>
        <v>9.3466969999999996E-2</v>
      </c>
      <c r="U158" t="e">
        <f ca="1">IF(AND($C158='Funnel setup'!$K$3&amp;'Funnel setup'!$K$5&amp;'Funnel setup'!$K$6&amp;'Funnel setup'!$K$4,'Funnel Lookup'!I158="*"),#N/A,IF(AND($C158='Funnel setup'!$K$3&amp;'Funnel setup'!$K$5&amp;'Funnel setup'!$K$6&amp;'Funnel setup'!$K$4,'Funnel Lookup'!I158&gt;29),'Funnel Lookup'!I158,#N/A))</f>
        <v>#N/A</v>
      </c>
      <c r="V158" t="e">
        <f ca="1">IF(AND($C158='Funnel setup'!$K$3&amp;'Funnel setup'!$K$5&amp;'Funnel setup'!$K$6&amp;'Funnel setup'!$K$4,'Funnel Lookup'!I158="*"),#N/A,IF(AND($C158='Funnel setup'!$K$3&amp;'Funnel setup'!$K$5&amp;'Funnel setup'!$K$6&amp;'Funnel setup'!$K$4,'Funnel Lookup'!I158&gt;29),'Funnel Lookup'!Q158,#N/A))</f>
        <v>#N/A</v>
      </c>
    </row>
    <row r="159" spans="1:22" x14ac:dyDescent="0.2">
      <c r="A159">
        <v>157</v>
      </c>
      <c r="B159">
        <f t="shared" ca="1" si="36"/>
        <v>157</v>
      </c>
      <c r="C159" t="str">
        <f t="shared" ca="1" si="36"/>
        <v>Groin HerniaProviderNUFFIELD HEALTH, TUNBRIDGE WELLS HOSPITAL (NT239)EQ-5D Index</v>
      </c>
      <c r="D159" t="str">
        <f t="shared" ca="1" si="36"/>
        <v>Groin Hernia</v>
      </c>
      <c r="E159" t="str">
        <f t="shared" ca="1" si="36"/>
        <v>Provider</v>
      </c>
      <c r="F159" t="str">
        <f t="shared" ca="1" si="36"/>
        <v>NT239</v>
      </c>
      <c r="G159" t="str">
        <f t="shared" ca="1" si="36"/>
        <v>NUFFIELD HEALTH, TUNBRIDGE WELLS HOSPITAL (NT239)</v>
      </c>
      <c r="H159" t="str">
        <f t="shared" ca="1" si="36"/>
        <v>EQ-5D Index</v>
      </c>
      <c r="I159">
        <f t="shared" ca="1" si="36"/>
        <v>13</v>
      </c>
      <c r="J159">
        <f t="shared" ca="1" si="36"/>
        <v>0.84399999999999997</v>
      </c>
      <c r="K159">
        <f t="shared" ca="1" si="36"/>
        <v>0.98399999999999999</v>
      </c>
      <c r="L159">
        <f t="shared" ca="1" si="37"/>
        <v>0.14000000000000001</v>
      </c>
      <c r="M159">
        <f t="shared" ca="1" si="37"/>
        <v>5</v>
      </c>
      <c r="N159">
        <f t="shared" ca="1" si="37"/>
        <v>8</v>
      </c>
      <c r="O159">
        <f t="shared" ca="1" si="37"/>
        <v>0</v>
      </c>
      <c r="P159" t="str">
        <f t="shared" ca="1" si="37"/>
        <v>*</v>
      </c>
      <c r="Q159" t="str">
        <f t="shared" ca="1" si="37"/>
        <v>*</v>
      </c>
      <c r="R159" t="str">
        <f t="shared" ca="1" si="37"/>
        <v>*</v>
      </c>
      <c r="S159" t="e">
        <f t="shared" ca="1" si="30"/>
        <v>#N/A</v>
      </c>
      <c r="T159" t="e">
        <f t="shared" ca="1" si="31"/>
        <v>#N/A</v>
      </c>
      <c r="U159" t="e">
        <f ca="1">IF(AND($C159='Funnel setup'!$K$3&amp;'Funnel setup'!$K$5&amp;'Funnel setup'!$K$6&amp;'Funnel setup'!$K$4,'Funnel Lookup'!I159="*"),#N/A,IF(AND($C159='Funnel setup'!$K$3&amp;'Funnel setup'!$K$5&amp;'Funnel setup'!$K$6&amp;'Funnel setup'!$K$4,'Funnel Lookup'!I159&gt;29),'Funnel Lookup'!I159,#N/A))</f>
        <v>#N/A</v>
      </c>
      <c r="V159" t="e">
        <f ca="1">IF(AND($C159='Funnel setup'!$K$3&amp;'Funnel setup'!$K$5&amp;'Funnel setup'!$K$6&amp;'Funnel setup'!$K$4,'Funnel Lookup'!I159="*"),#N/A,IF(AND($C159='Funnel setup'!$K$3&amp;'Funnel setup'!$K$5&amp;'Funnel setup'!$K$6&amp;'Funnel setup'!$K$4,'Funnel Lookup'!I159&gt;29),'Funnel Lookup'!Q159,#N/A))</f>
        <v>#N/A</v>
      </c>
    </row>
    <row r="160" spans="1:22" x14ac:dyDescent="0.2">
      <c r="A160">
        <v>158</v>
      </c>
      <c r="B160">
        <f t="shared" ca="1" si="36"/>
        <v>158</v>
      </c>
      <c r="C160" t="str">
        <f t="shared" ca="1" si="36"/>
        <v>Groin HerniaProviderNUFFIELD HEALTH, WESSEX HOSPITAL (NT214)EQ-5D Index</v>
      </c>
      <c r="D160" t="str">
        <f t="shared" ca="1" si="36"/>
        <v>Groin Hernia</v>
      </c>
      <c r="E160" t="str">
        <f t="shared" ca="1" si="36"/>
        <v>Provider</v>
      </c>
      <c r="F160" t="str">
        <f t="shared" ca="1" si="36"/>
        <v>NT214</v>
      </c>
      <c r="G160" t="str">
        <f t="shared" ca="1" si="36"/>
        <v>NUFFIELD HEALTH, WESSEX HOSPITAL (NT214)</v>
      </c>
      <c r="H160" t="str">
        <f t="shared" ca="1" si="36"/>
        <v>EQ-5D Index</v>
      </c>
      <c r="I160">
        <f t="shared" ca="1" si="36"/>
        <v>11</v>
      </c>
      <c r="J160">
        <f t="shared" ca="1" si="36"/>
        <v>0.90900000000000003</v>
      </c>
      <c r="K160">
        <f t="shared" ca="1" si="36"/>
        <v>0.98899999999999999</v>
      </c>
      <c r="L160">
        <f t="shared" ca="1" si="37"/>
        <v>8.1000000000000003E-2</v>
      </c>
      <c r="M160">
        <f t="shared" ca="1" si="37"/>
        <v>5</v>
      </c>
      <c r="N160">
        <f t="shared" ca="1" si="37"/>
        <v>6</v>
      </c>
      <c r="O160">
        <f t="shared" ca="1" si="37"/>
        <v>0</v>
      </c>
      <c r="P160" t="str">
        <f t="shared" ca="1" si="37"/>
        <v>*</v>
      </c>
      <c r="Q160" t="str">
        <f t="shared" ca="1" si="37"/>
        <v>*</v>
      </c>
      <c r="R160" t="str">
        <f t="shared" ca="1" si="37"/>
        <v>*</v>
      </c>
      <c r="S160" t="e">
        <f t="shared" ca="1" si="30"/>
        <v>#N/A</v>
      </c>
      <c r="T160" t="e">
        <f t="shared" ca="1" si="31"/>
        <v>#N/A</v>
      </c>
      <c r="U160" t="e">
        <f ca="1">IF(AND($C160='Funnel setup'!$K$3&amp;'Funnel setup'!$K$5&amp;'Funnel setup'!$K$6&amp;'Funnel setup'!$K$4,'Funnel Lookup'!I160="*"),#N/A,IF(AND($C160='Funnel setup'!$K$3&amp;'Funnel setup'!$K$5&amp;'Funnel setup'!$K$6&amp;'Funnel setup'!$K$4,'Funnel Lookup'!I160&gt;29),'Funnel Lookup'!I160,#N/A))</f>
        <v>#N/A</v>
      </c>
      <c r="V160" t="e">
        <f ca="1">IF(AND($C160='Funnel setup'!$K$3&amp;'Funnel setup'!$K$5&amp;'Funnel setup'!$K$6&amp;'Funnel setup'!$K$4,'Funnel Lookup'!I160="*"),#N/A,IF(AND($C160='Funnel setup'!$K$3&amp;'Funnel setup'!$K$5&amp;'Funnel setup'!$K$6&amp;'Funnel setup'!$K$4,'Funnel Lookup'!I160&gt;29),'Funnel Lookup'!Q160,#N/A))</f>
        <v>#N/A</v>
      </c>
    </row>
    <row r="161" spans="1:22" x14ac:dyDescent="0.2">
      <c r="A161">
        <v>159</v>
      </c>
      <c r="B161">
        <f t="shared" ca="1" si="36"/>
        <v>159</v>
      </c>
      <c r="C161" t="str">
        <f t="shared" ca="1" si="36"/>
        <v>Groin HerniaProviderNUFFIELD HEALTH, WOKING HOSPITAL (NT241)EQ-5D Index</v>
      </c>
      <c r="D161" t="str">
        <f t="shared" ca="1" si="36"/>
        <v>Groin Hernia</v>
      </c>
      <c r="E161" t="str">
        <f t="shared" ca="1" si="36"/>
        <v>Provider</v>
      </c>
      <c r="F161" t="str">
        <f t="shared" ca="1" si="36"/>
        <v>NT241</v>
      </c>
      <c r="G161" t="str">
        <f t="shared" ca="1" si="36"/>
        <v>NUFFIELD HEALTH, WOKING HOSPITAL (NT241)</v>
      </c>
      <c r="H161" t="str">
        <f t="shared" ca="1" si="36"/>
        <v>EQ-5D Index</v>
      </c>
      <c r="I161">
        <f t="shared" ca="1" si="36"/>
        <v>9</v>
      </c>
      <c r="J161">
        <f t="shared" ca="1" si="36"/>
        <v>0.80600000000000005</v>
      </c>
      <c r="K161">
        <f t="shared" ca="1" si="36"/>
        <v>0.91700000000000004</v>
      </c>
      <c r="L161">
        <f t="shared" ca="1" si="37"/>
        <v>0.111</v>
      </c>
      <c r="M161">
        <f t="shared" ca="1" si="37"/>
        <v>7</v>
      </c>
      <c r="N161">
        <f t="shared" ca="1" si="37"/>
        <v>1</v>
      </c>
      <c r="O161">
        <f t="shared" ca="1" si="37"/>
        <v>1</v>
      </c>
      <c r="P161" t="str">
        <f t="shared" ca="1" si="37"/>
        <v>*</v>
      </c>
      <c r="Q161" t="str">
        <f t="shared" ca="1" si="37"/>
        <v>*</v>
      </c>
      <c r="R161" t="str">
        <f t="shared" ca="1" si="37"/>
        <v>*</v>
      </c>
      <c r="S161" t="e">
        <f t="shared" ca="1" si="30"/>
        <v>#N/A</v>
      </c>
      <c r="T161" t="e">
        <f t="shared" ca="1" si="31"/>
        <v>#N/A</v>
      </c>
      <c r="U161" t="e">
        <f ca="1">IF(AND($C161='Funnel setup'!$K$3&amp;'Funnel setup'!$K$5&amp;'Funnel setup'!$K$6&amp;'Funnel setup'!$K$4,'Funnel Lookup'!I161="*"),#N/A,IF(AND($C161='Funnel setup'!$K$3&amp;'Funnel setup'!$K$5&amp;'Funnel setup'!$K$6&amp;'Funnel setup'!$K$4,'Funnel Lookup'!I161&gt;29),'Funnel Lookup'!I161,#N/A))</f>
        <v>#N/A</v>
      </c>
      <c r="V161" t="e">
        <f ca="1">IF(AND($C161='Funnel setup'!$K$3&amp;'Funnel setup'!$K$5&amp;'Funnel setup'!$K$6&amp;'Funnel setup'!$K$4,'Funnel Lookup'!I161="*"),#N/A,IF(AND($C161='Funnel setup'!$K$3&amp;'Funnel setup'!$K$5&amp;'Funnel setup'!$K$6&amp;'Funnel setup'!$K$4,'Funnel Lookup'!I161&gt;29),'Funnel Lookup'!Q161,#N/A))</f>
        <v>#N/A</v>
      </c>
    </row>
    <row r="162" spans="1:22" x14ac:dyDescent="0.2">
      <c r="A162">
        <v>160</v>
      </c>
      <c r="B162">
        <f t="shared" ca="1" si="36"/>
        <v>160</v>
      </c>
      <c r="C162" t="str">
        <f t="shared" ca="1" si="36"/>
        <v>Groin HerniaProviderNUFFIELD HEALTH, WOLVERHAMPTON HOSPITAL (NT242)EQ-5D Index</v>
      </c>
      <c r="D162" t="str">
        <f t="shared" ca="1" si="36"/>
        <v>Groin Hernia</v>
      </c>
      <c r="E162" t="str">
        <f t="shared" ca="1" si="36"/>
        <v>Provider</v>
      </c>
      <c r="F162" t="str">
        <f t="shared" ca="1" si="36"/>
        <v>NT242</v>
      </c>
      <c r="G162" t="str">
        <f t="shared" ca="1" si="36"/>
        <v>NUFFIELD HEALTH, WOLVERHAMPTON HOSPITAL (NT242)</v>
      </c>
      <c r="H162" t="str">
        <f t="shared" ca="1" si="36"/>
        <v>EQ-5D Index</v>
      </c>
      <c r="I162">
        <f t="shared" ca="1" si="36"/>
        <v>25</v>
      </c>
      <c r="J162">
        <f t="shared" ca="1" si="36"/>
        <v>0.80400000000000005</v>
      </c>
      <c r="K162">
        <f t="shared" ca="1" si="36"/>
        <v>0.90800000000000003</v>
      </c>
      <c r="L162">
        <f t="shared" ca="1" si="37"/>
        <v>0.104</v>
      </c>
      <c r="M162">
        <f t="shared" ca="1" si="37"/>
        <v>13</v>
      </c>
      <c r="N162">
        <f t="shared" ca="1" si="37"/>
        <v>8</v>
      </c>
      <c r="O162">
        <f t="shared" ca="1" si="37"/>
        <v>4</v>
      </c>
      <c r="P162" t="str">
        <f t="shared" ca="1" si="37"/>
        <v>*</v>
      </c>
      <c r="Q162" t="str">
        <f t="shared" ca="1" si="37"/>
        <v>*</v>
      </c>
      <c r="R162" t="str">
        <f t="shared" ca="1" si="37"/>
        <v>*</v>
      </c>
      <c r="S162" t="e">
        <f t="shared" ca="1" si="30"/>
        <v>#N/A</v>
      </c>
      <c r="T162" t="e">
        <f t="shared" ca="1" si="31"/>
        <v>#N/A</v>
      </c>
      <c r="U162" t="e">
        <f ca="1">IF(AND($C162='Funnel setup'!$K$3&amp;'Funnel setup'!$K$5&amp;'Funnel setup'!$K$6&amp;'Funnel setup'!$K$4,'Funnel Lookup'!I162="*"),#N/A,IF(AND($C162='Funnel setup'!$K$3&amp;'Funnel setup'!$K$5&amp;'Funnel setup'!$K$6&amp;'Funnel setup'!$K$4,'Funnel Lookup'!I162&gt;29),'Funnel Lookup'!I162,#N/A))</f>
        <v>#N/A</v>
      </c>
      <c r="V162" t="e">
        <f ca="1">IF(AND($C162='Funnel setup'!$K$3&amp;'Funnel setup'!$K$5&amp;'Funnel setup'!$K$6&amp;'Funnel setup'!$K$4,'Funnel Lookup'!I162="*"),#N/A,IF(AND($C162='Funnel setup'!$K$3&amp;'Funnel setup'!$K$5&amp;'Funnel setup'!$K$6&amp;'Funnel setup'!$K$4,'Funnel Lookup'!I162&gt;29),'Funnel Lookup'!Q162,#N/A))</f>
        <v>#N/A</v>
      </c>
    </row>
    <row r="163" spans="1:22" x14ac:dyDescent="0.2">
      <c r="A163">
        <v>161</v>
      </c>
      <c r="B163">
        <f t="shared" ref="B163:K172" ca="1" si="38">VLOOKUP($A163,Funnel_Data,B$1,FALSE)</f>
        <v>161</v>
      </c>
      <c r="C163" t="str">
        <f t="shared" ca="1" si="38"/>
        <v>Groin HerniaProviderOAKLANDS HOSPITAL (NVC12)EQ-5D Index</v>
      </c>
      <c r="D163" t="str">
        <f t="shared" ca="1" si="38"/>
        <v>Groin Hernia</v>
      </c>
      <c r="E163" t="str">
        <f t="shared" ca="1" si="38"/>
        <v>Provider</v>
      </c>
      <c r="F163" t="str">
        <f t="shared" ca="1" si="38"/>
        <v>NVC12</v>
      </c>
      <c r="G163" t="str">
        <f t="shared" ca="1" si="38"/>
        <v>OAKLANDS HOSPITAL (NVC12)</v>
      </c>
      <c r="H163" t="str">
        <f t="shared" ca="1" si="38"/>
        <v>EQ-5D Index</v>
      </c>
      <c r="I163">
        <f t="shared" ca="1" si="38"/>
        <v>37</v>
      </c>
      <c r="J163">
        <f t="shared" ca="1" si="38"/>
        <v>0.84099999999999997</v>
      </c>
      <c r="K163">
        <f t="shared" ca="1" si="38"/>
        <v>0.90300000000000002</v>
      </c>
      <c r="L163">
        <f t="shared" ref="L163:R172" ca="1" si="39">VLOOKUP($A163,Funnel_Data,L$1,FALSE)</f>
        <v>6.2E-2</v>
      </c>
      <c r="M163">
        <f t="shared" ca="1" si="39"/>
        <v>18</v>
      </c>
      <c r="N163">
        <f t="shared" ca="1" si="39"/>
        <v>11</v>
      </c>
      <c r="O163">
        <f t="shared" ca="1" si="39"/>
        <v>8</v>
      </c>
      <c r="P163">
        <f t="shared" ca="1" si="39"/>
        <v>0.89800000000000002</v>
      </c>
      <c r="Q163">
        <f t="shared" ca="1" si="39"/>
        <v>0.10477222</v>
      </c>
      <c r="R163">
        <f t="shared" ca="1" si="39"/>
        <v>0.104</v>
      </c>
      <c r="S163">
        <f t="shared" ca="1" si="30"/>
        <v>37</v>
      </c>
      <c r="T163">
        <f t="shared" ca="1" si="31"/>
        <v>0.10477222</v>
      </c>
      <c r="U163" t="e">
        <f ca="1">IF(AND($C163='Funnel setup'!$K$3&amp;'Funnel setup'!$K$5&amp;'Funnel setup'!$K$6&amp;'Funnel setup'!$K$4,'Funnel Lookup'!I163="*"),#N/A,IF(AND($C163='Funnel setup'!$K$3&amp;'Funnel setup'!$K$5&amp;'Funnel setup'!$K$6&amp;'Funnel setup'!$K$4,'Funnel Lookup'!I163&gt;29),'Funnel Lookup'!I163,#N/A))</f>
        <v>#N/A</v>
      </c>
      <c r="V163" t="e">
        <f ca="1">IF(AND($C163='Funnel setup'!$K$3&amp;'Funnel setup'!$K$5&amp;'Funnel setup'!$K$6&amp;'Funnel setup'!$K$4,'Funnel Lookup'!I163="*"),#N/A,IF(AND($C163='Funnel setup'!$K$3&amp;'Funnel setup'!$K$5&amp;'Funnel setup'!$K$6&amp;'Funnel setup'!$K$4,'Funnel Lookup'!I163&gt;29),'Funnel Lookup'!Q163,#N/A))</f>
        <v>#N/A</v>
      </c>
    </row>
    <row r="164" spans="1:22" x14ac:dyDescent="0.2">
      <c r="A164">
        <v>162</v>
      </c>
      <c r="B164">
        <f t="shared" ca="1" si="38"/>
        <v>162</v>
      </c>
      <c r="C164" t="str">
        <f t="shared" ca="1" si="38"/>
        <v>Groin HerniaProviderOAKS HOSPITAL (NVC13)EQ-5D Index</v>
      </c>
      <c r="D164" t="str">
        <f t="shared" ca="1" si="38"/>
        <v>Groin Hernia</v>
      </c>
      <c r="E164" t="str">
        <f t="shared" ca="1" si="38"/>
        <v>Provider</v>
      </c>
      <c r="F164" t="str">
        <f t="shared" ca="1" si="38"/>
        <v>NVC13</v>
      </c>
      <c r="G164" t="str">
        <f t="shared" ca="1" si="38"/>
        <v>OAKS HOSPITAL (NVC13)</v>
      </c>
      <c r="H164" t="str">
        <f t="shared" ca="1" si="38"/>
        <v>EQ-5D Index</v>
      </c>
      <c r="I164">
        <f t="shared" ca="1" si="38"/>
        <v>77</v>
      </c>
      <c r="J164">
        <f t="shared" ca="1" si="38"/>
        <v>0.83399999999999996</v>
      </c>
      <c r="K164">
        <f t="shared" ca="1" si="38"/>
        <v>0.91500000000000004</v>
      </c>
      <c r="L164">
        <f t="shared" ca="1" si="39"/>
        <v>8.1000000000000003E-2</v>
      </c>
      <c r="M164">
        <f t="shared" ca="1" si="39"/>
        <v>40</v>
      </c>
      <c r="N164">
        <f t="shared" ca="1" si="39"/>
        <v>27</v>
      </c>
      <c r="O164">
        <f t="shared" ca="1" si="39"/>
        <v>10</v>
      </c>
      <c r="P164">
        <f t="shared" ca="1" si="39"/>
        <v>0.88800000000000001</v>
      </c>
      <c r="Q164">
        <f t="shared" ca="1" si="39"/>
        <v>9.5053023E-2</v>
      </c>
      <c r="R164">
        <f t="shared" ca="1" si="39"/>
        <v>0.13900000000000001</v>
      </c>
      <c r="S164">
        <f t="shared" ca="1" si="30"/>
        <v>77</v>
      </c>
      <c r="T164">
        <f t="shared" ca="1" si="31"/>
        <v>9.5053023E-2</v>
      </c>
      <c r="U164" t="e">
        <f ca="1">IF(AND($C164='Funnel setup'!$K$3&amp;'Funnel setup'!$K$5&amp;'Funnel setup'!$K$6&amp;'Funnel setup'!$K$4,'Funnel Lookup'!I164="*"),#N/A,IF(AND($C164='Funnel setup'!$K$3&amp;'Funnel setup'!$K$5&amp;'Funnel setup'!$K$6&amp;'Funnel setup'!$K$4,'Funnel Lookup'!I164&gt;29),'Funnel Lookup'!I164,#N/A))</f>
        <v>#N/A</v>
      </c>
      <c r="V164" t="e">
        <f ca="1">IF(AND($C164='Funnel setup'!$K$3&amp;'Funnel setup'!$K$5&amp;'Funnel setup'!$K$6&amp;'Funnel setup'!$K$4,'Funnel Lookup'!I164="*"),#N/A,IF(AND($C164='Funnel setup'!$K$3&amp;'Funnel setup'!$K$5&amp;'Funnel setup'!$K$6&amp;'Funnel setup'!$K$4,'Funnel Lookup'!I164&gt;29),'Funnel Lookup'!Q164,#N/A))</f>
        <v>#N/A</v>
      </c>
    </row>
    <row r="165" spans="1:22" x14ac:dyDescent="0.2">
      <c r="A165">
        <v>163</v>
      </c>
      <c r="B165">
        <f t="shared" ca="1" si="38"/>
        <v>163</v>
      </c>
      <c r="C165" t="str">
        <f t="shared" ca="1" si="38"/>
        <v>Groin HerniaProviderONE HEALTH GROUP LTD (NTX01)EQ-5D Index</v>
      </c>
      <c r="D165" t="str">
        <f t="shared" ca="1" si="38"/>
        <v>Groin Hernia</v>
      </c>
      <c r="E165" t="str">
        <f t="shared" ca="1" si="38"/>
        <v>Provider</v>
      </c>
      <c r="F165" t="str">
        <f t="shared" ca="1" si="38"/>
        <v>NTX01</v>
      </c>
      <c r="G165" t="str">
        <f t="shared" ca="1" si="38"/>
        <v>ONE HEALTH GROUP LTD (NTX01)</v>
      </c>
      <c r="H165" t="str">
        <f t="shared" ca="1" si="38"/>
        <v>EQ-5D Index</v>
      </c>
      <c r="I165">
        <f t="shared" ca="1" si="38"/>
        <v>31</v>
      </c>
      <c r="J165">
        <f t="shared" ca="1" si="38"/>
        <v>0.81599999999999995</v>
      </c>
      <c r="K165">
        <f t="shared" ca="1" si="38"/>
        <v>0.94099999999999995</v>
      </c>
      <c r="L165">
        <f t="shared" ca="1" si="39"/>
        <v>0.125</v>
      </c>
      <c r="M165">
        <f t="shared" ca="1" si="39"/>
        <v>16</v>
      </c>
      <c r="N165">
        <f t="shared" ca="1" si="39"/>
        <v>12</v>
      </c>
      <c r="O165">
        <f t="shared" ca="1" si="39"/>
        <v>3</v>
      </c>
      <c r="P165">
        <f t="shared" ca="1" si="39"/>
        <v>0.92400000000000004</v>
      </c>
      <c r="Q165">
        <f t="shared" ca="1" si="39"/>
        <v>0.130356577</v>
      </c>
      <c r="R165">
        <f t="shared" ca="1" si="39"/>
        <v>0.13300000000000001</v>
      </c>
      <c r="S165">
        <f t="shared" ca="1" si="30"/>
        <v>31</v>
      </c>
      <c r="T165">
        <f t="shared" ca="1" si="31"/>
        <v>0.130356577</v>
      </c>
      <c r="U165" t="e">
        <f ca="1">IF(AND($C165='Funnel setup'!$K$3&amp;'Funnel setup'!$K$5&amp;'Funnel setup'!$K$6&amp;'Funnel setup'!$K$4,'Funnel Lookup'!I165="*"),#N/A,IF(AND($C165='Funnel setup'!$K$3&amp;'Funnel setup'!$K$5&amp;'Funnel setup'!$K$6&amp;'Funnel setup'!$K$4,'Funnel Lookup'!I165&gt;29),'Funnel Lookup'!I165,#N/A))</f>
        <v>#N/A</v>
      </c>
      <c r="V165" t="e">
        <f ca="1">IF(AND($C165='Funnel setup'!$K$3&amp;'Funnel setup'!$K$5&amp;'Funnel setup'!$K$6&amp;'Funnel setup'!$K$4,'Funnel Lookup'!I165="*"),#N/A,IF(AND($C165='Funnel setup'!$K$3&amp;'Funnel setup'!$K$5&amp;'Funnel setup'!$K$6&amp;'Funnel setup'!$K$4,'Funnel Lookup'!I165&gt;29),'Funnel Lookup'!Q165,#N/A))</f>
        <v>#N/A</v>
      </c>
    </row>
    <row r="166" spans="1:22" x14ac:dyDescent="0.2">
      <c r="A166">
        <v>164</v>
      </c>
      <c r="B166">
        <f t="shared" ca="1" si="38"/>
        <v>164</v>
      </c>
      <c r="C166" t="str">
        <f t="shared" ca="1" si="38"/>
        <v>Groin HerniaProviderOXFORD UNIVERSITY HOSPITALS NHS FOUNDATION TRUST (RTH)EQ-5D Index</v>
      </c>
      <c r="D166" t="str">
        <f t="shared" ca="1" si="38"/>
        <v>Groin Hernia</v>
      </c>
      <c r="E166" t="str">
        <f t="shared" ca="1" si="38"/>
        <v>Provider</v>
      </c>
      <c r="F166" t="str">
        <f t="shared" ca="1" si="38"/>
        <v>RTH</v>
      </c>
      <c r="G166" t="str">
        <f t="shared" ca="1" si="38"/>
        <v>OXFORD UNIVERSITY HOSPITALS NHS FOUNDATION TRUST (RTH)</v>
      </c>
      <c r="H166" t="str">
        <f t="shared" ca="1" si="38"/>
        <v>EQ-5D Index</v>
      </c>
      <c r="I166">
        <f t="shared" ca="1" si="38"/>
        <v>170</v>
      </c>
      <c r="J166">
        <f t="shared" ca="1" si="38"/>
        <v>0.81299999999999994</v>
      </c>
      <c r="K166">
        <f t="shared" ca="1" si="38"/>
        <v>0.89200000000000002</v>
      </c>
      <c r="L166">
        <f t="shared" ca="1" si="39"/>
        <v>7.8E-2</v>
      </c>
      <c r="M166">
        <f t="shared" ca="1" si="39"/>
        <v>82</v>
      </c>
      <c r="N166">
        <f t="shared" ca="1" si="39"/>
        <v>65</v>
      </c>
      <c r="O166">
        <f t="shared" ca="1" si="39"/>
        <v>23</v>
      </c>
      <c r="P166">
        <f t="shared" ca="1" si="39"/>
        <v>0.88200000000000001</v>
      </c>
      <c r="Q166">
        <f t="shared" ca="1" si="39"/>
        <v>8.8665896999999994E-2</v>
      </c>
      <c r="R166">
        <f t="shared" ca="1" si="39"/>
        <v>0.14399999999999999</v>
      </c>
      <c r="S166">
        <f t="shared" ca="1" si="30"/>
        <v>170</v>
      </c>
      <c r="T166">
        <f t="shared" ca="1" si="31"/>
        <v>8.8665896999999994E-2</v>
      </c>
      <c r="U166" t="e">
        <f ca="1">IF(AND($C166='Funnel setup'!$K$3&amp;'Funnel setup'!$K$5&amp;'Funnel setup'!$K$6&amp;'Funnel setup'!$K$4,'Funnel Lookup'!I166="*"),#N/A,IF(AND($C166='Funnel setup'!$K$3&amp;'Funnel setup'!$K$5&amp;'Funnel setup'!$K$6&amp;'Funnel setup'!$K$4,'Funnel Lookup'!I166&gt;29),'Funnel Lookup'!I166,#N/A))</f>
        <v>#N/A</v>
      </c>
      <c r="V166" t="e">
        <f ca="1">IF(AND($C166='Funnel setup'!$K$3&amp;'Funnel setup'!$K$5&amp;'Funnel setup'!$K$6&amp;'Funnel setup'!$K$4,'Funnel Lookup'!I166="*"),#N/A,IF(AND($C166='Funnel setup'!$K$3&amp;'Funnel setup'!$K$5&amp;'Funnel setup'!$K$6&amp;'Funnel setup'!$K$4,'Funnel Lookup'!I166&gt;29),'Funnel Lookup'!Q166,#N/A))</f>
        <v>#N/A</v>
      </c>
    </row>
    <row r="167" spans="1:22" x14ac:dyDescent="0.2">
      <c r="A167">
        <v>165</v>
      </c>
      <c r="B167">
        <f t="shared" ca="1" si="38"/>
        <v>165</v>
      </c>
      <c r="C167" t="str">
        <f t="shared" ca="1" si="38"/>
        <v>Groin HerniaProviderPENNINE ACUTE HOSPITALS NHS TRUST (RW6)EQ-5D Index</v>
      </c>
      <c r="D167" t="str">
        <f t="shared" ca="1" si="38"/>
        <v>Groin Hernia</v>
      </c>
      <c r="E167" t="str">
        <f t="shared" ca="1" si="38"/>
        <v>Provider</v>
      </c>
      <c r="F167" t="str">
        <f t="shared" ca="1" si="38"/>
        <v>RW6</v>
      </c>
      <c r="G167" t="str">
        <f t="shared" ca="1" si="38"/>
        <v>PENNINE ACUTE HOSPITALS NHS TRUST (RW6)</v>
      </c>
      <c r="H167" t="str">
        <f t="shared" ca="1" si="38"/>
        <v>EQ-5D Index</v>
      </c>
      <c r="I167">
        <f t="shared" ca="1" si="38"/>
        <v>65</v>
      </c>
      <c r="J167">
        <f t="shared" ca="1" si="38"/>
        <v>0.78100000000000003</v>
      </c>
      <c r="K167">
        <f t="shared" ca="1" si="38"/>
        <v>0.875</v>
      </c>
      <c r="L167">
        <f t="shared" ca="1" si="39"/>
        <v>9.4E-2</v>
      </c>
      <c r="M167">
        <f t="shared" ca="1" si="39"/>
        <v>37</v>
      </c>
      <c r="N167">
        <f t="shared" ca="1" si="39"/>
        <v>18</v>
      </c>
      <c r="O167">
        <f t="shared" ca="1" si="39"/>
        <v>10</v>
      </c>
      <c r="P167">
        <f t="shared" ca="1" si="39"/>
        <v>0.89300000000000002</v>
      </c>
      <c r="Q167">
        <f t="shared" ca="1" si="39"/>
        <v>9.9950194000000006E-2</v>
      </c>
      <c r="R167">
        <f t="shared" ca="1" si="39"/>
        <v>0.13400000000000001</v>
      </c>
      <c r="S167">
        <f t="shared" ca="1" si="30"/>
        <v>65</v>
      </c>
      <c r="T167">
        <f t="shared" ca="1" si="31"/>
        <v>9.9950194000000006E-2</v>
      </c>
      <c r="U167" t="e">
        <f ca="1">IF(AND($C167='Funnel setup'!$K$3&amp;'Funnel setup'!$K$5&amp;'Funnel setup'!$K$6&amp;'Funnel setup'!$K$4,'Funnel Lookup'!I167="*"),#N/A,IF(AND($C167='Funnel setup'!$K$3&amp;'Funnel setup'!$K$5&amp;'Funnel setup'!$K$6&amp;'Funnel setup'!$K$4,'Funnel Lookup'!I167&gt;29),'Funnel Lookup'!I167,#N/A))</f>
        <v>#N/A</v>
      </c>
      <c r="V167" t="e">
        <f ca="1">IF(AND($C167='Funnel setup'!$K$3&amp;'Funnel setup'!$K$5&amp;'Funnel setup'!$K$6&amp;'Funnel setup'!$K$4,'Funnel Lookup'!I167="*"),#N/A,IF(AND($C167='Funnel setup'!$K$3&amp;'Funnel setup'!$K$5&amp;'Funnel setup'!$K$6&amp;'Funnel setup'!$K$4,'Funnel Lookup'!I167&gt;29),'Funnel Lookup'!Q167,#N/A))</f>
        <v>#N/A</v>
      </c>
    </row>
    <row r="168" spans="1:22" x14ac:dyDescent="0.2">
      <c r="A168">
        <v>166</v>
      </c>
      <c r="B168">
        <f t="shared" ca="1" si="38"/>
        <v>166</v>
      </c>
      <c r="C168" t="str">
        <f t="shared" ca="1" si="38"/>
        <v>Groin HerniaProviderPETERBOROUGH AND STAMFORD HOSPITALS NHS FOUNDATION TRUST (RGN)EQ-5D Index</v>
      </c>
      <c r="D168" t="str">
        <f t="shared" ca="1" si="38"/>
        <v>Groin Hernia</v>
      </c>
      <c r="E168" t="str">
        <f t="shared" ca="1" si="38"/>
        <v>Provider</v>
      </c>
      <c r="F168" t="str">
        <f t="shared" ca="1" si="38"/>
        <v>RGN</v>
      </c>
      <c r="G168" t="str">
        <f t="shared" ca="1" si="38"/>
        <v>PETERBOROUGH AND STAMFORD HOSPITALS NHS FOUNDATION TRUST (RGN)</v>
      </c>
      <c r="H168" t="str">
        <f t="shared" ca="1" si="38"/>
        <v>EQ-5D Index</v>
      </c>
      <c r="I168">
        <f t="shared" ca="1" si="38"/>
        <v>154</v>
      </c>
      <c r="J168">
        <f t="shared" ca="1" si="38"/>
        <v>0.78500000000000003</v>
      </c>
      <c r="K168">
        <f t="shared" ca="1" si="38"/>
        <v>0.88700000000000001</v>
      </c>
      <c r="L168">
        <f t="shared" ca="1" si="39"/>
        <v>0.10199999999999999</v>
      </c>
      <c r="M168">
        <f t="shared" ca="1" si="39"/>
        <v>81</v>
      </c>
      <c r="N168">
        <f t="shared" ca="1" si="39"/>
        <v>47</v>
      </c>
      <c r="O168">
        <f t="shared" ca="1" si="39"/>
        <v>26</v>
      </c>
      <c r="P168">
        <f t="shared" ca="1" si="39"/>
        <v>0.89700000000000002</v>
      </c>
      <c r="Q168">
        <f t="shared" ca="1" si="39"/>
        <v>0.10350071199999999</v>
      </c>
      <c r="R168">
        <f t="shared" ca="1" si="39"/>
        <v>0.14899999999999999</v>
      </c>
      <c r="S168">
        <f t="shared" ca="1" si="30"/>
        <v>154</v>
      </c>
      <c r="T168">
        <f t="shared" ca="1" si="31"/>
        <v>0.10350071199999999</v>
      </c>
      <c r="U168" t="e">
        <f ca="1">IF(AND($C168='Funnel setup'!$K$3&amp;'Funnel setup'!$K$5&amp;'Funnel setup'!$K$6&amp;'Funnel setup'!$K$4,'Funnel Lookup'!I168="*"),#N/A,IF(AND($C168='Funnel setup'!$K$3&amp;'Funnel setup'!$K$5&amp;'Funnel setup'!$K$6&amp;'Funnel setup'!$K$4,'Funnel Lookup'!I168&gt;29),'Funnel Lookup'!I168,#N/A))</f>
        <v>#N/A</v>
      </c>
      <c r="V168" t="e">
        <f ca="1">IF(AND($C168='Funnel setup'!$K$3&amp;'Funnel setup'!$K$5&amp;'Funnel setup'!$K$6&amp;'Funnel setup'!$K$4,'Funnel Lookup'!I168="*"),#N/A,IF(AND($C168='Funnel setup'!$K$3&amp;'Funnel setup'!$K$5&amp;'Funnel setup'!$K$6&amp;'Funnel setup'!$K$4,'Funnel Lookup'!I168&gt;29),'Funnel Lookup'!Q168,#N/A))</f>
        <v>#N/A</v>
      </c>
    </row>
    <row r="169" spans="1:22" x14ac:dyDescent="0.2">
      <c r="A169">
        <v>167</v>
      </c>
      <c r="B169">
        <f t="shared" ca="1" si="38"/>
        <v>167</v>
      </c>
      <c r="C169" t="str">
        <f t="shared" ca="1" si="38"/>
        <v>Groin HerniaProviderPINEHILL HOSPITAL (NVC15)EQ-5D Index</v>
      </c>
      <c r="D169" t="str">
        <f t="shared" ca="1" si="38"/>
        <v>Groin Hernia</v>
      </c>
      <c r="E169" t="str">
        <f t="shared" ca="1" si="38"/>
        <v>Provider</v>
      </c>
      <c r="F169" t="str">
        <f t="shared" ca="1" si="38"/>
        <v>NVC15</v>
      </c>
      <c r="G169" t="str">
        <f t="shared" ca="1" si="38"/>
        <v>PINEHILL HOSPITAL (NVC15)</v>
      </c>
      <c r="H169" t="str">
        <f t="shared" ca="1" si="38"/>
        <v>EQ-5D Index</v>
      </c>
      <c r="I169">
        <f t="shared" ca="1" si="38"/>
        <v>34</v>
      </c>
      <c r="J169">
        <f t="shared" ca="1" si="38"/>
        <v>0.8</v>
      </c>
      <c r="K169">
        <f t="shared" ca="1" si="38"/>
        <v>0.93200000000000005</v>
      </c>
      <c r="L169">
        <f t="shared" ca="1" si="39"/>
        <v>0.13200000000000001</v>
      </c>
      <c r="M169">
        <f t="shared" ca="1" si="39"/>
        <v>19</v>
      </c>
      <c r="N169">
        <f t="shared" ca="1" si="39"/>
        <v>11</v>
      </c>
      <c r="O169">
        <f t="shared" ca="1" si="39"/>
        <v>4</v>
      </c>
      <c r="P169">
        <f t="shared" ca="1" si="39"/>
        <v>0.91800000000000004</v>
      </c>
      <c r="Q169">
        <f t="shared" ca="1" si="39"/>
        <v>0.124148895</v>
      </c>
      <c r="R169">
        <f t="shared" ca="1" si="39"/>
        <v>0.10299999999999999</v>
      </c>
      <c r="S169">
        <f t="shared" ca="1" si="30"/>
        <v>34</v>
      </c>
      <c r="T169">
        <f t="shared" ca="1" si="31"/>
        <v>0.124148895</v>
      </c>
      <c r="U169" t="e">
        <f ca="1">IF(AND($C169='Funnel setup'!$K$3&amp;'Funnel setup'!$K$5&amp;'Funnel setup'!$K$6&amp;'Funnel setup'!$K$4,'Funnel Lookup'!I169="*"),#N/A,IF(AND($C169='Funnel setup'!$K$3&amp;'Funnel setup'!$K$5&amp;'Funnel setup'!$K$6&amp;'Funnel setup'!$K$4,'Funnel Lookup'!I169&gt;29),'Funnel Lookup'!I169,#N/A))</f>
        <v>#N/A</v>
      </c>
      <c r="V169" t="e">
        <f ca="1">IF(AND($C169='Funnel setup'!$K$3&amp;'Funnel setup'!$K$5&amp;'Funnel setup'!$K$6&amp;'Funnel setup'!$K$4,'Funnel Lookup'!I169="*"),#N/A,IF(AND($C169='Funnel setup'!$K$3&amp;'Funnel setup'!$K$5&amp;'Funnel setup'!$K$6&amp;'Funnel setup'!$K$4,'Funnel Lookup'!I169&gt;29),'Funnel Lookup'!Q169,#N/A))</f>
        <v>#N/A</v>
      </c>
    </row>
    <row r="170" spans="1:22" x14ac:dyDescent="0.2">
      <c r="A170">
        <v>168</v>
      </c>
      <c r="B170">
        <f t="shared" ca="1" si="38"/>
        <v>168</v>
      </c>
      <c r="C170" t="str">
        <f t="shared" ca="1" si="38"/>
        <v>Groin HerniaProviderPLYMOUTH HOSPITALS NHS TRUST (RK9)EQ-5D Index</v>
      </c>
      <c r="D170" t="str">
        <f t="shared" ca="1" si="38"/>
        <v>Groin Hernia</v>
      </c>
      <c r="E170" t="str">
        <f t="shared" ca="1" si="38"/>
        <v>Provider</v>
      </c>
      <c r="F170" t="str">
        <f t="shared" ca="1" si="38"/>
        <v>RK9</v>
      </c>
      <c r="G170" t="str">
        <f t="shared" ca="1" si="38"/>
        <v>PLYMOUTH HOSPITALS NHS TRUST (RK9)</v>
      </c>
      <c r="H170" t="str">
        <f t="shared" ca="1" si="38"/>
        <v>EQ-5D Index</v>
      </c>
      <c r="I170">
        <f t="shared" ca="1" si="38"/>
        <v>55</v>
      </c>
      <c r="J170">
        <f t="shared" ca="1" si="38"/>
        <v>0.79300000000000004</v>
      </c>
      <c r="K170">
        <f t="shared" ca="1" si="38"/>
        <v>0.88200000000000001</v>
      </c>
      <c r="L170">
        <f t="shared" ca="1" si="39"/>
        <v>8.8999999999999996E-2</v>
      </c>
      <c r="M170">
        <f t="shared" ca="1" si="39"/>
        <v>26</v>
      </c>
      <c r="N170">
        <f t="shared" ca="1" si="39"/>
        <v>19</v>
      </c>
      <c r="O170">
        <f t="shared" ca="1" si="39"/>
        <v>10</v>
      </c>
      <c r="P170">
        <f t="shared" ca="1" si="39"/>
        <v>0.89700000000000002</v>
      </c>
      <c r="Q170">
        <f t="shared" ca="1" si="39"/>
        <v>0.103635694</v>
      </c>
      <c r="R170">
        <f t="shared" ca="1" si="39"/>
        <v>0.157</v>
      </c>
      <c r="S170">
        <f t="shared" ca="1" si="30"/>
        <v>55</v>
      </c>
      <c r="T170">
        <f t="shared" ca="1" si="31"/>
        <v>0.103635694</v>
      </c>
      <c r="U170" t="e">
        <f ca="1">IF(AND($C170='Funnel setup'!$K$3&amp;'Funnel setup'!$K$5&amp;'Funnel setup'!$K$6&amp;'Funnel setup'!$K$4,'Funnel Lookup'!I170="*"),#N/A,IF(AND($C170='Funnel setup'!$K$3&amp;'Funnel setup'!$K$5&amp;'Funnel setup'!$K$6&amp;'Funnel setup'!$K$4,'Funnel Lookup'!I170&gt;29),'Funnel Lookup'!I170,#N/A))</f>
        <v>#N/A</v>
      </c>
      <c r="V170" t="e">
        <f ca="1">IF(AND($C170='Funnel setup'!$K$3&amp;'Funnel setup'!$K$5&amp;'Funnel setup'!$K$6&amp;'Funnel setup'!$K$4,'Funnel Lookup'!I170="*"),#N/A,IF(AND($C170='Funnel setup'!$K$3&amp;'Funnel setup'!$K$5&amp;'Funnel setup'!$K$6&amp;'Funnel setup'!$K$4,'Funnel Lookup'!I170&gt;29),'Funnel Lookup'!Q170,#N/A))</f>
        <v>#N/A</v>
      </c>
    </row>
    <row r="171" spans="1:22" x14ac:dyDescent="0.2">
      <c r="A171">
        <v>169</v>
      </c>
      <c r="B171">
        <f t="shared" ca="1" si="38"/>
        <v>169</v>
      </c>
      <c r="C171" t="str">
        <f t="shared" ca="1" si="38"/>
        <v>Groin HerniaProviderPOOLE HOSPITAL NHS FOUNDATION TRUST (RD3)EQ-5D Index</v>
      </c>
      <c r="D171" t="str">
        <f t="shared" ca="1" si="38"/>
        <v>Groin Hernia</v>
      </c>
      <c r="E171" t="str">
        <f t="shared" ca="1" si="38"/>
        <v>Provider</v>
      </c>
      <c r="F171" t="str">
        <f t="shared" ca="1" si="38"/>
        <v>RD3</v>
      </c>
      <c r="G171" t="str">
        <f t="shared" ca="1" si="38"/>
        <v>POOLE HOSPITAL NHS FOUNDATION TRUST (RD3)</v>
      </c>
      <c r="H171" t="str">
        <f t="shared" ca="1" si="38"/>
        <v>EQ-5D Index</v>
      </c>
      <c r="I171">
        <f t="shared" ca="1" si="38"/>
        <v>55</v>
      </c>
      <c r="J171">
        <f t="shared" ca="1" si="38"/>
        <v>0.77600000000000002</v>
      </c>
      <c r="K171">
        <f t="shared" ca="1" si="38"/>
        <v>0.94</v>
      </c>
      <c r="L171">
        <f t="shared" ca="1" si="39"/>
        <v>0.16400000000000001</v>
      </c>
      <c r="M171">
        <f t="shared" ca="1" si="39"/>
        <v>35</v>
      </c>
      <c r="N171">
        <f t="shared" ca="1" si="39"/>
        <v>14</v>
      </c>
      <c r="O171">
        <f t="shared" ca="1" si="39"/>
        <v>6</v>
      </c>
      <c r="P171">
        <f t="shared" ca="1" si="39"/>
        <v>0.94699999999999995</v>
      </c>
      <c r="Q171">
        <f t="shared" ca="1" si="39"/>
        <v>0.15411097200000001</v>
      </c>
      <c r="R171">
        <f t="shared" ca="1" si="39"/>
        <v>0.109</v>
      </c>
      <c r="S171">
        <f t="shared" ca="1" si="30"/>
        <v>55</v>
      </c>
      <c r="T171">
        <f t="shared" ca="1" si="31"/>
        <v>0.15411097200000001</v>
      </c>
      <c r="U171" t="e">
        <f ca="1">IF(AND($C171='Funnel setup'!$K$3&amp;'Funnel setup'!$K$5&amp;'Funnel setup'!$K$6&amp;'Funnel setup'!$K$4,'Funnel Lookup'!I171="*"),#N/A,IF(AND($C171='Funnel setup'!$K$3&amp;'Funnel setup'!$K$5&amp;'Funnel setup'!$K$6&amp;'Funnel setup'!$K$4,'Funnel Lookup'!I171&gt;29),'Funnel Lookup'!I171,#N/A))</f>
        <v>#N/A</v>
      </c>
      <c r="V171" t="e">
        <f ca="1">IF(AND($C171='Funnel setup'!$K$3&amp;'Funnel setup'!$K$5&amp;'Funnel setup'!$K$6&amp;'Funnel setup'!$K$4,'Funnel Lookup'!I171="*"),#N/A,IF(AND($C171='Funnel setup'!$K$3&amp;'Funnel setup'!$K$5&amp;'Funnel setup'!$K$6&amp;'Funnel setup'!$K$4,'Funnel Lookup'!I171&gt;29),'Funnel Lookup'!Q171,#N/A))</f>
        <v>#N/A</v>
      </c>
    </row>
    <row r="172" spans="1:22" x14ac:dyDescent="0.2">
      <c r="A172">
        <v>170</v>
      </c>
      <c r="B172">
        <f t="shared" ca="1" si="38"/>
        <v>170</v>
      </c>
      <c r="C172" t="str">
        <f t="shared" ca="1" si="38"/>
        <v>Groin HerniaProviderPORTSMOUTH HOSPITALS NHS TRUST (RHU)EQ-5D Index</v>
      </c>
      <c r="D172" t="str">
        <f t="shared" ca="1" si="38"/>
        <v>Groin Hernia</v>
      </c>
      <c r="E172" t="str">
        <f t="shared" ca="1" si="38"/>
        <v>Provider</v>
      </c>
      <c r="F172" t="str">
        <f t="shared" ca="1" si="38"/>
        <v>RHU</v>
      </c>
      <c r="G172" t="str">
        <f t="shared" ca="1" si="38"/>
        <v>PORTSMOUTH HOSPITALS NHS TRUST (RHU)</v>
      </c>
      <c r="H172" t="str">
        <f t="shared" ca="1" si="38"/>
        <v>EQ-5D Index</v>
      </c>
      <c r="I172">
        <f t="shared" ca="1" si="38"/>
        <v>76</v>
      </c>
      <c r="J172">
        <f t="shared" ca="1" si="38"/>
        <v>0.80400000000000005</v>
      </c>
      <c r="K172">
        <f t="shared" ca="1" si="38"/>
        <v>0.89</v>
      </c>
      <c r="L172">
        <f t="shared" ca="1" si="39"/>
        <v>8.5000000000000006E-2</v>
      </c>
      <c r="M172">
        <f t="shared" ca="1" si="39"/>
        <v>37</v>
      </c>
      <c r="N172">
        <f t="shared" ca="1" si="39"/>
        <v>24</v>
      </c>
      <c r="O172">
        <f t="shared" ca="1" si="39"/>
        <v>15</v>
      </c>
      <c r="P172">
        <f t="shared" ca="1" si="39"/>
        <v>0.88200000000000001</v>
      </c>
      <c r="Q172">
        <f t="shared" ca="1" si="39"/>
        <v>8.8446668000000006E-2</v>
      </c>
      <c r="R172">
        <f t="shared" ca="1" si="39"/>
        <v>0.13600000000000001</v>
      </c>
      <c r="S172">
        <f t="shared" ca="1" si="30"/>
        <v>76</v>
      </c>
      <c r="T172">
        <f t="shared" ca="1" si="31"/>
        <v>8.8446668000000006E-2</v>
      </c>
      <c r="U172" t="e">
        <f ca="1">IF(AND($C172='Funnel setup'!$K$3&amp;'Funnel setup'!$K$5&amp;'Funnel setup'!$K$6&amp;'Funnel setup'!$K$4,'Funnel Lookup'!I172="*"),#N/A,IF(AND($C172='Funnel setup'!$K$3&amp;'Funnel setup'!$K$5&amp;'Funnel setup'!$K$6&amp;'Funnel setup'!$K$4,'Funnel Lookup'!I172&gt;29),'Funnel Lookup'!I172,#N/A))</f>
        <v>#N/A</v>
      </c>
      <c r="V172" t="e">
        <f ca="1">IF(AND($C172='Funnel setup'!$K$3&amp;'Funnel setup'!$K$5&amp;'Funnel setup'!$K$6&amp;'Funnel setup'!$K$4,'Funnel Lookup'!I172="*"),#N/A,IF(AND($C172='Funnel setup'!$K$3&amp;'Funnel setup'!$K$5&amp;'Funnel setup'!$K$6&amp;'Funnel setup'!$K$4,'Funnel Lookup'!I172&gt;29),'Funnel Lookup'!Q172,#N/A))</f>
        <v>#N/A</v>
      </c>
    </row>
    <row r="173" spans="1:22" x14ac:dyDescent="0.2">
      <c r="A173">
        <v>171</v>
      </c>
      <c r="B173">
        <f t="shared" ref="B173:K182" ca="1" si="40">VLOOKUP($A173,Funnel_Data,B$1,FALSE)</f>
        <v>171</v>
      </c>
      <c r="C173" t="str">
        <f t="shared" ca="1" si="40"/>
        <v>Groin HerniaProviderRENACRES HOSPITAL (NVC16)EQ-5D Index</v>
      </c>
      <c r="D173" t="str">
        <f t="shared" ca="1" si="40"/>
        <v>Groin Hernia</v>
      </c>
      <c r="E173" t="str">
        <f t="shared" ca="1" si="40"/>
        <v>Provider</v>
      </c>
      <c r="F173" t="str">
        <f t="shared" ca="1" si="40"/>
        <v>NVC16</v>
      </c>
      <c r="G173" t="str">
        <f t="shared" ca="1" si="40"/>
        <v>RENACRES HOSPITAL (NVC16)</v>
      </c>
      <c r="H173" t="str">
        <f t="shared" ca="1" si="40"/>
        <v>EQ-5D Index</v>
      </c>
      <c r="I173">
        <f t="shared" ca="1" si="40"/>
        <v>82</v>
      </c>
      <c r="J173">
        <f t="shared" ca="1" si="40"/>
        <v>0.76600000000000001</v>
      </c>
      <c r="K173">
        <f t="shared" ca="1" si="40"/>
        <v>0.86099999999999999</v>
      </c>
      <c r="L173">
        <f t="shared" ref="L173:R182" ca="1" si="41">VLOOKUP($A173,Funnel_Data,L$1,FALSE)</f>
        <v>9.5000000000000001E-2</v>
      </c>
      <c r="M173">
        <f t="shared" ca="1" si="41"/>
        <v>44</v>
      </c>
      <c r="N173">
        <f t="shared" ca="1" si="41"/>
        <v>25</v>
      </c>
      <c r="O173">
        <f t="shared" ca="1" si="41"/>
        <v>13</v>
      </c>
      <c r="P173">
        <f t="shared" ca="1" si="41"/>
        <v>0.874</v>
      </c>
      <c r="Q173">
        <f t="shared" ca="1" si="41"/>
        <v>8.0986986999999996E-2</v>
      </c>
      <c r="R173">
        <f t="shared" ca="1" si="41"/>
        <v>0.17399999999999999</v>
      </c>
      <c r="S173">
        <f t="shared" ca="1" si="30"/>
        <v>82</v>
      </c>
      <c r="T173">
        <f t="shared" ca="1" si="31"/>
        <v>8.0986986999999996E-2</v>
      </c>
      <c r="U173" t="e">
        <f ca="1">IF(AND($C173='Funnel setup'!$K$3&amp;'Funnel setup'!$K$5&amp;'Funnel setup'!$K$6&amp;'Funnel setup'!$K$4,'Funnel Lookup'!I173="*"),#N/A,IF(AND($C173='Funnel setup'!$K$3&amp;'Funnel setup'!$K$5&amp;'Funnel setup'!$K$6&amp;'Funnel setup'!$K$4,'Funnel Lookup'!I173&gt;29),'Funnel Lookup'!I173,#N/A))</f>
        <v>#N/A</v>
      </c>
      <c r="V173" t="e">
        <f ca="1">IF(AND($C173='Funnel setup'!$K$3&amp;'Funnel setup'!$K$5&amp;'Funnel setup'!$K$6&amp;'Funnel setup'!$K$4,'Funnel Lookup'!I173="*"),#N/A,IF(AND($C173='Funnel setup'!$K$3&amp;'Funnel setup'!$K$5&amp;'Funnel setup'!$K$6&amp;'Funnel setup'!$K$4,'Funnel Lookup'!I173&gt;29),'Funnel Lookup'!Q173,#N/A))</f>
        <v>#N/A</v>
      </c>
    </row>
    <row r="174" spans="1:22" x14ac:dyDescent="0.2">
      <c r="A174">
        <v>172</v>
      </c>
      <c r="B174">
        <f t="shared" ca="1" si="40"/>
        <v>172</v>
      </c>
      <c r="C174" t="str">
        <f t="shared" ca="1" si="40"/>
        <v>Groin HerniaProviderRIVERS HOSPITAL (NVC19)EQ-5D Index</v>
      </c>
      <c r="D174" t="str">
        <f t="shared" ca="1" si="40"/>
        <v>Groin Hernia</v>
      </c>
      <c r="E174" t="str">
        <f t="shared" ca="1" si="40"/>
        <v>Provider</v>
      </c>
      <c r="F174" t="str">
        <f t="shared" ca="1" si="40"/>
        <v>NVC19</v>
      </c>
      <c r="G174" t="str">
        <f t="shared" ca="1" si="40"/>
        <v>RIVERS HOSPITAL (NVC19)</v>
      </c>
      <c r="H174" t="str">
        <f t="shared" ca="1" si="40"/>
        <v>EQ-5D Index</v>
      </c>
      <c r="I174">
        <f t="shared" ca="1" si="40"/>
        <v>111</v>
      </c>
      <c r="J174">
        <f t="shared" ca="1" si="40"/>
        <v>0.77700000000000002</v>
      </c>
      <c r="K174">
        <f t="shared" ca="1" si="40"/>
        <v>0.88400000000000001</v>
      </c>
      <c r="L174">
        <f t="shared" ca="1" si="41"/>
        <v>0.107</v>
      </c>
      <c r="M174">
        <f t="shared" ca="1" si="41"/>
        <v>53</v>
      </c>
      <c r="N174">
        <f t="shared" ca="1" si="41"/>
        <v>47</v>
      </c>
      <c r="O174">
        <f t="shared" ca="1" si="41"/>
        <v>11</v>
      </c>
      <c r="P174">
        <f t="shared" ca="1" si="41"/>
        <v>0.875</v>
      </c>
      <c r="Q174">
        <f t="shared" ca="1" si="41"/>
        <v>8.1219313000000001E-2</v>
      </c>
      <c r="R174">
        <f t="shared" ca="1" si="41"/>
        <v>0.14299999999999999</v>
      </c>
      <c r="S174">
        <f t="shared" ca="1" si="30"/>
        <v>111</v>
      </c>
      <c r="T174">
        <f t="shared" ca="1" si="31"/>
        <v>8.1219313000000001E-2</v>
      </c>
      <c r="U174" t="e">
        <f ca="1">IF(AND($C174='Funnel setup'!$K$3&amp;'Funnel setup'!$K$5&amp;'Funnel setup'!$K$6&amp;'Funnel setup'!$K$4,'Funnel Lookup'!I174="*"),#N/A,IF(AND($C174='Funnel setup'!$K$3&amp;'Funnel setup'!$K$5&amp;'Funnel setup'!$K$6&amp;'Funnel setup'!$K$4,'Funnel Lookup'!I174&gt;29),'Funnel Lookup'!I174,#N/A))</f>
        <v>#N/A</v>
      </c>
      <c r="V174" t="e">
        <f ca="1">IF(AND($C174='Funnel setup'!$K$3&amp;'Funnel setup'!$K$5&amp;'Funnel setup'!$K$6&amp;'Funnel setup'!$K$4,'Funnel Lookup'!I174="*"),#N/A,IF(AND($C174='Funnel setup'!$K$3&amp;'Funnel setup'!$K$5&amp;'Funnel setup'!$K$6&amp;'Funnel setup'!$K$4,'Funnel Lookup'!I174&gt;29),'Funnel Lookup'!Q174,#N/A))</f>
        <v>#N/A</v>
      </c>
    </row>
    <row r="175" spans="1:22" x14ac:dyDescent="0.2">
      <c r="A175">
        <v>173</v>
      </c>
      <c r="B175">
        <f t="shared" ca="1" si="40"/>
        <v>173</v>
      </c>
      <c r="C175" t="str">
        <f t="shared" ca="1" si="40"/>
        <v>Groin HerniaProviderROWLEY HALL HOSPITAL (NVC17)EQ-5D Index</v>
      </c>
      <c r="D175" t="str">
        <f t="shared" ca="1" si="40"/>
        <v>Groin Hernia</v>
      </c>
      <c r="E175" t="str">
        <f t="shared" ca="1" si="40"/>
        <v>Provider</v>
      </c>
      <c r="F175" t="str">
        <f t="shared" ca="1" si="40"/>
        <v>NVC17</v>
      </c>
      <c r="G175" t="str">
        <f t="shared" ca="1" si="40"/>
        <v>ROWLEY HALL HOSPITAL (NVC17)</v>
      </c>
      <c r="H175" t="str">
        <f t="shared" ca="1" si="40"/>
        <v>EQ-5D Index</v>
      </c>
      <c r="I175">
        <f t="shared" ca="1" si="40"/>
        <v>27</v>
      </c>
      <c r="J175">
        <f t="shared" ca="1" si="40"/>
        <v>0.83099999999999996</v>
      </c>
      <c r="K175">
        <f t="shared" ca="1" si="40"/>
        <v>0.871</v>
      </c>
      <c r="L175">
        <f t="shared" ca="1" si="41"/>
        <v>3.9E-2</v>
      </c>
      <c r="M175">
        <f t="shared" ca="1" si="41"/>
        <v>12</v>
      </c>
      <c r="N175">
        <f t="shared" ca="1" si="41"/>
        <v>9</v>
      </c>
      <c r="O175">
        <f t="shared" ca="1" si="41"/>
        <v>6</v>
      </c>
      <c r="P175" t="str">
        <f t="shared" ca="1" si="41"/>
        <v>*</v>
      </c>
      <c r="Q175" t="str">
        <f t="shared" ca="1" si="41"/>
        <v>*</v>
      </c>
      <c r="R175" t="str">
        <f t="shared" ca="1" si="41"/>
        <v>*</v>
      </c>
      <c r="S175" t="e">
        <f t="shared" ca="1" si="30"/>
        <v>#N/A</v>
      </c>
      <c r="T175" t="e">
        <f t="shared" ca="1" si="31"/>
        <v>#N/A</v>
      </c>
      <c r="U175" t="e">
        <f ca="1">IF(AND($C175='Funnel setup'!$K$3&amp;'Funnel setup'!$K$5&amp;'Funnel setup'!$K$6&amp;'Funnel setup'!$K$4,'Funnel Lookup'!I175="*"),#N/A,IF(AND($C175='Funnel setup'!$K$3&amp;'Funnel setup'!$K$5&amp;'Funnel setup'!$K$6&amp;'Funnel setup'!$K$4,'Funnel Lookup'!I175&gt;29),'Funnel Lookup'!I175,#N/A))</f>
        <v>#N/A</v>
      </c>
      <c r="V175" t="e">
        <f ca="1">IF(AND($C175='Funnel setup'!$K$3&amp;'Funnel setup'!$K$5&amp;'Funnel setup'!$K$6&amp;'Funnel setup'!$K$4,'Funnel Lookup'!I175="*"),#N/A,IF(AND($C175='Funnel setup'!$K$3&amp;'Funnel setup'!$K$5&amp;'Funnel setup'!$K$6&amp;'Funnel setup'!$K$4,'Funnel Lookup'!I175&gt;29),'Funnel Lookup'!Q175,#N/A))</f>
        <v>#N/A</v>
      </c>
    </row>
    <row r="176" spans="1:22" x14ac:dyDescent="0.2">
      <c r="A176">
        <v>174</v>
      </c>
      <c r="B176">
        <f t="shared" ca="1" si="40"/>
        <v>174</v>
      </c>
      <c r="C176" t="str">
        <f t="shared" ca="1" si="40"/>
        <v>Groin HerniaProviderROYAL BERKSHIRE NHS FOUNDATION TRUST (RHW)EQ-5D Index</v>
      </c>
      <c r="D176" t="str">
        <f t="shared" ca="1" si="40"/>
        <v>Groin Hernia</v>
      </c>
      <c r="E176" t="str">
        <f t="shared" ca="1" si="40"/>
        <v>Provider</v>
      </c>
      <c r="F176" t="str">
        <f t="shared" ca="1" si="40"/>
        <v>RHW</v>
      </c>
      <c r="G176" t="str">
        <f t="shared" ca="1" si="40"/>
        <v>ROYAL BERKSHIRE NHS FOUNDATION TRUST (RHW)</v>
      </c>
      <c r="H176" t="str">
        <f t="shared" ca="1" si="40"/>
        <v>EQ-5D Index</v>
      </c>
      <c r="I176">
        <f t="shared" ca="1" si="40"/>
        <v>71</v>
      </c>
      <c r="J176">
        <f t="shared" ca="1" si="40"/>
        <v>0.80200000000000005</v>
      </c>
      <c r="K176">
        <f t="shared" ca="1" si="40"/>
        <v>0.88700000000000001</v>
      </c>
      <c r="L176">
        <f t="shared" ca="1" si="41"/>
        <v>8.5000000000000006E-2</v>
      </c>
      <c r="M176">
        <f t="shared" ca="1" si="41"/>
        <v>36</v>
      </c>
      <c r="N176">
        <f t="shared" ca="1" si="41"/>
        <v>25</v>
      </c>
      <c r="O176">
        <f t="shared" ca="1" si="41"/>
        <v>10</v>
      </c>
      <c r="P176">
        <f t="shared" ca="1" si="41"/>
        <v>0.873</v>
      </c>
      <c r="Q176">
        <f t="shared" ca="1" si="41"/>
        <v>7.9829477999999995E-2</v>
      </c>
      <c r="R176">
        <f t="shared" ca="1" si="41"/>
        <v>0.156</v>
      </c>
      <c r="S176">
        <f t="shared" ca="1" si="30"/>
        <v>71</v>
      </c>
      <c r="T176">
        <f t="shared" ca="1" si="31"/>
        <v>7.9829477999999995E-2</v>
      </c>
      <c r="U176" t="e">
        <f ca="1">IF(AND($C176='Funnel setup'!$K$3&amp;'Funnel setup'!$K$5&amp;'Funnel setup'!$K$6&amp;'Funnel setup'!$K$4,'Funnel Lookup'!I176="*"),#N/A,IF(AND($C176='Funnel setup'!$K$3&amp;'Funnel setup'!$K$5&amp;'Funnel setup'!$K$6&amp;'Funnel setup'!$K$4,'Funnel Lookup'!I176&gt;29),'Funnel Lookup'!I176,#N/A))</f>
        <v>#N/A</v>
      </c>
      <c r="V176" t="e">
        <f ca="1">IF(AND($C176='Funnel setup'!$K$3&amp;'Funnel setup'!$K$5&amp;'Funnel setup'!$K$6&amp;'Funnel setup'!$K$4,'Funnel Lookup'!I176="*"),#N/A,IF(AND($C176='Funnel setup'!$K$3&amp;'Funnel setup'!$K$5&amp;'Funnel setup'!$K$6&amp;'Funnel setup'!$K$4,'Funnel Lookup'!I176&gt;29),'Funnel Lookup'!Q176,#N/A))</f>
        <v>#N/A</v>
      </c>
    </row>
    <row r="177" spans="1:22" x14ac:dyDescent="0.2">
      <c r="A177">
        <v>175</v>
      </c>
      <c r="B177">
        <f t="shared" ca="1" si="40"/>
        <v>175</v>
      </c>
      <c r="C177" t="str">
        <f t="shared" ca="1" si="40"/>
        <v>Groin HerniaProviderROYAL CORNWALL HOSPITALS NHS TRUST (REF)EQ-5D Index</v>
      </c>
      <c r="D177" t="str">
        <f t="shared" ca="1" si="40"/>
        <v>Groin Hernia</v>
      </c>
      <c r="E177" t="str">
        <f t="shared" ca="1" si="40"/>
        <v>Provider</v>
      </c>
      <c r="F177" t="str">
        <f t="shared" ca="1" si="40"/>
        <v>REF</v>
      </c>
      <c r="G177" t="str">
        <f t="shared" ca="1" si="40"/>
        <v>ROYAL CORNWALL HOSPITALS NHS TRUST (REF)</v>
      </c>
      <c r="H177" t="str">
        <f t="shared" ca="1" si="40"/>
        <v>EQ-5D Index</v>
      </c>
      <c r="I177">
        <f t="shared" ca="1" si="40"/>
        <v>109</v>
      </c>
      <c r="J177">
        <f t="shared" ca="1" si="40"/>
        <v>0.82099999999999995</v>
      </c>
      <c r="K177">
        <f t="shared" ca="1" si="40"/>
        <v>0.88700000000000001</v>
      </c>
      <c r="L177">
        <f t="shared" ca="1" si="41"/>
        <v>6.6000000000000003E-2</v>
      </c>
      <c r="M177">
        <f t="shared" ca="1" si="41"/>
        <v>55</v>
      </c>
      <c r="N177">
        <f t="shared" ca="1" si="41"/>
        <v>38</v>
      </c>
      <c r="O177">
        <f t="shared" ca="1" si="41"/>
        <v>16</v>
      </c>
      <c r="P177">
        <f t="shared" ca="1" si="41"/>
        <v>0.88600000000000001</v>
      </c>
      <c r="Q177">
        <f t="shared" ca="1" si="41"/>
        <v>9.2522706999999996E-2</v>
      </c>
      <c r="R177">
        <f t="shared" ca="1" si="41"/>
        <v>0.13400000000000001</v>
      </c>
      <c r="S177">
        <f t="shared" ca="1" si="30"/>
        <v>109</v>
      </c>
      <c r="T177">
        <f t="shared" ca="1" si="31"/>
        <v>9.2522706999999996E-2</v>
      </c>
      <c r="U177" t="e">
        <f ca="1">IF(AND($C177='Funnel setup'!$K$3&amp;'Funnel setup'!$K$5&amp;'Funnel setup'!$K$6&amp;'Funnel setup'!$K$4,'Funnel Lookup'!I177="*"),#N/A,IF(AND($C177='Funnel setup'!$K$3&amp;'Funnel setup'!$K$5&amp;'Funnel setup'!$K$6&amp;'Funnel setup'!$K$4,'Funnel Lookup'!I177&gt;29),'Funnel Lookup'!I177,#N/A))</f>
        <v>#N/A</v>
      </c>
      <c r="V177" t="e">
        <f ca="1">IF(AND($C177='Funnel setup'!$K$3&amp;'Funnel setup'!$K$5&amp;'Funnel setup'!$K$6&amp;'Funnel setup'!$K$4,'Funnel Lookup'!I177="*"),#N/A,IF(AND($C177='Funnel setup'!$K$3&amp;'Funnel setup'!$K$5&amp;'Funnel setup'!$K$6&amp;'Funnel setup'!$K$4,'Funnel Lookup'!I177&gt;29),'Funnel Lookup'!Q177,#N/A))</f>
        <v>#N/A</v>
      </c>
    </row>
    <row r="178" spans="1:22" x14ac:dyDescent="0.2">
      <c r="A178">
        <v>176</v>
      </c>
      <c r="B178">
        <f t="shared" ca="1" si="40"/>
        <v>176</v>
      </c>
      <c r="C178" t="str">
        <f t="shared" ca="1" si="40"/>
        <v>Groin HerniaProviderROYAL DEVON AND EXETER NHS FOUNDATION TRUST (RH8)EQ-5D Index</v>
      </c>
      <c r="D178" t="str">
        <f t="shared" ca="1" si="40"/>
        <v>Groin Hernia</v>
      </c>
      <c r="E178" t="str">
        <f t="shared" ca="1" si="40"/>
        <v>Provider</v>
      </c>
      <c r="F178" t="str">
        <f t="shared" ca="1" si="40"/>
        <v>RH8</v>
      </c>
      <c r="G178" t="str">
        <f t="shared" ca="1" si="40"/>
        <v>ROYAL DEVON AND EXETER NHS FOUNDATION TRUST (RH8)</v>
      </c>
      <c r="H178" t="str">
        <f t="shared" ca="1" si="40"/>
        <v>EQ-5D Index</v>
      </c>
      <c r="I178">
        <f t="shared" ca="1" si="40"/>
        <v>238</v>
      </c>
      <c r="J178">
        <f t="shared" ca="1" si="40"/>
        <v>0.76100000000000001</v>
      </c>
      <c r="K178">
        <f t="shared" ca="1" si="40"/>
        <v>0.89500000000000002</v>
      </c>
      <c r="L178">
        <f t="shared" ca="1" si="41"/>
        <v>0.13400000000000001</v>
      </c>
      <c r="M178">
        <f t="shared" ca="1" si="41"/>
        <v>145</v>
      </c>
      <c r="N178">
        <f t="shared" ca="1" si="41"/>
        <v>67</v>
      </c>
      <c r="O178">
        <f t="shared" ca="1" si="41"/>
        <v>26</v>
      </c>
      <c r="P178">
        <f t="shared" ca="1" si="41"/>
        <v>0.89400000000000002</v>
      </c>
      <c r="Q178">
        <f t="shared" ca="1" si="41"/>
        <v>0.10103403499999999</v>
      </c>
      <c r="R178">
        <f t="shared" ca="1" si="41"/>
        <v>0.14899999999999999</v>
      </c>
      <c r="S178">
        <f t="shared" ca="1" si="30"/>
        <v>238</v>
      </c>
      <c r="T178">
        <f t="shared" ca="1" si="31"/>
        <v>0.10103403499999999</v>
      </c>
      <c r="U178" t="e">
        <f ca="1">IF(AND($C178='Funnel setup'!$K$3&amp;'Funnel setup'!$K$5&amp;'Funnel setup'!$K$6&amp;'Funnel setup'!$K$4,'Funnel Lookup'!I178="*"),#N/A,IF(AND($C178='Funnel setup'!$K$3&amp;'Funnel setup'!$K$5&amp;'Funnel setup'!$K$6&amp;'Funnel setup'!$K$4,'Funnel Lookup'!I178&gt;29),'Funnel Lookup'!I178,#N/A))</f>
        <v>#N/A</v>
      </c>
      <c r="V178" t="e">
        <f ca="1">IF(AND($C178='Funnel setup'!$K$3&amp;'Funnel setup'!$K$5&amp;'Funnel setup'!$K$6&amp;'Funnel setup'!$K$4,'Funnel Lookup'!I178="*"),#N/A,IF(AND($C178='Funnel setup'!$K$3&amp;'Funnel setup'!$K$5&amp;'Funnel setup'!$K$6&amp;'Funnel setup'!$K$4,'Funnel Lookup'!I178&gt;29),'Funnel Lookup'!Q178,#N/A))</f>
        <v>#N/A</v>
      </c>
    </row>
    <row r="179" spans="1:22" x14ac:dyDescent="0.2">
      <c r="A179">
        <v>177</v>
      </c>
      <c r="B179">
        <f t="shared" ca="1" si="40"/>
        <v>177</v>
      </c>
      <c r="C179" t="str">
        <f t="shared" ca="1" si="40"/>
        <v>Groin HerniaProviderROYAL FREE LONDON NHS FOUNDATION TRUST (RAL)EQ-5D Index</v>
      </c>
      <c r="D179" t="str">
        <f t="shared" ca="1" si="40"/>
        <v>Groin Hernia</v>
      </c>
      <c r="E179" t="str">
        <f t="shared" ca="1" si="40"/>
        <v>Provider</v>
      </c>
      <c r="F179" t="str">
        <f t="shared" ca="1" si="40"/>
        <v>RAL</v>
      </c>
      <c r="G179" t="str">
        <f t="shared" ca="1" si="40"/>
        <v>ROYAL FREE LONDON NHS FOUNDATION TRUST (RAL)</v>
      </c>
      <c r="H179" t="str">
        <f t="shared" ca="1" si="40"/>
        <v>EQ-5D Index</v>
      </c>
      <c r="I179">
        <f t="shared" ca="1" si="40"/>
        <v>18</v>
      </c>
      <c r="J179">
        <f t="shared" ca="1" si="40"/>
        <v>0.77200000000000002</v>
      </c>
      <c r="K179">
        <f t="shared" ca="1" si="40"/>
        <v>0.80200000000000005</v>
      </c>
      <c r="L179">
        <f t="shared" ca="1" si="41"/>
        <v>0.03</v>
      </c>
      <c r="M179">
        <f t="shared" ca="1" si="41"/>
        <v>10</v>
      </c>
      <c r="N179">
        <f t="shared" ca="1" si="41"/>
        <v>4</v>
      </c>
      <c r="O179">
        <f t="shared" ca="1" si="41"/>
        <v>4</v>
      </c>
      <c r="P179" t="str">
        <f t="shared" ca="1" si="41"/>
        <v>*</v>
      </c>
      <c r="Q179" t="str">
        <f t="shared" ca="1" si="41"/>
        <v>*</v>
      </c>
      <c r="R179" t="str">
        <f t="shared" ca="1" si="41"/>
        <v>*</v>
      </c>
      <c r="S179" t="e">
        <f t="shared" ca="1" si="30"/>
        <v>#N/A</v>
      </c>
      <c r="T179" t="e">
        <f t="shared" ca="1" si="31"/>
        <v>#N/A</v>
      </c>
      <c r="U179" t="e">
        <f ca="1">IF(AND($C179='Funnel setup'!$K$3&amp;'Funnel setup'!$K$5&amp;'Funnel setup'!$K$6&amp;'Funnel setup'!$K$4,'Funnel Lookup'!I179="*"),#N/A,IF(AND($C179='Funnel setup'!$K$3&amp;'Funnel setup'!$K$5&amp;'Funnel setup'!$K$6&amp;'Funnel setup'!$K$4,'Funnel Lookup'!I179&gt;29),'Funnel Lookup'!I179,#N/A))</f>
        <v>#N/A</v>
      </c>
      <c r="V179" t="e">
        <f ca="1">IF(AND($C179='Funnel setup'!$K$3&amp;'Funnel setup'!$K$5&amp;'Funnel setup'!$K$6&amp;'Funnel setup'!$K$4,'Funnel Lookup'!I179="*"),#N/A,IF(AND($C179='Funnel setup'!$K$3&amp;'Funnel setup'!$K$5&amp;'Funnel setup'!$K$6&amp;'Funnel setup'!$K$4,'Funnel Lookup'!I179&gt;29),'Funnel Lookup'!Q179,#N/A))</f>
        <v>#N/A</v>
      </c>
    </row>
    <row r="180" spans="1:22" x14ac:dyDescent="0.2">
      <c r="A180">
        <v>178</v>
      </c>
      <c r="B180">
        <f t="shared" ca="1" si="40"/>
        <v>178</v>
      </c>
      <c r="C180" t="str">
        <f t="shared" ca="1" si="40"/>
        <v>Groin HerniaProviderROYAL LIVERPOOL AND BROADGREEN UNIVERSITY HOSPITALS NHS TRUST (RQ6)EQ-5D Index</v>
      </c>
      <c r="D180" t="str">
        <f t="shared" ca="1" si="40"/>
        <v>Groin Hernia</v>
      </c>
      <c r="E180" t="str">
        <f t="shared" ca="1" si="40"/>
        <v>Provider</v>
      </c>
      <c r="F180" t="str">
        <f t="shared" ca="1" si="40"/>
        <v>RQ6</v>
      </c>
      <c r="G180" t="str">
        <f t="shared" ca="1" si="40"/>
        <v>ROYAL LIVERPOOL AND BROADGREEN UNIVERSITY HOSPITALS NHS TRUST (RQ6)</v>
      </c>
      <c r="H180" t="str">
        <f t="shared" ca="1" si="40"/>
        <v>EQ-5D Index</v>
      </c>
      <c r="I180">
        <f t="shared" ca="1" si="40"/>
        <v>76</v>
      </c>
      <c r="J180">
        <f t="shared" ca="1" si="40"/>
        <v>0.76800000000000002</v>
      </c>
      <c r="K180">
        <f t="shared" ca="1" si="40"/>
        <v>0.84699999999999998</v>
      </c>
      <c r="L180">
        <f t="shared" ca="1" si="41"/>
        <v>7.9000000000000001E-2</v>
      </c>
      <c r="M180">
        <f t="shared" ca="1" si="41"/>
        <v>44</v>
      </c>
      <c r="N180">
        <f t="shared" ca="1" si="41"/>
        <v>20</v>
      </c>
      <c r="O180">
        <f t="shared" ca="1" si="41"/>
        <v>12</v>
      </c>
      <c r="P180">
        <f t="shared" ca="1" si="41"/>
        <v>0.88500000000000001</v>
      </c>
      <c r="Q180">
        <f t="shared" ca="1" si="41"/>
        <v>9.1845047999999999E-2</v>
      </c>
      <c r="R180">
        <f t="shared" ca="1" si="41"/>
        <v>0.19400000000000001</v>
      </c>
      <c r="S180">
        <f t="shared" ca="1" si="30"/>
        <v>76</v>
      </c>
      <c r="T180">
        <f t="shared" ca="1" si="31"/>
        <v>9.1845047999999999E-2</v>
      </c>
      <c r="U180" t="e">
        <f ca="1">IF(AND($C180='Funnel setup'!$K$3&amp;'Funnel setup'!$K$5&amp;'Funnel setup'!$K$6&amp;'Funnel setup'!$K$4,'Funnel Lookup'!I180="*"),#N/A,IF(AND($C180='Funnel setup'!$K$3&amp;'Funnel setup'!$K$5&amp;'Funnel setup'!$K$6&amp;'Funnel setup'!$K$4,'Funnel Lookup'!I180&gt;29),'Funnel Lookup'!I180,#N/A))</f>
        <v>#N/A</v>
      </c>
      <c r="V180" t="e">
        <f ca="1">IF(AND($C180='Funnel setup'!$K$3&amp;'Funnel setup'!$K$5&amp;'Funnel setup'!$K$6&amp;'Funnel setup'!$K$4,'Funnel Lookup'!I180="*"),#N/A,IF(AND($C180='Funnel setup'!$K$3&amp;'Funnel setup'!$K$5&amp;'Funnel setup'!$K$6&amp;'Funnel setup'!$K$4,'Funnel Lookup'!I180&gt;29),'Funnel Lookup'!Q180,#N/A))</f>
        <v>#N/A</v>
      </c>
    </row>
    <row r="181" spans="1:22" x14ac:dyDescent="0.2">
      <c r="A181">
        <v>179</v>
      </c>
      <c r="B181">
        <f t="shared" ca="1" si="40"/>
        <v>179</v>
      </c>
      <c r="C181" t="str">
        <f t="shared" ca="1" si="40"/>
        <v>Groin HerniaProviderROYAL SURREY COUNTY HOSPITAL NHS FOUNDATION TRUST (RA2)EQ-5D Index</v>
      </c>
      <c r="D181" t="str">
        <f t="shared" ca="1" si="40"/>
        <v>Groin Hernia</v>
      </c>
      <c r="E181" t="str">
        <f t="shared" ca="1" si="40"/>
        <v>Provider</v>
      </c>
      <c r="F181" t="str">
        <f t="shared" ca="1" si="40"/>
        <v>RA2</v>
      </c>
      <c r="G181" t="str">
        <f t="shared" ca="1" si="40"/>
        <v>ROYAL SURREY COUNTY HOSPITAL NHS FOUNDATION TRUST (RA2)</v>
      </c>
      <c r="H181" t="str">
        <f t="shared" ca="1" si="40"/>
        <v>EQ-5D Index</v>
      </c>
      <c r="I181">
        <f t="shared" ca="1" si="40"/>
        <v>162</v>
      </c>
      <c r="J181">
        <f t="shared" ca="1" si="40"/>
        <v>0.79200000000000004</v>
      </c>
      <c r="K181">
        <f t="shared" ca="1" si="40"/>
        <v>0.90400000000000003</v>
      </c>
      <c r="L181">
        <f t="shared" ca="1" si="41"/>
        <v>0.112</v>
      </c>
      <c r="M181">
        <f t="shared" ca="1" si="41"/>
        <v>97</v>
      </c>
      <c r="N181">
        <f t="shared" ca="1" si="41"/>
        <v>47</v>
      </c>
      <c r="O181">
        <f t="shared" ca="1" si="41"/>
        <v>18</v>
      </c>
      <c r="P181">
        <f t="shared" ca="1" si="41"/>
        <v>0.89200000000000002</v>
      </c>
      <c r="Q181">
        <f t="shared" ca="1" si="41"/>
        <v>9.8828581999999998E-2</v>
      </c>
      <c r="R181">
        <f t="shared" ca="1" si="41"/>
        <v>0.16</v>
      </c>
      <c r="S181">
        <f t="shared" ca="1" si="30"/>
        <v>162</v>
      </c>
      <c r="T181">
        <f t="shared" ca="1" si="31"/>
        <v>9.8828581999999998E-2</v>
      </c>
      <c r="U181" t="e">
        <f ca="1">IF(AND($C181='Funnel setup'!$K$3&amp;'Funnel setup'!$K$5&amp;'Funnel setup'!$K$6&amp;'Funnel setup'!$K$4,'Funnel Lookup'!I181="*"),#N/A,IF(AND($C181='Funnel setup'!$K$3&amp;'Funnel setup'!$K$5&amp;'Funnel setup'!$K$6&amp;'Funnel setup'!$K$4,'Funnel Lookup'!I181&gt;29),'Funnel Lookup'!I181,#N/A))</f>
        <v>#N/A</v>
      </c>
      <c r="V181" t="e">
        <f ca="1">IF(AND($C181='Funnel setup'!$K$3&amp;'Funnel setup'!$K$5&amp;'Funnel setup'!$K$6&amp;'Funnel setup'!$K$4,'Funnel Lookup'!I181="*"),#N/A,IF(AND($C181='Funnel setup'!$K$3&amp;'Funnel setup'!$K$5&amp;'Funnel setup'!$K$6&amp;'Funnel setup'!$K$4,'Funnel Lookup'!I181&gt;29),'Funnel Lookup'!Q181,#N/A))</f>
        <v>#N/A</v>
      </c>
    </row>
    <row r="182" spans="1:22" x14ac:dyDescent="0.2">
      <c r="A182">
        <v>180</v>
      </c>
      <c r="B182">
        <f t="shared" ca="1" si="40"/>
        <v>180</v>
      </c>
      <c r="C182" t="str">
        <f t="shared" ca="1" si="40"/>
        <v>Groin HerniaProviderROYAL UNITED HOSPITALS BATH NHS FOUNDATION TRUST (RD1)EQ-5D Index</v>
      </c>
      <c r="D182" t="str">
        <f t="shared" ca="1" si="40"/>
        <v>Groin Hernia</v>
      </c>
      <c r="E182" t="str">
        <f t="shared" ca="1" si="40"/>
        <v>Provider</v>
      </c>
      <c r="F182" t="str">
        <f t="shared" ca="1" si="40"/>
        <v>RD1</v>
      </c>
      <c r="G182" t="str">
        <f t="shared" ca="1" si="40"/>
        <v>ROYAL UNITED HOSPITALS BATH NHS FOUNDATION TRUST (RD1)</v>
      </c>
      <c r="H182" t="str">
        <f t="shared" ca="1" si="40"/>
        <v>EQ-5D Index</v>
      </c>
      <c r="I182">
        <f t="shared" ca="1" si="40"/>
        <v>101</v>
      </c>
      <c r="J182">
        <f t="shared" ca="1" si="40"/>
        <v>0.81200000000000006</v>
      </c>
      <c r="K182">
        <f t="shared" ca="1" si="40"/>
        <v>0.872</v>
      </c>
      <c r="L182">
        <f t="shared" ca="1" si="41"/>
        <v>5.8999999999999997E-2</v>
      </c>
      <c r="M182">
        <f t="shared" ca="1" si="41"/>
        <v>44</v>
      </c>
      <c r="N182">
        <f t="shared" ca="1" si="41"/>
        <v>35</v>
      </c>
      <c r="O182">
        <f t="shared" ca="1" si="41"/>
        <v>22</v>
      </c>
      <c r="P182">
        <f t="shared" ca="1" si="41"/>
        <v>0.871</v>
      </c>
      <c r="Q182">
        <f t="shared" ca="1" si="41"/>
        <v>7.7328656999999995E-2</v>
      </c>
      <c r="R182">
        <f t="shared" ca="1" si="41"/>
        <v>0.16300000000000001</v>
      </c>
      <c r="S182">
        <f t="shared" ca="1" si="30"/>
        <v>101</v>
      </c>
      <c r="T182">
        <f t="shared" ca="1" si="31"/>
        <v>7.7328656999999995E-2</v>
      </c>
      <c r="U182" t="e">
        <f ca="1">IF(AND($C182='Funnel setup'!$K$3&amp;'Funnel setup'!$K$5&amp;'Funnel setup'!$K$6&amp;'Funnel setup'!$K$4,'Funnel Lookup'!I182="*"),#N/A,IF(AND($C182='Funnel setup'!$K$3&amp;'Funnel setup'!$K$5&amp;'Funnel setup'!$K$6&amp;'Funnel setup'!$K$4,'Funnel Lookup'!I182&gt;29),'Funnel Lookup'!I182,#N/A))</f>
        <v>#N/A</v>
      </c>
      <c r="V182" t="e">
        <f ca="1">IF(AND($C182='Funnel setup'!$K$3&amp;'Funnel setup'!$K$5&amp;'Funnel setup'!$K$6&amp;'Funnel setup'!$K$4,'Funnel Lookup'!I182="*"),#N/A,IF(AND($C182='Funnel setup'!$K$3&amp;'Funnel setup'!$K$5&amp;'Funnel setup'!$K$6&amp;'Funnel setup'!$K$4,'Funnel Lookup'!I182&gt;29),'Funnel Lookup'!Q182,#N/A))</f>
        <v>#N/A</v>
      </c>
    </row>
    <row r="183" spans="1:22" x14ac:dyDescent="0.2">
      <c r="A183">
        <v>181</v>
      </c>
      <c r="B183">
        <f t="shared" ref="B183:K192" ca="1" si="42">VLOOKUP($A183,Funnel_Data,B$1,FALSE)</f>
        <v>181</v>
      </c>
      <c r="C183" t="str">
        <f t="shared" ca="1" si="42"/>
        <v>Groin HerniaProviderSALFORD ROYAL NHS FOUNDATION TRUST (RM3)EQ-5D Index</v>
      </c>
      <c r="D183" t="str">
        <f t="shared" ca="1" si="42"/>
        <v>Groin Hernia</v>
      </c>
      <c r="E183" t="str">
        <f t="shared" ca="1" si="42"/>
        <v>Provider</v>
      </c>
      <c r="F183" t="str">
        <f t="shared" ca="1" si="42"/>
        <v>RM3</v>
      </c>
      <c r="G183" t="str">
        <f t="shared" ca="1" si="42"/>
        <v>SALFORD ROYAL NHS FOUNDATION TRUST (RM3)</v>
      </c>
      <c r="H183" t="str">
        <f t="shared" ca="1" si="42"/>
        <v>EQ-5D Index</v>
      </c>
      <c r="I183">
        <f t="shared" ca="1" si="42"/>
        <v>34</v>
      </c>
      <c r="J183">
        <f t="shared" ca="1" si="42"/>
        <v>0.84899999999999998</v>
      </c>
      <c r="K183">
        <f t="shared" ca="1" si="42"/>
        <v>0.85499999999999998</v>
      </c>
      <c r="L183">
        <f t="shared" ref="L183:R192" ca="1" si="43">VLOOKUP($A183,Funnel_Data,L$1,FALSE)</f>
        <v>6.0000000000000001E-3</v>
      </c>
      <c r="M183">
        <f t="shared" ca="1" si="43"/>
        <v>11</v>
      </c>
      <c r="N183">
        <f t="shared" ca="1" si="43"/>
        <v>13</v>
      </c>
      <c r="O183">
        <f t="shared" ca="1" si="43"/>
        <v>10</v>
      </c>
      <c r="P183">
        <f t="shared" ca="1" si="43"/>
        <v>0.84199999999999997</v>
      </c>
      <c r="Q183">
        <f t="shared" ca="1" si="43"/>
        <v>4.8562352000000003E-2</v>
      </c>
      <c r="R183">
        <f t="shared" ca="1" si="43"/>
        <v>0.187</v>
      </c>
      <c r="S183">
        <f t="shared" ca="1" si="30"/>
        <v>34</v>
      </c>
      <c r="T183">
        <f t="shared" ca="1" si="31"/>
        <v>4.8562352000000003E-2</v>
      </c>
      <c r="U183" t="e">
        <f ca="1">IF(AND($C183='Funnel setup'!$K$3&amp;'Funnel setup'!$K$5&amp;'Funnel setup'!$K$6&amp;'Funnel setup'!$K$4,'Funnel Lookup'!I183="*"),#N/A,IF(AND($C183='Funnel setup'!$K$3&amp;'Funnel setup'!$K$5&amp;'Funnel setup'!$K$6&amp;'Funnel setup'!$K$4,'Funnel Lookup'!I183&gt;29),'Funnel Lookup'!I183,#N/A))</f>
        <v>#N/A</v>
      </c>
      <c r="V183" t="e">
        <f ca="1">IF(AND($C183='Funnel setup'!$K$3&amp;'Funnel setup'!$K$5&amp;'Funnel setup'!$K$6&amp;'Funnel setup'!$K$4,'Funnel Lookup'!I183="*"),#N/A,IF(AND($C183='Funnel setup'!$K$3&amp;'Funnel setup'!$K$5&amp;'Funnel setup'!$K$6&amp;'Funnel setup'!$K$4,'Funnel Lookup'!I183&gt;29),'Funnel Lookup'!Q183,#N/A))</f>
        <v>#N/A</v>
      </c>
    </row>
    <row r="184" spans="1:22" x14ac:dyDescent="0.2">
      <c r="A184">
        <v>182</v>
      </c>
      <c r="B184">
        <f t="shared" ca="1" si="42"/>
        <v>182</v>
      </c>
      <c r="C184" t="str">
        <f t="shared" ca="1" si="42"/>
        <v>Groin HerniaProviderSALISBURY NHS FOUNDATION TRUST (RNZ)EQ-5D Index</v>
      </c>
      <c r="D184" t="str">
        <f t="shared" ca="1" si="42"/>
        <v>Groin Hernia</v>
      </c>
      <c r="E184" t="str">
        <f t="shared" ca="1" si="42"/>
        <v>Provider</v>
      </c>
      <c r="F184" t="str">
        <f t="shared" ca="1" si="42"/>
        <v>RNZ</v>
      </c>
      <c r="G184" t="str">
        <f t="shared" ca="1" si="42"/>
        <v>SALISBURY NHS FOUNDATION TRUST (RNZ)</v>
      </c>
      <c r="H184" t="str">
        <f t="shared" ca="1" si="42"/>
        <v>EQ-5D Index</v>
      </c>
      <c r="I184">
        <f t="shared" ca="1" si="42"/>
        <v>61</v>
      </c>
      <c r="J184">
        <f t="shared" ca="1" si="42"/>
        <v>0.78800000000000003</v>
      </c>
      <c r="K184">
        <f t="shared" ca="1" si="42"/>
        <v>0.91900000000000004</v>
      </c>
      <c r="L184">
        <f t="shared" ca="1" si="43"/>
        <v>0.13</v>
      </c>
      <c r="M184">
        <f t="shared" ca="1" si="43"/>
        <v>36</v>
      </c>
      <c r="N184">
        <f t="shared" ca="1" si="43"/>
        <v>20</v>
      </c>
      <c r="O184">
        <f t="shared" ca="1" si="43"/>
        <v>5</v>
      </c>
      <c r="P184">
        <f t="shared" ca="1" si="43"/>
        <v>0.91300000000000003</v>
      </c>
      <c r="Q184">
        <f t="shared" ca="1" si="43"/>
        <v>0.119604209</v>
      </c>
      <c r="R184">
        <f t="shared" ca="1" si="43"/>
        <v>0.16500000000000001</v>
      </c>
      <c r="S184">
        <f t="shared" ca="1" si="30"/>
        <v>61</v>
      </c>
      <c r="T184">
        <f t="shared" ca="1" si="31"/>
        <v>0.119604209</v>
      </c>
      <c r="U184" t="e">
        <f ca="1">IF(AND($C184='Funnel setup'!$K$3&amp;'Funnel setup'!$K$5&amp;'Funnel setup'!$K$6&amp;'Funnel setup'!$K$4,'Funnel Lookup'!I184="*"),#N/A,IF(AND($C184='Funnel setup'!$K$3&amp;'Funnel setup'!$K$5&amp;'Funnel setup'!$K$6&amp;'Funnel setup'!$K$4,'Funnel Lookup'!I184&gt;29),'Funnel Lookup'!I184,#N/A))</f>
        <v>#N/A</v>
      </c>
      <c r="V184" t="e">
        <f ca="1">IF(AND($C184='Funnel setup'!$K$3&amp;'Funnel setup'!$K$5&amp;'Funnel setup'!$K$6&amp;'Funnel setup'!$K$4,'Funnel Lookup'!I184="*"),#N/A,IF(AND($C184='Funnel setup'!$K$3&amp;'Funnel setup'!$K$5&amp;'Funnel setup'!$K$6&amp;'Funnel setup'!$K$4,'Funnel Lookup'!I184&gt;29),'Funnel Lookup'!Q184,#N/A))</f>
        <v>#N/A</v>
      </c>
    </row>
    <row r="185" spans="1:22" x14ac:dyDescent="0.2">
      <c r="A185">
        <v>183</v>
      </c>
      <c r="B185">
        <f t="shared" ca="1" si="42"/>
        <v>183</v>
      </c>
      <c r="C185" t="str">
        <f t="shared" ca="1" si="42"/>
        <v>Groin HerniaProviderSANDWELL AND WEST BIRMINGHAM HOSPITALS NHS TRUST (RXK)EQ-5D Index</v>
      </c>
      <c r="D185" t="str">
        <f t="shared" ca="1" si="42"/>
        <v>Groin Hernia</v>
      </c>
      <c r="E185" t="str">
        <f t="shared" ca="1" si="42"/>
        <v>Provider</v>
      </c>
      <c r="F185" t="str">
        <f t="shared" ca="1" si="42"/>
        <v>RXK</v>
      </c>
      <c r="G185" t="str">
        <f t="shared" ca="1" si="42"/>
        <v>SANDWELL AND WEST BIRMINGHAM HOSPITALS NHS TRUST (RXK)</v>
      </c>
      <c r="H185" t="str">
        <f t="shared" ca="1" si="42"/>
        <v>EQ-5D Index</v>
      </c>
      <c r="I185">
        <f t="shared" ca="1" si="42"/>
        <v>157</v>
      </c>
      <c r="J185">
        <f t="shared" ca="1" si="42"/>
        <v>0.78900000000000003</v>
      </c>
      <c r="K185">
        <f t="shared" ca="1" si="42"/>
        <v>0.82699999999999996</v>
      </c>
      <c r="L185">
        <f t="shared" ca="1" si="43"/>
        <v>3.7999999999999999E-2</v>
      </c>
      <c r="M185">
        <f t="shared" ca="1" si="43"/>
        <v>69</v>
      </c>
      <c r="N185">
        <f t="shared" ca="1" si="43"/>
        <v>47</v>
      </c>
      <c r="O185">
        <f t="shared" ca="1" si="43"/>
        <v>41</v>
      </c>
      <c r="P185">
        <f t="shared" ca="1" si="43"/>
        <v>0.85199999999999998</v>
      </c>
      <c r="Q185">
        <f t="shared" ca="1" si="43"/>
        <v>5.8628701999999998E-2</v>
      </c>
      <c r="R185">
        <f t="shared" ca="1" si="43"/>
        <v>0.16900000000000001</v>
      </c>
      <c r="S185">
        <f t="shared" ca="1" si="30"/>
        <v>157</v>
      </c>
      <c r="T185">
        <f t="shared" ca="1" si="31"/>
        <v>5.8628701999999998E-2</v>
      </c>
      <c r="U185" t="e">
        <f ca="1">IF(AND($C185='Funnel setup'!$K$3&amp;'Funnel setup'!$K$5&amp;'Funnel setup'!$K$6&amp;'Funnel setup'!$K$4,'Funnel Lookup'!I185="*"),#N/A,IF(AND($C185='Funnel setup'!$K$3&amp;'Funnel setup'!$K$5&amp;'Funnel setup'!$K$6&amp;'Funnel setup'!$K$4,'Funnel Lookup'!I185&gt;29),'Funnel Lookup'!I185,#N/A))</f>
        <v>#N/A</v>
      </c>
      <c r="V185" t="e">
        <f ca="1">IF(AND($C185='Funnel setup'!$K$3&amp;'Funnel setup'!$K$5&amp;'Funnel setup'!$K$6&amp;'Funnel setup'!$K$4,'Funnel Lookup'!I185="*"),#N/A,IF(AND($C185='Funnel setup'!$K$3&amp;'Funnel setup'!$K$5&amp;'Funnel setup'!$K$6&amp;'Funnel setup'!$K$4,'Funnel Lookup'!I185&gt;29),'Funnel Lookup'!Q185,#N/A))</f>
        <v>#N/A</v>
      </c>
    </row>
    <row r="186" spans="1:22" x14ac:dyDescent="0.2">
      <c r="A186">
        <v>184</v>
      </c>
      <c r="B186">
        <f t="shared" ca="1" si="42"/>
        <v>184</v>
      </c>
      <c r="C186" t="str">
        <f t="shared" ca="1" si="42"/>
        <v>Groin HerniaProviderSHEFFIELD TEACHING HOSPITALS NHS FOUNDATION TRUST (RHQ)EQ-5D Index</v>
      </c>
      <c r="D186" t="str">
        <f t="shared" ca="1" si="42"/>
        <v>Groin Hernia</v>
      </c>
      <c r="E186" t="str">
        <f t="shared" ca="1" si="42"/>
        <v>Provider</v>
      </c>
      <c r="F186" t="str">
        <f t="shared" ca="1" si="42"/>
        <v>RHQ</v>
      </c>
      <c r="G186" t="str">
        <f t="shared" ca="1" si="42"/>
        <v>SHEFFIELD TEACHING HOSPITALS NHS FOUNDATION TRUST (RHQ)</v>
      </c>
      <c r="H186" t="str">
        <f t="shared" ca="1" si="42"/>
        <v>EQ-5D Index</v>
      </c>
      <c r="I186">
        <f t="shared" ca="1" si="42"/>
        <v>189</v>
      </c>
      <c r="J186">
        <f t="shared" ca="1" si="42"/>
        <v>0.76900000000000002</v>
      </c>
      <c r="K186">
        <f t="shared" ca="1" si="42"/>
        <v>0.81</v>
      </c>
      <c r="L186">
        <f t="shared" ca="1" si="43"/>
        <v>4.1000000000000002E-2</v>
      </c>
      <c r="M186">
        <f t="shared" ca="1" si="43"/>
        <v>79</v>
      </c>
      <c r="N186">
        <f t="shared" ca="1" si="43"/>
        <v>59</v>
      </c>
      <c r="O186">
        <f t="shared" ca="1" si="43"/>
        <v>51</v>
      </c>
      <c r="P186">
        <f t="shared" ca="1" si="43"/>
        <v>0.84299999999999997</v>
      </c>
      <c r="Q186">
        <f t="shared" ca="1" si="43"/>
        <v>4.9513359E-2</v>
      </c>
      <c r="R186">
        <f t="shared" ca="1" si="43"/>
        <v>0.19500000000000001</v>
      </c>
      <c r="S186">
        <f t="shared" ca="1" si="30"/>
        <v>189</v>
      </c>
      <c r="T186">
        <f t="shared" ca="1" si="31"/>
        <v>4.9513359E-2</v>
      </c>
      <c r="U186" t="e">
        <f ca="1">IF(AND($C186='Funnel setup'!$K$3&amp;'Funnel setup'!$K$5&amp;'Funnel setup'!$K$6&amp;'Funnel setup'!$K$4,'Funnel Lookup'!I186="*"),#N/A,IF(AND($C186='Funnel setup'!$K$3&amp;'Funnel setup'!$K$5&amp;'Funnel setup'!$K$6&amp;'Funnel setup'!$K$4,'Funnel Lookup'!I186&gt;29),'Funnel Lookup'!I186,#N/A))</f>
        <v>#N/A</v>
      </c>
      <c r="V186" t="e">
        <f ca="1">IF(AND($C186='Funnel setup'!$K$3&amp;'Funnel setup'!$K$5&amp;'Funnel setup'!$K$6&amp;'Funnel setup'!$K$4,'Funnel Lookup'!I186="*"),#N/A,IF(AND($C186='Funnel setup'!$K$3&amp;'Funnel setup'!$K$5&amp;'Funnel setup'!$K$6&amp;'Funnel setup'!$K$4,'Funnel Lookup'!I186&gt;29),'Funnel Lookup'!Q186,#N/A))</f>
        <v>#N/A</v>
      </c>
    </row>
    <row r="187" spans="1:22" x14ac:dyDescent="0.2">
      <c r="A187">
        <v>185</v>
      </c>
      <c r="B187">
        <f t="shared" ca="1" si="42"/>
        <v>185</v>
      </c>
      <c r="C187" t="str">
        <f t="shared" ca="1" si="42"/>
        <v>Groin HerniaProviderSHEPTON MALLET NHS TREATMENT CENTRE (NTPH1)EQ-5D Index</v>
      </c>
      <c r="D187" t="str">
        <f t="shared" ca="1" si="42"/>
        <v>Groin Hernia</v>
      </c>
      <c r="E187" t="str">
        <f t="shared" ca="1" si="42"/>
        <v>Provider</v>
      </c>
      <c r="F187" t="str">
        <f t="shared" ca="1" si="42"/>
        <v>NTPH1</v>
      </c>
      <c r="G187" t="str">
        <f t="shared" ca="1" si="42"/>
        <v>SHEPTON MALLET NHS TREATMENT CENTRE (NTPH1)</v>
      </c>
      <c r="H187" t="str">
        <f t="shared" ca="1" si="42"/>
        <v>EQ-5D Index</v>
      </c>
      <c r="I187">
        <f t="shared" ca="1" si="42"/>
        <v>192</v>
      </c>
      <c r="J187">
        <f t="shared" ca="1" si="42"/>
        <v>0.82799999999999996</v>
      </c>
      <c r="K187">
        <f t="shared" ca="1" si="42"/>
        <v>0.88900000000000001</v>
      </c>
      <c r="L187">
        <f t="shared" ca="1" si="43"/>
        <v>0.06</v>
      </c>
      <c r="M187">
        <f t="shared" ca="1" si="43"/>
        <v>87</v>
      </c>
      <c r="N187">
        <f t="shared" ca="1" si="43"/>
        <v>65</v>
      </c>
      <c r="O187">
        <f t="shared" ca="1" si="43"/>
        <v>40</v>
      </c>
      <c r="P187">
        <f t="shared" ca="1" si="43"/>
        <v>0.86099999999999999</v>
      </c>
      <c r="Q187">
        <f t="shared" ca="1" si="43"/>
        <v>6.7259847999999997E-2</v>
      </c>
      <c r="R187">
        <f t="shared" ca="1" si="43"/>
        <v>0.16400000000000001</v>
      </c>
      <c r="S187">
        <f t="shared" ca="1" si="30"/>
        <v>192</v>
      </c>
      <c r="T187">
        <f t="shared" ca="1" si="31"/>
        <v>6.7259847999999997E-2</v>
      </c>
      <c r="U187" t="e">
        <f ca="1">IF(AND($C187='Funnel setup'!$K$3&amp;'Funnel setup'!$K$5&amp;'Funnel setup'!$K$6&amp;'Funnel setup'!$K$4,'Funnel Lookup'!I187="*"),#N/A,IF(AND($C187='Funnel setup'!$K$3&amp;'Funnel setup'!$K$5&amp;'Funnel setup'!$K$6&amp;'Funnel setup'!$K$4,'Funnel Lookup'!I187&gt;29),'Funnel Lookup'!I187,#N/A))</f>
        <v>#N/A</v>
      </c>
      <c r="V187" t="e">
        <f ca="1">IF(AND($C187='Funnel setup'!$K$3&amp;'Funnel setup'!$K$5&amp;'Funnel setup'!$K$6&amp;'Funnel setup'!$K$4,'Funnel Lookup'!I187="*"),#N/A,IF(AND($C187='Funnel setup'!$K$3&amp;'Funnel setup'!$K$5&amp;'Funnel setup'!$K$6&amp;'Funnel setup'!$K$4,'Funnel Lookup'!I187&gt;29),'Funnel Lookup'!Q187,#N/A))</f>
        <v>#N/A</v>
      </c>
    </row>
    <row r="188" spans="1:22" x14ac:dyDescent="0.2">
      <c r="A188">
        <v>186</v>
      </c>
      <c r="B188">
        <f t="shared" ca="1" si="42"/>
        <v>186</v>
      </c>
      <c r="C188" t="str">
        <f t="shared" ca="1" si="42"/>
        <v>Groin HerniaProviderSHERWOOD FOREST HOSPITALS NHS FOUNDATION TRUST (RK5)EQ-5D Index</v>
      </c>
      <c r="D188" t="str">
        <f t="shared" ca="1" si="42"/>
        <v>Groin Hernia</v>
      </c>
      <c r="E188" t="str">
        <f t="shared" ca="1" si="42"/>
        <v>Provider</v>
      </c>
      <c r="F188" t="str">
        <f t="shared" ca="1" si="42"/>
        <v>RK5</v>
      </c>
      <c r="G188" t="str">
        <f t="shared" ca="1" si="42"/>
        <v>SHERWOOD FOREST HOSPITALS NHS FOUNDATION TRUST (RK5)</v>
      </c>
      <c r="H188" t="str">
        <f t="shared" ca="1" si="42"/>
        <v>EQ-5D Index</v>
      </c>
      <c r="I188">
        <f t="shared" ca="1" si="42"/>
        <v>240</v>
      </c>
      <c r="J188">
        <f t="shared" ca="1" si="42"/>
        <v>0.76300000000000001</v>
      </c>
      <c r="K188">
        <f t="shared" ca="1" si="42"/>
        <v>0.86</v>
      </c>
      <c r="L188">
        <f t="shared" ca="1" si="43"/>
        <v>9.7000000000000003E-2</v>
      </c>
      <c r="M188">
        <f t="shared" ca="1" si="43"/>
        <v>129</v>
      </c>
      <c r="N188">
        <f t="shared" ca="1" si="43"/>
        <v>62</v>
      </c>
      <c r="O188">
        <f t="shared" ca="1" si="43"/>
        <v>49</v>
      </c>
      <c r="P188">
        <f t="shared" ca="1" si="43"/>
        <v>0.88100000000000001</v>
      </c>
      <c r="Q188">
        <f t="shared" ca="1" si="43"/>
        <v>8.7303250999999998E-2</v>
      </c>
      <c r="R188">
        <f t="shared" ca="1" si="43"/>
        <v>0.14199999999999999</v>
      </c>
      <c r="S188">
        <f t="shared" ca="1" si="30"/>
        <v>240</v>
      </c>
      <c r="T188">
        <f t="shared" ca="1" si="31"/>
        <v>8.7303250999999998E-2</v>
      </c>
      <c r="U188" t="e">
        <f ca="1">IF(AND($C188='Funnel setup'!$K$3&amp;'Funnel setup'!$K$5&amp;'Funnel setup'!$K$6&amp;'Funnel setup'!$K$4,'Funnel Lookup'!I188="*"),#N/A,IF(AND($C188='Funnel setup'!$K$3&amp;'Funnel setup'!$K$5&amp;'Funnel setup'!$K$6&amp;'Funnel setup'!$K$4,'Funnel Lookup'!I188&gt;29),'Funnel Lookup'!I188,#N/A))</f>
        <v>#N/A</v>
      </c>
      <c r="V188" t="e">
        <f ca="1">IF(AND($C188='Funnel setup'!$K$3&amp;'Funnel setup'!$K$5&amp;'Funnel setup'!$K$6&amp;'Funnel setup'!$K$4,'Funnel Lookup'!I188="*"),#N/A,IF(AND($C188='Funnel setup'!$K$3&amp;'Funnel setup'!$K$5&amp;'Funnel setup'!$K$6&amp;'Funnel setup'!$K$4,'Funnel Lookup'!I188&gt;29),'Funnel Lookup'!Q188,#N/A))</f>
        <v>#N/A</v>
      </c>
    </row>
    <row r="189" spans="1:22" x14ac:dyDescent="0.2">
      <c r="A189">
        <v>187</v>
      </c>
      <c r="B189">
        <f t="shared" ca="1" si="42"/>
        <v>187</v>
      </c>
      <c r="C189" t="str">
        <f t="shared" ca="1" si="42"/>
        <v>Groin HerniaProviderSHREWSBURY AND TELFORD HOSPITAL NHS TRUST (RXW)EQ-5D Index</v>
      </c>
      <c r="D189" t="str">
        <f t="shared" ca="1" si="42"/>
        <v>Groin Hernia</v>
      </c>
      <c r="E189" t="str">
        <f t="shared" ca="1" si="42"/>
        <v>Provider</v>
      </c>
      <c r="F189" t="str">
        <f t="shared" ca="1" si="42"/>
        <v>RXW</v>
      </c>
      <c r="G189" t="str">
        <f t="shared" ca="1" si="42"/>
        <v>SHREWSBURY AND TELFORD HOSPITAL NHS TRUST (RXW)</v>
      </c>
      <c r="H189" t="str">
        <f t="shared" ca="1" si="42"/>
        <v>EQ-5D Index</v>
      </c>
      <c r="I189">
        <f t="shared" ca="1" si="42"/>
        <v>176</v>
      </c>
      <c r="J189">
        <f t="shared" ca="1" si="42"/>
        <v>0.74399999999999999</v>
      </c>
      <c r="K189">
        <f t="shared" ca="1" si="42"/>
        <v>0.872</v>
      </c>
      <c r="L189">
        <f t="shared" ca="1" si="43"/>
        <v>0.128</v>
      </c>
      <c r="M189">
        <f t="shared" ca="1" si="43"/>
        <v>117</v>
      </c>
      <c r="N189">
        <f t="shared" ca="1" si="43"/>
        <v>34</v>
      </c>
      <c r="O189">
        <f t="shared" ca="1" si="43"/>
        <v>25</v>
      </c>
      <c r="P189">
        <f t="shared" ca="1" si="43"/>
        <v>0.879</v>
      </c>
      <c r="Q189">
        <f t="shared" ca="1" si="43"/>
        <v>8.5662910999999994E-2</v>
      </c>
      <c r="R189">
        <f t="shared" ca="1" si="43"/>
        <v>0.18099999999999999</v>
      </c>
      <c r="S189">
        <f t="shared" ca="1" si="30"/>
        <v>176</v>
      </c>
      <c r="T189">
        <f t="shared" ca="1" si="31"/>
        <v>8.5662910999999994E-2</v>
      </c>
      <c r="U189" t="e">
        <f ca="1">IF(AND($C189='Funnel setup'!$K$3&amp;'Funnel setup'!$K$5&amp;'Funnel setup'!$K$6&amp;'Funnel setup'!$K$4,'Funnel Lookup'!I189="*"),#N/A,IF(AND($C189='Funnel setup'!$K$3&amp;'Funnel setup'!$K$5&amp;'Funnel setup'!$K$6&amp;'Funnel setup'!$K$4,'Funnel Lookup'!I189&gt;29),'Funnel Lookup'!I189,#N/A))</f>
        <v>#N/A</v>
      </c>
      <c r="V189" t="e">
        <f ca="1">IF(AND($C189='Funnel setup'!$K$3&amp;'Funnel setup'!$K$5&amp;'Funnel setup'!$K$6&amp;'Funnel setup'!$K$4,'Funnel Lookup'!I189="*"),#N/A,IF(AND($C189='Funnel setup'!$K$3&amp;'Funnel setup'!$K$5&amp;'Funnel setup'!$K$6&amp;'Funnel setup'!$K$4,'Funnel Lookup'!I189&gt;29),'Funnel Lookup'!Q189,#N/A))</f>
        <v>#N/A</v>
      </c>
    </row>
    <row r="190" spans="1:22" x14ac:dyDescent="0.2">
      <c r="A190">
        <v>188</v>
      </c>
      <c r="B190">
        <f t="shared" ca="1" si="42"/>
        <v>188</v>
      </c>
      <c r="C190" t="str">
        <f t="shared" ca="1" si="42"/>
        <v>Groin HerniaProviderSOUTH TEES HOSPITALS NHS FOUNDATION TRUST (RTR)EQ-5D Index</v>
      </c>
      <c r="D190" t="str">
        <f t="shared" ca="1" si="42"/>
        <v>Groin Hernia</v>
      </c>
      <c r="E190" t="str">
        <f t="shared" ca="1" si="42"/>
        <v>Provider</v>
      </c>
      <c r="F190" t="str">
        <f t="shared" ca="1" si="42"/>
        <v>RTR</v>
      </c>
      <c r="G190" t="str">
        <f t="shared" ca="1" si="42"/>
        <v>SOUTH TEES HOSPITALS NHS FOUNDATION TRUST (RTR)</v>
      </c>
      <c r="H190" t="str">
        <f t="shared" ca="1" si="42"/>
        <v>EQ-5D Index</v>
      </c>
      <c r="I190">
        <f t="shared" ca="1" si="42"/>
        <v>112</v>
      </c>
      <c r="J190">
        <f t="shared" ca="1" si="42"/>
        <v>0.76100000000000001</v>
      </c>
      <c r="K190">
        <f t="shared" ca="1" si="42"/>
        <v>0.874</v>
      </c>
      <c r="L190">
        <f t="shared" ca="1" si="43"/>
        <v>0.113</v>
      </c>
      <c r="M190">
        <f t="shared" ca="1" si="43"/>
        <v>67</v>
      </c>
      <c r="N190">
        <f t="shared" ca="1" si="43"/>
        <v>24</v>
      </c>
      <c r="O190">
        <f t="shared" ca="1" si="43"/>
        <v>21</v>
      </c>
      <c r="P190">
        <f t="shared" ca="1" si="43"/>
        <v>0.88900000000000001</v>
      </c>
      <c r="Q190">
        <f t="shared" ca="1" si="43"/>
        <v>9.5664431999999994E-2</v>
      </c>
      <c r="R190">
        <f t="shared" ca="1" si="43"/>
        <v>0.16900000000000001</v>
      </c>
      <c r="S190">
        <f t="shared" ca="1" si="30"/>
        <v>112</v>
      </c>
      <c r="T190">
        <f t="shared" ca="1" si="31"/>
        <v>9.5664431999999994E-2</v>
      </c>
      <c r="U190" t="e">
        <f ca="1">IF(AND($C190='Funnel setup'!$K$3&amp;'Funnel setup'!$K$5&amp;'Funnel setup'!$K$6&amp;'Funnel setup'!$K$4,'Funnel Lookup'!I190="*"),#N/A,IF(AND($C190='Funnel setup'!$K$3&amp;'Funnel setup'!$K$5&amp;'Funnel setup'!$K$6&amp;'Funnel setup'!$K$4,'Funnel Lookup'!I190&gt;29),'Funnel Lookup'!I190,#N/A))</f>
        <v>#N/A</v>
      </c>
      <c r="V190" t="e">
        <f ca="1">IF(AND($C190='Funnel setup'!$K$3&amp;'Funnel setup'!$K$5&amp;'Funnel setup'!$K$6&amp;'Funnel setup'!$K$4,'Funnel Lookup'!I190="*"),#N/A,IF(AND($C190='Funnel setup'!$K$3&amp;'Funnel setup'!$K$5&amp;'Funnel setup'!$K$6&amp;'Funnel setup'!$K$4,'Funnel Lookup'!I190&gt;29),'Funnel Lookup'!Q190,#N/A))</f>
        <v>#N/A</v>
      </c>
    </row>
    <row r="191" spans="1:22" x14ac:dyDescent="0.2">
      <c r="A191">
        <v>189</v>
      </c>
      <c r="B191">
        <f t="shared" ca="1" si="42"/>
        <v>189</v>
      </c>
      <c r="C191" t="str">
        <f t="shared" ca="1" si="42"/>
        <v>Groin HerniaProviderSOUTH TYNESIDE NHS FOUNDATION TRUST (RE9)EQ-5D Index</v>
      </c>
      <c r="D191" t="str">
        <f t="shared" ca="1" si="42"/>
        <v>Groin Hernia</v>
      </c>
      <c r="E191" t="str">
        <f t="shared" ca="1" si="42"/>
        <v>Provider</v>
      </c>
      <c r="F191" t="str">
        <f t="shared" ca="1" si="42"/>
        <v>RE9</v>
      </c>
      <c r="G191" t="str">
        <f t="shared" ca="1" si="42"/>
        <v>SOUTH TYNESIDE NHS FOUNDATION TRUST (RE9)</v>
      </c>
      <c r="H191" t="str">
        <f t="shared" ca="1" si="42"/>
        <v>EQ-5D Index</v>
      </c>
      <c r="I191">
        <f t="shared" ca="1" si="42"/>
        <v>60</v>
      </c>
      <c r="J191">
        <f t="shared" ca="1" si="42"/>
        <v>0.76700000000000002</v>
      </c>
      <c r="K191">
        <f t="shared" ca="1" si="42"/>
        <v>0.80600000000000005</v>
      </c>
      <c r="L191">
        <f t="shared" ca="1" si="43"/>
        <v>3.9E-2</v>
      </c>
      <c r="M191">
        <f t="shared" ca="1" si="43"/>
        <v>27</v>
      </c>
      <c r="N191">
        <f t="shared" ca="1" si="43"/>
        <v>17</v>
      </c>
      <c r="O191">
        <f t="shared" ca="1" si="43"/>
        <v>16</v>
      </c>
      <c r="P191">
        <f t="shared" ca="1" si="43"/>
        <v>0.82199999999999995</v>
      </c>
      <c r="Q191">
        <f t="shared" ca="1" si="43"/>
        <v>2.8492366000000002E-2</v>
      </c>
      <c r="R191">
        <f t="shared" ca="1" si="43"/>
        <v>0.16700000000000001</v>
      </c>
      <c r="S191">
        <f t="shared" ca="1" si="30"/>
        <v>60</v>
      </c>
      <c r="T191">
        <f t="shared" ca="1" si="31"/>
        <v>2.8492366000000002E-2</v>
      </c>
      <c r="U191" t="e">
        <f ca="1">IF(AND($C191='Funnel setup'!$K$3&amp;'Funnel setup'!$K$5&amp;'Funnel setup'!$K$6&amp;'Funnel setup'!$K$4,'Funnel Lookup'!I191="*"),#N/A,IF(AND($C191='Funnel setup'!$K$3&amp;'Funnel setup'!$K$5&amp;'Funnel setup'!$K$6&amp;'Funnel setup'!$K$4,'Funnel Lookup'!I191&gt;29),'Funnel Lookup'!I191,#N/A))</f>
        <v>#N/A</v>
      </c>
      <c r="V191" t="e">
        <f ca="1">IF(AND($C191='Funnel setup'!$K$3&amp;'Funnel setup'!$K$5&amp;'Funnel setup'!$K$6&amp;'Funnel setup'!$K$4,'Funnel Lookup'!I191="*"),#N/A,IF(AND($C191='Funnel setup'!$K$3&amp;'Funnel setup'!$K$5&amp;'Funnel setup'!$K$6&amp;'Funnel setup'!$K$4,'Funnel Lookup'!I191&gt;29),'Funnel Lookup'!Q191,#N/A))</f>
        <v>#N/A</v>
      </c>
    </row>
    <row r="192" spans="1:22" x14ac:dyDescent="0.2">
      <c r="A192">
        <v>190</v>
      </c>
      <c r="B192">
        <f t="shared" ca="1" si="42"/>
        <v>190</v>
      </c>
      <c r="C192" t="str">
        <f t="shared" ca="1" si="42"/>
        <v>Groin HerniaProviderSOUTH WARWICKSHIRE NHS FOUNDATION TRUST (RJC)EQ-5D Index</v>
      </c>
      <c r="D192" t="str">
        <f t="shared" ca="1" si="42"/>
        <v>Groin Hernia</v>
      </c>
      <c r="E192" t="str">
        <f t="shared" ca="1" si="42"/>
        <v>Provider</v>
      </c>
      <c r="F192" t="str">
        <f t="shared" ca="1" si="42"/>
        <v>RJC</v>
      </c>
      <c r="G192" t="str">
        <f t="shared" ca="1" si="42"/>
        <v>SOUTH WARWICKSHIRE NHS FOUNDATION TRUST (RJC)</v>
      </c>
      <c r="H192" t="str">
        <f t="shared" ca="1" si="42"/>
        <v>EQ-5D Index</v>
      </c>
      <c r="I192">
        <f t="shared" ca="1" si="42"/>
        <v>195</v>
      </c>
      <c r="J192">
        <f t="shared" ca="1" si="42"/>
        <v>0.78500000000000003</v>
      </c>
      <c r="K192">
        <f t="shared" ca="1" si="42"/>
        <v>0.89600000000000002</v>
      </c>
      <c r="L192">
        <f t="shared" ca="1" si="43"/>
        <v>0.11</v>
      </c>
      <c r="M192">
        <f t="shared" ca="1" si="43"/>
        <v>111</v>
      </c>
      <c r="N192">
        <f t="shared" ca="1" si="43"/>
        <v>65</v>
      </c>
      <c r="O192">
        <f t="shared" ca="1" si="43"/>
        <v>19</v>
      </c>
      <c r="P192">
        <f t="shared" ca="1" si="43"/>
        <v>0.89</v>
      </c>
      <c r="Q192">
        <f t="shared" ca="1" si="43"/>
        <v>9.6472132000000002E-2</v>
      </c>
      <c r="R192">
        <f t="shared" ca="1" si="43"/>
        <v>0.14000000000000001</v>
      </c>
      <c r="S192">
        <f t="shared" ca="1" si="30"/>
        <v>195</v>
      </c>
      <c r="T192">
        <f t="shared" ca="1" si="31"/>
        <v>9.6472132000000002E-2</v>
      </c>
      <c r="U192" t="e">
        <f ca="1">IF(AND($C192='Funnel setup'!$K$3&amp;'Funnel setup'!$K$5&amp;'Funnel setup'!$K$6&amp;'Funnel setup'!$K$4,'Funnel Lookup'!I192="*"),#N/A,IF(AND($C192='Funnel setup'!$K$3&amp;'Funnel setup'!$K$5&amp;'Funnel setup'!$K$6&amp;'Funnel setup'!$K$4,'Funnel Lookup'!I192&gt;29),'Funnel Lookup'!I192,#N/A))</f>
        <v>#N/A</v>
      </c>
      <c r="V192" t="e">
        <f ca="1">IF(AND($C192='Funnel setup'!$K$3&amp;'Funnel setup'!$K$5&amp;'Funnel setup'!$K$6&amp;'Funnel setup'!$K$4,'Funnel Lookup'!I192="*"),#N/A,IF(AND($C192='Funnel setup'!$K$3&amp;'Funnel setup'!$K$5&amp;'Funnel setup'!$K$6&amp;'Funnel setup'!$K$4,'Funnel Lookup'!I192&gt;29),'Funnel Lookup'!Q192,#N/A))</f>
        <v>#N/A</v>
      </c>
    </row>
    <row r="193" spans="1:22" x14ac:dyDescent="0.2">
      <c r="A193">
        <v>191</v>
      </c>
      <c r="B193">
        <f t="shared" ref="B193:K202" ca="1" si="44">VLOOKUP($A193,Funnel_Data,B$1,FALSE)</f>
        <v>191</v>
      </c>
      <c r="C193" t="str">
        <f t="shared" ca="1" si="44"/>
        <v>Groin HerniaProviderSOUTHAMPTON NHS TREATMENT CENTRE (NTP11)EQ-5D Index</v>
      </c>
      <c r="D193" t="str">
        <f t="shared" ca="1" si="44"/>
        <v>Groin Hernia</v>
      </c>
      <c r="E193" t="str">
        <f t="shared" ca="1" si="44"/>
        <v>Provider</v>
      </c>
      <c r="F193" t="str">
        <f t="shared" ca="1" si="44"/>
        <v>NTP11</v>
      </c>
      <c r="G193" t="str">
        <f t="shared" ca="1" si="44"/>
        <v>SOUTHAMPTON NHS TREATMENT CENTRE (NTP11)</v>
      </c>
      <c r="H193" t="str">
        <f t="shared" ca="1" si="44"/>
        <v>EQ-5D Index</v>
      </c>
      <c r="I193">
        <f t="shared" ca="1" si="44"/>
        <v>129</v>
      </c>
      <c r="J193">
        <f t="shared" ca="1" si="44"/>
        <v>0.84099999999999997</v>
      </c>
      <c r="K193">
        <f t="shared" ca="1" si="44"/>
        <v>0.91</v>
      </c>
      <c r="L193">
        <f t="shared" ref="L193:R202" ca="1" si="45">VLOOKUP($A193,Funnel_Data,L$1,FALSE)</f>
        <v>6.8000000000000005E-2</v>
      </c>
      <c r="M193">
        <f t="shared" ca="1" si="45"/>
        <v>58</v>
      </c>
      <c r="N193">
        <f t="shared" ca="1" si="45"/>
        <v>50</v>
      </c>
      <c r="O193">
        <f t="shared" ca="1" si="45"/>
        <v>21</v>
      </c>
      <c r="P193">
        <f t="shared" ca="1" si="45"/>
        <v>0.88</v>
      </c>
      <c r="Q193">
        <f t="shared" ca="1" si="45"/>
        <v>8.7035871000000001E-2</v>
      </c>
      <c r="R193">
        <f t="shared" ca="1" si="45"/>
        <v>0.124</v>
      </c>
      <c r="S193">
        <f t="shared" ca="1" si="30"/>
        <v>129</v>
      </c>
      <c r="T193">
        <f t="shared" ca="1" si="31"/>
        <v>8.7035871000000001E-2</v>
      </c>
      <c r="U193" t="e">
        <f ca="1">IF(AND($C193='Funnel setup'!$K$3&amp;'Funnel setup'!$K$5&amp;'Funnel setup'!$K$6&amp;'Funnel setup'!$K$4,'Funnel Lookup'!I193="*"),#N/A,IF(AND($C193='Funnel setup'!$K$3&amp;'Funnel setup'!$K$5&amp;'Funnel setup'!$K$6&amp;'Funnel setup'!$K$4,'Funnel Lookup'!I193&gt;29),'Funnel Lookup'!I193,#N/A))</f>
        <v>#N/A</v>
      </c>
      <c r="V193" t="e">
        <f ca="1">IF(AND($C193='Funnel setup'!$K$3&amp;'Funnel setup'!$K$5&amp;'Funnel setup'!$K$6&amp;'Funnel setup'!$K$4,'Funnel Lookup'!I193="*"),#N/A,IF(AND($C193='Funnel setup'!$K$3&amp;'Funnel setup'!$K$5&amp;'Funnel setup'!$K$6&amp;'Funnel setup'!$K$4,'Funnel Lookup'!I193&gt;29),'Funnel Lookup'!Q193,#N/A))</f>
        <v>#N/A</v>
      </c>
    </row>
    <row r="194" spans="1:22" x14ac:dyDescent="0.2">
      <c r="A194">
        <v>192</v>
      </c>
      <c r="B194">
        <f t="shared" ca="1" si="44"/>
        <v>192</v>
      </c>
      <c r="C194" t="str">
        <f t="shared" ca="1" si="44"/>
        <v>Groin HerniaProviderSOUTHEND UNIVERSITY HOSPITAL NHS FOUNDATION TRUST (RAJ)EQ-5D Index</v>
      </c>
      <c r="D194" t="str">
        <f t="shared" ca="1" si="44"/>
        <v>Groin Hernia</v>
      </c>
      <c r="E194" t="str">
        <f t="shared" ca="1" si="44"/>
        <v>Provider</v>
      </c>
      <c r="F194" t="str">
        <f t="shared" ca="1" si="44"/>
        <v>RAJ</v>
      </c>
      <c r="G194" t="str">
        <f t="shared" ca="1" si="44"/>
        <v>SOUTHEND UNIVERSITY HOSPITAL NHS FOUNDATION TRUST (RAJ)</v>
      </c>
      <c r="H194" t="str">
        <f t="shared" ca="1" si="44"/>
        <v>EQ-5D Index</v>
      </c>
      <c r="I194">
        <f t="shared" ca="1" si="44"/>
        <v>81</v>
      </c>
      <c r="J194">
        <f t="shared" ca="1" si="44"/>
        <v>0.80600000000000005</v>
      </c>
      <c r="K194">
        <f t="shared" ca="1" si="44"/>
        <v>0.89800000000000002</v>
      </c>
      <c r="L194">
        <f t="shared" ca="1" si="45"/>
        <v>9.1999999999999998E-2</v>
      </c>
      <c r="M194">
        <f t="shared" ca="1" si="45"/>
        <v>43</v>
      </c>
      <c r="N194">
        <f t="shared" ca="1" si="45"/>
        <v>22</v>
      </c>
      <c r="O194">
        <f t="shared" ca="1" si="45"/>
        <v>16</v>
      </c>
      <c r="P194">
        <f t="shared" ca="1" si="45"/>
        <v>0.89300000000000002</v>
      </c>
      <c r="Q194">
        <f t="shared" ca="1" si="45"/>
        <v>9.9949494E-2</v>
      </c>
      <c r="R194">
        <f t="shared" ca="1" si="45"/>
        <v>0.13300000000000001</v>
      </c>
      <c r="S194">
        <f t="shared" ca="1" si="30"/>
        <v>81</v>
      </c>
      <c r="T194">
        <f t="shared" ca="1" si="31"/>
        <v>9.9949494E-2</v>
      </c>
      <c r="U194" t="e">
        <f ca="1">IF(AND($C194='Funnel setup'!$K$3&amp;'Funnel setup'!$K$5&amp;'Funnel setup'!$K$6&amp;'Funnel setup'!$K$4,'Funnel Lookup'!I194="*"),#N/A,IF(AND($C194='Funnel setup'!$K$3&amp;'Funnel setup'!$K$5&amp;'Funnel setup'!$K$6&amp;'Funnel setup'!$K$4,'Funnel Lookup'!I194&gt;29),'Funnel Lookup'!I194,#N/A))</f>
        <v>#N/A</v>
      </c>
      <c r="V194" t="e">
        <f ca="1">IF(AND($C194='Funnel setup'!$K$3&amp;'Funnel setup'!$K$5&amp;'Funnel setup'!$K$6&amp;'Funnel setup'!$K$4,'Funnel Lookup'!I194="*"),#N/A,IF(AND($C194='Funnel setup'!$K$3&amp;'Funnel setup'!$K$5&amp;'Funnel setup'!$K$6&amp;'Funnel setup'!$K$4,'Funnel Lookup'!I194&gt;29),'Funnel Lookup'!Q194,#N/A))</f>
        <v>#N/A</v>
      </c>
    </row>
    <row r="195" spans="1:22" x14ac:dyDescent="0.2">
      <c r="A195">
        <v>193</v>
      </c>
      <c r="B195">
        <f t="shared" ca="1" si="44"/>
        <v>193</v>
      </c>
      <c r="C195" t="str">
        <f t="shared" ca="1" si="44"/>
        <v>Groin HerniaProviderSOUTHERN HEALTH NHS FOUNDATION TRUST (RW1)EQ-5D Index</v>
      </c>
      <c r="D195" t="str">
        <f t="shared" ca="1" si="44"/>
        <v>Groin Hernia</v>
      </c>
      <c r="E195" t="str">
        <f t="shared" ca="1" si="44"/>
        <v>Provider</v>
      </c>
      <c r="F195" t="str">
        <f t="shared" ca="1" si="44"/>
        <v>RW1</v>
      </c>
      <c r="G195" t="str">
        <f t="shared" ca="1" si="44"/>
        <v>SOUTHERN HEALTH NHS FOUNDATION TRUST (RW1)</v>
      </c>
      <c r="H195" t="str">
        <f t="shared" ca="1" si="44"/>
        <v>EQ-5D Index</v>
      </c>
      <c r="I195">
        <f t="shared" ca="1" si="44"/>
        <v>66</v>
      </c>
      <c r="J195">
        <f t="shared" ca="1" si="44"/>
        <v>0.82099999999999995</v>
      </c>
      <c r="K195">
        <f t="shared" ca="1" si="44"/>
        <v>0.877</v>
      </c>
      <c r="L195">
        <f t="shared" ca="1" si="45"/>
        <v>5.6000000000000001E-2</v>
      </c>
      <c r="M195">
        <f t="shared" ca="1" si="45"/>
        <v>32</v>
      </c>
      <c r="N195">
        <f t="shared" ca="1" si="45"/>
        <v>24</v>
      </c>
      <c r="O195">
        <f t="shared" ca="1" si="45"/>
        <v>10</v>
      </c>
      <c r="P195">
        <f t="shared" ca="1" si="45"/>
        <v>0.84499999999999997</v>
      </c>
      <c r="Q195">
        <f t="shared" ca="1" si="45"/>
        <v>5.1976034999999997E-2</v>
      </c>
      <c r="R195">
        <f t="shared" ca="1" si="45"/>
        <v>0.217</v>
      </c>
      <c r="S195">
        <f t="shared" ca="1" si="30"/>
        <v>66</v>
      </c>
      <c r="T195">
        <f t="shared" ca="1" si="31"/>
        <v>5.1976034999999997E-2</v>
      </c>
      <c r="U195" t="e">
        <f ca="1">IF(AND($C195='Funnel setup'!$K$3&amp;'Funnel setup'!$K$5&amp;'Funnel setup'!$K$6&amp;'Funnel setup'!$K$4,'Funnel Lookup'!I195="*"),#N/A,IF(AND($C195='Funnel setup'!$K$3&amp;'Funnel setup'!$K$5&amp;'Funnel setup'!$K$6&amp;'Funnel setup'!$K$4,'Funnel Lookup'!I195&gt;29),'Funnel Lookup'!I195,#N/A))</f>
        <v>#N/A</v>
      </c>
      <c r="V195" t="e">
        <f ca="1">IF(AND($C195='Funnel setup'!$K$3&amp;'Funnel setup'!$K$5&amp;'Funnel setup'!$K$6&amp;'Funnel setup'!$K$4,'Funnel Lookup'!I195="*"),#N/A,IF(AND($C195='Funnel setup'!$K$3&amp;'Funnel setup'!$K$5&amp;'Funnel setup'!$K$6&amp;'Funnel setup'!$K$4,'Funnel Lookup'!I195&gt;29),'Funnel Lookup'!Q195,#N/A))</f>
        <v>#N/A</v>
      </c>
    </row>
    <row r="196" spans="1:22" x14ac:dyDescent="0.2">
      <c r="A196">
        <v>194</v>
      </c>
      <c r="B196">
        <f t="shared" ca="1" si="44"/>
        <v>194</v>
      </c>
      <c r="C196" t="str">
        <f t="shared" ca="1" si="44"/>
        <v>Groin HerniaProviderSOUTHPORT AND ORMSKIRK HOSPITAL NHS TRUST (RVY)EQ-5D Index</v>
      </c>
      <c r="D196" t="str">
        <f t="shared" ca="1" si="44"/>
        <v>Groin Hernia</v>
      </c>
      <c r="E196" t="str">
        <f t="shared" ca="1" si="44"/>
        <v>Provider</v>
      </c>
      <c r="F196" t="str">
        <f t="shared" ca="1" si="44"/>
        <v>RVY</v>
      </c>
      <c r="G196" t="str">
        <f t="shared" ca="1" si="44"/>
        <v>SOUTHPORT AND ORMSKIRK HOSPITAL NHS TRUST (RVY)</v>
      </c>
      <c r="H196" t="str">
        <f t="shared" ca="1" si="44"/>
        <v>EQ-5D Index</v>
      </c>
      <c r="I196">
        <f t="shared" ca="1" si="44"/>
        <v>117</v>
      </c>
      <c r="J196">
        <f t="shared" ca="1" si="44"/>
        <v>0.80300000000000005</v>
      </c>
      <c r="K196">
        <f t="shared" ca="1" si="44"/>
        <v>0.86699999999999999</v>
      </c>
      <c r="L196">
        <f t="shared" ca="1" si="45"/>
        <v>6.3E-2</v>
      </c>
      <c r="M196">
        <f t="shared" ca="1" si="45"/>
        <v>61</v>
      </c>
      <c r="N196">
        <f t="shared" ca="1" si="45"/>
        <v>34</v>
      </c>
      <c r="O196">
        <f t="shared" ca="1" si="45"/>
        <v>22</v>
      </c>
      <c r="P196">
        <f t="shared" ca="1" si="45"/>
        <v>0.86399999999999999</v>
      </c>
      <c r="Q196">
        <f t="shared" ca="1" si="45"/>
        <v>7.0971181999999994E-2</v>
      </c>
      <c r="R196">
        <f t="shared" ca="1" si="45"/>
        <v>0.17100000000000001</v>
      </c>
      <c r="S196">
        <f t="shared" ref="S196:S259" ca="1" si="46">IF($Q196="*",#N/A,I196)</f>
        <v>117</v>
      </c>
      <c r="T196">
        <f t="shared" ref="T196:T259" ca="1" si="47">IF($Q196="*",#N/A,Q196)</f>
        <v>7.0971181999999994E-2</v>
      </c>
      <c r="U196" t="e">
        <f ca="1">IF(AND($C196='Funnel setup'!$K$3&amp;'Funnel setup'!$K$5&amp;'Funnel setup'!$K$6&amp;'Funnel setup'!$K$4,'Funnel Lookup'!I196="*"),#N/A,IF(AND($C196='Funnel setup'!$K$3&amp;'Funnel setup'!$K$5&amp;'Funnel setup'!$K$6&amp;'Funnel setup'!$K$4,'Funnel Lookup'!I196&gt;29),'Funnel Lookup'!I196,#N/A))</f>
        <v>#N/A</v>
      </c>
      <c r="V196" t="e">
        <f ca="1">IF(AND($C196='Funnel setup'!$K$3&amp;'Funnel setup'!$K$5&amp;'Funnel setup'!$K$6&amp;'Funnel setup'!$K$4,'Funnel Lookup'!I196="*"),#N/A,IF(AND($C196='Funnel setup'!$K$3&amp;'Funnel setup'!$K$5&amp;'Funnel setup'!$K$6&amp;'Funnel setup'!$K$4,'Funnel Lookup'!I196&gt;29),'Funnel Lookup'!Q196,#N/A))</f>
        <v>#N/A</v>
      </c>
    </row>
    <row r="197" spans="1:22" x14ac:dyDescent="0.2">
      <c r="A197">
        <v>195</v>
      </c>
      <c r="B197">
        <f t="shared" ca="1" si="44"/>
        <v>195</v>
      </c>
      <c r="C197" t="str">
        <f t="shared" ca="1" si="44"/>
        <v>Groin HerniaProviderSPIRE ALEXANDRA HOSPITAL (NT312)EQ-5D Index</v>
      </c>
      <c r="D197" t="str">
        <f t="shared" ca="1" si="44"/>
        <v>Groin Hernia</v>
      </c>
      <c r="E197" t="str">
        <f t="shared" ca="1" si="44"/>
        <v>Provider</v>
      </c>
      <c r="F197" t="str">
        <f t="shared" ca="1" si="44"/>
        <v>NT312</v>
      </c>
      <c r="G197" t="str">
        <f t="shared" ca="1" si="44"/>
        <v>SPIRE ALEXANDRA HOSPITAL (NT312)</v>
      </c>
      <c r="H197" t="str">
        <f t="shared" ca="1" si="44"/>
        <v>EQ-5D Index</v>
      </c>
      <c r="I197">
        <f t="shared" ca="1" si="44"/>
        <v>17</v>
      </c>
      <c r="J197">
        <f t="shared" ca="1" si="44"/>
        <v>0.82</v>
      </c>
      <c r="K197">
        <f t="shared" ca="1" si="44"/>
        <v>0.97599999999999998</v>
      </c>
      <c r="L197">
        <f t="shared" ca="1" si="45"/>
        <v>0.156</v>
      </c>
      <c r="M197">
        <f t="shared" ca="1" si="45"/>
        <v>13</v>
      </c>
      <c r="N197">
        <f t="shared" ca="1" si="45"/>
        <v>4</v>
      </c>
      <c r="O197">
        <f t="shared" ca="1" si="45"/>
        <v>0</v>
      </c>
      <c r="P197" t="str">
        <f t="shared" ca="1" si="45"/>
        <v>*</v>
      </c>
      <c r="Q197" t="str">
        <f t="shared" ca="1" si="45"/>
        <v>*</v>
      </c>
      <c r="R197" t="str">
        <f t="shared" ca="1" si="45"/>
        <v>*</v>
      </c>
      <c r="S197" t="e">
        <f t="shared" ca="1" si="46"/>
        <v>#N/A</v>
      </c>
      <c r="T197" t="e">
        <f t="shared" ca="1" si="47"/>
        <v>#N/A</v>
      </c>
      <c r="U197" t="e">
        <f ca="1">IF(AND($C197='Funnel setup'!$K$3&amp;'Funnel setup'!$K$5&amp;'Funnel setup'!$K$6&amp;'Funnel setup'!$K$4,'Funnel Lookup'!I197="*"),#N/A,IF(AND($C197='Funnel setup'!$K$3&amp;'Funnel setup'!$K$5&amp;'Funnel setup'!$K$6&amp;'Funnel setup'!$K$4,'Funnel Lookup'!I197&gt;29),'Funnel Lookup'!I197,#N/A))</f>
        <v>#N/A</v>
      </c>
      <c r="V197" t="e">
        <f ca="1">IF(AND($C197='Funnel setup'!$K$3&amp;'Funnel setup'!$K$5&amp;'Funnel setup'!$K$6&amp;'Funnel setup'!$K$4,'Funnel Lookup'!I197="*"),#N/A,IF(AND($C197='Funnel setup'!$K$3&amp;'Funnel setup'!$K$5&amp;'Funnel setup'!$K$6&amp;'Funnel setup'!$K$4,'Funnel Lookup'!I197&gt;29),'Funnel Lookup'!Q197,#N/A))</f>
        <v>#N/A</v>
      </c>
    </row>
    <row r="198" spans="1:22" x14ac:dyDescent="0.2">
      <c r="A198">
        <v>196</v>
      </c>
      <c r="B198">
        <f t="shared" ca="1" si="44"/>
        <v>196</v>
      </c>
      <c r="C198" t="str">
        <f t="shared" ca="1" si="44"/>
        <v>Groin HerniaProviderSPIRE CAMBRIDGE LEA HOSPITAL (NT317)EQ-5D Index</v>
      </c>
      <c r="D198" t="str">
        <f t="shared" ca="1" si="44"/>
        <v>Groin Hernia</v>
      </c>
      <c r="E198" t="str">
        <f t="shared" ca="1" si="44"/>
        <v>Provider</v>
      </c>
      <c r="F198" t="str">
        <f t="shared" ca="1" si="44"/>
        <v>NT317</v>
      </c>
      <c r="G198" t="str">
        <f t="shared" ca="1" si="44"/>
        <v>SPIRE CAMBRIDGE LEA HOSPITAL (NT317)</v>
      </c>
      <c r="H198" t="str">
        <f t="shared" ca="1" si="44"/>
        <v>EQ-5D Index</v>
      </c>
      <c r="I198">
        <f t="shared" ca="1" si="44"/>
        <v>17</v>
      </c>
      <c r="J198">
        <f t="shared" ca="1" si="44"/>
        <v>0.77400000000000002</v>
      </c>
      <c r="K198">
        <f t="shared" ca="1" si="44"/>
        <v>0.90900000000000003</v>
      </c>
      <c r="L198">
        <f t="shared" ca="1" si="45"/>
        <v>0.13400000000000001</v>
      </c>
      <c r="M198">
        <f t="shared" ca="1" si="45"/>
        <v>10</v>
      </c>
      <c r="N198">
        <f t="shared" ca="1" si="45"/>
        <v>5</v>
      </c>
      <c r="O198">
        <f t="shared" ca="1" si="45"/>
        <v>2</v>
      </c>
      <c r="P198" t="str">
        <f t="shared" ca="1" si="45"/>
        <v>*</v>
      </c>
      <c r="Q198" t="str">
        <f t="shared" ca="1" si="45"/>
        <v>*</v>
      </c>
      <c r="R198" t="str">
        <f t="shared" ca="1" si="45"/>
        <v>*</v>
      </c>
      <c r="S198" t="e">
        <f t="shared" ca="1" si="46"/>
        <v>#N/A</v>
      </c>
      <c r="T198" t="e">
        <f t="shared" ca="1" si="47"/>
        <v>#N/A</v>
      </c>
      <c r="U198" t="e">
        <f ca="1">IF(AND($C198='Funnel setup'!$K$3&amp;'Funnel setup'!$K$5&amp;'Funnel setup'!$K$6&amp;'Funnel setup'!$K$4,'Funnel Lookup'!I198="*"),#N/A,IF(AND($C198='Funnel setup'!$K$3&amp;'Funnel setup'!$K$5&amp;'Funnel setup'!$K$6&amp;'Funnel setup'!$K$4,'Funnel Lookup'!I198&gt;29),'Funnel Lookup'!I198,#N/A))</f>
        <v>#N/A</v>
      </c>
      <c r="V198" t="e">
        <f ca="1">IF(AND($C198='Funnel setup'!$K$3&amp;'Funnel setup'!$K$5&amp;'Funnel setup'!$K$6&amp;'Funnel setup'!$K$4,'Funnel Lookup'!I198="*"),#N/A,IF(AND($C198='Funnel setup'!$K$3&amp;'Funnel setup'!$K$5&amp;'Funnel setup'!$K$6&amp;'Funnel setup'!$K$4,'Funnel Lookup'!I198&gt;29),'Funnel Lookup'!Q198,#N/A))</f>
        <v>#N/A</v>
      </c>
    </row>
    <row r="199" spans="1:22" x14ac:dyDescent="0.2">
      <c r="A199">
        <v>197</v>
      </c>
      <c r="B199">
        <f t="shared" ca="1" si="44"/>
        <v>197</v>
      </c>
      <c r="C199" t="str">
        <f t="shared" ca="1" si="44"/>
        <v>Groin HerniaProviderSPIRE CHESHIRE HOSPITAL (NT324)EQ-5D Index</v>
      </c>
      <c r="D199" t="str">
        <f t="shared" ca="1" si="44"/>
        <v>Groin Hernia</v>
      </c>
      <c r="E199" t="str">
        <f t="shared" ca="1" si="44"/>
        <v>Provider</v>
      </c>
      <c r="F199" t="str">
        <f t="shared" ca="1" si="44"/>
        <v>NT324</v>
      </c>
      <c r="G199" t="str">
        <f t="shared" ca="1" si="44"/>
        <v>SPIRE CHESHIRE HOSPITAL (NT324)</v>
      </c>
      <c r="H199" t="str">
        <f t="shared" ca="1" si="44"/>
        <v>EQ-5D Index</v>
      </c>
      <c r="I199">
        <f t="shared" ca="1" si="44"/>
        <v>29</v>
      </c>
      <c r="J199">
        <f t="shared" ca="1" si="44"/>
        <v>0.83</v>
      </c>
      <c r="K199">
        <f t="shared" ca="1" si="44"/>
        <v>0.91900000000000004</v>
      </c>
      <c r="L199">
        <f t="shared" ca="1" si="45"/>
        <v>8.8999999999999996E-2</v>
      </c>
      <c r="M199">
        <f t="shared" ca="1" si="45"/>
        <v>14</v>
      </c>
      <c r="N199">
        <f t="shared" ca="1" si="45"/>
        <v>12</v>
      </c>
      <c r="O199">
        <f t="shared" ca="1" si="45"/>
        <v>3</v>
      </c>
      <c r="P199" t="str">
        <f t="shared" ca="1" si="45"/>
        <v>*</v>
      </c>
      <c r="Q199" t="str">
        <f t="shared" ca="1" si="45"/>
        <v>*</v>
      </c>
      <c r="R199" t="str">
        <f t="shared" ca="1" si="45"/>
        <v>*</v>
      </c>
      <c r="S199" t="e">
        <f t="shared" ca="1" si="46"/>
        <v>#N/A</v>
      </c>
      <c r="T199" t="e">
        <f t="shared" ca="1" si="47"/>
        <v>#N/A</v>
      </c>
      <c r="U199" t="e">
        <f ca="1">IF(AND($C199='Funnel setup'!$K$3&amp;'Funnel setup'!$K$5&amp;'Funnel setup'!$K$6&amp;'Funnel setup'!$K$4,'Funnel Lookup'!I199="*"),#N/A,IF(AND($C199='Funnel setup'!$K$3&amp;'Funnel setup'!$K$5&amp;'Funnel setup'!$K$6&amp;'Funnel setup'!$K$4,'Funnel Lookup'!I199&gt;29),'Funnel Lookup'!I199,#N/A))</f>
        <v>#N/A</v>
      </c>
      <c r="V199" t="e">
        <f ca="1">IF(AND($C199='Funnel setup'!$K$3&amp;'Funnel setup'!$K$5&amp;'Funnel setup'!$K$6&amp;'Funnel setup'!$K$4,'Funnel Lookup'!I199="*"),#N/A,IF(AND($C199='Funnel setup'!$K$3&amp;'Funnel setup'!$K$5&amp;'Funnel setup'!$K$6&amp;'Funnel setup'!$K$4,'Funnel Lookup'!I199&gt;29),'Funnel Lookup'!Q199,#N/A))</f>
        <v>#N/A</v>
      </c>
    </row>
    <row r="200" spans="1:22" x14ac:dyDescent="0.2">
      <c r="A200">
        <v>198</v>
      </c>
      <c r="B200">
        <f t="shared" ca="1" si="44"/>
        <v>198</v>
      </c>
      <c r="C200" t="str">
        <f t="shared" ca="1" si="44"/>
        <v>Groin HerniaProviderSPIRE CLARE PARK HOSPITAL (NT345)EQ-5D Index</v>
      </c>
      <c r="D200" t="str">
        <f t="shared" ca="1" si="44"/>
        <v>Groin Hernia</v>
      </c>
      <c r="E200" t="str">
        <f t="shared" ca="1" si="44"/>
        <v>Provider</v>
      </c>
      <c r="F200" t="str">
        <f t="shared" ca="1" si="44"/>
        <v>NT345</v>
      </c>
      <c r="G200" t="str">
        <f t="shared" ca="1" si="44"/>
        <v>SPIRE CLARE PARK HOSPITAL (NT345)</v>
      </c>
      <c r="H200" t="str">
        <f t="shared" ca="1" si="44"/>
        <v>EQ-5D Index</v>
      </c>
      <c r="I200" t="str">
        <f t="shared" ca="1" si="44"/>
        <v>*</v>
      </c>
      <c r="J200" t="str">
        <f t="shared" ca="1" si="44"/>
        <v>*</v>
      </c>
      <c r="K200" t="str">
        <f t="shared" ca="1" si="44"/>
        <v>*</v>
      </c>
      <c r="L200" t="str">
        <f t="shared" ca="1" si="45"/>
        <v>*</v>
      </c>
      <c r="M200" t="str">
        <f t="shared" ca="1" si="45"/>
        <v>*</v>
      </c>
      <c r="N200" t="str">
        <f t="shared" ca="1" si="45"/>
        <v>*</v>
      </c>
      <c r="O200" t="str">
        <f t="shared" ca="1" si="45"/>
        <v>*</v>
      </c>
      <c r="P200" t="str">
        <f t="shared" ca="1" si="45"/>
        <v>*</v>
      </c>
      <c r="Q200" t="str">
        <f t="shared" ca="1" si="45"/>
        <v>*</v>
      </c>
      <c r="R200" t="str">
        <f t="shared" ca="1" si="45"/>
        <v>*</v>
      </c>
      <c r="S200" t="e">
        <f t="shared" ca="1" si="46"/>
        <v>#N/A</v>
      </c>
      <c r="T200" t="e">
        <f t="shared" ca="1" si="47"/>
        <v>#N/A</v>
      </c>
      <c r="U200" t="e">
        <f ca="1">IF(AND($C200='Funnel setup'!$K$3&amp;'Funnel setup'!$K$5&amp;'Funnel setup'!$K$6&amp;'Funnel setup'!$K$4,'Funnel Lookup'!I200="*"),#N/A,IF(AND($C200='Funnel setup'!$K$3&amp;'Funnel setup'!$K$5&amp;'Funnel setup'!$K$6&amp;'Funnel setup'!$K$4,'Funnel Lookup'!I200&gt;29),'Funnel Lookup'!I200,#N/A))</f>
        <v>#N/A</v>
      </c>
      <c r="V200" t="e">
        <f ca="1">IF(AND($C200='Funnel setup'!$K$3&amp;'Funnel setup'!$K$5&amp;'Funnel setup'!$K$6&amp;'Funnel setup'!$K$4,'Funnel Lookup'!I200="*"),#N/A,IF(AND($C200='Funnel setup'!$K$3&amp;'Funnel setup'!$K$5&amp;'Funnel setup'!$K$6&amp;'Funnel setup'!$K$4,'Funnel Lookup'!I200&gt;29),'Funnel Lookup'!Q200,#N/A))</f>
        <v>#N/A</v>
      </c>
    </row>
    <row r="201" spans="1:22" x14ac:dyDescent="0.2">
      <c r="A201">
        <v>199</v>
      </c>
      <c r="B201">
        <f t="shared" ca="1" si="44"/>
        <v>199</v>
      </c>
      <c r="C201" t="str">
        <f t="shared" ca="1" si="44"/>
        <v>Groin HerniaProviderSPIRE DUNEDIN HOSPITAL (NT344)EQ-5D Index</v>
      </c>
      <c r="D201" t="str">
        <f t="shared" ca="1" si="44"/>
        <v>Groin Hernia</v>
      </c>
      <c r="E201" t="str">
        <f t="shared" ca="1" si="44"/>
        <v>Provider</v>
      </c>
      <c r="F201" t="str">
        <f t="shared" ca="1" si="44"/>
        <v>NT344</v>
      </c>
      <c r="G201" t="str">
        <f t="shared" ca="1" si="44"/>
        <v>SPIRE DUNEDIN HOSPITAL (NT344)</v>
      </c>
      <c r="H201" t="str">
        <f t="shared" ca="1" si="44"/>
        <v>EQ-5D Index</v>
      </c>
      <c r="I201">
        <f t="shared" ca="1" si="44"/>
        <v>32</v>
      </c>
      <c r="J201">
        <f t="shared" ca="1" si="44"/>
        <v>0.83499999999999996</v>
      </c>
      <c r="K201">
        <f t="shared" ca="1" si="44"/>
        <v>0.9</v>
      </c>
      <c r="L201">
        <f t="shared" ca="1" si="45"/>
        <v>6.5000000000000002E-2</v>
      </c>
      <c r="M201">
        <f t="shared" ca="1" si="45"/>
        <v>14</v>
      </c>
      <c r="N201">
        <f t="shared" ca="1" si="45"/>
        <v>13</v>
      </c>
      <c r="O201">
        <f t="shared" ca="1" si="45"/>
        <v>5</v>
      </c>
      <c r="P201">
        <f t="shared" ca="1" si="45"/>
        <v>0.89</v>
      </c>
      <c r="Q201">
        <f t="shared" ca="1" si="45"/>
        <v>9.6749439000000007E-2</v>
      </c>
      <c r="R201">
        <f t="shared" ca="1" si="45"/>
        <v>0.12</v>
      </c>
      <c r="S201">
        <f t="shared" ca="1" si="46"/>
        <v>32</v>
      </c>
      <c r="T201">
        <f t="shared" ca="1" si="47"/>
        <v>9.6749439000000007E-2</v>
      </c>
      <c r="U201" t="e">
        <f ca="1">IF(AND($C201='Funnel setup'!$K$3&amp;'Funnel setup'!$K$5&amp;'Funnel setup'!$K$6&amp;'Funnel setup'!$K$4,'Funnel Lookup'!I201="*"),#N/A,IF(AND($C201='Funnel setup'!$K$3&amp;'Funnel setup'!$K$5&amp;'Funnel setup'!$K$6&amp;'Funnel setup'!$K$4,'Funnel Lookup'!I201&gt;29),'Funnel Lookup'!I201,#N/A))</f>
        <v>#N/A</v>
      </c>
      <c r="V201" t="e">
        <f ca="1">IF(AND($C201='Funnel setup'!$K$3&amp;'Funnel setup'!$K$5&amp;'Funnel setup'!$K$6&amp;'Funnel setup'!$K$4,'Funnel Lookup'!I201="*"),#N/A,IF(AND($C201='Funnel setup'!$K$3&amp;'Funnel setup'!$K$5&amp;'Funnel setup'!$K$6&amp;'Funnel setup'!$K$4,'Funnel Lookup'!I201&gt;29),'Funnel Lookup'!Q201,#N/A))</f>
        <v>#N/A</v>
      </c>
    </row>
    <row r="202" spans="1:22" x14ac:dyDescent="0.2">
      <c r="A202">
        <v>200</v>
      </c>
      <c r="B202">
        <f t="shared" ca="1" si="44"/>
        <v>200</v>
      </c>
      <c r="C202" t="str">
        <f t="shared" ca="1" si="44"/>
        <v>Groin HerniaProviderSPIRE ELLAND HOSPITAL (NT348)EQ-5D Index</v>
      </c>
      <c r="D202" t="str">
        <f t="shared" ca="1" si="44"/>
        <v>Groin Hernia</v>
      </c>
      <c r="E202" t="str">
        <f t="shared" ca="1" si="44"/>
        <v>Provider</v>
      </c>
      <c r="F202" t="str">
        <f t="shared" ca="1" si="44"/>
        <v>NT348</v>
      </c>
      <c r="G202" t="str">
        <f t="shared" ca="1" si="44"/>
        <v>SPIRE ELLAND HOSPITAL (NT348)</v>
      </c>
      <c r="H202" t="str">
        <f t="shared" ca="1" si="44"/>
        <v>EQ-5D Index</v>
      </c>
      <c r="I202">
        <f t="shared" ca="1" si="44"/>
        <v>41</v>
      </c>
      <c r="J202">
        <f t="shared" ca="1" si="44"/>
        <v>0.81899999999999995</v>
      </c>
      <c r="K202">
        <f t="shared" ca="1" si="44"/>
        <v>0.91800000000000004</v>
      </c>
      <c r="L202">
        <f t="shared" ca="1" si="45"/>
        <v>9.8000000000000004E-2</v>
      </c>
      <c r="M202">
        <f t="shared" ca="1" si="45"/>
        <v>23</v>
      </c>
      <c r="N202">
        <f t="shared" ca="1" si="45"/>
        <v>12</v>
      </c>
      <c r="O202">
        <f t="shared" ca="1" si="45"/>
        <v>6</v>
      </c>
      <c r="P202">
        <f t="shared" ca="1" si="45"/>
        <v>0.91800000000000004</v>
      </c>
      <c r="Q202">
        <f t="shared" ca="1" si="45"/>
        <v>0.12433517199999999</v>
      </c>
      <c r="R202">
        <f t="shared" ca="1" si="45"/>
        <v>0.13200000000000001</v>
      </c>
      <c r="S202">
        <f t="shared" ca="1" si="46"/>
        <v>41</v>
      </c>
      <c r="T202">
        <f t="shared" ca="1" si="47"/>
        <v>0.12433517199999999</v>
      </c>
      <c r="U202" t="e">
        <f ca="1">IF(AND($C202='Funnel setup'!$K$3&amp;'Funnel setup'!$K$5&amp;'Funnel setup'!$K$6&amp;'Funnel setup'!$K$4,'Funnel Lookup'!I202="*"),#N/A,IF(AND($C202='Funnel setup'!$K$3&amp;'Funnel setup'!$K$5&amp;'Funnel setup'!$K$6&amp;'Funnel setup'!$K$4,'Funnel Lookup'!I202&gt;29),'Funnel Lookup'!I202,#N/A))</f>
        <v>#N/A</v>
      </c>
      <c r="V202" t="e">
        <f ca="1">IF(AND($C202='Funnel setup'!$K$3&amp;'Funnel setup'!$K$5&amp;'Funnel setup'!$K$6&amp;'Funnel setup'!$K$4,'Funnel Lookup'!I202="*"),#N/A,IF(AND($C202='Funnel setup'!$K$3&amp;'Funnel setup'!$K$5&amp;'Funnel setup'!$K$6&amp;'Funnel setup'!$K$4,'Funnel Lookup'!I202&gt;29),'Funnel Lookup'!Q202,#N/A))</f>
        <v>#N/A</v>
      </c>
    </row>
    <row r="203" spans="1:22" x14ac:dyDescent="0.2">
      <c r="A203">
        <v>201</v>
      </c>
      <c r="B203">
        <f t="shared" ref="B203:K212" ca="1" si="48">VLOOKUP($A203,Funnel_Data,B$1,FALSE)</f>
        <v>201</v>
      </c>
      <c r="C203" t="str">
        <f t="shared" ca="1" si="48"/>
        <v>Groin HerniaProviderSPIRE FYLDE COAST HOSPITAL (NT347)EQ-5D Index</v>
      </c>
      <c r="D203" t="str">
        <f t="shared" ca="1" si="48"/>
        <v>Groin Hernia</v>
      </c>
      <c r="E203" t="str">
        <f t="shared" ca="1" si="48"/>
        <v>Provider</v>
      </c>
      <c r="F203" t="str">
        <f t="shared" ca="1" si="48"/>
        <v>NT347</v>
      </c>
      <c r="G203" t="str">
        <f t="shared" ca="1" si="48"/>
        <v>SPIRE FYLDE COAST HOSPITAL (NT347)</v>
      </c>
      <c r="H203" t="str">
        <f t="shared" ca="1" si="48"/>
        <v>EQ-5D Index</v>
      </c>
      <c r="I203" t="str">
        <f t="shared" ca="1" si="48"/>
        <v>*</v>
      </c>
      <c r="J203" t="str">
        <f t="shared" ca="1" si="48"/>
        <v>*</v>
      </c>
      <c r="K203" t="str">
        <f t="shared" ca="1" si="48"/>
        <v>*</v>
      </c>
      <c r="L203" t="str">
        <f t="shared" ref="L203:R212" ca="1" si="49">VLOOKUP($A203,Funnel_Data,L$1,FALSE)</f>
        <v>*</v>
      </c>
      <c r="M203" t="str">
        <f t="shared" ca="1" si="49"/>
        <v>*</v>
      </c>
      <c r="N203" t="str">
        <f t="shared" ca="1" si="49"/>
        <v>*</v>
      </c>
      <c r="O203" t="str">
        <f t="shared" ca="1" si="49"/>
        <v>*</v>
      </c>
      <c r="P203" t="str">
        <f t="shared" ca="1" si="49"/>
        <v>*</v>
      </c>
      <c r="Q203" t="str">
        <f t="shared" ca="1" si="49"/>
        <v>*</v>
      </c>
      <c r="R203" t="str">
        <f t="shared" ca="1" si="49"/>
        <v>*</v>
      </c>
      <c r="S203" t="e">
        <f t="shared" ca="1" si="46"/>
        <v>#N/A</v>
      </c>
      <c r="T203" t="e">
        <f t="shared" ca="1" si="47"/>
        <v>#N/A</v>
      </c>
      <c r="U203" t="e">
        <f ca="1">IF(AND($C203='Funnel setup'!$K$3&amp;'Funnel setup'!$K$5&amp;'Funnel setup'!$K$6&amp;'Funnel setup'!$K$4,'Funnel Lookup'!I203="*"),#N/A,IF(AND($C203='Funnel setup'!$K$3&amp;'Funnel setup'!$K$5&amp;'Funnel setup'!$K$6&amp;'Funnel setup'!$K$4,'Funnel Lookup'!I203&gt;29),'Funnel Lookup'!I203,#N/A))</f>
        <v>#N/A</v>
      </c>
      <c r="V203" t="e">
        <f ca="1">IF(AND($C203='Funnel setup'!$K$3&amp;'Funnel setup'!$K$5&amp;'Funnel setup'!$K$6&amp;'Funnel setup'!$K$4,'Funnel Lookup'!I203="*"),#N/A,IF(AND($C203='Funnel setup'!$K$3&amp;'Funnel setup'!$K$5&amp;'Funnel setup'!$K$6&amp;'Funnel setup'!$K$4,'Funnel Lookup'!I203&gt;29),'Funnel Lookup'!Q203,#N/A))</f>
        <v>#N/A</v>
      </c>
    </row>
    <row r="204" spans="1:22" x14ac:dyDescent="0.2">
      <c r="A204">
        <v>202</v>
      </c>
      <c r="B204">
        <f t="shared" ca="1" si="48"/>
        <v>202</v>
      </c>
      <c r="C204" t="str">
        <f t="shared" ca="1" si="48"/>
        <v>Groin HerniaProviderSPIRE GATWICK PARK HOSPITAL (NT308)EQ-5D Index</v>
      </c>
      <c r="D204" t="str">
        <f t="shared" ca="1" si="48"/>
        <v>Groin Hernia</v>
      </c>
      <c r="E204" t="str">
        <f t="shared" ca="1" si="48"/>
        <v>Provider</v>
      </c>
      <c r="F204" t="str">
        <f t="shared" ca="1" si="48"/>
        <v>NT308</v>
      </c>
      <c r="G204" t="str">
        <f t="shared" ca="1" si="48"/>
        <v>SPIRE GATWICK PARK HOSPITAL (NT308)</v>
      </c>
      <c r="H204" t="str">
        <f t="shared" ca="1" si="48"/>
        <v>EQ-5D Index</v>
      </c>
      <c r="I204">
        <f t="shared" ca="1" si="48"/>
        <v>29</v>
      </c>
      <c r="J204">
        <f t="shared" ca="1" si="48"/>
        <v>0.82399999999999995</v>
      </c>
      <c r="K204">
        <f t="shared" ca="1" si="48"/>
        <v>0.91100000000000003</v>
      </c>
      <c r="L204">
        <f t="shared" ca="1" si="49"/>
        <v>8.7999999999999995E-2</v>
      </c>
      <c r="M204">
        <f t="shared" ca="1" si="49"/>
        <v>17</v>
      </c>
      <c r="N204">
        <f t="shared" ca="1" si="49"/>
        <v>7</v>
      </c>
      <c r="O204">
        <f t="shared" ca="1" si="49"/>
        <v>5</v>
      </c>
      <c r="P204" t="str">
        <f t="shared" ca="1" si="49"/>
        <v>*</v>
      </c>
      <c r="Q204" t="str">
        <f t="shared" ca="1" si="49"/>
        <v>*</v>
      </c>
      <c r="R204" t="str">
        <f t="shared" ca="1" si="49"/>
        <v>*</v>
      </c>
      <c r="S204" t="e">
        <f t="shared" ca="1" si="46"/>
        <v>#N/A</v>
      </c>
      <c r="T204" t="e">
        <f t="shared" ca="1" si="47"/>
        <v>#N/A</v>
      </c>
      <c r="U204" t="e">
        <f ca="1">IF(AND($C204='Funnel setup'!$K$3&amp;'Funnel setup'!$K$5&amp;'Funnel setup'!$K$6&amp;'Funnel setup'!$K$4,'Funnel Lookup'!I204="*"),#N/A,IF(AND($C204='Funnel setup'!$K$3&amp;'Funnel setup'!$K$5&amp;'Funnel setup'!$K$6&amp;'Funnel setup'!$K$4,'Funnel Lookup'!I204&gt;29),'Funnel Lookup'!I204,#N/A))</f>
        <v>#N/A</v>
      </c>
      <c r="V204" t="e">
        <f ca="1">IF(AND($C204='Funnel setup'!$K$3&amp;'Funnel setup'!$K$5&amp;'Funnel setup'!$K$6&amp;'Funnel setup'!$K$4,'Funnel Lookup'!I204="*"),#N/A,IF(AND($C204='Funnel setup'!$K$3&amp;'Funnel setup'!$K$5&amp;'Funnel setup'!$K$6&amp;'Funnel setup'!$K$4,'Funnel Lookup'!I204&gt;29),'Funnel Lookup'!Q204,#N/A))</f>
        <v>#N/A</v>
      </c>
    </row>
    <row r="205" spans="1:22" x14ac:dyDescent="0.2">
      <c r="A205">
        <v>203</v>
      </c>
      <c r="B205">
        <f t="shared" ca="1" si="48"/>
        <v>203</v>
      </c>
      <c r="C205" t="str">
        <f t="shared" ca="1" si="48"/>
        <v>Groin HerniaProviderSPIRE HARTSWOOD HOSPITAL (NT319)EQ-5D Index</v>
      </c>
      <c r="D205" t="str">
        <f t="shared" ca="1" si="48"/>
        <v>Groin Hernia</v>
      </c>
      <c r="E205" t="str">
        <f t="shared" ca="1" si="48"/>
        <v>Provider</v>
      </c>
      <c r="F205" t="str">
        <f t="shared" ca="1" si="48"/>
        <v>NT319</v>
      </c>
      <c r="G205" t="str">
        <f t="shared" ca="1" si="48"/>
        <v>SPIRE HARTSWOOD HOSPITAL (NT319)</v>
      </c>
      <c r="H205" t="str">
        <f t="shared" ca="1" si="48"/>
        <v>EQ-5D Index</v>
      </c>
      <c r="I205">
        <f t="shared" ca="1" si="48"/>
        <v>17</v>
      </c>
      <c r="J205">
        <f t="shared" ca="1" si="48"/>
        <v>0.81100000000000005</v>
      </c>
      <c r="K205">
        <f t="shared" ca="1" si="48"/>
        <v>0.89600000000000002</v>
      </c>
      <c r="L205">
        <f t="shared" ca="1" si="49"/>
        <v>8.5999999999999993E-2</v>
      </c>
      <c r="M205">
        <f t="shared" ca="1" si="49"/>
        <v>10</v>
      </c>
      <c r="N205">
        <f t="shared" ca="1" si="49"/>
        <v>5</v>
      </c>
      <c r="O205">
        <f t="shared" ca="1" si="49"/>
        <v>2</v>
      </c>
      <c r="P205" t="str">
        <f t="shared" ca="1" si="49"/>
        <v>*</v>
      </c>
      <c r="Q205" t="str">
        <f t="shared" ca="1" si="49"/>
        <v>*</v>
      </c>
      <c r="R205" t="str">
        <f t="shared" ca="1" si="49"/>
        <v>*</v>
      </c>
      <c r="S205" t="e">
        <f t="shared" ca="1" si="46"/>
        <v>#N/A</v>
      </c>
      <c r="T205" t="e">
        <f t="shared" ca="1" si="47"/>
        <v>#N/A</v>
      </c>
      <c r="U205" t="e">
        <f ca="1">IF(AND($C205='Funnel setup'!$K$3&amp;'Funnel setup'!$K$5&amp;'Funnel setup'!$K$6&amp;'Funnel setup'!$K$4,'Funnel Lookup'!I205="*"),#N/A,IF(AND($C205='Funnel setup'!$K$3&amp;'Funnel setup'!$K$5&amp;'Funnel setup'!$K$6&amp;'Funnel setup'!$K$4,'Funnel Lookup'!I205&gt;29),'Funnel Lookup'!I205,#N/A))</f>
        <v>#N/A</v>
      </c>
      <c r="V205" t="e">
        <f ca="1">IF(AND($C205='Funnel setup'!$K$3&amp;'Funnel setup'!$K$5&amp;'Funnel setup'!$K$6&amp;'Funnel setup'!$K$4,'Funnel Lookup'!I205="*"),#N/A,IF(AND($C205='Funnel setup'!$K$3&amp;'Funnel setup'!$K$5&amp;'Funnel setup'!$K$6&amp;'Funnel setup'!$K$4,'Funnel Lookup'!I205&gt;29),'Funnel Lookup'!Q205,#N/A))</f>
        <v>#N/A</v>
      </c>
    </row>
    <row r="206" spans="1:22" x14ac:dyDescent="0.2">
      <c r="A206">
        <v>204</v>
      </c>
      <c r="B206">
        <f t="shared" ca="1" si="48"/>
        <v>204</v>
      </c>
      <c r="C206" t="str">
        <f t="shared" ca="1" si="48"/>
        <v>Groin HerniaProviderSPIRE HULL AND EAST RIDING HOSPITAL (NT351)EQ-5D Index</v>
      </c>
      <c r="D206" t="str">
        <f t="shared" ca="1" si="48"/>
        <v>Groin Hernia</v>
      </c>
      <c r="E206" t="str">
        <f t="shared" ca="1" si="48"/>
        <v>Provider</v>
      </c>
      <c r="F206" t="str">
        <f t="shared" ca="1" si="48"/>
        <v>NT351</v>
      </c>
      <c r="G206" t="str">
        <f t="shared" ca="1" si="48"/>
        <v>SPIRE HULL AND EAST RIDING HOSPITAL (NT351)</v>
      </c>
      <c r="H206" t="str">
        <f t="shared" ca="1" si="48"/>
        <v>EQ-5D Index</v>
      </c>
      <c r="I206">
        <f t="shared" ca="1" si="48"/>
        <v>93</v>
      </c>
      <c r="J206">
        <f t="shared" ca="1" si="48"/>
        <v>0.79700000000000004</v>
      </c>
      <c r="K206">
        <f t="shared" ca="1" si="48"/>
        <v>0.875</v>
      </c>
      <c r="L206">
        <f t="shared" ca="1" si="49"/>
        <v>7.6999999999999999E-2</v>
      </c>
      <c r="M206">
        <f t="shared" ca="1" si="49"/>
        <v>41</v>
      </c>
      <c r="N206">
        <f t="shared" ca="1" si="49"/>
        <v>36</v>
      </c>
      <c r="O206">
        <f t="shared" ca="1" si="49"/>
        <v>16</v>
      </c>
      <c r="P206">
        <f t="shared" ca="1" si="49"/>
        <v>0.878</v>
      </c>
      <c r="Q206">
        <f t="shared" ca="1" si="49"/>
        <v>8.4374378E-2</v>
      </c>
      <c r="R206">
        <f t="shared" ca="1" si="49"/>
        <v>0.14799999999999999</v>
      </c>
      <c r="S206">
        <f t="shared" ca="1" si="46"/>
        <v>93</v>
      </c>
      <c r="T206">
        <f t="shared" ca="1" si="47"/>
        <v>8.4374378E-2</v>
      </c>
      <c r="U206" t="e">
        <f ca="1">IF(AND($C206='Funnel setup'!$K$3&amp;'Funnel setup'!$K$5&amp;'Funnel setup'!$K$6&amp;'Funnel setup'!$K$4,'Funnel Lookup'!I206="*"),#N/A,IF(AND($C206='Funnel setup'!$K$3&amp;'Funnel setup'!$K$5&amp;'Funnel setup'!$K$6&amp;'Funnel setup'!$K$4,'Funnel Lookup'!I206&gt;29),'Funnel Lookup'!I206,#N/A))</f>
        <v>#N/A</v>
      </c>
      <c r="V206" t="e">
        <f ca="1">IF(AND($C206='Funnel setup'!$K$3&amp;'Funnel setup'!$K$5&amp;'Funnel setup'!$K$6&amp;'Funnel setup'!$K$4,'Funnel Lookup'!I206="*"),#N/A,IF(AND($C206='Funnel setup'!$K$3&amp;'Funnel setup'!$K$5&amp;'Funnel setup'!$K$6&amp;'Funnel setup'!$K$4,'Funnel Lookup'!I206&gt;29),'Funnel Lookup'!Q206,#N/A))</f>
        <v>#N/A</v>
      </c>
    </row>
    <row r="207" spans="1:22" x14ac:dyDescent="0.2">
      <c r="A207">
        <v>205</v>
      </c>
      <c r="B207">
        <f t="shared" ca="1" si="48"/>
        <v>205</v>
      </c>
      <c r="C207" t="str">
        <f t="shared" ca="1" si="48"/>
        <v>Groin HerniaProviderSPIRE LEEDS HOSPITAL (NT332)EQ-5D Index</v>
      </c>
      <c r="D207" t="str">
        <f t="shared" ca="1" si="48"/>
        <v>Groin Hernia</v>
      </c>
      <c r="E207" t="str">
        <f t="shared" ca="1" si="48"/>
        <v>Provider</v>
      </c>
      <c r="F207" t="str">
        <f t="shared" ca="1" si="48"/>
        <v>NT332</v>
      </c>
      <c r="G207" t="str">
        <f t="shared" ca="1" si="48"/>
        <v>SPIRE LEEDS HOSPITAL (NT332)</v>
      </c>
      <c r="H207" t="str">
        <f t="shared" ca="1" si="48"/>
        <v>EQ-5D Index</v>
      </c>
      <c r="I207">
        <f t="shared" ca="1" si="48"/>
        <v>83</v>
      </c>
      <c r="J207">
        <f t="shared" ca="1" si="48"/>
        <v>0.82899999999999996</v>
      </c>
      <c r="K207">
        <f t="shared" ca="1" si="48"/>
        <v>0.91700000000000004</v>
      </c>
      <c r="L207">
        <f t="shared" ca="1" si="49"/>
        <v>8.7999999999999995E-2</v>
      </c>
      <c r="M207">
        <f t="shared" ca="1" si="49"/>
        <v>40</v>
      </c>
      <c r="N207">
        <f t="shared" ca="1" si="49"/>
        <v>35</v>
      </c>
      <c r="O207">
        <f t="shared" ca="1" si="49"/>
        <v>8</v>
      </c>
      <c r="P207">
        <f t="shared" ca="1" si="49"/>
        <v>0.91100000000000003</v>
      </c>
      <c r="Q207">
        <f t="shared" ca="1" si="49"/>
        <v>0.117905044</v>
      </c>
      <c r="R207">
        <f t="shared" ca="1" si="49"/>
        <v>9.8000000000000004E-2</v>
      </c>
      <c r="S207">
        <f t="shared" ca="1" si="46"/>
        <v>83</v>
      </c>
      <c r="T207">
        <f t="shared" ca="1" si="47"/>
        <v>0.117905044</v>
      </c>
      <c r="U207" t="e">
        <f ca="1">IF(AND($C207='Funnel setup'!$K$3&amp;'Funnel setup'!$K$5&amp;'Funnel setup'!$K$6&amp;'Funnel setup'!$K$4,'Funnel Lookup'!I207="*"),#N/A,IF(AND($C207='Funnel setup'!$K$3&amp;'Funnel setup'!$K$5&amp;'Funnel setup'!$K$6&amp;'Funnel setup'!$K$4,'Funnel Lookup'!I207&gt;29),'Funnel Lookup'!I207,#N/A))</f>
        <v>#N/A</v>
      </c>
      <c r="V207" t="e">
        <f ca="1">IF(AND($C207='Funnel setup'!$K$3&amp;'Funnel setup'!$K$5&amp;'Funnel setup'!$K$6&amp;'Funnel setup'!$K$4,'Funnel Lookup'!I207="*"),#N/A,IF(AND($C207='Funnel setup'!$K$3&amp;'Funnel setup'!$K$5&amp;'Funnel setup'!$K$6&amp;'Funnel setup'!$K$4,'Funnel Lookup'!I207&gt;29),'Funnel Lookup'!Q207,#N/A))</f>
        <v>#N/A</v>
      </c>
    </row>
    <row r="208" spans="1:22" x14ac:dyDescent="0.2">
      <c r="A208">
        <v>206</v>
      </c>
      <c r="B208">
        <f t="shared" ca="1" si="48"/>
        <v>206</v>
      </c>
      <c r="C208" t="str">
        <f t="shared" ca="1" si="48"/>
        <v>Groin HerniaProviderSPIRE LEICESTER HOSPITAL (NT322)EQ-5D Index</v>
      </c>
      <c r="D208" t="str">
        <f t="shared" ca="1" si="48"/>
        <v>Groin Hernia</v>
      </c>
      <c r="E208" t="str">
        <f t="shared" ca="1" si="48"/>
        <v>Provider</v>
      </c>
      <c r="F208" t="str">
        <f t="shared" ca="1" si="48"/>
        <v>NT322</v>
      </c>
      <c r="G208" t="str">
        <f t="shared" ca="1" si="48"/>
        <v>SPIRE LEICESTER HOSPITAL (NT322)</v>
      </c>
      <c r="H208" t="str">
        <f t="shared" ca="1" si="48"/>
        <v>EQ-5D Index</v>
      </c>
      <c r="I208">
        <f t="shared" ca="1" si="48"/>
        <v>79</v>
      </c>
      <c r="J208">
        <f t="shared" ca="1" si="48"/>
        <v>0.77400000000000002</v>
      </c>
      <c r="K208">
        <f t="shared" ca="1" si="48"/>
        <v>0.86099999999999999</v>
      </c>
      <c r="L208">
        <f t="shared" ca="1" si="49"/>
        <v>8.6999999999999994E-2</v>
      </c>
      <c r="M208">
        <f t="shared" ca="1" si="49"/>
        <v>40</v>
      </c>
      <c r="N208">
        <f t="shared" ca="1" si="49"/>
        <v>26</v>
      </c>
      <c r="O208">
        <f t="shared" ca="1" si="49"/>
        <v>13</v>
      </c>
      <c r="P208">
        <f t="shared" ca="1" si="49"/>
        <v>0.871</v>
      </c>
      <c r="Q208">
        <f t="shared" ca="1" si="49"/>
        <v>7.7353325000000001E-2</v>
      </c>
      <c r="R208">
        <f t="shared" ca="1" si="49"/>
        <v>0.13300000000000001</v>
      </c>
      <c r="S208">
        <f t="shared" ca="1" si="46"/>
        <v>79</v>
      </c>
      <c r="T208">
        <f t="shared" ca="1" si="47"/>
        <v>7.7353325000000001E-2</v>
      </c>
      <c r="U208" t="e">
        <f ca="1">IF(AND($C208='Funnel setup'!$K$3&amp;'Funnel setup'!$K$5&amp;'Funnel setup'!$K$6&amp;'Funnel setup'!$K$4,'Funnel Lookup'!I208="*"),#N/A,IF(AND($C208='Funnel setup'!$K$3&amp;'Funnel setup'!$K$5&amp;'Funnel setup'!$K$6&amp;'Funnel setup'!$K$4,'Funnel Lookup'!I208&gt;29),'Funnel Lookup'!I208,#N/A))</f>
        <v>#N/A</v>
      </c>
      <c r="V208" t="e">
        <f ca="1">IF(AND($C208='Funnel setup'!$K$3&amp;'Funnel setup'!$K$5&amp;'Funnel setup'!$K$6&amp;'Funnel setup'!$K$4,'Funnel Lookup'!I208="*"),#N/A,IF(AND($C208='Funnel setup'!$K$3&amp;'Funnel setup'!$K$5&amp;'Funnel setup'!$K$6&amp;'Funnel setup'!$K$4,'Funnel Lookup'!I208&gt;29),'Funnel Lookup'!Q208,#N/A))</f>
        <v>#N/A</v>
      </c>
    </row>
    <row r="209" spans="1:22" x14ac:dyDescent="0.2">
      <c r="A209">
        <v>207</v>
      </c>
      <c r="B209">
        <f t="shared" ca="1" si="48"/>
        <v>207</v>
      </c>
      <c r="C209" t="str">
        <f t="shared" ca="1" si="48"/>
        <v>Groin HerniaProviderSPIRE LITTLE ASTON HOSPITAL (NT321)EQ-5D Index</v>
      </c>
      <c r="D209" t="str">
        <f t="shared" ca="1" si="48"/>
        <v>Groin Hernia</v>
      </c>
      <c r="E209" t="str">
        <f t="shared" ca="1" si="48"/>
        <v>Provider</v>
      </c>
      <c r="F209" t="str">
        <f t="shared" ca="1" si="48"/>
        <v>NT321</v>
      </c>
      <c r="G209" t="str">
        <f t="shared" ca="1" si="48"/>
        <v>SPIRE LITTLE ASTON HOSPITAL (NT321)</v>
      </c>
      <c r="H209" t="str">
        <f t="shared" ca="1" si="48"/>
        <v>EQ-5D Index</v>
      </c>
      <c r="I209">
        <f t="shared" ca="1" si="48"/>
        <v>58</v>
      </c>
      <c r="J209">
        <f t="shared" ca="1" si="48"/>
        <v>0.82</v>
      </c>
      <c r="K209">
        <f t="shared" ca="1" si="48"/>
        <v>0.92600000000000005</v>
      </c>
      <c r="L209">
        <f t="shared" ca="1" si="49"/>
        <v>0.106</v>
      </c>
      <c r="M209">
        <f t="shared" ca="1" si="49"/>
        <v>32</v>
      </c>
      <c r="N209">
        <f t="shared" ca="1" si="49"/>
        <v>21</v>
      </c>
      <c r="O209">
        <f t="shared" ca="1" si="49"/>
        <v>5</v>
      </c>
      <c r="P209">
        <f t="shared" ca="1" si="49"/>
        <v>0.92600000000000005</v>
      </c>
      <c r="Q209">
        <f t="shared" ca="1" si="49"/>
        <v>0.133034977</v>
      </c>
      <c r="R209">
        <f t="shared" ca="1" si="49"/>
        <v>0.106</v>
      </c>
      <c r="S209">
        <f t="shared" ca="1" si="46"/>
        <v>58</v>
      </c>
      <c r="T209">
        <f t="shared" ca="1" si="47"/>
        <v>0.133034977</v>
      </c>
      <c r="U209" t="e">
        <f ca="1">IF(AND($C209='Funnel setup'!$K$3&amp;'Funnel setup'!$K$5&amp;'Funnel setup'!$K$6&amp;'Funnel setup'!$K$4,'Funnel Lookup'!I209="*"),#N/A,IF(AND($C209='Funnel setup'!$K$3&amp;'Funnel setup'!$K$5&amp;'Funnel setup'!$K$6&amp;'Funnel setup'!$K$4,'Funnel Lookup'!I209&gt;29),'Funnel Lookup'!I209,#N/A))</f>
        <v>#N/A</v>
      </c>
      <c r="V209" t="e">
        <f ca="1">IF(AND($C209='Funnel setup'!$K$3&amp;'Funnel setup'!$K$5&amp;'Funnel setup'!$K$6&amp;'Funnel setup'!$K$4,'Funnel Lookup'!I209="*"),#N/A,IF(AND($C209='Funnel setup'!$K$3&amp;'Funnel setup'!$K$5&amp;'Funnel setup'!$K$6&amp;'Funnel setup'!$K$4,'Funnel Lookup'!I209&gt;29),'Funnel Lookup'!Q209,#N/A))</f>
        <v>#N/A</v>
      </c>
    </row>
    <row r="210" spans="1:22" x14ac:dyDescent="0.2">
      <c r="A210">
        <v>208</v>
      </c>
      <c r="B210">
        <f t="shared" ca="1" si="48"/>
        <v>208</v>
      </c>
      <c r="C210" t="str">
        <f t="shared" ca="1" si="48"/>
        <v>Groin HerniaProviderSPIRE LIVERPOOL HOSPITAL (NT337)EQ-5D Index</v>
      </c>
      <c r="D210" t="str">
        <f t="shared" ca="1" si="48"/>
        <v>Groin Hernia</v>
      </c>
      <c r="E210" t="str">
        <f t="shared" ca="1" si="48"/>
        <v>Provider</v>
      </c>
      <c r="F210" t="str">
        <f t="shared" ca="1" si="48"/>
        <v>NT337</v>
      </c>
      <c r="G210" t="str">
        <f t="shared" ca="1" si="48"/>
        <v>SPIRE LIVERPOOL HOSPITAL (NT337)</v>
      </c>
      <c r="H210" t="str">
        <f t="shared" ca="1" si="48"/>
        <v>EQ-5D Index</v>
      </c>
      <c r="I210" t="str">
        <f t="shared" ca="1" si="48"/>
        <v>*</v>
      </c>
      <c r="J210" t="str">
        <f t="shared" ca="1" si="48"/>
        <v>*</v>
      </c>
      <c r="K210" t="str">
        <f t="shared" ca="1" si="48"/>
        <v>*</v>
      </c>
      <c r="L210" t="str">
        <f t="shared" ca="1" si="49"/>
        <v>*</v>
      </c>
      <c r="M210" t="str">
        <f t="shared" ca="1" si="49"/>
        <v>*</v>
      </c>
      <c r="N210" t="str">
        <f t="shared" ca="1" si="49"/>
        <v>*</v>
      </c>
      <c r="O210" t="str">
        <f t="shared" ca="1" si="49"/>
        <v>*</v>
      </c>
      <c r="P210" t="str">
        <f t="shared" ca="1" si="49"/>
        <v>*</v>
      </c>
      <c r="Q210" t="str">
        <f t="shared" ca="1" si="49"/>
        <v>*</v>
      </c>
      <c r="R210" t="str">
        <f t="shared" ca="1" si="49"/>
        <v>*</v>
      </c>
      <c r="S210" t="e">
        <f t="shared" ca="1" si="46"/>
        <v>#N/A</v>
      </c>
      <c r="T210" t="e">
        <f t="shared" ca="1" si="47"/>
        <v>#N/A</v>
      </c>
      <c r="U210" t="e">
        <f ca="1">IF(AND($C210='Funnel setup'!$K$3&amp;'Funnel setup'!$K$5&amp;'Funnel setup'!$K$6&amp;'Funnel setup'!$K$4,'Funnel Lookup'!I210="*"),#N/A,IF(AND($C210='Funnel setup'!$K$3&amp;'Funnel setup'!$K$5&amp;'Funnel setup'!$K$6&amp;'Funnel setup'!$K$4,'Funnel Lookup'!I210&gt;29),'Funnel Lookup'!I210,#N/A))</f>
        <v>#N/A</v>
      </c>
      <c r="V210" t="e">
        <f ca="1">IF(AND($C210='Funnel setup'!$K$3&amp;'Funnel setup'!$K$5&amp;'Funnel setup'!$K$6&amp;'Funnel setup'!$K$4,'Funnel Lookup'!I210="*"),#N/A,IF(AND($C210='Funnel setup'!$K$3&amp;'Funnel setup'!$K$5&amp;'Funnel setup'!$K$6&amp;'Funnel setup'!$K$4,'Funnel Lookup'!I210&gt;29),'Funnel Lookup'!Q210,#N/A))</f>
        <v>#N/A</v>
      </c>
    </row>
    <row r="211" spans="1:22" x14ac:dyDescent="0.2">
      <c r="A211">
        <v>209</v>
      </c>
      <c r="B211">
        <f t="shared" ca="1" si="48"/>
        <v>209</v>
      </c>
      <c r="C211" t="str">
        <f t="shared" ca="1" si="48"/>
        <v>Groin HerniaProviderSPIRE MANCHESTER HOSPITAL (NT327)EQ-5D Index</v>
      </c>
      <c r="D211" t="str">
        <f t="shared" ca="1" si="48"/>
        <v>Groin Hernia</v>
      </c>
      <c r="E211" t="str">
        <f t="shared" ca="1" si="48"/>
        <v>Provider</v>
      </c>
      <c r="F211" t="str">
        <f t="shared" ca="1" si="48"/>
        <v>NT327</v>
      </c>
      <c r="G211" t="str">
        <f t="shared" ca="1" si="48"/>
        <v>SPIRE MANCHESTER HOSPITAL (NT327)</v>
      </c>
      <c r="H211" t="str">
        <f t="shared" ca="1" si="48"/>
        <v>EQ-5D Index</v>
      </c>
      <c r="I211" t="str">
        <f t="shared" ca="1" si="48"/>
        <v>*</v>
      </c>
      <c r="J211" t="str">
        <f t="shared" ca="1" si="48"/>
        <v>*</v>
      </c>
      <c r="K211" t="str">
        <f t="shared" ca="1" si="48"/>
        <v>*</v>
      </c>
      <c r="L211" t="str">
        <f t="shared" ca="1" si="49"/>
        <v>*</v>
      </c>
      <c r="M211" t="str">
        <f t="shared" ca="1" si="49"/>
        <v>*</v>
      </c>
      <c r="N211" t="str">
        <f t="shared" ca="1" si="49"/>
        <v>*</v>
      </c>
      <c r="O211" t="str">
        <f t="shared" ca="1" si="49"/>
        <v>*</v>
      </c>
      <c r="P211" t="str">
        <f t="shared" ca="1" si="49"/>
        <v>*</v>
      </c>
      <c r="Q211" t="str">
        <f t="shared" ca="1" si="49"/>
        <v>*</v>
      </c>
      <c r="R211" t="str">
        <f t="shared" ca="1" si="49"/>
        <v>*</v>
      </c>
      <c r="S211" t="e">
        <f t="shared" ca="1" si="46"/>
        <v>#N/A</v>
      </c>
      <c r="T211" t="e">
        <f t="shared" ca="1" si="47"/>
        <v>#N/A</v>
      </c>
      <c r="U211" t="e">
        <f ca="1">IF(AND($C211='Funnel setup'!$K$3&amp;'Funnel setup'!$K$5&amp;'Funnel setup'!$K$6&amp;'Funnel setup'!$K$4,'Funnel Lookup'!I211="*"),#N/A,IF(AND($C211='Funnel setup'!$K$3&amp;'Funnel setup'!$K$5&amp;'Funnel setup'!$K$6&amp;'Funnel setup'!$K$4,'Funnel Lookup'!I211&gt;29),'Funnel Lookup'!I211,#N/A))</f>
        <v>#N/A</v>
      </c>
      <c r="V211" t="e">
        <f ca="1">IF(AND($C211='Funnel setup'!$K$3&amp;'Funnel setup'!$K$5&amp;'Funnel setup'!$K$6&amp;'Funnel setup'!$K$4,'Funnel Lookup'!I211="*"),#N/A,IF(AND($C211='Funnel setup'!$K$3&amp;'Funnel setup'!$K$5&amp;'Funnel setup'!$K$6&amp;'Funnel setup'!$K$4,'Funnel Lookup'!I211&gt;29),'Funnel Lookup'!Q211,#N/A))</f>
        <v>#N/A</v>
      </c>
    </row>
    <row r="212" spans="1:22" x14ac:dyDescent="0.2">
      <c r="A212">
        <v>210</v>
      </c>
      <c r="B212">
        <f t="shared" ca="1" si="48"/>
        <v>210</v>
      </c>
      <c r="C212" t="str">
        <f t="shared" ca="1" si="48"/>
        <v>Groin HerniaProviderSPIRE METHLEY PARK HOSPITAL (NT350)EQ-5D Index</v>
      </c>
      <c r="D212" t="str">
        <f t="shared" ca="1" si="48"/>
        <v>Groin Hernia</v>
      </c>
      <c r="E212" t="str">
        <f t="shared" ca="1" si="48"/>
        <v>Provider</v>
      </c>
      <c r="F212" t="str">
        <f t="shared" ca="1" si="48"/>
        <v>NT350</v>
      </c>
      <c r="G212" t="str">
        <f t="shared" ca="1" si="48"/>
        <v>SPIRE METHLEY PARK HOSPITAL (NT350)</v>
      </c>
      <c r="H212" t="str">
        <f t="shared" ca="1" si="48"/>
        <v>EQ-5D Index</v>
      </c>
      <c r="I212">
        <f t="shared" ca="1" si="48"/>
        <v>88</v>
      </c>
      <c r="J212">
        <f t="shared" ca="1" si="48"/>
        <v>0.80500000000000005</v>
      </c>
      <c r="K212">
        <f t="shared" ca="1" si="48"/>
        <v>0.86399999999999999</v>
      </c>
      <c r="L212">
        <f t="shared" ca="1" si="49"/>
        <v>5.8999999999999997E-2</v>
      </c>
      <c r="M212">
        <f t="shared" ca="1" si="49"/>
        <v>43</v>
      </c>
      <c r="N212">
        <f t="shared" ca="1" si="49"/>
        <v>25</v>
      </c>
      <c r="O212">
        <f t="shared" ca="1" si="49"/>
        <v>20</v>
      </c>
      <c r="P212">
        <f t="shared" ca="1" si="49"/>
        <v>0.86599999999999999</v>
      </c>
      <c r="Q212">
        <f t="shared" ca="1" si="49"/>
        <v>7.2514273000000004E-2</v>
      </c>
      <c r="R212">
        <f t="shared" ca="1" si="49"/>
        <v>0.182</v>
      </c>
      <c r="S212">
        <f t="shared" ca="1" si="46"/>
        <v>88</v>
      </c>
      <c r="T212">
        <f t="shared" ca="1" si="47"/>
        <v>7.2514273000000004E-2</v>
      </c>
      <c r="U212" t="e">
        <f ca="1">IF(AND($C212='Funnel setup'!$K$3&amp;'Funnel setup'!$K$5&amp;'Funnel setup'!$K$6&amp;'Funnel setup'!$K$4,'Funnel Lookup'!I212="*"),#N/A,IF(AND($C212='Funnel setup'!$K$3&amp;'Funnel setup'!$K$5&amp;'Funnel setup'!$K$6&amp;'Funnel setup'!$K$4,'Funnel Lookup'!I212&gt;29),'Funnel Lookup'!I212,#N/A))</f>
        <v>#N/A</v>
      </c>
      <c r="V212" t="e">
        <f ca="1">IF(AND($C212='Funnel setup'!$K$3&amp;'Funnel setup'!$K$5&amp;'Funnel setup'!$K$6&amp;'Funnel setup'!$K$4,'Funnel Lookup'!I212="*"),#N/A,IF(AND($C212='Funnel setup'!$K$3&amp;'Funnel setup'!$K$5&amp;'Funnel setup'!$K$6&amp;'Funnel setup'!$K$4,'Funnel Lookup'!I212&gt;29),'Funnel Lookup'!Q212,#N/A))</f>
        <v>#N/A</v>
      </c>
    </row>
    <row r="213" spans="1:22" x14ac:dyDescent="0.2">
      <c r="A213">
        <v>211</v>
      </c>
      <c r="B213">
        <f t="shared" ref="B213:K222" ca="1" si="50">VLOOKUP($A213,Funnel_Data,B$1,FALSE)</f>
        <v>211</v>
      </c>
      <c r="C213" t="str">
        <f t="shared" ca="1" si="50"/>
        <v>Groin HerniaProviderSPIRE MURRAYFIELD HOSPITAL (NT325)EQ-5D Index</v>
      </c>
      <c r="D213" t="str">
        <f t="shared" ca="1" si="50"/>
        <v>Groin Hernia</v>
      </c>
      <c r="E213" t="str">
        <f t="shared" ca="1" si="50"/>
        <v>Provider</v>
      </c>
      <c r="F213" t="str">
        <f t="shared" ca="1" si="50"/>
        <v>NT325</v>
      </c>
      <c r="G213" t="str">
        <f t="shared" ca="1" si="50"/>
        <v>SPIRE MURRAYFIELD HOSPITAL (NT325)</v>
      </c>
      <c r="H213" t="str">
        <f t="shared" ca="1" si="50"/>
        <v>EQ-5D Index</v>
      </c>
      <c r="I213">
        <f t="shared" ca="1" si="50"/>
        <v>47</v>
      </c>
      <c r="J213">
        <f t="shared" ca="1" si="50"/>
        <v>0.80900000000000005</v>
      </c>
      <c r="K213">
        <f t="shared" ca="1" si="50"/>
        <v>0.88900000000000001</v>
      </c>
      <c r="L213">
        <f t="shared" ref="L213:R222" ca="1" si="51">VLOOKUP($A213,Funnel_Data,L$1,FALSE)</f>
        <v>0.08</v>
      </c>
      <c r="M213">
        <f t="shared" ca="1" si="51"/>
        <v>20</v>
      </c>
      <c r="N213">
        <f t="shared" ca="1" si="51"/>
        <v>20</v>
      </c>
      <c r="O213">
        <f t="shared" ca="1" si="51"/>
        <v>7</v>
      </c>
      <c r="P213">
        <f t="shared" ca="1" si="51"/>
        <v>0.89800000000000002</v>
      </c>
      <c r="Q213">
        <f t="shared" ca="1" si="51"/>
        <v>0.104626898</v>
      </c>
      <c r="R213">
        <f t="shared" ca="1" si="51"/>
        <v>0.14399999999999999</v>
      </c>
      <c r="S213">
        <f t="shared" ca="1" si="46"/>
        <v>47</v>
      </c>
      <c r="T213">
        <f t="shared" ca="1" si="47"/>
        <v>0.104626898</v>
      </c>
      <c r="U213" t="e">
        <f ca="1">IF(AND($C213='Funnel setup'!$K$3&amp;'Funnel setup'!$K$5&amp;'Funnel setup'!$K$6&amp;'Funnel setup'!$K$4,'Funnel Lookup'!I213="*"),#N/A,IF(AND($C213='Funnel setup'!$K$3&amp;'Funnel setup'!$K$5&amp;'Funnel setup'!$K$6&amp;'Funnel setup'!$K$4,'Funnel Lookup'!I213&gt;29),'Funnel Lookup'!I213,#N/A))</f>
        <v>#N/A</v>
      </c>
      <c r="V213" t="e">
        <f ca="1">IF(AND($C213='Funnel setup'!$K$3&amp;'Funnel setup'!$K$5&amp;'Funnel setup'!$K$6&amp;'Funnel setup'!$K$4,'Funnel Lookup'!I213="*"),#N/A,IF(AND($C213='Funnel setup'!$K$3&amp;'Funnel setup'!$K$5&amp;'Funnel setup'!$K$6&amp;'Funnel setup'!$K$4,'Funnel Lookup'!I213&gt;29),'Funnel Lookup'!Q213,#N/A))</f>
        <v>#N/A</v>
      </c>
    </row>
    <row r="214" spans="1:22" x14ac:dyDescent="0.2">
      <c r="A214">
        <v>212</v>
      </c>
      <c r="B214">
        <f t="shared" ca="1" si="50"/>
        <v>212</v>
      </c>
      <c r="C214" t="str">
        <f t="shared" ca="1" si="50"/>
        <v>Groin HerniaProviderSPIRE PARKWAY HOSPITAL (NT320)EQ-5D Index</v>
      </c>
      <c r="D214" t="str">
        <f t="shared" ca="1" si="50"/>
        <v>Groin Hernia</v>
      </c>
      <c r="E214" t="str">
        <f t="shared" ca="1" si="50"/>
        <v>Provider</v>
      </c>
      <c r="F214" t="str">
        <f t="shared" ca="1" si="50"/>
        <v>NT320</v>
      </c>
      <c r="G214" t="str">
        <f t="shared" ca="1" si="50"/>
        <v>SPIRE PARKWAY HOSPITAL (NT320)</v>
      </c>
      <c r="H214" t="str">
        <f t="shared" ca="1" si="50"/>
        <v>EQ-5D Index</v>
      </c>
      <c r="I214">
        <f t="shared" ca="1" si="50"/>
        <v>7</v>
      </c>
      <c r="J214">
        <f t="shared" ca="1" si="50"/>
        <v>0.70899999999999996</v>
      </c>
      <c r="K214">
        <f t="shared" ca="1" si="50"/>
        <v>0.90800000000000003</v>
      </c>
      <c r="L214">
        <f t="shared" ca="1" si="51"/>
        <v>0.19900000000000001</v>
      </c>
      <c r="M214">
        <f t="shared" ca="1" si="51"/>
        <v>6</v>
      </c>
      <c r="N214">
        <f t="shared" ca="1" si="51"/>
        <v>1</v>
      </c>
      <c r="O214">
        <f t="shared" ca="1" si="51"/>
        <v>0</v>
      </c>
      <c r="P214" t="str">
        <f t="shared" ca="1" si="51"/>
        <v>*</v>
      </c>
      <c r="Q214" t="str">
        <f t="shared" ca="1" si="51"/>
        <v>*</v>
      </c>
      <c r="R214" t="str">
        <f t="shared" ca="1" si="51"/>
        <v>*</v>
      </c>
      <c r="S214" t="e">
        <f t="shared" ca="1" si="46"/>
        <v>#N/A</v>
      </c>
      <c r="T214" t="e">
        <f t="shared" ca="1" si="47"/>
        <v>#N/A</v>
      </c>
      <c r="U214" t="e">
        <f ca="1">IF(AND($C214='Funnel setup'!$K$3&amp;'Funnel setup'!$K$5&amp;'Funnel setup'!$K$6&amp;'Funnel setup'!$K$4,'Funnel Lookup'!I214="*"),#N/A,IF(AND($C214='Funnel setup'!$K$3&amp;'Funnel setup'!$K$5&amp;'Funnel setup'!$K$6&amp;'Funnel setup'!$K$4,'Funnel Lookup'!I214&gt;29),'Funnel Lookup'!I214,#N/A))</f>
        <v>#N/A</v>
      </c>
      <c r="V214" t="e">
        <f ca="1">IF(AND($C214='Funnel setup'!$K$3&amp;'Funnel setup'!$K$5&amp;'Funnel setup'!$K$6&amp;'Funnel setup'!$K$4,'Funnel Lookup'!I214="*"),#N/A,IF(AND($C214='Funnel setup'!$K$3&amp;'Funnel setup'!$K$5&amp;'Funnel setup'!$K$6&amp;'Funnel setup'!$K$4,'Funnel Lookup'!I214&gt;29),'Funnel Lookup'!Q214,#N/A))</f>
        <v>#N/A</v>
      </c>
    </row>
    <row r="215" spans="1:22" x14ac:dyDescent="0.2">
      <c r="A215">
        <v>213</v>
      </c>
      <c r="B215">
        <f t="shared" ca="1" si="50"/>
        <v>213</v>
      </c>
      <c r="C215" t="str">
        <f t="shared" ca="1" si="50"/>
        <v>Groin HerniaProviderSPIRE PORTSMOUTH HOSPITAL (NT305)EQ-5D Index</v>
      </c>
      <c r="D215" t="str">
        <f t="shared" ca="1" si="50"/>
        <v>Groin Hernia</v>
      </c>
      <c r="E215" t="str">
        <f t="shared" ca="1" si="50"/>
        <v>Provider</v>
      </c>
      <c r="F215" t="str">
        <f t="shared" ca="1" si="50"/>
        <v>NT305</v>
      </c>
      <c r="G215" t="str">
        <f t="shared" ca="1" si="50"/>
        <v>SPIRE PORTSMOUTH HOSPITAL (NT305)</v>
      </c>
      <c r="H215" t="str">
        <f t="shared" ca="1" si="50"/>
        <v>EQ-5D Index</v>
      </c>
      <c r="I215">
        <f t="shared" ca="1" si="50"/>
        <v>6</v>
      </c>
      <c r="J215">
        <f t="shared" ca="1" si="50"/>
        <v>0.88100000000000001</v>
      </c>
      <c r="K215">
        <f t="shared" ca="1" si="50"/>
        <v>0.93200000000000005</v>
      </c>
      <c r="L215">
        <f t="shared" ca="1" si="51"/>
        <v>5.1999999999999998E-2</v>
      </c>
      <c r="M215">
        <f t="shared" ca="1" si="51"/>
        <v>2</v>
      </c>
      <c r="N215">
        <f t="shared" ca="1" si="51"/>
        <v>3</v>
      </c>
      <c r="O215">
        <f t="shared" ca="1" si="51"/>
        <v>1</v>
      </c>
      <c r="P215" t="str">
        <f t="shared" ca="1" si="51"/>
        <v>*</v>
      </c>
      <c r="Q215" t="str">
        <f t="shared" ca="1" si="51"/>
        <v>*</v>
      </c>
      <c r="R215" t="str">
        <f t="shared" ca="1" si="51"/>
        <v>*</v>
      </c>
      <c r="S215" t="e">
        <f t="shared" ca="1" si="46"/>
        <v>#N/A</v>
      </c>
      <c r="T215" t="e">
        <f t="shared" ca="1" si="47"/>
        <v>#N/A</v>
      </c>
      <c r="U215" t="e">
        <f ca="1">IF(AND($C215='Funnel setup'!$K$3&amp;'Funnel setup'!$K$5&amp;'Funnel setup'!$K$6&amp;'Funnel setup'!$K$4,'Funnel Lookup'!I215="*"),#N/A,IF(AND($C215='Funnel setup'!$K$3&amp;'Funnel setup'!$K$5&amp;'Funnel setup'!$K$6&amp;'Funnel setup'!$K$4,'Funnel Lookup'!I215&gt;29),'Funnel Lookup'!I215,#N/A))</f>
        <v>#N/A</v>
      </c>
      <c r="V215" t="e">
        <f ca="1">IF(AND($C215='Funnel setup'!$K$3&amp;'Funnel setup'!$K$5&amp;'Funnel setup'!$K$6&amp;'Funnel setup'!$K$4,'Funnel Lookup'!I215="*"),#N/A,IF(AND($C215='Funnel setup'!$K$3&amp;'Funnel setup'!$K$5&amp;'Funnel setup'!$K$6&amp;'Funnel setup'!$K$4,'Funnel Lookup'!I215&gt;29),'Funnel Lookup'!Q215,#N/A))</f>
        <v>#N/A</v>
      </c>
    </row>
    <row r="216" spans="1:22" x14ac:dyDescent="0.2">
      <c r="A216">
        <v>214</v>
      </c>
      <c r="B216">
        <f t="shared" ca="1" si="50"/>
        <v>214</v>
      </c>
      <c r="C216" t="str">
        <f t="shared" ca="1" si="50"/>
        <v>Groin HerniaProviderSPIRE REGENCY HOSPITAL (NT339)EQ-5D Index</v>
      </c>
      <c r="D216" t="str">
        <f t="shared" ca="1" si="50"/>
        <v>Groin Hernia</v>
      </c>
      <c r="E216" t="str">
        <f t="shared" ca="1" si="50"/>
        <v>Provider</v>
      </c>
      <c r="F216" t="str">
        <f t="shared" ca="1" si="50"/>
        <v>NT339</v>
      </c>
      <c r="G216" t="str">
        <f t="shared" ca="1" si="50"/>
        <v>SPIRE REGENCY HOSPITAL (NT339)</v>
      </c>
      <c r="H216" t="str">
        <f t="shared" ca="1" si="50"/>
        <v>EQ-5D Index</v>
      </c>
      <c r="I216">
        <f t="shared" ca="1" si="50"/>
        <v>32</v>
      </c>
      <c r="J216">
        <f t="shared" ca="1" si="50"/>
        <v>0.88200000000000001</v>
      </c>
      <c r="K216">
        <f t="shared" ca="1" si="50"/>
        <v>0.93799999999999994</v>
      </c>
      <c r="L216">
        <f t="shared" ca="1" si="51"/>
        <v>5.6000000000000001E-2</v>
      </c>
      <c r="M216">
        <f t="shared" ca="1" si="51"/>
        <v>14</v>
      </c>
      <c r="N216">
        <f t="shared" ca="1" si="51"/>
        <v>14</v>
      </c>
      <c r="O216">
        <f t="shared" ca="1" si="51"/>
        <v>4</v>
      </c>
      <c r="P216">
        <f t="shared" ca="1" si="51"/>
        <v>0.89400000000000002</v>
      </c>
      <c r="Q216">
        <f t="shared" ca="1" si="51"/>
        <v>0.100912472</v>
      </c>
      <c r="R216">
        <f t="shared" ca="1" si="51"/>
        <v>0.105</v>
      </c>
      <c r="S216">
        <f t="shared" ca="1" si="46"/>
        <v>32</v>
      </c>
      <c r="T216">
        <f t="shared" ca="1" si="47"/>
        <v>0.100912472</v>
      </c>
      <c r="U216" t="e">
        <f ca="1">IF(AND($C216='Funnel setup'!$K$3&amp;'Funnel setup'!$K$5&amp;'Funnel setup'!$K$6&amp;'Funnel setup'!$K$4,'Funnel Lookup'!I216="*"),#N/A,IF(AND($C216='Funnel setup'!$K$3&amp;'Funnel setup'!$K$5&amp;'Funnel setup'!$K$6&amp;'Funnel setup'!$K$4,'Funnel Lookup'!I216&gt;29),'Funnel Lookup'!I216,#N/A))</f>
        <v>#N/A</v>
      </c>
      <c r="V216" t="e">
        <f ca="1">IF(AND($C216='Funnel setup'!$K$3&amp;'Funnel setup'!$K$5&amp;'Funnel setup'!$K$6&amp;'Funnel setup'!$K$4,'Funnel Lookup'!I216="*"),#N/A,IF(AND($C216='Funnel setup'!$K$3&amp;'Funnel setup'!$K$5&amp;'Funnel setup'!$K$6&amp;'Funnel setup'!$K$4,'Funnel Lookup'!I216&gt;29),'Funnel Lookup'!Q216,#N/A))</f>
        <v>#N/A</v>
      </c>
    </row>
    <row r="217" spans="1:22" x14ac:dyDescent="0.2">
      <c r="A217">
        <v>215</v>
      </c>
      <c r="B217">
        <f t="shared" ca="1" si="50"/>
        <v>215</v>
      </c>
      <c r="C217" t="str">
        <f t="shared" ca="1" si="50"/>
        <v>Groin HerniaProviderSPIRE SOUTH BANK HOSPITAL (NT301)EQ-5D Index</v>
      </c>
      <c r="D217" t="str">
        <f t="shared" ca="1" si="50"/>
        <v>Groin Hernia</v>
      </c>
      <c r="E217" t="str">
        <f t="shared" ca="1" si="50"/>
        <v>Provider</v>
      </c>
      <c r="F217" t="str">
        <f t="shared" ca="1" si="50"/>
        <v>NT301</v>
      </c>
      <c r="G217" t="str">
        <f t="shared" ca="1" si="50"/>
        <v>SPIRE SOUTH BANK HOSPITAL (NT301)</v>
      </c>
      <c r="H217" t="str">
        <f t="shared" ca="1" si="50"/>
        <v>EQ-5D Index</v>
      </c>
      <c r="I217">
        <f t="shared" ca="1" si="50"/>
        <v>69</v>
      </c>
      <c r="J217">
        <f t="shared" ca="1" si="50"/>
        <v>0.84499999999999997</v>
      </c>
      <c r="K217">
        <f t="shared" ca="1" si="50"/>
        <v>0.91</v>
      </c>
      <c r="L217">
        <f t="shared" ca="1" si="51"/>
        <v>6.5000000000000002E-2</v>
      </c>
      <c r="M217">
        <f t="shared" ca="1" si="51"/>
        <v>30</v>
      </c>
      <c r="N217">
        <f t="shared" ca="1" si="51"/>
        <v>28</v>
      </c>
      <c r="O217">
        <f t="shared" ca="1" si="51"/>
        <v>11</v>
      </c>
      <c r="P217">
        <f t="shared" ca="1" si="51"/>
        <v>0.89</v>
      </c>
      <c r="Q217">
        <f t="shared" ca="1" si="51"/>
        <v>9.6529165E-2</v>
      </c>
      <c r="R217">
        <f t="shared" ca="1" si="51"/>
        <v>0.11899999999999999</v>
      </c>
      <c r="S217">
        <f t="shared" ca="1" si="46"/>
        <v>69</v>
      </c>
      <c r="T217">
        <f t="shared" ca="1" si="47"/>
        <v>9.6529165E-2</v>
      </c>
      <c r="U217" t="e">
        <f ca="1">IF(AND($C217='Funnel setup'!$K$3&amp;'Funnel setup'!$K$5&amp;'Funnel setup'!$K$6&amp;'Funnel setup'!$K$4,'Funnel Lookup'!I217="*"),#N/A,IF(AND($C217='Funnel setup'!$K$3&amp;'Funnel setup'!$K$5&amp;'Funnel setup'!$K$6&amp;'Funnel setup'!$K$4,'Funnel Lookup'!I217&gt;29),'Funnel Lookup'!I217,#N/A))</f>
        <v>#N/A</v>
      </c>
      <c r="V217" t="e">
        <f ca="1">IF(AND($C217='Funnel setup'!$K$3&amp;'Funnel setup'!$K$5&amp;'Funnel setup'!$K$6&amp;'Funnel setup'!$K$4,'Funnel Lookup'!I217="*"),#N/A,IF(AND($C217='Funnel setup'!$K$3&amp;'Funnel setup'!$K$5&amp;'Funnel setup'!$K$6&amp;'Funnel setup'!$K$4,'Funnel Lookup'!I217&gt;29),'Funnel Lookup'!Q217,#N/A))</f>
        <v>#N/A</v>
      </c>
    </row>
    <row r="218" spans="1:22" x14ac:dyDescent="0.2">
      <c r="A218">
        <v>216</v>
      </c>
      <c r="B218">
        <f t="shared" ca="1" si="50"/>
        <v>216</v>
      </c>
      <c r="C218" t="str">
        <f t="shared" ca="1" si="50"/>
        <v>Groin HerniaProviderSPIRE SOUTHAMPTON HOSPITAL (NT304)EQ-5D Index</v>
      </c>
      <c r="D218" t="str">
        <f t="shared" ca="1" si="50"/>
        <v>Groin Hernia</v>
      </c>
      <c r="E218" t="str">
        <f t="shared" ca="1" si="50"/>
        <v>Provider</v>
      </c>
      <c r="F218" t="str">
        <f t="shared" ca="1" si="50"/>
        <v>NT304</v>
      </c>
      <c r="G218" t="str">
        <f t="shared" ca="1" si="50"/>
        <v>SPIRE SOUTHAMPTON HOSPITAL (NT304)</v>
      </c>
      <c r="H218" t="str">
        <f t="shared" ca="1" si="50"/>
        <v>EQ-5D Index</v>
      </c>
      <c r="I218" t="str">
        <f t="shared" ca="1" si="50"/>
        <v>*</v>
      </c>
      <c r="J218" t="str">
        <f t="shared" ca="1" si="50"/>
        <v>*</v>
      </c>
      <c r="K218" t="str">
        <f t="shared" ca="1" si="50"/>
        <v>*</v>
      </c>
      <c r="L218" t="str">
        <f t="shared" ca="1" si="51"/>
        <v>*</v>
      </c>
      <c r="M218" t="str">
        <f t="shared" ca="1" si="51"/>
        <v>*</v>
      </c>
      <c r="N218" t="str">
        <f t="shared" ca="1" si="51"/>
        <v>*</v>
      </c>
      <c r="O218" t="str">
        <f t="shared" ca="1" si="51"/>
        <v>*</v>
      </c>
      <c r="P218" t="str">
        <f t="shared" ca="1" si="51"/>
        <v>*</v>
      </c>
      <c r="Q218" t="str">
        <f t="shared" ca="1" si="51"/>
        <v>*</v>
      </c>
      <c r="R218" t="str">
        <f t="shared" ca="1" si="51"/>
        <v>*</v>
      </c>
      <c r="S218" t="e">
        <f t="shared" ca="1" si="46"/>
        <v>#N/A</v>
      </c>
      <c r="T218" t="e">
        <f t="shared" ca="1" si="47"/>
        <v>#N/A</v>
      </c>
      <c r="U218" t="e">
        <f ca="1">IF(AND($C218='Funnel setup'!$K$3&amp;'Funnel setup'!$K$5&amp;'Funnel setup'!$K$6&amp;'Funnel setup'!$K$4,'Funnel Lookup'!I218="*"),#N/A,IF(AND($C218='Funnel setup'!$K$3&amp;'Funnel setup'!$K$5&amp;'Funnel setup'!$K$6&amp;'Funnel setup'!$K$4,'Funnel Lookup'!I218&gt;29),'Funnel Lookup'!I218,#N/A))</f>
        <v>#N/A</v>
      </c>
      <c r="V218" t="e">
        <f ca="1">IF(AND($C218='Funnel setup'!$K$3&amp;'Funnel setup'!$K$5&amp;'Funnel setup'!$K$6&amp;'Funnel setup'!$K$4,'Funnel Lookup'!I218="*"),#N/A,IF(AND($C218='Funnel setup'!$K$3&amp;'Funnel setup'!$K$5&amp;'Funnel setup'!$K$6&amp;'Funnel setup'!$K$4,'Funnel Lookup'!I218&gt;29),'Funnel Lookup'!Q218,#N/A))</f>
        <v>#N/A</v>
      </c>
    </row>
    <row r="219" spans="1:22" x14ac:dyDescent="0.2">
      <c r="A219">
        <v>217</v>
      </c>
      <c r="B219">
        <f t="shared" ca="1" si="50"/>
        <v>217</v>
      </c>
      <c r="C219" t="str">
        <f t="shared" ca="1" si="50"/>
        <v>Groin HerniaProviderSPIRE ST SAVIOURS HOSPITAL (NT346)EQ-5D Index</v>
      </c>
      <c r="D219" t="str">
        <f t="shared" ca="1" si="50"/>
        <v>Groin Hernia</v>
      </c>
      <c r="E219" t="str">
        <f t="shared" ca="1" si="50"/>
        <v>Provider</v>
      </c>
      <c r="F219" t="str">
        <f t="shared" ca="1" si="50"/>
        <v>NT346</v>
      </c>
      <c r="G219" t="str">
        <f t="shared" ca="1" si="50"/>
        <v>SPIRE ST SAVIOURS HOSPITAL (NT346)</v>
      </c>
      <c r="H219" t="str">
        <f t="shared" ca="1" si="50"/>
        <v>EQ-5D Index</v>
      </c>
      <c r="I219">
        <f t="shared" ca="1" si="50"/>
        <v>10</v>
      </c>
      <c r="J219">
        <f t="shared" ca="1" si="50"/>
        <v>0.82899999999999996</v>
      </c>
      <c r="K219">
        <f t="shared" ca="1" si="50"/>
        <v>0.89700000000000002</v>
      </c>
      <c r="L219">
        <f t="shared" ca="1" si="51"/>
        <v>6.8000000000000005E-2</v>
      </c>
      <c r="M219">
        <f t="shared" ca="1" si="51"/>
        <v>4</v>
      </c>
      <c r="N219">
        <f t="shared" ca="1" si="51"/>
        <v>5</v>
      </c>
      <c r="O219">
        <f t="shared" ca="1" si="51"/>
        <v>1</v>
      </c>
      <c r="P219" t="str">
        <f t="shared" ca="1" si="51"/>
        <v>*</v>
      </c>
      <c r="Q219" t="str">
        <f t="shared" ca="1" si="51"/>
        <v>*</v>
      </c>
      <c r="R219" t="str">
        <f t="shared" ca="1" si="51"/>
        <v>*</v>
      </c>
      <c r="S219" t="e">
        <f t="shared" ca="1" si="46"/>
        <v>#N/A</v>
      </c>
      <c r="T219" t="e">
        <f t="shared" ca="1" si="47"/>
        <v>#N/A</v>
      </c>
      <c r="U219" t="e">
        <f ca="1">IF(AND($C219='Funnel setup'!$K$3&amp;'Funnel setup'!$K$5&amp;'Funnel setup'!$K$6&amp;'Funnel setup'!$K$4,'Funnel Lookup'!I219="*"),#N/A,IF(AND($C219='Funnel setup'!$K$3&amp;'Funnel setup'!$K$5&amp;'Funnel setup'!$K$6&amp;'Funnel setup'!$K$4,'Funnel Lookup'!I219&gt;29),'Funnel Lookup'!I219,#N/A))</f>
        <v>#N/A</v>
      </c>
      <c r="V219" t="e">
        <f ca="1">IF(AND($C219='Funnel setup'!$K$3&amp;'Funnel setup'!$K$5&amp;'Funnel setup'!$K$6&amp;'Funnel setup'!$K$4,'Funnel Lookup'!I219="*"),#N/A,IF(AND($C219='Funnel setup'!$K$3&amp;'Funnel setup'!$K$5&amp;'Funnel setup'!$K$6&amp;'Funnel setup'!$K$4,'Funnel Lookup'!I219&gt;29),'Funnel Lookup'!Q219,#N/A))</f>
        <v>#N/A</v>
      </c>
    </row>
    <row r="220" spans="1:22" x14ac:dyDescent="0.2">
      <c r="A220">
        <v>218</v>
      </c>
      <c r="B220">
        <f t="shared" ca="1" si="50"/>
        <v>218</v>
      </c>
      <c r="C220" t="str">
        <f t="shared" ca="1" si="50"/>
        <v>Groin HerniaProviderSPIRE SUSSEX HOSPITAL (NT309)EQ-5D Index</v>
      </c>
      <c r="D220" t="str">
        <f t="shared" ca="1" si="50"/>
        <v>Groin Hernia</v>
      </c>
      <c r="E220" t="str">
        <f t="shared" ca="1" si="50"/>
        <v>Provider</v>
      </c>
      <c r="F220" t="str">
        <f t="shared" ca="1" si="50"/>
        <v>NT309</v>
      </c>
      <c r="G220" t="str">
        <f t="shared" ca="1" si="50"/>
        <v>SPIRE SUSSEX HOSPITAL (NT309)</v>
      </c>
      <c r="H220" t="str">
        <f t="shared" ca="1" si="50"/>
        <v>EQ-5D Index</v>
      </c>
      <c r="I220">
        <f t="shared" ca="1" si="50"/>
        <v>16</v>
      </c>
      <c r="J220">
        <f t="shared" ca="1" si="50"/>
        <v>0.82099999999999995</v>
      </c>
      <c r="K220">
        <f t="shared" ca="1" si="50"/>
        <v>0.91300000000000003</v>
      </c>
      <c r="L220">
        <f t="shared" ca="1" si="51"/>
        <v>9.1999999999999998E-2</v>
      </c>
      <c r="M220">
        <f t="shared" ca="1" si="51"/>
        <v>9</v>
      </c>
      <c r="N220">
        <f t="shared" ca="1" si="51"/>
        <v>5</v>
      </c>
      <c r="O220">
        <f t="shared" ca="1" si="51"/>
        <v>2</v>
      </c>
      <c r="P220" t="str">
        <f t="shared" ca="1" si="51"/>
        <v>*</v>
      </c>
      <c r="Q220" t="str">
        <f t="shared" ca="1" si="51"/>
        <v>*</v>
      </c>
      <c r="R220" t="str">
        <f t="shared" ca="1" si="51"/>
        <v>*</v>
      </c>
      <c r="S220" t="e">
        <f t="shared" ca="1" si="46"/>
        <v>#N/A</v>
      </c>
      <c r="T220" t="e">
        <f t="shared" ca="1" si="47"/>
        <v>#N/A</v>
      </c>
      <c r="U220" t="e">
        <f ca="1">IF(AND($C220='Funnel setup'!$K$3&amp;'Funnel setup'!$K$5&amp;'Funnel setup'!$K$6&amp;'Funnel setup'!$K$4,'Funnel Lookup'!I220="*"),#N/A,IF(AND($C220='Funnel setup'!$K$3&amp;'Funnel setup'!$K$5&amp;'Funnel setup'!$K$6&amp;'Funnel setup'!$K$4,'Funnel Lookup'!I220&gt;29),'Funnel Lookup'!I220,#N/A))</f>
        <v>#N/A</v>
      </c>
      <c r="V220" t="e">
        <f ca="1">IF(AND($C220='Funnel setup'!$K$3&amp;'Funnel setup'!$K$5&amp;'Funnel setup'!$K$6&amp;'Funnel setup'!$K$4,'Funnel Lookup'!I220="*"),#N/A,IF(AND($C220='Funnel setup'!$K$3&amp;'Funnel setup'!$K$5&amp;'Funnel setup'!$K$6&amp;'Funnel setup'!$K$4,'Funnel Lookup'!I220&gt;29),'Funnel Lookup'!Q220,#N/A))</f>
        <v>#N/A</v>
      </c>
    </row>
    <row r="221" spans="1:22" x14ac:dyDescent="0.2">
      <c r="A221">
        <v>219</v>
      </c>
      <c r="B221">
        <f t="shared" ca="1" si="50"/>
        <v>219</v>
      </c>
      <c r="C221" t="str">
        <f t="shared" ca="1" si="50"/>
        <v>Groin HerniaProviderSPIRE TUNBRIDGE WELLS HOSPITAL (NT310)EQ-5D Index</v>
      </c>
      <c r="D221" t="str">
        <f t="shared" ca="1" si="50"/>
        <v>Groin Hernia</v>
      </c>
      <c r="E221" t="str">
        <f t="shared" ca="1" si="50"/>
        <v>Provider</v>
      </c>
      <c r="F221" t="str">
        <f t="shared" ca="1" si="50"/>
        <v>NT310</v>
      </c>
      <c r="G221" t="str">
        <f t="shared" ca="1" si="50"/>
        <v>SPIRE TUNBRIDGE WELLS HOSPITAL (NT310)</v>
      </c>
      <c r="H221" t="str">
        <f t="shared" ca="1" si="50"/>
        <v>EQ-5D Index</v>
      </c>
      <c r="I221">
        <f t="shared" ca="1" si="50"/>
        <v>13</v>
      </c>
      <c r="J221">
        <f t="shared" ca="1" si="50"/>
        <v>0.73899999999999999</v>
      </c>
      <c r="K221">
        <f t="shared" ca="1" si="50"/>
        <v>0.94199999999999995</v>
      </c>
      <c r="L221">
        <f t="shared" ca="1" si="51"/>
        <v>0.20399999999999999</v>
      </c>
      <c r="M221">
        <f t="shared" ca="1" si="51"/>
        <v>10</v>
      </c>
      <c r="N221">
        <f t="shared" ca="1" si="51"/>
        <v>1</v>
      </c>
      <c r="O221">
        <f t="shared" ca="1" si="51"/>
        <v>2</v>
      </c>
      <c r="P221" t="str">
        <f t="shared" ca="1" si="51"/>
        <v>*</v>
      </c>
      <c r="Q221" t="str">
        <f t="shared" ca="1" si="51"/>
        <v>*</v>
      </c>
      <c r="R221" t="str">
        <f t="shared" ca="1" si="51"/>
        <v>*</v>
      </c>
      <c r="S221" t="e">
        <f t="shared" ca="1" si="46"/>
        <v>#N/A</v>
      </c>
      <c r="T221" t="e">
        <f t="shared" ca="1" si="47"/>
        <v>#N/A</v>
      </c>
      <c r="U221" t="e">
        <f ca="1">IF(AND($C221='Funnel setup'!$K$3&amp;'Funnel setup'!$K$5&amp;'Funnel setup'!$K$6&amp;'Funnel setup'!$K$4,'Funnel Lookup'!I221="*"),#N/A,IF(AND($C221='Funnel setup'!$K$3&amp;'Funnel setup'!$K$5&amp;'Funnel setup'!$K$6&amp;'Funnel setup'!$K$4,'Funnel Lookup'!I221&gt;29),'Funnel Lookup'!I221,#N/A))</f>
        <v>#N/A</v>
      </c>
      <c r="V221" t="e">
        <f ca="1">IF(AND($C221='Funnel setup'!$K$3&amp;'Funnel setup'!$K$5&amp;'Funnel setup'!$K$6&amp;'Funnel setup'!$K$4,'Funnel Lookup'!I221="*"),#N/A,IF(AND($C221='Funnel setup'!$K$3&amp;'Funnel setup'!$K$5&amp;'Funnel setup'!$K$6&amp;'Funnel setup'!$K$4,'Funnel Lookup'!I221&gt;29),'Funnel Lookup'!Q221,#N/A))</f>
        <v>#N/A</v>
      </c>
    </row>
    <row r="222" spans="1:22" x14ac:dyDescent="0.2">
      <c r="A222">
        <v>220</v>
      </c>
      <c r="B222">
        <f t="shared" ca="1" si="50"/>
        <v>220</v>
      </c>
      <c r="C222" t="str">
        <f t="shared" ca="1" si="50"/>
        <v>Groin HerniaProviderSPIRE WASHINGTON HOSPITAL (NT333)EQ-5D Index</v>
      </c>
      <c r="D222" t="str">
        <f t="shared" ca="1" si="50"/>
        <v>Groin Hernia</v>
      </c>
      <c r="E222" t="str">
        <f t="shared" ca="1" si="50"/>
        <v>Provider</v>
      </c>
      <c r="F222" t="str">
        <f t="shared" ca="1" si="50"/>
        <v>NT333</v>
      </c>
      <c r="G222" t="str">
        <f t="shared" ca="1" si="50"/>
        <v>SPIRE WASHINGTON HOSPITAL (NT333)</v>
      </c>
      <c r="H222" t="str">
        <f t="shared" ca="1" si="50"/>
        <v>EQ-5D Index</v>
      </c>
      <c r="I222">
        <f t="shared" ca="1" si="50"/>
        <v>25</v>
      </c>
      <c r="J222">
        <f t="shared" ca="1" si="50"/>
        <v>0.82899999999999996</v>
      </c>
      <c r="K222">
        <f t="shared" ca="1" si="50"/>
        <v>0.89800000000000002</v>
      </c>
      <c r="L222">
        <f t="shared" ca="1" si="51"/>
        <v>6.8000000000000005E-2</v>
      </c>
      <c r="M222">
        <f t="shared" ca="1" si="51"/>
        <v>12</v>
      </c>
      <c r="N222">
        <f t="shared" ca="1" si="51"/>
        <v>7</v>
      </c>
      <c r="O222">
        <f t="shared" ca="1" si="51"/>
        <v>6</v>
      </c>
      <c r="P222" t="str">
        <f t="shared" ca="1" si="51"/>
        <v>*</v>
      </c>
      <c r="Q222" t="str">
        <f t="shared" ca="1" si="51"/>
        <v>*</v>
      </c>
      <c r="R222" t="str">
        <f t="shared" ca="1" si="51"/>
        <v>*</v>
      </c>
      <c r="S222" t="e">
        <f t="shared" ca="1" si="46"/>
        <v>#N/A</v>
      </c>
      <c r="T222" t="e">
        <f t="shared" ca="1" si="47"/>
        <v>#N/A</v>
      </c>
      <c r="U222" t="e">
        <f ca="1">IF(AND($C222='Funnel setup'!$K$3&amp;'Funnel setup'!$K$5&amp;'Funnel setup'!$K$6&amp;'Funnel setup'!$K$4,'Funnel Lookup'!I222="*"),#N/A,IF(AND($C222='Funnel setup'!$K$3&amp;'Funnel setup'!$K$5&amp;'Funnel setup'!$K$6&amp;'Funnel setup'!$K$4,'Funnel Lookup'!I222&gt;29),'Funnel Lookup'!I222,#N/A))</f>
        <v>#N/A</v>
      </c>
      <c r="V222" t="e">
        <f ca="1">IF(AND($C222='Funnel setup'!$K$3&amp;'Funnel setup'!$K$5&amp;'Funnel setup'!$K$6&amp;'Funnel setup'!$K$4,'Funnel Lookup'!I222="*"),#N/A,IF(AND($C222='Funnel setup'!$K$3&amp;'Funnel setup'!$K$5&amp;'Funnel setup'!$K$6&amp;'Funnel setup'!$K$4,'Funnel Lookup'!I222&gt;29),'Funnel Lookup'!Q222,#N/A))</f>
        <v>#N/A</v>
      </c>
    </row>
    <row r="223" spans="1:22" x14ac:dyDescent="0.2">
      <c r="A223">
        <v>221</v>
      </c>
      <c r="B223">
        <f t="shared" ref="B223:K232" ca="1" si="52">VLOOKUP($A223,Funnel_Data,B$1,FALSE)</f>
        <v>221</v>
      </c>
      <c r="C223" t="str">
        <f t="shared" ca="1" si="52"/>
        <v>Groin HerniaProviderSPIRE WELLESLEY HOSPITAL (NT313)EQ-5D Index</v>
      </c>
      <c r="D223" t="str">
        <f t="shared" ca="1" si="52"/>
        <v>Groin Hernia</v>
      </c>
      <c r="E223" t="str">
        <f t="shared" ca="1" si="52"/>
        <v>Provider</v>
      </c>
      <c r="F223" t="str">
        <f t="shared" ca="1" si="52"/>
        <v>NT313</v>
      </c>
      <c r="G223" t="str">
        <f t="shared" ca="1" si="52"/>
        <v>SPIRE WELLESLEY HOSPITAL (NT313)</v>
      </c>
      <c r="H223" t="str">
        <f t="shared" ca="1" si="52"/>
        <v>EQ-5D Index</v>
      </c>
      <c r="I223">
        <f t="shared" ca="1" si="52"/>
        <v>60</v>
      </c>
      <c r="J223">
        <f t="shared" ca="1" si="52"/>
        <v>0.81599999999999995</v>
      </c>
      <c r="K223">
        <f t="shared" ca="1" si="52"/>
        <v>0.86</v>
      </c>
      <c r="L223">
        <f t="shared" ref="L223:R232" ca="1" si="53">VLOOKUP($A223,Funnel_Data,L$1,FALSE)</f>
        <v>4.3999999999999997E-2</v>
      </c>
      <c r="M223">
        <f t="shared" ca="1" si="53"/>
        <v>27</v>
      </c>
      <c r="N223">
        <f t="shared" ca="1" si="53"/>
        <v>17</v>
      </c>
      <c r="O223">
        <f t="shared" ca="1" si="53"/>
        <v>16</v>
      </c>
      <c r="P223">
        <f t="shared" ca="1" si="53"/>
        <v>0.86099999999999999</v>
      </c>
      <c r="Q223">
        <f t="shared" ca="1" si="53"/>
        <v>6.7710256999999996E-2</v>
      </c>
      <c r="R223">
        <f t="shared" ca="1" si="53"/>
        <v>0.109</v>
      </c>
      <c r="S223">
        <f t="shared" ca="1" si="46"/>
        <v>60</v>
      </c>
      <c r="T223">
        <f t="shared" ca="1" si="47"/>
        <v>6.7710256999999996E-2</v>
      </c>
      <c r="U223" t="e">
        <f ca="1">IF(AND($C223='Funnel setup'!$K$3&amp;'Funnel setup'!$K$5&amp;'Funnel setup'!$K$6&amp;'Funnel setup'!$K$4,'Funnel Lookup'!I223="*"),#N/A,IF(AND($C223='Funnel setup'!$K$3&amp;'Funnel setup'!$K$5&amp;'Funnel setup'!$K$6&amp;'Funnel setup'!$K$4,'Funnel Lookup'!I223&gt;29),'Funnel Lookup'!I223,#N/A))</f>
        <v>#N/A</v>
      </c>
      <c r="V223" t="e">
        <f ca="1">IF(AND($C223='Funnel setup'!$K$3&amp;'Funnel setup'!$K$5&amp;'Funnel setup'!$K$6&amp;'Funnel setup'!$K$4,'Funnel Lookup'!I223="*"),#N/A,IF(AND($C223='Funnel setup'!$K$3&amp;'Funnel setup'!$K$5&amp;'Funnel setup'!$K$6&amp;'Funnel setup'!$K$4,'Funnel Lookup'!I223&gt;29),'Funnel Lookup'!Q223,#N/A))</f>
        <v>#N/A</v>
      </c>
    </row>
    <row r="224" spans="1:22" x14ac:dyDescent="0.2">
      <c r="A224">
        <v>222</v>
      </c>
      <c r="B224">
        <f t="shared" ca="1" si="52"/>
        <v>222</v>
      </c>
      <c r="C224" t="str">
        <f t="shared" ca="1" si="52"/>
        <v>Groin HerniaProviderSPRINGFIELD HOSPITAL (NVC18)EQ-5D Index</v>
      </c>
      <c r="D224" t="str">
        <f t="shared" ca="1" si="52"/>
        <v>Groin Hernia</v>
      </c>
      <c r="E224" t="str">
        <f t="shared" ca="1" si="52"/>
        <v>Provider</v>
      </c>
      <c r="F224" t="str">
        <f t="shared" ca="1" si="52"/>
        <v>NVC18</v>
      </c>
      <c r="G224" t="str">
        <f t="shared" ca="1" si="52"/>
        <v>SPRINGFIELD HOSPITAL (NVC18)</v>
      </c>
      <c r="H224" t="str">
        <f t="shared" ca="1" si="52"/>
        <v>EQ-5D Index</v>
      </c>
      <c r="I224">
        <f t="shared" ca="1" si="52"/>
        <v>111</v>
      </c>
      <c r="J224">
        <f t="shared" ca="1" si="52"/>
        <v>0.79900000000000004</v>
      </c>
      <c r="K224">
        <f t="shared" ca="1" si="52"/>
        <v>0.89600000000000002</v>
      </c>
      <c r="L224">
        <f t="shared" ca="1" si="53"/>
        <v>9.6000000000000002E-2</v>
      </c>
      <c r="M224">
        <f t="shared" ca="1" si="53"/>
        <v>60</v>
      </c>
      <c r="N224">
        <f t="shared" ca="1" si="53"/>
        <v>32</v>
      </c>
      <c r="O224">
        <f t="shared" ca="1" si="53"/>
        <v>19</v>
      </c>
      <c r="P224">
        <f t="shared" ca="1" si="53"/>
        <v>0.879</v>
      </c>
      <c r="Q224">
        <f t="shared" ca="1" si="53"/>
        <v>8.5802442000000007E-2</v>
      </c>
      <c r="R224">
        <f t="shared" ca="1" si="53"/>
        <v>0.14499999999999999</v>
      </c>
      <c r="S224">
        <f t="shared" ca="1" si="46"/>
        <v>111</v>
      </c>
      <c r="T224">
        <f t="shared" ca="1" si="47"/>
        <v>8.5802442000000007E-2</v>
      </c>
      <c r="U224" t="e">
        <f ca="1">IF(AND($C224='Funnel setup'!$K$3&amp;'Funnel setup'!$K$5&amp;'Funnel setup'!$K$6&amp;'Funnel setup'!$K$4,'Funnel Lookup'!I224="*"),#N/A,IF(AND($C224='Funnel setup'!$K$3&amp;'Funnel setup'!$K$5&amp;'Funnel setup'!$K$6&amp;'Funnel setup'!$K$4,'Funnel Lookup'!I224&gt;29),'Funnel Lookup'!I224,#N/A))</f>
        <v>#N/A</v>
      </c>
      <c r="V224" t="e">
        <f ca="1">IF(AND($C224='Funnel setup'!$K$3&amp;'Funnel setup'!$K$5&amp;'Funnel setup'!$K$6&amp;'Funnel setup'!$K$4,'Funnel Lookup'!I224="*"),#N/A,IF(AND($C224='Funnel setup'!$K$3&amp;'Funnel setup'!$K$5&amp;'Funnel setup'!$K$6&amp;'Funnel setup'!$K$4,'Funnel Lookup'!I224&gt;29),'Funnel Lookup'!Q224,#N/A))</f>
        <v>#N/A</v>
      </c>
    </row>
    <row r="225" spans="1:22" x14ac:dyDescent="0.2">
      <c r="A225">
        <v>223</v>
      </c>
      <c r="B225">
        <f t="shared" ca="1" si="52"/>
        <v>223</v>
      </c>
      <c r="C225" t="str">
        <f t="shared" ca="1" si="52"/>
        <v>Groin HerniaProviderST GEORGE'S UNIVERSITY HOSPITALS NHS FOUNDATION TRUST (RJ7)EQ-5D Index</v>
      </c>
      <c r="D225" t="str">
        <f t="shared" ca="1" si="52"/>
        <v>Groin Hernia</v>
      </c>
      <c r="E225" t="str">
        <f t="shared" ca="1" si="52"/>
        <v>Provider</v>
      </c>
      <c r="F225" t="str">
        <f t="shared" ca="1" si="52"/>
        <v>RJ7</v>
      </c>
      <c r="G225" t="str">
        <f t="shared" ca="1" si="52"/>
        <v>ST GEORGE'S UNIVERSITY HOSPITALS NHS FOUNDATION TRUST (RJ7)</v>
      </c>
      <c r="H225" t="str">
        <f t="shared" ca="1" si="52"/>
        <v>EQ-5D Index</v>
      </c>
      <c r="I225">
        <f t="shared" ca="1" si="52"/>
        <v>16</v>
      </c>
      <c r="J225">
        <f t="shared" ca="1" si="52"/>
        <v>0.80500000000000005</v>
      </c>
      <c r="K225">
        <f t="shared" ca="1" si="52"/>
        <v>0.82499999999999996</v>
      </c>
      <c r="L225">
        <f t="shared" ca="1" si="53"/>
        <v>1.9E-2</v>
      </c>
      <c r="M225">
        <f t="shared" ca="1" si="53"/>
        <v>6</v>
      </c>
      <c r="N225">
        <f t="shared" ca="1" si="53"/>
        <v>6</v>
      </c>
      <c r="O225">
        <f t="shared" ca="1" si="53"/>
        <v>4</v>
      </c>
      <c r="P225" t="str">
        <f t="shared" ca="1" si="53"/>
        <v>*</v>
      </c>
      <c r="Q225" t="str">
        <f t="shared" ca="1" si="53"/>
        <v>*</v>
      </c>
      <c r="R225" t="str">
        <f t="shared" ca="1" si="53"/>
        <v>*</v>
      </c>
      <c r="S225" t="e">
        <f t="shared" ca="1" si="46"/>
        <v>#N/A</v>
      </c>
      <c r="T225" t="e">
        <f t="shared" ca="1" si="47"/>
        <v>#N/A</v>
      </c>
      <c r="U225" t="e">
        <f ca="1">IF(AND($C225='Funnel setup'!$K$3&amp;'Funnel setup'!$K$5&amp;'Funnel setup'!$K$6&amp;'Funnel setup'!$K$4,'Funnel Lookup'!I225="*"),#N/A,IF(AND($C225='Funnel setup'!$K$3&amp;'Funnel setup'!$K$5&amp;'Funnel setup'!$K$6&amp;'Funnel setup'!$K$4,'Funnel Lookup'!I225&gt;29),'Funnel Lookup'!I225,#N/A))</f>
        <v>#N/A</v>
      </c>
      <c r="V225" t="e">
        <f ca="1">IF(AND($C225='Funnel setup'!$K$3&amp;'Funnel setup'!$K$5&amp;'Funnel setup'!$K$6&amp;'Funnel setup'!$K$4,'Funnel Lookup'!I225="*"),#N/A,IF(AND($C225='Funnel setup'!$K$3&amp;'Funnel setup'!$K$5&amp;'Funnel setup'!$K$6&amp;'Funnel setup'!$K$4,'Funnel Lookup'!I225&gt;29),'Funnel Lookup'!Q225,#N/A))</f>
        <v>#N/A</v>
      </c>
    </row>
    <row r="226" spans="1:22" x14ac:dyDescent="0.2">
      <c r="A226">
        <v>224</v>
      </c>
      <c r="B226">
        <f t="shared" ca="1" si="52"/>
        <v>224</v>
      </c>
      <c r="C226" t="str">
        <f t="shared" ca="1" si="52"/>
        <v>Groin HerniaProviderST HELENS AND KNOWSLEY HOSPITALS NHS TRUST (RBN)EQ-5D Index</v>
      </c>
      <c r="D226" t="str">
        <f t="shared" ca="1" si="52"/>
        <v>Groin Hernia</v>
      </c>
      <c r="E226" t="str">
        <f t="shared" ca="1" si="52"/>
        <v>Provider</v>
      </c>
      <c r="F226" t="str">
        <f t="shared" ca="1" si="52"/>
        <v>RBN</v>
      </c>
      <c r="G226" t="str">
        <f t="shared" ca="1" si="52"/>
        <v>ST HELENS AND KNOWSLEY HOSPITALS NHS TRUST (RBN)</v>
      </c>
      <c r="H226" t="str">
        <f t="shared" ca="1" si="52"/>
        <v>EQ-5D Index</v>
      </c>
      <c r="I226">
        <f t="shared" ca="1" si="52"/>
        <v>157</v>
      </c>
      <c r="J226">
        <f t="shared" ca="1" si="52"/>
        <v>0.81799999999999995</v>
      </c>
      <c r="K226">
        <f t="shared" ca="1" si="52"/>
        <v>0.874</v>
      </c>
      <c r="L226">
        <f t="shared" ca="1" si="53"/>
        <v>5.6000000000000001E-2</v>
      </c>
      <c r="M226">
        <f t="shared" ca="1" si="53"/>
        <v>67</v>
      </c>
      <c r="N226">
        <f t="shared" ca="1" si="53"/>
        <v>63</v>
      </c>
      <c r="O226">
        <f t="shared" ca="1" si="53"/>
        <v>27</v>
      </c>
      <c r="P226">
        <f t="shared" ca="1" si="53"/>
        <v>0.87</v>
      </c>
      <c r="Q226">
        <f t="shared" ca="1" si="53"/>
        <v>7.6627967000000005E-2</v>
      </c>
      <c r="R226">
        <f t="shared" ca="1" si="53"/>
        <v>0.14499999999999999</v>
      </c>
      <c r="S226">
        <f t="shared" ca="1" si="46"/>
        <v>157</v>
      </c>
      <c r="T226">
        <f t="shared" ca="1" si="47"/>
        <v>7.6627967000000005E-2</v>
      </c>
      <c r="U226" t="e">
        <f ca="1">IF(AND($C226='Funnel setup'!$K$3&amp;'Funnel setup'!$K$5&amp;'Funnel setup'!$K$6&amp;'Funnel setup'!$K$4,'Funnel Lookup'!I226="*"),#N/A,IF(AND($C226='Funnel setup'!$K$3&amp;'Funnel setup'!$K$5&amp;'Funnel setup'!$K$6&amp;'Funnel setup'!$K$4,'Funnel Lookup'!I226&gt;29),'Funnel Lookup'!I226,#N/A))</f>
        <v>#N/A</v>
      </c>
      <c r="V226" t="e">
        <f ca="1">IF(AND($C226='Funnel setup'!$K$3&amp;'Funnel setup'!$K$5&amp;'Funnel setup'!$K$6&amp;'Funnel setup'!$K$4,'Funnel Lookup'!I226="*"),#N/A,IF(AND($C226='Funnel setup'!$K$3&amp;'Funnel setup'!$K$5&amp;'Funnel setup'!$K$6&amp;'Funnel setup'!$K$4,'Funnel Lookup'!I226&gt;29),'Funnel Lookup'!Q226,#N/A))</f>
        <v>#N/A</v>
      </c>
    </row>
    <row r="227" spans="1:22" x14ac:dyDescent="0.2">
      <c r="A227">
        <v>225</v>
      </c>
      <c r="B227">
        <f t="shared" ca="1" si="52"/>
        <v>225</v>
      </c>
      <c r="C227" t="str">
        <f t="shared" ca="1" si="52"/>
        <v>Groin HerniaProviderST HUGH'S HOSPITAL (NTE02)EQ-5D Index</v>
      </c>
      <c r="D227" t="str">
        <f t="shared" ca="1" si="52"/>
        <v>Groin Hernia</v>
      </c>
      <c r="E227" t="str">
        <f t="shared" ca="1" si="52"/>
        <v>Provider</v>
      </c>
      <c r="F227" t="str">
        <f t="shared" ca="1" si="52"/>
        <v>NTE02</v>
      </c>
      <c r="G227" t="str">
        <f t="shared" ca="1" si="52"/>
        <v>ST HUGH'S HOSPITAL (NTE02)</v>
      </c>
      <c r="H227" t="str">
        <f t="shared" ca="1" si="52"/>
        <v>EQ-5D Index</v>
      </c>
      <c r="I227">
        <f t="shared" ca="1" si="52"/>
        <v>29</v>
      </c>
      <c r="J227">
        <f t="shared" ca="1" si="52"/>
        <v>0.81200000000000006</v>
      </c>
      <c r="K227">
        <f t="shared" ca="1" si="52"/>
        <v>0.84499999999999997</v>
      </c>
      <c r="L227">
        <f t="shared" ca="1" si="53"/>
        <v>3.3000000000000002E-2</v>
      </c>
      <c r="M227">
        <f t="shared" ca="1" si="53"/>
        <v>13</v>
      </c>
      <c r="N227">
        <f t="shared" ca="1" si="53"/>
        <v>13</v>
      </c>
      <c r="O227">
        <f t="shared" ca="1" si="53"/>
        <v>3</v>
      </c>
      <c r="P227" t="str">
        <f t="shared" ca="1" si="53"/>
        <v>*</v>
      </c>
      <c r="Q227" t="str">
        <f t="shared" ca="1" si="53"/>
        <v>*</v>
      </c>
      <c r="R227" t="str">
        <f t="shared" ca="1" si="53"/>
        <v>*</v>
      </c>
      <c r="S227" t="e">
        <f t="shared" ca="1" si="46"/>
        <v>#N/A</v>
      </c>
      <c r="T227" t="e">
        <f t="shared" ca="1" si="47"/>
        <v>#N/A</v>
      </c>
      <c r="U227" t="e">
        <f ca="1">IF(AND($C227='Funnel setup'!$K$3&amp;'Funnel setup'!$K$5&amp;'Funnel setup'!$K$6&amp;'Funnel setup'!$K$4,'Funnel Lookup'!I227="*"),#N/A,IF(AND($C227='Funnel setup'!$K$3&amp;'Funnel setup'!$K$5&amp;'Funnel setup'!$K$6&amp;'Funnel setup'!$K$4,'Funnel Lookup'!I227&gt;29),'Funnel Lookup'!I227,#N/A))</f>
        <v>#N/A</v>
      </c>
      <c r="V227" t="e">
        <f ca="1">IF(AND($C227='Funnel setup'!$K$3&amp;'Funnel setup'!$K$5&amp;'Funnel setup'!$K$6&amp;'Funnel setup'!$K$4,'Funnel Lookup'!I227="*"),#N/A,IF(AND($C227='Funnel setup'!$K$3&amp;'Funnel setup'!$K$5&amp;'Funnel setup'!$K$6&amp;'Funnel setup'!$K$4,'Funnel Lookup'!I227&gt;29),'Funnel Lookup'!Q227,#N/A))</f>
        <v>#N/A</v>
      </c>
    </row>
    <row r="228" spans="1:22" x14ac:dyDescent="0.2">
      <c r="A228">
        <v>226</v>
      </c>
      <c r="B228">
        <f t="shared" ca="1" si="52"/>
        <v>226</v>
      </c>
      <c r="C228" t="str">
        <f t="shared" ca="1" si="52"/>
        <v>Groin HerniaProviderST MARY'S NHS TREATMENT CENTRE (NTPAD)EQ-5D Index</v>
      </c>
      <c r="D228" t="str">
        <f t="shared" ca="1" si="52"/>
        <v>Groin Hernia</v>
      </c>
      <c r="E228" t="str">
        <f t="shared" ca="1" si="52"/>
        <v>Provider</v>
      </c>
      <c r="F228" t="str">
        <f t="shared" ca="1" si="52"/>
        <v>NTPAD</v>
      </c>
      <c r="G228" t="str">
        <f t="shared" ca="1" si="52"/>
        <v>ST MARY'S NHS TREATMENT CENTRE (NTPAD)</v>
      </c>
      <c r="H228" t="str">
        <f t="shared" ca="1" si="52"/>
        <v>EQ-5D Index</v>
      </c>
      <c r="I228">
        <f t="shared" ca="1" si="52"/>
        <v>151</v>
      </c>
      <c r="J228">
        <f t="shared" ca="1" si="52"/>
        <v>0.85499999999999998</v>
      </c>
      <c r="K228">
        <f t="shared" ca="1" si="52"/>
        <v>0.91500000000000004</v>
      </c>
      <c r="L228">
        <f t="shared" ca="1" si="53"/>
        <v>0.06</v>
      </c>
      <c r="M228">
        <f t="shared" ca="1" si="53"/>
        <v>55</v>
      </c>
      <c r="N228">
        <f t="shared" ca="1" si="53"/>
        <v>74</v>
      </c>
      <c r="O228">
        <f t="shared" ca="1" si="53"/>
        <v>22</v>
      </c>
      <c r="P228">
        <f t="shared" ca="1" si="53"/>
        <v>0.873</v>
      </c>
      <c r="Q228">
        <f t="shared" ca="1" si="53"/>
        <v>8.0078969E-2</v>
      </c>
      <c r="R228">
        <f t="shared" ca="1" si="53"/>
        <v>0.128</v>
      </c>
      <c r="S228">
        <f t="shared" ca="1" si="46"/>
        <v>151</v>
      </c>
      <c r="T228">
        <f t="shared" ca="1" si="47"/>
        <v>8.0078969E-2</v>
      </c>
      <c r="U228" t="e">
        <f ca="1">IF(AND($C228='Funnel setup'!$K$3&amp;'Funnel setup'!$K$5&amp;'Funnel setup'!$K$6&amp;'Funnel setup'!$K$4,'Funnel Lookup'!I228="*"),#N/A,IF(AND($C228='Funnel setup'!$K$3&amp;'Funnel setup'!$K$5&amp;'Funnel setup'!$K$6&amp;'Funnel setup'!$K$4,'Funnel Lookup'!I228&gt;29),'Funnel Lookup'!I228,#N/A))</f>
        <v>#N/A</v>
      </c>
      <c r="V228" t="e">
        <f ca="1">IF(AND($C228='Funnel setup'!$K$3&amp;'Funnel setup'!$K$5&amp;'Funnel setup'!$K$6&amp;'Funnel setup'!$K$4,'Funnel Lookup'!I228="*"),#N/A,IF(AND($C228='Funnel setup'!$K$3&amp;'Funnel setup'!$K$5&amp;'Funnel setup'!$K$6&amp;'Funnel setup'!$K$4,'Funnel Lookup'!I228&gt;29),'Funnel Lookup'!Q228,#N/A))</f>
        <v>#N/A</v>
      </c>
    </row>
    <row r="229" spans="1:22" x14ac:dyDescent="0.2">
      <c r="A229">
        <v>227</v>
      </c>
      <c r="B229">
        <f t="shared" ca="1" si="52"/>
        <v>227</v>
      </c>
      <c r="C229" t="str">
        <f t="shared" ca="1" si="52"/>
        <v>Groin HerniaProviderSTOCKPORT NHS FOUNDATION TRUST (RWJ)EQ-5D Index</v>
      </c>
      <c r="D229" t="str">
        <f t="shared" ca="1" si="52"/>
        <v>Groin Hernia</v>
      </c>
      <c r="E229" t="str">
        <f t="shared" ca="1" si="52"/>
        <v>Provider</v>
      </c>
      <c r="F229" t="str">
        <f t="shared" ca="1" si="52"/>
        <v>RWJ</v>
      </c>
      <c r="G229" t="str">
        <f t="shared" ca="1" si="52"/>
        <v>STOCKPORT NHS FOUNDATION TRUST (RWJ)</v>
      </c>
      <c r="H229" t="str">
        <f t="shared" ca="1" si="52"/>
        <v>EQ-5D Index</v>
      </c>
      <c r="I229">
        <f t="shared" ca="1" si="52"/>
        <v>146</v>
      </c>
      <c r="J229">
        <f t="shared" ca="1" si="52"/>
        <v>0.78500000000000003</v>
      </c>
      <c r="K229">
        <f t="shared" ca="1" si="52"/>
        <v>0.874</v>
      </c>
      <c r="L229">
        <f t="shared" ca="1" si="53"/>
        <v>8.8999999999999996E-2</v>
      </c>
      <c r="M229">
        <f t="shared" ca="1" si="53"/>
        <v>77</v>
      </c>
      <c r="N229">
        <f t="shared" ca="1" si="53"/>
        <v>47</v>
      </c>
      <c r="O229">
        <f t="shared" ca="1" si="53"/>
        <v>22</v>
      </c>
      <c r="P229">
        <f t="shared" ca="1" si="53"/>
        <v>0.88300000000000001</v>
      </c>
      <c r="Q229">
        <f t="shared" ca="1" si="53"/>
        <v>8.9808126000000002E-2</v>
      </c>
      <c r="R229">
        <f t="shared" ca="1" si="53"/>
        <v>0.17299999999999999</v>
      </c>
      <c r="S229">
        <f t="shared" ca="1" si="46"/>
        <v>146</v>
      </c>
      <c r="T229">
        <f t="shared" ca="1" si="47"/>
        <v>8.9808126000000002E-2</v>
      </c>
      <c r="U229" t="e">
        <f ca="1">IF(AND($C229='Funnel setup'!$K$3&amp;'Funnel setup'!$K$5&amp;'Funnel setup'!$K$6&amp;'Funnel setup'!$K$4,'Funnel Lookup'!I229="*"),#N/A,IF(AND($C229='Funnel setup'!$K$3&amp;'Funnel setup'!$K$5&amp;'Funnel setup'!$K$6&amp;'Funnel setup'!$K$4,'Funnel Lookup'!I229&gt;29),'Funnel Lookup'!I229,#N/A))</f>
        <v>#N/A</v>
      </c>
      <c r="V229" t="e">
        <f ca="1">IF(AND($C229='Funnel setup'!$K$3&amp;'Funnel setup'!$K$5&amp;'Funnel setup'!$K$6&amp;'Funnel setup'!$K$4,'Funnel Lookup'!I229="*"),#N/A,IF(AND($C229='Funnel setup'!$K$3&amp;'Funnel setup'!$K$5&amp;'Funnel setup'!$K$6&amp;'Funnel setup'!$K$4,'Funnel Lookup'!I229&gt;29),'Funnel Lookup'!Q229,#N/A))</f>
        <v>#N/A</v>
      </c>
    </row>
    <row r="230" spans="1:22" x14ac:dyDescent="0.2">
      <c r="A230">
        <v>228</v>
      </c>
      <c r="B230">
        <f t="shared" ca="1" si="52"/>
        <v>228</v>
      </c>
      <c r="C230" t="str">
        <f t="shared" ca="1" si="52"/>
        <v>Groin HerniaProviderSURREY AND SUSSEX HEALTHCARE NHS TRUST (RTP)EQ-5D Index</v>
      </c>
      <c r="D230" t="str">
        <f t="shared" ca="1" si="52"/>
        <v>Groin Hernia</v>
      </c>
      <c r="E230" t="str">
        <f t="shared" ca="1" si="52"/>
        <v>Provider</v>
      </c>
      <c r="F230" t="str">
        <f t="shared" ca="1" si="52"/>
        <v>RTP</v>
      </c>
      <c r="G230" t="str">
        <f t="shared" ca="1" si="52"/>
        <v>SURREY AND SUSSEX HEALTHCARE NHS TRUST (RTP)</v>
      </c>
      <c r="H230" t="str">
        <f t="shared" ca="1" si="52"/>
        <v>EQ-5D Index</v>
      </c>
      <c r="I230">
        <f t="shared" ca="1" si="52"/>
        <v>154</v>
      </c>
      <c r="J230">
        <f t="shared" ca="1" si="52"/>
        <v>0.82199999999999995</v>
      </c>
      <c r="K230">
        <f t="shared" ca="1" si="52"/>
        <v>0.89300000000000002</v>
      </c>
      <c r="L230">
        <f t="shared" ca="1" si="53"/>
        <v>7.0000000000000007E-2</v>
      </c>
      <c r="M230">
        <f t="shared" ca="1" si="53"/>
        <v>79</v>
      </c>
      <c r="N230">
        <f t="shared" ca="1" si="53"/>
        <v>48</v>
      </c>
      <c r="O230">
        <f t="shared" ca="1" si="53"/>
        <v>27</v>
      </c>
      <c r="P230">
        <f t="shared" ca="1" si="53"/>
        <v>0.879</v>
      </c>
      <c r="Q230">
        <f t="shared" ca="1" si="53"/>
        <v>8.6034282000000004E-2</v>
      </c>
      <c r="R230">
        <f t="shared" ca="1" si="53"/>
        <v>0.16300000000000001</v>
      </c>
      <c r="S230">
        <f t="shared" ca="1" si="46"/>
        <v>154</v>
      </c>
      <c r="T230">
        <f t="shared" ca="1" si="47"/>
        <v>8.6034282000000004E-2</v>
      </c>
      <c r="U230" t="e">
        <f ca="1">IF(AND($C230='Funnel setup'!$K$3&amp;'Funnel setup'!$K$5&amp;'Funnel setup'!$K$6&amp;'Funnel setup'!$K$4,'Funnel Lookup'!I230="*"),#N/A,IF(AND($C230='Funnel setup'!$K$3&amp;'Funnel setup'!$K$5&amp;'Funnel setup'!$K$6&amp;'Funnel setup'!$K$4,'Funnel Lookup'!I230&gt;29),'Funnel Lookup'!I230,#N/A))</f>
        <v>#N/A</v>
      </c>
      <c r="V230" t="e">
        <f ca="1">IF(AND($C230='Funnel setup'!$K$3&amp;'Funnel setup'!$K$5&amp;'Funnel setup'!$K$6&amp;'Funnel setup'!$K$4,'Funnel Lookup'!I230="*"),#N/A,IF(AND($C230='Funnel setup'!$K$3&amp;'Funnel setup'!$K$5&amp;'Funnel setup'!$K$6&amp;'Funnel setup'!$K$4,'Funnel Lookup'!I230&gt;29),'Funnel Lookup'!Q230,#N/A))</f>
        <v>#N/A</v>
      </c>
    </row>
    <row r="231" spans="1:22" x14ac:dyDescent="0.2">
      <c r="A231">
        <v>229</v>
      </c>
      <c r="B231">
        <f t="shared" ca="1" si="52"/>
        <v>229</v>
      </c>
      <c r="C231" t="str">
        <f t="shared" ca="1" si="52"/>
        <v>Groin HerniaProviderTAMESIDE HOSPITAL NHS FOUNDATION TRUST (RMP)EQ-5D Index</v>
      </c>
      <c r="D231" t="str">
        <f t="shared" ca="1" si="52"/>
        <v>Groin Hernia</v>
      </c>
      <c r="E231" t="str">
        <f t="shared" ca="1" si="52"/>
        <v>Provider</v>
      </c>
      <c r="F231" t="str">
        <f t="shared" ca="1" si="52"/>
        <v>RMP</v>
      </c>
      <c r="G231" t="str">
        <f t="shared" ca="1" si="52"/>
        <v>TAMESIDE HOSPITAL NHS FOUNDATION TRUST (RMP)</v>
      </c>
      <c r="H231" t="str">
        <f t="shared" ca="1" si="52"/>
        <v>EQ-5D Index</v>
      </c>
      <c r="I231">
        <f t="shared" ca="1" si="52"/>
        <v>36</v>
      </c>
      <c r="J231">
        <f t="shared" ca="1" si="52"/>
        <v>0.75600000000000001</v>
      </c>
      <c r="K231">
        <f t="shared" ca="1" si="52"/>
        <v>0.89100000000000001</v>
      </c>
      <c r="L231">
        <f t="shared" ca="1" si="53"/>
        <v>0.13500000000000001</v>
      </c>
      <c r="M231">
        <f t="shared" ca="1" si="53"/>
        <v>22</v>
      </c>
      <c r="N231">
        <f t="shared" ca="1" si="53"/>
        <v>10</v>
      </c>
      <c r="O231">
        <f t="shared" ca="1" si="53"/>
        <v>4</v>
      </c>
      <c r="P231">
        <f t="shared" ca="1" si="53"/>
        <v>0.90900000000000003</v>
      </c>
      <c r="Q231">
        <f t="shared" ca="1" si="53"/>
        <v>0.115671327</v>
      </c>
      <c r="R231">
        <f t="shared" ca="1" si="53"/>
        <v>0.13900000000000001</v>
      </c>
      <c r="S231">
        <f t="shared" ca="1" si="46"/>
        <v>36</v>
      </c>
      <c r="T231">
        <f t="shared" ca="1" si="47"/>
        <v>0.115671327</v>
      </c>
      <c r="U231" t="e">
        <f ca="1">IF(AND($C231='Funnel setup'!$K$3&amp;'Funnel setup'!$K$5&amp;'Funnel setup'!$K$6&amp;'Funnel setup'!$K$4,'Funnel Lookup'!I231="*"),#N/A,IF(AND($C231='Funnel setup'!$K$3&amp;'Funnel setup'!$K$5&amp;'Funnel setup'!$K$6&amp;'Funnel setup'!$K$4,'Funnel Lookup'!I231&gt;29),'Funnel Lookup'!I231,#N/A))</f>
        <v>#N/A</v>
      </c>
      <c r="V231" t="e">
        <f ca="1">IF(AND($C231='Funnel setup'!$K$3&amp;'Funnel setup'!$K$5&amp;'Funnel setup'!$K$6&amp;'Funnel setup'!$K$4,'Funnel Lookup'!I231="*"),#N/A,IF(AND($C231='Funnel setup'!$K$3&amp;'Funnel setup'!$K$5&amp;'Funnel setup'!$K$6&amp;'Funnel setup'!$K$4,'Funnel Lookup'!I231&gt;29),'Funnel Lookup'!Q231,#N/A))</f>
        <v>#N/A</v>
      </c>
    </row>
    <row r="232" spans="1:22" x14ac:dyDescent="0.2">
      <c r="A232">
        <v>230</v>
      </c>
      <c r="B232">
        <f t="shared" ca="1" si="52"/>
        <v>230</v>
      </c>
      <c r="C232" t="str">
        <f t="shared" ca="1" si="52"/>
        <v>Groin HerniaProviderTAUNTON AND SOMERSET NHS FOUNDATION TRUST (RBA)EQ-5D Index</v>
      </c>
      <c r="D232" t="str">
        <f t="shared" ca="1" si="52"/>
        <v>Groin Hernia</v>
      </c>
      <c r="E232" t="str">
        <f t="shared" ca="1" si="52"/>
        <v>Provider</v>
      </c>
      <c r="F232" t="str">
        <f t="shared" ca="1" si="52"/>
        <v>RBA</v>
      </c>
      <c r="G232" t="str">
        <f t="shared" ca="1" si="52"/>
        <v>TAUNTON AND SOMERSET NHS FOUNDATION TRUST (RBA)</v>
      </c>
      <c r="H232" t="str">
        <f t="shared" ca="1" si="52"/>
        <v>EQ-5D Index</v>
      </c>
      <c r="I232">
        <f t="shared" ca="1" si="52"/>
        <v>138</v>
      </c>
      <c r="J232">
        <f t="shared" ca="1" si="52"/>
        <v>0.82399999999999995</v>
      </c>
      <c r="K232">
        <f t="shared" ca="1" si="52"/>
        <v>0.879</v>
      </c>
      <c r="L232">
        <f t="shared" ca="1" si="53"/>
        <v>5.3999999999999999E-2</v>
      </c>
      <c r="M232">
        <f t="shared" ca="1" si="53"/>
        <v>60</v>
      </c>
      <c r="N232">
        <f t="shared" ca="1" si="53"/>
        <v>57</v>
      </c>
      <c r="O232">
        <f t="shared" ca="1" si="53"/>
        <v>21</v>
      </c>
      <c r="P232">
        <f t="shared" ca="1" si="53"/>
        <v>0.85599999999999998</v>
      </c>
      <c r="Q232">
        <f t="shared" ca="1" si="53"/>
        <v>6.2918911999999994E-2</v>
      </c>
      <c r="R232">
        <f t="shared" ca="1" si="53"/>
        <v>0.16500000000000001</v>
      </c>
      <c r="S232">
        <f t="shared" ca="1" si="46"/>
        <v>138</v>
      </c>
      <c r="T232">
        <f t="shared" ca="1" si="47"/>
        <v>6.2918911999999994E-2</v>
      </c>
      <c r="U232" t="e">
        <f ca="1">IF(AND($C232='Funnel setup'!$K$3&amp;'Funnel setup'!$K$5&amp;'Funnel setup'!$K$6&amp;'Funnel setup'!$K$4,'Funnel Lookup'!I232="*"),#N/A,IF(AND($C232='Funnel setup'!$K$3&amp;'Funnel setup'!$K$5&amp;'Funnel setup'!$K$6&amp;'Funnel setup'!$K$4,'Funnel Lookup'!I232&gt;29),'Funnel Lookup'!I232,#N/A))</f>
        <v>#N/A</v>
      </c>
      <c r="V232" t="e">
        <f ca="1">IF(AND($C232='Funnel setup'!$K$3&amp;'Funnel setup'!$K$5&amp;'Funnel setup'!$K$6&amp;'Funnel setup'!$K$4,'Funnel Lookup'!I232="*"),#N/A,IF(AND($C232='Funnel setup'!$K$3&amp;'Funnel setup'!$K$5&amp;'Funnel setup'!$K$6&amp;'Funnel setup'!$K$4,'Funnel Lookup'!I232&gt;29),'Funnel Lookup'!Q232,#N/A))</f>
        <v>#N/A</v>
      </c>
    </row>
    <row r="233" spans="1:22" x14ac:dyDescent="0.2">
      <c r="A233">
        <v>231</v>
      </c>
      <c r="B233">
        <f t="shared" ref="B233:K242" ca="1" si="54">VLOOKUP($A233,Funnel_Data,B$1,FALSE)</f>
        <v>231</v>
      </c>
      <c r="C233" t="str">
        <f t="shared" ca="1" si="54"/>
        <v>Groin HerniaProviderTEES VALLEY TREATMENT CENTRE (NVC35)EQ-5D Index</v>
      </c>
      <c r="D233" t="str">
        <f t="shared" ca="1" si="54"/>
        <v>Groin Hernia</v>
      </c>
      <c r="E233" t="str">
        <f t="shared" ca="1" si="54"/>
        <v>Provider</v>
      </c>
      <c r="F233" t="str">
        <f t="shared" ca="1" si="54"/>
        <v>NVC35</v>
      </c>
      <c r="G233" t="str">
        <f t="shared" ca="1" si="54"/>
        <v>TEES VALLEY TREATMENT CENTRE (NVC35)</v>
      </c>
      <c r="H233" t="str">
        <f t="shared" ca="1" si="54"/>
        <v>EQ-5D Index</v>
      </c>
      <c r="I233">
        <f t="shared" ca="1" si="54"/>
        <v>59</v>
      </c>
      <c r="J233">
        <f t="shared" ca="1" si="54"/>
        <v>0.81699999999999995</v>
      </c>
      <c r="K233">
        <f t="shared" ca="1" si="54"/>
        <v>0.878</v>
      </c>
      <c r="L233">
        <f t="shared" ref="L233:R242" ca="1" si="55">VLOOKUP($A233,Funnel_Data,L$1,FALSE)</f>
        <v>6.0999999999999999E-2</v>
      </c>
      <c r="M233">
        <f t="shared" ca="1" si="55"/>
        <v>22</v>
      </c>
      <c r="N233">
        <f t="shared" ca="1" si="55"/>
        <v>25</v>
      </c>
      <c r="O233">
        <f t="shared" ca="1" si="55"/>
        <v>12</v>
      </c>
      <c r="P233">
        <f t="shared" ca="1" si="55"/>
        <v>0.86</v>
      </c>
      <c r="Q233">
        <f t="shared" ca="1" si="55"/>
        <v>6.6215974999999996E-2</v>
      </c>
      <c r="R233">
        <f t="shared" ca="1" si="55"/>
        <v>0.14699999999999999</v>
      </c>
      <c r="S233">
        <f t="shared" ca="1" si="46"/>
        <v>59</v>
      </c>
      <c r="T233">
        <f t="shared" ca="1" si="47"/>
        <v>6.6215974999999996E-2</v>
      </c>
      <c r="U233" t="e">
        <f ca="1">IF(AND($C233='Funnel setup'!$K$3&amp;'Funnel setup'!$K$5&amp;'Funnel setup'!$K$6&amp;'Funnel setup'!$K$4,'Funnel Lookup'!I233="*"),#N/A,IF(AND($C233='Funnel setup'!$K$3&amp;'Funnel setup'!$K$5&amp;'Funnel setup'!$K$6&amp;'Funnel setup'!$K$4,'Funnel Lookup'!I233&gt;29),'Funnel Lookup'!I233,#N/A))</f>
        <v>#N/A</v>
      </c>
      <c r="V233" t="e">
        <f ca="1">IF(AND($C233='Funnel setup'!$K$3&amp;'Funnel setup'!$K$5&amp;'Funnel setup'!$K$6&amp;'Funnel setup'!$K$4,'Funnel Lookup'!I233="*"),#N/A,IF(AND($C233='Funnel setup'!$K$3&amp;'Funnel setup'!$K$5&amp;'Funnel setup'!$K$6&amp;'Funnel setup'!$K$4,'Funnel Lookup'!I233&gt;29),'Funnel Lookup'!Q233,#N/A))</f>
        <v>#N/A</v>
      </c>
    </row>
    <row r="234" spans="1:22" x14ac:dyDescent="0.2">
      <c r="A234">
        <v>232</v>
      </c>
      <c r="B234">
        <f t="shared" ca="1" si="54"/>
        <v>232</v>
      </c>
      <c r="C234" t="str">
        <f t="shared" ca="1" si="54"/>
        <v>Groin HerniaProviderTHE BERKSHIRE INDEPENDENT HOSPITAL (NVC02)EQ-5D Index</v>
      </c>
      <c r="D234" t="str">
        <f t="shared" ca="1" si="54"/>
        <v>Groin Hernia</v>
      </c>
      <c r="E234" t="str">
        <f t="shared" ca="1" si="54"/>
        <v>Provider</v>
      </c>
      <c r="F234" t="str">
        <f t="shared" ca="1" si="54"/>
        <v>NVC02</v>
      </c>
      <c r="G234" t="str">
        <f t="shared" ca="1" si="54"/>
        <v>THE BERKSHIRE INDEPENDENT HOSPITAL (NVC02)</v>
      </c>
      <c r="H234" t="str">
        <f t="shared" ca="1" si="54"/>
        <v>EQ-5D Index</v>
      </c>
      <c r="I234">
        <f t="shared" ca="1" si="54"/>
        <v>39</v>
      </c>
      <c r="J234">
        <f t="shared" ca="1" si="54"/>
        <v>0.85899999999999999</v>
      </c>
      <c r="K234">
        <f t="shared" ca="1" si="54"/>
        <v>0.88300000000000001</v>
      </c>
      <c r="L234">
        <f t="shared" ca="1" si="55"/>
        <v>2.4E-2</v>
      </c>
      <c r="M234">
        <f t="shared" ca="1" si="55"/>
        <v>16</v>
      </c>
      <c r="N234">
        <f t="shared" ca="1" si="55"/>
        <v>18</v>
      </c>
      <c r="O234">
        <f t="shared" ca="1" si="55"/>
        <v>5</v>
      </c>
      <c r="P234">
        <f t="shared" ca="1" si="55"/>
        <v>0.84099999999999997</v>
      </c>
      <c r="Q234">
        <f t="shared" ca="1" si="55"/>
        <v>4.7999160999999999E-2</v>
      </c>
      <c r="R234">
        <f t="shared" ca="1" si="55"/>
        <v>0.223</v>
      </c>
      <c r="S234">
        <f t="shared" ca="1" si="46"/>
        <v>39</v>
      </c>
      <c r="T234">
        <f t="shared" ca="1" si="47"/>
        <v>4.7999160999999999E-2</v>
      </c>
      <c r="U234" t="e">
        <f ca="1">IF(AND($C234='Funnel setup'!$K$3&amp;'Funnel setup'!$K$5&amp;'Funnel setup'!$K$6&amp;'Funnel setup'!$K$4,'Funnel Lookup'!I234="*"),#N/A,IF(AND($C234='Funnel setup'!$K$3&amp;'Funnel setup'!$K$5&amp;'Funnel setup'!$K$6&amp;'Funnel setup'!$K$4,'Funnel Lookup'!I234&gt;29),'Funnel Lookup'!I234,#N/A))</f>
        <v>#N/A</v>
      </c>
      <c r="V234" t="e">
        <f ca="1">IF(AND($C234='Funnel setup'!$K$3&amp;'Funnel setup'!$K$5&amp;'Funnel setup'!$K$6&amp;'Funnel setup'!$K$4,'Funnel Lookup'!I234="*"),#N/A,IF(AND($C234='Funnel setup'!$K$3&amp;'Funnel setup'!$K$5&amp;'Funnel setup'!$K$6&amp;'Funnel setup'!$K$4,'Funnel Lookup'!I234&gt;29),'Funnel Lookup'!Q234,#N/A))</f>
        <v>#N/A</v>
      </c>
    </row>
    <row r="235" spans="1:22" x14ac:dyDescent="0.2">
      <c r="A235">
        <v>233</v>
      </c>
      <c r="B235">
        <f t="shared" ca="1" si="54"/>
        <v>233</v>
      </c>
      <c r="C235" t="str">
        <f t="shared" ca="1" si="54"/>
        <v>Groin HerniaProviderTHE DUDLEY GROUP NHS FOUNDATION TRUST (RNA)EQ-5D Index</v>
      </c>
      <c r="D235" t="str">
        <f t="shared" ca="1" si="54"/>
        <v>Groin Hernia</v>
      </c>
      <c r="E235" t="str">
        <f t="shared" ca="1" si="54"/>
        <v>Provider</v>
      </c>
      <c r="F235" t="str">
        <f t="shared" ca="1" si="54"/>
        <v>RNA</v>
      </c>
      <c r="G235" t="str">
        <f t="shared" ca="1" si="54"/>
        <v>THE DUDLEY GROUP NHS FOUNDATION TRUST (RNA)</v>
      </c>
      <c r="H235" t="str">
        <f t="shared" ca="1" si="54"/>
        <v>EQ-5D Index</v>
      </c>
      <c r="I235">
        <f t="shared" ca="1" si="54"/>
        <v>159</v>
      </c>
      <c r="J235">
        <f t="shared" ca="1" si="54"/>
        <v>0.80500000000000005</v>
      </c>
      <c r="K235">
        <f t="shared" ca="1" si="54"/>
        <v>0.84699999999999998</v>
      </c>
      <c r="L235">
        <f t="shared" ca="1" si="55"/>
        <v>4.2000000000000003E-2</v>
      </c>
      <c r="M235">
        <f t="shared" ca="1" si="55"/>
        <v>65</v>
      </c>
      <c r="N235">
        <f t="shared" ca="1" si="55"/>
        <v>53</v>
      </c>
      <c r="O235">
        <f t="shared" ca="1" si="55"/>
        <v>41</v>
      </c>
      <c r="P235">
        <f t="shared" ca="1" si="55"/>
        <v>0.84699999999999998</v>
      </c>
      <c r="Q235">
        <f t="shared" ca="1" si="55"/>
        <v>5.3653121999999998E-2</v>
      </c>
      <c r="R235">
        <f t="shared" ca="1" si="55"/>
        <v>0.187</v>
      </c>
      <c r="S235">
        <f t="shared" ca="1" si="46"/>
        <v>159</v>
      </c>
      <c r="T235">
        <f t="shared" ca="1" si="47"/>
        <v>5.3653121999999998E-2</v>
      </c>
      <c r="U235" t="e">
        <f ca="1">IF(AND($C235='Funnel setup'!$K$3&amp;'Funnel setup'!$K$5&amp;'Funnel setup'!$K$6&amp;'Funnel setup'!$K$4,'Funnel Lookup'!I235="*"),#N/A,IF(AND($C235='Funnel setup'!$K$3&amp;'Funnel setup'!$K$5&amp;'Funnel setup'!$K$6&amp;'Funnel setup'!$K$4,'Funnel Lookup'!I235&gt;29),'Funnel Lookup'!I235,#N/A))</f>
        <v>#N/A</v>
      </c>
      <c r="V235" t="e">
        <f ca="1">IF(AND($C235='Funnel setup'!$K$3&amp;'Funnel setup'!$K$5&amp;'Funnel setup'!$K$6&amp;'Funnel setup'!$K$4,'Funnel Lookup'!I235="*"),#N/A,IF(AND($C235='Funnel setup'!$K$3&amp;'Funnel setup'!$K$5&amp;'Funnel setup'!$K$6&amp;'Funnel setup'!$K$4,'Funnel Lookup'!I235&gt;29),'Funnel Lookup'!Q235,#N/A))</f>
        <v>#N/A</v>
      </c>
    </row>
    <row r="236" spans="1:22" x14ac:dyDescent="0.2">
      <c r="A236">
        <v>234</v>
      </c>
      <c r="B236">
        <f t="shared" ca="1" si="54"/>
        <v>234</v>
      </c>
      <c r="C236" t="str">
        <f t="shared" ca="1" si="54"/>
        <v>Groin HerniaProviderTHE HILLINGDON HOSPITALS NHS FOUNDATION TRUST (RAS)EQ-5D Index</v>
      </c>
      <c r="D236" t="str">
        <f t="shared" ca="1" si="54"/>
        <v>Groin Hernia</v>
      </c>
      <c r="E236" t="str">
        <f t="shared" ca="1" si="54"/>
        <v>Provider</v>
      </c>
      <c r="F236" t="str">
        <f t="shared" ca="1" si="54"/>
        <v>RAS</v>
      </c>
      <c r="G236" t="str">
        <f t="shared" ca="1" si="54"/>
        <v>THE HILLINGDON HOSPITALS NHS FOUNDATION TRUST (RAS)</v>
      </c>
      <c r="H236" t="str">
        <f t="shared" ca="1" si="54"/>
        <v>EQ-5D Index</v>
      </c>
      <c r="I236">
        <f t="shared" ca="1" si="54"/>
        <v>47</v>
      </c>
      <c r="J236">
        <f t="shared" ca="1" si="54"/>
        <v>0.76200000000000001</v>
      </c>
      <c r="K236">
        <f t="shared" ca="1" si="54"/>
        <v>0.86799999999999999</v>
      </c>
      <c r="L236">
        <f t="shared" ca="1" si="55"/>
        <v>0.106</v>
      </c>
      <c r="M236">
        <f t="shared" ca="1" si="55"/>
        <v>26</v>
      </c>
      <c r="N236">
        <f t="shared" ca="1" si="55"/>
        <v>15</v>
      </c>
      <c r="O236">
        <f t="shared" ca="1" si="55"/>
        <v>6</v>
      </c>
      <c r="P236">
        <f t="shared" ca="1" si="55"/>
        <v>0.88500000000000001</v>
      </c>
      <c r="Q236">
        <f t="shared" ca="1" si="55"/>
        <v>9.1606622999999998E-2</v>
      </c>
      <c r="R236">
        <f t="shared" ca="1" si="55"/>
        <v>0.16700000000000001</v>
      </c>
      <c r="S236">
        <f t="shared" ca="1" si="46"/>
        <v>47</v>
      </c>
      <c r="T236">
        <f t="shared" ca="1" si="47"/>
        <v>9.1606622999999998E-2</v>
      </c>
      <c r="U236" t="e">
        <f ca="1">IF(AND($C236='Funnel setup'!$K$3&amp;'Funnel setup'!$K$5&amp;'Funnel setup'!$K$6&amp;'Funnel setup'!$K$4,'Funnel Lookup'!I236="*"),#N/A,IF(AND($C236='Funnel setup'!$K$3&amp;'Funnel setup'!$K$5&amp;'Funnel setup'!$K$6&amp;'Funnel setup'!$K$4,'Funnel Lookup'!I236&gt;29),'Funnel Lookup'!I236,#N/A))</f>
        <v>#N/A</v>
      </c>
      <c r="V236" t="e">
        <f ca="1">IF(AND($C236='Funnel setup'!$K$3&amp;'Funnel setup'!$K$5&amp;'Funnel setup'!$K$6&amp;'Funnel setup'!$K$4,'Funnel Lookup'!I236="*"),#N/A,IF(AND($C236='Funnel setup'!$K$3&amp;'Funnel setup'!$K$5&amp;'Funnel setup'!$K$6&amp;'Funnel setup'!$K$4,'Funnel Lookup'!I236&gt;29),'Funnel Lookup'!Q236,#N/A))</f>
        <v>#N/A</v>
      </c>
    </row>
    <row r="237" spans="1:22" x14ac:dyDescent="0.2">
      <c r="A237">
        <v>235</v>
      </c>
      <c r="B237">
        <f t="shared" ca="1" si="54"/>
        <v>235</v>
      </c>
      <c r="C237" t="str">
        <f t="shared" ca="1" si="54"/>
        <v>Groin HerniaProviderTHE NEWCASTLE UPON TYNE HOSPITALS NHS FOUNDATION TRUST (RTD)EQ-5D Index</v>
      </c>
      <c r="D237" t="str">
        <f t="shared" ca="1" si="54"/>
        <v>Groin Hernia</v>
      </c>
      <c r="E237" t="str">
        <f t="shared" ca="1" si="54"/>
        <v>Provider</v>
      </c>
      <c r="F237" t="str">
        <f t="shared" ca="1" si="54"/>
        <v>RTD</v>
      </c>
      <c r="G237" t="str">
        <f t="shared" ca="1" si="54"/>
        <v>THE NEWCASTLE UPON TYNE HOSPITALS NHS FOUNDATION TRUST (RTD)</v>
      </c>
      <c r="H237" t="str">
        <f t="shared" ca="1" si="54"/>
        <v>EQ-5D Index</v>
      </c>
      <c r="I237">
        <f t="shared" ca="1" si="54"/>
        <v>36</v>
      </c>
      <c r="J237">
        <f t="shared" ca="1" si="54"/>
        <v>0.78300000000000003</v>
      </c>
      <c r="K237">
        <f t="shared" ca="1" si="54"/>
        <v>0.86899999999999999</v>
      </c>
      <c r="L237">
        <f t="shared" ca="1" si="55"/>
        <v>8.5999999999999993E-2</v>
      </c>
      <c r="M237">
        <f t="shared" ca="1" si="55"/>
        <v>15</v>
      </c>
      <c r="N237">
        <f t="shared" ca="1" si="55"/>
        <v>16</v>
      </c>
      <c r="O237">
        <f t="shared" ca="1" si="55"/>
        <v>5</v>
      </c>
      <c r="P237">
        <f t="shared" ca="1" si="55"/>
        <v>0.88600000000000001</v>
      </c>
      <c r="Q237">
        <f t="shared" ca="1" si="55"/>
        <v>9.2231270000000004E-2</v>
      </c>
      <c r="R237">
        <f t="shared" ca="1" si="55"/>
        <v>0.152</v>
      </c>
      <c r="S237">
        <f t="shared" ca="1" si="46"/>
        <v>36</v>
      </c>
      <c r="T237">
        <f t="shared" ca="1" si="47"/>
        <v>9.2231270000000004E-2</v>
      </c>
      <c r="U237" t="e">
        <f ca="1">IF(AND($C237='Funnel setup'!$K$3&amp;'Funnel setup'!$K$5&amp;'Funnel setup'!$K$6&amp;'Funnel setup'!$K$4,'Funnel Lookup'!I237="*"),#N/A,IF(AND($C237='Funnel setup'!$K$3&amp;'Funnel setup'!$K$5&amp;'Funnel setup'!$K$6&amp;'Funnel setup'!$K$4,'Funnel Lookup'!I237&gt;29),'Funnel Lookup'!I237,#N/A))</f>
        <v>#N/A</v>
      </c>
      <c r="V237" t="e">
        <f ca="1">IF(AND($C237='Funnel setup'!$K$3&amp;'Funnel setup'!$K$5&amp;'Funnel setup'!$K$6&amp;'Funnel setup'!$K$4,'Funnel Lookup'!I237="*"),#N/A,IF(AND($C237='Funnel setup'!$K$3&amp;'Funnel setup'!$K$5&amp;'Funnel setup'!$K$6&amp;'Funnel setup'!$K$4,'Funnel Lookup'!I237&gt;29),'Funnel Lookup'!Q237,#N/A))</f>
        <v>#N/A</v>
      </c>
    </row>
    <row r="238" spans="1:22" x14ac:dyDescent="0.2">
      <c r="A238">
        <v>236</v>
      </c>
      <c r="B238">
        <f t="shared" ca="1" si="54"/>
        <v>236</v>
      </c>
      <c r="C238" t="str">
        <f t="shared" ca="1" si="54"/>
        <v>Groin HerniaProviderTHE PRINCESS ALEXANDRA HOSPITAL NHS TRUST (RQW)EQ-5D Index</v>
      </c>
      <c r="D238" t="str">
        <f t="shared" ca="1" si="54"/>
        <v>Groin Hernia</v>
      </c>
      <c r="E238" t="str">
        <f t="shared" ca="1" si="54"/>
        <v>Provider</v>
      </c>
      <c r="F238" t="str">
        <f t="shared" ca="1" si="54"/>
        <v>RQW</v>
      </c>
      <c r="G238" t="str">
        <f t="shared" ca="1" si="54"/>
        <v>THE PRINCESS ALEXANDRA HOSPITAL NHS TRUST (RQW)</v>
      </c>
      <c r="H238" t="str">
        <f t="shared" ca="1" si="54"/>
        <v>EQ-5D Index</v>
      </c>
      <c r="I238">
        <f t="shared" ca="1" si="54"/>
        <v>57</v>
      </c>
      <c r="J238">
        <f t="shared" ca="1" si="54"/>
        <v>0.73199999999999998</v>
      </c>
      <c r="K238">
        <f t="shared" ca="1" si="54"/>
        <v>0.79700000000000004</v>
      </c>
      <c r="L238">
        <f t="shared" ca="1" si="55"/>
        <v>6.6000000000000003E-2</v>
      </c>
      <c r="M238">
        <f t="shared" ca="1" si="55"/>
        <v>22</v>
      </c>
      <c r="N238">
        <f t="shared" ca="1" si="55"/>
        <v>24</v>
      </c>
      <c r="O238">
        <f t="shared" ca="1" si="55"/>
        <v>11</v>
      </c>
      <c r="P238">
        <f t="shared" ca="1" si="55"/>
        <v>0.82599999999999996</v>
      </c>
      <c r="Q238">
        <f t="shared" ca="1" si="55"/>
        <v>3.2337428000000001E-2</v>
      </c>
      <c r="R238">
        <f t="shared" ca="1" si="55"/>
        <v>0.20399999999999999</v>
      </c>
      <c r="S238">
        <f t="shared" ca="1" si="46"/>
        <v>57</v>
      </c>
      <c r="T238">
        <f t="shared" ca="1" si="47"/>
        <v>3.2337428000000001E-2</v>
      </c>
      <c r="U238" t="e">
        <f ca="1">IF(AND($C238='Funnel setup'!$K$3&amp;'Funnel setup'!$K$5&amp;'Funnel setup'!$K$6&amp;'Funnel setup'!$K$4,'Funnel Lookup'!I238="*"),#N/A,IF(AND($C238='Funnel setup'!$K$3&amp;'Funnel setup'!$K$5&amp;'Funnel setup'!$K$6&amp;'Funnel setup'!$K$4,'Funnel Lookup'!I238&gt;29),'Funnel Lookup'!I238,#N/A))</f>
        <v>#N/A</v>
      </c>
      <c r="V238" t="e">
        <f ca="1">IF(AND($C238='Funnel setup'!$K$3&amp;'Funnel setup'!$K$5&amp;'Funnel setup'!$K$6&amp;'Funnel setup'!$K$4,'Funnel Lookup'!I238="*"),#N/A,IF(AND($C238='Funnel setup'!$K$3&amp;'Funnel setup'!$K$5&amp;'Funnel setup'!$K$6&amp;'Funnel setup'!$K$4,'Funnel Lookup'!I238&gt;29),'Funnel Lookup'!Q238,#N/A))</f>
        <v>#N/A</v>
      </c>
    </row>
    <row r="239" spans="1:22" x14ac:dyDescent="0.2">
      <c r="A239">
        <v>237</v>
      </c>
      <c r="B239">
        <f t="shared" ca="1" si="54"/>
        <v>237</v>
      </c>
      <c r="C239" t="str">
        <f t="shared" ca="1" si="54"/>
        <v>Groin HerniaProviderTHE QUEEN ELIZABETH HOSPITAL, KING'S LYNN, NHS FOUNDATION TRUST (RCX)EQ-5D Index</v>
      </c>
      <c r="D239" t="str">
        <f t="shared" ca="1" si="54"/>
        <v>Groin Hernia</v>
      </c>
      <c r="E239" t="str">
        <f t="shared" ca="1" si="54"/>
        <v>Provider</v>
      </c>
      <c r="F239" t="str">
        <f t="shared" ca="1" si="54"/>
        <v>RCX</v>
      </c>
      <c r="G239" t="str">
        <f t="shared" ca="1" si="54"/>
        <v>THE QUEEN ELIZABETH HOSPITAL, KING'S LYNN, NHS FOUNDATION TRUST (RCX)</v>
      </c>
      <c r="H239" t="str">
        <f t="shared" ca="1" si="54"/>
        <v>EQ-5D Index</v>
      </c>
      <c r="I239">
        <f t="shared" ca="1" si="54"/>
        <v>61</v>
      </c>
      <c r="J239">
        <f t="shared" ca="1" si="54"/>
        <v>0.78400000000000003</v>
      </c>
      <c r="K239">
        <f t="shared" ca="1" si="54"/>
        <v>0.84099999999999997</v>
      </c>
      <c r="L239">
        <f t="shared" ca="1" si="55"/>
        <v>5.7000000000000002E-2</v>
      </c>
      <c r="M239">
        <f t="shared" ca="1" si="55"/>
        <v>30</v>
      </c>
      <c r="N239">
        <f t="shared" ca="1" si="55"/>
        <v>21</v>
      </c>
      <c r="O239">
        <f t="shared" ca="1" si="55"/>
        <v>10</v>
      </c>
      <c r="P239">
        <f t="shared" ca="1" si="55"/>
        <v>0.86599999999999999</v>
      </c>
      <c r="Q239">
        <f t="shared" ca="1" si="55"/>
        <v>7.2714572000000005E-2</v>
      </c>
      <c r="R239">
        <f t="shared" ca="1" si="55"/>
        <v>0.182</v>
      </c>
      <c r="S239">
        <f t="shared" ca="1" si="46"/>
        <v>61</v>
      </c>
      <c r="T239">
        <f t="shared" ca="1" si="47"/>
        <v>7.2714572000000005E-2</v>
      </c>
      <c r="U239" t="e">
        <f ca="1">IF(AND($C239='Funnel setup'!$K$3&amp;'Funnel setup'!$K$5&amp;'Funnel setup'!$K$6&amp;'Funnel setup'!$K$4,'Funnel Lookup'!I239="*"),#N/A,IF(AND($C239='Funnel setup'!$K$3&amp;'Funnel setup'!$K$5&amp;'Funnel setup'!$K$6&amp;'Funnel setup'!$K$4,'Funnel Lookup'!I239&gt;29),'Funnel Lookup'!I239,#N/A))</f>
        <v>#N/A</v>
      </c>
      <c r="V239" t="e">
        <f ca="1">IF(AND($C239='Funnel setup'!$K$3&amp;'Funnel setup'!$K$5&amp;'Funnel setup'!$K$6&amp;'Funnel setup'!$K$4,'Funnel Lookup'!I239="*"),#N/A,IF(AND($C239='Funnel setup'!$K$3&amp;'Funnel setup'!$K$5&amp;'Funnel setup'!$K$6&amp;'Funnel setup'!$K$4,'Funnel Lookup'!I239&gt;29),'Funnel Lookup'!Q239,#N/A))</f>
        <v>#N/A</v>
      </c>
    </row>
    <row r="240" spans="1:22" x14ac:dyDescent="0.2">
      <c r="A240">
        <v>238</v>
      </c>
      <c r="B240">
        <f t="shared" ca="1" si="54"/>
        <v>238</v>
      </c>
      <c r="C240" t="str">
        <f t="shared" ca="1" si="54"/>
        <v>Groin HerniaProviderTHE ROTHERHAM NHS FOUNDATION TRUST (RFR)EQ-5D Index</v>
      </c>
      <c r="D240" t="str">
        <f t="shared" ca="1" si="54"/>
        <v>Groin Hernia</v>
      </c>
      <c r="E240" t="str">
        <f t="shared" ca="1" si="54"/>
        <v>Provider</v>
      </c>
      <c r="F240" t="str">
        <f t="shared" ca="1" si="54"/>
        <v>RFR</v>
      </c>
      <c r="G240" t="str">
        <f t="shared" ca="1" si="54"/>
        <v>THE ROTHERHAM NHS FOUNDATION TRUST (RFR)</v>
      </c>
      <c r="H240" t="str">
        <f t="shared" ca="1" si="54"/>
        <v>EQ-5D Index</v>
      </c>
      <c r="I240">
        <f t="shared" ca="1" si="54"/>
        <v>66</v>
      </c>
      <c r="J240">
        <f t="shared" ca="1" si="54"/>
        <v>0.73899999999999999</v>
      </c>
      <c r="K240">
        <f t="shared" ca="1" si="54"/>
        <v>0.876</v>
      </c>
      <c r="L240">
        <f t="shared" ca="1" si="55"/>
        <v>0.13700000000000001</v>
      </c>
      <c r="M240">
        <f t="shared" ca="1" si="55"/>
        <v>39</v>
      </c>
      <c r="N240">
        <f t="shared" ca="1" si="55"/>
        <v>16</v>
      </c>
      <c r="O240">
        <f t="shared" ca="1" si="55"/>
        <v>11</v>
      </c>
      <c r="P240">
        <f t="shared" ca="1" si="55"/>
        <v>0.89600000000000002</v>
      </c>
      <c r="Q240">
        <f t="shared" ca="1" si="55"/>
        <v>0.10264369299999999</v>
      </c>
      <c r="R240">
        <f t="shared" ca="1" si="55"/>
        <v>0.16200000000000001</v>
      </c>
      <c r="S240">
        <f t="shared" ca="1" si="46"/>
        <v>66</v>
      </c>
      <c r="T240">
        <f t="shared" ca="1" si="47"/>
        <v>0.10264369299999999</v>
      </c>
      <c r="U240" t="e">
        <f ca="1">IF(AND($C240='Funnel setup'!$K$3&amp;'Funnel setup'!$K$5&amp;'Funnel setup'!$K$6&amp;'Funnel setup'!$K$4,'Funnel Lookup'!I240="*"),#N/A,IF(AND($C240='Funnel setup'!$K$3&amp;'Funnel setup'!$K$5&amp;'Funnel setup'!$K$6&amp;'Funnel setup'!$K$4,'Funnel Lookup'!I240&gt;29),'Funnel Lookup'!I240,#N/A))</f>
        <v>#N/A</v>
      </c>
      <c r="V240" t="e">
        <f ca="1">IF(AND($C240='Funnel setup'!$K$3&amp;'Funnel setup'!$K$5&amp;'Funnel setup'!$K$6&amp;'Funnel setup'!$K$4,'Funnel Lookup'!I240="*"),#N/A,IF(AND($C240='Funnel setup'!$K$3&amp;'Funnel setup'!$K$5&amp;'Funnel setup'!$K$6&amp;'Funnel setup'!$K$4,'Funnel Lookup'!I240&gt;29),'Funnel Lookup'!Q240,#N/A))</f>
        <v>#N/A</v>
      </c>
    </row>
    <row r="241" spans="1:22" x14ac:dyDescent="0.2">
      <c r="A241">
        <v>239</v>
      </c>
      <c r="B241">
        <f t="shared" ca="1" si="54"/>
        <v>239</v>
      </c>
      <c r="C241" t="str">
        <f t="shared" ca="1" si="54"/>
        <v>Groin HerniaProviderTHE ROYAL BOURNEMOUTH AND CHRISTCHURCH HOSPITALS NHS FOUNDATION TRUST (RDZ)EQ-5D Index</v>
      </c>
      <c r="D241" t="str">
        <f t="shared" ca="1" si="54"/>
        <v>Groin Hernia</v>
      </c>
      <c r="E241" t="str">
        <f t="shared" ca="1" si="54"/>
        <v>Provider</v>
      </c>
      <c r="F241" t="str">
        <f t="shared" ca="1" si="54"/>
        <v>RDZ</v>
      </c>
      <c r="G241" t="str">
        <f t="shared" ca="1" si="54"/>
        <v>THE ROYAL BOURNEMOUTH AND CHRISTCHURCH HOSPITALS NHS FOUNDATION TRUST (RDZ)</v>
      </c>
      <c r="H241" t="str">
        <f t="shared" ca="1" si="54"/>
        <v>EQ-5D Index</v>
      </c>
      <c r="I241">
        <f t="shared" ca="1" si="54"/>
        <v>46</v>
      </c>
      <c r="J241">
        <f t="shared" ca="1" si="54"/>
        <v>0.75700000000000001</v>
      </c>
      <c r="K241">
        <f t="shared" ca="1" si="54"/>
        <v>0.85799999999999998</v>
      </c>
      <c r="L241">
        <f t="shared" ca="1" si="55"/>
        <v>0.10100000000000001</v>
      </c>
      <c r="M241">
        <f t="shared" ca="1" si="55"/>
        <v>25</v>
      </c>
      <c r="N241">
        <f t="shared" ca="1" si="55"/>
        <v>16</v>
      </c>
      <c r="O241">
        <f t="shared" ca="1" si="55"/>
        <v>5</v>
      </c>
      <c r="P241">
        <f t="shared" ca="1" si="55"/>
        <v>0.878</v>
      </c>
      <c r="Q241">
        <f t="shared" ca="1" si="55"/>
        <v>8.4152780999999996E-2</v>
      </c>
      <c r="R241">
        <f t="shared" ca="1" si="55"/>
        <v>0.11899999999999999</v>
      </c>
      <c r="S241">
        <f t="shared" ca="1" si="46"/>
        <v>46</v>
      </c>
      <c r="T241">
        <f t="shared" ca="1" si="47"/>
        <v>8.4152780999999996E-2</v>
      </c>
      <c r="U241" t="e">
        <f ca="1">IF(AND($C241='Funnel setup'!$K$3&amp;'Funnel setup'!$K$5&amp;'Funnel setup'!$K$6&amp;'Funnel setup'!$K$4,'Funnel Lookup'!I241="*"),#N/A,IF(AND($C241='Funnel setup'!$K$3&amp;'Funnel setup'!$K$5&amp;'Funnel setup'!$K$6&amp;'Funnel setup'!$K$4,'Funnel Lookup'!I241&gt;29),'Funnel Lookup'!I241,#N/A))</f>
        <v>#N/A</v>
      </c>
      <c r="V241" t="e">
        <f ca="1">IF(AND($C241='Funnel setup'!$K$3&amp;'Funnel setup'!$K$5&amp;'Funnel setup'!$K$6&amp;'Funnel setup'!$K$4,'Funnel Lookup'!I241="*"),#N/A,IF(AND($C241='Funnel setup'!$K$3&amp;'Funnel setup'!$K$5&amp;'Funnel setup'!$K$6&amp;'Funnel setup'!$K$4,'Funnel Lookup'!I241&gt;29),'Funnel Lookup'!Q241,#N/A))</f>
        <v>#N/A</v>
      </c>
    </row>
    <row r="242" spans="1:22" x14ac:dyDescent="0.2">
      <c r="A242">
        <v>240</v>
      </c>
      <c r="B242">
        <f t="shared" ca="1" si="54"/>
        <v>240</v>
      </c>
      <c r="C242" t="str">
        <f t="shared" ca="1" si="54"/>
        <v>Groin HerniaProviderTHE ROYAL WOLVERHAMPTON NHS TRUST (RL4)EQ-5D Index</v>
      </c>
      <c r="D242" t="str">
        <f t="shared" ca="1" si="54"/>
        <v>Groin Hernia</v>
      </c>
      <c r="E242" t="str">
        <f t="shared" ca="1" si="54"/>
        <v>Provider</v>
      </c>
      <c r="F242" t="str">
        <f t="shared" ca="1" si="54"/>
        <v>RL4</v>
      </c>
      <c r="G242" t="str">
        <f t="shared" ca="1" si="54"/>
        <v>THE ROYAL WOLVERHAMPTON NHS TRUST (RL4)</v>
      </c>
      <c r="H242" t="str">
        <f t="shared" ca="1" si="54"/>
        <v>EQ-5D Index</v>
      </c>
      <c r="I242">
        <f t="shared" ca="1" si="54"/>
        <v>132</v>
      </c>
      <c r="J242">
        <f t="shared" ca="1" si="54"/>
        <v>0.77300000000000002</v>
      </c>
      <c r="K242">
        <f t="shared" ca="1" si="54"/>
        <v>0.85699999999999998</v>
      </c>
      <c r="L242">
        <f t="shared" ca="1" si="55"/>
        <v>8.4000000000000005E-2</v>
      </c>
      <c r="M242">
        <f t="shared" ca="1" si="55"/>
        <v>67</v>
      </c>
      <c r="N242">
        <f t="shared" ca="1" si="55"/>
        <v>41</v>
      </c>
      <c r="O242">
        <f t="shared" ca="1" si="55"/>
        <v>24</v>
      </c>
      <c r="P242">
        <f t="shared" ca="1" si="55"/>
        <v>0.878</v>
      </c>
      <c r="Q242">
        <f t="shared" ca="1" si="55"/>
        <v>8.4475421999999994E-2</v>
      </c>
      <c r="R242">
        <f t="shared" ca="1" si="55"/>
        <v>0.159</v>
      </c>
      <c r="S242">
        <f t="shared" ca="1" si="46"/>
        <v>132</v>
      </c>
      <c r="T242">
        <f t="shared" ca="1" si="47"/>
        <v>8.4475421999999994E-2</v>
      </c>
      <c r="U242" t="e">
        <f ca="1">IF(AND($C242='Funnel setup'!$K$3&amp;'Funnel setup'!$K$5&amp;'Funnel setup'!$K$6&amp;'Funnel setup'!$K$4,'Funnel Lookup'!I242="*"),#N/A,IF(AND($C242='Funnel setup'!$K$3&amp;'Funnel setup'!$K$5&amp;'Funnel setup'!$K$6&amp;'Funnel setup'!$K$4,'Funnel Lookup'!I242&gt;29),'Funnel Lookup'!I242,#N/A))</f>
        <v>#N/A</v>
      </c>
      <c r="V242" t="e">
        <f ca="1">IF(AND($C242='Funnel setup'!$K$3&amp;'Funnel setup'!$K$5&amp;'Funnel setup'!$K$6&amp;'Funnel setup'!$K$4,'Funnel Lookup'!I242="*"),#N/A,IF(AND($C242='Funnel setup'!$K$3&amp;'Funnel setup'!$K$5&amp;'Funnel setup'!$K$6&amp;'Funnel setup'!$K$4,'Funnel Lookup'!I242&gt;29),'Funnel Lookup'!Q242,#N/A))</f>
        <v>#N/A</v>
      </c>
    </row>
    <row r="243" spans="1:22" x14ac:dyDescent="0.2">
      <c r="A243">
        <v>241</v>
      </c>
      <c r="B243">
        <f t="shared" ref="B243:K252" ca="1" si="56">VLOOKUP($A243,Funnel_Data,B$1,FALSE)</f>
        <v>241</v>
      </c>
      <c r="C243" t="str">
        <f t="shared" ca="1" si="56"/>
        <v>Groin HerniaProviderTHE SPENCER WING (RAMSGATE ROAD) (NN801)EQ-5D Index</v>
      </c>
      <c r="D243" t="str">
        <f t="shared" ca="1" si="56"/>
        <v>Groin Hernia</v>
      </c>
      <c r="E243" t="str">
        <f t="shared" ca="1" si="56"/>
        <v>Provider</v>
      </c>
      <c r="F243" t="str">
        <f t="shared" ca="1" si="56"/>
        <v>NN801</v>
      </c>
      <c r="G243" t="str">
        <f t="shared" ca="1" si="56"/>
        <v>THE SPENCER WING (RAMSGATE ROAD) (NN801)</v>
      </c>
      <c r="H243" t="str">
        <f t="shared" ca="1" si="56"/>
        <v>EQ-5D Index</v>
      </c>
      <c r="I243" t="str">
        <f t="shared" ca="1" si="56"/>
        <v>*</v>
      </c>
      <c r="J243" t="str">
        <f t="shared" ca="1" si="56"/>
        <v>*</v>
      </c>
      <c r="K243" t="str">
        <f t="shared" ca="1" si="56"/>
        <v>*</v>
      </c>
      <c r="L243" t="str">
        <f t="shared" ref="L243:R252" ca="1" si="57">VLOOKUP($A243,Funnel_Data,L$1,FALSE)</f>
        <v>*</v>
      </c>
      <c r="M243" t="str">
        <f t="shared" ca="1" si="57"/>
        <v>*</v>
      </c>
      <c r="N243" t="str">
        <f t="shared" ca="1" si="57"/>
        <v>*</v>
      </c>
      <c r="O243" t="str">
        <f t="shared" ca="1" si="57"/>
        <v>*</v>
      </c>
      <c r="P243" t="str">
        <f t="shared" ca="1" si="57"/>
        <v>*</v>
      </c>
      <c r="Q243" t="str">
        <f t="shared" ca="1" si="57"/>
        <v>*</v>
      </c>
      <c r="R243" t="str">
        <f t="shared" ca="1" si="57"/>
        <v>*</v>
      </c>
      <c r="S243" t="e">
        <f t="shared" ca="1" si="46"/>
        <v>#N/A</v>
      </c>
      <c r="T243" t="e">
        <f t="shared" ca="1" si="47"/>
        <v>#N/A</v>
      </c>
      <c r="U243" t="e">
        <f ca="1">IF(AND($C243='Funnel setup'!$K$3&amp;'Funnel setup'!$K$5&amp;'Funnel setup'!$K$6&amp;'Funnel setup'!$K$4,'Funnel Lookup'!I243="*"),#N/A,IF(AND($C243='Funnel setup'!$K$3&amp;'Funnel setup'!$K$5&amp;'Funnel setup'!$K$6&amp;'Funnel setup'!$K$4,'Funnel Lookup'!I243&gt;29),'Funnel Lookup'!I243,#N/A))</f>
        <v>#N/A</v>
      </c>
      <c r="V243" t="e">
        <f ca="1">IF(AND($C243='Funnel setup'!$K$3&amp;'Funnel setup'!$K$5&amp;'Funnel setup'!$K$6&amp;'Funnel setup'!$K$4,'Funnel Lookup'!I243="*"),#N/A,IF(AND($C243='Funnel setup'!$K$3&amp;'Funnel setup'!$K$5&amp;'Funnel setup'!$K$6&amp;'Funnel setup'!$K$4,'Funnel Lookup'!I243&gt;29),'Funnel Lookup'!Q243,#N/A))</f>
        <v>#N/A</v>
      </c>
    </row>
    <row r="244" spans="1:22" x14ac:dyDescent="0.2">
      <c r="A244">
        <v>242</v>
      </c>
      <c r="B244">
        <f t="shared" ca="1" si="56"/>
        <v>242</v>
      </c>
      <c r="C244" t="str">
        <f t="shared" ca="1" si="56"/>
        <v>Groin HerniaProviderTHE WESTBOURNE CENTRE (NVC44)EQ-5D Index</v>
      </c>
      <c r="D244" t="str">
        <f t="shared" ca="1" si="56"/>
        <v>Groin Hernia</v>
      </c>
      <c r="E244" t="str">
        <f t="shared" ca="1" si="56"/>
        <v>Provider</v>
      </c>
      <c r="F244" t="str">
        <f t="shared" ca="1" si="56"/>
        <v>NVC44</v>
      </c>
      <c r="G244" t="str">
        <f t="shared" ca="1" si="56"/>
        <v>THE WESTBOURNE CENTRE (NVC44)</v>
      </c>
      <c r="H244" t="str">
        <f t="shared" ca="1" si="56"/>
        <v>EQ-5D Index</v>
      </c>
      <c r="I244" t="str">
        <f t="shared" ca="1" si="56"/>
        <v>*</v>
      </c>
      <c r="J244" t="str">
        <f t="shared" ca="1" si="56"/>
        <v>*</v>
      </c>
      <c r="K244" t="str">
        <f t="shared" ca="1" si="56"/>
        <v>*</v>
      </c>
      <c r="L244" t="str">
        <f t="shared" ca="1" si="57"/>
        <v>*</v>
      </c>
      <c r="M244" t="str">
        <f t="shared" ca="1" si="57"/>
        <v>*</v>
      </c>
      <c r="N244" t="str">
        <f t="shared" ca="1" si="57"/>
        <v>*</v>
      </c>
      <c r="O244" t="str">
        <f t="shared" ca="1" si="57"/>
        <v>*</v>
      </c>
      <c r="P244" t="str">
        <f t="shared" ca="1" si="57"/>
        <v>*</v>
      </c>
      <c r="Q244" t="str">
        <f t="shared" ca="1" si="57"/>
        <v>*</v>
      </c>
      <c r="R244" t="str">
        <f t="shared" ca="1" si="57"/>
        <v>*</v>
      </c>
      <c r="S244" t="e">
        <f t="shared" ca="1" si="46"/>
        <v>#N/A</v>
      </c>
      <c r="T244" t="e">
        <f t="shared" ca="1" si="47"/>
        <v>#N/A</v>
      </c>
      <c r="U244" t="e">
        <f ca="1">IF(AND($C244='Funnel setup'!$K$3&amp;'Funnel setup'!$K$5&amp;'Funnel setup'!$K$6&amp;'Funnel setup'!$K$4,'Funnel Lookup'!I244="*"),#N/A,IF(AND($C244='Funnel setup'!$K$3&amp;'Funnel setup'!$K$5&amp;'Funnel setup'!$K$6&amp;'Funnel setup'!$K$4,'Funnel Lookup'!I244&gt;29),'Funnel Lookup'!I244,#N/A))</f>
        <v>#N/A</v>
      </c>
      <c r="V244" t="e">
        <f ca="1">IF(AND($C244='Funnel setup'!$K$3&amp;'Funnel setup'!$K$5&amp;'Funnel setup'!$K$6&amp;'Funnel setup'!$K$4,'Funnel Lookup'!I244="*"),#N/A,IF(AND($C244='Funnel setup'!$K$3&amp;'Funnel setup'!$K$5&amp;'Funnel setup'!$K$6&amp;'Funnel setup'!$K$4,'Funnel Lookup'!I244&gt;29),'Funnel Lookup'!Q244,#N/A))</f>
        <v>#N/A</v>
      </c>
    </row>
    <row r="245" spans="1:22" x14ac:dyDescent="0.2">
      <c r="A245">
        <v>243</v>
      </c>
      <c r="B245">
        <f t="shared" ca="1" si="56"/>
        <v>243</v>
      </c>
      <c r="C245" t="str">
        <f t="shared" ca="1" si="56"/>
        <v>Groin HerniaProviderTHE YORKSHIRE CLINIC (NVC20)EQ-5D Index</v>
      </c>
      <c r="D245" t="str">
        <f t="shared" ca="1" si="56"/>
        <v>Groin Hernia</v>
      </c>
      <c r="E245" t="str">
        <f t="shared" ca="1" si="56"/>
        <v>Provider</v>
      </c>
      <c r="F245" t="str">
        <f t="shared" ca="1" si="56"/>
        <v>NVC20</v>
      </c>
      <c r="G245" t="str">
        <f t="shared" ca="1" si="56"/>
        <v>THE YORKSHIRE CLINIC (NVC20)</v>
      </c>
      <c r="H245" t="str">
        <f t="shared" ca="1" si="56"/>
        <v>EQ-5D Index</v>
      </c>
      <c r="I245">
        <f t="shared" ca="1" si="56"/>
        <v>30</v>
      </c>
      <c r="J245">
        <f t="shared" ca="1" si="56"/>
        <v>0.85299999999999998</v>
      </c>
      <c r="K245">
        <f t="shared" ca="1" si="56"/>
        <v>0.92300000000000004</v>
      </c>
      <c r="L245">
        <f t="shared" ca="1" si="57"/>
        <v>7.0000000000000007E-2</v>
      </c>
      <c r="M245">
        <f t="shared" ca="1" si="57"/>
        <v>13</v>
      </c>
      <c r="N245">
        <f t="shared" ca="1" si="57"/>
        <v>10</v>
      </c>
      <c r="O245">
        <f t="shared" ca="1" si="57"/>
        <v>7</v>
      </c>
      <c r="P245">
        <f t="shared" ca="1" si="57"/>
        <v>0.89700000000000002</v>
      </c>
      <c r="Q245">
        <f t="shared" ca="1" si="57"/>
        <v>0.103862631</v>
      </c>
      <c r="R245">
        <f t="shared" ca="1" si="57"/>
        <v>0.109</v>
      </c>
      <c r="S245">
        <f t="shared" ca="1" si="46"/>
        <v>30</v>
      </c>
      <c r="T245">
        <f t="shared" ca="1" si="47"/>
        <v>0.103862631</v>
      </c>
      <c r="U245" t="e">
        <f ca="1">IF(AND($C245='Funnel setup'!$K$3&amp;'Funnel setup'!$K$5&amp;'Funnel setup'!$K$6&amp;'Funnel setup'!$K$4,'Funnel Lookup'!I245="*"),#N/A,IF(AND($C245='Funnel setup'!$K$3&amp;'Funnel setup'!$K$5&amp;'Funnel setup'!$K$6&amp;'Funnel setup'!$K$4,'Funnel Lookup'!I245&gt;29),'Funnel Lookup'!I245,#N/A))</f>
        <v>#N/A</v>
      </c>
      <c r="V245" t="e">
        <f ca="1">IF(AND($C245='Funnel setup'!$K$3&amp;'Funnel setup'!$K$5&amp;'Funnel setup'!$K$6&amp;'Funnel setup'!$K$4,'Funnel Lookup'!I245="*"),#N/A,IF(AND($C245='Funnel setup'!$K$3&amp;'Funnel setup'!$K$5&amp;'Funnel setup'!$K$6&amp;'Funnel setup'!$K$4,'Funnel Lookup'!I245&gt;29),'Funnel Lookup'!Q245,#N/A))</f>
        <v>#N/A</v>
      </c>
    </row>
    <row r="246" spans="1:22" x14ac:dyDescent="0.2">
      <c r="A246">
        <v>244</v>
      </c>
      <c r="B246">
        <f t="shared" ca="1" si="56"/>
        <v>244</v>
      </c>
      <c r="C246" t="str">
        <f t="shared" ca="1" si="56"/>
        <v>Groin HerniaProviderTORBAY AND SOUTH DEVON NHS FOUNDATION TRUST (RA9)EQ-5D Index</v>
      </c>
      <c r="D246" t="str">
        <f t="shared" ca="1" si="56"/>
        <v>Groin Hernia</v>
      </c>
      <c r="E246" t="str">
        <f t="shared" ca="1" si="56"/>
        <v>Provider</v>
      </c>
      <c r="F246" t="str">
        <f t="shared" ca="1" si="56"/>
        <v>RA9</v>
      </c>
      <c r="G246" t="str">
        <f t="shared" ca="1" si="56"/>
        <v>TORBAY AND SOUTH DEVON NHS FOUNDATION TRUST (RA9)</v>
      </c>
      <c r="H246" t="str">
        <f t="shared" ca="1" si="56"/>
        <v>EQ-5D Index</v>
      </c>
      <c r="I246">
        <f t="shared" ca="1" si="56"/>
        <v>24</v>
      </c>
      <c r="J246">
        <f t="shared" ca="1" si="56"/>
        <v>0.76600000000000001</v>
      </c>
      <c r="K246">
        <f t="shared" ca="1" si="56"/>
        <v>0.82399999999999995</v>
      </c>
      <c r="L246">
        <f t="shared" ca="1" si="57"/>
        <v>5.8000000000000003E-2</v>
      </c>
      <c r="M246">
        <f t="shared" ca="1" si="57"/>
        <v>13</v>
      </c>
      <c r="N246">
        <f t="shared" ca="1" si="57"/>
        <v>7</v>
      </c>
      <c r="O246">
        <f t="shared" ca="1" si="57"/>
        <v>4</v>
      </c>
      <c r="P246" t="str">
        <f t="shared" ca="1" si="57"/>
        <v>*</v>
      </c>
      <c r="Q246" t="str">
        <f t="shared" ca="1" si="57"/>
        <v>*</v>
      </c>
      <c r="R246" t="str">
        <f t="shared" ca="1" si="57"/>
        <v>*</v>
      </c>
      <c r="S246" t="e">
        <f t="shared" ca="1" si="46"/>
        <v>#N/A</v>
      </c>
      <c r="T246" t="e">
        <f t="shared" ca="1" si="47"/>
        <v>#N/A</v>
      </c>
      <c r="U246" t="e">
        <f ca="1">IF(AND($C246='Funnel setup'!$K$3&amp;'Funnel setup'!$K$5&amp;'Funnel setup'!$K$6&amp;'Funnel setup'!$K$4,'Funnel Lookup'!I246="*"),#N/A,IF(AND($C246='Funnel setup'!$K$3&amp;'Funnel setup'!$K$5&amp;'Funnel setup'!$K$6&amp;'Funnel setup'!$K$4,'Funnel Lookup'!I246&gt;29),'Funnel Lookup'!I246,#N/A))</f>
        <v>#N/A</v>
      </c>
      <c r="V246" t="e">
        <f ca="1">IF(AND($C246='Funnel setup'!$K$3&amp;'Funnel setup'!$K$5&amp;'Funnel setup'!$K$6&amp;'Funnel setup'!$K$4,'Funnel Lookup'!I246="*"),#N/A,IF(AND($C246='Funnel setup'!$K$3&amp;'Funnel setup'!$K$5&amp;'Funnel setup'!$K$6&amp;'Funnel setup'!$K$4,'Funnel Lookup'!I246&gt;29),'Funnel Lookup'!Q246,#N/A))</f>
        <v>#N/A</v>
      </c>
    </row>
    <row r="247" spans="1:22" x14ac:dyDescent="0.2">
      <c r="A247">
        <v>245</v>
      </c>
      <c r="B247">
        <f t="shared" ca="1" si="56"/>
        <v>245</v>
      </c>
      <c r="C247" t="str">
        <f t="shared" ca="1" si="56"/>
        <v>Groin HerniaProviderUNITED LINCOLNSHIRE HOSPITALS NHS TRUST (RWD)EQ-5D Index</v>
      </c>
      <c r="D247" t="str">
        <f t="shared" ca="1" si="56"/>
        <v>Groin Hernia</v>
      </c>
      <c r="E247" t="str">
        <f t="shared" ca="1" si="56"/>
        <v>Provider</v>
      </c>
      <c r="F247" t="str">
        <f t="shared" ca="1" si="56"/>
        <v>RWD</v>
      </c>
      <c r="G247" t="str">
        <f t="shared" ca="1" si="56"/>
        <v>UNITED LINCOLNSHIRE HOSPITALS NHS TRUST (RWD)</v>
      </c>
      <c r="H247" t="str">
        <f t="shared" ca="1" si="56"/>
        <v>EQ-5D Index</v>
      </c>
      <c r="I247">
        <f t="shared" ca="1" si="56"/>
        <v>141</v>
      </c>
      <c r="J247">
        <f t="shared" ca="1" si="56"/>
        <v>0.80800000000000005</v>
      </c>
      <c r="K247">
        <f t="shared" ca="1" si="56"/>
        <v>0.86599999999999999</v>
      </c>
      <c r="L247">
        <f t="shared" ca="1" si="57"/>
        <v>5.8000000000000003E-2</v>
      </c>
      <c r="M247">
        <f t="shared" ca="1" si="57"/>
        <v>63</v>
      </c>
      <c r="N247">
        <f t="shared" ca="1" si="57"/>
        <v>48</v>
      </c>
      <c r="O247">
        <f t="shared" ca="1" si="57"/>
        <v>30</v>
      </c>
      <c r="P247">
        <f t="shared" ca="1" si="57"/>
        <v>0.86699999999999999</v>
      </c>
      <c r="Q247">
        <f t="shared" ca="1" si="57"/>
        <v>7.3690227999999997E-2</v>
      </c>
      <c r="R247">
        <f t="shared" ca="1" si="57"/>
        <v>0.16800000000000001</v>
      </c>
      <c r="S247">
        <f t="shared" ca="1" si="46"/>
        <v>141</v>
      </c>
      <c r="T247">
        <f t="shared" ca="1" si="47"/>
        <v>7.3690227999999997E-2</v>
      </c>
      <c r="U247" t="e">
        <f ca="1">IF(AND($C247='Funnel setup'!$K$3&amp;'Funnel setup'!$K$5&amp;'Funnel setup'!$K$6&amp;'Funnel setup'!$K$4,'Funnel Lookup'!I247="*"),#N/A,IF(AND($C247='Funnel setup'!$K$3&amp;'Funnel setup'!$K$5&amp;'Funnel setup'!$K$6&amp;'Funnel setup'!$K$4,'Funnel Lookup'!I247&gt;29),'Funnel Lookup'!I247,#N/A))</f>
        <v>#N/A</v>
      </c>
      <c r="V247" t="e">
        <f ca="1">IF(AND($C247='Funnel setup'!$K$3&amp;'Funnel setup'!$K$5&amp;'Funnel setup'!$K$6&amp;'Funnel setup'!$K$4,'Funnel Lookup'!I247="*"),#N/A,IF(AND($C247='Funnel setup'!$K$3&amp;'Funnel setup'!$K$5&amp;'Funnel setup'!$K$6&amp;'Funnel setup'!$K$4,'Funnel Lookup'!I247&gt;29),'Funnel Lookup'!Q247,#N/A))</f>
        <v>#N/A</v>
      </c>
    </row>
    <row r="248" spans="1:22" x14ac:dyDescent="0.2">
      <c r="A248">
        <v>246</v>
      </c>
      <c r="B248">
        <f t="shared" ca="1" si="56"/>
        <v>246</v>
      </c>
      <c r="C248" t="str">
        <f t="shared" ca="1" si="56"/>
        <v>Groin HerniaProviderUNIVERSITY COLLEGE LONDON HOSPITALS NHS FOUNDATION TRUST (RRV)EQ-5D Index</v>
      </c>
      <c r="D248" t="str">
        <f t="shared" ca="1" si="56"/>
        <v>Groin Hernia</v>
      </c>
      <c r="E248" t="str">
        <f t="shared" ca="1" si="56"/>
        <v>Provider</v>
      </c>
      <c r="F248" t="str">
        <f t="shared" ca="1" si="56"/>
        <v>RRV</v>
      </c>
      <c r="G248" t="str">
        <f t="shared" ca="1" si="56"/>
        <v>UNIVERSITY COLLEGE LONDON HOSPITALS NHS FOUNDATION TRUST (RRV)</v>
      </c>
      <c r="H248" t="str">
        <f t="shared" ca="1" si="56"/>
        <v>EQ-5D Index</v>
      </c>
      <c r="I248">
        <f t="shared" ca="1" si="56"/>
        <v>22</v>
      </c>
      <c r="J248">
        <f t="shared" ca="1" si="56"/>
        <v>0.78500000000000003</v>
      </c>
      <c r="K248">
        <f t="shared" ca="1" si="56"/>
        <v>0.84499999999999997</v>
      </c>
      <c r="L248">
        <f t="shared" ca="1" si="57"/>
        <v>0.06</v>
      </c>
      <c r="M248">
        <f t="shared" ca="1" si="57"/>
        <v>10</v>
      </c>
      <c r="N248">
        <f t="shared" ca="1" si="57"/>
        <v>4</v>
      </c>
      <c r="O248">
        <f t="shared" ca="1" si="57"/>
        <v>8</v>
      </c>
      <c r="P248" t="str">
        <f t="shared" ca="1" si="57"/>
        <v>*</v>
      </c>
      <c r="Q248" t="str">
        <f t="shared" ca="1" si="57"/>
        <v>*</v>
      </c>
      <c r="R248" t="str">
        <f t="shared" ca="1" si="57"/>
        <v>*</v>
      </c>
      <c r="S248" t="e">
        <f t="shared" ca="1" si="46"/>
        <v>#N/A</v>
      </c>
      <c r="T248" t="e">
        <f t="shared" ca="1" si="47"/>
        <v>#N/A</v>
      </c>
      <c r="U248" t="e">
        <f ca="1">IF(AND($C248='Funnel setup'!$K$3&amp;'Funnel setup'!$K$5&amp;'Funnel setup'!$K$6&amp;'Funnel setup'!$K$4,'Funnel Lookup'!I248="*"),#N/A,IF(AND($C248='Funnel setup'!$K$3&amp;'Funnel setup'!$K$5&amp;'Funnel setup'!$K$6&amp;'Funnel setup'!$K$4,'Funnel Lookup'!I248&gt;29),'Funnel Lookup'!I248,#N/A))</f>
        <v>#N/A</v>
      </c>
      <c r="V248" t="e">
        <f ca="1">IF(AND($C248='Funnel setup'!$K$3&amp;'Funnel setup'!$K$5&amp;'Funnel setup'!$K$6&amp;'Funnel setup'!$K$4,'Funnel Lookup'!I248="*"),#N/A,IF(AND($C248='Funnel setup'!$K$3&amp;'Funnel setup'!$K$5&amp;'Funnel setup'!$K$6&amp;'Funnel setup'!$K$4,'Funnel Lookup'!I248&gt;29),'Funnel Lookup'!Q248,#N/A))</f>
        <v>#N/A</v>
      </c>
    </row>
    <row r="249" spans="1:22" x14ac:dyDescent="0.2">
      <c r="A249">
        <v>247</v>
      </c>
      <c r="B249">
        <f t="shared" ca="1" si="56"/>
        <v>247</v>
      </c>
      <c r="C249" t="str">
        <f t="shared" ca="1" si="56"/>
        <v>Groin HerniaProviderUNIVERSITY HOSPITAL OF SOUTH MANCHESTER NHS FOUNDATION TRUST (RM2)EQ-5D Index</v>
      </c>
      <c r="D249" t="str">
        <f t="shared" ca="1" si="56"/>
        <v>Groin Hernia</v>
      </c>
      <c r="E249" t="str">
        <f t="shared" ca="1" si="56"/>
        <v>Provider</v>
      </c>
      <c r="F249" t="str">
        <f t="shared" ca="1" si="56"/>
        <v>RM2</v>
      </c>
      <c r="G249" t="str">
        <f t="shared" ca="1" si="56"/>
        <v>UNIVERSITY HOSPITAL OF SOUTH MANCHESTER NHS FOUNDATION TRUST (RM2)</v>
      </c>
      <c r="H249" t="str">
        <f t="shared" ca="1" si="56"/>
        <v>EQ-5D Index</v>
      </c>
      <c r="I249">
        <f t="shared" ca="1" si="56"/>
        <v>84</v>
      </c>
      <c r="J249">
        <f t="shared" ca="1" si="56"/>
        <v>0.79400000000000004</v>
      </c>
      <c r="K249">
        <f t="shared" ca="1" si="56"/>
        <v>0.86299999999999999</v>
      </c>
      <c r="L249">
        <f t="shared" ca="1" si="57"/>
        <v>6.9000000000000006E-2</v>
      </c>
      <c r="M249">
        <f t="shared" ca="1" si="57"/>
        <v>37</v>
      </c>
      <c r="N249">
        <f t="shared" ca="1" si="57"/>
        <v>37</v>
      </c>
      <c r="O249">
        <f t="shared" ca="1" si="57"/>
        <v>10</v>
      </c>
      <c r="P249">
        <f t="shared" ca="1" si="57"/>
        <v>0.86499999999999999</v>
      </c>
      <c r="Q249">
        <f t="shared" ca="1" si="57"/>
        <v>7.1541544999999998E-2</v>
      </c>
      <c r="R249">
        <f t="shared" ca="1" si="57"/>
        <v>0.192</v>
      </c>
      <c r="S249">
        <f t="shared" ca="1" si="46"/>
        <v>84</v>
      </c>
      <c r="T249">
        <f t="shared" ca="1" si="47"/>
        <v>7.1541544999999998E-2</v>
      </c>
      <c r="U249" t="e">
        <f ca="1">IF(AND($C249='Funnel setup'!$K$3&amp;'Funnel setup'!$K$5&amp;'Funnel setup'!$K$6&amp;'Funnel setup'!$K$4,'Funnel Lookup'!I249="*"),#N/A,IF(AND($C249='Funnel setup'!$K$3&amp;'Funnel setup'!$K$5&amp;'Funnel setup'!$K$6&amp;'Funnel setup'!$K$4,'Funnel Lookup'!I249&gt;29),'Funnel Lookup'!I249,#N/A))</f>
        <v>#N/A</v>
      </c>
      <c r="V249" t="e">
        <f ca="1">IF(AND($C249='Funnel setup'!$K$3&amp;'Funnel setup'!$K$5&amp;'Funnel setup'!$K$6&amp;'Funnel setup'!$K$4,'Funnel Lookup'!I249="*"),#N/A,IF(AND($C249='Funnel setup'!$K$3&amp;'Funnel setup'!$K$5&amp;'Funnel setup'!$K$6&amp;'Funnel setup'!$K$4,'Funnel Lookup'!I249&gt;29),'Funnel Lookup'!Q249,#N/A))</f>
        <v>#N/A</v>
      </c>
    </row>
    <row r="250" spans="1:22" x14ac:dyDescent="0.2">
      <c r="A250">
        <v>248</v>
      </c>
      <c r="B250">
        <f t="shared" ca="1" si="56"/>
        <v>248</v>
      </c>
      <c r="C250" t="str">
        <f t="shared" ca="1" si="56"/>
        <v>Groin HerniaProviderUNIVERSITY HOSPITAL SOUTHAMPTON NHS FOUNDATION TRUST (RHM)EQ-5D Index</v>
      </c>
      <c r="D250" t="str">
        <f t="shared" ca="1" si="56"/>
        <v>Groin Hernia</v>
      </c>
      <c r="E250" t="str">
        <f t="shared" ca="1" si="56"/>
        <v>Provider</v>
      </c>
      <c r="F250" t="str">
        <f t="shared" ca="1" si="56"/>
        <v>RHM</v>
      </c>
      <c r="G250" t="str">
        <f t="shared" ca="1" si="56"/>
        <v>UNIVERSITY HOSPITAL SOUTHAMPTON NHS FOUNDATION TRUST (RHM)</v>
      </c>
      <c r="H250" t="str">
        <f t="shared" ca="1" si="56"/>
        <v>EQ-5D Index</v>
      </c>
      <c r="I250">
        <f t="shared" ca="1" si="56"/>
        <v>24</v>
      </c>
      <c r="J250">
        <f t="shared" ca="1" si="56"/>
        <v>0.64700000000000002</v>
      </c>
      <c r="K250">
        <f t="shared" ca="1" si="56"/>
        <v>0.74099999999999999</v>
      </c>
      <c r="L250">
        <f t="shared" ca="1" si="57"/>
        <v>9.4E-2</v>
      </c>
      <c r="M250">
        <f t="shared" ca="1" si="57"/>
        <v>13</v>
      </c>
      <c r="N250">
        <f t="shared" ca="1" si="57"/>
        <v>5</v>
      </c>
      <c r="O250">
        <f t="shared" ca="1" si="57"/>
        <v>6</v>
      </c>
      <c r="P250" t="str">
        <f t="shared" ca="1" si="57"/>
        <v>*</v>
      </c>
      <c r="Q250" t="str">
        <f t="shared" ca="1" si="57"/>
        <v>*</v>
      </c>
      <c r="R250" t="str">
        <f t="shared" ca="1" si="57"/>
        <v>*</v>
      </c>
      <c r="S250" t="e">
        <f t="shared" ca="1" si="46"/>
        <v>#N/A</v>
      </c>
      <c r="T250" t="e">
        <f t="shared" ca="1" si="47"/>
        <v>#N/A</v>
      </c>
      <c r="U250" t="e">
        <f ca="1">IF(AND($C250='Funnel setup'!$K$3&amp;'Funnel setup'!$K$5&amp;'Funnel setup'!$K$6&amp;'Funnel setup'!$K$4,'Funnel Lookup'!I250="*"),#N/A,IF(AND($C250='Funnel setup'!$K$3&amp;'Funnel setup'!$K$5&amp;'Funnel setup'!$K$6&amp;'Funnel setup'!$K$4,'Funnel Lookup'!I250&gt;29),'Funnel Lookup'!I250,#N/A))</f>
        <v>#N/A</v>
      </c>
      <c r="V250" t="e">
        <f ca="1">IF(AND($C250='Funnel setup'!$K$3&amp;'Funnel setup'!$K$5&amp;'Funnel setup'!$K$6&amp;'Funnel setup'!$K$4,'Funnel Lookup'!I250="*"),#N/A,IF(AND($C250='Funnel setup'!$K$3&amp;'Funnel setup'!$K$5&amp;'Funnel setup'!$K$6&amp;'Funnel setup'!$K$4,'Funnel Lookup'!I250&gt;29),'Funnel Lookup'!Q250,#N/A))</f>
        <v>#N/A</v>
      </c>
    </row>
    <row r="251" spans="1:22" x14ac:dyDescent="0.2">
      <c r="A251">
        <v>249</v>
      </c>
      <c r="B251">
        <f t="shared" ca="1" si="56"/>
        <v>249</v>
      </c>
      <c r="C251" t="str">
        <f t="shared" ca="1" si="56"/>
        <v>Groin HerniaProviderUNIVERSITY HOSPITALS BIRMINGHAM NHS FOUNDATION TRUST (RRK)EQ-5D Index</v>
      </c>
      <c r="D251" t="str">
        <f t="shared" ca="1" si="56"/>
        <v>Groin Hernia</v>
      </c>
      <c r="E251" t="str">
        <f t="shared" ca="1" si="56"/>
        <v>Provider</v>
      </c>
      <c r="F251" t="str">
        <f t="shared" ca="1" si="56"/>
        <v>RRK</v>
      </c>
      <c r="G251" t="str">
        <f t="shared" ca="1" si="56"/>
        <v>UNIVERSITY HOSPITALS BIRMINGHAM NHS FOUNDATION TRUST (RRK)</v>
      </c>
      <c r="H251" t="str">
        <f t="shared" ca="1" si="56"/>
        <v>EQ-5D Index</v>
      </c>
      <c r="I251">
        <f t="shared" ca="1" si="56"/>
        <v>107</v>
      </c>
      <c r="J251">
        <f t="shared" ca="1" si="56"/>
        <v>0.77</v>
      </c>
      <c r="K251">
        <f t="shared" ca="1" si="56"/>
        <v>0.83699999999999997</v>
      </c>
      <c r="L251">
        <f t="shared" ca="1" si="57"/>
        <v>6.7000000000000004E-2</v>
      </c>
      <c r="M251">
        <f t="shared" ca="1" si="57"/>
        <v>47</v>
      </c>
      <c r="N251">
        <f t="shared" ca="1" si="57"/>
        <v>41</v>
      </c>
      <c r="O251">
        <f t="shared" ca="1" si="57"/>
        <v>19</v>
      </c>
      <c r="P251">
        <f t="shared" ca="1" si="57"/>
        <v>0.86199999999999999</v>
      </c>
      <c r="Q251">
        <f t="shared" ca="1" si="57"/>
        <v>6.8290825999999999E-2</v>
      </c>
      <c r="R251">
        <f t="shared" ca="1" si="57"/>
        <v>0.17199999999999999</v>
      </c>
      <c r="S251">
        <f t="shared" ca="1" si="46"/>
        <v>107</v>
      </c>
      <c r="T251">
        <f t="shared" ca="1" si="47"/>
        <v>6.8290825999999999E-2</v>
      </c>
      <c r="U251" t="e">
        <f ca="1">IF(AND($C251='Funnel setup'!$K$3&amp;'Funnel setup'!$K$5&amp;'Funnel setup'!$K$6&amp;'Funnel setup'!$K$4,'Funnel Lookup'!I251="*"),#N/A,IF(AND($C251='Funnel setup'!$K$3&amp;'Funnel setup'!$K$5&amp;'Funnel setup'!$K$6&amp;'Funnel setup'!$K$4,'Funnel Lookup'!I251&gt;29),'Funnel Lookup'!I251,#N/A))</f>
        <v>#N/A</v>
      </c>
      <c r="V251" t="e">
        <f ca="1">IF(AND($C251='Funnel setup'!$K$3&amp;'Funnel setup'!$K$5&amp;'Funnel setup'!$K$6&amp;'Funnel setup'!$K$4,'Funnel Lookup'!I251="*"),#N/A,IF(AND($C251='Funnel setup'!$K$3&amp;'Funnel setup'!$K$5&amp;'Funnel setup'!$K$6&amp;'Funnel setup'!$K$4,'Funnel Lookup'!I251&gt;29),'Funnel Lookup'!Q251,#N/A))</f>
        <v>#N/A</v>
      </c>
    </row>
    <row r="252" spans="1:22" x14ac:dyDescent="0.2">
      <c r="A252">
        <v>250</v>
      </c>
      <c r="B252">
        <f t="shared" ca="1" si="56"/>
        <v>250</v>
      </c>
      <c r="C252" t="str">
        <f t="shared" ca="1" si="56"/>
        <v>Groin HerniaProviderUNIVERSITY HOSPITALS BRISTOL NHS FOUNDATION TRUST (RA7)EQ-5D Index</v>
      </c>
      <c r="D252" t="str">
        <f t="shared" ca="1" si="56"/>
        <v>Groin Hernia</v>
      </c>
      <c r="E252" t="str">
        <f t="shared" ca="1" si="56"/>
        <v>Provider</v>
      </c>
      <c r="F252" t="str">
        <f t="shared" ca="1" si="56"/>
        <v>RA7</v>
      </c>
      <c r="G252" t="str">
        <f t="shared" ca="1" si="56"/>
        <v>UNIVERSITY HOSPITALS BRISTOL NHS FOUNDATION TRUST (RA7)</v>
      </c>
      <c r="H252" t="str">
        <f t="shared" ca="1" si="56"/>
        <v>EQ-5D Index</v>
      </c>
      <c r="I252">
        <f t="shared" ca="1" si="56"/>
        <v>25</v>
      </c>
      <c r="J252">
        <f t="shared" ca="1" si="56"/>
        <v>0.751</v>
      </c>
      <c r="K252">
        <f t="shared" ca="1" si="56"/>
        <v>0.90800000000000003</v>
      </c>
      <c r="L252">
        <f t="shared" ca="1" si="57"/>
        <v>0.157</v>
      </c>
      <c r="M252">
        <f t="shared" ca="1" si="57"/>
        <v>18</v>
      </c>
      <c r="N252">
        <f t="shared" ca="1" si="57"/>
        <v>7</v>
      </c>
      <c r="O252">
        <f t="shared" ca="1" si="57"/>
        <v>0</v>
      </c>
      <c r="P252" t="str">
        <f t="shared" ca="1" si="57"/>
        <v>*</v>
      </c>
      <c r="Q252" t="str">
        <f t="shared" ca="1" si="57"/>
        <v>*</v>
      </c>
      <c r="R252" t="str">
        <f t="shared" ca="1" si="57"/>
        <v>*</v>
      </c>
      <c r="S252" t="e">
        <f t="shared" ca="1" si="46"/>
        <v>#N/A</v>
      </c>
      <c r="T252" t="e">
        <f t="shared" ca="1" si="47"/>
        <v>#N/A</v>
      </c>
      <c r="U252" t="e">
        <f ca="1">IF(AND($C252='Funnel setup'!$K$3&amp;'Funnel setup'!$K$5&amp;'Funnel setup'!$K$6&amp;'Funnel setup'!$K$4,'Funnel Lookup'!I252="*"),#N/A,IF(AND($C252='Funnel setup'!$K$3&amp;'Funnel setup'!$K$5&amp;'Funnel setup'!$K$6&amp;'Funnel setup'!$K$4,'Funnel Lookup'!I252&gt;29),'Funnel Lookup'!I252,#N/A))</f>
        <v>#N/A</v>
      </c>
      <c r="V252" t="e">
        <f ca="1">IF(AND($C252='Funnel setup'!$K$3&amp;'Funnel setup'!$K$5&amp;'Funnel setup'!$K$6&amp;'Funnel setup'!$K$4,'Funnel Lookup'!I252="*"),#N/A,IF(AND($C252='Funnel setup'!$K$3&amp;'Funnel setup'!$K$5&amp;'Funnel setup'!$K$6&amp;'Funnel setup'!$K$4,'Funnel Lookup'!I252&gt;29),'Funnel Lookup'!Q252,#N/A))</f>
        <v>#N/A</v>
      </c>
    </row>
    <row r="253" spans="1:22" x14ac:dyDescent="0.2">
      <c r="A253">
        <v>251</v>
      </c>
      <c r="B253">
        <f t="shared" ref="B253:K262" ca="1" si="58">VLOOKUP($A253,Funnel_Data,B$1,FALSE)</f>
        <v>251</v>
      </c>
      <c r="C253" t="str">
        <f t="shared" ca="1" si="58"/>
        <v>Groin HerniaProviderUNIVERSITY HOSPITALS COVENTRY AND WARWICKSHIRE NHS TRUST (RKB)EQ-5D Index</v>
      </c>
      <c r="D253" t="str">
        <f t="shared" ca="1" si="58"/>
        <v>Groin Hernia</v>
      </c>
      <c r="E253" t="str">
        <f t="shared" ca="1" si="58"/>
        <v>Provider</v>
      </c>
      <c r="F253" t="str">
        <f t="shared" ca="1" si="58"/>
        <v>RKB</v>
      </c>
      <c r="G253" t="str">
        <f t="shared" ca="1" si="58"/>
        <v>UNIVERSITY HOSPITALS COVENTRY AND WARWICKSHIRE NHS TRUST (RKB)</v>
      </c>
      <c r="H253" t="str">
        <f t="shared" ca="1" si="58"/>
        <v>EQ-5D Index</v>
      </c>
      <c r="I253">
        <f t="shared" ca="1" si="58"/>
        <v>30</v>
      </c>
      <c r="J253">
        <f t="shared" ca="1" si="58"/>
        <v>0.77200000000000002</v>
      </c>
      <c r="K253">
        <f t="shared" ca="1" si="58"/>
        <v>0.85299999999999998</v>
      </c>
      <c r="L253">
        <f t="shared" ref="L253:R262" ca="1" si="59">VLOOKUP($A253,Funnel_Data,L$1,FALSE)</f>
        <v>8.1000000000000003E-2</v>
      </c>
      <c r="M253">
        <f t="shared" ca="1" si="59"/>
        <v>16</v>
      </c>
      <c r="N253">
        <f t="shared" ca="1" si="59"/>
        <v>8</v>
      </c>
      <c r="O253">
        <f t="shared" ca="1" si="59"/>
        <v>6</v>
      </c>
      <c r="P253">
        <f t="shared" ca="1" si="59"/>
        <v>0.871</v>
      </c>
      <c r="Q253">
        <f t="shared" ca="1" si="59"/>
        <v>7.7271954000000004E-2</v>
      </c>
      <c r="R253">
        <f t="shared" ca="1" si="59"/>
        <v>0.214</v>
      </c>
      <c r="S253">
        <f t="shared" ca="1" si="46"/>
        <v>30</v>
      </c>
      <c r="T253">
        <f t="shared" ca="1" si="47"/>
        <v>7.7271954000000004E-2</v>
      </c>
      <c r="U253" t="e">
        <f ca="1">IF(AND($C253='Funnel setup'!$K$3&amp;'Funnel setup'!$K$5&amp;'Funnel setup'!$K$6&amp;'Funnel setup'!$K$4,'Funnel Lookup'!I253="*"),#N/A,IF(AND($C253='Funnel setup'!$K$3&amp;'Funnel setup'!$K$5&amp;'Funnel setup'!$K$6&amp;'Funnel setup'!$K$4,'Funnel Lookup'!I253&gt;29),'Funnel Lookup'!I253,#N/A))</f>
        <v>#N/A</v>
      </c>
      <c r="V253" t="e">
        <f ca="1">IF(AND($C253='Funnel setup'!$K$3&amp;'Funnel setup'!$K$5&amp;'Funnel setup'!$K$6&amp;'Funnel setup'!$K$4,'Funnel Lookup'!I253="*"),#N/A,IF(AND($C253='Funnel setup'!$K$3&amp;'Funnel setup'!$K$5&amp;'Funnel setup'!$K$6&amp;'Funnel setup'!$K$4,'Funnel Lookup'!I253&gt;29),'Funnel Lookup'!Q253,#N/A))</f>
        <v>#N/A</v>
      </c>
    </row>
    <row r="254" spans="1:22" x14ac:dyDescent="0.2">
      <c r="A254">
        <v>252</v>
      </c>
      <c r="B254">
        <f t="shared" ca="1" si="58"/>
        <v>252</v>
      </c>
      <c r="C254" t="str">
        <f t="shared" ca="1" si="58"/>
        <v>Groin HerniaProviderUNIVERSITY HOSPITALS OF LEICESTER NHS TRUST (RWE)EQ-5D Index</v>
      </c>
      <c r="D254" t="str">
        <f t="shared" ca="1" si="58"/>
        <v>Groin Hernia</v>
      </c>
      <c r="E254" t="str">
        <f t="shared" ca="1" si="58"/>
        <v>Provider</v>
      </c>
      <c r="F254" t="str">
        <f t="shared" ca="1" si="58"/>
        <v>RWE</v>
      </c>
      <c r="G254" t="str">
        <f t="shared" ca="1" si="58"/>
        <v>UNIVERSITY HOSPITALS OF LEICESTER NHS TRUST (RWE)</v>
      </c>
      <c r="H254" t="str">
        <f t="shared" ca="1" si="58"/>
        <v>EQ-5D Index</v>
      </c>
      <c r="I254">
        <f t="shared" ca="1" si="58"/>
        <v>220</v>
      </c>
      <c r="J254">
        <f t="shared" ca="1" si="58"/>
        <v>0.81499999999999995</v>
      </c>
      <c r="K254">
        <f t="shared" ca="1" si="58"/>
        <v>0.86599999999999999</v>
      </c>
      <c r="L254">
        <f t="shared" ca="1" si="59"/>
        <v>5.0999999999999997E-2</v>
      </c>
      <c r="M254">
        <f t="shared" ca="1" si="59"/>
        <v>92</v>
      </c>
      <c r="N254">
        <f t="shared" ca="1" si="59"/>
        <v>76</v>
      </c>
      <c r="O254">
        <f t="shared" ca="1" si="59"/>
        <v>52</v>
      </c>
      <c r="P254">
        <f t="shared" ca="1" si="59"/>
        <v>0.86599999999999999</v>
      </c>
      <c r="Q254">
        <f t="shared" ca="1" si="59"/>
        <v>7.2738715999999995E-2</v>
      </c>
      <c r="R254">
        <f t="shared" ca="1" si="59"/>
        <v>0.152</v>
      </c>
      <c r="S254">
        <f t="shared" ca="1" si="46"/>
        <v>220</v>
      </c>
      <c r="T254">
        <f t="shared" ca="1" si="47"/>
        <v>7.2738715999999995E-2</v>
      </c>
      <c r="U254" t="e">
        <f ca="1">IF(AND($C254='Funnel setup'!$K$3&amp;'Funnel setup'!$K$5&amp;'Funnel setup'!$K$6&amp;'Funnel setup'!$K$4,'Funnel Lookup'!I254="*"),#N/A,IF(AND($C254='Funnel setup'!$K$3&amp;'Funnel setup'!$K$5&amp;'Funnel setup'!$K$6&amp;'Funnel setup'!$K$4,'Funnel Lookup'!I254&gt;29),'Funnel Lookup'!I254,#N/A))</f>
        <v>#N/A</v>
      </c>
      <c r="V254" t="e">
        <f ca="1">IF(AND($C254='Funnel setup'!$K$3&amp;'Funnel setup'!$K$5&amp;'Funnel setup'!$K$6&amp;'Funnel setup'!$K$4,'Funnel Lookup'!I254="*"),#N/A,IF(AND($C254='Funnel setup'!$K$3&amp;'Funnel setup'!$K$5&amp;'Funnel setup'!$K$6&amp;'Funnel setup'!$K$4,'Funnel Lookup'!I254&gt;29),'Funnel Lookup'!Q254,#N/A))</f>
        <v>#N/A</v>
      </c>
    </row>
    <row r="255" spans="1:22" x14ac:dyDescent="0.2">
      <c r="A255">
        <v>253</v>
      </c>
      <c r="B255">
        <f t="shared" ca="1" si="58"/>
        <v>253</v>
      </c>
      <c r="C255" t="str">
        <f t="shared" ca="1" si="58"/>
        <v>Groin HerniaProviderUNIVERSITY HOSPITALS OF MORECAMBE BAY NHS FOUNDATION TRUST (RTX)EQ-5D Index</v>
      </c>
      <c r="D255" t="str">
        <f t="shared" ca="1" si="58"/>
        <v>Groin Hernia</v>
      </c>
      <c r="E255" t="str">
        <f t="shared" ca="1" si="58"/>
        <v>Provider</v>
      </c>
      <c r="F255" t="str">
        <f t="shared" ca="1" si="58"/>
        <v>RTX</v>
      </c>
      <c r="G255" t="str">
        <f t="shared" ca="1" si="58"/>
        <v>UNIVERSITY HOSPITALS OF MORECAMBE BAY NHS FOUNDATION TRUST (RTX)</v>
      </c>
      <c r="H255" t="str">
        <f t="shared" ca="1" si="58"/>
        <v>EQ-5D Index</v>
      </c>
      <c r="I255">
        <f t="shared" ca="1" si="58"/>
        <v>201</v>
      </c>
      <c r="J255">
        <f t="shared" ca="1" si="58"/>
        <v>0.80600000000000005</v>
      </c>
      <c r="K255">
        <f t="shared" ca="1" si="58"/>
        <v>0.878</v>
      </c>
      <c r="L255">
        <f t="shared" ca="1" si="59"/>
        <v>7.1999999999999995E-2</v>
      </c>
      <c r="M255">
        <f t="shared" ca="1" si="59"/>
        <v>98</v>
      </c>
      <c r="N255">
        <f t="shared" ca="1" si="59"/>
        <v>72</v>
      </c>
      <c r="O255">
        <f t="shared" ca="1" si="59"/>
        <v>31</v>
      </c>
      <c r="P255">
        <f t="shared" ca="1" si="59"/>
        <v>0.87</v>
      </c>
      <c r="Q255">
        <f t="shared" ca="1" si="59"/>
        <v>7.6726156000000004E-2</v>
      </c>
      <c r="R255">
        <f t="shared" ca="1" si="59"/>
        <v>0.155</v>
      </c>
      <c r="S255">
        <f t="shared" ca="1" si="46"/>
        <v>201</v>
      </c>
      <c r="T255">
        <f t="shared" ca="1" si="47"/>
        <v>7.6726156000000004E-2</v>
      </c>
      <c r="U255" t="e">
        <f ca="1">IF(AND($C255='Funnel setup'!$K$3&amp;'Funnel setup'!$K$5&amp;'Funnel setup'!$K$6&amp;'Funnel setup'!$K$4,'Funnel Lookup'!I255="*"),#N/A,IF(AND($C255='Funnel setup'!$K$3&amp;'Funnel setup'!$K$5&amp;'Funnel setup'!$K$6&amp;'Funnel setup'!$K$4,'Funnel Lookup'!I255&gt;29),'Funnel Lookup'!I255,#N/A))</f>
        <v>#N/A</v>
      </c>
      <c r="V255" t="e">
        <f ca="1">IF(AND($C255='Funnel setup'!$K$3&amp;'Funnel setup'!$K$5&amp;'Funnel setup'!$K$6&amp;'Funnel setup'!$K$4,'Funnel Lookup'!I255="*"),#N/A,IF(AND($C255='Funnel setup'!$K$3&amp;'Funnel setup'!$K$5&amp;'Funnel setup'!$K$6&amp;'Funnel setup'!$K$4,'Funnel Lookup'!I255&gt;29),'Funnel Lookup'!Q255,#N/A))</f>
        <v>#N/A</v>
      </c>
    </row>
    <row r="256" spans="1:22" x14ac:dyDescent="0.2">
      <c r="A256">
        <v>254</v>
      </c>
      <c r="B256">
        <f t="shared" ca="1" si="58"/>
        <v>254</v>
      </c>
      <c r="C256" t="str">
        <f t="shared" ca="1" si="58"/>
        <v>Groin HerniaProviderUNIVERSITY HOSPITALS OF NORTH MIDLANDS NHS TRUST (RJE)EQ-5D Index</v>
      </c>
      <c r="D256" t="str">
        <f t="shared" ca="1" si="58"/>
        <v>Groin Hernia</v>
      </c>
      <c r="E256" t="str">
        <f t="shared" ca="1" si="58"/>
        <v>Provider</v>
      </c>
      <c r="F256" t="str">
        <f t="shared" ca="1" si="58"/>
        <v>RJE</v>
      </c>
      <c r="G256" t="str">
        <f t="shared" ca="1" si="58"/>
        <v>UNIVERSITY HOSPITALS OF NORTH MIDLANDS NHS TRUST (RJE)</v>
      </c>
      <c r="H256" t="str">
        <f t="shared" ca="1" si="58"/>
        <v>EQ-5D Index</v>
      </c>
      <c r="I256">
        <f t="shared" ca="1" si="58"/>
        <v>74</v>
      </c>
      <c r="J256">
        <f t="shared" ca="1" si="58"/>
        <v>0.77800000000000002</v>
      </c>
      <c r="K256">
        <f t="shared" ca="1" si="58"/>
        <v>0.876</v>
      </c>
      <c r="L256">
        <f t="shared" ca="1" si="59"/>
        <v>9.8000000000000004E-2</v>
      </c>
      <c r="M256">
        <f t="shared" ca="1" si="59"/>
        <v>36</v>
      </c>
      <c r="N256">
        <f t="shared" ca="1" si="59"/>
        <v>25</v>
      </c>
      <c r="O256">
        <f t="shared" ca="1" si="59"/>
        <v>13</v>
      </c>
      <c r="P256">
        <f t="shared" ca="1" si="59"/>
        <v>0.88200000000000001</v>
      </c>
      <c r="Q256">
        <f t="shared" ca="1" si="59"/>
        <v>8.8799225999999995E-2</v>
      </c>
      <c r="R256">
        <f t="shared" ca="1" si="59"/>
        <v>0.17799999999999999</v>
      </c>
      <c r="S256">
        <f t="shared" ca="1" si="46"/>
        <v>74</v>
      </c>
      <c r="T256">
        <f t="shared" ca="1" si="47"/>
        <v>8.8799225999999995E-2</v>
      </c>
      <c r="U256" t="e">
        <f ca="1">IF(AND($C256='Funnel setup'!$K$3&amp;'Funnel setup'!$K$5&amp;'Funnel setup'!$K$6&amp;'Funnel setup'!$K$4,'Funnel Lookup'!I256="*"),#N/A,IF(AND($C256='Funnel setup'!$K$3&amp;'Funnel setup'!$K$5&amp;'Funnel setup'!$K$6&amp;'Funnel setup'!$K$4,'Funnel Lookup'!I256&gt;29),'Funnel Lookup'!I256,#N/A))</f>
        <v>#N/A</v>
      </c>
      <c r="V256" t="e">
        <f ca="1">IF(AND($C256='Funnel setup'!$K$3&amp;'Funnel setup'!$K$5&amp;'Funnel setup'!$K$6&amp;'Funnel setup'!$K$4,'Funnel Lookup'!I256="*"),#N/A,IF(AND($C256='Funnel setup'!$K$3&amp;'Funnel setup'!$K$5&amp;'Funnel setup'!$K$6&amp;'Funnel setup'!$K$4,'Funnel Lookup'!I256&gt;29),'Funnel Lookup'!Q256,#N/A))</f>
        <v>#N/A</v>
      </c>
    </row>
    <row r="257" spans="1:22" x14ac:dyDescent="0.2">
      <c r="A257">
        <v>255</v>
      </c>
      <c r="B257">
        <f t="shared" ca="1" si="58"/>
        <v>255</v>
      </c>
      <c r="C257" t="str">
        <f t="shared" ca="1" si="58"/>
        <v>Groin HerniaProviderWALSALL HEALTHCARE NHS TRUST (RBK)EQ-5D Index</v>
      </c>
      <c r="D257" t="str">
        <f t="shared" ca="1" si="58"/>
        <v>Groin Hernia</v>
      </c>
      <c r="E257" t="str">
        <f t="shared" ca="1" si="58"/>
        <v>Provider</v>
      </c>
      <c r="F257" t="str">
        <f t="shared" ca="1" si="58"/>
        <v>RBK</v>
      </c>
      <c r="G257" t="str">
        <f t="shared" ca="1" si="58"/>
        <v>WALSALL HEALTHCARE NHS TRUST (RBK)</v>
      </c>
      <c r="H257" t="str">
        <f t="shared" ca="1" si="58"/>
        <v>EQ-5D Index</v>
      </c>
      <c r="I257">
        <f t="shared" ca="1" si="58"/>
        <v>58</v>
      </c>
      <c r="J257">
        <f t="shared" ca="1" si="58"/>
        <v>0.75600000000000001</v>
      </c>
      <c r="K257">
        <f t="shared" ca="1" si="58"/>
        <v>0.84099999999999997</v>
      </c>
      <c r="L257">
        <f t="shared" ca="1" si="59"/>
        <v>8.5000000000000006E-2</v>
      </c>
      <c r="M257">
        <f t="shared" ca="1" si="59"/>
        <v>32</v>
      </c>
      <c r="N257">
        <f t="shared" ca="1" si="59"/>
        <v>15</v>
      </c>
      <c r="O257">
        <f t="shared" ca="1" si="59"/>
        <v>11</v>
      </c>
      <c r="P257">
        <f t="shared" ca="1" si="59"/>
        <v>0.86299999999999999</v>
      </c>
      <c r="Q257">
        <f t="shared" ca="1" si="59"/>
        <v>6.9478940000000003E-2</v>
      </c>
      <c r="R257">
        <f t="shared" ca="1" si="59"/>
        <v>0.20100000000000001</v>
      </c>
      <c r="S257">
        <f t="shared" ca="1" si="46"/>
        <v>58</v>
      </c>
      <c r="T257">
        <f t="shared" ca="1" si="47"/>
        <v>6.9478940000000003E-2</v>
      </c>
      <c r="U257" t="e">
        <f ca="1">IF(AND($C257='Funnel setup'!$K$3&amp;'Funnel setup'!$K$5&amp;'Funnel setup'!$K$6&amp;'Funnel setup'!$K$4,'Funnel Lookup'!I257="*"),#N/A,IF(AND($C257='Funnel setup'!$K$3&amp;'Funnel setup'!$K$5&amp;'Funnel setup'!$K$6&amp;'Funnel setup'!$K$4,'Funnel Lookup'!I257&gt;29),'Funnel Lookup'!I257,#N/A))</f>
        <v>#N/A</v>
      </c>
      <c r="V257" t="e">
        <f ca="1">IF(AND($C257='Funnel setup'!$K$3&amp;'Funnel setup'!$K$5&amp;'Funnel setup'!$K$6&amp;'Funnel setup'!$K$4,'Funnel Lookup'!I257="*"),#N/A,IF(AND($C257='Funnel setup'!$K$3&amp;'Funnel setup'!$K$5&amp;'Funnel setup'!$K$6&amp;'Funnel setup'!$K$4,'Funnel Lookup'!I257&gt;29),'Funnel Lookup'!Q257,#N/A))</f>
        <v>#N/A</v>
      </c>
    </row>
    <row r="258" spans="1:22" x14ac:dyDescent="0.2">
      <c r="A258">
        <v>256</v>
      </c>
      <c r="B258">
        <f t="shared" ca="1" si="58"/>
        <v>256</v>
      </c>
      <c r="C258" t="str">
        <f t="shared" ca="1" si="58"/>
        <v>Groin HerniaProviderWARRINGTON AND HALTON HOSPITALS NHS FOUNDATION TRUST (RWW)EQ-5D Index</v>
      </c>
      <c r="D258" t="str">
        <f t="shared" ca="1" si="58"/>
        <v>Groin Hernia</v>
      </c>
      <c r="E258" t="str">
        <f t="shared" ca="1" si="58"/>
        <v>Provider</v>
      </c>
      <c r="F258" t="str">
        <f t="shared" ca="1" si="58"/>
        <v>RWW</v>
      </c>
      <c r="G258" t="str">
        <f t="shared" ca="1" si="58"/>
        <v>WARRINGTON AND HALTON HOSPITALS NHS FOUNDATION TRUST (RWW)</v>
      </c>
      <c r="H258" t="str">
        <f t="shared" ca="1" si="58"/>
        <v>EQ-5D Index</v>
      </c>
      <c r="I258">
        <f t="shared" ca="1" si="58"/>
        <v>102</v>
      </c>
      <c r="J258">
        <f t="shared" ca="1" si="58"/>
        <v>0.81100000000000005</v>
      </c>
      <c r="K258">
        <f t="shared" ca="1" si="58"/>
        <v>0.86799999999999999</v>
      </c>
      <c r="L258">
        <f t="shared" ca="1" si="59"/>
        <v>5.8000000000000003E-2</v>
      </c>
      <c r="M258">
        <f t="shared" ca="1" si="59"/>
        <v>41</v>
      </c>
      <c r="N258">
        <f t="shared" ca="1" si="59"/>
        <v>35</v>
      </c>
      <c r="O258">
        <f t="shared" ca="1" si="59"/>
        <v>26</v>
      </c>
      <c r="P258">
        <f t="shared" ca="1" si="59"/>
        <v>0.85899999999999999</v>
      </c>
      <c r="Q258">
        <f t="shared" ca="1" si="59"/>
        <v>6.5385523000000001E-2</v>
      </c>
      <c r="R258">
        <f t="shared" ca="1" si="59"/>
        <v>0.13300000000000001</v>
      </c>
      <c r="S258">
        <f t="shared" ca="1" si="46"/>
        <v>102</v>
      </c>
      <c r="T258">
        <f t="shared" ca="1" si="47"/>
        <v>6.5385523000000001E-2</v>
      </c>
      <c r="U258" t="e">
        <f ca="1">IF(AND($C258='Funnel setup'!$K$3&amp;'Funnel setup'!$K$5&amp;'Funnel setup'!$K$6&amp;'Funnel setup'!$K$4,'Funnel Lookup'!I258="*"),#N/A,IF(AND($C258='Funnel setup'!$K$3&amp;'Funnel setup'!$K$5&amp;'Funnel setup'!$K$6&amp;'Funnel setup'!$K$4,'Funnel Lookup'!I258&gt;29),'Funnel Lookup'!I258,#N/A))</f>
        <v>#N/A</v>
      </c>
      <c r="V258" t="e">
        <f ca="1">IF(AND($C258='Funnel setup'!$K$3&amp;'Funnel setup'!$K$5&amp;'Funnel setup'!$K$6&amp;'Funnel setup'!$K$4,'Funnel Lookup'!I258="*"),#N/A,IF(AND($C258='Funnel setup'!$K$3&amp;'Funnel setup'!$K$5&amp;'Funnel setup'!$K$6&amp;'Funnel setup'!$K$4,'Funnel Lookup'!I258&gt;29),'Funnel Lookup'!Q258,#N/A))</f>
        <v>#N/A</v>
      </c>
    </row>
    <row r="259" spans="1:22" x14ac:dyDescent="0.2">
      <c r="A259">
        <v>257</v>
      </c>
      <c r="B259">
        <f t="shared" ca="1" si="58"/>
        <v>257</v>
      </c>
      <c r="C259" t="str">
        <f t="shared" ca="1" si="58"/>
        <v>Groin HerniaProviderWEST HERTFORDSHIRE HOSPITALS NHS TRUST (RWG)EQ-5D Index</v>
      </c>
      <c r="D259" t="str">
        <f t="shared" ca="1" si="58"/>
        <v>Groin Hernia</v>
      </c>
      <c r="E259" t="str">
        <f t="shared" ca="1" si="58"/>
        <v>Provider</v>
      </c>
      <c r="F259" t="str">
        <f t="shared" ca="1" si="58"/>
        <v>RWG</v>
      </c>
      <c r="G259" t="str">
        <f t="shared" ca="1" si="58"/>
        <v>WEST HERTFORDSHIRE HOSPITALS NHS TRUST (RWG)</v>
      </c>
      <c r="H259" t="str">
        <f t="shared" ca="1" si="58"/>
        <v>EQ-5D Index</v>
      </c>
      <c r="I259">
        <f t="shared" ca="1" si="58"/>
        <v>217</v>
      </c>
      <c r="J259">
        <f t="shared" ca="1" si="58"/>
        <v>0.79300000000000004</v>
      </c>
      <c r="K259">
        <f t="shared" ca="1" si="58"/>
        <v>0.88300000000000001</v>
      </c>
      <c r="L259">
        <f t="shared" ca="1" si="59"/>
        <v>0.09</v>
      </c>
      <c r="M259">
        <f t="shared" ca="1" si="59"/>
        <v>115</v>
      </c>
      <c r="N259">
        <f t="shared" ca="1" si="59"/>
        <v>68</v>
      </c>
      <c r="O259">
        <f t="shared" ca="1" si="59"/>
        <v>34</v>
      </c>
      <c r="P259">
        <f t="shared" ca="1" si="59"/>
        <v>0.872</v>
      </c>
      <c r="Q259">
        <f t="shared" ca="1" si="59"/>
        <v>7.8530607000000002E-2</v>
      </c>
      <c r="R259">
        <f t="shared" ca="1" si="59"/>
        <v>0.14299999999999999</v>
      </c>
      <c r="S259">
        <f t="shared" ca="1" si="46"/>
        <v>217</v>
      </c>
      <c r="T259">
        <f t="shared" ca="1" si="47"/>
        <v>7.8530607000000002E-2</v>
      </c>
      <c r="U259" t="e">
        <f ca="1">IF(AND($C259='Funnel setup'!$K$3&amp;'Funnel setup'!$K$5&amp;'Funnel setup'!$K$6&amp;'Funnel setup'!$K$4,'Funnel Lookup'!I259="*"),#N/A,IF(AND($C259='Funnel setup'!$K$3&amp;'Funnel setup'!$K$5&amp;'Funnel setup'!$K$6&amp;'Funnel setup'!$K$4,'Funnel Lookup'!I259&gt;29),'Funnel Lookup'!I259,#N/A))</f>
        <v>#N/A</v>
      </c>
      <c r="V259" t="e">
        <f ca="1">IF(AND($C259='Funnel setup'!$K$3&amp;'Funnel setup'!$K$5&amp;'Funnel setup'!$K$6&amp;'Funnel setup'!$K$4,'Funnel Lookup'!I259="*"),#N/A,IF(AND($C259='Funnel setup'!$K$3&amp;'Funnel setup'!$K$5&amp;'Funnel setup'!$K$6&amp;'Funnel setup'!$K$4,'Funnel Lookup'!I259&gt;29),'Funnel Lookup'!Q259,#N/A))</f>
        <v>#N/A</v>
      </c>
    </row>
    <row r="260" spans="1:22" x14ac:dyDescent="0.2">
      <c r="A260">
        <v>258</v>
      </c>
      <c r="B260">
        <f t="shared" ca="1" si="58"/>
        <v>258</v>
      </c>
      <c r="C260" t="str">
        <f t="shared" ca="1" si="58"/>
        <v>Groin HerniaProviderWEST MIDDLESEX UNIVERSITY HOSPITAL NHS TRUST (RFW)EQ-5D Index</v>
      </c>
      <c r="D260" t="str">
        <f t="shared" ca="1" si="58"/>
        <v>Groin Hernia</v>
      </c>
      <c r="E260" t="str">
        <f t="shared" ca="1" si="58"/>
        <v>Provider</v>
      </c>
      <c r="F260" t="str">
        <f t="shared" ca="1" si="58"/>
        <v>RFW</v>
      </c>
      <c r="G260" t="str">
        <f t="shared" ca="1" si="58"/>
        <v>WEST MIDDLESEX UNIVERSITY HOSPITAL NHS TRUST (RFW)</v>
      </c>
      <c r="H260" t="str">
        <f t="shared" ca="1" si="58"/>
        <v>EQ-5D Index</v>
      </c>
      <c r="I260">
        <f t="shared" ca="1" si="58"/>
        <v>12</v>
      </c>
      <c r="J260">
        <f t="shared" ca="1" si="58"/>
        <v>0.79</v>
      </c>
      <c r="K260">
        <f t="shared" ca="1" si="58"/>
        <v>0.875</v>
      </c>
      <c r="L260">
        <f t="shared" ca="1" si="59"/>
        <v>8.4000000000000005E-2</v>
      </c>
      <c r="M260">
        <f t="shared" ca="1" si="59"/>
        <v>4</v>
      </c>
      <c r="N260">
        <f t="shared" ca="1" si="59"/>
        <v>5</v>
      </c>
      <c r="O260">
        <f t="shared" ca="1" si="59"/>
        <v>3</v>
      </c>
      <c r="P260" t="str">
        <f t="shared" ca="1" si="59"/>
        <v>*</v>
      </c>
      <c r="Q260" t="str">
        <f t="shared" ca="1" si="59"/>
        <v>*</v>
      </c>
      <c r="R260" t="str">
        <f t="shared" ca="1" si="59"/>
        <v>*</v>
      </c>
      <c r="S260" t="e">
        <f t="shared" ref="S260:S323" ca="1" si="60">IF($Q260="*",#N/A,I260)</f>
        <v>#N/A</v>
      </c>
      <c r="T260" t="e">
        <f t="shared" ref="T260:T323" ca="1" si="61">IF($Q260="*",#N/A,Q260)</f>
        <v>#N/A</v>
      </c>
      <c r="U260" t="e">
        <f ca="1">IF(AND($C260='Funnel setup'!$K$3&amp;'Funnel setup'!$K$5&amp;'Funnel setup'!$K$6&amp;'Funnel setup'!$K$4,'Funnel Lookup'!I260="*"),#N/A,IF(AND($C260='Funnel setup'!$K$3&amp;'Funnel setup'!$K$5&amp;'Funnel setup'!$K$6&amp;'Funnel setup'!$K$4,'Funnel Lookup'!I260&gt;29),'Funnel Lookup'!I260,#N/A))</f>
        <v>#N/A</v>
      </c>
      <c r="V260" t="e">
        <f ca="1">IF(AND($C260='Funnel setup'!$K$3&amp;'Funnel setup'!$K$5&amp;'Funnel setup'!$K$6&amp;'Funnel setup'!$K$4,'Funnel Lookup'!I260="*"),#N/A,IF(AND($C260='Funnel setup'!$K$3&amp;'Funnel setup'!$K$5&amp;'Funnel setup'!$K$6&amp;'Funnel setup'!$K$4,'Funnel Lookup'!I260&gt;29),'Funnel Lookup'!Q260,#N/A))</f>
        <v>#N/A</v>
      </c>
    </row>
    <row r="261" spans="1:22" x14ac:dyDescent="0.2">
      <c r="A261">
        <v>259</v>
      </c>
      <c r="B261">
        <f t="shared" ca="1" si="58"/>
        <v>259</v>
      </c>
      <c r="C261" t="str">
        <f t="shared" ca="1" si="58"/>
        <v>Groin HerniaProviderWEST MIDLANDS HOSPITAL (NVC21)EQ-5D Index</v>
      </c>
      <c r="D261" t="str">
        <f t="shared" ca="1" si="58"/>
        <v>Groin Hernia</v>
      </c>
      <c r="E261" t="str">
        <f t="shared" ca="1" si="58"/>
        <v>Provider</v>
      </c>
      <c r="F261" t="str">
        <f t="shared" ca="1" si="58"/>
        <v>NVC21</v>
      </c>
      <c r="G261" t="str">
        <f t="shared" ca="1" si="58"/>
        <v>WEST MIDLANDS HOSPITAL (NVC21)</v>
      </c>
      <c r="H261" t="str">
        <f t="shared" ca="1" si="58"/>
        <v>EQ-5D Index</v>
      </c>
      <c r="I261">
        <f t="shared" ca="1" si="58"/>
        <v>40</v>
      </c>
      <c r="J261">
        <f t="shared" ca="1" si="58"/>
        <v>0.86899999999999999</v>
      </c>
      <c r="K261">
        <f t="shared" ca="1" si="58"/>
        <v>0.89800000000000002</v>
      </c>
      <c r="L261">
        <f t="shared" ca="1" si="59"/>
        <v>2.8000000000000001E-2</v>
      </c>
      <c r="M261">
        <f t="shared" ca="1" si="59"/>
        <v>16</v>
      </c>
      <c r="N261">
        <f t="shared" ca="1" si="59"/>
        <v>16</v>
      </c>
      <c r="O261">
        <f t="shared" ca="1" si="59"/>
        <v>8</v>
      </c>
      <c r="P261">
        <f t="shared" ca="1" si="59"/>
        <v>0.879</v>
      </c>
      <c r="Q261">
        <f t="shared" ca="1" si="59"/>
        <v>8.5943453000000003E-2</v>
      </c>
      <c r="R261">
        <f t="shared" ca="1" si="59"/>
        <v>0.186</v>
      </c>
      <c r="S261">
        <f t="shared" ca="1" si="60"/>
        <v>40</v>
      </c>
      <c r="T261">
        <f t="shared" ca="1" si="61"/>
        <v>8.5943453000000003E-2</v>
      </c>
      <c r="U261" t="e">
        <f ca="1">IF(AND($C261='Funnel setup'!$K$3&amp;'Funnel setup'!$K$5&amp;'Funnel setup'!$K$6&amp;'Funnel setup'!$K$4,'Funnel Lookup'!I261="*"),#N/A,IF(AND($C261='Funnel setup'!$K$3&amp;'Funnel setup'!$K$5&amp;'Funnel setup'!$K$6&amp;'Funnel setup'!$K$4,'Funnel Lookup'!I261&gt;29),'Funnel Lookup'!I261,#N/A))</f>
        <v>#N/A</v>
      </c>
      <c r="V261" t="e">
        <f ca="1">IF(AND($C261='Funnel setup'!$K$3&amp;'Funnel setup'!$K$5&amp;'Funnel setup'!$K$6&amp;'Funnel setup'!$K$4,'Funnel Lookup'!I261="*"),#N/A,IF(AND($C261='Funnel setup'!$K$3&amp;'Funnel setup'!$K$5&amp;'Funnel setup'!$K$6&amp;'Funnel setup'!$K$4,'Funnel Lookup'!I261&gt;29),'Funnel Lookup'!Q261,#N/A))</f>
        <v>#N/A</v>
      </c>
    </row>
    <row r="262" spans="1:22" x14ac:dyDescent="0.2">
      <c r="A262">
        <v>260</v>
      </c>
      <c r="B262">
        <f t="shared" ca="1" si="58"/>
        <v>260</v>
      </c>
      <c r="C262" t="str">
        <f t="shared" ca="1" si="58"/>
        <v>Groin HerniaProviderWEST SUFFOLK NHS FOUNDATION TRUST (RGR)EQ-5D Index</v>
      </c>
      <c r="D262" t="str">
        <f t="shared" ca="1" si="58"/>
        <v>Groin Hernia</v>
      </c>
      <c r="E262" t="str">
        <f t="shared" ca="1" si="58"/>
        <v>Provider</v>
      </c>
      <c r="F262" t="str">
        <f t="shared" ca="1" si="58"/>
        <v>RGR</v>
      </c>
      <c r="G262" t="str">
        <f t="shared" ca="1" si="58"/>
        <v>WEST SUFFOLK NHS FOUNDATION TRUST (RGR)</v>
      </c>
      <c r="H262" t="str">
        <f t="shared" ca="1" si="58"/>
        <v>EQ-5D Index</v>
      </c>
      <c r="I262">
        <f t="shared" ca="1" si="58"/>
        <v>143</v>
      </c>
      <c r="J262">
        <f t="shared" ca="1" si="58"/>
        <v>0.76400000000000001</v>
      </c>
      <c r="K262">
        <f t="shared" ca="1" si="58"/>
        <v>0.876</v>
      </c>
      <c r="L262">
        <f t="shared" ca="1" si="59"/>
        <v>0.111</v>
      </c>
      <c r="M262">
        <f t="shared" ca="1" si="59"/>
        <v>89</v>
      </c>
      <c r="N262">
        <f t="shared" ca="1" si="59"/>
        <v>35</v>
      </c>
      <c r="O262">
        <f t="shared" ca="1" si="59"/>
        <v>19</v>
      </c>
      <c r="P262">
        <f t="shared" ca="1" si="59"/>
        <v>0.88300000000000001</v>
      </c>
      <c r="Q262">
        <f t="shared" ca="1" si="59"/>
        <v>8.9514248000000005E-2</v>
      </c>
      <c r="R262">
        <f t="shared" ca="1" si="59"/>
        <v>0.16500000000000001</v>
      </c>
      <c r="S262">
        <f t="shared" ca="1" si="60"/>
        <v>143</v>
      </c>
      <c r="T262">
        <f t="shared" ca="1" si="61"/>
        <v>8.9514248000000005E-2</v>
      </c>
      <c r="U262" t="e">
        <f ca="1">IF(AND($C262='Funnel setup'!$K$3&amp;'Funnel setup'!$K$5&amp;'Funnel setup'!$K$6&amp;'Funnel setup'!$K$4,'Funnel Lookup'!I262="*"),#N/A,IF(AND($C262='Funnel setup'!$K$3&amp;'Funnel setup'!$K$5&amp;'Funnel setup'!$K$6&amp;'Funnel setup'!$K$4,'Funnel Lookup'!I262&gt;29),'Funnel Lookup'!I262,#N/A))</f>
        <v>#N/A</v>
      </c>
      <c r="V262" t="e">
        <f ca="1">IF(AND($C262='Funnel setup'!$K$3&amp;'Funnel setup'!$K$5&amp;'Funnel setup'!$K$6&amp;'Funnel setup'!$K$4,'Funnel Lookup'!I262="*"),#N/A,IF(AND($C262='Funnel setup'!$K$3&amp;'Funnel setup'!$K$5&amp;'Funnel setup'!$K$6&amp;'Funnel setup'!$K$4,'Funnel Lookup'!I262&gt;29),'Funnel Lookup'!Q262,#N/A))</f>
        <v>#N/A</v>
      </c>
    </row>
    <row r="263" spans="1:22" x14ac:dyDescent="0.2">
      <c r="A263">
        <v>261</v>
      </c>
      <c r="B263">
        <f t="shared" ref="B263:K272" ca="1" si="62">VLOOKUP($A263,Funnel_Data,B$1,FALSE)</f>
        <v>261</v>
      </c>
      <c r="C263" t="str">
        <f t="shared" ca="1" si="62"/>
        <v>Groin HerniaProviderWESTERN SUSSEX HOSPITALS NHS FOUNDATION TRUST (RYR)EQ-5D Index</v>
      </c>
      <c r="D263" t="str">
        <f t="shared" ca="1" si="62"/>
        <v>Groin Hernia</v>
      </c>
      <c r="E263" t="str">
        <f t="shared" ca="1" si="62"/>
        <v>Provider</v>
      </c>
      <c r="F263" t="str">
        <f t="shared" ca="1" si="62"/>
        <v>RYR</v>
      </c>
      <c r="G263" t="str">
        <f t="shared" ca="1" si="62"/>
        <v>WESTERN SUSSEX HOSPITALS NHS FOUNDATION TRUST (RYR)</v>
      </c>
      <c r="H263" t="str">
        <f t="shared" ca="1" si="62"/>
        <v>EQ-5D Index</v>
      </c>
      <c r="I263">
        <f t="shared" ca="1" si="62"/>
        <v>113</v>
      </c>
      <c r="J263">
        <f t="shared" ca="1" si="62"/>
        <v>0.78300000000000003</v>
      </c>
      <c r="K263">
        <f t="shared" ca="1" si="62"/>
        <v>0.86699999999999999</v>
      </c>
      <c r="L263">
        <f t="shared" ref="L263:R272" ca="1" si="63">VLOOKUP($A263,Funnel_Data,L$1,FALSE)</f>
        <v>8.5000000000000006E-2</v>
      </c>
      <c r="M263">
        <f t="shared" ca="1" si="63"/>
        <v>56</v>
      </c>
      <c r="N263">
        <f t="shared" ca="1" si="63"/>
        <v>38</v>
      </c>
      <c r="O263">
        <f t="shared" ca="1" si="63"/>
        <v>19</v>
      </c>
      <c r="P263">
        <f t="shared" ca="1" si="63"/>
        <v>0.872</v>
      </c>
      <c r="Q263">
        <f t="shared" ca="1" si="63"/>
        <v>7.8833668999999995E-2</v>
      </c>
      <c r="R263">
        <f t="shared" ca="1" si="63"/>
        <v>0.16300000000000001</v>
      </c>
      <c r="S263">
        <f t="shared" ca="1" si="60"/>
        <v>113</v>
      </c>
      <c r="T263">
        <f t="shared" ca="1" si="61"/>
        <v>7.8833668999999995E-2</v>
      </c>
      <c r="U263" t="e">
        <f ca="1">IF(AND($C263='Funnel setup'!$K$3&amp;'Funnel setup'!$K$5&amp;'Funnel setup'!$K$6&amp;'Funnel setup'!$K$4,'Funnel Lookup'!I263="*"),#N/A,IF(AND($C263='Funnel setup'!$K$3&amp;'Funnel setup'!$K$5&amp;'Funnel setup'!$K$6&amp;'Funnel setup'!$K$4,'Funnel Lookup'!I263&gt;29),'Funnel Lookup'!I263,#N/A))</f>
        <v>#N/A</v>
      </c>
      <c r="V263" t="e">
        <f ca="1">IF(AND($C263='Funnel setup'!$K$3&amp;'Funnel setup'!$K$5&amp;'Funnel setup'!$K$6&amp;'Funnel setup'!$K$4,'Funnel Lookup'!I263="*"),#N/A,IF(AND($C263='Funnel setup'!$K$3&amp;'Funnel setup'!$K$5&amp;'Funnel setup'!$K$6&amp;'Funnel setup'!$K$4,'Funnel Lookup'!I263&gt;29),'Funnel Lookup'!Q263,#N/A))</f>
        <v>#N/A</v>
      </c>
    </row>
    <row r="264" spans="1:22" x14ac:dyDescent="0.2">
      <c r="A264">
        <v>262</v>
      </c>
      <c r="B264">
        <f t="shared" ca="1" si="62"/>
        <v>262</v>
      </c>
      <c r="C264" t="str">
        <f t="shared" ca="1" si="62"/>
        <v>Groin HerniaProviderWESTON AREA HEALTH NHS TRUST (RA3)EQ-5D Index</v>
      </c>
      <c r="D264" t="str">
        <f t="shared" ca="1" si="62"/>
        <v>Groin Hernia</v>
      </c>
      <c r="E264" t="str">
        <f t="shared" ca="1" si="62"/>
        <v>Provider</v>
      </c>
      <c r="F264" t="str">
        <f t="shared" ca="1" si="62"/>
        <v>RA3</v>
      </c>
      <c r="G264" t="str">
        <f t="shared" ca="1" si="62"/>
        <v>WESTON AREA HEALTH NHS TRUST (RA3)</v>
      </c>
      <c r="H264" t="str">
        <f t="shared" ca="1" si="62"/>
        <v>EQ-5D Index</v>
      </c>
      <c r="I264">
        <f t="shared" ca="1" si="62"/>
        <v>18</v>
      </c>
      <c r="J264">
        <f t="shared" ca="1" si="62"/>
        <v>0.66500000000000004</v>
      </c>
      <c r="K264">
        <f t="shared" ca="1" si="62"/>
        <v>0.84099999999999997</v>
      </c>
      <c r="L264">
        <f t="shared" ca="1" si="63"/>
        <v>0.17599999999999999</v>
      </c>
      <c r="M264">
        <f t="shared" ca="1" si="63"/>
        <v>12</v>
      </c>
      <c r="N264">
        <f t="shared" ca="1" si="63"/>
        <v>4</v>
      </c>
      <c r="O264">
        <f t="shared" ca="1" si="63"/>
        <v>2</v>
      </c>
      <c r="P264" t="str">
        <f t="shared" ca="1" si="63"/>
        <v>*</v>
      </c>
      <c r="Q264" t="str">
        <f t="shared" ca="1" si="63"/>
        <v>*</v>
      </c>
      <c r="R264" t="str">
        <f t="shared" ca="1" si="63"/>
        <v>*</v>
      </c>
      <c r="S264" t="e">
        <f t="shared" ca="1" si="60"/>
        <v>#N/A</v>
      </c>
      <c r="T264" t="e">
        <f t="shared" ca="1" si="61"/>
        <v>#N/A</v>
      </c>
      <c r="U264" t="e">
        <f ca="1">IF(AND($C264='Funnel setup'!$K$3&amp;'Funnel setup'!$K$5&amp;'Funnel setup'!$K$6&amp;'Funnel setup'!$K$4,'Funnel Lookup'!I264="*"),#N/A,IF(AND($C264='Funnel setup'!$K$3&amp;'Funnel setup'!$K$5&amp;'Funnel setup'!$K$6&amp;'Funnel setup'!$K$4,'Funnel Lookup'!I264&gt;29),'Funnel Lookup'!I264,#N/A))</f>
        <v>#N/A</v>
      </c>
      <c r="V264" t="e">
        <f ca="1">IF(AND($C264='Funnel setup'!$K$3&amp;'Funnel setup'!$K$5&amp;'Funnel setup'!$K$6&amp;'Funnel setup'!$K$4,'Funnel Lookup'!I264="*"),#N/A,IF(AND($C264='Funnel setup'!$K$3&amp;'Funnel setup'!$K$5&amp;'Funnel setup'!$K$6&amp;'Funnel setup'!$K$4,'Funnel Lookup'!I264&gt;29),'Funnel Lookup'!Q264,#N/A))</f>
        <v>#N/A</v>
      </c>
    </row>
    <row r="265" spans="1:22" x14ac:dyDescent="0.2">
      <c r="A265">
        <v>263</v>
      </c>
      <c r="B265">
        <f t="shared" ca="1" si="62"/>
        <v>263</v>
      </c>
      <c r="C265" t="str">
        <f t="shared" ca="1" si="62"/>
        <v>Groin HerniaProviderWHITE HORSE HEALTH CENTRE - IHG (NXP17)EQ-5D Index</v>
      </c>
      <c r="D265" t="str">
        <f t="shared" ca="1" si="62"/>
        <v>Groin Hernia</v>
      </c>
      <c r="E265" t="str">
        <f t="shared" ca="1" si="62"/>
        <v>Provider</v>
      </c>
      <c r="F265" t="str">
        <f t="shared" ca="1" si="62"/>
        <v>NXP17</v>
      </c>
      <c r="G265" t="str">
        <f t="shared" ca="1" si="62"/>
        <v>WHITE HORSE HEALTH CENTRE - IHG (NXP17)</v>
      </c>
      <c r="H265" t="str">
        <f t="shared" ca="1" si="62"/>
        <v>EQ-5D Index</v>
      </c>
      <c r="I265">
        <f t="shared" ca="1" si="62"/>
        <v>7</v>
      </c>
      <c r="J265">
        <f t="shared" ca="1" si="62"/>
        <v>0.78300000000000003</v>
      </c>
      <c r="K265">
        <f t="shared" ca="1" si="62"/>
        <v>0.86499999999999999</v>
      </c>
      <c r="L265">
        <f t="shared" ca="1" si="63"/>
        <v>8.3000000000000004E-2</v>
      </c>
      <c r="M265">
        <f t="shared" ca="1" si="63"/>
        <v>2</v>
      </c>
      <c r="N265">
        <f t="shared" ca="1" si="63"/>
        <v>3</v>
      </c>
      <c r="O265">
        <f t="shared" ca="1" si="63"/>
        <v>2</v>
      </c>
      <c r="P265" t="str">
        <f t="shared" ca="1" si="63"/>
        <v>*</v>
      </c>
      <c r="Q265" t="str">
        <f t="shared" ca="1" si="63"/>
        <v>*</v>
      </c>
      <c r="R265" t="str">
        <f t="shared" ca="1" si="63"/>
        <v>*</v>
      </c>
      <c r="S265" t="e">
        <f t="shared" ca="1" si="60"/>
        <v>#N/A</v>
      </c>
      <c r="T265" t="e">
        <f t="shared" ca="1" si="61"/>
        <v>#N/A</v>
      </c>
      <c r="U265" t="e">
        <f ca="1">IF(AND($C265='Funnel setup'!$K$3&amp;'Funnel setup'!$K$5&amp;'Funnel setup'!$K$6&amp;'Funnel setup'!$K$4,'Funnel Lookup'!I265="*"),#N/A,IF(AND($C265='Funnel setup'!$K$3&amp;'Funnel setup'!$K$5&amp;'Funnel setup'!$K$6&amp;'Funnel setup'!$K$4,'Funnel Lookup'!I265&gt;29),'Funnel Lookup'!I265,#N/A))</f>
        <v>#N/A</v>
      </c>
      <c r="V265" t="e">
        <f ca="1">IF(AND($C265='Funnel setup'!$K$3&amp;'Funnel setup'!$K$5&amp;'Funnel setup'!$K$6&amp;'Funnel setup'!$K$4,'Funnel Lookup'!I265="*"),#N/A,IF(AND($C265='Funnel setup'!$K$3&amp;'Funnel setup'!$K$5&amp;'Funnel setup'!$K$6&amp;'Funnel setup'!$K$4,'Funnel Lookup'!I265&gt;29),'Funnel Lookup'!Q265,#N/A))</f>
        <v>#N/A</v>
      </c>
    </row>
    <row r="266" spans="1:22" x14ac:dyDescent="0.2">
      <c r="A266">
        <v>264</v>
      </c>
      <c r="B266">
        <f t="shared" ca="1" si="62"/>
        <v>264</v>
      </c>
      <c r="C266" t="str">
        <f t="shared" ca="1" si="62"/>
        <v>Groin HerniaProviderWILL ADAMS NHS TREATMENT CENTRE (NTP16)EQ-5D Index</v>
      </c>
      <c r="D266" t="str">
        <f t="shared" ca="1" si="62"/>
        <v>Groin Hernia</v>
      </c>
      <c r="E266" t="str">
        <f t="shared" ca="1" si="62"/>
        <v>Provider</v>
      </c>
      <c r="F266" t="str">
        <f t="shared" ca="1" si="62"/>
        <v>NTP16</v>
      </c>
      <c r="G266" t="str">
        <f t="shared" ca="1" si="62"/>
        <v>WILL ADAMS NHS TREATMENT CENTRE (NTP16)</v>
      </c>
      <c r="H266" t="str">
        <f t="shared" ca="1" si="62"/>
        <v>EQ-5D Index</v>
      </c>
      <c r="I266">
        <f t="shared" ca="1" si="62"/>
        <v>47</v>
      </c>
      <c r="J266">
        <f t="shared" ca="1" si="62"/>
        <v>0.87</v>
      </c>
      <c r="K266">
        <f t="shared" ca="1" si="62"/>
        <v>0.90800000000000003</v>
      </c>
      <c r="L266">
        <f t="shared" ca="1" si="63"/>
        <v>3.7999999999999999E-2</v>
      </c>
      <c r="M266">
        <f t="shared" ca="1" si="63"/>
        <v>18</v>
      </c>
      <c r="N266">
        <f t="shared" ca="1" si="63"/>
        <v>16</v>
      </c>
      <c r="O266">
        <f t="shared" ca="1" si="63"/>
        <v>13</v>
      </c>
      <c r="P266">
        <f t="shared" ca="1" si="63"/>
        <v>0.85899999999999999</v>
      </c>
      <c r="Q266">
        <f t="shared" ca="1" si="63"/>
        <v>6.5247911000000006E-2</v>
      </c>
      <c r="R266">
        <f t="shared" ca="1" si="63"/>
        <v>0.15</v>
      </c>
      <c r="S266">
        <f t="shared" ca="1" si="60"/>
        <v>47</v>
      </c>
      <c r="T266">
        <f t="shared" ca="1" si="61"/>
        <v>6.5247911000000006E-2</v>
      </c>
      <c r="U266" t="e">
        <f ca="1">IF(AND($C266='Funnel setup'!$K$3&amp;'Funnel setup'!$K$5&amp;'Funnel setup'!$K$6&amp;'Funnel setup'!$K$4,'Funnel Lookup'!I266="*"),#N/A,IF(AND($C266='Funnel setup'!$K$3&amp;'Funnel setup'!$K$5&amp;'Funnel setup'!$K$6&amp;'Funnel setup'!$K$4,'Funnel Lookup'!I266&gt;29),'Funnel Lookup'!I266,#N/A))</f>
        <v>#N/A</v>
      </c>
      <c r="V266" t="e">
        <f ca="1">IF(AND($C266='Funnel setup'!$K$3&amp;'Funnel setup'!$K$5&amp;'Funnel setup'!$K$6&amp;'Funnel setup'!$K$4,'Funnel Lookup'!I266="*"),#N/A,IF(AND($C266='Funnel setup'!$K$3&amp;'Funnel setup'!$K$5&amp;'Funnel setup'!$K$6&amp;'Funnel setup'!$K$4,'Funnel Lookup'!I266&gt;29),'Funnel Lookup'!Q266,#N/A))</f>
        <v>#N/A</v>
      </c>
    </row>
    <row r="267" spans="1:22" x14ac:dyDescent="0.2">
      <c r="A267">
        <v>265</v>
      </c>
      <c r="B267">
        <f t="shared" ca="1" si="62"/>
        <v>265</v>
      </c>
      <c r="C267" t="str">
        <f t="shared" ca="1" si="62"/>
        <v>Groin HerniaProviderWINFIELD HOSPITAL (NVC22)EQ-5D Index</v>
      </c>
      <c r="D267" t="str">
        <f t="shared" ca="1" si="62"/>
        <v>Groin Hernia</v>
      </c>
      <c r="E267" t="str">
        <f t="shared" ca="1" si="62"/>
        <v>Provider</v>
      </c>
      <c r="F267" t="str">
        <f t="shared" ca="1" si="62"/>
        <v>NVC22</v>
      </c>
      <c r="G267" t="str">
        <f t="shared" ca="1" si="62"/>
        <v>WINFIELD HOSPITAL (NVC22)</v>
      </c>
      <c r="H267" t="str">
        <f t="shared" ca="1" si="62"/>
        <v>EQ-5D Index</v>
      </c>
      <c r="I267">
        <f t="shared" ca="1" si="62"/>
        <v>27</v>
      </c>
      <c r="J267">
        <f t="shared" ca="1" si="62"/>
        <v>0.83599999999999997</v>
      </c>
      <c r="K267">
        <f t="shared" ca="1" si="62"/>
        <v>0.90200000000000002</v>
      </c>
      <c r="L267">
        <f t="shared" ca="1" si="63"/>
        <v>6.6000000000000003E-2</v>
      </c>
      <c r="M267">
        <f t="shared" ca="1" si="63"/>
        <v>10</v>
      </c>
      <c r="N267">
        <f t="shared" ca="1" si="63"/>
        <v>13</v>
      </c>
      <c r="O267">
        <f t="shared" ca="1" si="63"/>
        <v>4</v>
      </c>
      <c r="P267" t="str">
        <f t="shared" ca="1" si="63"/>
        <v>*</v>
      </c>
      <c r="Q267" t="str">
        <f t="shared" ca="1" si="63"/>
        <v>*</v>
      </c>
      <c r="R267" t="str">
        <f t="shared" ca="1" si="63"/>
        <v>*</v>
      </c>
      <c r="S267" t="e">
        <f t="shared" ca="1" si="60"/>
        <v>#N/A</v>
      </c>
      <c r="T267" t="e">
        <f t="shared" ca="1" si="61"/>
        <v>#N/A</v>
      </c>
      <c r="U267" t="e">
        <f ca="1">IF(AND($C267='Funnel setup'!$K$3&amp;'Funnel setup'!$K$5&amp;'Funnel setup'!$K$6&amp;'Funnel setup'!$K$4,'Funnel Lookup'!I267="*"),#N/A,IF(AND($C267='Funnel setup'!$K$3&amp;'Funnel setup'!$K$5&amp;'Funnel setup'!$K$6&amp;'Funnel setup'!$K$4,'Funnel Lookup'!I267&gt;29),'Funnel Lookup'!I267,#N/A))</f>
        <v>#N/A</v>
      </c>
      <c r="V267" t="e">
        <f ca="1">IF(AND($C267='Funnel setup'!$K$3&amp;'Funnel setup'!$K$5&amp;'Funnel setup'!$K$6&amp;'Funnel setup'!$K$4,'Funnel Lookup'!I267="*"),#N/A,IF(AND($C267='Funnel setup'!$K$3&amp;'Funnel setup'!$K$5&amp;'Funnel setup'!$K$6&amp;'Funnel setup'!$K$4,'Funnel Lookup'!I267&gt;29),'Funnel Lookup'!Q267,#N/A))</f>
        <v>#N/A</v>
      </c>
    </row>
    <row r="268" spans="1:22" x14ac:dyDescent="0.2">
      <c r="A268">
        <v>266</v>
      </c>
      <c r="B268">
        <f t="shared" ca="1" si="62"/>
        <v>266</v>
      </c>
      <c r="C268" t="str">
        <f t="shared" ca="1" si="62"/>
        <v>Groin HerniaProviderWIRRAL UNIVERSITY TEACHING HOSPITAL NHS FOUNDATION TRUST (RBL)EQ-5D Index</v>
      </c>
      <c r="D268" t="str">
        <f t="shared" ca="1" si="62"/>
        <v>Groin Hernia</v>
      </c>
      <c r="E268" t="str">
        <f t="shared" ca="1" si="62"/>
        <v>Provider</v>
      </c>
      <c r="F268" t="str">
        <f t="shared" ca="1" si="62"/>
        <v>RBL</v>
      </c>
      <c r="G268" t="str">
        <f t="shared" ca="1" si="62"/>
        <v>WIRRAL UNIVERSITY TEACHING HOSPITAL NHS FOUNDATION TRUST (RBL)</v>
      </c>
      <c r="H268" t="str">
        <f t="shared" ca="1" si="62"/>
        <v>EQ-5D Index</v>
      </c>
      <c r="I268">
        <f t="shared" ca="1" si="62"/>
        <v>88</v>
      </c>
      <c r="J268">
        <f t="shared" ca="1" si="62"/>
        <v>0.754</v>
      </c>
      <c r="K268">
        <f t="shared" ca="1" si="62"/>
        <v>0.79100000000000004</v>
      </c>
      <c r="L268">
        <f t="shared" ca="1" si="63"/>
        <v>3.5999999999999997E-2</v>
      </c>
      <c r="M268">
        <f t="shared" ca="1" si="63"/>
        <v>40</v>
      </c>
      <c r="N268">
        <f t="shared" ca="1" si="63"/>
        <v>26</v>
      </c>
      <c r="O268">
        <f t="shared" ca="1" si="63"/>
        <v>22</v>
      </c>
      <c r="P268">
        <f t="shared" ca="1" si="63"/>
        <v>0.82099999999999995</v>
      </c>
      <c r="Q268">
        <f t="shared" ca="1" si="63"/>
        <v>2.7652383999999999E-2</v>
      </c>
      <c r="R268">
        <f t="shared" ca="1" si="63"/>
        <v>0.19900000000000001</v>
      </c>
      <c r="S268">
        <f t="shared" ca="1" si="60"/>
        <v>88</v>
      </c>
      <c r="T268">
        <f t="shared" ca="1" si="61"/>
        <v>2.7652383999999999E-2</v>
      </c>
      <c r="U268" t="e">
        <f ca="1">IF(AND($C268='Funnel setup'!$K$3&amp;'Funnel setup'!$K$5&amp;'Funnel setup'!$K$6&amp;'Funnel setup'!$K$4,'Funnel Lookup'!I268="*"),#N/A,IF(AND($C268='Funnel setup'!$K$3&amp;'Funnel setup'!$K$5&amp;'Funnel setup'!$K$6&amp;'Funnel setup'!$K$4,'Funnel Lookup'!I268&gt;29),'Funnel Lookup'!I268,#N/A))</f>
        <v>#N/A</v>
      </c>
      <c r="V268" t="e">
        <f ca="1">IF(AND($C268='Funnel setup'!$K$3&amp;'Funnel setup'!$K$5&amp;'Funnel setup'!$K$6&amp;'Funnel setup'!$K$4,'Funnel Lookup'!I268="*"),#N/A,IF(AND($C268='Funnel setup'!$K$3&amp;'Funnel setup'!$K$5&amp;'Funnel setup'!$K$6&amp;'Funnel setup'!$K$4,'Funnel Lookup'!I268&gt;29),'Funnel Lookup'!Q268,#N/A))</f>
        <v>#N/A</v>
      </c>
    </row>
    <row r="269" spans="1:22" x14ac:dyDescent="0.2">
      <c r="A269">
        <v>267</v>
      </c>
      <c r="B269">
        <f t="shared" ca="1" si="62"/>
        <v>267</v>
      </c>
      <c r="C269" t="str">
        <f t="shared" ca="1" si="62"/>
        <v>Groin HerniaProviderWOODLAND HOSPITAL (NVC23)EQ-5D Index</v>
      </c>
      <c r="D269" t="str">
        <f t="shared" ca="1" si="62"/>
        <v>Groin Hernia</v>
      </c>
      <c r="E269" t="str">
        <f t="shared" ca="1" si="62"/>
        <v>Provider</v>
      </c>
      <c r="F269" t="str">
        <f t="shared" ca="1" si="62"/>
        <v>NVC23</v>
      </c>
      <c r="G269" t="str">
        <f t="shared" ca="1" si="62"/>
        <v>WOODLAND HOSPITAL (NVC23)</v>
      </c>
      <c r="H269" t="str">
        <f t="shared" ca="1" si="62"/>
        <v>EQ-5D Index</v>
      </c>
      <c r="I269">
        <f t="shared" ca="1" si="62"/>
        <v>53</v>
      </c>
      <c r="J269">
        <f t="shared" ca="1" si="62"/>
        <v>0.755</v>
      </c>
      <c r="K269">
        <f t="shared" ca="1" si="62"/>
        <v>0.88100000000000001</v>
      </c>
      <c r="L269">
        <f t="shared" ca="1" si="63"/>
        <v>0.126</v>
      </c>
      <c r="M269">
        <f t="shared" ca="1" si="63"/>
        <v>36</v>
      </c>
      <c r="N269">
        <f t="shared" ca="1" si="63"/>
        <v>11</v>
      </c>
      <c r="O269">
        <f t="shared" ca="1" si="63"/>
        <v>6</v>
      </c>
      <c r="P269">
        <f t="shared" ca="1" si="63"/>
        <v>0.88400000000000001</v>
      </c>
      <c r="Q269">
        <f t="shared" ca="1" si="63"/>
        <v>9.0388745000000006E-2</v>
      </c>
      <c r="R269">
        <f t="shared" ca="1" si="63"/>
        <v>0.193</v>
      </c>
      <c r="S269">
        <f t="shared" ca="1" si="60"/>
        <v>53</v>
      </c>
      <c r="T269">
        <f t="shared" ca="1" si="61"/>
        <v>9.0388745000000006E-2</v>
      </c>
      <c r="U269" t="e">
        <f ca="1">IF(AND($C269='Funnel setup'!$K$3&amp;'Funnel setup'!$K$5&amp;'Funnel setup'!$K$6&amp;'Funnel setup'!$K$4,'Funnel Lookup'!I269="*"),#N/A,IF(AND($C269='Funnel setup'!$K$3&amp;'Funnel setup'!$K$5&amp;'Funnel setup'!$K$6&amp;'Funnel setup'!$K$4,'Funnel Lookup'!I269&gt;29),'Funnel Lookup'!I269,#N/A))</f>
        <v>#N/A</v>
      </c>
      <c r="V269" t="e">
        <f ca="1">IF(AND($C269='Funnel setup'!$K$3&amp;'Funnel setup'!$K$5&amp;'Funnel setup'!$K$6&amp;'Funnel setup'!$K$4,'Funnel Lookup'!I269="*"),#N/A,IF(AND($C269='Funnel setup'!$K$3&amp;'Funnel setup'!$K$5&amp;'Funnel setup'!$K$6&amp;'Funnel setup'!$K$4,'Funnel Lookup'!I269&gt;29),'Funnel Lookup'!Q269,#N/A))</f>
        <v>#N/A</v>
      </c>
    </row>
    <row r="270" spans="1:22" x14ac:dyDescent="0.2">
      <c r="A270">
        <v>268</v>
      </c>
      <c r="B270">
        <f t="shared" ca="1" si="62"/>
        <v>268</v>
      </c>
      <c r="C270" t="str">
        <f t="shared" ca="1" si="62"/>
        <v>Groin HerniaProviderWOODTHORPE HOSPITAL (NVC40)EQ-5D Index</v>
      </c>
      <c r="D270" t="str">
        <f t="shared" ca="1" si="62"/>
        <v>Groin Hernia</v>
      </c>
      <c r="E270" t="str">
        <f t="shared" ca="1" si="62"/>
        <v>Provider</v>
      </c>
      <c r="F270" t="str">
        <f t="shared" ca="1" si="62"/>
        <v>NVC40</v>
      </c>
      <c r="G270" t="str">
        <f t="shared" ca="1" si="62"/>
        <v>WOODTHORPE HOSPITAL (NVC40)</v>
      </c>
      <c r="H270" t="str">
        <f t="shared" ca="1" si="62"/>
        <v>EQ-5D Index</v>
      </c>
      <c r="I270">
        <f t="shared" ca="1" si="62"/>
        <v>42</v>
      </c>
      <c r="J270">
        <f t="shared" ca="1" si="62"/>
        <v>0.876</v>
      </c>
      <c r="K270">
        <f t="shared" ca="1" si="62"/>
        <v>0.89400000000000002</v>
      </c>
      <c r="L270">
        <f t="shared" ca="1" si="63"/>
        <v>1.7999999999999999E-2</v>
      </c>
      <c r="M270">
        <f t="shared" ca="1" si="63"/>
        <v>13</v>
      </c>
      <c r="N270">
        <f t="shared" ca="1" si="63"/>
        <v>20</v>
      </c>
      <c r="O270">
        <f t="shared" ca="1" si="63"/>
        <v>9</v>
      </c>
      <c r="P270">
        <f t="shared" ca="1" si="63"/>
        <v>0.85099999999999998</v>
      </c>
      <c r="Q270">
        <f t="shared" ca="1" si="63"/>
        <v>5.7388695000000003E-2</v>
      </c>
      <c r="R270">
        <f t="shared" ca="1" si="63"/>
        <v>0.125</v>
      </c>
      <c r="S270">
        <f t="shared" ca="1" si="60"/>
        <v>42</v>
      </c>
      <c r="T270">
        <f t="shared" ca="1" si="61"/>
        <v>5.7388695000000003E-2</v>
      </c>
      <c r="U270" t="e">
        <f ca="1">IF(AND($C270='Funnel setup'!$K$3&amp;'Funnel setup'!$K$5&amp;'Funnel setup'!$K$6&amp;'Funnel setup'!$K$4,'Funnel Lookup'!I270="*"),#N/A,IF(AND($C270='Funnel setup'!$K$3&amp;'Funnel setup'!$K$5&amp;'Funnel setup'!$K$6&amp;'Funnel setup'!$K$4,'Funnel Lookup'!I270&gt;29),'Funnel Lookup'!I270,#N/A))</f>
        <v>#N/A</v>
      </c>
      <c r="V270" t="e">
        <f ca="1">IF(AND($C270='Funnel setup'!$K$3&amp;'Funnel setup'!$K$5&amp;'Funnel setup'!$K$6&amp;'Funnel setup'!$K$4,'Funnel Lookup'!I270="*"),#N/A,IF(AND($C270='Funnel setup'!$K$3&amp;'Funnel setup'!$K$5&amp;'Funnel setup'!$K$6&amp;'Funnel setup'!$K$4,'Funnel Lookup'!I270&gt;29),'Funnel Lookup'!Q270,#N/A))</f>
        <v>#N/A</v>
      </c>
    </row>
    <row r="271" spans="1:22" x14ac:dyDescent="0.2">
      <c r="A271">
        <v>269</v>
      </c>
      <c r="B271">
        <f t="shared" ca="1" si="62"/>
        <v>269</v>
      </c>
      <c r="C271" t="str">
        <f t="shared" ca="1" si="62"/>
        <v>Groin HerniaProviderWORCESTERSHIRE ACUTE HOSPITALS NHS TRUST (RWP)EQ-5D Index</v>
      </c>
      <c r="D271" t="str">
        <f t="shared" ca="1" si="62"/>
        <v>Groin Hernia</v>
      </c>
      <c r="E271" t="str">
        <f t="shared" ca="1" si="62"/>
        <v>Provider</v>
      </c>
      <c r="F271" t="str">
        <f t="shared" ca="1" si="62"/>
        <v>RWP</v>
      </c>
      <c r="G271" t="str">
        <f t="shared" ca="1" si="62"/>
        <v>WORCESTERSHIRE ACUTE HOSPITALS NHS TRUST (RWP)</v>
      </c>
      <c r="H271" t="str">
        <f t="shared" ca="1" si="62"/>
        <v>EQ-5D Index</v>
      </c>
      <c r="I271">
        <f t="shared" ca="1" si="62"/>
        <v>162</v>
      </c>
      <c r="J271">
        <f t="shared" ca="1" si="62"/>
        <v>0.78800000000000003</v>
      </c>
      <c r="K271">
        <f t="shared" ca="1" si="62"/>
        <v>0.86899999999999999</v>
      </c>
      <c r="L271">
        <f t="shared" ca="1" si="63"/>
        <v>8.1000000000000003E-2</v>
      </c>
      <c r="M271">
        <f t="shared" ca="1" si="63"/>
        <v>75</v>
      </c>
      <c r="N271">
        <f t="shared" ca="1" si="63"/>
        <v>53</v>
      </c>
      <c r="O271">
        <f t="shared" ca="1" si="63"/>
        <v>34</v>
      </c>
      <c r="P271">
        <f t="shared" ca="1" si="63"/>
        <v>0.88600000000000001</v>
      </c>
      <c r="Q271">
        <f t="shared" ca="1" si="63"/>
        <v>9.2321829999999994E-2</v>
      </c>
      <c r="R271">
        <f t="shared" ca="1" si="63"/>
        <v>0.151</v>
      </c>
      <c r="S271">
        <f t="shared" ca="1" si="60"/>
        <v>162</v>
      </c>
      <c r="T271">
        <f t="shared" ca="1" si="61"/>
        <v>9.2321829999999994E-2</v>
      </c>
      <c r="U271" t="e">
        <f ca="1">IF(AND($C271='Funnel setup'!$K$3&amp;'Funnel setup'!$K$5&amp;'Funnel setup'!$K$6&amp;'Funnel setup'!$K$4,'Funnel Lookup'!I271="*"),#N/A,IF(AND($C271='Funnel setup'!$K$3&amp;'Funnel setup'!$K$5&amp;'Funnel setup'!$K$6&amp;'Funnel setup'!$K$4,'Funnel Lookup'!I271&gt;29),'Funnel Lookup'!I271,#N/A))</f>
        <v>#N/A</v>
      </c>
      <c r="V271" t="e">
        <f ca="1">IF(AND($C271='Funnel setup'!$K$3&amp;'Funnel setup'!$K$5&amp;'Funnel setup'!$K$6&amp;'Funnel setup'!$K$4,'Funnel Lookup'!I271="*"),#N/A,IF(AND($C271='Funnel setup'!$K$3&amp;'Funnel setup'!$K$5&amp;'Funnel setup'!$K$6&amp;'Funnel setup'!$K$4,'Funnel Lookup'!I271&gt;29),'Funnel Lookup'!Q271,#N/A))</f>
        <v>#N/A</v>
      </c>
    </row>
    <row r="272" spans="1:22" x14ac:dyDescent="0.2">
      <c r="A272">
        <v>270</v>
      </c>
      <c r="B272">
        <f t="shared" ca="1" si="62"/>
        <v>270</v>
      </c>
      <c r="C272" t="str">
        <f t="shared" ca="1" si="62"/>
        <v>Groin HerniaProviderWRIGHTINGTON, WIGAN AND LEIGH NHS FOUNDATION TRUST (RRF)EQ-5D Index</v>
      </c>
      <c r="D272" t="str">
        <f t="shared" ca="1" si="62"/>
        <v>Groin Hernia</v>
      </c>
      <c r="E272" t="str">
        <f t="shared" ca="1" si="62"/>
        <v>Provider</v>
      </c>
      <c r="F272" t="str">
        <f t="shared" ca="1" si="62"/>
        <v>RRF</v>
      </c>
      <c r="G272" t="str">
        <f t="shared" ca="1" si="62"/>
        <v>WRIGHTINGTON, WIGAN AND LEIGH NHS FOUNDATION TRUST (RRF)</v>
      </c>
      <c r="H272" t="str">
        <f t="shared" ca="1" si="62"/>
        <v>EQ-5D Index</v>
      </c>
      <c r="I272">
        <f t="shared" ca="1" si="62"/>
        <v>114</v>
      </c>
      <c r="J272">
        <f t="shared" ca="1" si="62"/>
        <v>0.746</v>
      </c>
      <c r="K272">
        <f t="shared" ca="1" si="62"/>
        <v>0.83399999999999996</v>
      </c>
      <c r="L272">
        <f t="shared" ca="1" si="63"/>
        <v>8.7999999999999995E-2</v>
      </c>
      <c r="M272">
        <f t="shared" ca="1" si="63"/>
        <v>61</v>
      </c>
      <c r="N272">
        <f t="shared" ca="1" si="63"/>
        <v>30</v>
      </c>
      <c r="O272">
        <f t="shared" ca="1" si="63"/>
        <v>23</v>
      </c>
      <c r="P272">
        <f t="shared" ca="1" si="63"/>
        <v>0.86699999999999999</v>
      </c>
      <c r="Q272">
        <f t="shared" ca="1" si="63"/>
        <v>7.3957198000000002E-2</v>
      </c>
      <c r="R272">
        <f t="shared" ca="1" si="63"/>
        <v>0.18099999999999999</v>
      </c>
      <c r="S272">
        <f t="shared" ca="1" si="60"/>
        <v>114</v>
      </c>
      <c r="T272">
        <f t="shared" ca="1" si="61"/>
        <v>7.3957198000000002E-2</v>
      </c>
      <c r="U272" t="e">
        <f ca="1">IF(AND($C272='Funnel setup'!$K$3&amp;'Funnel setup'!$K$5&amp;'Funnel setup'!$K$6&amp;'Funnel setup'!$K$4,'Funnel Lookup'!I272="*"),#N/A,IF(AND($C272='Funnel setup'!$K$3&amp;'Funnel setup'!$K$5&amp;'Funnel setup'!$K$6&amp;'Funnel setup'!$K$4,'Funnel Lookup'!I272&gt;29),'Funnel Lookup'!I272,#N/A))</f>
        <v>#N/A</v>
      </c>
      <c r="V272" t="e">
        <f ca="1">IF(AND($C272='Funnel setup'!$K$3&amp;'Funnel setup'!$K$5&amp;'Funnel setup'!$K$6&amp;'Funnel setup'!$K$4,'Funnel Lookup'!I272="*"),#N/A,IF(AND($C272='Funnel setup'!$K$3&amp;'Funnel setup'!$K$5&amp;'Funnel setup'!$K$6&amp;'Funnel setup'!$K$4,'Funnel Lookup'!I272&gt;29),'Funnel Lookup'!Q272,#N/A))</f>
        <v>#N/A</v>
      </c>
    </row>
    <row r="273" spans="1:22" x14ac:dyDescent="0.2">
      <c r="A273">
        <v>271</v>
      </c>
      <c r="B273">
        <f t="shared" ref="B273:K282" ca="1" si="64">VLOOKUP($A273,Funnel_Data,B$1,FALSE)</f>
        <v>271</v>
      </c>
      <c r="C273" t="str">
        <f t="shared" ca="1" si="64"/>
        <v>Groin HerniaProviderWYE VALLEY NHS TRUST (RLQ)EQ-5D Index</v>
      </c>
      <c r="D273" t="str">
        <f t="shared" ca="1" si="64"/>
        <v>Groin Hernia</v>
      </c>
      <c r="E273" t="str">
        <f t="shared" ca="1" si="64"/>
        <v>Provider</v>
      </c>
      <c r="F273" t="str">
        <f t="shared" ca="1" si="64"/>
        <v>RLQ</v>
      </c>
      <c r="G273" t="str">
        <f t="shared" ca="1" si="64"/>
        <v>WYE VALLEY NHS TRUST (RLQ)</v>
      </c>
      <c r="H273" t="str">
        <f t="shared" ca="1" si="64"/>
        <v>EQ-5D Index</v>
      </c>
      <c r="I273">
        <f t="shared" ca="1" si="64"/>
        <v>76</v>
      </c>
      <c r="J273">
        <f t="shared" ca="1" si="64"/>
        <v>0.75</v>
      </c>
      <c r="K273">
        <f t="shared" ca="1" si="64"/>
        <v>0.89600000000000002</v>
      </c>
      <c r="L273">
        <f t="shared" ref="L273:R282" ca="1" si="65">VLOOKUP($A273,Funnel_Data,L$1,FALSE)</f>
        <v>0.14599999999999999</v>
      </c>
      <c r="M273">
        <f t="shared" ca="1" si="65"/>
        <v>45</v>
      </c>
      <c r="N273">
        <f t="shared" ca="1" si="65"/>
        <v>22</v>
      </c>
      <c r="O273">
        <f t="shared" ca="1" si="65"/>
        <v>9</v>
      </c>
      <c r="P273">
        <f t="shared" ca="1" si="65"/>
        <v>0.90100000000000002</v>
      </c>
      <c r="Q273">
        <f t="shared" ca="1" si="65"/>
        <v>0.107959664</v>
      </c>
      <c r="R273">
        <f t="shared" ca="1" si="65"/>
        <v>0.14699999999999999</v>
      </c>
      <c r="S273">
        <f t="shared" ca="1" si="60"/>
        <v>76</v>
      </c>
      <c r="T273">
        <f t="shared" ca="1" si="61"/>
        <v>0.107959664</v>
      </c>
      <c r="U273" t="e">
        <f ca="1">IF(AND($C273='Funnel setup'!$K$3&amp;'Funnel setup'!$K$5&amp;'Funnel setup'!$K$6&amp;'Funnel setup'!$K$4,'Funnel Lookup'!I273="*"),#N/A,IF(AND($C273='Funnel setup'!$K$3&amp;'Funnel setup'!$K$5&amp;'Funnel setup'!$K$6&amp;'Funnel setup'!$K$4,'Funnel Lookup'!I273&gt;29),'Funnel Lookup'!I273,#N/A))</f>
        <v>#N/A</v>
      </c>
      <c r="V273" t="e">
        <f ca="1">IF(AND($C273='Funnel setup'!$K$3&amp;'Funnel setup'!$K$5&amp;'Funnel setup'!$K$6&amp;'Funnel setup'!$K$4,'Funnel Lookup'!I273="*"),#N/A,IF(AND($C273='Funnel setup'!$K$3&amp;'Funnel setup'!$K$5&amp;'Funnel setup'!$K$6&amp;'Funnel setup'!$K$4,'Funnel Lookup'!I273&gt;29),'Funnel Lookup'!Q273,#N/A))</f>
        <v>#N/A</v>
      </c>
    </row>
    <row r="274" spans="1:22" x14ac:dyDescent="0.2">
      <c r="A274">
        <v>272</v>
      </c>
      <c r="B274">
        <f t="shared" ca="1" si="64"/>
        <v>272</v>
      </c>
      <c r="C274" t="str">
        <f t="shared" ca="1" si="64"/>
        <v>Groin HerniaProviderYEOVIL DISTRICT HOSPITAL NHS FOUNDATION TRUST (RA4)EQ-5D Index</v>
      </c>
      <c r="D274" t="str">
        <f t="shared" ca="1" si="64"/>
        <v>Groin Hernia</v>
      </c>
      <c r="E274" t="str">
        <f t="shared" ca="1" si="64"/>
        <v>Provider</v>
      </c>
      <c r="F274" t="str">
        <f t="shared" ca="1" si="64"/>
        <v>RA4</v>
      </c>
      <c r="G274" t="str">
        <f t="shared" ca="1" si="64"/>
        <v>YEOVIL DISTRICT HOSPITAL NHS FOUNDATION TRUST (RA4)</v>
      </c>
      <c r="H274" t="str">
        <f t="shared" ca="1" si="64"/>
        <v>EQ-5D Index</v>
      </c>
      <c r="I274">
        <f t="shared" ca="1" si="64"/>
        <v>25</v>
      </c>
      <c r="J274">
        <f t="shared" ca="1" si="64"/>
        <v>0.79200000000000004</v>
      </c>
      <c r="K274">
        <f t="shared" ca="1" si="64"/>
        <v>0.91900000000000004</v>
      </c>
      <c r="L274">
        <f t="shared" ca="1" si="65"/>
        <v>0.127</v>
      </c>
      <c r="M274">
        <f t="shared" ca="1" si="65"/>
        <v>13</v>
      </c>
      <c r="N274">
        <f t="shared" ca="1" si="65"/>
        <v>9</v>
      </c>
      <c r="O274">
        <f t="shared" ca="1" si="65"/>
        <v>3</v>
      </c>
      <c r="P274" t="str">
        <f t="shared" ca="1" si="65"/>
        <v>*</v>
      </c>
      <c r="Q274" t="str">
        <f t="shared" ca="1" si="65"/>
        <v>*</v>
      </c>
      <c r="R274" t="str">
        <f t="shared" ca="1" si="65"/>
        <v>*</v>
      </c>
      <c r="S274" t="e">
        <f t="shared" ca="1" si="60"/>
        <v>#N/A</v>
      </c>
      <c r="T274" t="e">
        <f t="shared" ca="1" si="61"/>
        <v>#N/A</v>
      </c>
      <c r="U274" t="e">
        <f ca="1">IF(AND($C274='Funnel setup'!$K$3&amp;'Funnel setup'!$K$5&amp;'Funnel setup'!$K$6&amp;'Funnel setup'!$K$4,'Funnel Lookup'!I274="*"),#N/A,IF(AND($C274='Funnel setup'!$K$3&amp;'Funnel setup'!$K$5&amp;'Funnel setup'!$K$6&amp;'Funnel setup'!$K$4,'Funnel Lookup'!I274&gt;29),'Funnel Lookup'!I274,#N/A))</f>
        <v>#N/A</v>
      </c>
      <c r="V274" t="e">
        <f ca="1">IF(AND($C274='Funnel setup'!$K$3&amp;'Funnel setup'!$K$5&amp;'Funnel setup'!$K$6&amp;'Funnel setup'!$K$4,'Funnel Lookup'!I274="*"),#N/A,IF(AND($C274='Funnel setup'!$K$3&amp;'Funnel setup'!$K$5&amp;'Funnel setup'!$K$6&amp;'Funnel setup'!$K$4,'Funnel Lookup'!I274&gt;29),'Funnel Lookup'!Q274,#N/A))</f>
        <v>#N/A</v>
      </c>
    </row>
    <row r="275" spans="1:22" x14ac:dyDescent="0.2">
      <c r="A275">
        <v>273</v>
      </c>
      <c r="B275">
        <f t="shared" ca="1" si="64"/>
        <v>273</v>
      </c>
      <c r="C275" t="str">
        <f t="shared" ca="1" si="64"/>
        <v>Groin HerniaProviderYORK TEACHING HOSPITAL NHS FOUNDATION TRUST (RCB)EQ-5D Index</v>
      </c>
      <c r="D275" t="str">
        <f t="shared" ca="1" si="64"/>
        <v>Groin Hernia</v>
      </c>
      <c r="E275" t="str">
        <f t="shared" ca="1" si="64"/>
        <v>Provider</v>
      </c>
      <c r="F275" t="str">
        <f t="shared" ca="1" si="64"/>
        <v>RCB</v>
      </c>
      <c r="G275" t="str">
        <f t="shared" ca="1" si="64"/>
        <v>YORK TEACHING HOSPITAL NHS FOUNDATION TRUST (RCB)</v>
      </c>
      <c r="H275" t="str">
        <f t="shared" ca="1" si="64"/>
        <v>EQ-5D Index</v>
      </c>
      <c r="I275">
        <f t="shared" ca="1" si="64"/>
        <v>292</v>
      </c>
      <c r="J275">
        <f t="shared" ca="1" si="64"/>
        <v>0.80200000000000005</v>
      </c>
      <c r="K275">
        <f t="shared" ca="1" si="64"/>
        <v>0.88300000000000001</v>
      </c>
      <c r="L275">
        <f t="shared" ca="1" si="65"/>
        <v>0.08</v>
      </c>
      <c r="M275">
        <f t="shared" ca="1" si="65"/>
        <v>150</v>
      </c>
      <c r="N275">
        <f t="shared" ca="1" si="65"/>
        <v>98</v>
      </c>
      <c r="O275">
        <f t="shared" ca="1" si="65"/>
        <v>44</v>
      </c>
      <c r="P275">
        <f t="shared" ca="1" si="65"/>
        <v>0.874</v>
      </c>
      <c r="Q275">
        <f t="shared" ca="1" si="65"/>
        <v>8.0336284999999993E-2</v>
      </c>
      <c r="R275">
        <f t="shared" ca="1" si="65"/>
        <v>0.16</v>
      </c>
      <c r="S275">
        <f t="shared" ca="1" si="60"/>
        <v>292</v>
      </c>
      <c r="T275">
        <f t="shared" ca="1" si="61"/>
        <v>8.0336284999999993E-2</v>
      </c>
      <c r="U275" t="e">
        <f ca="1">IF(AND($C275='Funnel setup'!$K$3&amp;'Funnel setup'!$K$5&amp;'Funnel setup'!$K$6&amp;'Funnel setup'!$K$4,'Funnel Lookup'!I275="*"),#N/A,IF(AND($C275='Funnel setup'!$K$3&amp;'Funnel setup'!$K$5&amp;'Funnel setup'!$K$6&amp;'Funnel setup'!$K$4,'Funnel Lookup'!I275&gt;29),'Funnel Lookup'!I275,#N/A))</f>
        <v>#N/A</v>
      </c>
      <c r="V275" t="e">
        <f ca="1">IF(AND($C275='Funnel setup'!$K$3&amp;'Funnel setup'!$K$5&amp;'Funnel setup'!$K$6&amp;'Funnel setup'!$K$4,'Funnel Lookup'!I275="*"),#N/A,IF(AND($C275='Funnel setup'!$K$3&amp;'Funnel setup'!$K$5&amp;'Funnel setup'!$K$6&amp;'Funnel setup'!$K$4,'Funnel Lookup'!I275&gt;29),'Funnel Lookup'!Q275,#N/A))</f>
        <v>#N/A</v>
      </c>
    </row>
    <row r="276" spans="1:22" x14ac:dyDescent="0.2">
      <c r="A276">
        <v>274</v>
      </c>
      <c r="B276" t="e">
        <f t="shared" ca="1" si="64"/>
        <v>#N/A</v>
      </c>
      <c r="C276" t="e">
        <f t="shared" ca="1" si="64"/>
        <v>#N/A</v>
      </c>
      <c r="D276" t="e">
        <f t="shared" ca="1" si="64"/>
        <v>#N/A</v>
      </c>
      <c r="E276" t="e">
        <f t="shared" ca="1" si="64"/>
        <v>#N/A</v>
      </c>
      <c r="F276" t="e">
        <f t="shared" ca="1" si="64"/>
        <v>#N/A</v>
      </c>
      <c r="G276" t="e">
        <f t="shared" ca="1" si="64"/>
        <v>#N/A</v>
      </c>
      <c r="H276" t="e">
        <f t="shared" ca="1" si="64"/>
        <v>#N/A</v>
      </c>
      <c r="I276" t="e">
        <f t="shared" ca="1" si="64"/>
        <v>#N/A</v>
      </c>
      <c r="J276" t="e">
        <f t="shared" ca="1" si="64"/>
        <v>#N/A</v>
      </c>
      <c r="K276" t="e">
        <f t="shared" ca="1" si="64"/>
        <v>#N/A</v>
      </c>
      <c r="L276" t="e">
        <f t="shared" ca="1" si="65"/>
        <v>#N/A</v>
      </c>
      <c r="M276" t="e">
        <f t="shared" ca="1" si="65"/>
        <v>#N/A</v>
      </c>
      <c r="N276" t="e">
        <f t="shared" ca="1" si="65"/>
        <v>#N/A</v>
      </c>
      <c r="O276" t="e">
        <f t="shared" ca="1" si="65"/>
        <v>#N/A</v>
      </c>
      <c r="P276" t="e">
        <f t="shared" ca="1" si="65"/>
        <v>#N/A</v>
      </c>
      <c r="Q276" t="e">
        <f t="shared" ca="1" si="65"/>
        <v>#N/A</v>
      </c>
      <c r="R276" t="e">
        <f t="shared" ca="1" si="65"/>
        <v>#N/A</v>
      </c>
      <c r="S276" t="e">
        <f t="shared" ca="1" si="60"/>
        <v>#N/A</v>
      </c>
      <c r="T276" t="e">
        <f t="shared" ca="1" si="61"/>
        <v>#N/A</v>
      </c>
      <c r="U276" t="e">
        <f ca="1">IF(AND($C276='Funnel setup'!$K$3&amp;'Funnel setup'!$K$5&amp;'Funnel setup'!$K$6&amp;'Funnel setup'!$K$4,'Funnel Lookup'!I276="*"),#N/A,IF(AND($C276='Funnel setup'!$K$3&amp;'Funnel setup'!$K$5&amp;'Funnel setup'!$K$6&amp;'Funnel setup'!$K$4,'Funnel Lookup'!I276&gt;29),'Funnel Lookup'!I276,#N/A))</f>
        <v>#N/A</v>
      </c>
      <c r="V276" t="e">
        <f ca="1">IF(AND($C276='Funnel setup'!$K$3&amp;'Funnel setup'!$K$5&amp;'Funnel setup'!$K$6&amp;'Funnel setup'!$K$4,'Funnel Lookup'!I276="*"),#N/A,IF(AND($C276='Funnel setup'!$K$3&amp;'Funnel setup'!$K$5&amp;'Funnel setup'!$K$6&amp;'Funnel setup'!$K$4,'Funnel Lookup'!I276&gt;29),'Funnel Lookup'!Q276,#N/A))</f>
        <v>#N/A</v>
      </c>
    </row>
    <row r="277" spans="1:22" x14ac:dyDescent="0.2">
      <c r="A277">
        <v>275</v>
      </c>
      <c r="B277" t="e">
        <f t="shared" ca="1" si="64"/>
        <v>#N/A</v>
      </c>
      <c r="C277" t="e">
        <f t="shared" ca="1" si="64"/>
        <v>#N/A</v>
      </c>
      <c r="D277" t="e">
        <f t="shared" ca="1" si="64"/>
        <v>#N/A</v>
      </c>
      <c r="E277" t="e">
        <f t="shared" ca="1" si="64"/>
        <v>#N/A</v>
      </c>
      <c r="F277" t="e">
        <f t="shared" ca="1" si="64"/>
        <v>#N/A</v>
      </c>
      <c r="G277" t="e">
        <f t="shared" ca="1" si="64"/>
        <v>#N/A</v>
      </c>
      <c r="H277" t="e">
        <f t="shared" ca="1" si="64"/>
        <v>#N/A</v>
      </c>
      <c r="I277" t="e">
        <f t="shared" ca="1" si="64"/>
        <v>#N/A</v>
      </c>
      <c r="J277" t="e">
        <f t="shared" ca="1" si="64"/>
        <v>#N/A</v>
      </c>
      <c r="K277" t="e">
        <f t="shared" ca="1" si="64"/>
        <v>#N/A</v>
      </c>
      <c r="L277" t="e">
        <f t="shared" ca="1" si="65"/>
        <v>#N/A</v>
      </c>
      <c r="M277" t="e">
        <f t="shared" ca="1" si="65"/>
        <v>#N/A</v>
      </c>
      <c r="N277" t="e">
        <f t="shared" ca="1" si="65"/>
        <v>#N/A</v>
      </c>
      <c r="O277" t="e">
        <f t="shared" ca="1" si="65"/>
        <v>#N/A</v>
      </c>
      <c r="P277" t="e">
        <f t="shared" ca="1" si="65"/>
        <v>#N/A</v>
      </c>
      <c r="Q277" t="e">
        <f t="shared" ca="1" si="65"/>
        <v>#N/A</v>
      </c>
      <c r="R277" t="e">
        <f t="shared" ca="1" si="65"/>
        <v>#N/A</v>
      </c>
      <c r="S277" t="e">
        <f t="shared" ca="1" si="60"/>
        <v>#N/A</v>
      </c>
      <c r="T277" t="e">
        <f t="shared" ca="1" si="61"/>
        <v>#N/A</v>
      </c>
      <c r="U277" t="e">
        <f ca="1">IF(AND($C277='Funnel setup'!$K$3&amp;'Funnel setup'!$K$5&amp;'Funnel setup'!$K$6&amp;'Funnel setup'!$K$4,'Funnel Lookup'!I277="*"),#N/A,IF(AND($C277='Funnel setup'!$K$3&amp;'Funnel setup'!$K$5&amp;'Funnel setup'!$K$6&amp;'Funnel setup'!$K$4,'Funnel Lookup'!I277&gt;29),'Funnel Lookup'!I277,#N/A))</f>
        <v>#N/A</v>
      </c>
      <c r="V277" t="e">
        <f ca="1">IF(AND($C277='Funnel setup'!$K$3&amp;'Funnel setup'!$K$5&amp;'Funnel setup'!$K$6&amp;'Funnel setup'!$K$4,'Funnel Lookup'!I277="*"),#N/A,IF(AND($C277='Funnel setup'!$K$3&amp;'Funnel setup'!$K$5&amp;'Funnel setup'!$K$6&amp;'Funnel setup'!$K$4,'Funnel Lookup'!I277&gt;29),'Funnel Lookup'!Q277,#N/A))</f>
        <v>#N/A</v>
      </c>
    </row>
    <row r="278" spans="1:22" x14ac:dyDescent="0.2">
      <c r="A278">
        <v>276</v>
      </c>
      <c r="B278" t="e">
        <f t="shared" ca="1" si="64"/>
        <v>#N/A</v>
      </c>
      <c r="C278" t="e">
        <f t="shared" ca="1" si="64"/>
        <v>#N/A</v>
      </c>
      <c r="D278" t="e">
        <f t="shared" ca="1" si="64"/>
        <v>#N/A</v>
      </c>
      <c r="E278" t="e">
        <f t="shared" ca="1" si="64"/>
        <v>#N/A</v>
      </c>
      <c r="F278" t="e">
        <f t="shared" ca="1" si="64"/>
        <v>#N/A</v>
      </c>
      <c r="G278" t="e">
        <f t="shared" ca="1" si="64"/>
        <v>#N/A</v>
      </c>
      <c r="H278" t="e">
        <f t="shared" ca="1" si="64"/>
        <v>#N/A</v>
      </c>
      <c r="I278" t="e">
        <f t="shared" ca="1" si="64"/>
        <v>#N/A</v>
      </c>
      <c r="J278" t="e">
        <f t="shared" ca="1" si="64"/>
        <v>#N/A</v>
      </c>
      <c r="K278" t="e">
        <f t="shared" ca="1" si="64"/>
        <v>#N/A</v>
      </c>
      <c r="L278" t="e">
        <f t="shared" ca="1" si="65"/>
        <v>#N/A</v>
      </c>
      <c r="M278" t="e">
        <f t="shared" ca="1" si="65"/>
        <v>#N/A</v>
      </c>
      <c r="N278" t="e">
        <f t="shared" ca="1" si="65"/>
        <v>#N/A</v>
      </c>
      <c r="O278" t="e">
        <f t="shared" ca="1" si="65"/>
        <v>#N/A</v>
      </c>
      <c r="P278" t="e">
        <f t="shared" ca="1" si="65"/>
        <v>#N/A</v>
      </c>
      <c r="Q278" t="e">
        <f t="shared" ca="1" si="65"/>
        <v>#N/A</v>
      </c>
      <c r="R278" t="e">
        <f t="shared" ca="1" si="65"/>
        <v>#N/A</v>
      </c>
      <c r="S278" t="e">
        <f t="shared" ca="1" si="60"/>
        <v>#N/A</v>
      </c>
      <c r="T278" t="e">
        <f t="shared" ca="1" si="61"/>
        <v>#N/A</v>
      </c>
      <c r="U278" t="e">
        <f ca="1">IF(AND($C278='Funnel setup'!$K$3&amp;'Funnel setup'!$K$5&amp;'Funnel setup'!$K$6&amp;'Funnel setup'!$K$4,'Funnel Lookup'!I278="*"),#N/A,IF(AND($C278='Funnel setup'!$K$3&amp;'Funnel setup'!$K$5&amp;'Funnel setup'!$K$6&amp;'Funnel setup'!$K$4,'Funnel Lookup'!I278&gt;29),'Funnel Lookup'!I278,#N/A))</f>
        <v>#N/A</v>
      </c>
      <c r="V278" t="e">
        <f ca="1">IF(AND($C278='Funnel setup'!$K$3&amp;'Funnel setup'!$K$5&amp;'Funnel setup'!$K$6&amp;'Funnel setup'!$K$4,'Funnel Lookup'!I278="*"),#N/A,IF(AND($C278='Funnel setup'!$K$3&amp;'Funnel setup'!$K$5&amp;'Funnel setup'!$K$6&amp;'Funnel setup'!$K$4,'Funnel Lookup'!I278&gt;29),'Funnel Lookup'!Q278,#N/A))</f>
        <v>#N/A</v>
      </c>
    </row>
    <row r="279" spans="1:22" x14ac:dyDescent="0.2">
      <c r="A279">
        <v>277</v>
      </c>
      <c r="B279" t="e">
        <f t="shared" ca="1" si="64"/>
        <v>#N/A</v>
      </c>
      <c r="C279" t="e">
        <f t="shared" ca="1" si="64"/>
        <v>#N/A</v>
      </c>
      <c r="D279" t="e">
        <f t="shared" ca="1" si="64"/>
        <v>#N/A</v>
      </c>
      <c r="E279" t="e">
        <f t="shared" ca="1" si="64"/>
        <v>#N/A</v>
      </c>
      <c r="F279" t="e">
        <f t="shared" ca="1" si="64"/>
        <v>#N/A</v>
      </c>
      <c r="G279" t="e">
        <f t="shared" ca="1" si="64"/>
        <v>#N/A</v>
      </c>
      <c r="H279" t="e">
        <f t="shared" ca="1" si="64"/>
        <v>#N/A</v>
      </c>
      <c r="I279" t="e">
        <f t="shared" ca="1" si="64"/>
        <v>#N/A</v>
      </c>
      <c r="J279" t="e">
        <f t="shared" ca="1" si="64"/>
        <v>#N/A</v>
      </c>
      <c r="K279" t="e">
        <f t="shared" ca="1" si="64"/>
        <v>#N/A</v>
      </c>
      <c r="L279" t="e">
        <f t="shared" ca="1" si="65"/>
        <v>#N/A</v>
      </c>
      <c r="M279" t="e">
        <f t="shared" ca="1" si="65"/>
        <v>#N/A</v>
      </c>
      <c r="N279" t="e">
        <f t="shared" ca="1" si="65"/>
        <v>#N/A</v>
      </c>
      <c r="O279" t="e">
        <f t="shared" ca="1" si="65"/>
        <v>#N/A</v>
      </c>
      <c r="P279" t="e">
        <f t="shared" ca="1" si="65"/>
        <v>#N/A</v>
      </c>
      <c r="Q279" t="e">
        <f t="shared" ca="1" si="65"/>
        <v>#N/A</v>
      </c>
      <c r="R279" t="e">
        <f t="shared" ca="1" si="65"/>
        <v>#N/A</v>
      </c>
      <c r="S279" t="e">
        <f t="shared" ca="1" si="60"/>
        <v>#N/A</v>
      </c>
      <c r="T279" t="e">
        <f t="shared" ca="1" si="61"/>
        <v>#N/A</v>
      </c>
      <c r="U279" t="e">
        <f ca="1">IF(AND($C279='Funnel setup'!$K$3&amp;'Funnel setup'!$K$5&amp;'Funnel setup'!$K$6&amp;'Funnel setup'!$K$4,'Funnel Lookup'!I279="*"),#N/A,IF(AND($C279='Funnel setup'!$K$3&amp;'Funnel setup'!$K$5&amp;'Funnel setup'!$K$6&amp;'Funnel setup'!$K$4,'Funnel Lookup'!I279&gt;29),'Funnel Lookup'!I279,#N/A))</f>
        <v>#N/A</v>
      </c>
      <c r="V279" t="e">
        <f ca="1">IF(AND($C279='Funnel setup'!$K$3&amp;'Funnel setup'!$K$5&amp;'Funnel setup'!$K$6&amp;'Funnel setup'!$K$4,'Funnel Lookup'!I279="*"),#N/A,IF(AND($C279='Funnel setup'!$K$3&amp;'Funnel setup'!$K$5&amp;'Funnel setup'!$K$6&amp;'Funnel setup'!$K$4,'Funnel Lookup'!I279&gt;29),'Funnel Lookup'!Q279,#N/A))</f>
        <v>#N/A</v>
      </c>
    </row>
    <row r="280" spans="1:22" x14ac:dyDescent="0.2">
      <c r="A280">
        <v>278</v>
      </c>
      <c r="B280" t="e">
        <f t="shared" ca="1" si="64"/>
        <v>#N/A</v>
      </c>
      <c r="C280" t="e">
        <f t="shared" ca="1" si="64"/>
        <v>#N/A</v>
      </c>
      <c r="D280" t="e">
        <f t="shared" ca="1" si="64"/>
        <v>#N/A</v>
      </c>
      <c r="E280" t="e">
        <f t="shared" ca="1" si="64"/>
        <v>#N/A</v>
      </c>
      <c r="F280" t="e">
        <f t="shared" ca="1" si="64"/>
        <v>#N/A</v>
      </c>
      <c r="G280" t="e">
        <f t="shared" ca="1" si="64"/>
        <v>#N/A</v>
      </c>
      <c r="H280" t="e">
        <f t="shared" ca="1" si="64"/>
        <v>#N/A</v>
      </c>
      <c r="I280" t="e">
        <f t="shared" ca="1" si="64"/>
        <v>#N/A</v>
      </c>
      <c r="J280" t="e">
        <f t="shared" ca="1" si="64"/>
        <v>#N/A</v>
      </c>
      <c r="K280" t="e">
        <f t="shared" ca="1" si="64"/>
        <v>#N/A</v>
      </c>
      <c r="L280" t="e">
        <f t="shared" ca="1" si="65"/>
        <v>#N/A</v>
      </c>
      <c r="M280" t="e">
        <f t="shared" ca="1" si="65"/>
        <v>#N/A</v>
      </c>
      <c r="N280" t="e">
        <f t="shared" ca="1" si="65"/>
        <v>#N/A</v>
      </c>
      <c r="O280" t="e">
        <f t="shared" ca="1" si="65"/>
        <v>#N/A</v>
      </c>
      <c r="P280" t="e">
        <f t="shared" ca="1" si="65"/>
        <v>#N/A</v>
      </c>
      <c r="Q280" t="e">
        <f t="shared" ca="1" si="65"/>
        <v>#N/A</v>
      </c>
      <c r="R280" t="e">
        <f t="shared" ca="1" si="65"/>
        <v>#N/A</v>
      </c>
      <c r="S280" t="e">
        <f t="shared" ca="1" si="60"/>
        <v>#N/A</v>
      </c>
      <c r="T280" t="e">
        <f t="shared" ca="1" si="61"/>
        <v>#N/A</v>
      </c>
      <c r="U280" t="e">
        <f ca="1">IF(AND($C280='Funnel setup'!$K$3&amp;'Funnel setup'!$K$5&amp;'Funnel setup'!$K$6&amp;'Funnel setup'!$K$4,'Funnel Lookup'!I280="*"),#N/A,IF(AND($C280='Funnel setup'!$K$3&amp;'Funnel setup'!$K$5&amp;'Funnel setup'!$K$6&amp;'Funnel setup'!$K$4,'Funnel Lookup'!I280&gt;29),'Funnel Lookup'!I280,#N/A))</f>
        <v>#N/A</v>
      </c>
      <c r="V280" t="e">
        <f ca="1">IF(AND($C280='Funnel setup'!$K$3&amp;'Funnel setup'!$K$5&amp;'Funnel setup'!$K$6&amp;'Funnel setup'!$K$4,'Funnel Lookup'!I280="*"),#N/A,IF(AND($C280='Funnel setup'!$K$3&amp;'Funnel setup'!$K$5&amp;'Funnel setup'!$K$6&amp;'Funnel setup'!$K$4,'Funnel Lookup'!I280&gt;29),'Funnel Lookup'!Q280,#N/A))</f>
        <v>#N/A</v>
      </c>
    </row>
    <row r="281" spans="1:22" x14ac:dyDescent="0.2">
      <c r="A281">
        <v>279</v>
      </c>
      <c r="B281" t="e">
        <f t="shared" ca="1" si="64"/>
        <v>#N/A</v>
      </c>
      <c r="C281" t="e">
        <f t="shared" ca="1" si="64"/>
        <v>#N/A</v>
      </c>
      <c r="D281" t="e">
        <f t="shared" ca="1" si="64"/>
        <v>#N/A</v>
      </c>
      <c r="E281" t="e">
        <f t="shared" ca="1" si="64"/>
        <v>#N/A</v>
      </c>
      <c r="F281" t="e">
        <f t="shared" ca="1" si="64"/>
        <v>#N/A</v>
      </c>
      <c r="G281" t="e">
        <f t="shared" ca="1" si="64"/>
        <v>#N/A</v>
      </c>
      <c r="H281" t="e">
        <f t="shared" ca="1" si="64"/>
        <v>#N/A</v>
      </c>
      <c r="I281" t="e">
        <f t="shared" ca="1" si="64"/>
        <v>#N/A</v>
      </c>
      <c r="J281" t="e">
        <f t="shared" ca="1" si="64"/>
        <v>#N/A</v>
      </c>
      <c r="K281" t="e">
        <f t="shared" ca="1" si="64"/>
        <v>#N/A</v>
      </c>
      <c r="L281" t="e">
        <f t="shared" ca="1" si="65"/>
        <v>#N/A</v>
      </c>
      <c r="M281" t="e">
        <f t="shared" ca="1" si="65"/>
        <v>#N/A</v>
      </c>
      <c r="N281" t="e">
        <f t="shared" ca="1" si="65"/>
        <v>#N/A</v>
      </c>
      <c r="O281" t="e">
        <f t="shared" ca="1" si="65"/>
        <v>#N/A</v>
      </c>
      <c r="P281" t="e">
        <f t="shared" ca="1" si="65"/>
        <v>#N/A</v>
      </c>
      <c r="Q281" t="e">
        <f t="shared" ca="1" si="65"/>
        <v>#N/A</v>
      </c>
      <c r="R281" t="e">
        <f t="shared" ca="1" si="65"/>
        <v>#N/A</v>
      </c>
      <c r="S281" t="e">
        <f t="shared" ca="1" si="60"/>
        <v>#N/A</v>
      </c>
      <c r="T281" t="e">
        <f t="shared" ca="1" si="61"/>
        <v>#N/A</v>
      </c>
      <c r="U281" t="e">
        <f ca="1">IF(AND($C281='Funnel setup'!$K$3&amp;'Funnel setup'!$K$5&amp;'Funnel setup'!$K$6&amp;'Funnel setup'!$K$4,'Funnel Lookup'!I281="*"),#N/A,IF(AND($C281='Funnel setup'!$K$3&amp;'Funnel setup'!$K$5&amp;'Funnel setup'!$K$6&amp;'Funnel setup'!$K$4,'Funnel Lookup'!I281&gt;29),'Funnel Lookup'!I281,#N/A))</f>
        <v>#N/A</v>
      </c>
      <c r="V281" t="e">
        <f ca="1">IF(AND($C281='Funnel setup'!$K$3&amp;'Funnel setup'!$K$5&amp;'Funnel setup'!$K$6&amp;'Funnel setup'!$K$4,'Funnel Lookup'!I281="*"),#N/A,IF(AND($C281='Funnel setup'!$K$3&amp;'Funnel setup'!$K$5&amp;'Funnel setup'!$K$6&amp;'Funnel setup'!$K$4,'Funnel Lookup'!I281&gt;29),'Funnel Lookup'!Q281,#N/A))</f>
        <v>#N/A</v>
      </c>
    </row>
    <row r="282" spans="1:22" x14ac:dyDescent="0.2">
      <c r="A282">
        <v>280</v>
      </c>
      <c r="B282" t="e">
        <f t="shared" ca="1" si="64"/>
        <v>#N/A</v>
      </c>
      <c r="C282" t="e">
        <f t="shared" ca="1" si="64"/>
        <v>#N/A</v>
      </c>
      <c r="D282" t="e">
        <f t="shared" ca="1" si="64"/>
        <v>#N/A</v>
      </c>
      <c r="E282" t="e">
        <f t="shared" ca="1" si="64"/>
        <v>#N/A</v>
      </c>
      <c r="F282" t="e">
        <f t="shared" ca="1" si="64"/>
        <v>#N/A</v>
      </c>
      <c r="G282" t="e">
        <f t="shared" ca="1" si="64"/>
        <v>#N/A</v>
      </c>
      <c r="H282" t="e">
        <f t="shared" ca="1" si="64"/>
        <v>#N/A</v>
      </c>
      <c r="I282" t="e">
        <f t="shared" ca="1" si="64"/>
        <v>#N/A</v>
      </c>
      <c r="J282" t="e">
        <f t="shared" ca="1" si="64"/>
        <v>#N/A</v>
      </c>
      <c r="K282" t="e">
        <f t="shared" ca="1" si="64"/>
        <v>#N/A</v>
      </c>
      <c r="L282" t="e">
        <f t="shared" ca="1" si="65"/>
        <v>#N/A</v>
      </c>
      <c r="M282" t="e">
        <f t="shared" ca="1" si="65"/>
        <v>#N/A</v>
      </c>
      <c r="N282" t="e">
        <f t="shared" ca="1" si="65"/>
        <v>#N/A</v>
      </c>
      <c r="O282" t="e">
        <f t="shared" ca="1" si="65"/>
        <v>#N/A</v>
      </c>
      <c r="P282" t="e">
        <f t="shared" ca="1" si="65"/>
        <v>#N/A</v>
      </c>
      <c r="Q282" t="e">
        <f t="shared" ca="1" si="65"/>
        <v>#N/A</v>
      </c>
      <c r="R282" t="e">
        <f t="shared" ca="1" si="65"/>
        <v>#N/A</v>
      </c>
      <c r="S282" t="e">
        <f t="shared" ca="1" si="60"/>
        <v>#N/A</v>
      </c>
      <c r="T282" t="e">
        <f t="shared" ca="1" si="61"/>
        <v>#N/A</v>
      </c>
      <c r="U282" t="e">
        <f ca="1">IF(AND($C282='Funnel setup'!$K$3&amp;'Funnel setup'!$K$5&amp;'Funnel setup'!$K$6&amp;'Funnel setup'!$K$4,'Funnel Lookup'!I282="*"),#N/A,IF(AND($C282='Funnel setup'!$K$3&amp;'Funnel setup'!$K$5&amp;'Funnel setup'!$K$6&amp;'Funnel setup'!$K$4,'Funnel Lookup'!I282&gt;29),'Funnel Lookup'!I282,#N/A))</f>
        <v>#N/A</v>
      </c>
      <c r="V282" t="e">
        <f ca="1">IF(AND($C282='Funnel setup'!$K$3&amp;'Funnel setup'!$K$5&amp;'Funnel setup'!$K$6&amp;'Funnel setup'!$K$4,'Funnel Lookup'!I282="*"),#N/A,IF(AND($C282='Funnel setup'!$K$3&amp;'Funnel setup'!$K$5&amp;'Funnel setup'!$K$6&amp;'Funnel setup'!$K$4,'Funnel Lookup'!I282&gt;29),'Funnel Lookup'!Q282,#N/A))</f>
        <v>#N/A</v>
      </c>
    </row>
    <row r="283" spans="1:22" x14ac:dyDescent="0.2">
      <c r="A283">
        <v>281</v>
      </c>
      <c r="B283" t="e">
        <f t="shared" ref="B283:K292" ca="1" si="66">VLOOKUP($A283,Funnel_Data,B$1,FALSE)</f>
        <v>#N/A</v>
      </c>
      <c r="C283" t="e">
        <f t="shared" ca="1" si="66"/>
        <v>#N/A</v>
      </c>
      <c r="D283" t="e">
        <f t="shared" ca="1" si="66"/>
        <v>#N/A</v>
      </c>
      <c r="E283" t="e">
        <f t="shared" ca="1" si="66"/>
        <v>#N/A</v>
      </c>
      <c r="F283" t="e">
        <f t="shared" ca="1" si="66"/>
        <v>#N/A</v>
      </c>
      <c r="G283" t="e">
        <f t="shared" ca="1" si="66"/>
        <v>#N/A</v>
      </c>
      <c r="H283" t="e">
        <f t="shared" ca="1" si="66"/>
        <v>#N/A</v>
      </c>
      <c r="I283" t="e">
        <f t="shared" ca="1" si="66"/>
        <v>#N/A</v>
      </c>
      <c r="J283" t="e">
        <f t="shared" ca="1" si="66"/>
        <v>#N/A</v>
      </c>
      <c r="K283" t="e">
        <f t="shared" ca="1" si="66"/>
        <v>#N/A</v>
      </c>
      <c r="L283" t="e">
        <f t="shared" ref="L283:R292" ca="1" si="67">VLOOKUP($A283,Funnel_Data,L$1,FALSE)</f>
        <v>#N/A</v>
      </c>
      <c r="M283" t="e">
        <f t="shared" ca="1" si="67"/>
        <v>#N/A</v>
      </c>
      <c r="N283" t="e">
        <f t="shared" ca="1" si="67"/>
        <v>#N/A</v>
      </c>
      <c r="O283" t="e">
        <f t="shared" ca="1" si="67"/>
        <v>#N/A</v>
      </c>
      <c r="P283" t="e">
        <f t="shared" ca="1" si="67"/>
        <v>#N/A</v>
      </c>
      <c r="Q283" t="e">
        <f t="shared" ca="1" si="67"/>
        <v>#N/A</v>
      </c>
      <c r="R283" t="e">
        <f t="shared" ca="1" si="67"/>
        <v>#N/A</v>
      </c>
      <c r="S283" t="e">
        <f t="shared" ca="1" si="60"/>
        <v>#N/A</v>
      </c>
      <c r="T283" t="e">
        <f t="shared" ca="1" si="61"/>
        <v>#N/A</v>
      </c>
      <c r="U283" t="e">
        <f ca="1">IF(AND($C283='Funnel setup'!$K$3&amp;'Funnel setup'!$K$5&amp;'Funnel setup'!$K$6&amp;'Funnel setup'!$K$4,'Funnel Lookup'!I283="*"),#N/A,IF(AND($C283='Funnel setup'!$K$3&amp;'Funnel setup'!$K$5&amp;'Funnel setup'!$K$6&amp;'Funnel setup'!$K$4,'Funnel Lookup'!I283&gt;29),'Funnel Lookup'!I283,#N/A))</f>
        <v>#N/A</v>
      </c>
      <c r="V283" t="e">
        <f ca="1">IF(AND($C283='Funnel setup'!$K$3&amp;'Funnel setup'!$K$5&amp;'Funnel setup'!$K$6&amp;'Funnel setup'!$K$4,'Funnel Lookup'!I283="*"),#N/A,IF(AND($C283='Funnel setup'!$K$3&amp;'Funnel setup'!$K$5&amp;'Funnel setup'!$K$6&amp;'Funnel setup'!$K$4,'Funnel Lookup'!I283&gt;29),'Funnel Lookup'!Q283,#N/A))</f>
        <v>#N/A</v>
      </c>
    </row>
    <row r="284" spans="1:22" x14ac:dyDescent="0.2">
      <c r="A284">
        <v>282</v>
      </c>
      <c r="B284" t="e">
        <f t="shared" ca="1" si="66"/>
        <v>#N/A</v>
      </c>
      <c r="C284" t="e">
        <f t="shared" ca="1" si="66"/>
        <v>#N/A</v>
      </c>
      <c r="D284" t="e">
        <f t="shared" ca="1" si="66"/>
        <v>#N/A</v>
      </c>
      <c r="E284" t="e">
        <f t="shared" ca="1" si="66"/>
        <v>#N/A</v>
      </c>
      <c r="F284" t="e">
        <f t="shared" ca="1" si="66"/>
        <v>#N/A</v>
      </c>
      <c r="G284" t="e">
        <f t="shared" ca="1" si="66"/>
        <v>#N/A</v>
      </c>
      <c r="H284" t="e">
        <f t="shared" ca="1" si="66"/>
        <v>#N/A</v>
      </c>
      <c r="I284" t="e">
        <f t="shared" ca="1" si="66"/>
        <v>#N/A</v>
      </c>
      <c r="J284" t="e">
        <f t="shared" ca="1" si="66"/>
        <v>#N/A</v>
      </c>
      <c r="K284" t="e">
        <f t="shared" ca="1" si="66"/>
        <v>#N/A</v>
      </c>
      <c r="L284" t="e">
        <f t="shared" ca="1" si="67"/>
        <v>#N/A</v>
      </c>
      <c r="M284" t="e">
        <f t="shared" ca="1" si="67"/>
        <v>#N/A</v>
      </c>
      <c r="N284" t="e">
        <f t="shared" ca="1" si="67"/>
        <v>#N/A</v>
      </c>
      <c r="O284" t="e">
        <f t="shared" ca="1" si="67"/>
        <v>#N/A</v>
      </c>
      <c r="P284" t="e">
        <f t="shared" ca="1" si="67"/>
        <v>#N/A</v>
      </c>
      <c r="Q284" t="e">
        <f t="shared" ca="1" si="67"/>
        <v>#N/A</v>
      </c>
      <c r="R284" t="e">
        <f t="shared" ca="1" si="67"/>
        <v>#N/A</v>
      </c>
      <c r="S284" t="e">
        <f t="shared" ca="1" si="60"/>
        <v>#N/A</v>
      </c>
      <c r="T284" t="e">
        <f t="shared" ca="1" si="61"/>
        <v>#N/A</v>
      </c>
      <c r="U284" t="e">
        <f ca="1">IF(AND($C284='Funnel setup'!$K$3&amp;'Funnel setup'!$K$5&amp;'Funnel setup'!$K$6&amp;'Funnel setup'!$K$4,'Funnel Lookup'!I284="*"),#N/A,IF(AND($C284='Funnel setup'!$K$3&amp;'Funnel setup'!$K$5&amp;'Funnel setup'!$K$6&amp;'Funnel setup'!$K$4,'Funnel Lookup'!I284&gt;29),'Funnel Lookup'!I284,#N/A))</f>
        <v>#N/A</v>
      </c>
      <c r="V284" t="e">
        <f ca="1">IF(AND($C284='Funnel setup'!$K$3&amp;'Funnel setup'!$K$5&amp;'Funnel setup'!$K$6&amp;'Funnel setup'!$K$4,'Funnel Lookup'!I284="*"),#N/A,IF(AND($C284='Funnel setup'!$K$3&amp;'Funnel setup'!$K$5&amp;'Funnel setup'!$K$6&amp;'Funnel setup'!$K$4,'Funnel Lookup'!I284&gt;29),'Funnel Lookup'!Q284,#N/A))</f>
        <v>#N/A</v>
      </c>
    </row>
    <row r="285" spans="1:22" x14ac:dyDescent="0.2">
      <c r="A285">
        <v>283</v>
      </c>
      <c r="B285" t="e">
        <f t="shared" ca="1" si="66"/>
        <v>#N/A</v>
      </c>
      <c r="C285" t="e">
        <f t="shared" ca="1" si="66"/>
        <v>#N/A</v>
      </c>
      <c r="D285" t="e">
        <f t="shared" ca="1" si="66"/>
        <v>#N/A</v>
      </c>
      <c r="E285" t="e">
        <f t="shared" ca="1" si="66"/>
        <v>#N/A</v>
      </c>
      <c r="F285" t="e">
        <f t="shared" ca="1" si="66"/>
        <v>#N/A</v>
      </c>
      <c r="G285" t="e">
        <f t="shared" ca="1" si="66"/>
        <v>#N/A</v>
      </c>
      <c r="H285" t="e">
        <f t="shared" ca="1" si="66"/>
        <v>#N/A</v>
      </c>
      <c r="I285" t="e">
        <f t="shared" ca="1" si="66"/>
        <v>#N/A</v>
      </c>
      <c r="J285" t="e">
        <f t="shared" ca="1" si="66"/>
        <v>#N/A</v>
      </c>
      <c r="K285" t="e">
        <f t="shared" ca="1" si="66"/>
        <v>#N/A</v>
      </c>
      <c r="L285" t="e">
        <f t="shared" ca="1" si="67"/>
        <v>#N/A</v>
      </c>
      <c r="M285" t="e">
        <f t="shared" ca="1" si="67"/>
        <v>#N/A</v>
      </c>
      <c r="N285" t="e">
        <f t="shared" ca="1" si="67"/>
        <v>#N/A</v>
      </c>
      <c r="O285" t="e">
        <f t="shared" ca="1" si="67"/>
        <v>#N/A</v>
      </c>
      <c r="P285" t="e">
        <f t="shared" ca="1" si="67"/>
        <v>#N/A</v>
      </c>
      <c r="Q285" t="e">
        <f t="shared" ca="1" si="67"/>
        <v>#N/A</v>
      </c>
      <c r="R285" t="e">
        <f t="shared" ca="1" si="67"/>
        <v>#N/A</v>
      </c>
      <c r="S285" t="e">
        <f t="shared" ca="1" si="60"/>
        <v>#N/A</v>
      </c>
      <c r="T285" t="e">
        <f t="shared" ca="1" si="61"/>
        <v>#N/A</v>
      </c>
      <c r="U285" t="e">
        <f ca="1">IF(AND($C285='Funnel setup'!$K$3&amp;'Funnel setup'!$K$5&amp;'Funnel setup'!$K$6&amp;'Funnel setup'!$K$4,'Funnel Lookup'!I285="*"),#N/A,IF(AND($C285='Funnel setup'!$K$3&amp;'Funnel setup'!$K$5&amp;'Funnel setup'!$K$6&amp;'Funnel setup'!$K$4,'Funnel Lookup'!I285&gt;29),'Funnel Lookup'!I285,#N/A))</f>
        <v>#N/A</v>
      </c>
      <c r="V285" t="e">
        <f ca="1">IF(AND($C285='Funnel setup'!$K$3&amp;'Funnel setup'!$K$5&amp;'Funnel setup'!$K$6&amp;'Funnel setup'!$K$4,'Funnel Lookup'!I285="*"),#N/A,IF(AND($C285='Funnel setup'!$K$3&amp;'Funnel setup'!$K$5&amp;'Funnel setup'!$K$6&amp;'Funnel setup'!$K$4,'Funnel Lookup'!I285&gt;29),'Funnel Lookup'!Q285,#N/A))</f>
        <v>#N/A</v>
      </c>
    </row>
    <row r="286" spans="1:22" x14ac:dyDescent="0.2">
      <c r="A286">
        <v>284</v>
      </c>
      <c r="B286" t="e">
        <f t="shared" ca="1" si="66"/>
        <v>#N/A</v>
      </c>
      <c r="C286" t="e">
        <f t="shared" ca="1" si="66"/>
        <v>#N/A</v>
      </c>
      <c r="D286" t="e">
        <f t="shared" ca="1" si="66"/>
        <v>#N/A</v>
      </c>
      <c r="E286" t="e">
        <f t="shared" ca="1" si="66"/>
        <v>#N/A</v>
      </c>
      <c r="F286" t="e">
        <f t="shared" ca="1" si="66"/>
        <v>#N/A</v>
      </c>
      <c r="G286" t="e">
        <f t="shared" ca="1" si="66"/>
        <v>#N/A</v>
      </c>
      <c r="H286" t="e">
        <f t="shared" ca="1" si="66"/>
        <v>#N/A</v>
      </c>
      <c r="I286" t="e">
        <f t="shared" ca="1" si="66"/>
        <v>#N/A</v>
      </c>
      <c r="J286" t="e">
        <f t="shared" ca="1" si="66"/>
        <v>#N/A</v>
      </c>
      <c r="K286" t="e">
        <f t="shared" ca="1" si="66"/>
        <v>#N/A</v>
      </c>
      <c r="L286" t="e">
        <f t="shared" ca="1" si="67"/>
        <v>#N/A</v>
      </c>
      <c r="M286" t="e">
        <f t="shared" ca="1" si="67"/>
        <v>#N/A</v>
      </c>
      <c r="N286" t="e">
        <f t="shared" ca="1" si="67"/>
        <v>#N/A</v>
      </c>
      <c r="O286" t="e">
        <f t="shared" ca="1" si="67"/>
        <v>#N/A</v>
      </c>
      <c r="P286" t="e">
        <f t="shared" ca="1" si="67"/>
        <v>#N/A</v>
      </c>
      <c r="Q286" t="e">
        <f t="shared" ca="1" si="67"/>
        <v>#N/A</v>
      </c>
      <c r="R286" t="e">
        <f t="shared" ca="1" si="67"/>
        <v>#N/A</v>
      </c>
      <c r="S286" t="e">
        <f t="shared" ca="1" si="60"/>
        <v>#N/A</v>
      </c>
      <c r="T286" t="e">
        <f t="shared" ca="1" si="61"/>
        <v>#N/A</v>
      </c>
      <c r="U286" t="e">
        <f ca="1">IF(AND($C286='Funnel setup'!$K$3&amp;'Funnel setup'!$K$5&amp;'Funnel setup'!$K$6&amp;'Funnel setup'!$K$4,'Funnel Lookup'!I286="*"),#N/A,IF(AND($C286='Funnel setup'!$K$3&amp;'Funnel setup'!$K$5&amp;'Funnel setup'!$K$6&amp;'Funnel setup'!$K$4,'Funnel Lookup'!I286&gt;29),'Funnel Lookup'!I286,#N/A))</f>
        <v>#N/A</v>
      </c>
      <c r="V286" t="e">
        <f ca="1">IF(AND($C286='Funnel setup'!$K$3&amp;'Funnel setup'!$K$5&amp;'Funnel setup'!$K$6&amp;'Funnel setup'!$K$4,'Funnel Lookup'!I286="*"),#N/A,IF(AND($C286='Funnel setup'!$K$3&amp;'Funnel setup'!$K$5&amp;'Funnel setup'!$K$6&amp;'Funnel setup'!$K$4,'Funnel Lookup'!I286&gt;29),'Funnel Lookup'!Q286,#N/A))</f>
        <v>#N/A</v>
      </c>
    </row>
    <row r="287" spans="1:22" x14ac:dyDescent="0.2">
      <c r="A287">
        <v>285</v>
      </c>
      <c r="B287" t="e">
        <f t="shared" ca="1" si="66"/>
        <v>#N/A</v>
      </c>
      <c r="C287" t="e">
        <f t="shared" ca="1" si="66"/>
        <v>#N/A</v>
      </c>
      <c r="D287" t="e">
        <f t="shared" ca="1" si="66"/>
        <v>#N/A</v>
      </c>
      <c r="E287" t="e">
        <f t="shared" ca="1" si="66"/>
        <v>#N/A</v>
      </c>
      <c r="F287" t="e">
        <f t="shared" ca="1" si="66"/>
        <v>#N/A</v>
      </c>
      <c r="G287" t="e">
        <f t="shared" ca="1" si="66"/>
        <v>#N/A</v>
      </c>
      <c r="H287" t="e">
        <f t="shared" ca="1" si="66"/>
        <v>#N/A</v>
      </c>
      <c r="I287" t="e">
        <f t="shared" ca="1" si="66"/>
        <v>#N/A</v>
      </c>
      <c r="J287" t="e">
        <f t="shared" ca="1" si="66"/>
        <v>#N/A</v>
      </c>
      <c r="K287" t="e">
        <f t="shared" ca="1" si="66"/>
        <v>#N/A</v>
      </c>
      <c r="L287" t="e">
        <f t="shared" ca="1" si="67"/>
        <v>#N/A</v>
      </c>
      <c r="M287" t="e">
        <f t="shared" ca="1" si="67"/>
        <v>#N/A</v>
      </c>
      <c r="N287" t="e">
        <f t="shared" ca="1" si="67"/>
        <v>#N/A</v>
      </c>
      <c r="O287" t="e">
        <f t="shared" ca="1" si="67"/>
        <v>#N/A</v>
      </c>
      <c r="P287" t="e">
        <f t="shared" ca="1" si="67"/>
        <v>#N/A</v>
      </c>
      <c r="Q287" t="e">
        <f t="shared" ca="1" si="67"/>
        <v>#N/A</v>
      </c>
      <c r="R287" t="e">
        <f t="shared" ca="1" si="67"/>
        <v>#N/A</v>
      </c>
      <c r="S287" t="e">
        <f t="shared" ca="1" si="60"/>
        <v>#N/A</v>
      </c>
      <c r="T287" t="e">
        <f t="shared" ca="1" si="61"/>
        <v>#N/A</v>
      </c>
      <c r="U287" t="e">
        <f ca="1">IF(AND($C287='Funnel setup'!$K$3&amp;'Funnel setup'!$K$5&amp;'Funnel setup'!$K$6&amp;'Funnel setup'!$K$4,'Funnel Lookup'!I287="*"),#N/A,IF(AND($C287='Funnel setup'!$K$3&amp;'Funnel setup'!$K$5&amp;'Funnel setup'!$K$6&amp;'Funnel setup'!$K$4,'Funnel Lookup'!I287&gt;29),'Funnel Lookup'!I287,#N/A))</f>
        <v>#N/A</v>
      </c>
      <c r="V287" t="e">
        <f ca="1">IF(AND($C287='Funnel setup'!$K$3&amp;'Funnel setup'!$K$5&amp;'Funnel setup'!$K$6&amp;'Funnel setup'!$K$4,'Funnel Lookup'!I287="*"),#N/A,IF(AND($C287='Funnel setup'!$K$3&amp;'Funnel setup'!$K$5&amp;'Funnel setup'!$K$6&amp;'Funnel setup'!$K$4,'Funnel Lookup'!I287&gt;29),'Funnel Lookup'!Q287,#N/A))</f>
        <v>#N/A</v>
      </c>
    </row>
    <row r="288" spans="1:22" x14ac:dyDescent="0.2">
      <c r="A288">
        <v>286</v>
      </c>
      <c r="B288" t="e">
        <f t="shared" ca="1" si="66"/>
        <v>#N/A</v>
      </c>
      <c r="C288" t="e">
        <f t="shared" ca="1" si="66"/>
        <v>#N/A</v>
      </c>
      <c r="D288" t="e">
        <f t="shared" ca="1" si="66"/>
        <v>#N/A</v>
      </c>
      <c r="E288" t="e">
        <f t="shared" ca="1" si="66"/>
        <v>#N/A</v>
      </c>
      <c r="F288" t="e">
        <f t="shared" ca="1" si="66"/>
        <v>#N/A</v>
      </c>
      <c r="G288" t="e">
        <f t="shared" ca="1" si="66"/>
        <v>#N/A</v>
      </c>
      <c r="H288" t="e">
        <f t="shared" ca="1" si="66"/>
        <v>#N/A</v>
      </c>
      <c r="I288" t="e">
        <f t="shared" ca="1" si="66"/>
        <v>#N/A</v>
      </c>
      <c r="J288" t="e">
        <f t="shared" ca="1" si="66"/>
        <v>#N/A</v>
      </c>
      <c r="K288" t="e">
        <f t="shared" ca="1" si="66"/>
        <v>#N/A</v>
      </c>
      <c r="L288" t="e">
        <f t="shared" ca="1" si="67"/>
        <v>#N/A</v>
      </c>
      <c r="M288" t="e">
        <f t="shared" ca="1" si="67"/>
        <v>#N/A</v>
      </c>
      <c r="N288" t="e">
        <f t="shared" ca="1" si="67"/>
        <v>#N/A</v>
      </c>
      <c r="O288" t="e">
        <f t="shared" ca="1" si="67"/>
        <v>#N/A</v>
      </c>
      <c r="P288" t="e">
        <f t="shared" ca="1" si="67"/>
        <v>#N/A</v>
      </c>
      <c r="Q288" t="e">
        <f t="shared" ca="1" si="67"/>
        <v>#N/A</v>
      </c>
      <c r="R288" t="e">
        <f t="shared" ca="1" si="67"/>
        <v>#N/A</v>
      </c>
      <c r="S288" t="e">
        <f t="shared" ca="1" si="60"/>
        <v>#N/A</v>
      </c>
      <c r="T288" t="e">
        <f t="shared" ca="1" si="61"/>
        <v>#N/A</v>
      </c>
      <c r="U288" t="e">
        <f ca="1">IF(AND($C288='Funnel setup'!$K$3&amp;'Funnel setup'!$K$5&amp;'Funnel setup'!$K$6&amp;'Funnel setup'!$K$4,'Funnel Lookup'!I288="*"),#N/A,IF(AND($C288='Funnel setup'!$K$3&amp;'Funnel setup'!$K$5&amp;'Funnel setup'!$K$6&amp;'Funnel setup'!$K$4,'Funnel Lookup'!I288&gt;29),'Funnel Lookup'!I288,#N/A))</f>
        <v>#N/A</v>
      </c>
      <c r="V288" t="e">
        <f ca="1">IF(AND($C288='Funnel setup'!$K$3&amp;'Funnel setup'!$K$5&amp;'Funnel setup'!$K$6&amp;'Funnel setup'!$K$4,'Funnel Lookup'!I288="*"),#N/A,IF(AND($C288='Funnel setup'!$K$3&amp;'Funnel setup'!$K$5&amp;'Funnel setup'!$K$6&amp;'Funnel setup'!$K$4,'Funnel Lookup'!I288&gt;29),'Funnel Lookup'!Q288,#N/A))</f>
        <v>#N/A</v>
      </c>
    </row>
    <row r="289" spans="1:22" x14ac:dyDescent="0.2">
      <c r="A289">
        <v>287</v>
      </c>
      <c r="B289" t="e">
        <f t="shared" ca="1" si="66"/>
        <v>#N/A</v>
      </c>
      <c r="C289" t="e">
        <f t="shared" ca="1" si="66"/>
        <v>#N/A</v>
      </c>
      <c r="D289" t="e">
        <f t="shared" ca="1" si="66"/>
        <v>#N/A</v>
      </c>
      <c r="E289" t="e">
        <f t="shared" ca="1" si="66"/>
        <v>#N/A</v>
      </c>
      <c r="F289" t="e">
        <f t="shared" ca="1" si="66"/>
        <v>#N/A</v>
      </c>
      <c r="G289" t="e">
        <f t="shared" ca="1" si="66"/>
        <v>#N/A</v>
      </c>
      <c r="H289" t="e">
        <f t="shared" ca="1" si="66"/>
        <v>#N/A</v>
      </c>
      <c r="I289" t="e">
        <f t="shared" ca="1" si="66"/>
        <v>#N/A</v>
      </c>
      <c r="J289" t="e">
        <f t="shared" ca="1" si="66"/>
        <v>#N/A</v>
      </c>
      <c r="K289" t="e">
        <f t="shared" ca="1" si="66"/>
        <v>#N/A</v>
      </c>
      <c r="L289" t="e">
        <f t="shared" ca="1" si="67"/>
        <v>#N/A</v>
      </c>
      <c r="M289" t="e">
        <f t="shared" ca="1" si="67"/>
        <v>#N/A</v>
      </c>
      <c r="N289" t="e">
        <f t="shared" ca="1" si="67"/>
        <v>#N/A</v>
      </c>
      <c r="O289" t="e">
        <f t="shared" ca="1" si="67"/>
        <v>#N/A</v>
      </c>
      <c r="P289" t="e">
        <f t="shared" ca="1" si="67"/>
        <v>#N/A</v>
      </c>
      <c r="Q289" t="e">
        <f t="shared" ca="1" si="67"/>
        <v>#N/A</v>
      </c>
      <c r="R289" t="e">
        <f t="shared" ca="1" si="67"/>
        <v>#N/A</v>
      </c>
      <c r="S289" t="e">
        <f t="shared" ca="1" si="60"/>
        <v>#N/A</v>
      </c>
      <c r="T289" t="e">
        <f t="shared" ca="1" si="61"/>
        <v>#N/A</v>
      </c>
      <c r="U289" t="e">
        <f ca="1">IF(AND($C289='Funnel setup'!$K$3&amp;'Funnel setup'!$K$5&amp;'Funnel setup'!$K$6&amp;'Funnel setup'!$K$4,'Funnel Lookup'!I289="*"),#N/A,IF(AND($C289='Funnel setup'!$K$3&amp;'Funnel setup'!$K$5&amp;'Funnel setup'!$K$6&amp;'Funnel setup'!$K$4,'Funnel Lookup'!I289&gt;29),'Funnel Lookup'!I289,#N/A))</f>
        <v>#N/A</v>
      </c>
      <c r="V289" t="e">
        <f ca="1">IF(AND($C289='Funnel setup'!$K$3&amp;'Funnel setup'!$K$5&amp;'Funnel setup'!$K$6&amp;'Funnel setup'!$K$4,'Funnel Lookup'!I289="*"),#N/A,IF(AND($C289='Funnel setup'!$K$3&amp;'Funnel setup'!$K$5&amp;'Funnel setup'!$K$6&amp;'Funnel setup'!$K$4,'Funnel Lookup'!I289&gt;29),'Funnel Lookup'!Q289,#N/A))</f>
        <v>#N/A</v>
      </c>
    </row>
    <row r="290" spans="1:22" x14ac:dyDescent="0.2">
      <c r="A290">
        <v>288</v>
      </c>
      <c r="B290" t="e">
        <f t="shared" ca="1" si="66"/>
        <v>#N/A</v>
      </c>
      <c r="C290" t="e">
        <f t="shared" ca="1" si="66"/>
        <v>#N/A</v>
      </c>
      <c r="D290" t="e">
        <f t="shared" ca="1" si="66"/>
        <v>#N/A</v>
      </c>
      <c r="E290" t="e">
        <f t="shared" ca="1" si="66"/>
        <v>#N/A</v>
      </c>
      <c r="F290" t="e">
        <f t="shared" ca="1" si="66"/>
        <v>#N/A</v>
      </c>
      <c r="G290" t="e">
        <f t="shared" ca="1" si="66"/>
        <v>#N/A</v>
      </c>
      <c r="H290" t="e">
        <f t="shared" ca="1" si="66"/>
        <v>#N/A</v>
      </c>
      <c r="I290" t="e">
        <f t="shared" ca="1" si="66"/>
        <v>#N/A</v>
      </c>
      <c r="J290" t="e">
        <f t="shared" ca="1" si="66"/>
        <v>#N/A</v>
      </c>
      <c r="K290" t="e">
        <f t="shared" ca="1" si="66"/>
        <v>#N/A</v>
      </c>
      <c r="L290" t="e">
        <f t="shared" ca="1" si="67"/>
        <v>#N/A</v>
      </c>
      <c r="M290" t="e">
        <f t="shared" ca="1" si="67"/>
        <v>#N/A</v>
      </c>
      <c r="N290" t="e">
        <f t="shared" ca="1" si="67"/>
        <v>#N/A</v>
      </c>
      <c r="O290" t="e">
        <f t="shared" ca="1" si="67"/>
        <v>#N/A</v>
      </c>
      <c r="P290" t="e">
        <f t="shared" ca="1" si="67"/>
        <v>#N/A</v>
      </c>
      <c r="Q290" t="e">
        <f t="shared" ca="1" si="67"/>
        <v>#N/A</v>
      </c>
      <c r="R290" t="e">
        <f t="shared" ca="1" si="67"/>
        <v>#N/A</v>
      </c>
      <c r="S290" t="e">
        <f t="shared" ca="1" si="60"/>
        <v>#N/A</v>
      </c>
      <c r="T290" t="e">
        <f t="shared" ca="1" si="61"/>
        <v>#N/A</v>
      </c>
      <c r="U290" t="e">
        <f ca="1">IF(AND($C290='Funnel setup'!$K$3&amp;'Funnel setup'!$K$5&amp;'Funnel setup'!$K$6&amp;'Funnel setup'!$K$4,'Funnel Lookup'!I290="*"),#N/A,IF(AND($C290='Funnel setup'!$K$3&amp;'Funnel setup'!$K$5&amp;'Funnel setup'!$K$6&amp;'Funnel setup'!$K$4,'Funnel Lookup'!I290&gt;29),'Funnel Lookup'!I290,#N/A))</f>
        <v>#N/A</v>
      </c>
      <c r="V290" t="e">
        <f ca="1">IF(AND($C290='Funnel setup'!$K$3&amp;'Funnel setup'!$K$5&amp;'Funnel setup'!$K$6&amp;'Funnel setup'!$K$4,'Funnel Lookup'!I290="*"),#N/A,IF(AND($C290='Funnel setup'!$K$3&amp;'Funnel setup'!$K$5&amp;'Funnel setup'!$K$6&amp;'Funnel setup'!$K$4,'Funnel Lookup'!I290&gt;29),'Funnel Lookup'!Q290,#N/A))</f>
        <v>#N/A</v>
      </c>
    </row>
    <row r="291" spans="1:22" x14ac:dyDescent="0.2">
      <c r="A291">
        <v>289</v>
      </c>
      <c r="B291" t="e">
        <f t="shared" ca="1" si="66"/>
        <v>#N/A</v>
      </c>
      <c r="C291" t="e">
        <f t="shared" ca="1" si="66"/>
        <v>#N/A</v>
      </c>
      <c r="D291" t="e">
        <f t="shared" ca="1" si="66"/>
        <v>#N/A</v>
      </c>
      <c r="E291" t="e">
        <f t="shared" ca="1" si="66"/>
        <v>#N/A</v>
      </c>
      <c r="F291" t="e">
        <f t="shared" ca="1" si="66"/>
        <v>#N/A</v>
      </c>
      <c r="G291" t="e">
        <f t="shared" ca="1" si="66"/>
        <v>#N/A</v>
      </c>
      <c r="H291" t="e">
        <f t="shared" ca="1" si="66"/>
        <v>#N/A</v>
      </c>
      <c r="I291" t="e">
        <f t="shared" ca="1" si="66"/>
        <v>#N/A</v>
      </c>
      <c r="J291" t="e">
        <f t="shared" ca="1" si="66"/>
        <v>#N/A</v>
      </c>
      <c r="K291" t="e">
        <f t="shared" ca="1" si="66"/>
        <v>#N/A</v>
      </c>
      <c r="L291" t="e">
        <f t="shared" ca="1" si="67"/>
        <v>#N/A</v>
      </c>
      <c r="M291" t="e">
        <f t="shared" ca="1" si="67"/>
        <v>#N/A</v>
      </c>
      <c r="N291" t="e">
        <f t="shared" ca="1" si="67"/>
        <v>#N/A</v>
      </c>
      <c r="O291" t="e">
        <f t="shared" ca="1" si="67"/>
        <v>#N/A</v>
      </c>
      <c r="P291" t="e">
        <f t="shared" ca="1" si="67"/>
        <v>#N/A</v>
      </c>
      <c r="Q291" t="e">
        <f t="shared" ca="1" si="67"/>
        <v>#N/A</v>
      </c>
      <c r="R291" t="e">
        <f t="shared" ca="1" si="67"/>
        <v>#N/A</v>
      </c>
      <c r="S291" t="e">
        <f t="shared" ca="1" si="60"/>
        <v>#N/A</v>
      </c>
      <c r="T291" t="e">
        <f t="shared" ca="1" si="61"/>
        <v>#N/A</v>
      </c>
      <c r="U291" t="e">
        <f ca="1">IF(AND($C291='Funnel setup'!$K$3&amp;'Funnel setup'!$K$5&amp;'Funnel setup'!$K$6&amp;'Funnel setup'!$K$4,'Funnel Lookup'!I291="*"),#N/A,IF(AND($C291='Funnel setup'!$K$3&amp;'Funnel setup'!$K$5&amp;'Funnel setup'!$K$6&amp;'Funnel setup'!$K$4,'Funnel Lookup'!I291&gt;29),'Funnel Lookup'!I291,#N/A))</f>
        <v>#N/A</v>
      </c>
      <c r="V291" t="e">
        <f ca="1">IF(AND($C291='Funnel setup'!$K$3&amp;'Funnel setup'!$K$5&amp;'Funnel setup'!$K$6&amp;'Funnel setup'!$K$4,'Funnel Lookup'!I291="*"),#N/A,IF(AND($C291='Funnel setup'!$K$3&amp;'Funnel setup'!$K$5&amp;'Funnel setup'!$K$6&amp;'Funnel setup'!$K$4,'Funnel Lookup'!I291&gt;29),'Funnel Lookup'!Q291,#N/A))</f>
        <v>#N/A</v>
      </c>
    </row>
    <row r="292" spans="1:22" x14ac:dyDescent="0.2">
      <c r="A292">
        <v>290</v>
      </c>
      <c r="B292" t="e">
        <f t="shared" ca="1" si="66"/>
        <v>#N/A</v>
      </c>
      <c r="C292" t="e">
        <f t="shared" ca="1" si="66"/>
        <v>#N/A</v>
      </c>
      <c r="D292" t="e">
        <f t="shared" ca="1" si="66"/>
        <v>#N/A</v>
      </c>
      <c r="E292" t="e">
        <f t="shared" ca="1" si="66"/>
        <v>#N/A</v>
      </c>
      <c r="F292" t="e">
        <f t="shared" ca="1" si="66"/>
        <v>#N/A</v>
      </c>
      <c r="G292" t="e">
        <f t="shared" ca="1" si="66"/>
        <v>#N/A</v>
      </c>
      <c r="H292" t="e">
        <f t="shared" ca="1" si="66"/>
        <v>#N/A</v>
      </c>
      <c r="I292" t="e">
        <f t="shared" ca="1" si="66"/>
        <v>#N/A</v>
      </c>
      <c r="J292" t="e">
        <f t="shared" ca="1" si="66"/>
        <v>#N/A</v>
      </c>
      <c r="K292" t="e">
        <f t="shared" ca="1" si="66"/>
        <v>#N/A</v>
      </c>
      <c r="L292" t="e">
        <f t="shared" ca="1" si="67"/>
        <v>#N/A</v>
      </c>
      <c r="M292" t="e">
        <f t="shared" ca="1" si="67"/>
        <v>#N/A</v>
      </c>
      <c r="N292" t="e">
        <f t="shared" ca="1" si="67"/>
        <v>#N/A</v>
      </c>
      <c r="O292" t="e">
        <f t="shared" ca="1" si="67"/>
        <v>#N/A</v>
      </c>
      <c r="P292" t="e">
        <f t="shared" ca="1" si="67"/>
        <v>#N/A</v>
      </c>
      <c r="Q292" t="e">
        <f t="shared" ca="1" si="67"/>
        <v>#N/A</v>
      </c>
      <c r="R292" t="e">
        <f t="shared" ca="1" si="67"/>
        <v>#N/A</v>
      </c>
      <c r="S292" t="e">
        <f t="shared" ca="1" si="60"/>
        <v>#N/A</v>
      </c>
      <c r="T292" t="e">
        <f t="shared" ca="1" si="61"/>
        <v>#N/A</v>
      </c>
      <c r="U292" t="e">
        <f ca="1">IF(AND($C292='Funnel setup'!$K$3&amp;'Funnel setup'!$K$5&amp;'Funnel setup'!$K$6&amp;'Funnel setup'!$K$4,'Funnel Lookup'!I292="*"),#N/A,IF(AND($C292='Funnel setup'!$K$3&amp;'Funnel setup'!$K$5&amp;'Funnel setup'!$K$6&amp;'Funnel setup'!$K$4,'Funnel Lookup'!I292&gt;29),'Funnel Lookup'!I292,#N/A))</f>
        <v>#N/A</v>
      </c>
      <c r="V292" t="e">
        <f ca="1">IF(AND($C292='Funnel setup'!$K$3&amp;'Funnel setup'!$K$5&amp;'Funnel setup'!$K$6&amp;'Funnel setup'!$K$4,'Funnel Lookup'!I292="*"),#N/A,IF(AND($C292='Funnel setup'!$K$3&amp;'Funnel setup'!$K$5&amp;'Funnel setup'!$K$6&amp;'Funnel setup'!$K$4,'Funnel Lookup'!I292&gt;29),'Funnel Lookup'!Q292,#N/A))</f>
        <v>#N/A</v>
      </c>
    </row>
    <row r="293" spans="1:22" x14ac:dyDescent="0.2">
      <c r="A293">
        <v>291</v>
      </c>
      <c r="B293" t="e">
        <f t="shared" ref="B293:K302" ca="1" si="68">VLOOKUP($A293,Funnel_Data,B$1,FALSE)</f>
        <v>#N/A</v>
      </c>
      <c r="C293" t="e">
        <f t="shared" ca="1" si="68"/>
        <v>#N/A</v>
      </c>
      <c r="D293" t="e">
        <f t="shared" ca="1" si="68"/>
        <v>#N/A</v>
      </c>
      <c r="E293" t="e">
        <f t="shared" ca="1" si="68"/>
        <v>#N/A</v>
      </c>
      <c r="F293" t="e">
        <f t="shared" ca="1" si="68"/>
        <v>#N/A</v>
      </c>
      <c r="G293" t="e">
        <f t="shared" ca="1" si="68"/>
        <v>#N/A</v>
      </c>
      <c r="H293" t="e">
        <f t="shared" ca="1" si="68"/>
        <v>#N/A</v>
      </c>
      <c r="I293" t="e">
        <f t="shared" ca="1" si="68"/>
        <v>#N/A</v>
      </c>
      <c r="J293" t="e">
        <f t="shared" ca="1" si="68"/>
        <v>#N/A</v>
      </c>
      <c r="K293" t="e">
        <f t="shared" ca="1" si="68"/>
        <v>#N/A</v>
      </c>
      <c r="L293" t="e">
        <f t="shared" ref="L293:R302" ca="1" si="69">VLOOKUP($A293,Funnel_Data,L$1,FALSE)</f>
        <v>#N/A</v>
      </c>
      <c r="M293" t="e">
        <f t="shared" ca="1" si="69"/>
        <v>#N/A</v>
      </c>
      <c r="N293" t="e">
        <f t="shared" ca="1" si="69"/>
        <v>#N/A</v>
      </c>
      <c r="O293" t="e">
        <f t="shared" ca="1" si="69"/>
        <v>#N/A</v>
      </c>
      <c r="P293" t="e">
        <f t="shared" ca="1" si="69"/>
        <v>#N/A</v>
      </c>
      <c r="Q293" t="e">
        <f t="shared" ca="1" si="69"/>
        <v>#N/A</v>
      </c>
      <c r="R293" t="e">
        <f t="shared" ca="1" si="69"/>
        <v>#N/A</v>
      </c>
      <c r="S293" t="e">
        <f t="shared" ca="1" si="60"/>
        <v>#N/A</v>
      </c>
      <c r="T293" t="e">
        <f t="shared" ca="1" si="61"/>
        <v>#N/A</v>
      </c>
      <c r="U293" t="e">
        <f ca="1">IF(AND($C293='Funnel setup'!$K$3&amp;'Funnel setup'!$K$5&amp;'Funnel setup'!$K$6&amp;'Funnel setup'!$K$4,'Funnel Lookup'!I293="*"),#N/A,IF(AND($C293='Funnel setup'!$K$3&amp;'Funnel setup'!$K$5&amp;'Funnel setup'!$K$6&amp;'Funnel setup'!$K$4,'Funnel Lookup'!I293&gt;29),'Funnel Lookup'!I293,#N/A))</f>
        <v>#N/A</v>
      </c>
      <c r="V293" t="e">
        <f ca="1">IF(AND($C293='Funnel setup'!$K$3&amp;'Funnel setup'!$K$5&amp;'Funnel setup'!$K$6&amp;'Funnel setup'!$K$4,'Funnel Lookup'!I293="*"),#N/A,IF(AND($C293='Funnel setup'!$K$3&amp;'Funnel setup'!$K$5&amp;'Funnel setup'!$K$6&amp;'Funnel setup'!$K$4,'Funnel Lookup'!I293&gt;29),'Funnel Lookup'!Q293,#N/A))</f>
        <v>#N/A</v>
      </c>
    </row>
    <row r="294" spans="1:22" x14ac:dyDescent="0.2">
      <c r="A294">
        <v>292</v>
      </c>
      <c r="B294" t="e">
        <f t="shared" ca="1" si="68"/>
        <v>#N/A</v>
      </c>
      <c r="C294" t="e">
        <f t="shared" ca="1" si="68"/>
        <v>#N/A</v>
      </c>
      <c r="D294" t="e">
        <f t="shared" ca="1" si="68"/>
        <v>#N/A</v>
      </c>
      <c r="E294" t="e">
        <f t="shared" ca="1" si="68"/>
        <v>#N/A</v>
      </c>
      <c r="F294" t="e">
        <f t="shared" ca="1" si="68"/>
        <v>#N/A</v>
      </c>
      <c r="G294" t="e">
        <f t="shared" ca="1" si="68"/>
        <v>#N/A</v>
      </c>
      <c r="H294" t="e">
        <f t="shared" ca="1" si="68"/>
        <v>#N/A</v>
      </c>
      <c r="I294" t="e">
        <f t="shared" ca="1" si="68"/>
        <v>#N/A</v>
      </c>
      <c r="J294" t="e">
        <f t="shared" ca="1" si="68"/>
        <v>#N/A</v>
      </c>
      <c r="K294" t="e">
        <f t="shared" ca="1" si="68"/>
        <v>#N/A</v>
      </c>
      <c r="L294" t="e">
        <f t="shared" ca="1" si="69"/>
        <v>#N/A</v>
      </c>
      <c r="M294" t="e">
        <f t="shared" ca="1" si="69"/>
        <v>#N/A</v>
      </c>
      <c r="N294" t="e">
        <f t="shared" ca="1" si="69"/>
        <v>#N/A</v>
      </c>
      <c r="O294" t="e">
        <f t="shared" ca="1" si="69"/>
        <v>#N/A</v>
      </c>
      <c r="P294" t="e">
        <f t="shared" ca="1" si="69"/>
        <v>#N/A</v>
      </c>
      <c r="Q294" t="e">
        <f t="shared" ca="1" si="69"/>
        <v>#N/A</v>
      </c>
      <c r="R294" t="e">
        <f t="shared" ca="1" si="69"/>
        <v>#N/A</v>
      </c>
      <c r="S294" t="e">
        <f t="shared" ca="1" si="60"/>
        <v>#N/A</v>
      </c>
      <c r="T294" t="e">
        <f t="shared" ca="1" si="61"/>
        <v>#N/A</v>
      </c>
      <c r="U294" t="e">
        <f ca="1">IF(AND($C294='Funnel setup'!$K$3&amp;'Funnel setup'!$K$5&amp;'Funnel setup'!$K$6&amp;'Funnel setup'!$K$4,'Funnel Lookup'!I294="*"),#N/A,IF(AND($C294='Funnel setup'!$K$3&amp;'Funnel setup'!$K$5&amp;'Funnel setup'!$K$6&amp;'Funnel setup'!$K$4,'Funnel Lookup'!I294&gt;29),'Funnel Lookup'!I294,#N/A))</f>
        <v>#N/A</v>
      </c>
      <c r="V294" t="e">
        <f ca="1">IF(AND($C294='Funnel setup'!$K$3&amp;'Funnel setup'!$K$5&amp;'Funnel setup'!$K$6&amp;'Funnel setup'!$K$4,'Funnel Lookup'!I294="*"),#N/A,IF(AND($C294='Funnel setup'!$K$3&amp;'Funnel setup'!$K$5&amp;'Funnel setup'!$K$6&amp;'Funnel setup'!$K$4,'Funnel Lookup'!I294&gt;29),'Funnel Lookup'!Q294,#N/A))</f>
        <v>#N/A</v>
      </c>
    </row>
    <row r="295" spans="1:22" x14ac:dyDescent="0.2">
      <c r="A295">
        <v>293</v>
      </c>
      <c r="B295" t="e">
        <f t="shared" ca="1" si="68"/>
        <v>#N/A</v>
      </c>
      <c r="C295" t="e">
        <f t="shared" ca="1" si="68"/>
        <v>#N/A</v>
      </c>
      <c r="D295" t="e">
        <f t="shared" ca="1" si="68"/>
        <v>#N/A</v>
      </c>
      <c r="E295" t="e">
        <f t="shared" ca="1" si="68"/>
        <v>#N/A</v>
      </c>
      <c r="F295" t="e">
        <f t="shared" ca="1" si="68"/>
        <v>#N/A</v>
      </c>
      <c r="G295" t="e">
        <f t="shared" ca="1" si="68"/>
        <v>#N/A</v>
      </c>
      <c r="H295" t="e">
        <f t="shared" ca="1" si="68"/>
        <v>#N/A</v>
      </c>
      <c r="I295" t="e">
        <f t="shared" ca="1" si="68"/>
        <v>#N/A</v>
      </c>
      <c r="J295" t="e">
        <f t="shared" ca="1" si="68"/>
        <v>#N/A</v>
      </c>
      <c r="K295" t="e">
        <f t="shared" ca="1" si="68"/>
        <v>#N/A</v>
      </c>
      <c r="L295" t="e">
        <f t="shared" ca="1" si="69"/>
        <v>#N/A</v>
      </c>
      <c r="M295" t="e">
        <f t="shared" ca="1" si="69"/>
        <v>#N/A</v>
      </c>
      <c r="N295" t="e">
        <f t="shared" ca="1" si="69"/>
        <v>#N/A</v>
      </c>
      <c r="O295" t="e">
        <f t="shared" ca="1" si="69"/>
        <v>#N/A</v>
      </c>
      <c r="P295" t="e">
        <f t="shared" ca="1" si="69"/>
        <v>#N/A</v>
      </c>
      <c r="Q295" t="e">
        <f t="shared" ca="1" si="69"/>
        <v>#N/A</v>
      </c>
      <c r="R295" t="e">
        <f t="shared" ca="1" si="69"/>
        <v>#N/A</v>
      </c>
      <c r="S295" t="e">
        <f t="shared" ca="1" si="60"/>
        <v>#N/A</v>
      </c>
      <c r="T295" t="e">
        <f t="shared" ca="1" si="61"/>
        <v>#N/A</v>
      </c>
      <c r="U295" t="e">
        <f ca="1">IF(AND($C295='Funnel setup'!$K$3&amp;'Funnel setup'!$K$5&amp;'Funnel setup'!$K$6&amp;'Funnel setup'!$K$4,'Funnel Lookup'!I295="*"),#N/A,IF(AND($C295='Funnel setup'!$K$3&amp;'Funnel setup'!$K$5&amp;'Funnel setup'!$K$6&amp;'Funnel setup'!$K$4,'Funnel Lookup'!I295&gt;29),'Funnel Lookup'!I295,#N/A))</f>
        <v>#N/A</v>
      </c>
      <c r="V295" t="e">
        <f ca="1">IF(AND($C295='Funnel setup'!$K$3&amp;'Funnel setup'!$K$5&amp;'Funnel setup'!$K$6&amp;'Funnel setup'!$K$4,'Funnel Lookup'!I295="*"),#N/A,IF(AND($C295='Funnel setup'!$K$3&amp;'Funnel setup'!$K$5&amp;'Funnel setup'!$K$6&amp;'Funnel setup'!$K$4,'Funnel Lookup'!I295&gt;29),'Funnel Lookup'!Q295,#N/A))</f>
        <v>#N/A</v>
      </c>
    </row>
    <row r="296" spans="1:22" x14ac:dyDescent="0.2">
      <c r="A296">
        <v>294</v>
      </c>
      <c r="B296" t="e">
        <f t="shared" ca="1" si="68"/>
        <v>#N/A</v>
      </c>
      <c r="C296" t="e">
        <f t="shared" ca="1" si="68"/>
        <v>#N/A</v>
      </c>
      <c r="D296" t="e">
        <f t="shared" ca="1" si="68"/>
        <v>#N/A</v>
      </c>
      <c r="E296" t="e">
        <f t="shared" ca="1" si="68"/>
        <v>#N/A</v>
      </c>
      <c r="F296" t="e">
        <f t="shared" ca="1" si="68"/>
        <v>#N/A</v>
      </c>
      <c r="G296" t="e">
        <f t="shared" ca="1" si="68"/>
        <v>#N/A</v>
      </c>
      <c r="H296" t="e">
        <f t="shared" ca="1" si="68"/>
        <v>#N/A</v>
      </c>
      <c r="I296" t="e">
        <f t="shared" ca="1" si="68"/>
        <v>#N/A</v>
      </c>
      <c r="J296" t="e">
        <f t="shared" ca="1" si="68"/>
        <v>#N/A</v>
      </c>
      <c r="K296" t="e">
        <f t="shared" ca="1" si="68"/>
        <v>#N/A</v>
      </c>
      <c r="L296" t="e">
        <f t="shared" ca="1" si="69"/>
        <v>#N/A</v>
      </c>
      <c r="M296" t="e">
        <f t="shared" ca="1" si="69"/>
        <v>#N/A</v>
      </c>
      <c r="N296" t="e">
        <f t="shared" ca="1" si="69"/>
        <v>#N/A</v>
      </c>
      <c r="O296" t="e">
        <f t="shared" ca="1" si="69"/>
        <v>#N/A</v>
      </c>
      <c r="P296" t="e">
        <f t="shared" ca="1" si="69"/>
        <v>#N/A</v>
      </c>
      <c r="Q296" t="e">
        <f t="shared" ca="1" si="69"/>
        <v>#N/A</v>
      </c>
      <c r="R296" t="e">
        <f t="shared" ca="1" si="69"/>
        <v>#N/A</v>
      </c>
      <c r="S296" t="e">
        <f t="shared" ca="1" si="60"/>
        <v>#N/A</v>
      </c>
      <c r="T296" t="e">
        <f t="shared" ca="1" si="61"/>
        <v>#N/A</v>
      </c>
      <c r="U296" t="e">
        <f ca="1">IF(AND($C296='Funnel setup'!$K$3&amp;'Funnel setup'!$K$5&amp;'Funnel setup'!$K$6&amp;'Funnel setup'!$K$4,'Funnel Lookup'!I296="*"),#N/A,IF(AND($C296='Funnel setup'!$K$3&amp;'Funnel setup'!$K$5&amp;'Funnel setup'!$K$6&amp;'Funnel setup'!$K$4,'Funnel Lookup'!I296&gt;29),'Funnel Lookup'!I296,#N/A))</f>
        <v>#N/A</v>
      </c>
      <c r="V296" t="e">
        <f ca="1">IF(AND($C296='Funnel setup'!$K$3&amp;'Funnel setup'!$K$5&amp;'Funnel setup'!$K$6&amp;'Funnel setup'!$K$4,'Funnel Lookup'!I296="*"),#N/A,IF(AND($C296='Funnel setup'!$K$3&amp;'Funnel setup'!$K$5&amp;'Funnel setup'!$K$6&amp;'Funnel setup'!$K$4,'Funnel Lookup'!I296&gt;29),'Funnel Lookup'!Q296,#N/A))</f>
        <v>#N/A</v>
      </c>
    </row>
    <row r="297" spans="1:22" x14ac:dyDescent="0.2">
      <c r="A297">
        <v>295</v>
      </c>
      <c r="B297" t="e">
        <f t="shared" ca="1" si="68"/>
        <v>#N/A</v>
      </c>
      <c r="C297" t="e">
        <f t="shared" ca="1" si="68"/>
        <v>#N/A</v>
      </c>
      <c r="D297" t="e">
        <f t="shared" ca="1" si="68"/>
        <v>#N/A</v>
      </c>
      <c r="E297" t="e">
        <f t="shared" ca="1" si="68"/>
        <v>#N/A</v>
      </c>
      <c r="F297" t="e">
        <f t="shared" ca="1" si="68"/>
        <v>#N/A</v>
      </c>
      <c r="G297" t="e">
        <f t="shared" ca="1" si="68"/>
        <v>#N/A</v>
      </c>
      <c r="H297" t="e">
        <f t="shared" ca="1" si="68"/>
        <v>#N/A</v>
      </c>
      <c r="I297" t="e">
        <f t="shared" ca="1" si="68"/>
        <v>#N/A</v>
      </c>
      <c r="J297" t="e">
        <f t="shared" ca="1" si="68"/>
        <v>#N/A</v>
      </c>
      <c r="K297" t="e">
        <f t="shared" ca="1" si="68"/>
        <v>#N/A</v>
      </c>
      <c r="L297" t="e">
        <f t="shared" ca="1" si="69"/>
        <v>#N/A</v>
      </c>
      <c r="M297" t="e">
        <f t="shared" ca="1" si="69"/>
        <v>#N/A</v>
      </c>
      <c r="N297" t="e">
        <f t="shared" ca="1" si="69"/>
        <v>#N/A</v>
      </c>
      <c r="O297" t="e">
        <f t="shared" ca="1" si="69"/>
        <v>#N/A</v>
      </c>
      <c r="P297" t="e">
        <f t="shared" ca="1" si="69"/>
        <v>#N/A</v>
      </c>
      <c r="Q297" t="e">
        <f t="shared" ca="1" si="69"/>
        <v>#N/A</v>
      </c>
      <c r="R297" t="e">
        <f t="shared" ca="1" si="69"/>
        <v>#N/A</v>
      </c>
      <c r="S297" t="e">
        <f t="shared" ca="1" si="60"/>
        <v>#N/A</v>
      </c>
      <c r="T297" t="e">
        <f t="shared" ca="1" si="61"/>
        <v>#N/A</v>
      </c>
      <c r="U297" t="e">
        <f ca="1">IF(AND($C297='Funnel setup'!$K$3&amp;'Funnel setup'!$K$5&amp;'Funnel setup'!$K$6&amp;'Funnel setup'!$K$4,'Funnel Lookup'!I297="*"),#N/A,IF(AND($C297='Funnel setup'!$K$3&amp;'Funnel setup'!$K$5&amp;'Funnel setup'!$K$6&amp;'Funnel setup'!$K$4,'Funnel Lookup'!I297&gt;29),'Funnel Lookup'!I297,#N/A))</f>
        <v>#N/A</v>
      </c>
      <c r="V297" t="e">
        <f ca="1">IF(AND($C297='Funnel setup'!$K$3&amp;'Funnel setup'!$K$5&amp;'Funnel setup'!$K$6&amp;'Funnel setup'!$K$4,'Funnel Lookup'!I297="*"),#N/A,IF(AND($C297='Funnel setup'!$K$3&amp;'Funnel setup'!$K$5&amp;'Funnel setup'!$K$6&amp;'Funnel setup'!$K$4,'Funnel Lookup'!I297&gt;29),'Funnel Lookup'!Q297,#N/A))</f>
        <v>#N/A</v>
      </c>
    </row>
    <row r="298" spans="1:22" x14ac:dyDescent="0.2">
      <c r="A298">
        <v>296</v>
      </c>
      <c r="B298" t="e">
        <f t="shared" ca="1" si="68"/>
        <v>#N/A</v>
      </c>
      <c r="C298" t="e">
        <f t="shared" ca="1" si="68"/>
        <v>#N/A</v>
      </c>
      <c r="D298" t="e">
        <f t="shared" ca="1" si="68"/>
        <v>#N/A</v>
      </c>
      <c r="E298" t="e">
        <f t="shared" ca="1" si="68"/>
        <v>#N/A</v>
      </c>
      <c r="F298" t="e">
        <f t="shared" ca="1" si="68"/>
        <v>#N/A</v>
      </c>
      <c r="G298" t="e">
        <f t="shared" ca="1" si="68"/>
        <v>#N/A</v>
      </c>
      <c r="H298" t="e">
        <f t="shared" ca="1" si="68"/>
        <v>#N/A</v>
      </c>
      <c r="I298" t="e">
        <f t="shared" ca="1" si="68"/>
        <v>#N/A</v>
      </c>
      <c r="J298" t="e">
        <f t="shared" ca="1" si="68"/>
        <v>#N/A</v>
      </c>
      <c r="K298" t="e">
        <f t="shared" ca="1" si="68"/>
        <v>#N/A</v>
      </c>
      <c r="L298" t="e">
        <f t="shared" ca="1" si="69"/>
        <v>#N/A</v>
      </c>
      <c r="M298" t="e">
        <f t="shared" ca="1" si="69"/>
        <v>#N/A</v>
      </c>
      <c r="N298" t="e">
        <f t="shared" ca="1" si="69"/>
        <v>#N/A</v>
      </c>
      <c r="O298" t="e">
        <f t="shared" ca="1" si="69"/>
        <v>#N/A</v>
      </c>
      <c r="P298" t="e">
        <f t="shared" ca="1" si="69"/>
        <v>#N/A</v>
      </c>
      <c r="Q298" t="e">
        <f t="shared" ca="1" si="69"/>
        <v>#N/A</v>
      </c>
      <c r="R298" t="e">
        <f t="shared" ca="1" si="69"/>
        <v>#N/A</v>
      </c>
      <c r="S298" t="e">
        <f t="shared" ca="1" si="60"/>
        <v>#N/A</v>
      </c>
      <c r="T298" t="e">
        <f t="shared" ca="1" si="61"/>
        <v>#N/A</v>
      </c>
      <c r="U298" t="e">
        <f ca="1">IF(AND($C298='Funnel setup'!$K$3&amp;'Funnel setup'!$K$5&amp;'Funnel setup'!$K$6&amp;'Funnel setup'!$K$4,'Funnel Lookup'!I298="*"),#N/A,IF(AND($C298='Funnel setup'!$K$3&amp;'Funnel setup'!$K$5&amp;'Funnel setup'!$K$6&amp;'Funnel setup'!$K$4,'Funnel Lookup'!I298&gt;29),'Funnel Lookup'!I298,#N/A))</f>
        <v>#N/A</v>
      </c>
      <c r="V298" t="e">
        <f ca="1">IF(AND($C298='Funnel setup'!$K$3&amp;'Funnel setup'!$K$5&amp;'Funnel setup'!$K$6&amp;'Funnel setup'!$K$4,'Funnel Lookup'!I298="*"),#N/A,IF(AND($C298='Funnel setup'!$K$3&amp;'Funnel setup'!$K$5&amp;'Funnel setup'!$K$6&amp;'Funnel setup'!$K$4,'Funnel Lookup'!I298&gt;29),'Funnel Lookup'!Q298,#N/A))</f>
        <v>#N/A</v>
      </c>
    </row>
    <row r="299" spans="1:22" x14ac:dyDescent="0.2">
      <c r="A299">
        <v>297</v>
      </c>
      <c r="B299" t="e">
        <f t="shared" ca="1" si="68"/>
        <v>#N/A</v>
      </c>
      <c r="C299" t="e">
        <f t="shared" ca="1" si="68"/>
        <v>#N/A</v>
      </c>
      <c r="D299" t="e">
        <f t="shared" ca="1" si="68"/>
        <v>#N/A</v>
      </c>
      <c r="E299" t="e">
        <f t="shared" ca="1" si="68"/>
        <v>#N/A</v>
      </c>
      <c r="F299" t="e">
        <f t="shared" ca="1" si="68"/>
        <v>#N/A</v>
      </c>
      <c r="G299" t="e">
        <f t="shared" ca="1" si="68"/>
        <v>#N/A</v>
      </c>
      <c r="H299" t="e">
        <f t="shared" ca="1" si="68"/>
        <v>#N/A</v>
      </c>
      <c r="I299" t="e">
        <f t="shared" ca="1" si="68"/>
        <v>#N/A</v>
      </c>
      <c r="J299" t="e">
        <f t="shared" ca="1" si="68"/>
        <v>#N/A</v>
      </c>
      <c r="K299" t="e">
        <f t="shared" ca="1" si="68"/>
        <v>#N/A</v>
      </c>
      <c r="L299" t="e">
        <f t="shared" ca="1" si="69"/>
        <v>#N/A</v>
      </c>
      <c r="M299" t="e">
        <f t="shared" ca="1" si="69"/>
        <v>#N/A</v>
      </c>
      <c r="N299" t="e">
        <f t="shared" ca="1" si="69"/>
        <v>#N/A</v>
      </c>
      <c r="O299" t="e">
        <f t="shared" ca="1" si="69"/>
        <v>#N/A</v>
      </c>
      <c r="P299" t="e">
        <f t="shared" ca="1" si="69"/>
        <v>#N/A</v>
      </c>
      <c r="Q299" t="e">
        <f t="shared" ca="1" si="69"/>
        <v>#N/A</v>
      </c>
      <c r="R299" t="e">
        <f t="shared" ca="1" si="69"/>
        <v>#N/A</v>
      </c>
      <c r="S299" t="e">
        <f t="shared" ca="1" si="60"/>
        <v>#N/A</v>
      </c>
      <c r="T299" t="e">
        <f t="shared" ca="1" si="61"/>
        <v>#N/A</v>
      </c>
      <c r="U299" t="e">
        <f ca="1">IF(AND($C299='Funnel setup'!$K$3&amp;'Funnel setup'!$K$5&amp;'Funnel setup'!$K$6&amp;'Funnel setup'!$K$4,'Funnel Lookup'!I299="*"),#N/A,IF(AND($C299='Funnel setup'!$K$3&amp;'Funnel setup'!$K$5&amp;'Funnel setup'!$K$6&amp;'Funnel setup'!$K$4,'Funnel Lookup'!I299&gt;29),'Funnel Lookup'!I299,#N/A))</f>
        <v>#N/A</v>
      </c>
      <c r="V299" t="e">
        <f ca="1">IF(AND($C299='Funnel setup'!$K$3&amp;'Funnel setup'!$K$5&amp;'Funnel setup'!$K$6&amp;'Funnel setup'!$K$4,'Funnel Lookup'!I299="*"),#N/A,IF(AND($C299='Funnel setup'!$K$3&amp;'Funnel setup'!$K$5&amp;'Funnel setup'!$K$6&amp;'Funnel setup'!$K$4,'Funnel Lookup'!I299&gt;29),'Funnel Lookup'!Q299,#N/A))</f>
        <v>#N/A</v>
      </c>
    </row>
    <row r="300" spans="1:22" x14ac:dyDescent="0.2">
      <c r="A300">
        <v>298</v>
      </c>
      <c r="B300" t="e">
        <f t="shared" ca="1" si="68"/>
        <v>#N/A</v>
      </c>
      <c r="C300" t="e">
        <f t="shared" ca="1" si="68"/>
        <v>#N/A</v>
      </c>
      <c r="D300" t="e">
        <f t="shared" ca="1" si="68"/>
        <v>#N/A</v>
      </c>
      <c r="E300" t="e">
        <f t="shared" ca="1" si="68"/>
        <v>#N/A</v>
      </c>
      <c r="F300" t="e">
        <f t="shared" ca="1" si="68"/>
        <v>#N/A</v>
      </c>
      <c r="G300" t="e">
        <f t="shared" ca="1" si="68"/>
        <v>#N/A</v>
      </c>
      <c r="H300" t="e">
        <f t="shared" ca="1" si="68"/>
        <v>#N/A</v>
      </c>
      <c r="I300" t="e">
        <f t="shared" ca="1" si="68"/>
        <v>#N/A</v>
      </c>
      <c r="J300" t="e">
        <f t="shared" ca="1" si="68"/>
        <v>#N/A</v>
      </c>
      <c r="K300" t="e">
        <f t="shared" ca="1" si="68"/>
        <v>#N/A</v>
      </c>
      <c r="L300" t="e">
        <f t="shared" ca="1" si="69"/>
        <v>#N/A</v>
      </c>
      <c r="M300" t="e">
        <f t="shared" ca="1" si="69"/>
        <v>#N/A</v>
      </c>
      <c r="N300" t="e">
        <f t="shared" ca="1" si="69"/>
        <v>#N/A</v>
      </c>
      <c r="O300" t="e">
        <f t="shared" ca="1" si="69"/>
        <v>#N/A</v>
      </c>
      <c r="P300" t="e">
        <f t="shared" ca="1" si="69"/>
        <v>#N/A</v>
      </c>
      <c r="Q300" t="e">
        <f t="shared" ca="1" si="69"/>
        <v>#N/A</v>
      </c>
      <c r="R300" t="e">
        <f t="shared" ca="1" si="69"/>
        <v>#N/A</v>
      </c>
      <c r="S300" t="e">
        <f t="shared" ca="1" si="60"/>
        <v>#N/A</v>
      </c>
      <c r="T300" t="e">
        <f t="shared" ca="1" si="61"/>
        <v>#N/A</v>
      </c>
      <c r="U300" t="e">
        <f ca="1">IF(AND($C300='Funnel setup'!$K$3&amp;'Funnel setup'!$K$5&amp;'Funnel setup'!$K$6&amp;'Funnel setup'!$K$4,'Funnel Lookup'!I300="*"),#N/A,IF(AND($C300='Funnel setup'!$K$3&amp;'Funnel setup'!$K$5&amp;'Funnel setup'!$K$6&amp;'Funnel setup'!$K$4,'Funnel Lookup'!I300&gt;29),'Funnel Lookup'!I300,#N/A))</f>
        <v>#N/A</v>
      </c>
      <c r="V300" t="e">
        <f ca="1">IF(AND($C300='Funnel setup'!$K$3&amp;'Funnel setup'!$K$5&amp;'Funnel setup'!$K$6&amp;'Funnel setup'!$K$4,'Funnel Lookup'!I300="*"),#N/A,IF(AND($C300='Funnel setup'!$K$3&amp;'Funnel setup'!$K$5&amp;'Funnel setup'!$K$6&amp;'Funnel setup'!$K$4,'Funnel Lookup'!I300&gt;29),'Funnel Lookup'!Q300,#N/A))</f>
        <v>#N/A</v>
      </c>
    </row>
    <row r="301" spans="1:22" x14ac:dyDescent="0.2">
      <c r="A301">
        <v>299</v>
      </c>
      <c r="B301" t="e">
        <f t="shared" ca="1" si="68"/>
        <v>#N/A</v>
      </c>
      <c r="C301" t="e">
        <f t="shared" ca="1" si="68"/>
        <v>#N/A</v>
      </c>
      <c r="D301" t="e">
        <f t="shared" ca="1" si="68"/>
        <v>#N/A</v>
      </c>
      <c r="E301" t="e">
        <f t="shared" ca="1" si="68"/>
        <v>#N/A</v>
      </c>
      <c r="F301" t="e">
        <f t="shared" ca="1" si="68"/>
        <v>#N/A</v>
      </c>
      <c r="G301" t="e">
        <f t="shared" ca="1" si="68"/>
        <v>#N/A</v>
      </c>
      <c r="H301" t="e">
        <f t="shared" ca="1" si="68"/>
        <v>#N/A</v>
      </c>
      <c r="I301" t="e">
        <f t="shared" ca="1" si="68"/>
        <v>#N/A</v>
      </c>
      <c r="J301" t="e">
        <f t="shared" ca="1" si="68"/>
        <v>#N/A</v>
      </c>
      <c r="K301" t="e">
        <f t="shared" ca="1" si="68"/>
        <v>#N/A</v>
      </c>
      <c r="L301" t="e">
        <f t="shared" ca="1" si="69"/>
        <v>#N/A</v>
      </c>
      <c r="M301" t="e">
        <f t="shared" ca="1" si="69"/>
        <v>#N/A</v>
      </c>
      <c r="N301" t="e">
        <f t="shared" ca="1" si="69"/>
        <v>#N/A</v>
      </c>
      <c r="O301" t="e">
        <f t="shared" ca="1" si="69"/>
        <v>#N/A</v>
      </c>
      <c r="P301" t="e">
        <f t="shared" ca="1" si="69"/>
        <v>#N/A</v>
      </c>
      <c r="Q301" t="e">
        <f t="shared" ca="1" si="69"/>
        <v>#N/A</v>
      </c>
      <c r="R301" t="e">
        <f t="shared" ca="1" si="69"/>
        <v>#N/A</v>
      </c>
      <c r="S301" t="e">
        <f t="shared" ca="1" si="60"/>
        <v>#N/A</v>
      </c>
      <c r="T301" t="e">
        <f t="shared" ca="1" si="61"/>
        <v>#N/A</v>
      </c>
      <c r="U301" t="e">
        <f ca="1">IF(AND($C301='Funnel setup'!$K$3&amp;'Funnel setup'!$K$5&amp;'Funnel setup'!$K$6&amp;'Funnel setup'!$K$4,'Funnel Lookup'!I301="*"),#N/A,IF(AND($C301='Funnel setup'!$K$3&amp;'Funnel setup'!$K$5&amp;'Funnel setup'!$K$6&amp;'Funnel setup'!$K$4,'Funnel Lookup'!I301&gt;29),'Funnel Lookup'!I301,#N/A))</f>
        <v>#N/A</v>
      </c>
      <c r="V301" t="e">
        <f ca="1">IF(AND($C301='Funnel setup'!$K$3&amp;'Funnel setup'!$K$5&amp;'Funnel setup'!$K$6&amp;'Funnel setup'!$K$4,'Funnel Lookup'!I301="*"),#N/A,IF(AND($C301='Funnel setup'!$K$3&amp;'Funnel setup'!$K$5&amp;'Funnel setup'!$K$6&amp;'Funnel setup'!$K$4,'Funnel Lookup'!I301&gt;29),'Funnel Lookup'!Q301,#N/A))</f>
        <v>#N/A</v>
      </c>
    </row>
    <row r="302" spans="1:22" x14ac:dyDescent="0.2">
      <c r="A302">
        <v>300</v>
      </c>
      <c r="B302" t="e">
        <f t="shared" ca="1" si="68"/>
        <v>#N/A</v>
      </c>
      <c r="C302" t="e">
        <f t="shared" ca="1" si="68"/>
        <v>#N/A</v>
      </c>
      <c r="D302" t="e">
        <f t="shared" ca="1" si="68"/>
        <v>#N/A</v>
      </c>
      <c r="E302" t="e">
        <f t="shared" ca="1" si="68"/>
        <v>#N/A</v>
      </c>
      <c r="F302" t="e">
        <f t="shared" ca="1" si="68"/>
        <v>#N/A</v>
      </c>
      <c r="G302" t="e">
        <f t="shared" ca="1" si="68"/>
        <v>#N/A</v>
      </c>
      <c r="H302" t="e">
        <f t="shared" ca="1" si="68"/>
        <v>#N/A</v>
      </c>
      <c r="I302" t="e">
        <f t="shared" ca="1" si="68"/>
        <v>#N/A</v>
      </c>
      <c r="J302" t="e">
        <f t="shared" ca="1" si="68"/>
        <v>#N/A</v>
      </c>
      <c r="K302" t="e">
        <f t="shared" ca="1" si="68"/>
        <v>#N/A</v>
      </c>
      <c r="L302" t="e">
        <f t="shared" ca="1" si="69"/>
        <v>#N/A</v>
      </c>
      <c r="M302" t="e">
        <f t="shared" ca="1" si="69"/>
        <v>#N/A</v>
      </c>
      <c r="N302" t="e">
        <f t="shared" ca="1" si="69"/>
        <v>#N/A</v>
      </c>
      <c r="O302" t="e">
        <f t="shared" ca="1" si="69"/>
        <v>#N/A</v>
      </c>
      <c r="P302" t="e">
        <f t="shared" ca="1" si="69"/>
        <v>#N/A</v>
      </c>
      <c r="Q302" t="e">
        <f t="shared" ca="1" si="69"/>
        <v>#N/A</v>
      </c>
      <c r="R302" t="e">
        <f t="shared" ca="1" si="69"/>
        <v>#N/A</v>
      </c>
      <c r="S302" t="e">
        <f t="shared" ca="1" si="60"/>
        <v>#N/A</v>
      </c>
      <c r="T302" t="e">
        <f t="shared" ca="1" si="61"/>
        <v>#N/A</v>
      </c>
      <c r="U302" t="e">
        <f ca="1">IF(AND($C302='Funnel setup'!$K$3&amp;'Funnel setup'!$K$5&amp;'Funnel setup'!$K$6&amp;'Funnel setup'!$K$4,'Funnel Lookup'!I302="*"),#N/A,IF(AND($C302='Funnel setup'!$K$3&amp;'Funnel setup'!$K$5&amp;'Funnel setup'!$K$6&amp;'Funnel setup'!$K$4,'Funnel Lookup'!I302&gt;29),'Funnel Lookup'!I302,#N/A))</f>
        <v>#N/A</v>
      </c>
      <c r="V302" t="e">
        <f ca="1">IF(AND($C302='Funnel setup'!$K$3&amp;'Funnel setup'!$K$5&amp;'Funnel setup'!$K$6&amp;'Funnel setup'!$K$4,'Funnel Lookup'!I302="*"),#N/A,IF(AND($C302='Funnel setup'!$K$3&amp;'Funnel setup'!$K$5&amp;'Funnel setup'!$K$6&amp;'Funnel setup'!$K$4,'Funnel Lookup'!I302&gt;29),'Funnel Lookup'!Q302,#N/A))</f>
        <v>#N/A</v>
      </c>
    </row>
    <row r="303" spans="1:22" x14ac:dyDescent="0.2">
      <c r="A303">
        <v>301</v>
      </c>
      <c r="B303" t="e">
        <f t="shared" ref="B303:K312" ca="1" si="70">VLOOKUP($A303,Funnel_Data,B$1,FALSE)</f>
        <v>#N/A</v>
      </c>
      <c r="C303" t="e">
        <f t="shared" ca="1" si="70"/>
        <v>#N/A</v>
      </c>
      <c r="D303" t="e">
        <f t="shared" ca="1" si="70"/>
        <v>#N/A</v>
      </c>
      <c r="E303" t="e">
        <f t="shared" ca="1" si="70"/>
        <v>#N/A</v>
      </c>
      <c r="F303" t="e">
        <f t="shared" ca="1" si="70"/>
        <v>#N/A</v>
      </c>
      <c r="G303" t="e">
        <f t="shared" ca="1" si="70"/>
        <v>#N/A</v>
      </c>
      <c r="H303" t="e">
        <f t="shared" ca="1" si="70"/>
        <v>#N/A</v>
      </c>
      <c r="I303" t="e">
        <f t="shared" ca="1" si="70"/>
        <v>#N/A</v>
      </c>
      <c r="J303" t="e">
        <f t="shared" ca="1" si="70"/>
        <v>#N/A</v>
      </c>
      <c r="K303" t="e">
        <f t="shared" ca="1" si="70"/>
        <v>#N/A</v>
      </c>
      <c r="L303" t="e">
        <f t="shared" ref="L303:R312" ca="1" si="71">VLOOKUP($A303,Funnel_Data,L$1,FALSE)</f>
        <v>#N/A</v>
      </c>
      <c r="M303" t="e">
        <f t="shared" ca="1" si="71"/>
        <v>#N/A</v>
      </c>
      <c r="N303" t="e">
        <f t="shared" ca="1" si="71"/>
        <v>#N/A</v>
      </c>
      <c r="O303" t="e">
        <f t="shared" ca="1" si="71"/>
        <v>#N/A</v>
      </c>
      <c r="P303" t="e">
        <f t="shared" ca="1" si="71"/>
        <v>#N/A</v>
      </c>
      <c r="Q303" t="e">
        <f t="shared" ca="1" si="71"/>
        <v>#N/A</v>
      </c>
      <c r="R303" t="e">
        <f t="shared" ca="1" si="71"/>
        <v>#N/A</v>
      </c>
      <c r="S303" t="e">
        <f t="shared" ca="1" si="60"/>
        <v>#N/A</v>
      </c>
      <c r="T303" t="e">
        <f t="shared" ca="1" si="61"/>
        <v>#N/A</v>
      </c>
      <c r="U303" t="e">
        <f ca="1">IF(AND($C303='Funnel setup'!$K$3&amp;'Funnel setup'!$K$5&amp;'Funnel setup'!$K$6&amp;'Funnel setup'!$K$4,'Funnel Lookup'!I303="*"),#N/A,IF(AND($C303='Funnel setup'!$K$3&amp;'Funnel setup'!$K$5&amp;'Funnel setup'!$K$6&amp;'Funnel setup'!$K$4,'Funnel Lookup'!I303&gt;29),'Funnel Lookup'!I303,#N/A))</f>
        <v>#N/A</v>
      </c>
      <c r="V303" t="e">
        <f ca="1">IF(AND($C303='Funnel setup'!$K$3&amp;'Funnel setup'!$K$5&amp;'Funnel setup'!$K$6&amp;'Funnel setup'!$K$4,'Funnel Lookup'!I303="*"),#N/A,IF(AND($C303='Funnel setup'!$K$3&amp;'Funnel setup'!$K$5&amp;'Funnel setup'!$K$6&amp;'Funnel setup'!$K$4,'Funnel Lookup'!I303&gt;29),'Funnel Lookup'!Q303,#N/A))</f>
        <v>#N/A</v>
      </c>
    </row>
    <row r="304" spans="1:22" x14ac:dyDescent="0.2">
      <c r="A304">
        <v>302</v>
      </c>
      <c r="B304" t="e">
        <f t="shared" ca="1" si="70"/>
        <v>#N/A</v>
      </c>
      <c r="C304" t="e">
        <f t="shared" ca="1" si="70"/>
        <v>#N/A</v>
      </c>
      <c r="D304" t="e">
        <f t="shared" ca="1" si="70"/>
        <v>#N/A</v>
      </c>
      <c r="E304" t="e">
        <f t="shared" ca="1" si="70"/>
        <v>#N/A</v>
      </c>
      <c r="F304" t="e">
        <f t="shared" ca="1" si="70"/>
        <v>#N/A</v>
      </c>
      <c r="G304" t="e">
        <f t="shared" ca="1" si="70"/>
        <v>#N/A</v>
      </c>
      <c r="H304" t="e">
        <f t="shared" ca="1" si="70"/>
        <v>#N/A</v>
      </c>
      <c r="I304" t="e">
        <f t="shared" ca="1" si="70"/>
        <v>#N/A</v>
      </c>
      <c r="J304" t="e">
        <f t="shared" ca="1" si="70"/>
        <v>#N/A</v>
      </c>
      <c r="K304" t="e">
        <f t="shared" ca="1" si="70"/>
        <v>#N/A</v>
      </c>
      <c r="L304" t="e">
        <f t="shared" ca="1" si="71"/>
        <v>#N/A</v>
      </c>
      <c r="M304" t="e">
        <f t="shared" ca="1" si="71"/>
        <v>#N/A</v>
      </c>
      <c r="N304" t="e">
        <f t="shared" ca="1" si="71"/>
        <v>#N/A</v>
      </c>
      <c r="O304" t="e">
        <f t="shared" ca="1" si="71"/>
        <v>#N/A</v>
      </c>
      <c r="P304" t="e">
        <f t="shared" ca="1" si="71"/>
        <v>#N/A</v>
      </c>
      <c r="Q304" t="e">
        <f t="shared" ca="1" si="71"/>
        <v>#N/A</v>
      </c>
      <c r="R304" t="e">
        <f t="shared" ca="1" si="71"/>
        <v>#N/A</v>
      </c>
      <c r="S304" t="e">
        <f t="shared" ca="1" si="60"/>
        <v>#N/A</v>
      </c>
      <c r="T304" t="e">
        <f t="shared" ca="1" si="61"/>
        <v>#N/A</v>
      </c>
      <c r="U304" t="e">
        <f ca="1">IF(AND($C304='Funnel setup'!$K$3&amp;'Funnel setup'!$K$5&amp;'Funnel setup'!$K$6&amp;'Funnel setup'!$K$4,'Funnel Lookup'!I304="*"),#N/A,IF(AND($C304='Funnel setup'!$K$3&amp;'Funnel setup'!$K$5&amp;'Funnel setup'!$K$6&amp;'Funnel setup'!$K$4,'Funnel Lookup'!I304&gt;29),'Funnel Lookup'!I304,#N/A))</f>
        <v>#N/A</v>
      </c>
      <c r="V304" t="e">
        <f ca="1">IF(AND($C304='Funnel setup'!$K$3&amp;'Funnel setup'!$K$5&amp;'Funnel setup'!$K$6&amp;'Funnel setup'!$K$4,'Funnel Lookup'!I304="*"),#N/A,IF(AND($C304='Funnel setup'!$K$3&amp;'Funnel setup'!$K$5&amp;'Funnel setup'!$K$6&amp;'Funnel setup'!$K$4,'Funnel Lookup'!I304&gt;29),'Funnel Lookup'!Q304,#N/A))</f>
        <v>#N/A</v>
      </c>
    </row>
    <row r="305" spans="1:22" x14ac:dyDescent="0.2">
      <c r="A305">
        <v>303</v>
      </c>
      <c r="B305" t="e">
        <f t="shared" ca="1" si="70"/>
        <v>#N/A</v>
      </c>
      <c r="C305" t="e">
        <f t="shared" ca="1" si="70"/>
        <v>#N/A</v>
      </c>
      <c r="D305" t="e">
        <f t="shared" ca="1" si="70"/>
        <v>#N/A</v>
      </c>
      <c r="E305" t="e">
        <f t="shared" ca="1" si="70"/>
        <v>#N/A</v>
      </c>
      <c r="F305" t="e">
        <f t="shared" ca="1" si="70"/>
        <v>#N/A</v>
      </c>
      <c r="G305" t="e">
        <f t="shared" ca="1" si="70"/>
        <v>#N/A</v>
      </c>
      <c r="H305" t="e">
        <f t="shared" ca="1" si="70"/>
        <v>#N/A</v>
      </c>
      <c r="I305" t="e">
        <f t="shared" ca="1" si="70"/>
        <v>#N/A</v>
      </c>
      <c r="J305" t="e">
        <f t="shared" ca="1" si="70"/>
        <v>#N/A</v>
      </c>
      <c r="K305" t="e">
        <f t="shared" ca="1" si="70"/>
        <v>#N/A</v>
      </c>
      <c r="L305" t="e">
        <f t="shared" ca="1" si="71"/>
        <v>#N/A</v>
      </c>
      <c r="M305" t="e">
        <f t="shared" ca="1" si="71"/>
        <v>#N/A</v>
      </c>
      <c r="N305" t="e">
        <f t="shared" ca="1" si="71"/>
        <v>#N/A</v>
      </c>
      <c r="O305" t="e">
        <f t="shared" ca="1" si="71"/>
        <v>#N/A</v>
      </c>
      <c r="P305" t="e">
        <f t="shared" ca="1" si="71"/>
        <v>#N/A</v>
      </c>
      <c r="Q305" t="e">
        <f t="shared" ca="1" si="71"/>
        <v>#N/A</v>
      </c>
      <c r="R305" t="e">
        <f t="shared" ca="1" si="71"/>
        <v>#N/A</v>
      </c>
      <c r="S305" t="e">
        <f t="shared" ca="1" si="60"/>
        <v>#N/A</v>
      </c>
      <c r="T305" t="e">
        <f t="shared" ca="1" si="61"/>
        <v>#N/A</v>
      </c>
      <c r="U305" t="e">
        <f ca="1">IF(AND($C305='Funnel setup'!$K$3&amp;'Funnel setup'!$K$5&amp;'Funnel setup'!$K$6&amp;'Funnel setup'!$K$4,'Funnel Lookup'!I305="*"),#N/A,IF(AND($C305='Funnel setup'!$K$3&amp;'Funnel setup'!$K$5&amp;'Funnel setup'!$K$6&amp;'Funnel setup'!$K$4,'Funnel Lookup'!I305&gt;29),'Funnel Lookup'!I305,#N/A))</f>
        <v>#N/A</v>
      </c>
      <c r="V305" t="e">
        <f ca="1">IF(AND($C305='Funnel setup'!$K$3&amp;'Funnel setup'!$K$5&amp;'Funnel setup'!$K$6&amp;'Funnel setup'!$K$4,'Funnel Lookup'!I305="*"),#N/A,IF(AND($C305='Funnel setup'!$K$3&amp;'Funnel setup'!$K$5&amp;'Funnel setup'!$K$6&amp;'Funnel setup'!$K$4,'Funnel Lookup'!I305&gt;29),'Funnel Lookup'!Q305,#N/A))</f>
        <v>#N/A</v>
      </c>
    </row>
    <row r="306" spans="1:22" x14ac:dyDescent="0.2">
      <c r="A306">
        <v>304</v>
      </c>
      <c r="B306" t="e">
        <f t="shared" ca="1" si="70"/>
        <v>#N/A</v>
      </c>
      <c r="C306" t="e">
        <f t="shared" ca="1" si="70"/>
        <v>#N/A</v>
      </c>
      <c r="D306" t="e">
        <f t="shared" ca="1" si="70"/>
        <v>#N/A</v>
      </c>
      <c r="E306" t="e">
        <f t="shared" ca="1" si="70"/>
        <v>#N/A</v>
      </c>
      <c r="F306" t="e">
        <f t="shared" ca="1" si="70"/>
        <v>#N/A</v>
      </c>
      <c r="G306" t="e">
        <f t="shared" ca="1" si="70"/>
        <v>#N/A</v>
      </c>
      <c r="H306" t="e">
        <f t="shared" ca="1" si="70"/>
        <v>#N/A</v>
      </c>
      <c r="I306" t="e">
        <f t="shared" ca="1" si="70"/>
        <v>#N/A</v>
      </c>
      <c r="J306" t="e">
        <f t="shared" ca="1" si="70"/>
        <v>#N/A</v>
      </c>
      <c r="K306" t="e">
        <f t="shared" ca="1" si="70"/>
        <v>#N/A</v>
      </c>
      <c r="L306" t="e">
        <f t="shared" ca="1" si="71"/>
        <v>#N/A</v>
      </c>
      <c r="M306" t="e">
        <f t="shared" ca="1" si="71"/>
        <v>#N/A</v>
      </c>
      <c r="N306" t="e">
        <f t="shared" ca="1" si="71"/>
        <v>#N/A</v>
      </c>
      <c r="O306" t="e">
        <f t="shared" ca="1" si="71"/>
        <v>#N/A</v>
      </c>
      <c r="P306" t="e">
        <f t="shared" ca="1" si="71"/>
        <v>#N/A</v>
      </c>
      <c r="Q306" t="e">
        <f t="shared" ca="1" si="71"/>
        <v>#N/A</v>
      </c>
      <c r="R306" t="e">
        <f t="shared" ca="1" si="71"/>
        <v>#N/A</v>
      </c>
      <c r="S306" t="e">
        <f t="shared" ca="1" si="60"/>
        <v>#N/A</v>
      </c>
      <c r="T306" t="e">
        <f t="shared" ca="1" si="61"/>
        <v>#N/A</v>
      </c>
      <c r="U306" t="e">
        <f ca="1">IF(AND($C306='Funnel setup'!$K$3&amp;'Funnel setup'!$K$5&amp;'Funnel setup'!$K$6&amp;'Funnel setup'!$K$4,'Funnel Lookup'!I306="*"),#N/A,IF(AND($C306='Funnel setup'!$K$3&amp;'Funnel setup'!$K$5&amp;'Funnel setup'!$K$6&amp;'Funnel setup'!$K$4,'Funnel Lookup'!I306&gt;29),'Funnel Lookup'!I306,#N/A))</f>
        <v>#N/A</v>
      </c>
      <c r="V306" t="e">
        <f ca="1">IF(AND($C306='Funnel setup'!$K$3&amp;'Funnel setup'!$K$5&amp;'Funnel setup'!$K$6&amp;'Funnel setup'!$K$4,'Funnel Lookup'!I306="*"),#N/A,IF(AND($C306='Funnel setup'!$K$3&amp;'Funnel setup'!$K$5&amp;'Funnel setup'!$K$6&amp;'Funnel setup'!$K$4,'Funnel Lookup'!I306&gt;29),'Funnel Lookup'!Q306,#N/A))</f>
        <v>#N/A</v>
      </c>
    </row>
    <row r="307" spans="1:22" x14ac:dyDescent="0.2">
      <c r="A307">
        <v>305</v>
      </c>
      <c r="B307" t="e">
        <f t="shared" ca="1" si="70"/>
        <v>#N/A</v>
      </c>
      <c r="C307" t="e">
        <f t="shared" ca="1" si="70"/>
        <v>#N/A</v>
      </c>
      <c r="D307" t="e">
        <f t="shared" ca="1" si="70"/>
        <v>#N/A</v>
      </c>
      <c r="E307" t="e">
        <f t="shared" ca="1" si="70"/>
        <v>#N/A</v>
      </c>
      <c r="F307" t="e">
        <f t="shared" ca="1" si="70"/>
        <v>#N/A</v>
      </c>
      <c r="G307" t="e">
        <f t="shared" ca="1" si="70"/>
        <v>#N/A</v>
      </c>
      <c r="H307" t="e">
        <f t="shared" ca="1" si="70"/>
        <v>#N/A</v>
      </c>
      <c r="I307" t="e">
        <f t="shared" ca="1" si="70"/>
        <v>#N/A</v>
      </c>
      <c r="J307" t="e">
        <f t="shared" ca="1" si="70"/>
        <v>#N/A</v>
      </c>
      <c r="K307" t="e">
        <f t="shared" ca="1" si="70"/>
        <v>#N/A</v>
      </c>
      <c r="L307" t="e">
        <f t="shared" ca="1" si="71"/>
        <v>#N/A</v>
      </c>
      <c r="M307" t="e">
        <f t="shared" ca="1" si="71"/>
        <v>#N/A</v>
      </c>
      <c r="N307" t="e">
        <f t="shared" ca="1" si="71"/>
        <v>#N/A</v>
      </c>
      <c r="O307" t="e">
        <f t="shared" ca="1" si="71"/>
        <v>#N/A</v>
      </c>
      <c r="P307" t="e">
        <f t="shared" ca="1" si="71"/>
        <v>#N/A</v>
      </c>
      <c r="Q307" t="e">
        <f t="shared" ca="1" si="71"/>
        <v>#N/A</v>
      </c>
      <c r="R307" t="e">
        <f t="shared" ca="1" si="71"/>
        <v>#N/A</v>
      </c>
      <c r="S307" t="e">
        <f t="shared" ca="1" si="60"/>
        <v>#N/A</v>
      </c>
      <c r="T307" t="e">
        <f t="shared" ca="1" si="61"/>
        <v>#N/A</v>
      </c>
      <c r="U307" t="e">
        <f ca="1">IF(AND($C307='Funnel setup'!$K$3&amp;'Funnel setup'!$K$5&amp;'Funnel setup'!$K$6&amp;'Funnel setup'!$K$4,'Funnel Lookup'!I307="*"),#N/A,IF(AND($C307='Funnel setup'!$K$3&amp;'Funnel setup'!$K$5&amp;'Funnel setup'!$K$6&amp;'Funnel setup'!$K$4,'Funnel Lookup'!I307&gt;29),'Funnel Lookup'!I307,#N/A))</f>
        <v>#N/A</v>
      </c>
      <c r="V307" t="e">
        <f ca="1">IF(AND($C307='Funnel setup'!$K$3&amp;'Funnel setup'!$K$5&amp;'Funnel setup'!$K$6&amp;'Funnel setup'!$K$4,'Funnel Lookup'!I307="*"),#N/A,IF(AND($C307='Funnel setup'!$K$3&amp;'Funnel setup'!$K$5&amp;'Funnel setup'!$K$6&amp;'Funnel setup'!$K$4,'Funnel Lookup'!I307&gt;29),'Funnel Lookup'!Q307,#N/A))</f>
        <v>#N/A</v>
      </c>
    </row>
    <row r="308" spans="1:22" x14ac:dyDescent="0.2">
      <c r="A308">
        <v>306</v>
      </c>
      <c r="B308" t="e">
        <f t="shared" ca="1" si="70"/>
        <v>#N/A</v>
      </c>
      <c r="C308" t="e">
        <f t="shared" ca="1" si="70"/>
        <v>#N/A</v>
      </c>
      <c r="D308" t="e">
        <f t="shared" ca="1" si="70"/>
        <v>#N/A</v>
      </c>
      <c r="E308" t="e">
        <f t="shared" ca="1" si="70"/>
        <v>#N/A</v>
      </c>
      <c r="F308" t="e">
        <f t="shared" ca="1" si="70"/>
        <v>#N/A</v>
      </c>
      <c r="G308" t="e">
        <f t="shared" ca="1" si="70"/>
        <v>#N/A</v>
      </c>
      <c r="H308" t="e">
        <f t="shared" ca="1" si="70"/>
        <v>#N/A</v>
      </c>
      <c r="I308" t="e">
        <f t="shared" ca="1" si="70"/>
        <v>#N/A</v>
      </c>
      <c r="J308" t="e">
        <f t="shared" ca="1" si="70"/>
        <v>#N/A</v>
      </c>
      <c r="K308" t="e">
        <f t="shared" ca="1" si="70"/>
        <v>#N/A</v>
      </c>
      <c r="L308" t="e">
        <f t="shared" ca="1" si="71"/>
        <v>#N/A</v>
      </c>
      <c r="M308" t="e">
        <f t="shared" ca="1" si="71"/>
        <v>#N/A</v>
      </c>
      <c r="N308" t="e">
        <f t="shared" ca="1" si="71"/>
        <v>#N/A</v>
      </c>
      <c r="O308" t="e">
        <f t="shared" ca="1" si="71"/>
        <v>#N/A</v>
      </c>
      <c r="P308" t="e">
        <f t="shared" ca="1" si="71"/>
        <v>#N/A</v>
      </c>
      <c r="Q308" t="e">
        <f t="shared" ca="1" si="71"/>
        <v>#N/A</v>
      </c>
      <c r="R308" t="e">
        <f t="shared" ca="1" si="71"/>
        <v>#N/A</v>
      </c>
      <c r="S308" t="e">
        <f t="shared" ca="1" si="60"/>
        <v>#N/A</v>
      </c>
      <c r="T308" t="e">
        <f t="shared" ca="1" si="61"/>
        <v>#N/A</v>
      </c>
      <c r="U308" t="e">
        <f ca="1">IF(AND($C308='Funnel setup'!$K$3&amp;'Funnel setup'!$K$5&amp;'Funnel setup'!$K$6&amp;'Funnel setup'!$K$4,'Funnel Lookup'!I308="*"),#N/A,IF(AND($C308='Funnel setup'!$K$3&amp;'Funnel setup'!$K$5&amp;'Funnel setup'!$K$6&amp;'Funnel setup'!$K$4,'Funnel Lookup'!I308&gt;29),'Funnel Lookup'!I308,#N/A))</f>
        <v>#N/A</v>
      </c>
      <c r="V308" t="e">
        <f ca="1">IF(AND($C308='Funnel setup'!$K$3&amp;'Funnel setup'!$K$5&amp;'Funnel setup'!$K$6&amp;'Funnel setup'!$K$4,'Funnel Lookup'!I308="*"),#N/A,IF(AND($C308='Funnel setup'!$K$3&amp;'Funnel setup'!$K$5&amp;'Funnel setup'!$K$6&amp;'Funnel setup'!$K$4,'Funnel Lookup'!I308&gt;29),'Funnel Lookup'!Q308,#N/A))</f>
        <v>#N/A</v>
      </c>
    </row>
    <row r="309" spans="1:22" x14ac:dyDescent="0.2">
      <c r="A309">
        <v>307</v>
      </c>
      <c r="B309" t="e">
        <f t="shared" ca="1" si="70"/>
        <v>#N/A</v>
      </c>
      <c r="C309" t="e">
        <f t="shared" ca="1" si="70"/>
        <v>#N/A</v>
      </c>
      <c r="D309" t="e">
        <f t="shared" ca="1" si="70"/>
        <v>#N/A</v>
      </c>
      <c r="E309" t="e">
        <f t="shared" ca="1" si="70"/>
        <v>#N/A</v>
      </c>
      <c r="F309" t="e">
        <f t="shared" ca="1" si="70"/>
        <v>#N/A</v>
      </c>
      <c r="G309" t="e">
        <f t="shared" ca="1" si="70"/>
        <v>#N/A</v>
      </c>
      <c r="H309" t="e">
        <f t="shared" ca="1" si="70"/>
        <v>#N/A</v>
      </c>
      <c r="I309" t="e">
        <f t="shared" ca="1" si="70"/>
        <v>#N/A</v>
      </c>
      <c r="J309" t="e">
        <f t="shared" ca="1" si="70"/>
        <v>#N/A</v>
      </c>
      <c r="K309" t="e">
        <f t="shared" ca="1" si="70"/>
        <v>#N/A</v>
      </c>
      <c r="L309" t="e">
        <f t="shared" ca="1" si="71"/>
        <v>#N/A</v>
      </c>
      <c r="M309" t="e">
        <f t="shared" ca="1" si="71"/>
        <v>#N/A</v>
      </c>
      <c r="N309" t="e">
        <f t="shared" ca="1" si="71"/>
        <v>#N/A</v>
      </c>
      <c r="O309" t="e">
        <f t="shared" ca="1" si="71"/>
        <v>#N/A</v>
      </c>
      <c r="P309" t="e">
        <f t="shared" ca="1" si="71"/>
        <v>#N/A</v>
      </c>
      <c r="Q309" t="e">
        <f t="shared" ca="1" si="71"/>
        <v>#N/A</v>
      </c>
      <c r="R309" t="e">
        <f t="shared" ca="1" si="71"/>
        <v>#N/A</v>
      </c>
      <c r="S309" t="e">
        <f t="shared" ca="1" si="60"/>
        <v>#N/A</v>
      </c>
      <c r="T309" t="e">
        <f t="shared" ca="1" si="61"/>
        <v>#N/A</v>
      </c>
      <c r="U309" t="e">
        <f ca="1">IF(AND($C309='Funnel setup'!$K$3&amp;'Funnel setup'!$K$5&amp;'Funnel setup'!$K$6&amp;'Funnel setup'!$K$4,'Funnel Lookup'!I309="*"),#N/A,IF(AND($C309='Funnel setup'!$K$3&amp;'Funnel setup'!$K$5&amp;'Funnel setup'!$K$6&amp;'Funnel setup'!$K$4,'Funnel Lookup'!I309&gt;29),'Funnel Lookup'!I309,#N/A))</f>
        <v>#N/A</v>
      </c>
      <c r="V309" t="e">
        <f ca="1">IF(AND($C309='Funnel setup'!$K$3&amp;'Funnel setup'!$K$5&amp;'Funnel setup'!$K$6&amp;'Funnel setup'!$K$4,'Funnel Lookup'!I309="*"),#N/A,IF(AND($C309='Funnel setup'!$K$3&amp;'Funnel setup'!$K$5&amp;'Funnel setup'!$K$6&amp;'Funnel setup'!$K$4,'Funnel Lookup'!I309&gt;29),'Funnel Lookup'!Q309,#N/A))</f>
        <v>#N/A</v>
      </c>
    </row>
    <row r="310" spans="1:22" x14ac:dyDescent="0.2">
      <c r="A310">
        <v>308</v>
      </c>
      <c r="B310" t="e">
        <f t="shared" ca="1" si="70"/>
        <v>#N/A</v>
      </c>
      <c r="C310" t="e">
        <f t="shared" ca="1" si="70"/>
        <v>#N/A</v>
      </c>
      <c r="D310" t="e">
        <f t="shared" ca="1" si="70"/>
        <v>#N/A</v>
      </c>
      <c r="E310" t="e">
        <f t="shared" ca="1" si="70"/>
        <v>#N/A</v>
      </c>
      <c r="F310" t="e">
        <f t="shared" ca="1" si="70"/>
        <v>#N/A</v>
      </c>
      <c r="G310" t="e">
        <f t="shared" ca="1" si="70"/>
        <v>#N/A</v>
      </c>
      <c r="H310" t="e">
        <f t="shared" ca="1" si="70"/>
        <v>#N/A</v>
      </c>
      <c r="I310" t="e">
        <f t="shared" ca="1" si="70"/>
        <v>#N/A</v>
      </c>
      <c r="J310" t="e">
        <f t="shared" ca="1" si="70"/>
        <v>#N/A</v>
      </c>
      <c r="K310" t="e">
        <f t="shared" ca="1" si="70"/>
        <v>#N/A</v>
      </c>
      <c r="L310" t="e">
        <f t="shared" ca="1" si="71"/>
        <v>#N/A</v>
      </c>
      <c r="M310" t="e">
        <f t="shared" ca="1" si="71"/>
        <v>#N/A</v>
      </c>
      <c r="N310" t="e">
        <f t="shared" ca="1" si="71"/>
        <v>#N/A</v>
      </c>
      <c r="O310" t="e">
        <f t="shared" ca="1" si="71"/>
        <v>#N/A</v>
      </c>
      <c r="P310" t="e">
        <f t="shared" ca="1" si="71"/>
        <v>#N/A</v>
      </c>
      <c r="Q310" t="e">
        <f t="shared" ca="1" si="71"/>
        <v>#N/A</v>
      </c>
      <c r="R310" t="e">
        <f t="shared" ca="1" si="71"/>
        <v>#N/A</v>
      </c>
      <c r="S310" t="e">
        <f t="shared" ca="1" si="60"/>
        <v>#N/A</v>
      </c>
      <c r="T310" t="e">
        <f t="shared" ca="1" si="61"/>
        <v>#N/A</v>
      </c>
      <c r="U310" t="e">
        <f ca="1">IF(AND($C310='Funnel setup'!$K$3&amp;'Funnel setup'!$K$5&amp;'Funnel setup'!$K$6&amp;'Funnel setup'!$K$4,'Funnel Lookup'!I310="*"),#N/A,IF(AND($C310='Funnel setup'!$K$3&amp;'Funnel setup'!$K$5&amp;'Funnel setup'!$K$6&amp;'Funnel setup'!$K$4,'Funnel Lookup'!I310&gt;29),'Funnel Lookup'!I310,#N/A))</f>
        <v>#N/A</v>
      </c>
      <c r="V310" t="e">
        <f ca="1">IF(AND($C310='Funnel setup'!$K$3&amp;'Funnel setup'!$K$5&amp;'Funnel setup'!$K$6&amp;'Funnel setup'!$K$4,'Funnel Lookup'!I310="*"),#N/A,IF(AND($C310='Funnel setup'!$K$3&amp;'Funnel setup'!$K$5&amp;'Funnel setup'!$K$6&amp;'Funnel setup'!$K$4,'Funnel Lookup'!I310&gt;29),'Funnel Lookup'!Q310,#N/A))</f>
        <v>#N/A</v>
      </c>
    </row>
    <row r="311" spans="1:22" x14ac:dyDescent="0.2">
      <c r="A311">
        <v>309</v>
      </c>
      <c r="B311" t="e">
        <f t="shared" ca="1" si="70"/>
        <v>#N/A</v>
      </c>
      <c r="C311" t="e">
        <f t="shared" ca="1" si="70"/>
        <v>#N/A</v>
      </c>
      <c r="D311" t="e">
        <f t="shared" ca="1" si="70"/>
        <v>#N/A</v>
      </c>
      <c r="E311" t="e">
        <f t="shared" ca="1" si="70"/>
        <v>#N/A</v>
      </c>
      <c r="F311" t="e">
        <f t="shared" ca="1" si="70"/>
        <v>#N/A</v>
      </c>
      <c r="G311" t="e">
        <f t="shared" ca="1" si="70"/>
        <v>#N/A</v>
      </c>
      <c r="H311" t="e">
        <f t="shared" ca="1" si="70"/>
        <v>#N/A</v>
      </c>
      <c r="I311" t="e">
        <f t="shared" ca="1" si="70"/>
        <v>#N/A</v>
      </c>
      <c r="J311" t="e">
        <f t="shared" ca="1" si="70"/>
        <v>#N/A</v>
      </c>
      <c r="K311" t="e">
        <f t="shared" ca="1" si="70"/>
        <v>#N/A</v>
      </c>
      <c r="L311" t="e">
        <f t="shared" ca="1" si="71"/>
        <v>#N/A</v>
      </c>
      <c r="M311" t="e">
        <f t="shared" ca="1" si="71"/>
        <v>#N/A</v>
      </c>
      <c r="N311" t="e">
        <f t="shared" ca="1" si="71"/>
        <v>#N/A</v>
      </c>
      <c r="O311" t="e">
        <f t="shared" ca="1" si="71"/>
        <v>#N/A</v>
      </c>
      <c r="P311" t="e">
        <f t="shared" ca="1" si="71"/>
        <v>#N/A</v>
      </c>
      <c r="Q311" t="e">
        <f t="shared" ca="1" si="71"/>
        <v>#N/A</v>
      </c>
      <c r="R311" t="e">
        <f t="shared" ca="1" si="71"/>
        <v>#N/A</v>
      </c>
      <c r="S311" t="e">
        <f t="shared" ca="1" si="60"/>
        <v>#N/A</v>
      </c>
      <c r="T311" t="e">
        <f t="shared" ca="1" si="61"/>
        <v>#N/A</v>
      </c>
      <c r="U311" t="e">
        <f ca="1">IF(AND($C311='Funnel setup'!$K$3&amp;'Funnel setup'!$K$5&amp;'Funnel setup'!$K$6&amp;'Funnel setup'!$K$4,'Funnel Lookup'!I311="*"),#N/A,IF(AND($C311='Funnel setup'!$K$3&amp;'Funnel setup'!$K$5&amp;'Funnel setup'!$K$6&amp;'Funnel setup'!$K$4,'Funnel Lookup'!I311&gt;29),'Funnel Lookup'!I311,#N/A))</f>
        <v>#N/A</v>
      </c>
      <c r="V311" t="e">
        <f ca="1">IF(AND($C311='Funnel setup'!$K$3&amp;'Funnel setup'!$K$5&amp;'Funnel setup'!$K$6&amp;'Funnel setup'!$K$4,'Funnel Lookup'!I311="*"),#N/A,IF(AND($C311='Funnel setup'!$K$3&amp;'Funnel setup'!$K$5&amp;'Funnel setup'!$K$6&amp;'Funnel setup'!$K$4,'Funnel Lookup'!I311&gt;29),'Funnel Lookup'!Q311,#N/A))</f>
        <v>#N/A</v>
      </c>
    </row>
    <row r="312" spans="1:22" x14ac:dyDescent="0.2">
      <c r="A312">
        <v>310</v>
      </c>
      <c r="B312" t="e">
        <f t="shared" ca="1" si="70"/>
        <v>#N/A</v>
      </c>
      <c r="C312" t="e">
        <f t="shared" ca="1" si="70"/>
        <v>#N/A</v>
      </c>
      <c r="D312" t="e">
        <f t="shared" ca="1" si="70"/>
        <v>#N/A</v>
      </c>
      <c r="E312" t="e">
        <f t="shared" ca="1" si="70"/>
        <v>#N/A</v>
      </c>
      <c r="F312" t="e">
        <f t="shared" ca="1" si="70"/>
        <v>#N/A</v>
      </c>
      <c r="G312" t="e">
        <f t="shared" ca="1" si="70"/>
        <v>#N/A</v>
      </c>
      <c r="H312" t="e">
        <f t="shared" ca="1" si="70"/>
        <v>#N/A</v>
      </c>
      <c r="I312" t="e">
        <f t="shared" ca="1" si="70"/>
        <v>#N/A</v>
      </c>
      <c r="J312" t="e">
        <f t="shared" ca="1" si="70"/>
        <v>#N/A</v>
      </c>
      <c r="K312" t="e">
        <f t="shared" ca="1" si="70"/>
        <v>#N/A</v>
      </c>
      <c r="L312" t="e">
        <f t="shared" ca="1" si="71"/>
        <v>#N/A</v>
      </c>
      <c r="M312" t="e">
        <f t="shared" ca="1" si="71"/>
        <v>#N/A</v>
      </c>
      <c r="N312" t="e">
        <f t="shared" ca="1" si="71"/>
        <v>#N/A</v>
      </c>
      <c r="O312" t="e">
        <f t="shared" ca="1" si="71"/>
        <v>#N/A</v>
      </c>
      <c r="P312" t="e">
        <f t="shared" ca="1" si="71"/>
        <v>#N/A</v>
      </c>
      <c r="Q312" t="e">
        <f t="shared" ca="1" si="71"/>
        <v>#N/A</v>
      </c>
      <c r="R312" t="e">
        <f t="shared" ca="1" si="71"/>
        <v>#N/A</v>
      </c>
      <c r="S312" t="e">
        <f t="shared" ca="1" si="60"/>
        <v>#N/A</v>
      </c>
      <c r="T312" t="e">
        <f t="shared" ca="1" si="61"/>
        <v>#N/A</v>
      </c>
      <c r="U312" t="e">
        <f ca="1">IF(AND($C312='Funnel setup'!$K$3&amp;'Funnel setup'!$K$5&amp;'Funnel setup'!$K$6&amp;'Funnel setup'!$K$4,'Funnel Lookup'!I312="*"),#N/A,IF(AND($C312='Funnel setup'!$K$3&amp;'Funnel setup'!$K$5&amp;'Funnel setup'!$K$6&amp;'Funnel setup'!$K$4,'Funnel Lookup'!I312&gt;29),'Funnel Lookup'!I312,#N/A))</f>
        <v>#N/A</v>
      </c>
      <c r="V312" t="e">
        <f ca="1">IF(AND($C312='Funnel setup'!$K$3&amp;'Funnel setup'!$K$5&amp;'Funnel setup'!$K$6&amp;'Funnel setup'!$K$4,'Funnel Lookup'!I312="*"),#N/A,IF(AND($C312='Funnel setup'!$K$3&amp;'Funnel setup'!$K$5&amp;'Funnel setup'!$K$6&amp;'Funnel setup'!$K$4,'Funnel Lookup'!I312&gt;29),'Funnel Lookup'!Q312,#N/A))</f>
        <v>#N/A</v>
      </c>
    </row>
    <row r="313" spans="1:22" x14ac:dyDescent="0.2">
      <c r="A313">
        <v>311</v>
      </c>
      <c r="B313" t="e">
        <f t="shared" ref="B313:K322" ca="1" si="72">VLOOKUP($A313,Funnel_Data,B$1,FALSE)</f>
        <v>#N/A</v>
      </c>
      <c r="C313" t="e">
        <f t="shared" ca="1" si="72"/>
        <v>#N/A</v>
      </c>
      <c r="D313" t="e">
        <f t="shared" ca="1" si="72"/>
        <v>#N/A</v>
      </c>
      <c r="E313" t="e">
        <f t="shared" ca="1" si="72"/>
        <v>#N/A</v>
      </c>
      <c r="F313" t="e">
        <f t="shared" ca="1" si="72"/>
        <v>#N/A</v>
      </c>
      <c r="G313" t="e">
        <f t="shared" ca="1" si="72"/>
        <v>#N/A</v>
      </c>
      <c r="H313" t="e">
        <f t="shared" ca="1" si="72"/>
        <v>#N/A</v>
      </c>
      <c r="I313" t="e">
        <f t="shared" ca="1" si="72"/>
        <v>#N/A</v>
      </c>
      <c r="J313" t="e">
        <f t="shared" ca="1" si="72"/>
        <v>#N/A</v>
      </c>
      <c r="K313" t="e">
        <f t="shared" ca="1" si="72"/>
        <v>#N/A</v>
      </c>
      <c r="L313" t="e">
        <f t="shared" ref="L313:R322" ca="1" si="73">VLOOKUP($A313,Funnel_Data,L$1,FALSE)</f>
        <v>#N/A</v>
      </c>
      <c r="M313" t="e">
        <f t="shared" ca="1" si="73"/>
        <v>#N/A</v>
      </c>
      <c r="N313" t="e">
        <f t="shared" ca="1" si="73"/>
        <v>#N/A</v>
      </c>
      <c r="O313" t="e">
        <f t="shared" ca="1" si="73"/>
        <v>#N/A</v>
      </c>
      <c r="P313" t="e">
        <f t="shared" ca="1" si="73"/>
        <v>#N/A</v>
      </c>
      <c r="Q313" t="e">
        <f t="shared" ca="1" si="73"/>
        <v>#N/A</v>
      </c>
      <c r="R313" t="e">
        <f t="shared" ca="1" si="73"/>
        <v>#N/A</v>
      </c>
      <c r="S313" t="e">
        <f t="shared" ca="1" si="60"/>
        <v>#N/A</v>
      </c>
      <c r="T313" t="e">
        <f t="shared" ca="1" si="61"/>
        <v>#N/A</v>
      </c>
      <c r="U313" t="e">
        <f ca="1">IF(AND($C313='Funnel setup'!$K$3&amp;'Funnel setup'!$K$5&amp;'Funnel setup'!$K$6&amp;'Funnel setup'!$K$4,'Funnel Lookup'!I313="*"),#N/A,IF(AND($C313='Funnel setup'!$K$3&amp;'Funnel setup'!$K$5&amp;'Funnel setup'!$K$6&amp;'Funnel setup'!$K$4,'Funnel Lookup'!I313&gt;29),'Funnel Lookup'!I313,#N/A))</f>
        <v>#N/A</v>
      </c>
      <c r="V313" t="e">
        <f ca="1">IF(AND($C313='Funnel setup'!$K$3&amp;'Funnel setup'!$K$5&amp;'Funnel setup'!$K$6&amp;'Funnel setup'!$K$4,'Funnel Lookup'!I313="*"),#N/A,IF(AND($C313='Funnel setup'!$K$3&amp;'Funnel setup'!$K$5&amp;'Funnel setup'!$K$6&amp;'Funnel setup'!$K$4,'Funnel Lookup'!I313&gt;29),'Funnel Lookup'!Q313,#N/A))</f>
        <v>#N/A</v>
      </c>
    </row>
    <row r="314" spans="1:22" x14ac:dyDescent="0.2">
      <c r="A314">
        <v>312</v>
      </c>
      <c r="B314" t="e">
        <f t="shared" ca="1" si="72"/>
        <v>#N/A</v>
      </c>
      <c r="C314" t="e">
        <f t="shared" ca="1" si="72"/>
        <v>#N/A</v>
      </c>
      <c r="D314" t="e">
        <f t="shared" ca="1" si="72"/>
        <v>#N/A</v>
      </c>
      <c r="E314" t="e">
        <f t="shared" ca="1" si="72"/>
        <v>#N/A</v>
      </c>
      <c r="F314" t="e">
        <f t="shared" ca="1" si="72"/>
        <v>#N/A</v>
      </c>
      <c r="G314" t="e">
        <f t="shared" ca="1" si="72"/>
        <v>#N/A</v>
      </c>
      <c r="H314" t="e">
        <f t="shared" ca="1" si="72"/>
        <v>#N/A</v>
      </c>
      <c r="I314" t="e">
        <f t="shared" ca="1" si="72"/>
        <v>#N/A</v>
      </c>
      <c r="J314" t="e">
        <f t="shared" ca="1" si="72"/>
        <v>#N/A</v>
      </c>
      <c r="K314" t="e">
        <f t="shared" ca="1" si="72"/>
        <v>#N/A</v>
      </c>
      <c r="L314" t="e">
        <f t="shared" ca="1" si="73"/>
        <v>#N/A</v>
      </c>
      <c r="M314" t="e">
        <f t="shared" ca="1" si="73"/>
        <v>#N/A</v>
      </c>
      <c r="N314" t="e">
        <f t="shared" ca="1" si="73"/>
        <v>#N/A</v>
      </c>
      <c r="O314" t="e">
        <f t="shared" ca="1" si="73"/>
        <v>#N/A</v>
      </c>
      <c r="P314" t="e">
        <f t="shared" ca="1" si="73"/>
        <v>#N/A</v>
      </c>
      <c r="Q314" t="e">
        <f t="shared" ca="1" si="73"/>
        <v>#N/A</v>
      </c>
      <c r="R314" t="e">
        <f t="shared" ca="1" si="73"/>
        <v>#N/A</v>
      </c>
      <c r="S314" t="e">
        <f t="shared" ca="1" si="60"/>
        <v>#N/A</v>
      </c>
      <c r="T314" t="e">
        <f t="shared" ca="1" si="61"/>
        <v>#N/A</v>
      </c>
      <c r="U314" t="e">
        <f ca="1">IF(AND($C314='Funnel setup'!$K$3&amp;'Funnel setup'!$K$5&amp;'Funnel setup'!$K$6&amp;'Funnel setup'!$K$4,'Funnel Lookup'!I314="*"),#N/A,IF(AND($C314='Funnel setup'!$K$3&amp;'Funnel setup'!$K$5&amp;'Funnel setup'!$K$6&amp;'Funnel setup'!$K$4,'Funnel Lookup'!I314&gt;29),'Funnel Lookup'!I314,#N/A))</f>
        <v>#N/A</v>
      </c>
      <c r="V314" t="e">
        <f ca="1">IF(AND($C314='Funnel setup'!$K$3&amp;'Funnel setup'!$K$5&amp;'Funnel setup'!$K$6&amp;'Funnel setup'!$K$4,'Funnel Lookup'!I314="*"),#N/A,IF(AND($C314='Funnel setup'!$K$3&amp;'Funnel setup'!$K$5&amp;'Funnel setup'!$K$6&amp;'Funnel setup'!$K$4,'Funnel Lookup'!I314&gt;29),'Funnel Lookup'!Q314,#N/A))</f>
        <v>#N/A</v>
      </c>
    </row>
    <row r="315" spans="1:22" x14ac:dyDescent="0.2">
      <c r="A315">
        <v>313</v>
      </c>
      <c r="B315" t="e">
        <f t="shared" ca="1" si="72"/>
        <v>#N/A</v>
      </c>
      <c r="C315" t="e">
        <f t="shared" ca="1" si="72"/>
        <v>#N/A</v>
      </c>
      <c r="D315" t="e">
        <f t="shared" ca="1" si="72"/>
        <v>#N/A</v>
      </c>
      <c r="E315" t="e">
        <f t="shared" ca="1" si="72"/>
        <v>#N/A</v>
      </c>
      <c r="F315" t="e">
        <f t="shared" ca="1" si="72"/>
        <v>#N/A</v>
      </c>
      <c r="G315" t="e">
        <f t="shared" ca="1" si="72"/>
        <v>#N/A</v>
      </c>
      <c r="H315" t="e">
        <f t="shared" ca="1" si="72"/>
        <v>#N/A</v>
      </c>
      <c r="I315" t="e">
        <f t="shared" ca="1" si="72"/>
        <v>#N/A</v>
      </c>
      <c r="J315" t="e">
        <f t="shared" ca="1" si="72"/>
        <v>#N/A</v>
      </c>
      <c r="K315" t="e">
        <f t="shared" ca="1" si="72"/>
        <v>#N/A</v>
      </c>
      <c r="L315" t="e">
        <f t="shared" ca="1" si="73"/>
        <v>#N/A</v>
      </c>
      <c r="M315" t="e">
        <f t="shared" ca="1" si="73"/>
        <v>#N/A</v>
      </c>
      <c r="N315" t="e">
        <f t="shared" ca="1" si="73"/>
        <v>#N/A</v>
      </c>
      <c r="O315" t="e">
        <f t="shared" ca="1" si="73"/>
        <v>#N/A</v>
      </c>
      <c r="P315" t="e">
        <f t="shared" ca="1" si="73"/>
        <v>#N/A</v>
      </c>
      <c r="Q315" t="e">
        <f t="shared" ca="1" si="73"/>
        <v>#N/A</v>
      </c>
      <c r="R315" t="e">
        <f t="shared" ca="1" si="73"/>
        <v>#N/A</v>
      </c>
      <c r="S315" t="e">
        <f t="shared" ca="1" si="60"/>
        <v>#N/A</v>
      </c>
      <c r="T315" t="e">
        <f t="shared" ca="1" si="61"/>
        <v>#N/A</v>
      </c>
      <c r="U315" t="e">
        <f ca="1">IF(AND($C315='Funnel setup'!$K$3&amp;'Funnel setup'!$K$5&amp;'Funnel setup'!$K$6&amp;'Funnel setup'!$K$4,'Funnel Lookup'!I315="*"),#N/A,IF(AND($C315='Funnel setup'!$K$3&amp;'Funnel setup'!$K$5&amp;'Funnel setup'!$K$6&amp;'Funnel setup'!$K$4,'Funnel Lookup'!I315&gt;29),'Funnel Lookup'!I315,#N/A))</f>
        <v>#N/A</v>
      </c>
      <c r="V315" t="e">
        <f ca="1">IF(AND($C315='Funnel setup'!$K$3&amp;'Funnel setup'!$K$5&amp;'Funnel setup'!$K$6&amp;'Funnel setup'!$K$4,'Funnel Lookup'!I315="*"),#N/A,IF(AND($C315='Funnel setup'!$K$3&amp;'Funnel setup'!$K$5&amp;'Funnel setup'!$K$6&amp;'Funnel setup'!$K$4,'Funnel Lookup'!I315&gt;29),'Funnel Lookup'!Q315,#N/A))</f>
        <v>#N/A</v>
      </c>
    </row>
    <row r="316" spans="1:22" x14ac:dyDescent="0.2">
      <c r="A316">
        <v>314</v>
      </c>
      <c r="B316" t="e">
        <f t="shared" ca="1" si="72"/>
        <v>#N/A</v>
      </c>
      <c r="C316" t="e">
        <f t="shared" ca="1" si="72"/>
        <v>#N/A</v>
      </c>
      <c r="D316" t="e">
        <f t="shared" ca="1" si="72"/>
        <v>#N/A</v>
      </c>
      <c r="E316" t="e">
        <f t="shared" ca="1" si="72"/>
        <v>#N/A</v>
      </c>
      <c r="F316" t="e">
        <f t="shared" ca="1" si="72"/>
        <v>#N/A</v>
      </c>
      <c r="G316" t="e">
        <f t="shared" ca="1" si="72"/>
        <v>#N/A</v>
      </c>
      <c r="H316" t="e">
        <f t="shared" ca="1" si="72"/>
        <v>#N/A</v>
      </c>
      <c r="I316" t="e">
        <f t="shared" ca="1" si="72"/>
        <v>#N/A</v>
      </c>
      <c r="J316" t="e">
        <f t="shared" ca="1" si="72"/>
        <v>#N/A</v>
      </c>
      <c r="K316" t="e">
        <f t="shared" ca="1" si="72"/>
        <v>#N/A</v>
      </c>
      <c r="L316" t="e">
        <f t="shared" ca="1" si="73"/>
        <v>#N/A</v>
      </c>
      <c r="M316" t="e">
        <f t="shared" ca="1" si="73"/>
        <v>#N/A</v>
      </c>
      <c r="N316" t="e">
        <f t="shared" ca="1" si="73"/>
        <v>#N/A</v>
      </c>
      <c r="O316" t="e">
        <f t="shared" ca="1" si="73"/>
        <v>#N/A</v>
      </c>
      <c r="P316" t="e">
        <f t="shared" ca="1" si="73"/>
        <v>#N/A</v>
      </c>
      <c r="Q316" t="e">
        <f t="shared" ca="1" si="73"/>
        <v>#N/A</v>
      </c>
      <c r="R316" t="e">
        <f t="shared" ca="1" si="73"/>
        <v>#N/A</v>
      </c>
      <c r="S316" t="e">
        <f t="shared" ca="1" si="60"/>
        <v>#N/A</v>
      </c>
      <c r="T316" t="e">
        <f t="shared" ca="1" si="61"/>
        <v>#N/A</v>
      </c>
      <c r="U316" t="e">
        <f ca="1">IF(AND($C316='Funnel setup'!$K$3&amp;'Funnel setup'!$K$5&amp;'Funnel setup'!$K$6&amp;'Funnel setup'!$K$4,'Funnel Lookup'!I316="*"),#N/A,IF(AND($C316='Funnel setup'!$K$3&amp;'Funnel setup'!$K$5&amp;'Funnel setup'!$K$6&amp;'Funnel setup'!$K$4,'Funnel Lookup'!I316&gt;29),'Funnel Lookup'!I316,#N/A))</f>
        <v>#N/A</v>
      </c>
      <c r="V316" t="e">
        <f ca="1">IF(AND($C316='Funnel setup'!$K$3&amp;'Funnel setup'!$K$5&amp;'Funnel setup'!$K$6&amp;'Funnel setup'!$K$4,'Funnel Lookup'!I316="*"),#N/A,IF(AND($C316='Funnel setup'!$K$3&amp;'Funnel setup'!$K$5&amp;'Funnel setup'!$K$6&amp;'Funnel setup'!$K$4,'Funnel Lookup'!I316&gt;29),'Funnel Lookup'!Q316,#N/A))</f>
        <v>#N/A</v>
      </c>
    </row>
    <row r="317" spans="1:22" x14ac:dyDescent="0.2">
      <c r="A317">
        <v>315</v>
      </c>
      <c r="B317" t="e">
        <f t="shared" ca="1" si="72"/>
        <v>#N/A</v>
      </c>
      <c r="C317" t="e">
        <f t="shared" ca="1" si="72"/>
        <v>#N/A</v>
      </c>
      <c r="D317" t="e">
        <f t="shared" ca="1" si="72"/>
        <v>#N/A</v>
      </c>
      <c r="E317" t="e">
        <f t="shared" ca="1" si="72"/>
        <v>#N/A</v>
      </c>
      <c r="F317" t="e">
        <f t="shared" ca="1" si="72"/>
        <v>#N/A</v>
      </c>
      <c r="G317" t="e">
        <f t="shared" ca="1" si="72"/>
        <v>#N/A</v>
      </c>
      <c r="H317" t="e">
        <f t="shared" ca="1" si="72"/>
        <v>#N/A</v>
      </c>
      <c r="I317" t="e">
        <f t="shared" ca="1" si="72"/>
        <v>#N/A</v>
      </c>
      <c r="J317" t="e">
        <f t="shared" ca="1" si="72"/>
        <v>#N/A</v>
      </c>
      <c r="K317" t="e">
        <f t="shared" ca="1" si="72"/>
        <v>#N/A</v>
      </c>
      <c r="L317" t="e">
        <f t="shared" ca="1" si="73"/>
        <v>#N/A</v>
      </c>
      <c r="M317" t="e">
        <f t="shared" ca="1" si="73"/>
        <v>#N/A</v>
      </c>
      <c r="N317" t="e">
        <f t="shared" ca="1" si="73"/>
        <v>#N/A</v>
      </c>
      <c r="O317" t="e">
        <f t="shared" ca="1" si="73"/>
        <v>#N/A</v>
      </c>
      <c r="P317" t="e">
        <f t="shared" ca="1" si="73"/>
        <v>#N/A</v>
      </c>
      <c r="Q317" t="e">
        <f t="shared" ca="1" si="73"/>
        <v>#N/A</v>
      </c>
      <c r="R317" t="e">
        <f t="shared" ca="1" si="73"/>
        <v>#N/A</v>
      </c>
      <c r="S317" t="e">
        <f t="shared" ca="1" si="60"/>
        <v>#N/A</v>
      </c>
      <c r="T317" t="e">
        <f t="shared" ca="1" si="61"/>
        <v>#N/A</v>
      </c>
      <c r="U317" t="e">
        <f ca="1">IF(AND($C317='Funnel setup'!$K$3&amp;'Funnel setup'!$K$5&amp;'Funnel setup'!$K$6&amp;'Funnel setup'!$K$4,'Funnel Lookup'!I317="*"),#N/A,IF(AND($C317='Funnel setup'!$K$3&amp;'Funnel setup'!$K$5&amp;'Funnel setup'!$K$6&amp;'Funnel setup'!$K$4,'Funnel Lookup'!I317&gt;29),'Funnel Lookup'!I317,#N/A))</f>
        <v>#N/A</v>
      </c>
      <c r="V317" t="e">
        <f ca="1">IF(AND($C317='Funnel setup'!$K$3&amp;'Funnel setup'!$K$5&amp;'Funnel setup'!$K$6&amp;'Funnel setup'!$K$4,'Funnel Lookup'!I317="*"),#N/A,IF(AND($C317='Funnel setup'!$K$3&amp;'Funnel setup'!$K$5&amp;'Funnel setup'!$K$6&amp;'Funnel setup'!$K$4,'Funnel Lookup'!I317&gt;29),'Funnel Lookup'!Q317,#N/A))</f>
        <v>#N/A</v>
      </c>
    </row>
    <row r="318" spans="1:22" x14ac:dyDescent="0.2">
      <c r="A318">
        <v>316</v>
      </c>
      <c r="B318" t="e">
        <f t="shared" ca="1" si="72"/>
        <v>#N/A</v>
      </c>
      <c r="C318" t="e">
        <f t="shared" ca="1" si="72"/>
        <v>#N/A</v>
      </c>
      <c r="D318" t="e">
        <f t="shared" ca="1" si="72"/>
        <v>#N/A</v>
      </c>
      <c r="E318" t="e">
        <f t="shared" ca="1" si="72"/>
        <v>#N/A</v>
      </c>
      <c r="F318" t="e">
        <f t="shared" ca="1" si="72"/>
        <v>#N/A</v>
      </c>
      <c r="G318" t="e">
        <f t="shared" ca="1" si="72"/>
        <v>#N/A</v>
      </c>
      <c r="H318" t="e">
        <f t="shared" ca="1" si="72"/>
        <v>#N/A</v>
      </c>
      <c r="I318" t="e">
        <f t="shared" ca="1" si="72"/>
        <v>#N/A</v>
      </c>
      <c r="J318" t="e">
        <f t="shared" ca="1" si="72"/>
        <v>#N/A</v>
      </c>
      <c r="K318" t="e">
        <f t="shared" ca="1" si="72"/>
        <v>#N/A</v>
      </c>
      <c r="L318" t="e">
        <f t="shared" ca="1" si="73"/>
        <v>#N/A</v>
      </c>
      <c r="M318" t="e">
        <f t="shared" ca="1" si="73"/>
        <v>#N/A</v>
      </c>
      <c r="N318" t="e">
        <f t="shared" ca="1" si="73"/>
        <v>#N/A</v>
      </c>
      <c r="O318" t="e">
        <f t="shared" ca="1" si="73"/>
        <v>#N/A</v>
      </c>
      <c r="P318" t="e">
        <f t="shared" ca="1" si="73"/>
        <v>#N/A</v>
      </c>
      <c r="Q318" t="e">
        <f t="shared" ca="1" si="73"/>
        <v>#N/A</v>
      </c>
      <c r="R318" t="e">
        <f t="shared" ca="1" si="73"/>
        <v>#N/A</v>
      </c>
      <c r="S318" t="e">
        <f t="shared" ca="1" si="60"/>
        <v>#N/A</v>
      </c>
      <c r="T318" t="e">
        <f t="shared" ca="1" si="61"/>
        <v>#N/A</v>
      </c>
      <c r="U318" t="e">
        <f ca="1">IF(AND($C318='Funnel setup'!$K$3&amp;'Funnel setup'!$K$5&amp;'Funnel setup'!$K$6&amp;'Funnel setup'!$K$4,'Funnel Lookup'!I318="*"),#N/A,IF(AND($C318='Funnel setup'!$K$3&amp;'Funnel setup'!$K$5&amp;'Funnel setup'!$K$6&amp;'Funnel setup'!$K$4,'Funnel Lookup'!I318&gt;29),'Funnel Lookup'!I318,#N/A))</f>
        <v>#N/A</v>
      </c>
      <c r="V318" t="e">
        <f ca="1">IF(AND($C318='Funnel setup'!$K$3&amp;'Funnel setup'!$K$5&amp;'Funnel setup'!$K$6&amp;'Funnel setup'!$K$4,'Funnel Lookup'!I318="*"),#N/A,IF(AND($C318='Funnel setup'!$K$3&amp;'Funnel setup'!$K$5&amp;'Funnel setup'!$K$6&amp;'Funnel setup'!$K$4,'Funnel Lookup'!I318&gt;29),'Funnel Lookup'!Q318,#N/A))</f>
        <v>#N/A</v>
      </c>
    </row>
    <row r="319" spans="1:22" x14ac:dyDescent="0.2">
      <c r="A319">
        <v>317</v>
      </c>
      <c r="B319" t="e">
        <f t="shared" ca="1" si="72"/>
        <v>#N/A</v>
      </c>
      <c r="C319" t="e">
        <f t="shared" ca="1" si="72"/>
        <v>#N/A</v>
      </c>
      <c r="D319" t="e">
        <f t="shared" ca="1" si="72"/>
        <v>#N/A</v>
      </c>
      <c r="E319" t="e">
        <f t="shared" ca="1" si="72"/>
        <v>#N/A</v>
      </c>
      <c r="F319" t="e">
        <f t="shared" ca="1" si="72"/>
        <v>#N/A</v>
      </c>
      <c r="G319" t="e">
        <f t="shared" ca="1" si="72"/>
        <v>#N/A</v>
      </c>
      <c r="H319" t="e">
        <f t="shared" ca="1" si="72"/>
        <v>#N/A</v>
      </c>
      <c r="I319" t="e">
        <f t="shared" ca="1" si="72"/>
        <v>#N/A</v>
      </c>
      <c r="J319" t="e">
        <f t="shared" ca="1" si="72"/>
        <v>#N/A</v>
      </c>
      <c r="K319" t="e">
        <f t="shared" ca="1" si="72"/>
        <v>#N/A</v>
      </c>
      <c r="L319" t="e">
        <f t="shared" ca="1" si="73"/>
        <v>#N/A</v>
      </c>
      <c r="M319" t="e">
        <f t="shared" ca="1" si="73"/>
        <v>#N/A</v>
      </c>
      <c r="N319" t="e">
        <f t="shared" ca="1" si="73"/>
        <v>#N/A</v>
      </c>
      <c r="O319" t="e">
        <f t="shared" ca="1" si="73"/>
        <v>#N/A</v>
      </c>
      <c r="P319" t="e">
        <f t="shared" ca="1" si="73"/>
        <v>#N/A</v>
      </c>
      <c r="Q319" t="e">
        <f t="shared" ca="1" si="73"/>
        <v>#N/A</v>
      </c>
      <c r="R319" t="e">
        <f t="shared" ca="1" si="73"/>
        <v>#N/A</v>
      </c>
      <c r="S319" t="e">
        <f t="shared" ca="1" si="60"/>
        <v>#N/A</v>
      </c>
      <c r="T319" t="e">
        <f t="shared" ca="1" si="61"/>
        <v>#N/A</v>
      </c>
      <c r="U319" t="e">
        <f ca="1">IF(AND($C319='Funnel setup'!$K$3&amp;'Funnel setup'!$K$5&amp;'Funnel setup'!$K$6&amp;'Funnel setup'!$K$4,'Funnel Lookup'!I319="*"),#N/A,IF(AND($C319='Funnel setup'!$K$3&amp;'Funnel setup'!$K$5&amp;'Funnel setup'!$K$6&amp;'Funnel setup'!$K$4,'Funnel Lookup'!I319&gt;29),'Funnel Lookup'!I319,#N/A))</f>
        <v>#N/A</v>
      </c>
      <c r="V319" t="e">
        <f ca="1">IF(AND($C319='Funnel setup'!$K$3&amp;'Funnel setup'!$K$5&amp;'Funnel setup'!$K$6&amp;'Funnel setup'!$K$4,'Funnel Lookup'!I319="*"),#N/A,IF(AND($C319='Funnel setup'!$K$3&amp;'Funnel setup'!$K$5&amp;'Funnel setup'!$K$6&amp;'Funnel setup'!$K$4,'Funnel Lookup'!I319&gt;29),'Funnel Lookup'!Q319,#N/A))</f>
        <v>#N/A</v>
      </c>
    </row>
    <row r="320" spans="1:22" x14ac:dyDescent="0.2">
      <c r="A320">
        <v>318</v>
      </c>
      <c r="B320" t="e">
        <f t="shared" ca="1" si="72"/>
        <v>#N/A</v>
      </c>
      <c r="C320" t="e">
        <f t="shared" ca="1" si="72"/>
        <v>#N/A</v>
      </c>
      <c r="D320" t="e">
        <f t="shared" ca="1" si="72"/>
        <v>#N/A</v>
      </c>
      <c r="E320" t="e">
        <f t="shared" ca="1" si="72"/>
        <v>#N/A</v>
      </c>
      <c r="F320" t="e">
        <f t="shared" ca="1" si="72"/>
        <v>#N/A</v>
      </c>
      <c r="G320" t="e">
        <f t="shared" ca="1" si="72"/>
        <v>#N/A</v>
      </c>
      <c r="H320" t="e">
        <f t="shared" ca="1" si="72"/>
        <v>#N/A</v>
      </c>
      <c r="I320" t="e">
        <f t="shared" ca="1" si="72"/>
        <v>#N/A</v>
      </c>
      <c r="J320" t="e">
        <f t="shared" ca="1" si="72"/>
        <v>#N/A</v>
      </c>
      <c r="K320" t="e">
        <f t="shared" ca="1" si="72"/>
        <v>#N/A</v>
      </c>
      <c r="L320" t="e">
        <f t="shared" ca="1" si="73"/>
        <v>#N/A</v>
      </c>
      <c r="M320" t="e">
        <f t="shared" ca="1" si="73"/>
        <v>#N/A</v>
      </c>
      <c r="N320" t="e">
        <f t="shared" ca="1" si="73"/>
        <v>#N/A</v>
      </c>
      <c r="O320" t="e">
        <f t="shared" ca="1" si="73"/>
        <v>#N/A</v>
      </c>
      <c r="P320" t="e">
        <f t="shared" ca="1" si="73"/>
        <v>#N/A</v>
      </c>
      <c r="Q320" t="e">
        <f t="shared" ca="1" si="73"/>
        <v>#N/A</v>
      </c>
      <c r="R320" t="e">
        <f t="shared" ca="1" si="73"/>
        <v>#N/A</v>
      </c>
      <c r="S320" t="e">
        <f t="shared" ca="1" si="60"/>
        <v>#N/A</v>
      </c>
      <c r="T320" t="e">
        <f t="shared" ca="1" si="61"/>
        <v>#N/A</v>
      </c>
      <c r="U320" t="e">
        <f ca="1">IF(AND($C320='Funnel setup'!$K$3&amp;'Funnel setup'!$K$5&amp;'Funnel setup'!$K$6&amp;'Funnel setup'!$K$4,'Funnel Lookup'!I320="*"),#N/A,IF(AND($C320='Funnel setup'!$K$3&amp;'Funnel setup'!$K$5&amp;'Funnel setup'!$K$6&amp;'Funnel setup'!$K$4,'Funnel Lookup'!I320&gt;29),'Funnel Lookup'!I320,#N/A))</f>
        <v>#N/A</v>
      </c>
      <c r="V320" t="e">
        <f ca="1">IF(AND($C320='Funnel setup'!$K$3&amp;'Funnel setup'!$K$5&amp;'Funnel setup'!$K$6&amp;'Funnel setup'!$K$4,'Funnel Lookup'!I320="*"),#N/A,IF(AND($C320='Funnel setup'!$K$3&amp;'Funnel setup'!$K$5&amp;'Funnel setup'!$K$6&amp;'Funnel setup'!$K$4,'Funnel Lookup'!I320&gt;29),'Funnel Lookup'!Q320,#N/A))</f>
        <v>#N/A</v>
      </c>
    </row>
    <row r="321" spans="1:22" x14ac:dyDescent="0.2">
      <c r="A321">
        <v>319</v>
      </c>
      <c r="B321" t="e">
        <f t="shared" ca="1" si="72"/>
        <v>#N/A</v>
      </c>
      <c r="C321" t="e">
        <f t="shared" ca="1" si="72"/>
        <v>#N/A</v>
      </c>
      <c r="D321" t="e">
        <f t="shared" ca="1" si="72"/>
        <v>#N/A</v>
      </c>
      <c r="E321" t="e">
        <f t="shared" ca="1" si="72"/>
        <v>#N/A</v>
      </c>
      <c r="F321" t="e">
        <f t="shared" ca="1" si="72"/>
        <v>#N/A</v>
      </c>
      <c r="G321" t="e">
        <f t="shared" ca="1" si="72"/>
        <v>#N/A</v>
      </c>
      <c r="H321" t="e">
        <f t="shared" ca="1" si="72"/>
        <v>#N/A</v>
      </c>
      <c r="I321" t="e">
        <f t="shared" ca="1" si="72"/>
        <v>#N/A</v>
      </c>
      <c r="J321" t="e">
        <f t="shared" ca="1" si="72"/>
        <v>#N/A</v>
      </c>
      <c r="K321" t="e">
        <f t="shared" ca="1" si="72"/>
        <v>#N/A</v>
      </c>
      <c r="L321" t="e">
        <f t="shared" ca="1" si="73"/>
        <v>#N/A</v>
      </c>
      <c r="M321" t="e">
        <f t="shared" ca="1" si="73"/>
        <v>#N/A</v>
      </c>
      <c r="N321" t="e">
        <f t="shared" ca="1" si="73"/>
        <v>#N/A</v>
      </c>
      <c r="O321" t="e">
        <f t="shared" ca="1" si="73"/>
        <v>#N/A</v>
      </c>
      <c r="P321" t="e">
        <f t="shared" ca="1" si="73"/>
        <v>#N/A</v>
      </c>
      <c r="Q321" t="e">
        <f t="shared" ca="1" si="73"/>
        <v>#N/A</v>
      </c>
      <c r="R321" t="e">
        <f t="shared" ca="1" si="73"/>
        <v>#N/A</v>
      </c>
      <c r="S321" t="e">
        <f t="shared" ca="1" si="60"/>
        <v>#N/A</v>
      </c>
      <c r="T321" t="e">
        <f t="shared" ca="1" si="61"/>
        <v>#N/A</v>
      </c>
      <c r="U321" t="e">
        <f ca="1">IF(AND($C321='Funnel setup'!$K$3&amp;'Funnel setup'!$K$5&amp;'Funnel setup'!$K$6&amp;'Funnel setup'!$K$4,'Funnel Lookup'!I321="*"),#N/A,IF(AND($C321='Funnel setup'!$K$3&amp;'Funnel setup'!$K$5&amp;'Funnel setup'!$K$6&amp;'Funnel setup'!$K$4,'Funnel Lookup'!I321&gt;29),'Funnel Lookup'!I321,#N/A))</f>
        <v>#N/A</v>
      </c>
      <c r="V321" t="e">
        <f ca="1">IF(AND($C321='Funnel setup'!$K$3&amp;'Funnel setup'!$K$5&amp;'Funnel setup'!$K$6&amp;'Funnel setup'!$K$4,'Funnel Lookup'!I321="*"),#N/A,IF(AND($C321='Funnel setup'!$K$3&amp;'Funnel setup'!$K$5&amp;'Funnel setup'!$K$6&amp;'Funnel setup'!$K$4,'Funnel Lookup'!I321&gt;29),'Funnel Lookup'!Q321,#N/A))</f>
        <v>#N/A</v>
      </c>
    </row>
    <row r="322" spans="1:22" x14ac:dyDescent="0.2">
      <c r="A322">
        <v>320</v>
      </c>
      <c r="B322" t="e">
        <f t="shared" ca="1" si="72"/>
        <v>#N/A</v>
      </c>
      <c r="C322" t="e">
        <f t="shared" ca="1" si="72"/>
        <v>#N/A</v>
      </c>
      <c r="D322" t="e">
        <f t="shared" ca="1" si="72"/>
        <v>#N/A</v>
      </c>
      <c r="E322" t="e">
        <f t="shared" ca="1" si="72"/>
        <v>#N/A</v>
      </c>
      <c r="F322" t="e">
        <f t="shared" ca="1" si="72"/>
        <v>#N/A</v>
      </c>
      <c r="G322" t="e">
        <f t="shared" ca="1" si="72"/>
        <v>#N/A</v>
      </c>
      <c r="H322" t="e">
        <f t="shared" ca="1" si="72"/>
        <v>#N/A</v>
      </c>
      <c r="I322" t="e">
        <f t="shared" ca="1" si="72"/>
        <v>#N/A</v>
      </c>
      <c r="J322" t="e">
        <f t="shared" ca="1" si="72"/>
        <v>#N/A</v>
      </c>
      <c r="K322" t="e">
        <f t="shared" ca="1" si="72"/>
        <v>#N/A</v>
      </c>
      <c r="L322" t="e">
        <f t="shared" ca="1" si="73"/>
        <v>#N/A</v>
      </c>
      <c r="M322" t="e">
        <f t="shared" ca="1" si="73"/>
        <v>#N/A</v>
      </c>
      <c r="N322" t="e">
        <f t="shared" ca="1" si="73"/>
        <v>#N/A</v>
      </c>
      <c r="O322" t="e">
        <f t="shared" ca="1" si="73"/>
        <v>#N/A</v>
      </c>
      <c r="P322" t="e">
        <f t="shared" ca="1" si="73"/>
        <v>#N/A</v>
      </c>
      <c r="Q322" t="e">
        <f t="shared" ca="1" si="73"/>
        <v>#N/A</v>
      </c>
      <c r="R322" t="e">
        <f t="shared" ca="1" si="73"/>
        <v>#N/A</v>
      </c>
      <c r="S322" t="e">
        <f t="shared" ca="1" si="60"/>
        <v>#N/A</v>
      </c>
      <c r="T322" t="e">
        <f t="shared" ca="1" si="61"/>
        <v>#N/A</v>
      </c>
      <c r="U322" t="e">
        <f ca="1">IF(AND($C322='Funnel setup'!$K$3&amp;'Funnel setup'!$K$5&amp;'Funnel setup'!$K$6&amp;'Funnel setup'!$K$4,'Funnel Lookup'!I322="*"),#N/A,IF(AND($C322='Funnel setup'!$K$3&amp;'Funnel setup'!$K$5&amp;'Funnel setup'!$K$6&amp;'Funnel setup'!$K$4,'Funnel Lookup'!I322&gt;29),'Funnel Lookup'!I322,#N/A))</f>
        <v>#N/A</v>
      </c>
      <c r="V322" t="e">
        <f ca="1">IF(AND($C322='Funnel setup'!$K$3&amp;'Funnel setup'!$K$5&amp;'Funnel setup'!$K$6&amp;'Funnel setup'!$K$4,'Funnel Lookup'!I322="*"),#N/A,IF(AND($C322='Funnel setup'!$K$3&amp;'Funnel setup'!$K$5&amp;'Funnel setup'!$K$6&amp;'Funnel setup'!$K$4,'Funnel Lookup'!I322&gt;29),'Funnel Lookup'!Q322,#N/A))</f>
        <v>#N/A</v>
      </c>
    </row>
    <row r="323" spans="1:22" x14ac:dyDescent="0.2">
      <c r="A323">
        <v>321</v>
      </c>
      <c r="B323" t="e">
        <f t="shared" ref="B323:K332" ca="1" si="74">VLOOKUP($A323,Funnel_Data,B$1,FALSE)</f>
        <v>#N/A</v>
      </c>
      <c r="C323" t="e">
        <f t="shared" ca="1" si="74"/>
        <v>#N/A</v>
      </c>
      <c r="D323" t="e">
        <f t="shared" ca="1" si="74"/>
        <v>#N/A</v>
      </c>
      <c r="E323" t="e">
        <f t="shared" ca="1" si="74"/>
        <v>#N/A</v>
      </c>
      <c r="F323" t="e">
        <f t="shared" ca="1" si="74"/>
        <v>#N/A</v>
      </c>
      <c r="G323" t="e">
        <f t="shared" ca="1" si="74"/>
        <v>#N/A</v>
      </c>
      <c r="H323" t="e">
        <f t="shared" ca="1" si="74"/>
        <v>#N/A</v>
      </c>
      <c r="I323" t="e">
        <f t="shared" ca="1" si="74"/>
        <v>#N/A</v>
      </c>
      <c r="J323" t="e">
        <f t="shared" ca="1" si="74"/>
        <v>#N/A</v>
      </c>
      <c r="K323" t="e">
        <f t="shared" ca="1" si="74"/>
        <v>#N/A</v>
      </c>
      <c r="L323" t="e">
        <f t="shared" ref="L323:R332" ca="1" si="75">VLOOKUP($A323,Funnel_Data,L$1,FALSE)</f>
        <v>#N/A</v>
      </c>
      <c r="M323" t="e">
        <f t="shared" ca="1" si="75"/>
        <v>#N/A</v>
      </c>
      <c r="N323" t="e">
        <f t="shared" ca="1" si="75"/>
        <v>#N/A</v>
      </c>
      <c r="O323" t="e">
        <f t="shared" ca="1" si="75"/>
        <v>#N/A</v>
      </c>
      <c r="P323" t="e">
        <f t="shared" ca="1" si="75"/>
        <v>#N/A</v>
      </c>
      <c r="Q323" t="e">
        <f t="shared" ca="1" si="75"/>
        <v>#N/A</v>
      </c>
      <c r="R323" t="e">
        <f t="shared" ca="1" si="75"/>
        <v>#N/A</v>
      </c>
      <c r="S323" t="e">
        <f t="shared" ca="1" si="60"/>
        <v>#N/A</v>
      </c>
      <c r="T323" t="e">
        <f t="shared" ca="1" si="61"/>
        <v>#N/A</v>
      </c>
      <c r="U323" t="e">
        <f ca="1">IF(AND($C323='Funnel setup'!$K$3&amp;'Funnel setup'!$K$5&amp;'Funnel setup'!$K$6&amp;'Funnel setup'!$K$4,'Funnel Lookup'!I323="*"),#N/A,IF(AND($C323='Funnel setup'!$K$3&amp;'Funnel setup'!$K$5&amp;'Funnel setup'!$K$6&amp;'Funnel setup'!$K$4,'Funnel Lookup'!I323&gt;29),'Funnel Lookup'!I323,#N/A))</f>
        <v>#N/A</v>
      </c>
      <c r="V323" t="e">
        <f ca="1">IF(AND($C323='Funnel setup'!$K$3&amp;'Funnel setup'!$K$5&amp;'Funnel setup'!$K$6&amp;'Funnel setup'!$K$4,'Funnel Lookup'!I323="*"),#N/A,IF(AND($C323='Funnel setup'!$K$3&amp;'Funnel setup'!$K$5&amp;'Funnel setup'!$K$6&amp;'Funnel setup'!$K$4,'Funnel Lookup'!I323&gt;29),'Funnel Lookup'!Q323,#N/A))</f>
        <v>#N/A</v>
      </c>
    </row>
    <row r="324" spans="1:22" x14ac:dyDescent="0.2">
      <c r="A324">
        <v>322</v>
      </c>
      <c r="B324" t="e">
        <f t="shared" ca="1" si="74"/>
        <v>#N/A</v>
      </c>
      <c r="C324" t="e">
        <f t="shared" ca="1" si="74"/>
        <v>#N/A</v>
      </c>
      <c r="D324" t="e">
        <f t="shared" ca="1" si="74"/>
        <v>#N/A</v>
      </c>
      <c r="E324" t="e">
        <f t="shared" ca="1" si="74"/>
        <v>#N/A</v>
      </c>
      <c r="F324" t="e">
        <f t="shared" ca="1" si="74"/>
        <v>#N/A</v>
      </c>
      <c r="G324" t="e">
        <f t="shared" ca="1" si="74"/>
        <v>#N/A</v>
      </c>
      <c r="H324" t="e">
        <f t="shared" ca="1" si="74"/>
        <v>#N/A</v>
      </c>
      <c r="I324" t="e">
        <f t="shared" ca="1" si="74"/>
        <v>#N/A</v>
      </c>
      <c r="J324" t="e">
        <f t="shared" ca="1" si="74"/>
        <v>#N/A</v>
      </c>
      <c r="K324" t="e">
        <f t="shared" ca="1" si="74"/>
        <v>#N/A</v>
      </c>
      <c r="L324" t="e">
        <f t="shared" ca="1" si="75"/>
        <v>#N/A</v>
      </c>
      <c r="M324" t="e">
        <f t="shared" ca="1" si="75"/>
        <v>#N/A</v>
      </c>
      <c r="N324" t="e">
        <f t="shared" ca="1" si="75"/>
        <v>#N/A</v>
      </c>
      <c r="O324" t="e">
        <f t="shared" ca="1" si="75"/>
        <v>#N/A</v>
      </c>
      <c r="P324" t="e">
        <f t="shared" ca="1" si="75"/>
        <v>#N/A</v>
      </c>
      <c r="Q324" t="e">
        <f t="shared" ca="1" si="75"/>
        <v>#N/A</v>
      </c>
      <c r="R324" t="e">
        <f t="shared" ca="1" si="75"/>
        <v>#N/A</v>
      </c>
      <c r="S324" t="e">
        <f t="shared" ref="S324:S387" ca="1" si="76">IF($Q324="*",#N/A,I324)</f>
        <v>#N/A</v>
      </c>
      <c r="T324" t="e">
        <f t="shared" ref="T324:T387" ca="1" si="77">IF($Q324="*",#N/A,Q324)</f>
        <v>#N/A</v>
      </c>
      <c r="U324" t="e">
        <f ca="1">IF(AND($C324='Funnel setup'!$K$3&amp;'Funnel setup'!$K$5&amp;'Funnel setup'!$K$6&amp;'Funnel setup'!$K$4,'Funnel Lookup'!I324="*"),#N/A,IF(AND($C324='Funnel setup'!$K$3&amp;'Funnel setup'!$K$5&amp;'Funnel setup'!$K$6&amp;'Funnel setup'!$K$4,'Funnel Lookup'!I324&gt;29),'Funnel Lookup'!I324,#N/A))</f>
        <v>#N/A</v>
      </c>
      <c r="V324" t="e">
        <f ca="1">IF(AND($C324='Funnel setup'!$K$3&amp;'Funnel setup'!$K$5&amp;'Funnel setup'!$K$6&amp;'Funnel setup'!$K$4,'Funnel Lookup'!I324="*"),#N/A,IF(AND($C324='Funnel setup'!$K$3&amp;'Funnel setup'!$K$5&amp;'Funnel setup'!$K$6&amp;'Funnel setup'!$K$4,'Funnel Lookup'!I324&gt;29),'Funnel Lookup'!Q324,#N/A))</f>
        <v>#N/A</v>
      </c>
    </row>
    <row r="325" spans="1:22" x14ac:dyDescent="0.2">
      <c r="A325">
        <v>323</v>
      </c>
      <c r="B325" t="e">
        <f t="shared" ca="1" si="74"/>
        <v>#N/A</v>
      </c>
      <c r="C325" t="e">
        <f t="shared" ca="1" si="74"/>
        <v>#N/A</v>
      </c>
      <c r="D325" t="e">
        <f t="shared" ca="1" si="74"/>
        <v>#N/A</v>
      </c>
      <c r="E325" t="e">
        <f t="shared" ca="1" si="74"/>
        <v>#N/A</v>
      </c>
      <c r="F325" t="e">
        <f t="shared" ca="1" si="74"/>
        <v>#N/A</v>
      </c>
      <c r="G325" t="e">
        <f t="shared" ca="1" si="74"/>
        <v>#N/A</v>
      </c>
      <c r="H325" t="e">
        <f t="shared" ca="1" si="74"/>
        <v>#N/A</v>
      </c>
      <c r="I325" t="e">
        <f t="shared" ca="1" si="74"/>
        <v>#N/A</v>
      </c>
      <c r="J325" t="e">
        <f t="shared" ca="1" si="74"/>
        <v>#N/A</v>
      </c>
      <c r="K325" t="e">
        <f t="shared" ca="1" si="74"/>
        <v>#N/A</v>
      </c>
      <c r="L325" t="e">
        <f t="shared" ca="1" si="75"/>
        <v>#N/A</v>
      </c>
      <c r="M325" t="e">
        <f t="shared" ca="1" si="75"/>
        <v>#N/A</v>
      </c>
      <c r="N325" t="e">
        <f t="shared" ca="1" si="75"/>
        <v>#N/A</v>
      </c>
      <c r="O325" t="e">
        <f t="shared" ca="1" si="75"/>
        <v>#N/A</v>
      </c>
      <c r="P325" t="e">
        <f t="shared" ca="1" si="75"/>
        <v>#N/A</v>
      </c>
      <c r="Q325" t="e">
        <f t="shared" ca="1" si="75"/>
        <v>#N/A</v>
      </c>
      <c r="R325" t="e">
        <f t="shared" ca="1" si="75"/>
        <v>#N/A</v>
      </c>
      <c r="S325" t="e">
        <f t="shared" ca="1" si="76"/>
        <v>#N/A</v>
      </c>
      <c r="T325" t="e">
        <f t="shared" ca="1" si="77"/>
        <v>#N/A</v>
      </c>
      <c r="U325" t="e">
        <f ca="1">IF(AND($C325='Funnel setup'!$K$3&amp;'Funnel setup'!$K$5&amp;'Funnel setup'!$K$6&amp;'Funnel setup'!$K$4,'Funnel Lookup'!I325="*"),#N/A,IF(AND($C325='Funnel setup'!$K$3&amp;'Funnel setup'!$K$5&amp;'Funnel setup'!$K$6&amp;'Funnel setup'!$K$4,'Funnel Lookup'!I325&gt;29),'Funnel Lookup'!I325,#N/A))</f>
        <v>#N/A</v>
      </c>
      <c r="V325" t="e">
        <f ca="1">IF(AND($C325='Funnel setup'!$K$3&amp;'Funnel setup'!$K$5&amp;'Funnel setup'!$K$6&amp;'Funnel setup'!$K$4,'Funnel Lookup'!I325="*"),#N/A,IF(AND($C325='Funnel setup'!$K$3&amp;'Funnel setup'!$K$5&amp;'Funnel setup'!$K$6&amp;'Funnel setup'!$K$4,'Funnel Lookup'!I325&gt;29),'Funnel Lookup'!Q325,#N/A))</f>
        <v>#N/A</v>
      </c>
    </row>
    <row r="326" spans="1:22" x14ac:dyDescent="0.2">
      <c r="A326">
        <v>324</v>
      </c>
      <c r="B326" t="e">
        <f t="shared" ca="1" si="74"/>
        <v>#N/A</v>
      </c>
      <c r="C326" t="e">
        <f t="shared" ca="1" si="74"/>
        <v>#N/A</v>
      </c>
      <c r="D326" t="e">
        <f t="shared" ca="1" si="74"/>
        <v>#N/A</v>
      </c>
      <c r="E326" t="e">
        <f t="shared" ca="1" si="74"/>
        <v>#N/A</v>
      </c>
      <c r="F326" t="e">
        <f t="shared" ca="1" si="74"/>
        <v>#N/A</v>
      </c>
      <c r="G326" t="e">
        <f t="shared" ca="1" si="74"/>
        <v>#N/A</v>
      </c>
      <c r="H326" t="e">
        <f t="shared" ca="1" si="74"/>
        <v>#N/A</v>
      </c>
      <c r="I326" t="e">
        <f t="shared" ca="1" si="74"/>
        <v>#N/A</v>
      </c>
      <c r="J326" t="e">
        <f t="shared" ca="1" si="74"/>
        <v>#N/A</v>
      </c>
      <c r="K326" t="e">
        <f t="shared" ca="1" si="74"/>
        <v>#N/A</v>
      </c>
      <c r="L326" t="e">
        <f t="shared" ca="1" si="75"/>
        <v>#N/A</v>
      </c>
      <c r="M326" t="e">
        <f t="shared" ca="1" si="75"/>
        <v>#N/A</v>
      </c>
      <c r="N326" t="e">
        <f t="shared" ca="1" si="75"/>
        <v>#N/A</v>
      </c>
      <c r="O326" t="e">
        <f t="shared" ca="1" si="75"/>
        <v>#N/A</v>
      </c>
      <c r="P326" t="e">
        <f t="shared" ca="1" si="75"/>
        <v>#N/A</v>
      </c>
      <c r="Q326" t="e">
        <f t="shared" ca="1" si="75"/>
        <v>#N/A</v>
      </c>
      <c r="R326" t="e">
        <f t="shared" ca="1" si="75"/>
        <v>#N/A</v>
      </c>
      <c r="S326" t="e">
        <f t="shared" ca="1" si="76"/>
        <v>#N/A</v>
      </c>
      <c r="T326" t="e">
        <f t="shared" ca="1" si="77"/>
        <v>#N/A</v>
      </c>
      <c r="U326" t="e">
        <f ca="1">IF(AND($C326='Funnel setup'!$K$3&amp;'Funnel setup'!$K$5&amp;'Funnel setup'!$K$6&amp;'Funnel setup'!$K$4,'Funnel Lookup'!I326="*"),#N/A,IF(AND($C326='Funnel setup'!$K$3&amp;'Funnel setup'!$K$5&amp;'Funnel setup'!$K$6&amp;'Funnel setup'!$K$4,'Funnel Lookup'!I326&gt;29),'Funnel Lookup'!I326,#N/A))</f>
        <v>#N/A</v>
      </c>
      <c r="V326" t="e">
        <f ca="1">IF(AND($C326='Funnel setup'!$K$3&amp;'Funnel setup'!$K$5&amp;'Funnel setup'!$K$6&amp;'Funnel setup'!$K$4,'Funnel Lookup'!I326="*"),#N/A,IF(AND($C326='Funnel setup'!$K$3&amp;'Funnel setup'!$K$5&amp;'Funnel setup'!$K$6&amp;'Funnel setup'!$K$4,'Funnel Lookup'!I326&gt;29),'Funnel Lookup'!Q326,#N/A))</f>
        <v>#N/A</v>
      </c>
    </row>
    <row r="327" spans="1:22" x14ac:dyDescent="0.2">
      <c r="A327">
        <v>325</v>
      </c>
      <c r="B327" t="e">
        <f t="shared" ca="1" si="74"/>
        <v>#N/A</v>
      </c>
      <c r="C327" t="e">
        <f t="shared" ca="1" si="74"/>
        <v>#N/A</v>
      </c>
      <c r="D327" t="e">
        <f t="shared" ca="1" si="74"/>
        <v>#N/A</v>
      </c>
      <c r="E327" t="e">
        <f t="shared" ca="1" si="74"/>
        <v>#N/A</v>
      </c>
      <c r="F327" t="e">
        <f t="shared" ca="1" si="74"/>
        <v>#N/A</v>
      </c>
      <c r="G327" t="e">
        <f t="shared" ca="1" si="74"/>
        <v>#N/A</v>
      </c>
      <c r="H327" t="e">
        <f t="shared" ca="1" si="74"/>
        <v>#N/A</v>
      </c>
      <c r="I327" t="e">
        <f t="shared" ca="1" si="74"/>
        <v>#N/A</v>
      </c>
      <c r="J327" t="e">
        <f t="shared" ca="1" si="74"/>
        <v>#N/A</v>
      </c>
      <c r="K327" t="e">
        <f t="shared" ca="1" si="74"/>
        <v>#N/A</v>
      </c>
      <c r="L327" t="e">
        <f t="shared" ca="1" si="75"/>
        <v>#N/A</v>
      </c>
      <c r="M327" t="e">
        <f t="shared" ca="1" si="75"/>
        <v>#N/A</v>
      </c>
      <c r="N327" t="e">
        <f t="shared" ca="1" si="75"/>
        <v>#N/A</v>
      </c>
      <c r="O327" t="e">
        <f t="shared" ca="1" si="75"/>
        <v>#N/A</v>
      </c>
      <c r="P327" t="e">
        <f t="shared" ca="1" si="75"/>
        <v>#N/A</v>
      </c>
      <c r="Q327" t="e">
        <f t="shared" ca="1" si="75"/>
        <v>#N/A</v>
      </c>
      <c r="R327" t="e">
        <f t="shared" ca="1" si="75"/>
        <v>#N/A</v>
      </c>
      <c r="S327" t="e">
        <f t="shared" ca="1" si="76"/>
        <v>#N/A</v>
      </c>
      <c r="T327" t="e">
        <f t="shared" ca="1" si="77"/>
        <v>#N/A</v>
      </c>
      <c r="U327" t="e">
        <f ca="1">IF(AND($C327='Funnel setup'!$K$3&amp;'Funnel setup'!$K$5&amp;'Funnel setup'!$K$6&amp;'Funnel setup'!$K$4,'Funnel Lookup'!I327="*"),#N/A,IF(AND($C327='Funnel setup'!$K$3&amp;'Funnel setup'!$K$5&amp;'Funnel setup'!$K$6&amp;'Funnel setup'!$K$4,'Funnel Lookup'!I327&gt;29),'Funnel Lookup'!I327,#N/A))</f>
        <v>#N/A</v>
      </c>
      <c r="V327" t="e">
        <f ca="1">IF(AND($C327='Funnel setup'!$K$3&amp;'Funnel setup'!$K$5&amp;'Funnel setup'!$K$6&amp;'Funnel setup'!$K$4,'Funnel Lookup'!I327="*"),#N/A,IF(AND($C327='Funnel setup'!$K$3&amp;'Funnel setup'!$K$5&amp;'Funnel setup'!$K$6&amp;'Funnel setup'!$K$4,'Funnel Lookup'!I327&gt;29),'Funnel Lookup'!Q327,#N/A))</f>
        <v>#N/A</v>
      </c>
    </row>
    <row r="328" spans="1:22" x14ac:dyDescent="0.2">
      <c r="A328">
        <v>326</v>
      </c>
      <c r="B328" t="e">
        <f t="shared" ca="1" si="74"/>
        <v>#N/A</v>
      </c>
      <c r="C328" t="e">
        <f t="shared" ca="1" si="74"/>
        <v>#N/A</v>
      </c>
      <c r="D328" t="e">
        <f t="shared" ca="1" si="74"/>
        <v>#N/A</v>
      </c>
      <c r="E328" t="e">
        <f t="shared" ca="1" si="74"/>
        <v>#N/A</v>
      </c>
      <c r="F328" t="e">
        <f t="shared" ca="1" si="74"/>
        <v>#N/A</v>
      </c>
      <c r="G328" t="e">
        <f t="shared" ca="1" si="74"/>
        <v>#N/A</v>
      </c>
      <c r="H328" t="e">
        <f t="shared" ca="1" si="74"/>
        <v>#N/A</v>
      </c>
      <c r="I328" t="e">
        <f t="shared" ca="1" si="74"/>
        <v>#N/A</v>
      </c>
      <c r="J328" t="e">
        <f t="shared" ca="1" si="74"/>
        <v>#N/A</v>
      </c>
      <c r="K328" t="e">
        <f t="shared" ca="1" si="74"/>
        <v>#N/A</v>
      </c>
      <c r="L328" t="e">
        <f t="shared" ca="1" si="75"/>
        <v>#N/A</v>
      </c>
      <c r="M328" t="e">
        <f t="shared" ca="1" si="75"/>
        <v>#N/A</v>
      </c>
      <c r="N328" t="e">
        <f t="shared" ca="1" si="75"/>
        <v>#N/A</v>
      </c>
      <c r="O328" t="e">
        <f t="shared" ca="1" si="75"/>
        <v>#N/A</v>
      </c>
      <c r="P328" t="e">
        <f t="shared" ca="1" si="75"/>
        <v>#N/A</v>
      </c>
      <c r="Q328" t="e">
        <f t="shared" ca="1" si="75"/>
        <v>#N/A</v>
      </c>
      <c r="R328" t="e">
        <f t="shared" ca="1" si="75"/>
        <v>#N/A</v>
      </c>
      <c r="S328" t="e">
        <f t="shared" ca="1" si="76"/>
        <v>#N/A</v>
      </c>
      <c r="T328" t="e">
        <f t="shared" ca="1" si="77"/>
        <v>#N/A</v>
      </c>
      <c r="U328" t="e">
        <f ca="1">IF(AND($C328='Funnel setup'!$K$3&amp;'Funnel setup'!$K$5&amp;'Funnel setup'!$K$6&amp;'Funnel setup'!$K$4,'Funnel Lookup'!I328="*"),#N/A,IF(AND($C328='Funnel setup'!$K$3&amp;'Funnel setup'!$K$5&amp;'Funnel setup'!$K$6&amp;'Funnel setup'!$K$4,'Funnel Lookup'!I328&gt;29),'Funnel Lookup'!I328,#N/A))</f>
        <v>#N/A</v>
      </c>
      <c r="V328" t="e">
        <f ca="1">IF(AND($C328='Funnel setup'!$K$3&amp;'Funnel setup'!$K$5&amp;'Funnel setup'!$K$6&amp;'Funnel setup'!$K$4,'Funnel Lookup'!I328="*"),#N/A,IF(AND($C328='Funnel setup'!$K$3&amp;'Funnel setup'!$K$5&amp;'Funnel setup'!$K$6&amp;'Funnel setup'!$K$4,'Funnel Lookup'!I328&gt;29),'Funnel Lookup'!Q328,#N/A))</f>
        <v>#N/A</v>
      </c>
    </row>
    <row r="329" spans="1:22" x14ac:dyDescent="0.2">
      <c r="A329">
        <v>327</v>
      </c>
      <c r="B329" t="e">
        <f t="shared" ca="1" si="74"/>
        <v>#N/A</v>
      </c>
      <c r="C329" t="e">
        <f t="shared" ca="1" si="74"/>
        <v>#N/A</v>
      </c>
      <c r="D329" t="e">
        <f t="shared" ca="1" si="74"/>
        <v>#N/A</v>
      </c>
      <c r="E329" t="e">
        <f t="shared" ca="1" si="74"/>
        <v>#N/A</v>
      </c>
      <c r="F329" t="e">
        <f t="shared" ca="1" si="74"/>
        <v>#N/A</v>
      </c>
      <c r="G329" t="e">
        <f t="shared" ca="1" si="74"/>
        <v>#N/A</v>
      </c>
      <c r="H329" t="e">
        <f t="shared" ca="1" si="74"/>
        <v>#N/A</v>
      </c>
      <c r="I329" t="e">
        <f t="shared" ca="1" si="74"/>
        <v>#N/A</v>
      </c>
      <c r="J329" t="e">
        <f t="shared" ca="1" si="74"/>
        <v>#N/A</v>
      </c>
      <c r="K329" t="e">
        <f t="shared" ca="1" si="74"/>
        <v>#N/A</v>
      </c>
      <c r="L329" t="e">
        <f t="shared" ca="1" si="75"/>
        <v>#N/A</v>
      </c>
      <c r="M329" t="e">
        <f t="shared" ca="1" si="75"/>
        <v>#N/A</v>
      </c>
      <c r="N329" t="e">
        <f t="shared" ca="1" si="75"/>
        <v>#N/A</v>
      </c>
      <c r="O329" t="e">
        <f t="shared" ca="1" si="75"/>
        <v>#N/A</v>
      </c>
      <c r="P329" t="e">
        <f t="shared" ca="1" si="75"/>
        <v>#N/A</v>
      </c>
      <c r="Q329" t="e">
        <f t="shared" ca="1" si="75"/>
        <v>#N/A</v>
      </c>
      <c r="R329" t="e">
        <f t="shared" ca="1" si="75"/>
        <v>#N/A</v>
      </c>
      <c r="S329" t="e">
        <f t="shared" ca="1" si="76"/>
        <v>#N/A</v>
      </c>
      <c r="T329" t="e">
        <f t="shared" ca="1" si="77"/>
        <v>#N/A</v>
      </c>
      <c r="U329" t="e">
        <f ca="1">IF(AND($C329='Funnel setup'!$K$3&amp;'Funnel setup'!$K$5&amp;'Funnel setup'!$K$6&amp;'Funnel setup'!$K$4,'Funnel Lookup'!I329="*"),#N/A,IF(AND($C329='Funnel setup'!$K$3&amp;'Funnel setup'!$K$5&amp;'Funnel setup'!$K$6&amp;'Funnel setup'!$K$4,'Funnel Lookup'!I329&gt;29),'Funnel Lookup'!I329,#N/A))</f>
        <v>#N/A</v>
      </c>
      <c r="V329" t="e">
        <f ca="1">IF(AND($C329='Funnel setup'!$K$3&amp;'Funnel setup'!$K$5&amp;'Funnel setup'!$K$6&amp;'Funnel setup'!$K$4,'Funnel Lookup'!I329="*"),#N/A,IF(AND($C329='Funnel setup'!$K$3&amp;'Funnel setup'!$K$5&amp;'Funnel setup'!$K$6&amp;'Funnel setup'!$K$4,'Funnel Lookup'!I329&gt;29),'Funnel Lookup'!Q329,#N/A))</f>
        <v>#N/A</v>
      </c>
    </row>
    <row r="330" spans="1:22" x14ac:dyDescent="0.2">
      <c r="A330">
        <v>328</v>
      </c>
      <c r="B330" t="e">
        <f t="shared" ca="1" si="74"/>
        <v>#N/A</v>
      </c>
      <c r="C330" t="e">
        <f t="shared" ca="1" si="74"/>
        <v>#N/A</v>
      </c>
      <c r="D330" t="e">
        <f t="shared" ca="1" si="74"/>
        <v>#N/A</v>
      </c>
      <c r="E330" t="e">
        <f t="shared" ca="1" si="74"/>
        <v>#N/A</v>
      </c>
      <c r="F330" t="e">
        <f t="shared" ca="1" si="74"/>
        <v>#N/A</v>
      </c>
      <c r="G330" t="e">
        <f t="shared" ca="1" si="74"/>
        <v>#N/A</v>
      </c>
      <c r="H330" t="e">
        <f t="shared" ca="1" si="74"/>
        <v>#N/A</v>
      </c>
      <c r="I330" t="e">
        <f t="shared" ca="1" si="74"/>
        <v>#N/A</v>
      </c>
      <c r="J330" t="e">
        <f t="shared" ca="1" si="74"/>
        <v>#N/A</v>
      </c>
      <c r="K330" t="e">
        <f t="shared" ca="1" si="74"/>
        <v>#N/A</v>
      </c>
      <c r="L330" t="e">
        <f t="shared" ca="1" si="75"/>
        <v>#N/A</v>
      </c>
      <c r="M330" t="e">
        <f t="shared" ca="1" si="75"/>
        <v>#N/A</v>
      </c>
      <c r="N330" t="e">
        <f t="shared" ca="1" si="75"/>
        <v>#N/A</v>
      </c>
      <c r="O330" t="e">
        <f t="shared" ca="1" si="75"/>
        <v>#N/A</v>
      </c>
      <c r="P330" t="e">
        <f t="shared" ca="1" si="75"/>
        <v>#N/A</v>
      </c>
      <c r="Q330" t="e">
        <f t="shared" ca="1" si="75"/>
        <v>#N/A</v>
      </c>
      <c r="R330" t="e">
        <f t="shared" ca="1" si="75"/>
        <v>#N/A</v>
      </c>
      <c r="S330" t="e">
        <f t="shared" ca="1" si="76"/>
        <v>#N/A</v>
      </c>
      <c r="T330" t="e">
        <f t="shared" ca="1" si="77"/>
        <v>#N/A</v>
      </c>
      <c r="U330" t="e">
        <f ca="1">IF(AND($C330='Funnel setup'!$K$3&amp;'Funnel setup'!$K$5&amp;'Funnel setup'!$K$6&amp;'Funnel setup'!$K$4,'Funnel Lookup'!I330="*"),#N/A,IF(AND($C330='Funnel setup'!$K$3&amp;'Funnel setup'!$K$5&amp;'Funnel setup'!$K$6&amp;'Funnel setup'!$K$4,'Funnel Lookup'!I330&gt;29),'Funnel Lookup'!I330,#N/A))</f>
        <v>#N/A</v>
      </c>
      <c r="V330" t="e">
        <f ca="1">IF(AND($C330='Funnel setup'!$K$3&amp;'Funnel setup'!$K$5&amp;'Funnel setup'!$K$6&amp;'Funnel setup'!$K$4,'Funnel Lookup'!I330="*"),#N/A,IF(AND($C330='Funnel setup'!$K$3&amp;'Funnel setup'!$K$5&amp;'Funnel setup'!$K$6&amp;'Funnel setup'!$K$4,'Funnel Lookup'!I330&gt;29),'Funnel Lookup'!Q330,#N/A))</f>
        <v>#N/A</v>
      </c>
    </row>
    <row r="331" spans="1:22" x14ac:dyDescent="0.2">
      <c r="A331">
        <v>329</v>
      </c>
      <c r="B331" t="e">
        <f t="shared" ca="1" si="74"/>
        <v>#N/A</v>
      </c>
      <c r="C331" t="e">
        <f t="shared" ca="1" si="74"/>
        <v>#N/A</v>
      </c>
      <c r="D331" t="e">
        <f t="shared" ca="1" si="74"/>
        <v>#N/A</v>
      </c>
      <c r="E331" t="e">
        <f t="shared" ca="1" si="74"/>
        <v>#N/A</v>
      </c>
      <c r="F331" t="e">
        <f t="shared" ca="1" si="74"/>
        <v>#N/A</v>
      </c>
      <c r="G331" t="e">
        <f t="shared" ca="1" si="74"/>
        <v>#N/A</v>
      </c>
      <c r="H331" t="e">
        <f t="shared" ca="1" si="74"/>
        <v>#N/A</v>
      </c>
      <c r="I331" t="e">
        <f t="shared" ca="1" si="74"/>
        <v>#N/A</v>
      </c>
      <c r="J331" t="e">
        <f t="shared" ca="1" si="74"/>
        <v>#N/A</v>
      </c>
      <c r="K331" t="e">
        <f t="shared" ca="1" si="74"/>
        <v>#N/A</v>
      </c>
      <c r="L331" t="e">
        <f t="shared" ca="1" si="75"/>
        <v>#N/A</v>
      </c>
      <c r="M331" t="e">
        <f t="shared" ca="1" si="75"/>
        <v>#N/A</v>
      </c>
      <c r="N331" t="e">
        <f t="shared" ca="1" si="75"/>
        <v>#N/A</v>
      </c>
      <c r="O331" t="e">
        <f t="shared" ca="1" si="75"/>
        <v>#N/A</v>
      </c>
      <c r="P331" t="e">
        <f t="shared" ca="1" si="75"/>
        <v>#N/A</v>
      </c>
      <c r="Q331" t="e">
        <f t="shared" ca="1" si="75"/>
        <v>#N/A</v>
      </c>
      <c r="R331" t="e">
        <f t="shared" ca="1" si="75"/>
        <v>#N/A</v>
      </c>
      <c r="S331" t="e">
        <f t="shared" ca="1" si="76"/>
        <v>#N/A</v>
      </c>
      <c r="T331" t="e">
        <f t="shared" ca="1" si="77"/>
        <v>#N/A</v>
      </c>
      <c r="U331" t="e">
        <f ca="1">IF(AND($C331='Funnel setup'!$K$3&amp;'Funnel setup'!$K$5&amp;'Funnel setup'!$K$6&amp;'Funnel setup'!$K$4,'Funnel Lookup'!I331="*"),#N/A,IF(AND($C331='Funnel setup'!$K$3&amp;'Funnel setup'!$K$5&amp;'Funnel setup'!$K$6&amp;'Funnel setup'!$K$4,'Funnel Lookup'!I331&gt;29),'Funnel Lookup'!I331,#N/A))</f>
        <v>#N/A</v>
      </c>
      <c r="V331" t="e">
        <f ca="1">IF(AND($C331='Funnel setup'!$K$3&amp;'Funnel setup'!$K$5&amp;'Funnel setup'!$K$6&amp;'Funnel setup'!$K$4,'Funnel Lookup'!I331="*"),#N/A,IF(AND($C331='Funnel setup'!$K$3&amp;'Funnel setup'!$K$5&amp;'Funnel setup'!$K$6&amp;'Funnel setup'!$K$4,'Funnel Lookup'!I331&gt;29),'Funnel Lookup'!Q331,#N/A))</f>
        <v>#N/A</v>
      </c>
    </row>
    <row r="332" spans="1:22" x14ac:dyDescent="0.2">
      <c r="A332">
        <v>330</v>
      </c>
      <c r="B332" t="e">
        <f t="shared" ca="1" si="74"/>
        <v>#N/A</v>
      </c>
      <c r="C332" t="e">
        <f t="shared" ca="1" si="74"/>
        <v>#N/A</v>
      </c>
      <c r="D332" t="e">
        <f t="shared" ca="1" si="74"/>
        <v>#N/A</v>
      </c>
      <c r="E332" t="e">
        <f t="shared" ca="1" si="74"/>
        <v>#N/A</v>
      </c>
      <c r="F332" t="e">
        <f t="shared" ca="1" si="74"/>
        <v>#N/A</v>
      </c>
      <c r="G332" t="e">
        <f t="shared" ca="1" si="74"/>
        <v>#N/A</v>
      </c>
      <c r="H332" t="e">
        <f t="shared" ca="1" si="74"/>
        <v>#N/A</v>
      </c>
      <c r="I332" t="e">
        <f t="shared" ca="1" si="74"/>
        <v>#N/A</v>
      </c>
      <c r="J332" t="e">
        <f t="shared" ca="1" si="74"/>
        <v>#N/A</v>
      </c>
      <c r="K332" t="e">
        <f t="shared" ca="1" si="74"/>
        <v>#N/A</v>
      </c>
      <c r="L332" t="e">
        <f t="shared" ca="1" si="75"/>
        <v>#N/A</v>
      </c>
      <c r="M332" t="e">
        <f t="shared" ca="1" si="75"/>
        <v>#N/A</v>
      </c>
      <c r="N332" t="e">
        <f t="shared" ca="1" si="75"/>
        <v>#N/A</v>
      </c>
      <c r="O332" t="e">
        <f t="shared" ca="1" si="75"/>
        <v>#N/A</v>
      </c>
      <c r="P332" t="e">
        <f t="shared" ca="1" si="75"/>
        <v>#N/A</v>
      </c>
      <c r="Q332" t="e">
        <f t="shared" ca="1" si="75"/>
        <v>#N/A</v>
      </c>
      <c r="R332" t="e">
        <f t="shared" ca="1" si="75"/>
        <v>#N/A</v>
      </c>
      <c r="S332" t="e">
        <f t="shared" ca="1" si="76"/>
        <v>#N/A</v>
      </c>
      <c r="T332" t="e">
        <f t="shared" ca="1" si="77"/>
        <v>#N/A</v>
      </c>
      <c r="U332" t="e">
        <f ca="1">IF(AND($C332='Funnel setup'!$K$3&amp;'Funnel setup'!$K$5&amp;'Funnel setup'!$K$6&amp;'Funnel setup'!$K$4,'Funnel Lookup'!I332="*"),#N/A,IF(AND($C332='Funnel setup'!$K$3&amp;'Funnel setup'!$K$5&amp;'Funnel setup'!$K$6&amp;'Funnel setup'!$K$4,'Funnel Lookup'!I332&gt;29),'Funnel Lookup'!I332,#N/A))</f>
        <v>#N/A</v>
      </c>
      <c r="V332" t="e">
        <f ca="1">IF(AND($C332='Funnel setup'!$K$3&amp;'Funnel setup'!$K$5&amp;'Funnel setup'!$K$6&amp;'Funnel setup'!$K$4,'Funnel Lookup'!I332="*"),#N/A,IF(AND($C332='Funnel setup'!$K$3&amp;'Funnel setup'!$K$5&amp;'Funnel setup'!$K$6&amp;'Funnel setup'!$K$4,'Funnel Lookup'!I332&gt;29),'Funnel Lookup'!Q332,#N/A))</f>
        <v>#N/A</v>
      </c>
    </row>
    <row r="333" spans="1:22" x14ac:dyDescent="0.2">
      <c r="A333">
        <v>331</v>
      </c>
      <c r="B333" t="e">
        <f t="shared" ref="B333:K342" ca="1" si="78">VLOOKUP($A333,Funnel_Data,B$1,FALSE)</f>
        <v>#N/A</v>
      </c>
      <c r="C333" t="e">
        <f t="shared" ca="1" si="78"/>
        <v>#N/A</v>
      </c>
      <c r="D333" t="e">
        <f t="shared" ca="1" si="78"/>
        <v>#N/A</v>
      </c>
      <c r="E333" t="e">
        <f t="shared" ca="1" si="78"/>
        <v>#N/A</v>
      </c>
      <c r="F333" t="e">
        <f t="shared" ca="1" si="78"/>
        <v>#N/A</v>
      </c>
      <c r="G333" t="e">
        <f t="shared" ca="1" si="78"/>
        <v>#N/A</v>
      </c>
      <c r="H333" t="e">
        <f t="shared" ca="1" si="78"/>
        <v>#N/A</v>
      </c>
      <c r="I333" t="e">
        <f t="shared" ca="1" si="78"/>
        <v>#N/A</v>
      </c>
      <c r="J333" t="e">
        <f t="shared" ca="1" si="78"/>
        <v>#N/A</v>
      </c>
      <c r="K333" t="e">
        <f t="shared" ca="1" si="78"/>
        <v>#N/A</v>
      </c>
      <c r="L333" t="e">
        <f t="shared" ref="L333:R342" ca="1" si="79">VLOOKUP($A333,Funnel_Data,L$1,FALSE)</f>
        <v>#N/A</v>
      </c>
      <c r="M333" t="e">
        <f t="shared" ca="1" si="79"/>
        <v>#N/A</v>
      </c>
      <c r="N333" t="e">
        <f t="shared" ca="1" si="79"/>
        <v>#N/A</v>
      </c>
      <c r="O333" t="e">
        <f t="shared" ca="1" si="79"/>
        <v>#N/A</v>
      </c>
      <c r="P333" t="e">
        <f t="shared" ca="1" si="79"/>
        <v>#N/A</v>
      </c>
      <c r="Q333" t="e">
        <f t="shared" ca="1" si="79"/>
        <v>#N/A</v>
      </c>
      <c r="R333" t="e">
        <f t="shared" ca="1" si="79"/>
        <v>#N/A</v>
      </c>
      <c r="S333" t="e">
        <f t="shared" ca="1" si="76"/>
        <v>#N/A</v>
      </c>
      <c r="T333" t="e">
        <f t="shared" ca="1" si="77"/>
        <v>#N/A</v>
      </c>
      <c r="U333" t="e">
        <f ca="1">IF(AND($C333='Funnel setup'!$K$3&amp;'Funnel setup'!$K$5&amp;'Funnel setup'!$K$6&amp;'Funnel setup'!$K$4,'Funnel Lookup'!I333="*"),#N/A,IF(AND($C333='Funnel setup'!$K$3&amp;'Funnel setup'!$K$5&amp;'Funnel setup'!$K$6&amp;'Funnel setup'!$K$4,'Funnel Lookup'!I333&gt;29),'Funnel Lookup'!I333,#N/A))</f>
        <v>#N/A</v>
      </c>
      <c r="V333" t="e">
        <f ca="1">IF(AND($C333='Funnel setup'!$K$3&amp;'Funnel setup'!$K$5&amp;'Funnel setup'!$K$6&amp;'Funnel setup'!$K$4,'Funnel Lookup'!I333="*"),#N/A,IF(AND($C333='Funnel setup'!$K$3&amp;'Funnel setup'!$K$5&amp;'Funnel setup'!$K$6&amp;'Funnel setup'!$K$4,'Funnel Lookup'!I333&gt;29),'Funnel Lookup'!Q333,#N/A))</f>
        <v>#N/A</v>
      </c>
    </row>
    <row r="334" spans="1:22" x14ac:dyDescent="0.2">
      <c r="A334">
        <v>332</v>
      </c>
      <c r="B334" t="e">
        <f t="shared" ca="1" si="78"/>
        <v>#N/A</v>
      </c>
      <c r="C334" t="e">
        <f t="shared" ca="1" si="78"/>
        <v>#N/A</v>
      </c>
      <c r="D334" t="e">
        <f t="shared" ca="1" si="78"/>
        <v>#N/A</v>
      </c>
      <c r="E334" t="e">
        <f t="shared" ca="1" si="78"/>
        <v>#N/A</v>
      </c>
      <c r="F334" t="e">
        <f t="shared" ca="1" si="78"/>
        <v>#N/A</v>
      </c>
      <c r="G334" t="e">
        <f t="shared" ca="1" si="78"/>
        <v>#N/A</v>
      </c>
      <c r="H334" t="e">
        <f t="shared" ca="1" si="78"/>
        <v>#N/A</v>
      </c>
      <c r="I334" t="e">
        <f t="shared" ca="1" si="78"/>
        <v>#N/A</v>
      </c>
      <c r="J334" t="e">
        <f t="shared" ca="1" si="78"/>
        <v>#N/A</v>
      </c>
      <c r="K334" t="e">
        <f t="shared" ca="1" si="78"/>
        <v>#N/A</v>
      </c>
      <c r="L334" t="e">
        <f t="shared" ca="1" si="79"/>
        <v>#N/A</v>
      </c>
      <c r="M334" t="e">
        <f t="shared" ca="1" si="79"/>
        <v>#N/A</v>
      </c>
      <c r="N334" t="e">
        <f t="shared" ca="1" si="79"/>
        <v>#N/A</v>
      </c>
      <c r="O334" t="e">
        <f t="shared" ca="1" si="79"/>
        <v>#N/A</v>
      </c>
      <c r="P334" t="e">
        <f t="shared" ca="1" si="79"/>
        <v>#N/A</v>
      </c>
      <c r="Q334" t="e">
        <f t="shared" ca="1" si="79"/>
        <v>#N/A</v>
      </c>
      <c r="R334" t="e">
        <f t="shared" ca="1" si="79"/>
        <v>#N/A</v>
      </c>
      <c r="S334" t="e">
        <f t="shared" ca="1" si="76"/>
        <v>#N/A</v>
      </c>
      <c r="T334" t="e">
        <f t="shared" ca="1" si="77"/>
        <v>#N/A</v>
      </c>
      <c r="U334" t="e">
        <f ca="1">IF(AND($C334='Funnel setup'!$K$3&amp;'Funnel setup'!$K$5&amp;'Funnel setup'!$K$6&amp;'Funnel setup'!$K$4,'Funnel Lookup'!I334="*"),#N/A,IF(AND($C334='Funnel setup'!$K$3&amp;'Funnel setup'!$K$5&amp;'Funnel setup'!$K$6&amp;'Funnel setup'!$K$4,'Funnel Lookup'!I334&gt;29),'Funnel Lookup'!I334,#N/A))</f>
        <v>#N/A</v>
      </c>
      <c r="V334" t="e">
        <f ca="1">IF(AND($C334='Funnel setup'!$K$3&amp;'Funnel setup'!$K$5&amp;'Funnel setup'!$K$6&amp;'Funnel setup'!$K$4,'Funnel Lookup'!I334="*"),#N/A,IF(AND($C334='Funnel setup'!$K$3&amp;'Funnel setup'!$K$5&amp;'Funnel setup'!$K$6&amp;'Funnel setup'!$K$4,'Funnel Lookup'!I334&gt;29),'Funnel Lookup'!Q334,#N/A))</f>
        <v>#N/A</v>
      </c>
    </row>
    <row r="335" spans="1:22" x14ac:dyDescent="0.2">
      <c r="A335">
        <v>333</v>
      </c>
      <c r="B335" t="e">
        <f t="shared" ca="1" si="78"/>
        <v>#N/A</v>
      </c>
      <c r="C335" t="e">
        <f t="shared" ca="1" si="78"/>
        <v>#N/A</v>
      </c>
      <c r="D335" t="e">
        <f t="shared" ca="1" si="78"/>
        <v>#N/A</v>
      </c>
      <c r="E335" t="e">
        <f t="shared" ca="1" si="78"/>
        <v>#N/A</v>
      </c>
      <c r="F335" t="e">
        <f t="shared" ca="1" si="78"/>
        <v>#N/A</v>
      </c>
      <c r="G335" t="e">
        <f t="shared" ca="1" si="78"/>
        <v>#N/A</v>
      </c>
      <c r="H335" t="e">
        <f t="shared" ca="1" si="78"/>
        <v>#N/A</v>
      </c>
      <c r="I335" t="e">
        <f t="shared" ca="1" si="78"/>
        <v>#N/A</v>
      </c>
      <c r="J335" t="e">
        <f t="shared" ca="1" si="78"/>
        <v>#N/A</v>
      </c>
      <c r="K335" t="e">
        <f t="shared" ca="1" si="78"/>
        <v>#N/A</v>
      </c>
      <c r="L335" t="e">
        <f t="shared" ca="1" si="79"/>
        <v>#N/A</v>
      </c>
      <c r="M335" t="e">
        <f t="shared" ca="1" si="79"/>
        <v>#N/A</v>
      </c>
      <c r="N335" t="e">
        <f t="shared" ca="1" si="79"/>
        <v>#N/A</v>
      </c>
      <c r="O335" t="e">
        <f t="shared" ca="1" si="79"/>
        <v>#N/A</v>
      </c>
      <c r="P335" t="e">
        <f t="shared" ca="1" si="79"/>
        <v>#N/A</v>
      </c>
      <c r="Q335" t="e">
        <f t="shared" ca="1" si="79"/>
        <v>#N/A</v>
      </c>
      <c r="R335" t="e">
        <f t="shared" ca="1" si="79"/>
        <v>#N/A</v>
      </c>
      <c r="S335" t="e">
        <f t="shared" ca="1" si="76"/>
        <v>#N/A</v>
      </c>
      <c r="T335" t="e">
        <f t="shared" ca="1" si="77"/>
        <v>#N/A</v>
      </c>
      <c r="U335" t="e">
        <f ca="1">IF(AND($C335='Funnel setup'!$K$3&amp;'Funnel setup'!$K$5&amp;'Funnel setup'!$K$6&amp;'Funnel setup'!$K$4,'Funnel Lookup'!I335="*"),#N/A,IF(AND($C335='Funnel setup'!$K$3&amp;'Funnel setup'!$K$5&amp;'Funnel setup'!$K$6&amp;'Funnel setup'!$K$4,'Funnel Lookup'!I335&gt;29),'Funnel Lookup'!I335,#N/A))</f>
        <v>#N/A</v>
      </c>
      <c r="V335" t="e">
        <f ca="1">IF(AND($C335='Funnel setup'!$K$3&amp;'Funnel setup'!$K$5&amp;'Funnel setup'!$K$6&amp;'Funnel setup'!$K$4,'Funnel Lookup'!I335="*"),#N/A,IF(AND($C335='Funnel setup'!$K$3&amp;'Funnel setup'!$K$5&amp;'Funnel setup'!$K$6&amp;'Funnel setup'!$K$4,'Funnel Lookup'!I335&gt;29),'Funnel Lookup'!Q335,#N/A))</f>
        <v>#N/A</v>
      </c>
    </row>
    <row r="336" spans="1:22" x14ac:dyDescent="0.2">
      <c r="A336">
        <v>334</v>
      </c>
      <c r="B336" t="e">
        <f t="shared" ca="1" si="78"/>
        <v>#N/A</v>
      </c>
      <c r="C336" t="e">
        <f t="shared" ca="1" si="78"/>
        <v>#N/A</v>
      </c>
      <c r="D336" t="e">
        <f t="shared" ca="1" si="78"/>
        <v>#N/A</v>
      </c>
      <c r="E336" t="e">
        <f t="shared" ca="1" si="78"/>
        <v>#N/A</v>
      </c>
      <c r="F336" t="e">
        <f t="shared" ca="1" si="78"/>
        <v>#N/A</v>
      </c>
      <c r="G336" t="e">
        <f t="shared" ca="1" si="78"/>
        <v>#N/A</v>
      </c>
      <c r="H336" t="e">
        <f t="shared" ca="1" si="78"/>
        <v>#N/A</v>
      </c>
      <c r="I336" t="e">
        <f t="shared" ca="1" si="78"/>
        <v>#N/A</v>
      </c>
      <c r="J336" t="e">
        <f t="shared" ca="1" si="78"/>
        <v>#N/A</v>
      </c>
      <c r="K336" t="e">
        <f t="shared" ca="1" si="78"/>
        <v>#N/A</v>
      </c>
      <c r="L336" t="e">
        <f t="shared" ca="1" si="79"/>
        <v>#N/A</v>
      </c>
      <c r="M336" t="e">
        <f t="shared" ca="1" si="79"/>
        <v>#N/A</v>
      </c>
      <c r="N336" t="e">
        <f t="shared" ca="1" si="79"/>
        <v>#N/A</v>
      </c>
      <c r="O336" t="e">
        <f t="shared" ca="1" si="79"/>
        <v>#N/A</v>
      </c>
      <c r="P336" t="e">
        <f t="shared" ca="1" si="79"/>
        <v>#N/A</v>
      </c>
      <c r="Q336" t="e">
        <f t="shared" ca="1" si="79"/>
        <v>#N/A</v>
      </c>
      <c r="R336" t="e">
        <f t="shared" ca="1" si="79"/>
        <v>#N/A</v>
      </c>
      <c r="S336" t="e">
        <f t="shared" ca="1" si="76"/>
        <v>#N/A</v>
      </c>
      <c r="T336" t="e">
        <f t="shared" ca="1" si="77"/>
        <v>#N/A</v>
      </c>
      <c r="U336" t="e">
        <f ca="1">IF(AND($C336='Funnel setup'!$K$3&amp;'Funnel setup'!$K$5&amp;'Funnel setup'!$K$6&amp;'Funnel setup'!$K$4,'Funnel Lookup'!I336="*"),#N/A,IF(AND($C336='Funnel setup'!$K$3&amp;'Funnel setup'!$K$5&amp;'Funnel setup'!$K$6&amp;'Funnel setup'!$K$4,'Funnel Lookup'!I336&gt;29),'Funnel Lookup'!I336,#N/A))</f>
        <v>#N/A</v>
      </c>
      <c r="V336" t="e">
        <f ca="1">IF(AND($C336='Funnel setup'!$K$3&amp;'Funnel setup'!$K$5&amp;'Funnel setup'!$K$6&amp;'Funnel setup'!$K$4,'Funnel Lookup'!I336="*"),#N/A,IF(AND($C336='Funnel setup'!$K$3&amp;'Funnel setup'!$K$5&amp;'Funnel setup'!$K$6&amp;'Funnel setup'!$K$4,'Funnel Lookup'!I336&gt;29),'Funnel Lookup'!Q336,#N/A))</f>
        <v>#N/A</v>
      </c>
    </row>
    <row r="337" spans="1:22" x14ac:dyDescent="0.2">
      <c r="A337">
        <v>335</v>
      </c>
      <c r="B337" t="e">
        <f t="shared" ca="1" si="78"/>
        <v>#N/A</v>
      </c>
      <c r="C337" t="e">
        <f t="shared" ca="1" si="78"/>
        <v>#N/A</v>
      </c>
      <c r="D337" t="e">
        <f t="shared" ca="1" si="78"/>
        <v>#N/A</v>
      </c>
      <c r="E337" t="e">
        <f t="shared" ca="1" si="78"/>
        <v>#N/A</v>
      </c>
      <c r="F337" t="e">
        <f t="shared" ca="1" si="78"/>
        <v>#N/A</v>
      </c>
      <c r="G337" t="e">
        <f t="shared" ca="1" si="78"/>
        <v>#N/A</v>
      </c>
      <c r="H337" t="e">
        <f t="shared" ca="1" si="78"/>
        <v>#N/A</v>
      </c>
      <c r="I337" t="e">
        <f t="shared" ca="1" si="78"/>
        <v>#N/A</v>
      </c>
      <c r="J337" t="e">
        <f t="shared" ca="1" si="78"/>
        <v>#N/A</v>
      </c>
      <c r="K337" t="e">
        <f t="shared" ca="1" si="78"/>
        <v>#N/A</v>
      </c>
      <c r="L337" t="e">
        <f t="shared" ca="1" si="79"/>
        <v>#N/A</v>
      </c>
      <c r="M337" t="e">
        <f t="shared" ca="1" si="79"/>
        <v>#N/A</v>
      </c>
      <c r="N337" t="e">
        <f t="shared" ca="1" si="79"/>
        <v>#N/A</v>
      </c>
      <c r="O337" t="e">
        <f t="shared" ca="1" si="79"/>
        <v>#N/A</v>
      </c>
      <c r="P337" t="e">
        <f t="shared" ca="1" si="79"/>
        <v>#N/A</v>
      </c>
      <c r="Q337" t="e">
        <f t="shared" ca="1" si="79"/>
        <v>#N/A</v>
      </c>
      <c r="R337" t="e">
        <f t="shared" ca="1" si="79"/>
        <v>#N/A</v>
      </c>
      <c r="S337" t="e">
        <f t="shared" ca="1" si="76"/>
        <v>#N/A</v>
      </c>
      <c r="T337" t="e">
        <f t="shared" ca="1" si="77"/>
        <v>#N/A</v>
      </c>
      <c r="U337" t="e">
        <f ca="1">IF(AND($C337='Funnel setup'!$K$3&amp;'Funnel setup'!$K$5&amp;'Funnel setup'!$K$6&amp;'Funnel setup'!$K$4,'Funnel Lookup'!I337="*"),#N/A,IF(AND($C337='Funnel setup'!$K$3&amp;'Funnel setup'!$K$5&amp;'Funnel setup'!$K$6&amp;'Funnel setup'!$K$4,'Funnel Lookup'!I337&gt;29),'Funnel Lookup'!I337,#N/A))</f>
        <v>#N/A</v>
      </c>
      <c r="V337" t="e">
        <f ca="1">IF(AND($C337='Funnel setup'!$K$3&amp;'Funnel setup'!$K$5&amp;'Funnel setup'!$K$6&amp;'Funnel setup'!$K$4,'Funnel Lookup'!I337="*"),#N/A,IF(AND($C337='Funnel setup'!$K$3&amp;'Funnel setup'!$K$5&amp;'Funnel setup'!$K$6&amp;'Funnel setup'!$K$4,'Funnel Lookup'!I337&gt;29),'Funnel Lookup'!Q337,#N/A))</f>
        <v>#N/A</v>
      </c>
    </row>
    <row r="338" spans="1:22" x14ac:dyDescent="0.2">
      <c r="A338">
        <v>336</v>
      </c>
      <c r="B338" t="e">
        <f t="shared" ca="1" si="78"/>
        <v>#N/A</v>
      </c>
      <c r="C338" t="e">
        <f t="shared" ca="1" si="78"/>
        <v>#N/A</v>
      </c>
      <c r="D338" t="e">
        <f t="shared" ca="1" si="78"/>
        <v>#N/A</v>
      </c>
      <c r="E338" t="e">
        <f t="shared" ca="1" si="78"/>
        <v>#N/A</v>
      </c>
      <c r="F338" t="e">
        <f t="shared" ca="1" si="78"/>
        <v>#N/A</v>
      </c>
      <c r="G338" t="e">
        <f t="shared" ca="1" si="78"/>
        <v>#N/A</v>
      </c>
      <c r="H338" t="e">
        <f t="shared" ca="1" si="78"/>
        <v>#N/A</v>
      </c>
      <c r="I338" t="e">
        <f t="shared" ca="1" si="78"/>
        <v>#N/A</v>
      </c>
      <c r="J338" t="e">
        <f t="shared" ca="1" si="78"/>
        <v>#N/A</v>
      </c>
      <c r="K338" t="e">
        <f t="shared" ca="1" si="78"/>
        <v>#N/A</v>
      </c>
      <c r="L338" t="e">
        <f t="shared" ca="1" si="79"/>
        <v>#N/A</v>
      </c>
      <c r="M338" t="e">
        <f t="shared" ca="1" si="79"/>
        <v>#N/A</v>
      </c>
      <c r="N338" t="e">
        <f t="shared" ca="1" si="79"/>
        <v>#N/A</v>
      </c>
      <c r="O338" t="e">
        <f t="shared" ca="1" si="79"/>
        <v>#N/A</v>
      </c>
      <c r="P338" t="e">
        <f t="shared" ca="1" si="79"/>
        <v>#N/A</v>
      </c>
      <c r="Q338" t="e">
        <f t="shared" ca="1" si="79"/>
        <v>#N/A</v>
      </c>
      <c r="R338" t="e">
        <f t="shared" ca="1" si="79"/>
        <v>#N/A</v>
      </c>
      <c r="S338" t="e">
        <f t="shared" ca="1" si="76"/>
        <v>#N/A</v>
      </c>
      <c r="T338" t="e">
        <f t="shared" ca="1" si="77"/>
        <v>#N/A</v>
      </c>
      <c r="U338" t="e">
        <f ca="1">IF(AND($C338='Funnel setup'!$K$3&amp;'Funnel setup'!$K$5&amp;'Funnel setup'!$K$6&amp;'Funnel setup'!$K$4,'Funnel Lookup'!I338="*"),#N/A,IF(AND($C338='Funnel setup'!$K$3&amp;'Funnel setup'!$K$5&amp;'Funnel setup'!$K$6&amp;'Funnel setup'!$K$4,'Funnel Lookup'!I338&gt;29),'Funnel Lookup'!I338,#N/A))</f>
        <v>#N/A</v>
      </c>
      <c r="V338" t="e">
        <f ca="1">IF(AND($C338='Funnel setup'!$K$3&amp;'Funnel setup'!$K$5&amp;'Funnel setup'!$K$6&amp;'Funnel setup'!$K$4,'Funnel Lookup'!I338="*"),#N/A,IF(AND($C338='Funnel setup'!$K$3&amp;'Funnel setup'!$K$5&amp;'Funnel setup'!$K$6&amp;'Funnel setup'!$K$4,'Funnel Lookup'!I338&gt;29),'Funnel Lookup'!Q338,#N/A))</f>
        <v>#N/A</v>
      </c>
    </row>
    <row r="339" spans="1:22" x14ac:dyDescent="0.2">
      <c r="A339">
        <v>337</v>
      </c>
      <c r="B339" t="e">
        <f t="shared" ca="1" si="78"/>
        <v>#N/A</v>
      </c>
      <c r="C339" t="e">
        <f t="shared" ca="1" si="78"/>
        <v>#N/A</v>
      </c>
      <c r="D339" t="e">
        <f t="shared" ca="1" si="78"/>
        <v>#N/A</v>
      </c>
      <c r="E339" t="e">
        <f t="shared" ca="1" si="78"/>
        <v>#N/A</v>
      </c>
      <c r="F339" t="e">
        <f t="shared" ca="1" si="78"/>
        <v>#N/A</v>
      </c>
      <c r="G339" t="e">
        <f t="shared" ca="1" si="78"/>
        <v>#N/A</v>
      </c>
      <c r="H339" t="e">
        <f t="shared" ca="1" si="78"/>
        <v>#N/A</v>
      </c>
      <c r="I339" t="e">
        <f t="shared" ca="1" si="78"/>
        <v>#N/A</v>
      </c>
      <c r="J339" t="e">
        <f t="shared" ca="1" si="78"/>
        <v>#N/A</v>
      </c>
      <c r="K339" t="e">
        <f t="shared" ca="1" si="78"/>
        <v>#N/A</v>
      </c>
      <c r="L339" t="e">
        <f t="shared" ca="1" si="79"/>
        <v>#N/A</v>
      </c>
      <c r="M339" t="e">
        <f t="shared" ca="1" si="79"/>
        <v>#N/A</v>
      </c>
      <c r="N339" t="e">
        <f t="shared" ca="1" si="79"/>
        <v>#N/A</v>
      </c>
      <c r="O339" t="e">
        <f t="shared" ca="1" si="79"/>
        <v>#N/A</v>
      </c>
      <c r="P339" t="e">
        <f t="shared" ca="1" si="79"/>
        <v>#N/A</v>
      </c>
      <c r="Q339" t="e">
        <f t="shared" ca="1" si="79"/>
        <v>#N/A</v>
      </c>
      <c r="R339" t="e">
        <f t="shared" ca="1" si="79"/>
        <v>#N/A</v>
      </c>
      <c r="S339" t="e">
        <f t="shared" ca="1" si="76"/>
        <v>#N/A</v>
      </c>
      <c r="T339" t="e">
        <f t="shared" ca="1" si="77"/>
        <v>#N/A</v>
      </c>
      <c r="U339" t="e">
        <f ca="1">IF(AND($C339='Funnel setup'!$K$3&amp;'Funnel setup'!$K$5&amp;'Funnel setup'!$K$6&amp;'Funnel setup'!$K$4,'Funnel Lookup'!I339="*"),#N/A,IF(AND($C339='Funnel setup'!$K$3&amp;'Funnel setup'!$K$5&amp;'Funnel setup'!$K$6&amp;'Funnel setup'!$K$4,'Funnel Lookup'!I339&gt;29),'Funnel Lookup'!I339,#N/A))</f>
        <v>#N/A</v>
      </c>
      <c r="V339" t="e">
        <f ca="1">IF(AND($C339='Funnel setup'!$K$3&amp;'Funnel setup'!$K$5&amp;'Funnel setup'!$K$6&amp;'Funnel setup'!$K$4,'Funnel Lookup'!I339="*"),#N/A,IF(AND($C339='Funnel setup'!$K$3&amp;'Funnel setup'!$K$5&amp;'Funnel setup'!$K$6&amp;'Funnel setup'!$K$4,'Funnel Lookup'!I339&gt;29),'Funnel Lookup'!Q339,#N/A))</f>
        <v>#N/A</v>
      </c>
    </row>
    <row r="340" spans="1:22" x14ac:dyDescent="0.2">
      <c r="A340">
        <v>338</v>
      </c>
      <c r="B340" t="e">
        <f t="shared" ca="1" si="78"/>
        <v>#N/A</v>
      </c>
      <c r="C340" t="e">
        <f t="shared" ca="1" si="78"/>
        <v>#N/A</v>
      </c>
      <c r="D340" t="e">
        <f t="shared" ca="1" si="78"/>
        <v>#N/A</v>
      </c>
      <c r="E340" t="e">
        <f t="shared" ca="1" si="78"/>
        <v>#N/A</v>
      </c>
      <c r="F340" t="e">
        <f t="shared" ca="1" si="78"/>
        <v>#N/A</v>
      </c>
      <c r="G340" t="e">
        <f t="shared" ca="1" si="78"/>
        <v>#N/A</v>
      </c>
      <c r="H340" t="e">
        <f t="shared" ca="1" si="78"/>
        <v>#N/A</v>
      </c>
      <c r="I340" t="e">
        <f t="shared" ca="1" si="78"/>
        <v>#N/A</v>
      </c>
      <c r="J340" t="e">
        <f t="shared" ca="1" si="78"/>
        <v>#N/A</v>
      </c>
      <c r="K340" t="e">
        <f t="shared" ca="1" si="78"/>
        <v>#N/A</v>
      </c>
      <c r="L340" t="e">
        <f t="shared" ca="1" si="79"/>
        <v>#N/A</v>
      </c>
      <c r="M340" t="e">
        <f t="shared" ca="1" si="79"/>
        <v>#N/A</v>
      </c>
      <c r="N340" t="e">
        <f t="shared" ca="1" si="79"/>
        <v>#N/A</v>
      </c>
      <c r="O340" t="e">
        <f t="shared" ca="1" si="79"/>
        <v>#N/A</v>
      </c>
      <c r="P340" t="e">
        <f t="shared" ca="1" si="79"/>
        <v>#N/A</v>
      </c>
      <c r="Q340" t="e">
        <f t="shared" ca="1" si="79"/>
        <v>#N/A</v>
      </c>
      <c r="R340" t="e">
        <f t="shared" ca="1" si="79"/>
        <v>#N/A</v>
      </c>
      <c r="S340" t="e">
        <f t="shared" ca="1" si="76"/>
        <v>#N/A</v>
      </c>
      <c r="T340" t="e">
        <f t="shared" ca="1" si="77"/>
        <v>#N/A</v>
      </c>
      <c r="U340" t="e">
        <f ca="1">IF(AND($C340='Funnel setup'!$K$3&amp;'Funnel setup'!$K$5&amp;'Funnel setup'!$K$6&amp;'Funnel setup'!$K$4,'Funnel Lookup'!I340="*"),#N/A,IF(AND($C340='Funnel setup'!$K$3&amp;'Funnel setup'!$K$5&amp;'Funnel setup'!$K$6&amp;'Funnel setup'!$K$4,'Funnel Lookup'!I340&gt;29),'Funnel Lookup'!I340,#N/A))</f>
        <v>#N/A</v>
      </c>
      <c r="V340" t="e">
        <f ca="1">IF(AND($C340='Funnel setup'!$K$3&amp;'Funnel setup'!$K$5&amp;'Funnel setup'!$K$6&amp;'Funnel setup'!$K$4,'Funnel Lookup'!I340="*"),#N/A,IF(AND($C340='Funnel setup'!$K$3&amp;'Funnel setup'!$K$5&amp;'Funnel setup'!$K$6&amp;'Funnel setup'!$K$4,'Funnel Lookup'!I340&gt;29),'Funnel Lookup'!Q340,#N/A))</f>
        <v>#N/A</v>
      </c>
    </row>
    <row r="341" spans="1:22" x14ac:dyDescent="0.2">
      <c r="A341">
        <v>339</v>
      </c>
      <c r="B341" t="e">
        <f t="shared" ca="1" si="78"/>
        <v>#N/A</v>
      </c>
      <c r="C341" t="e">
        <f t="shared" ca="1" si="78"/>
        <v>#N/A</v>
      </c>
      <c r="D341" t="e">
        <f t="shared" ca="1" si="78"/>
        <v>#N/A</v>
      </c>
      <c r="E341" t="e">
        <f t="shared" ca="1" si="78"/>
        <v>#N/A</v>
      </c>
      <c r="F341" t="e">
        <f t="shared" ca="1" si="78"/>
        <v>#N/A</v>
      </c>
      <c r="G341" t="e">
        <f t="shared" ca="1" si="78"/>
        <v>#N/A</v>
      </c>
      <c r="H341" t="e">
        <f t="shared" ca="1" si="78"/>
        <v>#N/A</v>
      </c>
      <c r="I341" t="e">
        <f t="shared" ca="1" si="78"/>
        <v>#N/A</v>
      </c>
      <c r="J341" t="e">
        <f t="shared" ca="1" si="78"/>
        <v>#N/A</v>
      </c>
      <c r="K341" t="e">
        <f t="shared" ca="1" si="78"/>
        <v>#N/A</v>
      </c>
      <c r="L341" t="e">
        <f t="shared" ca="1" si="79"/>
        <v>#N/A</v>
      </c>
      <c r="M341" t="e">
        <f t="shared" ca="1" si="79"/>
        <v>#N/A</v>
      </c>
      <c r="N341" t="e">
        <f t="shared" ca="1" si="79"/>
        <v>#N/A</v>
      </c>
      <c r="O341" t="e">
        <f t="shared" ca="1" si="79"/>
        <v>#N/A</v>
      </c>
      <c r="P341" t="e">
        <f t="shared" ca="1" si="79"/>
        <v>#N/A</v>
      </c>
      <c r="Q341" t="e">
        <f t="shared" ca="1" si="79"/>
        <v>#N/A</v>
      </c>
      <c r="R341" t="e">
        <f t="shared" ca="1" si="79"/>
        <v>#N/A</v>
      </c>
      <c r="S341" t="e">
        <f t="shared" ca="1" si="76"/>
        <v>#N/A</v>
      </c>
      <c r="T341" t="e">
        <f t="shared" ca="1" si="77"/>
        <v>#N/A</v>
      </c>
      <c r="U341" t="e">
        <f ca="1">IF(AND($C341='Funnel setup'!$K$3&amp;'Funnel setup'!$K$5&amp;'Funnel setup'!$K$6&amp;'Funnel setup'!$K$4,'Funnel Lookup'!I341="*"),#N/A,IF(AND($C341='Funnel setup'!$K$3&amp;'Funnel setup'!$K$5&amp;'Funnel setup'!$K$6&amp;'Funnel setup'!$K$4,'Funnel Lookup'!I341&gt;29),'Funnel Lookup'!I341,#N/A))</f>
        <v>#N/A</v>
      </c>
      <c r="V341" t="e">
        <f ca="1">IF(AND($C341='Funnel setup'!$K$3&amp;'Funnel setup'!$K$5&amp;'Funnel setup'!$K$6&amp;'Funnel setup'!$K$4,'Funnel Lookup'!I341="*"),#N/A,IF(AND($C341='Funnel setup'!$K$3&amp;'Funnel setup'!$K$5&amp;'Funnel setup'!$K$6&amp;'Funnel setup'!$K$4,'Funnel Lookup'!I341&gt;29),'Funnel Lookup'!Q341,#N/A))</f>
        <v>#N/A</v>
      </c>
    </row>
    <row r="342" spans="1:22" x14ac:dyDescent="0.2">
      <c r="A342">
        <v>340</v>
      </c>
      <c r="B342" t="e">
        <f t="shared" ca="1" si="78"/>
        <v>#N/A</v>
      </c>
      <c r="C342" t="e">
        <f t="shared" ca="1" si="78"/>
        <v>#N/A</v>
      </c>
      <c r="D342" t="e">
        <f t="shared" ca="1" si="78"/>
        <v>#N/A</v>
      </c>
      <c r="E342" t="e">
        <f t="shared" ca="1" si="78"/>
        <v>#N/A</v>
      </c>
      <c r="F342" t="e">
        <f t="shared" ca="1" si="78"/>
        <v>#N/A</v>
      </c>
      <c r="G342" t="e">
        <f t="shared" ca="1" si="78"/>
        <v>#N/A</v>
      </c>
      <c r="H342" t="e">
        <f t="shared" ca="1" si="78"/>
        <v>#N/A</v>
      </c>
      <c r="I342" t="e">
        <f t="shared" ca="1" si="78"/>
        <v>#N/A</v>
      </c>
      <c r="J342" t="e">
        <f t="shared" ca="1" si="78"/>
        <v>#N/A</v>
      </c>
      <c r="K342" t="e">
        <f t="shared" ca="1" si="78"/>
        <v>#N/A</v>
      </c>
      <c r="L342" t="e">
        <f t="shared" ca="1" si="79"/>
        <v>#N/A</v>
      </c>
      <c r="M342" t="e">
        <f t="shared" ca="1" si="79"/>
        <v>#N/A</v>
      </c>
      <c r="N342" t="e">
        <f t="shared" ca="1" si="79"/>
        <v>#N/A</v>
      </c>
      <c r="O342" t="e">
        <f t="shared" ca="1" si="79"/>
        <v>#N/A</v>
      </c>
      <c r="P342" t="e">
        <f t="shared" ca="1" si="79"/>
        <v>#N/A</v>
      </c>
      <c r="Q342" t="e">
        <f t="shared" ca="1" si="79"/>
        <v>#N/A</v>
      </c>
      <c r="R342" t="e">
        <f t="shared" ca="1" si="79"/>
        <v>#N/A</v>
      </c>
      <c r="S342" t="e">
        <f t="shared" ca="1" si="76"/>
        <v>#N/A</v>
      </c>
      <c r="T342" t="e">
        <f t="shared" ca="1" si="77"/>
        <v>#N/A</v>
      </c>
      <c r="U342" t="e">
        <f ca="1">IF(AND($C342='Funnel setup'!$K$3&amp;'Funnel setup'!$K$5&amp;'Funnel setup'!$K$6&amp;'Funnel setup'!$K$4,'Funnel Lookup'!I342="*"),#N/A,IF(AND($C342='Funnel setup'!$K$3&amp;'Funnel setup'!$K$5&amp;'Funnel setup'!$K$6&amp;'Funnel setup'!$K$4,'Funnel Lookup'!I342&gt;29),'Funnel Lookup'!I342,#N/A))</f>
        <v>#N/A</v>
      </c>
      <c r="V342" t="e">
        <f ca="1">IF(AND($C342='Funnel setup'!$K$3&amp;'Funnel setup'!$K$5&amp;'Funnel setup'!$K$6&amp;'Funnel setup'!$K$4,'Funnel Lookup'!I342="*"),#N/A,IF(AND($C342='Funnel setup'!$K$3&amp;'Funnel setup'!$K$5&amp;'Funnel setup'!$K$6&amp;'Funnel setup'!$K$4,'Funnel Lookup'!I342&gt;29),'Funnel Lookup'!Q342,#N/A))</f>
        <v>#N/A</v>
      </c>
    </row>
    <row r="343" spans="1:22" x14ac:dyDescent="0.2">
      <c r="A343">
        <v>341</v>
      </c>
      <c r="B343" t="e">
        <f t="shared" ref="B343:K352" ca="1" si="80">VLOOKUP($A343,Funnel_Data,B$1,FALSE)</f>
        <v>#N/A</v>
      </c>
      <c r="C343" t="e">
        <f t="shared" ca="1" si="80"/>
        <v>#N/A</v>
      </c>
      <c r="D343" t="e">
        <f t="shared" ca="1" si="80"/>
        <v>#N/A</v>
      </c>
      <c r="E343" t="e">
        <f t="shared" ca="1" si="80"/>
        <v>#N/A</v>
      </c>
      <c r="F343" t="e">
        <f t="shared" ca="1" si="80"/>
        <v>#N/A</v>
      </c>
      <c r="G343" t="e">
        <f t="shared" ca="1" si="80"/>
        <v>#N/A</v>
      </c>
      <c r="H343" t="e">
        <f t="shared" ca="1" si="80"/>
        <v>#N/A</v>
      </c>
      <c r="I343" t="e">
        <f t="shared" ca="1" si="80"/>
        <v>#N/A</v>
      </c>
      <c r="J343" t="e">
        <f t="shared" ca="1" si="80"/>
        <v>#N/A</v>
      </c>
      <c r="K343" t="e">
        <f t="shared" ca="1" si="80"/>
        <v>#N/A</v>
      </c>
      <c r="L343" t="e">
        <f t="shared" ref="L343:R352" ca="1" si="81">VLOOKUP($A343,Funnel_Data,L$1,FALSE)</f>
        <v>#N/A</v>
      </c>
      <c r="M343" t="e">
        <f t="shared" ca="1" si="81"/>
        <v>#N/A</v>
      </c>
      <c r="N343" t="e">
        <f t="shared" ca="1" si="81"/>
        <v>#N/A</v>
      </c>
      <c r="O343" t="e">
        <f t="shared" ca="1" si="81"/>
        <v>#N/A</v>
      </c>
      <c r="P343" t="e">
        <f t="shared" ca="1" si="81"/>
        <v>#N/A</v>
      </c>
      <c r="Q343" t="e">
        <f t="shared" ca="1" si="81"/>
        <v>#N/A</v>
      </c>
      <c r="R343" t="e">
        <f t="shared" ca="1" si="81"/>
        <v>#N/A</v>
      </c>
      <c r="S343" t="e">
        <f t="shared" ca="1" si="76"/>
        <v>#N/A</v>
      </c>
      <c r="T343" t="e">
        <f t="shared" ca="1" si="77"/>
        <v>#N/A</v>
      </c>
      <c r="U343" t="e">
        <f ca="1">IF(AND($C343='Funnel setup'!$K$3&amp;'Funnel setup'!$K$5&amp;'Funnel setup'!$K$6&amp;'Funnel setup'!$K$4,'Funnel Lookup'!I343="*"),#N/A,IF(AND($C343='Funnel setup'!$K$3&amp;'Funnel setup'!$K$5&amp;'Funnel setup'!$K$6&amp;'Funnel setup'!$K$4,'Funnel Lookup'!I343&gt;29),'Funnel Lookup'!I343,#N/A))</f>
        <v>#N/A</v>
      </c>
      <c r="V343" t="e">
        <f ca="1">IF(AND($C343='Funnel setup'!$K$3&amp;'Funnel setup'!$K$5&amp;'Funnel setup'!$K$6&amp;'Funnel setup'!$K$4,'Funnel Lookup'!I343="*"),#N/A,IF(AND($C343='Funnel setup'!$K$3&amp;'Funnel setup'!$K$5&amp;'Funnel setup'!$K$6&amp;'Funnel setup'!$K$4,'Funnel Lookup'!I343&gt;29),'Funnel Lookup'!Q343,#N/A))</f>
        <v>#N/A</v>
      </c>
    </row>
    <row r="344" spans="1:22" x14ac:dyDescent="0.2">
      <c r="A344">
        <v>342</v>
      </c>
      <c r="B344" t="e">
        <f t="shared" ca="1" si="80"/>
        <v>#N/A</v>
      </c>
      <c r="C344" t="e">
        <f t="shared" ca="1" si="80"/>
        <v>#N/A</v>
      </c>
      <c r="D344" t="e">
        <f t="shared" ca="1" si="80"/>
        <v>#N/A</v>
      </c>
      <c r="E344" t="e">
        <f t="shared" ca="1" si="80"/>
        <v>#N/A</v>
      </c>
      <c r="F344" t="e">
        <f t="shared" ca="1" si="80"/>
        <v>#N/A</v>
      </c>
      <c r="G344" t="e">
        <f t="shared" ca="1" si="80"/>
        <v>#N/A</v>
      </c>
      <c r="H344" t="e">
        <f t="shared" ca="1" si="80"/>
        <v>#N/A</v>
      </c>
      <c r="I344" t="e">
        <f t="shared" ca="1" si="80"/>
        <v>#N/A</v>
      </c>
      <c r="J344" t="e">
        <f t="shared" ca="1" si="80"/>
        <v>#N/A</v>
      </c>
      <c r="K344" t="e">
        <f t="shared" ca="1" si="80"/>
        <v>#N/A</v>
      </c>
      <c r="L344" t="e">
        <f t="shared" ca="1" si="81"/>
        <v>#N/A</v>
      </c>
      <c r="M344" t="e">
        <f t="shared" ca="1" si="81"/>
        <v>#N/A</v>
      </c>
      <c r="N344" t="e">
        <f t="shared" ca="1" si="81"/>
        <v>#N/A</v>
      </c>
      <c r="O344" t="e">
        <f t="shared" ca="1" si="81"/>
        <v>#N/A</v>
      </c>
      <c r="P344" t="e">
        <f t="shared" ca="1" si="81"/>
        <v>#N/A</v>
      </c>
      <c r="Q344" t="e">
        <f t="shared" ca="1" si="81"/>
        <v>#N/A</v>
      </c>
      <c r="R344" t="e">
        <f t="shared" ca="1" si="81"/>
        <v>#N/A</v>
      </c>
      <c r="S344" t="e">
        <f t="shared" ca="1" si="76"/>
        <v>#N/A</v>
      </c>
      <c r="T344" t="e">
        <f t="shared" ca="1" si="77"/>
        <v>#N/A</v>
      </c>
      <c r="U344" t="e">
        <f ca="1">IF(AND($C344='Funnel setup'!$K$3&amp;'Funnel setup'!$K$5&amp;'Funnel setup'!$K$6&amp;'Funnel setup'!$K$4,'Funnel Lookup'!I344="*"),#N/A,IF(AND($C344='Funnel setup'!$K$3&amp;'Funnel setup'!$K$5&amp;'Funnel setup'!$K$6&amp;'Funnel setup'!$K$4,'Funnel Lookup'!I344&gt;29),'Funnel Lookup'!I344,#N/A))</f>
        <v>#N/A</v>
      </c>
      <c r="V344" t="e">
        <f ca="1">IF(AND($C344='Funnel setup'!$K$3&amp;'Funnel setup'!$K$5&amp;'Funnel setup'!$K$6&amp;'Funnel setup'!$K$4,'Funnel Lookup'!I344="*"),#N/A,IF(AND($C344='Funnel setup'!$K$3&amp;'Funnel setup'!$K$5&amp;'Funnel setup'!$K$6&amp;'Funnel setup'!$K$4,'Funnel Lookup'!I344&gt;29),'Funnel Lookup'!Q344,#N/A))</f>
        <v>#N/A</v>
      </c>
    </row>
    <row r="345" spans="1:22" x14ac:dyDescent="0.2">
      <c r="A345">
        <v>343</v>
      </c>
      <c r="B345" t="e">
        <f t="shared" ca="1" si="80"/>
        <v>#N/A</v>
      </c>
      <c r="C345" t="e">
        <f t="shared" ca="1" si="80"/>
        <v>#N/A</v>
      </c>
      <c r="D345" t="e">
        <f t="shared" ca="1" si="80"/>
        <v>#N/A</v>
      </c>
      <c r="E345" t="e">
        <f t="shared" ca="1" si="80"/>
        <v>#N/A</v>
      </c>
      <c r="F345" t="e">
        <f t="shared" ca="1" si="80"/>
        <v>#N/A</v>
      </c>
      <c r="G345" t="e">
        <f t="shared" ca="1" si="80"/>
        <v>#N/A</v>
      </c>
      <c r="H345" t="e">
        <f t="shared" ca="1" si="80"/>
        <v>#N/A</v>
      </c>
      <c r="I345" t="e">
        <f t="shared" ca="1" si="80"/>
        <v>#N/A</v>
      </c>
      <c r="J345" t="e">
        <f t="shared" ca="1" si="80"/>
        <v>#N/A</v>
      </c>
      <c r="K345" t="e">
        <f t="shared" ca="1" si="80"/>
        <v>#N/A</v>
      </c>
      <c r="L345" t="e">
        <f t="shared" ca="1" si="81"/>
        <v>#N/A</v>
      </c>
      <c r="M345" t="e">
        <f t="shared" ca="1" si="81"/>
        <v>#N/A</v>
      </c>
      <c r="N345" t="e">
        <f t="shared" ca="1" si="81"/>
        <v>#N/A</v>
      </c>
      <c r="O345" t="e">
        <f t="shared" ca="1" si="81"/>
        <v>#N/A</v>
      </c>
      <c r="P345" t="e">
        <f t="shared" ca="1" si="81"/>
        <v>#N/A</v>
      </c>
      <c r="Q345" t="e">
        <f t="shared" ca="1" si="81"/>
        <v>#N/A</v>
      </c>
      <c r="R345" t="e">
        <f t="shared" ca="1" si="81"/>
        <v>#N/A</v>
      </c>
      <c r="S345" t="e">
        <f t="shared" ca="1" si="76"/>
        <v>#N/A</v>
      </c>
      <c r="T345" t="e">
        <f t="shared" ca="1" si="77"/>
        <v>#N/A</v>
      </c>
      <c r="U345" t="e">
        <f ca="1">IF(AND($C345='Funnel setup'!$K$3&amp;'Funnel setup'!$K$5&amp;'Funnel setup'!$K$6&amp;'Funnel setup'!$K$4,'Funnel Lookup'!I345="*"),#N/A,IF(AND($C345='Funnel setup'!$K$3&amp;'Funnel setup'!$K$5&amp;'Funnel setup'!$K$6&amp;'Funnel setup'!$K$4,'Funnel Lookup'!I345&gt;29),'Funnel Lookup'!I345,#N/A))</f>
        <v>#N/A</v>
      </c>
      <c r="V345" t="e">
        <f ca="1">IF(AND($C345='Funnel setup'!$K$3&amp;'Funnel setup'!$K$5&amp;'Funnel setup'!$K$6&amp;'Funnel setup'!$K$4,'Funnel Lookup'!I345="*"),#N/A,IF(AND($C345='Funnel setup'!$K$3&amp;'Funnel setup'!$K$5&amp;'Funnel setup'!$K$6&amp;'Funnel setup'!$K$4,'Funnel Lookup'!I345&gt;29),'Funnel Lookup'!Q345,#N/A))</f>
        <v>#N/A</v>
      </c>
    </row>
    <row r="346" spans="1:22" x14ac:dyDescent="0.2">
      <c r="A346">
        <v>344</v>
      </c>
      <c r="B346" t="e">
        <f t="shared" ca="1" si="80"/>
        <v>#N/A</v>
      </c>
      <c r="C346" t="e">
        <f t="shared" ca="1" si="80"/>
        <v>#N/A</v>
      </c>
      <c r="D346" t="e">
        <f t="shared" ca="1" si="80"/>
        <v>#N/A</v>
      </c>
      <c r="E346" t="e">
        <f t="shared" ca="1" si="80"/>
        <v>#N/A</v>
      </c>
      <c r="F346" t="e">
        <f t="shared" ca="1" si="80"/>
        <v>#N/A</v>
      </c>
      <c r="G346" t="e">
        <f t="shared" ca="1" si="80"/>
        <v>#N/A</v>
      </c>
      <c r="H346" t="e">
        <f t="shared" ca="1" si="80"/>
        <v>#N/A</v>
      </c>
      <c r="I346" t="e">
        <f t="shared" ca="1" si="80"/>
        <v>#N/A</v>
      </c>
      <c r="J346" t="e">
        <f t="shared" ca="1" si="80"/>
        <v>#N/A</v>
      </c>
      <c r="K346" t="e">
        <f t="shared" ca="1" si="80"/>
        <v>#N/A</v>
      </c>
      <c r="L346" t="e">
        <f t="shared" ca="1" si="81"/>
        <v>#N/A</v>
      </c>
      <c r="M346" t="e">
        <f t="shared" ca="1" si="81"/>
        <v>#N/A</v>
      </c>
      <c r="N346" t="e">
        <f t="shared" ca="1" si="81"/>
        <v>#N/A</v>
      </c>
      <c r="O346" t="e">
        <f t="shared" ca="1" si="81"/>
        <v>#N/A</v>
      </c>
      <c r="P346" t="e">
        <f t="shared" ca="1" si="81"/>
        <v>#N/A</v>
      </c>
      <c r="Q346" t="e">
        <f t="shared" ca="1" si="81"/>
        <v>#N/A</v>
      </c>
      <c r="R346" t="e">
        <f t="shared" ca="1" si="81"/>
        <v>#N/A</v>
      </c>
      <c r="S346" t="e">
        <f t="shared" ca="1" si="76"/>
        <v>#N/A</v>
      </c>
      <c r="T346" t="e">
        <f t="shared" ca="1" si="77"/>
        <v>#N/A</v>
      </c>
      <c r="U346" t="e">
        <f ca="1">IF(AND($C346='Funnel setup'!$K$3&amp;'Funnel setup'!$K$5&amp;'Funnel setup'!$K$6&amp;'Funnel setup'!$K$4,'Funnel Lookup'!I346="*"),#N/A,IF(AND($C346='Funnel setup'!$K$3&amp;'Funnel setup'!$K$5&amp;'Funnel setup'!$K$6&amp;'Funnel setup'!$K$4,'Funnel Lookup'!I346&gt;29),'Funnel Lookup'!I346,#N/A))</f>
        <v>#N/A</v>
      </c>
      <c r="V346" t="e">
        <f ca="1">IF(AND($C346='Funnel setup'!$K$3&amp;'Funnel setup'!$K$5&amp;'Funnel setup'!$K$6&amp;'Funnel setup'!$K$4,'Funnel Lookup'!I346="*"),#N/A,IF(AND($C346='Funnel setup'!$K$3&amp;'Funnel setup'!$K$5&amp;'Funnel setup'!$K$6&amp;'Funnel setup'!$K$4,'Funnel Lookup'!I346&gt;29),'Funnel Lookup'!Q346,#N/A))</f>
        <v>#N/A</v>
      </c>
    </row>
    <row r="347" spans="1:22" x14ac:dyDescent="0.2">
      <c r="A347">
        <v>345</v>
      </c>
      <c r="B347" t="e">
        <f t="shared" ca="1" si="80"/>
        <v>#N/A</v>
      </c>
      <c r="C347" t="e">
        <f t="shared" ca="1" si="80"/>
        <v>#N/A</v>
      </c>
      <c r="D347" t="e">
        <f t="shared" ca="1" si="80"/>
        <v>#N/A</v>
      </c>
      <c r="E347" t="e">
        <f t="shared" ca="1" si="80"/>
        <v>#N/A</v>
      </c>
      <c r="F347" t="e">
        <f t="shared" ca="1" si="80"/>
        <v>#N/A</v>
      </c>
      <c r="G347" t="e">
        <f t="shared" ca="1" si="80"/>
        <v>#N/A</v>
      </c>
      <c r="H347" t="e">
        <f t="shared" ca="1" si="80"/>
        <v>#N/A</v>
      </c>
      <c r="I347" t="e">
        <f t="shared" ca="1" si="80"/>
        <v>#N/A</v>
      </c>
      <c r="J347" t="e">
        <f t="shared" ca="1" si="80"/>
        <v>#N/A</v>
      </c>
      <c r="K347" t="e">
        <f t="shared" ca="1" si="80"/>
        <v>#N/A</v>
      </c>
      <c r="L347" t="e">
        <f t="shared" ca="1" si="81"/>
        <v>#N/A</v>
      </c>
      <c r="M347" t="e">
        <f t="shared" ca="1" si="81"/>
        <v>#N/A</v>
      </c>
      <c r="N347" t="e">
        <f t="shared" ca="1" si="81"/>
        <v>#N/A</v>
      </c>
      <c r="O347" t="e">
        <f t="shared" ca="1" si="81"/>
        <v>#N/A</v>
      </c>
      <c r="P347" t="e">
        <f t="shared" ca="1" si="81"/>
        <v>#N/A</v>
      </c>
      <c r="Q347" t="e">
        <f t="shared" ca="1" si="81"/>
        <v>#N/A</v>
      </c>
      <c r="R347" t="e">
        <f t="shared" ca="1" si="81"/>
        <v>#N/A</v>
      </c>
      <c r="S347" t="e">
        <f t="shared" ca="1" si="76"/>
        <v>#N/A</v>
      </c>
      <c r="T347" t="e">
        <f t="shared" ca="1" si="77"/>
        <v>#N/A</v>
      </c>
      <c r="U347" t="e">
        <f ca="1">IF(AND($C347='Funnel setup'!$K$3&amp;'Funnel setup'!$K$5&amp;'Funnel setup'!$K$6&amp;'Funnel setup'!$K$4,'Funnel Lookup'!I347="*"),#N/A,IF(AND($C347='Funnel setup'!$K$3&amp;'Funnel setup'!$K$5&amp;'Funnel setup'!$K$6&amp;'Funnel setup'!$K$4,'Funnel Lookup'!I347&gt;29),'Funnel Lookup'!I347,#N/A))</f>
        <v>#N/A</v>
      </c>
      <c r="V347" t="e">
        <f ca="1">IF(AND($C347='Funnel setup'!$K$3&amp;'Funnel setup'!$K$5&amp;'Funnel setup'!$K$6&amp;'Funnel setup'!$K$4,'Funnel Lookup'!I347="*"),#N/A,IF(AND($C347='Funnel setup'!$K$3&amp;'Funnel setup'!$K$5&amp;'Funnel setup'!$K$6&amp;'Funnel setup'!$K$4,'Funnel Lookup'!I347&gt;29),'Funnel Lookup'!Q347,#N/A))</f>
        <v>#N/A</v>
      </c>
    </row>
    <row r="348" spans="1:22" x14ac:dyDescent="0.2">
      <c r="A348">
        <v>346</v>
      </c>
      <c r="B348" t="e">
        <f t="shared" ca="1" si="80"/>
        <v>#N/A</v>
      </c>
      <c r="C348" t="e">
        <f t="shared" ca="1" si="80"/>
        <v>#N/A</v>
      </c>
      <c r="D348" t="e">
        <f t="shared" ca="1" si="80"/>
        <v>#N/A</v>
      </c>
      <c r="E348" t="e">
        <f t="shared" ca="1" si="80"/>
        <v>#N/A</v>
      </c>
      <c r="F348" t="e">
        <f t="shared" ca="1" si="80"/>
        <v>#N/A</v>
      </c>
      <c r="G348" t="e">
        <f t="shared" ca="1" si="80"/>
        <v>#N/A</v>
      </c>
      <c r="H348" t="e">
        <f t="shared" ca="1" si="80"/>
        <v>#N/A</v>
      </c>
      <c r="I348" t="e">
        <f t="shared" ca="1" si="80"/>
        <v>#N/A</v>
      </c>
      <c r="J348" t="e">
        <f t="shared" ca="1" si="80"/>
        <v>#N/A</v>
      </c>
      <c r="K348" t="e">
        <f t="shared" ca="1" si="80"/>
        <v>#N/A</v>
      </c>
      <c r="L348" t="e">
        <f t="shared" ca="1" si="81"/>
        <v>#N/A</v>
      </c>
      <c r="M348" t="e">
        <f t="shared" ca="1" si="81"/>
        <v>#N/A</v>
      </c>
      <c r="N348" t="e">
        <f t="shared" ca="1" si="81"/>
        <v>#N/A</v>
      </c>
      <c r="O348" t="e">
        <f t="shared" ca="1" si="81"/>
        <v>#N/A</v>
      </c>
      <c r="P348" t="e">
        <f t="shared" ca="1" si="81"/>
        <v>#N/A</v>
      </c>
      <c r="Q348" t="e">
        <f t="shared" ca="1" si="81"/>
        <v>#N/A</v>
      </c>
      <c r="R348" t="e">
        <f t="shared" ca="1" si="81"/>
        <v>#N/A</v>
      </c>
      <c r="S348" t="e">
        <f t="shared" ca="1" si="76"/>
        <v>#N/A</v>
      </c>
      <c r="T348" t="e">
        <f t="shared" ca="1" si="77"/>
        <v>#N/A</v>
      </c>
      <c r="U348" t="e">
        <f ca="1">IF(AND($C348='Funnel setup'!$K$3&amp;'Funnel setup'!$K$5&amp;'Funnel setup'!$K$6&amp;'Funnel setup'!$K$4,'Funnel Lookup'!I348="*"),#N/A,IF(AND($C348='Funnel setup'!$K$3&amp;'Funnel setup'!$K$5&amp;'Funnel setup'!$K$6&amp;'Funnel setup'!$K$4,'Funnel Lookup'!I348&gt;29),'Funnel Lookup'!I348,#N/A))</f>
        <v>#N/A</v>
      </c>
      <c r="V348" t="e">
        <f ca="1">IF(AND($C348='Funnel setup'!$K$3&amp;'Funnel setup'!$K$5&amp;'Funnel setup'!$K$6&amp;'Funnel setup'!$K$4,'Funnel Lookup'!I348="*"),#N/A,IF(AND($C348='Funnel setup'!$K$3&amp;'Funnel setup'!$K$5&amp;'Funnel setup'!$K$6&amp;'Funnel setup'!$K$4,'Funnel Lookup'!I348&gt;29),'Funnel Lookup'!Q348,#N/A))</f>
        <v>#N/A</v>
      </c>
    </row>
    <row r="349" spans="1:22" x14ac:dyDescent="0.2">
      <c r="A349">
        <v>347</v>
      </c>
      <c r="B349" t="e">
        <f t="shared" ca="1" si="80"/>
        <v>#N/A</v>
      </c>
      <c r="C349" t="e">
        <f t="shared" ca="1" si="80"/>
        <v>#N/A</v>
      </c>
      <c r="D349" t="e">
        <f t="shared" ca="1" si="80"/>
        <v>#N/A</v>
      </c>
      <c r="E349" t="e">
        <f t="shared" ca="1" si="80"/>
        <v>#N/A</v>
      </c>
      <c r="F349" t="e">
        <f t="shared" ca="1" si="80"/>
        <v>#N/A</v>
      </c>
      <c r="G349" t="e">
        <f t="shared" ca="1" si="80"/>
        <v>#N/A</v>
      </c>
      <c r="H349" t="e">
        <f t="shared" ca="1" si="80"/>
        <v>#N/A</v>
      </c>
      <c r="I349" t="e">
        <f t="shared" ca="1" si="80"/>
        <v>#N/A</v>
      </c>
      <c r="J349" t="e">
        <f t="shared" ca="1" si="80"/>
        <v>#N/A</v>
      </c>
      <c r="K349" t="e">
        <f t="shared" ca="1" si="80"/>
        <v>#N/A</v>
      </c>
      <c r="L349" t="e">
        <f t="shared" ca="1" si="81"/>
        <v>#N/A</v>
      </c>
      <c r="M349" t="e">
        <f t="shared" ca="1" si="81"/>
        <v>#N/A</v>
      </c>
      <c r="N349" t="e">
        <f t="shared" ca="1" si="81"/>
        <v>#N/A</v>
      </c>
      <c r="O349" t="e">
        <f t="shared" ca="1" si="81"/>
        <v>#N/A</v>
      </c>
      <c r="P349" t="e">
        <f t="shared" ca="1" si="81"/>
        <v>#N/A</v>
      </c>
      <c r="Q349" t="e">
        <f t="shared" ca="1" si="81"/>
        <v>#N/A</v>
      </c>
      <c r="R349" t="e">
        <f t="shared" ca="1" si="81"/>
        <v>#N/A</v>
      </c>
      <c r="S349" t="e">
        <f t="shared" ca="1" si="76"/>
        <v>#N/A</v>
      </c>
      <c r="T349" t="e">
        <f t="shared" ca="1" si="77"/>
        <v>#N/A</v>
      </c>
      <c r="U349" t="e">
        <f ca="1">IF(AND($C349='Funnel setup'!$K$3&amp;'Funnel setup'!$K$5&amp;'Funnel setup'!$K$6&amp;'Funnel setup'!$K$4,'Funnel Lookup'!I349="*"),#N/A,IF(AND($C349='Funnel setup'!$K$3&amp;'Funnel setup'!$K$5&amp;'Funnel setup'!$K$6&amp;'Funnel setup'!$K$4,'Funnel Lookup'!I349&gt;29),'Funnel Lookup'!I349,#N/A))</f>
        <v>#N/A</v>
      </c>
      <c r="V349" t="e">
        <f ca="1">IF(AND($C349='Funnel setup'!$K$3&amp;'Funnel setup'!$K$5&amp;'Funnel setup'!$K$6&amp;'Funnel setup'!$K$4,'Funnel Lookup'!I349="*"),#N/A,IF(AND($C349='Funnel setup'!$K$3&amp;'Funnel setup'!$K$5&amp;'Funnel setup'!$K$6&amp;'Funnel setup'!$K$4,'Funnel Lookup'!I349&gt;29),'Funnel Lookup'!Q349,#N/A))</f>
        <v>#N/A</v>
      </c>
    </row>
    <row r="350" spans="1:22" x14ac:dyDescent="0.2">
      <c r="A350">
        <v>348</v>
      </c>
      <c r="B350" t="e">
        <f t="shared" ca="1" si="80"/>
        <v>#N/A</v>
      </c>
      <c r="C350" t="e">
        <f t="shared" ca="1" si="80"/>
        <v>#N/A</v>
      </c>
      <c r="D350" t="e">
        <f t="shared" ca="1" si="80"/>
        <v>#N/A</v>
      </c>
      <c r="E350" t="e">
        <f t="shared" ca="1" si="80"/>
        <v>#N/A</v>
      </c>
      <c r="F350" t="e">
        <f t="shared" ca="1" si="80"/>
        <v>#N/A</v>
      </c>
      <c r="G350" t="e">
        <f t="shared" ca="1" si="80"/>
        <v>#N/A</v>
      </c>
      <c r="H350" t="e">
        <f t="shared" ca="1" si="80"/>
        <v>#N/A</v>
      </c>
      <c r="I350" t="e">
        <f t="shared" ca="1" si="80"/>
        <v>#N/A</v>
      </c>
      <c r="J350" t="e">
        <f t="shared" ca="1" si="80"/>
        <v>#N/A</v>
      </c>
      <c r="K350" t="e">
        <f t="shared" ca="1" si="80"/>
        <v>#N/A</v>
      </c>
      <c r="L350" t="e">
        <f t="shared" ca="1" si="81"/>
        <v>#N/A</v>
      </c>
      <c r="M350" t="e">
        <f t="shared" ca="1" si="81"/>
        <v>#N/A</v>
      </c>
      <c r="N350" t="e">
        <f t="shared" ca="1" si="81"/>
        <v>#N/A</v>
      </c>
      <c r="O350" t="e">
        <f t="shared" ca="1" si="81"/>
        <v>#N/A</v>
      </c>
      <c r="P350" t="e">
        <f t="shared" ca="1" si="81"/>
        <v>#N/A</v>
      </c>
      <c r="Q350" t="e">
        <f t="shared" ca="1" si="81"/>
        <v>#N/A</v>
      </c>
      <c r="R350" t="e">
        <f t="shared" ca="1" si="81"/>
        <v>#N/A</v>
      </c>
      <c r="S350" t="e">
        <f t="shared" ca="1" si="76"/>
        <v>#N/A</v>
      </c>
      <c r="T350" t="e">
        <f t="shared" ca="1" si="77"/>
        <v>#N/A</v>
      </c>
      <c r="U350" t="e">
        <f ca="1">IF(AND($C350='Funnel setup'!$K$3&amp;'Funnel setup'!$K$5&amp;'Funnel setup'!$K$6&amp;'Funnel setup'!$K$4,'Funnel Lookup'!I350="*"),#N/A,IF(AND($C350='Funnel setup'!$K$3&amp;'Funnel setup'!$K$5&amp;'Funnel setup'!$K$6&amp;'Funnel setup'!$K$4,'Funnel Lookup'!I350&gt;29),'Funnel Lookup'!I350,#N/A))</f>
        <v>#N/A</v>
      </c>
      <c r="V350" t="e">
        <f ca="1">IF(AND($C350='Funnel setup'!$K$3&amp;'Funnel setup'!$K$5&amp;'Funnel setup'!$K$6&amp;'Funnel setup'!$K$4,'Funnel Lookup'!I350="*"),#N/A,IF(AND($C350='Funnel setup'!$K$3&amp;'Funnel setup'!$K$5&amp;'Funnel setup'!$K$6&amp;'Funnel setup'!$K$4,'Funnel Lookup'!I350&gt;29),'Funnel Lookup'!Q350,#N/A))</f>
        <v>#N/A</v>
      </c>
    </row>
    <row r="351" spans="1:22" x14ac:dyDescent="0.2">
      <c r="A351">
        <v>349</v>
      </c>
      <c r="B351" t="e">
        <f t="shared" ca="1" si="80"/>
        <v>#N/A</v>
      </c>
      <c r="C351" t="e">
        <f t="shared" ca="1" si="80"/>
        <v>#N/A</v>
      </c>
      <c r="D351" t="e">
        <f t="shared" ca="1" si="80"/>
        <v>#N/A</v>
      </c>
      <c r="E351" t="e">
        <f t="shared" ca="1" si="80"/>
        <v>#N/A</v>
      </c>
      <c r="F351" t="e">
        <f t="shared" ca="1" si="80"/>
        <v>#N/A</v>
      </c>
      <c r="G351" t="e">
        <f t="shared" ca="1" si="80"/>
        <v>#N/A</v>
      </c>
      <c r="H351" t="e">
        <f t="shared" ca="1" si="80"/>
        <v>#N/A</v>
      </c>
      <c r="I351" t="e">
        <f t="shared" ca="1" si="80"/>
        <v>#N/A</v>
      </c>
      <c r="J351" t="e">
        <f t="shared" ca="1" si="80"/>
        <v>#N/A</v>
      </c>
      <c r="K351" t="e">
        <f t="shared" ca="1" si="80"/>
        <v>#N/A</v>
      </c>
      <c r="L351" t="e">
        <f t="shared" ca="1" si="81"/>
        <v>#N/A</v>
      </c>
      <c r="M351" t="e">
        <f t="shared" ca="1" si="81"/>
        <v>#N/A</v>
      </c>
      <c r="N351" t="e">
        <f t="shared" ca="1" si="81"/>
        <v>#N/A</v>
      </c>
      <c r="O351" t="e">
        <f t="shared" ca="1" si="81"/>
        <v>#N/A</v>
      </c>
      <c r="P351" t="e">
        <f t="shared" ca="1" si="81"/>
        <v>#N/A</v>
      </c>
      <c r="Q351" t="e">
        <f t="shared" ca="1" si="81"/>
        <v>#N/A</v>
      </c>
      <c r="R351" t="e">
        <f t="shared" ca="1" si="81"/>
        <v>#N/A</v>
      </c>
      <c r="S351" t="e">
        <f t="shared" ca="1" si="76"/>
        <v>#N/A</v>
      </c>
      <c r="T351" t="e">
        <f t="shared" ca="1" si="77"/>
        <v>#N/A</v>
      </c>
      <c r="U351" t="e">
        <f ca="1">IF(AND($C351='Funnel setup'!$K$3&amp;'Funnel setup'!$K$5&amp;'Funnel setup'!$K$6&amp;'Funnel setup'!$K$4,'Funnel Lookup'!I351="*"),#N/A,IF(AND($C351='Funnel setup'!$K$3&amp;'Funnel setup'!$K$5&amp;'Funnel setup'!$K$6&amp;'Funnel setup'!$K$4,'Funnel Lookup'!I351&gt;29),'Funnel Lookup'!I351,#N/A))</f>
        <v>#N/A</v>
      </c>
      <c r="V351" t="e">
        <f ca="1">IF(AND($C351='Funnel setup'!$K$3&amp;'Funnel setup'!$K$5&amp;'Funnel setup'!$K$6&amp;'Funnel setup'!$K$4,'Funnel Lookup'!I351="*"),#N/A,IF(AND($C351='Funnel setup'!$K$3&amp;'Funnel setup'!$K$5&amp;'Funnel setup'!$K$6&amp;'Funnel setup'!$K$4,'Funnel Lookup'!I351&gt;29),'Funnel Lookup'!Q351,#N/A))</f>
        <v>#N/A</v>
      </c>
    </row>
    <row r="352" spans="1:22" x14ac:dyDescent="0.2">
      <c r="A352">
        <v>350</v>
      </c>
      <c r="B352" t="e">
        <f t="shared" ca="1" si="80"/>
        <v>#N/A</v>
      </c>
      <c r="C352" t="e">
        <f t="shared" ca="1" si="80"/>
        <v>#N/A</v>
      </c>
      <c r="D352" t="e">
        <f t="shared" ca="1" si="80"/>
        <v>#N/A</v>
      </c>
      <c r="E352" t="e">
        <f t="shared" ca="1" si="80"/>
        <v>#N/A</v>
      </c>
      <c r="F352" t="e">
        <f t="shared" ca="1" si="80"/>
        <v>#N/A</v>
      </c>
      <c r="G352" t="e">
        <f t="shared" ca="1" si="80"/>
        <v>#N/A</v>
      </c>
      <c r="H352" t="e">
        <f t="shared" ca="1" si="80"/>
        <v>#N/A</v>
      </c>
      <c r="I352" t="e">
        <f t="shared" ca="1" si="80"/>
        <v>#N/A</v>
      </c>
      <c r="J352" t="e">
        <f t="shared" ca="1" si="80"/>
        <v>#N/A</v>
      </c>
      <c r="K352" t="e">
        <f t="shared" ca="1" si="80"/>
        <v>#N/A</v>
      </c>
      <c r="L352" t="e">
        <f t="shared" ca="1" si="81"/>
        <v>#N/A</v>
      </c>
      <c r="M352" t="e">
        <f t="shared" ca="1" si="81"/>
        <v>#N/A</v>
      </c>
      <c r="N352" t="e">
        <f t="shared" ca="1" si="81"/>
        <v>#N/A</v>
      </c>
      <c r="O352" t="e">
        <f t="shared" ca="1" si="81"/>
        <v>#N/A</v>
      </c>
      <c r="P352" t="e">
        <f t="shared" ca="1" si="81"/>
        <v>#N/A</v>
      </c>
      <c r="Q352" t="e">
        <f t="shared" ca="1" si="81"/>
        <v>#N/A</v>
      </c>
      <c r="R352" t="e">
        <f t="shared" ca="1" si="81"/>
        <v>#N/A</v>
      </c>
      <c r="S352" t="e">
        <f t="shared" ca="1" si="76"/>
        <v>#N/A</v>
      </c>
      <c r="T352" t="e">
        <f t="shared" ca="1" si="77"/>
        <v>#N/A</v>
      </c>
      <c r="U352" t="e">
        <f ca="1">IF(AND($C352='Funnel setup'!$K$3&amp;'Funnel setup'!$K$5&amp;'Funnel setup'!$K$6&amp;'Funnel setup'!$K$4,'Funnel Lookup'!I352="*"),#N/A,IF(AND($C352='Funnel setup'!$K$3&amp;'Funnel setup'!$K$5&amp;'Funnel setup'!$K$6&amp;'Funnel setup'!$K$4,'Funnel Lookup'!I352&gt;29),'Funnel Lookup'!I352,#N/A))</f>
        <v>#N/A</v>
      </c>
      <c r="V352" t="e">
        <f ca="1">IF(AND($C352='Funnel setup'!$K$3&amp;'Funnel setup'!$K$5&amp;'Funnel setup'!$K$6&amp;'Funnel setup'!$K$4,'Funnel Lookup'!I352="*"),#N/A,IF(AND($C352='Funnel setup'!$K$3&amp;'Funnel setup'!$K$5&amp;'Funnel setup'!$K$6&amp;'Funnel setup'!$K$4,'Funnel Lookup'!I352&gt;29),'Funnel Lookup'!Q352,#N/A))</f>
        <v>#N/A</v>
      </c>
    </row>
    <row r="353" spans="1:22" x14ac:dyDescent="0.2">
      <c r="A353">
        <v>351</v>
      </c>
      <c r="B353" t="e">
        <f t="shared" ref="B353:K362" ca="1" si="82">VLOOKUP($A353,Funnel_Data,B$1,FALSE)</f>
        <v>#N/A</v>
      </c>
      <c r="C353" t="e">
        <f t="shared" ca="1" si="82"/>
        <v>#N/A</v>
      </c>
      <c r="D353" t="e">
        <f t="shared" ca="1" si="82"/>
        <v>#N/A</v>
      </c>
      <c r="E353" t="e">
        <f t="shared" ca="1" si="82"/>
        <v>#N/A</v>
      </c>
      <c r="F353" t="e">
        <f t="shared" ca="1" si="82"/>
        <v>#N/A</v>
      </c>
      <c r="G353" t="e">
        <f t="shared" ca="1" si="82"/>
        <v>#N/A</v>
      </c>
      <c r="H353" t="e">
        <f t="shared" ca="1" si="82"/>
        <v>#N/A</v>
      </c>
      <c r="I353" t="e">
        <f t="shared" ca="1" si="82"/>
        <v>#N/A</v>
      </c>
      <c r="J353" t="e">
        <f t="shared" ca="1" si="82"/>
        <v>#N/A</v>
      </c>
      <c r="K353" t="e">
        <f t="shared" ca="1" si="82"/>
        <v>#N/A</v>
      </c>
      <c r="L353" t="e">
        <f t="shared" ref="L353:R362" ca="1" si="83">VLOOKUP($A353,Funnel_Data,L$1,FALSE)</f>
        <v>#N/A</v>
      </c>
      <c r="M353" t="e">
        <f t="shared" ca="1" si="83"/>
        <v>#N/A</v>
      </c>
      <c r="N353" t="e">
        <f t="shared" ca="1" si="83"/>
        <v>#N/A</v>
      </c>
      <c r="O353" t="e">
        <f t="shared" ca="1" si="83"/>
        <v>#N/A</v>
      </c>
      <c r="P353" t="e">
        <f t="shared" ca="1" si="83"/>
        <v>#N/A</v>
      </c>
      <c r="Q353" t="e">
        <f t="shared" ca="1" si="83"/>
        <v>#N/A</v>
      </c>
      <c r="R353" t="e">
        <f t="shared" ca="1" si="83"/>
        <v>#N/A</v>
      </c>
      <c r="S353" t="e">
        <f t="shared" ca="1" si="76"/>
        <v>#N/A</v>
      </c>
      <c r="T353" t="e">
        <f t="shared" ca="1" si="77"/>
        <v>#N/A</v>
      </c>
      <c r="U353" t="e">
        <f ca="1">IF(AND($C353='Funnel setup'!$K$3&amp;'Funnel setup'!$K$5&amp;'Funnel setup'!$K$6&amp;'Funnel setup'!$K$4,'Funnel Lookup'!I353="*"),#N/A,IF(AND($C353='Funnel setup'!$K$3&amp;'Funnel setup'!$K$5&amp;'Funnel setup'!$K$6&amp;'Funnel setup'!$K$4,'Funnel Lookup'!I353&gt;29),'Funnel Lookup'!I353,#N/A))</f>
        <v>#N/A</v>
      </c>
      <c r="V353" t="e">
        <f ca="1">IF(AND($C353='Funnel setup'!$K$3&amp;'Funnel setup'!$K$5&amp;'Funnel setup'!$K$6&amp;'Funnel setup'!$K$4,'Funnel Lookup'!I353="*"),#N/A,IF(AND($C353='Funnel setup'!$K$3&amp;'Funnel setup'!$K$5&amp;'Funnel setup'!$K$6&amp;'Funnel setup'!$K$4,'Funnel Lookup'!I353&gt;29),'Funnel Lookup'!Q353,#N/A))</f>
        <v>#N/A</v>
      </c>
    </row>
    <row r="354" spans="1:22" x14ac:dyDescent="0.2">
      <c r="A354">
        <v>352</v>
      </c>
      <c r="B354" t="e">
        <f t="shared" ca="1" si="82"/>
        <v>#N/A</v>
      </c>
      <c r="C354" t="e">
        <f t="shared" ca="1" si="82"/>
        <v>#N/A</v>
      </c>
      <c r="D354" t="e">
        <f t="shared" ca="1" si="82"/>
        <v>#N/A</v>
      </c>
      <c r="E354" t="e">
        <f t="shared" ca="1" si="82"/>
        <v>#N/A</v>
      </c>
      <c r="F354" t="e">
        <f t="shared" ca="1" si="82"/>
        <v>#N/A</v>
      </c>
      <c r="G354" t="e">
        <f t="shared" ca="1" si="82"/>
        <v>#N/A</v>
      </c>
      <c r="H354" t="e">
        <f t="shared" ca="1" si="82"/>
        <v>#N/A</v>
      </c>
      <c r="I354" t="e">
        <f t="shared" ca="1" si="82"/>
        <v>#N/A</v>
      </c>
      <c r="J354" t="e">
        <f t="shared" ca="1" si="82"/>
        <v>#N/A</v>
      </c>
      <c r="K354" t="e">
        <f t="shared" ca="1" si="82"/>
        <v>#N/A</v>
      </c>
      <c r="L354" t="e">
        <f t="shared" ca="1" si="83"/>
        <v>#N/A</v>
      </c>
      <c r="M354" t="e">
        <f t="shared" ca="1" si="83"/>
        <v>#N/A</v>
      </c>
      <c r="N354" t="e">
        <f t="shared" ca="1" si="83"/>
        <v>#N/A</v>
      </c>
      <c r="O354" t="e">
        <f t="shared" ca="1" si="83"/>
        <v>#N/A</v>
      </c>
      <c r="P354" t="e">
        <f t="shared" ca="1" si="83"/>
        <v>#N/A</v>
      </c>
      <c r="Q354" t="e">
        <f t="shared" ca="1" si="83"/>
        <v>#N/A</v>
      </c>
      <c r="R354" t="e">
        <f t="shared" ca="1" si="83"/>
        <v>#N/A</v>
      </c>
      <c r="S354" t="e">
        <f t="shared" ca="1" si="76"/>
        <v>#N/A</v>
      </c>
      <c r="T354" t="e">
        <f t="shared" ca="1" si="77"/>
        <v>#N/A</v>
      </c>
      <c r="U354" t="e">
        <f ca="1">IF(AND($C354='Funnel setup'!$K$3&amp;'Funnel setup'!$K$5&amp;'Funnel setup'!$K$6&amp;'Funnel setup'!$K$4,'Funnel Lookup'!I354="*"),#N/A,IF(AND($C354='Funnel setup'!$K$3&amp;'Funnel setup'!$K$5&amp;'Funnel setup'!$K$6&amp;'Funnel setup'!$K$4,'Funnel Lookup'!I354&gt;29),'Funnel Lookup'!I354,#N/A))</f>
        <v>#N/A</v>
      </c>
      <c r="V354" t="e">
        <f ca="1">IF(AND($C354='Funnel setup'!$K$3&amp;'Funnel setup'!$K$5&amp;'Funnel setup'!$K$6&amp;'Funnel setup'!$K$4,'Funnel Lookup'!I354="*"),#N/A,IF(AND($C354='Funnel setup'!$K$3&amp;'Funnel setup'!$K$5&amp;'Funnel setup'!$K$6&amp;'Funnel setup'!$K$4,'Funnel Lookup'!I354&gt;29),'Funnel Lookup'!Q354,#N/A))</f>
        <v>#N/A</v>
      </c>
    </row>
    <row r="355" spans="1:22" x14ac:dyDescent="0.2">
      <c r="A355">
        <v>353</v>
      </c>
      <c r="B355" t="e">
        <f t="shared" ca="1" si="82"/>
        <v>#N/A</v>
      </c>
      <c r="C355" t="e">
        <f t="shared" ca="1" si="82"/>
        <v>#N/A</v>
      </c>
      <c r="D355" t="e">
        <f t="shared" ca="1" si="82"/>
        <v>#N/A</v>
      </c>
      <c r="E355" t="e">
        <f t="shared" ca="1" si="82"/>
        <v>#N/A</v>
      </c>
      <c r="F355" t="e">
        <f t="shared" ca="1" si="82"/>
        <v>#N/A</v>
      </c>
      <c r="G355" t="e">
        <f t="shared" ca="1" si="82"/>
        <v>#N/A</v>
      </c>
      <c r="H355" t="e">
        <f t="shared" ca="1" si="82"/>
        <v>#N/A</v>
      </c>
      <c r="I355" t="e">
        <f t="shared" ca="1" si="82"/>
        <v>#N/A</v>
      </c>
      <c r="J355" t="e">
        <f t="shared" ca="1" si="82"/>
        <v>#N/A</v>
      </c>
      <c r="K355" t="e">
        <f t="shared" ca="1" si="82"/>
        <v>#N/A</v>
      </c>
      <c r="L355" t="e">
        <f t="shared" ca="1" si="83"/>
        <v>#N/A</v>
      </c>
      <c r="M355" t="e">
        <f t="shared" ca="1" si="83"/>
        <v>#N/A</v>
      </c>
      <c r="N355" t="e">
        <f t="shared" ca="1" si="83"/>
        <v>#N/A</v>
      </c>
      <c r="O355" t="e">
        <f t="shared" ca="1" si="83"/>
        <v>#N/A</v>
      </c>
      <c r="P355" t="e">
        <f t="shared" ca="1" si="83"/>
        <v>#N/A</v>
      </c>
      <c r="Q355" t="e">
        <f t="shared" ca="1" si="83"/>
        <v>#N/A</v>
      </c>
      <c r="R355" t="e">
        <f t="shared" ca="1" si="83"/>
        <v>#N/A</v>
      </c>
      <c r="S355" t="e">
        <f t="shared" ca="1" si="76"/>
        <v>#N/A</v>
      </c>
      <c r="T355" t="e">
        <f t="shared" ca="1" si="77"/>
        <v>#N/A</v>
      </c>
      <c r="U355" t="e">
        <f ca="1">IF(AND($C355='Funnel setup'!$K$3&amp;'Funnel setup'!$K$5&amp;'Funnel setup'!$K$6&amp;'Funnel setup'!$K$4,'Funnel Lookup'!I355="*"),#N/A,IF(AND($C355='Funnel setup'!$K$3&amp;'Funnel setup'!$K$5&amp;'Funnel setup'!$K$6&amp;'Funnel setup'!$K$4,'Funnel Lookup'!I355&gt;29),'Funnel Lookup'!I355,#N/A))</f>
        <v>#N/A</v>
      </c>
      <c r="V355" t="e">
        <f ca="1">IF(AND($C355='Funnel setup'!$K$3&amp;'Funnel setup'!$K$5&amp;'Funnel setup'!$K$6&amp;'Funnel setup'!$K$4,'Funnel Lookup'!I355="*"),#N/A,IF(AND($C355='Funnel setup'!$K$3&amp;'Funnel setup'!$K$5&amp;'Funnel setup'!$K$6&amp;'Funnel setup'!$K$4,'Funnel Lookup'!I355&gt;29),'Funnel Lookup'!Q355,#N/A))</f>
        <v>#N/A</v>
      </c>
    </row>
    <row r="356" spans="1:22" x14ac:dyDescent="0.2">
      <c r="A356">
        <v>354</v>
      </c>
      <c r="B356" t="e">
        <f t="shared" ca="1" si="82"/>
        <v>#N/A</v>
      </c>
      <c r="C356" t="e">
        <f t="shared" ca="1" si="82"/>
        <v>#N/A</v>
      </c>
      <c r="D356" t="e">
        <f t="shared" ca="1" si="82"/>
        <v>#N/A</v>
      </c>
      <c r="E356" t="e">
        <f t="shared" ca="1" si="82"/>
        <v>#N/A</v>
      </c>
      <c r="F356" t="e">
        <f t="shared" ca="1" si="82"/>
        <v>#N/A</v>
      </c>
      <c r="G356" t="e">
        <f t="shared" ca="1" si="82"/>
        <v>#N/A</v>
      </c>
      <c r="H356" t="e">
        <f t="shared" ca="1" si="82"/>
        <v>#N/A</v>
      </c>
      <c r="I356" t="e">
        <f t="shared" ca="1" si="82"/>
        <v>#N/A</v>
      </c>
      <c r="J356" t="e">
        <f t="shared" ca="1" si="82"/>
        <v>#N/A</v>
      </c>
      <c r="K356" t="e">
        <f t="shared" ca="1" si="82"/>
        <v>#N/A</v>
      </c>
      <c r="L356" t="e">
        <f t="shared" ca="1" si="83"/>
        <v>#N/A</v>
      </c>
      <c r="M356" t="e">
        <f t="shared" ca="1" si="83"/>
        <v>#N/A</v>
      </c>
      <c r="N356" t="e">
        <f t="shared" ca="1" si="83"/>
        <v>#N/A</v>
      </c>
      <c r="O356" t="e">
        <f t="shared" ca="1" si="83"/>
        <v>#N/A</v>
      </c>
      <c r="P356" t="e">
        <f t="shared" ca="1" si="83"/>
        <v>#N/A</v>
      </c>
      <c r="Q356" t="e">
        <f t="shared" ca="1" si="83"/>
        <v>#N/A</v>
      </c>
      <c r="R356" t="e">
        <f t="shared" ca="1" si="83"/>
        <v>#N/A</v>
      </c>
      <c r="S356" t="e">
        <f t="shared" ca="1" si="76"/>
        <v>#N/A</v>
      </c>
      <c r="T356" t="e">
        <f t="shared" ca="1" si="77"/>
        <v>#N/A</v>
      </c>
      <c r="U356" t="e">
        <f ca="1">IF(AND($C356='Funnel setup'!$K$3&amp;'Funnel setup'!$K$5&amp;'Funnel setup'!$K$6&amp;'Funnel setup'!$K$4,'Funnel Lookup'!I356="*"),#N/A,IF(AND($C356='Funnel setup'!$K$3&amp;'Funnel setup'!$K$5&amp;'Funnel setup'!$K$6&amp;'Funnel setup'!$K$4,'Funnel Lookup'!I356&gt;29),'Funnel Lookup'!I356,#N/A))</f>
        <v>#N/A</v>
      </c>
      <c r="V356" t="e">
        <f ca="1">IF(AND($C356='Funnel setup'!$K$3&amp;'Funnel setup'!$K$5&amp;'Funnel setup'!$K$6&amp;'Funnel setup'!$K$4,'Funnel Lookup'!I356="*"),#N/A,IF(AND($C356='Funnel setup'!$K$3&amp;'Funnel setup'!$K$5&amp;'Funnel setup'!$K$6&amp;'Funnel setup'!$K$4,'Funnel Lookup'!I356&gt;29),'Funnel Lookup'!Q356,#N/A))</f>
        <v>#N/A</v>
      </c>
    </row>
    <row r="357" spans="1:22" x14ac:dyDescent="0.2">
      <c r="A357">
        <v>355</v>
      </c>
      <c r="B357" t="e">
        <f t="shared" ca="1" si="82"/>
        <v>#N/A</v>
      </c>
      <c r="C357" t="e">
        <f t="shared" ca="1" si="82"/>
        <v>#N/A</v>
      </c>
      <c r="D357" t="e">
        <f t="shared" ca="1" si="82"/>
        <v>#N/A</v>
      </c>
      <c r="E357" t="e">
        <f t="shared" ca="1" si="82"/>
        <v>#N/A</v>
      </c>
      <c r="F357" t="e">
        <f t="shared" ca="1" si="82"/>
        <v>#N/A</v>
      </c>
      <c r="G357" t="e">
        <f t="shared" ca="1" si="82"/>
        <v>#N/A</v>
      </c>
      <c r="H357" t="e">
        <f t="shared" ca="1" si="82"/>
        <v>#N/A</v>
      </c>
      <c r="I357" t="e">
        <f t="shared" ca="1" si="82"/>
        <v>#N/A</v>
      </c>
      <c r="J357" t="e">
        <f t="shared" ca="1" si="82"/>
        <v>#N/A</v>
      </c>
      <c r="K357" t="e">
        <f t="shared" ca="1" si="82"/>
        <v>#N/A</v>
      </c>
      <c r="L357" t="e">
        <f t="shared" ca="1" si="83"/>
        <v>#N/A</v>
      </c>
      <c r="M357" t="e">
        <f t="shared" ca="1" si="83"/>
        <v>#N/A</v>
      </c>
      <c r="N357" t="e">
        <f t="shared" ca="1" si="83"/>
        <v>#N/A</v>
      </c>
      <c r="O357" t="e">
        <f t="shared" ca="1" si="83"/>
        <v>#N/A</v>
      </c>
      <c r="P357" t="e">
        <f t="shared" ca="1" si="83"/>
        <v>#N/A</v>
      </c>
      <c r="Q357" t="e">
        <f t="shared" ca="1" si="83"/>
        <v>#N/A</v>
      </c>
      <c r="R357" t="e">
        <f t="shared" ca="1" si="83"/>
        <v>#N/A</v>
      </c>
      <c r="S357" t="e">
        <f t="shared" ca="1" si="76"/>
        <v>#N/A</v>
      </c>
      <c r="T357" t="e">
        <f t="shared" ca="1" si="77"/>
        <v>#N/A</v>
      </c>
      <c r="U357" t="e">
        <f ca="1">IF(AND($C357='Funnel setup'!$K$3&amp;'Funnel setup'!$K$5&amp;'Funnel setup'!$K$6&amp;'Funnel setup'!$K$4,'Funnel Lookup'!I357="*"),#N/A,IF(AND($C357='Funnel setup'!$K$3&amp;'Funnel setup'!$K$5&amp;'Funnel setup'!$K$6&amp;'Funnel setup'!$K$4,'Funnel Lookup'!I357&gt;29),'Funnel Lookup'!I357,#N/A))</f>
        <v>#N/A</v>
      </c>
      <c r="V357" t="e">
        <f ca="1">IF(AND($C357='Funnel setup'!$K$3&amp;'Funnel setup'!$K$5&amp;'Funnel setup'!$K$6&amp;'Funnel setup'!$K$4,'Funnel Lookup'!I357="*"),#N/A,IF(AND($C357='Funnel setup'!$K$3&amp;'Funnel setup'!$K$5&amp;'Funnel setup'!$K$6&amp;'Funnel setup'!$K$4,'Funnel Lookup'!I357&gt;29),'Funnel Lookup'!Q357,#N/A))</f>
        <v>#N/A</v>
      </c>
    </row>
    <row r="358" spans="1:22" x14ac:dyDescent="0.2">
      <c r="A358">
        <v>356</v>
      </c>
      <c r="B358" t="e">
        <f t="shared" ca="1" si="82"/>
        <v>#N/A</v>
      </c>
      <c r="C358" t="e">
        <f t="shared" ca="1" si="82"/>
        <v>#N/A</v>
      </c>
      <c r="D358" t="e">
        <f t="shared" ca="1" si="82"/>
        <v>#N/A</v>
      </c>
      <c r="E358" t="e">
        <f t="shared" ca="1" si="82"/>
        <v>#N/A</v>
      </c>
      <c r="F358" t="e">
        <f t="shared" ca="1" si="82"/>
        <v>#N/A</v>
      </c>
      <c r="G358" t="e">
        <f t="shared" ca="1" si="82"/>
        <v>#N/A</v>
      </c>
      <c r="H358" t="e">
        <f t="shared" ca="1" si="82"/>
        <v>#N/A</v>
      </c>
      <c r="I358" t="e">
        <f t="shared" ca="1" si="82"/>
        <v>#N/A</v>
      </c>
      <c r="J358" t="e">
        <f t="shared" ca="1" si="82"/>
        <v>#N/A</v>
      </c>
      <c r="K358" t="e">
        <f t="shared" ca="1" si="82"/>
        <v>#N/A</v>
      </c>
      <c r="L358" t="e">
        <f t="shared" ca="1" si="83"/>
        <v>#N/A</v>
      </c>
      <c r="M358" t="e">
        <f t="shared" ca="1" si="83"/>
        <v>#N/A</v>
      </c>
      <c r="N358" t="e">
        <f t="shared" ca="1" si="83"/>
        <v>#N/A</v>
      </c>
      <c r="O358" t="e">
        <f t="shared" ca="1" si="83"/>
        <v>#N/A</v>
      </c>
      <c r="P358" t="e">
        <f t="shared" ca="1" si="83"/>
        <v>#N/A</v>
      </c>
      <c r="Q358" t="e">
        <f t="shared" ca="1" si="83"/>
        <v>#N/A</v>
      </c>
      <c r="R358" t="e">
        <f t="shared" ca="1" si="83"/>
        <v>#N/A</v>
      </c>
      <c r="S358" t="e">
        <f t="shared" ca="1" si="76"/>
        <v>#N/A</v>
      </c>
      <c r="T358" t="e">
        <f t="shared" ca="1" si="77"/>
        <v>#N/A</v>
      </c>
      <c r="U358" t="e">
        <f ca="1">IF(AND($C358='Funnel setup'!$K$3&amp;'Funnel setup'!$K$5&amp;'Funnel setup'!$K$6&amp;'Funnel setup'!$K$4,'Funnel Lookup'!I358="*"),#N/A,IF(AND($C358='Funnel setup'!$K$3&amp;'Funnel setup'!$K$5&amp;'Funnel setup'!$K$6&amp;'Funnel setup'!$K$4,'Funnel Lookup'!I358&gt;29),'Funnel Lookup'!I358,#N/A))</f>
        <v>#N/A</v>
      </c>
      <c r="V358" t="e">
        <f ca="1">IF(AND($C358='Funnel setup'!$K$3&amp;'Funnel setup'!$K$5&amp;'Funnel setup'!$K$6&amp;'Funnel setup'!$K$4,'Funnel Lookup'!I358="*"),#N/A,IF(AND($C358='Funnel setup'!$K$3&amp;'Funnel setup'!$K$5&amp;'Funnel setup'!$K$6&amp;'Funnel setup'!$K$4,'Funnel Lookup'!I358&gt;29),'Funnel Lookup'!Q358,#N/A))</f>
        <v>#N/A</v>
      </c>
    </row>
    <row r="359" spans="1:22" x14ac:dyDescent="0.2">
      <c r="A359">
        <v>357</v>
      </c>
      <c r="B359" t="e">
        <f t="shared" ca="1" si="82"/>
        <v>#N/A</v>
      </c>
      <c r="C359" t="e">
        <f t="shared" ca="1" si="82"/>
        <v>#N/A</v>
      </c>
      <c r="D359" t="e">
        <f t="shared" ca="1" si="82"/>
        <v>#N/A</v>
      </c>
      <c r="E359" t="e">
        <f t="shared" ca="1" si="82"/>
        <v>#N/A</v>
      </c>
      <c r="F359" t="e">
        <f t="shared" ca="1" si="82"/>
        <v>#N/A</v>
      </c>
      <c r="G359" t="e">
        <f t="shared" ca="1" si="82"/>
        <v>#N/A</v>
      </c>
      <c r="H359" t="e">
        <f t="shared" ca="1" si="82"/>
        <v>#N/A</v>
      </c>
      <c r="I359" t="e">
        <f t="shared" ca="1" si="82"/>
        <v>#N/A</v>
      </c>
      <c r="J359" t="e">
        <f t="shared" ca="1" si="82"/>
        <v>#N/A</v>
      </c>
      <c r="K359" t="e">
        <f t="shared" ca="1" si="82"/>
        <v>#N/A</v>
      </c>
      <c r="L359" t="e">
        <f t="shared" ca="1" si="83"/>
        <v>#N/A</v>
      </c>
      <c r="M359" t="e">
        <f t="shared" ca="1" si="83"/>
        <v>#N/A</v>
      </c>
      <c r="N359" t="e">
        <f t="shared" ca="1" si="83"/>
        <v>#N/A</v>
      </c>
      <c r="O359" t="e">
        <f t="shared" ca="1" si="83"/>
        <v>#N/A</v>
      </c>
      <c r="P359" t="e">
        <f t="shared" ca="1" si="83"/>
        <v>#N/A</v>
      </c>
      <c r="Q359" t="e">
        <f t="shared" ca="1" si="83"/>
        <v>#N/A</v>
      </c>
      <c r="R359" t="e">
        <f t="shared" ca="1" si="83"/>
        <v>#N/A</v>
      </c>
      <c r="S359" t="e">
        <f t="shared" ca="1" si="76"/>
        <v>#N/A</v>
      </c>
      <c r="T359" t="e">
        <f t="shared" ca="1" si="77"/>
        <v>#N/A</v>
      </c>
      <c r="U359" t="e">
        <f ca="1">IF(AND($C359='Funnel setup'!$K$3&amp;'Funnel setup'!$K$5&amp;'Funnel setup'!$K$6&amp;'Funnel setup'!$K$4,'Funnel Lookup'!I359="*"),#N/A,IF(AND($C359='Funnel setup'!$K$3&amp;'Funnel setup'!$K$5&amp;'Funnel setup'!$K$6&amp;'Funnel setup'!$K$4,'Funnel Lookup'!I359&gt;29),'Funnel Lookup'!I359,#N/A))</f>
        <v>#N/A</v>
      </c>
      <c r="V359" t="e">
        <f ca="1">IF(AND($C359='Funnel setup'!$K$3&amp;'Funnel setup'!$K$5&amp;'Funnel setup'!$K$6&amp;'Funnel setup'!$K$4,'Funnel Lookup'!I359="*"),#N/A,IF(AND($C359='Funnel setup'!$K$3&amp;'Funnel setup'!$K$5&amp;'Funnel setup'!$K$6&amp;'Funnel setup'!$K$4,'Funnel Lookup'!I359&gt;29),'Funnel Lookup'!Q359,#N/A))</f>
        <v>#N/A</v>
      </c>
    </row>
    <row r="360" spans="1:22" x14ac:dyDescent="0.2">
      <c r="A360">
        <v>358</v>
      </c>
      <c r="B360" t="e">
        <f t="shared" ca="1" si="82"/>
        <v>#N/A</v>
      </c>
      <c r="C360" t="e">
        <f t="shared" ca="1" si="82"/>
        <v>#N/A</v>
      </c>
      <c r="D360" t="e">
        <f t="shared" ca="1" si="82"/>
        <v>#N/A</v>
      </c>
      <c r="E360" t="e">
        <f t="shared" ca="1" si="82"/>
        <v>#N/A</v>
      </c>
      <c r="F360" t="e">
        <f t="shared" ca="1" si="82"/>
        <v>#N/A</v>
      </c>
      <c r="G360" t="e">
        <f t="shared" ca="1" si="82"/>
        <v>#N/A</v>
      </c>
      <c r="H360" t="e">
        <f t="shared" ca="1" si="82"/>
        <v>#N/A</v>
      </c>
      <c r="I360" t="e">
        <f t="shared" ca="1" si="82"/>
        <v>#N/A</v>
      </c>
      <c r="J360" t="e">
        <f t="shared" ca="1" si="82"/>
        <v>#N/A</v>
      </c>
      <c r="K360" t="e">
        <f t="shared" ca="1" si="82"/>
        <v>#N/A</v>
      </c>
      <c r="L360" t="e">
        <f t="shared" ca="1" si="83"/>
        <v>#N/A</v>
      </c>
      <c r="M360" t="e">
        <f t="shared" ca="1" si="83"/>
        <v>#N/A</v>
      </c>
      <c r="N360" t="e">
        <f t="shared" ca="1" si="83"/>
        <v>#N/A</v>
      </c>
      <c r="O360" t="e">
        <f t="shared" ca="1" si="83"/>
        <v>#N/A</v>
      </c>
      <c r="P360" t="e">
        <f t="shared" ca="1" si="83"/>
        <v>#N/A</v>
      </c>
      <c r="Q360" t="e">
        <f t="shared" ca="1" si="83"/>
        <v>#N/A</v>
      </c>
      <c r="R360" t="e">
        <f t="shared" ca="1" si="83"/>
        <v>#N/A</v>
      </c>
      <c r="S360" t="e">
        <f t="shared" ca="1" si="76"/>
        <v>#N/A</v>
      </c>
      <c r="T360" t="e">
        <f t="shared" ca="1" si="77"/>
        <v>#N/A</v>
      </c>
      <c r="U360" t="e">
        <f ca="1">IF(AND($C360='Funnel setup'!$K$3&amp;'Funnel setup'!$K$5&amp;'Funnel setup'!$K$6&amp;'Funnel setup'!$K$4,'Funnel Lookup'!I360="*"),#N/A,IF(AND($C360='Funnel setup'!$K$3&amp;'Funnel setup'!$K$5&amp;'Funnel setup'!$K$6&amp;'Funnel setup'!$K$4,'Funnel Lookup'!I360&gt;29),'Funnel Lookup'!I360,#N/A))</f>
        <v>#N/A</v>
      </c>
      <c r="V360" t="e">
        <f ca="1">IF(AND($C360='Funnel setup'!$K$3&amp;'Funnel setup'!$K$5&amp;'Funnel setup'!$K$6&amp;'Funnel setup'!$K$4,'Funnel Lookup'!I360="*"),#N/A,IF(AND($C360='Funnel setup'!$K$3&amp;'Funnel setup'!$K$5&amp;'Funnel setup'!$K$6&amp;'Funnel setup'!$K$4,'Funnel Lookup'!I360&gt;29),'Funnel Lookup'!Q360,#N/A))</f>
        <v>#N/A</v>
      </c>
    </row>
    <row r="361" spans="1:22" x14ac:dyDescent="0.2">
      <c r="A361">
        <v>359</v>
      </c>
      <c r="B361" t="e">
        <f t="shared" ca="1" si="82"/>
        <v>#N/A</v>
      </c>
      <c r="C361" t="e">
        <f t="shared" ca="1" si="82"/>
        <v>#N/A</v>
      </c>
      <c r="D361" t="e">
        <f t="shared" ca="1" si="82"/>
        <v>#N/A</v>
      </c>
      <c r="E361" t="e">
        <f t="shared" ca="1" si="82"/>
        <v>#N/A</v>
      </c>
      <c r="F361" t="e">
        <f t="shared" ca="1" si="82"/>
        <v>#N/A</v>
      </c>
      <c r="G361" t="e">
        <f t="shared" ca="1" si="82"/>
        <v>#N/A</v>
      </c>
      <c r="H361" t="e">
        <f t="shared" ca="1" si="82"/>
        <v>#N/A</v>
      </c>
      <c r="I361" t="e">
        <f t="shared" ca="1" si="82"/>
        <v>#N/A</v>
      </c>
      <c r="J361" t="e">
        <f t="shared" ca="1" si="82"/>
        <v>#N/A</v>
      </c>
      <c r="K361" t="e">
        <f t="shared" ca="1" si="82"/>
        <v>#N/A</v>
      </c>
      <c r="L361" t="e">
        <f t="shared" ca="1" si="83"/>
        <v>#N/A</v>
      </c>
      <c r="M361" t="e">
        <f t="shared" ca="1" si="83"/>
        <v>#N/A</v>
      </c>
      <c r="N361" t="e">
        <f t="shared" ca="1" si="83"/>
        <v>#N/A</v>
      </c>
      <c r="O361" t="e">
        <f t="shared" ca="1" si="83"/>
        <v>#N/A</v>
      </c>
      <c r="P361" t="e">
        <f t="shared" ca="1" si="83"/>
        <v>#N/A</v>
      </c>
      <c r="Q361" t="e">
        <f t="shared" ca="1" si="83"/>
        <v>#N/A</v>
      </c>
      <c r="R361" t="e">
        <f t="shared" ca="1" si="83"/>
        <v>#N/A</v>
      </c>
      <c r="S361" t="e">
        <f t="shared" ca="1" si="76"/>
        <v>#N/A</v>
      </c>
      <c r="T361" t="e">
        <f t="shared" ca="1" si="77"/>
        <v>#N/A</v>
      </c>
      <c r="U361" t="e">
        <f ca="1">IF(AND($C361='Funnel setup'!$K$3&amp;'Funnel setup'!$K$5&amp;'Funnel setup'!$K$6&amp;'Funnel setup'!$K$4,'Funnel Lookup'!I361="*"),#N/A,IF(AND($C361='Funnel setup'!$K$3&amp;'Funnel setup'!$K$5&amp;'Funnel setup'!$K$6&amp;'Funnel setup'!$K$4,'Funnel Lookup'!I361&gt;29),'Funnel Lookup'!I361,#N/A))</f>
        <v>#N/A</v>
      </c>
      <c r="V361" t="e">
        <f ca="1">IF(AND($C361='Funnel setup'!$K$3&amp;'Funnel setup'!$K$5&amp;'Funnel setup'!$K$6&amp;'Funnel setup'!$K$4,'Funnel Lookup'!I361="*"),#N/A,IF(AND($C361='Funnel setup'!$K$3&amp;'Funnel setup'!$K$5&amp;'Funnel setup'!$K$6&amp;'Funnel setup'!$K$4,'Funnel Lookup'!I361&gt;29),'Funnel Lookup'!Q361,#N/A))</f>
        <v>#N/A</v>
      </c>
    </row>
    <row r="362" spans="1:22" x14ac:dyDescent="0.2">
      <c r="A362">
        <v>360</v>
      </c>
      <c r="B362" t="e">
        <f t="shared" ca="1" si="82"/>
        <v>#N/A</v>
      </c>
      <c r="C362" t="e">
        <f t="shared" ca="1" si="82"/>
        <v>#N/A</v>
      </c>
      <c r="D362" t="e">
        <f t="shared" ca="1" si="82"/>
        <v>#N/A</v>
      </c>
      <c r="E362" t="e">
        <f t="shared" ca="1" si="82"/>
        <v>#N/A</v>
      </c>
      <c r="F362" t="e">
        <f t="shared" ca="1" si="82"/>
        <v>#N/A</v>
      </c>
      <c r="G362" t="e">
        <f t="shared" ca="1" si="82"/>
        <v>#N/A</v>
      </c>
      <c r="H362" t="e">
        <f t="shared" ca="1" si="82"/>
        <v>#N/A</v>
      </c>
      <c r="I362" t="e">
        <f t="shared" ca="1" si="82"/>
        <v>#N/A</v>
      </c>
      <c r="J362" t="e">
        <f t="shared" ca="1" si="82"/>
        <v>#N/A</v>
      </c>
      <c r="K362" t="e">
        <f t="shared" ca="1" si="82"/>
        <v>#N/A</v>
      </c>
      <c r="L362" t="e">
        <f t="shared" ca="1" si="83"/>
        <v>#N/A</v>
      </c>
      <c r="M362" t="e">
        <f t="shared" ca="1" si="83"/>
        <v>#N/A</v>
      </c>
      <c r="N362" t="e">
        <f t="shared" ca="1" si="83"/>
        <v>#N/A</v>
      </c>
      <c r="O362" t="e">
        <f t="shared" ca="1" si="83"/>
        <v>#N/A</v>
      </c>
      <c r="P362" t="e">
        <f t="shared" ca="1" si="83"/>
        <v>#N/A</v>
      </c>
      <c r="Q362" t="e">
        <f t="shared" ca="1" si="83"/>
        <v>#N/A</v>
      </c>
      <c r="R362" t="e">
        <f t="shared" ca="1" si="83"/>
        <v>#N/A</v>
      </c>
      <c r="S362" t="e">
        <f t="shared" ca="1" si="76"/>
        <v>#N/A</v>
      </c>
      <c r="T362" t="e">
        <f t="shared" ca="1" si="77"/>
        <v>#N/A</v>
      </c>
      <c r="U362" t="e">
        <f ca="1">IF(AND($C362='Funnel setup'!$K$3&amp;'Funnel setup'!$K$5&amp;'Funnel setup'!$K$6&amp;'Funnel setup'!$K$4,'Funnel Lookup'!I362="*"),#N/A,IF(AND($C362='Funnel setup'!$K$3&amp;'Funnel setup'!$K$5&amp;'Funnel setup'!$K$6&amp;'Funnel setup'!$K$4,'Funnel Lookup'!I362&gt;29),'Funnel Lookup'!I362,#N/A))</f>
        <v>#N/A</v>
      </c>
      <c r="V362" t="e">
        <f ca="1">IF(AND($C362='Funnel setup'!$K$3&amp;'Funnel setup'!$K$5&amp;'Funnel setup'!$K$6&amp;'Funnel setup'!$K$4,'Funnel Lookup'!I362="*"),#N/A,IF(AND($C362='Funnel setup'!$K$3&amp;'Funnel setup'!$K$5&amp;'Funnel setup'!$K$6&amp;'Funnel setup'!$K$4,'Funnel Lookup'!I362&gt;29),'Funnel Lookup'!Q362,#N/A))</f>
        <v>#N/A</v>
      </c>
    </row>
    <row r="363" spans="1:22" x14ac:dyDescent="0.2">
      <c r="A363">
        <v>361</v>
      </c>
      <c r="B363" t="e">
        <f t="shared" ref="B363:K372" ca="1" si="84">VLOOKUP($A363,Funnel_Data,B$1,FALSE)</f>
        <v>#N/A</v>
      </c>
      <c r="C363" t="e">
        <f t="shared" ca="1" si="84"/>
        <v>#N/A</v>
      </c>
      <c r="D363" t="e">
        <f t="shared" ca="1" si="84"/>
        <v>#N/A</v>
      </c>
      <c r="E363" t="e">
        <f t="shared" ca="1" si="84"/>
        <v>#N/A</v>
      </c>
      <c r="F363" t="e">
        <f t="shared" ca="1" si="84"/>
        <v>#N/A</v>
      </c>
      <c r="G363" t="e">
        <f t="shared" ca="1" si="84"/>
        <v>#N/A</v>
      </c>
      <c r="H363" t="e">
        <f t="shared" ca="1" si="84"/>
        <v>#N/A</v>
      </c>
      <c r="I363" t="e">
        <f t="shared" ca="1" si="84"/>
        <v>#N/A</v>
      </c>
      <c r="J363" t="e">
        <f t="shared" ca="1" si="84"/>
        <v>#N/A</v>
      </c>
      <c r="K363" t="e">
        <f t="shared" ca="1" si="84"/>
        <v>#N/A</v>
      </c>
      <c r="L363" t="e">
        <f t="shared" ref="L363:R372" ca="1" si="85">VLOOKUP($A363,Funnel_Data,L$1,FALSE)</f>
        <v>#N/A</v>
      </c>
      <c r="M363" t="e">
        <f t="shared" ca="1" si="85"/>
        <v>#N/A</v>
      </c>
      <c r="N363" t="e">
        <f t="shared" ca="1" si="85"/>
        <v>#N/A</v>
      </c>
      <c r="O363" t="e">
        <f t="shared" ca="1" si="85"/>
        <v>#N/A</v>
      </c>
      <c r="P363" t="e">
        <f t="shared" ca="1" si="85"/>
        <v>#N/A</v>
      </c>
      <c r="Q363" t="e">
        <f t="shared" ca="1" si="85"/>
        <v>#N/A</v>
      </c>
      <c r="R363" t="e">
        <f t="shared" ca="1" si="85"/>
        <v>#N/A</v>
      </c>
      <c r="S363" t="e">
        <f t="shared" ca="1" si="76"/>
        <v>#N/A</v>
      </c>
      <c r="T363" t="e">
        <f t="shared" ca="1" si="77"/>
        <v>#N/A</v>
      </c>
      <c r="U363" t="e">
        <f ca="1">IF(AND($C363='Funnel setup'!$K$3&amp;'Funnel setup'!$K$5&amp;'Funnel setup'!$K$6&amp;'Funnel setup'!$K$4,'Funnel Lookup'!I363="*"),#N/A,IF(AND($C363='Funnel setup'!$K$3&amp;'Funnel setup'!$K$5&amp;'Funnel setup'!$K$6&amp;'Funnel setup'!$K$4,'Funnel Lookup'!I363&gt;29),'Funnel Lookup'!I363,#N/A))</f>
        <v>#N/A</v>
      </c>
      <c r="V363" t="e">
        <f ca="1">IF(AND($C363='Funnel setup'!$K$3&amp;'Funnel setup'!$K$5&amp;'Funnel setup'!$K$6&amp;'Funnel setup'!$K$4,'Funnel Lookup'!I363="*"),#N/A,IF(AND($C363='Funnel setup'!$K$3&amp;'Funnel setup'!$K$5&amp;'Funnel setup'!$K$6&amp;'Funnel setup'!$K$4,'Funnel Lookup'!I363&gt;29),'Funnel Lookup'!Q363,#N/A))</f>
        <v>#N/A</v>
      </c>
    </row>
    <row r="364" spans="1:22" x14ac:dyDescent="0.2">
      <c r="A364">
        <v>362</v>
      </c>
      <c r="B364" t="e">
        <f t="shared" ca="1" si="84"/>
        <v>#N/A</v>
      </c>
      <c r="C364" t="e">
        <f t="shared" ca="1" si="84"/>
        <v>#N/A</v>
      </c>
      <c r="D364" t="e">
        <f t="shared" ca="1" si="84"/>
        <v>#N/A</v>
      </c>
      <c r="E364" t="e">
        <f t="shared" ca="1" si="84"/>
        <v>#N/A</v>
      </c>
      <c r="F364" t="e">
        <f t="shared" ca="1" si="84"/>
        <v>#N/A</v>
      </c>
      <c r="G364" t="e">
        <f t="shared" ca="1" si="84"/>
        <v>#N/A</v>
      </c>
      <c r="H364" t="e">
        <f t="shared" ca="1" si="84"/>
        <v>#N/A</v>
      </c>
      <c r="I364" t="e">
        <f t="shared" ca="1" si="84"/>
        <v>#N/A</v>
      </c>
      <c r="J364" t="e">
        <f t="shared" ca="1" si="84"/>
        <v>#N/A</v>
      </c>
      <c r="K364" t="e">
        <f t="shared" ca="1" si="84"/>
        <v>#N/A</v>
      </c>
      <c r="L364" t="e">
        <f t="shared" ca="1" si="85"/>
        <v>#N/A</v>
      </c>
      <c r="M364" t="e">
        <f t="shared" ca="1" si="85"/>
        <v>#N/A</v>
      </c>
      <c r="N364" t="e">
        <f t="shared" ca="1" si="85"/>
        <v>#N/A</v>
      </c>
      <c r="O364" t="e">
        <f t="shared" ca="1" si="85"/>
        <v>#N/A</v>
      </c>
      <c r="P364" t="e">
        <f t="shared" ca="1" si="85"/>
        <v>#N/A</v>
      </c>
      <c r="Q364" t="e">
        <f t="shared" ca="1" si="85"/>
        <v>#N/A</v>
      </c>
      <c r="R364" t="e">
        <f t="shared" ca="1" si="85"/>
        <v>#N/A</v>
      </c>
      <c r="S364" t="e">
        <f t="shared" ca="1" si="76"/>
        <v>#N/A</v>
      </c>
      <c r="T364" t="e">
        <f t="shared" ca="1" si="77"/>
        <v>#N/A</v>
      </c>
      <c r="U364" t="e">
        <f ca="1">IF(AND($C364='Funnel setup'!$K$3&amp;'Funnel setup'!$K$5&amp;'Funnel setup'!$K$6&amp;'Funnel setup'!$K$4,'Funnel Lookup'!I364="*"),#N/A,IF(AND($C364='Funnel setup'!$K$3&amp;'Funnel setup'!$K$5&amp;'Funnel setup'!$K$6&amp;'Funnel setup'!$K$4,'Funnel Lookup'!I364&gt;29),'Funnel Lookup'!I364,#N/A))</f>
        <v>#N/A</v>
      </c>
      <c r="V364" t="e">
        <f ca="1">IF(AND($C364='Funnel setup'!$K$3&amp;'Funnel setup'!$K$5&amp;'Funnel setup'!$K$6&amp;'Funnel setup'!$K$4,'Funnel Lookup'!I364="*"),#N/A,IF(AND($C364='Funnel setup'!$K$3&amp;'Funnel setup'!$K$5&amp;'Funnel setup'!$K$6&amp;'Funnel setup'!$K$4,'Funnel Lookup'!I364&gt;29),'Funnel Lookup'!Q364,#N/A))</f>
        <v>#N/A</v>
      </c>
    </row>
    <row r="365" spans="1:22" x14ac:dyDescent="0.2">
      <c r="A365">
        <v>363</v>
      </c>
      <c r="B365" t="e">
        <f t="shared" ca="1" si="84"/>
        <v>#N/A</v>
      </c>
      <c r="C365" t="e">
        <f t="shared" ca="1" si="84"/>
        <v>#N/A</v>
      </c>
      <c r="D365" t="e">
        <f t="shared" ca="1" si="84"/>
        <v>#N/A</v>
      </c>
      <c r="E365" t="e">
        <f t="shared" ca="1" si="84"/>
        <v>#N/A</v>
      </c>
      <c r="F365" t="e">
        <f t="shared" ca="1" si="84"/>
        <v>#N/A</v>
      </c>
      <c r="G365" t="e">
        <f t="shared" ca="1" si="84"/>
        <v>#N/A</v>
      </c>
      <c r="H365" t="e">
        <f t="shared" ca="1" si="84"/>
        <v>#N/A</v>
      </c>
      <c r="I365" t="e">
        <f t="shared" ca="1" si="84"/>
        <v>#N/A</v>
      </c>
      <c r="J365" t="e">
        <f t="shared" ca="1" si="84"/>
        <v>#N/A</v>
      </c>
      <c r="K365" t="e">
        <f t="shared" ca="1" si="84"/>
        <v>#N/A</v>
      </c>
      <c r="L365" t="e">
        <f t="shared" ca="1" si="85"/>
        <v>#N/A</v>
      </c>
      <c r="M365" t="e">
        <f t="shared" ca="1" si="85"/>
        <v>#N/A</v>
      </c>
      <c r="N365" t="e">
        <f t="shared" ca="1" si="85"/>
        <v>#N/A</v>
      </c>
      <c r="O365" t="e">
        <f t="shared" ca="1" si="85"/>
        <v>#N/A</v>
      </c>
      <c r="P365" t="e">
        <f t="shared" ca="1" si="85"/>
        <v>#N/A</v>
      </c>
      <c r="Q365" t="e">
        <f t="shared" ca="1" si="85"/>
        <v>#N/A</v>
      </c>
      <c r="R365" t="e">
        <f t="shared" ca="1" si="85"/>
        <v>#N/A</v>
      </c>
      <c r="S365" t="e">
        <f t="shared" ca="1" si="76"/>
        <v>#N/A</v>
      </c>
      <c r="T365" t="e">
        <f t="shared" ca="1" si="77"/>
        <v>#N/A</v>
      </c>
      <c r="U365" t="e">
        <f ca="1">IF(AND($C365='Funnel setup'!$K$3&amp;'Funnel setup'!$K$5&amp;'Funnel setup'!$K$6&amp;'Funnel setup'!$K$4,'Funnel Lookup'!I365="*"),#N/A,IF(AND($C365='Funnel setup'!$K$3&amp;'Funnel setup'!$K$5&amp;'Funnel setup'!$K$6&amp;'Funnel setup'!$K$4,'Funnel Lookup'!I365&gt;29),'Funnel Lookup'!I365,#N/A))</f>
        <v>#N/A</v>
      </c>
      <c r="V365" t="e">
        <f ca="1">IF(AND($C365='Funnel setup'!$K$3&amp;'Funnel setup'!$K$5&amp;'Funnel setup'!$K$6&amp;'Funnel setup'!$K$4,'Funnel Lookup'!I365="*"),#N/A,IF(AND($C365='Funnel setup'!$K$3&amp;'Funnel setup'!$K$5&amp;'Funnel setup'!$K$6&amp;'Funnel setup'!$K$4,'Funnel Lookup'!I365&gt;29),'Funnel Lookup'!Q365,#N/A))</f>
        <v>#N/A</v>
      </c>
    </row>
    <row r="366" spans="1:22" x14ac:dyDescent="0.2">
      <c r="A366">
        <v>364</v>
      </c>
      <c r="B366" t="e">
        <f t="shared" ca="1" si="84"/>
        <v>#N/A</v>
      </c>
      <c r="C366" t="e">
        <f t="shared" ca="1" si="84"/>
        <v>#N/A</v>
      </c>
      <c r="D366" t="e">
        <f t="shared" ca="1" si="84"/>
        <v>#N/A</v>
      </c>
      <c r="E366" t="e">
        <f t="shared" ca="1" si="84"/>
        <v>#N/A</v>
      </c>
      <c r="F366" t="e">
        <f t="shared" ca="1" si="84"/>
        <v>#N/A</v>
      </c>
      <c r="G366" t="e">
        <f t="shared" ca="1" si="84"/>
        <v>#N/A</v>
      </c>
      <c r="H366" t="e">
        <f t="shared" ca="1" si="84"/>
        <v>#N/A</v>
      </c>
      <c r="I366" t="e">
        <f t="shared" ca="1" si="84"/>
        <v>#N/A</v>
      </c>
      <c r="J366" t="e">
        <f t="shared" ca="1" si="84"/>
        <v>#N/A</v>
      </c>
      <c r="K366" t="e">
        <f t="shared" ca="1" si="84"/>
        <v>#N/A</v>
      </c>
      <c r="L366" t="e">
        <f t="shared" ca="1" si="85"/>
        <v>#N/A</v>
      </c>
      <c r="M366" t="e">
        <f t="shared" ca="1" si="85"/>
        <v>#N/A</v>
      </c>
      <c r="N366" t="e">
        <f t="shared" ca="1" si="85"/>
        <v>#N/A</v>
      </c>
      <c r="O366" t="e">
        <f t="shared" ca="1" si="85"/>
        <v>#N/A</v>
      </c>
      <c r="P366" t="e">
        <f t="shared" ca="1" si="85"/>
        <v>#N/A</v>
      </c>
      <c r="Q366" t="e">
        <f t="shared" ca="1" si="85"/>
        <v>#N/A</v>
      </c>
      <c r="R366" t="e">
        <f t="shared" ca="1" si="85"/>
        <v>#N/A</v>
      </c>
      <c r="S366" t="e">
        <f t="shared" ca="1" si="76"/>
        <v>#N/A</v>
      </c>
      <c r="T366" t="e">
        <f t="shared" ca="1" si="77"/>
        <v>#N/A</v>
      </c>
      <c r="U366" t="e">
        <f ca="1">IF(AND($C366='Funnel setup'!$K$3&amp;'Funnel setup'!$K$5&amp;'Funnel setup'!$K$6&amp;'Funnel setup'!$K$4,'Funnel Lookup'!I366="*"),#N/A,IF(AND($C366='Funnel setup'!$K$3&amp;'Funnel setup'!$K$5&amp;'Funnel setup'!$K$6&amp;'Funnel setup'!$K$4,'Funnel Lookup'!I366&gt;29),'Funnel Lookup'!I366,#N/A))</f>
        <v>#N/A</v>
      </c>
      <c r="V366" t="e">
        <f ca="1">IF(AND($C366='Funnel setup'!$K$3&amp;'Funnel setup'!$K$5&amp;'Funnel setup'!$K$6&amp;'Funnel setup'!$K$4,'Funnel Lookup'!I366="*"),#N/A,IF(AND($C366='Funnel setup'!$K$3&amp;'Funnel setup'!$K$5&amp;'Funnel setup'!$K$6&amp;'Funnel setup'!$K$4,'Funnel Lookup'!I366&gt;29),'Funnel Lookup'!Q366,#N/A))</f>
        <v>#N/A</v>
      </c>
    </row>
    <row r="367" spans="1:22" x14ac:dyDescent="0.2">
      <c r="A367">
        <v>365</v>
      </c>
      <c r="B367" t="e">
        <f t="shared" ca="1" si="84"/>
        <v>#N/A</v>
      </c>
      <c r="C367" t="e">
        <f t="shared" ca="1" si="84"/>
        <v>#N/A</v>
      </c>
      <c r="D367" t="e">
        <f t="shared" ca="1" si="84"/>
        <v>#N/A</v>
      </c>
      <c r="E367" t="e">
        <f t="shared" ca="1" si="84"/>
        <v>#N/A</v>
      </c>
      <c r="F367" t="e">
        <f t="shared" ca="1" si="84"/>
        <v>#N/A</v>
      </c>
      <c r="G367" t="e">
        <f t="shared" ca="1" si="84"/>
        <v>#N/A</v>
      </c>
      <c r="H367" t="e">
        <f t="shared" ca="1" si="84"/>
        <v>#N/A</v>
      </c>
      <c r="I367" t="e">
        <f t="shared" ca="1" si="84"/>
        <v>#N/A</v>
      </c>
      <c r="J367" t="e">
        <f t="shared" ca="1" si="84"/>
        <v>#N/A</v>
      </c>
      <c r="K367" t="e">
        <f t="shared" ca="1" si="84"/>
        <v>#N/A</v>
      </c>
      <c r="L367" t="e">
        <f t="shared" ca="1" si="85"/>
        <v>#N/A</v>
      </c>
      <c r="M367" t="e">
        <f t="shared" ca="1" si="85"/>
        <v>#N/A</v>
      </c>
      <c r="N367" t="e">
        <f t="shared" ca="1" si="85"/>
        <v>#N/A</v>
      </c>
      <c r="O367" t="e">
        <f t="shared" ca="1" si="85"/>
        <v>#N/A</v>
      </c>
      <c r="P367" t="e">
        <f t="shared" ca="1" si="85"/>
        <v>#N/A</v>
      </c>
      <c r="Q367" t="e">
        <f t="shared" ca="1" si="85"/>
        <v>#N/A</v>
      </c>
      <c r="R367" t="e">
        <f t="shared" ca="1" si="85"/>
        <v>#N/A</v>
      </c>
      <c r="S367" t="e">
        <f t="shared" ca="1" si="76"/>
        <v>#N/A</v>
      </c>
      <c r="T367" t="e">
        <f t="shared" ca="1" si="77"/>
        <v>#N/A</v>
      </c>
      <c r="U367" t="e">
        <f ca="1">IF(AND($C367='Funnel setup'!$K$3&amp;'Funnel setup'!$K$5&amp;'Funnel setup'!$K$6&amp;'Funnel setup'!$K$4,'Funnel Lookup'!I367="*"),#N/A,IF(AND($C367='Funnel setup'!$K$3&amp;'Funnel setup'!$K$5&amp;'Funnel setup'!$K$6&amp;'Funnel setup'!$K$4,'Funnel Lookup'!I367&gt;29),'Funnel Lookup'!I367,#N/A))</f>
        <v>#N/A</v>
      </c>
      <c r="V367" t="e">
        <f ca="1">IF(AND($C367='Funnel setup'!$K$3&amp;'Funnel setup'!$K$5&amp;'Funnel setup'!$K$6&amp;'Funnel setup'!$K$4,'Funnel Lookup'!I367="*"),#N/A,IF(AND($C367='Funnel setup'!$K$3&amp;'Funnel setup'!$K$5&amp;'Funnel setup'!$K$6&amp;'Funnel setup'!$K$4,'Funnel Lookup'!I367&gt;29),'Funnel Lookup'!Q367,#N/A))</f>
        <v>#N/A</v>
      </c>
    </row>
    <row r="368" spans="1:22" x14ac:dyDescent="0.2">
      <c r="A368">
        <v>366</v>
      </c>
      <c r="B368" t="e">
        <f t="shared" ca="1" si="84"/>
        <v>#N/A</v>
      </c>
      <c r="C368" t="e">
        <f t="shared" ca="1" si="84"/>
        <v>#N/A</v>
      </c>
      <c r="D368" t="e">
        <f t="shared" ca="1" si="84"/>
        <v>#N/A</v>
      </c>
      <c r="E368" t="e">
        <f t="shared" ca="1" si="84"/>
        <v>#N/A</v>
      </c>
      <c r="F368" t="e">
        <f t="shared" ca="1" si="84"/>
        <v>#N/A</v>
      </c>
      <c r="G368" t="e">
        <f t="shared" ca="1" si="84"/>
        <v>#N/A</v>
      </c>
      <c r="H368" t="e">
        <f t="shared" ca="1" si="84"/>
        <v>#N/A</v>
      </c>
      <c r="I368" t="e">
        <f t="shared" ca="1" si="84"/>
        <v>#N/A</v>
      </c>
      <c r="J368" t="e">
        <f t="shared" ca="1" si="84"/>
        <v>#N/A</v>
      </c>
      <c r="K368" t="e">
        <f t="shared" ca="1" si="84"/>
        <v>#N/A</v>
      </c>
      <c r="L368" t="e">
        <f t="shared" ca="1" si="85"/>
        <v>#N/A</v>
      </c>
      <c r="M368" t="e">
        <f t="shared" ca="1" si="85"/>
        <v>#N/A</v>
      </c>
      <c r="N368" t="e">
        <f t="shared" ca="1" si="85"/>
        <v>#N/A</v>
      </c>
      <c r="O368" t="e">
        <f t="shared" ca="1" si="85"/>
        <v>#N/A</v>
      </c>
      <c r="P368" t="e">
        <f t="shared" ca="1" si="85"/>
        <v>#N/A</v>
      </c>
      <c r="Q368" t="e">
        <f t="shared" ca="1" si="85"/>
        <v>#N/A</v>
      </c>
      <c r="R368" t="e">
        <f t="shared" ca="1" si="85"/>
        <v>#N/A</v>
      </c>
      <c r="S368" t="e">
        <f t="shared" ca="1" si="76"/>
        <v>#N/A</v>
      </c>
      <c r="T368" t="e">
        <f t="shared" ca="1" si="77"/>
        <v>#N/A</v>
      </c>
      <c r="U368" t="e">
        <f ca="1">IF(AND($C368='Funnel setup'!$K$3&amp;'Funnel setup'!$K$5&amp;'Funnel setup'!$K$6&amp;'Funnel setup'!$K$4,'Funnel Lookup'!I368="*"),#N/A,IF(AND($C368='Funnel setup'!$K$3&amp;'Funnel setup'!$K$5&amp;'Funnel setup'!$K$6&amp;'Funnel setup'!$K$4,'Funnel Lookup'!I368&gt;29),'Funnel Lookup'!I368,#N/A))</f>
        <v>#N/A</v>
      </c>
      <c r="V368" t="e">
        <f ca="1">IF(AND($C368='Funnel setup'!$K$3&amp;'Funnel setup'!$K$5&amp;'Funnel setup'!$K$6&amp;'Funnel setup'!$K$4,'Funnel Lookup'!I368="*"),#N/A,IF(AND($C368='Funnel setup'!$K$3&amp;'Funnel setup'!$K$5&amp;'Funnel setup'!$K$6&amp;'Funnel setup'!$K$4,'Funnel Lookup'!I368&gt;29),'Funnel Lookup'!Q368,#N/A))</f>
        <v>#N/A</v>
      </c>
    </row>
    <row r="369" spans="1:22" x14ac:dyDescent="0.2">
      <c r="A369">
        <v>367</v>
      </c>
      <c r="B369" t="e">
        <f t="shared" ca="1" si="84"/>
        <v>#N/A</v>
      </c>
      <c r="C369" t="e">
        <f t="shared" ca="1" si="84"/>
        <v>#N/A</v>
      </c>
      <c r="D369" t="e">
        <f t="shared" ca="1" si="84"/>
        <v>#N/A</v>
      </c>
      <c r="E369" t="e">
        <f t="shared" ca="1" si="84"/>
        <v>#N/A</v>
      </c>
      <c r="F369" t="e">
        <f t="shared" ca="1" si="84"/>
        <v>#N/A</v>
      </c>
      <c r="G369" t="e">
        <f t="shared" ca="1" si="84"/>
        <v>#N/A</v>
      </c>
      <c r="H369" t="e">
        <f t="shared" ca="1" si="84"/>
        <v>#N/A</v>
      </c>
      <c r="I369" t="e">
        <f t="shared" ca="1" si="84"/>
        <v>#N/A</v>
      </c>
      <c r="J369" t="e">
        <f t="shared" ca="1" si="84"/>
        <v>#N/A</v>
      </c>
      <c r="K369" t="e">
        <f t="shared" ca="1" si="84"/>
        <v>#N/A</v>
      </c>
      <c r="L369" t="e">
        <f t="shared" ca="1" si="85"/>
        <v>#N/A</v>
      </c>
      <c r="M369" t="e">
        <f t="shared" ca="1" si="85"/>
        <v>#N/A</v>
      </c>
      <c r="N369" t="e">
        <f t="shared" ca="1" si="85"/>
        <v>#N/A</v>
      </c>
      <c r="O369" t="e">
        <f t="shared" ca="1" si="85"/>
        <v>#N/A</v>
      </c>
      <c r="P369" t="e">
        <f t="shared" ca="1" si="85"/>
        <v>#N/A</v>
      </c>
      <c r="Q369" t="e">
        <f t="shared" ca="1" si="85"/>
        <v>#N/A</v>
      </c>
      <c r="R369" t="e">
        <f t="shared" ca="1" si="85"/>
        <v>#N/A</v>
      </c>
      <c r="S369" t="e">
        <f t="shared" ca="1" si="76"/>
        <v>#N/A</v>
      </c>
      <c r="T369" t="e">
        <f t="shared" ca="1" si="77"/>
        <v>#N/A</v>
      </c>
      <c r="U369" t="e">
        <f ca="1">IF(AND($C369='Funnel setup'!$K$3&amp;'Funnel setup'!$K$5&amp;'Funnel setup'!$K$6&amp;'Funnel setup'!$K$4,'Funnel Lookup'!I369="*"),#N/A,IF(AND($C369='Funnel setup'!$K$3&amp;'Funnel setup'!$K$5&amp;'Funnel setup'!$K$6&amp;'Funnel setup'!$K$4,'Funnel Lookup'!I369&gt;29),'Funnel Lookup'!I369,#N/A))</f>
        <v>#N/A</v>
      </c>
      <c r="V369" t="e">
        <f ca="1">IF(AND($C369='Funnel setup'!$K$3&amp;'Funnel setup'!$K$5&amp;'Funnel setup'!$K$6&amp;'Funnel setup'!$K$4,'Funnel Lookup'!I369="*"),#N/A,IF(AND($C369='Funnel setup'!$K$3&amp;'Funnel setup'!$K$5&amp;'Funnel setup'!$K$6&amp;'Funnel setup'!$K$4,'Funnel Lookup'!I369&gt;29),'Funnel Lookup'!Q369,#N/A))</f>
        <v>#N/A</v>
      </c>
    </row>
    <row r="370" spans="1:22" x14ac:dyDescent="0.2">
      <c r="A370">
        <v>368</v>
      </c>
      <c r="B370" t="e">
        <f t="shared" ca="1" si="84"/>
        <v>#N/A</v>
      </c>
      <c r="C370" t="e">
        <f t="shared" ca="1" si="84"/>
        <v>#N/A</v>
      </c>
      <c r="D370" t="e">
        <f t="shared" ca="1" si="84"/>
        <v>#N/A</v>
      </c>
      <c r="E370" t="e">
        <f t="shared" ca="1" si="84"/>
        <v>#N/A</v>
      </c>
      <c r="F370" t="e">
        <f t="shared" ca="1" si="84"/>
        <v>#N/A</v>
      </c>
      <c r="G370" t="e">
        <f t="shared" ca="1" si="84"/>
        <v>#N/A</v>
      </c>
      <c r="H370" t="e">
        <f t="shared" ca="1" si="84"/>
        <v>#N/A</v>
      </c>
      <c r="I370" t="e">
        <f t="shared" ca="1" si="84"/>
        <v>#N/A</v>
      </c>
      <c r="J370" t="e">
        <f t="shared" ca="1" si="84"/>
        <v>#N/A</v>
      </c>
      <c r="K370" t="e">
        <f t="shared" ca="1" si="84"/>
        <v>#N/A</v>
      </c>
      <c r="L370" t="e">
        <f t="shared" ca="1" si="85"/>
        <v>#N/A</v>
      </c>
      <c r="M370" t="e">
        <f t="shared" ca="1" si="85"/>
        <v>#N/A</v>
      </c>
      <c r="N370" t="e">
        <f t="shared" ca="1" si="85"/>
        <v>#N/A</v>
      </c>
      <c r="O370" t="e">
        <f t="shared" ca="1" si="85"/>
        <v>#N/A</v>
      </c>
      <c r="P370" t="e">
        <f t="shared" ca="1" si="85"/>
        <v>#N/A</v>
      </c>
      <c r="Q370" t="e">
        <f t="shared" ca="1" si="85"/>
        <v>#N/A</v>
      </c>
      <c r="R370" t="e">
        <f t="shared" ca="1" si="85"/>
        <v>#N/A</v>
      </c>
      <c r="S370" t="e">
        <f t="shared" ca="1" si="76"/>
        <v>#N/A</v>
      </c>
      <c r="T370" t="e">
        <f t="shared" ca="1" si="77"/>
        <v>#N/A</v>
      </c>
      <c r="U370" t="e">
        <f ca="1">IF(AND($C370='Funnel setup'!$K$3&amp;'Funnel setup'!$K$5&amp;'Funnel setup'!$K$6&amp;'Funnel setup'!$K$4,'Funnel Lookup'!I370="*"),#N/A,IF(AND($C370='Funnel setup'!$K$3&amp;'Funnel setup'!$K$5&amp;'Funnel setup'!$K$6&amp;'Funnel setup'!$K$4,'Funnel Lookup'!I370&gt;29),'Funnel Lookup'!I370,#N/A))</f>
        <v>#N/A</v>
      </c>
      <c r="V370" t="e">
        <f ca="1">IF(AND($C370='Funnel setup'!$K$3&amp;'Funnel setup'!$K$5&amp;'Funnel setup'!$K$6&amp;'Funnel setup'!$K$4,'Funnel Lookup'!I370="*"),#N/A,IF(AND($C370='Funnel setup'!$K$3&amp;'Funnel setup'!$K$5&amp;'Funnel setup'!$K$6&amp;'Funnel setup'!$K$4,'Funnel Lookup'!I370&gt;29),'Funnel Lookup'!Q370,#N/A))</f>
        <v>#N/A</v>
      </c>
    </row>
    <row r="371" spans="1:22" x14ac:dyDescent="0.2">
      <c r="A371">
        <v>369</v>
      </c>
      <c r="B371" t="e">
        <f t="shared" ca="1" si="84"/>
        <v>#N/A</v>
      </c>
      <c r="C371" t="e">
        <f t="shared" ca="1" si="84"/>
        <v>#N/A</v>
      </c>
      <c r="D371" t="e">
        <f t="shared" ca="1" si="84"/>
        <v>#N/A</v>
      </c>
      <c r="E371" t="e">
        <f t="shared" ca="1" si="84"/>
        <v>#N/A</v>
      </c>
      <c r="F371" t="e">
        <f t="shared" ca="1" si="84"/>
        <v>#N/A</v>
      </c>
      <c r="G371" t="e">
        <f t="shared" ca="1" si="84"/>
        <v>#N/A</v>
      </c>
      <c r="H371" t="e">
        <f t="shared" ca="1" si="84"/>
        <v>#N/A</v>
      </c>
      <c r="I371" t="e">
        <f t="shared" ca="1" si="84"/>
        <v>#N/A</v>
      </c>
      <c r="J371" t="e">
        <f t="shared" ca="1" si="84"/>
        <v>#N/A</v>
      </c>
      <c r="K371" t="e">
        <f t="shared" ca="1" si="84"/>
        <v>#N/A</v>
      </c>
      <c r="L371" t="e">
        <f t="shared" ca="1" si="85"/>
        <v>#N/A</v>
      </c>
      <c r="M371" t="e">
        <f t="shared" ca="1" si="85"/>
        <v>#N/A</v>
      </c>
      <c r="N371" t="e">
        <f t="shared" ca="1" si="85"/>
        <v>#N/A</v>
      </c>
      <c r="O371" t="e">
        <f t="shared" ca="1" si="85"/>
        <v>#N/A</v>
      </c>
      <c r="P371" t="e">
        <f t="shared" ca="1" si="85"/>
        <v>#N/A</v>
      </c>
      <c r="Q371" t="e">
        <f t="shared" ca="1" si="85"/>
        <v>#N/A</v>
      </c>
      <c r="R371" t="e">
        <f t="shared" ca="1" si="85"/>
        <v>#N/A</v>
      </c>
      <c r="S371" t="e">
        <f t="shared" ca="1" si="76"/>
        <v>#N/A</v>
      </c>
      <c r="T371" t="e">
        <f t="shared" ca="1" si="77"/>
        <v>#N/A</v>
      </c>
      <c r="U371" t="e">
        <f ca="1">IF(AND($C371='Funnel setup'!$K$3&amp;'Funnel setup'!$K$5&amp;'Funnel setup'!$K$6&amp;'Funnel setup'!$K$4,'Funnel Lookup'!I371="*"),#N/A,IF(AND($C371='Funnel setup'!$K$3&amp;'Funnel setup'!$K$5&amp;'Funnel setup'!$K$6&amp;'Funnel setup'!$K$4,'Funnel Lookup'!I371&gt;29),'Funnel Lookup'!I371,#N/A))</f>
        <v>#N/A</v>
      </c>
      <c r="V371" t="e">
        <f ca="1">IF(AND($C371='Funnel setup'!$K$3&amp;'Funnel setup'!$K$5&amp;'Funnel setup'!$K$6&amp;'Funnel setup'!$K$4,'Funnel Lookup'!I371="*"),#N/A,IF(AND($C371='Funnel setup'!$K$3&amp;'Funnel setup'!$K$5&amp;'Funnel setup'!$K$6&amp;'Funnel setup'!$K$4,'Funnel Lookup'!I371&gt;29),'Funnel Lookup'!Q371,#N/A))</f>
        <v>#N/A</v>
      </c>
    </row>
    <row r="372" spans="1:22" x14ac:dyDescent="0.2">
      <c r="A372">
        <v>370</v>
      </c>
      <c r="B372" t="e">
        <f t="shared" ca="1" si="84"/>
        <v>#N/A</v>
      </c>
      <c r="C372" t="e">
        <f t="shared" ca="1" si="84"/>
        <v>#N/A</v>
      </c>
      <c r="D372" t="e">
        <f t="shared" ca="1" si="84"/>
        <v>#N/A</v>
      </c>
      <c r="E372" t="e">
        <f t="shared" ca="1" si="84"/>
        <v>#N/A</v>
      </c>
      <c r="F372" t="e">
        <f t="shared" ca="1" si="84"/>
        <v>#N/A</v>
      </c>
      <c r="G372" t="e">
        <f t="shared" ca="1" si="84"/>
        <v>#N/A</v>
      </c>
      <c r="H372" t="e">
        <f t="shared" ca="1" si="84"/>
        <v>#N/A</v>
      </c>
      <c r="I372" t="e">
        <f t="shared" ca="1" si="84"/>
        <v>#N/A</v>
      </c>
      <c r="J372" t="e">
        <f t="shared" ca="1" si="84"/>
        <v>#N/A</v>
      </c>
      <c r="K372" t="e">
        <f t="shared" ca="1" si="84"/>
        <v>#N/A</v>
      </c>
      <c r="L372" t="e">
        <f t="shared" ca="1" si="85"/>
        <v>#N/A</v>
      </c>
      <c r="M372" t="e">
        <f t="shared" ca="1" si="85"/>
        <v>#N/A</v>
      </c>
      <c r="N372" t="e">
        <f t="shared" ca="1" si="85"/>
        <v>#N/A</v>
      </c>
      <c r="O372" t="e">
        <f t="shared" ca="1" si="85"/>
        <v>#N/A</v>
      </c>
      <c r="P372" t="e">
        <f t="shared" ca="1" si="85"/>
        <v>#N/A</v>
      </c>
      <c r="Q372" t="e">
        <f t="shared" ca="1" si="85"/>
        <v>#N/A</v>
      </c>
      <c r="R372" t="e">
        <f t="shared" ca="1" si="85"/>
        <v>#N/A</v>
      </c>
      <c r="S372" t="e">
        <f t="shared" ca="1" si="76"/>
        <v>#N/A</v>
      </c>
      <c r="T372" t="e">
        <f t="shared" ca="1" si="77"/>
        <v>#N/A</v>
      </c>
      <c r="U372" t="e">
        <f ca="1">IF(AND($C372='Funnel setup'!$K$3&amp;'Funnel setup'!$K$5&amp;'Funnel setup'!$K$6&amp;'Funnel setup'!$K$4,'Funnel Lookup'!I372="*"),#N/A,IF(AND($C372='Funnel setup'!$K$3&amp;'Funnel setup'!$K$5&amp;'Funnel setup'!$K$6&amp;'Funnel setup'!$K$4,'Funnel Lookup'!I372&gt;29),'Funnel Lookup'!I372,#N/A))</f>
        <v>#N/A</v>
      </c>
      <c r="V372" t="e">
        <f ca="1">IF(AND($C372='Funnel setup'!$K$3&amp;'Funnel setup'!$K$5&amp;'Funnel setup'!$K$6&amp;'Funnel setup'!$K$4,'Funnel Lookup'!I372="*"),#N/A,IF(AND($C372='Funnel setup'!$K$3&amp;'Funnel setup'!$K$5&amp;'Funnel setup'!$K$6&amp;'Funnel setup'!$K$4,'Funnel Lookup'!I372&gt;29),'Funnel Lookup'!Q372,#N/A))</f>
        <v>#N/A</v>
      </c>
    </row>
    <row r="373" spans="1:22" x14ac:dyDescent="0.2">
      <c r="A373">
        <v>371</v>
      </c>
      <c r="B373" t="e">
        <f t="shared" ref="B373:K382" ca="1" si="86">VLOOKUP($A373,Funnel_Data,B$1,FALSE)</f>
        <v>#N/A</v>
      </c>
      <c r="C373" t="e">
        <f t="shared" ca="1" si="86"/>
        <v>#N/A</v>
      </c>
      <c r="D373" t="e">
        <f t="shared" ca="1" si="86"/>
        <v>#N/A</v>
      </c>
      <c r="E373" t="e">
        <f t="shared" ca="1" si="86"/>
        <v>#N/A</v>
      </c>
      <c r="F373" t="e">
        <f t="shared" ca="1" si="86"/>
        <v>#N/A</v>
      </c>
      <c r="G373" t="e">
        <f t="shared" ca="1" si="86"/>
        <v>#N/A</v>
      </c>
      <c r="H373" t="e">
        <f t="shared" ca="1" si="86"/>
        <v>#N/A</v>
      </c>
      <c r="I373" t="e">
        <f t="shared" ca="1" si="86"/>
        <v>#N/A</v>
      </c>
      <c r="J373" t="e">
        <f t="shared" ca="1" si="86"/>
        <v>#N/A</v>
      </c>
      <c r="K373" t="e">
        <f t="shared" ca="1" si="86"/>
        <v>#N/A</v>
      </c>
      <c r="L373" t="e">
        <f t="shared" ref="L373:R382" ca="1" si="87">VLOOKUP($A373,Funnel_Data,L$1,FALSE)</f>
        <v>#N/A</v>
      </c>
      <c r="M373" t="e">
        <f t="shared" ca="1" si="87"/>
        <v>#N/A</v>
      </c>
      <c r="N373" t="e">
        <f t="shared" ca="1" si="87"/>
        <v>#N/A</v>
      </c>
      <c r="O373" t="e">
        <f t="shared" ca="1" si="87"/>
        <v>#N/A</v>
      </c>
      <c r="P373" t="e">
        <f t="shared" ca="1" si="87"/>
        <v>#N/A</v>
      </c>
      <c r="Q373" t="e">
        <f t="shared" ca="1" si="87"/>
        <v>#N/A</v>
      </c>
      <c r="R373" t="e">
        <f t="shared" ca="1" si="87"/>
        <v>#N/A</v>
      </c>
      <c r="S373" t="e">
        <f t="shared" ca="1" si="76"/>
        <v>#N/A</v>
      </c>
      <c r="T373" t="e">
        <f t="shared" ca="1" si="77"/>
        <v>#N/A</v>
      </c>
      <c r="U373" t="e">
        <f ca="1">IF(AND($C373='Funnel setup'!$K$3&amp;'Funnel setup'!$K$5&amp;'Funnel setup'!$K$6&amp;'Funnel setup'!$K$4,'Funnel Lookup'!I373="*"),#N/A,IF(AND($C373='Funnel setup'!$K$3&amp;'Funnel setup'!$K$5&amp;'Funnel setup'!$K$6&amp;'Funnel setup'!$K$4,'Funnel Lookup'!I373&gt;29),'Funnel Lookup'!I373,#N/A))</f>
        <v>#N/A</v>
      </c>
      <c r="V373" t="e">
        <f ca="1">IF(AND($C373='Funnel setup'!$K$3&amp;'Funnel setup'!$K$5&amp;'Funnel setup'!$K$6&amp;'Funnel setup'!$K$4,'Funnel Lookup'!I373="*"),#N/A,IF(AND($C373='Funnel setup'!$K$3&amp;'Funnel setup'!$K$5&amp;'Funnel setup'!$K$6&amp;'Funnel setup'!$K$4,'Funnel Lookup'!I373&gt;29),'Funnel Lookup'!Q373,#N/A))</f>
        <v>#N/A</v>
      </c>
    </row>
    <row r="374" spans="1:22" x14ac:dyDescent="0.2">
      <c r="A374">
        <v>372</v>
      </c>
      <c r="B374" t="e">
        <f t="shared" ca="1" si="86"/>
        <v>#N/A</v>
      </c>
      <c r="C374" t="e">
        <f t="shared" ca="1" si="86"/>
        <v>#N/A</v>
      </c>
      <c r="D374" t="e">
        <f t="shared" ca="1" si="86"/>
        <v>#N/A</v>
      </c>
      <c r="E374" t="e">
        <f t="shared" ca="1" si="86"/>
        <v>#N/A</v>
      </c>
      <c r="F374" t="e">
        <f t="shared" ca="1" si="86"/>
        <v>#N/A</v>
      </c>
      <c r="G374" t="e">
        <f t="shared" ca="1" si="86"/>
        <v>#N/A</v>
      </c>
      <c r="H374" t="e">
        <f t="shared" ca="1" si="86"/>
        <v>#N/A</v>
      </c>
      <c r="I374" t="e">
        <f t="shared" ca="1" si="86"/>
        <v>#N/A</v>
      </c>
      <c r="J374" t="e">
        <f t="shared" ca="1" si="86"/>
        <v>#N/A</v>
      </c>
      <c r="K374" t="e">
        <f t="shared" ca="1" si="86"/>
        <v>#N/A</v>
      </c>
      <c r="L374" t="e">
        <f t="shared" ca="1" si="87"/>
        <v>#N/A</v>
      </c>
      <c r="M374" t="e">
        <f t="shared" ca="1" si="87"/>
        <v>#N/A</v>
      </c>
      <c r="N374" t="e">
        <f t="shared" ca="1" si="87"/>
        <v>#N/A</v>
      </c>
      <c r="O374" t="e">
        <f t="shared" ca="1" si="87"/>
        <v>#N/A</v>
      </c>
      <c r="P374" t="e">
        <f t="shared" ca="1" si="87"/>
        <v>#N/A</v>
      </c>
      <c r="Q374" t="e">
        <f t="shared" ca="1" si="87"/>
        <v>#N/A</v>
      </c>
      <c r="R374" t="e">
        <f t="shared" ca="1" si="87"/>
        <v>#N/A</v>
      </c>
      <c r="S374" t="e">
        <f t="shared" ca="1" si="76"/>
        <v>#N/A</v>
      </c>
      <c r="T374" t="e">
        <f t="shared" ca="1" si="77"/>
        <v>#N/A</v>
      </c>
      <c r="U374" t="e">
        <f ca="1">IF(AND($C374='Funnel setup'!$K$3&amp;'Funnel setup'!$K$5&amp;'Funnel setup'!$K$6&amp;'Funnel setup'!$K$4,'Funnel Lookup'!I374="*"),#N/A,IF(AND($C374='Funnel setup'!$K$3&amp;'Funnel setup'!$K$5&amp;'Funnel setup'!$K$6&amp;'Funnel setup'!$K$4,'Funnel Lookup'!I374&gt;29),'Funnel Lookup'!I374,#N/A))</f>
        <v>#N/A</v>
      </c>
      <c r="V374" t="e">
        <f ca="1">IF(AND($C374='Funnel setup'!$K$3&amp;'Funnel setup'!$K$5&amp;'Funnel setup'!$K$6&amp;'Funnel setup'!$K$4,'Funnel Lookup'!I374="*"),#N/A,IF(AND($C374='Funnel setup'!$K$3&amp;'Funnel setup'!$K$5&amp;'Funnel setup'!$K$6&amp;'Funnel setup'!$K$4,'Funnel Lookup'!I374&gt;29),'Funnel Lookup'!Q374,#N/A))</f>
        <v>#N/A</v>
      </c>
    </row>
    <row r="375" spans="1:22" x14ac:dyDescent="0.2">
      <c r="A375">
        <v>373</v>
      </c>
      <c r="B375" t="e">
        <f t="shared" ca="1" si="86"/>
        <v>#N/A</v>
      </c>
      <c r="C375" t="e">
        <f t="shared" ca="1" si="86"/>
        <v>#N/A</v>
      </c>
      <c r="D375" t="e">
        <f t="shared" ca="1" si="86"/>
        <v>#N/A</v>
      </c>
      <c r="E375" t="e">
        <f t="shared" ca="1" si="86"/>
        <v>#N/A</v>
      </c>
      <c r="F375" t="e">
        <f t="shared" ca="1" si="86"/>
        <v>#N/A</v>
      </c>
      <c r="G375" t="e">
        <f t="shared" ca="1" si="86"/>
        <v>#N/A</v>
      </c>
      <c r="H375" t="e">
        <f t="shared" ca="1" si="86"/>
        <v>#N/A</v>
      </c>
      <c r="I375" t="e">
        <f t="shared" ca="1" si="86"/>
        <v>#N/A</v>
      </c>
      <c r="J375" t="e">
        <f t="shared" ca="1" si="86"/>
        <v>#N/A</v>
      </c>
      <c r="K375" t="e">
        <f t="shared" ca="1" si="86"/>
        <v>#N/A</v>
      </c>
      <c r="L375" t="e">
        <f t="shared" ca="1" si="87"/>
        <v>#N/A</v>
      </c>
      <c r="M375" t="e">
        <f t="shared" ca="1" si="87"/>
        <v>#N/A</v>
      </c>
      <c r="N375" t="e">
        <f t="shared" ca="1" si="87"/>
        <v>#N/A</v>
      </c>
      <c r="O375" t="e">
        <f t="shared" ca="1" si="87"/>
        <v>#N/A</v>
      </c>
      <c r="P375" t="e">
        <f t="shared" ca="1" si="87"/>
        <v>#N/A</v>
      </c>
      <c r="Q375" t="e">
        <f t="shared" ca="1" si="87"/>
        <v>#N/A</v>
      </c>
      <c r="R375" t="e">
        <f t="shared" ca="1" si="87"/>
        <v>#N/A</v>
      </c>
      <c r="S375" t="e">
        <f t="shared" ca="1" si="76"/>
        <v>#N/A</v>
      </c>
      <c r="T375" t="e">
        <f t="shared" ca="1" si="77"/>
        <v>#N/A</v>
      </c>
      <c r="U375" t="e">
        <f ca="1">IF(AND($C375='Funnel setup'!$K$3&amp;'Funnel setup'!$K$5&amp;'Funnel setup'!$K$6&amp;'Funnel setup'!$K$4,'Funnel Lookup'!I375="*"),#N/A,IF(AND($C375='Funnel setup'!$K$3&amp;'Funnel setup'!$K$5&amp;'Funnel setup'!$K$6&amp;'Funnel setup'!$K$4,'Funnel Lookup'!I375&gt;29),'Funnel Lookup'!I375,#N/A))</f>
        <v>#N/A</v>
      </c>
      <c r="V375" t="e">
        <f ca="1">IF(AND($C375='Funnel setup'!$K$3&amp;'Funnel setup'!$K$5&amp;'Funnel setup'!$K$6&amp;'Funnel setup'!$K$4,'Funnel Lookup'!I375="*"),#N/A,IF(AND($C375='Funnel setup'!$K$3&amp;'Funnel setup'!$K$5&amp;'Funnel setup'!$K$6&amp;'Funnel setup'!$K$4,'Funnel Lookup'!I375&gt;29),'Funnel Lookup'!Q375,#N/A))</f>
        <v>#N/A</v>
      </c>
    </row>
    <row r="376" spans="1:22" x14ac:dyDescent="0.2">
      <c r="A376">
        <v>374</v>
      </c>
      <c r="B376" t="e">
        <f t="shared" ca="1" si="86"/>
        <v>#N/A</v>
      </c>
      <c r="C376" t="e">
        <f t="shared" ca="1" si="86"/>
        <v>#N/A</v>
      </c>
      <c r="D376" t="e">
        <f t="shared" ca="1" si="86"/>
        <v>#N/A</v>
      </c>
      <c r="E376" t="e">
        <f t="shared" ca="1" si="86"/>
        <v>#N/A</v>
      </c>
      <c r="F376" t="e">
        <f t="shared" ca="1" si="86"/>
        <v>#N/A</v>
      </c>
      <c r="G376" t="e">
        <f t="shared" ca="1" si="86"/>
        <v>#N/A</v>
      </c>
      <c r="H376" t="e">
        <f t="shared" ca="1" si="86"/>
        <v>#N/A</v>
      </c>
      <c r="I376" t="e">
        <f t="shared" ca="1" si="86"/>
        <v>#N/A</v>
      </c>
      <c r="J376" t="e">
        <f t="shared" ca="1" si="86"/>
        <v>#N/A</v>
      </c>
      <c r="K376" t="e">
        <f t="shared" ca="1" si="86"/>
        <v>#N/A</v>
      </c>
      <c r="L376" t="e">
        <f t="shared" ca="1" si="87"/>
        <v>#N/A</v>
      </c>
      <c r="M376" t="e">
        <f t="shared" ca="1" si="87"/>
        <v>#N/A</v>
      </c>
      <c r="N376" t="e">
        <f t="shared" ca="1" si="87"/>
        <v>#N/A</v>
      </c>
      <c r="O376" t="e">
        <f t="shared" ca="1" si="87"/>
        <v>#N/A</v>
      </c>
      <c r="P376" t="e">
        <f t="shared" ca="1" si="87"/>
        <v>#N/A</v>
      </c>
      <c r="Q376" t="e">
        <f t="shared" ca="1" si="87"/>
        <v>#N/A</v>
      </c>
      <c r="R376" t="e">
        <f t="shared" ca="1" si="87"/>
        <v>#N/A</v>
      </c>
      <c r="S376" t="e">
        <f t="shared" ca="1" si="76"/>
        <v>#N/A</v>
      </c>
      <c r="T376" t="e">
        <f t="shared" ca="1" si="77"/>
        <v>#N/A</v>
      </c>
      <c r="U376" t="e">
        <f ca="1">IF(AND($C376='Funnel setup'!$K$3&amp;'Funnel setup'!$K$5&amp;'Funnel setup'!$K$6&amp;'Funnel setup'!$K$4,'Funnel Lookup'!I376="*"),#N/A,IF(AND($C376='Funnel setup'!$K$3&amp;'Funnel setup'!$K$5&amp;'Funnel setup'!$K$6&amp;'Funnel setup'!$K$4,'Funnel Lookup'!I376&gt;29),'Funnel Lookup'!I376,#N/A))</f>
        <v>#N/A</v>
      </c>
      <c r="V376" t="e">
        <f ca="1">IF(AND($C376='Funnel setup'!$K$3&amp;'Funnel setup'!$K$5&amp;'Funnel setup'!$K$6&amp;'Funnel setup'!$K$4,'Funnel Lookup'!I376="*"),#N/A,IF(AND($C376='Funnel setup'!$K$3&amp;'Funnel setup'!$K$5&amp;'Funnel setup'!$K$6&amp;'Funnel setup'!$K$4,'Funnel Lookup'!I376&gt;29),'Funnel Lookup'!Q376,#N/A))</f>
        <v>#N/A</v>
      </c>
    </row>
    <row r="377" spans="1:22" x14ac:dyDescent="0.2">
      <c r="A377">
        <v>375</v>
      </c>
      <c r="B377" t="e">
        <f t="shared" ca="1" si="86"/>
        <v>#N/A</v>
      </c>
      <c r="C377" t="e">
        <f t="shared" ca="1" si="86"/>
        <v>#N/A</v>
      </c>
      <c r="D377" t="e">
        <f t="shared" ca="1" si="86"/>
        <v>#N/A</v>
      </c>
      <c r="E377" t="e">
        <f t="shared" ca="1" si="86"/>
        <v>#N/A</v>
      </c>
      <c r="F377" t="e">
        <f t="shared" ca="1" si="86"/>
        <v>#N/A</v>
      </c>
      <c r="G377" t="e">
        <f t="shared" ca="1" si="86"/>
        <v>#N/A</v>
      </c>
      <c r="H377" t="e">
        <f t="shared" ca="1" si="86"/>
        <v>#N/A</v>
      </c>
      <c r="I377" t="e">
        <f t="shared" ca="1" si="86"/>
        <v>#N/A</v>
      </c>
      <c r="J377" t="e">
        <f t="shared" ca="1" si="86"/>
        <v>#N/A</v>
      </c>
      <c r="K377" t="e">
        <f t="shared" ca="1" si="86"/>
        <v>#N/A</v>
      </c>
      <c r="L377" t="e">
        <f t="shared" ca="1" si="87"/>
        <v>#N/A</v>
      </c>
      <c r="M377" t="e">
        <f t="shared" ca="1" si="87"/>
        <v>#N/A</v>
      </c>
      <c r="N377" t="e">
        <f t="shared" ca="1" si="87"/>
        <v>#N/A</v>
      </c>
      <c r="O377" t="e">
        <f t="shared" ca="1" si="87"/>
        <v>#N/A</v>
      </c>
      <c r="P377" t="e">
        <f t="shared" ca="1" si="87"/>
        <v>#N/A</v>
      </c>
      <c r="Q377" t="e">
        <f t="shared" ca="1" si="87"/>
        <v>#N/A</v>
      </c>
      <c r="R377" t="e">
        <f t="shared" ca="1" si="87"/>
        <v>#N/A</v>
      </c>
      <c r="S377" t="e">
        <f t="shared" ca="1" si="76"/>
        <v>#N/A</v>
      </c>
      <c r="T377" t="e">
        <f t="shared" ca="1" si="77"/>
        <v>#N/A</v>
      </c>
      <c r="U377" t="e">
        <f ca="1">IF(AND($C377='Funnel setup'!$K$3&amp;'Funnel setup'!$K$5&amp;'Funnel setup'!$K$6&amp;'Funnel setup'!$K$4,'Funnel Lookup'!I377="*"),#N/A,IF(AND($C377='Funnel setup'!$K$3&amp;'Funnel setup'!$K$5&amp;'Funnel setup'!$K$6&amp;'Funnel setup'!$K$4,'Funnel Lookup'!I377&gt;29),'Funnel Lookup'!I377,#N/A))</f>
        <v>#N/A</v>
      </c>
      <c r="V377" t="e">
        <f ca="1">IF(AND($C377='Funnel setup'!$K$3&amp;'Funnel setup'!$K$5&amp;'Funnel setup'!$K$6&amp;'Funnel setup'!$K$4,'Funnel Lookup'!I377="*"),#N/A,IF(AND($C377='Funnel setup'!$K$3&amp;'Funnel setup'!$K$5&amp;'Funnel setup'!$K$6&amp;'Funnel setup'!$K$4,'Funnel Lookup'!I377&gt;29),'Funnel Lookup'!Q377,#N/A))</f>
        <v>#N/A</v>
      </c>
    </row>
    <row r="378" spans="1:22" x14ac:dyDescent="0.2">
      <c r="A378">
        <v>376</v>
      </c>
      <c r="B378" t="e">
        <f t="shared" ca="1" si="86"/>
        <v>#N/A</v>
      </c>
      <c r="C378" t="e">
        <f t="shared" ca="1" si="86"/>
        <v>#N/A</v>
      </c>
      <c r="D378" t="e">
        <f t="shared" ca="1" si="86"/>
        <v>#N/A</v>
      </c>
      <c r="E378" t="e">
        <f t="shared" ca="1" si="86"/>
        <v>#N/A</v>
      </c>
      <c r="F378" t="e">
        <f t="shared" ca="1" si="86"/>
        <v>#N/A</v>
      </c>
      <c r="G378" t="e">
        <f t="shared" ca="1" si="86"/>
        <v>#N/A</v>
      </c>
      <c r="H378" t="e">
        <f t="shared" ca="1" si="86"/>
        <v>#N/A</v>
      </c>
      <c r="I378" t="e">
        <f t="shared" ca="1" si="86"/>
        <v>#N/A</v>
      </c>
      <c r="J378" t="e">
        <f t="shared" ca="1" si="86"/>
        <v>#N/A</v>
      </c>
      <c r="K378" t="e">
        <f t="shared" ca="1" si="86"/>
        <v>#N/A</v>
      </c>
      <c r="L378" t="e">
        <f t="shared" ca="1" si="87"/>
        <v>#N/A</v>
      </c>
      <c r="M378" t="e">
        <f t="shared" ca="1" si="87"/>
        <v>#N/A</v>
      </c>
      <c r="N378" t="e">
        <f t="shared" ca="1" si="87"/>
        <v>#N/A</v>
      </c>
      <c r="O378" t="e">
        <f t="shared" ca="1" si="87"/>
        <v>#N/A</v>
      </c>
      <c r="P378" t="e">
        <f t="shared" ca="1" si="87"/>
        <v>#N/A</v>
      </c>
      <c r="Q378" t="e">
        <f t="shared" ca="1" si="87"/>
        <v>#N/A</v>
      </c>
      <c r="R378" t="e">
        <f t="shared" ca="1" si="87"/>
        <v>#N/A</v>
      </c>
      <c r="S378" t="e">
        <f t="shared" ca="1" si="76"/>
        <v>#N/A</v>
      </c>
      <c r="T378" t="e">
        <f t="shared" ca="1" si="77"/>
        <v>#N/A</v>
      </c>
      <c r="U378" t="e">
        <f ca="1">IF(AND($C378='Funnel setup'!$K$3&amp;'Funnel setup'!$K$5&amp;'Funnel setup'!$K$6&amp;'Funnel setup'!$K$4,'Funnel Lookup'!I378="*"),#N/A,IF(AND($C378='Funnel setup'!$K$3&amp;'Funnel setup'!$K$5&amp;'Funnel setup'!$K$6&amp;'Funnel setup'!$K$4,'Funnel Lookup'!I378&gt;29),'Funnel Lookup'!I378,#N/A))</f>
        <v>#N/A</v>
      </c>
      <c r="V378" t="e">
        <f ca="1">IF(AND($C378='Funnel setup'!$K$3&amp;'Funnel setup'!$K$5&amp;'Funnel setup'!$K$6&amp;'Funnel setup'!$K$4,'Funnel Lookup'!I378="*"),#N/A,IF(AND($C378='Funnel setup'!$K$3&amp;'Funnel setup'!$K$5&amp;'Funnel setup'!$K$6&amp;'Funnel setup'!$K$4,'Funnel Lookup'!I378&gt;29),'Funnel Lookup'!Q378,#N/A))</f>
        <v>#N/A</v>
      </c>
    </row>
    <row r="379" spans="1:22" x14ac:dyDescent="0.2">
      <c r="A379">
        <v>377</v>
      </c>
      <c r="B379" t="e">
        <f t="shared" ca="1" si="86"/>
        <v>#N/A</v>
      </c>
      <c r="C379" t="e">
        <f t="shared" ca="1" si="86"/>
        <v>#N/A</v>
      </c>
      <c r="D379" t="e">
        <f t="shared" ca="1" si="86"/>
        <v>#N/A</v>
      </c>
      <c r="E379" t="e">
        <f t="shared" ca="1" si="86"/>
        <v>#N/A</v>
      </c>
      <c r="F379" t="e">
        <f t="shared" ca="1" si="86"/>
        <v>#N/A</v>
      </c>
      <c r="G379" t="e">
        <f t="shared" ca="1" si="86"/>
        <v>#N/A</v>
      </c>
      <c r="H379" t="e">
        <f t="shared" ca="1" si="86"/>
        <v>#N/A</v>
      </c>
      <c r="I379" t="e">
        <f t="shared" ca="1" si="86"/>
        <v>#N/A</v>
      </c>
      <c r="J379" t="e">
        <f t="shared" ca="1" si="86"/>
        <v>#N/A</v>
      </c>
      <c r="K379" t="e">
        <f t="shared" ca="1" si="86"/>
        <v>#N/A</v>
      </c>
      <c r="L379" t="e">
        <f t="shared" ca="1" si="87"/>
        <v>#N/A</v>
      </c>
      <c r="M379" t="e">
        <f t="shared" ca="1" si="87"/>
        <v>#N/A</v>
      </c>
      <c r="N379" t="e">
        <f t="shared" ca="1" si="87"/>
        <v>#N/A</v>
      </c>
      <c r="O379" t="e">
        <f t="shared" ca="1" si="87"/>
        <v>#N/A</v>
      </c>
      <c r="P379" t="e">
        <f t="shared" ca="1" si="87"/>
        <v>#N/A</v>
      </c>
      <c r="Q379" t="e">
        <f t="shared" ca="1" si="87"/>
        <v>#N/A</v>
      </c>
      <c r="R379" t="e">
        <f t="shared" ca="1" si="87"/>
        <v>#N/A</v>
      </c>
      <c r="S379" t="e">
        <f t="shared" ca="1" si="76"/>
        <v>#N/A</v>
      </c>
      <c r="T379" t="e">
        <f t="shared" ca="1" si="77"/>
        <v>#N/A</v>
      </c>
      <c r="U379" t="e">
        <f ca="1">IF(AND($C379='Funnel setup'!$K$3&amp;'Funnel setup'!$K$5&amp;'Funnel setup'!$K$6&amp;'Funnel setup'!$K$4,'Funnel Lookup'!I379="*"),#N/A,IF(AND($C379='Funnel setup'!$K$3&amp;'Funnel setup'!$K$5&amp;'Funnel setup'!$K$6&amp;'Funnel setup'!$K$4,'Funnel Lookup'!I379&gt;29),'Funnel Lookup'!I379,#N/A))</f>
        <v>#N/A</v>
      </c>
      <c r="V379" t="e">
        <f ca="1">IF(AND($C379='Funnel setup'!$K$3&amp;'Funnel setup'!$K$5&amp;'Funnel setup'!$K$6&amp;'Funnel setup'!$K$4,'Funnel Lookup'!I379="*"),#N/A,IF(AND($C379='Funnel setup'!$K$3&amp;'Funnel setup'!$K$5&amp;'Funnel setup'!$K$6&amp;'Funnel setup'!$K$4,'Funnel Lookup'!I379&gt;29),'Funnel Lookup'!Q379,#N/A))</f>
        <v>#N/A</v>
      </c>
    </row>
    <row r="380" spans="1:22" x14ac:dyDescent="0.2">
      <c r="A380">
        <v>378</v>
      </c>
      <c r="B380" t="e">
        <f t="shared" ca="1" si="86"/>
        <v>#N/A</v>
      </c>
      <c r="C380" t="e">
        <f t="shared" ca="1" si="86"/>
        <v>#N/A</v>
      </c>
      <c r="D380" t="e">
        <f t="shared" ca="1" si="86"/>
        <v>#N/A</v>
      </c>
      <c r="E380" t="e">
        <f t="shared" ca="1" si="86"/>
        <v>#N/A</v>
      </c>
      <c r="F380" t="e">
        <f t="shared" ca="1" si="86"/>
        <v>#N/A</v>
      </c>
      <c r="G380" t="e">
        <f t="shared" ca="1" si="86"/>
        <v>#N/A</v>
      </c>
      <c r="H380" t="e">
        <f t="shared" ca="1" si="86"/>
        <v>#N/A</v>
      </c>
      <c r="I380" t="e">
        <f t="shared" ca="1" si="86"/>
        <v>#N/A</v>
      </c>
      <c r="J380" t="e">
        <f t="shared" ca="1" si="86"/>
        <v>#N/A</v>
      </c>
      <c r="K380" t="e">
        <f t="shared" ca="1" si="86"/>
        <v>#N/A</v>
      </c>
      <c r="L380" t="e">
        <f t="shared" ca="1" si="87"/>
        <v>#N/A</v>
      </c>
      <c r="M380" t="e">
        <f t="shared" ca="1" si="87"/>
        <v>#N/A</v>
      </c>
      <c r="N380" t="e">
        <f t="shared" ca="1" si="87"/>
        <v>#N/A</v>
      </c>
      <c r="O380" t="e">
        <f t="shared" ca="1" si="87"/>
        <v>#N/A</v>
      </c>
      <c r="P380" t="e">
        <f t="shared" ca="1" si="87"/>
        <v>#N/A</v>
      </c>
      <c r="Q380" t="e">
        <f t="shared" ca="1" si="87"/>
        <v>#N/A</v>
      </c>
      <c r="R380" t="e">
        <f t="shared" ca="1" si="87"/>
        <v>#N/A</v>
      </c>
      <c r="S380" t="e">
        <f t="shared" ca="1" si="76"/>
        <v>#N/A</v>
      </c>
      <c r="T380" t="e">
        <f t="shared" ca="1" si="77"/>
        <v>#N/A</v>
      </c>
      <c r="U380" t="e">
        <f ca="1">IF(AND($C380='Funnel setup'!$K$3&amp;'Funnel setup'!$K$5&amp;'Funnel setup'!$K$6&amp;'Funnel setup'!$K$4,'Funnel Lookup'!I380="*"),#N/A,IF(AND($C380='Funnel setup'!$K$3&amp;'Funnel setup'!$K$5&amp;'Funnel setup'!$K$6&amp;'Funnel setup'!$K$4,'Funnel Lookup'!I380&gt;29),'Funnel Lookup'!I380,#N/A))</f>
        <v>#N/A</v>
      </c>
      <c r="V380" t="e">
        <f ca="1">IF(AND($C380='Funnel setup'!$K$3&amp;'Funnel setup'!$K$5&amp;'Funnel setup'!$K$6&amp;'Funnel setup'!$K$4,'Funnel Lookup'!I380="*"),#N/A,IF(AND($C380='Funnel setup'!$K$3&amp;'Funnel setup'!$K$5&amp;'Funnel setup'!$K$6&amp;'Funnel setup'!$K$4,'Funnel Lookup'!I380&gt;29),'Funnel Lookup'!Q380,#N/A))</f>
        <v>#N/A</v>
      </c>
    </row>
    <row r="381" spans="1:22" x14ac:dyDescent="0.2">
      <c r="A381">
        <v>379</v>
      </c>
      <c r="B381" t="e">
        <f t="shared" ca="1" si="86"/>
        <v>#N/A</v>
      </c>
      <c r="C381" t="e">
        <f t="shared" ca="1" si="86"/>
        <v>#N/A</v>
      </c>
      <c r="D381" t="e">
        <f t="shared" ca="1" si="86"/>
        <v>#N/A</v>
      </c>
      <c r="E381" t="e">
        <f t="shared" ca="1" si="86"/>
        <v>#N/A</v>
      </c>
      <c r="F381" t="e">
        <f t="shared" ca="1" si="86"/>
        <v>#N/A</v>
      </c>
      <c r="G381" t="e">
        <f t="shared" ca="1" si="86"/>
        <v>#N/A</v>
      </c>
      <c r="H381" t="e">
        <f t="shared" ca="1" si="86"/>
        <v>#N/A</v>
      </c>
      <c r="I381" t="e">
        <f t="shared" ca="1" si="86"/>
        <v>#N/A</v>
      </c>
      <c r="J381" t="e">
        <f t="shared" ca="1" si="86"/>
        <v>#N/A</v>
      </c>
      <c r="K381" t="e">
        <f t="shared" ca="1" si="86"/>
        <v>#N/A</v>
      </c>
      <c r="L381" t="e">
        <f t="shared" ca="1" si="87"/>
        <v>#N/A</v>
      </c>
      <c r="M381" t="e">
        <f t="shared" ca="1" si="87"/>
        <v>#N/A</v>
      </c>
      <c r="N381" t="e">
        <f t="shared" ca="1" si="87"/>
        <v>#N/A</v>
      </c>
      <c r="O381" t="e">
        <f t="shared" ca="1" si="87"/>
        <v>#N/A</v>
      </c>
      <c r="P381" t="e">
        <f t="shared" ca="1" si="87"/>
        <v>#N/A</v>
      </c>
      <c r="Q381" t="e">
        <f t="shared" ca="1" si="87"/>
        <v>#N/A</v>
      </c>
      <c r="R381" t="e">
        <f t="shared" ca="1" si="87"/>
        <v>#N/A</v>
      </c>
      <c r="S381" t="e">
        <f t="shared" ca="1" si="76"/>
        <v>#N/A</v>
      </c>
      <c r="T381" t="e">
        <f t="shared" ca="1" si="77"/>
        <v>#N/A</v>
      </c>
      <c r="U381" t="e">
        <f ca="1">IF(AND($C381='Funnel setup'!$K$3&amp;'Funnel setup'!$K$5&amp;'Funnel setup'!$K$6&amp;'Funnel setup'!$K$4,'Funnel Lookup'!I381="*"),#N/A,IF(AND($C381='Funnel setup'!$K$3&amp;'Funnel setup'!$K$5&amp;'Funnel setup'!$K$6&amp;'Funnel setup'!$K$4,'Funnel Lookup'!I381&gt;29),'Funnel Lookup'!I381,#N/A))</f>
        <v>#N/A</v>
      </c>
      <c r="V381" t="e">
        <f ca="1">IF(AND($C381='Funnel setup'!$K$3&amp;'Funnel setup'!$K$5&amp;'Funnel setup'!$K$6&amp;'Funnel setup'!$K$4,'Funnel Lookup'!I381="*"),#N/A,IF(AND($C381='Funnel setup'!$K$3&amp;'Funnel setup'!$K$5&amp;'Funnel setup'!$K$6&amp;'Funnel setup'!$K$4,'Funnel Lookup'!I381&gt;29),'Funnel Lookup'!Q381,#N/A))</f>
        <v>#N/A</v>
      </c>
    </row>
    <row r="382" spans="1:22" x14ac:dyDescent="0.2">
      <c r="A382">
        <v>380</v>
      </c>
      <c r="B382" t="e">
        <f t="shared" ca="1" si="86"/>
        <v>#N/A</v>
      </c>
      <c r="C382" t="e">
        <f t="shared" ca="1" si="86"/>
        <v>#N/A</v>
      </c>
      <c r="D382" t="e">
        <f t="shared" ca="1" si="86"/>
        <v>#N/A</v>
      </c>
      <c r="E382" t="e">
        <f t="shared" ca="1" si="86"/>
        <v>#N/A</v>
      </c>
      <c r="F382" t="e">
        <f t="shared" ca="1" si="86"/>
        <v>#N/A</v>
      </c>
      <c r="G382" t="e">
        <f t="shared" ca="1" si="86"/>
        <v>#N/A</v>
      </c>
      <c r="H382" t="e">
        <f t="shared" ca="1" si="86"/>
        <v>#N/A</v>
      </c>
      <c r="I382" t="e">
        <f t="shared" ca="1" si="86"/>
        <v>#N/A</v>
      </c>
      <c r="J382" t="e">
        <f t="shared" ca="1" si="86"/>
        <v>#N/A</v>
      </c>
      <c r="K382" t="e">
        <f t="shared" ca="1" si="86"/>
        <v>#N/A</v>
      </c>
      <c r="L382" t="e">
        <f t="shared" ca="1" si="87"/>
        <v>#N/A</v>
      </c>
      <c r="M382" t="e">
        <f t="shared" ca="1" si="87"/>
        <v>#N/A</v>
      </c>
      <c r="N382" t="e">
        <f t="shared" ca="1" si="87"/>
        <v>#N/A</v>
      </c>
      <c r="O382" t="e">
        <f t="shared" ca="1" si="87"/>
        <v>#N/A</v>
      </c>
      <c r="P382" t="e">
        <f t="shared" ca="1" si="87"/>
        <v>#N/A</v>
      </c>
      <c r="Q382" t="e">
        <f t="shared" ca="1" si="87"/>
        <v>#N/A</v>
      </c>
      <c r="R382" t="e">
        <f t="shared" ca="1" si="87"/>
        <v>#N/A</v>
      </c>
      <c r="S382" t="e">
        <f t="shared" ca="1" si="76"/>
        <v>#N/A</v>
      </c>
      <c r="T382" t="e">
        <f t="shared" ca="1" si="77"/>
        <v>#N/A</v>
      </c>
      <c r="U382" t="e">
        <f ca="1">IF(AND($C382='Funnel setup'!$K$3&amp;'Funnel setup'!$K$5&amp;'Funnel setup'!$K$6&amp;'Funnel setup'!$K$4,'Funnel Lookup'!I382="*"),#N/A,IF(AND($C382='Funnel setup'!$K$3&amp;'Funnel setup'!$K$5&amp;'Funnel setup'!$K$6&amp;'Funnel setup'!$K$4,'Funnel Lookup'!I382&gt;29),'Funnel Lookup'!I382,#N/A))</f>
        <v>#N/A</v>
      </c>
      <c r="V382" t="e">
        <f ca="1">IF(AND($C382='Funnel setup'!$K$3&amp;'Funnel setup'!$K$5&amp;'Funnel setup'!$K$6&amp;'Funnel setup'!$K$4,'Funnel Lookup'!I382="*"),#N/A,IF(AND($C382='Funnel setup'!$K$3&amp;'Funnel setup'!$K$5&amp;'Funnel setup'!$K$6&amp;'Funnel setup'!$K$4,'Funnel Lookup'!I382&gt;29),'Funnel Lookup'!Q382,#N/A))</f>
        <v>#N/A</v>
      </c>
    </row>
    <row r="383" spans="1:22" x14ac:dyDescent="0.2">
      <c r="A383">
        <v>381</v>
      </c>
      <c r="B383" t="e">
        <f t="shared" ref="B383:K392" ca="1" si="88">VLOOKUP($A383,Funnel_Data,B$1,FALSE)</f>
        <v>#N/A</v>
      </c>
      <c r="C383" t="e">
        <f t="shared" ca="1" si="88"/>
        <v>#N/A</v>
      </c>
      <c r="D383" t="e">
        <f t="shared" ca="1" si="88"/>
        <v>#N/A</v>
      </c>
      <c r="E383" t="e">
        <f t="shared" ca="1" si="88"/>
        <v>#N/A</v>
      </c>
      <c r="F383" t="e">
        <f t="shared" ca="1" si="88"/>
        <v>#N/A</v>
      </c>
      <c r="G383" t="e">
        <f t="shared" ca="1" si="88"/>
        <v>#N/A</v>
      </c>
      <c r="H383" t="e">
        <f t="shared" ca="1" si="88"/>
        <v>#N/A</v>
      </c>
      <c r="I383" t="e">
        <f t="shared" ca="1" si="88"/>
        <v>#N/A</v>
      </c>
      <c r="J383" t="e">
        <f t="shared" ca="1" si="88"/>
        <v>#N/A</v>
      </c>
      <c r="K383" t="e">
        <f t="shared" ca="1" si="88"/>
        <v>#N/A</v>
      </c>
      <c r="L383" t="e">
        <f t="shared" ref="L383:R392" ca="1" si="89">VLOOKUP($A383,Funnel_Data,L$1,FALSE)</f>
        <v>#N/A</v>
      </c>
      <c r="M383" t="e">
        <f t="shared" ca="1" si="89"/>
        <v>#N/A</v>
      </c>
      <c r="N383" t="e">
        <f t="shared" ca="1" si="89"/>
        <v>#N/A</v>
      </c>
      <c r="O383" t="e">
        <f t="shared" ca="1" si="89"/>
        <v>#N/A</v>
      </c>
      <c r="P383" t="e">
        <f t="shared" ca="1" si="89"/>
        <v>#N/A</v>
      </c>
      <c r="Q383" t="e">
        <f t="shared" ca="1" si="89"/>
        <v>#N/A</v>
      </c>
      <c r="R383" t="e">
        <f t="shared" ca="1" si="89"/>
        <v>#N/A</v>
      </c>
      <c r="S383" t="e">
        <f t="shared" ca="1" si="76"/>
        <v>#N/A</v>
      </c>
      <c r="T383" t="e">
        <f t="shared" ca="1" si="77"/>
        <v>#N/A</v>
      </c>
      <c r="U383" t="e">
        <f ca="1">IF(AND($C383='Funnel setup'!$K$3&amp;'Funnel setup'!$K$5&amp;'Funnel setup'!$K$6&amp;'Funnel setup'!$K$4,'Funnel Lookup'!I383="*"),#N/A,IF(AND($C383='Funnel setup'!$K$3&amp;'Funnel setup'!$K$5&amp;'Funnel setup'!$K$6&amp;'Funnel setup'!$K$4,'Funnel Lookup'!I383&gt;29),'Funnel Lookup'!I383,#N/A))</f>
        <v>#N/A</v>
      </c>
      <c r="V383" t="e">
        <f ca="1">IF(AND($C383='Funnel setup'!$K$3&amp;'Funnel setup'!$K$5&amp;'Funnel setup'!$K$6&amp;'Funnel setup'!$K$4,'Funnel Lookup'!I383="*"),#N/A,IF(AND($C383='Funnel setup'!$K$3&amp;'Funnel setup'!$K$5&amp;'Funnel setup'!$K$6&amp;'Funnel setup'!$K$4,'Funnel Lookup'!I383&gt;29),'Funnel Lookup'!Q383,#N/A))</f>
        <v>#N/A</v>
      </c>
    </row>
    <row r="384" spans="1:22" x14ac:dyDescent="0.2">
      <c r="A384">
        <v>382</v>
      </c>
      <c r="B384" t="e">
        <f t="shared" ca="1" si="88"/>
        <v>#N/A</v>
      </c>
      <c r="C384" t="e">
        <f t="shared" ca="1" si="88"/>
        <v>#N/A</v>
      </c>
      <c r="D384" t="e">
        <f t="shared" ca="1" si="88"/>
        <v>#N/A</v>
      </c>
      <c r="E384" t="e">
        <f t="shared" ca="1" si="88"/>
        <v>#N/A</v>
      </c>
      <c r="F384" t="e">
        <f t="shared" ca="1" si="88"/>
        <v>#N/A</v>
      </c>
      <c r="G384" t="e">
        <f t="shared" ca="1" si="88"/>
        <v>#N/A</v>
      </c>
      <c r="H384" t="e">
        <f t="shared" ca="1" si="88"/>
        <v>#N/A</v>
      </c>
      <c r="I384" t="e">
        <f t="shared" ca="1" si="88"/>
        <v>#N/A</v>
      </c>
      <c r="J384" t="e">
        <f t="shared" ca="1" si="88"/>
        <v>#N/A</v>
      </c>
      <c r="K384" t="e">
        <f t="shared" ca="1" si="88"/>
        <v>#N/A</v>
      </c>
      <c r="L384" t="e">
        <f t="shared" ca="1" si="89"/>
        <v>#N/A</v>
      </c>
      <c r="M384" t="e">
        <f t="shared" ca="1" si="89"/>
        <v>#N/A</v>
      </c>
      <c r="N384" t="e">
        <f t="shared" ca="1" si="89"/>
        <v>#N/A</v>
      </c>
      <c r="O384" t="e">
        <f t="shared" ca="1" si="89"/>
        <v>#N/A</v>
      </c>
      <c r="P384" t="e">
        <f t="shared" ca="1" si="89"/>
        <v>#N/A</v>
      </c>
      <c r="Q384" t="e">
        <f t="shared" ca="1" si="89"/>
        <v>#N/A</v>
      </c>
      <c r="R384" t="e">
        <f t="shared" ca="1" si="89"/>
        <v>#N/A</v>
      </c>
      <c r="S384" t="e">
        <f t="shared" ca="1" si="76"/>
        <v>#N/A</v>
      </c>
      <c r="T384" t="e">
        <f t="shared" ca="1" si="77"/>
        <v>#N/A</v>
      </c>
      <c r="U384" t="e">
        <f ca="1">IF(AND($C384='Funnel setup'!$K$3&amp;'Funnel setup'!$K$5&amp;'Funnel setup'!$K$6&amp;'Funnel setup'!$K$4,'Funnel Lookup'!I384="*"),#N/A,IF(AND($C384='Funnel setup'!$K$3&amp;'Funnel setup'!$K$5&amp;'Funnel setup'!$K$6&amp;'Funnel setup'!$K$4,'Funnel Lookup'!I384&gt;29),'Funnel Lookup'!I384,#N/A))</f>
        <v>#N/A</v>
      </c>
      <c r="V384" t="e">
        <f ca="1">IF(AND($C384='Funnel setup'!$K$3&amp;'Funnel setup'!$K$5&amp;'Funnel setup'!$K$6&amp;'Funnel setup'!$K$4,'Funnel Lookup'!I384="*"),#N/A,IF(AND($C384='Funnel setup'!$K$3&amp;'Funnel setup'!$K$5&amp;'Funnel setup'!$K$6&amp;'Funnel setup'!$K$4,'Funnel Lookup'!I384&gt;29),'Funnel Lookup'!Q384,#N/A))</f>
        <v>#N/A</v>
      </c>
    </row>
    <row r="385" spans="1:22" x14ac:dyDescent="0.2">
      <c r="A385">
        <v>383</v>
      </c>
      <c r="B385" t="e">
        <f t="shared" ca="1" si="88"/>
        <v>#N/A</v>
      </c>
      <c r="C385" t="e">
        <f t="shared" ca="1" si="88"/>
        <v>#N/A</v>
      </c>
      <c r="D385" t="e">
        <f t="shared" ca="1" si="88"/>
        <v>#N/A</v>
      </c>
      <c r="E385" t="e">
        <f t="shared" ca="1" si="88"/>
        <v>#N/A</v>
      </c>
      <c r="F385" t="e">
        <f t="shared" ca="1" si="88"/>
        <v>#N/A</v>
      </c>
      <c r="G385" t="e">
        <f t="shared" ca="1" si="88"/>
        <v>#N/A</v>
      </c>
      <c r="H385" t="e">
        <f t="shared" ca="1" si="88"/>
        <v>#N/A</v>
      </c>
      <c r="I385" t="e">
        <f t="shared" ca="1" si="88"/>
        <v>#N/A</v>
      </c>
      <c r="J385" t="e">
        <f t="shared" ca="1" si="88"/>
        <v>#N/A</v>
      </c>
      <c r="K385" t="e">
        <f t="shared" ca="1" si="88"/>
        <v>#N/A</v>
      </c>
      <c r="L385" t="e">
        <f t="shared" ca="1" si="89"/>
        <v>#N/A</v>
      </c>
      <c r="M385" t="e">
        <f t="shared" ca="1" si="89"/>
        <v>#N/A</v>
      </c>
      <c r="N385" t="e">
        <f t="shared" ca="1" si="89"/>
        <v>#N/A</v>
      </c>
      <c r="O385" t="e">
        <f t="shared" ca="1" si="89"/>
        <v>#N/A</v>
      </c>
      <c r="P385" t="e">
        <f t="shared" ca="1" si="89"/>
        <v>#N/A</v>
      </c>
      <c r="Q385" t="e">
        <f t="shared" ca="1" si="89"/>
        <v>#N/A</v>
      </c>
      <c r="R385" t="e">
        <f t="shared" ca="1" si="89"/>
        <v>#N/A</v>
      </c>
      <c r="S385" t="e">
        <f t="shared" ca="1" si="76"/>
        <v>#N/A</v>
      </c>
      <c r="T385" t="e">
        <f t="shared" ca="1" si="77"/>
        <v>#N/A</v>
      </c>
      <c r="U385" t="e">
        <f ca="1">IF(AND($C385='Funnel setup'!$K$3&amp;'Funnel setup'!$K$5&amp;'Funnel setup'!$K$6&amp;'Funnel setup'!$K$4,'Funnel Lookup'!I385="*"),#N/A,IF(AND($C385='Funnel setup'!$K$3&amp;'Funnel setup'!$K$5&amp;'Funnel setup'!$K$6&amp;'Funnel setup'!$K$4,'Funnel Lookup'!I385&gt;29),'Funnel Lookup'!I385,#N/A))</f>
        <v>#N/A</v>
      </c>
      <c r="V385" t="e">
        <f ca="1">IF(AND($C385='Funnel setup'!$K$3&amp;'Funnel setup'!$K$5&amp;'Funnel setup'!$K$6&amp;'Funnel setup'!$K$4,'Funnel Lookup'!I385="*"),#N/A,IF(AND($C385='Funnel setup'!$K$3&amp;'Funnel setup'!$K$5&amp;'Funnel setup'!$K$6&amp;'Funnel setup'!$K$4,'Funnel Lookup'!I385&gt;29),'Funnel Lookup'!Q385,#N/A))</f>
        <v>#N/A</v>
      </c>
    </row>
    <row r="386" spans="1:22" x14ac:dyDescent="0.2">
      <c r="A386">
        <v>384</v>
      </c>
      <c r="B386" t="e">
        <f t="shared" ca="1" si="88"/>
        <v>#N/A</v>
      </c>
      <c r="C386" t="e">
        <f t="shared" ca="1" si="88"/>
        <v>#N/A</v>
      </c>
      <c r="D386" t="e">
        <f t="shared" ca="1" si="88"/>
        <v>#N/A</v>
      </c>
      <c r="E386" t="e">
        <f t="shared" ca="1" si="88"/>
        <v>#N/A</v>
      </c>
      <c r="F386" t="e">
        <f t="shared" ca="1" si="88"/>
        <v>#N/A</v>
      </c>
      <c r="G386" t="e">
        <f t="shared" ca="1" si="88"/>
        <v>#N/A</v>
      </c>
      <c r="H386" t="e">
        <f t="shared" ca="1" si="88"/>
        <v>#N/A</v>
      </c>
      <c r="I386" t="e">
        <f t="shared" ca="1" si="88"/>
        <v>#N/A</v>
      </c>
      <c r="J386" t="e">
        <f t="shared" ca="1" si="88"/>
        <v>#N/A</v>
      </c>
      <c r="K386" t="e">
        <f t="shared" ca="1" si="88"/>
        <v>#N/A</v>
      </c>
      <c r="L386" t="e">
        <f t="shared" ca="1" si="89"/>
        <v>#N/A</v>
      </c>
      <c r="M386" t="e">
        <f t="shared" ca="1" si="89"/>
        <v>#N/A</v>
      </c>
      <c r="N386" t="e">
        <f t="shared" ca="1" si="89"/>
        <v>#N/A</v>
      </c>
      <c r="O386" t="e">
        <f t="shared" ca="1" si="89"/>
        <v>#N/A</v>
      </c>
      <c r="P386" t="e">
        <f t="shared" ca="1" si="89"/>
        <v>#N/A</v>
      </c>
      <c r="Q386" t="e">
        <f t="shared" ca="1" si="89"/>
        <v>#N/A</v>
      </c>
      <c r="R386" t="e">
        <f t="shared" ca="1" si="89"/>
        <v>#N/A</v>
      </c>
      <c r="S386" t="e">
        <f t="shared" ca="1" si="76"/>
        <v>#N/A</v>
      </c>
      <c r="T386" t="e">
        <f t="shared" ca="1" si="77"/>
        <v>#N/A</v>
      </c>
      <c r="U386" t="e">
        <f ca="1">IF(AND($C386='Funnel setup'!$K$3&amp;'Funnel setup'!$K$5&amp;'Funnel setup'!$K$6&amp;'Funnel setup'!$K$4,'Funnel Lookup'!I386="*"),#N/A,IF(AND($C386='Funnel setup'!$K$3&amp;'Funnel setup'!$K$5&amp;'Funnel setup'!$K$6&amp;'Funnel setup'!$K$4,'Funnel Lookup'!I386&gt;29),'Funnel Lookup'!I386,#N/A))</f>
        <v>#N/A</v>
      </c>
      <c r="V386" t="e">
        <f ca="1">IF(AND($C386='Funnel setup'!$K$3&amp;'Funnel setup'!$K$5&amp;'Funnel setup'!$K$6&amp;'Funnel setup'!$K$4,'Funnel Lookup'!I386="*"),#N/A,IF(AND($C386='Funnel setup'!$K$3&amp;'Funnel setup'!$K$5&amp;'Funnel setup'!$K$6&amp;'Funnel setup'!$K$4,'Funnel Lookup'!I386&gt;29),'Funnel Lookup'!Q386,#N/A))</f>
        <v>#N/A</v>
      </c>
    </row>
    <row r="387" spans="1:22" x14ac:dyDescent="0.2">
      <c r="A387">
        <v>385</v>
      </c>
      <c r="B387" t="e">
        <f t="shared" ca="1" si="88"/>
        <v>#N/A</v>
      </c>
      <c r="C387" t="e">
        <f t="shared" ca="1" si="88"/>
        <v>#N/A</v>
      </c>
      <c r="D387" t="e">
        <f t="shared" ca="1" si="88"/>
        <v>#N/A</v>
      </c>
      <c r="E387" t="e">
        <f t="shared" ca="1" si="88"/>
        <v>#N/A</v>
      </c>
      <c r="F387" t="e">
        <f t="shared" ca="1" si="88"/>
        <v>#N/A</v>
      </c>
      <c r="G387" t="e">
        <f t="shared" ca="1" si="88"/>
        <v>#N/A</v>
      </c>
      <c r="H387" t="e">
        <f t="shared" ca="1" si="88"/>
        <v>#N/A</v>
      </c>
      <c r="I387" t="e">
        <f t="shared" ca="1" si="88"/>
        <v>#N/A</v>
      </c>
      <c r="J387" t="e">
        <f t="shared" ca="1" si="88"/>
        <v>#N/A</v>
      </c>
      <c r="K387" t="e">
        <f t="shared" ca="1" si="88"/>
        <v>#N/A</v>
      </c>
      <c r="L387" t="e">
        <f t="shared" ca="1" si="89"/>
        <v>#N/A</v>
      </c>
      <c r="M387" t="e">
        <f t="shared" ca="1" si="89"/>
        <v>#N/A</v>
      </c>
      <c r="N387" t="e">
        <f t="shared" ca="1" si="89"/>
        <v>#N/A</v>
      </c>
      <c r="O387" t="e">
        <f t="shared" ca="1" si="89"/>
        <v>#N/A</v>
      </c>
      <c r="P387" t="e">
        <f t="shared" ca="1" si="89"/>
        <v>#N/A</v>
      </c>
      <c r="Q387" t="e">
        <f t="shared" ca="1" si="89"/>
        <v>#N/A</v>
      </c>
      <c r="R387" t="e">
        <f t="shared" ca="1" si="89"/>
        <v>#N/A</v>
      </c>
      <c r="S387" t="e">
        <f t="shared" ca="1" si="76"/>
        <v>#N/A</v>
      </c>
      <c r="T387" t="e">
        <f t="shared" ca="1" si="77"/>
        <v>#N/A</v>
      </c>
      <c r="U387" t="e">
        <f ca="1">IF(AND($C387='Funnel setup'!$K$3&amp;'Funnel setup'!$K$5&amp;'Funnel setup'!$K$6&amp;'Funnel setup'!$K$4,'Funnel Lookup'!I387="*"),#N/A,IF(AND($C387='Funnel setup'!$K$3&amp;'Funnel setup'!$K$5&amp;'Funnel setup'!$K$6&amp;'Funnel setup'!$K$4,'Funnel Lookup'!I387&gt;29),'Funnel Lookup'!I387,#N/A))</f>
        <v>#N/A</v>
      </c>
      <c r="V387" t="e">
        <f ca="1">IF(AND($C387='Funnel setup'!$K$3&amp;'Funnel setup'!$K$5&amp;'Funnel setup'!$K$6&amp;'Funnel setup'!$K$4,'Funnel Lookup'!I387="*"),#N/A,IF(AND($C387='Funnel setup'!$K$3&amp;'Funnel setup'!$K$5&amp;'Funnel setup'!$K$6&amp;'Funnel setup'!$K$4,'Funnel Lookup'!I387&gt;29),'Funnel Lookup'!Q387,#N/A))</f>
        <v>#N/A</v>
      </c>
    </row>
    <row r="388" spans="1:22" x14ac:dyDescent="0.2">
      <c r="A388">
        <v>386</v>
      </c>
      <c r="B388" t="e">
        <f t="shared" ca="1" si="88"/>
        <v>#N/A</v>
      </c>
      <c r="C388" t="e">
        <f t="shared" ca="1" si="88"/>
        <v>#N/A</v>
      </c>
      <c r="D388" t="e">
        <f t="shared" ca="1" si="88"/>
        <v>#N/A</v>
      </c>
      <c r="E388" t="e">
        <f t="shared" ca="1" si="88"/>
        <v>#N/A</v>
      </c>
      <c r="F388" t="e">
        <f t="shared" ca="1" si="88"/>
        <v>#N/A</v>
      </c>
      <c r="G388" t="e">
        <f t="shared" ca="1" si="88"/>
        <v>#N/A</v>
      </c>
      <c r="H388" t="e">
        <f t="shared" ca="1" si="88"/>
        <v>#N/A</v>
      </c>
      <c r="I388" t="e">
        <f t="shared" ca="1" si="88"/>
        <v>#N/A</v>
      </c>
      <c r="J388" t="e">
        <f t="shared" ca="1" si="88"/>
        <v>#N/A</v>
      </c>
      <c r="K388" t="e">
        <f t="shared" ca="1" si="88"/>
        <v>#N/A</v>
      </c>
      <c r="L388" t="e">
        <f t="shared" ca="1" si="89"/>
        <v>#N/A</v>
      </c>
      <c r="M388" t="e">
        <f t="shared" ca="1" si="89"/>
        <v>#N/A</v>
      </c>
      <c r="N388" t="e">
        <f t="shared" ca="1" si="89"/>
        <v>#N/A</v>
      </c>
      <c r="O388" t="e">
        <f t="shared" ca="1" si="89"/>
        <v>#N/A</v>
      </c>
      <c r="P388" t="e">
        <f t="shared" ca="1" si="89"/>
        <v>#N/A</v>
      </c>
      <c r="Q388" t="e">
        <f t="shared" ca="1" si="89"/>
        <v>#N/A</v>
      </c>
      <c r="R388" t="e">
        <f t="shared" ca="1" si="89"/>
        <v>#N/A</v>
      </c>
      <c r="S388" t="e">
        <f t="shared" ref="S388:S402" ca="1" si="90">IF($Q388="*",#N/A,I388)</f>
        <v>#N/A</v>
      </c>
      <c r="T388" t="e">
        <f t="shared" ref="T388:T402" ca="1" si="91">IF($Q388="*",#N/A,Q388)</f>
        <v>#N/A</v>
      </c>
      <c r="U388" t="e">
        <f ca="1">IF(AND($C388='Funnel setup'!$K$3&amp;'Funnel setup'!$K$5&amp;'Funnel setup'!$K$6&amp;'Funnel setup'!$K$4,'Funnel Lookup'!I388="*"),#N/A,IF(AND($C388='Funnel setup'!$K$3&amp;'Funnel setup'!$K$5&amp;'Funnel setup'!$K$6&amp;'Funnel setup'!$K$4,'Funnel Lookup'!I388&gt;29),'Funnel Lookup'!I388,#N/A))</f>
        <v>#N/A</v>
      </c>
      <c r="V388" t="e">
        <f ca="1">IF(AND($C388='Funnel setup'!$K$3&amp;'Funnel setup'!$K$5&amp;'Funnel setup'!$K$6&amp;'Funnel setup'!$K$4,'Funnel Lookup'!I388="*"),#N/A,IF(AND($C388='Funnel setup'!$K$3&amp;'Funnel setup'!$K$5&amp;'Funnel setup'!$K$6&amp;'Funnel setup'!$K$4,'Funnel Lookup'!I388&gt;29),'Funnel Lookup'!Q388,#N/A))</f>
        <v>#N/A</v>
      </c>
    </row>
    <row r="389" spans="1:22" x14ac:dyDescent="0.2">
      <c r="A389">
        <v>387</v>
      </c>
      <c r="B389" t="e">
        <f t="shared" ca="1" si="88"/>
        <v>#N/A</v>
      </c>
      <c r="C389" t="e">
        <f t="shared" ca="1" si="88"/>
        <v>#N/A</v>
      </c>
      <c r="D389" t="e">
        <f t="shared" ca="1" si="88"/>
        <v>#N/A</v>
      </c>
      <c r="E389" t="e">
        <f t="shared" ca="1" si="88"/>
        <v>#N/A</v>
      </c>
      <c r="F389" t="e">
        <f t="shared" ca="1" si="88"/>
        <v>#N/A</v>
      </c>
      <c r="G389" t="e">
        <f t="shared" ca="1" si="88"/>
        <v>#N/A</v>
      </c>
      <c r="H389" t="e">
        <f t="shared" ca="1" si="88"/>
        <v>#N/A</v>
      </c>
      <c r="I389" t="e">
        <f t="shared" ca="1" si="88"/>
        <v>#N/A</v>
      </c>
      <c r="J389" t="e">
        <f t="shared" ca="1" si="88"/>
        <v>#N/A</v>
      </c>
      <c r="K389" t="e">
        <f t="shared" ca="1" si="88"/>
        <v>#N/A</v>
      </c>
      <c r="L389" t="e">
        <f t="shared" ca="1" si="89"/>
        <v>#N/A</v>
      </c>
      <c r="M389" t="e">
        <f t="shared" ca="1" si="89"/>
        <v>#N/A</v>
      </c>
      <c r="N389" t="e">
        <f t="shared" ca="1" si="89"/>
        <v>#N/A</v>
      </c>
      <c r="O389" t="e">
        <f t="shared" ca="1" si="89"/>
        <v>#N/A</v>
      </c>
      <c r="P389" t="e">
        <f t="shared" ca="1" si="89"/>
        <v>#N/A</v>
      </c>
      <c r="Q389" t="e">
        <f t="shared" ca="1" si="89"/>
        <v>#N/A</v>
      </c>
      <c r="R389" t="e">
        <f t="shared" ca="1" si="89"/>
        <v>#N/A</v>
      </c>
      <c r="S389" t="e">
        <f t="shared" ca="1" si="90"/>
        <v>#N/A</v>
      </c>
      <c r="T389" t="e">
        <f t="shared" ca="1" si="91"/>
        <v>#N/A</v>
      </c>
      <c r="U389" t="e">
        <f ca="1">IF(AND($C389='Funnel setup'!$K$3&amp;'Funnel setup'!$K$5&amp;'Funnel setup'!$K$6&amp;'Funnel setup'!$K$4,'Funnel Lookup'!I389="*"),#N/A,IF(AND($C389='Funnel setup'!$K$3&amp;'Funnel setup'!$K$5&amp;'Funnel setup'!$K$6&amp;'Funnel setup'!$K$4,'Funnel Lookup'!I389&gt;29),'Funnel Lookup'!I389,#N/A))</f>
        <v>#N/A</v>
      </c>
      <c r="V389" t="e">
        <f ca="1">IF(AND($C389='Funnel setup'!$K$3&amp;'Funnel setup'!$K$5&amp;'Funnel setup'!$K$6&amp;'Funnel setup'!$K$4,'Funnel Lookup'!I389="*"),#N/A,IF(AND($C389='Funnel setup'!$K$3&amp;'Funnel setup'!$K$5&amp;'Funnel setup'!$K$6&amp;'Funnel setup'!$K$4,'Funnel Lookup'!I389&gt;29),'Funnel Lookup'!Q389,#N/A))</f>
        <v>#N/A</v>
      </c>
    </row>
    <row r="390" spans="1:22" x14ac:dyDescent="0.2">
      <c r="A390">
        <v>388</v>
      </c>
      <c r="B390" t="e">
        <f t="shared" ca="1" si="88"/>
        <v>#N/A</v>
      </c>
      <c r="C390" t="e">
        <f t="shared" ca="1" si="88"/>
        <v>#N/A</v>
      </c>
      <c r="D390" t="e">
        <f t="shared" ca="1" si="88"/>
        <v>#N/A</v>
      </c>
      <c r="E390" t="e">
        <f t="shared" ca="1" si="88"/>
        <v>#N/A</v>
      </c>
      <c r="F390" t="e">
        <f t="shared" ca="1" si="88"/>
        <v>#N/A</v>
      </c>
      <c r="G390" t="e">
        <f t="shared" ca="1" si="88"/>
        <v>#N/A</v>
      </c>
      <c r="H390" t="e">
        <f t="shared" ca="1" si="88"/>
        <v>#N/A</v>
      </c>
      <c r="I390" t="e">
        <f t="shared" ca="1" si="88"/>
        <v>#N/A</v>
      </c>
      <c r="J390" t="e">
        <f t="shared" ca="1" si="88"/>
        <v>#N/A</v>
      </c>
      <c r="K390" t="e">
        <f t="shared" ca="1" si="88"/>
        <v>#N/A</v>
      </c>
      <c r="L390" t="e">
        <f t="shared" ca="1" si="89"/>
        <v>#N/A</v>
      </c>
      <c r="M390" t="e">
        <f t="shared" ca="1" si="89"/>
        <v>#N/A</v>
      </c>
      <c r="N390" t="e">
        <f t="shared" ca="1" si="89"/>
        <v>#N/A</v>
      </c>
      <c r="O390" t="e">
        <f t="shared" ca="1" si="89"/>
        <v>#N/A</v>
      </c>
      <c r="P390" t="e">
        <f t="shared" ca="1" si="89"/>
        <v>#N/A</v>
      </c>
      <c r="Q390" t="e">
        <f t="shared" ca="1" si="89"/>
        <v>#N/A</v>
      </c>
      <c r="R390" t="e">
        <f t="shared" ca="1" si="89"/>
        <v>#N/A</v>
      </c>
      <c r="S390" t="e">
        <f t="shared" ca="1" si="90"/>
        <v>#N/A</v>
      </c>
      <c r="T390" t="e">
        <f t="shared" ca="1" si="91"/>
        <v>#N/A</v>
      </c>
      <c r="U390" t="e">
        <f ca="1">IF(AND($C390='Funnel setup'!$K$3&amp;'Funnel setup'!$K$5&amp;'Funnel setup'!$K$6&amp;'Funnel setup'!$K$4,'Funnel Lookup'!I390="*"),#N/A,IF(AND($C390='Funnel setup'!$K$3&amp;'Funnel setup'!$K$5&amp;'Funnel setup'!$K$6&amp;'Funnel setup'!$K$4,'Funnel Lookup'!I390&gt;29),'Funnel Lookup'!I390,#N/A))</f>
        <v>#N/A</v>
      </c>
      <c r="V390" t="e">
        <f ca="1">IF(AND($C390='Funnel setup'!$K$3&amp;'Funnel setup'!$K$5&amp;'Funnel setup'!$K$6&amp;'Funnel setup'!$K$4,'Funnel Lookup'!I390="*"),#N/A,IF(AND($C390='Funnel setup'!$K$3&amp;'Funnel setup'!$K$5&amp;'Funnel setup'!$K$6&amp;'Funnel setup'!$K$4,'Funnel Lookup'!I390&gt;29),'Funnel Lookup'!Q390,#N/A))</f>
        <v>#N/A</v>
      </c>
    </row>
    <row r="391" spans="1:22" x14ac:dyDescent="0.2">
      <c r="A391">
        <v>389</v>
      </c>
      <c r="B391" t="e">
        <f t="shared" ca="1" si="88"/>
        <v>#N/A</v>
      </c>
      <c r="C391" t="e">
        <f t="shared" ca="1" si="88"/>
        <v>#N/A</v>
      </c>
      <c r="D391" t="e">
        <f t="shared" ca="1" si="88"/>
        <v>#N/A</v>
      </c>
      <c r="E391" t="e">
        <f t="shared" ca="1" si="88"/>
        <v>#N/A</v>
      </c>
      <c r="F391" t="e">
        <f t="shared" ca="1" si="88"/>
        <v>#N/A</v>
      </c>
      <c r="G391" t="e">
        <f t="shared" ca="1" si="88"/>
        <v>#N/A</v>
      </c>
      <c r="H391" t="e">
        <f t="shared" ca="1" si="88"/>
        <v>#N/A</v>
      </c>
      <c r="I391" t="e">
        <f t="shared" ca="1" si="88"/>
        <v>#N/A</v>
      </c>
      <c r="J391" t="e">
        <f t="shared" ca="1" si="88"/>
        <v>#N/A</v>
      </c>
      <c r="K391" t="e">
        <f t="shared" ca="1" si="88"/>
        <v>#N/A</v>
      </c>
      <c r="L391" t="e">
        <f t="shared" ca="1" si="89"/>
        <v>#N/A</v>
      </c>
      <c r="M391" t="e">
        <f t="shared" ca="1" si="89"/>
        <v>#N/A</v>
      </c>
      <c r="N391" t="e">
        <f t="shared" ca="1" si="89"/>
        <v>#N/A</v>
      </c>
      <c r="O391" t="e">
        <f t="shared" ca="1" si="89"/>
        <v>#N/A</v>
      </c>
      <c r="P391" t="e">
        <f t="shared" ca="1" si="89"/>
        <v>#N/A</v>
      </c>
      <c r="Q391" t="e">
        <f t="shared" ca="1" si="89"/>
        <v>#N/A</v>
      </c>
      <c r="R391" t="e">
        <f t="shared" ca="1" si="89"/>
        <v>#N/A</v>
      </c>
      <c r="S391" t="e">
        <f t="shared" ca="1" si="90"/>
        <v>#N/A</v>
      </c>
      <c r="T391" t="e">
        <f t="shared" ca="1" si="91"/>
        <v>#N/A</v>
      </c>
      <c r="U391" t="e">
        <f ca="1">IF(AND($C391='Funnel setup'!$K$3&amp;'Funnel setup'!$K$5&amp;'Funnel setup'!$K$6&amp;'Funnel setup'!$K$4,'Funnel Lookup'!I391="*"),#N/A,IF(AND($C391='Funnel setup'!$K$3&amp;'Funnel setup'!$K$5&amp;'Funnel setup'!$K$6&amp;'Funnel setup'!$K$4,'Funnel Lookup'!I391&gt;29),'Funnel Lookup'!I391,#N/A))</f>
        <v>#N/A</v>
      </c>
      <c r="V391" t="e">
        <f ca="1">IF(AND($C391='Funnel setup'!$K$3&amp;'Funnel setup'!$K$5&amp;'Funnel setup'!$K$6&amp;'Funnel setup'!$K$4,'Funnel Lookup'!I391="*"),#N/A,IF(AND($C391='Funnel setup'!$K$3&amp;'Funnel setup'!$K$5&amp;'Funnel setup'!$K$6&amp;'Funnel setup'!$K$4,'Funnel Lookup'!I391&gt;29),'Funnel Lookup'!Q391,#N/A))</f>
        <v>#N/A</v>
      </c>
    </row>
    <row r="392" spans="1:22" x14ac:dyDescent="0.2">
      <c r="A392">
        <v>390</v>
      </c>
      <c r="B392" t="e">
        <f t="shared" ca="1" si="88"/>
        <v>#N/A</v>
      </c>
      <c r="C392" t="e">
        <f t="shared" ca="1" si="88"/>
        <v>#N/A</v>
      </c>
      <c r="D392" t="e">
        <f t="shared" ca="1" si="88"/>
        <v>#N/A</v>
      </c>
      <c r="E392" t="e">
        <f t="shared" ca="1" si="88"/>
        <v>#N/A</v>
      </c>
      <c r="F392" t="e">
        <f t="shared" ca="1" si="88"/>
        <v>#N/A</v>
      </c>
      <c r="G392" t="e">
        <f t="shared" ca="1" si="88"/>
        <v>#N/A</v>
      </c>
      <c r="H392" t="e">
        <f t="shared" ca="1" si="88"/>
        <v>#N/A</v>
      </c>
      <c r="I392" t="e">
        <f t="shared" ca="1" si="88"/>
        <v>#N/A</v>
      </c>
      <c r="J392" t="e">
        <f t="shared" ca="1" si="88"/>
        <v>#N/A</v>
      </c>
      <c r="K392" t="e">
        <f t="shared" ca="1" si="88"/>
        <v>#N/A</v>
      </c>
      <c r="L392" t="e">
        <f t="shared" ca="1" si="89"/>
        <v>#N/A</v>
      </c>
      <c r="M392" t="e">
        <f t="shared" ca="1" si="89"/>
        <v>#N/A</v>
      </c>
      <c r="N392" t="e">
        <f t="shared" ca="1" si="89"/>
        <v>#N/A</v>
      </c>
      <c r="O392" t="e">
        <f t="shared" ca="1" si="89"/>
        <v>#N/A</v>
      </c>
      <c r="P392" t="e">
        <f t="shared" ca="1" si="89"/>
        <v>#N/A</v>
      </c>
      <c r="Q392" t="e">
        <f t="shared" ca="1" si="89"/>
        <v>#N/A</v>
      </c>
      <c r="R392" t="e">
        <f t="shared" ca="1" si="89"/>
        <v>#N/A</v>
      </c>
      <c r="S392" t="e">
        <f t="shared" ca="1" si="90"/>
        <v>#N/A</v>
      </c>
      <c r="T392" t="e">
        <f t="shared" ca="1" si="91"/>
        <v>#N/A</v>
      </c>
      <c r="U392" t="e">
        <f ca="1">IF(AND($C392='Funnel setup'!$K$3&amp;'Funnel setup'!$K$5&amp;'Funnel setup'!$K$6&amp;'Funnel setup'!$K$4,'Funnel Lookup'!I392="*"),#N/A,IF(AND($C392='Funnel setup'!$K$3&amp;'Funnel setup'!$K$5&amp;'Funnel setup'!$K$6&amp;'Funnel setup'!$K$4,'Funnel Lookup'!I392&gt;29),'Funnel Lookup'!I392,#N/A))</f>
        <v>#N/A</v>
      </c>
      <c r="V392" t="e">
        <f ca="1">IF(AND($C392='Funnel setup'!$K$3&amp;'Funnel setup'!$K$5&amp;'Funnel setup'!$K$6&amp;'Funnel setup'!$K$4,'Funnel Lookup'!I392="*"),#N/A,IF(AND($C392='Funnel setup'!$K$3&amp;'Funnel setup'!$K$5&amp;'Funnel setup'!$K$6&amp;'Funnel setup'!$K$4,'Funnel Lookup'!I392&gt;29),'Funnel Lookup'!Q392,#N/A))</f>
        <v>#N/A</v>
      </c>
    </row>
    <row r="393" spans="1:22" x14ac:dyDescent="0.2">
      <c r="A393">
        <v>391</v>
      </c>
      <c r="B393" t="e">
        <f t="shared" ref="B393:K402" ca="1" si="92">VLOOKUP($A393,Funnel_Data,B$1,FALSE)</f>
        <v>#N/A</v>
      </c>
      <c r="C393" t="e">
        <f t="shared" ca="1" si="92"/>
        <v>#N/A</v>
      </c>
      <c r="D393" t="e">
        <f t="shared" ca="1" si="92"/>
        <v>#N/A</v>
      </c>
      <c r="E393" t="e">
        <f t="shared" ca="1" si="92"/>
        <v>#N/A</v>
      </c>
      <c r="F393" t="e">
        <f t="shared" ca="1" si="92"/>
        <v>#N/A</v>
      </c>
      <c r="G393" t="e">
        <f t="shared" ca="1" si="92"/>
        <v>#N/A</v>
      </c>
      <c r="H393" t="e">
        <f t="shared" ca="1" si="92"/>
        <v>#N/A</v>
      </c>
      <c r="I393" t="e">
        <f t="shared" ca="1" si="92"/>
        <v>#N/A</v>
      </c>
      <c r="J393" t="e">
        <f t="shared" ca="1" si="92"/>
        <v>#N/A</v>
      </c>
      <c r="K393" t="e">
        <f t="shared" ca="1" si="92"/>
        <v>#N/A</v>
      </c>
      <c r="L393" t="e">
        <f t="shared" ref="L393:R402" ca="1" si="93">VLOOKUP($A393,Funnel_Data,L$1,FALSE)</f>
        <v>#N/A</v>
      </c>
      <c r="M393" t="e">
        <f t="shared" ca="1" si="93"/>
        <v>#N/A</v>
      </c>
      <c r="N393" t="e">
        <f t="shared" ca="1" si="93"/>
        <v>#N/A</v>
      </c>
      <c r="O393" t="e">
        <f t="shared" ca="1" si="93"/>
        <v>#N/A</v>
      </c>
      <c r="P393" t="e">
        <f t="shared" ca="1" si="93"/>
        <v>#N/A</v>
      </c>
      <c r="Q393" t="e">
        <f t="shared" ca="1" si="93"/>
        <v>#N/A</v>
      </c>
      <c r="R393" t="e">
        <f t="shared" ca="1" si="93"/>
        <v>#N/A</v>
      </c>
      <c r="S393" t="e">
        <f t="shared" ca="1" si="90"/>
        <v>#N/A</v>
      </c>
      <c r="T393" t="e">
        <f t="shared" ca="1" si="91"/>
        <v>#N/A</v>
      </c>
      <c r="U393" t="e">
        <f ca="1">IF(AND($C393='Funnel setup'!$K$3&amp;'Funnel setup'!$K$5&amp;'Funnel setup'!$K$6&amp;'Funnel setup'!$K$4,'Funnel Lookup'!I393="*"),#N/A,IF(AND($C393='Funnel setup'!$K$3&amp;'Funnel setup'!$K$5&amp;'Funnel setup'!$K$6&amp;'Funnel setup'!$K$4,'Funnel Lookup'!I393&gt;29),'Funnel Lookup'!I393,#N/A))</f>
        <v>#N/A</v>
      </c>
      <c r="V393" t="e">
        <f ca="1">IF(AND($C393='Funnel setup'!$K$3&amp;'Funnel setup'!$K$5&amp;'Funnel setup'!$K$6&amp;'Funnel setup'!$K$4,'Funnel Lookup'!I393="*"),#N/A,IF(AND($C393='Funnel setup'!$K$3&amp;'Funnel setup'!$K$5&amp;'Funnel setup'!$K$6&amp;'Funnel setup'!$K$4,'Funnel Lookup'!I393&gt;29),'Funnel Lookup'!Q393,#N/A))</f>
        <v>#N/A</v>
      </c>
    </row>
    <row r="394" spans="1:22" x14ac:dyDescent="0.2">
      <c r="A394">
        <v>392</v>
      </c>
      <c r="B394" t="e">
        <f t="shared" ca="1" si="92"/>
        <v>#N/A</v>
      </c>
      <c r="C394" t="e">
        <f t="shared" ca="1" si="92"/>
        <v>#N/A</v>
      </c>
      <c r="D394" t="e">
        <f t="shared" ca="1" si="92"/>
        <v>#N/A</v>
      </c>
      <c r="E394" t="e">
        <f t="shared" ca="1" si="92"/>
        <v>#N/A</v>
      </c>
      <c r="F394" t="e">
        <f t="shared" ca="1" si="92"/>
        <v>#N/A</v>
      </c>
      <c r="G394" t="e">
        <f t="shared" ca="1" si="92"/>
        <v>#N/A</v>
      </c>
      <c r="H394" t="e">
        <f t="shared" ca="1" si="92"/>
        <v>#N/A</v>
      </c>
      <c r="I394" t="e">
        <f t="shared" ca="1" si="92"/>
        <v>#N/A</v>
      </c>
      <c r="J394" t="e">
        <f t="shared" ca="1" si="92"/>
        <v>#N/A</v>
      </c>
      <c r="K394" t="e">
        <f t="shared" ca="1" si="92"/>
        <v>#N/A</v>
      </c>
      <c r="L394" t="e">
        <f t="shared" ca="1" si="93"/>
        <v>#N/A</v>
      </c>
      <c r="M394" t="e">
        <f t="shared" ca="1" si="93"/>
        <v>#N/A</v>
      </c>
      <c r="N394" t="e">
        <f t="shared" ca="1" si="93"/>
        <v>#N/A</v>
      </c>
      <c r="O394" t="e">
        <f t="shared" ca="1" si="93"/>
        <v>#N/A</v>
      </c>
      <c r="P394" t="e">
        <f t="shared" ca="1" si="93"/>
        <v>#N/A</v>
      </c>
      <c r="Q394" t="e">
        <f t="shared" ca="1" si="93"/>
        <v>#N/A</v>
      </c>
      <c r="R394" t="e">
        <f t="shared" ca="1" si="93"/>
        <v>#N/A</v>
      </c>
      <c r="S394" t="e">
        <f t="shared" ca="1" si="90"/>
        <v>#N/A</v>
      </c>
      <c r="T394" t="e">
        <f t="shared" ca="1" si="91"/>
        <v>#N/A</v>
      </c>
      <c r="U394" t="e">
        <f ca="1">IF(AND($C394='Funnel setup'!$K$3&amp;'Funnel setup'!$K$5&amp;'Funnel setup'!$K$6&amp;'Funnel setup'!$K$4,'Funnel Lookup'!I394="*"),#N/A,IF(AND($C394='Funnel setup'!$K$3&amp;'Funnel setup'!$K$5&amp;'Funnel setup'!$K$6&amp;'Funnel setup'!$K$4,'Funnel Lookup'!I394&gt;29),'Funnel Lookup'!I394,#N/A))</f>
        <v>#N/A</v>
      </c>
      <c r="V394" t="e">
        <f ca="1">IF(AND($C394='Funnel setup'!$K$3&amp;'Funnel setup'!$K$5&amp;'Funnel setup'!$K$6&amp;'Funnel setup'!$K$4,'Funnel Lookup'!I394="*"),#N/A,IF(AND($C394='Funnel setup'!$K$3&amp;'Funnel setup'!$K$5&amp;'Funnel setup'!$K$6&amp;'Funnel setup'!$K$4,'Funnel Lookup'!I394&gt;29),'Funnel Lookup'!Q394,#N/A))</f>
        <v>#N/A</v>
      </c>
    </row>
    <row r="395" spans="1:22" x14ac:dyDescent="0.2">
      <c r="A395">
        <v>393</v>
      </c>
      <c r="B395" t="e">
        <f t="shared" ca="1" si="92"/>
        <v>#N/A</v>
      </c>
      <c r="C395" t="e">
        <f t="shared" ca="1" si="92"/>
        <v>#N/A</v>
      </c>
      <c r="D395" t="e">
        <f t="shared" ca="1" si="92"/>
        <v>#N/A</v>
      </c>
      <c r="E395" t="e">
        <f t="shared" ca="1" si="92"/>
        <v>#N/A</v>
      </c>
      <c r="F395" t="e">
        <f t="shared" ca="1" si="92"/>
        <v>#N/A</v>
      </c>
      <c r="G395" t="e">
        <f t="shared" ca="1" si="92"/>
        <v>#N/A</v>
      </c>
      <c r="H395" t="e">
        <f t="shared" ca="1" si="92"/>
        <v>#N/A</v>
      </c>
      <c r="I395" t="e">
        <f t="shared" ca="1" si="92"/>
        <v>#N/A</v>
      </c>
      <c r="J395" t="e">
        <f t="shared" ca="1" si="92"/>
        <v>#N/A</v>
      </c>
      <c r="K395" t="e">
        <f t="shared" ca="1" si="92"/>
        <v>#N/A</v>
      </c>
      <c r="L395" t="e">
        <f t="shared" ca="1" si="93"/>
        <v>#N/A</v>
      </c>
      <c r="M395" t="e">
        <f t="shared" ca="1" si="93"/>
        <v>#N/A</v>
      </c>
      <c r="N395" t="e">
        <f t="shared" ca="1" si="93"/>
        <v>#N/A</v>
      </c>
      <c r="O395" t="e">
        <f t="shared" ca="1" si="93"/>
        <v>#N/A</v>
      </c>
      <c r="P395" t="e">
        <f t="shared" ca="1" si="93"/>
        <v>#N/A</v>
      </c>
      <c r="Q395" t="e">
        <f t="shared" ca="1" si="93"/>
        <v>#N/A</v>
      </c>
      <c r="R395" t="e">
        <f t="shared" ca="1" si="93"/>
        <v>#N/A</v>
      </c>
      <c r="S395" t="e">
        <f t="shared" ca="1" si="90"/>
        <v>#N/A</v>
      </c>
      <c r="T395" t="e">
        <f t="shared" ca="1" si="91"/>
        <v>#N/A</v>
      </c>
      <c r="U395" t="e">
        <f ca="1">IF(AND($C395='Funnel setup'!$K$3&amp;'Funnel setup'!$K$5&amp;'Funnel setup'!$K$6&amp;'Funnel setup'!$K$4,'Funnel Lookup'!I395="*"),#N/A,IF(AND($C395='Funnel setup'!$K$3&amp;'Funnel setup'!$K$5&amp;'Funnel setup'!$K$6&amp;'Funnel setup'!$K$4,'Funnel Lookup'!I395&gt;29),'Funnel Lookup'!I395,#N/A))</f>
        <v>#N/A</v>
      </c>
      <c r="V395" t="e">
        <f ca="1">IF(AND($C395='Funnel setup'!$K$3&amp;'Funnel setup'!$K$5&amp;'Funnel setup'!$K$6&amp;'Funnel setup'!$K$4,'Funnel Lookup'!I395="*"),#N/A,IF(AND($C395='Funnel setup'!$K$3&amp;'Funnel setup'!$K$5&amp;'Funnel setup'!$K$6&amp;'Funnel setup'!$K$4,'Funnel Lookup'!I395&gt;29),'Funnel Lookup'!Q395,#N/A))</f>
        <v>#N/A</v>
      </c>
    </row>
    <row r="396" spans="1:22" x14ac:dyDescent="0.2">
      <c r="A396">
        <v>394</v>
      </c>
      <c r="B396" t="e">
        <f t="shared" ca="1" si="92"/>
        <v>#N/A</v>
      </c>
      <c r="C396" t="e">
        <f t="shared" ca="1" si="92"/>
        <v>#N/A</v>
      </c>
      <c r="D396" t="e">
        <f t="shared" ca="1" si="92"/>
        <v>#N/A</v>
      </c>
      <c r="E396" t="e">
        <f t="shared" ca="1" si="92"/>
        <v>#N/A</v>
      </c>
      <c r="F396" t="e">
        <f t="shared" ca="1" si="92"/>
        <v>#N/A</v>
      </c>
      <c r="G396" t="e">
        <f t="shared" ca="1" si="92"/>
        <v>#N/A</v>
      </c>
      <c r="H396" t="e">
        <f t="shared" ca="1" si="92"/>
        <v>#N/A</v>
      </c>
      <c r="I396" t="e">
        <f t="shared" ca="1" si="92"/>
        <v>#N/A</v>
      </c>
      <c r="J396" t="e">
        <f t="shared" ca="1" si="92"/>
        <v>#N/A</v>
      </c>
      <c r="K396" t="e">
        <f t="shared" ca="1" si="92"/>
        <v>#N/A</v>
      </c>
      <c r="L396" t="e">
        <f t="shared" ca="1" si="93"/>
        <v>#N/A</v>
      </c>
      <c r="M396" t="e">
        <f t="shared" ca="1" si="93"/>
        <v>#N/A</v>
      </c>
      <c r="N396" t="e">
        <f t="shared" ca="1" si="93"/>
        <v>#N/A</v>
      </c>
      <c r="O396" t="e">
        <f t="shared" ca="1" si="93"/>
        <v>#N/A</v>
      </c>
      <c r="P396" t="e">
        <f t="shared" ca="1" si="93"/>
        <v>#N/A</v>
      </c>
      <c r="Q396" t="e">
        <f t="shared" ca="1" si="93"/>
        <v>#N/A</v>
      </c>
      <c r="R396" t="e">
        <f t="shared" ca="1" si="93"/>
        <v>#N/A</v>
      </c>
      <c r="S396" t="e">
        <f t="shared" ca="1" si="90"/>
        <v>#N/A</v>
      </c>
      <c r="T396" t="e">
        <f t="shared" ca="1" si="91"/>
        <v>#N/A</v>
      </c>
      <c r="U396" t="e">
        <f ca="1">IF(AND($C396='Funnel setup'!$K$3&amp;'Funnel setup'!$K$5&amp;'Funnel setup'!$K$6&amp;'Funnel setup'!$K$4,'Funnel Lookup'!I396="*"),#N/A,IF(AND($C396='Funnel setup'!$K$3&amp;'Funnel setup'!$K$5&amp;'Funnel setup'!$K$6&amp;'Funnel setup'!$K$4,'Funnel Lookup'!I396&gt;29),'Funnel Lookup'!I396,#N/A))</f>
        <v>#N/A</v>
      </c>
      <c r="V396" t="e">
        <f ca="1">IF(AND($C396='Funnel setup'!$K$3&amp;'Funnel setup'!$K$5&amp;'Funnel setup'!$K$6&amp;'Funnel setup'!$K$4,'Funnel Lookup'!I396="*"),#N/A,IF(AND($C396='Funnel setup'!$K$3&amp;'Funnel setup'!$K$5&amp;'Funnel setup'!$K$6&amp;'Funnel setup'!$K$4,'Funnel Lookup'!I396&gt;29),'Funnel Lookup'!Q396,#N/A))</f>
        <v>#N/A</v>
      </c>
    </row>
    <row r="397" spans="1:22" x14ac:dyDescent="0.2">
      <c r="A397">
        <v>395</v>
      </c>
      <c r="B397" t="e">
        <f t="shared" ca="1" si="92"/>
        <v>#N/A</v>
      </c>
      <c r="C397" t="e">
        <f t="shared" ca="1" si="92"/>
        <v>#N/A</v>
      </c>
      <c r="D397" t="e">
        <f t="shared" ca="1" si="92"/>
        <v>#N/A</v>
      </c>
      <c r="E397" t="e">
        <f t="shared" ca="1" si="92"/>
        <v>#N/A</v>
      </c>
      <c r="F397" t="e">
        <f t="shared" ca="1" si="92"/>
        <v>#N/A</v>
      </c>
      <c r="G397" t="e">
        <f t="shared" ca="1" si="92"/>
        <v>#N/A</v>
      </c>
      <c r="H397" t="e">
        <f t="shared" ca="1" si="92"/>
        <v>#N/A</v>
      </c>
      <c r="I397" t="e">
        <f t="shared" ca="1" si="92"/>
        <v>#N/A</v>
      </c>
      <c r="J397" t="e">
        <f t="shared" ca="1" si="92"/>
        <v>#N/A</v>
      </c>
      <c r="K397" t="e">
        <f t="shared" ca="1" si="92"/>
        <v>#N/A</v>
      </c>
      <c r="L397" t="e">
        <f t="shared" ca="1" si="93"/>
        <v>#N/A</v>
      </c>
      <c r="M397" t="e">
        <f t="shared" ca="1" si="93"/>
        <v>#N/A</v>
      </c>
      <c r="N397" t="e">
        <f t="shared" ca="1" si="93"/>
        <v>#N/A</v>
      </c>
      <c r="O397" t="e">
        <f t="shared" ca="1" si="93"/>
        <v>#N/A</v>
      </c>
      <c r="P397" t="e">
        <f t="shared" ca="1" si="93"/>
        <v>#N/A</v>
      </c>
      <c r="Q397" t="e">
        <f t="shared" ca="1" si="93"/>
        <v>#N/A</v>
      </c>
      <c r="R397" t="e">
        <f t="shared" ca="1" si="93"/>
        <v>#N/A</v>
      </c>
      <c r="S397" t="e">
        <f t="shared" ca="1" si="90"/>
        <v>#N/A</v>
      </c>
      <c r="T397" t="e">
        <f t="shared" ca="1" si="91"/>
        <v>#N/A</v>
      </c>
      <c r="U397" t="e">
        <f ca="1">IF(AND($C397='Funnel setup'!$K$3&amp;'Funnel setup'!$K$5&amp;'Funnel setup'!$K$6&amp;'Funnel setup'!$K$4,'Funnel Lookup'!I397="*"),#N/A,IF(AND($C397='Funnel setup'!$K$3&amp;'Funnel setup'!$K$5&amp;'Funnel setup'!$K$6&amp;'Funnel setup'!$K$4,'Funnel Lookup'!I397&gt;29),'Funnel Lookup'!I397,#N/A))</f>
        <v>#N/A</v>
      </c>
      <c r="V397" t="e">
        <f ca="1">IF(AND($C397='Funnel setup'!$K$3&amp;'Funnel setup'!$K$5&amp;'Funnel setup'!$K$6&amp;'Funnel setup'!$K$4,'Funnel Lookup'!I397="*"),#N/A,IF(AND($C397='Funnel setup'!$K$3&amp;'Funnel setup'!$K$5&amp;'Funnel setup'!$K$6&amp;'Funnel setup'!$K$4,'Funnel Lookup'!I397&gt;29),'Funnel Lookup'!Q397,#N/A))</f>
        <v>#N/A</v>
      </c>
    </row>
    <row r="398" spans="1:22" x14ac:dyDescent="0.2">
      <c r="A398">
        <v>396</v>
      </c>
      <c r="B398" t="e">
        <f t="shared" ca="1" si="92"/>
        <v>#N/A</v>
      </c>
      <c r="C398" t="e">
        <f t="shared" ca="1" si="92"/>
        <v>#N/A</v>
      </c>
      <c r="D398" t="e">
        <f t="shared" ca="1" si="92"/>
        <v>#N/A</v>
      </c>
      <c r="E398" t="e">
        <f t="shared" ca="1" si="92"/>
        <v>#N/A</v>
      </c>
      <c r="F398" t="e">
        <f t="shared" ca="1" si="92"/>
        <v>#N/A</v>
      </c>
      <c r="G398" t="e">
        <f t="shared" ca="1" si="92"/>
        <v>#N/A</v>
      </c>
      <c r="H398" t="e">
        <f t="shared" ca="1" si="92"/>
        <v>#N/A</v>
      </c>
      <c r="I398" t="e">
        <f t="shared" ca="1" si="92"/>
        <v>#N/A</v>
      </c>
      <c r="J398" t="e">
        <f t="shared" ca="1" si="92"/>
        <v>#N/A</v>
      </c>
      <c r="K398" t="e">
        <f t="shared" ca="1" si="92"/>
        <v>#N/A</v>
      </c>
      <c r="L398" t="e">
        <f t="shared" ca="1" si="93"/>
        <v>#N/A</v>
      </c>
      <c r="M398" t="e">
        <f t="shared" ca="1" si="93"/>
        <v>#N/A</v>
      </c>
      <c r="N398" t="e">
        <f t="shared" ca="1" si="93"/>
        <v>#N/A</v>
      </c>
      <c r="O398" t="e">
        <f t="shared" ca="1" si="93"/>
        <v>#N/A</v>
      </c>
      <c r="P398" t="e">
        <f t="shared" ca="1" si="93"/>
        <v>#N/A</v>
      </c>
      <c r="Q398" t="e">
        <f t="shared" ca="1" si="93"/>
        <v>#N/A</v>
      </c>
      <c r="R398" t="e">
        <f t="shared" ca="1" si="93"/>
        <v>#N/A</v>
      </c>
      <c r="S398" t="e">
        <f t="shared" ca="1" si="90"/>
        <v>#N/A</v>
      </c>
      <c r="T398" t="e">
        <f t="shared" ca="1" si="91"/>
        <v>#N/A</v>
      </c>
      <c r="U398" t="e">
        <f ca="1">IF(AND($C398='Funnel setup'!$K$3&amp;'Funnel setup'!$K$5&amp;'Funnel setup'!$K$6&amp;'Funnel setup'!$K$4,'Funnel Lookup'!I398="*"),#N/A,IF(AND($C398='Funnel setup'!$K$3&amp;'Funnel setup'!$K$5&amp;'Funnel setup'!$K$6&amp;'Funnel setup'!$K$4,'Funnel Lookup'!I398&gt;29),'Funnel Lookup'!I398,#N/A))</f>
        <v>#N/A</v>
      </c>
      <c r="V398" t="e">
        <f ca="1">IF(AND($C398='Funnel setup'!$K$3&amp;'Funnel setup'!$K$5&amp;'Funnel setup'!$K$6&amp;'Funnel setup'!$K$4,'Funnel Lookup'!I398="*"),#N/A,IF(AND($C398='Funnel setup'!$K$3&amp;'Funnel setup'!$K$5&amp;'Funnel setup'!$K$6&amp;'Funnel setup'!$K$4,'Funnel Lookup'!I398&gt;29),'Funnel Lookup'!Q398,#N/A))</f>
        <v>#N/A</v>
      </c>
    </row>
    <row r="399" spans="1:22" x14ac:dyDescent="0.2">
      <c r="A399">
        <v>397</v>
      </c>
      <c r="B399" t="e">
        <f t="shared" ca="1" si="92"/>
        <v>#N/A</v>
      </c>
      <c r="C399" t="e">
        <f t="shared" ca="1" si="92"/>
        <v>#N/A</v>
      </c>
      <c r="D399" t="e">
        <f t="shared" ca="1" si="92"/>
        <v>#N/A</v>
      </c>
      <c r="E399" t="e">
        <f t="shared" ca="1" si="92"/>
        <v>#N/A</v>
      </c>
      <c r="F399" t="e">
        <f t="shared" ca="1" si="92"/>
        <v>#N/A</v>
      </c>
      <c r="G399" t="e">
        <f t="shared" ca="1" si="92"/>
        <v>#N/A</v>
      </c>
      <c r="H399" t="e">
        <f t="shared" ca="1" si="92"/>
        <v>#N/A</v>
      </c>
      <c r="I399" t="e">
        <f t="shared" ca="1" si="92"/>
        <v>#N/A</v>
      </c>
      <c r="J399" t="e">
        <f t="shared" ca="1" si="92"/>
        <v>#N/A</v>
      </c>
      <c r="K399" t="e">
        <f t="shared" ca="1" si="92"/>
        <v>#N/A</v>
      </c>
      <c r="L399" t="e">
        <f t="shared" ca="1" si="93"/>
        <v>#N/A</v>
      </c>
      <c r="M399" t="e">
        <f t="shared" ca="1" si="93"/>
        <v>#N/A</v>
      </c>
      <c r="N399" t="e">
        <f t="shared" ca="1" si="93"/>
        <v>#N/A</v>
      </c>
      <c r="O399" t="e">
        <f t="shared" ca="1" si="93"/>
        <v>#N/A</v>
      </c>
      <c r="P399" t="e">
        <f t="shared" ca="1" si="93"/>
        <v>#N/A</v>
      </c>
      <c r="Q399" t="e">
        <f t="shared" ca="1" si="93"/>
        <v>#N/A</v>
      </c>
      <c r="R399" t="e">
        <f t="shared" ca="1" si="93"/>
        <v>#N/A</v>
      </c>
      <c r="S399" t="e">
        <f t="shared" ca="1" si="90"/>
        <v>#N/A</v>
      </c>
      <c r="T399" t="e">
        <f t="shared" ca="1" si="91"/>
        <v>#N/A</v>
      </c>
      <c r="U399" t="e">
        <f ca="1">IF(AND($C399='Funnel setup'!$K$3&amp;'Funnel setup'!$K$5&amp;'Funnel setup'!$K$6&amp;'Funnel setup'!$K$4,'Funnel Lookup'!I399="*"),#N/A,IF(AND($C399='Funnel setup'!$K$3&amp;'Funnel setup'!$K$5&amp;'Funnel setup'!$K$6&amp;'Funnel setup'!$K$4,'Funnel Lookup'!I399&gt;29),'Funnel Lookup'!I399,#N/A))</f>
        <v>#N/A</v>
      </c>
      <c r="V399" t="e">
        <f ca="1">IF(AND($C399='Funnel setup'!$K$3&amp;'Funnel setup'!$K$5&amp;'Funnel setup'!$K$6&amp;'Funnel setup'!$K$4,'Funnel Lookup'!I399="*"),#N/A,IF(AND($C399='Funnel setup'!$K$3&amp;'Funnel setup'!$K$5&amp;'Funnel setup'!$K$6&amp;'Funnel setup'!$K$4,'Funnel Lookup'!I399&gt;29),'Funnel Lookup'!Q399,#N/A))</f>
        <v>#N/A</v>
      </c>
    </row>
    <row r="400" spans="1:22" x14ac:dyDescent="0.2">
      <c r="A400">
        <v>398</v>
      </c>
      <c r="B400" t="e">
        <f t="shared" ca="1" si="92"/>
        <v>#N/A</v>
      </c>
      <c r="C400" t="e">
        <f t="shared" ca="1" si="92"/>
        <v>#N/A</v>
      </c>
      <c r="D400" t="e">
        <f t="shared" ca="1" si="92"/>
        <v>#N/A</v>
      </c>
      <c r="E400" t="e">
        <f t="shared" ca="1" si="92"/>
        <v>#N/A</v>
      </c>
      <c r="F400" t="e">
        <f t="shared" ca="1" si="92"/>
        <v>#N/A</v>
      </c>
      <c r="G400" t="e">
        <f t="shared" ca="1" si="92"/>
        <v>#N/A</v>
      </c>
      <c r="H400" t="e">
        <f t="shared" ca="1" si="92"/>
        <v>#N/A</v>
      </c>
      <c r="I400" t="e">
        <f t="shared" ca="1" si="92"/>
        <v>#N/A</v>
      </c>
      <c r="J400" t="e">
        <f t="shared" ca="1" si="92"/>
        <v>#N/A</v>
      </c>
      <c r="K400" t="e">
        <f t="shared" ca="1" si="92"/>
        <v>#N/A</v>
      </c>
      <c r="L400" t="e">
        <f t="shared" ca="1" si="93"/>
        <v>#N/A</v>
      </c>
      <c r="M400" t="e">
        <f t="shared" ca="1" si="93"/>
        <v>#N/A</v>
      </c>
      <c r="N400" t="e">
        <f t="shared" ca="1" si="93"/>
        <v>#N/A</v>
      </c>
      <c r="O400" t="e">
        <f t="shared" ca="1" si="93"/>
        <v>#N/A</v>
      </c>
      <c r="P400" t="e">
        <f t="shared" ca="1" si="93"/>
        <v>#N/A</v>
      </c>
      <c r="Q400" t="e">
        <f t="shared" ca="1" si="93"/>
        <v>#N/A</v>
      </c>
      <c r="R400" t="e">
        <f t="shared" ca="1" si="93"/>
        <v>#N/A</v>
      </c>
      <c r="S400" t="e">
        <f t="shared" ca="1" si="90"/>
        <v>#N/A</v>
      </c>
      <c r="T400" t="e">
        <f t="shared" ca="1" si="91"/>
        <v>#N/A</v>
      </c>
      <c r="U400" t="e">
        <f ca="1">IF(AND($C400='Funnel setup'!$K$3&amp;'Funnel setup'!$K$5&amp;'Funnel setup'!$K$6&amp;'Funnel setup'!$K$4,'Funnel Lookup'!I400="*"),#N/A,IF(AND($C400='Funnel setup'!$K$3&amp;'Funnel setup'!$K$5&amp;'Funnel setup'!$K$6&amp;'Funnel setup'!$K$4,'Funnel Lookup'!I400&gt;29),'Funnel Lookup'!I400,#N/A))</f>
        <v>#N/A</v>
      </c>
      <c r="V400" t="e">
        <f ca="1">IF(AND($C400='Funnel setup'!$K$3&amp;'Funnel setup'!$K$5&amp;'Funnel setup'!$K$6&amp;'Funnel setup'!$K$4,'Funnel Lookup'!I400="*"),#N/A,IF(AND($C400='Funnel setup'!$K$3&amp;'Funnel setup'!$K$5&amp;'Funnel setup'!$K$6&amp;'Funnel setup'!$K$4,'Funnel Lookup'!I400&gt;29),'Funnel Lookup'!Q400,#N/A))</f>
        <v>#N/A</v>
      </c>
    </row>
    <row r="401" spans="1:22" x14ac:dyDescent="0.2">
      <c r="A401">
        <v>399</v>
      </c>
      <c r="B401" t="e">
        <f t="shared" ca="1" si="92"/>
        <v>#N/A</v>
      </c>
      <c r="C401" t="e">
        <f t="shared" ca="1" si="92"/>
        <v>#N/A</v>
      </c>
      <c r="D401" t="e">
        <f t="shared" ca="1" si="92"/>
        <v>#N/A</v>
      </c>
      <c r="E401" t="e">
        <f t="shared" ca="1" si="92"/>
        <v>#N/A</v>
      </c>
      <c r="F401" t="e">
        <f t="shared" ca="1" si="92"/>
        <v>#N/A</v>
      </c>
      <c r="G401" t="e">
        <f t="shared" ca="1" si="92"/>
        <v>#N/A</v>
      </c>
      <c r="H401" t="e">
        <f t="shared" ca="1" si="92"/>
        <v>#N/A</v>
      </c>
      <c r="I401" t="e">
        <f t="shared" ca="1" si="92"/>
        <v>#N/A</v>
      </c>
      <c r="J401" t="e">
        <f t="shared" ca="1" si="92"/>
        <v>#N/A</v>
      </c>
      <c r="K401" t="e">
        <f t="shared" ca="1" si="92"/>
        <v>#N/A</v>
      </c>
      <c r="L401" t="e">
        <f t="shared" ca="1" si="93"/>
        <v>#N/A</v>
      </c>
      <c r="M401" t="e">
        <f t="shared" ca="1" si="93"/>
        <v>#N/A</v>
      </c>
      <c r="N401" t="e">
        <f t="shared" ca="1" si="93"/>
        <v>#N/A</v>
      </c>
      <c r="O401" t="e">
        <f t="shared" ca="1" si="93"/>
        <v>#N/A</v>
      </c>
      <c r="P401" t="e">
        <f t="shared" ca="1" si="93"/>
        <v>#N/A</v>
      </c>
      <c r="Q401" t="e">
        <f t="shared" ca="1" si="93"/>
        <v>#N/A</v>
      </c>
      <c r="R401" t="e">
        <f t="shared" ca="1" si="93"/>
        <v>#N/A</v>
      </c>
      <c r="S401" t="e">
        <f t="shared" ca="1" si="90"/>
        <v>#N/A</v>
      </c>
      <c r="T401" t="e">
        <f t="shared" ca="1" si="91"/>
        <v>#N/A</v>
      </c>
      <c r="U401" t="e">
        <f ca="1">IF(AND($C401='Funnel setup'!$K$3&amp;'Funnel setup'!$K$5&amp;'Funnel setup'!$K$6&amp;'Funnel setup'!$K$4,'Funnel Lookup'!I401="*"),#N/A,IF(AND($C401='Funnel setup'!$K$3&amp;'Funnel setup'!$K$5&amp;'Funnel setup'!$K$6&amp;'Funnel setup'!$K$4,'Funnel Lookup'!I401&gt;29),'Funnel Lookup'!I401,#N/A))</f>
        <v>#N/A</v>
      </c>
      <c r="V401" t="e">
        <f ca="1">IF(AND($C401='Funnel setup'!$K$3&amp;'Funnel setup'!$K$5&amp;'Funnel setup'!$K$6&amp;'Funnel setup'!$K$4,'Funnel Lookup'!I401="*"),#N/A,IF(AND($C401='Funnel setup'!$K$3&amp;'Funnel setup'!$K$5&amp;'Funnel setup'!$K$6&amp;'Funnel setup'!$K$4,'Funnel Lookup'!I401&gt;29),'Funnel Lookup'!Q401,#N/A))</f>
        <v>#N/A</v>
      </c>
    </row>
    <row r="402" spans="1:22" x14ac:dyDescent="0.2">
      <c r="A402">
        <v>400</v>
      </c>
      <c r="B402" t="e">
        <f t="shared" ca="1" si="92"/>
        <v>#N/A</v>
      </c>
      <c r="C402" t="e">
        <f t="shared" ca="1" si="92"/>
        <v>#N/A</v>
      </c>
      <c r="D402" t="e">
        <f t="shared" ca="1" si="92"/>
        <v>#N/A</v>
      </c>
      <c r="E402" t="e">
        <f t="shared" ca="1" si="92"/>
        <v>#N/A</v>
      </c>
      <c r="F402" t="e">
        <f t="shared" ca="1" si="92"/>
        <v>#N/A</v>
      </c>
      <c r="G402" t="e">
        <f t="shared" ca="1" si="92"/>
        <v>#N/A</v>
      </c>
      <c r="H402" t="e">
        <f t="shared" ca="1" si="92"/>
        <v>#N/A</v>
      </c>
      <c r="I402" t="e">
        <f t="shared" ca="1" si="92"/>
        <v>#N/A</v>
      </c>
      <c r="J402" t="e">
        <f t="shared" ca="1" si="92"/>
        <v>#N/A</v>
      </c>
      <c r="K402" t="e">
        <f t="shared" ca="1" si="92"/>
        <v>#N/A</v>
      </c>
      <c r="L402" t="e">
        <f t="shared" ca="1" si="93"/>
        <v>#N/A</v>
      </c>
      <c r="M402" t="e">
        <f t="shared" ca="1" si="93"/>
        <v>#N/A</v>
      </c>
      <c r="N402" t="e">
        <f t="shared" ca="1" si="93"/>
        <v>#N/A</v>
      </c>
      <c r="O402" t="e">
        <f t="shared" ca="1" si="93"/>
        <v>#N/A</v>
      </c>
      <c r="P402" t="e">
        <f t="shared" ca="1" si="93"/>
        <v>#N/A</v>
      </c>
      <c r="Q402" t="e">
        <f t="shared" ca="1" si="93"/>
        <v>#N/A</v>
      </c>
      <c r="R402" t="e">
        <f t="shared" ca="1" si="93"/>
        <v>#N/A</v>
      </c>
      <c r="S402" t="e">
        <f t="shared" ca="1" si="90"/>
        <v>#N/A</v>
      </c>
      <c r="T402" t="e">
        <f t="shared" ca="1" si="91"/>
        <v>#N/A</v>
      </c>
      <c r="U402" t="e">
        <f ca="1">IF(AND($C402='Funnel setup'!$K$3&amp;'Funnel setup'!$K$5&amp;'Funnel setup'!$K$6&amp;'Funnel setup'!$K$4,'Funnel Lookup'!I402="*"),#N/A,IF(AND($C402='Funnel setup'!$K$3&amp;'Funnel setup'!$K$5&amp;'Funnel setup'!$K$6&amp;'Funnel setup'!$K$4,'Funnel Lookup'!I402&gt;29),'Funnel Lookup'!I402,#N/A))</f>
        <v>#N/A</v>
      </c>
      <c r="V402" t="e">
        <f ca="1">IF(AND($C402='Funnel setup'!$K$3&amp;'Funnel setup'!$K$5&amp;'Funnel setup'!$K$6&amp;'Funnel setup'!$K$4,'Funnel Lookup'!I402="*"),#N/A,IF(AND($C402='Funnel setup'!$K$3&amp;'Funnel setup'!$K$5&amp;'Funnel setup'!$K$6&amp;'Funnel setup'!$K$4,'Funnel Lookup'!I402&gt;29),'Funnel Lookup'!Q402,#N/A))</f>
        <v>#N/A</v>
      </c>
    </row>
  </sheetData>
  <autoFilter ref="A2:V402"/>
  <phoneticPr fontId="10"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Z35"/>
  <sheetViews>
    <sheetView showGridLines="0" showRowColHeaders="0" tabSelected="1" zoomScale="80" zoomScaleNormal="80" workbookViewId="0">
      <pane ySplit="5" topLeftCell="A6" activePane="bottomLeft" state="frozen"/>
      <selection activeCell="D11" sqref="D11:E11"/>
      <selection pane="bottomLeft" activeCell="B8" sqref="B8"/>
    </sheetView>
  </sheetViews>
  <sheetFormatPr defaultRowHeight="12.75" x14ac:dyDescent="0.2"/>
  <cols>
    <col min="1" max="1" width="3.7109375" style="81" customWidth="1"/>
    <col min="2" max="2" width="170.7109375" style="81" customWidth="1"/>
    <col min="3" max="16384" width="9.140625" style="81"/>
  </cols>
  <sheetData>
    <row r="1" spans="1:26" s="74" customFormat="1" ht="33" customHeight="1" x14ac:dyDescent="0.2">
      <c r="E1" s="62"/>
      <c r="G1" s="62"/>
      <c r="Z1" s="63"/>
    </row>
    <row r="2" spans="1:26" s="74" customFormat="1" ht="14.25" customHeight="1" x14ac:dyDescent="0.2">
      <c r="E2" s="62"/>
      <c r="G2" s="62"/>
      <c r="Z2" s="63"/>
    </row>
    <row r="3" spans="1:26" s="74" customFormat="1" ht="14.25" customHeight="1" x14ac:dyDescent="0.2">
      <c r="E3" s="62"/>
      <c r="G3" s="62"/>
      <c r="Z3" s="63"/>
    </row>
    <row r="4" spans="1:26" s="74" customFormat="1" ht="14.25" customHeight="1" x14ac:dyDescent="0.2">
      <c r="E4" s="62"/>
      <c r="G4" s="62"/>
      <c r="Z4" s="63"/>
    </row>
    <row r="5" spans="1:26" s="74" customFormat="1" ht="31.5" customHeight="1" x14ac:dyDescent="0.2">
      <c r="A5" s="81"/>
      <c r="E5" s="62"/>
      <c r="G5" s="62"/>
      <c r="Z5" s="63"/>
    </row>
    <row r="6" spans="1:26" s="74" customFormat="1" ht="12" customHeight="1" x14ac:dyDescent="0.2">
      <c r="A6" s="81"/>
      <c r="E6" s="62"/>
      <c r="G6" s="62"/>
      <c r="Z6" s="63"/>
    </row>
    <row r="7" spans="1:26" ht="23.25" customHeight="1" x14ac:dyDescent="0.4">
      <c r="A7" s="82"/>
      <c r="B7" s="88" t="s">
        <v>202</v>
      </c>
      <c r="C7" s="82"/>
      <c r="D7" s="82"/>
      <c r="E7" s="82"/>
      <c r="F7" s="82"/>
      <c r="G7" s="82"/>
      <c r="H7" s="82"/>
      <c r="I7" s="82"/>
    </row>
    <row r="8" spans="1:26" ht="18" x14ac:dyDescent="0.2">
      <c r="A8" s="82"/>
      <c r="B8" s="85" t="str">
        <f>TEXT(Reference!B2,"mmmm yyyy") &amp; " to " &amp; TEXT(Reference!B3,"mmmm yyyy") &amp; IF(Reference!B5=TRUE, ", provisional", ", finalised") &amp; " data (published " &amp; Reference!B4 &amp; ")"</f>
        <v>April 2014 to March 2015, provisional data (published 12 November 2015)</v>
      </c>
      <c r="C8" s="82"/>
      <c r="D8" s="82"/>
      <c r="E8" s="82"/>
      <c r="F8" s="82"/>
      <c r="G8" s="82"/>
      <c r="H8" s="82"/>
      <c r="I8" s="82"/>
    </row>
    <row r="9" spans="1:26" ht="18" x14ac:dyDescent="0.2">
      <c r="A9" s="82"/>
      <c r="B9" s="85"/>
      <c r="C9" s="82"/>
      <c r="D9" s="82"/>
      <c r="E9" s="82"/>
      <c r="F9" s="82"/>
      <c r="G9" s="82"/>
      <c r="H9" s="82"/>
      <c r="I9" s="82"/>
    </row>
    <row r="10" spans="1:26" ht="15.75" customHeight="1" x14ac:dyDescent="0.25">
      <c r="A10" s="82"/>
      <c r="B10" s="339" t="s">
        <v>194</v>
      </c>
      <c r="C10" s="82"/>
      <c r="D10" s="82"/>
      <c r="E10" s="82"/>
      <c r="F10" s="82"/>
      <c r="G10" s="82"/>
      <c r="H10" s="82"/>
      <c r="I10" s="82"/>
    </row>
    <row r="11" spans="1:26" ht="15" customHeight="1" x14ac:dyDescent="0.2">
      <c r="A11" s="82"/>
      <c r="B11" s="359" t="s">
        <v>195</v>
      </c>
      <c r="C11" s="99"/>
      <c r="D11" s="99"/>
      <c r="E11" s="99"/>
      <c r="F11" s="99"/>
      <c r="G11" s="99"/>
      <c r="H11" s="99"/>
      <c r="I11" s="99"/>
      <c r="J11" s="99"/>
      <c r="K11" s="99"/>
      <c r="L11" s="99"/>
      <c r="M11" s="99"/>
      <c r="N11" s="99"/>
      <c r="O11" s="99"/>
      <c r="P11" s="99"/>
      <c r="Q11" s="99"/>
      <c r="R11" s="99"/>
    </row>
    <row r="12" spans="1:26" ht="15" customHeight="1" x14ac:dyDescent="0.2">
      <c r="A12" s="82"/>
      <c r="B12" s="98"/>
      <c r="C12" s="98"/>
      <c r="D12" s="98"/>
      <c r="E12" s="98"/>
      <c r="F12" s="98"/>
      <c r="G12" s="98"/>
      <c r="H12" s="98"/>
      <c r="I12" s="98"/>
      <c r="J12" s="98"/>
      <c r="K12" s="98"/>
      <c r="L12" s="98"/>
      <c r="M12" s="98"/>
      <c r="N12" s="98"/>
      <c r="O12" s="98"/>
      <c r="P12" s="98"/>
      <c r="Q12" s="98"/>
      <c r="R12" s="98"/>
    </row>
    <row r="13" spans="1:26" ht="15.75" customHeight="1" x14ac:dyDescent="0.25">
      <c r="A13" s="82"/>
      <c r="B13" s="339" t="s">
        <v>196</v>
      </c>
      <c r="C13" s="98"/>
      <c r="D13" s="98"/>
      <c r="E13" s="98"/>
      <c r="F13" s="98"/>
      <c r="G13" s="98"/>
      <c r="H13" s="98"/>
      <c r="I13" s="98"/>
      <c r="J13" s="98"/>
      <c r="K13" s="98"/>
      <c r="L13" s="98"/>
      <c r="M13" s="98"/>
      <c r="N13" s="98"/>
      <c r="O13" s="98"/>
      <c r="P13" s="98"/>
      <c r="Q13" s="98"/>
      <c r="R13" s="98"/>
    </row>
    <row r="14" spans="1:26" ht="60.75" customHeight="1" x14ac:dyDescent="0.2">
      <c r="B14" s="360" t="s">
        <v>378</v>
      </c>
      <c r="C14" s="340"/>
      <c r="D14" s="340"/>
      <c r="E14" s="340"/>
      <c r="F14" s="340"/>
      <c r="G14" s="340"/>
      <c r="H14" s="340"/>
      <c r="I14" s="340"/>
      <c r="J14" s="340"/>
      <c r="K14" s="340"/>
      <c r="L14" s="340"/>
      <c r="M14" s="340"/>
      <c r="N14" s="340"/>
      <c r="O14" s="340"/>
      <c r="P14" s="340"/>
      <c r="Q14" s="340"/>
      <c r="R14" s="340"/>
    </row>
    <row r="15" spans="1:26" ht="15" customHeight="1" x14ac:dyDescent="0.2">
      <c r="B15" s="340"/>
      <c r="C15" s="340"/>
      <c r="D15" s="340"/>
      <c r="E15" s="340"/>
      <c r="F15" s="340"/>
      <c r="G15" s="340"/>
      <c r="H15" s="340"/>
      <c r="I15" s="340"/>
      <c r="J15" s="340"/>
      <c r="K15" s="340"/>
      <c r="L15" s="340"/>
      <c r="M15" s="340"/>
      <c r="N15" s="340"/>
      <c r="O15" s="340"/>
      <c r="P15" s="340"/>
      <c r="Q15" s="340"/>
      <c r="R15" s="340"/>
    </row>
    <row r="16" spans="1:26" ht="33.75" customHeight="1" x14ac:dyDescent="0.2">
      <c r="B16" s="359" t="s">
        <v>383</v>
      </c>
      <c r="C16" s="340"/>
      <c r="D16" s="340"/>
      <c r="E16" s="340"/>
      <c r="F16" s="340"/>
      <c r="G16" s="340"/>
      <c r="H16" s="340"/>
      <c r="I16" s="340"/>
      <c r="J16" s="340"/>
      <c r="K16" s="340"/>
      <c r="L16" s="340"/>
      <c r="M16" s="340"/>
      <c r="N16" s="340"/>
      <c r="O16" s="340"/>
      <c r="P16" s="340"/>
      <c r="Q16" s="340"/>
      <c r="R16" s="340"/>
    </row>
    <row r="17" spans="2:18" ht="15" customHeight="1" x14ac:dyDescent="0.25">
      <c r="B17" s="123"/>
      <c r="C17" s="86"/>
      <c r="D17" s="86"/>
      <c r="E17" s="86"/>
      <c r="F17" s="86"/>
      <c r="G17" s="86"/>
      <c r="H17" s="86"/>
      <c r="I17" s="86"/>
      <c r="J17" s="86"/>
      <c r="K17" s="86"/>
      <c r="L17" s="86"/>
      <c r="M17" s="86"/>
      <c r="N17" s="86"/>
    </row>
    <row r="18" spans="2:18" ht="15.75" customHeight="1" x14ac:dyDescent="0.25">
      <c r="B18" s="339" t="s">
        <v>90</v>
      </c>
      <c r="C18" s="340"/>
      <c r="D18" s="340"/>
      <c r="E18" s="340"/>
      <c r="F18" s="340"/>
      <c r="G18" s="340"/>
      <c r="H18" s="340"/>
      <c r="I18" s="340"/>
      <c r="J18" s="340"/>
      <c r="K18" s="340"/>
      <c r="L18" s="340"/>
      <c r="M18" s="340"/>
      <c r="N18" s="340"/>
      <c r="O18" s="340"/>
      <c r="P18" s="340"/>
    </row>
    <row r="19" spans="2:18" ht="48.75" customHeight="1" x14ac:dyDescent="0.2">
      <c r="B19" s="359" t="s">
        <v>197</v>
      </c>
      <c r="C19" s="341"/>
      <c r="D19" s="341"/>
      <c r="E19" s="341"/>
      <c r="F19" s="341"/>
      <c r="G19" s="341"/>
      <c r="H19" s="341"/>
      <c r="I19" s="341"/>
      <c r="J19" s="341"/>
      <c r="K19" s="341"/>
      <c r="L19" s="341"/>
      <c r="M19" s="341"/>
      <c r="N19" s="275"/>
    </row>
    <row r="20" spans="2:18" ht="15" customHeight="1" x14ac:dyDescent="0.2">
      <c r="B20" s="83"/>
      <c r="C20" s="341"/>
      <c r="D20" s="341"/>
      <c r="E20" s="341"/>
      <c r="F20" s="341"/>
      <c r="G20" s="341"/>
      <c r="H20" s="341"/>
      <c r="I20" s="341"/>
      <c r="J20" s="341"/>
      <c r="K20" s="341"/>
      <c r="L20" s="341"/>
      <c r="M20" s="341"/>
      <c r="N20" s="341"/>
    </row>
    <row r="21" spans="2:18" ht="15.75" customHeight="1" x14ac:dyDescent="0.25">
      <c r="B21" s="339" t="s">
        <v>91</v>
      </c>
      <c r="C21" s="340"/>
      <c r="D21" s="340"/>
      <c r="E21" s="340"/>
      <c r="F21" s="340"/>
      <c r="G21" s="340"/>
      <c r="H21" s="340"/>
      <c r="I21" s="340"/>
      <c r="J21" s="340"/>
      <c r="K21" s="340"/>
      <c r="L21" s="340"/>
      <c r="M21" s="340"/>
      <c r="N21" s="340"/>
      <c r="O21" s="340"/>
      <c r="P21" s="340"/>
      <c r="Q21" s="340"/>
      <c r="R21" s="340"/>
    </row>
    <row r="22" spans="2:18" ht="64.5" customHeight="1" x14ac:dyDescent="0.2">
      <c r="B22" s="359" t="s">
        <v>198</v>
      </c>
      <c r="C22" s="86"/>
      <c r="D22" s="86"/>
      <c r="E22" s="86"/>
      <c r="F22" s="86"/>
      <c r="G22" s="86"/>
      <c r="H22" s="86"/>
      <c r="I22" s="86"/>
      <c r="J22" s="86"/>
      <c r="K22" s="86"/>
      <c r="L22" s="86"/>
      <c r="M22" s="86"/>
      <c r="N22" s="86"/>
    </row>
    <row r="23" spans="2:18" ht="15" customHeight="1" x14ac:dyDescent="0.2">
      <c r="B23" s="83"/>
      <c r="C23" s="342"/>
      <c r="D23" s="342"/>
      <c r="E23" s="342"/>
      <c r="F23" s="342"/>
      <c r="G23" s="342"/>
      <c r="H23" s="342"/>
      <c r="I23" s="342"/>
      <c r="J23" s="342"/>
      <c r="K23" s="342"/>
      <c r="L23" s="342"/>
      <c r="M23" s="342"/>
      <c r="N23" s="329"/>
    </row>
    <row r="24" spans="2:18" ht="15.75" customHeight="1" x14ac:dyDescent="0.25">
      <c r="B24" s="339" t="s">
        <v>89</v>
      </c>
      <c r="C24" s="340"/>
      <c r="D24" s="340"/>
      <c r="E24" s="340"/>
      <c r="F24" s="340"/>
      <c r="G24" s="340"/>
      <c r="H24" s="340"/>
      <c r="I24" s="340"/>
      <c r="J24" s="340"/>
      <c r="K24" s="340"/>
      <c r="L24" s="340"/>
      <c r="M24" s="340"/>
      <c r="N24" s="340"/>
      <c r="O24" s="340"/>
      <c r="P24" s="340"/>
      <c r="Q24" s="340"/>
      <c r="R24" s="340"/>
    </row>
    <row r="25" spans="2:18" ht="33.75" customHeight="1" x14ac:dyDescent="0.2">
      <c r="B25" s="359" t="s">
        <v>199</v>
      </c>
      <c r="C25" s="342"/>
      <c r="D25" s="342"/>
      <c r="E25" s="342"/>
      <c r="F25" s="342"/>
      <c r="G25" s="342"/>
      <c r="H25" s="342"/>
      <c r="I25" s="342"/>
      <c r="J25" s="342"/>
      <c r="K25" s="342"/>
      <c r="L25" s="342"/>
      <c r="M25" s="342"/>
      <c r="N25" s="329"/>
    </row>
    <row r="26" spans="2:18" ht="15" customHeight="1" x14ac:dyDescent="0.2">
      <c r="B26" s="340"/>
      <c r="C26" s="340"/>
      <c r="D26" s="340"/>
      <c r="E26" s="340"/>
      <c r="F26" s="340"/>
      <c r="G26" s="340"/>
      <c r="H26" s="340"/>
      <c r="I26" s="340"/>
      <c r="J26" s="340"/>
      <c r="K26" s="340"/>
      <c r="L26" s="340"/>
      <c r="M26" s="340"/>
      <c r="N26" s="340"/>
      <c r="O26" s="340"/>
      <c r="P26" s="340"/>
      <c r="Q26" s="340"/>
      <c r="R26" s="340"/>
    </row>
    <row r="27" spans="2:18" ht="33" customHeight="1" x14ac:dyDescent="0.2">
      <c r="B27" s="359" t="s">
        <v>200</v>
      </c>
      <c r="C27" s="340"/>
      <c r="D27" s="340"/>
      <c r="E27" s="340"/>
      <c r="F27" s="340"/>
      <c r="G27" s="340"/>
      <c r="H27" s="340"/>
      <c r="I27" s="340"/>
      <c r="J27" s="340"/>
      <c r="K27" s="340"/>
      <c r="L27" s="340"/>
      <c r="M27" s="340"/>
      <c r="N27" s="340"/>
      <c r="O27" s="340"/>
      <c r="P27" s="340"/>
      <c r="Q27" s="340"/>
      <c r="R27" s="340"/>
    </row>
    <row r="28" spans="2:18" ht="15" customHeight="1" x14ac:dyDescent="0.2">
      <c r="B28" s="83"/>
      <c r="C28" s="342"/>
      <c r="D28" s="342"/>
      <c r="E28" s="342"/>
      <c r="F28" s="342"/>
      <c r="G28" s="342"/>
      <c r="H28" s="342"/>
      <c r="I28" s="342"/>
      <c r="J28" s="342"/>
      <c r="K28" s="342"/>
      <c r="L28" s="342"/>
      <c r="M28" s="342"/>
      <c r="N28" s="329"/>
    </row>
    <row r="29" spans="2:18" s="135" customFormat="1" ht="19.5" customHeight="1" x14ac:dyDescent="0.2">
      <c r="B29" s="359" t="s">
        <v>201</v>
      </c>
      <c r="C29" s="340"/>
      <c r="D29" s="340"/>
      <c r="E29" s="340"/>
      <c r="F29" s="340"/>
      <c r="G29" s="340"/>
      <c r="H29" s="340"/>
      <c r="I29" s="340"/>
      <c r="J29" s="340"/>
      <c r="K29" s="340"/>
      <c r="L29" s="340"/>
      <c r="M29" s="340"/>
      <c r="N29" s="340"/>
      <c r="O29" s="340"/>
      <c r="P29" s="340"/>
      <c r="Q29" s="340"/>
      <c r="R29" s="340"/>
    </row>
    <row r="30" spans="2:18" s="135" customFormat="1" ht="15" customHeight="1" x14ac:dyDescent="0.2">
      <c r="B30" s="343"/>
      <c r="C30" s="343"/>
      <c r="D30" s="343"/>
      <c r="E30" s="343"/>
      <c r="F30" s="343"/>
      <c r="G30" s="343"/>
      <c r="H30" s="343"/>
      <c r="I30" s="343"/>
      <c r="J30" s="343"/>
      <c r="K30" s="343"/>
      <c r="L30" s="343"/>
      <c r="M30" s="343"/>
      <c r="N30" s="343"/>
      <c r="O30" s="343"/>
      <c r="P30" s="343"/>
      <c r="Q30" s="343"/>
      <c r="R30" s="343"/>
    </row>
    <row r="31" spans="2:18" s="135" customFormat="1" ht="15.75" customHeight="1" x14ac:dyDescent="0.25">
      <c r="B31" s="213" t="str">
        <f>IF(Reference!B5=TRUE,"Provisional data","")</f>
        <v>Provisional data</v>
      </c>
      <c r="C31" s="330"/>
      <c r="D31" s="330"/>
      <c r="E31" s="330"/>
      <c r="F31" s="330"/>
      <c r="G31" s="330"/>
      <c r="H31" s="330"/>
      <c r="I31" s="330"/>
      <c r="J31" s="330"/>
      <c r="K31" s="330"/>
      <c r="L31" s="330"/>
      <c r="M31" s="330"/>
      <c r="N31" s="330"/>
      <c r="O31" s="330"/>
      <c r="P31" s="330"/>
      <c r="Q31" s="330"/>
      <c r="R31" s="330"/>
    </row>
    <row r="32" spans="2:18" ht="17.25" customHeight="1" x14ac:dyDescent="0.2">
      <c r="B32" s="359" t="str">
        <f>IF(Reference!B5=TRUE,"Results in this document are provisional and subject to change until the publication of finalised data, which is expected to be on " &amp; TEXT(Reference!B6,"DD MMMM YYYY") &amp; ".",  " ")</f>
        <v>Results in this document are provisional and subject to change until the publication of finalised data, which is expected to be on 11 August 2016.</v>
      </c>
      <c r="C32" s="330"/>
      <c r="D32" s="330"/>
      <c r="E32" s="330"/>
      <c r="F32" s="330"/>
      <c r="G32" s="330"/>
      <c r="H32" s="330"/>
      <c r="I32" s="330"/>
      <c r="J32" s="330"/>
      <c r="K32" s="330"/>
      <c r="L32" s="330"/>
      <c r="M32" s="330"/>
      <c r="N32" s="330"/>
      <c r="O32" s="330"/>
      <c r="P32" s="330"/>
      <c r="Q32" s="330"/>
      <c r="R32" s="330"/>
    </row>
    <row r="33" spans="2:18" ht="15" customHeight="1" x14ac:dyDescent="0.2">
      <c r="B33" s="330"/>
      <c r="C33" s="330"/>
      <c r="D33" s="330"/>
      <c r="E33" s="330"/>
      <c r="F33" s="330"/>
      <c r="G33" s="330"/>
      <c r="H33" s="330"/>
      <c r="I33" s="330"/>
      <c r="J33" s="330"/>
      <c r="K33" s="330"/>
      <c r="L33" s="330"/>
      <c r="M33" s="330"/>
      <c r="N33" s="330"/>
      <c r="O33" s="330"/>
      <c r="P33" s="330"/>
      <c r="Q33" s="330"/>
      <c r="R33" s="330"/>
    </row>
    <row r="34" spans="2:18" ht="15" customHeight="1" x14ac:dyDescent="0.2">
      <c r="B34" s="361" t="str">
        <f ca="1">HYPERLINK(Reference!B$9,Reference!A$9)</f>
        <v>Copyright © 2015, The Health and Social Care Information Centre. All Rights Reserved.</v>
      </c>
    </row>
    <row r="35" spans="2:18" x14ac:dyDescent="0.2">
      <c r="B35" s="61"/>
    </row>
  </sheetData>
  <sheetProtection sheet="1" objects="1" scenarios="1" selectLockedCells="1" selectUnlockedCells="1"/>
  <phoneticPr fontId="0" type="noConversion"/>
  <pageMargins left="0.35433070866141736" right="0.35433070866141736" top="0.39370078740157483" bottom="0.39370078740157483" header="0.11811023622047245" footer="0.11811023622047245"/>
  <pageSetup paperSize="9" scale="5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3350"/>
    <pageSetUpPr fitToPage="1"/>
  </sheetPr>
  <dimension ref="A1:X383"/>
  <sheetViews>
    <sheetView showGridLines="0" showRowColHeaders="0" zoomScale="80" zoomScaleNormal="80" workbookViewId="0">
      <pane ySplit="5" topLeftCell="A6" activePane="bottomLeft" state="frozen"/>
      <selection activeCell="D11" sqref="D11:E11"/>
      <selection pane="bottomLeft" activeCell="C41" sqref="C41:L41"/>
    </sheetView>
  </sheetViews>
  <sheetFormatPr defaultRowHeight="12.75" x14ac:dyDescent="0.2"/>
  <cols>
    <col min="1" max="1" width="3.7109375" style="9" customWidth="1"/>
    <col min="2" max="2" width="4.7109375" style="9" customWidth="1"/>
    <col min="3" max="3" width="22.28515625" style="9" bestFit="1" customWidth="1"/>
    <col min="4" max="5" width="21.7109375" style="9" customWidth="1"/>
    <col min="6" max="6" width="21.7109375" style="9" bestFit="1" customWidth="1"/>
    <col min="7" max="8" width="17.85546875" style="9" customWidth="1"/>
    <col min="9" max="9" width="2.5703125" style="9" customWidth="1"/>
    <col min="10" max="10" width="21.28515625" style="9" customWidth="1"/>
    <col min="11" max="12" width="12.85546875" style="9" customWidth="1"/>
    <col min="13" max="14" width="9.140625" style="9"/>
    <col min="15" max="15" width="11.5703125" style="9" customWidth="1"/>
    <col min="16" max="16384" width="9.140625" style="9"/>
  </cols>
  <sheetData>
    <row r="1" spans="1:17" s="33" customFormat="1" ht="33" customHeight="1" x14ac:dyDescent="0.2"/>
    <row r="2" spans="1:17" s="33" customFormat="1" ht="14.25" customHeight="1" x14ac:dyDescent="0.2"/>
    <row r="3" spans="1:17" s="33" customFormat="1" ht="14.25" customHeight="1" x14ac:dyDescent="0.2"/>
    <row r="4" spans="1:17" s="33" customFormat="1" ht="14.25" customHeight="1" x14ac:dyDescent="0.2"/>
    <row r="5" spans="1:17" s="33" customFormat="1" ht="33" customHeight="1" x14ac:dyDescent="0.2"/>
    <row r="6" spans="1:17" s="33" customFormat="1" ht="12" customHeight="1" x14ac:dyDescent="0.2"/>
    <row r="7" spans="1:17" s="33" customFormat="1" ht="26.25" x14ac:dyDescent="0.4">
      <c r="B7" s="90" t="s">
        <v>371</v>
      </c>
    </row>
    <row r="8" spans="1:17" s="33" customFormat="1" ht="15" customHeight="1" x14ac:dyDescent="0.25">
      <c r="B8" s="92"/>
    </row>
    <row r="9" spans="1:17" s="94" customFormat="1" ht="32.25" customHeight="1" x14ac:dyDescent="0.2">
      <c r="B9" s="503" t="s">
        <v>370</v>
      </c>
      <c r="C9" s="503"/>
      <c r="D9" s="503"/>
      <c r="E9" s="503"/>
      <c r="F9" s="503"/>
      <c r="G9" s="503"/>
      <c r="H9" s="503"/>
      <c r="I9" s="503"/>
      <c r="J9" s="503"/>
      <c r="K9" s="503"/>
      <c r="L9" s="503"/>
    </row>
    <row r="10" spans="1:17" s="95" customFormat="1" ht="15" customHeight="1" x14ac:dyDescent="0.2">
      <c r="B10" s="212"/>
    </row>
    <row r="11" spans="1:17" s="94" customFormat="1" ht="47.25" customHeight="1" x14ac:dyDescent="0.2">
      <c r="B11" s="504" t="s">
        <v>372</v>
      </c>
      <c r="C11" s="504"/>
      <c r="D11" s="504"/>
      <c r="E11" s="504"/>
      <c r="F11" s="504"/>
      <c r="G11" s="504"/>
      <c r="H11" s="504"/>
      <c r="I11" s="504"/>
      <c r="J11" s="504"/>
      <c r="K11" s="504"/>
      <c r="L11" s="504"/>
    </row>
    <row r="12" spans="1:17" s="37" customFormat="1" ht="15" customHeight="1" x14ac:dyDescent="0.2">
      <c r="B12" s="33"/>
      <c r="C12" s="33"/>
      <c r="D12" s="33"/>
      <c r="E12" s="33"/>
      <c r="F12" s="33"/>
      <c r="G12" s="33"/>
      <c r="H12" s="33"/>
      <c r="I12" s="33"/>
      <c r="J12" s="33"/>
      <c r="K12" s="33"/>
      <c r="L12" s="33"/>
      <c r="M12" s="33"/>
      <c r="N12" s="33"/>
      <c r="O12" s="33"/>
    </row>
    <row r="13" spans="1:17" ht="15.75" customHeight="1" x14ac:dyDescent="0.25">
      <c r="A13" s="37"/>
      <c r="B13" s="505" t="s">
        <v>76</v>
      </c>
      <c r="C13" s="505"/>
      <c r="D13" s="505"/>
      <c r="E13" s="505"/>
      <c r="F13" s="505"/>
      <c r="G13" s="505"/>
      <c r="H13" s="505"/>
      <c r="I13" s="505"/>
      <c r="J13" s="505"/>
      <c r="K13" s="505"/>
      <c r="L13" s="505"/>
      <c r="M13" s="33"/>
      <c r="N13" s="33"/>
      <c r="O13" s="37"/>
      <c r="P13" s="37"/>
      <c r="Q13" s="37"/>
    </row>
    <row r="14" spans="1:17" ht="53.25" customHeight="1" x14ac:dyDescent="0.2">
      <c r="A14" s="37"/>
      <c r="B14" s="503" t="s">
        <v>374</v>
      </c>
      <c r="C14" s="503"/>
      <c r="D14" s="503"/>
      <c r="E14" s="503"/>
      <c r="F14" s="503"/>
      <c r="G14" s="503"/>
      <c r="H14" s="503"/>
      <c r="I14" s="503"/>
      <c r="J14" s="503"/>
      <c r="K14" s="503"/>
      <c r="L14" s="503"/>
      <c r="M14" s="33"/>
      <c r="N14" s="33"/>
      <c r="O14" s="37"/>
      <c r="P14" s="37"/>
      <c r="Q14" s="37"/>
    </row>
    <row r="15" spans="1:17" s="37" customFormat="1" ht="15" customHeight="1" thickBot="1" x14ac:dyDescent="0.25">
      <c r="B15" s="506"/>
      <c r="C15" s="506"/>
      <c r="D15" s="506"/>
      <c r="E15" s="506"/>
      <c r="F15" s="506"/>
      <c r="G15" s="506"/>
      <c r="H15" s="506"/>
      <c r="I15" s="506"/>
      <c r="J15" s="506"/>
      <c r="K15" s="506"/>
      <c r="L15" s="506"/>
      <c r="M15" s="33"/>
      <c r="N15" s="33"/>
      <c r="O15" s="33"/>
    </row>
    <row r="16" spans="1:17" s="94" customFormat="1" ht="22.5" customHeight="1" thickBot="1" x14ac:dyDescent="0.25">
      <c r="B16" s="500" t="s">
        <v>373</v>
      </c>
      <c r="C16" s="501"/>
      <c r="D16" s="501"/>
      <c r="E16" s="501"/>
      <c r="F16" s="501"/>
      <c r="G16" s="501"/>
      <c r="H16" s="501"/>
      <c r="I16" s="501"/>
      <c r="J16" s="501"/>
      <c r="K16" s="502"/>
      <c r="L16" s="362"/>
      <c r="M16" s="96"/>
      <c r="N16" s="96"/>
      <c r="O16" s="96"/>
    </row>
    <row r="17" spans="1:21" s="37" customFormat="1" ht="15" customHeight="1" x14ac:dyDescent="0.2">
      <c r="B17" s="51"/>
      <c r="C17" s="52"/>
      <c r="D17" s="52"/>
      <c r="E17" s="52"/>
      <c r="F17" s="50"/>
      <c r="H17" s="508"/>
      <c r="I17" s="508"/>
      <c r="J17" s="508"/>
      <c r="O17" s="33"/>
    </row>
    <row r="18" spans="1:21" s="37" customFormat="1" ht="30.75" customHeight="1" x14ac:dyDescent="0.2">
      <c r="B18" s="504" t="s">
        <v>375</v>
      </c>
      <c r="C18" s="504"/>
      <c r="D18" s="504"/>
      <c r="E18" s="504"/>
      <c r="F18" s="504"/>
      <c r="G18" s="504"/>
      <c r="H18" s="504"/>
      <c r="I18" s="504"/>
      <c r="J18" s="504"/>
      <c r="K18" s="504"/>
      <c r="L18" s="504"/>
      <c r="M18" s="71"/>
      <c r="N18" s="71"/>
    </row>
    <row r="19" spans="1:21" s="37" customFormat="1" ht="15" customHeight="1" x14ac:dyDescent="0.2">
      <c r="B19" s="51"/>
      <c r="C19" s="52"/>
      <c r="D19" s="52"/>
      <c r="E19" s="52"/>
      <c r="F19" s="50"/>
      <c r="H19" s="508"/>
      <c r="I19" s="508"/>
      <c r="J19" s="508"/>
    </row>
    <row r="20" spans="1:21" ht="25.5" customHeight="1" x14ac:dyDescent="0.2">
      <c r="A20" s="37"/>
      <c r="B20" s="509"/>
      <c r="C20" s="509"/>
      <c r="D20" s="509"/>
      <c r="E20" s="510"/>
      <c r="F20" s="510"/>
      <c r="G20" s="510"/>
      <c r="H20" s="98"/>
      <c r="J20" s="33"/>
      <c r="K20" s="33"/>
      <c r="L20" s="33"/>
      <c r="M20" s="33"/>
      <c r="N20" s="33"/>
      <c r="O20" s="37"/>
      <c r="P20" s="37"/>
      <c r="Q20" s="37"/>
    </row>
    <row r="21" spans="1:21" ht="25.5" customHeight="1" x14ac:dyDescent="0.2">
      <c r="A21" s="37"/>
      <c r="B21" s="511"/>
      <c r="C21" s="511"/>
      <c r="D21" s="511"/>
      <c r="E21" s="510"/>
      <c r="F21" s="510"/>
      <c r="G21" s="510"/>
      <c r="H21" s="99"/>
      <c r="J21" s="33"/>
      <c r="K21" s="33"/>
      <c r="L21" s="33"/>
      <c r="M21" s="33"/>
      <c r="N21" s="33"/>
      <c r="O21" s="37"/>
      <c r="P21" s="37"/>
      <c r="Q21" s="37"/>
    </row>
    <row r="22" spans="1:21" s="37" customFormat="1" ht="15.75" customHeight="1" x14ac:dyDescent="0.2">
      <c r="B22" s="47"/>
      <c r="C22" s="48"/>
      <c r="D22" s="48"/>
      <c r="E22" s="49"/>
      <c r="F22" s="50"/>
      <c r="H22" s="33"/>
      <c r="I22" s="33"/>
      <c r="J22" s="33"/>
      <c r="K22" s="33"/>
      <c r="L22" s="33"/>
      <c r="M22" s="33"/>
      <c r="N22" s="33"/>
      <c r="O22" s="33"/>
    </row>
    <row r="23" spans="1:21" s="94" customFormat="1" ht="21.75" customHeight="1" x14ac:dyDescent="0.25">
      <c r="B23" s="100"/>
      <c r="C23" s="101"/>
      <c r="D23" s="101"/>
      <c r="E23" s="101"/>
      <c r="F23" s="102"/>
      <c r="H23" s="96"/>
      <c r="I23" s="96"/>
      <c r="K23" s="96"/>
      <c r="L23" s="96"/>
      <c r="M23" s="96"/>
      <c r="N23" s="96"/>
      <c r="O23" s="96"/>
    </row>
    <row r="24" spans="1:21" s="37" customFormat="1" ht="47.25" customHeight="1" x14ac:dyDescent="0.2">
      <c r="B24" s="51"/>
      <c r="C24" s="52"/>
      <c r="D24" s="52"/>
      <c r="E24" s="52"/>
      <c r="F24" s="50"/>
      <c r="H24" s="507"/>
      <c r="I24" s="507"/>
      <c r="J24" s="507"/>
      <c r="O24" s="33"/>
    </row>
    <row r="25" spans="1:21" s="37" customFormat="1" ht="21" customHeight="1" x14ac:dyDescent="0.2">
      <c r="B25" s="51"/>
      <c r="C25" s="52"/>
      <c r="D25" s="52"/>
      <c r="E25" s="52"/>
      <c r="F25" s="50"/>
      <c r="H25" s="33"/>
      <c r="J25" s="73"/>
      <c r="K25" s="71"/>
      <c r="L25" s="71"/>
      <c r="M25" s="71"/>
      <c r="N25" s="71"/>
    </row>
    <row r="26" spans="1:21" s="37" customFormat="1" ht="15" customHeight="1" x14ac:dyDescent="0.2">
      <c r="B26" s="51"/>
      <c r="C26" s="52"/>
      <c r="D26" s="52"/>
      <c r="E26" s="52"/>
      <c r="F26" s="50"/>
    </row>
    <row r="27" spans="1:21" s="37" customFormat="1" ht="33.75" customHeight="1" x14ac:dyDescent="0.2">
      <c r="B27" s="51"/>
      <c r="C27" s="52"/>
      <c r="D27" s="52"/>
      <c r="E27" s="52"/>
      <c r="F27" s="50"/>
    </row>
    <row r="28" spans="1:21" s="37" customFormat="1" ht="43.5" customHeight="1" x14ac:dyDescent="0.2">
      <c r="B28" s="51"/>
      <c r="C28" s="53"/>
      <c r="D28" s="54"/>
      <c r="E28" s="54"/>
      <c r="F28" s="50"/>
      <c r="H28" s="507"/>
      <c r="I28" s="507"/>
      <c r="J28" s="507"/>
    </row>
    <row r="29" spans="1:21" s="37" customFormat="1" ht="12" customHeight="1" x14ac:dyDescent="0.2">
      <c r="B29" s="51"/>
      <c r="C29" s="54"/>
      <c r="D29" s="54"/>
      <c r="E29" s="54"/>
      <c r="F29" s="50"/>
      <c r="M29" s="103"/>
      <c r="N29" s="103"/>
    </row>
    <row r="30" spans="1:21" s="37" customFormat="1" ht="18.75" customHeight="1" x14ac:dyDescent="0.2">
      <c r="B30" s="51"/>
      <c r="C30" s="53"/>
      <c r="D30" s="54"/>
      <c r="E30" s="54"/>
      <c r="F30" s="50"/>
      <c r="J30" s="103"/>
      <c r="K30" s="103"/>
      <c r="L30" s="103"/>
      <c r="M30" s="103"/>
      <c r="N30" s="103"/>
      <c r="P30" s="55"/>
      <c r="Q30" s="55"/>
      <c r="R30" s="55"/>
      <c r="S30" s="55"/>
      <c r="T30" s="55"/>
      <c r="U30" s="55"/>
    </row>
    <row r="31" spans="1:21" s="37" customFormat="1" ht="37.5" customHeight="1" x14ac:dyDescent="0.2">
      <c r="B31" s="50"/>
      <c r="C31" s="52"/>
      <c r="D31" s="52"/>
      <c r="E31" s="52"/>
      <c r="F31" s="50"/>
      <c r="P31" s="55"/>
      <c r="Q31" s="46"/>
      <c r="R31" s="46"/>
      <c r="S31" s="57"/>
      <c r="T31" s="57"/>
      <c r="U31" s="57"/>
    </row>
    <row r="32" spans="1:21" s="37" customFormat="1" ht="14.25" customHeight="1" x14ac:dyDescent="0.2">
      <c r="B32" s="50"/>
      <c r="C32" s="52"/>
      <c r="D32" s="52"/>
      <c r="E32" s="52"/>
      <c r="F32" s="50"/>
      <c r="P32" s="55"/>
      <c r="Q32" s="46"/>
      <c r="R32" s="46"/>
      <c r="S32" s="57"/>
      <c r="T32" s="57"/>
      <c r="U32" s="57"/>
    </row>
    <row r="33" spans="2:24" s="37" customFormat="1" ht="45" customHeight="1" x14ac:dyDescent="0.2">
      <c r="B33" s="50"/>
      <c r="C33" s="52"/>
      <c r="D33" s="52"/>
      <c r="E33" s="52"/>
      <c r="F33" s="50"/>
      <c r="P33" s="55"/>
      <c r="Q33" s="46"/>
      <c r="R33" s="46" t="s">
        <v>52</v>
      </c>
      <c r="S33" s="57">
        <v>0.77500000000000002</v>
      </c>
      <c r="T33" s="57">
        <v>0.11</v>
      </c>
      <c r="U33" s="57">
        <f>T33-T33-T33</f>
        <v>-0.11</v>
      </c>
    </row>
    <row r="34" spans="2:24" s="37" customFormat="1" ht="15.75" customHeight="1" x14ac:dyDescent="0.2">
      <c r="B34" s="50"/>
      <c r="C34" s="52"/>
      <c r="D34" s="52"/>
      <c r="E34" s="52"/>
      <c r="F34" s="50"/>
      <c r="P34" s="55"/>
      <c r="Q34" s="46"/>
      <c r="R34" s="46"/>
      <c r="S34" s="57"/>
      <c r="T34" s="57"/>
      <c r="U34" s="57"/>
    </row>
    <row r="35" spans="2:24" s="37" customFormat="1" ht="18.75" customHeight="1" x14ac:dyDescent="0.2">
      <c r="B35" s="50"/>
      <c r="C35" s="52"/>
      <c r="D35" s="52"/>
      <c r="E35" s="52"/>
      <c r="F35" s="50"/>
      <c r="P35" s="55"/>
      <c r="Q35" s="46"/>
      <c r="R35" s="46"/>
      <c r="S35" s="57"/>
      <c r="T35" s="57"/>
      <c r="U35" s="57"/>
    </row>
    <row r="36" spans="2:24" s="37" customFormat="1" ht="18.75" customHeight="1" x14ac:dyDescent="0.2">
      <c r="B36" s="50"/>
      <c r="C36" s="58"/>
      <c r="D36" s="58"/>
      <c r="E36" s="58"/>
      <c r="F36" s="50"/>
      <c r="H36" s="33"/>
      <c r="P36" s="55"/>
      <c r="Q36" s="46" t="s">
        <v>71</v>
      </c>
      <c r="R36" s="46" t="s">
        <v>14</v>
      </c>
      <c r="S36" s="57">
        <v>0.95</v>
      </c>
      <c r="T36" s="57">
        <v>3.5000000000000003E-2</v>
      </c>
      <c r="U36" s="57">
        <f>T36-T36-T36</f>
        <v>-3.5000000000000003E-2</v>
      </c>
      <c r="V36" s="33"/>
      <c r="W36" s="33"/>
      <c r="X36" s="33"/>
    </row>
    <row r="37" spans="2:24" s="212" customFormat="1" ht="15" x14ac:dyDescent="0.2">
      <c r="B37" s="506"/>
      <c r="C37" s="506"/>
      <c r="D37" s="506"/>
      <c r="E37" s="506"/>
      <c r="F37" s="506"/>
      <c r="G37" s="506"/>
      <c r="H37" s="506"/>
      <c r="I37" s="506"/>
      <c r="J37" s="506"/>
      <c r="K37" s="506"/>
      <c r="L37" s="506"/>
    </row>
    <row r="38" spans="2:24" s="212" customFormat="1" ht="15.75" x14ac:dyDescent="0.25">
      <c r="B38" s="515" t="s">
        <v>376</v>
      </c>
      <c r="C38" s="506"/>
      <c r="D38" s="506"/>
      <c r="E38" s="506"/>
      <c r="F38" s="506"/>
      <c r="G38" s="506"/>
      <c r="H38" s="506"/>
      <c r="I38" s="506"/>
      <c r="J38" s="506"/>
      <c r="K38" s="506"/>
      <c r="L38" s="506"/>
    </row>
    <row r="39" spans="2:24" s="94" customFormat="1" ht="33" customHeight="1" x14ac:dyDescent="0.2">
      <c r="B39" s="503" t="s">
        <v>381</v>
      </c>
      <c r="C39" s="503"/>
      <c r="D39" s="503"/>
      <c r="E39" s="503"/>
      <c r="F39" s="503"/>
      <c r="G39" s="503"/>
      <c r="H39" s="503"/>
      <c r="I39" s="503"/>
      <c r="J39" s="503"/>
      <c r="K39" s="503"/>
      <c r="L39" s="503"/>
      <c r="M39" s="96"/>
      <c r="N39" s="96"/>
      <c r="O39" s="96"/>
    </row>
    <row r="40" spans="2:24" s="94" customFormat="1" ht="5.25" customHeight="1" x14ac:dyDescent="0.2">
      <c r="B40" s="516"/>
      <c r="C40" s="516"/>
      <c r="D40" s="516"/>
      <c r="E40" s="516"/>
      <c r="F40" s="516"/>
      <c r="G40" s="516"/>
      <c r="H40" s="516"/>
      <c r="I40" s="516"/>
      <c r="J40" s="516"/>
      <c r="K40" s="516"/>
      <c r="L40" s="516"/>
      <c r="M40" s="110"/>
      <c r="N40" s="96"/>
      <c r="O40" s="96"/>
    </row>
    <row r="41" spans="2:24" s="212" customFormat="1" ht="61.5" customHeight="1" x14ac:dyDescent="0.2">
      <c r="C41" s="503" t="s">
        <v>6541</v>
      </c>
      <c r="D41" s="503"/>
      <c r="E41" s="503"/>
      <c r="F41" s="503"/>
      <c r="G41" s="503"/>
      <c r="H41" s="503"/>
      <c r="I41" s="503"/>
      <c r="J41" s="503"/>
      <c r="K41" s="503"/>
      <c r="L41" s="503"/>
    </row>
    <row r="42" spans="2:24" s="212" customFormat="1" ht="16.5" customHeight="1" x14ac:dyDescent="0.2">
      <c r="C42" s="503" t="s">
        <v>379</v>
      </c>
      <c r="D42" s="503"/>
      <c r="E42" s="503"/>
      <c r="F42" s="503"/>
      <c r="G42" s="503"/>
      <c r="H42" s="503"/>
      <c r="I42" s="503"/>
      <c r="J42" s="503"/>
      <c r="K42" s="503"/>
      <c r="L42" s="503"/>
    </row>
    <row r="43" spans="2:24" s="212" customFormat="1" ht="17.25" customHeight="1" x14ac:dyDescent="0.2">
      <c r="C43" s="503" t="s">
        <v>229</v>
      </c>
      <c r="D43" s="503"/>
      <c r="E43" s="503"/>
      <c r="F43" s="503"/>
      <c r="G43" s="503"/>
      <c r="H43" s="503"/>
      <c r="I43" s="503"/>
      <c r="J43" s="503"/>
      <c r="K43" s="503"/>
      <c r="L43" s="503"/>
    </row>
    <row r="44" spans="2:24" s="212" customFormat="1" ht="16.5" customHeight="1" x14ac:dyDescent="0.2">
      <c r="B44" s="472"/>
      <c r="C44" s="503" t="s">
        <v>377</v>
      </c>
      <c r="D44" s="503"/>
      <c r="E44" s="503"/>
      <c r="F44" s="503"/>
      <c r="G44" s="503"/>
      <c r="H44" s="503"/>
      <c r="I44" s="503"/>
      <c r="J44" s="503"/>
      <c r="K44" s="503"/>
      <c r="L44" s="503"/>
    </row>
    <row r="45" spans="2:24" s="212" customFormat="1" ht="15" x14ac:dyDescent="0.2">
      <c r="B45" s="472"/>
      <c r="C45" s="472"/>
      <c r="D45" s="472"/>
      <c r="E45" s="472"/>
      <c r="F45" s="472"/>
      <c r="G45" s="472"/>
      <c r="H45" s="472"/>
      <c r="I45" s="472"/>
      <c r="J45" s="472"/>
      <c r="K45" s="472"/>
      <c r="L45" s="472"/>
    </row>
    <row r="46" spans="2:24" s="37" customFormat="1" x14ac:dyDescent="0.2"/>
    <row r="47" spans="2:24" s="94" customFormat="1" ht="15" x14ac:dyDescent="0.2">
      <c r="B47" s="512" t="str">
        <f ca="1">HYPERLINK(Reference!B$9, Reference!A$9)</f>
        <v>Copyright © 2015, The Health and Social Care Information Centre. All Rights Reserved.</v>
      </c>
      <c r="C47" s="513"/>
      <c r="D47" s="513"/>
      <c r="E47" s="513"/>
      <c r="F47" s="513"/>
      <c r="G47" s="513"/>
      <c r="H47" s="513"/>
      <c r="I47" s="513"/>
      <c r="J47" s="513"/>
      <c r="K47" s="513"/>
    </row>
    <row r="48" spans="2:24" s="37" customFormat="1" x14ac:dyDescent="0.2"/>
    <row r="49" spans="4:4" s="37" customFormat="1" x14ac:dyDescent="0.2"/>
    <row r="50" spans="4:4" s="37" customFormat="1" x14ac:dyDescent="0.2"/>
    <row r="51" spans="4:4" s="37" customFormat="1" x14ac:dyDescent="0.2"/>
    <row r="52" spans="4:4" s="37" customFormat="1" x14ac:dyDescent="0.2">
      <c r="D52" s="363"/>
    </row>
    <row r="53" spans="4:4" s="37" customFormat="1" x14ac:dyDescent="0.2"/>
    <row r="54" spans="4:4" s="37" customFormat="1" x14ac:dyDescent="0.2"/>
    <row r="55" spans="4:4" s="37" customFormat="1" x14ac:dyDescent="0.2"/>
    <row r="56" spans="4:4" s="37" customFormat="1" x14ac:dyDescent="0.2"/>
    <row r="57" spans="4:4" s="37" customFormat="1" x14ac:dyDescent="0.2"/>
    <row r="58" spans="4:4" s="37" customFormat="1" x14ac:dyDescent="0.2"/>
    <row r="59" spans="4:4" s="37" customFormat="1" x14ac:dyDescent="0.2"/>
    <row r="60" spans="4:4" s="37" customFormat="1" x14ac:dyDescent="0.2"/>
    <row r="61" spans="4:4" s="37" customFormat="1" x14ac:dyDescent="0.2"/>
    <row r="62" spans="4:4" s="37" customFormat="1" x14ac:dyDescent="0.2"/>
    <row r="63" spans="4:4" s="37" customFormat="1" x14ac:dyDescent="0.2"/>
    <row r="64" spans="4:4" s="37" customFormat="1" x14ac:dyDescent="0.2"/>
    <row r="65" s="37" customFormat="1" x14ac:dyDescent="0.2"/>
    <row r="66" s="37" customFormat="1" x14ac:dyDescent="0.2"/>
    <row r="67" s="37" customFormat="1" x14ac:dyDescent="0.2"/>
    <row r="68" s="37" customFormat="1" x14ac:dyDescent="0.2"/>
    <row r="69" s="37" customFormat="1" x14ac:dyDescent="0.2"/>
    <row r="70" s="37" customFormat="1" x14ac:dyDescent="0.2"/>
    <row r="71" s="37" customFormat="1" x14ac:dyDescent="0.2"/>
    <row r="72" s="37" customFormat="1" x14ac:dyDescent="0.2"/>
    <row r="73" s="37" customFormat="1" x14ac:dyDescent="0.2"/>
    <row r="74" s="37" customFormat="1" x14ac:dyDescent="0.2"/>
    <row r="75" s="37" customFormat="1" x14ac:dyDescent="0.2"/>
    <row r="76" s="37" customFormat="1" x14ac:dyDescent="0.2"/>
    <row r="77" s="37" customFormat="1" x14ac:dyDescent="0.2"/>
    <row r="78" s="37" customFormat="1" x14ac:dyDescent="0.2"/>
    <row r="79" s="37" customFormat="1" x14ac:dyDescent="0.2"/>
    <row r="80" s="37" customFormat="1" x14ac:dyDescent="0.2"/>
    <row r="81" s="37" customFormat="1" x14ac:dyDescent="0.2"/>
    <row r="82" s="37" customFormat="1" x14ac:dyDescent="0.2"/>
    <row r="83" s="37" customFormat="1" x14ac:dyDescent="0.2"/>
    <row r="84" s="37" customFormat="1" x14ac:dyDescent="0.2"/>
    <row r="85" s="37" customFormat="1" x14ac:dyDescent="0.2"/>
    <row r="86" s="37" customFormat="1" x14ac:dyDescent="0.2"/>
    <row r="87" s="37" customFormat="1" x14ac:dyDescent="0.2"/>
    <row r="88" s="37" customFormat="1" x14ac:dyDescent="0.2"/>
    <row r="89" s="37" customFormat="1" x14ac:dyDescent="0.2"/>
    <row r="90" s="37" customFormat="1" x14ac:dyDescent="0.2"/>
    <row r="91" s="37" customFormat="1" x14ac:dyDescent="0.2"/>
    <row r="92" s="37" customFormat="1" x14ac:dyDescent="0.2"/>
    <row r="93" s="37" customFormat="1" x14ac:dyDescent="0.2"/>
    <row r="94" s="37" customFormat="1" x14ac:dyDescent="0.2"/>
    <row r="95" s="37" customFormat="1" x14ac:dyDescent="0.2"/>
    <row r="96" s="37" customFormat="1" x14ac:dyDescent="0.2"/>
    <row r="97" s="37" customFormat="1" x14ac:dyDescent="0.2"/>
    <row r="98" s="37" customFormat="1" x14ac:dyDescent="0.2"/>
    <row r="99" s="37" customFormat="1" x14ac:dyDescent="0.2"/>
    <row r="100" s="37" customFormat="1" x14ac:dyDescent="0.2"/>
    <row r="101" s="37" customFormat="1" x14ac:dyDescent="0.2"/>
    <row r="102" s="37" customFormat="1" x14ac:dyDescent="0.2"/>
    <row r="103" s="37" customFormat="1" x14ac:dyDescent="0.2"/>
    <row r="104" s="37" customFormat="1" x14ac:dyDescent="0.2"/>
    <row r="105" s="37" customFormat="1" x14ac:dyDescent="0.2"/>
    <row r="106" s="37" customFormat="1" x14ac:dyDescent="0.2"/>
    <row r="107" s="37" customFormat="1" x14ac:dyDescent="0.2"/>
    <row r="108" s="37" customFormat="1" x14ac:dyDescent="0.2"/>
    <row r="109" s="37" customFormat="1" x14ac:dyDescent="0.2"/>
    <row r="110" s="37" customFormat="1" x14ac:dyDescent="0.2"/>
    <row r="111" s="37" customFormat="1" x14ac:dyDescent="0.2"/>
    <row r="112" s="37" customFormat="1" x14ac:dyDescent="0.2"/>
    <row r="113" s="37" customFormat="1" x14ac:dyDescent="0.2"/>
    <row r="114" s="37" customFormat="1" x14ac:dyDescent="0.2"/>
    <row r="115" s="37" customFormat="1" x14ac:dyDescent="0.2"/>
    <row r="116" s="37" customFormat="1" x14ac:dyDescent="0.2"/>
    <row r="117" s="37" customFormat="1" x14ac:dyDescent="0.2"/>
    <row r="118" s="37" customFormat="1" x14ac:dyDescent="0.2"/>
    <row r="119" s="37" customFormat="1" x14ac:dyDescent="0.2"/>
    <row r="120" s="37" customFormat="1" x14ac:dyDescent="0.2"/>
    <row r="121" s="37" customFormat="1" x14ac:dyDescent="0.2"/>
    <row r="122" s="37" customFormat="1" x14ac:dyDescent="0.2"/>
    <row r="123" s="37" customFormat="1" x14ac:dyDescent="0.2"/>
    <row r="124" s="37" customFormat="1" x14ac:dyDescent="0.2"/>
    <row r="125" s="37" customFormat="1" x14ac:dyDescent="0.2"/>
    <row r="126" s="37" customFormat="1" x14ac:dyDescent="0.2"/>
    <row r="127" s="37" customFormat="1" x14ac:dyDescent="0.2"/>
    <row r="128" s="37" customFormat="1" x14ac:dyDescent="0.2"/>
    <row r="129" s="37" customFormat="1" x14ac:dyDescent="0.2"/>
    <row r="130" s="37" customFormat="1" x14ac:dyDescent="0.2"/>
    <row r="131" s="37" customFormat="1" x14ac:dyDescent="0.2"/>
    <row r="132" s="37" customFormat="1" x14ac:dyDescent="0.2"/>
    <row r="133" s="37" customFormat="1" x14ac:dyDescent="0.2"/>
    <row r="134" s="37" customFormat="1" x14ac:dyDescent="0.2"/>
    <row r="135" s="37" customFormat="1" x14ac:dyDescent="0.2"/>
    <row r="136" s="37" customFormat="1" x14ac:dyDescent="0.2"/>
    <row r="137" s="37" customFormat="1" x14ac:dyDescent="0.2"/>
    <row r="138" s="37" customFormat="1" x14ac:dyDescent="0.2"/>
    <row r="139" s="37" customFormat="1" x14ac:dyDescent="0.2"/>
    <row r="140" s="37" customFormat="1" x14ac:dyDescent="0.2"/>
    <row r="141" s="37" customFormat="1" x14ac:dyDescent="0.2"/>
    <row r="142" s="37" customFormat="1" x14ac:dyDescent="0.2"/>
    <row r="143" s="37" customFormat="1" x14ac:dyDescent="0.2"/>
    <row r="144" s="37" customFormat="1" x14ac:dyDescent="0.2"/>
    <row r="145" s="37" customFormat="1" x14ac:dyDescent="0.2"/>
    <row r="146" s="37" customFormat="1" x14ac:dyDescent="0.2"/>
    <row r="147" s="37" customFormat="1" x14ac:dyDescent="0.2"/>
    <row r="148" s="37" customFormat="1" x14ac:dyDescent="0.2"/>
    <row r="149" s="37" customFormat="1" x14ac:dyDescent="0.2"/>
    <row r="150" s="37" customFormat="1" x14ac:dyDescent="0.2"/>
    <row r="151" s="37" customFormat="1" x14ac:dyDescent="0.2"/>
    <row r="152" s="37" customFormat="1" x14ac:dyDescent="0.2"/>
    <row r="153" s="37" customFormat="1" x14ac:dyDescent="0.2"/>
    <row r="154" s="37" customFormat="1" x14ac:dyDescent="0.2"/>
    <row r="155" s="37" customFormat="1" x14ac:dyDescent="0.2"/>
    <row r="156" s="37" customFormat="1" x14ac:dyDescent="0.2"/>
    <row r="157" s="37" customFormat="1" x14ac:dyDescent="0.2"/>
    <row r="158" s="37" customFormat="1" x14ac:dyDescent="0.2"/>
    <row r="159" s="37" customFormat="1" x14ac:dyDescent="0.2"/>
    <row r="160" s="37" customFormat="1" x14ac:dyDescent="0.2"/>
    <row r="161" s="37" customFormat="1" x14ac:dyDescent="0.2"/>
    <row r="162" s="37" customFormat="1" x14ac:dyDescent="0.2"/>
    <row r="163" s="37" customFormat="1" x14ac:dyDescent="0.2"/>
    <row r="164" s="37" customFormat="1" x14ac:dyDescent="0.2"/>
    <row r="165" s="37" customFormat="1" x14ac:dyDescent="0.2"/>
    <row r="166" s="37" customFormat="1" x14ac:dyDescent="0.2"/>
    <row r="167" s="37" customFormat="1" x14ac:dyDescent="0.2"/>
    <row r="168" s="37" customFormat="1" x14ac:dyDescent="0.2"/>
    <row r="169" s="37" customFormat="1" x14ac:dyDescent="0.2"/>
    <row r="170" s="37" customFormat="1" x14ac:dyDescent="0.2"/>
    <row r="171" s="37" customFormat="1" x14ac:dyDescent="0.2"/>
    <row r="172" s="37" customFormat="1" x14ac:dyDescent="0.2"/>
    <row r="173" s="37" customFormat="1" x14ac:dyDescent="0.2"/>
    <row r="174" s="37" customFormat="1" x14ac:dyDescent="0.2"/>
    <row r="175" s="37" customFormat="1" x14ac:dyDescent="0.2"/>
    <row r="176" s="37" customFormat="1" x14ac:dyDescent="0.2"/>
    <row r="177" s="37" customFormat="1" x14ac:dyDescent="0.2"/>
    <row r="178" s="37" customFormat="1" x14ac:dyDescent="0.2"/>
    <row r="179" s="37" customFormat="1" x14ac:dyDescent="0.2"/>
    <row r="180" s="37" customFormat="1" x14ac:dyDescent="0.2"/>
    <row r="181" s="37" customFormat="1" x14ac:dyDescent="0.2"/>
    <row r="182" s="37" customFormat="1" x14ac:dyDescent="0.2"/>
    <row r="183" s="37" customFormat="1" x14ac:dyDescent="0.2"/>
    <row r="184" s="37" customFormat="1" x14ac:dyDescent="0.2"/>
    <row r="185" s="37" customFormat="1" x14ac:dyDescent="0.2"/>
    <row r="186" s="37" customFormat="1" x14ac:dyDescent="0.2"/>
    <row r="187" s="37" customFormat="1" x14ac:dyDescent="0.2"/>
    <row r="188" s="37" customFormat="1" x14ac:dyDescent="0.2"/>
    <row r="189" s="37" customFormat="1" x14ac:dyDescent="0.2"/>
    <row r="190" s="37" customFormat="1" x14ac:dyDescent="0.2"/>
    <row r="191" s="37" customFormat="1" x14ac:dyDescent="0.2"/>
    <row r="192" s="37" customFormat="1" x14ac:dyDescent="0.2"/>
    <row r="193" s="37" customFormat="1" x14ac:dyDescent="0.2"/>
    <row r="194" s="37" customFormat="1" x14ac:dyDescent="0.2"/>
    <row r="195" s="37" customFormat="1" x14ac:dyDescent="0.2"/>
    <row r="196" s="37" customFormat="1" x14ac:dyDescent="0.2"/>
    <row r="197" s="37" customFormat="1" x14ac:dyDescent="0.2"/>
    <row r="198" s="37" customFormat="1" x14ac:dyDescent="0.2"/>
    <row r="199" s="37" customFormat="1" x14ac:dyDescent="0.2"/>
    <row r="200" s="37" customFormat="1" x14ac:dyDescent="0.2"/>
    <row r="201" s="37" customFormat="1" x14ac:dyDescent="0.2"/>
    <row r="202" s="37" customFormat="1" x14ac:dyDescent="0.2"/>
    <row r="203" s="37" customFormat="1" x14ac:dyDescent="0.2"/>
    <row r="204" s="37" customFormat="1" x14ac:dyDescent="0.2"/>
    <row r="205" s="37" customFormat="1" x14ac:dyDescent="0.2"/>
    <row r="206" s="37" customFormat="1" x14ac:dyDescent="0.2"/>
    <row r="207" s="37" customFormat="1" x14ac:dyDescent="0.2"/>
    <row r="208" s="37" customFormat="1" x14ac:dyDescent="0.2"/>
    <row r="209" s="37" customFormat="1" x14ac:dyDescent="0.2"/>
    <row r="210" s="37" customFormat="1" x14ac:dyDescent="0.2"/>
    <row r="211" s="37" customFormat="1" x14ac:dyDescent="0.2"/>
    <row r="212" s="37" customFormat="1" x14ac:dyDescent="0.2"/>
    <row r="213" s="37" customFormat="1" x14ac:dyDescent="0.2"/>
    <row r="214" s="37" customFormat="1" x14ac:dyDescent="0.2"/>
    <row r="215" s="37" customFormat="1" x14ac:dyDescent="0.2"/>
    <row r="216" s="37" customFormat="1" x14ac:dyDescent="0.2"/>
    <row r="217" s="37" customFormat="1" x14ac:dyDescent="0.2"/>
    <row r="218" s="37" customFormat="1" x14ac:dyDescent="0.2"/>
    <row r="219" s="37" customFormat="1" x14ac:dyDescent="0.2"/>
    <row r="383" spans="2:5" ht="38.25" customHeight="1" x14ac:dyDescent="0.2">
      <c r="B383" s="514"/>
      <c r="C383" s="514"/>
      <c r="D383" s="514"/>
      <c r="E383" s="514"/>
    </row>
  </sheetData>
  <sheetProtection sheet="1" objects="1" scenarios="1" selectLockedCells="1" selectUnlockedCells="1"/>
  <mergeCells count="25">
    <mergeCell ref="C44:L44"/>
    <mergeCell ref="B47:K47"/>
    <mergeCell ref="B383:E383"/>
    <mergeCell ref="B38:L38"/>
    <mergeCell ref="B39:L39"/>
    <mergeCell ref="B40:L40"/>
    <mergeCell ref="C41:L41"/>
    <mergeCell ref="C42:L42"/>
    <mergeCell ref="C43:L43"/>
    <mergeCell ref="B37:L37"/>
    <mergeCell ref="H24:J24"/>
    <mergeCell ref="H28:J28"/>
    <mergeCell ref="H17:J17"/>
    <mergeCell ref="B18:L18"/>
    <mergeCell ref="H19:J19"/>
    <mergeCell ref="B20:D20"/>
    <mergeCell ref="E20:G20"/>
    <mergeCell ref="B21:D21"/>
    <mergeCell ref="E21:G21"/>
    <mergeCell ref="B16:K16"/>
    <mergeCell ref="B9:L9"/>
    <mergeCell ref="B11:L11"/>
    <mergeCell ref="B13:L13"/>
    <mergeCell ref="B14:L14"/>
    <mergeCell ref="B15:L15"/>
  </mergeCells>
  <pageMargins left="0.35433070866141736" right="0.35433070866141736" top="0.39370078740157483" bottom="0.39370078740157483" header="0.11811023622047245" footer="0.11811023622047245"/>
  <pageSetup paperSize="9" scale="54" orientation="portrait" r:id="rId1"/>
  <headerFooter alignWithMargins="0"/>
  <rowBreaks count="2" manualBreakCount="2">
    <brk id="49" max="13" man="1"/>
    <brk id="162" max="1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3350"/>
  </sheetPr>
  <dimension ref="A1:AD98"/>
  <sheetViews>
    <sheetView showGridLines="0" showRowColHeaders="0" zoomScale="80" zoomScaleNormal="80" workbookViewId="0">
      <pane ySplit="5" topLeftCell="A6" activePane="bottomLeft" state="frozen"/>
      <selection activeCell="D11" sqref="D11:E11"/>
      <selection pane="bottomLeft" activeCell="D11" sqref="D11:E11"/>
    </sheetView>
  </sheetViews>
  <sheetFormatPr defaultRowHeight="12.75" x14ac:dyDescent="0.2"/>
  <cols>
    <col min="1" max="1" width="3.7109375" style="33" customWidth="1"/>
    <col min="2" max="2" width="27.28515625" style="33" customWidth="1"/>
    <col min="3" max="3" width="3.7109375" style="33" customWidth="1"/>
    <col min="4" max="4" width="78" style="33" customWidth="1"/>
    <col min="5" max="5" width="15.5703125" style="33" customWidth="1"/>
    <col min="6" max="6" width="3.7109375" style="33" customWidth="1"/>
    <col min="7" max="7" width="5.7109375" style="33" customWidth="1"/>
    <col min="8" max="8" width="31.28515625" style="33" bestFit="1" customWidth="1"/>
    <col min="9" max="11" width="17.85546875" style="33" customWidth="1"/>
    <col min="12" max="29" width="9.140625" style="153"/>
    <col min="30" max="16384" width="9.140625" style="33"/>
  </cols>
  <sheetData>
    <row r="1" spans="1:29" ht="27" customHeight="1" x14ac:dyDescent="0.2">
      <c r="G1" s="153"/>
      <c r="H1" s="153"/>
      <c r="I1" s="153"/>
      <c r="J1" s="153"/>
      <c r="K1" s="153"/>
    </row>
    <row r="2" spans="1:29" ht="14.85" customHeight="1" x14ac:dyDescent="0.2">
      <c r="G2" s="153"/>
      <c r="H2" s="153"/>
      <c r="I2" s="153"/>
      <c r="J2" s="153"/>
      <c r="K2" s="153"/>
    </row>
    <row r="3" spans="1:29" ht="14.85" customHeight="1" x14ac:dyDescent="0.2">
      <c r="G3" s="153"/>
      <c r="H3" s="153"/>
      <c r="I3" s="153"/>
      <c r="J3" s="153"/>
      <c r="K3" s="153"/>
    </row>
    <row r="4" spans="1:29" ht="14.85" customHeight="1" x14ac:dyDescent="0.2">
      <c r="G4" s="153"/>
      <c r="H4" s="153"/>
      <c r="I4" s="153"/>
      <c r="J4" s="153"/>
      <c r="K4" s="153"/>
    </row>
    <row r="5" spans="1:29" ht="27" customHeight="1" x14ac:dyDescent="0.2">
      <c r="G5" s="153"/>
      <c r="H5" s="153"/>
      <c r="I5" s="153"/>
      <c r="J5" s="153"/>
      <c r="K5" s="153"/>
    </row>
    <row r="6" spans="1:29" ht="5.25" customHeight="1" x14ac:dyDescent="0.2">
      <c r="G6" s="153"/>
      <c r="H6" s="153"/>
      <c r="I6" s="153"/>
      <c r="J6" s="153"/>
      <c r="K6" s="153"/>
    </row>
    <row r="7" spans="1:29" ht="26.25" x14ac:dyDescent="0.4">
      <c r="B7" s="90" t="s">
        <v>5</v>
      </c>
      <c r="G7" s="153"/>
      <c r="H7" s="153"/>
      <c r="I7" s="153"/>
      <c r="J7" s="153"/>
      <c r="K7" s="153"/>
    </row>
    <row r="8" spans="1:29" s="91" customFormat="1" ht="18" x14ac:dyDescent="0.25">
      <c r="B8" s="85" t="str">
        <f>Footnotes!B8</f>
        <v>April 2014 to March 2015, provisional data (published 12 November 2015)</v>
      </c>
      <c r="G8" s="154"/>
      <c r="H8" s="154"/>
      <c r="I8" s="524"/>
      <c r="J8" s="524"/>
      <c r="K8" s="524"/>
      <c r="L8" s="524"/>
      <c r="M8" s="154"/>
      <c r="N8" s="154"/>
      <c r="O8" s="154"/>
      <c r="P8" s="154"/>
      <c r="Q8" s="154"/>
      <c r="R8" s="154"/>
      <c r="S8" s="154"/>
      <c r="T8" s="154"/>
      <c r="U8" s="154"/>
      <c r="V8" s="154"/>
      <c r="W8" s="154"/>
      <c r="X8" s="154"/>
      <c r="Y8" s="154"/>
      <c r="Z8" s="154"/>
      <c r="AA8" s="154"/>
      <c r="AB8" s="154"/>
      <c r="AC8" s="154"/>
    </row>
    <row r="9" spans="1:29" ht="15.75" x14ac:dyDescent="0.25">
      <c r="A9" s="96"/>
      <c r="F9" s="92"/>
      <c r="G9" s="153"/>
      <c r="H9" s="153"/>
      <c r="I9" s="156"/>
      <c r="J9" s="156"/>
      <c r="K9" s="156"/>
      <c r="L9" s="156"/>
    </row>
    <row r="10" spans="1:29" ht="25.5" customHeight="1" thickBot="1" x14ac:dyDescent="0.25">
      <c r="B10" s="262" t="s">
        <v>92</v>
      </c>
      <c r="C10" s="264"/>
      <c r="D10" s="525" t="s">
        <v>95</v>
      </c>
      <c r="E10" s="526"/>
      <c r="F10" s="40"/>
      <c r="G10" s="39"/>
      <c r="H10" s="153"/>
      <c r="I10" s="527"/>
      <c r="J10" s="527"/>
      <c r="K10" s="527"/>
      <c r="L10" s="527"/>
    </row>
    <row r="11" spans="1:29" ht="33" customHeight="1" thickBot="1" x14ac:dyDescent="0.3">
      <c r="A11" s="99"/>
      <c r="B11" s="322" t="s">
        <v>163</v>
      </c>
      <c r="C11" s="263"/>
      <c r="D11" s="528" t="s">
        <v>163</v>
      </c>
      <c r="E11" s="529"/>
      <c r="F11" s="99"/>
      <c r="H11" s="265"/>
      <c r="I11" s="527"/>
      <c r="J11" s="527"/>
      <c r="K11" s="527"/>
      <c r="L11" s="527"/>
    </row>
    <row r="12" spans="1:29" ht="18" customHeight="1" x14ac:dyDescent="0.2">
      <c r="B12" s="40"/>
      <c r="C12" s="40"/>
      <c r="D12" s="40"/>
      <c r="E12" s="40"/>
      <c r="G12" s="40"/>
      <c r="H12" s="41"/>
    </row>
    <row r="13" spans="1:29" ht="18" customHeight="1" x14ac:dyDescent="0.2">
      <c r="B13" s="476" t="s">
        <v>369</v>
      </c>
      <c r="C13" s="477"/>
      <c r="D13" s="477"/>
      <c r="E13" s="477"/>
      <c r="G13" s="40"/>
      <c r="H13" s="41"/>
    </row>
    <row r="14" spans="1:29" ht="35.25" customHeight="1" x14ac:dyDescent="0.2">
      <c r="B14" s="530" t="str">
        <f ca="1">IF(OR(IFERROR(ProvCommData!$B$3,1)=1, ProvCommData!$B$6="CCG of GP Practice",
(AND(ProvCommData!$B$3="England", LEFT(ProvCommData!B8,7)&lt;&gt;RIGHT(ProvCommData!B8,7)))
),"Participation and coverage data is not available for this organisation level and organisation.",
IF(AND('Key Facts'!$C$16="*",'Key Facts'!$D$16="*"),"The number of eligible hospital episodes, pre-operative questionnaires and the participation rate have been suppressed due to small numbers. The England-level participation rate is "&amp;ProvCommData!$E$41&amp;".",
IF(AND('Key Facts'!$C$16="*",'Key Facts'!$D$16&lt;&gt;"*"),"There were "&amp;TEXT('Key Facts'!$D$16,"#,0")&amp;" pre-operative questionnaires returned. The number of eligible hospital episodes and participation rate are suppressed due to small numbers. The England-level participation rate is "&amp;ProvCommData!$E$41&amp;".",IF('Key Facts'!$C$16=0,"There were no eligible hospital episodes and "&amp;TEXT('Key Facts'!$D$16,"0,0")&amp;" pre-operative questionnaires were returned - a headline participation rate of "&amp;TEXT('Key Facts'!$E$15,"0.0%")&amp;".",IF(AND('Key Facts'!$C$16&lt;&gt;"*",'Key Facts'!$D$16="*"),"There were "&amp;TEXT('Key Facts'!$C$16,"#,0")&amp;" eligible hospital episodes. The number of pre-operative questionnaires returned and participation rate are suppressed due to small numbers.","There were "&amp;IF('Key Facts'!$C$16="No Data","no data for ",TEXT('Key Facts'!$C$16,"#,0"))&amp;" eligible hospital episodes and "&amp;IF('Key Facts'!$D$16="No Data","no data for",TEXT('Key Facts'!$D$16,"#,0"))&amp;" pre-operative questionnaires returned"&amp;IF('Key Facts'!$E$16="No data"," - (a headline participation rate of "&amp;TEXT(ProvCommData!$E$41,"0.0%")&amp;" in England)."," - a headline participation rate of "&amp;TEXT('Key Facts'!$E$16,"0.0%")&amp;IF(ProvCommData!$B$7="England",""," ("&amp;TEXT(ProvCommData!$E$41,"0.0%")&amp;" in England).")))))))</f>
        <v>There were 266,604 eligible hospital episodes and 201,086 pre-operative questionnaires returned - a headline participation rate of 75.4%</v>
      </c>
      <c r="C14" s="530" t="str">
        <f>IF(ISERROR(ProvCommData!C4),"The organisation level and organisation selected are not available - please re-select.",IF(AND($C$20="*",$D$20="*"),"The number of eligible hospital episodes, pre-operative questionnaires and the participation rate have been suppressed due to small numbers.",IF(AND($C$20="*",$D$20&lt;&gt;"*"),"There were "&amp;TEXT($D$20,"#,0")&amp;" pre-operative questionnaires returned. The number of eligible hospital episodes and participation rate are suppressed due to small numbers.",IF($C$20=0,"There were no eligible hospital episodes and "&amp;TEXT($D$20,"0,0")&amp;" pre-operative questionnaires were returned - a headline participation rate of "&amp;TEXT($E$19,"0.0%")&amp;".",IF(AND($C$20&lt;&gt;"*",$D$20="*"),"There were "&amp;$C$20&amp;" eligible hospital episodes. The number of pre-operative questionnaires returned and participation rate are suppressed due to small numbers.","There were "&amp;IF($C$20="No Data","no data for",$C$20)&amp;" eligible hospital episodes and "&amp;IF($D$20="No Data","no data for",$D$20)&amp;" pre-operative questionnaires returned"&amp;IF(F21="No data"," - (a headline participation rate of "&amp;TEXT(ProvCommData!H42,"0.0%")&amp;" in England)."," - a headline participation rate of "&amp;TEXT(F21,"0.0%")&amp;IF('Chart data'!C7="England",""," ("&amp;TEXT(ProvCommData!F42,"0.0%")&amp;" in England).")))))))</f>
        <v>There were no eligible hospital episodes and 00 pre-operative questionnaires were returned - a headline participation rate of 0.0%.</v>
      </c>
      <c r="D14" s="530" t="str">
        <f>IF(ISERROR(ProvCommData!D4),"The organisation level and organisation selected are not available - please re-select.",IF(AND($C$20="*",$D$20="*"),"The number of eligible hospital episodes, pre-operative questionnaires and the participation rate have been suppressed due to small numbers.",IF(AND($C$20="*",$D$20&lt;&gt;"*"),"There were "&amp;TEXT($D$20,"#,0")&amp;" pre-operative questionnaires returned. The number of eligible hospital episodes and participation rate are suppressed due to small numbers.",IF($C$20=0,"There were no eligible hospital episodes and "&amp;TEXT($D$20,"0,0")&amp;" pre-operative questionnaires were returned - a headline participation rate of "&amp;TEXT($E$19,"0.0%")&amp;".",IF(AND($C$20&lt;&gt;"*",$D$20="*"),"There were "&amp;$C$20&amp;" eligible hospital episodes. The number of pre-operative questionnaires returned and participation rate are suppressed due to small numbers.","There were "&amp;IF($C$20="No Data","no data for",$C$20)&amp;" eligible hospital episodes and "&amp;IF($D$20="No Data","no data for",$D$20)&amp;" pre-operative questionnaires returned"&amp;IF(G21="No data"," - (a headline participation rate of "&amp;TEXT(ProvCommData!I42,"0.0%")&amp;" in England)."," - a headline participation rate of "&amp;TEXT(G21,"0.0%")&amp;IF('Chart data'!D7="England",""," ("&amp;TEXT(ProvCommData!G42,"0.0%")&amp;" in England).")))))))</f>
        <v>There were no eligible hospital episodes and 00 pre-operative questionnaires were returned - a headline participation rate of 0.0%.</v>
      </c>
      <c r="E14" s="530" t="str">
        <f>IF(ISERROR(ProvCommData!E4),"The organisation level and organisation selected are not available - please re-select.",IF(AND($C$20="*",$D$20="*"),"The number of eligible hospital episodes, pre-operative questionnaires and the participation rate have been suppressed due to small numbers.",IF(AND($C$20="*",$D$20&lt;&gt;"*"),"There were "&amp;TEXT($D$20,"#,0")&amp;" pre-operative questionnaires returned. The number of eligible hospital episodes and participation rate are suppressed due to small numbers.",IF($C$20=0,"There were no eligible hospital episodes and "&amp;TEXT($D$20,"0,0")&amp;" pre-operative questionnaires were returned - a headline participation rate of "&amp;TEXT($E$19,"0.0%")&amp;".",IF(AND($C$20&lt;&gt;"*",$D$20="*"),"There were "&amp;$C$20&amp;" eligible hospital episodes. The number of pre-operative questionnaires returned and participation rate are suppressed due to small numbers.","There were "&amp;IF($C$20="No Data","no data for",$C$20)&amp;" eligible hospital episodes and "&amp;IF($D$20="No Data","no data for",$D$20)&amp;" pre-operative questionnaires returned"&amp;IF(H21="No data"," - (a headline participation rate of "&amp;TEXT(ProvCommData!J42,"0.0%")&amp;" in England)."," - a headline participation rate of "&amp;TEXT(H21,"0.0%")&amp;IF('Chart data'!E7="England",""," ("&amp;TEXT(ProvCommData!H42,"0.0%")&amp;" in England).")))))))</f>
        <v>There were no eligible hospital episodes and 00 pre-operative questionnaires were returned - a headline participation rate of 0.0%.</v>
      </c>
      <c r="G14" s="40"/>
      <c r="H14" s="41"/>
    </row>
    <row r="15" spans="1:29" ht="32.25" customHeight="1" x14ac:dyDescent="0.2">
      <c r="B15" s="531" t="str">
        <f ca="1">IF(OR(ISERROR(ProvCommData!$B$3)=TRUE,ProvCommData!$B$6="CCG of GP Practice",
(AND(ProvCommData!$B$3="England", LEFT(ProvCommData!B8,7)&lt;&gt;RIGHT(ProvCommData!B8,7)))),"Participation and coverage data is not available for this organisation level and organisation.",
IF(AND('Key Facts'!$K$16="*",'Key Facts'!$M$16="*"),"The number of post-operative questionnaires sent out and returned, and the response rate have been suppressed due to small numbers.",IF(AND('Key Facts'!$K$16="*",'Key Facts'!$M$16&lt;&gt;"*"),"There were "&amp;TEXT('Key Facts'!$M$16,"#,0")&amp;" post-operative questionnaires returned. The number of post-operative questionnaires sent out and the response rate are suppressed due to small numbers.",IF(AND('Key Facts'!$K$16&lt;&gt;"*",'Key Facts'!$M$16="*"),"There were "&amp;TEXT('Key Facts'!$K$16,"#,0")&amp;" post-operative questionnaires sent out. The number of post-operative questionnaires returned and the response rate are suppressed due to small numbers.",IF('Key Facts'!$C$16="No Data","There was no data for","Of the "&amp;TEXT('Key Facts'!$K$16,"#,0"))&amp;" post-operative questionnaires sent out, "&amp;IF('Key Facts'!$M$16="No data","there is no data for number of returned questionnaires - a response rate of "  &amp;TEXT(ProvCommData!$G$48,"0.0%")&amp;" in England).",TEXT('Key Facts'!$M$16,"#,0")&amp;" have been returned - a response rate of "&amp;TEXT('Key Facts'!$N$16,"0.0%")&amp;IF(ProvCommData!B7="England",""," ("&amp;TEXT(ProvCommData!$G$48,"0.0%")&amp;" in England)."))))))</f>
        <v>Of the 180,943 post-operative questionnaires sent out, 122,388 have been returned - a response rate of 67.6%</v>
      </c>
      <c r="C15" s="532"/>
      <c r="D15" s="532"/>
      <c r="E15" s="532"/>
      <c r="G15" s="40"/>
      <c r="H15" s="41"/>
    </row>
    <row r="16" spans="1:29" ht="18" customHeight="1" x14ac:dyDescent="0.2">
      <c r="B16" s="477"/>
      <c r="C16" s="477"/>
      <c r="D16" s="477"/>
      <c r="E16" s="477"/>
      <c r="G16" s="40"/>
      <c r="H16" s="41"/>
    </row>
    <row r="17" spans="1:29" ht="18" customHeight="1" x14ac:dyDescent="0.2">
      <c r="B17" s="476" t="s">
        <v>49</v>
      </c>
      <c r="C17" s="477"/>
      <c r="D17" s="477"/>
      <c r="E17" s="477"/>
      <c r="G17" s="40"/>
      <c r="H17" s="41"/>
    </row>
    <row r="18" spans="1:29" s="99" customFormat="1" ht="17.25" customHeight="1" x14ac:dyDescent="0.2">
      <c r="A18" s="33"/>
      <c r="F18" s="33"/>
      <c r="H18" s="198"/>
      <c r="L18" s="166"/>
      <c r="M18" s="166"/>
      <c r="N18" s="166"/>
      <c r="O18" s="166"/>
      <c r="P18" s="166"/>
      <c r="Q18" s="166"/>
      <c r="R18" s="166"/>
      <c r="S18" s="166"/>
      <c r="T18" s="166"/>
      <c r="U18" s="166"/>
      <c r="V18" s="166"/>
      <c r="W18" s="166"/>
      <c r="X18" s="166"/>
      <c r="Y18" s="166"/>
      <c r="Z18" s="166"/>
      <c r="AA18" s="166"/>
      <c r="AB18" s="166"/>
      <c r="AC18" s="166"/>
    </row>
    <row r="19" spans="1:29" ht="30" customHeight="1" x14ac:dyDescent="0.2">
      <c r="G19" s="522"/>
      <c r="H19" s="522"/>
      <c r="I19" s="450"/>
      <c r="J19" s="450"/>
      <c r="K19" s="451"/>
      <c r="M19" s="523"/>
      <c r="N19" s="523"/>
      <c r="O19" s="440"/>
      <c r="P19" s="440"/>
      <c r="Q19" s="440"/>
      <c r="R19" s="440"/>
      <c r="S19" s="156"/>
      <c r="T19" s="156"/>
      <c r="U19" s="157"/>
      <c r="V19" s="157"/>
      <c r="W19" s="157"/>
      <c r="X19" s="158"/>
      <c r="Y19" s="158"/>
    </row>
    <row r="20" spans="1:29" ht="16.5" customHeight="1" x14ac:dyDescent="0.2">
      <c r="G20" s="520"/>
      <c r="H20" s="450"/>
      <c r="I20" s="452"/>
      <c r="J20" s="452"/>
      <c r="K20" s="452"/>
      <c r="M20" s="521"/>
      <c r="N20" s="440"/>
      <c r="O20" s="159"/>
      <c r="P20" s="159"/>
      <c r="Q20" s="159"/>
      <c r="R20" s="159"/>
      <c r="S20" s="156"/>
      <c r="T20" s="156"/>
      <c r="U20" s="157"/>
      <c r="V20" s="157"/>
      <c r="W20" s="157"/>
      <c r="X20" s="158"/>
      <c r="Y20" s="158"/>
    </row>
    <row r="21" spans="1:29" ht="16.5" customHeight="1" x14ac:dyDescent="0.2">
      <c r="G21" s="520"/>
      <c r="H21" s="450"/>
      <c r="I21" s="452"/>
      <c r="J21" s="452"/>
      <c r="K21" s="452"/>
      <c r="M21" s="521"/>
      <c r="N21" s="440"/>
      <c r="O21" s="159"/>
      <c r="P21" s="159"/>
      <c r="Q21" s="159"/>
      <c r="R21" s="159"/>
      <c r="S21" s="156"/>
      <c r="T21" s="156"/>
      <c r="U21" s="157"/>
      <c r="V21" s="157"/>
      <c r="W21" s="157"/>
      <c r="X21" s="158"/>
      <c r="Y21" s="158"/>
    </row>
    <row r="22" spans="1:29" ht="16.5" customHeight="1" x14ac:dyDescent="0.2">
      <c r="G22" s="520"/>
      <c r="H22" s="450"/>
      <c r="I22" s="452"/>
      <c r="J22" s="452"/>
      <c r="K22" s="452"/>
      <c r="M22" s="521"/>
      <c r="N22" s="440"/>
      <c r="O22" s="159"/>
      <c r="P22" s="159"/>
      <c r="Q22" s="159"/>
      <c r="R22" s="159"/>
      <c r="S22" s="156"/>
      <c r="T22" s="156"/>
      <c r="U22" s="157"/>
      <c r="V22" s="157"/>
      <c r="W22" s="157"/>
      <c r="X22" s="158"/>
      <c r="Y22" s="158"/>
    </row>
    <row r="23" spans="1:29" ht="16.5" customHeight="1" x14ac:dyDescent="0.2">
      <c r="G23" s="520"/>
      <c r="H23" s="450"/>
      <c r="I23" s="452"/>
      <c r="J23" s="452"/>
      <c r="K23" s="452"/>
      <c r="M23" s="521"/>
      <c r="N23" s="440"/>
      <c r="O23" s="159"/>
      <c r="P23" s="159"/>
      <c r="Q23" s="159"/>
      <c r="R23" s="159"/>
      <c r="S23" s="156"/>
      <c r="T23" s="156"/>
      <c r="U23" s="157"/>
      <c r="V23" s="157"/>
      <c r="W23" s="157"/>
      <c r="X23" s="158"/>
      <c r="Y23" s="158"/>
    </row>
    <row r="24" spans="1:29" ht="15.95" customHeight="1" x14ac:dyDescent="0.2">
      <c r="G24" s="102"/>
      <c r="H24" s="102"/>
      <c r="I24" s="102"/>
      <c r="J24" s="102"/>
      <c r="K24" s="102"/>
      <c r="M24" s="156"/>
      <c r="N24" s="156"/>
      <c r="O24" s="156"/>
      <c r="P24" s="156"/>
      <c r="Q24" s="156"/>
      <c r="R24" s="156"/>
      <c r="S24" s="156"/>
      <c r="T24" s="156"/>
      <c r="U24" s="157"/>
      <c r="V24" s="157"/>
      <c r="W24" s="157"/>
      <c r="X24" s="158"/>
      <c r="Y24" s="158"/>
    </row>
    <row r="25" spans="1:29" ht="30" customHeight="1" x14ac:dyDescent="0.2">
      <c r="G25" s="522"/>
      <c r="H25" s="522"/>
      <c r="I25" s="450"/>
      <c r="J25" s="450"/>
      <c r="K25" s="451"/>
      <c r="M25" s="523"/>
      <c r="N25" s="523"/>
      <c r="O25" s="440"/>
      <c r="P25" s="440"/>
      <c r="Q25" s="440"/>
      <c r="R25" s="440"/>
      <c r="S25" s="156"/>
      <c r="T25" s="156"/>
      <c r="U25" s="157"/>
      <c r="V25" s="157"/>
      <c r="W25" s="157"/>
      <c r="X25" s="158"/>
      <c r="Y25" s="158"/>
    </row>
    <row r="26" spans="1:29" ht="16.5" customHeight="1" x14ac:dyDescent="0.2">
      <c r="G26" s="520"/>
      <c r="H26" s="450"/>
      <c r="I26" s="368"/>
      <c r="J26" s="368"/>
      <c r="K26" s="119"/>
      <c r="M26" s="521"/>
      <c r="N26" s="440"/>
      <c r="O26" s="160"/>
      <c r="P26" s="160"/>
      <c r="Q26" s="160"/>
      <c r="R26" s="160"/>
      <c r="S26" s="156"/>
      <c r="T26" s="156"/>
      <c r="U26" s="157"/>
      <c r="V26" s="157"/>
      <c r="W26" s="157"/>
      <c r="X26" s="158"/>
      <c r="Y26" s="158"/>
    </row>
    <row r="27" spans="1:29" ht="16.5" customHeight="1" x14ac:dyDescent="0.2">
      <c r="G27" s="520"/>
      <c r="H27" s="450"/>
      <c r="I27" s="368"/>
      <c r="J27" s="368"/>
      <c r="K27" s="368"/>
      <c r="M27" s="521"/>
      <c r="N27" s="440"/>
      <c r="O27" s="160"/>
      <c r="P27" s="160"/>
      <c r="Q27" s="160"/>
      <c r="R27" s="160"/>
      <c r="S27" s="156"/>
      <c r="T27" s="156"/>
      <c r="U27" s="157"/>
      <c r="V27" s="157"/>
      <c r="W27" s="157"/>
      <c r="X27" s="158"/>
      <c r="Y27" s="158"/>
    </row>
    <row r="28" spans="1:29" ht="16.5" customHeight="1" x14ac:dyDescent="0.2">
      <c r="G28" s="520"/>
      <c r="H28" s="450"/>
      <c r="I28" s="368"/>
      <c r="J28" s="368"/>
      <c r="K28" s="368"/>
      <c r="M28" s="521"/>
      <c r="N28" s="440"/>
      <c r="O28" s="160"/>
      <c r="P28" s="160"/>
      <c r="Q28" s="160"/>
      <c r="R28" s="160"/>
      <c r="S28" s="156"/>
      <c r="T28" s="156"/>
      <c r="U28" s="157"/>
      <c r="V28" s="157"/>
      <c r="W28" s="157"/>
      <c r="X28" s="158"/>
      <c r="Y28" s="158"/>
    </row>
    <row r="29" spans="1:29" ht="16.5" customHeight="1" x14ac:dyDescent="0.2">
      <c r="G29" s="520"/>
      <c r="H29" s="450"/>
      <c r="I29" s="368"/>
      <c r="J29" s="368"/>
      <c r="K29" s="368"/>
      <c r="M29" s="521"/>
      <c r="N29" s="440"/>
      <c r="O29" s="160"/>
      <c r="P29" s="160"/>
      <c r="Q29" s="160"/>
      <c r="R29" s="160"/>
      <c r="S29" s="156"/>
      <c r="T29" s="156"/>
      <c r="U29" s="156"/>
      <c r="V29" s="156"/>
      <c r="W29" s="156"/>
    </row>
    <row r="30" spans="1:29" ht="15.95" customHeight="1" x14ac:dyDescent="0.2">
      <c r="G30" s="102"/>
      <c r="H30" s="102"/>
      <c r="I30" s="453"/>
      <c r="J30" s="453"/>
      <c r="K30" s="453"/>
      <c r="M30" s="156"/>
      <c r="N30" s="156"/>
      <c r="O30" s="161"/>
      <c r="P30" s="161"/>
      <c r="Q30" s="161"/>
      <c r="R30" s="161"/>
      <c r="S30" s="156"/>
      <c r="T30" s="156"/>
      <c r="U30" s="156"/>
      <c r="V30" s="156"/>
      <c r="W30" s="156"/>
    </row>
    <row r="31" spans="1:29" ht="30" customHeight="1" x14ac:dyDescent="0.2">
      <c r="G31" s="522"/>
      <c r="H31" s="522"/>
      <c r="I31" s="450"/>
      <c r="J31" s="450"/>
      <c r="K31" s="451"/>
      <c r="M31" s="523"/>
      <c r="N31" s="523"/>
      <c r="O31" s="440"/>
      <c r="P31" s="440"/>
      <c r="Q31" s="440"/>
      <c r="R31" s="440"/>
      <c r="S31" s="156"/>
      <c r="T31" s="156"/>
      <c r="U31" s="156"/>
      <c r="V31" s="156"/>
      <c r="W31" s="156"/>
    </row>
    <row r="32" spans="1:29" ht="16.5" customHeight="1" x14ac:dyDescent="0.2">
      <c r="G32" s="520"/>
      <c r="H32" s="450"/>
      <c r="I32" s="452"/>
      <c r="J32" s="452"/>
      <c r="K32" s="454"/>
      <c r="M32" s="521"/>
      <c r="N32" s="440"/>
      <c r="O32" s="159"/>
      <c r="P32" s="159"/>
      <c r="Q32" s="162"/>
      <c r="R32" s="162"/>
      <c r="S32" s="156"/>
      <c r="T32" s="156"/>
      <c r="U32" s="156"/>
      <c r="V32" s="156"/>
      <c r="W32" s="156"/>
    </row>
    <row r="33" spans="2:23" ht="16.5" customHeight="1" x14ac:dyDescent="0.2">
      <c r="G33" s="520"/>
      <c r="H33" s="450"/>
      <c r="I33" s="452"/>
      <c r="J33" s="452"/>
      <c r="K33" s="452"/>
      <c r="M33" s="521"/>
      <c r="N33" s="440"/>
      <c r="O33" s="159"/>
      <c r="P33" s="159"/>
      <c r="Q33" s="159"/>
      <c r="R33" s="159"/>
      <c r="S33" s="156"/>
      <c r="T33" s="156"/>
      <c r="U33" s="156"/>
      <c r="V33" s="156"/>
      <c r="W33" s="156"/>
    </row>
    <row r="34" spans="2:23" ht="16.5" customHeight="1" x14ac:dyDescent="0.2">
      <c r="G34" s="520"/>
      <c r="H34" s="450"/>
      <c r="I34" s="452"/>
      <c r="J34" s="452"/>
      <c r="K34" s="452"/>
      <c r="M34" s="521"/>
      <c r="N34" s="440"/>
      <c r="O34" s="159"/>
      <c r="P34" s="159"/>
      <c r="Q34" s="159"/>
      <c r="R34" s="159"/>
      <c r="S34" s="156"/>
      <c r="T34" s="156"/>
      <c r="U34" s="156"/>
      <c r="V34" s="156"/>
      <c r="W34" s="156"/>
    </row>
    <row r="35" spans="2:23" ht="16.5" customHeight="1" x14ac:dyDescent="0.2">
      <c r="G35" s="520"/>
      <c r="H35" s="450"/>
      <c r="I35" s="452"/>
      <c r="J35" s="452"/>
      <c r="K35" s="452"/>
      <c r="M35" s="521"/>
      <c r="N35" s="440"/>
      <c r="O35" s="159"/>
      <c r="P35" s="159"/>
      <c r="Q35" s="159"/>
      <c r="R35" s="159"/>
      <c r="S35" s="156"/>
      <c r="T35" s="156"/>
      <c r="U35" s="156"/>
      <c r="V35" s="156"/>
      <c r="W35" s="156"/>
    </row>
    <row r="36" spans="2:23" ht="15.95" customHeight="1" x14ac:dyDescent="0.2">
      <c r="G36" s="102"/>
      <c r="H36" s="102"/>
      <c r="I36" s="453"/>
      <c r="J36" s="453"/>
      <c r="K36" s="453"/>
      <c r="M36" s="156"/>
      <c r="N36" s="156"/>
      <c r="O36" s="161"/>
      <c r="P36" s="161"/>
      <c r="Q36" s="161"/>
      <c r="R36" s="161"/>
      <c r="S36" s="156"/>
      <c r="T36" s="156"/>
      <c r="U36" s="156"/>
      <c r="V36" s="156"/>
      <c r="W36" s="156"/>
    </row>
    <row r="37" spans="2:23" ht="30" customHeight="1" x14ac:dyDescent="0.2">
      <c r="G37" s="522"/>
      <c r="H37" s="522"/>
      <c r="I37" s="450"/>
      <c r="J37" s="450"/>
      <c r="K37" s="451"/>
      <c r="M37" s="523"/>
      <c r="N37" s="523"/>
      <c r="O37" s="440"/>
      <c r="P37" s="440"/>
      <c r="Q37" s="440"/>
      <c r="R37" s="440"/>
      <c r="S37" s="156"/>
      <c r="T37" s="156"/>
      <c r="U37" s="156"/>
      <c r="V37" s="156"/>
      <c r="W37" s="156"/>
    </row>
    <row r="38" spans="2:23" ht="16.5" customHeight="1" x14ac:dyDescent="0.2">
      <c r="G38" s="520"/>
      <c r="H38" s="450"/>
      <c r="I38" s="368"/>
      <c r="J38" s="368"/>
      <c r="K38" s="119"/>
      <c r="M38" s="521"/>
      <c r="N38" s="440"/>
      <c r="O38" s="160"/>
      <c r="P38" s="160"/>
      <c r="Q38" s="160"/>
      <c r="R38" s="160"/>
      <c r="S38" s="156"/>
      <c r="T38" s="156"/>
      <c r="U38" s="156"/>
      <c r="V38" s="156"/>
      <c r="W38" s="156"/>
    </row>
    <row r="39" spans="2:23" ht="16.5" customHeight="1" x14ac:dyDescent="0.2">
      <c r="G39" s="520"/>
      <c r="H39" s="450"/>
      <c r="I39" s="368"/>
      <c r="J39" s="368"/>
      <c r="K39" s="368"/>
      <c r="M39" s="521"/>
      <c r="N39" s="440"/>
      <c r="O39" s="160"/>
      <c r="P39" s="160"/>
      <c r="Q39" s="160"/>
      <c r="R39" s="160"/>
      <c r="S39" s="156"/>
      <c r="T39" s="156"/>
      <c r="U39" s="156"/>
      <c r="V39" s="156"/>
      <c r="W39" s="156"/>
    </row>
    <row r="40" spans="2:23" ht="16.5" customHeight="1" x14ac:dyDescent="0.2">
      <c r="G40" s="520"/>
      <c r="H40" s="450"/>
      <c r="I40" s="368"/>
      <c r="J40" s="368"/>
      <c r="K40" s="368"/>
      <c r="M40" s="521"/>
      <c r="N40" s="440"/>
      <c r="O40" s="160"/>
      <c r="P40" s="160"/>
      <c r="Q40" s="160"/>
      <c r="R40" s="160"/>
      <c r="S40" s="156"/>
      <c r="T40" s="156"/>
      <c r="U40" s="156"/>
      <c r="V40" s="156"/>
      <c r="W40" s="156"/>
    </row>
    <row r="41" spans="2:23" ht="16.5" customHeight="1" x14ac:dyDescent="0.25">
      <c r="B41" s="265"/>
      <c r="G41" s="520"/>
      <c r="H41" s="450"/>
      <c r="I41" s="368"/>
      <c r="J41" s="368"/>
      <c r="K41" s="368"/>
      <c r="M41" s="521"/>
      <c r="N41" s="440"/>
      <c r="O41" s="160"/>
      <c r="P41" s="160"/>
      <c r="Q41" s="160"/>
      <c r="R41" s="160"/>
      <c r="S41" s="156"/>
      <c r="T41" s="156"/>
      <c r="U41" s="156"/>
      <c r="V41" s="156"/>
      <c r="W41" s="156"/>
    </row>
    <row r="42" spans="2:23" x14ac:dyDescent="0.2">
      <c r="I42" s="42"/>
      <c r="J42" s="42"/>
      <c r="M42" s="156"/>
      <c r="N42" s="156"/>
      <c r="O42" s="156"/>
      <c r="P42" s="156"/>
      <c r="Q42" s="156"/>
      <c r="R42" s="156"/>
      <c r="S42" s="156"/>
      <c r="T42" s="156"/>
      <c r="U42" s="156"/>
      <c r="V42" s="156"/>
      <c r="W42" s="156"/>
    </row>
    <row r="43" spans="2:23" ht="11.25" customHeight="1" x14ac:dyDescent="0.2">
      <c r="G43" s="153"/>
      <c r="H43" s="153"/>
      <c r="I43" s="153"/>
      <c r="J43" s="153"/>
      <c r="K43" s="153"/>
      <c r="O43" s="156"/>
      <c r="P43" s="156"/>
      <c r="Q43" s="156"/>
      <c r="R43" s="156"/>
      <c r="S43" s="156"/>
      <c r="T43" s="156"/>
      <c r="U43" s="156"/>
      <c r="V43" s="156"/>
      <c r="W43" s="156"/>
    </row>
    <row r="44" spans="2:23" ht="11.25" customHeight="1" x14ac:dyDescent="0.2">
      <c r="G44" s="153"/>
      <c r="H44" s="153"/>
      <c r="I44" s="153"/>
      <c r="J44" s="153"/>
      <c r="K44" s="153"/>
      <c r="O44" s="156"/>
      <c r="P44" s="156"/>
      <c r="Q44" s="156"/>
      <c r="R44" s="156"/>
      <c r="S44" s="156"/>
      <c r="T44" s="156"/>
      <c r="U44" s="156"/>
      <c r="V44" s="156"/>
      <c r="W44" s="156"/>
    </row>
    <row r="45" spans="2:23" ht="11.25" customHeight="1" x14ac:dyDescent="0.2">
      <c r="G45" s="153"/>
      <c r="H45" s="153"/>
      <c r="I45" s="153"/>
      <c r="J45" s="153"/>
      <c r="K45" s="153"/>
      <c r="O45" s="156"/>
      <c r="P45" s="156"/>
      <c r="Q45" s="156"/>
      <c r="R45" s="156"/>
      <c r="S45" s="156"/>
      <c r="T45" s="156"/>
      <c r="U45" s="156"/>
      <c r="V45" s="156"/>
      <c r="W45" s="156"/>
    </row>
    <row r="46" spans="2:23" ht="11.25" customHeight="1" x14ac:dyDescent="0.2">
      <c r="G46" s="153"/>
      <c r="H46" s="153"/>
      <c r="I46" s="153"/>
      <c r="J46" s="153"/>
      <c r="K46" s="153"/>
      <c r="O46" s="156"/>
      <c r="P46" s="156"/>
      <c r="Q46" s="156"/>
      <c r="R46" s="156"/>
      <c r="S46" s="156"/>
      <c r="T46" s="156"/>
      <c r="U46" s="156"/>
      <c r="V46" s="156"/>
      <c r="W46" s="156"/>
    </row>
    <row r="47" spans="2:23" ht="11.25" customHeight="1" x14ac:dyDescent="0.2">
      <c r="G47" s="153"/>
      <c r="H47" s="153"/>
      <c r="I47" s="153"/>
      <c r="J47" s="153"/>
      <c r="K47" s="153"/>
      <c r="O47" s="156"/>
      <c r="P47" s="156"/>
      <c r="Q47" s="156"/>
      <c r="R47" s="156"/>
      <c r="S47" s="156"/>
      <c r="T47" s="156"/>
      <c r="U47" s="156"/>
      <c r="V47" s="156"/>
      <c r="W47" s="156"/>
    </row>
    <row r="48" spans="2:23" ht="11.25" customHeight="1" x14ac:dyDescent="0.2">
      <c r="G48" s="153"/>
      <c r="H48" s="153"/>
      <c r="I48" s="153"/>
      <c r="J48" s="153"/>
      <c r="K48" s="153"/>
      <c r="O48" s="156"/>
      <c r="P48" s="156"/>
      <c r="Q48" s="156"/>
      <c r="R48" s="156"/>
      <c r="S48" s="156"/>
      <c r="T48" s="156"/>
      <c r="U48" s="156"/>
      <c r="V48" s="156"/>
      <c r="W48" s="156"/>
    </row>
    <row r="49" spans="3:30" x14ac:dyDescent="0.2">
      <c r="L49" s="33"/>
      <c r="AD49" s="153"/>
    </row>
    <row r="51" spans="3:30" x14ac:dyDescent="0.2">
      <c r="C51" s="43"/>
    </row>
    <row r="61" spans="3:30" ht="12.75" customHeight="1" x14ac:dyDescent="0.2"/>
    <row r="96" spans="2:14" ht="271.5" customHeight="1" x14ac:dyDescent="0.2">
      <c r="B96" s="517" t="s">
        <v>367</v>
      </c>
      <c r="C96" s="518"/>
      <c r="D96" s="518"/>
      <c r="E96" s="518"/>
      <c r="F96" s="473"/>
      <c r="G96" s="473"/>
      <c r="H96" s="473"/>
      <c r="I96" s="473"/>
      <c r="J96" s="473"/>
      <c r="K96" s="473"/>
      <c r="L96" s="473"/>
      <c r="M96" s="473"/>
      <c r="N96" s="473"/>
    </row>
    <row r="97" spans="2:14" x14ac:dyDescent="0.2">
      <c r="B97" s="473"/>
      <c r="C97" s="473"/>
      <c r="D97" s="473"/>
      <c r="E97" s="473"/>
      <c r="F97" s="473"/>
      <c r="G97" s="473"/>
      <c r="H97" s="473"/>
      <c r="I97" s="473"/>
      <c r="J97" s="473"/>
      <c r="K97" s="473"/>
      <c r="L97" s="473"/>
      <c r="M97" s="473"/>
      <c r="N97" s="473"/>
    </row>
    <row r="98" spans="2:14" ht="15" x14ac:dyDescent="0.2">
      <c r="B98" s="512" t="str">
        <f ca="1">HYPERLINK(Reference!B$9,Reference!A$9)</f>
        <v>Copyright © 2015, The Health and Social Care Information Centre. All Rights Reserved.</v>
      </c>
      <c r="C98" s="519"/>
      <c r="D98" s="519"/>
      <c r="E98" s="519"/>
      <c r="F98" s="478"/>
      <c r="G98" s="478"/>
      <c r="H98" s="478"/>
      <c r="I98" s="478"/>
      <c r="J98" s="478"/>
      <c r="K98" s="478"/>
    </row>
  </sheetData>
  <sheetProtection sheet="1" objects="1" scenarios="1" selectLockedCells="1"/>
  <mergeCells count="25">
    <mergeCell ref="G26:G29"/>
    <mergeCell ref="M26:M29"/>
    <mergeCell ref="I8:L8"/>
    <mergeCell ref="D10:E10"/>
    <mergeCell ref="I10:L10"/>
    <mergeCell ref="D11:E11"/>
    <mergeCell ref="I11:L11"/>
    <mergeCell ref="G19:H19"/>
    <mergeCell ref="M19:N19"/>
    <mergeCell ref="G20:G23"/>
    <mergeCell ref="M20:M23"/>
    <mergeCell ref="G25:H25"/>
    <mergeCell ref="M25:N25"/>
    <mergeCell ref="B14:E14"/>
    <mergeCell ref="B15:E15"/>
    <mergeCell ref="B96:E96"/>
    <mergeCell ref="B98:E98"/>
    <mergeCell ref="G38:G41"/>
    <mergeCell ref="M38:M41"/>
    <mergeCell ref="G31:H31"/>
    <mergeCell ref="M31:N31"/>
    <mergeCell ref="G32:G35"/>
    <mergeCell ref="M32:M35"/>
    <mergeCell ref="G37:H37"/>
    <mergeCell ref="M37:N37"/>
  </mergeCells>
  <conditionalFormatting sqref="D11:E11">
    <cfRule type="cellIs" dxfId="7" priority="1" operator="equal">
      <formula>"q"</formula>
    </cfRule>
  </conditionalFormatting>
  <dataValidations count="3">
    <dataValidation type="list" allowBlank="1" showInputMessage="1" showErrorMessage="1" sqref="D11:E11">
      <formula1>KeyFacts_Validation</formula1>
    </dataValidation>
    <dataValidation type="list" allowBlank="1" showInputMessage="1" showErrorMessage="1" sqref="B11">
      <formula1>KeyFacts_Organisation_Level</formula1>
    </dataValidation>
    <dataValidation type="custom" allowBlank="1" showInputMessage="1" showErrorMessage="1" sqref="B12">
      <formula1>#REF!</formula1>
    </dataValidation>
  </dataValidations>
  <hyperlinks>
    <hyperlink ref="F42" r:id="rId1" display="Copyright © 2013, The Health and Social Care Information Centre. All Rights Reserved."/>
  </hyperlinks>
  <pageMargins left="0.35433070866141736" right="0.35433070866141736" top="0.39370078740157483" bottom="0.39370078740157483" header="0.11811023622047245" footer="0.11811023622047245"/>
  <pageSetup paperSize="9" scale="40" fitToHeight="5" orientation="portrait" r:id="rId2"/>
  <headerFooter alignWithMargins="0"/>
  <ignoredErrors>
    <ignoredError sqref="B15" unlockedFormula="1"/>
    <ignoredError sqref="B14" evalError="1"/>
  </ignoredError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3350"/>
    <pageSetUpPr autoPageBreaks="0" fitToPage="1"/>
  </sheetPr>
  <dimension ref="A1:AG46"/>
  <sheetViews>
    <sheetView showGridLines="0" zoomScale="70" zoomScaleNormal="70" workbookViewId="0">
      <pane ySplit="5" topLeftCell="A6" activePane="bottomLeft" state="frozen"/>
      <selection activeCell="D11" sqref="D11:E11"/>
      <selection pane="bottomLeft" activeCell="G16" sqref="G16"/>
    </sheetView>
  </sheetViews>
  <sheetFormatPr defaultRowHeight="12.75" x14ac:dyDescent="0.2"/>
  <cols>
    <col min="1" max="1" width="3.7109375" style="33" customWidth="1"/>
    <col min="2" max="2" width="22.5703125" style="33" customWidth="1"/>
    <col min="3" max="3" width="16.7109375" style="33" customWidth="1"/>
    <col min="4" max="4" width="18.7109375" style="33" customWidth="1"/>
    <col min="5" max="5" width="16.7109375" style="33" customWidth="1"/>
    <col min="6" max="6" width="18.7109375" style="33" customWidth="1"/>
    <col min="7" max="7" width="16.42578125" style="33" customWidth="1"/>
    <col min="8" max="8" width="2.7109375" style="33" customWidth="1"/>
    <col min="9" max="9" width="22.5703125" style="33" customWidth="1"/>
    <col min="10" max="11" width="18.7109375" style="33" customWidth="1"/>
    <col min="12" max="12" width="16.42578125" style="33" customWidth="1"/>
    <col min="13" max="13" width="18.7109375" style="33" customWidth="1"/>
    <col min="14" max="14" width="16.7109375" style="33" customWidth="1"/>
    <col min="15" max="15" width="17.85546875" style="33" customWidth="1"/>
    <col min="16" max="33" width="9.140625" style="153"/>
    <col min="34" max="16384" width="9.140625" style="33"/>
  </cols>
  <sheetData>
    <row r="1" spans="1:33" ht="33" customHeight="1" x14ac:dyDescent="0.2">
      <c r="K1" s="34"/>
      <c r="L1" s="34"/>
      <c r="M1" s="34"/>
      <c r="N1" s="35"/>
      <c r="O1" s="35"/>
    </row>
    <row r="2" spans="1:33" ht="14.85" customHeight="1" x14ac:dyDescent="0.2">
      <c r="K2" s="34"/>
      <c r="L2" s="34"/>
      <c r="M2" s="34"/>
      <c r="N2" s="35"/>
      <c r="O2" s="35"/>
    </row>
    <row r="3" spans="1:33" ht="14.85" customHeight="1" x14ac:dyDescent="0.2">
      <c r="K3" s="34"/>
      <c r="L3" s="34"/>
      <c r="M3" s="34"/>
      <c r="N3" s="35"/>
      <c r="O3" s="35"/>
    </row>
    <row r="4" spans="1:33" ht="14.85" customHeight="1" x14ac:dyDescent="0.2">
      <c r="K4" s="34"/>
      <c r="L4" s="34"/>
      <c r="M4" s="34"/>
      <c r="N4" s="35"/>
      <c r="O4" s="35"/>
    </row>
    <row r="5" spans="1:33" ht="33" customHeight="1" x14ac:dyDescent="0.2">
      <c r="K5" s="34"/>
      <c r="L5" s="34"/>
      <c r="M5" s="34"/>
      <c r="N5" s="35"/>
      <c r="O5" s="35"/>
    </row>
    <row r="6" spans="1:33" ht="26.25" x14ac:dyDescent="0.4">
      <c r="B6" s="90" t="s">
        <v>5</v>
      </c>
      <c r="K6" s="34"/>
      <c r="L6" s="34"/>
      <c r="M6" s="34"/>
      <c r="N6" s="35"/>
      <c r="O6" s="35"/>
    </row>
    <row r="7" spans="1:33" s="91" customFormat="1" ht="18" x14ac:dyDescent="0.25">
      <c r="B7" s="85" t="str">
        <f>Footnotes!B8</f>
        <v>April 2014 to March 2015, provisional data (published 12 November 2015)</v>
      </c>
      <c r="L7" s="113"/>
      <c r="M7" s="533"/>
      <c r="N7" s="533"/>
      <c r="O7" s="533"/>
      <c r="P7" s="533"/>
      <c r="Q7" s="154"/>
      <c r="R7" s="154"/>
      <c r="S7" s="154"/>
      <c r="T7" s="154"/>
      <c r="U7" s="154"/>
      <c r="V7" s="154"/>
      <c r="W7" s="154"/>
      <c r="X7" s="154"/>
      <c r="Y7" s="154"/>
      <c r="Z7" s="154"/>
      <c r="AA7" s="154"/>
      <c r="AB7" s="154"/>
      <c r="AC7" s="154"/>
      <c r="AD7" s="154"/>
      <c r="AE7" s="154"/>
      <c r="AF7" s="154"/>
      <c r="AG7" s="154"/>
    </row>
    <row r="8" spans="1:33" x14ac:dyDescent="0.2">
      <c r="L8" s="35"/>
      <c r="M8" s="36"/>
      <c r="N8" s="36"/>
      <c r="O8" s="36"/>
      <c r="P8" s="156"/>
    </row>
    <row r="9" spans="1:33" s="96" customFormat="1" ht="15.75" x14ac:dyDescent="0.2">
      <c r="B9" s="109" t="str">
        <f>"Adjusted average health gain for "&amp;IF('Adjusted Health Gain Chart'!B11="England",'Adjusted Health Gain Chart'!B11,'Adjusted Health Gain Chart'!B11&amp;" - "&amp;'Adjusted Health Gain Chart'!D11)</f>
        <v>Adjusted average health gain for England</v>
      </c>
      <c r="C9" s="109"/>
      <c r="D9" s="109"/>
      <c r="E9" s="109"/>
      <c r="F9" s="109"/>
      <c r="G9" s="109"/>
      <c r="H9" s="109"/>
      <c r="I9" s="109"/>
      <c r="J9" s="109"/>
      <c r="K9" s="109"/>
      <c r="M9" s="119"/>
      <c r="N9" s="119"/>
      <c r="P9" s="155"/>
      <c r="Q9" s="155"/>
      <c r="R9" s="155"/>
      <c r="S9" s="155"/>
      <c r="T9" s="155"/>
      <c r="U9" s="155"/>
      <c r="V9" s="155"/>
      <c r="W9" s="155"/>
      <c r="X9" s="155"/>
      <c r="Y9" s="155"/>
      <c r="Z9" s="155"/>
      <c r="AA9" s="155"/>
      <c r="AB9" s="155"/>
      <c r="AC9" s="155"/>
      <c r="AD9" s="155"/>
      <c r="AE9" s="155"/>
      <c r="AF9" s="155"/>
      <c r="AG9" s="155"/>
    </row>
    <row r="10" spans="1:33" s="96" customFormat="1" ht="6.95" customHeight="1" x14ac:dyDescent="0.2">
      <c r="B10" s="109"/>
      <c r="C10" s="109"/>
      <c r="D10" s="109"/>
      <c r="E10" s="109"/>
      <c r="F10" s="109"/>
      <c r="G10" s="109"/>
      <c r="H10" s="109"/>
      <c r="I10" s="109"/>
      <c r="J10" s="109"/>
      <c r="K10" s="109"/>
      <c r="M10" s="119"/>
      <c r="N10" s="119"/>
      <c r="P10" s="155"/>
      <c r="Q10" s="155"/>
      <c r="R10" s="155"/>
      <c r="S10" s="155"/>
      <c r="T10" s="155"/>
      <c r="U10" s="155"/>
      <c r="V10" s="155"/>
      <c r="W10" s="155"/>
      <c r="X10" s="155"/>
      <c r="Y10" s="155"/>
      <c r="Z10" s="155"/>
      <c r="AA10" s="155"/>
      <c r="AB10" s="155"/>
      <c r="AC10" s="155"/>
      <c r="AD10" s="155"/>
      <c r="AE10" s="155"/>
      <c r="AF10" s="155"/>
      <c r="AG10" s="155"/>
    </row>
    <row r="11" spans="1:33" s="96" customFormat="1" ht="15.75" x14ac:dyDescent="0.2">
      <c r="C11" s="109"/>
      <c r="D11" s="109"/>
      <c r="E11" s="109"/>
      <c r="F11" s="109"/>
      <c r="G11" s="109"/>
      <c r="H11" s="109"/>
      <c r="I11" s="109"/>
      <c r="J11" s="109"/>
      <c r="K11" s="109"/>
      <c r="M11" s="119"/>
      <c r="N11" s="119"/>
      <c r="P11" s="155"/>
      <c r="Q11" s="155"/>
      <c r="R11" s="155"/>
      <c r="S11" s="155"/>
      <c r="T11" s="155"/>
      <c r="U11" s="155"/>
      <c r="V11" s="155"/>
      <c r="W11" s="155"/>
      <c r="X11" s="155"/>
      <c r="Y11" s="155"/>
      <c r="Z11" s="155"/>
      <c r="AA11" s="155"/>
      <c r="AB11" s="155"/>
      <c r="AC11" s="155"/>
      <c r="AD11" s="155"/>
      <c r="AE11" s="155"/>
      <c r="AF11" s="155"/>
      <c r="AG11" s="155"/>
    </row>
    <row r="12" spans="1:33" s="323" customFormat="1" ht="18" customHeight="1" x14ac:dyDescent="0.2">
      <c r="A12" s="114"/>
      <c r="B12" s="324" t="s">
        <v>189</v>
      </c>
      <c r="C12" s="324"/>
      <c r="D12" s="324"/>
      <c r="E12" s="324"/>
      <c r="F12" s="324"/>
      <c r="G12" s="324"/>
      <c r="H12" s="324"/>
      <c r="I12" s="324"/>
      <c r="J12" s="324"/>
      <c r="K12" s="324"/>
      <c r="L12" s="324"/>
      <c r="M12" s="324"/>
      <c r="P12" s="325"/>
      <c r="Q12" s="325"/>
      <c r="R12" s="325"/>
      <c r="S12" s="326"/>
      <c r="T12" s="326"/>
      <c r="U12" s="326"/>
      <c r="V12" s="326"/>
      <c r="W12" s="326"/>
      <c r="X12" s="326"/>
      <c r="Y12" s="326"/>
      <c r="Z12" s="326"/>
      <c r="AA12" s="326"/>
      <c r="AB12" s="325"/>
      <c r="AC12" s="325"/>
      <c r="AD12" s="325"/>
      <c r="AE12" s="325"/>
      <c r="AF12" s="325"/>
      <c r="AG12" s="325"/>
    </row>
    <row r="13" spans="1:33" ht="6.95" customHeight="1" x14ac:dyDescent="0.2">
      <c r="A13" s="323"/>
      <c r="B13" s="45"/>
      <c r="S13" s="156"/>
      <c r="T13" s="156"/>
      <c r="U13" s="156"/>
      <c r="V13" s="156"/>
      <c r="W13" s="156"/>
      <c r="X13" s="156"/>
      <c r="Y13" s="156"/>
      <c r="Z13" s="156"/>
      <c r="AA13" s="156"/>
    </row>
    <row r="14" spans="1:33" s="50" customFormat="1" ht="21" customHeight="1" x14ac:dyDescent="0.2">
      <c r="A14" s="33"/>
      <c r="B14" s="474" t="s">
        <v>119</v>
      </c>
      <c r="C14" s="33"/>
      <c r="D14" s="33"/>
      <c r="E14" s="33"/>
      <c r="F14" s="33"/>
      <c r="G14" s="33"/>
      <c r="H14" s="33"/>
      <c r="I14" s="475" t="s">
        <v>120</v>
      </c>
      <c r="J14" s="33"/>
      <c r="K14" s="33"/>
      <c r="L14" s="33"/>
      <c r="M14" s="33"/>
      <c r="N14" s="153"/>
      <c r="O14" s="203"/>
      <c r="P14" s="156"/>
      <c r="Q14" s="156"/>
      <c r="R14" s="156"/>
      <c r="S14" s="156"/>
      <c r="T14" s="534"/>
      <c r="U14" s="534"/>
      <c r="V14" s="170"/>
      <c r="W14" s="170"/>
      <c r="X14" s="462"/>
      <c r="Y14" s="170"/>
      <c r="Z14" s="462"/>
      <c r="AA14" s="156"/>
      <c r="AB14" s="156"/>
      <c r="AC14" s="156"/>
      <c r="AD14" s="156"/>
      <c r="AE14" s="156"/>
      <c r="AF14" s="156"/>
      <c r="AG14" s="156"/>
    </row>
    <row r="15" spans="1:33" s="50" customFormat="1" ht="51.75" customHeight="1" x14ac:dyDescent="0.2">
      <c r="A15" s="33"/>
      <c r="B15" s="207"/>
      <c r="C15" s="111" t="s">
        <v>203</v>
      </c>
      <c r="D15" s="111" t="s">
        <v>66</v>
      </c>
      <c r="E15" s="112" t="s">
        <v>9</v>
      </c>
      <c r="F15" s="111" t="s">
        <v>67</v>
      </c>
      <c r="G15" s="112" t="s">
        <v>58</v>
      </c>
      <c r="H15" s="33"/>
      <c r="I15" s="207"/>
      <c r="J15" s="111" t="s">
        <v>66</v>
      </c>
      <c r="K15" s="111" t="s">
        <v>68</v>
      </c>
      <c r="L15" s="112" t="s">
        <v>69</v>
      </c>
      <c r="M15" s="111" t="s">
        <v>70</v>
      </c>
      <c r="N15" s="112" t="s">
        <v>64</v>
      </c>
      <c r="O15" s="203"/>
      <c r="P15" s="156"/>
      <c r="Q15" s="156"/>
      <c r="R15" s="156"/>
      <c r="S15" s="156"/>
      <c r="T15" s="521"/>
      <c r="U15" s="461"/>
      <c r="V15" s="171"/>
      <c r="W15" s="171"/>
      <c r="X15" s="172"/>
      <c r="Y15" s="171"/>
      <c r="Z15" s="172"/>
      <c r="AA15" s="156"/>
      <c r="AB15" s="156"/>
      <c r="AC15" s="156"/>
      <c r="AD15" s="156"/>
      <c r="AE15" s="156"/>
      <c r="AF15" s="156"/>
      <c r="AG15" s="156"/>
    </row>
    <row r="16" spans="1:33" s="50" customFormat="1" ht="19.5" customHeight="1" x14ac:dyDescent="0.2">
      <c r="A16" s="33"/>
      <c r="B16" s="208" t="s">
        <v>57</v>
      </c>
      <c r="C16" s="107">
        <f ca="1">IF(ISERROR(ProvCommData!B3),"No data",IF(OR(ProvCommData!B6=Reference!AA3,ProvCommData!B6=Reference!AA4,ProvCommData!B6=Reference!AA5),"No data",IF(ProvCommData!B6=Reference!AA2,VLOOKUP("England",Participation_Data,2,FALSE),VLOOKUP(ProvCommData!B7,Participation_Data,2,FALSE))))</f>
        <v>266604</v>
      </c>
      <c r="D16" s="107">
        <f ca="1">IF(ISERROR(ProvCommData!B3),"No data",IF(OR(ProvCommData!B6=Reference!AA3,ProvCommData!B6=Reference!AA4,ProvCommData!B6=Reference!AA5),"No data",VLOOKUP(ProvCommData!B7,Participation_Data,3,FALSE)))</f>
        <v>201086</v>
      </c>
      <c r="E16" s="209">
        <f ca="1">IF(ISERROR(ProvCommData!B3),"No data",IF(OR(ProvCommData!B6=Reference!AA3,ProvCommData!B6=Reference!AA4,ProvCommData!B6=Reference!AA5),"No data",VLOOKUP(ProvCommData!B7,Participation_Data,4,FALSE)))</f>
        <v>0.754</v>
      </c>
      <c r="F16" s="107">
        <f ca="1">IF(ISERROR(ProvCommData!B3),"No data",IF(OR(ProvCommData!B6=Reference!AA3,ProvCommData!B6=Reference!AA4,ProvCommData!B6=Reference!AA5),"No data",VLOOKUP(ProvCommData!B7,Participation_Data,5,FALSE)))</f>
        <v>157903</v>
      </c>
      <c r="G16" s="209">
        <f ca="1">IF(ISERROR(ProvCommData!B3),"No data",IF(OR(ProvCommData!B6=Reference!AA3,ProvCommData!B6=Reference!AA4,ProvCommData!B6=Reference!AA5),"No data",VLOOKUP(ProvCommData!B7,Participation_Data,6,FALSE)))</f>
        <v>0.78500000000000003</v>
      </c>
      <c r="H16" s="33"/>
      <c r="I16" s="208" t="s">
        <v>57</v>
      </c>
      <c r="J16" s="107">
        <f ca="1">IF(ISERROR(ProvCommData!B3),"No data",IF(OR(ProvCommData!B6=Reference!AA3,ProvCommData!B6=Reference!AA4,ProvCommData!B6=Reference!AA5),"No data",VLOOKUP(ProvCommData!B7,Participation_Data,3,FALSE)))</f>
        <v>201086</v>
      </c>
      <c r="K16" s="107">
        <f ca="1">IF(ISERROR(ProvCommData!B3),"No data",IF(OR(ProvCommData!B6=Reference!AA3,ProvCommData!B6=Reference!AA4,ProvCommData!B6=Reference!AA5),"No data",VLOOKUP(ProvCommData!B7,Participation_Data,7,FALSE)))</f>
        <v>180943</v>
      </c>
      <c r="L16" s="209">
        <f ca="1">IF(ISERROR(ProvCommData!B3),"No data",IF(OR(ProvCommData!B6=Reference!AA3,ProvCommData!B6=Reference!AA4,ProvCommData!B6=Reference!AA5),"No data",VLOOKUP(ProvCommData!B7,Participation_Data,8,FALSE)))</f>
        <v>0.9</v>
      </c>
      <c r="M16" s="107">
        <f ca="1">IF(ISERROR(ProvCommData!B3),"No data",IF(OR(ProvCommData!B6=Reference!AA3,ProvCommData!B6=Reference!AA4,ProvCommData!B6=Reference!AA5),"No data",VLOOKUP(ProvCommData!B7,Participation_Data,9,FALSE)))</f>
        <v>122388</v>
      </c>
      <c r="N16" s="209">
        <f ca="1">IF(ISERROR(ProvCommData!B3),"No data",IF(OR(ProvCommData!B6=Reference!AA3,ProvCommData!B6=Reference!AA4,ProvCommData!B6=Reference!AA5),"No data",VLOOKUP(ProvCommData!B7,Participation_Data,10,FALSE)))</f>
        <v>0.67600000000000005</v>
      </c>
      <c r="O16" s="203"/>
      <c r="P16" s="156"/>
      <c r="Q16" s="156"/>
      <c r="R16" s="156"/>
      <c r="S16" s="156"/>
      <c r="T16" s="521"/>
      <c r="U16" s="461"/>
      <c r="V16" s="171"/>
      <c r="W16" s="171"/>
      <c r="X16" s="172"/>
      <c r="Y16" s="171"/>
      <c r="Z16" s="172"/>
      <c r="AA16" s="156"/>
      <c r="AB16" s="156"/>
      <c r="AC16" s="156"/>
      <c r="AD16" s="156"/>
      <c r="AE16" s="156"/>
      <c r="AF16" s="156"/>
      <c r="AG16" s="156"/>
    </row>
    <row r="17" spans="1:33" s="50" customFormat="1" ht="19.5" customHeight="1" x14ac:dyDescent="0.2">
      <c r="A17" s="33"/>
      <c r="B17" s="208" t="s">
        <v>50</v>
      </c>
      <c r="C17" s="107">
        <f ca="1">IF(ISERROR(ProvCommData!B3),"No data",IF(OR(ProvCommData!B6=Reference!AA3,ProvCommData!B6=Reference!AA4,ProvCommData!B6=Reference!AA5),"No data",VLOOKUP(ProvCommData!B7,Participation_Data,11,FALSE)))</f>
        <v>72597</v>
      </c>
      <c r="D17" s="107">
        <f ca="1">IF(ISERROR(ProvCommData!B3),"No data",IF(OR(ProvCommData!B6=Reference!AA3,ProvCommData!B6=Reference!AA4,ProvCommData!B6=Reference!AA5),"No data",VLOOKUP(ProvCommData!B7,Participation_Data,12,FALSE)))</f>
        <v>42374</v>
      </c>
      <c r="E17" s="209">
        <f ca="1">IF(ISERROR(ProvCommData!B3),"No data",IF(OR(ProvCommData!B6=Reference!AA3,ProvCommData!B6=Reference!AA4,ProvCommData!B6=Reference!AA5),"No data",VLOOKUP(ProvCommData!B7,Participation_Data,13,FALSE)))</f>
        <v>0.58399999999999996</v>
      </c>
      <c r="F17" s="107">
        <f ca="1">IF(ISERROR(ProvCommData!B3),"No data",IF(OR(ProvCommData!B6=Reference!AA3,ProvCommData!B6=Reference!AA4,ProvCommData!B6=Reference!AA5),"No data",VLOOKUP(ProvCommData!B7,Participation_Data,14,FALSE)))</f>
        <v>31680</v>
      </c>
      <c r="G17" s="209">
        <f ca="1">IF(ISERROR(ProvCommData!B3),"No data",IF(OR(ProvCommData!B6=Reference!AA3,ProvCommData!B6=Reference!AA4,ProvCommData!B6=Reference!AA5),"No data",VLOOKUP(ProvCommData!B7,Participation_Data,15,FALSE)))</f>
        <v>0.748</v>
      </c>
      <c r="H17" s="33"/>
      <c r="I17" s="208" t="s">
        <v>50</v>
      </c>
      <c r="J17" s="107">
        <f ca="1">IF(ISERROR(ProvCommData!B3),"No data",IF(OR(ProvCommData!B6=Reference!AA3,ProvCommData!B6=Reference!AA4,ProvCommData!B6=Reference!AA5),"No data",VLOOKUP(ProvCommData!B7,Participation_Data,12,FALSE)))</f>
        <v>42374</v>
      </c>
      <c r="K17" s="107">
        <f ca="1">IF(ISERROR(ProvCommData!B3),"No data",IF(OR(ProvCommData!B6=Reference!AA3,ProvCommData!B6=Reference!AA4,ProvCommData!B6=Reference!AA5),"No data",VLOOKUP(ProvCommData!B7,Participation_Data,16,FALSE)))</f>
        <v>41521</v>
      </c>
      <c r="L17" s="209">
        <f ca="1">IF(ISERROR(ProvCommData!B3),"No data",IF(OR(ProvCommData!B6=Reference!AA3,ProvCommData!B6=Reference!AA4,ProvCommData!B6=Reference!AA5),"No data",VLOOKUP(ProvCommData!B7,Participation_Data,17,FALSE)))</f>
        <v>0.98</v>
      </c>
      <c r="M17" s="107">
        <f ca="1">IF(ISERROR(ProvCommData!B3),"No data",IF(OR(ProvCommData!B6=Reference!AA3,ProvCommData!B6=Reference!AA4,ProvCommData!B6=Reference!AA5),"No data",VLOOKUP(ProvCommData!B7,Participation_Data,18,FALSE)))</f>
        <v>25898</v>
      </c>
      <c r="N17" s="209">
        <f ca="1">IF(ISERROR(ProvCommData!B3),"No data",IF(OR(ProvCommData!B6=Reference!AA3,ProvCommData!B6=Reference!AA4,ProvCommData!B6=Reference!AA5),"No data",VLOOKUP(ProvCommData!B7,Participation_Data,19,FALSE)))</f>
        <v>0.624</v>
      </c>
      <c r="O17" s="203"/>
      <c r="P17" s="156"/>
      <c r="Q17" s="156"/>
      <c r="R17" s="156"/>
      <c r="S17" s="156"/>
      <c r="T17" s="521"/>
      <c r="U17" s="461"/>
      <c r="V17" s="171"/>
      <c r="W17" s="171"/>
      <c r="X17" s="172"/>
      <c r="Y17" s="171"/>
      <c r="Z17" s="172"/>
      <c r="AA17" s="156"/>
      <c r="AB17" s="156"/>
      <c r="AC17" s="156"/>
      <c r="AD17" s="156"/>
      <c r="AE17" s="156"/>
      <c r="AF17" s="156"/>
      <c r="AG17" s="156"/>
    </row>
    <row r="18" spans="1:33" s="50" customFormat="1" ht="19.5" customHeight="1" x14ac:dyDescent="0.2">
      <c r="A18" s="33"/>
      <c r="B18" s="208" t="s">
        <v>13</v>
      </c>
      <c r="C18" s="107">
        <f ca="1">IF(ISERROR(ProvCommData!B3),"No data",IF(OR(ProvCommData!B6=Reference!AA3,ProvCommData!B6=Reference!AA4,ProvCommData!B6=Reference!AA5),"No data",VLOOKUP(ProvCommData!B7,Participation_Data,20,FALSE)))</f>
        <v>78085</v>
      </c>
      <c r="D18" s="107">
        <f ca="1">IF(ISERROR(ProvCommData!B3),"No data",IF(OR(ProvCommData!B6=Reference!AA3,ProvCommData!B6=Reference!AA4,ProvCommData!B6=Reference!AA5),"No data",VLOOKUP(ProvCommData!B7,Participation_Data,21,FALSE)))</f>
        <v>66844</v>
      </c>
      <c r="E18" s="209">
        <f ca="1">IF(ISERROR(ProvCommData!B3),"No data",IF(OR(ProvCommData!B6=Reference!AA3,ProvCommData!B6=Reference!AA4,ProvCommData!B6=Reference!AA5),"No data",VLOOKUP(ProvCommData!B7,Participation_Data,22,FALSE)))</f>
        <v>0.85599999999999998</v>
      </c>
      <c r="F18" s="107">
        <f ca="1">IF(ISERROR(ProvCommData!B3),"No data",IF(OR(ProvCommData!B6=Reference!AA3,ProvCommData!B6=Reference!AA4,ProvCommData!B6=Reference!AA5),"No data",VLOOKUP(ProvCommData!B7,Participation_Data,23,FALSE)))</f>
        <v>56186</v>
      </c>
      <c r="G18" s="209">
        <f ca="1">IF(ISERROR(ProvCommData!B3),"No data",IF(OR(ProvCommData!B6=Reference!AA3,ProvCommData!B6=Reference!AA4,ProvCommData!B6=Reference!AA5),"No data",VLOOKUP(ProvCommData!B7,Participation_Data,24,FALSE)))</f>
        <v>0.84099999999999997</v>
      </c>
      <c r="H18" s="33"/>
      <c r="I18" s="208" t="s">
        <v>13</v>
      </c>
      <c r="J18" s="107">
        <f ca="1">IF(ISERROR(ProvCommData!B3),"No data",IF(OR(ProvCommData!B6=Reference!AA3,ProvCommData!B6=Reference!AA4,ProvCommData!B6=Reference!AA5),"No data",VLOOKUP(ProvCommData!B7,Participation_Data,21,FALSE)))</f>
        <v>66844</v>
      </c>
      <c r="K18" s="107">
        <f ca="1">IF(ISERROR(ProvCommData!B3),"No data",IF(OR(ProvCommData!B6=Reference!AA3,ProvCommData!B6=Reference!AA4,ProvCommData!B6=Reference!AA5),"No data",VLOOKUP(ProvCommData!B7,Participation_Data,25,FALSE)))</f>
        <v>59091</v>
      </c>
      <c r="L18" s="209">
        <f ca="1">IF(ISERROR(ProvCommData!B3),"No data",IF(OR(ProvCommData!B6=Reference!AA3,ProvCommData!B6=Reference!AA4,ProvCommData!B6=Reference!AA5),"No data",VLOOKUP(ProvCommData!B7,Participation_Data,26,FALSE)))</f>
        <v>0.88400000000000001</v>
      </c>
      <c r="M18" s="107">
        <f ca="1">IF(ISERROR(ProvCommData!B3),"No data",IF(OR(ProvCommData!B6=Reference!AA3,ProvCommData!B6=Reference!AA4,ProvCommData!B6=Reference!AA5),"No data",VLOOKUP(ProvCommData!B7,Participation_Data,27,FALSE)))</f>
        <v>42570</v>
      </c>
      <c r="N18" s="209">
        <f ca="1">IF(ISERROR(ProvCommData!B3),"No data",IF(OR(ProvCommData!B6=Reference!AA3,ProvCommData!B6=Reference!AA4,ProvCommData!B6=Reference!AA5),"No data",VLOOKUP(ProvCommData!B7,Participation_Data,28,FALSE)))</f>
        <v>0.72</v>
      </c>
      <c r="O18" s="203"/>
      <c r="P18" s="156"/>
      <c r="Q18" s="156"/>
      <c r="R18" s="156"/>
      <c r="S18" s="156"/>
      <c r="T18" s="521"/>
      <c r="U18" s="461"/>
      <c r="V18" s="171"/>
      <c r="W18" s="171"/>
      <c r="X18" s="172"/>
      <c r="Y18" s="171"/>
      <c r="Z18" s="172"/>
      <c r="AA18" s="156"/>
      <c r="AB18" s="156"/>
      <c r="AC18" s="156"/>
      <c r="AD18" s="156"/>
      <c r="AE18" s="156"/>
      <c r="AF18" s="156"/>
      <c r="AG18" s="156"/>
    </row>
    <row r="19" spans="1:33" s="50" customFormat="1" ht="19.5" customHeight="1" x14ac:dyDescent="0.2">
      <c r="A19" s="33"/>
      <c r="B19" s="208" t="s">
        <v>15</v>
      </c>
      <c r="C19" s="107">
        <f ca="1">IF(ISERROR(ProvCommData!B3),"No data",IF(OR(ProvCommData!B6=Reference!AA3,ProvCommData!B6=Reference!AA4,ProvCommData!B6=Reference!AA5),"No data",VLOOKUP(ProvCommData!B7,Participation_Data,29,FALSE)))</f>
        <v>83323</v>
      </c>
      <c r="D19" s="107">
        <f ca="1">IF(ISERROR(ProvCommData!B3),"No data",IF(OR(ProvCommData!B6=Reference!AA3,ProvCommData!B6=Reference!AA4,ProvCommData!B6=Reference!AA5),"No data",VLOOKUP(ProvCommData!B7,Participation_Data,30,FALSE)))</f>
        <v>79026</v>
      </c>
      <c r="E19" s="209">
        <f ca="1">IF(ISERROR(ProvCommData!B3),"No data",IF(OR(ProvCommData!B6=Reference!AA3,ProvCommData!B6=Reference!AA4,ProvCommData!B6=Reference!AA5),"No data",VLOOKUP(ProvCommData!B7,Participation_Data,31,FALSE)))</f>
        <v>0.94799999999999995</v>
      </c>
      <c r="F19" s="107">
        <f ca="1">IF(ISERROR(ProvCommData!B3),"No data",IF(OR(ProvCommData!B6=Reference!AA3,ProvCommData!B6=Reference!AA4,ProvCommData!B6=Reference!AA5),"No data",VLOOKUP(ProvCommData!B7,Participation_Data,32,FALSE)))</f>
        <v>59360</v>
      </c>
      <c r="G19" s="209">
        <f ca="1">IF(ISERROR(ProvCommData!B3),"No data",IF(OR(ProvCommData!B6=Reference!AA3,ProvCommData!B6=Reference!AA4,ProvCommData!B6=Reference!AA5),"No data",VLOOKUP(ProvCommData!B7,Participation_Data,33,FALSE)))</f>
        <v>0.751</v>
      </c>
      <c r="H19" s="33"/>
      <c r="I19" s="208" t="s">
        <v>15</v>
      </c>
      <c r="J19" s="107">
        <f ca="1">IF(ISERROR(ProvCommData!B3),"No data",IF(OR(ProvCommData!B6=Reference!AA3,ProvCommData!B6=Reference!AA4,ProvCommData!B6=Reference!AA5),"No data",VLOOKUP(ProvCommData!B7,Participation_Data,30,FALSE)))</f>
        <v>79026</v>
      </c>
      <c r="K19" s="107">
        <f ca="1">IF(ISERROR(ProvCommData!B3),"No data",IF(OR(ProvCommData!B6=Reference!AA3,ProvCommData!B6=Reference!AA4,ProvCommData!B6=Reference!AA5),"No data",VLOOKUP(ProvCommData!B7,Participation_Data,34,FALSE)))</f>
        <v>67878</v>
      </c>
      <c r="L19" s="209">
        <f ca="1">IF(ISERROR(ProvCommData!B3),"No data",IF(OR(ProvCommData!B6=Reference!AA3,ProvCommData!B6=Reference!AA4,ProvCommData!B6=Reference!AA5),"No data",VLOOKUP(ProvCommData!B7,Participation_Data,35,FALSE)))</f>
        <v>0.85899999999999999</v>
      </c>
      <c r="M19" s="107">
        <f ca="1">IF(ISERROR(ProvCommData!B3),"No data",IF(OR(ProvCommData!B6=Reference!AA3,ProvCommData!B6=Reference!AA4,ProvCommData!B6=Reference!AA5),"No data",VLOOKUP(ProvCommData!B7,Participation_Data,36,FALSE)))</f>
        <v>47269</v>
      </c>
      <c r="N19" s="209">
        <f ca="1">IF(ISERROR(ProvCommData!B3),"No data",IF(OR(ProvCommData!B6=Reference!AA3,ProvCommData!B6=Reference!AA4,ProvCommData!B6=Reference!AA5),"No data",VLOOKUP(ProvCommData!B7,Participation_Data,37,FALSE)))</f>
        <v>0.69599999999999995</v>
      </c>
      <c r="O19" s="203"/>
      <c r="P19" s="156"/>
      <c r="Q19" s="156"/>
      <c r="R19" s="156"/>
      <c r="S19" s="156"/>
      <c r="T19" s="521"/>
      <c r="U19" s="461"/>
      <c r="V19" s="171"/>
      <c r="W19" s="171"/>
      <c r="X19" s="172"/>
      <c r="Y19" s="171"/>
      <c r="Z19" s="172"/>
      <c r="AA19" s="156"/>
      <c r="AB19" s="156"/>
      <c r="AC19" s="156"/>
      <c r="AD19" s="156"/>
      <c r="AE19" s="156"/>
      <c r="AF19" s="156"/>
      <c r="AG19" s="156"/>
    </row>
    <row r="20" spans="1:33" s="50" customFormat="1" ht="19.5" customHeight="1" x14ac:dyDescent="0.2">
      <c r="A20" s="33"/>
      <c r="B20" s="208" t="s">
        <v>17</v>
      </c>
      <c r="C20" s="107">
        <f ca="1">IF(ISERROR(ProvCommData!B3),"No data",IF(OR(ProvCommData!B6=Reference!AA3,ProvCommData!B6=Reference!AA4,ProvCommData!B6=Reference!AA5),"No data",VLOOKUP(ProvCommData!B7,Participation_Data,38,FALSE)))</f>
        <v>32599</v>
      </c>
      <c r="D20" s="107">
        <f ca="1">IF(ISERROR(ProvCommData!B3),"No data",IF(OR(ProvCommData!B6=Reference!AA3,ProvCommData!B6=Reference!AA4,ProvCommData!B6=Reference!AA5),"No data",VLOOKUP(ProvCommData!B7,Participation_Data,39,FALSE)))</f>
        <v>12842</v>
      </c>
      <c r="E20" s="209">
        <f ca="1">IF(ISERROR(ProvCommData!B3),"No data",IF(OR(ProvCommData!B6=Reference!AA3,ProvCommData!B6=Reference!AA4,ProvCommData!B6=Reference!AA5),"No data",VLOOKUP(ProvCommData!B7,Participation_Data,40,FALSE)))</f>
        <v>0.39400000000000002</v>
      </c>
      <c r="F20" s="107">
        <f ca="1">IF(ISERROR(ProvCommData!B3),"No data",IF(OR(ProvCommData!B6=Reference!AA3,ProvCommData!B6=Reference!AA4,ProvCommData!B6=Reference!AA5),"No data",VLOOKUP(ProvCommData!B7,Participation_Data,41,FALSE)))</f>
        <v>10677</v>
      </c>
      <c r="G20" s="209">
        <f ca="1">IF(ISERROR(ProvCommData!B3),"No data",IF(OR(ProvCommData!B6=Reference!AA3,ProvCommData!B6=Reference!AA4,ProvCommData!B6=Reference!AA5),"No data",VLOOKUP(ProvCommData!B7,Participation_Data,42,FALSE)))</f>
        <v>0.83099999999999996</v>
      </c>
      <c r="H20" s="33"/>
      <c r="I20" s="208" t="s">
        <v>17</v>
      </c>
      <c r="J20" s="107">
        <f ca="1">IF(ISERROR(ProvCommData!B3),"No data",IF(OR(ProvCommData!B6=Reference!AA3,ProvCommData!B6=Reference!AA4,ProvCommData!B6=Reference!AA5),"No data",VLOOKUP(ProvCommData!B7,Participation_Data,39,FALSE)))</f>
        <v>12842</v>
      </c>
      <c r="K20" s="107">
        <f ca="1">IF(ISERROR(ProvCommData!B3),"No data",IF(OR(ProvCommData!B6=Reference!AA3,ProvCommData!B6=Reference!AA4,ProvCommData!B6=Reference!AA5),"No data",VLOOKUP(ProvCommData!B7,Participation_Data,43,FALSE)))</f>
        <v>12453</v>
      </c>
      <c r="L20" s="209">
        <f ca="1">IF(ISERROR(ProvCommData!B3),"No data",IF(OR(ProvCommData!B6=Reference!AA3,ProvCommData!B6=Reference!AA4,ProvCommData!B6=Reference!AA5),"No data",VLOOKUP(ProvCommData!B7,Participation_Data,44,FALSE)))</f>
        <v>0.97</v>
      </c>
      <c r="M20" s="107">
        <f ca="1">IF(ISERROR(ProvCommData!B3),"No data",IF(OR(ProvCommData!B6=Reference!AA3,ProvCommData!B6=Reference!AA4,ProvCommData!B6=Reference!AA5),"No data",VLOOKUP(ProvCommData!B7,Participation_Data,45,FALSE)))</f>
        <v>6651</v>
      </c>
      <c r="N20" s="209">
        <f ca="1">IF(ISERROR(ProvCommData!B3),"No data",IF(OR(ProvCommData!B6=Reference!AA3,ProvCommData!B6=Reference!AA4,ProvCommData!B6=Reference!AA5),"No data",VLOOKUP(ProvCommData!B7,Participation_Data,46,FALSE)))</f>
        <v>0.53400000000000003</v>
      </c>
      <c r="O20" s="203"/>
      <c r="P20" s="156"/>
      <c r="Q20" s="156"/>
      <c r="R20" s="156"/>
      <c r="S20" s="156"/>
      <c r="T20" s="156"/>
      <c r="U20" s="156"/>
      <c r="V20" s="156"/>
      <c r="W20" s="156"/>
      <c r="X20" s="156"/>
      <c r="Y20" s="156"/>
      <c r="Z20" s="156"/>
      <c r="AA20" s="156"/>
      <c r="AB20" s="156"/>
      <c r="AC20" s="156"/>
      <c r="AD20" s="156"/>
      <c r="AE20" s="156"/>
      <c r="AF20" s="156"/>
      <c r="AG20" s="156"/>
    </row>
    <row r="21" spans="1:33" s="50" customFormat="1" ht="15.75" x14ac:dyDescent="0.2">
      <c r="A21" s="33"/>
      <c r="B21" s="204"/>
      <c r="C21" s="204"/>
      <c r="D21" s="201"/>
      <c r="E21" s="201"/>
      <c r="F21" s="202"/>
      <c r="G21" s="201"/>
      <c r="H21" s="202"/>
      <c r="I21" s="48"/>
      <c r="K21" s="203"/>
      <c r="L21" s="203"/>
      <c r="M21" s="203"/>
      <c r="N21" s="203"/>
      <c r="O21" s="203"/>
      <c r="P21" s="156"/>
      <c r="Q21" s="156"/>
      <c r="R21" s="156"/>
      <c r="S21" s="156"/>
      <c r="T21" s="534"/>
      <c r="U21" s="534"/>
      <c r="V21" s="170"/>
      <c r="W21" s="170"/>
      <c r="X21" s="462"/>
      <c r="Y21" s="170"/>
      <c r="Z21" s="462"/>
      <c r="AA21" s="156"/>
      <c r="AB21" s="156"/>
      <c r="AC21" s="156"/>
      <c r="AD21" s="156"/>
      <c r="AE21" s="156"/>
      <c r="AF21" s="156"/>
      <c r="AG21" s="156"/>
    </row>
    <row r="22" spans="1:33" s="153" customFormat="1" x14ac:dyDescent="0.2">
      <c r="A22" s="50"/>
      <c r="B22" s="33"/>
      <c r="C22" s="33"/>
      <c r="D22" s="33"/>
      <c r="E22" s="33"/>
      <c r="F22" s="33"/>
      <c r="G22" s="33"/>
      <c r="H22" s="33"/>
      <c r="I22" s="33"/>
      <c r="J22" s="33"/>
      <c r="S22" s="156"/>
      <c r="T22" s="156"/>
      <c r="U22" s="156"/>
      <c r="V22" s="156"/>
      <c r="W22" s="156"/>
      <c r="X22" s="156"/>
      <c r="Y22" s="156"/>
      <c r="Z22" s="156"/>
      <c r="AA22" s="156"/>
    </row>
    <row r="23" spans="1:33" s="153" customFormat="1" ht="18.75" x14ac:dyDescent="0.2">
      <c r="B23" s="109" t="s">
        <v>366</v>
      </c>
      <c r="L23" s="33"/>
      <c r="M23" s="33"/>
      <c r="N23" s="33"/>
      <c r="O23" s="33"/>
    </row>
    <row r="24" spans="1:33" ht="15" x14ac:dyDescent="0.2">
      <c r="A24" s="153"/>
      <c r="B24" s="125" t="str">
        <f>IF(ISERROR(ProvCommData!$B$3),"The organisation level and organisation selected are not available - please re-select.",IF(ProvCommData!$C$36="*","The adjusted average health gain for groin hernia respondents could not be calculated as there were fewer than 30 modelled records. The average adjusted health gain for groin hernia respondents in England was "&amp; ROUND(ProvCommData!$D$36,3)&amp;".",IF(ProvCommData!$B$6=Reference!$AA$2, "The adjusted average health gain on the EQ-5D Index for groin hernia respondents following their operation was " &amp; ROUND(ProvCommData!$C$36,3) &amp;" ("&amp; ROUND(ProvCommData!$D$36,3) &amp;" in England)",IF(ProvCommData!$C$36="No data","No modelled records for groin hernia exist for this measure. The average adjusted health gain for groin hernia respondents in England was "&amp; ROUND(ProvCommData!$D$36,3)&amp;".","The adjusted average health gain on the EQ-5D Index for groin hernia respondents following their operation was " &amp; ROUND(ProvCommData!$C$36,3) &amp;" ("&amp; ROUND(ProvCommData!$D$36,3) &amp;" in England)."))))</f>
        <v>The adjusted average health gain on the EQ-5D Index for groin hernia respondents following their operation was 0.084 (0.084 in England)</v>
      </c>
    </row>
    <row r="25" spans="1:33" s="153" customFormat="1" ht="15" x14ac:dyDescent="0.2">
      <c r="A25" s="33"/>
      <c r="B25" s="125" t="str">
        <f>IF(ISERROR(ProvCommData!$B$3),"The organisation level and organisation selected are not available - please re-select.",IF(ProvCommData!$C$35="*","The adjusted average health gain for hip replacement (primary) respondents could not be calculated as there were fewer than 30 modelled records. The average adjusted health gain for hip replacement (primary) respondents in England was "&amp; ROUND(ProvCommData!$D$35,3)&amp;".",IF(ProvCommData!$B$6=Reference!$AA$2, "The adjusted average health gain on the EQ-5D Index for hip replacement (primary) respondents following their operation was " &amp; ROUND(ProvCommData!$C$35,3) &amp;" ("&amp; ROUND(ProvCommData!$D$35,3) &amp;" in England)",IF(ProvCommData!$C$35="No data","No modelled records for hip replacement (primary) exist for this measure. The average adjusted health gain for hip replacement (primary) respondents in England was "&amp; ROUND(ProvCommData!$D$35,3)&amp;".","The adjusted average health gain on the EQ-5D Index for hip replacement (primary) respondents following their operation was " &amp; ROUND(ProvCommData!$C$35,3) &amp;" ("&amp; ROUND(ProvCommData!$D$35,3) &amp;" in England)."))))</f>
        <v>The adjusted average health gain on the EQ-5D Index for hip replacement (primary) respondents following their operation was 0.437 (0.437 in England)</v>
      </c>
      <c r="C25" s="43"/>
      <c r="D25" s="33"/>
      <c r="E25" s="33"/>
      <c r="F25" s="33"/>
      <c r="G25" s="33"/>
      <c r="H25" s="33"/>
      <c r="I25" s="33"/>
      <c r="J25" s="33"/>
      <c r="K25" s="33"/>
      <c r="L25" s="33"/>
      <c r="M25" s="33"/>
      <c r="N25" s="33"/>
      <c r="O25" s="33"/>
    </row>
    <row r="26" spans="1:33" ht="15" x14ac:dyDescent="0.2">
      <c r="A26" s="153"/>
      <c r="B26" s="125" t="str">
        <f>IF(ISERROR(ProvCommData!$B$3),"The organisation level and organisation selected are not available - please re-select.",IF(ProvCommData!$C$34="*","The adjusted average health gain for hip replacement (revision) respondents could not be calculated as there were fewer than 30 modelled records. The average adjusted health gain for hip replacement (revision) respondents in England was "&amp; ROUND(ProvCommData!$D$34,3)&amp;".",IF(ProvCommData!$B$6=Reference!$AA$2, "The adjusted average health gain on the EQ-5D Index for hip replacement (revision) respondents following their operation was " &amp; ROUND(ProvCommData!$C$34,3) &amp;" ("&amp; ROUND(ProvCommData!$D$34,3) &amp;" in England)",IF(ProvCommData!$C$34="No data","No modelled records for hip replacement (revision) exist for this measure. The average adjusted health gain for hip replacement (revision) respondents in England was "&amp; ROUND(ProvCommData!$D$34,3)&amp;".","The adjusted average health gain on the EQ-5D Index for hip replacement (revision) respondents following their operation was " &amp; ROUND(ProvCommData!$C$34,3) &amp;" ("&amp; ROUND(ProvCommData!$D$34,3) &amp;" in England)."))))</f>
        <v>The adjusted average health gain on the EQ-5D Index for hip replacement (revision) respondents following their operation was 0.277 (0.277 in England)</v>
      </c>
    </row>
    <row r="27" spans="1:33" ht="15.75" x14ac:dyDescent="0.2">
      <c r="B27" s="125" t="str">
        <f>IF(ISERROR(ProvCommData!$B$3),"The organisation level and organisation selected are not available - please re-select.",IF(ProvCommData!$C$33="*","The adjusted average health gain for knee replacement (primary) respondents could not be calculated as there were fewer than 30 modelled records. The average adjusted health gain for knee replacement (primary) respondents in England was "&amp; ROUND(ProvCommData!$D$33,3)&amp;".",IF(ProvCommData!$B$6=Reference!$AA$2, "The adjusted average health gain on the EQ-5D Index for knee replacement (primary) respondents following their operation was " &amp; ROUND(ProvCommData!$C$33,3) &amp;" ("&amp; ROUND(ProvCommData!$D$33,3) &amp;" in England)",IF(ProvCommData!$C$33="No data","No modelled records for knee replacement (primary) exist for this measure. The average adjusted health gain for knee replacement (primary) respondents in England was "&amp; ROUND(ProvCommData!$D$33,3)&amp;".","The adjusted average health gain on the EQ-5D Index for knee replacement (primary) respondents following their operation was " &amp; ROUND(ProvCommData!$C$33,3) &amp;" ("&amp; ROUND(ProvCommData!$D$33,3) &amp;" in England)."))))</f>
        <v>The adjusted average health gain on the EQ-5D Index for knee replacement (primary) respondents following their operation was 0.315 (0.315 in England)</v>
      </c>
      <c r="C27" s="201"/>
      <c r="D27" s="201"/>
      <c r="E27" s="202"/>
      <c r="F27" s="201"/>
      <c r="G27" s="202"/>
      <c r="H27" s="50"/>
      <c r="I27" s="204"/>
      <c r="J27" s="201"/>
      <c r="K27" s="201"/>
      <c r="L27" s="202"/>
      <c r="M27" s="201"/>
      <c r="N27" s="202"/>
    </row>
    <row r="28" spans="1:33" ht="15.75" x14ac:dyDescent="0.2">
      <c r="B28" s="125" t="str">
        <f>IF(ISERROR(ProvCommData!$B$3),"The organisation level and organisation selected are not available - please re-select.",IF(ProvCommData!$C$32="*","The adjusted average health gain for knee replacement (revision) respondents could not be calculated as there were fewer than 30 modelled records. The average adjusted health gain for knee replacement (revision) respondents in England was "&amp; ROUND(ProvCommData!$D$32,3)&amp;".",IF(ProvCommData!$B$6=Reference!$AA$2, "The adjusted average health gain on the EQ-5D Index for knee replacement (revision) respondents following their operation was " &amp; ROUND(ProvCommData!$C$32,3) &amp;" ("&amp; ROUND(ProvCommData!$D$32,3) &amp;" in England)",IF(ProvCommData!$C$32="No data","No modelled records for knee replacement (revision) exist for this measure. The average adjusted health gain for knee replacement (revision) respondents in England was "&amp; ROUND(ProvCommData!$D$32,3)&amp;".","The adjusted average health gain on the EQ-5D Index for knee replacement (revision) respondents following their operation was " &amp; ROUND(ProvCommData!$C$32,3) &amp;" ("&amp; ROUND(ProvCommData!$D$32,3) &amp;" in England)."))))</f>
        <v>The adjusted average health gain on the EQ-5D Index for knee replacement (revision) respondents following their operation was 0.258 (0.258 in England)</v>
      </c>
      <c r="C28" s="368"/>
      <c r="D28" s="368"/>
      <c r="E28" s="367"/>
      <c r="F28" s="368"/>
      <c r="G28" s="367"/>
      <c r="H28" s="50"/>
      <c r="I28" s="109"/>
      <c r="J28" s="368"/>
      <c r="K28" s="368"/>
      <c r="L28" s="367"/>
      <c r="M28" s="368"/>
      <c r="N28" s="367"/>
    </row>
    <row r="29" spans="1:33" ht="15.75" x14ac:dyDescent="0.2">
      <c r="B29" s="125" t="str">
        <f>IF(ISERROR(ProvCommData!$B$3),"The organisation level and organisation selected are not available - please re-select.",IF(ProvCommData!$C$31="*","The adjusted average health gain for varicose vein respondents could not be calculated as there were fewer than 30 modelled records. The average adjusted health gain for varicose vein respondents in England was "&amp; ROUND(ProvCommData!$D$31,3)&amp;".",IF(ProvCommData!$B$6=Reference!$AA$2, "The adjusted average health gain on the EQ-5D Index for varicose vein respondents following their operation was " &amp; ROUND(ProvCommData!$C$31,3) &amp;" ("&amp; ROUND(ProvCommData!$D$31,3) &amp;" in England)",IF(ProvCommData!$C$31="No data","No modelled records for varicose vein exist for this measure. The average adjusted health gain for varicose vein respondents in England was "&amp; ROUND(ProvCommData!$D$31,3)&amp;".","The adjusted average health gain on the EQ-5D Index for varicose vein respondents following their operation was " &amp; ROUND(ProvCommData!$C$31,3) &amp;" ("&amp; ROUND(ProvCommData!$D$31,3) &amp;" in England)."))))</f>
        <v>The adjusted average health gain on the EQ-5D Index for varicose vein respondents following their operation was 0.095 (0.095 in England)</v>
      </c>
      <c r="C29" s="368"/>
      <c r="D29" s="368"/>
      <c r="E29" s="367"/>
      <c r="F29" s="368"/>
      <c r="G29" s="367"/>
      <c r="H29" s="50"/>
      <c r="I29" s="109"/>
      <c r="J29" s="368"/>
      <c r="K29" s="368"/>
      <c r="L29" s="367"/>
      <c r="M29" s="368"/>
      <c r="N29" s="367"/>
    </row>
    <row r="30" spans="1:33" ht="15.75" x14ac:dyDescent="0.2">
      <c r="B30" s="84"/>
      <c r="C30" s="368"/>
      <c r="D30" s="368"/>
      <c r="E30" s="367"/>
      <c r="F30" s="368"/>
      <c r="G30" s="367"/>
      <c r="H30" s="50"/>
      <c r="I30" s="109"/>
      <c r="J30" s="368"/>
      <c r="K30" s="368"/>
      <c r="L30" s="367"/>
      <c r="M30" s="368"/>
      <c r="N30" s="367"/>
    </row>
    <row r="31" spans="1:33" ht="15.75" x14ac:dyDescent="0.2">
      <c r="B31" s="467" t="s">
        <v>368</v>
      </c>
      <c r="C31" s="368"/>
      <c r="D31" s="368"/>
      <c r="E31" s="367"/>
      <c r="F31" s="368"/>
      <c r="G31" s="367"/>
      <c r="H31" s="50"/>
      <c r="I31" s="109"/>
      <c r="J31" s="368"/>
      <c r="K31" s="368"/>
      <c r="L31" s="367"/>
      <c r="M31" s="368"/>
      <c r="N31" s="367"/>
    </row>
    <row r="32" spans="1:33" ht="15.75" x14ac:dyDescent="0.2">
      <c r="B32" s="125" t="str">
        <f>IF(ISERROR(ProvCommData!$B$3),"The organisation level and organisation selected are not available - please re-select.",IF(ProvCommData!$C$28="*","The adjusted average health gain for groin hernia respondents could not be calculated as there were fewer than 30 modelled records. The average adjusted health gain for groin hernia respondents in England was "&amp; ROUND(ProvCommData!$D$28,1)&amp;".",IF(ProvCommData!$B$6=Reference!$AA$2, "The adjusted average health gain on the EQ-VAS for groin hernia respondents following their operation was " &amp; ROUND(ProvCommData!$C$28,1) &amp;" ("&amp; ROUND(ProvCommData!$D$28,1) &amp;" in England)",IF(ProvCommData!$C$28="No data","No modelled records for groin hernia exist for this measure. The average adjusted health gain for groin hernia respondents in England was "&amp; ROUND(ProvCommData!$D$28,1)&amp;".","The adjusted average health gain on the EQ-VAS for groin hernia respondents following their operation was " &amp; ROUND(ProvCommData!$C$28,3) &amp;" ("&amp; ROUND(ProvCommData!$D$28,1) &amp;" in England)."))))</f>
        <v>The adjusted average health gain on the EQ-VAS for groin hernia respondents following their operation was -0.5 (-0.5 in England)</v>
      </c>
      <c r="C32" s="368"/>
      <c r="D32" s="368"/>
      <c r="E32" s="367"/>
      <c r="F32" s="368"/>
      <c r="G32" s="367"/>
      <c r="H32" s="50"/>
      <c r="I32" s="109"/>
      <c r="J32" s="368"/>
      <c r="K32" s="368"/>
      <c r="L32" s="367"/>
      <c r="M32" s="368"/>
      <c r="N32" s="367"/>
    </row>
    <row r="33" spans="2:11" ht="15" x14ac:dyDescent="0.2">
      <c r="B33" s="125" t="str">
        <f>IF(ISERROR(ProvCommData!$B$3),"The organisation level and organisation selected are not available - please re-select.",IF(ProvCommData!$C$27="*","The adjusted average health gain for hip replacement (primary) respondents could not be calculated as there were fewer than 30 modelled records. The average adjusted health gain for hip replacement (primary) respondents in England was "&amp; ROUND(ProvCommData!$D$27,1)&amp;".",IF(ProvCommData!$B$6=Reference!$AA$2, "The adjusted average health gain on the EQ-VAS for hip replacement (primary) respondents following their operation was " &amp; ROUND(ProvCommData!$C$27,1) &amp;" ("&amp; ROUND(ProvCommData!$D$27,1) &amp;" in England)",IF(ProvCommData!$C$27="No data","No modelled records for hip replacement (primary) exist for this measure. The average adjusted health gain for hip replacement (primary) respondents in England was "&amp; ROUND(ProvCommData!$D$27,1)&amp;".","The adjusted average health gain on the EQ-VAS for hip replacement (primary) respondents following their operation was " &amp; ROUND(ProvCommData!$C$27,1) &amp;" ("&amp; ROUND(ProvCommData!$D$27,1) &amp;" in England)."))))</f>
        <v>The adjusted average health gain on the EQ-VAS for hip replacement (primary) respondents following their operation was 12 (12 in England)</v>
      </c>
    </row>
    <row r="34" spans="2:11" ht="15" x14ac:dyDescent="0.2">
      <c r="B34" s="125" t="str">
        <f>IF(ISERROR(ProvCommData!$B$3),"The organisation level and organisation selected are not available - please re-select.",IF(ProvCommData!$C$26="*","The adjusted average health gain for hip replacement (revision) respondents could not be calculated as there were fewer than 30 modelled records. The average adjusted health gain for hip replacement (revision) respondents in England was "&amp; ROUND(ProvCommData!$D$26,1)&amp;".",IF(ProvCommData!$B$6=Reference!$AA$2, "The adjusted average health gain on the EQ-VAS for hip replacement (revision) respondents following their operation was " &amp; ROUND(ProvCommData!$C$26,1) &amp;" ("&amp; ROUND(ProvCommData!$D$26,1) &amp;" in England)",IF(ProvCommData!$C$26="No data","No modelled records for hip replacement (revision) exist for this measure. The average adjusted health gain for hip replacement (revision) respondents in England was "&amp; ROUND(ProvCommData!$D$26,1)&amp;".","The adjusted average health gain on the EQ-VAS for hip replacement (revision) respondents following their operation was " &amp; ROUND(ProvCommData!$C$26,1) &amp;" ("&amp; ROUND(ProvCommData!$D$26,1) &amp;" in England)."))))</f>
        <v>The adjusted average health gain on the EQ-VAS for hip replacement (revision) respondents following their operation was 5.2 (5.2 in England)</v>
      </c>
    </row>
    <row r="35" spans="2:11" ht="15" x14ac:dyDescent="0.2">
      <c r="B35" s="125" t="str">
        <f>IF(ISERROR(ProvCommData!$B$3),"The organisation level and organisation selected are not available - please re-select.",IF(ProvCommData!$C$25="*","The adjusted average health gain for knee replacement (primary) respondents could not be calculated as there were fewer than 30 modelled records. The average adjusted health gain for knee replacement (primary)respondents in England was "&amp; ROUND(ProvCommData!$D$25,1)&amp;".",IF(ProvCommData!$B$6=Reference!$AA$2, "The adjusted average health gain on the EQ-VAS for knee replacement (primary) respondents following their operation was " &amp; ROUND(ProvCommData!$C$25,1) &amp;" ("&amp; ROUND(ProvCommData!$D$25,1) &amp;" in England)",IF(ProvCommData!$C$25="No data","No modelled records for knee replacement (primary) exist for this measure. The average adjusted health gain for knee replacement (primary)respondents in England was "&amp; ROUND(ProvCommData!$D$25,1)&amp;".","The adjusted average health gain on the EQ-VAS for knee replacement (primary) respondents following their operation was " &amp; ROUND(ProvCommData!$C$25,1) &amp;" ("&amp; ROUND(ProvCommData!$D$25,1) &amp;" in England)."))))</f>
        <v>The adjusted average health gain on the EQ-VAS for knee replacement (primary) respondents following their operation was 5.9 (5.9 in England)</v>
      </c>
    </row>
    <row r="36" spans="2:11" ht="15" x14ac:dyDescent="0.2">
      <c r="B36" s="125" t="str">
        <f>IF(ISERROR(ProvCommData!$B$3),"The organisation level and organisation selected are not available - please re-select.",IF(ProvCommData!$C$24="*","The adjusted average health gain for knee replacement (revision) respondents could not be calculated as there were fewer than 30 modelled records. The average adjusted health gain for knee replacement (revision) respondents in England was "&amp; ROUND(ProvCommData!$D$24,1)&amp;".",IF(ProvCommData!$B$6=Reference!$AA$2, "The adjusted average health gain on the EQ-VAS for knee replacement (revision) respondents following their operation was " &amp; ROUND(ProvCommData!$C$24,1) &amp;" ("&amp; ROUND(ProvCommData!$D$24,1) &amp;" in England)",IF(ProvCommData!$C$24="No data","No modelled records for knee replacement (revision) exist for this measure. The average adjusted health gain for knee replacement (revision) respondents in England was "&amp; ROUND(ProvCommData!$D$24,1)&amp;".","The adjusted average health gain on the EQ-VAS for knee replacement (revision) respondents following their operation was " &amp; ROUND(ProvCommData!$C$24,1) &amp;" ("&amp; ROUND(ProvCommData!$D$24,1) &amp;" in England)."))))</f>
        <v>The adjusted average health gain on the EQ-VAS for knee replacement (revision) respondents following their operation was 2.1 (2.1 in England)</v>
      </c>
    </row>
    <row r="37" spans="2:11" ht="15" x14ac:dyDescent="0.2">
      <c r="B37" s="125" t="str">
        <f>IF(ISERROR(ProvCommData!$B$3),"The organisation level and organisation selected are not available - please re-select.",IF(ProvCommData!$C$23="*","The adjusted average health gain for varicose vein respondents could not be calculated as there were fewer than 30 modelled records. The average adjusted health gain for varicose vein respondents in England was "&amp; ROUND(ProvCommData!$D$23,1)&amp;".",IF(ProvCommData!$B$6=Reference!$AA$2, "The adjusted average health gain on the EQ-VAS for varicose vein respondents following their operation was " &amp; ROUND(ProvCommData!$C$23,1) &amp;" ("&amp; ROUND(ProvCommData!$D$23,1) &amp;" in England)",IF(ProvCommData!$C$23="No data","No modelled records for varicose vein exist for this measure. The average adjusted health gain for varicose vein respondents in England was "&amp; ROUND(ProvCommData!$D$23,1)&amp;".","The adjusted average health gain on the EQ-VAS for varicose vein respondents following their operation was " &amp; ROUND(ProvCommData!$C$23,1) &amp;" ("&amp; ROUND(ProvCommData!$D$23,1) &amp;" in England)."))))</f>
        <v>The adjusted average health gain on the EQ-VAS for varicose vein respondents following their operation was -0.5 (-0.5 in England)</v>
      </c>
    </row>
    <row r="38" spans="2:11" ht="15" x14ac:dyDescent="0.2">
      <c r="B38" s="87"/>
    </row>
    <row r="39" spans="2:11" ht="15.75" x14ac:dyDescent="0.25">
      <c r="B39" s="123" t="s">
        <v>365</v>
      </c>
    </row>
    <row r="40" spans="2:11" ht="15" x14ac:dyDescent="0.2">
      <c r="B40" s="125" t="str">
        <f>IF(ISERROR(ProvCommData!$B$3),"The organisation level and organisation selected are not available - please re-select.",IF(ProvCommData!$C$20="*","The adjusted average health gain for hip replacement (primary) respondents could not be calculated as there were fewer than 30 modelled records. The average adjusted health gain for hip replacement (primary) respondents in England was "&amp; ROUND(ProvCommData!$D$20,1)&amp;".",IF(ProvCommData!$B$6=Reference!$AA$2, "The adjusted average health gain on the Oxford Hip Score for hip replacement (primary) respondents following their operation was " &amp; ROUND(ProvCommData!$C$20,1) &amp;" ("&amp; ROUND(ProvCommData!$D$20,1) &amp;" in England)",IF(ProvCommData!$C$20="No data","No modelled records for hip replacement (primary) exist for this measure. The average adjusted health gain for hip replacement (primary) respondents in England was "&amp; ROUND(ProvCommData!$D$20,1)&amp;".","The adjusted average health gain on the Oxford Hip Score for  hip replacement (primary) respondents following their operation was " &amp; ROUND(ProvCommData!$C$20,1) &amp;" ("&amp; ROUND(ProvCommData!$D$20,1) &amp;" in England)."))))</f>
        <v>The adjusted average health gain on the Oxford Hip Score for hip replacement (primary) respondents following their operation was 21.5 (21.5 in England)</v>
      </c>
    </row>
    <row r="41" spans="2:11" ht="15" x14ac:dyDescent="0.2">
      <c r="B41" s="125" t="str">
        <f>IF(ISERROR(ProvCommData!$B$3),"The organisation level and organisation selected are not available - please re-select.",IF(ProvCommData!$C$19="*","The adjusted average health gain for hip replacement (revision) respondents could not be calculated as there were fewer than 30 modelled records. The average adjusted health gain for hip replacement (revision) respondents in England was "&amp; ROUND(ProvCommData!$D$19,1)&amp;".",IF(ProvCommData!$B$6=Reference!$AA$2, "The adjusted average health gain on the Oxford Hip Score for hip replacement (revision) respondents following their operation was " &amp; ROUND(ProvCommData!$C$19,1) &amp;" ("&amp; ROUND(ProvCommData!$D$19,1) &amp;" in England)",IF(ProvCommData!$C$19="No data","No modelled records for hip replacement (revision) exist for this measure. The average adjusted health gain for hip replacement (revision) respondents in England was "&amp; ROUND(ProvCommData!$D$19,1)&amp;".","The adjusted average health gain on the Oxford Hip Score for  hip replacement (revision) respondents following their operation was " &amp; ROUND(ProvCommData!$C$19,1) &amp;" ("&amp; ROUND(ProvCommData!$D$19,1) &amp;" in England)."))))</f>
        <v>The adjusted average health gain on the Oxford Hip Score for hip replacement (revision) respondents following their operation was 12.7 (12.7 in England)</v>
      </c>
    </row>
    <row r="42" spans="2:11" ht="15" x14ac:dyDescent="0.2">
      <c r="B42" s="125" t="str">
        <f>IF(ISERROR(ProvCommData!$B$3),"The organisation level and organisation selected are not available - please re-select.",IF(ProvCommData!$C$16="*","The adjusted average health gain for knee replacement (primary) respondents could not be calculated as there were fewer than 30 modelled records. The average adjusted health gain for knee replacement (primary) respondents in England was "&amp; ROUND(ProvCommData!$D$16,1)&amp;".",IF(ProvCommData!$B$6=Reference!$AA$2, "The adjusted average health gain on the Oxford Knee Score for knee replacement (primary) respondents following their operation was " &amp; ROUND(ProvCommData!$C$16,1) &amp;" ("&amp; ROUND(ProvCommData!$D$16,1) &amp;" in England)",IF(ProvCommData!$C$16="No data","No modelled records for knee replacement (primary) exist for this measure. The average adjusted health gain for knee replacement (primary) respondents in England was "&amp; ROUND(ProvCommData!$D$16,1)&amp;".","The adjusted average health gain on the Oxford Knee Score for knee replacement (primary) respondents following their operation was " &amp; ROUND(ProvCommData!$C$16,1) &amp;" ("&amp; ROUND(ProvCommData!$D$16,1) &amp;" in England)."))))</f>
        <v>The adjusted average health gain on the Oxford Knee Score for knee replacement (primary) respondents following their operation was 16.1 (16.1 in England)</v>
      </c>
    </row>
    <row r="43" spans="2:11" ht="15" x14ac:dyDescent="0.2">
      <c r="B43" s="125" t="str">
        <f>IF(ISERROR(ProvCommData!$B$3),"The organisation level and organisation selected are not available - please re-select.",IF(ProvCommData!$C$15="*","The adjusted average health gain for knee replacement (revision) respondents could not be calculated as there were fewer than 30 modelled records. The average adjusted health gain for knee replacement (revision) respondents in England was "&amp; ROUND(ProvCommData!$D$15,1)&amp;".",IF(ProvCommData!$B$6=Reference!$AA$2, "The adjusted average health gain on the Oxford Knee Score for knee replacement (revision) respondents following their operation was " &amp; ROUND(ProvCommData!$C$15,1) &amp;" ("&amp; ROUND(ProvCommData!$D$15,1) &amp;" in England)",IF(ProvCommData!$C$15="No data","No modelled records for knee replacement (revision) exist for this measure. The average adjusted health gain for knee replacement (revision) respondents in England was "&amp; ROUND(ProvCommData!$D$15,1)&amp;".","The adjusted average health gain on the Oxford Knee Score for knee replacement (revision) respondents following their operation was " &amp; ROUND(ProvCommData!$C$15,1) &amp;" ("&amp; ROUND(ProvCommData!$D$15,1) &amp;" in England)."))))</f>
        <v>The adjusted average health gain on the Oxford Knee Score for knee replacement (revision) respondents following their operation was 12.3 (12.3 in England)</v>
      </c>
    </row>
    <row r="44" spans="2:11" ht="15" x14ac:dyDescent="0.2">
      <c r="B44" s="125" t="str">
        <f>IF(ISERROR(ProvCommData!$B$3),"The organisation level and organisation selected are not available - please re-select.",IF(ProvCommData!$C$13="*","The adjusted average health gain for varicose vein respondents could not be calculated as there were fewer than 30 modelled records. The average adjusted health gain for varicose vein respondents in England was "&amp; ROUND(ProvCommData!$D$13,1)&amp;".",IF(ProvCommData!$B$6=Reference!$AA$2, "The adjusted average health gain on the Aberdeen Varicose Vein Questionnaire for varicose vein respondents following their operation was " &amp; ROUND(ProvCommData!$C$13,1) &amp;" ("&amp; ROUND(ProvCommData!$D$13,1) &amp;" in England)",IF(ProvCommData!$C$13="No data","No modelled records for varicose vein exist for this measure. The average adjusted health gain for varicose vein respondents in England was "&amp; ROUND(ProvCommData!$D$13,1)&amp;".","The adjusted average health gain on the Aberdeen Varicose Vein Questionnaire for varicose vein respondents following their operation was " &amp; ROUND(ProvCommData!$C$13,1) &amp;" ("&amp; ROUND(ProvCommData!$D$13,1) &amp;" in England)."))))</f>
        <v>The adjusted average health gain on the Aberdeen Varicose Vein Questionnaire for varicose vein respondents following their operation was -8.3 (-8.3 in England)</v>
      </c>
    </row>
    <row r="46" spans="2:11" ht="15" x14ac:dyDescent="0.2">
      <c r="B46" s="512" t="str">
        <f ca="1">HYPERLINK(Reference!B$9,Reference!A$9)</f>
        <v>Copyright © 2015, The Health and Social Care Information Centre. All Rights Reserved.</v>
      </c>
      <c r="C46" s="513"/>
      <c r="D46" s="513"/>
      <c r="E46" s="513"/>
      <c r="F46" s="513"/>
      <c r="G46" s="513"/>
      <c r="H46" s="513"/>
      <c r="I46" s="513"/>
      <c r="J46" s="513"/>
      <c r="K46" s="513"/>
    </row>
  </sheetData>
  <sheetProtection sheet="1" objects="1" scenarios="1" selectLockedCells="1" selectUnlockedCells="1"/>
  <mergeCells count="5">
    <mergeCell ref="M7:P7"/>
    <mergeCell ref="T14:U14"/>
    <mergeCell ref="T15:T19"/>
    <mergeCell ref="T21:U21"/>
    <mergeCell ref="B46:K46"/>
  </mergeCells>
  <hyperlinks>
    <hyperlink ref="B46:F46" r:id="rId1" display="http://www.ic.nhs.uk/terms-and-conditions"/>
    <hyperlink ref="B46:I46" r:id="rId2" display="http://www.hscic.gov.uk/terms-and-conditions"/>
  </hyperlinks>
  <pageMargins left="0.35433070866141736" right="0.35433070866141736" top="0.39370078740157483" bottom="0.39370078740157483" header="0.11811023622047245" footer="0.11811023622047245"/>
  <pageSetup paperSize="9" scale="50" orientation="landscape" r:id="rId3"/>
  <headerFooter alignWithMargins="0"/>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AC41"/>
  <sheetViews>
    <sheetView showGridLines="0" showRowColHeaders="0" zoomScale="80" zoomScaleNormal="80" workbookViewId="0">
      <pane ySplit="5" topLeftCell="A9" activePane="bottomLeft" state="frozen"/>
      <selection activeCell="E41" activeCellId="1" sqref="S30 E41"/>
      <selection pane="bottomLeft" activeCell="E41" activeCellId="1" sqref="S30 E41"/>
    </sheetView>
  </sheetViews>
  <sheetFormatPr defaultRowHeight="12.75" x14ac:dyDescent="0.2"/>
  <cols>
    <col min="1" max="1" width="2.85546875" style="33" customWidth="1"/>
    <col min="2" max="2" width="27.28515625" style="33" customWidth="1"/>
    <col min="3" max="3" width="3.7109375" style="33" customWidth="1"/>
    <col min="4" max="4" width="78" style="33" customWidth="1"/>
    <col min="5" max="5" width="15.5703125" style="33" customWidth="1"/>
    <col min="6" max="6" width="3.7109375" style="33" customWidth="1"/>
    <col min="7" max="7" width="5.7109375" style="33" customWidth="1"/>
    <col min="8" max="8" width="31.28515625" style="33" bestFit="1" customWidth="1"/>
    <col min="9" max="11" width="17.85546875" style="33" customWidth="1"/>
    <col min="12" max="29" width="9.140625" style="153"/>
    <col min="30" max="16384" width="9.140625" style="33"/>
  </cols>
  <sheetData>
    <row r="1" spans="1:29" ht="27" customHeight="1" x14ac:dyDescent="0.2">
      <c r="G1" s="153"/>
      <c r="H1" s="153"/>
      <c r="I1" s="153"/>
      <c r="J1" s="153"/>
      <c r="K1" s="153"/>
    </row>
    <row r="2" spans="1:29" ht="14.85" customHeight="1" x14ac:dyDescent="0.2">
      <c r="G2" s="153"/>
      <c r="H2" s="153"/>
      <c r="I2" s="153"/>
      <c r="J2" s="153"/>
      <c r="K2" s="153"/>
    </row>
    <row r="3" spans="1:29" ht="14.85" customHeight="1" x14ac:dyDescent="0.2">
      <c r="G3" s="153"/>
      <c r="H3" s="153"/>
      <c r="I3" s="153"/>
      <c r="J3" s="153"/>
      <c r="K3" s="153"/>
    </row>
    <row r="4" spans="1:29" ht="14.85" customHeight="1" x14ac:dyDescent="0.2">
      <c r="G4" s="153"/>
      <c r="H4" s="153"/>
      <c r="I4" s="153"/>
      <c r="J4" s="153"/>
      <c r="K4" s="153"/>
    </row>
    <row r="5" spans="1:29" ht="27" customHeight="1" x14ac:dyDescent="0.2">
      <c r="G5" s="153"/>
      <c r="H5" s="153"/>
      <c r="I5" s="153"/>
      <c r="J5" s="153"/>
      <c r="K5" s="153"/>
    </row>
    <row r="6" spans="1:29" ht="5.25" customHeight="1" x14ac:dyDescent="0.2">
      <c r="G6" s="153"/>
      <c r="H6" s="153"/>
      <c r="I6" s="153"/>
      <c r="J6" s="153"/>
      <c r="K6" s="153"/>
    </row>
    <row r="7" spans="1:29" ht="26.25" x14ac:dyDescent="0.4">
      <c r="B7" s="90" t="s">
        <v>5</v>
      </c>
      <c r="G7" s="153"/>
      <c r="H7" s="153"/>
      <c r="I7" s="153"/>
      <c r="J7" s="153"/>
      <c r="K7" s="153"/>
    </row>
    <row r="8" spans="1:29" s="91" customFormat="1" ht="18" x14ac:dyDescent="0.25">
      <c r="B8" s="85" t="str">
        <f>Footnotes!B8</f>
        <v>April 2014 to March 2015, provisional data (published 12 November 2015)</v>
      </c>
      <c r="G8" s="154"/>
      <c r="H8" s="154"/>
      <c r="I8" s="524"/>
      <c r="J8" s="524"/>
      <c r="K8" s="524"/>
      <c r="L8" s="524"/>
      <c r="M8" s="154"/>
      <c r="N8" s="154"/>
      <c r="O8" s="154"/>
      <c r="P8" s="154"/>
      <c r="Q8" s="154"/>
      <c r="R8" s="154"/>
      <c r="S8" s="154"/>
      <c r="T8" s="154"/>
      <c r="U8" s="154"/>
      <c r="V8" s="154"/>
      <c r="W8" s="154"/>
      <c r="X8" s="154"/>
      <c r="Y8" s="154"/>
      <c r="Z8" s="154"/>
      <c r="AA8" s="154"/>
      <c r="AB8" s="154"/>
      <c r="AC8" s="154"/>
    </row>
    <row r="9" spans="1:29" ht="15.75" x14ac:dyDescent="0.25">
      <c r="A9" s="96"/>
      <c r="F9" s="92"/>
      <c r="G9" s="153"/>
      <c r="H9" s="153"/>
      <c r="I9" s="156"/>
      <c r="J9" s="156"/>
      <c r="K9" s="156"/>
      <c r="L9" s="156"/>
    </row>
    <row r="10" spans="1:29" ht="25.5" customHeight="1" thickBot="1" x14ac:dyDescent="0.25">
      <c r="B10" s="262" t="s">
        <v>92</v>
      </c>
      <c r="C10" s="264"/>
      <c r="D10" s="525" t="s">
        <v>95</v>
      </c>
      <c r="E10" s="526"/>
      <c r="F10" s="40"/>
      <c r="G10" s="39"/>
      <c r="H10" s="153"/>
      <c r="I10" s="527"/>
      <c r="J10" s="527"/>
      <c r="K10" s="527"/>
      <c r="L10" s="527"/>
    </row>
    <row r="11" spans="1:29" ht="33" customHeight="1" thickBot="1" x14ac:dyDescent="0.3">
      <c r="A11" s="99"/>
      <c r="B11" s="322" t="s">
        <v>87</v>
      </c>
      <c r="C11" s="263"/>
      <c r="D11" s="528" t="s">
        <v>339</v>
      </c>
      <c r="E11" s="529"/>
      <c r="F11" s="99"/>
      <c r="H11" s="265"/>
      <c r="I11" s="527"/>
      <c r="J11" s="527"/>
      <c r="K11" s="527"/>
      <c r="L11" s="527"/>
    </row>
    <row r="12" spans="1:29" ht="15.75" customHeight="1" x14ac:dyDescent="0.2">
      <c r="B12" s="40"/>
      <c r="C12" s="40"/>
      <c r="D12" s="40"/>
      <c r="E12" s="40"/>
      <c r="G12" s="40"/>
      <c r="H12" s="41"/>
    </row>
    <row r="13" spans="1:29" s="99" customFormat="1" ht="17.25" customHeight="1" x14ac:dyDescent="0.2">
      <c r="A13" s="33"/>
      <c r="B13" s="197" t="s">
        <v>103</v>
      </c>
      <c r="F13" s="33"/>
      <c r="H13" s="198"/>
      <c r="L13" s="166"/>
      <c r="M13" s="166"/>
      <c r="N13" s="166"/>
      <c r="O13" s="166"/>
      <c r="P13" s="166"/>
      <c r="Q13" s="166"/>
      <c r="R13" s="166"/>
      <c r="S13" s="166"/>
      <c r="T13" s="166"/>
      <c r="U13" s="166"/>
      <c r="V13" s="166"/>
      <c r="W13" s="166"/>
      <c r="X13" s="166"/>
      <c r="Y13" s="166"/>
      <c r="Z13" s="166"/>
      <c r="AA13" s="166"/>
      <c r="AB13" s="166"/>
      <c r="AC13" s="166"/>
    </row>
    <row r="14" spans="1:29" ht="30" customHeight="1" x14ac:dyDescent="0.2">
      <c r="G14" s="538" t="s">
        <v>74</v>
      </c>
      <c r="H14" s="539"/>
      <c r="I14" s="332" t="s">
        <v>52</v>
      </c>
      <c r="J14" s="104" t="s">
        <v>179</v>
      </c>
      <c r="K14" s="115" t="s">
        <v>3</v>
      </c>
      <c r="M14" s="523"/>
      <c r="N14" s="523"/>
      <c r="O14" s="169"/>
      <c r="P14" s="169"/>
      <c r="Q14" s="169"/>
      <c r="R14" s="169"/>
      <c r="S14" s="156"/>
      <c r="T14" s="156"/>
      <c r="U14" s="157"/>
      <c r="V14" s="157"/>
      <c r="W14" s="157"/>
      <c r="X14" s="158"/>
      <c r="Y14" s="158"/>
    </row>
    <row r="15" spans="1:29" ht="16.5" customHeight="1" x14ac:dyDescent="0.2">
      <c r="G15" s="535" t="s">
        <v>35</v>
      </c>
      <c r="H15" s="104" t="s">
        <v>50</v>
      </c>
      <c r="I15" s="105">
        <f ca="1">'Chart data'!C22</f>
        <v>0.44800000000000001</v>
      </c>
      <c r="J15" s="105">
        <f ca="1">'Chart data'!C21</f>
        <v>0.41399999999999998</v>
      </c>
      <c r="K15" s="105" t="s">
        <v>4</v>
      </c>
      <c r="M15" s="521"/>
      <c r="N15" s="169"/>
      <c r="O15" s="159"/>
      <c r="P15" s="159"/>
      <c r="Q15" s="159"/>
      <c r="R15" s="159"/>
      <c r="S15" s="156"/>
      <c r="T15" s="156"/>
      <c r="U15" s="157"/>
      <c r="V15" s="157"/>
      <c r="W15" s="157"/>
      <c r="X15" s="158"/>
      <c r="Y15" s="158"/>
    </row>
    <row r="16" spans="1:29" ht="16.5" customHeight="1" x14ac:dyDescent="0.2">
      <c r="G16" s="536"/>
      <c r="H16" s="104" t="s">
        <v>13</v>
      </c>
      <c r="I16" s="105">
        <f ca="1">'Chart data'!C20</f>
        <v>0.89700000000000002</v>
      </c>
      <c r="J16" s="105">
        <f ca="1">'Chart data'!C19</f>
        <v>0.67600000000000005</v>
      </c>
      <c r="K16" s="105">
        <f ca="1">'Chart data'!C18</f>
        <v>0.98799999999999999</v>
      </c>
      <c r="M16" s="521"/>
      <c r="N16" s="169"/>
      <c r="O16" s="159"/>
      <c r="P16" s="159"/>
      <c r="Q16" s="159"/>
      <c r="R16" s="159"/>
      <c r="S16" s="156"/>
      <c r="T16" s="156"/>
      <c r="U16" s="157"/>
      <c r="V16" s="157"/>
      <c r="W16" s="157"/>
      <c r="X16" s="158"/>
      <c r="Y16" s="158"/>
    </row>
    <row r="17" spans="3:25" ht="16.5" customHeight="1" x14ac:dyDescent="0.2">
      <c r="G17" s="536"/>
      <c r="H17" s="104" t="s">
        <v>15</v>
      </c>
      <c r="I17" s="105">
        <f ca="1">'Chart data'!C17</f>
        <v>0.79300000000000004</v>
      </c>
      <c r="J17" s="105">
        <f ca="1">'Chart data'!C16</f>
        <v>0.33300000000000002</v>
      </c>
      <c r="K17" s="105">
        <f ca="1">'Chart data'!C15</f>
        <v>0.93799999999999994</v>
      </c>
      <c r="M17" s="521"/>
      <c r="N17" s="169"/>
      <c r="O17" s="159"/>
      <c r="P17" s="159"/>
      <c r="Q17" s="159"/>
      <c r="R17" s="159"/>
      <c r="S17" s="156"/>
      <c r="T17" s="156"/>
      <c r="U17" s="157"/>
      <c r="V17" s="157"/>
      <c r="W17" s="157"/>
      <c r="X17" s="158"/>
      <c r="Y17" s="158"/>
    </row>
    <row r="18" spans="3:25" ht="16.5" customHeight="1" x14ac:dyDescent="0.2">
      <c r="G18" s="537"/>
      <c r="H18" s="104" t="s">
        <v>17</v>
      </c>
      <c r="I18" s="105" t="str">
        <f ca="1">'Chart data'!C14</f>
        <v>*</v>
      </c>
      <c r="J18" s="105" t="str">
        <f ca="1">'Chart data'!C13</f>
        <v>*</v>
      </c>
      <c r="K18" s="105" t="str">
        <f ca="1">'Chart data'!C12</f>
        <v>*</v>
      </c>
      <c r="M18" s="521"/>
      <c r="N18" s="169"/>
      <c r="O18" s="159"/>
      <c r="P18" s="159"/>
      <c r="Q18" s="159"/>
      <c r="R18" s="159"/>
      <c r="S18" s="156"/>
      <c r="T18" s="156"/>
      <c r="U18" s="157"/>
      <c r="V18" s="157"/>
      <c r="W18" s="157"/>
      <c r="X18" s="158"/>
      <c r="Y18" s="158"/>
    </row>
    <row r="19" spans="3:25" ht="15.95" customHeight="1" x14ac:dyDescent="0.2">
      <c r="G19" s="96"/>
      <c r="H19" s="96"/>
      <c r="I19" s="96"/>
      <c r="J19" s="96"/>
      <c r="K19" s="96"/>
      <c r="M19" s="156"/>
      <c r="N19" s="156"/>
      <c r="O19" s="156"/>
      <c r="P19" s="156"/>
      <c r="Q19" s="156"/>
      <c r="R19" s="156"/>
      <c r="S19" s="156"/>
      <c r="T19" s="156"/>
      <c r="U19" s="157"/>
      <c r="V19" s="157"/>
      <c r="W19" s="157"/>
      <c r="X19" s="158"/>
      <c r="Y19" s="158"/>
    </row>
    <row r="20" spans="3:25" ht="30" customHeight="1" x14ac:dyDescent="0.2">
      <c r="G20" s="538" t="s">
        <v>19</v>
      </c>
      <c r="H20" s="539"/>
      <c r="I20" s="356" t="s">
        <v>52</v>
      </c>
      <c r="J20" s="320" t="s">
        <v>179</v>
      </c>
      <c r="K20" s="115" t="s">
        <v>3</v>
      </c>
      <c r="M20" s="523"/>
      <c r="N20" s="523"/>
      <c r="O20" s="169"/>
      <c r="P20" s="169"/>
      <c r="Q20" s="169"/>
      <c r="R20" s="169"/>
      <c r="S20" s="156"/>
      <c r="T20" s="156"/>
      <c r="U20" s="157"/>
      <c r="V20" s="157"/>
      <c r="W20" s="157"/>
      <c r="X20" s="158"/>
      <c r="Y20" s="158"/>
    </row>
    <row r="21" spans="3:25" ht="16.5" customHeight="1" x14ac:dyDescent="0.2">
      <c r="G21" s="535" t="s">
        <v>35</v>
      </c>
      <c r="H21" s="104" t="s">
        <v>50</v>
      </c>
      <c r="I21" s="107">
        <f ca="1">'Chart data'!H22</f>
        <v>13</v>
      </c>
      <c r="J21" s="107">
        <f ca="1">'Chart data'!H21</f>
        <v>12</v>
      </c>
      <c r="K21" s="116" t="s">
        <v>4</v>
      </c>
      <c r="M21" s="521"/>
      <c r="N21" s="169"/>
      <c r="O21" s="160"/>
      <c r="P21" s="160"/>
      <c r="Q21" s="160"/>
      <c r="R21" s="160"/>
      <c r="S21" s="156"/>
      <c r="T21" s="156"/>
      <c r="U21" s="157"/>
      <c r="V21" s="157"/>
      <c r="W21" s="157"/>
      <c r="X21" s="158"/>
      <c r="Y21" s="158"/>
    </row>
    <row r="22" spans="3:25" ht="16.5" customHeight="1" x14ac:dyDescent="0.2">
      <c r="G22" s="536"/>
      <c r="H22" s="104" t="s">
        <v>13</v>
      </c>
      <c r="I22" s="107">
        <f ca="1">'Chart data'!H20</f>
        <v>70</v>
      </c>
      <c r="J22" s="107">
        <f ca="1">'Chart data'!H19</f>
        <v>46</v>
      </c>
      <c r="K22" s="107">
        <f ca="1">'Chart data'!H18</f>
        <v>83</v>
      </c>
      <c r="M22" s="521"/>
      <c r="N22" s="169"/>
      <c r="O22" s="160"/>
      <c r="P22" s="160"/>
      <c r="Q22" s="160"/>
      <c r="R22" s="160"/>
      <c r="S22" s="156"/>
      <c r="T22" s="156"/>
      <c r="U22" s="157"/>
      <c r="V22" s="157"/>
      <c r="W22" s="157"/>
      <c r="X22" s="158"/>
      <c r="Y22" s="158"/>
    </row>
    <row r="23" spans="3:25" ht="16.5" customHeight="1" x14ac:dyDescent="0.2">
      <c r="G23" s="536"/>
      <c r="H23" s="104" t="s">
        <v>15</v>
      </c>
      <c r="I23" s="107">
        <f ca="1">'Chart data'!H17</f>
        <v>46</v>
      </c>
      <c r="J23" s="107">
        <f ca="1">'Chart data'!H16</f>
        <v>20</v>
      </c>
      <c r="K23" s="107">
        <f ca="1">'Chart data'!H15</f>
        <v>61</v>
      </c>
      <c r="M23" s="521"/>
      <c r="N23" s="169"/>
      <c r="O23" s="160"/>
      <c r="P23" s="160"/>
      <c r="Q23" s="160"/>
      <c r="R23" s="160"/>
      <c r="S23" s="156"/>
      <c r="T23" s="156"/>
      <c r="U23" s="157"/>
      <c r="V23" s="157"/>
      <c r="W23" s="157"/>
      <c r="X23" s="158"/>
      <c r="Y23" s="158"/>
    </row>
    <row r="24" spans="3:25" ht="16.5" customHeight="1" x14ac:dyDescent="0.2">
      <c r="G24" s="537"/>
      <c r="H24" s="104" t="s">
        <v>17</v>
      </c>
      <c r="I24" s="107">
        <f ca="1">'Chart data'!H14</f>
        <v>0</v>
      </c>
      <c r="J24" s="107" t="str">
        <f ca="1">'Chart data'!H13</f>
        <v>*</v>
      </c>
      <c r="K24" s="107" t="str">
        <f ca="1">'Chart data'!H12</f>
        <v>*</v>
      </c>
      <c r="M24" s="521"/>
      <c r="N24" s="169"/>
      <c r="O24" s="160"/>
      <c r="P24" s="160"/>
      <c r="Q24" s="160"/>
      <c r="R24" s="160"/>
      <c r="S24" s="156"/>
      <c r="T24" s="156"/>
      <c r="U24" s="156"/>
      <c r="V24" s="156"/>
      <c r="W24" s="156"/>
    </row>
    <row r="25" spans="3:25" ht="15.95" customHeight="1" x14ac:dyDescent="0.2">
      <c r="G25" s="96"/>
      <c r="H25" s="96"/>
      <c r="I25" s="106"/>
      <c r="J25" s="106"/>
      <c r="K25" s="106"/>
      <c r="M25" s="156"/>
      <c r="N25" s="156"/>
      <c r="O25" s="161"/>
      <c r="P25" s="161"/>
      <c r="Q25" s="161"/>
      <c r="R25" s="161"/>
      <c r="S25" s="156"/>
      <c r="T25" s="156"/>
      <c r="U25" s="156"/>
      <c r="V25" s="156"/>
      <c r="W25" s="156"/>
    </row>
    <row r="26" spans="3:25" ht="30" customHeight="1" x14ac:dyDescent="0.2">
      <c r="G26" s="538" t="s">
        <v>18</v>
      </c>
      <c r="H26" s="539"/>
      <c r="I26" s="356" t="s">
        <v>52</v>
      </c>
      <c r="J26" s="320" t="s">
        <v>179</v>
      </c>
      <c r="K26" s="115" t="s">
        <v>3</v>
      </c>
      <c r="M26" s="523"/>
      <c r="N26" s="523"/>
      <c r="O26" s="169"/>
      <c r="P26" s="169"/>
      <c r="Q26" s="169"/>
      <c r="R26" s="169"/>
      <c r="S26" s="156"/>
      <c r="T26" s="156"/>
      <c r="U26" s="156"/>
      <c r="V26" s="156"/>
      <c r="W26" s="156"/>
    </row>
    <row r="27" spans="3:25" ht="16.5" customHeight="1" x14ac:dyDescent="0.2">
      <c r="G27" s="535" t="s">
        <v>35</v>
      </c>
      <c r="H27" s="104" t="s">
        <v>50</v>
      </c>
      <c r="I27" s="105">
        <f ca="1">IF(ISNUMBER('Chart data'!D22),-'Chart data'!D22,'Chart data'!D22)</f>
        <v>0.27600000000000002</v>
      </c>
      <c r="J27" s="105">
        <f ca="1">IF(ISNUMBER('Chart data'!D21),-'Chart data'!D21,'Chart data'!D21)</f>
        <v>0.55200000000000005</v>
      </c>
      <c r="K27" s="108" t="s">
        <v>4</v>
      </c>
      <c r="M27" s="521"/>
      <c r="N27" s="169"/>
      <c r="O27" s="159"/>
      <c r="P27" s="159"/>
      <c r="Q27" s="162"/>
      <c r="R27" s="162"/>
      <c r="S27" s="156"/>
      <c r="T27" s="156"/>
      <c r="U27" s="156"/>
      <c r="V27" s="156"/>
      <c r="W27" s="156"/>
    </row>
    <row r="28" spans="3:25" ht="16.5" customHeight="1" x14ac:dyDescent="0.2">
      <c r="G28" s="536"/>
      <c r="H28" s="104" t="s">
        <v>13</v>
      </c>
      <c r="I28" s="105">
        <f ca="1">IF(ISNUMBER('Chart data'!D20),-'Chart data'!D20,'Chart data'!D20)</f>
        <v>5.0999999999999997E-2</v>
      </c>
      <c r="J28" s="105">
        <f ca="1">IF(ISNUMBER('Chart data'!D19),-'Chart data'!D19,'Chart data'!D19)</f>
        <v>0.20599999999999999</v>
      </c>
      <c r="K28" s="105">
        <f ca="1">IF(ISNUMBER('Chart data'!D18),-'Chart data'!D18,'Chart data'!D18)</f>
        <v>1.2E-2</v>
      </c>
      <c r="M28" s="521"/>
      <c r="N28" s="169"/>
      <c r="O28" s="159"/>
      <c r="P28" s="159"/>
      <c r="Q28" s="159"/>
      <c r="R28" s="159"/>
      <c r="S28" s="156"/>
      <c r="T28" s="156"/>
      <c r="U28" s="156"/>
      <c r="V28" s="156"/>
      <c r="W28" s="156"/>
    </row>
    <row r="29" spans="3:25" ht="16.5" customHeight="1" x14ac:dyDescent="0.2">
      <c r="G29" s="536"/>
      <c r="H29" s="104" t="s">
        <v>15</v>
      </c>
      <c r="I29" s="105">
        <f ca="1">IF(ISNUMBER('Chart data'!D17),-'Chart data'!D17,'Chart data'!D17)</f>
        <v>8.5999999999999993E-2</v>
      </c>
      <c r="J29" s="105">
        <f ca="1">IF(ISNUMBER('Chart data'!D16),-'Chart data'!D16,'Chart data'!D16)</f>
        <v>0.46700000000000003</v>
      </c>
      <c r="K29" s="105">
        <f ca="1">IF(ISNUMBER('Chart data'!D15),-'Chart data'!D15,'Chart data'!D15)</f>
        <v>6.2E-2</v>
      </c>
      <c r="M29" s="521"/>
      <c r="N29" s="169"/>
      <c r="O29" s="159"/>
      <c r="P29" s="159"/>
      <c r="Q29" s="159"/>
      <c r="R29" s="159"/>
      <c r="S29" s="156"/>
      <c r="T29" s="156"/>
      <c r="U29" s="156"/>
      <c r="V29" s="156"/>
      <c r="W29" s="156"/>
    </row>
    <row r="30" spans="3:25" ht="16.5" customHeight="1" x14ac:dyDescent="0.2">
      <c r="G30" s="537"/>
      <c r="H30" s="104" t="s">
        <v>17</v>
      </c>
      <c r="I30" s="105" t="str">
        <f ca="1">IF(ISNUMBER('Chart data'!D14),-'Chart data'!D14,'Chart data'!D14)</f>
        <v>*</v>
      </c>
      <c r="J30" s="105" t="str">
        <f ca="1">IF(ISNUMBER('Chart data'!D13),-'Chart data'!D13,'Chart data'!D13)</f>
        <v>*</v>
      </c>
      <c r="K30" s="105" t="str">
        <f ca="1">IF(ISNUMBER('Chart data'!D12),-'Chart data'!D12,'Chart data'!D12)</f>
        <v>*</v>
      </c>
      <c r="M30" s="521"/>
      <c r="N30" s="169"/>
      <c r="O30" s="159"/>
      <c r="P30" s="159"/>
      <c r="Q30" s="159"/>
      <c r="R30" s="159"/>
      <c r="S30" s="156"/>
      <c r="T30" s="156"/>
      <c r="U30" s="156"/>
      <c r="V30" s="156"/>
      <c r="W30" s="156"/>
    </row>
    <row r="31" spans="3:25" ht="15.95" customHeight="1" x14ac:dyDescent="0.2">
      <c r="G31" s="96"/>
      <c r="H31" s="96"/>
      <c r="I31" s="106"/>
      <c r="J31" s="106"/>
      <c r="K31" s="106"/>
      <c r="M31" s="156"/>
      <c r="N31" s="156"/>
      <c r="O31" s="161"/>
      <c r="P31" s="161"/>
      <c r="Q31" s="161"/>
      <c r="R31" s="161"/>
      <c r="S31" s="156"/>
      <c r="T31" s="156"/>
      <c r="U31" s="156"/>
      <c r="V31" s="156"/>
      <c r="W31" s="156"/>
    </row>
    <row r="32" spans="3:25" ht="30" customHeight="1" x14ac:dyDescent="0.2">
      <c r="C32" s="33" t="str">
        <f ca="1">IF(ISERROR('Chart data'!B3),"No data",IF('Chart data'!B6="CCG of GP Practice","No data",IF('Chart data'!B6="National",VLOOKUP("England",Participation_Data,2,FALSE),VLOOKUP('Chart data'!B7,Participation_Data,2,FALSE))))</f>
        <v>No data</v>
      </c>
      <c r="G32" s="538" t="s">
        <v>20</v>
      </c>
      <c r="H32" s="539"/>
      <c r="I32" s="356" t="s">
        <v>52</v>
      </c>
      <c r="J32" s="320" t="s">
        <v>179</v>
      </c>
      <c r="K32" s="115" t="s">
        <v>3</v>
      </c>
      <c r="M32" s="523"/>
      <c r="N32" s="523"/>
      <c r="O32" s="169"/>
      <c r="P32" s="169"/>
      <c r="Q32" s="169"/>
      <c r="R32" s="169"/>
      <c r="S32" s="156"/>
      <c r="T32" s="156"/>
      <c r="U32" s="156"/>
      <c r="V32" s="156"/>
      <c r="W32" s="156"/>
    </row>
    <row r="33" spans="2:23" ht="16.5" customHeight="1" x14ac:dyDescent="0.2">
      <c r="G33" s="535" t="s">
        <v>35</v>
      </c>
      <c r="H33" s="104" t="s">
        <v>50</v>
      </c>
      <c r="I33" s="107">
        <f ca="1">'Chart data'!I22</f>
        <v>8</v>
      </c>
      <c r="J33" s="107">
        <f ca="1">'Chart data'!I21</f>
        <v>16</v>
      </c>
      <c r="K33" s="116" t="s">
        <v>4</v>
      </c>
      <c r="M33" s="521"/>
      <c r="N33" s="169"/>
      <c r="O33" s="160"/>
      <c r="P33" s="160"/>
      <c r="Q33" s="160"/>
      <c r="R33" s="160"/>
      <c r="S33" s="156"/>
      <c r="T33" s="156"/>
      <c r="U33" s="156"/>
      <c r="V33" s="156"/>
      <c r="W33" s="156"/>
    </row>
    <row r="34" spans="2:23" ht="16.5" customHeight="1" x14ac:dyDescent="0.2">
      <c r="G34" s="536"/>
      <c r="H34" s="104" t="s">
        <v>13</v>
      </c>
      <c r="I34" s="107">
        <f ca="1">'Chart data'!I20</f>
        <v>4</v>
      </c>
      <c r="J34" s="107">
        <f ca="1">'Chart data'!I19</f>
        <v>14</v>
      </c>
      <c r="K34" s="107">
        <f ca="1">'Chart data'!I18</f>
        <v>1</v>
      </c>
      <c r="M34" s="521"/>
      <c r="N34" s="169"/>
      <c r="O34" s="160"/>
      <c r="P34" s="160"/>
      <c r="Q34" s="160"/>
      <c r="R34" s="160"/>
      <c r="S34" s="156"/>
      <c r="T34" s="156"/>
      <c r="U34" s="156"/>
      <c r="V34" s="156"/>
      <c r="W34" s="156"/>
    </row>
    <row r="35" spans="2:23" ht="16.5" customHeight="1" x14ac:dyDescent="0.2">
      <c r="G35" s="536"/>
      <c r="H35" s="104" t="s">
        <v>15</v>
      </c>
      <c r="I35" s="117">
        <f ca="1">'Chart data'!I17</f>
        <v>5</v>
      </c>
      <c r="J35" s="107">
        <f ca="1">'Chart data'!I16</f>
        <v>28</v>
      </c>
      <c r="K35" s="107">
        <f ca="1">'Chart data'!I15</f>
        <v>4</v>
      </c>
      <c r="M35" s="521"/>
      <c r="N35" s="169"/>
      <c r="O35" s="160"/>
      <c r="P35" s="160"/>
      <c r="Q35" s="160"/>
      <c r="R35" s="160"/>
      <c r="S35" s="156"/>
      <c r="T35" s="156"/>
      <c r="U35" s="156"/>
      <c r="V35" s="156"/>
      <c r="W35" s="156"/>
    </row>
    <row r="36" spans="2:23" ht="16.5" customHeight="1" x14ac:dyDescent="0.2">
      <c r="G36" s="537"/>
      <c r="H36" s="118" t="s">
        <v>17</v>
      </c>
      <c r="I36" s="107" t="str">
        <f ca="1">'Chart data'!I14</f>
        <v>*</v>
      </c>
      <c r="J36" s="107">
        <f ca="1">'Chart data'!I13</f>
        <v>0</v>
      </c>
      <c r="K36" s="107">
        <f ca="1">'Chart data'!I12</f>
        <v>0</v>
      </c>
      <c r="M36" s="521"/>
      <c r="N36" s="169"/>
      <c r="O36" s="160"/>
      <c r="P36" s="160"/>
      <c r="Q36" s="160"/>
      <c r="R36" s="160"/>
      <c r="S36" s="156"/>
      <c r="T36" s="156"/>
      <c r="U36" s="156"/>
      <c r="V36" s="156"/>
      <c r="W36" s="156"/>
    </row>
    <row r="37" spans="2:23" x14ac:dyDescent="0.2">
      <c r="I37" s="42"/>
      <c r="J37" s="42"/>
      <c r="M37" s="156"/>
      <c r="N37" s="156"/>
      <c r="O37" s="156"/>
      <c r="P37" s="156"/>
      <c r="Q37" s="156"/>
      <c r="R37" s="156"/>
      <c r="S37" s="156"/>
      <c r="T37" s="156"/>
      <c r="U37" s="156"/>
      <c r="V37" s="156"/>
      <c r="W37" s="156"/>
    </row>
    <row r="38" spans="2:23" ht="11.25" customHeight="1" x14ac:dyDescent="0.2">
      <c r="G38" s="153"/>
      <c r="H38" s="153"/>
      <c r="I38" s="153"/>
      <c r="J38" s="153"/>
      <c r="K38" s="153"/>
      <c r="O38" s="156"/>
      <c r="P38" s="156"/>
      <c r="Q38" s="156"/>
      <c r="R38" s="156"/>
      <c r="S38" s="156"/>
      <c r="T38" s="156"/>
      <c r="U38" s="156"/>
      <c r="V38" s="156"/>
      <c r="W38" s="156"/>
    </row>
    <row r="39" spans="2:23" ht="15" x14ac:dyDescent="0.2">
      <c r="B39" s="512" t="str">
        <f ca="1">HYPERLINK(Reference!B$9,Reference!A$9)</f>
        <v>Copyright © 2015, The Health and Social Care Information Centre. All Rights Reserved.</v>
      </c>
      <c r="C39" s="513"/>
      <c r="D39" s="513"/>
      <c r="E39" s="513"/>
      <c r="F39" s="513"/>
      <c r="G39" s="513"/>
      <c r="H39" s="513"/>
      <c r="I39" s="513"/>
      <c r="J39" s="513"/>
      <c r="K39" s="513"/>
    </row>
    <row r="41" spans="2:23" x14ac:dyDescent="0.2">
      <c r="C41" s="43"/>
    </row>
  </sheetData>
  <sheetProtection sheet="1" objects="1" scenarios="1"/>
  <mergeCells count="22">
    <mergeCell ref="G32:H32"/>
    <mergeCell ref="G15:G18"/>
    <mergeCell ref="G21:G24"/>
    <mergeCell ref="G14:H14"/>
    <mergeCell ref="G20:H20"/>
    <mergeCell ref="G26:H26"/>
    <mergeCell ref="B39:K39"/>
    <mergeCell ref="I8:L8"/>
    <mergeCell ref="I11:L11"/>
    <mergeCell ref="M15:M18"/>
    <mergeCell ref="M20:N20"/>
    <mergeCell ref="M14:N14"/>
    <mergeCell ref="M26:N26"/>
    <mergeCell ref="M21:M24"/>
    <mergeCell ref="M32:N32"/>
    <mergeCell ref="M33:M36"/>
    <mergeCell ref="M27:M30"/>
    <mergeCell ref="D11:E11"/>
    <mergeCell ref="D10:E10"/>
    <mergeCell ref="G27:G30"/>
    <mergeCell ref="G33:G36"/>
    <mergeCell ref="I10:L10"/>
  </mergeCells>
  <phoneticPr fontId="10" type="noConversion"/>
  <conditionalFormatting sqref="D11:E11">
    <cfRule type="cellIs" dxfId="6" priority="1" operator="equal">
      <formula>"q"</formula>
    </cfRule>
  </conditionalFormatting>
  <dataValidations count="3">
    <dataValidation type="custom" allowBlank="1" showInputMessage="1" showErrorMessage="1" sqref="B12">
      <formula1>#REF!</formula1>
    </dataValidation>
    <dataValidation type="list" allowBlank="1" showInputMessage="1" showErrorMessage="1" sqref="B11">
      <formula1>KeyFacts_Organisation_Level</formula1>
    </dataValidation>
    <dataValidation type="list" allowBlank="1" showInputMessage="1" showErrorMessage="1" sqref="D11:E11">
      <formula1>KeyFacts_Validation</formula1>
    </dataValidation>
  </dataValidations>
  <hyperlinks>
    <hyperlink ref="F37" r:id="rId1" display="Copyright © 2013, The Health and Social Care Information Centre. All Rights Reserved."/>
    <hyperlink ref="B39:F39" r:id="rId2" display="Copyright © 2013, The Health and Social Care Information Centre. All Rights Reserved."/>
  </hyperlinks>
  <pageMargins left="0.35433070866141736" right="0.35433070866141736" top="0.39370078740157483" bottom="0.39370078740157483" header="0.11811023622047245" footer="0.11811023622047245"/>
  <pageSetup paperSize="9" scale="40" fitToHeight="5" orientation="portrait" r:id="rId3"/>
  <headerFooter alignWithMargins="0"/>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FF00"/>
  </sheetPr>
  <dimension ref="A1:AG52"/>
  <sheetViews>
    <sheetView showGridLines="0" showRowColHeaders="0" zoomScale="80" zoomScaleNormal="80" workbookViewId="0">
      <pane ySplit="5" topLeftCell="A6" activePane="bottomLeft" state="frozen"/>
      <selection activeCell="E41" activeCellId="1" sqref="S30 E41"/>
      <selection pane="bottomLeft" activeCell="E41" activeCellId="1" sqref="S30 E41"/>
    </sheetView>
  </sheetViews>
  <sheetFormatPr defaultRowHeight="12.75" x14ac:dyDescent="0.2"/>
  <cols>
    <col min="1" max="1" width="4.42578125" style="33" customWidth="1"/>
    <col min="2" max="2" width="22.5703125" style="33" customWidth="1"/>
    <col min="3" max="3" width="16.7109375" style="33" customWidth="1"/>
    <col min="4" max="4" width="17.7109375" style="33" customWidth="1"/>
    <col min="5" max="5" width="16.7109375" style="33" customWidth="1"/>
    <col min="6" max="6" width="17.7109375" style="33" customWidth="1"/>
    <col min="7" max="7" width="16.42578125" style="33" customWidth="1"/>
    <col min="8" max="8" width="2.7109375" style="33" customWidth="1"/>
    <col min="9" max="9" width="22.5703125" style="33" customWidth="1"/>
    <col min="10" max="11" width="17.7109375" style="33" customWidth="1"/>
    <col min="12" max="12" width="16.42578125" style="33" customWidth="1"/>
    <col min="13" max="13" width="17.7109375" style="33" customWidth="1"/>
    <col min="14" max="14" width="16.7109375" style="33" customWidth="1"/>
    <col min="15" max="15" width="17.85546875" style="33" customWidth="1"/>
    <col min="16" max="33" width="9.140625" style="153"/>
    <col min="34" max="16384" width="9.140625" style="33"/>
  </cols>
  <sheetData>
    <row r="1" spans="2:33" ht="33" customHeight="1" x14ac:dyDescent="0.2">
      <c r="K1" s="34"/>
      <c r="L1" s="34"/>
      <c r="M1" s="34"/>
      <c r="N1" s="35"/>
      <c r="O1" s="35"/>
    </row>
    <row r="2" spans="2:33" ht="14.85" customHeight="1" x14ac:dyDescent="0.2">
      <c r="K2" s="34"/>
      <c r="L2" s="34"/>
      <c r="M2" s="34"/>
      <c r="N2" s="35"/>
      <c r="O2" s="35"/>
    </row>
    <row r="3" spans="2:33" ht="14.85" customHeight="1" x14ac:dyDescent="0.2">
      <c r="K3" s="34"/>
      <c r="L3" s="34"/>
      <c r="M3" s="34"/>
      <c r="N3" s="35"/>
      <c r="O3" s="35"/>
    </row>
    <row r="4" spans="2:33" ht="14.85" customHeight="1" x14ac:dyDescent="0.2">
      <c r="K4" s="34"/>
      <c r="L4" s="34"/>
      <c r="M4" s="34"/>
      <c r="N4" s="35"/>
      <c r="O4" s="35"/>
    </row>
    <row r="5" spans="2:33" ht="33" customHeight="1" x14ac:dyDescent="0.2">
      <c r="K5" s="34"/>
      <c r="L5" s="34"/>
      <c r="M5" s="34"/>
      <c r="N5" s="35"/>
      <c r="O5" s="35"/>
    </row>
    <row r="6" spans="2:33" ht="26.25" x14ac:dyDescent="0.4">
      <c r="B6" s="90" t="s">
        <v>5</v>
      </c>
      <c r="K6" s="34"/>
      <c r="L6" s="34"/>
      <c r="M6" s="34"/>
      <c r="N6" s="35"/>
      <c r="O6" s="35"/>
    </row>
    <row r="7" spans="2:33" s="91" customFormat="1" ht="18" x14ac:dyDescent="0.25">
      <c r="B7" s="85" t="str">
        <f>Footnotes!B8</f>
        <v>April 2014 to March 2015, provisional data (published 12 November 2015)</v>
      </c>
      <c r="L7" s="113"/>
      <c r="M7" s="533"/>
      <c r="N7" s="533"/>
      <c r="O7" s="533"/>
      <c r="P7" s="533"/>
      <c r="Q7" s="154"/>
      <c r="R7" s="154"/>
      <c r="S7" s="154"/>
      <c r="T7" s="154"/>
      <c r="U7" s="154"/>
      <c r="V7" s="154"/>
      <c r="W7" s="154"/>
      <c r="X7" s="154"/>
      <c r="Y7" s="154"/>
      <c r="Z7" s="154"/>
      <c r="AA7" s="154"/>
      <c r="AB7" s="154"/>
      <c r="AC7" s="154"/>
      <c r="AD7" s="154"/>
      <c r="AE7" s="154"/>
      <c r="AF7" s="154"/>
      <c r="AG7" s="154"/>
    </row>
    <row r="8" spans="2:33" x14ac:dyDescent="0.2">
      <c r="L8" s="35"/>
      <c r="M8" s="36"/>
      <c r="N8" s="36"/>
      <c r="O8" s="36"/>
      <c r="P8" s="156"/>
    </row>
    <row r="9" spans="2:33" s="96" customFormat="1" ht="15.75" x14ac:dyDescent="0.2">
      <c r="B9" s="109" t="str">
        <f>"Unadjusted Scores for "&amp;IF('Key Facts - chart'!B11="England",'Key Facts - chart'!B11,'Key Facts - chart'!B11&amp;" - "&amp;'Key Facts - chart'!D11)</f>
        <v>Unadjusted Scores for CCG of GP Practice - NHS ASHFORD CCG (09C)</v>
      </c>
      <c r="C9" s="109"/>
      <c r="D9" s="109"/>
      <c r="E9" s="109"/>
      <c r="F9" s="109"/>
      <c r="G9" s="109"/>
      <c r="H9" s="109"/>
      <c r="I9" s="109"/>
      <c r="J9" s="109"/>
      <c r="K9" s="109"/>
      <c r="M9" s="119"/>
      <c r="N9" s="119"/>
      <c r="P9" s="155"/>
      <c r="Q9" s="155"/>
      <c r="R9" s="155"/>
      <c r="S9" s="155"/>
      <c r="T9" s="155"/>
      <c r="U9" s="155"/>
      <c r="V9" s="155"/>
      <c r="W9" s="155"/>
      <c r="X9" s="155"/>
      <c r="Y9" s="155"/>
      <c r="Z9" s="155"/>
      <c r="AA9" s="155"/>
      <c r="AB9" s="155"/>
      <c r="AC9" s="155"/>
      <c r="AD9" s="155"/>
      <c r="AE9" s="155"/>
      <c r="AF9" s="155"/>
      <c r="AG9" s="155"/>
    </row>
    <row r="10" spans="2:33" s="96" customFormat="1" ht="6.95" customHeight="1" x14ac:dyDescent="0.2">
      <c r="B10" s="109"/>
      <c r="C10" s="109"/>
      <c r="D10" s="109"/>
      <c r="E10" s="109"/>
      <c r="F10" s="109"/>
      <c r="G10" s="109"/>
      <c r="H10" s="109"/>
      <c r="I10" s="109"/>
      <c r="J10" s="109"/>
      <c r="K10" s="109"/>
      <c r="M10" s="119"/>
      <c r="N10" s="119"/>
      <c r="P10" s="155"/>
      <c r="Q10" s="155"/>
      <c r="R10" s="155"/>
      <c r="S10" s="155"/>
      <c r="T10" s="155"/>
      <c r="U10" s="155"/>
      <c r="V10" s="155"/>
      <c r="W10" s="155"/>
      <c r="X10" s="155"/>
      <c r="Y10" s="155"/>
      <c r="Z10" s="155"/>
      <c r="AA10" s="155"/>
      <c r="AB10" s="155"/>
      <c r="AC10" s="155"/>
      <c r="AD10" s="155"/>
      <c r="AE10" s="155"/>
      <c r="AF10" s="155"/>
      <c r="AG10" s="155"/>
    </row>
    <row r="11" spans="2:33" s="96" customFormat="1" ht="15.75" x14ac:dyDescent="0.2">
      <c r="B11" s="109" t="s">
        <v>29</v>
      </c>
      <c r="C11" s="109"/>
      <c r="D11" s="109"/>
      <c r="E11" s="109"/>
      <c r="F11" s="109"/>
      <c r="G11" s="109"/>
      <c r="H11" s="109"/>
      <c r="I11" s="109"/>
      <c r="J11" s="109"/>
      <c r="K11" s="109"/>
      <c r="M11" s="119"/>
      <c r="N11" s="119"/>
      <c r="P11" s="155"/>
      <c r="Q11" s="155"/>
      <c r="R11" s="155"/>
      <c r="S11" s="155"/>
      <c r="T11" s="155"/>
      <c r="U11" s="155"/>
      <c r="V11" s="155"/>
      <c r="W11" s="155"/>
      <c r="X11" s="155"/>
      <c r="Y11" s="155"/>
      <c r="Z11" s="155"/>
      <c r="AA11" s="155"/>
      <c r="AB11" s="155"/>
      <c r="AC11" s="155"/>
      <c r="AD11" s="155"/>
      <c r="AE11" s="155"/>
      <c r="AF11" s="155"/>
      <c r="AG11" s="155"/>
    </row>
    <row r="12" spans="2:33" s="93" customFormat="1" ht="18" customHeight="1" x14ac:dyDescent="0.25">
      <c r="B12" s="125" t="str">
        <f ca="1">IF(ISERROR('Chart data'!B3),"The organisation level and organisation selected are not available - please re-select.",IF('Chart data'!C22="*","The number of groin hernia questionnaire pairs returned for "&amp;'Chart data'!B7&amp;" is suppressed due to small numbers.",IF('Chart data'!B6=Reference!$AA$2,TEXT('Chart data'!C22,"0.0%")&amp;" of groin hernia respondents recorded an increase in their EQ-5D Index score following their operation.",IF('Chart data'!C22="No data","No groin hernia completed questionnaire pairs have been returned by "&amp;'Chart data'!B7&amp;" for this measure.",TEXT('Chart data'!C22,"0.0%")&amp;" of groin hernia respondents recorded an increase in their EQ-5D Index score following their operation ("&amp;TEXT('Chart data'!E22,"0.0%")&amp;" in England)."))))</f>
        <v>44.8% of groin hernia respondents recorded an increase in their EQ-5D Index score following their operation (50.0% in England).</v>
      </c>
      <c r="C12" s="125"/>
      <c r="D12" s="125"/>
      <c r="E12" s="125"/>
      <c r="F12" s="125"/>
      <c r="G12" s="125"/>
      <c r="H12" s="125"/>
      <c r="I12" s="125"/>
      <c r="J12" s="126"/>
      <c r="K12" s="125"/>
      <c r="M12" s="127"/>
      <c r="N12" s="127"/>
      <c r="P12" s="163"/>
      <c r="Q12" s="163"/>
      <c r="R12" s="163"/>
      <c r="S12" s="163"/>
      <c r="T12" s="163"/>
      <c r="U12" s="163"/>
      <c r="V12" s="163"/>
      <c r="W12" s="163"/>
      <c r="X12" s="163"/>
      <c r="Y12" s="163"/>
      <c r="Z12" s="163"/>
      <c r="AA12" s="163"/>
      <c r="AB12" s="163"/>
      <c r="AC12" s="163"/>
      <c r="AD12" s="163"/>
      <c r="AE12" s="163"/>
      <c r="AF12" s="163"/>
      <c r="AG12" s="163"/>
    </row>
    <row r="13" spans="2:33" s="93" customFormat="1" ht="18" customHeight="1" x14ac:dyDescent="0.25">
      <c r="B13" s="125" t="str">
        <f ca="1">IF(ISERROR('Chart data'!B3),"The organisation level and organisation selected are not available - please re-select.",IF('Chart data'!C20="*","The number of hip replacement questionnaire pairs returned for "&amp;'Chart data'!B7&amp;" is suppressed due to small numbers.",IF('Chart data'!B6=Reference!$AA$2,TEXT('Chart data'!C20,"0.0%")&amp;" of hip replacement respondents recorded an increase in their EQ-5D Index score following their operation.",IF('Chart data'!C20="No data","No hip replacement completed questionnaire pairs have been returned by "&amp;'Chart data'!B7&amp;" for this measure.",TEXT('Chart data'!C20,"0.0%")&amp;" of hip replacement respondents recorded an increase in their EQ-5D Index score following their operation ("&amp;TEXT('Chart data'!E20,"0.0%")&amp;" in England)."))))</f>
        <v>89.7% of hip replacement respondents recorded an increase in their EQ-5D Index score following their operation (88.3% in England).</v>
      </c>
      <c r="C13" s="125"/>
      <c r="D13" s="125"/>
      <c r="E13" s="125"/>
      <c r="F13" s="125"/>
      <c r="G13" s="125"/>
      <c r="H13" s="125"/>
      <c r="I13" s="125"/>
      <c r="J13" s="126"/>
      <c r="K13" s="125"/>
      <c r="M13" s="127"/>
      <c r="N13" s="127"/>
      <c r="P13" s="163"/>
      <c r="Q13" s="163"/>
      <c r="R13" s="163"/>
      <c r="S13" s="163"/>
      <c r="T13" s="163"/>
      <c r="U13" s="163"/>
      <c r="V13" s="163"/>
      <c r="W13" s="163"/>
      <c r="X13" s="163"/>
      <c r="Y13" s="163"/>
      <c r="Z13" s="163"/>
      <c r="AA13" s="163"/>
      <c r="AB13" s="163"/>
      <c r="AC13" s="163"/>
      <c r="AD13" s="163"/>
      <c r="AE13" s="163"/>
      <c r="AF13" s="163"/>
      <c r="AG13" s="163"/>
    </row>
    <row r="14" spans="2:33" s="93" customFormat="1" ht="18" customHeight="1" x14ac:dyDescent="0.25">
      <c r="B14" s="125" t="str">
        <f ca="1">IF(ISERROR('Chart data'!B3),"The organisation level and organisation selected are not available - please re-select.",IF('Chart data'!C17="*","The number of knee replacement questionnaire pairs returned for "&amp;'Chart data'!B7&amp;" is suppressed due to small numbers.",IF('Chart data'!B6=Reference!$AA$2,TEXT('Chart data'!C17,"0.0%")&amp;" of knee replacement respondents recorded an increase in their EQ-5D Index score following their operation.",IF('Chart data'!C17="No data","No knee replacement completed questionnaire pairs have been returned by "&amp;'Chart data'!B7&amp;" for this measure.",TEXT('Chart data'!C17,"0.0%")&amp;" of knee replacement respondents recorded an increase in their EQ-5D Index score following their operation ("&amp;TEXT('Chart data'!E17,"0.0%")&amp;" in England)."))))</f>
        <v>79.3% of knee replacement respondents recorded an increase in their EQ-5D Index score following their operation (80.6% in England).</v>
      </c>
      <c r="C14" s="125"/>
      <c r="D14" s="125"/>
      <c r="E14" s="125"/>
      <c r="F14" s="125"/>
      <c r="G14" s="125"/>
      <c r="H14" s="125"/>
      <c r="I14" s="125"/>
      <c r="J14" s="126"/>
      <c r="K14" s="125"/>
      <c r="M14" s="127"/>
      <c r="N14" s="127"/>
      <c r="P14" s="163"/>
      <c r="Q14" s="163"/>
      <c r="R14" s="163"/>
      <c r="S14" s="163"/>
      <c r="T14" s="163"/>
      <c r="U14" s="163"/>
      <c r="V14" s="163"/>
      <c r="W14" s="163"/>
      <c r="X14" s="163"/>
      <c r="Y14" s="163"/>
      <c r="Z14" s="163"/>
      <c r="AA14" s="163"/>
      <c r="AB14" s="163"/>
      <c r="AC14" s="163"/>
      <c r="AD14" s="163"/>
      <c r="AE14" s="163"/>
      <c r="AF14" s="163"/>
      <c r="AG14" s="163"/>
    </row>
    <row r="15" spans="2:33" s="93" customFormat="1" ht="18" customHeight="1" x14ac:dyDescent="0.25">
      <c r="B15" s="125" t="str">
        <f ca="1">IF(ISERROR('Chart data'!B3),"The organisation level and organisation selected are not available - please re-select.",
IF('Chart data'!C14="*","The number of varicose vein questionnaire pairs returned for "&amp;'Chart data'!B7&amp;" is suppressed due to small numbers.",IF('Chart data'!B6=Reference!$AA$2,TEXT('Chart data'!C14,"0.0%")&amp;" of varicose vein respondents recorded an increase in their EQ-5D Index score following their operation.",IF('Chart data'!C14="No data","No varicose vein completed questionnaire pairs have been returned by "&amp;'Chart data'!B7&amp;" for this measure.",TEXT('Chart data'!C14,"0.0%")&amp;" of varicose vein respondents recorded an increase in their EQ-5D Index score following their operation ("&amp;TEXT('Chart data'!E14,"0.0%")&amp;" in England)."))))</f>
        <v>The number of varicose vein questionnaire pairs returned for NHS ASHFORD CCG (09C) is suppressed due to small numbers.</v>
      </c>
      <c r="C15" s="125"/>
      <c r="D15" s="125"/>
      <c r="E15" s="125"/>
      <c r="F15" s="125"/>
      <c r="G15" s="125"/>
      <c r="H15" s="125"/>
      <c r="I15" s="125"/>
      <c r="J15" s="126"/>
      <c r="K15" s="125"/>
      <c r="M15" s="127"/>
      <c r="N15" s="127"/>
      <c r="P15" s="163"/>
      <c r="Q15" s="163"/>
      <c r="R15" s="163"/>
      <c r="S15" s="163"/>
      <c r="T15" s="163"/>
      <c r="U15" s="163"/>
      <c r="V15" s="163"/>
      <c r="W15" s="163"/>
      <c r="X15" s="163"/>
      <c r="Y15" s="163"/>
      <c r="Z15" s="163"/>
      <c r="AA15" s="163"/>
      <c r="AB15" s="163"/>
      <c r="AC15" s="163"/>
      <c r="AD15" s="163"/>
      <c r="AE15" s="163"/>
      <c r="AF15" s="163"/>
      <c r="AG15" s="163"/>
    </row>
    <row r="16" spans="2:33" s="96" customFormat="1" ht="9.9499999999999993" customHeight="1" x14ac:dyDescent="0.2">
      <c r="B16" s="84"/>
      <c r="C16" s="95"/>
      <c r="D16" s="95"/>
      <c r="E16" s="95"/>
      <c r="F16" s="95"/>
      <c r="G16" s="95"/>
      <c r="H16" s="95"/>
      <c r="I16" s="95"/>
      <c r="J16" s="95"/>
      <c r="K16" s="95"/>
      <c r="M16" s="119"/>
      <c r="N16" s="119"/>
      <c r="P16" s="155"/>
      <c r="Q16" s="155"/>
      <c r="R16" s="155"/>
      <c r="S16" s="155"/>
      <c r="T16" s="155"/>
      <c r="U16" s="155"/>
      <c r="V16" s="155"/>
      <c r="W16" s="155"/>
      <c r="X16" s="155"/>
      <c r="Y16" s="155"/>
      <c r="Z16" s="155"/>
      <c r="AA16" s="155"/>
      <c r="AB16" s="155"/>
      <c r="AC16" s="155"/>
      <c r="AD16" s="155"/>
      <c r="AE16" s="155"/>
      <c r="AF16" s="155"/>
      <c r="AG16" s="155"/>
    </row>
    <row r="17" spans="2:33" s="96" customFormat="1" ht="15.75" x14ac:dyDescent="0.2">
      <c r="B17" s="86" t="s">
        <v>181</v>
      </c>
      <c r="C17" s="89"/>
      <c r="D17" s="89"/>
      <c r="E17" s="84"/>
      <c r="F17" s="89"/>
      <c r="G17" s="89"/>
      <c r="H17" s="89"/>
      <c r="I17" s="89"/>
      <c r="J17" s="89"/>
      <c r="K17" s="89"/>
      <c r="M17" s="119"/>
      <c r="N17" s="119"/>
      <c r="P17" s="155"/>
      <c r="Q17" s="155"/>
      <c r="R17" s="155"/>
      <c r="S17" s="155"/>
      <c r="T17" s="155"/>
      <c r="U17" s="155"/>
      <c r="V17" s="155"/>
      <c r="W17" s="155"/>
      <c r="X17" s="155"/>
      <c r="Y17" s="155"/>
      <c r="Z17" s="155"/>
      <c r="AA17" s="155"/>
      <c r="AB17" s="155"/>
      <c r="AC17" s="155"/>
      <c r="AD17" s="155"/>
      <c r="AE17" s="155"/>
      <c r="AF17" s="155"/>
      <c r="AG17" s="155"/>
    </row>
    <row r="18" spans="2:33" s="93" customFormat="1" ht="18" customHeight="1" x14ac:dyDescent="0.25">
      <c r="B18" s="125" t="str">
        <f ca="1">IF(ISERROR('Chart data'!B3),"The organisation level and organisation selected are not available - please re-select.",IF('Chart data'!C21="*","The number of groin hernia questionnaire pairs returned for "&amp;'Chart data'!B7&amp;" is suppressed due to small numbers.",IF('Chart data'!B6=Reference!$AA$2,TEXT('Chart data'!C21,"0.0%")&amp;" of groin hernia respondents recorded an increase in their EQ VAS score following their operation.",IF('Chart data'!C21="No data","No groin hernia completed questionnaire pairs have been returned by "&amp;'Chart data'!B7&amp;" for this measure.",TEXT('Chart data'!C21,"0.0%")&amp;" of groin hernia respondents recorded an increase in their EQ VAS score following their operation ("&amp;TEXT('Chart data'!E21,"0.0%")&amp;" in England)."))))</f>
        <v>41.4% of groin hernia respondents recorded an increase in their EQ VAS score following their operation (38.0% in England).</v>
      </c>
      <c r="C18" s="125"/>
      <c r="D18" s="125"/>
      <c r="E18" s="125"/>
      <c r="F18" s="125"/>
      <c r="G18" s="125"/>
      <c r="H18" s="125"/>
      <c r="I18" s="125"/>
      <c r="J18" s="126"/>
      <c r="K18" s="125"/>
      <c r="M18" s="127"/>
      <c r="N18" s="127"/>
      <c r="P18" s="163"/>
      <c r="Q18" s="163"/>
      <c r="R18" s="163"/>
      <c r="S18" s="163"/>
      <c r="T18" s="163"/>
      <c r="U18" s="163"/>
      <c r="V18" s="163"/>
      <c r="W18" s="163"/>
      <c r="X18" s="163"/>
      <c r="Y18" s="163"/>
      <c r="Z18" s="163"/>
      <c r="AA18" s="163"/>
      <c r="AB18" s="163"/>
      <c r="AC18" s="163"/>
      <c r="AD18" s="163"/>
      <c r="AE18" s="163"/>
      <c r="AF18" s="163"/>
      <c r="AG18" s="163"/>
    </row>
    <row r="19" spans="2:33" s="93" customFormat="1" ht="18" customHeight="1" x14ac:dyDescent="0.25">
      <c r="B19" s="125" t="str">
        <f ca="1">IF(ISERROR('Chart data'!B3),"The organisation level and organisation selected are not available - please re-select.",IF('Chart data'!C19="*","The number of hip replacement questionnaire pairs returned for "&amp;'Chart data'!B7&amp;" is suppressed due to small numbers.",IF('Chart data'!B6=Reference!$AA$2,TEXT('Chart data'!C19,"0.0%")&amp;" of hip replacement respondents recorded an increase in their EQ VAS score following their operation.",IF('Chart data'!C19="No data","No hip replacement completed questionnaire pairs have been returned by "&amp;'Chart data'!B7&amp;" for this measure.",TEXT('Chart data'!C19,"0.0%")&amp;" of hip replacement respondents recorded an increase in their EQ VAS score following their operation ("&amp;TEXT('Chart data'!E19,"0.0%")&amp;" in England)."))))</f>
        <v>67.6% of hip replacement respondents recorded an increase in their EQ VAS score following their operation (65.2% in England).</v>
      </c>
      <c r="C19" s="125"/>
      <c r="D19" s="125"/>
      <c r="E19" s="125"/>
      <c r="F19" s="125"/>
      <c r="G19" s="125"/>
      <c r="H19" s="125"/>
      <c r="I19" s="125"/>
      <c r="J19" s="126"/>
      <c r="K19" s="125"/>
      <c r="P19" s="163"/>
      <c r="Q19" s="163"/>
      <c r="R19" s="163"/>
      <c r="S19" s="163"/>
      <c r="T19" s="163"/>
      <c r="U19" s="163"/>
      <c r="V19" s="163"/>
      <c r="W19" s="163"/>
      <c r="X19" s="163"/>
      <c r="Y19" s="163"/>
      <c r="Z19" s="163"/>
      <c r="AA19" s="163"/>
      <c r="AB19" s="163"/>
      <c r="AC19" s="163"/>
      <c r="AD19" s="163"/>
      <c r="AE19" s="163"/>
      <c r="AF19" s="163"/>
      <c r="AG19" s="163"/>
    </row>
    <row r="20" spans="2:33" s="93" customFormat="1" ht="18" customHeight="1" x14ac:dyDescent="0.25">
      <c r="B20" s="125" t="str">
        <f ca="1">IF(ISERROR('Chart data'!B3),"The organisation level and organisation selected are not available - please re-select.",IF('Chart data'!C16="*","The number of knee replacement questionnaire pairs returned for "&amp;'Chart data'!B7&amp;" is suppressed due to small numbers.",IF('Chart data'!B6=Reference!$AA$2,TEXT('Chart data'!C16,"0.0%")&amp;" of knee replacement respondents recorded an increase in their EQ VAS score following their operation.",IF('Chart data'!C16="No data","No knee replacement completed questionnaire pairs have been returned by "&amp;'Chart data'!B7&amp;" for this measure.",TEXT('Chart data'!C16,"0.0%")&amp;" of knee replacement respondents recorded an increase in their EQ VAS score following their operation ("&amp;TEXT('Chart data'!E16,"0.0%")&amp;" in England)."))))</f>
        <v>33.3% of knee replacement respondents recorded an increase in their EQ VAS score following their operation (55.4% in England).</v>
      </c>
      <c r="C20" s="125"/>
      <c r="D20" s="125"/>
      <c r="E20" s="125"/>
      <c r="F20" s="125"/>
      <c r="G20" s="125"/>
      <c r="H20" s="125"/>
      <c r="I20" s="125"/>
      <c r="J20" s="126"/>
      <c r="K20" s="125"/>
      <c r="P20" s="163"/>
      <c r="Q20" s="163"/>
      <c r="R20" s="163"/>
      <c r="S20" s="164"/>
      <c r="T20" s="163"/>
      <c r="U20" s="163"/>
      <c r="V20" s="163"/>
      <c r="W20" s="163"/>
      <c r="X20" s="163"/>
      <c r="Y20" s="163"/>
      <c r="Z20" s="163"/>
      <c r="AA20" s="163"/>
      <c r="AB20" s="163"/>
      <c r="AC20" s="163"/>
      <c r="AD20" s="163"/>
      <c r="AE20" s="163"/>
      <c r="AF20" s="163"/>
      <c r="AG20" s="163"/>
    </row>
    <row r="21" spans="2:33" s="93" customFormat="1" ht="18" customHeight="1" x14ac:dyDescent="0.25">
      <c r="B21" s="125" t="str">
        <f ca="1">IF(ISERROR('Chart data'!B3),"The organisation level and organisation selected are not available - please re-select.",IF('Chart data'!C13="*","The number of varicose vein questionnaire pairs returned for "&amp;'Chart data'!B7&amp;" is suppressed due to small numbers.",IF('Chart data'!B6=Reference!$AA$2,TEXT('Chart data'!C13,"0.0%")&amp;" of varicose vein respondents recorded an increase in their EQ VAS score following their operation.",IF('Chart data'!C13="No data","No varicose vein completed questionnaire pairs have been returned by "&amp;'Chart data'!B7&amp;" for this measure.",TEXT('Chart data'!C13,"0.0%")&amp;" of varicose vein respondents recorded an increase in their EQ VAS score following their operation ("&amp;TEXT('Chart data'!E13,"0.0%")&amp;" in England)."))))</f>
        <v>The number of varicose vein questionnaire pairs returned for NHS ASHFORD CCG (09C) is suppressed due to small numbers.</v>
      </c>
      <c r="C21" s="125"/>
      <c r="D21" s="125"/>
      <c r="E21" s="125"/>
      <c r="F21" s="125"/>
      <c r="G21" s="125"/>
      <c r="H21" s="125"/>
      <c r="I21" s="125"/>
      <c r="J21" s="126"/>
      <c r="K21" s="125"/>
      <c r="L21" s="122"/>
      <c r="M21" s="122"/>
      <c r="N21" s="122"/>
      <c r="O21" s="122"/>
      <c r="P21" s="165"/>
      <c r="Q21" s="165"/>
      <c r="R21" s="165"/>
      <c r="S21" s="163"/>
      <c r="T21" s="165"/>
      <c r="U21" s="163"/>
      <c r="V21" s="163"/>
      <c r="W21" s="163"/>
      <c r="X21" s="163"/>
      <c r="Y21" s="163"/>
      <c r="Z21" s="163"/>
      <c r="AA21" s="163"/>
      <c r="AB21" s="163"/>
      <c r="AC21" s="163"/>
      <c r="AD21" s="163"/>
      <c r="AE21" s="163"/>
      <c r="AF21" s="163"/>
      <c r="AG21" s="163"/>
    </row>
    <row r="22" spans="2:33" s="96" customFormat="1" ht="9.9499999999999993" customHeight="1" x14ac:dyDescent="0.2">
      <c r="B22" s="87"/>
      <c r="C22" s="173"/>
      <c r="D22" s="173"/>
      <c r="E22" s="87"/>
      <c r="F22" s="173"/>
      <c r="G22" s="173"/>
      <c r="H22" s="173"/>
      <c r="I22" s="173"/>
      <c r="J22" s="173"/>
      <c r="K22" s="173"/>
      <c r="L22" s="122"/>
      <c r="M22" s="122"/>
      <c r="N22" s="122"/>
      <c r="O22" s="122"/>
      <c r="P22" s="165"/>
      <c r="Q22" s="165"/>
      <c r="R22" s="165"/>
      <c r="S22" s="155"/>
      <c r="T22" s="165"/>
      <c r="U22" s="155"/>
      <c r="V22" s="155"/>
      <c r="W22" s="155"/>
      <c r="X22" s="155"/>
      <c r="Y22" s="155"/>
      <c r="Z22" s="155"/>
      <c r="AA22" s="155"/>
      <c r="AB22" s="155"/>
      <c r="AC22" s="155"/>
      <c r="AD22" s="155"/>
      <c r="AE22" s="155"/>
      <c r="AF22" s="155"/>
      <c r="AG22" s="155"/>
    </row>
    <row r="23" spans="2:33" s="96" customFormat="1" ht="15.75" x14ac:dyDescent="0.25">
      <c r="B23" s="123" t="s">
        <v>118</v>
      </c>
      <c r="C23" s="174"/>
      <c r="D23" s="174"/>
      <c r="E23" s="124"/>
      <c r="F23" s="174"/>
      <c r="G23" s="174"/>
      <c r="H23" s="174"/>
      <c r="I23" s="174"/>
      <c r="J23" s="174"/>
      <c r="K23" s="174"/>
      <c r="L23" s="122"/>
      <c r="M23" s="122"/>
      <c r="N23" s="122"/>
      <c r="O23" s="122"/>
      <c r="P23" s="165"/>
      <c r="Q23" s="165"/>
      <c r="R23" s="165"/>
      <c r="S23" s="155"/>
      <c r="T23" s="165"/>
      <c r="U23" s="155"/>
      <c r="V23" s="155"/>
      <c r="W23" s="155"/>
      <c r="X23" s="155"/>
      <c r="Y23" s="155"/>
      <c r="Z23" s="155"/>
      <c r="AA23" s="155"/>
      <c r="AB23" s="155"/>
      <c r="AC23" s="155"/>
      <c r="AD23" s="155"/>
      <c r="AE23" s="155"/>
      <c r="AF23" s="155"/>
      <c r="AG23" s="155"/>
    </row>
    <row r="24" spans="2:33" s="99" customFormat="1" ht="18" customHeight="1" x14ac:dyDescent="0.2">
      <c r="B24" s="120" t="str">
        <f ca="1">IF(ISERROR('Chart data'!B3),"The organisation level and organisation selected are not available - please re-select.",IF('Chart data'!C18="*","The number of hip replacement questionnaire pairs returned for "&amp;'Chart data'!B7&amp;" is suppressed due to small numbers.",IF('Chart data'!B6=Reference!$AA$2,TEXT('Chart data'!C18,"0.0%")&amp;" for Oxford Hip Score respondents recorded joint related improvements following their operation.",IF('Chart data'!C18="No data","No hip replacement completed questionnaire pairs have been returned by "&amp;'Chart data'!B7&amp;" for this measure.",TEXT('Chart data'!C18,"0.0%")&amp;" of Oxford Hip Score respondents recorded joint related improvements following their operation ("&amp;TEXT('Chart data'!E18,"0.0%")&amp;" in England)."))))</f>
        <v>98.8% of Oxford Hip Score respondents recorded joint related improvements following their operation (96.5% in England).</v>
      </c>
      <c r="C24" s="120"/>
      <c r="D24" s="120"/>
      <c r="E24" s="120"/>
      <c r="F24" s="120"/>
      <c r="G24" s="120"/>
      <c r="H24" s="120"/>
      <c r="I24" s="110"/>
      <c r="J24" s="110"/>
      <c r="K24" s="110"/>
      <c r="L24" s="110"/>
      <c r="M24" s="121"/>
      <c r="N24" s="121"/>
      <c r="O24" s="121"/>
      <c r="P24" s="167"/>
      <c r="Q24" s="167"/>
      <c r="R24" s="167"/>
      <c r="S24" s="166"/>
      <c r="T24" s="167"/>
      <c r="U24" s="166"/>
      <c r="V24" s="166"/>
      <c r="W24" s="166"/>
      <c r="X24" s="166"/>
      <c r="Y24" s="166"/>
      <c r="Z24" s="166"/>
      <c r="AA24" s="166"/>
      <c r="AB24" s="166"/>
      <c r="AC24" s="166"/>
      <c r="AD24" s="166"/>
      <c r="AE24" s="166"/>
      <c r="AF24" s="166"/>
      <c r="AG24" s="166"/>
    </row>
    <row r="25" spans="2:33" s="99" customFormat="1" ht="18" customHeight="1" x14ac:dyDescent="0.2">
      <c r="B25" s="120" t="str">
        <f ca="1">IF(ISERROR('Chart data'!B3),"The organisation level and organisation selected are not available - please re-select.",IF('Chart data'!C15="*","The number of knee replacement questionnaire pairs returned for "&amp;'Chart data'!B7&amp;" is suppressed due to small numbers.",IF('Chart data'!B6=Reference!$AA$2,TEXT('Chart data'!C15,"0.0%")&amp;" of Oxford Knee Score respondents recorded joint related improvements following their operation.",IF('Chart data'!C15="No data","No knee replacement completed questionnaire pairs have been returned by "&amp;'Chart data'!B7&amp;" for this measure.",TEXT('Chart data'!C15,"0.0%")&amp;" of Oxford Knee Score respondents recorded joint related improvements following their operation ("&amp;TEXT('Chart data'!E15,"0.0%")&amp;" in England)."))))</f>
        <v>93.8% of Oxford Knee Score respondents recorded joint related improvements following their operation (93.3% in England).</v>
      </c>
      <c r="C25" s="110"/>
      <c r="D25" s="110"/>
      <c r="E25" s="110"/>
      <c r="F25" s="110"/>
      <c r="G25" s="110"/>
      <c r="H25" s="110"/>
      <c r="I25" s="110"/>
      <c r="J25" s="110"/>
      <c r="K25" s="110"/>
      <c r="L25" s="110"/>
      <c r="P25" s="166"/>
      <c r="Q25" s="166"/>
      <c r="R25" s="166"/>
      <c r="S25" s="166"/>
      <c r="T25" s="166"/>
      <c r="U25" s="166"/>
      <c r="V25" s="166"/>
      <c r="W25" s="166"/>
      <c r="X25" s="166"/>
      <c r="Y25" s="166"/>
      <c r="Z25" s="166"/>
      <c r="AA25" s="166"/>
      <c r="AB25" s="166"/>
      <c r="AC25" s="166"/>
      <c r="AD25" s="166"/>
      <c r="AE25" s="166"/>
      <c r="AF25" s="166"/>
      <c r="AG25" s="166"/>
    </row>
    <row r="26" spans="2:33" s="99" customFormat="1" ht="18" customHeight="1" x14ac:dyDescent="0.2">
      <c r="B26" s="120" t="str">
        <f ca="1">IF(ISERROR('Chart data'!B3),"The organisation level and organisation selected are not available - please re-select.",IF('Chart data'!C12="*","The number of varicose vein questionnaire pairs returned for "&amp;'Chart data'!B7&amp;" is suppressed due to small numbers.",IF('Chart data'!B6=Reference!$AA$2,TEXT('Chart data'!C12,"0.0%")&amp;" of Aberdeen Varicose Vein Questionnaire respondents recorded varicose vein related improvements following their operation.",IF('Chart data'!C12="No data","No varicose vein completed questionnaire pairs have been returned by "&amp;'Chart data'!B7&amp;" for this measure.",TEXT('Chart data'!C12,"0.0%")&amp;" of Aberdeen Varicose Vein Questionnaire respondents recorded varicose vein related improvements following their operation ("&amp;TEXT('Chart data'!E12,"0.0%")&amp;" in England)."))))</f>
        <v>The number of varicose vein questionnaire pairs returned for NHS ASHFORD CCG (09C) is suppressed due to small numbers.</v>
      </c>
      <c r="C26" s="110"/>
      <c r="D26" s="110"/>
      <c r="E26" s="110"/>
      <c r="F26" s="110"/>
      <c r="G26" s="110"/>
      <c r="H26" s="110"/>
      <c r="I26" s="110"/>
      <c r="J26" s="110"/>
      <c r="K26" s="110"/>
      <c r="L26" s="110"/>
      <c r="P26" s="166"/>
      <c r="Q26" s="166"/>
      <c r="R26" s="166"/>
      <c r="S26" s="166"/>
      <c r="T26" s="166"/>
      <c r="U26" s="166"/>
      <c r="V26" s="166"/>
      <c r="W26" s="166"/>
      <c r="X26" s="166"/>
      <c r="Y26" s="166"/>
      <c r="Z26" s="166"/>
      <c r="AA26" s="166"/>
      <c r="AB26" s="166"/>
      <c r="AC26" s="166"/>
      <c r="AD26" s="166"/>
      <c r="AE26" s="166"/>
      <c r="AF26" s="166"/>
      <c r="AG26" s="166"/>
    </row>
    <row r="27" spans="2:33" s="96" customFormat="1" ht="9.9499999999999993" customHeight="1" x14ac:dyDescent="0.2">
      <c r="P27" s="155"/>
      <c r="Q27" s="155"/>
      <c r="R27" s="155"/>
      <c r="S27" s="155"/>
      <c r="T27" s="155"/>
      <c r="U27" s="155"/>
      <c r="V27" s="155"/>
      <c r="W27" s="155"/>
      <c r="X27" s="155"/>
      <c r="Y27" s="155"/>
      <c r="Z27" s="155"/>
      <c r="AA27" s="155"/>
      <c r="AB27" s="155"/>
      <c r="AC27" s="155"/>
      <c r="AD27" s="155"/>
      <c r="AE27" s="155"/>
      <c r="AF27" s="155"/>
      <c r="AG27" s="155"/>
    </row>
    <row r="28" spans="2:33" s="96" customFormat="1" ht="15.75" x14ac:dyDescent="0.2">
      <c r="B28" s="109" t="s">
        <v>6</v>
      </c>
      <c r="E28" s="109"/>
      <c r="P28" s="155"/>
      <c r="Q28" s="155"/>
      <c r="R28" s="155"/>
      <c r="S28" s="155"/>
      <c r="T28" s="155"/>
      <c r="U28" s="155"/>
      <c r="V28" s="155"/>
      <c r="W28" s="155"/>
      <c r="X28" s="155"/>
      <c r="Y28" s="155"/>
      <c r="Z28" s="155"/>
      <c r="AA28" s="155"/>
      <c r="AB28" s="155"/>
      <c r="AC28" s="155"/>
      <c r="AD28" s="155"/>
      <c r="AE28" s="155"/>
      <c r="AF28" s="155"/>
      <c r="AG28" s="155"/>
    </row>
    <row r="29" spans="2:33" s="96" customFormat="1" ht="18" customHeight="1" x14ac:dyDescent="0.2">
      <c r="B29" s="199" t="str">
        <f ca="1">IF(ISERROR('Chart data'!B3),"The organisation level and organisation selected are not available - please re-select.",IF(AND($C$36="*",$D$36="*"),"The number of eligible hospital episodes, pre-operative questionnaires and participation rate have been suppressed due to small numbers.",IF(AND($C$36="*",$D$36&lt;&gt;"*"),"There were "&amp;TEXT($D$36,"#,0")&amp;" pre-operative questionnaires returned. The number of eligible hospital episodes and participation rate are suppressed due to small numbers.",IF($C$36=0,"There were no eligible hospital episodes and "&amp;TEXT($D$36,"0,0")&amp;" pre-operative questionnaires were returned - a headline participation rate of "&amp;TEXT($E$36,"0.0%")&amp;".",IF(AND($C$36&lt;&gt;"*",$D$36="*"),"There were "&amp;TEXT($C$36,"0,0")&amp;" eligible hospital episodes. The number of pre-operative questionnaires returned and participation rate are suppressed due to small numbers.","There were "&amp;IF($C$36="No Data","no data for",TEXT($C$36,"0,0"))&amp;" eligible hospital episodes and "&amp;IF($D$36="No Data","no data for",TEXT($D$36,"0,0"))&amp;" pre-operative questionnaires returned"&amp;IF(E36="No data"," - (a headline participation rate of "&amp;TEXT('Chart data'!G26,"0.0%")&amp;" in England)"," - a headline participation rate of "&amp;TEXT(E36,"0.0%")&amp;IF('Chart data'!B6="England",""," ("&amp;TEXT('Chart data'!E26,"0.0%")&amp;" in England)")))))))</f>
        <v>There were no data for eligible hospital episodes and no data for pre-operative questionnaires returned - (a headline participation rate of 78.5% in England)</v>
      </c>
      <c r="C29" s="199"/>
      <c r="D29" s="199"/>
      <c r="E29" s="199"/>
      <c r="F29" s="199"/>
      <c r="G29" s="199"/>
      <c r="H29" s="199"/>
      <c r="I29" s="199"/>
      <c r="J29" s="199"/>
      <c r="K29" s="199"/>
      <c r="L29" s="199"/>
      <c r="M29" s="199"/>
      <c r="P29" s="155"/>
      <c r="Q29" s="155"/>
      <c r="R29" s="155"/>
      <c r="S29" s="155"/>
      <c r="T29" s="155"/>
      <c r="U29" s="155"/>
      <c r="V29" s="155"/>
      <c r="W29" s="155"/>
      <c r="X29" s="155"/>
      <c r="Y29" s="155"/>
      <c r="Z29" s="155"/>
      <c r="AA29" s="155"/>
      <c r="AB29" s="155"/>
      <c r="AC29" s="155"/>
      <c r="AD29" s="155"/>
      <c r="AE29" s="155"/>
      <c r="AF29" s="155"/>
      <c r="AG29" s="155"/>
    </row>
    <row r="30" spans="2:33" s="114" customFormat="1" ht="18" customHeight="1" x14ac:dyDescent="0.2">
      <c r="B30" s="200" t="str">
        <f ca="1">IF(ISERROR('Chart data'!B3),"The organisation level and organisation selected are not available - please re-select.",IF(AND($K$36="*",$M$36="*"),"The number of post-operative questionnaires sent out and returned, and the response rate have been suppressed due to small numbers.",IF(AND($K$36="*",$M$36&lt;&gt;"*"),"There were "&amp;TEXT($M$36,"#,0")&amp;" post-operative questionnaires returned. The number of post-operative questionnaires sent out and the response rate are suppressed due to small numbers.",IF(AND($K$36&lt;&gt;"*",$M$36="*"),"There were "&amp;TEXT($K$36,"#,0")&amp;" post-operative questionnaires sent out. The number of post-operative questionnaires returned and the response rate are suppressed due to small numbers.",IF($C$36="No Data","There was no data for","Of the "&amp;TEXT($K$36,"#,0"))&amp;" post-operative questionnaires sent out, "&amp;IF($M$36="No data","there is no data for number of returned questionnaires - a response rate of "  &amp;TEXT('Chart data'!G33,"0.0%")&amp;" in England.",TEXT($M$36,"#,0")&amp;" have been returned - a response rate of "&amp;TEXT($N$36,"0.0%")&amp;IF('Chart data'!B6="England",""," ("&amp;TEXT('Chart data'!G33,"0.0%")&amp;" in England)."))))))</f>
        <v>There was no data for post-operative questionnaires sent out, there is no data for number of returned questionnaires - a response rate of 67.6% in England.</v>
      </c>
      <c r="C30" s="200"/>
      <c r="D30" s="200"/>
      <c r="E30" s="200"/>
      <c r="F30" s="200"/>
      <c r="G30" s="200"/>
      <c r="H30" s="200"/>
      <c r="I30" s="200"/>
      <c r="J30" s="200"/>
      <c r="K30" s="200"/>
      <c r="L30" s="200"/>
      <c r="M30" s="200"/>
      <c r="P30" s="155"/>
      <c r="Q30" s="155"/>
      <c r="R30" s="155"/>
      <c r="S30" s="168"/>
      <c r="T30" s="168"/>
      <c r="U30" s="168"/>
      <c r="V30" s="168"/>
      <c r="W30" s="168"/>
      <c r="X30" s="168"/>
      <c r="Y30" s="168"/>
      <c r="Z30" s="168"/>
      <c r="AA30" s="168"/>
      <c r="AB30" s="155"/>
      <c r="AC30" s="155"/>
      <c r="AD30" s="155"/>
      <c r="AE30" s="155"/>
      <c r="AF30" s="155"/>
      <c r="AG30" s="155"/>
    </row>
    <row r="31" spans="2:33" s="114" customFormat="1" ht="18" customHeight="1" x14ac:dyDescent="0.2">
      <c r="B31" s="200"/>
      <c r="C31" s="200"/>
      <c r="D31" s="200"/>
      <c r="E31" s="200"/>
      <c r="F31" s="200"/>
      <c r="G31" s="200"/>
      <c r="H31" s="200"/>
      <c r="I31" s="200"/>
      <c r="J31" s="200"/>
      <c r="K31" s="200"/>
      <c r="L31" s="200"/>
      <c r="M31" s="200"/>
      <c r="P31" s="155"/>
      <c r="Q31" s="155"/>
      <c r="R31" s="155"/>
      <c r="S31" s="168"/>
      <c r="T31" s="168"/>
      <c r="U31" s="168"/>
      <c r="V31" s="168"/>
      <c r="W31" s="168"/>
      <c r="X31" s="168"/>
      <c r="Y31" s="168"/>
      <c r="Z31" s="168"/>
      <c r="AA31" s="168"/>
      <c r="AB31" s="155"/>
      <c r="AC31" s="155"/>
      <c r="AD31" s="155"/>
      <c r="AE31" s="155"/>
      <c r="AF31" s="155"/>
      <c r="AG31" s="155"/>
    </row>
    <row r="32" spans="2:33" s="323" customFormat="1" ht="18" customHeight="1" x14ac:dyDescent="0.2">
      <c r="B32" s="324" t="s">
        <v>189</v>
      </c>
      <c r="C32" s="324"/>
      <c r="D32" s="324"/>
      <c r="E32" s="324"/>
      <c r="F32" s="324"/>
      <c r="G32" s="324"/>
      <c r="H32" s="324"/>
      <c r="I32" s="324"/>
      <c r="J32" s="324"/>
      <c r="K32" s="324"/>
      <c r="L32" s="324"/>
      <c r="M32" s="324"/>
      <c r="P32" s="325"/>
      <c r="Q32" s="325"/>
      <c r="R32" s="325"/>
      <c r="S32" s="326"/>
      <c r="T32" s="326"/>
      <c r="U32" s="326"/>
      <c r="V32" s="326"/>
      <c r="W32" s="326"/>
      <c r="X32" s="326"/>
      <c r="Y32" s="326"/>
      <c r="Z32" s="326"/>
      <c r="AA32" s="326"/>
      <c r="AB32" s="325"/>
      <c r="AC32" s="325"/>
      <c r="AD32" s="325"/>
      <c r="AE32" s="325"/>
      <c r="AF32" s="325"/>
      <c r="AG32" s="325"/>
    </row>
    <row r="33" spans="1:33" ht="6.95" customHeight="1" x14ac:dyDescent="0.2">
      <c r="B33" s="45"/>
      <c r="S33" s="156"/>
      <c r="T33" s="156"/>
      <c r="U33" s="156"/>
      <c r="V33" s="156"/>
      <c r="W33" s="156"/>
      <c r="X33" s="156"/>
      <c r="Y33" s="156"/>
      <c r="Z33" s="156"/>
      <c r="AA33" s="156"/>
    </row>
    <row r="34" spans="1:33" s="50" customFormat="1" ht="21" customHeight="1" x14ac:dyDescent="0.2">
      <c r="A34" s="33"/>
      <c r="B34" s="205" t="s">
        <v>119</v>
      </c>
      <c r="C34" s="33"/>
      <c r="D34" s="33"/>
      <c r="E34" s="33"/>
      <c r="F34" s="33"/>
      <c r="G34" s="33"/>
      <c r="H34" s="33"/>
      <c r="I34" s="206" t="s">
        <v>120</v>
      </c>
      <c r="J34" s="33"/>
      <c r="K34" s="33"/>
      <c r="L34" s="33"/>
      <c r="M34" s="33"/>
      <c r="N34" s="153"/>
      <c r="O34" s="203"/>
      <c r="P34" s="156"/>
      <c r="Q34" s="156"/>
      <c r="R34" s="156"/>
      <c r="S34" s="156"/>
      <c r="T34" s="534"/>
      <c r="U34" s="534"/>
      <c r="V34" s="170"/>
      <c r="W34" s="170"/>
      <c r="X34" s="176"/>
      <c r="Y34" s="170"/>
      <c r="Z34" s="176"/>
      <c r="AA34" s="156"/>
      <c r="AB34" s="156"/>
      <c r="AC34" s="156"/>
      <c r="AD34" s="156"/>
      <c r="AE34" s="156"/>
      <c r="AF34" s="156"/>
      <c r="AG34" s="156"/>
    </row>
    <row r="35" spans="1:33" s="50" customFormat="1" ht="51.75" customHeight="1" x14ac:dyDescent="0.2">
      <c r="A35" s="33"/>
      <c r="B35" s="207"/>
      <c r="C35" s="111" t="s">
        <v>203</v>
      </c>
      <c r="D35" s="111" t="s">
        <v>66</v>
      </c>
      <c r="E35" s="112" t="s">
        <v>9</v>
      </c>
      <c r="F35" s="111" t="s">
        <v>67</v>
      </c>
      <c r="G35" s="112" t="s">
        <v>58</v>
      </c>
      <c r="H35" s="33"/>
      <c r="I35" s="207"/>
      <c r="J35" s="111" t="s">
        <v>66</v>
      </c>
      <c r="K35" s="111" t="s">
        <v>68</v>
      </c>
      <c r="L35" s="112" t="s">
        <v>69</v>
      </c>
      <c r="M35" s="111" t="s">
        <v>70</v>
      </c>
      <c r="N35" s="112" t="s">
        <v>64</v>
      </c>
      <c r="O35" s="203"/>
      <c r="P35" s="156"/>
      <c r="Q35" s="156"/>
      <c r="R35" s="156"/>
      <c r="S35" s="156"/>
      <c r="T35" s="521"/>
      <c r="U35" s="175"/>
      <c r="V35" s="171"/>
      <c r="W35" s="171"/>
      <c r="X35" s="172"/>
      <c r="Y35" s="171"/>
      <c r="Z35" s="172"/>
      <c r="AA35" s="156"/>
      <c r="AB35" s="156"/>
      <c r="AC35" s="156"/>
      <c r="AD35" s="156"/>
      <c r="AE35" s="156"/>
      <c r="AF35" s="156"/>
      <c r="AG35" s="156"/>
    </row>
    <row r="36" spans="1:33" s="50" customFormat="1" ht="19.5" customHeight="1" x14ac:dyDescent="0.2">
      <c r="A36" s="33"/>
      <c r="B36" s="208" t="s">
        <v>57</v>
      </c>
      <c r="C36" s="107" t="str">
        <f ca="1">IF(ISERROR('Chart data'!B3),"No data",IF(OR('Chart data'!B6=Reference!AA3,'Chart data'!B6=Reference!AA4,'Chart data'!B6=Reference!AA5),"No data",IF('Chart data'!B6=Reference!AA2,VLOOKUP("England",Participation_Data,2,FALSE),VLOOKUP('Chart data'!B7,Participation_Data,2,FALSE))))</f>
        <v>No data</v>
      </c>
      <c r="D36" s="107" t="str">
        <f ca="1">IF(ISERROR('Chart data'!B3),"No data",IF(OR('Chart data'!B6=Reference!AA3,'Chart data'!B6=Reference!AA4,'Chart data'!B6=Reference!AA5),"No data",VLOOKUP('Chart data'!B7,Participation_Data,3,FALSE)))</f>
        <v>No data</v>
      </c>
      <c r="E36" s="209" t="str">
        <f ca="1">IF(ISERROR('Chart data'!B3),"No data",IF(OR('Chart data'!B6=Reference!AA3,'Chart data'!B6=Reference!AA4,'Chart data'!B6=Reference!AA5),"No data",VLOOKUP('Chart data'!B7,Participation_Data,4,FALSE)))</f>
        <v>No data</v>
      </c>
      <c r="F36" s="107" t="str">
        <f ca="1">IF(ISERROR('Chart data'!B3),"No data",IF(OR('Chart data'!B6=Reference!AA3,'Chart data'!B6=Reference!AA4,'Chart data'!B6=Reference!AA5),"No data",VLOOKUP('Chart data'!B7,Participation_Data,5,FALSE)))</f>
        <v>No data</v>
      </c>
      <c r="G36" s="209" t="str">
        <f ca="1">IF(ISERROR('Chart data'!B3),"No data",IF(OR('Chart data'!B6=Reference!AA3,'Chart data'!B6=Reference!AA4,'Chart data'!B6=Reference!AA5),"No data",VLOOKUP('Chart data'!B7,Participation_Data,6,FALSE)))</f>
        <v>No data</v>
      </c>
      <c r="H36" s="33"/>
      <c r="I36" s="208" t="s">
        <v>57</v>
      </c>
      <c r="J36" s="107" t="str">
        <f ca="1">IF(ISERROR('Chart data'!B3),"No data",IF(OR('Chart data'!B6=Reference!AA3,'Chart data'!B6=Reference!AA4,'Chart data'!B6=Reference!AA5),"No data",VLOOKUP('Chart data'!B7,Participation_Data,3,FALSE)))</f>
        <v>No data</v>
      </c>
      <c r="K36" s="107" t="str">
        <f ca="1">IF(ISERROR('Chart data'!B3),"No data",IF(OR('Chart data'!B6=Reference!AA3,'Chart data'!B6=Reference!AA4,'Chart data'!B6=Reference!AA5),"No data",VLOOKUP('Chart data'!B7,Participation_Data,7,FALSE)))</f>
        <v>No data</v>
      </c>
      <c r="L36" s="209" t="str">
        <f ca="1">IF(ISERROR('Chart data'!B3),"No data",IF(OR('Chart data'!B6=Reference!AA3,'Chart data'!B6=Reference!AA4,'Chart data'!B6=Reference!AA5),"No data",VLOOKUP('Chart data'!B7,Participation_Data,8,FALSE)))</f>
        <v>No data</v>
      </c>
      <c r="M36" s="107" t="str">
        <f ca="1">IF(ISERROR('Chart data'!B3),"No data",IF(OR('Chart data'!B6=Reference!AA3,'Chart data'!B6=Reference!AA4,'Chart data'!B6=Reference!AA5),"No data",VLOOKUP('Chart data'!B7,Participation_Data,9,FALSE)))</f>
        <v>No data</v>
      </c>
      <c r="N36" s="209" t="str">
        <f ca="1">IF(ISERROR('Chart data'!B3),"No data",IF(OR('Chart data'!B6=Reference!AA3,'Chart data'!B6=Reference!AA4,'Chart data'!B6=Reference!AA5),"No data",VLOOKUP('Chart data'!B7,Participation_Data,10,FALSE)))</f>
        <v>No data</v>
      </c>
      <c r="O36" s="203"/>
      <c r="P36" s="156"/>
      <c r="Q36" s="156"/>
      <c r="R36" s="156"/>
      <c r="S36" s="156"/>
      <c r="T36" s="521"/>
      <c r="U36" s="175"/>
      <c r="V36" s="171"/>
      <c r="W36" s="171"/>
      <c r="X36" s="172"/>
      <c r="Y36" s="171"/>
      <c r="Z36" s="172"/>
      <c r="AA36" s="156"/>
      <c r="AB36" s="156"/>
      <c r="AC36" s="156"/>
      <c r="AD36" s="156"/>
      <c r="AE36" s="156"/>
      <c r="AF36" s="156"/>
      <c r="AG36" s="156"/>
    </row>
    <row r="37" spans="1:33" s="50" customFormat="1" ht="19.5" customHeight="1" x14ac:dyDescent="0.2">
      <c r="A37" s="33"/>
      <c r="B37" s="208" t="s">
        <v>50</v>
      </c>
      <c r="C37" s="107" t="str">
        <f ca="1">IF(ISERROR('Chart data'!B3),"No data",IF(OR('Chart data'!B6=Reference!AA3,'Chart data'!B6=Reference!AA4,'Chart data'!B6=Reference!AA5),"No data",VLOOKUP('Chart data'!B7,Participation_Data,11,FALSE)))</f>
        <v>No data</v>
      </c>
      <c r="D37" s="107" t="str">
        <f ca="1">IF(ISERROR('Chart data'!B3),"No data",IF(OR('Chart data'!B6=Reference!AA3,'Chart data'!B6=Reference!AA4,'Chart data'!B6=Reference!AA5),"No data",VLOOKUP('Chart data'!B7,Participation_Data,12,FALSE)))</f>
        <v>No data</v>
      </c>
      <c r="E37" s="209" t="str">
        <f ca="1">IF(ISERROR('Chart data'!B3),"No data",IF(OR('Chart data'!B6=Reference!AA3,'Chart data'!B6=Reference!AA4,'Chart data'!B6=Reference!AA5),"No data",VLOOKUP('Chart data'!B7,Participation_Data,13,FALSE)))</f>
        <v>No data</v>
      </c>
      <c r="F37" s="107" t="str">
        <f ca="1">IF(ISERROR('Chart data'!B3),"No data",IF(OR('Chart data'!B6=Reference!AA3,'Chart data'!B6=Reference!AA4,'Chart data'!B6=Reference!AA5),"No data",VLOOKUP('Chart data'!B7,Participation_Data,14,FALSE)))</f>
        <v>No data</v>
      </c>
      <c r="G37" s="209" t="str">
        <f ca="1">IF(ISERROR('Chart data'!B3),"No data",IF(OR('Chart data'!B6=Reference!AA3,'Chart data'!B6=Reference!AA4,'Chart data'!B6=Reference!AA5),"No data",VLOOKUP('Chart data'!B7,Participation_Data,15,FALSE)))</f>
        <v>No data</v>
      </c>
      <c r="H37" s="33"/>
      <c r="I37" s="208" t="s">
        <v>50</v>
      </c>
      <c r="J37" s="107" t="str">
        <f ca="1">IF(ISERROR('Chart data'!B3),"No data",IF(OR('Chart data'!B6=Reference!AA3,'Chart data'!B6=Reference!AA4,'Chart data'!B6=Reference!AA5),"No data",VLOOKUP('Chart data'!B7,Participation_Data,12,FALSE)))</f>
        <v>No data</v>
      </c>
      <c r="K37" s="107" t="str">
        <f ca="1">IF(ISERROR('Chart data'!B3),"No data",IF(OR('Chart data'!B6=Reference!AA3,'Chart data'!B6=Reference!AA4,'Chart data'!B6=Reference!AA5),"No data",VLOOKUP('Chart data'!B7,Participation_Data,16,FALSE)))</f>
        <v>No data</v>
      </c>
      <c r="L37" s="209" t="str">
        <f ca="1">IF(ISERROR('Chart data'!B3),"No data",IF(OR('Chart data'!B6=Reference!AA3,'Chart data'!B6=Reference!AA4,'Chart data'!B6=Reference!AA5),"No data",VLOOKUP('Chart data'!B7,Participation_Data,17,FALSE)))</f>
        <v>No data</v>
      </c>
      <c r="M37" s="107" t="str">
        <f ca="1">IF(ISERROR('Chart data'!B3),"No data",IF(OR('Chart data'!B6=Reference!AA3,'Chart data'!B6=Reference!AA4,'Chart data'!B6=Reference!AA5),"No data",VLOOKUP('Chart data'!B7,Participation_Data,18,FALSE)))</f>
        <v>No data</v>
      </c>
      <c r="N37" s="209" t="str">
        <f ca="1">IF(ISERROR('Chart data'!B3),"No data",IF(OR('Chart data'!B6=Reference!AA3,'Chart data'!B6=Reference!AA4,'Chart data'!B6=Reference!AA5),"No data",VLOOKUP('Chart data'!B7,Participation_Data,19,FALSE)))</f>
        <v>No data</v>
      </c>
      <c r="O37" s="203"/>
      <c r="P37" s="156"/>
      <c r="Q37" s="156"/>
      <c r="R37" s="156"/>
      <c r="S37" s="156"/>
      <c r="T37" s="521"/>
      <c r="U37" s="175"/>
      <c r="V37" s="171"/>
      <c r="W37" s="171"/>
      <c r="X37" s="172"/>
      <c r="Y37" s="171"/>
      <c r="Z37" s="172"/>
      <c r="AA37" s="156"/>
      <c r="AB37" s="156"/>
      <c r="AC37" s="156"/>
      <c r="AD37" s="156"/>
      <c r="AE37" s="156"/>
      <c r="AF37" s="156"/>
      <c r="AG37" s="156"/>
    </row>
    <row r="38" spans="1:33" s="50" customFormat="1" ht="19.5" customHeight="1" x14ac:dyDescent="0.2">
      <c r="A38" s="33"/>
      <c r="B38" s="208" t="s">
        <v>13</v>
      </c>
      <c r="C38" s="107" t="str">
        <f ca="1">IF(ISERROR('Chart data'!B3),"No data",IF(OR('Chart data'!B6=Reference!AA3,'Chart data'!B6=Reference!AA4,'Chart data'!B6=Reference!AA5),"No data",VLOOKUP('Chart data'!B7,Participation_Data,20,FALSE)))</f>
        <v>No data</v>
      </c>
      <c r="D38" s="107" t="str">
        <f ca="1">IF(ISERROR('Chart data'!B3),"No data",IF(OR('Chart data'!B6=Reference!AA3,'Chart data'!B6=Reference!AA4,'Chart data'!B6=Reference!AA5),"No data",VLOOKUP('Chart data'!B7,Participation_Data,21,FALSE)))</f>
        <v>No data</v>
      </c>
      <c r="E38" s="209" t="str">
        <f ca="1">IF(ISERROR('Chart data'!B3),"No data",IF(OR('Chart data'!B6=Reference!AA3,'Chart data'!B6=Reference!AA4,'Chart data'!B6=Reference!AA5),"No data",VLOOKUP('Chart data'!B7,Participation_Data,22,FALSE)))</f>
        <v>No data</v>
      </c>
      <c r="F38" s="107" t="str">
        <f ca="1">IF(ISERROR('Chart data'!B3),"No data",IF(OR('Chart data'!B6=Reference!AA3,'Chart data'!B6=Reference!AA4,'Chart data'!B6=Reference!AA5),"No data",VLOOKUP('Chart data'!B7,Participation_Data,23,FALSE)))</f>
        <v>No data</v>
      </c>
      <c r="G38" s="209" t="str">
        <f ca="1">IF(ISERROR('Chart data'!B3),"No data",IF(OR('Chart data'!B6=Reference!AA3,'Chart data'!B6=Reference!AA4,'Chart data'!B6=Reference!AA5),"No data",VLOOKUP('Chart data'!B7,Participation_Data,24,FALSE)))</f>
        <v>No data</v>
      </c>
      <c r="H38" s="33"/>
      <c r="I38" s="208" t="s">
        <v>13</v>
      </c>
      <c r="J38" s="107" t="str">
        <f ca="1">IF(ISERROR('Chart data'!B3),"No data",IF(OR('Chart data'!B6=Reference!AA3,'Chart data'!B6=Reference!AA4,'Chart data'!B6=Reference!AA5),"No data",VLOOKUP('Chart data'!B7,Participation_Data,21,FALSE)))</f>
        <v>No data</v>
      </c>
      <c r="K38" s="107" t="str">
        <f ca="1">IF(ISERROR('Chart data'!B3),"No data",IF(OR('Chart data'!B6=Reference!AA3,'Chart data'!B6=Reference!AA4,'Chart data'!B6=Reference!AA5),"No data",VLOOKUP('Chart data'!B7,Participation_Data,25,FALSE)))</f>
        <v>No data</v>
      </c>
      <c r="L38" s="209" t="str">
        <f ca="1">IF(ISERROR('Chart data'!B3),"No data",IF(OR('Chart data'!B6=Reference!AA3,'Chart data'!B6=Reference!AA4,'Chart data'!B6=Reference!AA5),"No data",VLOOKUP('Chart data'!B7,Participation_Data,26,FALSE)))</f>
        <v>No data</v>
      </c>
      <c r="M38" s="107" t="str">
        <f ca="1">IF(ISERROR('Chart data'!B3),"No data",IF(OR('Chart data'!B6=Reference!AA3,'Chart data'!B6=Reference!AA4,'Chart data'!B6=Reference!AA5),"No data",VLOOKUP('Chart data'!B7,Participation_Data,27,FALSE)))</f>
        <v>No data</v>
      </c>
      <c r="N38" s="209" t="str">
        <f ca="1">IF(ISERROR('Chart data'!B3),"No data",IF(OR('Chart data'!B6=Reference!AA3,'Chart data'!B6=Reference!AA4,'Chart data'!B6=Reference!AA5),"No data",VLOOKUP('Chart data'!B7,Participation_Data,28,FALSE)))</f>
        <v>No data</v>
      </c>
      <c r="O38" s="203"/>
      <c r="P38" s="156"/>
      <c r="Q38" s="156"/>
      <c r="R38" s="156"/>
      <c r="S38" s="156"/>
      <c r="T38" s="521"/>
      <c r="U38" s="175"/>
      <c r="V38" s="171"/>
      <c r="W38" s="171"/>
      <c r="X38" s="172"/>
      <c r="Y38" s="171"/>
      <c r="Z38" s="172"/>
      <c r="AA38" s="156"/>
      <c r="AB38" s="156"/>
      <c r="AC38" s="156"/>
      <c r="AD38" s="156"/>
      <c r="AE38" s="156"/>
      <c r="AF38" s="156"/>
      <c r="AG38" s="156"/>
    </row>
    <row r="39" spans="1:33" s="50" customFormat="1" ht="19.5" customHeight="1" x14ac:dyDescent="0.2">
      <c r="A39" s="33"/>
      <c r="B39" s="208" t="s">
        <v>15</v>
      </c>
      <c r="C39" s="107" t="str">
        <f ca="1">IF(ISERROR('Chart data'!B3),"No data",IF(OR('Chart data'!B6=Reference!AA3,'Chart data'!B6=Reference!AA4,'Chart data'!B6=Reference!AA5),"No data",VLOOKUP('Chart data'!B7,Participation_Data,29,FALSE)))</f>
        <v>No data</v>
      </c>
      <c r="D39" s="107" t="str">
        <f ca="1">IF(ISERROR('Chart data'!B3),"No data",IF(OR('Chart data'!B6=Reference!AA3,'Chart data'!B6=Reference!AA4,'Chart data'!B6=Reference!AA5),"No data",VLOOKUP('Chart data'!B7,Participation_Data,30,FALSE)))</f>
        <v>No data</v>
      </c>
      <c r="E39" s="209" t="str">
        <f ca="1">IF(ISERROR('Chart data'!B3),"No data",IF(OR('Chart data'!B6=Reference!AA3,'Chart data'!B6=Reference!AA4,'Chart data'!B6=Reference!AA5),"No data",VLOOKUP('Chart data'!B7,Participation_Data,31,FALSE)))</f>
        <v>No data</v>
      </c>
      <c r="F39" s="107" t="str">
        <f ca="1">IF(ISERROR('Chart data'!B3),"No data",IF(OR('Chart data'!B6=Reference!AA3,'Chart data'!B6=Reference!AA4,'Chart data'!B6=Reference!AA5),"No data",VLOOKUP('Chart data'!B7,Participation_Data,32,FALSE)))</f>
        <v>No data</v>
      </c>
      <c r="G39" s="209" t="str">
        <f ca="1">IF(ISERROR('Chart data'!B3),"No data",IF(OR('Chart data'!B6=Reference!AA3,'Chart data'!B6=Reference!AA4,'Chart data'!B6=Reference!AA5),"No data",VLOOKUP('Chart data'!B7,Participation_Data,33,FALSE)))</f>
        <v>No data</v>
      </c>
      <c r="H39" s="33"/>
      <c r="I39" s="208" t="s">
        <v>15</v>
      </c>
      <c r="J39" s="107" t="str">
        <f ca="1">IF(ISERROR('Chart data'!B3),"No data",IF(OR('Chart data'!B6=Reference!AA3,'Chart data'!B6=Reference!AA4,'Chart data'!B6=Reference!AA5),"No data",VLOOKUP('Chart data'!B7,Participation_Data,30,FALSE)))</f>
        <v>No data</v>
      </c>
      <c r="K39" s="107" t="str">
        <f ca="1">IF(ISERROR('Chart data'!B3),"No data",IF(OR('Chart data'!B6=Reference!AA3,'Chart data'!B6=Reference!AA4,'Chart data'!B6=Reference!AA5),"No data",VLOOKUP('Chart data'!B7,Participation_Data,34,FALSE)))</f>
        <v>No data</v>
      </c>
      <c r="L39" s="209" t="str">
        <f ca="1">IF(ISERROR('Chart data'!B3),"No data",IF(OR('Chart data'!B6=Reference!AA3,'Chart data'!B6=Reference!AA4,'Chart data'!B6=Reference!AA5),"No data",VLOOKUP('Chart data'!B7,Participation_Data,35,FALSE)))</f>
        <v>No data</v>
      </c>
      <c r="M39" s="107" t="str">
        <f ca="1">IF(ISERROR('Chart data'!B3),"No data",IF(OR('Chart data'!B6=Reference!AA3,'Chart data'!B6=Reference!AA4,'Chart data'!B6=Reference!AA5),"No data",VLOOKUP('Chart data'!B7,Participation_Data,36,FALSE)))</f>
        <v>No data</v>
      </c>
      <c r="N39" s="209" t="str">
        <f ca="1">IF(ISERROR('Chart data'!B3),"No data",IF(OR('Chart data'!B6=Reference!AA3,'Chart data'!B6=Reference!AA4,'Chart data'!B6=Reference!AA5),"No data",VLOOKUP('Chart data'!B7,Participation_Data,37,FALSE)))</f>
        <v>No data</v>
      </c>
      <c r="O39" s="203"/>
      <c r="P39" s="156"/>
      <c r="Q39" s="156"/>
      <c r="R39" s="156"/>
      <c r="S39" s="156"/>
      <c r="T39" s="521"/>
      <c r="U39" s="175"/>
      <c r="V39" s="171"/>
      <c r="W39" s="171"/>
      <c r="X39" s="172"/>
      <c r="Y39" s="171"/>
      <c r="Z39" s="172"/>
      <c r="AA39" s="156"/>
      <c r="AB39" s="156"/>
      <c r="AC39" s="156"/>
      <c r="AD39" s="156"/>
      <c r="AE39" s="156"/>
      <c r="AF39" s="156"/>
      <c r="AG39" s="156"/>
    </row>
    <row r="40" spans="1:33" s="50" customFormat="1" ht="19.5" customHeight="1" x14ac:dyDescent="0.2">
      <c r="A40" s="33"/>
      <c r="B40" s="208" t="s">
        <v>17</v>
      </c>
      <c r="C40" s="107" t="str">
        <f ca="1">IF(ISERROR('Chart data'!B3),"No data",IF(OR('Chart data'!B6=Reference!AA3,'Chart data'!B6=Reference!AA4,'Chart data'!B6=Reference!AA5),"No data",VLOOKUP('Chart data'!B7,Participation_Data,38,FALSE)))</f>
        <v>No data</v>
      </c>
      <c r="D40" s="107" t="str">
        <f ca="1">IF(ISERROR('Chart data'!B3),"No data",IF(OR('Chart data'!B6=Reference!AA3,'Chart data'!B6=Reference!AA4,'Chart data'!B6=Reference!AA5),"No data",VLOOKUP('Chart data'!B7,Participation_Data,39,FALSE)))</f>
        <v>No data</v>
      </c>
      <c r="E40" s="209" t="str">
        <f ca="1">IF(ISERROR('Chart data'!B3),"No data",IF(OR('Chart data'!B6=Reference!AA3,'Chart data'!B6=Reference!AA4,'Chart data'!B6=Reference!AA5),"No data",VLOOKUP('Chart data'!B7,Participation_Data,40,FALSE)))</f>
        <v>No data</v>
      </c>
      <c r="F40" s="107" t="str">
        <f ca="1">IF(ISERROR('Chart data'!B3),"No data",IF(OR('Chart data'!B6=Reference!AA3,'Chart data'!B6=Reference!AA4,'Chart data'!B6=Reference!AA5),"No data",VLOOKUP('Chart data'!B7,Participation_Data,41,FALSE)))</f>
        <v>No data</v>
      </c>
      <c r="G40" s="209" t="str">
        <f ca="1">IF(ISERROR('Chart data'!B3),"No data",IF(OR('Chart data'!B6=Reference!AA3,'Chart data'!B6=Reference!AA4,'Chart data'!B6=Reference!AA5),"No data",VLOOKUP('Chart data'!B7,Participation_Data,42,FALSE)))</f>
        <v>No data</v>
      </c>
      <c r="H40" s="33"/>
      <c r="I40" s="208" t="s">
        <v>17</v>
      </c>
      <c r="J40" s="107" t="str">
        <f ca="1">IF(ISERROR('Chart data'!B3),"No data",IF(OR('Chart data'!B6=Reference!AA3,'Chart data'!B6=Reference!AA4,'Chart data'!B6=Reference!AA5),"No data",VLOOKUP('Chart data'!B7,Participation_Data,39,FALSE)))</f>
        <v>No data</v>
      </c>
      <c r="K40" s="107" t="str">
        <f ca="1">IF(ISERROR('Chart data'!B3),"No data",IF(OR('Chart data'!B6=Reference!AA3,'Chart data'!B6=Reference!AA4,'Chart data'!B6=Reference!AA5),"No data",VLOOKUP('Chart data'!B7,Participation_Data,43,FALSE)))</f>
        <v>No data</v>
      </c>
      <c r="L40" s="209" t="str">
        <f ca="1">IF(ISERROR('Chart data'!B3),"No data",IF(OR('Chart data'!B6=Reference!AA3,'Chart data'!B6=Reference!AA4,'Chart data'!B6=Reference!AA5),"No data",VLOOKUP('Chart data'!B7,Participation_Data,44,FALSE)))</f>
        <v>No data</v>
      </c>
      <c r="M40" s="107" t="str">
        <f ca="1">IF(ISERROR('Chart data'!B3),"No data",IF(OR('Chart data'!B6=Reference!AA3,'Chart data'!B6=Reference!AA4,'Chart data'!B6=Reference!AA5),"No data",VLOOKUP('Chart data'!B7,Participation_Data,45,FALSE)))</f>
        <v>No data</v>
      </c>
      <c r="N40" s="209" t="str">
        <f ca="1">IF(ISERROR('Chart data'!B3),"No data",IF(OR('Chart data'!B6=Reference!AA3,'Chart data'!B6=Reference!AA4,'Chart data'!B6=Reference!AA5),"No data",VLOOKUP('Chart data'!B7,Participation_Data,46,FALSE)))</f>
        <v>No data</v>
      </c>
      <c r="O40" s="203"/>
      <c r="P40" s="156"/>
      <c r="Q40" s="156"/>
      <c r="R40" s="156"/>
      <c r="S40" s="156"/>
      <c r="T40" s="156"/>
      <c r="U40" s="156"/>
      <c r="V40" s="156"/>
      <c r="W40" s="156"/>
      <c r="X40" s="156"/>
      <c r="Y40" s="156"/>
      <c r="Z40" s="156"/>
      <c r="AA40" s="156"/>
      <c r="AB40" s="156"/>
      <c r="AC40" s="156"/>
      <c r="AD40" s="156"/>
      <c r="AE40" s="156"/>
      <c r="AF40" s="156"/>
      <c r="AG40" s="156"/>
    </row>
    <row r="41" spans="1:33" s="50" customFormat="1" ht="15.75" x14ac:dyDescent="0.2">
      <c r="B41" s="204"/>
      <c r="C41" s="204"/>
      <c r="D41" s="201"/>
      <c r="E41" s="201"/>
      <c r="F41" s="202"/>
      <c r="G41" s="201"/>
      <c r="H41" s="202"/>
      <c r="I41" s="48"/>
      <c r="K41" s="203"/>
      <c r="L41" s="203"/>
      <c r="M41" s="203"/>
      <c r="N41" s="203"/>
      <c r="O41" s="203"/>
      <c r="P41" s="156"/>
      <c r="Q41" s="156"/>
      <c r="R41" s="156"/>
      <c r="S41" s="156"/>
      <c r="T41" s="534"/>
      <c r="U41" s="534"/>
      <c r="V41" s="170"/>
      <c r="W41" s="170"/>
      <c r="X41" s="176"/>
      <c r="Y41" s="170"/>
      <c r="Z41" s="176"/>
      <c r="AA41" s="156"/>
      <c r="AB41" s="156"/>
      <c r="AC41" s="156"/>
      <c r="AD41" s="156"/>
      <c r="AE41" s="156"/>
      <c r="AF41" s="156"/>
      <c r="AG41" s="156"/>
    </row>
    <row r="42" spans="1:33" s="153" customFormat="1" x14ac:dyDescent="0.2">
      <c r="B42" s="33"/>
      <c r="C42" s="33"/>
      <c r="D42" s="33"/>
      <c r="E42" s="33"/>
      <c r="F42" s="33"/>
      <c r="G42" s="33"/>
      <c r="H42" s="33"/>
      <c r="I42" s="33"/>
      <c r="J42" s="33"/>
      <c r="S42" s="156"/>
      <c r="T42" s="156"/>
      <c r="U42" s="156"/>
      <c r="V42" s="156"/>
      <c r="W42" s="156"/>
      <c r="X42" s="156"/>
      <c r="Y42" s="156"/>
      <c r="Z42" s="156"/>
      <c r="AA42" s="156"/>
    </row>
    <row r="43" spans="1:33" s="153" customFormat="1" ht="15" x14ac:dyDescent="0.2">
      <c r="B43" s="512" t="str">
        <f ca="1">HYPERLINK(Reference!B$9,Reference!A$9)</f>
        <v>Copyright © 2015, The Health and Social Care Information Centre. All Rights Reserved.</v>
      </c>
      <c r="C43" s="513"/>
      <c r="D43" s="513"/>
      <c r="E43" s="513"/>
      <c r="F43" s="513"/>
      <c r="G43" s="513"/>
      <c r="H43" s="513"/>
      <c r="I43" s="513"/>
      <c r="J43" s="513"/>
      <c r="K43" s="513"/>
      <c r="L43" s="33"/>
      <c r="M43" s="33"/>
      <c r="N43" s="33"/>
      <c r="O43" s="33"/>
    </row>
    <row r="45" spans="1:33" s="153" customFormat="1" x14ac:dyDescent="0.2">
      <c r="B45" s="33"/>
      <c r="C45" s="43"/>
      <c r="D45" s="33"/>
      <c r="E45" s="33"/>
      <c r="F45" s="33"/>
      <c r="G45" s="33"/>
      <c r="H45" s="33"/>
      <c r="I45" s="33"/>
      <c r="J45" s="33"/>
      <c r="K45" s="33"/>
      <c r="L45" s="33"/>
      <c r="M45" s="33"/>
      <c r="N45" s="33"/>
      <c r="O45" s="33"/>
    </row>
    <row r="47" spans="1:33" ht="15.75" x14ac:dyDescent="0.2">
      <c r="B47" s="204"/>
      <c r="C47" s="201"/>
      <c r="D47" s="201"/>
      <c r="E47" s="202"/>
      <c r="F47" s="201"/>
      <c r="G47" s="202"/>
      <c r="H47" s="50"/>
      <c r="I47" s="204"/>
      <c r="J47" s="201"/>
      <c r="K47" s="201"/>
      <c r="L47" s="202"/>
      <c r="M47" s="201"/>
      <c r="N47" s="202"/>
    </row>
    <row r="48" spans="1:33" ht="15.75" x14ac:dyDescent="0.2">
      <c r="B48" s="109"/>
      <c r="C48" s="368"/>
      <c r="D48" s="368"/>
      <c r="E48" s="367"/>
      <c r="F48" s="368"/>
      <c r="G48" s="367"/>
      <c r="H48" s="50"/>
      <c r="I48" s="109"/>
      <c r="J48" s="368"/>
      <c r="K48" s="368"/>
      <c r="L48" s="367"/>
      <c r="M48" s="368"/>
      <c r="N48" s="367"/>
    </row>
    <row r="49" spans="2:14" ht="15.75" x14ac:dyDescent="0.2">
      <c r="B49" s="109"/>
      <c r="C49" s="368"/>
      <c r="D49" s="368"/>
      <c r="E49" s="367"/>
      <c r="F49" s="368"/>
      <c r="G49" s="367"/>
      <c r="H49" s="50"/>
      <c r="I49" s="109"/>
      <c r="J49" s="368"/>
      <c r="K49" s="368"/>
      <c r="L49" s="367"/>
      <c r="M49" s="368"/>
      <c r="N49" s="367"/>
    </row>
    <row r="50" spans="2:14" ht="15.75" x14ac:dyDescent="0.2">
      <c r="B50" s="109"/>
      <c r="C50" s="368"/>
      <c r="D50" s="368"/>
      <c r="E50" s="367"/>
      <c r="F50" s="368"/>
      <c r="G50" s="367"/>
      <c r="H50" s="50"/>
      <c r="I50" s="109"/>
      <c r="J50" s="368"/>
      <c r="K50" s="368"/>
      <c r="L50" s="367"/>
      <c r="M50" s="368"/>
      <c r="N50" s="367"/>
    </row>
    <row r="51" spans="2:14" ht="15.75" x14ac:dyDescent="0.2">
      <c r="B51" s="109"/>
      <c r="C51" s="368"/>
      <c r="D51" s="368"/>
      <c r="E51" s="367"/>
      <c r="F51" s="368"/>
      <c r="G51" s="367"/>
      <c r="H51" s="50"/>
      <c r="I51" s="109"/>
      <c r="J51" s="368"/>
      <c r="K51" s="368"/>
      <c r="L51" s="367"/>
      <c r="M51" s="368"/>
      <c r="N51" s="367"/>
    </row>
    <row r="52" spans="2:14" ht="15.75" x14ac:dyDescent="0.2">
      <c r="B52" s="109"/>
      <c r="C52" s="368"/>
      <c r="D52" s="368"/>
      <c r="E52" s="367"/>
      <c r="F52" s="368"/>
      <c r="G52" s="367"/>
      <c r="H52" s="50"/>
      <c r="I52" s="109"/>
      <c r="J52" s="368"/>
      <c r="K52" s="368"/>
      <c r="L52" s="367"/>
      <c r="M52" s="368"/>
      <c r="N52" s="367"/>
    </row>
  </sheetData>
  <sheetProtection sheet="1" objects="1" scenarios="1"/>
  <mergeCells count="5">
    <mergeCell ref="T34:U34"/>
    <mergeCell ref="T35:T39"/>
    <mergeCell ref="T41:U41"/>
    <mergeCell ref="M7:P7"/>
    <mergeCell ref="B43:K43"/>
  </mergeCells>
  <hyperlinks>
    <hyperlink ref="B43:F43" r:id="rId1" display="http://www.ic.nhs.uk/terms-and-conditions"/>
    <hyperlink ref="B43:I43" r:id="rId2" display="http://www.hscic.gov.uk/terms-and-conditions"/>
  </hyperlinks>
  <pageMargins left="0.35433070866141736" right="0.35433070866141736" top="0.39370078740157483" bottom="0.39370078740157483" header="0.11811023622047245" footer="0.11811023622047245"/>
  <pageSetup paperSize="9" scale="40" fitToHeight="5" orientation="portrait" r:id="rId3"/>
  <headerFooter alignWithMargins="0"/>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A3BAC5"/>
  </sheetPr>
  <dimension ref="A1:P408"/>
  <sheetViews>
    <sheetView showGridLines="0" showRowColHeaders="0" zoomScale="80" zoomScaleNormal="80" zoomScaleSheetLayoutView="70" workbookViewId="0">
      <pane ySplit="5" topLeftCell="A6" activePane="bottomLeft" state="frozen"/>
      <selection activeCell="B7" sqref="B7"/>
      <selection pane="bottomLeft" activeCell="B8" sqref="B8"/>
    </sheetView>
  </sheetViews>
  <sheetFormatPr defaultRowHeight="12.75" x14ac:dyDescent="0.2"/>
  <cols>
    <col min="1" max="1" width="3.7109375" style="9" customWidth="1"/>
    <col min="2" max="2" width="18.5703125" style="9" customWidth="1"/>
    <col min="3" max="3" width="27.42578125" style="9" customWidth="1"/>
    <col min="4" max="4" width="3.7109375" style="9" customWidth="1"/>
    <col min="5" max="7" width="15.42578125" style="9" customWidth="1"/>
    <col min="8" max="9" width="17" style="9" customWidth="1"/>
    <col min="10" max="10" width="16.42578125" style="9" customWidth="1"/>
    <col min="11" max="14" width="15.42578125" style="9" customWidth="1"/>
    <col min="15" max="15" width="19.28515625" style="9" customWidth="1"/>
    <col min="16" max="16" width="1.28515625" style="9" customWidth="1"/>
    <col min="17" max="16384" width="9.140625" style="9"/>
  </cols>
  <sheetData>
    <row r="1" spans="2:15" s="33" customFormat="1" ht="33" customHeight="1" x14ac:dyDescent="0.2"/>
    <row r="2" spans="2:15" s="33" customFormat="1" ht="14.85" customHeight="1" x14ac:dyDescent="0.2"/>
    <row r="3" spans="2:15" s="33" customFormat="1" ht="14.85" customHeight="1" x14ac:dyDescent="0.2"/>
    <row r="4" spans="2:15" s="33" customFormat="1" ht="14.85" customHeight="1" x14ac:dyDescent="0.2"/>
    <row r="5" spans="2:15" s="33" customFormat="1" ht="25.5" customHeight="1" x14ac:dyDescent="0.2"/>
    <row r="6" spans="2:15" s="33" customFormat="1" ht="7.5" customHeight="1" x14ac:dyDescent="0.2"/>
    <row r="7" spans="2:15" s="128" customFormat="1" ht="21" customHeight="1" x14ac:dyDescent="0.4">
      <c r="B7" s="90" t="s">
        <v>204</v>
      </c>
    </row>
    <row r="8" spans="2:15" s="94" customFormat="1" ht="11.25" customHeight="1" x14ac:dyDescent="0.2"/>
    <row r="9" spans="2:15" s="95" customFormat="1" ht="15" x14ac:dyDescent="0.2">
      <c r="B9" s="541" t="s">
        <v>205</v>
      </c>
      <c r="C9" s="541"/>
      <c r="D9" s="541"/>
      <c r="E9" s="541"/>
      <c r="F9" s="541"/>
      <c r="G9" s="541"/>
      <c r="H9" s="541"/>
      <c r="I9" s="541"/>
      <c r="J9" s="541"/>
      <c r="K9" s="541"/>
      <c r="L9" s="541"/>
    </row>
    <row r="10" spans="2:15" s="94" customFormat="1" ht="10.5" customHeight="1" x14ac:dyDescent="0.2">
      <c r="B10" s="542"/>
      <c r="C10" s="542"/>
      <c r="D10" s="542"/>
      <c r="E10" s="542"/>
      <c r="F10" s="542"/>
      <c r="G10" s="542"/>
      <c r="H10" s="542"/>
      <c r="I10" s="542"/>
      <c r="J10" s="542"/>
      <c r="K10" s="542"/>
      <c r="L10" s="542"/>
      <c r="M10" s="542"/>
      <c r="N10" s="542"/>
      <c r="O10" s="542"/>
    </row>
    <row r="11" spans="2:15" s="95" customFormat="1" ht="19.5" customHeight="1" x14ac:dyDescent="0.2">
      <c r="B11" s="364" t="s">
        <v>76</v>
      </c>
    </row>
    <row r="12" spans="2:15" s="94" customFormat="1" ht="35.25" customHeight="1" x14ac:dyDescent="0.2">
      <c r="B12" s="540" t="s">
        <v>230</v>
      </c>
      <c r="C12" s="540"/>
      <c r="D12" s="540"/>
      <c r="E12" s="540"/>
      <c r="F12" s="540"/>
      <c r="G12" s="540"/>
      <c r="H12" s="540"/>
      <c r="I12" s="540"/>
      <c r="J12" s="540"/>
      <c r="K12" s="540"/>
      <c r="L12" s="540"/>
      <c r="M12" s="540"/>
      <c r="N12" s="95"/>
      <c r="O12" s="97"/>
    </row>
    <row r="13" spans="2:15" s="94" customFormat="1" ht="15" customHeight="1" thickBot="1" x14ac:dyDescent="0.25">
      <c r="B13" s="212"/>
    </row>
    <row r="14" spans="2:15" s="212" customFormat="1" ht="23.25" customHeight="1" thickBot="1" x14ac:dyDescent="0.25">
      <c r="B14" s="500" t="s">
        <v>226</v>
      </c>
      <c r="C14" s="501"/>
      <c r="D14" s="501"/>
      <c r="E14" s="501"/>
      <c r="F14" s="501"/>
      <c r="G14" s="501"/>
      <c r="H14" s="501"/>
      <c r="I14" s="501"/>
      <c r="J14" s="501"/>
      <c r="K14" s="502"/>
    </row>
    <row r="15" spans="2:15" s="212" customFormat="1" ht="15" x14ac:dyDescent="0.2"/>
    <row r="16" spans="2:15" s="212" customFormat="1" ht="15.75" x14ac:dyDescent="0.25">
      <c r="B16" s="213" t="s">
        <v>206</v>
      </c>
    </row>
    <row r="17" spans="1:16" s="212" customFormat="1" ht="51.75" customHeight="1" x14ac:dyDescent="0.2">
      <c r="B17" s="503" t="s">
        <v>231</v>
      </c>
      <c r="C17" s="503"/>
      <c r="D17" s="503"/>
      <c r="E17" s="503"/>
      <c r="F17" s="503"/>
      <c r="G17" s="503"/>
      <c r="H17" s="503"/>
      <c r="I17" s="503"/>
      <c r="J17" s="503"/>
      <c r="K17" s="503"/>
      <c r="L17" s="503"/>
      <c r="M17" s="503"/>
    </row>
    <row r="18" spans="1:16" s="67" customFormat="1" ht="13.5" thickBot="1" x14ac:dyDescent="0.25">
      <c r="B18" s="65"/>
      <c r="C18" s="66"/>
      <c r="D18" s="66"/>
      <c r="E18" s="66"/>
      <c r="F18" s="66"/>
      <c r="I18" s="68"/>
      <c r="J18" s="69"/>
      <c r="L18" s="69"/>
      <c r="M18" s="69"/>
      <c r="N18" s="69"/>
      <c r="O18" s="69"/>
      <c r="P18" s="69"/>
    </row>
    <row r="19" spans="1:16" s="12" customFormat="1" ht="25.5" customHeight="1" thickBot="1" x14ac:dyDescent="0.25">
      <c r="A19" s="67"/>
      <c r="B19" s="545" t="s">
        <v>35</v>
      </c>
      <c r="C19" s="546"/>
      <c r="D19" s="268"/>
      <c r="E19" s="554" t="s">
        <v>63</v>
      </c>
      <c r="F19" s="555"/>
      <c r="G19" s="556"/>
      <c r="H19" s="273"/>
      <c r="I19" s="274"/>
      <c r="J19" s="274"/>
      <c r="K19" s="56"/>
      <c r="L19" s="56"/>
      <c r="M19" s="5"/>
      <c r="N19" s="5"/>
      <c r="O19" s="5"/>
      <c r="P19" s="13"/>
    </row>
    <row r="20" spans="1:16" s="12" customFormat="1" ht="25.5" customHeight="1" thickBot="1" x14ac:dyDescent="0.25">
      <c r="A20" s="67"/>
      <c r="B20" s="547" t="s">
        <v>50</v>
      </c>
      <c r="C20" s="548"/>
      <c r="D20" s="251"/>
      <c r="E20" s="547" t="s">
        <v>52</v>
      </c>
      <c r="F20" s="549"/>
      <c r="G20" s="548"/>
      <c r="H20" s="272"/>
      <c r="I20" s="274"/>
      <c r="J20" s="274"/>
      <c r="K20" s="56"/>
      <c r="L20" s="56"/>
      <c r="M20" s="5"/>
      <c r="N20" s="5"/>
      <c r="O20" s="5"/>
      <c r="P20" s="13"/>
    </row>
    <row r="21" spans="1:16" s="67" customFormat="1" x14ac:dyDescent="0.2">
      <c r="B21" s="33"/>
      <c r="C21" s="46">
        <v>3</v>
      </c>
      <c r="D21" s="46"/>
      <c r="E21" s="33"/>
      <c r="F21" s="33"/>
      <c r="G21" s="33"/>
      <c r="H21" s="33"/>
      <c r="I21" s="33"/>
      <c r="J21" s="33"/>
      <c r="K21" s="33"/>
      <c r="L21" s="33"/>
      <c r="M21" s="33"/>
      <c r="N21" s="33"/>
      <c r="O21" s="33"/>
      <c r="P21" s="69"/>
    </row>
    <row r="22" spans="1:16" s="37" customFormat="1" ht="67.5" customHeight="1" x14ac:dyDescent="0.2">
      <c r="B22" s="149" t="s">
        <v>94</v>
      </c>
      <c r="C22" s="550" t="s">
        <v>93</v>
      </c>
      <c r="D22" s="551"/>
      <c r="E22" s="150" t="s">
        <v>41</v>
      </c>
      <c r="F22" s="150" t="s">
        <v>265</v>
      </c>
      <c r="G22" s="150" t="s">
        <v>267</v>
      </c>
      <c r="H22" s="150" t="s">
        <v>251</v>
      </c>
      <c r="I22" s="150" t="s">
        <v>72</v>
      </c>
      <c r="J22" s="150" t="s">
        <v>207</v>
      </c>
      <c r="K22" s="150" t="s">
        <v>208</v>
      </c>
      <c r="L22" s="150" t="s">
        <v>300</v>
      </c>
      <c r="M22" s="151" t="s">
        <v>237</v>
      </c>
      <c r="N22" s="152" t="s">
        <v>319</v>
      </c>
      <c r="O22" s="33"/>
    </row>
    <row r="23" spans="1:16" s="37" customFormat="1" ht="33.75" customHeight="1" x14ac:dyDescent="0.2">
      <c r="B23" s="129" t="s">
        <v>163</v>
      </c>
      <c r="C23" s="552" t="s">
        <v>163</v>
      </c>
      <c r="D23" s="553"/>
      <c r="E23" s="130">
        <v>23375</v>
      </c>
      <c r="F23" s="131">
        <v>0.8</v>
      </c>
      <c r="G23" s="131">
        <v>0.875</v>
      </c>
      <c r="H23" s="131">
        <v>7.4999999999999997E-2</v>
      </c>
      <c r="I23" s="130">
        <v>11750</v>
      </c>
      <c r="J23" s="130">
        <v>7500</v>
      </c>
      <c r="K23" s="130">
        <v>4125</v>
      </c>
      <c r="L23" s="131">
        <v>0.875</v>
      </c>
      <c r="M23" s="131">
        <v>7.4999999999999997E-2</v>
      </c>
      <c r="N23" s="131">
        <v>0.24739295876085227</v>
      </c>
      <c r="O23" s="33"/>
    </row>
    <row r="24" spans="1:16" s="37" customFormat="1" ht="33.75" customHeight="1" x14ac:dyDescent="0.2">
      <c r="B24" s="129" t="s">
        <v>87</v>
      </c>
      <c r="C24" s="552" t="s">
        <v>10</v>
      </c>
      <c r="D24" s="553"/>
      <c r="E24" s="130" t="s">
        <v>53</v>
      </c>
      <c r="F24" s="131" t="s">
        <v>53</v>
      </c>
      <c r="G24" s="131" t="s">
        <v>53</v>
      </c>
      <c r="H24" s="131" t="s">
        <v>53</v>
      </c>
      <c r="I24" s="131" t="s">
        <v>53</v>
      </c>
      <c r="J24" s="131" t="s">
        <v>53</v>
      </c>
      <c r="K24" s="131" t="s">
        <v>53</v>
      </c>
      <c r="L24" s="131" t="s">
        <v>53</v>
      </c>
      <c r="M24" s="131" t="s">
        <v>53</v>
      </c>
      <c r="N24" s="131" t="s">
        <v>53</v>
      </c>
      <c r="O24" s="33"/>
    </row>
    <row r="25" spans="1:16" s="37" customFormat="1" ht="33.75" customHeight="1" x14ac:dyDescent="0.2">
      <c r="B25" s="129" t="s">
        <v>1</v>
      </c>
      <c r="C25" s="552" t="s">
        <v>11</v>
      </c>
      <c r="D25" s="553"/>
      <c r="E25" s="130">
        <v>270</v>
      </c>
      <c r="F25" s="131">
        <v>0.78</v>
      </c>
      <c r="G25" s="131">
        <v>0.88</v>
      </c>
      <c r="H25" s="131">
        <v>0.1</v>
      </c>
      <c r="I25" s="130">
        <v>135</v>
      </c>
      <c r="J25" s="130">
        <v>90</v>
      </c>
      <c r="K25" s="130">
        <v>45</v>
      </c>
      <c r="L25" s="131">
        <v>0.876</v>
      </c>
      <c r="M25" s="131">
        <v>9.5999999999999974E-2</v>
      </c>
      <c r="N25" s="131">
        <v>0.30310859978441246</v>
      </c>
      <c r="O25" s="33"/>
    </row>
    <row r="26" spans="1:16" s="37" customFormat="1" ht="33.75" customHeight="1" x14ac:dyDescent="0.2">
      <c r="B26" s="129" t="s">
        <v>1</v>
      </c>
      <c r="C26" s="552" t="s">
        <v>12</v>
      </c>
      <c r="D26" s="553"/>
      <c r="E26" s="130">
        <v>25</v>
      </c>
      <c r="F26" s="131">
        <v>0.77500000000000002</v>
      </c>
      <c r="G26" s="131">
        <v>0.89</v>
      </c>
      <c r="H26" s="131">
        <v>0.115</v>
      </c>
      <c r="I26" s="130">
        <v>15</v>
      </c>
      <c r="J26" s="130">
        <v>10</v>
      </c>
      <c r="K26" s="130">
        <v>5</v>
      </c>
      <c r="L26" s="131" t="s">
        <v>53</v>
      </c>
      <c r="M26" s="131" t="s">
        <v>53</v>
      </c>
      <c r="N26" s="131" t="s">
        <v>53</v>
      </c>
      <c r="O26" s="33"/>
    </row>
    <row r="27" spans="1:16" s="37" customFormat="1" ht="10.5" customHeight="1" x14ac:dyDescent="0.2">
      <c r="B27" s="335"/>
      <c r="C27" s="335"/>
      <c r="D27" s="335"/>
      <c r="E27" s="335"/>
      <c r="F27" s="132"/>
      <c r="G27" s="132"/>
      <c r="H27" s="132"/>
      <c r="I27" s="335"/>
      <c r="J27" s="335"/>
      <c r="K27" s="335"/>
      <c r="L27" s="132"/>
      <c r="M27" s="132"/>
      <c r="N27" s="132"/>
      <c r="O27" s="132"/>
      <c r="P27" s="33"/>
    </row>
    <row r="28" spans="1:16" s="37" customFormat="1" ht="15.75" customHeight="1" x14ac:dyDescent="0.2">
      <c r="B28" s="335"/>
      <c r="C28" s="335"/>
      <c r="D28" s="335"/>
      <c r="E28" s="335"/>
      <c r="F28" s="132"/>
      <c r="G28" s="132"/>
      <c r="H28" s="132"/>
      <c r="I28" s="335"/>
      <c r="J28" s="335"/>
      <c r="K28" s="335"/>
      <c r="L28" s="132"/>
      <c r="M28" s="132"/>
      <c r="N28" s="132"/>
      <c r="O28" s="132"/>
      <c r="P28" s="33"/>
    </row>
    <row r="29" spans="1:16" s="37" customFormat="1" ht="15" x14ac:dyDescent="0.2">
      <c r="B29" s="544" t="s">
        <v>209</v>
      </c>
      <c r="C29" s="544"/>
      <c r="D29" s="333"/>
      <c r="E29" s="543"/>
      <c r="F29" s="543"/>
      <c r="G29" s="543"/>
      <c r="H29" s="543"/>
      <c r="I29" s="543"/>
      <c r="J29" s="543"/>
      <c r="K29" s="543"/>
      <c r="L29" s="543"/>
      <c r="M29" s="543"/>
      <c r="N29" s="543"/>
      <c r="O29" s="134"/>
      <c r="P29" s="33"/>
    </row>
    <row r="30" spans="1:16" s="212" customFormat="1" ht="15" x14ac:dyDescent="0.2">
      <c r="B30" s="506"/>
      <c r="C30" s="506"/>
      <c r="D30" s="506"/>
      <c r="E30" s="506"/>
      <c r="F30" s="506"/>
      <c r="G30" s="506"/>
      <c r="H30" s="506"/>
      <c r="I30" s="506"/>
      <c r="J30" s="506"/>
      <c r="K30" s="506"/>
      <c r="L30" s="506"/>
    </row>
    <row r="31" spans="1:16" s="212" customFormat="1" ht="15" x14ac:dyDescent="0.2">
      <c r="B31" s="344"/>
      <c r="C31" s="344"/>
      <c r="D31" s="344"/>
      <c r="E31" s="344"/>
      <c r="F31" s="344"/>
      <c r="G31" s="344"/>
      <c r="H31" s="344"/>
      <c r="I31" s="344"/>
      <c r="J31" s="344"/>
      <c r="K31" s="344"/>
      <c r="L31" s="344"/>
    </row>
    <row r="32" spans="1:16" s="37" customFormat="1" ht="15.75" x14ac:dyDescent="0.25">
      <c r="B32" s="212" t="s">
        <v>210</v>
      </c>
      <c r="C32" s="334"/>
      <c r="D32" s="334"/>
      <c r="E32" s="334"/>
      <c r="F32" s="334"/>
      <c r="G32" s="334"/>
      <c r="H32" s="96"/>
      <c r="I32" s="96"/>
      <c r="J32" s="96"/>
      <c r="K32" s="96"/>
      <c r="L32" s="96"/>
      <c r="M32" s="96"/>
      <c r="N32" s="96"/>
      <c r="O32" s="96"/>
      <c r="P32" s="33"/>
    </row>
    <row r="33" spans="2:16" s="37" customFormat="1" ht="15.75" x14ac:dyDescent="0.25">
      <c r="B33" s="212" t="s">
        <v>320</v>
      </c>
      <c r="C33" s="334"/>
      <c r="D33" s="334"/>
      <c r="E33" s="334"/>
      <c r="F33" s="334"/>
      <c r="G33" s="334"/>
      <c r="H33" s="96"/>
      <c r="I33" s="96"/>
      <c r="J33" s="96"/>
      <c r="K33" s="96"/>
      <c r="L33" s="96"/>
      <c r="M33" s="96"/>
      <c r="N33" s="96"/>
      <c r="O33" s="96"/>
      <c r="P33" s="33"/>
    </row>
    <row r="34" spans="2:16" s="37" customFormat="1" ht="15.75" x14ac:dyDescent="0.25">
      <c r="B34" s="212" t="s">
        <v>321</v>
      </c>
      <c r="C34" s="334"/>
      <c r="D34" s="334"/>
      <c r="E34" s="334"/>
      <c r="F34" s="334"/>
      <c r="G34" s="334"/>
      <c r="H34" s="96"/>
      <c r="I34" s="96"/>
      <c r="J34" s="96"/>
      <c r="K34" s="96"/>
      <c r="L34" s="96"/>
      <c r="M34" s="96"/>
      <c r="N34" s="96"/>
      <c r="O34" s="96"/>
      <c r="P34" s="33"/>
    </row>
    <row r="35" spans="2:16" s="37" customFormat="1" ht="15.75" x14ac:dyDescent="0.25">
      <c r="B35" s="212" t="s">
        <v>211</v>
      </c>
      <c r="C35" s="334"/>
      <c r="D35" s="334"/>
      <c r="E35" s="334"/>
      <c r="F35" s="334"/>
      <c r="G35" s="334"/>
      <c r="H35" s="96"/>
      <c r="I35" s="96"/>
      <c r="J35" s="96"/>
      <c r="K35" s="96"/>
      <c r="L35" s="96"/>
      <c r="M35" s="96"/>
      <c r="N35" s="96"/>
      <c r="O35" s="96"/>
      <c r="P35" s="33"/>
    </row>
    <row r="36" spans="2:16" s="37" customFormat="1" ht="15.75" x14ac:dyDescent="0.25">
      <c r="B36" s="212" t="s">
        <v>212</v>
      </c>
      <c r="C36" s="334"/>
      <c r="D36" s="334"/>
      <c r="E36" s="334"/>
      <c r="F36" s="334"/>
      <c r="G36" s="334"/>
      <c r="H36" s="96"/>
      <c r="I36" s="96"/>
      <c r="J36" s="96"/>
      <c r="K36" s="96"/>
      <c r="L36" s="96"/>
      <c r="M36" s="96"/>
      <c r="N36" s="96"/>
      <c r="O36" s="96"/>
      <c r="P36" s="33"/>
    </row>
    <row r="37" spans="2:16" s="37" customFormat="1" ht="15.75" x14ac:dyDescent="0.25">
      <c r="B37" s="212" t="s">
        <v>213</v>
      </c>
      <c r="C37" s="334"/>
      <c r="D37" s="334"/>
      <c r="E37" s="334"/>
      <c r="F37" s="334"/>
      <c r="G37" s="334"/>
      <c r="H37" s="96"/>
      <c r="I37" s="96"/>
      <c r="J37" s="96"/>
      <c r="K37" s="96"/>
      <c r="L37" s="96"/>
      <c r="M37" s="96"/>
      <c r="N37" s="96"/>
      <c r="O37" s="96"/>
      <c r="P37" s="33"/>
    </row>
    <row r="38" spans="2:16" s="37" customFormat="1" ht="15.75" x14ac:dyDescent="0.25">
      <c r="B38" s="212" t="s">
        <v>214</v>
      </c>
      <c r="C38" s="334"/>
      <c r="D38" s="334"/>
      <c r="E38" s="334"/>
      <c r="F38" s="334"/>
      <c r="G38" s="334"/>
      <c r="H38" s="96"/>
      <c r="I38" s="96"/>
      <c r="J38" s="96"/>
      <c r="K38" s="96"/>
      <c r="L38" s="96"/>
      <c r="M38" s="96"/>
      <c r="N38" s="96"/>
      <c r="O38" s="96"/>
      <c r="P38" s="33"/>
    </row>
    <row r="39" spans="2:16" s="37" customFormat="1" ht="15.75" x14ac:dyDescent="0.25">
      <c r="B39" s="212" t="s">
        <v>380</v>
      </c>
      <c r="C39" s="334"/>
      <c r="D39" s="334"/>
      <c r="E39" s="334"/>
      <c r="F39" s="334"/>
      <c r="G39" s="334"/>
      <c r="H39" s="96"/>
      <c r="I39" s="96"/>
      <c r="J39" s="96"/>
      <c r="K39" s="96"/>
      <c r="L39" s="96"/>
      <c r="M39" s="96"/>
      <c r="N39" s="96"/>
      <c r="O39" s="96"/>
      <c r="P39" s="33"/>
    </row>
    <row r="40" spans="2:16" s="37" customFormat="1" ht="15.75" x14ac:dyDescent="0.25">
      <c r="B40" s="212" t="s">
        <v>322</v>
      </c>
      <c r="C40" s="334"/>
      <c r="D40" s="334"/>
      <c r="E40" s="334"/>
      <c r="F40" s="334"/>
      <c r="G40" s="334"/>
      <c r="H40" s="96"/>
      <c r="I40" s="96"/>
      <c r="J40" s="96"/>
      <c r="K40" s="96"/>
      <c r="L40" s="96"/>
      <c r="M40" s="96"/>
      <c r="N40" s="96"/>
      <c r="O40" s="96"/>
      <c r="P40" s="33"/>
    </row>
    <row r="41" spans="2:16" s="37" customFormat="1" ht="15.75" x14ac:dyDescent="0.25">
      <c r="B41" s="213" t="s">
        <v>323</v>
      </c>
      <c r="C41" s="334"/>
      <c r="D41" s="334"/>
      <c r="E41" s="334"/>
      <c r="F41" s="334"/>
      <c r="G41" s="334"/>
      <c r="H41" s="96"/>
      <c r="I41" s="96"/>
      <c r="J41" s="96"/>
      <c r="K41" s="96"/>
      <c r="L41" s="96"/>
      <c r="M41" s="96"/>
      <c r="N41" s="96"/>
      <c r="O41" s="96"/>
      <c r="P41" s="33"/>
    </row>
    <row r="42" spans="2:16" s="37" customFormat="1" ht="15" x14ac:dyDescent="0.2">
      <c r="B42" s="212"/>
      <c r="C42" s="334"/>
      <c r="D42" s="334"/>
      <c r="E42" s="334"/>
      <c r="F42" s="334"/>
      <c r="G42" s="334"/>
      <c r="H42" s="96"/>
      <c r="I42" s="96"/>
      <c r="J42" s="96"/>
      <c r="K42" s="96"/>
      <c r="L42" s="96"/>
      <c r="M42" s="96"/>
      <c r="N42" s="96"/>
      <c r="O42" s="96"/>
      <c r="P42" s="33"/>
    </row>
    <row r="43" spans="2:16" s="37" customFormat="1" ht="15.75" x14ac:dyDescent="0.25">
      <c r="B43" s="344" t="s">
        <v>215</v>
      </c>
      <c r="C43" s="334"/>
      <c r="D43" s="334"/>
      <c r="E43" s="334"/>
      <c r="F43" s="334"/>
      <c r="G43" s="334"/>
      <c r="H43" s="96"/>
      <c r="I43" s="96"/>
      <c r="J43" s="96"/>
      <c r="K43" s="96"/>
      <c r="L43" s="96"/>
      <c r="M43" s="96"/>
      <c r="N43" s="96"/>
      <c r="O43" s="96"/>
      <c r="P43" s="33"/>
    </row>
    <row r="44" spans="2:16" s="37" customFormat="1" ht="15" x14ac:dyDescent="0.2">
      <c r="B44" s="344" t="s">
        <v>216</v>
      </c>
      <c r="C44" s="334"/>
      <c r="D44" s="334"/>
      <c r="E44" s="334"/>
      <c r="F44" s="334"/>
      <c r="G44" s="334"/>
      <c r="H44" s="96"/>
      <c r="I44" s="96"/>
      <c r="J44" s="96"/>
      <c r="K44" s="96"/>
      <c r="L44" s="96"/>
      <c r="M44" s="96"/>
      <c r="N44" s="96"/>
      <c r="O44" s="96"/>
      <c r="P44" s="33"/>
    </row>
    <row r="45" spans="2:16" s="37" customFormat="1" ht="15" x14ac:dyDescent="0.2">
      <c r="B45" s="344" t="s">
        <v>217</v>
      </c>
      <c r="C45" s="334"/>
      <c r="D45" s="334"/>
      <c r="E45" s="334"/>
      <c r="F45" s="334"/>
      <c r="G45" s="334"/>
      <c r="H45" s="96"/>
      <c r="I45" s="96"/>
      <c r="J45" s="96"/>
      <c r="K45" s="96"/>
      <c r="L45" s="96"/>
      <c r="M45" s="96"/>
      <c r="N45" s="96"/>
      <c r="O45" s="96"/>
      <c r="P45" s="33"/>
    </row>
    <row r="46" spans="2:16" s="37" customFormat="1" ht="15" x14ac:dyDescent="0.2">
      <c r="B46" s="344"/>
      <c r="C46" s="334"/>
      <c r="D46" s="334"/>
      <c r="E46" s="334"/>
      <c r="F46" s="334"/>
      <c r="G46" s="334"/>
      <c r="H46" s="96"/>
      <c r="I46" s="96"/>
      <c r="J46" s="96"/>
      <c r="K46" s="96"/>
      <c r="L46" s="96"/>
      <c r="M46" s="96"/>
      <c r="N46" s="96"/>
      <c r="O46" s="96"/>
      <c r="P46" s="33"/>
    </row>
    <row r="47" spans="2:16" s="37" customFormat="1" ht="15.75" x14ac:dyDescent="0.25">
      <c r="B47" s="344" t="s">
        <v>218</v>
      </c>
      <c r="C47" s="334"/>
      <c r="D47" s="334"/>
      <c r="E47" s="334"/>
      <c r="F47" s="334"/>
      <c r="G47" s="334"/>
      <c r="H47" s="96"/>
      <c r="I47" s="96"/>
      <c r="J47" s="96"/>
      <c r="K47" s="96"/>
      <c r="L47" s="96"/>
      <c r="M47" s="96"/>
      <c r="N47" s="96"/>
      <c r="O47" s="96"/>
      <c r="P47" s="33"/>
    </row>
    <row r="48" spans="2:16" s="37" customFormat="1" ht="15" x14ac:dyDescent="0.2">
      <c r="B48" s="344" t="s">
        <v>219</v>
      </c>
      <c r="C48" s="334"/>
      <c r="D48" s="334"/>
      <c r="E48" s="334"/>
      <c r="F48" s="334"/>
      <c r="G48" s="334"/>
      <c r="H48" s="96"/>
      <c r="I48" s="96"/>
      <c r="J48" s="96"/>
      <c r="K48" s="96"/>
      <c r="L48" s="96"/>
      <c r="M48" s="96"/>
      <c r="N48" s="96"/>
      <c r="O48" s="96"/>
      <c r="P48" s="33"/>
    </row>
    <row r="49" spans="2:16" s="37" customFormat="1" ht="15" x14ac:dyDescent="0.2">
      <c r="B49" s="344"/>
      <c r="C49" s="334"/>
      <c r="D49" s="334"/>
      <c r="E49" s="334"/>
      <c r="F49" s="334"/>
      <c r="G49" s="334"/>
      <c r="H49" s="96"/>
      <c r="I49" s="96"/>
      <c r="J49" s="96"/>
      <c r="K49" s="96"/>
      <c r="L49" s="96"/>
      <c r="M49" s="96"/>
      <c r="N49" s="96"/>
      <c r="O49" s="96"/>
      <c r="P49" s="33"/>
    </row>
    <row r="50" spans="2:16" s="37" customFormat="1" ht="15" x14ac:dyDescent="0.2">
      <c r="B50" s="344"/>
      <c r="C50" s="334"/>
      <c r="D50" s="334"/>
      <c r="E50" s="334"/>
      <c r="F50" s="334"/>
      <c r="G50" s="334"/>
      <c r="H50" s="96"/>
      <c r="I50" s="96"/>
      <c r="J50" s="96"/>
      <c r="K50" s="96"/>
      <c r="L50" s="96"/>
      <c r="M50" s="96"/>
      <c r="N50" s="96"/>
      <c r="O50" s="96"/>
      <c r="P50" s="33"/>
    </row>
    <row r="51" spans="2:16" s="94" customFormat="1" ht="15" x14ac:dyDescent="0.2">
      <c r="B51" s="512" t="str">
        <f ca="1">HYPERLINK(Reference!B$9, Reference!A$9)</f>
        <v>Copyright © 2015, The Health and Social Care Information Centre. All Rights Reserved.</v>
      </c>
      <c r="C51" s="513"/>
      <c r="D51" s="513"/>
      <c r="E51" s="513"/>
      <c r="F51" s="513"/>
      <c r="G51" s="513"/>
      <c r="H51" s="513"/>
      <c r="I51" s="513"/>
      <c r="J51" s="513"/>
      <c r="K51" s="513"/>
      <c r="L51" s="96"/>
      <c r="M51" s="96"/>
      <c r="N51" s="96"/>
      <c r="O51" s="96"/>
      <c r="P51" s="96"/>
    </row>
    <row r="52" spans="2:16" s="37" customFormat="1" ht="12.75" customHeight="1" x14ac:dyDescent="0.2">
      <c r="B52" s="334"/>
      <c r="C52" s="334"/>
      <c r="D52" s="334"/>
      <c r="E52" s="334"/>
      <c r="F52" s="334"/>
      <c r="G52" s="334"/>
      <c r="H52" s="96"/>
      <c r="I52" s="96"/>
      <c r="J52" s="96"/>
      <c r="K52" s="96"/>
      <c r="L52" s="96"/>
      <c r="M52" s="96"/>
      <c r="N52" s="96"/>
      <c r="O52" s="96"/>
      <c r="P52" s="33"/>
    </row>
    <row r="53" spans="2:16" s="37" customFormat="1" ht="15" x14ac:dyDescent="0.2">
      <c r="B53" s="331"/>
      <c r="C53" s="331"/>
      <c r="D53" s="331"/>
      <c r="E53" s="140"/>
      <c r="F53" s="140"/>
      <c r="G53" s="140"/>
      <c r="H53" s="96"/>
      <c r="I53" s="96"/>
      <c r="J53" s="96"/>
      <c r="K53" s="96"/>
      <c r="L53" s="96"/>
      <c r="M53" s="96"/>
      <c r="N53" s="96"/>
      <c r="O53" s="96"/>
      <c r="P53" s="33"/>
    </row>
    <row r="54" spans="2:16" s="37" customFormat="1" ht="15" x14ac:dyDescent="0.2">
      <c r="B54" s="133"/>
      <c r="C54" s="331"/>
      <c r="D54" s="331"/>
      <c r="E54" s="140"/>
      <c r="F54" s="140"/>
      <c r="G54" s="140"/>
      <c r="H54" s="96"/>
      <c r="I54" s="96"/>
      <c r="J54" s="96"/>
      <c r="K54" s="96"/>
      <c r="L54" s="96"/>
      <c r="M54" s="96"/>
      <c r="N54" s="96"/>
      <c r="O54" s="96"/>
      <c r="P54" s="33"/>
    </row>
    <row r="55" spans="2:16" s="37" customFormat="1" ht="15" x14ac:dyDescent="0.2">
      <c r="B55" s="133"/>
      <c r="C55" s="331"/>
      <c r="D55" s="331"/>
      <c r="E55" s="140"/>
      <c r="F55" s="140"/>
      <c r="G55" s="140"/>
      <c r="H55" s="96"/>
      <c r="I55" s="96"/>
      <c r="J55" s="96"/>
      <c r="K55" s="96"/>
      <c r="L55" s="96"/>
      <c r="M55" s="96"/>
      <c r="N55" s="96"/>
      <c r="O55" s="96"/>
      <c r="P55" s="33"/>
    </row>
    <row r="56" spans="2:16" s="37" customFormat="1" x14ac:dyDescent="0.2">
      <c r="B56" s="72"/>
      <c r="C56" s="70"/>
      <c r="D56" s="70"/>
      <c r="E56" s="71"/>
      <c r="F56" s="71"/>
      <c r="G56" s="71"/>
      <c r="H56" s="33"/>
      <c r="I56" s="33"/>
      <c r="J56" s="33"/>
      <c r="K56" s="33"/>
      <c r="L56" s="33"/>
      <c r="M56" s="33"/>
      <c r="N56" s="33"/>
      <c r="O56" s="33"/>
      <c r="P56" s="33"/>
    </row>
    <row r="57" spans="2:16" s="37" customFormat="1" x14ac:dyDescent="0.2">
      <c r="B57" s="73"/>
      <c r="C57" s="70"/>
      <c r="D57" s="70"/>
      <c r="E57" s="71"/>
      <c r="F57" s="71"/>
      <c r="G57" s="70"/>
    </row>
    <row r="58" spans="2:16" s="37" customFormat="1" x14ac:dyDescent="0.2">
      <c r="B58" s="70"/>
      <c r="C58" s="70"/>
      <c r="D58" s="70"/>
      <c r="E58" s="71"/>
      <c r="F58" s="71"/>
      <c r="G58" s="70"/>
    </row>
    <row r="59" spans="2:16" s="37" customFormat="1" x14ac:dyDescent="0.2">
      <c r="B59" s="61"/>
      <c r="C59" s="70"/>
      <c r="D59" s="70"/>
      <c r="E59" s="71"/>
      <c r="F59" s="71"/>
      <c r="G59" s="70"/>
    </row>
    <row r="60" spans="2:16" s="37" customFormat="1" x14ac:dyDescent="0.2">
      <c r="B60" s="70"/>
      <c r="C60" s="70"/>
      <c r="D60" s="70"/>
      <c r="E60" s="71"/>
      <c r="F60" s="71"/>
      <c r="G60" s="70"/>
    </row>
    <row r="61" spans="2:16" s="37" customFormat="1" x14ac:dyDescent="0.2">
      <c r="B61" s="70"/>
      <c r="C61" s="70"/>
      <c r="D61" s="70"/>
      <c r="E61" s="70"/>
      <c r="F61" s="70"/>
      <c r="G61" s="70"/>
    </row>
    <row r="62" spans="2:16" s="37" customFormat="1" x14ac:dyDescent="0.2">
      <c r="B62" s="70"/>
      <c r="C62" s="70"/>
      <c r="D62" s="70"/>
      <c r="E62" s="70"/>
      <c r="F62" s="70"/>
      <c r="G62" s="70"/>
    </row>
    <row r="63" spans="2:16" s="37" customFormat="1" x14ac:dyDescent="0.2">
      <c r="B63" s="70"/>
      <c r="C63" s="70"/>
      <c r="D63" s="70"/>
      <c r="E63" s="70"/>
      <c r="F63" s="70"/>
      <c r="G63" s="70"/>
    </row>
    <row r="64" spans="2:16" s="37" customFormat="1" x14ac:dyDescent="0.2">
      <c r="C64" s="70"/>
      <c r="D64" s="70"/>
      <c r="E64" s="70"/>
      <c r="F64" s="70"/>
      <c r="G64" s="70"/>
    </row>
    <row r="65" spans="3:4" s="37" customFormat="1" x14ac:dyDescent="0.2"/>
    <row r="66" spans="3:4" s="37" customFormat="1" x14ac:dyDescent="0.2"/>
    <row r="67" spans="3:4" s="37" customFormat="1" x14ac:dyDescent="0.2"/>
    <row r="68" spans="3:4" s="37" customFormat="1" x14ac:dyDescent="0.2">
      <c r="C68" s="74"/>
      <c r="D68" s="74"/>
    </row>
    <row r="69" spans="3:4" s="37" customFormat="1" x14ac:dyDescent="0.2"/>
    <row r="70" spans="3:4" s="37" customFormat="1" x14ac:dyDescent="0.2">
      <c r="C70" s="74"/>
      <c r="D70" s="74"/>
    </row>
    <row r="71" spans="3:4" s="37" customFormat="1" x14ac:dyDescent="0.2">
      <c r="C71" s="75"/>
      <c r="D71" s="75"/>
    </row>
    <row r="72" spans="3:4" s="37" customFormat="1" x14ac:dyDescent="0.2">
      <c r="C72" s="74"/>
      <c r="D72" s="74"/>
    </row>
    <row r="73" spans="3:4" s="37" customFormat="1" x14ac:dyDescent="0.2">
      <c r="C73" s="74"/>
      <c r="D73" s="74"/>
    </row>
    <row r="74" spans="3:4" s="37" customFormat="1" x14ac:dyDescent="0.2">
      <c r="C74" s="74"/>
      <c r="D74" s="74"/>
    </row>
    <row r="75" spans="3:4" s="37" customFormat="1" x14ac:dyDescent="0.2"/>
    <row r="76" spans="3:4" s="37" customFormat="1" x14ac:dyDescent="0.2"/>
    <row r="77" spans="3:4" s="37" customFormat="1" x14ac:dyDescent="0.2">
      <c r="C77" s="64"/>
      <c r="D77" s="64"/>
    </row>
    <row r="78" spans="3:4" s="37" customFormat="1" x14ac:dyDescent="0.2"/>
    <row r="79" spans="3:4" s="37" customFormat="1" x14ac:dyDescent="0.2"/>
    <row r="80" spans="3:4" s="37" customFormat="1" x14ac:dyDescent="0.2"/>
    <row r="81" s="37" customFormat="1" x14ac:dyDescent="0.2"/>
    <row r="82" s="37" customFormat="1" x14ac:dyDescent="0.2"/>
    <row r="83" s="37" customFormat="1" x14ac:dyDescent="0.2"/>
    <row r="84" s="37" customFormat="1" x14ac:dyDescent="0.2"/>
    <row r="85" s="37" customFormat="1" x14ac:dyDescent="0.2"/>
    <row r="86" s="37" customFormat="1" x14ac:dyDescent="0.2"/>
    <row r="87" s="37" customFormat="1" x14ac:dyDescent="0.2"/>
    <row r="88" s="37" customFormat="1" x14ac:dyDescent="0.2"/>
    <row r="89" s="37" customFormat="1" x14ac:dyDescent="0.2"/>
    <row r="90" s="37" customFormat="1" x14ac:dyDescent="0.2"/>
    <row r="91" s="37" customFormat="1" x14ac:dyDescent="0.2"/>
    <row r="92" s="37" customFormat="1" x14ac:dyDescent="0.2"/>
    <row r="93" s="37" customFormat="1" x14ac:dyDescent="0.2"/>
    <row r="94" s="37" customFormat="1" x14ac:dyDescent="0.2"/>
    <row r="95" s="37" customFormat="1" x14ac:dyDescent="0.2"/>
    <row r="96" s="37" customFormat="1" x14ac:dyDescent="0.2"/>
    <row r="97" s="37" customFormat="1" x14ac:dyDescent="0.2"/>
    <row r="98" s="37" customFormat="1" x14ac:dyDescent="0.2"/>
    <row r="99" s="37" customFormat="1" x14ac:dyDescent="0.2"/>
    <row r="374" spans="2:2" x14ac:dyDescent="0.2">
      <c r="B374" s="24"/>
    </row>
    <row r="375" spans="2:2" x14ac:dyDescent="0.2">
      <c r="B375" s="24"/>
    </row>
    <row r="376" spans="2:2" x14ac:dyDescent="0.2">
      <c r="B376" s="24"/>
    </row>
    <row r="377" spans="2:2" x14ac:dyDescent="0.2">
      <c r="B377" s="24"/>
    </row>
    <row r="378" spans="2:2" x14ac:dyDescent="0.2">
      <c r="B378" s="24"/>
    </row>
    <row r="408" ht="38.25" customHeight="1" x14ac:dyDescent="0.2"/>
  </sheetData>
  <sheetProtection sheet="1" objects="1" scenarios="1" selectLockedCells="1" selectUnlockedCells="1"/>
  <mergeCells count="18">
    <mergeCell ref="B51:K51"/>
    <mergeCell ref="E29:N29"/>
    <mergeCell ref="B29:C29"/>
    <mergeCell ref="B19:C19"/>
    <mergeCell ref="B20:C20"/>
    <mergeCell ref="E20:G20"/>
    <mergeCell ref="C22:D22"/>
    <mergeCell ref="C23:D23"/>
    <mergeCell ref="C24:D24"/>
    <mergeCell ref="C25:D25"/>
    <mergeCell ref="C26:D26"/>
    <mergeCell ref="E19:G19"/>
    <mergeCell ref="B14:K14"/>
    <mergeCell ref="B12:M12"/>
    <mergeCell ref="B17:M17"/>
    <mergeCell ref="B9:L9"/>
    <mergeCell ref="B30:L30"/>
    <mergeCell ref="B10:O10"/>
  </mergeCells>
  <phoneticPr fontId="10" type="noConversion"/>
  <conditionalFormatting sqref="B23:C23 E23:N25 E26:H26 J26:N26">
    <cfRule type="expression" dxfId="5" priority="2" stopIfTrue="1">
      <formula>IF($E23&lt;30,TRUE)</formula>
    </cfRule>
  </conditionalFormatting>
  <conditionalFormatting sqref="I26">
    <cfRule type="expression" dxfId="4" priority="1" stopIfTrue="1">
      <formula>IF($E26&lt;30,TRUE)</formula>
    </cfRule>
  </conditionalFormatting>
  <pageMargins left="0.35433070866141736" right="0.35433070866141736" top="0.39370078740157483" bottom="0.39370078740157483" header="0.11811023622047245" footer="0.11811023622047245"/>
  <pageSetup paperSize="9" scale="41" fitToHeight="2"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rgb="FFA3BAC5"/>
    <pageSetUpPr fitToPage="1"/>
  </sheetPr>
  <dimension ref="A1:Z102"/>
  <sheetViews>
    <sheetView showGridLines="0" showRowColHeaders="0" zoomScale="80" zoomScaleNormal="80" workbookViewId="0">
      <pane ySplit="5" topLeftCell="A6" activePane="bottomLeft" state="frozen"/>
      <selection activeCell="B7" sqref="B7"/>
      <selection pane="bottomLeft" activeCell="E13" sqref="E13:G13"/>
    </sheetView>
  </sheetViews>
  <sheetFormatPr defaultRowHeight="12.75" x14ac:dyDescent="0.2"/>
  <cols>
    <col min="1" max="1" width="3.7109375" style="267" customWidth="1"/>
    <col min="2" max="2" width="18.140625" style="5" customWidth="1"/>
    <col min="3" max="3" width="31" style="5" customWidth="1"/>
    <col min="4" max="4" width="3.7109375" style="5" customWidth="1"/>
    <col min="5" max="14" width="15.5703125" style="5" customWidth="1"/>
    <col min="15" max="15" width="21" style="267" customWidth="1"/>
    <col min="16" max="16" width="1.42578125" style="267" customWidth="1"/>
    <col min="17" max="18" width="16.5703125" style="267" customWidth="1"/>
    <col min="19" max="26" width="9.140625" style="267"/>
    <col min="27" max="16384" width="9.140625" style="5"/>
  </cols>
  <sheetData>
    <row r="1" spans="1:26" s="33" customFormat="1" ht="33" customHeight="1" x14ac:dyDescent="0.2">
      <c r="A1" s="153"/>
      <c r="O1" s="153"/>
      <c r="P1" s="153"/>
      <c r="Q1" s="153"/>
      <c r="R1" s="153"/>
      <c r="S1" s="153"/>
      <c r="T1" s="153"/>
      <c r="U1" s="153"/>
      <c r="V1" s="153"/>
      <c r="W1" s="153"/>
      <c r="X1" s="153"/>
      <c r="Y1" s="153"/>
      <c r="Z1" s="153"/>
    </row>
    <row r="2" spans="1:26" s="33" customFormat="1" ht="14.85" customHeight="1" x14ac:dyDescent="0.2">
      <c r="A2" s="153"/>
      <c r="O2" s="153"/>
      <c r="P2" s="153"/>
      <c r="Q2" s="153"/>
      <c r="R2" s="153"/>
      <c r="S2" s="153"/>
      <c r="T2" s="153"/>
      <c r="U2" s="153"/>
      <c r="V2" s="153"/>
      <c r="W2" s="153"/>
      <c r="X2" s="153"/>
      <c r="Y2" s="153"/>
      <c r="Z2" s="153"/>
    </row>
    <row r="3" spans="1:26" s="33" customFormat="1" ht="14.85" customHeight="1" x14ac:dyDescent="0.2">
      <c r="A3" s="153"/>
      <c r="O3" s="153"/>
      <c r="P3" s="153"/>
      <c r="Q3" s="153"/>
      <c r="R3" s="153"/>
      <c r="S3" s="153"/>
      <c r="T3" s="153"/>
      <c r="U3" s="153"/>
      <c r="V3" s="153"/>
      <c r="W3" s="153"/>
      <c r="X3" s="153"/>
      <c r="Y3" s="153"/>
      <c r="Z3" s="153"/>
    </row>
    <row r="4" spans="1:26" s="33" customFormat="1" ht="14.85" customHeight="1" x14ac:dyDescent="0.2">
      <c r="A4" s="153"/>
      <c r="O4" s="153"/>
      <c r="P4" s="153"/>
      <c r="Q4" s="153"/>
      <c r="R4" s="153"/>
      <c r="S4" s="153"/>
      <c r="T4" s="153"/>
      <c r="U4" s="153"/>
      <c r="V4" s="153"/>
      <c r="W4" s="153"/>
      <c r="X4" s="153"/>
      <c r="Y4" s="153"/>
      <c r="Z4" s="153"/>
    </row>
    <row r="5" spans="1:26" s="33" customFormat="1" ht="24.75" customHeight="1" x14ac:dyDescent="0.2">
      <c r="A5" s="153"/>
      <c r="O5" s="153"/>
      <c r="P5" s="153"/>
      <c r="Q5" s="153"/>
      <c r="R5" s="153"/>
      <c r="S5" s="153"/>
      <c r="T5" s="153"/>
      <c r="U5" s="153"/>
      <c r="V5" s="153"/>
      <c r="W5" s="153"/>
      <c r="X5" s="153"/>
      <c r="Y5" s="153"/>
      <c r="Z5" s="153"/>
    </row>
    <row r="6" spans="1:26" s="33" customFormat="1" ht="5.25" customHeight="1" x14ac:dyDescent="0.2">
      <c r="A6" s="153"/>
      <c r="O6" s="153"/>
      <c r="P6" s="153"/>
      <c r="Q6" s="153"/>
      <c r="R6" s="153"/>
      <c r="S6" s="153"/>
      <c r="T6" s="153"/>
      <c r="U6" s="153"/>
      <c r="V6" s="153"/>
      <c r="W6" s="153"/>
      <c r="X6" s="153"/>
      <c r="Y6" s="153"/>
      <c r="Z6" s="153"/>
    </row>
    <row r="7" spans="1:26" s="33" customFormat="1" ht="24" customHeight="1" x14ac:dyDescent="0.4">
      <c r="A7" s="153"/>
      <c r="B7" s="346" t="s">
        <v>220</v>
      </c>
      <c r="O7" s="153"/>
      <c r="P7" s="153"/>
      <c r="Q7" s="153"/>
      <c r="R7" s="153"/>
      <c r="S7" s="153"/>
      <c r="T7" s="153"/>
      <c r="U7" s="153"/>
      <c r="V7" s="153"/>
      <c r="W7" s="153"/>
      <c r="X7" s="153"/>
      <c r="Y7" s="153"/>
      <c r="Z7" s="153"/>
    </row>
    <row r="8" spans="1:26" s="33" customFormat="1" ht="18" x14ac:dyDescent="0.2">
      <c r="A8" s="153"/>
      <c r="B8" s="85" t="str">
        <f>Footnotes!B8</f>
        <v>April 2014 to March 2015, provisional data (published 12 November 2015)</v>
      </c>
      <c r="O8" s="153"/>
      <c r="P8" s="153"/>
      <c r="Q8" s="153"/>
      <c r="R8" s="153"/>
      <c r="S8" s="153"/>
      <c r="T8" s="153"/>
      <c r="U8" s="153"/>
      <c r="V8" s="153"/>
      <c r="W8" s="153"/>
      <c r="X8" s="153"/>
      <c r="Y8" s="153"/>
      <c r="Z8" s="153"/>
    </row>
    <row r="9" spans="1:26" s="212" customFormat="1" ht="15" x14ac:dyDescent="0.2">
      <c r="B9" s="506"/>
      <c r="C9" s="506"/>
      <c r="D9" s="506"/>
      <c r="E9" s="506"/>
      <c r="F9" s="506"/>
      <c r="G9" s="506"/>
      <c r="H9" s="506"/>
      <c r="I9" s="506"/>
      <c r="J9" s="506"/>
      <c r="K9" s="506"/>
      <c r="L9" s="506"/>
    </row>
    <row r="10" spans="1:26" s="212" customFormat="1" ht="45" customHeight="1" x14ac:dyDescent="0.2">
      <c r="B10" s="503" t="s">
        <v>232</v>
      </c>
      <c r="C10" s="503"/>
      <c r="D10" s="503"/>
      <c r="E10" s="503"/>
      <c r="F10" s="503"/>
      <c r="G10" s="503"/>
      <c r="H10" s="503"/>
      <c r="I10" s="503"/>
      <c r="J10" s="503"/>
      <c r="K10" s="503"/>
      <c r="L10" s="503"/>
    </row>
    <row r="11" spans="1:26" s="212" customFormat="1" ht="15.75" thickBot="1" x14ac:dyDescent="0.25">
      <c r="B11" s="506"/>
      <c r="C11" s="506"/>
      <c r="D11" s="506"/>
      <c r="E11" s="506"/>
      <c r="F11" s="506"/>
      <c r="G11" s="506"/>
      <c r="H11" s="506"/>
      <c r="I11" s="506"/>
      <c r="J11" s="506"/>
      <c r="K11" s="506"/>
      <c r="L11" s="506"/>
    </row>
    <row r="12" spans="1:26" ht="25.5" customHeight="1" thickBot="1" x14ac:dyDescent="0.25">
      <c r="A12" s="153"/>
      <c r="B12" s="545" t="s">
        <v>35</v>
      </c>
      <c r="C12" s="546"/>
      <c r="D12" s="268"/>
      <c r="E12" s="561" t="s">
        <v>63</v>
      </c>
      <c r="F12" s="562"/>
      <c r="G12" s="563"/>
      <c r="H12" s="270"/>
      <c r="I12" s="153"/>
      <c r="J12" s="153"/>
      <c r="K12" s="153"/>
      <c r="L12" s="267"/>
      <c r="M12" s="267"/>
      <c r="N12" s="267"/>
    </row>
    <row r="13" spans="1:26" ht="25.5" customHeight="1" thickBot="1" x14ac:dyDescent="0.25">
      <c r="A13" s="153"/>
      <c r="B13" s="559" t="s">
        <v>50</v>
      </c>
      <c r="C13" s="560"/>
      <c r="D13" s="269"/>
      <c r="E13" s="564" t="s">
        <v>52</v>
      </c>
      <c r="F13" s="565"/>
      <c r="G13" s="566"/>
      <c r="H13" s="270"/>
      <c r="I13" s="153"/>
      <c r="J13" s="153"/>
      <c r="K13" s="153"/>
      <c r="L13" s="267"/>
      <c r="M13" s="267"/>
      <c r="N13" s="267"/>
    </row>
    <row r="14" spans="1:26" s="33" customFormat="1" ht="15.75" customHeight="1" x14ac:dyDescent="0.2">
      <c r="A14" s="153"/>
      <c r="B14" s="77"/>
      <c r="C14" s="77"/>
      <c r="D14" s="77"/>
      <c r="I14" s="153"/>
      <c r="J14" s="153"/>
      <c r="K14" s="153"/>
      <c r="L14" s="153"/>
      <c r="M14" s="153"/>
      <c r="N14" s="153"/>
      <c r="O14" s="153"/>
      <c r="P14" s="153"/>
      <c r="Q14" s="153"/>
      <c r="R14" s="153"/>
      <c r="S14" s="153"/>
      <c r="T14" s="153"/>
      <c r="U14" s="153"/>
      <c r="V14" s="153"/>
      <c r="W14" s="153"/>
      <c r="X14" s="153"/>
      <c r="Y14" s="153"/>
      <c r="Z14" s="153"/>
    </row>
    <row r="15" spans="1:26" s="78" customFormat="1" ht="75" customHeight="1" x14ac:dyDescent="0.2">
      <c r="A15" s="266"/>
      <c r="B15" s="149" t="s">
        <v>94</v>
      </c>
      <c r="C15" s="550" t="s">
        <v>93</v>
      </c>
      <c r="D15" s="551"/>
      <c r="E15" s="150" t="s">
        <v>41</v>
      </c>
      <c r="F15" s="150" t="s">
        <v>265</v>
      </c>
      <c r="G15" s="150" t="s">
        <v>267</v>
      </c>
      <c r="H15" s="150" t="s">
        <v>251</v>
      </c>
      <c r="I15" s="150" t="s">
        <v>72</v>
      </c>
      <c r="J15" s="150" t="s">
        <v>207</v>
      </c>
      <c r="K15" s="150" t="s">
        <v>208</v>
      </c>
      <c r="L15" s="150" t="s">
        <v>300</v>
      </c>
      <c r="M15" s="151" t="s">
        <v>237</v>
      </c>
      <c r="N15" s="152" t="s">
        <v>319</v>
      </c>
      <c r="O15" s="266"/>
      <c r="P15" s="266"/>
      <c r="Q15" s="266"/>
      <c r="R15" s="266"/>
      <c r="S15" s="266"/>
      <c r="T15" s="266"/>
      <c r="U15" s="266"/>
      <c r="V15" s="266"/>
      <c r="W15" s="266"/>
      <c r="X15" s="266"/>
      <c r="Y15" s="266"/>
      <c r="Z15" s="266"/>
    </row>
    <row r="16" spans="1:26" s="33" customFormat="1" ht="41.25" customHeight="1" x14ac:dyDescent="0.2">
      <c r="A16" s="153"/>
      <c r="B16" s="129" t="s">
        <v>163</v>
      </c>
      <c r="C16" s="552" t="s">
        <v>102</v>
      </c>
      <c r="D16" s="553"/>
      <c r="E16" s="130">
        <f ca="1">'Provider Commission - Lookup'!D8</f>
        <v>20191</v>
      </c>
      <c r="F16" s="136">
        <f ca="1">'Provider Commission - Lookup'!E8</f>
        <v>0.79300000000000004</v>
      </c>
      <c r="G16" s="136">
        <f ca="1">'Provider Commission - Lookup'!F8</f>
        <v>0.877</v>
      </c>
      <c r="H16" s="136">
        <f ca="1">'Provider Commission - Lookup'!G8</f>
        <v>8.4000000000000005E-2</v>
      </c>
      <c r="I16" s="130" t="str">
        <f ca="1">'Provider Commission - Lookup'!H8</f>
        <v>10,248
 (50.8%)</v>
      </c>
      <c r="J16" s="130" t="str">
        <f ca="1">'Provider Commission - Lookup'!I8</f>
        <v>6,475
 (32.1%)</v>
      </c>
      <c r="K16" s="130" t="str">
        <f ca="1">'Provider Commission - Lookup'!J8</f>
        <v>3,468
 (17.2%)</v>
      </c>
      <c r="L16" s="136">
        <f ca="1">'Provider Commission - Lookup'!K8</f>
        <v>0.877</v>
      </c>
      <c r="M16" s="136">
        <f ca="1">'Provider Commission - Lookup'!L8</f>
        <v>8.3654400000000004E-2</v>
      </c>
      <c r="N16" s="136">
        <f ca="1">'Provider Commission - Lookup'!M8</f>
        <v>0.159</v>
      </c>
      <c r="O16" s="153"/>
      <c r="P16" s="153"/>
      <c r="Q16" s="153"/>
      <c r="R16" s="153"/>
      <c r="S16" s="153"/>
      <c r="T16" s="153"/>
      <c r="U16" s="153"/>
      <c r="V16" s="153"/>
      <c r="W16" s="153"/>
      <c r="X16" s="153"/>
      <c r="Y16" s="153"/>
      <c r="Z16" s="153"/>
    </row>
    <row r="17" spans="1:26" s="33" customFormat="1" ht="45" customHeight="1" x14ac:dyDescent="0.2">
      <c r="A17" s="153"/>
      <c r="B17" s="355" t="s">
        <v>1</v>
      </c>
      <c r="C17" s="557" t="s">
        <v>345</v>
      </c>
      <c r="D17" s="558"/>
      <c r="E17" s="130">
        <f ca="1">'Provider Commission - Lookup'!D9</f>
        <v>16</v>
      </c>
      <c r="F17" s="136">
        <f ca="1">'Provider Commission - Lookup'!E9</f>
        <v>0.83</v>
      </c>
      <c r="G17" s="136">
        <f ca="1">'Provider Commission - Lookup'!F9</f>
        <v>0.76400000000000001</v>
      </c>
      <c r="H17" s="136">
        <f ca="1">'Provider Commission - Lookup'!G9</f>
        <v>-6.6000000000000003E-2</v>
      </c>
      <c r="I17" s="130" t="str">
        <f ca="1">'Provider Commission - Lookup'!H9</f>
        <v xml:space="preserve"> 7
 (43.8%)</v>
      </c>
      <c r="J17" s="130" t="str">
        <f ca="1">'Provider Commission - Lookup'!I9</f>
        <v xml:space="preserve"> 4
 (25.0%)</v>
      </c>
      <c r="K17" s="130" t="str">
        <f ca="1">'Provider Commission - Lookup'!J9</f>
        <v xml:space="preserve"> 5
 (31.3%)</v>
      </c>
      <c r="L17" s="136" t="str">
        <f ca="1">'Provider Commission - Lookup'!K9</f>
        <v>*</v>
      </c>
      <c r="M17" s="136" t="str">
        <f ca="1">'Provider Commission - Lookup'!L9</f>
        <v>*</v>
      </c>
      <c r="N17" s="136" t="str">
        <f ca="1">'Provider Commission - Lookup'!M9</f>
        <v>*</v>
      </c>
      <c r="O17" s="153"/>
      <c r="P17" s="153"/>
      <c r="Q17" s="153"/>
      <c r="R17" s="153"/>
      <c r="S17" s="153"/>
      <c r="T17" s="153"/>
      <c r="U17" s="153"/>
      <c r="V17" s="153"/>
      <c r="W17" s="153"/>
      <c r="X17" s="153"/>
      <c r="Y17" s="153"/>
      <c r="Z17" s="153"/>
    </row>
    <row r="18" spans="1:26" s="33" customFormat="1" ht="45" customHeight="1" x14ac:dyDescent="0.2">
      <c r="A18" s="153"/>
      <c r="B18" s="355" t="s">
        <v>1</v>
      </c>
      <c r="C18" s="557" t="s">
        <v>341</v>
      </c>
      <c r="D18" s="558"/>
      <c r="E18" s="130">
        <f ca="1">'Provider Commission - Lookup'!D10</f>
        <v>25</v>
      </c>
      <c r="F18" s="136">
        <f ca="1">'Provider Commission - Lookup'!E10</f>
        <v>0.79200000000000004</v>
      </c>
      <c r="G18" s="136">
        <f ca="1">'Provider Commission - Lookup'!F10</f>
        <v>0.91900000000000004</v>
      </c>
      <c r="H18" s="136">
        <f ca="1">'Provider Commission - Lookup'!G10</f>
        <v>0.127</v>
      </c>
      <c r="I18" s="130" t="str">
        <f ca="1">'Provider Commission - Lookup'!H10</f>
        <v>13
 (52.0%)</v>
      </c>
      <c r="J18" s="130" t="str">
        <f ca="1">'Provider Commission - Lookup'!I10</f>
        <v xml:space="preserve"> 9
 (36.0%)</v>
      </c>
      <c r="K18" s="130" t="str">
        <f ca="1">'Provider Commission - Lookup'!J10</f>
        <v xml:space="preserve"> 3
 (12.0%)</v>
      </c>
      <c r="L18" s="136" t="str">
        <f ca="1">'Provider Commission - Lookup'!K10</f>
        <v>*</v>
      </c>
      <c r="M18" s="136" t="str">
        <f ca="1">'Provider Commission - Lookup'!L10</f>
        <v>*</v>
      </c>
      <c r="N18" s="136" t="str">
        <f ca="1">'Provider Commission - Lookup'!M10</f>
        <v>*</v>
      </c>
      <c r="O18" s="153"/>
      <c r="P18" s="153"/>
      <c r="Q18" s="153"/>
      <c r="R18" s="153"/>
      <c r="S18" s="153"/>
      <c r="T18" s="153"/>
      <c r="U18" s="153"/>
      <c r="V18" s="153"/>
      <c r="W18" s="153"/>
      <c r="X18" s="153"/>
      <c r="Y18" s="153"/>
      <c r="Z18" s="153"/>
    </row>
    <row r="19" spans="1:26" s="33" customFormat="1" ht="45" customHeight="1" x14ac:dyDescent="0.2">
      <c r="A19" s="153"/>
      <c r="B19" s="355" t="s">
        <v>1</v>
      </c>
      <c r="C19" s="557" t="s">
        <v>340</v>
      </c>
      <c r="D19" s="558"/>
      <c r="E19" s="130">
        <f ca="1">'Provider Commission - Lookup'!D11</f>
        <v>6</v>
      </c>
      <c r="F19" s="136">
        <f ca="1">'Provider Commission - Lookup'!E11</f>
        <v>0.88100000000000001</v>
      </c>
      <c r="G19" s="136">
        <f ca="1">'Provider Commission - Lookup'!F11</f>
        <v>0.93200000000000005</v>
      </c>
      <c r="H19" s="136">
        <f ca="1">'Provider Commission - Lookup'!G11</f>
        <v>5.1999999999999998E-2</v>
      </c>
      <c r="I19" s="130" t="str">
        <f ca="1">'Provider Commission - Lookup'!H11</f>
        <v xml:space="preserve"> 2
 (33.3%)</v>
      </c>
      <c r="J19" s="130" t="str">
        <f ca="1">'Provider Commission - Lookup'!I11</f>
        <v xml:space="preserve"> 3
 (50.0%)</v>
      </c>
      <c r="K19" s="130" t="str">
        <f ca="1">'Provider Commission - Lookup'!J11</f>
        <v xml:space="preserve"> 1
 (16.7%)</v>
      </c>
      <c r="L19" s="136" t="str">
        <f ca="1">'Provider Commission - Lookup'!K11</f>
        <v>*</v>
      </c>
      <c r="M19" s="136" t="str">
        <f ca="1">'Provider Commission - Lookup'!L11</f>
        <v>*</v>
      </c>
      <c r="N19" s="136" t="str">
        <f ca="1">'Provider Commission - Lookup'!M11</f>
        <v>*</v>
      </c>
      <c r="O19" s="153"/>
      <c r="P19" s="153"/>
      <c r="Q19" s="153"/>
      <c r="R19" s="153"/>
      <c r="S19" s="153"/>
      <c r="T19" s="153"/>
      <c r="U19" s="153"/>
      <c r="V19" s="153"/>
      <c r="W19" s="153"/>
      <c r="X19" s="153"/>
      <c r="Y19" s="153"/>
      <c r="Z19" s="153"/>
    </row>
    <row r="20" spans="1:26" s="33" customFormat="1" ht="45" customHeight="1" x14ac:dyDescent="0.2">
      <c r="A20" s="153"/>
      <c r="B20" s="355" t="s">
        <v>87</v>
      </c>
      <c r="C20" s="557" t="s">
        <v>336</v>
      </c>
      <c r="D20" s="558"/>
      <c r="E20" s="130">
        <f ca="1">'Provider Commission - Lookup'!D12</f>
        <v>203</v>
      </c>
      <c r="F20" s="136">
        <f ca="1">'Provider Commission - Lookup'!E12</f>
        <v>0.78100000000000003</v>
      </c>
      <c r="G20" s="136">
        <f ca="1">'Provider Commission - Lookup'!F12</f>
        <v>0.85799999999999998</v>
      </c>
      <c r="H20" s="136">
        <f ca="1">'Provider Commission - Lookup'!G12</f>
        <v>7.6999999999999999E-2</v>
      </c>
      <c r="I20" s="130" t="str">
        <f ca="1">'Provider Commission - Lookup'!H12</f>
        <v>114
 (56.2%)</v>
      </c>
      <c r="J20" s="130" t="str">
        <f ca="1">'Provider Commission - Lookup'!I12</f>
        <v>54
 (26.6%)</v>
      </c>
      <c r="K20" s="130" t="str">
        <f ca="1">'Provider Commission - Lookup'!J12</f>
        <v>35
 (17.2%)</v>
      </c>
      <c r="L20" s="136">
        <f ca="1">'Provider Commission - Lookup'!K12</f>
        <v>0.871</v>
      </c>
      <c r="M20" s="136">
        <f ca="1">'Provider Commission - Lookup'!L12</f>
        <v>7.7984292999999996E-2</v>
      </c>
      <c r="N20" s="136">
        <f ca="1">'Provider Commission - Lookup'!M12</f>
        <v>0.17299999999999999</v>
      </c>
      <c r="O20" s="153"/>
      <c r="P20" s="153"/>
      <c r="Q20" s="153"/>
      <c r="R20" s="153"/>
      <c r="S20" s="153"/>
      <c r="T20" s="153"/>
      <c r="U20" s="153"/>
      <c r="V20" s="153"/>
      <c r="W20" s="153"/>
      <c r="X20" s="153"/>
      <c r="Y20" s="153"/>
      <c r="Z20" s="153"/>
    </row>
    <row r="21" spans="1:26" s="33" customFormat="1" ht="45" customHeight="1" x14ac:dyDescent="0.2">
      <c r="A21" s="153"/>
      <c r="B21" s="355" t="s">
        <v>1</v>
      </c>
      <c r="C21" s="557" t="s">
        <v>342</v>
      </c>
      <c r="D21" s="558"/>
      <c r="E21" s="130">
        <f ca="1">'Provider Commission - Lookup'!D13</f>
        <v>161</v>
      </c>
      <c r="F21" s="136">
        <f ca="1">'Provider Commission - Lookup'!E13</f>
        <v>0.81799999999999995</v>
      </c>
      <c r="G21" s="136">
        <f ca="1">'Provider Commission - Lookup'!F13</f>
        <v>0.88100000000000001</v>
      </c>
      <c r="H21" s="136">
        <f ca="1">'Provider Commission - Lookup'!G13</f>
        <v>6.3E-2</v>
      </c>
      <c r="I21" s="130" t="str">
        <f ca="1">'Provider Commission - Lookup'!H13</f>
        <v>69
 (42.9%)</v>
      </c>
      <c r="J21" s="130" t="str">
        <f ca="1">'Provider Commission - Lookup'!I13</f>
        <v>54
 (33.5%)</v>
      </c>
      <c r="K21" s="130" t="str">
        <f ca="1">'Provider Commission - Lookup'!J13</f>
        <v>38
 (23.6%)</v>
      </c>
      <c r="L21" s="136">
        <f ca="1">'Provider Commission - Lookup'!K13</f>
        <v>0.86599999999999999</v>
      </c>
      <c r="M21" s="136">
        <f ca="1">'Provider Commission - Lookup'!L13</f>
        <v>7.2851709000000001E-2</v>
      </c>
      <c r="N21" s="136">
        <f ca="1">'Provider Commission - Lookup'!M13</f>
        <v>0.151</v>
      </c>
      <c r="O21" s="153"/>
      <c r="P21" s="153"/>
      <c r="Q21" s="153"/>
      <c r="R21" s="153"/>
      <c r="S21" s="153"/>
      <c r="T21" s="153"/>
      <c r="U21" s="153"/>
      <c r="V21" s="153"/>
      <c r="W21" s="153"/>
      <c r="X21" s="153"/>
      <c r="Y21" s="153"/>
      <c r="Z21" s="153"/>
    </row>
    <row r="22" spans="1:26" s="33" customFormat="1" ht="45" customHeight="1" x14ac:dyDescent="0.2">
      <c r="A22" s="153"/>
      <c r="B22" s="355" t="s">
        <v>87</v>
      </c>
      <c r="C22" s="557" t="s">
        <v>338</v>
      </c>
      <c r="D22" s="558"/>
      <c r="E22" s="130">
        <f ca="1">'Provider Commission - Lookup'!D14</f>
        <v>95</v>
      </c>
      <c r="F22" s="136">
        <f ca="1">'Provider Commission - Lookup'!E14</f>
        <v>0.79100000000000004</v>
      </c>
      <c r="G22" s="136">
        <f ca="1">'Provider Commission - Lookup'!F14</f>
        <v>0.83499999999999996</v>
      </c>
      <c r="H22" s="136">
        <f ca="1">'Provider Commission - Lookup'!G14</f>
        <v>4.3999999999999997E-2</v>
      </c>
      <c r="I22" s="130" t="str">
        <f ca="1">'Provider Commission - Lookup'!H14</f>
        <v>48
 (50.5%)</v>
      </c>
      <c r="J22" s="130" t="str">
        <f ca="1">'Provider Commission - Lookup'!I14</f>
        <v>22
 (23.2%)</v>
      </c>
      <c r="K22" s="130" t="str">
        <f ca="1">'Provider Commission - Lookup'!J14</f>
        <v>25
 (26.3%)</v>
      </c>
      <c r="L22" s="136">
        <f ca="1">'Provider Commission - Lookup'!K14</f>
        <v>0.83599999999999997</v>
      </c>
      <c r="M22" s="136">
        <f ca="1">'Provider Commission - Lookup'!L14</f>
        <v>4.2955304999999999E-2</v>
      </c>
      <c r="N22" s="136">
        <f ca="1">'Provider Commission - Lookup'!M14</f>
        <v>0.19</v>
      </c>
      <c r="O22" s="153"/>
      <c r="P22" s="153"/>
      <c r="Q22" s="153"/>
      <c r="R22" s="153"/>
      <c r="S22" s="153"/>
      <c r="T22" s="153"/>
      <c r="U22" s="153"/>
      <c r="V22" s="153"/>
      <c r="W22" s="153"/>
      <c r="X22" s="153"/>
      <c r="Y22" s="153"/>
      <c r="Z22" s="153"/>
    </row>
    <row r="23" spans="1:26" s="33" customFormat="1" ht="45" customHeight="1" x14ac:dyDescent="0.2">
      <c r="A23" s="153"/>
      <c r="B23" s="355" t="s">
        <v>1</v>
      </c>
      <c r="C23" s="557" t="s">
        <v>344</v>
      </c>
      <c r="D23" s="558"/>
      <c r="E23" s="130">
        <f ca="1">'Provider Commission - Lookup'!D15</f>
        <v>101</v>
      </c>
      <c r="F23" s="136">
        <f ca="1">'Provider Commission - Lookup'!E15</f>
        <v>0.80500000000000005</v>
      </c>
      <c r="G23" s="136">
        <f ca="1">'Provider Commission - Lookup'!F15</f>
        <v>0.89300000000000002</v>
      </c>
      <c r="H23" s="136">
        <f ca="1">'Provider Commission - Lookup'!G15</f>
        <v>8.6999999999999994E-2</v>
      </c>
      <c r="I23" s="130" t="str">
        <f ca="1">'Provider Commission - Lookup'!H15</f>
        <v>51
 (50.5%)</v>
      </c>
      <c r="J23" s="130" t="str">
        <f ca="1">'Provider Commission - Lookup'!I15</f>
        <v>35
 (34.7%)</v>
      </c>
      <c r="K23" s="130" t="str">
        <f ca="1">'Provider Commission - Lookup'!J15</f>
        <v>15
 (14.9%)</v>
      </c>
      <c r="L23" s="136">
        <f ca="1">'Provider Commission - Lookup'!K15</f>
        <v>0.88500000000000001</v>
      </c>
      <c r="M23" s="136">
        <f ca="1">'Provider Commission - Lookup'!L15</f>
        <v>9.1534189000000002E-2</v>
      </c>
      <c r="N23" s="136">
        <f ca="1">'Provider Commission - Lookup'!M15</f>
        <v>0.105</v>
      </c>
      <c r="O23" s="153"/>
      <c r="P23" s="153"/>
      <c r="Q23" s="153"/>
      <c r="R23" s="153"/>
      <c r="S23" s="153"/>
      <c r="T23" s="153"/>
      <c r="U23" s="153"/>
      <c r="V23" s="153"/>
      <c r="W23" s="153"/>
      <c r="X23" s="153"/>
      <c r="Y23" s="153"/>
      <c r="Z23" s="153"/>
    </row>
    <row r="24" spans="1:26" s="33" customFormat="1" ht="45" customHeight="1" x14ac:dyDescent="0.2">
      <c r="A24" s="153"/>
      <c r="B24" s="355" t="s">
        <v>87</v>
      </c>
      <c r="C24" s="557" t="s">
        <v>337</v>
      </c>
      <c r="D24" s="558"/>
      <c r="E24" s="130">
        <f ca="1">'Provider Commission - Lookup'!D16</f>
        <v>111</v>
      </c>
      <c r="F24" s="136">
        <f ca="1">'Provider Commission - Lookup'!E16</f>
        <v>0.85099999999999998</v>
      </c>
      <c r="G24" s="136">
        <f ca="1">'Provider Commission - Lookup'!F16</f>
        <v>0.91</v>
      </c>
      <c r="H24" s="136">
        <f ca="1">'Provider Commission - Lookup'!G16</f>
        <v>5.8999999999999997E-2</v>
      </c>
      <c r="I24" s="130" t="str">
        <f ca="1">'Provider Commission - Lookup'!H16</f>
        <v>45
 (40.5%)</v>
      </c>
      <c r="J24" s="130" t="str">
        <f ca="1">'Provider Commission - Lookup'!I16</f>
        <v>51
 (45.9%)</v>
      </c>
      <c r="K24" s="130" t="str">
        <f ca="1">'Provider Commission - Lookup'!J16</f>
        <v>15
 (13.5%)</v>
      </c>
      <c r="L24" s="136">
        <f ca="1">'Provider Commission - Lookup'!K16</f>
        <v>0.89200000000000002</v>
      </c>
      <c r="M24" s="136">
        <f ca="1">'Provider Commission - Lookup'!L16</f>
        <v>9.8985877999999999E-2</v>
      </c>
      <c r="N24" s="136">
        <f ca="1">'Provider Commission - Lookup'!M16</f>
        <v>0.10299999999999999</v>
      </c>
      <c r="O24" s="153"/>
      <c r="P24" s="153"/>
      <c r="Q24" s="153"/>
      <c r="R24" s="153"/>
      <c r="S24" s="153"/>
      <c r="T24" s="153"/>
      <c r="U24" s="153"/>
      <c r="V24" s="153"/>
      <c r="W24" s="153"/>
      <c r="X24" s="153"/>
      <c r="Y24" s="153"/>
      <c r="Z24" s="153"/>
    </row>
    <row r="25" spans="1:26" s="33" customFormat="1" ht="45" customHeight="1" x14ac:dyDescent="0.2">
      <c r="A25" s="153"/>
      <c r="B25" s="355" t="s">
        <v>1</v>
      </c>
      <c r="C25" s="557" t="s">
        <v>343</v>
      </c>
      <c r="D25" s="558"/>
      <c r="E25" s="130">
        <f ca="1">'Provider Commission - Lookup'!D17</f>
        <v>292</v>
      </c>
      <c r="F25" s="136">
        <f ca="1">'Provider Commission - Lookup'!E17</f>
        <v>0.80200000000000005</v>
      </c>
      <c r="G25" s="136">
        <f ca="1">'Provider Commission - Lookup'!F17</f>
        <v>0.88300000000000001</v>
      </c>
      <c r="H25" s="136">
        <f ca="1">'Provider Commission - Lookup'!G17</f>
        <v>0.08</v>
      </c>
      <c r="I25" s="130" t="str">
        <f ca="1">'Provider Commission - Lookup'!H17</f>
        <v>150
 (51.4%)</v>
      </c>
      <c r="J25" s="130" t="str">
        <f ca="1">'Provider Commission - Lookup'!I17</f>
        <v>98
 (33.6%)</v>
      </c>
      <c r="K25" s="130" t="str">
        <f ca="1">'Provider Commission - Lookup'!J17</f>
        <v>44
 (15.1%)</v>
      </c>
      <c r="L25" s="136">
        <f ca="1">'Provider Commission - Lookup'!K17</f>
        <v>0.874</v>
      </c>
      <c r="M25" s="136">
        <f ca="1">'Provider Commission - Lookup'!L17</f>
        <v>8.0336284999999993E-2</v>
      </c>
      <c r="N25" s="136">
        <f ca="1">'Provider Commission - Lookup'!M17</f>
        <v>0.16</v>
      </c>
      <c r="O25" s="153"/>
      <c r="P25" s="153"/>
      <c r="Q25" s="153"/>
      <c r="R25" s="153"/>
      <c r="S25" s="153"/>
      <c r="T25" s="153"/>
      <c r="U25" s="153"/>
      <c r="V25" s="153"/>
      <c r="W25" s="153"/>
      <c r="X25" s="153"/>
      <c r="Y25" s="153"/>
      <c r="Z25" s="153"/>
    </row>
    <row r="26" spans="1:26" s="33" customFormat="1" ht="45" customHeight="1" x14ac:dyDescent="0.2">
      <c r="A26" s="153"/>
      <c r="B26" s="355" t="s">
        <v>87</v>
      </c>
      <c r="C26" s="557" t="s">
        <v>346</v>
      </c>
      <c r="D26" s="558"/>
      <c r="E26" s="130" t="str">
        <f ca="1">'Provider Commission - Lookup'!D18</f>
        <v>No data</v>
      </c>
      <c r="F26" s="136" t="str">
        <f ca="1">'Provider Commission - Lookup'!E18</f>
        <v>No data</v>
      </c>
      <c r="G26" s="136" t="str">
        <f ca="1">'Provider Commission - Lookup'!F18</f>
        <v>No data</v>
      </c>
      <c r="H26" s="136" t="str">
        <f ca="1">'Provider Commission - Lookup'!G18</f>
        <v>No data</v>
      </c>
      <c r="I26" s="130" t="str">
        <f ca="1">'Provider Commission - Lookup'!H18</f>
        <v>No data</v>
      </c>
      <c r="J26" s="130" t="str">
        <f ca="1">'Provider Commission - Lookup'!I18</f>
        <v>No data</v>
      </c>
      <c r="K26" s="130" t="str">
        <f ca="1">'Provider Commission - Lookup'!J18</f>
        <v>No data</v>
      </c>
      <c r="L26" s="136" t="str">
        <f ca="1">'Provider Commission - Lookup'!K18</f>
        <v>No data</v>
      </c>
      <c r="M26" s="136" t="str">
        <f ca="1">'Provider Commission - Lookup'!L18</f>
        <v>No data</v>
      </c>
      <c r="N26" s="136" t="str">
        <f ca="1">'Provider Commission - Lookup'!M18</f>
        <v>No data</v>
      </c>
      <c r="O26" s="153"/>
      <c r="P26" s="153"/>
      <c r="Q26" s="153"/>
      <c r="R26" s="153"/>
      <c r="S26" s="153"/>
      <c r="T26" s="153"/>
      <c r="U26" s="153"/>
      <c r="V26" s="153"/>
      <c r="W26" s="153"/>
      <c r="X26" s="153"/>
      <c r="Y26" s="153"/>
      <c r="Z26" s="153"/>
    </row>
    <row r="27" spans="1:26" s="33" customFormat="1" ht="15.75" customHeight="1" x14ac:dyDescent="0.2">
      <c r="A27" s="153"/>
      <c r="O27" s="153"/>
      <c r="P27" s="153"/>
      <c r="Q27" s="153"/>
      <c r="R27" s="153"/>
      <c r="S27" s="153"/>
      <c r="T27" s="153"/>
      <c r="U27" s="153"/>
      <c r="V27" s="153"/>
      <c r="W27" s="153"/>
      <c r="X27" s="153"/>
      <c r="Y27" s="153"/>
      <c r="Z27" s="153"/>
    </row>
    <row r="28" spans="1:26" s="33" customFormat="1" x14ac:dyDescent="0.2">
      <c r="A28" s="153"/>
      <c r="B28" s="82"/>
      <c r="O28" s="153"/>
      <c r="P28" s="153"/>
      <c r="Q28" s="153"/>
      <c r="R28" s="153"/>
      <c r="S28" s="153"/>
      <c r="T28" s="153"/>
      <c r="U28" s="153"/>
      <c r="V28" s="153"/>
      <c r="W28" s="153"/>
      <c r="X28" s="153"/>
      <c r="Y28" s="153"/>
      <c r="Z28" s="153"/>
    </row>
    <row r="29" spans="1:26" s="33" customFormat="1" ht="15" x14ac:dyDescent="0.2">
      <c r="A29" s="153"/>
      <c r="B29" s="512" t="str">
        <f ca="1">HYPERLINK(Reference!B$9,Reference!A$9)</f>
        <v>Copyright © 2015, The Health and Social Care Information Centre. All Rights Reserved.</v>
      </c>
      <c r="C29" s="513"/>
      <c r="D29" s="513"/>
      <c r="E29" s="513"/>
      <c r="F29" s="513"/>
      <c r="G29" s="513"/>
      <c r="H29" s="513"/>
      <c r="I29" s="513"/>
      <c r="J29" s="513"/>
      <c r="K29" s="513"/>
      <c r="O29" s="153"/>
      <c r="P29" s="153"/>
      <c r="Q29" s="153"/>
      <c r="R29" s="153"/>
      <c r="S29" s="153"/>
      <c r="T29" s="153"/>
      <c r="U29" s="153"/>
      <c r="V29" s="153"/>
      <c r="W29" s="153"/>
      <c r="X29" s="153"/>
      <c r="Y29" s="153"/>
      <c r="Z29" s="153"/>
    </row>
    <row r="30" spans="1:26" s="33" customFormat="1" x14ac:dyDescent="0.2">
      <c r="A30" s="153"/>
      <c r="O30" s="153"/>
      <c r="P30" s="153"/>
      <c r="Q30" s="153"/>
      <c r="R30" s="153"/>
      <c r="S30" s="153"/>
      <c r="T30" s="153"/>
      <c r="U30" s="153"/>
      <c r="V30" s="153"/>
      <c r="W30" s="153"/>
      <c r="X30" s="153"/>
      <c r="Y30" s="153"/>
      <c r="Z30" s="153"/>
    </row>
    <row r="31" spans="1:26" s="33" customFormat="1" x14ac:dyDescent="0.2">
      <c r="A31" s="153"/>
      <c r="O31" s="153"/>
      <c r="P31" s="153"/>
      <c r="Q31" s="153"/>
      <c r="R31" s="153"/>
      <c r="S31" s="153"/>
      <c r="T31" s="153"/>
      <c r="U31" s="153"/>
      <c r="V31" s="153"/>
      <c r="W31" s="153"/>
      <c r="X31" s="153"/>
      <c r="Y31" s="153"/>
      <c r="Z31" s="153"/>
    </row>
    <row r="32" spans="1:26" s="33" customFormat="1" x14ac:dyDescent="0.2">
      <c r="A32" s="153"/>
      <c r="O32" s="153"/>
      <c r="P32" s="153"/>
      <c r="Q32" s="153"/>
      <c r="R32" s="153"/>
      <c r="S32" s="153"/>
      <c r="T32" s="153"/>
      <c r="U32" s="153"/>
      <c r="V32" s="153"/>
      <c r="W32" s="153"/>
      <c r="X32" s="153"/>
      <c r="Y32" s="153"/>
      <c r="Z32" s="153"/>
    </row>
    <row r="33" spans="1:26" s="33" customFormat="1" x14ac:dyDescent="0.2">
      <c r="A33" s="153"/>
      <c r="O33" s="153"/>
      <c r="P33" s="153"/>
      <c r="Q33" s="153"/>
      <c r="R33" s="153"/>
      <c r="S33" s="153"/>
      <c r="T33" s="153"/>
      <c r="U33" s="153"/>
      <c r="V33" s="153"/>
      <c r="W33" s="153"/>
      <c r="X33" s="153"/>
      <c r="Y33" s="153"/>
      <c r="Z33" s="153"/>
    </row>
    <row r="34" spans="1:26" s="33" customFormat="1" x14ac:dyDescent="0.2">
      <c r="A34" s="153"/>
      <c r="O34" s="153"/>
      <c r="P34" s="153"/>
      <c r="Q34" s="153"/>
      <c r="R34" s="153"/>
      <c r="S34" s="153"/>
      <c r="T34" s="153"/>
      <c r="U34" s="153"/>
      <c r="V34" s="153"/>
      <c r="W34" s="153"/>
      <c r="X34" s="153"/>
      <c r="Y34" s="153"/>
      <c r="Z34" s="153"/>
    </row>
    <row r="35" spans="1:26" s="33" customFormat="1" x14ac:dyDescent="0.2">
      <c r="A35" s="153"/>
      <c r="O35" s="153"/>
      <c r="P35" s="153"/>
      <c r="Q35" s="153"/>
      <c r="R35" s="153"/>
      <c r="S35" s="153"/>
      <c r="T35" s="153"/>
      <c r="U35" s="153"/>
      <c r="V35" s="153"/>
      <c r="W35" s="153"/>
      <c r="X35" s="153"/>
      <c r="Y35" s="153"/>
      <c r="Z35" s="153"/>
    </row>
    <row r="36" spans="1:26" s="33" customFormat="1" x14ac:dyDescent="0.2">
      <c r="A36" s="153"/>
      <c r="O36" s="153"/>
      <c r="P36" s="153"/>
      <c r="Q36" s="153"/>
      <c r="R36" s="153"/>
      <c r="S36" s="153"/>
      <c r="T36" s="153"/>
      <c r="U36" s="153"/>
      <c r="V36" s="153"/>
      <c r="W36" s="153"/>
      <c r="X36" s="153"/>
      <c r="Y36" s="153"/>
      <c r="Z36" s="153"/>
    </row>
    <row r="37" spans="1:26" s="33" customFormat="1" x14ac:dyDescent="0.2">
      <c r="A37" s="153"/>
      <c r="O37" s="153"/>
      <c r="P37" s="153"/>
      <c r="Q37" s="153"/>
      <c r="R37" s="153"/>
      <c r="S37" s="153"/>
      <c r="T37" s="153"/>
      <c r="U37" s="153"/>
      <c r="V37" s="153"/>
      <c r="W37" s="153"/>
      <c r="X37" s="153"/>
      <c r="Y37" s="153"/>
      <c r="Z37" s="153"/>
    </row>
    <row r="38" spans="1:26" s="33" customFormat="1" x14ac:dyDescent="0.2">
      <c r="A38" s="153"/>
      <c r="O38" s="153"/>
      <c r="P38" s="153"/>
      <c r="Q38" s="153"/>
      <c r="R38" s="153"/>
      <c r="S38" s="153"/>
      <c r="T38" s="153"/>
      <c r="U38" s="153"/>
      <c r="V38" s="153"/>
      <c r="W38" s="153"/>
      <c r="X38" s="153"/>
      <c r="Y38" s="153"/>
      <c r="Z38" s="153"/>
    </row>
    <row r="39" spans="1:26" s="33" customFormat="1" x14ac:dyDescent="0.2">
      <c r="A39" s="153"/>
      <c r="O39" s="153"/>
      <c r="P39" s="153"/>
      <c r="Q39" s="153"/>
      <c r="R39" s="153"/>
      <c r="S39" s="153"/>
      <c r="T39" s="153"/>
      <c r="U39" s="153"/>
      <c r="V39" s="153"/>
      <c r="W39" s="153"/>
      <c r="X39" s="153"/>
      <c r="Y39" s="153"/>
      <c r="Z39" s="153"/>
    </row>
    <row r="40" spans="1:26" s="33" customFormat="1" x14ac:dyDescent="0.2">
      <c r="A40" s="153"/>
      <c r="O40" s="153"/>
      <c r="P40" s="153"/>
      <c r="Q40" s="153"/>
      <c r="R40" s="153"/>
      <c r="S40" s="153"/>
      <c r="T40" s="153"/>
      <c r="U40" s="153"/>
      <c r="V40" s="153"/>
      <c r="W40" s="153"/>
      <c r="X40" s="153"/>
      <c r="Y40" s="153"/>
      <c r="Z40" s="153"/>
    </row>
    <row r="41" spans="1:26" s="33" customFormat="1" x14ac:dyDescent="0.2">
      <c r="A41" s="153"/>
      <c r="O41" s="153"/>
      <c r="P41" s="153"/>
      <c r="Q41" s="153"/>
      <c r="R41" s="153"/>
      <c r="S41" s="153"/>
      <c r="T41" s="153"/>
      <c r="U41" s="153"/>
      <c r="V41" s="153"/>
      <c r="W41" s="153"/>
      <c r="X41" s="153"/>
      <c r="Y41" s="153"/>
      <c r="Z41" s="153"/>
    </row>
    <row r="42" spans="1:26" s="33" customFormat="1" x14ac:dyDescent="0.2">
      <c r="A42" s="153"/>
      <c r="O42" s="153"/>
      <c r="P42" s="153"/>
      <c r="Q42" s="153"/>
      <c r="R42" s="153"/>
      <c r="S42" s="153"/>
      <c r="T42" s="153"/>
      <c r="U42" s="153"/>
      <c r="V42" s="153"/>
      <c r="W42" s="153"/>
      <c r="X42" s="153"/>
      <c r="Y42" s="153"/>
      <c r="Z42" s="153"/>
    </row>
    <row r="43" spans="1:26" s="33" customFormat="1" x14ac:dyDescent="0.2">
      <c r="A43" s="153"/>
      <c r="O43" s="153"/>
      <c r="P43" s="153"/>
      <c r="Q43" s="153"/>
      <c r="R43" s="153"/>
      <c r="S43" s="153"/>
      <c r="T43" s="153"/>
      <c r="U43" s="153"/>
      <c r="V43" s="153"/>
      <c r="W43" s="153"/>
      <c r="X43" s="153"/>
      <c r="Y43" s="153"/>
      <c r="Z43" s="153"/>
    </row>
    <row r="44" spans="1:26" s="33" customFormat="1" x14ac:dyDescent="0.2">
      <c r="A44" s="153"/>
      <c r="O44" s="153"/>
      <c r="P44" s="153"/>
      <c r="Q44" s="153"/>
      <c r="R44" s="153"/>
      <c r="S44" s="153"/>
      <c r="T44" s="153"/>
      <c r="U44" s="153"/>
      <c r="V44" s="153"/>
      <c r="W44" s="153"/>
      <c r="X44" s="153"/>
      <c r="Y44" s="153"/>
      <c r="Z44" s="153"/>
    </row>
    <row r="45" spans="1:26" s="33" customFormat="1" x14ac:dyDescent="0.2">
      <c r="A45" s="153"/>
      <c r="O45" s="153"/>
      <c r="P45" s="153"/>
      <c r="Q45" s="153"/>
      <c r="R45" s="153"/>
      <c r="S45" s="153"/>
      <c r="T45" s="153"/>
      <c r="U45" s="153"/>
      <c r="V45" s="153"/>
      <c r="W45" s="153"/>
      <c r="X45" s="153"/>
      <c r="Y45" s="153"/>
      <c r="Z45" s="153"/>
    </row>
    <row r="46" spans="1:26" s="33" customFormat="1" x14ac:dyDescent="0.2">
      <c r="A46" s="153"/>
      <c r="O46" s="153"/>
      <c r="P46" s="153"/>
      <c r="Q46" s="153"/>
      <c r="R46" s="153"/>
      <c r="S46" s="153"/>
      <c r="T46" s="153"/>
      <c r="U46" s="153"/>
      <c r="V46" s="153"/>
      <c r="W46" s="153"/>
      <c r="X46" s="153"/>
      <c r="Y46" s="153"/>
      <c r="Z46" s="153"/>
    </row>
    <row r="47" spans="1:26" s="33" customFormat="1" x14ac:dyDescent="0.2">
      <c r="A47" s="153"/>
      <c r="O47" s="153"/>
      <c r="P47" s="153"/>
      <c r="Q47" s="153"/>
      <c r="R47" s="153"/>
      <c r="S47" s="153"/>
      <c r="T47" s="153"/>
      <c r="U47" s="153"/>
      <c r="V47" s="153"/>
      <c r="W47" s="153"/>
      <c r="X47" s="153"/>
      <c r="Y47" s="153"/>
      <c r="Z47" s="153"/>
    </row>
    <row r="48" spans="1:26" s="33" customFormat="1" x14ac:dyDescent="0.2">
      <c r="A48" s="153"/>
      <c r="O48" s="153"/>
      <c r="P48" s="153"/>
      <c r="Q48" s="153"/>
      <c r="R48" s="153"/>
      <c r="S48" s="153"/>
      <c r="T48" s="153"/>
      <c r="U48" s="153"/>
      <c r="V48" s="153"/>
      <c r="W48" s="153"/>
      <c r="X48" s="153"/>
      <c r="Y48" s="153"/>
      <c r="Z48" s="153"/>
    </row>
    <row r="102" spans="2:2" x14ac:dyDescent="0.2">
      <c r="B102" s="8"/>
    </row>
  </sheetData>
  <sheetProtection sheet="1" objects="1" scenarios="1" selectLockedCells="1"/>
  <mergeCells count="20">
    <mergeCell ref="C24:D24"/>
    <mergeCell ref="C21:D21"/>
    <mergeCell ref="C22:D22"/>
    <mergeCell ref="C23:D23"/>
    <mergeCell ref="B29:K29"/>
    <mergeCell ref="C25:D25"/>
    <mergeCell ref="C26:D26"/>
    <mergeCell ref="C17:D17"/>
    <mergeCell ref="C18:D18"/>
    <mergeCell ref="C19:D19"/>
    <mergeCell ref="C20:D20"/>
    <mergeCell ref="B9:L9"/>
    <mergeCell ref="B10:L10"/>
    <mergeCell ref="B11:L11"/>
    <mergeCell ref="C15:D15"/>
    <mergeCell ref="C16:D16"/>
    <mergeCell ref="B12:C12"/>
    <mergeCell ref="B13:C13"/>
    <mergeCell ref="E12:G12"/>
    <mergeCell ref="E13:G13"/>
  </mergeCells>
  <phoneticPr fontId="10" type="noConversion"/>
  <conditionalFormatting sqref="B16:B26 E16:N26 C16 C18:C26">
    <cfRule type="expression" dxfId="3" priority="1" stopIfTrue="1">
      <formula>IF($E16&lt;30,TRUE)</formula>
    </cfRule>
  </conditionalFormatting>
  <dataValidations count="13">
    <dataValidation type="list" allowBlank="1" showInputMessage="1" showErrorMessage="1" sqref="B17:B26">
      <formula1>Funnel_Organisation_Level</formula1>
    </dataValidation>
    <dataValidation type="list" allowBlank="1" showInputMessage="1" showErrorMessage="1" sqref="C17">
      <formula1>Select10_OrgName01</formula1>
    </dataValidation>
    <dataValidation type="list" allowBlank="1" showInputMessage="1" showErrorMessage="1" sqref="C18:D18">
      <formula1>Select10_OrgName02</formula1>
    </dataValidation>
    <dataValidation type="list" allowBlank="1" showInputMessage="1" showErrorMessage="1" sqref="C19">
      <formula1>Select10_OrgName03</formula1>
    </dataValidation>
    <dataValidation type="list" allowBlank="1" showInputMessage="1" showErrorMessage="1" sqref="C20">
      <formula1>Select10_OrgName04</formula1>
    </dataValidation>
    <dataValidation type="list" allowBlank="1" showInputMessage="1" showErrorMessage="1" sqref="C21">
      <formula1>Select10_OrgName05</formula1>
    </dataValidation>
    <dataValidation type="list" allowBlank="1" showInputMessage="1" showErrorMessage="1" sqref="C22">
      <formula1>Select10_OrgName06</formula1>
    </dataValidation>
    <dataValidation type="list" allowBlank="1" showInputMessage="1" showErrorMessage="1" sqref="C23">
      <formula1>Select10_OrgName07</formula1>
    </dataValidation>
    <dataValidation type="list" allowBlank="1" showInputMessage="1" showErrorMessage="1" sqref="C24">
      <formula1>Select10_OrgName08</formula1>
    </dataValidation>
    <dataValidation type="list" allowBlank="1" showInputMessage="1" showErrorMessage="1" sqref="C25">
      <formula1>Select10_OrgName09</formula1>
    </dataValidation>
    <dataValidation type="list" allowBlank="1" showInputMessage="1" showErrorMessage="1" sqref="C26">
      <formula1>Select10_OrgName10</formula1>
    </dataValidation>
    <dataValidation type="list" allowBlank="1" showInputMessage="1" showErrorMessage="1" sqref="B13:C13">
      <formula1>Procedure_List</formula1>
    </dataValidation>
    <dataValidation type="list" allowBlank="1" showInputMessage="1" showErrorMessage="1" sqref="E13:G13">
      <formula1>Select10_Score</formula1>
    </dataValidation>
  </dataValidations>
  <hyperlinks>
    <hyperlink ref="B29:G29" r:id="rId1" display="http://www.ic.nhs.uk/terms-and-conditions"/>
    <hyperlink ref="B29:H29" r:id="rId2" display="http://www.hscic.gov.uk/terms-and-conditions"/>
  </hyperlinks>
  <pageMargins left="0.35433070866141736" right="0.35433070866141736" top="0.39370078740157483" bottom="0.39370078740157483" header="0.11811023622047245" footer="0.11811023622047245"/>
  <pageSetup paperSize="9" scale="59" orientation="landscape" r:id="rId3"/>
  <headerFooter alignWithMargins="0"/>
  <rowBreaks count="1" manualBreakCount="1">
    <brk id="28" max="16383"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34"/>
  </sheetPr>
  <dimension ref="A1:AV371"/>
  <sheetViews>
    <sheetView showGridLines="0" workbookViewId="0">
      <selection activeCell="E31" sqref="E31"/>
    </sheetView>
  </sheetViews>
  <sheetFormatPr defaultRowHeight="15" x14ac:dyDescent="0.25"/>
  <cols>
    <col min="1" max="1" width="48.140625" style="394" customWidth="1"/>
    <col min="2" max="2" width="43.28515625" style="394" customWidth="1"/>
    <col min="3" max="4" width="3.7109375" style="403" customWidth="1"/>
    <col min="5" max="5" width="27.5703125" style="394" customWidth="1"/>
    <col min="6" max="6" width="38.85546875" style="394" customWidth="1"/>
    <col min="7" max="7" width="3.7109375" style="403" customWidth="1"/>
    <col min="8" max="8" width="45.85546875" style="394" bestFit="1" customWidth="1"/>
    <col min="9" max="9" width="16" style="394" bestFit="1" customWidth="1"/>
    <col min="10" max="10" width="3.7109375" style="394" customWidth="1"/>
    <col min="11" max="11" width="42.42578125" style="394" bestFit="1" customWidth="1"/>
    <col min="12" max="12" width="15.7109375" style="394" bestFit="1" customWidth="1"/>
    <col min="13" max="13" width="3.7109375" style="394" customWidth="1"/>
    <col min="14" max="14" width="46" style="394" bestFit="1" customWidth="1"/>
    <col min="15" max="15" width="11" style="394" bestFit="1" customWidth="1"/>
    <col min="16" max="16" width="3.7109375" style="394" customWidth="1"/>
    <col min="17" max="17" width="9.140625" style="394"/>
    <col min="18" max="18" width="14" style="394" bestFit="1" customWidth="1"/>
    <col min="19" max="20" width="3.7109375" style="394" customWidth="1"/>
    <col min="21" max="21" width="19.28515625" style="394" customWidth="1"/>
    <col min="22" max="23" width="16.85546875" style="394" customWidth="1"/>
    <col min="24" max="24" width="5.140625" style="394" customWidth="1"/>
    <col min="25" max="25" width="25.5703125" style="394" customWidth="1"/>
    <col min="26" max="26" width="3.7109375" style="394" customWidth="1"/>
    <col min="27" max="27" width="33.7109375" style="394" customWidth="1"/>
    <col min="28" max="28" width="3.7109375" style="394" customWidth="1"/>
    <col min="29" max="29" width="29.7109375" style="394" bestFit="1" customWidth="1"/>
    <col min="30" max="30" width="19.5703125" style="394" bestFit="1" customWidth="1"/>
    <col min="31" max="31" width="3.7109375" style="394" customWidth="1"/>
    <col min="32" max="32" width="19.28515625" style="394" bestFit="1" customWidth="1"/>
    <col min="33" max="33" width="19.28515625" style="394" customWidth="1"/>
    <col min="34" max="35" width="3.7109375" style="394" customWidth="1"/>
    <col min="36" max="16384" width="9.140625" style="394"/>
  </cols>
  <sheetData>
    <row r="1" spans="1:48" ht="67.5" customHeight="1" x14ac:dyDescent="0.25">
      <c r="A1" s="412" t="s">
        <v>155</v>
      </c>
      <c r="B1" s="413" t="s">
        <v>152</v>
      </c>
      <c r="C1" s="396"/>
      <c r="D1" s="396"/>
      <c r="E1" s="417" t="s">
        <v>1</v>
      </c>
      <c r="F1" s="417" t="s">
        <v>113</v>
      </c>
      <c r="G1" s="396"/>
      <c r="H1" s="417" t="s">
        <v>88</v>
      </c>
      <c r="I1" s="417" t="s">
        <v>112</v>
      </c>
      <c r="J1" s="397"/>
      <c r="K1" s="417" t="s">
        <v>34</v>
      </c>
      <c r="L1" s="417" t="s">
        <v>111</v>
      </c>
      <c r="M1" s="195"/>
      <c r="N1" s="417" t="s">
        <v>33</v>
      </c>
      <c r="O1" s="417" t="s">
        <v>110</v>
      </c>
      <c r="P1" s="397"/>
      <c r="Q1" s="417" t="s">
        <v>51</v>
      </c>
      <c r="R1" s="417" t="s">
        <v>109</v>
      </c>
      <c r="S1" s="195"/>
      <c r="U1" s="417" t="s">
        <v>124</v>
      </c>
      <c r="V1" s="421" t="s">
        <v>128</v>
      </c>
      <c r="W1" s="421" t="s">
        <v>151</v>
      </c>
      <c r="Y1" s="417" t="s">
        <v>254</v>
      </c>
      <c r="AA1" s="421" t="s">
        <v>299</v>
      </c>
      <c r="AC1" s="417" t="s">
        <v>121</v>
      </c>
      <c r="AD1" s="417" t="s">
        <v>149</v>
      </c>
      <c r="AE1" s="397"/>
      <c r="AF1" s="421" t="s">
        <v>129</v>
      </c>
      <c r="AG1" s="421" t="s">
        <v>150</v>
      </c>
      <c r="AH1" s="397"/>
      <c r="AI1" s="394" t="s">
        <v>37</v>
      </c>
      <c r="AJ1" s="397"/>
      <c r="AK1" s="397"/>
      <c r="AL1" s="397"/>
      <c r="AM1" s="397"/>
      <c r="AN1" s="397"/>
      <c r="AO1" s="397"/>
      <c r="AP1" s="397"/>
      <c r="AQ1" s="397"/>
      <c r="AR1" s="397"/>
      <c r="AS1" s="397"/>
      <c r="AV1" s="397"/>
    </row>
    <row r="2" spans="1:48" x14ac:dyDescent="0.25">
      <c r="A2" s="414" t="s">
        <v>305</v>
      </c>
      <c r="B2" s="432">
        <v>41730</v>
      </c>
      <c r="C2" s="398"/>
      <c r="D2" s="398"/>
      <c r="E2" s="144" t="s">
        <v>3839</v>
      </c>
      <c r="F2" s="418">
        <f>COUNTA(E:E)-1</f>
        <v>347</v>
      </c>
      <c r="G2" s="398"/>
      <c r="H2" s="144" t="s">
        <v>6542</v>
      </c>
      <c r="I2" s="419">
        <f>COUNTA(H:H)-1</f>
        <v>213</v>
      </c>
      <c r="J2" s="401"/>
      <c r="K2" s="430" t="s">
        <v>298</v>
      </c>
      <c r="L2" s="419">
        <f>COUNTA(K:K)-1</f>
        <v>1</v>
      </c>
      <c r="M2" s="401"/>
      <c r="N2" s="430" t="s">
        <v>298</v>
      </c>
      <c r="O2" s="420">
        <f>COUNTA(N:N)-1</f>
        <v>1</v>
      </c>
      <c r="P2" s="399"/>
      <c r="Q2" s="429" t="s">
        <v>163</v>
      </c>
      <c r="R2" s="422">
        <v>1</v>
      </c>
      <c r="S2" s="194"/>
      <c r="U2" s="425" t="s">
        <v>52</v>
      </c>
      <c r="V2" s="424">
        <f>IF('Funnel Plot'!B11="Groin Hernia",2,3)</f>
        <v>2</v>
      </c>
      <c r="W2" s="423">
        <f>IF('Select 10 table'!B13="Groin Hernia",2,3)</f>
        <v>2</v>
      </c>
      <c r="Y2" s="425" t="s">
        <v>50</v>
      </c>
      <c r="AA2" s="425" t="s">
        <v>163</v>
      </c>
      <c r="AC2" s="425" t="s">
        <v>163</v>
      </c>
      <c r="AD2" s="423">
        <f>COUNTA(AC:AC)-1</f>
        <v>3</v>
      </c>
      <c r="AF2" s="425" t="s">
        <v>87</v>
      </c>
      <c r="AG2" s="424">
        <f>COUNTA(AF:AF)-1</f>
        <v>2</v>
      </c>
      <c r="AI2" s="394" t="s">
        <v>37</v>
      </c>
      <c r="AJ2" s="402"/>
      <c r="AK2" s="402"/>
      <c r="AL2" s="402"/>
      <c r="AM2" s="402"/>
      <c r="AN2" s="402"/>
      <c r="AO2" s="402"/>
      <c r="AP2" s="402"/>
      <c r="AQ2" s="402"/>
      <c r="AR2" s="402"/>
      <c r="AS2" s="402"/>
    </row>
    <row r="3" spans="1:48" x14ac:dyDescent="0.25">
      <c r="A3" s="414" t="s">
        <v>306</v>
      </c>
      <c r="B3" s="432">
        <v>42064</v>
      </c>
      <c r="C3" s="398"/>
      <c r="D3" s="398"/>
      <c r="E3" s="144" t="s">
        <v>3842</v>
      </c>
      <c r="F3" s="395"/>
      <c r="G3" s="398"/>
      <c r="H3" s="144" t="s">
        <v>564</v>
      </c>
      <c r="I3" s="401"/>
      <c r="J3" s="401"/>
      <c r="K3" s="400"/>
      <c r="L3" s="401"/>
      <c r="M3" s="401"/>
      <c r="N3" s="399"/>
      <c r="O3" s="399"/>
      <c r="P3" s="399"/>
      <c r="U3" s="426" t="s">
        <v>179</v>
      </c>
      <c r="V3" s="403"/>
      <c r="W3" s="403"/>
      <c r="Y3" s="427" t="s">
        <v>13</v>
      </c>
      <c r="AA3" s="427" t="s">
        <v>7</v>
      </c>
      <c r="AC3" s="427" t="s">
        <v>87</v>
      </c>
      <c r="AF3" s="426" t="s">
        <v>1</v>
      </c>
      <c r="AI3" s="394" t="s">
        <v>37</v>
      </c>
      <c r="AJ3" s="402"/>
      <c r="AK3" s="402"/>
      <c r="AL3" s="402"/>
      <c r="AM3" s="402"/>
      <c r="AN3" s="402"/>
      <c r="AO3" s="402"/>
      <c r="AP3" s="402"/>
      <c r="AQ3" s="402"/>
      <c r="AR3" s="402"/>
      <c r="AS3" s="402"/>
    </row>
    <row r="4" spans="1:48" x14ac:dyDescent="0.25">
      <c r="A4" s="414" t="s">
        <v>307</v>
      </c>
      <c r="B4" s="433" t="s">
        <v>6568</v>
      </c>
      <c r="C4" s="404"/>
      <c r="D4" s="404"/>
      <c r="E4" s="144" t="s">
        <v>6520</v>
      </c>
      <c r="F4" s="395"/>
      <c r="G4" s="404"/>
      <c r="H4" s="144" t="s">
        <v>567</v>
      </c>
      <c r="I4" s="401"/>
      <c r="J4" s="401"/>
      <c r="K4" s="400"/>
      <c r="L4" s="401"/>
      <c r="M4" s="401"/>
      <c r="N4" s="399"/>
      <c r="O4" s="399"/>
      <c r="P4" s="399"/>
      <c r="V4" s="403"/>
      <c r="W4" s="403"/>
      <c r="Y4" s="427" t="s">
        <v>15</v>
      </c>
      <c r="AA4" s="427" t="s">
        <v>8</v>
      </c>
      <c r="AC4" s="426" t="s">
        <v>1</v>
      </c>
      <c r="AI4" s="394" t="s">
        <v>37</v>
      </c>
      <c r="AJ4" s="402"/>
      <c r="AK4" s="402"/>
      <c r="AL4" s="402"/>
      <c r="AM4" s="402"/>
      <c r="AN4" s="402"/>
      <c r="AO4" s="402"/>
      <c r="AP4" s="402"/>
      <c r="AQ4" s="402"/>
      <c r="AR4" s="402"/>
      <c r="AS4" s="402"/>
    </row>
    <row r="5" spans="1:48" x14ac:dyDescent="0.25">
      <c r="A5" s="414" t="s">
        <v>308</v>
      </c>
      <c r="B5" s="415" t="b">
        <v>1</v>
      </c>
      <c r="C5" s="416" t="s">
        <v>298</v>
      </c>
      <c r="D5" s="405"/>
      <c r="E5" s="144" t="s">
        <v>345</v>
      </c>
      <c r="F5" s="395"/>
      <c r="G5" s="405"/>
      <c r="H5" s="144" t="s">
        <v>339</v>
      </c>
      <c r="I5" s="401"/>
      <c r="J5" s="401"/>
      <c r="K5" s="400"/>
      <c r="L5" s="401"/>
      <c r="M5" s="401"/>
      <c r="N5" s="399"/>
      <c r="O5" s="399"/>
      <c r="P5" s="399"/>
      <c r="U5" s="417" t="s">
        <v>125</v>
      </c>
      <c r="V5" s="195"/>
      <c r="W5" s="195"/>
      <c r="Y5" s="426" t="s">
        <v>17</v>
      </c>
      <c r="AA5" s="427" t="s">
        <v>87</v>
      </c>
      <c r="AI5" s="394" t="s">
        <v>37</v>
      </c>
      <c r="AJ5" s="402"/>
      <c r="AK5" s="402"/>
      <c r="AL5" s="402"/>
      <c r="AM5" s="402"/>
      <c r="AN5" s="402"/>
      <c r="AO5" s="402"/>
      <c r="AP5" s="402"/>
      <c r="AQ5" s="402"/>
      <c r="AR5" s="402"/>
      <c r="AS5" s="402"/>
    </row>
    <row r="6" spans="1:48" x14ac:dyDescent="0.25">
      <c r="A6" s="414" t="s">
        <v>309</v>
      </c>
      <c r="B6" s="432">
        <v>42593</v>
      </c>
      <c r="C6" s="406"/>
      <c r="D6" s="406"/>
      <c r="E6" s="144" t="s">
        <v>3847</v>
      </c>
      <c r="F6" s="395"/>
      <c r="G6" s="406"/>
      <c r="H6" s="144" t="s">
        <v>572</v>
      </c>
      <c r="I6" s="401"/>
      <c r="J6" s="401"/>
      <c r="K6" s="400"/>
      <c r="L6" s="401"/>
      <c r="M6" s="401"/>
      <c r="N6" s="399"/>
      <c r="O6" s="399"/>
      <c r="P6" s="399"/>
      <c r="U6" s="425" t="s">
        <v>52</v>
      </c>
      <c r="V6" s="403"/>
      <c r="W6" s="403"/>
      <c r="AA6" s="426" t="s">
        <v>1</v>
      </c>
      <c r="AI6" s="394" t="s">
        <v>37</v>
      </c>
      <c r="AJ6" s="402"/>
      <c r="AK6" s="402"/>
      <c r="AL6" s="402"/>
      <c r="AM6" s="402"/>
      <c r="AN6" s="402"/>
      <c r="AO6" s="402"/>
      <c r="AP6" s="402"/>
      <c r="AQ6" s="402"/>
      <c r="AR6" s="402"/>
      <c r="AS6" s="402"/>
    </row>
    <row r="7" spans="1:48" x14ac:dyDescent="0.25">
      <c r="E7" s="144" t="s">
        <v>3501</v>
      </c>
      <c r="F7" s="395"/>
      <c r="H7" s="144" t="s">
        <v>575</v>
      </c>
      <c r="I7" s="401"/>
      <c r="J7" s="401"/>
      <c r="K7" s="400"/>
      <c r="L7" s="401"/>
      <c r="M7" s="401"/>
      <c r="N7" s="399"/>
      <c r="O7" s="399"/>
      <c r="P7" s="399"/>
      <c r="U7" s="427" t="s">
        <v>179</v>
      </c>
      <c r="V7" s="403"/>
      <c r="W7" s="403"/>
      <c r="AI7" s="394" t="s">
        <v>37</v>
      </c>
      <c r="AJ7" s="402"/>
      <c r="AK7" s="402"/>
      <c r="AL7" s="402"/>
      <c r="AM7" s="402"/>
      <c r="AN7" s="402"/>
      <c r="AO7" s="402"/>
      <c r="AP7" s="402"/>
      <c r="AQ7" s="402"/>
      <c r="AR7" s="402"/>
      <c r="AS7" s="402"/>
    </row>
    <row r="8" spans="1:48" x14ac:dyDescent="0.25">
      <c r="A8" s="489" t="s">
        <v>154</v>
      </c>
      <c r="B8" s="490"/>
      <c r="C8" s="407"/>
      <c r="D8" s="407"/>
      <c r="E8" s="144" t="s">
        <v>3504</v>
      </c>
      <c r="F8" s="395"/>
      <c r="G8" s="407"/>
      <c r="H8" s="144" t="s">
        <v>578</v>
      </c>
      <c r="I8" s="401"/>
      <c r="J8" s="401"/>
      <c r="K8" s="400"/>
      <c r="L8" s="401"/>
      <c r="M8" s="401"/>
      <c r="N8" s="399"/>
      <c r="O8" s="399"/>
      <c r="P8" s="399"/>
      <c r="U8" s="426" t="s">
        <v>14</v>
      </c>
      <c r="V8" s="403"/>
      <c r="W8" s="403"/>
      <c r="AI8" s="394" t="s">
        <v>37</v>
      </c>
      <c r="AJ8" s="402"/>
      <c r="AK8" s="402"/>
      <c r="AL8" s="402"/>
      <c r="AM8" s="402"/>
      <c r="AN8" s="402"/>
      <c r="AO8" s="402"/>
      <c r="AP8" s="402"/>
      <c r="AQ8" s="402"/>
      <c r="AR8" s="402"/>
      <c r="AS8" s="402"/>
    </row>
    <row r="9" spans="1:48" ht="31.5" customHeight="1" x14ac:dyDescent="0.25">
      <c r="A9" s="408" t="str">
        <f ca="1">"Copyright © "&amp;YEAR(NOW())&amp;", The Health and Social Care Information Centre. All Rights Reserved."</f>
        <v>Copyright © 2015, The Health and Social Care Information Centre. All Rights Reserved.</v>
      </c>
      <c r="B9" s="409" t="s">
        <v>153</v>
      </c>
      <c r="C9" s="410"/>
      <c r="D9" s="410"/>
      <c r="E9" s="144" t="s">
        <v>3507</v>
      </c>
      <c r="F9" s="395"/>
      <c r="G9" s="410"/>
      <c r="H9" s="144" t="s">
        <v>581</v>
      </c>
      <c r="I9" s="401"/>
      <c r="J9" s="401"/>
      <c r="K9" s="400"/>
      <c r="L9" s="401"/>
      <c r="M9" s="401"/>
      <c r="N9" s="399"/>
      <c r="O9" s="399"/>
      <c r="P9" s="399"/>
      <c r="V9" s="403"/>
      <c r="W9" s="403"/>
      <c r="AI9" s="394" t="s">
        <v>37</v>
      </c>
      <c r="AJ9" s="402"/>
      <c r="AK9" s="402"/>
      <c r="AL9" s="402"/>
      <c r="AM9" s="402"/>
      <c r="AN9" s="402"/>
      <c r="AO9" s="402"/>
      <c r="AP9" s="402"/>
      <c r="AQ9" s="402"/>
      <c r="AR9" s="402"/>
      <c r="AS9" s="402"/>
    </row>
    <row r="10" spans="1:48" ht="15" customHeight="1" x14ac:dyDescent="0.25">
      <c r="A10" s="491" t="s">
        <v>160</v>
      </c>
      <c r="B10" s="491"/>
      <c r="E10" s="144" t="s">
        <v>6514</v>
      </c>
      <c r="F10" s="395"/>
      <c r="H10" s="144" t="s">
        <v>584</v>
      </c>
      <c r="I10" s="401"/>
      <c r="J10" s="401"/>
      <c r="K10" s="400"/>
      <c r="L10" s="401"/>
      <c r="M10" s="401"/>
      <c r="N10" s="399"/>
      <c r="O10" s="399"/>
      <c r="P10" s="399"/>
      <c r="U10" s="417" t="s">
        <v>126</v>
      </c>
      <c r="V10" s="195"/>
      <c r="W10" s="195"/>
      <c r="Y10" s="421" t="s">
        <v>253</v>
      </c>
      <c r="AI10" s="394" t="s">
        <v>37</v>
      </c>
      <c r="AJ10" s="402"/>
      <c r="AK10" s="402"/>
      <c r="AL10" s="402"/>
      <c r="AM10" s="402"/>
      <c r="AN10" s="402"/>
      <c r="AO10" s="402"/>
      <c r="AQ10" s="402"/>
      <c r="AR10" s="402"/>
      <c r="AS10" s="402"/>
    </row>
    <row r="11" spans="1:48" x14ac:dyDescent="0.25">
      <c r="E11" s="144" t="s">
        <v>3510</v>
      </c>
      <c r="F11" s="395"/>
      <c r="H11" s="144" t="s">
        <v>587</v>
      </c>
      <c r="I11" s="401"/>
      <c r="J11" s="401"/>
      <c r="K11" s="400"/>
      <c r="L11" s="401"/>
      <c r="M11" s="401"/>
      <c r="N11" s="399"/>
      <c r="O11" s="399"/>
      <c r="P11" s="399"/>
      <c r="U11" s="425" t="s">
        <v>52</v>
      </c>
      <c r="V11" s="403"/>
      <c r="W11" s="403"/>
      <c r="Y11" s="425" t="s">
        <v>50</v>
      </c>
      <c r="AI11" s="394" t="s">
        <v>37</v>
      </c>
      <c r="AK11" s="402"/>
      <c r="AL11" s="402"/>
      <c r="AM11" s="402"/>
      <c r="AN11" s="402"/>
      <c r="AQ11" s="402"/>
      <c r="AR11" s="402"/>
      <c r="AS11" s="402"/>
    </row>
    <row r="12" spans="1:48" x14ac:dyDescent="0.25">
      <c r="E12" s="144" t="s">
        <v>4426</v>
      </c>
      <c r="F12" s="395"/>
      <c r="H12" s="144" t="s">
        <v>590</v>
      </c>
      <c r="I12" s="401"/>
      <c r="J12" s="401"/>
      <c r="K12" s="400"/>
      <c r="L12" s="401"/>
      <c r="M12" s="401"/>
      <c r="N12" s="402"/>
      <c r="O12" s="402"/>
      <c r="P12" s="402"/>
      <c r="U12" s="427" t="s">
        <v>179</v>
      </c>
      <c r="V12" s="403"/>
      <c r="W12" s="403"/>
      <c r="Y12" s="427" t="s">
        <v>248</v>
      </c>
      <c r="AI12" s="394" t="s">
        <v>37</v>
      </c>
      <c r="AK12" s="402"/>
      <c r="AL12" s="402"/>
      <c r="AM12" s="402"/>
      <c r="AN12" s="402"/>
      <c r="AQ12" s="402"/>
      <c r="AR12" s="402"/>
      <c r="AS12" s="402"/>
    </row>
    <row r="13" spans="1:48" x14ac:dyDescent="0.25">
      <c r="E13" s="144" t="s">
        <v>3513</v>
      </c>
      <c r="F13" s="395"/>
      <c r="H13" s="144" t="s">
        <v>593</v>
      </c>
      <c r="I13" s="401"/>
      <c r="J13" s="401"/>
      <c r="K13" s="400"/>
      <c r="L13" s="401"/>
      <c r="M13" s="401"/>
      <c r="N13" s="402"/>
      <c r="O13" s="402"/>
      <c r="P13" s="402"/>
      <c r="U13" s="426" t="s">
        <v>16</v>
      </c>
      <c r="V13" s="403"/>
      <c r="W13" s="403"/>
      <c r="Y13" s="427" t="s">
        <v>247</v>
      </c>
      <c r="AI13" s="394" t="s">
        <v>37</v>
      </c>
      <c r="AK13" s="402"/>
      <c r="AL13" s="402"/>
      <c r="AM13" s="402"/>
      <c r="AN13" s="402"/>
      <c r="AQ13" s="402"/>
      <c r="AR13" s="402"/>
      <c r="AS13" s="402"/>
    </row>
    <row r="14" spans="1:48" x14ac:dyDescent="0.25">
      <c r="E14" s="144" t="s">
        <v>3550</v>
      </c>
      <c r="F14" s="395"/>
      <c r="H14" s="144" t="s">
        <v>596</v>
      </c>
      <c r="I14" s="401"/>
      <c r="J14" s="401"/>
      <c r="K14" s="400"/>
      <c r="L14" s="401"/>
      <c r="M14" s="401"/>
      <c r="N14" s="402"/>
      <c r="O14" s="402"/>
      <c r="P14" s="402"/>
      <c r="V14" s="403"/>
      <c r="W14" s="403"/>
      <c r="Y14" s="427" t="s">
        <v>249</v>
      </c>
      <c r="AI14" s="394" t="s">
        <v>37</v>
      </c>
      <c r="AK14" s="402"/>
      <c r="AL14" s="402"/>
      <c r="AN14" s="402"/>
      <c r="AQ14" s="402"/>
      <c r="AR14" s="402"/>
      <c r="AS14" s="402"/>
    </row>
    <row r="15" spans="1:48" x14ac:dyDescent="0.25">
      <c r="E15" s="144" t="s">
        <v>3553</v>
      </c>
      <c r="F15" s="395"/>
      <c r="H15" s="144" t="s">
        <v>599</v>
      </c>
      <c r="I15" s="401"/>
      <c r="J15" s="401"/>
      <c r="K15" s="400"/>
      <c r="L15" s="401"/>
      <c r="M15" s="401"/>
      <c r="N15" s="402"/>
      <c r="O15" s="402"/>
      <c r="P15" s="402"/>
      <c r="U15" s="417" t="s">
        <v>127</v>
      </c>
      <c r="V15" s="195"/>
      <c r="W15" s="195"/>
      <c r="Y15" s="427" t="s">
        <v>250</v>
      </c>
      <c r="AI15" s="394" t="s">
        <v>37</v>
      </c>
      <c r="AL15" s="402"/>
      <c r="AN15" s="402"/>
      <c r="AQ15" s="402"/>
      <c r="AR15" s="402"/>
      <c r="AS15" s="402"/>
    </row>
    <row r="16" spans="1:48" x14ac:dyDescent="0.25">
      <c r="E16" s="144" t="s">
        <v>3556</v>
      </c>
      <c r="F16" s="395"/>
      <c r="H16" s="144" t="s">
        <v>602</v>
      </c>
      <c r="I16" s="401"/>
      <c r="J16" s="401"/>
      <c r="K16" s="400"/>
      <c r="L16" s="401"/>
      <c r="M16" s="401"/>
      <c r="N16" s="402"/>
      <c r="O16" s="402"/>
      <c r="P16" s="402"/>
      <c r="U16" s="425" t="s">
        <v>52</v>
      </c>
      <c r="Y16" s="426" t="s">
        <v>17</v>
      </c>
      <c r="AI16" s="394" t="s">
        <v>37</v>
      </c>
      <c r="AL16" s="402"/>
      <c r="AN16" s="402"/>
      <c r="AR16" s="402"/>
    </row>
    <row r="17" spans="5:44" x14ac:dyDescent="0.25">
      <c r="E17" s="144" t="s">
        <v>3559</v>
      </c>
      <c r="F17" s="395"/>
      <c r="H17" s="144" t="s">
        <v>605</v>
      </c>
      <c r="I17" s="401"/>
      <c r="J17" s="401"/>
      <c r="K17" s="400"/>
      <c r="L17" s="401"/>
      <c r="M17" s="401"/>
      <c r="N17" s="402"/>
      <c r="O17" s="402"/>
      <c r="P17" s="402"/>
      <c r="U17" s="427" t="s">
        <v>179</v>
      </c>
      <c r="AI17" s="394" t="s">
        <v>37</v>
      </c>
      <c r="AL17" s="402"/>
      <c r="AN17" s="402"/>
      <c r="AR17" s="402"/>
    </row>
    <row r="18" spans="5:44" ht="30" x14ac:dyDescent="0.25">
      <c r="E18" s="144" t="s">
        <v>4429</v>
      </c>
      <c r="F18" s="395"/>
      <c r="H18" s="144" t="s">
        <v>608</v>
      </c>
      <c r="I18" s="401"/>
      <c r="J18" s="401"/>
      <c r="K18" s="400"/>
      <c r="L18" s="401"/>
      <c r="M18" s="401"/>
      <c r="N18" s="402"/>
      <c r="O18" s="402"/>
      <c r="P18" s="402"/>
      <c r="U18" s="428" t="s">
        <v>0</v>
      </c>
      <c r="AI18" s="394" t="s">
        <v>37</v>
      </c>
      <c r="AL18" s="402"/>
      <c r="AN18" s="402"/>
      <c r="AR18" s="402"/>
    </row>
    <row r="19" spans="5:44" x14ac:dyDescent="0.25">
      <c r="E19" s="144" t="s">
        <v>6538</v>
      </c>
      <c r="F19" s="395"/>
      <c r="H19" s="144" t="s">
        <v>684</v>
      </c>
      <c r="I19" s="401"/>
      <c r="J19" s="401"/>
      <c r="K19" s="400"/>
      <c r="L19" s="401"/>
      <c r="M19" s="401"/>
      <c r="N19" s="402"/>
      <c r="O19" s="402"/>
      <c r="P19" s="402"/>
      <c r="AI19" s="394" t="s">
        <v>37</v>
      </c>
      <c r="AL19" s="402"/>
      <c r="AN19" s="402"/>
    </row>
    <row r="20" spans="5:44" x14ac:dyDescent="0.25">
      <c r="E20" s="144" t="s">
        <v>3562</v>
      </c>
      <c r="F20" s="395"/>
      <c r="H20" s="144" t="s">
        <v>687</v>
      </c>
      <c r="I20" s="401"/>
      <c r="J20" s="401"/>
      <c r="K20" s="400"/>
      <c r="L20" s="401"/>
      <c r="M20" s="401"/>
      <c r="N20" s="402"/>
      <c r="O20" s="402"/>
      <c r="P20" s="402"/>
      <c r="U20" s="417"/>
      <c r="AC20" s="411"/>
      <c r="AI20" s="394" t="s">
        <v>37</v>
      </c>
      <c r="AL20" s="402"/>
      <c r="AN20" s="402"/>
    </row>
    <row r="21" spans="5:44" x14ac:dyDescent="0.25">
      <c r="E21" s="144" t="s">
        <v>3565</v>
      </c>
      <c r="F21" s="395"/>
      <c r="H21" s="144" t="s">
        <v>690</v>
      </c>
      <c r="I21" s="401"/>
      <c r="J21" s="401"/>
      <c r="K21" s="400"/>
      <c r="L21" s="401"/>
      <c r="M21" s="401"/>
      <c r="N21" s="402"/>
      <c r="O21" s="402"/>
      <c r="P21" s="402"/>
      <c r="U21" s="425"/>
      <c r="AC21" s="402"/>
      <c r="AI21" s="394" t="s">
        <v>37</v>
      </c>
      <c r="AL21" s="402"/>
      <c r="AN21" s="402"/>
    </row>
    <row r="22" spans="5:44" x14ac:dyDescent="0.25">
      <c r="E22" s="144" t="s">
        <v>3489</v>
      </c>
      <c r="F22" s="395"/>
      <c r="H22" s="144" t="s">
        <v>693</v>
      </c>
      <c r="I22" s="401"/>
      <c r="J22" s="401"/>
      <c r="K22" s="400"/>
      <c r="L22" s="401"/>
      <c r="M22" s="401"/>
      <c r="N22" s="402"/>
      <c r="O22" s="402"/>
      <c r="P22" s="402"/>
      <c r="U22" s="427"/>
      <c r="AI22" s="394" t="s">
        <v>37</v>
      </c>
      <c r="AL22" s="402"/>
      <c r="AN22" s="402"/>
    </row>
    <row r="23" spans="5:44" x14ac:dyDescent="0.25">
      <c r="E23" s="144" t="s">
        <v>3492</v>
      </c>
      <c r="F23" s="395"/>
      <c r="H23" s="144" t="s">
        <v>696</v>
      </c>
      <c r="I23" s="401"/>
      <c r="J23" s="401"/>
      <c r="K23" s="400"/>
      <c r="L23" s="401"/>
      <c r="M23" s="401"/>
      <c r="N23" s="402"/>
      <c r="O23" s="402"/>
      <c r="P23" s="402"/>
      <c r="U23" s="428"/>
      <c r="AI23" s="394" t="s">
        <v>37</v>
      </c>
      <c r="AL23" s="402"/>
      <c r="AN23" s="402"/>
    </row>
    <row r="24" spans="5:44" x14ac:dyDescent="0.25">
      <c r="E24" s="144" t="s">
        <v>3495</v>
      </c>
      <c r="F24" s="395"/>
      <c r="H24" s="144" t="s">
        <v>699</v>
      </c>
      <c r="I24" s="401"/>
      <c r="J24" s="401"/>
      <c r="K24" s="400"/>
      <c r="L24" s="401"/>
      <c r="M24" s="401"/>
      <c r="N24" s="402"/>
      <c r="O24" s="402"/>
      <c r="P24" s="402"/>
      <c r="AI24" s="394" t="s">
        <v>37</v>
      </c>
      <c r="AL24" s="402"/>
      <c r="AN24" s="402"/>
    </row>
    <row r="25" spans="5:44" x14ac:dyDescent="0.25">
      <c r="E25" s="144" t="s">
        <v>3498</v>
      </c>
      <c r="F25" s="395"/>
      <c r="H25" s="144" t="s">
        <v>702</v>
      </c>
      <c r="I25" s="401"/>
      <c r="J25" s="401"/>
      <c r="K25" s="400"/>
      <c r="L25" s="401"/>
      <c r="M25" s="401"/>
      <c r="N25" s="402"/>
      <c r="O25" s="402"/>
      <c r="P25" s="402"/>
      <c r="AI25" s="394" t="s">
        <v>37</v>
      </c>
      <c r="AL25" s="402"/>
      <c r="AN25" s="402"/>
    </row>
    <row r="26" spans="5:44" x14ac:dyDescent="0.25">
      <c r="E26" s="144" t="s">
        <v>3404</v>
      </c>
      <c r="F26" s="395"/>
      <c r="H26" s="144" t="s">
        <v>705</v>
      </c>
      <c r="I26" s="401"/>
      <c r="J26" s="401"/>
      <c r="K26" s="400"/>
      <c r="L26" s="401"/>
      <c r="M26" s="401"/>
      <c r="N26" s="402"/>
      <c r="O26" s="402"/>
      <c r="P26" s="402"/>
      <c r="AI26" s="394" t="s">
        <v>37</v>
      </c>
      <c r="AL26" s="402"/>
    </row>
    <row r="27" spans="5:44" x14ac:dyDescent="0.25">
      <c r="E27" s="144" t="s">
        <v>3571</v>
      </c>
      <c r="F27" s="395"/>
      <c r="H27" s="144" t="s">
        <v>708</v>
      </c>
      <c r="I27" s="401"/>
      <c r="J27" s="401"/>
      <c r="K27" s="400"/>
      <c r="L27" s="401"/>
      <c r="M27" s="401"/>
      <c r="N27" s="402"/>
      <c r="O27" s="402"/>
      <c r="P27" s="402"/>
      <c r="AI27" s="394" t="s">
        <v>37</v>
      </c>
      <c r="AL27" s="402"/>
    </row>
    <row r="28" spans="5:44" x14ac:dyDescent="0.25">
      <c r="E28" s="144" t="s">
        <v>3574</v>
      </c>
      <c r="F28" s="395"/>
      <c r="H28" s="144" t="s">
        <v>711</v>
      </c>
      <c r="I28" s="401"/>
      <c r="J28" s="401"/>
      <c r="K28" s="400"/>
      <c r="L28" s="401"/>
      <c r="M28" s="401"/>
      <c r="N28" s="402"/>
      <c r="O28" s="402"/>
      <c r="P28" s="402"/>
      <c r="AI28" s="394" t="s">
        <v>37</v>
      </c>
      <c r="AL28" s="402"/>
    </row>
    <row r="29" spans="5:44" x14ac:dyDescent="0.25">
      <c r="E29" s="144" t="s">
        <v>3577</v>
      </c>
      <c r="F29" s="395"/>
      <c r="H29" s="144" t="s">
        <v>714</v>
      </c>
      <c r="I29" s="401"/>
      <c r="J29" s="401"/>
      <c r="K29" s="400"/>
      <c r="L29" s="401"/>
      <c r="M29" s="401"/>
      <c r="N29" s="402"/>
      <c r="O29" s="402"/>
      <c r="P29" s="402"/>
      <c r="AI29" s="394" t="s">
        <v>37</v>
      </c>
      <c r="AL29" s="402"/>
    </row>
    <row r="30" spans="5:44" x14ac:dyDescent="0.25">
      <c r="E30" s="144" t="s">
        <v>3580</v>
      </c>
      <c r="F30" s="395"/>
      <c r="H30" s="144" t="s">
        <v>717</v>
      </c>
      <c r="I30" s="401"/>
      <c r="J30" s="401"/>
      <c r="K30" s="400"/>
      <c r="L30" s="401"/>
      <c r="M30" s="401"/>
      <c r="N30" s="402"/>
      <c r="O30" s="402"/>
      <c r="P30" s="402"/>
      <c r="AI30" s="394" t="s">
        <v>37</v>
      </c>
      <c r="AL30" s="402"/>
    </row>
    <row r="31" spans="5:44" x14ac:dyDescent="0.25">
      <c r="E31" s="144" t="s">
        <v>3583</v>
      </c>
      <c r="F31" s="395"/>
      <c r="H31" s="144" t="s">
        <v>720</v>
      </c>
      <c r="I31" s="401"/>
      <c r="J31" s="401"/>
      <c r="K31" s="400"/>
      <c r="L31" s="401"/>
      <c r="M31" s="401"/>
      <c r="N31" s="402"/>
      <c r="O31" s="402"/>
      <c r="P31" s="402"/>
      <c r="AI31" s="394" t="s">
        <v>37</v>
      </c>
      <c r="AL31" s="402"/>
    </row>
    <row r="32" spans="5:44" x14ac:dyDescent="0.25">
      <c r="E32" s="144" t="s">
        <v>3586</v>
      </c>
      <c r="F32" s="395"/>
      <c r="H32" s="144" t="s">
        <v>723</v>
      </c>
      <c r="I32" s="401"/>
      <c r="J32" s="401"/>
      <c r="K32" s="400"/>
      <c r="L32" s="401"/>
      <c r="M32" s="401"/>
      <c r="N32" s="402"/>
      <c r="O32" s="402"/>
      <c r="P32" s="402"/>
      <c r="AI32" s="394" t="s">
        <v>37</v>
      </c>
      <c r="AL32" s="402"/>
    </row>
    <row r="33" spans="5:36" x14ac:dyDescent="0.25">
      <c r="E33" s="144" t="s">
        <v>3589</v>
      </c>
      <c r="F33" s="395"/>
      <c r="H33" s="144" t="s">
        <v>726</v>
      </c>
      <c r="I33" s="401"/>
      <c r="J33" s="401"/>
      <c r="K33" s="400"/>
      <c r="L33" s="401"/>
      <c r="M33" s="401"/>
      <c r="N33" s="402"/>
      <c r="O33" s="402"/>
      <c r="P33" s="402"/>
      <c r="AI33" s="394" t="s">
        <v>37</v>
      </c>
    </row>
    <row r="34" spans="5:36" x14ac:dyDescent="0.25">
      <c r="E34" s="144" t="s">
        <v>3592</v>
      </c>
      <c r="F34" s="395"/>
      <c r="H34" s="144" t="s">
        <v>729</v>
      </c>
      <c r="I34" s="401"/>
      <c r="J34" s="401"/>
      <c r="K34" s="400"/>
      <c r="L34" s="401"/>
      <c r="M34" s="401"/>
      <c r="N34" s="402"/>
      <c r="O34" s="402"/>
      <c r="P34" s="402"/>
      <c r="AI34" s="394" t="s">
        <v>37</v>
      </c>
    </row>
    <row r="35" spans="5:36" x14ac:dyDescent="0.25">
      <c r="E35" s="144" t="s">
        <v>3595</v>
      </c>
      <c r="F35" s="395"/>
      <c r="H35" s="144" t="s">
        <v>732</v>
      </c>
      <c r="I35" s="401"/>
      <c r="J35" s="401"/>
      <c r="K35" s="400"/>
      <c r="L35" s="401"/>
      <c r="M35" s="401"/>
      <c r="N35" s="402"/>
      <c r="O35" s="402"/>
      <c r="P35" s="402"/>
      <c r="AI35" s="394" t="s">
        <v>37</v>
      </c>
    </row>
    <row r="36" spans="5:36" x14ac:dyDescent="0.25">
      <c r="E36" s="144" t="s">
        <v>3598</v>
      </c>
      <c r="F36" s="395"/>
      <c r="H36" s="144" t="s">
        <v>735</v>
      </c>
      <c r="I36" s="401"/>
      <c r="J36" s="401"/>
      <c r="K36" s="400"/>
      <c r="L36" s="401"/>
      <c r="M36" s="401"/>
      <c r="N36" s="402"/>
      <c r="O36" s="402"/>
      <c r="P36" s="402"/>
      <c r="AI36" s="394" t="s">
        <v>37</v>
      </c>
      <c r="AJ36" s="397"/>
    </row>
    <row r="37" spans="5:36" x14ac:dyDescent="0.25">
      <c r="E37" s="144" t="s">
        <v>3601</v>
      </c>
      <c r="F37" s="395"/>
      <c r="H37" s="144" t="s">
        <v>738</v>
      </c>
      <c r="I37" s="401"/>
      <c r="J37" s="401"/>
      <c r="K37" s="400"/>
      <c r="L37" s="401"/>
      <c r="M37" s="401"/>
      <c r="N37" s="402"/>
      <c r="O37" s="402"/>
      <c r="P37" s="402"/>
      <c r="AI37" s="394" t="s">
        <v>37</v>
      </c>
    </row>
    <row r="38" spans="5:36" x14ac:dyDescent="0.25">
      <c r="E38" s="144" t="s">
        <v>3604</v>
      </c>
      <c r="F38" s="395"/>
      <c r="H38" s="144" t="s">
        <v>741</v>
      </c>
      <c r="I38" s="401"/>
      <c r="J38" s="401"/>
      <c r="K38" s="400"/>
      <c r="L38" s="401"/>
      <c r="M38" s="401"/>
      <c r="N38" s="402"/>
      <c r="O38" s="402"/>
      <c r="P38" s="402"/>
      <c r="AI38" s="394" t="s">
        <v>37</v>
      </c>
    </row>
    <row r="39" spans="5:36" x14ac:dyDescent="0.25">
      <c r="E39" s="144" t="s">
        <v>3607</v>
      </c>
      <c r="F39" s="395"/>
      <c r="H39" s="144" t="s">
        <v>744</v>
      </c>
      <c r="I39" s="401"/>
      <c r="J39" s="401"/>
      <c r="K39" s="400"/>
      <c r="L39" s="401"/>
      <c r="M39" s="401"/>
      <c r="N39" s="402"/>
      <c r="O39" s="402"/>
      <c r="P39" s="402"/>
      <c r="AI39" s="394" t="s">
        <v>37</v>
      </c>
    </row>
    <row r="40" spans="5:36" x14ac:dyDescent="0.25">
      <c r="E40" s="144" t="s">
        <v>3610</v>
      </c>
      <c r="F40" s="395"/>
      <c r="H40" s="144" t="s">
        <v>747</v>
      </c>
      <c r="I40" s="401"/>
      <c r="J40" s="401"/>
      <c r="K40" s="400"/>
      <c r="L40" s="401"/>
      <c r="M40" s="401"/>
      <c r="N40" s="402"/>
      <c r="O40" s="402"/>
      <c r="P40" s="402"/>
      <c r="AI40" s="394" t="s">
        <v>37</v>
      </c>
    </row>
    <row r="41" spans="5:36" x14ac:dyDescent="0.25">
      <c r="E41" s="144" t="s">
        <v>3613</v>
      </c>
      <c r="F41" s="395"/>
      <c r="H41" s="144" t="s">
        <v>750</v>
      </c>
      <c r="I41" s="401"/>
      <c r="J41" s="401"/>
      <c r="K41" s="400"/>
      <c r="L41" s="401"/>
      <c r="M41" s="401"/>
      <c r="N41" s="402"/>
      <c r="O41" s="402"/>
      <c r="P41" s="402"/>
      <c r="AI41" s="394" t="s">
        <v>37</v>
      </c>
    </row>
    <row r="42" spans="5:36" x14ac:dyDescent="0.25">
      <c r="E42" s="144" t="s">
        <v>3616</v>
      </c>
      <c r="F42" s="395"/>
      <c r="H42" s="144" t="s">
        <v>753</v>
      </c>
      <c r="I42" s="401"/>
      <c r="J42" s="401"/>
      <c r="K42" s="400"/>
      <c r="L42" s="401"/>
      <c r="M42" s="401"/>
      <c r="N42" s="402"/>
      <c r="O42" s="402"/>
      <c r="P42" s="402"/>
      <c r="AI42" s="394" t="s">
        <v>37</v>
      </c>
    </row>
    <row r="43" spans="5:36" x14ac:dyDescent="0.25">
      <c r="E43" s="144" t="s">
        <v>3619</v>
      </c>
      <c r="F43" s="395"/>
      <c r="H43" s="144" t="s">
        <v>756</v>
      </c>
      <c r="I43" s="401"/>
      <c r="J43" s="401"/>
      <c r="K43" s="400"/>
      <c r="L43" s="401"/>
      <c r="M43" s="401"/>
      <c r="N43" s="402"/>
      <c r="O43" s="402"/>
      <c r="P43" s="402"/>
      <c r="AI43" s="394" t="s">
        <v>37</v>
      </c>
    </row>
    <row r="44" spans="5:36" x14ac:dyDescent="0.25">
      <c r="E44" s="144" t="s">
        <v>3622</v>
      </c>
      <c r="F44" s="395"/>
      <c r="H44" s="144" t="s">
        <v>759</v>
      </c>
      <c r="I44" s="401"/>
      <c r="J44" s="401"/>
      <c r="K44" s="400"/>
      <c r="L44" s="401"/>
      <c r="M44" s="401"/>
      <c r="N44" s="402"/>
      <c r="O44" s="402"/>
      <c r="P44" s="402"/>
      <c r="AI44" s="394" t="s">
        <v>37</v>
      </c>
    </row>
    <row r="45" spans="5:36" x14ac:dyDescent="0.25">
      <c r="E45" s="144" t="s">
        <v>3625</v>
      </c>
      <c r="F45" s="395"/>
      <c r="H45" s="144" t="s">
        <v>762</v>
      </c>
      <c r="I45" s="401"/>
      <c r="J45" s="401"/>
      <c r="K45" s="400"/>
      <c r="L45" s="401"/>
      <c r="M45" s="401"/>
      <c r="N45" s="402"/>
      <c r="O45" s="402"/>
      <c r="P45" s="402"/>
      <c r="AI45" s="394" t="s">
        <v>37</v>
      </c>
    </row>
    <row r="46" spans="5:36" x14ac:dyDescent="0.25">
      <c r="E46" s="144" t="s">
        <v>3284</v>
      </c>
      <c r="F46" s="395"/>
      <c r="H46" s="144" t="s">
        <v>765</v>
      </c>
      <c r="I46" s="401"/>
      <c r="J46" s="401"/>
      <c r="K46" s="400"/>
      <c r="L46" s="401"/>
      <c r="M46" s="401"/>
      <c r="N46" s="402"/>
      <c r="O46" s="402"/>
      <c r="P46" s="402"/>
      <c r="AI46" s="394" t="s">
        <v>37</v>
      </c>
    </row>
    <row r="47" spans="5:36" x14ac:dyDescent="0.25">
      <c r="E47" s="144" t="s">
        <v>3287</v>
      </c>
      <c r="F47" s="395"/>
      <c r="H47" s="144" t="s">
        <v>768</v>
      </c>
      <c r="I47" s="401"/>
      <c r="J47" s="401"/>
      <c r="K47" s="400"/>
      <c r="L47" s="401"/>
      <c r="M47" s="401"/>
      <c r="N47" s="402"/>
      <c r="O47" s="402"/>
      <c r="P47" s="402"/>
      <c r="AI47" s="394" t="s">
        <v>37</v>
      </c>
    </row>
    <row r="48" spans="5:36" x14ac:dyDescent="0.25">
      <c r="E48" s="144" t="s">
        <v>3290</v>
      </c>
      <c r="F48" s="395"/>
      <c r="H48" s="144" t="s">
        <v>855</v>
      </c>
      <c r="I48" s="401"/>
      <c r="J48" s="401"/>
      <c r="K48" s="400"/>
      <c r="L48" s="401"/>
      <c r="M48" s="401"/>
      <c r="N48" s="402"/>
      <c r="O48" s="402"/>
      <c r="P48" s="402"/>
      <c r="AI48" s="394" t="s">
        <v>37</v>
      </c>
    </row>
    <row r="49" spans="5:35" x14ac:dyDescent="0.25">
      <c r="E49" s="144" t="s">
        <v>4777</v>
      </c>
      <c r="F49" s="395"/>
      <c r="H49" s="144" t="s">
        <v>858</v>
      </c>
      <c r="I49" s="401"/>
      <c r="J49" s="401"/>
      <c r="K49" s="400"/>
      <c r="L49" s="401"/>
      <c r="M49" s="401"/>
      <c r="N49" s="402"/>
      <c r="O49" s="402"/>
      <c r="P49" s="402"/>
      <c r="AI49" s="394" t="s">
        <v>37</v>
      </c>
    </row>
    <row r="50" spans="5:35" x14ac:dyDescent="0.25">
      <c r="E50" s="144" t="s">
        <v>3293</v>
      </c>
      <c r="F50" s="395"/>
      <c r="H50" s="144" t="s">
        <v>861</v>
      </c>
      <c r="I50" s="401"/>
      <c r="J50" s="401"/>
      <c r="K50" s="400"/>
      <c r="L50" s="401"/>
      <c r="M50" s="401"/>
      <c r="N50" s="402"/>
      <c r="O50" s="402"/>
      <c r="P50" s="402"/>
      <c r="AI50" s="394" t="s">
        <v>37</v>
      </c>
    </row>
    <row r="51" spans="5:35" x14ac:dyDescent="0.25">
      <c r="E51" s="144" t="s">
        <v>3296</v>
      </c>
      <c r="F51" s="395"/>
      <c r="H51" s="144" t="s">
        <v>864</v>
      </c>
      <c r="I51" s="401"/>
      <c r="J51" s="401"/>
      <c r="K51" s="400"/>
      <c r="L51" s="401"/>
      <c r="M51" s="401"/>
      <c r="N51" s="402"/>
      <c r="O51" s="402"/>
      <c r="P51" s="402"/>
      <c r="AI51" s="394" t="s">
        <v>37</v>
      </c>
    </row>
    <row r="52" spans="5:35" x14ac:dyDescent="0.25">
      <c r="E52" s="144" t="s">
        <v>3299</v>
      </c>
      <c r="F52" s="395"/>
      <c r="H52" s="144" t="s">
        <v>867</v>
      </c>
      <c r="I52" s="401"/>
      <c r="J52" s="401"/>
      <c r="K52" s="400"/>
      <c r="L52" s="401"/>
      <c r="M52" s="401"/>
      <c r="N52" s="402"/>
      <c r="O52" s="402"/>
      <c r="P52" s="402"/>
      <c r="AI52" s="394" t="s">
        <v>37</v>
      </c>
    </row>
    <row r="53" spans="5:35" x14ac:dyDescent="0.25">
      <c r="E53" s="144" t="s">
        <v>3302</v>
      </c>
      <c r="F53" s="395"/>
      <c r="H53" s="144" t="s">
        <v>870</v>
      </c>
      <c r="I53" s="401"/>
      <c r="J53" s="401"/>
      <c r="K53" s="400"/>
      <c r="L53" s="401"/>
      <c r="M53" s="401"/>
      <c r="N53" s="402"/>
      <c r="O53" s="402"/>
      <c r="P53" s="402"/>
      <c r="AI53" s="394" t="s">
        <v>37</v>
      </c>
    </row>
    <row r="54" spans="5:35" x14ac:dyDescent="0.25">
      <c r="E54" s="144" t="s">
        <v>4319</v>
      </c>
      <c r="F54" s="395"/>
      <c r="H54" s="144" t="s">
        <v>873</v>
      </c>
      <c r="I54" s="401"/>
      <c r="J54" s="401"/>
      <c r="K54" s="400"/>
      <c r="L54" s="401"/>
      <c r="M54" s="401"/>
      <c r="N54" s="402"/>
      <c r="O54" s="402"/>
      <c r="P54" s="402"/>
      <c r="AI54" s="394" t="s">
        <v>37</v>
      </c>
    </row>
    <row r="55" spans="5:35" x14ac:dyDescent="0.25">
      <c r="E55" s="144" t="s">
        <v>4328</v>
      </c>
      <c r="F55" s="395"/>
      <c r="H55" s="144" t="s">
        <v>876</v>
      </c>
      <c r="I55" s="401"/>
      <c r="J55" s="401"/>
      <c r="K55" s="400"/>
      <c r="L55" s="401"/>
      <c r="M55" s="401"/>
      <c r="N55" s="402"/>
      <c r="O55" s="402"/>
      <c r="P55" s="402"/>
      <c r="AI55" s="394" t="s">
        <v>37</v>
      </c>
    </row>
    <row r="56" spans="5:35" x14ac:dyDescent="0.25">
      <c r="E56" s="144" t="s">
        <v>3305</v>
      </c>
      <c r="F56" s="395"/>
      <c r="H56" s="144" t="s">
        <v>879</v>
      </c>
      <c r="I56" s="401"/>
      <c r="J56" s="401"/>
      <c r="K56" s="400"/>
      <c r="L56" s="401"/>
      <c r="M56" s="401"/>
      <c r="N56" s="402"/>
      <c r="O56" s="402"/>
      <c r="P56" s="402"/>
      <c r="AI56" s="394" t="s">
        <v>37</v>
      </c>
    </row>
    <row r="57" spans="5:35" x14ac:dyDescent="0.25">
      <c r="E57" s="144" t="s">
        <v>3308</v>
      </c>
      <c r="F57" s="395"/>
      <c r="H57" s="144" t="s">
        <v>882</v>
      </c>
      <c r="I57" s="401"/>
      <c r="J57" s="401"/>
      <c r="K57" s="400"/>
      <c r="L57" s="401"/>
      <c r="M57" s="401"/>
      <c r="N57" s="402"/>
      <c r="O57" s="402"/>
      <c r="P57" s="402"/>
      <c r="AI57" s="394" t="s">
        <v>37</v>
      </c>
    </row>
    <row r="58" spans="5:35" x14ac:dyDescent="0.25">
      <c r="E58" s="144" t="s">
        <v>3311</v>
      </c>
      <c r="F58" s="395"/>
      <c r="H58" s="144" t="s">
        <v>885</v>
      </c>
      <c r="I58" s="401"/>
      <c r="J58" s="401"/>
      <c r="K58" s="400"/>
      <c r="L58" s="401"/>
      <c r="M58" s="401"/>
      <c r="N58" s="402"/>
      <c r="O58" s="402"/>
      <c r="P58" s="402"/>
      <c r="AI58" s="394" t="s">
        <v>37</v>
      </c>
    </row>
    <row r="59" spans="5:35" x14ac:dyDescent="0.25">
      <c r="E59" s="144" t="s">
        <v>3314</v>
      </c>
      <c r="F59" s="395"/>
      <c r="H59" s="144" t="s">
        <v>888</v>
      </c>
      <c r="I59" s="401"/>
      <c r="J59" s="401"/>
      <c r="K59" s="400"/>
      <c r="L59" s="401"/>
      <c r="M59" s="401"/>
      <c r="N59" s="402"/>
      <c r="O59" s="402"/>
      <c r="P59" s="402"/>
      <c r="AI59" s="394" t="s">
        <v>37</v>
      </c>
    </row>
    <row r="60" spans="5:35" x14ac:dyDescent="0.25">
      <c r="E60" s="144" t="s">
        <v>3317</v>
      </c>
      <c r="F60" s="395"/>
      <c r="H60" s="144" t="s">
        <v>891</v>
      </c>
      <c r="I60" s="401"/>
      <c r="J60" s="401"/>
      <c r="K60" s="400"/>
      <c r="L60" s="401"/>
      <c r="M60" s="401"/>
      <c r="N60" s="402"/>
      <c r="O60" s="402"/>
      <c r="P60" s="402"/>
      <c r="AI60" s="394" t="s">
        <v>37</v>
      </c>
    </row>
    <row r="61" spans="5:35" x14ac:dyDescent="0.25">
      <c r="E61" s="144" t="s">
        <v>3320</v>
      </c>
      <c r="F61" s="395"/>
      <c r="H61" s="144" t="s">
        <v>894</v>
      </c>
      <c r="I61" s="401"/>
      <c r="J61" s="401"/>
      <c r="K61" s="400"/>
      <c r="L61" s="401"/>
      <c r="M61" s="401"/>
      <c r="N61" s="402"/>
      <c r="O61" s="402"/>
      <c r="P61" s="402"/>
      <c r="AI61" s="394" t="s">
        <v>37</v>
      </c>
    </row>
    <row r="62" spans="5:35" x14ac:dyDescent="0.25">
      <c r="E62" s="144" t="s">
        <v>3323</v>
      </c>
      <c r="F62" s="395"/>
      <c r="H62" s="144" t="s">
        <v>897</v>
      </c>
      <c r="I62" s="401"/>
      <c r="J62" s="401"/>
      <c r="K62" s="400"/>
      <c r="L62" s="401"/>
      <c r="M62" s="401"/>
      <c r="N62" s="402"/>
      <c r="O62" s="402"/>
      <c r="P62" s="402"/>
      <c r="AI62" s="394" t="s">
        <v>37</v>
      </c>
    </row>
    <row r="63" spans="5:35" x14ac:dyDescent="0.25">
      <c r="E63" s="144" t="s">
        <v>3326</v>
      </c>
      <c r="F63" s="395"/>
      <c r="H63" s="144" t="s">
        <v>900</v>
      </c>
      <c r="I63" s="401"/>
      <c r="J63" s="401"/>
      <c r="K63" s="400"/>
      <c r="L63" s="401"/>
      <c r="M63" s="401"/>
      <c r="N63" s="402"/>
      <c r="O63" s="402"/>
      <c r="P63" s="402"/>
      <c r="AI63" s="394" t="s">
        <v>37</v>
      </c>
    </row>
    <row r="64" spans="5:35" x14ac:dyDescent="0.25">
      <c r="E64" s="144" t="s">
        <v>3329</v>
      </c>
      <c r="F64" s="395"/>
      <c r="H64" s="144" t="s">
        <v>903</v>
      </c>
      <c r="I64" s="401"/>
      <c r="J64" s="401"/>
      <c r="K64" s="400"/>
      <c r="L64" s="401"/>
      <c r="M64" s="401"/>
      <c r="N64" s="402"/>
      <c r="O64" s="402"/>
      <c r="P64" s="402"/>
      <c r="AI64" s="394" t="s">
        <v>37</v>
      </c>
    </row>
    <row r="65" spans="5:35" x14ac:dyDescent="0.25">
      <c r="E65" s="144" t="s">
        <v>3332</v>
      </c>
      <c r="F65" s="395"/>
      <c r="H65" s="144" t="s">
        <v>906</v>
      </c>
      <c r="I65" s="401"/>
      <c r="J65" s="401"/>
      <c r="K65" s="400"/>
      <c r="L65" s="401"/>
      <c r="M65" s="401"/>
      <c r="N65" s="402"/>
      <c r="O65" s="402"/>
      <c r="P65" s="402"/>
      <c r="AI65" s="394" t="s">
        <v>37</v>
      </c>
    </row>
    <row r="66" spans="5:35" x14ac:dyDescent="0.25">
      <c r="E66" s="144" t="s">
        <v>3335</v>
      </c>
      <c r="F66" s="395"/>
      <c r="H66" s="144" t="s">
        <v>909</v>
      </c>
      <c r="I66" s="401"/>
      <c r="J66" s="401"/>
      <c r="K66" s="400"/>
      <c r="L66" s="401"/>
      <c r="M66" s="401"/>
      <c r="N66" s="402"/>
      <c r="O66" s="402"/>
      <c r="P66" s="402"/>
      <c r="AI66" s="394" t="s">
        <v>37</v>
      </c>
    </row>
    <row r="67" spans="5:35" x14ac:dyDescent="0.25">
      <c r="E67" s="144" t="s">
        <v>3338</v>
      </c>
      <c r="F67" s="395"/>
      <c r="H67" s="144" t="s">
        <v>487</v>
      </c>
      <c r="I67" s="401"/>
      <c r="J67" s="401"/>
      <c r="K67" s="400"/>
      <c r="L67" s="401"/>
      <c r="M67" s="401"/>
      <c r="N67" s="402"/>
      <c r="O67" s="402"/>
      <c r="P67" s="402"/>
      <c r="AI67" s="394" t="s">
        <v>37</v>
      </c>
    </row>
    <row r="68" spans="5:35" x14ac:dyDescent="0.25">
      <c r="E68" s="144" t="s">
        <v>3347</v>
      </c>
      <c r="F68" s="395"/>
      <c r="H68" s="144" t="s">
        <v>490</v>
      </c>
      <c r="I68" s="401"/>
      <c r="J68" s="401"/>
      <c r="K68" s="400"/>
      <c r="L68" s="401"/>
      <c r="M68" s="401"/>
      <c r="N68" s="402"/>
      <c r="O68" s="402"/>
      <c r="P68" s="402"/>
      <c r="AI68" s="394" t="s">
        <v>37</v>
      </c>
    </row>
    <row r="69" spans="5:35" x14ac:dyDescent="0.25">
      <c r="E69" s="144" t="s">
        <v>3350</v>
      </c>
      <c r="F69" s="395"/>
      <c r="H69" s="144" t="s">
        <v>912</v>
      </c>
      <c r="I69" s="401"/>
      <c r="J69" s="401"/>
      <c r="K69" s="400"/>
      <c r="L69" s="401"/>
      <c r="M69" s="401"/>
      <c r="N69" s="402"/>
      <c r="O69" s="402"/>
      <c r="P69" s="402"/>
      <c r="AI69" s="394" t="s">
        <v>37</v>
      </c>
    </row>
    <row r="70" spans="5:35" x14ac:dyDescent="0.25">
      <c r="E70" s="144" t="s">
        <v>3353</v>
      </c>
      <c r="F70" s="395"/>
      <c r="H70" s="144" t="s">
        <v>915</v>
      </c>
      <c r="I70" s="401"/>
      <c r="J70" s="401"/>
      <c r="K70" s="400"/>
      <c r="L70" s="401"/>
      <c r="M70" s="401"/>
      <c r="N70" s="402"/>
      <c r="O70" s="402"/>
      <c r="P70" s="402"/>
      <c r="AI70" s="394" t="s">
        <v>37</v>
      </c>
    </row>
    <row r="71" spans="5:35" x14ac:dyDescent="0.25">
      <c r="E71" s="144" t="s">
        <v>3356</v>
      </c>
      <c r="F71" s="395"/>
      <c r="H71" s="144" t="s">
        <v>918</v>
      </c>
      <c r="I71" s="401"/>
      <c r="J71" s="401"/>
      <c r="K71" s="400"/>
      <c r="L71" s="401"/>
      <c r="M71" s="401"/>
      <c r="N71" s="402"/>
      <c r="O71" s="402"/>
      <c r="P71" s="402"/>
      <c r="AI71" s="394" t="s">
        <v>37</v>
      </c>
    </row>
    <row r="72" spans="5:35" x14ac:dyDescent="0.25">
      <c r="E72" s="144" t="s">
        <v>3229</v>
      </c>
      <c r="F72" s="395"/>
      <c r="H72" s="144" t="s">
        <v>921</v>
      </c>
      <c r="I72" s="401"/>
      <c r="J72" s="401"/>
      <c r="K72" s="400"/>
      <c r="L72" s="401"/>
      <c r="M72" s="401"/>
      <c r="N72" s="402"/>
      <c r="O72" s="402"/>
      <c r="P72" s="402"/>
      <c r="AI72" s="394" t="s">
        <v>37</v>
      </c>
    </row>
    <row r="73" spans="5:35" x14ac:dyDescent="0.25">
      <c r="E73" s="144" t="s">
        <v>3359</v>
      </c>
      <c r="F73" s="395"/>
      <c r="H73" s="144" t="s">
        <v>924</v>
      </c>
      <c r="I73" s="401"/>
      <c r="J73" s="401"/>
      <c r="K73" s="400"/>
      <c r="L73" s="401"/>
      <c r="M73" s="401"/>
      <c r="N73" s="402"/>
      <c r="O73" s="402"/>
      <c r="P73" s="402"/>
      <c r="AI73" s="394" t="s">
        <v>37</v>
      </c>
    </row>
    <row r="74" spans="5:35" x14ac:dyDescent="0.25">
      <c r="E74" s="144" t="s">
        <v>3377</v>
      </c>
      <c r="F74" s="395"/>
      <c r="H74" s="144" t="s">
        <v>927</v>
      </c>
      <c r="I74" s="401"/>
      <c r="J74" s="401"/>
      <c r="K74" s="400"/>
      <c r="L74" s="401"/>
      <c r="M74" s="401"/>
      <c r="N74" s="402"/>
      <c r="O74" s="402"/>
      <c r="P74" s="402"/>
      <c r="AI74" s="394" t="s">
        <v>37</v>
      </c>
    </row>
    <row r="75" spans="5:35" x14ac:dyDescent="0.25">
      <c r="E75" s="144" t="s">
        <v>3362</v>
      </c>
      <c r="F75" s="395"/>
      <c r="H75" s="144" t="s">
        <v>930</v>
      </c>
      <c r="I75" s="401"/>
      <c r="J75" s="401"/>
      <c r="K75" s="400"/>
      <c r="L75" s="401"/>
      <c r="M75" s="401"/>
      <c r="N75" s="402"/>
      <c r="O75" s="402"/>
      <c r="P75" s="402"/>
      <c r="AI75" s="394" t="s">
        <v>37</v>
      </c>
    </row>
    <row r="76" spans="5:35" x14ac:dyDescent="0.25">
      <c r="E76" s="144" t="s">
        <v>3365</v>
      </c>
      <c r="F76" s="395"/>
      <c r="H76" s="144" t="s">
        <v>493</v>
      </c>
      <c r="I76" s="401"/>
      <c r="J76" s="401"/>
      <c r="K76" s="400"/>
      <c r="L76" s="401"/>
      <c r="M76" s="401"/>
      <c r="N76" s="402"/>
      <c r="O76" s="402"/>
      <c r="P76" s="402"/>
      <c r="AI76" s="394" t="s">
        <v>37</v>
      </c>
    </row>
    <row r="77" spans="5:35" x14ac:dyDescent="0.25">
      <c r="E77" s="144" t="s">
        <v>3368</v>
      </c>
      <c r="F77" s="395"/>
      <c r="H77" s="144" t="s">
        <v>496</v>
      </c>
      <c r="I77" s="401"/>
      <c r="J77" s="401"/>
      <c r="K77" s="400"/>
      <c r="L77" s="401"/>
      <c r="M77" s="401"/>
      <c r="N77" s="402"/>
      <c r="O77" s="402"/>
      <c r="P77" s="402"/>
      <c r="AI77" s="394" t="s">
        <v>37</v>
      </c>
    </row>
    <row r="78" spans="5:35" x14ac:dyDescent="0.25">
      <c r="E78" s="144" t="s">
        <v>3371</v>
      </c>
      <c r="F78" s="395"/>
      <c r="H78" s="144" t="s">
        <v>499</v>
      </c>
      <c r="I78" s="401"/>
      <c r="J78" s="401"/>
      <c r="K78" s="400"/>
      <c r="L78" s="401"/>
      <c r="M78" s="401"/>
      <c r="N78" s="402"/>
      <c r="O78" s="402"/>
      <c r="P78" s="402"/>
      <c r="AI78" s="394" t="s">
        <v>37</v>
      </c>
    </row>
    <row r="79" spans="5:35" x14ac:dyDescent="0.25">
      <c r="E79" s="144" t="s">
        <v>3374</v>
      </c>
      <c r="F79" s="395"/>
      <c r="H79" s="144" t="s">
        <v>502</v>
      </c>
      <c r="I79" s="401"/>
      <c r="J79" s="401"/>
      <c r="K79" s="400"/>
      <c r="L79" s="401"/>
      <c r="M79" s="401"/>
      <c r="N79" s="402"/>
      <c r="O79" s="402"/>
      <c r="P79" s="402"/>
      <c r="AI79" s="394" t="s">
        <v>37</v>
      </c>
    </row>
    <row r="80" spans="5:35" x14ac:dyDescent="0.25">
      <c r="E80" s="144" t="s">
        <v>3380</v>
      </c>
      <c r="F80" s="395"/>
      <c r="H80" s="144" t="s">
        <v>505</v>
      </c>
      <c r="I80" s="401"/>
      <c r="J80" s="401"/>
      <c r="K80" s="400"/>
      <c r="L80" s="401"/>
      <c r="M80" s="401"/>
      <c r="N80" s="402"/>
      <c r="O80" s="402"/>
      <c r="P80" s="402"/>
      <c r="AI80" s="394" t="s">
        <v>37</v>
      </c>
    </row>
    <row r="81" spans="5:35" x14ac:dyDescent="0.25">
      <c r="E81" s="144" t="s">
        <v>3077</v>
      </c>
      <c r="F81" s="395"/>
      <c r="H81" s="144" t="s">
        <v>508</v>
      </c>
      <c r="I81" s="401"/>
      <c r="J81" s="401"/>
      <c r="K81" s="400"/>
      <c r="L81" s="401"/>
      <c r="M81" s="401"/>
      <c r="N81" s="402"/>
      <c r="O81" s="402"/>
      <c r="P81" s="402"/>
      <c r="AI81" s="394" t="s">
        <v>37</v>
      </c>
    </row>
    <row r="82" spans="5:35" x14ac:dyDescent="0.25">
      <c r="E82" s="144" t="s">
        <v>6540</v>
      </c>
      <c r="F82" s="395"/>
      <c r="H82" s="144" t="s">
        <v>511</v>
      </c>
      <c r="I82" s="401"/>
      <c r="J82" s="401"/>
      <c r="K82" s="400"/>
      <c r="L82" s="401"/>
      <c r="M82" s="401"/>
      <c r="N82" s="402"/>
      <c r="O82" s="402"/>
      <c r="P82" s="402"/>
      <c r="AI82" s="394" t="s">
        <v>37</v>
      </c>
    </row>
    <row r="83" spans="5:35" x14ac:dyDescent="0.25">
      <c r="E83" s="144" t="s">
        <v>3080</v>
      </c>
      <c r="F83" s="395"/>
      <c r="H83" s="144" t="s">
        <v>514</v>
      </c>
      <c r="I83" s="401"/>
      <c r="J83" s="401"/>
      <c r="K83" s="400"/>
      <c r="L83" s="401"/>
      <c r="M83" s="401"/>
      <c r="N83" s="402"/>
      <c r="O83" s="402"/>
      <c r="P83" s="402"/>
      <c r="AI83" s="394" t="s">
        <v>37</v>
      </c>
    </row>
    <row r="84" spans="5:35" x14ac:dyDescent="0.25">
      <c r="E84" s="144" t="s">
        <v>3083</v>
      </c>
      <c r="F84" s="395"/>
      <c r="H84" s="144" t="s">
        <v>517</v>
      </c>
      <c r="I84" s="401"/>
      <c r="J84" s="401"/>
      <c r="K84" s="400"/>
      <c r="L84" s="401"/>
      <c r="M84" s="401"/>
      <c r="N84" s="402"/>
      <c r="O84" s="402"/>
      <c r="P84" s="402"/>
      <c r="AI84" s="394" t="s">
        <v>37</v>
      </c>
    </row>
    <row r="85" spans="5:35" x14ac:dyDescent="0.25">
      <c r="E85" s="144" t="s">
        <v>3086</v>
      </c>
      <c r="F85" s="395"/>
      <c r="H85" s="144" t="s">
        <v>520</v>
      </c>
      <c r="I85" s="401"/>
      <c r="J85" s="401"/>
      <c r="K85" s="400"/>
      <c r="L85" s="401"/>
      <c r="M85" s="401"/>
      <c r="N85" s="402"/>
      <c r="O85" s="402"/>
      <c r="P85" s="402"/>
      <c r="AI85" s="394" t="s">
        <v>37</v>
      </c>
    </row>
    <row r="86" spans="5:35" x14ac:dyDescent="0.25">
      <c r="E86" s="144" t="s">
        <v>3095</v>
      </c>
      <c r="F86" s="395"/>
      <c r="H86" s="144" t="s">
        <v>523</v>
      </c>
      <c r="I86" s="401"/>
      <c r="J86" s="401"/>
      <c r="K86" s="400"/>
      <c r="L86" s="401"/>
      <c r="M86" s="401"/>
      <c r="N86" s="402"/>
      <c r="O86" s="402"/>
      <c r="P86" s="402"/>
      <c r="AI86" s="394" t="s">
        <v>37</v>
      </c>
    </row>
    <row r="87" spans="5:35" x14ac:dyDescent="0.25">
      <c r="E87" s="144" t="s">
        <v>3098</v>
      </c>
      <c r="F87" s="395"/>
      <c r="H87" s="144" t="s">
        <v>526</v>
      </c>
      <c r="I87" s="401"/>
      <c r="J87" s="401"/>
      <c r="K87" s="400"/>
      <c r="L87" s="401"/>
      <c r="M87" s="401"/>
      <c r="N87" s="402"/>
      <c r="O87" s="402"/>
      <c r="P87" s="402"/>
      <c r="AI87" s="394" t="s">
        <v>37</v>
      </c>
    </row>
    <row r="88" spans="5:35" x14ac:dyDescent="0.25">
      <c r="E88" s="144" t="s">
        <v>3092</v>
      </c>
      <c r="F88" s="395"/>
      <c r="H88" s="144" t="s">
        <v>529</v>
      </c>
      <c r="I88" s="401"/>
      <c r="J88" s="401"/>
      <c r="K88" s="400"/>
      <c r="L88" s="401"/>
      <c r="M88" s="401"/>
      <c r="N88" s="402"/>
      <c r="O88" s="402"/>
      <c r="P88" s="402"/>
      <c r="AI88" s="394" t="s">
        <v>37</v>
      </c>
    </row>
    <row r="89" spans="5:35" x14ac:dyDescent="0.25">
      <c r="E89" s="144" t="s">
        <v>6504</v>
      </c>
      <c r="F89" s="395"/>
      <c r="H89" s="144" t="s">
        <v>532</v>
      </c>
      <c r="I89" s="401"/>
      <c r="J89" s="401"/>
      <c r="K89" s="400"/>
      <c r="L89" s="401"/>
      <c r="M89" s="401"/>
      <c r="N89" s="402"/>
      <c r="O89" s="402"/>
      <c r="P89" s="402"/>
      <c r="AI89" s="394" t="s">
        <v>37</v>
      </c>
    </row>
    <row r="90" spans="5:35" x14ac:dyDescent="0.25">
      <c r="E90" s="144" t="s">
        <v>3089</v>
      </c>
      <c r="F90" s="395"/>
      <c r="H90" s="144" t="s">
        <v>535</v>
      </c>
      <c r="I90" s="401"/>
      <c r="J90" s="401"/>
      <c r="K90" s="400"/>
      <c r="L90" s="401"/>
      <c r="M90" s="401"/>
      <c r="N90" s="402"/>
      <c r="O90" s="402"/>
      <c r="P90" s="402"/>
      <c r="AI90" s="394" t="s">
        <v>37</v>
      </c>
    </row>
    <row r="91" spans="5:35" x14ac:dyDescent="0.25">
      <c r="E91" s="144" t="s">
        <v>3101</v>
      </c>
      <c r="F91" s="395"/>
      <c r="H91" s="144" t="s">
        <v>538</v>
      </c>
      <c r="I91" s="401"/>
      <c r="J91" s="401"/>
      <c r="K91" s="400"/>
      <c r="L91" s="401"/>
      <c r="M91" s="401"/>
      <c r="N91" s="402"/>
      <c r="O91" s="402"/>
      <c r="P91" s="402"/>
      <c r="AI91" s="394" t="s">
        <v>37</v>
      </c>
    </row>
    <row r="92" spans="5:35" x14ac:dyDescent="0.25">
      <c r="E92" s="144" t="s">
        <v>4230</v>
      </c>
      <c r="F92" s="395"/>
      <c r="H92" s="144" t="s">
        <v>541</v>
      </c>
      <c r="I92" s="401"/>
      <c r="J92" s="401"/>
      <c r="K92" s="400"/>
      <c r="L92" s="401"/>
      <c r="M92" s="401"/>
      <c r="N92" s="402"/>
      <c r="O92" s="402"/>
      <c r="P92" s="402"/>
      <c r="AI92" s="394" t="s">
        <v>37</v>
      </c>
    </row>
    <row r="93" spans="5:35" x14ac:dyDescent="0.25">
      <c r="E93" s="144" t="s">
        <v>3104</v>
      </c>
      <c r="F93" s="395"/>
      <c r="H93" s="144" t="s">
        <v>544</v>
      </c>
      <c r="I93" s="401"/>
      <c r="J93" s="401"/>
      <c r="K93" s="400"/>
      <c r="L93" s="401"/>
      <c r="M93" s="401"/>
      <c r="N93" s="402"/>
      <c r="O93" s="402"/>
      <c r="P93" s="402"/>
      <c r="AI93" s="394" t="s">
        <v>37</v>
      </c>
    </row>
    <row r="94" spans="5:35" x14ac:dyDescent="0.25">
      <c r="E94" s="144" t="s">
        <v>3107</v>
      </c>
      <c r="F94" s="395"/>
      <c r="H94" s="144" t="s">
        <v>547</v>
      </c>
      <c r="I94" s="401"/>
      <c r="J94" s="401"/>
      <c r="K94" s="400"/>
      <c r="L94" s="401"/>
      <c r="M94" s="401"/>
      <c r="N94" s="402"/>
      <c r="O94" s="402"/>
      <c r="P94" s="402"/>
      <c r="AI94" s="394" t="s">
        <v>37</v>
      </c>
    </row>
    <row r="95" spans="5:35" x14ac:dyDescent="0.25">
      <c r="E95" s="144" t="s">
        <v>3794</v>
      </c>
      <c r="F95" s="395"/>
      <c r="H95" s="144" t="s">
        <v>550</v>
      </c>
      <c r="I95" s="401"/>
      <c r="J95" s="401"/>
      <c r="K95" s="400"/>
      <c r="L95" s="401"/>
      <c r="M95" s="401"/>
      <c r="N95" s="402"/>
      <c r="O95" s="402"/>
      <c r="P95" s="402"/>
      <c r="AI95" s="394" t="s">
        <v>37</v>
      </c>
    </row>
    <row r="96" spans="5:35" x14ac:dyDescent="0.25">
      <c r="E96" s="144" t="s">
        <v>3110</v>
      </c>
      <c r="F96" s="395"/>
      <c r="H96" s="144" t="s">
        <v>337</v>
      </c>
      <c r="I96" s="401"/>
      <c r="J96" s="401"/>
      <c r="K96" s="400"/>
      <c r="L96" s="401"/>
      <c r="M96" s="401"/>
      <c r="N96" s="402"/>
      <c r="O96" s="402"/>
      <c r="P96" s="402"/>
      <c r="AI96" s="394" t="s">
        <v>37</v>
      </c>
    </row>
    <row r="97" spans="5:35" x14ac:dyDescent="0.25">
      <c r="E97" s="144" t="s">
        <v>3782</v>
      </c>
      <c r="F97" s="395"/>
      <c r="H97" s="144" t="s">
        <v>397</v>
      </c>
      <c r="I97" s="401"/>
      <c r="J97" s="401"/>
      <c r="K97" s="400"/>
      <c r="L97" s="401"/>
      <c r="M97" s="401"/>
      <c r="N97" s="402"/>
      <c r="O97" s="402"/>
      <c r="P97" s="402"/>
      <c r="AI97" s="394" t="s">
        <v>37</v>
      </c>
    </row>
    <row r="98" spans="5:35" x14ac:dyDescent="0.25">
      <c r="E98" s="144" t="s">
        <v>3785</v>
      </c>
      <c r="F98" s="395"/>
      <c r="H98" s="144" t="s">
        <v>400</v>
      </c>
      <c r="I98" s="401"/>
      <c r="J98" s="401"/>
      <c r="K98" s="400"/>
      <c r="L98" s="401"/>
      <c r="M98" s="401"/>
      <c r="N98" s="402"/>
      <c r="O98" s="402"/>
      <c r="P98" s="402"/>
      <c r="AI98" s="394" t="s">
        <v>37</v>
      </c>
    </row>
    <row r="99" spans="5:35" x14ac:dyDescent="0.25">
      <c r="E99" s="144" t="s">
        <v>6528</v>
      </c>
      <c r="F99" s="395"/>
      <c r="H99" s="144" t="s">
        <v>555</v>
      </c>
      <c r="I99" s="401"/>
      <c r="J99" s="401"/>
      <c r="K99" s="400"/>
      <c r="L99" s="401"/>
      <c r="M99" s="401"/>
      <c r="N99" s="402"/>
      <c r="O99" s="402"/>
      <c r="P99" s="402"/>
      <c r="AI99" s="394" t="s">
        <v>37</v>
      </c>
    </row>
    <row r="100" spans="5:35" x14ac:dyDescent="0.25">
      <c r="E100" s="144" t="s">
        <v>3788</v>
      </c>
      <c r="F100" s="395"/>
      <c r="H100" s="144" t="s">
        <v>558</v>
      </c>
      <c r="I100" s="401"/>
      <c r="J100" s="401"/>
      <c r="K100" s="400"/>
      <c r="L100" s="401"/>
      <c r="M100" s="401"/>
      <c r="N100" s="402"/>
      <c r="O100" s="402"/>
      <c r="P100" s="402"/>
      <c r="AI100" s="394" t="s">
        <v>37</v>
      </c>
    </row>
    <row r="101" spans="5:35" x14ac:dyDescent="0.25">
      <c r="E101" s="144" t="s">
        <v>3791</v>
      </c>
      <c r="F101" s="395"/>
      <c r="H101" s="144" t="s">
        <v>561</v>
      </c>
      <c r="I101" s="401"/>
      <c r="J101" s="401"/>
      <c r="K101" s="400"/>
      <c r="L101" s="401"/>
      <c r="M101" s="401"/>
      <c r="N101" s="402"/>
      <c r="O101" s="402"/>
      <c r="P101" s="402"/>
      <c r="AI101" s="394" t="s">
        <v>37</v>
      </c>
    </row>
    <row r="102" spans="5:35" x14ac:dyDescent="0.25">
      <c r="E102" s="144" t="s">
        <v>3812</v>
      </c>
      <c r="F102" s="395"/>
      <c r="H102" s="144" t="s">
        <v>409</v>
      </c>
      <c r="I102" s="401"/>
      <c r="J102" s="401"/>
      <c r="K102" s="400"/>
      <c r="L102" s="401"/>
      <c r="M102" s="401"/>
      <c r="N102" s="402"/>
      <c r="O102" s="402"/>
      <c r="P102" s="402"/>
      <c r="AI102" s="394" t="s">
        <v>37</v>
      </c>
    </row>
    <row r="103" spans="5:35" x14ac:dyDescent="0.25">
      <c r="E103" s="144" t="s">
        <v>6461</v>
      </c>
      <c r="F103" s="395"/>
      <c r="H103" s="144" t="s">
        <v>412</v>
      </c>
      <c r="I103" s="401"/>
      <c r="J103" s="401"/>
      <c r="K103" s="400"/>
      <c r="L103" s="401"/>
      <c r="M103" s="401"/>
      <c r="N103" s="402"/>
      <c r="O103" s="402"/>
      <c r="P103" s="402"/>
      <c r="AI103" s="394" t="s">
        <v>37</v>
      </c>
    </row>
    <row r="104" spans="5:35" x14ac:dyDescent="0.25">
      <c r="E104" s="144" t="s">
        <v>3797</v>
      </c>
      <c r="F104" s="395"/>
      <c r="H104" s="144" t="s">
        <v>415</v>
      </c>
      <c r="I104" s="401"/>
      <c r="J104" s="401"/>
      <c r="K104" s="400"/>
      <c r="L104" s="401"/>
      <c r="M104" s="401"/>
      <c r="N104" s="402"/>
      <c r="O104" s="402"/>
      <c r="P104" s="402"/>
      <c r="AI104" s="394" t="s">
        <v>37</v>
      </c>
    </row>
    <row r="105" spans="5:35" x14ac:dyDescent="0.25">
      <c r="E105" s="144" t="s">
        <v>3800</v>
      </c>
      <c r="F105" s="395"/>
      <c r="H105" s="144" t="s">
        <v>418</v>
      </c>
      <c r="I105" s="401"/>
      <c r="J105" s="401"/>
      <c r="K105" s="400"/>
      <c r="L105" s="401"/>
      <c r="M105" s="401"/>
      <c r="N105" s="402"/>
      <c r="O105" s="402"/>
      <c r="P105" s="402"/>
      <c r="AI105" s="394" t="s">
        <v>37</v>
      </c>
    </row>
    <row r="106" spans="5:35" x14ac:dyDescent="0.25">
      <c r="E106" s="144" t="s">
        <v>6500</v>
      </c>
      <c r="F106" s="395"/>
      <c r="H106" s="144" t="s">
        <v>611</v>
      </c>
      <c r="I106" s="401"/>
      <c r="J106" s="401"/>
      <c r="K106" s="400"/>
      <c r="L106" s="401"/>
      <c r="M106" s="401"/>
      <c r="N106" s="402"/>
      <c r="O106" s="402"/>
      <c r="P106" s="402"/>
      <c r="AI106" s="394" t="s">
        <v>37</v>
      </c>
    </row>
    <row r="107" spans="5:35" x14ac:dyDescent="0.25">
      <c r="E107" s="144" t="s">
        <v>3803</v>
      </c>
      <c r="F107" s="395"/>
      <c r="H107" s="144" t="s">
        <v>614</v>
      </c>
      <c r="I107" s="401"/>
      <c r="J107" s="401"/>
      <c r="K107" s="400"/>
      <c r="L107" s="401"/>
      <c r="M107" s="401"/>
      <c r="N107" s="402"/>
      <c r="O107" s="402"/>
      <c r="P107" s="402"/>
      <c r="AI107" s="394" t="s">
        <v>37</v>
      </c>
    </row>
    <row r="108" spans="5:35" x14ac:dyDescent="0.25">
      <c r="E108" s="144" t="s">
        <v>3806</v>
      </c>
      <c r="F108" s="395"/>
      <c r="H108" s="144" t="s">
        <v>617</v>
      </c>
      <c r="I108" s="401"/>
      <c r="J108" s="401"/>
      <c r="K108" s="400"/>
      <c r="L108" s="401"/>
      <c r="M108" s="401"/>
      <c r="N108" s="402"/>
      <c r="O108" s="402"/>
      <c r="P108" s="402"/>
      <c r="AI108" s="394" t="s">
        <v>37</v>
      </c>
    </row>
    <row r="109" spans="5:35" x14ac:dyDescent="0.25">
      <c r="E109" s="144" t="s">
        <v>4519</v>
      </c>
      <c r="F109" s="395"/>
      <c r="H109" s="144" t="s">
        <v>338</v>
      </c>
      <c r="I109" s="401"/>
      <c r="J109" s="401"/>
      <c r="K109" s="400"/>
      <c r="L109" s="401"/>
      <c r="M109" s="401"/>
      <c r="N109" s="402"/>
      <c r="O109" s="402"/>
      <c r="P109" s="402"/>
      <c r="AI109" s="394" t="s">
        <v>37</v>
      </c>
    </row>
    <row r="110" spans="5:35" x14ac:dyDescent="0.25">
      <c r="E110" s="144" t="s">
        <v>3809</v>
      </c>
      <c r="F110" s="395"/>
      <c r="H110" s="144" t="s">
        <v>622</v>
      </c>
      <c r="I110" s="401"/>
      <c r="J110" s="401"/>
      <c r="K110" s="400"/>
      <c r="L110" s="401"/>
      <c r="M110" s="401"/>
      <c r="N110" s="402"/>
      <c r="O110" s="402"/>
      <c r="P110" s="402"/>
      <c r="AI110" s="394" t="s">
        <v>37</v>
      </c>
    </row>
    <row r="111" spans="5:35" x14ac:dyDescent="0.25">
      <c r="E111" s="144" t="s">
        <v>3815</v>
      </c>
      <c r="F111" s="395"/>
      <c r="H111" s="144" t="s">
        <v>625</v>
      </c>
      <c r="I111" s="401"/>
      <c r="J111" s="401"/>
      <c r="K111" s="400"/>
      <c r="L111" s="401"/>
      <c r="M111" s="401"/>
      <c r="N111" s="402"/>
      <c r="O111" s="402"/>
      <c r="P111" s="402"/>
      <c r="AI111" s="394" t="s">
        <v>37</v>
      </c>
    </row>
    <row r="112" spans="5:35" x14ac:dyDescent="0.25">
      <c r="E112" s="144" t="s">
        <v>3818</v>
      </c>
      <c r="F112" s="395"/>
      <c r="H112" s="144" t="s">
        <v>628</v>
      </c>
      <c r="I112" s="401"/>
      <c r="J112" s="401"/>
      <c r="K112" s="400"/>
      <c r="L112" s="401"/>
      <c r="M112" s="401"/>
      <c r="N112" s="402"/>
      <c r="O112" s="402"/>
      <c r="P112" s="402"/>
      <c r="AI112" s="394" t="s">
        <v>37</v>
      </c>
    </row>
    <row r="113" spans="5:35" x14ac:dyDescent="0.25">
      <c r="E113" s="144" t="s">
        <v>3821</v>
      </c>
      <c r="F113" s="395"/>
      <c r="H113" s="144" t="s">
        <v>6543</v>
      </c>
      <c r="I113" s="401"/>
      <c r="J113" s="401"/>
      <c r="K113" s="400"/>
      <c r="L113" s="401"/>
      <c r="M113" s="401"/>
      <c r="N113" s="402"/>
      <c r="O113" s="402"/>
      <c r="P113" s="402"/>
      <c r="AI113" s="394" t="s">
        <v>37</v>
      </c>
    </row>
    <row r="114" spans="5:35" x14ac:dyDescent="0.25">
      <c r="E114" s="144" t="s">
        <v>3824</v>
      </c>
      <c r="F114" s="395"/>
      <c r="H114" s="144" t="s">
        <v>631</v>
      </c>
      <c r="I114" s="401"/>
      <c r="J114" s="401"/>
      <c r="K114" s="400"/>
      <c r="L114" s="401"/>
      <c r="M114" s="401"/>
      <c r="N114" s="402"/>
      <c r="O114" s="402"/>
      <c r="P114" s="402"/>
      <c r="AI114" s="394" t="s">
        <v>37</v>
      </c>
    </row>
    <row r="115" spans="5:35" x14ac:dyDescent="0.25">
      <c r="E115" s="144" t="s">
        <v>3827</v>
      </c>
      <c r="F115" s="395"/>
      <c r="H115" s="144" t="s">
        <v>634</v>
      </c>
      <c r="I115" s="401"/>
      <c r="J115" s="401"/>
      <c r="K115" s="400"/>
      <c r="L115" s="401"/>
      <c r="M115" s="401"/>
      <c r="N115" s="402"/>
      <c r="O115" s="402"/>
      <c r="P115" s="402"/>
      <c r="AI115" s="394" t="s">
        <v>37</v>
      </c>
    </row>
    <row r="116" spans="5:35" x14ac:dyDescent="0.25">
      <c r="E116" s="144" t="s">
        <v>6506</v>
      </c>
      <c r="F116" s="395"/>
      <c r="H116" s="144" t="s">
        <v>637</v>
      </c>
      <c r="I116" s="401"/>
      <c r="J116" s="401"/>
      <c r="K116" s="400"/>
      <c r="L116" s="401"/>
      <c r="M116" s="401"/>
      <c r="N116" s="402"/>
      <c r="O116" s="402"/>
      <c r="P116" s="402"/>
      <c r="AI116" s="394" t="s">
        <v>37</v>
      </c>
    </row>
    <row r="117" spans="5:35" x14ac:dyDescent="0.25">
      <c r="E117" s="144" t="s">
        <v>4530</v>
      </c>
      <c r="F117" s="395"/>
      <c r="H117" s="144" t="s">
        <v>640</v>
      </c>
      <c r="I117" s="401"/>
      <c r="J117" s="401"/>
      <c r="K117" s="400"/>
      <c r="L117" s="401"/>
      <c r="M117" s="401"/>
      <c r="N117" s="402"/>
      <c r="O117" s="402"/>
      <c r="P117" s="402"/>
      <c r="AI117" s="394" t="s">
        <v>37</v>
      </c>
    </row>
    <row r="118" spans="5:35" x14ac:dyDescent="0.25">
      <c r="E118" s="144" t="s">
        <v>3830</v>
      </c>
      <c r="F118" s="395"/>
      <c r="H118" s="144" t="s">
        <v>643</v>
      </c>
      <c r="I118" s="401"/>
      <c r="J118" s="401"/>
      <c r="K118" s="400"/>
      <c r="L118" s="401"/>
      <c r="M118" s="401"/>
      <c r="N118" s="402"/>
      <c r="O118" s="402"/>
      <c r="P118" s="402"/>
      <c r="AI118" s="394" t="s">
        <v>37</v>
      </c>
    </row>
    <row r="119" spans="5:35" x14ac:dyDescent="0.25">
      <c r="E119" s="144" t="s">
        <v>3850</v>
      </c>
      <c r="F119" s="395"/>
      <c r="H119" s="144" t="s">
        <v>646</v>
      </c>
      <c r="I119" s="401"/>
      <c r="J119" s="401"/>
      <c r="K119" s="400"/>
      <c r="L119" s="401"/>
      <c r="M119" s="401"/>
      <c r="N119" s="402"/>
      <c r="O119" s="402"/>
      <c r="P119" s="402"/>
      <c r="AI119" s="394" t="s">
        <v>37</v>
      </c>
    </row>
    <row r="120" spans="5:35" x14ac:dyDescent="0.25">
      <c r="E120" s="144" t="s">
        <v>6510</v>
      </c>
      <c r="F120" s="395"/>
      <c r="H120" s="144" t="s">
        <v>649</v>
      </c>
      <c r="I120" s="401"/>
      <c r="J120" s="401"/>
      <c r="K120" s="400"/>
      <c r="L120" s="401"/>
      <c r="M120" s="401"/>
      <c r="N120" s="402"/>
      <c r="O120" s="402"/>
      <c r="P120" s="402"/>
      <c r="AI120" s="394" t="s">
        <v>37</v>
      </c>
    </row>
    <row r="121" spans="5:35" x14ac:dyDescent="0.25">
      <c r="E121" s="144" t="s">
        <v>3853</v>
      </c>
      <c r="F121" s="395"/>
      <c r="H121" s="144" t="s">
        <v>652</v>
      </c>
      <c r="I121" s="401"/>
      <c r="J121" s="401"/>
      <c r="K121" s="400"/>
      <c r="L121" s="401"/>
      <c r="M121" s="401"/>
      <c r="N121" s="402"/>
      <c r="O121" s="402"/>
      <c r="P121" s="402"/>
      <c r="AI121" s="394" t="s">
        <v>37</v>
      </c>
    </row>
    <row r="122" spans="5:35" x14ac:dyDescent="0.25">
      <c r="E122" s="144" t="s">
        <v>3856</v>
      </c>
      <c r="F122" s="395"/>
      <c r="H122" s="144" t="s">
        <v>655</v>
      </c>
      <c r="I122" s="401"/>
      <c r="J122" s="401"/>
      <c r="K122" s="400"/>
      <c r="L122" s="401"/>
      <c r="M122" s="401"/>
      <c r="N122" s="402"/>
      <c r="O122" s="402"/>
      <c r="P122" s="402"/>
      <c r="AI122" s="394" t="s">
        <v>37</v>
      </c>
    </row>
    <row r="123" spans="5:35" x14ac:dyDescent="0.25">
      <c r="E123" s="144" t="s">
        <v>3859</v>
      </c>
      <c r="F123" s="395"/>
      <c r="H123" s="144" t="s">
        <v>658</v>
      </c>
      <c r="I123" s="401"/>
      <c r="J123" s="401"/>
      <c r="K123" s="400"/>
      <c r="L123" s="401"/>
      <c r="M123" s="401"/>
      <c r="N123" s="402"/>
      <c r="O123" s="402"/>
      <c r="P123" s="402"/>
      <c r="AI123" s="394" t="s">
        <v>37</v>
      </c>
    </row>
    <row r="124" spans="5:35" x14ac:dyDescent="0.25">
      <c r="E124" s="144" t="s">
        <v>3901</v>
      </c>
      <c r="F124" s="395"/>
      <c r="H124" s="144" t="s">
        <v>661</v>
      </c>
      <c r="I124" s="401"/>
      <c r="J124" s="401"/>
      <c r="K124" s="400"/>
      <c r="L124" s="401"/>
      <c r="M124" s="401"/>
      <c r="N124" s="402"/>
      <c r="O124" s="402"/>
      <c r="P124" s="402"/>
      <c r="AI124" s="394" t="s">
        <v>37</v>
      </c>
    </row>
    <row r="125" spans="5:35" x14ac:dyDescent="0.25">
      <c r="E125" s="144" t="s">
        <v>3862</v>
      </c>
      <c r="F125" s="395"/>
      <c r="H125" s="144" t="s">
        <v>664</v>
      </c>
      <c r="I125" s="401"/>
      <c r="J125" s="401"/>
      <c r="K125" s="400"/>
      <c r="L125" s="401"/>
      <c r="M125" s="401"/>
      <c r="N125" s="402"/>
      <c r="O125" s="402"/>
      <c r="P125" s="402"/>
      <c r="AI125" s="394" t="s">
        <v>37</v>
      </c>
    </row>
    <row r="126" spans="5:35" x14ac:dyDescent="0.25">
      <c r="E126" s="144" t="s">
        <v>3865</v>
      </c>
      <c r="F126" s="395"/>
      <c r="H126" s="144" t="s">
        <v>667</v>
      </c>
      <c r="I126" s="401"/>
      <c r="J126" s="401"/>
      <c r="K126" s="400"/>
      <c r="L126" s="401"/>
      <c r="M126" s="401"/>
      <c r="N126" s="402"/>
      <c r="O126" s="402"/>
      <c r="P126" s="402"/>
      <c r="AI126" s="394" t="s">
        <v>37</v>
      </c>
    </row>
    <row r="127" spans="5:35" x14ac:dyDescent="0.25">
      <c r="E127" s="144" t="s">
        <v>3868</v>
      </c>
      <c r="F127" s="395"/>
      <c r="H127" s="144" t="s">
        <v>670</v>
      </c>
      <c r="I127" s="401"/>
      <c r="J127" s="401"/>
      <c r="K127" s="400"/>
      <c r="L127" s="401"/>
      <c r="M127" s="401"/>
      <c r="N127" s="402"/>
      <c r="O127" s="402"/>
      <c r="P127" s="402"/>
      <c r="AI127" s="394" t="s">
        <v>37</v>
      </c>
    </row>
    <row r="128" spans="5:35" x14ac:dyDescent="0.25">
      <c r="E128" s="144" t="s">
        <v>3871</v>
      </c>
      <c r="F128" s="395"/>
      <c r="H128" s="144" t="s">
        <v>673</v>
      </c>
      <c r="I128" s="401"/>
      <c r="J128" s="401"/>
      <c r="K128" s="400"/>
      <c r="L128" s="401"/>
      <c r="M128" s="401"/>
      <c r="N128" s="402"/>
      <c r="O128" s="402"/>
      <c r="P128" s="402"/>
      <c r="AI128" s="394" t="s">
        <v>37</v>
      </c>
    </row>
    <row r="129" spans="5:35" x14ac:dyDescent="0.25">
      <c r="E129" s="144" t="s">
        <v>3874</v>
      </c>
      <c r="F129" s="395"/>
      <c r="H129" s="144" t="s">
        <v>676</v>
      </c>
      <c r="I129" s="401"/>
      <c r="J129" s="401"/>
      <c r="K129" s="400"/>
      <c r="L129" s="401"/>
      <c r="M129" s="401"/>
      <c r="N129" s="402"/>
      <c r="O129" s="402"/>
      <c r="P129" s="402"/>
      <c r="AI129" s="394" t="s">
        <v>37</v>
      </c>
    </row>
    <row r="130" spans="5:35" x14ac:dyDescent="0.25">
      <c r="E130" s="144" t="s">
        <v>6532</v>
      </c>
      <c r="F130" s="395"/>
      <c r="H130" s="144" t="s">
        <v>679</v>
      </c>
      <c r="I130" s="401"/>
      <c r="J130" s="401"/>
      <c r="K130" s="400"/>
      <c r="L130" s="401"/>
      <c r="M130" s="401"/>
      <c r="N130" s="402"/>
      <c r="O130" s="402"/>
      <c r="P130" s="402"/>
      <c r="AI130" s="394" t="s">
        <v>37</v>
      </c>
    </row>
    <row r="131" spans="5:35" x14ac:dyDescent="0.25">
      <c r="E131" s="144" t="s">
        <v>6512</v>
      </c>
      <c r="F131" s="395"/>
      <c r="H131" s="144" t="s">
        <v>336</v>
      </c>
      <c r="I131" s="401"/>
      <c r="J131" s="401"/>
      <c r="K131" s="400"/>
      <c r="L131" s="401"/>
      <c r="M131" s="401"/>
      <c r="N131" s="402"/>
      <c r="O131" s="402"/>
      <c r="P131" s="402"/>
      <c r="AI131" s="394" t="s">
        <v>37</v>
      </c>
    </row>
    <row r="132" spans="5:35" x14ac:dyDescent="0.25">
      <c r="E132" s="144" t="s">
        <v>3877</v>
      </c>
      <c r="F132" s="395"/>
      <c r="H132" s="144" t="s">
        <v>771</v>
      </c>
      <c r="I132" s="401"/>
      <c r="J132" s="401"/>
      <c r="K132" s="400"/>
      <c r="L132" s="401"/>
      <c r="M132" s="401"/>
      <c r="N132" s="402"/>
      <c r="O132" s="402"/>
      <c r="P132" s="402"/>
      <c r="AI132" s="394" t="s">
        <v>37</v>
      </c>
    </row>
    <row r="133" spans="5:35" x14ac:dyDescent="0.25">
      <c r="E133" s="144" t="s">
        <v>3880</v>
      </c>
      <c r="F133" s="395"/>
      <c r="H133" s="144" t="s">
        <v>774</v>
      </c>
      <c r="I133" s="401"/>
      <c r="J133" s="401"/>
      <c r="K133" s="400"/>
      <c r="L133" s="401"/>
      <c r="M133" s="401"/>
      <c r="N133" s="402"/>
      <c r="O133" s="402"/>
      <c r="P133" s="402"/>
      <c r="AI133" s="394" t="s">
        <v>37</v>
      </c>
    </row>
    <row r="134" spans="5:35" x14ac:dyDescent="0.25">
      <c r="E134" s="144" t="s">
        <v>3883</v>
      </c>
      <c r="F134" s="395"/>
      <c r="H134" s="144" t="s">
        <v>777</v>
      </c>
      <c r="I134" s="401"/>
      <c r="J134" s="401"/>
      <c r="K134" s="400"/>
      <c r="L134" s="401"/>
      <c r="M134" s="401"/>
      <c r="N134" s="402"/>
      <c r="O134" s="402"/>
      <c r="P134" s="402"/>
      <c r="AI134" s="394" t="s">
        <v>37</v>
      </c>
    </row>
    <row r="135" spans="5:35" x14ac:dyDescent="0.25">
      <c r="E135" s="144" t="s">
        <v>3886</v>
      </c>
      <c r="F135" s="395"/>
      <c r="H135" s="144" t="s">
        <v>780</v>
      </c>
      <c r="I135" s="401"/>
      <c r="J135" s="401"/>
      <c r="K135" s="400"/>
      <c r="L135" s="401"/>
      <c r="M135" s="401"/>
      <c r="N135" s="402"/>
      <c r="O135" s="402"/>
      <c r="P135" s="402"/>
      <c r="AI135" s="394" t="s">
        <v>37</v>
      </c>
    </row>
    <row r="136" spans="5:35" x14ac:dyDescent="0.25">
      <c r="E136" s="144" t="s">
        <v>3904</v>
      </c>
      <c r="F136" s="395"/>
      <c r="H136" s="144" t="s">
        <v>783</v>
      </c>
      <c r="I136" s="401"/>
      <c r="J136" s="401"/>
      <c r="K136" s="400"/>
      <c r="L136" s="401"/>
      <c r="M136" s="401"/>
      <c r="N136" s="402"/>
      <c r="O136" s="402"/>
      <c r="P136" s="402"/>
      <c r="AI136" s="394" t="s">
        <v>37</v>
      </c>
    </row>
    <row r="137" spans="5:35" x14ac:dyDescent="0.25">
      <c r="E137" s="144" t="s">
        <v>3889</v>
      </c>
      <c r="F137" s="395"/>
      <c r="H137" s="144" t="s">
        <v>786</v>
      </c>
      <c r="I137" s="401"/>
      <c r="J137" s="401"/>
      <c r="K137" s="400"/>
      <c r="L137" s="401"/>
      <c r="M137" s="401"/>
      <c r="N137" s="402"/>
      <c r="O137" s="402"/>
      <c r="P137" s="402"/>
      <c r="AI137" s="394" t="s">
        <v>37</v>
      </c>
    </row>
    <row r="138" spans="5:35" x14ac:dyDescent="0.25">
      <c r="E138" s="144" t="s">
        <v>3892</v>
      </c>
      <c r="F138" s="395"/>
      <c r="H138" s="144" t="s">
        <v>789</v>
      </c>
      <c r="I138" s="401"/>
      <c r="J138" s="401"/>
      <c r="K138" s="400"/>
      <c r="L138" s="401"/>
      <c r="M138" s="401"/>
      <c r="N138" s="402"/>
      <c r="O138" s="402"/>
      <c r="P138" s="402"/>
      <c r="AI138" s="394" t="s">
        <v>37</v>
      </c>
    </row>
    <row r="139" spans="5:35" x14ac:dyDescent="0.25">
      <c r="E139" s="144" t="s">
        <v>3895</v>
      </c>
      <c r="F139" s="395"/>
      <c r="H139" s="144" t="s">
        <v>792</v>
      </c>
      <c r="I139" s="401"/>
      <c r="J139" s="401"/>
      <c r="K139" s="400"/>
      <c r="L139" s="401"/>
      <c r="M139" s="401"/>
      <c r="N139" s="402"/>
      <c r="O139" s="402"/>
      <c r="P139" s="402"/>
      <c r="AI139" s="394" t="s">
        <v>37</v>
      </c>
    </row>
    <row r="140" spans="5:35" x14ac:dyDescent="0.25">
      <c r="E140" s="144" t="s">
        <v>3898</v>
      </c>
      <c r="F140" s="395"/>
      <c r="H140" s="144" t="s">
        <v>795</v>
      </c>
      <c r="I140" s="401"/>
      <c r="J140" s="401"/>
      <c r="K140" s="400"/>
      <c r="L140" s="401"/>
      <c r="M140" s="401"/>
      <c r="N140" s="402"/>
      <c r="O140" s="402"/>
      <c r="P140" s="402"/>
      <c r="AI140" s="394" t="s">
        <v>37</v>
      </c>
    </row>
    <row r="141" spans="5:35" x14ac:dyDescent="0.25">
      <c r="E141" s="144" t="s">
        <v>4554</v>
      </c>
      <c r="F141" s="395"/>
      <c r="H141" s="144" t="s">
        <v>798</v>
      </c>
      <c r="I141" s="401"/>
      <c r="J141" s="401"/>
      <c r="K141" s="400"/>
      <c r="L141" s="401"/>
      <c r="M141" s="401"/>
      <c r="N141" s="402"/>
      <c r="O141" s="402"/>
      <c r="P141" s="402"/>
      <c r="AI141" s="394" t="s">
        <v>37</v>
      </c>
    </row>
    <row r="142" spans="5:35" x14ac:dyDescent="0.25">
      <c r="E142" s="144" t="s">
        <v>3907</v>
      </c>
      <c r="F142" s="395"/>
      <c r="H142" s="144" t="s">
        <v>801</v>
      </c>
      <c r="I142" s="401"/>
      <c r="J142" s="401"/>
      <c r="K142" s="400"/>
      <c r="L142" s="401"/>
      <c r="M142" s="401"/>
      <c r="N142" s="402"/>
      <c r="O142" s="402"/>
      <c r="P142" s="402"/>
      <c r="AI142" s="394" t="s">
        <v>37</v>
      </c>
    </row>
    <row r="143" spans="5:35" x14ac:dyDescent="0.25">
      <c r="E143" s="144" t="s">
        <v>4559</v>
      </c>
      <c r="F143" s="395"/>
      <c r="H143" s="144" t="s">
        <v>804</v>
      </c>
      <c r="I143" s="401"/>
      <c r="J143" s="401"/>
      <c r="K143" s="400"/>
      <c r="L143" s="401"/>
      <c r="M143" s="401"/>
      <c r="N143" s="402"/>
      <c r="O143" s="402"/>
      <c r="P143" s="402"/>
      <c r="AI143" s="394" t="s">
        <v>37</v>
      </c>
    </row>
    <row r="144" spans="5:35" x14ac:dyDescent="0.25">
      <c r="E144" s="144" t="s">
        <v>3910</v>
      </c>
      <c r="F144" s="395"/>
      <c r="H144" s="144" t="s">
        <v>807</v>
      </c>
      <c r="I144" s="401"/>
      <c r="J144" s="401"/>
      <c r="K144" s="400"/>
      <c r="L144" s="401"/>
      <c r="M144" s="401"/>
      <c r="N144" s="402"/>
      <c r="O144" s="402"/>
      <c r="P144" s="402"/>
      <c r="AI144" s="394" t="s">
        <v>37</v>
      </c>
    </row>
    <row r="145" spans="5:35" x14ac:dyDescent="0.25">
      <c r="E145" s="144" t="s">
        <v>3913</v>
      </c>
      <c r="F145" s="395"/>
      <c r="H145" s="144" t="s">
        <v>810</v>
      </c>
      <c r="I145" s="401"/>
      <c r="J145" s="401"/>
      <c r="K145" s="400"/>
      <c r="L145" s="401"/>
      <c r="M145" s="401"/>
      <c r="N145" s="402"/>
      <c r="O145" s="402"/>
      <c r="P145" s="402"/>
      <c r="AI145" s="394" t="s">
        <v>37</v>
      </c>
    </row>
    <row r="146" spans="5:35" x14ac:dyDescent="0.25">
      <c r="E146" s="144" t="s">
        <v>3916</v>
      </c>
      <c r="F146" s="395"/>
      <c r="H146" s="144" t="s">
        <v>813</v>
      </c>
      <c r="I146" s="401"/>
      <c r="J146" s="401"/>
      <c r="K146" s="400"/>
      <c r="L146" s="401"/>
      <c r="M146" s="401"/>
      <c r="N146" s="402"/>
      <c r="O146" s="402"/>
      <c r="P146" s="402"/>
      <c r="AI146" s="394" t="s">
        <v>37</v>
      </c>
    </row>
    <row r="147" spans="5:35" x14ac:dyDescent="0.25">
      <c r="E147" s="144" t="s">
        <v>3919</v>
      </c>
      <c r="F147" s="395"/>
      <c r="H147" s="144" t="s">
        <v>816</v>
      </c>
      <c r="I147" s="401"/>
      <c r="J147" s="401"/>
      <c r="K147" s="400"/>
      <c r="L147" s="401"/>
      <c r="M147" s="401"/>
      <c r="N147" s="402"/>
      <c r="O147" s="402"/>
      <c r="P147" s="402"/>
      <c r="AI147" s="394" t="s">
        <v>37</v>
      </c>
    </row>
    <row r="148" spans="5:35" x14ac:dyDescent="0.25">
      <c r="E148" s="144" t="s">
        <v>3925</v>
      </c>
      <c r="F148" s="395"/>
      <c r="H148" s="144" t="s">
        <v>819</v>
      </c>
      <c r="I148" s="401"/>
      <c r="J148" s="401"/>
      <c r="K148" s="400"/>
      <c r="L148" s="401"/>
      <c r="M148" s="401"/>
      <c r="N148" s="402"/>
      <c r="O148" s="402"/>
      <c r="P148" s="402"/>
      <c r="AI148" s="394" t="s">
        <v>37</v>
      </c>
    </row>
    <row r="149" spans="5:35" x14ac:dyDescent="0.25">
      <c r="E149" s="144" t="s">
        <v>6518</v>
      </c>
      <c r="F149" s="395"/>
      <c r="H149" s="144" t="s">
        <v>822</v>
      </c>
      <c r="I149" s="401"/>
      <c r="J149" s="401"/>
      <c r="K149" s="400"/>
      <c r="L149" s="401"/>
      <c r="M149" s="401"/>
      <c r="N149" s="402"/>
      <c r="O149" s="402"/>
      <c r="P149" s="402"/>
      <c r="AI149" s="394" t="s">
        <v>37</v>
      </c>
    </row>
    <row r="150" spans="5:35" x14ac:dyDescent="0.25">
      <c r="E150" s="144" t="s">
        <v>3568</v>
      </c>
      <c r="F150" s="395"/>
      <c r="H150" s="144" t="s">
        <v>825</v>
      </c>
      <c r="I150" s="401"/>
      <c r="J150" s="401"/>
      <c r="K150" s="400"/>
      <c r="L150" s="401"/>
      <c r="M150" s="401"/>
      <c r="N150" s="402"/>
      <c r="O150" s="402"/>
      <c r="P150" s="402"/>
      <c r="AI150" s="394" t="s">
        <v>37</v>
      </c>
    </row>
    <row r="151" spans="5:35" x14ac:dyDescent="0.25">
      <c r="E151" s="144" t="s">
        <v>344</v>
      </c>
      <c r="F151" s="395"/>
      <c r="H151" s="144" t="s">
        <v>828</v>
      </c>
      <c r="I151" s="401"/>
      <c r="J151" s="401"/>
      <c r="K151" s="400"/>
      <c r="L151" s="401"/>
      <c r="M151" s="401"/>
      <c r="N151" s="402"/>
      <c r="O151" s="402"/>
      <c r="P151" s="402"/>
      <c r="AI151" s="394" t="s">
        <v>37</v>
      </c>
    </row>
    <row r="152" spans="5:35" x14ac:dyDescent="0.25">
      <c r="E152" s="144" t="s">
        <v>3523</v>
      </c>
      <c r="F152" s="395"/>
      <c r="H152" s="144" t="s">
        <v>831</v>
      </c>
      <c r="I152" s="401"/>
      <c r="J152" s="401"/>
      <c r="K152" s="400"/>
      <c r="L152" s="401"/>
      <c r="M152" s="401"/>
      <c r="N152" s="402"/>
      <c r="O152" s="402"/>
      <c r="P152" s="402"/>
      <c r="AI152" s="394" t="s">
        <v>37</v>
      </c>
    </row>
    <row r="153" spans="5:35" x14ac:dyDescent="0.25">
      <c r="E153" s="144" t="s">
        <v>6516</v>
      </c>
      <c r="F153" s="395"/>
      <c r="H153" s="144" t="s">
        <v>834</v>
      </c>
      <c r="I153" s="401"/>
      <c r="J153" s="401"/>
      <c r="K153" s="400"/>
      <c r="L153" s="401"/>
      <c r="M153" s="401"/>
      <c r="N153" s="402"/>
      <c r="O153" s="402"/>
      <c r="P153" s="402"/>
      <c r="AI153" s="394" t="s">
        <v>37</v>
      </c>
    </row>
    <row r="154" spans="5:35" x14ac:dyDescent="0.25">
      <c r="E154" s="144" t="s">
        <v>3529</v>
      </c>
      <c r="F154" s="395"/>
      <c r="H154" s="144" t="s">
        <v>837</v>
      </c>
      <c r="I154" s="402"/>
      <c r="J154" s="402"/>
      <c r="K154" s="402"/>
      <c r="L154" s="402"/>
      <c r="M154" s="402"/>
      <c r="N154" s="402"/>
      <c r="O154" s="402"/>
      <c r="P154" s="402"/>
      <c r="AI154" s="394" t="s">
        <v>37</v>
      </c>
    </row>
    <row r="155" spans="5:35" x14ac:dyDescent="0.25">
      <c r="E155" s="144" t="s">
        <v>3628</v>
      </c>
      <c r="F155" s="395"/>
      <c r="H155" s="144" t="s">
        <v>840</v>
      </c>
      <c r="I155" s="402"/>
      <c r="J155" s="402"/>
      <c r="K155" s="402"/>
      <c r="L155" s="402"/>
      <c r="M155" s="402"/>
      <c r="N155" s="402"/>
      <c r="O155" s="402"/>
      <c r="P155" s="402"/>
      <c r="AI155" s="394" t="s">
        <v>37</v>
      </c>
    </row>
    <row r="156" spans="5:35" x14ac:dyDescent="0.25">
      <c r="E156" s="144" t="s">
        <v>3631</v>
      </c>
      <c r="F156" s="395"/>
      <c r="H156" s="144" t="s">
        <v>843</v>
      </c>
      <c r="I156" s="402"/>
      <c r="J156" s="402"/>
      <c r="K156" s="402"/>
      <c r="L156" s="402"/>
      <c r="M156" s="402"/>
      <c r="N156" s="402"/>
      <c r="O156" s="402"/>
      <c r="P156" s="402"/>
      <c r="AI156" s="394" t="s">
        <v>37</v>
      </c>
    </row>
    <row r="157" spans="5:35" x14ac:dyDescent="0.25">
      <c r="E157" s="144" t="s">
        <v>342</v>
      </c>
      <c r="F157" s="395"/>
      <c r="H157" s="144" t="s">
        <v>846</v>
      </c>
      <c r="I157" s="402"/>
      <c r="J157" s="402"/>
      <c r="K157" s="402"/>
      <c r="L157" s="402"/>
      <c r="M157" s="402"/>
      <c r="N157" s="402"/>
      <c r="O157" s="402"/>
      <c r="P157" s="402"/>
      <c r="AI157" s="394" t="s">
        <v>37</v>
      </c>
    </row>
    <row r="158" spans="5:35" x14ac:dyDescent="0.25">
      <c r="E158" s="144" t="s">
        <v>3636</v>
      </c>
      <c r="F158" s="395"/>
      <c r="H158" s="144" t="s">
        <v>849</v>
      </c>
      <c r="I158" s="402"/>
      <c r="J158" s="402"/>
      <c r="K158" s="402"/>
      <c r="L158" s="402"/>
      <c r="M158" s="402"/>
      <c r="N158" s="402"/>
      <c r="O158" s="402"/>
      <c r="P158" s="402"/>
      <c r="AI158" s="394" t="s">
        <v>37</v>
      </c>
    </row>
    <row r="159" spans="5:35" x14ac:dyDescent="0.25">
      <c r="E159" s="144" t="s">
        <v>3639</v>
      </c>
      <c r="F159" s="395"/>
      <c r="H159" s="144" t="s">
        <v>852</v>
      </c>
      <c r="I159" s="402"/>
      <c r="J159" s="402"/>
      <c r="K159" s="402"/>
      <c r="L159" s="402"/>
      <c r="M159" s="402"/>
      <c r="N159" s="402"/>
      <c r="O159" s="402"/>
      <c r="P159" s="402"/>
      <c r="AI159" s="394" t="s">
        <v>37</v>
      </c>
    </row>
    <row r="160" spans="5:35" x14ac:dyDescent="0.25">
      <c r="E160" s="144" t="s">
        <v>3642</v>
      </c>
      <c r="F160" s="395"/>
      <c r="H160" s="144" t="s">
        <v>933</v>
      </c>
      <c r="I160" s="402"/>
      <c r="J160" s="402"/>
      <c r="K160" s="402"/>
      <c r="L160" s="402"/>
      <c r="M160" s="402"/>
      <c r="N160" s="402"/>
      <c r="O160" s="402"/>
      <c r="P160" s="402"/>
      <c r="AI160" s="394" t="s">
        <v>37</v>
      </c>
    </row>
    <row r="161" spans="5:35" x14ac:dyDescent="0.25">
      <c r="E161" s="144" t="s">
        <v>6580</v>
      </c>
      <c r="F161" s="395"/>
      <c r="H161" s="144" t="s">
        <v>936</v>
      </c>
      <c r="I161" s="402"/>
      <c r="J161" s="402"/>
      <c r="K161" s="402"/>
      <c r="L161" s="402"/>
      <c r="M161" s="402"/>
      <c r="N161" s="402"/>
      <c r="O161" s="402"/>
      <c r="P161" s="402"/>
      <c r="AI161" s="394" t="s">
        <v>37</v>
      </c>
    </row>
    <row r="162" spans="5:35" x14ac:dyDescent="0.25">
      <c r="E162" s="144" t="s">
        <v>3646</v>
      </c>
      <c r="F162" s="395"/>
      <c r="H162" s="144" t="s">
        <v>939</v>
      </c>
      <c r="I162" s="402"/>
      <c r="J162" s="402"/>
      <c r="K162" s="402"/>
      <c r="L162" s="402"/>
      <c r="M162" s="402"/>
      <c r="N162" s="402"/>
      <c r="O162" s="402"/>
      <c r="P162" s="402"/>
      <c r="AI162" s="394" t="s">
        <v>37</v>
      </c>
    </row>
    <row r="163" spans="5:35" x14ac:dyDescent="0.25">
      <c r="E163" s="144" t="s">
        <v>3649</v>
      </c>
      <c r="F163" s="395"/>
      <c r="H163" s="144" t="s">
        <v>942</v>
      </c>
      <c r="I163" s="402"/>
      <c r="J163" s="402"/>
      <c r="K163" s="402"/>
      <c r="L163" s="402"/>
      <c r="M163" s="402"/>
      <c r="N163" s="402"/>
      <c r="O163" s="402"/>
      <c r="P163" s="402"/>
      <c r="AI163" s="394" t="s">
        <v>37</v>
      </c>
    </row>
    <row r="164" spans="5:35" x14ac:dyDescent="0.25">
      <c r="E164" s="144" t="s">
        <v>5228</v>
      </c>
      <c r="F164" s="395"/>
      <c r="H164" s="144" t="s">
        <v>1017</v>
      </c>
      <c r="I164" s="402"/>
      <c r="J164" s="402"/>
      <c r="K164" s="402"/>
      <c r="L164" s="402"/>
      <c r="M164" s="402"/>
      <c r="N164" s="402"/>
      <c r="O164" s="402"/>
      <c r="P164" s="402"/>
      <c r="AI164" s="394" t="s">
        <v>37</v>
      </c>
    </row>
    <row r="165" spans="5:35" x14ac:dyDescent="0.25">
      <c r="E165" s="144" t="s">
        <v>3652</v>
      </c>
      <c r="F165" s="395"/>
      <c r="H165" s="144" t="s">
        <v>945</v>
      </c>
      <c r="I165" s="402"/>
      <c r="J165" s="402"/>
      <c r="K165" s="402"/>
      <c r="L165" s="402"/>
      <c r="M165" s="402"/>
      <c r="N165" s="402"/>
      <c r="O165" s="402"/>
      <c r="P165" s="402"/>
      <c r="AI165" s="394" t="s">
        <v>37</v>
      </c>
    </row>
    <row r="166" spans="5:35" x14ac:dyDescent="0.25">
      <c r="E166" s="144" t="s">
        <v>3655</v>
      </c>
      <c r="F166" s="395"/>
      <c r="H166" s="144" t="s">
        <v>948</v>
      </c>
      <c r="I166" s="402"/>
      <c r="J166" s="402"/>
      <c r="K166" s="402"/>
      <c r="L166" s="402"/>
      <c r="M166" s="402"/>
      <c r="N166" s="402"/>
      <c r="O166" s="402"/>
      <c r="P166" s="402"/>
      <c r="AI166" s="394" t="s">
        <v>37</v>
      </c>
    </row>
    <row r="167" spans="5:35" x14ac:dyDescent="0.25">
      <c r="E167" s="144" t="s">
        <v>3658</v>
      </c>
      <c r="F167" s="395"/>
      <c r="H167" s="144" t="s">
        <v>951</v>
      </c>
      <c r="I167" s="402"/>
      <c r="J167" s="402"/>
      <c r="K167" s="402"/>
      <c r="L167" s="402"/>
      <c r="M167" s="402"/>
      <c r="N167" s="402"/>
      <c r="O167" s="402"/>
      <c r="P167" s="402"/>
      <c r="AI167" s="394" t="s">
        <v>37</v>
      </c>
    </row>
    <row r="168" spans="5:35" x14ac:dyDescent="0.25">
      <c r="E168" s="144" t="s">
        <v>3661</v>
      </c>
      <c r="F168" s="395"/>
      <c r="H168" s="144" t="s">
        <v>954</v>
      </c>
      <c r="I168" s="402"/>
      <c r="J168" s="402"/>
      <c r="K168" s="402"/>
      <c r="L168" s="402"/>
      <c r="M168" s="402"/>
      <c r="N168" s="402"/>
      <c r="O168" s="402"/>
      <c r="P168" s="402"/>
      <c r="AI168" s="394" t="s">
        <v>37</v>
      </c>
    </row>
    <row r="169" spans="5:35" x14ac:dyDescent="0.25">
      <c r="E169" s="144" t="s">
        <v>3664</v>
      </c>
      <c r="F169" s="395"/>
      <c r="H169" s="144" t="s">
        <v>957</v>
      </c>
      <c r="I169" s="402"/>
      <c r="J169" s="402"/>
      <c r="K169" s="402"/>
      <c r="L169" s="402"/>
      <c r="M169" s="402"/>
      <c r="N169" s="402"/>
      <c r="O169" s="402"/>
      <c r="P169" s="402"/>
      <c r="AI169" s="394" t="s">
        <v>37</v>
      </c>
    </row>
    <row r="170" spans="5:35" x14ac:dyDescent="0.25">
      <c r="E170" s="144" t="s">
        <v>3667</v>
      </c>
      <c r="F170" s="395"/>
      <c r="H170" s="144" t="s">
        <v>960</v>
      </c>
      <c r="I170" s="402"/>
      <c r="J170" s="402"/>
      <c r="K170" s="402"/>
      <c r="L170" s="402"/>
      <c r="M170" s="402"/>
      <c r="N170" s="402"/>
      <c r="O170" s="402"/>
      <c r="P170" s="402"/>
      <c r="AI170" s="394" t="s">
        <v>37</v>
      </c>
    </row>
    <row r="171" spans="5:35" x14ac:dyDescent="0.25">
      <c r="E171" s="144" t="s">
        <v>3670</v>
      </c>
      <c r="F171" s="395"/>
      <c r="H171" s="144" t="s">
        <v>963</v>
      </c>
      <c r="I171" s="402"/>
      <c r="J171" s="402"/>
      <c r="K171" s="402"/>
      <c r="L171" s="402"/>
      <c r="M171" s="402"/>
      <c r="N171" s="402"/>
      <c r="O171" s="402"/>
      <c r="P171" s="402"/>
      <c r="AI171" s="394" t="s">
        <v>37</v>
      </c>
    </row>
    <row r="172" spans="5:35" x14ac:dyDescent="0.25">
      <c r="E172" s="144" t="s">
        <v>3673</v>
      </c>
      <c r="F172" s="395"/>
      <c r="H172" s="144" t="s">
        <v>966</v>
      </c>
      <c r="I172" s="402"/>
      <c r="J172" s="402"/>
      <c r="K172" s="402"/>
      <c r="L172" s="402"/>
      <c r="M172" s="402"/>
      <c r="N172" s="402"/>
      <c r="O172" s="402"/>
      <c r="P172" s="402"/>
      <c r="AI172" s="394" t="s">
        <v>37</v>
      </c>
    </row>
    <row r="173" spans="5:35" x14ac:dyDescent="0.25">
      <c r="E173" s="144" t="s">
        <v>3676</v>
      </c>
      <c r="F173" s="395"/>
      <c r="H173" s="144" t="s">
        <v>969</v>
      </c>
      <c r="I173" s="402"/>
      <c r="J173" s="402"/>
      <c r="K173" s="402"/>
      <c r="L173" s="402"/>
      <c r="M173" s="402"/>
      <c r="N173" s="402"/>
      <c r="O173" s="402"/>
      <c r="P173" s="402"/>
      <c r="AI173" s="394" t="s">
        <v>37</v>
      </c>
    </row>
    <row r="174" spans="5:35" x14ac:dyDescent="0.25">
      <c r="E174" s="144" t="s">
        <v>3679</v>
      </c>
      <c r="F174" s="395"/>
      <c r="H174" s="144" t="s">
        <v>972</v>
      </c>
      <c r="I174" s="402"/>
      <c r="J174" s="402"/>
      <c r="K174" s="402"/>
      <c r="L174" s="402"/>
      <c r="M174" s="402"/>
      <c r="N174" s="402"/>
      <c r="O174" s="402"/>
      <c r="P174" s="402"/>
      <c r="AI174" s="394" t="s">
        <v>37</v>
      </c>
    </row>
    <row r="175" spans="5:35" x14ac:dyDescent="0.25">
      <c r="E175" s="144" t="s">
        <v>3682</v>
      </c>
      <c r="F175" s="395"/>
      <c r="H175" s="144" t="s">
        <v>975</v>
      </c>
      <c r="I175" s="402"/>
      <c r="J175" s="402"/>
      <c r="K175" s="402"/>
      <c r="L175" s="402"/>
      <c r="M175" s="402"/>
      <c r="N175" s="402"/>
      <c r="O175" s="402"/>
      <c r="P175" s="402"/>
      <c r="AI175" s="394" t="s">
        <v>37</v>
      </c>
    </row>
    <row r="176" spans="5:35" x14ac:dyDescent="0.25">
      <c r="E176" s="144" t="s">
        <v>3685</v>
      </c>
      <c r="F176" s="395"/>
      <c r="H176" s="144" t="s">
        <v>978</v>
      </c>
      <c r="I176" s="402"/>
      <c r="J176" s="402"/>
      <c r="K176" s="402"/>
      <c r="L176" s="402"/>
      <c r="M176" s="402"/>
      <c r="N176" s="402"/>
      <c r="O176" s="402"/>
      <c r="P176" s="402"/>
      <c r="AI176" s="394" t="s">
        <v>37</v>
      </c>
    </row>
    <row r="177" spans="5:35" x14ac:dyDescent="0.25">
      <c r="E177" s="144" t="s">
        <v>3688</v>
      </c>
      <c r="F177" s="395"/>
      <c r="H177" s="144" t="s">
        <v>981</v>
      </c>
      <c r="I177" s="402"/>
      <c r="J177" s="402"/>
      <c r="K177" s="402"/>
      <c r="L177" s="402"/>
      <c r="M177" s="402"/>
      <c r="N177" s="402"/>
      <c r="O177" s="402"/>
      <c r="P177" s="402"/>
      <c r="AI177" s="394" t="s">
        <v>37</v>
      </c>
    </row>
    <row r="178" spans="5:35" x14ac:dyDescent="0.25">
      <c r="E178" s="144" t="s">
        <v>6502</v>
      </c>
      <c r="F178" s="395"/>
      <c r="H178" s="144" t="s">
        <v>984</v>
      </c>
      <c r="I178" s="402"/>
      <c r="J178" s="402"/>
      <c r="K178" s="402"/>
      <c r="L178" s="402"/>
      <c r="M178" s="402"/>
      <c r="N178" s="402"/>
      <c r="O178" s="402"/>
      <c r="P178" s="402"/>
      <c r="AI178" s="394" t="s">
        <v>37</v>
      </c>
    </row>
    <row r="179" spans="5:35" x14ac:dyDescent="0.25">
      <c r="E179" s="144" t="s">
        <v>3692</v>
      </c>
      <c r="F179" s="395"/>
      <c r="H179" s="144" t="s">
        <v>987</v>
      </c>
      <c r="I179" s="402"/>
      <c r="J179" s="402"/>
      <c r="K179" s="402"/>
      <c r="L179" s="402"/>
      <c r="M179" s="402"/>
      <c r="N179" s="402"/>
      <c r="O179" s="402"/>
      <c r="P179" s="402"/>
      <c r="AI179" s="394" t="s">
        <v>37</v>
      </c>
    </row>
    <row r="180" spans="5:35" x14ac:dyDescent="0.25">
      <c r="E180" s="144" t="s">
        <v>3698</v>
      </c>
      <c r="F180" s="395"/>
      <c r="H180" s="144" t="s">
        <v>990</v>
      </c>
      <c r="I180" s="402"/>
      <c r="J180" s="402"/>
      <c r="K180" s="402"/>
      <c r="L180" s="402"/>
      <c r="M180" s="402"/>
      <c r="N180" s="402"/>
      <c r="O180" s="402"/>
      <c r="P180" s="402"/>
      <c r="AI180" s="394" t="s">
        <v>37</v>
      </c>
    </row>
    <row r="181" spans="5:35" x14ac:dyDescent="0.25">
      <c r="E181" s="144" t="s">
        <v>3701</v>
      </c>
      <c r="F181" s="395"/>
      <c r="H181" s="144" t="s">
        <v>993</v>
      </c>
      <c r="I181" s="402"/>
      <c r="J181" s="402"/>
      <c r="K181" s="402"/>
      <c r="L181" s="402"/>
      <c r="M181" s="402"/>
      <c r="N181" s="402"/>
      <c r="O181" s="402"/>
      <c r="P181" s="402"/>
      <c r="AI181" s="394" t="s">
        <v>37</v>
      </c>
    </row>
    <row r="182" spans="5:35" x14ac:dyDescent="0.25">
      <c r="E182" s="144" t="s">
        <v>4478</v>
      </c>
      <c r="F182" s="395"/>
      <c r="H182" s="144" t="s">
        <v>996</v>
      </c>
      <c r="I182" s="402"/>
      <c r="J182" s="402"/>
      <c r="K182" s="402"/>
      <c r="L182" s="402"/>
      <c r="M182" s="402"/>
      <c r="N182" s="402"/>
      <c r="O182" s="402"/>
      <c r="P182" s="402"/>
      <c r="AI182" s="394" t="s">
        <v>37</v>
      </c>
    </row>
    <row r="183" spans="5:35" x14ac:dyDescent="0.25">
      <c r="E183" s="144" t="s">
        <v>3704</v>
      </c>
      <c r="F183" s="395"/>
      <c r="H183" s="144" t="s">
        <v>999</v>
      </c>
      <c r="I183" s="402"/>
      <c r="J183" s="402"/>
      <c r="K183" s="402"/>
      <c r="L183" s="402"/>
      <c r="M183" s="402"/>
      <c r="N183" s="402"/>
      <c r="O183" s="402"/>
      <c r="P183" s="402"/>
      <c r="AI183" s="394" t="s">
        <v>37</v>
      </c>
    </row>
    <row r="184" spans="5:35" x14ac:dyDescent="0.25">
      <c r="E184" s="144" t="s">
        <v>4335</v>
      </c>
      <c r="F184" s="395"/>
      <c r="H184" s="144" t="s">
        <v>1002</v>
      </c>
      <c r="I184" s="402"/>
      <c r="J184" s="402"/>
      <c r="K184" s="402"/>
      <c r="L184" s="402"/>
      <c r="M184" s="402"/>
      <c r="N184" s="402"/>
      <c r="O184" s="402"/>
      <c r="P184" s="402"/>
      <c r="AI184" s="394" t="s">
        <v>37</v>
      </c>
    </row>
    <row r="185" spans="5:35" x14ac:dyDescent="0.25">
      <c r="E185" s="144" t="s">
        <v>3341</v>
      </c>
      <c r="F185" s="395"/>
      <c r="H185" s="144" t="s">
        <v>1005</v>
      </c>
      <c r="I185" s="402"/>
      <c r="J185" s="402"/>
      <c r="K185" s="402"/>
      <c r="L185" s="402"/>
      <c r="M185" s="402"/>
      <c r="N185" s="402"/>
      <c r="O185" s="402"/>
      <c r="P185" s="402"/>
      <c r="AI185" s="394" t="s">
        <v>37</v>
      </c>
    </row>
    <row r="186" spans="5:35" x14ac:dyDescent="0.25">
      <c r="E186" s="144" t="s">
        <v>4340</v>
      </c>
      <c r="F186" s="395"/>
      <c r="H186" s="144" t="s">
        <v>1008</v>
      </c>
      <c r="I186" s="402"/>
      <c r="J186" s="402"/>
      <c r="K186" s="402"/>
      <c r="L186" s="402"/>
      <c r="M186" s="402"/>
      <c r="N186" s="402"/>
      <c r="O186" s="402"/>
      <c r="P186" s="402"/>
      <c r="AI186" s="394" t="s">
        <v>37</v>
      </c>
    </row>
    <row r="187" spans="5:35" x14ac:dyDescent="0.25">
      <c r="E187" s="144" t="s">
        <v>4343</v>
      </c>
      <c r="F187" s="395"/>
      <c r="H187" s="144" t="s">
        <v>1011</v>
      </c>
      <c r="I187" s="402"/>
      <c r="J187" s="402"/>
      <c r="K187" s="402"/>
      <c r="L187" s="402"/>
      <c r="M187" s="402"/>
      <c r="N187" s="402"/>
      <c r="O187" s="402"/>
      <c r="P187" s="402"/>
      <c r="AI187" s="394" t="s">
        <v>37</v>
      </c>
    </row>
    <row r="188" spans="5:35" x14ac:dyDescent="0.25">
      <c r="E188" s="144" t="s">
        <v>3344</v>
      </c>
      <c r="F188" s="395"/>
      <c r="H188" s="144" t="s">
        <v>1014</v>
      </c>
      <c r="I188" s="402"/>
      <c r="J188" s="402"/>
      <c r="K188" s="402"/>
      <c r="L188" s="402"/>
      <c r="M188" s="402"/>
      <c r="N188" s="402"/>
      <c r="O188" s="402"/>
      <c r="P188" s="402"/>
      <c r="AI188" s="394" t="s">
        <v>37</v>
      </c>
    </row>
    <row r="189" spans="5:35" x14ac:dyDescent="0.25">
      <c r="E189" s="144" t="s">
        <v>3386</v>
      </c>
      <c r="F189" s="395"/>
      <c r="H189" s="144" t="s">
        <v>421</v>
      </c>
      <c r="I189" s="402"/>
      <c r="J189" s="402"/>
      <c r="K189" s="402"/>
      <c r="L189" s="402"/>
      <c r="M189" s="402"/>
      <c r="N189" s="402"/>
      <c r="O189" s="402"/>
      <c r="P189" s="402"/>
      <c r="AI189" s="394" t="s">
        <v>37</v>
      </c>
    </row>
    <row r="190" spans="5:35" x14ac:dyDescent="0.25">
      <c r="E190" s="144" t="s">
        <v>3389</v>
      </c>
      <c r="F190" s="395"/>
      <c r="H190" s="144" t="s">
        <v>424</v>
      </c>
      <c r="I190" s="402"/>
      <c r="J190" s="402"/>
      <c r="K190" s="402"/>
      <c r="L190" s="402"/>
      <c r="M190" s="402"/>
      <c r="N190" s="402"/>
      <c r="O190" s="402"/>
      <c r="P190" s="402"/>
      <c r="AI190" s="394" t="s">
        <v>37</v>
      </c>
    </row>
    <row r="191" spans="5:35" x14ac:dyDescent="0.25">
      <c r="E191" s="144" t="s">
        <v>3392</v>
      </c>
      <c r="F191" s="395"/>
      <c r="H191" s="144" t="s">
        <v>427</v>
      </c>
      <c r="I191" s="402"/>
      <c r="J191" s="402"/>
      <c r="K191" s="402"/>
      <c r="L191" s="402"/>
      <c r="M191" s="402"/>
      <c r="N191" s="402"/>
      <c r="O191" s="402"/>
      <c r="P191" s="402"/>
      <c r="AI191" s="394" t="s">
        <v>37</v>
      </c>
    </row>
    <row r="192" spans="5:35" x14ac:dyDescent="0.25">
      <c r="E192" s="144" t="s">
        <v>3395</v>
      </c>
      <c r="F192" s="395"/>
      <c r="H192" s="144" t="s">
        <v>430</v>
      </c>
      <c r="I192" s="402"/>
      <c r="J192" s="402"/>
      <c r="K192" s="402"/>
      <c r="L192" s="402"/>
      <c r="M192" s="402"/>
      <c r="N192" s="402"/>
      <c r="O192" s="402"/>
      <c r="P192" s="402"/>
      <c r="AI192" s="394" t="s">
        <v>37</v>
      </c>
    </row>
    <row r="193" spans="5:35" x14ac:dyDescent="0.25">
      <c r="E193" s="144" t="s">
        <v>3398</v>
      </c>
      <c r="F193" s="395"/>
      <c r="H193" s="144" t="s">
        <v>433</v>
      </c>
      <c r="I193" s="402"/>
      <c r="J193" s="402"/>
      <c r="K193" s="402"/>
      <c r="L193" s="402"/>
      <c r="M193" s="402"/>
      <c r="N193" s="402"/>
      <c r="O193" s="402"/>
      <c r="P193" s="402"/>
      <c r="AI193" s="394" t="s">
        <v>37</v>
      </c>
    </row>
    <row r="194" spans="5:35" x14ac:dyDescent="0.25">
      <c r="E194" s="144" t="s">
        <v>3401</v>
      </c>
      <c r="F194" s="395"/>
      <c r="H194" s="144" t="s">
        <v>436</v>
      </c>
      <c r="I194" s="402"/>
      <c r="J194" s="402"/>
      <c r="K194" s="402"/>
      <c r="L194" s="402"/>
      <c r="M194" s="402"/>
      <c r="N194" s="402"/>
      <c r="O194" s="402"/>
      <c r="P194" s="402"/>
      <c r="AI194" s="394" t="s">
        <v>37</v>
      </c>
    </row>
    <row r="195" spans="5:35" x14ac:dyDescent="0.25">
      <c r="E195" s="144" t="s">
        <v>3241</v>
      </c>
      <c r="F195" s="395"/>
      <c r="H195" s="144" t="s">
        <v>442</v>
      </c>
      <c r="I195" s="402"/>
      <c r="J195" s="402"/>
      <c r="K195" s="402"/>
      <c r="L195" s="402"/>
      <c r="M195" s="402"/>
      <c r="N195" s="402"/>
      <c r="O195" s="402"/>
      <c r="P195" s="402"/>
      <c r="AI195" s="394" t="s">
        <v>37</v>
      </c>
    </row>
    <row r="196" spans="5:35" x14ac:dyDescent="0.25">
      <c r="E196" s="144" t="s">
        <v>3244</v>
      </c>
      <c r="F196" s="395"/>
      <c r="H196" s="144" t="s">
        <v>439</v>
      </c>
      <c r="I196" s="402"/>
      <c r="J196" s="402"/>
      <c r="K196" s="402"/>
      <c r="L196" s="402"/>
      <c r="M196" s="402"/>
      <c r="N196" s="402"/>
      <c r="O196" s="402"/>
      <c r="P196" s="402"/>
      <c r="AI196" s="394" t="s">
        <v>37</v>
      </c>
    </row>
    <row r="197" spans="5:35" x14ac:dyDescent="0.25">
      <c r="E197" s="144" t="s">
        <v>3247</v>
      </c>
      <c r="F197" s="395"/>
      <c r="H197" s="144" t="s">
        <v>403</v>
      </c>
      <c r="I197" s="402"/>
      <c r="J197" s="402"/>
      <c r="K197" s="402"/>
      <c r="L197" s="402"/>
      <c r="M197" s="402"/>
      <c r="N197" s="402"/>
      <c r="O197" s="402"/>
      <c r="P197" s="402"/>
      <c r="AI197" s="394" t="s">
        <v>37</v>
      </c>
    </row>
    <row r="198" spans="5:35" x14ac:dyDescent="0.25">
      <c r="E198" s="144" t="s">
        <v>3250</v>
      </c>
      <c r="F198" s="395"/>
      <c r="H198" s="144" t="s">
        <v>406</v>
      </c>
      <c r="I198" s="402"/>
      <c r="J198" s="402"/>
      <c r="K198" s="402"/>
      <c r="L198" s="402"/>
      <c r="M198" s="402"/>
      <c r="N198" s="402"/>
      <c r="O198" s="402"/>
      <c r="P198" s="402"/>
      <c r="AI198" s="394" t="s">
        <v>37</v>
      </c>
    </row>
    <row r="199" spans="5:35" x14ac:dyDescent="0.25">
      <c r="E199" s="144" t="s">
        <v>3253</v>
      </c>
      <c r="F199" s="395"/>
      <c r="H199" s="144" t="s">
        <v>445</v>
      </c>
      <c r="I199" s="402"/>
      <c r="J199" s="402"/>
      <c r="K199" s="402"/>
      <c r="L199" s="402"/>
      <c r="M199" s="402"/>
      <c r="N199" s="402"/>
      <c r="O199" s="402"/>
      <c r="P199" s="402"/>
      <c r="AI199" s="394" t="s">
        <v>37</v>
      </c>
    </row>
    <row r="200" spans="5:35" x14ac:dyDescent="0.25">
      <c r="E200" s="144" t="s">
        <v>3256</v>
      </c>
      <c r="F200" s="395"/>
      <c r="H200" s="144" t="s">
        <v>448</v>
      </c>
      <c r="I200" s="402"/>
      <c r="J200" s="402"/>
      <c r="K200" s="402"/>
      <c r="L200" s="402"/>
      <c r="M200" s="402"/>
      <c r="N200" s="402"/>
      <c r="O200" s="402"/>
      <c r="P200" s="402"/>
      <c r="AI200" s="394" t="s">
        <v>37</v>
      </c>
    </row>
    <row r="201" spans="5:35" x14ac:dyDescent="0.25">
      <c r="E201" s="144" t="s">
        <v>3259</v>
      </c>
      <c r="F201" s="395"/>
      <c r="H201" s="144" t="s">
        <v>451</v>
      </c>
      <c r="I201" s="402"/>
      <c r="J201" s="402"/>
      <c r="K201" s="402"/>
      <c r="L201" s="402"/>
      <c r="M201" s="402"/>
      <c r="N201" s="402"/>
      <c r="O201" s="402"/>
      <c r="P201" s="402"/>
      <c r="AI201" s="394" t="s">
        <v>37</v>
      </c>
    </row>
    <row r="202" spans="5:35" x14ac:dyDescent="0.25">
      <c r="E202" s="144" t="s">
        <v>3262</v>
      </c>
      <c r="F202" s="395"/>
      <c r="H202" s="144" t="s">
        <v>454</v>
      </c>
      <c r="I202" s="402"/>
      <c r="J202" s="402"/>
      <c r="K202" s="402"/>
      <c r="L202" s="402"/>
      <c r="M202" s="402"/>
      <c r="N202" s="402"/>
      <c r="O202" s="402"/>
      <c r="P202" s="402"/>
      <c r="AI202" s="394" t="s">
        <v>37</v>
      </c>
    </row>
    <row r="203" spans="5:35" x14ac:dyDescent="0.25">
      <c r="E203" s="144" t="s">
        <v>3265</v>
      </c>
      <c r="F203" s="395"/>
      <c r="H203" s="144" t="s">
        <v>457</v>
      </c>
      <c r="I203" s="402"/>
      <c r="J203" s="402"/>
      <c r="K203" s="402"/>
      <c r="L203" s="402"/>
      <c r="M203" s="402"/>
      <c r="N203" s="402"/>
      <c r="O203" s="402"/>
      <c r="P203" s="402"/>
      <c r="AI203" s="394" t="s">
        <v>37</v>
      </c>
    </row>
    <row r="204" spans="5:35" x14ac:dyDescent="0.25">
      <c r="E204" s="144" t="s">
        <v>4300</v>
      </c>
      <c r="F204" s="395"/>
      <c r="H204" s="144" t="s">
        <v>460</v>
      </c>
      <c r="I204" s="402"/>
      <c r="J204" s="402"/>
      <c r="K204" s="402"/>
      <c r="L204" s="402"/>
      <c r="M204" s="402"/>
      <c r="N204" s="402"/>
      <c r="O204" s="402"/>
      <c r="P204" s="402"/>
      <c r="AI204" s="394" t="s">
        <v>37</v>
      </c>
    </row>
    <row r="205" spans="5:35" x14ac:dyDescent="0.25">
      <c r="E205" s="144" t="s">
        <v>4303</v>
      </c>
      <c r="F205" s="395"/>
      <c r="H205" s="144" t="s">
        <v>463</v>
      </c>
      <c r="I205" s="402"/>
      <c r="J205" s="402"/>
      <c r="K205" s="402"/>
      <c r="L205" s="402"/>
      <c r="M205" s="402"/>
      <c r="N205" s="402"/>
      <c r="O205" s="402"/>
      <c r="P205" s="402"/>
      <c r="AI205" s="394" t="s">
        <v>37</v>
      </c>
    </row>
    <row r="206" spans="5:35" x14ac:dyDescent="0.25">
      <c r="E206" s="144" t="s">
        <v>3268</v>
      </c>
      <c r="F206" s="395"/>
      <c r="H206" s="144" t="s">
        <v>466</v>
      </c>
      <c r="I206" s="402"/>
      <c r="J206" s="402"/>
      <c r="K206" s="402"/>
      <c r="L206" s="402"/>
      <c r="M206" s="402"/>
      <c r="N206" s="402"/>
      <c r="O206" s="402"/>
      <c r="P206" s="402"/>
      <c r="AI206" s="394" t="s">
        <v>37</v>
      </c>
    </row>
    <row r="207" spans="5:35" x14ac:dyDescent="0.25">
      <c r="E207" s="144" t="s">
        <v>3271</v>
      </c>
      <c r="F207" s="395"/>
      <c r="H207" s="144" t="s">
        <v>469</v>
      </c>
      <c r="I207" s="402"/>
      <c r="J207" s="402"/>
      <c r="K207" s="402"/>
      <c r="L207" s="402"/>
      <c r="M207" s="402"/>
      <c r="N207" s="402"/>
      <c r="O207" s="402"/>
      <c r="P207" s="402"/>
      <c r="AI207" s="394" t="s">
        <v>37</v>
      </c>
    </row>
    <row r="208" spans="5:35" x14ac:dyDescent="0.25">
      <c r="E208" s="144" t="s">
        <v>3274</v>
      </c>
      <c r="F208" s="395"/>
      <c r="H208" s="144" t="s">
        <v>472</v>
      </c>
      <c r="I208" s="402"/>
      <c r="J208" s="402"/>
      <c r="K208" s="402"/>
      <c r="L208" s="402"/>
      <c r="M208" s="402"/>
      <c r="N208" s="402"/>
      <c r="O208" s="402"/>
      <c r="P208" s="402"/>
      <c r="AI208" s="394" t="s">
        <v>37</v>
      </c>
    </row>
    <row r="209" spans="5:35" x14ac:dyDescent="0.25">
      <c r="E209" s="144" t="s">
        <v>3277</v>
      </c>
      <c r="F209" s="395"/>
      <c r="H209" s="144" t="s">
        <v>475</v>
      </c>
      <c r="I209" s="402"/>
      <c r="J209" s="402"/>
      <c r="K209" s="402"/>
      <c r="L209" s="402"/>
      <c r="M209" s="402"/>
      <c r="N209" s="402"/>
      <c r="O209" s="402"/>
      <c r="P209" s="402"/>
      <c r="AI209" s="394" t="s">
        <v>37</v>
      </c>
    </row>
    <row r="210" spans="5:35" x14ac:dyDescent="0.25">
      <c r="E210" s="144" t="s">
        <v>6508</v>
      </c>
      <c r="F210" s="395"/>
      <c r="H210" s="144" t="s">
        <v>478</v>
      </c>
      <c r="I210" s="402"/>
      <c r="J210" s="402"/>
      <c r="K210" s="402"/>
      <c r="L210" s="402"/>
      <c r="M210" s="402"/>
      <c r="N210" s="402"/>
      <c r="O210" s="402"/>
      <c r="P210" s="402"/>
      <c r="AI210" s="394" t="s">
        <v>37</v>
      </c>
    </row>
    <row r="211" spans="5:35" x14ac:dyDescent="0.25">
      <c r="E211" s="144" t="s">
        <v>4277</v>
      </c>
      <c r="F211" s="395"/>
      <c r="H211" s="144" t="s">
        <v>481</v>
      </c>
      <c r="I211" s="402"/>
      <c r="J211" s="402"/>
      <c r="K211" s="402"/>
      <c r="L211" s="402"/>
      <c r="M211" s="402"/>
      <c r="N211" s="402"/>
      <c r="O211" s="402"/>
      <c r="P211" s="402"/>
      <c r="AI211" s="394" t="s">
        <v>37</v>
      </c>
    </row>
    <row r="212" spans="5:35" x14ac:dyDescent="0.25">
      <c r="E212" s="144" t="s">
        <v>6578</v>
      </c>
      <c r="F212" s="395"/>
      <c r="H212" s="144" t="s">
        <v>484</v>
      </c>
      <c r="I212" s="402"/>
      <c r="J212" s="402"/>
      <c r="K212" s="402"/>
      <c r="L212" s="402"/>
      <c r="M212" s="402"/>
      <c r="N212" s="402"/>
      <c r="O212" s="402"/>
      <c r="P212" s="402"/>
      <c r="AI212" s="394" t="s">
        <v>37</v>
      </c>
    </row>
    <row r="213" spans="5:35" x14ac:dyDescent="0.25">
      <c r="E213" s="144" t="s">
        <v>6526</v>
      </c>
      <c r="F213" s="395"/>
      <c r="H213" s="144" t="s">
        <v>6544</v>
      </c>
      <c r="I213" s="402"/>
      <c r="J213" s="402"/>
      <c r="K213" s="402"/>
      <c r="L213" s="402"/>
      <c r="M213" s="402"/>
      <c r="N213" s="402"/>
      <c r="O213" s="402"/>
      <c r="P213" s="402"/>
      <c r="AI213" s="394" t="s">
        <v>37</v>
      </c>
    </row>
    <row r="214" spans="5:35" x14ac:dyDescent="0.25">
      <c r="E214" s="144" t="s">
        <v>3281</v>
      </c>
      <c r="F214" s="395"/>
      <c r="H214" s="144" t="s">
        <v>6545</v>
      </c>
      <c r="I214" s="402"/>
      <c r="J214" s="402"/>
      <c r="K214" s="402"/>
      <c r="L214" s="402"/>
      <c r="M214" s="402"/>
      <c r="N214" s="402"/>
      <c r="O214" s="402"/>
      <c r="P214" s="402"/>
      <c r="AI214" s="394" t="s">
        <v>37</v>
      </c>
    </row>
    <row r="215" spans="5:35" x14ac:dyDescent="0.25">
      <c r="E215" s="144" t="s">
        <v>4280</v>
      </c>
      <c r="F215" s="395"/>
      <c r="H215" s="144"/>
      <c r="I215" s="402"/>
      <c r="J215" s="402"/>
      <c r="K215" s="402"/>
      <c r="L215" s="402"/>
      <c r="M215" s="402"/>
      <c r="N215" s="402"/>
      <c r="O215" s="402"/>
      <c r="P215" s="402"/>
      <c r="AI215" s="394" t="s">
        <v>37</v>
      </c>
    </row>
    <row r="216" spans="5:35" x14ac:dyDescent="0.25">
      <c r="E216" s="144" t="s">
        <v>4286</v>
      </c>
      <c r="F216" s="395"/>
      <c r="H216" s="144"/>
      <c r="I216" s="402"/>
      <c r="J216" s="402"/>
      <c r="K216" s="402"/>
      <c r="L216" s="402"/>
      <c r="M216" s="402"/>
      <c r="N216" s="402"/>
      <c r="O216" s="402"/>
      <c r="P216" s="402"/>
      <c r="AI216" s="394" t="s">
        <v>37</v>
      </c>
    </row>
    <row r="217" spans="5:35" x14ac:dyDescent="0.25">
      <c r="E217" s="144" t="s">
        <v>3217</v>
      </c>
      <c r="F217" s="395"/>
      <c r="H217" s="144"/>
      <c r="I217" s="402"/>
      <c r="J217" s="402"/>
      <c r="K217" s="402"/>
      <c r="L217" s="402"/>
      <c r="M217" s="402"/>
      <c r="N217" s="402"/>
      <c r="O217" s="402"/>
      <c r="P217" s="402"/>
      <c r="AI217" s="394" t="s">
        <v>37</v>
      </c>
    </row>
    <row r="218" spans="5:35" x14ac:dyDescent="0.25">
      <c r="E218" s="144" t="s">
        <v>3220</v>
      </c>
      <c r="F218" s="395"/>
      <c r="H218" s="144"/>
      <c r="I218" s="402"/>
      <c r="J218" s="402"/>
      <c r="K218" s="402"/>
      <c r="L218" s="402"/>
      <c r="M218" s="402"/>
      <c r="N218" s="402"/>
      <c r="O218" s="402"/>
      <c r="P218" s="402"/>
      <c r="AI218" s="394" t="s">
        <v>37</v>
      </c>
    </row>
    <row r="219" spans="5:35" x14ac:dyDescent="0.25">
      <c r="E219" s="144" t="s">
        <v>6494</v>
      </c>
      <c r="F219" s="395"/>
      <c r="H219" s="144"/>
      <c r="I219" s="402"/>
      <c r="J219" s="402"/>
      <c r="K219" s="402"/>
      <c r="L219" s="402"/>
      <c r="M219" s="402"/>
      <c r="N219" s="402"/>
      <c r="O219" s="402"/>
      <c r="P219" s="402"/>
      <c r="AI219" s="394" t="s">
        <v>37</v>
      </c>
    </row>
    <row r="220" spans="5:35" x14ac:dyDescent="0.25">
      <c r="E220" s="144" t="s">
        <v>3223</v>
      </c>
      <c r="F220" s="395"/>
      <c r="H220" s="144"/>
      <c r="I220" s="402"/>
      <c r="J220" s="402"/>
      <c r="K220" s="402"/>
      <c r="L220" s="402"/>
      <c r="M220" s="402"/>
      <c r="N220" s="402"/>
      <c r="O220" s="402"/>
      <c r="P220" s="402"/>
      <c r="AI220" s="394" t="s">
        <v>37</v>
      </c>
    </row>
    <row r="221" spans="5:35" x14ac:dyDescent="0.25">
      <c r="E221" s="144" t="s">
        <v>3226</v>
      </c>
      <c r="F221" s="395"/>
      <c r="H221" s="144"/>
      <c r="I221" s="402"/>
      <c r="J221" s="402"/>
      <c r="K221" s="402"/>
      <c r="L221" s="402"/>
      <c r="M221" s="402"/>
      <c r="N221" s="402"/>
      <c r="O221" s="402"/>
      <c r="P221" s="402"/>
      <c r="AI221" s="394" t="s">
        <v>37</v>
      </c>
    </row>
    <row r="222" spans="5:35" x14ac:dyDescent="0.25">
      <c r="E222" s="144" t="s">
        <v>3232</v>
      </c>
      <c r="F222" s="395"/>
      <c r="H222" s="144"/>
      <c r="I222" s="402"/>
      <c r="J222" s="402"/>
      <c r="K222" s="402"/>
      <c r="L222" s="402"/>
      <c r="M222" s="402"/>
      <c r="N222" s="402"/>
      <c r="O222" s="402"/>
      <c r="P222" s="402"/>
      <c r="AI222" s="394" t="s">
        <v>37</v>
      </c>
    </row>
    <row r="223" spans="5:35" x14ac:dyDescent="0.25">
      <c r="E223" s="144" t="s">
        <v>3235</v>
      </c>
      <c r="F223" s="395"/>
      <c r="H223" s="144"/>
      <c r="I223" s="402"/>
      <c r="J223" s="402"/>
      <c r="K223" s="402"/>
      <c r="L223" s="402"/>
      <c r="M223" s="402"/>
      <c r="N223" s="402"/>
      <c r="O223" s="402"/>
      <c r="P223" s="402"/>
      <c r="AI223" s="394" t="s">
        <v>37</v>
      </c>
    </row>
    <row r="224" spans="5:35" x14ac:dyDescent="0.25">
      <c r="E224" s="144" t="s">
        <v>3137</v>
      </c>
      <c r="F224" s="395"/>
      <c r="H224" s="144"/>
      <c r="I224" s="402"/>
      <c r="J224" s="402"/>
      <c r="K224" s="402"/>
      <c r="L224" s="402"/>
      <c r="M224" s="402"/>
      <c r="N224" s="402"/>
      <c r="O224" s="402"/>
      <c r="P224" s="402"/>
      <c r="AI224" s="394" t="s">
        <v>37</v>
      </c>
    </row>
    <row r="225" spans="5:35" x14ac:dyDescent="0.25">
      <c r="E225" s="144" t="s">
        <v>6534</v>
      </c>
      <c r="F225" s="395"/>
      <c r="H225" s="144"/>
      <c r="I225" s="402"/>
      <c r="J225" s="402"/>
      <c r="K225" s="402"/>
      <c r="L225" s="402"/>
      <c r="M225" s="402"/>
      <c r="N225" s="402"/>
      <c r="O225" s="402"/>
      <c r="P225" s="402"/>
      <c r="AI225" s="394" t="s">
        <v>37</v>
      </c>
    </row>
    <row r="226" spans="5:35" x14ac:dyDescent="0.25">
      <c r="E226" s="144" t="s">
        <v>3238</v>
      </c>
      <c r="F226" s="395"/>
      <c r="H226" s="144"/>
      <c r="I226" s="402"/>
      <c r="J226" s="402"/>
      <c r="K226" s="402"/>
      <c r="L226" s="402"/>
      <c r="M226" s="402"/>
      <c r="N226" s="402"/>
      <c r="O226" s="402"/>
      <c r="P226" s="402"/>
      <c r="AI226" s="394" t="s">
        <v>37</v>
      </c>
    </row>
    <row r="227" spans="5:35" x14ac:dyDescent="0.25">
      <c r="E227" s="144" t="s">
        <v>3205</v>
      </c>
      <c r="F227" s="395"/>
      <c r="H227" s="144"/>
      <c r="I227" s="402"/>
      <c r="J227" s="402"/>
      <c r="K227" s="402"/>
      <c r="L227" s="402"/>
      <c r="M227" s="402"/>
      <c r="N227" s="402"/>
      <c r="O227" s="402"/>
      <c r="P227" s="402"/>
      <c r="AI227" s="394" t="s">
        <v>37</v>
      </c>
    </row>
    <row r="228" spans="5:35" x14ac:dyDescent="0.25">
      <c r="E228" s="144" t="s">
        <v>3208</v>
      </c>
      <c r="F228" s="395"/>
      <c r="H228" s="144"/>
      <c r="I228" s="402"/>
      <c r="J228" s="402"/>
      <c r="K228" s="402"/>
      <c r="L228" s="402"/>
      <c r="M228" s="402"/>
      <c r="N228" s="402"/>
      <c r="O228" s="402"/>
      <c r="P228" s="402"/>
      <c r="AI228" s="394" t="s">
        <v>37</v>
      </c>
    </row>
    <row r="229" spans="5:35" x14ac:dyDescent="0.25">
      <c r="E229" s="144" t="s">
        <v>3833</v>
      </c>
      <c r="F229" s="395"/>
      <c r="H229" s="144"/>
      <c r="I229" s="402"/>
      <c r="J229" s="402"/>
      <c r="K229" s="402"/>
      <c r="L229" s="402"/>
      <c r="M229" s="402"/>
      <c r="N229" s="402"/>
      <c r="O229" s="402"/>
      <c r="P229" s="402"/>
      <c r="AI229" s="394" t="s">
        <v>37</v>
      </c>
    </row>
    <row r="230" spans="5:35" x14ac:dyDescent="0.25">
      <c r="E230" s="144" t="s">
        <v>3746</v>
      </c>
      <c r="F230" s="395"/>
      <c r="H230" s="144"/>
      <c r="I230" s="402"/>
      <c r="J230" s="402"/>
      <c r="K230" s="402"/>
      <c r="L230" s="402"/>
      <c r="M230" s="402"/>
      <c r="N230" s="402"/>
      <c r="O230" s="402"/>
      <c r="P230" s="402"/>
      <c r="AI230" s="394" t="s">
        <v>37</v>
      </c>
    </row>
    <row r="231" spans="5:35" x14ac:dyDescent="0.25">
      <c r="E231" s="144" t="s">
        <v>3443</v>
      </c>
      <c r="F231" s="395"/>
      <c r="H231" s="144"/>
      <c r="I231" s="402"/>
      <c r="J231" s="402"/>
      <c r="K231" s="402"/>
      <c r="L231" s="402"/>
      <c r="M231" s="402"/>
      <c r="N231" s="402"/>
      <c r="O231" s="402"/>
      <c r="P231" s="402"/>
      <c r="AI231" s="394" t="s">
        <v>37</v>
      </c>
    </row>
    <row r="232" spans="5:35" x14ac:dyDescent="0.25">
      <c r="E232" s="144" t="s">
        <v>3446</v>
      </c>
      <c r="F232" s="395"/>
      <c r="H232" s="144"/>
      <c r="I232" s="402"/>
      <c r="J232" s="402"/>
      <c r="K232" s="402"/>
      <c r="L232" s="402"/>
      <c r="M232" s="402"/>
      <c r="N232" s="402"/>
      <c r="O232" s="402"/>
      <c r="P232" s="402"/>
      <c r="AI232" s="394" t="s">
        <v>37</v>
      </c>
    </row>
    <row r="233" spans="5:35" x14ac:dyDescent="0.25">
      <c r="E233" s="144" t="s">
        <v>3449</v>
      </c>
      <c r="F233" s="395"/>
      <c r="H233" s="144"/>
      <c r="I233" s="402"/>
      <c r="J233" s="402"/>
      <c r="K233" s="402"/>
      <c r="L233" s="402"/>
      <c r="M233" s="402"/>
      <c r="N233" s="402"/>
      <c r="O233" s="402"/>
      <c r="P233" s="402"/>
      <c r="AI233" s="394" t="s">
        <v>37</v>
      </c>
    </row>
    <row r="234" spans="5:35" x14ac:dyDescent="0.25">
      <c r="E234" s="144" t="s">
        <v>4379</v>
      </c>
      <c r="F234" s="395"/>
      <c r="H234" s="144"/>
      <c r="I234" s="402"/>
      <c r="J234" s="402"/>
      <c r="K234" s="402"/>
      <c r="L234" s="402"/>
      <c r="M234" s="402"/>
      <c r="N234" s="402"/>
      <c r="O234" s="402"/>
      <c r="P234" s="402"/>
      <c r="AI234" s="394" t="s">
        <v>37</v>
      </c>
    </row>
    <row r="235" spans="5:35" x14ac:dyDescent="0.25">
      <c r="E235" s="144" t="s">
        <v>3452</v>
      </c>
      <c r="F235" s="395"/>
      <c r="H235" s="144"/>
      <c r="I235" s="402"/>
      <c r="J235" s="402"/>
      <c r="K235" s="402"/>
      <c r="L235" s="402"/>
      <c r="M235" s="402"/>
      <c r="N235" s="402"/>
      <c r="O235" s="402"/>
      <c r="P235" s="402"/>
      <c r="AI235" s="394" t="s">
        <v>37</v>
      </c>
    </row>
    <row r="236" spans="5:35" x14ac:dyDescent="0.25">
      <c r="E236" s="144" t="s">
        <v>3455</v>
      </c>
      <c r="F236" s="395"/>
      <c r="H236" s="144"/>
      <c r="I236" s="402"/>
      <c r="J236" s="402"/>
      <c r="K236" s="402"/>
      <c r="L236" s="402"/>
      <c r="M236" s="402"/>
      <c r="N236" s="402"/>
      <c r="O236" s="402"/>
      <c r="P236" s="402"/>
      <c r="AI236" s="394" t="s">
        <v>37</v>
      </c>
    </row>
    <row r="237" spans="5:35" x14ac:dyDescent="0.25">
      <c r="E237" s="144" t="s">
        <v>3458</v>
      </c>
      <c r="F237" s="395"/>
      <c r="H237" s="144"/>
      <c r="I237" s="402"/>
      <c r="J237" s="402"/>
      <c r="K237" s="402"/>
      <c r="L237" s="402"/>
      <c r="M237" s="402"/>
      <c r="N237" s="402"/>
      <c r="O237" s="402"/>
      <c r="P237" s="402"/>
      <c r="AI237" s="394" t="s">
        <v>37</v>
      </c>
    </row>
    <row r="238" spans="5:35" x14ac:dyDescent="0.25">
      <c r="E238" s="144" t="s">
        <v>3461</v>
      </c>
      <c r="F238" s="395"/>
      <c r="H238" s="144"/>
      <c r="I238" s="402"/>
      <c r="J238" s="402"/>
      <c r="K238" s="402"/>
      <c r="L238" s="402"/>
      <c r="M238" s="402"/>
      <c r="N238" s="402"/>
      <c r="O238" s="402"/>
      <c r="P238" s="402"/>
      <c r="AI238" s="394" t="s">
        <v>37</v>
      </c>
    </row>
    <row r="239" spans="5:35" x14ac:dyDescent="0.25">
      <c r="E239" s="144" t="s">
        <v>3464</v>
      </c>
      <c r="F239" s="395"/>
      <c r="H239" s="144"/>
      <c r="I239" s="402"/>
      <c r="J239" s="402"/>
      <c r="K239" s="402"/>
      <c r="L239" s="402"/>
      <c r="M239" s="402"/>
      <c r="N239" s="402"/>
      <c r="O239" s="402"/>
      <c r="P239" s="402"/>
      <c r="AI239" s="394" t="s">
        <v>37</v>
      </c>
    </row>
    <row r="240" spans="5:35" x14ac:dyDescent="0.25">
      <c r="E240" s="144" t="s">
        <v>6524</v>
      </c>
      <c r="F240" s="395"/>
      <c r="H240" s="144"/>
      <c r="I240" s="402"/>
      <c r="J240" s="402"/>
      <c r="K240" s="402"/>
      <c r="L240" s="402"/>
      <c r="M240" s="402"/>
      <c r="N240" s="402"/>
      <c r="O240" s="402"/>
      <c r="P240" s="402"/>
      <c r="AI240" s="394" t="s">
        <v>37</v>
      </c>
    </row>
    <row r="241" spans="5:35" x14ac:dyDescent="0.25">
      <c r="E241" s="144" t="s">
        <v>3467</v>
      </c>
      <c r="F241" s="395"/>
      <c r="H241" s="144"/>
      <c r="I241" s="402"/>
      <c r="J241" s="402"/>
      <c r="K241" s="402"/>
      <c r="L241" s="402"/>
      <c r="M241" s="402"/>
      <c r="N241" s="402"/>
      <c r="O241" s="402"/>
      <c r="P241" s="402"/>
      <c r="AI241" s="394" t="s">
        <v>37</v>
      </c>
    </row>
    <row r="242" spans="5:35" x14ac:dyDescent="0.25">
      <c r="E242" s="144" t="s">
        <v>3470</v>
      </c>
      <c r="F242" s="395"/>
      <c r="H242" s="144"/>
      <c r="I242" s="402"/>
      <c r="J242" s="402"/>
      <c r="K242" s="402"/>
      <c r="L242" s="402"/>
      <c r="M242" s="402"/>
      <c r="N242" s="402"/>
      <c r="O242" s="402"/>
      <c r="P242" s="402"/>
      <c r="AI242" s="394" t="s">
        <v>37</v>
      </c>
    </row>
    <row r="243" spans="5:35" x14ac:dyDescent="0.25">
      <c r="E243" s="144" t="s">
        <v>3473</v>
      </c>
      <c r="F243" s="395"/>
      <c r="H243" s="144"/>
      <c r="I243" s="402"/>
      <c r="J243" s="402"/>
      <c r="K243" s="402"/>
      <c r="L243" s="402"/>
      <c r="M243" s="402"/>
      <c r="N243" s="402"/>
      <c r="O243" s="402"/>
      <c r="P243" s="402"/>
      <c r="AI243" s="394" t="s">
        <v>37</v>
      </c>
    </row>
    <row r="244" spans="5:35" x14ac:dyDescent="0.25">
      <c r="E244" s="144" t="s">
        <v>3476</v>
      </c>
      <c r="F244" s="395"/>
      <c r="H244" s="144"/>
      <c r="I244" s="402"/>
      <c r="J244" s="402"/>
      <c r="K244" s="402"/>
      <c r="L244" s="402"/>
      <c r="M244" s="402"/>
      <c r="N244" s="402"/>
      <c r="O244" s="402"/>
      <c r="P244" s="402"/>
      <c r="AI244" s="394" t="s">
        <v>37</v>
      </c>
    </row>
    <row r="245" spans="5:35" x14ac:dyDescent="0.25">
      <c r="E245" s="144" t="s">
        <v>3479</v>
      </c>
      <c r="F245" s="395"/>
      <c r="H245" s="144"/>
      <c r="I245" s="402"/>
      <c r="J245" s="402"/>
      <c r="K245" s="402"/>
      <c r="L245" s="402"/>
      <c r="M245" s="402"/>
      <c r="N245" s="402"/>
      <c r="O245" s="402"/>
      <c r="P245" s="402"/>
      <c r="AI245" s="394" t="s">
        <v>37</v>
      </c>
    </row>
    <row r="246" spans="5:35" x14ac:dyDescent="0.25">
      <c r="E246" s="144" t="s">
        <v>6496</v>
      </c>
      <c r="F246" s="395"/>
      <c r="H246" s="144"/>
      <c r="I246" s="402"/>
      <c r="J246" s="402"/>
      <c r="K246" s="402"/>
      <c r="L246" s="402"/>
      <c r="M246" s="402"/>
      <c r="N246" s="402"/>
      <c r="O246" s="402"/>
      <c r="P246" s="402"/>
      <c r="AI246" s="394" t="s">
        <v>37</v>
      </c>
    </row>
    <row r="247" spans="5:35" x14ac:dyDescent="0.25">
      <c r="E247" s="144" t="s">
        <v>3483</v>
      </c>
      <c r="F247" s="395"/>
      <c r="H247" s="144"/>
      <c r="I247" s="402"/>
      <c r="J247" s="402"/>
      <c r="K247" s="402"/>
      <c r="L247" s="402"/>
      <c r="M247" s="402"/>
      <c r="N247" s="402"/>
      <c r="O247" s="402"/>
      <c r="P247" s="402"/>
      <c r="AI247" s="394" t="s">
        <v>37</v>
      </c>
    </row>
    <row r="248" spans="5:35" x14ac:dyDescent="0.25">
      <c r="E248" s="144" t="s">
        <v>3486</v>
      </c>
      <c r="F248" s="395"/>
      <c r="H248" s="144"/>
      <c r="I248" s="402"/>
      <c r="J248" s="402"/>
      <c r="K248" s="402"/>
      <c r="L248" s="402"/>
      <c r="M248" s="402"/>
      <c r="N248" s="402"/>
      <c r="O248" s="402"/>
      <c r="P248" s="402"/>
      <c r="AI248" s="394" t="s">
        <v>37</v>
      </c>
    </row>
    <row r="249" spans="5:35" x14ac:dyDescent="0.25">
      <c r="E249" s="144" t="s">
        <v>3422</v>
      </c>
      <c r="F249" s="395"/>
      <c r="H249" s="144"/>
      <c r="I249" s="402"/>
      <c r="J249" s="402"/>
      <c r="K249" s="402"/>
      <c r="L249" s="402"/>
      <c r="M249" s="402"/>
      <c r="N249" s="402"/>
      <c r="O249" s="402"/>
      <c r="P249" s="402"/>
      <c r="AI249" s="394" t="s">
        <v>37</v>
      </c>
    </row>
    <row r="250" spans="5:35" x14ac:dyDescent="0.25">
      <c r="E250" s="144" t="s">
        <v>3425</v>
      </c>
      <c r="F250" s="395"/>
      <c r="H250" s="144"/>
      <c r="I250" s="402"/>
      <c r="J250" s="402"/>
      <c r="K250" s="402"/>
      <c r="L250" s="402"/>
      <c r="M250" s="402"/>
      <c r="N250" s="402"/>
      <c r="O250" s="402"/>
      <c r="P250" s="402"/>
      <c r="AI250" s="394" t="s">
        <v>37</v>
      </c>
    </row>
    <row r="251" spans="5:35" x14ac:dyDescent="0.25">
      <c r="E251" s="144" t="s">
        <v>3428</v>
      </c>
      <c r="F251" s="395"/>
      <c r="H251" s="144"/>
      <c r="I251" s="402"/>
      <c r="J251" s="402"/>
      <c r="K251" s="402"/>
      <c r="L251" s="402"/>
      <c r="M251" s="402"/>
      <c r="N251" s="402"/>
      <c r="O251" s="402"/>
      <c r="P251" s="402"/>
      <c r="AI251" s="394" t="s">
        <v>37</v>
      </c>
    </row>
    <row r="252" spans="5:35" x14ac:dyDescent="0.25">
      <c r="E252" s="144" t="s">
        <v>3407</v>
      </c>
      <c r="F252" s="395"/>
      <c r="H252" s="144"/>
      <c r="I252" s="402"/>
      <c r="J252" s="402"/>
      <c r="K252" s="402"/>
      <c r="L252" s="402"/>
      <c r="M252" s="402"/>
      <c r="N252" s="402"/>
      <c r="O252" s="402"/>
      <c r="P252" s="402"/>
      <c r="AI252" s="394" t="s">
        <v>37</v>
      </c>
    </row>
    <row r="253" spans="5:35" x14ac:dyDescent="0.25">
      <c r="E253" s="144" t="s">
        <v>3431</v>
      </c>
      <c r="F253" s="395"/>
      <c r="H253" s="144"/>
      <c r="I253" s="402"/>
      <c r="J253" s="402"/>
      <c r="K253" s="402"/>
      <c r="L253" s="402"/>
      <c r="M253" s="402"/>
      <c r="N253" s="402"/>
      <c r="O253" s="402"/>
      <c r="P253" s="402"/>
      <c r="AI253" s="394" t="s">
        <v>37</v>
      </c>
    </row>
    <row r="254" spans="5:35" x14ac:dyDescent="0.25">
      <c r="E254" s="144" t="s">
        <v>3434</v>
      </c>
      <c r="F254" s="395"/>
      <c r="H254" s="144"/>
      <c r="I254" s="402"/>
      <c r="J254" s="402"/>
      <c r="K254" s="402"/>
      <c r="L254" s="402"/>
      <c r="M254" s="402"/>
      <c r="N254" s="402"/>
      <c r="O254" s="402"/>
      <c r="P254" s="402"/>
      <c r="AI254" s="394" t="s">
        <v>37</v>
      </c>
    </row>
    <row r="255" spans="5:35" x14ac:dyDescent="0.25">
      <c r="E255" s="144" t="s">
        <v>4382</v>
      </c>
      <c r="F255" s="395"/>
      <c r="H255" s="144"/>
      <c r="I255" s="402"/>
      <c r="J255" s="402"/>
      <c r="K255" s="402"/>
      <c r="L255" s="402"/>
      <c r="M255" s="402"/>
      <c r="N255" s="402"/>
      <c r="O255" s="402"/>
      <c r="P255" s="402"/>
      <c r="AI255" s="394" t="s">
        <v>37</v>
      </c>
    </row>
    <row r="256" spans="5:35" x14ac:dyDescent="0.25">
      <c r="E256" s="144" t="s">
        <v>4365</v>
      </c>
      <c r="F256" s="395"/>
      <c r="H256" s="144"/>
      <c r="I256" s="402"/>
      <c r="J256" s="402"/>
      <c r="K256" s="402"/>
      <c r="L256" s="402"/>
      <c r="M256" s="402"/>
      <c r="N256" s="402"/>
      <c r="O256" s="402"/>
      <c r="P256" s="402"/>
      <c r="AI256" s="394" t="s">
        <v>37</v>
      </c>
    </row>
    <row r="257" spans="5:35" x14ac:dyDescent="0.25">
      <c r="E257" s="144" t="s">
        <v>3437</v>
      </c>
      <c r="F257" s="395"/>
      <c r="H257" s="144"/>
      <c r="I257" s="402"/>
      <c r="J257" s="402"/>
      <c r="K257" s="402"/>
      <c r="L257" s="402"/>
      <c r="M257" s="402"/>
      <c r="N257" s="402"/>
      <c r="O257" s="402"/>
      <c r="P257" s="402"/>
      <c r="AI257" s="394" t="s">
        <v>37</v>
      </c>
    </row>
    <row r="258" spans="5:35" x14ac:dyDescent="0.25">
      <c r="E258" s="144" t="s">
        <v>3440</v>
      </c>
      <c r="F258" s="395"/>
      <c r="H258" s="144"/>
      <c r="I258" s="402"/>
      <c r="J258" s="402"/>
      <c r="K258" s="402"/>
      <c r="L258" s="402"/>
      <c r="M258" s="402"/>
      <c r="N258" s="402"/>
      <c r="O258" s="402"/>
      <c r="P258" s="402"/>
      <c r="AI258" s="394" t="s">
        <v>37</v>
      </c>
    </row>
    <row r="259" spans="5:35" x14ac:dyDescent="0.25">
      <c r="E259" s="144" t="s">
        <v>3413</v>
      </c>
      <c r="F259" s="395"/>
      <c r="H259" s="144"/>
      <c r="I259" s="402"/>
      <c r="J259" s="402"/>
      <c r="K259" s="402"/>
      <c r="L259" s="402"/>
      <c r="M259" s="402"/>
      <c r="N259" s="402"/>
      <c r="O259" s="402"/>
      <c r="P259" s="402"/>
      <c r="AI259" s="394" t="s">
        <v>37</v>
      </c>
    </row>
    <row r="260" spans="5:35" x14ac:dyDescent="0.25">
      <c r="E260" s="144" t="s">
        <v>3416</v>
      </c>
      <c r="F260" s="395"/>
      <c r="H260" s="144"/>
      <c r="I260" s="402"/>
      <c r="J260" s="402"/>
      <c r="K260" s="402"/>
      <c r="L260" s="402"/>
      <c r="M260" s="402"/>
      <c r="N260" s="402"/>
      <c r="O260" s="402"/>
      <c r="P260" s="402"/>
      <c r="AI260" s="394" t="s">
        <v>37</v>
      </c>
    </row>
    <row r="261" spans="5:35" x14ac:dyDescent="0.25">
      <c r="E261" s="144" t="s">
        <v>3419</v>
      </c>
      <c r="F261" s="395"/>
      <c r="H261" s="144"/>
      <c r="I261" s="402"/>
      <c r="J261" s="402"/>
      <c r="K261" s="402"/>
      <c r="L261" s="402"/>
      <c r="M261" s="402"/>
      <c r="N261" s="402"/>
      <c r="O261" s="402"/>
      <c r="P261" s="402"/>
      <c r="AI261" s="394" t="s">
        <v>37</v>
      </c>
    </row>
    <row r="262" spans="5:35" x14ac:dyDescent="0.25">
      <c r="E262" s="144" t="s">
        <v>4371</v>
      </c>
      <c r="F262" s="395"/>
      <c r="H262" s="144"/>
      <c r="I262" s="402"/>
      <c r="J262" s="402"/>
      <c r="K262" s="402"/>
      <c r="L262" s="402"/>
      <c r="M262" s="402"/>
      <c r="N262" s="402"/>
      <c r="O262" s="402"/>
      <c r="P262" s="402"/>
      <c r="AI262" s="394" t="s">
        <v>37</v>
      </c>
    </row>
    <row r="263" spans="5:35" x14ac:dyDescent="0.25">
      <c r="E263" s="144" t="s">
        <v>3410</v>
      </c>
      <c r="F263" s="395"/>
      <c r="H263" s="144"/>
      <c r="I263" s="402"/>
      <c r="J263" s="402"/>
      <c r="K263" s="402"/>
      <c r="L263" s="402"/>
      <c r="M263" s="402"/>
      <c r="N263" s="402"/>
      <c r="O263" s="402"/>
      <c r="P263" s="402"/>
      <c r="AI263" s="394" t="s">
        <v>37</v>
      </c>
    </row>
    <row r="264" spans="5:35" x14ac:dyDescent="0.25">
      <c r="E264" s="144" t="s">
        <v>4268</v>
      </c>
      <c r="F264" s="395"/>
      <c r="H264" s="144"/>
      <c r="I264" s="402"/>
      <c r="J264" s="402"/>
      <c r="K264" s="402"/>
      <c r="L264" s="402"/>
      <c r="M264" s="402"/>
      <c r="N264" s="402"/>
      <c r="O264" s="402"/>
      <c r="P264" s="402"/>
      <c r="AI264" s="394" t="s">
        <v>37</v>
      </c>
    </row>
    <row r="265" spans="5:35" x14ac:dyDescent="0.25">
      <c r="E265" s="144" t="s">
        <v>3211</v>
      </c>
      <c r="F265" s="395"/>
      <c r="H265" s="144"/>
      <c r="I265" s="402"/>
      <c r="J265" s="402"/>
      <c r="K265" s="402"/>
      <c r="L265" s="402"/>
      <c r="M265" s="402"/>
      <c r="N265" s="402"/>
      <c r="O265" s="402"/>
      <c r="P265" s="402"/>
      <c r="AI265" s="394" t="s">
        <v>37</v>
      </c>
    </row>
    <row r="266" spans="5:35" x14ac:dyDescent="0.25">
      <c r="E266" s="144" t="s">
        <v>3214</v>
      </c>
      <c r="F266" s="395"/>
      <c r="H266" s="144"/>
      <c r="I266" s="402"/>
      <c r="J266" s="402"/>
      <c r="K266" s="402"/>
      <c r="L266" s="402"/>
      <c r="M266" s="402"/>
      <c r="N266" s="402"/>
      <c r="O266" s="402"/>
      <c r="P266" s="402"/>
      <c r="AI266" s="394" t="s">
        <v>37</v>
      </c>
    </row>
    <row r="267" spans="5:35" x14ac:dyDescent="0.25">
      <c r="E267" s="144" t="s">
        <v>3199</v>
      </c>
      <c r="F267" s="395"/>
      <c r="H267" s="144"/>
      <c r="I267" s="402"/>
      <c r="J267" s="402"/>
      <c r="K267" s="402"/>
      <c r="L267" s="402"/>
      <c r="M267" s="402"/>
      <c r="N267" s="402"/>
      <c r="O267" s="402"/>
      <c r="P267" s="402"/>
      <c r="AI267" s="394" t="s">
        <v>37</v>
      </c>
    </row>
    <row r="268" spans="5:35" x14ac:dyDescent="0.25">
      <c r="E268" s="144" t="s">
        <v>3202</v>
      </c>
      <c r="F268" s="395"/>
      <c r="H268" s="144"/>
      <c r="I268" s="402"/>
      <c r="J268" s="402"/>
      <c r="K268" s="402"/>
      <c r="L268" s="402"/>
      <c r="M268" s="402"/>
      <c r="N268" s="402"/>
      <c r="O268" s="402"/>
      <c r="P268" s="402"/>
      <c r="AI268" s="394" t="s">
        <v>37</v>
      </c>
    </row>
    <row r="269" spans="5:35" x14ac:dyDescent="0.25">
      <c r="E269" s="144" t="s">
        <v>3922</v>
      </c>
      <c r="F269" s="395"/>
      <c r="H269" s="144"/>
      <c r="I269" s="402"/>
      <c r="J269" s="402"/>
      <c r="K269" s="402"/>
      <c r="L269" s="402"/>
      <c r="M269" s="402"/>
      <c r="N269" s="402"/>
      <c r="O269" s="402"/>
      <c r="P269" s="402"/>
      <c r="AI269" s="394" t="s">
        <v>37</v>
      </c>
    </row>
    <row r="270" spans="5:35" x14ac:dyDescent="0.25">
      <c r="E270" s="144" t="s">
        <v>3928</v>
      </c>
      <c r="F270" s="395"/>
      <c r="H270" s="144"/>
      <c r="I270" s="402"/>
      <c r="J270" s="402"/>
      <c r="K270" s="402"/>
      <c r="L270" s="402"/>
      <c r="M270" s="402"/>
      <c r="N270" s="402"/>
      <c r="O270" s="402"/>
      <c r="P270" s="402"/>
      <c r="AI270" s="394" t="s">
        <v>37</v>
      </c>
    </row>
    <row r="271" spans="5:35" x14ac:dyDescent="0.25">
      <c r="E271" s="144" t="s">
        <v>3155</v>
      </c>
      <c r="F271" s="395"/>
      <c r="H271" s="144"/>
      <c r="I271" s="402"/>
      <c r="J271" s="402"/>
      <c r="K271" s="402"/>
      <c r="L271" s="402"/>
      <c r="M271" s="402"/>
      <c r="N271" s="402"/>
      <c r="O271" s="402"/>
      <c r="P271" s="402"/>
      <c r="AI271" s="394" t="s">
        <v>37</v>
      </c>
    </row>
    <row r="272" spans="5:35" x14ac:dyDescent="0.25">
      <c r="E272" s="144" t="s">
        <v>3158</v>
      </c>
      <c r="F272" s="395"/>
      <c r="H272" s="144"/>
      <c r="I272" s="402"/>
      <c r="J272" s="402"/>
      <c r="K272" s="402"/>
      <c r="L272" s="402"/>
      <c r="M272" s="402"/>
      <c r="N272" s="402"/>
      <c r="O272" s="402"/>
      <c r="P272" s="402"/>
      <c r="AI272" s="394" t="s">
        <v>37</v>
      </c>
    </row>
    <row r="273" spans="5:35" x14ac:dyDescent="0.25">
      <c r="E273" s="144" t="s">
        <v>3161</v>
      </c>
      <c r="F273" s="395"/>
      <c r="H273" s="144"/>
      <c r="I273" s="402"/>
      <c r="J273" s="402"/>
      <c r="K273" s="402"/>
      <c r="L273" s="402"/>
      <c r="M273" s="402"/>
      <c r="N273" s="402"/>
      <c r="O273" s="402"/>
      <c r="P273" s="402"/>
      <c r="AI273" s="394" t="s">
        <v>37</v>
      </c>
    </row>
    <row r="274" spans="5:35" x14ac:dyDescent="0.25">
      <c r="E274" s="144" t="s">
        <v>3164</v>
      </c>
      <c r="F274" s="395"/>
      <c r="H274" s="144"/>
      <c r="I274" s="402"/>
      <c r="J274" s="402"/>
      <c r="K274" s="402"/>
      <c r="L274" s="402"/>
      <c r="M274" s="402"/>
      <c r="N274" s="402"/>
      <c r="O274" s="402"/>
      <c r="P274" s="402"/>
      <c r="AI274" s="394" t="s">
        <v>37</v>
      </c>
    </row>
    <row r="275" spans="5:35" x14ac:dyDescent="0.25">
      <c r="E275" s="144" t="s">
        <v>4252</v>
      </c>
      <c r="F275" s="395"/>
      <c r="H275" s="144"/>
      <c r="I275" s="402"/>
      <c r="J275" s="402"/>
      <c r="K275" s="402"/>
      <c r="L275" s="402"/>
      <c r="M275" s="402"/>
      <c r="N275" s="402"/>
      <c r="O275" s="402"/>
      <c r="P275" s="402"/>
      <c r="AI275" s="394" t="s">
        <v>37</v>
      </c>
    </row>
    <row r="276" spans="5:35" x14ac:dyDescent="0.25">
      <c r="E276" s="144" t="s">
        <v>3167</v>
      </c>
      <c r="F276" s="395"/>
      <c r="H276" s="144"/>
      <c r="I276" s="402"/>
      <c r="J276" s="402"/>
      <c r="K276" s="402"/>
      <c r="L276" s="402"/>
      <c r="M276" s="402"/>
      <c r="N276" s="402"/>
      <c r="O276" s="402"/>
      <c r="P276" s="402"/>
      <c r="AI276" s="394" t="s">
        <v>37</v>
      </c>
    </row>
    <row r="277" spans="5:35" x14ac:dyDescent="0.25">
      <c r="E277" s="144" t="s">
        <v>340</v>
      </c>
      <c r="F277" s="395"/>
      <c r="H277" s="144"/>
      <c r="I277" s="402"/>
      <c r="J277" s="402"/>
      <c r="K277" s="402"/>
      <c r="L277" s="402"/>
      <c r="M277" s="402"/>
      <c r="N277" s="402"/>
      <c r="O277" s="402"/>
      <c r="P277" s="402"/>
      <c r="AI277" s="394" t="s">
        <v>37</v>
      </c>
    </row>
    <row r="278" spans="5:35" x14ac:dyDescent="0.25">
      <c r="E278" s="144" t="s">
        <v>3172</v>
      </c>
      <c r="F278" s="395"/>
      <c r="H278" s="144"/>
      <c r="I278" s="402"/>
      <c r="J278" s="402"/>
      <c r="K278" s="402"/>
      <c r="L278" s="402"/>
      <c r="M278" s="402"/>
      <c r="N278" s="402"/>
      <c r="O278" s="402"/>
      <c r="P278" s="402"/>
      <c r="AI278" s="394" t="s">
        <v>37</v>
      </c>
    </row>
    <row r="279" spans="5:35" x14ac:dyDescent="0.25">
      <c r="E279" s="144" t="s">
        <v>4255</v>
      </c>
      <c r="F279" s="395"/>
      <c r="H279" s="144"/>
      <c r="I279" s="402"/>
      <c r="J279" s="402"/>
      <c r="K279" s="402"/>
      <c r="L279" s="402"/>
      <c r="M279" s="402"/>
      <c r="N279" s="402"/>
      <c r="O279" s="402"/>
      <c r="P279" s="402"/>
      <c r="AI279" s="394" t="s">
        <v>37</v>
      </c>
    </row>
    <row r="280" spans="5:35" x14ac:dyDescent="0.25">
      <c r="E280" s="144" t="s">
        <v>3175</v>
      </c>
      <c r="F280" s="395"/>
      <c r="H280" s="144"/>
      <c r="I280" s="402"/>
      <c r="J280" s="402"/>
      <c r="K280" s="402"/>
      <c r="L280" s="402"/>
      <c r="M280" s="402"/>
      <c r="N280" s="402"/>
      <c r="O280" s="402"/>
      <c r="P280" s="402"/>
      <c r="AI280" s="394" t="s">
        <v>37</v>
      </c>
    </row>
    <row r="281" spans="5:35" x14ac:dyDescent="0.25">
      <c r="E281" s="144" t="s">
        <v>3134</v>
      </c>
      <c r="F281" s="395"/>
      <c r="H281" s="144"/>
      <c r="I281" s="402"/>
      <c r="J281" s="402"/>
      <c r="K281" s="402"/>
      <c r="L281" s="402"/>
      <c r="M281" s="402"/>
      <c r="N281" s="402"/>
      <c r="O281" s="402"/>
      <c r="P281" s="402"/>
      <c r="AI281" s="394" t="s">
        <v>37</v>
      </c>
    </row>
    <row r="282" spans="5:35" x14ac:dyDescent="0.25">
      <c r="E282" s="144" t="s">
        <v>3178</v>
      </c>
      <c r="F282" s="395"/>
      <c r="H282" s="144"/>
      <c r="I282" s="402"/>
      <c r="J282" s="402"/>
      <c r="K282" s="402"/>
      <c r="L282" s="402"/>
      <c r="M282" s="402"/>
      <c r="N282" s="402"/>
      <c r="O282" s="402"/>
      <c r="P282" s="402"/>
      <c r="AI282" s="394" t="s">
        <v>37</v>
      </c>
    </row>
    <row r="283" spans="5:35" x14ac:dyDescent="0.25">
      <c r="E283" s="144" t="s">
        <v>3181</v>
      </c>
      <c r="F283" s="395"/>
      <c r="H283" s="144"/>
      <c r="I283" s="402"/>
      <c r="J283" s="402"/>
      <c r="K283" s="402"/>
      <c r="L283" s="402"/>
      <c r="M283" s="402"/>
      <c r="N283" s="402"/>
      <c r="O283" s="402"/>
      <c r="P283" s="402"/>
      <c r="AI283" s="394" t="s">
        <v>37</v>
      </c>
    </row>
    <row r="284" spans="5:35" x14ac:dyDescent="0.25">
      <c r="E284" s="144" t="s">
        <v>3184</v>
      </c>
      <c r="F284" s="395"/>
      <c r="H284" s="144"/>
      <c r="I284" s="402"/>
      <c r="J284" s="402"/>
      <c r="K284" s="402"/>
      <c r="L284" s="402"/>
      <c r="M284" s="402"/>
      <c r="N284" s="402"/>
      <c r="O284" s="402"/>
      <c r="P284" s="402"/>
      <c r="AI284" s="394" t="s">
        <v>37</v>
      </c>
    </row>
    <row r="285" spans="5:35" x14ac:dyDescent="0.25">
      <c r="E285" s="144" t="s">
        <v>3187</v>
      </c>
      <c r="F285" s="395"/>
      <c r="H285" s="144"/>
      <c r="I285" s="402"/>
      <c r="J285" s="402"/>
      <c r="K285" s="402"/>
      <c r="L285" s="402"/>
      <c r="M285" s="402"/>
      <c r="N285" s="402"/>
      <c r="O285" s="402"/>
      <c r="P285" s="402"/>
      <c r="AI285" s="394" t="s">
        <v>37</v>
      </c>
    </row>
    <row r="286" spans="5:35" x14ac:dyDescent="0.25">
      <c r="E286" s="144" t="s">
        <v>3190</v>
      </c>
      <c r="F286" s="395"/>
      <c r="H286" s="144"/>
      <c r="I286" s="402"/>
      <c r="J286" s="402"/>
      <c r="K286" s="402"/>
      <c r="L286" s="402"/>
      <c r="M286" s="402"/>
      <c r="N286" s="402"/>
      <c r="O286" s="402"/>
      <c r="P286" s="402"/>
      <c r="AI286" s="394" t="s">
        <v>37</v>
      </c>
    </row>
    <row r="287" spans="5:35" x14ac:dyDescent="0.25">
      <c r="E287" s="144" t="s">
        <v>3193</v>
      </c>
      <c r="F287" s="395"/>
      <c r="H287" s="144"/>
      <c r="I287" s="402"/>
      <c r="J287" s="402"/>
      <c r="K287" s="402"/>
      <c r="L287" s="402"/>
      <c r="M287" s="402"/>
      <c r="N287" s="402"/>
      <c r="O287" s="402"/>
      <c r="P287" s="402"/>
      <c r="AI287" s="394" t="s">
        <v>37</v>
      </c>
    </row>
    <row r="288" spans="5:35" x14ac:dyDescent="0.25">
      <c r="E288" s="144" t="s">
        <v>3196</v>
      </c>
      <c r="F288" s="395"/>
      <c r="H288" s="144"/>
      <c r="I288" s="402"/>
      <c r="J288" s="402"/>
      <c r="K288" s="402"/>
      <c r="L288" s="402"/>
      <c r="M288" s="402"/>
      <c r="N288" s="402"/>
      <c r="O288" s="402"/>
      <c r="P288" s="402"/>
      <c r="AI288" s="394" t="s">
        <v>37</v>
      </c>
    </row>
    <row r="289" spans="5:35" x14ac:dyDescent="0.25">
      <c r="E289" s="144" t="s">
        <v>3125</v>
      </c>
      <c r="F289" s="395"/>
      <c r="H289" s="144"/>
      <c r="I289" s="402"/>
      <c r="J289" s="402"/>
      <c r="K289" s="402"/>
      <c r="L289" s="402"/>
      <c r="M289" s="402"/>
      <c r="N289" s="402"/>
      <c r="O289" s="402"/>
      <c r="P289" s="402"/>
      <c r="AI289" s="394" t="s">
        <v>37</v>
      </c>
    </row>
    <row r="290" spans="5:35" x14ac:dyDescent="0.25">
      <c r="E290" s="144" t="s">
        <v>3128</v>
      </c>
      <c r="F290" s="395"/>
      <c r="H290" s="144"/>
      <c r="I290" s="402"/>
      <c r="J290" s="402"/>
      <c r="K290" s="402"/>
      <c r="L290" s="402"/>
      <c r="M290" s="402"/>
      <c r="N290" s="402"/>
      <c r="O290" s="402"/>
      <c r="P290" s="402"/>
      <c r="AI290" s="394" t="s">
        <v>37</v>
      </c>
    </row>
    <row r="291" spans="5:35" x14ac:dyDescent="0.25">
      <c r="E291" s="144" t="s">
        <v>3131</v>
      </c>
      <c r="F291" s="395"/>
      <c r="H291" s="144"/>
      <c r="I291" s="402"/>
      <c r="J291" s="402"/>
      <c r="K291" s="402"/>
      <c r="L291" s="402"/>
      <c r="M291" s="402"/>
      <c r="N291" s="402"/>
      <c r="O291" s="402"/>
      <c r="P291" s="402"/>
      <c r="AI291" s="394" t="s">
        <v>37</v>
      </c>
    </row>
    <row r="292" spans="5:35" x14ac:dyDescent="0.25">
      <c r="E292" s="144" t="s">
        <v>3140</v>
      </c>
      <c r="F292" s="395"/>
      <c r="H292" s="144"/>
      <c r="I292" s="402"/>
      <c r="J292" s="402"/>
      <c r="K292" s="402"/>
      <c r="L292" s="402"/>
      <c r="M292" s="402"/>
      <c r="N292" s="402"/>
      <c r="O292" s="402"/>
      <c r="P292" s="402"/>
      <c r="AI292" s="394" t="s">
        <v>37</v>
      </c>
    </row>
    <row r="293" spans="5:35" x14ac:dyDescent="0.25">
      <c r="E293" s="144" t="s">
        <v>3143</v>
      </c>
      <c r="F293" s="395"/>
      <c r="H293" s="144"/>
      <c r="I293" s="402"/>
      <c r="J293" s="402"/>
      <c r="K293" s="402"/>
      <c r="L293" s="402"/>
      <c r="M293" s="402"/>
      <c r="N293" s="402"/>
      <c r="O293" s="402"/>
      <c r="P293" s="402"/>
      <c r="AI293" s="394" t="s">
        <v>37</v>
      </c>
    </row>
    <row r="294" spans="5:35" x14ac:dyDescent="0.25">
      <c r="E294" s="144" t="s">
        <v>3146</v>
      </c>
      <c r="F294" s="395"/>
      <c r="H294" s="144"/>
      <c r="I294" s="402"/>
      <c r="J294" s="402"/>
      <c r="K294" s="402"/>
      <c r="L294" s="402"/>
      <c r="M294" s="402"/>
      <c r="N294" s="402"/>
      <c r="O294" s="402"/>
      <c r="P294" s="402"/>
      <c r="AI294" s="394" t="s">
        <v>37</v>
      </c>
    </row>
    <row r="295" spans="5:35" x14ac:dyDescent="0.25">
      <c r="E295" s="144" t="s">
        <v>6653</v>
      </c>
      <c r="F295" s="395"/>
      <c r="H295" s="144"/>
      <c r="I295" s="402"/>
      <c r="J295" s="402"/>
      <c r="K295" s="402"/>
      <c r="L295" s="402"/>
      <c r="M295" s="402"/>
      <c r="N295" s="402"/>
      <c r="O295" s="402"/>
      <c r="P295" s="402"/>
      <c r="AI295" s="394" t="s">
        <v>37</v>
      </c>
    </row>
    <row r="296" spans="5:35" x14ac:dyDescent="0.25">
      <c r="E296" s="144" t="s">
        <v>3149</v>
      </c>
      <c r="F296" s="395"/>
      <c r="H296" s="144"/>
      <c r="I296" s="402"/>
      <c r="J296" s="402"/>
      <c r="K296" s="402"/>
      <c r="L296" s="402"/>
      <c r="M296" s="402"/>
      <c r="N296" s="402"/>
      <c r="O296" s="402"/>
      <c r="P296" s="402"/>
      <c r="AI296" s="394" t="s">
        <v>37</v>
      </c>
    </row>
    <row r="297" spans="5:35" x14ac:dyDescent="0.25">
      <c r="E297" s="144" t="s">
        <v>3152</v>
      </c>
      <c r="F297" s="395"/>
      <c r="H297" s="144"/>
      <c r="I297" s="402"/>
      <c r="J297" s="402"/>
      <c r="K297" s="402"/>
      <c r="L297" s="402"/>
      <c r="M297" s="402"/>
      <c r="N297" s="402"/>
      <c r="O297" s="402"/>
      <c r="P297" s="402"/>
      <c r="AI297" s="394" t="s">
        <v>37</v>
      </c>
    </row>
    <row r="298" spans="5:35" x14ac:dyDescent="0.25">
      <c r="E298" s="144" t="s">
        <v>3113</v>
      </c>
      <c r="F298" s="395"/>
      <c r="H298" s="144"/>
      <c r="I298" s="402"/>
      <c r="J298" s="402"/>
      <c r="K298" s="402"/>
      <c r="L298" s="402"/>
      <c r="M298" s="402"/>
      <c r="N298" s="402"/>
      <c r="O298" s="402"/>
      <c r="P298" s="402"/>
      <c r="AI298" s="394" t="s">
        <v>37</v>
      </c>
    </row>
    <row r="299" spans="5:35" x14ac:dyDescent="0.25">
      <c r="E299" s="144" t="s">
        <v>3119</v>
      </c>
      <c r="F299" s="395"/>
      <c r="H299" s="144"/>
      <c r="I299" s="402"/>
      <c r="J299" s="402"/>
      <c r="K299" s="402"/>
      <c r="L299" s="402"/>
      <c r="M299" s="402"/>
      <c r="N299" s="402"/>
      <c r="O299" s="402"/>
      <c r="P299" s="402"/>
      <c r="AI299" s="394" t="s">
        <v>37</v>
      </c>
    </row>
    <row r="300" spans="5:35" x14ac:dyDescent="0.25">
      <c r="E300" s="144" t="s">
        <v>6522</v>
      </c>
      <c r="F300" s="395"/>
      <c r="H300" s="144"/>
      <c r="I300" s="402"/>
      <c r="J300" s="402"/>
      <c r="K300" s="402"/>
      <c r="L300" s="402"/>
      <c r="M300" s="402"/>
      <c r="N300" s="402"/>
      <c r="O300" s="402"/>
      <c r="P300" s="402"/>
      <c r="AI300" s="394" t="s">
        <v>37</v>
      </c>
    </row>
    <row r="301" spans="5:35" x14ac:dyDescent="0.25">
      <c r="E301" s="144" t="s">
        <v>3122</v>
      </c>
      <c r="F301" s="395"/>
      <c r="H301" s="144"/>
      <c r="I301" s="402"/>
      <c r="J301" s="402"/>
      <c r="K301" s="402"/>
      <c r="L301" s="402"/>
      <c r="M301" s="402"/>
      <c r="N301" s="402"/>
      <c r="O301" s="402"/>
      <c r="P301" s="402"/>
      <c r="AI301" s="394" t="s">
        <v>37</v>
      </c>
    </row>
    <row r="302" spans="5:35" x14ac:dyDescent="0.25">
      <c r="E302" s="144" t="s">
        <v>3116</v>
      </c>
      <c r="F302" s="395"/>
      <c r="H302" s="144"/>
      <c r="I302" s="402"/>
      <c r="J302" s="402"/>
      <c r="K302" s="402"/>
      <c r="L302" s="402"/>
      <c r="M302" s="402"/>
      <c r="N302" s="402"/>
      <c r="O302" s="402"/>
      <c r="P302" s="402"/>
      <c r="AI302" s="394" t="s">
        <v>37</v>
      </c>
    </row>
    <row r="303" spans="5:35" x14ac:dyDescent="0.25">
      <c r="E303" s="144" t="s">
        <v>4223</v>
      </c>
      <c r="F303" s="395"/>
      <c r="H303" s="144"/>
      <c r="I303" s="402"/>
      <c r="J303" s="402"/>
      <c r="K303" s="402"/>
      <c r="L303" s="402"/>
      <c r="M303" s="402"/>
      <c r="N303" s="402"/>
      <c r="O303" s="402"/>
      <c r="P303" s="402"/>
      <c r="AI303" s="394" t="s">
        <v>37</v>
      </c>
    </row>
    <row r="304" spans="5:35" x14ac:dyDescent="0.25">
      <c r="E304" s="144" t="s">
        <v>3749</v>
      </c>
      <c r="F304" s="395"/>
      <c r="H304" s="144"/>
      <c r="I304" s="402"/>
      <c r="J304" s="402"/>
      <c r="K304" s="402"/>
      <c r="L304" s="402"/>
      <c r="M304" s="402"/>
      <c r="N304" s="402"/>
      <c r="O304" s="402"/>
      <c r="P304" s="402"/>
      <c r="AI304" s="394" t="s">
        <v>37</v>
      </c>
    </row>
    <row r="305" spans="5:35" x14ac:dyDescent="0.25">
      <c r="E305" s="144" t="s">
        <v>3752</v>
      </c>
      <c r="F305" s="395"/>
      <c r="H305" s="144"/>
      <c r="I305" s="402"/>
      <c r="J305" s="402"/>
      <c r="K305" s="402"/>
      <c r="L305" s="402"/>
      <c r="M305" s="402"/>
      <c r="N305" s="402"/>
      <c r="O305" s="402"/>
      <c r="P305" s="402"/>
      <c r="AI305" s="394" t="s">
        <v>37</v>
      </c>
    </row>
    <row r="306" spans="5:35" x14ac:dyDescent="0.25">
      <c r="E306" s="144" t="s">
        <v>3755</v>
      </c>
      <c r="F306" s="395"/>
      <c r="H306" s="144"/>
      <c r="I306" s="402"/>
      <c r="J306" s="402"/>
      <c r="K306" s="402"/>
      <c r="L306" s="402"/>
      <c r="M306" s="402"/>
      <c r="N306" s="402"/>
      <c r="O306" s="402"/>
      <c r="P306" s="402"/>
      <c r="AI306" s="394" t="s">
        <v>37</v>
      </c>
    </row>
    <row r="307" spans="5:35" x14ac:dyDescent="0.25">
      <c r="E307" s="144" t="s">
        <v>4497</v>
      </c>
      <c r="F307" s="395"/>
      <c r="H307" s="144"/>
      <c r="N307" s="402"/>
      <c r="O307" s="402"/>
      <c r="P307" s="402"/>
      <c r="AI307" s="394" t="s">
        <v>37</v>
      </c>
    </row>
    <row r="308" spans="5:35" x14ac:dyDescent="0.25">
      <c r="E308" s="144" t="s">
        <v>3740</v>
      </c>
      <c r="F308" s="395"/>
      <c r="H308" s="144"/>
      <c r="N308" s="402"/>
      <c r="O308" s="402"/>
      <c r="P308" s="402"/>
      <c r="AI308" s="394" t="s">
        <v>37</v>
      </c>
    </row>
    <row r="309" spans="5:35" x14ac:dyDescent="0.25">
      <c r="E309" s="144" t="s">
        <v>3743</v>
      </c>
      <c r="F309" s="395"/>
      <c r="H309" s="144"/>
      <c r="N309" s="402"/>
      <c r="O309" s="402"/>
      <c r="P309" s="402"/>
      <c r="AI309" s="394" t="s">
        <v>37</v>
      </c>
    </row>
    <row r="310" spans="5:35" x14ac:dyDescent="0.25">
      <c r="E310" s="144" t="s">
        <v>6536</v>
      </c>
      <c r="F310" s="395"/>
      <c r="H310" s="144"/>
      <c r="N310" s="402"/>
      <c r="O310" s="402"/>
      <c r="P310" s="402"/>
      <c r="AI310" s="394" t="s">
        <v>37</v>
      </c>
    </row>
    <row r="311" spans="5:35" x14ac:dyDescent="0.25">
      <c r="E311" s="144" t="s">
        <v>4481</v>
      </c>
      <c r="F311" s="395"/>
      <c r="H311" s="144"/>
      <c r="N311" s="402"/>
      <c r="O311" s="402"/>
      <c r="P311" s="402"/>
      <c r="AI311" s="394" t="s">
        <v>37</v>
      </c>
    </row>
    <row r="312" spans="5:35" x14ac:dyDescent="0.25">
      <c r="E312" s="144" t="s">
        <v>3383</v>
      </c>
      <c r="F312" s="395"/>
      <c r="H312" s="144"/>
      <c r="AI312" s="394" t="s">
        <v>37</v>
      </c>
    </row>
    <row r="313" spans="5:35" x14ac:dyDescent="0.25">
      <c r="E313" s="144" t="s">
        <v>3758</v>
      </c>
      <c r="F313" s="395"/>
      <c r="H313" s="144"/>
      <c r="AI313" s="394" t="s">
        <v>37</v>
      </c>
    </row>
    <row r="314" spans="5:35" x14ac:dyDescent="0.25">
      <c r="E314" s="144" t="s">
        <v>3776</v>
      </c>
      <c r="F314" s="395"/>
      <c r="H314" s="144"/>
      <c r="AI314" s="394" t="s">
        <v>37</v>
      </c>
    </row>
    <row r="315" spans="5:35" x14ac:dyDescent="0.25">
      <c r="E315" s="144" t="s">
        <v>6530</v>
      </c>
      <c r="F315" s="395"/>
      <c r="H315" s="144"/>
      <c r="AI315" s="394" t="s">
        <v>37</v>
      </c>
    </row>
    <row r="316" spans="5:35" x14ac:dyDescent="0.25">
      <c r="E316" s="144" t="s">
        <v>3761</v>
      </c>
      <c r="F316" s="395"/>
      <c r="H316" s="144"/>
      <c r="AI316" s="394" t="s">
        <v>37</v>
      </c>
    </row>
    <row r="317" spans="5:35" x14ac:dyDescent="0.25">
      <c r="E317" s="144" t="s">
        <v>6584</v>
      </c>
      <c r="F317" s="395"/>
      <c r="H317" s="144"/>
      <c r="AI317" s="394" t="s">
        <v>37</v>
      </c>
    </row>
    <row r="318" spans="5:35" x14ac:dyDescent="0.25">
      <c r="E318" s="144" t="s">
        <v>6498</v>
      </c>
      <c r="F318" s="395"/>
      <c r="H318" s="144"/>
      <c r="AI318" s="394" t="s">
        <v>37</v>
      </c>
    </row>
    <row r="319" spans="5:35" x14ac:dyDescent="0.25">
      <c r="E319" s="144" t="s">
        <v>4507</v>
      </c>
      <c r="F319" s="395"/>
      <c r="H319" s="144"/>
      <c r="AI319" s="394" t="s">
        <v>37</v>
      </c>
    </row>
    <row r="320" spans="5:35" x14ac:dyDescent="0.25">
      <c r="E320" s="144" t="s">
        <v>3764</v>
      </c>
      <c r="F320" s="395"/>
      <c r="H320" s="144"/>
      <c r="AI320" s="394" t="s">
        <v>37</v>
      </c>
    </row>
    <row r="321" spans="5:35" x14ac:dyDescent="0.25">
      <c r="E321" s="144" t="s">
        <v>3767</v>
      </c>
      <c r="F321" s="395"/>
      <c r="H321" s="144"/>
      <c r="AI321" s="394" t="s">
        <v>37</v>
      </c>
    </row>
    <row r="322" spans="5:35" x14ac:dyDescent="0.25">
      <c r="E322" s="144" t="s">
        <v>3770</v>
      </c>
      <c r="H322" s="144"/>
      <c r="AI322" s="394" t="s">
        <v>37</v>
      </c>
    </row>
    <row r="323" spans="5:35" x14ac:dyDescent="0.25">
      <c r="E323" s="144" t="s">
        <v>3773</v>
      </c>
      <c r="H323" s="144"/>
      <c r="AI323" s="394" t="s">
        <v>37</v>
      </c>
    </row>
    <row r="324" spans="5:35" x14ac:dyDescent="0.25">
      <c r="E324" s="144" t="s">
        <v>3779</v>
      </c>
      <c r="H324" s="144"/>
      <c r="AI324" s="394" t="s">
        <v>37</v>
      </c>
    </row>
    <row r="325" spans="5:35" x14ac:dyDescent="0.25">
      <c r="E325" s="144" t="s">
        <v>3836</v>
      </c>
      <c r="H325" s="144"/>
      <c r="AI325" s="394" t="s">
        <v>37</v>
      </c>
    </row>
    <row r="326" spans="5:35" x14ac:dyDescent="0.25">
      <c r="E326" s="144" t="s">
        <v>3716</v>
      </c>
      <c r="H326" s="144"/>
      <c r="AI326" s="394" t="s">
        <v>37</v>
      </c>
    </row>
    <row r="327" spans="5:35" x14ac:dyDescent="0.25">
      <c r="E327" s="144" t="s">
        <v>3719</v>
      </c>
      <c r="H327" s="144"/>
      <c r="AI327" s="394" t="s">
        <v>37</v>
      </c>
    </row>
    <row r="328" spans="5:35" x14ac:dyDescent="0.25">
      <c r="E328" s="144" t="s">
        <v>3722</v>
      </c>
      <c r="H328" s="144"/>
      <c r="AI328" s="394" t="s">
        <v>37</v>
      </c>
    </row>
    <row r="329" spans="5:35" x14ac:dyDescent="0.25">
      <c r="E329" s="144" t="s">
        <v>3725</v>
      </c>
      <c r="H329" s="144"/>
      <c r="AI329" s="394" t="s">
        <v>37</v>
      </c>
    </row>
    <row r="330" spans="5:35" x14ac:dyDescent="0.25">
      <c r="E330" s="144" t="s">
        <v>3728</v>
      </c>
      <c r="H330" s="144"/>
    </row>
    <row r="331" spans="5:35" x14ac:dyDescent="0.25">
      <c r="E331" s="144" t="s">
        <v>3731</v>
      </c>
      <c r="H331" s="144"/>
    </row>
    <row r="332" spans="5:35" x14ac:dyDescent="0.25">
      <c r="E332" s="144" t="s">
        <v>3734</v>
      </c>
      <c r="H332" s="144"/>
    </row>
    <row r="333" spans="5:35" x14ac:dyDescent="0.25">
      <c r="E333" s="144" t="s">
        <v>3737</v>
      </c>
      <c r="H333" s="144"/>
    </row>
    <row r="334" spans="5:35" x14ac:dyDescent="0.25">
      <c r="E334" s="144" t="s">
        <v>3710</v>
      </c>
      <c r="H334" s="144"/>
    </row>
    <row r="335" spans="5:35" x14ac:dyDescent="0.25">
      <c r="E335" s="144" t="s">
        <v>3713</v>
      </c>
      <c r="H335" s="144"/>
    </row>
    <row r="336" spans="5:35" x14ac:dyDescent="0.25">
      <c r="E336" s="144" t="s">
        <v>3707</v>
      </c>
      <c r="H336" s="144"/>
    </row>
    <row r="337" spans="5:8" x14ac:dyDescent="0.25">
      <c r="E337" s="144" t="s">
        <v>3526</v>
      </c>
      <c r="H337" s="144"/>
    </row>
    <row r="338" spans="5:8" x14ac:dyDescent="0.25">
      <c r="E338" s="144" t="s">
        <v>3695</v>
      </c>
      <c r="H338" s="144"/>
    </row>
    <row r="339" spans="5:8" x14ac:dyDescent="0.25">
      <c r="E339" s="144" t="s">
        <v>3532</v>
      </c>
      <c r="H339" s="144"/>
    </row>
    <row r="340" spans="5:8" x14ac:dyDescent="0.25">
      <c r="E340" s="144" t="s">
        <v>3535</v>
      </c>
      <c r="H340" s="144"/>
    </row>
    <row r="341" spans="5:8" x14ac:dyDescent="0.25">
      <c r="E341" s="144" t="s">
        <v>3538</v>
      </c>
      <c r="H341" s="144"/>
    </row>
    <row r="342" spans="5:8" x14ac:dyDescent="0.25">
      <c r="E342" s="144" t="s">
        <v>3541</v>
      </c>
      <c r="H342" s="144"/>
    </row>
    <row r="343" spans="5:8" x14ac:dyDescent="0.25">
      <c r="E343" s="144" t="s">
        <v>6576</v>
      </c>
      <c r="H343" s="144"/>
    </row>
    <row r="344" spans="5:8" x14ac:dyDescent="0.25">
      <c r="E344" s="144" t="s">
        <v>3544</v>
      </c>
      <c r="H344" s="144"/>
    </row>
    <row r="345" spans="5:8" x14ac:dyDescent="0.25">
      <c r="E345" s="144" t="s">
        <v>3547</v>
      </c>
      <c r="H345" s="144"/>
    </row>
    <row r="346" spans="5:8" x14ac:dyDescent="0.25">
      <c r="E346" s="144" t="s">
        <v>3518</v>
      </c>
      <c r="H346" s="144"/>
    </row>
    <row r="347" spans="5:8" x14ac:dyDescent="0.25">
      <c r="E347" s="144" t="s">
        <v>341</v>
      </c>
      <c r="H347" s="144"/>
    </row>
    <row r="348" spans="5:8" x14ac:dyDescent="0.25">
      <c r="E348" s="144" t="s">
        <v>343</v>
      </c>
      <c r="H348" s="144"/>
    </row>
    <row r="349" spans="5:8" x14ac:dyDescent="0.25">
      <c r="E349"/>
    </row>
    <row r="350" spans="5:8" x14ac:dyDescent="0.25">
      <c r="E350"/>
    </row>
    <row r="351" spans="5:8" x14ac:dyDescent="0.25">
      <c r="E351"/>
    </row>
    <row r="352" spans="5:8" x14ac:dyDescent="0.25">
      <c r="E352"/>
    </row>
    <row r="353" spans="5:5" x14ac:dyDescent="0.25">
      <c r="E353" s="438"/>
    </row>
    <row r="354" spans="5:5" x14ac:dyDescent="0.25">
      <c r="E354" s="438"/>
    </row>
    <row r="355" spans="5:5" x14ac:dyDescent="0.25">
      <c r="E355" s="438"/>
    </row>
    <row r="356" spans="5:5" x14ac:dyDescent="0.25">
      <c r="E356" s="438"/>
    </row>
    <row r="357" spans="5:5" x14ac:dyDescent="0.25">
      <c r="E357" s="438"/>
    </row>
    <row r="358" spans="5:5" x14ac:dyDescent="0.25">
      <c r="E358" s="438"/>
    </row>
    <row r="359" spans="5:5" x14ac:dyDescent="0.25">
      <c r="E359" s="438"/>
    </row>
    <row r="360" spans="5:5" x14ac:dyDescent="0.25">
      <c r="E360" s="438"/>
    </row>
    <row r="361" spans="5:5" x14ac:dyDescent="0.25">
      <c r="E361" s="438"/>
    </row>
    <row r="362" spans="5:5" x14ac:dyDescent="0.25">
      <c r="E362" s="438"/>
    </row>
    <row r="363" spans="5:5" x14ac:dyDescent="0.25">
      <c r="E363" s="438"/>
    </row>
    <row r="364" spans="5:5" x14ac:dyDescent="0.25">
      <c r="E364" s="391"/>
    </row>
    <row r="365" spans="5:5" x14ac:dyDescent="0.25">
      <c r="E365" s="391"/>
    </row>
    <row r="366" spans="5:5" x14ac:dyDescent="0.25">
      <c r="E366" s="391"/>
    </row>
    <row r="367" spans="5:5" x14ac:dyDescent="0.25">
      <c r="E367" s="391"/>
    </row>
    <row r="368" spans="5:5" x14ac:dyDescent="0.25">
      <c r="E368" s="392"/>
    </row>
    <row r="369" spans="5:5" x14ac:dyDescent="0.25">
      <c r="E369" s="392"/>
    </row>
    <row r="370" spans="5:5" x14ac:dyDescent="0.25">
      <c r="E370" s="392"/>
    </row>
    <row r="371" spans="5:5" x14ac:dyDescent="0.25">
      <c r="E371" s="393"/>
    </row>
  </sheetData>
  <sortState ref="E2:E353">
    <sortCondition ref="E2"/>
  </sortState>
  <mergeCells count="2">
    <mergeCell ref="A8:B8"/>
    <mergeCell ref="A10:B10"/>
  </mergeCells>
  <phoneticPr fontId="0" type="noConversion"/>
  <conditionalFormatting sqref="K2">
    <cfRule type="cellIs" dxfId="13" priority="2" operator="equal">
      <formula>"q"</formula>
    </cfRule>
  </conditionalFormatting>
  <conditionalFormatting sqref="N2">
    <cfRule type="cellIs" dxfId="12" priority="1" operator="equal">
      <formula>"q"</formula>
    </cfRule>
  </conditionalFormatting>
  <dataValidations count="1">
    <dataValidation type="list" allowBlank="1" showInputMessage="1" showErrorMessage="1" sqref="G5 B5">
      <formula1>"TRUE, FALSE"</formula1>
    </dataValidation>
  </dataValidations>
  <hyperlinks>
    <hyperlink ref="B9" r:id="rId1"/>
  </hyperlinks>
  <pageMargins left="0.75" right="0.75" top="1" bottom="1" header="0.5" footer="0.5"/>
  <pageSetup paperSize="9"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rgb="FFA0D0E8"/>
  </sheetPr>
  <dimension ref="A1:P415"/>
  <sheetViews>
    <sheetView showGridLines="0" showRowColHeaders="0" zoomScale="85" zoomScaleNormal="85" zoomScaleSheetLayoutView="70" workbookViewId="0">
      <pane ySplit="5" topLeftCell="A15" activePane="bottomLeft" state="frozen"/>
      <selection activeCell="B7" sqref="B7"/>
      <selection pane="bottomLeft" activeCell="B7" sqref="B7"/>
    </sheetView>
  </sheetViews>
  <sheetFormatPr defaultRowHeight="12.75" x14ac:dyDescent="0.2"/>
  <cols>
    <col min="1" max="1" width="3.7109375" style="37" customWidth="1"/>
    <col min="2" max="2" width="27.140625" style="9" customWidth="1"/>
    <col min="3" max="3" width="2.7109375" style="9" customWidth="1"/>
    <col min="4" max="4" width="46.140625" style="9" customWidth="1"/>
    <col min="5" max="5" width="2.7109375" style="9" customWidth="1"/>
    <col min="6" max="6" width="42.7109375" style="9" customWidth="1"/>
    <col min="7" max="7" width="2.7109375" style="9" customWidth="1"/>
    <col min="8" max="8" width="48.28515625" style="9" customWidth="1"/>
    <col min="9" max="12" width="16.42578125" style="9" customWidth="1"/>
    <col min="13" max="14" width="19.28515625" style="9" customWidth="1"/>
    <col min="15" max="15" width="1.28515625" style="9" customWidth="1"/>
    <col min="16" max="16384" width="9.140625" style="9"/>
  </cols>
  <sheetData>
    <row r="1" spans="1:12" s="33" customFormat="1" ht="33" customHeight="1" x14ac:dyDescent="0.2">
      <c r="A1" s="44"/>
    </row>
    <row r="2" spans="1:12" s="33" customFormat="1" ht="14.25" customHeight="1" x14ac:dyDescent="0.2"/>
    <row r="3" spans="1:12" s="33" customFormat="1" ht="14.25" customHeight="1" x14ac:dyDescent="0.2"/>
    <row r="4" spans="1:12" s="33" customFormat="1" ht="14.25" customHeight="1" x14ac:dyDescent="0.2"/>
    <row r="5" spans="1:12" s="33" customFormat="1" ht="30.75" customHeight="1" x14ac:dyDescent="0.2"/>
    <row r="6" spans="1:12" s="33" customFormat="1" ht="5.25" customHeight="1" x14ac:dyDescent="0.2">
      <c r="B6" s="37"/>
    </row>
    <row r="7" spans="1:12" s="128" customFormat="1" ht="24.75" customHeight="1" x14ac:dyDescent="0.4">
      <c r="B7" s="90" t="s">
        <v>221</v>
      </c>
    </row>
    <row r="8" spans="1:12" s="212" customFormat="1" ht="9.75" customHeight="1" x14ac:dyDescent="0.2">
      <c r="B8" s="567"/>
      <c r="C8" s="567"/>
      <c r="D8" s="567"/>
      <c r="E8" s="567"/>
      <c r="F8" s="567"/>
      <c r="G8" s="567"/>
      <c r="H8" s="567"/>
      <c r="I8" s="567"/>
      <c r="J8" s="567"/>
      <c r="K8" s="345"/>
      <c r="L8" s="345"/>
    </row>
    <row r="9" spans="1:12" s="321" customFormat="1" ht="15" x14ac:dyDescent="0.2">
      <c r="B9" s="541" t="s">
        <v>222</v>
      </c>
      <c r="C9" s="541"/>
      <c r="D9" s="541"/>
      <c r="E9" s="541"/>
      <c r="F9" s="541"/>
      <c r="G9" s="541"/>
      <c r="H9" s="541"/>
      <c r="I9" s="541"/>
    </row>
    <row r="10" spans="1:12" s="212" customFormat="1" ht="9.75" customHeight="1" x14ac:dyDescent="0.2">
      <c r="B10" s="567"/>
      <c r="C10" s="567"/>
      <c r="D10" s="567"/>
      <c r="E10" s="567"/>
      <c r="F10" s="567"/>
      <c r="G10" s="567"/>
      <c r="H10" s="567"/>
      <c r="I10" s="567"/>
      <c r="J10" s="567"/>
      <c r="K10" s="345"/>
      <c r="L10" s="345"/>
    </row>
    <row r="11" spans="1:12" s="212" customFormat="1" ht="15.75" x14ac:dyDescent="0.25">
      <c r="B11" s="515" t="s">
        <v>76</v>
      </c>
      <c r="C11" s="515"/>
      <c r="D11" s="515"/>
      <c r="E11" s="515"/>
      <c r="F11" s="515"/>
      <c r="G11" s="515"/>
      <c r="H11" s="515"/>
      <c r="I11" s="515"/>
      <c r="J11" s="358"/>
      <c r="K11" s="345"/>
      <c r="L11" s="345"/>
    </row>
    <row r="12" spans="1:12" s="212" customFormat="1" ht="33.75" customHeight="1" x14ac:dyDescent="0.2">
      <c r="B12" s="503" t="s">
        <v>233</v>
      </c>
      <c r="C12" s="503"/>
      <c r="D12" s="503"/>
      <c r="E12" s="503"/>
      <c r="F12" s="503"/>
      <c r="G12" s="503"/>
      <c r="H12" s="503"/>
      <c r="I12" s="503"/>
      <c r="J12" s="357"/>
      <c r="K12" s="345"/>
      <c r="L12" s="345"/>
    </row>
    <row r="13" spans="1:12" s="212" customFormat="1" ht="10.5" customHeight="1" thickBot="1" x14ac:dyDescent="0.25">
      <c r="B13" s="567"/>
      <c r="C13" s="567"/>
      <c r="D13" s="567"/>
      <c r="E13" s="567"/>
      <c r="F13" s="567"/>
      <c r="G13" s="567"/>
      <c r="H13" s="567"/>
      <c r="I13" s="567"/>
      <c r="J13" s="567"/>
      <c r="K13" s="345"/>
      <c r="L13" s="345"/>
    </row>
    <row r="14" spans="1:12" s="362" customFormat="1" ht="22.5" customHeight="1" thickBot="1" x14ac:dyDescent="0.25">
      <c r="B14" s="571" t="s">
        <v>226</v>
      </c>
      <c r="C14" s="572"/>
      <c r="D14" s="572"/>
      <c r="E14" s="572"/>
      <c r="F14" s="572"/>
      <c r="G14" s="572"/>
      <c r="H14" s="573"/>
      <c r="I14" s="365"/>
      <c r="J14" s="365"/>
      <c r="K14" s="365"/>
    </row>
    <row r="15" spans="1:12" s="212" customFormat="1" ht="10.5" customHeight="1" x14ac:dyDescent="0.2">
      <c r="B15" s="345"/>
      <c r="C15" s="345"/>
      <c r="D15" s="345"/>
      <c r="E15" s="345"/>
      <c r="F15" s="345"/>
      <c r="G15" s="345"/>
      <c r="H15" s="345"/>
      <c r="I15" s="345"/>
      <c r="J15" s="345"/>
      <c r="K15" s="345"/>
      <c r="L15" s="345"/>
    </row>
    <row r="16" spans="1:12" s="321" customFormat="1" ht="15" x14ac:dyDescent="0.2">
      <c r="B16" s="321" t="s">
        <v>223</v>
      </c>
    </row>
    <row r="17" spans="1:15" s="212" customFormat="1" ht="11.25" customHeight="1" x14ac:dyDescent="0.2">
      <c r="B17" s="567"/>
      <c r="C17" s="567"/>
      <c r="D17" s="567"/>
      <c r="E17" s="567"/>
      <c r="F17" s="567"/>
      <c r="G17" s="567"/>
      <c r="H17" s="567"/>
      <c r="I17" s="567"/>
      <c r="J17" s="567"/>
      <c r="K17" s="345"/>
      <c r="L17" s="345"/>
    </row>
    <row r="18" spans="1:15" s="321" customFormat="1" ht="15.75" x14ac:dyDescent="0.2">
      <c r="B18" s="570" t="s">
        <v>224</v>
      </c>
      <c r="C18" s="570"/>
      <c r="D18" s="570"/>
      <c r="E18" s="570"/>
      <c r="F18" s="570"/>
      <c r="G18" s="570"/>
      <c r="H18" s="570"/>
      <c r="I18" s="570"/>
      <c r="J18" s="570"/>
    </row>
    <row r="19" spans="1:15" s="212" customFormat="1" ht="47.25" customHeight="1" x14ac:dyDescent="0.2">
      <c r="B19" s="503" t="s">
        <v>234</v>
      </c>
      <c r="C19" s="503"/>
      <c r="D19" s="503"/>
      <c r="E19" s="503"/>
      <c r="F19" s="503"/>
      <c r="G19" s="503"/>
      <c r="H19" s="503"/>
      <c r="I19" s="503"/>
      <c r="J19" s="357"/>
      <c r="K19" s="345"/>
      <c r="L19" s="345"/>
    </row>
    <row r="20" spans="1:15" s="212" customFormat="1" ht="10.5" customHeight="1" x14ac:dyDescent="0.2">
      <c r="B20" s="567"/>
      <c r="C20" s="567"/>
      <c r="D20" s="567"/>
      <c r="E20" s="567"/>
      <c r="F20" s="567"/>
      <c r="G20" s="567"/>
      <c r="H20" s="567"/>
      <c r="I20" s="567"/>
      <c r="J20" s="567"/>
      <c r="K20" s="345"/>
      <c r="L20" s="345"/>
    </row>
    <row r="21" spans="1:15" s="212" customFormat="1" ht="62.25" customHeight="1" x14ac:dyDescent="0.2">
      <c r="B21" s="503" t="s">
        <v>235</v>
      </c>
      <c r="C21" s="503"/>
      <c r="D21" s="503"/>
      <c r="E21" s="503"/>
      <c r="F21" s="503"/>
      <c r="G21" s="503"/>
      <c r="H21" s="503"/>
      <c r="I21" s="503"/>
      <c r="J21" s="357"/>
      <c r="K21" s="345"/>
      <c r="L21" s="345"/>
    </row>
    <row r="22" spans="1:15" s="212" customFormat="1" ht="11.25" customHeight="1" x14ac:dyDescent="0.2">
      <c r="B22" s="567"/>
      <c r="C22" s="567"/>
      <c r="D22" s="567"/>
      <c r="E22" s="567"/>
      <c r="F22" s="567"/>
      <c r="G22" s="567"/>
      <c r="H22" s="567"/>
      <c r="I22" s="567"/>
      <c r="J22" s="567"/>
      <c r="K22" s="345"/>
      <c r="L22" s="345"/>
    </row>
    <row r="23" spans="1:15" s="212" customFormat="1" ht="33" customHeight="1" x14ac:dyDescent="0.2">
      <c r="B23" s="503" t="s">
        <v>236</v>
      </c>
      <c r="C23" s="503"/>
      <c r="D23" s="503"/>
      <c r="E23" s="503"/>
      <c r="F23" s="503"/>
      <c r="G23" s="503"/>
      <c r="H23" s="503"/>
      <c r="I23" s="503"/>
      <c r="J23" s="345"/>
      <c r="K23" s="345"/>
      <c r="L23" s="345"/>
    </row>
    <row r="24" spans="1:15" s="212" customFormat="1" ht="15" x14ac:dyDescent="0.2">
      <c r="B24" s="344"/>
      <c r="C24" s="345"/>
      <c r="D24" s="345"/>
      <c r="E24" s="345"/>
      <c r="F24" s="345"/>
      <c r="G24" s="345"/>
      <c r="H24" s="345"/>
      <c r="I24" s="345"/>
      <c r="J24" s="345"/>
      <c r="K24" s="345"/>
      <c r="L24" s="345"/>
    </row>
    <row r="25" spans="1:15" s="33" customFormat="1" ht="24.6" customHeight="1" x14ac:dyDescent="0.2">
      <c r="A25" s="50"/>
      <c r="B25" s="347" t="s">
        <v>35</v>
      </c>
      <c r="C25" s="348"/>
      <c r="D25" s="349" t="s">
        <v>63</v>
      </c>
      <c r="E25" s="350"/>
      <c r="F25" s="349" t="s">
        <v>92</v>
      </c>
      <c r="G25" s="350"/>
      <c r="H25" s="349" t="s">
        <v>95</v>
      </c>
      <c r="I25" s="350"/>
      <c r="J25" s="350"/>
      <c r="K25" s="350"/>
      <c r="L25" s="50"/>
      <c r="M25" s="50"/>
      <c r="N25" s="50"/>
    </row>
    <row r="26" spans="1:15" s="33" customFormat="1" ht="25.5" customHeight="1" x14ac:dyDescent="0.2">
      <c r="A26" s="50"/>
      <c r="B26" s="354" t="s">
        <v>13</v>
      </c>
      <c r="C26" s="350"/>
      <c r="D26" s="354" t="s">
        <v>14</v>
      </c>
      <c r="E26" s="350"/>
      <c r="F26" s="354" t="s">
        <v>1</v>
      </c>
      <c r="G26" s="350"/>
      <c r="H26" s="354" t="s">
        <v>10</v>
      </c>
      <c r="I26" s="350"/>
      <c r="J26" s="350"/>
      <c r="K26" s="350"/>
      <c r="L26" s="50"/>
      <c r="M26" s="50"/>
      <c r="N26" s="50"/>
    </row>
    <row r="27" spans="1:15" s="37" customFormat="1" ht="15.75" customHeight="1" x14ac:dyDescent="0.2">
      <c r="A27" s="351"/>
      <c r="B27" s="569"/>
      <c r="C27" s="569"/>
      <c r="D27" s="569"/>
      <c r="E27" s="569"/>
      <c r="F27" s="569"/>
      <c r="G27" s="569"/>
      <c r="H27" s="569"/>
      <c r="I27" s="569"/>
      <c r="J27" s="569"/>
      <c r="K27" s="569"/>
      <c r="L27" s="569"/>
      <c r="M27" s="569"/>
      <c r="N27" s="569"/>
    </row>
    <row r="28" spans="1:15" x14ac:dyDescent="0.2">
      <c r="A28" s="351"/>
      <c r="B28" s="65"/>
      <c r="C28" s="66"/>
      <c r="D28" s="66"/>
      <c r="E28" s="66"/>
      <c r="F28" s="351"/>
      <c r="G28" s="351"/>
      <c r="H28" s="352"/>
      <c r="I28" s="193"/>
      <c r="J28" s="351"/>
      <c r="K28" s="193"/>
      <c r="L28" s="193"/>
      <c r="M28" s="193"/>
      <c r="N28" s="193"/>
      <c r="O28" s="22"/>
    </row>
    <row r="29" spans="1:15" ht="33.75" customHeight="1" x14ac:dyDescent="0.2">
      <c r="A29" s="351"/>
      <c r="B29" s="50"/>
      <c r="C29" s="353">
        <v>3</v>
      </c>
      <c r="D29" s="50"/>
      <c r="E29" s="50"/>
      <c r="F29" s="50"/>
      <c r="G29" s="50"/>
      <c r="H29" s="272"/>
      <c r="I29" s="272"/>
      <c r="J29" s="272"/>
      <c r="K29" s="272"/>
      <c r="L29" s="50"/>
      <c r="M29" s="50"/>
      <c r="N29" s="50"/>
      <c r="O29" s="22"/>
    </row>
    <row r="30" spans="1:15" s="37" customFormat="1" ht="33.75" customHeight="1" x14ac:dyDescent="0.2">
      <c r="B30" s="33"/>
      <c r="C30" s="33"/>
      <c r="D30" s="33"/>
      <c r="E30" s="33"/>
      <c r="F30" s="33"/>
      <c r="G30" s="33"/>
      <c r="H30" s="56"/>
      <c r="I30" s="56"/>
      <c r="J30" s="56"/>
      <c r="K30" s="56"/>
      <c r="L30" s="33"/>
      <c r="M30" s="33"/>
      <c r="N30" s="33"/>
      <c r="O30" s="74"/>
    </row>
    <row r="31" spans="1:15" s="37" customFormat="1" x14ac:dyDescent="0.2">
      <c r="B31" s="50"/>
      <c r="C31" s="58"/>
      <c r="D31" s="58"/>
      <c r="E31" s="58"/>
      <c r="F31" s="33"/>
      <c r="G31" s="33"/>
      <c r="H31" s="33"/>
      <c r="I31" s="33"/>
      <c r="J31" s="33"/>
      <c r="K31" s="33"/>
      <c r="L31" s="33"/>
      <c r="M31" s="33"/>
      <c r="N31" s="33"/>
      <c r="O31" s="74"/>
    </row>
    <row r="32" spans="1:15" s="37" customFormat="1" ht="12.75" customHeight="1" x14ac:dyDescent="0.2">
      <c r="B32" s="50"/>
      <c r="C32" s="52"/>
      <c r="D32" s="52"/>
      <c r="E32" s="52"/>
      <c r="F32" s="33"/>
      <c r="G32" s="33"/>
      <c r="H32" s="33"/>
      <c r="I32" s="33"/>
      <c r="J32" s="33"/>
      <c r="K32" s="33"/>
      <c r="L32" s="33"/>
      <c r="M32" s="33"/>
      <c r="N32" s="33"/>
      <c r="O32" s="33"/>
    </row>
    <row r="33" spans="1:16" s="37" customFormat="1" ht="93.75" customHeight="1" x14ac:dyDescent="0.2">
      <c r="C33" s="59"/>
      <c r="E33" s="50"/>
      <c r="F33" s="50"/>
      <c r="H33" s="33"/>
      <c r="I33" s="33"/>
      <c r="J33" s="38"/>
      <c r="K33" s="33"/>
      <c r="L33" s="33"/>
      <c r="M33" s="33"/>
      <c r="N33" s="33"/>
      <c r="O33" s="33"/>
    </row>
    <row r="34" spans="1:16" s="37" customFormat="1" ht="38.25" customHeight="1" x14ac:dyDescent="0.2">
      <c r="B34" s="50"/>
      <c r="C34" s="52"/>
      <c r="D34" s="52"/>
      <c r="E34" s="52"/>
      <c r="F34" s="50"/>
      <c r="H34" s="33"/>
      <c r="I34" s="33"/>
      <c r="J34" s="38"/>
      <c r="K34" s="33"/>
      <c r="L34" s="33"/>
      <c r="M34" s="33"/>
      <c r="N34" s="33"/>
      <c r="O34" s="33"/>
    </row>
    <row r="35" spans="1:16" s="37" customFormat="1" ht="38.25" customHeight="1" x14ac:dyDescent="0.2">
      <c r="B35" s="50"/>
      <c r="C35" s="59"/>
      <c r="D35" s="59"/>
      <c r="E35" s="59"/>
      <c r="F35" s="50"/>
      <c r="H35" s="56"/>
      <c r="I35" s="56"/>
      <c r="J35" s="56"/>
      <c r="K35" s="56"/>
      <c r="L35" s="56"/>
      <c r="M35" s="56"/>
      <c r="O35" s="33"/>
    </row>
    <row r="36" spans="1:16" s="37" customFormat="1" ht="38.25" customHeight="1" x14ac:dyDescent="0.2">
      <c r="B36" s="50"/>
      <c r="C36" s="52"/>
      <c r="D36" s="52"/>
      <c r="E36" s="52"/>
      <c r="F36" s="50"/>
      <c r="H36" s="56"/>
      <c r="I36" s="56"/>
      <c r="J36" s="56"/>
      <c r="K36" s="56"/>
      <c r="L36" s="56"/>
      <c r="M36" s="56"/>
      <c r="O36" s="49"/>
    </row>
    <row r="37" spans="1:16" s="37" customFormat="1" ht="38.25" customHeight="1" x14ac:dyDescent="0.2">
      <c r="B37" s="50"/>
      <c r="C37" s="59"/>
      <c r="D37" s="59"/>
      <c r="E37" s="59"/>
      <c r="F37" s="50"/>
      <c r="H37" s="56"/>
      <c r="I37" s="56"/>
      <c r="J37" s="56"/>
      <c r="O37" s="33"/>
    </row>
    <row r="38" spans="1:16" s="37" customFormat="1" ht="38.25" customHeight="1" x14ac:dyDescent="0.2">
      <c r="B38" s="50"/>
      <c r="C38" s="50"/>
      <c r="D38" s="50"/>
      <c r="E38" s="50"/>
      <c r="F38" s="50"/>
      <c r="G38" s="33"/>
      <c r="H38" s="33"/>
      <c r="I38" s="60"/>
      <c r="J38" s="33"/>
      <c r="K38" s="33"/>
      <c r="L38" s="33"/>
      <c r="M38" s="33"/>
      <c r="N38" s="33"/>
      <c r="O38" s="33"/>
    </row>
    <row r="39" spans="1:16" s="37" customFormat="1" ht="36.75" customHeight="1" x14ac:dyDescent="0.2">
      <c r="B39" s="50"/>
      <c r="C39" s="50"/>
      <c r="D39" s="50"/>
      <c r="E39" s="50"/>
      <c r="F39" s="50"/>
      <c r="G39" s="33"/>
      <c r="H39" s="33"/>
      <c r="I39" s="60"/>
      <c r="J39" s="33"/>
      <c r="K39" s="33"/>
      <c r="L39" s="33"/>
      <c r="M39" s="33"/>
      <c r="N39" s="33"/>
      <c r="O39" s="33"/>
    </row>
    <row r="40" spans="1:16" x14ac:dyDescent="0.2">
      <c r="B40" s="18"/>
      <c r="C40" s="18"/>
      <c r="D40" s="17"/>
      <c r="E40" s="17"/>
      <c r="F40" s="17"/>
      <c r="G40" s="5"/>
      <c r="H40" s="5"/>
      <c r="I40" s="5"/>
      <c r="J40" s="5"/>
      <c r="K40" s="5"/>
      <c r="L40" s="5"/>
      <c r="M40" s="5"/>
      <c r="N40" s="5"/>
      <c r="O40" s="5"/>
    </row>
    <row r="41" spans="1:16" x14ac:dyDescent="0.2">
      <c r="B41" s="18"/>
      <c r="C41" s="18"/>
      <c r="D41" s="17"/>
      <c r="E41" s="17"/>
      <c r="F41" s="17"/>
      <c r="G41" s="5"/>
      <c r="H41" s="5"/>
      <c r="I41" s="5"/>
      <c r="J41" s="5"/>
      <c r="K41" s="5"/>
      <c r="L41" s="5"/>
      <c r="M41" s="5"/>
      <c r="N41" s="5"/>
      <c r="O41" s="5"/>
    </row>
    <row r="42" spans="1:16" s="138" customFormat="1" ht="15" x14ac:dyDescent="0.2">
      <c r="A42" s="94"/>
      <c r="B42" s="512" t="str">
        <f ca="1">HYPERLINK(Reference!B$9,Reference!A$9)</f>
        <v>Copyright © 2015, The Health and Social Care Information Centre. All Rights Reserved.</v>
      </c>
      <c r="C42" s="513"/>
      <c r="D42" s="513"/>
      <c r="E42" s="513"/>
      <c r="F42" s="513"/>
      <c r="G42" s="513"/>
      <c r="H42" s="513"/>
      <c r="I42" s="513"/>
      <c r="J42" s="513"/>
      <c r="K42" s="513"/>
      <c r="L42" s="137"/>
      <c r="M42" s="137"/>
      <c r="N42" s="137"/>
      <c r="O42" s="137"/>
    </row>
    <row r="43" spans="1:16" s="138" customFormat="1" ht="15" x14ac:dyDescent="0.2">
      <c r="A43" s="94"/>
      <c r="B43" s="568"/>
      <c r="C43" s="568"/>
      <c r="D43" s="568"/>
      <c r="E43" s="568"/>
      <c r="F43" s="568"/>
      <c r="G43" s="568"/>
      <c r="H43" s="568"/>
      <c r="I43" s="568"/>
      <c r="J43" s="137"/>
      <c r="K43" s="137"/>
      <c r="L43" s="137"/>
      <c r="M43" s="137"/>
      <c r="N43" s="137"/>
      <c r="O43" s="137"/>
    </row>
    <row r="44" spans="1:16" s="14" customFormat="1" ht="12.75" customHeight="1" x14ac:dyDescent="0.2">
      <c r="A44" s="139"/>
      <c r="B44" s="26"/>
      <c r="C44" s="26"/>
      <c r="D44" s="26"/>
      <c r="E44" s="26"/>
      <c r="F44" s="26"/>
      <c r="G44" s="26"/>
      <c r="H44" s="26"/>
      <c r="I44" s="26"/>
      <c r="J44" s="26"/>
      <c r="K44" s="26"/>
      <c r="L44" s="26"/>
      <c r="M44" s="26"/>
      <c r="N44" s="26"/>
      <c r="O44" s="5"/>
      <c r="P44" s="9"/>
    </row>
    <row r="45" spans="1:16" ht="12.75" customHeight="1" x14ac:dyDescent="0.2">
      <c r="B45" s="21"/>
      <c r="C45" s="10"/>
      <c r="D45" s="20"/>
      <c r="E45" s="20"/>
      <c r="F45" s="16"/>
      <c r="G45" s="5"/>
      <c r="H45" s="5"/>
      <c r="I45" s="5"/>
      <c r="J45" s="5"/>
      <c r="K45" s="5"/>
      <c r="L45" s="5"/>
      <c r="M45" s="5"/>
      <c r="N45" s="5"/>
      <c r="O45" s="5"/>
    </row>
    <row r="46" spans="1:16" x14ac:dyDescent="0.2">
      <c r="B46" s="21"/>
      <c r="C46" s="10"/>
      <c r="D46" s="20"/>
      <c r="E46" s="20"/>
      <c r="F46" s="20"/>
      <c r="G46" s="5"/>
      <c r="H46" s="5"/>
      <c r="I46" s="5"/>
      <c r="J46" s="5"/>
      <c r="K46" s="5"/>
      <c r="L46" s="5"/>
      <c r="M46" s="5"/>
      <c r="N46" s="5"/>
      <c r="O46" s="5"/>
    </row>
    <row r="47" spans="1:16" x14ac:dyDescent="0.2">
      <c r="B47" s="21"/>
      <c r="C47" s="10"/>
      <c r="D47" s="20"/>
      <c r="E47" s="20"/>
      <c r="F47" s="20"/>
      <c r="G47" s="5"/>
      <c r="H47" s="5"/>
      <c r="I47" s="5"/>
      <c r="J47" s="5"/>
      <c r="K47" s="5"/>
      <c r="L47" s="5"/>
      <c r="M47" s="5"/>
      <c r="N47" s="5"/>
      <c r="O47" s="5"/>
    </row>
    <row r="48" spans="1:16" ht="38.25" customHeight="1" x14ac:dyDescent="0.2">
      <c r="B48" s="15"/>
      <c r="C48" s="10"/>
      <c r="D48" s="20"/>
      <c r="E48" s="20"/>
      <c r="F48" s="20"/>
      <c r="G48" s="5"/>
      <c r="H48" s="5"/>
      <c r="I48" s="5"/>
      <c r="J48" s="5"/>
      <c r="K48" s="5"/>
      <c r="L48" s="5"/>
      <c r="M48" s="5"/>
      <c r="N48" s="5"/>
      <c r="O48" s="5"/>
    </row>
    <row r="49" spans="2:15" x14ac:dyDescent="0.2">
      <c r="B49" s="10"/>
      <c r="C49" s="10"/>
      <c r="D49" s="20"/>
      <c r="E49" s="20"/>
      <c r="F49" s="20"/>
      <c r="G49" s="5"/>
      <c r="H49" s="5"/>
      <c r="I49" s="5"/>
      <c r="J49" s="5"/>
      <c r="K49" s="5"/>
      <c r="L49" s="5"/>
      <c r="M49" s="5"/>
      <c r="N49" s="5"/>
      <c r="O49" s="5"/>
    </row>
    <row r="50" spans="2:15" ht="25.5" customHeight="1" x14ac:dyDescent="0.2">
      <c r="B50" s="19"/>
      <c r="C50" s="10"/>
      <c r="D50" s="20"/>
      <c r="E50" s="20"/>
      <c r="F50" s="10"/>
      <c r="O50" s="5"/>
    </row>
    <row r="51" spans="2:15" x14ac:dyDescent="0.2">
      <c r="B51" s="10"/>
      <c r="C51" s="10"/>
      <c r="D51" s="20"/>
      <c r="E51" s="20"/>
      <c r="F51" s="10"/>
      <c r="O51" s="5"/>
    </row>
    <row r="52" spans="2:15" ht="25.5" customHeight="1" x14ac:dyDescent="0.2">
      <c r="B52" s="10"/>
      <c r="C52" s="10"/>
      <c r="D52" s="10"/>
      <c r="E52" s="10"/>
      <c r="F52" s="10"/>
      <c r="O52" s="5"/>
    </row>
    <row r="53" spans="2:15" x14ac:dyDescent="0.2">
      <c r="B53" s="10"/>
      <c r="C53" s="10"/>
      <c r="D53" s="10"/>
      <c r="E53" s="10"/>
      <c r="F53" s="10"/>
      <c r="O53" s="5"/>
    </row>
    <row r="54" spans="2:15" ht="26.25" customHeight="1" x14ac:dyDescent="0.2">
      <c r="B54" s="10"/>
      <c r="C54" s="10"/>
      <c r="D54" s="10"/>
      <c r="E54" s="10"/>
      <c r="F54" s="10"/>
      <c r="O54" s="5"/>
    </row>
    <row r="55" spans="2:15" x14ac:dyDescent="0.2">
      <c r="C55" s="10"/>
      <c r="D55" s="10"/>
      <c r="E55" s="10"/>
      <c r="F55" s="10"/>
      <c r="O55" s="5"/>
    </row>
    <row r="56" spans="2:15" x14ac:dyDescent="0.2">
      <c r="F56" s="10"/>
    </row>
    <row r="57" spans="2:15" x14ac:dyDescent="0.2">
      <c r="F57" s="10"/>
    </row>
    <row r="59" spans="2:15" ht="12.75" customHeight="1" x14ac:dyDescent="0.2">
      <c r="C59" s="22"/>
    </row>
    <row r="61" spans="2:15" x14ac:dyDescent="0.2">
      <c r="C61" s="22"/>
    </row>
    <row r="62" spans="2:15" x14ac:dyDescent="0.2">
      <c r="C62" s="23"/>
    </row>
    <row r="63" spans="2:15" x14ac:dyDescent="0.2">
      <c r="C63" s="22"/>
    </row>
    <row r="64" spans="2:15" x14ac:dyDescent="0.2">
      <c r="C64" s="22"/>
    </row>
    <row r="65" spans="3:3" x14ac:dyDescent="0.2">
      <c r="C65" s="22"/>
    </row>
    <row r="68" spans="3:3" x14ac:dyDescent="0.2">
      <c r="C68" s="11"/>
    </row>
    <row r="365" spans="2:2" x14ac:dyDescent="0.2">
      <c r="B365" s="24"/>
    </row>
    <row r="366" spans="2:2" x14ac:dyDescent="0.2">
      <c r="B366" s="24"/>
    </row>
    <row r="367" spans="2:2" x14ac:dyDescent="0.2">
      <c r="B367" s="24"/>
    </row>
    <row r="368" spans="2:2" x14ac:dyDescent="0.2">
      <c r="B368" s="24"/>
    </row>
    <row r="369" spans="2:2" x14ac:dyDescent="0.2">
      <c r="B369" s="24"/>
    </row>
    <row r="415" ht="38.25" customHeight="1" x14ac:dyDescent="0.2"/>
  </sheetData>
  <sheetProtection sheet="1" objects="1" scenarios="1" selectLockedCells="1" selectUnlockedCells="1"/>
  <mergeCells count="17">
    <mergeCell ref="B43:I43"/>
    <mergeCell ref="B27:N27"/>
    <mergeCell ref="B13:J13"/>
    <mergeCell ref="B18:J18"/>
    <mergeCell ref="B17:J17"/>
    <mergeCell ref="B20:J20"/>
    <mergeCell ref="B22:J22"/>
    <mergeCell ref="B42:K42"/>
    <mergeCell ref="B14:H14"/>
    <mergeCell ref="B19:I19"/>
    <mergeCell ref="B21:I21"/>
    <mergeCell ref="B23:I23"/>
    <mergeCell ref="B8:J8"/>
    <mergeCell ref="B10:J10"/>
    <mergeCell ref="B9:I9"/>
    <mergeCell ref="B11:I11"/>
    <mergeCell ref="B12:I12"/>
  </mergeCells>
  <phoneticPr fontId="10" type="noConversion"/>
  <hyperlinks>
    <hyperlink ref="B42:E42" r:id="rId1" display="http://www.hscic.gov.uk/terms-and-conditions"/>
  </hyperlinks>
  <pageMargins left="0.35433070866141736" right="0.35433070866141736" top="0.39370078740157483" bottom="0.39370078740157483" header="0.11811023622047245" footer="0.11811023622047245"/>
  <pageSetup paperSize="9" scale="46" fitToHeight="2" orientation="landscape" r:id="rId2"/>
  <headerFooter alignWithMargins="0"/>
  <rowBreaks count="1" manualBreakCount="1">
    <brk id="44" max="14" man="1"/>
  </row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rgb="FFA0D0E8"/>
    <pageSetUpPr fitToPage="1"/>
  </sheetPr>
  <dimension ref="A1:K27"/>
  <sheetViews>
    <sheetView showGridLines="0" showRowColHeaders="0" zoomScale="80" zoomScaleNormal="80" workbookViewId="0">
      <selection activeCell="F11" sqref="F11"/>
    </sheetView>
  </sheetViews>
  <sheetFormatPr defaultRowHeight="12.75" x14ac:dyDescent="0.2"/>
  <cols>
    <col min="1" max="1" width="3.7109375" style="33" customWidth="1"/>
    <col min="2" max="2" width="27.28515625" style="33" customWidth="1"/>
    <col min="3" max="3" width="3.7109375" style="33" customWidth="1"/>
    <col min="4" max="4" width="46.28515625" style="33" customWidth="1"/>
    <col min="5" max="5" width="3.7109375" style="33" customWidth="1"/>
    <col min="6" max="6" width="46.28515625" style="33" customWidth="1"/>
    <col min="7" max="7" width="3.7109375" style="33" customWidth="1"/>
    <col min="8" max="8" width="78" style="33" customWidth="1"/>
    <col min="9" max="11" width="16.42578125" style="33" customWidth="1"/>
    <col min="12" max="16384" width="9.140625" style="33"/>
  </cols>
  <sheetData>
    <row r="1" spans="2:11" ht="33" customHeight="1" x14ac:dyDescent="0.2"/>
    <row r="2" spans="2:11" ht="14.85" customHeight="1" x14ac:dyDescent="0.2"/>
    <row r="3" spans="2:11" ht="14.85" customHeight="1" x14ac:dyDescent="0.2"/>
    <row r="4" spans="2:11" ht="14.85" customHeight="1" x14ac:dyDescent="0.2"/>
    <row r="5" spans="2:11" ht="21" customHeight="1" x14ac:dyDescent="0.2"/>
    <row r="6" spans="2:11" ht="12" customHeight="1" x14ac:dyDescent="0.2"/>
    <row r="7" spans="2:11" ht="26.25" x14ac:dyDescent="0.4">
      <c r="B7" s="90" t="s">
        <v>228</v>
      </c>
    </row>
    <row r="8" spans="2:11" ht="18" x14ac:dyDescent="0.2">
      <c r="B8" s="85" t="str">
        <f>Footnotes!B8</f>
        <v>April 2014 to March 2015, provisional data (published 12 November 2015)</v>
      </c>
    </row>
    <row r="9" spans="2:11" ht="15.75" customHeight="1" thickBot="1" x14ac:dyDescent="0.25">
      <c r="B9" s="76"/>
      <c r="C9" s="76"/>
      <c r="D9" s="76"/>
      <c r="E9" s="76"/>
      <c r="F9" s="76"/>
      <c r="G9" s="76"/>
      <c r="H9" s="76"/>
      <c r="I9" s="76"/>
      <c r="J9" s="76"/>
      <c r="K9" s="76"/>
    </row>
    <row r="10" spans="2:11" ht="25.5" customHeight="1" thickBot="1" x14ac:dyDescent="0.25">
      <c r="B10" s="250" t="s">
        <v>35</v>
      </c>
      <c r="C10" s="251"/>
      <c r="D10" s="252" t="s">
        <v>63</v>
      </c>
      <c r="E10" s="76"/>
      <c r="F10" s="252" t="s">
        <v>92</v>
      </c>
      <c r="G10" s="76"/>
      <c r="H10" s="252" t="s">
        <v>95</v>
      </c>
      <c r="I10" s="76"/>
      <c r="J10" s="76"/>
      <c r="K10" s="76"/>
    </row>
    <row r="11" spans="2:11" ht="35.25" customHeight="1" x14ac:dyDescent="0.2">
      <c r="B11" s="327" t="s">
        <v>50</v>
      </c>
      <c r="C11" s="76"/>
      <c r="D11" s="328" t="s">
        <v>52</v>
      </c>
      <c r="E11" s="76"/>
      <c r="F11" s="327" t="s">
        <v>1</v>
      </c>
      <c r="G11" s="76"/>
      <c r="H11" s="327" t="s">
        <v>3839</v>
      </c>
      <c r="I11" s="76"/>
      <c r="J11" s="76"/>
      <c r="K11" s="76"/>
    </row>
    <row r="12" spans="2:11" ht="15.75" customHeight="1" x14ac:dyDescent="0.2">
      <c r="C12" s="77"/>
    </row>
    <row r="15" spans="2:11" s="78" customFormat="1" ht="87.75" customHeight="1" x14ac:dyDescent="0.2">
      <c r="B15" s="33"/>
      <c r="C15" s="33"/>
      <c r="D15" s="33"/>
      <c r="E15" s="33"/>
      <c r="F15" s="33"/>
      <c r="G15" s="33"/>
      <c r="H15" s="33"/>
      <c r="I15" s="33"/>
      <c r="J15" s="33"/>
      <c r="K15" s="33"/>
    </row>
    <row r="16" spans="2:11" ht="40.5" customHeight="1" x14ac:dyDescent="0.2"/>
    <row r="17" spans="1:11" ht="38.25" customHeight="1" x14ac:dyDescent="0.2">
      <c r="A17" s="46"/>
    </row>
    <row r="18" spans="1:11" ht="38.25" customHeight="1" x14ac:dyDescent="0.2">
      <c r="A18" s="46"/>
    </row>
    <row r="19" spans="1:11" ht="38.25" customHeight="1" x14ac:dyDescent="0.2">
      <c r="A19" s="46"/>
    </row>
    <row r="20" spans="1:11" ht="38.25" customHeight="1" x14ac:dyDescent="0.2">
      <c r="A20" s="46"/>
    </row>
    <row r="21" spans="1:11" ht="38.25" customHeight="1" x14ac:dyDescent="0.2">
      <c r="A21" s="46"/>
    </row>
    <row r="22" spans="1:11" ht="38.25" customHeight="1" x14ac:dyDescent="0.2">
      <c r="A22" s="46"/>
    </row>
    <row r="23" spans="1:11" ht="38.25" customHeight="1" x14ac:dyDescent="0.2">
      <c r="A23" s="46"/>
    </row>
    <row r="24" spans="1:11" x14ac:dyDescent="0.2">
      <c r="A24" s="46"/>
    </row>
    <row r="25" spans="1:11" x14ac:dyDescent="0.2">
      <c r="B25" s="82"/>
    </row>
    <row r="26" spans="1:11" ht="15" x14ac:dyDescent="0.2">
      <c r="B26" s="512" t="str">
        <f ca="1">HYPERLINK(Reference!B$9,Reference!A$9)</f>
        <v>Copyright © 2015, The Health and Social Care Information Centre. All Rights Reserved.</v>
      </c>
      <c r="C26" s="513"/>
      <c r="D26" s="513"/>
      <c r="E26" s="513"/>
      <c r="F26" s="513"/>
      <c r="G26" s="513"/>
      <c r="H26" s="513"/>
      <c r="I26" s="513"/>
      <c r="J26" s="513"/>
      <c r="K26" s="513"/>
    </row>
    <row r="27" spans="1:11" x14ac:dyDescent="0.2">
      <c r="B27" s="79"/>
    </row>
  </sheetData>
  <sheetProtection sheet="1" objects="1" scenarios="1" selectLockedCells="1"/>
  <mergeCells count="1">
    <mergeCell ref="B26:K26"/>
  </mergeCells>
  <phoneticPr fontId="10" type="noConversion"/>
  <conditionalFormatting sqref="H11">
    <cfRule type="cellIs" dxfId="2" priority="1" operator="equal">
      <formula>"q"</formula>
    </cfRule>
  </conditionalFormatting>
  <dataValidations count="4">
    <dataValidation type="list" allowBlank="1" showInputMessage="1" showErrorMessage="1" sqref="F11">
      <formula1>Funnel_Organisation_Level</formula1>
    </dataValidation>
    <dataValidation type="list" allowBlank="1" showInputMessage="1" showErrorMessage="1" sqref="B11">
      <formula1>Procedure_List</formula1>
    </dataValidation>
    <dataValidation type="list" allowBlank="1" showInputMessage="1" showErrorMessage="1" sqref="H11">
      <formula1>Funnel_Plot_Org</formula1>
    </dataValidation>
    <dataValidation type="list" allowBlank="1" showInputMessage="1" showErrorMessage="1" sqref="D11">
      <formula1>Funnel_Plot_score</formula1>
    </dataValidation>
  </dataValidations>
  <pageMargins left="0.35433070866141736" right="0.35433070866141736" top="0.39370078740157483" bottom="0.39370078740157483" header="0.11811023622047245" footer="0.11811023622047245"/>
  <pageSetup paperSize="9" scale="67"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rgb="FFA0D0E8"/>
    <pageSetUpPr fitToPage="1"/>
  </sheetPr>
  <dimension ref="A1:R414"/>
  <sheetViews>
    <sheetView showGridLines="0" showRowColHeaders="0" zoomScale="80" zoomScaleNormal="80" workbookViewId="0">
      <pane ySplit="9" topLeftCell="A10" activePane="bottomLeft" state="frozen"/>
      <selection activeCell="B7" sqref="B7"/>
      <selection pane="bottomLeft" activeCell="A10" sqref="A10"/>
    </sheetView>
  </sheetViews>
  <sheetFormatPr defaultRowHeight="12.75" x14ac:dyDescent="0.2"/>
  <cols>
    <col min="1" max="1" width="3.7109375" style="267" customWidth="1"/>
    <col min="2" max="2" width="17.140625" style="5" customWidth="1"/>
    <col min="3" max="3" width="78" style="5" customWidth="1"/>
    <col min="4" max="8" width="14.7109375" style="5" customWidth="1"/>
    <col min="9" max="9" width="14.85546875" style="5" customWidth="1"/>
    <col min="10" max="10" width="14.7109375" style="5" customWidth="1"/>
    <col min="11" max="11" width="15.5703125" style="5" customWidth="1"/>
    <col min="12" max="16" width="16.42578125" style="5" customWidth="1"/>
    <col min="17" max="18" width="21" style="5" customWidth="1"/>
    <col min="19" max="19" width="1.42578125" style="5" customWidth="1"/>
    <col min="20" max="21" width="16.5703125" style="5" customWidth="1"/>
    <col min="22" max="16384" width="9.140625" style="5"/>
  </cols>
  <sheetData>
    <row r="1" spans="1:18" s="33" customFormat="1" ht="33" customHeight="1" x14ac:dyDescent="0.2">
      <c r="A1" s="153"/>
    </row>
    <row r="2" spans="1:18" s="33" customFormat="1" ht="14.85" customHeight="1" x14ac:dyDescent="0.2">
      <c r="A2" s="153"/>
    </row>
    <row r="3" spans="1:18" s="33" customFormat="1" ht="14.85" customHeight="1" x14ac:dyDescent="0.2">
      <c r="A3" s="153"/>
    </row>
    <row r="4" spans="1:18" s="33" customFormat="1" ht="14.85" customHeight="1" x14ac:dyDescent="0.2">
      <c r="A4" s="153"/>
    </row>
    <row r="5" spans="1:18" s="33" customFormat="1" ht="33" customHeight="1" x14ac:dyDescent="0.2">
      <c r="A5" s="153"/>
    </row>
    <row r="6" spans="1:18" s="33" customFormat="1" ht="26.25" x14ac:dyDescent="0.4">
      <c r="A6" s="153"/>
      <c r="B6" s="90" t="s">
        <v>225</v>
      </c>
      <c r="G6" s="153"/>
      <c r="H6" s="153"/>
      <c r="I6" s="153"/>
      <c r="J6" s="153"/>
    </row>
    <row r="7" spans="1:18" s="33" customFormat="1" ht="18" x14ac:dyDescent="0.2">
      <c r="A7" s="153"/>
      <c r="B7" s="85" t="str">
        <f>Footnotes!B8</f>
        <v>April 2014 to March 2015, provisional data (published 12 November 2015)</v>
      </c>
      <c r="G7" s="301"/>
      <c r="H7" s="301"/>
      <c r="I7" s="301"/>
      <c r="J7" s="301"/>
    </row>
    <row r="8" spans="1:18" s="33" customFormat="1" x14ac:dyDescent="0.2">
      <c r="A8" s="153"/>
      <c r="K8" s="80"/>
      <c r="L8" s="80"/>
      <c r="M8" s="80"/>
      <c r="N8" s="80"/>
      <c r="O8" s="80"/>
      <c r="P8" s="80"/>
      <c r="Q8" s="80"/>
      <c r="R8" s="80"/>
    </row>
    <row r="9" spans="1:18" ht="47.25" x14ac:dyDescent="0.2">
      <c r="B9" s="302" t="s">
        <v>96</v>
      </c>
      <c r="C9" s="303" t="s">
        <v>95</v>
      </c>
      <c r="D9" s="304" t="s">
        <v>41</v>
      </c>
      <c r="E9" s="305" t="s">
        <v>237</v>
      </c>
      <c r="F9" s="305" t="s">
        <v>97</v>
      </c>
      <c r="G9" s="305" t="s">
        <v>98</v>
      </c>
      <c r="H9" s="305" t="s">
        <v>99</v>
      </c>
      <c r="I9" s="305" t="s">
        <v>100</v>
      </c>
      <c r="J9" s="305" t="s">
        <v>101</v>
      </c>
      <c r="K9" s="306" t="s">
        <v>39</v>
      </c>
      <c r="L9" s="6"/>
      <c r="M9" s="6"/>
      <c r="N9" s="6"/>
      <c r="O9" s="6"/>
      <c r="P9" s="6"/>
      <c r="Q9" s="6"/>
      <c r="R9" s="6"/>
    </row>
    <row r="10" spans="1:18" ht="15" x14ac:dyDescent="0.2">
      <c r="B10" s="307" t="str">
        <f>IF(ISNUMBER('Funnel setup'!P22),VLOOKUP('Funnel setup'!$P22,'Provider Commission - Raw Data'!$A:$Q,5,0),"")</f>
        <v>REM</v>
      </c>
      <c r="C10" s="308" t="str">
        <f>IF(ISNUMBER('Funnel setup'!P22),VLOOKUP('Funnel setup'!P22,'Provider Commission - Raw Data'!$A:$Q,6,0),"")</f>
        <v>AINTREE UNIVERSITY HOSPITAL NHS FOUNDATION TRUST (REM)</v>
      </c>
      <c r="D10" s="309">
        <f>IF(ISNUMBER('Funnel setup'!P22),VLOOKUP('Funnel setup'!P22,'Provider Commission - Raw Data'!$A:$Q,8,0),"")</f>
        <v>95</v>
      </c>
      <c r="E10" s="446">
        <f>IF(ISNUMBER('Funnel setup'!P22),VLOOKUP('Funnel setup'!P22,'Provider Commission - Raw Data'!$A:$Q,16,0),"")</f>
        <v>6.3055412000000005E-2</v>
      </c>
      <c r="F10" s="310">
        <f>IF(ISNUMBER('Funnel setup'!P22),'Funnel setup'!$K$8,"")</f>
        <v>8.3654400475365306E-2</v>
      </c>
      <c r="G10" s="310">
        <f>IF(AND(ISNUMBER('Funnel setup'!P22),D10&gt;=30,E10&lt;&gt;"*"),F10-1.959963985 *('Funnel setup'!$K$7/SQRT('Funnel Data'!D10)),"")</f>
        <v>5.1713712502954173E-2</v>
      </c>
      <c r="H10" s="310">
        <f>IF(AND(ISNUMBER('Funnel setup'!P22),D10&gt;=30,E10&lt;&gt;"*"),F10+1.959963985 *('Funnel setup'!$K$7/SQRT('Funnel Data'!D10)),"")</f>
        <v>0.11559508844777644</v>
      </c>
      <c r="I10" s="310">
        <f>IF(AND(ISNUMBER('Funnel setup'!P22),D10&gt;=30,E10&lt;&gt;"*"),F10-3.090232306 *('Funnel setup'!$K$7/SQRT('Funnel Data'!D10)),"")</f>
        <v>3.3294217021172641E-2</v>
      </c>
      <c r="J10" s="310">
        <f>IF(AND(ISNUMBER('Funnel setup'!P22),D10&gt;=30,E10&lt;&gt;"*"),F10+3.090232306 *('Funnel setup'!$K$7/SQRT('Funnel Data'!D10)),"")</f>
        <v>0.13401458392955798</v>
      </c>
      <c r="K10" s="311" t="str">
        <f>IF(AND(ISNUMBER('Funnel setup'!P22),D10&gt;=30,E10&lt;&gt;"*"),IF(E10&gt;J10,'Funnel setup'!$K$14&amp;"99.8%",IF(E10&gt;H10,'Funnel setup'!$K$14&amp;"95%",IF(E10&lt;I10,'Funnel setup'!$K$15&amp;"99.8%",IF(E10&lt;G10,'Funnel setup'!$K$15&amp;"95%","")))),"")</f>
        <v/>
      </c>
    </row>
    <row r="11" spans="1:18" ht="15" x14ac:dyDescent="0.2">
      <c r="B11" s="307" t="str">
        <f>IF(ISNUMBER('Funnel setup'!P23),VLOOKUP('Funnel setup'!$P23,'Provider Commission - Raw Data'!$A:$Q,5,0),"")</f>
        <v>RCF</v>
      </c>
      <c r="C11" s="308" t="str">
        <f>IF(ISNUMBER('Funnel setup'!P23),VLOOKUP('Funnel setup'!P23,'Provider Commission - Raw Data'!$A:$Q,6,0),"")</f>
        <v>AIREDALE NHS FOUNDATION TRUST (RCF)</v>
      </c>
      <c r="D11" s="309">
        <f>IF(ISNUMBER('Funnel setup'!P23),VLOOKUP('Funnel setup'!P23,'Provider Commission - Raw Data'!$A:$Q,8,0),"")</f>
        <v>115</v>
      </c>
      <c r="E11" s="446">
        <f>IF(ISNUMBER('Funnel setup'!P23),VLOOKUP('Funnel setup'!P23,'Provider Commission - Raw Data'!$A:$Q,16,0),"")</f>
        <v>9.4257629999999995E-2</v>
      </c>
      <c r="F11" s="310">
        <f>IF(ISNUMBER('Funnel setup'!P23),'Funnel setup'!$K$8,"")</f>
        <v>8.3654400475365306E-2</v>
      </c>
      <c r="G11" s="310">
        <f>IF(AND(ISNUMBER('Funnel setup'!P23),D11&gt;=30,E11&lt;&gt;"*"),F11-1.959963985 *('Funnel setup'!$K$7/SQRT('Funnel Data'!D11)),"")</f>
        <v>5.4623724484742786E-2</v>
      </c>
      <c r="H11" s="310">
        <f>IF(AND(ISNUMBER('Funnel setup'!P23),D11&gt;=30,E11&lt;&gt;"*"),F11+1.959963985 *('Funnel setup'!$K$7/SQRT('Funnel Data'!D11)),"")</f>
        <v>0.11268507646598783</v>
      </c>
      <c r="I11" s="310">
        <f>IF(AND(ISNUMBER('Funnel setup'!P23),D11&gt;=30,E11&lt;&gt;"*"),F11-3.090232306 *('Funnel setup'!$K$7/SQRT('Funnel Data'!D11)),"")</f>
        <v>3.7882369204474242E-2</v>
      </c>
      <c r="J11" s="310">
        <f>IF(AND(ISNUMBER('Funnel setup'!P23),D11&gt;=30,E11&lt;&gt;"*"),F11+3.090232306 *('Funnel setup'!$K$7/SQRT('Funnel Data'!D11)),"")</f>
        <v>0.12942643174625637</v>
      </c>
      <c r="K11" s="311" t="str">
        <f>IF(AND(ISNUMBER('Funnel setup'!P23),D11&gt;=30,E11&lt;&gt;"*"),IF(E11&gt;J11,'Funnel setup'!$K$14&amp;"99.8%",IF(E11&gt;H11,'Funnel setup'!$K$14&amp;"95%",IF(E11&lt;I11,'Funnel setup'!$K$15&amp;"99.8%",IF(E11&lt;G11,'Funnel setup'!$K$15&amp;"95%","")))),"")</f>
        <v/>
      </c>
    </row>
    <row r="12" spans="1:18" ht="30" x14ac:dyDescent="0.2">
      <c r="B12" s="307" t="str">
        <f>IF(ISNUMBER('Funnel setup'!P24),VLOOKUP('Funnel setup'!$P24,'Provider Commission - Raw Data'!$A:$Q,5,0),"")</f>
        <v>RTK</v>
      </c>
      <c r="C12" s="308" t="str">
        <f>IF(ISNUMBER('Funnel setup'!P24),VLOOKUP('Funnel setup'!P24,'Provider Commission - Raw Data'!$A:$Q,6,0),"")</f>
        <v>ASHFORD AND ST PETER'S HOSPITALS NHS FOUNDATION TRUST (RTK)</v>
      </c>
      <c r="D12" s="309">
        <f>IF(ISNUMBER('Funnel setup'!P24),VLOOKUP('Funnel setup'!P24,'Provider Commission - Raw Data'!$A:$Q,8,0),"")</f>
        <v>16</v>
      </c>
      <c r="E12" s="446" t="str">
        <f>IF(ISNUMBER('Funnel setup'!P24),VLOOKUP('Funnel setup'!P24,'Provider Commission - Raw Data'!$A:$Q,16,0),"")</f>
        <v>*</v>
      </c>
      <c r="F12" s="310">
        <f>IF(ISNUMBER('Funnel setup'!P24),'Funnel setup'!$K$8,"")</f>
        <v>8.3654400475365306E-2</v>
      </c>
      <c r="G12" s="310" t="str">
        <f>IF(AND(ISNUMBER('Funnel setup'!P24),D12&gt;=30,E12&lt;&gt;"*"),F12-1.959963985 *('Funnel setup'!$K$7/SQRT('Funnel Data'!D12)),"")</f>
        <v/>
      </c>
      <c r="H12" s="310" t="str">
        <f>IF(AND(ISNUMBER('Funnel setup'!P24),D12&gt;=30,E12&lt;&gt;"*"),F12+1.959963985 *('Funnel setup'!$K$7/SQRT('Funnel Data'!D12)),"")</f>
        <v/>
      </c>
      <c r="I12" s="310" t="str">
        <f>IF(AND(ISNUMBER('Funnel setup'!P24),D12&gt;=30,E12&lt;&gt;"*"),F12-3.090232306 *('Funnel setup'!$K$7/SQRT('Funnel Data'!D12)),"")</f>
        <v/>
      </c>
      <c r="J12" s="310" t="str">
        <f>IF(AND(ISNUMBER('Funnel setup'!P24),D12&gt;=30,E12&lt;&gt;"*"),F12+3.090232306 *('Funnel setup'!$K$7/SQRT('Funnel Data'!D12)),"")</f>
        <v/>
      </c>
      <c r="K12" s="311" t="str">
        <f>IF(AND(ISNUMBER('Funnel setup'!P24),D12&gt;=30,E12&lt;&gt;"*"),IF(E12&gt;J12,'Funnel setup'!$K$14&amp;"99.8%",IF(E12&gt;H12,'Funnel setup'!$K$14&amp;"95%",IF(E12&lt;I12,'Funnel setup'!$K$15&amp;"99.8%",IF(E12&lt;G12,'Funnel setup'!$K$15&amp;"95%","")))),"")</f>
        <v/>
      </c>
    </row>
    <row r="13" spans="1:18" ht="15" x14ac:dyDescent="0.2">
      <c r="B13" s="307" t="str">
        <f>IF(ISNUMBER('Funnel setup'!P25),VLOOKUP('Funnel setup'!$P25,'Provider Commission - Raw Data'!$A:$Q,5,0),"")</f>
        <v>NVC01</v>
      </c>
      <c r="C13" s="308" t="str">
        <f>IF(ISNUMBER('Funnel setup'!P25),VLOOKUP('Funnel setup'!P25,'Provider Commission - Raw Data'!$A:$Q,6,0),"")</f>
        <v>ASHTEAD HOSPITAL (NVC01)</v>
      </c>
      <c r="D13" s="309">
        <f>IF(ISNUMBER('Funnel setup'!P25),VLOOKUP('Funnel setup'!P25,'Provider Commission - Raw Data'!$A:$Q,8,0),"")</f>
        <v>49</v>
      </c>
      <c r="E13" s="446">
        <f>IF(ISNUMBER('Funnel setup'!P25),VLOOKUP('Funnel setup'!P25,'Provider Commission - Raw Data'!$A:$Q,16,0),"")</f>
        <v>7.5555035000000006E-2</v>
      </c>
      <c r="F13" s="310">
        <f>IF(ISNUMBER('Funnel setup'!P25),'Funnel setup'!$K$8,"")</f>
        <v>8.3654400475365306E-2</v>
      </c>
      <c r="G13" s="310">
        <f>IF(AND(ISNUMBER('Funnel setup'!P25),D13&gt;=30,E13&lt;&gt;"*"),F13-1.959963985 *('Funnel setup'!$K$7/SQRT('Funnel Data'!D13)),"")</f>
        <v>3.9180212346964657E-2</v>
      </c>
      <c r="H13" s="310">
        <f>IF(AND(ISNUMBER('Funnel setup'!P25),D13&gt;=30,E13&lt;&gt;"*"),F13+1.959963985 *('Funnel setup'!$K$7/SQRT('Funnel Data'!D13)),"")</f>
        <v>0.12812858860376597</v>
      </c>
      <c r="I13" s="310">
        <f>IF(AND(ISNUMBER('Funnel setup'!P25),D13&gt;=30,E13&lt;&gt;"*"),F13-3.090232306 *('Funnel setup'!$K$7/SQRT('Funnel Data'!D13)),"")</f>
        <v>1.3532921718955732E-2</v>
      </c>
      <c r="J13" s="310">
        <f>IF(AND(ISNUMBER('Funnel setup'!P25),D13&gt;=30,E13&lt;&gt;"*"),F13+3.090232306 *('Funnel setup'!$K$7/SQRT('Funnel Data'!D13)),"")</f>
        <v>0.15377587923177488</v>
      </c>
      <c r="K13" s="311" t="str">
        <f>IF(AND(ISNUMBER('Funnel setup'!P25),D13&gt;=30,E13&lt;&gt;"*"),IF(E13&gt;J13,'Funnel setup'!$K$14&amp;"99.8%",IF(E13&gt;H13,'Funnel setup'!$K$14&amp;"95%",IF(E13&lt;I13,'Funnel setup'!$K$15&amp;"99.8%",IF(E13&lt;G13,'Funnel setup'!$K$15&amp;"95%","")))),"")</f>
        <v/>
      </c>
    </row>
    <row r="14" spans="1:18" ht="15" x14ac:dyDescent="0.2">
      <c r="B14" s="307" t="str">
        <f>IF(ISNUMBER('Funnel setup'!P26),VLOOKUP('Funnel setup'!$P26,'Provider Commission - Raw Data'!$A:$Q,5,0),"")</f>
        <v>NYW04</v>
      </c>
      <c r="C14" s="308" t="str">
        <f>IF(ISNUMBER('Funnel setup'!P26),VLOOKUP('Funnel setup'!P26,'Provider Commission - Raw Data'!$A:$Q,6,0),"")</f>
        <v>ASPEN - CLAREMONT HOSPITAL (NYW04)</v>
      </c>
      <c r="D14" s="309" t="str">
        <f>IF(ISNUMBER('Funnel setup'!P26),VLOOKUP('Funnel setup'!P26,'Provider Commission - Raw Data'!$A:$Q,8,0),"")</f>
        <v>*</v>
      </c>
      <c r="E14" s="446" t="str">
        <f>IF(ISNUMBER('Funnel setup'!P26),VLOOKUP('Funnel setup'!P26,'Provider Commission - Raw Data'!$A:$Q,16,0),"")</f>
        <v>*</v>
      </c>
      <c r="F14" s="310">
        <f>IF(ISNUMBER('Funnel setup'!P26),'Funnel setup'!$K$8,"")</f>
        <v>8.3654400475365306E-2</v>
      </c>
      <c r="G14" s="310" t="str">
        <f>IF(AND(ISNUMBER('Funnel setup'!P26),D14&gt;=30,E14&lt;&gt;"*"),F14-1.959963985 *('Funnel setup'!$K$7/SQRT('Funnel Data'!D14)),"")</f>
        <v/>
      </c>
      <c r="H14" s="310" t="str">
        <f>IF(AND(ISNUMBER('Funnel setup'!P26),D14&gt;=30,E14&lt;&gt;"*"),F14+1.959963985 *('Funnel setup'!$K$7/SQRT('Funnel Data'!D14)),"")</f>
        <v/>
      </c>
      <c r="I14" s="310" t="str">
        <f>IF(AND(ISNUMBER('Funnel setup'!P26),D14&gt;=30,E14&lt;&gt;"*"),F14-3.090232306 *('Funnel setup'!$K$7/SQRT('Funnel Data'!D14)),"")</f>
        <v/>
      </c>
      <c r="J14" s="310" t="str">
        <f>IF(AND(ISNUMBER('Funnel setup'!P26),D14&gt;=30,E14&lt;&gt;"*"),F14+3.090232306 *('Funnel setup'!$K$7/SQRT('Funnel Data'!D14)),"")</f>
        <v/>
      </c>
      <c r="K14" s="311" t="str">
        <f>IF(AND(ISNUMBER('Funnel setup'!P26),D14&gt;=30,E14&lt;&gt;"*"),IF(E14&gt;J14,'Funnel setup'!$K$14&amp;"99.8%",IF(E14&gt;H14,'Funnel setup'!$K$14&amp;"95%",IF(E14&lt;I14,'Funnel setup'!$K$15&amp;"99.8%",IF(E14&lt;G14,'Funnel setup'!$K$15&amp;"95%","")))),"")</f>
        <v/>
      </c>
    </row>
    <row r="15" spans="1:18" ht="15" x14ac:dyDescent="0.2">
      <c r="B15" s="307" t="str">
        <f>IF(ISNUMBER('Funnel setup'!P27),VLOOKUP('Funnel setup'!$P27,'Provider Commission - Raw Data'!$A:$Q,5,0),"")</f>
        <v>NYW03</v>
      </c>
      <c r="C15" s="308" t="str">
        <f>IF(ISNUMBER('Funnel setup'!P27),VLOOKUP('Funnel setup'!P27,'Provider Commission - Raw Data'!$A:$Q,6,0),"")</f>
        <v>ASPEN - HIGHGATE HOSPITAL (NYW03)</v>
      </c>
      <c r="D15" s="309" t="str">
        <f>IF(ISNUMBER('Funnel setup'!P27),VLOOKUP('Funnel setup'!P27,'Provider Commission - Raw Data'!$A:$Q,8,0),"")</f>
        <v>*</v>
      </c>
      <c r="E15" s="446" t="str">
        <f>IF(ISNUMBER('Funnel setup'!P27),VLOOKUP('Funnel setup'!P27,'Provider Commission - Raw Data'!$A:$Q,16,0),"")</f>
        <v>*</v>
      </c>
      <c r="F15" s="310">
        <f>IF(ISNUMBER('Funnel setup'!P27),'Funnel setup'!$K$8,"")</f>
        <v>8.3654400475365306E-2</v>
      </c>
      <c r="G15" s="310" t="str">
        <f>IF(AND(ISNUMBER('Funnel setup'!P27),D15&gt;=30,E15&lt;&gt;"*"),F15-1.959963985 *('Funnel setup'!$K$7/SQRT('Funnel Data'!D15)),"")</f>
        <v/>
      </c>
      <c r="H15" s="310" t="str">
        <f>IF(AND(ISNUMBER('Funnel setup'!P27),D15&gt;=30,E15&lt;&gt;"*"),F15+1.959963985 *('Funnel setup'!$K$7/SQRT('Funnel Data'!D15)),"")</f>
        <v/>
      </c>
      <c r="I15" s="310" t="str">
        <f>IF(AND(ISNUMBER('Funnel setup'!P27),D15&gt;=30,E15&lt;&gt;"*"),F15-3.090232306 *('Funnel setup'!$K$7/SQRT('Funnel Data'!D15)),"")</f>
        <v/>
      </c>
      <c r="J15" s="310" t="str">
        <f>IF(AND(ISNUMBER('Funnel setup'!P27),D15&gt;=30,E15&lt;&gt;"*"),F15+3.090232306 *('Funnel setup'!$K$7/SQRT('Funnel Data'!D15)),"")</f>
        <v/>
      </c>
      <c r="K15" s="311" t="str">
        <f>IF(AND(ISNUMBER('Funnel setup'!P27),D15&gt;=30,E15&lt;&gt;"*"),IF(E15&gt;J15,'Funnel setup'!$K$14&amp;"99.8%",IF(E15&gt;H15,'Funnel setup'!$K$14&amp;"95%",IF(E15&lt;I15,'Funnel setup'!$K$15&amp;"99.8%",IF(E15&lt;G15,'Funnel setup'!$K$15&amp;"95%","")))),"")</f>
        <v/>
      </c>
    </row>
    <row r="16" spans="1:18" ht="15" x14ac:dyDescent="0.2">
      <c r="B16" s="307" t="str">
        <f>IF(ISNUMBER('Funnel setup'!P28),VLOOKUP('Funnel setup'!$P28,'Provider Commission - Raw Data'!$A:$Q,5,0),"")</f>
        <v>NYW01</v>
      </c>
      <c r="C16" s="308" t="str">
        <f>IF(ISNUMBER('Funnel setup'!P28),VLOOKUP('Funnel setup'!P28,'Provider Commission - Raw Data'!$A:$Q,6,0),"")</f>
        <v>ASPEN - HOLLY HOUSE HOSPITAL (NYW01)</v>
      </c>
      <c r="D16" s="309" t="str">
        <f>IF(ISNUMBER('Funnel setup'!P28),VLOOKUP('Funnel setup'!P28,'Provider Commission - Raw Data'!$A:$Q,8,0),"")</f>
        <v>*</v>
      </c>
      <c r="E16" s="446" t="str">
        <f>IF(ISNUMBER('Funnel setup'!P28),VLOOKUP('Funnel setup'!P28,'Provider Commission - Raw Data'!$A:$Q,16,0),"")</f>
        <v>*</v>
      </c>
      <c r="F16" s="310">
        <f>IF(ISNUMBER('Funnel setup'!P28),'Funnel setup'!$K$8,"")</f>
        <v>8.3654400475365306E-2</v>
      </c>
      <c r="G16" s="310" t="str">
        <f>IF(AND(ISNUMBER('Funnel setup'!P28),D16&gt;=30,E16&lt;&gt;"*"),F16-1.959963985 *('Funnel setup'!$K$7/SQRT('Funnel Data'!D16)),"")</f>
        <v/>
      </c>
      <c r="H16" s="310" t="str">
        <f>IF(AND(ISNUMBER('Funnel setup'!P28),D16&gt;=30,E16&lt;&gt;"*"),F16+1.959963985 *('Funnel setup'!$K$7/SQRT('Funnel Data'!D16)),"")</f>
        <v/>
      </c>
      <c r="I16" s="310" t="str">
        <f>IF(AND(ISNUMBER('Funnel setup'!P28),D16&gt;=30,E16&lt;&gt;"*"),F16-3.090232306 *('Funnel setup'!$K$7/SQRT('Funnel Data'!D16)),"")</f>
        <v/>
      </c>
      <c r="J16" s="310" t="str">
        <f>IF(AND(ISNUMBER('Funnel setup'!P28),D16&gt;=30,E16&lt;&gt;"*"),F16+3.090232306 *('Funnel setup'!$K$7/SQRT('Funnel Data'!D16)),"")</f>
        <v/>
      </c>
      <c r="K16" s="311" t="str">
        <f>IF(AND(ISNUMBER('Funnel setup'!P28),D16&gt;=30,E16&lt;&gt;"*"),IF(E16&gt;J16,'Funnel setup'!$K$14&amp;"99.8%",IF(E16&gt;H16,'Funnel setup'!$K$14&amp;"95%",IF(E16&lt;I16,'Funnel setup'!$K$15&amp;"99.8%",IF(E16&lt;G16,'Funnel setup'!$K$15&amp;"95%","")))),"")</f>
        <v/>
      </c>
    </row>
    <row r="17" spans="1:18" s="7" customFormat="1" ht="30" x14ac:dyDescent="0.2">
      <c r="A17" s="267"/>
      <c r="B17" s="307" t="str">
        <f>IF(ISNUMBER('Funnel setup'!P29),VLOOKUP('Funnel setup'!$P29,'Provider Commission - Raw Data'!$A:$Q,5,0),"")</f>
        <v>RF4</v>
      </c>
      <c r="C17" s="308" t="str">
        <f>IF(ISNUMBER('Funnel setup'!P29),VLOOKUP('Funnel setup'!P29,'Provider Commission - Raw Data'!$A:$Q,6,0),"")</f>
        <v>BARKING, HAVERING AND REDBRIDGE UNIVERSITY HOSPITALS NHS TRUST (RF4)</v>
      </c>
      <c r="D17" s="309">
        <f>IF(ISNUMBER('Funnel setup'!P29),VLOOKUP('Funnel setup'!P29,'Provider Commission - Raw Data'!$A:$Q,8,0),"")</f>
        <v>13</v>
      </c>
      <c r="E17" s="446" t="str">
        <f>IF(ISNUMBER('Funnel setup'!P29),VLOOKUP('Funnel setup'!P29,'Provider Commission - Raw Data'!$A:$Q,16,0),"")</f>
        <v>*</v>
      </c>
      <c r="F17" s="310">
        <f>IF(ISNUMBER('Funnel setup'!P29),'Funnel setup'!$K$8,"")</f>
        <v>8.3654400475365306E-2</v>
      </c>
      <c r="G17" s="310" t="str">
        <f>IF(AND(ISNUMBER('Funnel setup'!P29),D17&gt;=30,E17&lt;&gt;"*"),F17-1.959963985 *('Funnel setup'!$K$7/SQRT('Funnel Data'!D17)),"")</f>
        <v/>
      </c>
      <c r="H17" s="310" t="str">
        <f>IF(AND(ISNUMBER('Funnel setup'!P29),D17&gt;=30,E17&lt;&gt;"*"),F17+1.959963985 *('Funnel setup'!$K$7/SQRT('Funnel Data'!D17)),"")</f>
        <v/>
      </c>
      <c r="I17" s="310" t="str">
        <f>IF(AND(ISNUMBER('Funnel setup'!P29),D17&gt;=30,E17&lt;&gt;"*"),F17-3.090232306 *('Funnel setup'!$K$7/SQRT('Funnel Data'!D17)),"")</f>
        <v/>
      </c>
      <c r="J17" s="310" t="str">
        <f>IF(AND(ISNUMBER('Funnel setup'!P29),D17&gt;=30,E17&lt;&gt;"*"),F17+3.090232306 *('Funnel setup'!$K$7/SQRT('Funnel Data'!D17)),"")</f>
        <v/>
      </c>
      <c r="K17" s="311" t="str">
        <f>IF(AND(ISNUMBER('Funnel setup'!P29),D17&gt;=30,E17&lt;&gt;"*"),IF(E17&gt;J17,'Funnel setup'!$K$14&amp;"99.8%",IF(E17&gt;H17,'Funnel setup'!$K$14&amp;"95%",IF(E17&lt;I17,'Funnel setup'!$K$15&amp;"99.8%",IF(E17&lt;G17,'Funnel setup'!$K$15&amp;"95%","")))),"")</f>
        <v/>
      </c>
      <c r="L17" s="5"/>
      <c r="M17" s="5"/>
      <c r="N17" s="5"/>
      <c r="O17" s="5"/>
      <c r="P17" s="5"/>
      <c r="Q17" s="5"/>
      <c r="R17" s="5"/>
    </row>
    <row r="18" spans="1:18" ht="15" x14ac:dyDescent="0.2">
      <c r="B18" s="307" t="str">
        <f>IF(ISNUMBER('Funnel setup'!P30),VLOOKUP('Funnel setup'!$P30,'Provider Commission - Raw Data'!$A:$Q,5,0),"")</f>
        <v>RFF</v>
      </c>
      <c r="C18" s="308" t="str">
        <f>IF(ISNUMBER('Funnel setup'!P30),VLOOKUP('Funnel setup'!P30,'Provider Commission - Raw Data'!$A:$Q,6,0),"")</f>
        <v>BARNSLEY HOSPITAL NHS FOUNDATION TRUST (RFF)</v>
      </c>
      <c r="D18" s="309">
        <f>IF(ISNUMBER('Funnel setup'!P30),VLOOKUP('Funnel setup'!P30,'Provider Commission - Raw Data'!$A:$Q,8,0),"")</f>
        <v>92</v>
      </c>
      <c r="E18" s="446">
        <f>IF(ISNUMBER('Funnel setup'!P30),VLOOKUP('Funnel setup'!P30,'Provider Commission - Raw Data'!$A:$Q,16,0),"")</f>
        <v>8.8611220000000004E-2</v>
      </c>
      <c r="F18" s="310">
        <f>IF(ISNUMBER('Funnel setup'!P30),'Funnel setup'!$K$8,"")</f>
        <v>8.3654400475365306E-2</v>
      </c>
      <c r="G18" s="310">
        <f>IF(AND(ISNUMBER('Funnel setup'!P30),D18&gt;=30,E18&lt;&gt;"*"),F18-1.959963985 *('Funnel setup'!$K$7/SQRT('Funnel Data'!D18)),"")</f>
        <v>5.1197118001463808E-2</v>
      </c>
      <c r="H18" s="310">
        <f>IF(AND(ISNUMBER('Funnel setup'!P30),D18&gt;=30,E18&lt;&gt;"*"),F18+1.959963985 *('Funnel setup'!$K$7/SQRT('Funnel Data'!D18)),"")</f>
        <v>0.1161116829492668</v>
      </c>
      <c r="I18" s="310">
        <f>IF(AND(ISNUMBER('Funnel setup'!P30),D18&gt;=30,E18&lt;&gt;"*"),F18-3.090232306 *('Funnel setup'!$K$7/SQRT('Funnel Data'!D18)),"")</f>
        <v>3.2479713780386048E-2</v>
      </c>
      <c r="J18" s="310">
        <f>IF(AND(ISNUMBER('Funnel setup'!P30),D18&gt;=30,E18&lt;&gt;"*"),F18+3.090232306 *('Funnel setup'!$K$7/SQRT('Funnel Data'!D18)),"")</f>
        <v>0.13482908717034456</v>
      </c>
      <c r="K18" s="311" t="str">
        <f>IF(AND(ISNUMBER('Funnel setup'!P30),D18&gt;=30,E18&lt;&gt;"*"),IF(E18&gt;J18,'Funnel setup'!$K$14&amp;"99.8%",IF(E18&gt;H18,'Funnel setup'!$K$14&amp;"95%",IF(E18&lt;I18,'Funnel setup'!$K$15&amp;"99.8%",IF(E18&lt;G18,'Funnel setup'!$K$15&amp;"95%","")))),"")</f>
        <v/>
      </c>
    </row>
    <row r="19" spans="1:18" ht="15" x14ac:dyDescent="0.2">
      <c r="B19" s="307" t="str">
        <f>IF(ISNUMBER('Funnel setup'!P31),VLOOKUP('Funnel setup'!$P31,'Provider Commission - Raw Data'!$A:$Q,5,0),"")</f>
        <v>R1H</v>
      </c>
      <c r="C19" s="308" t="str">
        <f>IF(ISNUMBER('Funnel setup'!P31),VLOOKUP('Funnel setup'!P31,'Provider Commission - Raw Data'!$A:$Q,6,0),"")</f>
        <v>BARTS HEALTH NHS TRUST (R1H)</v>
      </c>
      <c r="D19" s="309">
        <f>IF(ISNUMBER('Funnel setup'!P31),VLOOKUP('Funnel setup'!P31,'Provider Commission - Raw Data'!$A:$Q,8,0),"")</f>
        <v>67</v>
      </c>
      <c r="E19" s="446">
        <f>IF(ISNUMBER('Funnel setup'!P31),VLOOKUP('Funnel setup'!P31,'Provider Commission - Raw Data'!$A:$Q,16,0),"")</f>
        <v>2.6824482E-2</v>
      </c>
      <c r="F19" s="310">
        <f>IF(ISNUMBER('Funnel setup'!P31),'Funnel setup'!$K$8,"")</f>
        <v>8.3654400475365306E-2</v>
      </c>
      <c r="G19" s="310">
        <f>IF(AND(ISNUMBER('Funnel setup'!P31),D19&gt;=30,E19&lt;&gt;"*"),F19-1.959963985 *('Funnel setup'!$K$7/SQRT('Funnel Data'!D19)),"")</f>
        <v>4.5620692512453855E-2</v>
      </c>
      <c r="H19" s="310">
        <f>IF(AND(ISNUMBER('Funnel setup'!P31),D19&gt;=30,E19&lt;&gt;"*"),F19+1.959963985 *('Funnel setup'!$K$7/SQRT('Funnel Data'!D19)),"")</f>
        <v>0.12168810843827677</v>
      </c>
      <c r="I19" s="310">
        <f>IF(AND(ISNUMBER('Funnel setup'!P31),D19&gt;=30,E19&lt;&gt;"*"),F19-3.090232306 *('Funnel setup'!$K$7/SQRT('Funnel Data'!D19)),"")</f>
        <v>2.3687485795574177E-2</v>
      </c>
      <c r="J19" s="310">
        <f>IF(AND(ISNUMBER('Funnel setup'!P31),D19&gt;=30,E19&lt;&gt;"*"),F19+3.090232306 *('Funnel setup'!$K$7/SQRT('Funnel Data'!D19)),"")</f>
        <v>0.14362131515515644</v>
      </c>
      <c r="K19" s="311" t="str">
        <f>IF(AND(ISNUMBER('Funnel setup'!P31),D19&gt;=30,E19&lt;&gt;"*"),IF(E19&gt;J19,'Funnel setup'!$K$14&amp;"99.8%",IF(E19&gt;H19,'Funnel setup'!$K$14&amp;"95%",IF(E19&lt;I19,'Funnel setup'!$K$15&amp;"99.8%",IF(E19&lt;G19,'Funnel setup'!$K$15&amp;"95%","")))),"")</f>
        <v>Lower 95%</v>
      </c>
    </row>
    <row r="20" spans="1:18" ht="30" x14ac:dyDescent="0.2">
      <c r="B20" s="307" t="str">
        <f>IF(ISNUMBER('Funnel setup'!P32),VLOOKUP('Funnel setup'!$P32,'Provider Commission - Raw Data'!$A:$Q,5,0),"")</f>
        <v>RDD</v>
      </c>
      <c r="C20" s="308" t="str">
        <f>IF(ISNUMBER('Funnel setup'!P32),VLOOKUP('Funnel setup'!P32,'Provider Commission - Raw Data'!$A:$Q,6,0),"")</f>
        <v>BASILDON AND THURROCK UNIVERSITY HOSPITALS NHS FOUNDATION TRUST (RDD)</v>
      </c>
      <c r="D20" s="309">
        <f>IF(ISNUMBER('Funnel setup'!P32),VLOOKUP('Funnel setup'!P32,'Provider Commission - Raw Data'!$A:$Q,8,0),"")</f>
        <v>79</v>
      </c>
      <c r="E20" s="446">
        <f>IF(ISNUMBER('Funnel setup'!P32),VLOOKUP('Funnel setup'!P32,'Provider Commission - Raw Data'!$A:$Q,16,0),"")</f>
        <v>8.0307681000000006E-2</v>
      </c>
      <c r="F20" s="310">
        <f>IF(ISNUMBER('Funnel setup'!P32),'Funnel setup'!$K$8,"")</f>
        <v>8.3654400475365306E-2</v>
      </c>
      <c r="G20" s="310">
        <f>IF(AND(ISNUMBER('Funnel setup'!P32),D20&gt;=30,E20&lt;&gt;"*"),F20-1.959963985 *('Funnel setup'!$K$7/SQRT('Funnel Data'!D20)),"")</f>
        <v>4.862824079862535E-2</v>
      </c>
      <c r="H20" s="310">
        <f>IF(AND(ISNUMBER('Funnel setup'!P32),D20&gt;=30,E20&lt;&gt;"*"),F20+1.959963985 *('Funnel setup'!$K$7/SQRT('Funnel Data'!D20)),"")</f>
        <v>0.11868056015210526</v>
      </c>
      <c r="I20" s="310">
        <f>IF(AND(ISNUMBER('Funnel setup'!P32),D20&gt;=30,E20&lt;&gt;"*"),F20-3.090232306 *('Funnel setup'!$K$7/SQRT('Funnel Data'!D20)),"")</f>
        <v>2.842942133465097E-2</v>
      </c>
      <c r="J20" s="310">
        <f>IF(AND(ISNUMBER('Funnel setup'!P32),D20&gt;=30,E20&lt;&gt;"*"),F20+3.090232306 *('Funnel setup'!$K$7/SQRT('Funnel Data'!D20)),"")</f>
        <v>0.13887937961607966</v>
      </c>
      <c r="K20" s="311" t="str">
        <f>IF(AND(ISNUMBER('Funnel setup'!P32),D20&gt;=30,E20&lt;&gt;"*"),IF(E20&gt;J20,'Funnel setup'!$K$14&amp;"99.8%",IF(E20&gt;H20,'Funnel setup'!$K$14&amp;"95%",IF(E20&lt;I20,'Funnel setup'!$K$15&amp;"99.8%",IF(E20&lt;G20,'Funnel setup'!$K$15&amp;"95%","")))),"")</f>
        <v/>
      </c>
    </row>
    <row r="21" spans="1:18" ht="15" x14ac:dyDescent="0.2">
      <c r="B21" s="307" t="str">
        <f>IF(ISNUMBER('Funnel setup'!P33),VLOOKUP('Funnel setup'!$P33,'Provider Commission - Raw Data'!$A:$Q,5,0),"")</f>
        <v>RC1</v>
      </c>
      <c r="C21" s="308" t="str">
        <f>IF(ISNUMBER('Funnel setup'!P33),VLOOKUP('Funnel setup'!P33,'Provider Commission - Raw Data'!$A:$Q,6,0),"")</f>
        <v>BEDFORD HOSPITAL NHS TRUST (RC1)</v>
      </c>
      <c r="D21" s="309">
        <f>IF(ISNUMBER('Funnel setup'!P33),VLOOKUP('Funnel setup'!P33,'Provider Commission - Raw Data'!$A:$Q,8,0),"")</f>
        <v>75</v>
      </c>
      <c r="E21" s="446">
        <f>IF(ISNUMBER('Funnel setup'!P33),VLOOKUP('Funnel setup'!P33,'Provider Commission - Raw Data'!$A:$Q,16,0),"")</f>
        <v>6.8518924999999994E-2</v>
      </c>
      <c r="F21" s="310">
        <f>IF(ISNUMBER('Funnel setup'!P33),'Funnel setup'!$K$8,"")</f>
        <v>8.3654400475365306E-2</v>
      </c>
      <c r="G21" s="310">
        <f>IF(AND(ISNUMBER('Funnel setup'!P33),D21&gt;=30,E21&lt;&gt;"*"),F21-1.959963985 *('Funnel setup'!$K$7/SQRT('Funnel Data'!D21)),"")</f>
        <v>4.7706342192274265E-2</v>
      </c>
      <c r="H21" s="310">
        <f>IF(AND(ISNUMBER('Funnel setup'!P33),D21&gt;=30,E21&lt;&gt;"*"),F21+1.959963985 *('Funnel setup'!$K$7/SQRT('Funnel Data'!D21)),"")</f>
        <v>0.11960245875845635</v>
      </c>
      <c r="I21" s="310">
        <f>IF(AND(ISNUMBER('Funnel setup'!P33),D21&gt;=30,E21&lt;&gt;"*"),F21-3.090232306 *('Funnel setup'!$K$7/SQRT('Funnel Data'!D21)),"")</f>
        <v>2.6975883984982539E-2</v>
      </c>
      <c r="J21" s="310">
        <f>IF(AND(ISNUMBER('Funnel setup'!P33),D21&gt;=30,E21&lt;&gt;"*"),F21+3.090232306 *('Funnel setup'!$K$7/SQRT('Funnel Data'!D21)),"")</f>
        <v>0.14033291696574807</v>
      </c>
      <c r="K21" s="311" t="str">
        <f>IF(AND(ISNUMBER('Funnel setup'!P33),D21&gt;=30,E21&lt;&gt;"*"),IF(E21&gt;J21,'Funnel setup'!$K$14&amp;"99.8%",IF(E21&gt;H21,'Funnel setup'!$K$14&amp;"95%",IF(E21&lt;I21,'Funnel setup'!$K$15&amp;"99.8%",IF(E21&lt;G21,'Funnel setup'!$K$15&amp;"95%","")))),"")</f>
        <v/>
      </c>
    </row>
    <row r="22" spans="1:18" ht="15" x14ac:dyDescent="0.2">
      <c r="B22" s="307" t="str">
        <f>IF(ISNUMBER('Funnel setup'!P34),VLOOKUP('Funnel setup'!$P34,'Provider Commission - Raw Data'!$A:$Q,5,0),"")</f>
        <v>RXL</v>
      </c>
      <c r="C22" s="308" t="str">
        <f>IF(ISNUMBER('Funnel setup'!P34),VLOOKUP('Funnel setup'!P34,'Provider Commission - Raw Data'!$A:$Q,6,0),"")</f>
        <v>BLACKPOOL TEACHING HOSPITALS NHS FOUNDATION TRUST (RXL)</v>
      </c>
      <c r="D22" s="309">
        <f>IF(ISNUMBER('Funnel setup'!P34),VLOOKUP('Funnel setup'!P34,'Provider Commission - Raw Data'!$A:$Q,8,0),"")</f>
        <v>28</v>
      </c>
      <c r="E22" s="446" t="str">
        <f>IF(ISNUMBER('Funnel setup'!P34),VLOOKUP('Funnel setup'!P34,'Provider Commission - Raw Data'!$A:$Q,16,0),"")</f>
        <v>*</v>
      </c>
      <c r="F22" s="310">
        <f>IF(ISNUMBER('Funnel setup'!P34),'Funnel setup'!$K$8,"")</f>
        <v>8.3654400475365306E-2</v>
      </c>
      <c r="G22" s="310" t="str">
        <f>IF(AND(ISNUMBER('Funnel setup'!P34),D22&gt;=30,E22&lt;&gt;"*"),F22-1.959963985 *('Funnel setup'!$K$7/SQRT('Funnel Data'!D22)),"")</f>
        <v/>
      </c>
      <c r="H22" s="310" t="str">
        <f>IF(AND(ISNUMBER('Funnel setup'!P34),D22&gt;=30,E22&lt;&gt;"*"),F22+1.959963985 *('Funnel setup'!$K$7/SQRT('Funnel Data'!D22)),"")</f>
        <v/>
      </c>
      <c r="I22" s="310" t="str">
        <f>IF(AND(ISNUMBER('Funnel setup'!P34),D22&gt;=30,E22&lt;&gt;"*"),F22-3.090232306 *('Funnel setup'!$K$7/SQRT('Funnel Data'!D22)),"")</f>
        <v/>
      </c>
      <c r="J22" s="310" t="str">
        <f>IF(AND(ISNUMBER('Funnel setup'!P34),D22&gt;=30,E22&lt;&gt;"*"),F22+3.090232306 *('Funnel setup'!$K$7/SQRT('Funnel Data'!D22)),"")</f>
        <v/>
      </c>
      <c r="K22" s="311" t="str">
        <f>IF(AND(ISNUMBER('Funnel setup'!P34),D22&gt;=30,E22&lt;&gt;"*"),IF(E22&gt;J22,'Funnel setup'!$K$14&amp;"99.8%",IF(E22&gt;H22,'Funnel setup'!$K$14&amp;"95%",IF(E22&lt;I22,'Funnel setup'!$K$15&amp;"99.8%",IF(E22&lt;G22,'Funnel setup'!$K$15&amp;"95%","")))),"")</f>
        <v/>
      </c>
    </row>
    <row r="23" spans="1:18" ht="15" x14ac:dyDescent="0.2">
      <c r="B23" s="307" t="str">
        <f>IF(ISNUMBER('Funnel setup'!P35),VLOOKUP('Funnel setup'!$P35,'Provider Commission - Raw Data'!$A:$Q,5,0),"")</f>
        <v>NVC31</v>
      </c>
      <c r="C23" s="308" t="str">
        <f>IF(ISNUMBER('Funnel setup'!P35),VLOOKUP('Funnel setup'!P35,'Provider Commission - Raw Data'!$A:$Q,6,0),"")</f>
        <v>BLAKELANDS HOSPITAL (NVC31)</v>
      </c>
      <c r="D23" s="309">
        <f>IF(ISNUMBER('Funnel setup'!P35),VLOOKUP('Funnel setup'!P35,'Provider Commission - Raw Data'!$A:$Q,8,0),"")</f>
        <v>28</v>
      </c>
      <c r="E23" s="446" t="str">
        <f>IF(ISNUMBER('Funnel setup'!P35),VLOOKUP('Funnel setup'!P35,'Provider Commission - Raw Data'!$A:$Q,16,0),"")</f>
        <v>*</v>
      </c>
      <c r="F23" s="310">
        <f>IF(ISNUMBER('Funnel setup'!P35),'Funnel setup'!$K$8,"")</f>
        <v>8.3654400475365306E-2</v>
      </c>
      <c r="G23" s="310" t="str">
        <f>IF(AND(ISNUMBER('Funnel setup'!P35),D23&gt;=30,E23&lt;&gt;"*"),F23-1.959963985 *('Funnel setup'!$K$7/SQRT('Funnel Data'!D23)),"")</f>
        <v/>
      </c>
      <c r="H23" s="310" t="str">
        <f>IF(AND(ISNUMBER('Funnel setup'!P35),D23&gt;=30,E23&lt;&gt;"*"),F23+1.959963985 *('Funnel setup'!$K$7/SQRT('Funnel Data'!D23)),"")</f>
        <v/>
      </c>
      <c r="I23" s="310" t="str">
        <f>IF(AND(ISNUMBER('Funnel setup'!P35),D23&gt;=30,E23&lt;&gt;"*"),F23-3.090232306 *('Funnel setup'!$K$7/SQRT('Funnel Data'!D23)),"")</f>
        <v/>
      </c>
      <c r="J23" s="310" t="str">
        <f>IF(AND(ISNUMBER('Funnel setup'!P35),D23&gt;=30,E23&lt;&gt;"*"),F23+3.090232306 *('Funnel setup'!$K$7/SQRT('Funnel Data'!D23)),"")</f>
        <v/>
      </c>
      <c r="K23" s="311" t="str">
        <f>IF(AND(ISNUMBER('Funnel setup'!P35),D23&gt;=30,E23&lt;&gt;"*"),IF(E23&gt;J23,'Funnel setup'!$K$14&amp;"99.8%",IF(E23&gt;H23,'Funnel setup'!$K$14&amp;"95%",IF(E23&lt;I23,'Funnel setup'!$K$15&amp;"99.8%",IF(E23&lt;G23,'Funnel setup'!$K$15&amp;"95%","")))),"")</f>
        <v/>
      </c>
    </row>
    <row r="24" spans="1:18" ht="15" x14ac:dyDescent="0.2">
      <c r="B24" s="307" t="str">
        <f>IF(ISNUMBER('Funnel setup'!P36),VLOOKUP('Funnel setup'!$P36,'Provider Commission - Raw Data'!$A:$Q,5,0),"")</f>
        <v>NT402</v>
      </c>
      <c r="C24" s="308" t="str">
        <f>IF(ISNUMBER('Funnel setup'!P36),VLOOKUP('Funnel setup'!P36,'Provider Commission - Raw Data'!$A:$Q,6,0),"")</f>
        <v>BMI - BATH CLINIC (NT402)</v>
      </c>
      <c r="D24" s="309">
        <f>IF(ISNUMBER('Funnel setup'!P36),VLOOKUP('Funnel setup'!P36,'Provider Commission - Raw Data'!$A:$Q,8,0),"")</f>
        <v>8</v>
      </c>
      <c r="E24" s="446" t="str">
        <f>IF(ISNUMBER('Funnel setup'!P36),VLOOKUP('Funnel setup'!P36,'Provider Commission - Raw Data'!$A:$Q,16,0),"")</f>
        <v>*</v>
      </c>
      <c r="F24" s="310">
        <f>IF(ISNUMBER('Funnel setup'!P36),'Funnel setup'!$K$8,"")</f>
        <v>8.3654400475365306E-2</v>
      </c>
      <c r="G24" s="310" t="str">
        <f>IF(AND(ISNUMBER('Funnel setup'!P36),D24&gt;=30,E24&lt;&gt;"*"),F24-1.959963985 *('Funnel setup'!$K$7/SQRT('Funnel Data'!D24)),"")</f>
        <v/>
      </c>
      <c r="H24" s="310" t="str">
        <f>IF(AND(ISNUMBER('Funnel setup'!P36),D24&gt;=30,E24&lt;&gt;"*"),F24+1.959963985 *('Funnel setup'!$K$7/SQRT('Funnel Data'!D24)),"")</f>
        <v/>
      </c>
      <c r="I24" s="310" t="str">
        <f>IF(AND(ISNUMBER('Funnel setup'!P36),D24&gt;=30,E24&lt;&gt;"*"),F24-3.090232306 *('Funnel setup'!$K$7/SQRT('Funnel Data'!D24)),"")</f>
        <v/>
      </c>
      <c r="J24" s="310" t="str">
        <f>IF(AND(ISNUMBER('Funnel setup'!P36),D24&gt;=30,E24&lt;&gt;"*"),F24+3.090232306 *('Funnel setup'!$K$7/SQRT('Funnel Data'!D24)),"")</f>
        <v/>
      </c>
      <c r="K24" s="311" t="str">
        <f>IF(AND(ISNUMBER('Funnel setup'!P36),D24&gt;=30,E24&lt;&gt;"*"),IF(E24&gt;J24,'Funnel setup'!$K$14&amp;"99.8%",IF(E24&gt;H24,'Funnel setup'!$K$14&amp;"95%",IF(E24&lt;I24,'Funnel setup'!$K$15&amp;"99.8%",IF(E24&lt;G24,'Funnel setup'!$K$15&amp;"95%","")))),"")</f>
        <v/>
      </c>
    </row>
    <row r="25" spans="1:18" ht="15" x14ac:dyDescent="0.2">
      <c r="B25" s="307" t="str">
        <f>IF(ISNUMBER('Funnel setup'!P37),VLOOKUP('Funnel setup'!$P37,'Provider Commission - Raw Data'!$A:$Q,5,0),"")</f>
        <v>NT405</v>
      </c>
      <c r="C25" s="308" t="str">
        <f>IF(ISNUMBER('Funnel setup'!P37),VLOOKUP('Funnel setup'!P37,'Provider Commission - Raw Data'!$A:$Q,6,0),"")</f>
        <v>BMI - BISHOPS WOOD (NT405)</v>
      </c>
      <c r="D25" s="309">
        <f>IF(ISNUMBER('Funnel setup'!P37),VLOOKUP('Funnel setup'!P37,'Provider Commission - Raw Data'!$A:$Q,8,0),"")</f>
        <v>16</v>
      </c>
      <c r="E25" s="446" t="str">
        <f>IF(ISNUMBER('Funnel setup'!P37),VLOOKUP('Funnel setup'!P37,'Provider Commission - Raw Data'!$A:$Q,16,0),"")</f>
        <v>*</v>
      </c>
      <c r="F25" s="310">
        <f>IF(ISNUMBER('Funnel setup'!P37),'Funnel setup'!$K$8,"")</f>
        <v>8.3654400475365306E-2</v>
      </c>
      <c r="G25" s="310" t="str">
        <f>IF(AND(ISNUMBER('Funnel setup'!P37),D25&gt;=30,E25&lt;&gt;"*"),F25-1.959963985 *('Funnel setup'!$K$7/SQRT('Funnel Data'!D25)),"")</f>
        <v/>
      </c>
      <c r="H25" s="310" t="str">
        <f>IF(AND(ISNUMBER('Funnel setup'!P37),D25&gt;=30,E25&lt;&gt;"*"),F25+1.959963985 *('Funnel setup'!$K$7/SQRT('Funnel Data'!D25)),"")</f>
        <v/>
      </c>
      <c r="I25" s="310" t="str">
        <f>IF(AND(ISNUMBER('Funnel setup'!P37),D25&gt;=30,E25&lt;&gt;"*"),F25-3.090232306 *('Funnel setup'!$K$7/SQRT('Funnel Data'!D25)),"")</f>
        <v/>
      </c>
      <c r="J25" s="310" t="str">
        <f>IF(AND(ISNUMBER('Funnel setup'!P37),D25&gt;=30,E25&lt;&gt;"*"),F25+3.090232306 *('Funnel setup'!$K$7/SQRT('Funnel Data'!D25)),"")</f>
        <v/>
      </c>
      <c r="K25" s="311" t="str">
        <f>IF(AND(ISNUMBER('Funnel setup'!P37),D25&gt;=30,E25&lt;&gt;"*"),IF(E25&gt;J25,'Funnel setup'!$K$14&amp;"99.8%",IF(E25&gt;H25,'Funnel setup'!$K$14&amp;"95%",IF(E25&lt;I25,'Funnel setup'!$K$15&amp;"99.8%",IF(E25&lt;G25,'Funnel setup'!$K$15&amp;"95%","")))),"")</f>
        <v/>
      </c>
    </row>
    <row r="26" spans="1:18" ht="15" x14ac:dyDescent="0.2">
      <c r="B26" s="307" t="str">
        <f>IF(ISNUMBER('Funnel setup'!P38),VLOOKUP('Funnel setup'!$P38,'Provider Commission - Raw Data'!$A:$Q,5,0),"")</f>
        <v>NT409</v>
      </c>
      <c r="C26" s="308" t="str">
        <f>IF(ISNUMBER('Funnel setup'!P38),VLOOKUP('Funnel setup'!P38,'Provider Commission - Raw Data'!$A:$Q,6,0),"")</f>
        <v>BMI - CHELSFIELD PARK HOSPITAL (NT409)</v>
      </c>
      <c r="D26" s="309" t="str">
        <f>IF(ISNUMBER('Funnel setup'!P38),VLOOKUP('Funnel setup'!P38,'Provider Commission - Raw Data'!$A:$Q,8,0),"")</f>
        <v>*</v>
      </c>
      <c r="E26" s="446" t="str">
        <f>IF(ISNUMBER('Funnel setup'!P38),VLOOKUP('Funnel setup'!P38,'Provider Commission - Raw Data'!$A:$Q,16,0),"")</f>
        <v>*</v>
      </c>
      <c r="F26" s="310">
        <f>IF(ISNUMBER('Funnel setup'!P38),'Funnel setup'!$K$8,"")</f>
        <v>8.3654400475365306E-2</v>
      </c>
      <c r="G26" s="310" t="str">
        <f>IF(AND(ISNUMBER('Funnel setup'!P38),D26&gt;=30,E26&lt;&gt;"*"),F26-1.959963985 *('Funnel setup'!$K$7/SQRT('Funnel Data'!D26)),"")</f>
        <v/>
      </c>
      <c r="H26" s="310" t="str">
        <f>IF(AND(ISNUMBER('Funnel setup'!P38),D26&gt;=30,E26&lt;&gt;"*"),F26+1.959963985 *('Funnel setup'!$K$7/SQRT('Funnel Data'!D26)),"")</f>
        <v/>
      </c>
      <c r="I26" s="310" t="str">
        <f>IF(AND(ISNUMBER('Funnel setup'!P38),D26&gt;=30,E26&lt;&gt;"*"),F26-3.090232306 *('Funnel setup'!$K$7/SQRT('Funnel Data'!D26)),"")</f>
        <v/>
      </c>
      <c r="J26" s="310" t="str">
        <f>IF(AND(ISNUMBER('Funnel setup'!P38),D26&gt;=30,E26&lt;&gt;"*"),F26+3.090232306 *('Funnel setup'!$K$7/SQRT('Funnel Data'!D26)),"")</f>
        <v/>
      </c>
      <c r="K26" s="311" t="str">
        <f>IF(AND(ISNUMBER('Funnel setup'!P38),D26&gt;=30,E26&lt;&gt;"*"),IF(E26&gt;J26,'Funnel setup'!$K$14&amp;"99.8%",IF(E26&gt;H26,'Funnel setup'!$K$14&amp;"95%",IF(E26&lt;I26,'Funnel setup'!$K$15&amp;"99.8%",IF(E26&lt;G26,'Funnel setup'!$K$15&amp;"95%","")))),"")</f>
        <v/>
      </c>
    </row>
    <row r="27" spans="1:18" ht="15" x14ac:dyDescent="0.2">
      <c r="B27" s="307" t="str">
        <f>IF(ISNUMBER('Funnel setup'!P39),VLOOKUP('Funnel setup'!$P39,'Provider Commission - Raw Data'!$A:$Q,5,0),"")</f>
        <v>NT414</v>
      </c>
      <c r="C27" s="308" t="str">
        <f>IF(ISNUMBER('Funnel setup'!P39),VLOOKUP('Funnel setup'!P39,'Provider Commission - Raw Data'!$A:$Q,6,0),"")</f>
        <v>BMI - FAWKHAM MANOR HOSPITAL (NT414)</v>
      </c>
      <c r="D27" s="309">
        <f>IF(ISNUMBER('Funnel setup'!P39),VLOOKUP('Funnel setup'!P39,'Provider Commission - Raw Data'!$A:$Q,8,0),"")</f>
        <v>21</v>
      </c>
      <c r="E27" s="446" t="str">
        <f>IF(ISNUMBER('Funnel setup'!P39),VLOOKUP('Funnel setup'!P39,'Provider Commission - Raw Data'!$A:$Q,16,0),"")</f>
        <v>*</v>
      </c>
      <c r="F27" s="310">
        <f>IF(ISNUMBER('Funnel setup'!P39),'Funnel setup'!$K$8,"")</f>
        <v>8.3654400475365306E-2</v>
      </c>
      <c r="G27" s="310" t="str">
        <f>IF(AND(ISNUMBER('Funnel setup'!P39),D27&gt;=30,E27&lt;&gt;"*"),F27-1.959963985 *('Funnel setup'!$K$7/SQRT('Funnel Data'!D27)),"")</f>
        <v/>
      </c>
      <c r="H27" s="310" t="str">
        <f>IF(AND(ISNUMBER('Funnel setup'!P39),D27&gt;=30,E27&lt;&gt;"*"),F27+1.959963985 *('Funnel setup'!$K$7/SQRT('Funnel Data'!D27)),"")</f>
        <v/>
      </c>
      <c r="I27" s="310" t="str">
        <f>IF(AND(ISNUMBER('Funnel setup'!P39),D27&gt;=30,E27&lt;&gt;"*"),F27-3.090232306 *('Funnel setup'!$K$7/SQRT('Funnel Data'!D27)),"")</f>
        <v/>
      </c>
      <c r="J27" s="310" t="str">
        <f>IF(AND(ISNUMBER('Funnel setup'!P39),D27&gt;=30,E27&lt;&gt;"*"),F27+3.090232306 *('Funnel setup'!$K$7/SQRT('Funnel Data'!D27)),"")</f>
        <v/>
      </c>
      <c r="K27" s="311" t="str">
        <f>IF(AND(ISNUMBER('Funnel setup'!P39),D27&gt;=30,E27&lt;&gt;"*"),IF(E27&gt;J27,'Funnel setup'!$K$14&amp;"99.8%",IF(E27&gt;H27,'Funnel setup'!$K$14&amp;"95%",IF(E27&lt;I27,'Funnel setup'!$K$15&amp;"99.8%",IF(E27&lt;G27,'Funnel setup'!$K$15&amp;"95%","")))),"")</f>
        <v/>
      </c>
    </row>
    <row r="28" spans="1:18" ht="15" x14ac:dyDescent="0.2">
      <c r="B28" s="307" t="str">
        <f>IF(ISNUMBER('Funnel setup'!P40),VLOOKUP('Funnel setup'!$P40,'Provider Commission - Raw Data'!$A:$Q,5,0),"")</f>
        <v>NT417</v>
      </c>
      <c r="C28" s="308" t="str">
        <f>IF(ISNUMBER('Funnel setup'!P40),VLOOKUP('Funnel setup'!P40,'Provider Commission - Raw Data'!$A:$Q,6,0),"")</f>
        <v>BMI - GORING HALL HOSPITAL (NT417)</v>
      </c>
      <c r="D28" s="309">
        <f>IF(ISNUMBER('Funnel setup'!P40),VLOOKUP('Funnel setup'!P40,'Provider Commission - Raw Data'!$A:$Q,8,0),"")</f>
        <v>27</v>
      </c>
      <c r="E28" s="446" t="str">
        <f>IF(ISNUMBER('Funnel setup'!P40),VLOOKUP('Funnel setup'!P40,'Provider Commission - Raw Data'!$A:$Q,16,0),"")</f>
        <v>*</v>
      </c>
      <c r="F28" s="310">
        <f>IF(ISNUMBER('Funnel setup'!P40),'Funnel setup'!$K$8,"")</f>
        <v>8.3654400475365306E-2</v>
      </c>
      <c r="G28" s="310" t="str">
        <f>IF(AND(ISNUMBER('Funnel setup'!P40),D28&gt;=30,E28&lt;&gt;"*"),F28-1.959963985 *('Funnel setup'!$K$7/SQRT('Funnel Data'!D28)),"")</f>
        <v/>
      </c>
      <c r="H28" s="310" t="str">
        <f>IF(AND(ISNUMBER('Funnel setup'!P40),D28&gt;=30,E28&lt;&gt;"*"),F28+1.959963985 *('Funnel setup'!$K$7/SQRT('Funnel Data'!D28)),"")</f>
        <v/>
      </c>
      <c r="I28" s="310" t="str">
        <f>IF(AND(ISNUMBER('Funnel setup'!P40),D28&gt;=30,E28&lt;&gt;"*"),F28-3.090232306 *('Funnel setup'!$K$7/SQRT('Funnel Data'!D28)),"")</f>
        <v/>
      </c>
      <c r="J28" s="310" t="str">
        <f>IF(AND(ISNUMBER('Funnel setup'!P40),D28&gt;=30,E28&lt;&gt;"*"),F28+3.090232306 *('Funnel setup'!$K$7/SQRT('Funnel Data'!D28)),"")</f>
        <v/>
      </c>
      <c r="K28" s="311" t="str">
        <f>IF(AND(ISNUMBER('Funnel setup'!P40),D28&gt;=30,E28&lt;&gt;"*"),IF(E28&gt;J28,'Funnel setup'!$K$14&amp;"99.8%",IF(E28&gt;H28,'Funnel setup'!$K$14&amp;"95%",IF(E28&lt;I28,'Funnel setup'!$K$15&amp;"99.8%",IF(E28&lt;G28,'Funnel setup'!$K$15&amp;"95%","")))),"")</f>
        <v/>
      </c>
    </row>
    <row r="29" spans="1:18" ht="15" x14ac:dyDescent="0.2">
      <c r="B29" s="307" t="str">
        <f>IF(ISNUMBER('Funnel setup'!P41),VLOOKUP('Funnel setup'!$P41,'Provider Commission - Raw Data'!$A:$Q,5,0),"")</f>
        <v>NT433</v>
      </c>
      <c r="C29" s="308" t="str">
        <f>IF(ISNUMBER('Funnel setup'!P41),VLOOKUP('Funnel setup'!P41,'Provider Commission - Raw Data'!$A:$Q,6,0),"")</f>
        <v>BMI - SARUM ROAD HOSPITAL (NT433)</v>
      </c>
      <c r="D29" s="309">
        <f>IF(ISNUMBER('Funnel setup'!P41),VLOOKUP('Funnel setup'!P41,'Provider Commission - Raw Data'!$A:$Q,8,0),"")</f>
        <v>7</v>
      </c>
      <c r="E29" s="446" t="str">
        <f>IF(ISNUMBER('Funnel setup'!P41),VLOOKUP('Funnel setup'!P41,'Provider Commission - Raw Data'!$A:$Q,16,0),"")</f>
        <v>*</v>
      </c>
      <c r="F29" s="310">
        <f>IF(ISNUMBER('Funnel setup'!P41),'Funnel setup'!$K$8,"")</f>
        <v>8.3654400475365306E-2</v>
      </c>
      <c r="G29" s="310" t="str">
        <f>IF(AND(ISNUMBER('Funnel setup'!P41),D29&gt;=30,E29&lt;&gt;"*"),F29-1.959963985 *('Funnel setup'!$K$7/SQRT('Funnel Data'!D29)),"")</f>
        <v/>
      </c>
      <c r="H29" s="310" t="str">
        <f>IF(AND(ISNUMBER('Funnel setup'!P41),D29&gt;=30,E29&lt;&gt;"*"),F29+1.959963985 *('Funnel setup'!$K$7/SQRT('Funnel Data'!D29)),"")</f>
        <v/>
      </c>
      <c r="I29" s="310" t="str">
        <f>IF(AND(ISNUMBER('Funnel setup'!P41),D29&gt;=30,E29&lt;&gt;"*"),F29-3.090232306 *('Funnel setup'!$K$7/SQRT('Funnel Data'!D29)),"")</f>
        <v/>
      </c>
      <c r="J29" s="310" t="str">
        <f>IF(AND(ISNUMBER('Funnel setup'!P41),D29&gt;=30,E29&lt;&gt;"*"),F29+3.090232306 *('Funnel setup'!$K$7/SQRT('Funnel Data'!D29)),"")</f>
        <v/>
      </c>
      <c r="K29" s="311" t="str">
        <f>IF(AND(ISNUMBER('Funnel setup'!P41),D29&gt;=30,E29&lt;&gt;"*"),IF(E29&gt;J29,'Funnel setup'!$K$14&amp;"99.8%",IF(E29&gt;H29,'Funnel setup'!$K$14&amp;"95%",IF(E29&lt;I29,'Funnel setup'!$K$15&amp;"99.8%",IF(E29&lt;G29,'Funnel setup'!$K$15&amp;"95%","")))),"")</f>
        <v/>
      </c>
    </row>
    <row r="30" spans="1:18" ht="15" x14ac:dyDescent="0.2">
      <c r="B30" s="307" t="str">
        <f>IF(ISNUMBER('Funnel setup'!P42),VLOOKUP('Funnel setup'!$P42,'Provider Commission - Raw Data'!$A:$Q,5,0),"")</f>
        <v>NT436</v>
      </c>
      <c r="C30" s="308" t="str">
        <f>IF(ISNUMBER('Funnel setup'!P42),VLOOKUP('Funnel setup'!P42,'Provider Commission - Raw Data'!$A:$Q,6,0),"")</f>
        <v>BMI - SHIRLEY OAKS HOSPITAL (NT436)</v>
      </c>
      <c r="D30" s="309">
        <f>IF(ISNUMBER('Funnel setup'!P42),VLOOKUP('Funnel setup'!P42,'Provider Commission - Raw Data'!$A:$Q,8,0),"")</f>
        <v>10</v>
      </c>
      <c r="E30" s="446" t="str">
        <f>IF(ISNUMBER('Funnel setup'!P42),VLOOKUP('Funnel setup'!P42,'Provider Commission - Raw Data'!$A:$Q,16,0),"")</f>
        <v>*</v>
      </c>
      <c r="F30" s="310">
        <f>IF(ISNUMBER('Funnel setup'!P42),'Funnel setup'!$K$8,"")</f>
        <v>8.3654400475365306E-2</v>
      </c>
      <c r="G30" s="310" t="str">
        <f>IF(AND(ISNUMBER('Funnel setup'!P42),D30&gt;=30,E30&lt;&gt;"*"),F30-1.959963985 *('Funnel setup'!$K$7/SQRT('Funnel Data'!D30)),"")</f>
        <v/>
      </c>
      <c r="H30" s="310" t="str">
        <f>IF(AND(ISNUMBER('Funnel setup'!P42),D30&gt;=30,E30&lt;&gt;"*"),F30+1.959963985 *('Funnel setup'!$K$7/SQRT('Funnel Data'!D30)),"")</f>
        <v/>
      </c>
      <c r="I30" s="310" t="str">
        <f>IF(AND(ISNUMBER('Funnel setup'!P42),D30&gt;=30,E30&lt;&gt;"*"),F30-3.090232306 *('Funnel setup'!$K$7/SQRT('Funnel Data'!D30)),"")</f>
        <v/>
      </c>
      <c r="J30" s="310" t="str">
        <f>IF(AND(ISNUMBER('Funnel setup'!P42),D30&gt;=30,E30&lt;&gt;"*"),F30+3.090232306 *('Funnel setup'!$K$7/SQRT('Funnel Data'!D30)),"")</f>
        <v/>
      </c>
      <c r="K30" s="311" t="str">
        <f>IF(AND(ISNUMBER('Funnel setup'!P42),D30&gt;=30,E30&lt;&gt;"*"),IF(E30&gt;J30,'Funnel setup'!$K$14&amp;"99.8%",IF(E30&gt;H30,'Funnel setup'!$K$14&amp;"95%",IF(E30&lt;I30,'Funnel setup'!$K$15&amp;"99.8%",IF(E30&lt;G30,'Funnel setup'!$K$15&amp;"95%","")))),"")</f>
        <v/>
      </c>
    </row>
    <row r="31" spans="1:18" ht="15" x14ac:dyDescent="0.2">
      <c r="B31" s="307" t="str">
        <f>IF(ISNUMBER('Funnel setup'!P43),VLOOKUP('Funnel setup'!$P43,'Provider Commission - Raw Data'!$A:$Q,5,0),"")</f>
        <v>NT401</v>
      </c>
      <c r="C31" s="308" t="str">
        <f>IF(ISNUMBER('Funnel setup'!P43),VLOOKUP('Funnel setup'!P43,'Provider Commission - Raw Data'!$A:$Q,6,0),"")</f>
        <v>BMI - THE ALEXANDRA HOSPITAL (NT401)</v>
      </c>
      <c r="D31" s="309">
        <f>IF(ISNUMBER('Funnel setup'!P43),VLOOKUP('Funnel setup'!P43,'Provider Commission - Raw Data'!$A:$Q,8,0),"")</f>
        <v>18</v>
      </c>
      <c r="E31" s="446" t="str">
        <f>IF(ISNUMBER('Funnel setup'!P43),VLOOKUP('Funnel setup'!P43,'Provider Commission - Raw Data'!$A:$Q,16,0),"")</f>
        <v>*</v>
      </c>
      <c r="F31" s="310">
        <f>IF(ISNUMBER('Funnel setup'!P43),'Funnel setup'!$K$8,"")</f>
        <v>8.3654400475365306E-2</v>
      </c>
      <c r="G31" s="310" t="str">
        <f>IF(AND(ISNUMBER('Funnel setup'!P43),D31&gt;=30,E31&lt;&gt;"*"),F31-1.959963985 *('Funnel setup'!$K$7/SQRT('Funnel Data'!D31)),"")</f>
        <v/>
      </c>
      <c r="H31" s="310" t="str">
        <f>IF(AND(ISNUMBER('Funnel setup'!P43),D31&gt;=30,E31&lt;&gt;"*"),F31+1.959963985 *('Funnel setup'!$K$7/SQRT('Funnel Data'!D31)),"")</f>
        <v/>
      </c>
      <c r="I31" s="310" t="str">
        <f>IF(AND(ISNUMBER('Funnel setup'!P43),D31&gt;=30,E31&lt;&gt;"*"),F31-3.090232306 *('Funnel setup'!$K$7/SQRT('Funnel Data'!D31)),"")</f>
        <v/>
      </c>
      <c r="J31" s="310" t="str">
        <f>IF(AND(ISNUMBER('Funnel setup'!P43),D31&gt;=30,E31&lt;&gt;"*"),F31+3.090232306 *('Funnel setup'!$K$7/SQRT('Funnel Data'!D31)),"")</f>
        <v/>
      </c>
      <c r="K31" s="311" t="str">
        <f>IF(AND(ISNUMBER('Funnel setup'!P43),D31&gt;=30,E31&lt;&gt;"*"),IF(E31&gt;J31,'Funnel setup'!$K$14&amp;"99.8%",IF(E31&gt;H31,'Funnel setup'!$K$14&amp;"95%",IF(E31&lt;I31,'Funnel setup'!$K$15&amp;"99.8%",IF(E31&lt;G31,'Funnel setup'!$K$15&amp;"95%","")))),"")</f>
        <v/>
      </c>
    </row>
    <row r="32" spans="1:18" ht="15" x14ac:dyDescent="0.2">
      <c r="B32" s="307" t="str">
        <f>IF(ISNUMBER('Funnel setup'!P44),VLOOKUP('Funnel setup'!$P44,'Provider Commission - Raw Data'!$A:$Q,5,0),"")</f>
        <v>NT403</v>
      </c>
      <c r="C32" s="308" t="str">
        <f>IF(ISNUMBER('Funnel setup'!P44),VLOOKUP('Funnel setup'!P44,'Provider Commission - Raw Data'!$A:$Q,6,0),"")</f>
        <v>BMI - THE BEARDWOOD HOSPITAL (NT403)</v>
      </c>
      <c r="D32" s="309">
        <f>IF(ISNUMBER('Funnel setup'!P44),VLOOKUP('Funnel setup'!P44,'Provider Commission - Raw Data'!$A:$Q,8,0),"")</f>
        <v>45</v>
      </c>
      <c r="E32" s="446">
        <f>IF(ISNUMBER('Funnel setup'!P44),VLOOKUP('Funnel setup'!P44,'Provider Commission - Raw Data'!$A:$Q,16,0),"")</f>
        <v>6.8197717000000005E-2</v>
      </c>
      <c r="F32" s="310">
        <f>IF(ISNUMBER('Funnel setup'!P44),'Funnel setup'!$K$8,"")</f>
        <v>8.3654400475365306E-2</v>
      </c>
      <c r="G32" s="310">
        <f>IF(AND(ISNUMBER('Funnel setup'!P44),D32&gt;=30,E32&lt;&gt;"*"),F32-1.959963985 *('Funnel setup'!$K$7/SQRT('Funnel Data'!D32)),"")</f>
        <v>3.724565678906358E-2</v>
      </c>
      <c r="H32" s="310">
        <f>IF(AND(ISNUMBER('Funnel setup'!P44),D32&gt;=30,E32&lt;&gt;"*"),F32+1.959963985 *('Funnel setup'!$K$7/SQRT('Funnel Data'!D32)),"")</f>
        <v>0.13006314416166703</v>
      </c>
      <c r="I32" s="310">
        <f>IF(AND(ISNUMBER('Funnel setup'!P44),D32&gt;=30,E32&lt;&gt;"*"),F32-3.090232306 *('Funnel setup'!$K$7/SQRT('Funnel Data'!D32)),"")</f>
        <v>1.0482750323700343E-2</v>
      </c>
      <c r="J32" s="310">
        <f>IF(AND(ISNUMBER('Funnel setup'!P44),D32&gt;=30,E32&lt;&gt;"*"),F32+3.090232306 *('Funnel setup'!$K$7/SQRT('Funnel Data'!D32)),"")</f>
        <v>0.15682605062703026</v>
      </c>
      <c r="K32" s="311" t="str">
        <f>IF(AND(ISNUMBER('Funnel setup'!P44),D32&gt;=30,E32&lt;&gt;"*"),IF(E32&gt;J32,'Funnel setup'!$K$14&amp;"99.8%",IF(E32&gt;H32,'Funnel setup'!$K$14&amp;"95%",IF(E32&lt;I32,'Funnel setup'!$K$15&amp;"99.8%",IF(E32&lt;G32,'Funnel setup'!$K$15&amp;"95%","")))),"")</f>
        <v/>
      </c>
    </row>
    <row r="33" spans="2:11" ht="15" x14ac:dyDescent="0.2">
      <c r="B33" s="307" t="str">
        <f>IF(ISNUMBER('Funnel setup'!P45),VLOOKUP('Funnel setup'!$P45,'Provider Commission - Raw Data'!$A:$Q,5,0),"")</f>
        <v>NT404</v>
      </c>
      <c r="C33" s="308" t="str">
        <f>IF(ISNUMBER('Funnel setup'!P45),VLOOKUP('Funnel setup'!P45,'Provider Commission - Raw Data'!$A:$Q,6,0),"")</f>
        <v>BMI - THE BEAUMONT HOSPITAL (NT404)</v>
      </c>
      <c r="D33" s="309">
        <f>IF(ISNUMBER('Funnel setup'!P45),VLOOKUP('Funnel setup'!P45,'Provider Commission - Raw Data'!$A:$Q,8,0),"")</f>
        <v>78</v>
      </c>
      <c r="E33" s="446">
        <f>IF(ISNUMBER('Funnel setup'!P45),VLOOKUP('Funnel setup'!P45,'Provider Commission - Raw Data'!$A:$Q,16,0),"")</f>
        <v>0.104319943</v>
      </c>
      <c r="F33" s="310">
        <f>IF(ISNUMBER('Funnel setup'!P45),'Funnel setup'!$K$8,"")</f>
        <v>8.3654400475365306E-2</v>
      </c>
      <c r="G33" s="310">
        <f>IF(AND(ISNUMBER('Funnel setup'!P45),D33&gt;=30,E33&lt;&gt;"*"),F33-1.959963985 *('Funnel setup'!$K$7/SQRT('Funnel Data'!D33)),"")</f>
        <v>4.8404429194355315E-2</v>
      </c>
      <c r="H33" s="310">
        <f>IF(AND(ISNUMBER('Funnel setup'!P45),D33&gt;=30,E33&lt;&gt;"*"),F33+1.959963985 *('Funnel setup'!$K$7/SQRT('Funnel Data'!D33)),"")</f>
        <v>0.1189043717563753</v>
      </c>
      <c r="I33" s="310">
        <f>IF(AND(ISNUMBER('Funnel setup'!P45),D33&gt;=30,E33&lt;&gt;"*"),F33-3.090232306 *('Funnel setup'!$K$7/SQRT('Funnel Data'!D33)),"")</f>
        <v>2.8076542478066811E-2</v>
      </c>
      <c r="J33" s="310">
        <f>IF(AND(ISNUMBER('Funnel setup'!P45),D33&gt;=30,E33&lt;&gt;"*"),F33+3.090232306 *('Funnel setup'!$K$7/SQRT('Funnel Data'!D33)),"")</f>
        <v>0.13923225847266379</v>
      </c>
      <c r="K33" s="311" t="str">
        <f>IF(AND(ISNUMBER('Funnel setup'!P45),D33&gt;=30,E33&lt;&gt;"*"),IF(E33&gt;J33,'Funnel setup'!$K$14&amp;"99.8%",IF(E33&gt;H33,'Funnel setup'!$K$14&amp;"95%",IF(E33&lt;I33,'Funnel setup'!$K$15&amp;"99.8%",IF(E33&lt;G33,'Funnel setup'!$K$15&amp;"95%","")))),"")</f>
        <v/>
      </c>
    </row>
    <row r="34" spans="2:11" ht="15" x14ac:dyDescent="0.2">
      <c r="B34" s="307" t="str">
        <f>IF(ISNUMBER('Funnel setup'!P46),VLOOKUP('Funnel setup'!$P46,'Provider Commission - Raw Data'!$A:$Q,5,0),"")</f>
        <v>NT406</v>
      </c>
      <c r="C34" s="308" t="str">
        <f>IF(ISNUMBER('Funnel setup'!P46),VLOOKUP('Funnel setup'!P46,'Provider Commission - Raw Data'!$A:$Q,6,0),"")</f>
        <v>BMI - THE BLACKHEATH HOSPITAL (NT406)</v>
      </c>
      <c r="D34" s="309">
        <f>IF(ISNUMBER('Funnel setup'!P46),VLOOKUP('Funnel setup'!P46,'Provider Commission - Raw Data'!$A:$Q,8,0),"")</f>
        <v>9</v>
      </c>
      <c r="E34" s="446" t="str">
        <f>IF(ISNUMBER('Funnel setup'!P46),VLOOKUP('Funnel setup'!P46,'Provider Commission - Raw Data'!$A:$Q,16,0),"")</f>
        <v>*</v>
      </c>
      <c r="F34" s="310">
        <f>IF(ISNUMBER('Funnel setup'!P46),'Funnel setup'!$K$8,"")</f>
        <v>8.3654400475365306E-2</v>
      </c>
      <c r="G34" s="310" t="str">
        <f>IF(AND(ISNUMBER('Funnel setup'!P46),D34&gt;=30,E34&lt;&gt;"*"),F34-1.959963985 *('Funnel setup'!$K$7/SQRT('Funnel Data'!D34)),"")</f>
        <v/>
      </c>
      <c r="H34" s="310" t="str">
        <f>IF(AND(ISNUMBER('Funnel setup'!P46),D34&gt;=30,E34&lt;&gt;"*"),F34+1.959963985 *('Funnel setup'!$K$7/SQRT('Funnel Data'!D34)),"")</f>
        <v/>
      </c>
      <c r="I34" s="310" t="str">
        <f>IF(AND(ISNUMBER('Funnel setup'!P46),D34&gt;=30,E34&lt;&gt;"*"),F34-3.090232306 *('Funnel setup'!$K$7/SQRT('Funnel Data'!D34)),"")</f>
        <v/>
      </c>
      <c r="J34" s="310" t="str">
        <f>IF(AND(ISNUMBER('Funnel setup'!P46),D34&gt;=30,E34&lt;&gt;"*"),F34+3.090232306 *('Funnel setup'!$K$7/SQRT('Funnel Data'!D34)),"")</f>
        <v/>
      </c>
      <c r="K34" s="311" t="str">
        <f>IF(AND(ISNUMBER('Funnel setup'!P46),D34&gt;=30,E34&lt;&gt;"*"),IF(E34&gt;J34,'Funnel setup'!$K$14&amp;"99.8%",IF(E34&gt;H34,'Funnel setup'!$K$14&amp;"95%",IF(E34&lt;I34,'Funnel setup'!$K$15&amp;"99.8%",IF(E34&lt;G34,'Funnel setup'!$K$15&amp;"95%","")))),"")</f>
        <v/>
      </c>
    </row>
    <row r="35" spans="2:11" ht="15" x14ac:dyDescent="0.2">
      <c r="B35" s="307" t="str">
        <f>IF(ISNUMBER('Funnel setup'!P47),VLOOKUP('Funnel setup'!$P47,'Provider Commission - Raw Data'!$A:$Q,5,0),"")</f>
        <v>NT408</v>
      </c>
      <c r="C35" s="308" t="str">
        <f>IF(ISNUMBER('Funnel setup'!P47),VLOOKUP('Funnel setup'!P47,'Provider Commission - Raw Data'!$A:$Q,6,0),"")</f>
        <v>BMI - THE CHAUCER HOSPITAL (NT408)</v>
      </c>
      <c r="D35" s="309">
        <f>IF(ISNUMBER('Funnel setup'!P47),VLOOKUP('Funnel setup'!P47,'Provider Commission - Raw Data'!$A:$Q,8,0),"")</f>
        <v>22</v>
      </c>
      <c r="E35" s="446" t="str">
        <f>IF(ISNUMBER('Funnel setup'!P47),VLOOKUP('Funnel setup'!P47,'Provider Commission - Raw Data'!$A:$Q,16,0),"")</f>
        <v>*</v>
      </c>
      <c r="F35" s="310">
        <f>IF(ISNUMBER('Funnel setup'!P47),'Funnel setup'!$K$8,"")</f>
        <v>8.3654400475365306E-2</v>
      </c>
      <c r="G35" s="310" t="str">
        <f>IF(AND(ISNUMBER('Funnel setup'!P47),D35&gt;=30,E35&lt;&gt;"*"),F35-1.959963985 *('Funnel setup'!$K$7/SQRT('Funnel Data'!D35)),"")</f>
        <v/>
      </c>
      <c r="H35" s="310" t="str">
        <f>IF(AND(ISNUMBER('Funnel setup'!P47),D35&gt;=30,E35&lt;&gt;"*"),F35+1.959963985 *('Funnel setup'!$K$7/SQRT('Funnel Data'!D35)),"")</f>
        <v/>
      </c>
      <c r="I35" s="310" t="str">
        <f>IF(AND(ISNUMBER('Funnel setup'!P47),D35&gt;=30,E35&lt;&gt;"*"),F35-3.090232306 *('Funnel setup'!$K$7/SQRT('Funnel Data'!D35)),"")</f>
        <v/>
      </c>
      <c r="J35" s="310" t="str">
        <f>IF(AND(ISNUMBER('Funnel setup'!P47),D35&gt;=30,E35&lt;&gt;"*"),F35+3.090232306 *('Funnel setup'!$K$7/SQRT('Funnel Data'!D35)),"")</f>
        <v/>
      </c>
      <c r="K35" s="311" t="str">
        <f>IF(AND(ISNUMBER('Funnel setup'!P47),D35&gt;=30,E35&lt;&gt;"*"),IF(E35&gt;J35,'Funnel setup'!$K$14&amp;"99.8%",IF(E35&gt;H35,'Funnel setup'!$K$14&amp;"95%",IF(E35&lt;I35,'Funnel setup'!$K$15&amp;"99.8%",IF(E35&lt;G35,'Funnel setup'!$K$15&amp;"95%","")))),"")</f>
        <v/>
      </c>
    </row>
    <row r="36" spans="2:11" ht="15" x14ac:dyDescent="0.2">
      <c r="B36" s="307" t="str">
        <f>IF(ISNUMBER('Funnel setup'!P48),VLOOKUP('Funnel setup'!$P48,'Provider Commission - Raw Data'!$A:$Q,5,0),"")</f>
        <v>NT410</v>
      </c>
      <c r="C36" s="308" t="str">
        <f>IF(ISNUMBER('Funnel setup'!P48),VLOOKUP('Funnel setup'!P48,'Provider Commission - Raw Data'!$A:$Q,6,0),"")</f>
        <v>BMI - THE CHILTERN HOSPITAL (NT410)</v>
      </c>
      <c r="D36" s="309">
        <f>IF(ISNUMBER('Funnel setup'!P48),VLOOKUP('Funnel setup'!P48,'Provider Commission - Raw Data'!$A:$Q,8,0),"")</f>
        <v>50</v>
      </c>
      <c r="E36" s="446">
        <f>IF(ISNUMBER('Funnel setup'!P48),VLOOKUP('Funnel setup'!P48,'Provider Commission - Raw Data'!$A:$Q,16,0),"")</f>
        <v>0.135742062</v>
      </c>
      <c r="F36" s="310">
        <f>IF(ISNUMBER('Funnel setup'!P48),'Funnel setup'!$K$8,"")</f>
        <v>8.3654400475365306E-2</v>
      </c>
      <c r="G36" s="310">
        <f>IF(AND(ISNUMBER('Funnel setup'!P48),D36&gt;=30,E36&lt;&gt;"*"),F36-1.959963985 *('Funnel setup'!$K$7/SQRT('Funnel Data'!D36)),"")</f>
        <v>3.9627200456663625E-2</v>
      </c>
      <c r="H36" s="310">
        <f>IF(AND(ISNUMBER('Funnel setup'!P48),D36&gt;=30,E36&lt;&gt;"*"),F36+1.959963985 *('Funnel setup'!$K$7/SQRT('Funnel Data'!D36)),"")</f>
        <v>0.12768160049406699</v>
      </c>
      <c r="I36" s="310">
        <f>IF(AND(ISNUMBER('Funnel setup'!P48),D36&gt;=30,E36&lt;&gt;"*"),F36-3.090232306 *('Funnel setup'!$K$7/SQRT('Funnel Data'!D36)),"")</f>
        <v>1.4237678085685407E-2</v>
      </c>
      <c r="J36" s="310">
        <f>IF(AND(ISNUMBER('Funnel setup'!P48),D36&gt;=30,E36&lt;&gt;"*"),F36+3.090232306 *('Funnel setup'!$K$7/SQRT('Funnel Data'!D36)),"")</f>
        <v>0.15307112286504521</v>
      </c>
      <c r="K36" s="311" t="str">
        <f>IF(AND(ISNUMBER('Funnel setup'!P48),D36&gt;=30,E36&lt;&gt;"*"),IF(E36&gt;J36,'Funnel setup'!$K$14&amp;"99.8%",IF(E36&gt;H36,'Funnel setup'!$K$14&amp;"95%",IF(E36&lt;I36,'Funnel setup'!$K$15&amp;"99.8%",IF(E36&lt;G36,'Funnel setup'!$K$15&amp;"95%","")))),"")</f>
        <v>Upper 95%</v>
      </c>
    </row>
    <row r="37" spans="2:11" ht="15" x14ac:dyDescent="0.2">
      <c r="B37" s="307" t="str">
        <f>IF(ISNUMBER('Funnel setup'!P49),VLOOKUP('Funnel setup'!$P49,'Provider Commission - Raw Data'!$A:$Q,5,0),"")</f>
        <v>NT411</v>
      </c>
      <c r="C37" s="308" t="str">
        <f>IF(ISNUMBER('Funnel setup'!P49),VLOOKUP('Funnel setup'!P49,'Provider Commission - Raw Data'!$A:$Q,6,0),"")</f>
        <v>BMI - THE CLEMENTINE CHURCHILL HOSPITAL (NT411)</v>
      </c>
      <c r="D37" s="309">
        <f>IF(ISNUMBER('Funnel setup'!P49),VLOOKUP('Funnel setup'!P49,'Provider Commission - Raw Data'!$A:$Q,8,0),"")</f>
        <v>12</v>
      </c>
      <c r="E37" s="446" t="str">
        <f>IF(ISNUMBER('Funnel setup'!P49),VLOOKUP('Funnel setup'!P49,'Provider Commission - Raw Data'!$A:$Q,16,0),"")</f>
        <v>*</v>
      </c>
      <c r="F37" s="310">
        <f>IF(ISNUMBER('Funnel setup'!P49),'Funnel setup'!$K$8,"")</f>
        <v>8.3654400475365306E-2</v>
      </c>
      <c r="G37" s="310" t="str">
        <f>IF(AND(ISNUMBER('Funnel setup'!P49),D37&gt;=30,E37&lt;&gt;"*"),F37-1.959963985 *('Funnel setup'!$K$7/SQRT('Funnel Data'!D37)),"")</f>
        <v/>
      </c>
      <c r="H37" s="310" t="str">
        <f>IF(AND(ISNUMBER('Funnel setup'!P49),D37&gt;=30,E37&lt;&gt;"*"),F37+1.959963985 *('Funnel setup'!$K$7/SQRT('Funnel Data'!D37)),"")</f>
        <v/>
      </c>
      <c r="I37" s="310" t="str">
        <f>IF(AND(ISNUMBER('Funnel setup'!P49),D37&gt;=30,E37&lt;&gt;"*"),F37-3.090232306 *('Funnel setup'!$K$7/SQRT('Funnel Data'!D37)),"")</f>
        <v/>
      </c>
      <c r="J37" s="310" t="str">
        <f>IF(AND(ISNUMBER('Funnel setup'!P49),D37&gt;=30,E37&lt;&gt;"*"),F37+3.090232306 *('Funnel setup'!$K$7/SQRT('Funnel Data'!D37)),"")</f>
        <v/>
      </c>
      <c r="K37" s="311" t="str">
        <f>IF(AND(ISNUMBER('Funnel setup'!P49),D37&gt;=30,E37&lt;&gt;"*"),IF(E37&gt;J37,'Funnel setup'!$K$14&amp;"99.8%",IF(E37&gt;H37,'Funnel setup'!$K$14&amp;"95%",IF(E37&lt;I37,'Funnel setup'!$K$15&amp;"99.8%",IF(E37&lt;G37,'Funnel setup'!$K$15&amp;"95%","")))),"")</f>
        <v/>
      </c>
    </row>
    <row r="38" spans="2:11" ht="15" x14ac:dyDescent="0.2">
      <c r="B38" s="307" t="str">
        <f>IF(ISNUMBER('Funnel setup'!P50),VLOOKUP('Funnel setup'!$P50,'Provider Commission - Raw Data'!$A:$Q,5,0),"")</f>
        <v>NT412</v>
      </c>
      <c r="C38" s="308" t="str">
        <f>IF(ISNUMBER('Funnel setup'!P50),VLOOKUP('Funnel setup'!P50,'Provider Commission - Raw Data'!$A:$Q,6,0),"")</f>
        <v>BMI - THE DROITWICH SPA HOSPITAL (NT412)</v>
      </c>
      <c r="D38" s="309">
        <f>IF(ISNUMBER('Funnel setup'!P50),VLOOKUP('Funnel setup'!P50,'Provider Commission - Raw Data'!$A:$Q,8,0),"")</f>
        <v>66</v>
      </c>
      <c r="E38" s="446">
        <f>IF(ISNUMBER('Funnel setup'!P50),VLOOKUP('Funnel setup'!P50,'Provider Commission - Raw Data'!$A:$Q,16,0),"")</f>
        <v>0.101002103</v>
      </c>
      <c r="F38" s="310">
        <f>IF(ISNUMBER('Funnel setup'!P50),'Funnel setup'!$K$8,"")</f>
        <v>8.3654400475365306E-2</v>
      </c>
      <c r="G38" s="310">
        <f>IF(AND(ISNUMBER('Funnel setup'!P50),D38&gt;=30,E38&lt;&gt;"*"),F38-1.959963985 *('Funnel setup'!$K$7/SQRT('Funnel Data'!D38)),"")</f>
        <v>4.5333641587624082E-2</v>
      </c>
      <c r="H38" s="310">
        <f>IF(AND(ISNUMBER('Funnel setup'!P50),D38&gt;=30,E38&lt;&gt;"*"),F38+1.959963985 *('Funnel setup'!$K$7/SQRT('Funnel Data'!D38)),"")</f>
        <v>0.12197515936310653</v>
      </c>
      <c r="I38" s="310">
        <f>IF(AND(ISNUMBER('Funnel setup'!P50),D38&gt;=30,E38&lt;&gt;"*"),F38-3.090232306 *('Funnel setup'!$K$7/SQRT('Funnel Data'!D38)),"")</f>
        <v>2.3234898886750878E-2</v>
      </c>
      <c r="J38" s="310">
        <f>IF(AND(ISNUMBER('Funnel setup'!P50),D38&gt;=30,E38&lt;&gt;"*"),F38+3.090232306 *('Funnel setup'!$K$7/SQRT('Funnel Data'!D38)),"")</f>
        <v>0.14407390206397974</v>
      </c>
      <c r="K38" s="311" t="str">
        <f>IF(AND(ISNUMBER('Funnel setup'!P50),D38&gt;=30,E38&lt;&gt;"*"),IF(E38&gt;J38,'Funnel setup'!$K$14&amp;"99.8%",IF(E38&gt;H38,'Funnel setup'!$K$14&amp;"95%",IF(E38&lt;I38,'Funnel setup'!$K$15&amp;"99.8%",IF(E38&lt;G38,'Funnel setup'!$K$15&amp;"95%","")))),"")</f>
        <v/>
      </c>
    </row>
    <row r="39" spans="2:11" ht="15" x14ac:dyDescent="0.2">
      <c r="B39" s="307" t="str">
        <f>IF(ISNUMBER('Funnel setup'!P51),VLOOKUP('Funnel setup'!$P51,'Provider Commission - Raw Data'!$A:$Q,5,0),"")</f>
        <v>NT413</v>
      </c>
      <c r="C39" s="308" t="str">
        <f>IF(ISNUMBER('Funnel setup'!P51),VLOOKUP('Funnel setup'!P51,'Provider Commission - Raw Data'!$A:$Q,6,0),"")</f>
        <v>BMI - THE ESPERANCE HOSPITAL (NT413)</v>
      </c>
      <c r="D39" s="309">
        <f>IF(ISNUMBER('Funnel setup'!P51),VLOOKUP('Funnel setup'!P51,'Provider Commission - Raw Data'!$A:$Q,8,0),"")</f>
        <v>15</v>
      </c>
      <c r="E39" s="446" t="str">
        <f>IF(ISNUMBER('Funnel setup'!P51),VLOOKUP('Funnel setup'!P51,'Provider Commission - Raw Data'!$A:$Q,16,0),"")</f>
        <v>*</v>
      </c>
      <c r="F39" s="310">
        <f>IF(ISNUMBER('Funnel setup'!P51),'Funnel setup'!$K$8,"")</f>
        <v>8.3654400475365306E-2</v>
      </c>
      <c r="G39" s="310" t="str">
        <f>IF(AND(ISNUMBER('Funnel setup'!P51),D39&gt;=30,E39&lt;&gt;"*"),F39-1.959963985 *('Funnel setup'!$K$7/SQRT('Funnel Data'!D39)),"")</f>
        <v/>
      </c>
      <c r="H39" s="310" t="str">
        <f>IF(AND(ISNUMBER('Funnel setup'!P51),D39&gt;=30,E39&lt;&gt;"*"),F39+1.959963985 *('Funnel setup'!$K$7/SQRT('Funnel Data'!D39)),"")</f>
        <v/>
      </c>
      <c r="I39" s="310" t="str">
        <f>IF(AND(ISNUMBER('Funnel setup'!P51),D39&gt;=30,E39&lt;&gt;"*"),F39-3.090232306 *('Funnel setup'!$K$7/SQRT('Funnel Data'!D39)),"")</f>
        <v/>
      </c>
      <c r="J39" s="310" t="str">
        <f>IF(AND(ISNUMBER('Funnel setup'!P51),D39&gt;=30,E39&lt;&gt;"*"),F39+3.090232306 *('Funnel setup'!$K$7/SQRT('Funnel Data'!D39)),"")</f>
        <v/>
      </c>
      <c r="K39" s="311" t="str">
        <f>IF(AND(ISNUMBER('Funnel setup'!P51),D39&gt;=30,E39&lt;&gt;"*"),IF(E39&gt;J39,'Funnel setup'!$K$14&amp;"99.8%",IF(E39&gt;H39,'Funnel setup'!$K$14&amp;"95%",IF(E39&lt;I39,'Funnel setup'!$K$15&amp;"99.8%",IF(E39&lt;G39,'Funnel setup'!$K$15&amp;"95%","")))),"")</f>
        <v/>
      </c>
    </row>
    <row r="40" spans="2:11" ht="15" x14ac:dyDescent="0.2">
      <c r="B40" s="307" t="str">
        <f>IF(ISNUMBER('Funnel setup'!P52),VLOOKUP('Funnel setup'!$P52,'Provider Commission - Raw Data'!$A:$Q,5,0),"")</f>
        <v>NT418</v>
      </c>
      <c r="C40" s="308" t="str">
        <f>IF(ISNUMBER('Funnel setup'!P52),VLOOKUP('Funnel setup'!P52,'Provider Commission - Raw Data'!$A:$Q,6,0),"")</f>
        <v>BMI - THE HAMPSHIRE CLINIC (NT418)</v>
      </c>
      <c r="D40" s="309">
        <f>IF(ISNUMBER('Funnel setup'!P52),VLOOKUP('Funnel setup'!P52,'Provider Commission - Raw Data'!$A:$Q,8,0),"")</f>
        <v>16</v>
      </c>
      <c r="E40" s="446" t="str">
        <f>IF(ISNUMBER('Funnel setup'!P52),VLOOKUP('Funnel setup'!P52,'Provider Commission - Raw Data'!$A:$Q,16,0),"")</f>
        <v>*</v>
      </c>
      <c r="F40" s="310">
        <f>IF(ISNUMBER('Funnel setup'!P52),'Funnel setup'!$K$8,"")</f>
        <v>8.3654400475365306E-2</v>
      </c>
      <c r="G40" s="310" t="str">
        <f>IF(AND(ISNUMBER('Funnel setup'!P52),D40&gt;=30,E40&lt;&gt;"*"),F40-1.959963985 *('Funnel setup'!$K$7/SQRT('Funnel Data'!D40)),"")</f>
        <v/>
      </c>
      <c r="H40" s="310" t="str">
        <f>IF(AND(ISNUMBER('Funnel setup'!P52),D40&gt;=30,E40&lt;&gt;"*"),F40+1.959963985 *('Funnel setup'!$K$7/SQRT('Funnel Data'!D40)),"")</f>
        <v/>
      </c>
      <c r="I40" s="310" t="str">
        <f>IF(AND(ISNUMBER('Funnel setup'!P52),D40&gt;=30,E40&lt;&gt;"*"),F40-3.090232306 *('Funnel setup'!$K$7/SQRT('Funnel Data'!D40)),"")</f>
        <v/>
      </c>
      <c r="J40" s="310" t="str">
        <f>IF(AND(ISNUMBER('Funnel setup'!P52),D40&gt;=30,E40&lt;&gt;"*"),F40+3.090232306 *('Funnel setup'!$K$7/SQRT('Funnel Data'!D40)),"")</f>
        <v/>
      </c>
      <c r="K40" s="311" t="str">
        <f>IF(AND(ISNUMBER('Funnel setup'!P52),D40&gt;=30,E40&lt;&gt;"*"),IF(E40&gt;J40,'Funnel setup'!$K$14&amp;"99.8%",IF(E40&gt;H40,'Funnel setup'!$K$14&amp;"95%",IF(E40&lt;I40,'Funnel setup'!$K$15&amp;"99.8%",IF(E40&lt;G40,'Funnel setup'!$K$15&amp;"95%","")))),"")</f>
        <v/>
      </c>
    </row>
    <row r="41" spans="2:11" ht="15" x14ac:dyDescent="0.2">
      <c r="B41" s="307" t="str">
        <f>IF(ISNUMBER('Funnel setup'!P53),VLOOKUP('Funnel setup'!$P53,'Provider Commission - Raw Data'!$A:$Q,5,0),"")</f>
        <v>NT419</v>
      </c>
      <c r="C41" s="308" t="str">
        <f>IF(ISNUMBER('Funnel setup'!P53),VLOOKUP('Funnel setup'!P53,'Provider Commission - Raw Data'!$A:$Q,6,0),"")</f>
        <v>BMI - THE HARBOUR HOSPITAL (NT419)</v>
      </c>
      <c r="D41" s="309">
        <f>IF(ISNUMBER('Funnel setup'!P53),VLOOKUP('Funnel setup'!P53,'Provider Commission - Raw Data'!$A:$Q,8,0),"")</f>
        <v>87</v>
      </c>
      <c r="E41" s="446">
        <f>IF(ISNUMBER('Funnel setup'!P53),VLOOKUP('Funnel setup'!P53,'Provider Commission - Raw Data'!$A:$Q,16,0),"")</f>
        <v>7.7626913000000006E-2</v>
      </c>
      <c r="F41" s="310">
        <f>IF(ISNUMBER('Funnel setup'!P53),'Funnel setup'!$K$8,"")</f>
        <v>8.3654400475365306E-2</v>
      </c>
      <c r="G41" s="310">
        <f>IF(AND(ISNUMBER('Funnel setup'!P53),D41&gt;=30,E41&lt;&gt;"*"),F41-1.959963985 *('Funnel setup'!$K$7/SQRT('Funnel Data'!D41)),"")</f>
        <v>5.0277466276930506E-2</v>
      </c>
      <c r="H41" s="310">
        <f>IF(AND(ISNUMBER('Funnel setup'!P53),D41&gt;=30,E41&lt;&gt;"*"),F41+1.959963985 *('Funnel setup'!$K$7/SQRT('Funnel Data'!D41)),"")</f>
        <v>0.11703133467380011</v>
      </c>
      <c r="I41" s="310">
        <f>IF(AND(ISNUMBER('Funnel setup'!P53),D41&gt;=30,E41&lt;&gt;"*"),F41-3.090232306 *('Funnel setup'!$K$7/SQRT('Funnel Data'!D41)),"")</f>
        <v>3.1029719040089117E-2</v>
      </c>
      <c r="J41" s="310">
        <f>IF(AND(ISNUMBER('Funnel setup'!P53),D41&gt;=30,E41&lt;&gt;"*"),F41+3.090232306 *('Funnel setup'!$K$7/SQRT('Funnel Data'!D41)),"")</f>
        <v>0.1362790819106415</v>
      </c>
      <c r="K41" s="311" t="str">
        <f>IF(AND(ISNUMBER('Funnel setup'!P53),D41&gt;=30,E41&lt;&gt;"*"),IF(E41&gt;J41,'Funnel setup'!$K$14&amp;"99.8%",IF(E41&gt;H41,'Funnel setup'!$K$14&amp;"95%",IF(E41&lt;I41,'Funnel setup'!$K$15&amp;"99.8%",IF(E41&lt;G41,'Funnel setup'!$K$15&amp;"95%","")))),"")</f>
        <v/>
      </c>
    </row>
    <row r="42" spans="2:11" ht="15" x14ac:dyDescent="0.2">
      <c r="B42" s="307" t="str">
        <f>IF(ISNUMBER('Funnel setup'!P54),VLOOKUP('Funnel setup'!$P54,'Provider Commission - Raw Data'!$A:$Q,5,0),"")</f>
        <v>NT420</v>
      </c>
      <c r="C42" s="308" t="str">
        <f>IF(ISNUMBER('Funnel setup'!P54),VLOOKUP('Funnel setup'!P54,'Provider Commission - Raw Data'!$A:$Q,6,0),"")</f>
        <v>BMI - THE HIGHFIELD HOSPITAL (NT420)</v>
      </c>
      <c r="D42" s="309">
        <f>IF(ISNUMBER('Funnel setup'!P54),VLOOKUP('Funnel setup'!P54,'Provider Commission - Raw Data'!$A:$Q,8,0),"")</f>
        <v>25</v>
      </c>
      <c r="E42" s="446" t="str">
        <f>IF(ISNUMBER('Funnel setup'!P54),VLOOKUP('Funnel setup'!P54,'Provider Commission - Raw Data'!$A:$Q,16,0),"")</f>
        <v>*</v>
      </c>
      <c r="F42" s="310">
        <f>IF(ISNUMBER('Funnel setup'!P54),'Funnel setup'!$K$8,"")</f>
        <v>8.3654400475365306E-2</v>
      </c>
      <c r="G42" s="310" t="str">
        <f>IF(AND(ISNUMBER('Funnel setup'!P54),D42&gt;=30,E42&lt;&gt;"*"),F42-1.959963985 *('Funnel setup'!$K$7/SQRT('Funnel Data'!D42)),"")</f>
        <v/>
      </c>
      <c r="H42" s="310" t="str">
        <f>IF(AND(ISNUMBER('Funnel setup'!P54),D42&gt;=30,E42&lt;&gt;"*"),F42+1.959963985 *('Funnel setup'!$K$7/SQRT('Funnel Data'!D42)),"")</f>
        <v/>
      </c>
      <c r="I42" s="310" t="str">
        <f>IF(AND(ISNUMBER('Funnel setup'!P54),D42&gt;=30,E42&lt;&gt;"*"),F42-3.090232306 *('Funnel setup'!$K$7/SQRT('Funnel Data'!D42)),"")</f>
        <v/>
      </c>
      <c r="J42" s="310" t="str">
        <f>IF(AND(ISNUMBER('Funnel setup'!P54),D42&gt;=30,E42&lt;&gt;"*"),F42+3.090232306 *('Funnel setup'!$K$7/SQRT('Funnel Data'!D42)),"")</f>
        <v/>
      </c>
      <c r="K42" s="311" t="str">
        <f>IF(AND(ISNUMBER('Funnel setup'!P54),D42&gt;=30,E42&lt;&gt;"*"),IF(E42&gt;J42,'Funnel setup'!$K$14&amp;"99.8%",IF(E42&gt;H42,'Funnel setup'!$K$14&amp;"95%",IF(E42&lt;I42,'Funnel setup'!$K$15&amp;"99.8%",IF(E42&lt;G42,'Funnel setup'!$K$15&amp;"95%","")))),"")</f>
        <v/>
      </c>
    </row>
    <row r="43" spans="2:11" ht="15" x14ac:dyDescent="0.2">
      <c r="B43" s="307" t="str">
        <f>IF(ISNUMBER('Funnel setup'!P55),VLOOKUP('Funnel setup'!$P55,'Provider Commission - Raw Data'!$A:$Q,5,0),"")</f>
        <v>NT421</v>
      </c>
      <c r="C43" s="308" t="str">
        <f>IF(ISNUMBER('Funnel setup'!P55),VLOOKUP('Funnel setup'!P55,'Provider Commission - Raw Data'!$A:$Q,6,0),"")</f>
        <v>BMI - THE KINGS OAK HOSPITAL (NT421)</v>
      </c>
      <c r="D43" s="309">
        <f>IF(ISNUMBER('Funnel setup'!P55),VLOOKUP('Funnel setup'!P55,'Provider Commission - Raw Data'!$A:$Q,8,0),"")</f>
        <v>7</v>
      </c>
      <c r="E43" s="446" t="str">
        <f>IF(ISNUMBER('Funnel setup'!P55),VLOOKUP('Funnel setup'!P55,'Provider Commission - Raw Data'!$A:$Q,16,0),"")</f>
        <v>*</v>
      </c>
      <c r="F43" s="310">
        <f>IF(ISNUMBER('Funnel setup'!P55),'Funnel setup'!$K$8,"")</f>
        <v>8.3654400475365306E-2</v>
      </c>
      <c r="G43" s="310" t="str">
        <f>IF(AND(ISNUMBER('Funnel setup'!P55),D43&gt;=30,E43&lt;&gt;"*"),F43-1.959963985 *('Funnel setup'!$K$7/SQRT('Funnel Data'!D43)),"")</f>
        <v/>
      </c>
      <c r="H43" s="310" t="str">
        <f>IF(AND(ISNUMBER('Funnel setup'!P55),D43&gt;=30,E43&lt;&gt;"*"),F43+1.959963985 *('Funnel setup'!$K$7/SQRT('Funnel Data'!D43)),"")</f>
        <v/>
      </c>
      <c r="I43" s="310" t="str">
        <f>IF(AND(ISNUMBER('Funnel setup'!P55),D43&gt;=30,E43&lt;&gt;"*"),F43-3.090232306 *('Funnel setup'!$K$7/SQRT('Funnel Data'!D43)),"")</f>
        <v/>
      </c>
      <c r="J43" s="310" t="str">
        <f>IF(AND(ISNUMBER('Funnel setup'!P55),D43&gt;=30,E43&lt;&gt;"*"),F43+3.090232306 *('Funnel setup'!$K$7/SQRT('Funnel Data'!D43)),"")</f>
        <v/>
      </c>
      <c r="K43" s="311" t="str">
        <f>IF(AND(ISNUMBER('Funnel setup'!P55),D43&gt;=30,E43&lt;&gt;"*"),IF(E43&gt;J43,'Funnel setup'!$K$14&amp;"99.8%",IF(E43&gt;H43,'Funnel setup'!$K$14&amp;"95%",IF(E43&lt;I43,'Funnel setup'!$K$15&amp;"99.8%",IF(E43&lt;G43,'Funnel setup'!$K$15&amp;"95%","")))),"")</f>
        <v/>
      </c>
    </row>
    <row r="44" spans="2:11" ht="15" x14ac:dyDescent="0.2">
      <c r="B44" s="307" t="str">
        <f>IF(ISNUMBER('Funnel setup'!P56),VLOOKUP('Funnel setup'!$P56,'Provider Commission - Raw Data'!$A:$Q,5,0),"")</f>
        <v>NT422</v>
      </c>
      <c r="C44" s="308" t="str">
        <f>IF(ISNUMBER('Funnel setup'!P56),VLOOKUP('Funnel setup'!P56,'Provider Commission - Raw Data'!$A:$Q,6,0),"")</f>
        <v>BMI - THE LONDON INDEPENDENT HOSPITAL (NT422)</v>
      </c>
      <c r="D44" s="309">
        <f>IF(ISNUMBER('Funnel setup'!P56),VLOOKUP('Funnel setup'!P56,'Provider Commission - Raw Data'!$A:$Q,8,0),"")</f>
        <v>16</v>
      </c>
      <c r="E44" s="446" t="str">
        <f>IF(ISNUMBER('Funnel setup'!P56),VLOOKUP('Funnel setup'!P56,'Provider Commission - Raw Data'!$A:$Q,16,0),"")</f>
        <v>*</v>
      </c>
      <c r="F44" s="310">
        <f>IF(ISNUMBER('Funnel setup'!P56),'Funnel setup'!$K$8,"")</f>
        <v>8.3654400475365306E-2</v>
      </c>
      <c r="G44" s="310" t="str">
        <f>IF(AND(ISNUMBER('Funnel setup'!P56),D44&gt;=30,E44&lt;&gt;"*"),F44-1.959963985 *('Funnel setup'!$K$7/SQRT('Funnel Data'!D44)),"")</f>
        <v/>
      </c>
      <c r="H44" s="310" t="str">
        <f>IF(AND(ISNUMBER('Funnel setup'!P56),D44&gt;=30,E44&lt;&gt;"*"),F44+1.959963985 *('Funnel setup'!$K$7/SQRT('Funnel Data'!D44)),"")</f>
        <v/>
      </c>
      <c r="I44" s="310" t="str">
        <f>IF(AND(ISNUMBER('Funnel setup'!P56),D44&gt;=30,E44&lt;&gt;"*"),F44-3.090232306 *('Funnel setup'!$K$7/SQRT('Funnel Data'!D44)),"")</f>
        <v/>
      </c>
      <c r="J44" s="310" t="str">
        <f>IF(AND(ISNUMBER('Funnel setup'!P56),D44&gt;=30,E44&lt;&gt;"*"),F44+3.090232306 *('Funnel setup'!$K$7/SQRT('Funnel Data'!D44)),"")</f>
        <v/>
      </c>
      <c r="K44" s="311" t="str">
        <f>IF(AND(ISNUMBER('Funnel setup'!P56),D44&gt;=30,E44&lt;&gt;"*"),IF(E44&gt;J44,'Funnel setup'!$K$14&amp;"99.8%",IF(E44&gt;H44,'Funnel setup'!$K$14&amp;"95%",IF(E44&lt;I44,'Funnel setup'!$K$15&amp;"99.8%",IF(E44&lt;G44,'Funnel setup'!$K$15&amp;"95%","")))),"")</f>
        <v/>
      </c>
    </row>
    <row r="45" spans="2:11" ht="15" x14ac:dyDescent="0.2">
      <c r="B45" s="307" t="str">
        <f>IF(ISNUMBER('Funnel setup'!P57),VLOOKUP('Funnel setup'!$P57,'Provider Commission - Raw Data'!$A:$Q,5,0),"")</f>
        <v>NT423</v>
      </c>
      <c r="C45" s="308" t="str">
        <f>IF(ISNUMBER('Funnel setup'!P57),VLOOKUP('Funnel setup'!P57,'Provider Commission - Raw Data'!$A:$Q,6,0),"")</f>
        <v>BMI - THE MANOR HOSPITAL (NT423)</v>
      </c>
      <c r="D45" s="309">
        <f>IF(ISNUMBER('Funnel setup'!P57),VLOOKUP('Funnel setup'!P57,'Provider Commission - Raw Data'!$A:$Q,8,0),"")</f>
        <v>26</v>
      </c>
      <c r="E45" s="446" t="str">
        <f>IF(ISNUMBER('Funnel setup'!P57),VLOOKUP('Funnel setup'!P57,'Provider Commission - Raw Data'!$A:$Q,16,0),"")</f>
        <v>*</v>
      </c>
      <c r="F45" s="310">
        <f>IF(ISNUMBER('Funnel setup'!P57),'Funnel setup'!$K$8,"")</f>
        <v>8.3654400475365306E-2</v>
      </c>
      <c r="G45" s="310" t="str">
        <f>IF(AND(ISNUMBER('Funnel setup'!P57),D45&gt;=30,E45&lt;&gt;"*"),F45-1.959963985 *('Funnel setup'!$K$7/SQRT('Funnel Data'!D45)),"")</f>
        <v/>
      </c>
      <c r="H45" s="310" t="str">
        <f>IF(AND(ISNUMBER('Funnel setup'!P57),D45&gt;=30,E45&lt;&gt;"*"),F45+1.959963985 *('Funnel setup'!$K$7/SQRT('Funnel Data'!D45)),"")</f>
        <v/>
      </c>
      <c r="I45" s="310" t="str">
        <f>IF(AND(ISNUMBER('Funnel setup'!P57),D45&gt;=30,E45&lt;&gt;"*"),F45-3.090232306 *('Funnel setup'!$K$7/SQRT('Funnel Data'!D45)),"")</f>
        <v/>
      </c>
      <c r="J45" s="310" t="str">
        <f>IF(AND(ISNUMBER('Funnel setup'!P57),D45&gt;=30,E45&lt;&gt;"*"),F45+3.090232306 *('Funnel setup'!$K$7/SQRT('Funnel Data'!D45)),"")</f>
        <v/>
      </c>
      <c r="K45" s="311" t="str">
        <f>IF(AND(ISNUMBER('Funnel setup'!P57),D45&gt;=30,E45&lt;&gt;"*"),IF(E45&gt;J45,'Funnel setup'!$K$14&amp;"99.8%",IF(E45&gt;H45,'Funnel setup'!$K$14&amp;"95%",IF(E45&lt;I45,'Funnel setup'!$K$15&amp;"99.8%",IF(E45&lt;G45,'Funnel setup'!$K$15&amp;"95%","")))),"")</f>
        <v/>
      </c>
    </row>
    <row r="46" spans="2:11" ht="15" x14ac:dyDescent="0.2">
      <c r="B46" s="307" t="str">
        <f>IF(ISNUMBER('Funnel setup'!P58),VLOOKUP('Funnel setup'!$P58,'Provider Commission - Raw Data'!$A:$Q,5,0),"")</f>
        <v>NT424</v>
      </c>
      <c r="C46" s="308" t="str">
        <f>IF(ISNUMBER('Funnel setup'!P58),VLOOKUP('Funnel setup'!P58,'Provider Commission - Raw Data'!$A:$Q,6,0),"")</f>
        <v>BMI - THE MERIDEN HOSPITAL (NT424)</v>
      </c>
      <c r="D46" s="309">
        <f>IF(ISNUMBER('Funnel setup'!P58),VLOOKUP('Funnel setup'!P58,'Provider Commission - Raw Data'!$A:$Q,8,0),"")</f>
        <v>39</v>
      </c>
      <c r="E46" s="446">
        <f>IF(ISNUMBER('Funnel setup'!P58),VLOOKUP('Funnel setup'!P58,'Provider Commission - Raw Data'!$A:$Q,16,0),"")</f>
        <v>0.1229592</v>
      </c>
      <c r="F46" s="310">
        <f>IF(ISNUMBER('Funnel setup'!P58),'Funnel setup'!$K$8,"")</f>
        <v>8.3654400475365306E-2</v>
      </c>
      <c r="G46" s="310">
        <f>IF(AND(ISNUMBER('Funnel setup'!P58),D46&gt;=30,E46&lt;&gt;"*"),F46-1.959963985 *('Funnel setup'!$K$7/SQRT('Funnel Data'!D46)),"")</f>
        <v>3.3803413016498876E-2</v>
      </c>
      <c r="H46" s="310">
        <f>IF(AND(ISNUMBER('Funnel setup'!P58),D46&gt;=30,E46&lt;&gt;"*"),F46+1.959963985 *('Funnel setup'!$K$7/SQRT('Funnel Data'!D46)),"")</f>
        <v>0.13350538793423172</v>
      </c>
      <c r="I46" s="310">
        <f>IF(AND(ISNUMBER('Funnel setup'!P58),D46&gt;=30,E46&lt;&gt;"*"),F46-3.090232306 *('Funnel setup'!$K$7/SQRT('Funnel Data'!D46)),"")</f>
        <v>5.0554399279397894E-3</v>
      </c>
      <c r="J46" s="310">
        <f>IF(AND(ISNUMBER('Funnel setup'!P58),D46&gt;=30,E46&lt;&gt;"*"),F46+3.090232306 *('Funnel setup'!$K$7/SQRT('Funnel Data'!D46)),"")</f>
        <v>0.16225336102279081</v>
      </c>
      <c r="K46" s="311" t="str">
        <f>IF(AND(ISNUMBER('Funnel setup'!P58),D46&gt;=30,E46&lt;&gt;"*"),IF(E46&gt;J46,'Funnel setup'!$K$14&amp;"99.8%",IF(E46&gt;H46,'Funnel setup'!$K$14&amp;"95%",IF(E46&lt;I46,'Funnel setup'!$K$15&amp;"99.8%",IF(E46&lt;G46,'Funnel setup'!$K$15&amp;"95%","")))),"")</f>
        <v/>
      </c>
    </row>
    <row r="47" spans="2:11" ht="15" x14ac:dyDescent="0.2">
      <c r="B47" s="307" t="str">
        <f>IF(ISNUMBER('Funnel setup'!P59),VLOOKUP('Funnel setup'!$P59,'Provider Commission - Raw Data'!$A:$Q,5,0),"")</f>
        <v>NT427</v>
      </c>
      <c r="C47" s="308" t="str">
        <f>IF(ISNUMBER('Funnel setup'!P59),VLOOKUP('Funnel setup'!P59,'Provider Commission - Raw Data'!$A:$Q,6,0),"")</f>
        <v>BMI - THE PARK HOSPITAL (NT427)</v>
      </c>
      <c r="D47" s="309" t="str">
        <f>IF(ISNUMBER('Funnel setup'!P59),VLOOKUP('Funnel setup'!P59,'Provider Commission - Raw Data'!$A:$Q,8,0),"")</f>
        <v>*</v>
      </c>
      <c r="E47" s="446" t="str">
        <f>IF(ISNUMBER('Funnel setup'!P59),VLOOKUP('Funnel setup'!P59,'Provider Commission - Raw Data'!$A:$Q,16,0),"")</f>
        <v>*</v>
      </c>
      <c r="F47" s="310">
        <f>IF(ISNUMBER('Funnel setup'!P59),'Funnel setup'!$K$8,"")</f>
        <v>8.3654400475365306E-2</v>
      </c>
      <c r="G47" s="310" t="str">
        <f>IF(AND(ISNUMBER('Funnel setup'!P59),D47&gt;=30,E47&lt;&gt;"*"),F47-1.959963985 *('Funnel setup'!$K$7/SQRT('Funnel Data'!D47)),"")</f>
        <v/>
      </c>
      <c r="H47" s="310" t="str">
        <f>IF(AND(ISNUMBER('Funnel setup'!P59),D47&gt;=30,E47&lt;&gt;"*"),F47+1.959963985 *('Funnel setup'!$K$7/SQRT('Funnel Data'!D47)),"")</f>
        <v/>
      </c>
      <c r="I47" s="310" t="str">
        <f>IF(AND(ISNUMBER('Funnel setup'!P59),D47&gt;=30,E47&lt;&gt;"*"),F47-3.090232306 *('Funnel setup'!$K$7/SQRT('Funnel Data'!D47)),"")</f>
        <v/>
      </c>
      <c r="J47" s="310" t="str">
        <f>IF(AND(ISNUMBER('Funnel setup'!P59),D47&gt;=30,E47&lt;&gt;"*"),F47+3.090232306 *('Funnel setup'!$K$7/SQRT('Funnel Data'!D47)),"")</f>
        <v/>
      </c>
      <c r="K47" s="311" t="str">
        <f>IF(AND(ISNUMBER('Funnel setup'!P59),D47&gt;=30,E47&lt;&gt;"*"),IF(E47&gt;J47,'Funnel setup'!$K$14&amp;"99.8%",IF(E47&gt;H47,'Funnel setup'!$K$14&amp;"95%",IF(E47&lt;I47,'Funnel setup'!$K$15&amp;"99.8%",IF(E47&lt;G47,'Funnel setup'!$K$15&amp;"95%","")))),"")</f>
        <v/>
      </c>
    </row>
    <row r="48" spans="2:11" ht="15" x14ac:dyDescent="0.2">
      <c r="B48" s="307" t="str">
        <f>IF(ISNUMBER('Funnel setup'!P60),VLOOKUP('Funnel setup'!$P60,'Provider Commission - Raw Data'!$A:$Q,5,0),"")</f>
        <v>NT428</v>
      </c>
      <c r="C48" s="308" t="str">
        <f>IF(ISNUMBER('Funnel setup'!P60),VLOOKUP('Funnel setup'!P60,'Provider Commission - Raw Data'!$A:$Q,6,0),"")</f>
        <v>BMI - THE PRINCESS MARGARET HOSPITAL (NT428)</v>
      </c>
      <c r="D48" s="309">
        <f>IF(ISNUMBER('Funnel setup'!P60),VLOOKUP('Funnel setup'!P60,'Provider Commission - Raw Data'!$A:$Q,8,0),"")</f>
        <v>8</v>
      </c>
      <c r="E48" s="446" t="str">
        <f>IF(ISNUMBER('Funnel setup'!P60),VLOOKUP('Funnel setup'!P60,'Provider Commission - Raw Data'!$A:$Q,16,0),"")</f>
        <v>*</v>
      </c>
      <c r="F48" s="310">
        <f>IF(ISNUMBER('Funnel setup'!P60),'Funnel setup'!$K$8,"")</f>
        <v>8.3654400475365306E-2</v>
      </c>
      <c r="G48" s="310" t="str">
        <f>IF(AND(ISNUMBER('Funnel setup'!P60),D48&gt;=30,E48&lt;&gt;"*"),F48-1.959963985 *('Funnel setup'!$K$7/SQRT('Funnel Data'!D48)),"")</f>
        <v/>
      </c>
      <c r="H48" s="310" t="str">
        <f>IF(AND(ISNUMBER('Funnel setup'!P60),D48&gt;=30,E48&lt;&gt;"*"),F48+1.959963985 *('Funnel setup'!$K$7/SQRT('Funnel Data'!D48)),"")</f>
        <v/>
      </c>
      <c r="I48" s="310" t="str">
        <f>IF(AND(ISNUMBER('Funnel setup'!P60),D48&gt;=30,E48&lt;&gt;"*"),F48-3.090232306 *('Funnel setup'!$K$7/SQRT('Funnel Data'!D48)),"")</f>
        <v/>
      </c>
      <c r="J48" s="310" t="str">
        <f>IF(AND(ISNUMBER('Funnel setup'!P60),D48&gt;=30,E48&lt;&gt;"*"),F48+3.090232306 *('Funnel setup'!$K$7/SQRT('Funnel Data'!D48)),"")</f>
        <v/>
      </c>
      <c r="K48" s="311" t="str">
        <f>IF(AND(ISNUMBER('Funnel setup'!P60),D48&gt;=30,E48&lt;&gt;"*"),IF(E48&gt;J48,'Funnel setup'!$K$14&amp;"99.8%",IF(E48&gt;H48,'Funnel setup'!$K$14&amp;"95%",IF(E48&lt;I48,'Funnel setup'!$K$15&amp;"99.8%",IF(E48&lt;G48,'Funnel setup'!$K$15&amp;"95%","")))),"")</f>
        <v/>
      </c>
    </row>
    <row r="49" spans="2:11" ht="15" x14ac:dyDescent="0.2">
      <c r="B49" s="307" t="str">
        <f>IF(ISNUMBER('Funnel setup'!P61),VLOOKUP('Funnel setup'!$P61,'Provider Commission - Raw Data'!$A:$Q,5,0),"")</f>
        <v>NT430</v>
      </c>
      <c r="C49" s="308" t="str">
        <f>IF(ISNUMBER('Funnel setup'!P61),VLOOKUP('Funnel setup'!P61,'Provider Commission - Raw Data'!$A:$Q,6,0),"")</f>
        <v>BMI - THE RIDGEWAY HOSPITAL (NT430)</v>
      </c>
      <c r="D49" s="309">
        <f>IF(ISNUMBER('Funnel setup'!P61),VLOOKUP('Funnel setup'!P61,'Provider Commission - Raw Data'!$A:$Q,8,0),"")</f>
        <v>43</v>
      </c>
      <c r="E49" s="446">
        <f>IF(ISNUMBER('Funnel setup'!P61),VLOOKUP('Funnel setup'!P61,'Provider Commission - Raw Data'!$A:$Q,16,0),"")</f>
        <v>4.8560342999999999E-2</v>
      </c>
      <c r="F49" s="310">
        <f>IF(ISNUMBER('Funnel setup'!P61),'Funnel setup'!$K$8,"")</f>
        <v>8.3654400475365306E-2</v>
      </c>
      <c r="G49" s="310">
        <f>IF(AND(ISNUMBER('Funnel setup'!P61),D49&gt;=30,E49&lt;&gt;"*"),F49-1.959963985 *('Funnel setup'!$K$7/SQRT('Funnel Data'!D49)),"")</f>
        <v>3.6178649731374517E-2</v>
      </c>
      <c r="H49" s="310">
        <f>IF(AND(ISNUMBER('Funnel setup'!P61),D49&gt;=30,E49&lt;&gt;"*"),F49+1.959963985 *('Funnel setup'!$K$7/SQRT('Funnel Data'!D49)),"")</f>
        <v>0.13113015121935609</v>
      </c>
      <c r="I49" s="310">
        <f>IF(AND(ISNUMBER('Funnel setup'!P61),D49&gt;=30,E49&lt;&gt;"*"),F49-3.090232306 *('Funnel setup'!$K$7/SQRT('Funnel Data'!D49)),"")</f>
        <v>8.8004236556413068E-3</v>
      </c>
      <c r="J49" s="310">
        <f>IF(AND(ISNUMBER('Funnel setup'!P61),D49&gt;=30,E49&lt;&gt;"*"),F49+3.090232306 *('Funnel setup'!$K$7/SQRT('Funnel Data'!D49)),"")</f>
        <v>0.15850837729508932</v>
      </c>
      <c r="K49" s="311" t="str">
        <f>IF(AND(ISNUMBER('Funnel setup'!P61),D49&gt;=30,E49&lt;&gt;"*"),IF(E49&gt;J49,'Funnel setup'!$K$14&amp;"99.8%",IF(E49&gt;H49,'Funnel setup'!$K$14&amp;"95%",IF(E49&lt;I49,'Funnel setup'!$K$15&amp;"99.8%",IF(E49&lt;G49,'Funnel setup'!$K$15&amp;"95%","")))),"")</f>
        <v/>
      </c>
    </row>
    <row r="50" spans="2:11" ht="15" x14ac:dyDescent="0.2">
      <c r="B50" s="307" t="str">
        <f>IF(ISNUMBER('Funnel setup'!P62),VLOOKUP('Funnel setup'!$P62,'Provider Commission - Raw Data'!$A:$Q,5,0),"")</f>
        <v>NT431</v>
      </c>
      <c r="C50" s="308" t="str">
        <f>IF(ISNUMBER('Funnel setup'!P62),VLOOKUP('Funnel setup'!P62,'Provider Commission - Raw Data'!$A:$Q,6,0),"")</f>
        <v>BMI - THE RUNNYMEDE HOSPITAL (NT431)</v>
      </c>
      <c r="D50" s="309">
        <f>IF(ISNUMBER('Funnel setup'!P62),VLOOKUP('Funnel setup'!P62,'Provider Commission - Raw Data'!$A:$Q,8,0),"")</f>
        <v>12</v>
      </c>
      <c r="E50" s="446" t="str">
        <f>IF(ISNUMBER('Funnel setup'!P62),VLOOKUP('Funnel setup'!P62,'Provider Commission - Raw Data'!$A:$Q,16,0),"")</f>
        <v>*</v>
      </c>
      <c r="F50" s="310">
        <f>IF(ISNUMBER('Funnel setup'!P62),'Funnel setup'!$K$8,"")</f>
        <v>8.3654400475365306E-2</v>
      </c>
      <c r="G50" s="310" t="str">
        <f>IF(AND(ISNUMBER('Funnel setup'!P62),D50&gt;=30,E50&lt;&gt;"*"),F50-1.959963985 *('Funnel setup'!$K$7/SQRT('Funnel Data'!D50)),"")</f>
        <v/>
      </c>
      <c r="H50" s="310" t="str">
        <f>IF(AND(ISNUMBER('Funnel setup'!P62),D50&gt;=30,E50&lt;&gt;"*"),F50+1.959963985 *('Funnel setup'!$K$7/SQRT('Funnel Data'!D50)),"")</f>
        <v/>
      </c>
      <c r="I50" s="310" t="str">
        <f>IF(AND(ISNUMBER('Funnel setup'!P62),D50&gt;=30,E50&lt;&gt;"*"),F50-3.090232306 *('Funnel setup'!$K$7/SQRT('Funnel Data'!D50)),"")</f>
        <v/>
      </c>
      <c r="J50" s="310" t="str">
        <f>IF(AND(ISNUMBER('Funnel setup'!P62),D50&gt;=30,E50&lt;&gt;"*"),F50+3.090232306 *('Funnel setup'!$K$7/SQRT('Funnel Data'!D50)),"")</f>
        <v/>
      </c>
      <c r="K50" s="311" t="str">
        <f>IF(AND(ISNUMBER('Funnel setup'!P62),D50&gt;=30,E50&lt;&gt;"*"),IF(E50&gt;J50,'Funnel setup'!$K$14&amp;"99.8%",IF(E50&gt;H50,'Funnel setup'!$K$14&amp;"95%",IF(E50&lt;I50,'Funnel setup'!$K$15&amp;"99.8%",IF(E50&lt;G50,'Funnel setup'!$K$15&amp;"95%","")))),"")</f>
        <v/>
      </c>
    </row>
    <row r="51" spans="2:11" ht="15" x14ac:dyDescent="0.2">
      <c r="B51" s="307" t="str">
        <f>IF(ISNUMBER('Funnel setup'!P63),VLOOKUP('Funnel setup'!$P63,'Provider Commission - Raw Data'!$A:$Q,5,0),"")</f>
        <v>NT432</v>
      </c>
      <c r="C51" s="308" t="str">
        <f>IF(ISNUMBER('Funnel setup'!P63),VLOOKUP('Funnel setup'!P63,'Provider Commission - Raw Data'!$A:$Q,6,0),"")</f>
        <v>BMI - THE SANDRINGHAM HOSPITAL (NT432)</v>
      </c>
      <c r="D51" s="309">
        <f>IF(ISNUMBER('Funnel setup'!P63),VLOOKUP('Funnel setup'!P63,'Provider Commission - Raw Data'!$A:$Q,8,0),"")</f>
        <v>40</v>
      </c>
      <c r="E51" s="446">
        <f>IF(ISNUMBER('Funnel setup'!P63),VLOOKUP('Funnel setup'!P63,'Provider Commission - Raw Data'!$A:$Q,16,0),"")</f>
        <v>8.4292561000000002E-2</v>
      </c>
      <c r="F51" s="310">
        <f>IF(ISNUMBER('Funnel setup'!P63),'Funnel setup'!$K$8,"")</f>
        <v>8.3654400475365306E-2</v>
      </c>
      <c r="G51" s="310">
        <f>IF(AND(ISNUMBER('Funnel setup'!P63),D51&gt;=30,E51&lt;&gt;"*"),F51-1.959963985 *('Funnel setup'!$K$7/SQRT('Funnel Data'!D51)),"")</f>
        <v>3.4430494424966825E-2</v>
      </c>
      <c r="H51" s="310">
        <f>IF(AND(ISNUMBER('Funnel setup'!P63),D51&gt;=30,E51&lt;&gt;"*"),F51+1.959963985 *('Funnel setup'!$K$7/SQRT('Funnel Data'!D51)),"")</f>
        <v>0.1328783065257638</v>
      </c>
      <c r="I51" s="310">
        <f>IF(AND(ISNUMBER('Funnel setup'!P63),D51&gt;=30,E51&lt;&gt;"*"),F51-3.090232306 *('Funnel setup'!$K$7/SQRT('Funnel Data'!D51)),"")</f>
        <v>6.0441454560873492E-3</v>
      </c>
      <c r="J51" s="310">
        <f>IF(AND(ISNUMBER('Funnel setup'!P63),D51&gt;=30,E51&lt;&gt;"*"),F51+3.090232306 *('Funnel setup'!$K$7/SQRT('Funnel Data'!D51)),"")</f>
        <v>0.16126465549464325</v>
      </c>
      <c r="K51" s="311" t="str">
        <f>IF(AND(ISNUMBER('Funnel setup'!P63),D51&gt;=30,E51&lt;&gt;"*"),IF(E51&gt;J51,'Funnel setup'!$K$14&amp;"99.8%",IF(E51&gt;H51,'Funnel setup'!$K$14&amp;"95%",IF(E51&lt;I51,'Funnel setup'!$K$15&amp;"99.8%",IF(E51&lt;G51,'Funnel setup'!$K$15&amp;"95%","")))),"")</f>
        <v/>
      </c>
    </row>
    <row r="52" spans="2:11" ht="15" x14ac:dyDescent="0.2">
      <c r="B52" s="307" t="str">
        <f>IF(ISNUMBER('Funnel setup'!P64),VLOOKUP('Funnel setup'!$P64,'Provider Commission - Raw Data'!$A:$Q,5,0),"")</f>
        <v>NT434</v>
      </c>
      <c r="C52" s="308" t="str">
        <f>IF(ISNUMBER('Funnel setup'!P64),VLOOKUP('Funnel setup'!P64,'Provider Commission - Raw Data'!$A:$Q,6,0),"")</f>
        <v>BMI - THE SAXON CLINIC (NT434)</v>
      </c>
      <c r="D52" s="309">
        <f>IF(ISNUMBER('Funnel setup'!P64),VLOOKUP('Funnel setup'!P64,'Provider Commission - Raw Data'!$A:$Q,8,0),"")</f>
        <v>38</v>
      </c>
      <c r="E52" s="446">
        <f>IF(ISNUMBER('Funnel setup'!P64),VLOOKUP('Funnel setup'!P64,'Provider Commission - Raw Data'!$A:$Q,16,0),"")</f>
        <v>0.115977277</v>
      </c>
      <c r="F52" s="310">
        <f>IF(ISNUMBER('Funnel setup'!P64),'Funnel setup'!$K$8,"")</f>
        <v>8.3654400475365306E-2</v>
      </c>
      <c r="G52" s="310">
        <f>IF(AND(ISNUMBER('Funnel setup'!P64),D52&gt;=30,E52&lt;&gt;"*"),F52-1.959963985 *('Funnel setup'!$K$7/SQRT('Funnel Data'!D52)),"")</f>
        <v>3.3151738462583021E-2</v>
      </c>
      <c r="H52" s="310">
        <f>IF(AND(ISNUMBER('Funnel setup'!P64),D52&gt;=30,E52&lt;&gt;"*"),F52+1.959963985 *('Funnel setup'!$K$7/SQRT('Funnel Data'!D52)),"")</f>
        <v>0.1341570624881476</v>
      </c>
      <c r="I52" s="310">
        <f>IF(AND(ISNUMBER('Funnel setup'!P64),D52&gt;=30,E52&lt;&gt;"*"),F52-3.090232306 *('Funnel setup'!$K$7/SQRT('Funnel Data'!D52)),"")</f>
        <v>4.0279589257779524E-3</v>
      </c>
      <c r="J52" s="310">
        <f>IF(AND(ISNUMBER('Funnel setup'!P64),D52&gt;=30,E52&lt;&gt;"*"),F52+3.090232306 *('Funnel setup'!$K$7/SQRT('Funnel Data'!D52)),"")</f>
        <v>0.16328084202495266</v>
      </c>
      <c r="K52" s="311" t="str">
        <f>IF(AND(ISNUMBER('Funnel setup'!P64),D52&gt;=30,E52&lt;&gt;"*"),IF(E52&gt;J52,'Funnel setup'!$K$14&amp;"99.8%",IF(E52&gt;H52,'Funnel setup'!$K$14&amp;"95%",IF(E52&lt;I52,'Funnel setup'!$K$15&amp;"99.8%",IF(E52&lt;G52,'Funnel setup'!$K$15&amp;"95%","")))),"")</f>
        <v/>
      </c>
    </row>
    <row r="53" spans="2:11" ht="15" x14ac:dyDescent="0.2">
      <c r="B53" s="307" t="str">
        <f>IF(ISNUMBER('Funnel setup'!P65),VLOOKUP('Funnel setup'!$P65,'Provider Commission - Raw Data'!$A:$Q,5,0),"")</f>
        <v>NT438</v>
      </c>
      <c r="C53" s="308" t="str">
        <f>IF(ISNUMBER('Funnel setup'!P65),VLOOKUP('Funnel setup'!P65,'Provider Commission - Raw Data'!$A:$Q,6,0),"")</f>
        <v>BMI - THE SOMERFIELD HOSPITAL (NT438)</v>
      </c>
      <c r="D53" s="309">
        <f>IF(ISNUMBER('Funnel setup'!P65),VLOOKUP('Funnel setup'!P65,'Provider Commission - Raw Data'!$A:$Q,8,0),"")</f>
        <v>38</v>
      </c>
      <c r="E53" s="446">
        <f>IF(ISNUMBER('Funnel setup'!P65),VLOOKUP('Funnel setup'!P65,'Provider Commission - Raw Data'!$A:$Q,16,0),"")</f>
        <v>9.0213208000000003E-2</v>
      </c>
      <c r="F53" s="310">
        <f>IF(ISNUMBER('Funnel setup'!P65),'Funnel setup'!$K$8,"")</f>
        <v>8.3654400475365306E-2</v>
      </c>
      <c r="G53" s="310">
        <f>IF(AND(ISNUMBER('Funnel setup'!P65),D53&gt;=30,E53&lt;&gt;"*"),F53-1.959963985 *('Funnel setup'!$K$7/SQRT('Funnel Data'!D53)),"")</f>
        <v>3.3151738462583021E-2</v>
      </c>
      <c r="H53" s="310">
        <f>IF(AND(ISNUMBER('Funnel setup'!P65),D53&gt;=30,E53&lt;&gt;"*"),F53+1.959963985 *('Funnel setup'!$K$7/SQRT('Funnel Data'!D53)),"")</f>
        <v>0.1341570624881476</v>
      </c>
      <c r="I53" s="310">
        <f>IF(AND(ISNUMBER('Funnel setup'!P65),D53&gt;=30,E53&lt;&gt;"*"),F53-3.090232306 *('Funnel setup'!$K$7/SQRT('Funnel Data'!D53)),"")</f>
        <v>4.0279589257779524E-3</v>
      </c>
      <c r="J53" s="310">
        <f>IF(AND(ISNUMBER('Funnel setup'!P65),D53&gt;=30,E53&lt;&gt;"*"),F53+3.090232306 *('Funnel setup'!$K$7/SQRT('Funnel Data'!D53)),"")</f>
        <v>0.16328084202495266</v>
      </c>
      <c r="K53" s="311" t="str">
        <f>IF(AND(ISNUMBER('Funnel setup'!P65),D53&gt;=30,E53&lt;&gt;"*"),IF(E53&gt;J53,'Funnel setup'!$K$14&amp;"99.8%",IF(E53&gt;H53,'Funnel setup'!$K$14&amp;"95%",IF(E53&lt;I53,'Funnel setup'!$K$15&amp;"99.8%",IF(E53&lt;G53,'Funnel setup'!$K$15&amp;"95%","")))),"")</f>
        <v/>
      </c>
    </row>
    <row r="54" spans="2:11" ht="15" x14ac:dyDescent="0.2">
      <c r="B54" s="307" t="str">
        <f>IF(ISNUMBER('Funnel setup'!P66),VLOOKUP('Funnel setup'!$P66,'Provider Commission - Raw Data'!$A:$Q,5,0),"")</f>
        <v>NT439</v>
      </c>
      <c r="C54" s="308" t="str">
        <f>IF(ISNUMBER('Funnel setup'!P66),VLOOKUP('Funnel setup'!P66,'Provider Commission - Raw Data'!$A:$Q,6,0),"")</f>
        <v>BMI - THE SOUTH CHESHIRE PRIVATE HOSPITAL (NT439)</v>
      </c>
      <c r="D54" s="309">
        <f>IF(ISNUMBER('Funnel setup'!P66),VLOOKUP('Funnel setup'!P66,'Provider Commission - Raw Data'!$A:$Q,8,0),"")</f>
        <v>37</v>
      </c>
      <c r="E54" s="446">
        <f>IF(ISNUMBER('Funnel setup'!P66),VLOOKUP('Funnel setup'!P66,'Provider Commission - Raw Data'!$A:$Q,16,0),"")</f>
        <v>4.8118213999999999E-2</v>
      </c>
      <c r="F54" s="310">
        <f>IF(ISNUMBER('Funnel setup'!P66),'Funnel setup'!$K$8,"")</f>
        <v>8.3654400475365306E-2</v>
      </c>
      <c r="G54" s="310">
        <f>IF(AND(ISNUMBER('Funnel setup'!P66),D54&gt;=30,E54&lt;&gt;"*"),F54-1.959963985 *('Funnel setup'!$K$7/SQRT('Funnel Data'!D54)),"")</f>
        <v>3.2473820048606238E-2</v>
      </c>
      <c r="H54" s="310">
        <f>IF(AND(ISNUMBER('Funnel setup'!P66),D54&gt;=30,E54&lt;&gt;"*"),F54+1.959963985 *('Funnel setup'!$K$7/SQRT('Funnel Data'!D54)),"")</f>
        <v>0.13483498090212437</v>
      </c>
      <c r="I54" s="310">
        <f>IF(AND(ISNUMBER('Funnel setup'!P66),D54&gt;=30,E54&lt;&gt;"*"),F54-3.090232306 *('Funnel setup'!$K$7/SQRT('Funnel Data'!D54)),"")</f>
        <v>2.9590998040102956E-3</v>
      </c>
      <c r="J54" s="310">
        <f>IF(AND(ISNUMBER('Funnel setup'!P66),D54&gt;=30,E54&lt;&gt;"*"),F54+3.090232306 *('Funnel setup'!$K$7/SQRT('Funnel Data'!D54)),"")</f>
        <v>0.16434970114672032</v>
      </c>
      <c r="K54" s="311" t="str">
        <f>IF(AND(ISNUMBER('Funnel setup'!P66),D54&gt;=30,E54&lt;&gt;"*"),IF(E54&gt;J54,'Funnel setup'!$K$14&amp;"99.8%",IF(E54&gt;H54,'Funnel setup'!$K$14&amp;"95%",IF(E54&lt;I54,'Funnel setup'!$K$15&amp;"99.8%",IF(E54&lt;G54,'Funnel setup'!$K$15&amp;"95%","")))),"")</f>
        <v/>
      </c>
    </row>
    <row r="55" spans="2:11" ht="15" x14ac:dyDescent="0.2">
      <c r="B55" s="307" t="str">
        <f>IF(ISNUMBER('Funnel setup'!P67),VLOOKUP('Funnel setup'!$P67,'Provider Commission - Raw Data'!$A:$Q,5,0),"")</f>
        <v>NT443</v>
      </c>
      <c r="C55" s="308" t="str">
        <f>IF(ISNUMBER('Funnel setup'!P67),VLOOKUP('Funnel setup'!P67,'Provider Commission - Raw Data'!$A:$Q,6,0),"")</f>
        <v>BMI - THE WINTERBOURNE HOSPITAL (NT443)</v>
      </c>
      <c r="D55" s="309">
        <f>IF(ISNUMBER('Funnel setup'!P67),VLOOKUP('Funnel setup'!P67,'Provider Commission - Raw Data'!$A:$Q,8,0),"")</f>
        <v>35</v>
      </c>
      <c r="E55" s="446">
        <f>IF(ISNUMBER('Funnel setup'!P67),VLOOKUP('Funnel setup'!P67,'Provider Commission - Raw Data'!$A:$Q,16,0),"")</f>
        <v>0.100175574</v>
      </c>
      <c r="F55" s="310">
        <f>IF(ISNUMBER('Funnel setup'!P67),'Funnel setup'!$K$8,"")</f>
        <v>8.3654400475365306E-2</v>
      </c>
      <c r="G55" s="310">
        <f>IF(AND(ISNUMBER('Funnel setup'!P67),D55&gt;=30,E55&lt;&gt;"*"),F55-1.959963985 *('Funnel setup'!$K$7/SQRT('Funnel Data'!D55)),"")</f>
        <v>3.10318314241253E-2</v>
      </c>
      <c r="H55" s="310">
        <f>IF(AND(ISNUMBER('Funnel setup'!P67),D55&gt;=30,E55&lt;&gt;"*"),F55+1.959963985 *('Funnel setup'!$K$7/SQRT('Funnel Data'!D55)),"")</f>
        <v>0.13627696952660531</v>
      </c>
      <c r="I55" s="310">
        <f>IF(AND(ISNUMBER('Funnel setup'!P67),D55&gt;=30,E55&lt;&gt;"*"),F55-3.090232306 *('Funnel setup'!$K$7/SQRT('Funnel Data'!D55)),"")</f>
        <v>6.8554790899652551E-4</v>
      </c>
      <c r="J55" s="310">
        <f>IF(AND(ISNUMBER('Funnel setup'!P67),D55&gt;=30,E55&lt;&gt;"*"),F55+3.090232306 *('Funnel setup'!$K$7/SQRT('Funnel Data'!D55)),"")</f>
        <v>0.16662325304173409</v>
      </c>
      <c r="K55" s="311" t="str">
        <f>IF(AND(ISNUMBER('Funnel setup'!P67),D55&gt;=30,E55&lt;&gt;"*"),IF(E55&gt;J55,'Funnel setup'!$K$14&amp;"99.8%",IF(E55&gt;H55,'Funnel setup'!$K$14&amp;"95%",IF(E55&lt;I55,'Funnel setup'!$K$15&amp;"99.8%",IF(E55&lt;G55,'Funnel setup'!$K$15&amp;"95%","")))),"")</f>
        <v/>
      </c>
    </row>
    <row r="56" spans="2:11" ht="15" x14ac:dyDescent="0.2">
      <c r="B56" s="307" t="str">
        <f>IF(ISNUMBER('Funnel setup'!P68),VLOOKUP('Funnel setup'!$P68,'Provider Commission - Raw Data'!$A:$Q,5,0),"")</f>
        <v>NT440</v>
      </c>
      <c r="C56" s="308" t="str">
        <f>IF(ISNUMBER('Funnel setup'!P68),VLOOKUP('Funnel setup'!P68,'Provider Commission - Raw Data'!$A:$Q,6,0),"")</f>
        <v>BMI - THORNBURY HOSPITAL (NT440)</v>
      </c>
      <c r="D56" s="309">
        <f>IF(ISNUMBER('Funnel setup'!P68),VLOOKUP('Funnel setup'!P68,'Provider Commission - Raw Data'!$A:$Q,8,0),"")</f>
        <v>14</v>
      </c>
      <c r="E56" s="446" t="str">
        <f>IF(ISNUMBER('Funnel setup'!P68),VLOOKUP('Funnel setup'!P68,'Provider Commission - Raw Data'!$A:$Q,16,0),"")</f>
        <v>*</v>
      </c>
      <c r="F56" s="310">
        <f>IF(ISNUMBER('Funnel setup'!P68),'Funnel setup'!$K$8,"")</f>
        <v>8.3654400475365306E-2</v>
      </c>
      <c r="G56" s="310" t="str">
        <f>IF(AND(ISNUMBER('Funnel setup'!P68),D56&gt;=30,E56&lt;&gt;"*"),F56-1.959963985 *('Funnel setup'!$K$7/SQRT('Funnel Data'!D56)),"")</f>
        <v/>
      </c>
      <c r="H56" s="310" t="str">
        <f>IF(AND(ISNUMBER('Funnel setup'!P68),D56&gt;=30,E56&lt;&gt;"*"),F56+1.959963985 *('Funnel setup'!$K$7/SQRT('Funnel Data'!D56)),"")</f>
        <v/>
      </c>
      <c r="I56" s="310" t="str">
        <f>IF(AND(ISNUMBER('Funnel setup'!P68),D56&gt;=30,E56&lt;&gt;"*"),F56-3.090232306 *('Funnel setup'!$K$7/SQRT('Funnel Data'!D56)),"")</f>
        <v/>
      </c>
      <c r="J56" s="310" t="str">
        <f>IF(AND(ISNUMBER('Funnel setup'!P68),D56&gt;=30,E56&lt;&gt;"*"),F56+3.090232306 *('Funnel setup'!$K$7/SQRT('Funnel Data'!D56)),"")</f>
        <v/>
      </c>
      <c r="K56" s="311" t="str">
        <f>IF(AND(ISNUMBER('Funnel setup'!P68),D56&gt;=30,E56&lt;&gt;"*"),IF(E56&gt;J56,'Funnel setup'!$K$14&amp;"99.8%",IF(E56&gt;H56,'Funnel setup'!$K$14&amp;"95%",IF(E56&lt;I56,'Funnel setup'!$K$15&amp;"99.8%",IF(E56&lt;G56,'Funnel setup'!$K$15&amp;"95%","")))),"")</f>
        <v/>
      </c>
    </row>
    <row r="57" spans="2:11" ht="15" x14ac:dyDescent="0.2">
      <c r="B57" s="307" t="str">
        <f>IF(ISNUMBER('Funnel setup'!P69),VLOOKUP('Funnel setup'!$P69,'Provider Commission - Raw Data'!$A:$Q,5,0),"")</f>
        <v>NT441</v>
      </c>
      <c r="C57" s="308" t="str">
        <f>IF(ISNUMBER('Funnel setup'!P69),VLOOKUP('Funnel setup'!P69,'Provider Commission - Raw Data'!$A:$Q,6,0),"")</f>
        <v>BMI - THREE SHIRES HOSPITAL (NT441)</v>
      </c>
      <c r="D57" s="309">
        <f>IF(ISNUMBER('Funnel setup'!P69),VLOOKUP('Funnel setup'!P69,'Provider Commission - Raw Data'!$A:$Q,8,0),"")</f>
        <v>23</v>
      </c>
      <c r="E57" s="446" t="str">
        <f>IF(ISNUMBER('Funnel setup'!P69),VLOOKUP('Funnel setup'!P69,'Provider Commission - Raw Data'!$A:$Q,16,0),"")</f>
        <v>*</v>
      </c>
      <c r="F57" s="310">
        <f>IF(ISNUMBER('Funnel setup'!P69),'Funnel setup'!$K$8,"")</f>
        <v>8.3654400475365306E-2</v>
      </c>
      <c r="G57" s="310" t="str">
        <f>IF(AND(ISNUMBER('Funnel setup'!P69),D57&gt;=30,E57&lt;&gt;"*"),F57-1.959963985 *('Funnel setup'!$K$7/SQRT('Funnel Data'!D57)),"")</f>
        <v/>
      </c>
      <c r="H57" s="310" t="str">
        <f>IF(AND(ISNUMBER('Funnel setup'!P69),D57&gt;=30,E57&lt;&gt;"*"),F57+1.959963985 *('Funnel setup'!$K$7/SQRT('Funnel Data'!D57)),"")</f>
        <v/>
      </c>
      <c r="I57" s="310" t="str">
        <f>IF(AND(ISNUMBER('Funnel setup'!P69),D57&gt;=30,E57&lt;&gt;"*"),F57-3.090232306 *('Funnel setup'!$K$7/SQRT('Funnel Data'!D57)),"")</f>
        <v/>
      </c>
      <c r="J57" s="310" t="str">
        <f>IF(AND(ISNUMBER('Funnel setup'!P69),D57&gt;=30,E57&lt;&gt;"*"),F57+3.090232306 *('Funnel setup'!$K$7/SQRT('Funnel Data'!D57)),"")</f>
        <v/>
      </c>
      <c r="K57" s="311" t="str">
        <f>IF(AND(ISNUMBER('Funnel setup'!P69),D57&gt;=30,E57&lt;&gt;"*"),IF(E57&gt;J57,'Funnel setup'!$K$14&amp;"99.8%",IF(E57&gt;H57,'Funnel setup'!$K$14&amp;"95%",IF(E57&lt;I57,'Funnel setup'!$K$15&amp;"99.8%",IF(E57&lt;G57,'Funnel setup'!$K$15&amp;"95%","")))),"")</f>
        <v/>
      </c>
    </row>
    <row r="58" spans="2:11" ht="15" x14ac:dyDescent="0.2">
      <c r="B58" s="307" t="str">
        <f>IF(ISNUMBER('Funnel setup'!P70),VLOOKUP('Funnel setup'!$P70,'Provider Commission - Raw Data'!$A:$Q,5,0),"")</f>
        <v>NT497</v>
      </c>
      <c r="C58" s="308" t="str">
        <f>IF(ISNUMBER('Funnel setup'!P70),VLOOKUP('Funnel setup'!P70,'Provider Commission - Raw Data'!$A:$Q,6,0),"")</f>
        <v>BMI GISBURNE PARK HOSPITAL (NT497)</v>
      </c>
      <c r="D58" s="309">
        <f>IF(ISNUMBER('Funnel setup'!P70),VLOOKUP('Funnel setup'!P70,'Provider Commission - Raw Data'!$A:$Q,8,0),"")</f>
        <v>39</v>
      </c>
      <c r="E58" s="446">
        <f>IF(ISNUMBER('Funnel setup'!P70),VLOOKUP('Funnel setup'!P70,'Provider Commission - Raw Data'!$A:$Q,16,0),"")</f>
        <v>0.141161756</v>
      </c>
      <c r="F58" s="310">
        <f>IF(ISNUMBER('Funnel setup'!P70),'Funnel setup'!$K$8,"")</f>
        <v>8.3654400475365306E-2</v>
      </c>
      <c r="G58" s="310">
        <f>IF(AND(ISNUMBER('Funnel setup'!P70),D58&gt;=30,E58&lt;&gt;"*"),F58-1.959963985 *('Funnel setup'!$K$7/SQRT('Funnel Data'!D58)),"")</f>
        <v>3.3803413016498876E-2</v>
      </c>
      <c r="H58" s="310">
        <f>IF(AND(ISNUMBER('Funnel setup'!P70),D58&gt;=30,E58&lt;&gt;"*"),F58+1.959963985 *('Funnel setup'!$K$7/SQRT('Funnel Data'!D58)),"")</f>
        <v>0.13350538793423172</v>
      </c>
      <c r="I58" s="310">
        <f>IF(AND(ISNUMBER('Funnel setup'!P70),D58&gt;=30,E58&lt;&gt;"*"),F58-3.090232306 *('Funnel setup'!$K$7/SQRT('Funnel Data'!D58)),"")</f>
        <v>5.0554399279397894E-3</v>
      </c>
      <c r="J58" s="310">
        <f>IF(AND(ISNUMBER('Funnel setup'!P70),D58&gt;=30,E58&lt;&gt;"*"),F58+3.090232306 *('Funnel setup'!$K$7/SQRT('Funnel Data'!D58)),"")</f>
        <v>0.16225336102279081</v>
      </c>
      <c r="K58" s="311" t="str">
        <f>IF(AND(ISNUMBER('Funnel setup'!P70),D58&gt;=30,E58&lt;&gt;"*"),IF(E58&gt;J58,'Funnel setup'!$K$14&amp;"99.8%",IF(E58&gt;H58,'Funnel setup'!$K$14&amp;"95%",IF(E58&lt;I58,'Funnel setup'!$K$15&amp;"99.8%",IF(E58&lt;G58,'Funnel setup'!$K$15&amp;"95%","")))),"")</f>
        <v>Upper 95%</v>
      </c>
    </row>
    <row r="59" spans="2:11" ht="15" x14ac:dyDescent="0.2">
      <c r="B59" s="307" t="str">
        <f>IF(ISNUMBER('Funnel setup'!P71),VLOOKUP('Funnel setup'!$P71,'Provider Commission - Raw Data'!$A:$Q,5,0),"")</f>
        <v>NT455</v>
      </c>
      <c r="C59" s="308" t="str">
        <f>IF(ISNUMBER('Funnel setup'!P71),VLOOKUP('Funnel setup'!P71,'Provider Commission - Raw Data'!$A:$Q,6,0),"")</f>
        <v>BMI MOUNT ALVERNIA HOSPITAL (NT455)</v>
      </c>
      <c r="D59" s="309">
        <f>IF(ISNUMBER('Funnel setup'!P71),VLOOKUP('Funnel setup'!P71,'Provider Commission - Raw Data'!$A:$Q,8,0),"")</f>
        <v>11</v>
      </c>
      <c r="E59" s="446" t="str">
        <f>IF(ISNUMBER('Funnel setup'!P71),VLOOKUP('Funnel setup'!P71,'Provider Commission - Raw Data'!$A:$Q,16,0),"")</f>
        <v>*</v>
      </c>
      <c r="F59" s="310">
        <f>IF(ISNUMBER('Funnel setup'!P71),'Funnel setup'!$K$8,"")</f>
        <v>8.3654400475365306E-2</v>
      </c>
      <c r="G59" s="310" t="str">
        <f>IF(AND(ISNUMBER('Funnel setup'!P71),D59&gt;=30,E59&lt;&gt;"*"),F59-1.959963985 *('Funnel setup'!$K$7/SQRT('Funnel Data'!D59)),"")</f>
        <v/>
      </c>
      <c r="H59" s="310" t="str">
        <f>IF(AND(ISNUMBER('Funnel setup'!P71),D59&gt;=30,E59&lt;&gt;"*"),F59+1.959963985 *('Funnel setup'!$K$7/SQRT('Funnel Data'!D59)),"")</f>
        <v/>
      </c>
      <c r="I59" s="310" t="str">
        <f>IF(AND(ISNUMBER('Funnel setup'!P71),D59&gt;=30,E59&lt;&gt;"*"),F59-3.090232306 *('Funnel setup'!$K$7/SQRT('Funnel Data'!D59)),"")</f>
        <v/>
      </c>
      <c r="J59" s="310" t="str">
        <f>IF(AND(ISNUMBER('Funnel setup'!P71),D59&gt;=30,E59&lt;&gt;"*"),F59+3.090232306 *('Funnel setup'!$K$7/SQRT('Funnel Data'!D59)),"")</f>
        <v/>
      </c>
      <c r="K59" s="311" t="str">
        <f>IF(AND(ISNUMBER('Funnel setup'!P71),D59&gt;=30,E59&lt;&gt;"*"),IF(E59&gt;J59,'Funnel setup'!$K$14&amp;"99.8%",IF(E59&gt;H59,'Funnel setup'!$K$14&amp;"95%",IF(E59&lt;I59,'Funnel setup'!$K$15&amp;"99.8%",IF(E59&lt;G59,'Funnel setup'!$K$15&amp;"95%","")))),"")</f>
        <v/>
      </c>
    </row>
    <row r="60" spans="2:11" ht="15" x14ac:dyDescent="0.2">
      <c r="B60" s="307" t="str">
        <f>IF(ISNUMBER('Funnel setup'!P72),VLOOKUP('Funnel setup'!$P72,'Provider Commission - Raw Data'!$A:$Q,5,0),"")</f>
        <v>NT446</v>
      </c>
      <c r="C60" s="308" t="str">
        <f>IF(ISNUMBER('Funnel setup'!P72),VLOOKUP('Funnel setup'!P72,'Provider Commission - Raw Data'!$A:$Q,6,0),"")</f>
        <v>BMI ST EDMUNDS HOSPITAL (NT446)</v>
      </c>
      <c r="D60" s="309">
        <f>IF(ISNUMBER('Funnel setup'!P72),VLOOKUP('Funnel setup'!P72,'Provider Commission - Raw Data'!$A:$Q,8,0),"")</f>
        <v>9</v>
      </c>
      <c r="E60" s="446" t="str">
        <f>IF(ISNUMBER('Funnel setup'!P72),VLOOKUP('Funnel setup'!P72,'Provider Commission - Raw Data'!$A:$Q,16,0),"")</f>
        <v>*</v>
      </c>
      <c r="F60" s="310">
        <f>IF(ISNUMBER('Funnel setup'!P72),'Funnel setup'!$K$8,"")</f>
        <v>8.3654400475365306E-2</v>
      </c>
      <c r="G60" s="310" t="str">
        <f>IF(AND(ISNUMBER('Funnel setup'!P72),D60&gt;=30,E60&lt;&gt;"*"),F60-1.959963985 *('Funnel setup'!$K$7/SQRT('Funnel Data'!D60)),"")</f>
        <v/>
      </c>
      <c r="H60" s="310" t="str">
        <f>IF(AND(ISNUMBER('Funnel setup'!P72),D60&gt;=30,E60&lt;&gt;"*"),F60+1.959963985 *('Funnel setup'!$K$7/SQRT('Funnel Data'!D60)),"")</f>
        <v/>
      </c>
      <c r="I60" s="310" t="str">
        <f>IF(AND(ISNUMBER('Funnel setup'!P72),D60&gt;=30,E60&lt;&gt;"*"),F60-3.090232306 *('Funnel setup'!$K$7/SQRT('Funnel Data'!D60)),"")</f>
        <v/>
      </c>
      <c r="J60" s="310" t="str">
        <f>IF(AND(ISNUMBER('Funnel setup'!P72),D60&gt;=30,E60&lt;&gt;"*"),F60+3.090232306 *('Funnel setup'!$K$7/SQRT('Funnel Data'!D60)),"")</f>
        <v/>
      </c>
      <c r="K60" s="311" t="str">
        <f>IF(AND(ISNUMBER('Funnel setup'!P72),D60&gt;=30,E60&lt;&gt;"*"),IF(E60&gt;J60,'Funnel setup'!$K$14&amp;"99.8%",IF(E60&gt;H60,'Funnel setup'!$K$14&amp;"95%",IF(E60&lt;I60,'Funnel setup'!$K$15&amp;"99.8%",IF(E60&lt;G60,'Funnel setup'!$K$15&amp;"95%","")))),"")</f>
        <v/>
      </c>
    </row>
    <row r="61" spans="2:11" ht="15" x14ac:dyDescent="0.2">
      <c r="B61" s="307" t="str">
        <f>IF(ISNUMBER('Funnel setup'!P73),VLOOKUP('Funnel setup'!$P73,'Provider Commission - Raw Data'!$A:$Q,5,0),"")</f>
        <v>NT451</v>
      </c>
      <c r="C61" s="308" t="str">
        <f>IF(ISNUMBER('Funnel setup'!P73),VLOOKUP('Funnel setup'!P73,'Provider Commission - Raw Data'!$A:$Q,6,0),"")</f>
        <v>BMI THE CAVELL HOSPITAL (NT451)</v>
      </c>
      <c r="D61" s="309">
        <f>IF(ISNUMBER('Funnel setup'!P73),VLOOKUP('Funnel setup'!P73,'Provider Commission - Raw Data'!$A:$Q,8,0),"")</f>
        <v>7</v>
      </c>
      <c r="E61" s="446" t="str">
        <f>IF(ISNUMBER('Funnel setup'!P73),VLOOKUP('Funnel setup'!P73,'Provider Commission - Raw Data'!$A:$Q,16,0),"")</f>
        <v>*</v>
      </c>
      <c r="F61" s="310">
        <f>IF(ISNUMBER('Funnel setup'!P73),'Funnel setup'!$K$8,"")</f>
        <v>8.3654400475365306E-2</v>
      </c>
      <c r="G61" s="310" t="str">
        <f>IF(AND(ISNUMBER('Funnel setup'!P73),D61&gt;=30,E61&lt;&gt;"*"),F61-1.959963985 *('Funnel setup'!$K$7/SQRT('Funnel Data'!D61)),"")</f>
        <v/>
      </c>
      <c r="H61" s="310" t="str">
        <f>IF(AND(ISNUMBER('Funnel setup'!P73),D61&gt;=30,E61&lt;&gt;"*"),F61+1.959963985 *('Funnel setup'!$K$7/SQRT('Funnel Data'!D61)),"")</f>
        <v/>
      </c>
      <c r="I61" s="310" t="str">
        <f>IF(AND(ISNUMBER('Funnel setup'!P73),D61&gt;=30,E61&lt;&gt;"*"),F61-3.090232306 *('Funnel setup'!$K$7/SQRT('Funnel Data'!D61)),"")</f>
        <v/>
      </c>
      <c r="J61" s="310" t="str">
        <f>IF(AND(ISNUMBER('Funnel setup'!P73),D61&gt;=30,E61&lt;&gt;"*"),F61+3.090232306 *('Funnel setup'!$K$7/SQRT('Funnel Data'!D61)),"")</f>
        <v/>
      </c>
      <c r="K61" s="311" t="str">
        <f>IF(AND(ISNUMBER('Funnel setup'!P73),D61&gt;=30,E61&lt;&gt;"*"),IF(E61&gt;J61,'Funnel setup'!$K$14&amp;"99.8%",IF(E61&gt;H61,'Funnel setup'!$K$14&amp;"95%",IF(E61&lt;I61,'Funnel setup'!$K$15&amp;"99.8%",IF(E61&lt;G61,'Funnel setup'!$K$15&amp;"95%","")))),"")</f>
        <v/>
      </c>
    </row>
    <row r="62" spans="2:11" ht="15" x14ac:dyDescent="0.2">
      <c r="B62" s="307" t="str">
        <f>IF(ISNUMBER('Funnel setup'!P74),VLOOKUP('Funnel setup'!$P74,'Provider Commission - Raw Data'!$A:$Q,5,0),"")</f>
        <v>NT447</v>
      </c>
      <c r="C62" s="308" t="str">
        <f>IF(ISNUMBER('Funnel setup'!P74),VLOOKUP('Funnel setup'!P74,'Provider Commission - Raw Data'!$A:$Q,6,0),"")</f>
        <v>BMI THE DUCHY HOSPITAL (NT447)</v>
      </c>
      <c r="D62" s="309">
        <f>IF(ISNUMBER('Funnel setup'!P74),VLOOKUP('Funnel setup'!P74,'Provider Commission - Raw Data'!$A:$Q,8,0),"")</f>
        <v>23</v>
      </c>
      <c r="E62" s="446" t="str">
        <f>IF(ISNUMBER('Funnel setup'!P74),VLOOKUP('Funnel setup'!P74,'Provider Commission - Raw Data'!$A:$Q,16,0),"")</f>
        <v>*</v>
      </c>
      <c r="F62" s="310">
        <f>IF(ISNUMBER('Funnel setup'!P74),'Funnel setup'!$K$8,"")</f>
        <v>8.3654400475365306E-2</v>
      </c>
      <c r="G62" s="310" t="str">
        <f>IF(AND(ISNUMBER('Funnel setup'!P74),D62&gt;=30,E62&lt;&gt;"*"),F62-1.959963985 *('Funnel setup'!$K$7/SQRT('Funnel Data'!D62)),"")</f>
        <v/>
      </c>
      <c r="H62" s="310" t="str">
        <f>IF(AND(ISNUMBER('Funnel setup'!P74),D62&gt;=30,E62&lt;&gt;"*"),F62+1.959963985 *('Funnel setup'!$K$7/SQRT('Funnel Data'!D62)),"")</f>
        <v/>
      </c>
      <c r="I62" s="310" t="str">
        <f>IF(AND(ISNUMBER('Funnel setup'!P74),D62&gt;=30,E62&lt;&gt;"*"),F62-3.090232306 *('Funnel setup'!$K$7/SQRT('Funnel Data'!D62)),"")</f>
        <v/>
      </c>
      <c r="J62" s="310" t="str">
        <f>IF(AND(ISNUMBER('Funnel setup'!P74),D62&gt;=30,E62&lt;&gt;"*"),F62+3.090232306 *('Funnel setup'!$K$7/SQRT('Funnel Data'!D62)),"")</f>
        <v/>
      </c>
      <c r="K62" s="311" t="str">
        <f>IF(AND(ISNUMBER('Funnel setup'!P74),D62&gt;=30,E62&lt;&gt;"*"),IF(E62&gt;J62,'Funnel setup'!$K$14&amp;"99.8%",IF(E62&gt;H62,'Funnel setup'!$K$14&amp;"95%",IF(E62&lt;I62,'Funnel setup'!$K$15&amp;"99.8%",IF(E62&lt;G62,'Funnel setup'!$K$15&amp;"95%","")))),"")</f>
        <v/>
      </c>
    </row>
    <row r="63" spans="2:11" ht="15" x14ac:dyDescent="0.2">
      <c r="B63" s="307" t="str">
        <f>IF(ISNUMBER('Funnel setup'!P75),VLOOKUP('Funnel setup'!$P75,'Provider Commission - Raw Data'!$A:$Q,5,0),"")</f>
        <v>NT445</v>
      </c>
      <c r="C63" s="308" t="str">
        <f>IF(ISNUMBER('Funnel setup'!P75),VLOOKUP('Funnel setup'!P75,'Provider Commission - Raw Data'!$A:$Q,6,0),"")</f>
        <v>BMI THE EDGBASTON HOSPITAL (NT445)</v>
      </c>
      <c r="D63" s="309">
        <f>IF(ISNUMBER('Funnel setup'!P75),VLOOKUP('Funnel setup'!P75,'Provider Commission - Raw Data'!$A:$Q,8,0),"")</f>
        <v>23</v>
      </c>
      <c r="E63" s="446" t="str">
        <f>IF(ISNUMBER('Funnel setup'!P75),VLOOKUP('Funnel setup'!P75,'Provider Commission - Raw Data'!$A:$Q,16,0),"")</f>
        <v>*</v>
      </c>
      <c r="F63" s="310">
        <f>IF(ISNUMBER('Funnel setup'!P75),'Funnel setup'!$K$8,"")</f>
        <v>8.3654400475365306E-2</v>
      </c>
      <c r="G63" s="310" t="str">
        <f>IF(AND(ISNUMBER('Funnel setup'!P75),D63&gt;=30,E63&lt;&gt;"*"),F63-1.959963985 *('Funnel setup'!$K$7/SQRT('Funnel Data'!D63)),"")</f>
        <v/>
      </c>
      <c r="H63" s="310" t="str">
        <f>IF(AND(ISNUMBER('Funnel setup'!P75),D63&gt;=30,E63&lt;&gt;"*"),F63+1.959963985 *('Funnel setup'!$K$7/SQRT('Funnel Data'!D63)),"")</f>
        <v/>
      </c>
      <c r="I63" s="310" t="str">
        <f>IF(AND(ISNUMBER('Funnel setup'!P75),D63&gt;=30,E63&lt;&gt;"*"),F63-3.090232306 *('Funnel setup'!$K$7/SQRT('Funnel Data'!D63)),"")</f>
        <v/>
      </c>
      <c r="J63" s="310" t="str">
        <f>IF(AND(ISNUMBER('Funnel setup'!P75),D63&gt;=30,E63&lt;&gt;"*"),F63+3.090232306 *('Funnel setup'!$K$7/SQRT('Funnel Data'!D63)),"")</f>
        <v/>
      </c>
      <c r="K63" s="311" t="str">
        <f>IF(AND(ISNUMBER('Funnel setup'!P75),D63&gt;=30,E63&lt;&gt;"*"),IF(E63&gt;J63,'Funnel setup'!$K$14&amp;"99.8%",IF(E63&gt;H63,'Funnel setup'!$K$14&amp;"95%",IF(E63&lt;I63,'Funnel setup'!$K$15&amp;"99.8%",IF(E63&lt;G63,'Funnel setup'!$K$15&amp;"95%","")))),"")</f>
        <v/>
      </c>
    </row>
    <row r="64" spans="2:11" ht="15" x14ac:dyDescent="0.2">
      <c r="B64" s="307" t="str">
        <f>IF(ISNUMBER('Funnel setup'!P76),VLOOKUP('Funnel setup'!$P76,'Provider Commission - Raw Data'!$A:$Q,5,0),"")</f>
        <v>NT448</v>
      </c>
      <c r="C64" s="308" t="str">
        <f>IF(ISNUMBER('Funnel setup'!P76),VLOOKUP('Funnel setup'!P76,'Provider Commission - Raw Data'!$A:$Q,6,0),"")</f>
        <v>BMI THE HUDDERSFIELD HOSPITAL (NT448)</v>
      </c>
      <c r="D64" s="309">
        <f>IF(ISNUMBER('Funnel setup'!P76),VLOOKUP('Funnel setup'!P76,'Provider Commission - Raw Data'!$A:$Q,8,0),"")</f>
        <v>76</v>
      </c>
      <c r="E64" s="446">
        <f>IF(ISNUMBER('Funnel setup'!P76),VLOOKUP('Funnel setup'!P76,'Provider Commission - Raw Data'!$A:$Q,16,0),"")</f>
        <v>0.104014623</v>
      </c>
      <c r="F64" s="310">
        <f>IF(ISNUMBER('Funnel setup'!P76),'Funnel setup'!$K$8,"")</f>
        <v>8.3654400475365306E-2</v>
      </c>
      <c r="G64" s="310">
        <f>IF(AND(ISNUMBER('Funnel setup'!P76),D64&gt;=30,E64&lt;&gt;"*"),F64-1.959963985 *('Funnel setup'!$K$7/SQRT('Funnel Data'!D64)),"")</f>
        <v>4.7943625698154704E-2</v>
      </c>
      <c r="H64" s="310">
        <f>IF(AND(ISNUMBER('Funnel setup'!P76),D64&gt;=30,E64&lt;&gt;"*"),F64+1.959963985 *('Funnel setup'!$K$7/SQRT('Funnel Data'!D64)),"")</f>
        <v>0.11936517525257591</v>
      </c>
      <c r="I64" s="310">
        <f>IF(AND(ISNUMBER('Funnel setup'!P76),D64&gt;=30,E64&lt;&gt;"*"),F64-3.090232306 *('Funnel setup'!$K$7/SQRT('Funnel Data'!D64)),"")</f>
        <v>2.7350003693897833E-2</v>
      </c>
      <c r="J64" s="310">
        <f>IF(AND(ISNUMBER('Funnel setup'!P76),D64&gt;=30,E64&lt;&gt;"*"),F64+3.090232306 *('Funnel setup'!$K$7/SQRT('Funnel Data'!D64)),"")</f>
        <v>0.13995879725683277</v>
      </c>
      <c r="K64" s="311" t="str">
        <f>IF(AND(ISNUMBER('Funnel setup'!P76),D64&gt;=30,E64&lt;&gt;"*"),IF(E64&gt;J64,'Funnel setup'!$K$14&amp;"99.8%",IF(E64&gt;H64,'Funnel setup'!$K$14&amp;"95%",IF(E64&lt;I64,'Funnel setup'!$K$15&amp;"99.8%",IF(E64&lt;G64,'Funnel setup'!$K$15&amp;"95%","")))),"")</f>
        <v/>
      </c>
    </row>
    <row r="65" spans="2:11" ht="15" x14ac:dyDescent="0.2">
      <c r="B65" s="307" t="str">
        <f>IF(ISNUMBER('Funnel setup'!P77),VLOOKUP('Funnel setup'!$P77,'Provider Commission - Raw Data'!$A:$Q,5,0),"")</f>
        <v>NT449</v>
      </c>
      <c r="C65" s="308" t="str">
        <f>IF(ISNUMBER('Funnel setup'!P77),VLOOKUP('Funnel setup'!P77,'Provider Commission - Raw Data'!$A:$Q,6,0),"")</f>
        <v>BMI THE LANCASTER HOSPITAL (NT449)</v>
      </c>
      <c r="D65" s="309">
        <f>IF(ISNUMBER('Funnel setup'!P77),VLOOKUP('Funnel setup'!P77,'Provider Commission - Raw Data'!$A:$Q,8,0),"")</f>
        <v>9</v>
      </c>
      <c r="E65" s="446" t="str">
        <f>IF(ISNUMBER('Funnel setup'!P77),VLOOKUP('Funnel setup'!P77,'Provider Commission - Raw Data'!$A:$Q,16,0),"")</f>
        <v>*</v>
      </c>
      <c r="F65" s="310">
        <f>IF(ISNUMBER('Funnel setup'!P77),'Funnel setup'!$K$8,"")</f>
        <v>8.3654400475365306E-2</v>
      </c>
      <c r="G65" s="310" t="str">
        <f>IF(AND(ISNUMBER('Funnel setup'!P77),D65&gt;=30,E65&lt;&gt;"*"),F65-1.959963985 *('Funnel setup'!$K$7/SQRT('Funnel Data'!D65)),"")</f>
        <v/>
      </c>
      <c r="H65" s="310" t="str">
        <f>IF(AND(ISNUMBER('Funnel setup'!P77),D65&gt;=30,E65&lt;&gt;"*"),F65+1.959963985 *('Funnel setup'!$K$7/SQRT('Funnel Data'!D65)),"")</f>
        <v/>
      </c>
      <c r="I65" s="310" t="str">
        <f>IF(AND(ISNUMBER('Funnel setup'!P77),D65&gt;=30,E65&lt;&gt;"*"),F65-3.090232306 *('Funnel setup'!$K$7/SQRT('Funnel Data'!D65)),"")</f>
        <v/>
      </c>
      <c r="J65" s="310" t="str">
        <f>IF(AND(ISNUMBER('Funnel setup'!P77),D65&gt;=30,E65&lt;&gt;"*"),F65+3.090232306 *('Funnel setup'!$K$7/SQRT('Funnel Data'!D65)),"")</f>
        <v/>
      </c>
      <c r="K65" s="311" t="str">
        <f>IF(AND(ISNUMBER('Funnel setup'!P77),D65&gt;=30,E65&lt;&gt;"*"),IF(E65&gt;J65,'Funnel setup'!$K$14&amp;"99.8%",IF(E65&gt;H65,'Funnel setup'!$K$14&amp;"95%",IF(E65&lt;I65,'Funnel setup'!$K$15&amp;"99.8%",IF(E65&lt;G65,'Funnel setup'!$K$15&amp;"95%","")))),"")</f>
        <v/>
      </c>
    </row>
    <row r="66" spans="2:11" ht="15" x14ac:dyDescent="0.2">
      <c r="B66" s="307" t="str">
        <f>IF(ISNUMBER('Funnel setup'!P78),VLOOKUP('Funnel setup'!$P78,'Provider Commission - Raw Data'!$A:$Q,5,0),"")</f>
        <v>NT450</v>
      </c>
      <c r="C66" s="308" t="str">
        <f>IF(ISNUMBER('Funnel setup'!P78),VLOOKUP('Funnel setup'!P78,'Provider Commission - Raw Data'!$A:$Q,6,0),"")</f>
        <v>BMI THE LINCOLN HOSPITAL (NT450)</v>
      </c>
      <c r="D66" s="309">
        <f>IF(ISNUMBER('Funnel setup'!P78),VLOOKUP('Funnel setup'!P78,'Provider Commission - Raw Data'!$A:$Q,8,0),"")</f>
        <v>37</v>
      </c>
      <c r="E66" s="446">
        <f>IF(ISNUMBER('Funnel setup'!P78),VLOOKUP('Funnel setup'!P78,'Provider Commission - Raw Data'!$A:$Q,16,0),"")</f>
        <v>8.0250742E-2</v>
      </c>
      <c r="F66" s="310">
        <f>IF(ISNUMBER('Funnel setup'!P78),'Funnel setup'!$K$8,"")</f>
        <v>8.3654400475365306E-2</v>
      </c>
      <c r="G66" s="310">
        <f>IF(AND(ISNUMBER('Funnel setup'!P78),D66&gt;=30,E66&lt;&gt;"*"),F66-1.959963985 *('Funnel setup'!$K$7/SQRT('Funnel Data'!D66)),"")</f>
        <v>3.2473820048606238E-2</v>
      </c>
      <c r="H66" s="310">
        <f>IF(AND(ISNUMBER('Funnel setup'!P78),D66&gt;=30,E66&lt;&gt;"*"),F66+1.959963985 *('Funnel setup'!$K$7/SQRT('Funnel Data'!D66)),"")</f>
        <v>0.13483498090212437</v>
      </c>
      <c r="I66" s="310">
        <f>IF(AND(ISNUMBER('Funnel setup'!P78),D66&gt;=30,E66&lt;&gt;"*"),F66-3.090232306 *('Funnel setup'!$K$7/SQRT('Funnel Data'!D66)),"")</f>
        <v>2.9590998040102956E-3</v>
      </c>
      <c r="J66" s="310">
        <f>IF(AND(ISNUMBER('Funnel setup'!P78),D66&gt;=30,E66&lt;&gt;"*"),F66+3.090232306 *('Funnel setup'!$K$7/SQRT('Funnel Data'!D66)),"")</f>
        <v>0.16434970114672032</v>
      </c>
      <c r="K66" s="311" t="str">
        <f>IF(AND(ISNUMBER('Funnel setup'!P78),D66&gt;=30,E66&lt;&gt;"*"),IF(E66&gt;J66,'Funnel setup'!$K$14&amp;"99.8%",IF(E66&gt;H66,'Funnel setup'!$K$14&amp;"95%",IF(E66&lt;I66,'Funnel setup'!$K$15&amp;"99.8%",IF(E66&lt;G66,'Funnel setup'!$K$15&amp;"95%","")))),"")</f>
        <v/>
      </c>
    </row>
    <row r="67" spans="2:11" ht="15" x14ac:dyDescent="0.2">
      <c r="B67" s="307" t="str">
        <f>IF(ISNUMBER('Funnel setup'!P79),VLOOKUP('Funnel setup'!$P79,'Provider Commission - Raw Data'!$A:$Q,5,0),"")</f>
        <v>NT457</v>
      </c>
      <c r="C67" s="308" t="str">
        <f>IF(ISNUMBER('Funnel setup'!P79),VLOOKUP('Funnel setup'!P79,'Provider Commission - Raw Data'!$A:$Q,6,0),"")</f>
        <v>BMI WOODLANDS HOSPITAL (NT457)</v>
      </c>
      <c r="D67" s="309">
        <f>IF(ISNUMBER('Funnel setup'!P79),VLOOKUP('Funnel setup'!P79,'Provider Commission - Raw Data'!$A:$Q,8,0),"")</f>
        <v>30</v>
      </c>
      <c r="E67" s="446">
        <f>IF(ISNUMBER('Funnel setup'!P79),VLOOKUP('Funnel setup'!P79,'Provider Commission - Raw Data'!$A:$Q,16,0),"")</f>
        <v>2.8878641E-2</v>
      </c>
      <c r="F67" s="310">
        <f>IF(ISNUMBER('Funnel setup'!P79),'Funnel setup'!$K$8,"")</f>
        <v>8.3654400475365306E-2</v>
      </c>
      <c r="G67" s="310">
        <f>IF(AND(ISNUMBER('Funnel setup'!P79),D67&gt;=30,E67&lt;&gt;"*"),F67-1.959963985 *('Funnel setup'!$K$7/SQRT('Funnel Data'!D67)),"")</f>
        <v>2.6815529657840474E-2</v>
      </c>
      <c r="H67" s="310">
        <f>IF(AND(ISNUMBER('Funnel setup'!P79),D67&gt;=30,E67&lt;&gt;"*"),F67+1.959963985 *('Funnel setup'!$K$7/SQRT('Funnel Data'!D67)),"")</f>
        <v>0.14049327129289013</v>
      </c>
      <c r="I67" s="310">
        <f>IF(AND(ISNUMBER('Funnel setup'!P79),D67&gt;=30,E67&lt;&gt;"*"),F67-3.090232306 *('Funnel setup'!$K$7/SQRT('Funnel Data'!D67)),"")</f>
        <v>-5.9622027791459559E-3</v>
      </c>
      <c r="J67" s="310">
        <f>IF(AND(ISNUMBER('Funnel setup'!P79),D67&gt;=30,E67&lt;&gt;"*"),F67+3.090232306 *('Funnel setup'!$K$7/SQRT('Funnel Data'!D67)),"")</f>
        <v>0.17327100372987658</v>
      </c>
      <c r="K67" s="311" t="str">
        <f>IF(AND(ISNUMBER('Funnel setup'!P79),D67&gt;=30,E67&lt;&gt;"*"),IF(E67&gt;J67,'Funnel setup'!$K$14&amp;"99.8%",IF(E67&gt;H67,'Funnel setup'!$K$14&amp;"95%",IF(E67&lt;I67,'Funnel setup'!$K$15&amp;"99.8%",IF(E67&lt;G67,'Funnel setup'!$K$15&amp;"95%","")))),"")</f>
        <v/>
      </c>
    </row>
    <row r="68" spans="2:11" ht="15" x14ac:dyDescent="0.2">
      <c r="B68" s="307" t="str">
        <f>IF(ISNUMBER('Funnel setup'!P80),VLOOKUP('Funnel setup'!$P80,'Provider Commission - Raw Data'!$A:$Q,5,0),"")</f>
        <v>NVC24</v>
      </c>
      <c r="C68" s="308" t="str">
        <f>IF(ISNUMBER('Funnel setup'!P80),VLOOKUP('Funnel setup'!P80,'Provider Commission - Raw Data'!$A:$Q,6,0),"")</f>
        <v>BODMIN NHS TREATMENT CENTRE (NVC24)</v>
      </c>
      <c r="D68" s="309">
        <f>IF(ISNUMBER('Funnel setup'!P80),VLOOKUP('Funnel setup'!P80,'Provider Commission - Raw Data'!$A:$Q,8,0),"")</f>
        <v>56</v>
      </c>
      <c r="E68" s="446">
        <f>IF(ISNUMBER('Funnel setup'!P80),VLOOKUP('Funnel setup'!P80,'Provider Commission - Raw Data'!$A:$Q,16,0),"")</f>
        <v>0.148738545</v>
      </c>
      <c r="F68" s="310">
        <f>IF(ISNUMBER('Funnel setup'!P80),'Funnel setup'!$K$8,"")</f>
        <v>8.3654400475365306E-2</v>
      </c>
      <c r="G68" s="310">
        <f>IF(AND(ISNUMBER('Funnel setup'!P80),D68&gt;=30,E68&lt;&gt;"*"),F68-1.959963985 *('Funnel setup'!$K$7/SQRT('Funnel Data'!D68)),"")</f>
        <v>4.2052606842514252E-2</v>
      </c>
      <c r="H68" s="310">
        <f>IF(AND(ISNUMBER('Funnel setup'!P80),D68&gt;=30,E68&lt;&gt;"*"),F68+1.959963985 *('Funnel setup'!$K$7/SQRT('Funnel Data'!D68)),"")</f>
        <v>0.12525619410821637</v>
      </c>
      <c r="I68" s="310">
        <f>IF(AND(ISNUMBER('Funnel setup'!P80),D68&gt;=30,E68&lt;&gt;"*"),F68-3.090232306 *('Funnel setup'!$K$7/SQRT('Funnel Data'!D68)),"")</f>
        <v>1.8061763235257336E-2</v>
      </c>
      <c r="J68" s="310">
        <f>IF(AND(ISNUMBER('Funnel setup'!P80),D68&gt;=30,E68&lt;&gt;"*"),F68+3.090232306 *('Funnel setup'!$K$7/SQRT('Funnel Data'!D68)),"")</f>
        <v>0.14924703771547326</v>
      </c>
      <c r="K68" s="311" t="str">
        <f>IF(AND(ISNUMBER('Funnel setup'!P80),D68&gt;=30,E68&lt;&gt;"*"),IF(E68&gt;J68,'Funnel setup'!$K$14&amp;"99.8%",IF(E68&gt;H68,'Funnel setup'!$K$14&amp;"95%",IF(E68&lt;I68,'Funnel setup'!$K$15&amp;"99.8%",IF(E68&lt;G68,'Funnel setup'!$K$15&amp;"95%","")))),"")</f>
        <v>Upper 95%</v>
      </c>
    </row>
    <row r="69" spans="2:11" ht="15" x14ac:dyDescent="0.2">
      <c r="B69" s="307" t="str">
        <f>IF(ISNUMBER('Funnel setup'!P81),VLOOKUP('Funnel setup'!$P81,'Provider Commission - Raw Data'!$A:$Q,5,0),"")</f>
        <v>RMC</v>
      </c>
      <c r="C69" s="308" t="str">
        <f>IF(ISNUMBER('Funnel setup'!P81),VLOOKUP('Funnel setup'!P81,'Provider Commission - Raw Data'!$A:$Q,6,0),"")</f>
        <v>BOLTON NHS FOUNDATION TRUST (RMC)</v>
      </c>
      <c r="D69" s="309">
        <f>IF(ISNUMBER('Funnel setup'!P81),VLOOKUP('Funnel setup'!P81,'Provider Commission - Raw Data'!$A:$Q,8,0),"")</f>
        <v>102</v>
      </c>
      <c r="E69" s="446">
        <f>IF(ISNUMBER('Funnel setup'!P81),VLOOKUP('Funnel setup'!P81,'Provider Commission - Raw Data'!$A:$Q,16,0),"")</f>
        <v>8.0903020000000006E-2</v>
      </c>
      <c r="F69" s="310">
        <f>IF(ISNUMBER('Funnel setup'!P81),'Funnel setup'!$K$8,"")</f>
        <v>8.3654400475365306E-2</v>
      </c>
      <c r="G69" s="310">
        <f>IF(AND(ISNUMBER('Funnel setup'!P81),D69&gt;=30,E69&lt;&gt;"*"),F69-1.959963985 *('Funnel setup'!$K$7/SQRT('Funnel Data'!D69)),"")</f>
        <v>5.2829194804512508E-2</v>
      </c>
      <c r="H69" s="310">
        <f>IF(AND(ISNUMBER('Funnel setup'!P81),D69&gt;=30,E69&lt;&gt;"*"),F69+1.959963985 *('Funnel setup'!$K$7/SQRT('Funnel Data'!D69)),"")</f>
        <v>0.1144796061462181</v>
      </c>
      <c r="I69" s="310">
        <f>IF(AND(ISNUMBER('Funnel setup'!P81),D69&gt;=30,E69&lt;&gt;"*"),F69-3.090232306 *('Funnel setup'!$K$7/SQRT('Funnel Data'!D69)),"")</f>
        <v>3.5052973544980298E-2</v>
      </c>
      <c r="J69" s="310">
        <f>IF(AND(ISNUMBER('Funnel setup'!P81),D69&gt;=30,E69&lt;&gt;"*"),F69+3.090232306 *('Funnel setup'!$K$7/SQRT('Funnel Data'!D69)),"")</f>
        <v>0.13225582740575031</v>
      </c>
      <c r="K69" s="311" t="str">
        <f>IF(AND(ISNUMBER('Funnel setup'!P81),D69&gt;=30,E69&lt;&gt;"*"),IF(E69&gt;J69,'Funnel setup'!$K$14&amp;"99.8%",IF(E69&gt;H69,'Funnel setup'!$K$14&amp;"95%",IF(E69&lt;I69,'Funnel setup'!$K$15&amp;"99.8%",IF(E69&lt;G69,'Funnel setup'!$K$15&amp;"95%","")))),"")</f>
        <v/>
      </c>
    </row>
    <row r="70" spans="2:11" ht="15" x14ac:dyDescent="0.2">
      <c r="B70" s="307" t="str">
        <f>IF(ISNUMBER('Funnel setup'!P82),VLOOKUP('Funnel setup'!$P82,'Provider Commission - Raw Data'!$A:$Q,5,0),"")</f>
        <v>NVC27</v>
      </c>
      <c r="C70" s="308" t="str">
        <f>IF(ISNUMBER('Funnel setup'!P82),VLOOKUP('Funnel setup'!P82,'Provider Commission - Raw Data'!$A:$Q,6,0),"")</f>
        <v>BOSTON WEST HOSPITAL (NVC27)</v>
      </c>
      <c r="D70" s="309">
        <f>IF(ISNUMBER('Funnel setup'!P82),VLOOKUP('Funnel setup'!P82,'Provider Commission - Raw Data'!$A:$Q,8,0),"")</f>
        <v>34</v>
      </c>
      <c r="E70" s="446">
        <f>IF(ISNUMBER('Funnel setup'!P82),VLOOKUP('Funnel setup'!P82,'Provider Commission - Raw Data'!$A:$Q,16,0),"")</f>
        <v>9.6083479999999999E-2</v>
      </c>
      <c r="F70" s="310">
        <f>IF(ISNUMBER('Funnel setup'!P82),'Funnel setup'!$K$8,"")</f>
        <v>8.3654400475365306E-2</v>
      </c>
      <c r="G70" s="310">
        <f>IF(AND(ISNUMBER('Funnel setup'!P82),D70&gt;=30,E70&lt;&gt;"*"),F70-1.959963985 *('Funnel setup'!$K$7/SQRT('Funnel Data'!D70)),"")</f>
        <v>3.0263578099687993E-2</v>
      </c>
      <c r="H70" s="310">
        <f>IF(AND(ISNUMBER('Funnel setup'!P82),D70&gt;=30,E70&lt;&gt;"*"),F70+1.959963985 *('Funnel setup'!$K$7/SQRT('Funnel Data'!D70)),"")</f>
        <v>0.13704522285104262</v>
      </c>
      <c r="I70" s="310">
        <f>IF(AND(ISNUMBER('Funnel setup'!P82),D70&gt;=30,E70&lt;&gt;"*"),F70-3.090232306 *('Funnel setup'!$K$7/SQRT('Funnel Data'!D70)),"")</f>
        <v>-5.2574028840780829E-4</v>
      </c>
      <c r="J70" s="310">
        <f>IF(AND(ISNUMBER('Funnel setup'!P82),D70&gt;=30,E70&lt;&gt;"*"),F70+3.090232306 *('Funnel setup'!$K$7/SQRT('Funnel Data'!D70)),"")</f>
        <v>0.16783454123913844</v>
      </c>
      <c r="K70" s="311" t="str">
        <f>IF(AND(ISNUMBER('Funnel setup'!P82),D70&gt;=30,E70&lt;&gt;"*"),IF(E70&gt;J70,'Funnel setup'!$K$14&amp;"99.8%",IF(E70&gt;H70,'Funnel setup'!$K$14&amp;"95%",IF(E70&lt;I70,'Funnel setup'!$K$15&amp;"99.8%",IF(E70&lt;G70,'Funnel setup'!$K$15&amp;"95%","")))),"")</f>
        <v/>
      </c>
    </row>
    <row r="71" spans="2:11" ht="15" x14ac:dyDescent="0.2">
      <c r="B71" s="307" t="str">
        <f>IF(ISNUMBER('Funnel setup'!P83),VLOOKUP('Funnel setup'!$P83,'Provider Commission - Raw Data'!$A:$Q,5,0),"")</f>
        <v>RAE</v>
      </c>
      <c r="C71" s="308" t="str">
        <f>IF(ISNUMBER('Funnel setup'!P83),VLOOKUP('Funnel setup'!P83,'Provider Commission - Raw Data'!$A:$Q,6,0),"")</f>
        <v>BRADFORD TEACHING HOSPITALS NHS FOUNDATION TRUST (RAE)</v>
      </c>
      <c r="D71" s="309">
        <f>IF(ISNUMBER('Funnel setup'!P83),VLOOKUP('Funnel setup'!P83,'Provider Commission - Raw Data'!$A:$Q,8,0),"")</f>
        <v>73</v>
      </c>
      <c r="E71" s="446">
        <f>IF(ISNUMBER('Funnel setup'!P83),VLOOKUP('Funnel setup'!P83,'Provider Commission - Raw Data'!$A:$Q,16,0),"")</f>
        <v>0.102408044</v>
      </c>
      <c r="F71" s="310">
        <f>IF(ISNUMBER('Funnel setup'!P83),'Funnel setup'!$K$8,"")</f>
        <v>8.3654400475365306E-2</v>
      </c>
      <c r="G71" s="310">
        <f>IF(AND(ISNUMBER('Funnel setup'!P83),D71&gt;=30,E71&lt;&gt;"*"),F71-1.959963985 *('Funnel setup'!$K$7/SQRT('Funnel Data'!D71)),"")</f>
        <v>4.7217230481213505E-2</v>
      </c>
      <c r="H71" s="310">
        <f>IF(AND(ISNUMBER('Funnel setup'!P83),D71&gt;=30,E71&lt;&gt;"*"),F71+1.959963985 *('Funnel setup'!$K$7/SQRT('Funnel Data'!D71)),"")</f>
        <v>0.1200915704695171</v>
      </c>
      <c r="I71" s="310">
        <f>IF(AND(ISNUMBER('Funnel setup'!P83),D71&gt;=30,E71&lt;&gt;"*"),F71-3.090232306 *('Funnel setup'!$K$7/SQRT('Funnel Data'!D71)),"")</f>
        <v>2.620471225819037E-2</v>
      </c>
      <c r="J71" s="310">
        <f>IF(AND(ISNUMBER('Funnel setup'!P83),D71&gt;=30,E71&lt;&gt;"*"),F71+3.090232306 *('Funnel setup'!$K$7/SQRT('Funnel Data'!D71)),"")</f>
        <v>0.14110408869254024</v>
      </c>
      <c r="K71" s="311" t="str">
        <f>IF(AND(ISNUMBER('Funnel setup'!P83),D71&gt;=30,E71&lt;&gt;"*"),IF(E71&gt;J71,'Funnel setup'!$K$14&amp;"99.8%",IF(E71&gt;H71,'Funnel setup'!$K$14&amp;"95%",IF(E71&lt;I71,'Funnel setup'!$K$15&amp;"99.8%",IF(E71&lt;G71,'Funnel setup'!$K$15&amp;"95%","")))),"")</f>
        <v/>
      </c>
    </row>
    <row r="72" spans="2:11" ht="15" x14ac:dyDescent="0.2">
      <c r="B72" s="307" t="str">
        <f>IF(ISNUMBER('Funnel setup'!P84),VLOOKUP('Funnel setup'!$P84,'Provider Commission - Raw Data'!$A:$Q,5,0),"")</f>
        <v>NNQ01</v>
      </c>
      <c r="C72" s="308" t="str">
        <f>IF(ISNUMBER('Funnel setup'!P84),VLOOKUP('Funnel setup'!P84,'Provider Commission - Raw Data'!$A:$Q,6,0),"")</f>
        <v>BRAINTREE COMMUNITY HOSPITAL (NNQ01)</v>
      </c>
      <c r="D72" s="309" t="str">
        <f>IF(ISNUMBER('Funnel setup'!P84),VLOOKUP('Funnel setup'!P84,'Provider Commission - Raw Data'!$A:$Q,8,0),"")</f>
        <v>*</v>
      </c>
      <c r="E72" s="446" t="str">
        <f>IF(ISNUMBER('Funnel setup'!P84),VLOOKUP('Funnel setup'!P84,'Provider Commission - Raw Data'!$A:$Q,16,0),"")</f>
        <v>*</v>
      </c>
      <c r="F72" s="310">
        <f>IF(ISNUMBER('Funnel setup'!P84),'Funnel setup'!$K$8,"")</f>
        <v>8.3654400475365306E-2</v>
      </c>
      <c r="G72" s="310" t="str">
        <f>IF(AND(ISNUMBER('Funnel setup'!P84),D72&gt;=30,E72&lt;&gt;"*"),F72-1.959963985 *('Funnel setup'!$K$7/SQRT('Funnel Data'!D72)),"")</f>
        <v/>
      </c>
      <c r="H72" s="310" t="str">
        <f>IF(AND(ISNUMBER('Funnel setup'!P84),D72&gt;=30,E72&lt;&gt;"*"),F72+1.959963985 *('Funnel setup'!$K$7/SQRT('Funnel Data'!D72)),"")</f>
        <v/>
      </c>
      <c r="I72" s="310" t="str">
        <f>IF(AND(ISNUMBER('Funnel setup'!P84),D72&gt;=30,E72&lt;&gt;"*"),F72-3.090232306 *('Funnel setup'!$K$7/SQRT('Funnel Data'!D72)),"")</f>
        <v/>
      </c>
      <c r="J72" s="310" t="str">
        <f>IF(AND(ISNUMBER('Funnel setup'!P84),D72&gt;=30,E72&lt;&gt;"*"),F72+3.090232306 *('Funnel setup'!$K$7/SQRT('Funnel Data'!D72)),"")</f>
        <v/>
      </c>
      <c r="K72" s="311" t="str">
        <f>IF(AND(ISNUMBER('Funnel setup'!P84),D72&gt;=30,E72&lt;&gt;"*"),IF(E72&gt;J72,'Funnel setup'!$K$14&amp;"99.8%",IF(E72&gt;H72,'Funnel setup'!$K$14&amp;"95%",IF(E72&lt;I72,'Funnel setup'!$K$15&amp;"99.8%",IF(E72&lt;G72,'Funnel setup'!$K$15&amp;"95%","")))),"")</f>
        <v/>
      </c>
    </row>
    <row r="73" spans="2:11" ht="15" x14ac:dyDescent="0.2">
      <c r="B73" s="307" t="str">
        <f>IF(ISNUMBER('Funnel setup'!P85),VLOOKUP('Funnel setup'!$P85,'Provider Commission - Raw Data'!$A:$Q,5,0),"")</f>
        <v>RXH</v>
      </c>
      <c r="C73" s="308" t="str">
        <f>IF(ISNUMBER('Funnel setup'!P85),VLOOKUP('Funnel setup'!P85,'Provider Commission - Raw Data'!$A:$Q,6,0),"")</f>
        <v>BRIGHTON AND SUSSEX UNIVERSITY HOSPITALS NHS TRUST (RXH)</v>
      </c>
      <c r="D73" s="309">
        <f>IF(ISNUMBER('Funnel setup'!P85),VLOOKUP('Funnel setup'!P85,'Provider Commission - Raw Data'!$A:$Q,8,0),"")</f>
        <v>253</v>
      </c>
      <c r="E73" s="446">
        <f>IF(ISNUMBER('Funnel setup'!P85),VLOOKUP('Funnel setup'!P85,'Provider Commission - Raw Data'!$A:$Q,16,0),"")</f>
        <v>8.7293819999999994E-2</v>
      </c>
      <c r="F73" s="310">
        <f>IF(ISNUMBER('Funnel setup'!P85),'Funnel setup'!$K$8,"")</f>
        <v>8.3654400475365306E-2</v>
      </c>
      <c r="G73" s="310">
        <f>IF(AND(ISNUMBER('Funnel setup'!P85),D73&gt;=30,E73&lt;&gt;"*"),F73-1.959963985 *('Funnel setup'!$K$7/SQRT('Funnel Data'!D73)),"")</f>
        <v>6.408192271527266E-2</v>
      </c>
      <c r="H73" s="310">
        <f>IF(AND(ISNUMBER('Funnel setup'!P85),D73&gt;=30,E73&lt;&gt;"*"),F73+1.959963985 *('Funnel setup'!$K$7/SQRT('Funnel Data'!D73)),"")</f>
        <v>0.10322687823545795</v>
      </c>
      <c r="I73" s="310">
        <f>IF(AND(ISNUMBER('Funnel setup'!P85),D73&gt;=30,E73&lt;&gt;"*"),F73-3.090232306 *('Funnel setup'!$K$7/SQRT('Funnel Data'!D73)),"")</f>
        <v>5.2794903287867338E-2</v>
      </c>
      <c r="J73" s="310">
        <f>IF(AND(ISNUMBER('Funnel setup'!P85),D73&gt;=30,E73&lt;&gt;"*"),F73+3.090232306 *('Funnel setup'!$K$7/SQRT('Funnel Data'!D73)),"")</f>
        <v>0.11451389766286327</v>
      </c>
      <c r="K73" s="311" t="str">
        <f>IF(AND(ISNUMBER('Funnel setup'!P85),D73&gt;=30,E73&lt;&gt;"*"),IF(E73&gt;J73,'Funnel setup'!$K$14&amp;"99.8%",IF(E73&gt;H73,'Funnel setup'!$K$14&amp;"95%",IF(E73&lt;I73,'Funnel setup'!$K$15&amp;"99.8%",IF(E73&lt;G73,'Funnel setup'!$K$15&amp;"95%","")))),"")</f>
        <v/>
      </c>
    </row>
    <row r="74" spans="2:11" ht="15" x14ac:dyDescent="0.2">
      <c r="B74" s="307" t="str">
        <f>IF(ISNUMBER('Funnel setup'!P86),VLOOKUP('Funnel setup'!$P86,'Provider Commission - Raw Data'!$A:$Q,5,0),"")</f>
        <v>RXQ</v>
      </c>
      <c r="C74" s="308" t="str">
        <f>IF(ISNUMBER('Funnel setup'!P86),VLOOKUP('Funnel setup'!P86,'Provider Commission - Raw Data'!$A:$Q,6,0),"")</f>
        <v>BUCKINGHAMSHIRE HEALTHCARE NHS TRUST (RXQ)</v>
      </c>
      <c r="D74" s="309">
        <f>IF(ISNUMBER('Funnel setup'!P86),VLOOKUP('Funnel setup'!P86,'Provider Commission - Raw Data'!$A:$Q,8,0),"")</f>
        <v>161</v>
      </c>
      <c r="E74" s="446">
        <f>IF(ISNUMBER('Funnel setup'!P86),VLOOKUP('Funnel setup'!P86,'Provider Commission - Raw Data'!$A:$Q,16,0),"")</f>
        <v>9.9039297999999998E-2</v>
      </c>
      <c r="F74" s="310">
        <f>IF(ISNUMBER('Funnel setup'!P86),'Funnel setup'!$K$8,"")</f>
        <v>8.3654400475365306E-2</v>
      </c>
      <c r="G74" s="310">
        <f>IF(AND(ISNUMBER('Funnel setup'!P86),D74&gt;=30,E74&lt;&gt;"*"),F74-1.959963985 *('Funnel setup'!$K$7/SQRT('Funnel Data'!D74)),"")</f>
        <v>5.9119001144245689E-2</v>
      </c>
      <c r="H74" s="310">
        <f>IF(AND(ISNUMBER('Funnel setup'!P86),D74&gt;=30,E74&lt;&gt;"*"),F74+1.959963985 *('Funnel setup'!$K$7/SQRT('Funnel Data'!D74)),"")</f>
        <v>0.10818979980648492</v>
      </c>
      <c r="I74" s="310">
        <f>IF(AND(ISNUMBER('Funnel setup'!P86),D74&gt;=30,E74&lt;&gt;"*"),F74-3.090232306 *('Funnel setup'!$K$7/SQRT('Funnel Data'!D74)),"")</f>
        <v>4.4969973499205014E-2</v>
      </c>
      <c r="J74" s="310">
        <f>IF(AND(ISNUMBER('Funnel setup'!P86),D74&gt;=30,E74&lt;&gt;"*"),F74+3.090232306 *('Funnel setup'!$K$7/SQRT('Funnel Data'!D74)),"")</f>
        <v>0.12233882745152561</v>
      </c>
      <c r="K74" s="311" t="str">
        <f>IF(AND(ISNUMBER('Funnel setup'!P86),D74&gt;=30,E74&lt;&gt;"*"),IF(E74&gt;J74,'Funnel setup'!$K$14&amp;"99.8%",IF(E74&gt;H74,'Funnel setup'!$K$14&amp;"95%",IF(E74&lt;I74,'Funnel setup'!$K$15&amp;"99.8%",IF(E74&lt;G74,'Funnel setup'!$K$15&amp;"95%","")))),"")</f>
        <v/>
      </c>
    </row>
    <row r="75" spans="2:11" ht="15" x14ac:dyDescent="0.2">
      <c r="B75" s="307" t="str">
        <f>IF(ISNUMBER('Funnel setup'!P87),VLOOKUP('Funnel setup'!$P87,'Provider Commission - Raw Data'!$A:$Q,5,0),"")</f>
        <v>RJF</v>
      </c>
      <c r="C75" s="308" t="str">
        <f>IF(ISNUMBER('Funnel setup'!P87),VLOOKUP('Funnel setup'!P87,'Provider Commission - Raw Data'!$A:$Q,6,0),"")</f>
        <v>BURTON HOSPITALS NHS FOUNDATION TRUST (RJF)</v>
      </c>
      <c r="D75" s="309">
        <f>IF(ISNUMBER('Funnel setup'!P87),VLOOKUP('Funnel setup'!P87,'Provider Commission - Raw Data'!$A:$Q,8,0),"")</f>
        <v>162</v>
      </c>
      <c r="E75" s="446">
        <f>IF(ISNUMBER('Funnel setup'!P87),VLOOKUP('Funnel setup'!P87,'Provider Commission - Raw Data'!$A:$Q,16,0),"")</f>
        <v>9.992769E-2</v>
      </c>
      <c r="F75" s="310">
        <f>IF(ISNUMBER('Funnel setup'!P87),'Funnel setup'!$K$8,"")</f>
        <v>8.3654400475365306E-2</v>
      </c>
      <c r="G75" s="310">
        <f>IF(AND(ISNUMBER('Funnel setup'!P87),D75&gt;=30,E75&lt;&gt;"*"),F75-1.959963985 *('Funnel setup'!$K$7/SQRT('Funnel Data'!D75)),"")</f>
        <v>5.9194844909419925E-2</v>
      </c>
      <c r="H75" s="310">
        <f>IF(AND(ISNUMBER('Funnel setup'!P87),D75&gt;=30,E75&lt;&gt;"*"),F75+1.959963985 *('Funnel setup'!$K$7/SQRT('Funnel Data'!D75)),"")</f>
        <v>0.10811395604131069</v>
      </c>
      <c r="I75" s="310">
        <f>IF(AND(ISNUMBER('Funnel setup'!P87),D75&gt;=30,E75&lt;&gt;"*"),F75-3.090232306 *('Funnel setup'!$K$7/SQRT('Funnel Data'!D75)),"")</f>
        <v>4.5089554703320912E-2</v>
      </c>
      <c r="J75" s="310">
        <f>IF(AND(ISNUMBER('Funnel setup'!P87),D75&gt;=30,E75&lt;&gt;"*"),F75+3.090232306 *('Funnel setup'!$K$7/SQRT('Funnel Data'!D75)),"")</f>
        <v>0.12221924624740971</v>
      </c>
      <c r="K75" s="311" t="str">
        <f>IF(AND(ISNUMBER('Funnel setup'!P87),D75&gt;=30,E75&lt;&gt;"*"),IF(E75&gt;J75,'Funnel setup'!$K$14&amp;"99.8%",IF(E75&gt;H75,'Funnel setup'!$K$14&amp;"95%",IF(E75&lt;I75,'Funnel setup'!$K$15&amp;"99.8%",IF(E75&lt;G75,'Funnel setup'!$K$15&amp;"95%","")))),"")</f>
        <v/>
      </c>
    </row>
    <row r="76" spans="2:11" ht="30" x14ac:dyDescent="0.2">
      <c r="B76" s="307" t="str">
        <f>IF(ISNUMBER('Funnel setup'!P88),VLOOKUP('Funnel setup'!$P88,'Provider Commission - Raw Data'!$A:$Q,5,0),"")</f>
        <v>RWY</v>
      </c>
      <c r="C76" s="308" t="str">
        <f>IF(ISNUMBER('Funnel setup'!P88),VLOOKUP('Funnel setup'!P88,'Provider Commission - Raw Data'!$A:$Q,6,0),"")</f>
        <v>CALDERDALE AND HUDDERSFIELD NHS FOUNDATION TRUST (RWY)</v>
      </c>
      <c r="D76" s="309">
        <f>IF(ISNUMBER('Funnel setup'!P88),VLOOKUP('Funnel setup'!P88,'Provider Commission - Raw Data'!$A:$Q,8,0),"")</f>
        <v>151</v>
      </c>
      <c r="E76" s="446">
        <f>IF(ISNUMBER('Funnel setup'!P88),VLOOKUP('Funnel setup'!P88,'Provider Commission - Raw Data'!$A:$Q,16,0),"")</f>
        <v>9.0187214000000002E-2</v>
      </c>
      <c r="F76" s="310">
        <f>IF(ISNUMBER('Funnel setup'!P88),'Funnel setup'!$K$8,"")</f>
        <v>8.3654400475365306E-2</v>
      </c>
      <c r="G76" s="310">
        <f>IF(AND(ISNUMBER('Funnel setup'!P88),D76&gt;=30,E76&lt;&gt;"*"),F76-1.959963985 *('Funnel setup'!$K$7/SQRT('Funnel Data'!D76)),"")</f>
        <v>5.8319593766888472E-2</v>
      </c>
      <c r="H76" s="310">
        <f>IF(AND(ISNUMBER('Funnel setup'!P88),D76&gt;=30,E76&lt;&gt;"*"),F76+1.959963985 *('Funnel setup'!$K$7/SQRT('Funnel Data'!D76)),"")</f>
        <v>0.10898920718384214</v>
      </c>
      <c r="I76" s="310">
        <f>IF(AND(ISNUMBER('Funnel setup'!P88),D76&gt;=30,E76&lt;&gt;"*"),F76-3.090232306 *('Funnel setup'!$K$7/SQRT('Funnel Data'!D76)),"")</f>
        <v>4.3709565388612107E-2</v>
      </c>
      <c r="J76" s="310">
        <f>IF(AND(ISNUMBER('Funnel setup'!P88),D76&gt;=30,E76&lt;&gt;"*"),F76+3.090232306 *('Funnel setup'!$K$7/SQRT('Funnel Data'!D76)),"")</f>
        <v>0.12359923556211851</v>
      </c>
      <c r="K76" s="311" t="str">
        <f>IF(AND(ISNUMBER('Funnel setup'!P88),D76&gt;=30,E76&lt;&gt;"*"),IF(E76&gt;J76,'Funnel setup'!$K$14&amp;"99.8%",IF(E76&gt;H76,'Funnel setup'!$K$14&amp;"95%",IF(E76&lt;I76,'Funnel setup'!$K$15&amp;"99.8%",IF(E76&lt;G76,'Funnel setup'!$K$15&amp;"95%","")))),"")</f>
        <v/>
      </c>
    </row>
    <row r="77" spans="2:11" ht="30" x14ac:dyDescent="0.2">
      <c r="B77" s="307" t="str">
        <f>IF(ISNUMBER('Funnel setup'!P89),VLOOKUP('Funnel setup'!$P89,'Provider Commission - Raw Data'!$A:$Q,5,0),"")</f>
        <v>RGT</v>
      </c>
      <c r="C77" s="308" t="str">
        <f>IF(ISNUMBER('Funnel setup'!P89),VLOOKUP('Funnel setup'!P89,'Provider Commission - Raw Data'!$A:$Q,6,0),"")</f>
        <v>CAMBRIDGE UNIVERSITY HOSPITALS NHS FOUNDATION TRUST (RGT)</v>
      </c>
      <c r="D77" s="309">
        <f>IF(ISNUMBER('Funnel setup'!P89),VLOOKUP('Funnel setup'!P89,'Provider Commission - Raw Data'!$A:$Q,8,0),"")</f>
        <v>206</v>
      </c>
      <c r="E77" s="446">
        <f>IF(ISNUMBER('Funnel setup'!P89),VLOOKUP('Funnel setup'!P89,'Provider Commission - Raw Data'!$A:$Q,16,0),"")</f>
        <v>0.102099393</v>
      </c>
      <c r="F77" s="310">
        <f>IF(ISNUMBER('Funnel setup'!P89),'Funnel setup'!$K$8,"")</f>
        <v>8.3654400475365306E-2</v>
      </c>
      <c r="G77" s="310">
        <f>IF(AND(ISNUMBER('Funnel setup'!P89),D77&gt;=30,E77&lt;&gt;"*"),F77-1.959963985 *('Funnel setup'!$K$7/SQRT('Funnel Data'!D77)),"")</f>
        <v>6.1963755868354162E-2</v>
      </c>
      <c r="H77" s="310">
        <f>IF(AND(ISNUMBER('Funnel setup'!P89),D77&gt;=30,E77&lt;&gt;"*"),F77+1.959963985 *('Funnel setup'!$K$7/SQRT('Funnel Data'!D77)),"")</f>
        <v>0.10534504508237645</v>
      </c>
      <c r="I77" s="310">
        <f>IF(AND(ISNUMBER('Funnel setup'!P89),D77&gt;=30,E77&lt;&gt;"*"),F77-3.090232306 *('Funnel setup'!$K$7/SQRT('Funnel Data'!D77)),"")</f>
        <v>4.9455235992988088E-2</v>
      </c>
      <c r="J77" s="310">
        <f>IF(AND(ISNUMBER('Funnel setup'!P89),D77&gt;=30,E77&lt;&gt;"*"),F77+3.090232306 *('Funnel setup'!$K$7/SQRT('Funnel Data'!D77)),"")</f>
        <v>0.11785356495774252</v>
      </c>
      <c r="K77" s="311" t="str">
        <f>IF(AND(ISNUMBER('Funnel setup'!P89),D77&gt;=30,E77&lt;&gt;"*"),IF(E77&gt;J77,'Funnel setup'!$K$14&amp;"99.8%",IF(E77&gt;H77,'Funnel setup'!$K$14&amp;"95%",IF(E77&lt;I77,'Funnel setup'!$K$15&amp;"99.8%",IF(E77&lt;G77,'Funnel setup'!$K$15&amp;"95%","")))),"")</f>
        <v/>
      </c>
    </row>
    <row r="78" spans="2:11" ht="30" x14ac:dyDescent="0.2">
      <c r="B78" s="307" t="str">
        <f>IF(ISNUMBER('Funnel setup'!P90),VLOOKUP('Funnel setup'!$P90,'Provider Commission - Raw Data'!$A:$Q,5,0),"")</f>
        <v>RW3</v>
      </c>
      <c r="C78" s="308" t="str">
        <f>IF(ISNUMBER('Funnel setup'!P90),VLOOKUP('Funnel setup'!P90,'Provider Commission - Raw Data'!$A:$Q,6,0),"")</f>
        <v>CENTRAL MANCHESTER UNIVERSITY HOSPITALS NHS FOUNDATION TRUST (RW3)</v>
      </c>
      <c r="D78" s="309">
        <f>IF(ISNUMBER('Funnel setup'!P90),VLOOKUP('Funnel setup'!P90,'Provider Commission - Raw Data'!$A:$Q,8,0),"")</f>
        <v>53</v>
      </c>
      <c r="E78" s="446">
        <f>IF(ISNUMBER('Funnel setup'!P90),VLOOKUP('Funnel setup'!P90,'Provider Commission - Raw Data'!$A:$Q,16,0),"")</f>
        <v>9.1662668000000003E-2</v>
      </c>
      <c r="F78" s="310">
        <f>IF(ISNUMBER('Funnel setup'!P90),'Funnel setup'!$K$8,"")</f>
        <v>8.3654400475365306E-2</v>
      </c>
      <c r="G78" s="310">
        <f>IF(AND(ISNUMBER('Funnel setup'!P90),D78&gt;=30,E78&lt;&gt;"*"),F78-1.959963985 *('Funnel setup'!$K$7/SQRT('Funnel Data'!D78)),"")</f>
        <v>4.0891403538024881E-2</v>
      </c>
      <c r="H78" s="310">
        <f>IF(AND(ISNUMBER('Funnel setup'!P90),D78&gt;=30,E78&lt;&gt;"*"),F78+1.959963985 *('Funnel setup'!$K$7/SQRT('Funnel Data'!D78)),"")</f>
        <v>0.12641739741270575</v>
      </c>
      <c r="I78" s="310">
        <f>IF(AND(ISNUMBER('Funnel setup'!P90),D78&gt;=30,E78&lt;&gt;"*"),F78-3.090232306 *('Funnel setup'!$K$7/SQRT('Funnel Data'!D78)),"")</f>
        <v>1.6230919407090247E-2</v>
      </c>
      <c r="J78" s="310">
        <f>IF(AND(ISNUMBER('Funnel setup'!P90),D78&gt;=30,E78&lt;&gt;"*"),F78+3.090232306 *('Funnel setup'!$K$7/SQRT('Funnel Data'!D78)),"")</f>
        <v>0.15107788154364038</v>
      </c>
      <c r="K78" s="311" t="str">
        <f>IF(AND(ISNUMBER('Funnel setup'!P90),D78&gt;=30,E78&lt;&gt;"*"),IF(E78&gt;J78,'Funnel setup'!$K$14&amp;"99.8%",IF(E78&gt;H78,'Funnel setup'!$K$14&amp;"95%",IF(E78&lt;I78,'Funnel setup'!$K$15&amp;"99.8%",IF(E78&lt;G78,'Funnel setup'!$K$15&amp;"95%","")))),"")</f>
        <v/>
      </c>
    </row>
    <row r="79" spans="2:11" ht="30" x14ac:dyDescent="0.2">
      <c r="B79" s="307" t="str">
        <f>IF(ISNUMBER('Funnel setup'!P91),VLOOKUP('Funnel setup'!$P91,'Provider Commission - Raw Data'!$A:$Q,5,0),"")</f>
        <v>RQM</v>
      </c>
      <c r="C79" s="308" t="str">
        <f>IF(ISNUMBER('Funnel setup'!P91),VLOOKUP('Funnel setup'!P91,'Provider Commission - Raw Data'!$A:$Q,6,0),"")</f>
        <v>CHELSEA AND WESTMINSTER HOSPITAL NHS FOUNDATION TRUST (RQM)</v>
      </c>
      <c r="D79" s="309">
        <f>IF(ISNUMBER('Funnel setup'!P91),VLOOKUP('Funnel setup'!P91,'Provider Commission - Raw Data'!$A:$Q,8,0),"")</f>
        <v>21</v>
      </c>
      <c r="E79" s="446" t="str">
        <f>IF(ISNUMBER('Funnel setup'!P91),VLOOKUP('Funnel setup'!P91,'Provider Commission - Raw Data'!$A:$Q,16,0),"")</f>
        <v>*</v>
      </c>
      <c r="F79" s="310">
        <f>IF(ISNUMBER('Funnel setup'!P91),'Funnel setup'!$K$8,"")</f>
        <v>8.3654400475365306E-2</v>
      </c>
      <c r="G79" s="310" t="str">
        <f>IF(AND(ISNUMBER('Funnel setup'!P91),D79&gt;=30,E79&lt;&gt;"*"),F79-1.959963985 *('Funnel setup'!$K$7/SQRT('Funnel Data'!D79)),"")</f>
        <v/>
      </c>
      <c r="H79" s="310" t="str">
        <f>IF(AND(ISNUMBER('Funnel setup'!P91),D79&gt;=30,E79&lt;&gt;"*"),F79+1.959963985 *('Funnel setup'!$K$7/SQRT('Funnel Data'!D79)),"")</f>
        <v/>
      </c>
      <c r="I79" s="310" t="str">
        <f>IF(AND(ISNUMBER('Funnel setup'!P91),D79&gt;=30,E79&lt;&gt;"*"),F79-3.090232306 *('Funnel setup'!$K$7/SQRT('Funnel Data'!D79)),"")</f>
        <v/>
      </c>
      <c r="J79" s="310" t="str">
        <f>IF(AND(ISNUMBER('Funnel setup'!P91),D79&gt;=30,E79&lt;&gt;"*"),F79+3.090232306 *('Funnel setup'!$K$7/SQRT('Funnel Data'!D79)),"")</f>
        <v/>
      </c>
      <c r="K79" s="311" t="str">
        <f>IF(AND(ISNUMBER('Funnel setup'!P91),D79&gt;=30,E79&lt;&gt;"*"),IF(E79&gt;J79,'Funnel setup'!$K$14&amp;"99.8%",IF(E79&gt;H79,'Funnel setup'!$K$14&amp;"95%",IF(E79&lt;I79,'Funnel setup'!$K$15&amp;"99.8%",IF(E79&lt;G79,'Funnel setup'!$K$15&amp;"95%","")))),"")</f>
        <v/>
      </c>
    </row>
    <row r="80" spans="2:11" ht="15" x14ac:dyDescent="0.2">
      <c r="B80" s="307" t="str">
        <f>IF(ISNUMBER('Funnel setup'!P92),VLOOKUP('Funnel setup'!$P92,'Provider Commission - Raw Data'!$A:$Q,5,0),"")</f>
        <v>RFS</v>
      </c>
      <c r="C80" s="308" t="str">
        <f>IF(ISNUMBER('Funnel setup'!P92),VLOOKUP('Funnel setup'!P92,'Provider Commission - Raw Data'!$A:$Q,6,0),"")</f>
        <v>CHESTERFIELD ROYAL HOSPITAL NHS FOUNDATION TRUST (RFS)</v>
      </c>
      <c r="D80" s="309">
        <f>IF(ISNUMBER('Funnel setup'!P92),VLOOKUP('Funnel setup'!P92,'Provider Commission - Raw Data'!$A:$Q,8,0),"")</f>
        <v>143</v>
      </c>
      <c r="E80" s="446">
        <f>IF(ISNUMBER('Funnel setup'!P92),VLOOKUP('Funnel setup'!P92,'Provider Commission - Raw Data'!$A:$Q,16,0),"")</f>
        <v>9.7340948999999996E-2</v>
      </c>
      <c r="F80" s="310">
        <f>IF(ISNUMBER('Funnel setup'!P92),'Funnel setup'!$K$8,"")</f>
        <v>8.3654400475365306E-2</v>
      </c>
      <c r="G80" s="310">
        <f>IF(AND(ISNUMBER('Funnel setup'!P92),D80&gt;=30,E80&lt;&gt;"*"),F80-1.959963985 *('Funnel setup'!$K$7/SQRT('Funnel Data'!D80)),"")</f>
        <v>5.7620571343616228E-2</v>
      </c>
      <c r="H80" s="310">
        <f>IF(AND(ISNUMBER('Funnel setup'!P92),D80&gt;=30,E80&lt;&gt;"*"),F80+1.959963985 *('Funnel setup'!$K$7/SQRT('Funnel Data'!D80)),"")</f>
        <v>0.10968822960711438</v>
      </c>
      <c r="I80" s="310">
        <f>IF(AND(ISNUMBER('Funnel setup'!P92),D80&gt;=30,E80&lt;&gt;"*"),F80-3.090232306 *('Funnel setup'!$K$7/SQRT('Funnel Data'!D80)),"")</f>
        <v>4.2607432037414683E-2</v>
      </c>
      <c r="J80" s="310">
        <f>IF(AND(ISNUMBER('Funnel setup'!P92),D80&gt;=30,E80&lt;&gt;"*"),F80+3.090232306 *('Funnel setup'!$K$7/SQRT('Funnel Data'!D80)),"")</f>
        <v>0.12470136891331593</v>
      </c>
      <c r="K80" s="311" t="str">
        <f>IF(AND(ISNUMBER('Funnel setup'!P92),D80&gt;=30,E80&lt;&gt;"*"),IF(E80&gt;J80,'Funnel setup'!$K$14&amp;"99.8%",IF(E80&gt;H80,'Funnel setup'!$K$14&amp;"95%",IF(E80&lt;I80,'Funnel setup'!$K$15&amp;"99.8%",IF(E80&lt;G80,'Funnel setup'!$K$15&amp;"95%","")))),"")</f>
        <v/>
      </c>
    </row>
    <row r="81" spans="2:11" ht="15" x14ac:dyDescent="0.2">
      <c r="B81" s="307" t="str">
        <f>IF(ISNUMBER('Funnel setup'!P93),VLOOKUP('Funnel setup'!$P93,'Provider Commission - Raw Data'!$A:$Q,5,0),"")</f>
        <v>NV313</v>
      </c>
      <c r="C81" s="308" t="str">
        <f>IF(ISNUMBER('Funnel setup'!P93),VLOOKUP('Funnel setup'!P93,'Provider Commission - Raw Data'!$A:$Q,6,0),"")</f>
        <v>CIRCLE - NOTTINGHAM NHS TREATMENT CENTRE (NV313)</v>
      </c>
      <c r="D81" s="309">
        <f>IF(ISNUMBER('Funnel setup'!P93),VLOOKUP('Funnel setup'!P93,'Provider Commission - Raw Data'!$A:$Q,8,0),"")</f>
        <v>187</v>
      </c>
      <c r="E81" s="446">
        <f>IF(ISNUMBER('Funnel setup'!P93),VLOOKUP('Funnel setup'!P93,'Provider Commission - Raw Data'!$A:$Q,16,0),"")</f>
        <v>6.6365306999999998E-2</v>
      </c>
      <c r="F81" s="310">
        <f>IF(ISNUMBER('Funnel setup'!P93),'Funnel setup'!$K$8,"")</f>
        <v>8.3654400475365306E-2</v>
      </c>
      <c r="G81" s="310">
        <f>IF(AND(ISNUMBER('Funnel setup'!P93),D81&gt;=30,E81&lt;&gt;"*"),F81-1.959963985 *('Funnel setup'!$K$7/SQRT('Funnel Data'!D81)),"")</f>
        <v>6.088847732074619E-2</v>
      </c>
      <c r="H81" s="310">
        <f>IF(AND(ISNUMBER('Funnel setup'!P93),D81&gt;=30,E81&lt;&gt;"*"),F81+1.959963985 *('Funnel setup'!$K$7/SQRT('Funnel Data'!D81)),"")</f>
        <v>0.10642032362998442</v>
      </c>
      <c r="I81" s="310">
        <f>IF(AND(ISNUMBER('Funnel setup'!P93),D81&gt;=30,E81&lt;&gt;"*"),F81-3.090232306 *('Funnel setup'!$K$7/SQRT('Funnel Data'!D81)),"")</f>
        <v>4.7759867847860203E-2</v>
      </c>
      <c r="J81" s="310">
        <f>IF(AND(ISNUMBER('Funnel setup'!P93),D81&gt;=30,E81&lt;&gt;"*"),F81+3.090232306 *('Funnel setup'!$K$7/SQRT('Funnel Data'!D81)),"")</f>
        <v>0.1195489331028704</v>
      </c>
      <c r="K81" s="311" t="str">
        <f>IF(AND(ISNUMBER('Funnel setup'!P93),D81&gt;=30,E81&lt;&gt;"*"),IF(E81&gt;J81,'Funnel setup'!$K$14&amp;"99.8%",IF(E81&gt;H81,'Funnel setup'!$K$14&amp;"95%",IF(E81&lt;I81,'Funnel setup'!$K$15&amp;"99.8%",IF(E81&lt;G81,'Funnel setup'!$K$15&amp;"95%","")))),"")</f>
        <v/>
      </c>
    </row>
    <row r="82" spans="2:11" ht="15" x14ac:dyDescent="0.2">
      <c r="B82" s="307" t="str">
        <f>IF(ISNUMBER('Funnel setup'!P94),VLOOKUP('Funnel setup'!$P94,'Provider Commission - Raw Data'!$A:$Q,5,0),"")</f>
        <v>NV302</v>
      </c>
      <c r="C82" s="308" t="str">
        <f>IF(ISNUMBER('Funnel setup'!P94),VLOOKUP('Funnel setup'!P94,'Provider Commission - Raw Data'!$A:$Q,6,0),"")</f>
        <v>CIRCLE BATH HOSPITAL (NV302)</v>
      </c>
      <c r="D82" s="309">
        <f>IF(ISNUMBER('Funnel setup'!P94),VLOOKUP('Funnel setup'!P94,'Provider Commission - Raw Data'!$A:$Q,8,0),"")</f>
        <v>41</v>
      </c>
      <c r="E82" s="446">
        <f>IF(ISNUMBER('Funnel setup'!P94),VLOOKUP('Funnel setup'!P94,'Provider Commission - Raw Data'!$A:$Q,16,0),"")</f>
        <v>8.2273259000000001E-2</v>
      </c>
      <c r="F82" s="310">
        <f>IF(ISNUMBER('Funnel setup'!P94),'Funnel setup'!$K$8,"")</f>
        <v>8.3654400475365306E-2</v>
      </c>
      <c r="G82" s="310">
        <f>IF(AND(ISNUMBER('Funnel setup'!P94),D82&gt;=30,E82&lt;&gt;"*"),F82-1.959963985 *('Funnel setup'!$K$7/SQRT('Funnel Data'!D82)),"")</f>
        <v>3.5034491606687909E-2</v>
      </c>
      <c r="H82" s="310">
        <f>IF(AND(ISNUMBER('Funnel setup'!P94),D82&gt;=30,E82&lt;&gt;"*"),F82+1.959963985 *('Funnel setup'!$K$7/SQRT('Funnel Data'!D82)),"")</f>
        <v>0.13227430934404272</v>
      </c>
      <c r="I82" s="310">
        <f>IF(AND(ISNUMBER('Funnel setup'!P94),D82&gt;=30,E82&lt;&gt;"*"),F82-3.090232306 *('Funnel setup'!$K$7/SQRT('Funnel Data'!D82)),"")</f>
        <v>6.9964545893021063E-3</v>
      </c>
      <c r="J82" s="310">
        <f>IF(AND(ISNUMBER('Funnel setup'!P94),D82&gt;=30,E82&lt;&gt;"*"),F82+3.090232306 *('Funnel setup'!$K$7/SQRT('Funnel Data'!D82)),"")</f>
        <v>0.16031234636142849</v>
      </c>
      <c r="K82" s="311" t="str">
        <f>IF(AND(ISNUMBER('Funnel setup'!P94),D82&gt;=30,E82&lt;&gt;"*"),IF(E82&gt;J82,'Funnel setup'!$K$14&amp;"99.8%",IF(E82&gt;H82,'Funnel setup'!$K$14&amp;"95%",IF(E82&lt;I82,'Funnel setup'!$K$15&amp;"99.8%",IF(E82&lt;G82,'Funnel setup'!$K$15&amp;"95%","")))),"")</f>
        <v/>
      </c>
    </row>
    <row r="83" spans="2:11" ht="15" x14ac:dyDescent="0.2">
      <c r="B83" s="307" t="str">
        <f>IF(ISNUMBER('Funnel setup'!P95),VLOOKUP('Funnel setup'!$P95,'Provider Commission - Raw Data'!$A:$Q,5,0),"")</f>
        <v>NV323</v>
      </c>
      <c r="C83" s="308" t="str">
        <f>IF(ISNUMBER('Funnel setup'!P95),VLOOKUP('Funnel setup'!P95,'Provider Commission - Raw Data'!$A:$Q,6,0),"")</f>
        <v>CIRCLE READING HOSPITAL (NV323)</v>
      </c>
      <c r="D83" s="309">
        <f>IF(ISNUMBER('Funnel setup'!P95),VLOOKUP('Funnel setup'!P95,'Provider Commission - Raw Data'!$A:$Q,8,0),"")</f>
        <v>32</v>
      </c>
      <c r="E83" s="446">
        <f>IF(ISNUMBER('Funnel setup'!P95),VLOOKUP('Funnel setup'!P95,'Provider Commission - Raw Data'!$A:$Q,16,0),"")</f>
        <v>9.8334087000000001E-2</v>
      </c>
      <c r="F83" s="310">
        <f>IF(ISNUMBER('Funnel setup'!P95),'Funnel setup'!$K$8,"")</f>
        <v>8.3654400475365306E-2</v>
      </c>
      <c r="G83" s="310">
        <f>IF(AND(ISNUMBER('Funnel setup'!P95),D83&gt;=30,E83&lt;&gt;"*"),F83-1.959963985 *('Funnel setup'!$K$7/SQRT('Funnel Data'!D83)),"")</f>
        <v>2.8620400451988208E-2</v>
      </c>
      <c r="H83" s="310">
        <f>IF(AND(ISNUMBER('Funnel setup'!P95),D83&gt;=30,E83&lt;&gt;"*"),F83+1.959963985 *('Funnel setup'!$K$7/SQRT('Funnel Data'!D83)),"")</f>
        <v>0.1386884004987424</v>
      </c>
      <c r="I83" s="310">
        <f>IF(AND(ISNUMBER('Funnel setup'!P95),D83&gt;=30,E83&lt;&gt;"*"),F83-3.090232306 *('Funnel setup'!$K$7/SQRT('Funnel Data'!D83)),"")</f>
        <v>-3.1165025117345646E-3</v>
      </c>
      <c r="J83" s="310">
        <f>IF(AND(ISNUMBER('Funnel setup'!P95),D83&gt;=30,E83&lt;&gt;"*"),F83+3.090232306 *('Funnel setup'!$K$7/SQRT('Funnel Data'!D83)),"")</f>
        <v>0.17042530346246518</v>
      </c>
      <c r="K83" s="311" t="str">
        <f>IF(AND(ISNUMBER('Funnel setup'!P95),D83&gt;=30,E83&lt;&gt;"*"),IF(E83&gt;J83,'Funnel setup'!$K$14&amp;"99.8%",IF(E83&gt;H83,'Funnel setup'!$K$14&amp;"95%",IF(E83&lt;I83,'Funnel setup'!$K$15&amp;"99.8%",IF(E83&lt;G83,'Funnel setup'!$K$15&amp;"95%","")))),"")</f>
        <v/>
      </c>
    </row>
    <row r="84" spans="2:11" ht="15" x14ac:dyDescent="0.2">
      <c r="B84" s="307" t="str">
        <f>IF(ISNUMBER('Funnel setup'!P96),VLOOKUP('Funnel setup'!$P96,'Provider Commission - Raw Data'!$A:$Q,5,0),"")</f>
        <v>NTPH4</v>
      </c>
      <c r="C84" s="308" t="str">
        <f>IF(ISNUMBER('Funnel setup'!P96),VLOOKUP('Funnel setup'!P96,'Provider Commission - Raw Data'!$A:$Q,6,0),"")</f>
        <v>CIRENCESTER NHS TREATMENT CENTRE (NTPH4)</v>
      </c>
      <c r="D84" s="309">
        <f>IF(ISNUMBER('Funnel setup'!P96),VLOOKUP('Funnel setup'!P96,'Provider Commission - Raw Data'!$A:$Q,8,0),"")</f>
        <v>71</v>
      </c>
      <c r="E84" s="446">
        <f>IF(ISNUMBER('Funnel setup'!P96),VLOOKUP('Funnel setup'!P96,'Provider Commission - Raw Data'!$A:$Q,16,0),"")</f>
        <v>9.4803411000000004E-2</v>
      </c>
      <c r="F84" s="310">
        <f>IF(ISNUMBER('Funnel setup'!P96),'Funnel setup'!$K$8,"")</f>
        <v>8.3654400475365306E-2</v>
      </c>
      <c r="G84" s="310">
        <f>IF(AND(ISNUMBER('Funnel setup'!P96),D84&gt;=30,E84&lt;&gt;"*"),F84-1.959963985 *('Funnel setup'!$K$7/SQRT('Funnel Data'!D84)),"")</f>
        <v>4.6707594961671213E-2</v>
      </c>
      <c r="H84" s="310">
        <f>IF(AND(ISNUMBER('Funnel setup'!P96),D84&gt;=30,E84&lt;&gt;"*"),F84+1.959963985 *('Funnel setup'!$K$7/SQRT('Funnel Data'!D84)),"")</f>
        <v>0.12060120598905941</v>
      </c>
      <c r="I84" s="310">
        <f>IF(AND(ISNUMBER('Funnel setup'!P96),D84&gt;=30,E84&lt;&gt;"*"),F84-3.090232306 *('Funnel setup'!$K$7/SQRT('Funnel Data'!D84)),"")</f>
        <v>2.5401181091889533E-2</v>
      </c>
      <c r="J84" s="310">
        <f>IF(AND(ISNUMBER('Funnel setup'!P96),D84&gt;=30,E84&lt;&gt;"*"),F84+3.090232306 *('Funnel setup'!$K$7/SQRT('Funnel Data'!D84)),"")</f>
        <v>0.14190761985884109</v>
      </c>
      <c r="K84" s="311" t="str">
        <f>IF(AND(ISNUMBER('Funnel setup'!P96),D84&gt;=30,E84&lt;&gt;"*"),IF(E84&gt;J84,'Funnel setup'!$K$14&amp;"99.8%",IF(E84&gt;H84,'Funnel setup'!$K$14&amp;"95%",IF(E84&lt;I84,'Funnel setup'!$K$15&amp;"99.8%",IF(E84&lt;G84,'Funnel setup'!$K$15&amp;"95%","")))),"")</f>
        <v/>
      </c>
    </row>
    <row r="85" spans="2:11" ht="15" x14ac:dyDescent="0.2">
      <c r="B85" s="307" t="str">
        <f>IF(ISNUMBER('Funnel setup'!P97),VLOOKUP('Funnel setup'!$P97,'Provider Commission - Raw Data'!$A:$Q,5,0),"")</f>
        <v>RLN</v>
      </c>
      <c r="C85" s="308" t="str">
        <f>IF(ISNUMBER('Funnel setup'!P97),VLOOKUP('Funnel setup'!P97,'Provider Commission - Raw Data'!$A:$Q,6,0),"")</f>
        <v>CITY HOSPITALS SUNDERLAND NHS FOUNDATION TRUST (RLN)</v>
      </c>
      <c r="D85" s="309">
        <f>IF(ISNUMBER('Funnel setup'!P97),VLOOKUP('Funnel setup'!P97,'Provider Commission - Raw Data'!$A:$Q,8,0),"")</f>
        <v>139</v>
      </c>
      <c r="E85" s="446">
        <f>IF(ISNUMBER('Funnel setup'!P97),VLOOKUP('Funnel setup'!P97,'Provider Commission - Raw Data'!$A:$Q,16,0),"")</f>
        <v>5.4335804000000001E-2</v>
      </c>
      <c r="F85" s="310">
        <f>IF(ISNUMBER('Funnel setup'!P97),'Funnel setup'!$K$8,"")</f>
        <v>8.3654400475365306E-2</v>
      </c>
      <c r="G85" s="310">
        <f>IF(AND(ISNUMBER('Funnel setup'!P97),D85&gt;=30,E85&lt;&gt;"*"),F85-1.959963985 *('Funnel setup'!$K$7/SQRT('Funnel Data'!D85)),"")</f>
        <v>5.7248640656455636E-2</v>
      </c>
      <c r="H85" s="310">
        <f>IF(AND(ISNUMBER('Funnel setup'!P97),D85&gt;=30,E85&lt;&gt;"*"),F85+1.959963985 *('Funnel setup'!$K$7/SQRT('Funnel Data'!D85)),"")</f>
        <v>0.11006016029427498</v>
      </c>
      <c r="I85" s="310">
        <f>IF(AND(ISNUMBER('Funnel setup'!P97),D85&gt;=30,E85&lt;&gt;"*"),F85-3.090232306 *('Funnel setup'!$K$7/SQRT('Funnel Data'!D85)),"")</f>
        <v>4.2021017065582207E-2</v>
      </c>
      <c r="J85" s="310">
        <f>IF(AND(ISNUMBER('Funnel setup'!P97),D85&gt;=30,E85&lt;&gt;"*"),F85+3.090232306 *('Funnel setup'!$K$7/SQRT('Funnel Data'!D85)),"")</f>
        <v>0.12528778388514841</v>
      </c>
      <c r="K85" s="311" t="str">
        <f>IF(AND(ISNUMBER('Funnel setup'!P97),D85&gt;=30,E85&lt;&gt;"*"),IF(E85&gt;J85,'Funnel setup'!$K$14&amp;"99.8%",IF(E85&gt;H85,'Funnel setup'!$K$14&amp;"95%",IF(E85&lt;I85,'Funnel setup'!$K$15&amp;"99.8%",IF(E85&lt;G85,'Funnel setup'!$K$15&amp;"95%","")))),"")</f>
        <v>Lower 95%</v>
      </c>
    </row>
    <row r="86" spans="2:11" ht="15" x14ac:dyDescent="0.2">
      <c r="B86" s="307" t="str">
        <f>IF(ISNUMBER('Funnel setup'!P98),VLOOKUP('Funnel setup'!$P98,'Provider Commission - Raw Data'!$A:$Q,5,0),"")</f>
        <v>NVC29</v>
      </c>
      <c r="C86" s="308" t="str">
        <f>IF(ISNUMBER('Funnel setup'!P98),VLOOKUP('Funnel setup'!P98,'Provider Commission - Raw Data'!$A:$Q,6,0),"")</f>
        <v>COBALT HOSPITAL (NVC29)</v>
      </c>
      <c r="D86" s="309">
        <f>IF(ISNUMBER('Funnel setup'!P98),VLOOKUP('Funnel setup'!P98,'Provider Commission - Raw Data'!$A:$Q,8,0),"")</f>
        <v>54</v>
      </c>
      <c r="E86" s="446">
        <f>IF(ISNUMBER('Funnel setup'!P98),VLOOKUP('Funnel setup'!P98,'Provider Commission - Raw Data'!$A:$Q,16,0),"")</f>
        <v>4.4608923000000002E-2</v>
      </c>
      <c r="F86" s="310">
        <f>IF(ISNUMBER('Funnel setup'!P98),'Funnel setup'!$K$8,"")</f>
        <v>8.3654400475365306E-2</v>
      </c>
      <c r="G86" s="310">
        <f>IF(AND(ISNUMBER('Funnel setup'!P98),D86&gt;=30,E86&lt;&gt;"*"),F86-1.959963985 *('Funnel setup'!$K$7/SQRT('Funnel Data'!D86)),"")</f>
        <v>4.1289207504593785E-2</v>
      </c>
      <c r="H86" s="310">
        <f>IF(AND(ISNUMBER('Funnel setup'!P98),D86&gt;=30,E86&lt;&gt;"*"),F86+1.959963985 *('Funnel setup'!$K$7/SQRT('Funnel Data'!D86)),"")</f>
        <v>0.12601959344613684</v>
      </c>
      <c r="I86" s="310">
        <f>IF(AND(ISNUMBER('Funnel setup'!P98),D86&gt;=30,E86&lt;&gt;"*"),F86-3.090232306 *('Funnel setup'!$K$7/SQRT('Funnel Data'!D86)),"")</f>
        <v>1.6858128212126622E-2</v>
      </c>
      <c r="J86" s="310">
        <f>IF(AND(ISNUMBER('Funnel setup'!P98),D86&gt;=30,E86&lt;&gt;"*"),F86+3.090232306 *('Funnel setup'!$K$7/SQRT('Funnel Data'!D86)),"")</f>
        <v>0.15045067273860399</v>
      </c>
      <c r="K86" s="311" t="str">
        <f>IF(AND(ISNUMBER('Funnel setup'!P98),D86&gt;=30,E86&lt;&gt;"*"),IF(E86&gt;J86,'Funnel setup'!$K$14&amp;"99.8%",IF(E86&gt;H86,'Funnel setup'!$K$14&amp;"95%",IF(E86&lt;I86,'Funnel setup'!$K$15&amp;"99.8%",IF(E86&lt;G86,'Funnel setup'!$K$15&amp;"95%","")))),"")</f>
        <v/>
      </c>
    </row>
    <row r="87" spans="2:11" ht="30" x14ac:dyDescent="0.2">
      <c r="B87" s="307" t="str">
        <f>IF(ISNUMBER('Funnel setup'!P99),VLOOKUP('Funnel setup'!$P99,'Provider Commission - Raw Data'!$A:$Q,5,0),"")</f>
        <v>RDE</v>
      </c>
      <c r="C87" s="308" t="str">
        <f>IF(ISNUMBER('Funnel setup'!P99),VLOOKUP('Funnel setup'!P99,'Provider Commission - Raw Data'!$A:$Q,6,0),"")</f>
        <v>COLCHESTER HOSPITAL UNIVERSITY NHS FOUNDATION TRUST (RDE)</v>
      </c>
      <c r="D87" s="309">
        <f>IF(ISNUMBER('Funnel setup'!P99),VLOOKUP('Funnel setup'!P99,'Provider Commission - Raw Data'!$A:$Q,8,0),"")</f>
        <v>153</v>
      </c>
      <c r="E87" s="446">
        <f>IF(ISNUMBER('Funnel setup'!P99),VLOOKUP('Funnel setup'!P99,'Provider Commission - Raw Data'!$A:$Q,16,0),"")</f>
        <v>9.5608597000000003E-2</v>
      </c>
      <c r="F87" s="310">
        <f>IF(ISNUMBER('Funnel setup'!P99),'Funnel setup'!$K$8,"")</f>
        <v>8.3654400475365306E-2</v>
      </c>
      <c r="G87" s="310">
        <f>IF(AND(ISNUMBER('Funnel setup'!P99),D87&gt;=30,E87&lt;&gt;"*"),F87-1.959963985 *('Funnel setup'!$K$7/SQRT('Funnel Data'!D87)),"")</f>
        <v>5.8485725438720049E-2</v>
      </c>
      <c r="H87" s="310">
        <f>IF(AND(ISNUMBER('Funnel setup'!P99),D87&gt;=30,E87&lt;&gt;"*"),F87+1.959963985 *('Funnel setup'!$K$7/SQRT('Funnel Data'!D87)),"")</f>
        <v>0.10882307551201056</v>
      </c>
      <c r="I87" s="310">
        <f>IF(AND(ISNUMBER('Funnel setup'!P99),D87&gt;=30,E87&lt;&gt;"*"),F87-3.090232306 *('Funnel setup'!$K$7/SQRT('Funnel Data'!D87)),"")</f>
        <v>4.3971501558497245E-2</v>
      </c>
      <c r="J87" s="310">
        <f>IF(AND(ISNUMBER('Funnel setup'!P99),D87&gt;=30,E87&lt;&gt;"*"),F87+3.090232306 *('Funnel setup'!$K$7/SQRT('Funnel Data'!D87)),"")</f>
        <v>0.12333729939223337</v>
      </c>
      <c r="K87" s="311" t="str">
        <f>IF(AND(ISNUMBER('Funnel setup'!P99),D87&gt;=30,E87&lt;&gt;"*"),IF(E87&gt;J87,'Funnel setup'!$K$14&amp;"99.8%",IF(E87&gt;H87,'Funnel setup'!$K$14&amp;"95%",IF(E87&lt;I87,'Funnel setup'!$K$15&amp;"99.8%",IF(E87&lt;G87,'Funnel setup'!$K$15&amp;"95%","")))),"")</f>
        <v/>
      </c>
    </row>
    <row r="88" spans="2:11" ht="15" x14ac:dyDescent="0.2">
      <c r="B88" s="307" t="str">
        <f>IF(ISNUMBER('Funnel setup'!P100),VLOOKUP('Funnel setup'!$P100,'Provider Commission - Raw Data'!$A:$Q,5,0),"")</f>
        <v>RJR</v>
      </c>
      <c r="C88" s="308" t="str">
        <f>IF(ISNUMBER('Funnel setup'!P100),VLOOKUP('Funnel setup'!P100,'Provider Commission - Raw Data'!$A:$Q,6,0),"")</f>
        <v>COUNTESS OF CHESTER HOSPITAL NHS FOUNDATION TRUST (RJR)</v>
      </c>
      <c r="D88" s="309">
        <f>IF(ISNUMBER('Funnel setup'!P100),VLOOKUP('Funnel setup'!P100,'Provider Commission - Raw Data'!$A:$Q,8,0),"")</f>
        <v>88</v>
      </c>
      <c r="E88" s="446">
        <f>IF(ISNUMBER('Funnel setup'!P100),VLOOKUP('Funnel setup'!P100,'Provider Commission - Raw Data'!$A:$Q,16,0),"")</f>
        <v>7.1019235E-2</v>
      </c>
      <c r="F88" s="310">
        <f>IF(ISNUMBER('Funnel setup'!P100),'Funnel setup'!$K$8,"")</f>
        <v>8.3654400475365306E-2</v>
      </c>
      <c r="G88" s="310">
        <f>IF(AND(ISNUMBER('Funnel setup'!P100),D88&gt;=30,E88&lt;&gt;"*"),F88-1.959963985 *('Funnel setup'!$K$7/SQRT('Funnel Data'!D88)),"")</f>
        <v>5.0467649786283098E-2</v>
      </c>
      <c r="H88" s="310">
        <f>IF(AND(ISNUMBER('Funnel setup'!P100),D88&gt;=30,E88&lt;&gt;"*"),F88+1.959963985 *('Funnel setup'!$K$7/SQRT('Funnel Data'!D88)),"")</f>
        <v>0.11684115116444752</v>
      </c>
      <c r="I88" s="310">
        <f>IF(AND(ISNUMBER('Funnel setup'!P100),D88&gt;=30,E88&lt;&gt;"*"),F88-3.090232306 *('Funnel setup'!$K$7/SQRT('Funnel Data'!D88)),"")</f>
        <v>3.1329577215630962E-2</v>
      </c>
      <c r="J88" s="310">
        <f>IF(AND(ISNUMBER('Funnel setup'!P100),D88&gt;=30,E88&lt;&gt;"*"),F88+3.090232306 *('Funnel setup'!$K$7/SQRT('Funnel Data'!D88)),"")</f>
        <v>0.13597922373509966</v>
      </c>
      <c r="K88" s="311" t="str">
        <f>IF(AND(ISNUMBER('Funnel setup'!P100),D88&gt;=30,E88&lt;&gt;"*"),IF(E88&gt;J88,'Funnel setup'!$K$14&amp;"99.8%",IF(E88&gt;H88,'Funnel setup'!$K$14&amp;"95%",IF(E88&lt;I88,'Funnel setup'!$K$15&amp;"99.8%",IF(E88&lt;G88,'Funnel setup'!$K$15&amp;"95%","")))),"")</f>
        <v/>
      </c>
    </row>
    <row r="89" spans="2:11" ht="30" x14ac:dyDescent="0.2">
      <c r="B89" s="307" t="str">
        <f>IF(ISNUMBER('Funnel setup'!P101),VLOOKUP('Funnel setup'!$P101,'Provider Commission - Raw Data'!$A:$Q,5,0),"")</f>
        <v>RXP</v>
      </c>
      <c r="C89" s="308" t="str">
        <f>IF(ISNUMBER('Funnel setup'!P101),VLOOKUP('Funnel setup'!P101,'Provider Commission - Raw Data'!$A:$Q,6,0),"")</f>
        <v>COUNTY DURHAM AND DARLINGTON NHS FOUNDATION TRUST (RXP)</v>
      </c>
      <c r="D89" s="309">
        <f>IF(ISNUMBER('Funnel setup'!P101),VLOOKUP('Funnel setup'!P101,'Provider Commission - Raw Data'!$A:$Q,8,0),"")</f>
        <v>169</v>
      </c>
      <c r="E89" s="446">
        <f>IF(ISNUMBER('Funnel setup'!P101),VLOOKUP('Funnel setup'!P101,'Provider Commission - Raw Data'!$A:$Q,16,0),"")</f>
        <v>6.3684451000000003E-2</v>
      </c>
      <c r="F89" s="310">
        <f>IF(ISNUMBER('Funnel setup'!P101),'Funnel setup'!$K$8,"")</f>
        <v>8.3654400475365306E-2</v>
      </c>
      <c r="G89" s="310">
        <f>IF(AND(ISNUMBER('Funnel setup'!P101),D89&gt;=30,E89&lt;&gt;"*"),F89-1.959963985 *('Funnel setup'!$K$7/SQRT('Funnel Data'!D89)),"")</f>
        <v>5.9706760713918804E-2</v>
      </c>
      <c r="H89" s="310">
        <f>IF(AND(ISNUMBER('Funnel setup'!P101),D89&gt;=30,E89&lt;&gt;"*"),F89+1.959963985 *('Funnel setup'!$K$7/SQRT('Funnel Data'!D89)),"")</f>
        <v>0.1076020402368118</v>
      </c>
      <c r="I89" s="310">
        <f>IF(AND(ISNUMBER('Funnel setup'!P101),D89&gt;=30,E89&lt;&gt;"*"),F89-3.090232306 *('Funnel setup'!$K$7/SQRT('Funnel Data'!D89)),"")</f>
        <v>4.5896681144990917E-2</v>
      </c>
      <c r="J89" s="310">
        <f>IF(AND(ISNUMBER('Funnel setup'!P101),D89&gt;=30,E89&lt;&gt;"*"),F89+3.090232306 *('Funnel setup'!$K$7/SQRT('Funnel Data'!D89)),"")</f>
        <v>0.1214121198057397</v>
      </c>
      <c r="K89" s="311" t="str">
        <f>IF(AND(ISNUMBER('Funnel setup'!P101),D89&gt;=30,E89&lt;&gt;"*"),IF(E89&gt;J89,'Funnel setup'!$K$14&amp;"99.8%",IF(E89&gt;H89,'Funnel setup'!$K$14&amp;"95%",IF(E89&lt;I89,'Funnel setup'!$K$15&amp;"99.8%",IF(E89&lt;G89,'Funnel setup'!$K$15&amp;"95%","")))),"")</f>
        <v/>
      </c>
    </row>
    <row r="90" spans="2:11" ht="15" x14ac:dyDescent="0.2">
      <c r="B90" s="307" t="str">
        <f>IF(ISNUMBER('Funnel setup'!P102),VLOOKUP('Funnel setup'!$P102,'Provider Commission - Raw Data'!$A:$Q,5,0),"")</f>
        <v>RN7</v>
      </c>
      <c r="C90" s="308" t="str">
        <f>IF(ISNUMBER('Funnel setup'!P102),VLOOKUP('Funnel setup'!P102,'Provider Commission - Raw Data'!$A:$Q,6,0),"")</f>
        <v>DARTFORD AND GRAVESHAM NHS TRUST (RN7)</v>
      </c>
      <c r="D90" s="309">
        <f>IF(ISNUMBER('Funnel setup'!P102),VLOOKUP('Funnel setup'!P102,'Provider Commission - Raw Data'!$A:$Q,8,0),"")</f>
        <v>56</v>
      </c>
      <c r="E90" s="446">
        <f>IF(ISNUMBER('Funnel setup'!P102),VLOOKUP('Funnel setup'!P102,'Provider Commission - Raw Data'!$A:$Q,16,0),"")</f>
        <v>0.11299629899999999</v>
      </c>
      <c r="F90" s="310">
        <f>IF(ISNUMBER('Funnel setup'!P102),'Funnel setup'!$K$8,"")</f>
        <v>8.3654400475365306E-2</v>
      </c>
      <c r="G90" s="310">
        <f>IF(AND(ISNUMBER('Funnel setup'!P102),D90&gt;=30,E90&lt;&gt;"*"),F90-1.959963985 *('Funnel setup'!$K$7/SQRT('Funnel Data'!D90)),"")</f>
        <v>4.2052606842514252E-2</v>
      </c>
      <c r="H90" s="310">
        <f>IF(AND(ISNUMBER('Funnel setup'!P102),D90&gt;=30,E90&lt;&gt;"*"),F90+1.959963985 *('Funnel setup'!$K$7/SQRT('Funnel Data'!D90)),"")</f>
        <v>0.12525619410821637</v>
      </c>
      <c r="I90" s="310">
        <f>IF(AND(ISNUMBER('Funnel setup'!P102),D90&gt;=30,E90&lt;&gt;"*"),F90-3.090232306 *('Funnel setup'!$K$7/SQRT('Funnel Data'!D90)),"")</f>
        <v>1.8061763235257336E-2</v>
      </c>
      <c r="J90" s="310">
        <f>IF(AND(ISNUMBER('Funnel setup'!P102),D90&gt;=30,E90&lt;&gt;"*"),F90+3.090232306 *('Funnel setup'!$K$7/SQRT('Funnel Data'!D90)),"")</f>
        <v>0.14924703771547326</v>
      </c>
      <c r="K90" s="311" t="str">
        <f>IF(AND(ISNUMBER('Funnel setup'!P102),D90&gt;=30,E90&lt;&gt;"*"),IF(E90&gt;J90,'Funnel setup'!$K$14&amp;"99.8%",IF(E90&gt;H90,'Funnel setup'!$K$14&amp;"95%",IF(E90&lt;I90,'Funnel setup'!$K$15&amp;"99.8%",IF(E90&lt;G90,'Funnel setup'!$K$15&amp;"95%","")))),"")</f>
        <v/>
      </c>
    </row>
    <row r="91" spans="2:11" ht="15" x14ac:dyDescent="0.2">
      <c r="B91" s="307" t="str">
        <f>IF(ISNUMBER('Funnel setup'!P103),VLOOKUP('Funnel setup'!$P103,'Provider Commission - Raw Data'!$A:$Q,5,0),"")</f>
        <v>RTG</v>
      </c>
      <c r="C91" s="308" t="str">
        <f>IF(ISNUMBER('Funnel setup'!P103),VLOOKUP('Funnel setup'!P103,'Provider Commission - Raw Data'!$A:$Q,6,0),"")</f>
        <v>DERBY TEACHING HOSPITALS NHS FOUNDATION TRUST (RTG)</v>
      </c>
      <c r="D91" s="309">
        <f>IF(ISNUMBER('Funnel setup'!P103),VLOOKUP('Funnel setup'!P103,'Provider Commission - Raw Data'!$A:$Q,8,0),"")</f>
        <v>144</v>
      </c>
      <c r="E91" s="446">
        <f>IF(ISNUMBER('Funnel setup'!P103),VLOOKUP('Funnel setup'!P103,'Provider Commission - Raw Data'!$A:$Q,16,0),"")</f>
        <v>6.3254006000000002E-2</v>
      </c>
      <c r="F91" s="310">
        <f>IF(ISNUMBER('Funnel setup'!P103),'Funnel setup'!$K$8,"")</f>
        <v>8.3654400475365306E-2</v>
      </c>
      <c r="G91" s="310">
        <f>IF(AND(ISNUMBER('Funnel setup'!P103),D91&gt;=30,E91&lt;&gt;"*"),F91-1.959963985 *('Funnel setup'!$K$7/SQRT('Funnel Data'!D91)),"")</f>
        <v>5.7711124067131594E-2</v>
      </c>
      <c r="H91" s="310">
        <f>IF(AND(ISNUMBER('Funnel setup'!P103),D91&gt;=30,E91&lt;&gt;"*"),F91+1.959963985 *('Funnel setup'!$K$7/SQRT('Funnel Data'!D91)),"")</f>
        <v>0.10959767688359902</v>
      </c>
      <c r="I91" s="310">
        <f>IF(AND(ISNUMBER('Funnel setup'!P103),D91&gt;=30,E91&lt;&gt;"*"),F91-3.090232306 *('Funnel setup'!$K$7/SQRT('Funnel Data'!D91)),"")</f>
        <v>4.2750204534126389E-2</v>
      </c>
      <c r="J91" s="310">
        <f>IF(AND(ISNUMBER('Funnel setup'!P103),D91&gt;=30,E91&lt;&gt;"*"),F91+3.090232306 *('Funnel setup'!$K$7/SQRT('Funnel Data'!D91)),"")</f>
        <v>0.12455859641660422</v>
      </c>
      <c r="K91" s="311" t="str">
        <f>IF(AND(ISNUMBER('Funnel setup'!P103),D91&gt;=30,E91&lt;&gt;"*"),IF(E91&gt;J91,'Funnel setup'!$K$14&amp;"99.8%",IF(E91&gt;H91,'Funnel setup'!$K$14&amp;"95%",IF(E91&lt;I91,'Funnel setup'!$K$15&amp;"99.8%",IF(E91&lt;G91,'Funnel setup'!$K$15&amp;"95%","")))),"")</f>
        <v/>
      </c>
    </row>
    <row r="92" spans="2:11" ht="30" x14ac:dyDescent="0.2">
      <c r="B92" s="307" t="str">
        <f>IF(ISNUMBER('Funnel setup'!P104),VLOOKUP('Funnel setup'!$P104,'Provider Commission - Raw Data'!$A:$Q,5,0),"")</f>
        <v>RY8</v>
      </c>
      <c r="C92" s="308" t="str">
        <f>IF(ISNUMBER('Funnel setup'!P104),VLOOKUP('Funnel setup'!P104,'Provider Commission - Raw Data'!$A:$Q,6,0),"")</f>
        <v>DERBYSHIRE COMMUNITY HEALTH SERVICES NHS FOUNDATION TRUST (RY8)</v>
      </c>
      <c r="D92" s="309" t="str">
        <f>IF(ISNUMBER('Funnel setup'!P104),VLOOKUP('Funnel setup'!P104,'Provider Commission - Raw Data'!$A:$Q,8,0),"")</f>
        <v>*</v>
      </c>
      <c r="E92" s="446" t="str">
        <f>IF(ISNUMBER('Funnel setup'!P104),VLOOKUP('Funnel setup'!P104,'Provider Commission - Raw Data'!$A:$Q,16,0),"")</f>
        <v>*</v>
      </c>
      <c r="F92" s="310">
        <f>IF(ISNUMBER('Funnel setup'!P104),'Funnel setup'!$K$8,"")</f>
        <v>8.3654400475365306E-2</v>
      </c>
      <c r="G92" s="310" t="str">
        <f>IF(AND(ISNUMBER('Funnel setup'!P104),D92&gt;=30,E92&lt;&gt;"*"),F92-1.959963985 *('Funnel setup'!$K$7/SQRT('Funnel Data'!D92)),"")</f>
        <v/>
      </c>
      <c r="H92" s="310" t="str">
        <f>IF(AND(ISNUMBER('Funnel setup'!P104),D92&gt;=30,E92&lt;&gt;"*"),F92+1.959963985 *('Funnel setup'!$K$7/SQRT('Funnel Data'!D92)),"")</f>
        <v/>
      </c>
      <c r="I92" s="310" t="str">
        <f>IF(AND(ISNUMBER('Funnel setup'!P104),D92&gt;=30,E92&lt;&gt;"*"),F92-3.090232306 *('Funnel setup'!$K$7/SQRT('Funnel Data'!D92)),"")</f>
        <v/>
      </c>
      <c r="J92" s="310" t="str">
        <f>IF(AND(ISNUMBER('Funnel setup'!P104),D92&gt;=30,E92&lt;&gt;"*"),F92+3.090232306 *('Funnel setup'!$K$7/SQRT('Funnel Data'!D92)),"")</f>
        <v/>
      </c>
      <c r="K92" s="311" t="str">
        <f>IF(AND(ISNUMBER('Funnel setup'!P104),D92&gt;=30,E92&lt;&gt;"*"),IF(E92&gt;J92,'Funnel setup'!$K$14&amp;"99.8%",IF(E92&gt;H92,'Funnel setup'!$K$14&amp;"95%",IF(E92&lt;I92,'Funnel setup'!$K$15&amp;"99.8%",IF(E92&lt;G92,'Funnel setup'!$K$15&amp;"95%","")))),"")</f>
        <v/>
      </c>
    </row>
    <row r="93" spans="2:11" ht="15" x14ac:dyDescent="0.2">
      <c r="B93" s="307" t="str">
        <f>IF(ISNUMBER('Funnel setup'!P105),VLOOKUP('Funnel setup'!$P105,'Provider Commission - Raw Data'!$A:$Q,5,0),"")</f>
        <v>NTPH3</v>
      </c>
      <c r="C93" s="308" t="str">
        <f>IF(ISNUMBER('Funnel setup'!P105),VLOOKUP('Funnel setup'!P105,'Provider Commission - Raw Data'!$A:$Q,6,0),"")</f>
        <v>DEVIZES NHS TREATMENT CENTRE (NTPH3)</v>
      </c>
      <c r="D93" s="309">
        <f>IF(ISNUMBER('Funnel setup'!P105),VLOOKUP('Funnel setup'!P105,'Provider Commission - Raw Data'!$A:$Q,8,0),"")</f>
        <v>90</v>
      </c>
      <c r="E93" s="446">
        <f>IF(ISNUMBER('Funnel setup'!P105),VLOOKUP('Funnel setup'!P105,'Provider Commission - Raw Data'!$A:$Q,16,0),"")</f>
        <v>9.3310833999999995E-2</v>
      </c>
      <c r="F93" s="310">
        <f>IF(ISNUMBER('Funnel setup'!P105),'Funnel setup'!$K$8,"")</f>
        <v>8.3654400475365306E-2</v>
      </c>
      <c r="G93" s="310">
        <f>IF(AND(ISNUMBER('Funnel setup'!P105),D93&gt;=30,E93&lt;&gt;"*"),F93-1.959963985 *('Funnel setup'!$K$7/SQRT('Funnel Data'!D93)),"")</f>
        <v>5.0838463108432985E-2</v>
      </c>
      <c r="H93" s="310">
        <f>IF(AND(ISNUMBER('Funnel setup'!P105),D93&gt;=30,E93&lt;&gt;"*"),F93+1.959963985 *('Funnel setup'!$K$7/SQRT('Funnel Data'!D93)),"")</f>
        <v>0.11647033784229763</v>
      </c>
      <c r="I93" s="310">
        <f>IF(AND(ISNUMBER('Funnel setup'!P105),D93&gt;=30,E93&lt;&gt;"*"),F93-3.090232306 *('Funnel setup'!$K$7/SQRT('Funnel Data'!D93)),"")</f>
        <v>3.1914230462513342E-2</v>
      </c>
      <c r="J93" s="310">
        <f>IF(AND(ISNUMBER('Funnel setup'!P105),D93&gt;=30,E93&lt;&gt;"*"),F93+3.090232306 *('Funnel setup'!$K$7/SQRT('Funnel Data'!D93)),"")</f>
        <v>0.13539457048821726</v>
      </c>
      <c r="K93" s="311" t="str">
        <f>IF(AND(ISNUMBER('Funnel setup'!P105),D93&gt;=30,E93&lt;&gt;"*"),IF(E93&gt;J93,'Funnel setup'!$K$14&amp;"99.8%",IF(E93&gt;H93,'Funnel setup'!$K$14&amp;"95%",IF(E93&lt;I93,'Funnel setup'!$K$15&amp;"99.8%",IF(E93&lt;G93,'Funnel setup'!$K$15&amp;"95%","")))),"")</f>
        <v/>
      </c>
    </row>
    <row r="94" spans="2:11" ht="30" x14ac:dyDescent="0.2">
      <c r="B94" s="307" t="str">
        <f>IF(ISNUMBER('Funnel setup'!P106),VLOOKUP('Funnel setup'!$P106,'Provider Commission - Raw Data'!$A:$Q,5,0),"")</f>
        <v>RP5</v>
      </c>
      <c r="C94" s="308" t="str">
        <f>IF(ISNUMBER('Funnel setup'!P106),VLOOKUP('Funnel setup'!P106,'Provider Commission - Raw Data'!$A:$Q,6,0),"")</f>
        <v>DONCASTER AND BASSETLAW HOSPITALS NHS FOUNDATION TRUST (RP5)</v>
      </c>
      <c r="D94" s="309">
        <f>IF(ISNUMBER('Funnel setup'!P106),VLOOKUP('Funnel setup'!P106,'Provider Commission - Raw Data'!$A:$Q,8,0),"")</f>
        <v>257</v>
      </c>
      <c r="E94" s="446">
        <f>IF(ISNUMBER('Funnel setup'!P106),VLOOKUP('Funnel setup'!P106,'Provider Commission - Raw Data'!$A:$Q,16,0),"")</f>
        <v>6.3738845000000002E-2</v>
      </c>
      <c r="F94" s="310">
        <f>IF(ISNUMBER('Funnel setup'!P106),'Funnel setup'!$K$8,"")</f>
        <v>8.3654400475365306E-2</v>
      </c>
      <c r="G94" s="310">
        <f>IF(AND(ISNUMBER('Funnel setup'!P106),D94&gt;=30,E94&lt;&gt;"*"),F94-1.959963985 *('Funnel setup'!$K$7/SQRT('Funnel Data'!D94)),"")</f>
        <v>6.4234835040216348E-2</v>
      </c>
      <c r="H94" s="310">
        <f>IF(AND(ISNUMBER('Funnel setup'!P106),D94&gt;=30,E94&lt;&gt;"*"),F94+1.959963985 *('Funnel setup'!$K$7/SQRT('Funnel Data'!D94)),"")</f>
        <v>0.10307396591051426</v>
      </c>
      <c r="I94" s="310">
        <f>IF(AND(ISNUMBER('Funnel setup'!P106),D94&gt;=30,E94&lt;&gt;"*"),F94-3.090232306 *('Funnel setup'!$K$7/SQRT('Funnel Data'!D94)),"")</f>
        <v>5.3035996802923202E-2</v>
      </c>
      <c r="J94" s="310">
        <f>IF(AND(ISNUMBER('Funnel setup'!P106),D94&gt;=30,E94&lt;&gt;"*"),F94+3.090232306 *('Funnel setup'!$K$7/SQRT('Funnel Data'!D94)),"")</f>
        <v>0.11427280414780741</v>
      </c>
      <c r="K94" s="311" t="str">
        <f>IF(AND(ISNUMBER('Funnel setup'!P106),D94&gt;=30,E94&lt;&gt;"*"),IF(E94&gt;J94,'Funnel setup'!$K$14&amp;"99.8%",IF(E94&gt;H94,'Funnel setup'!$K$14&amp;"95%",IF(E94&lt;I94,'Funnel setup'!$K$15&amp;"99.8%",IF(E94&lt;G94,'Funnel setup'!$K$15&amp;"95%","")))),"")</f>
        <v>Lower 95%</v>
      </c>
    </row>
    <row r="95" spans="2:11" ht="15" x14ac:dyDescent="0.2">
      <c r="B95" s="307" t="str">
        <f>IF(ISNUMBER('Funnel setup'!P107),VLOOKUP('Funnel setup'!$P107,'Provider Commission - Raw Data'!$A:$Q,5,0),"")</f>
        <v>RBD</v>
      </c>
      <c r="C95" s="308" t="str">
        <f>IF(ISNUMBER('Funnel setup'!P107),VLOOKUP('Funnel setup'!P107,'Provider Commission - Raw Data'!$A:$Q,6,0),"")</f>
        <v>DORSET COUNTY HOSPITAL NHS FOUNDATION TRUST (RBD)</v>
      </c>
      <c r="D95" s="309">
        <f>IF(ISNUMBER('Funnel setup'!P107),VLOOKUP('Funnel setup'!P107,'Provider Commission - Raw Data'!$A:$Q,8,0),"")</f>
        <v>59</v>
      </c>
      <c r="E95" s="446">
        <f>IF(ISNUMBER('Funnel setup'!P107),VLOOKUP('Funnel setup'!P107,'Provider Commission - Raw Data'!$A:$Q,16,0),"")</f>
        <v>6.6132237999999996E-2</v>
      </c>
      <c r="F95" s="310">
        <f>IF(ISNUMBER('Funnel setup'!P107),'Funnel setup'!$K$8,"")</f>
        <v>8.3654400475365306E-2</v>
      </c>
      <c r="G95" s="310">
        <f>IF(AND(ISNUMBER('Funnel setup'!P107),D95&gt;=30,E95&lt;&gt;"*"),F95-1.959963985 *('Funnel setup'!$K$7/SQRT('Funnel Data'!D95)),"")</f>
        <v>4.3124077641015945E-2</v>
      </c>
      <c r="H95" s="310">
        <f>IF(AND(ISNUMBER('Funnel setup'!P107),D95&gt;=30,E95&lt;&gt;"*"),F95+1.959963985 *('Funnel setup'!$K$7/SQRT('Funnel Data'!D95)),"")</f>
        <v>0.12418472330971467</v>
      </c>
      <c r="I95" s="310">
        <f>IF(AND(ISNUMBER('Funnel setup'!P107),D95&gt;=30,E95&lt;&gt;"*"),F95-3.090232306 *('Funnel setup'!$K$7/SQRT('Funnel Data'!D95)),"")</f>
        <v>1.9751127785731737E-2</v>
      </c>
      <c r="J95" s="310">
        <f>IF(AND(ISNUMBER('Funnel setup'!P107),D95&gt;=30,E95&lt;&gt;"*"),F95+3.090232306 *('Funnel setup'!$K$7/SQRT('Funnel Data'!D95)),"")</f>
        <v>0.14755767316499888</v>
      </c>
      <c r="K95" s="311" t="str">
        <f>IF(AND(ISNUMBER('Funnel setup'!P107),D95&gt;=30,E95&lt;&gt;"*"),IF(E95&gt;J95,'Funnel setup'!$K$14&amp;"99.8%",IF(E95&gt;H95,'Funnel setup'!$K$14&amp;"95%",IF(E95&lt;I95,'Funnel setup'!$K$15&amp;"99.8%",IF(E95&lt;G95,'Funnel setup'!$K$15&amp;"95%","")))),"")</f>
        <v/>
      </c>
    </row>
    <row r="96" spans="2:11" ht="15" x14ac:dyDescent="0.2">
      <c r="B96" s="307" t="str">
        <f>IF(ISNUMBER('Funnel setup'!P108),VLOOKUP('Funnel setup'!$P108,'Provider Commission - Raw Data'!$A:$Q,5,0),"")</f>
        <v>RDY</v>
      </c>
      <c r="C96" s="308" t="str">
        <f>IF(ISNUMBER('Funnel setup'!P108),VLOOKUP('Funnel setup'!P108,'Provider Commission - Raw Data'!$A:$Q,6,0),"")</f>
        <v>DORSET HEALTHCARE UNIVERSITY NHS FOUNDATION TRUST (RDY)</v>
      </c>
      <c r="D96" s="309">
        <f>IF(ISNUMBER('Funnel setup'!P108),VLOOKUP('Funnel setup'!P108,'Provider Commission - Raw Data'!$A:$Q,8,0),"")</f>
        <v>88</v>
      </c>
      <c r="E96" s="446">
        <f>IF(ISNUMBER('Funnel setup'!P108),VLOOKUP('Funnel setup'!P108,'Provider Commission - Raw Data'!$A:$Q,16,0),"")</f>
        <v>9.3678017000000002E-2</v>
      </c>
      <c r="F96" s="310">
        <f>IF(ISNUMBER('Funnel setup'!P108),'Funnel setup'!$K$8,"")</f>
        <v>8.3654400475365306E-2</v>
      </c>
      <c r="G96" s="310">
        <f>IF(AND(ISNUMBER('Funnel setup'!P108),D96&gt;=30,E96&lt;&gt;"*"),F96-1.959963985 *('Funnel setup'!$K$7/SQRT('Funnel Data'!D96)),"")</f>
        <v>5.0467649786283098E-2</v>
      </c>
      <c r="H96" s="310">
        <f>IF(AND(ISNUMBER('Funnel setup'!P108),D96&gt;=30,E96&lt;&gt;"*"),F96+1.959963985 *('Funnel setup'!$K$7/SQRT('Funnel Data'!D96)),"")</f>
        <v>0.11684115116444752</v>
      </c>
      <c r="I96" s="310">
        <f>IF(AND(ISNUMBER('Funnel setup'!P108),D96&gt;=30,E96&lt;&gt;"*"),F96-3.090232306 *('Funnel setup'!$K$7/SQRT('Funnel Data'!D96)),"")</f>
        <v>3.1329577215630962E-2</v>
      </c>
      <c r="J96" s="310">
        <f>IF(AND(ISNUMBER('Funnel setup'!P108),D96&gt;=30,E96&lt;&gt;"*"),F96+3.090232306 *('Funnel setup'!$K$7/SQRT('Funnel Data'!D96)),"")</f>
        <v>0.13597922373509966</v>
      </c>
      <c r="K96" s="311" t="str">
        <f>IF(AND(ISNUMBER('Funnel setup'!P108),D96&gt;=30,E96&lt;&gt;"*"),IF(E96&gt;J96,'Funnel setup'!$K$14&amp;"99.8%",IF(E96&gt;H96,'Funnel setup'!$K$14&amp;"95%",IF(E96&lt;I96,'Funnel setup'!$K$15&amp;"99.8%",IF(E96&lt;G96,'Funnel setup'!$K$15&amp;"95%","")))),"")</f>
        <v/>
      </c>
    </row>
    <row r="97" spans="2:11" ht="15" x14ac:dyDescent="0.2">
      <c r="B97" s="307" t="str">
        <f>IF(ISNUMBER('Funnel setup'!P109),VLOOKUP('Funnel setup'!$P109,'Provider Commission - Raw Data'!$A:$Q,5,0),"")</f>
        <v>RWH</v>
      </c>
      <c r="C97" s="308" t="str">
        <f>IF(ISNUMBER('Funnel setup'!P109),VLOOKUP('Funnel setup'!P109,'Provider Commission - Raw Data'!$A:$Q,6,0),"")</f>
        <v>EAST AND NORTH HERTFORDSHIRE NHS TRUST (RWH)</v>
      </c>
      <c r="D97" s="309">
        <f>IF(ISNUMBER('Funnel setup'!P109),VLOOKUP('Funnel setup'!P109,'Provider Commission - Raw Data'!$A:$Q,8,0),"")</f>
        <v>68</v>
      </c>
      <c r="E97" s="446">
        <f>IF(ISNUMBER('Funnel setup'!P109),VLOOKUP('Funnel setup'!P109,'Provider Commission - Raw Data'!$A:$Q,16,0),"")</f>
        <v>7.2647681000000006E-2</v>
      </c>
      <c r="F97" s="310">
        <f>IF(ISNUMBER('Funnel setup'!P109),'Funnel setup'!$K$8,"")</f>
        <v>8.3654400475365306E-2</v>
      </c>
      <c r="G97" s="310">
        <f>IF(AND(ISNUMBER('Funnel setup'!P109),D97&gt;=30,E97&lt;&gt;"*"),F97-1.959963985 *('Funnel setup'!$K$7/SQRT('Funnel Data'!D97)),"")</f>
        <v>4.590138792039742E-2</v>
      </c>
      <c r="H97" s="310">
        <f>IF(AND(ISNUMBER('Funnel setup'!P109),D97&gt;=30,E97&lt;&gt;"*"),F97+1.959963985 *('Funnel setup'!$K$7/SQRT('Funnel Data'!D97)),"")</f>
        <v>0.1214074130303332</v>
      </c>
      <c r="I97" s="310">
        <f>IF(AND(ISNUMBER('Funnel setup'!P109),D97&gt;=30,E97&lt;&gt;"*"),F97-3.090232306 *('Funnel setup'!$K$7/SQRT('Funnel Data'!D97)),"")</f>
        <v>2.4130052100063214E-2</v>
      </c>
      <c r="J97" s="310">
        <f>IF(AND(ISNUMBER('Funnel setup'!P109),D97&gt;=30,E97&lt;&gt;"*"),F97+3.090232306 *('Funnel setup'!$K$7/SQRT('Funnel Data'!D97)),"")</f>
        <v>0.14317874885066739</v>
      </c>
      <c r="K97" s="311" t="str">
        <f>IF(AND(ISNUMBER('Funnel setup'!P109),D97&gt;=30,E97&lt;&gt;"*"),IF(E97&gt;J97,'Funnel setup'!$K$14&amp;"99.8%",IF(E97&gt;H97,'Funnel setup'!$K$14&amp;"95%",IF(E97&lt;I97,'Funnel setup'!$K$15&amp;"99.8%",IF(E97&lt;G97,'Funnel setup'!$K$15&amp;"95%","")))),"")</f>
        <v/>
      </c>
    </row>
    <row r="98" spans="2:11" ht="15" x14ac:dyDescent="0.2">
      <c r="B98" s="307" t="str">
        <f>IF(ISNUMBER('Funnel setup'!P110),VLOOKUP('Funnel setup'!$P110,'Provider Commission - Raw Data'!$A:$Q,5,0),"")</f>
        <v>RJN</v>
      </c>
      <c r="C98" s="308" t="str">
        <f>IF(ISNUMBER('Funnel setup'!P110),VLOOKUP('Funnel setup'!P110,'Provider Commission - Raw Data'!$A:$Q,6,0),"")</f>
        <v>EAST CHESHIRE NHS TRUST (RJN)</v>
      </c>
      <c r="D98" s="309">
        <f>IF(ISNUMBER('Funnel setup'!P110),VLOOKUP('Funnel setup'!P110,'Provider Commission - Raw Data'!$A:$Q,8,0),"")</f>
        <v>73</v>
      </c>
      <c r="E98" s="446">
        <f>IF(ISNUMBER('Funnel setup'!P110),VLOOKUP('Funnel setup'!P110,'Provider Commission - Raw Data'!$A:$Q,16,0),"")</f>
        <v>8.4394472999999998E-2</v>
      </c>
      <c r="F98" s="310">
        <f>IF(ISNUMBER('Funnel setup'!P110),'Funnel setup'!$K$8,"")</f>
        <v>8.3654400475365306E-2</v>
      </c>
      <c r="G98" s="310">
        <f>IF(AND(ISNUMBER('Funnel setup'!P110),D98&gt;=30,E98&lt;&gt;"*"),F98-1.959963985 *('Funnel setup'!$K$7/SQRT('Funnel Data'!D98)),"")</f>
        <v>4.7217230481213505E-2</v>
      </c>
      <c r="H98" s="310">
        <f>IF(AND(ISNUMBER('Funnel setup'!P110),D98&gt;=30,E98&lt;&gt;"*"),F98+1.959963985 *('Funnel setup'!$K$7/SQRT('Funnel Data'!D98)),"")</f>
        <v>0.1200915704695171</v>
      </c>
      <c r="I98" s="310">
        <f>IF(AND(ISNUMBER('Funnel setup'!P110),D98&gt;=30,E98&lt;&gt;"*"),F98-3.090232306 *('Funnel setup'!$K$7/SQRT('Funnel Data'!D98)),"")</f>
        <v>2.620471225819037E-2</v>
      </c>
      <c r="J98" s="310">
        <f>IF(AND(ISNUMBER('Funnel setup'!P110),D98&gt;=30,E98&lt;&gt;"*"),F98+3.090232306 *('Funnel setup'!$K$7/SQRT('Funnel Data'!D98)),"")</f>
        <v>0.14110408869254024</v>
      </c>
      <c r="K98" s="311" t="str">
        <f>IF(AND(ISNUMBER('Funnel setup'!P110),D98&gt;=30,E98&lt;&gt;"*"),IF(E98&gt;J98,'Funnel setup'!$K$14&amp;"99.8%",IF(E98&gt;H98,'Funnel setup'!$K$14&amp;"95%",IF(E98&lt;I98,'Funnel setup'!$K$15&amp;"99.8%",IF(E98&lt;G98,'Funnel setup'!$K$15&amp;"95%","")))),"")</f>
        <v/>
      </c>
    </row>
    <row r="99" spans="2:11" ht="15" x14ac:dyDescent="0.2">
      <c r="B99" s="307" t="str">
        <f>IF(ISNUMBER('Funnel setup'!P111),VLOOKUP('Funnel setup'!$P111,'Provider Commission - Raw Data'!$A:$Q,5,0),"")</f>
        <v>RVV</v>
      </c>
      <c r="C99" s="308" t="str">
        <f>IF(ISNUMBER('Funnel setup'!P111),VLOOKUP('Funnel setup'!P111,'Provider Commission - Raw Data'!$A:$Q,6,0),"")</f>
        <v>EAST KENT HOSPITALS UNIVERSITY NHS FOUNDATION TRUST (RVV)</v>
      </c>
      <c r="D99" s="309">
        <f>IF(ISNUMBER('Funnel setup'!P111),VLOOKUP('Funnel setup'!P111,'Provider Commission - Raw Data'!$A:$Q,8,0),"")</f>
        <v>183</v>
      </c>
      <c r="E99" s="446">
        <f>IF(ISNUMBER('Funnel setup'!P111),VLOOKUP('Funnel setup'!P111,'Provider Commission - Raw Data'!$A:$Q,16,0),"")</f>
        <v>9.9536235000000001E-2</v>
      </c>
      <c r="F99" s="310">
        <f>IF(ISNUMBER('Funnel setup'!P111),'Funnel setup'!$K$8,"")</f>
        <v>8.3654400475365306E-2</v>
      </c>
      <c r="G99" s="310">
        <f>IF(AND(ISNUMBER('Funnel setup'!P111),D99&gt;=30,E99&lt;&gt;"*"),F99-1.959963985 *('Funnel setup'!$K$7/SQRT('Funnel Data'!D99)),"")</f>
        <v>6.064101436430093E-2</v>
      </c>
      <c r="H99" s="310">
        <f>IF(AND(ISNUMBER('Funnel setup'!P111),D99&gt;=30,E99&lt;&gt;"*"),F99+1.959963985 *('Funnel setup'!$K$7/SQRT('Funnel Data'!D99)),"")</f>
        <v>0.10666778658642968</v>
      </c>
      <c r="I99" s="310">
        <f>IF(AND(ISNUMBER('Funnel setup'!P111),D99&gt;=30,E99&lt;&gt;"*"),F99-3.090232306 *('Funnel setup'!$K$7/SQRT('Funnel Data'!D99)),"")</f>
        <v>4.736969842209629E-2</v>
      </c>
      <c r="J99" s="310">
        <f>IF(AND(ISNUMBER('Funnel setup'!P111),D99&gt;=30,E99&lt;&gt;"*"),F99+3.090232306 *('Funnel setup'!$K$7/SQRT('Funnel Data'!D99)),"")</f>
        <v>0.11993910252863432</v>
      </c>
      <c r="K99" s="311" t="str">
        <f>IF(AND(ISNUMBER('Funnel setup'!P111),D99&gt;=30,E99&lt;&gt;"*"),IF(E99&gt;J99,'Funnel setup'!$K$14&amp;"99.8%",IF(E99&gt;H99,'Funnel setup'!$K$14&amp;"95%",IF(E99&lt;I99,'Funnel setup'!$K$15&amp;"99.8%",IF(E99&lt;G99,'Funnel setup'!$K$15&amp;"95%","")))),"")</f>
        <v/>
      </c>
    </row>
    <row r="100" spans="2:11" ht="15" x14ac:dyDescent="0.2">
      <c r="B100" s="307" t="str">
        <f>IF(ISNUMBER('Funnel setup'!P112),VLOOKUP('Funnel setup'!$P112,'Provider Commission - Raw Data'!$A:$Q,5,0),"")</f>
        <v>RXR</v>
      </c>
      <c r="C100" s="308" t="str">
        <f>IF(ISNUMBER('Funnel setup'!P112),VLOOKUP('Funnel setup'!P112,'Provider Commission - Raw Data'!$A:$Q,6,0),"")</f>
        <v>EAST LANCASHIRE HOSPITALS NHS TRUST (RXR)</v>
      </c>
      <c r="D100" s="309">
        <f>IF(ISNUMBER('Funnel setup'!P112),VLOOKUP('Funnel setup'!P112,'Provider Commission - Raw Data'!$A:$Q,8,0),"")</f>
        <v>182</v>
      </c>
      <c r="E100" s="446">
        <f>IF(ISNUMBER('Funnel setup'!P112),VLOOKUP('Funnel setup'!P112,'Provider Commission - Raw Data'!$A:$Q,16,0),"")</f>
        <v>0.11866541999999999</v>
      </c>
      <c r="F100" s="310">
        <f>IF(ISNUMBER('Funnel setup'!P112),'Funnel setup'!$K$8,"")</f>
        <v>8.3654400475365306E-2</v>
      </c>
      <c r="G100" s="310">
        <f>IF(AND(ISNUMBER('Funnel setup'!P112),D100&gt;=30,E100&lt;&gt;"*"),F100-1.959963985 *('Funnel setup'!$K$7/SQRT('Funnel Data'!D100)),"")</f>
        <v>6.0577877383901343E-2</v>
      </c>
      <c r="H100" s="310">
        <f>IF(AND(ISNUMBER('Funnel setup'!P112),D100&gt;=30,E100&lt;&gt;"*"),F100+1.959963985 *('Funnel setup'!$K$7/SQRT('Funnel Data'!D100)),"")</f>
        <v>0.10673092356682927</v>
      </c>
      <c r="I100" s="310">
        <f>IF(AND(ISNUMBER('Funnel setup'!P112),D100&gt;=30,E100&lt;&gt;"*"),F100-3.090232306 *('Funnel setup'!$K$7/SQRT('Funnel Data'!D100)),"")</f>
        <v>4.7270151727347144E-2</v>
      </c>
      <c r="J100" s="310">
        <f>IF(AND(ISNUMBER('Funnel setup'!P112),D100&gt;=30,E100&lt;&gt;"*"),F100+3.090232306 *('Funnel setup'!$K$7/SQRT('Funnel Data'!D100)),"")</f>
        <v>0.12003864922338348</v>
      </c>
      <c r="K100" s="311" t="str">
        <f>IF(AND(ISNUMBER('Funnel setup'!P112),D100&gt;=30,E100&lt;&gt;"*"),IF(E100&gt;J100,'Funnel setup'!$K$14&amp;"99.8%",IF(E100&gt;H100,'Funnel setup'!$K$14&amp;"95%",IF(E100&lt;I100,'Funnel setup'!$K$15&amp;"99.8%",IF(E100&lt;G100,'Funnel setup'!$K$15&amp;"95%","")))),"")</f>
        <v>Upper 95%</v>
      </c>
    </row>
    <row r="101" spans="2:11" ht="15" x14ac:dyDescent="0.2">
      <c r="B101" s="307" t="str">
        <f>IF(ISNUMBER('Funnel setup'!P113),VLOOKUP('Funnel setup'!$P113,'Provider Commission - Raw Data'!$A:$Q,5,0),"")</f>
        <v>RXC</v>
      </c>
      <c r="C101" s="308" t="str">
        <f>IF(ISNUMBER('Funnel setup'!P113),VLOOKUP('Funnel setup'!P113,'Provider Commission - Raw Data'!$A:$Q,6,0),"")</f>
        <v>EAST SUSSEX HEALTHCARE NHS TRUST (RXC)</v>
      </c>
      <c r="D101" s="309">
        <f>IF(ISNUMBER('Funnel setup'!P113),VLOOKUP('Funnel setup'!P113,'Provider Commission - Raw Data'!$A:$Q,8,0),"")</f>
        <v>127</v>
      </c>
      <c r="E101" s="446">
        <f>IF(ISNUMBER('Funnel setup'!P113),VLOOKUP('Funnel setup'!P113,'Provider Commission - Raw Data'!$A:$Q,16,0),"")</f>
        <v>7.8364306999999994E-2</v>
      </c>
      <c r="F101" s="310">
        <f>IF(ISNUMBER('Funnel setup'!P113),'Funnel setup'!$K$8,"")</f>
        <v>8.3654400475365306E-2</v>
      </c>
      <c r="G101" s="310">
        <f>IF(AND(ISNUMBER('Funnel setup'!P113),D101&gt;=30,E101&lt;&gt;"*"),F101-1.959963985 *('Funnel setup'!$K$7/SQRT('Funnel Data'!D101)),"")</f>
        <v>5.6029278239652092E-2</v>
      </c>
      <c r="H101" s="310">
        <f>IF(AND(ISNUMBER('Funnel setup'!P113),D101&gt;=30,E101&lt;&gt;"*"),F101+1.959963985 *('Funnel setup'!$K$7/SQRT('Funnel Data'!D101)),"")</f>
        <v>0.11127952271107852</v>
      </c>
      <c r="I101" s="310">
        <f>IF(AND(ISNUMBER('Funnel setup'!P113),D101&gt;=30,E101&lt;&gt;"*"),F101-3.090232306 *('Funnel setup'!$K$7/SQRT('Funnel Data'!D101)),"")</f>
        <v>4.0098475038296666E-2</v>
      </c>
      <c r="J101" s="310">
        <f>IF(AND(ISNUMBER('Funnel setup'!P113),D101&gt;=30,E101&lt;&gt;"*"),F101+3.090232306 *('Funnel setup'!$K$7/SQRT('Funnel Data'!D101)),"")</f>
        <v>0.12721032591243395</v>
      </c>
      <c r="K101" s="311" t="str">
        <f>IF(AND(ISNUMBER('Funnel setup'!P113),D101&gt;=30,E101&lt;&gt;"*"),IF(E101&gt;J101,'Funnel setup'!$K$14&amp;"99.8%",IF(E101&gt;H101,'Funnel setup'!$K$14&amp;"95%",IF(E101&lt;I101,'Funnel setup'!$K$15&amp;"99.8%",IF(E101&lt;G101,'Funnel setup'!$K$15&amp;"95%","")))),"")</f>
        <v/>
      </c>
    </row>
    <row r="102" spans="2:11" ht="15" x14ac:dyDescent="0.2">
      <c r="B102" s="307" t="str">
        <f>IF(ISNUMBER('Funnel setup'!P114),VLOOKUP('Funnel setup'!$P114,'Provider Commission - Raw Data'!$A:$Q,5,0),"")</f>
        <v>NTPH2</v>
      </c>
      <c r="C102" s="308" t="str">
        <f>IF(ISNUMBER('Funnel setup'!P114),VLOOKUP('Funnel setup'!P114,'Provider Commission - Raw Data'!$A:$Q,6,0),"")</f>
        <v>EMERSONS GREEN NHS TREATMENT CENTRE (NTPH2)</v>
      </c>
      <c r="D102" s="309">
        <f>IF(ISNUMBER('Funnel setup'!P114),VLOOKUP('Funnel setup'!P114,'Provider Commission - Raw Data'!$A:$Q,8,0),"")</f>
        <v>248</v>
      </c>
      <c r="E102" s="446">
        <f>IF(ISNUMBER('Funnel setup'!P114),VLOOKUP('Funnel setup'!P114,'Provider Commission - Raw Data'!$A:$Q,16,0),"")</f>
        <v>9.2602118999999997E-2</v>
      </c>
      <c r="F102" s="310">
        <f>IF(ISNUMBER('Funnel setup'!P114),'Funnel setup'!$K$8,"")</f>
        <v>8.3654400475365306E-2</v>
      </c>
      <c r="G102" s="310">
        <f>IF(AND(ISNUMBER('Funnel setup'!P114),D102&gt;=30,E102&lt;&gt;"*"),F102-1.959963985 *('Funnel setup'!$K$7/SQRT('Funnel Data'!D102)),"")</f>
        <v>6.388560408348494E-2</v>
      </c>
      <c r="H102" s="310">
        <f>IF(AND(ISNUMBER('Funnel setup'!P114),D102&gt;=30,E102&lt;&gt;"*"),F102+1.959963985 *('Funnel setup'!$K$7/SQRT('Funnel Data'!D102)),"")</f>
        <v>0.10342319686724567</v>
      </c>
      <c r="I102" s="310">
        <f>IF(AND(ISNUMBER('Funnel setup'!P114),D102&gt;=30,E102&lt;&gt;"*"),F102-3.090232306 *('Funnel setup'!$K$7/SQRT('Funnel Data'!D102)),"")</f>
        <v>5.2485371999097183E-2</v>
      </c>
      <c r="J102" s="310">
        <f>IF(AND(ISNUMBER('Funnel setup'!P114),D102&gt;=30,E102&lt;&gt;"*"),F102+3.090232306 *('Funnel setup'!$K$7/SQRT('Funnel Data'!D102)),"")</f>
        <v>0.11482342895163343</v>
      </c>
      <c r="K102" s="311" t="str">
        <f>IF(AND(ISNUMBER('Funnel setup'!P114),D102&gt;=30,E102&lt;&gt;"*"),IF(E102&gt;J102,'Funnel setup'!$K$14&amp;"99.8%",IF(E102&gt;H102,'Funnel setup'!$K$14&amp;"95%",IF(E102&lt;I102,'Funnel setup'!$K$15&amp;"99.8%",IF(E102&lt;G102,'Funnel setup'!$K$15&amp;"95%","")))),"")</f>
        <v/>
      </c>
    </row>
    <row r="103" spans="2:11" ht="15" x14ac:dyDescent="0.2">
      <c r="B103" s="307" t="str">
        <f>IF(ISNUMBER('Funnel setup'!P115),VLOOKUP('Funnel setup'!$P115,'Provider Commission - Raw Data'!$A:$Q,5,0),"")</f>
        <v>RVR</v>
      </c>
      <c r="C103" s="308" t="str">
        <f>IF(ISNUMBER('Funnel setup'!P115),VLOOKUP('Funnel setup'!P115,'Provider Commission - Raw Data'!$A:$Q,6,0),"")</f>
        <v>EPSOM AND ST HELIER UNIVERSITY HOSPITALS NHS TRUST (RVR)</v>
      </c>
      <c r="D103" s="309">
        <f>IF(ISNUMBER('Funnel setup'!P115),VLOOKUP('Funnel setup'!P115,'Provider Commission - Raw Data'!$A:$Q,8,0),"")</f>
        <v>28</v>
      </c>
      <c r="E103" s="446" t="str">
        <f>IF(ISNUMBER('Funnel setup'!P115),VLOOKUP('Funnel setup'!P115,'Provider Commission - Raw Data'!$A:$Q,16,0),"")</f>
        <v>*</v>
      </c>
      <c r="F103" s="310">
        <f>IF(ISNUMBER('Funnel setup'!P115),'Funnel setup'!$K$8,"")</f>
        <v>8.3654400475365306E-2</v>
      </c>
      <c r="G103" s="310" t="str">
        <f>IF(AND(ISNUMBER('Funnel setup'!P115),D103&gt;=30,E103&lt;&gt;"*"),F103-1.959963985 *('Funnel setup'!$K$7/SQRT('Funnel Data'!D103)),"")</f>
        <v/>
      </c>
      <c r="H103" s="310" t="str">
        <f>IF(AND(ISNUMBER('Funnel setup'!P115),D103&gt;=30,E103&lt;&gt;"*"),F103+1.959963985 *('Funnel setup'!$K$7/SQRT('Funnel Data'!D103)),"")</f>
        <v/>
      </c>
      <c r="I103" s="310" t="str">
        <f>IF(AND(ISNUMBER('Funnel setup'!P115),D103&gt;=30,E103&lt;&gt;"*"),F103-3.090232306 *('Funnel setup'!$K$7/SQRT('Funnel Data'!D103)),"")</f>
        <v/>
      </c>
      <c r="J103" s="310" t="str">
        <f>IF(AND(ISNUMBER('Funnel setup'!P115),D103&gt;=30,E103&lt;&gt;"*"),F103+3.090232306 *('Funnel setup'!$K$7/SQRT('Funnel Data'!D103)),"")</f>
        <v/>
      </c>
      <c r="K103" s="311" t="str">
        <f>IF(AND(ISNUMBER('Funnel setup'!P115),D103&gt;=30,E103&lt;&gt;"*"),IF(E103&gt;J103,'Funnel setup'!$K$14&amp;"99.8%",IF(E103&gt;H103,'Funnel setup'!$K$14&amp;"95%",IF(E103&lt;I103,'Funnel setup'!$K$15&amp;"99.8%",IF(E103&lt;G103,'Funnel setup'!$K$15&amp;"95%","")))),"")</f>
        <v/>
      </c>
    </row>
    <row r="104" spans="2:11" ht="15" x14ac:dyDescent="0.2">
      <c r="B104" s="307" t="str">
        <f>IF(ISNUMBER('Funnel setup'!P116),VLOOKUP('Funnel setup'!$P116,'Provider Commission - Raw Data'!$A:$Q,5,0),"")</f>
        <v>NVC05</v>
      </c>
      <c r="C104" s="308" t="str">
        <f>IF(ISNUMBER('Funnel setup'!P116),VLOOKUP('Funnel setup'!P116,'Provider Commission - Raw Data'!$A:$Q,6,0),"")</f>
        <v>EUXTON HALL HOSPITAL (NVC05)</v>
      </c>
      <c r="D104" s="309">
        <f>IF(ISNUMBER('Funnel setup'!P116),VLOOKUP('Funnel setup'!P116,'Provider Commission - Raw Data'!$A:$Q,8,0),"")</f>
        <v>114</v>
      </c>
      <c r="E104" s="446">
        <f>IF(ISNUMBER('Funnel setup'!P116),VLOOKUP('Funnel setup'!P116,'Provider Commission - Raw Data'!$A:$Q,16,0),"")</f>
        <v>8.2150920000000002E-2</v>
      </c>
      <c r="F104" s="310">
        <f>IF(ISNUMBER('Funnel setup'!P116),'Funnel setup'!$K$8,"")</f>
        <v>8.3654400475365306E-2</v>
      </c>
      <c r="G104" s="310">
        <f>IF(AND(ISNUMBER('Funnel setup'!P116),D104&gt;=30,E104&lt;&gt;"*"),F104-1.959963985 *('Funnel setup'!$K$7/SQRT('Funnel Data'!D104)),"")</f>
        <v>5.4496674967492768E-2</v>
      </c>
      <c r="H104" s="310">
        <f>IF(AND(ISNUMBER('Funnel setup'!P116),D104&gt;=30,E104&lt;&gt;"*"),F104+1.959963985 *('Funnel setup'!$K$7/SQRT('Funnel Data'!D104)),"")</f>
        <v>0.11281212598323784</v>
      </c>
      <c r="I104" s="310">
        <f>IF(AND(ISNUMBER('Funnel setup'!P116),D104&gt;=30,E104&lt;&gt;"*"),F104-3.090232306 *('Funnel setup'!$K$7/SQRT('Funnel Data'!D104)),"")</f>
        <v>3.7682053012099044E-2</v>
      </c>
      <c r="J104" s="310">
        <f>IF(AND(ISNUMBER('Funnel setup'!P116),D104&gt;=30,E104&lt;&gt;"*"),F104+3.090232306 *('Funnel setup'!$K$7/SQRT('Funnel Data'!D104)),"")</f>
        <v>0.12962674793863158</v>
      </c>
      <c r="K104" s="311" t="str">
        <f>IF(AND(ISNUMBER('Funnel setup'!P116),D104&gt;=30,E104&lt;&gt;"*"),IF(E104&gt;J104,'Funnel setup'!$K$14&amp;"99.8%",IF(E104&gt;H104,'Funnel setup'!$K$14&amp;"95%",IF(E104&lt;I104,'Funnel setup'!$K$15&amp;"99.8%",IF(E104&lt;G104,'Funnel setup'!$K$15&amp;"95%","")))),"")</f>
        <v/>
      </c>
    </row>
    <row r="105" spans="2:11" ht="15" x14ac:dyDescent="0.2">
      <c r="B105" s="307" t="str">
        <f>IF(ISNUMBER('Funnel setup'!P117),VLOOKUP('Funnel setup'!$P117,'Provider Commission - Raw Data'!$A:$Q,5,0),"")</f>
        <v>NVC06</v>
      </c>
      <c r="C105" s="308" t="str">
        <f>IF(ISNUMBER('Funnel setup'!P117),VLOOKUP('Funnel setup'!P117,'Provider Commission - Raw Data'!$A:$Q,6,0),"")</f>
        <v>FITZWILLIAM HOSPITAL (NVC06)</v>
      </c>
      <c r="D105" s="309">
        <f>IF(ISNUMBER('Funnel setup'!P117),VLOOKUP('Funnel setup'!P117,'Provider Commission - Raw Data'!$A:$Q,8,0),"")</f>
        <v>38</v>
      </c>
      <c r="E105" s="446">
        <f>IF(ISNUMBER('Funnel setup'!P117),VLOOKUP('Funnel setup'!P117,'Provider Commission - Raw Data'!$A:$Q,16,0),"")</f>
        <v>5.1100228999999997E-2</v>
      </c>
      <c r="F105" s="310">
        <f>IF(ISNUMBER('Funnel setup'!P117),'Funnel setup'!$K$8,"")</f>
        <v>8.3654400475365306E-2</v>
      </c>
      <c r="G105" s="310">
        <f>IF(AND(ISNUMBER('Funnel setup'!P117),D105&gt;=30,E105&lt;&gt;"*"),F105-1.959963985 *('Funnel setup'!$K$7/SQRT('Funnel Data'!D105)),"")</f>
        <v>3.3151738462583021E-2</v>
      </c>
      <c r="H105" s="310">
        <f>IF(AND(ISNUMBER('Funnel setup'!P117),D105&gt;=30,E105&lt;&gt;"*"),F105+1.959963985 *('Funnel setup'!$K$7/SQRT('Funnel Data'!D105)),"")</f>
        <v>0.1341570624881476</v>
      </c>
      <c r="I105" s="310">
        <f>IF(AND(ISNUMBER('Funnel setup'!P117),D105&gt;=30,E105&lt;&gt;"*"),F105-3.090232306 *('Funnel setup'!$K$7/SQRT('Funnel Data'!D105)),"")</f>
        <v>4.0279589257779524E-3</v>
      </c>
      <c r="J105" s="310">
        <f>IF(AND(ISNUMBER('Funnel setup'!P117),D105&gt;=30,E105&lt;&gt;"*"),F105+3.090232306 *('Funnel setup'!$K$7/SQRT('Funnel Data'!D105)),"")</f>
        <v>0.16328084202495266</v>
      </c>
      <c r="K105" s="311" t="str">
        <f>IF(AND(ISNUMBER('Funnel setup'!P117),D105&gt;=30,E105&lt;&gt;"*"),IF(E105&gt;J105,'Funnel setup'!$K$14&amp;"99.8%",IF(E105&gt;H105,'Funnel setup'!$K$14&amp;"95%",IF(E105&lt;I105,'Funnel setup'!$K$15&amp;"99.8%",IF(E105&lt;G105,'Funnel setup'!$K$15&amp;"95%","")))),"")</f>
        <v/>
      </c>
    </row>
    <row r="106" spans="2:11" ht="15" x14ac:dyDescent="0.2">
      <c r="B106" s="307" t="str">
        <f>IF(ISNUMBER('Funnel setup'!P118),VLOOKUP('Funnel setup'!$P118,'Provider Commission - Raw Data'!$A:$Q,5,0),"")</f>
        <v>AHH</v>
      </c>
      <c r="C106" s="308" t="str">
        <f>IF(ISNUMBER('Funnel setup'!P118),VLOOKUP('Funnel setup'!P118,'Provider Commission - Raw Data'!$A:$Q,6,0),"")</f>
        <v>FOSCOTE COURT (BANBURY) TRUST LTD (AHH)</v>
      </c>
      <c r="D106" s="309">
        <f>IF(ISNUMBER('Funnel setup'!P118),VLOOKUP('Funnel setup'!P118,'Provider Commission - Raw Data'!$A:$Q,8,0),"")</f>
        <v>28</v>
      </c>
      <c r="E106" s="446" t="str">
        <f>IF(ISNUMBER('Funnel setup'!P118),VLOOKUP('Funnel setup'!P118,'Provider Commission - Raw Data'!$A:$Q,16,0),"")</f>
        <v>*</v>
      </c>
      <c r="F106" s="310">
        <f>IF(ISNUMBER('Funnel setup'!P118),'Funnel setup'!$K$8,"")</f>
        <v>8.3654400475365306E-2</v>
      </c>
      <c r="G106" s="310" t="str">
        <f>IF(AND(ISNUMBER('Funnel setup'!P118),D106&gt;=30,E106&lt;&gt;"*"),F106-1.959963985 *('Funnel setup'!$K$7/SQRT('Funnel Data'!D106)),"")</f>
        <v/>
      </c>
      <c r="H106" s="310" t="str">
        <f>IF(AND(ISNUMBER('Funnel setup'!P118),D106&gt;=30,E106&lt;&gt;"*"),F106+1.959963985 *('Funnel setup'!$K$7/SQRT('Funnel Data'!D106)),"")</f>
        <v/>
      </c>
      <c r="I106" s="310" t="str">
        <f>IF(AND(ISNUMBER('Funnel setup'!P118),D106&gt;=30,E106&lt;&gt;"*"),F106-3.090232306 *('Funnel setup'!$K$7/SQRT('Funnel Data'!D106)),"")</f>
        <v/>
      </c>
      <c r="J106" s="310" t="str">
        <f>IF(AND(ISNUMBER('Funnel setup'!P118),D106&gt;=30,E106&lt;&gt;"*"),F106+3.090232306 *('Funnel setup'!$K$7/SQRT('Funnel Data'!D106)),"")</f>
        <v/>
      </c>
      <c r="K106" s="311" t="str">
        <f>IF(AND(ISNUMBER('Funnel setup'!P118),D106&gt;=30,E106&lt;&gt;"*"),IF(E106&gt;J106,'Funnel setup'!$K$14&amp;"99.8%",IF(E106&gt;H106,'Funnel setup'!$K$14&amp;"95%",IF(E106&lt;I106,'Funnel setup'!$K$15&amp;"99.8%",IF(E106&lt;G106,'Funnel setup'!$K$15&amp;"95%","")))),"")</f>
        <v/>
      </c>
    </row>
    <row r="107" spans="2:11" ht="15" x14ac:dyDescent="0.2">
      <c r="B107" s="307" t="str">
        <f>IF(ISNUMBER('Funnel setup'!P119),VLOOKUP('Funnel setup'!$P119,'Provider Commission - Raw Data'!$A:$Q,5,0),"")</f>
        <v>RDU</v>
      </c>
      <c r="C107" s="308" t="str">
        <f>IF(ISNUMBER('Funnel setup'!P119),VLOOKUP('Funnel setup'!P119,'Provider Commission - Raw Data'!$A:$Q,6,0),"")</f>
        <v>FRIMLEY HEALTH NHS FOUNDATION TRUST (RDU)</v>
      </c>
      <c r="D107" s="309">
        <f>IF(ISNUMBER('Funnel setup'!P119),VLOOKUP('Funnel setup'!P119,'Provider Commission - Raw Data'!$A:$Q,8,0),"")</f>
        <v>267</v>
      </c>
      <c r="E107" s="446">
        <f>IF(ISNUMBER('Funnel setup'!P119),VLOOKUP('Funnel setup'!P119,'Provider Commission - Raw Data'!$A:$Q,16,0),"")</f>
        <v>5.6542137999999999E-2</v>
      </c>
      <c r="F107" s="310">
        <f>IF(ISNUMBER('Funnel setup'!P119),'Funnel setup'!$K$8,"")</f>
        <v>8.3654400475365306E-2</v>
      </c>
      <c r="G107" s="310">
        <f>IF(AND(ISNUMBER('Funnel setup'!P119),D107&gt;=30,E107&lt;&gt;"*"),F107-1.959963985 *('Funnel setup'!$K$7/SQRT('Funnel Data'!D107)),"")</f>
        <v>6.4601967690154527E-2</v>
      </c>
      <c r="H107" s="310">
        <f>IF(AND(ISNUMBER('Funnel setup'!P119),D107&gt;=30,E107&lt;&gt;"*"),F107+1.959963985 *('Funnel setup'!$K$7/SQRT('Funnel Data'!D107)),"")</f>
        <v>0.10270683326057609</v>
      </c>
      <c r="I107" s="310">
        <f>IF(AND(ISNUMBER('Funnel setup'!P119),D107&gt;=30,E107&lt;&gt;"*"),F107-3.090232306 *('Funnel setup'!$K$7/SQRT('Funnel Data'!D107)),"")</f>
        <v>5.3614846814509676E-2</v>
      </c>
      <c r="J107" s="310">
        <f>IF(AND(ISNUMBER('Funnel setup'!P119),D107&gt;=30,E107&lt;&gt;"*"),F107+3.090232306 *('Funnel setup'!$K$7/SQRT('Funnel Data'!D107)),"")</f>
        <v>0.11369395413622094</v>
      </c>
      <c r="K107" s="311" t="str">
        <f>IF(AND(ISNUMBER('Funnel setup'!P119),D107&gt;=30,E107&lt;&gt;"*"),IF(E107&gt;J107,'Funnel setup'!$K$14&amp;"99.8%",IF(E107&gt;H107,'Funnel setup'!$K$14&amp;"95%",IF(E107&lt;I107,'Funnel setup'!$K$15&amp;"99.8%",IF(E107&lt;G107,'Funnel setup'!$K$15&amp;"95%","")))),"")</f>
        <v>Lower 95%</v>
      </c>
    </row>
    <row r="108" spans="2:11" ht="15" x14ac:dyDescent="0.2">
      <c r="B108" s="307" t="str">
        <f>IF(ISNUMBER('Funnel setup'!P120),VLOOKUP('Funnel setup'!$P120,'Provider Commission - Raw Data'!$A:$Q,5,0),"")</f>
        <v>NVC07</v>
      </c>
      <c r="C108" s="308" t="str">
        <f>IF(ISNUMBER('Funnel setup'!P120),VLOOKUP('Funnel setup'!P120,'Provider Commission - Raw Data'!$A:$Q,6,0),"")</f>
        <v>FULWOOD HALL HOSPITAL (NVC07)</v>
      </c>
      <c r="D108" s="309">
        <f>IF(ISNUMBER('Funnel setup'!P120),VLOOKUP('Funnel setup'!P120,'Provider Commission - Raw Data'!$A:$Q,8,0),"")</f>
        <v>119</v>
      </c>
      <c r="E108" s="446">
        <f>IF(ISNUMBER('Funnel setup'!P120),VLOOKUP('Funnel setup'!P120,'Provider Commission - Raw Data'!$A:$Q,16,0),"")</f>
        <v>6.9528922000000007E-2</v>
      </c>
      <c r="F108" s="310">
        <f>IF(ISNUMBER('Funnel setup'!P120),'Funnel setup'!$K$8,"")</f>
        <v>8.3654400475365306E-2</v>
      </c>
      <c r="G108" s="310">
        <f>IF(AND(ISNUMBER('Funnel setup'!P120),D108&gt;=30,E108&lt;&gt;"*"),F108-1.959963985 *('Funnel setup'!$K$7/SQRT('Funnel Data'!D108)),"")</f>
        <v>5.5115805485666955E-2</v>
      </c>
      <c r="H108" s="310">
        <f>IF(AND(ISNUMBER('Funnel setup'!P120),D108&gt;=30,E108&lt;&gt;"*"),F108+1.959963985 *('Funnel setup'!$K$7/SQRT('Funnel Data'!D108)),"")</f>
        <v>0.11219299546506366</v>
      </c>
      <c r="I108" s="310">
        <f>IF(AND(ISNUMBER('Funnel setup'!P120),D108&gt;=30,E108&lt;&gt;"*"),F108-3.090232306 *('Funnel setup'!$K$7/SQRT('Funnel Data'!D108)),"")</f>
        <v>3.8658222545587893E-2</v>
      </c>
      <c r="J108" s="310">
        <f>IF(AND(ISNUMBER('Funnel setup'!P120),D108&gt;=30,E108&lt;&gt;"*"),F108+3.090232306 *('Funnel setup'!$K$7/SQRT('Funnel Data'!D108)),"")</f>
        <v>0.12865057840514271</v>
      </c>
      <c r="K108" s="311" t="str">
        <f>IF(AND(ISNUMBER('Funnel setup'!P120),D108&gt;=30,E108&lt;&gt;"*"),IF(E108&gt;J108,'Funnel setup'!$K$14&amp;"99.8%",IF(E108&gt;H108,'Funnel setup'!$K$14&amp;"95%",IF(E108&lt;I108,'Funnel setup'!$K$15&amp;"99.8%",IF(E108&lt;G108,'Funnel setup'!$K$15&amp;"95%","")))),"")</f>
        <v/>
      </c>
    </row>
    <row r="109" spans="2:11" ht="15" x14ac:dyDescent="0.2">
      <c r="B109" s="307" t="str">
        <f>IF(ISNUMBER('Funnel setup'!P121),VLOOKUP('Funnel setup'!$P121,'Provider Commission - Raw Data'!$A:$Q,5,0),"")</f>
        <v>RR7</v>
      </c>
      <c r="C109" s="308" t="str">
        <f>IF(ISNUMBER('Funnel setup'!P121),VLOOKUP('Funnel setup'!P121,'Provider Commission - Raw Data'!$A:$Q,6,0),"")</f>
        <v>GATESHEAD HEALTH NHS FOUNDATION TRUST (RR7)</v>
      </c>
      <c r="D109" s="309">
        <f>IF(ISNUMBER('Funnel setup'!P121),VLOOKUP('Funnel setup'!P121,'Provider Commission - Raw Data'!$A:$Q,8,0),"")</f>
        <v>142</v>
      </c>
      <c r="E109" s="446">
        <f>IF(ISNUMBER('Funnel setup'!P121),VLOOKUP('Funnel setup'!P121,'Provider Commission - Raw Data'!$A:$Q,16,0),"")</f>
        <v>8.3921820999999994E-2</v>
      </c>
      <c r="F109" s="310">
        <f>IF(ISNUMBER('Funnel setup'!P121),'Funnel setup'!$K$8,"")</f>
        <v>8.3654400475365306E-2</v>
      </c>
      <c r="G109" s="310">
        <f>IF(AND(ISNUMBER('Funnel setup'!P121),D109&gt;=30,E109&lt;&gt;"*"),F109-1.959963985 *('Funnel setup'!$K$7/SQRT('Funnel Data'!D109)),"")</f>
        <v>5.7529063753451688E-2</v>
      </c>
      <c r="H109" s="310">
        <f>IF(AND(ISNUMBER('Funnel setup'!P121),D109&gt;=30,E109&lt;&gt;"*"),F109+1.959963985 *('Funnel setup'!$K$7/SQRT('Funnel Data'!D109)),"")</f>
        <v>0.10977973719727893</v>
      </c>
      <c r="I109" s="310">
        <f>IF(AND(ISNUMBER('Funnel setup'!P121),D109&gt;=30,E109&lt;&gt;"*"),F109-3.090232306 *('Funnel setup'!$K$7/SQRT('Funnel Data'!D109)),"")</f>
        <v>4.2463154023361954E-2</v>
      </c>
      <c r="J109" s="310">
        <f>IF(AND(ISNUMBER('Funnel setup'!P121),D109&gt;=30,E109&lt;&gt;"*"),F109+3.090232306 *('Funnel setup'!$K$7/SQRT('Funnel Data'!D109)),"")</f>
        <v>0.12484564692736866</v>
      </c>
      <c r="K109" s="311" t="str">
        <f>IF(AND(ISNUMBER('Funnel setup'!P121),D109&gt;=30,E109&lt;&gt;"*"),IF(E109&gt;J109,'Funnel setup'!$K$14&amp;"99.8%",IF(E109&gt;H109,'Funnel setup'!$K$14&amp;"95%",IF(E109&lt;I109,'Funnel setup'!$K$15&amp;"99.8%",IF(E109&lt;G109,'Funnel setup'!$K$15&amp;"95%","")))),"")</f>
        <v/>
      </c>
    </row>
    <row r="110" spans="2:11" ht="15" x14ac:dyDescent="0.2">
      <c r="B110" s="307" t="str">
        <f>IF(ISNUMBER('Funnel setup'!P122),VLOOKUP('Funnel setup'!$P122,'Provider Commission - Raw Data'!$A:$Q,5,0),"")</f>
        <v>RLT</v>
      </c>
      <c r="C110" s="308" t="str">
        <f>IF(ISNUMBER('Funnel setup'!P122),VLOOKUP('Funnel setup'!P122,'Provider Commission - Raw Data'!$A:$Q,6,0),"")</f>
        <v>GEORGE ELIOT HOSPITAL NHS TRUST (RLT)</v>
      </c>
      <c r="D110" s="309">
        <f>IF(ISNUMBER('Funnel setup'!P122),VLOOKUP('Funnel setup'!P122,'Provider Commission - Raw Data'!$A:$Q,8,0),"")</f>
        <v>32</v>
      </c>
      <c r="E110" s="446">
        <f>IF(ISNUMBER('Funnel setup'!P122),VLOOKUP('Funnel setup'!P122,'Provider Commission - Raw Data'!$A:$Q,16,0),"")</f>
        <v>0.12635337499999999</v>
      </c>
      <c r="F110" s="310">
        <f>IF(ISNUMBER('Funnel setup'!P122),'Funnel setup'!$K$8,"")</f>
        <v>8.3654400475365306E-2</v>
      </c>
      <c r="G110" s="310">
        <f>IF(AND(ISNUMBER('Funnel setup'!P122),D110&gt;=30,E110&lt;&gt;"*"),F110-1.959963985 *('Funnel setup'!$K$7/SQRT('Funnel Data'!D110)),"")</f>
        <v>2.8620400451988208E-2</v>
      </c>
      <c r="H110" s="310">
        <f>IF(AND(ISNUMBER('Funnel setup'!P122),D110&gt;=30,E110&lt;&gt;"*"),F110+1.959963985 *('Funnel setup'!$K$7/SQRT('Funnel Data'!D110)),"")</f>
        <v>0.1386884004987424</v>
      </c>
      <c r="I110" s="310">
        <f>IF(AND(ISNUMBER('Funnel setup'!P122),D110&gt;=30,E110&lt;&gt;"*"),F110-3.090232306 *('Funnel setup'!$K$7/SQRT('Funnel Data'!D110)),"")</f>
        <v>-3.1165025117345646E-3</v>
      </c>
      <c r="J110" s="310">
        <f>IF(AND(ISNUMBER('Funnel setup'!P122),D110&gt;=30,E110&lt;&gt;"*"),F110+3.090232306 *('Funnel setup'!$K$7/SQRT('Funnel Data'!D110)),"")</f>
        <v>0.17042530346246518</v>
      </c>
      <c r="K110" s="311" t="str">
        <f>IF(AND(ISNUMBER('Funnel setup'!P122),D110&gt;=30,E110&lt;&gt;"*"),IF(E110&gt;J110,'Funnel setup'!$K$14&amp;"99.8%",IF(E110&gt;H110,'Funnel setup'!$K$14&amp;"95%",IF(E110&lt;I110,'Funnel setup'!$K$15&amp;"99.8%",IF(E110&lt;G110,'Funnel setup'!$K$15&amp;"95%","")))),"")</f>
        <v/>
      </c>
    </row>
    <row r="111" spans="2:11" ht="15" x14ac:dyDescent="0.2">
      <c r="B111" s="307" t="str">
        <f>IF(ISNUMBER('Funnel setup'!P123),VLOOKUP('Funnel setup'!$P123,'Provider Commission - Raw Data'!$A:$Q,5,0),"")</f>
        <v>RTE</v>
      </c>
      <c r="C111" s="308" t="str">
        <f>IF(ISNUMBER('Funnel setup'!P123),VLOOKUP('Funnel setup'!P123,'Provider Commission - Raw Data'!$A:$Q,6,0),"")</f>
        <v>GLOUCESTERSHIRE HOSPITALS NHS FOUNDATION TRUST (RTE)</v>
      </c>
      <c r="D111" s="309">
        <f>IF(ISNUMBER('Funnel setup'!P123),VLOOKUP('Funnel setup'!P123,'Provider Commission - Raw Data'!$A:$Q,8,0),"")</f>
        <v>179</v>
      </c>
      <c r="E111" s="446">
        <f>IF(ISNUMBER('Funnel setup'!P123),VLOOKUP('Funnel setup'!P123,'Provider Commission - Raw Data'!$A:$Q,16,0),"")</f>
        <v>0.10062122599999999</v>
      </c>
      <c r="F111" s="310">
        <f>IF(ISNUMBER('Funnel setup'!P123),'Funnel setup'!$K$8,"")</f>
        <v>8.3654400475365306E-2</v>
      </c>
      <c r="G111" s="310">
        <f>IF(AND(ISNUMBER('Funnel setup'!P123),D111&gt;=30,E111&lt;&gt;"*"),F111-1.959963985 *('Funnel setup'!$K$7/SQRT('Funnel Data'!D111)),"")</f>
        <v>6.0385302225192575E-2</v>
      </c>
      <c r="H111" s="310">
        <f>IF(AND(ISNUMBER('Funnel setup'!P123),D111&gt;=30,E111&lt;&gt;"*"),F111+1.959963985 *('Funnel setup'!$K$7/SQRT('Funnel Data'!D111)),"")</f>
        <v>0.10692349872553804</v>
      </c>
      <c r="I111" s="310">
        <f>IF(AND(ISNUMBER('Funnel setup'!P123),D111&gt;=30,E111&lt;&gt;"*"),F111-3.090232306 *('Funnel setup'!$K$7/SQRT('Funnel Data'!D111)),"")</f>
        <v>4.696652269062538E-2</v>
      </c>
      <c r="J111" s="310">
        <f>IF(AND(ISNUMBER('Funnel setup'!P123),D111&gt;=30,E111&lt;&gt;"*"),F111+3.090232306 *('Funnel setup'!$K$7/SQRT('Funnel Data'!D111)),"")</f>
        <v>0.12034227826010524</v>
      </c>
      <c r="K111" s="311" t="str">
        <f>IF(AND(ISNUMBER('Funnel setup'!P123),D111&gt;=30,E111&lt;&gt;"*"),IF(E111&gt;J111,'Funnel setup'!$K$14&amp;"99.8%",IF(E111&gt;H111,'Funnel setup'!$K$14&amp;"95%",IF(E111&lt;I111,'Funnel setup'!$K$15&amp;"99.8%",IF(E111&lt;G111,'Funnel setup'!$K$15&amp;"95%","")))),"")</f>
        <v/>
      </c>
    </row>
    <row r="112" spans="2:11" ht="15" x14ac:dyDescent="0.2">
      <c r="B112" s="307" t="str">
        <f>IF(ISNUMBER('Funnel setup'!P124),VLOOKUP('Funnel setup'!$P124,'Provider Commission - Raw Data'!$A:$Q,5,0),"")</f>
        <v>RN3</v>
      </c>
      <c r="C112" s="308" t="str">
        <f>IF(ISNUMBER('Funnel setup'!P124),VLOOKUP('Funnel setup'!P124,'Provider Commission - Raw Data'!$A:$Q,6,0),"")</f>
        <v>GREAT WESTERN HOSPITALS NHS FOUNDATION TRUST (RN3)</v>
      </c>
      <c r="D112" s="309">
        <f>IF(ISNUMBER('Funnel setup'!P124),VLOOKUP('Funnel setup'!P124,'Provider Commission - Raw Data'!$A:$Q,8,0),"")</f>
        <v>64</v>
      </c>
      <c r="E112" s="446">
        <f>IF(ISNUMBER('Funnel setup'!P124),VLOOKUP('Funnel setup'!P124,'Provider Commission - Raw Data'!$A:$Q,16,0),"")</f>
        <v>7.1385926000000002E-2</v>
      </c>
      <c r="F112" s="310">
        <f>IF(ISNUMBER('Funnel setup'!P124),'Funnel setup'!$K$8,"")</f>
        <v>8.3654400475365306E-2</v>
      </c>
      <c r="G112" s="310">
        <f>IF(AND(ISNUMBER('Funnel setup'!P124),D112&gt;=30,E112&lt;&gt;"*"),F112-1.959963985 *('Funnel setup'!$K$7/SQRT('Funnel Data'!D112)),"")</f>
        <v>4.4739485863014739E-2</v>
      </c>
      <c r="H112" s="310">
        <f>IF(AND(ISNUMBER('Funnel setup'!P124),D112&gt;=30,E112&lt;&gt;"*"),F112+1.959963985 *('Funnel setup'!$K$7/SQRT('Funnel Data'!D112)),"")</f>
        <v>0.12256931508771587</v>
      </c>
      <c r="I112" s="310">
        <f>IF(AND(ISNUMBER('Funnel setup'!P124),D112&gt;=30,E112&lt;&gt;"*"),F112-3.090232306 *('Funnel setup'!$K$7/SQRT('Funnel Data'!D112)),"")</f>
        <v>2.2298106563506927E-2</v>
      </c>
      <c r="J112" s="310">
        <f>IF(AND(ISNUMBER('Funnel setup'!P124),D112&gt;=30,E112&lt;&gt;"*"),F112+3.090232306 *('Funnel setup'!$K$7/SQRT('Funnel Data'!D112)),"")</f>
        <v>0.14501069438722369</v>
      </c>
      <c r="K112" s="311" t="str">
        <f>IF(AND(ISNUMBER('Funnel setup'!P124),D112&gt;=30,E112&lt;&gt;"*"),IF(E112&gt;J112,'Funnel setup'!$K$14&amp;"99.8%",IF(E112&gt;H112,'Funnel setup'!$K$14&amp;"95%",IF(E112&lt;I112,'Funnel setup'!$K$15&amp;"99.8%",IF(E112&lt;G112,'Funnel setup'!$K$15&amp;"95%","")))),"")</f>
        <v/>
      </c>
    </row>
    <row r="113" spans="2:11" ht="15" x14ac:dyDescent="0.2">
      <c r="B113" s="307" t="str">
        <f>IF(ISNUMBER('Funnel setup'!P125),VLOOKUP('Funnel setup'!$P125,'Provider Commission - Raw Data'!$A:$Q,5,0),"")</f>
        <v>RJ1</v>
      </c>
      <c r="C113" s="308" t="str">
        <f>IF(ISNUMBER('Funnel setup'!P125),VLOOKUP('Funnel setup'!P125,'Provider Commission - Raw Data'!$A:$Q,6,0),"")</f>
        <v>GUY'S AND ST THOMAS' NHS FOUNDATION TRUST (RJ1)</v>
      </c>
      <c r="D113" s="309">
        <f>IF(ISNUMBER('Funnel setup'!P125),VLOOKUP('Funnel setup'!P125,'Provider Commission - Raw Data'!$A:$Q,8,0),"")</f>
        <v>12</v>
      </c>
      <c r="E113" s="446" t="str">
        <f>IF(ISNUMBER('Funnel setup'!P125),VLOOKUP('Funnel setup'!P125,'Provider Commission - Raw Data'!$A:$Q,16,0),"")</f>
        <v>*</v>
      </c>
      <c r="F113" s="310">
        <f>IF(ISNUMBER('Funnel setup'!P125),'Funnel setup'!$K$8,"")</f>
        <v>8.3654400475365306E-2</v>
      </c>
      <c r="G113" s="310" t="str">
        <f>IF(AND(ISNUMBER('Funnel setup'!P125),D113&gt;=30,E113&lt;&gt;"*"),F113-1.959963985 *('Funnel setup'!$K$7/SQRT('Funnel Data'!D113)),"")</f>
        <v/>
      </c>
      <c r="H113" s="310" t="str">
        <f>IF(AND(ISNUMBER('Funnel setup'!P125),D113&gt;=30,E113&lt;&gt;"*"),F113+1.959963985 *('Funnel setup'!$K$7/SQRT('Funnel Data'!D113)),"")</f>
        <v/>
      </c>
      <c r="I113" s="310" t="str">
        <f>IF(AND(ISNUMBER('Funnel setup'!P125),D113&gt;=30,E113&lt;&gt;"*"),F113-3.090232306 *('Funnel setup'!$K$7/SQRT('Funnel Data'!D113)),"")</f>
        <v/>
      </c>
      <c r="J113" s="310" t="str">
        <f>IF(AND(ISNUMBER('Funnel setup'!P125),D113&gt;=30,E113&lt;&gt;"*"),F113+3.090232306 *('Funnel setup'!$K$7/SQRT('Funnel Data'!D113)),"")</f>
        <v/>
      </c>
      <c r="K113" s="311" t="str">
        <f>IF(AND(ISNUMBER('Funnel setup'!P125),D113&gt;=30,E113&lt;&gt;"*"),IF(E113&gt;J113,'Funnel setup'!$K$14&amp;"99.8%",IF(E113&gt;H113,'Funnel setup'!$K$14&amp;"95%",IF(E113&lt;I113,'Funnel setup'!$K$15&amp;"99.8%",IF(E113&lt;G113,'Funnel setup'!$K$15&amp;"95%","")))),"")</f>
        <v/>
      </c>
    </row>
    <row r="114" spans="2:11" ht="15" x14ac:dyDescent="0.2">
      <c r="B114" s="307" t="str">
        <f>IF(ISNUMBER('Funnel setup'!P126),VLOOKUP('Funnel setup'!$P126,'Provider Commission - Raw Data'!$A:$Q,5,0),"")</f>
        <v>RN5</v>
      </c>
      <c r="C114" s="308" t="str">
        <f>IF(ISNUMBER('Funnel setup'!P126),VLOOKUP('Funnel setup'!P126,'Provider Commission - Raw Data'!$A:$Q,6,0),"")</f>
        <v>HAMPSHIRE HOSPITALS NHS FOUNDATION TRUST (RN5)</v>
      </c>
      <c r="D114" s="309">
        <f>IF(ISNUMBER('Funnel setup'!P126),VLOOKUP('Funnel setup'!P126,'Provider Commission - Raw Data'!$A:$Q,8,0),"")</f>
        <v>96</v>
      </c>
      <c r="E114" s="446">
        <f>IF(ISNUMBER('Funnel setup'!P126),VLOOKUP('Funnel setup'!P126,'Provider Commission - Raw Data'!$A:$Q,16,0),"")</f>
        <v>0.106128031</v>
      </c>
      <c r="F114" s="310">
        <f>IF(ISNUMBER('Funnel setup'!P126),'Funnel setup'!$K$8,"")</f>
        <v>8.3654400475365306E-2</v>
      </c>
      <c r="G114" s="310">
        <f>IF(AND(ISNUMBER('Funnel setup'!P126),D114&gt;=30,E114&lt;&gt;"*"),F114-1.959963985 *('Funnel setup'!$K$7/SQRT('Funnel Data'!D114)),"")</f>
        <v>5.1880505747286663E-2</v>
      </c>
      <c r="H114" s="310">
        <f>IF(AND(ISNUMBER('Funnel setup'!P126),D114&gt;=30,E114&lt;&gt;"*"),F114+1.959963985 *('Funnel setup'!$K$7/SQRT('Funnel Data'!D114)),"")</f>
        <v>0.11542829520344394</v>
      </c>
      <c r="I114" s="310">
        <f>IF(AND(ISNUMBER('Funnel setup'!P126),D114&gt;=30,E114&lt;&gt;"*"),F114-3.090232306 *('Funnel setup'!$K$7/SQRT('Funnel Data'!D114)),"")</f>
        <v>3.355719627793629E-2</v>
      </c>
      <c r="J114" s="310">
        <f>IF(AND(ISNUMBER('Funnel setup'!P126),D114&gt;=30,E114&lt;&gt;"*"),F114+3.090232306 *('Funnel setup'!$K$7/SQRT('Funnel Data'!D114)),"")</f>
        <v>0.13375160467279432</v>
      </c>
      <c r="K114" s="311" t="str">
        <f>IF(AND(ISNUMBER('Funnel setup'!P126),D114&gt;=30,E114&lt;&gt;"*"),IF(E114&gt;J114,'Funnel setup'!$K$14&amp;"99.8%",IF(E114&gt;H114,'Funnel setup'!$K$14&amp;"95%",IF(E114&lt;I114,'Funnel setup'!$K$15&amp;"99.8%",IF(E114&lt;G114,'Funnel setup'!$K$15&amp;"95%","")))),"")</f>
        <v/>
      </c>
    </row>
    <row r="115" spans="2:11" ht="15" x14ac:dyDescent="0.2">
      <c r="B115" s="307" t="str">
        <f>IF(ISNUMBER('Funnel setup'!P127),VLOOKUP('Funnel setup'!$P127,'Provider Commission - Raw Data'!$A:$Q,5,0),"")</f>
        <v>RCD</v>
      </c>
      <c r="C115" s="308" t="str">
        <f>IF(ISNUMBER('Funnel setup'!P127),VLOOKUP('Funnel setup'!P127,'Provider Commission - Raw Data'!$A:$Q,6,0),"")</f>
        <v>HARROGATE AND DISTRICT NHS FOUNDATION TRUST (RCD)</v>
      </c>
      <c r="D115" s="309">
        <f>IF(ISNUMBER('Funnel setup'!P127),VLOOKUP('Funnel setup'!P127,'Provider Commission - Raw Data'!$A:$Q,8,0),"")</f>
        <v>183</v>
      </c>
      <c r="E115" s="446">
        <f>IF(ISNUMBER('Funnel setup'!P127),VLOOKUP('Funnel setup'!P127,'Provider Commission - Raw Data'!$A:$Q,16,0),"")</f>
        <v>7.6433062999999996E-2</v>
      </c>
      <c r="F115" s="310">
        <f>IF(ISNUMBER('Funnel setup'!P127),'Funnel setup'!$K$8,"")</f>
        <v>8.3654400475365306E-2</v>
      </c>
      <c r="G115" s="310">
        <f>IF(AND(ISNUMBER('Funnel setup'!P127),D115&gt;=30,E115&lt;&gt;"*"),F115-1.959963985 *('Funnel setup'!$K$7/SQRT('Funnel Data'!D115)),"")</f>
        <v>6.064101436430093E-2</v>
      </c>
      <c r="H115" s="310">
        <f>IF(AND(ISNUMBER('Funnel setup'!P127),D115&gt;=30,E115&lt;&gt;"*"),F115+1.959963985 *('Funnel setup'!$K$7/SQRT('Funnel Data'!D115)),"")</f>
        <v>0.10666778658642968</v>
      </c>
      <c r="I115" s="310">
        <f>IF(AND(ISNUMBER('Funnel setup'!P127),D115&gt;=30,E115&lt;&gt;"*"),F115-3.090232306 *('Funnel setup'!$K$7/SQRT('Funnel Data'!D115)),"")</f>
        <v>4.736969842209629E-2</v>
      </c>
      <c r="J115" s="310">
        <f>IF(AND(ISNUMBER('Funnel setup'!P127),D115&gt;=30,E115&lt;&gt;"*"),F115+3.090232306 *('Funnel setup'!$K$7/SQRT('Funnel Data'!D115)),"")</f>
        <v>0.11993910252863432</v>
      </c>
      <c r="K115" s="311" t="str">
        <f>IF(AND(ISNUMBER('Funnel setup'!P127),D115&gt;=30,E115&lt;&gt;"*"),IF(E115&gt;J115,'Funnel setup'!$K$14&amp;"99.8%",IF(E115&gt;H115,'Funnel setup'!$K$14&amp;"95%",IF(E115&lt;I115,'Funnel setup'!$K$15&amp;"99.8%",IF(E115&lt;G115,'Funnel setup'!$K$15&amp;"95%","")))),"")</f>
        <v/>
      </c>
    </row>
    <row r="116" spans="2:11" ht="15" x14ac:dyDescent="0.2">
      <c r="B116" s="307" t="str">
        <f>IF(ISNUMBER('Funnel setup'!P128),VLOOKUP('Funnel setup'!$P128,'Provider Commission - Raw Data'!$A:$Q,5,0),"")</f>
        <v>NXP04</v>
      </c>
      <c r="C116" s="308" t="str">
        <f>IF(ISNUMBER('Funnel setup'!P128),VLOOKUP('Funnel setup'!P128,'Provider Commission - Raw Data'!$A:$Q,6,0),"")</f>
        <v>HATHAWAY MEDICAL CENTRE (NXP04)</v>
      </c>
      <c r="D116" s="309">
        <f>IF(ISNUMBER('Funnel setup'!P128),VLOOKUP('Funnel setup'!P128,'Provider Commission - Raw Data'!$A:$Q,8,0),"")</f>
        <v>15</v>
      </c>
      <c r="E116" s="446" t="str">
        <f>IF(ISNUMBER('Funnel setup'!P128),VLOOKUP('Funnel setup'!P128,'Provider Commission - Raw Data'!$A:$Q,16,0),"")</f>
        <v>*</v>
      </c>
      <c r="F116" s="310">
        <f>IF(ISNUMBER('Funnel setup'!P128),'Funnel setup'!$K$8,"")</f>
        <v>8.3654400475365306E-2</v>
      </c>
      <c r="G116" s="310" t="str">
        <f>IF(AND(ISNUMBER('Funnel setup'!P128),D116&gt;=30,E116&lt;&gt;"*"),F116-1.959963985 *('Funnel setup'!$K$7/SQRT('Funnel Data'!D116)),"")</f>
        <v/>
      </c>
      <c r="H116" s="310" t="str">
        <f>IF(AND(ISNUMBER('Funnel setup'!P128),D116&gt;=30,E116&lt;&gt;"*"),F116+1.959963985 *('Funnel setup'!$K$7/SQRT('Funnel Data'!D116)),"")</f>
        <v/>
      </c>
      <c r="I116" s="310" t="str">
        <f>IF(AND(ISNUMBER('Funnel setup'!P128),D116&gt;=30,E116&lt;&gt;"*"),F116-3.090232306 *('Funnel setup'!$K$7/SQRT('Funnel Data'!D116)),"")</f>
        <v/>
      </c>
      <c r="J116" s="310" t="str">
        <f>IF(AND(ISNUMBER('Funnel setup'!P128),D116&gt;=30,E116&lt;&gt;"*"),F116+3.090232306 *('Funnel setup'!$K$7/SQRT('Funnel Data'!D116)),"")</f>
        <v/>
      </c>
      <c r="K116" s="311" t="str">
        <f>IF(AND(ISNUMBER('Funnel setup'!P128),D116&gt;=30,E116&lt;&gt;"*"),IF(E116&gt;J116,'Funnel setup'!$K$14&amp;"99.8%",IF(E116&gt;H116,'Funnel setup'!$K$14&amp;"95%",IF(E116&lt;I116,'Funnel setup'!$K$15&amp;"99.8%",IF(E116&lt;G116,'Funnel setup'!$K$15&amp;"95%","")))),"")</f>
        <v/>
      </c>
    </row>
    <row r="117" spans="2:11" ht="15" x14ac:dyDescent="0.2">
      <c r="B117" s="307" t="str">
        <f>IF(ISNUMBER('Funnel setup'!P129),VLOOKUP('Funnel setup'!$P129,'Provider Commission - Raw Data'!$A:$Q,5,0),"")</f>
        <v>RR1</v>
      </c>
      <c r="C117" s="308" t="str">
        <f>IF(ISNUMBER('Funnel setup'!P129),VLOOKUP('Funnel setup'!P129,'Provider Commission - Raw Data'!$A:$Q,6,0),"")</f>
        <v>HEART OF ENGLAND NHS FOUNDATION TRUST (RR1)</v>
      </c>
      <c r="D117" s="309">
        <f>IF(ISNUMBER('Funnel setup'!P129),VLOOKUP('Funnel setup'!P129,'Provider Commission - Raw Data'!$A:$Q,8,0),"")</f>
        <v>329</v>
      </c>
      <c r="E117" s="446">
        <f>IF(ISNUMBER('Funnel setup'!P129),VLOOKUP('Funnel setup'!P129,'Provider Commission - Raw Data'!$A:$Q,16,0),"")</f>
        <v>9.3615085000000001E-2</v>
      </c>
      <c r="F117" s="310">
        <f>IF(ISNUMBER('Funnel setup'!P129),'Funnel setup'!$K$8,"")</f>
        <v>8.3654400475365306E-2</v>
      </c>
      <c r="G117" s="310">
        <f>IF(AND(ISNUMBER('Funnel setup'!P129),D117&gt;=30,E117&lt;&gt;"*"),F117-1.959963985 *('Funnel setup'!$K$7/SQRT('Funnel Data'!D117)),"")</f>
        <v>6.6490810941206763E-2</v>
      </c>
      <c r="H117" s="310">
        <f>IF(AND(ISNUMBER('Funnel setup'!P129),D117&gt;=30,E117&lt;&gt;"*"),F117+1.959963985 *('Funnel setup'!$K$7/SQRT('Funnel Data'!D117)),"")</f>
        <v>0.10081799000952385</v>
      </c>
      <c r="I117" s="310">
        <f>IF(AND(ISNUMBER('Funnel setup'!P129),D117&gt;=30,E117&lt;&gt;"*"),F117-3.090232306 *('Funnel setup'!$K$7/SQRT('Funnel Data'!D117)),"")</f>
        <v>5.6592944616328064E-2</v>
      </c>
      <c r="J117" s="310">
        <f>IF(AND(ISNUMBER('Funnel setup'!P129),D117&gt;=30,E117&lt;&gt;"*"),F117+3.090232306 *('Funnel setup'!$K$7/SQRT('Funnel Data'!D117)),"")</f>
        <v>0.11071585633440255</v>
      </c>
      <c r="K117" s="311" t="str">
        <f>IF(AND(ISNUMBER('Funnel setup'!P129),D117&gt;=30,E117&lt;&gt;"*"),IF(E117&gt;J117,'Funnel setup'!$K$14&amp;"99.8%",IF(E117&gt;H117,'Funnel setup'!$K$14&amp;"95%",IF(E117&lt;I117,'Funnel setup'!$K$15&amp;"99.8%",IF(E117&lt;G117,'Funnel setup'!$K$15&amp;"95%","")))),"")</f>
        <v/>
      </c>
    </row>
    <row r="118" spans="2:11" ht="15" x14ac:dyDescent="0.2">
      <c r="B118" s="307" t="str">
        <f>IF(ISNUMBER('Funnel setup'!P130),VLOOKUP('Funnel setup'!$P130,'Provider Commission - Raw Data'!$A:$Q,5,0),"")</f>
        <v>RQQ</v>
      </c>
      <c r="C118" s="308" t="str">
        <f>IF(ISNUMBER('Funnel setup'!P130),VLOOKUP('Funnel setup'!P130,'Provider Commission - Raw Data'!$A:$Q,6,0),"")</f>
        <v>HINCHINGBROOKE HEALTH CARE NHS TRUST (RQQ)</v>
      </c>
      <c r="D118" s="309">
        <f>IF(ISNUMBER('Funnel setup'!P130),VLOOKUP('Funnel setup'!P130,'Provider Commission - Raw Data'!$A:$Q,8,0),"")</f>
        <v>89</v>
      </c>
      <c r="E118" s="446">
        <f>IF(ISNUMBER('Funnel setup'!P130),VLOOKUP('Funnel setup'!P130,'Provider Commission - Raw Data'!$A:$Q,16,0),"")</f>
        <v>0.113835114</v>
      </c>
      <c r="F118" s="310">
        <f>IF(ISNUMBER('Funnel setup'!P130),'Funnel setup'!$K$8,"")</f>
        <v>8.3654400475365306E-2</v>
      </c>
      <c r="G118" s="310">
        <f>IF(AND(ISNUMBER('Funnel setup'!P130),D118&gt;=30,E118&lt;&gt;"*"),F118-1.959963985 *('Funnel setup'!$K$7/SQRT('Funnel Data'!D118)),"")</f>
        <v>5.0654618883589207E-2</v>
      </c>
      <c r="H118" s="310">
        <f>IF(AND(ISNUMBER('Funnel setup'!P130),D118&gt;=30,E118&lt;&gt;"*"),F118+1.959963985 *('Funnel setup'!$K$7/SQRT('Funnel Data'!D118)),"")</f>
        <v>0.1166541820671414</v>
      </c>
      <c r="I118" s="310">
        <f>IF(AND(ISNUMBER('Funnel setup'!P130),D118&gt;=30,E118&lt;&gt;"*"),F118-3.090232306 *('Funnel setup'!$K$7/SQRT('Funnel Data'!D118)),"")</f>
        <v>3.1624367298071693E-2</v>
      </c>
      <c r="J118" s="310">
        <f>IF(AND(ISNUMBER('Funnel setup'!P130),D118&gt;=30,E118&lt;&gt;"*"),F118+3.090232306 *('Funnel setup'!$K$7/SQRT('Funnel Data'!D118)),"")</f>
        <v>0.13568443365265892</v>
      </c>
      <c r="K118" s="311" t="str">
        <f>IF(AND(ISNUMBER('Funnel setup'!P130),D118&gt;=30,E118&lt;&gt;"*"),IF(E118&gt;J118,'Funnel setup'!$K$14&amp;"99.8%",IF(E118&gt;H118,'Funnel setup'!$K$14&amp;"95%",IF(E118&lt;I118,'Funnel setup'!$K$15&amp;"99.8%",IF(E118&lt;G118,'Funnel setup'!$K$15&amp;"95%","")))),"")</f>
        <v/>
      </c>
    </row>
    <row r="119" spans="2:11" ht="15" x14ac:dyDescent="0.2">
      <c r="B119" s="307" t="str">
        <f>IF(ISNUMBER('Funnel setup'!P131),VLOOKUP('Funnel setup'!$P131,'Provider Commission - Raw Data'!$A:$Q,5,0),"")</f>
        <v>RQX</v>
      </c>
      <c r="C119" s="308" t="str">
        <f>IF(ISNUMBER('Funnel setup'!P131),VLOOKUP('Funnel setup'!P131,'Provider Commission - Raw Data'!$A:$Q,6,0),"")</f>
        <v>HOMERTON UNIVERSITY HOSPITAL NHS FOUNDATION TRUST (RQX)</v>
      </c>
      <c r="D119" s="309">
        <f>IF(ISNUMBER('Funnel setup'!P131),VLOOKUP('Funnel setup'!P131,'Provider Commission - Raw Data'!$A:$Q,8,0),"")</f>
        <v>29</v>
      </c>
      <c r="E119" s="446" t="str">
        <f>IF(ISNUMBER('Funnel setup'!P131),VLOOKUP('Funnel setup'!P131,'Provider Commission - Raw Data'!$A:$Q,16,0),"")</f>
        <v>*</v>
      </c>
      <c r="F119" s="310">
        <f>IF(ISNUMBER('Funnel setup'!P131),'Funnel setup'!$K$8,"")</f>
        <v>8.3654400475365306E-2</v>
      </c>
      <c r="G119" s="310" t="str">
        <f>IF(AND(ISNUMBER('Funnel setup'!P131),D119&gt;=30,E119&lt;&gt;"*"),F119-1.959963985 *('Funnel setup'!$K$7/SQRT('Funnel Data'!D119)),"")</f>
        <v/>
      </c>
      <c r="H119" s="310" t="str">
        <f>IF(AND(ISNUMBER('Funnel setup'!P131),D119&gt;=30,E119&lt;&gt;"*"),F119+1.959963985 *('Funnel setup'!$K$7/SQRT('Funnel Data'!D119)),"")</f>
        <v/>
      </c>
      <c r="I119" s="310" t="str">
        <f>IF(AND(ISNUMBER('Funnel setup'!P131),D119&gt;=30,E119&lt;&gt;"*"),F119-3.090232306 *('Funnel setup'!$K$7/SQRT('Funnel Data'!D119)),"")</f>
        <v/>
      </c>
      <c r="J119" s="310" t="str">
        <f>IF(AND(ISNUMBER('Funnel setup'!P131),D119&gt;=30,E119&lt;&gt;"*"),F119+3.090232306 *('Funnel setup'!$K$7/SQRT('Funnel Data'!D119)),"")</f>
        <v/>
      </c>
      <c r="K119" s="311" t="str">
        <f>IF(AND(ISNUMBER('Funnel setup'!P131),D119&gt;=30,E119&lt;&gt;"*"),IF(E119&gt;J119,'Funnel setup'!$K$14&amp;"99.8%",IF(E119&gt;H119,'Funnel setup'!$K$14&amp;"95%",IF(E119&lt;I119,'Funnel setup'!$K$15&amp;"99.8%",IF(E119&lt;G119,'Funnel setup'!$K$15&amp;"95%","")))),"")</f>
        <v/>
      </c>
    </row>
    <row r="120" spans="2:11" ht="15" x14ac:dyDescent="0.2">
      <c r="B120" s="307" t="str">
        <f>IF(ISNUMBER('Funnel setup'!P132),VLOOKUP('Funnel setup'!$P132,'Provider Commission - Raw Data'!$A:$Q,5,0),"")</f>
        <v>RWA</v>
      </c>
      <c r="C120" s="308" t="str">
        <f>IF(ISNUMBER('Funnel setup'!P132),VLOOKUP('Funnel setup'!P132,'Provider Commission - Raw Data'!$A:$Q,6,0),"")</f>
        <v>HULL AND EAST YORKSHIRE HOSPITALS NHS TRUST (RWA)</v>
      </c>
      <c r="D120" s="309">
        <f>IF(ISNUMBER('Funnel setup'!P132),VLOOKUP('Funnel setup'!P132,'Provider Commission - Raw Data'!$A:$Q,8,0),"")</f>
        <v>278</v>
      </c>
      <c r="E120" s="446">
        <f>IF(ISNUMBER('Funnel setup'!P132),VLOOKUP('Funnel setup'!P132,'Provider Commission - Raw Data'!$A:$Q,16,0),"")</f>
        <v>0.100149804</v>
      </c>
      <c r="F120" s="310">
        <f>IF(ISNUMBER('Funnel setup'!P132),'Funnel setup'!$K$8,"")</f>
        <v>8.3654400475365306E-2</v>
      </c>
      <c r="G120" s="310">
        <f>IF(AND(ISNUMBER('Funnel setup'!P132),D120&gt;=30,E120&lt;&gt;"*"),F120-1.959963985 *('Funnel setup'!$K$7/SQRT('Funnel Data'!D120)),"")</f>
        <v>6.4982708645031015E-2</v>
      </c>
      <c r="H120" s="310">
        <f>IF(AND(ISNUMBER('Funnel setup'!P132),D120&gt;=30,E120&lt;&gt;"*"),F120+1.959963985 *('Funnel setup'!$K$7/SQRT('Funnel Data'!D120)),"")</f>
        <v>0.1023260923056996</v>
      </c>
      <c r="I120" s="310">
        <f>IF(AND(ISNUMBER('Funnel setup'!P132),D120&gt;=30,E120&lt;&gt;"*"),F120-3.090232306 *('Funnel setup'!$K$7/SQRT('Funnel Data'!D120)),"")</f>
        <v>5.4215152742568169E-2</v>
      </c>
      <c r="J120" s="310">
        <f>IF(AND(ISNUMBER('Funnel setup'!P132),D120&gt;=30,E120&lt;&gt;"*"),F120+3.090232306 *('Funnel setup'!$K$7/SQRT('Funnel Data'!D120)),"")</f>
        <v>0.11309364820816245</v>
      </c>
      <c r="K120" s="311" t="str">
        <f>IF(AND(ISNUMBER('Funnel setup'!P132),D120&gt;=30,E120&lt;&gt;"*"),IF(E120&gt;J120,'Funnel setup'!$K$14&amp;"99.8%",IF(E120&gt;H120,'Funnel setup'!$K$14&amp;"95%",IF(E120&lt;I120,'Funnel setup'!$K$15&amp;"99.8%",IF(E120&lt;G120,'Funnel setup'!$K$15&amp;"95%","")))),"")</f>
        <v/>
      </c>
    </row>
    <row r="121" spans="2:11" ht="15" x14ac:dyDescent="0.2">
      <c r="B121" s="307" t="str">
        <f>IF(ISNUMBER('Funnel setup'!P133),VLOOKUP('Funnel setup'!$P133,'Provider Commission - Raw Data'!$A:$Q,5,0),"")</f>
        <v>RGQ</v>
      </c>
      <c r="C121" s="308" t="str">
        <f>IF(ISNUMBER('Funnel setup'!P133),VLOOKUP('Funnel setup'!P133,'Provider Commission - Raw Data'!$A:$Q,6,0),"")</f>
        <v>IPSWICH HOSPITAL NHS TRUST (RGQ)</v>
      </c>
      <c r="D121" s="309">
        <f>IF(ISNUMBER('Funnel setup'!P133),VLOOKUP('Funnel setup'!P133,'Provider Commission - Raw Data'!$A:$Q,8,0),"")</f>
        <v>193</v>
      </c>
      <c r="E121" s="446">
        <f>IF(ISNUMBER('Funnel setup'!P133),VLOOKUP('Funnel setup'!P133,'Provider Commission - Raw Data'!$A:$Q,16,0),"")</f>
        <v>8.1525332000000006E-2</v>
      </c>
      <c r="F121" s="310">
        <f>IF(ISNUMBER('Funnel setup'!P133),'Funnel setup'!$K$8,"")</f>
        <v>8.3654400475365306E-2</v>
      </c>
      <c r="G121" s="310">
        <f>IF(AND(ISNUMBER('Funnel setup'!P133),D121&gt;=30,E121&lt;&gt;"*"),F121-1.959963985 *('Funnel setup'!$K$7/SQRT('Funnel Data'!D121)),"")</f>
        <v>6.1245145693756935E-2</v>
      </c>
      <c r="H121" s="310">
        <f>IF(AND(ISNUMBER('Funnel setup'!P133),D121&gt;=30,E121&lt;&gt;"*"),F121+1.959963985 *('Funnel setup'!$K$7/SQRT('Funnel Data'!D121)),"")</f>
        <v>0.10606365525697367</v>
      </c>
      <c r="I121" s="310">
        <f>IF(AND(ISNUMBER('Funnel setup'!P133),D121&gt;=30,E121&lt;&gt;"*"),F121-3.090232306 *('Funnel setup'!$K$7/SQRT('Funnel Data'!D121)),"")</f>
        <v>4.8322219063107789E-2</v>
      </c>
      <c r="J121" s="310">
        <f>IF(AND(ISNUMBER('Funnel setup'!P133),D121&gt;=30,E121&lt;&gt;"*"),F121+3.090232306 *('Funnel setup'!$K$7/SQRT('Funnel Data'!D121)),"")</f>
        <v>0.11898658188762282</v>
      </c>
      <c r="K121" s="311" t="str">
        <f>IF(AND(ISNUMBER('Funnel setup'!P133),D121&gt;=30,E121&lt;&gt;"*"),IF(E121&gt;J121,'Funnel setup'!$K$14&amp;"99.8%",IF(E121&gt;H121,'Funnel setup'!$K$14&amp;"95%",IF(E121&lt;I121,'Funnel setup'!$K$15&amp;"99.8%",IF(E121&lt;G121,'Funnel setup'!$K$15&amp;"95%","")))),"")</f>
        <v/>
      </c>
    </row>
    <row r="122" spans="2:11" ht="15" x14ac:dyDescent="0.2">
      <c r="B122" s="307" t="str">
        <f>IF(ISNUMBER('Funnel setup'!P134),VLOOKUP('Funnel setup'!$P134,'Provider Commission - Raw Data'!$A:$Q,5,0),"")</f>
        <v>R1F</v>
      </c>
      <c r="C122" s="308" t="str">
        <f>IF(ISNUMBER('Funnel setup'!P134),VLOOKUP('Funnel setup'!P134,'Provider Commission - Raw Data'!$A:$Q,6,0),"")</f>
        <v>ISLE OF WIGHT NHS TRUST (R1F)</v>
      </c>
      <c r="D122" s="309">
        <f>IF(ISNUMBER('Funnel setup'!P134),VLOOKUP('Funnel setup'!P134,'Provider Commission - Raw Data'!$A:$Q,8,0),"")</f>
        <v>45</v>
      </c>
      <c r="E122" s="446">
        <f>IF(ISNUMBER('Funnel setup'!P134),VLOOKUP('Funnel setup'!P134,'Provider Commission - Raw Data'!$A:$Q,16,0),"")</f>
        <v>0.11733144099999999</v>
      </c>
      <c r="F122" s="310">
        <f>IF(ISNUMBER('Funnel setup'!P134),'Funnel setup'!$K$8,"")</f>
        <v>8.3654400475365306E-2</v>
      </c>
      <c r="G122" s="310">
        <f>IF(AND(ISNUMBER('Funnel setup'!P134),D122&gt;=30,E122&lt;&gt;"*"),F122-1.959963985 *('Funnel setup'!$K$7/SQRT('Funnel Data'!D122)),"")</f>
        <v>3.724565678906358E-2</v>
      </c>
      <c r="H122" s="310">
        <f>IF(AND(ISNUMBER('Funnel setup'!P134),D122&gt;=30,E122&lt;&gt;"*"),F122+1.959963985 *('Funnel setup'!$K$7/SQRT('Funnel Data'!D122)),"")</f>
        <v>0.13006314416166703</v>
      </c>
      <c r="I122" s="310">
        <f>IF(AND(ISNUMBER('Funnel setup'!P134),D122&gt;=30,E122&lt;&gt;"*"),F122-3.090232306 *('Funnel setup'!$K$7/SQRT('Funnel Data'!D122)),"")</f>
        <v>1.0482750323700343E-2</v>
      </c>
      <c r="J122" s="310">
        <f>IF(AND(ISNUMBER('Funnel setup'!P134),D122&gt;=30,E122&lt;&gt;"*"),F122+3.090232306 *('Funnel setup'!$K$7/SQRT('Funnel Data'!D122)),"")</f>
        <v>0.15682605062703026</v>
      </c>
      <c r="K122" s="311" t="str">
        <f>IF(AND(ISNUMBER('Funnel setup'!P134),D122&gt;=30,E122&lt;&gt;"*"),IF(E122&gt;J122,'Funnel setup'!$K$14&amp;"99.8%",IF(E122&gt;H122,'Funnel setup'!$K$14&amp;"95%",IF(E122&lt;I122,'Funnel setup'!$K$15&amp;"99.8%",IF(E122&lt;G122,'Funnel setup'!$K$15&amp;"95%","")))),"")</f>
        <v/>
      </c>
    </row>
    <row r="123" spans="2:11" ht="30" x14ac:dyDescent="0.2">
      <c r="B123" s="307" t="str">
        <f>IF(ISNUMBER('Funnel setup'!P135),VLOOKUP('Funnel setup'!$P135,'Provider Commission - Raw Data'!$A:$Q,5,0),"")</f>
        <v>RGP</v>
      </c>
      <c r="C123" s="308" t="str">
        <f>IF(ISNUMBER('Funnel setup'!P135),VLOOKUP('Funnel setup'!P135,'Provider Commission - Raw Data'!$A:$Q,6,0),"")</f>
        <v>JAMES PAGET UNIVERSITY HOSPITALS NHS FOUNDATION TRUST (RGP)</v>
      </c>
      <c r="D123" s="309">
        <f>IF(ISNUMBER('Funnel setup'!P135),VLOOKUP('Funnel setup'!P135,'Provider Commission - Raw Data'!$A:$Q,8,0),"")</f>
        <v>97</v>
      </c>
      <c r="E123" s="446">
        <f>IF(ISNUMBER('Funnel setup'!P135),VLOOKUP('Funnel setup'!P135,'Provider Commission - Raw Data'!$A:$Q,16,0),"")</f>
        <v>7.3444544E-2</v>
      </c>
      <c r="F123" s="310">
        <f>IF(ISNUMBER('Funnel setup'!P135),'Funnel setup'!$K$8,"")</f>
        <v>8.3654400475365306E-2</v>
      </c>
      <c r="G123" s="310">
        <f>IF(AND(ISNUMBER('Funnel setup'!P135),D123&gt;=30,E123&lt;&gt;"*"),F123-1.959963985 *('Funnel setup'!$K$7/SQRT('Funnel Data'!D123)),"")</f>
        <v>5.2044713020843403E-2</v>
      </c>
      <c r="H123" s="310">
        <f>IF(AND(ISNUMBER('Funnel setup'!P135),D123&gt;=30,E123&lt;&gt;"*"),F123+1.959963985 *('Funnel setup'!$K$7/SQRT('Funnel Data'!D123)),"")</f>
        <v>0.11526408792988721</v>
      </c>
      <c r="I123" s="310">
        <f>IF(AND(ISNUMBER('Funnel setup'!P135),D123&gt;=30,E123&lt;&gt;"*"),F123-3.090232306 *('Funnel setup'!$K$7/SQRT('Funnel Data'!D123)),"")</f>
        <v>3.3816098291192011E-2</v>
      </c>
      <c r="J123" s="310">
        <f>IF(AND(ISNUMBER('Funnel setup'!P135),D123&gt;=30,E123&lt;&gt;"*"),F123+3.090232306 *('Funnel setup'!$K$7/SQRT('Funnel Data'!D123)),"")</f>
        <v>0.13349270265953861</v>
      </c>
      <c r="K123" s="311" t="str">
        <f>IF(AND(ISNUMBER('Funnel setup'!P135),D123&gt;=30,E123&lt;&gt;"*"),IF(E123&gt;J123,'Funnel setup'!$K$14&amp;"99.8%",IF(E123&gt;H123,'Funnel setup'!$K$14&amp;"95%",IF(E123&lt;I123,'Funnel setup'!$K$15&amp;"99.8%",IF(E123&lt;G123,'Funnel setup'!$K$15&amp;"95%","")))),"")</f>
        <v/>
      </c>
    </row>
    <row r="124" spans="2:11" ht="15" x14ac:dyDescent="0.2">
      <c r="B124" s="307" t="str">
        <f>IF(ISNUMBER('Funnel setup'!P136),VLOOKUP('Funnel setup'!$P136,'Provider Commission - Raw Data'!$A:$Q,5,0),"")</f>
        <v>RNQ</v>
      </c>
      <c r="C124" s="308" t="str">
        <f>IF(ISNUMBER('Funnel setup'!P136),VLOOKUP('Funnel setup'!P136,'Provider Commission - Raw Data'!$A:$Q,6,0),"")</f>
        <v>KETTERING GENERAL HOSPITAL NHS FOUNDATION TRUST (RNQ)</v>
      </c>
      <c r="D124" s="309">
        <f>IF(ISNUMBER('Funnel setup'!P136),VLOOKUP('Funnel setup'!P136,'Provider Commission - Raw Data'!$A:$Q,8,0),"")</f>
        <v>50</v>
      </c>
      <c r="E124" s="446">
        <f>IF(ISNUMBER('Funnel setup'!P136),VLOOKUP('Funnel setup'!P136,'Provider Commission - Raw Data'!$A:$Q,16,0),"")</f>
        <v>7.3450193999999996E-2</v>
      </c>
      <c r="F124" s="310">
        <f>IF(ISNUMBER('Funnel setup'!P136),'Funnel setup'!$K$8,"")</f>
        <v>8.3654400475365306E-2</v>
      </c>
      <c r="G124" s="310">
        <f>IF(AND(ISNUMBER('Funnel setup'!P136),D124&gt;=30,E124&lt;&gt;"*"),F124-1.959963985 *('Funnel setup'!$K$7/SQRT('Funnel Data'!D124)),"")</f>
        <v>3.9627200456663625E-2</v>
      </c>
      <c r="H124" s="310">
        <f>IF(AND(ISNUMBER('Funnel setup'!P136),D124&gt;=30,E124&lt;&gt;"*"),F124+1.959963985 *('Funnel setup'!$K$7/SQRT('Funnel Data'!D124)),"")</f>
        <v>0.12768160049406699</v>
      </c>
      <c r="I124" s="310">
        <f>IF(AND(ISNUMBER('Funnel setup'!P136),D124&gt;=30,E124&lt;&gt;"*"),F124-3.090232306 *('Funnel setup'!$K$7/SQRT('Funnel Data'!D124)),"")</f>
        <v>1.4237678085685407E-2</v>
      </c>
      <c r="J124" s="310">
        <f>IF(AND(ISNUMBER('Funnel setup'!P136),D124&gt;=30,E124&lt;&gt;"*"),F124+3.090232306 *('Funnel setup'!$K$7/SQRT('Funnel Data'!D124)),"")</f>
        <v>0.15307112286504521</v>
      </c>
      <c r="K124" s="311" t="str">
        <f>IF(AND(ISNUMBER('Funnel setup'!P136),D124&gt;=30,E124&lt;&gt;"*"),IF(E124&gt;J124,'Funnel setup'!$K$14&amp;"99.8%",IF(E124&gt;H124,'Funnel setup'!$K$14&amp;"95%",IF(E124&lt;I124,'Funnel setup'!$K$15&amp;"99.8%",IF(E124&lt;G124,'Funnel setup'!$K$15&amp;"95%","")))),"")</f>
        <v/>
      </c>
    </row>
    <row r="125" spans="2:11" ht="15" x14ac:dyDescent="0.2">
      <c r="B125" s="307" t="str">
        <f>IF(ISNUMBER('Funnel setup'!P137),VLOOKUP('Funnel setup'!$P137,'Provider Commission - Raw Data'!$A:$Q,5,0),"")</f>
        <v>RJZ</v>
      </c>
      <c r="C125" s="308" t="str">
        <f>IF(ISNUMBER('Funnel setup'!P137),VLOOKUP('Funnel setup'!P137,'Provider Commission - Raw Data'!$A:$Q,6,0),"")</f>
        <v>KING'S COLLEGE HOSPITAL NHS FOUNDATION TRUST (RJZ)</v>
      </c>
      <c r="D125" s="309">
        <f>IF(ISNUMBER('Funnel setup'!P137),VLOOKUP('Funnel setup'!P137,'Provider Commission - Raw Data'!$A:$Q,8,0),"")</f>
        <v>11</v>
      </c>
      <c r="E125" s="446" t="str">
        <f>IF(ISNUMBER('Funnel setup'!P137),VLOOKUP('Funnel setup'!P137,'Provider Commission - Raw Data'!$A:$Q,16,0),"")</f>
        <v>*</v>
      </c>
      <c r="F125" s="310">
        <f>IF(ISNUMBER('Funnel setup'!P137),'Funnel setup'!$K$8,"")</f>
        <v>8.3654400475365306E-2</v>
      </c>
      <c r="G125" s="310" t="str">
        <f>IF(AND(ISNUMBER('Funnel setup'!P137),D125&gt;=30,E125&lt;&gt;"*"),F125-1.959963985 *('Funnel setup'!$K$7/SQRT('Funnel Data'!D125)),"")</f>
        <v/>
      </c>
      <c r="H125" s="310" t="str">
        <f>IF(AND(ISNUMBER('Funnel setup'!P137),D125&gt;=30,E125&lt;&gt;"*"),F125+1.959963985 *('Funnel setup'!$K$7/SQRT('Funnel Data'!D125)),"")</f>
        <v/>
      </c>
      <c r="I125" s="310" t="str">
        <f>IF(AND(ISNUMBER('Funnel setup'!P137),D125&gt;=30,E125&lt;&gt;"*"),F125-3.090232306 *('Funnel setup'!$K$7/SQRT('Funnel Data'!D125)),"")</f>
        <v/>
      </c>
      <c r="J125" s="310" t="str">
        <f>IF(AND(ISNUMBER('Funnel setup'!P137),D125&gt;=30,E125&lt;&gt;"*"),F125+3.090232306 *('Funnel setup'!$K$7/SQRT('Funnel Data'!D125)),"")</f>
        <v/>
      </c>
      <c r="K125" s="311" t="str">
        <f>IF(AND(ISNUMBER('Funnel setup'!P137),D125&gt;=30,E125&lt;&gt;"*"),IF(E125&gt;J125,'Funnel setup'!$K$14&amp;"99.8%",IF(E125&gt;H125,'Funnel setup'!$K$14&amp;"95%",IF(E125&lt;I125,'Funnel setup'!$K$15&amp;"99.8%",IF(E125&lt;G125,'Funnel setup'!$K$15&amp;"95%","")))),"")</f>
        <v/>
      </c>
    </row>
    <row r="126" spans="2:11" ht="30" x14ac:dyDescent="0.2">
      <c r="B126" s="307" t="str">
        <f>IF(ISNUMBER('Funnel setup'!P138),VLOOKUP('Funnel setup'!$P138,'Provider Commission - Raw Data'!$A:$Q,5,0),"")</f>
        <v>RXN</v>
      </c>
      <c r="C126" s="308" t="str">
        <f>IF(ISNUMBER('Funnel setup'!P138),VLOOKUP('Funnel setup'!P138,'Provider Commission - Raw Data'!$A:$Q,6,0),"")</f>
        <v>LANCASHIRE TEACHING HOSPITALS NHS FOUNDATION TRUST (RXN)</v>
      </c>
      <c r="D126" s="309">
        <f>IF(ISNUMBER('Funnel setup'!P138),VLOOKUP('Funnel setup'!P138,'Provider Commission - Raw Data'!$A:$Q,8,0),"")</f>
        <v>61</v>
      </c>
      <c r="E126" s="446">
        <f>IF(ISNUMBER('Funnel setup'!P138),VLOOKUP('Funnel setup'!P138,'Provider Commission - Raw Data'!$A:$Q,16,0),"")</f>
        <v>7.5516317999999999E-2</v>
      </c>
      <c r="F126" s="310">
        <f>IF(ISNUMBER('Funnel setup'!P138),'Funnel setup'!$K$8,"")</f>
        <v>8.3654400475365306E-2</v>
      </c>
      <c r="G126" s="310">
        <f>IF(AND(ISNUMBER('Funnel setup'!P138),D126&gt;=30,E126&lt;&gt;"*"),F126-1.959963985 *('Funnel setup'!$K$7/SQRT('Funnel Data'!D126)),"")</f>
        <v>4.3794046476801879E-2</v>
      </c>
      <c r="H126" s="310">
        <f>IF(AND(ISNUMBER('Funnel setup'!P138),D126&gt;=30,E126&lt;&gt;"*"),F126+1.959963985 *('Funnel setup'!$K$7/SQRT('Funnel Data'!D126)),"")</f>
        <v>0.12351475447392873</v>
      </c>
      <c r="I126" s="310">
        <f>IF(AND(ISNUMBER('Funnel setup'!P138),D126&gt;=30,E126&lt;&gt;"*"),F126-3.090232306 *('Funnel setup'!$K$7/SQRT('Funnel Data'!D126)),"")</f>
        <v>2.0807452981604607E-2</v>
      </c>
      <c r="J126" s="310">
        <f>IF(AND(ISNUMBER('Funnel setup'!P138),D126&gt;=30,E126&lt;&gt;"*"),F126+3.090232306 *('Funnel setup'!$K$7/SQRT('Funnel Data'!D126)),"")</f>
        <v>0.14650134796912601</v>
      </c>
      <c r="K126" s="311" t="str">
        <f>IF(AND(ISNUMBER('Funnel setup'!P138),D126&gt;=30,E126&lt;&gt;"*"),IF(E126&gt;J126,'Funnel setup'!$K$14&amp;"99.8%",IF(E126&gt;H126,'Funnel setup'!$K$14&amp;"95%",IF(E126&lt;I126,'Funnel setup'!$K$15&amp;"99.8%",IF(E126&lt;G126,'Funnel setup'!$K$15&amp;"95%","")))),"")</f>
        <v/>
      </c>
    </row>
    <row r="127" spans="2:11" ht="15" x14ac:dyDescent="0.2">
      <c r="B127" s="307" t="str">
        <f>IF(ISNUMBER('Funnel setup'!P139),VLOOKUP('Funnel setup'!$P139,'Provider Commission - Raw Data'!$A:$Q,5,0),"")</f>
        <v>RR8</v>
      </c>
      <c r="C127" s="308" t="str">
        <f>IF(ISNUMBER('Funnel setup'!P139),VLOOKUP('Funnel setup'!P139,'Provider Commission - Raw Data'!$A:$Q,6,0),"")</f>
        <v>LEEDS TEACHING HOSPITALS NHS TRUST (RR8)</v>
      </c>
      <c r="D127" s="309">
        <f>IF(ISNUMBER('Funnel setup'!P139),VLOOKUP('Funnel setup'!P139,'Provider Commission - Raw Data'!$A:$Q,8,0),"")</f>
        <v>101</v>
      </c>
      <c r="E127" s="446">
        <f>IF(ISNUMBER('Funnel setup'!P139),VLOOKUP('Funnel setup'!P139,'Provider Commission - Raw Data'!$A:$Q,16,0),"")</f>
        <v>9.1534189000000002E-2</v>
      </c>
      <c r="F127" s="310">
        <f>IF(ISNUMBER('Funnel setup'!P139),'Funnel setup'!$K$8,"")</f>
        <v>8.3654400475365306E-2</v>
      </c>
      <c r="G127" s="310">
        <f>IF(AND(ISNUMBER('Funnel setup'!P139),D127&gt;=30,E127&lt;&gt;"*"),F127-1.959963985 *('Funnel setup'!$K$7/SQRT('Funnel Data'!D127)),"")</f>
        <v>5.2676970640857343E-2</v>
      </c>
      <c r="H127" s="310">
        <f>IF(AND(ISNUMBER('Funnel setup'!P139),D127&gt;=30,E127&lt;&gt;"*"),F127+1.959963985 *('Funnel setup'!$K$7/SQRT('Funnel Data'!D127)),"")</f>
        <v>0.11463183030987327</v>
      </c>
      <c r="I127" s="310">
        <f>IF(AND(ISNUMBER('Funnel setup'!P139),D127&gt;=30,E127&lt;&gt;"*"),F127-3.090232306 *('Funnel setup'!$K$7/SQRT('Funnel Data'!D127)),"")</f>
        <v>3.4812965038762252E-2</v>
      </c>
      <c r="J127" s="310">
        <f>IF(AND(ISNUMBER('Funnel setup'!P139),D127&gt;=30,E127&lt;&gt;"*"),F127+3.090232306 *('Funnel setup'!$K$7/SQRT('Funnel Data'!D127)),"")</f>
        <v>0.13249583591196837</v>
      </c>
      <c r="K127" s="311" t="str">
        <f>IF(AND(ISNUMBER('Funnel setup'!P139),D127&gt;=30,E127&lt;&gt;"*"),IF(E127&gt;J127,'Funnel setup'!$K$14&amp;"99.8%",IF(E127&gt;H127,'Funnel setup'!$K$14&amp;"95%",IF(E127&lt;I127,'Funnel setup'!$K$15&amp;"99.8%",IF(E127&lt;G127,'Funnel setup'!$K$15&amp;"95%","")))),"")</f>
        <v/>
      </c>
    </row>
    <row r="128" spans="2:11" ht="15" x14ac:dyDescent="0.2">
      <c r="B128" s="307" t="str">
        <f>IF(ISNUMBER('Funnel setup'!P140),VLOOKUP('Funnel setup'!$P140,'Provider Commission - Raw Data'!$A:$Q,5,0),"")</f>
        <v>RJ2</v>
      </c>
      <c r="C128" s="308" t="str">
        <f>IF(ISNUMBER('Funnel setup'!P140),VLOOKUP('Funnel setup'!P140,'Provider Commission - Raw Data'!$A:$Q,6,0),"")</f>
        <v>LEWISHAM AND GREENWICH NHS TRUST (RJ2)</v>
      </c>
      <c r="D128" s="309">
        <f>IF(ISNUMBER('Funnel setup'!P140),VLOOKUP('Funnel setup'!P140,'Provider Commission - Raw Data'!$A:$Q,8,0),"")</f>
        <v>49</v>
      </c>
      <c r="E128" s="446">
        <f>IF(ISNUMBER('Funnel setup'!P140),VLOOKUP('Funnel setup'!P140,'Provider Commission - Raw Data'!$A:$Q,16,0),"")</f>
        <v>-6.2145199999999996E-5</v>
      </c>
      <c r="F128" s="310">
        <f>IF(ISNUMBER('Funnel setup'!P140),'Funnel setup'!$K$8,"")</f>
        <v>8.3654400475365306E-2</v>
      </c>
      <c r="G128" s="310">
        <f>IF(AND(ISNUMBER('Funnel setup'!P140),D128&gt;=30,E128&lt;&gt;"*"),F128-1.959963985 *('Funnel setup'!$K$7/SQRT('Funnel Data'!D128)),"")</f>
        <v>3.9180212346964657E-2</v>
      </c>
      <c r="H128" s="310">
        <f>IF(AND(ISNUMBER('Funnel setup'!P140),D128&gt;=30,E128&lt;&gt;"*"),F128+1.959963985 *('Funnel setup'!$K$7/SQRT('Funnel Data'!D128)),"")</f>
        <v>0.12812858860376597</v>
      </c>
      <c r="I128" s="310">
        <f>IF(AND(ISNUMBER('Funnel setup'!P140),D128&gt;=30,E128&lt;&gt;"*"),F128-3.090232306 *('Funnel setup'!$K$7/SQRT('Funnel Data'!D128)),"")</f>
        <v>1.3532921718955732E-2</v>
      </c>
      <c r="J128" s="310">
        <f>IF(AND(ISNUMBER('Funnel setup'!P140),D128&gt;=30,E128&lt;&gt;"*"),F128+3.090232306 *('Funnel setup'!$K$7/SQRT('Funnel Data'!D128)),"")</f>
        <v>0.15377587923177488</v>
      </c>
      <c r="K128" s="311" t="str">
        <f>IF(AND(ISNUMBER('Funnel setup'!P140),D128&gt;=30,E128&lt;&gt;"*"),IF(E128&gt;J128,'Funnel setup'!$K$14&amp;"99.8%",IF(E128&gt;H128,'Funnel setup'!$K$14&amp;"95%",IF(E128&lt;I128,'Funnel setup'!$K$15&amp;"99.8%",IF(E128&lt;G128,'Funnel setup'!$K$15&amp;"95%","")))),"")</f>
        <v>Lower 99.8%</v>
      </c>
    </row>
    <row r="129" spans="2:11" ht="30" x14ac:dyDescent="0.2">
      <c r="B129" s="307" t="str">
        <f>IF(ISNUMBER('Funnel setup'!P141),VLOOKUP('Funnel setup'!$P141,'Provider Commission - Raw Data'!$A:$Q,5,0),"")</f>
        <v>R1K</v>
      </c>
      <c r="C129" s="308" t="str">
        <f>IF(ISNUMBER('Funnel setup'!P141),VLOOKUP('Funnel setup'!P141,'Provider Commission - Raw Data'!$A:$Q,6,0),"")</f>
        <v>LONDON NORTH WEST HEALTHCARE NHS TRUST (R1K)</v>
      </c>
      <c r="D129" s="309">
        <f>IF(ISNUMBER('Funnel setup'!P141),VLOOKUP('Funnel setup'!P141,'Provider Commission - Raw Data'!$A:$Q,8,0),"")</f>
        <v>47</v>
      </c>
      <c r="E129" s="446">
        <f>IF(ISNUMBER('Funnel setup'!P141),VLOOKUP('Funnel setup'!P141,'Provider Commission - Raw Data'!$A:$Q,16,0),"")</f>
        <v>3.1995728000000001E-2</v>
      </c>
      <c r="F129" s="310">
        <f>IF(ISNUMBER('Funnel setup'!P141),'Funnel setup'!$K$8,"")</f>
        <v>8.3654400475365306E-2</v>
      </c>
      <c r="G129" s="310">
        <f>IF(AND(ISNUMBER('Funnel setup'!P141),D129&gt;=30,E129&lt;&gt;"*"),F129-1.959963985 *('Funnel setup'!$K$7/SQRT('Funnel Data'!D129)),"")</f>
        <v>3.8243810962790843E-2</v>
      </c>
      <c r="H129" s="310">
        <f>IF(AND(ISNUMBER('Funnel setup'!P141),D129&gt;=30,E129&lt;&gt;"*"),F129+1.959963985 *('Funnel setup'!$K$7/SQRT('Funnel Data'!D129)),"")</f>
        <v>0.12906498998793978</v>
      </c>
      <c r="I129" s="310">
        <f>IF(AND(ISNUMBER('Funnel setup'!P141),D129&gt;=30,E129&lt;&gt;"*"),F129-3.090232306 *('Funnel setup'!$K$7/SQRT('Funnel Data'!D129)),"")</f>
        <v>1.205651815700097E-2</v>
      </c>
      <c r="J129" s="310">
        <f>IF(AND(ISNUMBER('Funnel setup'!P141),D129&gt;=30,E129&lt;&gt;"*"),F129+3.090232306 *('Funnel setup'!$K$7/SQRT('Funnel Data'!D129)),"")</f>
        <v>0.15525228279372966</v>
      </c>
      <c r="K129" s="311" t="str">
        <f>IF(AND(ISNUMBER('Funnel setup'!P141),D129&gt;=30,E129&lt;&gt;"*"),IF(E129&gt;J129,'Funnel setup'!$K$14&amp;"99.8%",IF(E129&gt;H129,'Funnel setup'!$K$14&amp;"95%",IF(E129&lt;I129,'Funnel setup'!$K$15&amp;"99.8%",IF(E129&lt;G129,'Funnel setup'!$K$15&amp;"95%","")))),"")</f>
        <v>Lower 95%</v>
      </c>
    </row>
    <row r="130" spans="2:11" ht="15" x14ac:dyDescent="0.2">
      <c r="B130" s="307" t="str">
        <f>IF(ISNUMBER('Funnel setup'!P142),VLOOKUP('Funnel setup'!$P142,'Provider Commission - Raw Data'!$A:$Q,5,0),"")</f>
        <v>RC9</v>
      </c>
      <c r="C130" s="308" t="str">
        <f>IF(ISNUMBER('Funnel setup'!P142),VLOOKUP('Funnel setup'!P142,'Provider Commission - Raw Data'!$A:$Q,6,0),"")</f>
        <v>LUTON AND DUNSTABLE UNIVERSITY HOSPITAL NHS FOUNDATION TRUST (RC9)</v>
      </c>
      <c r="D130" s="309">
        <f>IF(ISNUMBER('Funnel setup'!P142),VLOOKUP('Funnel setup'!P142,'Provider Commission - Raw Data'!$A:$Q,8,0),"")</f>
        <v>122</v>
      </c>
      <c r="E130" s="446">
        <f>IF(ISNUMBER('Funnel setup'!P142),VLOOKUP('Funnel setup'!P142,'Provider Commission - Raw Data'!$A:$Q,16,0),"")</f>
        <v>8.4408456000000007E-2</v>
      </c>
      <c r="F130" s="310">
        <f>IF(ISNUMBER('Funnel setup'!P142),'Funnel setup'!$K$8,"")</f>
        <v>8.3654400475365306E-2</v>
      </c>
      <c r="G130" s="310">
        <f>IF(AND(ISNUMBER('Funnel setup'!P142),D130&gt;=30,E130&lt;&gt;"*"),F130-1.959963985 *('Funnel setup'!$K$7/SQRT('Funnel Data'!D130)),"")</f>
        <v>5.5468873862484794E-2</v>
      </c>
      <c r="H130" s="310">
        <f>IF(AND(ISNUMBER('Funnel setup'!P142),D130&gt;=30,E130&lt;&gt;"*"),F130+1.959963985 *('Funnel setup'!$K$7/SQRT('Funnel Data'!D130)),"")</f>
        <v>0.11183992708824582</v>
      </c>
      <c r="I130" s="310">
        <f>IF(AND(ISNUMBER('Funnel setup'!P142),D130&gt;=30,E130&lt;&gt;"*"),F130-3.090232306 *('Funnel setup'!$K$7/SQRT('Funnel Data'!D130)),"")</f>
        <v>3.9214897725652217E-2</v>
      </c>
      <c r="J130" s="310">
        <f>IF(AND(ISNUMBER('Funnel setup'!P142),D130&gt;=30,E130&lt;&gt;"*"),F130+3.090232306 *('Funnel setup'!$K$7/SQRT('Funnel Data'!D130)),"")</f>
        <v>0.12809390322507841</v>
      </c>
      <c r="K130" s="311" t="str">
        <f>IF(AND(ISNUMBER('Funnel setup'!P142),D130&gt;=30,E130&lt;&gt;"*"),IF(E130&gt;J130,'Funnel setup'!$K$14&amp;"99.8%",IF(E130&gt;H130,'Funnel setup'!$K$14&amp;"95%",IF(E130&lt;I130,'Funnel setup'!$K$15&amp;"99.8%",IF(E130&lt;G130,'Funnel setup'!$K$15&amp;"95%","")))),"")</f>
        <v/>
      </c>
    </row>
    <row r="131" spans="2:11" ht="15" x14ac:dyDescent="0.2">
      <c r="B131" s="307" t="str">
        <f>IF(ISNUMBER('Funnel setup'!P143),VLOOKUP('Funnel setup'!$P143,'Provider Commission - Raw Data'!$A:$Q,5,0),"")</f>
        <v>RWF</v>
      </c>
      <c r="C131" s="308" t="str">
        <f>IF(ISNUMBER('Funnel setup'!P143),VLOOKUP('Funnel setup'!P143,'Provider Commission - Raw Data'!$A:$Q,6,0),"")</f>
        <v>MAIDSTONE AND TUNBRIDGE WELLS NHS TRUST (RWF)</v>
      </c>
      <c r="D131" s="309">
        <f>IF(ISNUMBER('Funnel setup'!P143),VLOOKUP('Funnel setup'!P143,'Provider Commission - Raw Data'!$A:$Q,8,0),"")</f>
        <v>37</v>
      </c>
      <c r="E131" s="446">
        <f>IF(ISNUMBER('Funnel setup'!P143),VLOOKUP('Funnel setup'!P143,'Provider Commission - Raw Data'!$A:$Q,16,0),"")</f>
        <v>8.7700679000000004E-2</v>
      </c>
      <c r="F131" s="310">
        <f>IF(ISNUMBER('Funnel setup'!P143),'Funnel setup'!$K$8,"")</f>
        <v>8.3654400475365306E-2</v>
      </c>
      <c r="G131" s="310">
        <f>IF(AND(ISNUMBER('Funnel setup'!P143),D131&gt;=30,E131&lt;&gt;"*"),F131-1.959963985 *('Funnel setup'!$K$7/SQRT('Funnel Data'!D131)),"")</f>
        <v>3.2473820048606238E-2</v>
      </c>
      <c r="H131" s="310">
        <f>IF(AND(ISNUMBER('Funnel setup'!P143),D131&gt;=30,E131&lt;&gt;"*"),F131+1.959963985 *('Funnel setup'!$K$7/SQRT('Funnel Data'!D131)),"")</f>
        <v>0.13483498090212437</v>
      </c>
      <c r="I131" s="310">
        <f>IF(AND(ISNUMBER('Funnel setup'!P143),D131&gt;=30,E131&lt;&gt;"*"),F131-3.090232306 *('Funnel setup'!$K$7/SQRT('Funnel Data'!D131)),"")</f>
        <v>2.9590998040102956E-3</v>
      </c>
      <c r="J131" s="310">
        <f>IF(AND(ISNUMBER('Funnel setup'!P143),D131&gt;=30,E131&lt;&gt;"*"),F131+3.090232306 *('Funnel setup'!$K$7/SQRT('Funnel Data'!D131)),"")</f>
        <v>0.16434970114672032</v>
      </c>
      <c r="K131" s="311" t="str">
        <f>IF(AND(ISNUMBER('Funnel setup'!P143),D131&gt;=30,E131&lt;&gt;"*"),IF(E131&gt;J131,'Funnel setup'!$K$14&amp;"99.8%",IF(E131&gt;H131,'Funnel setup'!$K$14&amp;"95%",IF(E131&lt;I131,'Funnel setup'!$K$15&amp;"99.8%",IF(E131&lt;G131,'Funnel setup'!$K$15&amp;"95%","")))),"")</f>
        <v/>
      </c>
    </row>
    <row r="132" spans="2:11" ht="15" x14ac:dyDescent="0.2">
      <c r="B132" s="307" t="str">
        <f>IF(ISNUMBER('Funnel setup'!P144),VLOOKUP('Funnel setup'!$P144,'Provider Commission - Raw Data'!$A:$Q,5,0),"")</f>
        <v>RPA</v>
      </c>
      <c r="C132" s="308" t="str">
        <f>IF(ISNUMBER('Funnel setup'!P144),VLOOKUP('Funnel setup'!P144,'Provider Commission - Raw Data'!$A:$Q,6,0),"")</f>
        <v>MEDWAY NHS FOUNDATION TRUST (RPA)</v>
      </c>
      <c r="D132" s="309">
        <f>IF(ISNUMBER('Funnel setup'!P144),VLOOKUP('Funnel setup'!P144,'Provider Commission - Raw Data'!$A:$Q,8,0),"")</f>
        <v>47</v>
      </c>
      <c r="E132" s="446">
        <f>IF(ISNUMBER('Funnel setup'!P144),VLOOKUP('Funnel setup'!P144,'Provider Commission - Raw Data'!$A:$Q,16,0),"")</f>
        <v>0.12806562099999999</v>
      </c>
      <c r="F132" s="310">
        <f>IF(ISNUMBER('Funnel setup'!P144),'Funnel setup'!$K$8,"")</f>
        <v>8.3654400475365306E-2</v>
      </c>
      <c r="G132" s="310">
        <f>IF(AND(ISNUMBER('Funnel setup'!P144),D132&gt;=30,E132&lt;&gt;"*"),F132-1.959963985 *('Funnel setup'!$K$7/SQRT('Funnel Data'!D132)),"")</f>
        <v>3.8243810962790843E-2</v>
      </c>
      <c r="H132" s="310">
        <f>IF(AND(ISNUMBER('Funnel setup'!P144),D132&gt;=30,E132&lt;&gt;"*"),F132+1.959963985 *('Funnel setup'!$K$7/SQRT('Funnel Data'!D132)),"")</f>
        <v>0.12906498998793978</v>
      </c>
      <c r="I132" s="310">
        <f>IF(AND(ISNUMBER('Funnel setup'!P144),D132&gt;=30,E132&lt;&gt;"*"),F132-3.090232306 *('Funnel setup'!$K$7/SQRT('Funnel Data'!D132)),"")</f>
        <v>1.205651815700097E-2</v>
      </c>
      <c r="J132" s="310">
        <f>IF(AND(ISNUMBER('Funnel setup'!P144),D132&gt;=30,E132&lt;&gt;"*"),F132+3.090232306 *('Funnel setup'!$K$7/SQRT('Funnel Data'!D132)),"")</f>
        <v>0.15525228279372966</v>
      </c>
      <c r="K132" s="311" t="str">
        <f>IF(AND(ISNUMBER('Funnel setup'!P144),D132&gt;=30,E132&lt;&gt;"*"),IF(E132&gt;J132,'Funnel setup'!$K$14&amp;"99.8%",IF(E132&gt;H132,'Funnel setup'!$K$14&amp;"95%",IF(E132&lt;I132,'Funnel setup'!$K$15&amp;"99.8%",IF(E132&lt;G132,'Funnel setup'!$K$15&amp;"95%","")))),"")</f>
        <v/>
      </c>
    </row>
    <row r="133" spans="2:11" ht="15" x14ac:dyDescent="0.2">
      <c r="B133" s="307" t="str">
        <f>IF(ISNUMBER('Funnel setup'!P145),VLOOKUP('Funnel setup'!$P145,'Provider Commission - Raw Data'!$A:$Q,5,0),"")</f>
        <v>RBT</v>
      </c>
      <c r="C133" s="308" t="str">
        <f>IF(ISNUMBER('Funnel setup'!P145),VLOOKUP('Funnel setup'!P145,'Provider Commission - Raw Data'!$A:$Q,6,0),"")</f>
        <v>MID CHESHIRE HOSPITALS NHS FOUNDATION TRUST (RBT)</v>
      </c>
      <c r="D133" s="309">
        <f>IF(ISNUMBER('Funnel setup'!P145),VLOOKUP('Funnel setup'!P145,'Provider Commission - Raw Data'!$A:$Q,8,0),"")</f>
        <v>161</v>
      </c>
      <c r="E133" s="446">
        <f>IF(ISNUMBER('Funnel setup'!P145),VLOOKUP('Funnel setup'!P145,'Provider Commission - Raw Data'!$A:$Q,16,0),"")</f>
        <v>7.2851709000000001E-2</v>
      </c>
      <c r="F133" s="310">
        <f>IF(ISNUMBER('Funnel setup'!P145),'Funnel setup'!$K$8,"")</f>
        <v>8.3654400475365306E-2</v>
      </c>
      <c r="G133" s="310">
        <f>IF(AND(ISNUMBER('Funnel setup'!P145),D133&gt;=30,E133&lt;&gt;"*"),F133-1.959963985 *('Funnel setup'!$K$7/SQRT('Funnel Data'!D133)),"")</f>
        <v>5.9119001144245689E-2</v>
      </c>
      <c r="H133" s="310">
        <f>IF(AND(ISNUMBER('Funnel setup'!P145),D133&gt;=30,E133&lt;&gt;"*"),F133+1.959963985 *('Funnel setup'!$K$7/SQRT('Funnel Data'!D133)),"")</f>
        <v>0.10818979980648492</v>
      </c>
      <c r="I133" s="310">
        <f>IF(AND(ISNUMBER('Funnel setup'!P145),D133&gt;=30,E133&lt;&gt;"*"),F133-3.090232306 *('Funnel setup'!$K$7/SQRT('Funnel Data'!D133)),"")</f>
        <v>4.4969973499205014E-2</v>
      </c>
      <c r="J133" s="310">
        <f>IF(AND(ISNUMBER('Funnel setup'!P145),D133&gt;=30,E133&lt;&gt;"*"),F133+3.090232306 *('Funnel setup'!$K$7/SQRT('Funnel Data'!D133)),"")</f>
        <v>0.12233882745152561</v>
      </c>
      <c r="K133" s="311" t="str">
        <f>IF(AND(ISNUMBER('Funnel setup'!P145),D133&gt;=30,E133&lt;&gt;"*"),IF(E133&gt;J133,'Funnel setup'!$K$14&amp;"99.8%",IF(E133&gt;H133,'Funnel setup'!$K$14&amp;"95%",IF(E133&lt;I133,'Funnel setup'!$K$15&amp;"99.8%",IF(E133&lt;G133,'Funnel setup'!$K$15&amp;"95%","")))),"")</f>
        <v/>
      </c>
    </row>
    <row r="134" spans="2:11" ht="15" x14ac:dyDescent="0.2">
      <c r="B134" s="307" t="str">
        <f>IF(ISNUMBER('Funnel setup'!P146),VLOOKUP('Funnel setup'!$P146,'Provider Commission - Raw Data'!$A:$Q,5,0),"")</f>
        <v>RQ8</v>
      </c>
      <c r="C134" s="308" t="str">
        <f>IF(ISNUMBER('Funnel setup'!P146),VLOOKUP('Funnel setup'!P146,'Provider Commission - Raw Data'!$A:$Q,6,0),"")</f>
        <v>MID ESSEX HOSPITAL SERVICES NHS TRUST (RQ8)</v>
      </c>
      <c r="D134" s="309">
        <f>IF(ISNUMBER('Funnel setup'!P146),VLOOKUP('Funnel setup'!P146,'Provider Commission - Raw Data'!$A:$Q,8,0),"")</f>
        <v>56</v>
      </c>
      <c r="E134" s="446">
        <f>IF(ISNUMBER('Funnel setup'!P146),VLOOKUP('Funnel setup'!P146,'Provider Commission - Raw Data'!$A:$Q,16,0),"")</f>
        <v>9.9617537000000006E-2</v>
      </c>
      <c r="F134" s="310">
        <f>IF(ISNUMBER('Funnel setup'!P146),'Funnel setup'!$K$8,"")</f>
        <v>8.3654400475365306E-2</v>
      </c>
      <c r="G134" s="310">
        <f>IF(AND(ISNUMBER('Funnel setup'!P146),D134&gt;=30,E134&lt;&gt;"*"),F134-1.959963985 *('Funnel setup'!$K$7/SQRT('Funnel Data'!D134)),"")</f>
        <v>4.2052606842514252E-2</v>
      </c>
      <c r="H134" s="310">
        <f>IF(AND(ISNUMBER('Funnel setup'!P146),D134&gt;=30,E134&lt;&gt;"*"),F134+1.959963985 *('Funnel setup'!$K$7/SQRT('Funnel Data'!D134)),"")</f>
        <v>0.12525619410821637</v>
      </c>
      <c r="I134" s="310">
        <f>IF(AND(ISNUMBER('Funnel setup'!P146),D134&gt;=30,E134&lt;&gt;"*"),F134-3.090232306 *('Funnel setup'!$K$7/SQRT('Funnel Data'!D134)),"")</f>
        <v>1.8061763235257336E-2</v>
      </c>
      <c r="J134" s="310">
        <f>IF(AND(ISNUMBER('Funnel setup'!P146),D134&gt;=30,E134&lt;&gt;"*"),F134+3.090232306 *('Funnel setup'!$K$7/SQRT('Funnel Data'!D134)),"")</f>
        <v>0.14924703771547326</v>
      </c>
      <c r="K134" s="311" t="str">
        <f>IF(AND(ISNUMBER('Funnel setup'!P146),D134&gt;=30,E134&lt;&gt;"*"),IF(E134&gt;J134,'Funnel setup'!$K$14&amp;"99.8%",IF(E134&gt;H134,'Funnel setup'!$K$14&amp;"95%",IF(E134&lt;I134,'Funnel setup'!$K$15&amp;"99.8%",IF(E134&lt;G134,'Funnel setup'!$K$15&amp;"95%","")))),"")</f>
        <v/>
      </c>
    </row>
    <row r="135" spans="2:11" ht="15" x14ac:dyDescent="0.2">
      <c r="B135" s="307" t="str">
        <f>IF(ISNUMBER('Funnel setup'!P147),VLOOKUP('Funnel setup'!$P147,'Provider Commission - Raw Data'!$A:$Q,5,0),"")</f>
        <v>RJD</v>
      </c>
      <c r="C135" s="308" t="str">
        <f>IF(ISNUMBER('Funnel setup'!P147),VLOOKUP('Funnel setup'!P147,'Provider Commission - Raw Data'!$A:$Q,6,0),"")</f>
        <v>MID STAFFORDSHIRE NHS FOUNDATION TRUST (RJD)</v>
      </c>
      <c r="D135" s="309">
        <f>IF(ISNUMBER('Funnel setup'!P147),VLOOKUP('Funnel setup'!P147,'Provider Commission - Raw Data'!$A:$Q,8,0),"")</f>
        <v>90</v>
      </c>
      <c r="E135" s="446">
        <f>IF(ISNUMBER('Funnel setup'!P147),VLOOKUP('Funnel setup'!P147,'Provider Commission - Raw Data'!$A:$Q,16,0),"")</f>
        <v>9.0840900000000002E-2</v>
      </c>
      <c r="F135" s="310">
        <f>IF(ISNUMBER('Funnel setup'!P147),'Funnel setup'!$K$8,"")</f>
        <v>8.3654400475365306E-2</v>
      </c>
      <c r="G135" s="310">
        <f>IF(AND(ISNUMBER('Funnel setup'!P147),D135&gt;=30,E135&lt;&gt;"*"),F135-1.959963985 *('Funnel setup'!$K$7/SQRT('Funnel Data'!D135)),"")</f>
        <v>5.0838463108432985E-2</v>
      </c>
      <c r="H135" s="310">
        <f>IF(AND(ISNUMBER('Funnel setup'!P147),D135&gt;=30,E135&lt;&gt;"*"),F135+1.959963985 *('Funnel setup'!$K$7/SQRT('Funnel Data'!D135)),"")</f>
        <v>0.11647033784229763</v>
      </c>
      <c r="I135" s="310">
        <f>IF(AND(ISNUMBER('Funnel setup'!P147),D135&gt;=30,E135&lt;&gt;"*"),F135-3.090232306 *('Funnel setup'!$K$7/SQRT('Funnel Data'!D135)),"")</f>
        <v>3.1914230462513342E-2</v>
      </c>
      <c r="J135" s="310">
        <f>IF(AND(ISNUMBER('Funnel setup'!P147),D135&gt;=30,E135&lt;&gt;"*"),F135+3.090232306 *('Funnel setup'!$K$7/SQRT('Funnel Data'!D135)),"")</f>
        <v>0.13539457048821726</v>
      </c>
      <c r="K135" s="311" t="str">
        <f>IF(AND(ISNUMBER('Funnel setup'!P147),D135&gt;=30,E135&lt;&gt;"*"),IF(E135&gt;J135,'Funnel setup'!$K$14&amp;"99.8%",IF(E135&gt;H135,'Funnel setup'!$K$14&amp;"95%",IF(E135&lt;I135,'Funnel setup'!$K$15&amp;"99.8%",IF(E135&lt;G135,'Funnel setup'!$K$15&amp;"95%","")))),"")</f>
        <v/>
      </c>
    </row>
    <row r="136" spans="2:11" ht="15" x14ac:dyDescent="0.2">
      <c r="B136" s="307" t="str">
        <f>IF(ISNUMBER('Funnel setup'!P148),VLOOKUP('Funnel setup'!$P148,'Provider Commission - Raw Data'!$A:$Q,5,0),"")</f>
        <v>RXF</v>
      </c>
      <c r="C136" s="308" t="str">
        <f>IF(ISNUMBER('Funnel setup'!P148),VLOOKUP('Funnel setup'!P148,'Provider Commission - Raw Data'!$A:$Q,6,0),"")</f>
        <v>MID YORKSHIRE HOSPITALS NHS TRUST (RXF)</v>
      </c>
      <c r="D136" s="309">
        <f>IF(ISNUMBER('Funnel setup'!P148),VLOOKUP('Funnel setup'!P148,'Provider Commission - Raw Data'!$A:$Q,8,0),"")</f>
        <v>164</v>
      </c>
      <c r="E136" s="446">
        <f>IF(ISNUMBER('Funnel setup'!P148),VLOOKUP('Funnel setup'!P148,'Provider Commission - Raw Data'!$A:$Q,16,0),"")</f>
        <v>6.5627817000000005E-2</v>
      </c>
      <c r="F136" s="310">
        <f>IF(ISNUMBER('Funnel setup'!P148),'Funnel setup'!$K$8,"")</f>
        <v>8.3654400475365306E-2</v>
      </c>
      <c r="G136" s="310">
        <f>IF(AND(ISNUMBER('Funnel setup'!P148),D136&gt;=30,E136&lt;&gt;"*"),F136-1.959963985 *('Funnel setup'!$K$7/SQRT('Funnel Data'!D136)),"")</f>
        <v>5.9344446041026608E-2</v>
      </c>
      <c r="H136" s="310">
        <f>IF(AND(ISNUMBER('Funnel setup'!P148),D136&gt;=30,E136&lt;&gt;"*"),F136+1.959963985 *('Funnel setup'!$K$7/SQRT('Funnel Data'!D136)),"")</f>
        <v>0.10796435490970401</v>
      </c>
      <c r="I136" s="310">
        <f>IF(AND(ISNUMBER('Funnel setup'!P148),D136&gt;=30,E136&lt;&gt;"*"),F136-3.090232306 *('Funnel setup'!$K$7/SQRT('Funnel Data'!D136)),"")</f>
        <v>4.5325427532333706E-2</v>
      </c>
      <c r="J136" s="310">
        <f>IF(AND(ISNUMBER('Funnel setup'!P148),D136&gt;=30,E136&lt;&gt;"*"),F136+3.090232306 *('Funnel setup'!$K$7/SQRT('Funnel Data'!D136)),"")</f>
        <v>0.12198337341839691</v>
      </c>
      <c r="K136" s="311" t="str">
        <f>IF(AND(ISNUMBER('Funnel setup'!P148),D136&gt;=30,E136&lt;&gt;"*"),IF(E136&gt;J136,'Funnel setup'!$K$14&amp;"99.8%",IF(E136&gt;H136,'Funnel setup'!$K$14&amp;"95%",IF(E136&lt;I136,'Funnel setup'!$K$15&amp;"99.8%",IF(E136&lt;G136,'Funnel setup'!$K$15&amp;"95%","")))),"")</f>
        <v/>
      </c>
    </row>
    <row r="137" spans="2:11" ht="15" x14ac:dyDescent="0.2">
      <c r="B137" s="307" t="str">
        <f>IF(ISNUMBER('Funnel setup'!P149),VLOOKUP('Funnel setup'!$P149,'Provider Commission - Raw Data'!$A:$Q,5,0),"")</f>
        <v>RD8</v>
      </c>
      <c r="C137" s="308" t="str">
        <f>IF(ISNUMBER('Funnel setup'!P149),VLOOKUP('Funnel setup'!P149,'Provider Commission - Raw Data'!$A:$Q,6,0),"")</f>
        <v>MILTON KEYNES UNIVERSITY HOSPITAL NHS FOUNDATION TRUST (RD8)</v>
      </c>
      <c r="D137" s="309">
        <f>IF(ISNUMBER('Funnel setup'!P149),VLOOKUP('Funnel setup'!P149,'Provider Commission - Raw Data'!$A:$Q,8,0),"")</f>
        <v>58</v>
      </c>
      <c r="E137" s="446">
        <f>IF(ISNUMBER('Funnel setup'!P149),VLOOKUP('Funnel setup'!P149,'Provider Commission - Raw Data'!$A:$Q,16,0),"")</f>
        <v>3.0097684E-2</v>
      </c>
      <c r="F137" s="310">
        <f>IF(ISNUMBER('Funnel setup'!P149),'Funnel setup'!$K$8,"")</f>
        <v>8.3654400475365306E-2</v>
      </c>
      <c r="G137" s="310">
        <f>IF(AND(ISNUMBER('Funnel setup'!P149),D137&gt;=30,E137&lt;&gt;"*"),F137-1.959963985 *('Funnel setup'!$K$7/SQRT('Funnel Data'!D137)),"")</f>
        <v>4.2776171493057742E-2</v>
      </c>
      <c r="H137" s="310">
        <f>IF(AND(ISNUMBER('Funnel setup'!P149),D137&gt;=30,E137&lt;&gt;"*"),F137+1.959963985 *('Funnel setup'!$K$7/SQRT('Funnel Data'!D137)),"")</f>
        <v>0.12453262945767288</v>
      </c>
      <c r="I137" s="310">
        <f>IF(AND(ISNUMBER('Funnel setup'!P149),D137&gt;=30,E137&lt;&gt;"*"),F137-3.090232306 *('Funnel setup'!$K$7/SQRT('Funnel Data'!D137)),"")</f>
        <v>1.920259177889462E-2</v>
      </c>
      <c r="J137" s="310">
        <f>IF(AND(ISNUMBER('Funnel setup'!P149),D137&gt;=30,E137&lt;&gt;"*"),F137+3.090232306 *('Funnel setup'!$K$7/SQRT('Funnel Data'!D137)),"")</f>
        <v>0.14810620917183598</v>
      </c>
      <c r="K137" s="311" t="str">
        <f>IF(AND(ISNUMBER('Funnel setup'!P149),D137&gt;=30,E137&lt;&gt;"*"),IF(E137&gt;J137,'Funnel setup'!$K$14&amp;"99.8%",IF(E137&gt;H137,'Funnel setup'!$K$14&amp;"95%",IF(E137&lt;I137,'Funnel setup'!$K$15&amp;"99.8%",IF(E137&lt;G137,'Funnel setup'!$K$15&amp;"95%","")))),"")</f>
        <v>Lower 95%</v>
      </c>
    </row>
    <row r="138" spans="2:11" ht="15" x14ac:dyDescent="0.2">
      <c r="B138" s="307" t="str">
        <f>IF(ISNUMBER('Funnel setup'!P150),VLOOKUP('Funnel setup'!$P150,'Provider Commission - Raw Data'!$A:$Q,5,0),"")</f>
        <v>NVC08</v>
      </c>
      <c r="C138" s="308" t="str">
        <f>IF(ISNUMBER('Funnel setup'!P150),VLOOKUP('Funnel setup'!P150,'Provider Commission - Raw Data'!$A:$Q,6,0),"")</f>
        <v>MOUNT STUART HOSPITAL (NVC08)</v>
      </c>
      <c r="D138" s="309">
        <f>IF(ISNUMBER('Funnel setup'!P150),VLOOKUP('Funnel setup'!P150,'Provider Commission - Raw Data'!$A:$Q,8,0),"")</f>
        <v>126</v>
      </c>
      <c r="E138" s="446">
        <f>IF(ISNUMBER('Funnel setup'!P150),VLOOKUP('Funnel setup'!P150,'Provider Commission - Raw Data'!$A:$Q,16,0),"")</f>
        <v>7.9292324999999997E-2</v>
      </c>
      <c r="F138" s="310">
        <f>IF(ISNUMBER('Funnel setup'!P150),'Funnel setup'!$K$8,"")</f>
        <v>8.3654400475365306E-2</v>
      </c>
      <c r="G138" s="310">
        <f>IF(AND(ISNUMBER('Funnel setup'!P150),D138&gt;=30,E138&lt;&gt;"*"),F138-1.959963985 *('Funnel setup'!$K$7/SQRT('Funnel Data'!D138)),"")</f>
        <v>5.5919871386797937E-2</v>
      </c>
      <c r="H138" s="310">
        <f>IF(AND(ISNUMBER('Funnel setup'!P150),D138&gt;=30,E138&lt;&gt;"*"),F138+1.959963985 *('Funnel setup'!$K$7/SQRT('Funnel Data'!D138)),"")</f>
        <v>0.11138892956393268</v>
      </c>
      <c r="I138" s="310">
        <f>IF(AND(ISNUMBER('Funnel setup'!P150),D138&gt;=30,E138&lt;&gt;"*"),F138-3.090232306 *('Funnel setup'!$K$7/SQRT('Funnel Data'!D138)),"")</f>
        <v>3.9925975648626662E-2</v>
      </c>
      <c r="J138" s="310">
        <f>IF(AND(ISNUMBER('Funnel setup'!P150),D138&gt;=30,E138&lt;&gt;"*"),F138+3.090232306 *('Funnel setup'!$K$7/SQRT('Funnel Data'!D138)),"")</f>
        <v>0.12738282530210396</v>
      </c>
      <c r="K138" s="311" t="str">
        <f>IF(AND(ISNUMBER('Funnel setup'!P150),D138&gt;=30,E138&lt;&gt;"*"),IF(E138&gt;J138,'Funnel setup'!$K$14&amp;"99.8%",IF(E138&gt;H138,'Funnel setup'!$K$14&amp;"95%",IF(E138&lt;I138,'Funnel setup'!$K$15&amp;"99.8%",IF(E138&lt;G138,'Funnel setup'!$K$15&amp;"95%","")))),"")</f>
        <v/>
      </c>
    </row>
    <row r="139" spans="2:11" ht="30" x14ac:dyDescent="0.2">
      <c r="B139" s="307" t="str">
        <f>IF(ISNUMBER('Funnel setup'!P151),VLOOKUP('Funnel setup'!$P151,'Provider Commission - Raw Data'!$A:$Q,5,0),"")</f>
        <v>NVC09</v>
      </c>
      <c r="C139" s="308" t="str">
        <f>IF(ISNUMBER('Funnel setup'!P151),VLOOKUP('Funnel setup'!P151,'Provider Commission - Raw Data'!$A:$Q,6,0),"")</f>
        <v>NEW HALL HOSPITAL (NVC09)</v>
      </c>
      <c r="D139" s="309">
        <f>IF(ISNUMBER('Funnel setup'!P151),VLOOKUP('Funnel setup'!P151,'Provider Commission - Raw Data'!$A:$Q,8,0),"")</f>
        <v>14</v>
      </c>
      <c r="E139" s="446" t="str">
        <f>IF(ISNUMBER('Funnel setup'!P151),VLOOKUP('Funnel setup'!P151,'Provider Commission - Raw Data'!$A:$Q,16,0),"")</f>
        <v>*</v>
      </c>
      <c r="F139" s="310">
        <f>IF(ISNUMBER('Funnel setup'!P151),'Funnel setup'!$K$8,"")</f>
        <v>8.3654400475365306E-2</v>
      </c>
      <c r="G139" s="310" t="str">
        <f>IF(AND(ISNUMBER('Funnel setup'!P151),D139&gt;=30,E139&lt;&gt;"*"),F139-1.959963985 *('Funnel setup'!$K$7/SQRT('Funnel Data'!D139)),"")</f>
        <v/>
      </c>
      <c r="H139" s="310" t="str">
        <f>IF(AND(ISNUMBER('Funnel setup'!P151),D139&gt;=30,E139&lt;&gt;"*"),F139+1.959963985 *('Funnel setup'!$K$7/SQRT('Funnel Data'!D139)),"")</f>
        <v/>
      </c>
      <c r="I139" s="310" t="str">
        <f>IF(AND(ISNUMBER('Funnel setup'!P151),D139&gt;=30,E139&lt;&gt;"*"),F139-3.090232306 *('Funnel setup'!$K$7/SQRT('Funnel Data'!D139)),"")</f>
        <v/>
      </c>
      <c r="J139" s="310" t="str">
        <f>IF(AND(ISNUMBER('Funnel setup'!P151),D139&gt;=30,E139&lt;&gt;"*"),F139+3.090232306 *('Funnel setup'!$K$7/SQRT('Funnel Data'!D139)),"")</f>
        <v/>
      </c>
      <c r="K139" s="311" t="str">
        <f>IF(AND(ISNUMBER('Funnel setup'!P151),D139&gt;=30,E139&lt;&gt;"*"),IF(E139&gt;J139,'Funnel setup'!$K$14&amp;"99.8%",IF(E139&gt;H139,'Funnel setup'!$K$14&amp;"95%",IF(E139&lt;I139,'Funnel setup'!$K$15&amp;"99.8%",IF(E139&lt;G139,'Funnel setup'!$K$15&amp;"95%","")))),"")</f>
        <v/>
      </c>
    </row>
    <row r="140" spans="2:11" ht="15" x14ac:dyDescent="0.2">
      <c r="B140" s="307" t="str">
        <f>IF(ISNUMBER('Funnel setup'!P152),VLOOKUP('Funnel setup'!$P152,'Provider Commission - Raw Data'!$A:$Q,5,0),"")</f>
        <v>RM1</v>
      </c>
      <c r="C140" s="308" t="str">
        <f>IF(ISNUMBER('Funnel setup'!P152),VLOOKUP('Funnel setup'!P152,'Provider Commission - Raw Data'!$A:$Q,6,0),"")</f>
        <v>NORFOLK AND NORWICH UNIVERSITY HOSPITALS NHS FOUNDATION TRUST (RM1)</v>
      </c>
      <c r="D140" s="309">
        <f>IF(ISNUMBER('Funnel setup'!P152),VLOOKUP('Funnel setup'!P152,'Provider Commission - Raw Data'!$A:$Q,8,0),"")</f>
        <v>382</v>
      </c>
      <c r="E140" s="446">
        <f>IF(ISNUMBER('Funnel setup'!P152),VLOOKUP('Funnel setup'!P152,'Provider Commission - Raw Data'!$A:$Q,16,0),"")</f>
        <v>9.8217831000000005E-2</v>
      </c>
      <c r="F140" s="310">
        <f>IF(ISNUMBER('Funnel setup'!P152),'Funnel setup'!$K$8,"")</f>
        <v>8.3654400475365306E-2</v>
      </c>
      <c r="G140" s="310">
        <f>IF(AND(ISNUMBER('Funnel setup'!P152),D140&gt;=30,E140&lt;&gt;"*"),F140-1.959963985 *('Funnel setup'!$K$7/SQRT('Funnel Data'!D140)),"")</f>
        <v>6.7725918537534027E-2</v>
      </c>
      <c r="H140" s="310">
        <f>IF(AND(ISNUMBER('Funnel setup'!P152),D140&gt;=30,E140&lt;&gt;"*"),F140+1.959963985 *('Funnel setup'!$K$7/SQRT('Funnel Data'!D140)),"")</f>
        <v>9.9582882413196586E-2</v>
      </c>
      <c r="I140" s="310">
        <f>IF(AND(ISNUMBER('Funnel setup'!P152),D140&gt;=30,E140&lt;&gt;"*"),F140-3.090232306 *('Funnel setup'!$K$7/SQRT('Funnel Data'!D140)),"")</f>
        <v>5.8540311723462191E-2</v>
      </c>
      <c r="J140" s="310">
        <f>IF(AND(ISNUMBER('Funnel setup'!P152),D140&gt;=30,E140&lt;&gt;"*"),F140+3.090232306 *('Funnel setup'!$K$7/SQRT('Funnel Data'!D140)),"")</f>
        <v>0.10876848922726842</v>
      </c>
      <c r="K140" s="311" t="str">
        <f>IF(AND(ISNUMBER('Funnel setup'!P152),D140&gt;=30,E140&lt;&gt;"*"),IF(E140&gt;J140,'Funnel setup'!$K$14&amp;"99.8%",IF(E140&gt;H140,'Funnel setup'!$K$14&amp;"95%",IF(E140&lt;I140,'Funnel setup'!$K$15&amp;"99.8%",IF(E140&lt;G140,'Funnel setup'!$K$15&amp;"95%","")))),"")</f>
        <v/>
      </c>
    </row>
    <row r="141" spans="2:11" ht="15" x14ac:dyDescent="0.2">
      <c r="B141" s="307" t="str">
        <f>IF(ISNUMBER('Funnel setup'!P153),VLOOKUP('Funnel setup'!$P153,'Provider Commission - Raw Data'!$A:$Q,5,0),"")</f>
        <v>RVJ</v>
      </c>
      <c r="C141" s="308" t="str">
        <f>IF(ISNUMBER('Funnel setup'!P153),VLOOKUP('Funnel setup'!P153,'Provider Commission - Raw Data'!$A:$Q,6,0),"")</f>
        <v>NORTH BRISTOL NHS TRUST (RVJ)</v>
      </c>
      <c r="D141" s="309">
        <f>IF(ISNUMBER('Funnel setup'!P153),VLOOKUP('Funnel setup'!P153,'Provider Commission - Raw Data'!$A:$Q,8,0),"")</f>
        <v>9</v>
      </c>
      <c r="E141" s="446" t="str">
        <f>IF(ISNUMBER('Funnel setup'!P153),VLOOKUP('Funnel setup'!P153,'Provider Commission - Raw Data'!$A:$Q,16,0),"")</f>
        <v>*</v>
      </c>
      <c r="F141" s="310">
        <f>IF(ISNUMBER('Funnel setup'!P153),'Funnel setup'!$K$8,"")</f>
        <v>8.3654400475365306E-2</v>
      </c>
      <c r="G141" s="310" t="str">
        <f>IF(AND(ISNUMBER('Funnel setup'!P153),D141&gt;=30,E141&lt;&gt;"*"),F141-1.959963985 *('Funnel setup'!$K$7/SQRT('Funnel Data'!D141)),"")</f>
        <v/>
      </c>
      <c r="H141" s="310" t="str">
        <f>IF(AND(ISNUMBER('Funnel setup'!P153),D141&gt;=30,E141&lt;&gt;"*"),F141+1.959963985 *('Funnel setup'!$K$7/SQRT('Funnel Data'!D141)),"")</f>
        <v/>
      </c>
      <c r="I141" s="310" t="str">
        <f>IF(AND(ISNUMBER('Funnel setup'!P153),D141&gt;=30,E141&lt;&gt;"*"),F141-3.090232306 *('Funnel setup'!$K$7/SQRT('Funnel Data'!D141)),"")</f>
        <v/>
      </c>
      <c r="J141" s="310" t="str">
        <f>IF(AND(ISNUMBER('Funnel setup'!P153),D141&gt;=30,E141&lt;&gt;"*"),F141+3.090232306 *('Funnel setup'!$K$7/SQRT('Funnel Data'!D141)),"")</f>
        <v/>
      </c>
      <c r="K141" s="311" t="str">
        <f>IF(AND(ISNUMBER('Funnel setup'!P153),D141&gt;=30,E141&lt;&gt;"*"),IF(E141&gt;J141,'Funnel setup'!$K$14&amp;"99.8%",IF(E141&gt;H141,'Funnel setup'!$K$14&amp;"95%",IF(E141&lt;I141,'Funnel setup'!$K$15&amp;"99.8%",IF(E141&lt;G141,'Funnel setup'!$K$15&amp;"95%","")))),"")</f>
        <v/>
      </c>
    </row>
    <row r="142" spans="2:11" ht="15" x14ac:dyDescent="0.2">
      <c r="B142" s="307" t="str">
        <f>IF(ISNUMBER('Funnel setup'!P154),VLOOKUP('Funnel setup'!$P154,'Provider Commission - Raw Data'!$A:$Q,5,0),"")</f>
        <v>RNL</v>
      </c>
      <c r="C142" s="308" t="str">
        <f>IF(ISNUMBER('Funnel setup'!P154),VLOOKUP('Funnel setup'!P154,'Provider Commission - Raw Data'!$A:$Q,6,0),"")</f>
        <v>NORTH CUMBRIA UNIVERSITY HOSPITALS NHS TRUST (RNL)</v>
      </c>
      <c r="D142" s="309">
        <f>IF(ISNUMBER('Funnel setup'!P154),VLOOKUP('Funnel setup'!P154,'Provider Commission - Raw Data'!$A:$Q,8,0),"")</f>
        <v>88</v>
      </c>
      <c r="E142" s="446">
        <f>IF(ISNUMBER('Funnel setup'!P154),VLOOKUP('Funnel setup'!P154,'Provider Commission - Raw Data'!$A:$Q,16,0),"")</f>
        <v>5.4190055000000001E-2</v>
      </c>
      <c r="F142" s="310">
        <f>IF(ISNUMBER('Funnel setup'!P154),'Funnel setup'!$K$8,"")</f>
        <v>8.3654400475365306E-2</v>
      </c>
      <c r="G142" s="310">
        <f>IF(AND(ISNUMBER('Funnel setup'!P154),D142&gt;=30,E142&lt;&gt;"*"),F142-1.959963985 *('Funnel setup'!$K$7/SQRT('Funnel Data'!D142)),"")</f>
        <v>5.0467649786283098E-2</v>
      </c>
      <c r="H142" s="310">
        <f>IF(AND(ISNUMBER('Funnel setup'!P154),D142&gt;=30,E142&lt;&gt;"*"),F142+1.959963985 *('Funnel setup'!$K$7/SQRT('Funnel Data'!D142)),"")</f>
        <v>0.11684115116444752</v>
      </c>
      <c r="I142" s="310">
        <f>IF(AND(ISNUMBER('Funnel setup'!P154),D142&gt;=30,E142&lt;&gt;"*"),F142-3.090232306 *('Funnel setup'!$K$7/SQRT('Funnel Data'!D142)),"")</f>
        <v>3.1329577215630962E-2</v>
      </c>
      <c r="J142" s="310">
        <f>IF(AND(ISNUMBER('Funnel setup'!P154),D142&gt;=30,E142&lt;&gt;"*"),F142+3.090232306 *('Funnel setup'!$K$7/SQRT('Funnel Data'!D142)),"")</f>
        <v>0.13597922373509966</v>
      </c>
      <c r="K142" s="311" t="str">
        <f>IF(AND(ISNUMBER('Funnel setup'!P154),D142&gt;=30,E142&lt;&gt;"*"),IF(E142&gt;J142,'Funnel setup'!$K$14&amp;"99.8%",IF(E142&gt;H142,'Funnel setup'!$K$14&amp;"95%",IF(E142&lt;I142,'Funnel setup'!$K$15&amp;"99.8%",IF(E142&lt;G142,'Funnel setup'!$K$15&amp;"95%","")))),"")</f>
        <v/>
      </c>
    </row>
    <row r="143" spans="2:11" ht="15" x14ac:dyDescent="0.2">
      <c r="B143" s="307" t="str">
        <f>IF(ISNUMBER('Funnel setup'!P155),VLOOKUP('Funnel setup'!$P155,'Provider Commission - Raw Data'!$A:$Q,5,0),"")</f>
        <v>NVC11</v>
      </c>
      <c r="C143" s="308" t="str">
        <f>IF(ISNUMBER('Funnel setup'!P155),VLOOKUP('Funnel setup'!P155,'Provider Commission - Raw Data'!$A:$Q,6,0),"")</f>
        <v>NORTH DOWNS HOSPITAL (NVC11)</v>
      </c>
      <c r="D143" s="309">
        <f>IF(ISNUMBER('Funnel setup'!P155),VLOOKUP('Funnel setup'!P155,'Provider Commission - Raw Data'!$A:$Q,8,0),"")</f>
        <v>34</v>
      </c>
      <c r="E143" s="446">
        <f>IF(ISNUMBER('Funnel setup'!P155),VLOOKUP('Funnel setup'!P155,'Provider Commission - Raw Data'!$A:$Q,16,0),"")</f>
        <v>5.0259881999999999E-2</v>
      </c>
      <c r="F143" s="310">
        <f>IF(ISNUMBER('Funnel setup'!P155),'Funnel setup'!$K$8,"")</f>
        <v>8.3654400475365306E-2</v>
      </c>
      <c r="G143" s="310">
        <f>IF(AND(ISNUMBER('Funnel setup'!P155),D143&gt;=30,E143&lt;&gt;"*"),F143-1.959963985 *('Funnel setup'!$K$7/SQRT('Funnel Data'!D143)),"")</f>
        <v>3.0263578099687993E-2</v>
      </c>
      <c r="H143" s="310">
        <f>IF(AND(ISNUMBER('Funnel setup'!P155),D143&gt;=30,E143&lt;&gt;"*"),F143+1.959963985 *('Funnel setup'!$K$7/SQRT('Funnel Data'!D143)),"")</f>
        <v>0.13704522285104262</v>
      </c>
      <c r="I143" s="310">
        <f>IF(AND(ISNUMBER('Funnel setup'!P155),D143&gt;=30,E143&lt;&gt;"*"),F143-3.090232306 *('Funnel setup'!$K$7/SQRT('Funnel Data'!D143)),"")</f>
        <v>-5.2574028840780829E-4</v>
      </c>
      <c r="J143" s="310">
        <f>IF(AND(ISNUMBER('Funnel setup'!P155),D143&gt;=30,E143&lt;&gt;"*"),F143+3.090232306 *('Funnel setup'!$K$7/SQRT('Funnel Data'!D143)),"")</f>
        <v>0.16783454123913844</v>
      </c>
      <c r="K143" s="311" t="str">
        <f>IF(AND(ISNUMBER('Funnel setup'!P155),D143&gt;=30,E143&lt;&gt;"*"),IF(E143&gt;J143,'Funnel setup'!$K$14&amp;"99.8%",IF(E143&gt;H143,'Funnel setup'!$K$14&amp;"95%",IF(E143&lt;I143,'Funnel setup'!$K$15&amp;"99.8%",IF(E143&lt;G143,'Funnel setup'!$K$15&amp;"95%","")))),"")</f>
        <v/>
      </c>
    </row>
    <row r="144" spans="2:11" ht="15" x14ac:dyDescent="0.2">
      <c r="B144" s="307" t="str">
        <f>IF(ISNUMBER('Funnel setup'!P156),VLOOKUP('Funnel setup'!$P156,'Provider Commission - Raw Data'!$A:$Q,5,0),"")</f>
        <v>NTP15</v>
      </c>
      <c r="C144" s="308" t="str">
        <f>IF(ISNUMBER('Funnel setup'!P156),VLOOKUP('Funnel setup'!P156,'Provider Commission - Raw Data'!$A:$Q,6,0),"")</f>
        <v>NORTH EAST LONDON TREATMENT CENTRE CARE UK (NTP15)</v>
      </c>
      <c r="D144" s="309">
        <f>IF(ISNUMBER('Funnel setup'!P156),VLOOKUP('Funnel setup'!P156,'Provider Commission - Raw Data'!$A:$Q,8,0),"")</f>
        <v>71</v>
      </c>
      <c r="E144" s="446">
        <f>IF(ISNUMBER('Funnel setup'!P156),VLOOKUP('Funnel setup'!P156,'Provider Commission - Raw Data'!$A:$Q,16,0),"")</f>
        <v>6.8836907000000003E-2</v>
      </c>
      <c r="F144" s="310">
        <f>IF(ISNUMBER('Funnel setup'!P156),'Funnel setup'!$K$8,"")</f>
        <v>8.3654400475365306E-2</v>
      </c>
      <c r="G144" s="310">
        <f>IF(AND(ISNUMBER('Funnel setup'!P156),D144&gt;=30,E144&lt;&gt;"*"),F144-1.959963985 *('Funnel setup'!$K$7/SQRT('Funnel Data'!D144)),"")</f>
        <v>4.6707594961671213E-2</v>
      </c>
      <c r="H144" s="310">
        <f>IF(AND(ISNUMBER('Funnel setup'!P156),D144&gt;=30,E144&lt;&gt;"*"),F144+1.959963985 *('Funnel setup'!$K$7/SQRT('Funnel Data'!D144)),"")</f>
        <v>0.12060120598905941</v>
      </c>
      <c r="I144" s="310">
        <f>IF(AND(ISNUMBER('Funnel setup'!P156),D144&gt;=30,E144&lt;&gt;"*"),F144-3.090232306 *('Funnel setup'!$K$7/SQRT('Funnel Data'!D144)),"")</f>
        <v>2.5401181091889533E-2</v>
      </c>
      <c r="J144" s="310">
        <f>IF(AND(ISNUMBER('Funnel setup'!P156),D144&gt;=30,E144&lt;&gt;"*"),F144+3.090232306 *('Funnel setup'!$K$7/SQRT('Funnel Data'!D144)),"")</f>
        <v>0.14190761985884109</v>
      </c>
      <c r="K144" s="311" t="str">
        <f>IF(AND(ISNUMBER('Funnel setup'!P156),D144&gt;=30,E144&lt;&gt;"*"),IF(E144&gt;J144,'Funnel setup'!$K$14&amp;"99.8%",IF(E144&gt;H144,'Funnel setup'!$K$14&amp;"95%",IF(E144&lt;I144,'Funnel setup'!$K$15&amp;"99.8%",IF(E144&lt;G144,'Funnel setup'!$K$15&amp;"95%","")))),"")</f>
        <v/>
      </c>
    </row>
    <row r="145" spans="2:11" ht="15" x14ac:dyDescent="0.2">
      <c r="B145" s="307" t="str">
        <f>IF(ISNUMBER('Funnel setup'!P157),VLOOKUP('Funnel setup'!$P157,'Provider Commission - Raw Data'!$A:$Q,5,0),"")</f>
        <v>RAP</v>
      </c>
      <c r="C145" s="308" t="str">
        <f>IF(ISNUMBER('Funnel setup'!P157),VLOOKUP('Funnel setup'!P157,'Provider Commission - Raw Data'!$A:$Q,6,0),"")</f>
        <v>NORTH MIDDLESEX UNIVERSITY HOSPITAL NHS TRUST (RAP)</v>
      </c>
      <c r="D145" s="309">
        <f>IF(ISNUMBER('Funnel setup'!P157),VLOOKUP('Funnel setup'!P157,'Provider Commission - Raw Data'!$A:$Q,8,0),"")</f>
        <v>34</v>
      </c>
      <c r="E145" s="446">
        <f>IF(ISNUMBER('Funnel setup'!P157),VLOOKUP('Funnel setup'!P157,'Provider Commission - Raw Data'!$A:$Q,16,0),"")</f>
        <v>7.5956009000000005E-2</v>
      </c>
      <c r="F145" s="310">
        <f>IF(ISNUMBER('Funnel setup'!P157),'Funnel setup'!$K$8,"")</f>
        <v>8.3654400475365306E-2</v>
      </c>
      <c r="G145" s="310">
        <f>IF(AND(ISNUMBER('Funnel setup'!P157),D145&gt;=30,E145&lt;&gt;"*"),F145-1.959963985 *('Funnel setup'!$K$7/SQRT('Funnel Data'!D145)),"")</f>
        <v>3.0263578099687993E-2</v>
      </c>
      <c r="H145" s="310">
        <f>IF(AND(ISNUMBER('Funnel setup'!P157),D145&gt;=30,E145&lt;&gt;"*"),F145+1.959963985 *('Funnel setup'!$K$7/SQRT('Funnel Data'!D145)),"")</f>
        <v>0.13704522285104262</v>
      </c>
      <c r="I145" s="310">
        <f>IF(AND(ISNUMBER('Funnel setup'!P157),D145&gt;=30,E145&lt;&gt;"*"),F145-3.090232306 *('Funnel setup'!$K$7/SQRT('Funnel Data'!D145)),"")</f>
        <v>-5.2574028840780829E-4</v>
      </c>
      <c r="J145" s="310">
        <f>IF(AND(ISNUMBER('Funnel setup'!P157),D145&gt;=30,E145&lt;&gt;"*"),F145+3.090232306 *('Funnel setup'!$K$7/SQRT('Funnel Data'!D145)),"")</f>
        <v>0.16783454123913844</v>
      </c>
      <c r="K145" s="311" t="str">
        <f>IF(AND(ISNUMBER('Funnel setup'!P157),D145&gt;=30,E145&lt;&gt;"*"),IF(E145&gt;J145,'Funnel setup'!$K$14&amp;"99.8%",IF(E145&gt;H145,'Funnel setup'!$K$14&amp;"95%",IF(E145&lt;I145,'Funnel setup'!$K$15&amp;"99.8%",IF(E145&lt;G145,'Funnel setup'!$K$15&amp;"95%","")))),"")</f>
        <v/>
      </c>
    </row>
    <row r="146" spans="2:11" ht="15" x14ac:dyDescent="0.2">
      <c r="B146" s="307" t="str">
        <f>IF(ISNUMBER('Funnel setup'!P158),VLOOKUP('Funnel setup'!$P158,'Provider Commission - Raw Data'!$A:$Q,5,0),"")</f>
        <v>RVW</v>
      </c>
      <c r="C146" s="308" t="str">
        <f>IF(ISNUMBER('Funnel setup'!P158),VLOOKUP('Funnel setup'!P158,'Provider Commission - Raw Data'!$A:$Q,6,0),"")</f>
        <v>NORTH TEES AND HARTLEPOOL NHS FOUNDATION TRUST (RVW)</v>
      </c>
      <c r="D146" s="309">
        <f>IF(ISNUMBER('Funnel setup'!P158),VLOOKUP('Funnel setup'!P158,'Provider Commission - Raw Data'!$A:$Q,8,0),"")</f>
        <v>113</v>
      </c>
      <c r="E146" s="446">
        <f>IF(ISNUMBER('Funnel setup'!P158),VLOOKUP('Funnel setup'!P158,'Provider Commission - Raw Data'!$A:$Q,16,0),"")</f>
        <v>4.4371046999999997E-2</v>
      </c>
      <c r="F146" s="310">
        <f>IF(ISNUMBER('Funnel setup'!P158),'Funnel setup'!$K$8,"")</f>
        <v>8.3654400475365306E-2</v>
      </c>
      <c r="G146" s="310">
        <f>IF(AND(ISNUMBER('Funnel setup'!P158),D146&gt;=30,E146&lt;&gt;"*"),F146-1.959963985 *('Funnel setup'!$K$7/SQRT('Funnel Data'!D146)),"")</f>
        <v>5.4367942661602137E-2</v>
      </c>
      <c r="H146" s="310">
        <f>IF(AND(ISNUMBER('Funnel setup'!P158),D146&gt;=30,E146&lt;&gt;"*"),F146+1.959963985 *('Funnel setup'!$K$7/SQRT('Funnel Data'!D146)),"")</f>
        <v>0.11294085828912848</v>
      </c>
      <c r="I146" s="310">
        <f>IF(AND(ISNUMBER('Funnel setup'!P158),D146&gt;=30,E146&lt;&gt;"*"),F146-3.090232306 *('Funnel setup'!$K$7/SQRT('Funnel Data'!D146)),"")</f>
        <v>3.7479083603715199E-2</v>
      </c>
      <c r="J146" s="310">
        <f>IF(AND(ISNUMBER('Funnel setup'!P158),D146&gt;=30,E146&lt;&gt;"*"),F146+3.090232306 *('Funnel setup'!$K$7/SQRT('Funnel Data'!D146)),"")</f>
        <v>0.12982971734701543</v>
      </c>
      <c r="K146" s="311" t="str">
        <f>IF(AND(ISNUMBER('Funnel setup'!P158),D146&gt;=30,E146&lt;&gt;"*"),IF(E146&gt;J146,'Funnel setup'!$K$14&amp;"99.8%",IF(E146&gt;H146,'Funnel setup'!$K$14&amp;"95%",IF(E146&lt;I146,'Funnel setup'!$K$15&amp;"99.8%",IF(E146&lt;G146,'Funnel setup'!$K$15&amp;"95%","")))),"")</f>
        <v>Lower 95%</v>
      </c>
    </row>
    <row r="147" spans="2:11" ht="15" x14ac:dyDescent="0.2">
      <c r="B147" s="307" t="str">
        <f>IF(ISNUMBER('Funnel setup'!P159),VLOOKUP('Funnel setup'!$P159,'Provider Commission - Raw Data'!$A:$Q,5,0),"")</f>
        <v>RNS</v>
      </c>
      <c r="C147" s="308" t="str">
        <f>IF(ISNUMBER('Funnel setup'!P159),VLOOKUP('Funnel setup'!P159,'Provider Commission - Raw Data'!$A:$Q,6,0),"")</f>
        <v>NORTHAMPTON GENERAL HOSPITAL NHS TRUST (RNS)</v>
      </c>
      <c r="D147" s="309">
        <f>IF(ISNUMBER('Funnel setup'!P159),VLOOKUP('Funnel setup'!P159,'Provider Commission - Raw Data'!$A:$Q,8,0),"")</f>
        <v>81</v>
      </c>
      <c r="E147" s="446">
        <f>IF(ISNUMBER('Funnel setup'!P159),VLOOKUP('Funnel setup'!P159,'Provider Commission - Raw Data'!$A:$Q,16,0),"")</f>
        <v>9.9514200999999997E-2</v>
      </c>
      <c r="F147" s="310">
        <f>IF(ISNUMBER('Funnel setup'!P159),'Funnel setup'!$K$8,"")</f>
        <v>8.3654400475365306E-2</v>
      </c>
      <c r="G147" s="310">
        <f>IF(AND(ISNUMBER('Funnel setup'!P159),D147&gt;=30,E147&lt;&gt;"*"),F147-1.959963985 *('Funnel setup'!$K$7/SQRT('Funnel Data'!D147)),"")</f>
        <v>4.9063365264387024E-2</v>
      </c>
      <c r="H147" s="310">
        <f>IF(AND(ISNUMBER('Funnel setup'!P159),D147&gt;=30,E147&lt;&gt;"*"),F147+1.959963985 *('Funnel setup'!$K$7/SQRT('Funnel Data'!D147)),"")</f>
        <v>0.11824543568634359</v>
      </c>
      <c r="I147" s="310">
        <f>IF(AND(ISNUMBER('Funnel setup'!P159),D147&gt;=30,E147&lt;&gt;"*"),F147-3.090232306 *('Funnel setup'!$K$7/SQRT('Funnel Data'!D147)),"")</f>
        <v>2.9115472553713419E-2</v>
      </c>
      <c r="J147" s="310">
        <f>IF(AND(ISNUMBER('Funnel setup'!P159),D147&gt;=30,E147&lt;&gt;"*"),F147+3.090232306 *('Funnel setup'!$K$7/SQRT('Funnel Data'!D147)),"")</f>
        <v>0.1381933283970172</v>
      </c>
      <c r="K147" s="311" t="str">
        <f>IF(AND(ISNUMBER('Funnel setup'!P159),D147&gt;=30,E147&lt;&gt;"*"),IF(E147&gt;J147,'Funnel setup'!$K$14&amp;"99.8%",IF(E147&gt;H147,'Funnel setup'!$K$14&amp;"95%",IF(E147&lt;I147,'Funnel setup'!$K$15&amp;"99.8%",IF(E147&lt;G147,'Funnel setup'!$K$15&amp;"95%","")))),"")</f>
        <v/>
      </c>
    </row>
    <row r="148" spans="2:11" ht="30" x14ac:dyDescent="0.2">
      <c r="B148" s="307" t="str">
        <f>IF(ISNUMBER('Funnel setup'!P160),VLOOKUP('Funnel setup'!$P160,'Provider Commission - Raw Data'!$A:$Q,5,0),"")</f>
        <v>RBZ</v>
      </c>
      <c r="C148" s="308" t="str">
        <f>IF(ISNUMBER('Funnel setup'!P160),VLOOKUP('Funnel setup'!P160,'Provider Commission - Raw Data'!$A:$Q,6,0),"")</f>
        <v>NORTHERN DEVON HEALTHCARE NHS TRUST (RBZ)</v>
      </c>
      <c r="D148" s="309">
        <f>IF(ISNUMBER('Funnel setup'!P160),VLOOKUP('Funnel setup'!P160,'Provider Commission - Raw Data'!$A:$Q,8,0),"")</f>
        <v>156</v>
      </c>
      <c r="E148" s="446">
        <f>IF(ISNUMBER('Funnel setup'!P160),VLOOKUP('Funnel setup'!P160,'Provider Commission - Raw Data'!$A:$Q,16,0),"")</f>
        <v>7.8711932999999998E-2</v>
      </c>
      <c r="F148" s="310">
        <f>IF(ISNUMBER('Funnel setup'!P160),'Funnel setup'!$K$8,"")</f>
        <v>8.3654400475365306E-2</v>
      </c>
      <c r="G148" s="310">
        <f>IF(AND(ISNUMBER('Funnel setup'!P160),D148&gt;=30,E148&lt;&gt;"*"),F148-1.959963985 *('Funnel setup'!$K$7/SQRT('Funnel Data'!D148)),"")</f>
        <v>5.8728906745932091E-2</v>
      </c>
      <c r="H148" s="310">
        <f>IF(AND(ISNUMBER('Funnel setup'!P160),D148&gt;=30,E148&lt;&gt;"*"),F148+1.959963985 *('Funnel setup'!$K$7/SQRT('Funnel Data'!D148)),"")</f>
        <v>0.10857989420479852</v>
      </c>
      <c r="I148" s="310">
        <f>IF(AND(ISNUMBER('Funnel setup'!P160),D148&gt;=30,E148&lt;&gt;"*"),F148-3.090232306 *('Funnel setup'!$K$7/SQRT('Funnel Data'!D148)),"")</f>
        <v>4.4354920201652548E-2</v>
      </c>
      <c r="J148" s="310">
        <f>IF(AND(ISNUMBER('Funnel setup'!P160),D148&gt;=30,E148&lt;&gt;"*"),F148+3.090232306 *('Funnel setup'!$K$7/SQRT('Funnel Data'!D148)),"")</f>
        <v>0.12295388074907806</v>
      </c>
      <c r="K148" s="311" t="str">
        <f>IF(AND(ISNUMBER('Funnel setup'!P160),D148&gt;=30,E148&lt;&gt;"*"),IF(E148&gt;J148,'Funnel setup'!$K$14&amp;"99.8%",IF(E148&gt;H148,'Funnel setup'!$K$14&amp;"95%",IF(E148&lt;I148,'Funnel setup'!$K$15&amp;"99.8%",IF(E148&lt;G148,'Funnel setup'!$K$15&amp;"95%","")))),"")</f>
        <v/>
      </c>
    </row>
    <row r="149" spans="2:11" ht="15" x14ac:dyDescent="0.2">
      <c r="B149" s="307" t="str">
        <f>IF(ISNUMBER('Funnel setup'!P161),VLOOKUP('Funnel setup'!$P161,'Provider Commission - Raw Data'!$A:$Q,5,0),"")</f>
        <v>RJL</v>
      </c>
      <c r="C149" s="308" t="str">
        <f>IF(ISNUMBER('Funnel setup'!P161),VLOOKUP('Funnel setup'!P161,'Provider Commission - Raw Data'!$A:$Q,6,0),"")</f>
        <v>NORTHERN LINCOLNSHIRE AND GOOLE NHS FOUNDATION TRUST (RJL)</v>
      </c>
      <c r="D149" s="309">
        <f>IF(ISNUMBER('Funnel setup'!P161),VLOOKUP('Funnel setup'!P161,'Provider Commission - Raw Data'!$A:$Q,8,0),"")</f>
        <v>132</v>
      </c>
      <c r="E149" s="446">
        <f>IF(ISNUMBER('Funnel setup'!P161),VLOOKUP('Funnel setup'!P161,'Provider Commission - Raw Data'!$A:$Q,16,0),"")</f>
        <v>8.7008800999999997E-2</v>
      </c>
      <c r="F149" s="310">
        <f>IF(ISNUMBER('Funnel setup'!P161),'Funnel setup'!$K$8,"")</f>
        <v>8.3654400475365306E-2</v>
      </c>
      <c r="G149" s="310">
        <f>IF(AND(ISNUMBER('Funnel setup'!P161),D149&gt;=30,E149&lt;&gt;"*"),F149-1.959963985 *('Funnel setup'!$K$7/SQRT('Funnel Data'!D149)),"")</f>
        <v>5.6557532005628824E-2</v>
      </c>
      <c r="H149" s="310">
        <f>IF(AND(ISNUMBER('Funnel setup'!P161),D149&gt;=30,E149&lt;&gt;"*"),F149+1.959963985 *('Funnel setup'!$K$7/SQRT('Funnel Data'!D149)),"")</f>
        <v>0.11075126894510179</v>
      </c>
      <c r="I149" s="310">
        <f>IF(AND(ISNUMBER('Funnel setup'!P161),D149&gt;=30,E149&lt;&gt;"*"),F149-3.090232306 *('Funnel setup'!$K$7/SQRT('Funnel Data'!D149)),"")</f>
        <v>4.0931361186144669E-2</v>
      </c>
      <c r="J149" s="310">
        <f>IF(AND(ISNUMBER('Funnel setup'!P161),D149&gt;=30,E149&lt;&gt;"*"),F149+3.090232306 *('Funnel setup'!$K$7/SQRT('Funnel Data'!D149)),"")</f>
        <v>0.12637743976458593</v>
      </c>
      <c r="K149" s="311" t="str">
        <f>IF(AND(ISNUMBER('Funnel setup'!P161),D149&gt;=30,E149&lt;&gt;"*"),IF(E149&gt;J149,'Funnel setup'!$K$14&amp;"99.8%",IF(E149&gt;H149,'Funnel setup'!$K$14&amp;"95%",IF(E149&lt;I149,'Funnel setup'!$K$15&amp;"99.8%",IF(E149&lt;G149,'Funnel setup'!$K$15&amp;"95%","")))),"")</f>
        <v/>
      </c>
    </row>
    <row r="150" spans="2:11" ht="15" x14ac:dyDescent="0.2">
      <c r="B150" s="307" t="str">
        <f>IF(ISNUMBER('Funnel setup'!P162),VLOOKUP('Funnel setup'!$P162,'Provider Commission - Raw Data'!$A:$Q,5,0),"")</f>
        <v>RTF</v>
      </c>
      <c r="C150" s="308" t="str">
        <f>IF(ISNUMBER('Funnel setup'!P162),VLOOKUP('Funnel setup'!P162,'Provider Commission - Raw Data'!$A:$Q,6,0),"")</f>
        <v>NORTHUMBRIA HEALTHCARE NHS FOUNDATION TRUST (RTF)</v>
      </c>
      <c r="D150" s="309">
        <f>IF(ISNUMBER('Funnel setup'!P162),VLOOKUP('Funnel setup'!P162,'Provider Commission - Raw Data'!$A:$Q,8,0),"")</f>
        <v>299</v>
      </c>
      <c r="E150" s="446">
        <f>IF(ISNUMBER('Funnel setup'!P162),VLOOKUP('Funnel setup'!P162,'Provider Commission - Raw Data'!$A:$Q,16,0),"")</f>
        <v>8.6034131E-2</v>
      </c>
      <c r="F150" s="310">
        <f>IF(ISNUMBER('Funnel setup'!P162),'Funnel setup'!$K$8,"")</f>
        <v>8.3654400475365306E-2</v>
      </c>
      <c r="G150" s="310">
        <f>IF(AND(ISNUMBER('Funnel setup'!P162),D150&gt;=30,E150&lt;&gt;"*"),F150-1.959963985 *('Funnel setup'!$K$7/SQRT('Funnel Data'!D150)),"")</f>
        <v>6.5650339518154452E-2</v>
      </c>
      <c r="H150" s="310">
        <f>IF(AND(ISNUMBER('Funnel setup'!P162),D150&gt;=30,E150&lt;&gt;"*"),F150+1.959963985 *('Funnel setup'!$K$7/SQRT('Funnel Data'!D150)),"")</f>
        <v>0.10165846143257616</v>
      </c>
      <c r="I150" s="310">
        <f>IF(AND(ISNUMBER('Funnel setup'!P162),D150&gt;=30,E150&lt;&gt;"*"),F150-3.090232306 *('Funnel setup'!$K$7/SQRT('Funnel Data'!D150)),"")</f>
        <v>5.526779172389569E-2</v>
      </c>
      <c r="J150" s="310">
        <f>IF(AND(ISNUMBER('Funnel setup'!P162),D150&gt;=30,E150&lt;&gt;"*"),F150+3.090232306 *('Funnel setup'!$K$7/SQRT('Funnel Data'!D150)),"")</f>
        <v>0.11204100922683492</v>
      </c>
      <c r="K150" s="311" t="str">
        <f>IF(AND(ISNUMBER('Funnel setup'!P162),D150&gt;=30,E150&lt;&gt;"*"),IF(E150&gt;J150,'Funnel setup'!$K$14&amp;"99.8%",IF(E150&gt;H150,'Funnel setup'!$K$14&amp;"95%",IF(E150&lt;I150,'Funnel setup'!$K$15&amp;"99.8%",IF(E150&lt;G150,'Funnel setup'!$K$15&amp;"95%","")))),"")</f>
        <v/>
      </c>
    </row>
    <row r="151" spans="2:11" ht="15" x14ac:dyDescent="0.2">
      <c r="B151" s="307" t="str">
        <f>IF(ISNUMBER('Funnel setup'!P163),VLOOKUP('Funnel setup'!$P163,'Provider Commission - Raw Data'!$A:$Q,5,0),"")</f>
        <v>RX1</v>
      </c>
      <c r="C151" s="308" t="str">
        <f>IF(ISNUMBER('Funnel setup'!P163),VLOOKUP('Funnel setup'!P163,'Provider Commission - Raw Data'!$A:$Q,6,0),"")</f>
        <v>NOTTINGHAM UNIVERSITY HOSPITALS NHS TRUST (RX1)</v>
      </c>
      <c r="D151" s="309" t="str">
        <f>IF(ISNUMBER('Funnel setup'!P163),VLOOKUP('Funnel setup'!P163,'Provider Commission - Raw Data'!$A:$Q,8,0),"")</f>
        <v>*</v>
      </c>
      <c r="E151" s="446" t="str">
        <f>IF(ISNUMBER('Funnel setup'!P163),VLOOKUP('Funnel setup'!P163,'Provider Commission - Raw Data'!$A:$Q,16,0),"")</f>
        <v>*</v>
      </c>
      <c r="F151" s="310">
        <f>IF(ISNUMBER('Funnel setup'!P163),'Funnel setup'!$K$8,"")</f>
        <v>8.3654400475365306E-2</v>
      </c>
      <c r="G151" s="310" t="str">
        <f>IF(AND(ISNUMBER('Funnel setup'!P163),D151&gt;=30,E151&lt;&gt;"*"),F151-1.959963985 *('Funnel setup'!$K$7/SQRT('Funnel Data'!D151)),"")</f>
        <v/>
      </c>
      <c r="H151" s="310" t="str">
        <f>IF(AND(ISNUMBER('Funnel setup'!P163),D151&gt;=30,E151&lt;&gt;"*"),F151+1.959963985 *('Funnel setup'!$K$7/SQRT('Funnel Data'!D151)),"")</f>
        <v/>
      </c>
      <c r="I151" s="310" t="str">
        <f>IF(AND(ISNUMBER('Funnel setup'!P163),D151&gt;=30,E151&lt;&gt;"*"),F151-3.090232306 *('Funnel setup'!$K$7/SQRT('Funnel Data'!D151)),"")</f>
        <v/>
      </c>
      <c r="J151" s="310" t="str">
        <f>IF(AND(ISNUMBER('Funnel setup'!P163),D151&gt;=30,E151&lt;&gt;"*"),F151+3.090232306 *('Funnel setup'!$K$7/SQRT('Funnel Data'!D151)),"")</f>
        <v/>
      </c>
      <c r="K151" s="311" t="str">
        <f>IF(AND(ISNUMBER('Funnel setup'!P163),D151&gt;=30,E151&lt;&gt;"*"),IF(E151&gt;J151,'Funnel setup'!$K$14&amp;"99.8%",IF(E151&gt;H151,'Funnel setup'!$K$14&amp;"95%",IF(E151&lt;I151,'Funnel setup'!$K$15&amp;"99.8%",IF(E151&lt;G151,'Funnel setup'!$K$15&amp;"95%","")))),"")</f>
        <v/>
      </c>
    </row>
    <row r="152" spans="2:11" ht="15" x14ac:dyDescent="0.2">
      <c r="B152" s="307" t="str">
        <f>IF(ISNUMBER('Funnel setup'!P164),VLOOKUP('Funnel setup'!$P164,'Provider Commission - Raw Data'!$A:$Q,5,0),"")</f>
        <v>NT204</v>
      </c>
      <c r="C152" s="308" t="str">
        <f>IF(ISNUMBER('Funnel setup'!P164),VLOOKUP('Funnel setup'!P164,'Provider Commission - Raw Data'!$A:$Q,6,0),"")</f>
        <v>NUFFIELD HEALTH, BRENTWOOD HOSPITAL (NT204)</v>
      </c>
      <c r="D152" s="309" t="str">
        <f>IF(ISNUMBER('Funnel setup'!P164),VLOOKUP('Funnel setup'!P164,'Provider Commission - Raw Data'!$A:$Q,8,0),"")</f>
        <v>*</v>
      </c>
      <c r="E152" s="446" t="str">
        <f>IF(ISNUMBER('Funnel setup'!P164),VLOOKUP('Funnel setup'!P164,'Provider Commission - Raw Data'!$A:$Q,16,0),"")</f>
        <v>*</v>
      </c>
      <c r="F152" s="310">
        <f>IF(ISNUMBER('Funnel setup'!P164),'Funnel setup'!$K$8,"")</f>
        <v>8.3654400475365306E-2</v>
      </c>
      <c r="G152" s="310" t="str">
        <f>IF(AND(ISNUMBER('Funnel setup'!P164),D152&gt;=30,E152&lt;&gt;"*"),F152-1.959963985 *('Funnel setup'!$K$7/SQRT('Funnel Data'!D152)),"")</f>
        <v/>
      </c>
      <c r="H152" s="310" t="str">
        <f>IF(AND(ISNUMBER('Funnel setup'!P164),D152&gt;=30,E152&lt;&gt;"*"),F152+1.959963985 *('Funnel setup'!$K$7/SQRT('Funnel Data'!D152)),"")</f>
        <v/>
      </c>
      <c r="I152" s="310" t="str">
        <f>IF(AND(ISNUMBER('Funnel setup'!P164),D152&gt;=30,E152&lt;&gt;"*"),F152-3.090232306 *('Funnel setup'!$K$7/SQRT('Funnel Data'!D152)),"")</f>
        <v/>
      </c>
      <c r="J152" s="310" t="str">
        <f>IF(AND(ISNUMBER('Funnel setup'!P164),D152&gt;=30,E152&lt;&gt;"*"),F152+3.090232306 *('Funnel setup'!$K$7/SQRT('Funnel Data'!D152)),"")</f>
        <v/>
      </c>
      <c r="K152" s="311" t="str">
        <f>IF(AND(ISNUMBER('Funnel setup'!P164),D152&gt;=30,E152&lt;&gt;"*"),IF(E152&gt;J152,'Funnel setup'!$K$14&amp;"99.8%",IF(E152&gt;H152,'Funnel setup'!$K$14&amp;"95%",IF(E152&lt;I152,'Funnel setup'!$K$15&amp;"99.8%",IF(E152&lt;G152,'Funnel setup'!$K$15&amp;"95%","")))),"")</f>
        <v/>
      </c>
    </row>
    <row r="153" spans="2:11" ht="15" x14ac:dyDescent="0.2">
      <c r="B153" s="307" t="str">
        <f>IF(ISNUMBER('Funnel setup'!P165),VLOOKUP('Funnel setup'!$P165,'Provider Commission - Raw Data'!$A:$Q,5,0),"")</f>
        <v>NT206</v>
      </c>
      <c r="C153" s="308" t="str">
        <f>IF(ISNUMBER('Funnel setup'!P165),VLOOKUP('Funnel setup'!P165,'Provider Commission - Raw Data'!$A:$Q,6,0),"")</f>
        <v>NUFFIELD HEALTH, BRISTOL HOSPITAL (CHESTERFIELD) (NT206)</v>
      </c>
      <c r="D153" s="309" t="str">
        <f>IF(ISNUMBER('Funnel setup'!P165),VLOOKUP('Funnel setup'!P165,'Provider Commission - Raw Data'!$A:$Q,8,0),"")</f>
        <v>*</v>
      </c>
      <c r="E153" s="446" t="str">
        <f>IF(ISNUMBER('Funnel setup'!P165),VLOOKUP('Funnel setup'!P165,'Provider Commission - Raw Data'!$A:$Q,16,0),"")</f>
        <v>*</v>
      </c>
      <c r="F153" s="310">
        <f>IF(ISNUMBER('Funnel setup'!P165),'Funnel setup'!$K$8,"")</f>
        <v>8.3654400475365306E-2</v>
      </c>
      <c r="G153" s="310" t="str">
        <f>IF(AND(ISNUMBER('Funnel setup'!P165),D153&gt;=30,E153&lt;&gt;"*"),F153-1.959963985 *('Funnel setup'!$K$7/SQRT('Funnel Data'!D153)),"")</f>
        <v/>
      </c>
      <c r="H153" s="310" t="str">
        <f>IF(AND(ISNUMBER('Funnel setup'!P165),D153&gt;=30,E153&lt;&gt;"*"),F153+1.959963985 *('Funnel setup'!$K$7/SQRT('Funnel Data'!D153)),"")</f>
        <v/>
      </c>
      <c r="I153" s="310" t="str">
        <f>IF(AND(ISNUMBER('Funnel setup'!P165),D153&gt;=30,E153&lt;&gt;"*"),F153-3.090232306 *('Funnel setup'!$K$7/SQRT('Funnel Data'!D153)),"")</f>
        <v/>
      </c>
      <c r="J153" s="310" t="str">
        <f>IF(AND(ISNUMBER('Funnel setup'!P165),D153&gt;=30,E153&lt;&gt;"*"),F153+3.090232306 *('Funnel setup'!$K$7/SQRT('Funnel Data'!D153)),"")</f>
        <v/>
      </c>
      <c r="K153" s="311" t="str">
        <f>IF(AND(ISNUMBER('Funnel setup'!P165),D153&gt;=30,E153&lt;&gt;"*"),IF(E153&gt;J153,'Funnel setup'!$K$14&amp;"99.8%",IF(E153&gt;H153,'Funnel setup'!$K$14&amp;"95%",IF(E153&lt;I153,'Funnel setup'!$K$15&amp;"99.8%",IF(E153&lt;G153,'Funnel setup'!$K$15&amp;"95%","")))),"")</f>
        <v/>
      </c>
    </row>
    <row r="154" spans="2:11" ht="15" x14ac:dyDescent="0.2">
      <c r="B154" s="307" t="str">
        <f>IF(ISNUMBER('Funnel setup'!P166),VLOOKUP('Funnel setup'!$P166,'Provider Commission - Raw Data'!$A:$Q,5,0),"")</f>
        <v>NT211</v>
      </c>
      <c r="C154" s="308" t="str">
        <f>IF(ISNUMBER('Funnel setup'!P166),VLOOKUP('Funnel setup'!P166,'Provider Commission - Raw Data'!$A:$Q,6,0),"")</f>
        <v>NUFFIELD HEALTH, CHELTENHAM HOSPITAL (NT211)</v>
      </c>
      <c r="D154" s="309">
        <f>IF(ISNUMBER('Funnel setup'!P166),VLOOKUP('Funnel setup'!P166,'Provider Commission - Raw Data'!$A:$Q,8,0),"")</f>
        <v>7</v>
      </c>
      <c r="E154" s="446" t="str">
        <f>IF(ISNUMBER('Funnel setup'!P166),VLOOKUP('Funnel setup'!P166,'Provider Commission - Raw Data'!$A:$Q,16,0),"")</f>
        <v>*</v>
      </c>
      <c r="F154" s="310">
        <f>IF(ISNUMBER('Funnel setup'!P166),'Funnel setup'!$K$8,"")</f>
        <v>8.3654400475365306E-2</v>
      </c>
      <c r="G154" s="310" t="str">
        <f>IF(AND(ISNUMBER('Funnel setup'!P166),D154&gt;=30,E154&lt;&gt;"*"),F154-1.959963985 *('Funnel setup'!$K$7/SQRT('Funnel Data'!D154)),"")</f>
        <v/>
      </c>
      <c r="H154" s="310" t="str">
        <f>IF(AND(ISNUMBER('Funnel setup'!P166),D154&gt;=30,E154&lt;&gt;"*"),F154+1.959963985 *('Funnel setup'!$K$7/SQRT('Funnel Data'!D154)),"")</f>
        <v/>
      </c>
      <c r="I154" s="310" t="str">
        <f>IF(AND(ISNUMBER('Funnel setup'!P166),D154&gt;=30,E154&lt;&gt;"*"),F154-3.090232306 *('Funnel setup'!$K$7/SQRT('Funnel Data'!D154)),"")</f>
        <v/>
      </c>
      <c r="J154" s="310" t="str">
        <f>IF(AND(ISNUMBER('Funnel setup'!P166),D154&gt;=30,E154&lt;&gt;"*"),F154+3.090232306 *('Funnel setup'!$K$7/SQRT('Funnel Data'!D154)),"")</f>
        <v/>
      </c>
      <c r="K154" s="311" t="str">
        <f>IF(AND(ISNUMBER('Funnel setup'!P166),D154&gt;=30,E154&lt;&gt;"*"),IF(E154&gt;J154,'Funnel setup'!$K$14&amp;"99.8%",IF(E154&gt;H154,'Funnel setup'!$K$14&amp;"95%",IF(E154&lt;I154,'Funnel setup'!$K$15&amp;"99.8%",IF(E154&lt;G154,'Funnel setup'!$K$15&amp;"95%","")))),"")</f>
        <v/>
      </c>
    </row>
    <row r="155" spans="2:11" ht="15" x14ac:dyDescent="0.2">
      <c r="B155" s="307" t="str">
        <f>IF(ISNUMBER('Funnel setup'!P167),VLOOKUP('Funnel setup'!$P167,'Provider Commission - Raw Data'!$A:$Q,5,0),"")</f>
        <v>NT213</v>
      </c>
      <c r="C155" s="308" t="str">
        <f>IF(ISNUMBER('Funnel setup'!P167),VLOOKUP('Funnel setup'!P167,'Provider Commission - Raw Data'!$A:$Q,6,0),"")</f>
        <v>NUFFIELD HEALTH, DERBY HOSPITAL (NT213)</v>
      </c>
      <c r="D155" s="309">
        <f>IF(ISNUMBER('Funnel setup'!P167),VLOOKUP('Funnel setup'!P167,'Provider Commission - Raw Data'!$A:$Q,8,0),"")</f>
        <v>9</v>
      </c>
      <c r="E155" s="446" t="str">
        <f>IF(ISNUMBER('Funnel setup'!P167),VLOOKUP('Funnel setup'!P167,'Provider Commission - Raw Data'!$A:$Q,16,0),"")</f>
        <v>*</v>
      </c>
      <c r="F155" s="310">
        <f>IF(ISNUMBER('Funnel setup'!P167),'Funnel setup'!$K$8,"")</f>
        <v>8.3654400475365306E-2</v>
      </c>
      <c r="G155" s="310" t="str">
        <f>IF(AND(ISNUMBER('Funnel setup'!P167),D155&gt;=30,E155&lt;&gt;"*"),F155-1.959963985 *('Funnel setup'!$K$7/SQRT('Funnel Data'!D155)),"")</f>
        <v/>
      </c>
      <c r="H155" s="310" t="str">
        <f>IF(AND(ISNUMBER('Funnel setup'!P167),D155&gt;=30,E155&lt;&gt;"*"),F155+1.959963985 *('Funnel setup'!$K$7/SQRT('Funnel Data'!D155)),"")</f>
        <v/>
      </c>
      <c r="I155" s="310" t="str">
        <f>IF(AND(ISNUMBER('Funnel setup'!P167),D155&gt;=30,E155&lt;&gt;"*"),F155-3.090232306 *('Funnel setup'!$K$7/SQRT('Funnel Data'!D155)),"")</f>
        <v/>
      </c>
      <c r="J155" s="310" t="str">
        <f>IF(AND(ISNUMBER('Funnel setup'!P167),D155&gt;=30,E155&lt;&gt;"*"),F155+3.090232306 *('Funnel setup'!$K$7/SQRT('Funnel Data'!D155)),"")</f>
        <v/>
      </c>
      <c r="K155" s="311" t="str">
        <f>IF(AND(ISNUMBER('Funnel setup'!P167),D155&gt;=30,E155&lt;&gt;"*"),IF(E155&gt;J155,'Funnel setup'!$K$14&amp;"99.8%",IF(E155&gt;H155,'Funnel setup'!$K$14&amp;"95%",IF(E155&lt;I155,'Funnel setup'!$K$15&amp;"99.8%",IF(E155&lt;G155,'Funnel setup'!$K$15&amp;"95%","")))),"")</f>
        <v/>
      </c>
    </row>
    <row r="156" spans="2:11" ht="15" x14ac:dyDescent="0.2">
      <c r="B156" s="307" t="str">
        <f>IF(ISNUMBER('Funnel setup'!P168),VLOOKUP('Funnel setup'!$P168,'Provider Commission - Raw Data'!$A:$Q,5,0),"")</f>
        <v>NT219</v>
      </c>
      <c r="C156" s="308" t="str">
        <f>IF(ISNUMBER('Funnel setup'!P168),VLOOKUP('Funnel setup'!P168,'Provider Commission - Raw Data'!$A:$Q,6,0),"")</f>
        <v>NUFFIELD HEALTH, HEREFORD HOSPITAL (NT219)</v>
      </c>
      <c r="D156" s="309">
        <f>IF(ISNUMBER('Funnel setup'!P168),VLOOKUP('Funnel setup'!P168,'Provider Commission - Raw Data'!$A:$Q,8,0),"")</f>
        <v>65</v>
      </c>
      <c r="E156" s="446">
        <f>IF(ISNUMBER('Funnel setup'!P168),VLOOKUP('Funnel setup'!P168,'Provider Commission - Raw Data'!$A:$Q,16,0),"")</f>
        <v>9.6846765000000001E-2</v>
      </c>
      <c r="F156" s="310">
        <f>IF(ISNUMBER('Funnel setup'!P168),'Funnel setup'!$K$8,"")</f>
        <v>8.3654400475365306E-2</v>
      </c>
      <c r="G156" s="310">
        <f>IF(AND(ISNUMBER('Funnel setup'!P168),D156&gt;=30,E156&lt;&gt;"*"),F156-1.959963985 *('Funnel setup'!$K$7/SQRT('Funnel Data'!D156)),"")</f>
        <v>4.5039991631328401E-2</v>
      </c>
      <c r="H156" s="310">
        <f>IF(AND(ISNUMBER('Funnel setup'!P168),D156&gt;=30,E156&lt;&gt;"*"),F156+1.959963985 *('Funnel setup'!$K$7/SQRT('Funnel Data'!D156)),"")</f>
        <v>0.12226880931940221</v>
      </c>
      <c r="I156" s="310">
        <f>IF(AND(ISNUMBER('Funnel setup'!P168),D156&gt;=30,E156&lt;&gt;"*"),F156-3.090232306 *('Funnel setup'!$K$7/SQRT('Funnel Data'!D156)),"")</f>
        <v>2.2771907429486732E-2</v>
      </c>
      <c r="J156" s="310">
        <f>IF(AND(ISNUMBER('Funnel setup'!P168),D156&gt;=30,E156&lt;&gt;"*"),F156+3.090232306 *('Funnel setup'!$K$7/SQRT('Funnel Data'!D156)),"")</f>
        <v>0.14453689352124388</v>
      </c>
      <c r="K156" s="311" t="str">
        <f>IF(AND(ISNUMBER('Funnel setup'!P168),D156&gt;=30,E156&lt;&gt;"*"),IF(E156&gt;J156,'Funnel setup'!$K$14&amp;"99.8%",IF(E156&gt;H156,'Funnel setup'!$K$14&amp;"95%",IF(E156&lt;I156,'Funnel setup'!$K$15&amp;"99.8%",IF(E156&lt;G156,'Funnel setup'!$K$15&amp;"95%","")))),"")</f>
        <v/>
      </c>
    </row>
    <row r="157" spans="2:11" ht="15" x14ac:dyDescent="0.2">
      <c r="B157" s="307" t="str">
        <f>IF(ISNUMBER('Funnel setup'!P169),VLOOKUP('Funnel setup'!$P169,'Provider Commission - Raw Data'!$A:$Q,5,0),"")</f>
        <v>NT222</v>
      </c>
      <c r="C157" s="308" t="str">
        <f>IF(ISNUMBER('Funnel setup'!P169),VLOOKUP('Funnel setup'!P169,'Provider Commission - Raw Data'!$A:$Q,6,0),"")</f>
        <v>NUFFIELD HEALTH, IPSWICH HOSPITAL (NT222)</v>
      </c>
      <c r="D157" s="309">
        <f>IF(ISNUMBER('Funnel setup'!P169),VLOOKUP('Funnel setup'!P169,'Provider Commission - Raw Data'!$A:$Q,8,0),"")</f>
        <v>18</v>
      </c>
      <c r="E157" s="446" t="str">
        <f>IF(ISNUMBER('Funnel setup'!P169),VLOOKUP('Funnel setup'!P169,'Provider Commission - Raw Data'!$A:$Q,16,0),"")</f>
        <v>*</v>
      </c>
      <c r="F157" s="310">
        <f>IF(ISNUMBER('Funnel setup'!P169),'Funnel setup'!$K$8,"")</f>
        <v>8.3654400475365306E-2</v>
      </c>
      <c r="G157" s="310" t="str">
        <f>IF(AND(ISNUMBER('Funnel setup'!P169),D157&gt;=30,E157&lt;&gt;"*"),F157-1.959963985 *('Funnel setup'!$K$7/SQRT('Funnel Data'!D157)),"")</f>
        <v/>
      </c>
      <c r="H157" s="310" t="str">
        <f>IF(AND(ISNUMBER('Funnel setup'!P169),D157&gt;=30,E157&lt;&gt;"*"),F157+1.959963985 *('Funnel setup'!$K$7/SQRT('Funnel Data'!D157)),"")</f>
        <v/>
      </c>
      <c r="I157" s="310" t="str">
        <f>IF(AND(ISNUMBER('Funnel setup'!P169),D157&gt;=30,E157&lt;&gt;"*"),F157-3.090232306 *('Funnel setup'!$K$7/SQRT('Funnel Data'!D157)),"")</f>
        <v/>
      </c>
      <c r="J157" s="310" t="str">
        <f>IF(AND(ISNUMBER('Funnel setup'!P169),D157&gt;=30,E157&lt;&gt;"*"),F157+3.090232306 *('Funnel setup'!$K$7/SQRT('Funnel Data'!D157)),"")</f>
        <v/>
      </c>
      <c r="K157" s="311" t="str">
        <f>IF(AND(ISNUMBER('Funnel setup'!P169),D157&gt;=30,E157&lt;&gt;"*"),IF(E157&gt;J157,'Funnel setup'!$K$14&amp;"99.8%",IF(E157&gt;H157,'Funnel setup'!$K$14&amp;"95%",IF(E157&lt;I157,'Funnel setup'!$K$15&amp;"99.8%",IF(E157&lt;G157,'Funnel setup'!$K$15&amp;"95%","")))),"")</f>
        <v/>
      </c>
    </row>
    <row r="158" spans="2:11" ht="15" x14ac:dyDescent="0.2">
      <c r="B158" s="307" t="str">
        <f>IF(ISNUMBER('Funnel setup'!P170),VLOOKUP('Funnel setup'!$P170,'Provider Commission - Raw Data'!$A:$Q,5,0),"")</f>
        <v>NT225</v>
      </c>
      <c r="C158" s="308" t="str">
        <f>IF(ISNUMBER('Funnel setup'!P170),VLOOKUP('Funnel setup'!P170,'Provider Commission - Raw Data'!$A:$Q,6,0),"")</f>
        <v>NUFFIELD HEALTH, LEEDS HOSPITAL (NT225)</v>
      </c>
      <c r="D158" s="309">
        <f>IF(ISNUMBER('Funnel setup'!P170),VLOOKUP('Funnel setup'!P170,'Provider Commission - Raw Data'!$A:$Q,8,0),"")</f>
        <v>36</v>
      </c>
      <c r="E158" s="446">
        <f>IF(ISNUMBER('Funnel setup'!P170),VLOOKUP('Funnel setup'!P170,'Provider Commission - Raw Data'!$A:$Q,16,0),"")</f>
        <v>8.7819670000000002E-2</v>
      </c>
      <c r="F158" s="310">
        <f>IF(ISNUMBER('Funnel setup'!P170),'Funnel setup'!$K$8,"")</f>
        <v>8.3654400475365306E-2</v>
      </c>
      <c r="G158" s="310">
        <f>IF(AND(ISNUMBER('Funnel setup'!P170),D158&gt;=30,E158&lt;&gt;"*"),F158-1.959963985 *('Funnel setup'!$K$7/SQRT('Funnel Data'!D158)),"")</f>
        <v>3.1767847658897889E-2</v>
      </c>
      <c r="H158" s="310">
        <f>IF(AND(ISNUMBER('Funnel setup'!P170),D158&gt;=30,E158&lt;&gt;"*"),F158+1.959963985 *('Funnel setup'!$K$7/SQRT('Funnel Data'!D158)),"")</f>
        <v>0.13554095329183272</v>
      </c>
      <c r="I158" s="310">
        <f>IF(AND(ISNUMBER('Funnel setup'!P170),D158&gt;=30,E158&lt;&gt;"*"),F158-3.090232306 *('Funnel setup'!$K$7/SQRT('Funnel Data'!D158)),"")</f>
        <v>1.8460085928874714E-3</v>
      </c>
      <c r="J158" s="310">
        <f>IF(AND(ISNUMBER('Funnel setup'!P170),D158&gt;=30,E158&lt;&gt;"*"),F158+3.090232306 *('Funnel setup'!$K$7/SQRT('Funnel Data'!D158)),"")</f>
        <v>0.16546279235784314</v>
      </c>
      <c r="K158" s="311" t="str">
        <f>IF(AND(ISNUMBER('Funnel setup'!P170),D158&gt;=30,E158&lt;&gt;"*"),IF(E158&gt;J158,'Funnel setup'!$K$14&amp;"99.8%",IF(E158&gt;H158,'Funnel setup'!$K$14&amp;"95%",IF(E158&lt;I158,'Funnel setup'!$K$15&amp;"99.8%",IF(E158&lt;G158,'Funnel setup'!$K$15&amp;"95%","")))),"")</f>
        <v/>
      </c>
    </row>
    <row r="159" spans="2:11" ht="15" x14ac:dyDescent="0.2">
      <c r="B159" s="307" t="str">
        <f>IF(ISNUMBER('Funnel setup'!P171),VLOOKUP('Funnel setup'!$P171,'Provider Commission - Raw Data'!$A:$Q,5,0),"")</f>
        <v>NT226</v>
      </c>
      <c r="C159" s="308" t="str">
        <f>IF(ISNUMBER('Funnel setup'!P171),VLOOKUP('Funnel setup'!P171,'Provider Commission - Raw Data'!$A:$Q,6,0),"")</f>
        <v>NUFFIELD HEALTH, LEICESTER HOSPITAL (NT226)</v>
      </c>
      <c r="D159" s="309">
        <f>IF(ISNUMBER('Funnel setup'!P171),VLOOKUP('Funnel setup'!P171,'Provider Commission - Raw Data'!$A:$Q,8,0),"")</f>
        <v>44</v>
      </c>
      <c r="E159" s="446">
        <f>IF(ISNUMBER('Funnel setup'!P171),VLOOKUP('Funnel setup'!P171,'Provider Commission - Raw Data'!$A:$Q,16,0),"")</f>
        <v>0.121565096</v>
      </c>
      <c r="F159" s="310">
        <f>IF(ISNUMBER('Funnel setup'!P171),'Funnel setup'!$K$8,"")</f>
        <v>8.3654400475365306E-2</v>
      </c>
      <c r="G159" s="310">
        <f>IF(AND(ISNUMBER('Funnel setup'!P171),D159&gt;=30,E159&lt;&gt;"*"),F159-1.959963985 *('Funnel setup'!$K$7/SQRT('Funnel Data'!D159)),"")</f>
        <v>3.672124755977059E-2</v>
      </c>
      <c r="H159" s="310">
        <f>IF(AND(ISNUMBER('Funnel setup'!P171),D159&gt;=30,E159&lt;&gt;"*"),F159+1.959963985 *('Funnel setup'!$K$7/SQRT('Funnel Data'!D159)),"")</f>
        <v>0.13058755339096001</v>
      </c>
      <c r="I159" s="310">
        <f>IF(AND(ISNUMBER('Funnel setup'!P171),D159&gt;=30,E159&lt;&gt;"*"),F159-3.090232306 *('Funnel setup'!$K$7/SQRT('Funnel Data'!D159)),"")</f>
        <v>9.6559257726738235E-3</v>
      </c>
      <c r="J159" s="310">
        <f>IF(AND(ISNUMBER('Funnel setup'!P171),D159&gt;=30,E159&lt;&gt;"*"),F159+3.090232306 *('Funnel setup'!$K$7/SQRT('Funnel Data'!D159)),"")</f>
        <v>0.15765287517805679</v>
      </c>
      <c r="K159" s="311" t="str">
        <f>IF(AND(ISNUMBER('Funnel setup'!P171),D159&gt;=30,E159&lt;&gt;"*"),IF(E159&gt;J159,'Funnel setup'!$K$14&amp;"99.8%",IF(E159&gt;H159,'Funnel setup'!$K$14&amp;"95%",IF(E159&lt;I159,'Funnel setup'!$K$15&amp;"99.8%",IF(E159&lt;G159,'Funnel setup'!$K$15&amp;"95%","")))),"")</f>
        <v/>
      </c>
    </row>
    <row r="160" spans="2:11" ht="15" x14ac:dyDescent="0.2">
      <c r="B160" s="307" t="str">
        <f>IF(ISNUMBER('Funnel setup'!P172),VLOOKUP('Funnel setup'!$P172,'Provider Commission - Raw Data'!$A:$Q,5,0),"")</f>
        <v>NT229</v>
      </c>
      <c r="C160" s="308" t="str">
        <f>IF(ISNUMBER('Funnel setup'!P172),VLOOKUP('Funnel setup'!P172,'Provider Commission - Raw Data'!$A:$Q,6,0),"")</f>
        <v>NUFFIELD HEALTH, NEWCASTLE UPON TYNE HOSPITAL (NT229)</v>
      </c>
      <c r="D160" s="309">
        <f>IF(ISNUMBER('Funnel setup'!P172),VLOOKUP('Funnel setup'!P172,'Provider Commission - Raw Data'!$A:$Q,8,0),"")</f>
        <v>58</v>
      </c>
      <c r="E160" s="446">
        <f>IF(ISNUMBER('Funnel setup'!P172),VLOOKUP('Funnel setup'!P172,'Provider Commission - Raw Data'!$A:$Q,16,0),"")</f>
        <v>7.4759554000000006E-2</v>
      </c>
      <c r="F160" s="310">
        <f>IF(ISNUMBER('Funnel setup'!P172),'Funnel setup'!$K$8,"")</f>
        <v>8.3654400475365306E-2</v>
      </c>
      <c r="G160" s="310">
        <f>IF(AND(ISNUMBER('Funnel setup'!P172),D160&gt;=30,E160&lt;&gt;"*"),F160-1.959963985 *('Funnel setup'!$K$7/SQRT('Funnel Data'!D160)),"")</f>
        <v>4.2776171493057742E-2</v>
      </c>
      <c r="H160" s="310">
        <f>IF(AND(ISNUMBER('Funnel setup'!P172),D160&gt;=30,E160&lt;&gt;"*"),F160+1.959963985 *('Funnel setup'!$K$7/SQRT('Funnel Data'!D160)),"")</f>
        <v>0.12453262945767288</v>
      </c>
      <c r="I160" s="310">
        <f>IF(AND(ISNUMBER('Funnel setup'!P172),D160&gt;=30,E160&lt;&gt;"*"),F160-3.090232306 *('Funnel setup'!$K$7/SQRT('Funnel Data'!D160)),"")</f>
        <v>1.920259177889462E-2</v>
      </c>
      <c r="J160" s="310">
        <f>IF(AND(ISNUMBER('Funnel setup'!P172),D160&gt;=30,E160&lt;&gt;"*"),F160+3.090232306 *('Funnel setup'!$K$7/SQRT('Funnel Data'!D160)),"")</f>
        <v>0.14810620917183598</v>
      </c>
      <c r="K160" s="311" t="str">
        <f>IF(AND(ISNUMBER('Funnel setup'!P172),D160&gt;=30,E160&lt;&gt;"*"),IF(E160&gt;J160,'Funnel setup'!$K$14&amp;"99.8%",IF(E160&gt;H160,'Funnel setup'!$K$14&amp;"95%",IF(E160&lt;I160,'Funnel setup'!$K$15&amp;"99.8%",IF(E160&lt;G160,'Funnel setup'!$K$15&amp;"95%","")))),"")</f>
        <v/>
      </c>
    </row>
    <row r="161" spans="1:11" ht="15" x14ac:dyDescent="0.2">
      <c r="B161" s="307" t="str">
        <f>IF(ISNUMBER('Funnel setup'!P173),VLOOKUP('Funnel setup'!$P173,'Provider Commission - Raw Data'!$A:$Q,5,0),"")</f>
        <v>NT230</v>
      </c>
      <c r="C161" s="308" t="str">
        <f>IF(ISNUMBER('Funnel setup'!P173),VLOOKUP('Funnel setup'!P173,'Provider Commission - Raw Data'!$A:$Q,6,0),"")</f>
        <v>NUFFIELD HEALTH, NORTH STAFFORDSHIRE HOSPITAL (NT230)</v>
      </c>
      <c r="D161" s="309">
        <f>IF(ISNUMBER('Funnel setup'!P173),VLOOKUP('Funnel setup'!P173,'Provider Commission - Raw Data'!$A:$Q,8,0),"")</f>
        <v>27</v>
      </c>
      <c r="E161" s="446" t="str">
        <f>IF(ISNUMBER('Funnel setup'!P173),VLOOKUP('Funnel setup'!P173,'Provider Commission - Raw Data'!$A:$Q,16,0),"")</f>
        <v>*</v>
      </c>
      <c r="F161" s="310">
        <f>IF(ISNUMBER('Funnel setup'!P173),'Funnel setup'!$K$8,"")</f>
        <v>8.3654400475365306E-2</v>
      </c>
      <c r="G161" s="310" t="str">
        <f>IF(AND(ISNUMBER('Funnel setup'!P173),D161&gt;=30,E161&lt;&gt;"*"),F161-1.959963985 *('Funnel setup'!$K$7/SQRT('Funnel Data'!D161)),"")</f>
        <v/>
      </c>
      <c r="H161" s="310" t="str">
        <f>IF(AND(ISNUMBER('Funnel setup'!P173),D161&gt;=30,E161&lt;&gt;"*"),F161+1.959963985 *('Funnel setup'!$K$7/SQRT('Funnel Data'!D161)),"")</f>
        <v/>
      </c>
      <c r="I161" s="310" t="str">
        <f>IF(AND(ISNUMBER('Funnel setup'!P173),D161&gt;=30,E161&lt;&gt;"*"),F161-3.090232306 *('Funnel setup'!$K$7/SQRT('Funnel Data'!D161)),"")</f>
        <v/>
      </c>
      <c r="J161" s="310" t="str">
        <f>IF(AND(ISNUMBER('Funnel setup'!P173),D161&gt;=30,E161&lt;&gt;"*"),F161+3.090232306 *('Funnel setup'!$K$7/SQRT('Funnel Data'!D161)),"")</f>
        <v/>
      </c>
      <c r="K161" s="311" t="str">
        <f>IF(AND(ISNUMBER('Funnel setup'!P173),D161&gt;=30,E161&lt;&gt;"*"),IF(E161&gt;J161,'Funnel setup'!$K$14&amp;"99.8%",IF(E161&gt;H161,'Funnel setup'!$K$14&amp;"95%",IF(E161&lt;I161,'Funnel setup'!$K$15&amp;"99.8%",IF(E161&lt;G161,'Funnel setup'!$K$15&amp;"95%","")))),"")</f>
        <v/>
      </c>
    </row>
    <row r="162" spans="1:11" ht="15" x14ac:dyDescent="0.2">
      <c r="B162" s="307" t="str">
        <f>IF(ISNUMBER('Funnel setup'!P174),VLOOKUP('Funnel setup'!$P174,'Provider Commission - Raw Data'!$A:$Q,5,0),"")</f>
        <v>NT233</v>
      </c>
      <c r="C162" s="308" t="str">
        <f>IF(ISNUMBER('Funnel setup'!P174),VLOOKUP('Funnel setup'!P174,'Provider Commission - Raw Data'!$A:$Q,6,0),"")</f>
        <v>NUFFIELD HEALTH, PLYMOUTH HOSPITAL (NT233)</v>
      </c>
      <c r="D162" s="309">
        <f>IF(ISNUMBER('Funnel setup'!P174),VLOOKUP('Funnel setup'!P174,'Provider Commission - Raw Data'!$A:$Q,8,0),"")</f>
        <v>214</v>
      </c>
      <c r="E162" s="446">
        <f>IF(ISNUMBER('Funnel setup'!P174),VLOOKUP('Funnel setup'!P174,'Provider Commission - Raw Data'!$A:$Q,16,0),"")</f>
        <v>8.3826815999999998E-2</v>
      </c>
      <c r="F162" s="310">
        <f>IF(ISNUMBER('Funnel setup'!P174),'Funnel setup'!$K$8,"")</f>
        <v>8.3654400475365306E-2</v>
      </c>
      <c r="G162" s="310">
        <f>IF(AND(ISNUMBER('Funnel setup'!P174),D162&gt;=30,E162&lt;&gt;"*"),F162-1.959963985 *('Funnel setup'!$K$7/SQRT('Funnel Data'!D162)),"")</f>
        <v>6.2373050091069887E-2</v>
      </c>
      <c r="H162" s="310">
        <f>IF(AND(ISNUMBER('Funnel setup'!P174),D162&gt;=30,E162&lt;&gt;"*"),F162+1.959963985 *('Funnel setup'!$K$7/SQRT('Funnel Data'!D162)),"")</f>
        <v>0.10493575085966073</v>
      </c>
      <c r="I162" s="310">
        <f>IF(AND(ISNUMBER('Funnel setup'!P174),D162&gt;=30,E162&lt;&gt;"*"),F162-3.090232306 *('Funnel setup'!$K$7/SQRT('Funnel Data'!D162)),"")</f>
        <v>5.0100561233336977E-2</v>
      </c>
      <c r="J162" s="310">
        <f>IF(AND(ISNUMBER('Funnel setup'!P174),D162&gt;=30,E162&lt;&gt;"*"),F162+3.090232306 *('Funnel setup'!$K$7/SQRT('Funnel Data'!D162)),"")</f>
        <v>0.11720823971739364</v>
      </c>
      <c r="K162" s="311" t="str">
        <f>IF(AND(ISNUMBER('Funnel setup'!P174),D162&gt;=30,E162&lt;&gt;"*"),IF(E162&gt;J162,'Funnel setup'!$K$14&amp;"99.8%",IF(E162&gt;H162,'Funnel setup'!$K$14&amp;"95%",IF(E162&lt;I162,'Funnel setup'!$K$15&amp;"99.8%",IF(E162&lt;G162,'Funnel setup'!$K$15&amp;"95%","")))),"")</f>
        <v/>
      </c>
    </row>
    <row r="163" spans="1:11" ht="15" x14ac:dyDescent="0.2">
      <c r="B163" s="307" t="str">
        <f>IF(ISNUMBER('Funnel setup'!P175),VLOOKUP('Funnel setup'!$P175,'Provider Commission - Raw Data'!$A:$Q,5,0),"")</f>
        <v>NT235</v>
      </c>
      <c r="C163" s="308" t="str">
        <f>IF(ISNUMBER('Funnel setup'!P175),VLOOKUP('Funnel setup'!P175,'Provider Commission - Raw Data'!$A:$Q,6,0),"")</f>
        <v>NUFFIELD HEALTH, SHREWSBURY HOSPITAL (NT235)</v>
      </c>
      <c r="D163" s="309">
        <f>IF(ISNUMBER('Funnel setup'!P175),VLOOKUP('Funnel setup'!P175,'Provider Commission - Raw Data'!$A:$Q,8,0),"")</f>
        <v>50</v>
      </c>
      <c r="E163" s="446">
        <f>IF(ISNUMBER('Funnel setup'!P175),VLOOKUP('Funnel setup'!P175,'Provider Commission - Raw Data'!$A:$Q,16,0),"")</f>
        <v>0.101615418</v>
      </c>
      <c r="F163" s="310">
        <f>IF(ISNUMBER('Funnel setup'!P175),'Funnel setup'!$K$8,"")</f>
        <v>8.3654400475365306E-2</v>
      </c>
      <c r="G163" s="310">
        <f>IF(AND(ISNUMBER('Funnel setup'!P175),D163&gt;=30,E163&lt;&gt;"*"),F163-1.959963985 *('Funnel setup'!$K$7/SQRT('Funnel Data'!D163)),"")</f>
        <v>3.9627200456663625E-2</v>
      </c>
      <c r="H163" s="310">
        <f>IF(AND(ISNUMBER('Funnel setup'!P175),D163&gt;=30,E163&lt;&gt;"*"),F163+1.959963985 *('Funnel setup'!$K$7/SQRT('Funnel Data'!D163)),"")</f>
        <v>0.12768160049406699</v>
      </c>
      <c r="I163" s="310">
        <f>IF(AND(ISNUMBER('Funnel setup'!P175),D163&gt;=30,E163&lt;&gt;"*"),F163-3.090232306 *('Funnel setup'!$K$7/SQRT('Funnel Data'!D163)),"")</f>
        <v>1.4237678085685407E-2</v>
      </c>
      <c r="J163" s="310">
        <f>IF(AND(ISNUMBER('Funnel setup'!P175),D163&gt;=30,E163&lt;&gt;"*"),F163+3.090232306 *('Funnel setup'!$K$7/SQRT('Funnel Data'!D163)),"")</f>
        <v>0.15307112286504521</v>
      </c>
      <c r="K163" s="311" t="str">
        <f>IF(AND(ISNUMBER('Funnel setup'!P175),D163&gt;=30,E163&lt;&gt;"*"),IF(E163&gt;J163,'Funnel setup'!$K$14&amp;"99.8%",IF(E163&gt;H163,'Funnel setup'!$K$14&amp;"95%",IF(E163&lt;I163,'Funnel setup'!$K$15&amp;"99.8%",IF(E163&lt;G163,'Funnel setup'!$K$15&amp;"95%","")))),"")</f>
        <v/>
      </c>
    </row>
    <row r="164" spans="1:11" ht="15" x14ac:dyDescent="0.2">
      <c r="B164" s="307" t="str">
        <f>IF(ISNUMBER('Funnel setup'!P176),VLOOKUP('Funnel setup'!$P176,'Provider Commission - Raw Data'!$A:$Q,5,0),"")</f>
        <v>NT238</v>
      </c>
      <c r="C164" s="308" t="str">
        <f>IF(ISNUMBER('Funnel setup'!P176),VLOOKUP('Funnel setup'!P176,'Provider Commission - Raw Data'!$A:$Q,6,0),"")</f>
        <v>NUFFIELD HEALTH, TAUNTON HOSPITAL (NT238)</v>
      </c>
      <c r="D164" s="309">
        <f>IF(ISNUMBER('Funnel setup'!P176),VLOOKUP('Funnel setup'!P176,'Provider Commission - Raw Data'!$A:$Q,8,0),"")</f>
        <v>59</v>
      </c>
      <c r="E164" s="446">
        <f>IF(ISNUMBER('Funnel setup'!P176),VLOOKUP('Funnel setup'!P176,'Provider Commission - Raw Data'!$A:$Q,16,0),"")</f>
        <v>0.112470717</v>
      </c>
      <c r="F164" s="310">
        <f>IF(ISNUMBER('Funnel setup'!P176),'Funnel setup'!$K$8,"")</f>
        <v>8.3654400475365306E-2</v>
      </c>
      <c r="G164" s="310">
        <f>IF(AND(ISNUMBER('Funnel setup'!P176),D164&gt;=30,E164&lt;&gt;"*"),F164-1.959963985 *('Funnel setup'!$K$7/SQRT('Funnel Data'!D164)),"")</f>
        <v>4.3124077641015945E-2</v>
      </c>
      <c r="H164" s="310">
        <f>IF(AND(ISNUMBER('Funnel setup'!P176),D164&gt;=30,E164&lt;&gt;"*"),F164+1.959963985 *('Funnel setup'!$K$7/SQRT('Funnel Data'!D164)),"")</f>
        <v>0.12418472330971467</v>
      </c>
      <c r="I164" s="310">
        <f>IF(AND(ISNUMBER('Funnel setup'!P176),D164&gt;=30,E164&lt;&gt;"*"),F164-3.090232306 *('Funnel setup'!$K$7/SQRT('Funnel Data'!D164)),"")</f>
        <v>1.9751127785731737E-2</v>
      </c>
      <c r="J164" s="310">
        <f>IF(AND(ISNUMBER('Funnel setup'!P176),D164&gt;=30,E164&lt;&gt;"*"),F164+3.090232306 *('Funnel setup'!$K$7/SQRT('Funnel Data'!D164)),"")</f>
        <v>0.14755767316499888</v>
      </c>
      <c r="K164" s="311" t="str">
        <f>IF(AND(ISNUMBER('Funnel setup'!P176),D164&gt;=30,E164&lt;&gt;"*"),IF(E164&gt;J164,'Funnel setup'!$K$14&amp;"99.8%",IF(E164&gt;H164,'Funnel setup'!$K$14&amp;"95%",IF(E164&lt;I164,'Funnel setup'!$K$15&amp;"99.8%",IF(E164&lt;G164,'Funnel setup'!$K$15&amp;"95%","")))),"")</f>
        <v/>
      </c>
    </row>
    <row r="165" spans="1:11" ht="15" x14ac:dyDescent="0.2">
      <c r="B165" s="307" t="str">
        <f>IF(ISNUMBER('Funnel setup'!P177),VLOOKUP('Funnel setup'!$P177,'Provider Commission - Raw Data'!$A:$Q,5,0),"")</f>
        <v>NT237</v>
      </c>
      <c r="C165" s="308" t="str">
        <f>IF(ISNUMBER('Funnel setup'!P177),VLOOKUP('Funnel setup'!P177,'Provider Commission - Raw Data'!$A:$Q,6,0),"")</f>
        <v>NUFFIELD HEALTH, TEES HOSPITAL (NT237)</v>
      </c>
      <c r="D165" s="309">
        <f>IF(ISNUMBER('Funnel setup'!P177),VLOOKUP('Funnel setup'!P177,'Provider Commission - Raw Data'!$A:$Q,8,0),"")</f>
        <v>93</v>
      </c>
      <c r="E165" s="446">
        <f>IF(ISNUMBER('Funnel setup'!P177),VLOOKUP('Funnel setup'!P177,'Provider Commission - Raw Data'!$A:$Q,16,0),"")</f>
        <v>9.3466969999999996E-2</v>
      </c>
      <c r="F165" s="310">
        <f>IF(ISNUMBER('Funnel setup'!P177),'Funnel setup'!$K$8,"")</f>
        <v>8.3654400475365306E-2</v>
      </c>
      <c r="G165" s="310">
        <f>IF(AND(ISNUMBER('Funnel setup'!P177),D165&gt;=30,E165&lt;&gt;"*"),F165-1.959963985 *('Funnel setup'!$K$7/SQRT('Funnel Data'!D165)),"")</f>
        <v>5.1372091149311939E-2</v>
      </c>
      <c r="H165" s="310">
        <f>IF(AND(ISNUMBER('Funnel setup'!P177),D165&gt;=30,E165&lt;&gt;"*"),F165+1.959963985 *('Funnel setup'!$K$7/SQRT('Funnel Data'!D165)),"")</f>
        <v>0.11593670980141868</v>
      </c>
      <c r="I165" s="310">
        <f>IF(AND(ISNUMBER('Funnel setup'!P177),D165&gt;=30,E165&lt;&gt;"*"),F165-3.090232306 *('Funnel setup'!$K$7/SQRT('Funnel Data'!D165)),"")</f>
        <v>3.2755590111941617E-2</v>
      </c>
      <c r="J165" s="310">
        <f>IF(AND(ISNUMBER('Funnel setup'!P177),D165&gt;=30,E165&lt;&gt;"*"),F165+3.090232306 *('Funnel setup'!$K$7/SQRT('Funnel Data'!D165)),"")</f>
        <v>0.13455321083878899</v>
      </c>
      <c r="K165" s="311" t="str">
        <f>IF(AND(ISNUMBER('Funnel setup'!P177),D165&gt;=30,E165&lt;&gt;"*"),IF(E165&gt;J165,'Funnel setup'!$K$14&amp;"99.8%",IF(E165&gt;H165,'Funnel setup'!$K$14&amp;"95%",IF(E165&lt;I165,'Funnel setup'!$K$15&amp;"99.8%",IF(E165&lt;G165,'Funnel setup'!$K$15&amp;"95%","")))),"")</f>
        <v/>
      </c>
    </row>
    <row r="166" spans="1:11" ht="15" x14ac:dyDescent="0.2">
      <c r="B166" s="307" t="str">
        <f>IF(ISNUMBER('Funnel setup'!P178),VLOOKUP('Funnel setup'!$P178,'Provider Commission - Raw Data'!$A:$Q,5,0),"")</f>
        <v>NT239</v>
      </c>
      <c r="C166" s="308" t="str">
        <f>IF(ISNUMBER('Funnel setup'!P178),VLOOKUP('Funnel setup'!P178,'Provider Commission - Raw Data'!$A:$Q,6,0),"")</f>
        <v>NUFFIELD HEALTH, TUNBRIDGE WELLS HOSPITAL (NT239)</v>
      </c>
      <c r="D166" s="309">
        <f>IF(ISNUMBER('Funnel setup'!P178),VLOOKUP('Funnel setup'!P178,'Provider Commission - Raw Data'!$A:$Q,8,0),"")</f>
        <v>13</v>
      </c>
      <c r="E166" s="446" t="str">
        <f>IF(ISNUMBER('Funnel setup'!P178),VLOOKUP('Funnel setup'!P178,'Provider Commission - Raw Data'!$A:$Q,16,0),"")</f>
        <v>*</v>
      </c>
      <c r="F166" s="310">
        <f>IF(ISNUMBER('Funnel setup'!P178),'Funnel setup'!$K$8,"")</f>
        <v>8.3654400475365306E-2</v>
      </c>
      <c r="G166" s="310" t="str">
        <f>IF(AND(ISNUMBER('Funnel setup'!P178),D166&gt;=30,E166&lt;&gt;"*"),F166-1.959963985 *('Funnel setup'!$K$7/SQRT('Funnel Data'!D166)),"")</f>
        <v/>
      </c>
      <c r="H166" s="310" t="str">
        <f>IF(AND(ISNUMBER('Funnel setup'!P178),D166&gt;=30,E166&lt;&gt;"*"),F166+1.959963985 *('Funnel setup'!$K$7/SQRT('Funnel Data'!D166)),"")</f>
        <v/>
      </c>
      <c r="I166" s="310" t="str">
        <f>IF(AND(ISNUMBER('Funnel setup'!P178),D166&gt;=30,E166&lt;&gt;"*"),F166-3.090232306 *('Funnel setup'!$K$7/SQRT('Funnel Data'!D166)),"")</f>
        <v/>
      </c>
      <c r="J166" s="310" t="str">
        <f>IF(AND(ISNUMBER('Funnel setup'!P178),D166&gt;=30,E166&lt;&gt;"*"),F166+3.090232306 *('Funnel setup'!$K$7/SQRT('Funnel Data'!D166)),"")</f>
        <v/>
      </c>
      <c r="K166" s="311" t="str">
        <f>IF(AND(ISNUMBER('Funnel setup'!P178),D166&gt;=30,E166&lt;&gt;"*"),IF(E166&gt;J166,'Funnel setup'!$K$14&amp;"99.8%",IF(E166&gt;H166,'Funnel setup'!$K$14&amp;"95%",IF(E166&lt;I166,'Funnel setup'!$K$15&amp;"99.8%",IF(E166&lt;G166,'Funnel setup'!$K$15&amp;"95%","")))),"")</f>
        <v/>
      </c>
    </row>
    <row r="167" spans="1:11" ht="15" x14ac:dyDescent="0.2">
      <c r="B167" s="307" t="str">
        <f>IF(ISNUMBER('Funnel setup'!P179),VLOOKUP('Funnel setup'!$P179,'Provider Commission - Raw Data'!$A:$Q,5,0),"")</f>
        <v>NT214</v>
      </c>
      <c r="C167" s="308" t="str">
        <f>IF(ISNUMBER('Funnel setup'!P179),VLOOKUP('Funnel setup'!P179,'Provider Commission - Raw Data'!$A:$Q,6,0),"")</f>
        <v>NUFFIELD HEALTH, WESSEX HOSPITAL (NT214)</v>
      </c>
      <c r="D167" s="309">
        <f>IF(ISNUMBER('Funnel setup'!P179),VLOOKUP('Funnel setup'!P179,'Provider Commission - Raw Data'!$A:$Q,8,0),"")</f>
        <v>11</v>
      </c>
      <c r="E167" s="446" t="str">
        <f>IF(ISNUMBER('Funnel setup'!P179),VLOOKUP('Funnel setup'!P179,'Provider Commission - Raw Data'!$A:$Q,16,0),"")</f>
        <v>*</v>
      </c>
      <c r="F167" s="310">
        <f>IF(ISNUMBER('Funnel setup'!P179),'Funnel setup'!$K$8,"")</f>
        <v>8.3654400475365306E-2</v>
      </c>
      <c r="G167" s="310" t="str">
        <f>IF(AND(ISNUMBER('Funnel setup'!P179),D167&gt;=30,E167&lt;&gt;"*"),F167-1.959963985 *('Funnel setup'!$K$7/SQRT('Funnel Data'!D167)),"")</f>
        <v/>
      </c>
      <c r="H167" s="310" t="str">
        <f>IF(AND(ISNUMBER('Funnel setup'!P179),D167&gt;=30,E167&lt;&gt;"*"),F167+1.959963985 *('Funnel setup'!$K$7/SQRT('Funnel Data'!D167)),"")</f>
        <v/>
      </c>
      <c r="I167" s="310" t="str">
        <f>IF(AND(ISNUMBER('Funnel setup'!P179),D167&gt;=30,E167&lt;&gt;"*"),F167-3.090232306 *('Funnel setup'!$K$7/SQRT('Funnel Data'!D167)),"")</f>
        <v/>
      </c>
      <c r="J167" s="310" t="str">
        <f>IF(AND(ISNUMBER('Funnel setup'!P179),D167&gt;=30,E167&lt;&gt;"*"),F167+3.090232306 *('Funnel setup'!$K$7/SQRT('Funnel Data'!D167)),"")</f>
        <v/>
      </c>
      <c r="K167" s="311" t="str">
        <f>IF(AND(ISNUMBER('Funnel setup'!P179),D167&gt;=30,E167&lt;&gt;"*"),IF(E167&gt;J167,'Funnel setup'!$K$14&amp;"99.8%",IF(E167&gt;H167,'Funnel setup'!$K$14&amp;"95%",IF(E167&lt;I167,'Funnel setup'!$K$15&amp;"99.8%",IF(E167&lt;G167,'Funnel setup'!$K$15&amp;"95%","")))),"")</f>
        <v/>
      </c>
    </row>
    <row r="168" spans="1:11" ht="15" x14ac:dyDescent="0.2">
      <c r="B168" s="307" t="str">
        <f>IF(ISNUMBER('Funnel setup'!P180),VLOOKUP('Funnel setup'!$P180,'Provider Commission - Raw Data'!$A:$Q,5,0),"")</f>
        <v>NT241</v>
      </c>
      <c r="C168" s="308" t="str">
        <f>IF(ISNUMBER('Funnel setup'!P180),VLOOKUP('Funnel setup'!P180,'Provider Commission - Raw Data'!$A:$Q,6,0),"")</f>
        <v>NUFFIELD HEALTH, WOKING HOSPITAL (NT241)</v>
      </c>
      <c r="D168" s="309">
        <f>IF(ISNUMBER('Funnel setup'!P180),VLOOKUP('Funnel setup'!P180,'Provider Commission - Raw Data'!$A:$Q,8,0),"")</f>
        <v>9</v>
      </c>
      <c r="E168" s="446" t="str">
        <f>IF(ISNUMBER('Funnel setup'!P180),VLOOKUP('Funnel setup'!P180,'Provider Commission - Raw Data'!$A:$Q,16,0),"")</f>
        <v>*</v>
      </c>
      <c r="F168" s="310">
        <f>IF(ISNUMBER('Funnel setup'!P180),'Funnel setup'!$K$8,"")</f>
        <v>8.3654400475365306E-2</v>
      </c>
      <c r="G168" s="310" t="str">
        <f>IF(AND(ISNUMBER('Funnel setup'!P180),D168&gt;=30,E168&lt;&gt;"*"),F168-1.959963985 *('Funnel setup'!$K$7/SQRT('Funnel Data'!D168)),"")</f>
        <v/>
      </c>
      <c r="H168" s="310" t="str">
        <f>IF(AND(ISNUMBER('Funnel setup'!P180),D168&gt;=30,E168&lt;&gt;"*"),F168+1.959963985 *('Funnel setup'!$K$7/SQRT('Funnel Data'!D168)),"")</f>
        <v/>
      </c>
      <c r="I168" s="310" t="str">
        <f>IF(AND(ISNUMBER('Funnel setup'!P180),D168&gt;=30,E168&lt;&gt;"*"),F168-3.090232306 *('Funnel setup'!$K$7/SQRT('Funnel Data'!D168)),"")</f>
        <v/>
      </c>
      <c r="J168" s="310" t="str">
        <f>IF(AND(ISNUMBER('Funnel setup'!P180),D168&gt;=30,E168&lt;&gt;"*"),F168+3.090232306 *('Funnel setup'!$K$7/SQRT('Funnel Data'!D168)),"")</f>
        <v/>
      </c>
      <c r="K168" s="311" t="str">
        <f>IF(AND(ISNUMBER('Funnel setup'!P180),D168&gt;=30,E168&lt;&gt;"*"),IF(E168&gt;J168,'Funnel setup'!$K$14&amp;"99.8%",IF(E168&gt;H168,'Funnel setup'!$K$14&amp;"95%",IF(E168&lt;I168,'Funnel setup'!$K$15&amp;"99.8%",IF(E168&lt;G168,'Funnel setup'!$K$15&amp;"95%","")))),"")</f>
        <v/>
      </c>
    </row>
    <row r="169" spans="1:11" ht="15" x14ac:dyDescent="0.2">
      <c r="B169" s="307" t="str">
        <f>IF(ISNUMBER('Funnel setup'!P181),VLOOKUP('Funnel setup'!$P181,'Provider Commission - Raw Data'!$A:$Q,5,0),"")</f>
        <v>NT242</v>
      </c>
      <c r="C169" s="308" t="str">
        <f>IF(ISNUMBER('Funnel setup'!P181),VLOOKUP('Funnel setup'!P181,'Provider Commission - Raw Data'!$A:$Q,6,0),"")</f>
        <v>NUFFIELD HEALTH, WOLVERHAMPTON HOSPITAL (NT242)</v>
      </c>
      <c r="D169" s="309">
        <f>IF(ISNUMBER('Funnel setup'!P181),VLOOKUP('Funnel setup'!P181,'Provider Commission - Raw Data'!$A:$Q,8,0),"")</f>
        <v>25</v>
      </c>
      <c r="E169" s="446" t="str">
        <f>IF(ISNUMBER('Funnel setup'!P181),VLOOKUP('Funnel setup'!P181,'Provider Commission - Raw Data'!$A:$Q,16,0),"")</f>
        <v>*</v>
      </c>
      <c r="F169" s="310">
        <f>IF(ISNUMBER('Funnel setup'!P181),'Funnel setup'!$K$8,"")</f>
        <v>8.3654400475365306E-2</v>
      </c>
      <c r="G169" s="310" t="str">
        <f>IF(AND(ISNUMBER('Funnel setup'!P181),D169&gt;=30,E169&lt;&gt;"*"),F169-1.959963985 *('Funnel setup'!$K$7/SQRT('Funnel Data'!D169)),"")</f>
        <v/>
      </c>
      <c r="H169" s="310" t="str">
        <f>IF(AND(ISNUMBER('Funnel setup'!P181),D169&gt;=30,E169&lt;&gt;"*"),F169+1.959963985 *('Funnel setup'!$K$7/SQRT('Funnel Data'!D169)),"")</f>
        <v/>
      </c>
      <c r="I169" s="310" t="str">
        <f>IF(AND(ISNUMBER('Funnel setup'!P181),D169&gt;=30,E169&lt;&gt;"*"),F169-3.090232306 *('Funnel setup'!$K$7/SQRT('Funnel Data'!D169)),"")</f>
        <v/>
      </c>
      <c r="J169" s="310" t="str">
        <f>IF(AND(ISNUMBER('Funnel setup'!P181),D169&gt;=30,E169&lt;&gt;"*"),F169+3.090232306 *('Funnel setup'!$K$7/SQRT('Funnel Data'!D169)),"")</f>
        <v/>
      </c>
      <c r="K169" s="311" t="str">
        <f>IF(AND(ISNUMBER('Funnel setup'!P181),D169&gt;=30,E169&lt;&gt;"*"),IF(E169&gt;J169,'Funnel setup'!$K$14&amp;"99.8%",IF(E169&gt;H169,'Funnel setup'!$K$14&amp;"95%",IF(E169&lt;I169,'Funnel setup'!$K$15&amp;"99.8%",IF(E169&lt;G169,'Funnel setup'!$K$15&amp;"95%","")))),"")</f>
        <v/>
      </c>
    </row>
    <row r="170" spans="1:11" ht="15" x14ac:dyDescent="0.2">
      <c r="B170" s="307" t="str">
        <f>IF(ISNUMBER('Funnel setup'!P182),VLOOKUP('Funnel setup'!$P182,'Provider Commission - Raw Data'!$A:$Q,5,0),"")</f>
        <v>NVC12</v>
      </c>
      <c r="C170" s="308" t="str">
        <f>IF(ISNUMBER('Funnel setup'!P182),VLOOKUP('Funnel setup'!P182,'Provider Commission - Raw Data'!$A:$Q,6,0),"")</f>
        <v>OAKLANDS HOSPITAL (NVC12)</v>
      </c>
      <c r="D170" s="309">
        <f>IF(ISNUMBER('Funnel setup'!P182),VLOOKUP('Funnel setup'!P182,'Provider Commission - Raw Data'!$A:$Q,8,0),"")</f>
        <v>37</v>
      </c>
      <c r="E170" s="446">
        <f>IF(ISNUMBER('Funnel setup'!P182),VLOOKUP('Funnel setup'!P182,'Provider Commission - Raw Data'!$A:$Q,16,0),"")</f>
        <v>0.10477222</v>
      </c>
      <c r="F170" s="310">
        <f>IF(ISNUMBER('Funnel setup'!P182),'Funnel setup'!$K$8,"")</f>
        <v>8.3654400475365306E-2</v>
      </c>
      <c r="G170" s="310">
        <f>IF(AND(ISNUMBER('Funnel setup'!P182),D170&gt;=30,E170&lt;&gt;"*"),F170-1.959963985 *('Funnel setup'!$K$7/SQRT('Funnel Data'!D170)),"")</f>
        <v>3.2473820048606238E-2</v>
      </c>
      <c r="H170" s="310">
        <f>IF(AND(ISNUMBER('Funnel setup'!P182),D170&gt;=30,E170&lt;&gt;"*"),F170+1.959963985 *('Funnel setup'!$K$7/SQRT('Funnel Data'!D170)),"")</f>
        <v>0.13483498090212437</v>
      </c>
      <c r="I170" s="310">
        <f>IF(AND(ISNUMBER('Funnel setup'!P182),D170&gt;=30,E170&lt;&gt;"*"),F170-3.090232306 *('Funnel setup'!$K$7/SQRT('Funnel Data'!D170)),"")</f>
        <v>2.9590998040102956E-3</v>
      </c>
      <c r="J170" s="310">
        <f>IF(AND(ISNUMBER('Funnel setup'!P182),D170&gt;=30,E170&lt;&gt;"*"),F170+3.090232306 *('Funnel setup'!$K$7/SQRT('Funnel Data'!D170)),"")</f>
        <v>0.16434970114672032</v>
      </c>
      <c r="K170" s="311" t="str">
        <f>IF(AND(ISNUMBER('Funnel setup'!P182),D170&gt;=30,E170&lt;&gt;"*"),IF(E170&gt;J170,'Funnel setup'!$K$14&amp;"99.8%",IF(E170&gt;H170,'Funnel setup'!$K$14&amp;"95%",IF(E170&lt;I170,'Funnel setup'!$K$15&amp;"99.8%",IF(E170&lt;G170,'Funnel setup'!$K$15&amp;"95%","")))),"")</f>
        <v/>
      </c>
    </row>
    <row r="171" spans="1:11" ht="15" x14ac:dyDescent="0.2">
      <c r="B171" s="307" t="str">
        <f>IF(ISNUMBER('Funnel setup'!P183),VLOOKUP('Funnel setup'!$P183,'Provider Commission - Raw Data'!$A:$Q,5,0),"")</f>
        <v>NVC13</v>
      </c>
      <c r="C171" s="308" t="str">
        <f>IF(ISNUMBER('Funnel setup'!P183),VLOOKUP('Funnel setup'!P183,'Provider Commission - Raw Data'!$A:$Q,6,0),"")</f>
        <v>OAKS HOSPITAL (NVC13)</v>
      </c>
      <c r="D171" s="309">
        <f>IF(ISNUMBER('Funnel setup'!P183),VLOOKUP('Funnel setup'!P183,'Provider Commission - Raw Data'!$A:$Q,8,0),"")</f>
        <v>77</v>
      </c>
      <c r="E171" s="446">
        <f>IF(ISNUMBER('Funnel setup'!P183),VLOOKUP('Funnel setup'!P183,'Provider Commission - Raw Data'!$A:$Q,16,0),"")</f>
        <v>9.5053023E-2</v>
      </c>
      <c r="F171" s="310">
        <f>IF(ISNUMBER('Funnel setup'!P183),'Funnel setup'!$K$8,"")</f>
        <v>8.3654400475365306E-2</v>
      </c>
      <c r="G171" s="310">
        <f>IF(AND(ISNUMBER('Funnel setup'!P183),D171&gt;=30,E171&lt;&gt;"*"),F171-1.959963985 *('Funnel setup'!$K$7/SQRT('Funnel Data'!D171)),"")</f>
        <v>4.8176271658556841E-2</v>
      </c>
      <c r="H171" s="310">
        <f>IF(AND(ISNUMBER('Funnel setup'!P183),D171&gt;=30,E171&lt;&gt;"*"),F171+1.959963985 *('Funnel setup'!$K$7/SQRT('Funnel Data'!D171)),"")</f>
        <v>0.11913252929217377</v>
      </c>
      <c r="I171" s="310">
        <f>IF(AND(ISNUMBER('Funnel setup'!P183),D171&gt;=30,E171&lt;&gt;"*"),F171-3.090232306 *('Funnel setup'!$K$7/SQRT('Funnel Data'!D171)),"")</f>
        <v>2.7716811486386467E-2</v>
      </c>
      <c r="J171" s="310">
        <f>IF(AND(ISNUMBER('Funnel setup'!P183),D171&gt;=30,E171&lt;&gt;"*"),F171+3.090232306 *('Funnel setup'!$K$7/SQRT('Funnel Data'!D171)),"")</f>
        <v>0.13959198946434415</v>
      </c>
      <c r="K171" s="311" t="str">
        <f>IF(AND(ISNUMBER('Funnel setup'!P183),D171&gt;=30,E171&lt;&gt;"*"),IF(E171&gt;J171,'Funnel setup'!$K$14&amp;"99.8%",IF(E171&gt;H171,'Funnel setup'!$K$14&amp;"95%",IF(E171&lt;I171,'Funnel setup'!$K$15&amp;"99.8%",IF(E171&lt;G171,'Funnel setup'!$K$15&amp;"95%","")))),"")</f>
        <v/>
      </c>
    </row>
    <row r="172" spans="1:11" ht="15" x14ac:dyDescent="0.2">
      <c r="B172" s="307" t="str">
        <f>IF(ISNUMBER('Funnel setup'!P184),VLOOKUP('Funnel setup'!$P184,'Provider Commission - Raw Data'!$A:$Q,5,0),"")</f>
        <v>NTX01</v>
      </c>
      <c r="C172" s="308" t="str">
        <f>IF(ISNUMBER('Funnel setup'!P184),VLOOKUP('Funnel setup'!P184,'Provider Commission - Raw Data'!$A:$Q,6,0),"")</f>
        <v>ONE HEALTH GROUP LTD (NTX01)</v>
      </c>
      <c r="D172" s="309">
        <f>IF(ISNUMBER('Funnel setup'!P184),VLOOKUP('Funnel setup'!P184,'Provider Commission - Raw Data'!$A:$Q,8,0),"")</f>
        <v>31</v>
      </c>
      <c r="E172" s="446">
        <f>IF(ISNUMBER('Funnel setup'!P184),VLOOKUP('Funnel setup'!P184,'Provider Commission - Raw Data'!$A:$Q,16,0),"")</f>
        <v>0.130356577</v>
      </c>
      <c r="F172" s="310">
        <f>IF(ISNUMBER('Funnel setup'!P184),'Funnel setup'!$K$8,"")</f>
        <v>8.3654400475365306E-2</v>
      </c>
      <c r="G172" s="310">
        <f>IF(AND(ISNUMBER('Funnel setup'!P184),D172&gt;=30,E172&lt;&gt;"*"),F172-1.959963985 *('Funnel setup'!$K$7/SQRT('Funnel Data'!D172)),"")</f>
        <v>2.773980053698627E-2</v>
      </c>
      <c r="H172" s="310">
        <f>IF(AND(ISNUMBER('Funnel setup'!P184),D172&gt;=30,E172&lt;&gt;"*"),F172+1.959963985 *('Funnel setup'!$K$7/SQRT('Funnel Data'!D172)),"")</f>
        <v>0.13956900041374434</v>
      </c>
      <c r="I172" s="310">
        <f>IF(AND(ISNUMBER('Funnel setup'!P184),D172&gt;=30,E172&lt;&gt;"*"),F172-3.090232306 *('Funnel setup'!$K$7/SQRT('Funnel Data'!D172)),"")</f>
        <v>-4.5049251188978567E-3</v>
      </c>
      <c r="J172" s="310">
        <f>IF(AND(ISNUMBER('Funnel setup'!P184),D172&gt;=30,E172&lt;&gt;"*"),F172+3.090232306 *('Funnel setup'!$K$7/SQRT('Funnel Data'!D172)),"")</f>
        <v>0.17181372606962847</v>
      </c>
      <c r="K172" s="311" t="str">
        <f>IF(AND(ISNUMBER('Funnel setup'!P184),D172&gt;=30,E172&lt;&gt;"*"),IF(E172&gt;J172,'Funnel setup'!$K$14&amp;"99.8%",IF(E172&gt;H172,'Funnel setup'!$K$14&amp;"95%",IF(E172&lt;I172,'Funnel setup'!$K$15&amp;"99.8%",IF(E172&lt;G172,'Funnel setup'!$K$15&amp;"95%","")))),"")</f>
        <v/>
      </c>
    </row>
    <row r="173" spans="1:11" s="137" customFormat="1" ht="15" x14ac:dyDescent="0.2">
      <c r="A173" s="271"/>
      <c r="B173" s="307" t="str">
        <f>IF(ISNUMBER('Funnel setup'!P185),VLOOKUP('Funnel setup'!$P185,'Provider Commission - Raw Data'!$A:$Q,5,0),"")</f>
        <v>RTH</v>
      </c>
      <c r="C173" s="308" t="str">
        <f>IF(ISNUMBER('Funnel setup'!P185),VLOOKUP('Funnel setup'!P185,'Provider Commission - Raw Data'!$A:$Q,6,0),"")</f>
        <v>OXFORD UNIVERSITY HOSPITALS NHS FOUNDATION TRUST (RTH)</v>
      </c>
      <c r="D173" s="309">
        <f>IF(ISNUMBER('Funnel setup'!P185),VLOOKUP('Funnel setup'!P185,'Provider Commission - Raw Data'!$A:$Q,8,0),"")</f>
        <v>170</v>
      </c>
      <c r="E173" s="446">
        <f>IF(ISNUMBER('Funnel setup'!P185),VLOOKUP('Funnel setup'!P185,'Provider Commission - Raw Data'!$A:$Q,16,0),"")</f>
        <v>8.8665896999999994E-2</v>
      </c>
      <c r="F173" s="310">
        <f>IF(ISNUMBER('Funnel setup'!P185),'Funnel setup'!$K$8,"")</f>
        <v>8.3654400475365306E-2</v>
      </c>
      <c r="G173" s="310">
        <f>IF(AND(ISNUMBER('Funnel setup'!P185),D173&gt;=30,E173&lt;&gt;"*"),F173-1.959963985 *('Funnel setup'!$K$7/SQRT('Funnel Data'!D173)),"")</f>
        <v>5.9777298834039053E-2</v>
      </c>
      <c r="H173" s="310">
        <f>IF(AND(ISNUMBER('Funnel setup'!P185),D173&gt;=30,E173&lt;&gt;"*"),F173+1.959963985 *('Funnel setup'!$K$7/SQRT('Funnel Data'!D173)),"")</f>
        <v>0.10753150211669156</v>
      </c>
      <c r="I173" s="310">
        <f>IF(AND(ISNUMBER('Funnel setup'!P185),D173&gt;=30,E173&lt;&gt;"*"),F173-3.090232306 *('Funnel setup'!$K$7/SQRT('Funnel Data'!D173)),"")</f>
        <v>4.6007897054705753E-2</v>
      </c>
      <c r="J173" s="310">
        <f>IF(AND(ISNUMBER('Funnel setup'!P185),D173&gt;=30,E173&lt;&gt;"*"),F173+3.090232306 *('Funnel setup'!$K$7/SQRT('Funnel Data'!D173)),"")</f>
        <v>0.12130090389602485</v>
      </c>
      <c r="K173" s="311" t="str">
        <f>IF(AND(ISNUMBER('Funnel setup'!P185),D173&gt;=30,E173&lt;&gt;"*"),IF(E173&gt;J173,'Funnel setup'!$K$14&amp;"99.8%",IF(E173&gt;H173,'Funnel setup'!$K$14&amp;"95%",IF(E173&lt;I173,'Funnel setup'!$K$15&amp;"99.8%",IF(E173&lt;G173,'Funnel setup'!$K$15&amp;"95%","")))),"")</f>
        <v/>
      </c>
    </row>
    <row r="174" spans="1:11" ht="30" x14ac:dyDescent="0.2">
      <c r="B174" s="307" t="str">
        <f>IF(ISNUMBER('Funnel setup'!P186),VLOOKUP('Funnel setup'!$P186,'Provider Commission - Raw Data'!$A:$Q,5,0),"")</f>
        <v>RW6</v>
      </c>
      <c r="C174" s="308" t="str">
        <f>IF(ISNUMBER('Funnel setup'!P186),VLOOKUP('Funnel setup'!P186,'Provider Commission - Raw Data'!$A:$Q,6,0),"")</f>
        <v>PENNINE ACUTE HOSPITALS NHS TRUST (RW6)</v>
      </c>
      <c r="D174" s="309">
        <f>IF(ISNUMBER('Funnel setup'!P186),VLOOKUP('Funnel setup'!P186,'Provider Commission - Raw Data'!$A:$Q,8,0),"")</f>
        <v>65</v>
      </c>
      <c r="E174" s="446">
        <f>IF(ISNUMBER('Funnel setup'!P186),VLOOKUP('Funnel setup'!P186,'Provider Commission - Raw Data'!$A:$Q,16,0),"")</f>
        <v>9.9950194000000006E-2</v>
      </c>
      <c r="F174" s="310">
        <f>IF(ISNUMBER('Funnel setup'!P186),'Funnel setup'!$K$8,"")</f>
        <v>8.3654400475365306E-2</v>
      </c>
      <c r="G174" s="310">
        <f>IF(AND(ISNUMBER('Funnel setup'!P186),D174&gt;=30,E174&lt;&gt;"*"),F174-1.959963985 *('Funnel setup'!$K$7/SQRT('Funnel Data'!D174)),"")</f>
        <v>4.5039991631328401E-2</v>
      </c>
      <c r="H174" s="310">
        <f>IF(AND(ISNUMBER('Funnel setup'!P186),D174&gt;=30,E174&lt;&gt;"*"),F174+1.959963985 *('Funnel setup'!$K$7/SQRT('Funnel Data'!D174)),"")</f>
        <v>0.12226880931940221</v>
      </c>
      <c r="I174" s="310">
        <f>IF(AND(ISNUMBER('Funnel setup'!P186),D174&gt;=30,E174&lt;&gt;"*"),F174-3.090232306 *('Funnel setup'!$K$7/SQRT('Funnel Data'!D174)),"")</f>
        <v>2.2771907429486732E-2</v>
      </c>
      <c r="J174" s="310">
        <f>IF(AND(ISNUMBER('Funnel setup'!P186),D174&gt;=30,E174&lt;&gt;"*"),F174+3.090232306 *('Funnel setup'!$K$7/SQRT('Funnel Data'!D174)),"")</f>
        <v>0.14453689352124388</v>
      </c>
      <c r="K174" s="311" t="str">
        <f>IF(AND(ISNUMBER('Funnel setup'!P186),D174&gt;=30,E174&lt;&gt;"*"),IF(E174&gt;J174,'Funnel setup'!$K$14&amp;"99.8%",IF(E174&gt;H174,'Funnel setup'!$K$14&amp;"95%",IF(E174&lt;I174,'Funnel setup'!$K$15&amp;"99.8%",IF(E174&lt;G174,'Funnel setup'!$K$15&amp;"95%","")))),"")</f>
        <v/>
      </c>
    </row>
    <row r="175" spans="1:11" ht="15" x14ac:dyDescent="0.2">
      <c r="B175" s="307" t="str">
        <f>IF(ISNUMBER('Funnel setup'!P187),VLOOKUP('Funnel setup'!$P187,'Provider Commission - Raw Data'!$A:$Q,5,0),"")</f>
        <v>RGN</v>
      </c>
      <c r="C175" s="308" t="str">
        <f>IF(ISNUMBER('Funnel setup'!P187),VLOOKUP('Funnel setup'!P187,'Provider Commission - Raw Data'!$A:$Q,6,0),"")</f>
        <v>PETERBOROUGH AND STAMFORD HOSPITALS NHS FOUNDATION TRUST (RGN)</v>
      </c>
      <c r="D175" s="309">
        <f>IF(ISNUMBER('Funnel setup'!P187),VLOOKUP('Funnel setup'!P187,'Provider Commission - Raw Data'!$A:$Q,8,0),"")</f>
        <v>154</v>
      </c>
      <c r="E175" s="446">
        <f>IF(ISNUMBER('Funnel setup'!P187),VLOOKUP('Funnel setup'!P187,'Provider Commission - Raw Data'!$A:$Q,16,0),"")</f>
        <v>0.10350071199999999</v>
      </c>
      <c r="F175" s="310">
        <f>IF(ISNUMBER('Funnel setup'!P187),'Funnel setup'!$K$8,"")</f>
        <v>8.3654400475365306E-2</v>
      </c>
      <c r="G175" s="310">
        <f>IF(AND(ISNUMBER('Funnel setup'!P187),D175&gt;=30,E175&lt;&gt;"*"),F175-1.959963985 *('Funnel setup'!$K$7/SQRT('Funnel Data'!D175)),"")</f>
        <v>5.8567575005190178E-2</v>
      </c>
      <c r="H175" s="310">
        <f>IF(AND(ISNUMBER('Funnel setup'!P187),D175&gt;=30,E175&lt;&gt;"*"),F175+1.959963985 *('Funnel setup'!$K$7/SQRT('Funnel Data'!D175)),"")</f>
        <v>0.10874122594554043</v>
      </c>
      <c r="I175" s="310">
        <f>IF(AND(ISNUMBER('Funnel setup'!P187),D175&gt;=30,E175&lt;&gt;"*"),F175-3.090232306 *('Funnel setup'!$K$7/SQRT('Funnel Data'!D175)),"")</f>
        <v>4.4100551978032421E-2</v>
      </c>
      <c r="J175" s="310">
        <f>IF(AND(ISNUMBER('Funnel setup'!P187),D175&gt;=30,E175&lt;&gt;"*"),F175+3.090232306 *('Funnel setup'!$K$7/SQRT('Funnel Data'!D175)),"")</f>
        <v>0.12320824897269819</v>
      </c>
      <c r="K175" s="311" t="str">
        <f>IF(AND(ISNUMBER('Funnel setup'!P187),D175&gt;=30,E175&lt;&gt;"*"),IF(E175&gt;J175,'Funnel setup'!$K$14&amp;"99.8%",IF(E175&gt;H175,'Funnel setup'!$K$14&amp;"95%",IF(E175&lt;I175,'Funnel setup'!$K$15&amp;"99.8%",IF(E175&lt;G175,'Funnel setup'!$K$15&amp;"95%","")))),"")</f>
        <v/>
      </c>
    </row>
    <row r="176" spans="1:11" ht="15" x14ac:dyDescent="0.2">
      <c r="B176" s="307" t="str">
        <f>IF(ISNUMBER('Funnel setup'!P188),VLOOKUP('Funnel setup'!$P188,'Provider Commission - Raw Data'!$A:$Q,5,0),"")</f>
        <v>NVC15</v>
      </c>
      <c r="C176" s="308" t="str">
        <f>IF(ISNUMBER('Funnel setup'!P188),VLOOKUP('Funnel setup'!P188,'Provider Commission - Raw Data'!$A:$Q,6,0),"")</f>
        <v>PINEHILL HOSPITAL (NVC15)</v>
      </c>
      <c r="D176" s="309">
        <f>IF(ISNUMBER('Funnel setup'!P188),VLOOKUP('Funnel setup'!P188,'Provider Commission - Raw Data'!$A:$Q,8,0),"")</f>
        <v>34</v>
      </c>
      <c r="E176" s="446">
        <f>IF(ISNUMBER('Funnel setup'!P188),VLOOKUP('Funnel setup'!P188,'Provider Commission - Raw Data'!$A:$Q,16,0),"")</f>
        <v>0.124148895</v>
      </c>
      <c r="F176" s="310">
        <f>IF(ISNUMBER('Funnel setup'!P188),'Funnel setup'!$K$8,"")</f>
        <v>8.3654400475365306E-2</v>
      </c>
      <c r="G176" s="310">
        <f>IF(AND(ISNUMBER('Funnel setup'!P188),D176&gt;=30,E176&lt;&gt;"*"),F176-1.959963985 *('Funnel setup'!$K$7/SQRT('Funnel Data'!D176)),"")</f>
        <v>3.0263578099687993E-2</v>
      </c>
      <c r="H176" s="310">
        <f>IF(AND(ISNUMBER('Funnel setup'!P188),D176&gt;=30,E176&lt;&gt;"*"),F176+1.959963985 *('Funnel setup'!$K$7/SQRT('Funnel Data'!D176)),"")</f>
        <v>0.13704522285104262</v>
      </c>
      <c r="I176" s="310">
        <f>IF(AND(ISNUMBER('Funnel setup'!P188),D176&gt;=30,E176&lt;&gt;"*"),F176-3.090232306 *('Funnel setup'!$K$7/SQRT('Funnel Data'!D176)),"")</f>
        <v>-5.2574028840780829E-4</v>
      </c>
      <c r="J176" s="310">
        <f>IF(AND(ISNUMBER('Funnel setup'!P188),D176&gt;=30,E176&lt;&gt;"*"),F176+3.090232306 *('Funnel setup'!$K$7/SQRT('Funnel Data'!D176)),"")</f>
        <v>0.16783454123913844</v>
      </c>
      <c r="K176" s="311" t="str">
        <f>IF(AND(ISNUMBER('Funnel setup'!P188),D176&gt;=30,E176&lt;&gt;"*"),IF(E176&gt;J176,'Funnel setup'!$K$14&amp;"99.8%",IF(E176&gt;H176,'Funnel setup'!$K$14&amp;"95%",IF(E176&lt;I176,'Funnel setup'!$K$15&amp;"99.8%",IF(E176&lt;G176,'Funnel setup'!$K$15&amp;"95%","")))),"")</f>
        <v/>
      </c>
    </row>
    <row r="177" spans="2:11" ht="15" x14ac:dyDescent="0.2">
      <c r="B177" s="307" t="str">
        <f>IF(ISNUMBER('Funnel setup'!P189),VLOOKUP('Funnel setup'!$P189,'Provider Commission - Raw Data'!$A:$Q,5,0),"")</f>
        <v>RK9</v>
      </c>
      <c r="C177" s="308" t="str">
        <f>IF(ISNUMBER('Funnel setup'!P189),VLOOKUP('Funnel setup'!P189,'Provider Commission - Raw Data'!$A:$Q,6,0),"")</f>
        <v>PLYMOUTH HOSPITALS NHS TRUST (RK9)</v>
      </c>
      <c r="D177" s="309">
        <f>IF(ISNUMBER('Funnel setup'!P189),VLOOKUP('Funnel setup'!P189,'Provider Commission - Raw Data'!$A:$Q,8,0),"")</f>
        <v>55</v>
      </c>
      <c r="E177" s="446">
        <f>IF(ISNUMBER('Funnel setup'!P189),VLOOKUP('Funnel setup'!P189,'Provider Commission - Raw Data'!$A:$Q,16,0),"")</f>
        <v>0.103635694</v>
      </c>
      <c r="F177" s="310">
        <f>IF(ISNUMBER('Funnel setup'!P189),'Funnel setup'!$K$8,"")</f>
        <v>8.3654400475365306E-2</v>
      </c>
      <c r="G177" s="310">
        <f>IF(AND(ISNUMBER('Funnel setup'!P189),D177&gt;=30,E177&lt;&gt;"*"),F177-1.959963985 *('Funnel setup'!$K$7/SQRT('Funnel Data'!D177)),"")</f>
        <v>4.1676112348300411E-2</v>
      </c>
      <c r="H177" s="310">
        <f>IF(AND(ISNUMBER('Funnel setup'!P189),D177&gt;=30,E177&lt;&gt;"*"),F177+1.959963985 *('Funnel setup'!$K$7/SQRT('Funnel Data'!D177)),"")</f>
        <v>0.12563268860243021</v>
      </c>
      <c r="I177" s="310">
        <f>IF(AND(ISNUMBER('Funnel setup'!P189),D177&gt;=30,E177&lt;&gt;"*"),F177-3.090232306 *('Funnel setup'!$K$7/SQRT('Funnel Data'!D177)),"")</f>
        <v>1.7468152608758628E-2</v>
      </c>
      <c r="J177" s="310">
        <f>IF(AND(ISNUMBER('Funnel setup'!P189),D177&gt;=30,E177&lt;&gt;"*"),F177+3.090232306 *('Funnel setup'!$K$7/SQRT('Funnel Data'!D177)),"")</f>
        <v>0.14984064834197197</v>
      </c>
      <c r="K177" s="311" t="str">
        <f>IF(AND(ISNUMBER('Funnel setup'!P189),D177&gt;=30,E177&lt;&gt;"*"),IF(E177&gt;J177,'Funnel setup'!$K$14&amp;"99.8%",IF(E177&gt;H177,'Funnel setup'!$K$14&amp;"95%",IF(E177&lt;I177,'Funnel setup'!$K$15&amp;"99.8%",IF(E177&lt;G177,'Funnel setup'!$K$15&amp;"95%","")))),"")</f>
        <v/>
      </c>
    </row>
    <row r="178" spans="2:11" ht="15" x14ac:dyDescent="0.2">
      <c r="B178" s="307" t="str">
        <f>IF(ISNUMBER('Funnel setup'!P190),VLOOKUP('Funnel setup'!$P190,'Provider Commission - Raw Data'!$A:$Q,5,0),"")</f>
        <v>RD3</v>
      </c>
      <c r="C178" s="308" t="str">
        <f>IF(ISNUMBER('Funnel setup'!P190),VLOOKUP('Funnel setup'!P190,'Provider Commission - Raw Data'!$A:$Q,6,0),"")</f>
        <v>POOLE HOSPITAL NHS FOUNDATION TRUST (RD3)</v>
      </c>
      <c r="D178" s="309">
        <f>IF(ISNUMBER('Funnel setup'!P190),VLOOKUP('Funnel setup'!P190,'Provider Commission - Raw Data'!$A:$Q,8,0),"")</f>
        <v>55</v>
      </c>
      <c r="E178" s="446">
        <f>IF(ISNUMBER('Funnel setup'!P190),VLOOKUP('Funnel setup'!P190,'Provider Commission - Raw Data'!$A:$Q,16,0),"")</f>
        <v>0.15411097200000001</v>
      </c>
      <c r="F178" s="310">
        <f>IF(ISNUMBER('Funnel setup'!P190),'Funnel setup'!$K$8,"")</f>
        <v>8.3654400475365306E-2</v>
      </c>
      <c r="G178" s="310">
        <f>IF(AND(ISNUMBER('Funnel setup'!P190),D178&gt;=30,E178&lt;&gt;"*"),F178-1.959963985 *('Funnel setup'!$K$7/SQRT('Funnel Data'!D178)),"")</f>
        <v>4.1676112348300411E-2</v>
      </c>
      <c r="H178" s="310">
        <f>IF(AND(ISNUMBER('Funnel setup'!P190),D178&gt;=30,E178&lt;&gt;"*"),F178+1.959963985 *('Funnel setup'!$K$7/SQRT('Funnel Data'!D178)),"")</f>
        <v>0.12563268860243021</v>
      </c>
      <c r="I178" s="310">
        <f>IF(AND(ISNUMBER('Funnel setup'!P190),D178&gt;=30,E178&lt;&gt;"*"),F178-3.090232306 *('Funnel setup'!$K$7/SQRT('Funnel Data'!D178)),"")</f>
        <v>1.7468152608758628E-2</v>
      </c>
      <c r="J178" s="310">
        <f>IF(AND(ISNUMBER('Funnel setup'!P190),D178&gt;=30,E178&lt;&gt;"*"),F178+3.090232306 *('Funnel setup'!$K$7/SQRT('Funnel Data'!D178)),"")</f>
        <v>0.14984064834197197</v>
      </c>
      <c r="K178" s="311" t="str">
        <f>IF(AND(ISNUMBER('Funnel setup'!P190),D178&gt;=30,E178&lt;&gt;"*"),IF(E178&gt;J178,'Funnel setup'!$K$14&amp;"99.8%",IF(E178&gt;H178,'Funnel setup'!$K$14&amp;"95%",IF(E178&lt;I178,'Funnel setup'!$K$15&amp;"99.8%",IF(E178&lt;G178,'Funnel setup'!$K$15&amp;"95%","")))),"")</f>
        <v>Upper 99.8%</v>
      </c>
    </row>
    <row r="179" spans="2:11" ht="15" x14ac:dyDescent="0.2">
      <c r="B179" s="307" t="str">
        <f>IF(ISNUMBER('Funnel setup'!P191),VLOOKUP('Funnel setup'!$P191,'Provider Commission - Raw Data'!$A:$Q,5,0),"")</f>
        <v>RHU</v>
      </c>
      <c r="C179" s="308" t="str">
        <f>IF(ISNUMBER('Funnel setup'!P191),VLOOKUP('Funnel setup'!P191,'Provider Commission - Raw Data'!$A:$Q,6,0),"")</f>
        <v>PORTSMOUTH HOSPITALS NHS TRUST (RHU)</v>
      </c>
      <c r="D179" s="309">
        <f>IF(ISNUMBER('Funnel setup'!P191),VLOOKUP('Funnel setup'!P191,'Provider Commission - Raw Data'!$A:$Q,8,0),"")</f>
        <v>76</v>
      </c>
      <c r="E179" s="446">
        <f>IF(ISNUMBER('Funnel setup'!P191),VLOOKUP('Funnel setup'!P191,'Provider Commission - Raw Data'!$A:$Q,16,0),"")</f>
        <v>8.8446668000000006E-2</v>
      </c>
      <c r="F179" s="310">
        <f>IF(ISNUMBER('Funnel setup'!P191),'Funnel setup'!$K$8,"")</f>
        <v>8.3654400475365306E-2</v>
      </c>
      <c r="G179" s="310">
        <f>IF(AND(ISNUMBER('Funnel setup'!P191),D179&gt;=30,E179&lt;&gt;"*"),F179-1.959963985 *('Funnel setup'!$K$7/SQRT('Funnel Data'!D179)),"")</f>
        <v>4.7943625698154704E-2</v>
      </c>
      <c r="H179" s="310">
        <f>IF(AND(ISNUMBER('Funnel setup'!P191),D179&gt;=30,E179&lt;&gt;"*"),F179+1.959963985 *('Funnel setup'!$K$7/SQRT('Funnel Data'!D179)),"")</f>
        <v>0.11936517525257591</v>
      </c>
      <c r="I179" s="310">
        <f>IF(AND(ISNUMBER('Funnel setup'!P191),D179&gt;=30,E179&lt;&gt;"*"),F179-3.090232306 *('Funnel setup'!$K$7/SQRT('Funnel Data'!D179)),"")</f>
        <v>2.7350003693897833E-2</v>
      </c>
      <c r="J179" s="310">
        <f>IF(AND(ISNUMBER('Funnel setup'!P191),D179&gt;=30,E179&lt;&gt;"*"),F179+3.090232306 *('Funnel setup'!$K$7/SQRT('Funnel Data'!D179)),"")</f>
        <v>0.13995879725683277</v>
      </c>
      <c r="K179" s="311" t="str">
        <f>IF(AND(ISNUMBER('Funnel setup'!P191),D179&gt;=30,E179&lt;&gt;"*"),IF(E179&gt;J179,'Funnel setup'!$K$14&amp;"99.8%",IF(E179&gt;H179,'Funnel setup'!$K$14&amp;"95%",IF(E179&lt;I179,'Funnel setup'!$K$15&amp;"99.8%",IF(E179&lt;G179,'Funnel setup'!$K$15&amp;"95%","")))),"")</f>
        <v/>
      </c>
    </row>
    <row r="180" spans="2:11" ht="15" x14ac:dyDescent="0.2">
      <c r="B180" s="307" t="str">
        <f>IF(ISNUMBER('Funnel setup'!P192),VLOOKUP('Funnel setup'!$P192,'Provider Commission - Raw Data'!$A:$Q,5,0),"")</f>
        <v>NVC16</v>
      </c>
      <c r="C180" s="308" t="str">
        <f>IF(ISNUMBER('Funnel setup'!P192),VLOOKUP('Funnel setup'!P192,'Provider Commission - Raw Data'!$A:$Q,6,0),"")</f>
        <v>RENACRES HOSPITAL (NVC16)</v>
      </c>
      <c r="D180" s="309">
        <f>IF(ISNUMBER('Funnel setup'!P192),VLOOKUP('Funnel setup'!P192,'Provider Commission - Raw Data'!$A:$Q,8,0),"")</f>
        <v>82</v>
      </c>
      <c r="E180" s="446">
        <f>IF(ISNUMBER('Funnel setup'!P192),VLOOKUP('Funnel setup'!P192,'Provider Commission - Raw Data'!$A:$Q,16,0),"")</f>
        <v>8.0986986999999996E-2</v>
      </c>
      <c r="F180" s="310">
        <f>IF(ISNUMBER('Funnel setup'!P192),'Funnel setup'!$K$8,"")</f>
        <v>8.3654400475365306E-2</v>
      </c>
      <c r="G180" s="310">
        <f>IF(AND(ISNUMBER('Funnel setup'!P192),D180&gt;=30,E180&lt;&gt;"*"),F180-1.959963985 *('Funnel setup'!$K$7/SQRT('Funnel Data'!D180)),"")</f>
        <v>4.9274933213651562E-2</v>
      </c>
      <c r="H180" s="310">
        <f>IF(AND(ISNUMBER('Funnel setup'!P192),D180&gt;=30,E180&lt;&gt;"*"),F180+1.959963985 *('Funnel setup'!$K$7/SQRT('Funnel Data'!D180)),"")</f>
        <v>0.11803386773707905</v>
      </c>
      <c r="I180" s="310">
        <f>IF(AND(ISNUMBER('Funnel setup'!P192),D180&gt;=30,E180&lt;&gt;"*"),F180-3.090232306 *('Funnel setup'!$K$7/SQRT('Funnel Data'!D180)),"")</f>
        <v>2.9449047107498613E-2</v>
      </c>
      <c r="J180" s="310">
        <f>IF(AND(ISNUMBER('Funnel setup'!P192),D180&gt;=30,E180&lt;&gt;"*"),F180+3.090232306 *('Funnel setup'!$K$7/SQRT('Funnel Data'!D180)),"")</f>
        <v>0.13785975384323201</v>
      </c>
      <c r="K180" s="311" t="str">
        <f>IF(AND(ISNUMBER('Funnel setup'!P192),D180&gt;=30,E180&lt;&gt;"*"),IF(E180&gt;J180,'Funnel setup'!$K$14&amp;"99.8%",IF(E180&gt;H180,'Funnel setup'!$K$14&amp;"95%",IF(E180&lt;I180,'Funnel setup'!$K$15&amp;"99.8%",IF(E180&lt;G180,'Funnel setup'!$K$15&amp;"95%","")))),"")</f>
        <v/>
      </c>
    </row>
    <row r="181" spans="2:11" ht="15" x14ac:dyDescent="0.2">
      <c r="B181" s="307" t="str">
        <f>IF(ISNUMBER('Funnel setup'!P193),VLOOKUP('Funnel setup'!$P193,'Provider Commission - Raw Data'!$A:$Q,5,0),"")</f>
        <v>NVC19</v>
      </c>
      <c r="C181" s="308" t="str">
        <f>IF(ISNUMBER('Funnel setup'!P193),VLOOKUP('Funnel setup'!P193,'Provider Commission - Raw Data'!$A:$Q,6,0),"")</f>
        <v>RIVERS HOSPITAL (NVC19)</v>
      </c>
      <c r="D181" s="309">
        <f>IF(ISNUMBER('Funnel setup'!P193),VLOOKUP('Funnel setup'!P193,'Provider Commission - Raw Data'!$A:$Q,8,0),"")</f>
        <v>111</v>
      </c>
      <c r="E181" s="446">
        <f>IF(ISNUMBER('Funnel setup'!P193),VLOOKUP('Funnel setup'!P193,'Provider Commission - Raw Data'!$A:$Q,16,0),"")</f>
        <v>8.1219313000000001E-2</v>
      </c>
      <c r="F181" s="310">
        <f>IF(ISNUMBER('Funnel setup'!P193),'Funnel setup'!$K$8,"")</f>
        <v>8.3654400475365306E-2</v>
      </c>
      <c r="G181" s="310">
        <f>IF(AND(ISNUMBER('Funnel setup'!P193),D181&gt;=30,E181&lt;&gt;"*"),F181-1.959963985 *('Funnel setup'!$K$7/SQRT('Funnel Data'!D181)),"")</f>
        <v>5.4105278588694669E-2</v>
      </c>
      <c r="H181" s="310">
        <f>IF(AND(ISNUMBER('Funnel setup'!P193),D181&gt;=30,E181&lt;&gt;"*"),F181+1.959963985 *('Funnel setup'!$K$7/SQRT('Funnel Data'!D181)),"")</f>
        <v>0.11320352236203594</v>
      </c>
      <c r="I181" s="310">
        <f>IF(AND(ISNUMBER('Funnel setup'!P193),D181&gt;=30,E181&lt;&gt;"*"),F181-3.090232306 *('Funnel setup'!$K$7/SQRT('Funnel Data'!D181)),"")</f>
        <v>3.7064946910420705E-2</v>
      </c>
      <c r="J181" s="310">
        <f>IF(AND(ISNUMBER('Funnel setup'!P193),D181&gt;=30,E181&lt;&gt;"*"),F181+3.090232306 *('Funnel setup'!$K$7/SQRT('Funnel Data'!D181)),"")</f>
        <v>0.13024385404030991</v>
      </c>
      <c r="K181" s="311" t="str">
        <f>IF(AND(ISNUMBER('Funnel setup'!P193),D181&gt;=30,E181&lt;&gt;"*"),IF(E181&gt;J181,'Funnel setup'!$K$14&amp;"99.8%",IF(E181&gt;H181,'Funnel setup'!$K$14&amp;"95%",IF(E181&lt;I181,'Funnel setup'!$K$15&amp;"99.8%",IF(E181&lt;G181,'Funnel setup'!$K$15&amp;"95%","")))),"")</f>
        <v/>
      </c>
    </row>
    <row r="182" spans="2:11" ht="15" x14ac:dyDescent="0.2">
      <c r="B182" s="307" t="str">
        <f>IF(ISNUMBER('Funnel setup'!P194),VLOOKUP('Funnel setup'!$P194,'Provider Commission - Raw Data'!$A:$Q,5,0),"")</f>
        <v>NVC17</v>
      </c>
      <c r="C182" s="308" t="str">
        <f>IF(ISNUMBER('Funnel setup'!P194),VLOOKUP('Funnel setup'!P194,'Provider Commission - Raw Data'!$A:$Q,6,0),"")</f>
        <v>ROWLEY HALL HOSPITAL (NVC17)</v>
      </c>
      <c r="D182" s="309">
        <f>IF(ISNUMBER('Funnel setup'!P194),VLOOKUP('Funnel setup'!P194,'Provider Commission - Raw Data'!$A:$Q,8,0),"")</f>
        <v>27</v>
      </c>
      <c r="E182" s="446" t="str">
        <f>IF(ISNUMBER('Funnel setup'!P194),VLOOKUP('Funnel setup'!P194,'Provider Commission - Raw Data'!$A:$Q,16,0),"")</f>
        <v>*</v>
      </c>
      <c r="F182" s="310">
        <f>IF(ISNUMBER('Funnel setup'!P194),'Funnel setup'!$K$8,"")</f>
        <v>8.3654400475365306E-2</v>
      </c>
      <c r="G182" s="310" t="str">
        <f>IF(AND(ISNUMBER('Funnel setup'!P194),D182&gt;=30,E182&lt;&gt;"*"),F182-1.959963985 *('Funnel setup'!$K$7/SQRT('Funnel Data'!D182)),"")</f>
        <v/>
      </c>
      <c r="H182" s="310" t="str">
        <f>IF(AND(ISNUMBER('Funnel setup'!P194),D182&gt;=30,E182&lt;&gt;"*"),F182+1.959963985 *('Funnel setup'!$K$7/SQRT('Funnel Data'!D182)),"")</f>
        <v/>
      </c>
      <c r="I182" s="310" t="str">
        <f>IF(AND(ISNUMBER('Funnel setup'!P194),D182&gt;=30,E182&lt;&gt;"*"),F182-3.090232306 *('Funnel setup'!$K$7/SQRT('Funnel Data'!D182)),"")</f>
        <v/>
      </c>
      <c r="J182" s="310" t="str">
        <f>IF(AND(ISNUMBER('Funnel setup'!P194),D182&gt;=30,E182&lt;&gt;"*"),F182+3.090232306 *('Funnel setup'!$K$7/SQRT('Funnel Data'!D182)),"")</f>
        <v/>
      </c>
      <c r="K182" s="311" t="str">
        <f>IF(AND(ISNUMBER('Funnel setup'!P194),D182&gt;=30,E182&lt;&gt;"*"),IF(E182&gt;J182,'Funnel setup'!$K$14&amp;"99.8%",IF(E182&gt;H182,'Funnel setup'!$K$14&amp;"95%",IF(E182&lt;I182,'Funnel setup'!$K$15&amp;"99.8%",IF(E182&lt;G182,'Funnel setup'!$K$15&amp;"95%","")))),"")</f>
        <v/>
      </c>
    </row>
    <row r="183" spans="2:11" ht="15" x14ac:dyDescent="0.2">
      <c r="B183" s="307" t="str">
        <f>IF(ISNUMBER('Funnel setup'!P195),VLOOKUP('Funnel setup'!$P195,'Provider Commission - Raw Data'!$A:$Q,5,0),"")</f>
        <v>RHW</v>
      </c>
      <c r="C183" s="308" t="str">
        <f>IF(ISNUMBER('Funnel setup'!P195),VLOOKUP('Funnel setup'!P195,'Provider Commission - Raw Data'!$A:$Q,6,0),"")</f>
        <v>ROYAL BERKSHIRE NHS FOUNDATION TRUST (RHW)</v>
      </c>
      <c r="D183" s="309">
        <f>IF(ISNUMBER('Funnel setup'!P195),VLOOKUP('Funnel setup'!P195,'Provider Commission - Raw Data'!$A:$Q,8,0),"")</f>
        <v>71</v>
      </c>
      <c r="E183" s="446">
        <f>IF(ISNUMBER('Funnel setup'!P195),VLOOKUP('Funnel setup'!P195,'Provider Commission - Raw Data'!$A:$Q,16,0),"")</f>
        <v>7.9829477999999995E-2</v>
      </c>
      <c r="F183" s="310">
        <f>IF(ISNUMBER('Funnel setup'!P195),'Funnel setup'!$K$8,"")</f>
        <v>8.3654400475365306E-2</v>
      </c>
      <c r="G183" s="310">
        <f>IF(AND(ISNUMBER('Funnel setup'!P195),D183&gt;=30,E183&lt;&gt;"*"),F183-1.959963985 *('Funnel setup'!$K$7/SQRT('Funnel Data'!D183)),"")</f>
        <v>4.6707594961671213E-2</v>
      </c>
      <c r="H183" s="310">
        <f>IF(AND(ISNUMBER('Funnel setup'!P195),D183&gt;=30,E183&lt;&gt;"*"),F183+1.959963985 *('Funnel setup'!$K$7/SQRT('Funnel Data'!D183)),"")</f>
        <v>0.12060120598905941</v>
      </c>
      <c r="I183" s="310">
        <f>IF(AND(ISNUMBER('Funnel setup'!P195),D183&gt;=30,E183&lt;&gt;"*"),F183-3.090232306 *('Funnel setup'!$K$7/SQRT('Funnel Data'!D183)),"")</f>
        <v>2.5401181091889533E-2</v>
      </c>
      <c r="J183" s="310">
        <f>IF(AND(ISNUMBER('Funnel setup'!P195),D183&gt;=30,E183&lt;&gt;"*"),F183+3.090232306 *('Funnel setup'!$K$7/SQRT('Funnel Data'!D183)),"")</f>
        <v>0.14190761985884109</v>
      </c>
      <c r="K183" s="311" t="str">
        <f>IF(AND(ISNUMBER('Funnel setup'!P195),D183&gt;=30,E183&lt;&gt;"*"),IF(E183&gt;J183,'Funnel setup'!$K$14&amp;"99.8%",IF(E183&gt;H183,'Funnel setup'!$K$14&amp;"95%",IF(E183&lt;I183,'Funnel setup'!$K$15&amp;"99.8%",IF(E183&lt;G183,'Funnel setup'!$K$15&amp;"95%","")))),"")</f>
        <v/>
      </c>
    </row>
    <row r="184" spans="2:11" ht="15" x14ac:dyDescent="0.2">
      <c r="B184" s="307" t="str">
        <f>IF(ISNUMBER('Funnel setup'!P196),VLOOKUP('Funnel setup'!$P196,'Provider Commission - Raw Data'!$A:$Q,5,0),"")</f>
        <v>REF</v>
      </c>
      <c r="C184" s="308" t="str">
        <f>IF(ISNUMBER('Funnel setup'!P196),VLOOKUP('Funnel setup'!P196,'Provider Commission - Raw Data'!$A:$Q,6,0),"")</f>
        <v>ROYAL CORNWALL HOSPITALS NHS TRUST (REF)</v>
      </c>
      <c r="D184" s="309">
        <f>IF(ISNUMBER('Funnel setup'!P196),VLOOKUP('Funnel setup'!P196,'Provider Commission - Raw Data'!$A:$Q,8,0),"")</f>
        <v>109</v>
      </c>
      <c r="E184" s="446">
        <f>IF(ISNUMBER('Funnel setup'!P196),VLOOKUP('Funnel setup'!P196,'Provider Commission - Raw Data'!$A:$Q,16,0),"")</f>
        <v>9.2522706999999996E-2</v>
      </c>
      <c r="F184" s="310">
        <f>IF(ISNUMBER('Funnel setup'!P196),'Funnel setup'!$K$8,"")</f>
        <v>8.3654400475365306E-2</v>
      </c>
      <c r="G184" s="310">
        <f>IF(AND(ISNUMBER('Funnel setup'!P196),D184&gt;=30,E184&lt;&gt;"*"),F184-1.959963985 *('Funnel setup'!$K$7/SQRT('Funnel Data'!D184)),"")</f>
        <v>5.3835417993088469E-2</v>
      </c>
      <c r="H184" s="310">
        <f>IF(AND(ISNUMBER('Funnel setup'!P196),D184&gt;=30,E184&lt;&gt;"*"),F184+1.959963985 *('Funnel setup'!$K$7/SQRT('Funnel Data'!D184)),"")</f>
        <v>0.11347338295764214</v>
      </c>
      <c r="I184" s="310">
        <f>IF(AND(ISNUMBER('Funnel setup'!P196),D184&gt;=30,E184&lt;&gt;"*"),F184-3.090232306 *('Funnel setup'!$K$7/SQRT('Funnel Data'!D184)),"")</f>
        <v>3.6639463617339343E-2</v>
      </c>
      <c r="J184" s="310">
        <f>IF(AND(ISNUMBER('Funnel setup'!P196),D184&gt;=30,E184&lt;&gt;"*"),F184+3.090232306 *('Funnel setup'!$K$7/SQRT('Funnel Data'!D184)),"")</f>
        <v>0.13066933733339126</v>
      </c>
      <c r="K184" s="311" t="str">
        <f>IF(AND(ISNUMBER('Funnel setup'!P196),D184&gt;=30,E184&lt;&gt;"*"),IF(E184&gt;J184,'Funnel setup'!$K$14&amp;"99.8%",IF(E184&gt;H184,'Funnel setup'!$K$14&amp;"95%",IF(E184&lt;I184,'Funnel setup'!$K$15&amp;"99.8%",IF(E184&lt;G184,'Funnel setup'!$K$15&amp;"95%","")))),"")</f>
        <v/>
      </c>
    </row>
    <row r="185" spans="2:11" ht="15" x14ac:dyDescent="0.2">
      <c r="B185" s="307" t="str">
        <f>IF(ISNUMBER('Funnel setup'!P197),VLOOKUP('Funnel setup'!$P197,'Provider Commission - Raw Data'!$A:$Q,5,0),"")</f>
        <v>RH8</v>
      </c>
      <c r="C185" s="308" t="str">
        <f>IF(ISNUMBER('Funnel setup'!P197),VLOOKUP('Funnel setup'!P197,'Provider Commission - Raw Data'!$A:$Q,6,0),"")</f>
        <v>ROYAL DEVON AND EXETER NHS FOUNDATION TRUST (RH8)</v>
      </c>
      <c r="D185" s="309">
        <f>IF(ISNUMBER('Funnel setup'!P197),VLOOKUP('Funnel setup'!P197,'Provider Commission - Raw Data'!$A:$Q,8,0),"")</f>
        <v>238</v>
      </c>
      <c r="E185" s="446">
        <f>IF(ISNUMBER('Funnel setup'!P197),VLOOKUP('Funnel setup'!P197,'Provider Commission - Raw Data'!$A:$Q,16,0),"")</f>
        <v>0.10103403499999999</v>
      </c>
      <c r="F185" s="310">
        <f>IF(ISNUMBER('Funnel setup'!P197),'Funnel setup'!$K$8,"")</f>
        <v>8.3654400475365306E-2</v>
      </c>
      <c r="G185" s="310">
        <f>IF(AND(ISNUMBER('Funnel setup'!P197),D185&gt;=30,E185&lt;&gt;"*"),F185-1.959963985 *('Funnel setup'!$K$7/SQRT('Funnel Data'!D185)),"")</f>
        <v>6.3474566432613178E-2</v>
      </c>
      <c r="H185" s="310">
        <f>IF(AND(ISNUMBER('Funnel setup'!P197),D185&gt;=30,E185&lt;&gt;"*"),F185+1.959963985 *('Funnel setup'!$K$7/SQRT('Funnel Data'!D185)),"")</f>
        <v>0.10383423451811744</v>
      </c>
      <c r="I185" s="310">
        <f>IF(AND(ISNUMBER('Funnel setup'!P197),D185&gt;=30,E185&lt;&gt;"*"),F185-3.090232306 *('Funnel setup'!$K$7/SQRT('Funnel Data'!D185)),"")</f>
        <v>5.1837297933743226E-2</v>
      </c>
      <c r="J185" s="310">
        <f>IF(AND(ISNUMBER('Funnel setup'!P197),D185&gt;=30,E185&lt;&gt;"*"),F185+3.090232306 *('Funnel setup'!$K$7/SQRT('Funnel Data'!D185)),"")</f>
        <v>0.11547150301698739</v>
      </c>
      <c r="K185" s="311" t="str">
        <f>IF(AND(ISNUMBER('Funnel setup'!P197),D185&gt;=30,E185&lt;&gt;"*"),IF(E185&gt;J185,'Funnel setup'!$K$14&amp;"99.8%",IF(E185&gt;H185,'Funnel setup'!$K$14&amp;"95%",IF(E185&lt;I185,'Funnel setup'!$K$15&amp;"99.8%",IF(E185&lt;G185,'Funnel setup'!$K$15&amp;"95%","")))),"")</f>
        <v/>
      </c>
    </row>
    <row r="186" spans="2:11" ht="30" x14ac:dyDescent="0.2">
      <c r="B186" s="307" t="str">
        <f>IF(ISNUMBER('Funnel setup'!P198),VLOOKUP('Funnel setup'!$P198,'Provider Commission - Raw Data'!$A:$Q,5,0),"")</f>
        <v>RAL</v>
      </c>
      <c r="C186" s="308" t="str">
        <f>IF(ISNUMBER('Funnel setup'!P198),VLOOKUP('Funnel setup'!P198,'Provider Commission - Raw Data'!$A:$Q,6,0),"")</f>
        <v>ROYAL FREE LONDON NHS FOUNDATION TRUST (RAL)</v>
      </c>
      <c r="D186" s="309">
        <f>IF(ISNUMBER('Funnel setup'!P198),VLOOKUP('Funnel setup'!P198,'Provider Commission - Raw Data'!$A:$Q,8,0),"")</f>
        <v>18</v>
      </c>
      <c r="E186" s="446" t="str">
        <f>IF(ISNUMBER('Funnel setup'!P198),VLOOKUP('Funnel setup'!P198,'Provider Commission - Raw Data'!$A:$Q,16,0),"")</f>
        <v>*</v>
      </c>
      <c r="F186" s="310">
        <f>IF(ISNUMBER('Funnel setup'!P198),'Funnel setup'!$K$8,"")</f>
        <v>8.3654400475365306E-2</v>
      </c>
      <c r="G186" s="310" t="str">
        <f>IF(AND(ISNUMBER('Funnel setup'!P198),D186&gt;=30,E186&lt;&gt;"*"),F186-1.959963985 *('Funnel setup'!$K$7/SQRT('Funnel Data'!D186)),"")</f>
        <v/>
      </c>
      <c r="H186" s="310" t="str">
        <f>IF(AND(ISNUMBER('Funnel setup'!P198),D186&gt;=30,E186&lt;&gt;"*"),F186+1.959963985 *('Funnel setup'!$K$7/SQRT('Funnel Data'!D186)),"")</f>
        <v/>
      </c>
      <c r="I186" s="310" t="str">
        <f>IF(AND(ISNUMBER('Funnel setup'!P198),D186&gt;=30,E186&lt;&gt;"*"),F186-3.090232306 *('Funnel setup'!$K$7/SQRT('Funnel Data'!D186)),"")</f>
        <v/>
      </c>
      <c r="J186" s="310" t="str">
        <f>IF(AND(ISNUMBER('Funnel setup'!P198),D186&gt;=30,E186&lt;&gt;"*"),F186+3.090232306 *('Funnel setup'!$K$7/SQRT('Funnel Data'!D186)),"")</f>
        <v/>
      </c>
      <c r="K186" s="311" t="str">
        <f>IF(AND(ISNUMBER('Funnel setup'!P198),D186&gt;=30,E186&lt;&gt;"*"),IF(E186&gt;J186,'Funnel setup'!$K$14&amp;"99.8%",IF(E186&gt;H186,'Funnel setup'!$K$14&amp;"95%",IF(E186&lt;I186,'Funnel setup'!$K$15&amp;"99.8%",IF(E186&lt;G186,'Funnel setup'!$K$15&amp;"95%","")))),"")</f>
        <v/>
      </c>
    </row>
    <row r="187" spans="2:11" ht="15" x14ac:dyDescent="0.2">
      <c r="B187" s="307" t="str">
        <f>IF(ISNUMBER('Funnel setup'!P199),VLOOKUP('Funnel setup'!$P199,'Provider Commission - Raw Data'!$A:$Q,5,0),"")</f>
        <v>RQ6</v>
      </c>
      <c r="C187" s="308" t="str">
        <f>IF(ISNUMBER('Funnel setup'!P199),VLOOKUP('Funnel setup'!P199,'Provider Commission - Raw Data'!$A:$Q,6,0),"")</f>
        <v>ROYAL LIVERPOOL AND BROADGREEN UNIVERSITY HOSPITALS NHS TRUST (RQ6)</v>
      </c>
      <c r="D187" s="309">
        <f>IF(ISNUMBER('Funnel setup'!P199),VLOOKUP('Funnel setup'!P199,'Provider Commission - Raw Data'!$A:$Q,8,0),"")</f>
        <v>76</v>
      </c>
      <c r="E187" s="446">
        <f>IF(ISNUMBER('Funnel setup'!P199),VLOOKUP('Funnel setup'!P199,'Provider Commission - Raw Data'!$A:$Q,16,0),"")</f>
        <v>9.1845047999999999E-2</v>
      </c>
      <c r="F187" s="310">
        <f>IF(ISNUMBER('Funnel setup'!P199),'Funnel setup'!$K$8,"")</f>
        <v>8.3654400475365306E-2</v>
      </c>
      <c r="G187" s="310">
        <f>IF(AND(ISNUMBER('Funnel setup'!P199),D187&gt;=30,E187&lt;&gt;"*"),F187-1.959963985 *('Funnel setup'!$K$7/SQRT('Funnel Data'!D187)),"")</f>
        <v>4.7943625698154704E-2</v>
      </c>
      <c r="H187" s="310">
        <f>IF(AND(ISNUMBER('Funnel setup'!P199),D187&gt;=30,E187&lt;&gt;"*"),F187+1.959963985 *('Funnel setup'!$K$7/SQRT('Funnel Data'!D187)),"")</f>
        <v>0.11936517525257591</v>
      </c>
      <c r="I187" s="310">
        <f>IF(AND(ISNUMBER('Funnel setup'!P199),D187&gt;=30,E187&lt;&gt;"*"),F187-3.090232306 *('Funnel setup'!$K$7/SQRT('Funnel Data'!D187)),"")</f>
        <v>2.7350003693897833E-2</v>
      </c>
      <c r="J187" s="310">
        <f>IF(AND(ISNUMBER('Funnel setup'!P199),D187&gt;=30,E187&lt;&gt;"*"),F187+3.090232306 *('Funnel setup'!$K$7/SQRT('Funnel Data'!D187)),"")</f>
        <v>0.13995879725683277</v>
      </c>
      <c r="K187" s="311" t="str">
        <f>IF(AND(ISNUMBER('Funnel setup'!P199),D187&gt;=30,E187&lt;&gt;"*"),IF(E187&gt;J187,'Funnel setup'!$K$14&amp;"99.8%",IF(E187&gt;H187,'Funnel setup'!$K$14&amp;"95%",IF(E187&lt;I187,'Funnel setup'!$K$15&amp;"99.8%",IF(E187&lt;G187,'Funnel setup'!$K$15&amp;"95%","")))),"")</f>
        <v/>
      </c>
    </row>
    <row r="188" spans="2:11" ht="15" x14ac:dyDescent="0.2">
      <c r="B188" s="307" t="str">
        <f>IF(ISNUMBER('Funnel setup'!P200),VLOOKUP('Funnel setup'!$P200,'Provider Commission - Raw Data'!$A:$Q,5,0),"")</f>
        <v>RA2</v>
      </c>
      <c r="C188" s="308" t="str">
        <f>IF(ISNUMBER('Funnel setup'!P200),VLOOKUP('Funnel setup'!P200,'Provider Commission - Raw Data'!$A:$Q,6,0),"")</f>
        <v>ROYAL SURREY COUNTY HOSPITAL NHS FOUNDATION TRUST (RA2)</v>
      </c>
      <c r="D188" s="309">
        <f>IF(ISNUMBER('Funnel setup'!P200),VLOOKUP('Funnel setup'!P200,'Provider Commission - Raw Data'!$A:$Q,8,0),"")</f>
        <v>162</v>
      </c>
      <c r="E188" s="446">
        <f>IF(ISNUMBER('Funnel setup'!P200),VLOOKUP('Funnel setup'!P200,'Provider Commission - Raw Data'!$A:$Q,16,0),"")</f>
        <v>9.8828581999999998E-2</v>
      </c>
      <c r="F188" s="310">
        <f>IF(ISNUMBER('Funnel setup'!P200),'Funnel setup'!$K$8,"")</f>
        <v>8.3654400475365306E-2</v>
      </c>
      <c r="G188" s="310">
        <f>IF(AND(ISNUMBER('Funnel setup'!P200),D188&gt;=30,E188&lt;&gt;"*"),F188-1.959963985 *('Funnel setup'!$K$7/SQRT('Funnel Data'!D188)),"")</f>
        <v>5.9194844909419925E-2</v>
      </c>
      <c r="H188" s="310">
        <f>IF(AND(ISNUMBER('Funnel setup'!P200),D188&gt;=30,E188&lt;&gt;"*"),F188+1.959963985 *('Funnel setup'!$K$7/SQRT('Funnel Data'!D188)),"")</f>
        <v>0.10811395604131069</v>
      </c>
      <c r="I188" s="310">
        <f>IF(AND(ISNUMBER('Funnel setup'!P200),D188&gt;=30,E188&lt;&gt;"*"),F188-3.090232306 *('Funnel setup'!$K$7/SQRT('Funnel Data'!D188)),"")</f>
        <v>4.5089554703320912E-2</v>
      </c>
      <c r="J188" s="310">
        <f>IF(AND(ISNUMBER('Funnel setup'!P200),D188&gt;=30,E188&lt;&gt;"*"),F188+3.090232306 *('Funnel setup'!$K$7/SQRT('Funnel Data'!D188)),"")</f>
        <v>0.12221924624740971</v>
      </c>
      <c r="K188" s="311" t="str">
        <f>IF(AND(ISNUMBER('Funnel setup'!P200),D188&gt;=30,E188&lt;&gt;"*"),IF(E188&gt;J188,'Funnel setup'!$K$14&amp;"99.8%",IF(E188&gt;H188,'Funnel setup'!$K$14&amp;"95%",IF(E188&lt;I188,'Funnel setup'!$K$15&amp;"99.8%",IF(E188&lt;G188,'Funnel setup'!$K$15&amp;"95%","")))),"")</f>
        <v/>
      </c>
    </row>
    <row r="189" spans="2:11" ht="15" x14ac:dyDescent="0.2">
      <c r="B189" s="307" t="str">
        <f>IF(ISNUMBER('Funnel setup'!P201),VLOOKUP('Funnel setup'!$P201,'Provider Commission - Raw Data'!$A:$Q,5,0),"")</f>
        <v>RD1</v>
      </c>
      <c r="C189" s="308" t="str">
        <f>IF(ISNUMBER('Funnel setup'!P201),VLOOKUP('Funnel setup'!P201,'Provider Commission - Raw Data'!$A:$Q,6,0),"")</f>
        <v>ROYAL UNITED HOSPITALS BATH NHS FOUNDATION TRUST (RD1)</v>
      </c>
      <c r="D189" s="309">
        <f>IF(ISNUMBER('Funnel setup'!P201),VLOOKUP('Funnel setup'!P201,'Provider Commission - Raw Data'!$A:$Q,8,0),"")</f>
        <v>101</v>
      </c>
      <c r="E189" s="446">
        <f>IF(ISNUMBER('Funnel setup'!P201),VLOOKUP('Funnel setup'!P201,'Provider Commission - Raw Data'!$A:$Q,16,0),"")</f>
        <v>7.7328656999999995E-2</v>
      </c>
      <c r="F189" s="310">
        <f>IF(ISNUMBER('Funnel setup'!P201),'Funnel setup'!$K$8,"")</f>
        <v>8.3654400475365306E-2</v>
      </c>
      <c r="G189" s="310">
        <f>IF(AND(ISNUMBER('Funnel setup'!P201),D189&gt;=30,E189&lt;&gt;"*"),F189-1.959963985 *('Funnel setup'!$K$7/SQRT('Funnel Data'!D189)),"")</f>
        <v>5.2676970640857343E-2</v>
      </c>
      <c r="H189" s="310">
        <f>IF(AND(ISNUMBER('Funnel setup'!P201),D189&gt;=30,E189&lt;&gt;"*"),F189+1.959963985 *('Funnel setup'!$K$7/SQRT('Funnel Data'!D189)),"")</f>
        <v>0.11463183030987327</v>
      </c>
      <c r="I189" s="310">
        <f>IF(AND(ISNUMBER('Funnel setup'!P201),D189&gt;=30,E189&lt;&gt;"*"),F189-3.090232306 *('Funnel setup'!$K$7/SQRT('Funnel Data'!D189)),"")</f>
        <v>3.4812965038762252E-2</v>
      </c>
      <c r="J189" s="310">
        <f>IF(AND(ISNUMBER('Funnel setup'!P201),D189&gt;=30,E189&lt;&gt;"*"),F189+3.090232306 *('Funnel setup'!$K$7/SQRT('Funnel Data'!D189)),"")</f>
        <v>0.13249583591196837</v>
      </c>
      <c r="K189" s="311" t="str">
        <f>IF(AND(ISNUMBER('Funnel setup'!P201),D189&gt;=30,E189&lt;&gt;"*"),IF(E189&gt;J189,'Funnel setup'!$K$14&amp;"99.8%",IF(E189&gt;H189,'Funnel setup'!$K$14&amp;"95%",IF(E189&lt;I189,'Funnel setup'!$K$15&amp;"99.8%",IF(E189&lt;G189,'Funnel setup'!$K$15&amp;"95%","")))),"")</f>
        <v/>
      </c>
    </row>
    <row r="190" spans="2:11" ht="15" x14ac:dyDescent="0.2">
      <c r="B190" s="307" t="str">
        <f>IF(ISNUMBER('Funnel setup'!P202),VLOOKUP('Funnel setup'!$P202,'Provider Commission - Raw Data'!$A:$Q,5,0),"")</f>
        <v>RM3</v>
      </c>
      <c r="C190" s="308" t="str">
        <f>IF(ISNUMBER('Funnel setup'!P202),VLOOKUP('Funnel setup'!P202,'Provider Commission - Raw Data'!$A:$Q,6,0),"")</f>
        <v>SALFORD ROYAL NHS FOUNDATION TRUST (RM3)</v>
      </c>
      <c r="D190" s="309">
        <f>IF(ISNUMBER('Funnel setup'!P202),VLOOKUP('Funnel setup'!P202,'Provider Commission - Raw Data'!$A:$Q,8,0),"")</f>
        <v>34</v>
      </c>
      <c r="E190" s="446">
        <f>IF(ISNUMBER('Funnel setup'!P202),VLOOKUP('Funnel setup'!P202,'Provider Commission - Raw Data'!$A:$Q,16,0),"")</f>
        <v>4.8562352000000003E-2</v>
      </c>
      <c r="F190" s="310">
        <f>IF(ISNUMBER('Funnel setup'!P202),'Funnel setup'!$K$8,"")</f>
        <v>8.3654400475365306E-2</v>
      </c>
      <c r="G190" s="310">
        <f>IF(AND(ISNUMBER('Funnel setup'!P202),D190&gt;=30,E190&lt;&gt;"*"),F190-1.959963985 *('Funnel setup'!$K$7/SQRT('Funnel Data'!D190)),"")</f>
        <v>3.0263578099687993E-2</v>
      </c>
      <c r="H190" s="310">
        <f>IF(AND(ISNUMBER('Funnel setup'!P202),D190&gt;=30,E190&lt;&gt;"*"),F190+1.959963985 *('Funnel setup'!$K$7/SQRT('Funnel Data'!D190)),"")</f>
        <v>0.13704522285104262</v>
      </c>
      <c r="I190" s="310">
        <f>IF(AND(ISNUMBER('Funnel setup'!P202),D190&gt;=30,E190&lt;&gt;"*"),F190-3.090232306 *('Funnel setup'!$K$7/SQRT('Funnel Data'!D190)),"")</f>
        <v>-5.2574028840780829E-4</v>
      </c>
      <c r="J190" s="310">
        <f>IF(AND(ISNUMBER('Funnel setup'!P202),D190&gt;=30,E190&lt;&gt;"*"),F190+3.090232306 *('Funnel setup'!$K$7/SQRT('Funnel Data'!D190)),"")</f>
        <v>0.16783454123913844</v>
      </c>
      <c r="K190" s="311" t="str">
        <f>IF(AND(ISNUMBER('Funnel setup'!P202),D190&gt;=30,E190&lt;&gt;"*"),IF(E190&gt;J190,'Funnel setup'!$K$14&amp;"99.8%",IF(E190&gt;H190,'Funnel setup'!$K$14&amp;"95%",IF(E190&lt;I190,'Funnel setup'!$K$15&amp;"99.8%",IF(E190&lt;G190,'Funnel setup'!$K$15&amp;"95%","")))),"")</f>
        <v/>
      </c>
    </row>
    <row r="191" spans="2:11" ht="15" x14ac:dyDescent="0.2">
      <c r="B191" s="307" t="str">
        <f>IF(ISNUMBER('Funnel setup'!P203),VLOOKUP('Funnel setup'!$P203,'Provider Commission - Raw Data'!$A:$Q,5,0),"")</f>
        <v>RNZ</v>
      </c>
      <c r="C191" s="308" t="str">
        <f>IF(ISNUMBER('Funnel setup'!P203),VLOOKUP('Funnel setup'!P203,'Provider Commission - Raw Data'!$A:$Q,6,0),"")</f>
        <v>SALISBURY NHS FOUNDATION TRUST (RNZ)</v>
      </c>
      <c r="D191" s="309">
        <f>IF(ISNUMBER('Funnel setup'!P203),VLOOKUP('Funnel setup'!P203,'Provider Commission - Raw Data'!$A:$Q,8,0),"")</f>
        <v>61</v>
      </c>
      <c r="E191" s="446">
        <f>IF(ISNUMBER('Funnel setup'!P203),VLOOKUP('Funnel setup'!P203,'Provider Commission - Raw Data'!$A:$Q,16,0),"")</f>
        <v>0.119604209</v>
      </c>
      <c r="F191" s="310">
        <f>IF(ISNUMBER('Funnel setup'!P203),'Funnel setup'!$K$8,"")</f>
        <v>8.3654400475365306E-2</v>
      </c>
      <c r="G191" s="310">
        <f>IF(AND(ISNUMBER('Funnel setup'!P203),D191&gt;=30,E191&lt;&gt;"*"),F191-1.959963985 *('Funnel setup'!$K$7/SQRT('Funnel Data'!D191)),"")</f>
        <v>4.3794046476801879E-2</v>
      </c>
      <c r="H191" s="310">
        <f>IF(AND(ISNUMBER('Funnel setup'!P203),D191&gt;=30,E191&lt;&gt;"*"),F191+1.959963985 *('Funnel setup'!$K$7/SQRT('Funnel Data'!D191)),"")</f>
        <v>0.12351475447392873</v>
      </c>
      <c r="I191" s="310">
        <f>IF(AND(ISNUMBER('Funnel setup'!P203),D191&gt;=30,E191&lt;&gt;"*"),F191-3.090232306 *('Funnel setup'!$K$7/SQRT('Funnel Data'!D191)),"")</f>
        <v>2.0807452981604607E-2</v>
      </c>
      <c r="J191" s="310">
        <f>IF(AND(ISNUMBER('Funnel setup'!P203),D191&gt;=30,E191&lt;&gt;"*"),F191+3.090232306 *('Funnel setup'!$K$7/SQRT('Funnel Data'!D191)),"")</f>
        <v>0.14650134796912601</v>
      </c>
      <c r="K191" s="311" t="str">
        <f>IF(AND(ISNUMBER('Funnel setup'!P203),D191&gt;=30,E191&lt;&gt;"*"),IF(E191&gt;J191,'Funnel setup'!$K$14&amp;"99.8%",IF(E191&gt;H191,'Funnel setup'!$K$14&amp;"95%",IF(E191&lt;I191,'Funnel setup'!$K$15&amp;"99.8%",IF(E191&lt;G191,'Funnel setup'!$K$15&amp;"95%","")))),"")</f>
        <v/>
      </c>
    </row>
    <row r="192" spans="2:11" ht="15" x14ac:dyDescent="0.2">
      <c r="B192" s="307" t="str">
        <f>IF(ISNUMBER('Funnel setup'!P204),VLOOKUP('Funnel setup'!$P204,'Provider Commission - Raw Data'!$A:$Q,5,0),"")</f>
        <v>RXK</v>
      </c>
      <c r="C192" s="308" t="str">
        <f>IF(ISNUMBER('Funnel setup'!P204),VLOOKUP('Funnel setup'!P204,'Provider Commission - Raw Data'!$A:$Q,6,0),"")</f>
        <v>SANDWELL AND WEST BIRMINGHAM HOSPITALS NHS TRUST (RXK)</v>
      </c>
      <c r="D192" s="309">
        <f>IF(ISNUMBER('Funnel setup'!P204),VLOOKUP('Funnel setup'!P204,'Provider Commission - Raw Data'!$A:$Q,8,0),"")</f>
        <v>157</v>
      </c>
      <c r="E192" s="446">
        <f>IF(ISNUMBER('Funnel setup'!P204),VLOOKUP('Funnel setup'!P204,'Provider Commission - Raw Data'!$A:$Q,16,0),"")</f>
        <v>5.8628701999999998E-2</v>
      </c>
      <c r="F192" s="310">
        <f>IF(ISNUMBER('Funnel setup'!P204),'Funnel setup'!$K$8,"")</f>
        <v>8.3654400475365306E-2</v>
      </c>
      <c r="G192" s="310">
        <f>IF(AND(ISNUMBER('Funnel setup'!P204),D192&gt;=30,E192&lt;&gt;"*"),F192-1.959963985 *('Funnel setup'!$K$7/SQRT('Funnel Data'!D192)),"")</f>
        <v>5.8808414105529783E-2</v>
      </c>
      <c r="H192" s="310">
        <f>IF(AND(ISNUMBER('Funnel setup'!P204),D192&gt;=30,E192&lt;&gt;"*"),F192+1.959963985 *('Funnel setup'!$K$7/SQRT('Funnel Data'!D192)),"")</f>
        <v>0.10850038684520083</v>
      </c>
      <c r="I192" s="310">
        <f>IF(AND(ISNUMBER('Funnel setup'!P204),D192&gt;=30,E192&lt;&gt;"*"),F192-3.090232306 *('Funnel setup'!$K$7/SQRT('Funnel Data'!D192)),"")</f>
        <v>4.448027771488948E-2</v>
      </c>
      <c r="J192" s="310">
        <f>IF(AND(ISNUMBER('Funnel setup'!P204),D192&gt;=30,E192&lt;&gt;"*"),F192+3.090232306 *('Funnel setup'!$K$7/SQRT('Funnel Data'!D192)),"")</f>
        <v>0.12282852323584113</v>
      </c>
      <c r="K192" s="311" t="str">
        <f>IF(AND(ISNUMBER('Funnel setup'!P204),D192&gt;=30,E192&lt;&gt;"*"),IF(E192&gt;J192,'Funnel setup'!$K$14&amp;"99.8%",IF(E192&gt;H192,'Funnel setup'!$K$14&amp;"95%",IF(E192&lt;I192,'Funnel setup'!$K$15&amp;"99.8%",IF(E192&lt;G192,'Funnel setup'!$K$15&amp;"95%","")))),"")</f>
        <v>Lower 95%</v>
      </c>
    </row>
    <row r="193" spans="2:11" ht="15" x14ac:dyDescent="0.2">
      <c r="B193" s="307" t="str">
        <f>IF(ISNUMBER('Funnel setup'!P205),VLOOKUP('Funnel setup'!$P205,'Provider Commission - Raw Data'!$A:$Q,5,0),"")</f>
        <v>RHQ</v>
      </c>
      <c r="C193" s="308" t="str">
        <f>IF(ISNUMBER('Funnel setup'!P205),VLOOKUP('Funnel setup'!P205,'Provider Commission - Raw Data'!$A:$Q,6,0),"")</f>
        <v>SHEFFIELD TEACHING HOSPITALS NHS FOUNDATION TRUST (RHQ)</v>
      </c>
      <c r="D193" s="309">
        <f>IF(ISNUMBER('Funnel setup'!P205),VLOOKUP('Funnel setup'!P205,'Provider Commission - Raw Data'!$A:$Q,8,0),"")</f>
        <v>189</v>
      </c>
      <c r="E193" s="446">
        <f>IF(ISNUMBER('Funnel setup'!P205),VLOOKUP('Funnel setup'!P205,'Provider Commission - Raw Data'!$A:$Q,16,0),"")</f>
        <v>4.9513359E-2</v>
      </c>
      <c r="F193" s="310">
        <f>IF(ISNUMBER('Funnel setup'!P205),'Funnel setup'!$K$8,"")</f>
        <v>8.3654400475365306E-2</v>
      </c>
      <c r="G193" s="310">
        <f>IF(AND(ISNUMBER('Funnel setup'!P205),D193&gt;=30,E193&lt;&gt;"*"),F193-1.959963985 *('Funnel setup'!$K$7/SQRT('Funnel Data'!D193)),"")</f>
        <v>6.1009252300909492E-2</v>
      </c>
      <c r="H193" s="310">
        <f>IF(AND(ISNUMBER('Funnel setup'!P205),D193&gt;=30,E193&lt;&gt;"*"),F193+1.959963985 *('Funnel setup'!$K$7/SQRT('Funnel Data'!D193)),"")</f>
        <v>0.10629954864982112</v>
      </c>
      <c r="I193" s="310">
        <f>IF(AND(ISNUMBER('Funnel setup'!P205),D193&gt;=30,E193&lt;&gt;"*"),F193-3.090232306 *('Funnel setup'!$K$7/SQRT('Funnel Data'!D193)),"")</f>
        <v>4.7950291114978109E-2</v>
      </c>
      <c r="J193" s="310">
        <f>IF(AND(ISNUMBER('Funnel setup'!P205),D193&gt;=30,E193&lt;&gt;"*"),F193+3.090232306 *('Funnel setup'!$K$7/SQRT('Funnel Data'!D193)),"")</f>
        <v>0.1193585098357525</v>
      </c>
      <c r="K193" s="311" t="str">
        <f>IF(AND(ISNUMBER('Funnel setup'!P205),D193&gt;=30,E193&lt;&gt;"*"),IF(E193&gt;J193,'Funnel setup'!$K$14&amp;"99.8%",IF(E193&gt;H193,'Funnel setup'!$K$14&amp;"95%",IF(E193&lt;I193,'Funnel setup'!$K$15&amp;"99.8%",IF(E193&lt;G193,'Funnel setup'!$K$15&amp;"95%","")))),"")</f>
        <v>Lower 95%</v>
      </c>
    </row>
    <row r="194" spans="2:11" ht="15" x14ac:dyDescent="0.2">
      <c r="B194" s="307" t="str">
        <f>IF(ISNUMBER('Funnel setup'!P206),VLOOKUP('Funnel setup'!$P206,'Provider Commission - Raw Data'!$A:$Q,5,0),"")</f>
        <v>NTPH1</v>
      </c>
      <c r="C194" s="308" t="str">
        <f>IF(ISNUMBER('Funnel setup'!P206),VLOOKUP('Funnel setup'!P206,'Provider Commission - Raw Data'!$A:$Q,6,0),"")</f>
        <v>SHEPTON MALLET NHS TREATMENT CENTRE (NTPH1)</v>
      </c>
      <c r="D194" s="309">
        <f>IF(ISNUMBER('Funnel setup'!P206),VLOOKUP('Funnel setup'!P206,'Provider Commission - Raw Data'!$A:$Q,8,0),"")</f>
        <v>192</v>
      </c>
      <c r="E194" s="446">
        <f>IF(ISNUMBER('Funnel setup'!P206),VLOOKUP('Funnel setup'!P206,'Provider Commission - Raw Data'!$A:$Q,16,0),"")</f>
        <v>6.7259847999999997E-2</v>
      </c>
      <c r="F194" s="310">
        <f>IF(ISNUMBER('Funnel setup'!P206),'Funnel setup'!$K$8,"")</f>
        <v>8.3654400475365306E-2</v>
      </c>
      <c r="G194" s="310">
        <f>IF(AND(ISNUMBER('Funnel setup'!P206),D194&gt;=30,E194&lt;&gt;"*"),F194-1.959963985 *('Funnel setup'!$K$7/SQRT('Funnel Data'!D194)),"")</f>
        <v>6.1186864048433404E-2</v>
      </c>
      <c r="H194" s="310">
        <f>IF(AND(ISNUMBER('Funnel setup'!P206),D194&gt;=30,E194&lt;&gt;"*"),F194+1.959963985 *('Funnel setup'!$K$7/SQRT('Funnel Data'!D194)),"")</f>
        <v>0.10612193690229721</v>
      </c>
      <c r="I194" s="310">
        <f>IF(AND(ISNUMBER('Funnel setup'!P206),D194&gt;=30,E194&lt;&gt;"*"),F194-3.090232306 *('Funnel setup'!$K$7/SQRT('Funnel Data'!D194)),"")</f>
        <v>4.8230327668876076E-2</v>
      </c>
      <c r="J194" s="310">
        <f>IF(AND(ISNUMBER('Funnel setup'!P206),D194&gt;=30,E194&lt;&gt;"*"),F194+3.090232306 *('Funnel setup'!$K$7/SQRT('Funnel Data'!D194)),"")</f>
        <v>0.11907847328185453</v>
      </c>
      <c r="K194" s="311" t="str">
        <f>IF(AND(ISNUMBER('Funnel setup'!P206),D194&gt;=30,E194&lt;&gt;"*"),IF(E194&gt;J194,'Funnel setup'!$K$14&amp;"99.8%",IF(E194&gt;H194,'Funnel setup'!$K$14&amp;"95%",IF(E194&lt;I194,'Funnel setup'!$K$15&amp;"99.8%",IF(E194&lt;G194,'Funnel setup'!$K$15&amp;"95%","")))),"")</f>
        <v/>
      </c>
    </row>
    <row r="195" spans="2:11" ht="15" x14ac:dyDescent="0.2">
      <c r="B195" s="307" t="str">
        <f>IF(ISNUMBER('Funnel setup'!P207),VLOOKUP('Funnel setup'!$P207,'Provider Commission - Raw Data'!$A:$Q,5,0),"")</f>
        <v>RK5</v>
      </c>
      <c r="C195" s="308" t="str">
        <f>IF(ISNUMBER('Funnel setup'!P207),VLOOKUP('Funnel setup'!P207,'Provider Commission - Raw Data'!$A:$Q,6,0),"")</f>
        <v>SHERWOOD FOREST HOSPITALS NHS FOUNDATION TRUST (RK5)</v>
      </c>
      <c r="D195" s="309">
        <f>IF(ISNUMBER('Funnel setup'!P207),VLOOKUP('Funnel setup'!P207,'Provider Commission - Raw Data'!$A:$Q,8,0),"")</f>
        <v>240</v>
      </c>
      <c r="E195" s="446">
        <f>IF(ISNUMBER('Funnel setup'!P207),VLOOKUP('Funnel setup'!P207,'Provider Commission - Raw Data'!$A:$Q,16,0),"")</f>
        <v>8.7303250999999998E-2</v>
      </c>
      <c r="F195" s="310">
        <f>IF(ISNUMBER('Funnel setup'!P207),'Funnel setup'!$K$8,"")</f>
        <v>8.3654400475365306E-2</v>
      </c>
      <c r="G195" s="310">
        <f>IF(AND(ISNUMBER('Funnel setup'!P207),D195&gt;=30,E195&lt;&gt;"*"),F195-1.959963985 *('Funnel setup'!$K$7/SQRT('Funnel Data'!D195)),"")</f>
        <v>6.3558824980336326E-2</v>
      </c>
      <c r="H195" s="310">
        <f>IF(AND(ISNUMBER('Funnel setup'!P207),D195&gt;=30,E195&lt;&gt;"*"),F195+1.959963985 *('Funnel setup'!$K$7/SQRT('Funnel Data'!D195)),"")</f>
        <v>0.10374997597039429</v>
      </c>
      <c r="I195" s="310">
        <f>IF(AND(ISNUMBER('Funnel setup'!P207),D195&gt;=30,E195&lt;&gt;"*"),F195-3.090232306 *('Funnel setup'!$K$7/SQRT('Funnel Data'!D195)),"")</f>
        <v>5.1970146541280633E-2</v>
      </c>
      <c r="J195" s="310">
        <f>IF(AND(ISNUMBER('Funnel setup'!P207),D195&gt;=30,E195&lt;&gt;"*"),F195+3.090232306 *('Funnel setup'!$K$7/SQRT('Funnel Data'!D195)),"")</f>
        <v>0.11533865440944999</v>
      </c>
      <c r="K195" s="311" t="str">
        <f>IF(AND(ISNUMBER('Funnel setup'!P207),D195&gt;=30,E195&lt;&gt;"*"),IF(E195&gt;J195,'Funnel setup'!$K$14&amp;"99.8%",IF(E195&gt;H195,'Funnel setup'!$K$14&amp;"95%",IF(E195&lt;I195,'Funnel setup'!$K$15&amp;"99.8%",IF(E195&lt;G195,'Funnel setup'!$K$15&amp;"95%","")))),"")</f>
        <v/>
      </c>
    </row>
    <row r="196" spans="2:11" ht="15" x14ac:dyDescent="0.2">
      <c r="B196" s="307" t="str">
        <f>IF(ISNUMBER('Funnel setup'!P208),VLOOKUP('Funnel setup'!$P208,'Provider Commission - Raw Data'!$A:$Q,5,0),"")</f>
        <v>RXW</v>
      </c>
      <c r="C196" s="308" t="str">
        <f>IF(ISNUMBER('Funnel setup'!P208),VLOOKUP('Funnel setup'!P208,'Provider Commission - Raw Data'!$A:$Q,6,0),"")</f>
        <v>SHREWSBURY AND TELFORD HOSPITAL NHS TRUST (RXW)</v>
      </c>
      <c r="D196" s="309">
        <f>IF(ISNUMBER('Funnel setup'!P208),VLOOKUP('Funnel setup'!P208,'Provider Commission - Raw Data'!$A:$Q,8,0),"")</f>
        <v>176</v>
      </c>
      <c r="E196" s="446">
        <f>IF(ISNUMBER('Funnel setup'!P208),VLOOKUP('Funnel setup'!P208,'Provider Commission - Raw Data'!$A:$Q,16,0),"")</f>
        <v>8.5662910999999994E-2</v>
      </c>
      <c r="F196" s="310">
        <f>IF(ISNUMBER('Funnel setup'!P208),'Funnel setup'!$K$8,"")</f>
        <v>8.3654400475365306E-2</v>
      </c>
      <c r="G196" s="310">
        <f>IF(AND(ISNUMBER('Funnel setup'!P208),D196&gt;=30,E196&lt;&gt;"*"),F196-1.959963985 *('Funnel setup'!$K$7/SQRT('Funnel Data'!D196)),"")</f>
        <v>6.0187824017567948E-2</v>
      </c>
      <c r="H196" s="310">
        <f>IF(AND(ISNUMBER('Funnel setup'!P208),D196&gt;=30,E196&lt;&gt;"*"),F196+1.959963985 *('Funnel setup'!$K$7/SQRT('Funnel Data'!D196)),"")</f>
        <v>0.10712097693316266</v>
      </c>
      <c r="I196" s="310">
        <f>IF(AND(ISNUMBER('Funnel setup'!P208),D196&gt;=30,E196&lt;&gt;"*"),F196-3.090232306 *('Funnel setup'!$K$7/SQRT('Funnel Data'!D196)),"")</f>
        <v>4.6655163124019565E-2</v>
      </c>
      <c r="J196" s="310">
        <f>IF(AND(ISNUMBER('Funnel setup'!P208),D196&gt;=30,E196&lt;&gt;"*"),F196+3.090232306 *('Funnel setup'!$K$7/SQRT('Funnel Data'!D196)),"")</f>
        <v>0.12065363782671104</v>
      </c>
      <c r="K196" s="311" t="str">
        <f>IF(AND(ISNUMBER('Funnel setup'!P208),D196&gt;=30,E196&lt;&gt;"*"),IF(E196&gt;J196,'Funnel setup'!$K$14&amp;"99.8%",IF(E196&gt;H196,'Funnel setup'!$K$14&amp;"95%",IF(E196&lt;I196,'Funnel setup'!$K$15&amp;"99.8%",IF(E196&lt;G196,'Funnel setup'!$K$15&amp;"95%","")))),"")</f>
        <v/>
      </c>
    </row>
    <row r="197" spans="2:11" ht="15" x14ac:dyDescent="0.2">
      <c r="B197" s="307" t="str">
        <f>IF(ISNUMBER('Funnel setup'!P209),VLOOKUP('Funnel setup'!$P209,'Provider Commission - Raw Data'!$A:$Q,5,0),"")</f>
        <v>RTR</v>
      </c>
      <c r="C197" s="308" t="str">
        <f>IF(ISNUMBER('Funnel setup'!P209),VLOOKUP('Funnel setup'!P209,'Provider Commission - Raw Data'!$A:$Q,6,0),"")</f>
        <v>SOUTH TEES HOSPITALS NHS FOUNDATION TRUST (RTR)</v>
      </c>
      <c r="D197" s="309">
        <f>IF(ISNUMBER('Funnel setup'!P209),VLOOKUP('Funnel setup'!P209,'Provider Commission - Raw Data'!$A:$Q,8,0),"")</f>
        <v>112</v>
      </c>
      <c r="E197" s="446">
        <f>IF(ISNUMBER('Funnel setup'!P209),VLOOKUP('Funnel setup'!P209,'Provider Commission - Raw Data'!$A:$Q,16,0),"")</f>
        <v>9.5664431999999994E-2</v>
      </c>
      <c r="F197" s="310">
        <f>IF(ISNUMBER('Funnel setup'!P209),'Funnel setup'!$K$8,"")</f>
        <v>8.3654400475365306E-2</v>
      </c>
      <c r="G197" s="310">
        <f>IF(AND(ISNUMBER('Funnel setup'!P209),D197&gt;=30,E197&lt;&gt;"*"),F197-1.959963985 *('Funnel setup'!$K$7/SQRT('Funnel Data'!D197)),"")</f>
        <v>5.4237490088052995E-2</v>
      </c>
      <c r="H197" s="310">
        <f>IF(AND(ISNUMBER('Funnel setup'!P209),D197&gt;=30,E197&lt;&gt;"*"),F197+1.959963985 *('Funnel setup'!$K$7/SQRT('Funnel Data'!D197)),"")</f>
        <v>0.11307131086267762</v>
      </c>
      <c r="I197" s="310">
        <f>IF(AND(ISNUMBER('Funnel setup'!P209),D197&gt;=30,E197&lt;&gt;"*"),F197-3.090232306 *('Funnel setup'!$K$7/SQRT('Funnel Data'!D197)),"")</f>
        <v>3.7273401886975692E-2</v>
      </c>
      <c r="J197" s="310">
        <f>IF(AND(ISNUMBER('Funnel setup'!P209),D197&gt;=30,E197&lt;&gt;"*"),F197+3.090232306 *('Funnel setup'!$K$7/SQRT('Funnel Data'!D197)),"")</f>
        <v>0.13003539906375491</v>
      </c>
      <c r="K197" s="311" t="str">
        <f>IF(AND(ISNUMBER('Funnel setup'!P209),D197&gt;=30,E197&lt;&gt;"*"),IF(E197&gt;J197,'Funnel setup'!$K$14&amp;"99.8%",IF(E197&gt;H197,'Funnel setup'!$K$14&amp;"95%",IF(E197&lt;I197,'Funnel setup'!$K$15&amp;"99.8%",IF(E197&lt;G197,'Funnel setup'!$K$15&amp;"95%","")))),"")</f>
        <v/>
      </c>
    </row>
    <row r="198" spans="2:11" ht="15" x14ac:dyDescent="0.2">
      <c r="B198" s="307" t="str">
        <f>IF(ISNUMBER('Funnel setup'!P210),VLOOKUP('Funnel setup'!$P210,'Provider Commission - Raw Data'!$A:$Q,5,0),"")</f>
        <v>RE9</v>
      </c>
      <c r="C198" s="308" t="str">
        <f>IF(ISNUMBER('Funnel setup'!P210),VLOOKUP('Funnel setup'!P210,'Provider Commission - Raw Data'!$A:$Q,6,0),"")</f>
        <v>SOUTH TYNESIDE NHS FOUNDATION TRUST (RE9)</v>
      </c>
      <c r="D198" s="309">
        <f>IF(ISNUMBER('Funnel setup'!P210),VLOOKUP('Funnel setup'!P210,'Provider Commission - Raw Data'!$A:$Q,8,0),"")</f>
        <v>60</v>
      </c>
      <c r="E198" s="446">
        <f>IF(ISNUMBER('Funnel setup'!P210),VLOOKUP('Funnel setup'!P210,'Provider Commission - Raw Data'!$A:$Q,16,0),"")</f>
        <v>2.8492366000000002E-2</v>
      </c>
      <c r="F198" s="310">
        <f>IF(ISNUMBER('Funnel setup'!P210),'Funnel setup'!$K$8,"")</f>
        <v>8.3654400475365306E-2</v>
      </c>
      <c r="G198" s="310">
        <f>IF(AND(ISNUMBER('Funnel setup'!P210),D198&gt;=30,E198&lt;&gt;"*"),F198-1.959963985 *('Funnel setup'!$K$7/SQRT('Funnel Data'!D198)),"")</f>
        <v>4.3463249485307331E-2</v>
      </c>
      <c r="H198" s="310">
        <f>IF(AND(ISNUMBER('Funnel setup'!P210),D198&gt;=30,E198&lt;&gt;"*"),F198+1.959963985 *('Funnel setup'!$K$7/SQRT('Funnel Data'!D198)),"")</f>
        <v>0.12384555146542328</v>
      </c>
      <c r="I198" s="310">
        <f>IF(AND(ISNUMBER('Funnel setup'!P210),D198&gt;=30,E198&lt;&gt;"*"),F198-3.090232306 *('Funnel setup'!$K$7/SQRT('Funnel Data'!D198)),"")</f>
        <v>2.028589260719596E-2</v>
      </c>
      <c r="J198" s="310">
        <f>IF(AND(ISNUMBER('Funnel setup'!P210),D198&gt;=30,E198&lt;&gt;"*"),F198+3.090232306 *('Funnel setup'!$K$7/SQRT('Funnel Data'!D198)),"")</f>
        <v>0.14702290834353465</v>
      </c>
      <c r="K198" s="311" t="str">
        <f>IF(AND(ISNUMBER('Funnel setup'!P210),D198&gt;=30,E198&lt;&gt;"*"),IF(E198&gt;J198,'Funnel setup'!$K$14&amp;"99.8%",IF(E198&gt;H198,'Funnel setup'!$K$14&amp;"95%",IF(E198&lt;I198,'Funnel setup'!$K$15&amp;"99.8%",IF(E198&lt;G198,'Funnel setup'!$K$15&amp;"95%","")))),"")</f>
        <v>Lower 95%</v>
      </c>
    </row>
    <row r="199" spans="2:11" ht="15" x14ac:dyDescent="0.2">
      <c r="B199" s="307" t="str">
        <f>IF(ISNUMBER('Funnel setup'!P211),VLOOKUP('Funnel setup'!$P211,'Provider Commission - Raw Data'!$A:$Q,5,0),"")</f>
        <v>RJC</v>
      </c>
      <c r="C199" s="308" t="str">
        <f>IF(ISNUMBER('Funnel setup'!P211),VLOOKUP('Funnel setup'!P211,'Provider Commission - Raw Data'!$A:$Q,6,0),"")</f>
        <v>SOUTH WARWICKSHIRE NHS FOUNDATION TRUST (RJC)</v>
      </c>
      <c r="D199" s="309">
        <f>IF(ISNUMBER('Funnel setup'!P211),VLOOKUP('Funnel setup'!P211,'Provider Commission - Raw Data'!$A:$Q,8,0),"")</f>
        <v>195</v>
      </c>
      <c r="E199" s="446">
        <f>IF(ISNUMBER('Funnel setup'!P211),VLOOKUP('Funnel setup'!P211,'Provider Commission - Raw Data'!$A:$Q,16,0),"")</f>
        <v>9.6472132000000002E-2</v>
      </c>
      <c r="F199" s="310">
        <f>IF(ISNUMBER('Funnel setup'!P211),'Funnel setup'!$K$8,"")</f>
        <v>8.3654400475365306E-2</v>
      </c>
      <c r="G199" s="310">
        <f>IF(AND(ISNUMBER('Funnel setup'!P211),D199&gt;=30,E199&lt;&gt;"*"),F199-1.959963985 *('Funnel setup'!$K$7/SQRT('Funnel Data'!D199)),"")</f>
        <v>6.1360361134662339E-2</v>
      </c>
      <c r="H199" s="310">
        <f>IF(AND(ISNUMBER('Funnel setup'!P211),D199&gt;=30,E199&lt;&gt;"*"),F199+1.959963985 *('Funnel setup'!$K$7/SQRT('Funnel Data'!D199)),"")</f>
        <v>0.10594843981606827</v>
      </c>
      <c r="I199" s="310">
        <f>IF(AND(ISNUMBER('Funnel setup'!P211),D199&gt;=30,E199&lt;&gt;"*"),F199-3.090232306 *('Funnel setup'!$K$7/SQRT('Funnel Data'!D199)),"")</f>
        <v>4.8503876726391795E-2</v>
      </c>
      <c r="J199" s="310">
        <f>IF(AND(ISNUMBER('Funnel setup'!P211),D199&gt;=30,E199&lt;&gt;"*"),F199+3.090232306 *('Funnel setup'!$K$7/SQRT('Funnel Data'!D199)),"")</f>
        <v>0.11880492422433882</v>
      </c>
      <c r="K199" s="311" t="str">
        <f>IF(AND(ISNUMBER('Funnel setup'!P211),D199&gt;=30,E199&lt;&gt;"*"),IF(E199&gt;J199,'Funnel setup'!$K$14&amp;"99.8%",IF(E199&gt;H199,'Funnel setup'!$K$14&amp;"95%",IF(E199&lt;I199,'Funnel setup'!$K$15&amp;"99.8%",IF(E199&lt;G199,'Funnel setup'!$K$15&amp;"95%","")))),"")</f>
        <v/>
      </c>
    </row>
    <row r="200" spans="2:11" ht="15" x14ac:dyDescent="0.2">
      <c r="B200" s="307" t="str">
        <f>IF(ISNUMBER('Funnel setup'!P212),VLOOKUP('Funnel setup'!$P212,'Provider Commission - Raw Data'!$A:$Q,5,0),"")</f>
        <v>NTP11</v>
      </c>
      <c r="C200" s="308" t="str">
        <f>IF(ISNUMBER('Funnel setup'!P212),VLOOKUP('Funnel setup'!P212,'Provider Commission - Raw Data'!$A:$Q,6,0),"")</f>
        <v>SOUTHAMPTON NHS TREATMENT CENTRE (NTP11)</v>
      </c>
      <c r="D200" s="309">
        <f>IF(ISNUMBER('Funnel setup'!P212),VLOOKUP('Funnel setup'!P212,'Provider Commission - Raw Data'!$A:$Q,8,0),"")</f>
        <v>129</v>
      </c>
      <c r="E200" s="446">
        <f>IF(ISNUMBER('Funnel setup'!P212),VLOOKUP('Funnel setup'!P212,'Provider Commission - Raw Data'!$A:$Q,16,0),"")</f>
        <v>8.7035871000000001E-2</v>
      </c>
      <c r="F200" s="310">
        <f>IF(ISNUMBER('Funnel setup'!P212),'Funnel setup'!$K$8,"")</f>
        <v>8.3654400475365306E-2</v>
      </c>
      <c r="G200" s="310">
        <f>IF(AND(ISNUMBER('Funnel setup'!P212),D200&gt;=30,E200&lt;&gt;"*"),F200-1.959963985 *('Funnel setup'!$K$7/SQRT('Funnel Data'!D200)),"")</f>
        <v>5.6244263003342648E-2</v>
      </c>
      <c r="H200" s="310">
        <f>IF(AND(ISNUMBER('Funnel setup'!P212),D200&gt;=30,E200&lt;&gt;"*"),F200+1.959963985 *('Funnel setup'!$K$7/SQRT('Funnel Data'!D200)),"")</f>
        <v>0.11106453794738796</v>
      </c>
      <c r="I200" s="310">
        <f>IF(AND(ISNUMBER('Funnel setup'!P212),D200&gt;=30,E200&lt;&gt;"*"),F200-3.090232306 *('Funnel setup'!$K$7/SQRT('Funnel Data'!D200)),"")</f>
        <v>4.0437436808583652E-2</v>
      </c>
      <c r="J200" s="310">
        <f>IF(AND(ISNUMBER('Funnel setup'!P212),D200&gt;=30,E200&lt;&gt;"*"),F200+3.090232306 *('Funnel setup'!$K$7/SQRT('Funnel Data'!D200)),"")</f>
        <v>0.12687136414214695</v>
      </c>
      <c r="K200" s="311" t="str">
        <f>IF(AND(ISNUMBER('Funnel setup'!P212),D200&gt;=30,E200&lt;&gt;"*"),IF(E200&gt;J200,'Funnel setup'!$K$14&amp;"99.8%",IF(E200&gt;H200,'Funnel setup'!$K$14&amp;"95%",IF(E200&lt;I200,'Funnel setup'!$K$15&amp;"99.8%",IF(E200&lt;G200,'Funnel setup'!$K$15&amp;"95%","")))),"")</f>
        <v/>
      </c>
    </row>
    <row r="201" spans="2:11" ht="15" x14ac:dyDescent="0.2">
      <c r="B201" s="307" t="str">
        <f>IF(ISNUMBER('Funnel setup'!P213),VLOOKUP('Funnel setup'!$P213,'Provider Commission - Raw Data'!$A:$Q,5,0),"")</f>
        <v>RAJ</v>
      </c>
      <c r="C201" s="308" t="str">
        <f>IF(ISNUMBER('Funnel setup'!P213),VLOOKUP('Funnel setup'!P213,'Provider Commission - Raw Data'!$A:$Q,6,0),"")</f>
        <v>SOUTHEND UNIVERSITY HOSPITAL NHS FOUNDATION TRUST (RAJ)</v>
      </c>
      <c r="D201" s="309">
        <f>IF(ISNUMBER('Funnel setup'!P213),VLOOKUP('Funnel setup'!P213,'Provider Commission - Raw Data'!$A:$Q,8,0),"")</f>
        <v>81</v>
      </c>
      <c r="E201" s="446">
        <f>IF(ISNUMBER('Funnel setup'!P213),VLOOKUP('Funnel setup'!P213,'Provider Commission - Raw Data'!$A:$Q,16,0),"")</f>
        <v>9.9949494E-2</v>
      </c>
      <c r="F201" s="310">
        <f>IF(ISNUMBER('Funnel setup'!P213),'Funnel setup'!$K$8,"")</f>
        <v>8.3654400475365306E-2</v>
      </c>
      <c r="G201" s="310">
        <f>IF(AND(ISNUMBER('Funnel setup'!P213),D201&gt;=30,E201&lt;&gt;"*"),F201-1.959963985 *('Funnel setup'!$K$7/SQRT('Funnel Data'!D201)),"")</f>
        <v>4.9063365264387024E-2</v>
      </c>
      <c r="H201" s="310">
        <f>IF(AND(ISNUMBER('Funnel setup'!P213),D201&gt;=30,E201&lt;&gt;"*"),F201+1.959963985 *('Funnel setup'!$K$7/SQRT('Funnel Data'!D201)),"")</f>
        <v>0.11824543568634359</v>
      </c>
      <c r="I201" s="310">
        <f>IF(AND(ISNUMBER('Funnel setup'!P213),D201&gt;=30,E201&lt;&gt;"*"),F201-3.090232306 *('Funnel setup'!$K$7/SQRT('Funnel Data'!D201)),"")</f>
        <v>2.9115472553713419E-2</v>
      </c>
      <c r="J201" s="310">
        <f>IF(AND(ISNUMBER('Funnel setup'!P213),D201&gt;=30,E201&lt;&gt;"*"),F201+3.090232306 *('Funnel setup'!$K$7/SQRT('Funnel Data'!D201)),"")</f>
        <v>0.1381933283970172</v>
      </c>
      <c r="K201" s="311" t="str">
        <f>IF(AND(ISNUMBER('Funnel setup'!P213),D201&gt;=30,E201&lt;&gt;"*"),IF(E201&gt;J201,'Funnel setup'!$K$14&amp;"99.8%",IF(E201&gt;H201,'Funnel setup'!$K$14&amp;"95%",IF(E201&lt;I201,'Funnel setup'!$K$15&amp;"99.8%",IF(E201&lt;G201,'Funnel setup'!$K$15&amp;"95%","")))),"")</f>
        <v/>
      </c>
    </row>
    <row r="202" spans="2:11" ht="15" x14ac:dyDescent="0.2">
      <c r="B202" s="307" t="str">
        <f>IF(ISNUMBER('Funnel setup'!P214),VLOOKUP('Funnel setup'!$P214,'Provider Commission - Raw Data'!$A:$Q,5,0),"")</f>
        <v>RW1</v>
      </c>
      <c r="C202" s="308" t="str">
        <f>IF(ISNUMBER('Funnel setup'!P214),VLOOKUP('Funnel setup'!P214,'Provider Commission - Raw Data'!$A:$Q,6,0),"")</f>
        <v>SOUTHERN HEALTH NHS FOUNDATION TRUST (RW1)</v>
      </c>
      <c r="D202" s="309">
        <f>IF(ISNUMBER('Funnel setup'!P214),VLOOKUP('Funnel setup'!P214,'Provider Commission - Raw Data'!$A:$Q,8,0),"")</f>
        <v>66</v>
      </c>
      <c r="E202" s="446">
        <f>IF(ISNUMBER('Funnel setup'!P214),VLOOKUP('Funnel setup'!P214,'Provider Commission - Raw Data'!$A:$Q,16,0),"")</f>
        <v>5.1976034999999997E-2</v>
      </c>
      <c r="F202" s="310">
        <f>IF(ISNUMBER('Funnel setup'!P214),'Funnel setup'!$K$8,"")</f>
        <v>8.3654400475365306E-2</v>
      </c>
      <c r="G202" s="310">
        <f>IF(AND(ISNUMBER('Funnel setup'!P214),D202&gt;=30,E202&lt;&gt;"*"),F202-1.959963985 *('Funnel setup'!$K$7/SQRT('Funnel Data'!D202)),"")</f>
        <v>4.5333641587624082E-2</v>
      </c>
      <c r="H202" s="310">
        <f>IF(AND(ISNUMBER('Funnel setup'!P214),D202&gt;=30,E202&lt;&gt;"*"),F202+1.959963985 *('Funnel setup'!$K$7/SQRT('Funnel Data'!D202)),"")</f>
        <v>0.12197515936310653</v>
      </c>
      <c r="I202" s="310">
        <f>IF(AND(ISNUMBER('Funnel setup'!P214),D202&gt;=30,E202&lt;&gt;"*"),F202-3.090232306 *('Funnel setup'!$K$7/SQRT('Funnel Data'!D202)),"")</f>
        <v>2.3234898886750878E-2</v>
      </c>
      <c r="J202" s="310">
        <f>IF(AND(ISNUMBER('Funnel setup'!P214),D202&gt;=30,E202&lt;&gt;"*"),F202+3.090232306 *('Funnel setup'!$K$7/SQRT('Funnel Data'!D202)),"")</f>
        <v>0.14407390206397974</v>
      </c>
      <c r="K202" s="311" t="str">
        <f>IF(AND(ISNUMBER('Funnel setup'!P214),D202&gt;=30,E202&lt;&gt;"*"),IF(E202&gt;J202,'Funnel setup'!$K$14&amp;"99.8%",IF(E202&gt;H202,'Funnel setup'!$K$14&amp;"95%",IF(E202&lt;I202,'Funnel setup'!$K$15&amp;"99.8%",IF(E202&lt;G202,'Funnel setup'!$K$15&amp;"95%","")))),"")</f>
        <v/>
      </c>
    </row>
    <row r="203" spans="2:11" ht="15" x14ac:dyDescent="0.2">
      <c r="B203" s="307" t="str">
        <f>IF(ISNUMBER('Funnel setup'!P215),VLOOKUP('Funnel setup'!$P215,'Provider Commission - Raw Data'!$A:$Q,5,0),"")</f>
        <v>RVY</v>
      </c>
      <c r="C203" s="308" t="str">
        <f>IF(ISNUMBER('Funnel setup'!P215),VLOOKUP('Funnel setup'!P215,'Provider Commission - Raw Data'!$A:$Q,6,0),"")</f>
        <v>SOUTHPORT AND ORMSKIRK HOSPITAL NHS TRUST (RVY)</v>
      </c>
      <c r="D203" s="309">
        <f>IF(ISNUMBER('Funnel setup'!P215),VLOOKUP('Funnel setup'!P215,'Provider Commission - Raw Data'!$A:$Q,8,0),"")</f>
        <v>117</v>
      </c>
      <c r="E203" s="446">
        <f>IF(ISNUMBER('Funnel setup'!P215),VLOOKUP('Funnel setup'!P215,'Provider Commission - Raw Data'!$A:$Q,16,0),"")</f>
        <v>7.0971181999999994E-2</v>
      </c>
      <c r="F203" s="310">
        <f>IF(ISNUMBER('Funnel setup'!P215),'Funnel setup'!$K$8,"")</f>
        <v>8.3654400475365306E-2</v>
      </c>
      <c r="G203" s="310">
        <f>IF(AND(ISNUMBER('Funnel setup'!P215),D203&gt;=30,E203&lt;&gt;"*"),F203-1.959963985 *('Funnel setup'!$K$7/SQRT('Funnel Data'!D203)),"")</f>
        <v>5.4872919446620115E-2</v>
      </c>
      <c r="H203" s="310">
        <f>IF(AND(ISNUMBER('Funnel setup'!P215),D203&gt;=30,E203&lt;&gt;"*"),F203+1.959963985 *('Funnel setup'!$K$7/SQRT('Funnel Data'!D203)),"")</f>
        <v>0.11243588150411049</v>
      </c>
      <c r="I203" s="310">
        <f>IF(AND(ISNUMBER('Funnel setup'!P215),D203&gt;=30,E203&lt;&gt;"*"),F203-3.090232306 *('Funnel setup'!$K$7/SQRT('Funnel Data'!D203)),"")</f>
        <v>3.8275269445284414E-2</v>
      </c>
      <c r="J203" s="310">
        <f>IF(AND(ISNUMBER('Funnel setup'!P215),D203&gt;=30,E203&lt;&gt;"*"),F203+3.090232306 *('Funnel setup'!$K$7/SQRT('Funnel Data'!D203)),"")</f>
        <v>0.12903353150544619</v>
      </c>
      <c r="K203" s="311" t="str">
        <f>IF(AND(ISNUMBER('Funnel setup'!P215),D203&gt;=30,E203&lt;&gt;"*"),IF(E203&gt;J203,'Funnel setup'!$K$14&amp;"99.8%",IF(E203&gt;H203,'Funnel setup'!$K$14&amp;"95%",IF(E203&lt;I203,'Funnel setup'!$K$15&amp;"99.8%",IF(E203&lt;G203,'Funnel setup'!$K$15&amp;"95%","")))),"")</f>
        <v/>
      </c>
    </row>
    <row r="204" spans="2:11" ht="15" x14ac:dyDescent="0.2">
      <c r="B204" s="307" t="str">
        <f>IF(ISNUMBER('Funnel setup'!P216),VLOOKUP('Funnel setup'!$P216,'Provider Commission - Raw Data'!$A:$Q,5,0),"")</f>
        <v>NT312</v>
      </c>
      <c r="C204" s="308" t="str">
        <f>IF(ISNUMBER('Funnel setup'!P216),VLOOKUP('Funnel setup'!P216,'Provider Commission - Raw Data'!$A:$Q,6,0),"")</f>
        <v>SPIRE ALEXANDRA HOSPITAL (NT312)</v>
      </c>
      <c r="D204" s="309">
        <f>IF(ISNUMBER('Funnel setup'!P216),VLOOKUP('Funnel setup'!P216,'Provider Commission - Raw Data'!$A:$Q,8,0),"")</f>
        <v>17</v>
      </c>
      <c r="E204" s="446" t="str">
        <f>IF(ISNUMBER('Funnel setup'!P216),VLOOKUP('Funnel setup'!P216,'Provider Commission - Raw Data'!$A:$Q,16,0),"")</f>
        <v>*</v>
      </c>
      <c r="F204" s="310">
        <f>IF(ISNUMBER('Funnel setup'!P216),'Funnel setup'!$K$8,"")</f>
        <v>8.3654400475365306E-2</v>
      </c>
      <c r="G204" s="310" t="str">
        <f>IF(AND(ISNUMBER('Funnel setup'!P216),D204&gt;=30,E204&lt;&gt;"*"),F204-1.959963985 *('Funnel setup'!$K$7/SQRT('Funnel Data'!D204)),"")</f>
        <v/>
      </c>
      <c r="H204" s="310" t="str">
        <f>IF(AND(ISNUMBER('Funnel setup'!P216),D204&gt;=30,E204&lt;&gt;"*"),F204+1.959963985 *('Funnel setup'!$K$7/SQRT('Funnel Data'!D204)),"")</f>
        <v/>
      </c>
      <c r="I204" s="310" t="str">
        <f>IF(AND(ISNUMBER('Funnel setup'!P216),D204&gt;=30,E204&lt;&gt;"*"),F204-3.090232306 *('Funnel setup'!$K$7/SQRT('Funnel Data'!D204)),"")</f>
        <v/>
      </c>
      <c r="J204" s="310" t="str">
        <f>IF(AND(ISNUMBER('Funnel setup'!P216),D204&gt;=30,E204&lt;&gt;"*"),F204+3.090232306 *('Funnel setup'!$K$7/SQRT('Funnel Data'!D204)),"")</f>
        <v/>
      </c>
      <c r="K204" s="311" t="str">
        <f>IF(AND(ISNUMBER('Funnel setup'!P216),D204&gt;=30,E204&lt;&gt;"*"),IF(E204&gt;J204,'Funnel setup'!$K$14&amp;"99.8%",IF(E204&gt;H204,'Funnel setup'!$K$14&amp;"95%",IF(E204&lt;I204,'Funnel setup'!$K$15&amp;"99.8%",IF(E204&lt;G204,'Funnel setup'!$K$15&amp;"95%","")))),"")</f>
        <v/>
      </c>
    </row>
    <row r="205" spans="2:11" ht="15" x14ac:dyDescent="0.2">
      <c r="B205" s="307" t="str">
        <f>IF(ISNUMBER('Funnel setup'!P217),VLOOKUP('Funnel setup'!$P217,'Provider Commission - Raw Data'!$A:$Q,5,0),"")</f>
        <v>NT317</v>
      </c>
      <c r="C205" s="308" t="str">
        <f>IF(ISNUMBER('Funnel setup'!P217),VLOOKUP('Funnel setup'!P217,'Provider Commission - Raw Data'!$A:$Q,6,0),"")</f>
        <v>SPIRE CAMBRIDGE LEA HOSPITAL (NT317)</v>
      </c>
      <c r="D205" s="309">
        <f>IF(ISNUMBER('Funnel setup'!P217),VLOOKUP('Funnel setup'!P217,'Provider Commission - Raw Data'!$A:$Q,8,0),"")</f>
        <v>17</v>
      </c>
      <c r="E205" s="446" t="str">
        <f>IF(ISNUMBER('Funnel setup'!P217),VLOOKUP('Funnel setup'!P217,'Provider Commission - Raw Data'!$A:$Q,16,0),"")</f>
        <v>*</v>
      </c>
      <c r="F205" s="310">
        <f>IF(ISNUMBER('Funnel setup'!P217),'Funnel setup'!$K$8,"")</f>
        <v>8.3654400475365306E-2</v>
      </c>
      <c r="G205" s="310" t="str">
        <f>IF(AND(ISNUMBER('Funnel setup'!P217),D205&gt;=30,E205&lt;&gt;"*"),F205-1.959963985 *('Funnel setup'!$K$7/SQRT('Funnel Data'!D205)),"")</f>
        <v/>
      </c>
      <c r="H205" s="310" t="str">
        <f>IF(AND(ISNUMBER('Funnel setup'!P217),D205&gt;=30,E205&lt;&gt;"*"),F205+1.959963985 *('Funnel setup'!$K$7/SQRT('Funnel Data'!D205)),"")</f>
        <v/>
      </c>
      <c r="I205" s="310" t="str">
        <f>IF(AND(ISNUMBER('Funnel setup'!P217),D205&gt;=30,E205&lt;&gt;"*"),F205-3.090232306 *('Funnel setup'!$K$7/SQRT('Funnel Data'!D205)),"")</f>
        <v/>
      </c>
      <c r="J205" s="310" t="str">
        <f>IF(AND(ISNUMBER('Funnel setup'!P217),D205&gt;=30,E205&lt;&gt;"*"),F205+3.090232306 *('Funnel setup'!$K$7/SQRT('Funnel Data'!D205)),"")</f>
        <v/>
      </c>
      <c r="K205" s="311" t="str">
        <f>IF(AND(ISNUMBER('Funnel setup'!P217),D205&gt;=30,E205&lt;&gt;"*"),IF(E205&gt;J205,'Funnel setup'!$K$14&amp;"99.8%",IF(E205&gt;H205,'Funnel setup'!$K$14&amp;"95%",IF(E205&lt;I205,'Funnel setup'!$K$15&amp;"99.8%",IF(E205&lt;G205,'Funnel setup'!$K$15&amp;"95%","")))),"")</f>
        <v/>
      </c>
    </row>
    <row r="206" spans="2:11" ht="15" x14ac:dyDescent="0.2">
      <c r="B206" s="307" t="str">
        <f>IF(ISNUMBER('Funnel setup'!P218),VLOOKUP('Funnel setup'!$P218,'Provider Commission - Raw Data'!$A:$Q,5,0),"")</f>
        <v>NT324</v>
      </c>
      <c r="C206" s="308" t="str">
        <f>IF(ISNUMBER('Funnel setup'!P218),VLOOKUP('Funnel setup'!P218,'Provider Commission - Raw Data'!$A:$Q,6,0),"")</f>
        <v>SPIRE CHESHIRE HOSPITAL (NT324)</v>
      </c>
      <c r="D206" s="309">
        <f>IF(ISNUMBER('Funnel setup'!P218),VLOOKUP('Funnel setup'!P218,'Provider Commission - Raw Data'!$A:$Q,8,0),"")</f>
        <v>29</v>
      </c>
      <c r="E206" s="446" t="str">
        <f>IF(ISNUMBER('Funnel setup'!P218),VLOOKUP('Funnel setup'!P218,'Provider Commission - Raw Data'!$A:$Q,16,0),"")</f>
        <v>*</v>
      </c>
      <c r="F206" s="310">
        <f>IF(ISNUMBER('Funnel setup'!P218),'Funnel setup'!$K$8,"")</f>
        <v>8.3654400475365306E-2</v>
      </c>
      <c r="G206" s="310" t="str">
        <f>IF(AND(ISNUMBER('Funnel setup'!P218),D206&gt;=30,E206&lt;&gt;"*"),F206-1.959963985 *('Funnel setup'!$K$7/SQRT('Funnel Data'!D206)),"")</f>
        <v/>
      </c>
      <c r="H206" s="310" t="str">
        <f>IF(AND(ISNUMBER('Funnel setup'!P218),D206&gt;=30,E206&lt;&gt;"*"),F206+1.959963985 *('Funnel setup'!$K$7/SQRT('Funnel Data'!D206)),"")</f>
        <v/>
      </c>
      <c r="I206" s="310" t="str">
        <f>IF(AND(ISNUMBER('Funnel setup'!P218),D206&gt;=30,E206&lt;&gt;"*"),F206-3.090232306 *('Funnel setup'!$K$7/SQRT('Funnel Data'!D206)),"")</f>
        <v/>
      </c>
      <c r="J206" s="310" t="str">
        <f>IF(AND(ISNUMBER('Funnel setup'!P218),D206&gt;=30,E206&lt;&gt;"*"),F206+3.090232306 *('Funnel setup'!$K$7/SQRT('Funnel Data'!D206)),"")</f>
        <v/>
      </c>
      <c r="K206" s="311" t="str">
        <f>IF(AND(ISNUMBER('Funnel setup'!P218),D206&gt;=30,E206&lt;&gt;"*"),IF(E206&gt;J206,'Funnel setup'!$K$14&amp;"99.8%",IF(E206&gt;H206,'Funnel setup'!$K$14&amp;"95%",IF(E206&lt;I206,'Funnel setup'!$K$15&amp;"99.8%",IF(E206&lt;G206,'Funnel setup'!$K$15&amp;"95%","")))),"")</f>
        <v/>
      </c>
    </row>
    <row r="207" spans="2:11" ht="15" x14ac:dyDescent="0.2">
      <c r="B207" s="307" t="str">
        <f>IF(ISNUMBER('Funnel setup'!P219),VLOOKUP('Funnel setup'!$P219,'Provider Commission - Raw Data'!$A:$Q,5,0),"")</f>
        <v>NT345</v>
      </c>
      <c r="C207" s="308" t="str">
        <f>IF(ISNUMBER('Funnel setup'!P219),VLOOKUP('Funnel setup'!P219,'Provider Commission - Raw Data'!$A:$Q,6,0),"")</f>
        <v>SPIRE CLARE PARK HOSPITAL (NT345)</v>
      </c>
      <c r="D207" s="309" t="str">
        <f>IF(ISNUMBER('Funnel setup'!P219),VLOOKUP('Funnel setup'!P219,'Provider Commission - Raw Data'!$A:$Q,8,0),"")</f>
        <v>*</v>
      </c>
      <c r="E207" s="446" t="str">
        <f>IF(ISNUMBER('Funnel setup'!P219),VLOOKUP('Funnel setup'!P219,'Provider Commission - Raw Data'!$A:$Q,16,0),"")</f>
        <v>*</v>
      </c>
      <c r="F207" s="310">
        <f>IF(ISNUMBER('Funnel setup'!P219),'Funnel setup'!$K$8,"")</f>
        <v>8.3654400475365306E-2</v>
      </c>
      <c r="G207" s="310" t="str">
        <f>IF(AND(ISNUMBER('Funnel setup'!P219),D207&gt;=30,E207&lt;&gt;"*"),F207-1.959963985 *('Funnel setup'!$K$7/SQRT('Funnel Data'!D207)),"")</f>
        <v/>
      </c>
      <c r="H207" s="310" t="str">
        <f>IF(AND(ISNUMBER('Funnel setup'!P219),D207&gt;=30,E207&lt;&gt;"*"),F207+1.959963985 *('Funnel setup'!$K$7/SQRT('Funnel Data'!D207)),"")</f>
        <v/>
      </c>
      <c r="I207" s="310" t="str">
        <f>IF(AND(ISNUMBER('Funnel setup'!P219),D207&gt;=30,E207&lt;&gt;"*"),F207-3.090232306 *('Funnel setup'!$K$7/SQRT('Funnel Data'!D207)),"")</f>
        <v/>
      </c>
      <c r="J207" s="310" t="str">
        <f>IF(AND(ISNUMBER('Funnel setup'!P219),D207&gt;=30,E207&lt;&gt;"*"),F207+3.090232306 *('Funnel setup'!$K$7/SQRT('Funnel Data'!D207)),"")</f>
        <v/>
      </c>
      <c r="K207" s="311" t="str">
        <f>IF(AND(ISNUMBER('Funnel setup'!P219),D207&gt;=30,E207&lt;&gt;"*"),IF(E207&gt;J207,'Funnel setup'!$K$14&amp;"99.8%",IF(E207&gt;H207,'Funnel setup'!$K$14&amp;"95%",IF(E207&lt;I207,'Funnel setup'!$K$15&amp;"99.8%",IF(E207&lt;G207,'Funnel setup'!$K$15&amp;"95%","")))),"")</f>
        <v/>
      </c>
    </row>
    <row r="208" spans="2:11" ht="15" x14ac:dyDescent="0.2">
      <c r="B208" s="307" t="str">
        <f>IF(ISNUMBER('Funnel setup'!P220),VLOOKUP('Funnel setup'!$P220,'Provider Commission - Raw Data'!$A:$Q,5,0),"")</f>
        <v>NT344</v>
      </c>
      <c r="C208" s="308" t="str">
        <f>IF(ISNUMBER('Funnel setup'!P220),VLOOKUP('Funnel setup'!P220,'Provider Commission - Raw Data'!$A:$Q,6,0),"")</f>
        <v>SPIRE DUNEDIN HOSPITAL (NT344)</v>
      </c>
      <c r="D208" s="309">
        <f>IF(ISNUMBER('Funnel setup'!P220),VLOOKUP('Funnel setup'!P220,'Provider Commission - Raw Data'!$A:$Q,8,0),"")</f>
        <v>32</v>
      </c>
      <c r="E208" s="446">
        <f>IF(ISNUMBER('Funnel setup'!P220),VLOOKUP('Funnel setup'!P220,'Provider Commission - Raw Data'!$A:$Q,16,0),"")</f>
        <v>9.6749439000000007E-2</v>
      </c>
      <c r="F208" s="310">
        <f>IF(ISNUMBER('Funnel setup'!P220),'Funnel setup'!$K$8,"")</f>
        <v>8.3654400475365306E-2</v>
      </c>
      <c r="G208" s="310">
        <f>IF(AND(ISNUMBER('Funnel setup'!P220),D208&gt;=30,E208&lt;&gt;"*"),F208-1.959963985 *('Funnel setup'!$K$7/SQRT('Funnel Data'!D208)),"")</f>
        <v>2.8620400451988208E-2</v>
      </c>
      <c r="H208" s="310">
        <f>IF(AND(ISNUMBER('Funnel setup'!P220),D208&gt;=30,E208&lt;&gt;"*"),F208+1.959963985 *('Funnel setup'!$K$7/SQRT('Funnel Data'!D208)),"")</f>
        <v>0.1386884004987424</v>
      </c>
      <c r="I208" s="310">
        <f>IF(AND(ISNUMBER('Funnel setup'!P220),D208&gt;=30,E208&lt;&gt;"*"),F208-3.090232306 *('Funnel setup'!$K$7/SQRT('Funnel Data'!D208)),"")</f>
        <v>-3.1165025117345646E-3</v>
      </c>
      <c r="J208" s="310">
        <f>IF(AND(ISNUMBER('Funnel setup'!P220),D208&gt;=30,E208&lt;&gt;"*"),F208+3.090232306 *('Funnel setup'!$K$7/SQRT('Funnel Data'!D208)),"")</f>
        <v>0.17042530346246518</v>
      </c>
      <c r="K208" s="311" t="str">
        <f>IF(AND(ISNUMBER('Funnel setup'!P220),D208&gt;=30,E208&lt;&gt;"*"),IF(E208&gt;J208,'Funnel setup'!$K$14&amp;"99.8%",IF(E208&gt;H208,'Funnel setup'!$K$14&amp;"95%",IF(E208&lt;I208,'Funnel setup'!$K$15&amp;"99.8%",IF(E208&lt;G208,'Funnel setup'!$K$15&amp;"95%","")))),"")</f>
        <v/>
      </c>
    </row>
    <row r="209" spans="2:11" ht="15" x14ac:dyDescent="0.2">
      <c r="B209" s="307" t="str">
        <f>IF(ISNUMBER('Funnel setup'!P221),VLOOKUP('Funnel setup'!$P221,'Provider Commission - Raw Data'!$A:$Q,5,0),"")</f>
        <v>NT348</v>
      </c>
      <c r="C209" s="308" t="str">
        <f>IF(ISNUMBER('Funnel setup'!P221),VLOOKUP('Funnel setup'!P221,'Provider Commission - Raw Data'!$A:$Q,6,0),"")</f>
        <v>SPIRE ELLAND HOSPITAL (NT348)</v>
      </c>
      <c r="D209" s="309">
        <f>IF(ISNUMBER('Funnel setup'!P221),VLOOKUP('Funnel setup'!P221,'Provider Commission - Raw Data'!$A:$Q,8,0),"")</f>
        <v>41</v>
      </c>
      <c r="E209" s="446">
        <f>IF(ISNUMBER('Funnel setup'!P221),VLOOKUP('Funnel setup'!P221,'Provider Commission - Raw Data'!$A:$Q,16,0),"")</f>
        <v>0.12433517199999999</v>
      </c>
      <c r="F209" s="310">
        <f>IF(ISNUMBER('Funnel setup'!P221),'Funnel setup'!$K$8,"")</f>
        <v>8.3654400475365306E-2</v>
      </c>
      <c r="G209" s="310">
        <f>IF(AND(ISNUMBER('Funnel setup'!P221),D209&gt;=30,E209&lt;&gt;"*"),F209-1.959963985 *('Funnel setup'!$K$7/SQRT('Funnel Data'!D209)),"")</f>
        <v>3.5034491606687909E-2</v>
      </c>
      <c r="H209" s="310">
        <f>IF(AND(ISNUMBER('Funnel setup'!P221),D209&gt;=30,E209&lt;&gt;"*"),F209+1.959963985 *('Funnel setup'!$K$7/SQRT('Funnel Data'!D209)),"")</f>
        <v>0.13227430934404272</v>
      </c>
      <c r="I209" s="310">
        <f>IF(AND(ISNUMBER('Funnel setup'!P221),D209&gt;=30,E209&lt;&gt;"*"),F209-3.090232306 *('Funnel setup'!$K$7/SQRT('Funnel Data'!D209)),"")</f>
        <v>6.9964545893021063E-3</v>
      </c>
      <c r="J209" s="310">
        <f>IF(AND(ISNUMBER('Funnel setup'!P221),D209&gt;=30,E209&lt;&gt;"*"),F209+3.090232306 *('Funnel setup'!$K$7/SQRT('Funnel Data'!D209)),"")</f>
        <v>0.16031234636142849</v>
      </c>
      <c r="K209" s="311" t="str">
        <f>IF(AND(ISNUMBER('Funnel setup'!P221),D209&gt;=30,E209&lt;&gt;"*"),IF(E209&gt;J209,'Funnel setup'!$K$14&amp;"99.8%",IF(E209&gt;H209,'Funnel setup'!$K$14&amp;"95%",IF(E209&lt;I209,'Funnel setup'!$K$15&amp;"99.8%",IF(E209&lt;G209,'Funnel setup'!$K$15&amp;"95%","")))),"")</f>
        <v/>
      </c>
    </row>
    <row r="210" spans="2:11" ht="15" x14ac:dyDescent="0.2">
      <c r="B210" s="307" t="str">
        <f>IF(ISNUMBER('Funnel setup'!P222),VLOOKUP('Funnel setup'!$P222,'Provider Commission - Raw Data'!$A:$Q,5,0),"")</f>
        <v>NT347</v>
      </c>
      <c r="C210" s="308" t="str">
        <f>IF(ISNUMBER('Funnel setup'!P222),VLOOKUP('Funnel setup'!P222,'Provider Commission - Raw Data'!$A:$Q,6,0),"")</f>
        <v>SPIRE FYLDE COAST HOSPITAL (NT347)</v>
      </c>
      <c r="D210" s="309" t="str">
        <f>IF(ISNUMBER('Funnel setup'!P222),VLOOKUP('Funnel setup'!P222,'Provider Commission - Raw Data'!$A:$Q,8,0),"")</f>
        <v>*</v>
      </c>
      <c r="E210" s="446" t="str">
        <f>IF(ISNUMBER('Funnel setup'!P222),VLOOKUP('Funnel setup'!P222,'Provider Commission - Raw Data'!$A:$Q,16,0),"")</f>
        <v>*</v>
      </c>
      <c r="F210" s="310">
        <f>IF(ISNUMBER('Funnel setup'!P222),'Funnel setup'!$K$8,"")</f>
        <v>8.3654400475365306E-2</v>
      </c>
      <c r="G210" s="310" t="str">
        <f>IF(AND(ISNUMBER('Funnel setup'!P222),D210&gt;=30,E210&lt;&gt;"*"),F210-1.959963985 *('Funnel setup'!$K$7/SQRT('Funnel Data'!D210)),"")</f>
        <v/>
      </c>
      <c r="H210" s="310" t="str">
        <f>IF(AND(ISNUMBER('Funnel setup'!P222),D210&gt;=30,E210&lt;&gt;"*"),F210+1.959963985 *('Funnel setup'!$K$7/SQRT('Funnel Data'!D210)),"")</f>
        <v/>
      </c>
      <c r="I210" s="310" t="str">
        <f>IF(AND(ISNUMBER('Funnel setup'!P222),D210&gt;=30,E210&lt;&gt;"*"),F210-3.090232306 *('Funnel setup'!$K$7/SQRT('Funnel Data'!D210)),"")</f>
        <v/>
      </c>
      <c r="J210" s="310" t="str">
        <f>IF(AND(ISNUMBER('Funnel setup'!P222),D210&gt;=30,E210&lt;&gt;"*"),F210+3.090232306 *('Funnel setup'!$K$7/SQRT('Funnel Data'!D210)),"")</f>
        <v/>
      </c>
      <c r="K210" s="311" t="str">
        <f>IF(AND(ISNUMBER('Funnel setup'!P222),D210&gt;=30,E210&lt;&gt;"*"),IF(E210&gt;J210,'Funnel setup'!$K$14&amp;"99.8%",IF(E210&gt;H210,'Funnel setup'!$K$14&amp;"95%",IF(E210&lt;I210,'Funnel setup'!$K$15&amp;"99.8%",IF(E210&lt;G210,'Funnel setup'!$K$15&amp;"95%","")))),"")</f>
        <v/>
      </c>
    </row>
    <row r="211" spans="2:11" ht="15" x14ac:dyDescent="0.2">
      <c r="B211" s="307" t="str">
        <f>IF(ISNUMBER('Funnel setup'!P223),VLOOKUP('Funnel setup'!$P223,'Provider Commission - Raw Data'!$A:$Q,5,0),"")</f>
        <v>NT308</v>
      </c>
      <c r="C211" s="308" t="str">
        <f>IF(ISNUMBER('Funnel setup'!P223),VLOOKUP('Funnel setup'!P223,'Provider Commission - Raw Data'!$A:$Q,6,0),"")</f>
        <v>SPIRE GATWICK PARK HOSPITAL (NT308)</v>
      </c>
      <c r="D211" s="309">
        <f>IF(ISNUMBER('Funnel setup'!P223),VLOOKUP('Funnel setup'!P223,'Provider Commission - Raw Data'!$A:$Q,8,0),"")</f>
        <v>29</v>
      </c>
      <c r="E211" s="446" t="str">
        <f>IF(ISNUMBER('Funnel setup'!P223),VLOOKUP('Funnel setup'!P223,'Provider Commission - Raw Data'!$A:$Q,16,0),"")</f>
        <v>*</v>
      </c>
      <c r="F211" s="310">
        <f>IF(ISNUMBER('Funnel setup'!P223),'Funnel setup'!$K$8,"")</f>
        <v>8.3654400475365306E-2</v>
      </c>
      <c r="G211" s="310" t="str">
        <f>IF(AND(ISNUMBER('Funnel setup'!P223),D211&gt;=30,E211&lt;&gt;"*"),F211-1.959963985 *('Funnel setup'!$K$7/SQRT('Funnel Data'!D211)),"")</f>
        <v/>
      </c>
      <c r="H211" s="310" t="str">
        <f>IF(AND(ISNUMBER('Funnel setup'!P223),D211&gt;=30,E211&lt;&gt;"*"),F211+1.959963985 *('Funnel setup'!$K$7/SQRT('Funnel Data'!D211)),"")</f>
        <v/>
      </c>
      <c r="I211" s="310" t="str">
        <f>IF(AND(ISNUMBER('Funnel setup'!P223),D211&gt;=30,E211&lt;&gt;"*"),F211-3.090232306 *('Funnel setup'!$K$7/SQRT('Funnel Data'!D211)),"")</f>
        <v/>
      </c>
      <c r="J211" s="310" t="str">
        <f>IF(AND(ISNUMBER('Funnel setup'!P223),D211&gt;=30,E211&lt;&gt;"*"),F211+3.090232306 *('Funnel setup'!$K$7/SQRT('Funnel Data'!D211)),"")</f>
        <v/>
      </c>
      <c r="K211" s="311" t="str">
        <f>IF(AND(ISNUMBER('Funnel setup'!P223),D211&gt;=30,E211&lt;&gt;"*"),IF(E211&gt;J211,'Funnel setup'!$K$14&amp;"99.8%",IF(E211&gt;H211,'Funnel setup'!$K$14&amp;"95%",IF(E211&lt;I211,'Funnel setup'!$K$15&amp;"99.8%",IF(E211&lt;G211,'Funnel setup'!$K$15&amp;"95%","")))),"")</f>
        <v/>
      </c>
    </row>
    <row r="212" spans="2:11" ht="15" x14ac:dyDescent="0.2">
      <c r="B212" s="307" t="str">
        <f>IF(ISNUMBER('Funnel setup'!P224),VLOOKUP('Funnel setup'!$P224,'Provider Commission - Raw Data'!$A:$Q,5,0),"")</f>
        <v>NT319</v>
      </c>
      <c r="C212" s="308" t="str">
        <f>IF(ISNUMBER('Funnel setup'!P224),VLOOKUP('Funnel setup'!P224,'Provider Commission - Raw Data'!$A:$Q,6,0),"")</f>
        <v>SPIRE HARTSWOOD HOSPITAL (NT319)</v>
      </c>
      <c r="D212" s="309">
        <f>IF(ISNUMBER('Funnel setup'!P224),VLOOKUP('Funnel setup'!P224,'Provider Commission - Raw Data'!$A:$Q,8,0),"")</f>
        <v>17</v>
      </c>
      <c r="E212" s="446" t="str">
        <f>IF(ISNUMBER('Funnel setup'!P224),VLOOKUP('Funnel setup'!P224,'Provider Commission - Raw Data'!$A:$Q,16,0),"")</f>
        <v>*</v>
      </c>
      <c r="F212" s="310">
        <f>IF(ISNUMBER('Funnel setup'!P224),'Funnel setup'!$K$8,"")</f>
        <v>8.3654400475365306E-2</v>
      </c>
      <c r="G212" s="310" t="str">
        <f>IF(AND(ISNUMBER('Funnel setup'!P224),D212&gt;=30,E212&lt;&gt;"*"),F212-1.959963985 *('Funnel setup'!$K$7/SQRT('Funnel Data'!D212)),"")</f>
        <v/>
      </c>
      <c r="H212" s="310" t="str">
        <f>IF(AND(ISNUMBER('Funnel setup'!P224),D212&gt;=30,E212&lt;&gt;"*"),F212+1.959963985 *('Funnel setup'!$K$7/SQRT('Funnel Data'!D212)),"")</f>
        <v/>
      </c>
      <c r="I212" s="310" t="str">
        <f>IF(AND(ISNUMBER('Funnel setup'!P224),D212&gt;=30,E212&lt;&gt;"*"),F212-3.090232306 *('Funnel setup'!$K$7/SQRT('Funnel Data'!D212)),"")</f>
        <v/>
      </c>
      <c r="J212" s="310" t="str">
        <f>IF(AND(ISNUMBER('Funnel setup'!P224),D212&gt;=30,E212&lt;&gt;"*"),F212+3.090232306 *('Funnel setup'!$K$7/SQRT('Funnel Data'!D212)),"")</f>
        <v/>
      </c>
      <c r="K212" s="311" t="str">
        <f>IF(AND(ISNUMBER('Funnel setup'!P224),D212&gt;=30,E212&lt;&gt;"*"),IF(E212&gt;J212,'Funnel setup'!$K$14&amp;"99.8%",IF(E212&gt;H212,'Funnel setup'!$K$14&amp;"95%",IF(E212&lt;I212,'Funnel setup'!$K$15&amp;"99.8%",IF(E212&lt;G212,'Funnel setup'!$K$15&amp;"95%","")))),"")</f>
        <v/>
      </c>
    </row>
    <row r="213" spans="2:11" ht="15" x14ac:dyDescent="0.2">
      <c r="B213" s="307" t="str">
        <f>IF(ISNUMBER('Funnel setup'!P225),VLOOKUP('Funnel setup'!$P225,'Provider Commission - Raw Data'!$A:$Q,5,0),"")</f>
        <v>NT351</v>
      </c>
      <c r="C213" s="308" t="str">
        <f>IF(ISNUMBER('Funnel setup'!P225),VLOOKUP('Funnel setup'!P225,'Provider Commission - Raw Data'!$A:$Q,6,0),"")</f>
        <v>SPIRE HULL AND EAST RIDING HOSPITAL (NT351)</v>
      </c>
      <c r="D213" s="309">
        <f>IF(ISNUMBER('Funnel setup'!P225),VLOOKUP('Funnel setup'!P225,'Provider Commission - Raw Data'!$A:$Q,8,0),"")</f>
        <v>93</v>
      </c>
      <c r="E213" s="446">
        <f>IF(ISNUMBER('Funnel setup'!P225),VLOOKUP('Funnel setup'!P225,'Provider Commission - Raw Data'!$A:$Q,16,0),"")</f>
        <v>8.4374378E-2</v>
      </c>
      <c r="F213" s="310">
        <f>IF(ISNUMBER('Funnel setup'!P225),'Funnel setup'!$K$8,"")</f>
        <v>8.3654400475365306E-2</v>
      </c>
      <c r="G213" s="310">
        <f>IF(AND(ISNUMBER('Funnel setup'!P225),D213&gt;=30,E213&lt;&gt;"*"),F213-1.959963985 *('Funnel setup'!$K$7/SQRT('Funnel Data'!D213)),"")</f>
        <v>5.1372091149311939E-2</v>
      </c>
      <c r="H213" s="310">
        <f>IF(AND(ISNUMBER('Funnel setup'!P225),D213&gt;=30,E213&lt;&gt;"*"),F213+1.959963985 *('Funnel setup'!$K$7/SQRT('Funnel Data'!D213)),"")</f>
        <v>0.11593670980141868</v>
      </c>
      <c r="I213" s="310">
        <f>IF(AND(ISNUMBER('Funnel setup'!P225),D213&gt;=30,E213&lt;&gt;"*"),F213-3.090232306 *('Funnel setup'!$K$7/SQRT('Funnel Data'!D213)),"")</f>
        <v>3.2755590111941617E-2</v>
      </c>
      <c r="J213" s="310">
        <f>IF(AND(ISNUMBER('Funnel setup'!P225),D213&gt;=30,E213&lt;&gt;"*"),F213+3.090232306 *('Funnel setup'!$K$7/SQRT('Funnel Data'!D213)),"")</f>
        <v>0.13455321083878899</v>
      </c>
      <c r="K213" s="311" t="str">
        <f>IF(AND(ISNUMBER('Funnel setup'!P225),D213&gt;=30,E213&lt;&gt;"*"),IF(E213&gt;J213,'Funnel setup'!$K$14&amp;"99.8%",IF(E213&gt;H213,'Funnel setup'!$K$14&amp;"95%",IF(E213&lt;I213,'Funnel setup'!$K$15&amp;"99.8%",IF(E213&lt;G213,'Funnel setup'!$K$15&amp;"95%","")))),"")</f>
        <v/>
      </c>
    </row>
    <row r="214" spans="2:11" ht="15" x14ac:dyDescent="0.2">
      <c r="B214" s="307" t="str">
        <f>IF(ISNUMBER('Funnel setup'!P226),VLOOKUP('Funnel setup'!$P226,'Provider Commission - Raw Data'!$A:$Q,5,0),"")</f>
        <v>NT332</v>
      </c>
      <c r="C214" s="308" t="str">
        <f>IF(ISNUMBER('Funnel setup'!P226),VLOOKUP('Funnel setup'!P226,'Provider Commission - Raw Data'!$A:$Q,6,0),"")</f>
        <v>SPIRE LEEDS HOSPITAL (NT332)</v>
      </c>
      <c r="D214" s="309">
        <f>IF(ISNUMBER('Funnel setup'!P226),VLOOKUP('Funnel setup'!P226,'Provider Commission - Raw Data'!$A:$Q,8,0),"")</f>
        <v>83</v>
      </c>
      <c r="E214" s="446">
        <f>IF(ISNUMBER('Funnel setup'!P226),VLOOKUP('Funnel setup'!P226,'Provider Commission - Raw Data'!$A:$Q,16,0),"")</f>
        <v>0.117905044</v>
      </c>
      <c r="F214" s="310">
        <f>IF(ISNUMBER('Funnel setup'!P226),'Funnel setup'!$K$8,"")</f>
        <v>8.3654400475365306E-2</v>
      </c>
      <c r="G214" s="310">
        <f>IF(AND(ISNUMBER('Funnel setup'!P226),D214&gt;=30,E214&lt;&gt;"*"),F214-1.959963985 *('Funnel setup'!$K$7/SQRT('Funnel Data'!D214)),"")</f>
        <v>4.9482666035472127E-2</v>
      </c>
      <c r="H214" s="310">
        <f>IF(AND(ISNUMBER('Funnel setup'!P226),D214&gt;=30,E214&lt;&gt;"*"),F214+1.959963985 *('Funnel setup'!$K$7/SQRT('Funnel Data'!D214)),"")</f>
        <v>0.11782613491525848</v>
      </c>
      <c r="I214" s="310">
        <f>IF(AND(ISNUMBER('Funnel setup'!P226),D214&gt;=30,E214&lt;&gt;"*"),F214-3.090232306 *('Funnel setup'!$K$7/SQRT('Funnel Data'!D214)),"")</f>
        <v>2.9776574899804682E-2</v>
      </c>
      <c r="J214" s="310">
        <f>IF(AND(ISNUMBER('Funnel setup'!P226),D214&gt;=30,E214&lt;&gt;"*"),F214+3.090232306 *('Funnel setup'!$K$7/SQRT('Funnel Data'!D214)),"")</f>
        <v>0.13753222605092594</v>
      </c>
      <c r="K214" s="311" t="str">
        <f>IF(AND(ISNUMBER('Funnel setup'!P226),D214&gt;=30,E214&lt;&gt;"*"),IF(E214&gt;J214,'Funnel setup'!$K$14&amp;"99.8%",IF(E214&gt;H214,'Funnel setup'!$K$14&amp;"95%",IF(E214&lt;I214,'Funnel setup'!$K$15&amp;"99.8%",IF(E214&lt;G214,'Funnel setup'!$K$15&amp;"95%","")))),"")</f>
        <v>Upper 95%</v>
      </c>
    </row>
    <row r="215" spans="2:11" ht="15" x14ac:dyDescent="0.2">
      <c r="B215" s="307" t="str">
        <f>IF(ISNUMBER('Funnel setup'!P227),VLOOKUP('Funnel setup'!$P227,'Provider Commission - Raw Data'!$A:$Q,5,0),"")</f>
        <v>NT322</v>
      </c>
      <c r="C215" s="308" t="str">
        <f>IF(ISNUMBER('Funnel setup'!P227),VLOOKUP('Funnel setup'!P227,'Provider Commission - Raw Data'!$A:$Q,6,0),"")</f>
        <v>SPIRE LEICESTER HOSPITAL (NT322)</v>
      </c>
      <c r="D215" s="309">
        <f>IF(ISNUMBER('Funnel setup'!P227),VLOOKUP('Funnel setup'!P227,'Provider Commission - Raw Data'!$A:$Q,8,0),"")</f>
        <v>79</v>
      </c>
      <c r="E215" s="446">
        <f>IF(ISNUMBER('Funnel setup'!P227),VLOOKUP('Funnel setup'!P227,'Provider Commission - Raw Data'!$A:$Q,16,0),"")</f>
        <v>7.7353325000000001E-2</v>
      </c>
      <c r="F215" s="310">
        <f>IF(ISNUMBER('Funnel setup'!P227),'Funnel setup'!$K$8,"")</f>
        <v>8.3654400475365306E-2</v>
      </c>
      <c r="G215" s="310">
        <f>IF(AND(ISNUMBER('Funnel setup'!P227),D215&gt;=30,E215&lt;&gt;"*"),F215-1.959963985 *('Funnel setup'!$K$7/SQRT('Funnel Data'!D215)),"")</f>
        <v>4.862824079862535E-2</v>
      </c>
      <c r="H215" s="310">
        <f>IF(AND(ISNUMBER('Funnel setup'!P227),D215&gt;=30,E215&lt;&gt;"*"),F215+1.959963985 *('Funnel setup'!$K$7/SQRT('Funnel Data'!D215)),"")</f>
        <v>0.11868056015210526</v>
      </c>
      <c r="I215" s="310">
        <f>IF(AND(ISNUMBER('Funnel setup'!P227),D215&gt;=30,E215&lt;&gt;"*"),F215-3.090232306 *('Funnel setup'!$K$7/SQRT('Funnel Data'!D215)),"")</f>
        <v>2.842942133465097E-2</v>
      </c>
      <c r="J215" s="310">
        <f>IF(AND(ISNUMBER('Funnel setup'!P227),D215&gt;=30,E215&lt;&gt;"*"),F215+3.090232306 *('Funnel setup'!$K$7/SQRT('Funnel Data'!D215)),"")</f>
        <v>0.13887937961607966</v>
      </c>
      <c r="K215" s="311" t="str">
        <f>IF(AND(ISNUMBER('Funnel setup'!P227),D215&gt;=30,E215&lt;&gt;"*"),IF(E215&gt;J215,'Funnel setup'!$K$14&amp;"99.8%",IF(E215&gt;H215,'Funnel setup'!$K$14&amp;"95%",IF(E215&lt;I215,'Funnel setup'!$K$15&amp;"99.8%",IF(E215&lt;G215,'Funnel setup'!$K$15&amp;"95%","")))),"")</f>
        <v/>
      </c>
    </row>
    <row r="216" spans="2:11" ht="15" x14ac:dyDescent="0.2">
      <c r="B216" s="307" t="str">
        <f>IF(ISNUMBER('Funnel setup'!P228),VLOOKUP('Funnel setup'!$P228,'Provider Commission - Raw Data'!$A:$Q,5,0),"")</f>
        <v>NT321</v>
      </c>
      <c r="C216" s="308" t="str">
        <f>IF(ISNUMBER('Funnel setup'!P228),VLOOKUP('Funnel setup'!P228,'Provider Commission - Raw Data'!$A:$Q,6,0),"")</f>
        <v>SPIRE LITTLE ASTON HOSPITAL (NT321)</v>
      </c>
      <c r="D216" s="309">
        <f>IF(ISNUMBER('Funnel setup'!P228),VLOOKUP('Funnel setup'!P228,'Provider Commission - Raw Data'!$A:$Q,8,0),"")</f>
        <v>58</v>
      </c>
      <c r="E216" s="446">
        <f>IF(ISNUMBER('Funnel setup'!P228),VLOOKUP('Funnel setup'!P228,'Provider Commission - Raw Data'!$A:$Q,16,0),"")</f>
        <v>0.133034977</v>
      </c>
      <c r="F216" s="310">
        <f>IF(ISNUMBER('Funnel setup'!P228),'Funnel setup'!$K$8,"")</f>
        <v>8.3654400475365306E-2</v>
      </c>
      <c r="G216" s="310">
        <f>IF(AND(ISNUMBER('Funnel setup'!P228),D216&gt;=30,E216&lt;&gt;"*"),F216-1.959963985 *('Funnel setup'!$K$7/SQRT('Funnel Data'!D216)),"")</f>
        <v>4.2776171493057742E-2</v>
      </c>
      <c r="H216" s="310">
        <f>IF(AND(ISNUMBER('Funnel setup'!P228),D216&gt;=30,E216&lt;&gt;"*"),F216+1.959963985 *('Funnel setup'!$K$7/SQRT('Funnel Data'!D216)),"")</f>
        <v>0.12453262945767288</v>
      </c>
      <c r="I216" s="310">
        <f>IF(AND(ISNUMBER('Funnel setup'!P228),D216&gt;=30,E216&lt;&gt;"*"),F216-3.090232306 *('Funnel setup'!$K$7/SQRT('Funnel Data'!D216)),"")</f>
        <v>1.920259177889462E-2</v>
      </c>
      <c r="J216" s="310">
        <f>IF(AND(ISNUMBER('Funnel setup'!P228),D216&gt;=30,E216&lt;&gt;"*"),F216+3.090232306 *('Funnel setup'!$K$7/SQRT('Funnel Data'!D216)),"")</f>
        <v>0.14810620917183598</v>
      </c>
      <c r="K216" s="311" t="str">
        <f>IF(AND(ISNUMBER('Funnel setup'!P228),D216&gt;=30,E216&lt;&gt;"*"),IF(E216&gt;J216,'Funnel setup'!$K$14&amp;"99.8%",IF(E216&gt;H216,'Funnel setup'!$K$14&amp;"95%",IF(E216&lt;I216,'Funnel setup'!$K$15&amp;"99.8%",IF(E216&lt;G216,'Funnel setup'!$K$15&amp;"95%","")))),"")</f>
        <v>Upper 95%</v>
      </c>
    </row>
    <row r="217" spans="2:11" ht="15" x14ac:dyDescent="0.2">
      <c r="B217" s="307" t="str">
        <f>IF(ISNUMBER('Funnel setup'!P229),VLOOKUP('Funnel setup'!$P229,'Provider Commission - Raw Data'!$A:$Q,5,0),"")</f>
        <v>NT337</v>
      </c>
      <c r="C217" s="308" t="str">
        <f>IF(ISNUMBER('Funnel setup'!P229),VLOOKUP('Funnel setup'!P229,'Provider Commission - Raw Data'!$A:$Q,6,0),"")</f>
        <v>SPIRE LIVERPOOL HOSPITAL (NT337)</v>
      </c>
      <c r="D217" s="309" t="str">
        <f>IF(ISNUMBER('Funnel setup'!P229),VLOOKUP('Funnel setup'!P229,'Provider Commission - Raw Data'!$A:$Q,8,0),"")</f>
        <v>*</v>
      </c>
      <c r="E217" s="446" t="str">
        <f>IF(ISNUMBER('Funnel setup'!P229),VLOOKUP('Funnel setup'!P229,'Provider Commission - Raw Data'!$A:$Q,16,0),"")</f>
        <v>*</v>
      </c>
      <c r="F217" s="310">
        <f>IF(ISNUMBER('Funnel setup'!P229),'Funnel setup'!$K$8,"")</f>
        <v>8.3654400475365306E-2</v>
      </c>
      <c r="G217" s="310" t="str">
        <f>IF(AND(ISNUMBER('Funnel setup'!P229),D217&gt;=30,E217&lt;&gt;"*"),F217-1.959963985 *('Funnel setup'!$K$7/SQRT('Funnel Data'!D217)),"")</f>
        <v/>
      </c>
      <c r="H217" s="310" t="str">
        <f>IF(AND(ISNUMBER('Funnel setup'!P229),D217&gt;=30,E217&lt;&gt;"*"),F217+1.959963985 *('Funnel setup'!$K$7/SQRT('Funnel Data'!D217)),"")</f>
        <v/>
      </c>
      <c r="I217" s="310" t="str">
        <f>IF(AND(ISNUMBER('Funnel setup'!P229),D217&gt;=30,E217&lt;&gt;"*"),F217-3.090232306 *('Funnel setup'!$K$7/SQRT('Funnel Data'!D217)),"")</f>
        <v/>
      </c>
      <c r="J217" s="310" t="str">
        <f>IF(AND(ISNUMBER('Funnel setup'!P229),D217&gt;=30,E217&lt;&gt;"*"),F217+3.090232306 *('Funnel setup'!$K$7/SQRT('Funnel Data'!D217)),"")</f>
        <v/>
      </c>
      <c r="K217" s="311" t="str">
        <f>IF(AND(ISNUMBER('Funnel setup'!P229),D217&gt;=30,E217&lt;&gt;"*"),IF(E217&gt;J217,'Funnel setup'!$K$14&amp;"99.8%",IF(E217&gt;H217,'Funnel setup'!$K$14&amp;"95%",IF(E217&lt;I217,'Funnel setup'!$K$15&amp;"99.8%",IF(E217&lt;G217,'Funnel setup'!$K$15&amp;"95%","")))),"")</f>
        <v/>
      </c>
    </row>
    <row r="218" spans="2:11" ht="15" x14ac:dyDescent="0.2">
      <c r="B218" s="307" t="str">
        <f>IF(ISNUMBER('Funnel setup'!P230),VLOOKUP('Funnel setup'!$P230,'Provider Commission - Raw Data'!$A:$Q,5,0),"")</f>
        <v>NT327</v>
      </c>
      <c r="C218" s="308" t="str">
        <f>IF(ISNUMBER('Funnel setup'!P230),VLOOKUP('Funnel setup'!P230,'Provider Commission - Raw Data'!$A:$Q,6,0),"")</f>
        <v>SPIRE MANCHESTER HOSPITAL (NT327)</v>
      </c>
      <c r="D218" s="309" t="str">
        <f>IF(ISNUMBER('Funnel setup'!P230),VLOOKUP('Funnel setup'!P230,'Provider Commission - Raw Data'!$A:$Q,8,0),"")</f>
        <v>*</v>
      </c>
      <c r="E218" s="446" t="str">
        <f>IF(ISNUMBER('Funnel setup'!P230),VLOOKUP('Funnel setup'!P230,'Provider Commission - Raw Data'!$A:$Q,16,0),"")</f>
        <v>*</v>
      </c>
      <c r="F218" s="310">
        <f>IF(ISNUMBER('Funnel setup'!P230),'Funnel setup'!$K$8,"")</f>
        <v>8.3654400475365306E-2</v>
      </c>
      <c r="G218" s="310" t="str">
        <f>IF(AND(ISNUMBER('Funnel setup'!P230),D218&gt;=30,E218&lt;&gt;"*"),F218-1.959963985 *('Funnel setup'!$K$7/SQRT('Funnel Data'!D218)),"")</f>
        <v/>
      </c>
      <c r="H218" s="310" t="str">
        <f>IF(AND(ISNUMBER('Funnel setup'!P230),D218&gt;=30,E218&lt;&gt;"*"),F218+1.959963985 *('Funnel setup'!$K$7/SQRT('Funnel Data'!D218)),"")</f>
        <v/>
      </c>
      <c r="I218" s="310" t="str">
        <f>IF(AND(ISNUMBER('Funnel setup'!P230),D218&gt;=30,E218&lt;&gt;"*"),F218-3.090232306 *('Funnel setup'!$K$7/SQRT('Funnel Data'!D218)),"")</f>
        <v/>
      </c>
      <c r="J218" s="310" t="str">
        <f>IF(AND(ISNUMBER('Funnel setup'!P230),D218&gt;=30,E218&lt;&gt;"*"),F218+3.090232306 *('Funnel setup'!$K$7/SQRT('Funnel Data'!D218)),"")</f>
        <v/>
      </c>
      <c r="K218" s="311" t="str">
        <f>IF(AND(ISNUMBER('Funnel setup'!P230),D218&gt;=30,E218&lt;&gt;"*"),IF(E218&gt;J218,'Funnel setup'!$K$14&amp;"99.8%",IF(E218&gt;H218,'Funnel setup'!$K$14&amp;"95%",IF(E218&lt;I218,'Funnel setup'!$K$15&amp;"99.8%",IF(E218&lt;G218,'Funnel setup'!$K$15&amp;"95%","")))),"")</f>
        <v/>
      </c>
    </row>
    <row r="219" spans="2:11" ht="15" x14ac:dyDescent="0.2">
      <c r="B219" s="307" t="str">
        <f>IF(ISNUMBER('Funnel setup'!P231),VLOOKUP('Funnel setup'!$P231,'Provider Commission - Raw Data'!$A:$Q,5,0),"")</f>
        <v>NT350</v>
      </c>
      <c r="C219" s="308" t="str">
        <f>IF(ISNUMBER('Funnel setup'!P231),VLOOKUP('Funnel setup'!P231,'Provider Commission - Raw Data'!$A:$Q,6,0),"")</f>
        <v>SPIRE METHLEY PARK HOSPITAL (NT350)</v>
      </c>
      <c r="D219" s="309">
        <f>IF(ISNUMBER('Funnel setup'!P231),VLOOKUP('Funnel setup'!P231,'Provider Commission - Raw Data'!$A:$Q,8,0),"")</f>
        <v>88</v>
      </c>
      <c r="E219" s="446">
        <f>IF(ISNUMBER('Funnel setup'!P231),VLOOKUP('Funnel setup'!P231,'Provider Commission - Raw Data'!$A:$Q,16,0),"")</f>
        <v>7.2514273000000004E-2</v>
      </c>
      <c r="F219" s="310">
        <f>IF(ISNUMBER('Funnel setup'!P231),'Funnel setup'!$K$8,"")</f>
        <v>8.3654400475365306E-2</v>
      </c>
      <c r="G219" s="310">
        <f>IF(AND(ISNUMBER('Funnel setup'!P231),D219&gt;=30,E219&lt;&gt;"*"),F219-1.959963985 *('Funnel setup'!$K$7/SQRT('Funnel Data'!D219)),"")</f>
        <v>5.0467649786283098E-2</v>
      </c>
      <c r="H219" s="310">
        <f>IF(AND(ISNUMBER('Funnel setup'!P231),D219&gt;=30,E219&lt;&gt;"*"),F219+1.959963985 *('Funnel setup'!$K$7/SQRT('Funnel Data'!D219)),"")</f>
        <v>0.11684115116444752</v>
      </c>
      <c r="I219" s="310">
        <f>IF(AND(ISNUMBER('Funnel setup'!P231),D219&gt;=30,E219&lt;&gt;"*"),F219-3.090232306 *('Funnel setup'!$K$7/SQRT('Funnel Data'!D219)),"")</f>
        <v>3.1329577215630962E-2</v>
      </c>
      <c r="J219" s="310">
        <f>IF(AND(ISNUMBER('Funnel setup'!P231),D219&gt;=30,E219&lt;&gt;"*"),F219+3.090232306 *('Funnel setup'!$K$7/SQRT('Funnel Data'!D219)),"")</f>
        <v>0.13597922373509966</v>
      </c>
      <c r="K219" s="311" t="str">
        <f>IF(AND(ISNUMBER('Funnel setup'!P231),D219&gt;=30,E219&lt;&gt;"*"),IF(E219&gt;J219,'Funnel setup'!$K$14&amp;"99.8%",IF(E219&gt;H219,'Funnel setup'!$K$14&amp;"95%",IF(E219&lt;I219,'Funnel setup'!$K$15&amp;"99.8%",IF(E219&lt;G219,'Funnel setup'!$K$15&amp;"95%","")))),"")</f>
        <v/>
      </c>
    </row>
    <row r="220" spans="2:11" ht="15" x14ac:dyDescent="0.2">
      <c r="B220" s="307" t="str">
        <f>IF(ISNUMBER('Funnel setup'!P232),VLOOKUP('Funnel setup'!$P232,'Provider Commission - Raw Data'!$A:$Q,5,0),"")</f>
        <v>NT325</v>
      </c>
      <c r="C220" s="308" t="str">
        <f>IF(ISNUMBER('Funnel setup'!P232),VLOOKUP('Funnel setup'!P232,'Provider Commission - Raw Data'!$A:$Q,6,0),"")</f>
        <v>SPIRE MURRAYFIELD HOSPITAL (NT325)</v>
      </c>
      <c r="D220" s="309">
        <f>IF(ISNUMBER('Funnel setup'!P232),VLOOKUP('Funnel setup'!P232,'Provider Commission - Raw Data'!$A:$Q,8,0),"")</f>
        <v>47</v>
      </c>
      <c r="E220" s="446">
        <f>IF(ISNUMBER('Funnel setup'!P232),VLOOKUP('Funnel setup'!P232,'Provider Commission - Raw Data'!$A:$Q,16,0),"")</f>
        <v>0.104626898</v>
      </c>
      <c r="F220" s="310">
        <f>IF(ISNUMBER('Funnel setup'!P232),'Funnel setup'!$K$8,"")</f>
        <v>8.3654400475365306E-2</v>
      </c>
      <c r="G220" s="310">
        <f>IF(AND(ISNUMBER('Funnel setup'!P232),D220&gt;=30,E220&lt;&gt;"*"),F220-1.959963985 *('Funnel setup'!$K$7/SQRT('Funnel Data'!D220)),"")</f>
        <v>3.8243810962790843E-2</v>
      </c>
      <c r="H220" s="310">
        <f>IF(AND(ISNUMBER('Funnel setup'!P232),D220&gt;=30,E220&lt;&gt;"*"),F220+1.959963985 *('Funnel setup'!$K$7/SQRT('Funnel Data'!D220)),"")</f>
        <v>0.12906498998793978</v>
      </c>
      <c r="I220" s="310">
        <f>IF(AND(ISNUMBER('Funnel setup'!P232),D220&gt;=30,E220&lt;&gt;"*"),F220-3.090232306 *('Funnel setup'!$K$7/SQRT('Funnel Data'!D220)),"")</f>
        <v>1.205651815700097E-2</v>
      </c>
      <c r="J220" s="310">
        <f>IF(AND(ISNUMBER('Funnel setup'!P232),D220&gt;=30,E220&lt;&gt;"*"),F220+3.090232306 *('Funnel setup'!$K$7/SQRT('Funnel Data'!D220)),"")</f>
        <v>0.15525228279372966</v>
      </c>
      <c r="K220" s="311" t="str">
        <f>IF(AND(ISNUMBER('Funnel setup'!P232),D220&gt;=30,E220&lt;&gt;"*"),IF(E220&gt;J220,'Funnel setup'!$K$14&amp;"99.8%",IF(E220&gt;H220,'Funnel setup'!$K$14&amp;"95%",IF(E220&lt;I220,'Funnel setup'!$K$15&amp;"99.8%",IF(E220&lt;G220,'Funnel setup'!$K$15&amp;"95%","")))),"")</f>
        <v/>
      </c>
    </row>
    <row r="221" spans="2:11" ht="15" x14ac:dyDescent="0.2">
      <c r="B221" s="307" t="str">
        <f>IF(ISNUMBER('Funnel setup'!P233),VLOOKUP('Funnel setup'!$P233,'Provider Commission - Raw Data'!$A:$Q,5,0),"")</f>
        <v>NT320</v>
      </c>
      <c r="C221" s="308" t="str">
        <f>IF(ISNUMBER('Funnel setup'!P233),VLOOKUP('Funnel setup'!P233,'Provider Commission - Raw Data'!$A:$Q,6,0),"")</f>
        <v>SPIRE PARKWAY HOSPITAL (NT320)</v>
      </c>
      <c r="D221" s="309">
        <f>IF(ISNUMBER('Funnel setup'!P233),VLOOKUP('Funnel setup'!P233,'Provider Commission - Raw Data'!$A:$Q,8,0),"")</f>
        <v>7</v>
      </c>
      <c r="E221" s="446" t="str">
        <f>IF(ISNUMBER('Funnel setup'!P233),VLOOKUP('Funnel setup'!P233,'Provider Commission - Raw Data'!$A:$Q,16,0),"")</f>
        <v>*</v>
      </c>
      <c r="F221" s="310">
        <f>IF(ISNUMBER('Funnel setup'!P233),'Funnel setup'!$K$8,"")</f>
        <v>8.3654400475365306E-2</v>
      </c>
      <c r="G221" s="310" t="str">
        <f>IF(AND(ISNUMBER('Funnel setup'!P233),D221&gt;=30,E221&lt;&gt;"*"),F221-1.959963985 *('Funnel setup'!$K$7/SQRT('Funnel Data'!D221)),"")</f>
        <v/>
      </c>
      <c r="H221" s="310" t="str">
        <f>IF(AND(ISNUMBER('Funnel setup'!P233),D221&gt;=30,E221&lt;&gt;"*"),F221+1.959963985 *('Funnel setup'!$K$7/SQRT('Funnel Data'!D221)),"")</f>
        <v/>
      </c>
      <c r="I221" s="310" t="str">
        <f>IF(AND(ISNUMBER('Funnel setup'!P233),D221&gt;=30,E221&lt;&gt;"*"),F221-3.090232306 *('Funnel setup'!$K$7/SQRT('Funnel Data'!D221)),"")</f>
        <v/>
      </c>
      <c r="J221" s="310" t="str">
        <f>IF(AND(ISNUMBER('Funnel setup'!P233),D221&gt;=30,E221&lt;&gt;"*"),F221+3.090232306 *('Funnel setup'!$K$7/SQRT('Funnel Data'!D221)),"")</f>
        <v/>
      </c>
      <c r="K221" s="311" t="str">
        <f>IF(AND(ISNUMBER('Funnel setup'!P233),D221&gt;=30,E221&lt;&gt;"*"),IF(E221&gt;J221,'Funnel setup'!$K$14&amp;"99.8%",IF(E221&gt;H221,'Funnel setup'!$K$14&amp;"95%",IF(E221&lt;I221,'Funnel setup'!$K$15&amp;"99.8%",IF(E221&lt;G221,'Funnel setup'!$K$15&amp;"95%","")))),"")</f>
        <v/>
      </c>
    </row>
    <row r="222" spans="2:11" ht="15" x14ac:dyDescent="0.2">
      <c r="B222" s="307" t="str">
        <f>IF(ISNUMBER('Funnel setup'!P234),VLOOKUP('Funnel setup'!$P234,'Provider Commission - Raw Data'!$A:$Q,5,0),"")</f>
        <v>NT305</v>
      </c>
      <c r="C222" s="308" t="str">
        <f>IF(ISNUMBER('Funnel setup'!P234),VLOOKUP('Funnel setup'!P234,'Provider Commission - Raw Data'!$A:$Q,6,0),"")</f>
        <v>SPIRE PORTSMOUTH HOSPITAL (NT305)</v>
      </c>
      <c r="D222" s="309">
        <f>IF(ISNUMBER('Funnel setup'!P234),VLOOKUP('Funnel setup'!P234,'Provider Commission - Raw Data'!$A:$Q,8,0),"")</f>
        <v>6</v>
      </c>
      <c r="E222" s="446" t="str">
        <f>IF(ISNUMBER('Funnel setup'!P234),VLOOKUP('Funnel setup'!P234,'Provider Commission - Raw Data'!$A:$Q,16,0),"")</f>
        <v>*</v>
      </c>
      <c r="F222" s="310">
        <f>IF(ISNUMBER('Funnel setup'!P234),'Funnel setup'!$K$8,"")</f>
        <v>8.3654400475365306E-2</v>
      </c>
      <c r="G222" s="310" t="str">
        <f>IF(AND(ISNUMBER('Funnel setup'!P234),D222&gt;=30,E222&lt;&gt;"*"),F222-1.959963985 *('Funnel setup'!$K$7/SQRT('Funnel Data'!D222)),"")</f>
        <v/>
      </c>
      <c r="H222" s="310" t="str">
        <f>IF(AND(ISNUMBER('Funnel setup'!P234),D222&gt;=30,E222&lt;&gt;"*"),F222+1.959963985 *('Funnel setup'!$K$7/SQRT('Funnel Data'!D222)),"")</f>
        <v/>
      </c>
      <c r="I222" s="310" t="str">
        <f>IF(AND(ISNUMBER('Funnel setup'!P234),D222&gt;=30,E222&lt;&gt;"*"),F222-3.090232306 *('Funnel setup'!$K$7/SQRT('Funnel Data'!D222)),"")</f>
        <v/>
      </c>
      <c r="J222" s="310" t="str">
        <f>IF(AND(ISNUMBER('Funnel setup'!P234),D222&gt;=30,E222&lt;&gt;"*"),F222+3.090232306 *('Funnel setup'!$K$7/SQRT('Funnel Data'!D222)),"")</f>
        <v/>
      </c>
      <c r="K222" s="311" t="str">
        <f>IF(AND(ISNUMBER('Funnel setup'!P234),D222&gt;=30,E222&lt;&gt;"*"),IF(E222&gt;J222,'Funnel setup'!$K$14&amp;"99.8%",IF(E222&gt;H222,'Funnel setup'!$K$14&amp;"95%",IF(E222&lt;I222,'Funnel setup'!$K$15&amp;"99.8%",IF(E222&lt;G222,'Funnel setup'!$K$15&amp;"95%","")))),"")</f>
        <v/>
      </c>
    </row>
    <row r="223" spans="2:11" ht="15" x14ac:dyDescent="0.2">
      <c r="B223" s="307" t="str">
        <f>IF(ISNUMBER('Funnel setup'!P235),VLOOKUP('Funnel setup'!$P235,'Provider Commission - Raw Data'!$A:$Q,5,0),"")</f>
        <v>NT339</v>
      </c>
      <c r="C223" s="308" t="str">
        <f>IF(ISNUMBER('Funnel setup'!P235),VLOOKUP('Funnel setup'!P235,'Provider Commission - Raw Data'!$A:$Q,6,0),"")</f>
        <v>SPIRE REGENCY HOSPITAL (NT339)</v>
      </c>
      <c r="D223" s="309">
        <f>IF(ISNUMBER('Funnel setup'!P235),VLOOKUP('Funnel setup'!P235,'Provider Commission - Raw Data'!$A:$Q,8,0),"")</f>
        <v>32</v>
      </c>
      <c r="E223" s="446">
        <f>IF(ISNUMBER('Funnel setup'!P235),VLOOKUP('Funnel setup'!P235,'Provider Commission - Raw Data'!$A:$Q,16,0),"")</f>
        <v>0.100912472</v>
      </c>
      <c r="F223" s="310">
        <f>IF(ISNUMBER('Funnel setup'!P235),'Funnel setup'!$K$8,"")</f>
        <v>8.3654400475365306E-2</v>
      </c>
      <c r="G223" s="310">
        <f>IF(AND(ISNUMBER('Funnel setup'!P235),D223&gt;=30,E223&lt;&gt;"*"),F223-1.959963985 *('Funnel setup'!$K$7/SQRT('Funnel Data'!D223)),"")</f>
        <v>2.8620400451988208E-2</v>
      </c>
      <c r="H223" s="310">
        <f>IF(AND(ISNUMBER('Funnel setup'!P235),D223&gt;=30,E223&lt;&gt;"*"),F223+1.959963985 *('Funnel setup'!$K$7/SQRT('Funnel Data'!D223)),"")</f>
        <v>0.1386884004987424</v>
      </c>
      <c r="I223" s="310">
        <f>IF(AND(ISNUMBER('Funnel setup'!P235),D223&gt;=30,E223&lt;&gt;"*"),F223-3.090232306 *('Funnel setup'!$K$7/SQRT('Funnel Data'!D223)),"")</f>
        <v>-3.1165025117345646E-3</v>
      </c>
      <c r="J223" s="310">
        <f>IF(AND(ISNUMBER('Funnel setup'!P235),D223&gt;=30,E223&lt;&gt;"*"),F223+3.090232306 *('Funnel setup'!$K$7/SQRT('Funnel Data'!D223)),"")</f>
        <v>0.17042530346246518</v>
      </c>
      <c r="K223" s="311" t="str">
        <f>IF(AND(ISNUMBER('Funnel setup'!P235),D223&gt;=30,E223&lt;&gt;"*"),IF(E223&gt;J223,'Funnel setup'!$K$14&amp;"99.8%",IF(E223&gt;H223,'Funnel setup'!$K$14&amp;"95%",IF(E223&lt;I223,'Funnel setup'!$K$15&amp;"99.8%",IF(E223&lt;G223,'Funnel setup'!$K$15&amp;"95%","")))),"")</f>
        <v/>
      </c>
    </row>
    <row r="224" spans="2:11" ht="15" x14ac:dyDescent="0.2">
      <c r="B224" s="307" t="str">
        <f>IF(ISNUMBER('Funnel setup'!P236),VLOOKUP('Funnel setup'!$P236,'Provider Commission - Raw Data'!$A:$Q,5,0),"")</f>
        <v>NT301</v>
      </c>
      <c r="C224" s="308" t="str">
        <f>IF(ISNUMBER('Funnel setup'!P236),VLOOKUP('Funnel setup'!P236,'Provider Commission - Raw Data'!$A:$Q,6,0),"")</f>
        <v>SPIRE SOUTH BANK HOSPITAL (NT301)</v>
      </c>
      <c r="D224" s="309">
        <f>IF(ISNUMBER('Funnel setup'!P236),VLOOKUP('Funnel setup'!P236,'Provider Commission - Raw Data'!$A:$Q,8,0),"")</f>
        <v>69</v>
      </c>
      <c r="E224" s="446">
        <f>IF(ISNUMBER('Funnel setup'!P236),VLOOKUP('Funnel setup'!P236,'Provider Commission - Raw Data'!$A:$Q,16,0),"")</f>
        <v>9.6529165E-2</v>
      </c>
      <c r="F224" s="310">
        <f>IF(ISNUMBER('Funnel setup'!P236),'Funnel setup'!$K$8,"")</f>
        <v>8.3654400475365306E-2</v>
      </c>
      <c r="G224" s="310">
        <f>IF(AND(ISNUMBER('Funnel setup'!P236),D224&gt;=30,E224&lt;&gt;"*"),F224-1.959963985 *('Funnel setup'!$K$7/SQRT('Funnel Data'!D224)),"")</f>
        <v>4.6175958928423799E-2</v>
      </c>
      <c r="H224" s="310">
        <f>IF(AND(ISNUMBER('Funnel setup'!P236),D224&gt;=30,E224&lt;&gt;"*"),F224+1.959963985 *('Funnel setup'!$K$7/SQRT('Funnel Data'!D224)),"")</f>
        <v>0.12113284202230681</v>
      </c>
      <c r="I224" s="310">
        <f>IF(AND(ISNUMBER('Funnel setup'!P236),D224&gt;=30,E224&lt;&gt;"*"),F224-3.090232306 *('Funnel setup'!$K$7/SQRT('Funnel Data'!D224)),"")</f>
        <v>2.4562962197283239E-2</v>
      </c>
      <c r="J224" s="310">
        <f>IF(AND(ISNUMBER('Funnel setup'!P236),D224&gt;=30,E224&lt;&gt;"*"),F224+3.090232306 *('Funnel setup'!$K$7/SQRT('Funnel Data'!D224)),"")</f>
        <v>0.14274583875344737</v>
      </c>
      <c r="K224" s="311" t="str">
        <f>IF(AND(ISNUMBER('Funnel setup'!P236),D224&gt;=30,E224&lt;&gt;"*"),IF(E224&gt;J224,'Funnel setup'!$K$14&amp;"99.8%",IF(E224&gt;H224,'Funnel setup'!$K$14&amp;"95%",IF(E224&lt;I224,'Funnel setup'!$K$15&amp;"99.8%",IF(E224&lt;G224,'Funnel setup'!$K$15&amp;"95%","")))),"")</f>
        <v/>
      </c>
    </row>
    <row r="225" spans="2:11" ht="15" x14ac:dyDescent="0.2">
      <c r="B225" s="307" t="str">
        <f>IF(ISNUMBER('Funnel setup'!P237),VLOOKUP('Funnel setup'!$P237,'Provider Commission - Raw Data'!$A:$Q,5,0),"")</f>
        <v>NT304</v>
      </c>
      <c r="C225" s="308" t="str">
        <f>IF(ISNUMBER('Funnel setup'!P237),VLOOKUP('Funnel setup'!P237,'Provider Commission - Raw Data'!$A:$Q,6,0),"")</f>
        <v>SPIRE SOUTHAMPTON HOSPITAL (NT304)</v>
      </c>
      <c r="D225" s="309" t="str">
        <f>IF(ISNUMBER('Funnel setup'!P237),VLOOKUP('Funnel setup'!P237,'Provider Commission - Raw Data'!$A:$Q,8,0),"")</f>
        <v>*</v>
      </c>
      <c r="E225" s="446" t="str">
        <f>IF(ISNUMBER('Funnel setup'!P237),VLOOKUP('Funnel setup'!P237,'Provider Commission - Raw Data'!$A:$Q,16,0),"")</f>
        <v>*</v>
      </c>
      <c r="F225" s="310">
        <f>IF(ISNUMBER('Funnel setup'!P237),'Funnel setup'!$K$8,"")</f>
        <v>8.3654400475365306E-2</v>
      </c>
      <c r="G225" s="310" t="str">
        <f>IF(AND(ISNUMBER('Funnel setup'!P237),D225&gt;=30,E225&lt;&gt;"*"),F225-1.959963985 *('Funnel setup'!$K$7/SQRT('Funnel Data'!D225)),"")</f>
        <v/>
      </c>
      <c r="H225" s="310" t="str">
        <f>IF(AND(ISNUMBER('Funnel setup'!P237),D225&gt;=30,E225&lt;&gt;"*"),F225+1.959963985 *('Funnel setup'!$K$7/SQRT('Funnel Data'!D225)),"")</f>
        <v/>
      </c>
      <c r="I225" s="310" t="str">
        <f>IF(AND(ISNUMBER('Funnel setup'!P237),D225&gt;=30,E225&lt;&gt;"*"),F225-3.090232306 *('Funnel setup'!$K$7/SQRT('Funnel Data'!D225)),"")</f>
        <v/>
      </c>
      <c r="J225" s="310" t="str">
        <f>IF(AND(ISNUMBER('Funnel setup'!P237),D225&gt;=30,E225&lt;&gt;"*"),F225+3.090232306 *('Funnel setup'!$K$7/SQRT('Funnel Data'!D225)),"")</f>
        <v/>
      </c>
      <c r="K225" s="311" t="str">
        <f>IF(AND(ISNUMBER('Funnel setup'!P237),D225&gt;=30,E225&lt;&gt;"*"),IF(E225&gt;J225,'Funnel setup'!$K$14&amp;"99.8%",IF(E225&gt;H225,'Funnel setup'!$K$14&amp;"95%",IF(E225&lt;I225,'Funnel setup'!$K$15&amp;"99.8%",IF(E225&lt;G225,'Funnel setup'!$K$15&amp;"95%","")))),"")</f>
        <v/>
      </c>
    </row>
    <row r="226" spans="2:11" ht="15" x14ac:dyDescent="0.2">
      <c r="B226" s="307" t="str">
        <f>IF(ISNUMBER('Funnel setup'!P238),VLOOKUP('Funnel setup'!$P238,'Provider Commission - Raw Data'!$A:$Q,5,0),"")</f>
        <v>NT346</v>
      </c>
      <c r="C226" s="308" t="str">
        <f>IF(ISNUMBER('Funnel setup'!P238),VLOOKUP('Funnel setup'!P238,'Provider Commission - Raw Data'!$A:$Q,6,0),"")</f>
        <v>SPIRE ST SAVIOURS HOSPITAL (NT346)</v>
      </c>
      <c r="D226" s="309">
        <f>IF(ISNUMBER('Funnel setup'!P238),VLOOKUP('Funnel setup'!P238,'Provider Commission - Raw Data'!$A:$Q,8,0),"")</f>
        <v>10</v>
      </c>
      <c r="E226" s="446" t="str">
        <f>IF(ISNUMBER('Funnel setup'!P238),VLOOKUP('Funnel setup'!P238,'Provider Commission - Raw Data'!$A:$Q,16,0),"")</f>
        <v>*</v>
      </c>
      <c r="F226" s="310">
        <f>IF(ISNUMBER('Funnel setup'!P238),'Funnel setup'!$K$8,"")</f>
        <v>8.3654400475365306E-2</v>
      </c>
      <c r="G226" s="310" t="str">
        <f>IF(AND(ISNUMBER('Funnel setup'!P238),D226&gt;=30,E226&lt;&gt;"*"),F226-1.959963985 *('Funnel setup'!$K$7/SQRT('Funnel Data'!D226)),"")</f>
        <v/>
      </c>
      <c r="H226" s="310" t="str">
        <f>IF(AND(ISNUMBER('Funnel setup'!P238),D226&gt;=30,E226&lt;&gt;"*"),F226+1.959963985 *('Funnel setup'!$K$7/SQRT('Funnel Data'!D226)),"")</f>
        <v/>
      </c>
      <c r="I226" s="310" t="str">
        <f>IF(AND(ISNUMBER('Funnel setup'!P238),D226&gt;=30,E226&lt;&gt;"*"),F226-3.090232306 *('Funnel setup'!$K$7/SQRT('Funnel Data'!D226)),"")</f>
        <v/>
      </c>
      <c r="J226" s="310" t="str">
        <f>IF(AND(ISNUMBER('Funnel setup'!P238),D226&gt;=30,E226&lt;&gt;"*"),F226+3.090232306 *('Funnel setup'!$K$7/SQRT('Funnel Data'!D226)),"")</f>
        <v/>
      </c>
      <c r="K226" s="311" t="str">
        <f>IF(AND(ISNUMBER('Funnel setup'!P238),D226&gt;=30,E226&lt;&gt;"*"),IF(E226&gt;J226,'Funnel setup'!$K$14&amp;"99.8%",IF(E226&gt;H226,'Funnel setup'!$K$14&amp;"95%",IF(E226&lt;I226,'Funnel setup'!$K$15&amp;"99.8%",IF(E226&lt;G226,'Funnel setup'!$K$15&amp;"95%","")))),"")</f>
        <v/>
      </c>
    </row>
    <row r="227" spans="2:11" ht="15" x14ac:dyDescent="0.2">
      <c r="B227" s="307" t="str">
        <f>IF(ISNUMBER('Funnel setup'!P239),VLOOKUP('Funnel setup'!$P239,'Provider Commission - Raw Data'!$A:$Q,5,0),"")</f>
        <v>NT309</v>
      </c>
      <c r="C227" s="308" t="str">
        <f>IF(ISNUMBER('Funnel setup'!P239),VLOOKUP('Funnel setup'!P239,'Provider Commission - Raw Data'!$A:$Q,6,0),"")</f>
        <v>SPIRE SUSSEX HOSPITAL (NT309)</v>
      </c>
      <c r="D227" s="309">
        <f>IF(ISNUMBER('Funnel setup'!P239),VLOOKUP('Funnel setup'!P239,'Provider Commission - Raw Data'!$A:$Q,8,0),"")</f>
        <v>16</v>
      </c>
      <c r="E227" s="446" t="str">
        <f>IF(ISNUMBER('Funnel setup'!P239),VLOOKUP('Funnel setup'!P239,'Provider Commission - Raw Data'!$A:$Q,16,0),"")</f>
        <v>*</v>
      </c>
      <c r="F227" s="310">
        <f>IF(ISNUMBER('Funnel setup'!P239),'Funnel setup'!$K$8,"")</f>
        <v>8.3654400475365306E-2</v>
      </c>
      <c r="G227" s="310" t="str">
        <f>IF(AND(ISNUMBER('Funnel setup'!P239),D227&gt;=30,E227&lt;&gt;"*"),F227-1.959963985 *('Funnel setup'!$K$7/SQRT('Funnel Data'!D227)),"")</f>
        <v/>
      </c>
      <c r="H227" s="310" t="str">
        <f>IF(AND(ISNUMBER('Funnel setup'!P239),D227&gt;=30,E227&lt;&gt;"*"),F227+1.959963985 *('Funnel setup'!$K$7/SQRT('Funnel Data'!D227)),"")</f>
        <v/>
      </c>
      <c r="I227" s="310" t="str">
        <f>IF(AND(ISNUMBER('Funnel setup'!P239),D227&gt;=30,E227&lt;&gt;"*"),F227-3.090232306 *('Funnel setup'!$K$7/SQRT('Funnel Data'!D227)),"")</f>
        <v/>
      </c>
      <c r="J227" s="310" t="str">
        <f>IF(AND(ISNUMBER('Funnel setup'!P239),D227&gt;=30,E227&lt;&gt;"*"),F227+3.090232306 *('Funnel setup'!$K$7/SQRT('Funnel Data'!D227)),"")</f>
        <v/>
      </c>
      <c r="K227" s="311" t="str">
        <f>IF(AND(ISNUMBER('Funnel setup'!P239),D227&gt;=30,E227&lt;&gt;"*"),IF(E227&gt;J227,'Funnel setup'!$K$14&amp;"99.8%",IF(E227&gt;H227,'Funnel setup'!$K$14&amp;"95%",IF(E227&lt;I227,'Funnel setup'!$K$15&amp;"99.8%",IF(E227&lt;G227,'Funnel setup'!$K$15&amp;"95%","")))),"")</f>
        <v/>
      </c>
    </row>
    <row r="228" spans="2:11" ht="15" x14ac:dyDescent="0.2">
      <c r="B228" s="307" t="str">
        <f>IF(ISNUMBER('Funnel setup'!P240),VLOOKUP('Funnel setup'!$P240,'Provider Commission - Raw Data'!$A:$Q,5,0),"")</f>
        <v>NT310</v>
      </c>
      <c r="C228" s="308" t="str">
        <f>IF(ISNUMBER('Funnel setup'!P240),VLOOKUP('Funnel setup'!P240,'Provider Commission - Raw Data'!$A:$Q,6,0),"")</f>
        <v>SPIRE TUNBRIDGE WELLS HOSPITAL (NT310)</v>
      </c>
      <c r="D228" s="309">
        <f>IF(ISNUMBER('Funnel setup'!P240),VLOOKUP('Funnel setup'!P240,'Provider Commission - Raw Data'!$A:$Q,8,0),"")</f>
        <v>13</v>
      </c>
      <c r="E228" s="446" t="str">
        <f>IF(ISNUMBER('Funnel setup'!P240),VLOOKUP('Funnel setup'!P240,'Provider Commission - Raw Data'!$A:$Q,16,0),"")</f>
        <v>*</v>
      </c>
      <c r="F228" s="310">
        <f>IF(ISNUMBER('Funnel setup'!P240),'Funnel setup'!$K$8,"")</f>
        <v>8.3654400475365306E-2</v>
      </c>
      <c r="G228" s="310" t="str">
        <f>IF(AND(ISNUMBER('Funnel setup'!P240),D228&gt;=30,E228&lt;&gt;"*"),F228-1.959963985 *('Funnel setup'!$K$7/SQRT('Funnel Data'!D228)),"")</f>
        <v/>
      </c>
      <c r="H228" s="310" t="str">
        <f>IF(AND(ISNUMBER('Funnel setup'!P240),D228&gt;=30,E228&lt;&gt;"*"),F228+1.959963985 *('Funnel setup'!$K$7/SQRT('Funnel Data'!D228)),"")</f>
        <v/>
      </c>
      <c r="I228" s="310" t="str">
        <f>IF(AND(ISNUMBER('Funnel setup'!P240),D228&gt;=30,E228&lt;&gt;"*"),F228-3.090232306 *('Funnel setup'!$K$7/SQRT('Funnel Data'!D228)),"")</f>
        <v/>
      </c>
      <c r="J228" s="310" t="str">
        <f>IF(AND(ISNUMBER('Funnel setup'!P240),D228&gt;=30,E228&lt;&gt;"*"),F228+3.090232306 *('Funnel setup'!$K$7/SQRT('Funnel Data'!D228)),"")</f>
        <v/>
      </c>
      <c r="K228" s="311" t="str">
        <f>IF(AND(ISNUMBER('Funnel setup'!P240),D228&gt;=30,E228&lt;&gt;"*"),IF(E228&gt;J228,'Funnel setup'!$K$14&amp;"99.8%",IF(E228&gt;H228,'Funnel setup'!$K$14&amp;"95%",IF(E228&lt;I228,'Funnel setup'!$K$15&amp;"99.8%",IF(E228&lt;G228,'Funnel setup'!$K$15&amp;"95%","")))),"")</f>
        <v/>
      </c>
    </row>
    <row r="229" spans="2:11" ht="15" x14ac:dyDescent="0.2">
      <c r="B229" s="307" t="str">
        <f>IF(ISNUMBER('Funnel setup'!P241),VLOOKUP('Funnel setup'!$P241,'Provider Commission - Raw Data'!$A:$Q,5,0),"")</f>
        <v>NT333</v>
      </c>
      <c r="C229" s="308" t="str">
        <f>IF(ISNUMBER('Funnel setup'!P241),VLOOKUP('Funnel setup'!P241,'Provider Commission - Raw Data'!$A:$Q,6,0),"")</f>
        <v>SPIRE WASHINGTON HOSPITAL (NT333)</v>
      </c>
      <c r="D229" s="309">
        <f>IF(ISNUMBER('Funnel setup'!P241),VLOOKUP('Funnel setup'!P241,'Provider Commission - Raw Data'!$A:$Q,8,0),"")</f>
        <v>25</v>
      </c>
      <c r="E229" s="446" t="str">
        <f>IF(ISNUMBER('Funnel setup'!P241),VLOOKUP('Funnel setup'!P241,'Provider Commission - Raw Data'!$A:$Q,16,0),"")</f>
        <v>*</v>
      </c>
      <c r="F229" s="310">
        <f>IF(ISNUMBER('Funnel setup'!P241),'Funnel setup'!$K$8,"")</f>
        <v>8.3654400475365306E-2</v>
      </c>
      <c r="G229" s="310" t="str">
        <f>IF(AND(ISNUMBER('Funnel setup'!P241),D229&gt;=30,E229&lt;&gt;"*"),F229-1.959963985 *('Funnel setup'!$K$7/SQRT('Funnel Data'!D229)),"")</f>
        <v/>
      </c>
      <c r="H229" s="310" t="str">
        <f>IF(AND(ISNUMBER('Funnel setup'!P241),D229&gt;=30,E229&lt;&gt;"*"),F229+1.959963985 *('Funnel setup'!$K$7/SQRT('Funnel Data'!D229)),"")</f>
        <v/>
      </c>
      <c r="I229" s="310" t="str">
        <f>IF(AND(ISNUMBER('Funnel setup'!P241),D229&gt;=30,E229&lt;&gt;"*"),F229-3.090232306 *('Funnel setup'!$K$7/SQRT('Funnel Data'!D229)),"")</f>
        <v/>
      </c>
      <c r="J229" s="310" t="str">
        <f>IF(AND(ISNUMBER('Funnel setup'!P241),D229&gt;=30,E229&lt;&gt;"*"),F229+3.090232306 *('Funnel setup'!$K$7/SQRT('Funnel Data'!D229)),"")</f>
        <v/>
      </c>
      <c r="K229" s="311" t="str">
        <f>IF(AND(ISNUMBER('Funnel setup'!P241),D229&gt;=30,E229&lt;&gt;"*"),IF(E229&gt;J229,'Funnel setup'!$K$14&amp;"99.8%",IF(E229&gt;H229,'Funnel setup'!$K$14&amp;"95%",IF(E229&lt;I229,'Funnel setup'!$K$15&amp;"99.8%",IF(E229&lt;G229,'Funnel setup'!$K$15&amp;"95%","")))),"")</f>
        <v/>
      </c>
    </row>
    <row r="230" spans="2:11" ht="15" x14ac:dyDescent="0.2">
      <c r="B230" s="307" t="str">
        <f>IF(ISNUMBER('Funnel setup'!P242),VLOOKUP('Funnel setup'!$P242,'Provider Commission - Raw Data'!$A:$Q,5,0),"")</f>
        <v>NT313</v>
      </c>
      <c r="C230" s="308" t="str">
        <f>IF(ISNUMBER('Funnel setup'!P242),VLOOKUP('Funnel setup'!P242,'Provider Commission - Raw Data'!$A:$Q,6,0),"")</f>
        <v>SPIRE WELLESLEY HOSPITAL (NT313)</v>
      </c>
      <c r="D230" s="309">
        <f>IF(ISNUMBER('Funnel setup'!P242),VLOOKUP('Funnel setup'!P242,'Provider Commission - Raw Data'!$A:$Q,8,0),"")</f>
        <v>60</v>
      </c>
      <c r="E230" s="446">
        <f>IF(ISNUMBER('Funnel setup'!P242),VLOOKUP('Funnel setup'!P242,'Provider Commission - Raw Data'!$A:$Q,16,0),"")</f>
        <v>6.7710256999999996E-2</v>
      </c>
      <c r="F230" s="310">
        <f>IF(ISNUMBER('Funnel setup'!P242),'Funnel setup'!$K$8,"")</f>
        <v>8.3654400475365306E-2</v>
      </c>
      <c r="G230" s="310">
        <f>IF(AND(ISNUMBER('Funnel setup'!P242),D230&gt;=30,E230&lt;&gt;"*"),F230-1.959963985 *('Funnel setup'!$K$7/SQRT('Funnel Data'!D230)),"")</f>
        <v>4.3463249485307331E-2</v>
      </c>
      <c r="H230" s="310">
        <f>IF(AND(ISNUMBER('Funnel setup'!P242),D230&gt;=30,E230&lt;&gt;"*"),F230+1.959963985 *('Funnel setup'!$K$7/SQRT('Funnel Data'!D230)),"")</f>
        <v>0.12384555146542328</v>
      </c>
      <c r="I230" s="310">
        <f>IF(AND(ISNUMBER('Funnel setup'!P242),D230&gt;=30,E230&lt;&gt;"*"),F230-3.090232306 *('Funnel setup'!$K$7/SQRT('Funnel Data'!D230)),"")</f>
        <v>2.028589260719596E-2</v>
      </c>
      <c r="J230" s="310">
        <f>IF(AND(ISNUMBER('Funnel setup'!P242),D230&gt;=30,E230&lt;&gt;"*"),F230+3.090232306 *('Funnel setup'!$K$7/SQRT('Funnel Data'!D230)),"")</f>
        <v>0.14702290834353465</v>
      </c>
      <c r="K230" s="311" t="str">
        <f>IF(AND(ISNUMBER('Funnel setup'!P242),D230&gt;=30,E230&lt;&gt;"*"),IF(E230&gt;J230,'Funnel setup'!$K$14&amp;"99.8%",IF(E230&gt;H230,'Funnel setup'!$K$14&amp;"95%",IF(E230&lt;I230,'Funnel setup'!$K$15&amp;"99.8%",IF(E230&lt;G230,'Funnel setup'!$K$15&amp;"95%","")))),"")</f>
        <v/>
      </c>
    </row>
    <row r="231" spans="2:11" ht="30" x14ac:dyDescent="0.2">
      <c r="B231" s="307" t="str">
        <f>IF(ISNUMBER('Funnel setup'!P243),VLOOKUP('Funnel setup'!$P243,'Provider Commission - Raw Data'!$A:$Q,5,0),"")</f>
        <v>NVC18</v>
      </c>
      <c r="C231" s="308" t="str">
        <f>IF(ISNUMBER('Funnel setup'!P243),VLOOKUP('Funnel setup'!P243,'Provider Commission - Raw Data'!$A:$Q,6,0),"")</f>
        <v>SPRINGFIELD HOSPITAL (NVC18)</v>
      </c>
      <c r="D231" s="309">
        <f>IF(ISNUMBER('Funnel setup'!P243),VLOOKUP('Funnel setup'!P243,'Provider Commission - Raw Data'!$A:$Q,8,0),"")</f>
        <v>111</v>
      </c>
      <c r="E231" s="446">
        <f>IF(ISNUMBER('Funnel setup'!P243),VLOOKUP('Funnel setup'!P243,'Provider Commission - Raw Data'!$A:$Q,16,0),"")</f>
        <v>8.5802442000000007E-2</v>
      </c>
      <c r="F231" s="310">
        <f>IF(ISNUMBER('Funnel setup'!P243),'Funnel setup'!$K$8,"")</f>
        <v>8.3654400475365306E-2</v>
      </c>
      <c r="G231" s="310">
        <f>IF(AND(ISNUMBER('Funnel setup'!P243),D231&gt;=30,E231&lt;&gt;"*"),F231-1.959963985 *('Funnel setup'!$K$7/SQRT('Funnel Data'!D231)),"")</f>
        <v>5.4105278588694669E-2</v>
      </c>
      <c r="H231" s="310">
        <f>IF(AND(ISNUMBER('Funnel setup'!P243),D231&gt;=30,E231&lt;&gt;"*"),F231+1.959963985 *('Funnel setup'!$K$7/SQRT('Funnel Data'!D231)),"")</f>
        <v>0.11320352236203594</v>
      </c>
      <c r="I231" s="310">
        <f>IF(AND(ISNUMBER('Funnel setup'!P243),D231&gt;=30,E231&lt;&gt;"*"),F231-3.090232306 *('Funnel setup'!$K$7/SQRT('Funnel Data'!D231)),"")</f>
        <v>3.7064946910420705E-2</v>
      </c>
      <c r="J231" s="310">
        <f>IF(AND(ISNUMBER('Funnel setup'!P243),D231&gt;=30,E231&lt;&gt;"*"),F231+3.090232306 *('Funnel setup'!$K$7/SQRT('Funnel Data'!D231)),"")</f>
        <v>0.13024385404030991</v>
      </c>
      <c r="K231" s="311" t="str">
        <f>IF(AND(ISNUMBER('Funnel setup'!P243),D231&gt;=30,E231&lt;&gt;"*"),IF(E231&gt;J231,'Funnel setup'!$K$14&amp;"99.8%",IF(E231&gt;H231,'Funnel setup'!$K$14&amp;"95%",IF(E231&lt;I231,'Funnel setup'!$K$15&amp;"99.8%",IF(E231&lt;G231,'Funnel setup'!$K$15&amp;"95%","")))),"")</f>
        <v/>
      </c>
    </row>
    <row r="232" spans="2:11" ht="15" x14ac:dyDescent="0.2">
      <c r="B232" s="307" t="str">
        <f>IF(ISNUMBER('Funnel setup'!P244),VLOOKUP('Funnel setup'!$P244,'Provider Commission - Raw Data'!$A:$Q,5,0),"")</f>
        <v>RJ7</v>
      </c>
      <c r="C232" s="308" t="str">
        <f>IF(ISNUMBER('Funnel setup'!P244),VLOOKUP('Funnel setup'!P244,'Provider Commission - Raw Data'!$A:$Q,6,0),"")</f>
        <v>ST GEORGE'S UNIVERSITY HOSPITALS NHS FOUNDATION TRUST (RJ7)</v>
      </c>
      <c r="D232" s="309">
        <f>IF(ISNUMBER('Funnel setup'!P244),VLOOKUP('Funnel setup'!P244,'Provider Commission - Raw Data'!$A:$Q,8,0),"")</f>
        <v>16</v>
      </c>
      <c r="E232" s="446" t="str">
        <f>IF(ISNUMBER('Funnel setup'!P244),VLOOKUP('Funnel setup'!P244,'Provider Commission - Raw Data'!$A:$Q,16,0),"")</f>
        <v>*</v>
      </c>
      <c r="F232" s="310">
        <f>IF(ISNUMBER('Funnel setup'!P244),'Funnel setup'!$K$8,"")</f>
        <v>8.3654400475365306E-2</v>
      </c>
      <c r="G232" s="310" t="str">
        <f>IF(AND(ISNUMBER('Funnel setup'!P244),D232&gt;=30,E232&lt;&gt;"*"),F232-1.959963985 *('Funnel setup'!$K$7/SQRT('Funnel Data'!D232)),"")</f>
        <v/>
      </c>
      <c r="H232" s="310" t="str">
        <f>IF(AND(ISNUMBER('Funnel setup'!P244),D232&gt;=30,E232&lt;&gt;"*"),F232+1.959963985 *('Funnel setup'!$K$7/SQRT('Funnel Data'!D232)),"")</f>
        <v/>
      </c>
      <c r="I232" s="310" t="str">
        <f>IF(AND(ISNUMBER('Funnel setup'!P244),D232&gt;=30,E232&lt;&gt;"*"),F232-3.090232306 *('Funnel setup'!$K$7/SQRT('Funnel Data'!D232)),"")</f>
        <v/>
      </c>
      <c r="J232" s="310" t="str">
        <f>IF(AND(ISNUMBER('Funnel setup'!P244),D232&gt;=30,E232&lt;&gt;"*"),F232+3.090232306 *('Funnel setup'!$K$7/SQRT('Funnel Data'!D232)),"")</f>
        <v/>
      </c>
      <c r="K232" s="311" t="str">
        <f>IF(AND(ISNUMBER('Funnel setup'!P244),D232&gt;=30,E232&lt;&gt;"*"),IF(E232&gt;J232,'Funnel setup'!$K$14&amp;"99.8%",IF(E232&gt;H232,'Funnel setup'!$K$14&amp;"95%",IF(E232&lt;I232,'Funnel setup'!$K$15&amp;"99.8%",IF(E232&lt;G232,'Funnel setup'!$K$15&amp;"95%","")))),"")</f>
        <v/>
      </c>
    </row>
    <row r="233" spans="2:11" ht="15" x14ac:dyDescent="0.2">
      <c r="B233" s="307" t="str">
        <f>IF(ISNUMBER('Funnel setup'!P245),VLOOKUP('Funnel setup'!$P245,'Provider Commission - Raw Data'!$A:$Q,5,0),"")</f>
        <v>RBN</v>
      </c>
      <c r="C233" s="308" t="str">
        <f>IF(ISNUMBER('Funnel setup'!P245),VLOOKUP('Funnel setup'!P245,'Provider Commission - Raw Data'!$A:$Q,6,0),"")</f>
        <v>ST HELENS AND KNOWSLEY HOSPITALS NHS TRUST (RBN)</v>
      </c>
      <c r="D233" s="309">
        <f>IF(ISNUMBER('Funnel setup'!P245),VLOOKUP('Funnel setup'!P245,'Provider Commission - Raw Data'!$A:$Q,8,0),"")</f>
        <v>157</v>
      </c>
      <c r="E233" s="446">
        <f>IF(ISNUMBER('Funnel setup'!P245),VLOOKUP('Funnel setup'!P245,'Provider Commission - Raw Data'!$A:$Q,16,0),"")</f>
        <v>7.6627967000000005E-2</v>
      </c>
      <c r="F233" s="310">
        <f>IF(ISNUMBER('Funnel setup'!P245),'Funnel setup'!$K$8,"")</f>
        <v>8.3654400475365306E-2</v>
      </c>
      <c r="G233" s="310">
        <f>IF(AND(ISNUMBER('Funnel setup'!P245),D233&gt;=30,E233&lt;&gt;"*"),F233-1.959963985 *('Funnel setup'!$K$7/SQRT('Funnel Data'!D233)),"")</f>
        <v>5.8808414105529783E-2</v>
      </c>
      <c r="H233" s="310">
        <f>IF(AND(ISNUMBER('Funnel setup'!P245),D233&gt;=30,E233&lt;&gt;"*"),F233+1.959963985 *('Funnel setup'!$K$7/SQRT('Funnel Data'!D233)),"")</f>
        <v>0.10850038684520083</v>
      </c>
      <c r="I233" s="310">
        <f>IF(AND(ISNUMBER('Funnel setup'!P245),D233&gt;=30,E233&lt;&gt;"*"),F233-3.090232306 *('Funnel setup'!$K$7/SQRT('Funnel Data'!D233)),"")</f>
        <v>4.448027771488948E-2</v>
      </c>
      <c r="J233" s="310">
        <f>IF(AND(ISNUMBER('Funnel setup'!P245),D233&gt;=30,E233&lt;&gt;"*"),F233+3.090232306 *('Funnel setup'!$K$7/SQRT('Funnel Data'!D233)),"")</f>
        <v>0.12282852323584113</v>
      </c>
      <c r="K233" s="311" t="str">
        <f>IF(AND(ISNUMBER('Funnel setup'!P245),D233&gt;=30,E233&lt;&gt;"*"),IF(E233&gt;J233,'Funnel setup'!$K$14&amp;"99.8%",IF(E233&gt;H233,'Funnel setup'!$K$14&amp;"95%",IF(E233&lt;I233,'Funnel setup'!$K$15&amp;"99.8%",IF(E233&lt;G233,'Funnel setup'!$K$15&amp;"95%","")))),"")</f>
        <v/>
      </c>
    </row>
    <row r="234" spans="2:11" ht="15" x14ac:dyDescent="0.2">
      <c r="B234" s="307" t="str">
        <f>IF(ISNUMBER('Funnel setup'!P246),VLOOKUP('Funnel setup'!$P246,'Provider Commission - Raw Data'!$A:$Q,5,0),"")</f>
        <v>NTE02</v>
      </c>
      <c r="C234" s="308" t="str">
        <f>IF(ISNUMBER('Funnel setup'!P246),VLOOKUP('Funnel setup'!P246,'Provider Commission - Raw Data'!$A:$Q,6,0),"")</f>
        <v>ST HUGH'S HOSPITAL (NTE02)</v>
      </c>
      <c r="D234" s="309">
        <f>IF(ISNUMBER('Funnel setup'!P246),VLOOKUP('Funnel setup'!P246,'Provider Commission - Raw Data'!$A:$Q,8,0),"")</f>
        <v>29</v>
      </c>
      <c r="E234" s="446" t="str">
        <f>IF(ISNUMBER('Funnel setup'!P246),VLOOKUP('Funnel setup'!P246,'Provider Commission - Raw Data'!$A:$Q,16,0),"")</f>
        <v>*</v>
      </c>
      <c r="F234" s="310">
        <f>IF(ISNUMBER('Funnel setup'!P246),'Funnel setup'!$K$8,"")</f>
        <v>8.3654400475365306E-2</v>
      </c>
      <c r="G234" s="310" t="str">
        <f>IF(AND(ISNUMBER('Funnel setup'!P246),D234&gt;=30,E234&lt;&gt;"*"),F234-1.959963985 *('Funnel setup'!$K$7/SQRT('Funnel Data'!D234)),"")</f>
        <v/>
      </c>
      <c r="H234" s="310" t="str">
        <f>IF(AND(ISNUMBER('Funnel setup'!P246),D234&gt;=30,E234&lt;&gt;"*"),F234+1.959963985 *('Funnel setup'!$K$7/SQRT('Funnel Data'!D234)),"")</f>
        <v/>
      </c>
      <c r="I234" s="310" t="str">
        <f>IF(AND(ISNUMBER('Funnel setup'!P246),D234&gt;=30,E234&lt;&gt;"*"),F234-3.090232306 *('Funnel setup'!$K$7/SQRT('Funnel Data'!D234)),"")</f>
        <v/>
      </c>
      <c r="J234" s="310" t="str">
        <f>IF(AND(ISNUMBER('Funnel setup'!P246),D234&gt;=30,E234&lt;&gt;"*"),F234+3.090232306 *('Funnel setup'!$K$7/SQRT('Funnel Data'!D234)),"")</f>
        <v/>
      </c>
      <c r="K234" s="311" t="str">
        <f>IF(AND(ISNUMBER('Funnel setup'!P246),D234&gt;=30,E234&lt;&gt;"*"),IF(E234&gt;J234,'Funnel setup'!$K$14&amp;"99.8%",IF(E234&gt;H234,'Funnel setup'!$K$14&amp;"95%",IF(E234&lt;I234,'Funnel setup'!$K$15&amp;"99.8%",IF(E234&lt;G234,'Funnel setup'!$K$15&amp;"95%","")))),"")</f>
        <v/>
      </c>
    </row>
    <row r="235" spans="2:11" ht="15" x14ac:dyDescent="0.2">
      <c r="B235" s="307" t="str">
        <f>IF(ISNUMBER('Funnel setup'!P247),VLOOKUP('Funnel setup'!$P247,'Provider Commission - Raw Data'!$A:$Q,5,0),"")</f>
        <v>NTPAD</v>
      </c>
      <c r="C235" s="308" t="str">
        <f>IF(ISNUMBER('Funnel setup'!P247),VLOOKUP('Funnel setup'!P247,'Provider Commission - Raw Data'!$A:$Q,6,0),"")</f>
        <v>ST MARY'S NHS TREATMENT CENTRE (NTPAD)</v>
      </c>
      <c r="D235" s="309">
        <f>IF(ISNUMBER('Funnel setup'!P247),VLOOKUP('Funnel setup'!P247,'Provider Commission - Raw Data'!$A:$Q,8,0),"")</f>
        <v>151</v>
      </c>
      <c r="E235" s="446">
        <f>IF(ISNUMBER('Funnel setup'!P247),VLOOKUP('Funnel setup'!P247,'Provider Commission - Raw Data'!$A:$Q,16,0),"")</f>
        <v>8.0078969E-2</v>
      </c>
      <c r="F235" s="310">
        <f>IF(ISNUMBER('Funnel setup'!P247),'Funnel setup'!$K$8,"")</f>
        <v>8.3654400475365306E-2</v>
      </c>
      <c r="G235" s="310">
        <f>IF(AND(ISNUMBER('Funnel setup'!P247),D235&gt;=30,E235&lt;&gt;"*"),F235-1.959963985 *('Funnel setup'!$K$7/SQRT('Funnel Data'!D235)),"")</f>
        <v>5.8319593766888472E-2</v>
      </c>
      <c r="H235" s="310">
        <f>IF(AND(ISNUMBER('Funnel setup'!P247),D235&gt;=30,E235&lt;&gt;"*"),F235+1.959963985 *('Funnel setup'!$K$7/SQRT('Funnel Data'!D235)),"")</f>
        <v>0.10898920718384214</v>
      </c>
      <c r="I235" s="310">
        <f>IF(AND(ISNUMBER('Funnel setup'!P247),D235&gt;=30,E235&lt;&gt;"*"),F235-3.090232306 *('Funnel setup'!$K$7/SQRT('Funnel Data'!D235)),"")</f>
        <v>4.3709565388612107E-2</v>
      </c>
      <c r="J235" s="310">
        <f>IF(AND(ISNUMBER('Funnel setup'!P247),D235&gt;=30,E235&lt;&gt;"*"),F235+3.090232306 *('Funnel setup'!$K$7/SQRT('Funnel Data'!D235)),"")</f>
        <v>0.12359923556211851</v>
      </c>
      <c r="K235" s="311" t="str">
        <f>IF(AND(ISNUMBER('Funnel setup'!P247),D235&gt;=30,E235&lt;&gt;"*"),IF(E235&gt;J235,'Funnel setup'!$K$14&amp;"99.8%",IF(E235&gt;H235,'Funnel setup'!$K$14&amp;"95%",IF(E235&lt;I235,'Funnel setup'!$K$15&amp;"99.8%",IF(E235&lt;G235,'Funnel setup'!$K$15&amp;"95%","")))),"")</f>
        <v/>
      </c>
    </row>
    <row r="236" spans="2:11" ht="15" x14ac:dyDescent="0.2">
      <c r="B236" s="307" t="str">
        <f>IF(ISNUMBER('Funnel setup'!P248),VLOOKUP('Funnel setup'!$P248,'Provider Commission - Raw Data'!$A:$Q,5,0),"")</f>
        <v>RWJ</v>
      </c>
      <c r="C236" s="308" t="str">
        <f>IF(ISNUMBER('Funnel setup'!P248),VLOOKUP('Funnel setup'!P248,'Provider Commission - Raw Data'!$A:$Q,6,0),"")</f>
        <v>STOCKPORT NHS FOUNDATION TRUST (RWJ)</v>
      </c>
      <c r="D236" s="309">
        <f>IF(ISNUMBER('Funnel setup'!P248),VLOOKUP('Funnel setup'!P248,'Provider Commission - Raw Data'!$A:$Q,8,0),"")</f>
        <v>146</v>
      </c>
      <c r="E236" s="446">
        <f>IF(ISNUMBER('Funnel setup'!P248),VLOOKUP('Funnel setup'!P248,'Provider Commission - Raw Data'!$A:$Q,16,0),"")</f>
        <v>8.9808126000000002E-2</v>
      </c>
      <c r="F236" s="310">
        <f>IF(ISNUMBER('Funnel setup'!P248),'Funnel setup'!$K$8,"")</f>
        <v>8.3654400475365306E-2</v>
      </c>
      <c r="G236" s="310">
        <f>IF(AND(ISNUMBER('Funnel setup'!P248),D236&gt;=30,E236&lt;&gt;"*"),F236-1.959963985 *('Funnel setup'!$K$7/SQRT('Funnel Data'!D236)),"")</f>
        <v>5.7889430485253579E-2</v>
      </c>
      <c r="H236" s="310">
        <f>IF(AND(ISNUMBER('Funnel setup'!P248),D236&gt;=30,E236&lt;&gt;"*"),F236+1.959963985 *('Funnel setup'!$K$7/SQRT('Funnel Data'!D236)),"")</f>
        <v>0.10941937046547703</v>
      </c>
      <c r="I236" s="310">
        <f>IF(AND(ISNUMBER('Funnel setup'!P248),D236&gt;=30,E236&lt;&gt;"*"),F236-3.090232306 *('Funnel setup'!$K$7/SQRT('Funnel Data'!D236)),"")</f>
        <v>4.3031336359948019E-2</v>
      </c>
      <c r="J236" s="310">
        <f>IF(AND(ISNUMBER('Funnel setup'!P248),D236&gt;=30,E236&lt;&gt;"*"),F236+3.090232306 *('Funnel setup'!$K$7/SQRT('Funnel Data'!D236)),"")</f>
        <v>0.12427746459078259</v>
      </c>
      <c r="K236" s="311" t="str">
        <f>IF(AND(ISNUMBER('Funnel setup'!P248),D236&gt;=30,E236&lt;&gt;"*"),IF(E236&gt;J236,'Funnel setup'!$K$14&amp;"99.8%",IF(E236&gt;H236,'Funnel setup'!$K$14&amp;"95%",IF(E236&lt;I236,'Funnel setup'!$K$15&amp;"99.8%",IF(E236&lt;G236,'Funnel setup'!$K$15&amp;"95%","")))),"")</f>
        <v/>
      </c>
    </row>
    <row r="237" spans="2:11" ht="15" x14ac:dyDescent="0.2">
      <c r="B237" s="307" t="str">
        <f>IF(ISNUMBER('Funnel setup'!P249),VLOOKUP('Funnel setup'!$P249,'Provider Commission - Raw Data'!$A:$Q,5,0),"")</f>
        <v>RTP</v>
      </c>
      <c r="C237" s="308" t="str">
        <f>IF(ISNUMBER('Funnel setup'!P249),VLOOKUP('Funnel setup'!P249,'Provider Commission - Raw Data'!$A:$Q,6,0),"")</f>
        <v>SURREY AND SUSSEX HEALTHCARE NHS TRUST (RTP)</v>
      </c>
      <c r="D237" s="309">
        <f>IF(ISNUMBER('Funnel setup'!P249),VLOOKUP('Funnel setup'!P249,'Provider Commission - Raw Data'!$A:$Q,8,0),"")</f>
        <v>154</v>
      </c>
      <c r="E237" s="446">
        <f>IF(ISNUMBER('Funnel setup'!P249),VLOOKUP('Funnel setup'!P249,'Provider Commission - Raw Data'!$A:$Q,16,0),"")</f>
        <v>8.6034282000000004E-2</v>
      </c>
      <c r="F237" s="310">
        <f>IF(ISNUMBER('Funnel setup'!P249),'Funnel setup'!$K$8,"")</f>
        <v>8.3654400475365306E-2</v>
      </c>
      <c r="G237" s="310">
        <f>IF(AND(ISNUMBER('Funnel setup'!P249),D237&gt;=30,E237&lt;&gt;"*"),F237-1.959963985 *('Funnel setup'!$K$7/SQRT('Funnel Data'!D237)),"")</f>
        <v>5.8567575005190178E-2</v>
      </c>
      <c r="H237" s="310">
        <f>IF(AND(ISNUMBER('Funnel setup'!P249),D237&gt;=30,E237&lt;&gt;"*"),F237+1.959963985 *('Funnel setup'!$K$7/SQRT('Funnel Data'!D237)),"")</f>
        <v>0.10874122594554043</v>
      </c>
      <c r="I237" s="310">
        <f>IF(AND(ISNUMBER('Funnel setup'!P249),D237&gt;=30,E237&lt;&gt;"*"),F237-3.090232306 *('Funnel setup'!$K$7/SQRT('Funnel Data'!D237)),"")</f>
        <v>4.4100551978032421E-2</v>
      </c>
      <c r="J237" s="310">
        <f>IF(AND(ISNUMBER('Funnel setup'!P249),D237&gt;=30,E237&lt;&gt;"*"),F237+3.090232306 *('Funnel setup'!$K$7/SQRT('Funnel Data'!D237)),"")</f>
        <v>0.12320824897269819</v>
      </c>
      <c r="K237" s="311" t="str">
        <f>IF(AND(ISNUMBER('Funnel setup'!P249),D237&gt;=30,E237&lt;&gt;"*"),IF(E237&gt;J237,'Funnel setup'!$K$14&amp;"99.8%",IF(E237&gt;H237,'Funnel setup'!$K$14&amp;"95%",IF(E237&lt;I237,'Funnel setup'!$K$15&amp;"99.8%",IF(E237&lt;G237,'Funnel setup'!$K$15&amp;"95%","")))),"")</f>
        <v/>
      </c>
    </row>
    <row r="238" spans="2:11" ht="15" x14ac:dyDescent="0.2">
      <c r="B238" s="307" t="str">
        <f>IF(ISNUMBER('Funnel setup'!P250),VLOOKUP('Funnel setup'!$P250,'Provider Commission - Raw Data'!$A:$Q,5,0),"")</f>
        <v>RMP</v>
      </c>
      <c r="C238" s="308" t="str">
        <f>IF(ISNUMBER('Funnel setup'!P250),VLOOKUP('Funnel setup'!P250,'Provider Commission - Raw Data'!$A:$Q,6,0),"")</f>
        <v>TAMESIDE HOSPITAL NHS FOUNDATION TRUST (RMP)</v>
      </c>
      <c r="D238" s="309">
        <f>IF(ISNUMBER('Funnel setup'!P250),VLOOKUP('Funnel setup'!P250,'Provider Commission - Raw Data'!$A:$Q,8,0),"")</f>
        <v>36</v>
      </c>
      <c r="E238" s="446">
        <f>IF(ISNUMBER('Funnel setup'!P250),VLOOKUP('Funnel setup'!P250,'Provider Commission - Raw Data'!$A:$Q,16,0),"")</f>
        <v>0.115671327</v>
      </c>
      <c r="F238" s="310">
        <f>IF(ISNUMBER('Funnel setup'!P250),'Funnel setup'!$K$8,"")</f>
        <v>8.3654400475365306E-2</v>
      </c>
      <c r="G238" s="310">
        <f>IF(AND(ISNUMBER('Funnel setup'!P250),D238&gt;=30,E238&lt;&gt;"*"),F238-1.959963985 *('Funnel setup'!$K$7/SQRT('Funnel Data'!D238)),"")</f>
        <v>3.1767847658897889E-2</v>
      </c>
      <c r="H238" s="310">
        <f>IF(AND(ISNUMBER('Funnel setup'!P250),D238&gt;=30,E238&lt;&gt;"*"),F238+1.959963985 *('Funnel setup'!$K$7/SQRT('Funnel Data'!D238)),"")</f>
        <v>0.13554095329183272</v>
      </c>
      <c r="I238" s="310">
        <f>IF(AND(ISNUMBER('Funnel setup'!P250),D238&gt;=30,E238&lt;&gt;"*"),F238-3.090232306 *('Funnel setup'!$K$7/SQRT('Funnel Data'!D238)),"")</f>
        <v>1.8460085928874714E-3</v>
      </c>
      <c r="J238" s="310">
        <f>IF(AND(ISNUMBER('Funnel setup'!P250),D238&gt;=30,E238&lt;&gt;"*"),F238+3.090232306 *('Funnel setup'!$K$7/SQRT('Funnel Data'!D238)),"")</f>
        <v>0.16546279235784314</v>
      </c>
      <c r="K238" s="311" t="str">
        <f>IF(AND(ISNUMBER('Funnel setup'!P250),D238&gt;=30,E238&lt;&gt;"*"),IF(E238&gt;J238,'Funnel setup'!$K$14&amp;"99.8%",IF(E238&gt;H238,'Funnel setup'!$K$14&amp;"95%",IF(E238&lt;I238,'Funnel setup'!$K$15&amp;"99.8%",IF(E238&lt;G238,'Funnel setup'!$K$15&amp;"95%","")))),"")</f>
        <v/>
      </c>
    </row>
    <row r="239" spans="2:11" ht="15" x14ac:dyDescent="0.2">
      <c r="B239" s="307" t="str">
        <f>IF(ISNUMBER('Funnel setup'!P251),VLOOKUP('Funnel setup'!$P251,'Provider Commission - Raw Data'!$A:$Q,5,0),"")</f>
        <v>RBA</v>
      </c>
      <c r="C239" s="308" t="str">
        <f>IF(ISNUMBER('Funnel setup'!P251),VLOOKUP('Funnel setup'!P251,'Provider Commission - Raw Data'!$A:$Q,6,0),"")</f>
        <v>TAUNTON AND SOMERSET NHS FOUNDATION TRUST (RBA)</v>
      </c>
      <c r="D239" s="309">
        <f>IF(ISNUMBER('Funnel setup'!P251),VLOOKUP('Funnel setup'!P251,'Provider Commission - Raw Data'!$A:$Q,8,0),"")</f>
        <v>138</v>
      </c>
      <c r="E239" s="446">
        <f>IF(ISNUMBER('Funnel setup'!P251),VLOOKUP('Funnel setup'!P251,'Provider Commission - Raw Data'!$A:$Q,16,0),"")</f>
        <v>6.2918911999999994E-2</v>
      </c>
      <c r="F239" s="310">
        <f>IF(ISNUMBER('Funnel setup'!P251),'Funnel setup'!$K$8,"")</f>
        <v>8.3654400475365306E-2</v>
      </c>
      <c r="G239" s="310">
        <f>IF(AND(ISNUMBER('Funnel setup'!P251),D239&gt;=30,E239&lt;&gt;"*"),F239-1.959963985 *('Funnel setup'!$K$7/SQRT('Funnel Data'!D239)),"")</f>
        <v>5.7153140309219322E-2</v>
      </c>
      <c r="H239" s="310">
        <f>IF(AND(ISNUMBER('Funnel setup'!P251),D239&gt;=30,E239&lt;&gt;"*"),F239+1.959963985 *('Funnel setup'!$K$7/SQRT('Funnel Data'!D239)),"")</f>
        <v>0.11015566064151129</v>
      </c>
      <c r="I239" s="310">
        <f>IF(AND(ISNUMBER('Funnel setup'!P251),D239&gt;=30,E239&lt;&gt;"*"),F239-3.090232306 *('Funnel setup'!$K$7/SQRT('Funnel Data'!D239)),"")</f>
        <v>4.1870443758867157E-2</v>
      </c>
      <c r="J239" s="310">
        <f>IF(AND(ISNUMBER('Funnel setup'!P251),D239&gt;=30,E239&lt;&gt;"*"),F239+3.090232306 *('Funnel setup'!$K$7/SQRT('Funnel Data'!D239)),"")</f>
        <v>0.12543835719186347</v>
      </c>
      <c r="K239" s="311" t="str">
        <f>IF(AND(ISNUMBER('Funnel setup'!P251),D239&gt;=30,E239&lt;&gt;"*"),IF(E239&gt;J239,'Funnel setup'!$K$14&amp;"99.8%",IF(E239&gt;H239,'Funnel setup'!$K$14&amp;"95%",IF(E239&lt;I239,'Funnel setup'!$K$15&amp;"99.8%",IF(E239&lt;G239,'Funnel setup'!$K$15&amp;"95%","")))),"")</f>
        <v/>
      </c>
    </row>
    <row r="240" spans="2:11" ht="15" x14ac:dyDescent="0.2">
      <c r="B240" s="307" t="str">
        <f>IF(ISNUMBER('Funnel setup'!P252),VLOOKUP('Funnel setup'!$P252,'Provider Commission - Raw Data'!$A:$Q,5,0),"")</f>
        <v>NVC35</v>
      </c>
      <c r="C240" s="308" t="str">
        <f>IF(ISNUMBER('Funnel setup'!P252),VLOOKUP('Funnel setup'!P252,'Provider Commission - Raw Data'!$A:$Q,6,0),"")</f>
        <v>TEES VALLEY TREATMENT CENTRE (NVC35)</v>
      </c>
      <c r="D240" s="309">
        <f>IF(ISNUMBER('Funnel setup'!P252),VLOOKUP('Funnel setup'!P252,'Provider Commission - Raw Data'!$A:$Q,8,0),"")</f>
        <v>59</v>
      </c>
      <c r="E240" s="446">
        <f>IF(ISNUMBER('Funnel setup'!P252),VLOOKUP('Funnel setup'!P252,'Provider Commission - Raw Data'!$A:$Q,16,0),"")</f>
        <v>6.6215974999999996E-2</v>
      </c>
      <c r="F240" s="310">
        <f>IF(ISNUMBER('Funnel setup'!P252),'Funnel setup'!$K$8,"")</f>
        <v>8.3654400475365306E-2</v>
      </c>
      <c r="G240" s="310">
        <f>IF(AND(ISNUMBER('Funnel setup'!P252),D240&gt;=30,E240&lt;&gt;"*"),F240-1.959963985 *('Funnel setup'!$K$7/SQRT('Funnel Data'!D240)),"")</f>
        <v>4.3124077641015945E-2</v>
      </c>
      <c r="H240" s="310">
        <f>IF(AND(ISNUMBER('Funnel setup'!P252),D240&gt;=30,E240&lt;&gt;"*"),F240+1.959963985 *('Funnel setup'!$K$7/SQRT('Funnel Data'!D240)),"")</f>
        <v>0.12418472330971467</v>
      </c>
      <c r="I240" s="310">
        <f>IF(AND(ISNUMBER('Funnel setup'!P252),D240&gt;=30,E240&lt;&gt;"*"),F240-3.090232306 *('Funnel setup'!$K$7/SQRT('Funnel Data'!D240)),"")</f>
        <v>1.9751127785731737E-2</v>
      </c>
      <c r="J240" s="310">
        <f>IF(AND(ISNUMBER('Funnel setup'!P252),D240&gt;=30,E240&lt;&gt;"*"),F240+3.090232306 *('Funnel setup'!$K$7/SQRT('Funnel Data'!D240)),"")</f>
        <v>0.14755767316499888</v>
      </c>
      <c r="K240" s="311" t="str">
        <f>IF(AND(ISNUMBER('Funnel setup'!P252),D240&gt;=30,E240&lt;&gt;"*"),IF(E240&gt;J240,'Funnel setup'!$K$14&amp;"99.8%",IF(E240&gt;H240,'Funnel setup'!$K$14&amp;"95%",IF(E240&lt;I240,'Funnel setup'!$K$15&amp;"99.8%",IF(E240&lt;G240,'Funnel setup'!$K$15&amp;"95%","")))),"")</f>
        <v/>
      </c>
    </row>
    <row r="241" spans="2:11" ht="15" x14ac:dyDescent="0.2">
      <c r="B241" s="307" t="str">
        <f>IF(ISNUMBER('Funnel setup'!P253),VLOOKUP('Funnel setup'!$P253,'Provider Commission - Raw Data'!$A:$Q,5,0),"")</f>
        <v>NVC02</v>
      </c>
      <c r="C241" s="308" t="str">
        <f>IF(ISNUMBER('Funnel setup'!P253),VLOOKUP('Funnel setup'!P253,'Provider Commission - Raw Data'!$A:$Q,6,0),"")</f>
        <v>THE BERKSHIRE INDEPENDENT HOSPITAL (NVC02)</v>
      </c>
      <c r="D241" s="309">
        <f>IF(ISNUMBER('Funnel setup'!P253),VLOOKUP('Funnel setup'!P253,'Provider Commission - Raw Data'!$A:$Q,8,0),"")</f>
        <v>39</v>
      </c>
      <c r="E241" s="446">
        <f>IF(ISNUMBER('Funnel setup'!P253),VLOOKUP('Funnel setup'!P253,'Provider Commission - Raw Data'!$A:$Q,16,0),"")</f>
        <v>4.7999160999999999E-2</v>
      </c>
      <c r="F241" s="310">
        <f>IF(ISNUMBER('Funnel setup'!P253),'Funnel setup'!$K$8,"")</f>
        <v>8.3654400475365306E-2</v>
      </c>
      <c r="G241" s="310">
        <f>IF(AND(ISNUMBER('Funnel setup'!P253),D241&gt;=30,E241&lt;&gt;"*"),F241-1.959963985 *('Funnel setup'!$K$7/SQRT('Funnel Data'!D241)),"")</f>
        <v>3.3803413016498876E-2</v>
      </c>
      <c r="H241" s="310">
        <f>IF(AND(ISNUMBER('Funnel setup'!P253),D241&gt;=30,E241&lt;&gt;"*"),F241+1.959963985 *('Funnel setup'!$K$7/SQRT('Funnel Data'!D241)),"")</f>
        <v>0.13350538793423172</v>
      </c>
      <c r="I241" s="310">
        <f>IF(AND(ISNUMBER('Funnel setup'!P253),D241&gt;=30,E241&lt;&gt;"*"),F241-3.090232306 *('Funnel setup'!$K$7/SQRT('Funnel Data'!D241)),"")</f>
        <v>5.0554399279397894E-3</v>
      </c>
      <c r="J241" s="310">
        <f>IF(AND(ISNUMBER('Funnel setup'!P253),D241&gt;=30,E241&lt;&gt;"*"),F241+3.090232306 *('Funnel setup'!$K$7/SQRT('Funnel Data'!D241)),"")</f>
        <v>0.16225336102279081</v>
      </c>
      <c r="K241" s="311" t="str">
        <f>IF(AND(ISNUMBER('Funnel setup'!P253),D241&gt;=30,E241&lt;&gt;"*"),IF(E241&gt;J241,'Funnel setup'!$K$14&amp;"99.8%",IF(E241&gt;H241,'Funnel setup'!$K$14&amp;"95%",IF(E241&lt;I241,'Funnel setup'!$K$15&amp;"99.8%",IF(E241&lt;G241,'Funnel setup'!$K$15&amp;"95%","")))),"")</f>
        <v/>
      </c>
    </row>
    <row r="242" spans="2:11" ht="15" x14ac:dyDescent="0.2">
      <c r="B242" s="307" t="str">
        <f>IF(ISNUMBER('Funnel setup'!P254),VLOOKUP('Funnel setup'!$P254,'Provider Commission - Raw Data'!$A:$Q,5,0),"")</f>
        <v>RNA</v>
      </c>
      <c r="C242" s="308" t="str">
        <f>IF(ISNUMBER('Funnel setup'!P254),VLOOKUP('Funnel setup'!P254,'Provider Commission - Raw Data'!$A:$Q,6,0),"")</f>
        <v>THE DUDLEY GROUP NHS FOUNDATION TRUST (RNA)</v>
      </c>
      <c r="D242" s="309">
        <f>IF(ISNUMBER('Funnel setup'!P254),VLOOKUP('Funnel setup'!P254,'Provider Commission - Raw Data'!$A:$Q,8,0),"")</f>
        <v>159</v>
      </c>
      <c r="E242" s="446">
        <f>IF(ISNUMBER('Funnel setup'!P254),VLOOKUP('Funnel setup'!P254,'Provider Commission - Raw Data'!$A:$Q,16,0),"")</f>
        <v>5.3653121999999998E-2</v>
      </c>
      <c r="F242" s="310">
        <f>IF(ISNUMBER('Funnel setup'!P254),'Funnel setup'!$K$8,"")</f>
        <v>8.3654400475365306E-2</v>
      </c>
      <c r="G242" s="310">
        <f>IF(AND(ISNUMBER('Funnel setup'!P254),D242&gt;=30,E242&lt;&gt;"*"),F242-1.959963985 *('Funnel setup'!$K$7/SQRT('Funnel Data'!D242)),"")</f>
        <v>5.8965172682236666E-2</v>
      </c>
      <c r="H242" s="310">
        <f>IF(AND(ISNUMBER('Funnel setup'!P254),D242&gt;=30,E242&lt;&gt;"*"),F242+1.959963985 *('Funnel setup'!$K$7/SQRT('Funnel Data'!D242)),"")</f>
        <v>0.10834362826849395</v>
      </c>
      <c r="I242" s="310">
        <f>IF(AND(ISNUMBER('Funnel setup'!P254),D242&gt;=30,E242&lt;&gt;"*"),F242-3.090232306 *('Funnel setup'!$K$7/SQRT('Funnel Data'!D242)),"")</f>
        <v>4.4727435530895067E-2</v>
      </c>
      <c r="J242" s="310">
        <f>IF(AND(ISNUMBER('Funnel setup'!P254),D242&gt;=30,E242&lt;&gt;"*"),F242+3.090232306 *('Funnel setup'!$K$7/SQRT('Funnel Data'!D242)),"")</f>
        <v>0.12258136541983555</v>
      </c>
      <c r="K242" s="311" t="str">
        <f>IF(AND(ISNUMBER('Funnel setup'!P254),D242&gt;=30,E242&lt;&gt;"*"),IF(E242&gt;J242,'Funnel setup'!$K$14&amp;"99.8%",IF(E242&gt;H242,'Funnel setup'!$K$14&amp;"95%",IF(E242&lt;I242,'Funnel setup'!$K$15&amp;"99.8%",IF(E242&lt;G242,'Funnel setup'!$K$15&amp;"95%","")))),"")</f>
        <v>Lower 95%</v>
      </c>
    </row>
    <row r="243" spans="2:11" ht="30" x14ac:dyDescent="0.2">
      <c r="B243" s="307" t="str">
        <f>IF(ISNUMBER('Funnel setup'!P255),VLOOKUP('Funnel setup'!$P255,'Provider Commission - Raw Data'!$A:$Q,5,0),"")</f>
        <v>RAS</v>
      </c>
      <c r="C243" s="308" t="str">
        <f>IF(ISNUMBER('Funnel setup'!P255),VLOOKUP('Funnel setup'!P255,'Provider Commission - Raw Data'!$A:$Q,6,0),"")</f>
        <v>THE HILLINGDON HOSPITALS NHS FOUNDATION TRUST (RAS)</v>
      </c>
      <c r="D243" s="309">
        <f>IF(ISNUMBER('Funnel setup'!P255),VLOOKUP('Funnel setup'!P255,'Provider Commission - Raw Data'!$A:$Q,8,0),"")</f>
        <v>47</v>
      </c>
      <c r="E243" s="446">
        <f>IF(ISNUMBER('Funnel setup'!P255),VLOOKUP('Funnel setup'!P255,'Provider Commission - Raw Data'!$A:$Q,16,0),"")</f>
        <v>9.1606622999999998E-2</v>
      </c>
      <c r="F243" s="310">
        <f>IF(ISNUMBER('Funnel setup'!P255),'Funnel setup'!$K$8,"")</f>
        <v>8.3654400475365306E-2</v>
      </c>
      <c r="G243" s="310">
        <f>IF(AND(ISNUMBER('Funnel setup'!P255),D243&gt;=30,E243&lt;&gt;"*"),F243-1.959963985 *('Funnel setup'!$K$7/SQRT('Funnel Data'!D243)),"")</f>
        <v>3.8243810962790843E-2</v>
      </c>
      <c r="H243" s="310">
        <f>IF(AND(ISNUMBER('Funnel setup'!P255),D243&gt;=30,E243&lt;&gt;"*"),F243+1.959963985 *('Funnel setup'!$K$7/SQRT('Funnel Data'!D243)),"")</f>
        <v>0.12906498998793978</v>
      </c>
      <c r="I243" s="310">
        <f>IF(AND(ISNUMBER('Funnel setup'!P255),D243&gt;=30,E243&lt;&gt;"*"),F243-3.090232306 *('Funnel setup'!$K$7/SQRT('Funnel Data'!D243)),"")</f>
        <v>1.205651815700097E-2</v>
      </c>
      <c r="J243" s="310">
        <f>IF(AND(ISNUMBER('Funnel setup'!P255),D243&gt;=30,E243&lt;&gt;"*"),F243+3.090232306 *('Funnel setup'!$K$7/SQRT('Funnel Data'!D243)),"")</f>
        <v>0.15525228279372966</v>
      </c>
      <c r="K243" s="311" t="str">
        <f>IF(AND(ISNUMBER('Funnel setup'!P255),D243&gt;=30,E243&lt;&gt;"*"),IF(E243&gt;J243,'Funnel setup'!$K$14&amp;"99.8%",IF(E243&gt;H243,'Funnel setup'!$K$14&amp;"95%",IF(E243&lt;I243,'Funnel setup'!$K$15&amp;"99.8%",IF(E243&lt;G243,'Funnel setup'!$K$15&amp;"95%","")))),"")</f>
        <v/>
      </c>
    </row>
    <row r="244" spans="2:11" ht="15" x14ac:dyDescent="0.2">
      <c r="B244" s="307" t="str">
        <f>IF(ISNUMBER('Funnel setup'!P256),VLOOKUP('Funnel setup'!$P256,'Provider Commission - Raw Data'!$A:$Q,5,0),"")</f>
        <v>RTD</v>
      </c>
      <c r="C244" s="308" t="str">
        <f>IF(ISNUMBER('Funnel setup'!P256),VLOOKUP('Funnel setup'!P256,'Provider Commission - Raw Data'!$A:$Q,6,0),"")</f>
        <v>THE NEWCASTLE UPON TYNE HOSPITALS NHS FOUNDATION TRUST (RTD)</v>
      </c>
      <c r="D244" s="309">
        <f>IF(ISNUMBER('Funnel setup'!P256),VLOOKUP('Funnel setup'!P256,'Provider Commission - Raw Data'!$A:$Q,8,0),"")</f>
        <v>36</v>
      </c>
      <c r="E244" s="446">
        <f>IF(ISNUMBER('Funnel setup'!P256),VLOOKUP('Funnel setup'!P256,'Provider Commission - Raw Data'!$A:$Q,16,0),"")</f>
        <v>9.2231270000000004E-2</v>
      </c>
      <c r="F244" s="310">
        <f>IF(ISNUMBER('Funnel setup'!P256),'Funnel setup'!$K$8,"")</f>
        <v>8.3654400475365306E-2</v>
      </c>
      <c r="G244" s="310">
        <f>IF(AND(ISNUMBER('Funnel setup'!P256),D244&gt;=30,E244&lt;&gt;"*"),F244-1.959963985 *('Funnel setup'!$K$7/SQRT('Funnel Data'!D244)),"")</f>
        <v>3.1767847658897889E-2</v>
      </c>
      <c r="H244" s="310">
        <f>IF(AND(ISNUMBER('Funnel setup'!P256),D244&gt;=30,E244&lt;&gt;"*"),F244+1.959963985 *('Funnel setup'!$K$7/SQRT('Funnel Data'!D244)),"")</f>
        <v>0.13554095329183272</v>
      </c>
      <c r="I244" s="310">
        <f>IF(AND(ISNUMBER('Funnel setup'!P256),D244&gt;=30,E244&lt;&gt;"*"),F244-3.090232306 *('Funnel setup'!$K$7/SQRT('Funnel Data'!D244)),"")</f>
        <v>1.8460085928874714E-3</v>
      </c>
      <c r="J244" s="310">
        <f>IF(AND(ISNUMBER('Funnel setup'!P256),D244&gt;=30,E244&lt;&gt;"*"),F244+3.090232306 *('Funnel setup'!$K$7/SQRT('Funnel Data'!D244)),"")</f>
        <v>0.16546279235784314</v>
      </c>
      <c r="K244" s="311" t="str">
        <f>IF(AND(ISNUMBER('Funnel setup'!P256),D244&gt;=30,E244&lt;&gt;"*"),IF(E244&gt;J244,'Funnel setup'!$K$14&amp;"99.8%",IF(E244&gt;H244,'Funnel setup'!$K$14&amp;"95%",IF(E244&lt;I244,'Funnel setup'!$K$15&amp;"99.8%",IF(E244&lt;G244,'Funnel setup'!$K$15&amp;"95%","")))),"")</f>
        <v/>
      </c>
    </row>
    <row r="245" spans="2:11" ht="30" x14ac:dyDescent="0.2">
      <c r="B245" s="307" t="str">
        <f>IF(ISNUMBER('Funnel setup'!P257),VLOOKUP('Funnel setup'!$P257,'Provider Commission - Raw Data'!$A:$Q,5,0),"")</f>
        <v>RQW</v>
      </c>
      <c r="C245" s="308" t="str">
        <f>IF(ISNUMBER('Funnel setup'!P257),VLOOKUP('Funnel setup'!P257,'Provider Commission - Raw Data'!$A:$Q,6,0),"")</f>
        <v>THE PRINCESS ALEXANDRA HOSPITAL NHS TRUST (RQW)</v>
      </c>
      <c r="D245" s="309">
        <f>IF(ISNUMBER('Funnel setup'!P257),VLOOKUP('Funnel setup'!P257,'Provider Commission - Raw Data'!$A:$Q,8,0),"")</f>
        <v>57</v>
      </c>
      <c r="E245" s="446">
        <f>IF(ISNUMBER('Funnel setup'!P257),VLOOKUP('Funnel setup'!P257,'Provider Commission - Raw Data'!$A:$Q,16,0),"")</f>
        <v>3.2337428000000001E-2</v>
      </c>
      <c r="F245" s="310">
        <f>IF(ISNUMBER('Funnel setup'!P257),'Funnel setup'!$K$8,"")</f>
        <v>8.3654400475365306E-2</v>
      </c>
      <c r="G245" s="310">
        <f>IF(AND(ISNUMBER('Funnel setup'!P257),D245&gt;=30,E245&lt;&gt;"*"),F245-1.959963985 *('Funnel setup'!$K$7/SQRT('Funnel Data'!D245)),"")</f>
        <v>4.2419149614180016E-2</v>
      </c>
      <c r="H245" s="310">
        <f>IF(AND(ISNUMBER('Funnel setup'!P257),D245&gt;=30,E245&lt;&gt;"*"),F245+1.959963985 *('Funnel setup'!$K$7/SQRT('Funnel Data'!D245)),"")</f>
        <v>0.1248896513365506</v>
      </c>
      <c r="I245" s="310">
        <f>IF(AND(ISNUMBER('Funnel setup'!P257),D245&gt;=30,E245&lt;&gt;"*"),F245-3.090232306 *('Funnel setup'!$K$7/SQRT('Funnel Data'!D245)),"")</f>
        <v>1.8639683198685808E-2</v>
      </c>
      <c r="J245" s="310">
        <f>IF(AND(ISNUMBER('Funnel setup'!P257),D245&gt;=30,E245&lt;&gt;"*"),F245+3.090232306 *('Funnel setup'!$K$7/SQRT('Funnel Data'!D245)),"")</f>
        <v>0.1486691177520448</v>
      </c>
      <c r="K245" s="311" t="str">
        <f>IF(AND(ISNUMBER('Funnel setup'!P257),D245&gt;=30,E245&lt;&gt;"*"),IF(E245&gt;J245,'Funnel setup'!$K$14&amp;"99.8%",IF(E245&gt;H245,'Funnel setup'!$K$14&amp;"95%",IF(E245&lt;I245,'Funnel setup'!$K$15&amp;"99.8%",IF(E245&lt;G245,'Funnel setup'!$K$15&amp;"95%","")))),"")</f>
        <v>Lower 95%</v>
      </c>
    </row>
    <row r="246" spans="2:11" ht="15" x14ac:dyDescent="0.2">
      <c r="B246" s="307" t="str">
        <f>IF(ISNUMBER('Funnel setup'!P258),VLOOKUP('Funnel setup'!$P258,'Provider Commission - Raw Data'!$A:$Q,5,0),"")</f>
        <v>RCX</v>
      </c>
      <c r="C246" s="308" t="str">
        <f>IF(ISNUMBER('Funnel setup'!P258),VLOOKUP('Funnel setup'!P258,'Provider Commission - Raw Data'!$A:$Q,6,0),"")</f>
        <v>THE QUEEN ELIZABETH HOSPITAL, KING'S LYNN, NHS FOUNDATION TRUST (RCX)</v>
      </c>
      <c r="D246" s="309">
        <f>IF(ISNUMBER('Funnel setup'!P258),VLOOKUP('Funnel setup'!P258,'Provider Commission - Raw Data'!$A:$Q,8,0),"")</f>
        <v>61</v>
      </c>
      <c r="E246" s="446">
        <f>IF(ISNUMBER('Funnel setup'!P258),VLOOKUP('Funnel setup'!P258,'Provider Commission - Raw Data'!$A:$Q,16,0),"")</f>
        <v>7.2714572000000005E-2</v>
      </c>
      <c r="F246" s="310">
        <f>IF(ISNUMBER('Funnel setup'!P258),'Funnel setup'!$K$8,"")</f>
        <v>8.3654400475365306E-2</v>
      </c>
      <c r="G246" s="310">
        <f>IF(AND(ISNUMBER('Funnel setup'!P258),D246&gt;=30,E246&lt;&gt;"*"),F246-1.959963985 *('Funnel setup'!$K$7/SQRT('Funnel Data'!D246)),"")</f>
        <v>4.3794046476801879E-2</v>
      </c>
      <c r="H246" s="310">
        <f>IF(AND(ISNUMBER('Funnel setup'!P258),D246&gt;=30,E246&lt;&gt;"*"),F246+1.959963985 *('Funnel setup'!$K$7/SQRT('Funnel Data'!D246)),"")</f>
        <v>0.12351475447392873</v>
      </c>
      <c r="I246" s="310">
        <f>IF(AND(ISNUMBER('Funnel setup'!P258),D246&gt;=30,E246&lt;&gt;"*"),F246-3.090232306 *('Funnel setup'!$K$7/SQRT('Funnel Data'!D246)),"")</f>
        <v>2.0807452981604607E-2</v>
      </c>
      <c r="J246" s="310">
        <f>IF(AND(ISNUMBER('Funnel setup'!P258),D246&gt;=30,E246&lt;&gt;"*"),F246+3.090232306 *('Funnel setup'!$K$7/SQRT('Funnel Data'!D246)),"")</f>
        <v>0.14650134796912601</v>
      </c>
      <c r="K246" s="311" t="str">
        <f>IF(AND(ISNUMBER('Funnel setup'!P258),D246&gt;=30,E246&lt;&gt;"*"),IF(E246&gt;J246,'Funnel setup'!$K$14&amp;"99.8%",IF(E246&gt;H246,'Funnel setup'!$K$14&amp;"95%",IF(E246&lt;I246,'Funnel setup'!$K$15&amp;"99.8%",IF(E246&lt;G246,'Funnel setup'!$K$15&amp;"95%","")))),"")</f>
        <v/>
      </c>
    </row>
    <row r="247" spans="2:11" ht="30" x14ac:dyDescent="0.2">
      <c r="B247" s="307" t="str">
        <f>IF(ISNUMBER('Funnel setup'!P259),VLOOKUP('Funnel setup'!$P259,'Provider Commission - Raw Data'!$A:$Q,5,0),"")</f>
        <v>RFR</v>
      </c>
      <c r="C247" s="308" t="str">
        <f>IF(ISNUMBER('Funnel setup'!P259),VLOOKUP('Funnel setup'!P259,'Provider Commission - Raw Data'!$A:$Q,6,0),"")</f>
        <v>THE ROTHERHAM NHS FOUNDATION TRUST (RFR)</v>
      </c>
      <c r="D247" s="309">
        <f>IF(ISNUMBER('Funnel setup'!P259),VLOOKUP('Funnel setup'!P259,'Provider Commission - Raw Data'!$A:$Q,8,0),"")</f>
        <v>66</v>
      </c>
      <c r="E247" s="446">
        <f>IF(ISNUMBER('Funnel setup'!P259),VLOOKUP('Funnel setup'!P259,'Provider Commission - Raw Data'!$A:$Q,16,0),"")</f>
        <v>0.10264369299999999</v>
      </c>
      <c r="F247" s="310">
        <f>IF(ISNUMBER('Funnel setup'!P259),'Funnel setup'!$K$8,"")</f>
        <v>8.3654400475365306E-2</v>
      </c>
      <c r="G247" s="310">
        <f>IF(AND(ISNUMBER('Funnel setup'!P259),D247&gt;=30,E247&lt;&gt;"*"),F247-1.959963985 *('Funnel setup'!$K$7/SQRT('Funnel Data'!D247)),"")</f>
        <v>4.5333641587624082E-2</v>
      </c>
      <c r="H247" s="310">
        <f>IF(AND(ISNUMBER('Funnel setup'!P259),D247&gt;=30,E247&lt;&gt;"*"),F247+1.959963985 *('Funnel setup'!$K$7/SQRT('Funnel Data'!D247)),"")</f>
        <v>0.12197515936310653</v>
      </c>
      <c r="I247" s="310">
        <f>IF(AND(ISNUMBER('Funnel setup'!P259),D247&gt;=30,E247&lt;&gt;"*"),F247-3.090232306 *('Funnel setup'!$K$7/SQRT('Funnel Data'!D247)),"")</f>
        <v>2.3234898886750878E-2</v>
      </c>
      <c r="J247" s="310">
        <f>IF(AND(ISNUMBER('Funnel setup'!P259),D247&gt;=30,E247&lt;&gt;"*"),F247+3.090232306 *('Funnel setup'!$K$7/SQRT('Funnel Data'!D247)),"")</f>
        <v>0.14407390206397974</v>
      </c>
      <c r="K247" s="311" t="str">
        <f>IF(AND(ISNUMBER('Funnel setup'!P259),D247&gt;=30,E247&lt;&gt;"*"),IF(E247&gt;J247,'Funnel setup'!$K$14&amp;"99.8%",IF(E247&gt;H247,'Funnel setup'!$K$14&amp;"95%",IF(E247&lt;I247,'Funnel setup'!$K$15&amp;"99.8%",IF(E247&lt;G247,'Funnel setup'!$K$15&amp;"95%","")))),"")</f>
        <v/>
      </c>
    </row>
    <row r="248" spans="2:11" ht="15" x14ac:dyDescent="0.2">
      <c r="B248" s="307" t="str">
        <f>IF(ISNUMBER('Funnel setup'!P260),VLOOKUP('Funnel setup'!$P260,'Provider Commission - Raw Data'!$A:$Q,5,0),"")</f>
        <v>RDZ</v>
      </c>
      <c r="C248" s="308" t="str">
        <f>IF(ISNUMBER('Funnel setup'!P260),VLOOKUP('Funnel setup'!P260,'Provider Commission - Raw Data'!$A:$Q,6,0),"")</f>
        <v>THE ROYAL BOURNEMOUTH AND CHRISTCHURCH HOSPITALS NHS FOUNDATION TRUST (RDZ)</v>
      </c>
      <c r="D248" s="309">
        <f>IF(ISNUMBER('Funnel setup'!P260),VLOOKUP('Funnel setup'!P260,'Provider Commission - Raw Data'!$A:$Q,8,0),"")</f>
        <v>46</v>
      </c>
      <c r="E248" s="446">
        <f>IF(ISNUMBER('Funnel setup'!P260),VLOOKUP('Funnel setup'!P260,'Provider Commission - Raw Data'!$A:$Q,16,0),"")</f>
        <v>8.4152780999999996E-2</v>
      </c>
      <c r="F248" s="310">
        <f>IF(ISNUMBER('Funnel setup'!P260),'Funnel setup'!$K$8,"")</f>
        <v>8.3654400475365306E-2</v>
      </c>
      <c r="G248" s="310">
        <f>IF(AND(ISNUMBER('Funnel setup'!P260),D248&gt;=30,E248&lt;&gt;"*"),F248-1.959963985 *('Funnel setup'!$K$7/SQRT('Funnel Data'!D248)),"")</f>
        <v>3.7752871402999245E-2</v>
      </c>
      <c r="H248" s="310">
        <f>IF(AND(ISNUMBER('Funnel setup'!P260),D248&gt;=30,E248&lt;&gt;"*"),F248+1.959963985 *('Funnel setup'!$K$7/SQRT('Funnel Data'!D248)),"")</f>
        <v>0.12955592954773137</v>
      </c>
      <c r="I248" s="310">
        <f>IF(AND(ISNUMBER('Funnel setup'!P260),D248&gt;=30,E248&lt;&gt;"*"),F248-3.090232306 *('Funnel setup'!$K$7/SQRT('Funnel Data'!D248)),"")</f>
        <v>1.128246450113167E-2</v>
      </c>
      <c r="J248" s="310">
        <f>IF(AND(ISNUMBER('Funnel setup'!P260),D248&gt;=30,E248&lt;&gt;"*"),F248+3.090232306 *('Funnel setup'!$K$7/SQRT('Funnel Data'!D248)),"")</f>
        <v>0.15602633644959896</v>
      </c>
      <c r="K248" s="311" t="str">
        <f>IF(AND(ISNUMBER('Funnel setup'!P260),D248&gt;=30,E248&lt;&gt;"*"),IF(E248&gt;J248,'Funnel setup'!$K$14&amp;"99.8%",IF(E248&gt;H248,'Funnel setup'!$K$14&amp;"95%",IF(E248&lt;I248,'Funnel setup'!$K$15&amp;"99.8%",IF(E248&lt;G248,'Funnel setup'!$K$15&amp;"95%","")))),"")</f>
        <v/>
      </c>
    </row>
    <row r="249" spans="2:11" ht="15" x14ac:dyDescent="0.2">
      <c r="B249" s="307" t="str">
        <f>IF(ISNUMBER('Funnel setup'!P261),VLOOKUP('Funnel setup'!$P261,'Provider Commission - Raw Data'!$A:$Q,5,0),"")</f>
        <v>RL4</v>
      </c>
      <c r="C249" s="308" t="str">
        <f>IF(ISNUMBER('Funnel setup'!P261),VLOOKUP('Funnel setup'!P261,'Provider Commission - Raw Data'!$A:$Q,6,0),"")</f>
        <v>THE ROYAL WOLVERHAMPTON NHS TRUST (RL4)</v>
      </c>
      <c r="D249" s="309">
        <f>IF(ISNUMBER('Funnel setup'!P261),VLOOKUP('Funnel setup'!P261,'Provider Commission - Raw Data'!$A:$Q,8,0),"")</f>
        <v>132</v>
      </c>
      <c r="E249" s="446">
        <f>IF(ISNUMBER('Funnel setup'!P261),VLOOKUP('Funnel setup'!P261,'Provider Commission - Raw Data'!$A:$Q,16,0),"")</f>
        <v>8.4475421999999994E-2</v>
      </c>
      <c r="F249" s="310">
        <f>IF(ISNUMBER('Funnel setup'!P261),'Funnel setup'!$K$8,"")</f>
        <v>8.3654400475365306E-2</v>
      </c>
      <c r="G249" s="310">
        <f>IF(AND(ISNUMBER('Funnel setup'!P261),D249&gt;=30,E249&lt;&gt;"*"),F249-1.959963985 *('Funnel setup'!$K$7/SQRT('Funnel Data'!D249)),"")</f>
        <v>5.6557532005628824E-2</v>
      </c>
      <c r="H249" s="310">
        <f>IF(AND(ISNUMBER('Funnel setup'!P261),D249&gt;=30,E249&lt;&gt;"*"),F249+1.959963985 *('Funnel setup'!$K$7/SQRT('Funnel Data'!D249)),"")</f>
        <v>0.11075126894510179</v>
      </c>
      <c r="I249" s="310">
        <f>IF(AND(ISNUMBER('Funnel setup'!P261),D249&gt;=30,E249&lt;&gt;"*"),F249-3.090232306 *('Funnel setup'!$K$7/SQRT('Funnel Data'!D249)),"")</f>
        <v>4.0931361186144669E-2</v>
      </c>
      <c r="J249" s="310">
        <f>IF(AND(ISNUMBER('Funnel setup'!P261),D249&gt;=30,E249&lt;&gt;"*"),F249+3.090232306 *('Funnel setup'!$K$7/SQRT('Funnel Data'!D249)),"")</f>
        <v>0.12637743976458593</v>
      </c>
      <c r="K249" s="311" t="str">
        <f>IF(AND(ISNUMBER('Funnel setup'!P261),D249&gt;=30,E249&lt;&gt;"*"),IF(E249&gt;J249,'Funnel setup'!$K$14&amp;"99.8%",IF(E249&gt;H249,'Funnel setup'!$K$14&amp;"95%",IF(E249&lt;I249,'Funnel setup'!$K$15&amp;"99.8%",IF(E249&lt;G249,'Funnel setup'!$K$15&amp;"95%","")))),"")</f>
        <v/>
      </c>
    </row>
    <row r="250" spans="2:11" ht="15" x14ac:dyDescent="0.2">
      <c r="B250" s="307" t="str">
        <f>IF(ISNUMBER('Funnel setup'!P262),VLOOKUP('Funnel setup'!$P262,'Provider Commission - Raw Data'!$A:$Q,5,0),"")</f>
        <v>NN801</v>
      </c>
      <c r="C250" s="308" t="str">
        <f>IF(ISNUMBER('Funnel setup'!P262),VLOOKUP('Funnel setup'!P262,'Provider Commission - Raw Data'!$A:$Q,6,0),"")</f>
        <v>THE SPENCER WING (RAMSGATE ROAD) (NN801)</v>
      </c>
      <c r="D250" s="309" t="str">
        <f>IF(ISNUMBER('Funnel setup'!P262),VLOOKUP('Funnel setup'!P262,'Provider Commission - Raw Data'!$A:$Q,8,0),"")</f>
        <v>*</v>
      </c>
      <c r="E250" s="446" t="str">
        <f>IF(ISNUMBER('Funnel setup'!P262),VLOOKUP('Funnel setup'!P262,'Provider Commission - Raw Data'!$A:$Q,16,0),"")</f>
        <v>*</v>
      </c>
      <c r="F250" s="310">
        <f>IF(ISNUMBER('Funnel setup'!P262),'Funnel setup'!$K$8,"")</f>
        <v>8.3654400475365306E-2</v>
      </c>
      <c r="G250" s="310" t="str">
        <f>IF(AND(ISNUMBER('Funnel setup'!P262),D250&gt;=30,E250&lt;&gt;"*"),F250-1.959963985 *('Funnel setup'!$K$7/SQRT('Funnel Data'!D250)),"")</f>
        <v/>
      </c>
      <c r="H250" s="310" t="str">
        <f>IF(AND(ISNUMBER('Funnel setup'!P262),D250&gt;=30,E250&lt;&gt;"*"),F250+1.959963985 *('Funnel setup'!$K$7/SQRT('Funnel Data'!D250)),"")</f>
        <v/>
      </c>
      <c r="I250" s="310" t="str">
        <f>IF(AND(ISNUMBER('Funnel setup'!P262),D250&gt;=30,E250&lt;&gt;"*"),F250-3.090232306 *('Funnel setup'!$K$7/SQRT('Funnel Data'!D250)),"")</f>
        <v/>
      </c>
      <c r="J250" s="310" t="str">
        <f>IF(AND(ISNUMBER('Funnel setup'!P262),D250&gt;=30,E250&lt;&gt;"*"),F250+3.090232306 *('Funnel setup'!$K$7/SQRT('Funnel Data'!D250)),"")</f>
        <v/>
      </c>
      <c r="K250" s="311" t="str">
        <f>IF(AND(ISNUMBER('Funnel setup'!P262),D250&gt;=30,E250&lt;&gt;"*"),IF(E250&gt;J250,'Funnel setup'!$K$14&amp;"99.8%",IF(E250&gt;H250,'Funnel setup'!$K$14&amp;"95%",IF(E250&lt;I250,'Funnel setup'!$K$15&amp;"99.8%",IF(E250&lt;G250,'Funnel setup'!$K$15&amp;"95%","")))),"")</f>
        <v/>
      </c>
    </row>
    <row r="251" spans="2:11" ht="15" x14ac:dyDescent="0.2">
      <c r="B251" s="307" t="str">
        <f>IF(ISNUMBER('Funnel setup'!P263),VLOOKUP('Funnel setup'!$P263,'Provider Commission - Raw Data'!$A:$Q,5,0),"")</f>
        <v>NVC44</v>
      </c>
      <c r="C251" s="308" t="str">
        <f>IF(ISNUMBER('Funnel setup'!P263),VLOOKUP('Funnel setup'!P263,'Provider Commission - Raw Data'!$A:$Q,6,0),"")</f>
        <v>THE WESTBOURNE CENTRE (NVC44)</v>
      </c>
      <c r="D251" s="309" t="str">
        <f>IF(ISNUMBER('Funnel setup'!P263),VLOOKUP('Funnel setup'!P263,'Provider Commission - Raw Data'!$A:$Q,8,0),"")</f>
        <v>*</v>
      </c>
      <c r="E251" s="446" t="str">
        <f>IF(ISNUMBER('Funnel setup'!P263),VLOOKUP('Funnel setup'!P263,'Provider Commission - Raw Data'!$A:$Q,16,0),"")</f>
        <v>*</v>
      </c>
      <c r="F251" s="310">
        <f>IF(ISNUMBER('Funnel setup'!P263),'Funnel setup'!$K$8,"")</f>
        <v>8.3654400475365306E-2</v>
      </c>
      <c r="G251" s="310" t="str">
        <f>IF(AND(ISNUMBER('Funnel setup'!P263),D251&gt;=30,E251&lt;&gt;"*"),F251-1.959963985 *('Funnel setup'!$K$7/SQRT('Funnel Data'!D251)),"")</f>
        <v/>
      </c>
      <c r="H251" s="310" t="str">
        <f>IF(AND(ISNUMBER('Funnel setup'!P263),D251&gt;=30,E251&lt;&gt;"*"),F251+1.959963985 *('Funnel setup'!$K$7/SQRT('Funnel Data'!D251)),"")</f>
        <v/>
      </c>
      <c r="I251" s="310" t="str">
        <f>IF(AND(ISNUMBER('Funnel setup'!P263),D251&gt;=30,E251&lt;&gt;"*"),F251-3.090232306 *('Funnel setup'!$K$7/SQRT('Funnel Data'!D251)),"")</f>
        <v/>
      </c>
      <c r="J251" s="310" t="str">
        <f>IF(AND(ISNUMBER('Funnel setup'!P263),D251&gt;=30,E251&lt;&gt;"*"),F251+3.090232306 *('Funnel setup'!$K$7/SQRT('Funnel Data'!D251)),"")</f>
        <v/>
      </c>
      <c r="K251" s="311" t="str">
        <f>IF(AND(ISNUMBER('Funnel setup'!P263),D251&gt;=30,E251&lt;&gt;"*"),IF(E251&gt;J251,'Funnel setup'!$K$14&amp;"99.8%",IF(E251&gt;H251,'Funnel setup'!$K$14&amp;"95%",IF(E251&lt;I251,'Funnel setup'!$K$15&amp;"99.8%",IF(E251&lt;G251,'Funnel setup'!$K$15&amp;"95%","")))),"")</f>
        <v/>
      </c>
    </row>
    <row r="252" spans="2:11" ht="15" x14ac:dyDescent="0.2">
      <c r="B252" s="307" t="str">
        <f>IF(ISNUMBER('Funnel setup'!P264),VLOOKUP('Funnel setup'!$P264,'Provider Commission - Raw Data'!$A:$Q,5,0),"")</f>
        <v>NVC20</v>
      </c>
      <c r="C252" s="308" t="str">
        <f>IF(ISNUMBER('Funnel setup'!P264),VLOOKUP('Funnel setup'!P264,'Provider Commission - Raw Data'!$A:$Q,6,0),"")</f>
        <v>THE YORKSHIRE CLINIC (NVC20)</v>
      </c>
      <c r="D252" s="309">
        <f>IF(ISNUMBER('Funnel setup'!P264),VLOOKUP('Funnel setup'!P264,'Provider Commission - Raw Data'!$A:$Q,8,0),"")</f>
        <v>30</v>
      </c>
      <c r="E252" s="446">
        <f>IF(ISNUMBER('Funnel setup'!P264),VLOOKUP('Funnel setup'!P264,'Provider Commission - Raw Data'!$A:$Q,16,0),"")</f>
        <v>0.103862631</v>
      </c>
      <c r="F252" s="310">
        <f>IF(ISNUMBER('Funnel setup'!P264),'Funnel setup'!$K$8,"")</f>
        <v>8.3654400475365306E-2</v>
      </c>
      <c r="G252" s="310">
        <f>IF(AND(ISNUMBER('Funnel setup'!P264),D252&gt;=30,E252&lt;&gt;"*"),F252-1.959963985 *('Funnel setup'!$K$7/SQRT('Funnel Data'!D252)),"")</f>
        <v>2.6815529657840474E-2</v>
      </c>
      <c r="H252" s="310">
        <f>IF(AND(ISNUMBER('Funnel setup'!P264),D252&gt;=30,E252&lt;&gt;"*"),F252+1.959963985 *('Funnel setup'!$K$7/SQRT('Funnel Data'!D252)),"")</f>
        <v>0.14049327129289013</v>
      </c>
      <c r="I252" s="310">
        <f>IF(AND(ISNUMBER('Funnel setup'!P264),D252&gt;=30,E252&lt;&gt;"*"),F252-3.090232306 *('Funnel setup'!$K$7/SQRT('Funnel Data'!D252)),"")</f>
        <v>-5.9622027791459559E-3</v>
      </c>
      <c r="J252" s="310">
        <f>IF(AND(ISNUMBER('Funnel setup'!P264),D252&gt;=30,E252&lt;&gt;"*"),F252+3.090232306 *('Funnel setup'!$K$7/SQRT('Funnel Data'!D252)),"")</f>
        <v>0.17327100372987658</v>
      </c>
      <c r="K252" s="311" t="str">
        <f>IF(AND(ISNUMBER('Funnel setup'!P264),D252&gt;=30,E252&lt;&gt;"*"),IF(E252&gt;J252,'Funnel setup'!$K$14&amp;"99.8%",IF(E252&gt;H252,'Funnel setup'!$K$14&amp;"95%",IF(E252&lt;I252,'Funnel setup'!$K$15&amp;"99.8%",IF(E252&lt;G252,'Funnel setup'!$K$15&amp;"95%","")))),"")</f>
        <v/>
      </c>
    </row>
    <row r="253" spans="2:11" ht="30" x14ac:dyDescent="0.2">
      <c r="B253" s="307" t="str">
        <f>IF(ISNUMBER('Funnel setup'!P265),VLOOKUP('Funnel setup'!$P265,'Provider Commission - Raw Data'!$A:$Q,5,0),"")</f>
        <v>RA9</v>
      </c>
      <c r="C253" s="308" t="str">
        <f>IF(ISNUMBER('Funnel setup'!P265),VLOOKUP('Funnel setup'!P265,'Provider Commission - Raw Data'!$A:$Q,6,0),"")</f>
        <v>TORBAY AND SOUTH DEVON NHS FOUNDATION TRUST (RA9)</v>
      </c>
      <c r="D253" s="309">
        <f>IF(ISNUMBER('Funnel setup'!P265),VLOOKUP('Funnel setup'!P265,'Provider Commission - Raw Data'!$A:$Q,8,0),"")</f>
        <v>24</v>
      </c>
      <c r="E253" s="446" t="str">
        <f>IF(ISNUMBER('Funnel setup'!P265),VLOOKUP('Funnel setup'!P265,'Provider Commission - Raw Data'!$A:$Q,16,0),"")</f>
        <v>*</v>
      </c>
      <c r="F253" s="310">
        <f>IF(ISNUMBER('Funnel setup'!P265),'Funnel setup'!$K$8,"")</f>
        <v>8.3654400475365306E-2</v>
      </c>
      <c r="G253" s="310" t="str">
        <f>IF(AND(ISNUMBER('Funnel setup'!P265),D253&gt;=30,E253&lt;&gt;"*"),F253-1.959963985 *('Funnel setup'!$K$7/SQRT('Funnel Data'!D253)),"")</f>
        <v/>
      </c>
      <c r="H253" s="310" t="str">
        <f>IF(AND(ISNUMBER('Funnel setup'!P265),D253&gt;=30,E253&lt;&gt;"*"),F253+1.959963985 *('Funnel setup'!$K$7/SQRT('Funnel Data'!D253)),"")</f>
        <v/>
      </c>
      <c r="I253" s="310" t="str">
        <f>IF(AND(ISNUMBER('Funnel setup'!P265),D253&gt;=30,E253&lt;&gt;"*"),F253-3.090232306 *('Funnel setup'!$K$7/SQRT('Funnel Data'!D253)),"")</f>
        <v/>
      </c>
      <c r="J253" s="310" t="str">
        <f>IF(AND(ISNUMBER('Funnel setup'!P265),D253&gt;=30,E253&lt;&gt;"*"),F253+3.090232306 *('Funnel setup'!$K$7/SQRT('Funnel Data'!D253)),"")</f>
        <v/>
      </c>
      <c r="K253" s="311" t="str">
        <f>IF(AND(ISNUMBER('Funnel setup'!P265),D253&gt;=30,E253&lt;&gt;"*"),IF(E253&gt;J253,'Funnel setup'!$K$14&amp;"99.8%",IF(E253&gt;H253,'Funnel setup'!$K$14&amp;"95%",IF(E253&lt;I253,'Funnel setup'!$K$15&amp;"99.8%",IF(E253&lt;G253,'Funnel setup'!$K$15&amp;"95%","")))),"")</f>
        <v/>
      </c>
    </row>
    <row r="254" spans="2:11" ht="30" x14ac:dyDescent="0.2">
      <c r="B254" s="307" t="str">
        <f>IF(ISNUMBER('Funnel setup'!P266),VLOOKUP('Funnel setup'!$P266,'Provider Commission - Raw Data'!$A:$Q,5,0),"")</f>
        <v>RWD</v>
      </c>
      <c r="C254" s="308" t="str">
        <f>IF(ISNUMBER('Funnel setup'!P266),VLOOKUP('Funnel setup'!P266,'Provider Commission - Raw Data'!$A:$Q,6,0),"")</f>
        <v>UNITED LINCOLNSHIRE HOSPITALS NHS TRUST (RWD)</v>
      </c>
      <c r="D254" s="309">
        <f>IF(ISNUMBER('Funnel setup'!P266),VLOOKUP('Funnel setup'!P266,'Provider Commission - Raw Data'!$A:$Q,8,0),"")</f>
        <v>141</v>
      </c>
      <c r="E254" s="446">
        <f>IF(ISNUMBER('Funnel setup'!P266),VLOOKUP('Funnel setup'!P266,'Provider Commission - Raw Data'!$A:$Q,16,0),"")</f>
        <v>7.3690227999999997E-2</v>
      </c>
      <c r="F254" s="310">
        <f>IF(ISNUMBER('Funnel setup'!P266),'Funnel setup'!$K$8,"")</f>
        <v>8.3654400475365306E-2</v>
      </c>
      <c r="G254" s="310">
        <f>IF(AND(ISNUMBER('Funnel setup'!P266),D254&gt;=30,E254&lt;&gt;"*"),F254-1.959963985 *('Funnel setup'!$K$7/SQRT('Funnel Data'!D254)),"")</f>
        <v>5.7436584396220847E-2</v>
      </c>
      <c r="H254" s="310">
        <f>IF(AND(ISNUMBER('Funnel setup'!P266),D254&gt;=30,E254&lt;&gt;"*"),F254+1.959963985 *('Funnel setup'!$K$7/SQRT('Funnel Data'!D254)),"")</f>
        <v>0.10987221655450977</v>
      </c>
      <c r="I254" s="310">
        <f>IF(AND(ISNUMBER('Funnel setup'!P266),D254&gt;=30,E254&lt;&gt;"*"),F254-3.090232306 *('Funnel setup'!$K$7/SQRT('Funnel Data'!D254)),"")</f>
        <v>4.2317343845450509E-2</v>
      </c>
      <c r="J254" s="310">
        <f>IF(AND(ISNUMBER('Funnel setup'!P266),D254&gt;=30,E254&lt;&gt;"*"),F254+3.090232306 *('Funnel setup'!$K$7/SQRT('Funnel Data'!D254)),"")</f>
        <v>0.1249914571052801</v>
      </c>
      <c r="K254" s="311" t="str">
        <f>IF(AND(ISNUMBER('Funnel setup'!P266),D254&gt;=30,E254&lt;&gt;"*"),IF(E254&gt;J254,'Funnel setup'!$K$14&amp;"99.8%",IF(E254&gt;H254,'Funnel setup'!$K$14&amp;"95%",IF(E254&lt;I254,'Funnel setup'!$K$15&amp;"99.8%",IF(E254&lt;G254,'Funnel setup'!$K$15&amp;"95%","")))),"")</f>
        <v/>
      </c>
    </row>
    <row r="255" spans="2:11" ht="30" x14ac:dyDescent="0.2">
      <c r="B255" s="307" t="str">
        <f>IF(ISNUMBER('Funnel setup'!P267),VLOOKUP('Funnel setup'!$P267,'Provider Commission - Raw Data'!$A:$Q,5,0),"")</f>
        <v>RRV</v>
      </c>
      <c r="C255" s="308" t="str">
        <f>IF(ISNUMBER('Funnel setup'!P267),VLOOKUP('Funnel setup'!P267,'Provider Commission - Raw Data'!$A:$Q,6,0),"")</f>
        <v>UNIVERSITY COLLEGE LONDON HOSPITALS NHS FOUNDATION TRUST (RRV)</v>
      </c>
      <c r="D255" s="309">
        <f>IF(ISNUMBER('Funnel setup'!P267),VLOOKUP('Funnel setup'!P267,'Provider Commission - Raw Data'!$A:$Q,8,0),"")</f>
        <v>22</v>
      </c>
      <c r="E255" s="446" t="str">
        <f>IF(ISNUMBER('Funnel setup'!P267),VLOOKUP('Funnel setup'!P267,'Provider Commission - Raw Data'!$A:$Q,16,0),"")</f>
        <v>*</v>
      </c>
      <c r="F255" s="310">
        <f>IF(ISNUMBER('Funnel setup'!P267),'Funnel setup'!$K$8,"")</f>
        <v>8.3654400475365306E-2</v>
      </c>
      <c r="G255" s="310" t="str">
        <f>IF(AND(ISNUMBER('Funnel setup'!P267),D255&gt;=30,E255&lt;&gt;"*"),F255-1.959963985 *('Funnel setup'!$K$7/SQRT('Funnel Data'!D255)),"")</f>
        <v/>
      </c>
      <c r="H255" s="310" t="str">
        <f>IF(AND(ISNUMBER('Funnel setup'!P267),D255&gt;=30,E255&lt;&gt;"*"),F255+1.959963985 *('Funnel setup'!$K$7/SQRT('Funnel Data'!D255)),"")</f>
        <v/>
      </c>
      <c r="I255" s="310" t="str">
        <f>IF(AND(ISNUMBER('Funnel setup'!P267),D255&gt;=30,E255&lt;&gt;"*"),F255-3.090232306 *('Funnel setup'!$K$7/SQRT('Funnel Data'!D255)),"")</f>
        <v/>
      </c>
      <c r="J255" s="310" t="str">
        <f>IF(AND(ISNUMBER('Funnel setup'!P267),D255&gt;=30,E255&lt;&gt;"*"),F255+3.090232306 *('Funnel setup'!$K$7/SQRT('Funnel Data'!D255)),"")</f>
        <v/>
      </c>
      <c r="K255" s="311" t="str">
        <f>IF(AND(ISNUMBER('Funnel setup'!P267),D255&gt;=30,E255&lt;&gt;"*"),IF(E255&gt;J255,'Funnel setup'!$K$14&amp;"99.8%",IF(E255&gt;H255,'Funnel setup'!$K$14&amp;"95%",IF(E255&lt;I255,'Funnel setup'!$K$15&amp;"99.8%",IF(E255&lt;G255,'Funnel setup'!$K$15&amp;"95%","")))),"")</f>
        <v/>
      </c>
    </row>
    <row r="256" spans="2:11" ht="30" x14ac:dyDescent="0.2">
      <c r="B256" s="307" t="str">
        <f>IF(ISNUMBER('Funnel setup'!P268),VLOOKUP('Funnel setup'!$P268,'Provider Commission - Raw Data'!$A:$Q,5,0),"")</f>
        <v>RM2</v>
      </c>
      <c r="C256" s="308" t="str">
        <f>IF(ISNUMBER('Funnel setup'!P268),VLOOKUP('Funnel setup'!P268,'Provider Commission - Raw Data'!$A:$Q,6,0),"")</f>
        <v>UNIVERSITY HOSPITAL OF SOUTH MANCHESTER NHS FOUNDATION TRUST (RM2)</v>
      </c>
      <c r="D256" s="309">
        <f>IF(ISNUMBER('Funnel setup'!P268),VLOOKUP('Funnel setup'!P268,'Provider Commission - Raw Data'!$A:$Q,8,0),"")</f>
        <v>84</v>
      </c>
      <c r="E256" s="446">
        <f>IF(ISNUMBER('Funnel setup'!P268),VLOOKUP('Funnel setup'!P268,'Provider Commission - Raw Data'!$A:$Q,16,0),"")</f>
        <v>7.1541544999999998E-2</v>
      </c>
      <c r="F256" s="310">
        <f>IF(ISNUMBER('Funnel setup'!P268),'Funnel setup'!$K$8,"")</f>
        <v>8.3654400475365306E-2</v>
      </c>
      <c r="G256" s="310">
        <f>IF(AND(ISNUMBER('Funnel setup'!P268),D256&gt;=30,E256&lt;&gt;"*"),F256-1.959963985 *('Funnel setup'!$K$7/SQRT('Funnel Data'!D256)),"")</f>
        <v>4.9686678213681577E-2</v>
      </c>
      <c r="H256" s="310">
        <f>IF(AND(ISNUMBER('Funnel setup'!P268),D256&gt;=30,E256&lt;&gt;"*"),F256+1.959963985 *('Funnel setup'!$K$7/SQRT('Funnel Data'!D256)),"")</f>
        <v>0.11762212273704903</v>
      </c>
      <c r="I256" s="310">
        <f>IF(AND(ISNUMBER('Funnel setup'!P268),D256&gt;=30,E256&lt;&gt;"*"),F256-3.090232306 *('Funnel setup'!$K$7/SQRT('Funnel Data'!D256)),"")</f>
        <v>3.0098236434784507E-2</v>
      </c>
      <c r="J256" s="310">
        <f>IF(AND(ISNUMBER('Funnel setup'!P268),D256&gt;=30,E256&lt;&gt;"*"),F256+3.090232306 *('Funnel setup'!$K$7/SQRT('Funnel Data'!D256)),"")</f>
        <v>0.1372105645159461</v>
      </c>
      <c r="K256" s="311" t="str">
        <f>IF(AND(ISNUMBER('Funnel setup'!P268),D256&gt;=30,E256&lt;&gt;"*"),IF(E256&gt;J256,'Funnel setup'!$K$14&amp;"99.8%",IF(E256&gt;H256,'Funnel setup'!$K$14&amp;"95%",IF(E256&lt;I256,'Funnel setup'!$K$15&amp;"99.8%",IF(E256&lt;G256,'Funnel setup'!$K$15&amp;"95%","")))),"")</f>
        <v/>
      </c>
    </row>
    <row r="257" spans="2:11" ht="15" x14ac:dyDescent="0.2">
      <c r="B257" s="307" t="str">
        <f>IF(ISNUMBER('Funnel setup'!P269),VLOOKUP('Funnel setup'!$P269,'Provider Commission - Raw Data'!$A:$Q,5,0),"")</f>
        <v>RHM</v>
      </c>
      <c r="C257" s="308" t="str">
        <f>IF(ISNUMBER('Funnel setup'!P269),VLOOKUP('Funnel setup'!P269,'Provider Commission - Raw Data'!$A:$Q,6,0),"")</f>
        <v>UNIVERSITY HOSPITAL SOUTHAMPTON NHS FOUNDATION TRUST (RHM)</v>
      </c>
      <c r="D257" s="309">
        <f>IF(ISNUMBER('Funnel setup'!P269),VLOOKUP('Funnel setup'!P269,'Provider Commission - Raw Data'!$A:$Q,8,0),"")</f>
        <v>24</v>
      </c>
      <c r="E257" s="446" t="str">
        <f>IF(ISNUMBER('Funnel setup'!P269),VLOOKUP('Funnel setup'!P269,'Provider Commission - Raw Data'!$A:$Q,16,0),"")</f>
        <v>*</v>
      </c>
      <c r="F257" s="310">
        <f>IF(ISNUMBER('Funnel setup'!P269),'Funnel setup'!$K$8,"")</f>
        <v>8.3654400475365306E-2</v>
      </c>
      <c r="G257" s="310" t="str">
        <f>IF(AND(ISNUMBER('Funnel setup'!P269),D257&gt;=30,E257&lt;&gt;"*"),F257-1.959963985 *('Funnel setup'!$K$7/SQRT('Funnel Data'!D257)),"")</f>
        <v/>
      </c>
      <c r="H257" s="310" t="str">
        <f>IF(AND(ISNUMBER('Funnel setup'!P269),D257&gt;=30,E257&lt;&gt;"*"),F257+1.959963985 *('Funnel setup'!$K$7/SQRT('Funnel Data'!D257)),"")</f>
        <v/>
      </c>
      <c r="I257" s="310" t="str">
        <f>IF(AND(ISNUMBER('Funnel setup'!P269),D257&gt;=30,E257&lt;&gt;"*"),F257-3.090232306 *('Funnel setup'!$K$7/SQRT('Funnel Data'!D257)),"")</f>
        <v/>
      </c>
      <c r="J257" s="310" t="str">
        <f>IF(AND(ISNUMBER('Funnel setup'!P269),D257&gt;=30,E257&lt;&gt;"*"),F257+3.090232306 *('Funnel setup'!$K$7/SQRT('Funnel Data'!D257)),"")</f>
        <v/>
      </c>
      <c r="K257" s="311" t="str">
        <f>IF(AND(ISNUMBER('Funnel setup'!P269),D257&gt;=30,E257&lt;&gt;"*"),IF(E257&gt;J257,'Funnel setup'!$K$14&amp;"99.8%",IF(E257&gt;H257,'Funnel setup'!$K$14&amp;"95%",IF(E257&lt;I257,'Funnel setup'!$K$15&amp;"99.8%",IF(E257&lt;G257,'Funnel setup'!$K$15&amp;"95%","")))),"")</f>
        <v/>
      </c>
    </row>
    <row r="258" spans="2:11" ht="30" x14ac:dyDescent="0.2">
      <c r="B258" s="307" t="str">
        <f>IF(ISNUMBER('Funnel setup'!P270),VLOOKUP('Funnel setup'!$P270,'Provider Commission - Raw Data'!$A:$Q,5,0),"")</f>
        <v>RRK</v>
      </c>
      <c r="C258" s="308" t="str">
        <f>IF(ISNUMBER('Funnel setup'!P270),VLOOKUP('Funnel setup'!P270,'Provider Commission - Raw Data'!$A:$Q,6,0),"")</f>
        <v>UNIVERSITY HOSPITALS BIRMINGHAM NHS FOUNDATION TRUST (RRK)</v>
      </c>
      <c r="D258" s="309">
        <f>IF(ISNUMBER('Funnel setup'!P270),VLOOKUP('Funnel setup'!P270,'Provider Commission - Raw Data'!$A:$Q,8,0),"")</f>
        <v>107</v>
      </c>
      <c r="E258" s="446">
        <f>IF(ISNUMBER('Funnel setup'!P270),VLOOKUP('Funnel setup'!P270,'Provider Commission - Raw Data'!$A:$Q,16,0),"")</f>
        <v>6.8290825999999999E-2</v>
      </c>
      <c r="F258" s="310">
        <f>IF(ISNUMBER('Funnel setup'!P270),'Funnel setup'!$K$8,"")</f>
        <v>8.3654400475365306E-2</v>
      </c>
      <c r="G258" s="310">
        <f>IF(AND(ISNUMBER('Funnel setup'!P270),D258&gt;=30,E258&lt;&gt;"*"),F258-1.959963985 *('Funnel setup'!$K$7/SQRT('Funnel Data'!D258)),"")</f>
        <v>5.3558026136280849E-2</v>
      </c>
      <c r="H258" s="310">
        <f>IF(AND(ISNUMBER('Funnel setup'!P270),D258&gt;=30,E258&lt;&gt;"*"),F258+1.959963985 *('Funnel setup'!$K$7/SQRT('Funnel Data'!D258)),"")</f>
        <v>0.11375077481444976</v>
      </c>
      <c r="I258" s="310">
        <f>IF(AND(ISNUMBER('Funnel setup'!P270),D258&gt;=30,E258&lt;&gt;"*"),F258-3.090232306 *('Funnel setup'!$K$7/SQRT('Funnel Data'!D258)),"")</f>
        <v>3.6202105949602277E-2</v>
      </c>
      <c r="J258" s="310">
        <f>IF(AND(ISNUMBER('Funnel setup'!P270),D258&gt;=30,E258&lt;&gt;"*"),F258+3.090232306 *('Funnel setup'!$K$7/SQRT('Funnel Data'!D258)),"")</f>
        <v>0.13110669500112834</v>
      </c>
      <c r="K258" s="311" t="str">
        <f>IF(AND(ISNUMBER('Funnel setup'!P270),D258&gt;=30,E258&lt;&gt;"*"),IF(E258&gt;J258,'Funnel setup'!$K$14&amp;"99.8%",IF(E258&gt;H258,'Funnel setup'!$K$14&amp;"95%",IF(E258&lt;I258,'Funnel setup'!$K$15&amp;"99.8%",IF(E258&lt;G258,'Funnel setup'!$K$15&amp;"95%","")))),"")</f>
        <v/>
      </c>
    </row>
    <row r="259" spans="2:11" ht="15" x14ac:dyDescent="0.2">
      <c r="B259" s="307" t="str">
        <f>IF(ISNUMBER('Funnel setup'!P271),VLOOKUP('Funnel setup'!$P271,'Provider Commission - Raw Data'!$A:$Q,5,0),"")</f>
        <v>RA7</v>
      </c>
      <c r="C259" s="308" t="str">
        <f>IF(ISNUMBER('Funnel setup'!P271),VLOOKUP('Funnel setup'!P271,'Provider Commission - Raw Data'!$A:$Q,6,0),"")</f>
        <v>UNIVERSITY HOSPITALS BRISTOL NHS FOUNDATION TRUST (RA7)</v>
      </c>
      <c r="D259" s="309">
        <f>IF(ISNUMBER('Funnel setup'!P271),VLOOKUP('Funnel setup'!P271,'Provider Commission - Raw Data'!$A:$Q,8,0),"")</f>
        <v>25</v>
      </c>
      <c r="E259" s="446" t="str">
        <f>IF(ISNUMBER('Funnel setup'!P271),VLOOKUP('Funnel setup'!P271,'Provider Commission - Raw Data'!$A:$Q,16,0),"")</f>
        <v>*</v>
      </c>
      <c r="F259" s="310">
        <f>IF(ISNUMBER('Funnel setup'!P271),'Funnel setup'!$K$8,"")</f>
        <v>8.3654400475365306E-2</v>
      </c>
      <c r="G259" s="310" t="str">
        <f>IF(AND(ISNUMBER('Funnel setup'!P271),D259&gt;=30,E259&lt;&gt;"*"),F259-1.959963985 *('Funnel setup'!$K$7/SQRT('Funnel Data'!D259)),"")</f>
        <v/>
      </c>
      <c r="H259" s="310" t="str">
        <f>IF(AND(ISNUMBER('Funnel setup'!P271),D259&gt;=30,E259&lt;&gt;"*"),F259+1.959963985 *('Funnel setup'!$K$7/SQRT('Funnel Data'!D259)),"")</f>
        <v/>
      </c>
      <c r="I259" s="310" t="str">
        <f>IF(AND(ISNUMBER('Funnel setup'!P271),D259&gt;=30,E259&lt;&gt;"*"),F259-3.090232306 *('Funnel setup'!$K$7/SQRT('Funnel Data'!D259)),"")</f>
        <v/>
      </c>
      <c r="J259" s="310" t="str">
        <f>IF(AND(ISNUMBER('Funnel setup'!P271),D259&gt;=30,E259&lt;&gt;"*"),F259+3.090232306 *('Funnel setup'!$K$7/SQRT('Funnel Data'!D259)),"")</f>
        <v/>
      </c>
      <c r="K259" s="311" t="str">
        <f>IF(AND(ISNUMBER('Funnel setup'!P271),D259&gt;=30,E259&lt;&gt;"*"),IF(E259&gt;J259,'Funnel setup'!$K$14&amp;"99.8%",IF(E259&gt;H259,'Funnel setup'!$K$14&amp;"95%",IF(E259&lt;I259,'Funnel setup'!$K$15&amp;"99.8%",IF(E259&lt;G259,'Funnel setup'!$K$15&amp;"95%","")))),"")</f>
        <v/>
      </c>
    </row>
    <row r="260" spans="2:11" ht="30" x14ac:dyDescent="0.2">
      <c r="B260" s="307" t="str">
        <f>IF(ISNUMBER('Funnel setup'!P272),VLOOKUP('Funnel setup'!$P272,'Provider Commission - Raw Data'!$A:$Q,5,0),"")</f>
        <v>RKB</v>
      </c>
      <c r="C260" s="308" t="str">
        <f>IF(ISNUMBER('Funnel setup'!P272),VLOOKUP('Funnel setup'!P272,'Provider Commission - Raw Data'!$A:$Q,6,0),"")</f>
        <v>UNIVERSITY HOSPITALS COVENTRY AND WARWICKSHIRE NHS TRUST (RKB)</v>
      </c>
      <c r="D260" s="309">
        <f>IF(ISNUMBER('Funnel setup'!P272),VLOOKUP('Funnel setup'!P272,'Provider Commission - Raw Data'!$A:$Q,8,0),"")</f>
        <v>30</v>
      </c>
      <c r="E260" s="446">
        <f>IF(ISNUMBER('Funnel setup'!P272),VLOOKUP('Funnel setup'!P272,'Provider Commission - Raw Data'!$A:$Q,16,0),"")</f>
        <v>7.7271954000000004E-2</v>
      </c>
      <c r="F260" s="310">
        <f>IF(ISNUMBER('Funnel setup'!P272),'Funnel setup'!$K$8,"")</f>
        <v>8.3654400475365306E-2</v>
      </c>
      <c r="G260" s="310">
        <f>IF(AND(ISNUMBER('Funnel setup'!P272),D260&gt;=30,E260&lt;&gt;"*"),F260-1.959963985 *('Funnel setup'!$K$7/SQRT('Funnel Data'!D260)),"")</f>
        <v>2.6815529657840474E-2</v>
      </c>
      <c r="H260" s="310">
        <f>IF(AND(ISNUMBER('Funnel setup'!P272),D260&gt;=30,E260&lt;&gt;"*"),F260+1.959963985 *('Funnel setup'!$K$7/SQRT('Funnel Data'!D260)),"")</f>
        <v>0.14049327129289013</v>
      </c>
      <c r="I260" s="310">
        <f>IF(AND(ISNUMBER('Funnel setup'!P272),D260&gt;=30,E260&lt;&gt;"*"),F260-3.090232306 *('Funnel setup'!$K$7/SQRT('Funnel Data'!D260)),"")</f>
        <v>-5.9622027791459559E-3</v>
      </c>
      <c r="J260" s="310">
        <f>IF(AND(ISNUMBER('Funnel setup'!P272),D260&gt;=30,E260&lt;&gt;"*"),F260+3.090232306 *('Funnel setup'!$K$7/SQRT('Funnel Data'!D260)),"")</f>
        <v>0.17327100372987658</v>
      </c>
      <c r="K260" s="311" t="str">
        <f>IF(AND(ISNUMBER('Funnel setup'!P272),D260&gt;=30,E260&lt;&gt;"*"),IF(E260&gt;J260,'Funnel setup'!$K$14&amp;"99.8%",IF(E260&gt;H260,'Funnel setup'!$K$14&amp;"95%",IF(E260&lt;I260,'Funnel setup'!$K$15&amp;"99.8%",IF(E260&lt;G260,'Funnel setup'!$K$15&amp;"95%","")))),"")</f>
        <v/>
      </c>
    </row>
    <row r="261" spans="2:11" ht="15" x14ac:dyDescent="0.2">
      <c r="B261" s="307" t="str">
        <f>IF(ISNUMBER('Funnel setup'!P273),VLOOKUP('Funnel setup'!$P273,'Provider Commission - Raw Data'!$A:$Q,5,0),"")</f>
        <v>RWE</v>
      </c>
      <c r="C261" s="308" t="str">
        <f>IF(ISNUMBER('Funnel setup'!P273),VLOOKUP('Funnel setup'!P273,'Provider Commission - Raw Data'!$A:$Q,6,0),"")</f>
        <v>UNIVERSITY HOSPITALS OF LEICESTER NHS TRUST (RWE)</v>
      </c>
      <c r="D261" s="309">
        <f>IF(ISNUMBER('Funnel setup'!P273),VLOOKUP('Funnel setup'!P273,'Provider Commission - Raw Data'!$A:$Q,8,0),"")</f>
        <v>220</v>
      </c>
      <c r="E261" s="446">
        <f>IF(ISNUMBER('Funnel setup'!P273),VLOOKUP('Funnel setup'!P273,'Provider Commission - Raw Data'!$A:$Q,16,0),"")</f>
        <v>7.2738715999999995E-2</v>
      </c>
      <c r="F261" s="310">
        <f>IF(ISNUMBER('Funnel setup'!P273),'Funnel setup'!$K$8,"")</f>
        <v>8.3654400475365306E-2</v>
      </c>
      <c r="G261" s="310">
        <f>IF(AND(ISNUMBER('Funnel setup'!P273),D261&gt;=30,E261&lt;&gt;"*"),F261-1.959963985 *('Funnel setup'!$K$7/SQRT('Funnel Data'!D261)),"")</f>
        <v>6.2665256411832862E-2</v>
      </c>
      <c r="H261" s="310">
        <f>IF(AND(ISNUMBER('Funnel setup'!P273),D261&gt;=30,E261&lt;&gt;"*"),F261+1.959963985 *('Funnel setup'!$K$7/SQRT('Funnel Data'!D261)),"")</f>
        <v>0.10464354453889775</v>
      </c>
      <c r="I261" s="310">
        <f>IF(AND(ISNUMBER('Funnel setup'!P273),D261&gt;=30,E261&lt;&gt;"*"),F261-3.090232306 *('Funnel setup'!$K$7/SQRT('Funnel Data'!D261)),"")</f>
        <v>5.0561276542061967E-2</v>
      </c>
      <c r="J261" s="310">
        <f>IF(AND(ISNUMBER('Funnel setup'!P273),D261&gt;=30,E261&lt;&gt;"*"),F261+3.090232306 *('Funnel setup'!$K$7/SQRT('Funnel Data'!D261)),"")</f>
        <v>0.11674752440866865</v>
      </c>
      <c r="K261" s="311" t="str">
        <f>IF(AND(ISNUMBER('Funnel setup'!P273),D261&gt;=30,E261&lt;&gt;"*"),IF(E261&gt;J261,'Funnel setup'!$K$14&amp;"99.8%",IF(E261&gt;H261,'Funnel setup'!$K$14&amp;"95%",IF(E261&lt;I261,'Funnel setup'!$K$15&amp;"99.8%",IF(E261&lt;G261,'Funnel setup'!$K$15&amp;"95%","")))),"")</f>
        <v/>
      </c>
    </row>
    <row r="262" spans="2:11" ht="15" x14ac:dyDescent="0.2">
      <c r="B262" s="307" t="str">
        <f>IF(ISNUMBER('Funnel setup'!P274),VLOOKUP('Funnel setup'!$P274,'Provider Commission - Raw Data'!$A:$Q,5,0),"")</f>
        <v>RTX</v>
      </c>
      <c r="C262" s="308" t="str">
        <f>IF(ISNUMBER('Funnel setup'!P274),VLOOKUP('Funnel setup'!P274,'Provider Commission - Raw Data'!$A:$Q,6,0),"")</f>
        <v>UNIVERSITY HOSPITALS OF MORECAMBE BAY NHS FOUNDATION TRUST (RTX)</v>
      </c>
      <c r="D262" s="309">
        <f>IF(ISNUMBER('Funnel setup'!P274),VLOOKUP('Funnel setup'!P274,'Provider Commission - Raw Data'!$A:$Q,8,0),"")</f>
        <v>201</v>
      </c>
      <c r="E262" s="446">
        <f>IF(ISNUMBER('Funnel setup'!P274),VLOOKUP('Funnel setup'!P274,'Provider Commission - Raw Data'!$A:$Q,16,0),"")</f>
        <v>7.6726156000000004E-2</v>
      </c>
      <c r="F262" s="310">
        <f>IF(ISNUMBER('Funnel setup'!P274),'Funnel setup'!$K$8,"")</f>
        <v>8.3654400475365306E-2</v>
      </c>
      <c r="G262" s="310">
        <f>IF(AND(ISNUMBER('Funnel setup'!P274),D262&gt;=30,E262&lt;&gt;"*"),F262-1.959963985 *('Funnel setup'!$K$7/SQRT('Funnel Data'!D262)),"")</f>
        <v>6.1695628944698766E-2</v>
      </c>
      <c r="H262" s="310">
        <f>IF(AND(ISNUMBER('Funnel setup'!P274),D262&gt;=30,E262&lt;&gt;"*"),F262+1.959963985 *('Funnel setup'!$K$7/SQRT('Funnel Data'!D262)),"")</f>
        <v>0.10561317200603185</v>
      </c>
      <c r="I262" s="310">
        <f>IF(AND(ISNUMBER('Funnel setup'!P274),D262&gt;=30,E262&lt;&gt;"*"),F262-3.090232306 *('Funnel setup'!$K$7/SQRT('Funnel Data'!D262)),"")</f>
        <v>4.9032486142516582E-2</v>
      </c>
      <c r="J262" s="310">
        <f>IF(AND(ISNUMBER('Funnel setup'!P274),D262&gt;=30,E262&lt;&gt;"*"),F262+3.090232306 *('Funnel setup'!$K$7/SQRT('Funnel Data'!D262)),"")</f>
        <v>0.11827631480821403</v>
      </c>
      <c r="K262" s="311" t="str">
        <f>IF(AND(ISNUMBER('Funnel setup'!P274),D262&gt;=30,E262&lt;&gt;"*"),IF(E262&gt;J262,'Funnel setup'!$K$14&amp;"99.8%",IF(E262&gt;H262,'Funnel setup'!$K$14&amp;"95%",IF(E262&lt;I262,'Funnel setup'!$K$15&amp;"99.8%",IF(E262&lt;G262,'Funnel setup'!$K$15&amp;"95%","")))),"")</f>
        <v/>
      </c>
    </row>
    <row r="263" spans="2:11" ht="30" x14ac:dyDescent="0.2">
      <c r="B263" s="307" t="str">
        <f>IF(ISNUMBER('Funnel setup'!P275),VLOOKUP('Funnel setup'!$P275,'Provider Commission - Raw Data'!$A:$Q,5,0),"")</f>
        <v>RJE</v>
      </c>
      <c r="C263" s="308" t="str">
        <f>IF(ISNUMBER('Funnel setup'!P275),VLOOKUP('Funnel setup'!P275,'Provider Commission - Raw Data'!$A:$Q,6,0),"")</f>
        <v>UNIVERSITY HOSPITALS OF NORTH MIDLANDS NHS TRUST (RJE)</v>
      </c>
      <c r="D263" s="309">
        <f>IF(ISNUMBER('Funnel setup'!P275),VLOOKUP('Funnel setup'!P275,'Provider Commission - Raw Data'!$A:$Q,8,0),"")</f>
        <v>74</v>
      </c>
      <c r="E263" s="446">
        <f>IF(ISNUMBER('Funnel setup'!P275),VLOOKUP('Funnel setup'!P275,'Provider Commission - Raw Data'!$A:$Q,16,0),"")</f>
        <v>8.8799225999999995E-2</v>
      </c>
      <c r="F263" s="310">
        <f>IF(ISNUMBER('Funnel setup'!P275),'Funnel setup'!$K$8,"")</f>
        <v>8.3654400475365306E-2</v>
      </c>
      <c r="G263" s="310">
        <f>IF(AND(ISNUMBER('Funnel setup'!P275),D263&gt;=30,E263&lt;&gt;"*"),F263-1.959963985 *('Funnel setup'!$K$7/SQRT('Funnel Data'!D263)),"")</f>
        <v>4.7464264990540489E-2</v>
      </c>
      <c r="H263" s="310">
        <f>IF(AND(ISNUMBER('Funnel setup'!P275),D263&gt;=30,E263&lt;&gt;"*"),F263+1.959963985 *('Funnel setup'!$K$7/SQRT('Funnel Data'!D263)),"")</f>
        <v>0.11984453596019012</v>
      </c>
      <c r="I263" s="310">
        <f>IF(AND(ISNUMBER('Funnel setup'!P275),D263&gt;=30,E263&lt;&gt;"*"),F263-3.090232306 *('Funnel setup'!$K$7/SQRT('Funnel Data'!D263)),"")</f>
        <v>2.6594206160762822E-2</v>
      </c>
      <c r="J263" s="310">
        <f>IF(AND(ISNUMBER('Funnel setup'!P275),D263&gt;=30,E263&lt;&gt;"*"),F263+3.090232306 *('Funnel setup'!$K$7/SQRT('Funnel Data'!D263)),"")</f>
        <v>0.14071459478996778</v>
      </c>
      <c r="K263" s="311" t="str">
        <f>IF(AND(ISNUMBER('Funnel setup'!P275),D263&gt;=30,E263&lt;&gt;"*"),IF(E263&gt;J263,'Funnel setup'!$K$14&amp;"99.8%",IF(E263&gt;H263,'Funnel setup'!$K$14&amp;"95%",IF(E263&lt;I263,'Funnel setup'!$K$15&amp;"99.8%",IF(E263&lt;G263,'Funnel setup'!$K$15&amp;"95%","")))),"")</f>
        <v/>
      </c>
    </row>
    <row r="264" spans="2:11" ht="15" x14ac:dyDescent="0.2">
      <c r="B264" s="307" t="str">
        <f>IF(ISNUMBER('Funnel setup'!P276),VLOOKUP('Funnel setup'!$P276,'Provider Commission - Raw Data'!$A:$Q,5,0),"")</f>
        <v>RBK</v>
      </c>
      <c r="C264" s="308" t="str">
        <f>IF(ISNUMBER('Funnel setup'!P276),VLOOKUP('Funnel setup'!P276,'Provider Commission - Raw Data'!$A:$Q,6,0),"")</f>
        <v>WALSALL HEALTHCARE NHS TRUST (RBK)</v>
      </c>
      <c r="D264" s="309">
        <f>IF(ISNUMBER('Funnel setup'!P276),VLOOKUP('Funnel setup'!P276,'Provider Commission - Raw Data'!$A:$Q,8,0),"")</f>
        <v>58</v>
      </c>
      <c r="E264" s="446">
        <f>IF(ISNUMBER('Funnel setup'!P276),VLOOKUP('Funnel setup'!P276,'Provider Commission - Raw Data'!$A:$Q,16,0),"")</f>
        <v>6.9478940000000003E-2</v>
      </c>
      <c r="F264" s="310">
        <f>IF(ISNUMBER('Funnel setup'!P276),'Funnel setup'!$K$8,"")</f>
        <v>8.3654400475365306E-2</v>
      </c>
      <c r="G264" s="310">
        <f>IF(AND(ISNUMBER('Funnel setup'!P276),D264&gt;=30,E264&lt;&gt;"*"),F264-1.959963985 *('Funnel setup'!$K$7/SQRT('Funnel Data'!D264)),"")</f>
        <v>4.2776171493057742E-2</v>
      </c>
      <c r="H264" s="310">
        <f>IF(AND(ISNUMBER('Funnel setup'!P276),D264&gt;=30,E264&lt;&gt;"*"),F264+1.959963985 *('Funnel setup'!$K$7/SQRT('Funnel Data'!D264)),"")</f>
        <v>0.12453262945767288</v>
      </c>
      <c r="I264" s="310">
        <f>IF(AND(ISNUMBER('Funnel setup'!P276),D264&gt;=30,E264&lt;&gt;"*"),F264-3.090232306 *('Funnel setup'!$K$7/SQRT('Funnel Data'!D264)),"")</f>
        <v>1.920259177889462E-2</v>
      </c>
      <c r="J264" s="310">
        <f>IF(AND(ISNUMBER('Funnel setup'!P276),D264&gt;=30,E264&lt;&gt;"*"),F264+3.090232306 *('Funnel setup'!$K$7/SQRT('Funnel Data'!D264)),"")</f>
        <v>0.14810620917183598</v>
      </c>
      <c r="K264" s="311" t="str">
        <f>IF(AND(ISNUMBER('Funnel setup'!P276),D264&gt;=30,E264&lt;&gt;"*"),IF(E264&gt;J264,'Funnel setup'!$K$14&amp;"99.8%",IF(E264&gt;H264,'Funnel setup'!$K$14&amp;"95%",IF(E264&lt;I264,'Funnel setup'!$K$15&amp;"99.8%",IF(E264&lt;G264,'Funnel setup'!$K$15&amp;"95%","")))),"")</f>
        <v/>
      </c>
    </row>
    <row r="265" spans="2:11" ht="15" x14ac:dyDescent="0.2">
      <c r="B265" s="307" t="str">
        <f>IF(ISNUMBER('Funnel setup'!P277),VLOOKUP('Funnel setup'!$P277,'Provider Commission - Raw Data'!$A:$Q,5,0),"")</f>
        <v>RWW</v>
      </c>
      <c r="C265" s="308" t="str">
        <f>IF(ISNUMBER('Funnel setup'!P277),VLOOKUP('Funnel setup'!P277,'Provider Commission - Raw Data'!$A:$Q,6,0),"")</f>
        <v>WARRINGTON AND HALTON HOSPITALS NHS FOUNDATION TRUST (RWW)</v>
      </c>
      <c r="D265" s="309">
        <f>IF(ISNUMBER('Funnel setup'!P277),VLOOKUP('Funnel setup'!P277,'Provider Commission - Raw Data'!$A:$Q,8,0),"")</f>
        <v>102</v>
      </c>
      <c r="E265" s="446">
        <f>IF(ISNUMBER('Funnel setup'!P277),VLOOKUP('Funnel setup'!P277,'Provider Commission - Raw Data'!$A:$Q,16,0),"")</f>
        <v>6.5385523000000001E-2</v>
      </c>
      <c r="F265" s="310">
        <f>IF(ISNUMBER('Funnel setup'!P277),'Funnel setup'!$K$8,"")</f>
        <v>8.3654400475365306E-2</v>
      </c>
      <c r="G265" s="310">
        <f>IF(AND(ISNUMBER('Funnel setup'!P277),D265&gt;=30,E265&lt;&gt;"*"),F265-1.959963985 *('Funnel setup'!$K$7/SQRT('Funnel Data'!D265)),"")</f>
        <v>5.2829194804512508E-2</v>
      </c>
      <c r="H265" s="310">
        <f>IF(AND(ISNUMBER('Funnel setup'!P277),D265&gt;=30,E265&lt;&gt;"*"),F265+1.959963985 *('Funnel setup'!$K$7/SQRT('Funnel Data'!D265)),"")</f>
        <v>0.1144796061462181</v>
      </c>
      <c r="I265" s="310">
        <f>IF(AND(ISNUMBER('Funnel setup'!P277),D265&gt;=30,E265&lt;&gt;"*"),F265-3.090232306 *('Funnel setup'!$K$7/SQRT('Funnel Data'!D265)),"")</f>
        <v>3.5052973544980298E-2</v>
      </c>
      <c r="J265" s="310">
        <f>IF(AND(ISNUMBER('Funnel setup'!P277),D265&gt;=30,E265&lt;&gt;"*"),F265+3.090232306 *('Funnel setup'!$K$7/SQRT('Funnel Data'!D265)),"")</f>
        <v>0.13225582740575031</v>
      </c>
      <c r="K265" s="311" t="str">
        <f>IF(AND(ISNUMBER('Funnel setup'!P277),D265&gt;=30,E265&lt;&gt;"*"),IF(E265&gt;J265,'Funnel setup'!$K$14&amp;"99.8%",IF(E265&gt;H265,'Funnel setup'!$K$14&amp;"95%",IF(E265&lt;I265,'Funnel setup'!$K$15&amp;"99.8%",IF(E265&lt;G265,'Funnel setup'!$K$15&amp;"95%","")))),"")</f>
        <v/>
      </c>
    </row>
    <row r="266" spans="2:11" ht="15" x14ac:dyDescent="0.2">
      <c r="B266" s="307" t="str">
        <f>IF(ISNUMBER('Funnel setup'!P278),VLOOKUP('Funnel setup'!$P278,'Provider Commission - Raw Data'!$A:$Q,5,0),"")</f>
        <v>RWG</v>
      </c>
      <c r="C266" s="308" t="str">
        <f>IF(ISNUMBER('Funnel setup'!P278),VLOOKUP('Funnel setup'!P278,'Provider Commission - Raw Data'!$A:$Q,6,0),"")</f>
        <v>WEST HERTFORDSHIRE HOSPITALS NHS TRUST (RWG)</v>
      </c>
      <c r="D266" s="309">
        <f>IF(ISNUMBER('Funnel setup'!P278),VLOOKUP('Funnel setup'!P278,'Provider Commission - Raw Data'!$A:$Q,8,0),"")</f>
        <v>217</v>
      </c>
      <c r="E266" s="446">
        <f>IF(ISNUMBER('Funnel setup'!P278),VLOOKUP('Funnel setup'!P278,'Provider Commission - Raw Data'!$A:$Q,16,0),"")</f>
        <v>7.8530607000000002E-2</v>
      </c>
      <c r="F266" s="310">
        <f>IF(ISNUMBER('Funnel setup'!P278),'Funnel setup'!$K$8,"")</f>
        <v>8.3654400475365306E-2</v>
      </c>
      <c r="G266" s="310">
        <f>IF(AND(ISNUMBER('Funnel setup'!P278),D266&gt;=30,E266&lt;&gt;"*"),F266-1.959963985 *('Funnel setup'!$K$7/SQRT('Funnel Data'!D266)),"")</f>
        <v>6.2520668176134109E-2</v>
      </c>
      <c r="H266" s="310">
        <f>IF(AND(ISNUMBER('Funnel setup'!P278),D266&gt;=30,E266&lt;&gt;"*"),F266+1.959963985 *('Funnel setup'!$K$7/SQRT('Funnel Data'!D266)),"")</f>
        <v>0.1047881327745965</v>
      </c>
      <c r="I266" s="310">
        <f>IF(AND(ISNUMBER('Funnel setup'!P278),D266&gt;=30,E266&lt;&gt;"*"),F266-3.090232306 *('Funnel setup'!$K$7/SQRT('Funnel Data'!D266)),"")</f>
        <v>5.0333307436280755E-2</v>
      </c>
      <c r="J266" s="310">
        <f>IF(AND(ISNUMBER('Funnel setup'!P278),D266&gt;=30,E266&lt;&gt;"*"),F266+3.090232306 *('Funnel setup'!$K$7/SQRT('Funnel Data'!D266)),"")</f>
        <v>0.11697549351444986</v>
      </c>
      <c r="K266" s="311" t="str">
        <f>IF(AND(ISNUMBER('Funnel setup'!P278),D266&gt;=30,E266&lt;&gt;"*"),IF(E266&gt;J266,'Funnel setup'!$K$14&amp;"99.8%",IF(E266&gt;H266,'Funnel setup'!$K$14&amp;"95%",IF(E266&lt;I266,'Funnel setup'!$K$15&amp;"99.8%",IF(E266&lt;G266,'Funnel setup'!$K$15&amp;"95%","")))),"")</f>
        <v/>
      </c>
    </row>
    <row r="267" spans="2:11" ht="15" x14ac:dyDescent="0.2">
      <c r="B267" s="307" t="str">
        <f>IF(ISNUMBER('Funnel setup'!P279),VLOOKUP('Funnel setup'!$P279,'Provider Commission - Raw Data'!$A:$Q,5,0),"")</f>
        <v>RFW</v>
      </c>
      <c r="C267" s="308" t="str">
        <f>IF(ISNUMBER('Funnel setup'!P279),VLOOKUP('Funnel setup'!P279,'Provider Commission - Raw Data'!$A:$Q,6,0),"")</f>
        <v>WEST MIDDLESEX UNIVERSITY HOSPITAL NHS TRUST (RFW)</v>
      </c>
      <c r="D267" s="309">
        <f>IF(ISNUMBER('Funnel setup'!P279),VLOOKUP('Funnel setup'!P279,'Provider Commission - Raw Data'!$A:$Q,8,0),"")</f>
        <v>12</v>
      </c>
      <c r="E267" s="446" t="str">
        <f>IF(ISNUMBER('Funnel setup'!P279),VLOOKUP('Funnel setup'!P279,'Provider Commission - Raw Data'!$A:$Q,16,0),"")</f>
        <v>*</v>
      </c>
      <c r="F267" s="310">
        <f>IF(ISNUMBER('Funnel setup'!P279),'Funnel setup'!$K$8,"")</f>
        <v>8.3654400475365306E-2</v>
      </c>
      <c r="G267" s="310" t="str">
        <f>IF(AND(ISNUMBER('Funnel setup'!P279),D267&gt;=30,E267&lt;&gt;"*"),F267-1.959963985 *('Funnel setup'!$K$7/SQRT('Funnel Data'!D267)),"")</f>
        <v/>
      </c>
      <c r="H267" s="310" t="str">
        <f>IF(AND(ISNUMBER('Funnel setup'!P279),D267&gt;=30,E267&lt;&gt;"*"),F267+1.959963985 *('Funnel setup'!$K$7/SQRT('Funnel Data'!D267)),"")</f>
        <v/>
      </c>
      <c r="I267" s="310" t="str">
        <f>IF(AND(ISNUMBER('Funnel setup'!P279),D267&gt;=30,E267&lt;&gt;"*"),F267-3.090232306 *('Funnel setup'!$K$7/SQRT('Funnel Data'!D267)),"")</f>
        <v/>
      </c>
      <c r="J267" s="310" t="str">
        <f>IF(AND(ISNUMBER('Funnel setup'!P279),D267&gt;=30,E267&lt;&gt;"*"),F267+3.090232306 *('Funnel setup'!$K$7/SQRT('Funnel Data'!D267)),"")</f>
        <v/>
      </c>
      <c r="K267" s="311" t="str">
        <f>IF(AND(ISNUMBER('Funnel setup'!P279),D267&gt;=30,E267&lt;&gt;"*"),IF(E267&gt;J267,'Funnel setup'!$K$14&amp;"99.8%",IF(E267&gt;H267,'Funnel setup'!$K$14&amp;"95%",IF(E267&lt;I267,'Funnel setup'!$K$15&amp;"99.8%",IF(E267&lt;G267,'Funnel setup'!$K$15&amp;"95%","")))),"")</f>
        <v/>
      </c>
    </row>
    <row r="268" spans="2:11" ht="15" x14ac:dyDescent="0.2">
      <c r="B268" s="307" t="str">
        <f>IF(ISNUMBER('Funnel setup'!P280),VLOOKUP('Funnel setup'!$P280,'Provider Commission - Raw Data'!$A:$Q,5,0),"")</f>
        <v>NVC21</v>
      </c>
      <c r="C268" s="308" t="str">
        <f>IF(ISNUMBER('Funnel setup'!P280),VLOOKUP('Funnel setup'!P280,'Provider Commission - Raw Data'!$A:$Q,6,0),"")</f>
        <v>WEST MIDLANDS HOSPITAL (NVC21)</v>
      </c>
      <c r="D268" s="309">
        <f>IF(ISNUMBER('Funnel setup'!P280),VLOOKUP('Funnel setup'!P280,'Provider Commission - Raw Data'!$A:$Q,8,0),"")</f>
        <v>40</v>
      </c>
      <c r="E268" s="446">
        <f>IF(ISNUMBER('Funnel setup'!P280),VLOOKUP('Funnel setup'!P280,'Provider Commission - Raw Data'!$A:$Q,16,0),"")</f>
        <v>8.5943453000000003E-2</v>
      </c>
      <c r="F268" s="310">
        <f>IF(ISNUMBER('Funnel setup'!P280),'Funnel setup'!$K$8,"")</f>
        <v>8.3654400475365306E-2</v>
      </c>
      <c r="G268" s="310">
        <f>IF(AND(ISNUMBER('Funnel setup'!P280),D268&gt;=30,E268&lt;&gt;"*"),F268-1.959963985 *('Funnel setup'!$K$7/SQRT('Funnel Data'!D268)),"")</f>
        <v>3.4430494424966825E-2</v>
      </c>
      <c r="H268" s="310">
        <f>IF(AND(ISNUMBER('Funnel setup'!P280),D268&gt;=30,E268&lt;&gt;"*"),F268+1.959963985 *('Funnel setup'!$K$7/SQRT('Funnel Data'!D268)),"")</f>
        <v>0.1328783065257638</v>
      </c>
      <c r="I268" s="310">
        <f>IF(AND(ISNUMBER('Funnel setup'!P280),D268&gt;=30,E268&lt;&gt;"*"),F268-3.090232306 *('Funnel setup'!$K$7/SQRT('Funnel Data'!D268)),"")</f>
        <v>6.0441454560873492E-3</v>
      </c>
      <c r="J268" s="310">
        <f>IF(AND(ISNUMBER('Funnel setup'!P280),D268&gt;=30,E268&lt;&gt;"*"),F268+3.090232306 *('Funnel setup'!$K$7/SQRT('Funnel Data'!D268)),"")</f>
        <v>0.16126465549464325</v>
      </c>
      <c r="K268" s="311" t="str">
        <f>IF(AND(ISNUMBER('Funnel setup'!P280),D268&gt;=30,E268&lt;&gt;"*"),IF(E268&gt;J268,'Funnel setup'!$K$14&amp;"99.8%",IF(E268&gt;H268,'Funnel setup'!$K$14&amp;"95%",IF(E268&lt;I268,'Funnel setup'!$K$15&amp;"99.8%",IF(E268&lt;G268,'Funnel setup'!$K$15&amp;"95%","")))),"")</f>
        <v/>
      </c>
    </row>
    <row r="269" spans="2:11" ht="15" x14ac:dyDescent="0.2">
      <c r="B269" s="307" t="str">
        <f>IF(ISNUMBER('Funnel setup'!P281),VLOOKUP('Funnel setup'!$P281,'Provider Commission - Raw Data'!$A:$Q,5,0),"")</f>
        <v>RGR</v>
      </c>
      <c r="C269" s="308" t="str">
        <f>IF(ISNUMBER('Funnel setup'!P281),VLOOKUP('Funnel setup'!P281,'Provider Commission - Raw Data'!$A:$Q,6,0),"")</f>
        <v>WEST SUFFOLK NHS FOUNDATION TRUST (RGR)</v>
      </c>
      <c r="D269" s="309">
        <f>IF(ISNUMBER('Funnel setup'!P281),VLOOKUP('Funnel setup'!P281,'Provider Commission - Raw Data'!$A:$Q,8,0),"")</f>
        <v>143</v>
      </c>
      <c r="E269" s="446">
        <f>IF(ISNUMBER('Funnel setup'!P281),VLOOKUP('Funnel setup'!P281,'Provider Commission - Raw Data'!$A:$Q,16,0),"")</f>
        <v>8.9514248000000005E-2</v>
      </c>
      <c r="F269" s="310">
        <f>IF(ISNUMBER('Funnel setup'!P281),'Funnel setup'!$K$8,"")</f>
        <v>8.3654400475365306E-2</v>
      </c>
      <c r="G269" s="310">
        <f>IF(AND(ISNUMBER('Funnel setup'!P281),D269&gt;=30,E269&lt;&gt;"*"),F269-1.959963985 *('Funnel setup'!$K$7/SQRT('Funnel Data'!D269)),"")</f>
        <v>5.7620571343616228E-2</v>
      </c>
      <c r="H269" s="310">
        <f>IF(AND(ISNUMBER('Funnel setup'!P281),D269&gt;=30,E269&lt;&gt;"*"),F269+1.959963985 *('Funnel setup'!$K$7/SQRT('Funnel Data'!D269)),"")</f>
        <v>0.10968822960711438</v>
      </c>
      <c r="I269" s="310">
        <f>IF(AND(ISNUMBER('Funnel setup'!P281),D269&gt;=30,E269&lt;&gt;"*"),F269-3.090232306 *('Funnel setup'!$K$7/SQRT('Funnel Data'!D269)),"")</f>
        <v>4.2607432037414683E-2</v>
      </c>
      <c r="J269" s="310">
        <f>IF(AND(ISNUMBER('Funnel setup'!P281),D269&gt;=30,E269&lt;&gt;"*"),F269+3.090232306 *('Funnel setup'!$K$7/SQRT('Funnel Data'!D269)),"")</f>
        <v>0.12470136891331593</v>
      </c>
      <c r="K269" s="311" t="str">
        <f>IF(AND(ISNUMBER('Funnel setup'!P281),D269&gt;=30,E269&lt;&gt;"*"),IF(E269&gt;J269,'Funnel setup'!$K$14&amp;"99.8%",IF(E269&gt;H269,'Funnel setup'!$K$14&amp;"95%",IF(E269&lt;I269,'Funnel setup'!$K$15&amp;"99.8%",IF(E269&lt;G269,'Funnel setup'!$K$15&amp;"95%","")))),"")</f>
        <v/>
      </c>
    </row>
    <row r="270" spans="2:11" ht="15" x14ac:dyDescent="0.2">
      <c r="B270" s="307" t="str">
        <f>IF(ISNUMBER('Funnel setup'!P282),VLOOKUP('Funnel setup'!$P282,'Provider Commission - Raw Data'!$A:$Q,5,0),"")</f>
        <v>RYR</v>
      </c>
      <c r="C270" s="308" t="str">
        <f>IF(ISNUMBER('Funnel setup'!P282),VLOOKUP('Funnel setup'!P282,'Provider Commission - Raw Data'!$A:$Q,6,0),"")</f>
        <v>WESTERN SUSSEX HOSPITALS NHS FOUNDATION TRUST (RYR)</v>
      </c>
      <c r="D270" s="309">
        <f>IF(ISNUMBER('Funnel setup'!P282),VLOOKUP('Funnel setup'!P282,'Provider Commission - Raw Data'!$A:$Q,8,0),"")</f>
        <v>113</v>
      </c>
      <c r="E270" s="446">
        <f>IF(ISNUMBER('Funnel setup'!P282),VLOOKUP('Funnel setup'!P282,'Provider Commission - Raw Data'!$A:$Q,16,0),"")</f>
        <v>7.8833668999999995E-2</v>
      </c>
      <c r="F270" s="310">
        <f>IF(ISNUMBER('Funnel setup'!P282),'Funnel setup'!$K$8,"")</f>
        <v>8.3654400475365306E-2</v>
      </c>
      <c r="G270" s="310">
        <f>IF(AND(ISNUMBER('Funnel setup'!P282),D270&gt;=30,E270&lt;&gt;"*"),F270-1.959963985 *('Funnel setup'!$K$7/SQRT('Funnel Data'!D270)),"")</f>
        <v>5.4367942661602137E-2</v>
      </c>
      <c r="H270" s="310">
        <f>IF(AND(ISNUMBER('Funnel setup'!P282),D270&gt;=30,E270&lt;&gt;"*"),F270+1.959963985 *('Funnel setup'!$K$7/SQRT('Funnel Data'!D270)),"")</f>
        <v>0.11294085828912848</v>
      </c>
      <c r="I270" s="310">
        <f>IF(AND(ISNUMBER('Funnel setup'!P282),D270&gt;=30,E270&lt;&gt;"*"),F270-3.090232306 *('Funnel setup'!$K$7/SQRT('Funnel Data'!D270)),"")</f>
        <v>3.7479083603715199E-2</v>
      </c>
      <c r="J270" s="310">
        <f>IF(AND(ISNUMBER('Funnel setup'!P282),D270&gt;=30,E270&lt;&gt;"*"),F270+3.090232306 *('Funnel setup'!$K$7/SQRT('Funnel Data'!D270)),"")</f>
        <v>0.12982971734701543</v>
      </c>
      <c r="K270" s="311" t="str">
        <f>IF(AND(ISNUMBER('Funnel setup'!P282),D270&gt;=30,E270&lt;&gt;"*"),IF(E270&gt;J270,'Funnel setup'!$K$14&amp;"99.8%",IF(E270&gt;H270,'Funnel setup'!$K$14&amp;"95%",IF(E270&lt;I270,'Funnel setup'!$K$15&amp;"99.8%",IF(E270&lt;G270,'Funnel setup'!$K$15&amp;"95%","")))),"")</f>
        <v/>
      </c>
    </row>
    <row r="271" spans="2:11" ht="15" x14ac:dyDescent="0.2">
      <c r="B271" s="307" t="str">
        <f>IF(ISNUMBER('Funnel setup'!P283),VLOOKUP('Funnel setup'!$P283,'Provider Commission - Raw Data'!$A:$Q,5,0),"")</f>
        <v>RA3</v>
      </c>
      <c r="C271" s="308" t="str">
        <f>IF(ISNUMBER('Funnel setup'!P283),VLOOKUP('Funnel setup'!P283,'Provider Commission - Raw Data'!$A:$Q,6,0),"")</f>
        <v>WESTON AREA HEALTH NHS TRUST (RA3)</v>
      </c>
      <c r="D271" s="309">
        <f>IF(ISNUMBER('Funnel setup'!P283),VLOOKUP('Funnel setup'!P283,'Provider Commission - Raw Data'!$A:$Q,8,0),"")</f>
        <v>18</v>
      </c>
      <c r="E271" s="446" t="str">
        <f>IF(ISNUMBER('Funnel setup'!P283),VLOOKUP('Funnel setup'!P283,'Provider Commission - Raw Data'!$A:$Q,16,0),"")</f>
        <v>*</v>
      </c>
      <c r="F271" s="310">
        <f>IF(ISNUMBER('Funnel setup'!P283),'Funnel setup'!$K$8,"")</f>
        <v>8.3654400475365306E-2</v>
      </c>
      <c r="G271" s="310" t="str">
        <f>IF(AND(ISNUMBER('Funnel setup'!P283),D271&gt;=30,E271&lt;&gt;"*"),F271-1.959963985 *('Funnel setup'!$K$7/SQRT('Funnel Data'!D271)),"")</f>
        <v/>
      </c>
      <c r="H271" s="310" t="str">
        <f>IF(AND(ISNUMBER('Funnel setup'!P283),D271&gt;=30,E271&lt;&gt;"*"),F271+1.959963985 *('Funnel setup'!$K$7/SQRT('Funnel Data'!D271)),"")</f>
        <v/>
      </c>
      <c r="I271" s="310" t="str">
        <f>IF(AND(ISNUMBER('Funnel setup'!P283),D271&gt;=30,E271&lt;&gt;"*"),F271-3.090232306 *('Funnel setup'!$K$7/SQRT('Funnel Data'!D271)),"")</f>
        <v/>
      </c>
      <c r="J271" s="310" t="str">
        <f>IF(AND(ISNUMBER('Funnel setup'!P283),D271&gt;=30,E271&lt;&gt;"*"),F271+3.090232306 *('Funnel setup'!$K$7/SQRT('Funnel Data'!D271)),"")</f>
        <v/>
      </c>
      <c r="K271" s="311" t="str">
        <f>IF(AND(ISNUMBER('Funnel setup'!P283),D271&gt;=30,E271&lt;&gt;"*"),IF(E271&gt;J271,'Funnel setup'!$K$14&amp;"99.8%",IF(E271&gt;H271,'Funnel setup'!$K$14&amp;"95%",IF(E271&lt;I271,'Funnel setup'!$K$15&amp;"99.8%",IF(E271&lt;G271,'Funnel setup'!$K$15&amp;"95%","")))),"")</f>
        <v/>
      </c>
    </row>
    <row r="272" spans="2:11" ht="15" x14ac:dyDescent="0.2">
      <c r="B272" s="307" t="str">
        <f>IF(ISNUMBER('Funnel setup'!P284),VLOOKUP('Funnel setup'!$P284,'Provider Commission - Raw Data'!$A:$Q,5,0),"")</f>
        <v>NXP17</v>
      </c>
      <c r="C272" s="308" t="str">
        <f>IF(ISNUMBER('Funnel setup'!P284),VLOOKUP('Funnel setup'!P284,'Provider Commission - Raw Data'!$A:$Q,6,0),"")</f>
        <v>WHITE HORSE HEALTH CENTRE - IHG (NXP17)</v>
      </c>
      <c r="D272" s="309">
        <f>IF(ISNUMBER('Funnel setup'!P284),VLOOKUP('Funnel setup'!P284,'Provider Commission - Raw Data'!$A:$Q,8,0),"")</f>
        <v>7</v>
      </c>
      <c r="E272" s="446" t="str">
        <f>IF(ISNUMBER('Funnel setup'!P284),VLOOKUP('Funnel setup'!P284,'Provider Commission - Raw Data'!$A:$Q,16,0),"")</f>
        <v>*</v>
      </c>
      <c r="F272" s="310">
        <f>IF(ISNUMBER('Funnel setup'!P284),'Funnel setup'!$K$8,"")</f>
        <v>8.3654400475365306E-2</v>
      </c>
      <c r="G272" s="310" t="str">
        <f>IF(AND(ISNUMBER('Funnel setup'!P284),D272&gt;=30,E272&lt;&gt;"*"),F272-1.959963985 *('Funnel setup'!$K$7/SQRT('Funnel Data'!D272)),"")</f>
        <v/>
      </c>
      <c r="H272" s="310" t="str">
        <f>IF(AND(ISNUMBER('Funnel setup'!P284),D272&gt;=30,E272&lt;&gt;"*"),F272+1.959963985 *('Funnel setup'!$K$7/SQRT('Funnel Data'!D272)),"")</f>
        <v/>
      </c>
      <c r="I272" s="310" t="str">
        <f>IF(AND(ISNUMBER('Funnel setup'!P284),D272&gt;=30,E272&lt;&gt;"*"),F272-3.090232306 *('Funnel setup'!$K$7/SQRT('Funnel Data'!D272)),"")</f>
        <v/>
      </c>
      <c r="J272" s="310" t="str">
        <f>IF(AND(ISNUMBER('Funnel setup'!P284),D272&gt;=30,E272&lt;&gt;"*"),F272+3.090232306 *('Funnel setup'!$K$7/SQRT('Funnel Data'!D272)),"")</f>
        <v/>
      </c>
      <c r="K272" s="311" t="str">
        <f>IF(AND(ISNUMBER('Funnel setup'!P284),D272&gt;=30,E272&lt;&gt;"*"),IF(E272&gt;J272,'Funnel setup'!$K$14&amp;"99.8%",IF(E272&gt;H272,'Funnel setup'!$K$14&amp;"95%",IF(E272&lt;I272,'Funnel setup'!$K$15&amp;"99.8%",IF(E272&lt;G272,'Funnel setup'!$K$15&amp;"95%","")))),"")</f>
        <v/>
      </c>
    </row>
    <row r="273" spans="2:11" ht="30" x14ac:dyDescent="0.2">
      <c r="B273" s="307" t="str">
        <f>IF(ISNUMBER('Funnel setup'!P285),VLOOKUP('Funnel setup'!$P285,'Provider Commission - Raw Data'!$A:$Q,5,0),"")</f>
        <v>NTP16</v>
      </c>
      <c r="C273" s="308" t="str">
        <f>IF(ISNUMBER('Funnel setup'!P285),VLOOKUP('Funnel setup'!P285,'Provider Commission - Raw Data'!$A:$Q,6,0),"")</f>
        <v>WILL ADAMS NHS TREATMENT CENTRE (NTP16)</v>
      </c>
      <c r="D273" s="309">
        <f>IF(ISNUMBER('Funnel setup'!P285),VLOOKUP('Funnel setup'!P285,'Provider Commission - Raw Data'!$A:$Q,8,0),"")</f>
        <v>47</v>
      </c>
      <c r="E273" s="446">
        <f>IF(ISNUMBER('Funnel setup'!P285),VLOOKUP('Funnel setup'!P285,'Provider Commission - Raw Data'!$A:$Q,16,0),"")</f>
        <v>6.5247911000000006E-2</v>
      </c>
      <c r="F273" s="310">
        <f>IF(ISNUMBER('Funnel setup'!P285),'Funnel setup'!$K$8,"")</f>
        <v>8.3654400475365306E-2</v>
      </c>
      <c r="G273" s="310">
        <f>IF(AND(ISNUMBER('Funnel setup'!P285),D273&gt;=30,E273&lt;&gt;"*"),F273-1.959963985 *('Funnel setup'!$K$7/SQRT('Funnel Data'!D273)),"")</f>
        <v>3.8243810962790843E-2</v>
      </c>
      <c r="H273" s="310">
        <f>IF(AND(ISNUMBER('Funnel setup'!P285),D273&gt;=30,E273&lt;&gt;"*"),F273+1.959963985 *('Funnel setup'!$K$7/SQRT('Funnel Data'!D273)),"")</f>
        <v>0.12906498998793978</v>
      </c>
      <c r="I273" s="310">
        <f>IF(AND(ISNUMBER('Funnel setup'!P285),D273&gt;=30,E273&lt;&gt;"*"),F273-3.090232306 *('Funnel setup'!$K$7/SQRT('Funnel Data'!D273)),"")</f>
        <v>1.205651815700097E-2</v>
      </c>
      <c r="J273" s="310">
        <f>IF(AND(ISNUMBER('Funnel setup'!P285),D273&gt;=30,E273&lt;&gt;"*"),F273+3.090232306 *('Funnel setup'!$K$7/SQRT('Funnel Data'!D273)),"")</f>
        <v>0.15525228279372966</v>
      </c>
      <c r="K273" s="311" t="str">
        <f>IF(AND(ISNUMBER('Funnel setup'!P285),D273&gt;=30,E273&lt;&gt;"*"),IF(E273&gt;J273,'Funnel setup'!$K$14&amp;"99.8%",IF(E273&gt;H273,'Funnel setup'!$K$14&amp;"95%",IF(E273&lt;I273,'Funnel setup'!$K$15&amp;"99.8%",IF(E273&lt;G273,'Funnel setup'!$K$15&amp;"95%","")))),"")</f>
        <v/>
      </c>
    </row>
    <row r="274" spans="2:11" ht="15" x14ac:dyDescent="0.2">
      <c r="B274" s="307" t="str">
        <f>IF(ISNUMBER('Funnel setup'!P286),VLOOKUP('Funnel setup'!$P286,'Provider Commission - Raw Data'!$A:$Q,5,0),"")</f>
        <v>NVC22</v>
      </c>
      <c r="C274" s="308" t="str">
        <f>IF(ISNUMBER('Funnel setup'!P286),VLOOKUP('Funnel setup'!P286,'Provider Commission - Raw Data'!$A:$Q,6,0),"")</f>
        <v>WINFIELD HOSPITAL (NVC22)</v>
      </c>
      <c r="D274" s="309">
        <f>IF(ISNUMBER('Funnel setup'!P286),VLOOKUP('Funnel setup'!P286,'Provider Commission - Raw Data'!$A:$Q,8,0),"")</f>
        <v>27</v>
      </c>
      <c r="E274" s="446" t="str">
        <f>IF(ISNUMBER('Funnel setup'!P286),VLOOKUP('Funnel setup'!P286,'Provider Commission - Raw Data'!$A:$Q,16,0),"")</f>
        <v>*</v>
      </c>
      <c r="F274" s="310">
        <f>IF(ISNUMBER('Funnel setup'!P286),'Funnel setup'!$K$8,"")</f>
        <v>8.3654400475365306E-2</v>
      </c>
      <c r="G274" s="310" t="str">
        <f>IF(AND(ISNUMBER('Funnel setup'!P286),D274&gt;=30,E274&lt;&gt;"*"),F274-1.959963985 *('Funnel setup'!$K$7/SQRT('Funnel Data'!D274)),"")</f>
        <v/>
      </c>
      <c r="H274" s="310" t="str">
        <f>IF(AND(ISNUMBER('Funnel setup'!P286),D274&gt;=30,E274&lt;&gt;"*"),F274+1.959963985 *('Funnel setup'!$K$7/SQRT('Funnel Data'!D274)),"")</f>
        <v/>
      </c>
      <c r="I274" s="310" t="str">
        <f>IF(AND(ISNUMBER('Funnel setup'!P286),D274&gt;=30,E274&lt;&gt;"*"),F274-3.090232306 *('Funnel setup'!$K$7/SQRT('Funnel Data'!D274)),"")</f>
        <v/>
      </c>
      <c r="J274" s="310" t="str">
        <f>IF(AND(ISNUMBER('Funnel setup'!P286),D274&gt;=30,E274&lt;&gt;"*"),F274+3.090232306 *('Funnel setup'!$K$7/SQRT('Funnel Data'!D274)),"")</f>
        <v/>
      </c>
      <c r="K274" s="311" t="str">
        <f>IF(AND(ISNUMBER('Funnel setup'!P286),D274&gt;=30,E274&lt;&gt;"*"),IF(E274&gt;J274,'Funnel setup'!$K$14&amp;"99.8%",IF(E274&gt;H274,'Funnel setup'!$K$14&amp;"95%",IF(E274&lt;I274,'Funnel setup'!$K$15&amp;"99.8%",IF(E274&lt;G274,'Funnel setup'!$K$15&amp;"95%","")))),"")</f>
        <v/>
      </c>
    </row>
    <row r="275" spans="2:11" ht="15" x14ac:dyDescent="0.2">
      <c r="B275" s="307" t="str">
        <f>IF(ISNUMBER('Funnel setup'!P287),VLOOKUP('Funnel setup'!$P287,'Provider Commission - Raw Data'!$A:$Q,5,0),"")</f>
        <v>RBL</v>
      </c>
      <c r="C275" s="308" t="str">
        <f>IF(ISNUMBER('Funnel setup'!P287),VLOOKUP('Funnel setup'!P287,'Provider Commission - Raw Data'!$A:$Q,6,0),"")</f>
        <v>WIRRAL UNIVERSITY TEACHING HOSPITAL NHS FOUNDATION TRUST (RBL)</v>
      </c>
      <c r="D275" s="309">
        <f>IF(ISNUMBER('Funnel setup'!P287),VLOOKUP('Funnel setup'!P287,'Provider Commission - Raw Data'!$A:$Q,8,0),"")</f>
        <v>88</v>
      </c>
      <c r="E275" s="446">
        <f>IF(ISNUMBER('Funnel setup'!P287),VLOOKUP('Funnel setup'!P287,'Provider Commission - Raw Data'!$A:$Q,16,0),"")</f>
        <v>2.7652383999999999E-2</v>
      </c>
      <c r="F275" s="310">
        <f>IF(ISNUMBER('Funnel setup'!P287),'Funnel setup'!$K$8,"")</f>
        <v>8.3654400475365306E-2</v>
      </c>
      <c r="G275" s="310">
        <f>IF(AND(ISNUMBER('Funnel setup'!P287),D275&gt;=30,E275&lt;&gt;"*"),F275-1.959963985 *('Funnel setup'!$K$7/SQRT('Funnel Data'!D275)),"")</f>
        <v>5.0467649786283098E-2</v>
      </c>
      <c r="H275" s="310">
        <f>IF(AND(ISNUMBER('Funnel setup'!P287),D275&gt;=30,E275&lt;&gt;"*"),F275+1.959963985 *('Funnel setup'!$K$7/SQRT('Funnel Data'!D275)),"")</f>
        <v>0.11684115116444752</v>
      </c>
      <c r="I275" s="310">
        <f>IF(AND(ISNUMBER('Funnel setup'!P287),D275&gt;=30,E275&lt;&gt;"*"),F275-3.090232306 *('Funnel setup'!$K$7/SQRT('Funnel Data'!D275)),"")</f>
        <v>3.1329577215630962E-2</v>
      </c>
      <c r="J275" s="310">
        <f>IF(AND(ISNUMBER('Funnel setup'!P287),D275&gt;=30,E275&lt;&gt;"*"),F275+3.090232306 *('Funnel setup'!$K$7/SQRT('Funnel Data'!D275)),"")</f>
        <v>0.13597922373509966</v>
      </c>
      <c r="K275" s="311" t="str">
        <f>IF(AND(ISNUMBER('Funnel setup'!P287),D275&gt;=30,E275&lt;&gt;"*"),IF(E275&gt;J275,'Funnel setup'!$K$14&amp;"99.8%",IF(E275&gt;H275,'Funnel setup'!$K$14&amp;"95%",IF(E275&lt;I275,'Funnel setup'!$K$15&amp;"99.8%",IF(E275&lt;G275,'Funnel setup'!$K$15&amp;"95%","")))),"")</f>
        <v>Lower 99.8%</v>
      </c>
    </row>
    <row r="276" spans="2:11" ht="15" x14ac:dyDescent="0.2">
      <c r="B276" s="307" t="str">
        <f>IF(ISNUMBER('Funnel setup'!P288),VLOOKUP('Funnel setup'!$P288,'Provider Commission - Raw Data'!$A:$Q,5,0),"")</f>
        <v>NVC23</v>
      </c>
      <c r="C276" s="308" t="str">
        <f>IF(ISNUMBER('Funnel setup'!P288),VLOOKUP('Funnel setup'!P288,'Provider Commission - Raw Data'!$A:$Q,6,0),"")</f>
        <v>WOODLAND HOSPITAL (NVC23)</v>
      </c>
      <c r="D276" s="309">
        <f>IF(ISNUMBER('Funnel setup'!P288),VLOOKUP('Funnel setup'!P288,'Provider Commission - Raw Data'!$A:$Q,8,0),"")</f>
        <v>53</v>
      </c>
      <c r="E276" s="446">
        <f>IF(ISNUMBER('Funnel setup'!P288),VLOOKUP('Funnel setup'!P288,'Provider Commission - Raw Data'!$A:$Q,16,0),"")</f>
        <v>9.0388745000000006E-2</v>
      </c>
      <c r="F276" s="310">
        <f>IF(ISNUMBER('Funnel setup'!P288),'Funnel setup'!$K$8,"")</f>
        <v>8.3654400475365306E-2</v>
      </c>
      <c r="G276" s="310">
        <f>IF(AND(ISNUMBER('Funnel setup'!P288),D276&gt;=30,E276&lt;&gt;"*"),F276-1.959963985 *('Funnel setup'!$K$7/SQRT('Funnel Data'!D276)),"")</f>
        <v>4.0891403538024881E-2</v>
      </c>
      <c r="H276" s="310">
        <f>IF(AND(ISNUMBER('Funnel setup'!P288),D276&gt;=30,E276&lt;&gt;"*"),F276+1.959963985 *('Funnel setup'!$K$7/SQRT('Funnel Data'!D276)),"")</f>
        <v>0.12641739741270575</v>
      </c>
      <c r="I276" s="310">
        <f>IF(AND(ISNUMBER('Funnel setup'!P288),D276&gt;=30,E276&lt;&gt;"*"),F276-3.090232306 *('Funnel setup'!$K$7/SQRT('Funnel Data'!D276)),"")</f>
        <v>1.6230919407090247E-2</v>
      </c>
      <c r="J276" s="310">
        <f>IF(AND(ISNUMBER('Funnel setup'!P288),D276&gt;=30,E276&lt;&gt;"*"),F276+3.090232306 *('Funnel setup'!$K$7/SQRT('Funnel Data'!D276)),"")</f>
        <v>0.15107788154364038</v>
      </c>
      <c r="K276" s="311" t="str">
        <f>IF(AND(ISNUMBER('Funnel setup'!P288),D276&gt;=30,E276&lt;&gt;"*"),IF(E276&gt;J276,'Funnel setup'!$K$14&amp;"99.8%",IF(E276&gt;H276,'Funnel setup'!$K$14&amp;"95%",IF(E276&lt;I276,'Funnel setup'!$K$15&amp;"99.8%",IF(E276&lt;G276,'Funnel setup'!$K$15&amp;"95%","")))),"")</f>
        <v/>
      </c>
    </row>
    <row r="277" spans="2:11" ht="15" x14ac:dyDescent="0.2">
      <c r="B277" s="307" t="str">
        <f>IF(ISNUMBER('Funnel setup'!P289),VLOOKUP('Funnel setup'!$P289,'Provider Commission - Raw Data'!$A:$Q,5,0),"")</f>
        <v>NVC40</v>
      </c>
      <c r="C277" s="308" t="str">
        <f>IF(ISNUMBER('Funnel setup'!P289),VLOOKUP('Funnel setup'!P289,'Provider Commission - Raw Data'!$A:$Q,6,0),"")</f>
        <v>WOODTHORPE HOSPITAL (NVC40)</v>
      </c>
      <c r="D277" s="309">
        <f>IF(ISNUMBER('Funnel setup'!P289),VLOOKUP('Funnel setup'!P289,'Provider Commission - Raw Data'!$A:$Q,8,0),"")</f>
        <v>42</v>
      </c>
      <c r="E277" s="446">
        <f>IF(ISNUMBER('Funnel setup'!P289),VLOOKUP('Funnel setup'!P289,'Provider Commission - Raw Data'!$A:$Q,16,0),"")</f>
        <v>5.7388695000000003E-2</v>
      </c>
      <c r="F277" s="310">
        <f>IF(ISNUMBER('Funnel setup'!P289),'Funnel setup'!$K$8,"")</f>
        <v>8.3654400475365306E-2</v>
      </c>
      <c r="G277" s="310">
        <f>IF(AND(ISNUMBER('Funnel setup'!P289),D277&gt;=30,E277&lt;&gt;"*"),F277-1.959963985 *('Funnel setup'!$K$7/SQRT('Funnel Data'!D277)),"")</f>
        <v>3.5616786969969678E-2</v>
      </c>
      <c r="H277" s="310">
        <f>IF(AND(ISNUMBER('Funnel setup'!P289),D277&gt;=30,E277&lt;&gt;"*"),F277+1.959963985 *('Funnel setup'!$K$7/SQRT('Funnel Data'!D277)),"")</f>
        <v>0.13169201398076094</v>
      </c>
      <c r="I277" s="310">
        <f>IF(AND(ISNUMBER('Funnel setup'!P289),D277&gt;=30,E277&lt;&gt;"*"),F277-3.090232306 *('Funnel setup'!$K$7/SQRT('Funnel Data'!D277)),"")</f>
        <v>7.9145469404976881E-3</v>
      </c>
      <c r="J277" s="310">
        <f>IF(AND(ISNUMBER('Funnel setup'!P289),D277&gt;=30,E277&lt;&gt;"*"),F277+3.090232306 *('Funnel setup'!$K$7/SQRT('Funnel Data'!D277)),"")</f>
        <v>0.15939425401023294</v>
      </c>
      <c r="K277" s="311" t="str">
        <f>IF(AND(ISNUMBER('Funnel setup'!P289),D277&gt;=30,E277&lt;&gt;"*"),IF(E277&gt;J277,'Funnel setup'!$K$14&amp;"99.8%",IF(E277&gt;H277,'Funnel setup'!$K$14&amp;"95%",IF(E277&lt;I277,'Funnel setup'!$K$15&amp;"99.8%",IF(E277&lt;G277,'Funnel setup'!$K$15&amp;"95%","")))),"")</f>
        <v/>
      </c>
    </row>
    <row r="278" spans="2:11" ht="15" x14ac:dyDescent="0.2">
      <c r="B278" s="307" t="str">
        <f>IF(ISNUMBER('Funnel setup'!P290),VLOOKUP('Funnel setup'!$P290,'Provider Commission - Raw Data'!$A:$Q,5,0),"")</f>
        <v>RWP</v>
      </c>
      <c r="C278" s="308" t="str">
        <f>IF(ISNUMBER('Funnel setup'!P290),VLOOKUP('Funnel setup'!P290,'Provider Commission - Raw Data'!$A:$Q,6,0),"")</f>
        <v>WORCESTERSHIRE ACUTE HOSPITALS NHS TRUST (RWP)</v>
      </c>
      <c r="D278" s="309">
        <f>IF(ISNUMBER('Funnel setup'!P290),VLOOKUP('Funnel setup'!P290,'Provider Commission - Raw Data'!$A:$Q,8,0),"")</f>
        <v>162</v>
      </c>
      <c r="E278" s="446">
        <f>IF(ISNUMBER('Funnel setup'!P290),VLOOKUP('Funnel setup'!P290,'Provider Commission - Raw Data'!$A:$Q,16,0),"")</f>
        <v>9.2321829999999994E-2</v>
      </c>
      <c r="F278" s="310">
        <f>IF(ISNUMBER('Funnel setup'!P290),'Funnel setup'!$K$8,"")</f>
        <v>8.3654400475365306E-2</v>
      </c>
      <c r="G278" s="310">
        <f>IF(AND(ISNUMBER('Funnel setup'!P290),D278&gt;=30,E278&lt;&gt;"*"),F278-1.959963985 *('Funnel setup'!$K$7/SQRT('Funnel Data'!D278)),"")</f>
        <v>5.9194844909419925E-2</v>
      </c>
      <c r="H278" s="310">
        <f>IF(AND(ISNUMBER('Funnel setup'!P290),D278&gt;=30,E278&lt;&gt;"*"),F278+1.959963985 *('Funnel setup'!$K$7/SQRT('Funnel Data'!D278)),"")</f>
        <v>0.10811395604131069</v>
      </c>
      <c r="I278" s="310">
        <f>IF(AND(ISNUMBER('Funnel setup'!P290),D278&gt;=30,E278&lt;&gt;"*"),F278-3.090232306 *('Funnel setup'!$K$7/SQRT('Funnel Data'!D278)),"")</f>
        <v>4.5089554703320912E-2</v>
      </c>
      <c r="J278" s="310">
        <f>IF(AND(ISNUMBER('Funnel setup'!P290),D278&gt;=30,E278&lt;&gt;"*"),F278+3.090232306 *('Funnel setup'!$K$7/SQRT('Funnel Data'!D278)),"")</f>
        <v>0.12221924624740971</v>
      </c>
      <c r="K278" s="311" t="str">
        <f>IF(AND(ISNUMBER('Funnel setup'!P290),D278&gt;=30,E278&lt;&gt;"*"),IF(E278&gt;J278,'Funnel setup'!$K$14&amp;"99.8%",IF(E278&gt;H278,'Funnel setup'!$K$14&amp;"95%",IF(E278&lt;I278,'Funnel setup'!$K$15&amp;"99.8%",IF(E278&lt;G278,'Funnel setup'!$K$15&amp;"95%","")))),"")</f>
        <v/>
      </c>
    </row>
    <row r="279" spans="2:11" ht="15" x14ac:dyDescent="0.2">
      <c r="B279" s="307" t="str">
        <f>IF(ISNUMBER('Funnel setup'!P291),VLOOKUP('Funnel setup'!$P291,'Provider Commission - Raw Data'!$A:$Q,5,0),"")</f>
        <v>RRF</v>
      </c>
      <c r="C279" s="308" t="str">
        <f>IF(ISNUMBER('Funnel setup'!P291),VLOOKUP('Funnel setup'!P291,'Provider Commission - Raw Data'!$A:$Q,6,0),"")</f>
        <v>WRIGHTINGTON, WIGAN AND LEIGH NHS FOUNDATION TRUST (RRF)</v>
      </c>
      <c r="D279" s="309">
        <f>IF(ISNUMBER('Funnel setup'!P291),VLOOKUP('Funnel setup'!P291,'Provider Commission - Raw Data'!$A:$Q,8,0),"")</f>
        <v>114</v>
      </c>
      <c r="E279" s="446">
        <f>IF(ISNUMBER('Funnel setup'!P291),VLOOKUP('Funnel setup'!P291,'Provider Commission - Raw Data'!$A:$Q,16,0),"")</f>
        <v>7.3957198000000002E-2</v>
      </c>
      <c r="F279" s="310">
        <f>IF(ISNUMBER('Funnel setup'!P291),'Funnel setup'!$K$8,"")</f>
        <v>8.3654400475365306E-2</v>
      </c>
      <c r="G279" s="310">
        <f>IF(AND(ISNUMBER('Funnel setup'!P291),D279&gt;=30,E279&lt;&gt;"*"),F279-1.959963985 *('Funnel setup'!$K$7/SQRT('Funnel Data'!D279)),"")</f>
        <v>5.4496674967492768E-2</v>
      </c>
      <c r="H279" s="310">
        <f>IF(AND(ISNUMBER('Funnel setup'!P291),D279&gt;=30,E279&lt;&gt;"*"),F279+1.959963985 *('Funnel setup'!$K$7/SQRT('Funnel Data'!D279)),"")</f>
        <v>0.11281212598323784</v>
      </c>
      <c r="I279" s="310">
        <f>IF(AND(ISNUMBER('Funnel setup'!P291),D279&gt;=30,E279&lt;&gt;"*"),F279-3.090232306 *('Funnel setup'!$K$7/SQRT('Funnel Data'!D279)),"")</f>
        <v>3.7682053012099044E-2</v>
      </c>
      <c r="J279" s="310">
        <f>IF(AND(ISNUMBER('Funnel setup'!P291),D279&gt;=30,E279&lt;&gt;"*"),F279+3.090232306 *('Funnel setup'!$K$7/SQRT('Funnel Data'!D279)),"")</f>
        <v>0.12962674793863158</v>
      </c>
      <c r="K279" s="311" t="str">
        <f>IF(AND(ISNUMBER('Funnel setup'!P291),D279&gt;=30,E279&lt;&gt;"*"),IF(E279&gt;J279,'Funnel setup'!$K$14&amp;"99.8%",IF(E279&gt;H279,'Funnel setup'!$K$14&amp;"95%",IF(E279&lt;I279,'Funnel setup'!$K$15&amp;"99.8%",IF(E279&lt;G279,'Funnel setup'!$K$15&amp;"95%","")))),"")</f>
        <v/>
      </c>
    </row>
    <row r="280" spans="2:11" ht="15" x14ac:dyDescent="0.2">
      <c r="B280" s="307" t="str">
        <f>IF(ISNUMBER('Funnel setup'!P292),VLOOKUP('Funnel setup'!$P292,'Provider Commission - Raw Data'!$A:$Q,5,0),"")</f>
        <v>RLQ</v>
      </c>
      <c r="C280" s="308" t="str">
        <f>IF(ISNUMBER('Funnel setup'!P292),VLOOKUP('Funnel setup'!P292,'Provider Commission - Raw Data'!$A:$Q,6,0),"")</f>
        <v>WYE VALLEY NHS TRUST (RLQ)</v>
      </c>
      <c r="D280" s="309">
        <f>IF(ISNUMBER('Funnel setup'!P292),VLOOKUP('Funnel setup'!P292,'Provider Commission - Raw Data'!$A:$Q,8,0),"")</f>
        <v>76</v>
      </c>
      <c r="E280" s="446">
        <f>IF(ISNUMBER('Funnel setup'!P292),VLOOKUP('Funnel setup'!P292,'Provider Commission - Raw Data'!$A:$Q,16,0),"")</f>
        <v>0.107959664</v>
      </c>
      <c r="F280" s="310">
        <f>IF(ISNUMBER('Funnel setup'!P292),'Funnel setup'!$K$8,"")</f>
        <v>8.3654400475365306E-2</v>
      </c>
      <c r="G280" s="310">
        <f>IF(AND(ISNUMBER('Funnel setup'!P292),D280&gt;=30,E280&lt;&gt;"*"),F280-1.959963985 *('Funnel setup'!$K$7/SQRT('Funnel Data'!D280)),"")</f>
        <v>4.7943625698154704E-2</v>
      </c>
      <c r="H280" s="310">
        <f>IF(AND(ISNUMBER('Funnel setup'!P292),D280&gt;=30,E280&lt;&gt;"*"),F280+1.959963985 *('Funnel setup'!$K$7/SQRT('Funnel Data'!D280)),"")</f>
        <v>0.11936517525257591</v>
      </c>
      <c r="I280" s="310">
        <f>IF(AND(ISNUMBER('Funnel setup'!P292),D280&gt;=30,E280&lt;&gt;"*"),F280-3.090232306 *('Funnel setup'!$K$7/SQRT('Funnel Data'!D280)),"")</f>
        <v>2.7350003693897833E-2</v>
      </c>
      <c r="J280" s="310">
        <f>IF(AND(ISNUMBER('Funnel setup'!P292),D280&gt;=30,E280&lt;&gt;"*"),F280+3.090232306 *('Funnel setup'!$K$7/SQRT('Funnel Data'!D280)),"")</f>
        <v>0.13995879725683277</v>
      </c>
      <c r="K280" s="311" t="str">
        <f>IF(AND(ISNUMBER('Funnel setup'!P292),D280&gt;=30,E280&lt;&gt;"*"),IF(E280&gt;J280,'Funnel setup'!$K$14&amp;"99.8%",IF(E280&gt;H280,'Funnel setup'!$K$14&amp;"95%",IF(E280&lt;I280,'Funnel setup'!$K$15&amp;"99.8%",IF(E280&lt;G280,'Funnel setup'!$K$15&amp;"95%","")))),"")</f>
        <v/>
      </c>
    </row>
    <row r="281" spans="2:11" ht="15" x14ac:dyDescent="0.2">
      <c r="B281" s="307" t="str">
        <f>IF(ISNUMBER('Funnel setup'!P293),VLOOKUP('Funnel setup'!$P293,'Provider Commission - Raw Data'!$A:$Q,5,0),"")</f>
        <v>RA4</v>
      </c>
      <c r="C281" s="308" t="str">
        <f>IF(ISNUMBER('Funnel setup'!P293),VLOOKUP('Funnel setup'!P293,'Provider Commission - Raw Data'!$A:$Q,6,0),"")</f>
        <v>YEOVIL DISTRICT HOSPITAL NHS FOUNDATION TRUST (RA4)</v>
      </c>
      <c r="D281" s="309">
        <f>IF(ISNUMBER('Funnel setup'!P293),VLOOKUP('Funnel setup'!P293,'Provider Commission - Raw Data'!$A:$Q,8,0),"")</f>
        <v>25</v>
      </c>
      <c r="E281" s="446" t="str">
        <f>IF(ISNUMBER('Funnel setup'!P293),VLOOKUP('Funnel setup'!P293,'Provider Commission - Raw Data'!$A:$Q,16,0),"")</f>
        <v>*</v>
      </c>
      <c r="F281" s="310">
        <f>IF(ISNUMBER('Funnel setup'!P293),'Funnel setup'!$K$8,"")</f>
        <v>8.3654400475365306E-2</v>
      </c>
      <c r="G281" s="310" t="str">
        <f>IF(AND(ISNUMBER('Funnel setup'!P293),D281&gt;=30,E281&lt;&gt;"*"),F281-1.959963985 *('Funnel setup'!$K$7/SQRT('Funnel Data'!D281)),"")</f>
        <v/>
      </c>
      <c r="H281" s="310" t="str">
        <f>IF(AND(ISNUMBER('Funnel setup'!P293),D281&gt;=30,E281&lt;&gt;"*"),F281+1.959963985 *('Funnel setup'!$K$7/SQRT('Funnel Data'!D281)),"")</f>
        <v/>
      </c>
      <c r="I281" s="310" t="str">
        <f>IF(AND(ISNUMBER('Funnel setup'!P293),D281&gt;=30,E281&lt;&gt;"*"),F281-3.090232306 *('Funnel setup'!$K$7/SQRT('Funnel Data'!D281)),"")</f>
        <v/>
      </c>
      <c r="J281" s="310" t="str">
        <f>IF(AND(ISNUMBER('Funnel setup'!P293),D281&gt;=30,E281&lt;&gt;"*"),F281+3.090232306 *('Funnel setup'!$K$7/SQRT('Funnel Data'!D281)),"")</f>
        <v/>
      </c>
      <c r="K281" s="311" t="str">
        <f>IF(AND(ISNUMBER('Funnel setup'!P293),D281&gt;=30,E281&lt;&gt;"*"),IF(E281&gt;J281,'Funnel setup'!$K$14&amp;"99.8%",IF(E281&gt;H281,'Funnel setup'!$K$14&amp;"95%",IF(E281&lt;I281,'Funnel setup'!$K$15&amp;"99.8%",IF(E281&lt;G281,'Funnel setup'!$K$15&amp;"95%","")))),"")</f>
        <v/>
      </c>
    </row>
    <row r="282" spans="2:11" ht="15" x14ac:dyDescent="0.2">
      <c r="B282" s="307" t="str">
        <f>IF(ISNUMBER('Funnel setup'!P294),VLOOKUP('Funnel setup'!$P294,'Provider Commission - Raw Data'!$A:$Q,5,0),"")</f>
        <v>RCB</v>
      </c>
      <c r="C282" s="308" t="str">
        <f>IF(ISNUMBER('Funnel setup'!P294),VLOOKUP('Funnel setup'!P294,'Provider Commission - Raw Data'!$A:$Q,6,0),"")</f>
        <v>YORK TEACHING HOSPITAL NHS FOUNDATION TRUST (RCB)</v>
      </c>
      <c r="D282" s="309">
        <f>IF(ISNUMBER('Funnel setup'!P294),VLOOKUP('Funnel setup'!P294,'Provider Commission - Raw Data'!$A:$Q,8,0),"")</f>
        <v>292</v>
      </c>
      <c r="E282" s="446">
        <f>IF(ISNUMBER('Funnel setup'!P294),VLOOKUP('Funnel setup'!P294,'Provider Commission - Raw Data'!$A:$Q,16,0),"")</f>
        <v>8.0336284999999993E-2</v>
      </c>
      <c r="F282" s="310">
        <f>IF(ISNUMBER('Funnel setup'!P294),'Funnel setup'!$K$8,"")</f>
        <v>8.3654400475365306E-2</v>
      </c>
      <c r="G282" s="310">
        <f>IF(AND(ISNUMBER('Funnel setup'!P294),D282&gt;=30,E282&lt;&gt;"*"),F282-1.959963985 *('Funnel setup'!$K$7/SQRT('Funnel Data'!D282)),"")</f>
        <v>6.5435815478289402E-2</v>
      </c>
      <c r="H282" s="310">
        <f>IF(AND(ISNUMBER('Funnel setup'!P294),D282&gt;=30,E282&lt;&gt;"*"),F282+1.959963985 *('Funnel setup'!$K$7/SQRT('Funnel Data'!D282)),"")</f>
        <v>0.10187298547244121</v>
      </c>
      <c r="I282" s="310">
        <f>IF(AND(ISNUMBER('Funnel setup'!P294),D282&gt;=30,E282&lt;&gt;"*"),F282-3.090232306 *('Funnel setup'!$K$7/SQRT('Funnel Data'!D282)),"")</f>
        <v>5.4929556366777835E-2</v>
      </c>
      <c r="J282" s="310">
        <f>IF(AND(ISNUMBER('Funnel setup'!P294),D282&gt;=30,E282&lt;&gt;"*"),F282+3.090232306 *('Funnel setup'!$K$7/SQRT('Funnel Data'!D282)),"")</f>
        <v>0.11237924458395278</v>
      </c>
      <c r="K282" s="311" t="str">
        <f>IF(AND(ISNUMBER('Funnel setup'!P294),D282&gt;=30,E282&lt;&gt;"*"),IF(E282&gt;J282,'Funnel setup'!$K$14&amp;"99.8%",IF(E282&gt;H282,'Funnel setup'!$K$14&amp;"95%",IF(E282&lt;I282,'Funnel setup'!$K$15&amp;"99.8%",IF(E282&lt;G282,'Funnel setup'!$K$15&amp;"95%","")))),"")</f>
        <v/>
      </c>
    </row>
    <row r="283" spans="2:11" ht="15" x14ac:dyDescent="0.2">
      <c r="B283" s="307" t="str">
        <f>IF(ISNUMBER('Funnel setup'!P295),VLOOKUP('Funnel setup'!$P295,'Provider Commission - Raw Data'!$A:$Q,5,0),"")</f>
        <v/>
      </c>
      <c r="C283" s="308" t="str">
        <f>IF(ISNUMBER('Funnel setup'!P295),VLOOKUP('Funnel setup'!P295,'Provider Commission - Raw Data'!$A:$Q,6,0),"")</f>
        <v/>
      </c>
      <c r="D283" s="309" t="str">
        <f>IF(ISNUMBER('Funnel setup'!P295),VLOOKUP('Funnel setup'!P295,'Provider Commission - Raw Data'!$A:$Q,8,0),"")</f>
        <v/>
      </c>
      <c r="E283" s="446" t="str">
        <f>IF(ISNUMBER('Funnel setup'!P295),VLOOKUP('Funnel setup'!P295,'Provider Commission - Raw Data'!$A:$Q,16,0),"")</f>
        <v/>
      </c>
      <c r="F283" s="310" t="str">
        <f>IF(ISNUMBER('Funnel setup'!P295),'Funnel setup'!$K$8,"")</f>
        <v/>
      </c>
      <c r="G283" s="310" t="str">
        <f>IF(AND(ISNUMBER('Funnel setup'!P295),D283&gt;=30,E283&lt;&gt;"*"),F283-1.959963985 *('Funnel setup'!$K$7/SQRT('Funnel Data'!D283)),"")</f>
        <v/>
      </c>
      <c r="H283" s="310" t="str">
        <f>IF(AND(ISNUMBER('Funnel setup'!P295),D283&gt;=30,E283&lt;&gt;"*"),F283+1.959963985 *('Funnel setup'!$K$7/SQRT('Funnel Data'!D283)),"")</f>
        <v/>
      </c>
      <c r="I283" s="310" t="str">
        <f>IF(AND(ISNUMBER('Funnel setup'!P295),D283&gt;=30,E283&lt;&gt;"*"),F283-3.090232306 *('Funnel setup'!$K$7/SQRT('Funnel Data'!D283)),"")</f>
        <v/>
      </c>
      <c r="J283" s="310" t="str">
        <f>IF(AND(ISNUMBER('Funnel setup'!P295),D283&gt;=30,E283&lt;&gt;"*"),F283+3.090232306 *('Funnel setup'!$K$7/SQRT('Funnel Data'!D283)),"")</f>
        <v/>
      </c>
      <c r="K283" s="311" t="str">
        <f>IF(AND(ISNUMBER('Funnel setup'!P295),D283&gt;=30,E283&lt;&gt;"*"),IF(E283&gt;J283,'Funnel setup'!$K$14&amp;"99.8%",IF(E283&gt;H283,'Funnel setup'!$K$14&amp;"95%",IF(E283&lt;I283,'Funnel setup'!$K$15&amp;"99.8%",IF(E283&lt;G283,'Funnel setup'!$K$15&amp;"95%","")))),"")</f>
        <v/>
      </c>
    </row>
    <row r="284" spans="2:11" ht="15" x14ac:dyDescent="0.2">
      <c r="B284" s="307" t="str">
        <f>IF(ISNUMBER('Funnel setup'!P296),VLOOKUP('Funnel setup'!$P296,'Provider Commission - Raw Data'!$A:$Q,5,0),"")</f>
        <v/>
      </c>
      <c r="C284" s="308" t="str">
        <f>IF(ISNUMBER('Funnel setup'!P296),VLOOKUP('Funnel setup'!P296,'Provider Commission - Raw Data'!$A:$Q,6,0),"")</f>
        <v/>
      </c>
      <c r="D284" s="309" t="str">
        <f>IF(ISNUMBER('Funnel setup'!P296),VLOOKUP('Funnel setup'!P296,'Provider Commission - Raw Data'!$A:$Q,8,0),"")</f>
        <v/>
      </c>
      <c r="E284" s="446" t="str">
        <f>IF(ISNUMBER('Funnel setup'!P296),VLOOKUP('Funnel setup'!P296,'Provider Commission - Raw Data'!$A:$Q,16,0),"")</f>
        <v/>
      </c>
      <c r="F284" s="310" t="str">
        <f>IF(ISNUMBER('Funnel setup'!P296),'Funnel setup'!$K$8,"")</f>
        <v/>
      </c>
      <c r="G284" s="310" t="str">
        <f>IF(AND(ISNUMBER('Funnel setup'!P296),D284&gt;=30,E284&lt;&gt;"*"),F284-1.959963985 *('Funnel setup'!$K$7/SQRT('Funnel Data'!D284)),"")</f>
        <v/>
      </c>
      <c r="H284" s="310" t="str">
        <f>IF(AND(ISNUMBER('Funnel setup'!P296),D284&gt;=30,E284&lt;&gt;"*"),F284+1.959963985 *('Funnel setup'!$K$7/SQRT('Funnel Data'!D284)),"")</f>
        <v/>
      </c>
      <c r="I284" s="310" t="str">
        <f>IF(AND(ISNUMBER('Funnel setup'!P296),D284&gt;=30,E284&lt;&gt;"*"),F284-3.090232306 *('Funnel setup'!$K$7/SQRT('Funnel Data'!D284)),"")</f>
        <v/>
      </c>
      <c r="J284" s="310" t="str">
        <f>IF(AND(ISNUMBER('Funnel setup'!P296),D284&gt;=30,E284&lt;&gt;"*"),F284+3.090232306 *('Funnel setup'!$K$7/SQRT('Funnel Data'!D284)),"")</f>
        <v/>
      </c>
      <c r="K284" s="311" t="str">
        <f>IF(AND(ISNUMBER('Funnel setup'!P296),D284&gt;=30,E284&lt;&gt;"*"),IF(E284&gt;J284,'Funnel setup'!$K$14&amp;"99.8%",IF(E284&gt;H284,'Funnel setup'!$K$14&amp;"95%",IF(E284&lt;I284,'Funnel setup'!$K$15&amp;"99.8%",IF(E284&lt;G284,'Funnel setup'!$K$15&amp;"95%","")))),"")</f>
        <v/>
      </c>
    </row>
    <row r="285" spans="2:11" ht="15" x14ac:dyDescent="0.2">
      <c r="B285" s="307" t="str">
        <f>IF(ISNUMBER('Funnel setup'!P297),VLOOKUP('Funnel setup'!$P297,'Provider Commission - Raw Data'!$A:$Q,5,0),"")</f>
        <v/>
      </c>
      <c r="C285" s="308" t="str">
        <f>IF(ISNUMBER('Funnel setup'!P297),VLOOKUP('Funnel setup'!P297,'Provider Commission - Raw Data'!$A:$Q,6,0),"")</f>
        <v/>
      </c>
      <c r="D285" s="309" t="str">
        <f>IF(ISNUMBER('Funnel setup'!P297),VLOOKUP('Funnel setup'!P297,'Provider Commission - Raw Data'!$A:$Q,8,0),"")</f>
        <v/>
      </c>
      <c r="E285" s="446" t="str">
        <f>IF(ISNUMBER('Funnel setup'!P297),VLOOKUP('Funnel setup'!P297,'Provider Commission - Raw Data'!$A:$Q,16,0),"")</f>
        <v/>
      </c>
      <c r="F285" s="310" t="str">
        <f>IF(ISNUMBER('Funnel setup'!P297),'Funnel setup'!$K$8,"")</f>
        <v/>
      </c>
      <c r="G285" s="310" t="str">
        <f>IF(AND(ISNUMBER('Funnel setup'!P297),D285&gt;=30,E285&lt;&gt;"*"),F285-1.959963985 *('Funnel setup'!$K$7/SQRT('Funnel Data'!D285)),"")</f>
        <v/>
      </c>
      <c r="H285" s="310" t="str">
        <f>IF(AND(ISNUMBER('Funnel setup'!P297),D285&gt;=30,E285&lt;&gt;"*"),F285+1.959963985 *('Funnel setup'!$K$7/SQRT('Funnel Data'!D285)),"")</f>
        <v/>
      </c>
      <c r="I285" s="310" t="str">
        <f>IF(AND(ISNUMBER('Funnel setup'!P297),D285&gt;=30,E285&lt;&gt;"*"),F285-3.090232306 *('Funnel setup'!$K$7/SQRT('Funnel Data'!D285)),"")</f>
        <v/>
      </c>
      <c r="J285" s="310" t="str">
        <f>IF(AND(ISNUMBER('Funnel setup'!P297),D285&gt;=30,E285&lt;&gt;"*"),F285+3.090232306 *('Funnel setup'!$K$7/SQRT('Funnel Data'!D285)),"")</f>
        <v/>
      </c>
      <c r="K285" s="311" t="str">
        <f>IF(AND(ISNUMBER('Funnel setup'!P297),D285&gt;=30,E285&lt;&gt;"*"),IF(E285&gt;J285,'Funnel setup'!$K$14&amp;"99.8%",IF(E285&gt;H285,'Funnel setup'!$K$14&amp;"95%",IF(E285&lt;I285,'Funnel setup'!$K$15&amp;"99.8%",IF(E285&lt;G285,'Funnel setup'!$K$15&amp;"95%","")))),"")</f>
        <v/>
      </c>
    </row>
    <row r="286" spans="2:11" ht="15" x14ac:dyDescent="0.2">
      <c r="B286" s="307" t="str">
        <f>IF(ISNUMBER('Funnel setup'!P298),VLOOKUP('Funnel setup'!$P298,'Provider Commission - Raw Data'!$A:$Q,5,0),"")</f>
        <v/>
      </c>
      <c r="C286" s="308" t="str">
        <f>IF(ISNUMBER('Funnel setup'!P298),VLOOKUP('Funnel setup'!P298,'Provider Commission - Raw Data'!$A:$Q,6,0),"")</f>
        <v/>
      </c>
      <c r="D286" s="309" t="str">
        <f>IF(ISNUMBER('Funnel setup'!P298),VLOOKUP('Funnel setup'!P298,'Provider Commission - Raw Data'!$A:$Q,8,0),"")</f>
        <v/>
      </c>
      <c r="E286" s="446" t="str">
        <f>IF(ISNUMBER('Funnel setup'!P298),VLOOKUP('Funnel setup'!P298,'Provider Commission - Raw Data'!$A:$Q,16,0),"")</f>
        <v/>
      </c>
      <c r="F286" s="310" t="str">
        <f>IF(ISNUMBER('Funnel setup'!P298),'Funnel setup'!$K$8,"")</f>
        <v/>
      </c>
      <c r="G286" s="310" t="str">
        <f>IF(AND(ISNUMBER('Funnel setup'!P298),D286&gt;=30,E286&lt;&gt;"*"),F286-1.959963985 *('Funnel setup'!$K$7/SQRT('Funnel Data'!D286)),"")</f>
        <v/>
      </c>
      <c r="H286" s="310" t="str">
        <f>IF(AND(ISNUMBER('Funnel setup'!P298),D286&gt;=30,E286&lt;&gt;"*"),F286+1.959963985 *('Funnel setup'!$K$7/SQRT('Funnel Data'!D286)),"")</f>
        <v/>
      </c>
      <c r="I286" s="310" t="str">
        <f>IF(AND(ISNUMBER('Funnel setup'!P298),D286&gt;=30,E286&lt;&gt;"*"),F286-3.090232306 *('Funnel setup'!$K$7/SQRT('Funnel Data'!D286)),"")</f>
        <v/>
      </c>
      <c r="J286" s="310" t="str">
        <f>IF(AND(ISNUMBER('Funnel setup'!P298),D286&gt;=30,E286&lt;&gt;"*"),F286+3.090232306 *('Funnel setup'!$K$7/SQRT('Funnel Data'!D286)),"")</f>
        <v/>
      </c>
      <c r="K286" s="311" t="str">
        <f>IF(AND(ISNUMBER('Funnel setup'!P298),D286&gt;=30,E286&lt;&gt;"*"),IF(E286&gt;J286,'Funnel setup'!$K$14&amp;"99.8%",IF(E286&gt;H286,'Funnel setup'!$K$14&amp;"95%",IF(E286&lt;I286,'Funnel setup'!$K$15&amp;"99.8%",IF(E286&lt;G286,'Funnel setup'!$K$15&amp;"95%","")))),"")</f>
        <v/>
      </c>
    </row>
    <row r="287" spans="2:11" ht="15" x14ac:dyDescent="0.2">
      <c r="B287" s="307" t="str">
        <f>IF(ISNUMBER('Funnel setup'!P299),VLOOKUP('Funnel setup'!$P299,'Provider Commission - Raw Data'!$A:$Q,5,0),"")</f>
        <v/>
      </c>
      <c r="C287" s="308" t="str">
        <f>IF(ISNUMBER('Funnel setup'!P299),VLOOKUP('Funnel setup'!P299,'Provider Commission - Raw Data'!$A:$Q,6,0),"")</f>
        <v/>
      </c>
      <c r="D287" s="309" t="str">
        <f>IF(ISNUMBER('Funnel setup'!P299),VLOOKUP('Funnel setup'!P299,'Provider Commission - Raw Data'!$A:$Q,8,0),"")</f>
        <v/>
      </c>
      <c r="E287" s="446" t="str">
        <f>IF(ISNUMBER('Funnel setup'!P299),VLOOKUP('Funnel setup'!P299,'Provider Commission - Raw Data'!$A:$Q,16,0),"")</f>
        <v/>
      </c>
      <c r="F287" s="310" t="str">
        <f>IF(ISNUMBER('Funnel setup'!P299),'Funnel setup'!$K$8,"")</f>
        <v/>
      </c>
      <c r="G287" s="310" t="str">
        <f>IF(AND(ISNUMBER('Funnel setup'!P299),D287&gt;=30,E287&lt;&gt;"*"),F287-1.959963985 *('Funnel setup'!$K$7/SQRT('Funnel Data'!D287)),"")</f>
        <v/>
      </c>
      <c r="H287" s="310" t="str">
        <f>IF(AND(ISNUMBER('Funnel setup'!P299),D287&gt;=30,E287&lt;&gt;"*"),F287+1.959963985 *('Funnel setup'!$K$7/SQRT('Funnel Data'!D287)),"")</f>
        <v/>
      </c>
      <c r="I287" s="310" t="str">
        <f>IF(AND(ISNUMBER('Funnel setup'!P299),D287&gt;=30,E287&lt;&gt;"*"),F287-3.090232306 *('Funnel setup'!$K$7/SQRT('Funnel Data'!D287)),"")</f>
        <v/>
      </c>
      <c r="J287" s="310" t="str">
        <f>IF(AND(ISNUMBER('Funnel setup'!P299),D287&gt;=30,E287&lt;&gt;"*"),F287+3.090232306 *('Funnel setup'!$K$7/SQRT('Funnel Data'!D287)),"")</f>
        <v/>
      </c>
      <c r="K287" s="311" t="str">
        <f>IF(AND(ISNUMBER('Funnel setup'!P299),D287&gt;=30,E287&lt;&gt;"*"),IF(E287&gt;J287,'Funnel setup'!$K$14&amp;"99.8%",IF(E287&gt;H287,'Funnel setup'!$K$14&amp;"95%",IF(E287&lt;I287,'Funnel setup'!$K$15&amp;"99.8%",IF(E287&lt;G287,'Funnel setup'!$K$15&amp;"95%","")))),"")</f>
        <v/>
      </c>
    </row>
    <row r="288" spans="2:11" ht="15" x14ac:dyDescent="0.2">
      <c r="B288" s="307" t="str">
        <f>IF(ISNUMBER('Funnel setup'!P300),VLOOKUP('Funnel setup'!$P300,'Provider Commission - Raw Data'!$A:$Q,5,0),"")</f>
        <v/>
      </c>
      <c r="C288" s="308" t="str">
        <f>IF(ISNUMBER('Funnel setup'!P300),VLOOKUP('Funnel setup'!P300,'Provider Commission - Raw Data'!$A:$Q,6,0),"")</f>
        <v/>
      </c>
      <c r="D288" s="309" t="str">
        <f>IF(ISNUMBER('Funnel setup'!P300),VLOOKUP('Funnel setup'!P300,'Provider Commission - Raw Data'!$A:$Q,8,0),"")</f>
        <v/>
      </c>
      <c r="E288" s="446" t="str">
        <f>IF(ISNUMBER('Funnel setup'!P300),VLOOKUP('Funnel setup'!P300,'Provider Commission - Raw Data'!$A:$Q,16,0),"")</f>
        <v/>
      </c>
      <c r="F288" s="310" t="str">
        <f>IF(ISNUMBER('Funnel setup'!P300),'Funnel setup'!$K$8,"")</f>
        <v/>
      </c>
      <c r="G288" s="310" t="str">
        <f>IF(AND(ISNUMBER('Funnel setup'!P300),D288&gt;=30,E288&lt;&gt;"*"),F288-1.959963985 *('Funnel setup'!$K$7/SQRT('Funnel Data'!D288)),"")</f>
        <v/>
      </c>
      <c r="H288" s="310" t="str">
        <f>IF(AND(ISNUMBER('Funnel setup'!P300),D288&gt;=30,E288&lt;&gt;"*"),F288+1.959963985 *('Funnel setup'!$K$7/SQRT('Funnel Data'!D288)),"")</f>
        <v/>
      </c>
      <c r="I288" s="310" t="str">
        <f>IF(AND(ISNUMBER('Funnel setup'!P300),D288&gt;=30,E288&lt;&gt;"*"),F288-3.090232306 *('Funnel setup'!$K$7/SQRT('Funnel Data'!D288)),"")</f>
        <v/>
      </c>
      <c r="J288" s="310" t="str">
        <f>IF(AND(ISNUMBER('Funnel setup'!P300),D288&gt;=30,E288&lt;&gt;"*"),F288+3.090232306 *('Funnel setup'!$K$7/SQRT('Funnel Data'!D288)),"")</f>
        <v/>
      </c>
      <c r="K288" s="311" t="str">
        <f>IF(AND(ISNUMBER('Funnel setup'!P300),D288&gt;=30,E288&lt;&gt;"*"),IF(E288&gt;J288,'Funnel setup'!$K$14&amp;"99.8%",IF(E288&gt;H288,'Funnel setup'!$K$14&amp;"95%",IF(E288&lt;I288,'Funnel setup'!$K$15&amp;"99.8%",IF(E288&lt;G288,'Funnel setup'!$K$15&amp;"95%","")))),"")</f>
        <v/>
      </c>
    </row>
    <row r="289" spans="2:11" ht="15" x14ac:dyDescent="0.2">
      <c r="B289" s="307" t="str">
        <f>IF(ISNUMBER('Funnel setup'!P301),VLOOKUP('Funnel setup'!$P301,'Provider Commission - Raw Data'!$A:$Q,5,0),"")</f>
        <v/>
      </c>
      <c r="C289" s="308" t="str">
        <f>IF(ISNUMBER('Funnel setup'!P301),VLOOKUP('Funnel setup'!P301,'Provider Commission - Raw Data'!$A:$Q,6,0),"")</f>
        <v/>
      </c>
      <c r="D289" s="309" t="str">
        <f>IF(ISNUMBER('Funnel setup'!P301),VLOOKUP('Funnel setup'!P301,'Provider Commission - Raw Data'!$A:$Q,8,0),"")</f>
        <v/>
      </c>
      <c r="E289" s="446" t="str">
        <f>IF(ISNUMBER('Funnel setup'!P301),VLOOKUP('Funnel setup'!P301,'Provider Commission - Raw Data'!$A:$Q,16,0),"")</f>
        <v/>
      </c>
      <c r="F289" s="310" t="str">
        <f>IF(ISNUMBER('Funnel setup'!P301),'Funnel setup'!$K$8,"")</f>
        <v/>
      </c>
      <c r="G289" s="310" t="str">
        <f>IF(AND(ISNUMBER('Funnel setup'!P301),D289&gt;=30,E289&lt;&gt;"*"),F289-1.959963985 *('Funnel setup'!$K$7/SQRT('Funnel Data'!D289)),"")</f>
        <v/>
      </c>
      <c r="H289" s="310" t="str">
        <f>IF(AND(ISNUMBER('Funnel setup'!P301),D289&gt;=30,E289&lt;&gt;"*"),F289+1.959963985 *('Funnel setup'!$K$7/SQRT('Funnel Data'!D289)),"")</f>
        <v/>
      </c>
      <c r="I289" s="310" t="str">
        <f>IF(AND(ISNUMBER('Funnel setup'!P301),D289&gt;=30,E289&lt;&gt;"*"),F289-3.090232306 *('Funnel setup'!$K$7/SQRT('Funnel Data'!D289)),"")</f>
        <v/>
      </c>
      <c r="J289" s="310" t="str">
        <f>IF(AND(ISNUMBER('Funnel setup'!P301),D289&gt;=30,E289&lt;&gt;"*"),F289+3.090232306 *('Funnel setup'!$K$7/SQRT('Funnel Data'!D289)),"")</f>
        <v/>
      </c>
      <c r="K289" s="311" t="str">
        <f>IF(AND(ISNUMBER('Funnel setup'!P301),D289&gt;=30,E289&lt;&gt;"*"),IF(E289&gt;J289,'Funnel setup'!$K$14&amp;"99.8%",IF(E289&gt;H289,'Funnel setup'!$K$14&amp;"95%",IF(E289&lt;I289,'Funnel setup'!$K$15&amp;"99.8%",IF(E289&lt;G289,'Funnel setup'!$K$15&amp;"95%","")))),"")</f>
        <v/>
      </c>
    </row>
    <row r="290" spans="2:11" ht="15" x14ac:dyDescent="0.2">
      <c r="B290" s="307" t="str">
        <f>IF(ISNUMBER('Funnel setup'!P302),VLOOKUP('Funnel setup'!$P302,'Provider Commission - Raw Data'!$A:$Q,5,0),"")</f>
        <v/>
      </c>
      <c r="C290" s="308" t="str">
        <f>IF(ISNUMBER('Funnel setup'!P302),VLOOKUP('Funnel setup'!P302,'Provider Commission - Raw Data'!$A:$Q,6,0),"")</f>
        <v/>
      </c>
      <c r="D290" s="309" t="str">
        <f>IF(ISNUMBER('Funnel setup'!P302),VLOOKUP('Funnel setup'!P302,'Provider Commission - Raw Data'!$A:$Q,8,0),"")</f>
        <v/>
      </c>
      <c r="E290" s="446" t="str">
        <f>IF(ISNUMBER('Funnel setup'!P302),VLOOKUP('Funnel setup'!P302,'Provider Commission - Raw Data'!$A:$Q,16,0),"")</f>
        <v/>
      </c>
      <c r="F290" s="310" t="str">
        <f>IF(ISNUMBER('Funnel setup'!P302),'Funnel setup'!$K$8,"")</f>
        <v/>
      </c>
      <c r="G290" s="310" t="str">
        <f>IF(AND(ISNUMBER('Funnel setup'!P302),D290&gt;=30,E290&lt;&gt;"*"),F290-1.959963985 *('Funnel setup'!$K$7/SQRT('Funnel Data'!D290)),"")</f>
        <v/>
      </c>
      <c r="H290" s="310" t="str">
        <f>IF(AND(ISNUMBER('Funnel setup'!P302),D290&gt;=30,E290&lt;&gt;"*"),F290+1.959963985 *('Funnel setup'!$K$7/SQRT('Funnel Data'!D290)),"")</f>
        <v/>
      </c>
      <c r="I290" s="310" t="str">
        <f>IF(AND(ISNUMBER('Funnel setup'!P302),D290&gt;=30,E290&lt;&gt;"*"),F290-3.090232306 *('Funnel setup'!$K$7/SQRT('Funnel Data'!D290)),"")</f>
        <v/>
      </c>
      <c r="J290" s="310" t="str">
        <f>IF(AND(ISNUMBER('Funnel setup'!P302),D290&gt;=30,E290&lt;&gt;"*"),F290+3.090232306 *('Funnel setup'!$K$7/SQRT('Funnel Data'!D290)),"")</f>
        <v/>
      </c>
      <c r="K290" s="311" t="str">
        <f>IF(AND(ISNUMBER('Funnel setup'!P302),D290&gt;=30,E290&lt;&gt;"*"),IF(E290&gt;J290,'Funnel setup'!$K$14&amp;"99.8%",IF(E290&gt;H290,'Funnel setup'!$K$14&amp;"95%",IF(E290&lt;I290,'Funnel setup'!$K$15&amp;"99.8%",IF(E290&lt;G290,'Funnel setup'!$K$15&amp;"95%","")))),"")</f>
        <v/>
      </c>
    </row>
    <row r="291" spans="2:11" ht="15" x14ac:dyDescent="0.2">
      <c r="B291" s="307" t="str">
        <f>IF(ISNUMBER('Funnel setup'!P303),VLOOKUP('Funnel setup'!$P303,'Provider Commission - Raw Data'!$A:$Q,5,0),"")</f>
        <v/>
      </c>
      <c r="C291" s="308" t="str">
        <f>IF(ISNUMBER('Funnel setup'!P303),VLOOKUP('Funnel setup'!P303,'Provider Commission - Raw Data'!$A:$Q,6,0),"")</f>
        <v/>
      </c>
      <c r="D291" s="309" t="str">
        <f>IF(ISNUMBER('Funnel setup'!P303),VLOOKUP('Funnel setup'!P303,'Provider Commission - Raw Data'!$A:$Q,8,0),"")</f>
        <v/>
      </c>
      <c r="E291" s="446" t="str">
        <f>IF(ISNUMBER('Funnel setup'!P303),VLOOKUP('Funnel setup'!P303,'Provider Commission - Raw Data'!$A:$Q,16,0),"")</f>
        <v/>
      </c>
      <c r="F291" s="310" t="str">
        <f>IF(ISNUMBER('Funnel setup'!P303),'Funnel setup'!$K$8,"")</f>
        <v/>
      </c>
      <c r="G291" s="310" t="str">
        <f>IF(AND(ISNUMBER('Funnel setup'!P303),D291&gt;=30,E291&lt;&gt;"*"),F291-1.959963985 *('Funnel setup'!$K$7/SQRT('Funnel Data'!D291)),"")</f>
        <v/>
      </c>
      <c r="H291" s="310" t="str">
        <f>IF(AND(ISNUMBER('Funnel setup'!P303),D291&gt;=30,E291&lt;&gt;"*"),F291+1.959963985 *('Funnel setup'!$K$7/SQRT('Funnel Data'!D291)),"")</f>
        <v/>
      </c>
      <c r="I291" s="310" t="str">
        <f>IF(AND(ISNUMBER('Funnel setup'!P303),D291&gt;=30,E291&lt;&gt;"*"),F291-3.090232306 *('Funnel setup'!$K$7/SQRT('Funnel Data'!D291)),"")</f>
        <v/>
      </c>
      <c r="J291" s="310" t="str">
        <f>IF(AND(ISNUMBER('Funnel setup'!P303),D291&gt;=30,E291&lt;&gt;"*"),F291+3.090232306 *('Funnel setup'!$K$7/SQRT('Funnel Data'!D291)),"")</f>
        <v/>
      </c>
      <c r="K291" s="311" t="str">
        <f>IF(AND(ISNUMBER('Funnel setup'!P303),D291&gt;=30,E291&lt;&gt;"*"),IF(E291&gt;J291,'Funnel setup'!$K$14&amp;"99.8%",IF(E291&gt;H291,'Funnel setup'!$K$14&amp;"95%",IF(E291&lt;I291,'Funnel setup'!$K$15&amp;"99.8%",IF(E291&lt;G291,'Funnel setup'!$K$15&amp;"95%","")))),"")</f>
        <v/>
      </c>
    </row>
    <row r="292" spans="2:11" ht="15" x14ac:dyDescent="0.2">
      <c r="B292" s="307" t="str">
        <f>IF(ISNUMBER('Funnel setup'!P304),VLOOKUP('Funnel setup'!$P304,'Provider Commission - Raw Data'!$A:$Q,5,0),"")</f>
        <v/>
      </c>
      <c r="C292" s="308" t="str">
        <f>IF(ISNUMBER('Funnel setup'!P304),VLOOKUP('Funnel setup'!P304,'Provider Commission - Raw Data'!$A:$Q,6,0),"")</f>
        <v/>
      </c>
      <c r="D292" s="309" t="str">
        <f>IF(ISNUMBER('Funnel setup'!P304),VLOOKUP('Funnel setup'!P304,'Provider Commission - Raw Data'!$A:$Q,8,0),"")</f>
        <v/>
      </c>
      <c r="E292" s="446" t="str">
        <f>IF(ISNUMBER('Funnel setup'!P304),VLOOKUP('Funnel setup'!P304,'Provider Commission - Raw Data'!$A:$Q,16,0),"")</f>
        <v/>
      </c>
      <c r="F292" s="310" t="str">
        <f>IF(ISNUMBER('Funnel setup'!P304),'Funnel setup'!$K$8,"")</f>
        <v/>
      </c>
      <c r="G292" s="310" t="str">
        <f>IF(AND(ISNUMBER('Funnel setup'!P304),D292&gt;=30,E292&lt;&gt;"*"),F292-1.959963985 *('Funnel setup'!$K$7/SQRT('Funnel Data'!D292)),"")</f>
        <v/>
      </c>
      <c r="H292" s="310" t="str">
        <f>IF(AND(ISNUMBER('Funnel setup'!P304),D292&gt;=30,E292&lt;&gt;"*"),F292+1.959963985 *('Funnel setup'!$K$7/SQRT('Funnel Data'!D292)),"")</f>
        <v/>
      </c>
      <c r="I292" s="310" t="str">
        <f>IF(AND(ISNUMBER('Funnel setup'!P304),D292&gt;=30,E292&lt;&gt;"*"),F292-3.090232306 *('Funnel setup'!$K$7/SQRT('Funnel Data'!D292)),"")</f>
        <v/>
      </c>
      <c r="J292" s="310" t="str">
        <f>IF(AND(ISNUMBER('Funnel setup'!P304),D292&gt;=30,E292&lt;&gt;"*"),F292+3.090232306 *('Funnel setup'!$K$7/SQRT('Funnel Data'!D292)),"")</f>
        <v/>
      </c>
      <c r="K292" s="311" t="str">
        <f>IF(AND(ISNUMBER('Funnel setup'!P304),D292&gt;=30,E292&lt;&gt;"*"),IF(E292&gt;J292,'Funnel setup'!$K$14&amp;"99.8%",IF(E292&gt;H292,'Funnel setup'!$K$14&amp;"95%",IF(E292&lt;I292,'Funnel setup'!$K$15&amp;"99.8%",IF(E292&lt;G292,'Funnel setup'!$K$15&amp;"95%","")))),"")</f>
        <v/>
      </c>
    </row>
    <row r="293" spans="2:11" ht="15" x14ac:dyDescent="0.2">
      <c r="B293" s="307" t="str">
        <f>IF(ISNUMBER('Funnel setup'!P305),VLOOKUP('Funnel setup'!$P305,'Provider Commission - Raw Data'!$A:$Q,5,0),"")</f>
        <v/>
      </c>
      <c r="C293" s="308" t="str">
        <f>IF(ISNUMBER('Funnel setup'!P305),VLOOKUP('Funnel setup'!P305,'Provider Commission - Raw Data'!$A:$Q,6,0),"")</f>
        <v/>
      </c>
      <c r="D293" s="309" t="str">
        <f>IF(ISNUMBER('Funnel setup'!P305),VLOOKUP('Funnel setup'!P305,'Provider Commission - Raw Data'!$A:$Q,8,0),"")</f>
        <v/>
      </c>
      <c r="E293" s="446" t="str">
        <f>IF(ISNUMBER('Funnel setup'!P305),VLOOKUP('Funnel setup'!P305,'Provider Commission - Raw Data'!$A:$Q,16,0),"")</f>
        <v/>
      </c>
      <c r="F293" s="310" t="str">
        <f>IF(ISNUMBER('Funnel setup'!P305),'Funnel setup'!$K$8,"")</f>
        <v/>
      </c>
      <c r="G293" s="310" t="str">
        <f>IF(AND(ISNUMBER('Funnel setup'!P305),D293&gt;=30,E293&lt;&gt;"*"),F293-1.959963985 *('Funnel setup'!$K$7/SQRT('Funnel Data'!D293)),"")</f>
        <v/>
      </c>
      <c r="H293" s="310" t="str">
        <f>IF(AND(ISNUMBER('Funnel setup'!P305),D293&gt;=30,E293&lt;&gt;"*"),F293+1.959963985 *('Funnel setup'!$K$7/SQRT('Funnel Data'!D293)),"")</f>
        <v/>
      </c>
      <c r="I293" s="310" t="str">
        <f>IF(AND(ISNUMBER('Funnel setup'!P305),D293&gt;=30,E293&lt;&gt;"*"),F293-3.090232306 *('Funnel setup'!$K$7/SQRT('Funnel Data'!D293)),"")</f>
        <v/>
      </c>
      <c r="J293" s="310" t="str">
        <f>IF(AND(ISNUMBER('Funnel setup'!P305),D293&gt;=30,E293&lt;&gt;"*"),F293+3.090232306 *('Funnel setup'!$K$7/SQRT('Funnel Data'!D293)),"")</f>
        <v/>
      </c>
      <c r="K293" s="311" t="str">
        <f>IF(AND(ISNUMBER('Funnel setup'!P305),D293&gt;=30,E293&lt;&gt;"*"),IF(E293&gt;J293,'Funnel setup'!$K$14&amp;"99.8%",IF(E293&gt;H293,'Funnel setup'!$K$14&amp;"95%",IF(E293&lt;I293,'Funnel setup'!$K$15&amp;"99.8%",IF(E293&lt;G293,'Funnel setup'!$K$15&amp;"95%","")))),"")</f>
        <v/>
      </c>
    </row>
    <row r="294" spans="2:11" ht="15" x14ac:dyDescent="0.2">
      <c r="B294" s="307" t="str">
        <f>IF(ISNUMBER('Funnel setup'!P306),VLOOKUP('Funnel setup'!$P306,'Provider Commission - Raw Data'!$A:$Q,5,0),"")</f>
        <v/>
      </c>
      <c r="C294" s="308" t="str">
        <f>IF(ISNUMBER('Funnel setup'!P306),VLOOKUP('Funnel setup'!P306,'Provider Commission - Raw Data'!$A:$Q,6,0),"")</f>
        <v/>
      </c>
      <c r="D294" s="309" t="str">
        <f>IF(ISNUMBER('Funnel setup'!P306),VLOOKUP('Funnel setup'!P306,'Provider Commission - Raw Data'!$A:$Q,8,0),"")</f>
        <v/>
      </c>
      <c r="E294" s="446" t="str">
        <f>IF(ISNUMBER('Funnel setup'!P306),VLOOKUP('Funnel setup'!P306,'Provider Commission - Raw Data'!$A:$Q,16,0),"")</f>
        <v/>
      </c>
      <c r="F294" s="310" t="str">
        <f>IF(ISNUMBER('Funnel setup'!P306),'Funnel setup'!$K$8,"")</f>
        <v/>
      </c>
      <c r="G294" s="310" t="str">
        <f>IF(AND(ISNUMBER('Funnel setup'!P306),D294&gt;=30,E294&lt;&gt;"*"),F294-1.959963985 *('Funnel setup'!$K$7/SQRT('Funnel Data'!D294)),"")</f>
        <v/>
      </c>
      <c r="H294" s="310" t="str">
        <f>IF(AND(ISNUMBER('Funnel setup'!P306),D294&gt;=30,E294&lt;&gt;"*"),F294+1.959963985 *('Funnel setup'!$K$7/SQRT('Funnel Data'!D294)),"")</f>
        <v/>
      </c>
      <c r="I294" s="310" t="str">
        <f>IF(AND(ISNUMBER('Funnel setup'!P306),D294&gt;=30,E294&lt;&gt;"*"),F294-3.090232306 *('Funnel setup'!$K$7/SQRT('Funnel Data'!D294)),"")</f>
        <v/>
      </c>
      <c r="J294" s="310" t="str">
        <f>IF(AND(ISNUMBER('Funnel setup'!P306),D294&gt;=30,E294&lt;&gt;"*"),F294+3.090232306 *('Funnel setup'!$K$7/SQRT('Funnel Data'!D294)),"")</f>
        <v/>
      </c>
      <c r="K294" s="311" t="str">
        <f>IF(AND(ISNUMBER('Funnel setup'!P306),D294&gt;=30,E294&lt;&gt;"*"),IF(E294&gt;J294,'Funnel setup'!$K$14&amp;"99.8%",IF(E294&gt;H294,'Funnel setup'!$K$14&amp;"95%",IF(E294&lt;I294,'Funnel setup'!$K$15&amp;"99.8%",IF(E294&lt;G294,'Funnel setup'!$K$15&amp;"95%","")))),"")</f>
        <v/>
      </c>
    </row>
    <row r="295" spans="2:11" ht="15" x14ac:dyDescent="0.2">
      <c r="B295" s="307" t="str">
        <f>IF(ISNUMBER('Funnel setup'!P307),VLOOKUP('Funnel setup'!$P307,'Provider Commission - Raw Data'!$A:$Q,5,0),"")</f>
        <v/>
      </c>
      <c r="C295" s="308" t="str">
        <f>IF(ISNUMBER('Funnel setup'!P307),VLOOKUP('Funnel setup'!P307,'Provider Commission - Raw Data'!$A:$Q,6,0),"")</f>
        <v/>
      </c>
      <c r="D295" s="309" t="str">
        <f>IF(ISNUMBER('Funnel setup'!P307),VLOOKUP('Funnel setup'!P307,'Provider Commission - Raw Data'!$A:$Q,8,0),"")</f>
        <v/>
      </c>
      <c r="E295" s="446" t="str">
        <f>IF(ISNUMBER('Funnel setup'!P307),VLOOKUP('Funnel setup'!P307,'Provider Commission - Raw Data'!$A:$Q,16,0),"")</f>
        <v/>
      </c>
      <c r="F295" s="310" t="str">
        <f>IF(ISNUMBER('Funnel setup'!P307),'Funnel setup'!$K$8,"")</f>
        <v/>
      </c>
      <c r="G295" s="310" t="str">
        <f>IF(AND(ISNUMBER('Funnel setup'!P307),D295&gt;=30,E295&lt;&gt;"*"),F295-1.959963985 *('Funnel setup'!$K$7/SQRT('Funnel Data'!D295)),"")</f>
        <v/>
      </c>
      <c r="H295" s="310" t="str">
        <f>IF(AND(ISNUMBER('Funnel setup'!P307),D295&gt;=30,E295&lt;&gt;"*"),F295+1.959963985 *('Funnel setup'!$K$7/SQRT('Funnel Data'!D295)),"")</f>
        <v/>
      </c>
      <c r="I295" s="310" t="str">
        <f>IF(AND(ISNUMBER('Funnel setup'!P307),D295&gt;=30,E295&lt;&gt;"*"),F295-3.090232306 *('Funnel setup'!$K$7/SQRT('Funnel Data'!D295)),"")</f>
        <v/>
      </c>
      <c r="J295" s="310" t="str">
        <f>IF(AND(ISNUMBER('Funnel setup'!P307),D295&gt;=30,E295&lt;&gt;"*"),F295+3.090232306 *('Funnel setup'!$K$7/SQRT('Funnel Data'!D295)),"")</f>
        <v/>
      </c>
      <c r="K295" s="311" t="str">
        <f>IF(AND(ISNUMBER('Funnel setup'!P307),D295&gt;=30,E295&lt;&gt;"*"),IF(E295&gt;J295,'Funnel setup'!$K$14&amp;"99.8%",IF(E295&gt;H295,'Funnel setup'!$K$14&amp;"95%",IF(E295&lt;I295,'Funnel setup'!$K$15&amp;"99.8%",IF(E295&lt;G295,'Funnel setup'!$K$15&amp;"95%","")))),"")</f>
        <v/>
      </c>
    </row>
    <row r="296" spans="2:11" ht="15" x14ac:dyDescent="0.2">
      <c r="B296" s="307" t="str">
        <f>IF(ISNUMBER('Funnel setup'!P308),VLOOKUP('Funnel setup'!$P308,'Provider Commission - Raw Data'!$A:$Q,5,0),"")</f>
        <v/>
      </c>
      <c r="C296" s="308" t="str">
        <f>IF(ISNUMBER('Funnel setup'!P308),VLOOKUP('Funnel setup'!P308,'Provider Commission - Raw Data'!$A:$Q,6,0),"")</f>
        <v/>
      </c>
      <c r="D296" s="309" t="str">
        <f>IF(ISNUMBER('Funnel setup'!P308),VLOOKUP('Funnel setup'!P308,'Provider Commission - Raw Data'!$A:$Q,8,0),"")</f>
        <v/>
      </c>
      <c r="E296" s="446" t="str">
        <f>IF(ISNUMBER('Funnel setup'!P308),VLOOKUP('Funnel setup'!P308,'Provider Commission - Raw Data'!$A:$Q,16,0),"")</f>
        <v/>
      </c>
      <c r="F296" s="310" t="str">
        <f>IF(ISNUMBER('Funnel setup'!P308),'Funnel setup'!$K$8,"")</f>
        <v/>
      </c>
      <c r="G296" s="310" t="str">
        <f>IF(AND(ISNUMBER('Funnel setup'!P308),D296&gt;=30,E296&lt;&gt;"*"),F296-1.959963985 *('Funnel setup'!$K$7/SQRT('Funnel Data'!D296)),"")</f>
        <v/>
      </c>
      <c r="H296" s="310" t="str">
        <f>IF(AND(ISNUMBER('Funnel setup'!P308),D296&gt;=30,E296&lt;&gt;"*"),F296+1.959963985 *('Funnel setup'!$K$7/SQRT('Funnel Data'!D296)),"")</f>
        <v/>
      </c>
      <c r="I296" s="310" t="str">
        <f>IF(AND(ISNUMBER('Funnel setup'!P308),D296&gt;=30,E296&lt;&gt;"*"),F296-3.090232306 *('Funnel setup'!$K$7/SQRT('Funnel Data'!D296)),"")</f>
        <v/>
      </c>
      <c r="J296" s="310" t="str">
        <f>IF(AND(ISNUMBER('Funnel setup'!P308),D296&gt;=30,E296&lt;&gt;"*"),F296+3.090232306 *('Funnel setup'!$K$7/SQRT('Funnel Data'!D296)),"")</f>
        <v/>
      </c>
      <c r="K296" s="311" t="str">
        <f>IF(AND(ISNUMBER('Funnel setup'!P308),D296&gt;=30,E296&lt;&gt;"*"),IF(E296&gt;J296,'Funnel setup'!$K$14&amp;"99.8%",IF(E296&gt;H296,'Funnel setup'!$K$14&amp;"95%",IF(E296&lt;I296,'Funnel setup'!$K$15&amp;"99.8%",IF(E296&lt;G296,'Funnel setup'!$K$15&amp;"95%","")))),"")</f>
        <v/>
      </c>
    </row>
    <row r="297" spans="2:11" ht="15" x14ac:dyDescent="0.2">
      <c r="B297" s="307" t="str">
        <f>IF(ISNUMBER('Funnel setup'!P309),VLOOKUP('Funnel setup'!$P309,'Provider Commission - Raw Data'!$A:$Q,5,0),"")</f>
        <v/>
      </c>
      <c r="C297" s="308" t="str">
        <f>IF(ISNUMBER('Funnel setup'!P309),VLOOKUP('Funnel setup'!P309,'Provider Commission - Raw Data'!$A:$Q,6,0),"")</f>
        <v/>
      </c>
      <c r="D297" s="309" t="str">
        <f>IF(ISNUMBER('Funnel setup'!P309),VLOOKUP('Funnel setup'!P309,'Provider Commission - Raw Data'!$A:$Q,8,0),"")</f>
        <v/>
      </c>
      <c r="E297" s="446" t="str">
        <f>IF(ISNUMBER('Funnel setup'!P309),VLOOKUP('Funnel setup'!P309,'Provider Commission - Raw Data'!$A:$Q,16,0),"")</f>
        <v/>
      </c>
      <c r="F297" s="310" t="str">
        <f>IF(ISNUMBER('Funnel setup'!P309),'Funnel setup'!$K$8,"")</f>
        <v/>
      </c>
      <c r="G297" s="310" t="str">
        <f>IF(AND(ISNUMBER('Funnel setup'!P309),D297&gt;=30,E297&lt;&gt;"*"),F297-1.959963985 *('Funnel setup'!$K$7/SQRT('Funnel Data'!D297)),"")</f>
        <v/>
      </c>
      <c r="H297" s="310" t="str">
        <f>IF(AND(ISNUMBER('Funnel setup'!P309),D297&gt;=30,E297&lt;&gt;"*"),F297+1.959963985 *('Funnel setup'!$K$7/SQRT('Funnel Data'!D297)),"")</f>
        <v/>
      </c>
      <c r="I297" s="310" t="str">
        <f>IF(AND(ISNUMBER('Funnel setup'!P309),D297&gt;=30,E297&lt;&gt;"*"),F297-3.090232306 *('Funnel setup'!$K$7/SQRT('Funnel Data'!D297)),"")</f>
        <v/>
      </c>
      <c r="J297" s="310" t="str">
        <f>IF(AND(ISNUMBER('Funnel setup'!P309),D297&gt;=30,E297&lt;&gt;"*"),F297+3.090232306 *('Funnel setup'!$K$7/SQRT('Funnel Data'!D297)),"")</f>
        <v/>
      </c>
      <c r="K297" s="311" t="str">
        <f>IF(AND(ISNUMBER('Funnel setup'!P309),D297&gt;=30,E297&lt;&gt;"*"),IF(E297&gt;J297,'Funnel setup'!$K$14&amp;"99.8%",IF(E297&gt;H297,'Funnel setup'!$K$14&amp;"95%",IF(E297&lt;I297,'Funnel setup'!$K$15&amp;"99.8%",IF(E297&lt;G297,'Funnel setup'!$K$15&amp;"95%","")))),"")</f>
        <v/>
      </c>
    </row>
    <row r="298" spans="2:11" ht="15" x14ac:dyDescent="0.2">
      <c r="B298" s="307" t="str">
        <f>IF(ISNUMBER('Funnel setup'!P310),VLOOKUP('Funnel setup'!$P310,'Provider Commission - Raw Data'!$A:$Q,5,0),"")</f>
        <v/>
      </c>
      <c r="C298" s="308" t="str">
        <f>IF(ISNUMBER('Funnel setup'!P310),VLOOKUP('Funnel setup'!P310,'Provider Commission - Raw Data'!$A:$Q,6,0),"")</f>
        <v/>
      </c>
      <c r="D298" s="309" t="str">
        <f>IF(ISNUMBER('Funnel setup'!P310),VLOOKUP('Funnel setup'!P310,'Provider Commission - Raw Data'!$A:$Q,8,0),"")</f>
        <v/>
      </c>
      <c r="E298" s="446" t="str">
        <f>IF(ISNUMBER('Funnel setup'!P310),VLOOKUP('Funnel setup'!P310,'Provider Commission - Raw Data'!$A:$Q,16,0),"")</f>
        <v/>
      </c>
      <c r="F298" s="310" t="str">
        <f>IF(ISNUMBER('Funnel setup'!P310),'Funnel setup'!$K$8,"")</f>
        <v/>
      </c>
      <c r="G298" s="310" t="str">
        <f>IF(AND(ISNUMBER('Funnel setup'!P310),D298&gt;=30,E298&lt;&gt;"*"),F298-1.959963985 *('Funnel setup'!$K$7/SQRT('Funnel Data'!D298)),"")</f>
        <v/>
      </c>
      <c r="H298" s="310" t="str">
        <f>IF(AND(ISNUMBER('Funnel setup'!P310),D298&gt;=30,E298&lt;&gt;"*"),F298+1.959963985 *('Funnel setup'!$K$7/SQRT('Funnel Data'!D298)),"")</f>
        <v/>
      </c>
      <c r="I298" s="310" t="str">
        <f>IF(AND(ISNUMBER('Funnel setup'!P310),D298&gt;=30,E298&lt;&gt;"*"),F298-3.090232306 *('Funnel setup'!$K$7/SQRT('Funnel Data'!D298)),"")</f>
        <v/>
      </c>
      <c r="J298" s="310" t="str">
        <f>IF(AND(ISNUMBER('Funnel setup'!P310),D298&gt;=30,E298&lt;&gt;"*"),F298+3.090232306 *('Funnel setup'!$K$7/SQRT('Funnel Data'!D298)),"")</f>
        <v/>
      </c>
      <c r="K298" s="311" t="str">
        <f>IF(AND(ISNUMBER('Funnel setup'!P310),D298&gt;=30,E298&lt;&gt;"*"),IF(E298&gt;J298,'Funnel setup'!$K$14&amp;"99.8%",IF(E298&gt;H298,'Funnel setup'!$K$14&amp;"95%",IF(E298&lt;I298,'Funnel setup'!$K$15&amp;"99.8%",IF(E298&lt;G298,'Funnel setup'!$K$15&amp;"95%","")))),"")</f>
        <v/>
      </c>
    </row>
    <row r="299" spans="2:11" ht="15" x14ac:dyDescent="0.2">
      <c r="B299" s="307" t="str">
        <f>IF(ISNUMBER('Funnel setup'!P311),VLOOKUP('Funnel setup'!$P311,'Provider Commission - Raw Data'!$A:$Q,5,0),"")</f>
        <v/>
      </c>
      <c r="C299" s="308" t="str">
        <f>IF(ISNUMBER('Funnel setup'!P311),VLOOKUP('Funnel setup'!P311,'Provider Commission - Raw Data'!$A:$Q,6,0),"")</f>
        <v/>
      </c>
      <c r="D299" s="309" t="str">
        <f>IF(ISNUMBER('Funnel setup'!P311),VLOOKUP('Funnel setup'!P311,'Provider Commission - Raw Data'!$A:$Q,8,0),"")</f>
        <v/>
      </c>
      <c r="E299" s="446" t="str">
        <f>IF(ISNUMBER('Funnel setup'!P311),VLOOKUP('Funnel setup'!P311,'Provider Commission - Raw Data'!$A:$Q,16,0),"")</f>
        <v/>
      </c>
      <c r="F299" s="310" t="str">
        <f>IF(ISNUMBER('Funnel setup'!P311),'Funnel setup'!$K$8,"")</f>
        <v/>
      </c>
      <c r="G299" s="310" t="str">
        <f>IF(AND(ISNUMBER('Funnel setup'!P311),D299&gt;=30,E299&lt;&gt;"*"),F299-1.959963985 *('Funnel setup'!$K$7/SQRT('Funnel Data'!D299)),"")</f>
        <v/>
      </c>
      <c r="H299" s="310" t="str">
        <f>IF(AND(ISNUMBER('Funnel setup'!P311),D299&gt;=30,E299&lt;&gt;"*"),F299+1.959963985 *('Funnel setup'!$K$7/SQRT('Funnel Data'!D299)),"")</f>
        <v/>
      </c>
      <c r="I299" s="310" t="str">
        <f>IF(AND(ISNUMBER('Funnel setup'!P311),D299&gt;=30,E299&lt;&gt;"*"),F299-3.090232306 *('Funnel setup'!$K$7/SQRT('Funnel Data'!D299)),"")</f>
        <v/>
      </c>
      <c r="J299" s="310" t="str">
        <f>IF(AND(ISNUMBER('Funnel setup'!P311),D299&gt;=30,E299&lt;&gt;"*"),F299+3.090232306 *('Funnel setup'!$K$7/SQRT('Funnel Data'!D299)),"")</f>
        <v/>
      </c>
      <c r="K299" s="311" t="str">
        <f>IF(AND(ISNUMBER('Funnel setup'!P311),D299&gt;=30,E299&lt;&gt;"*"),IF(E299&gt;J299,'Funnel setup'!$K$14&amp;"99.8%",IF(E299&gt;H299,'Funnel setup'!$K$14&amp;"95%",IF(E299&lt;I299,'Funnel setup'!$K$15&amp;"99.8%",IF(E299&lt;G299,'Funnel setup'!$K$15&amp;"95%","")))),"")</f>
        <v/>
      </c>
    </row>
    <row r="300" spans="2:11" ht="15" x14ac:dyDescent="0.2">
      <c r="B300" s="307" t="str">
        <f>IF(ISNUMBER('Funnel setup'!P312),VLOOKUP('Funnel setup'!$P312,'Provider Commission - Raw Data'!$A:$Q,5,0),"")</f>
        <v/>
      </c>
      <c r="C300" s="308" t="str">
        <f>IF(ISNUMBER('Funnel setup'!P312),VLOOKUP('Funnel setup'!P312,'Provider Commission - Raw Data'!$A:$Q,6,0),"")</f>
        <v/>
      </c>
      <c r="D300" s="309" t="str">
        <f>IF(ISNUMBER('Funnel setup'!P312),VLOOKUP('Funnel setup'!P312,'Provider Commission - Raw Data'!$A:$Q,8,0),"")</f>
        <v/>
      </c>
      <c r="E300" s="446" t="str">
        <f>IF(ISNUMBER('Funnel setup'!P312),VLOOKUP('Funnel setup'!P312,'Provider Commission - Raw Data'!$A:$Q,16,0),"")</f>
        <v/>
      </c>
      <c r="F300" s="310" t="str">
        <f>IF(ISNUMBER('Funnel setup'!P312),'Funnel setup'!$K$8,"")</f>
        <v/>
      </c>
      <c r="G300" s="310" t="str">
        <f>IF(AND(ISNUMBER('Funnel setup'!P312),D300&gt;=30,E300&lt;&gt;"*"),F300-1.959963985 *('Funnel setup'!$K$7/SQRT('Funnel Data'!D300)),"")</f>
        <v/>
      </c>
      <c r="H300" s="310" t="str">
        <f>IF(AND(ISNUMBER('Funnel setup'!P312),D300&gt;=30,E300&lt;&gt;"*"),F300+1.959963985 *('Funnel setup'!$K$7/SQRT('Funnel Data'!D300)),"")</f>
        <v/>
      </c>
      <c r="I300" s="310" t="str">
        <f>IF(AND(ISNUMBER('Funnel setup'!P312),D300&gt;=30,E300&lt;&gt;"*"),F300-3.090232306 *('Funnel setup'!$K$7/SQRT('Funnel Data'!D300)),"")</f>
        <v/>
      </c>
      <c r="J300" s="310" t="str">
        <f>IF(AND(ISNUMBER('Funnel setup'!P312),D300&gt;=30,E300&lt;&gt;"*"),F300+3.090232306 *('Funnel setup'!$K$7/SQRT('Funnel Data'!D300)),"")</f>
        <v/>
      </c>
      <c r="K300" s="311" t="str">
        <f>IF(AND(ISNUMBER('Funnel setup'!P312),D300&gt;=30,E300&lt;&gt;"*"),IF(E300&gt;J300,'Funnel setup'!$K$14&amp;"99.8%",IF(E300&gt;H300,'Funnel setup'!$K$14&amp;"95%",IF(E300&lt;I300,'Funnel setup'!$K$15&amp;"99.8%",IF(E300&lt;G300,'Funnel setup'!$K$15&amp;"95%","")))),"")</f>
        <v/>
      </c>
    </row>
    <row r="301" spans="2:11" ht="15" x14ac:dyDescent="0.2">
      <c r="B301" s="307" t="str">
        <f>IF(ISNUMBER('Funnel setup'!P313),VLOOKUP('Funnel setup'!$P313,'Provider Commission - Raw Data'!$A:$Q,5,0),"")</f>
        <v/>
      </c>
      <c r="C301" s="308" t="str">
        <f>IF(ISNUMBER('Funnel setup'!P313),VLOOKUP('Funnel setup'!P313,'Provider Commission - Raw Data'!$A:$Q,6,0),"")</f>
        <v/>
      </c>
      <c r="D301" s="309" t="str">
        <f>IF(ISNUMBER('Funnel setup'!P313),VLOOKUP('Funnel setup'!P313,'Provider Commission - Raw Data'!$A:$Q,8,0),"")</f>
        <v/>
      </c>
      <c r="E301" s="446" t="str">
        <f>IF(ISNUMBER('Funnel setup'!P313),VLOOKUP('Funnel setup'!P313,'Provider Commission - Raw Data'!$A:$Q,16,0),"")</f>
        <v/>
      </c>
      <c r="F301" s="310" t="str">
        <f>IF(ISNUMBER('Funnel setup'!P313),'Funnel setup'!$K$8,"")</f>
        <v/>
      </c>
      <c r="G301" s="310" t="str">
        <f>IF(AND(ISNUMBER('Funnel setup'!P313),D301&gt;=30,E301&lt;&gt;"*"),F301-1.959963985 *('Funnel setup'!$K$7/SQRT('Funnel Data'!D301)),"")</f>
        <v/>
      </c>
      <c r="H301" s="310" t="str">
        <f>IF(AND(ISNUMBER('Funnel setup'!P313),D301&gt;=30,E301&lt;&gt;"*"),F301+1.959963985 *('Funnel setup'!$K$7/SQRT('Funnel Data'!D301)),"")</f>
        <v/>
      </c>
      <c r="I301" s="310" t="str">
        <f>IF(AND(ISNUMBER('Funnel setup'!P313),D301&gt;=30,E301&lt;&gt;"*"),F301-3.090232306 *('Funnel setup'!$K$7/SQRT('Funnel Data'!D301)),"")</f>
        <v/>
      </c>
      <c r="J301" s="310" t="str">
        <f>IF(AND(ISNUMBER('Funnel setup'!P313),D301&gt;=30,E301&lt;&gt;"*"),F301+3.090232306 *('Funnel setup'!$K$7/SQRT('Funnel Data'!D301)),"")</f>
        <v/>
      </c>
      <c r="K301" s="311" t="str">
        <f>IF(AND(ISNUMBER('Funnel setup'!P313),D301&gt;=30,E301&lt;&gt;"*"),IF(E301&gt;J301,'Funnel setup'!$K$14&amp;"99.8%",IF(E301&gt;H301,'Funnel setup'!$K$14&amp;"95%",IF(E301&lt;I301,'Funnel setup'!$K$15&amp;"99.8%",IF(E301&lt;G301,'Funnel setup'!$K$15&amp;"95%","")))),"")</f>
        <v/>
      </c>
    </row>
    <row r="302" spans="2:11" ht="15" x14ac:dyDescent="0.2">
      <c r="B302" s="307" t="str">
        <f>IF(ISNUMBER('Funnel setup'!P314),VLOOKUP('Funnel setup'!$P314,'Provider Commission - Raw Data'!$A:$Q,5,0),"")</f>
        <v/>
      </c>
      <c r="C302" s="308" t="str">
        <f>IF(ISNUMBER('Funnel setup'!P314),VLOOKUP('Funnel setup'!P314,'Provider Commission - Raw Data'!$A:$Q,6,0),"")</f>
        <v/>
      </c>
      <c r="D302" s="309" t="str">
        <f>IF(ISNUMBER('Funnel setup'!P314),VLOOKUP('Funnel setup'!P314,'Provider Commission - Raw Data'!$A:$Q,8,0),"")</f>
        <v/>
      </c>
      <c r="E302" s="446" t="str">
        <f>IF(ISNUMBER('Funnel setup'!P314),VLOOKUP('Funnel setup'!P314,'Provider Commission - Raw Data'!$A:$Q,16,0),"")</f>
        <v/>
      </c>
      <c r="F302" s="310" t="str">
        <f>IF(ISNUMBER('Funnel setup'!P314),'Funnel setup'!$K$8,"")</f>
        <v/>
      </c>
      <c r="G302" s="310" t="str">
        <f>IF(AND(ISNUMBER('Funnel setup'!P314),D302&gt;=30,E302&lt;&gt;"*"),F302-1.959963985 *('Funnel setup'!$K$7/SQRT('Funnel Data'!D302)),"")</f>
        <v/>
      </c>
      <c r="H302" s="310" t="str">
        <f>IF(AND(ISNUMBER('Funnel setup'!P314),D302&gt;=30,E302&lt;&gt;"*"),F302+1.959963985 *('Funnel setup'!$K$7/SQRT('Funnel Data'!D302)),"")</f>
        <v/>
      </c>
      <c r="I302" s="310" t="str">
        <f>IF(AND(ISNUMBER('Funnel setup'!P314),D302&gt;=30,E302&lt;&gt;"*"),F302-3.090232306 *('Funnel setup'!$K$7/SQRT('Funnel Data'!D302)),"")</f>
        <v/>
      </c>
      <c r="J302" s="310" t="str">
        <f>IF(AND(ISNUMBER('Funnel setup'!P314),D302&gt;=30,E302&lt;&gt;"*"),F302+3.090232306 *('Funnel setup'!$K$7/SQRT('Funnel Data'!D302)),"")</f>
        <v/>
      </c>
      <c r="K302" s="311" t="str">
        <f>IF(AND(ISNUMBER('Funnel setup'!P314),D302&gt;=30,E302&lt;&gt;"*"),IF(E302&gt;J302,'Funnel setup'!$K$14&amp;"99.8%",IF(E302&gt;H302,'Funnel setup'!$K$14&amp;"95%",IF(E302&lt;I302,'Funnel setup'!$K$15&amp;"99.8%",IF(E302&lt;G302,'Funnel setup'!$K$15&amp;"95%","")))),"")</f>
        <v/>
      </c>
    </row>
    <row r="303" spans="2:11" ht="15" x14ac:dyDescent="0.2">
      <c r="B303" s="307" t="str">
        <f>IF(ISNUMBER('Funnel setup'!P315),VLOOKUP('Funnel setup'!$P315,'Provider Commission - Raw Data'!$A:$Q,5,0),"")</f>
        <v/>
      </c>
      <c r="C303" s="308" t="str">
        <f>IF(ISNUMBER('Funnel setup'!P315),VLOOKUP('Funnel setup'!P315,'Provider Commission - Raw Data'!$A:$Q,6,0),"")</f>
        <v/>
      </c>
      <c r="D303" s="309" t="str">
        <f>IF(ISNUMBER('Funnel setup'!P315),VLOOKUP('Funnel setup'!P315,'Provider Commission - Raw Data'!$A:$Q,8,0),"")</f>
        <v/>
      </c>
      <c r="E303" s="446" t="str">
        <f>IF(ISNUMBER('Funnel setup'!P315),VLOOKUP('Funnel setup'!P315,'Provider Commission - Raw Data'!$A:$Q,16,0),"")</f>
        <v/>
      </c>
      <c r="F303" s="310" t="str">
        <f>IF(ISNUMBER('Funnel setup'!P315),'Funnel setup'!$K$8,"")</f>
        <v/>
      </c>
      <c r="G303" s="310" t="str">
        <f>IF(AND(ISNUMBER('Funnel setup'!P315),D303&gt;=30,E303&lt;&gt;"*"),F303-1.959963985 *('Funnel setup'!$K$7/SQRT('Funnel Data'!D303)),"")</f>
        <v/>
      </c>
      <c r="H303" s="310" t="str">
        <f>IF(AND(ISNUMBER('Funnel setup'!P315),D303&gt;=30,E303&lt;&gt;"*"),F303+1.959963985 *('Funnel setup'!$K$7/SQRT('Funnel Data'!D303)),"")</f>
        <v/>
      </c>
      <c r="I303" s="310" t="str">
        <f>IF(AND(ISNUMBER('Funnel setup'!P315),D303&gt;=30,E303&lt;&gt;"*"),F303-3.090232306 *('Funnel setup'!$K$7/SQRT('Funnel Data'!D303)),"")</f>
        <v/>
      </c>
      <c r="J303" s="310" t="str">
        <f>IF(AND(ISNUMBER('Funnel setup'!P315),D303&gt;=30,E303&lt;&gt;"*"),F303+3.090232306 *('Funnel setup'!$K$7/SQRT('Funnel Data'!D303)),"")</f>
        <v/>
      </c>
      <c r="K303" s="311" t="str">
        <f>IF(AND(ISNUMBER('Funnel setup'!P315),D303&gt;=30,E303&lt;&gt;"*"),IF(E303&gt;J303,'Funnel setup'!$K$14&amp;"99.8%",IF(E303&gt;H303,'Funnel setup'!$K$14&amp;"95%",IF(E303&lt;I303,'Funnel setup'!$K$15&amp;"99.8%",IF(E303&lt;G303,'Funnel setup'!$K$15&amp;"95%","")))),"")</f>
        <v/>
      </c>
    </row>
    <row r="304" spans="2:11" ht="15" x14ac:dyDescent="0.2">
      <c r="B304" s="307" t="str">
        <f>IF(ISNUMBER('Funnel setup'!P316),VLOOKUP('Funnel setup'!$P316,'Provider Commission - Raw Data'!$A:$Q,5,0),"")</f>
        <v/>
      </c>
      <c r="C304" s="308" t="str">
        <f>IF(ISNUMBER('Funnel setup'!P316),VLOOKUP('Funnel setup'!P316,'Provider Commission - Raw Data'!$A:$Q,6,0),"")</f>
        <v/>
      </c>
      <c r="D304" s="309" t="str">
        <f>IF(ISNUMBER('Funnel setup'!P316),VLOOKUP('Funnel setup'!P316,'Provider Commission - Raw Data'!$A:$Q,8,0),"")</f>
        <v/>
      </c>
      <c r="E304" s="446" t="str">
        <f>IF(ISNUMBER('Funnel setup'!P316),VLOOKUP('Funnel setup'!P316,'Provider Commission - Raw Data'!$A:$Q,16,0),"")</f>
        <v/>
      </c>
      <c r="F304" s="310" t="str">
        <f>IF(ISNUMBER('Funnel setup'!P316),'Funnel setup'!$K$8,"")</f>
        <v/>
      </c>
      <c r="G304" s="310" t="str">
        <f>IF(AND(ISNUMBER('Funnel setup'!P316),D304&gt;=30,E304&lt;&gt;"*"),F304-1.959963985 *('Funnel setup'!$K$7/SQRT('Funnel Data'!D304)),"")</f>
        <v/>
      </c>
      <c r="H304" s="310" t="str">
        <f>IF(AND(ISNUMBER('Funnel setup'!P316),D304&gt;=30,E304&lt;&gt;"*"),F304+1.959963985 *('Funnel setup'!$K$7/SQRT('Funnel Data'!D304)),"")</f>
        <v/>
      </c>
      <c r="I304" s="310" t="str">
        <f>IF(AND(ISNUMBER('Funnel setup'!P316),D304&gt;=30,E304&lt;&gt;"*"),F304-3.090232306 *('Funnel setup'!$K$7/SQRT('Funnel Data'!D304)),"")</f>
        <v/>
      </c>
      <c r="J304" s="310" t="str">
        <f>IF(AND(ISNUMBER('Funnel setup'!P316),D304&gt;=30,E304&lt;&gt;"*"),F304+3.090232306 *('Funnel setup'!$K$7/SQRT('Funnel Data'!D304)),"")</f>
        <v/>
      </c>
      <c r="K304" s="311" t="str">
        <f>IF(AND(ISNUMBER('Funnel setup'!P316),D304&gt;=30,E304&lt;&gt;"*"),IF(E304&gt;J304,'Funnel setup'!$K$14&amp;"99.8%",IF(E304&gt;H304,'Funnel setup'!$K$14&amp;"95%",IF(E304&lt;I304,'Funnel setup'!$K$15&amp;"99.8%",IF(E304&lt;G304,'Funnel setup'!$K$15&amp;"95%","")))),"")</f>
        <v/>
      </c>
    </row>
    <row r="305" spans="2:11" ht="15" x14ac:dyDescent="0.2">
      <c r="B305" s="307" t="str">
        <f>IF(ISNUMBER('Funnel setup'!P317),VLOOKUP('Funnel setup'!$P317,'Provider Commission - Raw Data'!$A:$Q,5,0),"")</f>
        <v/>
      </c>
      <c r="C305" s="308" t="str">
        <f>IF(ISNUMBER('Funnel setup'!P317),VLOOKUP('Funnel setup'!P317,'Provider Commission - Raw Data'!$A:$Q,6,0),"")</f>
        <v/>
      </c>
      <c r="D305" s="309" t="str">
        <f>IF(ISNUMBER('Funnel setup'!P317),VLOOKUP('Funnel setup'!P317,'Provider Commission - Raw Data'!$A:$Q,8,0),"")</f>
        <v/>
      </c>
      <c r="E305" s="446" t="str">
        <f>IF(ISNUMBER('Funnel setup'!P317),VLOOKUP('Funnel setup'!P317,'Provider Commission - Raw Data'!$A:$Q,16,0),"")</f>
        <v/>
      </c>
      <c r="F305" s="310" t="str">
        <f>IF(ISNUMBER('Funnel setup'!P317),'Funnel setup'!$K$8,"")</f>
        <v/>
      </c>
      <c r="G305" s="310" t="str">
        <f>IF(AND(ISNUMBER('Funnel setup'!P317),D305&gt;=30,E305&lt;&gt;"*"),F305-1.959963985 *('Funnel setup'!$K$7/SQRT('Funnel Data'!D305)),"")</f>
        <v/>
      </c>
      <c r="H305" s="310" t="str">
        <f>IF(AND(ISNUMBER('Funnel setup'!P317),D305&gt;=30,E305&lt;&gt;"*"),F305+1.959963985 *('Funnel setup'!$K$7/SQRT('Funnel Data'!D305)),"")</f>
        <v/>
      </c>
      <c r="I305" s="310" t="str">
        <f>IF(AND(ISNUMBER('Funnel setup'!P317),D305&gt;=30,E305&lt;&gt;"*"),F305-3.090232306 *('Funnel setup'!$K$7/SQRT('Funnel Data'!D305)),"")</f>
        <v/>
      </c>
      <c r="J305" s="310" t="str">
        <f>IF(AND(ISNUMBER('Funnel setup'!P317),D305&gt;=30,E305&lt;&gt;"*"),F305+3.090232306 *('Funnel setup'!$K$7/SQRT('Funnel Data'!D305)),"")</f>
        <v/>
      </c>
      <c r="K305" s="311" t="str">
        <f>IF(AND(ISNUMBER('Funnel setup'!P317),D305&gt;=30,E305&lt;&gt;"*"),IF(E305&gt;J305,'Funnel setup'!$K$14&amp;"99.8%",IF(E305&gt;H305,'Funnel setup'!$K$14&amp;"95%",IF(E305&lt;I305,'Funnel setup'!$K$15&amp;"99.8%",IF(E305&lt;G305,'Funnel setup'!$K$15&amp;"95%","")))),"")</f>
        <v/>
      </c>
    </row>
    <row r="306" spans="2:11" ht="15" x14ac:dyDescent="0.2">
      <c r="B306" s="307" t="str">
        <f>IF(ISNUMBER('Funnel setup'!P318),VLOOKUP('Funnel setup'!$P318,'Provider Commission - Raw Data'!$A:$Q,5,0),"")</f>
        <v/>
      </c>
      <c r="C306" s="308" t="str">
        <f>IF(ISNUMBER('Funnel setup'!P318),VLOOKUP('Funnel setup'!P318,'Provider Commission - Raw Data'!$A:$Q,6,0),"")</f>
        <v/>
      </c>
      <c r="D306" s="309" t="str">
        <f>IF(ISNUMBER('Funnel setup'!P318),VLOOKUP('Funnel setup'!P318,'Provider Commission - Raw Data'!$A:$Q,8,0),"")</f>
        <v/>
      </c>
      <c r="E306" s="446" t="str">
        <f>IF(ISNUMBER('Funnel setup'!P318),VLOOKUP('Funnel setup'!P318,'Provider Commission - Raw Data'!$A:$Q,16,0),"")</f>
        <v/>
      </c>
      <c r="F306" s="310" t="str">
        <f>IF(ISNUMBER('Funnel setup'!P318),'Funnel setup'!$K$8,"")</f>
        <v/>
      </c>
      <c r="G306" s="310" t="str">
        <f>IF(AND(ISNUMBER('Funnel setup'!P318),D306&gt;=30,E306&lt;&gt;"*"),F306-1.959963985 *('Funnel setup'!$K$7/SQRT('Funnel Data'!D306)),"")</f>
        <v/>
      </c>
      <c r="H306" s="310" t="str">
        <f>IF(AND(ISNUMBER('Funnel setup'!P318),D306&gt;=30,E306&lt;&gt;"*"),F306+1.959963985 *('Funnel setup'!$K$7/SQRT('Funnel Data'!D306)),"")</f>
        <v/>
      </c>
      <c r="I306" s="310" t="str">
        <f>IF(AND(ISNUMBER('Funnel setup'!P318),D306&gt;=30,E306&lt;&gt;"*"),F306-3.090232306 *('Funnel setup'!$K$7/SQRT('Funnel Data'!D306)),"")</f>
        <v/>
      </c>
      <c r="J306" s="310" t="str">
        <f>IF(AND(ISNUMBER('Funnel setup'!P318),D306&gt;=30,E306&lt;&gt;"*"),F306+3.090232306 *('Funnel setup'!$K$7/SQRT('Funnel Data'!D306)),"")</f>
        <v/>
      </c>
      <c r="K306" s="311" t="str">
        <f>IF(AND(ISNUMBER('Funnel setup'!P318),D306&gt;=30,E306&lt;&gt;"*"),IF(E306&gt;J306,'Funnel setup'!$K$14&amp;"99.8%",IF(E306&gt;H306,'Funnel setup'!$K$14&amp;"95%",IF(E306&lt;I306,'Funnel setup'!$K$15&amp;"99.8%",IF(E306&lt;G306,'Funnel setup'!$K$15&amp;"95%","")))),"")</f>
        <v/>
      </c>
    </row>
    <row r="307" spans="2:11" ht="15" x14ac:dyDescent="0.2">
      <c r="B307" s="307" t="str">
        <f>IF(ISNUMBER('Funnel setup'!P319),VLOOKUP('Funnel setup'!$P319,'Provider Commission - Raw Data'!$A:$Q,5,0),"")</f>
        <v/>
      </c>
      <c r="C307" s="308" t="str">
        <f>IF(ISNUMBER('Funnel setup'!P319),VLOOKUP('Funnel setup'!P319,'Provider Commission - Raw Data'!$A:$Q,6,0),"")</f>
        <v/>
      </c>
      <c r="D307" s="309" t="str">
        <f>IF(ISNUMBER('Funnel setup'!P319),VLOOKUP('Funnel setup'!P319,'Provider Commission - Raw Data'!$A:$Q,8,0),"")</f>
        <v/>
      </c>
      <c r="E307" s="446" t="str">
        <f>IF(ISNUMBER('Funnel setup'!P319),VLOOKUP('Funnel setup'!P319,'Provider Commission - Raw Data'!$A:$Q,16,0),"")</f>
        <v/>
      </c>
      <c r="F307" s="310" t="str">
        <f>IF(ISNUMBER('Funnel setup'!P319),'Funnel setup'!$K$8,"")</f>
        <v/>
      </c>
      <c r="G307" s="310" t="str">
        <f>IF(AND(ISNUMBER('Funnel setup'!P319),D307&gt;=30,E307&lt;&gt;"*"),F307-1.959963985 *('Funnel setup'!$K$7/SQRT('Funnel Data'!D307)),"")</f>
        <v/>
      </c>
      <c r="H307" s="310" t="str">
        <f>IF(AND(ISNUMBER('Funnel setup'!P319),D307&gt;=30,E307&lt;&gt;"*"),F307+1.959963985 *('Funnel setup'!$K$7/SQRT('Funnel Data'!D307)),"")</f>
        <v/>
      </c>
      <c r="I307" s="310" t="str">
        <f>IF(AND(ISNUMBER('Funnel setup'!P319),D307&gt;=30,E307&lt;&gt;"*"),F307-3.090232306 *('Funnel setup'!$K$7/SQRT('Funnel Data'!D307)),"")</f>
        <v/>
      </c>
      <c r="J307" s="310" t="str">
        <f>IF(AND(ISNUMBER('Funnel setup'!P319),D307&gt;=30,E307&lt;&gt;"*"),F307+3.090232306 *('Funnel setup'!$K$7/SQRT('Funnel Data'!D307)),"")</f>
        <v/>
      </c>
      <c r="K307" s="311" t="str">
        <f>IF(AND(ISNUMBER('Funnel setup'!P319),D307&gt;=30,E307&lt;&gt;"*"),IF(E307&gt;J307,'Funnel setup'!$K$14&amp;"99.8%",IF(E307&gt;H307,'Funnel setup'!$K$14&amp;"95%",IF(E307&lt;I307,'Funnel setup'!$K$15&amp;"99.8%",IF(E307&lt;G307,'Funnel setup'!$K$15&amp;"95%","")))),"")</f>
        <v/>
      </c>
    </row>
    <row r="308" spans="2:11" ht="15" x14ac:dyDescent="0.2">
      <c r="B308" s="307" t="str">
        <f>IF(ISNUMBER('Funnel setup'!P320),VLOOKUP('Funnel setup'!$P320,'Provider Commission - Raw Data'!$A:$Q,5,0),"")</f>
        <v/>
      </c>
      <c r="C308" s="308" t="str">
        <f>IF(ISNUMBER('Funnel setup'!P320),VLOOKUP('Funnel setup'!P320,'Provider Commission - Raw Data'!$A:$Q,6,0),"")</f>
        <v/>
      </c>
      <c r="D308" s="309" t="str">
        <f>IF(ISNUMBER('Funnel setup'!P320),VLOOKUP('Funnel setup'!P320,'Provider Commission - Raw Data'!$A:$Q,8,0),"")</f>
        <v/>
      </c>
      <c r="E308" s="446" t="str">
        <f>IF(ISNUMBER('Funnel setup'!P320),VLOOKUP('Funnel setup'!P320,'Provider Commission - Raw Data'!$A:$Q,16,0),"")</f>
        <v/>
      </c>
      <c r="F308" s="310" t="str">
        <f>IF(ISNUMBER('Funnel setup'!P320),'Funnel setup'!$K$8,"")</f>
        <v/>
      </c>
      <c r="G308" s="310" t="str">
        <f>IF(AND(ISNUMBER('Funnel setup'!P320),D308&gt;=30,E308&lt;&gt;"*"),F308-1.959963985 *('Funnel setup'!$K$7/SQRT('Funnel Data'!D308)),"")</f>
        <v/>
      </c>
      <c r="H308" s="310" t="str">
        <f>IF(AND(ISNUMBER('Funnel setup'!P320),D308&gt;=30,E308&lt;&gt;"*"),F308+1.959963985 *('Funnel setup'!$K$7/SQRT('Funnel Data'!D308)),"")</f>
        <v/>
      </c>
      <c r="I308" s="310" t="str">
        <f>IF(AND(ISNUMBER('Funnel setup'!P320),D308&gt;=30,E308&lt;&gt;"*"),F308-3.090232306 *('Funnel setup'!$K$7/SQRT('Funnel Data'!D308)),"")</f>
        <v/>
      </c>
      <c r="J308" s="310" t="str">
        <f>IF(AND(ISNUMBER('Funnel setup'!P320),D308&gt;=30,E308&lt;&gt;"*"),F308+3.090232306 *('Funnel setup'!$K$7/SQRT('Funnel Data'!D308)),"")</f>
        <v/>
      </c>
      <c r="K308" s="311" t="str">
        <f>IF(AND(ISNUMBER('Funnel setup'!P320),D308&gt;=30,E308&lt;&gt;"*"),IF(E308&gt;J308,'Funnel setup'!$K$14&amp;"99.8%",IF(E308&gt;H308,'Funnel setup'!$K$14&amp;"95%",IF(E308&lt;I308,'Funnel setup'!$K$15&amp;"99.8%",IF(E308&lt;G308,'Funnel setup'!$K$15&amp;"95%","")))),"")</f>
        <v/>
      </c>
    </row>
    <row r="309" spans="2:11" ht="15" x14ac:dyDescent="0.2">
      <c r="B309" s="307" t="str">
        <f>IF(ISNUMBER('Funnel setup'!P321),VLOOKUP('Funnel setup'!$P321,'Provider Commission - Raw Data'!$A:$Q,5,0),"")</f>
        <v/>
      </c>
      <c r="C309" s="308" t="str">
        <f>IF(ISNUMBER('Funnel setup'!P321),VLOOKUP('Funnel setup'!P321,'Provider Commission - Raw Data'!$A:$Q,6,0),"")</f>
        <v/>
      </c>
      <c r="D309" s="309" t="str">
        <f>IF(ISNUMBER('Funnel setup'!P321),VLOOKUP('Funnel setup'!P321,'Provider Commission - Raw Data'!$A:$Q,8,0),"")</f>
        <v/>
      </c>
      <c r="E309" s="446" t="str">
        <f>IF(ISNUMBER('Funnel setup'!P321),VLOOKUP('Funnel setup'!P321,'Provider Commission - Raw Data'!$A:$Q,16,0),"")</f>
        <v/>
      </c>
      <c r="F309" s="310" t="str">
        <f>IF(ISNUMBER('Funnel setup'!P321),'Funnel setup'!$K$8,"")</f>
        <v/>
      </c>
      <c r="G309" s="310" t="str">
        <f>IF(AND(ISNUMBER('Funnel setup'!P321),D309&gt;=30,E309&lt;&gt;"*"),F309-1.959963985 *('Funnel setup'!$K$7/SQRT('Funnel Data'!D309)),"")</f>
        <v/>
      </c>
      <c r="H309" s="310" t="str">
        <f>IF(AND(ISNUMBER('Funnel setup'!P321),D309&gt;=30,E309&lt;&gt;"*"),F309+1.959963985 *('Funnel setup'!$K$7/SQRT('Funnel Data'!D309)),"")</f>
        <v/>
      </c>
      <c r="I309" s="310" t="str">
        <f>IF(AND(ISNUMBER('Funnel setup'!P321),D309&gt;=30,E309&lt;&gt;"*"),F309-3.090232306 *('Funnel setup'!$K$7/SQRT('Funnel Data'!D309)),"")</f>
        <v/>
      </c>
      <c r="J309" s="310" t="str">
        <f>IF(AND(ISNUMBER('Funnel setup'!P321),D309&gt;=30,E309&lt;&gt;"*"),F309+3.090232306 *('Funnel setup'!$K$7/SQRT('Funnel Data'!D309)),"")</f>
        <v/>
      </c>
      <c r="K309" s="311" t="str">
        <f>IF(AND(ISNUMBER('Funnel setup'!P321),D309&gt;=30,E309&lt;&gt;"*"),IF(E309&gt;J309,'Funnel setup'!$K$14&amp;"99.8%",IF(E309&gt;H309,'Funnel setup'!$K$14&amp;"95%",IF(E309&lt;I309,'Funnel setup'!$K$15&amp;"99.8%",IF(E309&lt;G309,'Funnel setup'!$K$15&amp;"95%","")))),"")</f>
        <v/>
      </c>
    </row>
    <row r="310" spans="2:11" ht="15" x14ac:dyDescent="0.2">
      <c r="B310" s="307" t="str">
        <f>IF(ISNUMBER('Funnel setup'!P322),VLOOKUP('Funnel setup'!$P322,'Provider Commission - Raw Data'!$A:$Q,5,0),"")</f>
        <v/>
      </c>
      <c r="C310" s="308" t="str">
        <f>IF(ISNUMBER('Funnel setup'!P322),VLOOKUP('Funnel setup'!P322,'Provider Commission - Raw Data'!$A:$Q,6,0),"")</f>
        <v/>
      </c>
      <c r="D310" s="309" t="str">
        <f>IF(ISNUMBER('Funnel setup'!P322),VLOOKUP('Funnel setup'!P322,'Provider Commission - Raw Data'!$A:$Q,8,0),"")</f>
        <v/>
      </c>
      <c r="E310" s="446" t="str">
        <f>IF(ISNUMBER('Funnel setup'!P322),VLOOKUP('Funnel setup'!P322,'Provider Commission - Raw Data'!$A:$Q,16,0),"")</f>
        <v/>
      </c>
      <c r="F310" s="310" t="str">
        <f>IF(ISNUMBER('Funnel setup'!P322),'Funnel setup'!$K$8,"")</f>
        <v/>
      </c>
      <c r="G310" s="310" t="str">
        <f>IF(AND(ISNUMBER('Funnel setup'!P322),D310&gt;=30,E310&lt;&gt;"*"),F310-1.959963985 *('Funnel setup'!$K$7/SQRT('Funnel Data'!D310)),"")</f>
        <v/>
      </c>
      <c r="H310" s="310" t="str">
        <f>IF(AND(ISNUMBER('Funnel setup'!P322),D310&gt;=30,E310&lt;&gt;"*"),F310+1.959963985 *('Funnel setup'!$K$7/SQRT('Funnel Data'!D310)),"")</f>
        <v/>
      </c>
      <c r="I310" s="310" t="str">
        <f>IF(AND(ISNUMBER('Funnel setup'!P322),D310&gt;=30,E310&lt;&gt;"*"),F310-3.090232306 *('Funnel setup'!$K$7/SQRT('Funnel Data'!D310)),"")</f>
        <v/>
      </c>
      <c r="J310" s="310" t="str">
        <f>IF(AND(ISNUMBER('Funnel setup'!P322),D310&gt;=30,E310&lt;&gt;"*"),F310+3.090232306 *('Funnel setup'!$K$7/SQRT('Funnel Data'!D310)),"")</f>
        <v/>
      </c>
      <c r="K310" s="311" t="str">
        <f>IF(AND(ISNUMBER('Funnel setup'!P322),D310&gt;=30,E310&lt;&gt;"*"),IF(E310&gt;J310,'Funnel setup'!$K$14&amp;"99.8%",IF(E310&gt;H310,'Funnel setup'!$K$14&amp;"95%",IF(E310&lt;I310,'Funnel setup'!$K$15&amp;"99.8%",IF(E310&lt;G310,'Funnel setup'!$K$15&amp;"95%","")))),"")</f>
        <v/>
      </c>
    </row>
    <row r="311" spans="2:11" ht="15" x14ac:dyDescent="0.2">
      <c r="B311" s="307" t="str">
        <f>IF(ISNUMBER('Funnel setup'!P323),VLOOKUP('Funnel setup'!$P323,'Provider Commission - Raw Data'!$A:$Q,5,0),"")</f>
        <v/>
      </c>
      <c r="C311" s="308" t="str">
        <f>IF(ISNUMBER('Funnel setup'!P323),VLOOKUP('Funnel setup'!P323,'Provider Commission - Raw Data'!$A:$Q,6,0),"")</f>
        <v/>
      </c>
      <c r="D311" s="309" t="str">
        <f>IF(ISNUMBER('Funnel setup'!P323),VLOOKUP('Funnel setup'!P323,'Provider Commission - Raw Data'!$A:$Q,8,0),"")</f>
        <v/>
      </c>
      <c r="E311" s="446" t="str">
        <f>IF(ISNUMBER('Funnel setup'!P323),VLOOKUP('Funnel setup'!P323,'Provider Commission - Raw Data'!$A:$Q,16,0),"")</f>
        <v/>
      </c>
      <c r="F311" s="310" t="str">
        <f>IF(ISNUMBER('Funnel setup'!P323),'Funnel setup'!$K$8,"")</f>
        <v/>
      </c>
      <c r="G311" s="310" t="str">
        <f>IF(AND(ISNUMBER('Funnel setup'!P323),D311&gt;=30,E311&lt;&gt;"*"),F311-1.959963985 *('Funnel setup'!$K$7/SQRT('Funnel Data'!D311)),"")</f>
        <v/>
      </c>
      <c r="H311" s="310" t="str">
        <f>IF(AND(ISNUMBER('Funnel setup'!P323),D311&gt;=30,E311&lt;&gt;"*"),F311+1.959963985 *('Funnel setup'!$K$7/SQRT('Funnel Data'!D311)),"")</f>
        <v/>
      </c>
      <c r="I311" s="310" t="str">
        <f>IF(AND(ISNUMBER('Funnel setup'!P323),D311&gt;=30,E311&lt;&gt;"*"),F311-3.090232306 *('Funnel setup'!$K$7/SQRT('Funnel Data'!D311)),"")</f>
        <v/>
      </c>
      <c r="J311" s="310" t="str">
        <f>IF(AND(ISNUMBER('Funnel setup'!P323),D311&gt;=30,E311&lt;&gt;"*"),F311+3.090232306 *('Funnel setup'!$K$7/SQRT('Funnel Data'!D311)),"")</f>
        <v/>
      </c>
      <c r="K311" s="311" t="str">
        <f>IF(AND(ISNUMBER('Funnel setup'!P323),D311&gt;=30,E311&lt;&gt;"*"),IF(E311&gt;J311,'Funnel setup'!$K$14&amp;"99.8%",IF(E311&gt;H311,'Funnel setup'!$K$14&amp;"95%",IF(E311&lt;I311,'Funnel setup'!$K$15&amp;"99.8%",IF(E311&lt;G311,'Funnel setup'!$K$15&amp;"95%","")))),"")</f>
        <v/>
      </c>
    </row>
    <row r="312" spans="2:11" ht="15" x14ac:dyDescent="0.2">
      <c r="B312" s="307" t="str">
        <f>IF(ISNUMBER('Funnel setup'!P324),VLOOKUP('Funnel setup'!$P324,'Provider Commission - Raw Data'!$A:$Q,5,0),"")</f>
        <v/>
      </c>
      <c r="C312" s="308" t="str">
        <f>IF(ISNUMBER('Funnel setup'!P324),VLOOKUP('Funnel setup'!P324,'Provider Commission - Raw Data'!$A:$Q,6,0),"")</f>
        <v/>
      </c>
      <c r="D312" s="309" t="str">
        <f>IF(ISNUMBER('Funnel setup'!P324),VLOOKUP('Funnel setup'!P324,'Provider Commission - Raw Data'!$A:$Q,8,0),"")</f>
        <v/>
      </c>
      <c r="E312" s="446" t="str">
        <f>IF(ISNUMBER('Funnel setup'!P324),VLOOKUP('Funnel setup'!P324,'Provider Commission - Raw Data'!$A:$Q,16,0),"")</f>
        <v/>
      </c>
      <c r="F312" s="310" t="str">
        <f>IF(ISNUMBER('Funnel setup'!P324),'Funnel setup'!$K$8,"")</f>
        <v/>
      </c>
      <c r="G312" s="310" t="str">
        <f>IF(AND(ISNUMBER('Funnel setup'!P324),D312&gt;=30,E312&lt;&gt;"*"),F312-1.959963985 *('Funnel setup'!$K$7/SQRT('Funnel Data'!D312)),"")</f>
        <v/>
      </c>
      <c r="H312" s="310" t="str">
        <f>IF(AND(ISNUMBER('Funnel setup'!P324),D312&gt;=30,E312&lt;&gt;"*"),F312+1.959963985 *('Funnel setup'!$K$7/SQRT('Funnel Data'!D312)),"")</f>
        <v/>
      </c>
      <c r="I312" s="310" t="str">
        <f>IF(AND(ISNUMBER('Funnel setup'!P324),D312&gt;=30,E312&lt;&gt;"*"),F312-3.090232306 *('Funnel setup'!$K$7/SQRT('Funnel Data'!D312)),"")</f>
        <v/>
      </c>
      <c r="J312" s="310" t="str">
        <f>IF(AND(ISNUMBER('Funnel setup'!P324),D312&gt;=30,E312&lt;&gt;"*"),F312+3.090232306 *('Funnel setup'!$K$7/SQRT('Funnel Data'!D312)),"")</f>
        <v/>
      </c>
      <c r="K312" s="311" t="str">
        <f>IF(AND(ISNUMBER('Funnel setup'!P324),D312&gt;=30,E312&lt;&gt;"*"),IF(E312&gt;J312,'Funnel setup'!$K$14&amp;"99.8%",IF(E312&gt;H312,'Funnel setup'!$K$14&amp;"95%",IF(E312&lt;I312,'Funnel setup'!$K$15&amp;"99.8%",IF(E312&lt;G312,'Funnel setup'!$K$15&amp;"95%","")))),"")</f>
        <v/>
      </c>
    </row>
    <row r="313" spans="2:11" ht="15" x14ac:dyDescent="0.2">
      <c r="B313" s="307" t="str">
        <f>IF(ISNUMBER('Funnel setup'!P325),VLOOKUP('Funnel setup'!$P325,'Provider Commission - Raw Data'!$A:$Q,5,0),"")</f>
        <v/>
      </c>
      <c r="C313" s="308" t="str">
        <f>IF(ISNUMBER('Funnel setup'!P325),VLOOKUP('Funnel setup'!P325,'Provider Commission - Raw Data'!$A:$Q,6,0),"")</f>
        <v/>
      </c>
      <c r="D313" s="309" t="str">
        <f>IF(ISNUMBER('Funnel setup'!P325),VLOOKUP('Funnel setup'!P325,'Provider Commission - Raw Data'!$A:$Q,8,0),"")</f>
        <v/>
      </c>
      <c r="E313" s="446" t="str">
        <f>IF(ISNUMBER('Funnel setup'!P325),VLOOKUP('Funnel setup'!P325,'Provider Commission - Raw Data'!$A:$Q,16,0),"")</f>
        <v/>
      </c>
      <c r="F313" s="310" t="str">
        <f>IF(ISNUMBER('Funnel setup'!P325),'Funnel setup'!$K$8,"")</f>
        <v/>
      </c>
      <c r="G313" s="310" t="str">
        <f>IF(AND(ISNUMBER('Funnel setup'!P325),D313&gt;=30,E313&lt;&gt;"*"),F313-1.959963985 *('Funnel setup'!$K$7/SQRT('Funnel Data'!D313)),"")</f>
        <v/>
      </c>
      <c r="H313" s="310" t="str">
        <f>IF(AND(ISNUMBER('Funnel setup'!P325),D313&gt;=30,E313&lt;&gt;"*"),F313+1.959963985 *('Funnel setup'!$K$7/SQRT('Funnel Data'!D313)),"")</f>
        <v/>
      </c>
      <c r="I313" s="310" t="str">
        <f>IF(AND(ISNUMBER('Funnel setup'!P325),D313&gt;=30,E313&lt;&gt;"*"),F313-3.090232306 *('Funnel setup'!$K$7/SQRT('Funnel Data'!D313)),"")</f>
        <v/>
      </c>
      <c r="J313" s="310" t="str">
        <f>IF(AND(ISNUMBER('Funnel setup'!P325),D313&gt;=30,E313&lt;&gt;"*"),F313+3.090232306 *('Funnel setup'!$K$7/SQRT('Funnel Data'!D313)),"")</f>
        <v/>
      </c>
      <c r="K313" s="311" t="str">
        <f>IF(AND(ISNUMBER('Funnel setup'!P325),D313&gt;=30,E313&lt;&gt;"*"),IF(E313&gt;J313,'Funnel setup'!$K$14&amp;"99.8%",IF(E313&gt;H313,'Funnel setup'!$K$14&amp;"95%",IF(E313&lt;I313,'Funnel setup'!$K$15&amp;"99.8%",IF(E313&lt;G313,'Funnel setup'!$K$15&amp;"95%","")))),"")</f>
        <v/>
      </c>
    </row>
    <row r="314" spans="2:11" ht="15" x14ac:dyDescent="0.2">
      <c r="B314" s="307" t="str">
        <f>IF(ISNUMBER('Funnel setup'!P326),VLOOKUP('Funnel setup'!$P326,'Provider Commission - Raw Data'!$A:$Q,5,0),"")</f>
        <v/>
      </c>
      <c r="C314" s="308" t="str">
        <f>IF(ISNUMBER('Funnel setup'!P326),VLOOKUP('Funnel setup'!P326,'Provider Commission - Raw Data'!$A:$Q,6,0),"")</f>
        <v/>
      </c>
      <c r="D314" s="309" t="str">
        <f>IF(ISNUMBER('Funnel setup'!P326),VLOOKUP('Funnel setup'!P326,'Provider Commission - Raw Data'!$A:$Q,8,0),"")</f>
        <v/>
      </c>
      <c r="E314" s="446" t="str">
        <f>IF(ISNUMBER('Funnel setup'!P326),VLOOKUP('Funnel setup'!P326,'Provider Commission - Raw Data'!$A:$Q,16,0),"")</f>
        <v/>
      </c>
      <c r="F314" s="310" t="str">
        <f>IF(ISNUMBER('Funnel setup'!P326),'Funnel setup'!$K$8,"")</f>
        <v/>
      </c>
      <c r="G314" s="310" t="str">
        <f>IF(AND(ISNUMBER('Funnel setup'!P326),D314&gt;=30,E314&lt;&gt;"*"),F314-1.959963985 *('Funnel setup'!$K$7/SQRT('Funnel Data'!D314)),"")</f>
        <v/>
      </c>
      <c r="H314" s="310" t="str">
        <f>IF(AND(ISNUMBER('Funnel setup'!P326),D314&gt;=30,E314&lt;&gt;"*"),F314+1.959963985 *('Funnel setup'!$K$7/SQRT('Funnel Data'!D314)),"")</f>
        <v/>
      </c>
      <c r="I314" s="310" t="str">
        <f>IF(AND(ISNUMBER('Funnel setup'!P326),D314&gt;=30,E314&lt;&gt;"*"),F314-3.090232306 *('Funnel setup'!$K$7/SQRT('Funnel Data'!D314)),"")</f>
        <v/>
      </c>
      <c r="J314" s="310" t="str">
        <f>IF(AND(ISNUMBER('Funnel setup'!P326),D314&gt;=30,E314&lt;&gt;"*"),F314+3.090232306 *('Funnel setup'!$K$7/SQRT('Funnel Data'!D314)),"")</f>
        <v/>
      </c>
      <c r="K314" s="311" t="str">
        <f>IF(AND(ISNUMBER('Funnel setup'!P326),D314&gt;=30,E314&lt;&gt;"*"),IF(E314&gt;J314,'Funnel setup'!$K$14&amp;"99.8%",IF(E314&gt;H314,'Funnel setup'!$K$14&amp;"95%",IF(E314&lt;I314,'Funnel setup'!$K$15&amp;"99.8%",IF(E314&lt;G314,'Funnel setup'!$K$15&amp;"95%","")))),"")</f>
        <v/>
      </c>
    </row>
    <row r="315" spans="2:11" ht="15" x14ac:dyDescent="0.2">
      <c r="B315" s="307" t="str">
        <f>IF(ISNUMBER('Funnel setup'!P327),VLOOKUP('Funnel setup'!$P327,'Provider Commission - Raw Data'!$A:$Q,5,0),"")</f>
        <v/>
      </c>
      <c r="C315" s="308" t="str">
        <f>IF(ISNUMBER('Funnel setup'!P327),VLOOKUP('Funnel setup'!P327,'Provider Commission - Raw Data'!$A:$Q,6,0),"")</f>
        <v/>
      </c>
      <c r="D315" s="309" t="str">
        <f>IF(ISNUMBER('Funnel setup'!P327),VLOOKUP('Funnel setup'!P327,'Provider Commission - Raw Data'!$A:$Q,8,0),"")</f>
        <v/>
      </c>
      <c r="E315" s="446" t="str">
        <f>IF(ISNUMBER('Funnel setup'!P327),VLOOKUP('Funnel setup'!P327,'Provider Commission - Raw Data'!$A:$Q,16,0),"")</f>
        <v/>
      </c>
      <c r="F315" s="310" t="str">
        <f>IF(ISNUMBER('Funnel setup'!P327),'Funnel setup'!$K$8,"")</f>
        <v/>
      </c>
      <c r="G315" s="310" t="str">
        <f>IF(AND(ISNUMBER('Funnel setup'!P327),D315&gt;=30,E315&lt;&gt;"*"),F315-1.959963985 *('Funnel setup'!$K$7/SQRT('Funnel Data'!D315)),"")</f>
        <v/>
      </c>
      <c r="H315" s="310" t="str">
        <f>IF(AND(ISNUMBER('Funnel setup'!P327),D315&gt;=30,E315&lt;&gt;"*"),F315+1.959963985 *('Funnel setup'!$K$7/SQRT('Funnel Data'!D315)),"")</f>
        <v/>
      </c>
      <c r="I315" s="310" t="str">
        <f>IF(AND(ISNUMBER('Funnel setup'!P327),D315&gt;=30,E315&lt;&gt;"*"),F315-3.090232306 *('Funnel setup'!$K$7/SQRT('Funnel Data'!D315)),"")</f>
        <v/>
      </c>
      <c r="J315" s="310" t="str">
        <f>IF(AND(ISNUMBER('Funnel setup'!P327),D315&gt;=30,E315&lt;&gt;"*"),F315+3.090232306 *('Funnel setup'!$K$7/SQRT('Funnel Data'!D315)),"")</f>
        <v/>
      </c>
      <c r="K315" s="311" t="str">
        <f>IF(AND(ISNUMBER('Funnel setup'!P327),D315&gt;=30,E315&lt;&gt;"*"),IF(E315&gt;J315,'Funnel setup'!$K$14&amp;"99.8%",IF(E315&gt;H315,'Funnel setup'!$K$14&amp;"95%",IF(E315&lt;I315,'Funnel setup'!$K$15&amp;"99.8%",IF(E315&lt;G315,'Funnel setup'!$K$15&amp;"95%","")))),"")</f>
        <v/>
      </c>
    </row>
    <row r="316" spans="2:11" ht="15" x14ac:dyDescent="0.2">
      <c r="B316" s="307" t="str">
        <f>IF(ISNUMBER('Funnel setup'!P328),VLOOKUP('Funnel setup'!$P328,'Provider Commission - Raw Data'!$A:$Q,5,0),"")</f>
        <v/>
      </c>
      <c r="C316" s="308" t="str">
        <f>IF(ISNUMBER('Funnel setup'!P328),VLOOKUP('Funnel setup'!P328,'Provider Commission - Raw Data'!$A:$Q,6,0),"")</f>
        <v/>
      </c>
      <c r="D316" s="309" t="str">
        <f>IF(ISNUMBER('Funnel setup'!P328),VLOOKUP('Funnel setup'!P328,'Provider Commission - Raw Data'!$A:$Q,8,0),"")</f>
        <v/>
      </c>
      <c r="E316" s="446" t="str">
        <f>IF(ISNUMBER('Funnel setup'!P328),VLOOKUP('Funnel setup'!P328,'Provider Commission - Raw Data'!$A:$Q,16,0),"")</f>
        <v/>
      </c>
      <c r="F316" s="310" t="str">
        <f>IF(ISNUMBER('Funnel setup'!P328),'Funnel setup'!$K$8,"")</f>
        <v/>
      </c>
      <c r="G316" s="310" t="str">
        <f>IF(AND(ISNUMBER('Funnel setup'!P328),D316&gt;=30,E316&lt;&gt;"*"),F316-1.959963985 *('Funnel setup'!$K$7/SQRT('Funnel Data'!D316)),"")</f>
        <v/>
      </c>
      <c r="H316" s="310" t="str">
        <f>IF(AND(ISNUMBER('Funnel setup'!P328),D316&gt;=30,E316&lt;&gt;"*"),F316+1.959963985 *('Funnel setup'!$K$7/SQRT('Funnel Data'!D316)),"")</f>
        <v/>
      </c>
      <c r="I316" s="310" t="str">
        <f>IF(AND(ISNUMBER('Funnel setup'!P328),D316&gt;=30,E316&lt;&gt;"*"),F316-3.090232306 *('Funnel setup'!$K$7/SQRT('Funnel Data'!D316)),"")</f>
        <v/>
      </c>
      <c r="J316" s="310" t="str">
        <f>IF(AND(ISNUMBER('Funnel setup'!P328),D316&gt;=30,E316&lt;&gt;"*"),F316+3.090232306 *('Funnel setup'!$K$7/SQRT('Funnel Data'!D316)),"")</f>
        <v/>
      </c>
      <c r="K316" s="311" t="str">
        <f>IF(AND(ISNUMBER('Funnel setup'!P328),D316&gt;=30,E316&lt;&gt;"*"),IF(E316&gt;J316,'Funnel setup'!$K$14&amp;"99.8%",IF(E316&gt;H316,'Funnel setup'!$K$14&amp;"95%",IF(E316&lt;I316,'Funnel setup'!$K$15&amp;"99.8%",IF(E316&lt;G316,'Funnel setup'!$K$15&amp;"95%","")))),"")</f>
        <v/>
      </c>
    </row>
    <row r="317" spans="2:11" ht="15" x14ac:dyDescent="0.2">
      <c r="B317" s="307" t="str">
        <f>IF(ISNUMBER('Funnel setup'!P329),VLOOKUP('Funnel setup'!$P329,'Provider Commission - Raw Data'!$A:$Q,5,0),"")</f>
        <v/>
      </c>
      <c r="C317" s="308" t="str">
        <f>IF(ISNUMBER('Funnel setup'!P329),VLOOKUP('Funnel setup'!P329,'Provider Commission - Raw Data'!$A:$Q,6,0),"")</f>
        <v/>
      </c>
      <c r="D317" s="309" t="str">
        <f>IF(ISNUMBER('Funnel setup'!P329),VLOOKUP('Funnel setup'!P329,'Provider Commission - Raw Data'!$A:$Q,8,0),"")</f>
        <v/>
      </c>
      <c r="E317" s="446" t="str">
        <f>IF(ISNUMBER('Funnel setup'!P329),VLOOKUP('Funnel setup'!P329,'Provider Commission - Raw Data'!$A:$Q,16,0),"")</f>
        <v/>
      </c>
      <c r="F317" s="310" t="str">
        <f>IF(ISNUMBER('Funnel setup'!P329),'Funnel setup'!$K$8,"")</f>
        <v/>
      </c>
      <c r="G317" s="310" t="str">
        <f>IF(AND(ISNUMBER('Funnel setup'!P329),D317&gt;=30,E317&lt;&gt;"*"),F317-1.959963985 *('Funnel setup'!$K$7/SQRT('Funnel Data'!D317)),"")</f>
        <v/>
      </c>
      <c r="H317" s="310" t="str">
        <f>IF(AND(ISNUMBER('Funnel setup'!P329),D317&gt;=30,E317&lt;&gt;"*"),F317+1.959963985 *('Funnel setup'!$K$7/SQRT('Funnel Data'!D317)),"")</f>
        <v/>
      </c>
      <c r="I317" s="310" t="str">
        <f>IF(AND(ISNUMBER('Funnel setup'!P329),D317&gt;=30,E317&lt;&gt;"*"),F317-3.090232306 *('Funnel setup'!$K$7/SQRT('Funnel Data'!D317)),"")</f>
        <v/>
      </c>
      <c r="J317" s="310" t="str">
        <f>IF(AND(ISNUMBER('Funnel setup'!P329),D317&gt;=30,E317&lt;&gt;"*"),F317+3.090232306 *('Funnel setup'!$K$7/SQRT('Funnel Data'!D317)),"")</f>
        <v/>
      </c>
      <c r="K317" s="311" t="str">
        <f>IF(AND(ISNUMBER('Funnel setup'!P329),D317&gt;=30,E317&lt;&gt;"*"),IF(E317&gt;J317,'Funnel setup'!$K$14&amp;"99.8%",IF(E317&gt;H317,'Funnel setup'!$K$14&amp;"95%",IF(E317&lt;I317,'Funnel setup'!$K$15&amp;"99.8%",IF(E317&lt;G317,'Funnel setup'!$K$15&amp;"95%","")))),"")</f>
        <v/>
      </c>
    </row>
    <row r="318" spans="2:11" ht="15" x14ac:dyDescent="0.2">
      <c r="B318" s="307" t="str">
        <f>IF(ISNUMBER('Funnel setup'!P330),VLOOKUP('Funnel setup'!$P330,'Provider Commission - Raw Data'!$A:$Q,5,0),"")</f>
        <v/>
      </c>
      <c r="C318" s="308" t="str">
        <f>IF(ISNUMBER('Funnel setup'!P330),VLOOKUP('Funnel setup'!P330,'Provider Commission - Raw Data'!$A:$Q,6,0),"")</f>
        <v/>
      </c>
      <c r="D318" s="309" t="str">
        <f>IF(ISNUMBER('Funnel setup'!P330),VLOOKUP('Funnel setup'!P330,'Provider Commission - Raw Data'!$A:$Q,8,0),"")</f>
        <v/>
      </c>
      <c r="E318" s="446" t="str">
        <f>IF(ISNUMBER('Funnel setup'!P330),VLOOKUP('Funnel setup'!P330,'Provider Commission - Raw Data'!$A:$Q,16,0),"")</f>
        <v/>
      </c>
      <c r="F318" s="310" t="str">
        <f>IF(ISNUMBER('Funnel setup'!P330),'Funnel setup'!$K$8,"")</f>
        <v/>
      </c>
      <c r="G318" s="310" t="str">
        <f>IF(AND(ISNUMBER('Funnel setup'!P330),D318&gt;=30,E318&lt;&gt;"*"),F318-1.959963985 *('Funnel setup'!$K$7/SQRT('Funnel Data'!D318)),"")</f>
        <v/>
      </c>
      <c r="H318" s="310" t="str">
        <f>IF(AND(ISNUMBER('Funnel setup'!P330),D318&gt;=30,E318&lt;&gt;"*"),F318+1.959963985 *('Funnel setup'!$K$7/SQRT('Funnel Data'!D318)),"")</f>
        <v/>
      </c>
      <c r="I318" s="310" t="str">
        <f>IF(AND(ISNUMBER('Funnel setup'!P330),D318&gt;=30,E318&lt;&gt;"*"),F318-3.090232306 *('Funnel setup'!$K$7/SQRT('Funnel Data'!D318)),"")</f>
        <v/>
      </c>
      <c r="J318" s="310" t="str">
        <f>IF(AND(ISNUMBER('Funnel setup'!P330),D318&gt;=30,E318&lt;&gt;"*"),F318+3.090232306 *('Funnel setup'!$K$7/SQRT('Funnel Data'!D318)),"")</f>
        <v/>
      </c>
      <c r="K318" s="311" t="str">
        <f>IF(AND(ISNUMBER('Funnel setup'!P330),D318&gt;=30,E318&lt;&gt;"*"),IF(E318&gt;J318,'Funnel setup'!$K$14&amp;"99.8%",IF(E318&gt;H318,'Funnel setup'!$K$14&amp;"95%",IF(E318&lt;I318,'Funnel setup'!$K$15&amp;"99.8%",IF(E318&lt;G318,'Funnel setup'!$K$15&amp;"95%","")))),"")</f>
        <v/>
      </c>
    </row>
    <row r="319" spans="2:11" ht="15" x14ac:dyDescent="0.2">
      <c r="B319" s="307" t="str">
        <f>IF(ISNUMBER('Funnel setup'!P331),VLOOKUP('Funnel setup'!$P331,'Provider Commission - Raw Data'!$A:$Q,5,0),"")</f>
        <v/>
      </c>
      <c r="C319" s="308" t="str">
        <f>IF(ISNUMBER('Funnel setup'!P331),VLOOKUP('Funnel setup'!P331,'Provider Commission - Raw Data'!$A:$Q,6,0),"")</f>
        <v/>
      </c>
      <c r="D319" s="309" t="str">
        <f>IF(ISNUMBER('Funnel setup'!P331),VLOOKUP('Funnel setup'!P331,'Provider Commission - Raw Data'!$A:$Q,8,0),"")</f>
        <v/>
      </c>
      <c r="E319" s="446" t="str">
        <f>IF(ISNUMBER('Funnel setup'!P331),VLOOKUP('Funnel setup'!P331,'Provider Commission - Raw Data'!$A:$Q,16,0),"")</f>
        <v/>
      </c>
      <c r="F319" s="310" t="str">
        <f>IF(ISNUMBER('Funnel setup'!P331),'Funnel setup'!$K$8,"")</f>
        <v/>
      </c>
      <c r="G319" s="310" t="str">
        <f>IF(AND(ISNUMBER('Funnel setup'!P331),D319&gt;=30,E319&lt;&gt;"*"),F319-1.959963985 *('Funnel setup'!$K$7/SQRT('Funnel Data'!D319)),"")</f>
        <v/>
      </c>
      <c r="H319" s="310" t="str">
        <f>IF(AND(ISNUMBER('Funnel setup'!P331),D319&gt;=30,E319&lt;&gt;"*"),F319+1.959963985 *('Funnel setup'!$K$7/SQRT('Funnel Data'!D319)),"")</f>
        <v/>
      </c>
      <c r="I319" s="310" t="str">
        <f>IF(AND(ISNUMBER('Funnel setup'!P331),D319&gt;=30,E319&lt;&gt;"*"),F319-3.090232306 *('Funnel setup'!$K$7/SQRT('Funnel Data'!D319)),"")</f>
        <v/>
      </c>
      <c r="J319" s="310" t="str">
        <f>IF(AND(ISNUMBER('Funnel setup'!P331),D319&gt;=30,E319&lt;&gt;"*"),F319+3.090232306 *('Funnel setup'!$K$7/SQRT('Funnel Data'!D319)),"")</f>
        <v/>
      </c>
      <c r="K319" s="311" t="str">
        <f>IF(AND(ISNUMBER('Funnel setup'!P331),D319&gt;=30,E319&lt;&gt;"*"),IF(E319&gt;J319,'Funnel setup'!$K$14&amp;"99.8%",IF(E319&gt;H319,'Funnel setup'!$K$14&amp;"95%",IF(E319&lt;I319,'Funnel setup'!$K$15&amp;"99.8%",IF(E319&lt;G319,'Funnel setup'!$K$15&amp;"95%","")))),"")</f>
        <v/>
      </c>
    </row>
    <row r="320" spans="2:11" ht="15" x14ac:dyDescent="0.2">
      <c r="B320" s="307" t="str">
        <f>IF(ISNUMBER('Funnel setup'!P332),VLOOKUP('Funnel setup'!$P332,'Provider Commission - Raw Data'!$A:$Q,5,0),"")</f>
        <v/>
      </c>
      <c r="C320" s="308" t="str">
        <f>IF(ISNUMBER('Funnel setup'!P332),VLOOKUP('Funnel setup'!P332,'Provider Commission - Raw Data'!$A:$Q,6,0),"")</f>
        <v/>
      </c>
      <c r="D320" s="309" t="str">
        <f>IF(ISNUMBER('Funnel setup'!P332),VLOOKUP('Funnel setup'!P332,'Provider Commission - Raw Data'!$A:$Q,8,0),"")</f>
        <v/>
      </c>
      <c r="E320" s="446" t="str">
        <f>IF(ISNUMBER('Funnel setup'!P332),VLOOKUP('Funnel setup'!P332,'Provider Commission - Raw Data'!$A:$Q,16,0),"")</f>
        <v/>
      </c>
      <c r="F320" s="310" t="str">
        <f>IF(ISNUMBER('Funnel setup'!P332),'Funnel setup'!$K$8,"")</f>
        <v/>
      </c>
      <c r="G320" s="310" t="str">
        <f>IF(AND(ISNUMBER('Funnel setup'!P332),D320&gt;=30,E320&lt;&gt;"*"),F320-1.959963985 *('Funnel setup'!$K$7/SQRT('Funnel Data'!D320)),"")</f>
        <v/>
      </c>
      <c r="H320" s="310" t="str">
        <f>IF(AND(ISNUMBER('Funnel setup'!P332),D320&gt;=30,E320&lt;&gt;"*"),F320+1.959963985 *('Funnel setup'!$K$7/SQRT('Funnel Data'!D320)),"")</f>
        <v/>
      </c>
      <c r="I320" s="310" t="str">
        <f>IF(AND(ISNUMBER('Funnel setup'!P332),D320&gt;=30,E320&lt;&gt;"*"),F320-3.090232306 *('Funnel setup'!$K$7/SQRT('Funnel Data'!D320)),"")</f>
        <v/>
      </c>
      <c r="J320" s="310" t="str">
        <f>IF(AND(ISNUMBER('Funnel setup'!P332),D320&gt;=30,E320&lt;&gt;"*"),F320+3.090232306 *('Funnel setup'!$K$7/SQRT('Funnel Data'!D320)),"")</f>
        <v/>
      </c>
      <c r="K320" s="311" t="str">
        <f>IF(AND(ISNUMBER('Funnel setup'!P332),D320&gt;=30,E320&lt;&gt;"*"),IF(E320&gt;J320,'Funnel setup'!$K$14&amp;"99.8%",IF(E320&gt;H320,'Funnel setup'!$K$14&amp;"95%",IF(E320&lt;I320,'Funnel setup'!$K$15&amp;"99.8%",IF(E320&lt;G320,'Funnel setup'!$K$15&amp;"95%","")))),"")</f>
        <v/>
      </c>
    </row>
    <row r="321" spans="2:11" ht="15" x14ac:dyDescent="0.2">
      <c r="B321" s="307" t="str">
        <f>IF(ISNUMBER('Funnel setup'!P333),VLOOKUP('Funnel setup'!$P333,'Provider Commission - Raw Data'!$A:$Q,5,0),"")</f>
        <v/>
      </c>
      <c r="C321" s="308" t="str">
        <f>IF(ISNUMBER('Funnel setup'!P333),VLOOKUP('Funnel setup'!P333,'Provider Commission - Raw Data'!$A:$Q,6,0),"")</f>
        <v/>
      </c>
      <c r="D321" s="309" t="str">
        <f>IF(ISNUMBER('Funnel setup'!P333),VLOOKUP('Funnel setup'!P333,'Provider Commission - Raw Data'!$A:$Q,8,0),"")</f>
        <v/>
      </c>
      <c r="E321" s="446" t="str">
        <f>IF(ISNUMBER('Funnel setup'!P333),VLOOKUP('Funnel setup'!P333,'Provider Commission - Raw Data'!$A:$Q,16,0),"")</f>
        <v/>
      </c>
      <c r="F321" s="310" t="str">
        <f>IF(ISNUMBER('Funnel setup'!P333),'Funnel setup'!$K$8,"")</f>
        <v/>
      </c>
      <c r="G321" s="310" t="str">
        <f>IF(AND(ISNUMBER('Funnel setup'!P333),D321&gt;=30,E321&lt;&gt;"*"),F321-1.959963985 *('Funnel setup'!$K$7/SQRT('Funnel Data'!D321)),"")</f>
        <v/>
      </c>
      <c r="H321" s="310" t="str">
        <f>IF(AND(ISNUMBER('Funnel setup'!P333),D321&gt;=30,E321&lt;&gt;"*"),F321+1.959963985 *('Funnel setup'!$K$7/SQRT('Funnel Data'!D321)),"")</f>
        <v/>
      </c>
      <c r="I321" s="310" t="str">
        <f>IF(AND(ISNUMBER('Funnel setup'!P333),D321&gt;=30,E321&lt;&gt;"*"),F321-3.090232306 *('Funnel setup'!$K$7/SQRT('Funnel Data'!D321)),"")</f>
        <v/>
      </c>
      <c r="J321" s="310" t="str">
        <f>IF(AND(ISNUMBER('Funnel setup'!P333),D321&gt;=30,E321&lt;&gt;"*"),F321+3.090232306 *('Funnel setup'!$K$7/SQRT('Funnel Data'!D321)),"")</f>
        <v/>
      </c>
      <c r="K321" s="311" t="str">
        <f>IF(AND(ISNUMBER('Funnel setup'!P333),D321&gt;=30,E321&lt;&gt;"*"),IF(E321&gt;J321,'Funnel setup'!$K$14&amp;"99.8%",IF(E321&gt;H321,'Funnel setup'!$K$14&amp;"95%",IF(E321&lt;I321,'Funnel setup'!$K$15&amp;"99.8%",IF(E321&lt;G321,'Funnel setup'!$K$15&amp;"95%","")))),"")</f>
        <v/>
      </c>
    </row>
    <row r="322" spans="2:11" ht="15" x14ac:dyDescent="0.2">
      <c r="B322" s="307" t="str">
        <f>IF(ISNUMBER('Funnel setup'!P334),VLOOKUP('Funnel setup'!$P334,'Provider Commission - Raw Data'!$A:$Q,5,0),"")</f>
        <v/>
      </c>
      <c r="C322" s="308" t="str">
        <f>IF(ISNUMBER('Funnel setup'!P334),VLOOKUP('Funnel setup'!P334,'Provider Commission - Raw Data'!$A:$Q,6,0),"")</f>
        <v/>
      </c>
      <c r="D322" s="309" t="str">
        <f>IF(ISNUMBER('Funnel setup'!P334),VLOOKUP('Funnel setup'!P334,'Provider Commission - Raw Data'!$A:$Q,8,0),"")</f>
        <v/>
      </c>
      <c r="E322" s="446" t="str">
        <f>IF(ISNUMBER('Funnel setup'!P334),VLOOKUP('Funnel setup'!P334,'Provider Commission - Raw Data'!$A:$Q,16,0),"")</f>
        <v/>
      </c>
      <c r="F322" s="310" t="str">
        <f>IF(ISNUMBER('Funnel setup'!P334),'Funnel setup'!$K$8,"")</f>
        <v/>
      </c>
      <c r="G322" s="310" t="str">
        <f>IF(AND(ISNUMBER('Funnel setup'!P334),D322&gt;=30,E322&lt;&gt;"*"),F322-1.959963985 *('Funnel setup'!$K$7/SQRT('Funnel Data'!D322)),"")</f>
        <v/>
      </c>
      <c r="H322" s="310" t="str">
        <f>IF(AND(ISNUMBER('Funnel setup'!P334),D322&gt;=30,E322&lt;&gt;"*"),F322+1.959963985 *('Funnel setup'!$K$7/SQRT('Funnel Data'!D322)),"")</f>
        <v/>
      </c>
      <c r="I322" s="310" t="str">
        <f>IF(AND(ISNUMBER('Funnel setup'!P334),D322&gt;=30,E322&lt;&gt;"*"),F322-3.090232306 *('Funnel setup'!$K$7/SQRT('Funnel Data'!D322)),"")</f>
        <v/>
      </c>
      <c r="J322" s="310" t="str">
        <f>IF(AND(ISNUMBER('Funnel setup'!P334),D322&gt;=30,E322&lt;&gt;"*"),F322+3.090232306 *('Funnel setup'!$K$7/SQRT('Funnel Data'!D322)),"")</f>
        <v/>
      </c>
      <c r="K322" s="311" t="str">
        <f>IF(AND(ISNUMBER('Funnel setup'!P334),D322&gt;=30,E322&lt;&gt;"*"),IF(E322&gt;J322,'Funnel setup'!$K$14&amp;"99.8%",IF(E322&gt;H322,'Funnel setup'!$K$14&amp;"95%",IF(E322&lt;I322,'Funnel setup'!$K$15&amp;"99.8%",IF(E322&lt;G322,'Funnel setup'!$K$15&amp;"95%","")))),"")</f>
        <v/>
      </c>
    </row>
    <row r="323" spans="2:11" ht="15" x14ac:dyDescent="0.2">
      <c r="B323" s="307" t="str">
        <f>IF(ISNUMBER('Funnel setup'!P335),VLOOKUP('Funnel setup'!$P335,'Provider Commission - Raw Data'!$A:$Q,5,0),"")</f>
        <v/>
      </c>
      <c r="C323" s="308" t="str">
        <f>IF(ISNUMBER('Funnel setup'!P335),VLOOKUP('Funnel setup'!P335,'Provider Commission - Raw Data'!$A:$Q,6,0),"")</f>
        <v/>
      </c>
      <c r="D323" s="309" t="str">
        <f>IF(ISNUMBER('Funnel setup'!P335),VLOOKUP('Funnel setup'!P335,'Provider Commission - Raw Data'!$A:$Q,8,0),"")</f>
        <v/>
      </c>
      <c r="E323" s="446" t="str">
        <f>IF(ISNUMBER('Funnel setup'!P335),VLOOKUP('Funnel setup'!P335,'Provider Commission - Raw Data'!$A:$Q,16,0),"")</f>
        <v/>
      </c>
      <c r="F323" s="310" t="str">
        <f>IF(ISNUMBER('Funnel setup'!P335),'Funnel setup'!$K$8,"")</f>
        <v/>
      </c>
      <c r="G323" s="310" t="str">
        <f>IF(AND(ISNUMBER('Funnel setup'!P335),D323&gt;=30,E323&lt;&gt;"*"),F323-1.959963985 *('Funnel setup'!$K$7/SQRT('Funnel Data'!D323)),"")</f>
        <v/>
      </c>
      <c r="H323" s="310" t="str">
        <f>IF(AND(ISNUMBER('Funnel setup'!P335),D323&gt;=30,E323&lt;&gt;"*"),F323+1.959963985 *('Funnel setup'!$K$7/SQRT('Funnel Data'!D323)),"")</f>
        <v/>
      </c>
      <c r="I323" s="310" t="str">
        <f>IF(AND(ISNUMBER('Funnel setup'!P335),D323&gt;=30,E323&lt;&gt;"*"),F323-3.090232306 *('Funnel setup'!$K$7/SQRT('Funnel Data'!D323)),"")</f>
        <v/>
      </c>
      <c r="J323" s="310" t="str">
        <f>IF(AND(ISNUMBER('Funnel setup'!P335),D323&gt;=30,E323&lt;&gt;"*"),F323+3.090232306 *('Funnel setup'!$K$7/SQRT('Funnel Data'!D323)),"")</f>
        <v/>
      </c>
      <c r="K323" s="311" t="str">
        <f>IF(AND(ISNUMBER('Funnel setup'!P335),D323&gt;=30,E323&lt;&gt;"*"),IF(E323&gt;J323,'Funnel setup'!$K$14&amp;"99.8%",IF(E323&gt;H323,'Funnel setup'!$K$14&amp;"95%",IF(E323&lt;I323,'Funnel setup'!$K$15&amp;"99.8%",IF(E323&lt;G323,'Funnel setup'!$K$15&amp;"95%","")))),"")</f>
        <v/>
      </c>
    </row>
    <row r="324" spans="2:11" ht="15" x14ac:dyDescent="0.2">
      <c r="B324" s="307" t="str">
        <f>IF(ISNUMBER('Funnel setup'!P336),VLOOKUP('Funnel setup'!$P336,'Provider Commission - Raw Data'!$A:$Q,5,0),"")</f>
        <v/>
      </c>
      <c r="C324" s="308" t="str">
        <f>IF(ISNUMBER('Funnel setup'!P336),VLOOKUP('Funnel setup'!P336,'Provider Commission - Raw Data'!$A:$Q,6,0),"")</f>
        <v/>
      </c>
      <c r="D324" s="309" t="str">
        <f>IF(ISNUMBER('Funnel setup'!P336),VLOOKUP('Funnel setup'!P336,'Provider Commission - Raw Data'!$A:$Q,8,0),"")</f>
        <v/>
      </c>
      <c r="E324" s="446" t="str">
        <f>IF(ISNUMBER('Funnel setup'!P336),VLOOKUP('Funnel setup'!P336,'Provider Commission - Raw Data'!$A:$Q,16,0),"")</f>
        <v/>
      </c>
      <c r="F324" s="310" t="str">
        <f>IF(ISNUMBER('Funnel setup'!P336),'Funnel setup'!$K$8,"")</f>
        <v/>
      </c>
      <c r="G324" s="310" t="str">
        <f>IF(AND(ISNUMBER('Funnel setup'!P336),D324&gt;=30,E324&lt;&gt;"*"),F324-1.959963985 *('Funnel setup'!$K$7/SQRT('Funnel Data'!D324)),"")</f>
        <v/>
      </c>
      <c r="H324" s="310" t="str">
        <f>IF(AND(ISNUMBER('Funnel setup'!P336),D324&gt;=30,E324&lt;&gt;"*"),F324+1.959963985 *('Funnel setup'!$K$7/SQRT('Funnel Data'!D324)),"")</f>
        <v/>
      </c>
      <c r="I324" s="310" t="str">
        <f>IF(AND(ISNUMBER('Funnel setup'!P336),D324&gt;=30,E324&lt;&gt;"*"),F324-3.090232306 *('Funnel setup'!$K$7/SQRT('Funnel Data'!D324)),"")</f>
        <v/>
      </c>
      <c r="J324" s="310" t="str">
        <f>IF(AND(ISNUMBER('Funnel setup'!P336),D324&gt;=30,E324&lt;&gt;"*"),F324+3.090232306 *('Funnel setup'!$K$7/SQRT('Funnel Data'!D324)),"")</f>
        <v/>
      </c>
      <c r="K324" s="311" t="str">
        <f>IF(AND(ISNUMBER('Funnel setup'!P336),D324&gt;=30,E324&lt;&gt;"*"),IF(E324&gt;J324,'Funnel setup'!$K$14&amp;"99.8%",IF(E324&gt;H324,'Funnel setup'!$K$14&amp;"95%",IF(E324&lt;I324,'Funnel setup'!$K$15&amp;"99.8%",IF(E324&lt;G324,'Funnel setup'!$K$15&amp;"95%","")))),"")</f>
        <v/>
      </c>
    </row>
    <row r="325" spans="2:11" ht="15" x14ac:dyDescent="0.2">
      <c r="B325" s="307" t="str">
        <f>IF(ISNUMBER('Funnel setup'!P337),VLOOKUP('Funnel setup'!$P337,'Provider Commission - Raw Data'!$A:$Q,5,0),"")</f>
        <v/>
      </c>
      <c r="C325" s="308" t="str">
        <f>IF(ISNUMBER('Funnel setup'!P337),VLOOKUP('Funnel setup'!P337,'Provider Commission - Raw Data'!$A:$Q,6,0),"")</f>
        <v/>
      </c>
      <c r="D325" s="309" t="str">
        <f>IF(ISNUMBER('Funnel setup'!P337),VLOOKUP('Funnel setup'!P337,'Provider Commission - Raw Data'!$A:$Q,8,0),"")</f>
        <v/>
      </c>
      <c r="E325" s="446" t="str">
        <f>IF(ISNUMBER('Funnel setup'!P337),VLOOKUP('Funnel setup'!P337,'Provider Commission - Raw Data'!$A:$Q,16,0),"")</f>
        <v/>
      </c>
      <c r="F325" s="310" t="str">
        <f>IF(ISNUMBER('Funnel setup'!P337),'Funnel setup'!$K$8,"")</f>
        <v/>
      </c>
      <c r="G325" s="310" t="str">
        <f>IF(AND(ISNUMBER('Funnel setup'!P337),D325&gt;=30,E325&lt;&gt;"*"),F325-1.959963985 *('Funnel setup'!$K$7/SQRT('Funnel Data'!D325)),"")</f>
        <v/>
      </c>
      <c r="H325" s="310" t="str">
        <f>IF(AND(ISNUMBER('Funnel setup'!P337),D325&gt;=30,E325&lt;&gt;"*"),F325+1.959963985 *('Funnel setup'!$K$7/SQRT('Funnel Data'!D325)),"")</f>
        <v/>
      </c>
      <c r="I325" s="310" t="str">
        <f>IF(AND(ISNUMBER('Funnel setup'!P337),D325&gt;=30,E325&lt;&gt;"*"),F325-3.090232306 *('Funnel setup'!$K$7/SQRT('Funnel Data'!D325)),"")</f>
        <v/>
      </c>
      <c r="J325" s="310" t="str">
        <f>IF(AND(ISNUMBER('Funnel setup'!P337),D325&gt;=30,E325&lt;&gt;"*"),F325+3.090232306 *('Funnel setup'!$K$7/SQRT('Funnel Data'!D325)),"")</f>
        <v/>
      </c>
      <c r="K325" s="311" t="str">
        <f>IF(AND(ISNUMBER('Funnel setup'!P337),D325&gt;=30,E325&lt;&gt;"*"),IF(E325&gt;J325,'Funnel setup'!$K$14&amp;"99.8%",IF(E325&gt;H325,'Funnel setup'!$K$14&amp;"95%",IF(E325&lt;I325,'Funnel setup'!$K$15&amp;"99.8%",IF(E325&lt;G325,'Funnel setup'!$K$15&amp;"95%","")))),"")</f>
        <v/>
      </c>
    </row>
    <row r="326" spans="2:11" ht="15" x14ac:dyDescent="0.2">
      <c r="B326" s="307" t="str">
        <f>IF(ISNUMBER('Funnel setup'!P338),VLOOKUP('Funnel setup'!$P338,'Provider Commission - Raw Data'!$A:$Q,5,0),"")</f>
        <v/>
      </c>
      <c r="C326" s="308" t="str">
        <f>IF(ISNUMBER('Funnel setup'!P338),VLOOKUP('Funnel setup'!P338,'Provider Commission - Raw Data'!$A:$Q,6,0),"")</f>
        <v/>
      </c>
      <c r="D326" s="309" t="str">
        <f>IF(ISNUMBER('Funnel setup'!P338),VLOOKUP('Funnel setup'!P338,'Provider Commission - Raw Data'!$A:$Q,8,0),"")</f>
        <v/>
      </c>
      <c r="E326" s="446" t="str">
        <f>IF(ISNUMBER('Funnel setup'!P338),VLOOKUP('Funnel setup'!P338,'Provider Commission - Raw Data'!$A:$Q,16,0),"")</f>
        <v/>
      </c>
      <c r="F326" s="310" t="str">
        <f>IF(ISNUMBER('Funnel setup'!P338),'Funnel setup'!$K$8,"")</f>
        <v/>
      </c>
      <c r="G326" s="310" t="str">
        <f>IF(AND(ISNUMBER('Funnel setup'!P338),D326&gt;=30,E326&lt;&gt;"*"),F326-1.959963985 *('Funnel setup'!$K$7/SQRT('Funnel Data'!D326)),"")</f>
        <v/>
      </c>
      <c r="H326" s="310" t="str">
        <f>IF(AND(ISNUMBER('Funnel setup'!P338),D326&gt;=30,E326&lt;&gt;"*"),F326+1.959963985 *('Funnel setup'!$K$7/SQRT('Funnel Data'!D326)),"")</f>
        <v/>
      </c>
      <c r="I326" s="310" t="str">
        <f>IF(AND(ISNUMBER('Funnel setup'!P338),D326&gt;=30,E326&lt;&gt;"*"),F326-3.090232306 *('Funnel setup'!$K$7/SQRT('Funnel Data'!D326)),"")</f>
        <v/>
      </c>
      <c r="J326" s="310" t="str">
        <f>IF(AND(ISNUMBER('Funnel setup'!P338),D326&gt;=30,E326&lt;&gt;"*"),F326+3.090232306 *('Funnel setup'!$K$7/SQRT('Funnel Data'!D326)),"")</f>
        <v/>
      </c>
      <c r="K326" s="311" t="str">
        <f>IF(AND(ISNUMBER('Funnel setup'!P338),D326&gt;=30,E326&lt;&gt;"*"),IF(E326&gt;J326,'Funnel setup'!$K$14&amp;"99.8%",IF(E326&gt;H326,'Funnel setup'!$K$14&amp;"95%",IF(E326&lt;I326,'Funnel setup'!$K$15&amp;"99.8%",IF(E326&lt;G326,'Funnel setup'!$K$15&amp;"95%","")))),"")</f>
        <v/>
      </c>
    </row>
    <row r="327" spans="2:11" ht="15" x14ac:dyDescent="0.2">
      <c r="B327" s="307" t="str">
        <f>IF(ISNUMBER('Funnel setup'!P339),VLOOKUP('Funnel setup'!$P339,'Provider Commission - Raw Data'!$A:$Q,5,0),"")</f>
        <v/>
      </c>
      <c r="C327" s="308" t="str">
        <f>IF(ISNUMBER('Funnel setup'!P339),VLOOKUP('Funnel setup'!P339,'Provider Commission - Raw Data'!$A:$Q,6,0),"")</f>
        <v/>
      </c>
      <c r="D327" s="309" t="str">
        <f>IF(ISNUMBER('Funnel setup'!P339),VLOOKUP('Funnel setup'!P339,'Provider Commission - Raw Data'!$A:$Q,8,0),"")</f>
        <v/>
      </c>
      <c r="E327" s="446" t="str">
        <f>IF(ISNUMBER('Funnel setup'!P339),VLOOKUP('Funnel setup'!P339,'Provider Commission - Raw Data'!$A:$Q,16,0),"")</f>
        <v/>
      </c>
      <c r="F327" s="310" t="str">
        <f>IF(ISNUMBER('Funnel setup'!P339),'Funnel setup'!$K$8,"")</f>
        <v/>
      </c>
      <c r="G327" s="310" t="str">
        <f>IF(AND(ISNUMBER('Funnel setup'!P339),D327&gt;=30,E327&lt;&gt;"*"),F327-1.959963985 *('Funnel setup'!$K$7/SQRT('Funnel Data'!D327)),"")</f>
        <v/>
      </c>
      <c r="H327" s="310" t="str">
        <f>IF(AND(ISNUMBER('Funnel setup'!P339),D327&gt;=30,E327&lt;&gt;"*"),F327+1.959963985 *('Funnel setup'!$K$7/SQRT('Funnel Data'!D327)),"")</f>
        <v/>
      </c>
      <c r="I327" s="310" t="str">
        <f>IF(AND(ISNUMBER('Funnel setup'!P339),D327&gt;=30,E327&lt;&gt;"*"),F327-3.090232306 *('Funnel setup'!$K$7/SQRT('Funnel Data'!D327)),"")</f>
        <v/>
      </c>
      <c r="J327" s="310" t="str">
        <f>IF(AND(ISNUMBER('Funnel setup'!P339),D327&gt;=30,E327&lt;&gt;"*"),F327+3.090232306 *('Funnel setup'!$K$7/SQRT('Funnel Data'!D327)),"")</f>
        <v/>
      </c>
      <c r="K327" s="311" t="str">
        <f>IF(AND(ISNUMBER('Funnel setup'!P339),D327&gt;=30,E327&lt;&gt;"*"),IF(E327&gt;J327,'Funnel setup'!$K$14&amp;"99.8%",IF(E327&gt;H327,'Funnel setup'!$K$14&amp;"95%",IF(E327&lt;I327,'Funnel setup'!$K$15&amp;"99.8%",IF(E327&lt;G327,'Funnel setup'!$K$15&amp;"95%","")))),"")</f>
        <v/>
      </c>
    </row>
    <row r="328" spans="2:11" ht="15" x14ac:dyDescent="0.2">
      <c r="B328" s="307" t="str">
        <f>IF(ISNUMBER('Funnel setup'!P340),VLOOKUP('Funnel setup'!$P340,'Provider Commission - Raw Data'!$A:$Q,5,0),"")</f>
        <v/>
      </c>
      <c r="C328" s="308" t="str">
        <f>IF(ISNUMBER('Funnel setup'!P340),VLOOKUP('Funnel setup'!P340,'Provider Commission - Raw Data'!$A:$Q,6,0),"")</f>
        <v/>
      </c>
      <c r="D328" s="309" t="str">
        <f>IF(ISNUMBER('Funnel setup'!P340),VLOOKUP('Funnel setup'!P340,'Provider Commission - Raw Data'!$A:$Q,8,0),"")</f>
        <v/>
      </c>
      <c r="E328" s="446" t="str">
        <f>IF(ISNUMBER('Funnel setup'!P340),VLOOKUP('Funnel setup'!P340,'Provider Commission - Raw Data'!$A:$Q,16,0),"")</f>
        <v/>
      </c>
      <c r="F328" s="310" t="str">
        <f>IF(ISNUMBER('Funnel setup'!P340),'Funnel setup'!$K$8,"")</f>
        <v/>
      </c>
      <c r="G328" s="310" t="str">
        <f>IF(AND(ISNUMBER('Funnel setup'!P340),D328&gt;=30,E328&lt;&gt;"*"),F328-1.959963985 *('Funnel setup'!$K$7/SQRT('Funnel Data'!D328)),"")</f>
        <v/>
      </c>
      <c r="H328" s="310" t="str">
        <f>IF(AND(ISNUMBER('Funnel setup'!P340),D328&gt;=30,E328&lt;&gt;"*"),F328+1.959963985 *('Funnel setup'!$K$7/SQRT('Funnel Data'!D328)),"")</f>
        <v/>
      </c>
      <c r="I328" s="310" t="str">
        <f>IF(AND(ISNUMBER('Funnel setup'!P340),D328&gt;=30,E328&lt;&gt;"*"),F328-3.090232306 *('Funnel setup'!$K$7/SQRT('Funnel Data'!D328)),"")</f>
        <v/>
      </c>
      <c r="J328" s="310" t="str">
        <f>IF(AND(ISNUMBER('Funnel setup'!P340),D328&gt;=30,E328&lt;&gt;"*"),F328+3.090232306 *('Funnel setup'!$K$7/SQRT('Funnel Data'!D328)),"")</f>
        <v/>
      </c>
      <c r="K328" s="311" t="str">
        <f>IF(AND(ISNUMBER('Funnel setup'!P340),D328&gt;=30,E328&lt;&gt;"*"),IF(E328&gt;J328,'Funnel setup'!$K$14&amp;"99.8%",IF(E328&gt;H328,'Funnel setup'!$K$14&amp;"95%",IF(E328&lt;I328,'Funnel setup'!$K$15&amp;"99.8%",IF(E328&lt;G328,'Funnel setup'!$K$15&amp;"95%","")))),"")</f>
        <v/>
      </c>
    </row>
    <row r="329" spans="2:11" ht="15" x14ac:dyDescent="0.2">
      <c r="B329" s="307" t="str">
        <f>IF(ISNUMBER('Funnel setup'!P341),VLOOKUP('Funnel setup'!$P341,'Provider Commission - Raw Data'!$A:$Q,5,0),"")</f>
        <v/>
      </c>
      <c r="C329" s="308" t="str">
        <f>IF(ISNUMBER('Funnel setup'!P341),VLOOKUP('Funnel setup'!P341,'Provider Commission - Raw Data'!$A:$Q,6,0),"")</f>
        <v/>
      </c>
      <c r="D329" s="309" t="str">
        <f>IF(ISNUMBER('Funnel setup'!P341),VLOOKUP('Funnel setup'!P341,'Provider Commission - Raw Data'!$A:$Q,8,0),"")</f>
        <v/>
      </c>
      <c r="E329" s="446" t="str">
        <f>IF(ISNUMBER('Funnel setup'!P341),VLOOKUP('Funnel setup'!P341,'Provider Commission - Raw Data'!$A:$Q,16,0),"")</f>
        <v/>
      </c>
      <c r="F329" s="310" t="str">
        <f>IF(ISNUMBER('Funnel setup'!P341),'Funnel setup'!$K$8,"")</f>
        <v/>
      </c>
      <c r="G329" s="310" t="str">
        <f>IF(AND(ISNUMBER('Funnel setup'!P341),D329&gt;=30,E329&lt;&gt;"*"),F329-1.959963985 *('Funnel setup'!$K$7/SQRT('Funnel Data'!D329)),"")</f>
        <v/>
      </c>
      <c r="H329" s="310" t="str">
        <f>IF(AND(ISNUMBER('Funnel setup'!P341),D329&gt;=30,E329&lt;&gt;"*"),F329+1.959963985 *('Funnel setup'!$K$7/SQRT('Funnel Data'!D329)),"")</f>
        <v/>
      </c>
      <c r="I329" s="310" t="str">
        <f>IF(AND(ISNUMBER('Funnel setup'!P341),D329&gt;=30,E329&lt;&gt;"*"),F329-3.090232306 *('Funnel setup'!$K$7/SQRT('Funnel Data'!D329)),"")</f>
        <v/>
      </c>
      <c r="J329" s="310" t="str">
        <f>IF(AND(ISNUMBER('Funnel setup'!P341),D329&gt;=30,E329&lt;&gt;"*"),F329+3.090232306 *('Funnel setup'!$K$7/SQRT('Funnel Data'!D329)),"")</f>
        <v/>
      </c>
      <c r="K329" s="311" t="str">
        <f>IF(AND(ISNUMBER('Funnel setup'!P341),D329&gt;=30,E329&lt;&gt;"*"),IF(E329&gt;J329,'Funnel setup'!$K$14&amp;"99.8%",IF(E329&gt;H329,'Funnel setup'!$K$14&amp;"95%",IF(E329&lt;I329,'Funnel setup'!$K$15&amp;"99.8%",IF(E329&lt;G329,'Funnel setup'!$K$15&amp;"95%","")))),"")</f>
        <v/>
      </c>
    </row>
    <row r="330" spans="2:11" ht="15" x14ac:dyDescent="0.2">
      <c r="B330" s="307" t="str">
        <f>IF(ISNUMBER('Funnel setup'!P342),VLOOKUP('Funnel setup'!$P342,'Provider Commission - Raw Data'!$A:$Q,5,0),"")</f>
        <v/>
      </c>
      <c r="C330" s="308" t="str">
        <f>IF(ISNUMBER('Funnel setup'!P342),VLOOKUP('Funnel setup'!P342,'Provider Commission - Raw Data'!$A:$Q,6,0),"")</f>
        <v/>
      </c>
      <c r="D330" s="309" t="str">
        <f>IF(ISNUMBER('Funnel setup'!P342),VLOOKUP('Funnel setup'!P342,'Provider Commission - Raw Data'!$A:$Q,8,0),"")</f>
        <v/>
      </c>
      <c r="E330" s="446" t="str">
        <f>IF(ISNUMBER('Funnel setup'!P342),VLOOKUP('Funnel setup'!P342,'Provider Commission - Raw Data'!$A:$Q,16,0),"")</f>
        <v/>
      </c>
      <c r="F330" s="310" t="str">
        <f>IF(ISNUMBER('Funnel setup'!P342),'Funnel setup'!$K$8,"")</f>
        <v/>
      </c>
      <c r="G330" s="310" t="str">
        <f>IF(AND(ISNUMBER('Funnel setup'!P342),D330&gt;=30,E330&lt;&gt;"*"),F330-1.959963985 *('Funnel setup'!$K$7/SQRT('Funnel Data'!D330)),"")</f>
        <v/>
      </c>
      <c r="H330" s="310" t="str">
        <f>IF(AND(ISNUMBER('Funnel setup'!P342),D330&gt;=30,E330&lt;&gt;"*"),F330+1.959963985 *('Funnel setup'!$K$7/SQRT('Funnel Data'!D330)),"")</f>
        <v/>
      </c>
      <c r="I330" s="310" t="str">
        <f>IF(AND(ISNUMBER('Funnel setup'!P342),D330&gt;=30,E330&lt;&gt;"*"),F330-3.090232306 *('Funnel setup'!$K$7/SQRT('Funnel Data'!D330)),"")</f>
        <v/>
      </c>
      <c r="J330" s="310" t="str">
        <f>IF(AND(ISNUMBER('Funnel setup'!P342),D330&gt;=30,E330&lt;&gt;"*"),F330+3.090232306 *('Funnel setup'!$K$7/SQRT('Funnel Data'!D330)),"")</f>
        <v/>
      </c>
      <c r="K330" s="311" t="str">
        <f>IF(AND(ISNUMBER('Funnel setup'!P342),D330&gt;=30,E330&lt;&gt;"*"),IF(E330&gt;J330,'Funnel setup'!$K$14&amp;"99.8%",IF(E330&gt;H330,'Funnel setup'!$K$14&amp;"95%",IF(E330&lt;I330,'Funnel setup'!$K$15&amp;"99.8%",IF(E330&lt;G330,'Funnel setup'!$K$15&amp;"95%","")))),"")</f>
        <v/>
      </c>
    </row>
    <row r="331" spans="2:11" ht="15" x14ac:dyDescent="0.2">
      <c r="B331" s="307" t="str">
        <f>IF(ISNUMBER('Funnel setup'!P343),VLOOKUP('Funnel setup'!$P343,'Provider Commission - Raw Data'!$A:$Q,5,0),"")</f>
        <v/>
      </c>
      <c r="C331" s="308" t="str">
        <f>IF(ISNUMBER('Funnel setup'!P343),VLOOKUP('Funnel setup'!P343,'Provider Commission - Raw Data'!$A:$Q,6,0),"")</f>
        <v/>
      </c>
      <c r="D331" s="309" t="str">
        <f>IF(ISNUMBER('Funnel setup'!P343),VLOOKUP('Funnel setup'!P343,'Provider Commission - Raw Data'!$A:$Q,8,0),"")</f>
        <v/>
      </c>
      <c r="E331" s="446" t="str">
        <f>IF(ISNUMBER('Funnel setup'!P343),VLOOKUP('Funnel setup'!P343,'Provider Commission - Raw Data'!$A:$Q,16,0),"")</f>
        <v/>
      </c>
      <c r="F331" s="310" t="str">
        <f>IF(ISNUMBER('Funnel setup'!P343),'Funnel setup'!$K$8,"")</f>
        <v/>
      </c>
      <c r="G331" s="310" t="str">
        <f>IF(AND(ISNUMBER('Funnel setup'!P343),D331&gt;=30,E331&lt;&gt;"*"),F331-1.959963985 *('Funnel setup'!$K$7/SQRT('Funnel Data'!D331)),"")</f>
        <v/>
      </c>
      <c r="H331" s="310" t="str">
        <f>IF(AND(ISNUMBER('Funnel setup'!P343),D331&gt;=30,E331&lt;&gt;"*"),F331+1.959963985 *('Funnel setup'!$K$7/SQRT('Funnel Data'!D331)),"")</f>
        <v/>
      </c>
      <c r="I331" s="310" t="str">
        <f>IF(AND(ISNUMBER('Funnel setup'!P343),D331&gt;=30,E331&lt;&gt;"*"),F331-3.090232306 *('Funnel setup'!$K$7/SQRT('Funnel Data'!D331)),"")</f>
        <v/>
      </c>
      <c r="J331" s="310" t="str">
        <f>IF(AND(ISNUMBER('Funnel setup'!P343),D331&gt;=30,E331&lt;&gt;"*"),F331+3.090232306 *('Funnel setup'!$K$7/SQRT('Funnel Data'!D331)),"")</f>
        <v/>
      </c>
      <c r="K331" s="311" t="str">
        <f>IF(AND(ISNUMBER('Funnel setup'!P343),D331&gt;=30,E331&lt;&gt;"*"),IF(E331&gt;J331,'Funnel setup'!$K$14&amp;"99.8%",IF(E331&gt;H331,'Funnel setup'!$K$14&amp;"95%",IF(E331&lt;I331,'Funnel setup'!$K$15&amp;"99.8%",IF(E331&lt;G331,'Funnel setup'!$K$15&amp;"95%","")))),"")</f>
        <v/>
      </c>
    </row>
    <row r="332" spans="2:11" ht="15" x14ac:dyDescent="0.2">
      <c r="B332" s="307" t="str">
        <f>IF(ISNUMBER('Funnel setup'!P344),VLOOKUP('Funnel setup'!$P344,'Provider Commission - Raw Data'!$A:$Q,5,0),"")</f>
        <v/>
      </c>
      <c r="C332" s="308" t="str">
        <f>IF(ISNUMBER('Funnel setup'!P344),VLOOKUP('Funnel setup'!P344,'Provider Commission - Raw Data'!$A:$Q,6,0),"")</f>
        <v/>
      </c>
      <c r="D332" s="309" t="str">
        <f>IF(ISNUMBER('Funnel setup'!P344),VLOOKUP('Funnel setup'!P344,'Provider Commission - Raw Data'!$A:$Q,8,0),"")</f>
        <v/>
      </c>
      <c r="E332" s="446" t="str">
        <f>IF(ISNUMBER('Funnel setup'!P344),VLOOKUP('Funnel setup'!P344,'Provider Commission - Raw Data'!$A:$Q,16,0),"")</f>
        <v/>
      </c>
      <c r="F332" s="310" t="str">
        <f>IF(ISNUMBER('Funnel setup'!P344),'Funnel setup'!$K$8,"")</f>
        <v/>
      </c>
      <c r="G332" s="310" t="str">
        <f>IF(AND(ISNUMBER('Funnel setup'!P344),D332&gt;=30,E332&lt;&gt;"*"),F332-1.959963985 *('Funnel setup'!$K$7/SQRT('Funnel Data'!D332)),"")</f>
        <v/>
      </c>
      <c r="H332" s="310" t="str">
        <f>IF(AND(ISNUMBER('Funnel setup'!P344),D332&gt;=30,E332&lt;&gt;"*"),F332+1.959963985 *('Funnel setup'!$K$7/SQRT('Funnel Data'!D332)),"")</f>
        <v/>
      </c>
      <c r="I332" s="310" t="str">
        <f>IF(AND(ISNUMBER('Funnel setup'!P344),D332&gt;=30,E332&lt;&gt;"*"),F332-3.090232306 *('Funnel setup'!$K$7/SQRT('Funnel Data'!D332)),"")</f>
        <v/>
      </c>
      <c r="J332" s="310" t="str">
        <f>IF(AND(ISNUMBER('Funnel setup'!P344),D332&gt;=30,E332&lt;&gt;"*"),F332+3.090232306 *('Funnel setup'!$K$7/SQRT('Funnel Data'!D332)),"")</f>
        <v/>
      </c>
      <c r="K332" s="311" t="str">
        <f>IF(AND(ISNUMBER('Funnel setup'!P344),D332&gt;=30,E332&lt;&gt;"*"),IF(E332&gt;J332,'Funnel setup'!$K$14&amp;"99.8%",IF(E332&gt;H332,'Funnel setup'!$K$14&amp;"95%",IF(E332&lt;I332,'Funnel setup'!$K$15&amp;"99.8%",IF(E332&lt;G332,'Funnel setup'!$K$15&amp;"95%","")))),"")</f>
        <v/>
      </c>
    </row>
    <row r="333" spans="2:11" ht="15" x14ac:dyDescent="0.2">
      <c r="B333" s="307" t="str">
        <f>IF(ISNUMBER('Funnel setup'!P345),VLOOKUP('Funnel setup'!$P345,'Provider Commission - Raw Data'!$A:$Q,5,0),"")</f>
        <v/>
      </c>
      <c r="C333" s="308" t="str">
        <f>IF(ISNUMBER('Funnel setup'!P345),VLOOKUP('Funnel setup'!P345,'Provider Commission - Raw Data'!$A:$Q,6,0),"")</f>
        <v/>
      </c>
      <c r="D333" s="309" t="str">
        <f>IF(ISNUMBER('Funnel setup'!P345),VLOOKUP('Funnel setup'!P345,'Provider Commission - Raw Data'!$A:$Q,8,0),"")</f>
        <v/>
      </c>
      <c r="E333" s="446" t="str">
        <f>IF(ISNUMBER('Funnel setup'!P345),VLOOKUP('Funnel setup'!P345,'Provider Commission - Raw Data'!$A:$Q,16,0),"")</f>
        <v/>
      </c>
      <c r="F333" s="310" t="str">
        <f>IF(ISNUMBER('Funnel setup'!P345),'Funnel setup'!$K$8,"")</f>
        <v/>
      </c>
      <c r="G333" s="310" t="str">
        <f>IF(AND(ISNUMBER('Funnel setup'!P345),D333&gt;=30,E333&lt;&gt;"*"),F333-1.959963985 *('Funnel setup'!$K$7/SQRT('Funnel Data'!D333)),"")</f>
        <v/>
      </c>
      <c r="H333" s="310" t="str">
        <f>IF(AND(ISNUMBER('Funnel setup'!P345),D333&gt;=30,E333&lt;&gt;"*"),F333+1.959963985 *('Funnel setup'!$K$7/SQRT('Funnel Data'!D333)),"")</f>
        <v/>
      </c>
      <c r="I333" s="310" t="str">
        <f>IF(AND(ISNUMBER('Funnel setup'!P345),D333&gt;=30,E333&lt;&gt;"*"),F333-3.090232306 *('Funnel setup'!$K$7/SQRT('Funnel Data'!D333)),"")</f>
        <v/>
      </c>
      <c r="J333" s="310" t="str">
        <f>IF(AND(ISNUMBER('Funnel setup'!P345),D333&gt;=30,E333&lt;&gt;"*"),F333+3.090232306 *('Funnel setup'!$K$7/SQRT('Funnel Data'!D333)),"")</f>
        <v/>
      </c>
      <c r="K333" s="311" t="str">
        <f>IF(AND(ISNUMBER('Funnel setup'!P345),D333&gt;=30,E333&lt;&gt;"*"),IF(E333&gt;J333,'Funnel setup'!$K$14&amp;"99.8%",IF(E333&gt;H333,'Funnel setup'!$K$14&amp;"95%",IF(E333&lt;I333,'Funnel setup'!$K$15&amp;"99.8%",IF(E333&lt;G333,'Funnel setup'!$K$15&amp;"95%","")))),"")</f>
        <v/>
      </c>
    </row>
    <row r="334" spans="2:11" ht="15" x14ac:dyDescent="0.2">
      <c r="B334" s="307" t="str">
        <f>IF(ISNUMBER('Funnel setup'!P346),VLOOKUP('Funnel setup'!$P346,'Provider Commission - Raw Data'!$A:$Q,5,0),"")</f>
        <v/>
      </c>
      <c r="C334" s="308" t="str">
        <f>IF(ISNUMBER('Funnel setup'!P346),VLOOKUP('Funnel setup'!P346,'Provider Commission - Raw Data'!$A:$Q,6,0),"")</f>
        <v/>
      </c>
      <c r="D334" s="309" t="str">
        <f>IF(ISNUMBER('Funnel setup'!P346),VLOOKUP('Funnel setup'!P346,'Provider Commission - Raw Data'!$A:$Q,8,0),"")</f>
        <v/>
      </c>
      <c r="E334" s="446" t="str">
        <f>IF(ISNUMBER('Funnel setup'!P346),VLOOKUP('Funnel setup'!P346,'Provider Commission - Raw Data'!$A:$Q,16,0),"")</f>
        <v/>
      </c>
      <c r="F334" s="310" t="str">
        <f>IF(ISNUMBER('Funnel setup'!P346),'Funnel setup'!$K$8,"")</f>
        <v/>
      </c>
      <c r="G334" s="310" t="str">
        <f>IF(AND(ISNUMBER('Funnel setup'!P346),D334&gt;=30,E334&lt;&gt;"*"),F334-1.959963985 *('Funnel setup'!$K$7/SQRT('Funnel Data'!D334)),"")</f>
        <v/>
      </c>
      <c r="H334" s="310" t="str">
        <f>IF(AND(ISNUMBER('Funnel setup'!P346),D334&gt;=30,E334&lt;&gt;"*"),F334+1.959963985 *('Funnel setup'!$K$7/SQRT('Funnel Data'!D334)),"")</f>
        <v/>
      </c>
      <c r="I334" s="310" t="str">
        <f>IF(AND(ISNUMBER('Funnel setup'!P346),D334&gt;=30,E334&lt;&gt;"*"),F334-3.090232306 *('Funnel setup'!$K$7/SQRT('Funnel Data'!D334)),"")</f>
        <v/>
      </c>
      <c r="J334" s="310" t="str">
        <f>IF(AND(ISNUMBER('Funnel setup'!P346),D334&gt;=30,E334&lt;&gt;"*"),F334+3.090232306 *('Funnel setup'!$K$7/SQRT('Funnel Data'!D334)),"")</f>
        <v/>
      </c>
      <c r="K334" s="311" t="str">
        <f>IF(AND(ISNUMBER('Funnel setup'!P346),D334&gt;=30,E334&lt;&gt;"*"),IF(E334&gt;J334,'Funnel setup'!$K$14&amp;"99.8%",IF(E334&gt;H334,'Funnel setup'!$K$14&amp;"95%",IF(E334&lt;I334,'Funnel setup'!$K$15&amp;"99.8%",IF(E334&lt;G334,'Funnel setup'!$K$15&amp;"95%","")))),"")</f>
        <v/>
      </c>
    </row>
    <row r="335" spans="2:11" ht="15" x14ac:dyDescent="0.2">
      <c r="B335" s="307" t="str">
        <f>IF(ISNUMBER('Funnel setup'!P347),VLOOKUP('Funnel setup'!$P347,'Provider Commission - Raw Data'!$A:$Q,5,0),"")</f>
        <v/>
      </c>
      <c r="C335" s="308" t="str">
        <f>IF(ISNUMBER('Funnel setup'!P347),VLOOKUP('Funnel setup'!P347,'Provider Commission - Raw Data'!$A:$Q,6,0),"")</f>
        <v/>
      </c>
      <c r="D335" s="309" t="str">
        <f>IF(ISNUMBER('Funnel setup'!P347),VLOOKUP('Funnel setup'!P347,'Provider Commission - Raw Data'!$A:$Q,8,0),"")</f>
        <v/>
      </c>
      <c r="E335" s="446" t="str">
        <f>IF(ISNUMBER('Funnel setup'!P347),VLOOKUP('Funnel setup'!P347,'Provider Commission - Raw Data'!$A:$Q,16,0),"")</f>
        <v/>
      </c>
      <c r="F335" s="310" t="str">
        <f>IF(ISNUMBER('Funnel setup'!P347),'Funnel setup'!$K$8,"")</f>
        <v/>
      </c>
      <c r="G335" s="310" t="str">
        <f>IF(AND(ISNUMBER('Funnel setup'!P347),D335&gt;=30,E335&lt;&gt;"*"),F335-1.959963985 *('Funnel setup'!$K$7/SQRT('Funnel Data'!D335)),"")</f>
        <v/>
      </c>
      <c r="H335" s="310" t="str">
        <f>IF(AND(ISNUMBER('Funnel setup'!P347),D335&gt;=30,E335&lt;&gt;"*"),F335+1.959963985 *('Funnel setup'!$K$7/SQRT('Funnel Data'!D335)),"")</f>
        <v/>
      </c>
      <c r="I335" s="310" t="str">
        <f>IF(AND(ISNUMBER('Funnel setup'!P347),D335&gt;=30,E335&lt;&gt;"*"),F335-3.090232306 *('Funnel setup'!$K$7/SQRT('Funnel Data'!D335)),"")</f>
        <v/>
      </c>
      <c r="J335" s="310" t="str">
        <f>IF(AND(ISNUMBER('Funnel setup'!P347),D335&gt;=30,E335&lt;&gt;"*"),F335+3.090232306 *('Funnel setup'!$K$7/SQRT('Funnel Data'!D335)),"")</f>
        <v/>
      </c>
      <c r="K335" s="311" t="str">
        <f>IF(AND(ISNUMBER('Funnel setup'!P347),D335&gt;=30,E335&lt;&gt;"*"),IF(E335&gt;J335,'Funnel setup'!$K$14&amp;"99.8%",IF(E335&gt;H335,'Funnel setup'!$K$14&amp;"95%",IF(E335&lt;I335,'Funnel setup'!$K$15&amp;"99.8%",IF(E335&lt;G335,'Funnel setup'!$K$15&amp;"95%","")))),"")</f>
        <v/>
      </c>
    </row>
    <row r="336" spans="2:11" ht="15" x14ac:dyDescent="0.2">
      <c r="B336" s="307" t="str">
        <f>IF(ISNUMBER('Funnel setup'!P348),VLOOKUP('Funnel setup'!$P348,'Provider Commission - Raw Data'!$A:$Q,5,0),"")</f>
        <v/>
      </c>
      <c r="C336" s="308" t="str">
        <f>IF(ISNUMBER('Funnel setup'!P348),VLOOKUP('Funnel setup'!P348,'Provider Commission - Raw Data'!$A:$Q,6,0),"")</f>
        <v/>
      </c>
      <c r="D336" s="309" t="str">
        <f>IF(ISNUMBER('Funnel setup'!P348),VLOOKUP('Funnel setup'!P348,'Provider Commission - Raw Data'!$A:$Q,8,0),"")</f>
        <v/>
      </c>
      <c r="E336" s="446" t="str">
        <f>IF(ISNUMBER('Funnel setup'!P348),VLOOKUP('Funnel setup'!P348,'Provider Commission - Raw Data'!$A:$Q,16,0),"")</f>
        <v/>
      </c>
      <c r="F336" s="310" t="str">
        <f>IF(ISNUMBER('Funnel setup'!P348),'Funnel setup'!$K$8,"")</f>
        <v/>
      </c>
      <c r="G336" s="310" t="str">
        <f>IF(AND(ISNUMBER('Funnel setup'!P348),D336&gt;=30,E336&lt;&gt;"*"),F336-1.959963985 *('Funnel setup'!$K$7/SQRT('Funnel Data'!D336)),"")</f>
        <v/>
      </c>
      <c r="H336" s="310" t="str">
        <f>IF(AND(ISNUMBER('Funnel setup'!P348),D336&gt;=30,E336&lt;&gt;"*"),F336+1.959963985 *('Funnel setup'!$K$7/SQRT('Funnel Data'!D336)),"")</f>
        <v/>
      </c>
      <c r="I336" s="310" t="str">
        <f>IF(AND(ISNUMBER('Funnel setup'!P348),D336&gt;=30,E336&lt;&gt;"*"),F336-3.090232306 *('Funnel setup'!$K$7/SQRT('Funnel Data'!D336)),"")</f>
        <v/>
      </c>
      <c r="J336" s="310" t="str">
        <f>IF(AND(ISNUMBER('Funnel setup'!P348),D336&gt;=30,E336&lt;&gt;"*"),F336+3.090232306 *('Funnel setup'!$K$7/SQRT('Funnel Data'!D336)),"")</f>
        <v/>
      </c>
      <c r="K336" s="311" t="str">
        <f>IF(AND(ISNUMBER('Funnel setup'!P348),D336&gt;=30,E336&lt;&gt;"*"),IF(E336&gt;J336,'Funnel setup'!$K$14&amp;"99.8%",IF(E336&gt;H336,'Funnel setup'!$K$14&amp;"95%",IF(E336&lt;I336,'Funnel setup'!$K$15&amp;"99.8%",IF(E336&lt;G336,'Funnel setup'!$K$15&amp;"95%","")))),"")</f>
        <v/>
      </c>
    </row>
    <row r="337" spans="2:11" ht="15" x14ac:dyDescent="0.2">
      <c r="B337" s="307" t="str">
        <f>IF(ISNUMBER('Funnel setup'!P349),VLOOKUP('Funnel setup'!$P349,'Provider Commission - Raw Data'!$A:$Q,5,0),"")</f>
        <v/>
      </c>
      <c r="C337" s="308" t="str">
        <f>IF(ISNUMBER('Funnel setup'!P349),VLOOKUP('Funnel setup'!P349,'Provider Commission - Raw Data'!$A:$Q,6,0),"")</f>
        <v/>
      </c>
      <c r="D337" s="309" t="str">
        <f>IF(ISNUMBER('Funnel setup'!P349),VLOOKUP('Funnel setup'!P349,'Provider Commission - Raw Data'!$A:$Q,8,0),"")</f>
        <v/>
      </c>
      <c r="E337" s="446" t="str">
        <f>IF(ISNUMBER('Funnel setup'!P349),VLOOKUP('Funnel setup'!P349,'Provider Commission - Raw Data'!$A:$Q,16,0),"")</f>
        <v/>
      </c>
      <c r="F337" s="310" t="str">
        <f>IF(ISNUMBER('Funnel setup'!P349),'Funnel setup'!$K$8,"")</f>
        <v/>
      </c>
      <c r="G337" s="310" t="str">
        <f>IF(AND(ISNUMBER('Funnel setup'!P349),D337&gt;=30,E337&lt;&gt;"*"),F337-1.959963985 *('Funnel setup'!$K$7/SQRT('Funnel Data'!D337)),"")</f>
        <v/>
      </c>
      <c r="H337" s="310" t="str">
        <f>IF(AND(ISNUMBER('Funnel setup'!P349),D337&gt;=30,E337&lt;&gt;"*"),F337+1.959963985 *('Funnel setup'!$K$7/SQRT('Funnel Data'!D337)),"")</f>
        <v/>
      </c>
      <c r="I337" s="310" t="str">
        <f>IF(AND(ISNUMBER('Funnel setup'!P349),D337&gt;=30,E337&lt;&gt;"*"),F337-3.090232306 *('Funnel setup'!$K$7/SQRT('Funnel Data'!D337)),"")</f>
        <v/>
      </c>
      <c r="J337" s="310" t="str">
        <f>IF(AND(ISNUMBER('Funnel setup'!P349),D337&gt;=30,E337&lt;&gt;"*"),F337+3.090232306 *('Funnel setup'!$K$7/SQRT('Funnel Data'!D337)),"")</f>
        <v/>
      </c>
      <c r="K337" s="311" t="str">
        <f>IF(AND(ISNUMBER('Funnel setup'!P349),D337&gt;=30,E337&lt;&gt;"*"),IF(E337&gt;J337,'Funnel setup'!$K$14&amp;"99.8%",IF(E337&gt;H337,'Funnel setup'!$K$14&amp;"95%",IF(E337&lt;I337,'Funnel setup'!$K$15&amp;"99.8%",IF(E337&lt;G337,'Funnel setup'!$K$15&amp;"95%","")))),"")</f>
        <v/>
      </c>
    </row>
    <row r="338" spans="2:11" ht="15" x14ac:dyDescent="0.2">
      <c r="B338" s="307" t="str">
        <f>IF(ISNUMBER('Funnel setup'!P350),VLOOKUP('Funnel setup'!$P350,'Provider Commission - Raw Data'!$A:$Q,5,0),"")</f>
        <v/>
      </c>
      <c r="C338" s="308" t="str">
        <f>IF(ISNUMBER('Funnel setup'!P350),VLOOKUP('Funnel setup'!P350,'Provider Commission - Raw Data'!$A:$Q,6,0),"")</f>
        <v/>
      </c>
      <c r="D338" s="309" t="str">
        <f>IF(ISNUMBER('Funnel setup'!P350),VLOOKUP('Funnel setup'!P350,'Provider Commission - Raw Data'!$A:$Q,8,0),"")</f>
        <v/>
      </c>
      <c r="E338" s="446" t="str">
        <f>IF(ISNUMBER('Funnel setup'!P350),VLOOKUP('Funnel setup'!P350,'Provider Commission - Raw Data'!$A:$Q,16,0),"")</f>
        <v/>
      </c>
      <c r="F338" s="310" t="str">
        <f>IF(ISNUMBER('Funnel setup'!P350),'Funnel setup'!$K$8,"")</f>
        <v/>
      </c>
      <c r="G338" s="310" t="str">
        <f>IF(AND(ISNUMBER('Funnel setup'!P350),D338&gt;=30,E338&lt;&gt;"*"),F338-1.959963985 *('Funnel setup'!$K$7/SQRT('Funnel Data'!D338)),"")</f>
        <v/>
      </c>
      <c r="H338" s="310" t="str">
        <f>IF(AND(ISNUMBER('Funnel setup'!P350),D338&gt;=30,E338&lt;&gt;"*"),F338+1.959963985 *('Funnel setup'!$K$7/SQRT('Funnel Data'!D338)),"")</f>
        <v/>
      </c>
      <c r="I338" s="310" t="str">
        <f>IF(AND(ISNUMBER('Funnel setup'!P350),D338&gt;=30,E338&lt;&gt;"*"),F338-3.090232306 *('Funnel setup'!$K$7/SQRT('Funnel Data'!D338)),"")</f>
        <v/>
      </c>
      <c r="J338" s="310" t="str">
        <f>IF(AND(ISNUMBER('Funnel setup'!P350),D338&gt;=30,E338&lt;&gt;"*"),F338+3.090232306 *('Funnel setup'!$K$7/SQRT('Funnel Data'!D338)),"")</f>
        <v/>
      </c>
      <c r="K338" s="311" t="str">
        <f>IF(AND(ISNUMBER('Funnel setup'!P350),D338&gt;=30,E338&lt;&gt;"*"),IF(E338&gt;J338,'Funnel setup'!$K$14&amp;"99.8%",IF(E338&gt;H338,'Funnel setup'!$K$14&amp;"95%",IF(E338&lt;I338,'Funnel setup'!$K$15&amp;"99.8%",IF(E338&lt;G338,'Funnel setup'!$K$15&amp;"95%","")))),"")</f>
        <v/>
      </c>
    </row>
    <row r="339" spans="2:11" ht="15" x14ac:dyDescent="0.2">
      <c r="B339" s="307" t="str">
        <f>IF(ISNUMBER('Funnel setup'!P351),VLOOKUP('Funnel setup'!$P351,'Provider Commission - Raw Data'!$A:$Q,5,0),"")</f>
        <v/>
      </c>
      <c r="C339" s="308" t="str">
        <f>IF(ISNUMBER('Funnel setup'!P351),VLOOKUP('Funnel setup'!P351,'Provider Commission - Raw Data'!$A:$Q,6,0),"")</f>
        <v/>
      </c>
      <c r="D339" s="309" t="str">
        <f>IF(ISNUMBER('Funnel setup'!P351),VLOOKUP('Funnel setup'!P351,'Provider Commission - Raw Data'!$A:$Q,8,0),"")</f>
        <v/>
      </c>
      <c r="E339" s="446" t="str">
        <f>IF(ISNUMBER('Funnel setup'!P351),VLOOKUP('Funnel setup'!P351,'Provider Commission - Raw Data'!$A:$Q,16,0),"")</f>
        <v/>
      </c>
      <c r="F339" s="310" t="str">
        <f>IF(ISNUMBER('Funnel setup'!P351),'Funnel setup'!$K$8,"")</f>
        <v/>
      </c>
      <c r="G339" s="310" t="str">
        <f>IF(AND(ISNUMBER('Funnel setup'!P351),D339&gt;=30,E339&lt;&gt;"*"),F339-1.959963985 *('Funnel setup'!$K$7/SQRT('Funnel Data'!D339)),"")</f>
        <v/>
      </c>
      <c r="H339" s="310" t="str">
        <f>IF(AND(ISNUMBER('Funnel setup'!P351),D339&gt;=30,E339&lt;&gt;"*"),F339+1.959963985 *('Funnel setup'!$K$7/SQRT('Funnel Data'!D339)),"")</f>
        <v/>
      </c>
      <c r="I339" s="310" t="str">
        <f>IF(AND(ISNUMBER('Funnel setup'!P351),D339&gt;=30,E339&lt;&gt;"*"),F339-3.090232306 *('Funnel setup'!$K$7/SQRT('Funnel Data'!D339)),"")</f>
        <v/>
      </c>
      <c r="J339" s="310" t="str">
        <f>IF(AND(ISNUMBER('Funnel setup'!P351),D339&gt;=30,E339&lt;&gt;"*"),F339+3.090232306 *('Funnel setup'!$K$7/SQRT('Funnel Data'!D339)),"")</f>
        <v/>
      </c>
      <c r="K339" s="311" t="str">
        <f>IF(AND(ISNUMBER('Funnel setup'!P351),D339&gt;=30,E339&lt;&gt;"*"),IF(E339&gt;J339,'Funnel setup'!$K$14&amp;"99.8%",IF(E339&gt;H339,'Funnel setup'!$K$14&amp;"95%",IF(E339&lt;I339,'Funnel setup'!$K$15&amp;"99.8%",IF(E339&lt;G339,'Funnel setup'!$K$15&amp;"95%","")))),"")</f>
        <v/>
      </c>
    </row>
    <row r="340" spans="2:11" ht="15" x14ac:dyDescent="0.2">
      <c r="B340" s="307" t="str">
        <f>IF(ISNUMBER('Funnel setup'!P352),VLOOKUP('Funnel setup'!$P352,'Provider Commission - Raw Data'!$A:$Q,5,0),"")</f>
        <v/>
      </c>
      <c r="C340" s="308" t="str">
        <f>IF(ISNUMBER('Funnel setup'!P352),VLOOKUP('Funnel setup'!P352,'Provider Commission - Raw Data'!$A:$Q,6,0),"")</f>
        <v/>
      </c>
      <c r="D340" s="309" t="str">
        <f>IF(ISNUMBER('Funnel setup'!P352),VLOOKUP('Funnel setup'!P352,'Provider Commission - Raw Data'!$A:$Q,8,0),"")</f>
        <v/>
      </c>
      <c r="E340" s="446" t="str">
        <f>IF(ISNUMBER('Funnel setup'!P352),VLOOKUP('Funnel setup'!P352,'Provider Commission - Raw Data'!$A:$Q,16,0),"")</f>
        <v/>
      </c>
      <c r="F340" s="310" t="str">
        <f>IF(ISNUMBER('Funnel setup'!P352),'Funnel setup'!$K$8,"")</f>
        <v/>
      </c>
      <c r="G340" s="310" t="str">
        <f>IF(AND(ISNUMBER('Funnel setup'!P352),D340&gt;=30,E340&lt;&gt;"*"),F340-1.959963985 *('Funnel setup'!$K$7/SQRT('Funnel Data'!D340)),"")</f>
        <v/>
      </c>
      <c r="H340" s="310" t="str">
        <f>IF(AND(ISNUMBER('Funnel setup'!P352),D340&gt;=30,E340&lt;&gt;"*"),F340+1.959963985 *('Funnel setup'!$K$7/SQRT('Funnel Data'!D340)),"")</f>
        <v/>
      </c>
      <c r="I340" s="310" t="str">
        <f>IF(AND(ISNUMBER('Funnel setup'!P352),D340&gt;=30,E340&lt;&gt;"*"),F340-3.090232306 *('Funnel setup'!$K$7/SQRT('Funnel Data'!D340)),"")</f>
        <v/>
      </c>
      <c r="J340" s="310" t="str">
        <f>IF(AND(ISNUMBER('Funnel setup'!P352),D340&gt;=30,E340&lt;&gt;"*"),F340+3.090232306 *('Funnel setup'!$K$7/SQRT('Funnel Data'!D340)),"")</f>
        <v/>
      </c>
      <c r="K340" s="311" t="str">
        <f>IF(AND(ISNUMBER('Funnel setup'!P352),D340&gt;=30,E340&lt;&gt;"*"),IF(E340&gt;J340,'Funnel setup'!$K$14&amp;"99.8%",IF(E340&gt;H340,'Funnel setup'!$K$14&amp;"95%",IF(E340&lt;I340,'Funnel setup'!$K$15&amp;"99.8%",IF(E340&lt;G340,'Funnel setup'!$K$15&amp;"95%","")))),"")</f>
        <v/>
      </c>
    </row>
    <row r="341" spans="2:11" ht="15" x14ac:dyDescent="0.2">
      <c r="B341" s="307" t="str">
        <f>IF(ISNUMBER('Funnel setup'!P353),VLOOKUP('Funnel setup'!$P353,'Provider Commission - Raw Data'!$A:$Q,5,0),"")</f>
        <v/>
      </c>
      <c r="C341" s="308" t="str">
        <f>IF(ISNUMBER('Funnel setup'!P353),VLOOKUP('Funnel setup'!P353,'Provider Commission - Raw Data'!$A:$Q,6,0),"")</f>
        <v/>
      </c>
      <c r="D341" s="309" t="str">
        <f>IF(ISNUMBER('Funnel setup'!P353),VLOOKUP('Funnel setup'!P353,'Provider Commission - Raw Data'!$A:$Q,8,0),"")</f>
        <v/>
      </c>
      <c r="E341" s="446" t="str">
        <f>IF(ISNUMBER('Funnel setup'!P353),VLOOKUP('Funnel setup'!P353,'Provider Commission - Raw Data'!$A:$Q,16,0),"")</f>
        <v/>
      </c>
      <c r="F341" s="310" t="str">
        <f>IF(ISNUMBER('Funnel setup'!P353),'Funnel setup'!$K$8,"")</f>
        <v/>
      </c>
      <c r="G341" s="310" t="str">
        <f>IF(AND(ISNUMBER('Funnel setup'!P353),D341&gt;=30,E341&lt;&gt;"*"),F341-1.959963985 *('Funnel setup'!$K$7/SQRT('Funnel Data'!D341)),"")</f>
        <v/>
      </c>
      <c r="H341" s="310" t="str">
        <f>IF(AND(ISNUMBER('Funnel setup'!P353),D341&gt;=30,E341&lt;&gt;"*"),F341+1.959963985 *('Funnel setup'!$K$7/SQRT('Funnel Data'!D341)),"")</f>
        <v/>
      </c>
      <c r="I341" s="310" t="str">
        <f>IF(AND(ISNUMBER('Funnel setup'!P353),D341&gt;=30,E341&lt;&gt;"*"),F341-3.090232306 *('Funnel setup'!$K$7/SQRT('Funnel Data'!D341)),"")</f>
        <v/>
      </c>
      <c r="J341" s="310" t="str">
        <f>IF(AND(ISNUMBER('Funnel setup'!P353),D341&gt;=30,E341&lt;&gt;"*"),F341+3.090232306 *('Funnel setup'!$K$7/SQRT('Funnel Data'!D341)),"")</f>
        <v/>
      </c>
      <c r="K341" s="311" t="str">
        <f>IF(AND(ISNUMBER('Funnel setup'!P353),D341&gt;=30,E341&lt;&gt;"*"),IF(E341&gt;J341,'Funnel setup'!$K$14&amp;"99.8%",IF(E341&gt;H341,'Funnel setup'!$K$14&amp;"95%",IF(E341&lt;I341,'Funnel setup'!$K$15&amp;"99.8%",IF(E341&lt;G341,'Funnel setup'!$K$15&amp;"95%","")))),"")</f>
        <v/>
      </c>
    </row>
    <row r="342" spans="2:11" ht="15" x14ac:dyDescent="0.2">
      <c r="B342" s="307" t="str">
        <f>IF(ISNUMBER('Funnel setup'!P354),VLOOKUP('Funnel setup'!$P354,'Provider Commission - Raw Data'!$A:$Q,5,0),"")</f>
        <v/>
      </c>
      <c r="C342" s="308" t="str">
        <f>IF(ISNUMBER('Funnel setup'!P354),VLOOKUP('Funnel setup'!P354,'Provider Commission - Raw Data'!$A:$Q,6,0),"")</f>
        <v/>
      </c>
      <c r="D342" s="309" t="str">
        <f>IF(ISNUMBER('Funnel setup'!P354),VLOOKUP('Funnel setup'!P354,'Provider Commission - Raw Data'!$A:$Q,8,0),"")</f>
        <v/>
      </c>
      <c r="E342" s="446" t="str">
        <f>IF(ISNUMBER('Funnel setup'!P354),VLOOKUP('Funnel setup'!P354,'Provider Commission - Raw Data'!$A:$Q,16,0),"")</f>
        <v/>
      </c>
      <c r="F342" s="310" t="str">
        <f>IF(ISNUMBER('Funnel setup'!P354),'Funnel setup'!$K$8,"")</f>
        <v/>
      </c>
      <c r="G342" s="310" t="str">
        <f>IF(AND(ISNUMBER('Funnel setup'!P354),D342&gt;=30,E342&lt;&gt;"*"),F342-1.959963985 *('Funnel setup'!$K$7/SQRT('Funnel Data'!D342)),"")</f>
        <v/>
      </c>
      <c r="H342" s="310" t="str">
        <f>IF(AND(ISNUMBER('Funnel setup'!P354),D342&gt;=30,E342&lt;&gt;"*"),F342+1.959963985 *('Funnel setup'!$K$7/SQRT('Funnel Data'!D342)),"")</f>
        <v/>
      </c>
      <c r="I342" s="310" t="str">
        <f>IF(AND(ISNUMBER('Funnel setup'!P354),D342&gt;=30,E342&lt;&gt;"*"),F342-3.090232306 *('Funnel setup'!$K$7/SQRT('Funnel Data'!D342)),"")</f>
        <v/>
      </c>
      <c r="J342" s="310" t="str">
        <f>IF(AND(ISNUMBER('Funnel setup'!P354),D342&gt;=30,E342&lt;&gt;"*"),F342+3.090232306 *('Funnel setup'!$K$7/SQRT('Funnel Data'!D342)),"")</f>
        <v/>
      </c>
      <c r="K342" s="311" t="str">
        <f>IF(AND(ISNUMBER('Funnel setup'!P354),D342&gt;=30,E342&lt;&gt;"*"),IF(E342&gt;J342,'Funnel setup'!$K$14&amp;"99.8%",IF(E342&gt;H342,'Funnel setup'!$K$14&amp;"95%",IF(E342&lt;I342,'Funnel setup'!$K$15&amp;"99.8%",IF(E342&lt;G342,'Funnel setup'!$K$15&amp;"95%","")))),"")</f>
        <v/>
      </c>
    </row>
    <row r="343" spans="2:11" ht="15" x14ac:dyDescent="0.2">
      <c r="B343" s="307" t="str">
        <f>IF(ISNUMBER('Funnel setup'!P355),VLOOKUP('Funnel setup'!$P355,'Provider Commission - Raw Data'!$A:$Q,5,0),"")</f>
        <v/>
      </c>
      <c r="C343" s="308" t="str">
        <f>IF(ISNUMBER('Funnel setup'!P355),VLOOKUP('Funnel setup'!P355,'Provider Commission - Raw Data'!$A:$Q,6,0),"")</f>
        <v/>
      </c>
      <c r="D343" s="309" t="str">
        <f>IF(ISNUMBER('Funnel setup'!P355),VLOOKUP('Funnel setup'!P355,'Provider Commission - Raw Data'!$A:$Q,8,0),"")</f>
        <v/>
      </c>
      <c r="E343" s="446" t="str">
        <f>IF(ISNUMBER('Funnel setup'!P355),VLOOKUP('Funnel setup'!P355,'Provider Commission - Raw Data'!$A:$Q,16,0),"")</f>
        <v/>
      </c>
      <c r="F343" s="310" t="str">
        <f>IF(ISNUMBER('Funnel setup'!P355),'Funnel setup'!$K$8,"")</f>
        <v/>
      </c>
      <c r="G343" s="310" t="str">
        <f>IF(AND(ISNUMBER('Funnel setup'!P355),D343&gt;=30,E343&lt;&gt;"*"),F343-1.959963985 *('Funnel setup'!$K$7/SQRT('Funnel Data'!D343)),"")</f>
        <v/>
      </c>
      <c r="H343" s="310" t="str">
        <f>IF(AND(ISNUMBER('Funnel setup'!P355),D343&gt;=30,E343&lt;&gt;"*"),F343+1.959963985 *('Funnel setup'!$K$7/SQRT('Funnel Data'!D343)),"")</f>
        <v/>
      </c>
      <c r="I343" s="310" t="str">
        <f>IF(AND(ISNUMBER('Funnel setup'!P355),D343&gt;=30,E343&lt;&gt;"*"),F343-3.090232306 *('Funnel setup'!$K$7/SQRT('Funnel Data'!D343)),"")</f>
        <v/>
      </c>
      <c r="J343" s="310" t="str">
        <f>IF(AND(ISNUMBER('Funnel setup'!P355),D343&gt;=30,E343&lt;&gt;"*"),F343+3.090232306 *('Funnel setup'!$K$7/SQRT('Funnel Data'!D343)),"")</f>
        <v/>
      </c>
      <c r="K343" s="311" t="str">
        <f>IF(AND(ISNUMBER('Funnel setup'!P355),D343&gt;=30,E343&lt;&gt;"*"),IF(E343&gt;J343,'Funnel setup'!$K$14&amp;"99.8%",IF(E343&gt;H343,'Funnel setup'!$K$14&amp;"95%",IF(E343&lt;I343,'Funnel setup'!$K$15&amp;"99.8%",IF(E343&lt;G343,'Funnel setup'!$K$15&amp;"95%","")))),"")</f>
        <v/>
      </c>
    </row>
    <row r="344" spans="2:11" ht="15" x14ac:dyDescent="0.2">
      <c r="B344" s="307" t="str">
        <f>IF(ISNUMBER('Funnel setup'!P356),VLOOKUP('Funnel setup'!$P356,'Provider Commission - Raw Data'!$A:$Q,5,0),"")</f>
        <v/>
      </c>
      <c r="C344" s="308" t="str">
        <f>IF(ISNUMBER('Funnel setup'!P356),VLOOKUP('Funnel setup'!P356,'Provider Commission - Raw Data'!$A:$Q,6,0),"")</f>
        <v/>
      </c>
      <c r="D344" s="309" t="str">
        <f>IF(ISNUMBER('Funnel setup'!P356),VLOOKUP('Funnel setup'!P356,'Provider Commission - Raw Data'!$A:$Q,8,0),"")</f>
        <v/>
      </c>
      <c r="E344" s="446" t="str">
        <f>IF(ISNUMBER('Funnel setup'!P356),VLOOKUP('Funnel setup'!P356,'Provider Commission - Raw Data'!$A:$Q,16,0),"")</f>
        <v/>
      </c>
      <c r="F344" s="310" t="str">
        <f>IF(ISNUMBER('Funnel setup'!P356),'Funnel setup'!$K$8,"")</f>
        <v/>
      </c>
      <c r="G344" s="310" t="str">
        <f>IF(AND(ISNUMBER('Funnel setup'!P356),D344&gt;=30,E344&lt;&gt;"*"),F344-1.959963985 *('Funnel setup'!$K$7/SQRT('Funnel Data'!D344)),"")</f>
        <v/>
      </c>
      <c r="H344" s="310" t="str">
        <f>IF(AND(ISNUMBER('Funnel setup'!P356),D344&gt;=30,E344&lt;&gt;"*"),F344+1.959963985 *('Funnel setup'!$K$7/SQRT('Funnel Data'!D344)),"")</f>
        <v/>
      </c>
      <c r="I344" s="310" t="str">
        <f>IF(AND(ISNUMBER('Funnel setup'!P356),D344&gt;=30,E344&lt;&gt;"*"),F344-3.090232306 *('Funnel setup'!$K$7/SQRT('Funnel Data'!D344)),"")</f>
        <v/>
      </c>
      <c r="J344" s="310" t="str">
        <f>IF(AND(ISNUMBER('Funnel setup'!P356),D344&gt;=30,E344&lt;&gt;"*"),F344+3.090232306 *('Funnel setup'!$K$7/SQRT('Funnel Data'!D344)),"")</f>
        <v/>
      </c>
      <c r="K344" s="311" t="str">
        <f>IF(AND(ISNUMBER('Funnel setup'!P356),D344&gt;=30,E344&lt;&gt;"*"),IF(E344&gt;J344,'Funnel setup'!$K$14&amp;"99.8%",IF(E344&gt;H344,'Funnel setup'!$K$14&amp;"95%",IF(E344&lt;I344,'Funnel setup'!$K$15&amp;"99.8%",IF(E344&lt;G344,'Funnel setup'!$K$15&amp;"95%","")))),"")</f>
        <v/>
      </c>
    </row>
    <row r="345" spans="2:11" ht="15" x14ac:dyDescent="0.2">
      <c r="B345" s="307" t="str">
        <f>IF(ISNUMBER('Funnel setup'!P357),VLOOKUP('Funnel setup'!$P357,'Provider Commission - Raw Data'!$A:$Q,5,0),"")</f>
        <v/>
      </c>
      <c r="C345" s="308" t="str">
        <f>IF(ISNUMBER('Funnel setup'!P357),VLOOKUP('Funnel setup'!P357,'Provider Commission - Raw Data'!$A:$Q,6,0),"")</f>
        <v/>
      </c>
      <c r="D345" s="309" t="str">
        <f>IF(ISNUMBER('Funnel setup'!P357),VLOOKUP('Funnel setup'!P357,'Provider Commission - Raw Data'!$A:$Q,8,0),"")</f>
        <v/>
      </c>
      <c r="E345" s="446" t="str">
        <f>IF(ISNUMBER('Funnel setup'!P357),VLOOKUP('Funnel setup'!P357,'Provider Commission - Raw Data'!$A:$Q,16,0),"")</f>
        <v/>
      </c>
      <c r="F345" s="310" t="str">
        <f>IF(ISNUMBER('Funnel setup'!P357),'Funnel setup'!$K$8,"")</f>
        <v/>
      </c>
      <c r="G345" s="310" t="str">
        <f>IF(AND(ISNUMBER('Funnel setup'!P357),D345&gt;=30,E345&lt;&gt;"*"),F345-1.959963985 *('Funnel setup'!$K$7/SQRT('Funnel Data'!D345)),"")</f>
        <v/>
      </c>
      <c r="H345" s="310" t="str">
        <f>IF(AND(ISNUMBER('Funnel setup'!P357),D345&gt;=30,E345&lt;&gt;"*"),F345+1.959963985 *('Funnel setup'!$K$7/SQRT('Funnel Data'!D345)),"")</f>
        <v/>
      </c>
      <c r="I345" s="310" t="str">
        <f>IF(AND(ISNUMBER('Funnel setup'!P357),D345&gt;=30,E345&lt;&gt;"*"),F345-3.090232306 *('Funnel setup'!$K$7/SQRT('Funnel Data'!D345)),"")</f>
        <v/>
      </c>
      <c r="J345" s="310" t="str">
        <f>IF(AND(ISNUMBER('Funnel setup'!P357),D345&gt;=30,E345&lt;&gt;"*"),F345+3.090232306 *('Funnel setup'!$K$7/SQRT('Funnel Data'!D345)),"")</f>
        <v/>
      </c>
      <c r="K345" s="311" t="str">
        <f>IF(AND(ISNUMBER('Funnel setup'!P357),D345&gt;=30,E345&lt;&gt;"*"),IF(E345&gt;J345,'Funnel setup'!$K$14&amp;"99.8%",IF(E345&gt;H345,'Funnel setup'!$K$14&amp;"95%",IF(E345&lt;I345,'Funnel setup'!$K$15&amp;"99.8%",IF(E345&lt;G345,'Funnel setup'!$K$15&amp;"95%","")))),"")</f>
        <v/>
      </c>
    </row>
    <row r="346" spans="2:11" ht="15" x14ac:dyDescent="0.2">
      <c r="B346" s="307" t="str">
        <f>IF(ISNUMBER('Funnel setup'!P358),VLOOKUP('Funnel setup'!$P358,'Provider Commission - Raw Data'!$A:$Q,5,0),"")</f>
        <v/>
      </c>
      <c r="C346" s="308" t="str">
        <f>IF(ISNUMBER('Funnel setup'!P358),VLOOKUP('Funnel setup'!P358,'Provider Commission - Raw Data'!$A:$Q,6,0),"")</f>
        <v/>
      </c>
      <c r="D346" s="309" t="str">
        <f>IF(ISNUMBER('Funnel setup'!P358),VLOOKUP('Funnel setup'!P358,'Provider Commission - Raw Data'!$A:$Q,8,0),"")</f>
        <v/>
      </c>
      <c r="E346" s="446" t="str">
        <f>IF(ISNUMBER('Funnel setup'!P358),VLOOKUP('Funnel setup'!P358,'Provider Commission - Raw Data'!$A:$Q,16,0),"")</f>
        <v/>
      </c>
      <c r="F346" s="310" t="str">
        <f>IF(ISNUMBER('Funnel setup'!P358),'Funnel setup'!$K$8,"")</f>
        <v/>
      </c>
      <c r="G346" s="310" t="str">
        <f>IF(AND(ISNUMBER('Funnel setup'!P358),D346&gt;=30,E346&lt;&gt;"*"),F346-1.959963985 *('Funnel setup'!$K$7/SQRT('Funnel Data'!D346)),"")</f>
        <v/>
      </c>
      <c r="H346" s="310" t="str">
        <f>IF(AND(ISNUMBER('Funnel setup'!P358),D346&gt;=30,E346&lt;&gt;"*"),F346+1.959963985 *('Funnel setup'!$K$7/SQRT('Funnel Data'!D346)),"")</f>
        <v/>
      </c>
      <c r="I346" s="310" t="str">
        <f>IF(AND(ISNUMBER('Funnel setup'!P358),D346&gt;=30,E346&lt;&gt;"*"),F346-3.090232306 *('Funnel setup'!$K$7/SQRT('Funnel Data'!D346)),"")</f>
        <v/>
      </c>
      <c r="J346" s="310" t="str">
        <f>IF(AND(ISNUMBER('Funnel setup'!P358),D346&gt;=30,E346&lt;&gt;"*"),F346+3.090232306 *('Funnel setup'!$K$7/SQRT('Funnel Data'!D346)),"")</f>
        <v/>
      </c>
      <c r="K346" s="311" t="str">
        <f>IF(AND(ISNUMBER('Funnel setup'!P358),D346&gt;=30,E346&lt;&gt;"*"),IF(E346&gt;J346,'Funnel setup'!$K$14&amp;"99.8%",IF(E346&gt;H346,'Funnel setup'!$K$14&amp;"95%",IF(E346&lt;I346,'Funnel setup'!$K$15&amp;"99.8%",IF(E346&lt;G346,'Funnel setup'!$K$15&amp;"95%","")))),"")</f>
        <v/>
      </c>
    </row>
    <row r="347" spans="2:11" ht="15" x14ac:dyDescent="0.2">
      <c r="B347" s="307" t="str">
        <f>IF(ISNUMBER('Funnel setup'!P359),VLOOKUP('Funnel setup'!$P359,'Provider Commission - Raw Data'!$A:$Q,5,0),"")</f>
        <v/>
      </c>
      <c r="C347" s="308" t="str">
        <f>IF(ISNUMBER('Funnel setup'!P359),VLOOKUP('Funnel setup'!P359,'Provider Commission - Raw Data'!$A:$Q,6,0),"")</f>
        <v/>
      </c>
      <c r="D347" s="309" t="str">
        <f>IF(ISNUMBER('Funnel setup'!P359),VLOOKUP('Funnel setup'!P359,'Provider Commission - Raw Data'!$A:$Q,8,0),"")</f>
        <v/>
      </c>
      <c r="E347" s="446" t="str">
        <f>IF(ISNUMBER('Funnel setup'!P359),VLOOKUP('Funnel setup'!P359,'Provider Commission - Raw Data'!$A:$Q,16,0),"")</f>
        <v/>
      </c>
      <c r="F347" s="310" t="str">
        <f>IF(ISNUMBER('Funnel setup'!P359),'Funnel setup'!$K$8,"")</f>
        <v/>
      </c>
      <c r="G347" s="310" t="str">
        <f>IF(AND(ISNUMBER('Funnel setup'!P359),D347&gt;=30,E347&lt;&gt;"*"),F347-1.959963985 *('Funnel setup'!$K$7/SQRT('Funnel Data'!D347)),"")</f>
        <v/>
      </c>
      <c r="H347" s="310" t="str">
        <f>IF(AND(ISNUMBER('Funnel setup'!P359),D347&gt;=30,E347&lt;&gt;"*"),F347+1.959963985 *('Funnel setup'!$K$7/SQRT('Funnel Data'!D347)),"")</f>
        <v/>
      </c>
      <c r="I347" s="310" t="str">
        <f>IF(AND(ISNUMBER('Funnel setup'!P359),D347&gt;=30,E347&lt;&gt;"*"),F347-3.090232306 *('Funnel setup'!$K$7/SQRT('Funnel Data'!D347)),"")</f>
        <v/>
      </c>
      <c r="J347" s="310" t="str">
        <f>IF(AND(ISNUMBER('Funnel setup'!P359),D347&gt;=30,E347&lt;&gt;"*"),F347+3.090232306 *('Funnel setup'!$K$7/SQRT('Funnel Data'!D347)),"")</f>
        <v/>
      </c>
      <c r="K347" s="311" t="str">
        <f>IF(AND(ISNUMBER('Funnel setup'!P359),D347&gt;=30,E347&lt;&gt;"*"),IF(E347&gt;J347,'Funnel setup'!$K$14&amp;"99.8%",IF(E347&gt;H347,'Funnel setup'!$K$14&amp;"95%",IF(E347&lt;I347,'Funnel setup'!$K$15&amp;"99.8%",IF(E347&lt;G347,'Funnel setup'!$K$15&amp;"95%","")))),"")</f>
        <v/>
      </c>
    </row>
    <row r="348" spans="2:11" ht="15" x14ac:dyDescent="0.2">
      <c r="B348" s="307" t="str">
        <f>IF(ISNUMBER('Funnel setup'!P360),VLOOKUP('Funnel setup'!$P360,'Provider Commission - Raw Data'!$A:$Q,5,0),"")</f>
        <v/>
      </c>
      <c r="C348" s="308" t="str">
        <f>IF(ISNUMBER('Funnel setup'!P360),VLOOKUP('Funnel setup'!P360,'Provider Commission - Raw Data'!$A:$Q,6,0),"")</f>
        <v/>
      </c>
      <c r="D348" s="309" t="str">
        <f>IF(ISNUMBER('Funnel setup'!P360),VLOOKUP('Funnel setup'!P360,'Provider Commission - Raw Data'!$A:$Q,8,0),"")</f>
        <v/>
      </c>
      <c r="E348" s="446" t="str">
        <f>IF(ISNUMBER('Funnel setup'!P360),VLOOKUP('Funnel setup'!P360,'Provider Commission - Raw Data'!$A:$Q,16,0),"")</f>
        <v/>
      </c>
      <c r="F348" s="310" t="str">
        <f>IF(ISNUMBER('Funnel setup'!P360),'Funnel setup'!$K$8,"")</f>
        <v/>
      </c>
      <c r="G348" s="310" t="str">
        <f>IF(AND(ISNUMBER('Funnel setup'!P360),D348&gt;=30,E348&lt;&gt;"*"),F348-1.959963985 *('Funnel setup'!$K$7/SQRT('Funnel Data'!D348)),"")</f>
        <v/>
      </c>
      <c r="H348" s="310" t="str">
        <f>IF(AND(ISNUMBER('Funnel setup'!P360),D348&gt;=30,E348&lt;&gt;"*"),F348+1.959963985 *('Funnel setup'!$K$7/SQRT('Funnel Data'!D348)),"")</f>
        <v/>
      </c>
      <c r="I348" s="310" t="str">
        <f>IF(AND(ISNUMBER('Funnel setup'!P360),D348&gt;=30,E348&lt;&gt;"*"),F348-3.090232306 *('Funnel setup'!$K$7/SQRT('Funnel Data'!D348)),"")</f>
        <v/>
      </c>
      <c r="J348" s="310" t="str">
        <f>IF(AND(ISNUMBER('Funnel setup'!P360),D348&gt;=30,E348&lt;&gt;"*"),F348+3.090232306 *('Funnel setup'!$K$7/SQRT('Funnel Data'!D348)),"")</f>
        <v/>
      </c>
      <c r="K348" s="311" t="str">
        <f>IF(AND(ISNUMBER('Funnel setup'!P360),D348&gt;=30,E348&lt;&gt;"*"),IF(E348&gt;J348,'Funnel setup'!$K$14&amp;"99.8%",IF(E348&gt;H348,'Funnel setup'!$K$14&amp;"95%",IF(E348&lt;I348,'Funnel setup'!$K$15&amp;"99.8%",IF(E348&lt;G348,'Funnel setup'!$K$15&amp;"95%","")))),"")</f>
        <v/>
      </c>
    </row>
    <row r="349" spans="2:11" ht="15" x14ac:dyDescent="0.2">
      <c r="B349" s="307" t="str">
        <f>IF(ISNUMBER('Funnel setup'!P361),VLOOKUP('Funnel setup'!$P361,'Provider Commission - Raw Data'!$A:$Q,5,0),"")</f>
        <v/>
      </c>
      <c r="C349" s="308" t="str">
        <f>IF(ISNUMBER('Funnel setup'!P361),VLOOKUP('Funnel setup'!P361,'Provider Commission - Raw Data'!$A:$Q,6,0),"")</f>
        <v/>
      </c>
      <c r="D349" s="309" t="str">
        <f>IF(ISNUMBER('Funnel setup'!P361),VLOOKUP('Funnel setup'!P361,'Provider Commission - Raw Data'!$A:$Q,8,0),"")</f>
        <v/>
      </c>
      <c r="E349" s="446" t="str">
        <f>IF(ISNUMBER('Funnel setup'!P361),VLOOKUP('Funnel setup'!P361,'Provider Commission - Raw Data'!$A:$Q,16,0),"")</f>
        <v/>
      </c>
      <c r="F349" s="310" t="str">
        <f>IF(ISNUMBER('Funnel setup'!P361),'Funnel setup'!$K$8,"")</f>
        <v/>
      </c>
      <c r="G349" s="310" t="str">
        <f>IF(AND(ISNUMBER('Funnel setup'!P361),D349&gt;=30,E349&lt;&gt;"*"),F349-1.959963985 *('Funnel setup'!$K$7/SQRT('Funnel Data'!D349)),"")</f>
        <v/>
      </c>
      <c r="H349" s="310" t="str">
        <f>IF(AND(ISNUMBER('Funnel setup'!P361),D349&gt;=30,E349&lt;&gt;"*"),F349+1.959963985 *('Funnel setup'!$K$7/SQRT('Funnel Data'!D349)),"")</f>
        <v/>
      </c>
      <c r="I349" s="310" t="str">
        <f>IF(AND(ISNUMBER('Funnel setup'!P361),D349&gt;=30,E349&lt;&gt;"*"),F349-3.090232306 *('Funnel setup'!$K$7/SQRT('Funnel Data'!D349)),"")</f>
        <v/>
      </c>
      <c r="J349" s="310" t="str">
        <f>IF(AND(ISNUMBER('Funnel setup'!P361),D349&gt;=30,E349&lt;&gt;"*"),F349+3.090232306 *('Funnel setup'!$K$7/SQRT('Funnel Data'!D349)),"")</f>
        <v/>
      </c>
      <c r="K349" s="311" t="str">
        <f>IF(AND(ISNUMBER('Funnel setup'!P361),D349&gt;=30,E349&lt;&gt;"*"),IF(E349&gt;J349,'Funnel setup'!$K$14&amp;"99.8%",IF(E349&gt;H349,'Funnel setup'!$K$14&amp;"95%",IF(E349&lt;I349,'Funnel setup'!$K$15&amp;"99.8%",IF(E349&lt;G349,'Funnel setup'!$K$15&amp;"95%","")))),"")</f>
        <v/>
      </c>
    </row>
    <row r="350" spans="2:11" ht="15" x14ac:dyDescent="0.2">
      <c r="B350" s="307" t="str">
        <f>IF(ISNUMBER('Funnel setup'!P362),VLOOKUP('Funnel setup'!$P362,'Provider Commission - Raw Data'!$A:$Q,5,0),"")</f>
        <v/>
      </c>
      <c r="C350" s="308" t="str">
        <f>IF(ISNUMBER('Funnel setup'!P362),VLOOKUP('Funnel setup'!P362,'Provider Commission - Raw Data'!$A:$Q,6,0),"")</f>
        <v/>
      </c>
      <c r="D350" s="309" t="str">
        <f>IF(ISNUMBER('Funnel setup'!P362),VLOOKUP('Funnel setup'!P362,'Provider Commission - Raw Data'!$A:$Q,8,0),"")</f>
        <v/>
      </c>
      <c r="E350" s="446" t="str">
        <f>IF(ISNUMBER('Funnel setup'!P362),VLOOKUP('Funnel setup'!P362,'Provider Commission - Raw Data'!$A:$Q,16,0),"")</f>
        <v/>
      </c>
      <c r="F350" s="310" t="str">
        <f>IF(ISNUMBER('Funnel setup'!P362),'Funnel setup'!$K$8,"")</f>
        <v/>
      </c>
      <c r="G350" s="310" t="str">
        <f>IF(AND(ISNUMBER('Funnel setup'!P362),D350&gt;=30,E350&lt;&gt;"*"),F350-1.959963985 *('Funnel setup'!$K$7/SQRT('Funnel Data'!D350)),"")</f>
        <v/>
      </c>
      <c r="H350" s="310" t="str">
        <f>IF(AND(ISNUMBER('Funnel setup'!P362),D350&gt;=30,E350&lt;&gt;"*"),F350+1.959963985 *('Funnel setup'!$K$7/SQRT('Funnel Data'!D350)),"")</f>
        <v/>
      </c>
      <c r="I350" s="310" t="str">
        <f>IF(AND(ISNUMBER('Funnel setup'!P362),D350&gt;=30,E350&lt;&gt;"*"),F350-3.090232306 *('Funnel setup'!$K$7/SQRT('Funnel Data'!D350)),"")</f>
        <v/>
      </c>
      <c r="J350" s="310" t="str">
        <f>IF(AND(ISNUMBER('Funnel setup'!P362),D350&gt;=30,E350&lt;&gt;"*"),F350+3.090232306 *('Funnel setup'!$K$7/SQRT('Funnel Data'!D350)),"")</f>
        <v/>
      </c>
      <c r="K350" s="311" t="str">
        <f>IF(AND(ISNUMBER('Funnel setup'!P362),D350&gt;=30,E350&lt;&gt;"*"),IF(E350&gt;J350,'Funnel setup'!$K$14&amp;"99.8%",IF(E350&gt;H350,'Funnel setup'!$K$14&amp;"95%",IF(E350&lt;I350,'Funnel setup'!$K$15&amp;"99.8%",IF(E350&lt;G350,'Funnel setup'!$K$15&amp;"95%","")))),"")</f>
        <v/>
      </c>
    </row>
    <row r="351" spans="2:11" ht="15" x14ac:dyDescent="0.2">
      <c r="B351" s="307" t="str">
        <f>IF(ISNUMBER('Funnel setup'!P363),VLOOKUP('Funnel setup'!$P363,'Provider Commission - Raw Data'!$A:$Q,5,0),"")</f>
        <v/>
      </c>
      <c r="C351" s="308" t="str">
        <f>IF(ISNUMBER('Funnel setup'!P363),VLOOKUP('Funnel setup'!P363,'Provider Commission - Raw Data'!$A:$Q,6,0),"")</f>
        <v/>
      </c>
      <c r="D351" s="309" t="str">
        <f>IF(ISNUMBER('Funnel setup'!P363),VLOOKUP('Funnel setup'!P363,'Provider Commission - Raw Data'!$A:$Q,8,0),"")</f>
        <v/>
      </c>
      <c r="E351" s="446" t="str">
        <f>IF(ISNUMBER('Funnel setup'!P363),VLOOKUP('Funnel setup'!P363,'Provider Commission - Raw Data'!$A:$Q,16,0),"")</f>
        <v/>
      </c>
      <c r="F351" s="310" t="str">
        <f>IF(ISNUMBER('Funnel setup'!P363),'Funnel setup'!$K$8,"")</f>
        <v/>
      </c>
      <c r="G351" s="310" t="str">
        <f>IF(AND(ISNUMBER('Funnel setup'!P363),D351&gt;=30,E351&lt;&gt;"*"),F351-1.959963985 *('Funnel setup'!$K$7/SQRT('Funnel Data'!D351)),"")</f>
        <v/>
      </c>
      <c r="H351" s="310" t="str">
        <f>IF(AND(ISNUMBER('Funnel setup'!P363),D351&gt;=30,E351&lt;&gt;"*"),F351+1.959963985 *('Funnel setup'!$K$7/SQRT('Funnel Data'!D351)),"")</f>
        <v/>
      </c>
      <c r="I351" s="310" t="str">
        <f>IF(AND(ISNUMBER('Funnel setup'!P363),D351&gt;=30,E351&lt;&gt;"*"),F351-3.090232306 *('Funnel setup'!$K$7/SQRT('Funnel Data'!D351)),"")</f>
        <v/>
      </c>
      <c r="J351" s="310" t="str">
        <f>IF(AND(ISNUMBER('Funnel setup'!P363),D351&gt;=30,E351&lt;&gt;"*"),F351+3.090232306 *('Funnel setup'!$K$7/SQRT('Funnel Data'!D351)),"")</f>
        <v/>
      </c>
      <c r="K351" s="311" t="str">
        <f>IF(AND(ISNUMBER('Funnel setup'!P363),D351&gt;=30,E351&lt;&gt;"*"),IF(E351&gt;J351,'Funnel setup'!$K$14&amp;"99.8%",IF(E351&gt;H351,'Funnel setup'!$K$14&amp;"95%",IF(E351&lt;I351,'Funnel setup'!$K$15&amp;"99.8%",IF(E351&lt;G351,'Funnel setup'!$K$15&amp;"95%","")))),"")</f>
        <v/>
      </c>
    </row>
    <row r="352" spans="2:11" ht="15" x14ac:dyDescent="0.2">
      <c r="B352" s="307" t="str">
        <f>IF(ISNUMBER('Funnel setup'!P364),VLOOKUP('Funnel setup'!$P364,'Provider Commission - Raw Data'!$A:$Q,5,0),"")</f>
        <v/>
      </c>
      <c r="C352" s="308" t="str">
        <f>IF(ISNUMBER('Funnel setup'!P364),VLOOKUP('Funnel setup'!P364,'Provider Commission - Raw Data'!$A:$Q,6,0),"")</f>
        <v/>
      </c>
      <c r="D352" s="309" t="str">
        <f>IF(ISNUMBER('Funnel setup'!P364),VLOOKUP('Funnel setup'!P364,'Provider Commission - Raw Data'!$A:$Q,8,0),"")</f>
        <v/>
      </c>
      <c r="E352" s="446" t="str">
        <f>IF(ISNUMBER('Funnel setup'!P364),VLOOKUP('Funnel setup'!P364,'Provider Commission - Raw Data'!$A:$Q,16,0),"")</f>
        <v/>
      </c>
      <c r="F352" s="310" t="str">
        <f>IF(ISNUMBER('Funnel setup'!P364),'Funnel setup'!$K$8,"")</f>
        <v/>
      </c>
      <c r="G352" s="310" t="str">
        <f>IF(AND(ISNUMBER('Funnel setup'!P364),D352&gt;=30,E352&lt;&gt;"*"),F352-1.959963985 *('Funnel setup'!$K$7/SQRT('Funnel Data'!D352)),"")</f>
        <v/>
      </c>
      <c r="H352" s="310" t="str">
        <f>IF(AND(ISNUMBER('Funnel setup'!P364),D352&gt;=30,E352&lt;&gt;"*"),F352+1.959963985 *('Funnel setup'!$K$7/SQRT('Funnel Data'!D352)),"")</f>
        <v/>
      </c>
      <c r="I352" s="310" t="str">
        <f>IF(AND(ISNUMBER('Funnel setup'!P364),D352&gt;=30,E352&lt;&gt;"*"),F352-3.090232306 *('Funnel setup'!$K$7/SQRT('Funnel Data'!D352)),"")</f>
        <v/>
      </c>
      <c r="J352" s="310" t="str">
        <f>IF(AND(ISNUMBER('Funnel setup'!P364),D352&gt;=30,E352&lt;&gt;"*"),F352+3.090232306 *('Funnel setup'!$K$7/SQRT('Funnel Data'!D352)),"")</f>
        <v/>
      </c>
      <c r="K352" s="311" t="str">
        <f>IF(AND(ISNUMBER('Funnel setup'!P364),D352&gt;=30,E352&lt;&gt;"*"),IF(E352&gt;J352,'Funnel setup'!$K$14&amp;"99.8%",IF(E352&gt;H352,'Funnel setup'!$K$14&amp;"95%",IF(E352&lt;I352,'Funnel setup'!$K$15&amp;"99.8%",IF(E352&lt;G352,'Funnel setup'!$K$15&amp;"95%","")))),"")</f>
        <v/>
      </c>
    </row>
    <row r="353" spans="2:11" ht="15" x14ac:dyDescent="0.2">
      <c r="B353" s="307" t="str">
        <f>IF(ISNUMBER('Funnel setup'!P365),VLOOKUP('Funnel setup'!$P365,'Provider Commission - Raw Data'!$A:$Q,5,0),"")</f>
        <v/>
      </c>
      <c r="C353" s="308" t="str">
        <f>IF(ISNUMBER('Funnel setup'!P365),VLOOKUP('Funnel setup'!P365,'Provider Commission - Raw Data'!$A:$Q,6,0),"")</f>
        <v/>
      </c>
      <c r="D353" s="309" t="str">
        <f>IF(ISNUMBER('Funnel setup'!P365),VLOOKUP('Funnel setup'!P365,'Provider Commission - Raw Data'!$A:$Q,8,0),"")</f>
        <v/>
      </c>
      <c r="E353" s="446" t="str">
        <f>IF(ISNUMBER('Funnel setup'!P365),VLOOKUP('Funnel setup'!P365,'Provider Commission - Raw Data'!$A:$Q,16,0),"")</f>
        <v/>
      </c>
      <c r="F353" s="310" t="str">
        <f>IF(ISNUMBER('Funnel setup'!P365),'Funnel setup'!$K$8,"")</f>
        <v/>
      </c>
      <c r="G353" s="310" t="str">
        <f>IF(AND(ISNUMBER('Funnel setup'!P365),D353&gt;=30,E353&lt;&gt;"*"),F353-1.959963985 *('Funnel setup'!$K$7/SQRT('Funnel Data'!D353)),"")</f>
        <v/>
      </c>
      <c r="H353" s="310" t="str">
        <f>IF(AND(ISNUMBER('Funnel setup'!P365),D353&gt;=30,E353&lt;&gt;"*"),F353+1.959963985 *('Funnel setup'!$K$7/SQRT('Funnel Data'!D353)),"")</f>
        <v/>
      </c>
      <c r="I353" s="310" t="str">
        <f>IF(AND(ISNUMBER('Funnel setup'!P365),D353&gt;=30,E353&lt;&gt;"*"),F353-3.090232306 *('Funnel setup'!$K$7/SQRT('Funnel Data'!D353)),"")</f>
        <v/>
      </c>
      <c r="J353" s="310" t="str">
        <f>IF(AND(ISNUMBER('Funnel setup'!P365),D353&gt;=30,E353&lt;&gt;"*"),F353+3.090232306 *('Funnel setup'!$K$7/SQRT('Funnel Data'!D353)),"")</f>
        <v/>
      </c>
      <c r="K353" s="311" t="str">
        <f>IF(AND(ISNUMBER('Funnel setup'!P365),D353&gt;=30,E353&lt;&gt;"*"),IF(E353&gt;J353,'Funnel setup'!$K$14&amp;"99.8%",IF(E353&gt;H353,'Funnel setup'!$K$14&amp;"95%",IF(E353&lt;I353,'Funnel setup'!$K$15&amp;"99.8%",IF(E353&lt;G353,'Funnel setup'!$K$15&amp;"95%","")))),"")</f>
        <v/>
      </c>
    </row>
    <row r="354" spans="2:11" ht="15" x14ac:dyDescent="0.2">
      <c r="B354" s="307" t="str">
        <f>IF(ISNUMBER('Funnel setup'!P366),VLOOKUP('Funnel setup'!$P366,'Provider Commission - Raw Data'!$A:$Q,5,0),"")</f>
        <v/>
      </c>
      <c r="C354" s="308" t="str">
        <f>IF(ISNUMBER('Funnel setup'!P366),VLOOKUP('Funnel setup'!P366,'Provider Commission - Raw Data'!$A:$Q,6,0),"")</f>
        <v/>
      </c>
      <c r="D354" s="309" t="str">
        <f>IF(ISNUMBER('Funnel setup'!P366),VLOOKUP('Funnel setup'!P366,'Provider Commission - Raw Data'!$A:$Q,8,0),"")</f>
        <v/>
      </c>
      <c r="E354" s="446" t="str">
        <f>IF(ISNUMBER('Funnel setup'!P366),VLOOKUP('Funnel setup'!P366,'Provider Commission - Raw Data'!$A:$Q,16,0),"")</f>
        <v/>
      </c>
      <c r="F354" s="310" t="str">
        <f>IF(ISNUMBER('Funnel setup'!P366),'Funnel setup'!$K$8,"")</f>
        <v/>
      </c>
      <c r="G354" s="310" t="str">
        <f>IF(AND(ISNUMBER('Funnel setup'!P366),D354&gt;=30,E354&lt;&gt;"*"),F354-1.959963985 *('Funnel setup'!$K$7/SQRT('Funnel Data'!D354)),"")</f>
        <v/>
      </c>
      <c r="H354" s="310" t="str">
        <f>IF(AND(ISNUMBER('Funnel setup'!P366),D354&gt;=30,E354&lt;&gt;"*"),F354+1.959963985 *('Funnel setup'!$K$7/SQRT('Funnel Data'!D354)),"")</f>
        <v/>
      </c>
      <c r="I354" s="310" t="str">
        <f>IF(AND(ISNUMBER('Funnel setup'!P366),D354&gt;=30,E354&lt;&gt;"*"),F354-3.090232306 *('Funnel setup'!$K$7/SQRT('Funnel Data'!D354)),"")</f>
        <v/>
      </c>
      <c r="J354" s="310" t="str">
        <f>IF(AND(ISNUMBER('Funnel setup'!P366),D354&gt;=30,E354&lt;&gt;"*"),F354+3.090232306 *('Funnel setup'!$K$7/SQRT('Funnel Data'!D354)),"")</f>
        <v/>
      </c>
      <c r="K354" s="311" t="str">
        <f>IF(AND(ISNUMBER('Funnel setup'!P366),D354&gt;=30,E354&lt;&gt;"*"),IF(E354&gt;J354,'Funnel setup'!$K$14&amp;"99.8%",IF(E354&gt;H354,'Funnel setup'!$K$14&amp;"95%",IF(E354&lt;I354,'Funnel setup'!$K$15&amp;"99.8%",IF(E354&lt;G354,'Funnel setup'!$K$15&amp;"95%","")))),"")</f>
        <v/>
      </c>
    </row>
    <row r="355" spans="2:11" ht="15" x14ac:dyDescent="0.2">
      <c r="B355" s="307" t="str">
        <f>IF(ISNUMBER('Funnel setup'!P367),VLOOKUP('Funnel setup'!$P367,'Provider Commission - Raw Data'!$A:$Q,5,0),"")</f>
        <v/>
      </c>
      <c r="C355" s="308" t="str">
        <f>IF(ISNUMBER('Funnel setup'!P367),VLOOKUP('Funnel setup'!P367,'Provider Commission - Raw Data'!$A:$Q,6,0),"")</f>
        <v/>
      </c>
      <c r="D355" s="309" t="str">
        <f>IF(ISNUMBER('Funnel setup'!P367),VLOOKUP('Funnel setup'!P367,'Provider Commission - Raw Data'!$A:$Q,8,0),"")</f>
        <v/>
      </c>
      <c r="E355" s="446" t="str">
        <f>IF(ISNUMBER('Funnel setup'!P367),VLOOKUP('Funnel setup'!P367,'Provider Commission - Raw Data'!$A:$Q,16,0),"")</f>
        <v/>
      </c>
      <c r="F355" s="310" t="str">
        <f>IF(ISNUMBER('Funnel setup'!P367),'Funnel setup'!$K$8,"")</f>
        <v/>
      </c>
      <c r="G355" s="310" t="str">
        <f>IF(AND(ISNUMBER('Funnel setup'!P367),D355&gt;=30,E355&lt;&gt;"*"),F355-1.959963985 *('Funnel setup'!$K$7/SQRT('Funnel Data'!D355)),"")</f>
        <v/>
      </c>
      <c r="H355" s="310" t="str">
        <f>IF(AND(ISNUMBER('Funnel setup'!P367),D355&gt;=30,E355&lt;&gt;"*"),F355+1.959963985 *('Funnel setup'!$K$7/SQRT('Funnel Data'!D355)),"")</f>
        <v/>
      </c>
      <c r="I355" s="310" t="str">
        <f>IF(AND(ISNUMBER('Funnel setup'!P367),D355&gt;=30,E355&lt;&gt;"*"),F355-3.090232306 *('Funnel setup'!$K$7/SQRT('Funnel Data'!D355)),"")</f>
        <v/>
      </c>
      <c r="J355" s="310" t="str">
        <f>IF(AND(ISNUMBER('Funnel setup'!P367),D355&gt;=30,E355&lt;&gt;"*"),F355+3.090232306 *('Funnel setup'!$K$7/SQRT('Funnel Data'!D355)),"")</f>
        <v/>
      </c>
      <c r="K355" s="311" t="str">
        <f>IF(AND(ISNUMBER('Funnel setup'!P367),D355&gt;=30,E355&lt;&gt;"*"),IF(E355&gt;J355,'Funnel setup'!$K$14&amp;"99.8%",IF(E355&gt;H355,'Funnel setup'!$K$14&amp;"95%",IF(E355&lt;I355,'Funnel setup'!$K$15&amp;"99.8%",IF(E355&lt;G355,'Funnel setup'!$K$15&amp;"95%","")))),"")</f>
        <v/>
      </c>
    </row>
    <row r="356" spans="2:11" ht="15" x14ac:dyDescent="0.2">
      <c r="B356" s="307" t="str">
        <f>IF(ISNUMBER('Funnel setup'!P368),VLOOKUP('Funnel setup'!$P368,'Provider Commission - Raw Data'!$A:$Q,5,0),"")</f>
        <v/>
      </c>
      <c r="C356" s="308" t="str">
        <f>IF(ISNUMBER('Funnel setup'!P368),VLOOKUP('Funnel setup'!P368,'Provider Commission - Raw Data'!$A:$Q,6,0),"")</f>
        <v/>
      </c>
      <c r="D356" s="309" t="str">
        <f>IF(ISNUMBER('Funnel setup'!P368),VLOOKUP('Funnel setup'!P368,'Provider Commission - Raw Data'!$A:$Q,8,0),"")</f>
        <v/>
      </c>
      <c r="E356" s="446" t="str">
        <f>IF(ISNUMBER('Funnel setup'!P368),VLOOKUP('Funnel setup'!P368,'Provider Commission - Raw Data'!$A:$Q,16,0),"")</f>
        <v/>
      </c>
      <c r="F356" s="310" t="str">
        <f>IF(ISNUMBER('Funnel setup'!P368),'Funnel setup'!$K$8,"")</f>
        <v/>
      </c>
      <c r="G356" s="310" t="str">
        <f>IF(AND(ISNUMBER('Funnel setup'!P368),D356&gt;=30,E356&lt;&gt;"*"),F356-1.959963985 *('Funnel setup'!$K$7/SQRT('Funnel Data'!D356)),"")</f>
        <v/>
      </c>
      <c r="H356" s="310" t="str">
        <f>IF(AND(ISNUMBER('Funnel setup'!P368),D356&gt;=30,E356&lt;&gt;"*"),F356+1.959963985 *('Funnel setup'!$K$7/SQRT('Funnel Data'!D356)),"")</f>
        <v/>
      </c>
      <c r="I356" s="310" t="str">
        <f>IF(AND(ISNUMBER('Funnel setup'!P368),D356&gt;=30,E356&lt;&gt;"*"),F356-3.090232306 *('Funnel setup'!$K$7/SQRT('Funnel Data'!D356)),"")</f>
        <v/>
      </c>
      <c r="J356" s="310" t="str">
        <f>IF(AND(ISNUMBER('Funnel setup'!P368),D356&gt;=30,E356&lt;&gt;"*"),F356+3.090232306 *('Funnel setup'!$K$7/SQRT('Funnel Data'!D356)),"")</f>
        <v/>
      </c>
      <c r="K356" s="311" t="str">
        <f>IF(AND(ISNUMBER('Funnel setup'!P368),D356&gt;=30,E356&lt;&gt;"*"),IF(E356&gt;J356,'Funnel setup'!$K$14&amp;"99.8%",IF(E356&gt;H356,'Funnel setup'!$K$14&amp;"95%",IF(E356&lt;I356,'Funnel setup'!$K$15&amp;"99.8%",IF(E356&lt;G356,'Funnel setup'!$K$15&amp;"95%","")))),"")</f>
        <v/>
      </c>
    </row>
    <row r="357" spans="2:11" ht="15" x14ac:dyDescent="0.2">
      <c r="B357" s="307" t="str">
        <f>IF(ISNUMBER('Funnel setup'!P369),VLOOKUP('Funnel setup'!$P369,'Provider Commission - Raw Data'!$A:$Q,5,0),"")</f>
        <v/>
      </c>
      <c r="C357" s="308" t="str">
        <f>IF(ISNUMBER('Funnel setup'!P369),VLOOKUP('Funnel setup'!P369,'Provider Commission - Raw Data'!$A:$Q,6,0),"")</f>
        <v/>
      </c>
      <c r="D357" s="309" t="str">
        <f>IF(ISNUMBER('Funnel setup'!P369),VLOOKUP('Funnel setup'!P369,'Provider Commission - Raw Data'!$A:$Q,8,0),"")</f>
        <v/>
      </c>
      <c r="E357" s="446" t="str">
        <f>IF(ISNUMBER('Funnel setup'!P369),VLOOKUP('Funnel setup'!P369,'Provider Commission - Raw Data'!$A:$Q,16,0),"")</f>
        <v/>
      </c>
      <c r="F357" s="310" t="str">
        <f>IF(ISNUMBER('Funnel setup'!P369),'Funnel setup'!$K$8,"")</f>
        <v/>
      </c>
      <c r="G357" s="310" t="str">
        <f>IF(AND(ISNUMBER('Funnel setup'!P369),D357&gt;=30,E357&lt;&gt;"*"),F357-1.959963985 *('Funnel setup'!$K$7/SQRT('Funnel Data'!D357)),"")</f>
        <v/>
      </c>
      <c r="H357" s="310" t="str">
        <f>IF(AND(ISNUMBER('Funnel setup'!P369),D357&gt;=30,E357&lt;&gt;"*"),F357+1.959963985 *('Funnel setup'!$K$7/SQRT('Funnel Data'!D357)),"")</f>
        <v/>
      </c>
      <c r="I357" s="310" t="str">
        <f>IF(AND(ISNUMBER('Funnel setup'!P369),D357&gt;=30,E357&lt;&gt;"*"),F357-3.090232306 *('Funnel setup'!$K$7/SQRT('Funnel Data'!D357)),"")</f>
        <v/>
      </c>
      <c r="J357" s="310" t="str">
        <f>IF(AND(ISNUMBER('Funnel setup'!P369),D357&gt;=30,E357&lt;&gt;"*"),F357+3.090232306 *('Funnel setup'!$K$7/SQRT('Funnel Data'!D357)),"")</f>
        <v/>
      </c>
      <c r="K357" s="311" t="str">
        <f>IF(AND(ISNUMBER('Funnel setup'!P369),D357&gt;=30,E357&lt;&gt;"*"),IF(E357&gt;J357,'Funnel setup'!$K$14&amp;"99.8%",IF(E357&gt;H357,'Funnel setup'!$K$14&amp;"95%",IF(E357&lt;I357,'Funnel setup'!$K$15&amp;"99.8%",IF(E357&lt;G357,'Funnel setup'!$K$15&amp;"95%","")))),"")</f>
        <v/>
      </c>
    </row>
    <row r="358" spans="2:11" ht="15" x14ac:dyDescent="0.2">
      <c r="B358" s="307" t="str">
        <f>IF(ISNUMBER('Funnel setup'!P370),VLOOKUP('Funnel setup'!$P370,'Provider Commission - Raw Data'!$A:$Q,5,0),"")</f>
        <v/>
      </c>
      <c r="C358" s="308" t="str">
        <f>IF(ISNUMBER('Funnel setup'!P370),VLOOKUP('Funnel setup'!P370,'Provider Commission - Raw Data'!$A:$Q,6,0),"")</f>
        <v/>
      </c>
      <c r="D358" s="309" t="str">
        <f>IF(ISNUMBER('Funnel setup'!P370),VLOOKUP('Funnel setup'!P370,'Provider Commission - Raw Data'!$A:$Q,8,0),"")</f>
        <v/>
      </c>
      <c r="E358" s="446" t="str">
        <f>IF(ISNUMBER('Funnel setup'!P370),VLOOKUP('Funnel setup'!P370,'Provider Commission - Raw Data'!$A:$Q,16,0),"")</f>
        <v/>
      </c>
      <c r="F358" s="310" t="str">
        <f>IF(ISNUMBER('Funnel setup'!P370),'Funnel setup'!$K$8,"")</f>
        <v/>
      </c>
      <c r="G358" s="310" t="str">
        <f>IF(AND(ISNUMBER('Funnel setup'!P370),D358&gt;=30,E358&lt;&gt;"*"),F358-1.959963985 *('Funnel setup'!$K$7/SQRT('Funnel Data'!D358)),"")</f>
        <v/>
      </c>
      <c r="H358" s="310" t="str">
        <f>IF(AND(ISNUMBER('Funnel setup'!P370),D358&gt;=30,E358&lt;&gt;"*"),F358+1.959963985 *('Funnel setup'!$K$7/SQRT('Funnel Data'!D358)),"")</f>
        <v/>
      </c>
      <c r="I358" s="310" t="str">
        <f>IF(AND(ISNUMBER('Funnel setup'!P370),D358&gt;=30,E358&lt;&gt;"*"),F358-3.090232306 *('Funnel setup'!$K$7/SQRT('Funnel Data'!D358)),"")</f>
        <v/>
      </c>
      <c r="J358" s="310" t="str">
        <f>IF(AND(ISNUMBER('Funnel setup'!P370),D358&gt;=30,E358&lt;&gt;"*"),F358+3.090232306 *('Funnel setup'!$K$7/SQRT('Funnel Data'!D358)),"")</f>
        <v/>
      </c>
      <c r="K358" s="311" t="str">
        <f>IF(AND(ISNUMBER('Funnel setup'!P370),D358&gt;=30,E358&lt;&gt;"*"),IF(E358&gt;J358,'Funnel setup'!$K$14&amp;"99.8%",IF(E358&gt;H358,'Funnel setup'!$K$14&amp;"95%",IF(E358&lt;I358,'Funnel setup'!$K$15&amp;"99.8%",IF(E358&lt;G358,'Funnel setup'!$K$15&amp;"95%","")))),"")</f>
        <v/>
      </c>
    </row>
    <row r="359" spans="2:11" ht="15" x14ac:dyDescent="0.2">
      <c r="B359" s="307" t="str">
        <f>IF(ISNUMBER('Funnel setup'!P371),VLOOKUP('Funnel setup'!$P371,'Provider Commission - Raw Data'!$A:$Q,5,0),"")</f>
        <v/>
      </c>
      <c r="C359" s="308" t="str">
        <f>IF(ISNUMBER('Funnel setup'!P371),VLOOKUP('Funnel setup'!P371,'Provider Commission - Raw Data'!$A:$Q,6,0),"")</f>
        <v/>
      </c>
      <c r="D359" s="309" t="str">
        <f>IF(ISNUMBER('Funnel setup'!P371),VLOOKUP('Funnel setup'!P371,'Provider Commission - Raw Data'!$A:$Q,8,0),"")</f>
        <v/>
      </c>
      <c r="E359" s="446" t="str">
        <f>IF(ISNUMBER('Funnel setup'!P371),VLOOKUP('Funnel setup'!P371,'Provider Commission - Raw Data'!$A:$Q,16,0),"")</f>
        <v/>
      </c>
      <c r="F359" s="310" t="str">
        <f>IF(ISNUMBER('Funnel setup'!P371),'Funnel setup'!$K$8,"")</f>
        <v/>
      </c>
      <c r="G359" s="310" t="str">
        <f>IF(AND(ISNUMBER('Funnel setup'!P371),D359&gt;=30,E359&lt;&gt;"*"),F359-1.959963985 *('Funnel setup'!$K$7/SQRT('Funnel Data'!D359)),"")</f>
        <v/>
      </c>
      <c r="H359" s="310" t="str">
        <f>IF(AND(ISNUMBER('Funnel setup'!P371),D359&gt;=30,E359&lt;&gt;"*"),F359+1.959963985 *('Funnel setup'!$K$7/SQRT('Funnel Data'!D359)),"")</f>
        <v/>
      </c>
      <c r="I359" s="310" t="str">
        <f>IF(AND(ISNUMBER('Funnel setup'!P371),D359&gt;=30,E359&lt;&gt;"*"),F359-3.090232306 *('Funnel setup'!$K$7/SQRT('Funnel Data'!D359)),"")</f>
        <v/>
      </c>
      <c r="J359" s="310" t="str">
        <f>IF(AND(ISNUMBER('Funnel setup'!P371),D359&gt;=30,E359&lt;&gt;"*"),F359+3.090232306 *('Funnel setup'!$K$7/SQRT('Funnel Data'!D359)),"")</f>
        <v/>
      </c>
      <c r="K359" s="311" t="str">
        <f>IF(AND(ISNUMBER('Funnel setup'!P371),D359&gt;=30,E359&lt;&gt;"*"),IF(E359&gt;J359,'Funnel setup'!$K$14&amp;"99.8%",IF(E359&gt;H359,'Funnel setup'!$K$14&amp;"95%",IF(E359&lt;I359,'Funnel setup'!$K$15&amp;"99.8%",IF(E359&lt;G359,'Funnel setup'!$K$15&amp;"95%","")))),"")</f>
        <v/>
      </c>
    </row>
    <row r="360" spans="2:11" ht="15" x14ac:dyDescent="0.2">
      <c r="B360" s="307" t="str">
        <f>IF(ISNUMBER('Funnel setup'!P372),VLOOKUP('Funnel setup'!$P372,'Provider Commission - Raw Data'!$A:$Q,5,0),"")</f>
        <v/>
      </c>
      <c r="C360" s="308" t="str">
        <f>IF(ISNUMBER('Funnel setup'!P372),VLOOKUP('Funnel setup'!P372,'Provider Commission - Raw Data'!$A:$Q,6,0),"")</f>
        <v/>
      </c>
      <c r="D360" s="309" t="str">
        <f>IF(ISNUMBER('Funnel setup'!P372),VLOOKUP('Funnel setup'!P372,'Provider Commission - Raw Data'!$A:$Q,8,0),"")</f>
        <v/>
      </c>
      <c r="E360" s="446" t="str">
        <f>IF(ISNUMBER('Funnel setup'!P372),VLOOKUP('Funnel setup'!P372,'Provider Commission - Raw Data'!$A:$Q,16,0),"")</f>
        <v/>
      </c>
      <c r="F360" s="310" t="str">
        <f>IF(ISNUMBER('Funnel setup'!P372),'Funnel setup'!$K$8,"")</f>
        <v/>
      </c>
      <c r="G360" s="310" t="str">
        <f>IF(AND(ISNUMBER('Funnel setup'!P372),D360&gt;=30,E360&lt;&gt;"*"),F360-1.959963985 *('Funnel setup'!$K$7/SQRT('Funnel Data'!D360)),"")</f>
        <v/>
      </c>
      <c r="H360" s="310" t="str">
        <f>IF(AND(ISNUMBER('Funnel setup'!P372),D360&gt;=30,E360&lt;&gt;"*"),F360+1.959963985 *('Funnel setup'!$K$7/SQRT('Funnel Data'!D360)),"")</f>
        <v/>
      </c>
      <c r="I360" s="310" t="str">
        <f>IF(AND(ISNUMBER('Funnel setup'!P372),D360&gt;=30,E360&lt;&gt;"*"),F360-3.090232306 *('Funnel setup'!$K$7/SQRT('Funnel Data'!D360)),"")</f>
        <v/>
      </c>
      <c r="J360" s="310" t="str">
        <f>IF(AND(ISNUMBER('Funnel setup'!P372),D360&gt;=30,E360&lt;&gt;"*"),F360+3.090232306 *('Funnel setup'!$K$7/SQRT('Funnel Data'!D360)),"")</f>
        <v/>
      </c>
      <c r="K360" s="311" t="str">
        <f>IF(AND(ISNUMBER('Funnel setup'!P372),D360&gt;=30,E360&lt;&gt;"*"),IF(E360&gt;J360,'Funnel setup'!$K$14&amp;"99.8%",IF(E360&gt;H360,'Funnel setup'!$K$14&amp;"95%",IF(E360&lt;I360,'Funnel setup'!$K$15&amp;"99.8%",IF(E360&lt;G360,'Funnel setup'!$K$15&amp;"95%","")))),"")</f>
        <v/>
      </c>
    </row>
    <row r="361" spans="2:11" ht="15" x14ac:dyDescent="0.2">
      <c r="B361" s="307" t="str">
        <f>IF(ISNUMBER('Funnel setup'!P373),VLOOKUP('Funnel setup'!$P373,'Provider Commission - Raw Data'!$A:$Q,5,0),"")</f>
        <v/>
      </c>
      <c r="C361" s="308" t="str">
        <f>IF(ISNUMBER('Funnel setup'!P373),VLOOKUP('Funnel setup'!P373,'Provider Commission - Raw Data'!$A:$Q,6,0),"")</f>
        <v/>
      </c>
      <c r="D361" s="309" t="str">
        <f>IF(ISNUMBER('Funnel setup'!P373),VLOOKUP('Funnel setup'!P373,'Provider Commission - Raw Data'!$A:$Q,8,0),"")</f>
        <v/>
      </c>
      <c r="E361" s="446" t="str">
        <f>IF(ISNUMBER('Funnel setup'!P373),VLOOKUP('Funnel setup'!P373,'Provider Commission - Raw Data'!$A:$Q,16,0),"")</f>
        <v/>
      </c>
      <c r="F361" s="310" t="str">
        <f>IF(ISNUMBER('Funnel setup'!P373),'Funnel setup'!$K$8,"")</f>
        <v/>
      </c>
      <c r="G361" s="310" t="str">
        <f>IF(AND(ISNUMBER('Funnel setup'!P373),D361&gt;=30,E361&lt;&gt;"*"),F361-1.959963985 *('Funnel setup'!$K$7/SQRT('Funnel Data'!D361)),"")</f>
        <v/>
      </c>
      <c r="H361" s="310" t="str">
        <f>IF(AND(ISNUMBER('Funnel setup'!P373),D361&gt;=30,E361&lt;&gt;"*"),F361+1.959963985 *('Funnel setup'!$K$7/SQRT('Funnel Data'!D361)),"")</f>
        <v/>
      </c>
      <c r="I361" s="310" t="str">
        <f>IF(AND(ISNUMBER('Funnel setup'!P373),D361&gt;=30,E361&lt;&gt;"*"),F361-3.090232306 *('Funnel setup'!$K$7/SQRT('Funnel Data'!D361)),"")</f>
        <v/>
      </c>
      <c r="J361" s="310" t="str">
        <f>IF(AND(ISNUMBER('Funnel setup'!P373),D361&gt;=30,E361&lt;&gt;"*"),F361+3.090232306 *('Funnel setup'!$K$7/SQRT('Funnel Data'!D361)),"")</f>
        <v/>
      </c>
      <c r="K361" s="311" t="str">
        <f>IF(AND(ISNUMBER('Funnel setup'!P373),D361&gt;=30,E361&lt;&gt;"*"),IF(E361&gt;J361,'Funnel setup'!$K$14&amp;"99.8%",IF(E361&gt;H361,'Funnel setup'!$K$14&amp;"95%",IF(E361&lt;I361,'Funnel setup'!$K$15&amp;"99.8%",IF(E361&lt;G361,'Funnel setup'!$K$15&amp;"95%","")))),"")</f>
        <v/>
      </c>
    </row>
    <row r="362" spans="2:11" ht="15" x14ac:dyDescent="0.2">
      <c r="B362" s="307" t="str">
        <f>IF(ISNUMBER('Funnel setup'!P374),VLOOKUP('Funnel setup'!$P374,'Provider Commission - Raw Data'!$A:$Q,5,0),"")</f>
        <v/>
      </c>
      <c r="C362" s="308" t="str">
        <f>IF(ISNUMBER('Funnel setup'!P374),VLOOKUP('Funnel setup'!P374,'Provider Commission - Raw Data'!$A:$Q,6,0),"")</f>
        <v/>
      </c>
      <c r="D362" s="309" t="str">
        <f>IF(ISNUMBER('Funnel setup'!P374),VLOOKUP('Funnel setup'!P374,'Provider Commission - Raw Data'!$A:$Q,8,0),"")</f>
        <v/>
      </c>
      <c r="E362" s="446" t="str">
        <f>IF(ISNUMBER('Funnel setup'!P374),VLOOKUP('Funnel setup'!P374,'Provider Commission - Raw Data'!$A:$Q,16,0),"")</f>
        <v/>
      </c>
      <c r="F362" s="310" t="str">
        <f>IF(ISNUMBER('Funnel setup'!P374),'Funnel setup'!$K$8,"")</f>
        <v/>
      </c>
      <c r="G362" s="310" t="str">
        <f>IF(AND(ISNUMBER('Funnel setup'!P374),D362&gt;=30,E362&lt;&gt;"*"),F362-1.959963985 *('Funnel setup'!$K$7/SQRT('Funnel Data'!D362)),"")</f>
        <v/>
      </c>
      <c r="H362" s="310" t="str">
        <f>IF(AND(ISNUMBER('Funnel setup'!P374),D362&gt;=30,E362&lt;&gt;"*"),F362+1.959963985 *('Funnel setup'!$K$7/SQRT('Funnel Data'!D362)),"")</f>
        <v/>
      </c>
      <c r="I362" s="310" t="str">
        <f>IF(AND(ISNUMBER('Funnel setup'!P374),D362&gt;=30,E362&lt;&gt;"*"),F362-3.090232306 *('Funnel setup'!$K$7/SQRT('Funnel Data'!D362)),"")</f>
        <v/>
      </c>
      <c r="J362" s="310" t="str">
        <f>IF(AND(ISNUMBER('Funnel setup'!P374),D362&gt;=30,E362&lt;&gt;"*"),F362+3.090232306 *('Funnel setup'!$K$7/SQRT('Funnel Data'!D362)),"")</f>
        <v/>
      </c>
      <c r="K362" s="311" t="str">
        <f>IF(AND(ISNUMBER('Funnel setup'!P374),D362&gt;=30,E362&lt;&gt;"*"),IF(E362&gt;J362,'Funnel setup'!$K$14&amp;"99.8%",IF(E362&gt;H362,'Funnel setup'!$K$14&amp;"95%",IF(E362&lt;I362,'Funnel setup'!$K$15&amp;"99.8%",IF(E362&lt;G362,'Funnel setup'!$K$15&amp;"95%","")))),"")</f>
        <v/>
      </c>
    </row>
    <row r="363" spans="2:11" ht="15" x14ac:dyDescent="0.2">
      <c r="B363" s="307" t="str">
        <f>IF(ISNUMBER('Funnel setup'!P375),VLOOKUP('Funnel setup'!$P375,'Provider Commission - Raw Data'!$A:$Q,5,0),"")</f>
        <v/>
      </c>
      <c r="C363" s="308" t="str">
        <f>IF(ISNUMBER('Funnel setup'!P375),VLOOKUP('Funnel setup'!P375,'Provider Commission - Raw Data'!$A:$Q,6,0),"")</f>
        <v/>
      </c>
      <c r="D363" s="309" t="str">
        <f>IF(ISNUMBER('Funnel setup'!P375),VLOOKUP('Funnel setup'!P375,'Provider Commission - Raw Data'!$A:$Q,8,0),"")</f>
        <v/>
      </c>
      <c r="E363" s="446" t="str">
        <f>IF(ISNUMBER('Funnel setup'!P375),VLOOKUP('Funnel setup'!P375,'Provider Commission - Raw Data'!$A:$Q,16,0),"")</f>
        <v/>
      </c>
      <c r="F363" s="310" t="str">
        <f>IF(ISNUMBER('Funnel setup'!P375),'Funnel setup'!$K$8,"")</f>
        <v/>
      </c>
      <c r="G363" s="310" t="str">
        <f>IF(AND(ISNUMBER('Funnel setup'!P375),D363&gt;=30,E363&lt;&gt;"*"),F363-1.959963985 *('Funnel setup'!$K$7/SQRT('Funnel Data'!D363)),"")</f>
        <v/>
      </c>
      <c r="H363" s="310" t="str">
        <f>IF(AND(ISNUMBER('Funnel setup'!P375),D363&gt;=30,E363&lt;&gt;"*"),F363+1.959963985 *('Funnel setup'!$K$7/SQRT('Funnel Data'!D363)),"")</f>
        <v/>
      </c>
      <c r="I363" s="310" t="str">
        <f>IF(AND(ISNUMBER('Funnel setup'!P375),D363&gt;=30,E363&lt;&gt;"*"),F363-3.090232306 *('Funnel setup'!$K$7/SQRT('Funnel Data'!D363)),"")</f>
        <v/>
      </c>
      <c r="J363" s="310" t="str">
        <f>IF(AND(ISNUMBER('Funnel setup'!P375),D363&gt;=30,E363&lt;&gt;"*"),F363+3.090232306 *('Funnel setup'!$K$7/SQRT('Funnel Data'!D363)),"")</f>
        <v/>
      </c>
      <c r="K363" s="311" t="str">
        <f>IF(AND(ISNUMBER('Funnel setup'!P375),D363&gt;=30,E363&lt;&gt;"*"),IF(E363&gt;J363,'Funnel setup'!$K$14&amp;"99.8%",IF(E363&gt;H363,'Funnel setup'!$K$14&amp;"95%",IF(E363&lt;I363,'Funnel setup'!$K$15&amp;"99.8%",IF(E363&lt;G363,'Funnel setup'!$K$15&amp;"95%","")))),"")</f>
        <v/>
      </c>
    </row>
    <row r="364" spans="2:11" ht="15" x14ac:dyDescent="0.2">
      <c r="B364" s="307" t="str">
        <f>IF(ISNUMBER('Funnel setup'!P376),VLOOKUP('Funnel setup'!$P376,'Provider Commission - Raw Data'!$A:$Q,5,0),"")</f>
        <v/>
      </c>
      <c r="C364" s="308" t="str">
        <f>IF(ISNUMBER('Funnel setup'!P376),VLOOKUP('Funnel setup'!P376,'Provider Commission - Raw Data'!$A:$Q,6,0),"")</f>
        <v/>
      </c>
      <c r="D364" s="309" t="str">
        <f>IF(ISNUMBER('Funnel setup'!P376),VLOOKUP('Funnel setup'!P376,'Provider Commission - Raw Data'!$A:$Q,8,0),"")</f>
        <v/>
      </c>
      <c r="E364" s="446" t="str">
        <f>IF(ISNUMBER('Funnel setup'!P376),VLOOKUP('Funnel setup'!P376,'Provider Commission - Raw Data'!$A:$Q,16,0),"")</f>
        <v/>
      </c>
      <c r="F364" s="310" t="str">
        <f>IF(ISNUMBER('Funnel setup'!P376),'Funnel setup'!$K$8,"")</f>
        <v/>
      </c>
      <c r="G364" s="310" t="str">
        <f>IF(AND(ISNUMBER('Funnel setup'!P376),D364&gt;=30,E364&lt;&gt;"*"),F364-1.959963985 *('Funnel setup'!$K$7/SQRT('Funnel Data'!D364)),"")</f>
        <v/>
      </c>
      <c r="H364" s="310" t="str">
        <f>IF(AND(ISNUMBER('Funnel setup'!P376),D364&gt;=30,E364&lt;&gt;"*"),F364+1.959963985 *('Funnel setup'!$K$7/SQRT('Funnel Data'!D364)),"")</f>
        <v/>
      </c>
      <c r="I364" s="310" t="str">
        <f>IF(AND(ISNUMBER('Funnel setup'!P376),D364&gt;=30,E364&lt;&gt;"*"),F364-3.090232306 *('Funnel setup'!$K$7/SQRT('Funnel Data'!D364)),"")</f>
        <v/>
      </c>
      <c r="J364" s="310" t="str">
        <f>IF(AND(ISNUMBER('Funnel setup'!P376),D364&gt;=30,E364&lt;&gt;"*"),F364+3.090232306 *('Funnel setup'!$K$7/SQRT('Funnel Data'!D364)),"")</f>
        <v/>
      </c>
      <c r="K364" s="311" t="str">
        <f>IF(AND(ISNUMBER('Funnel setup'!P376),D364&gt;=30,E364&lt;&gt;"*"),IF(E364&gt;J364,'Funnel setup'!$K$14&amp;"99.8%",IF(E364&gt;H364,'Funnel setup'!$K$14&amp;"95%",IF(E364&lt;I364,'Funnel setup'!$K$15&amp;"99.8%",IF(E364&lt;G364,'Funnel setup'!$K$15&amp;"95%","")))),"")</f>
        <v/>
      </c>
    </row>
    <row r="365" spans="2:11" ht="15" x14ac:dyDescent="0.2">
      <c r="B365" s="307" t="str">
        <f>IF(ISNUMBER('Funnel setup'!P377),VLOOKUP('Funnel setup'!$P377,'Provider Commission - Raw Data'!$A:$Q,5,0),"")</f>
        <v/>
      </c>
      <c r="C365" s="308" t="str">
        <f>IF(ISNUMBER('Funnel setup'!P377),VLOOKUP('Funnel setup'!P377,'Provider Commission - Raw Data'!$A:$Q,6,0),"")</f>
        <v/>
      </c>
      <c r="D365" s="309" t="str">
        <f>IF(ISNUMBER('Funnel setup'!P377),VLOOKUP('Funnel setup'!P377,'Provider Commission - Raw Data'!$A:$Q,8,0),"")</f>
        <v/>
      </c>
      <c r="E365" s="446" t="str">
        <f>IF(ISNUMBER('Funnel setup'!P377),VLOOKUP('Funnel setup'!P377,'Provider Commission - Raw Data'!$A:$Q,16,0),"")</f>
        <v/>
      </c>
      <c r="F365" s="310" t="str">
        <f>IF(ISNUMBER('Funnel setup'!P377),'Funnel setup'!$K$8,"")</f>
        <v/>
      </c>
      <c r="G365" s="310" t="str">
        <f>IF(AND(ISNUMBER('Funnel setup'!P377),D365&gt;=30,E365&lt;&gt;"*"),F365-1.959963985 *('Funnel setup'!$K$7/SQRT('Funnel Data'!D365)),"")</f>
        <v/>
      </c>
      <c r="H365" s="310" t="str">
        <f>IF(AND(ISNUMBER('Funnel setup'!P377),D365&gt;=30,E365&lt;&gt;"*"),F365+1.959963985 *('Funnel setup'!$K$7/SQRT('Funnel Data'!D365)),"")</f>
        <v/>
      </c>
      <c r="I365" s="310" t="str">
        <f>IF(AND(ISNUMBER('Funnel setup'!P377),D365&gt;=30,E365&lt;&gt;"*"),F365-3.090232306 *('Funnel setup'!$K$7/SQRT('Funnel Data'!D365)),"")</f>
        <v/>
      </c>
      <c r="J365" s="310" t="str">
        <f>IF(AND(ISNUMBER('Funnel setup'!P377),D365&gt;=30,E365&lt;&gt;"*"),F365+3.090232306 *('Funnel setup'!$K$7/SQRT('Funnel Data'!D365)),"")</f>
        <v/>
      </c>
      <c r="K365" s="311" t="str">
        <f>IF(AND(ISNUMBER('Funnel setup'!P377),D365&gt;=30,E365&lt;&gt;"*"),IF(E365&gt;J365,'Funnel setup'!$K$14&amp;"99.8%",IF(E365&gt;H365,'Funnel setup'!$K$14&amp;"95%",IF(E365&lt;I365,'Funnel setup'!$K$15&amp;"99.8%",IF(E365&lt;G365,'Funnel setup'!$K$15&amp;"95%","")))),"")</f>
        <v/>
      </c>
    </row>
    <row r="366" spans="2:11" ht="15" x14ac:dyDescent="0.2">
      <c r="B366" s="307" t="str">
        <f>IF(ISNUMBER('Funnel setup'!P378),VLOOKUP('Funnel setup'!$P378,'Provider Commission - Raw Data'!$A:$Q,5,0),"")</f>
        <v/>
      </c>
      <c r="C366" s="308" t="str">
        <f>IF(ISNUMBER('Funnel setup'!P378),VLOOKUP('Funnel setup'!P378,'Provider Commission - Raw Data'!$A:$Q,6,0),"")</f>
        <v/>
      </c>
      <c r="D366" s="309" t="str">
        <f>IF(ISNUMBER('Funnel setup'!P378),VLOOKUP('Funnel setup'!P378,'Provider Commission - Raw Data'!$A:$Q,8,0),"")</f>
        <v/>
      </c>
      <c r="E366" s="446" t="str">
        <f>IF(ISNUMBER('Funnel setup'!P378),VLOOKUP('Funnel setup'!P378,'Provider Commission - Raw Data'!$A:$Q,16,0),"")</f>
        <v/>
      </c>
      <c r="F366" s="310" t="str">
        <f>IF(ISNUMBER('Funnel setup'!P378),'Funnel setup'!$K$8,"")</f>
        <v/>
      </c>
      <c r="G366" s="310" t="str">
        <f>IF(AND(ISNUMBER('Funnel setup'!P378),D366&gt;=30,E366&lt;&gt;"*"),F366-1.959963985 *('Funnel setup'!$K$7/SQRT('Funnel Data'!D366)),"")</f>
        <v/>
      </c>
      <c r="H366" s="310" t="str">
        <f>IF(AND(ISNUMBER('Funnel setup'!P378),D366&gt;=30,E366&lt;&gt;"*"),F366+1.959963985 *('Funnel setup'!$K$7/SQRT('Funnel Data'!D366)),"")</f>
        <v/>
      </c>
      <c r="I366" s="310" t="str">
        <f>IF(AND(ISNUMBER('Funnel setup'!P378),D366&gt;=30,E366&lt;&gt;"*"),F366-3.090232306 *('Funnel setup'!$K$7/SQRT('Funnel Data'!D366)),"")</f>
        <v/>
      </c>
      <c r="J366" s="310" t="str">
        <f>IF(AND(ISNUMBER('Funnel setup'!P378),D366&gt;=30,E366&lt;&gt;"*"),F366+3.090232306 *('Funnel setup'!$K$7/SQRT('Funnel Data'!D366)),"")</f>
        <v/>
      </c>
      <c r="K366" s="311" t="str">
        <f>IF(AND(ISNUMBER('Funnel setup'!P378),D366&gt;=30,E366&lt;&gt;"*"),IF(E366&gt;J366,'Funnel setup'!$K$14&amp;"99.8%",IF(E366&gt;H366,'Funnel setup'!$K$14&amp;"95%",IF(E366&lt;I366,'Funnel setup'!$K$15&amp;"99.8%",IF(E366&lt;G366,'Funnel setup'!$K$15&amp;"95%","")))),"")</f>
        <v/>
      </c>
    </row>
    <row r="367" spans="2:11" ht="15" x14ac:dyDescent="0.2">
      <c r="B367" s="307" t="str">
        <f>IF(ISNUMBER('Funnel setup'!P379),VLOOKUP('Funnel setup'!$P379,'Provider Commission - Raw Data'!$A:$Q,5,0),"")</f>
        <v/>
      </c>
      <c r="C367" s="308" t="str">
        <f>IF(ISNUMBER('Funnel setup'!P379),VLOOKUP('Funnel setup'!P379,'Provider Commission - Raw Data'!$A:$Q,6,0),"")</f>
        <v/>
      </c>
      <c r="D367" s="309" t="str">
        <f>IF(ISNUMBER('Funnel setup'!P379),VLOOKUP('Funnel setup'!P379,'Provider Commission - Raw Data'!$A:$Q,8,0),"")</f>
        <v/>
      </c>
      <c r="E367" s="446" t="str">
        <f>IF(ISNUMBER('Funnel setup'!P379),VLOOKUP('Funnel setup'!P379,'Provider Commission - Raw Data'!$A:$Q,16,0),"")</f>
        <v/>
      </c>
      <c r="F367" s="310" t="str">
        <f>IF(ISNUMBER('Funnel setup'!P379),'Funnel setup'!$K$8,"")</f>
        <v/>
      </c>
      <c r="G367" s="310" t="str">
        <f>IF(AND(ISNUMBER('Funnel setup'!P379),D367&gt;=30,E367&lt;&gt;"*"),F367-1.959963985 *('Funnel setup'!$K$7/SQRT('Funnel Data'!D367)),"")</f>
        <v/>
      </c>
      <c r="H367" s="310" t="str">
        <f>IF(AND(ISNUMBER('Funnel setup'!P379),D367&gt;=30,E367&lt;&gt;"*"),F367+1.959963985 *('Funnel setup'!$K$7/SQRT('Funnel Data'!D367)),"")</f>
        <v/>
      </c>
      <c r="I367" s="310" t="str">
        <f>IF(AND(ISNUMBER('Funnel setup'!P379),D367&gt;=30,E367&lt;&gt;"*"),F367-3.090232306 *('Funnel setup'!$K$7/SQRT('Funnel Data'!D367)),"")</f>
        <v/>
      </c>
      <c r="J367" s="310" t="str">
        <f>IF(AND(ISNUMBER('Funnel setup'!P379),D367&gt;=30,E367&lt;&gt;"*"),F367+3.090232306 *('Funnel setup'!$K$7/SQRT('Funnel Data'!D367)),"")</f>
        <v/>
      </c>
      <c r="K367" s="311" t="str">
        <f>IF(AND(ISNUMBER('Funnel setup'!P379),D367&gt;=30,E367&lt;&gt;"*"),IF(E367&gt;J367,'Funnel setup'!$K$14&amp;"99.8%",IF(E367&gt;H367,'Funnel setup'!$K$14&amp;"95%",IF(E367&lt;I367,'Funnel setup'!$K$15&amp;"99.8%",IF(E367&lt;G367,'Funnel setup'!$K$15&amp;"95%","")))),"")</f>
        <v/>
      </c>
    </row>
    <row r="368" spans="2:11" ht="15" x14ac:dyDescent="0.2">
      <c r="B368" s="307" t="str">
        <f>IF(ISNUMBER('Funnel setup'!P380),VLOOKUP('Funnel setup'!$P380,'Provider Commission - Raw Data'!$A:$Q,5,0),"")</f>
        <v/>
      </c>
      <c r="C368" s="308" t="str">
        <f>IF(ISNUMBER('Funnel setup'!P380),VLOOKUP('Funnel setup'!P380,'Provider Commission - Raw Data'!$A:$Q,6,0),"")</f>
        <v/>
      </c>
      <c r="D368" s="309" t="str">
        <f>IF(ISNUMBER('Funnel setup'!P380),VLOOKUP('Funnel setup'!P380,'Provider Commission - Raw Data'!$A:$Q,8,0),"")</f>
        <v/>
      </c>
      <c r="E368" s="446" t="str">
        <f>IF(ISNUMBER('Funnel setup'!P380),VLOOKUP('Funnel setup'!P380,'Provider Commission - Raw Data'!$A:$Q,16,0),"")</f>
        <v/>
      </c>
      <c r="F368" s="310" t="str">
        <f>IF(ISNUMBER('Funnel setup'!P380),'Funnel setup'!$K$8,"")</f>
        <v/>
      </c>
      <c r="G368" s="310" t="str">
        <f>IF(AND(ISNUMBER('Funnel setup'!P380),D368&gt;=30,E368&lt;&gt;"*"),F368-1.959963985 *('Funnel setup'!$K$7/SQRT('Funnel Data'!D368)),"")</f>
        <v/>
      </c>
      <c r="H368" s="310" t="str">
        <f>IF(AND(ISNUMBER('Funnel setup'!P380),D368&gt;=30,E368&lt;&gt;"*"),F368+1.959963985 *('Funnel setup'!$K$7/SQRT('Funnel Data'!D368)),"")</f>
        <v/>
      </c>
      <c r="I368" s="310" t="str">
        <f>IF(AND(ISNUMBER('Funnel setup'!P380),D368&gt;=30,E368&lt;&gt;"*"),F368-3.090232306 *('Funnel setup'!$K$7/SQRT('Funnel Data'!D368)),"")</f>
        <v/>
      </c>
      <c r="J368" s="310" t="str">
        <f>IF(AND(ISNUMBER('Funnel setup'!P380),D368&gt;=30,E368&lt;&gt;"*"),F368+3.090232306 *('Funnel setup'!$K$7/SQRT('Funnel Data'!D368)),"")</f>
        <v/>
      </c>
      <c r="K368" s="311" t="str">
        <f>IF(AND(ISNUMBER('Funnel setup'!P380),D368&gt;=30,E368&lt;&gt;"*"),IF(E368&gt;J368,'Funnel setup'!$K$14&amp;"99.8%",IF(E368&gt;H368,'Funnel setup'!$K$14&amp;"95%",IF(E368&lt;I368,'Funnel setup'!$K$15&amp;"99.8%",IF(E368&lt;G368,'Funnel setup'!$K$15&amp;"95%","")))),"")</f>
        <v/>
      </c>
    </row>
    <row r="369" spans="2:11" ht="15" x14ac:dyDescent="0.2">
      <c r="B369" s="307" t="str">
        <f>IF(ISNUMBER('Funnel setup'!P381),VLOOKUP('Funnel setup'!$P381,'Provider Commission - Raw Data'!$A:$Q,5,0),"")</f>
        <v/>
      </c>
      <c r="C369" s="308" t="str">
        <f>IF(ISNUMBER('Funnel setup'!P381),VLOOKUP('Funnel setup'!P381,'Provider Commission - Raw Data'!$A:$Q,6,0),"")</f>
        <v/>
      </c>
      <c r="D369" s="309" t="str">
        <f>IF(ISNUMBER('Funnel setup'!P381),VLOOKUP('Funnel setup'!P381,'Provider Commission - Raw Data'!$A:$Q,8,0),"")</f>
        <v/>
      </c>
      <c r="E369" s="446" t="str">
        <f>IF(ISNUMBER('Funnel setup'!P381),VLOOKUP('Funnel setup'!P381,'Provider Commission - Raw Data'!$A:$Q,16,0),"")</f>
        <v/>
      </c>
      <c r="F369" s="310" t="str">
        <f>IF(ISNUMBER('Funnel setup'!P381),'Funnel setup'!$K$8,"")</f>
        <v/>
      </c>
      <c r="G369" s="310" t="str">
        <f>IF(AND(ISNUMBER('Funnel setup'!P381),D369&gt;=30,E369&lt;&gt;"*"),F369-1.959963985 *('Funnel setup'!$K$7/SQRT('Funnel Data'!D369)),"")</f>
        <v/>
      </c>
      <c r="H369" s="310" t="str">
        <f>IF(AND(ISNUMBER('Funnel setup'!P381),D369&gt;=30,E369&lt;&gt;"*"),F369+1.959963985 *('Funnel setup'!$K$7/SQRT('Funnel Data'!D369)),"")</f>
        <v/>
      </c>
      <c r="I369" s="310" t="str">
        <f>IF(AND(ISNUMBER('Funnel setup'!P381),D369&gt;=30,E369&lt;&gt;"*"),F369-3.090232306 *('Funnel setup'!$K$7/SQRT('Funnel Data'!D369)),"")</f>
        <v/>
      </c>
      <c r="J369" s="310" t="str">
        <f>IF(AND(ISNUMBER('Funnel setup'!P381),D369&gt;=30,E369&lt;&gt;"*"),F369+3.090232306 *('Funnel setup'!$K$7/SQRT('Funnel Data'!D369)),"")</f>
        <v/>
      </c>
      <c r="K369" s="311" t="str">
        <f>IF(AND(ISNUMBER('Funnel setup'!P381),D369&gt;=30,E369&lt;&gt;"*"),IF(E369&gt;J369,'Funnel setup'!$K$14&amp;"99.8%",IF(E369&gt;H369,'Funnel setup'!$K$14&amp;"95%",IF(E369&lt;I369,'Funnel setup'!$K$15&amp;"99.8%",IF(E369&lt;G369,'Funnel setup'!$K$15&amp;"95%","")))),"")</f>
        <v/>
      </c>
    </row>
    <row r="370" spans="2:11" ht="15" x14ac:dyDescent="0.2">
      <c r="B370" s="307" t="str">
        <f>IF(ISNUMBER('Funnel setup'!P382),VLOOKUP('Funnel setup'!$P382,'Provider Commission - Raw Data'!$A:$Q,5,0),"")</f>
        <v/>
      </c>
      <c r="C370" s="308" t="str">
        <f>IF(ISNUMBER('Funnel setup'!P382),VLOOKUP('Funnel setup'!P382,'Provider Commission - Raw Data'!$A:$Q,6,0),"")</f>
        <v/>
      </c>
      <c r="D370" s="309" t="str">
        <f>IF(ISNUMBER('Funnel setup'!P382),VLOOKUP('Funnel setup'!P382,'Provider Commission - Raw Data'!$A:$Q,8,0),"")</f>
        <v/>
      </c>
      <c r="E370" s="446" t="str">
        <f>IF(ISNUMBER('Funnel setup'!P382),VLOOKUP('Funnel setup'!P382,'Provider Commission - Raw Data'!$A:$Q,16,0),"")</f>
        <v/>
      </c>
      <c r="F370" s="310" t="str">
        <f>IF(ISNUMBER('Funnel setup'!P382),'Funnel setup'!$K$8,"")</f>
        <v/>
      </c>
      <c r="G370" s="310" t="str">
        <f>IF(AND(ISNUMBER('Funnel setup'!P382),D370&gt;=30,E370&lt;&gt;"*"),F370-1.959963985 *('Funnel setup'!$K$7/SQRT('Funnel Data'!D370)),"")</f>
        <v/>
      </c>
      <c r="H370" s="310" t="str">
        <f>IF(AND(ISNUMBER('Funnel setup'!P382),D370&gt;=30,E370&lt;&gt;"*"),F370+1.959963985 *('Funnel setup'!$K$7/SQRT('Funnel Data'!D370)),"")</f>
        <v/>
      </c>
      <c r="I370" s="310" t="str">
        <f>IF(AND(ISNUMBER('Funnel setup'!P382),D370&gt;=30,E370&lt;&gt;"*"),F370-3.090232306 *('Funnel setup'!$K$7/SQRT('Funnel Data'!D370)),"")</f>
        <v/>
      </c>
      <c r="J370" s="310" t="str">
        <f>IF(AND(ISNUMBER('Funnel setup'!P382),D370&gt;=30,E370&lt;&gt;"*"),F370+3.090232306 *('Funnel setup'!$K$7/SQRT('Funnel Data'!D370)),"")</f>
        <v/>
      </c>
      <c r="K370" s="311" t="str">
        <f>IF(AND(ISNUMBER('Funnel setup'!P382),D370&gt;=30,E370&lt;&gt;"*"),IF(E370&gt;J370,'Funnel setup'!$K$14&amp;"99.8%",IF(E370&gt;H370,'Funnel setup'!$K$14&amp;"95%",IF(E370&lt;I370,'Funnel setup'!$K$15&amp;"99.8%",IF(E370&lt;G370,'Funnel setup'!$K$15&amp;"95%","")))),"")</f>
        <v/>
      </c>
    </row>
    <row r="371" spans="2:11" ht="15" x14ac:dyDescent="0.2">
      <c r="B371" s="307" t="str">
        <f>IF(ISNUMBER('Funnel setup'!P383),VLOOKUP('Funnel setup'!$P383,'Provider Commission - Raw Data'!$A:$Q,5,0),"")</f>
        <v/>
      </c>
      <c r="C371" s="308" t="str">
        <f>IF(ISNUMBER('Funnel setup'!P383),VLOOKUP('Funnel setup'!P383,'Provider Commission - Raw Data'!$A:$Q,6,0),"")</f>
        <v/>
      </c>
      <c r="D371" s="309" t="str">
        <f>IF(ISNUMBER('Funnel setup'!P383),VLOOKUP('Funnel setup'!P383,'Provider Commission - Raw Data'!$A:$Q,8,0),"")</f>
        <v/>
      </c>
      <c r="E371" s="446" t="str">
        <f>IF(ISNUMBER('Funnel setup'!P383),VLOOKUP('Funnel setup'!P383,'Provider Commission - Raw Data'!$A:$Q,16,0),"")</f>
        <v/>
      </c>
      <c r="F371" s="310" t="str">
        <f>IF(ISNUMBER('Funnel setup'!P383),'Funnel setup'!$K$8,"")</f>
        <v/>
      </c>
      <c r="G371" s="310" t="str">
        <f>IF(AND(ISNUMBER('Funnel setup'!P383),D371&gt;=30,E371&lt;&gt;"*"),F371-1.959963985 *('Funnel setup'!$K$7/SQRT('Funnel Data'!D371)),"")</f>
        <v/>
      </c>
      <c r="H371" s="310" t="str">
        <f>IF(AND(ISNUMBER('Funnel setup'!P383),D371&gt;=30,E371&lt;&gt;"*"),F371+1.959963985 *('Funnel setup'!$K$7/SQRT('Funnel Data'!D371)),"")</f>
        <v/>
      </c>
      <c r="I371" s="310" t="str">
        <f>IF(AND(ISNUMBER('Funnel setup'!P383),D371&gt;=30,E371&lt;&gt;"*"),F371-3.090232306 *('Funnel setup'!$K$7/SQRT('Funnel Data'!D371)),"")</f>
        <v/>
      </c>
      <c r="J371" s="310" t="str">
        <f>IF(AND(ISNUMBER('Funnel setup'!P383),D371&gt;=30,E371&lt;&gt;"*"),F371+3.090232306 *('Funnel setup'!$K$7/SQRT('Funnel Data'!D371)),"")</f>
        <v/>
      </c>
      <c r="K371" s="311" t="str">
        <f>IF(AND(ISNUMBER('Funnel setup'!P383),D371&gt;=30,E371&lt;&gt;"*"),IF(E371&gt;J371,'Funnel setup'!$K$14&amp;"99.8%",IF(E371&gt;H371,'Funnel setup'!$K$14&amp;"95%",IF(E371&lt;I371,'Funnel setup'!$K$15&amp;"99.8%",IF(E371&lt;G371,'Funnel setup'!$K$15&amp;"95%","")))),"")</f>
        <v/>
      </c>
    </row>
    <row r="372" spans="2:11" ht="15" x14ac:dyDescent="0.2">
      <c r="B372" s="307" t="str">
        <f>IF(ISNUMBER('Funnel setup'!P384),VLOOKUP('Funnel setup'!$P384,'Provider Commission - Raw Data'!$A:$Q,5,0),"")</f>
        <v/>
      </c>
      <c r="C372" s="308" t="str">
        <f>IF(ISNUMBER('Funnel setup'!P384),VLOOKUP('Funnel setup'!P384,'Provider Commission - Raw Data'!$A:$Q,6,0),"")</f>
        <v/>
      </c>
      <c r="D372" s="309" t="str">
        <f>IF(ISNUMBER('Funnel setup'!P384),VLOOKUP('Funnel setup'!P384,'Provider Commission - Raw Data'!$A:$Q,8,0),"")</f>
        <v/>
      </c>
      <c r="E372" s="446" t="str">
        <f>IF(ISNUMBER('Funnel setup'!P384),VLOOKUP('Funnel setup'!P384,'Provider Commission - Raw Data'!$A:$Q,16,0),"")</f>
        <v/>
      </c>
      <c r="F372" s="310" t="str">
        <f>IF(ISNUMBER('Funnel setup'!P384),'Funnel setup'!$K$8,"")</f>
        <v/>
      </c>
      <c r="G372" s="310" t="str">
        <f>IF(AND(ISNUMBER('Funnel setup'!P384),D372&gt;=30,E372&lt;&gt;"*"),F372-1.959963985 *('Funnel setup'!$K$7/SQRT('Funnel Data'!D372)),"")</f>
        <v/>
      </c>
      <c r="H372" s="310" t="str">
        <f>IF(AND(ISNUMBER('Funnel setup'!P384),D372&gt;=30,E372&lt;&gt;"*"),F372+1.959963985 *('Funnel setup'!$K$7/SQRT('Funnel Data'!D372)),"")</f>
        <v/>
      </c>
      <c r="I372" s="310" t="str">
        <f>IF(AND(ISNUMBER('Funnel setup'!P384),D372&gt;=30,E372&lt;&gt;"*"),F372-3.090232306 *('Funnel setup'!$K$7/SQRT('Funnel Data'!D372)),"")</f>
        <v/>
      </c>
      <c r="J372" s="310" t="str">
        <f>IF(AND(ISNUMBER('Funnel setup'!P384),D372&gt;=30,E372&lt;&gt;"*"),F372+3.090232306 *('Funnel setup'!$K$7/SQRT('Funnel Data'!D372)),"")</f>
        <v/>
      </c>
      <c r="K372" s="311" t="str">
        <f>IF(AND(ISNUMBER('Funnel setup'!P384),D372&gt;=30,E372&lt;&gt;"*"),IF(E372&gt;J372,'Funnel setup'!$K$14&amp;"99.8%",IF(E372&gt;H372,'Funnel setup'!$K$14&amp;"95%",IF(E372&lt;I372,'Funnel setup'!$K$15&amp;"99.8%",IF(E372&lt;G372,'Funnel setup'!$K$15&amp;"95%","")))),"")</f>
        <v/>
      </c>
    </row>
    <row r="373" spans="2:11" ht="15" x14ac:dyDescent="0.2">
      <c r="B373" s="307" t="str">
        <f>IF(ISNUMBER('Funnel setup'!P385),VLOOKUP('Funnel setup'!$P385,'Provider Commission - Raw Data'!$A:$Q,5,0),"")</f>
        <v/>
      </c>
      <c r="C373" s="308" t="str">
        <f>IF(ISNUMBER('Funnel setup'!P385),VLOOKUP('Funnel setup'!P385,'Provider Commission - Raw Data'!$A:$Q,6,0),"")</f>
        <v/>
      </c>
      <c r="D373" s="309" t="str">
        <f>IF(ISNUMBER('Funnel setup'!P385),VLOOKUP('Funnel setup'!P385,'Provider Commission - Raw Data'!$A:$Q,8,0),"")</f>
        <v/>
      </c>
      <c r="E373" s="446" t="str">
        <f>IF(ISNUMBER('Funnel setup'!P385),VLOOKUP('Funnel setup'!P385,'Provider Commission - Raw Data'!$A:$Q,16,0),"")</f>
        <v/>
      </c>
      <c r="F373" s="310" t="str">
        <f>IF(ISNUMBER('Funnel setup'!P385),'Funnel setup'!$K$8,"")</f>
        <v/>
      </c>
      <c r="G373" s="310" t="str">
        <f>IF(AND(ISNUMBER('Funnel setup'!P385),D373&gt;=30,E373&lt;&gt;"*"),F373-1.959963985 *('Funnel setup'!$K$7/SQRT('Funnel Data'!D373)),"")</f>
        <v/>
      </c>
      <c r="H373" s="310" t="str">
        <f>IF(AND(ISNUMBER('Funnel setup'!P385),D373&gt;=30,E373&lt;&gt;"*"),F373+1.959963985 *('Funnel setup'!$K$7/SQRT('Funnel Data'!D373)),"")</f>
        <v/>
      </c>
      <c r="I373" s="310" t="str">
        <f>IF(AND(ISNUMBER('Funnel setup'!P385),D373&gt;=30,E373&lt;&gt;"*"),F373-3.090232306 *('Funnel setup'!$K$7/SQRT('Funnel Data'!D373)),"")</f>
        <v/>
      </c>
      <c r="J373" s="310" t="str">
        <f>IF(AND(ISNUMBER('Funnel setup'!P385),D373&gt;=30,E373&lt;&gt;"*"),F373+3.090232306 *('Funnel setup'!$K$7/SQRT('Funnel Data'!D373)),"")</f>
        <v/>
      </c>
      <c r="K373" s="311" t="str">
        <f>IF(AND(ISNUMBER('Funnel setup'!P385),D373&gt;=30,E373&lt;&gt;"*"),IF(E373&gt;J373,'Funnel setup'!$K$14&amp;"99.8%",IF(E373&gt;H373,'Funnel setup'!$K$14&amp;"95%",IF(E373&lt;I373,'Funnel setup'!$K$15&amp;"99.8%",IF(E373&lt;G373,'Funnel setup'!$K$15&amp;"95%","")))),"")</f>
        <v/>
      </c>
    </row>
    <row r="374" spans="2:11" ht="15" x14ac:dyDescent="0.2">
      <c r="B374" s="307" t="str">
        <f>IF(ISNUMBER('Funnel setup'!P386),VLOOKUP('Funnel setup'!$P386,'Provider Commission - Raw Data'!$A:$Q,5,0),"")</f>
        <v/>
      </c>
      <c r="C374" s="308" t="str">
        <f>IF(ISNUMBER('Funnel setup'!P386),VLOOKUP('Funnel setup'!P386,'Provider Commission - Raw Data'!$A:$Q,6,0),"")</f>
        <v/>
      </c>
      <c r="D374" s="309" t="str">
        <f>IF(ISNUMBER('Funnel setup'!P386),VLOOKUP('Funnel setup'!P386,'Provider Commission - Raw Data'!$A:$Q,8,0),"")</f>
        <v/>
      </c>
      <c r="E374" s="446" t="str">
        <f>IF(ISNUMBER('Funnel setup'!P386),VLOOKUP('Funnel setup'!P386,'Provider Commission - Raw Data'!$A:$Q,16,0),"")</f>
        <v/>
      </c>
      <c r="F374" s="310" t="str">
        <f>IF(ISNUMBER('Funnel setup'!P386),'Funnel setup'!$K$8,"")</f>
        <v/>
      </c>
      <c r="G374" s="310" t="str">
        <f>IF(AND(ISNUMBER('Funnel setup'!P386),D374&gt;=30,E374&lt;&gt;"*"),F374-1.959963985 *('Funnel setup'!$K$7/SQRT('Funnel Data'!D374)),"")</f>
        <v/>
      </c>
      <c r="H374" s="310" t="str">
        <f>IF(AND(ISNUMBER('Funnel setup'!P386),D374&gt;=30,E374&lt;&gt;"*"),F374+1.959963985 *('Funnel setup'!$K$7/SQRT('Funnel Data'!D374)),"")</f>
        <v/>
      </c>
      <c r="I374" s="310" t="str">
        <f>IF(AND(ISNUMBER('Funnel setup'!P386),D374&gt;=30,E374&lt;&gt;"*"),F374-3.090232306 *('Funnel setup'!$K$7/SQRT('Funnel Data'!D374)),"")</f>
        <v/>
      </c>
      <c r="J374" s="310" t="str">
        <f>IF(AND(ISNUMBER('Funnel setup'!P386),D374&gt;=30,E374&lt;&gt;"*"),F374+3.090232306 *('Funnel setup'!$K$7/SQRT('Funnel Data'!D374)),"")</f>
        <v/>
      </c>
      <c r="K374" s="311" t="str">
        <f>IF(AND(ISNUMBER('Funnel setup'!P386),D374&gt;=30,E374&lt;&gt;"*"),IF(E374&gt;J374,'Funnel setup'!$K$14&amp;"99.8%",IF(E374&gt;H374,'Funnel setup'!$K$14&amp;"95%",IF(E374&lt;I374,'Funnel setup'!$K$15&amp;"99.8%",IF(E374&lt;G374,'Funnel setup'!$K$15&amp;"95%","")))),"")</f>
        <v/>
      </c>
    </row>
    <row r="375" spans="2:11" ht="15" x14ac:dyDescent="0.2">
      <c r="B375" s="307" t="str">
        <f>IF(ISNUMBER('Funnel setup'!P387),VLOOKUP('Funnel setup'!$P387,'Provider Commission - Raw Data'!$A:$Q,5,0),"")</f>
        <v/>
      </c>
      <c r="C375" s="308" t="str">
        <f>IF(ISNUMBER('Funnel setup'!P387),VLOOKUP('Funnel setup'!P387,'Provider Commission - Raw Data'!$A:$Q,6,0),"")</f>
        <v/>
      </c>
      <c r="D375" s="309" t="str">
        <f>IF(ISNUMBER('Funnel setup'!P387),VLOOKUP('Funnel setup'!P387,'Provider Commission - Raw Data'!$A:$Q,8,0),"")</f>
        <v/>
      </c>
      <c r="E375" s="446" t="str">
        <f>IF(ISNUMBER('Funnel setup'!P387),VLOOKUP('Funnel setup'!P387,'Provider Commission - Raw Data'!$A:$Q,16,0),"")</f>
        <v/>
      </c>
      <c r="F375" s="310" t="str">
        <f>IF(ISNUMBER('Funnel setup'!P387),'Funnel setup'!$K$8,"")</f>
        <v/>
      </c>
      <c r="G375" s="310" t="str">
        <f>IF(AND(ISNUMBER('Funnel setup'!P387),D375&gt;=30,E375&lt;&gt;"*"),F375-1.959963985 *('Funnel setup'!$K$7/SQRT('Funnel Data'!D375)),"")</f>
        <v/>
      </c>
      <c r="H375" s="310" t="str">
        <f>IF(AND(ISNUMBER('Funnel setup'!P387),D375&gt;=30,E375&lt;&gt;"*"),F375+1.959963985 *('Funnel setup'!$K$7/SQRT('Funnel Data'!D375)),"")</f>
        <v/>
      </c>
      <c r="I375" s="310" t="str">
        <f>IF(AND(ISNUMBER('Funnel setup'!P387),D375&gt;=30,E375&lt;&gt;"*"),F375-3.090232306 *('Funnel setup'!$K$7/SQRT('Funnel Data'!D375)),"")</f>
        <v/>
      </c>
      <c r="J375" s="310" t="str">
        <f>IF(AND(ISNUMBER('Funnel setup'!P387),D375&gt;=30,E375&lt;&gt;"*"),F375+3.090232306 *('Funnel setup'!$K$7/SQRT('Funnel Data'!D375)),"")</f>
        <v/>
      </c>
      <c r="K375" s="311" t="str">
        <f>IF(AND(ISNUMBER('Funnel setup'!P387),D375&gt;=30,E375&lt;&gt;"*"),IF(E375&gt;J375,'Funnel setup'!$K$14&amp;"99.8%",IF(E375&gt;H375,'Funnel setup'!$K$14&amp;"95%",IF(E375&lt;I375,'Funnel setup'!$K$15&amp;"99.8%",IF(E375&lt;G375,'Funnel setup'!$K$15&amp;"95%","")))),"")</f>
        <v/>
      </c>
    </row>
    <row r="376" spans="2:11" ht="15" x14ac:dyDescent="0.2">
      <c r="B376" s="307" t="str">
        <f>IF(ISNUMBER('Funnel setup'!P388),VLOOKUP('Funnel setup'!$P388,'Provider Commission - Raw Data'!$A:$Q,5,0),"")</f>
        <v/>
      </c>
      <c r="C376" s="308" t="str">
        <f>IF(ISNUMBER('Funnel setup'!P388),VLOOKUP('Funnel setup'!P388,'Provider Commission - Raw Data'!$A:$Q,6,0),"")</f>
        <v/>
      </c>
      <c r="D376" s="309" t="str">
        <f>IF(ISNUMBER('Funnel setup'!P388),VLOOKUP('Funnel setup'!P388,'Provider Commission - Raw Data'!$A:$Q,8,0),"")</f>
        <v/>
      </c>
      <c r="E376" s="446" t="str">
        <f>IF(ISNUMBER('Funnel setup'!P388),VLOOKUP('Funnel setup'!P388,'Provider Commission - Raw Data'!$A:$Q,16,0),"")</f>
        <v/>
      </c>
      <c r="F376" s="310" t="str">
        <f>IF(ISNUMBER('Funnel setup'!P388),'Funnel setup'!$K$8,"")</f>
        <v/>
      </c>
      <c r="G376" s="310" t="str">
        <f>IF(AND(ISNUMBER('Funnel setup'!P388),D376&gt;=30,E376&lt;&gt;"*"),F376-1.959963985 *('Funnel setup'!$K$7/SQRT('Funnel Data'!D376)),"")</f>
        <v/>
      </c>
      <c r="H376" s="310" t="str">
        <f>IF(AND(ISNUMBER('Funnel setup'!P388),D376&gt;=30,E376&lt;&gt;"*"),F376+1.959963985 *('Funnel setup'!$K$7/SQRT('Funnel Data'!D376)),"")</f>
        <v/>
      </c>
      <c r="I376" s="310" t="str">
        <f>IF(AND(ISNUMBER('Funnel setup'!P388),D376&gt;=30,E376&lt;&gt;"*"),F376-3.090232306 *('Funnel setup'!$K$7/SQRT('Funnel Data'!D376)),"")</f>
        <v/>
      </c>
      <c r="J376" s="310" t="str">
        <f>IF(AND(ISNUMBER('Funnel setup'!P388),D376&gt;=30,E376&lt;&gt;"*"),F376+3.090232306 *('Funnel setup'!$K$7/SQRT('Funnel Data'!D376)),"")</f>
        <v/>
      </c>
      <c r="K376" s="311" t="str">
        <f>IF(AND(ISNUMBER('Funnel setup'!P388),D376&gt;=30,E376&lt;&gt;"*"),IF(E376&gt;J376,'Funnel setup'!$K$14&amp;"99.8%",IF(E376&gt;H376,'Funnel setup'!$K$14&amp;"95%",IF(E376&lt;I376,'Funnel setup'!$K$15&amp;"99.8%",IF(E376&lt;G376,'Funnel setup'!$K$15&amp;"95%","")))),"")</f>
        <v/>
      </c>
    </row>
    <row r="377" spans="2:11" ht="15" x14ac:dyDescent="0.2">
      <c r="B377" s="307" t="str">
        <f>IF(ISNUMBER('Funnel setup'!P389),VLOOKUP('Funnel setup'!$P389,'Provider Commission - Raw Data'!$A:$Q,5,0),"")</f>
        <v/>
      </c>
      <c r="C377" s="308" t="str">
        <f>IF(ISNUMBER('Funnel setup'!P389),VLOOKUP('Funnel setup'!P389,'Provider Commission - Raw Data'!$A:$Q,6,0),"")</f>
        <v/>
      </c>
      <c r="D377" s="309" t="str">
        <f>IF(ISNUMBER('Funnel setup'!P389),VLOOKUP('Funnel setup'!P389,'Provider Commission - Raw Data'!$A:$Q,8,0),"")</f>
        <v/>
      </c>
      <c r="E377" s="446" t="str">
        <f>IF(ISNUMBER('Funnel setup'!P389),VLOOKUP('Funnel setup'!P389,'Provider Commission - Raw Data'!$A:$Q,16,0),"")</f>
        <v/>
      </c>
      <c r="F377" s="310" t="str">
        <f>IF(ISNUMBER('Funnel setup'!P389),'Funnel setup'!$K$8,"")</f>
        <v/>
      </c>
      <c r="G377" s="310" t="str">
        <f>IF(AND(ISNUMBER('Funnel setup'!P389),D377&gt;=30,E377&lt;&gt;"*"),F377-1.959963985 *('Funnel setup'!$K$7/SQRT('Funnel Data'!D377)),"")</f>
        <v/>
      </c>
      <c r="H377" s="310" t="str">
        <f>IF(AND(ISNUMBER('Funnel setup'!P389),D377&gt;=30,E377&lt;&gt;"*"),F377+1.959963985 *('Funnel setup'!$K$7/SQRT('Funnel Data'!D377)),"")</f>
        <v/>
      </c>
      <c r="I377" s="310" t="str">
        <f>IF(AND(ISNUMBER('Funnel setup'!P389),D377&gt;=30,E377&lt;&gt;"*"),F377-3.090232306 *('Funnel setup'!$K$7/SQRT('Funnel Data'!D377)),"")</f>
        <v/>
      </c>
      <c r="J377" s="310" t="str">
        <f>IF(AND(ISNUMBER('Funnel setup'!P389),D377&gt;=30,E377&lt;&gt;"*"),F377+3.090232306 *('Funnel setup'!$K$7/SQRT('Funnel Data'!D377)),"")</f>
        <v/>
      </c>
      <c r="K377" s="311" t="str">
        <f>IF(AND(ISNUMBER('Funnel setup'!P389),D377&gt;=30,E377&lt;&gt;"*"),IF(E377&gt;J377,'Funnel setup'!$K$14&amp;"99.8%",IF(E377&gt;H377,'Funnel setup'!$K$14&amp;"95%",IF(E377&lt;I377,'Funnel setup'!$K$15&amp;"99.8%",IF(E377&lt;G377,'Funnel setup'!$K$15&amp;"95%","")))),"")</f>
        <v/>
      </c>
    </row>
    <row r="378" spans="2:11" ht="15" x14ac:dyDescent="0.2">
      <c r="B378" s="307" t="str">
        <f>IF(ISNUMBER('Funnel setup'!P390),VLOOKUP('Funnel setup'!$P390,'Provider Commission - Raw Data'!$A:$Q,5,0),"")</f>
        <v/>
      </c>
      <c r="C378" s="308" t="str">
        <f>IF(ISNUMBER('Funnel setup'!P390),VLOOKUP('Funnel setup'!P390,'Provider Commission - Raw Data'!$A:$Q,6,0),"")</f>
        <v/>
      </c>
      <c r="D378" s="309" t="str">
        <f>IF(ISNUMBER('Funnel setup'!P390),VLOOKUP('Funnel setup'!P390,'Provider Commission - Raw Data'!$A:$Q,8,0),"")</f>
        <v/>
      </c>
      <c r="E378" s="446" t="str">
        <f>IF(ISNUMBER('Funnel setup'!P390),VLOOKUP('Funnel setup'!P390,'Provider Commission - Raw Data'!$A:$Q,16,0),"")</f>
        <v/>
      </c>
      <c r="F378" s="310" t="str">
        <f>IF(ISNUMBER('Funnel setup'!P390),'Funnel setup'!$K$8,"")</f>
        <v/>
      </c>
      <c r="G378" s="310" t="str">
        <f>IF(AND(ISNUMBER('Funnel setup'!P390),D378&gt;=30,E378&lt;&gt;"*"),F378-1.959963985 *('Funnel setup'!$K$7/SQRT('Funnel Data'!D378)),"")</f>
        <v/>
      </c>
      <c r="H378" s="310" t="str">
        <f>IF(AND(ISNUMBER('Funnel setup'!P390),D378&gt;=30,E378&lt;&gt;"*"),F378+1.959963985 *('Funnel setup'!$K$7/SQRT('Funnel Data'!D378)),"")</f>
        <v/>
      </c>
      <c r="I378" s="310" t="str">
        <f>IF(AND(ISNUMBER('Funnel setup'!P390),D378&gt;=30,E378&lt;&gt;"*"),F378-3.090232306 *('Funnel setup'!$K$7/SQRT('Funnel Data'!D378)),"")</f>
        <v/>
      </c>
      <c r="J378" s="310" t="str">
        <f>IF(AND(ISNUMBER('Funnel setup'!P390),D378&gt;=30,E378&lt;&gt;"*"),F378+3.090232306 *('Funnel setup'!$K$7/SQRT('Funnel Data'!D378)),"")</f>
        <v/>
      </c>
      <c r="K378" s="311" t="str">
        <f>IF(AND(ISNUMBER('Funnel setup'!P390),D378&gt;=30,E378&lt;&gt;"*"),IF(E378&gt;J378,'Funnel setup'!$K$14&amp;"99.8%",IF(E378&gt;H378,'Funnel setup'!$K$14&amp;"95%",IF(E378&lt;I378,'Funnel setup'!$K$15&amp;"99.8%",IF(E378&lt;G378,'Funnel setup'!$K$15&amp;"95%","")))),"")</f>
        <v/>
      </c>
    </row>
    <row r="379" spans="2:11" ht="15" x14ac:dyDescent="0.2">
      <c r="B379" s="307" t="str">
        <f>IF(ISNUMBER('Funnel setup'!P391),VLOOKUP('Funnel setup'!$P391,'Provider Commission - Raw Data'!$A:$Q,5,0),"")</f>
        <v/>
      </c>
      <c r="C379" s="308" t="str">
        <f>IF(ISNUMBER('Funnel setup'!P391),VLOOKUP('Funnel setup'!P391,'Provider Commission - Raw Data'!$A:$Q,6,0),"")</f>
        <v/>
      </c>
      <c r="D379" s="309" t="str">
        <f>IF(ISNUMBER('Funnel setup'!P391),VLOOKUP('Funnel setup'!P391,'Provider Commission - Raw Data'!$A:$Q,8,0),"")</f>
        <v/>
      </c>
      <c r="E379" s="446" t="str">
        <f>IF(ISNUMBER('Funnel setup'!P391),VLOOKUP('Funnel setup'!P391,'Provider Commission - Raw Data'!$A:$Q,16,0),"")</f>
        <v/>
      </c>
      <c r="F379" s="310" t="str">
        <f>IF(ISNUMBER('Funnel setup'!P391),'Funnel setup'!$K$8,"")</f>
        <v/>
      </c>
      <c r="G379" s="310" t="str">
        <f>IF(AND(ISNUMBER('Funnel setup'!P391),D379&gt;=30,E379&lt;&gt;"*"),F379-1.959963985 *('Funnel setup'!$K$7/SQRT('Funnel Data'!D379)),"")</f>
        <v/>
      </c>
      <c r="H379" s="310" t="str">
        <f>IF(AND(ISNUMBER('Funnel setup'!P391),D379&gt;=30,E379&lt;&gt;"*"),F379+1.959963985 *('Funnel setup'!$K$7/SQRT('Funnel Data'!D379)),"")</f>
        <v/>
      </c>
      <c r="I379" s="310" t="str">
        <f>IF(AND(ISNUMBER('Funnel setup'!P391),D379&gt;=30,E379&lt;&gt;"*"),F379-3.090232306 *('Funnel setup'!$K$7/SQRT('Funnel Data'!D379)),"")</f>
        <v/>
      </c>
      <c r="J379" s="310" t="str">
        <f>IF(AND(ISNUMBER('Funnel setup'!P391),D379&gt;=30,E379&lt;&gt;"*"),F379+3.090232306 *('Funnel setup'!$K$7/SQRT('Funnel Data'!D379)),"")</f>
        <v/>
      </c>
      <c r="K379" s="311" t="str">
        <f>IF(AND(ISNUMBER('Funnel setup'!P391),D379&gt;=30,E379&lt;&gt;"*"),IF(E379&gt;J379,'Funnel setup'!$K$14&amp;"99.8%",IF(E379&gt;H379,'Funnel setup'!$K$14&amp;"95%",IF(E379&lt;I379,'Funnel setup'!$K$15&amp;"99.8%",IF(E379&lt;G379,'Funnel setup'!$K$15&amp;"95%","")))),"")</f>
        <v/>
      </c>
    </row>
    <row r="380" spans="2:11" ht="15" x14ac:dyDescent="0.2">
      <c r="B380" s="307" t="str">
        <f>IF(ISNUMBER('Funnel setup'!P392),VLOOKUP('Funnel setup'!$P392,'Provider Commission - Raw Data'!$A:$Q,5,0),"")</f>
        <v/>
      </c>
      <c r="C380" s="308" t="str">
        <f>IF(ISNUMBER('Funnel setup'!P392),VLOOKUP('Funnel setup'!P392,'Provider Commission - Raw Data'!$A:$Q,6,0),"")</f>
        <v/>
      </c>
      <c r="D380" s="309" t="str">
        <f>IF(ISNUMBER('Funnel setup'!P392),VLOOKUP('Funnel setup'!P392,'Provider Commission - Raw Data'!$A:$Q,8,0),"")</f>
        <v/>
      </c>
      <c r="E380" s="446" t="str">
        <f>IF(ISNUMBER('Funnel setup'!P392),VLOOKUP('Funnel setup'!P392,'Provider Commission - Raw Data'!$A:$Q,16,0),"")</f>
        <v/>
      </c>
      <c r="F380" s="310" t="str">
        <f>IF(ISNUMBER('Funnel setup'!P392),'Funnel setup'!$K$8,"")</f>
        <v/>
      </c>
      <c r="G380" s="310" t="str">
        <f>IF(AND(ISNUMBER('Funnel setup'!P392),D380&gt;=30,E380&lt;&gt;"*"),F380-1.959963985 *('Funnel setup'!$K$7/SQRT('Funnel Data'!D380)),"")</f>
        <v/>
      </c>
      <c r="H380" s="310" t="str">
        <f>IF(AND(ISNUMBER('Funnel setup'!P392),D380&gt;=30,E380&lt;&gt;"*"),F380+1.959963985 *('Funnel setup'!$K$7/SQRT('Funnel Data'!D380)),"")</f>
        <v/>
      </c>
      <c r="I380" s="310" t="str">
        <f>IF(AND(ISNUMBER('Funnel setup'!P392),D380&gt;=30,E380&lt;&gt;"*"),F380-3.090232306 *('Funnel setup'!$K$7/SQRT('Funnel Data'!D380)),"")</f>
        <v/>
      </c>
      <c r="J380" s="310" t="str">
        <f>IF(AND(ISNUMBER('Funnel setup'!P392),D380&gt;=30,E380&lt;&gt;"*"),F380+3.090232306 *('Funnel setup'!$K$7/SQRT('Funnel Data'!D380)),"")</f>
        <v/>
      </c>
      <c r="K380" s="311" t="str">
        <f>IF(AND(ISNUMBER('Funnel setup'!P392),D380&gt;=30,E380&lt;&gt;"*"),IF(E380&gt;J380,'Funnel setup'!$K$14&amp;"99.8%",IF(E380&gt;H380,'Funnel setup'!$K$14&amp;"95%",IF(E380&lt;I380,'Funnel setup'!$K$15&amp;"99.8%",IF(E380&lt;G380,'Funnel setup'!$K$15&amp;"95%","")))),"")</f>
        <v/>
      </c>
    </row>
    <row r="381" spans="2:11" ht="15" x14ac:dyDescent="0.2">
      <c r="B381" s="307" t="str">
        <f>IF(ISNUMBER('Funnel setup'!P393),VLOOKUP('Funnel setup'!$P393,'Provider Commission - Raw Data'!$A:$Q,5,0),"")</f>
        <v/>
      </c>
      <c r="C381" s="308" t="str">
        <f>IF(ISNUMBER('Funnel setup'!P393),VLOOKUP('Funnel setup'!P393,'Provider Commission - Raw Data'!$A:$Q,6,0),"")</f>
        <v/>
      </c>
      <c r="D381" s="309" t="str">
        <f>IF(ISNUMBER('Funnel setup'!P393),VLOOKUP('Funnel setup'!P393,'Provider Commission - Raw Data'!$A:$Q,8,0),"")</f>
        <v/>
      </c>
      <c r="E381" s="446" t="str">
        <f>IF(ISNUMBER('Funnel setup'!P393),VLOOKUP('Funnel setup'!P393,'Provider Commission - Raw Data'!$A:$Q,16,0),"")</f>
        <v/>
      </c>
      <c r="F381" s="310" t="str">
        <f>IF(ISNUMBER('Funnel setup'!P393),'Funnel setup'!$K$8,"")</f>
        <v/>
      </c>
      <c r="G381" s="310" t="str">
        <f>IF(AND(ISNUMBER('Funnel setup'!P393),D381&gt;=30,E381&lt;&gt;"*"),F381-1.959963985 *('Funnel setup'!$K$7/SQRT('Funnel Data'!D381)),"")</f>
        <v/>
      </c>
      <c r="H381" s="310" t="str">
        <f>IF(AND(ISNUMBER('Funnel setup'!P393),D381&gt;=30,E381&lt;&gt;"*"),F381+1.959963985 *('Funnel setup'!$K$7/SQRT('Funnel Data'!D381)),"")</f>
        <v/>
      </c>
      <c r="I381" s="310" t="str">
        <f>IF(AND(ISNUMBER('Funnel setup'!P393),D381&gt;=30,E381&lt;&gt;"*"),F381-3.090232306 *('Funnel setup'!$K$7/SQRT('Funnel Data'!D381)),"")</f>
        <v/>
      </c>
      <c r="J381" s="310" t="str">
        <f>IF(AND(ISNUMBER('Funnel setup'!P393),D381&gt;=30,E381&lt;&gt;"*"),F381+3.090232306 *('Funnel setup'!$K$7/SQRT('Funnel Data'!D381)),"")</f>
        <v/>
      </c>
      <c r="K381" s="311" t="str">
        <f>IF(AND(ISNUMBER('Funnel setup'!P393),D381&gt;=30,E381&lt;&gt;"*"),IF(E381&gt;J381,'Funnel setup'!$K$14&amp;"99.8%",IF(E381&gt;H381,'Funnel setup'!$K$14&amp;"95%",IF(E381&lt;I381,'Funnel setup'!$K$15&amp;"99.8%",IF(E381&lt;G381,'Funnel setup'!$K$15&amp;"95%","")))),"")</f>
        <v/>
      </c>
    </row>
    <row r="382" spans="2:11" ht="15" x14ac:dyDescent="0.2">
      <c r="B382" s="307" t="str">
        <f>IF(ISNUMBER('Funnel setup'!P394),VLOOKUP('Funnel setup'!$P394,'Provider Commission - Raw Data'!$A:$Q,5,0),"")</f>
        <v/>
      </c>
      <c r="C382" s="308" t="str">
        <f>IF(ISNUMBER('Funnel setup'!P394),VLOOKUP('Funnel setup'!P394,'Provider Commission - Raw Data'!$A:$Q,6,0),"")</f>
        <v/>
      </c>
      <c r="D382" s="309" t="str">
        <f>IF(ISNUMBER('Funnel setup'!P394),VLOOKUP('Funnel setup'!P394,'Provider Commission - Raw Data'!$A:$Q,8,0),"")</f>
        <v/>
      </c>
      <c r="E382" s="446" t="str">
        <f>IF(ISNUMBER('Funnel setup'!P394),VLOOKUP('Funnel setup'!P394,'Provider Commission - Raw Data'!$A:$Q,16,0),"")</f>
        <v/>
      </c>
      <c r="F382" s="310" t="str">
        <f>IF(ISNUMBER('Funnel setup'!P394),'Funnel setup'!$K$8,"")</f>
        <v/>
      </c>
      <c r="G382" s="310" t="str">
        <f>IF(AND(ISNUMBER('Funnel setup'!P394),D382&gt;=30,E382&lt;&gt;"*"),F382-1.959963985 *('Funnel setup'!$K$7/SQRT('Funnel Data'!D382)),"")</f>
        <v/>
      </c>
      <c r="H382" s="310" t="str">
        <f>IF(AND(ISNUMBER('Funnel setup'!P394),D382&gt;=30,E382&lt;&gt;"*"),F382+1.959963985 *('Funnel setup'!$K$7/SQRT('Funnel Data'!D382)),"")</f>
        <v/>
      </c>
      <c r="I382" s="310" t="str">
        <f>IF(AND(ISNUMBER('Funnel setup'!P394),D382&gt;=30,E382&lt;&gt;"*"),F382-3.090232306 *('Funnel setup'!$K$7/SQRT('Funnel Data'!D382)),"")</f>
        <v/>
      </c>
      <c r="J382" s="310" t="str">
        <f>IF(AND(ISNUMBER('Funnel setup'!P394),D382&gt;=30,E382&lt;&gt;"*"),F382+3.090232306 *('Funnel setup'!$K$7/SQRT('Funnel Data'!D382)),"")</f>
        <v/>
      </c>
      <c r="K382" s="311" t="str">
        <f>IF(AND(ISNUMBER('Funnel setup'!P394),D382&gt;=30,E382&lt;&gt;"*"),IF(E382&gt;J382,'Funnel setup'!$K$14&amp;"99.8%",IF(E382&gt;H382,'Funnel setup'!$K$14&amp;"95%",IF(E382&lt;I382,'Funnel setup'!$K$15&amp;"99.8%",IF(E382&lt;G382,'Funnel setup'!$K$15&amp;"95%","")))),"")</f>
        <v/>
      </c>
    </row>
    <row r="383" spans="2:11" ht="15" x14ac:dyDescent="0.2">
      <c r="B383" s="307" t="str">
        <f>IF(ISNUMBER('Funnel setup'!P395),VLOOKUP('Funnel setup'!$P395,'Provider Commission - Raw Data'!$A:$Q,5,0),"")</f>
        <v/>
      </c>
      <c r="C383" s="308" t="str">
        <f>IF(ISNUMBER('Funnel setup'!P395),VLOOKUP('Funnel setup'!P395,'Provider Commission - Raw Data'!$A:$Q,6,0),"")</f>
        <v/>
      </c>
      <c r="D383" s="309" t="str">
        <f>IF(ISNUMBER('Funnel setup'!P395),VLOOKUP('Funnel setup'!P395,'Provider Commission - Raw Data'!$A:$Q,8,0),"")</f>
        <v/>
      </c>
      <c r="E383" s="446" t="str">
        <f>IF(ISNUMBER('Funnel setup'!P395),VLOOKUP('Funnel setup'!P395,'Provider Commission - Raw Data'!$A:$Q,16,0),"")</f>
        <v/>
      </c>
      <c r="F383" s="310" t="str">
        <f>IF(ISNUMBER('Funnel setup'!P395),'Funnel setup'!$K$8,"")</f>
        <v/>
      </c>
      <c r="G383" s="310" t="str">
        <f>IF(AND(ISNUMBER('Funnel setup'!P395),D383&gt;=30,E383&lt;&gt;"*"),F383-1.959963985 *('Funnel setup'!$K$7/SQRT('Funnel Data'!D383)),"")</f>
        <v/>
      </c>
      <c r="H383" s="310" t="str">
        <f>IF(AND(ISNUMBER('Funnel setup'!P395),D383&gt;=30,E383&lt;&gt;"*"),F383+1.959963985 *('Funnel setup'!$K$7/SQRT('Funnel Data'!D383)),"")</f>
        <v/>
      </c>
      <c r="I383" s="310" t="str">
        <f>IF(AND(ISNUMBER('Funnel setup'!P395),D383&gt;=30,E383&lt;&gt;"*"),F383-3.090232306 *('Funnel setup'!$K$7/SQRT('Funnel Data'!D383)),"")</f>
        <v/>
      </c>
      <c r="J383" s="310" t="str">
        <f>IF(AND(ISNUMBER('Funnel setup'!P395),D383&gt;=30,E383&lt;&gt;"*"),F383+3.090232306 *('Funnel setup'!$K$7/SQRT('Funnel Data'!D383)),"")</f>
        <v/>
      </c>
      <c r="K383" s="311" t="str">
        <f>IF(AND(ISNUMBER('Funnel setup'!P395),D383&gt;=30,E383&lt;&gt;"*"),IF(E383&gt;J383,'Funnel setup'!$K$14&amp;"99.8%",IF(E383&gt;H383,'Funnel setup'!$K$14&amp;"95%",IF(E383&lt;I383,'Funnel setup'!$K$15&amp;"99.8%",IF(E383&lt;G383,'Funnel setup'!$K$15&amp;"95%","")))),"")</f>
        <v/>
      </c>
    </row>
    <row r="384" spans="2:11" ht="15" x14ac:dyDescent="0.2">
      <c r="B384" s="307" t="str">
        <f>IF(ISNUMBER('Funnel setup'!P396),VLOOKUP('Funnel setup'!$P396,'Provider Commission - Raw Data'!$A:$Q,5,0),"")</f>
        <v/>
      </c>
      <c r="C384" s="308" t="str">
        <f>IF(ISNUMBER('Funnel setup'!P396),VLOOKUP('Funnel setup'!P396,'Provider Commission - Raw Data'!$A:$Q,6,0),"")</f>
        <v/>
      </c>
      <c r="D384" s="309" t="str">
        <f>IF(ISNUMBER('Funnel setup'!P396),VLOOKUP('Funnel setup'!P396,'Provider Commission - Raw Data'!$A:$Q,8,0),"")</f>
        <v/>
      </c>
      <c r="E384" s="446" t="str">
        <f>IF(ISNUMBER('Funnel setup'!P396),VLOOKUP('Funnel setup'!P396,'Provider Commission - Raw Data'!$A:$Q,16,0),"")</f>
        <v/>
      </c>
      <c r="F384" s="310" t="str">
        <f>IF(ISNUMBER('Funnel setup'!P396),'Funnel setup'!$K$8,"")</f>
        <v/>
      </c>
      <c r="G384" s="310" t="str">
        <f>IF(AND(ISNUMBER('Funnel setup'!P396),D384&gt;=30,E384&lt;&gt;"*"),F384-1.959963985 *('Funnel setup'!$K$7/SQRT('Funnel Data'!D384)),"")</f>
        <v/>
      </c>
      <c r="H384" s="310" t="str">
        <f>IF(AND(ISNUMBER('Funnel setup'!P396),D384&gt;=30,E384&lt;&gt;"*"),F384+1.959963985 *('Funnel setup'!$K$7/SQRT('Funnel Data'!D384)),"")</f>
        <v/>
      </c>
      <c r="I384" s="310" t="str">
        <f>IF(AND(ISNUMBER('Funnel setup'!P396),D384&gt;=30,E384&lt;&gt;"*"),F384-3.090232306 *('Funnel setup'!$K$7/SQRT('Funnel Data'!D384)),"")</f>
        <v/>
      </c>
      <c r="J384" s="310" t="str">
        <f>IF(AND(ISNUMBER('Funnel setup'!P396),D384&gt;=30,E384&lt;&gt;"*"),F384+3.090232306 *('Funnel setup'!$K$7/SQRT('Funnel Data'!D384)),"")</f>
        <v/>
      </c>
      <c r="K384" s="311" t="str">
        <f>IF(AND(ISNUMBER('Funnel setup'!P396),D384&gt;=30,E384&lt;&gt;"*"),IF(E384&gt;J384,'Funnel setup'!$K$14&amp;"99.8%",IF(E384&gt;H384,'Funnel setup'!$K$14&amp;"95%",IF(E384&lt;I384,'Funnel setup'!$K$15&amp;"99.8%",IF(E384&lt;G384,'Funnel setup'!$K$15&amp;"95%","")))),"")</f>
        <v/>
      </c>
    </row>
    <row r="385" spans="2:11" ht="15" x14ac:dyDescent="0.2">
      <c r="B385" s="307" t="str">
        <f>IF(ISNUMBER('Funnel setup'!P397),VLOOKUP('Funnel setup'!$P397,'Provider Commission - Raw Data'!$A:$Q,5,0),"")</f>
        <v/>
      </c>
      <c r="C385" s="308" t="str">
        <f>IF(ISNUMBER('Funnel setup'!P397),VLOOKUP('Funnel setup'!P397,'Provider Commission - Raw Data'!$A:$Q,6,0),"")</f>
        <v/>
      </c>
      <c r="D385" s="309" t="str">
        <f>IF(ISNUMBER('Funnel setup'!P397),VLOOKUP('Funnel setup'!P397,'Provider Commission - Raw Data'!$A:$Q,8,0),"")</f>
        <v/>
      </c>
      <c r="E385" s="446" t="str">
        <f>IF(ISNUMBER('Funnel setup'!P397),VLOOKUP('Funnel setup'!P397,'Provider Commission - Raw Data'!$A:$Q,16,0),"")</f>
        <v/>
      </c>
      <c r="F385" s="310" t="str">
        <f>IF(ISNUMBER('Funnel setup'!P397),'Funnel setup'!$K$8,"")</f>
        <v/>
      </c>
      <c r="G385" s="310" t="str">
        <f>IF(AND(ISNUMBER('Funnel setup'!P397),D385&gt;=30,E385&lt;&gt;"*"),F385-1.959963985 *('Funnel setup'!$K$7/SQRT('Funnel Data'!D385)),"")</f>
        <v/>
      </c>
      <c r="H385" s="310" t="str">
        <f>IF(AND(ISNUMBER('Funnel setup'!P397),D385&gt;=30,E385&lt;&gt;"*"),F385+1.959963985 *('Funnel setup'!$K$7/SQRT('Funnel Data'!D385)),"")</f>
        <v/>
      </c>
      <c r="I385" s="310" t="str">
        <f>IF(AND(ISNUMBER('Funnel setup'!P397),D385&gt;=30,E385&lt;&gt;"*"),F385-3.090232306 *('Funnel setup'!$K$7/SQRT('Funnel Data'!D385)),"")</f>
        <v/>
      </c>
      <c r="J385" s="310" t="str">
        <f>IF(AND(ISNUMBER('Funnel setup'!P397),D385&gt;=30,E385&lt;&gt;"*"),F385+3.090232306 *('Funnel setup'!$K$7/SQRT('Funnel Data'!D385)),"")</f>
        <v/>
      </c>
      <c r="K385" s="311" t="str">
        <f>IF(AND(ISNUMBER('Funnel setup'!P397),D385&gt;=30,E385&lt;&gt;"*"),IF(E385&gt;J385,'Funnel setup'!$K$14&amp;"99.8%",IF(E385&gt;H385,'Funnel setup'!$K$14&amp;"95%",IF(E385&lt;I385,'Funnel setup'!$K$15&amp;"99.8%",IF(E385&lt;G385,'Funnel setup'!$K$15&amp;"95%","")))),"")</f>
        <v/>
      </c>
    </row>
    <row r="386" spans="2:11" ht="15" x14ac:dyDescent="0.2">
      <c r="B386" s="307" t="str">
        <f>IF(ISNUMBER('Funnel setup'!P398),VLOOKUP('Funnel setup'!$P398,'Provider Commission - Raw Data'!$A:$Q,5,0),"")</f>
        <v/>
      </c>
      <c r="C386" s="308" t="str">
        <f>IF(ISNUMBER('Funnel setup'!P398),VLOOKUP('Funnel setup'!P398,'Provider Commission - Raw Data'!$A:$Q,6,0),"")</f>
        <v/>
      </c>
      <c r="D386" s="309" t="str">
        <f>IF(ISNUMBER('Funnel setup'!P398),VLOOKUP('Funnel setup'!P398,'Provider Commission - Raw Data'!$A:$Q,8,0),"")</f>
        <v/>
      </c>
      <c r="E386" s="446" t="str">
        <f>IF(ISNUMBER('Funnel setup'!P398),VLOOKUP('Funnel setup'!P398,'Provider Commission - Raw Data'!$A:$Q,16,0),"")</f>
        <v/>
      </c>
      <c r="F386" s="310" t="str">
        <f>IF(ISNUMBER('Funnel setup'!P398),'Funnel setup'!$K$8,"")</f>
        <v/>
      </c>
      <c r="G386" s="310" t="str">
        <f>IF(AND(ISNUMBER('Funnel setup'!P398),D386&gt;=30,E386&lt;&gt;"*"),F386-1.959963985 *('Funnel setup'!$K$7/SQRT('Funnel Data'!D386)),"")</f>
        <v/>
      </c>
      <c r="H386" s="310" t="str">
        <f>IF(AND(ISNUMBER('Funnel setup'!P398),D386&gt;=30,E386&lt;&gt;"*"),F386+1.959963985 *('Funnel setup'!$K$7/SQRT('Funnel Data'!D386)),"")</f>
        <v/>
      </c>
      <c r="I386" s="310" t="str">
        <f>IF(AND(ISNUMBER('Funnel setup'!P398),D386&gt;=30,E386&lt;&gt;"*"),F386-3.090232306 *('Funnel setup'!$K$7/SQRT('Funnel Data'!D386)),"")</f>
        <v/>
      </c>
      <c r="J386" s="310" t="str">
        <f>IF(AND(ISNUMBER('Funnel setup'!P398),D386&gt;=30,E386&lt;&gt;"*"),F386+3.090232306 *('Funnel setup'!$K$7/SQRT('Funnel Data'!D386)),"")</f>
        <v/>
      </c>
      <c r="K386" s="311" t="str">
        <f>IF(AND(ISNUMBER('Funnel setup'!P398),D386&gt;=30,E386&lt;&gt;"*"),IF(E386&gt;J386,'Funnel setup'!$K$14&amp;"99.8%",IF(E386&gt;H386,'Funnel setup'!$K$14&amp;"95%",IF(E386&lt;I386,'Funnel setup'!$K$15&amp;"99.8%",IF(E386&lt;G386,'Funnel setup'!$K$15&amp;"95%","")))),"")</f>
        <v/>
      </c>
    </row>
    <row r="387" spans="2:11" ht="15" x14ac:dyDescent="0.2">
      <c r="B387" s="307" t="str">
        <f>IF(ISNUMBER('Funnel setup'!P399),VLOOKUP('Funnel setup'!$P399,'Provider Commission - Raw Data'!$A:$Q,5,0),"")</f>
        <v/>
      </c>
      <c r="C387" s="308" t="str">
        <f>IF(ISNUMBER('Funnel setup'!P399),VLOOKUP('Funnel setup'!P399,'Provider Commission - Raw Data'!$A:$Q,6,0),"")</f>
        <v/>
      </c>
      <c r="D387" s="309" t="str">
        <f>IF(ISNUMBER('Funnel setup'!P399),VLOOKUP('Funnel setup'!P399,'Provider Commission - Raw Data'!$A:$Q,8,0),"")</f>
        <v/>
      </c>
      <c r="E387" s="446" t="str">
        <f>IF(ISNUMBER('Funnel setup'!P399),VLOOKUP('Funnel setup'!P399,'Provider Commission - Raw Data'!$A:$Q,16,0),"")</f>
        <v/>
      </c>
      <c r="F387" s="310" t="str">
        <f>IF(ISNUMBER('Funnel setup'!P399),'Funnel setup'!$K$8,"")</f>
        <v/>
      </c>
      <c r="G387" s="310" t="str">
        <f>IF(AND(ISNUMBER('Funnel setup'!P399),D387&gt;=30,E387&lt;&gt;"*"),F387-1.959963985 *('Funnel setup'!$K$7/SQRT('Funnel Data'!D387)),"")</f>
        <v/>
      </c>
      <c r="H387" s="310" t="str">
        <f>IF(AND(ISNUMBER('Funnel setup'!P399),D387&gt;=30,E387&lt;&gt;"*"),F387+1.959963985 *('Funnel setup'!$K$7/SQRT('Funnel Data'!D387)),"")</f>
        <v/>
      </c>
      <c r="I387" s="310" t="str">
        <f>IF(AND(ISNUMBER('Funnel setup'!P399),D387&gt;=30,E387&lt;&gt;"*"),F387-3.090232306 *('Funnel setup'!$K$7/SQRT('Funnel Data'!D387)),"")</f>
        <v/>
      </c>
      <c r="J387" s="310" t="str">
        <f>IF(AND(ISNUMBER('Funnel setup'!P399),D387&gt;=30,E387&lt;&gt;"*"),F387+3.090232306 *('Funnel setup'!$K$7/SQRT('Funnel Data'!D387)),"")</f>
        <v/>
      </c>
      <c r="K387" s="311" t="str">
        <f>IF(AND(ISNUMBER('Funnel setup'!P399),D387&gt;=30,E387&lt;&gt;"*"),IF(E387&gt;J387,'Funnel setup'!$K$14&amp;"99.8%",IF(E387&gt;H387,'Funnel setup'!$K$14&amp;"95%",IF(E387&lt;I387,'Funnel setup'!$K$15&amp;"99.8%",IF(E387&lt;G387,'Funnel setup'!$K$15&amp;"95%","")))),"")</f>
        <v/>
      </c>
    </row>
    <row r="388" spans="2:11" ht="15" x14ac:dyDescent="0.2">
      <c r="B388" s="307" t="str">
        <f>IF(ISNUMBER('Funnel setup'!P400),VLOOKUP('Funnel setup'!$P400,'Provider Commission - Raw Data'!$A:$Q,5,0),"")</f>
        <v/>
      </c>
      <c r="C388" s="308" t="str">
        <f>IF(ISNUMBER('Funnel setup'!P400),VLOOKUP('Funnel setup'!P400,'Provider Commission - Raw Data'!$A:$Q,6,0),"")</f>
        <v/>
      </c>
      <c r="D388" s="309" t="str">
        <f>IF(ISNUMBER('Funnel setup'!P400),VLOOKUP('Funnel setup'!P400,'Provider Commission - Raw Data'!$A:$Q,8,0),"")</f>
        <v/>
      </c>
      <c r="E388" s="446" t="str">
        <f>IF(ISNUMBER('Funnel setup'!P400),VLOOKUP('Funnel setup'!P400,'Provider Commission - Raw Data'!$A:$Q,16,0),"")</f>
        <v/>
      </c>
      <c r="F388" s="310" t="str">
        <f>IF(ISNUMBER('Funnel setup'!P400),'Funnel setup'!$K$8,"")</f>
        <v/>
      </c>
      <c r="G388" s="310" t="str">
        <f>IF(AND(ISNUMBER('Funnel setup'!P400),D388&gt;=30,E388&lt;&gt;"*"),F388-1.959963985 *('Funnel setup'!$K$7/SQRT('Funnel Data'!D388)),"")</f>
        <v/>
      </c>
      <c r="H388" s="310" t="str">
        <f>IF(AND(ISNUMBER('Funnel setup'!P400),D388&gt;=30,E388&lt;&gt;"*"),F388+1.959963985 *('Funnel setup'!$K$7/SQRT('Funnel Data'!D388)),"")</f>
        <v/>
      </c>
      <c r="I388" s="310" t="str">
        <f>IF(AND(ISNUMBER('Funnel setup'!P400),D388&gt;=30,E388&lt;&gt;"*"),F388-3.090232306 *('Funnel setup'!$K$7/SQRT('Funnel Data'!D388)),"")</f>
        <v/>
      </c>
      <c r="J388" s="310" t="str">
        <f>IF(AND(ISNUMBER('Funnel setup'!P400),D388&gt;=30,E388&lt;&gt;"*"),F388+3.090232306 *('Funnel setup'!$K$7/SQRT('Funnel Data'!D388)),"")</f>
        <v/>
      </c>
      <c r="K388" s="311" t="str">
        <f>IF(AND(ISNUMBER('Funnel setup'!P400),D388&gt;=30,E388&lt;&gt;"*"),IF(E388&gt;J388,'Funnel setup'!$K$14&amp;"99.8%",IF(E388&gt;H388,'Funnel setup'!$K$14&amp;"95%",IF(E388&lt;I388,'Funnel setup'!$K$15&amp;"99.8%",IF(E388&lt;G388,'Funnel setup'!$K$15&amp;"95%","")))),"")</f>
        <v/>
      </c>
    </row>
    <row r="389" spans="2:11" ht="15" x14ac:dyDescent="0.2">
      <c r="B389" s="307" t="str">
        <f>IF(ISNUMBER('Funnel setup'!P401),VLOOKUP('Funnel setup'!$P401,'Provider Commission - Raw Data'!$A:$Q,5,0),"")</f>
        <v/>
      </c>
      <c r="C389" s="308" t="str">
        <f>IF(ISNUMBER('Funnel setup'!P401),VLOOKUP('Funnel setup'!P401,'Provider Commission - Raw Data'!$A:$Q,6,0),"")</f>
        <v/>
      </c>
      <c r="D389" s="309" t="str">
        <f>IF(ISNUMBER('Funnel setup'!P401),VLOOKUP('Funnel setup'!P401,'Provider Commission - Raw Data'!$A:$Q,8,0),"")</f>
        <v/>
      </c>
      <c r="E389" s="446" t="str">
        <f>IF(ISNUMBER('Funnel setup'!P401),VLOOKUP('Funnel setup'!P401,'Provider Commission - Raw Data'!$A:$Q,16,0),"")</f>
        <v/>
      </c>
      <c r="F389" s="310" t="str">
        <f>IF(ISNUMBER('Funnel setup'!P401),'Funnel setup'!$K$8,"")</f>
        <v/>
      </c>
      <c r="G389" s="310" t="str">
        <f>IF(AND(ISNUMBER('Funnel setup'!P401),D389&gt;=30,E389&lt;&gt;"*"),F389-1.959963985 *('Funnel setup'!$K$7/SQRT('Funnel Data'!D389)),"")</f>
        <v/>
      </c>
      <c r="H389" s="310" t="str">
        <f>IF(AND(ISNUMBER('Funnel setup'!P401),D389&gt;=30,E389&lt;&gt;"*"),F389+1.959963985 *('Funnel setup'!$K$7/SQRT('Funnel Data'!D389)),"")</f>
        <v/>
      </c>
      <c r="I389" s="310" t="str">
        <f>IF(AND(ISNUMBER('Funnel setup'!P401),D389&gt;=30,E389&lt;&gt;"*"),F389-3.090232306 *('Funnel setup'!$K$7/SQRT('Funnel Data'!D389)),"")</f>
        <v/>
      </c>
      <c r="J389" s="310" t="str">
        <f>IF(AND(ISNUMBER('Funnel setup'!P401),D389&gt;=30,E389&lt;&gt;"*"),F389+3.090232306 *('Funnel setup'!$K$7/SQRT('Funnel Data'!D389)),"")</f>
        <v/>
      </c>
      <c r="K389" s="311" t="str">
        <f>IF(AND(ISNUMBER('Funnel setup'!P401),D389&gt;=30,E389&lt;&gt;"*"),IF(E389&gt;J389,'Funnel setup'!$K$14&amp;"99.8%",IF(E389&gt;H389,'Funnel setup'!$K$14&amp;"95%",IF(E389&lt;I389,'Funnel setup'!$K$15&amp;"99.8%",IF(E389&lt;G389,'Funnel setup'!$K$15&amp;"95%","")))),"")</f>
        <v/>
      </c>
    </row>
    <row r="390" spans="2:11" ht="15" x14ac:dyDescent="0.2">
      <c r="B390" s="307" t="str">
        <f>IF(ISNUMBER('Funnel setup'!P402),VLOOKUP('Funnel setup'!$P402,'Provider Commission - Raw Data'!$A:$Q,5,0),"")</f>
        <v/>
      </c>
      <c r="C390" s="308" t="str">
        <f>IF(ISNUMBER('Funnel setup'!P402),VLOOKUP('Funnel setup'!P402,'Provider Commission - Raw Data'!$A:$Q,6,0),"")</f>
        <v/>
      </c>
      <c r="D390" s="309" t="str">
        <f>IF(ISNUMBER('Funnel setup'!P402),VLOOKUP('Funnel setup'!P402,'Provider Commission - Raw Data'!$A:$Q,8,0),"")</f>
        <v/>
      </c>
      <c r="E390" s="446" t="str">
        <f>IF(ISNUMBER('Funnel setup'!P402),VLOOKUP('Funnel setup'!P402,'Provider Commission - Raw Data'!$A:$Q,16,0),"")</f>
        <v/>
      </c>
      <c r="F390" s="310" t="str">
        <f>IF(ISNUMBER('Funnel setup'!P402),'Funnel setup'!$K$8,"")</f>
        <v/>
      </c>
      <c r="G390" s="310" t="str">
        <f>IF(AND(ISNUMBER('Funnel setup'!P402),D390&gt;=30,E390&lt;&gt;"*"),F390-1.959963985 *('Funnel setup'!$K$7/SQRT('Funnel Data'!D390)),"")</f>
        <v/>
      </c>
      <c r="H390" s="310" t="str">
        <f>IF(AND(ISNUMBER('Funnel setup'!P402),D390&gt;=30,E390&lt;&gt;"*"),F390+1.959963985 *('Funnel setup'!$K$7/SQRT('Funnel Data'!D390)),"")</f>
        <v/>
      </c>
      <c r="I390" s="310" t="str">
        <f>IF(AND(ISNUMBER('Funnel setup'!P402),D390&gt;=30,E390&lt;&gt;"*"),F390-3.090232306 *('Funnel setup'!$K$7/SQRT('Funnel Data'!D390)),"")</f>
        <v/>
      </c>
      <c r="J390" s="310" t="str">
        <f>IF(AND(ISNUMBER('Funnel setup'!P402),D390&gt;=30,E390&lt;&gt;"*"),F390+3.090232306 *('Funnel setup'!$K$7/SQRT('Funnel Data'!D390)),"")</f>
        <v/>
      </c>
      <c r="K390" s="311" t="str">
        <f>IF(AND(ISNUMBER('Funnel setup'!P402),D390&gt;=30,E390&lt;&gt;"*"),IF(E390&gt;J390,'Funnel setup'!$K$14&amp;"99.8%",IF(E390&gt;H390,'Funnel setup'!$K$14&amp;"95%",IF(E390&lt;I390,'Funnel setup'!$K$15&amp;"99.8%",IF(E390&lt;G390,'Funnel setup'!$K$15&amp;"95%","")))),"")</f>
        <v/>
      </c>
    </row>
    <row r="391" spans="2:11" ht="15" x14ac:dyDescent="0.2">
      <c r="B391" s="307" t="str">
        <f>IF(ISNUMBER('Funnel setup'!P403),VLOOKUP('Funnel setup'!$P403,'Provider Commission - Raw Data'!$A:$Q,5,0),"")</f>
        <v/>
      </c>
      <c r="C391" s="308" t="str">
        <f>IF(ISNUMBER('Funnel setup'!P403),VLOOKUP('Funnel setup'!P403,'Provider Commission - Raw Data'!$A:$Q,6,0),"")</f>
        <v/>
      </c>
      <c r="D391" s="309" t="str">
        <f>IF(ISNUMBER('Funnel setup'!P403),VLOOKUP('Funnel setup'!P403,'Provider Commission - Raw Data'!$A:$Q,8,0),"")</f>
        <v/>
      </c>
      <c r="E391" s="446" t="str">
        <f>IF(ISNUMBER('Funnel setup'!P403),VLOOKUP('Funnel setup'!P403,'Provider Commission - Raw Data'!$A:$Q,16,0),"")</f>
        <v/>
      </c>
      <c r="F391" s="310" t="str">
        <f>IF(ISNUMBER('Funnel setup'!P403),'Funnel setup'!$K$8,"")</f>
        <v/>
      </c>
      <c r="G391" s="310" t="str">
        <f>IF(AND(ISNUMBER('Funnel setup'!P403),D391&gt;=30,E391&lt;&gt;"*"),F391-1.959963985 *('Funnel setup'!$K$7/SQRT('Funnel Data'!D391)),"")</f>
        <v/>
      </c>
      <c r="H391" s="310" t="str">
        <f>IF(AND(ISNUMBER('Funnel setup'!P403),D391&gt;=30,E391&lt;&gt;"*"),F391+1.959963985 *('Funnel setup'!$K$7/SQRT('Funnel Data'!D391)),"")</f>
        <v/>
      </c>
      <c r="I391" s="310" t="str">
        <f>IF(AND(ISNUMBER('Funnel setup'!P403),D391&gt;=30,E391&lt;&gt;"*"),F391-3.090232306 *('Funnel setup'!$K$7/SQRT('Funnel Data'!D391)),"")</f>
        <v/>
      </c>
      <c r="J391" s="310" t="str">
        <f>IF(AND(ISNUMBER('Funnel setup'!P403),D391&gt;=30,E391&lt;&gt;"*"),F391+3.090232306 *('Funnel setup'!$K$7/SQRT('Funnel Data'!D391)),"")</f>
        <v/>
      </c>
      <c r="K391" s="311" t="str">
        <f>IF(AND(ISNUMBER('Funnel setup'!P403),D391&gt;=30,E391&lt;&gt;"*"),IF(E391&gt;J391,'Funnel setup'!$K$14&amp;"99.8%",IF(E391&gt;H391,'Funnel setup'!$K$14&amp;"95%",IF(E391&lt;I391,'Funnel setup'!$K$15&amp;"99.8%",IF(E391&lt;G391,'Funnel setup'!$K$15&amp;"95%","")))),"")</f>
        <v/>
      </c>
    </row>
    <row r="392" spans="2:11" ht="15" x14ac:dyDescent="0.2">
      <c r="B392" s="307" t="str">
        <f>IF(ISNUMBER('Funnel setup'!P404),VLOOKUP('Funnel setup'!$P404,'Provider Commission - Raw Data'!$A:$Q,5,0),"")</f>
        <v/>
      </c>
      <c r="C392" s="308" t="str">
        <f>IF(ISNUMBER('Funnel setup'!P404),VLOOKUP('Funnel setup'!P404,'Provider Commission - Raw Data'!$A:$Q,6,0),"")</f>
        <v/>
      </c>
      <c r="D392" s="309" t="str">
        <f>IF(ISNUMBER('Funnel setup'!P404),VLOOKUP('Funnel setup'!P404,'Provider Commission - Raw Data'!$A:$Q,8,0),"")</f>
        <v/>
      </c>
      <c r="E392" s="446" t="str">
        <f>IF(ISNUMBER('Funnel setup'!P404),VLOOKUP('Funnel setup'!P404,'Provider Commission - Raw Data'!$A:$Q,16,0),"")</f>
        <v/>
      </c>
      <c r="F392" s="310" t="str">
        <f>IF(ISNUMBER('Funnel setup'!P404),'Funnel setup'!$K$8,"")</f>
        <v/>
      </c>
      <c r="G392" s="310" t="str">
        <f>IF(AND(ISNUMBER('Funnel setup'!P404),D392&gt;=30,E392&lt;&gt;"*"),F392-1.959963985 *('Funnel setup'!$K$7/SQRT('Funnel Data'!D392)),"")</f>
        <v/>
      </c>
      <c r="H392" s="310" t="str">
        <f>IF(AND(ISNUMBER('Funnel setup'!P404),D392&gt;=30,E392&lt;&gt;"*"),F392+1.959963985 *('Funnel setup'!$K$7/SQRT('Funnel Data'!D392)),"")</f>
        <v/>
      </c>
      <c r="I392" s="310" t="str">
        <f>IF(AND(ISNUMBER('Funnel setup'!P404),D392&gt;=30,E392&lt;&gt;"*"),F392-3.090232306 *('Funnel setup'!$K$7/SQRT('Funnel Data'!D392)),"")</f>
        <v/>
      </c>
      <c r="J392" s="310" t="str">
        <f>IF(AND(ISNUMBER('Funnel setup'!P404),D392&gt;=30,E392&lt;&gt;"*"),F392+3.090232306 *('Funnel setup'!$K$7/SQRT('Funnel Data'!D392)),"")</f>
        <v/>
      </c>
      <c r="K392" s="311" t="str">
        <f>IF(AND(ISNUMBER('Funnel setup'!P404),D392&gt;=30,E392&lt;&gt;"*"),IF(E392&gt;J392,'Funnel setup'!$K$14&amp;"99.8%",IF(E392&gt;H392,'Funnel setup'!$K$14&amp;"95%",IF(E392&lt;I392,'Funnel setup'!$K$15&amp;"99.8%",IF(E392&lt;G392,'Funnel setup'!$K$15&amp;"95%","")))),"")</f>
        <v/>
      </c>
    </row>
    <row r="393" spans="2:11" ht="15" x14ac:dyDescent="0.2">
      <c r="B393" s="307" t="str">
        <f>IF(ISNUMBER('Funnel setup'!P405),VLOOKUP('Funnel setup'!$P405,'Provider Commission - Raw Data'!$A:$Q,5,0),"")</f>
        <v/>
      </c>
      <c r="C393" s="308" t="str">
        <f>IF(ISNUMBER('Funnel setup'!P405),VLOOKUP('Funnel setup'!P405,'Provider Commission - Raw Data'!$A:$Q,6,0),"")</f>
        <v/>
      </c>
      <c r="D393" s="309" t="str">
        <f>IF(ISNUMBER('Funnel setup'!P405),VLOOKUP('Funnel setup'!P405,'Provider Commission - Raw Data'!$A:$Q,8,0),"")</f>
        <v/>
      </c>
      <c r="E393" s="446" t="str">
        <f>IF(ISNUMBER('Funnel setup'!P405),VLOOKUP('Funnel setup'!P405,'Provider Commission - Raw Data'!$A:$Q,16,0),"")</f>
        <v/>
      </c>
      <c r="F393" s="310" t="str">
        <f>IF(ISNUMBER('Funnel setup'!P405),'Funnel setup'!$K$8,"")</f>
        <v/>
      </c>
      <c r="G393" s="310" t="str">
        <f>IF(AND(ISNUMBER('Funnel setup'!P405),D393&gt;=30,E393&lt;&gt;"*"),F393-1.959963985 *('Funnel setup'!$K$7/SQRT('Funnel Data'!D393)),"")</f>
        <v/>
      </c>
      <c r="H393" s="310" t="str">
        <f>IF(AND(ISNUMBER('Funnel setup'!P405),D393&gt;=30,E393&lt;&gt;"*"),F393+1.959963985 *('Funnel setup'!$K$7/SQRT('Funnel Data'!D393)),"")</f>
        <v/>
      </c>
      <c r="I393" s="310" t="str">
        <f>IF(AND(ISNUMBER('Funnel setup'!P405),D393&gt;=30,E393&lt;&gt;"*"),F393-3.090232306 *('Funnel setup'!$K$7/SQRT('Funnel Data'!D393)),"")</f>
        <v/>
      </c>
      <c r="J393" s="310" t="str">
        <f>IF(AND(ISNUMBER('Funnel setup'!P405),D393&gt;=30,E393&lt;&gt;"*"),F393+3.090232306 *('Funnel setup'!$K$7/SQRT('Funnel Data'!D393)),"")</f>
        <v/>
      </c>
      <c r="K393" s="311" t="str">
        <f>IF(AND(ISNUMBER('Funnel setup'!P405),D393&gt;=30,E393&lt;&gt;"*"),IF(E393&gt;J393,'Funnel setup'!$K$14&amp;"99.8%",IF(E393&gt;H393,'Funnel setup'!$K$14&amp;"95%",IF(E393&lt;I393,'Funnel setup'!$K$15&amp;"99.8%",IF(E393&lt;G393,'Funnel setup'!$K$15&amp;"95%","")))),"")</f>
        <v/>
      </c>
    </row>
    <row r="394" spans="2:11" ht="15" x14ac:dyDescent="0.2">
      <c r="B394" s="307" t="str">
        <f>IF(ISNUMBER('Funnel setup'!P406),VLOOKUP('Funnel setup'!$P406,'Provider Commission - Raw Data'!$A:$Q,5,0),"")</f>
        <v/>
      </c>
      <c r="C394" s="308" t="str">
        <f>IF(ISNUMBER('Funnel setup'!P406),VLOOKUP('Funnel setup'!P406,'Provider Commission - Raw Data'!$A:$Q,6,0),"")</f>
        <v/>
      </c>
      <c r="D394" s="309" t="str">
        <f>IF(ISNUMBER('Funnel setup'!P406),VLOOKUP('Funnel setup'!P406,'Provider Commission - Raw Data'!$A:$Q,8,0),"")</f>
        <v/>
      </c>
      <c r="E394" s="446" t="str">
        <f>IF(ISNUMBER('Funnel setup'!P406),VLOOKUP('Funnel setup'!P406,'Provider Commission - Raw Data'!$A:$Q,16,0),"")</f>
        <v/>
      </c>
      <c r="F394" s="310" t="str">
        <f>IF(ISNUMBER('Funnel setup'!P406),'Funnel setup'!$K$8,"")</f>
        <v/>
      </c>
      <c r="G394" s="310" t="str">
        <f>IF(AND(ISNUMBER('Funnel setup'!P406),D394&gt;=30,E394&lt;&gt;"*"),F394-1.959963985 *('Funnel setup'!$K$7/SQRT('Funnel Data'!D394)),"")</f>
        <v/>
      </c>
      <c r="H394" s="310" t="str">
        <f>IF(AND(ISNUMBER('Funnel setup'!P406),D394&gt;=30,E394&lt;&gt;"*"),F394+1.959963985 *('Funnel setup'!$K$7/SQRT('Funnel Data'!D394)),"")</f>
        <v/>
      </c>
      <c r="I394" s="310" t="str">
        <f>IF(AND(ISNUMBER('Funnel setup'!P406),D394&gt;=30,E394&lt;&gt;"*"),F394-3.090232306 *('Funnel setup'!$K$7/SQRT('Funnel Data'!D394)),"")</f>
        <v/>
      </c>
      <c r="J394" s="310" t="str">
        <f>IF(AND(ISNUMBER('Funnel setup'!P406),D394&gt;=30,E394&lt;&gt;"*"),F394+3.090232306 *('Funnel setup'!$K$7/SQRT('Funnel Data'!D394)),"")</f>
        <v/>
      </c>
      <c r="K394" s="311" t="str">
        <f>IF(AND(ISNUMBER('Funnel setup'!P406),D394&gt;=30,E394&lt;&gt;"*"),IF(E394&gt;J394,'Funnel setup'!$K$14&amp;"99.8%",IF(E394&gt;H394,'Funnel setup'!$K$14&amp;"95%",IF(E394&lt;I394,'Funnel setup'!$K$15&amp;"99.8%",IF(E394&lt;G394,'Funnel setup'!$K$15&amp;"95%","")))),"")</f>
        <v/>
      </c>
    </row>
    <row r="395" spans="2:11" ht="15" x14ac:dyDescent="0.2">
      <c r="B395" s="307" t="str">
        <f>IF(ISNUMBER('Funnel setup'!P407),VLOOKUP('Funnel setup'!$P407,'Provider Commission - Raw Data'!$A:$Q,5,0),"")</f>
        <v/>
      </c>
      <c r="C395" s="308" t="str">
        <f>IF(ISNUMBER('Funnel setup'!P407),VLOOKUP('Funnel setup'!P407,'Provider Commission - Raw Data'!$A:$Q,6,0),"")</f>
        <v/>
      </c>
      <c r="D395" s="309" t="str">
        <f>IF(ISNUMBER('Funnel setup'!P407),VLOOKUP('Funnel setup'!P407,'Provider Commission - Raw Data'!$A:$Q,8,0),"")</f>
        <v/>
      </c>
      <c r="E395" s="446" t="str">
        <f>IF(ISNUMBER('Funnel setup'!P407),VLOOKUP('Funnel setup'!P407,'Provider Commission - Raw Data'!$A:$Q,16,0),"")</f>
        <v/>
      </c>
      <c r="F395" s="310" t="str">
        <f>IF(ISNUMBER('Funnel setup'!P407),'Funnel setup'!$K$8,"")</f>
        <v/>
      </c>
      <c r="G395" s="310" t="str">
        <f>IF(AND(ISNUMBER('Funnel setup'!P407),D395&gt;=30,E395&lt;&gt;"*"),F395-1.959963985 *('Funnel setup'!$K$7/SQRT('Funnel Data'!D395)),"")</f>
        <v/>
      </c>
      <c r="H395" s="310" t="str">
        <f>IF(AND(ISNUMBER('Funnel setup'!P407),D395&gt;=30,E395&lt;&gt;"*"),F395+1.959963985 *('Funnel setup'!$K$7/SQRT('Funnel Data'!D395)),"")</f>
        <v/>
      </c>
      <c r="I395" s="310" t="str">
        <f>IF(AND(ISNUMBER('Funnel setup'!P407),D395&gt;=30,E395&lt;&gt;"*"),F395-3.090232306 *('Funnel setup'!$K$7/SQRT('Funnel Data'!D395)),"")</f>
        <v/>
      </c>
      <c r="J395" s="310" t="str">
        <f>IF(AND(ISNUMBER('Funnel setup'!P407),D395&gt;=30,E395&lt;&gt;"*"),F395+3.090232306 *('Funnel setup'!$K$7/SQRT('Funnel Data'!D395)),"")</f>
        <v/>
      </c>
      <c r="K395" s="311" t="str">
        <f>IF(AND(ISNUMBER('Funnel setup'!P407),D395&gt;=30,E395&lt;&gt;"*"),IF(E395&gt;J395,'Funnel setup'!$K$14&amp;"99.8%",IF(E395&gt;H395,'Funnel setup'!$K$14&amp;"95%",IF(E395&lt;I395,'Funnel setup'!$K$15&amp;"99.8%",IF(E395&lt;G395,'Funnel setup'!$K$15&amp;"95%","")))),"")</f>
        <v/>
      </c>
    </row>
    <row r="396" spans="2:11" ht="15" x14ac:dyDescent="0.2">
      <c r="B396" s="307" t="str">
        <f>IF(ISNUMBER('Funnel setup'!P408),VLOOKUP('Funnel setup'!$P408,'Provider Commission - Raw Data'!$A:$Q,5,0),"")</f>
        <v/>
      </c>
      <c r="C396" s="308" t="str">
        <f>IF(ISNUMBER('Funnel setup'!P408),VLOOKUP('Funnel setup'!P408,'Provider Commission - Raw Data'!$A:$Q,6,0),"")</f>
        <v/>
      </c>
      <c r="D396" s="309" t="str">
        <f>IF(ISNUMBER('Funnel setup'!P408),VLOOKUP('Funnel setup'!P408,'Provider Commission - Raw Data'!$A:$Q,8,0),"")</f>
        <v/>
      </c>
      <c r="E396" s="446" t="str">
        <f>IF(ISNUMBER('Funnel setup'!P408),VLOOKUP('Funnel setup'!P408,'Provider Commission - Raw Data'!$A:$Q,16,0),"")</f>
        <v/>
      </c>
      <c r="F396" s="310" t="str">
        <f>IF(ISNUMBER('Funnel setup'!P408),'Funnel setup'!$K$8,"")</f>
        <v/>
      </c>
      <c r="G396" s="310" t="str">
        <f>IF(AND(ISNUMBER('Funnel setup'!P408),D396&gt;=30,E396&lt;&gt;"*"),F396-1.959963985 *('Funnel setup'!$K$7/SQRT('Funnel Data'!D396)),"")</f>
        <v/>
      </c>
      <c r="H396" s="310" t="str">
        <f>IF(AND(ISNUMBER('Funnel setup'!P408),D396&gt;=30,E396&lt;&gt;"*"),F396+1.959963985 *('Funnel setup'!$K$7/SQRT('Funnel Data'!D396)),"")</f>
        <v/>
      </c>
      <c r="I396" s="310" t="str">
        <f>IF(AND(ISNUMBER('Funnel setup'!P408),D396&gt;=30,E396&lt;&gt;"*"),F396-3.090232306 *('Funnel setup'!$K$7/SQRT('Funnel Data'!D396)),"")</f>
        <v/>
      </c>
      <c r="J396" s="310" t="str">
        <f>IF(AND(ISNUMBER('Funnel setup'!P408),D396&gt;=30,E396&lt;&gt;"*"),F396+3.090232306 *('Funnel setup'!$K$7/SQRT('Funnel Data'!D396)),"")</f>
        <v/>
      </c>
      <c r="K396" s="311" t="str">
        <f>IF(AND(ISNUMBER('Funnel setup'!P408),D396&gt;=30,E396&lt;&gt;"*"),IF(E396&gt;J396,'Funnel setup'!$K$14&amp;"99.8%",IF(E396&gt;H396,'Funnel setup'!$K$14&amp;"95%",IF(E396&lt;I396,'Funnel setup'!$K$15&amp;"99.8%",IF(E396&lt;G396,'Funnel setup'!$K$15&amp;"95%","")))),"")</f>
        <v/>
      </c>
    </row>
    <row r="397" spans="2:11" ht="15" x14ac:dyDescent="0.2">
      <c r="B397" s="307" t="str">
        <f>IF(ISNUMBER('Funnel setup'!P409),VLOOKUP('Funnel setup'!$P409,'Provider Commission - Raw Data'!$A:$Q,5,0),"")</f>
        <v/>
      </c>
      <c r="C397" s="308" t="str">
        <f>IF(ISNUMBER('Funnel setup'!P409),VLOOKUP('Funnel setup'!P409,'Provider Commission - Raw Data'!$A:$Q,6,0),"")</f>
        <v/>
      </c>
      <c r="D397" s="309" t="str">
        <f>IF(ISNUMBER('Funnel setup'!P409),VLOOKUP('Funnel setup'!P409,'Provider Commission - Raw Data'!$A:$Q,8,0),"")</f>
        <v/>
      </c>
      <c r="E397" s="446" t="str">
        <f>IF(ISNUMBER('Funnel setup'!P409),VLOOKUP('Funnel setup'!P409,'Provider Commission - Raw Data'!$A:$Q,16,0),"")</f>
        <v/>
      </c>
      <c r="F397" s="310" t="str">
        <f>IF(ISNUMBER('Funnel setup'!P409),'Funnel setup'!$K$8,"")</f>
        <v/>
      </c>
      <c r="G397" s="310" t="str">
        <f>IF(AND(ISNUMBER('Funnel setup'!P409),D397&gt;=30,E397&lt;&gt;"*"),F397-1.959963985 *('Funnel setup'!$K$7/SQRT('Funnel Data'!D397)),"")</f>
        <v/>
      </c>
      <c r="H397" s="310" t="str">
        <f>IF(AND(ISNUMBER('Funnel setup'!P409),D397&gt;=30,E397&lt;&gt;"*"),F397+1.959963985 *('Funnel setup'!$K$7/SQRT('Funnel Data'!D397)),"")</f>
        <v/>
      </c>
      <c r="I397" s="310" t="str">
        <f>IF(AND(ISNUMBER('Funnel setup'!P409),D397&gt;=30,E397&lt;&gt;"*"),F397-3.090232306 *('Funnel setup'!$K$7/SQRT('Funnel Data'!D397)),"")</f>
        <v/>
      </c>
      <c r="J397" s="310" t="str">
        <f>IF(AND(ISNUMBER('Funnel setup'!P409),D397&gt;=30,E397&lt;&gt;"*"),F397+3.090232306 *('Funnel setup'!$K$7/SQRT('Funnel Data'!D397)),"")</f>
        <v/>
      </c>
      <c r="K397" s="311" t="str">
        <f>IF(AND(ISNUMBER('Funnel setup'!P409),D397&gt;=30,E397&lt;&gt;"*"),IF(E397&gt;J397,'Funnel setup'!$K$14&amp;"99.8%",IF(E397&gt;H397,'Funnel setup'!$K$14&amp;"95%",IF(E397&lt;I397,'Funnel setup'!$K$15&amp;"99.8%",IF(E397&lt;G397,'Funnel setup'!$K$15&amp;"95%","")))),"")</f>
        <v/>
      </c>
    </row>
    <row r="398" spans="2:11" ht="15" x14ac:dyDescent="0.2">
      <c r="B398" s="307" t="str">
        <f>IF(ISNUMBER('Funnel setup'!P410),VLOOKUP('Funnel setup'!$P410,'Provider Commission - Raw Data'!$A:$Q,5,0),"")</f>
        <v/>
      </c>
      <c r="C398" s="308" t="str">
        <f>IF(ISNUMBER('Funnel setup'!P410),VLOOKUP('Funnel setup'!P410,'Provider Commission - Raw Data'!$A:$Q,6,0),"")</f>
        <v/>
      </c>
      <c r="D398" s="309" t="str">
        <f>IF(ISNUMBER('Funnel setup'!P410),VLOOKUP('Funnel setup'!P410,'Provider Commission - Raw Data'!$A:$Q,8,0),"")</f>
        <v/>
      </c>
      <c r="E398" s="446" t="str">
        <f>IF(ISNUMBER('Funnel setup'!P410),VLOOKUP('Funnel setup'!P410,'Provider Commission - Raw Data'!$A:$Q,16,0),"")</f>
        <v/>
      </c>
      <c r="F398" s="310" t="str">
        <f>IF(ISNUMBER('Funnel setup'!P410),'Funnel setup'!$K$8,"")</f>
        <v/>
      </c>
      <c r="G398" s="310" t="str">
        <f>IF(AND(ISNUMBER('Funnel setup'!P410),D398&gt;=30,E398&lt;&gt;"*"),F398-1.959963985 *('Funnel setup'!$K$7/SQRT('Funnel Data'!D398)),"")</f>
        <v/>
      </c>
      <c r="H398" s="310" t="str">
        <f>IF(AND(ISNUMBER('Funnel setup'!P410),D398&gt;=30,E398&lt;&gt;"*"),F398+1.959963985 *('Funnel setup'!$K$7/SQRT('Funnel Data'!D398)),"")</f>
        <v/>
      </c>
      <c r="I398" s="310" t="str">
        <f>IF(AND(ISNUMBER('Funnel setup'!P410),D398&gt;=30,E398&lt;&gt;"*"),F398-3.090232306 *('Funnel setup'!$K$7/SQRT('Funnel Data'!D398)),"")</f>
        <v/>
      </c>
      <c r="J398" s="310" t="str">
        <f>IF(AND(ISNUMBER('Funnel setup'!P410),D398&gt;=30,E398&lt;&gt;"*"),F398+3.090232306 *('Funnel setup'!$K$7/SQRT('Funnel Data'!D398)),"")</f>
        <v/>
      </c>
      <c r="K398" s="311" t="str">
        <f>IF(AND(ISNUMBER('Funnel setup'!P410),D398&gt;=30,E398&lt;&gt;"*"),IF(E398&gt;J398,'Funnel setup'!$K$14&amp;"99.8%",IF(E398&gt;H398,'Funnel setup'!$K$14&amp;"95%",IF(E398&lt;I398,'Funnel setup'!$K$15&amp;"99.8%",IF(E398&lt;G398,'Funnel setup'!$K$15&amp;"95%","")))),"")</f>
        <v/>
      </c>
    </row>
    <row r="399" spans="2:11" ht="15" x14ac:dyDescent="0.2">
      <c r="B399" s="307" t="str">
        <f>IF(ISNUMBER('Funnel setup'!P411),VLOOKUP('Funnel setup'!$P411,'Provider Commission - Raw Data'!$A:$Q,5,0),"")</f>
        <v/>
      </c>
      <c r="C399" s="308" t="str">
        <f>IF(ISNUMBER('Funnel setup'!P411),VLOOKUP('Funnel setup'!P411,'Provider Commission - Raw Data'!$A:$Q,6,0),"")</f>
        <v/>
      </c>
      <c r="D399" s="309" t="str">
        <f>IF(ISNUMBER('Funnel setup'!P411),VLOOKUP('Funnel setup'!P411,'Provider Commission - Raw Data'!$A:$Q,8,0),"")</f>
        <v/>
      </c>
      <c r="E399" s="446" t="str">
        <f>IF(ISNUMBER('Funnel setup'!P411),VLOOKUP('Funnel setup'!P411,'Provider Commission - Raw Data'!$A:$Q,16,0),"")</f>
        <v/>
      </c>
      <c r="F399" s="310" t="str">
        <f>IF(ISNUMBER('Funnel setup'!P411),'Funnel setup'!$K$8,"")</f>
        <v/>
      </c>
      <c r="G399" s="310" t="str">
        <f>IF(AND(ISNUMBER('Funnel setup'!P411),D399&gt;=30,E399&lt;&gt;"*"),F399-1.959963985 *('Funnel setup'!$K$7/SQRT('Funnel Data'!D399)),"")</f>
        <v/>
      </c>
      <c r="H399" s="310" t="str">
        <f>IF(AND(ISNUMBER('Funnel setup'!P411),D399&gt;=30,E399&lt;&gt;"*"),F399+1.959963985 *('Funnel setup'!$K$7/SQRT('Funnel Data'!D399)),"")</f>
        <v/>
      </c>
      <c r="I399" s="310" t="str">
        <f>IF(AND(ISNUMBER('Funnel setup'!P411),D399&gt;=30,E399&lt;&gt;"*"),F399-3.090232306 *('Funnel setup'!$K$7/SQRT('Funnel Data'!D399)),"")</f>
        <v/>
      </c>
      <c r="J399" s="310" t="str">
        <f>IF(AND(ISNUMBER('Funnel setup'!P411),D399&gt;=30,E399&lt;&gt;"*"),F399+3.090232306 *('Funnel setup'!$K$7/SQRT('Funnel Data'!D399)),"")</f>
        <v/>
      </c>
      <c r="K399" s="311" t="str">
        <f>IF(AND(ISNUMBER('Funnel setup'!P411),D399&gt;=30,E399&lt;&gt;"*"),IF(E399&gt;J399,'Funnel setup'!$K$14&amp;"99.8%",IF(E399&gt;H399,'Funnel setup'!$K$14&amp;"95%",IF(E399&lt;I399,'Funnel setup'!$K$15&amp;"99.8%",IF(E399&lt;G399,'Funnel setup'!$K$15&amp;"95%","")))),"")</f>
        <v/>
      </c>
    </row>
    <row r="400" spans="2:11" ht="15" x14ac:dyDescent="0.2">
      <c r="B400" s="307" t="str">
        <f>IF(ISNUMBER('Funnel setup'!P412),VLOOKUP('Funnel setup'!$P412,'Provider Commission - Raw Data'!$A:$Q,5,0),"")</f>
        <v/>
      </c>
      <c r="C400" s="308" t="str">
        <f>IF(ISNUMBER('Funnel setup'!P412),VLOOKUP('Funnel setup'!P412,'Provider Commission - Raw Data'!$A:$Q,6,0),"")</f>
        <v/>
      </c>
      <c r="D400" s="309" t="str">
        <f>IF(ISNUMBER('Funnel setup'!P412),VLOOKUP('Funnel setup'!P412,'Provider Commission - Raw Data'!$A:$Q,8,0),"")</f>
        <v/>
      </c>
      <c r="E400" s="446" t="str">
        <f>IF(ISNUMBER('Funnel setup'!P412),VLOOKUP('Funnel setup'!P412,'Provider Commission - Raw Data'!$A:$Q,16,0),"")</f>
        <v/>
      </c>
      <c r="F400" s="310" t="str">
        <f>IF(ISNUMBER('Funnel setup'!P412),'Funnel setup'!$K$8,"")</f>
        <v/>
      </c>
      <c r="G400" s="310" t="str">
        <f>IF(AND(ISNUMBER('Funnel setup'!P412),D400&gt;=30,E400&lt;&gt;"*"),F400-1.959963985 *('Funnel setup'!$K$7/SQRT('Funnel Data'!D400)),"")</f>
        <v/>
      </c>
      <c r="H400" s="310" t="str">
        <f>IF(AND(ISNUMBER('Funnel setup'!P412),D400&gt;=30,E400&lt;&gt;"*"),F400+1.959963985 *('Funnel setup'!$K$7/SQRT('Funnel Data'!D400)),"")</f>
        <v/>
      </c>
      <c r="I400" s="310" t="str">
        <f>IF(AND(ISNUMBER('Funnel setup'!P412),D400&gt;=30,E400&lt;&gt;"*"),F400-3.090232306 *('Funnel setup'!$K$7/SQRT('Funnel Data'!D400)),"")</f>
        <v/>
      </c>
      <c r="J400" s="310" t="str">
        <f>IF(AND(ISNUMBER('Funnel setup'!P412),D400&gt;=30,E400&lt;&gt;"*"),F400+3.090232306 *('Funnel setup'!$K$7/SQRT('Funnel Data'!D400)),"")</f>
        <v/>
      </c>
      <c r="K400" s="311" t="str">
        <f>IF(AND(ISNUMBER('Funnel setup'!P412),D400&gt;=30,E400&lt;&gt;"*"),IF(E400&gt;J400,'Funnel setup'!$K$14&amp;"99.8%",IF(E400&gt;H400,'Funnel setup'!$K$14&amp;"95%",IF(E400&lt;I400,'Funnel setup'!$K$15&amp;"99.8%",IF(E400&lt;G400,'Funnel setup'!$K$15&amp;"95%","")))),"")</f>
        <v/>
      </c>
    </row>
    <row r="401" spans="2:11" ht="15" x14ac:dyDescent="0.2">
      <c r="B401" s="307" t="str">
        <f>IF(ISNUMBER('Funnel setup'!P413),VLOOKUP('Funnel setup'!$P413,'Provider Commission - Raw Data'!$A:$Q,5,0),"")</f>
        <v/>
      </c>
      <c r="C401" s="308" t="str">
        <f>IF(ISNUMBER('Funnel setup'!P413),VLOOKUP('Funnel setup'!P413,'Provider Commission - Raw Data'!$A:$Q,6,0),"")</f>
        <v/>
      </c>
      <c r="D401" s="309" t="str">
        <f>IF(ISNUMBER('Funnel setup'!P413),VLOOKUP('Funnel setup'!P413,'Provider Commission - Raw Data'!$A:$Q,8,0),"")</f>
        <v/>
      </c>
      <c r="E401" s="446" t="str">
        <f>IF(ISNUMBER('Funnel setup'!P413),VLOOKUP('Funnel setup'!P413,'Provider Commission - Raw Data'!$A:$Q,16,0),"")</f>
        <v/>
      </c>
      <c r="F401" s="310" t="str">
        <f>IF(ISNUMBER('Funnel setup'!P413),'Funnel setup'!$K$8,"")</f>
        <v/>
      </c>
      <c r="G401" s="310" t="str">
        <f>IF(AND(ISNUMBER('Funnel setup'!P413),D401&gt;=30,E401&lt;&gt;"*"),F401-1.959963985 *('Funnel setup'!$K$7/SQRT('Funnel Data'!D401)),"")</f>
        <v/>
      </c>
      <c r="H401" s="310" t="str">
        <f>IF(AND(ISNUMBER('Funnel setup'!P413),D401&gt;=30,E401&lt;&gt;"*"),F401+1.959963985 *('Funnel setup'!$K$7/SQRT('Funnel Data'!D401)),"")</f>
        <v/>
      </c>
      <c r="I401" s="310" t="str">
        <f>IF(AND(ISNUMBER('Funnel setup'!P413),D401&gt;=30,E401&lt;&gt;"*"),F401-3.090232306 *('Funnel setup'!$K$7/SQRT('Funnel Data'!D401)),"")</f>
        <v/>
      </c>
      <c r="J401" s="310" t="str">
        <f>IF(AND(ISNUMBER('Funnel setup'!P413),D401&gt;=30,E401&lt;&gt;"*"),F401+3.090232306 *('Funnel setup'!$K$7/SQRT('Funnel Data'!D401)),"")</f>
        <v/>
      </c>
      <c r="K401" s="311" t="str">
        <f>IF(AND(ISNUMBER('Funnel setup'!P413),D401&gt;=30,E401&lt;&gt;"*"),IF(E401&gt;J401,'Funnel setup'!$K$14&amp;"99.8%",IF(E401&gt;H401,'Funnel setup'!$K$14&amp;"95%",IF(E401&lt;I401,'Funnel setup'!$K$15&amp;"99.8%",IF(E401&lt;G401,'Funnel setup'!$K$15&amp;"95%","")))),"")</f>
        <v/>
      </c>
    </row>
    <row r="402" spans="2:11" ht="15" x14ac:dyDescent="0.2">
      <c r="B402" s="307" t="str">
        <f>IF(ISNUMBER('Funnel setup'!P414),VLOOKUP('Funnel setup'!$P414,'Provider Commission - Raw Data'!$A:$Q,5,0),"")</f>
        <v/>
      </c>
      <c r="C402" s="308" t="str">
        <f>IF(ISNUMBER('Funnel setup'!P414),VLOOKUP('Funnel setup'!P414,'Provider Commission - Raw Data'!$A:$Q,6,0),"")</f>
        <v/>
      </c>
      <c r="D402" s="309" t="str">
        <f>IF(ISNUMBER('Funnel setup'!P414),VLOOKUP('Funnel setup'!P414,'Provider Commission - Raw Data'!$A:$Q,8,0),"")</f>
        <v/>
      </c>
      <c r="E402" s="446" t="str">
        <f>IF(ISNUMBER('Funnel setup'!P414),VLOOKUP('Funnel setup'!P414,'Provider Commission - Raw Data'!$A:$Q,16,0),"")</f>
        <v/>
      </c>
      <c r="F402" s="310" t="str">
        <f>IF(ISNUMBER('Funnel setup'!P414),'Funnel setup'!$K$8,"")</f>
        <v/>
      </c>
      <c r="G402" s="310" t="str">
        <f>IF(AND(ISNUMBER('Funnel setup'!P414),D402&gt;=30,E402&lt;&gt;"*"),F402-1.959963985 *('Funnel setup'!$K$7/SQRT('Funnel Data'!D402)),"")</f>
        <v/>
      </c>
      <c r="H402" s="310" t="str">
        <f>IF(AND(ISNUMBER('Funnel setup'!P414),D402&gt;=30,E402&lt;&gt;"*"),F402+1.959963985 *('Funnel setup'!$K$7/SQRT('Funnel Data'!D402)),"")</f>
        <v/>
      </c>
      <c r="I402" s="310" t="str">
        <f>IF(AND(ISNUMBER('Funnel setup'!P414),D402&gt;=30,E402&lt;&gt;"*"),F402-3.090232306 *('Funnel setup'!$K$7/SQRT('Funnel Data'!D402)),"")</f>
        <v/>
      </c>
      <c r="J402" s="310" t="str">
        <f>IF(AND(ISNUMBER('Funnel setup'!P414),D402&gt;=30,E402&lt;&gt;"*"),F402+3.090232306 *('Funnel setup'!$K$7/SQRT('Funnel Data'!D402)),"")</f>
        <v/>
      </c>
      <c r="K402" s="311" t="str">
        <f>IF(AND(ISNUMBER('Funnel setup'!P414),D402&gt;=30,E402&lt;&gt;"*"),IF(E402&gt;J402,'Funnel setup'!$K$14&amp;"99.8%",IF(E402&gt;H402,'Funnel setup'!$K$14&amp;"95%",IF(E402&lt;I402,'Funnel setup'!$K$15&amp;"99.8%",IF(E402&lt;G402,'Funnel setup'!$K$15&amp;"95%","")))),"")</f>
        <v/>
      </c>
    </row>
    <row r="403" spans="2:11" ht="15" x14ac:dyDescent="0.2">
      <c r="B403" s="307" t="str">
        <f>IF(ISNUMBER('Funnel setup'!P415),VLOOKUP('Funnel setup'!$P415,'Provider Commission - Raw Data'!$A:$Q,5,0),"")</f>
        <v/>
      </c>
      <c r="C403" s="308" t="str">
        <f>IF(ISNUMBER('Funnel setup'!P415),VLOOKUP('Funnel setup'!P415,'Provider Commission - Raw Data'!$A:$Q,6,0),"")</f>
        <v/>
      </c>
      <c r="D403" s="309" t="str">
        <f>IF(ISNUMBER('Funnel setup'!P415),VLOOKUP('Funnel setup'!P415,'Provider Commission - Raw Data'!$A:$Q,8,0),"")</f>
        <v/>
      </c>
      <c r="E403" s="446" t="str">
        <f>IF(ISNUMBER('Funnel setup'!P415),VLOOKUP('Funnel setup'!P415,'Provider Commission - Raw Data'!$A:$Q,16,0),"")</f>
        <v/>
      </c>
      <c r="F403" s="310" t="str">
        <f>IF(ISNUMBER('Funnel setup'!P415),'Funnel setup'!$K$8,"")</f>
        <v/>
      </c>
      <c r="G403" s="310" t="str">
        <f>IF(AND(ISNUMBER('Funnel setup'!P415),D403&gt;=30,E403&lt;&gt;"*"),F403-1.959963985 *('Funnel setup'!$K$7/SQRT('Funnel Data'!D403)),"")</f>
        <v/>
      </c>
      <c r="H403" s="310" t="str">
        <f>IF(AND(ISNUMBER('Funnel setup'!P415),D403&gt;=30,E403&lt;&gt;"*"),F403+1.959963985 *('Funnel setup'!$K$7/SQRT('Funnel Data'!D403)),"")</f>
        <v/>
      </c>
      <c r="I403" s="310" t="str">
        <f>IF(AND(ISNUMBER('Funnel setup'!P415),D403&gt;=30,E403&lt;&gt;"*"),F403-3.090232306 *('Funnel setup'!$K$7/SQRT('Funnel Data'!D403)),"")</f>
        <v/>
      </c>
      <c r="J403" s="310" t="str">
        <f>IF(AND(ISNUMBER('Funnel setup'!P415),D403&gt;=30,E403&lt;&gt;"*"),F403+3.090232306 *('Funnel setup'!$K$7/SQRT('Funnel Data'!D403)),"")</f>
        <v/>
      </c>
      <c r="K403" s="311" t="str">
        <f>IF(AND(ISNUMBER('Funnel setup'!P415),D403&gt;=30,E403&lt;&gt;"*"),IF(E403&gt;J403,'Funnel setup'!$K$14&amp;"99.8%",IF(E403&gt;H403,'Funnel setup'!$K$14&amp;"95%",IF(E403&lt;I403,'Funnel setup'!$K$15&amp;"99.8%",IF(E403&lt;G403,'Funnel setup'!$K$15&amp;"95%","")))),"")</f>
        <v/>
      </c>
    </row>
    <row r="404" spans="2:11" ht="15" x14ac:dyDescent="0.2">
      <c r="B404" s="307" t="str">
        <f>IF(ISNUMBER('Funnel setup'!P416),VLOOKUP('Funnel setup'!$P416,'Provider Commission - Raw Data'!$A:$Q,5,0),"")</f>
        <v/>
      </c>
      <c r="C404" s="308" t="str">
        <f>IF(ISNUMBER('Funnel setup'!P416),VLOOKUP('Funnel setup'!P416,'Provider Commission - Raw Data'!$A:$Q,6,0),"")</f>
        <v/>
      </c>
      <c r="D404" s="309" t="str">
        <f>IF(ISNUMBER('Funnel setup'!P416),VLOOKUP('Funnel setup'!P416,'Provider Commission - Raw Data'!$A:$Q,8,0),"")</f>
        <v/>
      </c>
      <c r="E404" s="446" t="str">
        <f>IF(ISNUMBER('Funnel setup'!P416),VLOOKUP('Funnel setup'!P416,'Provider Commission - Raw Data'!$A:$Q,16,0),"")</f>
        <v/>
      </c>
      <c r="F404" s="310" t="str">
        <f>IF(ISNUMBER('Funnel setup'!P416),'Funnel setup'!$K$8,"")</f>
        <v/>
      </c>
      <c r="G404" s="310" t="str">
        <f>IF(AND(ISNUMBER('Funnel setup'!P416),D404&gt;=30,E404&lt;&gt;"*"),F404-1.959963985 *('Funnel setup'!$K$7/SQRT('Funnel Data'!D404)),"")</f>
        <v/>
      </c>
      <c r="H404" s="310" t="str">
        <f>IF(AND(ISNUMBER('Funnel setup'!P416),D404&gt;=30,E404&lt;&gt;"*"),F404+1.959963985 *('Funnel setup'!$K$7/SQRT('Funnel Data'!D404)),"")</f>
        <v/>
      </c>
      <c r="I404" s="310" t="str">
        <f>IF(AND(ISNUMBER('Funnel setup'!P416),D404&gt;=30,E404&lt;&gt;"*"),F404-3.090232306 *('Funnel setup'!$K$7/SQRT('Funnel Data'!D404)),"")</f>
        <v/>
      </c>
      <c r="J404" s="310" t="str">
        <f>IF(AND(ISNUMBER('Funnel setup'!P416),D404&gt;=30,E404&lt;&gt;"*"),F404+3.090232306 *('Funnel setup'!$K$7/SQRT('Funnel Data'!D404)),"")</f>
        <v/>
      </c>
      <c r="K404" s="311" t="str">
        <f>IF(AND(ISNUMBER('Funnel setup'!P416),D404&gt;=30,E404&lt;&gt;"*"),IF(E404&gt;J404,'Funnel setup'!$K$14&amp;"99.8%",IF(E404&gt;H404,'Funnel setup'!$K$14&amp;"95%",IF(E404&lt;I404,'Funnel setup'!$K$15&amp;"99.8%",IF(E404&lt;G404,'Funnel setup'!$K$15&amp;"95%","")))),"")</f>
        <v/>
      </c>
    </row>
    <row r="405" spans="2:11" ht="15" x14ac:dyDescent="0.2">
      <c r="B405" s="307" t="str">
        <f>IF(ISNUMBER('Funnel setup'!P417),VLOOKUP('Funnel setup'!$P417,'Provider Commission - Raw Data'!$A:$Q,5,0),"")</f>
        <v/>
      </c>
      <c r="C405" s="308" t="str">
        <f>IF(ISNUMBER('Funnel setup'!P417),VLOOKUP('Funnel setup'!P417,'Provider Commission - Raw Data'!$A:$Q,6,0),"")</f>
        <v/>
      </c>
      <c r="D405" s="309" t="str">
        <f>IF(ISNUMBER('Funnel setup'!P417),VLOOKUP('Funnel setup'!P417,'Provider Commission - Raw Data'!$A:$Q,8,0),"")</f>
        <v/>
      </c>
      <c r="E405" s="446" t="str">
        <f>IF(ISNUMBER('Funnel setup'!P417),VLOOKUP('Funnel setup'!P417,'Provider Commission - Raw Data'!$A:$Q,16,0),"")</f>
        <v/>
      </c>
      <c r="F405" s="310" t="str">
        <f>IF(ISNUMBER('Funnel setup'!P417),'Funnel setup'!$K$8,"")</f>
        <v/>
      </c>
      <c r="G405" s="310" t="str">
        <f>IF(AND(ISNUMBER('Funnel setup'!P417),D405&gt;=30,E405&lt;&gt;"*"),F405-1.959963985 *('Funnel setup'!$K$7/SQRT('Funnel Data'!D405)),"")</f>
        <v/>
      </c>
      <c r="H405" s="310" t="str">
        <f>IF(AND(ISNUMBER('Funnel setup'!P417),D405&gt;=30,E405&lt;&gt;"*"),F405+1.959963985 *('Funnel setup'!$K$7/SQRT('Funnel Data'!D405)),"")</f>
        <v/>
      </c>
      <c r="I405" s="310" t="str">
        <f>IF(AND(ISNUMBER('Funnel setup'!P417),D405&gt;=30,E405&lt;&gt;"*"),F405-3.090232306 *('Funnel setup'!$K$7/SQRT('Funnel Data'!D405)),"")</f>
        <v/>
      </c>
      <c r="J405" s="310" t="str">
        <f>IF(AND(ISNUMBER('Funnel setup'!P417),D405&gt;=30,E405&lt;&gt;"*"),F405+3.090232306 *('Funnel setup'!$K$7/SQRT('Funnel Data'!D405)),"")</f>
        <v/>
      </c>
      <c r="K405" s="311" t="str">
        <f>IF(AND(ISNUMBER('Funnel setup'!P417),D405&gt;=30,E405&lt;&gt;"*"),IF(E405&gt;J405,'Funnel setup'!$K$14&amp;"99.8%",IF(E405&gt;H405,'Funnel setup'!$K$14&amp;"95%",IF(E405&lt;I405,'Funnel setup'!$K$15&amp;"99.8%",IF(E405&lt;G405,'Funnel setup'!$K$15&amp;"95%","")))),"")</f>
        <v/>
      </c>
    </row>
    <row r="406" spans="2:11" ht="15" x14ac:dyDescent="0.2">
      <c r="B406" s="307" t="str">
        <f>IF(ISNUMBER('Funnel setup'!P418),VLOOKUP('Funnel setup'!$P418,'Provider Commission - Raw Data'!$A:$Q,5,0),"")</f>
        <v/>
      </c>
      <c r="C406" s="308" t="str">
        <f>IF(ISNUMBER('Funnel setup'!P418),VLOOKUP('Funnel setup'!P418,'Provider Commission - Raw Data'!$A:$Q,6,0),"")</f>
        <v/>
      </c>
      <c r="D406" s="309" t="str">
        <f>IF(ISNUMBER('Funnel setup'!P418),VLOOKUP('Funnel setup'!P418,'Provider Commission - Raw Data'!$A:$Q,8,0),"")</f>
        <v/>
      </c>
      <c r="E406" s="446" t="str">
        <f>IF(ISNUMBER('Funnel setup'!P418),VLOOKUP('Funnel setup'!P418,'Provider Commission - Raw Data'!$A:$Q,16,0),"")</f>
        <v/>
      </c>
      <c r="F406" s="310" t="str">
        <f>IF(ISNUMBER('Funnel setup'!P418),'Funnel setup'!$K$8,"")</f>
        <v/>
      </c>
      <c r="G406" s="310" t="str">
        <f>IF(AND(ISNUMBER('Funnel setup'!P418),D406&gt;=30,E406&lt;&gt;"*"),F406-1.959963985 *('Funnel setup'!$K$7/SQRT('Funnel Data'!D406)),"")</f>
        <v/>
      </c>
      <c r="H406" s="310" t="str">
        <f>IF(AND(ISNUMBER('Funnel setup'!P418),D406&gt;=30,E406&lt;&gt;"*"),F406+1.959963985 *('Funnel setup'!$K$7/SQRT('Funnel Data'!D406)),"")</f>
        <v/>
      </c>
      <c r="I406" s="310" t="str">
        <f>IF(AND(ISNUMBER('Funnel setup'!P418),D406&gt;=30,E406&lt;&gt;"*"),F406-3.090232306 *('Funnel setup'!$K$7/SQRT('Funnel Data'!D406)),"")</f>
        <v/>
      </c>
      <c r="J406" s="310" t="str">
        <f>IF(AND(ISNUMBER('Funnel setup'!P418),D406&gt;=30,E406&lt;&gt;"*"),F406+3.090232306 *('Funnel setup'!$K$7/SQRT('Funnel Data'!D406)),"")</f>
        <v/>
      </c>
      <c r="K406" s="311" t="str">
        <f>IF(AND(ISNUMBER('Funnel setup'!P418),D406&gt;=30,E406&lt;&gt;"*"),IF(E406&gt;J406,'Funnel setup'!$K$14&amp;"99.8%",IF(E406&gt;H406,'Funnel setup'!$K$14&amp;"95%",IF(E406&lt;I406,'Funnel setup'!$K$15&amp;"99.8%",IF(E406&lt;G406,'Funnel setup'!$K$15&amp;"95%","")))),"")</f>
        <v/>
      </c>
    </row>
    <row r="407" spans="2:11" ht="15" x14ac:dyDescent="0.2">
      <c r="B407" s="307" t="str">
        <f>IF(ISNUMBER('Funnel setup'!P419),VLOOKUP('Funnel setup'!$P419,'Provider Commission - Raw Data'!$A:$Q,5,0),"")</f>
        <v/>
      </c>
      <c r="C407" s="308" t="str">
        <f>IF(ISNUMBER('Funnel setup'!P419),VLOOKUP('Funnel setup'!P419,'Provider Commission - Raw Data'!$A:$Q,6,0),"")</f>
        <v/>
      </c>
      <c r="D407" s="309" t="str">
        <f>IF(ISNUMBER('Funnel setup'!P419),VLOOKUP('Funnel setup'!P419,'Provider Commission - Raw Data'!$A:$Q,8,0),"")</f>
        <v/>
      </c>
      <c r="E407" s="446" t="str">
        <f>IF(ISNUMBER('Funnel setup'!P419),VLOOKUP('Funnel setup'!P419,'Provider Commission - Raw Data'!$A:$Q,16,0),"")</f>
        <v/>
      </c>
      <c r="F407" s="310" t="str">
        <f>IF(ISNUMBER('Funnel setup'!P419),'Funnel setup'!$K$8,"")</f>
        <v/>
      </c>
      <c r="G407" s="310" t="str">
        <f>IF(AND(ISNUMBER('Funnel setup'!P419),D407&gt;=30,E407&lt;&gt;"*"),F407-1.959963985 *('Funnel setup'!$K$7/SQRT('Funnel Data'!D407)),"")</f>
        <v/>
      </c>
      <c r="H407" s="310" t="str">
        <f>IF(AND(ISNUMBER('Funnel setup'!P419),D407&gt;=30,E407&lt;&gt;"*"),F407+1.959963985 *('Funnel setup'!$K$7/SQRT('Funnel Data'!D407)),"")</f>
        <v/>
      </c>
      <c r="I407" s="310" t="str">
        <f>IF(AND(ISNUMBER('Funnel setup'!P419),D407&gt;=30,E407&lt;&gt;"*"),F407-3.090232306 *('Funnel setup'!$K$7/SQRT('Funnel Data'!D407)),"")</f>
        <v/>
      </c>
      <c r="J407" s="310" t="str">
        <f>IF(AND(ISNUMBER('Funnel setup'!P419),D407&gt;=30,E407&lt;&gt;"*"),F407+3.090232306 *('Funnel setup'!$K$7/SQRT('Funnel Data'!D407)),"")</f>
        <v/>
      </c>
      <c r="K407" s="311" t="str">
        <f>IF(AND(ISNUMBER('Funnel setup'!P419),D407&gt;=30,E407&lt;&gt;"*"),IF(E407&gt;J407,'Funnel setup'!$K$14&amp;"99.8%",IF(E407&gt;H407,'Funnel setup'!$K$14&amp;"95%",IF(E407&lt;I407,'Funnel setup'!$K$15&amp;"99.8%",IF(E407&lt;G407,'Funnel setup'!$K$15&amp;"95%","")))),"")</f>
        <v/>
      </c>
    </row>
    <row r="408" spans="2:11" ht="15" x14ac:dyDescent="0.2">
      <c r="B408" s="307" t="str">
        <f>IF(ISNUMBER('Funnel setup'!P420),VLOOKUP('Funnel setup'!$P420,'Provider Commission - Raw Data'!$A:$Q,5,0),"")</f>
        <v/>
      </c>
      <c r="C408" s="308" t="str">
        <f>IF(ISNUMBER('Funnel setup'!P420),VLOOKUP('Funnel setup'!P420,'Provider Commission - Raw Data'!$A:$Q,6,0),"")</f>
        <v/>
      </c>
      <c r="D408" s="309" t="str">
        <f>IF(ISNUMBER('Funnel setup'!P420),VLOOKUP('Funnel setup'!P420,'Provider Commission - Raw Data'!$A:$Q,8,0),"")</f>
        <v/>
      </c>
      <c r="E408" s="446" t="str">
        <f>IF(ISNUMBER('Funnel setup'!P420),VLOOKUP('Funnel setup'!P420,'Provider Commission - Raw Data'!$A:$Q,16,0),"")</f>
        <v/>
      </c>
      <c r="F408" s="310" t="str">
        <f>IF(ISNUMBER('Funnel setup'!P420),'Funnel setup'!$K$8,"")</f>
        <v/>
      </c>
      <c r="G408" s="310" t="str">
        <f>IF(AND(ISNUMBER('Funnel setup'!P420),D408&gt;=30,E408&lt;&gt;"*"),F408-1.959963985 *('Funnel setup'!$K$7/SQRT('Funnel Data'!D408)),"")</f>
        <v/>
      </c>
      <c r="H408" s="310" t="str">
        <f>IF(AND(ISNUMBER('Funnel setup'!P420),D408&gt;=30,E408&lt;&gt;"*"),F408+1.959963985 *('Funnel setup'!$K$7/SQRT('Funnel Data'!D408)),"")</f>
        <v/>
      </c>
      <c r="I408" s="310" t="str">
        <f>IF(AND(ISNUMBER('Funnel setup'!P420),D408&gt;=30,E408&lt;&gt;"*"),F408-3.090232306 *('Funnel setup'!$K$7/SQRT('Funnel Data'!D408)),"")</f>
        <v/>
      </c>
      <c r="J408" s="310" t="str">
        <f>IF(AND(ISNUMBER('Funnel setup'!P420),D408&gt;=30,E408&lt;&gt;"*"),F408+3.090232306 *('Funnel setup'!$K$7/SQRT('Funnel Data'!D408)),"")</f>
        <v/>
      </c>
      <c r="K408" s="311" t="str">
        <f>IF(AND(ISNUMBER('Funnel setup'!P420),D408&gt;=30,E408&lt;&gt;"*"),IF(E408&gt;J408,'Funnel setup'!$K$14&amp;"99.8%",IF(E408&gt;H408,'Funnel setup'!$K$14&amp;"95%",IF(E408&lt;I408,'Funnel setup'!$K$15&amp;"99.8%",IF(E408&lt;G408,'Funnel setup'!$K$15&amp;"95%","")))),"")</f>
        <v/>
      </c>
    </row>
    <row r="409" spans="2:11" ht="15" x14ac:dyDescent="0.2">
      <c r="B409" s="307" t="str">
        <f>IF(ISNUMBER('Funnel setup'!P421),VLOOKUP('Funnel setup'!$P421,'Provider Commission - Raw Data'!$A:$Q,5,0),"")</f>
        <v/>
      </c>
      <c r="C409" s="308" t="str">
        <f>IF(ISNUMBER('Funnel setup'!P421),VLOOKUP('Funnel setup'!P421,'Provider Commission - Raw Data'!$A:$Q,6,0),"")</f>
        <v/>
      </c>
      <c r="D409" s="309" t="str">
        <f>IF(ISNUMBER('Funnel setup'!P421),VLOOKUP('Funnel setup'!P421,'Provider Commission - Raw Data'!$A:$Q,8,0),"")</f>
        <v/>
      </c>
      <c r="E409" s="446" t="str">
        <f>IF(ISNUMBER('Funnel setup'!P421),VLOOKUP('Funnel setup'!P421,'Provider Commission - Raw Data'!$A:$Q,16,0),"")</f>
        <v/>
      </c>
      <c r="F409" s="310" t="str">
        <f>IF(ISNUMBER('Funnel setup'!P421),'Funnel setup'!$K$8,"")</f>
        <v/>
      </c>
      <c r="G409" s="310" t="str">
        <f>IF(AND(ISNUMBER('Funnel setup'!P421),D409&gt;=30,E409&lt;&gt;"*"),F409-1.959963985 *('Funnel setup'!$K$7/SQRT('Funnel Data'!D409)),"")</f>
        <v/>
      </c>
      <c r="H409" s="310" t="str">
        <f>IF(AND(ISNUMBER('Funnel setup'!P421),D409&gt;=30,E409&lt;&gt;"*"),F409+1.959963985 *('Funnel setup'!$K$7/SQRT('Funnel Data'!D409)),"")</f>
        <v/>
      </c>
      <c r="I409" s="310" t="str">
        <f>IF(AND(ISNUMBER('Funnel setup'!P421),D409&gt;=30,E409&lt;&gt;"*"),F409-3.090232306 *('Funnel setup'!$K$7/SQRT('Funnel Data'!D409)),"")</f>
        <v/>
      </c>
      <c r="J409" s="310" t="str">
        <f>IF(AND(ISNUMBER('Funnel setup'!P421),D409&gt;=30,E409&lt;&gt;"*"),F409+3.090232306 *('Funnel setup'!$K$7/SQRT('Funnel Data'!D409)),"")</f>
        <v/>
      </c>
      <c r="K409" s="311" t="str">
        <f>IF(AND(ISNUMBER('Funnel setup'!P421),D409&gt;=30,E409&lt;&gt;"*"),IF(E409&gt;J409,'Funnel setup'!$K$14&amp;"99.8%",IF(E409&gt;H409,'Funnel setup'!$K$14&amp;"95%",IF(E409&lt;I409,'Funnel setup'!$K$15&amp;"99.8%",IF(E409&lt;G409,'Funnel setup'!$K$15&amp;"95%","")))),"")</f>
        <v/>
      </c>
    </row>
    <row r="410" spans="2:11" ht="15" x14ac:dyDescent="0.2">
      <c r="B410" s="307" t="str">
        <f>IF(ISNUMBER('Funnel setup'!P422),VLOOKUP('Funnel setup'!$P422,'Provider Commission - Raw Data'!$A:$Q,5,0),"")</f>
        <v/>
      </c>
      <c r="C410" s="308" t="str">
        <f>IF(ISNUMBER('Funnel setup'!P422),VLOOKUP('Funnel setup'!P422,'Provider Commission - Raw Data'!$A:$Q,6,0),"")</f>
        <v/>
      </c>
      <c r="D410" s="309" t="str">
        <f>IF(ISNUMBER('Funnel setup'!P422),VLOOKUP('Funnel setup'!P422,'Provider Commission - Raw Data'!$A:$Q,8,0),"")</f>
        <v/>
      </c>
      <c r="E410" s="446" t="str">
        <f>IF(ISNUMBER('Funnel setup'!P422),VLOOKUP('Funnel setup'!P422,'Provider Commission - Raw Data'!$A:$Q,16,0),"")</f>
        <v/>
      </c>
      <c r="F410" s="310" t="str">
        <f>IF(ISNUMBER('Funnel setup'!P422),'Funnel setup'!$K$8,"")</f>
        <v/>
      </c>
      <c r="G410" s="310" t="str">
        <f>IF(AND(ISNUMBER('Funnel setup'!P422),D410&gt;=30,E410&lt;&gt;"*"),F410-1.959963985 *('Funnel setup'!$K$7/SQRT('Funnel Data'!D410)),"")</f>
        <v/>
      </c>
      <c r="H410" s="310" t="str">
        <f>IF(AND(ISNUMBER('Funnel setup'!P422),D410&gt;=30,E410&lt;&gt;"*"),F410+1.959963985 *('Funnel setup'!$K$7/SQRT('Funnel Data'!D410)),"")</f>
        <v/>
      </c>
      <c r="I410" s="310" t="str">
        <f>IF(AND(ISNUMBER('Funnel setup'!P422),D410&gt;=30,E410&lt;&gt;"*"),F410-3.090232306 *('Funnel setup'!$K$7/SQRT('Funnel Data'!D410)),"")</f>
        <v/>
      </c>
      <c r="J410" s="310" t="str">
        <f>IF(AND(ISNUMBER('Funnel setup'!P422),D410&gt;=30,E410&lt;&gt;"*"),F410+3.090232306 *('Funnel setup'!$K$7/SQRT('Funnel Data'!D410)),"")</f>
        <v/>
      </c>
      <c r="K410" s="311" t="str">
        <f>IF(AND(ISNUMBER('Funnel setup'!P422),D410&gt;=30,E410&lt;&gt;"*"),IF(E410&gt;J410,'Funnel setup'!$K$14&amp;"99.8%",IF(E410&gt;H410,'Funnel setup'!$K$14&amp;"95%",IF(E410&lt;I410,'Funnel setup'!$K$15&amp;"99.8%",IF(E410&lt;G410,'Funnel setup'!$K$15&amp;"95%","")))),"")</f>
        <v/>
      </c>
    </row>
    <row r="411" spans="2:11" ht="15" x14ac:dyDescent="0.2">
      <c r="B411" s="307" t="str">
        <f>IF(ISNUMBER('Funnel setup'!P423),VLOOKUP('Funnel setup'!$P423,'Provider Commission - Raw Data'!$A:$Q,5,0),"")</f>
        <v/>
      </c>
      <c r="C411" s="308" t="str">
        <f>IF(ISNUMBER('Funnel setup'!P423),VLOOKUP('Funnel setup'!P423,'Provider Commission - Raw Data'!$A:$Q,6,0),"")</f>
        <v/>
      </c>
      <c r="D411" s="309" t="str">
        <f>IF(ISNUMBER('Funnel setup'!P423),VLOOKUP('Funnel setup'!P423,'Provider Commission - Raw Data'!$A:$Q,8,0),"")</f>
        <v/>
      </c>
      <c r="E411" s="446" t="str">
        <f>IF(ISNUMBER('Funnel setup'!P423),VLOOKUP('Funnel setup'!P423,'Provider Commission - Raw Data'!$A:$Q,16,0),"")</f>
        <v/>
      </c>
      <c r="F411" s="310" t="str">
        <f>IF(ISNUMBER('Funnel setup'!P423),'Funnel setup'!$K$8,"")</f>
        <v/>
      </c>
      <c r="G411" s="310" t="str">
        <f>IF(AND(ISNUMBER('Funnel setup'!P423),D411&gt;=30,E411&lt;&gt;"*"),F411-1.959963985 *('Funnel setup'!$K$7/SQRT('Funnel Data'!D411)),"")</f>
        <v/>
      </c>
      <c r="H411" s="310" t="str">
        <f>IF(AND(ISNUMBER('Funnel setup'!P423),D411&gt;=30,E411&lt;&gt;"*"),F411+1.959963985 *('Funnel setup'!$K$7/SQRT('Funnel Data'!D411)),"")</f>
        <v/>
      </c>
      <c r="I411" s="310" t="str">
        <f>IF(AND(ISNUMBER('Funnel setup'!P423),D411&gt;=30,E411&lt;&gt;"*"),F411-3.090232306 *('Funnel setup'!$K$7/SQRT('Funnel Data'!D411)),"")</f>
        <v/>
      </c>
      <c r="J411" s="310" t="str">
        <f>IF(AND(ISNUMBER('Funnel setup'!P423),D411&gt;=30,E411&lt;&gt;"*"),F411+3.090232306 *('Funnel setup'!$K$7/SQRT('Funnel Data'!D411)),"")</f>
        <v/>
      </c>
      <c r="K411" s="311" t="str">
        <f>IF(AND(ISNUMBER('Funnel setup'!P423),D411&gt;=30,E411&lt;&gt;"*"),IF(E411&gt;J411,'Funnel setup'!$K$14&amp;"99.8%",IF(E411&gt;H411,'Funnel setup'!$K$14&amp;"95%",IF(E411&lt;I411,'Funnel setup'!$K$15&amp;"99.8%",IF(E411&lt;G411,'Funnel setup'!$K$15&amp;"95%","")))),"")</f>
        <v/>
      </c>
    </row>
    <row r="412" spans="2:11" ht="15" x14ac:dyDescent="0.2">
      <c r="E412" s="447"/>
      <c r="F412" s="447"/>
      <c r="G412" s="310" t="str">
        <f>IF(AND(ISNUMBER('Funnel setup'!P424),D412&gt;=30,E412&lt;&gt;"*"),F412-1.959963985 *('Funnel setup'!$K$7/SQRT('Funnel Data'!D412)),"")</f>
        <v/>
      </c>
      <c r="H412" s="310" t="str">
        <f>IF(AND(ISNUMBER('Funnel setup'!P424),D412&gt;=30,E412&lt;&gt;"*"),F412+1.959963985 *('Funnel setup'!$K$7/SQRT('Funnel Data'!D412)),"")</f>
        <v/>
      </c>
      <c r="I412" s="310" t="str">
        <f>IF(AND(ISNUMBER('Funnel setup'!P424),D412&gt;=30,E412&lt;&gt;"*"),F412-3.090232306 *('Funnel setup'!$K$7/SQRT('Funnel Data'!D412)),"")</f>
        <v/>
      </c>
      <c r="J412" s="310" t="str">
        <f>IF(AND(ISNUMBER('Funnel setup'!P424),D412&gt;=30,E412&lt;&gt;"*"),F412+3.090232306 *('Funnel setup'!$K$7/SQRT('Funnel Data'!D412)),"")</f>
        <v/>
      </c>
    </row>
    <row r="413" spans="2:11" ht="15" x14ac:dyDescent="0.2">
      <c r="G413" s="310" t="str">
        <f>IF(AND(ISNUMBER('Funnel setup'!P425),D413&gt;=30,E413&lt;&gt;"*"),F413-1.959963985 *('Funnel setup'!$K$7/SQRT('Funnel Data'!D413)),"")</f>
        <v/>
      </c>
      <c r="H413" s="310" t="str">
        <f>IF(AND(ISNUMBER('Funnel setup'!P425),D413&gt;=30,E413&lt;&gt;"*"),F413+1.959963985 *('Funnel setup'!$K$7/SQRT('Funnel Data'!D413)),"")</f>
        <v/>
      </c>
      <c r="I413" s="310" t="str">
        <f>IF(AND(ISNUMBER('Funnel setup'!P425),D413&gt;=30,E413&lt;&gt;"*"),F413-3.090232306 *('Funnel setup'!$K$7/SQRT('Funnel Data'!D413)),"")</f>
        <v/>
      </c>
      <c r="J413" s="310" t="str">
        <f>IF(AND(ISNUMBER('Funnel setup'!P425),D413&gt;=30,E413&lt;&gt;"*"),F413+3.090232306 *('Funnel setup'!$K$7/SQRT('Funnel Data'!D413)),"")</f>
        <v/>
      </c>
    </row>
    <row r="414" spans="2:11" ht="15" x14ac:dyDescent="0.2">
      <c r="B414" s="568" t="str">
        <f ca="1">HYPERLINK(Reference!B$9,Reference!A$9)</f>
        <v>Copyright © 2015, The Health and Social Care Information Centre. All Rights Reserved.</v>
      </c>
      <c r="C414" s="568"/>
      <c r="D414" s="568"/>
      <c r="E414" s="568"/>
      <c r="F414" s="568"/>
      <c r="G414" s="568"/>
      <c r="H414" s="568"/>
      <c r="I414" s="568"/>
    </row>
  </sheetData>
  <sheetProtection sheet="1" objects="1" scenarios="1" selectLockedCells="1" selectUnlockedCells="1"/>
  <mergeCells count="1">
    <mergeCell ref="B414:I414"/>
  </mergeCells>
  <phoneticPr fontId="10" type="noConversion"/>
  <conditionalFormatting sqref="B10:K10 B11:F411 K11:K411 G11:J413">
    <cfRule type="expression" dxfId="1" priority="1" stopIfTrue="1">
      <formula>$B10&lt;&gt;""</formula>
    </cfRule>
    <cfRule type="expression" dxfId="0" priority="3" stopIfTrue="1">
      <formula>$B10=""</formula>
    </cfRule>
  </conditionalFormatting>
  <hyperlinks>
    <hyperlink ref="B414:F414" r:id="rId1" display="http://www.ic.nhs.uk/terms-and-conditions"/>
    <hyperlink ref="B414:I414" r:id="rId2" display="http://www.hscic.gov.uk/terms-and-conditions"/>
  </hyperlinks>
  <pageMargins left="0.35433070866141736" right="0.35433070866141736" top="0.39370078740157483" bottom="0.39370078740157483" header="0.11811023622047245" footer="0.11811023622047245"/>
  <pageSetup paperSize="9" scale="45" fitToHeight="20" orientation="portrait"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3"/>
  </sheetPr>
  <dimension ref="A1:M5626"/>
  <sheetViews>
    <sheetView workbookViewId="0">
      <pane ySplit="1" topLeftCell="A2" activePane="bottomLeft" state="frozen"/>
      <selection activeCell="E31" sqref="E31"/>
      <selection pane="bottomLeft" activeCell="E31" sqref="E31"/>
    </sheetView>
  </sheetViews>
  <sheetFormatPr defaultColWidth="12.5703125" defaultRowHeight="12.75" x14ac:dyDescent="0.2"/>
  <cols>
    <col min="1" max="1" width="13.85546875" customWidth="1"/>
    <col min="2" max="2" width="11" customWidth="1"/>
    <col min="3" max="3" width="12.7109375" customWidth="1"/>
    <col min="4" max="4" width="12" style="144" customWidth="1"/>
    <col min="5" max="5" width="12.7109375" customWidth="1"/>
    <col min="6" max="6" width="12.85546875" customWidth="1"/>
    <col min="11" max="13" width="12.5703125" style="480"/>
  </cols>
  <sheetData>
    <row r="1" spans="1:13" ht="45.75" customHeight="1" x14ac:dyDescent="0.25">
      <c r="A1" s="141" t="s">
        <v>75</v>
      </c>
      <c r="B1" s="142" t="s">
        <v>35</v>
      </c>
      <c r="C1" s="142" t="s">
        <v>60</v>
      </c>
      <c r="D1" s="143" t="s">
        <v>61</v>
      </c>
      <c r="E1" s="142" t="s">
        <v>62</v>
      </c>
      <c r="F1" s="142" t="s">
        <v>63</v>
      </c>
      <c r="G1" s="142" t="s">
        <v>72</v>
      </c>
      <c r="H1" s="142" t="s">
        <v>207</v>
      </c>
      <c r="I1" s="142" t="s">
        <v>208</v>
      </c>
      <c r="J1" s="142" t="s">
        <v>40</v>
      </c>
      <c r="K1" s="479" t="s">
        <v>255</v>
      </c>
      <c r="L1" s="479" t="s">
        <v>256</v>
      </c>
      <c r="M1" s="479" t="s">
        <v>257</v>
      </c>
    </row>
    <row r="2" spans="1:13" x14ac:dyDescent="0.2">
      <c r="A2" t="s">
        <v>384</v>
      </c>
      <c r="B2" t="s">
        <v>50</v>
      </c>
      <c r="C2" t="s">
        <v>163</v>
      </c>
      <c r="D2" t="s">
        <v>163</v>
      </c>
      <c r="E2" t="s">
        <v>163</v>
      </c>
      <c r="F2" t="s">
        <v>179</v>
      </c>
      <c r="G2">
        <v>9291</v>
      </c>
      <c r="H2">
        <v>4895</v>
      </c>
      <c r="I2">
        <v>10295</v>
      </c>
      <c r="J2">
        <v>24481</v>
      </c>
      <c r="K2" s="482">
        <v>0.38</v>
      </c>
      <c r="L2" s="482">
        <v>0.2</v>
      </c>
      <c r="M2" s="482">
        <v>0.42099999999999999</v>
      </c>
    </row>
    <row r="3" spans="1:13" x14ac:dyDescent="0.2">
      <c r="A3" t="s">
        <v>385</v>
      </c>
      <c r="B3" t="s">
        <v>50</v>
      </c>
      <c r="C3" t="s">
        <v>163</v>
      </c>
      <c r="D3" t="s">
        <v>163</v>
      </c>
      <c r="E3" t="s">
        <v>163</v>
      </c>
      <c r="F3" t="s">
        <v>52</v>
      </c>
      <c r="G3">
        <v>11882</v>
      </c>
      <c r="H3">
        <v>7651</v>
      </c>
      <c r="I3">
        <v>4236</v>
      </c>
      <c r="J3">
        <v>23769</v>
      </c>
      <c r="K3" s="482">
        <v>0.5</v>
      </c>
      <c r="L3" s="482">
        <v>0.32200000000000001</v>
      </c>
      <c r="M3" s="482">
        <v>0.17799999999999999</v>
      </c>
    </row>
    <row r="4" spans="1:13" x14ac:dyDescent="0.2">
      <c r="A4" t="s">
        <v>386</v>
      </c>
      <c r="B4" t="s">
        <v>13</v>
      </c>
      <c r="C4" t="s">
        <v>163</v>
      </c>
      <c r="D4" t="s">
        <v>163</v>
      </c>
      <c r="E4" t="s">
        <v>163</v>
      </c>
      <c r="F4" t="s">
        <v>179</v>
      </c>
      <c r="G4">
        <v>23786</v>
      </c>
      <c r="H4">
        <v>4111</v>
      </c>
      <c r="I4">
        <v>8606</v>
      </c>
      <c r="J4">
        <v>36503</v>
      </c>
      <c r="K4" s="482">
        <v>0.65200000000000002</v>
      </c>
      <c r="L4" s="482">
        <v>0.113</v>
      </c>
      <c r="M4" s="482">
        <v>0.23599999999999999</v>
      </c>
    </row>
    <row r="5" spans="1:13" x14ac:dyDescent="0.2">
      <c r="A5" t="s">
        <v>387</v>
      </c>
      <c r="B5" t="s">
        <v>13</v>
      </c>
      <c r="C5" t="s">
        <v>163</v>
      </c>
      <c r="D5" t="s">
        <v>163</v>
      </c>
      <c r="E5" t="s">
        <v>163</v>
      </c>
      <c r="F5" t="s">
        <v>52</v>
      </c>
      <c r="G5">
        <v>33920</v>
      </c>
      <c r="H5">
        <v>2282</v>
      </c>
      <c r="I5">
        <v>2212</v>
      </c>
      <c r="J5">
        <v>38414</v>
      </c>
      <c r="K5" s="482">
        <v>0.88300000000000001</v>
      </c>
      <c r="L5" s="482">
        <v>5.8999999999999997E-2</v>
      </c>
      <c r="M5" s="482">
        <v>5.8000000000000003E-2</v>
      </c>
    </row>
    <row r="6" spans="1:13" x14ac:dyDescent="0.2">
      <c r="A6" t="s">
        <v>388</v>
      </c>
      <c r="B6" t="s">
        <v>13</v>
      </c>
      <c r="C6" t="s">
        <v>163</v>
      </c>
      <c r="D6" t="s">
        <v>163</v>
      </c>
      <c r="E6" t="s">
        <v>163</v>
      </c>
      <c r="F6" t="s">
        <v>14</v>
      </c>
      <c r="G6">
        <v>40118</v>
      </c>
      <c r="H6">
        <v>260</v>
      </c>
      <c r="I6">
        <v>1209</v>
      </c>
      <c r="J6">
        <v>41587</v>
      </c>
      <c r="K6" s="482">
        <v>0.96499999999999997</v>
      </c>
      <c r="L6" s="482">
        <v>6.0000000000000001E-3</v>
      </c>
      <c r="M6" s="482">
        <v>2.9000000000000001E-2</v>
      </c>
    </row>
    <row r="7" spans="1:13" x14ac:dyDescent="0.2">
      <c r="A7" t="s">
        <v>389</v>
      </c>
      <c r="B7" t="s">
        <v>15</v>
      </c>
      <c r="C7" t="s">
        <v>163</v>
      </c>
      <c r="D7" t="s">
        <v>163</v>
      </c>
      <c r="E7" t="s">
        <v>163</v>
      </c>
      <c r="F7" t="s">
        <v>179</v>
      </c>
      <c r="G7">
        <v>22384</v>
      </c>
      <c r="H7">
        <v>5483</v>
      </c>
      <c r="I7">
        <v>12529</v>
      </c>
      <c r="J7">
        <v>40396</v>
      </c>
      <c r="K7" s="482">
        <v>0.55400000000000005</v>
      </c>
      <c r="L7" s="482">
        <v>0.13600000000000001</v>
      </c>
      <c r="M7" s="482">
        <v>0.31</v>
      </c>
    </row>
    <row r="8" spans="1:13" x14ac:dyDescent="0.2">
      <c r="A8" t="s">
        <v>390</v>
      </c>
      <c r="B8" t="s">
        <v>15</v>
      </c>
      <c r="C8" t="s">
        <v>163</v>
      </c>
      <c r="D8" t="s">
        <v>163</v>
      </c>
      <c r="E8" t="s">
        <v>163</v>
      </c>
      <c r="F8" t="s">
        <v>52</v>
      </c>
      <c r="G8">
        <v>34357</v>
      </c>
      <c r="H8">
        <v>4216</v>
      </c>
      <c r="I8">
        <v>4038</v>
      </c>
      <c r="J8">
        <v>42611</v>
      </c>
      <c r="K8" s="482">
        <v>0.80600000000000005</v>
      </c>
      <c r="L8" s="482">
        <v>9.9000000000000005E-2</v>
      </c>
      <c r="M8" s="482">
        <v>9.5000000000000001E-2</v>
      </c>
    </row>
    <row r="9" spans="1:13" x14ac:dyDescent="0.2">
      <c r="A9" t="s">
        <v>391</v>
      </c>
      <c r="B9" t="s">
        <v>15</v>
      </c>
      <c r="C9" t="s">
        <v>163</v>
      </c>
      <c r="D9" t="s">
        <v>163</v>
      </c>
      <c r="E9" t="s">
        <v>163</v>
      </c>
      <c r="F9" t="s">
        <v>16</v>
      </c>
      <c r="G9">
        <v>42899</v>
      </c>
      <c r="H9">
        <v>523</v>
      </c>
      <c r="I9">
        <v>2570</v>
      </c>
      <c r="J9">
        <v>45992</v>
      </c>
      <c r="K9" s="482">
        <v>0.93300000000000005</v>
      </c>
      <c r="L9" s="482">
        <v>1.0999999999999999E-2</v>
      </c>
      <c r="M9" s="482">
        <v>5.6000000000000001E-2</v>
      </c>
    </row>
    <row r="10" spans="1:13" x14ac:dyDescent="0.2">
      <c r="A10" t="s">
        <v>392</v>
      </c>
      <c r="B10" t="s">
        <v>17</v>
      </c>
      <c r="C10" t="s">
        <v>163</v>
      </c>
      <c r="D10" t="s">
        <v>163</v>
      </c>
      <c r="E10" t="s">
        <v>163</v>
      </c>
      <c r="F10" t="s">
        <v>0</v>
      </c>
      <c r="G10">
        <v>5210</v>
      </c>
      <c r="H10">
        <v>5</v>
      </c>
      <c r="I10">
        <v>1110</v>
      </c>
      <c r="J10">
        <v>6325</v>
      </c>
      <c r="K10" s="482">
        <v>0.82399999999999995</v>
      </c>
      <c r="L10" s="482">
        <v>1E-3</v>
      </c>
      <c r="M10" s="482">
        <v>0.17499999999999999</v>
      </c>
    </row>
    <row r="11" spans="1:13" x14ac:dyDescent="0.2">
      <c r="A11" t="s">
        <v>393</v>
      </c>
      <c r="B11" t="s">
        <v>17</v>
      </c>
      <c r="C11" t="s">
        <v>163</v>
      </c>
      <c r="D11" t="s">
        <v>163</v>
      </c>
      <c r="E11" t="s">
        <v>163</v>
      </c>
      <c r="F11" t="s">
        <v>179</v>
      </c>
      <c r="G11">
        <v>2367</v>
      </c>
      <c r="H11">
        <v>1196</v>
      </c>
      <c r="I11">
        <v>2503</v>
      </c>
      <c r="J11">
        <v>6066</v>
      </c>
      <c r="K11" s="482">
        <v>0.39</v>
      </c>
      <c r="L11" s="482">
        <v>0.19700000000000001</v>
      </c>
      <c r="M11" s="482">
        <v>0.41299999999999998</v>
      </c>
    </row>
    <row r="12" spans="1:13" x14ac:dyDescent="0.2">
      <c r="A12" t="s">
        <v>394</v>
      </c>
      <c r="B12" t="s">
        <v>17</v>
      </c>
      <c r="C12" t="s">
        <v>163</v>
      </c>
      <c r="D12" t="s">
        <v>163</v>
      </c>
      <c r="E12" t="s">
        <v>163</v>
      </c>
      <c r="F12" t="s">
        <v>52</v>
      </c>
      <c r="G12">
        <v>3181</v>
      </c>
      <c r="H12">
        <v>1933</v>
      </c>
      <c r="I12">
        <v>1015</v>
      </c>
      <c r="J12">
        <v>6129</v>
      </c>
      <c r="K12" s="482">
        <v>0.51900000000000002</v>
      </c>
      <c r="L12" s="482">
        <v>0.315</v>
      </c>
      <c r="M12" s="482">
        <v>0.16600000000000001</v>
      </c>
    </row>
    <row r="13" spans="1:13" x14ac:dyDescent="0.2">
      <c r="A13" t="s">
        <v>476</v>
      </c>
      <c r="B13" t="s">
        <v>50</v>
      </c>
      <c r="C13" t="s">
        <v>87</v>
      </c>
      <c r="D13" t="s">
        <v>477</v>
      </c>
      <c r="E13" t="s">
        <v>478</v>
      </c>
      <c r="F13" t="s">
        <v>179</v>
      </c>
      <c r="G13">
        <v>17</v>
      </c>
      <c r="H13">
        <v>11</v>
      </c>
      <c r="I13">
        <v>25</v>
      </c>
      <c r="J13">
        <v>53</v>
      </c>
      <c r="K13" s="482">
        <v>0.32100000000000001</v>
      </c>
      <c r="L13" s="482">
        <v>0.20799999999999999</v>
      </c>
      <c r="M13" s="482">
        <v>0.47199999999999998</v>
      </c>
    </row>
    <row r="14" spans="1:13" x14ac:dyDescent="0.2">
      <c r="A14" t="s">
        <v>479</v>
      </c>
      <c r="B14" t="s">
        <v>50</v>
      </c>
      <c r="C14" t="s">
        <v>87</v>
      </c>
      <c r="D14" t="s">
        <v>480</v>
      </c>
      <c r="E14" t="s">
        <v>481</v>
      </c>
      <c r="F14" t="s">
        <v>179</v>
      </c>
      <c r="G14">
        <v>34</v>
      </c>
      <c r="H14">
        <v>21</v>
      </c>
      <c r="I14">
        <v>49</v>
      </c>
      <c r="J14">
        <v>104</v>
      </c>
      <c r="K14" s="482">
        <v>0.32700000000000001</v>
      </c>
      <c r="L14" s="482">
        <v>0.20200000000000001</v>
      </c>
      <c r="M14" s="482">
        <v>0.47099999999999997</v>
      </c>
    </row>
    <row r="15" spans="1:13" x14ac:dyDescent="0.2">
      <c r="A15" t="s">
        <v>464</v>
      </c>
      <c r="B15" t="s">
        <v>50</v>
      </c>
      <c r="C15" t="s">
        <v>87</v>
      </c>
      <c r="D15" t="s">
        <v>465</v>
      </c>
      <c r="E15" t="s">
        <v>466</v>
      </c>
      <c r="F15" t="s">
        <v>179</v>
      </c>
      <c r="G15">
        <v>46</v>
      </c>
      <c r="H15">
        <v>30</v>
      </c>
      <c r="I15">
        <v>74</v>
      </c>
      <c r="J15">
        <v>150</v>
      </c>
      <c r="K15" s="482">
        <v>0.307</v>
      </c>
      <c r="L15" s="482">
        <v>0.2</v>
      </c>
      <c r="M15" s="482">
        <v>0.49299999999999999</v>
      </c>
    </row>
    <row r="16" spans="1:13" x14ac:dyDescent="0.2">
      <c r="A16" t="s">
        <v>467</v>
      </c>
      <c r="B16" t="s">
        <v>50</v>
      </c>
      <c r="C16" t="s">
        <v>87</v>
      </c>
      <c r="D16" t="s">
        <v>468</v>
      </c>
      <c r="E16" t="s">
        <v>469</v>
      </c>
      <c r="F16" t="s">
        <v>179</v>
      </c>
      <c r="G16">
        <v>96</v>
      </c>
      <c r="H16">
        <v>46</v>
      </c>
      <c r="I16">
        <v>114</v>
      </c>
      <c r="J16">
        <v>256</v>
      </c>
      <c r="K16" s="482">
        <v>0.375</v>
      </c>
      <c r="L16" s="482">
        <v>0.18</v>
      </c>
      <c r="M16" s="482">
        <v>0.44500000000000001</v>
      </c>
    </row>
    <row r="17" spans="1:13" x14ac:dyDescent="0.2">
      <c r="A17" t="s">
        <v>470</v>
      </c>
      <c r="B17" t="s">
        <v>50</v>
      </c>
      <c r="C17" t="s">
        <v>87</v>
      </c>
      <c r="D17" t="s">
        <v>471</v>
      </c>
      <c r="E17" t="s">
        <v>472</v>
      </c>
      <c r="F17" t="s">
        <v>179</v>
      </c>
      <c r="G17">
        <v>13</v>
      </c>
      <c r="H17">
        <v>10</v>
      </c>
      <c r="I17">
        <v>19</v>
      </c>
      <c r="J17">
        <v>42</v>
      </c>
      <c r="K17" s="482">
        <v>0.31</v>
      </c>
      <c r="L17" s="482">
        <v>0.23799999999999999</v>
      </c>
      <c r="M17" s="482">
        <v>0.45200000000000001</v>
      </c>
    </row>
    <row r="18" spans="1:13" x14ac:dyDescent="0.2">
      <c r="A18" t="s">
        <v>473</v>
      </c>
      <c r="B18" t="s">
        <v>50</v>
      </c>
      <c r="C18" t="s">
        <v>87</v>
      </c>
      <c r="D18" t="s">
        <v>474</v>
      </c>
      <c r="E18" t="s">
        <v>475</v>
      </c>
      <c r="F18" t="s">
        <v>179</v>
      </c>
      <c r="G18">
        <v>38</v>
      </c>
      <c r="H18">
        <v>27</v>
      </c>
      <c r="I18">
        <v>58</v>
      </c>
      <c r="J18">
        <v>123</v>
      </c>
      <c r="K18" s="482">
        <v>0.309</v>
      </c>
      <c r="L18" s="482">
        <v>0.22</v>
      </c>
      <c r="M18" s="482">
        <v>0.47199999999999998</v>
      </c>
    </row>
    <row r="19" spans="1:13" x14ac:dyDescent="0.2">
      <c r="A19" t="s">
        <v>482</v>
      </c>
      <c r="B19" t="s">
        <v>50</v>
      </c>
      <c r="C19" t="s">
        <v>87</v>
      </c>
      <c r="D19" t="s">
        <v>483</v>
      </c>
      <c r="E19" t="s">
        <v>484</v>
      </c>
      <c r="F19" t="s">
        <v>179</v>
      </c>
      <c r="G19">
        <v>33</v>
      </c>
      <c r="H19">
        <v>17</v>
      </c>
      <c r="I19">
        <v>35</v>
      </c>
      <c r="J19">
        <v>85</v>
      </c>
      <c r="K19" s="482">
        <v>0.38800000000000001</v>
      </c>
      <c r="L19" s="482">
        <v>0.2</v>
      </c>
      <c r="M19" s="482">
        <v>0.41199999999999998</v>
      </c>
    </row>
    <row r="20" spans="1:13" x14ac:dyDescent="0.2">
      <c r="A20" t="s">
        <v>440</v>
      </c>
      <c r="B20" t="s">
        <v>50</v>
      </c>
      <c r="C20" t="s">
        <v>87</v>
      </c>
      <c r="D20" t="s">
        <v>441</v>
      </c>
      <c r="E20" t="s">
        <v>442</v>
      </c>
      <c r="F20" t="s">
        <v>179</v>
      </c>
      <c r="G20">
        <v>25</v>
      </c>
      <c r="H20">
        <v>13</v>
      </c>
      <c r="I20">
        <v>30</v>
      </c>
      <c r="J20">
        <v>68</v>
      </c>
      <c r="K20" s="482">
        <v>0.36799999999999999</v>
      </c>
      <c r="L20" s="482">
        <v>0.191</v>
      </c>
      <c r="M20" s="482">
        <v>0.441</v>
      </c>
    </row>
    <row r="21" spans="1:13" x14ac:dyDescent="0.2">
      <c r="A21" t="s">
        <v>437</v>
      </c>
      <c r="B21" t="s">
        <v>50</v>
      </c>
      <c r="C21" t="s">
        <v>87</v>
      </c>
      <c r="D21" t="s">
        <v>438</v>
      </c>
      <c r="E21" t="s">
        <v>439</v>
      </c>
      <c r="F21" t="s">
        <v>179</v>
      </c>
      <c r="G21">
        <v>15</v>
      </c>
      <c r="H21">
        <v>12</v>
      </c>
      <c r="I21">
        <v>18</v>
      </c>
      <c r="J21">
        <v>45</v>
      </c>
      <c r="K21" s="482">
        <v>0.33300000000000002</v>
      </c>
      <c r="L21" s="482">
        <v>0.26700000000000002</v>
      </c>
      <c r="M21" s="482">
        <v>0.4</v>
      </c>
    </row>
    <row r="22" spans="1:13" x14ac:dyDescent="0.2">
      <c r="A22" t="s">
        <v>401</v>
      </c>
      <c r="B22" t="s">
        <v>50</v>
      </c>
      <c r="C22" t="s">
        <v>87</v>
      </c>
      <c r="D22" t="s">
        <v>402</v>
      </c>
      <c r="E22" t="s">
        <v>403</v>
      </c>
      <c r="F22" t="s">
        <v>179</v>
      </c>
      <c r="G22">
        <v>51</v>
      </c>
      <c r="H22">
        <v>17</v>
      </c>
      <c r="I22">
        <v>47</v>
      </c>
      <c r="J22">
        <v>115</v>
      </c>
      <c r="K22" s="482">
        <v>0.443</v>
      </c>
      <c r="L22" s="482">
        <v>0.14799999999999999</v>
      </c>
      <c r="M22" s="482">
        <v>0.40899999999999997</v>
      </c>
    </row>
    <row r="23" spans="1:13" x14ac:dyDescent="0.2">
      <c r="A23" t="s">
        <v>404</v>
      </c>
      <c r="B23" t="s">
        <v>50</v>
      </c>
      <c r="C23" t="s">
        <v>87</v>
      </c>
      <c r="D23" t="s">
        <v>405</v>
      </c>
      <c r="E23" t="s">
        <v>406</v>
      </c>
      <c r="F23" t="s">
        <v>179</v>
      </c>
      <c r="G23">
        <v>46</v>
      </c>
      <c r="H23">
        <v>22</v>
      </c>
      <c r="I23">
        <v>41</v>
      </c>
      <c r="J23">
        <v>109</v>
      </c>
      <c r="K23" s="482">
        <v>0.42199999999999999</v>
      </c>
      <c r="L23" s="482">
        <v>0.20200000000000001</v>
      </c>
      <c r="M23" s="482">
        <v>0.376</v>
      </c>
    </row>
    <row r="24" spans="1:13" x14ac:dyDescent="0.2">
      <c r="A24" t="s">
        <v>443</v>
      </c>
      <c r="B24" t="s">
        <v>50</v>
      </c>
      <c r="C24" t="s">
        <v>87</v>
      </c>
      <c r="D24" t="s">
        <v>444</v>
      </c>
      <c r="E24" t="s">
        <v>445</v>
      </c>
      <c r="F24" t="s">
        <v>179</v>
      </c>
      <c r="G24">
        <v>91</v>
      </c>
      <c r="H24">
        <v>42</v>
      </c>
      <c r="I24">
        <v>89</v>
      </c>
      <c r="J24">
        <v>222</v>
      </c>
      <c r="K24" s="482">
        <v>0.41</v>
      </c>
      <c r="L24" s="482">
        <v>0.189</v>
      </c>
      <c r="M24" s="482">
        <v>0.40100000000000002</v>
      </c>
    </row>
    <row r="25" spans="1:13" x14ac:dyDescent="0.2">
      <c r="A25" t="s">
        <v>446</v>
      </c>
      <c r="B25" t="s">
        <v>50</v>
      </c>
      <c r="C25" t="s">
        <v>87</v>
      </c>
      <c r="D25" t="s">
        <v>447</v>
      </c>
      <c r="E25" t="s">
        <v>448</v>
      </c>
      <c r="F25" t="s">
        <v>179</v>
      </c>
      <c r="G25">
        <v>59</v>
      </c>
      <c r="H25">
        <v>25</v>
      </c>
      <c r="I25">
        <v>59</v>
      </c>
      <c r="J25">
        <v>143</v>
      </c>
      <c r="K25" s="482">
        <v>0.41299999999999998</v>
      </c>
      <c r="L25" s="482">
        <v>0.17499999999999999</v>
      </c>
      <c r="M25" s="482">
        <v>0.41299999999999998</v>
      </c>
    </row>
    <row r="26" spans="1:13" x14ac:dyDescent="0.2">
      <c r="A26" t="s">
        <v>449</v>
      </c>
      <c r="B26" t="s">
        <v>50</v>
      </c>
      <c r="C26" t="s">
        <v>87</v>
      </c>
      <c r="D26" t="s">
        <v>450</v>
      </c>
      <c r="E26" t="s">
        <v>451</v>
      </c>
      <c r="F26" t="s">
        <v>179</v>
      </c>
      <c r="G26">
        <v>29</v>
      </c>
      <c r="H26">
        <v>14</v>
      </c>
      <c r="I26">
        <v>46</v>
      </c>
      <c r="J26">
        <v>89</v>
      </c>
      <c r="K26" s="482">
        <v>0.32600000000000001</v>
      </c>
      <c r="L26" s="482">
        <v>0.157</v>
      </c>
      <c r="M26" s="482">
        <v>0.51700000000000002</v>
      </c>
    </row>
    <row r="27" spans="1:13" x14ac:dyDescent="0.2">
      <c r="A27" t="s">
        <v>452</v>
      </c>
      <c r="B27" t="s">
        <v>50</v>
      </c>
      <c r="C27" t="s">
        <v>87</v>
      </c>
      <c r="D27" t="s">
        <v>453</v>
      </c>
      <c r="E27" t="s">
        <v>454</v>
      </c>
      <c r="F27" t="s">
        <v>179</v>
      </c>
      <c r="G27">
        <v>77</v>
      </c>
      <c r="H27">
        <v>35</v>
      </c>
      <c r="I27">
        <v>62</v>
      </c>
      <c r="J27">
        <v>174</v>
      </c>
      <c r="K27" s="482">
        <v>0.443</v>
      </c>
      <c r="L27" s="482">
        <v>0.20100000000000001</v>
      </c>
      <c r="M27" s="482">
        <v>0.35599999999999998</v>
      </c>
    </row>
    <row r="28" spans="1:13" x14ac:dyDescent="0.2">
      <c r="A28" t="s">
        <v>455</v>
      </c>
      <c r="B28" t="s">
        <v>50</v>
      </c>
      <c r="C28" t="s">
        <v>87</v>
      </c>
      <c r="D28" t="s">
        <v>456</v>
      </c>
      <c r="E28" t="s">
        <v>457</v>
      </c>
      <c r="F28" t="s">
        <v>179</v>
      </c>
      <c r="G28">
        <v>3</v>
      </c>
      <c r="H28">
        <v>0</v>
      </c>
      <c r="I28">
        <v>4</v>
      </c>
      <c r="J28">
        <v>7</v>
      </c>
      <c r="K28" s="482">
        <v>0.42899999999999999</v>
      </c>
      <c r="L28" s="482">
        <v>0</v>
      </c>
      <c r="M28" s="482">
        <v>0.57099999999999995</v>
      </c>
    </row>
    <row r="29" spans="1:13" x14ac:dyDescent="0.2">
      <c r="A29" t="s">
        <v>458</v>
      </c>
      <c r="B29" t="s">
        <v>50</v>
      </c>
      <c r="C29" t="s">
        <v>87</v>
      </c>
      <c r="D29" t="s">
        <v>459</v>
      </c>
      <c r="E29" t="s">
        <v>460</v>
      </c>
      <c r="F29" t="s">
        <v>179</v>
      </c>
      <c r="G29">
        <v>18</v>
      </c>
      <c r="H29">
        <v>17</v>
      </c>
      <c r="I29">
        <v>31</v>
      </c>
      <c r="J29">
        <v>66</v>
      </c>
      <c r="K29" s="482">
        <v>0.27300000000000002</v>
      </c>
      <c r="L29" s="482">
        <v>0.25800000000000001</v>
      </c>
      <c r="M29" s="482">
        <v>0.47</v>
      </c>
    </row>
    <row r="30" spans="1:13" x14ac:dyDescent="0.2">
      <c r="A30" t="s">
        <v>461</v>
      </c>
      <c r="B30" t="s">
        <v>50</v>
      </c>
      <c r="C30" t="s">
        <v>87</v>
      </c>
      <c r="D30" t="s">
        <v>462</v>
      </c>
      <c r="E30" t="s">
        <v>463</v>
      </c>
      <c r="F30" t="s">
        <v>179</v>
      </c>
      <c r="G30">
        <v>54</v>
      </c>
      <c r="H30">
        <v>25</v>
      </c>
      <c r="I30">
        <v>61</v>
      </c>
      <c r="J30">
        <v>140</v>
      </c>
      <c r="K30" s="482">
        <v>0.38600000000000001</v>
      </c>
      <c r="L30" s="482">
        <v>0.17899999999999999</v>
      </c>
      <c r="M30" s="482">
        <v>0.436</v>
      </c>
    </row>
    <row r="31" spans="1:13" x14ac:dyDescent="0.2">
      <c r="A31" t="s">
        <v>6546</v>
      </c>
      <c r="B31" t="s">
        <v>50</v>
      </c>
      <c r="C31" t="s">
        <v>87</v>
      </c>
      <c r="D31" t="s">
        <v>6547</v>
      </c>
      <c r="E31" t="s">
        <v>6544</v>
      </c>
      <c r="F31" t="s">
        <v>179</v>
      </c>
      <c r="G31" t="s">
        <v>53</v>
      </c>
      <c r="H31">
        <v>0</v>
      </c>
      <c r="I31">
        <v>0</v>
      </c>
      <c r="J31" t="s">
        <v>53</v>
      </c>
      <c r="K31" t="s">
        <v>53</v>
      </c>
      <c r="L31" t="s">
        <v>53</v>
      </c>
      <c r="M31" t="s">
        <v>53</v>
      </c>
    </row>
    <row r="32" spans="1:13" x14ac:dyDescent="0.2">
      <c r="A32" t="s">
        <v>398</v>
      </c>
      <c r="B32" t="s">
        <v>50</v>
      </c>
      <c r="C32" t="s">
        <v>87</v>
      </c>
      <c r="D32" t="s">
        <v>399</v>
      </c>
      <c r="E32" t="s">
        <v>400</v>
      </c>
      <c r="F32" t="s">
        <v>179</v>
      </c>
      <c r="G32">
        <v>43</v>
      </c>
      <c r="H32">
        <v>19</v>
      </c>
      <c r="I32">
        <v>40</v>
      </c>
      <c r="J32">
        <v>102</v>
      </c>
      <c r="K32" s="482">
        <v>0.42199999999999999</v>
      </c>
      <c r="L32" s="482">
        <v>0.186</v>
      </c>
      <c r="M32" s="482">
        <v>0.39200000000000002</v>
      </c>
    </row>
    <row r="33" spans="1:13" x14ac:dyDescent="0.2">
      <c r="A33" t="s">
        <v>497</v>
      </c>
      <c r="B33" t="s">
        <v>50</v>
      </c>
      <c r="C33" t="s">
        <v>87</v>
      </c>
      <c r="D33" t="s">
        <v>498</v>
      </c>
      <c r="E33" t="s">
        <v>499</v>
      </c>
      <c r="F33" t="s">
        <v>179</v>
      </c>
      <c r="G33">
        <v>42</v>
      </c>
      <c r="H33">
        <v>11</v>
      </c>
      <c r="I33">
        <v>33</v>
      </c>
      <c r="J33">
        <v>86</v>
      </c>
      <c r="K33" s="482">
        <v>0.48799999999999999</v>
      </c>
      <c r="L33" s="482">
        <v>0.128</v>
      </c>
      <c r="M33" s="482">
        <v>0.38400000000000001</v>
      </c>
    </row>
    <row r="34" spans="1:13" x14ac:dyDescent="0.2">
      <c r="A34" t="s">
        <v>500</v>
      </c>
      <c r="B34" t="s">
        <v>50</v>
      </c>
      <c r="C34" t="s">
        <v>87</v>
      </c>
      <c r="D34" t="s">
        <v>501</v>
      </c>
      <c r="E34" t="s">
        <v>502</v>
      </c>
      <c r="F34" t="s">
        <v>179</v>
      </c>
      <c r="G34">
        <v>30</v>
      </c>
      <c r="H34">
        <v>21</v>
      </c>
      <c r="I34">
        <v>42</v>
      </c>
      <c r="J34">
        <v>93</v>
      </c>
      <c r="K34" s="482">
        <v>0.32300000000000001</v>
      </c>
      <c r="L34" s="482">
        <v>0.22600000000000001</v>
      </c>
      <c r="M34" s="482">
        <v>0.45200000000000001</v>
      </c>
    </row>
    <row r="35" spans="1:13" x14ac:dyDescent="0.2">
      <c r="A35" t="s">
        <v>503</v>
      </c>
      <c r="B35" t="s">
        <v>50</v>
      </c>
      <c r="C35" t="s">
        <v>87</v>
      </c>
      <c r="D35" t="s">
        <v>504</v>
      </c>
      <c r="E35" t="s">
        <v>505</v>
      </c>
      <c r="F35" t="s">
        <v>179</v>
      </c>
      <c r="G35">
        <v>65</v>
      </c>
      <c r="H35">
        <v>24</v>
      </c>
      <c r="I35">
        <v>56</v>
      </c>
      <c r="J35">
        <v>145</v>
      </c>
      <c r="K35" s="482">
        <v>0.44800000000000001</v>
      </c>
      <c r="L35" s="482">
        <v>0.16600000000000001</v>
      </c>
      <c r="M35" s="482">
        <v>0.38600000000000001</v>
      </c>
    </row>
    <row r="36" spans="1:13" x14ac:dyDescent="0.2">
      <c r="A36" t="s">
        <v>506</v>
      </c>
      <c r="B36" t="s">
        <v>50</v>
      </c>
      <c r="C36" t="s">
        <v>87</v>
      </c>
      <c r="D36" t="s">
        <v>507</v>
      </c>
      <c r="E36" t="s">
        <v>508</v>
      </c>
      <c r="F36" t="s">
        <v>179</v>
      </c>
      <c r="G36">
        <v>97</v>
      </c>
      <c r="H36">
        <v>53</v>
      </c>
      <c r="I36">
        <v>93</v>
      </c>
      <c r="J36">
        <v>243</v>
      </c>
      <c r="K36" s="482">
        <v>0.39900000000000002</v>
      </c>
      <c r="L36" s="482">
        <v>0.218</v>
      </c>
      <c r="M36" s="482">
        <v>0.38300000000000001</v>
      </c>
    </row>
    <row r="37" spans="1:13" x14ac:dyDescent="0.2">
      <c r="A37" t="s">
        <v>509</v>
      </c>
      <c r="B37" t="s">
        <v>50</v>
      </c>
      <c r="C37" t="s">
        <v>87</v>
      </c>
      <c r="D37" t="s">
        <v>510</v>
      </c>
      <c r="E37" t="s">
        <v>511</v>
      </c>
      <c r="F37" t="s">
        <v>179</v>
      </c>
      <c r="G37">
        <v>12</v>
      </c>
      <c r="H37">
        <v>5</v>
      </c>
      <c r="I37">
        <v>18</v>
      </c>
      <c r="J37">
        <v>35</v>
      </c>
      <c r="K37" s="482">
        <v>0.34300000000000003</v>
      </c>
      <c r="L37" s="482">
        <v>0.14299999999999999</v>
      </c>
      <c r="M37" s="482">
        <v>0.51400000000000001</v>
      </c>
    </row>
    <row r="38" spans="1:13" x14ac:dyDescent="0.2">
      <c r="A38" t="s">
        <v>512</v>
      </c>
      <c r="B38" t="s">
        <v>50</v>
      </c>
      <c r="C38" t="s">
        <v>87</v>
      </c>
      <c r="D38" t="s">
        <v>513</v>
      </c>
      <c r="E38" t="s">
        <v>514</v>
      </c>
      <c r="F38" t="s">
        <v>179</v>
      </c>
      <c r="G38">
        <v>28</v>
      </c>
      <c r="H38">
        <v>16</v>
      </c>
      <c r="I38">
        <v>40</v>
      </c>
      <c r="J38">
        <v>84</v>
      </c>
      <c r="K38" s="482">
        <v>0.33300000000000002</v>
      </c>
      <c r="L38" s="482">
        <v>0.19</v>
      </c>
      <c r="M38" s="482">
        <v>0.47599999999999998</v>
      </c>
    </row>
    <row r="39" spans="1:13" x14ac:dyDescent="0.2">
      <c r="A39" t="s">
        <v>515</v>
      </c>
      <c r="B39" t="s">
        <v>50</v>
      </c>
      <c r="C39" t="s">
        <v>87</v>
      </c>
      <c r="D39" t="s">
        <v>516</v>
      </c>
      <c r="E39" t="s">
        <v>517</v>
      </c>
      <c r="F39" t="s">
        <v>179</v>
      </c>
      <c r="G39">
        <v>18</v>
      </c>
      <c r="H39">
        <v>10</v>
      </c>
      <c r="I39">
        <v>18</v>
      </c>
      <c r="J39">
        <v>46</v>
      </c>
      <c r="K39" s="482">
        <v>0.39100000000000001</v>
      </c>
      <c r="L39" s="482">
        <v>0.217</v>
      </c>
      <c r="M39" s="482">
        <v>0.39100000000000001</v>
      </c>
    </row>
    <row r="40" spans="1:13" x14ac:dyDescent="0.2">
      <c r="A40" t="s">
        <v>518</v>
      </c>
      <c r="B40" t="s">
        <v>50</v>
      </c>
      <c r="C40" t="s">
        <v>87</v>
      </c>
      <c r="D40" t="s">
        <v>519</v>
      </c>
      <c r="E40" t="s">
        <v>520</v>
      </c>
      <c r="F40" t="s">
        <v>179</v>
      </c>
      <c r="G40">
        <v>45</v>
      </c>
      <c r="H40">
        <v>35</v>
      </c>
      <c r="I40">
        <v>58</v>
      </c>
      <c r="J40">
        <v>138</v>
      </c>
      <c r="K40" s="482">
        <v>0.32600000000000001</v>
      </c>
      <c r="L40" s="482">
        <v>0.254</v>
      </c>
      <c r="M40" s="482">
        <v>0.42</v>
      </c>
    </row>
    <row r="41" spans="1:13" x14ac:dyDescent="0.2">
      <c r="A41" t="s">
        <v>521</v>
      </c>
      <c r="B41" t="s">
        <v>50</v>
      </c>
      <c r="C41" t="s">
        <v>87</v>
      </c>
      <c r="D41" t="s">
        <v>522</v>
      </c>
      <c r="E41" t="s">
        <v>523</v>
      </c>
      <c r="F41" t="s">
        <v>179</v>
      </c>
      <c r="G41">
        <v>4</v>
      </c>
      <c r="H41">
        <v>8</v>
      </c>
      <c r="I41">
        <v>7</v>
      </c>
      <c r="J41">
        <v>19</v>
      </c>
      <c r="K41" s="482">
        <v>0.21099999999999999</v>
      </c>
      <c r="L41" s="482">
        <v>0.42099999999999999</v>
      </c>
      <c r="M41" s="482">
        <v>0.36799999999999999</v>
      </c>
    </row>
    <row r="42" spans="1:13" x14ac:dyDescent="0.2">
      <c r="A42" t="s">
        <v>524</v>
      </c>
      <c r="B42" t="s">
        <v>50</v>
      </c>
      <c r="C42" t="s">
        <v>87</v>
      </c>
      <c r="D42" t="s">
        <v>525</v>
      </c>
      <c r="E42" t="s">
        <v>526</v>
      </c>
      <c r="F42" t="s">
        <v>179</v>
      </c>
      <c r="G42">
        <v>76</v>
      </c>
      <c r="H42">
        <v>35</v>
      </c>
      <c r="I42">
        <v>84</v>
      </c>
      <c r="J42">
        <v>195</v>
      </c>
      <c r="K42" s="482">
        <v>0.39</v>
      </c>
      <c r="L42" s="482">
        <v>0.17899999999999999</v>
      </c>
      <c r="M42" s="482">
        <v>0.43099999999999999</v>
      </c>
    </row>
    <row r="43" spans="1:13" x14ac:dyDescent="0.2">
      <c r="A43" t="s">
        <v>527</v>
      </c>
      <c r="B43" t="s">
        <v>50</v>
      </c>
      <c r="C43" t="s">
        <v>87</v>
      </c>
      <c r="D43" t="s">
        <v>528</v>
      </c>
      <c r="E43" t="s">
        <v>529</v>
      </c>
      <c r="F43" t="s">
        <v>179</v>
      </c>
      <c r="G43">
        <v>92</v>
      </c>
      <c r="H43">
        <v>52</v>
      </c>
      <c r="I43">
        <v>71</v>
      </c>
      <c r="J43">
        <v>215</v>
      </c>
      <c r="K43" s="482">
        <v>0.42799999999999999</v>
      </c>
      <c r="L43" s="482">
        <v>0.24199999999999999</v>
      </c>
      <c r="M43" s="482">
        <v>0.33</v>
      </c>
    </row>
    <row r="44" spans="1:13" x14ac:dyDescent="0.2">
      <c r="A44" t="s">
        <v>530</v>
      </c>
      <c r="B44" t="s">
        <v>50</v>
      </c>
      <c r="C44" t="s">
        <v>87</v>
      </c>
      <c r="D44" t="s">
        <v>531</v>
      </c>
      <c r="E44" t="s">
        <v>532</v>
      </c>
      <c r="F44" t="s">
        <v>179</v>
      </c>
      <c r="G44">
        <v>16</v>
      </c>
      <c r="H44">
        <v>12</v>
      </c>
      <c r="I44">
        <v>19</v>
      </c>
      <c r="J44">
        <v>47</v>
      </c>
      <c r="K44" s="482">
        <v>0.34</v>
      </c>
      <c r="L44" s="482">
        <v>0.255</v>
      </c>
      <c r="M44" s="482">
        <v>0.40400000000000003</v>
      </c>
    </row>
    <row r="45" spans="1:13" x14ac:dyDescent="0.2">
      <c r="A45" t="s">
        <v>533</v>
      </c>
      <c r="B45" t="s">
        <v>50</v>
      </c>
      <c r="C45" t="s">
        <v>87</v>
      </c>
      <c r="D45" t="s">
        <v>534</v>
      </c>
      <c r="E45" t="s">
        <v>535</v>
      </c>
      <c r="F45" t="s">
        <v>179</v>
      </c>
      <c r="G45">
        <v>8</v>
      </c>
      <c r="H45">
        <v>6</v>
      </c>
      <c r="I45">
        <v>12</v>
      </c>
      <c r="J45">
        <v>26</v>
      </c>
      <c r="K45" s="482">
        <v>0.308</v>
      </c>
      <c r="L45" s="482">
        <v>0.23100000000000001</v>
      </c>
      <c r="M45" s="482">
        <v>0.46200000000000002</v>
      </c>
    </row>
    <row r="46" spans="1:13" x14ac:dyDescent="0.2">
      <c r="A46" t="s">
        <v>536</v>
      </c>
      <c r="B46" t="s">
        <v>50</v>
      </c>
      <c r="C46" t="s">
        <v>87</v>
      </c>
      <c r="D46" t="s">
        <v>537</v>
      </c>
      <c r="E46" t="s">
        <v>538</v>
      </c>
      <c r="F46" t="s">
        <v>179</v>
      </c>
      <c r="G46">
        <v>94</v>
      </c>
      <c r="H46">
        <v>48</v>
      </c>
      <c r="I46">
        <v>86</v>
      </c>
      <c r="J46">
        <v>228</v>
      </c>
      <c r="K46" s="482">
        <v>0.41199999999999998</v>
      </c>
      <c r="L46" s="482">
        <v>0.21099999999999999</v>
      </c>
      <c r="M46" s="482">
        <v>0.377</v>
      </c>
    </row>
    <row r="47" spans="1:13" x14ac:dyDescent="0.2">
      <c r="A47" t="s">
        <v>539</v>
      </c>
      <c r="B47" t="s">
        <v>50</v>
      </c>
      <c r="C47" t="s">
        <v>87</v>
      </c>
      <c r="D47" t="s">
        <v>540</v>
      </c>
      <c r="E47" t="s">
        <v>541</v>
      </c>
      <c r="F47" t="s">
        <v>179</v>
      </c>
      <c r="G47">
        <v>3</v>
      </c>
      <c r="H47">
        <v>2</v>
      </c>
      <c r="I47">
        <v>2</v>
      </c>
      <c r="J47">
        <v>7</v>
      </c>
      <c r="K47" s="482">
        <v>0.42899999999999999</v>
      </c>
      <c r="L47" s="482">
        <v>0.28599999999999998</v>
      </c>
      <c r="M47" s="482">
        <v>0.28599999999999998</v>
      </c>
    </row>
    <row r="48" spans="1:13" x14ac:dyDescent="0.2">
      <c r="A48" t="s">
        <v>542</v>
      </c>
      <c r="B48" t="s">
        <v>50</v>
      </c>
      <c r="C48" t="s">
        <v>87</v>
      </c>
      <c r="D48" t="s">
        <v>543</v>
      </c>
      <c r="E48" t="s">
        <v>544</v>
      </c>
      <c r="F48" t="s">
        <v>179</v>
      </c>
      <c r="G48">
        <v>16</v>
      </c>
      <c r="H48">
        <v>6</v>
      </c>
      <c r="I48">
        <v>18</v>
      </c>
      <c r="J48">
        <v>40</v>
      </c>
      <c r="K48" s="482">
        <v>0.4</v>
      </c>
      <c r="L48" s="482">
        <v>0.15</v>
      </c>
      <c r="M48" s="482">
        <v>0.45</v>
      </c>
    </row>
    <row r="49" spans="1:13" x14ac:dyDescent="0.2">
      <c r="A49" t="s">
        <v>545</v>
      </c>
      <c r="B49" t="s">
        <v>50</v>
      </c>
      <c r="C49" t="s">
        <v>87</v>
      </c>
      <c r="D49" t="s">
        <v>546</v>
      </c>
      <c r="E49" t="s">
        <v>547</v>
      </c>
      <c r="F49" t="s">
        <v>179</v>
      </c>
      <c r="G49">
        <v>10</v>
      </c>
      <c r="H49">
        <v>0</v>
      </c>
      <c r="I49">
        <v>8</v>
      </c>
      <c r="J49">
        <v>18</v>
      </c>
      <c r="K49" s="482">
        <v>0.55600000000000005</v>
      </c>
      <c r="L49" s="482">
        <v>0</v>
      </c>
      <c r="M49" s="482">
        <v>0.44400000000000001</v>
      </c>
    </row>
    <row r="50" spans="1:13" x14ac:dyDescent="0.2">
      <c r="A50" t="s">
        <v>548</v>
      </c>
      <c r="B50" t="s">
        <v>50</v>
      </c>
      <c r="C50" t="s">
        <v>87</v>
      </c>
      <c r="D50" t="s">
        <v>549</v>
      </c>
      <c r="E50" t="s">
        <v>550</v>
      </c>
      <c r="F50" t="s">
        <v>179</v>
      </c>
      <c r="G50">
        <v>39</v>
      </c>
      <c r="H50">
        <v>14</v>
      </c>
      <c r="I50">
        <v>35</v>
      </c>
      <c r="J50">
        <v>88</v>
      </c>
      <c r="K50" s="482">
        <v>0.443</v>
      </c>
      <c r="L50" s="482">
        <v>0.159</v>
      </c>
      <c r="M50" s="482">
        <v>0.39800000000000002</v>
      </c>
    </row>
    <row r="51" spans="1:13" x14ac:dyDescent="0.2">
      <c r="A51" t="s">
        <v>551</v>
      </c>
      <c r="B51" t="s">
        <v>50</v>
      </c>
      <c r="C51" t="s">
        <v>87</v>
      </c>
      <c r="D51" t="s">
        <v>552</v>
      </c>
      <c r="E51" t="s">
        <v>337</v>
      </c>
      <c r="F51" t="s">
        <v>179</v>
      </c>
      <c r="G51">
        <v>40</v>
      </c>
      <c r="H51">
        <v>23</v>
      </c>
      <c r="I51">
        <v>44</v>
      </c>
      <c r="J51">
        <v>107</v>
      </c>
      <c r="K51" s="482">
        <v>0.374</v>
      </c>
      <c r="L51" s="482">
        <v>0.215</v>
      </c>
      <c r="M51" s="482">
        <v>0.41099999999999998</v>
      </c>
    </row>
    <row r="52" spans="1:13" x14ac:dyDescent="0.2">
      <c r="A52" t="s">
        <v>395</v>
      </c>
      <c r="B52" t="s">
        <v>50</v>
      </c>
      <c r="C52" t="s">
        <v>87</v>
      </c>
      <c r="D52" t="s">
        <v>396</v>
      </c>
      <c r="E52" t="s">
        <v>397</v>
      </c>
      <c r="F52" t="s">
        <v>179</v>
      </c>
      <c r="G52">
        <v>25</v>
      </c>
      <c r="H52">
        <v>17</v>
      </c>
      <c r="I52">
        <v>24</v>
      </c>
      <c r="J52">
        <v>66</v>
      </c>
      <c r="K52" s="482">
        <v>0.379</v>
      </c>
      <c r="L52" s="482">
        <v>0.25800000000000001</v>
      </c>
      <c r="M52" s="482">
        <v>0.36399999999999999</v>
      </c>
    </row>
    <row r="53" spans="1:13" x14ac:dyDescent="0.2">
      <c r="A53" t="s">
        <v>568</v>
      </c>
      <c r="B53" t="s">
        <v>50</v>
      </c>
      <c r="C53" t="s">
        <v>87</v>
      </c>
      <c r="D53" t="s">
        <v>569</v>
      </c>
      <c r="E53" t="s">
        <v>339</v>
      </c>
      <c r="F53" t="s">
        <v>179</v>
      </c>
      <c r="G53">
        <v>12</v>
      </c>
      <c r="H53">
        <v>1</v>
      </c>
      <c r="I53">
        <v>16</v>
      </c>
      <c r="J53">
        <v>29</v>
      </c>
      <c r="K53" s="482">
        <v>0.41399999999999998</v>
      </c>
      <c r="L53" s="482">
        <v>3.4000000000000002E-2</v>
      </c>
      <c r="M53" s="482">
        <v>0.55200000000000005</v>
      </c>
    </row>
    <row r="54" spans="1:13" x14ac:dyDescent="0.2">
      <c r="A54" t="s">
        <v>570</v>
      </c>
      <c r="B54" t="s">
        <v>50</v>
      </c>
      <c r="C54" t="s">
        <v>87</v>
      </c>
      <c r="D54" t="s">
        <v>571</v>
      </c>
      <c r="E54" t="s">
        <v>572</v>
      </c>
      <c r="F54" t="s">
        <v>179</v>
      </c>
      <c r="G54">
        <v>34</v>
      </c>
      <c r="H54">
        <v>13</v>
      </c>
      <c r="I54">
        <v>36</v>
      </c>
      <c r="J54">
        <v>83</v>
      </c>
      <c r="K54" s="482">
        <v>0.41</v>
      </c>
      <c r="L54" s="482">
        <v>0.157</v>
      </c>
      <c r="M54" s="482">
        <v>0.434</v>
      </c>
    </row>
    <row r="55" spans="1:13" x14ac:dyDescent="0.2">
      <c r="A55" t="s">
        <v>573</v>
      </c>
      <c r="B55" t="s">
        <v>50</v>
      </c>
      <c r="C55" t="s">
        <v>87</v>
      </c>
      <c r="D55" t="s">
        <v>574</v>
      </c>
      <c r="E55" t="s">
        <v>575</v>
      </c>
      <c r="F55" t="s">
        <v>179</v>
      </c>
      <c r="G55">
        <v>14</v>
      </c>
      <c r="H55">
        <v>3</v>
      </c>
      <c r="I55">
        <v>13</v>
      </c>
      <c r="J55">
        <v>30</v>
      </c>
      <c r="K55" s="482">
        <v>0.46700000000000003</v>
      </c>
      <c r="L55" s="482">
        <v>0.1</v>
      </c>
      <c r="M55" s="482">
        <v>0.433</v>
      </c>
    </row>
    <row r="56" spans="1:13" x14ac:dyDescent="0.2">
      <c r="A56" t="s">
        <v>576</v>
      </c>
      <c r="B56" t="s">
        <v>50</v>
      </c>
      <c r="C56" t="s">
        <v>87</v>
      </c>
      <c r="D56" t="s">
        <v>577</v>
      </c>
      <c r="E56" t="s">
        <v>578</v>
      </c>
      <c r="F56" t="s">
        <v>179</v>
      </c>
      <c r="G56">
        <v>11</v>
      </c>
      <c r="H56">
        <v>9</v>
      </c>
      <c r="I56">
        <v>13</v>
      </c>
      <c r="J56">
        <v>33</v>
      </c>
      <c r="K56" s="482">
        <v>0.33300000000000002</v>
      </c>
      <c r="L56" s="482">
        <v>0.27300000000000002</v>
      </c>
      <c r="M56" s="482">
        <v>0.39400000000000002</v>
      </c>
    </row>
    <row r="57" spans="1:13" x14ac:dyDescent="0.2">
      <c r="A57" t="s">
        <v>579</v>
      </c>
      <c r="B57" t="s">
        <v>50</v>
      </c>
      <c r="C57" t="s">
        <v>87</v>
      </c>
      <c r="D57" t="s">
        <v>580</v>
      </c>
      <c r="E57" t="s">
        <v>581</v>
      </c>
      <c r="F57" t="s">
        <v>179</v>
      </c>
      <c r="G57">
        <v>42</v>
      </c>
      <c r="H57">
        <v>30</v>
      </c>
      <c r="I57">
        <v>59</v>
      </c>
      <c r="J57">
        <v>131</v>
      </c>
      <c r="K57" s="482">
        <v>0.32100000000000001</v>
      </c>
      <c r="L57" s="482">
        <v>0.22900000000000001</v>
      </c>
      <c r="M57" s="482">
        <v>0.45</v>
      </c>
    </row>
    <row r="58" spans="1:13" x14ac:dyDescent="0.2">
      <c r="A58" t="s">
        <v>582</v>
      </c>
      <c r="B58" t="s">
        <v>50</v>
      </c>
      <c r="C58" t="s">
        <v>87</v>
      </c>
      <c r="D58" t="s">
        <v>583</v>
      </c>
      <c r="E58" t="s">
        <v>584</v>
      </c>
      <c r="F58" t="s">
        <v>179</v>
      </c>
      <c r="G58">
        <v>27</v>
      </c>
      <c r="H58">
        <v>9</v>
      </c>
      <c r="I58">
        <v>31</v>
      </c>
      <c r="J58">
        <v>67</v>
      </c>
      <c r="K58" s="482">
        <v>0.40300000000000002</v>
      </c>
      <c r="L58" s="482">
        <v>0.13400000000000001</v>
      </c>
      <c r="M58" s="482">
        <v>0.46300000000000002</v>
      </c>
    </row>
    <row r="59" spans="1:13" x14ac:dyDescent="0.2">
      <c r="A59" t="s">
        <v>585</v>
      </c>
      <c r="B59" t="s">
        <v>50</v>
      </c>
      <c r="C59" t="s">
        <v>87</v>
      </c>
      <c r="D59" t="s">
        <v>586</v>
      </c>
      <c r="E59" t="s">
        <v>587</v>
      </c>
      <c r="F59" t="s">
        <v>179</v>
      </c>
      <c r="G59">
        <v>32</v>
      </c>
      <c r="H59">
        <v>17</v>
      </c>
      <c r="I59">
        <v>40</v>
      </c>
      <c r="J59">
        <v>89</v>
      </c>
      <c r="K59" s="482">
        <v>0.36</v>
      </c>
      <c r="L59" s="482">
        <v>0.191</v>
      </c>
      <c r="M59" s="482">
        <v>0.44900000000000001</v>
      </c>
    </row>
    <row r="60" spans="1:13" x14ac:dyDescent="0.2">
      <c r="A60" t="s">
        <v>588</v>
      </c>
      <c r="B60" t="s">
        <v>50</v>
      </c>
      <c r="C60" t="s">
        <v>87</v>
      </c>
      <c r="D60" t="s">
        <v>589</v>
      </c>
      <c r="E60" t="s">
        <v>590</v>
      </c>
      <c r="F60" t="s">
        <v>179</v>
      </c>
      <c r="G60">
        <v>26</v>
      </c>
      <c r="H60">
        <v>24</v>
      </c>
      <c r="I60">
        <v>50</v>
      </c>
      <c r="J60">
        <v>100</v>
      </c>
      <c r="K60" s="482">
        <v>0.26</v>
      </c>
      <c r="L60" s="482">
        <v>0.24</v>
      </c>
      <c r="M60" s="482">
        <v>0.5</v>
      </c>
    </row>
    <row r="61" spans="1:13" x14ac:dyDescent="0.2">
      <c r="A61" t="s">
        <v>553</v>
      </c>
      <c r="B61" t="s">
        <v>50</v>
      </c>
      <c r="C61" t="s">
        <v>87</v>
      </c>
      <c r="D61" t="s">
        <v>554</v>
      </c>
      <c r="E61" t="s">
        <v>555</v>
      </c>
      <c r="F61" t="s">
        <v>179</v>
      </c>
      <c r="G61">
        <v>38</v>
      </c>
      <c r="H61">
        <v>11</v>
      </c>
      <c r="I61">
        <v>39</v>
      </c>
      <c r="J61">
        <v>88</v>
      </c>
      <c r="K61" s="482">
        <v>0.432</v>
      </c>
      <c r="L61" s="482">
        <v>0.125</v>
      </c>
      <c r="M61" s="482">
        <v>0.443</v>
      </c>
    </row>
    <row r="62" spans="1:13" x14ac:dyDescent="0.2">
      <c r="A62" t="s">
        <v>556</v>
      </c>
      <c r="B62" t="s">
        <v>50</v>
      </c>
      <c r="C62" t="s">
        <v>87</v>
      </c>
      <c r="D62" t="s">
        <v>557</v>
      </c>
      <c r="E62" t="s">
        <v>558</v>
      </c>
      <c r="F62" t="s">
        <v>179</v>
      </c>
      <c r="G62">
        <v>40</v>
      </c>
      <c r="H62">
        <v>17</v>
      </c>
      <c r="I62">
        <v>40</v>
      </c>
      <c r="J62">
        <v>97</v>
      </c>
      <c r="K62" s="482">
        <v>0.41199999999999998</v>
      </c>
      <c r="L62" s="482">
        <v>0.17499999999999999</v>
      </c>
      <c r="M62" s="482">
        <v>0.41199999999999998</v>
      </c>
    </row>
    <row r="63" spans="1:13" x14ac:dyDescent="0.2">
      <c r="A63" t="s">
        <v>559</v>
      </c>
      <c r="B63" t="s">
        <v>50</v>
      </c>
      <c r="C63" t="s">
        <v>87</v>
      </c>
      <c r="D63" t="s">
        <v>560</v>
      </c>
      <c r="E63" t="s">
        <v>561</v>
      </c>
      <c r="F63" t="s">
        <v>179</v>
      </c>
      <c r="G63">
        <v>57</v>
      </c>
      <c r="H63">
        <v>16</v>
      </c>
      <c r="I63">
        <v>45</v>
      </c>
      <c r="J63">
        <v>118</v>
      </c>
      <c r="K63" s="482">
        <v>0.48299999999999998</v>
      </c>
      <c r="L63" s="482">
        <v>0.13600000000000001</v>
      </c>
      <c r="M63" s="482">
        <v>0.38100000000000001</v>
      </c>
    </row>
    <row r="64" spans="1:13" x14ac:dyDescent="0.2">
      <c r="A64" t="s">
        <v>407</v>
      </c>
      <c r="B64" t="s">
        <v>50</v>
      </c>
      <c r="C64" t="s">
        <v>87</v>
      </c>
      <c r="D64" t="s">
        <v>408</v>
      </c>
      <c r="E64" t="s">
        <v>409</v>
      </c>
      <c r="F64" t="s">
        <v>179</v>
      </c>
      <c r="G64">
        <v>16</v>
      </c>
      <c r="H64">
        <v>11</v>
      </c>
      <c r="I64">
        <v>23</v>
      </c>
      <c r="J64">
        <v>50</v>
      </c>
      <c r="K64" s="482">
        <v>0.32</v>
      </c>
      <c r="L64" s="482">
        <v>0.22</v>
      </c>
      <c r="M64" s="482">
        <v>0.46</v>
      </c>
    </row>
    <row r="65" spans="1:13" x14ac:dyDescent="0.2">
      <c r="A65" t="s">
        <v>6548</v>
      </c>
      <c r="B65" t="s">
        <v>50</v>
      </c>
      <c r="C65" t="s">
        <v>87</v>
      </c>
      <c r="D65" t="s">
        <v>6549</v>
      </c>
      <c r="E65" t="s">
        <v>6545</v>
      </c>
      <c r="F65" t="s">
        <v>179</v>
      </c>
      <c r="G65" t="s">
        <v>53</v>
      </c>
      <c r="H65" t="s">
        <v>53</v>
      </c>
      <c r="I65">
        <v>0</v>
      </c>
      <c r="J65" t="s">
        <v>53</v>
      </c>
      <c r="K65" t="s">
        <v>53</v>
      </c>
      <c r="L65" t="s">
        <v>53</v>
      </c>
      <c r="M65" t="s">
        <v>53</v>
      </c>
    </row>
    <row r="66" spans="1:13" x14ac:dyDescent="0.2">
      <c r="A66" t="s">
        <v>751</v>
      </c>
      <c r="B66" t="s">
        <v>50</v>
      </c>
      <c r="C66" t="s">
        <v>87</v>
      </c>
      <c r="D66" t="s">
        <v>752</v>
      </c>
      <c r="E66" t="s">
        <v>753</v>
      </c>
      <c r="F66" t="s">
        <v>179</v>
      </c>
      <c r="G66">
        <v>24</v>
      </c>
      <c r="H66">
        <v>9</v>
      </c>
      <c r="I66">
        <v>19</v>
      </c>
      <c r="J66">
        <v>52</v>
      </c>
      <c r="K66" s="482">
        <v>0.46200000000000002</v>
      </c>
      <c r="L66" s="482">
        <v>0.17299999999999999</v>
      </c>
      <c r="M66" s="482">
        <v>0.36499999999999999</v>
      </c>
    </row>
    <row r="67" spans="1:13" x14ac:dyDescent="0.2">
      <c r="A67" t="s">
        <v>754</v>
      </c>
      <c r="B67" t="s">
        <v>50</v>
      </c>
      <c r="C67" t="s">
        <v>87</v>
      </c>
      <c r="D67" t="s">
        <v>755</v>
      </c>
      <c r="E67" t="s">
        <v>756</v>
      </c>
      <c r="F67" t="s">
        <v>179</v>
      </c>
      <c r="G67">
        <v>14</v>
      </c>
      <c r="H67">
        <v>4</v>
      </c>
      <c r="I67">
        <v>11</v>
      </c>
      <c r="J67">
        <v>29</v>
      </c>
      <c r="K67" s="482">
        <v>0.48299999999999998</v>
      </c>
      <c r="L67" s="482">
        <v>0.13800000000000001</v>
      </c>
      <c r="M67" s="482">
        <v>0.379</v>
      </c>
    </row>
    <row r="68" spans="1:13" x14ac:dyDescent="0.2">
      <c r="A68" t="s">
        <v>757</v>
      </c>
      <c r="B68" t="s">
        <v>50</v>
      </c>
      <c r="C68" t="s">
        <v>87</v>
      </c>
      <c r="D68" t="s">
        <v>758</v>
      </c>
      <c r="E68" t="s">
        <v>759</v>
      </c>
      <c r="F68" t="s">
        <v>179</v>
      </c>
      <c r="G68">
        <v>72</v>
      </c>
      <c r="H68">
        <v>51</v>
      </c>
      <c r="I68">
        <v>122</v>
      </c>
      <c r="J68">
        <v>245</v>
      </c>
      <c r="K68" s="482">
        <v>0.29399999999999998</v>
      </c>
      <c r="L68" s="482">
        <v>0.20799999999999999</v>
      </c>
      <c r="M68" s="482">
        <v>0.498</v>
      </c>
    </row>
    <row r="69" spans="1:13" x14ac:dyDescent="0.2">
      <c r="A69" t="s">
        <v>760</v>
      </c>
      <c r="B69" t="s">
        <v>50</v>
      </c>
      <c r="C69" t="s">
        <v>87</v>
      </c>
      <c r="D69" t="s">
        <v>761</v>
      </c>
      <c r="E69" t="s">
        <v>762</v>
      </c>
      <c r="F69" t="s">
        <v>179</v>
      </c>
      <c r="G69">
        <v>15</v>
      </c>
      <c r="H69">
        <v>5</v>
      </c>
      <c r="I69">
        <v>15</v>
      </c>
      <c r="J69">
        <v>35</v>
      </c>
      <c r="K69" s="482">
        <v>0.42899999999999999</v>
      </c>
      <c r="L69" s="482">
        <v>0.14299999999999999</v>
      </c>
      <c r="M69" s="482">
        <v>0.42899999999999999</v>
      </c>
    </row>
    <row r="70" spans="1:13" x14ac:dyDescent="0.2">
      <c r="A70" t="s">
        <v>763</v>
      </c>
      <c r="B70" t="s">
        <v>50</v>
      </c>
      <c r="C70" t="s">
        <v>87</v>
      </c>
      <c r="D70" t="s">
        <v>764</v>
      </c>
      <c r="E70" t="s">
        <v>765</v>
      </c>
      <c r="F70" t="s">
        <v>179</v>
      </c>
      <c r="G70">
        <v>33</v>
      </c>
      <c r="H70">
        <v>24</v>
      </c>
      <c r="I70">
        <v>44</v>
      </c>
      <c r="J70">
        <v>101</v>
      </c>
      <c r="K70" s="482">
        <v>0.32700000000000001</v>
      </c>
      <c r="L70" s="482">
        <v>0.23799999999999999</v>
      </c>
      <c r="M70" s="482">
        <v>0.436</v>
      </c>
    </row>
    <row r="71" spans="1:13" x14ac:dyDescent="0.2">
      <c r="A71" t="s">
        <v>766</v>
      </c>
      <c r="B71" t="s">
        <v>50</v>
      </c>
      <c r="C71" t="s">
        <v>87</v>
      </c>
      <c r="D71" t="s">
        <v>767</v>
      </c>
      <c r="E71" t="s">
        <v>768</v>
      </c>
      <c r="F71" t="s">
        <v>179</v>
      </c>
      <c r="G71">
        <v>44</v>
      </c>
      <c r="H71">
        <v>27</v>
      </c>
      <c r="I71">
        <v>65</v>
      </c>
      <c r="J71">
        <v>136</v>
      </c>
      <c r="K71" s="482">
        <v>0.32400000000000001</v>
      </c>
      <c r="L71" s="482">
        <v>0.19900000000000001</v>
      </c>
      <c r="M71" s="482">
        <v>0.47799999999999998</v>
      </c>
    </row>
    <row r="72" spans="1:13" x14ac:dyDescent="0.2">
      <c r="A72" t="s">
        <v>853</v>
      </c>
      <c r="B72" t="s">
        <v>50</v>
      </c>
      <c r="C72" t="s">
        <v>87</v>
      </c>
      <c r="D72" t="s">
        <v>854</v>
      </c>
      <c r="E72" t="s">
        <v>855</v>
      </c>
      <c r="F72" t="s">
        <v>179</v>
      </c>
      <c r="G72">
        <v>127</v>
      </c>
      <c r="H72">
        <v>81</v>
      </c>
      <c r="I72">
        <v>148</v>
      </c>
      <c r="J72">
        <v>356</v>
      </c>
      <c r="K72" s="482">
        <v>0.35699999999999998</v>
      </c>
      <c r="L72" s="482">
        <v>0.22800000000000001</v>
      </c>
      <c r="M72" s="482">
        <v>0.41599999999999998</v>
      </c>
    </row>
    <row r="73" spans="1:13" x14ac:dyDescent="0.2">
      <c r="A73" t="s">
        <v>856</v>
      </c>
      <c r="B73" t="s">
        <v>50</v>
      </c>
      <c r="C73" t="s">
        <v>87</v>
      </c>
      <c r="D73" t="s">
        <v>857</v>
      </c>
      <c r="E73" t="s">
        <v>858</v>
      </c>
      <c r="F73" t="s">
        <v>179</v>
      </c>
      <c r="G73">
        <v>44</v>
      </c>
      <c r="H73">
        <v>25</v>
      </c>
      <c r="I73">
        <v>78</v>
      </c>
      <c r="J73">
        <v>147</v>
      </c>
      <c r="K73" s="482">
        <v>0.29899999999999999</v>
      </c>
      <c r="L73" s="482">
        <v>0.17</v>
      </c>
      <c r="M73" s="482">
        <v>0.53100000000000003</v>
      </c>
    </row>
    <row r="74" spans="1:13" x14ac:dyDescent="0.2">
      <c r="A74" t="s">
        <v>859</v>
      </c>
      <c r="B74" t="s">
        <v>50</v>
      </c>
      <c r="C74" t="s">
        <v>87</v>
      </c>
      <c r="D74" t="s">
        <v>860</v>
      </c>
      <c r="E74" t="s">
        <v>861</v>
      </c>
      <c r="F74" t="s">
        <v>179</v>
      </c>
      <c r="G74">
        <v>29</v>
      </c>
      <c r="H74">
        <v>22</v>
      </c>
      <c r="I74">
        <v>57</v>
      </c>
      <c r="J74">
        <v>108</v>
      </c>
      <c r="K74" s="482">
        <v>0.26900000000000002</v>
      </c>
      <c r="L74" s="482">
        <v>0.20399999999999999</v>
      </c>
      <c r="M74" s="482">
        <v>0.52800000000000002</v>
      </c>
    </row>
    <row r="75" spans="1:13" x14ac:dyDescent="0.2">
      <c r="A75" t="s">
        <v>862</v>
      </c>
      <c r="B75" t="s">
        <v>50</v>
      </c>
      <c r="C75" t="s">
        <v>87</v>
      </c>
      <c r="D75" t="s">
        <v>863</v>
      </c>
      <c r="E75" t="s">
        <v>864</v>
      </c>
      <c r="F75" t="s">
        <v>179</v>
      </c>
      <c r="G75">
        <v>10</v>
      </c>
      <c r="H75">
        <v>5</v>
      </c>
      <c r="I75">
        <v>14</v>
      </c>
      <c r="J75">
        <v>29</v>
      </c>
      <c r="K75" s="482">
        <v>0.34499999999999997</v>
      </c>
      <c r="L75" s="482">
        <v>0.17199999999999999</v>
      </c>
      <c r="M75" s="482">
        <v>0.48299999999999998</v>
      </c>
    </row>
    <row r="76" spans="1:13" x14ac:dyDescent="0.2">
      <c r="A76" t="s">
        <v>865</v>
      </c>
      <c r="B76" t="s">
        <v>50</v>
      </c>
      <c r="C76" t="s">
        <v>87</v>
      </c>
      <c r="D76" t="s">
        <v>866</v>
      </c>
      <c r="E76" t="s">
        <v>867</v>
      </c>
      <c r="F76" t="s">
        <v>179</v>
      </c>
      <c r="G76">
        <v>70</v>
      </c>
      <c r="H76">
        <v>42</v>
      </c>
      <c r="I76">
        <v>77</v>
      </c>
      <c r="J76">
        <v>189</v>
      </c>
      <c r="K76" s="482">
        <v>0.37</v>
      </c>
      <c r="L76" s="482">
        <v>0.222</v>
      </c>
      <c r="M76" s="482">
        <v>0.40699999999999997</v>
      </c>
    </row>
    <row r="77" spans="1:13" x14ac:dyDescent="0.2">
      <c r="A77" t="s">
        <v>868</v>
      </c>
      <c r="B77" t="s">
        <v>50</v>
      </c>
      <c r="C77" t="s">
        <v>87</v>
      </c>
      <c r="D77" t="s">
        <v>869</v>
      </c>
      <c r="E77" t="s">
        <v>870</v>
      </c>
      <c r="F77" t="s">
        <v>179</v>
      </c>
      <c r="G77">
        <v>67</v>
      </c>
      <c r="H77">
        <v>52</v>
      </c>
      <c r="I77">
        <v>68</v>
      </c>
      <c r="J77">
        <v>187</v>
      </c>
      <c r="K77" s="482">
        <v>0.35799999999999998</v>
      </c>
      <c r="L77" s="482">
        <v>0.27800000000000002</v>
      </c>
      <c r="M77" s="482">
        <v>0.36399999999999999</v>
      </c>
    </row>
    <row r="78" spans="1:13" x14ac:dyDescent="0.2">
      <c r="A78" t="s">
        <v>871</v>
      </c>
      <c r="B78" t="s">
        <v>50</v>
      </c>
      <c r="C78" t="s">
        <v>87</v>
      </c>
      <c r="D78" t="s">
        <v>872</v>
      </c>
      <c r="E78" t="s">
        <v>873</v>
      </c>
      <c r="F78" t="s">
        <v>179</v>
      </c>
      <c r="G78">
        <v>55</v>
      </c>
      <c r="H78">
        <v>35</v>
      </c>
      <c r="I78">
        <v>66</v>
      </c>
      <c r="J78">
        <v>156</v>
      </c>
      <c r="K78" s="482">
        <v>0.35299999999999998</v>
      </c>
      <c r="L78" s="482">
        <v>0.224</v>
      </c>
      <c r="M78" s="482">
        <v>0.42299999999999999</v>
      </c>
    </row>
    <row r="79" spans="1:13" x14ac:dyDescent="0.2">
      <c r="A79" t="s">
        <v>874</v>
      </c>
      <c r="B79" t="s">
        <v>50</v>
      </c>
      <c r="C79" t="s">
        <v>87</v>
      </c>
      <c r="D79" t="s">
        <v>875</v>
      </c>
      <c r="E79" t="s">
        <v>876</v>
      </c>
      <c r="F79" t="s">
        <v>179</v>
      </c>
      <c r="G79">
        <v>95</v>
      </c>
      <c r="H79">
        <v>45</v>
      </c>
      <c r="I79">
        <v>96</v>
      </c>
      <c r="J79">
        <v>236</v>
      </c>
      <c r="K79" s="482">
        <v>0.40300000000000002</v>
      </c>
      <c r="L79" s="482">
        <v>0.191</v>
      </c>
      <c r="M79" s="482">
        <v>0.40699999999999997</v>
      </c>
    </row>
    <row r="80" spans="1:13" x14ac:dyDescent="0.2">
      <c r="A80" t="s">
        <v>877</v>
      </c>
      <c r="B80" t="s">
        <v>50</v>
      </c>
      <c r="C80" t="s">
        <v>87</v>
      </c>
      <c r="D80" t="s">
        <v>878</v>
      </c>
      <c r="E80" t="s">
        <v>879</v>
      </c>
      <c r="F80" t="s">
        <v>179</v>
      </c>
      <c r="G80">
        <v>21</v>
      </c>
      <c r="H80">
        <v>20</v>
      </c>
      <c r="I80">
        <v>29</v>
      </c>
      <c r="J80">
        <v>70</v>
      </c>
      <c r="K80" s="482">
        <v>0.3</v>
      </c>
      <c r="L80" s="482">
        <v>0.28599999999999998</v>
      </c>
      <c r="M80" s="482">
        <v>0.41399999999999998</v>
      </c>
    </row>
    <row r="81" spans="1:13" x14ac:dyDescent="0.2">
      <c r="A81" t="s">
        <v>880</v>
      </c>
      <c r="B81" t="s">
        <v>50</v>
      </c>
      <c r="C81" t="s">
        <v>87</v>
      </c>
      <c r="D81" t="s">
        <v>881</v>
      </c>
      <c r="E81" t="s">
        <v>882</v>
      </c>
      <c r="F81" t="s">
        <v>179</v>
      </c>
      <c r="G81">
        <v>22</v>
      </c>
      <c r="H81">
        <v>14</v>
      </c>
      <c r="I81">
        <v>40</v>
      </c>
      <c r="J81">
        <v>76</v>
      </c>
      <c r="K81" s="482">
        <v>0.28899999999999998</v>
      </c>
      <c r="L81" s="482">
        <v>0.184</v>
      </c>
      <c r="M81" s="482">
        <v>0.52600000000000002</v>
      </c>
    </row>
    <row r="82" spans="1:13" x14ac:dyDescent="0.2">
      <c r="A82" t="s">
        <v>883</v>
      </c>
      <c r="B82" t="s">
        <v>50</v>
      </c>
      <c r="C82" t="s">
        <v>87</v>
      </c>
      <c r="D82" t="s">
        <v>884</v>
      </c>
      <c r="E82" t="s">
        <v>885</v>
      </c>
      <c r="F82" t="s">
        <v>179</v>
      </c>
      <c r="G82">
        <v>22</v>
      </c>
      <c r="H82">
        <v>9</v>
      </c>
      <c r="I82">
        <v>16</v>
      </c>
      <c r="J82">
        <v>47</v>
      </c>
      <c r="K82" s="482">
        <v>0.46800000000000003</v>
      </c>
      <c r="L82" s="482">
        <v>0.191</v>
      </c>
      <c r="M82" s="482">
        <v>0.34</v>
      </c>
    </row>
    <row r="83" spans="1:13" x14ac:dyDescent="0.2">
      <c r="A83" t="s">
        <v>886</v>
      </c>
      <c r="B83" t="s">
        <v>50</v>
      </c>
      <c r="C83" t="s">
        <v>87</v>
      </c>
      <c r="D83" t="s">
        <v>887</v>
      </c>
      <c r="E83" t="s">
        <v>888</v>
      </c>
      <c r="F83" t="s">
        <v>179</v>
      </c>
      <c r="G83">
        <v>45</v>
      </c>
      <c r="H83">
        <v>19</v>
      </c>
      <c r="I83">
        <v>33</v>
      </c>
      <c r="J83">
        <v>97</v>
      </c>
      <c r="K83" s="482">
        <v>0.46400000000000002</v>
      </c>
      <c r="L83" s="482">
        <v>0.19600000000000001</v>
      </c>
      <c r="M83" s="482">
        <v>0.34</v>
      </c>
    </row>
    <row r="84" spans="1:13" x14ac:dyDescent="0.2">
      <c r="A84" t="s">
        <v>889</v>
      </c>
      <c r="B84" t="s">
        <v>50</v>
      </c>
      <c r="C84" t="s">
        <v>87</v>
      </c>
      <c r="D84" t="s">
        <v>890</v>
      </c>
      <c r="E84" t="s">
        <v>891</v>
      </c>
      <c r="F84" t="s">
        <v>179</v>
      </c>
      <c r="G84">
        <v>12</v>
      </c>
      <c r="H84">
        <v>4</v>
      </c>
      <c r="I84">
        <v>15</v>
      </c>
      <c r="J84">
        <v>31</v>
      </c>
      <c r="K84" s="482">
        <v>0.38700000000000001</v>
      </c>
      <c r="L84" s="482">
        <v>0.129</v>
      </c>
      <c r="M84" s="482">
        <v>0.48399999999999999</v>
      </c>
    </row>
    <row r="85" spans="1:13" x14ac:dyDescent="0.2">
      <c r="A85" t="s">
        <v>892</v>
      </c>
      <c r="B85" t="s">
        <v>50</v>
      </c>
      <c r="C85" t="s">
        <v>87</v>
      </c>
      <c r="D85" t="s">
        <v>893</v>
      </c>
      <c r="E85" t="s">
        <v>894</v>
      </c>
      <c r="F85" t="s">
        <v>179</v>
      </c>
      <c r="G85">
        <v>13</v>
      </c>
      <c r="H85">
        <v>11</v>
      </c>
      <c r="I85">
        <v>11</v>
      </c>
      <c r="J85">
        <v>35</v>
      </c>
      <c r="K85" s="482">
        <v>0.371</v>
      </c>
      <c r="L85" s="482">
        <v>0.314</v>
      </c>
      <c r="M85" s="482">
        <v>0.314</v>
      </c>
    </row>
    <row r="86" spans="1:13" x14ac:dyDescent="0.2">
      <c r="A86" t="s">
        <v>895</v>
      </c>
      <c r="B86" t="s">
        <v>50</v>
      </c>
      <c r="C86" t="s">
        <v>87</v>
      </c>
      <c r="D86" t="s">
        <v>896</v>
      </c>
      <c r="E86" t="s">
        <v>897</v>
      </c>
      <c r="F86" t="s">
        <v>179</v>
      </c>
      <c r="G86">
        <v>26</v>
      </c>
      <c r="H86">
        <v>21</v>
      </c>
      <c r="I86">
        <v>32</v>
      </c>
      <c r="J86">
        <v>79</v>
      </c>
      <c r="K86" s="482">
        <v>0.32900000000000001</v>
      </c>
      <c r="L86" s="482">
        <v>0.26600000000000001</v>
      </c>
      <c r="M86" s="482">
        <v>0.40500000000000003</v>
      </c>
    </row>
    <row r="87" spans="1:13" x14ac:dyDescent="0.2">
      <c r="A87" t="s">
        <v>898</v>
      </c>
      <c r="B87" t="s">
        <v>50</v>
      </c>
      <c r="C87" t="s">
        <v>87</v>
      </c>
      <c r="D87" t="s">
        <v>899</v>
      </c>
      <c r="E87" t="s">
        <v>900</v>
      </c>
      <c r="F87" t="s">
        <v>179</v>
      </c>
      <c r="G87">
        <v>12</v>
      </c>
      <c r="H87">
        <v>7</v>
      </c>
      <c r="I87">
        <v>11</v>
      </c>
      <c r="J87">
        <v>30</v>
      </c>
      <c r="K87" s="482">
        <v>0.4</v>
      </c>
      <c r="L87" s="482">
        <v>0.23300000000000001</v>
      </c>
      <c r="M87" s="482">
        <v>0.36699999999999999</v>
      </c>
    </row>
    <row r="88" spans="1:13" x14ac:dyDescent="0.2">
      <c r="A88" t="s">
        <v>901</v>
      </c>
      <c r="B88" t="s">
        <v>50</v>
      </c>
      <c r="C88" t="s">
        <v>87</v>
      </c>
      <c r="D88" t="s">
        <v>902</v>
      </c>
      <c r="E88" t="s">
        <v>903</v>
      </c>
      <c r="F88" t="s">
        <v>179</v>
      </c>
      <c r="G88">
        <v>125</v>
      </c>
      <c r="H88">
        <v>52</v>
      </c>
      <c r="I88">
        <v>119</v>
      </c>
      <c r="J88">
        <v>296</v>
      </c>
      <c r="K88" s="482">
        <v>0.42199999999999999</v>
      </c>
      <c r="L88" s="482">
        <v>0.17599999999999999</v>
      </c>
      <c r="M88" s="482">
        <v>0.40200000000000002</v>
      </c>
    </row>
    <row r="89" spans="1:13" x14ac:dyDescent="0.2">
      <c r="A89" t="s">
        <v>904</v>
      </c>
      <c r="B89" t="s">
        <v>50</v>
      </c>
      <c r="C89" t="s">
        <v>87</v>
      </c>
      <c r="D89" t="s">
        <v>905</v>
      </c>
      <c r="E89" t="s">
        <v>906</v>
      </c>
      <c r="F89" t="s">
        <v>179</v>
      </c>
      <c r="G89">
        <v>43</v>
      </c>
      <c r="H89">
        <v>19</v>
      </c>
      <c r="I89">
        <v>54</v>
      </c>
      <c r="J89">
        <v>116</v>
      </c>
      <c r="K89" s="482">
        <v>0.371</v>
      </c>
      <c r="L89" s="482">
        <v>0.16400000000000001</v>
      </c>
      <c r="M89" s="482">
        <v>0.46600000000000003</v>
      </c>
    </row>
    <row r="90" spans="1:13" x14ac:dyDescent="0.2">
      <c r="A90" t="s">
        <v>937</v>
      </c>
      <c r="B90" t="s">
        <v>50</v>
      </c>
      <c r="C90" t="s">
        <v>87</v>
      </c>
      <c r="D90" t="s">
        <v>938</v>
      </c>
      <c r="E90" t="s">
        <v>939</v>
      </c>
      <c r="F90" t="s">
        <v>179</v>
      </c>
      <c r="G90">
        <v>30</v>
      </c>
      <c r="H90">
        <v>14</v>
      </c>
      <c r="I90">
        <v>23</v>
      </c>
      <c r="J90">
        <v>67</v>
      </c>
      <c r="K90" s="482">
        <v>0.44800000000000001</v>
      </c>
      <c r="L90" s="482">
        <v>0.20899999999999999</v>
      </c>
      <c r="M90" s="482">
        <v>0.34300000000000003</v>
      </c>
    </row>
    <row r="91" spans="1:13" x14ac:dyDescent="0.2">
      <c r="A91" t="s">
        <v>940</v>
      </c>
      <c r="B91" t="s">
        <v>50</v>
      </c>
      <c r="C91" t="s">
        <v>87</v>
      </c>
      <c r="D91" t="s">
        <v>941</v>
      </c>
      <c r="E91" t="s">
        <v>942</v>
      </c>
      <c r="F91" t="s">
        <v>179</v>
      </c>
      <c r="G91">
        <v>44</v>
      </c>
      <c r="H91">
        <v>22</v>
      </c>
      <c r="I91">
        <v>54</v>
      </c>
      <c r="J91">
        <v>120</v>
      </c>
      <c r="K91" s="482">
        <v>0.36699999999999999</v>
      </c>
      <c r="L91" s="482">
        <v>0.183</v>
      </c>
      <c r="M91" s="482">
        <v>0.45</v>
      </c>
    </row>
    <row r="92" spans="1:13" x14ac:dyDescent="0.2">
      <c r="A92" t="s">
        <v>1015</v>
      </c>
      <c r="B92" t="s">
        <v>50</v>
      </c>
      <c r="C92" t="s">
        <v>87</v>
      </c>
      <c r="D92" t="s">
        <v>1016</v>
      </c>
      <c r="E92" t="s">
        <v>1017</v>
      </c>
      <c r="F92" t="s">
        <v>179</v>
      </c>
      <c r="G92">
        <v>31</v>
      </c>
      <c r="H92">
        <v>20</v>
      </c>
      <c r="I92">
        <v>37</v>
      </c>
      <c r="J92">
        <v>88</v>
      </c>
      <c r="K92" s="482">
        <v>0.35199999999999998</v>
      </c>
      <c r="L92" s="482">
        <v>0.22700000000000001</v>
      </c>
      <c r="M92" s="482">
        <v>0.42</v>
      </c>
    </row>
    <row r="93" spans="1:13" x14ac:dyDescent="0.2">
      <c r="A93" t="s">
        <v>943</v>
      </c>
      <c r="B93" t="s">
        <v>50</v>
      </c>
      <c r="C93" t="s">
        <v>87</v>
      </c>
      <c r="D93" t="s">
        <v>944</v>
      </c>
      <c r="E93" t="s">
        <v>945</v>
      </c>
      <c r="F93" t="s">
        <v>179</v>
      </c>
      <c r="G93">
        <v>97</v>
      </c>
      <c r="H93">
        <v>43</v>
      </c>
      <c r="I93">
        <v>87</v>
      </c>
      <c r="J93">
        <v>227</v>
      </c>
      <c r="K93" s="482">
        <v>0.42699999999999999</v>
      </c>
      <c r="L93" s="482">
        <v>0.189</v>
      </c>
      <c r="M93" s="482">
        <v>0.38300000000000001</v>
      </c>
    </row>
    <row r="94" spans="1:13" x14ac:dyDescent="0.2">
      <c r="A94" t="s">
        <v>829</v>
      </c>
      <c r="B94" t="s">
        <v>50</v>
      </c>
      <c r="C94" t="s">
        <v>87</v>
      </c>
      <c r="D94" t="s">
        <v>830</v>
      </c>
      <c r="E94" t="s">
        <v>831</v>
      </c>
      <c r="F94" t="s">
        <v>179</v>
      </c>
      <c r="G94">
        <v>47</v>
      </c>
      <c r="H94">
        <v>23</v>
      </c>
      <c r="I94">
        <v>48</v>
      </c>
      <c r="J94">
        <v>118</v>
      </c>
      <c r="K94" s="482">
        <v>0.39800000000000002</v>
      </c>
      <c r="L94" s="482">
        <v>0.19500000000000001</v>
      </c>
      <c r="M94" s="482">
        <v>0.40699999999999997</v>
      </c>
    </row>
    <row r="95" spans="1:13" x14ac:dyDescent="0.2">
      <c r="A95" t="s">
        <v>832</v>
      </c>
      <c r="B95" t="s">
        <v>50</v>
      </c>
      <c r="C95" t="s">
        <v>87</v>
      </c>
      <c r="D95" t="s">
        <v>833</v>
      </c>
      <c r="E95" t="s">
        <v>834</v>
      </c>
      <c r="F95" t="s">
        <v>179</v>
      </c>
      <c r="G95">
        <v>47</v>
      </c>
      <c r="H95">
        <v>29</v>
      </c>
      <c r="I95">
        <v>71</v>
      </c>
      <c r="J95">
        <v>147</v>
      </c>
      <c r="K95" s="482">
        <v>0.32</v>
      </c>
      <c r="L95" s="482">
        <v>0.19700000000000001</v>
      </c>
      <c r="M95" s="482">
        <v>0.48299999999999998</v>
      </c>
    </row>
    <row r="96" spans="1:13" x14ac:dyDescent="0.2">
      <c r="A96" t="s">
        <v>835</v>
      </c>
      <c r="B96" t="s">
        <v>50</v>
      </c>
      <c r="C96" t="s">
        <v>87</v>
      </c>
      <c r="D96" t="s">
        <v>836</v>
      </c>
      <c r="E96" t="s">
        <v>837</v>
      </c>
      <c r="F96" t="s">
        <v>179</v>
      </c>
      <c r="G96">
        <v>53</v>
      </c>
      <c r="H96">
        <v>21</v>
      </c>
      <c r="I96">
        <v>61</v>
      </c>
      <c r="J96">
        <v>135</v>
      </c>
      <c r="K96" s="482">
        <v>0.39300000000000002</v>
      </c>
      <c r="L96" s="482">
        <v>0.156</v>
      </c>
      <c r="M96" s="482">
        <v>0.45200000000000001</v>
      </c>
    </row>
    <row r="97" spans="1:13" x14ac:dyDescent="0.2">
      <c r="A97" t="s">
        <v>838</v>
      </c>
      <c r="B97" t="s">
        <v>50</v>
      </c>
      <c r="C97" t="s">
        <v>87</v>
      </c>
      <c r="D97" t="s">
        <v>839</v>
      </c>
      <c r="E97" t="s">
        <v>840</v>
      </c>
      <c r="F97" t="s">
        <v>179</v>
      </c>
      <c r="G97">
        <v>33</v>
      </c>
      <c r="H97">
        <v>20</v>
      </c>
      <c r="I97">
        <v>25</v>
      </c>
      <c r="J97">
        <v>78</v>
      </c>
      <c r="K97" s="482">
        <v>0.42299999999999999</v>
      </c>
      <c r="L97" s="482">
        <v>0.25600000000000001</v>
      </c>
      <c r="M97" s="482">
        <v>0.32100000000000001</v>
      </c>
    </row>
    <row r="98" spans="1:13" x14ac:dyDescent="0.2">
      <c r="A98" t="s">
        <v>841</v>
      </c>
      <c r="B98" t="s">
        <v>50</v>
      </c>
      <c r="C98" t="s">
        <v>87</v>
      </c>
      <c r="D98" t="s">
        <v>842</v>
      </c>
      <c r="E98" t="s">
        <v>843</v>
      </c>
      <c r="F98" t="s">
        <v>179</v>
      </c>
      <c r="G98">
        <v>31</v>
      </c>
      <c r="H98">
        <v>15</v>
      </c>
      <c r="I98">
        <v>22</v>
      </c>
      <c r="J98">
        <v>68</v>
      </c>
      <c r="K98" s="482">
        <v>0.45600000000000002</v>
      </c>
      <c r="L98" s="482">
        <v>0.221</v>
      </c>
      <c r="M98" s="482">
        <v>0.32400000000000001</v>
      </c>
    </row>
    <row r="99" spans="1:13" x14ac:dyDescent="0.2">
      <c r="A99" t="s">
        <v>844</v>
      </c>
      <c r="B99" t="s">
        <v>50</v>
      </c>
      <c r="C99" t="s">
        <v>87</v>
      </c>
      <c r="D99" t="s">
        <v>845</v>
      </c>
      <c r="E99" t="s">
        <v>846</v>
      </c>
      <c r="F99" t="s">
        <v>179</v>
      </c>
      <c r="G99">
        <v>27</v>
      </c>
      <c r="H99">
        <v>17</v>
      </c>
      <c r="I99">
        <v>31</v>
      </c>
      <c r="J99">
        <v>75</v>
      </c>
      <c r="K99" s="482">
        <v>0.36</v>
      </c>
      <c r="L99" s="482">
        <v>0.22700000000000001</v>
      </c>
      <c r="M99" s="482">
        <v>0.41299999999999998</v>
      </c>
    </row>
    <row r="100" spans="1:13" x14ac:dyDescent="0.2">
      <c r="A100" t="s">
        <v>847</v>
      </c>
      <c r="B100" t="s">
        <v>50</v>
      </c>
      <c r="C100" t="s">
        <v>87</v>
      </c>
      <c r="D100" t="s">
        <v>848</v>
      </c>
      <c r="E100" t="s">
        <v>849</v>
      </c>
      <c r="F100" t="s">
        <v>179</v>
      </c>
      <c r="G100">
        <v>37</v>
      </c>
      <c r="H100">
        <v>17</v>
      </c>
      <c r="I100">
        <v>47</v>
      </c>
      <c r="J100">
        <v>101</v>
      </c>
      <c r="K100" s="482">
        <v>0.36599999999999999</v>
      </c>
      <c r="L100" s="482">
        <v>0.16800000000000001</v>
      </c>
      <c r="M100" s="482">
        <v>0.46500000000000002</v>
      </c>
    </row>
    <row r="101" spans="1:13" x14ac:dyDescent="0.2">
      <c r="A101" t="s">
        <v>850</v>
      </c>
      <c r="B101" t="s">
        <v>50</v>
      </c>
      <c r="C101" t="s">
        <v>87</v>
      </c>
      <c r="D101" t="s">
        <v>851</v>
      </c>
      <c r="E101" t="s">
        <v>852</v>
      </c>
      <c r="F101" t="s">
        <v>179</v>
      </c>
      <c r="G101">
        <v>6</v>
      </c>
      <c r="H101">
        <v>4</v>
      </c>
      <c r="I101">
        <v>11</v>
      </c>
      <c r="J101">
        <v>21</v>
      </c>
      <c r="K101" s="482">
        <v>0.28599999999999998</v>
      </c>
      <c r="L101" s="482">
        <v>0.19</v>
      </c>
      <c r="M101" s="482">
        <v>0.52400000000000002</v>
      </c>
    </row>
    <row r="102" spans="1:13" x14ac:dyDescent="0.2">
      <c r="A102" t="s">
        <v>934</v>
      </c>
      <c r="B102" t="s">
        <v>50</v>
      </c>
      <c r="C102" t="s">
        <v>87</v>
      </c>
      <c r="D102" t="s">
        <v>935</v>
      </c>
      <c r="E102" t="s">
        <v>936</v>
      </c>
      <c r="F102" t="s">
        <v>179</v>
      </c>
      <c r="G102">
        <v>11</v>
      </c>
      <c r="H102">
        <v>7</v>
      </c>
      <c r="I102">
        <v>9</v>
      </c>
      <c r="J102">
        <v>27</v>
      </c>
      <c r="K102" s="482">
        <v>0.40699999999999997</v>
      </c>
      <c r="L102" s="482">
        <v>0.25900000000000001</v>
      </c>
      <c r="M102" s="482">
        <v>0.33300000000000002</v>
      </c>
    </row>
    <row r="103" spans="1:13" x14ac:dyDescent="0.2">
      <c r="A103" t="s">
        <v>931</v>
      </c>
      <c r="B103" t="s">
        <v>50</v>
      </c>
      <c r="C103" t="s">
        <v>87</v>
      </c>
      <c r="D103" t="s">
        <v>932</v>
      </c>
      <c r="E103" t="s">
        <v>933</v>
      </c>
      <c r="F103" t="s">
        <v>179</v>
      </c>
      <c r="G103">
        <v>68</v>
      </c>
      <c r="H103">
        <v>36</v>
      </c>
      <c r="I103">
        <v>55</v>
      </c>
      <c r="J103">
        <v>159</v>
      </c>
      <c r="K103" s="482">
        <v>0.42799999999999999</v>
      </c>
      <c r="L103" s="482">
        <v>0.22600000000000001</v>
      </c>
      <c r="M103" s="482">
        <v>0.34599999999999997</v>
      </c>
    </row>
    <row r="104" spans="1:13" x14ac:dyDescent="0.2">
      <c r="A104" t="s">
        <v>946</v>
      </c>
      <c r="B104" t="s">
        <v>50</v>
      </c>
      <c r="C104" t="s">
        <v>87</v>
      </c>
      <c r="D104" t="s">
        <v>947</v>
      </c>
      <c r="E104" t="s">
        <v>948</v>
      </c>
      <c r="F104" t="s">
        <v>179</v>
      </c>
      <c r="G104">
        <v>13</v>
      </c>
      <c r="H104">
        <v>8</v>
      </c>
      <c r="I104">
        <v>30</v>
      </c>
      <c r="J104">
        <v>51</v>
      </c>
      <c r="K104" s="482">
        <v>0.255</v>
      </c>
      <c r="L104" s="482">
        <v>0.157</v>
      </c>
      <c r="M104" s="482">
        <v>0.58799999999999997</v>
      </c>
    </row>
    <row r="105" spans="1:13" x14ac:dyDescent="0.2">
      <c r="A105" t="s">
        <v>949</v>
      </c>
      <c r="B105" t="s">
        <v>50</v>
      </c>
      <c r="C105" t="s">
        <v>87</v>
      </c>
      <c r="D105" t="s">
        <v>950</v>
      </c>
      <c r="E105" t="s">
        <v>951</v>
      </c>
      <c r="F105" t="s">
        <v>179</v>
      </c>
      <c r="G105">
        <v>59</v>
      </c>
      <c r="H105">
        <v>26</v>
      </c>
      <c r="I105">
        <v>51</v>
      </c>
      <c r="J105">
        <v>136</v>
      </c>
      <c r="K105" s="482">
        <v>0.434</v>
      </c>
      <c r="L105" s="482">
        <v>0.191</v>
      </c>
      <c r="M105" s="482">
        <v>0.375</v>
      </c>
    </row>
    <row r="106" spans="1:13" x14ac:dyDescent="0.2">
      <c r="A106" t="s">
        <v>952</v>
      </c>
      <c r="B106" t="s">
        <v>50</v>
      </c>
      <c r="C106" t="s">
        <v>87</v>
      </c>
      <c r="D106" t="s">
        <v>953</v>
      </c>
      <c r="E106" t="s">
        <v>954</v>
      </c>
      <c r="F106" t="s">
        <v>179</v>
      </c>
      <c r="G106">
        <v>29</v>
      </c>
      <c r="H106">
        <v>17</v>
      </c>
      <c r="I106">
        <v>40</v>
      </c>
      <c r="J106">
        <v>86</v>
      </c>
      <c r="K106" s="482">
        <v>0.33700000000000002</v>
      </c>
      <c r="L106" s="482">
        <v>0.19800000000000001</v>
      </c>
      <c r="M106" s="482">
        <v>0.46500000000000002</v>
      </c>
    </row>
    <row r="107" spans="1:13" x14ac:dyDescent="0.2">
      <c r="A107" t="s">
        <v>955</v>
      </c>
      <c r="B107" t="s">
        <v>50</v>
      </c>
      <c r="C107" t="s">
        <v>87</v>
      </c>
      <c r="D107" t="s">
        <v>956</v>
      </c>
      <c r="E107" t="s">
        <v>957</v>
      </c>
      <c r="F107" t="s">
        <v>179</v>
      </c>
      <c r="G107">
        <v>14</v>
      </c>
      <c r="H107">
        <v>8</v>
      </c>
      <c r="I107">
        <v>26</v>
      </c>
      <c r="J107">
        <v>48</v>
      </c>
      <c r="K107" s="482">
        <v>0.29199999999999998</v>
      </c>
      <c r="L107" s="482">
        <v>0.16700000000000001</v>
      </c>
      <c r="M107" s="482">
        <v>0.54200000000000004</v>
      </c>
    </row>
    <row r="108" spans="1:13" x14ac:dyDescent="0.2">
      <c r="A108" t="s">
        <v>958</v>
      </c>
      <c r="B108" t="s">
        <v>50</v>
      </c>
      <c r="C108" t="s">
        <v>87</v>
      </c>
      <c r="D108" t="s">
        <v>959</v>
      </c>
      <c r="E108" t="s">
        <v>960</v>
      </c>
      <c r="F108" t="s">
        <v>179</v>
      </c>
      <c r="G108">
        <v>58</v>
      </c>
      <c r="H108">
        <v>28</v>
      </c>
      <c r="I108">
        <v>62</v>
      </c>
      <c r="J108">
        <v>148</v>
      </c>
      <c r="K108" s="482">
        <v>0.39200000000000002</v>
      </c>
      <c r="L108" s="482">
        <v>0.189</v>
      </c>
      <c r="M108" s="482">
        <v>0.41899999999999998</v>
      </c>
    </row>
    <row r="109" spans="1:13" x14ac:dyDescent="0.2">
      <c r="A109" t="s">
        <v>961</v>
      </c>
      <c r="B109" t="s">
        <v>50</v>
      </c>
      <c r="C109" t="s">
        <v>87</v>
      </c>
      <c r="D109" t="s">
        <v>962</v>
      </c>
      <c r="E109" t="s">
        <v>963</v>
      </c>
      <c r="F109" t="s">
        <v>179</v>
      </c>
      <c r="G109">
        <v>32</v>
      </c>
      <c r="H109">
        <v>27</v>
      </c>
      <c r="I109">
        <v>45</v>
      </c>
      <c r="J109">
        <v>104</v>
      </c>
      <c r="K109" s="482">
        <v>0.308</v>
      </c>
      <c r="L109" s="482">
        <v>0.26</v>
      </c>
      <c r="M109" s="482">
        <v>0.433</v>
      </c>
    </row>
    <row r="110" spans="1:13" x14ac:dyDescent="0.2">
      <c r="A110" t="s">
        <v>964</v>
      </c>
      <c r="B110" t="s">
        <v>50</v>
      </c>
      <c r="C110" t="s">
        <v>87</v>
      </c>
      <c r="D110" t="s">
        <v>965</v>
      </c>
      <c r="E110" t="s">
        <v>966</v>
      </c>
      <c r="F110" t="s">
        <v>179</v>
      </c>
      <c r="G110">
        <v>7</v>
      </c>
      <c r="H110">
        <v>6</v>
      </c>
      <c r="I110">
        <v>9</v>
      </c>
      <c r="J110">
        <v>22</v>
      </c>
      <c r="K110" s="482">
        <v>0.318</v>
      </c>
      <c r="L110" s="482">
        <v>0.27300000000000002</v>
      </c>
      <c r="M110" s="482">
        <v>0.40899999999999997</v>
      </c>
    </row>
    <row r="111" spans="1:13" x14ac:dyDescent="0.2">
      <c r="A111" t="s">
        <v>967</v>
      </c>
      <c r="B111" t="s">
        <v>50</v>
      </c>
      <c r="C111" t="s">
        <v>87</v>
      </c>
      <c r="D111" t="s">
        <v>968</v>
      </c>
      <c r="E111" t="s">
        <v>969</v>
      </c>
      <c r="F111" t="s">
        <v>179</v>
      </c>
      <c r="G111">
        <v>28</v>
      </c>
      <c r="H111">
        <v>18</v>
      </c>
      <c r="I111">
        <v>46</v>
      </c>
      <c r="J111">
        <v>92</v>
      </c>
      <c r="K111" s="482">
        <v>0.30399999999999999</v>
      </c>
      <c r="L111" s="482">
        <v>0.19600000000000001</v>
      </c>
      <c r="M111" s="482">
        <v>0.5</v>
      </c>
    </row>
    <row r="112" spans="1:13" x14ac:dyDescent="0.2">
      <c r="A112" t="s">
        <v>970</v>
      </c>
      <c r="B112" t="s">
        <v>50</v>
      </c>
      <c r="C112" t="s">
        <v>87</v>
      </c>
      <c r="D112" t="s">
        <v>971</v>
      </c>
      <c r="E112" t="s">
        <v>972</v>
      </c>
      <c r="F112" t="s">
        <v>179</v>
      </c>
      <c r="G112">
        <v>34</v>
      </c>
      <c r="H112">
        <v>27</v>
      </c>
      <c r="I112">
        <v>41</v>
      </c>
      <c r="J112">
        <v>102</v>
      </c>
      <c r="K112" s="482">
        <v>0.33300000000000002</v>
      </c>
      <c r="L112" s="482">
        <v>0.26500000000000001</v>
      </c>
      <c r="M112" s="482">
        <v>0.40200000000000002</v>
      </c>
    </row>
    <row r="113" spans="1:13" x14ac:dyDescent="0.2">
      <c r="A113" t="s">
        <v>973</v>
      </c>
      <c r="B113" t="s">
        <v>50</v>
      </c>
      <c r="C113" t="s">
        <v>87</v>
      </c>
      <c r="D113" t="s">
        <v>974</v>
      </c>
      <c r="E113" t="s">
        <v>975</v>
      </c>
      <c r="F113" t="s">
        <v>179</v>
      </c>
      <c r="G113">
        <v>50</v>
      </c>
      <c r="H113">
        <v>24</v>
      </c>
      <c r="I113">
        <v>39</v>
      </c>
      <c r="J113">
        <v>113</v>
      </c>
      <c r="K113" s="482">
        <v>0.442</v>
      </c>
      <c r="L113" s="482">
        <v>0.21199999999999999</v>
      </c>
      <c r="M113" s="482">
        <v>0.34499999999999997</v>
      </c>
    </row>
    <row r="114" spans="1:13" x14ac:dyDescent="0.2">
      <c r="A114" t="s">
        <v>976</v>
      </c>
      <c r="B114" t="s">
        <v>50</v>
      </c>
      <c r="C114" t="s">
        <v>87</v>
      </c>
      <c r="D114" t="s">
        <v>977</v>
      </c>
      <c r="E114" t="s">
        <v>978</v>
      </c>
      <c r="F114" t="s">
        <v>179</v>
      </c>
      <c r="G114">
        <v>20</v>
      </c>
      <c r="H114">
        <v>14</v>
      </c>
      <c r="I114">
        <v>12</v>
      </c>
      <c r="J114">
        <v>46</v>
      </c>
      <c r="K114" s="482">
        <v>0.435</v>
      </c>
      <c r="L114" s="482">
        <v>0.30399999999999999</v>
      </c>
      <c r="M114" s="482">
        <v>0.26100000000000001</v>
      </c>
    </row>
    <row r="115" spans="1:13" x14ac:dyDescent="0.2">
      <c r="A115" t="s">
        <v>979</v>
      </c>
      <c r="B115" t="s">
        <v>50</v>
      </c>
      <c r="C115" t="s">
        <v>87</v>
      </c>
      <c r="D115" t="s">
        <v>980</v>
      </c>
      <c r="E115" t="s">
        <v>981</v>
      </c>
      <c r="F115" t="s">
        <v>179</v>
      </c>
      <c r="G115">
        <v>52</v>
      </c>
      <c r="H115">
        <v>27</v>
      </c>
      <c r="I115">
        <v>60</v>
      </c>
      <c r="J115">
        <v>139</v>
      </c>
      <c r="K115" s="482">
        <v>0.374</v>
      </c>
      <c r="L115" s="482">
        <v>0.19400000000000001</v>
      </c>
      <c r="M115" s="482">
        <v>0.432</v>
      </c>
    </row>
    <row r="116" spans="1:13" x14ac:dyDescent="0.2">
      <c r="A116" t="s">
        <v>982</v>
      </c>
      <c r="B116" t="s">
        <v>50</v>
      </c>
      <c r="C116" t="s">
        <v>87</v>
      </c>
      <c r="D116" t="s">
        <v>983</v>
      </c>
      <c r="E116" t="s">
        <v>984</v>
      </c>
      <c r="F116" t="s">
        <v>179</v>
      </c>
      <c r="G116">
        <v>37</v>
      </c>
      <c r="H116">
        <v>25</v>
      </c>
      <c r="I116">
        <v>44</v>
      </c>
      <c r="J116">
        <v>106</v>
      </c>
      <c r="K116" s="482">
        <v>0.34899999999999998</v>
      </c>
      <c r="L116" s="482">
        <v>0.23599999999999999</v>
      </c>
      <c r="M116" s="482">
        <v>0.41499999999999998</v>
      </c>
    </row>
    <row r="117" spans="1:13" x14ac:dyDescent="0.2">
      <c r="A117" t="s">
        <v>985</v>
      </c>
      <c r="B117" t="s">
        <v>50</v>
      </c>
      <c r="C117" t="s">
        <v>87</v>
      </c>
      <c r="D117" t="s">
        <v>986</v>
      </c>
      <c r="E117" t="s">
        <v>987</v>
      </c>
      <c r="F117" t="s">
        <v>179</v>
      </c>
      <c r="G117">
        <v>25</v>
      </c>
      <c r="H117">
        <v>8</v>
      </c>
      <c r="I117">
        <v>26</v>
      </c>
      <c r="J117">
        <v>59</v>
      </c>
      <c r="K117" s="482">
        <v>0.42399999999999999</v>
      </c>
      <c r="L117" s="482">
        <v>0.13600000000000001</v>
      </c>
      <c r="M117" s="482">
        <v>0.441</v>
      </c>
    </row>
    <row r="118" spans="1:13" x14ac:dyDescent="0.2">
      <c r="A118" t="s">
        <v>988</v>
      </c>
      <c r="B118" t="s">
        <v>50</v>
      </c>
      <c r="C118" t="s">
        <v>87</v>
      </c>
      <c r="D118" t="s">
        <v>989</v>
      </c>
      <c r="E118" t="s">
        <v>990</v>
      </c>
      <c r="F118" t="s">
        <v>179</v>
      </c>
      <c r="G118">
        <v>16</v>
      </c>
      <c r="H118">
        <v>9</v>
      </c>
      <c r="I118">
        <v>18</v>
      </c>
      <c r="J118">
        <v>43</v>
      </c>
      <c r="K118" s="482">
        <v>0.372</v>
      </c>
      <c r="L118" s="482">
        <v>0.20899999999999999</v>
      </c>
      <c r="M118" s="482">
        <v>0.41899999999999998</v>
      </c>
    </row>
    <row r="119" spans="1:13" x14ac:dyDescent="0.2">
      <c r="A119" t="s">
        <v>730</v>
      </c>
      <c r="B119" t="s">
        <v>50</v>
      </c>
      <c r="C119" t="s">
        <v>87</v>
      </c>
      <c r="D119" t="s">
        <v>731</v>
      </c>
      <c r="E119" t="s">
        <v>732</v>
      </c>
      <c r="F119" t="s">
        <v>179</v>
      </c>
      <c r="G119">
        <v>9</v>
      </c>
      <c r="H119">
        <v>2</v>
      </c>
      <c r="I119">
        <v>5</v>
      </c>
      <c r="J119">
        <v>16</v>
      </c>
      <c r="K119" s="482">
        <v>0.56299999999999994</v>
      </c>
      <c r="L119" s="482">
        <v>0.125</v>
      </c>
      <c r="M119" s="482">
        <v>0.313</v>
      </c>
    </row>
    <row r="120" spans="1:13" x14ac:dyDescent="0.2">
      <c r="A120" t="s">
        <v>733</v>
      </c>
      <c r="B120" t="s">
        <v>50</v>
      </c>
      <c r="C120" t="s">
        <v>87</v>
      </c>
      <c r="D120" t="s">
        <v>734</v>
      </c>
      <c r="E120" t="s">
        <v>735</v>
      </c>
      <c r="F120" t="s">
        <v>179</v>
      </c>
      <c r="G120">
        <v>46</v>
      </c>
      <c r="H120">
        <v>23</v>
      </c>
      <c r="I120">
        <v>37</v>
      </c>
      <c r="J120">
        <v>106</v>
      </c>
      <c r="K120" s="482">
        <v>0.434</v>
      </c>
      <c r="L120" s="482">
        <v>0.217</v>
      </c>
      <c r="M120" s="482">
        <v>0.34899999999999998</v>
      </c>
    </row>
    <row r="121" spans="1:13" x14ac:dyDescent="0.2">
      <c r="A121" t="s">
        <v>591</v>
      </c>
      <c r="B121" t="s">
        <v>50</v>
      </c>
      <c r="C121" t="s">
        <v>87</v>
      </c>
      <c r="D121" t="s">
        <v>592</v>
      </c>
      <c r="E121" t="s">
        <v>593</v>
      </c>
      <c r="F121" t="s">
        <v>179</v>
      </c>
      <c r="G121">
        <v>78</v>
      </c>
      <c r="H121">
        <v>43</v>
      </c>
      <c r="I121">
        <v>69</v>
      </c>
      <c r="J121">
        <v>190</v>
      </c>
      <c r="K121" s="482">
        <v>0.41099999999999998</v>
      </c>
      <c r="L121" s="482">
        <v>0.22600000000000001</v>
      </c>
      <c r="M121" s="482">
        <v>0.36299999999999999</v>
      </c>
    </row>
    <row r="122" spans="1:13" x14ac:dyDescent="0.2">
      <c r="A122" t="s">
        <v>594</v>
      </c>
      <c r="B122" t="s">
        <v>50</v>
      </c>
      <c r="C122" t="s">
        <v>87</v>
      </c>
      <c r="D122" t="s">
        <v>595</v>
      </c>
      <c r="E122" t="s">
        <v>596</v>
      </c>
      <c r="F122" t="s">
        <v>179</v>
      </c>
      <c r="G122">
        <v>34</v>
      </c>
      <c r="H122">
        <v>21</v>
      </c>
      <c r="I122">
        <v>47</v>
      </c>
      <c r="J122">
        <v>102</v>
      </c>
      <c r="K122" s="482">
        <v>0.33300000000000002</v>
      </c>
      <c r="L122" s="482">
        <v>0.20599999999999999</v>
      </c>
      <c r="M122" s="482">
        <v>0.46100000000000002</v>
      </c>
    </row>
    <row r="123" spans="1:13" x14ac:dyDescent="0.2">
      <c r="A123" t="s">
        <v>597</v>
      </c>
      <c r="B123" t="s">
        <v>50</v>
      </c>
      <c r="C123" t="s">
        <v>87</v>
      </c>
      <c r="D123" t="s">
        <v>598</v>
      </c>
      <c r="E123" t="s">
        <v>599</v>
      </c>
      <c r="F123" t="s">
        <v>179</v>
      </c>
      <c r="G123">
        <v>100</v>
      </c>
      <c r="H123">
        <v>51</v>
      </c>
      <c r="I123">
        <v>126</v>
      </c>
      <c r="J123">
        <v>277</v>
      </c>
      <c r="K123" s="482">
        <v>0.36099999999999999</v>
      </c>
      <c r="L123" s="482">
        <v>0.184</v>
      </c>
      <c r="M123" s="482">
        <v>0.45500000000000002</v>
      </c>
    </row>
    <row r="124" spans="1:13" x14ac:dyDescent="0.2">
      <c r="A124" t="s">
        <v>600</v>
      </c>
      <c r="B124" t="s">
        <v>50</v>
      </c>
      <c r="C124" t="s">
        <v>87</v>
      </c>
      <c r="D124" t="s">
        <v>601</v>
      </c>
      <c r="E124" t="s">
        <v>602</v>
      </c>
      <c r="F124" t="s">
        <v>179</v>
      </c>
      <c r="G124">
        <v>25</v>
      </c>
      <c r="H124">
        <v>11</v>
      </c>
      <c r="I124">
        <v>24</v>
      </c>
      <c r="J124">
        <v>60</v>
      </c>
      <c r="K124" s="482">
        <v>0.41699999999999998</v>
      </c>
      <c r="L124" s="482">
        <v>0.183</v>
      </c>
      <c r="M124" s="482">
        <v>0.4</v>
      </c>
    </row>
    <row r="125" spans="1:13" x14ac:dyDescent="0.2">
      <c r="A125" t="s">
        <v>603</v>
      </c>
      <c r="B125" t="s">
        <v>50</v>
      </c>
      <c r="C125" t="s">
        <v>87</v>
      </c>
      <c r="D125" t="s">
        <v>604</v>
      </c>
      <c r="E125" t="s">
        <v>605</v>
      </c>
      <c r="F125" t="s">
        <v>179</v>
      </c>
      <c r="G125">
        <v>25</v>
      </c>
      <c r="H125">
        <v>10</v>
      </c>
      <c r="I125">
        <v>33</v>
      </c>
      <c r="J125">
        <v>68</v>
      </c>
      <c r="K125" s="482">
        <v>0.36799999999999999</v>
      </c>
      <c r="L125" s="482">
        <v>0.14699999999999999</v>
      </c>
      <c r="M125" s="482">
        <v>0.48499999999999999</v>
      </c>
    </row>
    <row r="126" spans="1:13" x14ac:dyDescent="0.2">
      <c r="A126" t="s">
        <v>606</v>
      </c>
      <c r="B126" t="s">
        <v>50</v>
      </c>
      <c r="C126" t="s">
        <v>87</v>
      </c>
      <c r="D126" t="s">
        <v>607</v>
      </c>
      <c r="E126" t="s">
        <v>608</v>
      </c>
      <c r="F126" t="s">
        <v>179</v>
      </c>
      <c r="G126">
        <v>8</v>
      </c>
      <c r="H126">
        <v>5</v>
      </c>
      <c r="I126">
        <v>11</v>
      </c>
      <c r="J126">
        <v>24</v>
      </c>
      <c r="K126" s="482">
        <v>0.33300000000000002</v>
      </c>
      <c r="L126" s="482">
        <v>0.20799999999999999</v>
      </c>
      <c r="M126" s="482">
        <v>0.45800000000000002</v>
      </c>
    </row>
    <row r="127" spans="1:13" x14ac:dyDescent="0.2">
      <c r="A127" t="s">
        <v>682</v>
      </c>
      <c r="B127" t="s">
        <v>50</v>
      </c>
      <c r="C127" t="s">
        <v>87</v>
      </c>
      <c r="D127" t="s">
        <v>683</v>
      </c>
      <c r="E127" t="s">
        <v>684</v>
      </c>
      <c r="F127" t="s">
        <v>179</v>
      </c>
      <c r="G127">
        <v>57</v>
      </c>
      <c r="H127">
        <v>28</v>
      </c>
      <c r="I127">
        <v>66</v>
      </c>
      <c r="J127">
        <v>151</v>
      </c>
      <c r="K127" s="482">
        <v>0.377</v>
      </c>
      <c r="L127" s="482">
        <v>0.185</v>
      </c>
      <c r="M127" s="482">
        <v>0.437</v>
      </c>
    </row>
    <row r="128" spans="1:13" x14ac:dyDescent="0.2">
      <c r="A128" t="s">
        <v>685</v>
      </c>
      <c r="B128" t="s">
        <v>50</v>
      </c>
      <c r="C128" t="s">
        <v>87</v>
      </c>
      <c r="D128" t="s">
        <v>686</v>
      </c>
      <c r="E128" t="s">
        <v>687</v>
      </c>
      <c r="F128" t="s">
        <v>179</v>
      </c>
      <c r="G128">
        <v>16</v>
      </c>
      <c r="H128">
        <v>8</v>
      </c>
      <c r="I128">
        <v>24</v>
      </c>
      <c r="J128">
        <v>48</v>
      </c>
      <c r="K128" s="482">
        <v>0.33300000000000002</v>
      </c>
      <c r="L128" s="482">
        <v>0.16700000000000001</v>
      </c>
      <c r="M128" s="482">
        <v>0.5</v>
      </c>
    </row>
    <row r="129" spans="1:13" x14ac:dyDescent="0.2">
      <c r="A129" t="s">
        <v>688</v>
      </c>
      <c r="B129" t="s">
        <v>50</v>
      </c>
      <c r="C129" t="s">
        <v>87</v>
      </c>
      <c r="D129" t="s">
        <v>689</v>
      </c>
      <c r="E129" t="s">
        <v>690</v>
      </c>
      <c r="F129" t="s">
        <v>179</v>
      </c>
      <c r="G129">
        <v>3</v>
      </c>
      <c r="H129">
        <v>6</v>
      </c>
      <c r="I129">
        <v>2</v>
      </c>
      <c r="J129">
        <v>11</v>
      </c>
      <c r="K129" s="482">
        <v>0.27300000000000002</v>
      </c>
      <c r="L129" s="482">
        <v>0.54500000000000004</v>
      </c>
      <c r="M129" s="482">
        <v>0.182</v>
      </c>
    </row>
    <row r="130" spans="1:13" x14ac:dyDescent="0.2">
      <c r="A130" t="s">
        <v>691</v>
      </c>
      <c r="B130" t="s">
        <v>50</v>
      </c>
      <c r="C130" t="s">
        <v>87</v>
      </c>
      <c r="D130" t="s">
        <v>692</v>
      </c>
      <c r="E130" t="s">
        <v>693</v>
      </c>
      <c r="F130" t="s">
        <v>179</v>
      </c>
      <c r="G130">
        <v>31</v>
      </c>
      <c r="H130">
        <v>16</v>
      </c>
      <c r="I130">
        <v>39</v>
      </c>
      <c r="J130">
        <v>86</v>
      </c>
      <c r="K130" s="482">
        <v>0.36</v>
      </c>
      <c r="L130" s="482">
        <v>0.186</v>
      </c>
      <c r="M130" s="482">
        <v>0.45300000000000001</v>
      </c>
    </row>
    <row r="131" spans="1:13" x14ac:dyDescent="0.2">
      <c r="A131" t="s">
        <v>694</v>
      </c>
      <c r="B131" t="s">
        <v>50</v>
      </c>
      <c r="C131" t="s">
        <v>87</v>
      </c>
      <c r="D131" t="s">
        <v>695</v>
      </c>
      <c r="E131" t="s">
        <v>696</v>
      </c>
      <c r="F131" t="s">
        <v>179</v>
      </c>
      <c r="G131">
        <v>9</v>
      </c>
      <c r="H131">
        <v>6</v>
      </c>
      <c r="I131">
        <v>9</v>
      </c>
      <c r="J131">
        <v>24</v>
      </c>
      <c r="K131" s="482">
        <v>0.375</v>
      </c>
      <c r="L131" s="482">
        <v>0.25</v>
      </c>
      <c r="M131" s="482">
        <v>0.375</v>
      </c>
    </row>
    <row r="132" spans="1:13" x14ac:dyDescent="0.2">
      <c r="A132" t="s">
        <v>697</v>
      </c>
      <c r="B132" t="s">
        <v>50</v>
      </c>
      <c r="C132" t="s">
        <v>87</v>
      </c>
      <c r="D132" t="s">
        <v>698</v>
      </c>
      <c r="E132" t="s">
        <v>699</v>
      </c>
      <c r="F132" t="s">
        <v>179</v>
      </c>
      <c r="G132">
        <v>45</v>
      </c>
      <c r="H132">
        <v>20</v>
      </c>
      <c r="I132">
        <v>59</v>
      </c>
      <c r="J132">
        <v>124</v>
      </c>
      <c r="K132" s="482">
        <v>0.36299999999999999</v>
      </c>
      <c r="L132" s="482">
        <v>0.161</v>
      </c>
      <c r="M132" s="482">
        <v>0.47599999999999998</v>
      </c>
    </row>
    <row r="133" spans="1:13" x14ac:dyDescent="0.2">
      <c r="A133" t="s">
        <v>700</v>
      </c>
      <c r="B133" t="s">
        <v>50</v>
      </c>
      <c r="C133" t="s">
        <v>87</v>
      </c>
      <c r="D133" t="s">
        <v>701</v>
      </c>
      <c r="E133" t="s">
        <v>702</v>
      </c>
      <c r="F133" t="s">
        <v>179</v>
      </c>
      <c r="G133">
        <v>38</v>
      </c>
      <c r="H133">
        <v>18</v>
      </c>
      <c r="I133">
        <v>35</v>
      </c>
      <c r="J133">
        <v>91</v>
      </c>
      <c r="K133" s="482">
        <v>0.41799999999999998</v>
      </c>
      <c r="L133" s="482">
        <v>0.19800000000000001</v>
      </c>
      <c r="M133" s="482">
        <v>0.38500000000000001</v>
      </c>
    </row>
    <row r="134" spans="1:13" x14ac:dyDescent="0.2">
      <c r="A134" t="s">
        <v>703</v>
      </c>
      <c r="B134" t="s">
        <v>50</v>
      </c>
      <c r="C134" t="s">
        <v>87</v>
      </c>
      <c r="D134" t="s">
        <v>704</v>
      </c>
      <c r="E134" t="s">
        <v>705</v>
      </c>
      <c r="F134" t="s">
        <v>179</v>
      </c>
      <c r="G134">
        <v>12</v>
      </c>
      <c r="H134">
        <v>16</v>
      </c>
      <c r="I134">
        <v>25</v>
      </c>
      <c r="J134">
        <v>53</v>
      </c>
      <c r="K134" s="482">
        <v>0.22600000000000001</v>
      </c>
      <c r="L134" s="482">
        <v>0.30199999999999999</v>
      </c>
      <c r="M134" s="482">
        <v>0.47199999999999998</v>
      </c>
    </row>
    <row r="135" spans="1:13" x14ac:dyDescent="0.2">
      <c r="A135" t="s">
        <v>706</v>
      </c>
      <c r="B135" t="s">
        <v>50</v>
      </c>
      <c r="C135" t="s">
        <v>87</v>
      </c>
      <c r="D135" t="s">
        <v>707</v>
      </c>
      <c r="E135" t="s">
        <v>708</v>
      </c>
      <c r="F135" t="s">
        <v>179</v>
      </c>
      <c r="G135">
        <v>16</v>
      </c>
      <c r="H135">
        <v>11</v>
      </c>
      <c r="I135">
        <v>20</v>
      </c>
      <c r="J135">
        <v>47</v>
      </c>
      <c r="K135" s="482">
        <v>0.34</v>
      </c>
      <c r="L135" s="482">
        <v>0.23400000000000001</v>
      </c>
      <c r="M135" s="482">
        <v>0.42599999999999999</v>
      </c>
    </row>
    <row r="136" spans="1:13" x14ac:dyDescent="0.2">
      <c r="A136" t="s">
        <v>709</v>
      </c>
      <c r="B136" t="s">
        <v>50</v>
      </c>
      <c r="C136" t="s">
        <v>87</v>
      </c>
      <c r="D136" t="s">
        <v>710</v>
      </c>
      <c r="E136" t="s">
        <v>711</v>
      </c>
      <c r="F136" t="s">
        <v>179</v>
      </c>
      <c r="G136">
        <v>45</v>
      </c>
      <c r="H136">
        <v>19</v>
      </c>
      <c r="I136">
        <v>40</v>
      </c>
      <c r="J136">
        <v>104</v>
      </c>
      <c r="K136" s="482">
        <v>0.433</v>
      </c>
      <c r="L136" s="482">
        <v>0.183</v>
      </c>
      <c r="M136" s="482">
        <v>0.38500000000000001</v>
      </c>
    </row>
    <row r="137" spans="1:13" x14ac:dyDescent="0.2">
      <c r="A137" t="s">
        <v>712</v>
      </c>
      <c r="B137" t="s">
        <v>50</v>
      </c>
      <c r="C137" t="s">
        <v>87</v>
      </c>
      <c r="D137" t="s">
        <v>713</v>
      </c>
      <c r="E137" t="s">
        <v>714</v>
      </c>
      <c r="F137" t="s">
        <v>179</v>
      </c>
      <c r="G137">
        <v>129</v>
      </c>
      <c r="H137">
        <v>78</v>
      </c>
      <c r="I137">
        <v>157</v>
      </c>
      <c r="J137">
        <v>364</v>
      </c>
      <c r="K137" s="482">
        <v>0.35399999999999998</v>
      </c>
      <c r="L137" s="482">
        <v>0.214</v>
      </c>
      <c r="M137" s="482">
        <v>0.43099999999999999</v>
      </c>
    </row>
    <row r="138" spans="1:13" x14ac:dyDescent="0.2">
      <c r="A138" t="s">
        <v>715</v>
      </c>
      <c r="B138" t="s">
        <v>50</v>
      </c>
      <c r="C138" t="s">
        <v>87</v>
      </c>
      <c r="D138" t="s">
        <v>716</v>
      </c>
      <c r="E138" t="s">
        <v>717</v>
      </c>
      <c r="F138" t="s">
        <v>179</v>
      </c>
      <c r="G138">
        <v>8</v>
      </c>
      <c r="H138">
        <v>4</v>
      </c>
      <c r="I138">
        <v>8</v>
      </c>
      <c r="J138">
        <v>20</v>
      </c>
      <c r="K138" s="482">
        <v>0.4</v>
      </c>
      <c r="L138" s="482">
        <v>0.2</v>
      </c>
      <c r="M138" s="482">
        <v>0.4</v>
      </c>
    </row>
    <row r="139" spans="1:13" x14ac:dyDescent="0.2">
      <c r="A139" t="s">
        <v>718</v>
      </c>
      <c r="B139" t="s">
        <v>50</v>
      </c>
      <c r="C139" t="s">
        <v>87</v>
      </c>
      <c r="D139" t="s">
        <v>719</v>
      </c>
      <c r="E139" t="s">
        <v>720</v>
      </c>
      <c r="F139" t="s">
        <v>179</v>
      </c>
      <c r="G139">
        <v>19</v>
      </c>
      <c r="H139">
        <v>13</v>
      </c>
      <c r="I139">
        <v>29</v>
      </c>
      <c r="J139">
        <v>61</v>
      </c>
      <c r="K139" s="482">
        <v>0.311</v>
      </c>
      <c r="L139" s="482">
        <v>0.21299999999999999</v>
      </c>
      <c r="M139" s="482">
        <v>0.47499999999999998</v>
      </c>
    </row>
    <row r="140" spans="1:13" x14ac:dyDescent="0.2">
      <c r="A140" t="s">
        <v>721</v>
      </c>
      <c r="B140" t="s">
        <v>50</v>
      </c>
      <c r="C140" t="s">
        <v>87</v>
      </c>
      <c r="D140" t="s">
        <v>722</v>
      </c>
      <c r="E140" t="s">
        <v>723</v>
      </c>
      <c r="F140" t="s">
        <v>179</v>
      </c>
      <c r="G140">
        <v>31</v>
      </c>
      <c r="H140">
        <v>5</v>
      </c>
      <c r="I140">
        <v>19</v>
      </c>
      <c r="J140">
        <v>55</v>
      </c>
      <c r="K140" s="482">
        <v>0.56399999999999995</v>
      </c>
      <c r="L140" s="482">
        <v>9.0999999999999998E-2</v>
      </c>
      <c r="M140" s="482">
        <v>0.34499999999999997</v>
      </c>
    </row>
    <row r="141" spans="1:13" x14ac:dyDescent="0.2">
      <c r="A141" t="s">
        <v>724</v>
      </c>
      <c r="B141" t="s">
        <v>50</v>
      </c>
      <c r="C141" t="s">
        <v>87</v>
      </c>
      <c r="D141" t="s">
        <v>725</v>
      </c>
      <c r="E141" t="s">
        <v>726</v>
      </c>
      <c r="F141" t="s">
        <v>179</v>
      </c>
      <c r="G141">
        <v>39</v>
      </c>
      <c r="H141">
        <v>16</v>
      </c>
      <c r="I141">
        <v>37</v>
      </c>
      <c r="J141">
        <v>92</v>
      </c>
      <c r="K141" s="482">
        <v>0.42399999999999999</v>
      </c>
      <c r="L141" s="482">
        <v>0.17399999999999999</v>
      </c>
      <c r="M141" s="482">
        <v>0.40200000000000002</v>
      </c>
    </row>
    <row r="142" spans="1:13" x14ac:dyDescent="0.2">
      <c r="A142" t="s">
        <v>677</v>
      </c>
      <c r="B142" t="s">
        <v>50</v>
      </c>
      <c r="C142" t="s">
        <v>87</v>
      </c>
      <c r="D142" t="s">
        <v>678</v>
      </c>
      <c r="E142" t="s">
        <v>679</v>
      </c>
      <c r="F142" t="s">
        <v>179</v>
      </c>
      <c r="G142">
        <v>250</v>
      </c>
      <c r="H142">
        <v>121</v>
      </c>
      <c r="I142">
        <v>235</v>
      </c>
      <c r="J142">
        <v>606</v>
      </c>
      <c r="K142" s="482">
        <v>0.41299999999999998</v>
      </c>
      <c r="L142" s="482">
        <v>0.2</v>
      </c>
      <c r="M142" s="482">
        <v>0.38800000000000001</v>
      </c>
    </row>
    <row r="143" spans="1:13" x14ac:dyDescent="0.2">
      <c r="A143" t="s">
        <v>680</v>
      </c>
      <c r="B143" t="s">
        <v>50</v>
      </c>
      <c r="C143" t="s">
        <v>87</v>
      </c>
      <c r="D143" t="s">
        <v>681</v>
      </c>
      <c r="E143" t="s">
        <v>336</v>
      </c>
      <c r="F143" t="s">
        <v>179</v>
      </c>
      <c r="G143">
        <v>74</v>
      </c>
      <c r="H143">
        <v>45</v>
      </c>
      <c r="I143">
        <v>83</v>
      </c>
      <c r="J143">
        <v>202</v>
      </c>
      <c r="K143" s="482">
        <v>0.36599999999999999</v>
      </c>
      <c r="L143" s="482">
        <v>0.223</v>
      </c>
      <c r="M143" s="482">
        <v>0.41099999999999998</v>
      </c>
    </row>
    <row r="144" spans="1:13" x14ac:dyDescent="0.2">
      <c r="A144" t="s">
        <v>739</v>
      </c>
      <c r="B144" t="s">
        <v>50</v>
      </c>
      <c r="C144" t="s">
        <v>87</v>
      </c>
      <c r="D144" t="s">
        <v>740</v>
      </c>
      <c r="E144" t="s">
        <v>741</v>
      </c>
      <c r="F144" t="s">
        <v>179</v>
      </c>
      <c r="G144">
        <v>10</v>
      </c>
      <c r="H144">
        <v>7</v>
      </c>
      <c r="I144">
        <v>7</v>
      </c>
      <c r="J144">
        <v>24</v>
      </c>
      <c r="K144" s="482">
        <v>0.41699999999999998</v>
      </c>
      <c r="L144" s="482">
        <v>0.29199999999999998</v>
      </c>
      <c r="M144" s="482">
        <v>0.29199999999999998</v>
      </c>
    </row>
    <row r="145" spans="1:13" x14ac:dyDescent="0.2">
      <c r="A145" t="s">
        <v>742</v>
      </c>
      <c r="B145" t="s">
        <v>50</v>
      </c>
      <c r="C145" t="s">
        <v>87</v>
      </c>
      <c r="D145" t="s">
        <v>743</v>
      </c>
      <c r="E145" t="s">
        <v>744</v>
      </c>
      <c r="F145" t="s">
        <v>179</v>
      </c>
      <c r="G145">
        <v>49</v>
      </c>
      <c r="H145">
        <v>29</v>
      </c>
      <c r="I145">
        <v>66</v>
      </c>
      <c r="J145">
        <v>144</v>
      </c>
      <c r="K145" s="482">
        <v>0.34</v>
      </c>
      <c r="L145" s="482">
        <v>0.20100000000000001</v>
      </c>
      <c r="M145" s="482">
        <v>0.45800000000000002</v>
      </c>
    </row>
    <row r="146" spans="1:13" x14ac:dyDescent="0.2">
      <c r="A146" t="s">
        <v>745</v>
      </c>
      <c r="B146" t="s">
        <v>50</v>
      </c>
      <c r="C146" t="s">
        <v>87</v>
      </c>
      <c r="D146" t="s">
        <v>746</v>
      </c>
      <c r="E146" t="s">
        <v>747</v>
      </c>
      <c r="F146" t="s">
        <v>179</v>
      </c>
      <c r="G146">
        <v>5</v>
      </c>
      <c r="H146">
        <v>1</v>
      </c>
      <c r="I146">
        <v>8</v>
      </c>
      <c r="J146">
        <v>14</v>
      </c>
      <c r="K146" s="482">
        <v>0.35699999999999998</v>
      </c>
      <c r="L146" s="482">
        <v>7.0999999999999994E-2</v>
      </c>
      <c r="M146" s="482">
        <v>0.57099999999999995</v>
      </c>
    </row>
    <row r="147" spans="1:13" x14ac:dyDescent="0.2">
      <c r="A147" t="s">
        <v>748</v>
      </c>
      <c r="B147" t="s">
        <v>50</v>
      </c>
      <c r="C147" t="s">
        <v>87</v>
      </c>
      <c r="D147" t="s">
        <v>749</v>
      </c>
      <c r="E147" t="s">
        <v>750</v>
      </c>
      <c r="F147" t="s">
        <v>179</v>
      </c>
      <c r="G147">
        <v>28</v>
      </c>
      <c r="H147">
        <v>11</v>
      </c>
      <c r="I147">
        <v>21</v>
      </c>
      <c r="J147">
        <v>60</v>
      </c>
      <c r="K147" s="482">
        <v>0.46700000000000003</v>
      </c>
      <c r="L147" s="482">
        <v>0.183</v>
      </c>
      <c r="M147" s="482">
        <v>0.35</v>
      </c>
    </row>
    <row r="148" spans="1:13" x14ac:dyDescent="0.2">
      <c r="A148" t="s">
        <v>727</v>
      </c>
      <c r="B148" t="s">
        <v>50</v>
      </c>
      <c r="C148" t="s">
        <v>87</v>
      </c>
      <c r="D148" t="s">
        <v>728</v>
      </c>
      <c r="E148" t="s">
        <v>729</v>
      </c>
      <c r="F148" t="s">
        <v>179</v>
      </c>
      <c r="G148">
        <v>5</v>
      </c>
      <c r="H148">
        <v>3</v>
      </c>
      <c r="I148">
        <v>8</v>
      </c>
      <c r="J148">
        <v>16</v>
      </c>
      <c r="K148" s="482">
        <v>0.313</v>
      </c>
      <c r="L148" s="482">
        <v>0.188</v>
      </c>
      <c r="M148" s="482">
        <v>0.5</v>
      </c>
    </row>
    <row r="149" spans="1:13" x14ac:dyDescent="0.2">
      <c r="A149" t="s">
        <v>769</v>
      </c>
      <c r="B149" t="s">
        <v>50</v>
      </c>
      <c r="C149" t="s">
        <v>87</v>
      </c>
      <c r="D149" t="s">
        <v>770</v>
      </c>
      <c r="E149" t="s">
        <v>771</v>
      </c>
      <c r="F149" t="s">
        <v>179</v>
      </c>
      <c r="G149">
        <v>42</v>
      </c>
      <c r="H149">
        <v>22</v>
      </c>
      <c r="I149">
        <v>37</v>
      </c>
      <c r="J149">
        <v>101</v>
      </c>
      <c r="K149" s="482">
        <v>0.41599999999999998</v>
      </c>
      <c r="L149" s="482">
        <v>0.218</v>
      </c>
      <c r="M149" s="482">
        <v>0.36599999999999999</v>
      </c>
    </row>
    <row r="150" spans="1:13" x14ac:dyDescent="0.2">
      <c r="A150" t="s">
        <v>772</v>
      </c>
      <c r="B150" t="s">
        <v>50</v>
      </c>
      <c r="C150" t="s">
        <v>87</v>
      </c>
      <c r="D150" t="s">
        <v>773</v>
      </c>
      <c r="E150" t="s">
        <v>774</v>
      </c>
      <c r="F150" t="s">
        <v>179</v>
      </c>
      <c r="G150">
        <v>12</v>
      </c>
      <c r="H150">
        <v>6</v>
      </c>
      <c r="I150">
        <v>32</v>
      </c>
      <c r="J150">
        <v>50</v>
      </c>
      <c r="K150" s="482">
        <v>0.24</v>
      </c>
      <c r="L150" s="482">
        <v>0.12</v>
      </c>
      <c r="M150" s="482">
        <v>0.64</v>
      </c>
    </row>
    <row r="151" spans="1:13" x14ac:dyDescent="0.2">
      <c r="A151" t="s">
        <v>775</v>
      </c>
      <c r="B151" t="s">
        <v>50</v>
      </c>
      <c r="C151" t="s">
        <v>87</v>
      </c>
      <c r="D151" t="s">
        <v>776</v>
      </c>
      <c r="E151" t="s">
        <v>777</v>
      </c>
      <c r="F151" t="s">
        <v>179</v>
      </c>
      <c r="G151">
        <v>7</v>
      </c>
      <c r="H151">
        <v>3</v>
      </c>
      <c r="I151">
        <v>7</v>
      </c>
      <c r="J151">
        <v>17</v>
      </c>
      <c r="K151" s="482">
        <v>0.41199999999999998</v>
      </c>
      <c r="L151" s="482">
        <v>0.17599999999999999</v>
      </c>
      <c r="M151" s="482">
        <v>0.41199999999999998</v>
      </c>
    </row>
    <row r="152" spans="1:13" x14ac:dyDescent="0.2">
      <c r="A152" t="s">
        <v>778</v>
      </c>
      <c r="B152" t="s">
        <v>50</v>
      </c>
      <c r="C152" t="s">
        <v>87</v>
      </c>
      <c r="D152" t="s">
        <v>779</v>
      </c>
      <c r="E152" t="s">
        <v>780</v>
      </c>
      <c r="F152" t="s">
        <v>179</v>
      </c>
      <c r="G152">
        <v>19</v>
      </c>
      <c r="H152">
        <v>7</v>
      </c>
      <c r="I152">
        <v>9</v>
      </c>
      <c r="J152">
        <v>35</v>
      </c>
      <c r="K152" s="482">
        <v>0.54300000000000004</v>
      </c>
      <c r="L152" s="482">
        <v>0.2</v>
      </c>
      <c r="M152" s="482">
        <v>0.25700000000000001</v>
      </c>
    </row>
    <row r="153" spans="1:13" x14ac:dyDescent="0.2">
      <c r="A153" t="s">
        <v>781</v>
      </c>
      <c r="B153" t="s">
        <v>50</v>
      </c>
      <c r="C153" t="s">
        <v>87</v>
      </c>
      <c r="D153" t="s">
        <v>782</v>
      </c>
      <c r="E153" t="s">
        <v>783</v>
      </c>
      <c r="F153" t="s">
        <v>179</v>
      </c>
      <c r="G153">
        <v>7</v>
      </c>
      <c r="H153">
        <v>6</v>
      </c>
      <c r="I153">
        <v>6</v>
      </c>
      <c r="J153">
        <v>19</v>
      </c>
      <c r="K153" s="482">
        <v>0.36799999999999999</v>
      </c>
      <c r="L153" s="482">
        <v>0.316</v>
      </c>
      <c r="M153" s="482">
        <v>0.316</v>
      </c>
    </row>
    <row r="154" spans="1:13" x14ac:dyDescent="0.2">
      <c r="A154" t="s">
        <v>784</v>
      </c>
      <c r="B154" t="s">
        <v>50</v>
      </c>
      <c r="C154" t="s">
        <v>87</v>
      </c>
      <c r="D154" t="s">
        <v>785</v>
      </c>
      <c r="E154" t="s">
        <v>786</v>
      </c>
      <c r="F154" t="s">
        <v>179</v>
      </c>
      <c r="G154">
        <v>97</v>
      </c>
      <c r="H154">
        <v>46</v>
      </c>
      <c r="I154">
        <v>107</v>
      </c>
      <c r="J154">
        <v>250</v>
      </c>
      <c r="K154" s="482">
        <v>0.38800000000000001</v>
      </c>
      <c r="L154" s="482">
        <v>0.184</v>
      </c>
      <c r="M154" s="482">
        <v>0.42799999999999999</v>
      </c>
    </row>
    <row r="155" spans="1:13" x14ac:dyDescent="0.2">
      <c r="A155" t="s">
        <v>787</v>
      </c>
      <c r="B155" t="s">
        <v>50</v>
      </c>
      <c r="C155" t="s">
        <v>87</v>
      </c>
      <c r="D155" t="s">
        <v>788</v>
      </c>
      <c r="E155" t="s">
        <v>789</v>
      </c>
      <c r="F155" t="s">
        <v>179</v>
      </c>
      <c r="G155">
        <v>21</v>
      </c>
      <c r="H155">
        <v>19</v>
      </c>
      <c r="I155">
        <v>31</v>
      </c>
      <c r="J155">
        <v>71</v>
      </c>
      <c r="K155" s="482">
        <v>0.29599999999999999</v>
      </c>
      <c r="L155" s="482">
        <v>0.26800000000000002</v>
      </c>
      <c r="M155" s="482">
        <v>0.437</v>
      </c>
    </row>
    <row r="156" spans="1:13" x14ac:dyDescent="0.2">
      <c r="A156" t="s">
        <v>790</v>
      </c>
      <c r="B156" t="s">
        <v>50</v>
      </c>
      <c r="C156" t="s">
        <v>87</v>
      </c>
      <c r="D156" t="s">
        <v>791</v>
      </c>
      <c r="E156" t="s">
        <v>792</v>
      </c>
      <c r="F156" t="s">
        <v>179</v>
      </c>
      <c r="G156">
        <v>7</v>
      </c>
      <c r="H156">
        <v>5</v>
      </c>
      <c r="I156">
        <v>11</v>
      </c>
      <c r="J156">
        <v>23</v>
      </c>
      <c r="K156" s="482">
        <v>0.30399999999999999</v>
      </c>
      <c r="L156" s="482">
        <v>0.217</v>
      </c>
      <c r="M156" s="482">
        <v>0.47799999999999998</v>
      </c>
    </row>
    <row r="157" spans="1:13" x14ac:dyDescent="0.2">
      <c r="A157" t="s">
        <v>793</v>
      </c>
      <c r="B157" t="s">
        <v>50</v>
      </c>
      <c r="C157" t="s">
        <v>87</v>
      </c>
      <c r="D157" t="s">
        <v>794</v>
      </c>
      <c r="E157" t="s">
        <v>795</v>
      </c>
      <c r="F157" t="s">
        <v>179</v>
      </c>
      <c r="G157">
        <v>28</v>
      </c>
      <c r="H157">
        <v>22</v>
      </c>
      <c r="I157">
        <v>33</v>
      </c>
      <c r="J157">
        <v>83</v>
      </c>
      <c r="K157" s="482">
        <v>0.33700000000000002</v>
      </c>
      <c r="L157" s="482">
        <v>0.26500000000000001</v>
      </c>
      <c r="M157" s="482">
        <v>0.39800000000000002</v>
      </c>
    </row>
    <row r="158" spans="1:13" x14ac:dyDescent="0.2">
      <c r="A158" t="s">
        <v>796</v>
      </c>
      <c r="B158" t="s">
        <v>50</v>
      </c>
      <c r="C158" t="s">
        <v>87</v>
      </c>
      <c r="D158" t="s">
        <v>797</v>
      </c>
      <c r="E158" t="s">
        <v>798</v>
      </c>
      <c r="F158" t="s">
        <v>179</v>
      </c>
      <c r="G158">
        <v>2</v>
      </c>
      <c r="H158">
        <v>1</v>
      </c>
      <c r="I158">
        <v>5</v>
      </c>
      <c r="J158">
        <v>8</v>
      </c>
      <c r="K158" s="482">
        <v>0.25</v>
      </c>
      <c r="L158" s="482">
        <v>0.125</v>
      </c>
      <c r="M158" s="482">
        <v>0.625</v>
      </c>
    </row>
    <row r="159" spans="1:13" x14ac:dyDescent="0.2">
      <c r="A159" t="s">
        <v>799</v>
      </c>
      <c r="B159" t="s">
        <v>50</v>
      </c>
      <c r="C159" t="s">
        <v>87</v>
      </c>
      <c r="D159" t="s">
        <v>800</v>
      </c>
      <c r="E159" t="s">
        <v>801</v>
      </c>
      <c r="F159" t="s">
        <v>179</v>
      </c>
      <c r="G159">
        <v>31</v>
      </c>
      <c r="H159">
        <v>18</v>
      </c>
      <c r="I159">
        <v>33</v>
      </c>
      <c r="J159">
        <v>82</v>
      </c>
      <c r="K159" s="482">
        <v>0.378</v>
      </c>
      <c r="L159" s="482">
        <v>0.22</v>
      </c>
      <c r="M159" s="482">
        <v>0.40200000000000002</v>
      </c>
    </row>
    <row r="160" spans="1:13" x14ac:dyDescent="0.2">
      <c r="A160" t="s">
        <v>802</v>
      </c>
      <c r="B160" t="s">
        <v>50</v>
      </c>
      <c r="C160" t="s">
        <v>87</v>
      </c>
      <c r="D160" t="s">
        <v>803</v>
      </c>
      <c r="E160" t="s">
        <v>804</v>
      </c>
      <c r="F160" t="s">
        <v>179</v>
      </c>
      <c r="G160">
        <v>31</v>
      </c>
      <c r="H160">
        <v>12</v>
      </c>
      <c r="I160">
        <v>32</v>
      </c>
      <c r="J160">
        <v>75</v>
      </c>
      <c r="K160" s="482">
        <v>0.41299999999999998</v>
      </c>
      <c r="L160" s="482">
        <v>0.16</v>
      </c>
      <c r="M160" s="482">
        <v>0.42699999999999999</v>
      </c>
    </row>
    <row r="161" spans="1:13" x14ac:dyDescent="0.2">
      <c r="A161" t="s">
        <v>805</v>
      </c>
      <c r="B161" t="s">
        <v>50</v>
      </c>
      <c r="C161" t="s">
        <v>87</v>
      </c>
      <c r="D161" t="s">
        <v>806</v>
      </c>
      <c r="E161" t="s">
        <v>807</v>
      </c>
      <c r="F161" t="s">
        <v>179</v>
      </c>
      <c r="G161">
        <v>20</v>
      </c>
      <c r="H161">
        <v>14</v>
      </c>
      <c r="I161">
        <v>22</v>
      </c>
      <c r="J161">
        <v>56</v>
      </c>
      <c r="K161" s="482">
        <v>0.35699999999999998</v>
      </c>
      <c r="L161" s="482">
        <v>0.25</v>
      </c>
      <c r="M161" s="482">
        <v>0.39300000000000002</v>
      </c>
    </row>
    <row r="162" spans="1:13" x14ac:dyDescent="0.2">
      <c r="A162" t="s">
        <v>808</v>
      </c>
      <c r="B162" t="s">
        <v>50</v>
      </c>
      <c r="C162" t="s">
        <v>87</v>
      </c>
      <c r="D162" t="s">
        <v>809</v>
      </c>
      <c r="E162" t="s">
        <v>810</v>
      </c>
      <c r="F162" t="s">
        <v>179</v>
      </c>
      <c r="G162">
        <v>52</v>
      </c>
      <c r="H162">
        <v>35</v>
      </c>
      <c r="I162">
        <v>77</v>
      </c>
      <c r="J162">
        <v>164</v>
      </c>
      <c r="K162" s="482">
        <v>0.317</v>
      </c>
      <c r="L162" s="482">
        <v>0.21299999999999999</v>
      </c>
      <c r="M162" s="482">
        <v>0.47</v>
      </c>
    </row>
    <row r="163" spans="1:13" x14ac:dyDescent="0.2">
      <c r="A163" t="s">
        <v>811</v>
      </c>
      <c r="B163" t="s">
        <v>50</v>
      </c>
      <c r="C163" t="s">
        <v>87</v>
      </c>
      <c r="D163" t="s">
        <v>812</v>
      </c>
      <c r="E163" t="s">
        <v>813</v>
      </c>
      <c r="F163" t="s">
        <v>179</v>
      </c>
      <c r="G163">
        <v>26</v>
      </c>
      <c r="H163">
        <v>15</v>
      </c>
      <c r="I163">
        <v>46</v>
      </c>
      <c r="J163">
        <v>87</v>
      </c>
      <c r="K163" s="482">
        <v>0.29899999999999999</v>
      </c>
      <c r="L163" s="482">
        <v>0.17199999999999999</v>
      </c>
      <c r="M163" s="482">
        <v>0.52900000000000003</v>
      </c>
    </row>
    <row r="164" spans="1:13" x14ac:dyDescent="0.2">
      <c r="A164" t="s">
        <v>814</v>
      </c>
      <c r="B164" t="s">
        <v>50</v>
      </c>
      <c r="C164" t="s">
        <v>87</v>
      </c>
      <c r="D164" t="s">
        <v>815</v>
      </c>
      <c r="E164" t="s">
        <v>816</v>
      </c>
      <c r="F164" t="s">
        <v>179</v>
      </c>
      <c r="G164">
        <v>70</v>
      </c>
      <c r="H164">
        <v>29</v>
      </c>
      <c r="I164">
        <v>77</v>
      </c>
      <c r="J164">
        <v>176</v>
      </c>
      <c r="K164" s="482">
        <v>0.39800000000000002</v>
      </c>
      <c r="L164" s="482">
        <v>0.16500000000000001</v>
      </c>
      <c r="M164" s="482">
        <v>0.438</v>
      </c>
    </row>
    <row r="165" spans="1:13" x14ac:dyDescent="0.2">
      <c r="A165" t="s">
        <v>817</v>
      </c>
      <c r="B165" t="s">
        <v>50</v>
      </c>
      <c r="C165" t="s">
        <v>87</v>
      </c>
      <c r="D165" t="s">
        <v>818</v>
      </c>
      <c r="E165" t="s">
        <v>819</v>
      </c>
      <c r="F165" t="s">
        <v>179</v>
      </c>
      <c r="G165">
        <v>84</v>
      </c>
      <c r="H165">
        <v>45</v>
      </c>
      <c r="I165">
        <v>64</v>
      </c>
      <c r="J165">
        <v>193</v>
      </c>
      <c r="K165" s="482">
        <v>0.435</v>
      </c>
      <c r="L165" s="482">
        <v>0.23300000000000001</v>
      </c>
      <c r="M165" s="482">
        <v>0.33200000000000002</v>
      </c>
    </row>
    <row r="166" spans="1:13" x14ac:dyDescent="0.2">
      <c r="A166" t="s">
        <v>820</v>
      </c>
      <c r="B166" t="s">
        <v>50</v>
      </c>
      <c r="C166" t="s">
        <v>87</v>
      </c>
      <c r="D166" t="s">
        <v>821</v>
      </c>
      <c r="E166" t="s">
        <v>822</v>
      </c>
      <c r="F166" t="s">
        <v>179</v>
      </c>
      <c r="G166">
        <v>8</v>
      </c>
      <c r="H166">
        <v>2</v>
      </c>
      <c r="I166">
        <v>4</v>
      </c>
      <c r="J166">
        <v>14</v>
      </c>
      <c r="K166" s="482">
        <v>0.57099999999999995</v>
      </c>
      <c r="L166" s="482">
        <v>0.14299999999999999</v>
      </c>
      <c r="M166" s="482">
        <v>0.28599999999999998</v>
      </c>
    </row>
    <row r="167" spans="1:13" x14ac:dyDescent="0.2">
      <c r="A167" t="s">
        <v>823</v>
      </c>
      <c r="B167" t="s">
        <v>50</v>
      </c>
      <c r="C167" t="s">
        <v>87</v>
      </c>
      <c r="D167" t="s">
        <v>824</v>
      </c>
      <c r="E167" t="s">
        <v>825</v>
      </c>
      <c r="F167" t="s">
        <v>179</v>
      </c>
      <c r="G167">
        <v>28</v>
      </c>
      <c r="H167">
        <v>28</v>
      </c>
      <c r="I167">
        <v>37</v>
      </c>
      <c r="J167">
        <v>93</v>
      </c>
      <c r="K167" s="482">
        <v>0.30099999999999999</v>
      </c>
      <c r="L167" s="482">
        <v>0.30099999999999999</v>
      </c>
      <c r="M167" s="482">
        <v>0.39800000000000002</v>
      </c>
    </row>
    <row r="168" spans="1:13" x14ac:dyDescent="0.2">
      <c r="A168" t="s">
        <v>826</v>
      </c>
      <c r="B168" t="s">
        <v>50</v>
      </c>
      <c r="C168" t="s">
        <v>87</v>
      </c>
      <c r="D168" t="s">
        <v>827</v>
      </c>
      <c r="E168" t="s">
        <v>828</v>
      </c>
      <c r="F168" t="s">
        <v>179</v>
      </c>
      <c r="G168">
        <v>147</v>
      </c>
      <c r="H168">
        <v>79</v>
      </c>
      <c r="I168">
        <v>153</v>
      </c>
      <c r="J168">
        <v>379</v>
      </c>
      <c r="K168" s="482">
        <v>0.38800000000000001</v>
      </c>
      <c r="L168" s="482">
        <v>0.20799999999999999</v>
      </c>
      <c r="M168" s="482">
        <v>0.40400000000000003</v>
      </c>
    </row>
    <row r="169" spans="1:13" x14ac:dyDescent="0.2">
      <c r="A169" t="s">
        <v>562</v>
      </c>
      <c r="B169" t="s">
        <v>50</v>
      </c>
      <c r="C169" t="s">
        <v>87</v>
      </c>
      <c r="D169" t="s">
        <v>563</v>
      </c>
      <c r="E169" t="s">
        <v>564</v>
      </c>
      <c r="F169" t="s">
        <v>179</v>
      </c>
      <c r="G169">
        <v>14</v>
      </c>
      <c r="H169">
        <v>7</v>
      </c>
      <c r="I169">
        <v>6</v>
      </c>
      <c r="J169">
        <v>27</v>
      </c>
      <c r="K169" s="482">
        <v>0.51900000000000002</v>
      </c>
      <c r="L169" s="482">
        <v>0.25900000000000001</v>
      </c>
      <c r="M169" s="482">
        <v>0.222</v>
      </c>
    </row>
    <row r="170" spans="1:13" x14ac:dyDescent="0.2">
      <c r="A170" t="s">
        <v>565</v>
      </c>
      <c r="B170" t="s">
        <v>50</v>
      </c>
      <c r="C170" t="s">
        <v>87</v>
      </c>
      <c r="D170" t="s">
        <v>566</v>
      </c>
      <c r="E170" t="s">
        <v>567</v>
      </c>
      <c r="F170" t="s">
        <v>179</v>
      </c>
      <c r="G170">
        <v>45</v>
      </c>
      <c r="H170">
        <v>22</v>
      </c>
      <c r="I170">
        <v>34</v>
      </c>
      <c r="J170">
        <v>101</v>
      </c>
      <c r="K170" s="482">
        <v>0.44600000000000001</v>
      </c>
      <c r="L170" s="482">
        <v>0.218</v>
      </c>
      <c r="M170" s="482">
        <v>0.33700000000000002</v>
      </c>
    </row>
    <row r="171" spans="1:13" x14ac:dyDescent="0.2">
      <c r="A171" t="s">
        <v>6550</v>
      </c>
      <c r="B171" t="s">
        <v>50</v>
      </c>
      <c r="C171" t="s">
        <v>87</v>
      </c>
      <c r="D171" t="s">
        <v>6551</v>
      </c>
      <c r="E171" t="s">
        <v>6542</v>
      </c>
      <c r="F171" t="s">
        <v>179</v>
      </c>
      <c r="G171" t="s">
        <v>53</v>
      </c>
      <c r="H171" t="s">
        <v>53</v>
      </c>
      <c r="I171">
        <v>0</v>
      </c>
      <c r="J171" t="s">
        <v>53</v>
      </c>
      <c r="K171" t="s">
        <v>53</v>
      </c>
      <c r="L171" t="s">
        <v>53</v>
      </c>
      <c r="M171" t="s">
        <v>53</v>
      </c>
    </row>
    <row r="172" spans="1:13" x14ac:dyDescent="0.2">
      <c r="A172" t="s">
        <v>907</v>
      </c>
      <c r="B172" t="s">
        <v>50</v>
      </c>
      <c r="C172" t="s">
        <v>87</v>
      </c>
      <c r="D172" t="s">
        <v>908</v>
      </c>
      <c r="E172" t="s">
        <v>909</v>
      </c>
      <c r="F172" t="s">
        <v>179</v>
      </c>
      <c r="G172">
        <v>49</v>
      </c>
      <c r="H172">
        <v>31</v>
      </c>
      <c r="I172">
        <v>57</v>
      </c>
      <c r="J172">
        <v>137</v>
      </c>
      <c r="K172" s="482">
        <v>0.35799999999999998</v>
      </c>
      <c r="L172" s="482">
        <v>0.22600000000000001</v>
      </c>
      <c r="M172" s="482">
        <v>0.41599999999999998</v>
      </c>
    </row>
    <row r="173" spans="1:13" x14ac:dyDescent="0.2">
      <c r="A173" t="s">
        <v>485</v>
      </c>
      <c r="B173" t="s">
        <v>50</v>
      </c>
      <c r="C173" t="s">
        <v>87</v>
      </c>
      <c r="D173" t="s">
        <v>486</v>
      </c>
      <c r="E173" t="s">
        <v>487</v>
      </c>
      <c r="F173" t="s">
        <v>179</v>
      </c>
      <c r="G173">
        <v>50</v>
      </c>
      <c r="H173">
        <v>19</v>
      </c>
      <c r="I173">
        <v>51</v>
      </c>
      <c r="J173">
        <v>120</v>
      </c>
      <c r="K173" s="482">
        <v>0.41699999999999998</v>
      </c>
      <c r="L173" s="482">
        <v>0.158</v>
      </c>
      <c r="M173" s="482">
        <v>0.42499999999999999</v>
      </c>
    </row>
    <row r="174" spans="1:13" x14ac:dyDescent="0.2">
      <c r="A174" t="s">
        <v>488</v>
      </c>
      <c r="B174" t="s">
        <v>50</v>
      </c>
      <c r="C174" t="s">
        <v>87</v>
      </c>
      <c r="D174" t="s">
        <v>489</v>
      </c>
      <c r="E174" t="s">
        <v>490</v>
      </c>
      <c r="F174" t="s">
        <v>179</v>
      </c>
      <c r="G174">
        <v>25</v>
      </c>
      <c r="H174">
        <v>8</v>
      </c>
      <c r="I174">
        <v>28</v>
      </c>
      <c r="J174">
        <v>61</v>
      </c>
      <c r="K174" s="482">
        <v>0.41</v>
      </c>
      <c r="L174" s="482">
        <v>0.13100000000000001</v>
      </c>
      <c r="M174" s="482">
        <v>0.45900000000000002</v>
      </c>
    </row>
    <row r="175" spans="1:13" x14ac:dyDescent="0.2">
      <c r="A175" t="s">
        <v>910</v>
      </c>
      <c r="B175" t="s">
        <v>50</v>
      </c>
      <c r="C175" t="s">
        <v>87</v>
      </c>
      <c r="D175" t="s">
        <v>911</v>
      </c>
      <c r="E175" t="s">
        <v>912</v>
      </c>
      <c r="F175" t="s">
        <v>179</v>
      </c>
      <c r="G175">
        <v>56</v>
      </c>
      <c r="H175">
        <v>20</v>
      </c>
      <c r="I175">
        <v>45</v>
      </c>
      <c r="J175">
        <v>121</v>
      </c>
      <c r="K175" s="482">
        <v>0.46300000000000002</v>
      </c>
      <c r="L175" s="482">
        <v>0.16500000000000001</v>
      </c>
      <c r="M175" s="482">
        <v>0.372</v>
      </c>
    </row>
    <row r="176" spans="1:13" x14ac:dyDescent="0.2">
      <c r="A176" t="s">
        <v>913</v>
      </c>
      <c r="B176" t="s">
        <v>50</v>
      </c>
      <c r="C176" t="s">
        <v>87</v>
      </c>
      <c r="D176" t="s">
        <v>914</v>
      </c>
      <c r="E176" t="s">
        <v>915</v>
      </c>
      <c r="F176" t="s">
        <v>179</v>
      </c>
      <c r="G176">
        <v>15</v>
      </c>
      <c r="H176">
        <v>6</v>
      </c>
      <c r="I176">
        <v>26</v>
      </c>
      <c r="J176">
        <v>47</v>
      </c>
      <c r="K176" s="482">
        <v>0.31900000000000001</v>
      </c>
      <c r="L176" s="482">
        <v>0.128</v>
      </c>
      <c r="M176" s="482">
        <v>0.55300000000000005</v>
      </c>
    </row>
    <row r="177" spans="1:13" x14ac:dyDescent="0.2">
      <c r="A177" t="s">
        <v>916</v>
      </c>
      <c r="B177" t="s">
        <v>50</v>
      </c>
      <c r="C177" t="s">
        <v>87</v>
      </c>
      <c r="D177" t="s">
        <v>917</v>
      </c>
      <c r="E177" t="s">
        <v>918</v>
      </c>
      <c r="F177" t="s">
        <v>179</v>
      </c>
      <c r="G177">
        <v>26</v>
      </c>
      <c r="H177">
        <v>19</v>
      </c>
      <c r="I177">
        <v>22</v>
      </c>
      <c r="J177">
        <v>67</v>
      </c>
      <c r="K177" s="482">
        <v>0.38800000000000001</v>
      </c>
      <c r="L177" s="482">
        <v>0.28399999999999997</v>
      </c>
      <c r="M177" s="482">
        <v>0.32800000000000001</v>
      </c>
    </row>
    <row r="178" spans="1:13" x14ac:dyDescent="0.2">
      <c r="A178" t="s">
        <v>919</v>
      </c>
      <c r="B178" t="s">
        <v>50</v>
      </c>
      <c r="C178" t="s">
        <v>87</v>
      </c>
      <c r="D178" t="s">
        <v>920</v>
      </c>
      <c r="E178" t="s">
        <v>921</v>
      </c>
      <c r="F178" t="s">
        <v>179</v>
      </c>
      <c r="G178" t="s">
        <v>53</v>
      </c>
      <c r="H178" t="s">
        <v>53</v>
      </c>
      <c r="I178" t="s">
        <v>53</v>
      </c>
      <c r="J178" t="s">
        <v>53</v>
      </c>
      <c r="K178" t="s">
        <v>53</v>
      </c>
      <c r="L178" t="s">
        <v>53</v>
      </c>
      <c r="M178" t="s">
        <v>53</v>
      </c>
    </row>
    <row r="179" spans="1:13" x14ac:dyDescent="0.2">
      <c r="A179" t="s">
        <v>922</v>
      </c>
      <c r="B179" t="s">
        <v>50</v>
      </c>
      <c r="C179" t="s">
        <v>87</v>
      </c>
      <c r="D179" t="s">
        <v>923</v>
      </c>
      <c r="E179" t="s">
        <v>924</v>
      </c>
      <c r="F179" t="s">
        <v>179</v>
      </c>
      <c r="G179">
        <v>33</v>
      </c>
      <c r="H179">
        <v>12</v>
      </c>
      <c r="I179">
        <v>28</v>
      </c>
      <c r="J179">
        <v>73</v>
      </c>
      <c r="K179" s="482">
        <v>0.45200000000000001</v>
      </c>
      <c r="L179" s="482">
        <v>0.16400000000000001</v>
      </c>
      <c r="M179" s="482">
        <v>0.38400000000000001</v>
      </c>
    </row>
    <row r="180" spans="1:13" x14ac:dyDescent="0.2">
      <c r="A180" t="s">
        <v>925</v>
      </c>
      <c r="B180" t="s">
        <v>50</v>
      </c>
      <c r="C180" t="s">
        <v>87</v>
      </c>
      <c r="D180" t="s">
        <v>926</v>
      </c>
      <c r="E180" t="s">
        <v>927</v>
      </c>
      <c r="F180" t="s">
        <v>179</v>
      </c>
      <c r="G180">
        <v>13</v>
      </c>
      <c r="H180">
        <v>2</v>
      </c>
      <c r="I180">
        <v>10</v>
      </c>
      <c r="J180">
        <v>25</v>
      </c>
      <c r="K180" s="482">
        <v>0.52</v>
      </c>
      <c r="L180" s="482">
        <v>0.08</v>
      </c>
      <c r="M180" s="482">
        <v>0.4</v>
      </c>
    </row>
    <row r="181" spans="1:13" x14ac:dyDescent="0.2">
      <c r="A181" t="s">
        <v>928</v>
      </c>
      <c r="B181" t="s">
        <v>50</v>
      </c>
      <c r="C181" t="s">
        <v>87</v>
      </c>
      <c r="D181" t="s">
        <v>929</v>
      </c>
      <c r="E181" t="s">
        <v>930</v>
      </c>
      <c r="F181" t="s">
        <v>179</v>
      </c>
      <c r="G181">
        <v>58</v>
      </c>
      <c r="H181">
        <v>30</v>
      </c>
      <c r="I181">
        <v>65</v>
      </c>
      <c r="J181">
        <v>153</v>
      </c>
      <c r="K181" s="482">
        <v>0.379</v>
      </c>
      <c r="L181" s="482">
        <v>0.19600000000000001</v>
      </c>
      <c r="M181" s="482">
        <v>0.42499999999999999</v>
      </c>
    </row>
    <row r="182" spans="1:13" x14ac:dyDescent="0.2">
      <c r="A182" t="s">
        <v>491</v>
      </c>
      <c r="B182" t="s">
        <v>50</v>
      </c>
      <c r="C182" t="s">
        <v>87</v>
      </c>
      <c r="D182" t="s">
        <v>492</v>
      </c>
      <c r="E182" t="s">
        <v>493</v>
      </c>
      <c r="F182" t="s">
        <v>179</v>
      </c>
      <c r="G182">
        <v>22</v>
      </c>
      <c r="H182">
        <v>10</v>
      </c>
      <c r="I182">
        <v>18</v>
      </c>
      <c r="J182">
        <v>50</v>
      </c>
      <c r="K182" s="482">
        <v>0.44</v>
      </c>
      <c r="L182" s="482">
        <v>0.2</v>
      </c>
      <c r="M182" s="482">
        <v>0.36</v>
      </c>
    </row>
    <row r="183" spans="1:13" x14ac:dyDescent="0.2">
      <c r="A183" t="s">
        <v>494</v>
      </c>
      <c r="B183" t="s">
        <v>50</v>
      </c>
      <c r="C183" t="s">
        <v>87</v>
      </c>
      <c r="D183" t="s">
        <v>495</v>
      </c>
      <c r="E183" t="s">
        <v>496</v>
      </c>
      <c r="F183" t="s">
        <v>179</v>
      </c>
      <c r="G183">
        <v>64</v>
      </c>
      <c r="H183">
        <v>27</v>
      </c>
      <c r="I183">
        <v>75</v>
      </c>
      <c r="J183">
        <v>166</v>
      </c>
      <c r="K183" s="482">
        <v>0.38600000000000001</v>
      </c>
      <c r="L183" s="482">
        <v>0.16300000000000001</v>
      </c>
      <c r="M183" s="482">
        <v>0.45200000000000001</v>
      </c>
    </row>
    <row r="184" spans="1:13" x14ac:dyDescent="0.2">
      <c r="A184" t="s">
        <v>410</v>
      </c>
      <c r="B184" t="s">
        <v>50</v>
      </c>
      <c r="C184" t="s">
        <v>87</v>
      </c>
      <c r="D184" t="s">
        <v>411</v>
      </c>
      <c r="E184" t="s">
        <v>412</v>
      </c>
      <c r="F184" t="s">
        <v>179</v>
      </c>
      <c r="G184">
        <v>42</v>
      </c>
      <c r="H184">
        <v>17</v>
      </c>
      <c r="I184">
        <v>51</v>
      </c>
      <c r="J184">
        <v>110</v>
      </c>
      <c r="K184" s="482">
        <v>0.38200000000000001</v>
      </c>
      <c r="L184" s="482">
        <v>0.155</v>
      </c>
      <c r="M184" s="482">
        <v>0.46400000000000002</v>
      </c>
    </row>
    <row r="185" spans="1:13" x14ac:dyDescent="0.2">
      <c r="A185" t="s">
        <v>413</v>
      </c>
      <c r="B185" t="s">
        <v>50</v>
      </c>
      <c r="C185" t="s">
        <v>87</v>
      </c>
      <c r="D185" t="s">
        <v>414</v>
      </c>
      <c r="E185" t="s">
        <v>415</v>
      </c>
      <c r="F185" t="s">
        <v>179</v>
      </c>
      <c r="G185">
        <v>34</v>
      </c>
      <c r="H185">
        <v>12</v>
      </c>
      <c r="I185">
        <v>24</v>
      </c>
      <c r="J185">
        <v>70</v>
      </c>
      <c r="K185" s="482">
        <v>0.48599999999999999</v>
      </c>
      <c r="L185" s="482">
        <v>0.17100000000000001</v>
      </c>
      <c r="M185" s="482">
        <v>0.34300000000000003</v>
      </c>
    </row>
    <row r="186" spans="1:13" x14ac:dyDescent="0.2">
      <c r="A186" t="s">
        <v>416</v>
      </c>
      <c r="B186" t="s">
        <v>50</v>
      </c>
      <c r="C186" t="s">
        <v>87</v>
      </c>
      <c r="D186" t="s">
        <v>417</v>
      </c>
      <c r="E186" t="s">
        <v>418</v>
      </c>
      <c r="F186" t="s">
        <v>179</v>
      </c>
      <c r="G186">
        <v>46</v>
      </c>
      <c r="H186">
        <v>24</v>
      </c>
      <c r="I186">
        <v>40</v>
      </c>
      <c r="J186">
        <v>110</v>
      </c>
      <c r="K186" s="482">
        <v>0.41799999999999998</v>
      </c>
      <c r="L186" s="482">
        <v>0.218</v>
      </c>
      <c r="M186" s="482">
        <v>0.36399999999999999</v>
      </c>
    </row>
    <row r="187" spans="1:13" x14ac:dyDescent="0.2">
      <c r="A187" t="s">
        <v>609</v>
      </c>
      <c r="B187" t="s">
        <v>50</v>
      </c>
      <c r="C187" t="s">
        <v>87</v>
      </c>
      <c r="D187" t="s">
        <v>610</v>
      </c>
      <c r="E187" t="s">
        <v>611</v>
      </c>
      <c r="F187" t="s">
        <v>179</v>
      </c>
      <c r="G187">
        <v>33</v>
      </c>
      <c r="H187">
        <v>23</v>
      </c>
      <c r="I187">
        <v>28</v>
      </c>
      <c r="J187">
        <v>84</v>
      </c>
      <c r="K187" s="482">
        <v>0.39300000000000002</v>
      </c>
      <c r="L187" s="482">
        <v>0.27400000000000002</v>
      </c>
      <c r="M187" s="482">
        <v>0.33300000000000002</v>
      </c>
    </row>
    <row r="188" spans="1:13" x14ac:dyDescent="0.2">
      <c r="A188" t="s">
        <v>612</v>
      </c>
      <c r="B188" t="s">
        <v>50</v>
      </c>
      <c r="C188" t="s">
        <v>87</v>
      </c>
      <c r="D188" t="s">
        <v>613</v>
      </c>
      <c r="E188" t="s">
        <v>614</v>
      </c>
      <c r="F188" t="s">
        <v>179</v>
      </c>
      <c r="G188">
        <v>7</v>
      </c>
      <c r="H188">
        <v>7</v>
      </c>
      <c r="I188">
        <v>14</v>
      </c>
      <c r="J188">
        <v>28</v>
      </c>
      <c r="K188" s="482">
        <v>0.25</v>
      </c>
      <c r="L188" s="482">
        <v>0.25</v>
      </c>
      <c r="M188" s="482">
        <v>0.5</v>
      </c>
    </row>
    <row r="189" spans="1:13" x14ac:dyDescent="0.2">
      <c r="A189" t="s">
        <v>615</v>
      </c>
      <c r="B189" t="s">
        <v>50</v>
      </c>
      <c r="C189" t="s">
        <v>87</v>
      </c>
      <c r="D189" t="s">
        <v>616</v>
      </c>
      <c r="E189" t="s">
        <v>617</v>
      </c>
      <c r="F189" t="s">
        <v>179</v>
      </c>
      <c r="G189">
        <v>59</v>
      </c>
      <c r="H189">
        <v>36</v>
      </c>
      <c r="I189">
        <v>58</v>
      </c>
      <c r="J189">
        <v>153</v>
      </c>
      <c r="K189" s="482">
        <v>0.38600000000000001</v>
      </c>
      <c r="L189" s="482">
        <v>0.23499999999999999</v>
      </c>
      <c r="M189" s="482">
        <v>0.379</v>
      </c>
    </row>
    <row r="190" spans="1:13" x14ac:dyDescent="0.2">
      <c r="A190" t="s">
        <v>618</v>
      </c>
      <c r="B190" t="s">
        <v>50</v>
      </c>
      <c r="C190" t="s">
        <v>87</v>
      </c>
      <c r="D190" t="s">
        <v>619</v>
      </c>
      <c r="E190" t="s">
        <v>338</v>
      </c>
      <c r="F190" t="s">
        <v>179</v>
      </c>
      <c r="G190">
        <v>38</v>
      </c>
      <c r="H190">
        <v>16</v>
      </c>
      <c r="I190">
        <v>39</v>
      </c>
      <c r="J190">
        <v>93</v>
      </c>
      <c r="K190" s="482">
        <v>0.40899999999999997</v>
      </c>
      <c r="L190" s="482">
        <v>0.17199999999999999</v>
      </c>
      <c r="M190" s="482">
        <v>0.41899999999999998</v>
      </c>
    </row>
    <row r="191" spans="1:13" x14ac:dyDescent="0.2">
      <c r="A191" t="s">
        <v>620</v>
      </c>
      <c r="B191" t="s">
        <v>50</v>
      </c>
      <c r="C191" t="s">
        <v>87</v>
      </c>
      <c r="D191" t="s">
        <v>621</v>
      </c>
      <c r="E191" t="s">
        <v>622</v>
      </c>
      <c r="F191" t="s">
        <v>179</v>
      </c>
      <c r="G191">
        <v>96</v>
      </c>
      <c r="H191">
        <v>40</v>
      </c>
      <c r="I191">
        <v>78</v>
      </c>
      <c r="J191">
        <v>214</v>
      </c>
      <c r="K191" s="482">
        <v>0.44900000000000001</v>
      </c>
      <c r="L191" s="482">
        <v>0.187</v>
      </c>
      <c r="M191" s="482">
        <v>0.36399999999999999</v>
      </c>
    </row>
    <row r="192" spans="1:13" x14ac:dyDescent="0.2">
      <c r="A192" t="s">
        <v>623</v>
      </c>
      <c r="B192" t="s">
        <v>50</v>
      </c>
      <c r="C192" t="s">
        <v>87</v>
      </c>
      <c r="D192" t="s">
        <v>624</v>
      </c>
      <c r="E192" t="s">
        <v>625</v>
      </c>
      <c r="F192" t="s">
        <v>179</v>
      </c>
      <c r="G192">
        <v>41</v>
      </c>
      <c r="H192">
        <v>19</v>
      </c>
      <c r="I192">
        <v>32</v>
      </c>
      <c r="J192">
        <v>92</v>
      </c>
      <c r="K192" s="482">
        <v>0.44600000000000001</v>
      </c>
      <c r="L192" s="482">
        <v>0.20699999999999999</v>
      </c>
      <c r="M192" s="482">
        <v>0.34799999999999998</v>
      </c>
    </row>
    <row r="193" spans="1:13" x14ac:dyDescent="0.2">
      <c r="A193" t="s">
        <v>626</v>
      </c>
      <c r="B193" t="s">
        <v>50</v>
      </c>
      <c r="C193" t="s">
        <v>87</v>
      </c>
      <c r="D193" t="s">
        <v>627</v>
      </c>
      <c r="E193" t="s">
        <v>628</v>
      </c>
      <c r="F193" t="s">
        <v>179</v>
      </c>
      <c r="G193">
        <v>9</v>
      </c>
      <c r="H193">
        <v>5</v>
      </c>
      <c r="I193">
        <v>8</v>
      </c>
      <c r="J193">
        <v>22</v>
      </c>
      <c r="K193" s="482">
        <v>0.40899999999999997</v>
      </c>
      <c r="L193" s="482">
        <v>0.22700000000000001</v>
      </c>
      <c r="M193" s="482">
        <v>0.36399999999999999</v>
      </c>
    </row>
    <row r="194" spans="1:13" x14ac:dyDescent="0.2">
      <c r="A194" t="s">
        <v>6552</v>
      </c>
      <c r="B194" t="s">
        <v>50</v>
      </c>
      <c r="C194" t="s">
        <v>87</v>
      </c>
      <c r="D194" t="s">
        <v>6553</v>
      </c>
      <c r="E194" t="s">
        <v>6543</v>
      </c>
      <c r="F194" t="s">
        <v>179</v>
      </c>
      <c r="G194">
        <v>55</v>
      </c>
      <c r="H194">
        <v>35</v>
      </c>
      <c r="I194">
        <v>81</v>
      </c>
      <c r="J194">
        <v>171</v>
      </c>
      <c r="K194" s="482">
        <v>0.32200000000000001</v>
      </c>
      <c r="L194" s="482">
        <v>0.20499999999999999</v>
      </c>
      <c r="M194" s="482">
        <v>0.47399999999999998</v>
      </c>
    </row>
    <row r="195" spans="1:13" x14ac:dyDescent="0.2">
      <c r="A195" t="s">
        <v>629</v>
      </c>
      <c r="B195" t="s">
        <v>50</v>
      </c>
      <c r="C195" t="s">
        <v>87</v>
      </c>
      <c r="D195" t="s">
        <v>630</v>
      </c>
      <c r="E195" t="s">
        <v>631</v>
      </c>
      <c r="F195" t="s">
        <v>179</v>
      </c>
      <c r="G195">
        <v>12</v>
      </c>
      <c r="H195">
        <v>9</v>
      </c>
      <c r="I195">
        <v>25</v>
      </c>
      <c r="J195">
        <v>46</v>
      </c>
      <c r="K195" s="482">
        <v>0.26100000000000001</v>
      </c>
      <c r="L195" s="482">
        <v>0.19600000000000001</v>
      </c>
      <c r="M195" s="482">
        <v>0.54300000000000004</v>
      </c>
    </row>
    <row r="196" spans="1:13" x14ac:dyDescent="0.2">
      <c r="A196" t="s">
        <v>632</v>
      </c>
      <c r="B196" t="s">
        <v>50</v>
      </c>
      <c r="C196" t="s">
        <v>87</v>
      </c>
      <c r="D196" t="s">
        <v>633</v>
      </c>
      <c r="E196" t="s">
        <v>634</v>
      </c>
      <c r="F196" t="s">
        <v>179</v>
      </c>
      <c r="G196">
        <v>12</v>
      </c>
      <c r="H196">
        <v>7</v>
      </c>
      <c r="I196">
        <v>14</v>
      </c>
      <c r="J196">
        <v>33</v>
      </c>
      <c r="K196" s="482">
        <v>0.36399999999999999</v>
      </c>
      <c r="L196" s="482">
        <v>0.21199999999999999</v>
      </c>
      <c r="M196" s="482">
        <v>0.42399999999999999</v>
      </c>
    </row>
    <row r="197" spans="1:13" x14ac:dyDescent="0.2">
      <c r="A197" t="s">
        <v>635</v>
      </c>
      <c r="B197" t="s">
        <v>50</v>
      </c>
      <c r="C197" t="s">
        <v>87</v>
      </c>
      <c r="D197" t="s">
        <v>636</v>
      </c>
      <c r="E197" t="s">
        <v>637</v>
      </c>
      <c r="F197" t="s">
        <v>179</v>
      </c>
      <c r="G197">
        <v>53</v>
      </c>
      <c r="H197">
        <v>29</v>
      </c>
      <c r="I197">
        <v>71</v>
      </c>
      <c r="J197">
        <v>153</v>
      </c>
      <c r="K197" s="482">
        <v>0.34599999999999997</v>
      </c>
      <c r="L197" s="482">
        <v>0.19</v>
      </c>
      <c r="M197" s="482">
        <v>0.46400000000000002</v>
      </c>
    </row>
    <row r="198" spans="1:13" x14ac:dyDescent="0.2">
      <c r="A198" t="s">
        <v>638</v>
      </c>
      <c r="B198" t="s">
        <v>50</v>
      </c>
      <c r="C198" t="s">
        <v>87</v>
      </c>
      <c r="D198" t="s">
        <v>639</v>
      </c>
      <c r="E198" t="s">
        <v>640</v>
      </c>
      <c r="F198" t="s">
        <v>179</v>
      </c>
      <c r="G198">
        <v>42</v>
      </c>
      <c r="H198">
        <v>27</v>
      </c>
      <c r="I198">
        <v>67</v>
      </c>
      <c r="J198">
        <v>136</v>
      </c>
      <c r="K198" s="482">
        <v>0.309</v>
      </c>
      <c r="L198" s="482">
        <v>0.19900000000000001</v>
      </c>
      <c r="M198" s="482">
        <v>0.49299999999999999</v>
      </c>
    </row>
    <row r="199" spans="1:13" x14ac:dyDescent="0.2">
      <c r="A199" t="s">
        <v>641</v>
      </c>
      <c r="B199" t="s">
        <v>50</v>
      </c>
      <c r="C199" t="s">
        <v>87</v>
      </c>
      <c r="D199" t="s">
        <v>642</v>
      </c>
      <c r="E199" t="s">
        <v>643</v>
      </c>
      <c r="F199" t="s">
        <v>179</v>
      </c>
      <c r="G199">
        <v>78</v>
      </c>
      <c r="H199">
        <v>44</v>
      </c>
      <c r="I199">
        <v>88</v>
      </c>
      <c r="J199">
        <v>210</v>
      </c>
      <c r="K199" s="482">
        <v>0.371</v>
      </c>
      <c r="L199" s="482">
        <v>0.21</v>
      </c>
      <c r="M199" s="482">
        <v>0.41899999999999998</v>
      </c>
    </row>
    <row r="200" spans="1:13" x14ac:dyDescent="0.2">
      <c r="A200" t="s">
        <v>644</v>
      </c>
      <c r="B200" t="s">
        <v>50</v>
      </c>
      <c r="C200" t="s">
        <v>87</v>
      </c>
      <c r="D200" t="s">
        <v>645</v>
      </c>
      <c r="E200" t="s">
        <v>646</v>
      </c>
      <c r="F200" t="s">
        <v>179</v>
      </c>
      <c r="G200">
        <v>42</v>
      </c>
      <c r="H200">
        <v>29</v>
      </c>
      <c r="I200">
        <v>47</v>
      </c>
      <c r="J200">
        <v>118</v>
      </c>
      <c r="K200" s="482">
        <v>0.35599999999999998</v>
      </c>
      <c r="L200" s="482">
        <v>0.246</v>
      </c>
      <c r="M200" s="482">
        <v>0.39800000000000002</v>
      </c>
    </row>
    <row r="201" spans="1:13" x14ac:dyDescent="0.2">
      <c r="A201" t="s">
        <v>647</v>
      </c>
      <c r="B201" t="s">
        <v>50</v>
      </c>
      <c r="C201" t="s">
        <v>87</v>
      </c>
      <c r="D201" t="s">
        <v>648</v>
      </c>
      <c r="E201" t="s">
        <v>649</v>
      </c>
      <c r="F201" t="s">
        <v>179</v>
      </c>
      <c r="G201">
        <v>24</v>
      </c>
      <c r="H201">
        <v>11</v>
      </c>
      <c r="I201">
        <v>27</v>
      </c>
      <c r="J201">
        <v>62</v>
      </c>
      <c r="K201" s="482">
        <v>0.38700000000000001</v>
      </c>
      <c r="L201" s="482">
        <v>0.17699999999999999</v>
      </c>
      <c r="M201" s="482">
        <v>0.435</v>
      </c>
    </row>
    <row r="202" spans="1:13" x14ac:dyDescent="0.2">
      <c r="A202" t="s">
        <v>650</v>
      </c>
      <c r="B202" t="s">
        <v>50</v>
      </c>
      <c r="C202" t="s">
        <v>87</v>
      </c>
      <c r="D202" t="s">
        <v>651</v>
      </c>
      <c r="E202" t="s">
        <v>652</v>
      </c>
      <c r="F202" t="s">
        <v>179</v>
      </c>
      <c r="G202">
        <v>15</v>
      </c>
      <c r="H202">
        <v>11</v>
      </c>
      <c r="I202">
        <v>23</v>
      </c>
      <c r="J202">
        <v>49</v>
      </c>
      <c r="K202" s="482">
        <v>0.30599999999999999</v>
      </c>
      <c r="L202" s="482">
        <v>0.224</v>
      </c>
      <c r="M202" s="482">
        <v>0.46899999999999997</v>
      </c>
    </row>
    <row r="203" spans="1:13" x14ac:dyDescent="0.2">
      <c r="A203" t="s">
        <v>653</v>
      </c>
      <c r="B203" t="s">
        <v>50</v>
      </c>
      <c r="C203" t="s">
        <v>87</v>
      </c>
      <c r="D203" t="s">
        <v>654</v>
      </c>
      <c r="E203" t="s">
        <v>655</v>
      </c>
      <c r="F203" t="s">
        <v>179</v>
      </c>
      <c r="G203">
        <v>18</v>
      </c>
      <c r="H203">
        <v>4</v>
      </c>
      <c r="I203">
        <v>24</v>
      </c>
      <c r="J203">
        <v>46</v>
      </c>
      <c r="K203" s="482">
        <v>0.39100000000000001</v>
      </c>
      <c r="L203" s="482">
        <v>8.6999999999999994E-2</v>
      </c>
      <c r="M203" s="482">
        <v>0.52200000000000002</v>
      </c>
    </row>
    <row r="204" spans="1:13" x14ac:dyDescent="0.2">
      <c r="A204" t="s">
        <v>656</v>
      </c>
      <c r="B204" t="s">
        <v>50</v>
      </c>
      <c r="C204" t="s">
        <v>87</v>
      </c>
      <c r="D204" t="s">
        <v>657</v>
      </c>
      <c r="E204" t="s">
        <v>658</v>
      </c>
      <c r="F204" t="s">
        <v>179</v>
      </c>
      <c r="G204">
        <v>19</v>
      </c>
      <c r="H204">
        <v>13</v>
      </c>
      <c r="I204">
        <v>18</v>
      </c>
      <c r="J204">
        <v>50</v>
      </c>
      <c r="K204" s="482">
        <v>0.38</v>
      </c>
      <c r="L204" s="482">
        <v>0.26</v>
      </c>
      <c r="M204" s="482">
        <v>0.36</v>
      </c>
    </row>
    <row r="205" spans="1:13" x14ac:dyDescent="0.2">
      <c r="A205" t="s">
        <v>659</v>
      </c>
      <c r="B205" t="s">
        <v>50</v>
      </c>
      <c r="C205" t="s">
        <v>87</v>
      </c>
      <c r="D205" t="s">
        <v>660</v>
      </c>
      <c r="E205" t="s">
        <v>661</v>
      </c>
      <c r="F205" t="s">
        <v>179</v>
      </c>
      <c r="G205">
        <v>5</v>
      </c>
      <c r="H205">
        <v>1</v>
      </c>
      <c r="I205">
        <v>10</v>
      </c>
      <c r="J205">
        <v>16</v>
      </c>
      <c r="K205" s="482">
        <v>0.313</v>
      </c>
      <c r="L205" s="482">
        <v>6.3E-2</v>
      </c>
      <c r="M205" s="482">
        <v>0.625</v>
      </c>
    </row>
    <row r="206" spans="1:13" x14ac:dyDescent="0.2">
      <c r="A206" t="s">
        <v>662</v>
      </c>
      <c r="B206" t="s">
        <v>50</v>
      </c>
      <c r="C206" t="s">
        <v>87</v>
      </c>
      <c r="D206" t="s">
        <v>663</v>
      </c>
      <c r="E206" t="s">
        <v>664</v>
      </c>
      <c r="F206" t="s">
        <v>179</v>
      </c>
      <c r="G206">
        <v>51</v>
      </c>
      <c r="H206">
        <v>19</v>
      </c>
      <c r="I206">
        <v>36</v>
      </c>
      <c r="J206">
        <v>106</v>
      </c>
      <c r="K206" s="482">
        <v>0.48099999999999998</v>
      </c>
      <c r="L206" s="482">
        <v>0.17899999999999999</v>
      </c>
      <c r="M206" s="482">
        <v>0.34</v>
      </c>
    </row>
    <row r="207" spans="1:13" x14ac:dyDescent="0.2">
      <c r="A207" t="s">
        <v>665</v>
      </c>
      <c r="B207" t="s">
        <v>50</v>
      </c>
      <c r="C207" t="s">
        <v>87</v>
      </c>
      <c r="D207" t="s">
        <v>666</v>
      </c>
      <c r="E207" t="s">
        <v>667</v>
      </c>
      <c r="F207" t="s">
        <v>179</v>
      </c>
      <c r="G207">
        <v>35</v>
      </c>
      <c r="H207">
        <v>13</v>
      </c>
      <c r="I207">
        <v>29</v>
      </c>
      <c r="J207">
        <v>77</v>
      </c>
      <c r="K207" s="482">
        <v>0.45500000000000002</v>
      </c>
      <c r="L207" s="482">
        <v>0.16900000000000001</v>
      </c>
      <c r="M207" s="482">
        <v>0.377</v>
      </c>
    </row>
    <row r="208" spans="1:13" x14ac:dyDescent="0.2">
      <c r="A208" t="s">
        <v>668</v>
      </c>
      <c r="B208" t="s">
        <v>50</v>
      </c>
      <c r="C208" t="s">
        <v>87</v>
      </c>
      <c r="D208" t="s">
        <v>669</v>
      </c>
      <c r="E208" t="s">
        <v>670</v>
      </c>
      <c r="F208" t="s">
        <v>179</v>
      </c>
      <c r="G208">
        <v>30</v>
      </c>
      <c r="H208">
        <v>17</v>
      </c>
      <c r="I208">
        <v>27</v>
      </c>
      <c r="J208">
        <v>74</v>
      </c>
      <c r="K208" s="482">
        <v>0.40500000000000003</v>
      </c>
      <c r="L208" s="482">
        <v>0.23</v>
      </c>
      <c r="M208" s="482">
        <v>0.36499999999999999</v>
      </c>
    </row>
    <row r="209" spans="1:13" x14ac:dyDescent="0.2">
      <c r="A209" t="s">
        <v>671</v>
      </c>
      <c r="B209" t="s">
        <v>50</v>
      </c>
      <c r="C209" t="s">
        <v>87</v>
      </c>
      <c r="D209" t="s">
        <v>672</v>
      </c>
      <c r="E209" t="s">
        <v>673</v>
      </c>
      <c r="F209" t="s">
        <v>179</v>
      </c>
      <c r="G209">
        <v>51</v>
      </c>
      <c r="H209">
        <v>32</v>
      </c>
      <c r="I209">
        <v>60</v>
      </c>
      <c r="J209">
        <v>143</v>
      </c>
      <c r="K209" s="482">
        <v>0.35699999999999998</v>
      </c>
      <c r="L209" s="482">
        <v>0.224</v>
      </c>
      <c r="M209" s="482">
        <v>0.42</v>
      </c>
    </row>
    <row r="210" spans="1:13" x14ac:dyDescent="0.2">
      <c r="A210" t="s">
        <v>674</v>
      </c>
      <c r="B210" t="s">
        <v>50</v>
      </c>
      <c r="C210" t="s">
        <v>87</v>
      </c>
      <c r="D210" t="s">
        <v>675</v>
      </c>
      <c r="E210" t="s">
        <v>676</v>
      </c>
      <c r="F210" t="s">
        <v>179</v>
      </c>
      <c r="G210">
        <v>33</v>
      </c>
      <c r="H210">
        <v>18</v>
      </c>
      <c r="I210">
        <v>33</v>
      </c>
      <c r="J210">
        <v>84</v>
      </c>
      <c r="K210" s="482">
        <v>0.39300000000000002</v>
      </c>
      <c r="L210" s="482">
        <v>0.214</v>
      </c>
      <c r="M210" s="482">
        <v>0.39300000000000002</v>
      </c>
    </row>
    <row r="211" spans="1:13" x14ac:dyDescent="0.2">
      <c r="A211" t="s">
        <v>991</v>
      </c>
      <c r="B211" t="s">
        <v>50</v>
      </c>
      <c r="C211" t="s">
        <v>87</v>
      </c>
      <c r="D211" t="s">
        <v>992</v>
      </c>
      <c r="E211" t="s">
        <v>993</v>
      </c>
      <c r="F211" t="s">
        <v>179</v>
      </c>
      <c r="G211">
        <v>20</v>
      </c>
      <c r="H211">
        <v>4</v>
      </c>
      <c r="I211">
        <v>16</v>
      </c>
      <c r="J211">
        <v>40</v>
      </c>
      <c r="K211" s="482">
        <v>0.5</v>
      </c>
      <c r="L211" s="482">
        <v>0.1</v>
      </c>
      <c r="M211" s="482">
        <v>0.4</v>
      </c>
    </row>
    <row r="212" spans="1:13" x14ac:dyDescent="0.2">
      <c r="A212" t="s">
        <v>994</v>
      </c>
      <c r="B212" t="s">
        <v>50</v>
      </c>
      <c r="C212" t="s">
        <v>87</v>
      </c>
      <c r="D212" t="s">
        <v>995</v>
      </c>
      <c r="E212" t="s">
        <v>996</v>
      </c>
      <c r="F212" t="s">
        <v>179</v>
      </c>
      <c r="G212">
        <v>34</v>
      </c>
      <c r="H212">
        <v>10</v>
      </c>
      <c r="I212">
        <v>30</v>
      </c>
      <c r="J212">
        <v>74</v>
      </c>
      <c r="K212" s="482">
        <v>0.45900000000000002</v>
      </c>
      <c r="L212" s="482">
        <v>0.13500000000000001</v>
      </c>
      <c r="M212" s="482">
        <v>0.40500000000000003</v>
      </c>
    </row>
    <row r="213" spans="1:13" x14ac:dyDescent="0.2">
      <c r="A213" t="s">
        <v>997</v>
      </c>
      <c r="B213" t="s">
        <v>50</v>
      </c>
      <c r="C213" t="s">
        <v>87</v>
      </c>
      <c r="D213" t="s">
        <v>998</v>
      </c>
      <c r="E213" t="s">
        <v>999</v>
      </c>
      <c r="F213" t="s">
        <v>179</v>
      </c>
      <c r="G213">
        <v>20</v>
      </c>
      <c r="H213">
        <v>9</v>
      </c>
      <c r="I213">
        <v>15</v>
      </c>
      <c r="J213">
        <v>44</v>
      </c>
      <c r="K213" s="482">
        <v>0.45500000000000002</v>
      </c>
      <c r="L213" s="482">
        <v>0.20499999999999999</v>
      </c>
      <c r="M213" s="482">
        <v>0.34100000000000003</v>
      </c>
    </row>
    <row r="214" spans="1:13" x14ac:dyDescent="0.2">
      <c r="A214" t="s">
        <v>1000</v>
      </c>
      <c r="B214" t="s">
        <v>50</v>
      </c>
      <c r="C214" t="s">
        <v>87</v>
      </c>
      <c r="D214" t="s">
        <v>1001</v>
      </c>
      <c r="E214" t="s">
        <v>1002</v>
      </c>
      <c r="F214" t="s">
        <v>179</v>
      </c>
      <c r="G214">
        <v>27</v>
      </c>
      <c r="H214">
        <v>14</v>
      </c>
      <c r="I214">
        <v>21</v>
      </c>
      <c r="J214">
        <v>62</v>
      </c>
      <c r="K214" s="482">
        <v>0.435</v>
      </c>
      <c r="L214" s="482">
        <v>0.22600000000000001</v>
      </c>
      <c r="M214" s="482">
        <v>0.33900000000000002</v>
      </c>
    </row>
    <row r="215" spans="1:13" x14ac:dyDescent="0.2">
      <c r="A215" t="s">
        <v>1003</v>
      </c>
      <c r="B215" t="s">
        <v>50</v>
      </c>
      <c r="C215" t="s">
        <v>87</v>
      </c>
      <c r="D215" t="s">
        <v>1004</v>
      </c>
      <c r="E215" t="s">
        <v>1005</v>
      </c>
      <c r="F215" t="s">
        <v>179</v>
      </c>
      <c r="G215">
        <v>15</v>
      </c>
      <c r="H215">
        <v>9</v>
      </c>
      <c r="I215">
        <v>17</v>
      </c>
      <c r="J215">
        <v>41</v>
      </c>
      <c r="K215" s="482">
        <v>0.36599999999999999</v>
      </c>
      <c r="L215" s="482">
        <v>0.22</v>
      </c>
      <c r="M215" s="482">
        <v>0.41499999999999998</v>
      </c>
    </row>
    <row r="216" spans="1:13" x14ac:dyDescent="0.2">
      <c r="A216" t="s">
        <v>1006</v>
      </c>
      <c r="B216" t="s">
        <v>50</v>
      </c>
      <c r="C216" t="s">
        <v>87</v>
      </c>
      <c r="D216" t="s">
        <v>1007</v>
      </c>
      <c r="E216" t="s">
        <v>1008</v>
      </c>
      <c r="F216" t="s">
        <v>179</v>
      </c>
      <c r="G216">
        <v>14</v>
      </c>
      <c r="H216">
        <v>5</v>
      </c>
      <c r="I216">
        <v>14</v>
      </c>
      <c r="J216">
        <v>33</v>
      </c>
      <c r="K216" s="482">
        <v>0.42399999999999999</v>
      </c>
      <c r="L216" s="482">
        <v>0.152</v>
      </c>
      <c r="M216" s="482">
        <v>0.42399999999999999</v>
      </c>
    </row>
    <row r="217" spans="1:13" x14ac:dyDescent="0.2">
      <c r="A217" t="s">
        <v>1009</v>
      </c>
      <c r="B217" t="s">
        <v>50</v>
      </c>
      <c r="C217" t="s">
        <v>87</v>
      </c>
      <c r="D217" t="s">
        <v>1010</v>
      </c>
      <c r="E217" t="s">
        <v>1011</v>
      </c>
      <c r="F217" t="s">
        <v>179</v>
      </c>
      <c r="G217">
        <v>6</v>
      </c>
      <c r="H217">
        <v>5</v>
      </c>
      <c r="I217">
        <v>9</v>
      </c>
      <c r="J217">
        <v>20</v>
      </c>
      <c r="K217" s="482">
        <v>0.3</v>
      </c>
      <c r="L217" s="482">
        <v>0.25</v>
      </c>
      <c r="M217" s="482">
        <v>0.45</v>
      </c>
    </row>
    <row r="218" spans="1:13" x14ac:dyDescent="0.2">
      <c r="A218" t="s">
        <v>1012</v>
      </c>
      <c r="B218" t="s">
        <v>50</v>
      </c>
      <c r="C218" t="s">
        <v>87</v>
      </c>
      <c r="D218" t="s">
        <v>1013</v>
      </c>
      <c r="E218" t="s">
        <v>1014</v>
      </c>
      <c r="F218" t="s">
        <v>179</v>
      </c>
      <c r="G218">
        <v>24</v>
      </c>
      <c r="H218">
        <v>14</v>
      </c>
      <c r="I218">
        <v>28</v>
      </c>
      <c r="J218">
        <v>66</v>
      </c>
      <c r="K218" s="482">
        <v>0.36399999999999999</v>
      </c>
      <c r="L218" s="482">
        <v>0.21199999999999999</v>
      </c>
      <c r="M218" s="482">
        <v>0.42399999999999999</v>
      </c>
    </row>
    <row r="219" spans="1:13" x14ac:dyDescent="0.2">
      <c r="A219" t="s">
        <v>419</v>
      </c>
      <c r="B219" t="s">
        <v>50</v>
      </c>
      <c r="C219" t="s">
        <v>87</v>
      </c>
      <c r="D219" t="s">
        <v>420</v>
      </c>
      <c r="E219" t="s">
        <v>421</v>
      </c>
      <c r="F219" t="s">
        <v>179</v>
      </c>
      <c r="G219">
        <v>61</v>
      </c>
      <c r="H219">
        <v>33</v>
      </c>
      <c r="I219">
        <v>70</v>
      </c>
      <c r="J219">
        <v>164</v>
      </c>
      <c r="K219" s="482">
        <v>0.372</v>
      </c>
      <c r="L219" s="482">
        <v>0.20100000000000001</v>
      </c>
      <c r="M219" s="482">
        <v>0.42699999999999999</v>
      </c>
    </row>
    <row r="220" spans="1:13" x14ac:dyDescent="0.2">
      <c r="A220" t="s">
        <v>422</v>
      </c>
      <c r="B220" t="s">
        <v>50</v>
      </c>
      <c r="C220" t="s">
        <v>87</v>
      </c>
      <c r="D220" t="s">
        <v>423</v>
      </c>
      <c r="E220" t="s">
        <v>424</v>
      </c>
      <c r="F220" t="s">
        <v>179</v>
      </c>
      <c r="G220">
        <v>25</v>
      </c>
      <c r="H220">
        <v>18</v>
      </c>
      <c r="I220">
        <v>30</v>
      </c>
      <c r="J220">
        <v>73</v>
      </c>
      <c r="K220" s="482">
        <v>0.34200000000000003</v>
      </c>
      <c r="L220" s="482">
        <v>0.247</v>
      </c>
      <c r="M220" s="482">
        <v>0.41099999999999998</v>
      </c>
    </row>
    <row r="221" spans="1:13" x14ac:dyDescent="0.2">
      <c r="A221" t="s">
        <v>425</v>
      </c>
      <c r="B221" t="s">
        <v>50</v>
      </c>
      <c r="C221" t="s">
        <v>87</v>
      </c>
      <c r="D221" t="s">
        <v>426</v>
      </c>
      <c r="E221" t="s">
        <v>427</v>
      </c>
      <c r="F221" t="s">
        <v>179</v>
      </c>
      <c r="G221">
        <v>50</v>
      </c>
      <c r="H221">
        <v>41</v>
      </c>
      <c r="I221">
        <v>89</v>
      </c>
      <c r="J221">
        <v>180</v>
      </c>
      <c r="K221" s="482">
        <v>0.27800000000000002</v>
      </c>
      <c r="L221" s="482">
        <v>0.22800000000000001</v>
      </c>
      <c r="M221" s="482">
        <v>0.49399999999999999</v>
      </c>
    </row>
    <row r="222" spans="1:13" x14ac:dyDescent="0.2">
      <c r="A222" t="s">
        <v>428</v>
      </c>
      <c r="B222" t="s">
        <v>50</v>
      </c>
      <c r="C222" t="s">
        <v>87</v>
      </c>
      <c r="D222" t="s">
        <v>429</v>
      </c>
      <c r="E222" t="s">
        <v>430</v>
      </c>
      <c r="F222" t="s">
        <v>179</v>
      </c>
      <c r="G222">
        <v>36</v>
      </c>
      <c r="H222">
        <v>20</v>
      </c>
      <c r="I222">
        <v>33</v>
      </c>
      <c r="J222">
        <v>89</v>
      </c>
      <c r="K222" s="482">
        <v>0.40400000000000003</v>
      </c>
      <c r="L222" s="482">
        <v>0.22500000000000001</v>
      </c>
      <c r="M222" s="482">
        <v>0.371</v>
      </c>
    </row>
    <row r="223" spans="1:13" x14ac:dyDescent="0.2">
      <c r="A223" t="s">
        <v>431</v>
      </c>
      <c r="B223" t="s">
        <v>50</v>
      </c>
      <c r="C223" t="s">
        <v>87</v>
      </c>
      <c r="D223" t="s">
        <v>432</v>
      </c>
      <c r="E223" t="s">
        <v>433</v>
      </c>
      <c r="F223" t="s">
        <v>179</v>
      </c>
      <c r="G223">
        <v>1</v>
      </c>
      <c r="H223">
        <v>5</v>
      </c>
      <c r="I223">
        <v>4</v>
      </c>
      <c r="J223">
        <v>10</v>
      </c>
      <c r="K223" s="482">
        <v>0.1</v>
      </c>
      <c r="L223" s="482">
        <v>0.5</v>
      </c>
      <c r="M223" s="482">
        <v>0.4</v>
      </c>
    </row>
    <row r="224" spans="1:13" x14ac:dyDescent="0.2">
      <c r="A224" t="s">
        <v>434</v>
      </c>
      <c r="B224" t="s">
        <v>50</v>
      </c>
      <c r="C224" t="s">
        <v>87</v>
      </c>
      <c r="D224" t="s">
        <v>435</v>
      </c>
      <c r="E224" t="s">
        <v>436</v>
      </c>
      <c r="F224" t="s">
        <v>179</v>
      </c>
      <c r="G224">
        <v>8</v>
      </c>
      <c r="H224">
        <v>5</v>
      </c>
      <c r="I224">
        <v>17</v>
      </c>
      <c r="J224">
        <v>30</v>
      </c>
      <c r="K224" s="482">
        <v>0.26700000000000002</v>
      </c>
      <c r="L224" s="482">
        <v>0.16700000000000001</v>
      </c>
      <c r="M224" s="482">
        <v>0.56699999999999995</v>
      </c>
    </row>
    <row r="225" spans="1:13" x14ac:dyDescent="0.2">
      <c r="A225" t="s">
        <v>736</v>
      </c>
      <c r="B225" t="s">
        <v>50</v>
      </c>
      <c r="C225" t="s">
        <v>87</v>
      </c>
      <c r="D225" t="s">
        <v>737</v>
      </c>
      <c r="E225" t="s">
        <v>738</v>
      </c>
      <c r="F225" t="s">
        <v>179</v>
      </c>
      <c r="G225">
        <v>48</v>
      </c>
      <c r="H225">
        <v>25</v>
      </c>
      <c r="I225">
        <v>44</v>
      </c>
      <c r="J225">
        <v>117</v>
      </c>
      <c r="K225" s="482">
        <v>0.41</v>
      </c>
      <c r="L225" s="482">
        <v>0.214</v>
      </c>
      <c r="M225" s="482">
        <v>0.376</v>
      </c>
    </row>
    <row r="226" spans="1:13" x14ac:dyDescent="0.2">
      <c r="A226" t="s">
        <v>1112</v>
      </c>
      <c r="B226" t="s">
        <v>50</v>
      </c>
      <c r="C226" t="s">
        <v>87</v>
      </c>
      <c r="D226" t="s">
        <v>737</v>
      </c>
      <c r="E226" t="s">
        <v>738</v>
      </c>
      <c r="F226" t="s">
        <v>52</v>
      </c>
      <c r="G226">
        <v>60</v>
      </c>
      <c r="H226">
        <v>37</v>
      </c>
      <c r="I226">
        <v>23</v>
      </c>
      <c r="J226">
        <v>120</v>
      </c>
      <c r="K226" s="482">
        <v>0.5</v>
      </c>
      <c r="L226" s="482">
        <v>0.308</v>
      </c>
      <c r="M226" s="482">
        <v>0.192</v>
      </c>
    </row>
    <row r="227" spans="1:13" x14ac:dyDescent="0.2">
      <c r="A227" t="s">
        <v>1213</v>
      </c>
      <c r="B227" t="s">
        <v>50</v>
      </c>
      <c r="C227" t="s">
        <v>87</v>
      </c>
      <c r="D227" t="s">
        <v>435</v>
      </c>
      <c r="E227" t="s">
        <v>436</v>
      </c>
      <c r="F227" t="s">
        <v>52</v>
      </c>
      <c r="G227">
        <v>5</v>
      </c>
      <c r="H227">
        <v>5</v>
      </c>
      <c r="I227">
        <v>4</v>
      </c>
      <c r="J227">
        <v>14</v>
      </c>
      <c r="K227" s="482">
        <v>0.35699999999999998</v>
      </c>
      <c r="L227" s="482">
        <v>0.35699999999999998</v>
      </c>
      <c r="M227" s="482">
        <v>0.28599999999999998</v>
      </c>
    </row>
    <row r="228" spans="1:13" x14ac:dyDescent="0.2">
      <c r="A228" t="s">
        <v>1214</v>
      </c>
      <c r="B228" t="s">
        <v>50</v>
      </c>
      <c r="C228" t="s">
        <v>87</v>
      </c>
      <c r="D228" t="s">
        <v>432</v>
      </c>
      <c r="E228" t="s">
        <v>433</v>
      </c>
      <c r="F228" t="s">
        <v>52</v>
      </c>
      <c r="G228">
        <v>5</v>
      </c>
      <c r="H228">
        <v>3</v>
      </c>
      <c r="I228">
        <v>4</v>
      </c>
      <c r="J228">
        <v>12</v>
      </c>
      <c r="K228" s="482">
        <v>0.41699999999999998</v>
      </c>
      <c r="L228" s="482">
        <v>0.25</v>
      </c>
      <c r="M228" s="482">
        <v>0.33300000000000002</v>
      </c>
    </row>
    <row r="229" spans="1:13" x14ac:dyDescent="0.2">
      <c r="A229" t="s">
        <v>1215</v>
      </c>
      <c r="B229" t="s">
        <v>50</v>
      </c>
      <c r="C229" t="s">
        <v>87</v>
      </c>
      <c r="D229" t="s">
        <v>429</v>
      </c>
      <c r="E229" t="s">
        <v>430</v>
      </c>
      <c r="F229" t="s">
        <v>52</v>
      </c>
      <c r="G229">
        <v>53</v>
      </c>
      <c r="H229">
        <v>21</v>
      </c>
      <c r="I229">
        <v>12</v>
      </c>
      <c r="J229">
        <v>86</v>
      </c>
      <c r="K229" s="482">
        <v>0.61599999999999999</v>
      </c>
      <c r="L229" s="482">
        <v>0.24399999999999999</v>
      </c>
      <c r="M229" s="482">
        <v>0.14000000000000001</v>
      </c>
    </row>
    <row r="230" spans="1:13" x14ac:dyDescent="0.2">
      <c r="A230" t="s">
        <v>1216</v>
      </c>
      <c r="B230" t="s">
        <v>50</v>
      </c>
      <c r="C230" t="s">
        <v>87</v>
      </c>
      <c r="D230" t="s">
        <v>426</v>
      </c>
      <c r="E230" t="s">
        <v>427</v>
      </c>
      <c r="F230" t="s">
        <v>52</v>
      </c>
      <c r="G230">
        <v>72</v>
      </c>
      <c r="H230">
        <v>68</v>
      </c>
      <c r="I230">
        <v>42</v>
      </c>
      <c r="J230">
        <v>182</v>
      </c>
      <c r="K230" s="482">
        <v>0.39600000000000002</v>
      </c>
      <c r="L230" s="482">
        <v>0.374</v>
      </c>
      <c r="M230" s="482">
        <v>0.23100000000000001</v>
      </c>
    </row>
    <row r="231" spans="1:13" x14ac:dyDescent="0.2">
      <c r="A231" t="s">
        <v>1217</v>
      </c>
      <c r="B231" t="s">
        <v>50</v>
      </c>
      <c r="C231" t="s">
        <v>87</v>
      </c>
      <c r="D231" t="s">
        <v>423</v>
      </c>
      <c r="E231" t="s">
        <v>424</v>
      </c>
      <c r="F231" t="s">
        <v>52</v>
      </c>
      <c r="G231">
        <v>27</v>
      </c>
      <c r="H231">
        <v>29</v>
      </c>
      <c r="I231">
        <v>15</v>
      </c>
      <c r="J231">
        <v>71</v>
      </c>
      <c r="K231" s="482">
        <v>0.38</v>
      </c>
      <c r="L231" s="482">
        <v>0.40799999999999997</v>
      </c>
      <c r="M231" s="482">
        <v>0.21099999999999999</v>
      </c>
    </row>
    <row r="232" spans="1:13" x14ac:dyDescent="0.2">
      <c r="A232" t="s">
        <v>1218</v>
      </c>
      <c r="B232" t="s">
        <v>50</v>
      </c>
      <c r="C232" t="s">
        <v>87</v>
      </c>
      <c r="D232" t="s">
        <v>420</v>
      </c>
      <c r="E232" t="s">
        <v>421</v>
      </c>
      <c r="F232" t="s">
        <v>52</v>
      </c>
      <c r="G232">
        <v>75</v>
      </c>
      <c r="H232">
        <v>61</v>
      </c>
      <c r="I232">
        <v>29</v>
      </c>
      <c r="J232">
        <v>165</v>
      </c>
      <c r="K232" s="482">
        <v>0.45500000000000002</v>
      </c>
      <c r="L232" s="482">
        <v>0.37</v>
      </c>
      <c r="M232" s="482">
        <v>0.17599999999999999</v>
      </c>
    </row>
    <row r="233" spans="1:13" x14ac:dyDescent="0.2">
      <c r="A233" t="s">
        <v>1219</v>
      </c>
      <c r="B233" t="s">
        <v>50</v>
      </c>
      <c r="C233" t="s">
        <v>87</v>
      </c>
      <c r="D233" t="s">
        <v>1013</v>
      </c>
      <c r="E233" t="s">
        <v>1014</v>
      </c>
      <c r="F233" t="s">
        <v>52</v>
      </c>
      <c r="G233">
        <v>36</v>
      </c>
      <c r="H233">
        <v>23</v>
      </c>
      <c r="I233">
        <v>11</v>
      </c>
      <c r="J233">
        <v>70</v>
      </c>
      <c r="K233" s="482">
        <v>0.51400000000000001</v>
      </c>
      <c r="L233" s="482">
        <v>0.32900000000000001</v>
      </c>
      <c r="M233" s="482">
        <v>0.157</v>
      </c>
    </row>
    <row r="234" spans="1:13" x14ac:dyDescent="0.2">
      <c r="A234" t="s">
        <v>1018</v>
      </c>
      <c r="B234" t="s">
        <v>50</v>
      </c>
      <c r="C234" t="s">
        <v>87</v>
      </c>
      <c r="D234" t="s">
        <v>1010</v>
      </c>
      <c r="E234" t="s">
        <v>1011</v>
      </c>
      <c r="F234" t="s">
        <v>52</v>
      </c>
      <c r="G234">
        <v>5</v>
      </c>
      <c r="H234">
        <v>9</v>
      </c>
      <c r="I234">
        <v>5</v>
      </c>
      <c r="J234">
        <v>19</v>
      </c>
      <c r="K234" s="482">
        <v>0.26300000000000001</v>
      </c>
      <c r="L234" s="482">
        <v>0.47399999999999998</v>
      </c>
      <c r="M234" s="482">
        <v>0.26300000000000001</v>
      </c>
    </row>
    <row r="235" spans="1:13" x14ac:dyDescent="0.2">
      <c r="A235" t="s">
        <v>1019</v>
      </c>
      <c r="B235" t="s">
        <v>50</v>
      </c>
      <c r="C235" t="s">
        <v>87</v>
      </c>
      <c r="D235" t="s">
        <v>1007</v>
      </c>
      <c r="E235" t="s">
        <v>1008</v>
      </c>
      <c r="F235" t="s">
        <v>52</v>
      </c>
      <c r="G235">
        <v>20</v>
      </c>
      <c r="H235">
        <v>7</v>
      </c>
      <c r="I235">
        <v>6</v>
      </c>
      <c r="J235">
        <v>33</v>
      </c>
      <c r="K235" s="482">
        <v>0.60599999999999998</v>
      </c>
      <c r="L235" s="482">
        <v>0.21199999999999999</v>
      </c>
      <c r="M235" s="482">
        <v>0.182</v>
      </c>
    </row>
    <row r="236" spans="1:13" x14ac:dyDescent="0.2">
      <c r="A236" t="s">
        <v>1020</v>
      </c>
      <c r="B236" t="s">
        <v>50</v>
      </c>
      <c r="C236" t="s">
        <v>87</v>
      </c>
      <c r="D236" t="s">
        <v>1004</v>
      </c>
      <c r="E236" t="s">
        <v>1005</v>
      </c>
      <c r="F236" t="s">
        <v>52</v>
      </c>
      <c r="G236">
        <v>26</v>
      </c>
      <c r="H236">
        <v>7</v>
      </c>
      <c r="I236">
        <v>10</v>
      </c>
      <c r="J236">
        <v>43</v>
      </c>
      <c r="K236" s="482">
        <v>0.60499999999999998</v>
      </c>
      <c r="L236" s="482">
        <v>0.16300000000000001</v>
      </c>
      <c r="M236" s="482">
        <v>0.23300000000000001</v>
      </c>
    </row>
    <row r="237" spans="1:13" x14ac:dyDescent="0.2">
      <c r="A237" t="s">
        <v>1021</v>
      </c>
      <c r="B237" t="s">
        <v>50</v>
      </c>
      <c r="C237" t="s">
        <v>87</v>
      </c>
      <c r="D237" t="s">
        <v>1001</v>
      </c>
      <c r="E237" t="s">
        <v>1002</v>
      </c>
      <c r="F237" t="s">
        <v>52</v>
      </c>
      <c r="G237">
        <v>34</v>
      </c>
      <c r="H237">
        <v>10</v>
      </c>
      <c r="I237">
        <v>15</v>
      </c>
      <c r="J237">
        <v>59</v>
      </c>
      <c r="K237" s="482">
        <v>0.57599999999999996</v>
      </c>
      <c r="L237" s="482">
        <v>0.16900000000000001</v>
      </c>
      <c r="M237" s="482">
        <v>0.254</v>
      </c>
    </row>
    <row r="238" spans="1:13" x14ac:dyDescent="0.2">
      <c r="A238" t="s">
        <v>1022</v>
      </c>
      <c r="B238" t="s">
        <v>50</v>
      </c>
      <c r="C238" t="s">
        <v>87</v>
      </c>
      <c r="D238" t="s">
        <v>998</v>
      </c>
      <c r="E238" t="s">
        <v>999</v>
      </c>
      <c r="F238" t="s">
        <v>52</v>
      </c>
      <c r="G238">
        <v>25</v>
      </c>
      <c r="H238">
        <v>12</v>
      </c>
      <c r="I238">
        <v>7</v>
      </c>
      <c r="J238">
        <v>44</v>
      </c>
      <c r="K238" s="482">
        <v>0.56799999999999995</v>
      </c>
      <c r="L238" s="482">
        <v>0.27300000000000002</v>
      </c>
      <c r="M238" s="482">
        <v>0.159</v>
      </c>
    </row>
    <row r="239" spans="1:13" x14ac:dyDescent="0.2">
      <c r="A239" t="s">
        <v>1023</v>
      </c>
      <c r="B239" t="s">
        <v>50</v>
      </c>
      <c r="C239" t="s">
        <v>87</v>
      </c>
      <c r="D239" t="s">
        <v>995</v>
      </c>
      <c r="E239" t="s">
        <v>996</v>
      </c>
      <c r="F239" t="s">
        <v>52</v>
      </c>
      <c r="G239">
        <v>35</v>
      </c>
      <c r="H239">
        <v>29</v>
      </c>
      <c r="I239">
        <v>11</v>
      </c>
      <c r="J239">
        <v>75</v>
      </c>
      <c r="K239" s="482">
        <v>0.46700000000000003</v>
      </c>
      <c r="L239" s="482">
        <v>0.38700000000000001</v>
      </c>
      <c r="M239" s="482">
        <v>0.14699999999999999</v>
      </c>
    </row>
    <row r="240" spans="1:13" x14ac:dyDescent="0.2">
      <c r="A240" t="s">
        <v>1024</v>
      </c>
      <c r="B240" t="s">
        <v>50</v>
      </c>
      <c r="C240" t="s">
        <v>87</v>
      </c>
      <c r="D240" t="s">
        <v>992</v>
      </c>
      <c r="E240" t="s">
        <v>993</v>
      </c>
      <c r="F240" t="s">
        <v>52</v>
      </c>
      <c r="G240">
        <v>22</v>
      </c>
      <c r="H240">
        <v>11</v>
      </c>
      <c r="I240">
        <v>7</v>
      </c>
      <c r="J240">
        <v>40</v>
      </c>
      <c r="K240" s="482">
        <v>0.55000000000000004</v>
      </c>
      <c r="L240" s="482">
        <v>0.27500000000000002</v>
      </c>
      <c r="M240" s="482">
        <v>0.17499999999999999</v>
      </c>
    </row>
    <row r="241" spans="1:13" x14ac:dyDescent="0.2">
      <c r="A241" t="s">
        <v>1132</v>
      </c>
      <c r="B241" t="s">
        <v>50</v>
      </c>
      <c r="C241" t="s">
        <v>87</v>
      </c>
      <c r="D241" t="s">
        <v>675</v>
      </c>
      <c r="E241" t="s">
        <v>676</v>
      </c>
      <c r="F241" t="s">
        <v>52</v>
      </c>
      <c r="G241">
        <v>27</v>
      </c>
      <c r="H241">
        <v>13</v>
      </c>
      <c r="I241">
        <v>9</v>
      </c>
      <c r="J241">
        <v>49</v>
      </c>
      <c r="K241" s="482">
        <v>0.55100000000000005</v>
      </c>
      <c r="L241" s="482">
        <v>0.26500000000000001</v>
      </c>
      <c r="M241" s="482">
        <v>0.184</v>
      </c>
    </row>
    <row r="242" spans="1:13" x14ac:dyDescent="0.2">
      <c r="A242" t="s">
        <v>1133</v>
      </c>
      <c r="B242" t="s">
        <v>50</v>
      </c>
      <c r="C242" t="s">
        <v>87</v>
      </c>
      <c r="D242" t="s">
        <v>672</v>
      </c>
      <c r="E242" t="s">
        <v>673</v>
      </c>
      <c r="F242" t="s">
        <v>52</v>
      </c>
      <c r="G242">
        <v>61</v>
      </c>
      <c r="H242">
        <v>55</v>
      </c>
      <c r="I242">
        <v>24</v>
      </c>
      <c r="J242">
        <v>140</v>
      </c>
      <c r="K242" s="482">
        <v>0.436</v>
      </c>
      <c r="L242" s="482">
        <v>0.39300000000000002</v>
      </c>
      <c r="M242" s="482">
        <v>0.17100000000000001</v>
      </c>
    </row>
    <row r="243" spans="1:13" x14ac:dyDescent="0.2">
      <c r="A243" t="s">
        <v>1134</v>
      </c>
      <c r="B243" t="s">
        <v>50</v>
      </c>
      <c r="C243" t="s">
        <v>87</v>
      </c>
      <c r="D243" t="s">
        <v>669</v>
      </c>
      <c r="E243" t="s">
        <v>670</v>
      </c>
      <c r="F243" t="s">
        <v>52</v>
      </c>
      <c r="G243">
        <v>40</v>
      </c>
      <c r="H243">
        <v>22</v>
      </c>
      <c r="I243">
        <v>11</v>
      </c>
      <c r="J243">
        <v>73</v>
      </c>
      <c r="K243" s="482">
        <v>0.54800000000000004</v>
      </c>
      <c r="L243" s="482">
        <v>0.30099999999999999</v>
      </c>
      <c r="M243" s="482">
        <v>0.151</v>
      </c>
    </row>
    <row r="244" spans="1:13" x14ac:dyDescent="0.2">
      <c r="A244" t="s">
        <v>1135</v>
      </c>
      <c r="B244" t="s">
        <v>50</v>
      </c>
      <c r="C244" t="s">
        <v>87</v>
      </c>
      <c r="D244" t="s">
        <v>666</v>
      </c>
      <c r="E244" t="s">
        <v>667</v>
      </c>
      <c r="F244" t="s">
        <v>52</v>
      </c>
      <c r="G244">
        <v>48</v>
      </c>
      <c r="H244">
        <v>23</v>
      </c>
      <c r="I244">
        <v>7</v>
      </c>
      <c r="J244">
        <v>78</v>
      </c>
      <c r="K244" s="482">
        <v>0.61499999999999999</v>
      </c>
      <c r="L244" s="482">
        <v>0.29499999999999998</v>
      </c>
      <c r="M244" s="482">
        <v>0.09</v>
      </c>
    </row>
    <row r="245" spans="1:13" x14ac:dyDescent="0.2">
      <c r="A245" t="s">
        <v>1136</v>
      </c>
      <c r="B245" t="s">
        <v>50</v>
      </c>
      <c r="C245" t="s">
        <v>87</v>
      </c>
      <c r="D245" t="s">
        <v>663</v>
      </c>
      <c r="E245" t="s">
        <v>664</v>
      </c>
      <c r="F245" t="s">
        <v>52</v>
      </c>
      <c r="G245">
        <v>59</v>
      </c>
      <c r="H245">
        <v>32</v>
      </c>
      <c r="I245">
        <v>13</v>
      </c>
      <c r="J245">
        <v>104</v>
      </c>
      <c r="K245" s="482">
        <v>0.56699999999999995</v>
      </c>
      <c r="L245" s="482">
        <v>0.308</v>
      </c>
      <c r="M245" s="482">
        <v>0.125</v>
      </c>
    </row>
    <row r="246" spans="1:13" x14ac:dyDescent="0.2">
      <c r="A246" t="s">
        <v>1137</v>
      </c>
      <c r="B246" t="s">
        <v>50</v>
      </c>
      <c r="C246" t="s">
        <v>87</v>
      </c>
      <c r="D246" t="s">
        <v>660</v>
      </c>
      <c r="E246" t="s">
        <v>661</v>
      </c>
      <c r="F246" t="s">
        <v>52</v>
      </c>
      <c r="G246">
        <v>8</v>
      </c>
      <c r="H246">
        <v>7</v>
      </c>
      <c r="I246">
        <v>5</v>
      </c>
      <c r="J246">
        <v>20</v>
      </c>
      <c r="K246" s="482">
        <v>0.4</v>
      </c>
      <c r="L246" s="482">
        <v>0.35</v>
      </c>
      <c r="M246" s="482">
        <v>0.25</v>
      </c>
    </row>
    <row r="247" spans="1:13" x14ac:dyDescent="0.2">
      <c r="A247" t="s">
        <v>1138</v>
      </c>
      <c r="B247" t="s">
        <v>50</v>
      </c>
      <c r="C247" t="s">
        <v>87</v>
      </c>
      <c r="D247" t="s">
        <v>657</v>
      </c>
      <c r="E247" t="s">
        <v>658</v>
      </c>
      <c r="F247" t="s">
        <v>52</v>
      </c>
      <c r="G247">
        <v>31</v>
      </c>
      <c r="H247">
        <v>12</v>
      </c>
      <c r="I247">
        <v>6</v>
      </c>
      <c r="J247">
        <v>49</v>
      </c>
      <c r="K247" s="482">
        <v>0.63300000000000001</v>
      </c>
      <c r="L247" s="482">
        <v>0.245</v>
      </c>
      <c r="M247" s="482">
        <v>0.122</v>
      </c>
    </row>
    <row r="248" spans="1:13" x14ac:dyDescent="0.2">
      <c r="A248" t="s">
        <v>1139</v>
      </c>
      <c r="B248" t="s">
        <v>50</v>
      </c>
      <c r="C248" t="s">
        <v>87</v>
      </c>
      <c r="D248" t="s">
        <v>654</v>
      </c>
      <c r="E248" t="s">
        <v>655</v>
      </c>
      <c r="F248" t="s">
        <v>52</v>
      </c>
      <c r="G248">
        <v>13</v>
      </c>
      <c r="H248">
        <v>24</v>
      </c>
      <c r="I248">
        <v>10</v>
      </c>
      <c r="J248">
        <v>47</v>
      </c>
      <c r="K248" s="482">
        <v>0.27700000000000002</v>
      </c>
      <c r="L248" s="482">
        <v>0.51100000000000001</v>
      </c>
      <c r="M248" s="482">
        <v>0.21299999999999999</v>
      </c>
    </row>
    <row r="249" spans="1:13" x14ac:dyDescent="0.2">
      <c r="A249" t="s">
        <v>1140</v>
      </c>
      <c r="B249" t="s">
        <v>50</v>
      </c>
      <c r="C249" t="s">
        <v>87</v>
      </c>
      <c r="D249" t="s">
        <v>651</v>
      </c>
      <c r="E249" t="s">
        <v>652</v>
      </c>
      <c r="F249" t="s">
        <v>52</v>
      </c>
      <c r="G249">
        <v>27</v>
      </c>
      <c r="H249">
        <v>19</v>
      </c>
      <c r="I249">
        <v>3</v>
      </c>
      <c r="J249">
        <v>49</v>
      </c>
      <c r="K249" s="482">
        <v>0.55100000000000005</v>
      </c>
      <c r="L249" s="482">
        <v>0.38800000000000001</v>
      </c>
      <c r="M249" s="482">
        <v>6.0999999999999999E-2</v>
      </c>
    </row>
    <row r="250" spans="1:13" x14ac:dyDescent="0.2">
      <c r="A250" t="s">
        <v>1141</v>
      </c>
      <c r="B250" t="s">
        <v>50</v>
      </c>
      <c r="C250" t="s">
        <v>87</v>
      </c>
      <c r="D250" t="s">
        <v>648</v>
      </c>
      <c r="E250" t="s">
        <v>649</v>
      </c>
      <c r="F250" t="s">
        <v>52</v>
      </c>
      <c r="G250">
        <v>39</v>
      </c>
      <c r="H250">
        <v>17</v>
      </c>
      <c r="I250">
        <v>7</v>
      </c>
      <c r="J250">
        <v>63</v>
      </c>
      <c r="K250" s="482">
        <v>0.61899999999999999</v>
      </c>
      <c r="L250" s="482">
        <v>0.27</v>
      </c>
      <c r="M250" s="482">
        <v>0.111</v>
      </c>
    </row>
    <row r="251" spans="1:13" x14ac:dyDescent="0.2">
      <c r="A251" t="s">
        <v>1142</v>
      </c>
      <c r="B251" t="s">
        <v>50</v>
      </c>
      <c r="C251" t="s">
        <v>87</v>
      </c>
      <c r="D251" t="s">
        <v>645</v>
      </c>
      <c r="E251" t="s">
        <v>646</v>
      </c>
      <c r="F251" t="s">
        <v>52</v>
      </c>
      <c r="G251">
        <v>58</v>
      </c>
      <c r="H251">
        <v>36</v>
      </c>
      <c r="I251">
        <v>25</v>
      </c>
      <c r="J251">
        <v>119</v>
      </c>
      <c r="K251" s="482">
        <v>0.48699999999999999</v>
      </c>
      <c r="L251" s="482">
        <v>0.30299999999999999</v>
      </c>
      <c r="M251" s="482">
        <v>0.21</v>
      </c>
    </row>
    <row r="252" spans="1:13" x14ac:dyDescent="0.2">
      <c r="A252" t="s">
        <v>1143</v>
      </c>
      <c r="B252" t="s">
        <v>50</v>
      </c>
      <c r="C252" t="s">
        <v>87</v>
      </c>
      <c r="D252" t="s">
        <v>642</v>
      </c>
      <c r="E252" t="s">
        <v>643</v>
      </c>
      <c r="F252" t="s">
        <v>52</v>
      </c>
      <c r="G252">
        <v>113</v>
      </c>
      <c r="H252">
        <v>69</v>
      </c>
      <c r="I252">
        <v>28</v>
      </c>
      <c r="J252">
        <v>210</v>
      </c>
      <c r="K252" s="482">
        <v>0.53800000000000003</v>
      </c>
      <c r="L252" s="482">
        <v>0.32900000000000001</v>
      </c>
      <c r="M252" s="482">
        <v>0.13300000000000001</v>
      </c>
    </row>
    <row r="253" spans="1:13" x14ac:dyDescent="0.2">
      <c r="A253" t="s">
        <v>1144</v>
      </c>
      <c r="B253" t="s">
        <v>50</v>
      </c>
      <c r="C253" t="s">
        <v>87</v>
      </c>
      <c r="D253" t="s">
        <v>639</v>
      </c>
      <c r="E253" t="s">
        <v>640</v>
      </c>
      <c r="F253" t="s">
        <v>52</v>
      </c>
      <c r="G253">
        <v>65</v>
      </c>
      <c r="H253">
        <v>44</v>
      </c>
      <c r="I253">
        <v>25</v>
      </c>
      <c r="J253">
        <v>134</v>
      </c>
      <c r="K253" s="482">
        <v>0.48499999999999999</v>
      </c>
      <c r="L253" s="482">
        <v>0.32800000000000001</v>
      </c>
      <c r="M253" s="482">
        <v>0.187</v>
      </c>
    </row>
    <row r="254" spans="1:13" x14ac:dyDescent="0.2">
      <c r="A254" t="s">
        <v>1145</v>
      </c>
      <c r="B254" t="s">
        <v>50</v>
      </c>
      <c r="C254" t="s">
        <v>87</v>
      </c>
      <c r="D254" t="s">
        <v>636</v>
      </c>
      <c r="E254" t="s">
        <v>637</v>
      </c>
      <c r="F254" t="s">
        <v>52</v>
      </c>
      <c r="G254">
        <v>83</v>
      </c>
      <c r="H254">
        <v>45</v>
      </c>
      <c r="I254">
        <v>25</v>
      </c>
      <c r="J254">
        <v>153</v>
      </c>
      <c r="K254" s="482">
        <v>0.54200000000000004</v>
      </c>
      <c r="L254" s="482">
        <v>0.29399999999999998</v>
      </c>
      <c r="M254" s="482">
        <v>0.16300000000000001</v>
      </c>
    </row>
    <row r="255" spans="1:13" x14ac:dyDescent="0.2">
      <c r="A255" t="s">
        <v>1146</v>
      </c>
      <c r="B255" t="s">
        <v>50</v>
      </c>
      <c r="C255" t="s">
        <v>87</v>
      </c>
      <c r="D255" t="s">
        <v>633</v>
      </c>
      <c r="E255" t="s">
        <v>634</v>
      </c>
      <c r="F255" t="s">
        <v>52</v>
      </c>
      <c r="G255">
        <v>21</v>
      </c>
      <c r="H255">
        <v>11</v>
      </c>
      <c r="I255">
        <v>2</v>
      </c>
      <c r="J255">
        <v>34</v>
      </c>
      <c r="K255" s="482">
        <v>0.61799999999999999</v>
      </c>
      <c r="L255" s="482">
        <v>0.32400000000000001</v>
      </c>
      <c r="M255" s="482">
        <v>5.8999999999999997E-2</v>
      </c>
    </row>
    <row r="256" spans="1:13" x14ac:dyDescent="0.2">
      <c r="A256" t="s">
        <v>1147</v>
      </c>
      <c r="B256" t="s">
        <v>50</v>
      </c>
      <c r="C256" t="s">
        <v>87</v>
      </c>
      <c r="D256" t="s">
        <v>630</v>
      </c>
      <c r="E256" t="s">
        <v>631</v>
      </c>
      <c r="F256" t="s">
        <v>52</v>
      </c>
      <c r="G256">
        <v>17</v>
      </c>
      <c r="H256">
        <v>19</v>
      </c>
      <c r="I256">
        <v>14</v>
      </c>
      <c r="J256">
        <v>50</v>
      </c>
      <c r="K256" s="482">
        <v>0.34</v>
      </c>
      <c r="L256" s="482">
        <v>0.38</v>
      </c>
      <c r="M256" s="482">
        <v>0.28000000000000003</v>
      </c>
    </row>
    <row r="257" spans="1:13" x14ac:dyDescent="0.2">
      <c r="A257" t="s">
        <v>6554</v>
      </c>
      <c r="B257" t="s">
        <v>50</v>
      </c>
      <c r="C257" t="s">
        <v>87</v>
      </c>
      <c r="D257" t="s">
        <v>6553</v>
      </c>
      <c r="E257" t="s">
        <v>6543</v>
      </c>
      <c r="F257" t="s">
        <v>52</v>
      </c>
      <c r="G257">
        <v>85</v>
      </c>
      <c r="H257">
        <v>60</v>
      </c>
      <c r="I257">
        <v>29</v>
      </c>
      <c r="J257">
        <v>174</v>
      </c>
      <c r="K257" s="482">
        <v>0.48899999999999999</v>
      </c>
      <c r="L257" s="482">
        <v>0.34499999999999997</v>
      </c>
      <c r="M257" s="482">
        <v>0.16700000000000001</v>
      </c>
    </row>
    <row r="258" spans="1:13" x14ac:dyDescent="0.2">
      <c r="A258" t="s">
        <v>1148</v>
      </c>
      <c r="B258" t="s">
        <v>50</v>
      </c>
      <c r="C258" t="s">
        <v>87</v>
      </c>
      <c r="D258" t="s">
        <v>627</v>
      </c>
      <c r="E258" t="s">
        <v>628</v>
      </c>
      <c r="F258" t="s">
        <v>52</v>
      </c>
      <c r="G258">
        <v>12</v>
      </c>
      <c r="H258">
        <v>7</v>
      </c>
      <c r="I258">
        <v>4</v>
      </c>
      <c r="J258">
        <v>23</v>
      </c>
      <c r="K258" s="482">
        <v>0.52200000000000002</v>
      </c>
      <c r="L258" s="482">
        <v>0.30399999999999999</v>
      </c>
      <c r="M258" s="482">
        <v>0.17399999999999999</v>
      </c>
    </row>
    <row r="259" spans="1:13" x14ac:dyDescent="0.2">
      <c r="A259" t="s">
        <v>1149</v>
      </c>
      <c r="B259" t="s">
        <v>50</v>
      </c>
      <c r="C259" t="s">
        <v>87</v>
      </c>
      <c r="D259" t="s">
        <v>624</v>
      </c>
      <c r="E259" t="s">
        <v>625</v>
      </c>
      <c r="F259" t="s">
        <v>52</v>
      </c>
      <c r="G259">
        <v>49</v>
      </c>
      <c r="H259">
        <v>24</v>
      </c>
      <c r="I259">
        <v>15</v>
      </c>
      <c r="J259">
        <v>88</v>
      </c>
      <c r="K259" s="482">
        <v>0.55700000000000005</v>
      </c>
      <c r="L259" s="482">
        <v>0.27300000000000002</v>
      </c>
      <c r="M259" s="482">
        <v>0.17</v>
      </c>
    </row>
    <row r="260" spans="1:13" x14ac:dyDescent="0.2">
      <c r="A260" t="s">
        <v>1150</v>
      </c>
      <c r="B260" t="s">
        <v>50</v>
      </c>
      <c r="C260" t="s">
        <v>87</v>
      </c>
      <c r="D260" t="s">
        <v>621</v>
      </c>
      <c r="E260" t="s">
        <v>622</v>
      </c>
      <c r="F260" t="s">
        <v>52</v>
      </c>
      <c r="G260">
        <v>118</v>
      </c>
      <c r="H260">
        <v>69</v>
      </c>
      <c r="I260">
        <v>24</v>
      </c>
      <c r="J260">
        <v>211</v>
      </c>
      <c r="K260" s="482">
        <v>0.55900000000000005</v>
      </c>
      <c r="L260" s="482">
        <v>0.32700000000000001</v>
      </c>
      <c r="M260" s="482">
        <v>0.114</v>
      </c>
    </row>
    <row r="261" spans="1:13" x14ac:dyDescent="0.2">
      <c r="A261" t="s">
        <v>1151</v>
      </c>
      <c r="B261" t="s">
        <v>50</v>
      </c>
      <c r="C261" t="s">
        <v>87</v>
      </c>
      <c r="D261" t="s">
        <v>619</v>
      </c>
      <c r="E261" t="s">
        <v>338</v>
      </c>
      <c r="F261" t="s">
        <v>52</v>
      </c>
      <c r="G261">
        <v>49</v>
      </c>
      <c r="H261">
        <v>21</v>
      </c>
      <c r="I261">
        <v>25</v>
      </c>
      <c r="J261">
        <v>95</v>
      </c>
      <c r="K261" s="482">
        <v>0.51600000000000001</v>
      </c>
      <c r="L261" s="482">
        <v>0.221</v>
      </c>
      <c r="M261" s="482">
        <v>0.26300000000000001</v>
      </c>
    </row>
    <row r="262" spans="1:13" x14ac:dyDescent="0.2">
      <c r="A262" t="s">
        <v>1152</v>
      </c>
      <c r="B262" t="s">
        <v>50</v>
      </c>
      <c r="C262" t="s">
        <v>87</v>
      </c>
      <c r="D262" t="s">
        <v>616</v>
      </c>
      <c r="E262" t="s">
        <v>617</v>
      </c>
      <c r="F262" t="s">
        <v>52</v>
      </c>
      <c r="G262">
        <v>80</v>
      </c>
      <c r="H262">
        <v>44</v>
      </c>
      <c r="I262">
        <v>25</v>
      </c>
      <c r="J262">
        <v>149</v>
      </c>
      <c r="K262" s="482">
        <v>0.53700000000000003</v>
      </c>
      <c r="L262" s="482">
        <v>0.29499999999999998</v>
      </c>
      <c r="M262" s="482">
        <v>0.16800000000000001</v>
      </c>
    </row>
    <row r="263" spans="1:13" x14ac:dyDescent="0.2">
      <c r="A263" t="s">
        <v>1153</v>
      </c>
      <c r="B263" t="s">
        <v>50</v>
      </c>
      <c r="C263" t="s">
        <v>87</v>
      </c>
      <c r="D263" t="s">
        <v>613</v>
      </c>
      <c r="E263" t="s">
        <v>614</v>
      </c>
      <c r="F263" t="s">
        <v>52</v>
      </c>
      <c r="G263">
        <v>2</v>
      </c>
      <c r="H263">
        <v>5</v>
      </c>
      <c r="I263">
        <v>0</v>
      </c>
      <c r="J263">
        <v>7</v>
      </c>
      <c r="K263" s="482">
        <v>0.28599999999999998</v>
      </c>
      <c r="L263" s="482">
        <v>0.71399999999999997</v>
      </c>
      <c r="M263" s="482">
        <v>0</v>
      </c>
    </row>
    <row r="264" spans="1:13" x14ac:dyDescent="0.2">
      <c r="A264" t="s">
        <v>1154</v>
      </c>
      <c r="B264" t="s">
        <v>50</v>
      </c>
      <c r="C264" t="s">
        <v>87</v>
      </c>
      <c r="D264" t="s">
        <v>610</v>
      </c>
      <c r="E264" t="s">
        <v>611</v>
      </c>
      <c r="F264" t="s">
        <v>52</v>
      </c>
      <c r="G264">
        <v>46</v>
      </c>
      <c r="H264">
        <v>20</v>
      </c>
      <c r="I264">
        <v>17</v>
      </c>
      <c r="J264">
        <v>83</v>
      </c>
      <c r="K264" s="482">
        <v>0.55400000000000005</v>
      </c>
      <c r="L264" s="482">
        <v>0.24099999999999999</v>
      </c>
      <c r="M264" s="482">
        <v>0.20499999999999999</v>
      </c>
    </row>
    <row r="265" spans="1:13" x14ac:dyDescent="0.2">
      <c r="A265" t="s">
        <v>1155</v>
      </c>
      <c r="B265" t="s">
        <v>50</v>
      </c>
      <c r="C265" t="s">
        <v>87</v>
      </c>
      <c r="D265" t="s">
        <v>417</v>
      </c>
      <c r="E265" t="s">
        <v>418</v>
      </c>
      <c r="F265" t="s">
        <v>52</v>
      </c>
      <c r="G265">
        <v>64</v>
      </c>
      <c r="H265">
        <v>25</v>
      </c>
      <c r="I265">
        <v>26</v>
      </c>
      <c r="J265">
        <v>115</v>
      </c>
      <c r="K265" s="482">
        <v>0.55700000000000005</v>
      </c>
      <c r="L265" s="482">
        <v>0.217</v>
      </c>
      <c r="M265" s="482">
        <v>0.22600000000000001</v>
      </c>
    </row>
    <row r="266" spans="1:13" x14ac:dyDescent="0.2">
      <c r="A266" t="s">
        <v>1220</v>
      </c>
      <c r="B266" t="s">
        <v>50</v>
      </c>
      <c r="C266" t="s">
        <v>87</v>
      </c>
      <c r="D266" t="s">
        <v>414</v>
      </c>
      <c r="E266" t="s">
        <v>415</v>
      </c>
      <c r="F266" t="s">
        <v>52</v>
      </c>
      <c r="G266">
        <v>37</v>
      </c>
      <c r="H266">
        <v>20</v>
      </c>
      <c r="I266">
        <v>7</v>
      </c>
      <c r="J266">
        <v>64</v>
      </c>
      <c r="K266" s="482">
        <v>0.57799999999999996</v>
      </c>
      <c r="L266" s="482">
        <v>0.313</v>
      </c>
      <c r="M266" s="482">
        <v>0.109</v>
      </c>
    </row>
    <row r="267" spans="1:13" x14ac:dyDescent="0.2">
      <c r="A267" t="s">
        <v>1221</v>
      </c>
      <c r="B267" t="s">
        <v>50</v>
      </c>
      <c r="C267" t="s">
        <v>87</v>
      </c>
      <c r="D267" t="s">
        <v>411</v>
      </c>
      <c r="E267" t="s">
        <v>412</v>
      </c>
      <c r="F267" t="s">
        <v>52</v>
      </c>
      <c r="G267">
        <v>61</v>
      </c>
      <c r="H267">
        <v>29</v>
      </c>
      <c r="I267">
        <v>22</v>
      </c>
      <c r="J267">
        <v>112</v>
      </c>
      <c r="K267" s="482">
        <v>0.54500000000000004</v>
      </c>
      <c r="L267" s="482">
        <v>0.25900000000000001</v>
      </c>
      <c r="M267" s="482">
        <v>0.19600000000000001</v>
      </c>
    </row>
    <row r="268" spans="1:13" x14ac:dyDescent="0.2">
      <c r="A268" t="s">
        <v>1194</v>
      </c>
      <c r="B268" t="s">
        <v>50</v>
      </c>
      <c r="C268" t="s">
        <v>87</v>
      </c>
      <c r="D268" t="s">
        <v>495</v>
      </c>
      <c r="E268" t="s">
        <v>496</v>
      </c>
      <c r="F268" t="s">
        <v>52</v>
      </c>
      <c r="G268">
        <v>81</v>
      </c>
      <c r="H268">
        <v>61</v>
      </c>
      <c r="I268">
        <v>36</v>
      </c>
      <c r="J268">
        <v>178</v>
      </c>
      <c r="K268" s="482">
        <v>0.45500000000000002</v>
      </c>
      <c r="L268" s="482">
        <v>0.34300000000000003</v>
      </c>
      <c r="M268" s="482">
        <v>0.20200000000000001</v>
      </c>
    </row>
    <row r="269" spans="1:13" x14ac:dyDescent="0.2">
      <c r="A269" t="s">
        <v>1195</v>
      </c>
      <c r="B269" t="s">
        <v>50</v>
      </c>
      <c r="C269" t="s">
        <v>87</v>
      </c>
      <c r="D269" t="s">
        <v>492</v>
      </c>
      <c r="E269" t="s">
        <v>493</v>
      </c>
      <c r="F269" t="s">
        <v>52</v>
      </c>
      <c r="G269">
        <v>20</v>
      </c>
      <c r="H269">
        <v>9</v>
      </c>
      <c r="I269">
        <v>10</v>
      </c>
      <c r="J269">
        <v>39</v>
      </c>
      <c r="K269" s="482">
        <v>0.51300000000000001</v>
      </c>
      <c r="L269" s="482">
        <v>0.23100000000000001</v>
      </c>
      <c r="M269" s="482">
        <v>0.25600000000000001</v>
      </c>
    </row>
    <row r="270" spans="1:13" x14ac:dyDescent="0.2">
      <c r="A270" t="s">
        <v>1045</v>
      </c>
      <c r="B270" t="s">
        <v>50</v>
      </c>
      <c r="C270" t="s">
        <v>87</v>
      </c>
      <c r="D270" t="s">
        <v>929</v>
      </c>
      <c r="E270" t="s">
        <v>930</v>
      </c>
      <c r="F270" t="s">
        <v>52</v>
      </c>
      <c r="G270">
        <v>78</v>
      </c>
      <c r="H270">
        <v>36</v>
      </c>
      <c r="I270">
        <v>40</v>
      </c>
      <c r="J270">
        <v>154</v>
      </c>
      <c r="K270" s="482">
        <v>0.50600000000000001</v>
      </c>
      <c r="L270" s="482">
        <v>0.23400000000000001</v>
      </c>
      <c r="M270" s="482">
        <v>0.26</v>
      </c>
    </row>
    <row r="271" spans="1:13" x14ac:dyDescent="0.2">
      <c r="A271" t="s">
        <v>1046</v>
      </c>
      <c r="B271" t="s">
        <v>50</v>
      </c>
      <c r="C271" t="s">
        <v>87</v>
      </c>
      <c r="D271" t="s">
        <v>926</v>
      </c>
      <c r="E271" t="s">
        <v>927</v>
      </c>
      <c r="F271" t="s">
        <v>52</v>
      </c>
      <c r="G271">
        <v>11</v>
      </c>
      <c r="H271">
        <v>4</v>
      </c>
      <c r="I271">
        <v>5</v>
      </c>
      <c r="J271">
        <v>20</v>
      </c>
      <c r="K271" s="482">
        <v>0.55000000000000004</v>
      </c>
      <c r="L271" s="482">
        <v>0.2</v>
      </c>
      <c r="M271" s="482">
        <v>0.25</v>
      </c>
    </row>
    <row r="272" spans="1:13" x14ac:dyDescent="0.2">
      <c r="A272" t="s">
        <v>1047</v>
      </c>
      <c r="B272" t="s">
        <v>50</v>
      </c>
      <c r="C272" t="s">
        <v>87</v>
      </c>
      <c r="D272" t="s">
        <v>923</v>
      </c>
      <c r="E272" t="s">
        <v>924</v>
      </c>
      <c r="F272" t="s">
        <v>52</v>
      </c>
      <c r="G272">
        <v>37</v>
      </c>
      <c r="H272">
        <v>20</v>
      </c>
      <c r="I272">
        <v>13</v>
      </c>
      <c r="J272">
        <v>70</v>
      </c>
      <c r="K272" s="482">
        <v>0.52900000000000003</v>
      </c>
      <c r="L272" s="482">
        <v>0.28599999999999998</v>
      </c>
      <c r="M272" s="482">
        <v>0.186</v>
      </c>
    </row>
    <row r="273" spans="1:13" x14ac:dyDescent="0.2">
      <c r="A273" t="s">
        <v>1048</v>
      </c>
      <c r="B273" t="s">
        <v>50</v>
      </c>
      <c r="C273" t="s">
        <v>87</v>
      </c>
      <c r="D273" t="s">
        <v>920</v>
      </c>
      <c r="E273" t="s">
        <v>921</v>
      </c>
      <c r="F273" t="s">
        <v>52</v>
      </c>
      <c r="G273" t="s">
        <v>53</v>
      </c>
      <c r="H273" t="s">
        <v>53</v>
      </c>
      <c r="I273" t="s">
        <v>53</v>
      </c>
      <c r="J273" t="s">
        <v>53</v>
      </c>
      <c r="K273" t="s">
        <v>53</v>
      </c>
      <c r="L273" t="s">
        <v>53</v>
      </c>
      <c r="M273" t="s">
        <v>53</v>
      </c>
    </row>
    <row r="274" spans="1:13" x14ac:dyDescent="0.2">
      <c r="A274" t="s">
        <v>1049</v>
      </c>
      <c r="B274" t="s">
        <v>50</v>
      </c>
      <c r="C274" t="s">
        <v>87</v>
      </c>
      <c r="D274" t="s">
        <v>917</v>
      </c>
      <c r="E274" t="s">
        <v>918</v>
      </c>
      <c r="F274" t="s">
        <v>52</v>
      </c>
      <c r="G274">
        <v>40</v>
      </c>
      <c r="H274">
        <v>18</v>
      </c>
      <c r="I274">
        <v>9</v>
      </c>
      <c r="J274">
        <v>67</v>
      </c>
      <c r="K274" s="482">
        <v>0.59699999999999998</v>
      </c>
      <c r="L274" s="482">
        <v>0.26900000000000002</v>
      </c>
      <c r="M274" s="482">
        <v>0.13400000000000001</v>
      </c>
    </row>
    <row r="275" spans="1:13" x14ac:dyDescent="0.2">
      <c r="A275" t="s">
        <v>1050</v>
      </c>
      <c r="B275" t="s">
        <v>50</v>
      </c>
      <c r="C275" t="s">
        <v>87</v>
      </c>
      <c r="D275" t="s">
        <v>914</v>
      </c>
      <c r="E275" t="s">
        <v>915</v>
      </c>
      <c r="F275" t="s">
        <v>52</v>
      </c>
      <c r="G275">
        <v>23</v>
      </c>
      <c r="H275">
        <v>12</v>
      </c>
      <c r="I275">
        <v>11</v>
      </c>
      <c r="J275">
        <v>46</v>
      </c>
      <c r="K275" s="482">
        <v>0.5</v>
      </c>
      <c r="L275" s="482">
        <v>0.26100000000000001</v>
      </c>
      <c r="M275" s="482">
        <v>0.23899999999999999</v>
      </c>
    </row>
    <row r="276" spans="1:13" x14ac:dyDescent="0.2">
      <c r="A276" t="s">
        <v>1051</v>
      </c>
      <c r="B276" t="s">
        <v>50</v>
      </c>
      <c r="C276" t="s">
        <v>87</v>
      </c>
      <c r="D276" t="s">
        <v>911</v>
      </c>
      <c r="E276" t="s">
        <v>912</v>
      </c>
      <c r="F276" t="s">
        <v>52</v>
      </c>
      <c r="G276">
        <v>71</v>
      </c>
      <c r="H276">
        <v>42</v>
      </c>
      <c r="I276">
        <v>12</v>
      </c>
      <c r="J276">
        <v>125</v>
      </c>
      <c r="K276" s="482">
        <v>0.56799999999999995</v>
      </c>
      <c r="L276" s="482">
        <v>0.33600000000000002</v>
      </c>
      <c r="M276" s="482">
        <v>9.6000000000000002E-2</v>
      </c>
    </row>
    <row r="277" spans="1:13" x14ac:dyDescent="0.2">
      <c r="A277" t="s">
        <v>1055</v>
      </c>
      <c r="B277" t="s">
        <v>50</v>
      </c>
      <c r="C277" t="s">
        <v>87</v>
      </c>
      <c r="D277" t="s">
        <v>489</v>
      </c>
      <c r="E277" t="s">
        <v>490</v>
      </c>
      <c r="F277" t="s">
        <v>52</v>
      </c>
      <c r="G277">
        <v>9</v>
      </c>
      <c r="H277">
        <v>8</v>
      </c>
      <c r="I277">
        <v>6</v>
      </c>
      <c r="J277">
        <v>23</v>
      </c>
      <c r="K277" s="482">
        <v>0.39100000000000001</v>
      </c>
      <c r="L277" s="482">
        <v>0.34799999999999998</v>
      </c>
      <c r="M277" s="482">
        <v>0.26100000000000001</v>
      </c>
    </row>
    <row r="278" spans="1:13" x14ac:dyDescent="0.2">
      <c r="A278" t="s">
        <v>1196</v>
      </c>
      <c r="B278" t="s">
        <v>50</v>
      </c>
      <c r="C278" t="s">
        <v>87</v>
      </c>
      <c r="D278" t="s">
        <v>486</v>
      </c>
      <c r="E278" t="s">
        <v>487</v>
      </c>
      <c r="F278" t="s">
        <v>52</v>
      </c>
      <c r="G278">
        <v>49</v>
      </c>
      <c r="H278">
        <v>57</v>
      </c>
      <c r="I278">
        <v>21</v>
      </c>
      <c r="J278">
        <v>127</v>
      </c>
      <c r="K278" s="482">
        <v>0.38600000000000001</v>
      </c>
      <c r="L278" s="482">
        <v>0.44900000000000001</v>
      </c>
      <c r="M278" s="482">
        <v>0.16500000000000001</v>
      </c>
    </row>
    <row r="279" spans="1:13" x14ac:dyDescent="0.2">
      <c r="A279" t="s">
        <v>1052</v>
      </c>
      <c r="B279" t="s">
        <v>50</v>
      </c>
      <c r="C279" t="s">
        <v>87</v>
      </c>
      <c r="D279" t="s">
        <v>908</v>
      </c>
      <c r="E279" t="s">
        <v>909</v>
      </c>
      <c r="F279" t="s">
        <v>52</v>
      </c>
      <c r="G279">
        <v>69</v>
      </c>
      <c r="H279">
        <v>44</v>
      </c>
      <c r="I279">
        <v>27</v>
      </c>
      <c r="J279">
        <v>140</v>
      </c>
      <c r="K279" s="482">
        <v>0.49299999999999999</v>
      </c>
      <c r="L279" s="482">
        <v>0.314</v>
      </c>
      <c r="M279" s="482">
        <v>0.193</v>
      </c>
    </row>
    <row r="280" spans="1:13" x14ac:dyDescent="0.2">
      <c r="A280" t="s">
        <v>6555</v>
      </c>
      <c r="B280" t="s">
        <v>50</v>
      </c>
      <c r="C280" t="s">
        <v>87</v>
      </c>
      <c r="D280" t="s">
        <v>6551</v>
      </c>
      <c r="E280" t="s">
        <v>6542</v>
      </c>
      <c r="F280" t="s">
        <v>52</v>
      </c>
      <c r="G280" t="s">
        <v>53</v>
      </c>
      <c r="H280" t="s">
        <v>53</v>
      </c>
      <c r="I280" t="s">
        <v>53</v>
      </c>
      <c r="J280" t="s">
        <v>53</v>
      </c>
      <c r="K280" t="s">
        <v>53</v>
      </c>
      <c r="L280" t="s">
        <v>53</v>
      </c>
      <c r="M280" t="s">
        <v>53</v>
      </c>
    </row>
    <row r="281" spans="1:13" x14ac:dyDescent="0.2">
      <c r="A281" t="s">
        <v>1170</v>
      </c>
      <c r="B281" t="s">
        <v>50</v>
      </c>
      <c r="C281" t="s">
        <v>87</v>
      </c>
      <c r="D281" t="s">
        <v>566</v>
      </c>
      <c r="E281" t="s">
        <v>567</v>
      </c>
      <c r="F281" t="s">
        <v>52</v>
      </c>
      <c r="G281">
        <v>46</v>
      </c>
      <c r="H281">
        <v>38</v>
      </c>
      <c r="I281">
        <v>20</v>
      </c>
      <c r="J281">
        <v>104</v>
      </c>
      <c r="K281" s="482">
        <v>0.442</v>
      </c>
      <c r="L281" s="482">
        <v>0.36499999999999999</v>
      </c>
      <c r="M281" s="482">
        <v>0.192</v>
      </c>
    </row>
    <row r="282" spans="1:13" x14ac:dyDescent="0.2">
      <c r="A282" t="s">
        <v>1171</v>
      </c>
      <c r="B282" t="s">
        <v>50</v>
      </c>
      <c r="C282" t="s">
        <v>87</v>
      </c>
      <c r="D282" t="s">
        <v>563</v>
      </c>
      <c r="E282" t="s">
        <v>564</v>
      </c>
      <c r="F282" t="s">
        <v>52</v>
      </c>
      <c r="G282">
        <v>15</v>
      </c>
      <c r="H282">
        <v>11</v>
      </c>
      <c r="I282">
        <v>2</v>
      </c>
      <c r="J282">
        <v>28</v>
      </c>
      <c r="K282" s="482">
        <v>0.53600000000000003</v>
      </c>
      <c r="L282" s="482">
        <v>0.39300000000000002</v>
      </c>
      <c r="M282" s="482">
        <v>7.0999999999999994E-2</v>
      </c>
    </row>
    <row r="283" spans="1:13" x14ac:dyDescent="0.2">
      <c r="A283" t="s">
        <v>1082</v>
      </c>
      <c r="B283" t="s">
        <v>50</v>
      </c>
      <c r="C283" t="s">
        <v>87</v>
      </c>
      <c r="D283" t="s">
        <v>827</v>
      </c>
      <c r="E283" t="s">
        <v>828</v>
      </c>
      <c r="F283" t="s">
        <v>52</v>
      </c>
      <c r="G283">
        <v>177</v>
      </c>
      <c r="H283">
        <v>139</v>
      </c>
      <c r="I283">
        <v>68</v>
      </c>
      <c r="J283">
        <v>384</v>
      </c>
      <c r="K283" s="482">
        <v>0.46100000000000002</v>
      </c>
      <c r="L283" s="482">
        <v>0.36199999999999999</v>
      </c>
      <c r="M283" s="482">
        <v>0.17699999999999999</v>
      </c>
    </row>
    <row r="284" spans="1:13" x14ac:dyDescent="0.2">
      <c r="A284" t="s">
        <v>1083</v>
      </c>
      <c r="B284" t="s">
        <v>50</v>
      </c>
      <c r="C284" t="s">
        <v>87</v>
      </c>
      <c r="D284" t="s">
        <v>824</v>
      </c>
      <c r="E284" t="s">
        <v>825</v>
      </c>
      <c r="F284" t="s">
        <v>52</v>
      </c>
      <c r="G284">
        <v>48</v>
      </c>
      <c r="H284">
        <v>27</v>
      </c>
      <c r="I284">
        <v>16</v>
      </c>
      <c r="J284">
        <v>91</v>
      </c>
      <c r="K284" s="482">
        <v>0.52700000000000002</v>
      </c>
      <c r="L284" s="482">
        <v>0.29699999999999999</v>
      </c>
      <c r="M284" s="482">
        <v>0.17599999999999999</v>
      </c>
    </row>
    <row r="285" spans="1:13" x14ac:dyDescent="0.2">
      <c r="A285" t="s">
        <v>1084</v>
      </c>
      <c r="B285" t="s">
        <v>50</v>
      </c>
      <c r="C285" t="s">
        <v>87</v>
      </c>
      <c r="D285" t="s">
        <v>821</v>
      </c>
      <c r="E285" t="s">
        <v>822</v>
      </c>
      <c r="F285" t="s">
        <v>52</v>
      </c>
      <c r="G285">
        <v>3</v>
      </c>
      <c r="H285">
        <v>1</v>
      </c>
      <c r="I285">
        <v>4</v>
      </c>
      <c r="J285">
        <v>8</v>
      </c>
      <c r="K285" s="482">
        <v>0.375</v>
      </c>
      <c r="L285" s="482">
        <v>0.125</v>
      </c>
      <c r="M285" s="482">
        <v>0.5</v>
      </c>
    </row>
    <row r="286" spans="1:13" x14ac:dyDescent="0.2">
      <c r="A286" t="s">
        <v>1085</v>
      </c>
      <c r="B286" t="s">
        <v>50</v>
      </c>
      <c r="C286" t="s">
        <v>87</v>
      </c>
      <c r="D286" t="s">
        <v>818</v>
      </c>
      <c r="E286" t="s">
        <v>819</v>
      </c>
      <c r="F286" t="s">
        <v>52</v>
      </c>
      <c r="G286">
        <v>123</v>
      </c>
      <c r="H286">
        <v>44</v>
      </c>
      <c r="I286">
        <v>22</v>
      </c>
      <c r="J286">
        <v>189</v>
      </c>
      <c r="K286" s="482">
        <v>0.65100000000000002</v>
      </c>
      <c r="L286" s="482">
        <v>0.23300000000000001</v>
      </c>
      <c r="M286" s="482">
        <v>0.11600000000000001</v>
      </c>
    </row>
    <row r="287" spans="1:13" x14ac:dyDescent="0.2">
      <c r="A287" t="s">
        <v>1086</v>
      </c>
      <c r="B287" t="s">
        <v>50</v>
      </c>
      <c r="C287" t="s">
        <v>87</v>
      </c>
      <c r="D287" t="s">
        <v>815</v>
      </c>
      <c r="E287" t="s">
        <v>816</v>
      </c>
      <c r="F287" t="s">
        <v>52</v>
      </c>
      <c r="G287">
        <v>77</v>
      </c>
      <c r="H287">
        <v>60</v>
      </c>
      <c r="I287">
        <v>40</v>
      </c>
      <c r="J287">
        <v>177</v>
      </c>
      <c r="K287" s="482">
        <v>0.435</v>
      </c>
      <c r="L287" s="482">
        <v>0.33900000000000002</v>
      </c>
      <c r="M287" s="482">
        <v>0.22600000000000001</v>
      </c>
    </row>
    <row r="288" spans="1:13" x14ac:dyDescent="0.2">
      <c r="A288" t="s">
        <v>1087</v>
      </c>
      <c r="B288" t="s">
        <v>50</v>
      </c>
      <c r="C288" t="s">
        <v>87</v>
      </c>
      <c r="D288" t="s">
        <v>812</v>
      </c>
      <c r="E288" t="s">
        <v>813</v>
      </c>
      <c r="F288" t="s">
        <v>52</v>
      </c>
      <c r="G288">
        <v>54</v>
      </c>
      <c r="H288">
        <v>23</v>
      </c>
      <c r="I288">
        <v>10</v>
      </c>
      <c r="J288">
        <v>87</v>
      </c>
      <c r="K288" s="482">
        <v>0.621</v>
      </c>
      <c r="L288" s="482">
        <v>0.26400000000000001</v>
      </c>
      <c r="M288" s="482">
        <v>0.115</v>
      </c>
    </row>
    <row r="289" spans="1:13" x14ac:dyDescent="0.2">
      <c r="A289" t="s">
        <v>1088</v>
      </c>
      <c r="B289" t="s">
        <v>50</v>
      </c>
      <c r="C289" t="s">
        <v>87</v>
      </c>
      <c r="D289" t="s">
        <v>809</v>
      </c>
      <c r="E289" t="s">
        <v>810</v>
      </c>
      <c r="F289" t="s">
        <v>52</v>
      </c>
      <c r="G289">
        <v>78</v>
      </c>
      <c r="H289">
        <v>54</v>
      </c>
      <c r="I289">
        <v>41</v>
      </c>
      <c r="J289">
        <v>173</v>
      </c>
      <c r="K289" s="482">
        <v>0.45100000000000001</v>
      </c>
      <c r="L289" s="482">
        <v>0.312</v>
      </c>
      <c r="M289" s="482">
        <v>0.23699999999999999</v>
      </c>
    </row>
    <row r="290" spans="1:13" x14ac:dyDescent="0.2">
      <c r="A290" t="s">
        <v>1089</v>
      </c>
      <c r="B290" t="s">
        <v>50</v>
      </c>
      <c r="C290" t="s">
        <v>87</v>
      </c>
      <c r="D290" t="s">
        <v>806</v>
      </c>
      <c r="E290" t="s">
        <v>807</v>
      </c>
      <c r="F290" t="s">
        <v>52</v>
      </c>
      <c r="G290">
        <v>24</v>
      </c>
      <c r="H290">
        <v>17</v>
      </c>
      <c r="I290">
        <v>16</v>
      </c>
      <c r="J290">
        <v>57</v>
      </c>
      <c r="K290" s="482">
        <v>0.42099999999999999</v>
      </c>
      <c r="L290" s="482">
        <v>0.29799999999999999</v>
      </c>
      <c r="M290" s="482">
        <v>0.28100000000000003</v>
      </c>
    </row>
    <row r="291" spans="1:13" x14ac:dyDescent="0.2">
      <c r="A291" t="s">
        <v>1090</v>
      </c>
      <c r="B291" t="s">
        <v>50</v>
      </c>
      <c r="C291" t="s">
        <v>87</v>
      </c>
      <c r="D291" t="s">
        <v>803</v>
      </c>
      <c r="E291" t="s">
        <v>804</v>
      </c>
      <c r="F291" t="s">
        <v>52</v>
      </c>
      <c r="G291">
        <v>34</v>
      </c>
      <c r="H291">
        <v>30</v>
      </c>
      <c r="I291">
        <v>13</v>
      </c>
      <c r="J291">
        <v>77</v>
      </c>
      <c r="K291" s="482">
        <v>0.442</v>
      </c>
      <c r="L291" s="482">
        <v>0.39</v>
      </c>
      <c r="M291" s="482">
        <v>0.16900000000000001</v>
      </c>
    </row>
    <row r="292" spans="1:13" x14ac:dyDescent="0.2">
      <c r="A292" t="s">
        <v>1091</v>
      </c>
      <c r="B292" t="s">
        <v>50</v>
      </c>
      <c r="C292" t="s">
        <v>87</v>
      </c>
      <c r="D292" t="s">
        <v>800</v>
      </c>
      <c r="E292" t="s">
        <v>801</v>
      </c>
      <c r="F292" t="s">
        <v>52</v>
      </c>
      <c r="G292">
        <v>48</v>
      </c>
      <c r="H292">
        <v>26</v>
      </c>
      <c r="I292">
        <v>11</v>
      </c>
      <c r="J292">
        <v>85</v>
      </c>
      <c r="K292" s="482">
        <v>0.56499999999999995</v>
      </c>
      <c r="L292" s="482">
        <v>0.30599999999999999</v>
      </c>
      <c r="M292" s="482">
        <v>0.129</v>
      </c>
    </row>
    <row r="293" spans="1:13" x14ac:dyDescent="0.2">
      <c r="A293" t="s">
        <v>1092</v>
      </c>
      <c r="B293" t="s">
        <v>50</v>
      </c>
      <c r="C293" t="s">
        <v>87</v>
      </c>
      <c r="D293" t="s">
        <v>797</v>
      </c>
      <c r="E293" t="s">
        <v>798</v>
      </c>
      <c r="F293" t="s">
        <v>52</v>
      </c>
      <c r="G293" t="s">
        <v>53</v>
      </c>
      <c r="H293" t="s">
        <v>53</v>
      </c>
      <c r="I293">
        <v>0</v>
      </c>
      <c r="J293" t="s">
        <v>53</v>
      </c>
      <c r="K293" t="s">
        <v>53</v>
      </c>
      <c r="L293" t="s">
        <v>53</v>
      </c>
      <c r="M293" t="s">
        <v>53</v>
      </c>
    </row>
    <row r="294" spans="1:13" x14ac:dyDescent="0.2">
      <c r="A294" t="s">
        <v>1093</v>
      </c>
      <c r="B294" t="s">
        <v>50</v>
      </c>
      <c r="C294" t="s">
        <v>87</v>
      </c>
      <c r="D294" t="s">
        <v>794</v>
      </c>
      <c r="E294" t="s">
        <v>795</v>
      </c>
      <c r="F294" t="s">
        <v>52</v>
      </c>
      <c r="G294">
        <v>43</v>
      </c>
      <c r="H294">
        <v>27</v>
      </c>
      <c r="I294">
        <v>12</v>
      </c>
      <c r="J294">
        <v>82</v>
      </c>
      <c r="K294" s="482">
        <v>0.52400000000000002</v>
      </c>
      <c r="L294" s="482">
        <v>0.32900000000000001</v>
      </c>
      <c r="M294" s="482">
        <v>0.14599999999999999</v>
      </c>
    </row>
    <row r="295" spans="1:13" x14ac:dyDescent="0.2">
      <c r="A295" t="s">
        <v>1094</v>
      </c>
      <c r="B295" t="s">
        <v>50</v>
      </c>
      <c r="C295" t="s">
        <v>87</v>
      </c>
      <c r="D295" t="s">
        <v>791</v>
      </c>
      <c r="E295" t="s">
        <v>792</v>
      </c>
      <c r="F295" t="s">
        <v>52</v>
      </c>
      <c r="G295">
        <v>8</v>
      </c>
      <c r="H295">
        <v>4</v>
      </c>
      <c r="I295">
        <v>5</v>
      </c>
      <c r="J295">
        <v>17</v>
      </c>
      <c r="K295" s="482">
        <v>0.47099999999999997</v>
      </c>
      <c r="L295" s="482">
        <v>0.23499999999999999</v>
      </c>
      <c r="M295" s="482">
        <v>0.29399999999999998</v>
      </c>
    </row>
    <row r="296" spans="1:13" x14ac:dyDescent="0.2">
      <c r="A296" t="s">
        <v>1095</v>
      </c>
      <c r="B296" t="s">
        <v>50</v>
      </c>
      <c r="C296" t="s">
        <v>87</v>
      </c>
      <c r="D296" t="s">
        <v>788</v>
      </c>
      <c r="E296" t="s">
        <v>789</v>
      </c>
      <c r="F296" t="s">
        <v>52</v>
      </c>
      <c r="G296">
        <v>22</v>
      </c>
      <c r="H296">
        <v>38</v>
      </c>
      <c r="I296">
        <v>15</v>
      </c>
      <c r="J296">
        <v>75</v>
      </c>
      <c r="K296" s="482">
        <v>0.29299999999999998</v>
      </c>
      <c r="L296" s="482">
        <v>0.50700000000000001</v>
      </c>
      <c r="M296" s="482">
        <v>0.2</v>
      </c>
    </row>
    <row r="297" spans="1:13" x14ac:dyDescent="0.2">
      <c r="A297" t="s">
        <v>1096</v>
      </c>
      <c r="B297" t="s">
        <v>50</v>
      </c>
      <c r="C297" t="s">
        <v>87</v>
      </c>
      <c r="D297" t="s">
        <v>785</v>
      </c>
      <c r="E297" t="s">
        <v>786</v>
      </c>
      <c r="F297" t="s">
        <v>52</v>
      </c>
      <c r="G297">
        <v>127</v>
      </c>
      <c r="H297">
        <v>88</v>
      </c>
      <c r="I297">
        <v>30</v>
      </c>
      <c r="J297">
        <v>245</v>
      </c>
      <c r="K297" s="482">
        <v>0.51800000000000002</v>
      </c>
      <c r="L297" s="482">
        <v>0.35899999999999999</v>
      </c>
      <c r="M297" s="482">
        <v>0.122</v>
      </c>
    </row>
    <row r="298" spans="1:13" x14ac:dyDescent="0.2">
      <c r="A298" t="s">
        <v>1097</v>
      </c>
      <c r="B298" t="s">
        <v>50</v>
      </c>
      <c r="C298" t="s">
        <v>87</v>
      </c>
      <c r="D298" t="s">
        <v>782</v>
      </c>
      <c r="E298" t="s">
        <v>783</v>
      </c>
      <c r="F298" t="s">
        <v>52</v>
      </c>
      <c r="G298">
        <v>12</v>
      </c>
      <c r="H298">
        <v>6</v>
      </c>
      <c r="I298">
        <v>3</v>
      </c>
      <c r="J298">
        <v>21</v>
      </c>
      <c r="K298" s="482">
        <v>0.57099999999999995</v>
      </c>
      <c r="L298" s="482">
        <v>0.28599999999999998</v>
      </c>
      <c r="M298" s="482">
        <v>0.14299999999999999</v>
      </c>
    </row>
    <row r="299" spans="1:13" x14ac:dyDescent="0.2">
      <c r="A299" t="s">
        <v>1098</v>
      </c>
      <c r="B299" t="s">
        <v>50</v>
      </c>
      <c r="C299" t="s">
        <v>87</v>
      </c>
      <c r="D299" t="s">
        <v>779</v>
      </c>
      <c r="E299" t="s">
        <v>780</v>
      </c>
      <c r="F299" t="s">
        <v>52</v>
      </c>
      <c r="G299">
        <v>18</v>
      </c>
      <c r="H299">
        <v>11</v>
      </c>
      <c r="I299">
        <v>5</v>
      </c>
      <c r="J299">
        <v>34</v>
      </c>
      <c r="K299" s="482">
        <v>0.52900000000000003</v>
      </c>
      <c r="L299" s="482">
        <v>0.32400000000000001</v>
      </c>
      <c r="M299" s="482">
        <v>0.14699999999999999</v>
      </c>
    </row>
    <row r="300" spans="1:13" x14ac:dyDescent="0.2">
      <c r="A300" t="s">
        <v>1099</v>
      </c>
      <c r="B300" t="s">
        <v>50</v>
      </c>
      <c r="C300" t="s">
        <v>87</v>
      </c>
      <c r="D300" t="s">
        <v>776</v>
      </c>
      <c r="E300" t="s">
        <v>777</v>
      </c>
      <c r="F300" t="s">
        <v>52</v>
      </c>
      <c r="G300">
        <v>13</v>
      </c>
      <c r="H300">
        <v>5</v>
      </c>
      <c r="I300">
        <v>3</v>
      </c>
      <c r="J300">
        <v>21</v>
      </c>
      <c r="K300" s="482">
        <v>0.61899999999999999</v>
      </c>
      <c r="L300" s="482">
        <v>0.23799999999999999</v>
      </c>
      <c r="M300" s="482">
        <v>0.14299999999999999</v>
      </c>
    </row>
    <row r="301" spans="1:13" x14ac:dyDescent="0.2">
      <c r="A301" t="s">
        <v>1100</v>
      </c>
      <c r="B301" t="s">
        <v>50</v>
      </c>
      <c r="C301" t="s">
        <v>87</v>
      </c>
      <c r="D301" t="s">
        <v>773</v>
      </c>
      <c r="E301" t="s">
        <v>774</v>
      </c>
      <c r="F301" t="s">
        <v>52</v>
      </c>
      <c r="G301">
        <v>19</v>
      </c>
      <c r="H301">
        <v>18</v>
      </c>
      <c r="I301">
        <v>13</v>
      </c>
      <c r="J301">
        <v>50</v>
      </c>
      <c r="K301" s="482">
        <v>0.38</v>
      </c>
      <c r="L301" s="482">
        <v>0.36</v>
      </c>
      <c r="M301" s="482">
        <v>0.26</v>
      </c>
    </row>
    <row r="302" spans="1:13" x14ac:dyDescent="0.2">
      <c r="A302" t="s">
        <v>1101</v>
      </c>
      <c r="B302" t="s">
        <v>50</v>
      </c>
      <c r="C302" t="s">
        <v>87</v>
      </c>
      <c r="D302" t="s">
        <v>770</v>
      </c>
      <c r="E302" t="s">
        <v>771</v>
      </c>
      <c r="F302" t="s">
        <v>52</v>
      </c>
      <c r="G302">
        <v>69</v>
      </c>
      <c r="H302">
        <v>27</v>
      </c>
      <c r="I302">
        <v>10</v>
      </c>
      <c r="J302">
        <v>106</v>
      </c>
      <c r="K302" s="482">
        <v>0.65100000000000002</v>
      </c>
      <c r="L302" s="482">
        <v>0.255</v>
      </c>
      <c r="M302" s="482">
        <v>9.4E-2</v>
      </c>
    </row>
    <row r="303" spans="1:13" x14ac:dyDescent="0.2">
      <c r="A303" t="s">
        <v>1114</v>
      </c>
      <c r="B303" t="s">
        <v>50</v>
      </c>
      <c r="C303" t="s">
        <v>87</v>
      </c>
      <c r="D303" t="s">
        <v>728</v>
      </c>
      <c r="E303" t="s">
        <v>729</v>
      </c>
      <c r="F303" t="s">
        <v>52</v>
      </c>
      <c r="G303">
        <v>3</v>
      </c>
      <c r="H303">
        <v>4</v>
      </c>
      <c r="I303">
        <v>3</v>
      </c>
      <c r="J303">
        <v>10</v>
      </c>
      <c r="K303" s="482">
        <v>0.3</v>
      </c>
      <c r="L303" s="482">
        <v>0.4</v>
      </c>
      <c r="M303" s="482">
        <v>0.3</v>
      </c>
    </row>
    <row r="304" spans="1:13" x14ac:dyDescent="0.2">
      <c r="A304" t="s">
        <v>1108</v>
      </c>
      <c r="B304" t="s">
        <v>50</v>
      </c>
      <c r="C304" t="s">
        <v>87</v>
      </c>
      <c r="D304" t="s">
        <v>749</v>
      </c>
      <c r="E304" t="s">
        <v>750</v>
      </c>
      <c r="F304" t="s">
        <v>52</v>
      </c>
      <c r="G304">
        <v>39</v>
      </c>
      <c r="H304">
        <v>10</v>
      </c>
      <c r="I304">
        <v>11</v>
      </c>
      <c r="J304">
        <v>60</v>
      </c>
      <c r="K304" s="482">
        <v>0.65</v>
      </c>
      <c r="L304" s="482">
        <v>0.16700000000000001</v>
      </c>
      <c r="M304" s="482">
        <v>0.183</v>
      </c>
    </row>
    <row r="305" spans="1:13" x14ac:dyDescent="0.2">
      <c r="A305" t="s">
        <v>1109</v>
      </c>
      <c r="B305" t="s">
        <v>50</v>
      </c>
      <c r="C305" t="s">
        <v>87</v>
      </c>
      <c r="D305" t="s">
        <v>746</v>
      </c>
      <c r="E305" t="s">
        <v>747</v>
      </c>
      <c r="F305" t="s">
        <v>52</v>
      </c>
      <c r="G305">
        <v>6</v>
      </c>
      <c r="H305">
        <v>6</v>
      </c>
      <c r="I305">
        <v>3</v>
      </c>
      <c r="J305">
        <v>15</v>
      </c>
      <c r="K305" s="482">
        <v>0.4</v>
      </c>
      <c r="L305" s="482">
        <v>0.4</v>
      </c>
      <c r="M305" s="482">
        <v>0.2</v>
      </c>
    </row>
    <row r="306" spans="1:13" x14ac:dyDescent="0.2">
      <c r="A306" t="s">
        <v>1110</v>
      </c>
      <c r="B306" t="s">
        <v>50</v>
      </c>
      <c r="C306" t="s">
        <v>87</v>
      </c>
      <c r="D306" t="s">
        <v>743</v>
      </c>
      <c r="E306" t="s">
        <v>744</v>
      </c>
      <c r="F306" t="s">
        <v>52</v>
      </c>
      <c r="G306">
        <v>67</v>
      </c>
      <c r="H306">
        <v>50</v>
      </c>
      <c r="I306">
        <v>25</v>
      </c>
      <c r="J306">
        <v>142</v>
      </c>
      <c r="K306" s="482">
        <v>0.47199999999999998</v>
      </c>
      <c r="L306" s="482">
        <v>0.35199999999999998</v>
      </c>
      <c r="M306" s="482">
        <v>0.17599999999999999</v>
      </c>
    </row>
    <row r="307" spans="1:13" x14ac:dyDescent="0.2">
      <c r="A307" t="s">
        <v>1111</v>
      </c>
      <c r="B307" t="s">
        <v>50</v>
      </c>
      <c r="C307" t="s">
        <v>87</v>
      </c>
      <c r="D307" t="s">
        <v>740</v>
      </c>
      <c r="E307" t="s">
        <v>741</v>
      </c>
      <c r="F307" t="s">
        <v>52</v>
      </c>
      <c r="G307">
        <v>10</v>
      </c>
      <c r="H307">
        <v>7</v>
      </c>
      <c r="I307">
        <v>7</v>
      </c>
      <c r="J307">
        <v>24</v>
      </c>
      <c r="K307" s="482">
        <v>0.41699999999999998</v>
      </c>
      <c r="L307" s="482">
        <v>0.29199999999999998</v>
      </c>
      <c r="M307" s="482">
        <v>0.29199999999999998</v>
      </c>
    </row>
    <row r="308" spans="1:13" x14ac:dyDescent="0.2">
      <c r="A308" t="s">
        <v>1130</v>
      </c>
      <c r="B308" t="s">
        <v>50</v>
      </c>
      <c r="C308" t="s">
        <v>87</v>
      </c>
      <c r="D308" t="s">
        <v>681</v>
      </c>
      <c r="E308" t="s">
        <v>336</v>
      </c>
      <c r="F308" t="s">
        <v>52</v>
      </c>
      <c r="G308">
        <v>114</v>
      </c>
      <c r="H308">
        <v>54</v>
      </c>
      <c r="I308">
        <v>35</v>
      </c>
      <c r="J308">
        <v>203</v>
      </c>
      <c r="K308" s="482">
        <v>0.56200000000000006</v>
      </c>
      <c r="L308" s="482">
        <v>0.26600000000000001</v>
      </c>
      <c r="M308" s="482">
        <v>0.17199999999999999</v>
      </c>
    </row>
    <row r="309" spans="1:13" x14ac:dyDescent="0.2">
      <c r="A309" t="s">
        <v>1131</v>
      </c>
      <c r="B309" t="s">
        <v>50</v>
      </c>
      <c r="C309" t="s">
        <v>87</v>
      </c>
      <c r="D309" t="s">
        <v>678</v>
      </c>
      <c r="E309" t="s">
        <v>679</v>
      </c>
      <c r="F309" t="s">
        <v>52</v>
      </c>
      <c r="G309">
        <v>351</v>
      </c>
      <c r="H309">
        <v>176</v>
      </c>
      <c r="I309">
        <v>80</v>
      </c>
      <c r="J309">
        <v>607</v>
      </c>
      <c r="K309" s="482">
        <v>0.57799999999999996</v>
      </c>
      <c r="L309" s="482">
        <v>0.28999999999999998</v>
      </c>
      <c r="M309" s="482">
        <v>0.13200000000000001</v>
      </c>
    </row>
    <row r="310" spans="1:13" x14ac:dyDescent="0.2">
      <c r="A310" t="s">
        <v>1115</v>
      </c>
      <c r="B310" t="s">
        <v>50</v>
      </c>
      <c r="C310" t="s">
        <v>87</v>
      </c>
      <c r="D310" t="s">
        <v>725</v>
      </c>
      <c r="E310" t="s">
        <v>726</v>
      </c>
      <c r="F310" t="s">
        <v>52</v>
      </c>
      <c r="G310">
        <v>45</v>
      </c>
      <c r="H310">
        <v>27</v>
      </c>
      <c r="I310">
        <v>16</v>
      </c>
      <c r="J310">
        <v>88</v>
      </c>
      <c r="K310" s="482">
        <v>0.51100000000000001</v>
      </c>
      <c r="L310" s="482">
        <v>0.307</v>
      </c>
      <c r="M310" s="482">
        <v>0.182</v>
      </c>
    </row>
    <row r="311" spans="1:13" x14ac:dyDescent="0.2">
      <c r="A311" t="s">
        <v>1116</v>
      </c>
      <c r="B311" t="s">
        <v>50</v>
      </c>
      <c r="C311" t="s">
        <v>87</v>
      </c>
      <c r="D311" t="s">
        <v>722</v>
      </c>
      <c r="E311" t="s">
        <v>723</v>
      </c>
      <c r="F311" t="s">
        <v>52</v>
      </c>
      <c r="G311">
        <v>30</v>
      </c>
      <c r="H311">
        <v>16</v>
      </c>
      <c r="I311">
        <v>7</v>
      </c>
      <c r="J311">
        <v>53</v>
      </c>
      <c r="K311" s="482">
        <v>0.56599999999999995</v>
      </c>
      <c r="L311" s="482">
        <v>0.30199999999999999</v>
      </c>
      <c r="M311" s="482">
        <v>0.13200000000000001</v>
      </c>
    </row>
    <row r="312" spans="1:13" x14ac:dyDescent="0.2">
      <c r="A312" t="s">
        <v>1117</v>
      </c>
      <c r="B312" t="s">
        <v>50</v>
      </c>
      <c r="C312" t="s">
        <v>87</v>
      </c>
      <c r="D312" t="s">
        <v>719</v>
      </c>
      <c r="E312" t="s">
        <v>720</v>
      </c>
      <c r="F312" t="s">
        <v>52</v>
      </c>
      <c r="G312">
        <v>28</v>
      </c>
      <c r="H312">
        <v>21</v>
      </c>
      <c r="I312">
        <v>10</v>
      </c>
      <c r="J312">
        <v>59</v>
      </c>
      <c r="K312" s="482">
        <v>0.47499999999999998</v>
      </c>
      <c r="L312" s="482">
        <v>0.35599999999999998</v>
      </c>
      <c r="M312" s="482">
        <v>0.16900000000000001</v>
      </c>
    </row>
    <row r="313" spans="1:13" x14ac:dyDescent="0.2">
      <c r="A313" t="s">
        <v>1118</v>
      </c>
      <c r="B313" t="s">
        <v>50</v>
      </c>
      <c r="C313" t="s">
        <v>87</v>
      </c>
      <c r="D313" t="s">
        <v>716</v>
      </c>
      <c r="E313" t="s">
        <v>717</v>
      </c>
      <c r="F313" t="s">
        <v>52</v>
      </c>
      <c r="G313">
        <v>5</v>
      </c>
      <c r="H313">
        <v>1</v>
      </c>
      <c r="I313">
        <v>1</v>
      </c>
      <c r="J313">
        <v>7</v>
      </c>
      <c r="K313" s="482">
        <v>0.71399999999999997</v>
      </c>
      <c r="L313" s="482">
        <v>0.14299999999999999</v>
      </c>
      <c r="M313" s="482">
        <v>0.14299999999999999</v>
      </c>
    </row>
    <row r="314" spans="1:13" x14ac:dyDescent="0.2">
      <c r="A314" t="s">
        <v>1119</v>
      </c>
      <c r="B314" t="s">
        <v>50</v>
      </c>
      <c r="C314" t="s">
        <v>87</v>
      </c>
      <c r="D314" t="s">
        <v>713</v>
      </c>
      <c r="E314" t="s">
        <v>714</v>
      </c>
      <c r="F314" t="s">
        <v>52</v>
      </c>
      <c r="G314">
        <v>223</v>
      </c>
      <c r="H314">
        <v>89</v>
      </c>
      <c r="I314">
        <v>51</v>
      </c>
      <c r="J314">
        <v>363</v>
      </c>
      <c r="K314" s="482">
        <v>0.61399999999999999</v>
      </c>
      <c r="L314" s="482">
        <v>0.245</v>
      </c>
      <c r="M314" s="482">
        <v>0.14000000000000001</v>
      </c>
    </row>
    <row r="315" spans="1:13" x14ac:dyDescent="0.2">
      <c r="A315" t="s">
        <v>1120</v>
      </c>
      <c r="B315" t="s">
        <v>50</v>
      </c>
      <c r="C315" t="s">
        <v>87</v>
      </c>
      <c r="D315" t="s">
        <v>710</v>
      </c>
      <c r="E315" t="s">
        <v>711</v>
      </c>
      <c r="F315" t="s">
        <v>52</v>
      </c>
      <c r="G315">
        <v>64</v>
      </c>
      <c r="H315">
        <v>28</v>
      </c>
      <c r="I315">
        <v>14</v>
      </c>
      <c r="J315">
        <v>106</v>
      </c>
      <c r="K315" s="482">
        <v>0.60399999999999998</v>
      </c>
      <c r="L315" s="482">
        <v>0.26400000000000001</v>
      </c>
      <c r="M315" s="482">
        <v>0.13200000000000001</v>
      </c>
    </row>
    <row r="316" spans="1:13" x14ac:dyDescent="0.2">
      <c r="A316" t="s">
        <v>1121</v>
      </c>
      <c r="B316" t="s">
        <v>50</v>
      </c>
      <c r="C316" t="s">
        <v>87</v>
      </c>
      <c r="D316" t="s">
        <v>707</v>
      </c>
      <c r="E316" t="s">
        <v>708</v>
      </c>
      <c r="F316" t="s">
        <v>52</v>
      </c>
      <c r="G316">
        <v>32</v>
      </c>
      <c r="H316">
        <v>10</v>
      </c>
      <c r="I316">
        <v>7</v>
      </c>
      <c r="J316">
        <v>49</v>
      </c>
      <c r="K316" s="482">
        <v>0.65300000000000002</v>
      </c>
      <c r="L316" s="482">
        <v>0.20399999999999999</v>
      </c>
      <c r="M316" s="482">
        <v>0.14299999999999999</v>
      </c>
    </row>
    <row r="317" spans="1:13" x14ac:dyDescent="0.2">
      <c r="A317" t="s">
        <v>1122</v>
      </c>
      <c r="B317" t="s">
        <v>50</v>
      </c>
      <c r="C317" t="s">
        <v>87</v>
      </c>
      <c r="D317" t="s">
        <v>704</v>
      </c>
      <c r="E317" t="s">
        <v>705</v>
      </c>
      <c r="F317" t="s">
        <v>52</v>
      </c>
      <c r="G317">
        <v>8</v>
      </c>
      <c r="H317">
        <v>7</v>
      </c>
      <c r="I317">
        <v>2</v>
      </c>
      <c r="J317">
        <v>17</v>
      </c>
      <c r="K317" s="482">
        <v>0.47099999999999997</v>
      </c>
      <c r="L317" s="482">
        <v>0.41199999999999998</v>
      </c>
      <c r="M317" s="482">
        <v>0.11799999999999999</v>
      </c>
    </row>
    <row r="318" spans="1:13" x14ac:dyDescent="0.2">
      <c r="A318" t="s">
        <v>1123</v>
      </c>
      <c r="B318" t="s">
        <v>50</v>
      </c>
      <c r="C318" t="s">
        <v>87</v>
      </c>
      <c r="D318" t="s">
        <v>701</v>
      </c>
      <c r="E318" t="s">
        <v>702</v>
      </c>
      <c r="F318" t="s">
        <v>52</v>
      </c>
      <c r="G318">
        <v>56</v>
      </c>
      <c r="H318">
        <v>22</v>
      </c>
      <c r="I318">
        <v>12</v>
      </c>
      <c r="J318">
        <v>90</v>
      </c>
      <c r="K318" s="482">
        <v>0.622</v>
      </c>
      <c r="L318" s="482">
        <v>0.24399999999999999</v>
      </c>
      <c r="M318" s="482">
        <v>0.13300000000000001</v>
      </c>
    </row>
    <row r="319" spans="1:13" x14ac:dyDescent="0.2">
      <c r="A319" t="s">
        <v>1124</v>
      </c>
      <c r="B319" t="s">
        <v>50</v>
      </c>
      <c r="C319" t="s">
        <v>87</v>
      </c>
      <c r="D319" t="s">
        <v>698</v>
      </c>
      <c r="E319" t="s">
        <v>699</v>
      </c>
      <c r="F319" t="s">
        <v>52</v>
      </c>
      <c r="G319">
        <v>59</v>
      </c>
      <c r="H319">
        <v>43</v>
      </c>
      <c r="I319">
        <v>22</v>
      </c>
      <c r="J319">
        <v>124</v>
      </c>
      <c r="K319" s="482">
        <v>0.47599999999999998</v>
      </c>
      <c r="L319" s="482">
        <v>0.34699999999999998</v>
      </c>
      <c r="M319" s="482">
        <v>0.17699999999999999</v>
      </c>
    </row>
    <row r="320" spans="1:13" x14ac:dyDescent="0.2">
      <c r="A320" t="s">
        <v>1125</v>
      </c>
      <c r="B320" t="s">
        <v>50</v>
      </c>
      <c r="C320" t="s">
        <v>87</v>
      </c>
      <c r="D320" t="s">
        <v>695</v>
      </c>
      <c r="E320" t="s">
        <v>696</v>
      </c>
      <c r="F320" t="s">
        <v>52</v>
      </c>
      <c r="G320">
        <v>5</v>
      </c>
      <c r="H320">
        <v>4</v>
      </c>
      <c r="I320">
        <v>7</v>
      </c>
      <c r="J320">
        <v>16</v>
      </c>
      <c r="K320" s="482">
        <v>0.313</v>
      </c>
      <c r="L320" s="482">
        <v>0.25</v>
      </c>
      <c r="M320" s="482">
        <v>0.438</v>
      </c>
    </row>
    <row r="321" spans="1:13" x14ac:dyDescent="0.2">
      <c r="A321" t="s">
        <v>1126</v>
      </c>
      <c r="B321" t="s">
        <v>50</v>
      </c>
      <c r="C321" t="s">
        <v>87</v>
      </c>
      <c r="D321" t="s">
        <v>692</v>
      </c>
      <c r="E321" t="s">
        <v>693</v>
      </c>
      <c r="F321" t="s">
        <v>52</v>
      </c>
      <c r="G321">
        <v>39</v>
      </c>
      <c r="H321">
        <v>27</v>
      </c>
      <c r="I321">
        <v>21</v>
      </c>
      <c r="J321">
        <v>87</v>
      </c>
      <c r="K321" s="482">
        <v>0.44800000000000001</v>
      </c>
      <c r="L321" s="482">
        <v>0.31</v>
      </c>
      <c r="M321" s="482">
        <v>0.24099999999999999</v>
      </c>
    </row>
    <row r="322" spans="1:13" x14ac:dyDescent="0.2">
      <c r="A322" t="s">
        <v>1127</v>
      </c>
      <c r="B322" t="s">
        <v>50</v>
      </c>
      <c r="C322" t="s">
        <v>87</v>
      </c>
      <c r="D322" t="s">
        <v>689</v>
      </c>
      <c r="E322" t="s">
        <v>690</v>
      </c>
      <c r="F322" t="s">
        <v>52</v>
      </c>
      <c r="G322">
        <v>7</v>
      </c>
      <c r="H322">
        <v>1</v>
      </c>
      <c r="I322">
        <v>4</v>
      </c>
      <c r="J322">
        <v>12</v>
      </c>
      <c r="K322" s="482">
        <v>0.58299999999999996</v>
      </c>
      <c r="L322" s="482">
        <v>8.3000000000000004E-2</v>
      </c>
      <c r="M322" s="482">
        <v>0.33300000000000002</v>
      </c>
    </row>
    <row r="323" spans="1:13" x14ac:dyDescent="0.2">
      <c r="A323" t="s">
        <v>1128</v>
      </c>
      <c r="B323" t="s">
        <v>50</v>
      </c>
      <c r="C323" t="s">
        <v>87</v>
      </c>
      <c r="D323" t="s">
        <v>686</v>
      </c>
      <c r="E323" t="s">
        <v>687</v>
      </c>
      <c r="F323" t="s">
        <v>52</v>
      </c>
      <c r="G323">
        <v>18</v>
      </c>
      <c r="H323">
        <v>12</v>
      </c>
      <c r="I323">
        <v>12</v>
      </c>
      <c r="J323">
        <v>42</v>
      </c>
      <c r="K323" s="482">
        <v>0.42899999999999999</v>
      </c>
      <c r="L323" s="482">
        <v>0.28599999999999998</v>
      </c>
      <c r="M323" s="482">
        <v>0.28599999999999998</v>
      </c>
    </row>
    <row r="324" spans="1:13" x14ac:dyDescent="0.2">
      <c r="A324" t="s">
        <v>1129</v>
      </c>
      <c r="B324" t="s">
        <v>50</v>
      </c>
      <c r="C324" t="s">
        <v>87</v>
      </c>
      <c r="D324" t="s">
        <v>683</v>
      </c>
      <c r="E324" t="s">
        <v>684</v>
      </c>
      <c r="F324" t="s">
        <v>52</v>
      </c>
      <c r="G324">
        <v>67</v>
      </c>
      <c r="H324">
        <v>56</v>
      </c>
      <c r="I324">
        <v>23</v>
      </c>
      <c r="J324">
        <v>146</v>
      </c>
      <c r="K324" s="482">
        <v>0.45900000000000002</v>
      </c>
      <c r="L324" s="482">
        <v>0.38400000000000001</v>
      </c>
      <c r="M324" s="482">
        <v>0.158</v>
      </c>
    </row>
    <row r="325" spans="1:13" x14ac:dyDescent="0.2">
      <c r="A325" t="s">
        <v>1156</v>
      </c>
      <c r="B325" t="s">
        <v>50</v>
      </c>
      <c r="C325" t="s">
        <v>87</v>
      </c>
      <c r="D325" t="s">
        <v>607</v>
      </c>
      <c r="E325" t="s">
        <v>608</v>
      </c>
      <c r="F325" t="s">
        <v>52</v>
      </c>
      <c r="G325">
        <v>10</v>
      </c>
      <c r="H325">
        <v>4</v>
      </c>
      <c r="I325">
        <v>4</v>
      </c>
      <c r="J325">
        <v>18</v>
      </c>
      <c r="K325" s="482">
        <v>0.55600000000000005</v>
      </c>
      <c r="L325" s="482">
        <v>0.222</v>
      </c>
      <c r="M325" s="482">
        <v>0.222</v>
      </c>
    </row>
    <row r="326" spans="1:13" x14ac:dyDescent="0.2">
      <c r="A326" t="s">
        <v>1157</v>
      </c>
      <c r="B326" t="s">
        <v>50</v>
      </c>
      <c r="C326" t="s">
        <v>87</v>
      </c>
      <c r="D326" t="s">
        <v>604</v>
      </c>
      <c r="E326" t="s">
        <v>605</v>
      </c>
      <c r="F326" t="s">
        <v>52</v>
      </c>
      <c r="G326">
        <v>39</v>
      </c>
      <c r="H326">
        <v>22</v>
      </c>
      <c r="I326">
        <v>16</v>
      </c>
      <c r="J326">
        <v>77</v>
      </c>
      <c r="K326" s="482">
        <v>0.50600000000000001</v>
      </c>
      <c r="L326" s="482">
        <v>0.28599999999999998</v>
      </c>
      <c r="M326" s="482">
        <v>0.20799999999999999</v>
      </c>
    </row>
    <row r="327" spans="1:13" x14ac:dyDescent="0.2">
      <c r="A327" t="s">
        <v>1158</v>
      </c>
      <c r="B327" t="s">
        <v>50</v>
      </c>
      <c r="C327" t="s">
        <v>87</v>
      </c>
      <c r="D327" t="s">
        <v>601</v>
      </c>
      <c r="E327" t="s">
        <v>602</v>
      </c>
      <c r="F327" t="s">
        <v>52</v>
      </c>
      <c r="G327">
        <v>28</v>
      </c>
      <c r="H327">
        <v>17</v>
      </c>
      <c r="I327">
        <v>13</v>
      </c>
      <c r="J327">
        <v>58</v>
      </c>
      <c r="K327" s="482">
        <v>0.48299999999999998</v>
      </c>
      <c r="L327" s="482">
        <v>0.29299999999999998</v>
      </c>
      <c r="M327" s="482">
        <v>0.224</v>
      </c>
    </row>
    <row r="328" spans="1:13" x14ac:dyDescent="0.2">
      <c r="A328" t="s">
        <v>1159</v>
      </c>
      <c r="B328" t="s">
        <v>50</v>
      </c>
      <c r="C328" t="s">
        <v>87</v>
      </c>
      <c r="D328" t="s">
        <v>598</v>
      </c>
      <c r="E328" t="s">
        <v>599</v>
      </c>
      <c r="F328" t="s">
        <v>52</v>
      </c>
      <c r="G328">
        <v>146</v>
      </c>
      <c r="H328">
        <v>79</v>
      </c>
      <c r="I328">
        <v>46</v>
      </c>
      <c r="J328">
        <v>271</v>
      </c>
      <c r="K328" s="482">
        <v>0.53900000000000003</v>
      </c>
      <c r="L328" s="482">
        <v>0.29199999999999998</v>
      </c>
      <c r="M328" s="482">
        <v>0.17</v>
      </c>
    </row>
    <row r="329" spans="1:13" x14ac:dyDescent="0.2">
      <c r="A329" t="s">
        <v>1160</v>
      </c>
      <c r="B329" t="s">
        <v>50</v>
      </c>
      <c r="C329" t="s">
        <v>87</v>
      </c>
      <c r="D329" t="s">
        <v>595</v>
      </c>
      <c r="E329" t="s">
        <v>596</v>
      </c>
      <c r="F329" t="s">
        <v>52</v>
      </c>
      <c r="G329">
        <v>12</v>
      </c>
      <c r="H329">
        <v>12</v>
      </c>
      <c r="I329">
        <v>5</v>
      </c>
      <c r="J329">
        <v>29</v>
      </c>
      <c r="K329" s="482">
        <v>0.41399999999999998</v>
      </c>
      <c r="L329" s="482">
        <v>0.41399999999999998</v>
      </c>
      <c r="M329" s="482">
        <v>0.17199999999999999</v>
      </c>
    </row>
    <row r="330" spans="1:13" x14ac:dyDescent="0.2">
      <c r="A330" t="s">
        <v>1161</v>
      </c>
      <c r="B330" t="s">
        <v>50</v>
      </c>
      <c r="C330" t="s">
        <v>87</v>
      </c>
      <c r="D330" t="s">
        <v>592</v>
      </c>
      <c r="E330" t="s">
        <v>593</v>
      </c>
      <c r="F330" t="s">
        <v>52</v>
      </c>
      <c r="G330">
        <v>104</v>
      </c>
      <c r="H330">
        <v>55</v>
      </c>
      <c r="I330">
        <v>32</v>
      </c>
      <c r="J330">
        <v>191</v>
      </c>
      <c r="K330" s="482">
        <v>0.54500000000000004</v>
      </c>
      <c r="L330" s="482">
        <v>0.28799999999999998</v>
      </c>
      <c r="M330" s="482">
        <v>0.16800000000000001</v>
      </c>
    </row>
    <row r="331" spans="1:13" x14ac:dyDescent="0.2">
      <c r="A331" t="s">
        <v>1113</v>
      </c>
      <c r="B331" t="s">
        <v>50</v>
      </c>
      <c r="C331" t="s">
        <v>87</v>
      </c>
      <c r="D331" t="s">
        <v>734</v>
      </c>
      <c r="E331" t="s">
        <v>735</v>
      </c>
      <c r="F331" t="s">
        <v>52</v>
      </c>
      <c r="G331">
        <v>52</v>
      </c>
      <c r="H331">
        <v>28</v>
      </c>
      <c r="I331">
        <v>16</v>
      </c>
      <c r="J331">
        <v>96</v>
      </c>
      <c r="K331" s="482">
        <v>0.54200000000000004</v>
      </c>
      <c r="L331" s="482">
        <v>0.29199999999999998</v>
      </c>
      <c r="M331" s="482">
        <v>0.16700000000000001</v>
      </c>
    </row>
    <row r="332" spans="1:13" x14ac:dyDescent="0.2">
      <c r="A332" t="s">
        <v>1073</v>
      </c>
      <c r="B332" t="s">
        <v>50</v>
      </c>
      <c r="C332" t="s">
        <v>87</v>
      </c>
      <c r="D332" t="s">
        <v>731</v>
      </c>
      <c r="E332" t="s">
        <v>732</v>
      </c>
      <c r="F332" t="s">
        <v>52</v>
      </c>
      <c r="G332">
        <v>12</v>
      </c>
      <c r="H332">
        <v>1</v>
      </c>
      <c r="I332">
        <v>5</v>
      </c>
      <c r="J332">
        <v>18</v>
      </c>
      <c r="K332" s="482">
        <v>0.66700000000000004</v>
      </c>
      <c r="L332" s="482">
        <v>5.6000000000000001E-2</v>
      </c>
      <c r="M332" s="482">
        <v>0.27800000000000002</v>
      </c>
    </row>
    <row r="333" spans="1:13" x14ac:dyDescent="0.2">
      <c r="A333" t="s">
        <v>1025</v>
      </c>
      <c r="B333" t="s">
        <v>50</v>
      </c>
      <c r="C333" t="s">
        <v>87</v>
      </c>
      <c r="D333" t="s">
        <v>989</v>
      </c>
      <c r="E333" t="s">
        <v>990</v>
      </c>
      <c r="F333" t="s">
        <v>52</v>
      </c>
      <c r="G333">
        <v>4</v>
      </c>
      <c r="H333">
        <v>4</v>
      </c>
      <c r="I333">
        <v>5</v>
      </c>
      <c r="J333">
        <v>13</v>
      </c>
      <c r="K333" s="482">
        <v>0.308</v>
      </c>
      <c r="L333" s="482">
        <v>0.308</v>
      </c>
      <c r="M333" s="482">
        <v>0.38500000000000001</v>
      </c>
    </row>
    <row r="334" spans="1:13" x14ac:dyDescent="0.2">
      <c r="A334" t="s">
        <v>1026</v>
      </c>
      <c r="B334" t="s">
        <v>50</v>
      </c>
      <c r="C334" t="s">
        <v>87</v>
      </c>
      <c r="D334" t="s">
        <v>986</v>
      </c>
      <c r="E334" t="s">
        <v>987</v>
      </c>
      <c r="F334" t="s">
        <v>52</v>
      </c>
      <c r="G334">
        <v>26</v>
      </c>
      <c r="H334">
        <v>25</v>
      </c>
      <c r="I334">
        <v>9</v>
      </c>
      <c r="J334">
        <v>60</v>
      </c>
      <c r="K334" s="482">
        <v>0.433</v>
      </c>
      <c r="L334" s="482">
        <v>0.41699999999999998</v>
      </c>
      <c r="M334" s="482">
        <v>0.15</v>
      </c>
    </row>
    <row r="335" spans="1:13" x14ac:dyDescent="0.2">
      <c r="A335" t="s">
        <v>1027</v>
      </c>
      <c r="B335" t="s">
        <v>50</v>
      </c>
      <c r="C335" t="s">
        <v>87</v>
      </c>
      <c r="D335" t="s">
        <v>983</v>
      </c>
      <c r="E335" t="s">
        <v>984</v>
      </c>
      <c r="F335" t="s">
        <v>52</v>
      </c>
      <c r="G335">
        <v>39</v>
      </c>
      <c r="H335">
        <v>17</v>
      </c>
      <c r="I335">
        <v>17</v>
      </c>
      <c r="J335">
        <v>73</v>
      </c>
      <c r="K335" s="482">
        <v>0.53400000000000003</v>
      </c>
      <c r="L335" s="482">
        <v>0.23300000000000001</v>
      </c>
      <c r="M335" s="482">
        <v>0.23300000000000001</v>
      </c>
    </row>
    <row r="336" spans="1:13" x14ac:dyDescent="0.2">
      <c r="A336" t="s">
        <v>1028</v>
      </c>
      <c r="B336" t="s">
        <v>50</v>
      </c>
      <c r="C336" t="s">
        <v>87</v>
      </c>
      <c r="D336" t="s">
        <v>980</v>
      </c>
      <c r="E336" t="s">
        <v>981</v>
      </c>
      <c r="F336" t="s">
        <v>52</v>
      </c>
      <c r="G336">
        <v>64</v>
      </c>
      <c r="H336">
        <v>38</v>
      </c>
      <c r="I336">
        <v>35</v>
      </c>
      <c r="J336">
        <v>137</v>
      </c>
      <c r="K336" s="482">
        <v>0.46700000000000003</v>
      </c>
      <c r="L336" s="482">
        <v>0.27700000000000002</v>
      </c>
      <c r="M336" s="482">
        <v>0.255</v>
      </c>
    </row>
    <row r="337" spans="1:13" x14ac:dyDescent="0.2">
      <c r="A337" t="s">
        <v>1029</v>
      </c>
      <c r="B337" t="s">
        <v>50</v>
      </c>
      <c r="C337" t="s">
        <v>87</v>
      </c>
      <c r="D337" t="s">
        <v>977</v>
      </c>
      <c r="E337" t="s">
        <v>978</v>
      </c>
      <c r="F337" t="s">
        <v>52</v>
      </c>
      <c r="G337">
        <v>29</v>
      </c>
      <c r="H337">
        <v>11</v>
      </c>
      <c r="I337">
        <v>6</v>
      </c>
      <c r="J337">
        <v>46</v>
      </c>
      <c r="K337" s="482">
        <v>0.63</v>
      </c>
      <c r="L337" s="482">
        <v>0.23899999999999999</v>
      </c>
      <c r="M337" s="482">
        <v>0.13</v>
      </c>
    </row>
    <row r="338" spans="1:13" x14ac:dyDescent="0.2">
      <c r="A338" t="s">
        <v>1030</v>
      </c>
      <c r="B338" t="s">
        <v>50</v>
      </c>
      <c r="C338" t="s">
        <v>87</v>
      </c>
      <c r="D338" t="s">
        <v>974</v>
      </c>
      <c r="E338" t="s">
        <v>975</v>
      </c>
      <c r="F338" t="s">
        <v>52</v>
      </c>
      <c r="G338">
        <v>57</v>
      </c>
      <c r="H338">
        <v>47</v>
      </c>
      <c r="I338">
        <v>16</v>
      </c>
      <c r="J338">
        <v>120</v>
      </c>
      <c r="K338" s="482">
        <v>0.47499999999999998</v>
      </c>
      <c r="L338" s="482">
        <v>0.39200000000000002</v>
      </c>
      <c r="M338" s="482">
        <v>0.13300000000000001</v>
      </c>
    </row>
    <row r="339" spans="1:13" x14ac:dyDescent="0.2">
      <c r="A339" t="s">
        <v>1031</v>
      </c>
      <c r="B339" t="s">
        <v>50</v>
      </c>
      <c r="C339" t="s">
        <v>87</v>
      </c>
      <c r="D339" t="s">
        <v>971</v>
      </c>
      <c r="E339" t="s">
        <v>972</v>
      </c>
      <c r="F339" t="s">
        <v>52</v>
      </c>
      <c r="G339">
        <v>62</v>
      </c>
      <c r="H339">
        <v>25</v>
      </c>
      <c r="I339">
        <v>13</v>
      </c>
      <c r="J339">
        <v>100</v>
      </c>
      <c r="K339" s="482">
        <v>0.62</v>
      </c>
      <c r="L339" s="482">
        <v>0.25</v>
      </c>
      <c r="M339" s="482">
        <v>0.13</v>
      </c>
    </row>
    <row r="340" spans="1:13" x14ac:dyDescent="0.2">
      <c r="A340" t="s">
        <v>1032</v>
      </c>
      <c r="B340" t="s">
        <v>50</v>
      </c>
      <c r="C340" t="s">
        <v>87</v>
      </c>
      <c r="D340" t="s">
        <v>968</v>
      </c>
      <c r="E340" t="s">
        <v>969</v>
      </c>
      <c r="F340" t="s">
        <v>52</v>
      </c>
      <c r="G340">
        <v>34</v>
      </c>
      <c r="H340">
        <v>40</v>
      </c>
      <c r="I340">
        <v>15</v>
      </c>
      <c r="J340">
        <v>89</v>
      </c>
      <c r="K340" s="482">
        <v>0.38200000000000001</v>
      </c>
      <c r="L340" s="482">
        <v>0.44900000000000001</v>
      </c>
      <c r="M340" s="482">
        <v>0.16900000000000001</v>
      </c>
    </row>
    <row r="341" spans="1:13" x14ac:dyDescent="0.2">
      <c r="A341" t="s">
        <v>1033</v>
      </c>
      <c r="B341" t="s">
        <v>50</v>
      </c>
      <c r="C341" t="s">
        <v>87</v>
      </c>
      <c r="D341" t="s">
        <v>965</v>
      </c>
      <c r="E341" t="s">
        <v>966</v>
      </c>
      <c r="F341" t="s">
        <v>52</v>
      </c>
      <c r="G341">
        <v>4</v>
      </c>
      <c r="H341">
        <v>4</v>
      </c>
      <c r="I341">
        <v>3</v>
      </c>
      <c r="J341">
        <v>11</v>
      </c>
      <c r="K341" s="482">
        <v>0.36399999999999999</v>
      </c>
      <c r="L341" s="482">
        <v>0.36399999999999999</v>
      </c>
      <c r="M341" s="482">
        <v>0.27300000000000002</v>
      </c>
    </row>
    <row r="342" spans="1:13" x14ac:dyDescent="0.2">
      <c r="A342" t="s">
        <v>1034</v>
      </c>
      <c r="B342" t="s">
        <v>50</v>
      </c>
      <c r="C342" t="s">
        <v>87</v>
      </c>
      <c r="D342" t="s">
        <v>962</v>
      </c>
      <c r="E342" t="s">
        <v>963</v>
      </c>
      <c r="F342" t="s">
        <v>52</v>
      </c>
      <c r="G342">
        <v>51</v>
      </c>
      <c r="H342">
        <v>33</v>
      </c>
      <c r="I342">
        <v>17</v>
      </c>
      <c r="J342">
        <v>101</v>
      </c>
      <c r="K342" s="482">
        <v>0.505</v>
      </c>
      <c r="L342" s="482">
        <v>0.32700000000000001</v>
      </c>
      <c r="M342" s="482">
        <v>0.16800000000000001</v>
      </c>
    </row>
    <row r="343" spans="1:13" x14ac:dyDescent="0.2">
      <c r="A343" t="s">
        <v>1035</v>
      </c>
      <c r="B343" t="s">
        <v>50</v>
      </c>
      <c r="C343" t="s">
        <v>87</v>
      </c>
      <c r="D343" t="s">
        <v>959</v>
      </c>
      <c r="E343" t="s">
        <v>960</v>
      </c>
      <c r="F343" t="s">
        <v>52</v>
      </c>
      <c r="G343">
        <v>72</v>
      </c>
      <c r="H343">
        <v>51</v>
      </c>
      <c r="I343">
        <v>34</v>
      </c>
      <c r="J343">
        <v>157</v>
      </c>
      <c r="K343" s="482">
        <v>0.45900000000000002</v>
      </c>
      <c r="L343" s="482">
        <v>0.32500000000000001</v>
      </c>
      <c r="M343" s="482">
        <v>0.217</v>
      </c>
    </row>
    <row r="344" spans="1:13" x14ac:dyDescent="0.2">
      <c r="A344" t="s">
        <v>1036</v>
      </c>
      <c r="B344" t="s">
        <v>50</v>
      </c>
      <c r="C344" t="s">
        <v>87</v>
      </c>
      <c r="D344" t="s">
        <v>956</v>
      </c>
      <c r="E344" t="s">
        <v>957</v>
      </c>
      <c r="F344" t="s">
        <v>52</v>
      </c>
      <c r="G344">
        <v>27</v>
      </c>
      <c r="H344">
        <v>12</v>
      </c>
      <c r="I344">
        <v>14</v>
      </c>
      <c r="J344">
        <v>53</v>
      </c>
      <c r="K344" s="482">
        <v>0.50900000000000001</v>
      </c>
      <c r="L344" s="482">
        <v>0.22600000000000001</v>
      </c>
      <c r="M344" s="482">
        <v>0.26400000000000001</v>
      </c>
    </row>
    <row r="345" spans="1:13" x14ac:dyDescent="0.2">
      <c r="A345" t="s">
        <v>1037</v>
      </c>
      <c r="B345" t="s">
        <v>50</v>
      </c>
      <c r="C345" t="s">
        <v>87</v>
      </c>
      <c r="D345" t="s">
        <v>953</v>
      </c>
      <c r="E345" t="s">
        <v>954</v>
      </c>
      <c r="F345" t="s">
        <v>52</v>
      </c>
      <c r="G345">
        <v>39</v>
      </c>
      <c r="H345">
        <v>30</v>
      </c>
      <c r="I345">
        <v>16</v>
      </c>
      <c r="J345">
        <v>85</v>
      </c>
      <c r="K345" s="482">
        <v>0.45900000000000002</v>
      </c>
      <c r="L345" s="482">
        <v>0.35299999999999998</v>
      </c>
      <c r="M345" s="482">
        <v>0.188</v>
      </c>
    </row>
    <row r="346" spans="1:13" x14ac:dyDescent="0.2">
      <c r="A346" t="s">
        <v>1038</v>
      </c>
      <c r="B346" t="s">
        <v>50</v>
      </c>
      <c r="C346" t="s">
        <v>87</v>
      </c>
      <c r="D346" t="s">
        <v>950</v>
      </c>
      <c r="E346" t="s">
        <v>951</v>
      </c>
      <c r="F346" t="s">
        <v>52</v>
      </c>
      <c r="G346">
        <v>75</v>
      </c>
      <c r="H346">
        <v>48</v>
      </c>
      <c r="I346">
        <v>20</v>
      </c>
      <c r="J346">
        <v>143</v>
      </c>
      <c r="K346" s="482">
        <v>0.52400000000000002</v>
      </c>
      <c r="L346" s="482">
        <v>0.33600000000000002</v>
      </c>
      <c r="M346" s="482">
        <v>0.14000000000000001</v>
      </c>
    </row>
    <row r="347" spans="1:13" x14ac:dyDescent="0.2">
      <c r="A347" t="s">
        <v>1039</v>
      </c>
      <c r="B347" t="s">
        <v>50</v>
      </c>
      <c r="C347" t="s">
        <v>87</v>
      </c>
      <c r="D347" t="s">
        <v>947</v>
      </c>
      <c r="E347" t="s">
        <v>948</v>
      </c>
      <c r="F347" t="s">
        <v>52</v>
      </c>
      <c r="G347">
        <v>19</v>
      </c>
      <c r="H347">
        <v>17</v>
      </c>
      <c r="I347">
        <v>17</v>
      </c>
      <c r="J347">
        <v>53</v>
      </c>
      <c r="K347" s="482">
        <v>0.35799999999999998</v>
      </c>
      <c r="L347" s="482">
        <v>0.32100000000000001</v>
      </c>
      <c r="M347" s="482">
        <v>0.32100000000000001</v>
      </c>
    </row>
    <row r="348" spans="1:13" x14ac:dyDescent="0.2">
      <c r="A348" t="s">
        <v>1044</v>
      </c>
      <c r="B348" t="s">
        <v>50</v>
      </c>
      <c r="C348" t="s">
        <v>87</v>
      </c>
      <c r="D348" t="s">
        <v>932</v>
      </c>
      <c r="E348" t="s">
        <v>933</v>
      </c>
      <c r="F348" t="s">
        <v>52</v>
      </c>
      <c r="G348">
        <v>90</v>
      </c>
      <c r="H348">
        <v>50</v>
      </c>
      <c r="I348">
        <v>23</v>
      </c>
      <c r="J348">
        <v>163</v>
      </c>
      <c r="K348" s="482">
        <v>0.55200000000000005</v>
      </c>
      <c r="L348" s="482">
        <v>0.307</v>
      </c>
      <c r="M348" s="482">
        <v>0.14099999999999999</v>
      </c>
    </row>
    <row r="349" spans="1:13" x14ac:dyDescent="0.2">
      <c r="A349" t="s">
        <v>1043</v>
      </c>
      <c r="B349" t="s">
        <v>50</v>
      </c>
      <c r="C349" t="s">
        <v>87</v>
      </c>
      <c r="D349" t="s">
        <v>935</v>
      </c>
      <c r="E349" t="s">
        <v>936</v>
      </c>
      <c r="F349" t="s">
        <v>52</v>
      </c>
      <c r="G349">
        <v>17</v>
      </c>
      <c r="H349">
        <v>8</v>
      </c>
      <c r="I349">
        <v>2</v>
      </c>
      <c r="J349">
        <v>27</v>
      </c>
      <c r="K349" s="482">
        <v>0.63</v>
      </c>
      <c r="L349" s="482">
        <v>0.29599999999999999</v>
      </c>
      <c r="M349" s="482">
        <v>7.3999999999999996E-2</v>
      </c>
    </row>
    <row r="350" spans="1:13" x14ac:dyDescent="0.2">
      <c r="A350" t="s">
        <v>1074</v>
      </c>
      <c r="B350" t="s">
        <v>50</v>
      </c>
      <c r="C350" t="s">
        <v>87</v>
      </c>
      <c r="D350" t="s">
        <v>851</v>
      </c>
      <c r="E350" t="s">
        <v>852</v>
      </c>
      <c r="F350" t="s">
        <v>52</v>
      </c>
      <c r="G350">
        <v>5</v>
      </c>
      <c r="H350">
        <v>12</v>
      </c>
      <c r="I350">
        <v>4</v>
      </c>
      <c r="J350">
        <v>21</v>
      </c>
      <c r="K350" s="482">
        <v>0.23799999999999999</v>
      </c>
      <c r="L350" s="482">
        <v>0.57099999999999995</v>
      </c>
      <c r="M350" s="482">
        <v>0.19</v>
      </c>
    </row>
    <row r="351" spans="1:13" x14ac:dyDescent="0.2">
      <c r="A351" t="s">
        <v>1075</v>
      </c>
      <c r="B351" t="s">
        <v>50</v>
      </c>
      <c r="C351" t="s">
        <v>87</v>
      </c>
      <c r="D351" t="s">
        <v>848</v>
      </c>
      <c r="E351" t="s">
        <v>849</v>
      </c>
      <c r="F351" t="s">
        <v>52</v>
      </c>
      <c r="G351">
        <v>43</v>
      </c>
      <c r="H351">
        <v>33</v>
      </c>
      <c r="I351">
        <v>21</v>
      </c>
      <c r="J351">
        <v>97</v>
      </c>
      <c r="K351" s="482">
        <v>0.443</v>
      </c>
      <c r="L351" s="482">
        <v>0.34</v>
      </c>
      <c r="M351" s="482">
        <v>0.216</v>
      </c>
    </row>
    <row r="352" spans="1:13" x14ac:dyDescent="0.2">
      <c r="A352" t="s">
        <v>1076</v>
      </c>
      <c r="B352" t="s">
        <v>50</v>
      </c>
      <c r="C352" t="s">
        <v>87</v>
      </c>
      <c r="D352" t="s">
        <v>845</v>
      </c>
      <c r="E352" t="s">
        <v>846</v>
      </c>
      <c r="F352" t="s">
        <v>52</v>
      </c>
      <c r="G352">
        <v>38</v>
      </c>
      <c r="H352">
        <v>27</v>
      </c>
      <c r="I352">
        <v>12</v>
      </c>
      <c r="J352">
        <v>77</v>
      </c>
      <c r="K352" s="482">
        <v>0.49399999999999999</v>
      </c>
      <c r="L352" s="482">
        <v>0.35099999999999998</v>
      </c>
      <c r="M352" s="482">
        <v>0.156</v>
      </c>
    </row>
    <row r="353" spans="1:13" x14ac:dyDescent="0.2">
      <c r="A353" t="s">
        <v>1077</v>
      </c>
      <c r="B353" t="s">
        <v>50</v>
      </c>
      <c r="C353" t="s">
        <v>87</v>
      </c>
      <c r="D353" t="s">
        <v>842</v>
      </c>
      <c r="E353" t="s">
        <v>843</v>
      </c>
      <c r="F353" t="s">
        <v>52</v>
      </c>
      <c r="G353">
        <v>42</v>
      </c>
      <c r="H353">
        <v>22</v>
      </c>
      <c r="I353">
        <v>5</v>
      </c>
      <c r="J353">
        <v>69</v>
      </c>
      <c r="K353" s="482">
        <v>0.60899999999999999</v>
      </c>
      <c r="L353" s="482">
        <v>0.31900000000000001</v>
      </c>
      <c r="M353" s="482">
        <v>7.1999999999999995E-2</v>
      </c>
    </row>
    <row r="354" spans="1:13" x14ac:dyDescent="0.2">
      <c r="A354" t="s">
        <v>1078</v>
      </c>
      <c r="B354" t="s">
        <v>50</v>
      </c>
      <c r="C354" t="s">
        <v>87</v>
      </c>
      <c r="D354" t="s">
        <v>839</v>
      </c>
      <c r="E354" t="s">
        <v>840</v>
      </c>
      <c r="F354" t="s">
        <v>52</v>
      </c>
      <c r="G354">
        <v>32</v>
      </c>
      <c r="H354">
        <v>30</v>
      </c>
      <c r="I354">
        <v>14</v>
      </c>
      <c r="J354">
        <v>76</v>
      </c>
      <c r="K354" s="482">
        <v>0.42099999999999999</v>
      </c>
      <c r="L354" s="482">
        <v>0.39500000000000002</v>
      </c>
      <c r="M354" s="482">
        <v>0.184</v>
      </c>
    </row>
    <row r="355" spans="1:13" x14ac:dyDescent="0.2">
      <c r="A355" t="s">
        <v>1079</v>
      </c>
      <c r="B355" t="s">
        <v>50</v>
      </c>
      <c r="C355" t="s">
        <v>87</v>
      </c>
      <c r="D355" t="s">
        <v>836</v>
      </c>
      <c r="E355" t="s">
        <v>837</v>
      </c>
      <c r="F355" t="s">
        <v>52</v>
      </c>
      <c r="G355">
        <v>68</v>
      </c>
      <c r="H355">
        <v>41</v>
      </c>
      <c r="I355">
        <v>25</v>
      </c>
      <c r="J355">
        <v>134</v>
      </c>
      <c r="K355" s="482">
        <v>0.50700000000000001</v>
      </c>
      <c r="L355" s="482">
        <v>0.30599999999999999</v>
      </c>
      <c r="M355" s="482">
        <v>0.187</v>
      </c>
    </row>
    <row r="356" spans="1:13" x14ac:dyDescent="0.2">
      <c r="A356" t="s">
        <v>1080</v>
      </c>
      <c r="B356" t="s">
        <v>50</v>
      </c>
      <c r="C356" t="s">
        <v>87</v>
      </c>
      <c r="D356" t="s">
        <v>833</v>
      </c>
      <c r="E356" t="s">
        <v>834</v>
      </c>
      <c r="F356" t="s">
        <v>52</v>
      </c>
      <c r="G356">
        <v>60</v>
      </c>
      <c r="H356">
        <v>60</v>
      </c>
      <c r="I356">
        <v>30</v>
      </c>
      <c r="J356">
        <v>150</v>
      </c>
      <c r="K356" s="482">
        <v>0.4</v>
      </c>
      <c r="L356" s="482">
        <v>0.4</v>
      </c>
      <c r="M356" s="482">
        <v>0.2</v>
      </c>
    </row>
    <row r="357" spans="1:13" x14ac:dyDescent="0.2">
      <c r="A357" t="s">
        <v>1081</v>
      </c>
      <c r="B357" t="s">
        <v>50</v>
      </c>
      <c r="C357" t="s">
        <v>87</v>
      </c>
      <c r="D357" t="s">
        <v>830</v>
      </c>
      <c r="E357" t="s">
        <v>831</v>
      </c>
      <c r="F357" t="s">
        <v>52</v>
      </c>
      <c r="G357">
        <v>50</v>
      </c>
      <c r="H357">
        <v>37</v>
      </c>
      <c r="I357">
        <v>29</v>
      </c>
      <c r="J357">
        <v>116</v>
      </c>
      <c r="K357" s="482">
        <v>0.43099999999999999</v>
      </c>
      <c r="L357" s="482">
        <v>0.31900000000000001</v>
      </c>
      <c r="M357" s="482">
        <v>0.25</v>
      </c>
    </row>
    <row r="358" spans="1:13" x14ac:dyDescent="0.2">
      <c r="A358" t="s">
        <v>1040</v>
      </c>
      <c r="B358" t="s">
        <v>50</v>
      </c>
      <c r="C358" t="s">
        <v>87</v>
      </c>
      <c r="D358" t="s">
        <v>944</v>
      </c>
      <c r="E358" t="s">
        <v>945</v>
      </c>
      <c r="F358" t="s">
        <v>52</v>
      </c>
      <c r="G358">
        <v>130</v>
      </c>
      <c r="H358">
        <v>73</v>
      </c>
      <c r="I358">
        <v>21</v>
      </c>
      <c r="J358">
        <v>224</v>
      </c>
      <c r="K358" s="482">
        <v>0.57999999999999996</v>
      </c>
      <c r="L358" s="482">
        <v>0.32600000000000001</v>
      </c>
      <c r="M358" s="482">
        <v>9.4E-2</v>
      </c>
    </row>
    <row r="359" spans="1:13" x14ac:dyDescent="0.2">
      <c r="A359" t="s">
        <v>1054</v>
      </c>
      <c r="B359" t="s">
        <v>50</v>
      </c>
      <c r="C359" t="s">
        <v>87</v>
      </c>
      <c r="D359" t="s">
        <v>1016</v>
      </c>
      <c r="E359" t="s">
        <v>1017</v>
      </c>
      <c r="F359" t="s">
        <v>52</v>
      </c>
      <c r="G359">
        <v>40</v>
      </c>
      <c r="H359">
        <v>26</v>
      </c>
      <c r="I359">
        <v>19</v>
      </c>
      <c r="J359">
        <v>85</v>
      </c>
      <c r="K359" s="482">
        <v>0.47099999999999997</v>
      </c>
      <c r="L359" s="482">
        <v>0.30599999999999999</v>
      </c>
      <c r="M359" s="482">
        <v>0.224</v>
      </c>
    </row>
    <row r="360" spans="1:13" x14ac:dyDescent="0.2">
      <c r="A360" t="s">
        <v>1041</v>
      </c>
      <c r="B360" t="s">
        <v>50</v>
      </c>
      <c r="C360" t="s">
        <v>87</v>
      </c>
      <c r="D360" t="s">
        <v>941</v>
      </c>
      <c r="E360" t="s">
        <v>942</v>
      </c>
      <c r="F360" t="s">
        <v>52</v>
      </c>
      <c r="G360">
        <v>62</v>
      </c>
      <c r="H360">
        <v>34</v>
      </c>
      <c r="I360">
        <v>25</v>
      </c>
      <c r="J360">
        <v>121</v>
      </c>
      <c r="K360" s="482">
        <v>0.51200000000000001</v>
      </c>
      <c r="L360" s="482">
        <v>0.28100000000000003</v>
      </c>
      <c r="M360" s="482">
        <v>0.20699999999999999</v>
      </c>
    </row>
    <row r="361" spans="1:13" x14ac:dyDescent="0.2">
      <c r="A361" t="s">
        <v>1042</v>
      </c>
      <c r="B361" t="s">
        <v>50</v>
      </c>
      <c r="C361" t="s">
        <v>87</v>
      </c>
      <c r="D361" t="s">
        <v>938</v>
      </c>
      <c r="E361" t="s">
        <v>939</v>
      </c>
      <c r="F361" t="s">
        <v>52</v>
      </c>
      <c r="G361">
        <v>40</v>
      </c>
      <c r="H361">
        <v>21</v>
      </c>
      <c r="I361">
        <v>7</v>
      </c>
      <c r="J361">
        <v>68</v>
      </c>
      <c r="K361" s="482">
        <v>0.58799999999999997</v>
      </c>
      <c r="L361" s="482">
        <v>0.309</v>
      </c>
      <c r="M361" s="482">
        <v>0.10299999999999999</v>
      </c>
    </row>
    <row r="362" spans="1:13" x14ac:dyDescent="0.2">
      <c r="A362" t="s">
        <v>1053</v>
      </c>
      <c r="B362" t="s">
        <v>50</v>
      </c>
      <c r="C362" t="s">
        <v>87</v>
      </c>
      <c r="D362" t="s">
        <v>905</v>
      </c>
      <c r="E362" t="s">
        <v>906</v>
      </c>
      <c r="F362" t="s">
        <v>52</v>
      </c>
      <c r="G362">
        <v>67</v>
      </c>
      <c r="H362">
        <v>31</v>
      </c>
      <c r="I362">
        <v>18</v>
      </c>
      <c r="J362">
        <v>116</v>
      </c>
      <c r="K362" s="482">
        <v>0.57799999999999996</v>
      </c>
      <c r="L362" s="482">
        <v>0.26700000000000002</v>
      </c>
      <c r="M362" s="482">
        <v>0.155</v>
      </c>
    </row>
    <row r="363" spans="1:13" x14ac:dyDescent="0.2">
      <c r="A363" t="s">
        <v>1056</v>
      </c>
      <c r="B363" t="s">
        <v>50</v>
      </c>
      <c r="C363" t="s">
        <v>87</v>
      </c>
      <c r="D363" t="s">
        <v>902</v>
      </c>
      <c r="E363" t="s">
        <v>903</v>
      </c>
      <c r="F363" t="s">
        <v>52</v>
      </c>
      <c r="G363">
        <v>128</v>
      </c>
      <c r="H363">
        <v>129</v>
      </c>
      <c r="I363">
        <v>36</v>
      </c>
      <c r="J363">
        <v>293</v>
      </c>
      <c r="K363" s="482">
        <v>0.437</v>
      </c>
      <c r="L363" s="482">
        <v>0.44</v>
      </c>
      <c r="M363" s="482">
        <v>0.123</v>
      </c>
    </row>
    <row r="364" spans="1:13" x14ac:dyDescent="0.2">
      <c r="A364" t="s">
        <v>1057</v>
      </c>
      <c r="B364" t="s">
        <v>50</v>
      </c>
      <c r="C364" t="s">
        <v>87</v>
      </c>
      <c r="D364" t="s">
        <v>899</v>
      </c>
      <c r="E364" t="s">
        <v>900</v>
      </c>
      <c r="F364" t="s">
        <v>52</v>
      </c>
      <c r="G364">
        <v>11</v>
      </c>
      <c r="H364">
        <v>10</v>
      </c>
      <c r="I364">
        <v>5</v>
      </c>
      <c r="J364">
        <v>26</v>
      </c>
      <c r="K364" s="482">
        <v>0.42299999999999999</v>
      </c>
      <c r="L364" s="482">
        <v>0.38500000000000001</v>
      </c>
      <c r="M364" s="482">
        <v>0.192</v>
      </c>
    </row>
    <row r="365" spans="1:13" x14ac:dyDescent="0.2">
      <c r="A365" t="s">
        <v>1058</v>
      </c>
      <c r="B365" t="s">
        <v>50</v>
      </c>
      <c r="C365" t="s">
        <v>87</v>
      </c>
      <c r="D365" t="s">
        <v>896</v>
      </c>
      <c r="E365" t="s">
        <v>897</v>
      </c>
      <c r="F365" t="s">
        <v>52</v>
      </c>
      <c r="G365">
        <v>42</v>
      </c>
      <c r="H365">
        <v>38</v>
      </c>
      <c r="I365">
        <v>7</v>
      </c>
      <c r="J365">
        <v>87</v>
      </c>
      <c r="K365" s="482">
        <v>0.48299999999999998</v>
      </c>
      <c r="L365" s="482">
        <v>0.437</v>
      </c>
      <c r="M365" s="482">
        <v>0.08</v>
      </c>
    </row>
    <row r="366" spans="1:13" x14ac:dyDescent="0.2">
      <c r="A366" t="s">
        <v>1059</v>
      </c>
      <c r="B366" t="s">
        <v>50</v>
      </c>
      <c r="C366" t="s">
        <v>87</v>
      </c>
      <c r="D366" t="s">
        <v>893</v>
      </c>
      <c r="E366" t="s">
        <v>894</v>
      </c>
      <c r="F366" t="s">
        <v>52</v>
      </c>
      <c r="G366">
        <v>19</v>
      </c>
      <c r="H366">
        <v>11</v>
      </c>
      <c r="I366">
        <v>6</v>
      </c>
      <c r="J366">
        <v>36</v>
      </c>
      <c r="K366" s="482">
        <v>0.52800000000000002</v>
      </c>
      <c r="L366" s="482">
        <v>0.30599999999999999</v>
      </c>
      <c r="M366" s="482">
        <v>0.16700000000000001</v>
      </c>
    </row>
    <row r="367" spans="1:13" x14ac:dyDescent="0.2">
      <c r="A367" t="s">
        <v>1060</v>
      </c>
      <c r="B367" t="s">
        <v>50</v>
      </c>
      <c r="C367" t="s">
        <v>87</v>
      </c>
      <c r="D367" t="s">
        <v>890</v>
      </c>
      <c r="E367" t="s">
        <v>891</v>
      </c>
      <c r="F367" t="s">
        <v>52</v>
      </c>
      <c r="G367">
        <v>16</v>
      </c>
      <c r="H367">
        <v>9</v>
      </c>
      <c r="I367">
        <v>4</v>
      </c>
      <c r="J367">
        <v>29</v>
      </c>
      <c r="K367" s="482">
        <v>0.55200000000000005</v>
      </c>
      <c r="L367" s="482">
        <v>0.31</v>
      </c>
      <c r="M367" s="482">
        <v>0.13800000000000001</v>
      </c>
    </row>
    <row r="368" spans="1:13" x14ac:dyDescent="0.2">
      <c r="A368" t="s">
        <v>1061</v>
      </c>
      <c r="B368" t="s">
        <v>50</v>
      </c>
      <c r="C368" t="s">
        <v>87</v>
      </c>
      <c r="D368" t="s">
        <v>887</v>
      </c>
      <c r="E368" t="s">
        <v>888</v>
      </c>
      <c r="F368" t="s">
        <v>52</v>
      </c>
      <c r="G368">
        <v>46</v>
      </c>
      <c r="H368">
        <v>27</v>
      </c>
      <c r="I368">
        <v>20</v>
      </c>
      <c r="J368">
        <v>93</v>
      </c>
      <c r="K368" s="482">
        <v>0.495</v>
      </c>
      <c r="L368" s="482">
        <v>0.28999999999999998</v>
      </c>
      <c r="M368" s="482">
        <v>0.215</v>
      </c>
    </row>
    <row r="369" spans="1:13" x14ac:dyDescent="0.2">
      <c r="A369" t="s">
        <v>1062</v>
      </c>
      <c r="B369" t="s">
        <v>50</v>
      </c>
      <c r="C369" t="s">
        <v>87</v>
      </c>
      <c r="D369" t="s">
        <v>884</v>
      </c>
      <c r="E369" t="s">
        <v>885</v>
      </c>
      <c r="F369" t="s">
        <v>52</v>
      </c>
      <c r="G369">
        <v>23</v>
      </c>
      <c r="H369">
        <v>13</v>
      </c>
      <c r="I369">
        <v>11</v>
      </c>
      <c r="J369">
        <v>47</v>
      </c>
      <c r="K369" s="482">
        <v>0.48899999999999999</v>
      </c>
      <c r="L369" s="482">
        <v>0.27700000000000002</v>
      </c>
      <c r="M369" s="482">
        <v>0.23400000000000001</v>
      </c>
    </row>
    <row r="370" spans="1:13" x14ac:dyDescent="0.2">
      <c r="A370" t="s">
        <v>1063</v>
      </c>
      <c r="B370" t="s">
        <v>50</v>
      </c>
      <c r="C370" t="s">
        <v>87</v>
      </c>
      <c r="D370" t="s">
        <v>881</v>
      </c>
      <c r="E370" t="s">
        <v>882</v>
      </c>
      <c r="F370" t="s">
        <v>52</v>
      </c>
      <c r="G370">
        <v>42</v>
      </c>
      <c r="H370">
        <v>23</v>
      </c>
      <c r="I370">
        <v>13</v>
      </c>
      <c r="J370">
        <v>78</v>
      </c>
      <c r="K370" s="482">
        <v>0.53800000000000003</v>
      </c>
      <c r="L370" s="482">
        <v>0.29499999999999998</v>
      </c>
      <c r="M370" s="482">
        <v>0.16700000000000001</v>
      </c>
    </row>
    <row r="371" spans="1:13" x14ac:dyDescent="0.2">
      <c r="A371" t="s">
        <v>1064</v>
      </c>
      <c r="B371" t="s">
        <v>50</v>
      </c>
      <c r="C371" t="s">
        <v>87</v>
      </c>
      <c r="D371" t="s">
        <v>878</v>
      </c>
      <c r="E371" t="s">
        <v>879</v>
      </c>
      <c r="F371" t="s">
        <v>52</v>
      </c>
      <c r="G371">
        <v>35</v>
      </c>
      <c r="H371">
        <v>28</v>
      </c>
      <c r="I371">
        <v>11</v>
      </c>
      <c r="J371">
        <v>74</v>
      </c>
      <c r="K371" s="482">
        <v>0.47299999999999998</v>
      </c>
      <c r="L371" s="482">
        <v>0.378</v>
      </c>
      <c r="M371" s="482">
        <v>0.14899999999999999</v>
      </c>
    </row>
    <row r="372" spans="1:13" x14ac:dyDescent="0.2">
      <c r="A372" t="s">
        <v>1065</v>
      </c>
      <c r="B372" t="s">
        <v>50</v>
      </c>
      <c r="C372" t="s">
        <v>87</v>
      </c>
      <c r="D372" t="s">
        <v>875</v>
      </c>
      <c r="E372" t="s">
        <v>876</v>
      </c>
      <c r="F372" t="s">
        <v>52</v>
      </c>
      <c r="G372">
        <v>117</v>
      </c>
      <c r="H372">
        <v>83</v>
      </c>
      <c r="I372">
        <v>39</v>
      </c>
      <c r="J372">
        <v>239</v>
      </c>
      <c r="K372" s="482">
        <v>0.49</v>
      </c>
      <c r="L372" s="482">
        <v>0.34699999999999998</v>
      </c>
      <c r="M372" s="482">
        <v>0.16300000000000001</v>
      </c>
    </row>
    <row r="373" spans="1:13" x14ac:dyDescent="0.2">
      <c r="A373" t="s">
        <v>1066</v>
      </c>
      <c r="B373" t="s">
        <v>50</v>
      </c>
      <c r="C373" t="s">
        <v>87</v>
      </c>
      <c r="D373" t="s">
        <v>872</v>
      </c>
      <c r="E373" t="s">
        <v>873</v>
      </c>
      <c r="F373" t="s">
        <v>52</v>
      </c>
      <c r="G373">
        <v>73</v>
      </c>
      <c r="H373">
        <v>52</v>
      </c>
      <c r="I373">
        <v>30</v>
      </c>
      <c r="J373">
        <v>155</v>
      </c>
      <c r="K373" s="482">
        <v>0.47099999999999997</v>
      </c>
      <c r="L373" s="482">
        <v>0.33500000000000002</v>
      </c>
      <c r="M373" s="482">
        <v>0.19400000000000001</v>
      </c>
    </row>
    <row r="374" spans="1:13" x14ac:dyDescent="0.2">
      <c r="A374" t="s">
        <v>1067</v>
      </c>
      <c r="B374" t="s">
        <v>50</v>
      </c>
      <c r="C374" t="s">
        <v>87</v>
      </c>
      <c r="D374" t="s">
        <v>869</v>
      </c>
      <c r="E374" t="s">
        <v>870</v>
      </c>
      <c r="F374" t="s">
        <v>52</v>
      </c>
      <c r="G374">
        <v>101</v>
      </c>
      <c r="H374">
        <v>61</v>
      </c>
      <c r="I374">
        <v>22</v>
      </c>
      <c r="J374">
        <v>184</v>
      </c>
      <c r="K374" s="482">
        <v>0.54900000000000004</v>
      </c>
      <c r="L374" s="482">
        <v>0.33200000000000002</v>
      </c>
      <c r="M374" s="482">
        <v>0.12</v>
      </c>
    </row>
    <row r="375" spans="1:13" x14ac:dyDescent="0.2">
      <c r="A375" t="s">
        <v>1068</v>
      </c>
      <c r="B375" t="s">
        <v>50</v>
      </c>
      <c r="C375" t="s">
        <v>87</v>
      </c>
      <c r="D375" t="s">
        <v>866</v>
      </c>
      <c r="E375" t="s">
        <v>867</v>
      </c>
      <c r="F375" t="s">
        <v>52</v>
      </c>
      <c r="G375">
        <v>98</v>
      </c>
      <c r="H375">
        <v>64</v>
      </c>
      <c r="I375">
        <v>30</v>
      </c>
      <c r="J375">
        <v>192</v>
      </c>
      <c r="K375" s="482">
        <v>0.51</v>
      </c>
      <c r="L375" s="482">
        <v>0.33300000000000002</v>
      </c>
      <c r="M375" s="482">
        <v>0.156</v>
      </c>
    </row>
    <row r="376" spans="1:13" x14ac:dyDescent="0.2">
      <c r="A376" t="s">
        <v>1069</v>
      </c>
      <c r="B376" t="s">
        <v>50</v>
      </c>
      <c r="C376" t="s">
        <v>87</v>
      </c>
      <c r="D376" t="s">
        <v>863</v>
      </c>
      <c r="E376" t="s">
        <v>864</v>
      </c>
      <c r="F376" t="s">
        <v>52</v>
      </c>
      <c r="G376">
        <v>7</v>
      </c>
      <c r="H376">
        <v>2</v>
      </c>
      <c r="I376">
        <v>3</v>
      </c>
      <c r="J376">
        <v>12</v>
      </c>
      <c r="K376" s="482">
        <v>0.58299999999999996</v>
      </c>
      <c r="L376" s="482">
        <v>0.16700000000000001</v>
      </c>
      <c r="M376" s="482">
        <v>0.25</v>
      </c>
    </row>
    <row r="377" spans="1:13" x14ac:dyDescent="0.2">
      <c r="A377" t="s">
        <v>1070</v>
      </c>
      <c r="B377" t="s">
        <v>50</v>
      </c>
      <c r="C377" t="s">
        <v>87</v>
      </c>
      <c r="D377" t="s">
        <v>860</v>
      </c>
      <c r="E377" t="s">
        <v>861</v>
      </c>
      <c r="F377" t="s">
        <v>52</v>
      </c>
      <c r="G377">
        <v>42</v>
      </c>
      <c r="H377">
        <v>29</v>
      </c>
      <c r="I377">
        <v>38</v>
      </c>
      <c r="J377">
        <v>109</v>
      </c>
      <c r="K377" s="482">
        <v>0.38500000000000001</v>
      </c>
      <c r="L377" s="482">
        <v>0.26600000000000001</v>
      </c>
      <c r="M377" s="482">
        <v>0.34899999999999998</v>
      </c>
    </row>
    <row r="378" spans="1:13" x14ac:dyDescent="0.2">
      <c r="A378" t="s">
        <v>1071</v>
      </c>
      <c r="B378" t="s">
        <v>50</v>
      </c>
      <c r="C378" t="s">
        <v>87</v>
      </c>
      <c r="D378" t="s">
        <v>857</v>
      </c>
      <c r="E378" t="s">
        <v>858</v>
      </c>
      <c r="F378" t="s">
        <v>52</v>
      </c>
      <c r="G378">
        <v>62</v>
      </c>
      <c r="H378">
        <v>59</v>
      </c>
      <c r="I378">
        <v>36</v>
      </c>
      <c r="J378">
        <v>157</v>
      </c>
      <c r="K378" s="482">
        <v>0.39500000000000002</v>
      </c>
      <c r="L378" s="482">
        <v>0.376</v>
      </c>
      <c r="M378" s="482">
        <v>0.22900000000000001</v>
      </c>
    </row>
    <row r="379" spans="1:13" x14ac:dyDescent="0.2">
      <c r="A379" t="s">
        <v>1072</v>
      </c>
      <c r="B379" t="s">
        <v>50</v>
      </c>
      <c r="C379" t="s">
        <v>87</v>
      </c>
      <c r="D379" t="s">
        <v>854</v>
      </c>
      <c r="E379" t="s">
        <v>855</v>
      </c>
      <c r="F379" t="s">
        <v>52</v>
      </c>
      <c r="G379">
        <v>171</v>
      </c>
      <c r="H379">
        <v>127</v>
      </c>
      <c r="I379">
        <v>59</v>
      </c>
      <c r="J379">
        <v>357</v>
      </c>
      <c r="K379" s="482">
        <v>0.47899999999999998</v>
      </c>
      <c r="L379" s="482">
        <v>0.35599999999999998</v>
      </c>
      <c r="M379" s="482">
        <v>0.16500000000000001</v>
      </c>
    </row>
    <row r="380" spans="1:13" x14ac:dyDescent="0.2">
      <c r="A380" t="s">
        <v>1102</v>
      </c>
      <c r="B380" t="s">
        <v>50</v>
      </c>
      <c r="C380" t="s">
        <v>87</v>
      </c>
      <c r="D380" t="s">
        <v>767</v>
      </c>
      <c r="E380" t="s">
        <v>768</v>
      </c>
      <c r="F380" t="s">
        <v>52</v>
      </c>
      <c r="G380">
        <v>73</v>
      </c>
      <c r="H380">
        <v>36</v>
      </c>
      <c r="I380">
        <v>31</v>
      </c>
      <c r="J380">
        <v>140</v>
      </c>
      <c r="K380" s="482">
        <v>0.52100000000000002</v>
      </c>
      <c r="L380" s="482">
        <v>0.25700000000000001</v>
      </c>
      <c r="M380" s="482">
        <v>0.221</v>
      </c>
    </row>
    <row r="381" spans="1:13" x14ac:dyDescent="0.2">
      <c r="A381" t="s">
        <v>1103</v>
      </c>
      <c r="B381" t="s">
        <v>50</v>
      </c>
      <c r="C381" t="s">
        <v>87</v>
      </c>
      <c r="D381" t="s">
        <v>764</v>
      </c>
      <c r="E381" t="s">
        <v>765</v>
      </c>
      <c r="F381" t="s">
        <v>52</v>
      </c>
      <c r="G381">
        <v>24</v>
      </c>
      <c r="H381">
        <v>16</v>
      </c>
      <c r="I381">
        <v>8</v>
      </c>
      <c r="J381">
        <v>48</v>
      </c>
      <c r="K381" s="482">
        <v>0.5</v>
      </c>
      <c r="L381" s="482">
        <v>0.33300000000000002</v>
      </c>
      <c r="M381" s="482">
        <v>0.16700000000000001</v>
      </c>
    </row>
    <row r="382" spans="1:13" x14ac:dyDescent="0.2">
      <c r="A382" t="s">
        <v>1104</v>
      </c>
      <c r="B382" t="s">
        <v>50</v>
      </c>
      <c r="C382" t="s">
        <v>87</v>
      </c>
      <c r="D382" t="s">
        <v>761</v>
      </c>
      <c r="E382" t="s">
        <v>762</v>
      </c>
      <c r="F382" t="s">
        <v>52</v>
      </c>
      <c r="G382">
        <v>19</v>
      </c>
      <c r="H382">
        <v>8</v>
      </c>
      <c r="I382">
        <v>8</v>
      </c>
      <c r="J382">
        <v>35</v>
      </c>
      <c r="K382" s="482">
        <v>0.54300000000000004</v>
      </c>
      <c r="L382" s="482">
        <v>0.22900000000000001</v>
      </c>
      <c r="M382" s="482">
        <v>0.22900000000000001</v>
      </c>
    </row>
    <row r="383" spans="1:13" x14ac:dyDescent="0.2">
      <c r="A383" t="s">
        <v>1105</v>
      </c>
      <c r="B383" t="s">
        <v>50</v>
      </c>
      <c r="C383" t="s">
        <v>87</v>
      </c>
      <c r="D383" t="s">
        <v>758</v>
      </c>
      <c r="E383" t="s">
        <v>759</v>
      </c>
      <c r="F383" t="s">
        <v>52</v>
      </c>
      <c r="G383">
        <v>111</v>
      </c>
      <c r="H383">
        <v>81</v>
      </c>
      <c r="I383">
        <v>48</v>
      </c>
      <c r="J383">
        <v>240</v>
      </c>
      <c r="K383" s="482">
        <v>0.46300000000000002</v>
      </c>
      <c r="L383" s="482">
        <v>0.33800000000000002</v>
      </c>
      <c r="M383" s="482">
        <v>0.2</v>
      </c>
    </row>
    <row r="384" spans="1:13" x14ac:dyDescent="0.2">
      <c r="A384" t="s">
        <v>1106</v>
      </c>
      <c r="B384" t="s">
        <v>50</v>
      </c>
      <c r="C384" t="s">
        <v>87</v>
      </c>
      <c r="D384" t="s">
        <v>755</v>
      </c>
      <c r="E384" t="s">
        <v>756</v>
      </c>
      <c r="F384" t="s">
        <v>52</v>
      </c>
      <c r="G384">
        <v>7</v>
      </c>
      <c r="H384">
        <v>8</v>
      </c>
      <c r="I384">
        <v>7</v>
      </c>
      <c r="J384">
        <v>22</v>
      </c>
      <c r="K384" s="482">
        <v>0.318</v>
      </c>
      <c r="L384" s="482">
        <v>0.36399999999999999</v>
      </c>
      <c r="M384" s="482">
        <v>0.318</v>
      </c>
    </row>
    <row r="385" spans="1:13" x14ac:dyDescent="0.2">
      <c r="A385" t="s">
        <v>1107</v>
      </c>
      <c r="B385" t="s">
        <v>50</v>
      </c>
      <c r="C385" t="s">
        <v>87</v>
      </c>
      <c r="D385" t="s">
        <v>752</v>
      </c>
      <c r="E385" t="s">
        <v>753</v>
      </c>
      <c r="F385" t="s">
        <v>52</v>
      </c>
      <c r="G385">
        <v>33</v>
      </c>
      <c r="H385">
        <v>11</v>
      </c>
      <c r="I385">
        <v>10</v>
      </c>
      <c r="J385">
        <v>54</v>
      </c>
      <c r="K385" s="482">
        <v>0.61099999999999999</v>
      </c>
      <c r="L385" s="482">
        <v>0.20399999999999999</v>
      </c>
      <c r="M385" s="482">
        <v>0.185</v>
      </c>
    </row>
    <row r="386" spans="1:13" x14ac:dyDescent="0.2">
      <c r="A386" t="s">
        <v>6556</v>
      </c>
      <c r="B386" t="s">
        <v>50</v>
      </c>
      <c r="C386" t="s">
        <v>87</v>
      </c>
      <c r="D386" t="s">
        <v>6549</v>
      </c>
      <c r="E386" t="s">
        <v>6545</v>
      </c>
      <c r="F386" t="s">
        <v>52</v>
      </c>
      <c r="G386" t="s">
        <v>53</v>
      </c>
      <c r="H386" t="s">
        <v>53</v>
      </c>
      <c r="I386">
        <v>0</v>
      </c>
      <c r="J386" t="s">
        <v>53</v>
      </c>
      <c r="K386" t="s">
        <v>53</v>
      </c>
      <c r="L386" t="s">
        <v>53</v>
      </c>
      <c r="M386" t="s">
        <v>53</v>
      </c>
    </row>
    <row r="387" spans="1:13" x14ac:dyDescent="0.2">
      <c r="A387" t="s">
        <v>1222</v>
      </c>
      <c r="B387" t="s">
        <v>50</v>
      </c>
      <c r="C387" t="s">
        <v>87</v>
      </c>
      <c r="D387" t="s">
        <v>408</v>
      </c>
      <c r="E387" t="s">
        <v>409</v>
      </c>
      <c r="F387" t="s">
        <v>52</v>
      </c>
      <c r="G387">
        <v>25</v>
      </c>
      <c r="H387">
        <v>17</v>
      </c>
      <c r="I387">
        <v>7</v>
      </c>
      <c r="J387">
        <v>49</v>
      </c>
      <c r="K387" s="482">
        <v>0.51</v>
      </c>
      <c r="L387" s="482">
        <v>0.34699999999999998</v>
      </c>
      <c r="M387" s="482">
        <v>0.14299999999999999</v>
      </c>
    </row>
    <row r="388" spans="1:13" x14ac:dyDescent="0.2">
      <c r="A388" t="s">
        <v>1172</v>
      </c>
      <c r="B388" t="s">
        <v>50</v>
      </c>
      <c r="C388" t="s">
        <v>87</v>
      </c>
      <c r="D388" t="s">
        <v>560</v>
      </c>
      <c r="E388" t="s">
        <v>561</v>
      </c>
      <c r="F388" t="s">
        <v>52</v>
      </c>
      <c r="G388">
        <v>64</v>
      </c>
      <c r="H388">
        <v>35</v>
      </c>
      <c r="I388">
        <v>18</v>
      </c>
      <c r="J388">
        <v>117</v>
      </c>
      <c r="K388" s="482">
        <v>0.54700000000000004</v>
      </c>
      <c r="L388" s="482">
        <v>0.29899999999999999</v>
      </c>
      <c r="M388" s="482">
        <v>0.154</v>
      </c>
    </row>
    <row r="389" spans="1:13" x14ac:dyDescent="0.2">
      <c r="A389" t="s">
        <v>1173</v>
      </c>
      <c r="B389" t="s">
        <v>50</v>
      </c>
      <c r="C389" t="s">
        <v>87</v>
      </c>
      <c r="D389" t="s">
        <v>557</v>
      </c>
      <c r="E389" t="s">
        <v>558</v>
      </c>
      <c r="F389" t="s">
        <v>52</v>
      </c>
      <c r="G389">
        <v>14</v>
      </c>
      <c r="H389">
        <v>9</v>
      </c>
      <c r="I389">
        <v>7</v>
      </c>
      <c r="J389">
        <v>30</v>
      </c>
      <c r="K389" s="482">
        <v>0.46700000000000003</v>
      </c>
      <c r="L389" s="482">
        <v>0.3</v>
      </c>
      <c r="M389" s="482">
        <v>0.23300000000000001</v>
      </c>
    </row>
    <row r="390" spans="1:13" x14ac:dyDescent="0.2">
      <c r="A390" t="s">
        <v>1174</v>
      </c>
      <c r="B390" t="s">
        <v>50</v>
      </c>
      <c r="C390" t="s">
        <v>87</v>
      </c>
      <c r="D390" t="s">
        <v>554</v>
      </c>
      <c r="E390" t="s">
        <v>555</v>
      </c>
      <c r="F390" t="s">
        <v>52</v>
      </c>
      <c r="G390">
        <v>42</v>
      </c>
      <c r="H390">
        <v>27</v>
      </c>
      <c r="I390">
        <v>16</v>
      </c>
      <c r="J390">
        <v>85</v>
      </c>
      <c r="K390" s="482">
        <v>0.49399999999999999</v>
      </c>
      <c r="L390" s="482">
        <v>0.318</v>
      </c>
      <c r="M390" s="482">
        <v>0.188</v>
      </c>
    </row>
    <row r="391" spans="1:13" x14ac:dyDescent="0.2">
      <c r="A391" t="s">
        <v>1162</v>
      </c>
      <c r="B391" t="s">
        <v>50</v>
      </c>
      <c r="C391" t="s">
        <v>87</v>
      </c>
      <c r="D391" t="s">
        <v>589</v>
      </c>
      <c r="E391" t="s">
        <v>590</v>
      </c>
      <c r="F391" t="s">
        <v>52</v>
      </c>
      <c r="G391">
        <v>42</v>
      </c>
      <c r="H391">
        <v>40</v>
      </c>
      <c r="I391">
        <v>22</v>
      </c>
      <c r="J391">
        <v>104</v>
      </c>
      <c r="K391" s="482">
        <v>0.40400000000000003</v>
      </c>
      <c r="L391" s="482">
        <v>0.38500000000000001</v>
      </c>
      <c r="M391" s="482">
        <v>0.21199999999999999</v>
      </c>
    </row>
    <row r="392" spans="1:13" x14ac:dyDescent="0.2">
      <c r="A392" t="s">
        <v>1163</v>
      </c>
      <c r="B392" t="s">
        <v>50</v>
      </c>
      <c r="C392" t="s">
        <v>87</v>
      </c>
      <c r="D392" t="s">
        <v>586</v>
      </c>
      <c r="E392" t="s">
        <v>587</v>
      </c>
      <c r="F392" t="s">
        <v>52</v>
      </c>
      <c r="G392">
        <v>40</v>
      </c>
      <c r="H392">
        <v>29</v>
      </c>
      <c r="I392">
        <v>26</v>
      </c>
      <c r="J392">
        <v>95</v>
      </c>
      <c r="K392" s="482">
        <v>0.42099999999999999</v>
      </c>
      <c r="L392" s="482">
        <v>0.30499999999999999</v>
      </c>
      <c r="M392" s="482">
        <v>0.27400000000000002</v>
      </c>
    </row>
    <row r="393" spans="1:13" x14ac:dyDescent="0.2">
      <c r="A393" t="s">
        <v>1164</v>
      </c>
      <c r="B393" t="s">
        <v>50</v>
      </c>
      <c r="C393" t="s">
        <v>87</v>
      </c>
      <c r="D393" t="s">
        <v>583</v>
      </c>
      <c r="E393" t="s">
        <v>584</v>
      </c>
      <c r="F393" t="s">
        <v>52</v>
      </c>
      <c r="G393">
        <v>39</v>
      </c>
      <c r="H393">
        <v>20</v>
      </c>
      <c r="I393">
        <v>6</v>
      </c>
      <c r="J393">
        <v>65</v>
      </c>
      <c r="K393" s="482">
        <v>0.6</v>
      </c>
      <c r="L393" s="482">
        <v>0.308</v>
      </c>
      <c r="M393" s="482">
        <v>9.1999999999999998E-2</v>
      </c>
    </row>
    <row r="394" spans="1:13" x14ac:dyDescent="0.2">
      <c r="A394" t="s">
        <v>1165</v>
      </c>
      <c r="B394" t="s">
        <v>50</v>
      </c>
      <c r="C394" t="s">
        <v>87</v>
      </c>
      <c r="D394" t="s">
        <v>580</v>
      </c>
      <c r="E394" t="s">
        <v>581</v>
      </c>
      <c r="F394" t="s">
        <v>52</v>
      </c>
      <c r="G394">
        <v>69</v>
      </c>
      <c r="H394">
        <v>33</v>
      </c>
      <c r="I394">
        <v>23</v>
      </c>
      <c r="J394">
        <v>125</v>
      </c>
      <c r="K394" s="482">
        <v>0.55200000000000005</v>
      </c>
      <c r="L394" s="482">
        <v>0.26400000000000001</v>
      </c>
      <c r="M394" s="482">
        <v>0.184</v>
      </c>
    </row>
    <row r="395" spans="1:13" x14ac:dyDescent="0.2">
      <c r="A395" t="s">
        <v>1166</v>
      </c>
      <c r="B395" t="s">
        <v>50</v>
      </c>
      <c r="C395" t="s">
        <v>87</v>
      </c>
      <c r="D395" t="s">
        <v>577</v>
      </c>
      <c r="E395" t="s">
        <v>578</v>
      </c>
      <c r="F395" t="s">
        <v>52</v>
      </c>
      <c r="G395">
        <v>8</v>
      </c>
      <c r="H395">
        <v>4</v>
      </c>
      <c r="I395">
        <v>6</v>
      </c>
      <c r="J395">
        <v>18</v>
      </c>
      <c r="K395" s="482">
        <v>0.44400000000000001</v>
      </c>
      <c r="L395" s="482">
        <v>0.222</v>
      </c>
      <c r="M395" s="482">
        <v>0.33300000000000002</v>
      </c>
    </row>
    <row r="396" spans="1:13" x14ac:dyDescent="0.2">
      <c r="A396" t="s">
        <v>1167</v>
      </c>
      <c r="B396" t="s">
        <v>50</v>
      </c>
      <c r="C396" t="s">
        <v>87</v>
      </c>
      <c r="D396" t="s">
        <v>574</v>
      </c>
      <c r="E396" t="s">
        <v>575</v>
      </c>
      <c r="F396" t="s">
        <v>52</v>
      </c>
      <c r="G396">
        <v>7</v>
      </c>
      <c r="H396">
        <v>8</v>
      </c>
      <c r="I396">
        <v>9</v>
      </c>
      <c r="J396">
        <v>24</v>
      </c>
      <c r="K396" s="482">
        <v>0.29199999999999998</v>
      </c>
      <c r="L396" s="482">
        <v>0.33300000000000002</v>
      </c>
      <c r="M396" s="482">
        <v>0.375</v>
      </c>
    </row>
    <row r="397" spans="1:13" x14ac:dyDescent="0.2">
      <c r="A397" t="s">
        <v>1168</v>
      </c>
      <c r="B397" t="s">
        <v>50</v>
      </c>
      <c r="C397" t="s">
        <v>87</v>
      </c>
      <c r="D397" t="s">
        <v>571</v>
      </c>
      <c r="E397" t="s">
        <v>572</v>
      </c>
      <c r="F397" t="s">
        <v>52</v>
      </c>
      <c r="G397">
        <v>58</v>
      </c>
      <c r="H397">
        <v>24</v>
      </c>
      <c r="I397">
        <v>6</v>
      </c>
      <c r="J397">
        <v>88</v>
      </c>
      <c r="K397" s="482">
        <v>0.65900000000000003</v>
      </c>
      <c r="L397" s="482">
        <v>0.27300000000000002</v>
      </c>
      <c r="M397" s="482">
        <v>6.8000000000000005E-2</v>
      </c>
    </row>
    <row r="398" spans="1:13" x14ac:dyDescent="0.2">
      <c r="A398" t="s">
        <v>1169</v>
      </c>
      <c r="B398" t="s">
        <v>50</v>
      </c>
      <c r="C398" t="s">
        <v>87</v>
      </c>
      <c r="D398" t="s">
        <v>569</v>
      </c>
      <c r="E398" t="s">
        <v>339</v>
      </c>
      <c r="F398" t="s">
        <v>52</v>
      </c>
      <c r="G398">
        <v>13</v>
      </c>
      <c r="H398">
        <v>8</v>
      </c>
      <c r="I398">
        <v>8</v>
      </c>
      <c r="J398">
        <v>29</v>
      </c>
      <c r="K398" s="482">
        <v>0.44800000000000001</v>
      </c>
      <c r="L398" s="482">
        <v>0.27600000000000002</v>
      </c>
      <c r="M398" s="482">
        <v>0.27600000000000002</v>
      </c>
    </row>
    <row r="399" spans="1:13" x14ac:dyDescent="0.2">
      <c r="A399" t="s">
        <v>1226</v>
      </c>
      <c r="B399" t="s">
        <v>50</v>
      </c>
      <c r="C399" t="s">
        <v>87</v>
      </c>
      <c r="D399" t="s">
        <v>396</v>
      </c>
      <c r="E399" t="s">
        <v>397</v>
      </c>
      <c r="F399" t="s">
        <v>52</v>
      </c>
      <c r="G399">
        <v>36</v>
      </c>
      <c r="H399">
        <v>20</v>
      </c>
      <c r="I399">
        <v>13</v>
      </c>
      <c r="J399">
        <v>69</v>
      </c>
      <c r="K399" s="482">
        <v>0.52200000000000002</v>
      </c>
      <c r="L399" s="482">
        <v>0.28999999999999998</v>
      </c>
      <c r="M399" s="482">
        <v>0.188</v>
      </c>
    </row>
    <row r="400" spans="1:13" x14ac:dyDescent="0.2">
      <c r="A400" t="s">
        <v>1175</v>
      </c>
      <c r="B400" t="s">
        <v>50</v>
      </c>
      <c r="C400" t="s">
        <v>87</v>
      </c>
      <c r="D400" t="s">
        <v>552</v>
      </c>
      <c r="E400" t="s">
        <v>337</v>
      </c>
      <c r="F400" t="s">
        <v>52</v>
      </c>
      <c r="G400">
        <v>44</v>
      </c>
      <c r="H400">
        <v>51</v>
      </c>
      <c r="I400">
        <v>14</v>
      </c>
      <c r="J400">
        <v>109</v>
      </c>
      <c r="K400" s="482">
        <v>0.40400000000000003</v>
      </c>
      <c r="L400" s="482">
        <v>0.46800000000000003</v>
      </c>
      <c r="M400" s="482">
        <v>0.128</v>
      </c>
    </row>
    <row r="401" spans="1:13" x14ac:dyDescent="0.2">
      <c r="A401" t="s">
        <v>1176</v>
      </c>
      <c r="B401" t="s">
        <v>50</v>
      </c>
      <c r="C401" t="s">
        <v>87</v>
      </c>
      <c r="D401" t="s">
        <v>549</v>
      </c>
      <c r="E401" t="s">
        <v>550</v>
      </c>
      <c r="F401" t="s">
        <v>52</v>
      </c>
      <c r="G401">
        <v>49</v>
      </c>
      <c r="H401">
        <v>23</v>
      </c>
      <c r="I401">
        <v>15</v>
      </c>
      <c r="J401">
        <v>87</v>
      </c>
      <c r="K401" s="482">
        <v>0.56299999999999994</v>
      </c>
      <c r="L401" s="482">
        <v>0.26400000000000001</v>
      </c>
      <c r="M401" s="482">
        <v>0.17199999999999999</v>
      </c>
    </row>
    <row r="402" spans="1:13" x14ac:dyDescent="0.2">
      <c r="A402" t="s">
        <v>1177</v>
      </c>
      <c r="B402" t="s">
        <v>50</v>
      </c>
      <c r="C402" t="s">
        <v>87</v>
      </c>
      <c r="D402" t="s">
        <v>546</v>
      </c>
      <c r="E402" t="s">
        <v>547</v>
      </c>
      <c r="F402" t="s">
        <v>52</v>
      </c>
      <c r="G402">
        <v>2</v>
      </c>
      <c r="H402">
        <v>2</v>
      </c>
      <c r="I402">
        <v>2</v>
      </c>
      <c r="J402">
        <v>6</v>
      </c>
      <c r="K402" s="482">
        <v>0.33300000000000002</v>
      </c>
      <c r="L402" s="482">
        <v>0.33300000000000002</v>
      </c>
      <c r="M402" s="482">
        <v>0.33300000000000002</v>
      </c>
    </row>
    <row r="403" spans="1:13" x14ac:dyDescent="0.2">
      <c r="A403" t="s">
        <v>1178</v>
      </c>
      <c r="B403" t="s">
        <v>50</v>
      </c>
      <c r="C403" t="s">
        <v>87</v>
      </c>
      <c r="D403" t="s">
        <v>543</v>
      </c>
      <c r="E403" t="s">
        <v>544</v>
      </c>
      <c r="F403" t="s">
        <v>52</v>
      </c>
      <c r="G403">
        <v>18</v>
      </c>
      <c r="H403">
        <v>15</v>
      </c>
      <c r="I403">
        <v>7</v>
      </c>
      <c r="J403">
        <v>40</v>
      </c>
      <c r="K403" s="482">
        <v>0.45</v>
      </c>
      <c r="L403" s="482">
        <v>0.375</v>
      </c>
      <c r="M403" s="482">
        <v>0.17499999999999999</v>
      </c>
    </row>
    <row r="404" spans="1:13" x14ac:dyDescent="0.2">
      <c r="A404" t="s">
        <v>1179</v>
      </c>
      <c r="B404" t="s">
        <v>50</v>
      </c>
      <c r="C404" t="s">
        <v>87</v>
      </c>
      <c r="D404" t="s">
        <v>540</v>
      </c>
      <c r="E404" t="s">
        <v>541</v>
      </c>
      <c r="F404" t="s">
        <v>52</v>
      </c>
      <c r="G404" t="s">
        <v>53</v>
      </c>
      <c r="H404" t="s">
        <v>53</v>
      </c>
      <c r="I404" t="s">
        <v>53</v>
      </c>
      <c r="J404" t="s">
        <v>53</v>
      </c>
      <c r="K404" t="s">
        <v>53</v>
      </c>
      <c r="L404" t="s">
        <v>53</v>
      </c>
      <c r="M404" t="s">
        <v>53</v>
      </c>
    </row>
    <row r="405" spans="1:13" x14ac:dyDescent="0.2">
      <c r="A405" t="s">
        <v>1180</v>
      </c>
      <c r="B405" t="s">
        <v>50</v>
      </c>
      <c r="C405" t="s">
        <v>87</v>
      </c>
      <c r="D405" t="s">
        <v>537</v>
      </c>
      <c r="E405" t="s">
        <v>538</v>
      </c>
      <c r="F405" t="s">
        <v>52</v>
      </c>
      <c r="G405">
        <v>124</v>
      </c>
      <c r="H405">
        <v>71</v>
      </c>
      <c r="I405">
        <v>28</v>
      </c>
      <c r="J405">
        <v>223</v>
      </c>
      <c r="K405" s="482">
        <v>0.55600000000000005</v>
      </c>
      <c r="L405" s="482">
        <v>0.318</v>
      </c>
      <c r="M405" s="482">
        <v>0.126</v>
      </c>
    </row>
    <row r="406" spans="1:13" x14ac:dyDescent="0.2">
      <c r="A406" t="s">
        <v>1181</v>
      </c>
      <c r="B406" t="s">
        <v>50</v>
      </c>
      <c r="C406" t="s">
        <v>87</v>
      </c>
      <c r="D406" t="s">
        <v>534</v>
      </c>
      <c r="E406" t="s">
        <v>535</v>
      </c>
      <c r="F406" t="s">
        <v>52</v>
      </c>
      <c r="G406">
        <v>6</v>
      </c>
      <c r="H406">
        <v>1</v>
      </c>
      <c r="I406">
        <v>6</v>
      </c>
      <c r="J406">
        <v>13</v>
      </c>
      <c r="K406" s="482">
        <v>0.46200000000000002</v>
      </c>
      <c r="L406" s="482">
        <v>7.6999999999999999E-2</v>
      </c>
      <c r="M406" s="482">
        <v>0.46200000000000002</v>
      </c>
    </row>
    <row r="407" spans="1:13" x14ac:dyDescent="0.2">
      <c r="A407" t="s">
        <v>1182</v>
      </c>
      <c r="B407" t="s">
        <v>50</v>
      </c>
      <c r="C407" t="s">
        <v>87</v>
      </c>
      <c r="D407" t="s">
        <v>531</v>
      </c>
      <c r="E407" t="s">
        <v>532</v>
      </c>
      <c r="F407" t="s">
        <v>52</v>
      </c>
      <c r="G407">
        <v>30</v>
      </c>
      <c r="H407">
        <v>11</v>
      </c>
      <c r="I407">
        <v>6</v>
      </c>
      <c r="J407">
        <v>47</v>
      </c>
      <c r="K407" s="482">
        <v>0.63800000000000001</v>
      </c>
      <c r="L407" s="482">
        <v>0.23400000000000001</v>
      </c>
      <c r="M407" s="482">
        <v>0.128</v>
      </c>
    </row>
    <row r="408" spans="1:13" x14ac:dyDescent="0.2">
      <c r="A408" t="s">
        <v>1183</v>
      </c>
      <c r="B408" t="s">
        <v>50</v>
      </c>
      <c r="C408" t="s">
        <v>87</v>
      </c>
      <c r="D408" t="s">
        <v>528</v>
      </c>
      <c r="E408" t="s">
        <v>529</v>
      </c>
      <c r="F408" t="s">
        <v>52</v>
      </c>
      <c r="G408">
        <v>124</v>
      </c>
      <c r="H408">
        <v>60</v>
      </c>
      <c r="I408">
        <v>31</v>
      </c>
      <c r="J408">
        <v>215</v>
      </c>
      <c r="K408" s="482">
        <v>0.57699999999999996</v>
      </c>
      <c r="L408" s="482">
        <v>0.27900000000000003</v>
      </c>
      <c r="M408" s="482">
        <v>0.14399999999999999</v>
      </c>
    </row>
    <row r="409" spans="1:13" x14ac:dyDescent="0.2">
      <c r="A409" t="s">
        <v>1184</v>
      </c>
      <c r="B409" t="s">
        <v>50</v>
      </c>
      <c r="C409" t="s">
        <v>87</v>
      </c>
      <c r="D409" t="s">
        <v>525</v>
      </c>
      <c r="E409" t="s">
        <v>526</v>
      </c>
      <c r="F409" t="s">
        <v>52</v>
      </c>
      <c r="G409">
        <v>100</v>
      </c>
      <c r="H409">
        <v>72</v>
      </c>
      <c r="I409">
        <v>27</v>
      </c>
      <c r="J409">
        <v>199</v>
      </c>
      <c r="K409" s="482">
        <v>0.503</v>
      </c>
      <c r="L409" s="482">
        <v>0.36199999999999999</v>
      </c>
      <c r="M409" s="482">
        <v>0.13600000000000001</v>
      </c>
    </row>
    <row r="410" spans="1:13" x14ac:dyDescent="0.2">
      <c r="A410" t="s">
        <v>1185</v>
      </c>
      <c r="B410" t="s">
        <v>50</v>
      </c>
      <c r="C410" t="s">
        <v>87</v>
      </c>
      <c r="D410" t="s">
        <v>522</v>
      </c>
      <c r="E410" t="s">
        <v>523</v>
      </c>
      <c r="F410" t="s">
        <v>52</v>
      </c>
      <c r="G410">
        <v>0</v>
      </c>
      <c r="H410">
        <v>3</v>
      </c>
      <c r="I410">
        <v>4</v>
      </c>
      <c r="J410">
        <v>7</v>
      </c>
      <c r="K410" s="482">
        <v>0</v>
      </c>
      <c r="L410" s="482">
        <v>0.42899999999999999</v>
      </c>
      <c r="M410" s="482">
        <v>0.57099999999999995</v>
      </c>
    </row>
    <row r="411" spans="1:13" x14ac:dyDescent="0.2">
      <c r="A411" t="s">
        <v>1186</v>
      </c>
      <c r="B411" t="s">
        <v>50</v>
      </c>
      <c r="C411" t="s">
        <v>87</v>
      </c>
      <c r="D411" t="s">
        <v>519</v>
      </c>
      <c r="E411" t="s">
        <v>520</v>
      </c>
      <c r="F411" t="s">
        <v>52</v>
      </c>
      <c r="G411">
        <v>65</v>
      </c>
      <c r="H411">
        <v>58</v>
      </c>
      <c r="I411">
        <v>25</v>
      </c>
      <c r="J411">
        <v>148</v>
      </c>
      <c r="K411" s="482">
        <v>0.439</v>
      </c>
      <c r="L411" s="482">
        <v>0.39200000000000002</v>
      </c>
      <c r="M411" s="482">
        <v>0.16900000000000001</v>
      </c>
    </row>
    <row r="412" spans="1:13" x14ac:dyDescent="0.2">
      <c r="A412" t="s">
        <v>1187</v>
      </c>
      <c r="B412" t="s">
        <v>50</v>
      </c>
      <c r="C412" t="s">
        <v>87</v>
      </c>
      <c r="D412" t="s">
        <v>516</v>
      </c>
      <c r="E412" t="s">
        <v>517</v>
      </c>
      <c r="F412" t="s">
        <v>52</v>
      </c>
      <c r="G412">
        <v>24</v>
      </c>
      <c r="H412">
        <v>15</v>
      </c>
      <c r="I412">
        <v>9</v>
      </c>
      <c r="J412">
        <v>48</v>
      </c>
      <c r="K412" s="482">
        <v>0.5</v>
      </c>
      <c r="L412" s="482">
        <v>0.313</v>
      </c>
      <c r="M412" s="482">
        <v>0.188</v>
      </c>
    </row>
    <row r="413" spans="1:13" x14ac:dyDescent="0.2">
      <c r="A413" t="s">
        <v>1188</v>
      </c>
      <c r="B413" t="s">
        <v>50</v>
      </c>
      <c r="C413" t="s">
        <v>87</v>
      </c>
      <c r="D413" t="s">
        <v>513</v>
      </c>
      <c r="E413" t="s">
        <v>514</v>
      </c>
      <c r="F413" t="s">
        <v>52</v>
      </c>
      <c r="G413">
        <v>39</v>
      </c>
      <c r="H413">
        <v>27</v>
      </c>
      <c r="I413">
        <v>13</v>
      </c>
      <c r="J413">
        <v>79</v>
      </c>
      <c r="K413" s="482">
        <v>0.49399999999999999</v>
      </c>
      <c r="L413" s="482">
        <v>0.34200000000000003</v>
      </c>
      <c r="M413" s="482">
        <v>0.16500000000000001</v>
      </c>
    </row>
    <row r="414" spans="1:13" x14ac:dyDescent="0.2">
      <c r="A414" t="s">
        <v>1189</v>
      </c>
      <c r="B414" t="s">
        <v>50</v>
      </c>
      <c r="C414" t="s">
        <v>87</v>
      </c>
      <c r="D414" t="s">
        <v>510</v>
      </c>
      <c r="E414" t="s">
        <v>511</v>
      </c>
      <c r="F414" t="s">
        <v>52</v>
      </c>
      <c r="G414">
        <v>18</v>
      </c>
      <c r="H414">
        <v>9</v>
      </c>
      <c r="I414">
        <v>7</v>
      </c>
      <c r="J414">
        <v>34</v>
      </c>
      <c r="K414" s="482">
        <v>0.52900000000000003</v>
      </c>
      <c r="L414" s="482">
        <v>0.26500000000000001</v>
      </c>
      <c r="M414" s="482">
        <v>0.20599999999999999</v>
      </c>
    </row>
    <row r="415" spans="1:13" x14ac:dyDescent="0.2">
      <c r="A415" t="s">
        <v>1190</v>
      </c>
      <c r="B415" t="s">
        <v>50</v>
      </c>
      <c r="C415" t="s">
        <v>87</v>
      </c>
      <c r="D415" t="s">
        <v>507</v>
      </c>
      <c r="E415" t="s">
        <v>508</v>
      </c>
      <c r="F415" t="s">
        <v>52</v>
      </c>
      <c r="G415">
        <v>130</v>
      </c>
      <c r="H415">
        <v>79</v>
      </c>
      <c r="I415">
        <v>37</v>
      </c>
      <c r="J415">
        <v>246</v>
      </c>
      <c r="K415" s="482">
        <v>0.52800000000000002</v>
      </c>
      <c r="L415" s="482">
        <v>0.32100000000000001</v>
      </c>
      <c r="M415" s="482">
        <v>0.15</v>
      </c>
    </row>
    <row r="416" spans="1:13" x14ac:dyDescent="0.2">
      <c r="A416" t="s">
        <v>1191</v>
      </c>
      <c r="B416" t="s">
        <v>50</v>
      </c>
      <c r="C416" t="s">
        <v>87</v>
      </c>
      <c r="D416" t="s">
        <v>504</v>
      </c>
      <c r="E416" t="s">
        <v>505</v>
      </c>
      <c r="F416" t="s">
        <v>52</v>
      </c>
      <c r="G416">
        <v>83</v>
      </c>
      <c r="H416">
        <v>37</v>
      </c>
      <c r="I416">
        <v>22</v>
      </c>
      <c r="J416">
        <v>142</v>
      </c>
      <c r="K416" s="482">
        <v>0.58499999999999996</v>
      </c>
      <c r="L416" s="482">
        <v>0.26100000000000001</v>
      </c>
      <c r="M416" s="482">
        <v>0.155</v>
      </c>
    </row>
    <row r="417" spans="1:13" x14ac:dyDescent="0.2">
      <c r="A417" t="s">
        <v>1192</v>
      </c>
      <c r="B417" t="s">
        <v>50</v>
      </c>
      <c r="C417" t="s">
        <v>87</v>
      </c>
      <c r="D417" t="s">
        <v>501</v>
      </c>
      <c r="E417" t="s">
        <v>502</v>
      </c>
      <c r="F417" t="s">
        <v>52</v>
      </c>
      <c r="G417">
        <v>43</v>
      </c>
      <c r="H417">
        <v>19</v>
      </c>
      <c r="I417">
        <v>11</v>
      </c>
      <c r="J417">
        <v>73</v>
      </c>
      <c r="K417" s="482">
        <v>0.58899999999999997</v>
      </c>
      <c r="L417" s="482">
        <v>0.26</v>
      </c>
      <c r="M417" s="482">
        <v>0.151</v>
      </c>
    </row>
    <row r="418" spans="1:13" x14ac:dyDescent="0.2">
      <c r="A418" t="s">
        <v>1193</v>
      </c>
      <c r="B418" t="s">
        <v>50</v>
      </c>
      <c r="C418" t="s">
        <v>87</v>
      </c>
      <c r="D418" t="s">
        <v>498</v>
      </c>
      <c r="E418" t="s">
        <v>499</v>
      </c>
      <c r="F418" t="s">
        <v>52</v>
      </c>
      <c r="G418">
        <v>50</v>
      </c>
      <c r="H418">
        <v>22</v>
      </c>
      <c r="I418">
        <v>12</v>
      </c>
      <c r="J418">
        <v>84</v>
      </c>
      <c r="K418" s="482">
        <v>0.59499999999999997</v>
      </c>
      <c r="L418" s="482">
        <v>0.26200000000000001</v>
      </c>
      <c r="M418" s="482">
        <v>0.14299999999999999</v>
      </c>
    </row>
    <row r="419" spans="1:13" x14ac:dyDescent="0.2">
      <c r="A419" t="s">
        <v>1225</v>
      </c>
      <c r="B419" t="s">
        <v>50</v>
      </c>
      <c r="C419" t="s">
        <v>87</v>
      </c>
      <c r="D419" t="s">
        <v>399</v>
      </c>
      <c r="E419" t="s">
        <v>400</v>
      </c>
      <c r="F419" t="s">
        <v>52</v>
      </c>
      <c r="G419">
        <v>56</v>
      </c>
      <c r="H419">
        <v>33</v>
      </c>
      <c r="I419">
        <v>18</v>
      </c>
      <c r="J419">
        <v>107</v>
      </c>
      <c r="K419" s="482">
        <v>0.52300000000000002</v>
      </c>
      <c r="L419" s="482">
        <v>0.308</v>
      </c>
      <c r="M419" s="482">
        <v>0.16800000000000001</v>
      </c>
    </row>
    <row r="420" spans="1:13" x14ac:dyDescent="0.2">
      <c r="A420" t="s">
        <v>6557</v>
      </c>
      <c r="B420" t="s">
        <v>50</v>
      </c>
      <c r="C420" t="s">
        <v>87</v>
      </c>
      <c r="D420" t="s">
        <v>6547</v>
      </c>
      <c r="E420" t="s">
        <v>6544</v>
      </c>
      <c r="F420" t="s">
        <v>52</v>
      </c>
      <c r="G420" t="s">
        <v>53</v>
      </c>
      <c r="H420">
        <v>0</v>
      </c>
      <c r="I420">
        <v>0</v>
      </c>
      <c r="J420" t="s">
        <v>53</v>
      </c>
      <c r="K420" t="s">
        <v>53</v>
      </c>
      <c r="L420" t="s">
        <v>53</v>
      </c>
      <c r="M420" t="s">
        <v>53</v>
      </c>
    </row>
    <row r="421" spans="1:13" x14ac:dyDescent="0.2">
      <c r="A421" t="s">
        <v>1204</v>
      </c>
      <c r="B421" t="s">
        <v>50</v>
      </c>
      <c r="C421" t="s">
        <v>87</v>
      </c>
      <c r="D421" t="s">
        <v>462</v>
      </c>
      <c r="E421" t="s">
        <v>463</v>
      </c>
      <c r="F421" t="s">
        <v>52</v>
      </c>
      <c r="G421">
        <v>83</v>
      </c>
      <c r="H421">
        <v>33</v>
      </c>
      <c r="I421">
        <v>17</v>
      </c>
      <c r="J421">
        <v>133</v>
      </c>
      <c r="K421" s="482">
        <v>0.624</v>
      </c>
      <c r="L421" s="482">
        <v>0.248</v>
      </c>
      <c r="M421" s="482">
        <v>0.128</v>
      </c>
    </row>
    <row r="422" spans="1:13" x14ac:dyDescent="0.2">
      <c r="A422" t="s">
        <v>1205</v>
      </c>
      <c r="B422" t="s">
        <v>50</v>
      </c>
      <c r="C422" t="s">
        <v>87</v>
      </c>
      <c r="D422" t="s">
        <v>459</v>
      </c>
      <c r="E422" t="s">
        <v>460</v>
      </c>
      <c r="F422" t="s">
        <v>52</v>
      </c>
      <c r="G422">
        <v>24</v>
      </c>
      <c r="H422">
        <v>31</v>
      </c>
      <c r="I422">
        <v>12</v>
      </c>
      <c r="J422">
        <v>67</v>
      </c>
      <c r="K422" s="482">
        <v>0.35799999999999998</v>
      </c>
      <c r="L422" s="482">
        <v>0.46300000000000002</v>
      </c>
      <c r="M422" s="482">
        <v>0.17899999999999999</v>
      </c>
    </row>
    <row r="423" spans="1:13" x14ac:dyDescent="0.2">
      <c r="A423" t="s">
        <v>1206</v>
      </c>
      <c r="B423" t="s">
        <v>50</v>
      </c>
      <c r="C423" t="s">
        <v>87</v>
      </c>
      <c r="D423" t="s">
        <v>456</v>
      </c>
      <c r="E423" t="s">
        <v>457</v>
      </c>
      <c r="F423" t="s">
        <v>52</v>
      </c>
      <c r="G423" t="s">
        <v>53</v>
      </c>
      <c r="H423" t="s">
        <v>53</v>
      </c>
      <c r="I423" t="s">
        <v>53</v>
      </c>
      <c r="J423" t="s">
        <v>53</v>
      </c>
      <c r="K423" t="s">
        <v>53</v>
      </c>
      <c r="L423" t="s">
        <v>53</v>
      </c>
      <c r="M423" t="s">
        <v>53</v>
      </c>
    </row>
    <row r="424" spans="1:13" x14ac:dyDescent="0.2">
      <c r="A424" t="s">
        <v>1207</v>
      </c>
      <c r="B424" t="s">
        <v>50</v>
      </c>
      <c r="C424" t="s">
        <v>87</v>
      </c>
      <c r="D424" t="s">
        <v>453</v>
      </c>
      <c r="E424" t="s">
        <v>454</v>
      </c>
      <c r="F424" t="s">
        <v>52</v>
      </c>
      <c r="G424">
        <v>73</v>
      </c>
      <c r="H424">
        <v>66</v>
      </c>
      <c r="I424">
        <v>31</v>
      </c>
      <c r="J424">
        <v>170</v>
      </c>
      <c r="K424" s="482">
        <v>0.42899999999999999</v>
      </c>
      <c r="L424" s="482">
        <v>0.38800000000000001</v>
      </c>
      <c r="M424" s="482">
        <v>0.182</v>
      </c>
    </row>
    <row r="425" spans="1:13" x14ac:dyDescent="0.2">
      <c r="A425" t="s">
        <v>1208</v>
      </c>
      <c r="B425" t="s">
        <v>50</v>
      </c>
      <c r="C425" t="s">
        <v>87</v>
      </c>
      <c r="D425" t="s">
        <v>450</v>
      </c>
      <c r="E425" t="s">
        <v>451</v>
      </c>
      <c r="F425" t="s">
        <v>52</v>
      </c>
      <c r="G425">
        <v>47</v>
      </c>
      <c r="H425">
        <v>28</v>
      </c>
      <c r="I425">
        <v>15</v>
      </c>
      <c r="J425">
        <v>90</v>
      </c>
      <c r="K425" s="482">
        <v>0.52200000000000002</v>
      </c>
      <c r="L425" s="482">
        <v>0.311</v>
      </c>
      <c r="M425" s="482">
        <v>0.16700000000000001</v>
      </c>
    </row>
    <row r="426" spans="1:13" x14ac:dyDescent="0.2">
      <c r="A426" t="s">
        <v>1209</v>
      </c>
      <c r="B426" t="s">
        <v>50</v>
      </c>
      <c r="C426" t="s">
        <v>87</v>
      </c>
      <c r="D426" t="s">
        <v>447</v>
      </c>
      <c r="E426" t="s">
        <v>448</v>
      </c>
      <c r="F426" t="s">
        <v>52</v>
      </c>
      <c r="G426">
        <v>47</v>
      </c>
      <c r="H426">
        <v>20</v>
      </c>
      <c r="I426">
        <v>10</v>
      </c>
      <c r="J426">
        <v>77</v>
      </c>
      <c r="K426" s="482">
        <v>0.61</v>
      </c>
      <c r="L426" s="482">
        <v>0.26</v>
      </c>
      <c r="M426" s="482">
        <v>0.13</v>
      </c>
    </row>
    <row r="427" spans="1:13" x14ac:dyDescent="0.2">
      <c r="A427" t="s">
        <v>1210</v>
      </c>
      <c r="B427" t="s">
        <v>50</v>
      </c>
      <c r="C427" t="s">
        <v>87</v>
      </c>
      <c r="D427" t="s">
        <v>444</v>
      </c>
      <c r="E427" t="s">
        <v>445</v>
      </c>
      <c r="F427" t="s">
        <v>52</v>
      </c>
      <c r="G427">
        <v>116</v>
      </c>
      <c r="H427">
        <v>73</v>
      </c>
      <c r="I427">
        <v>29</v>
      </c>
      <c r="J427">
        <v>218</v>
      </c>
      <c r="K427" s="482">
        <v>0.53200000000000003</v>
      </c>
      <c r="L427" s="482">
        <v>0.33500000000000002</v>
      </c>
      <c r="M427" s="482">
        <v>0.13300000000000001</v>
      </c>
    </row>
    <row r="428" spans="1:13" x14ac:dyDescent="0.2">
      <c r="A428" t="s">
        <v>1223</v>
      </c>
      <c r="B428" t="s">
        <v>50</v>
      </c>
      <c r="C428" t="s">
        <v>87</v>
      </c>
      <c r="D428" t="s">
        <v>405</v>
      </c>
      <c r="E428" t="s">
        <v>406</v>
      </c>
      <c r="F428" t="s">
        <v>52</v>
      </c>
      <c r="G428">
        <v>52</v>
      </c>
      <c r="H428">
        <v>39</v>
      </c>
      <c r="I428">
        <v>17</v>
      </c>
      <c r="J428">
        <v>108</v>
      </c>
      <c r="K428" s="482">
        <v>0.48099999999999998</v>
      </c>
      <c r="L428" s="482">
        <v>0.36099999999999999</v>
      </c>
      <c r="M428" s="482">
        <v>0.157</v>
      </c>
    </row>
    <row r="429" spans="1:13" x14ac:dyDescent="0.2">
      <c r="A429" t="s">
        <v>1224</v>
      </c>
      <c r="B429" t="s">
        <v>50</v>
      </c>
      <c r="C429" t="s">
        <v>87</v>
      </c>
      <c r="D429" t="s">
        <v>402</v>
      </c>
      <c r="E429" t="s">
        <v>403</v>
      </c>
      <c r="F429" t="s">
        <v>52</v>
      </c>
      <c r="G429">
        <v>52</v>
      </c>
      <c r="H429">
        <v>40</v>
      </c>
      <c r="I429">
        <v>23</v>
      </c>
      <c r="J429">
        <v>115</v>
      </c>
      <c r="K429" s="482">
        <v>0.45200000000000001</v>
      </c>
      <c r="L429" s="482">
        <v>0.34799999999999998</v>
      </c>
      <c r="M429" s="482">
        <v>0.2</v>
      </c>
    </row>
    <row r="430" spans="1:13" x14ac:dyDescent="0.2">
      <c r="A430" t="s">
        <v>1212</v>
      </c>
      <c r="B430" t="s">
        <v>50</v>
      </c>
      <c r="C430" t="s">
        <v>87</v>
      </c>
      <c r="D430" t="s">
        <v>438</v>
      </c>
      <c r="E430" t="s">
        <v>439</v>
      </c>
      <c r="F430" t="s">
        <v>52</v>
      </c>
      <c r="G430">
        <v>28</v>
      </c>
      <c r="H430">
        <v>9</v>
      </c>
      <c r="I430">
        <v>5</v>
      </c>
      <c r="J430">
        <v>42</v>
      </c>
      <c r="K430" s="482">
        <v>0.66700000000000004</v>
      </c>
      <c r="L430" s="482">
        <v>0.214</v>
      </c>
      <c r="M430" s="482">
        <v>0.11899999999999999</v>
      </c>
    </row>
    <row r="431" spans="1:13" x14ac:dyDescent="0.2">
      <c r="A431" t="s">
        <v>1211</v>
      </c>
      <c r="B431" t="s">
        <v>50</v>
      </c>
      <c r="C431" t="s">
        <v>87</v>
      </c>
      <c r="D431" t="s">
        <v>441</v>
      </c>
      <c r="E431" t="s">
        <v>442</v>
      </c>
      <c r="F431" t="s">
        <v>52</v>
      </c>
      <c r="G431">
        <v>35</v>
      </c>
      <c r="H431">
        <v>29</v>
      </c>
      <c r="I431">
        <v>10</v>
      </c>
      <c r="J431">
        <v>74</v>
      </c>
      <c r="K431" s="482">
        <v>0.47299999999999998</v>
      </c>
      <c r="L431" s="482">
        <v>0.39200000000000002</v>
      </c>
      <c r="M431" s="482">
        <v>0.13500000000000001</v>
      </c>
    </row>
    <row r="432" spans="1:13" x14ac:dyDescent="0.2">
      <c r="A432" t="s">
        <v>1197</v>
      </c>
      <c r="B432" t="s">
        <v>50</v>
      </c>
      <c r="C432" t="s">
        <v>87</v>
      </c>
      <c r="D432" t="s">
        <v>483</v>
      </c>
      <c r="E432" t="s">
        <v>484</v>
      </c>
      <c r="F432" t="s">
        <v>52</v>
      </c>
      <c r="G432">
        <v>41</v>
      </c>
      <c r="H432">
        <v>23</v>
      </c>
      <c r="I432">
        <v>18</v>
      </c>
      <c r="J432">
        <v>82</v>
      </c>
      <c r="K432" s="482">
        <v>0.5</v>
      </c>
      <c r="L432" s="482">
        <v>0.28000000000000003</v>
      </c>
      <c r="M432" s="482">
        <v>0.22</v>
      </c>
    </row>
    <row r="433" spans="1:13" x14ac:dyDescent="0.2">
      <c r="A433" t="s">
        <v>1200</v>
      </c>
      <c r="B433" t="s">
        <v>50</v>
      </c>
      <c r="C433" t="s">
        <v>87</v>
      </c>
      <c r="D433" t="s">
        <v>474</v>
      </c>
      <c r="E433" t="s">
        <v>475</v>
      </c>
      <c r="F433" t="s">
        <v>52</v>
      </c>
      <c r="G433">
        <v>49</v>
      </c>
      <c r="H433">
        <v>45</v>
      </c>
      <c r="I433">
        <v>26</v>
      </c>
      <c r="J433">
        <v>120</v>
      </c>
      <c r="K433" s="482">
        <v>0.40799999999999997</v>
      </c>
      <c r="L433" s="482">
        <v>0.375</v>
      </c>
      <c r="M433" s="482">
        <v>0.217</v>
      </c>
    </row>
    <row r="434" spans="1:13" x14ac:dyDescent="0.2">
      <c r="A434" t="s">
        <v>1201</v>
      </c>
      <c r="B434" t="s">
        <v>50</v>
      </c>
      <c r="C434" t="s">
        <v>87</v>
      </c>
      <c r="D434" t="s">
        <v>471</v>
      </c>
      <c r="E434" t="s">
        <v>472</v>
      </c>
      <c r="F434" t="s">
        <v>52</v>
      </c>
      <c r="G434">
        <v>15</v>
      </c>
      <c r="H434">
        <v>12</v>
      </c>
      <c r="I434">
        <v>4</v>
      </c>
      <c r="J434">
        <v>31</v>
      </c>
      <c r="K434" s="482">
        <v>0.48399999999999999</v>
      </c>
      <c r="L434" s="482">
        <v>0.38700000000000001</v>
      </c>
      <c r="M434" s="482">
        <v>0.129</v>
      </c>
    </row>
    <row r="435" spans="1:13" x14ac:dyDescent="0.2">
      <c r="A435" t="s">
        <v>1202</v>
      </c>
      <c r="B435" t="s">
        <v>50</v>
      </c>
      <c r="C435" t="s">
        <v>87</v>
      </c>
      <c r="D435" t="s">
        <v>468</v>
      </c>
      <c r="E435" t="s">
        <v>469</v>
      </c>
      <c r="F435" t="s">
        <v>52</v>
      </c>
      <c r="G435">
        <v>133</v>
      </c>
      <c r="H435">
        <v>87</v>
      </c>
      <c r="I435">
        <v>33</v>
      </c>
      <c r="J435">
        <v>253</v>
      </c>
      <c r="K435" s="482">
        <v>0.52600000000000002</v>
      </c>
      <c r="L435" s="482">
        <v>0.34399999999999997</v>
      </c>
      <c r="M435" s="482">
        <v>0.13</v>
      </c>
    </row>
    <row r="436" spans="1:13" x14ac:dyDescent="0.2">
      <c r="A436" t="s">
        <v>1203</v>
      </c>
      <c r="B436" t="s">
        <v>50</v>
      </c>
      <c r="C436" t="s">
        <v>87</v>
      </c>
      <c r="D436" t="s">
        <v>465</v>
      </c>
      <c r="E436" t="s">
        <v>466</v>
      </c>
      <c r="F436" t="s">
        <v>52</v>
      </c>
      <c r="G436">
        <v>82</v>
      </c>
      <c r="H436">
        <v>46</v>
      </c>
      <c r="I436">
        <v>28</v>
      </c>
      <c r="J436">
        <v>156</v>
      </c>
      <c r="K436" s="482">
        <v>0.52600000000000002</v>
      </c>
      <c r="L436" s="482">
        <v>0.29499999999999998</v>
      </c>
      <c r="M436" s="482">
        <v>0.17899999999999999</v>
      </c>
    </row>
    <row r="437" spans="1:13" x14ac:dyDescent="0.2">
      <c r="A437" t="s">
        <v>1198</v>
      </c>
      <c r="B437" t="s">
        <v>50</v>
      </c>
      <c r="C437" t="s">
        <v>87</v>
      </c>
      <c r="D437" t="s">
        <v>480</v>
      </c>
      <c r="E437" t="s">
        <v>481</v>
      </c>
      <c r="F437" t="s">
        <v>52</v>
      </c>
      <c r="G437">
        <v>50</v>
      </c>
      <c r="H437">
        <v>34</v>
      </c>
      <c r="I437">
        <v>20</v>
      </c>
      <c r="J437">
        <v>104</v>
      </c>
      <c r="K437" s="482">
        <v>0.48099999999999998</v>
      </c>
      <c r="L437" s="482">
        <v>0.32700000000000001</v>
      </c>
      <c r="M437" s="482">
        <v>0.192</v>
      </c>
    </row>
    <row r="438" spans="1:13" x14ac:dyDescent="0.2">
      <c r="A438" t="s">
        <v>1199</v>
      </c>
      <c r="B438" t="s">
        <v>50</v>
      </c>
      <c r="C438" t="s">
        <v>87</v>
      </c>
      <c r="D438" t="s">
        <v>477</v>
      </c>
      <c r="E438" t="s">
        <v>478</v>
      </c>
      <c r="F438" t="s">
        <v>52</v>
      </c>
      <c r="G438">
        <v>21</v>
      </c>
      <c r="H438">
        <v>23</v>
      </c>
      <c r="I438">
        <v>10</v>
      </c>
      <c r="J438">
        <v>54</v>
      </c>
      <c r="K438" s="482">
        <v>0.38900000000000001</v>
      </c>
      <c r="L438" s="482">
        <v>0.42599999999999999</v>
      </c>
      <c r="M438" s="482">
        <v>0.185</v>
      </c>
    </row>
    <row r="439" spans="1:13" x14ac:dyDescent="0.2">
      <c r="A439" t="s">
        <v>1254</v>
      </c>
      <c r="B439" t="s">
        <v>13</v>
      </c>
      <c r="C439" t="s">
        <v>87</v>
      </c>
      <c r="D439" t="s">
        <v>477</v>
      </c>
      <c r="E439" t="s">
        <v>478</v>
      </c>
      <c r="F439" t="s">
        <v>179</v>
      </c>
      <c r="G439">
        <v>64</v>
      </c>
      <c r="H439">
        <v>14</v>
      </c>
      <c r="I439">
        <v>16</v>
      </c>
      <c r="J439">
        <v>94</v>
      </c>
      <c r="K439" s="482">
        <v>0.68100000000000005</v>
      </c>
      <c r="L439" s="482">
        <v>0.14899999999999999</v>
      </c>
      <c r="M439" s="482">
        <v>0.17</v>
      </c>
    </row>
    <row r="440" spans="1:13" x14ac:dyDescent="0.2">
      <c r="A440" t="s">
        <v>1255</v>
      </c>
      <c r="B440" t="s">
        <v>13</v>
      </c>
      <c r="C440" t="s">
        <v>87</v>
      </c>
      <c r="D440" t="s">
        <v>480</v>
      </c>
      <c r="E440" t="s">
        <v>481</v>
      </c>
      <c r="F440" t="s">
        <v>179</v>
      </c>
      <c r="G440">
        <v>87</v>
      </c>
      <c r="H440">
        <v>17</v>
      </c>
      <c r="I440">
        <v>32</v>
      </c>
      <c r="J440">
        <v>136</v>
      </c>
      <c r="K440" s="482">
        <v>0.64</v>
      </c>
      <c r="L440" s="482">
        <v>0.125</v>
      </c>
      <c r="M440" s="482">
        <v>0.23499999999999999</v>
      </c>
    </row>
    <row r="441" spans="1:13" x14ac:dyDescent="0.2">
      <c r="A441" t="s">
        <v>1250</v>
      </c>
      <c r="B441" t="s">
        <v>13</v>
      </c>
      <c r="C441" t="s">
        <v>87</v>
      </c>
      <c r="D441" t="s">
        <v>465</v>
      </c>
      <c r="E441" t="s">
        <v>466</v>
      </c>
      <c r="F441" t="s">
        <v>179</v>
      </c>
      <c r="G441">
        <v>69</v>
      </c>
      <c r="H441">
        <v>11</v>
      </c>
      <c r="I441">
        <v>26</v>
      </c>
      <c r="J441">
        <v>106</v>
      </c>
      <c r="K441" s="482">
        <v>0.65100000000000002</v>
      </c>
      <c r="L441" s="482">
        <v>0.104</v>
      </c>
      <c r="M441" s="482">
        <v>0.245</v>
      </c>
    </row>
    <row r="442" spans="1:13" x14ac:dyDescent="0.2">
      <c r="A442" t="s">
        <v>1251</v>
      </c>
      <c r="B442" t="s">
        <v>13</v>
      </c>
      <c r="C442" t="s">
        <v>87</v>
      </c>
      <c r="D442" t="s">
        <v>468</v>
      </c>
      <c r="E442" t="s">
        <v>469</v>
      </c>
      <c r="F442" t="s">
        <v>179</v>
      </c>
      <c r="G442">
        <v>335</v>
      </c>
      <c r="H442">
        <v>60</v>
      </c>
      <c r="I442">
        <v>107</v>
      </c>
      <c r="J442">
        <v>502</v>
      </c>
      <c r="K442" s="482">
        <v>0.66700000000000004</v>
      </c>
      <c r="L442" s="482">
        <v>0.12</v>
      </c>
      <c r="M442" s="482">
        <v>0.21299999999999999</v>
      </c>
    </row>
    <row r="443" spans="1:13" x14ac:dyDescent="0.2">
      <c r="A443" t="s">
        <v>1252</v>
      </c>
      <c r="B443" t="s">
        <v>13</v>
      </c>
      <c r="C443" t="s">
        <v>87</v>
      </c>
      <c r="D443" t="s">
        <v>471</v>
      </c>
      <c r="E443" t="s">
        <v>472</v>
      </c>
      <c r="F443" t="s">
        <v>179</v>
      </c>
      <c r="G443">
        <v>48</v>
      </c>
      <c r="H443">
        <v>9</v>
      </c>
      <c r="I443">
        <v>17</v>
      </c>
      <c r="J443">
        <v>74</v>
      </c>
      <c r="K443" s="482">
        <v>0.64900000000000002</v>
      </c>
      <c r="L443" s="482">
        <v>0.122</v>
      </c>
      <c r="M443" s="482">
        <v>0.23</v>
      </c>
    </row>
    <row r="444" spans="1:13" x14ac:dyDescent="0.2">
      <c r="A444" t="s">
        <v>1253</v>
      </c>
      <c r="B444" t="s">
        <v>13</v>
      </c>
      <c r="C444" t="s">
        <v>87</v>
      </c>
      <c r="D444" t="s">
        <v>474</v>
      </c>
      <c r="E444" t="s">
        <v>475</v>
      </c>
      <c r="F444" t="s">
        <v>179</v>
      </c>
      <c r="G444">
        <v>137</v>
      </c>
      <c r="H444">
        <v>28</v>
      </c>
      <c r="I444">
        <v>70</v>
      </c>
      <c r="J444">
        <v>235</v>
      </c>
      <c r="K444" s="482">
        <v>0.58299999999999996</v>
      </c>
      <c r="L444" s="482">
        <v>0.11899999999999999</v>
      </c>
      <c r="M444" s="482">
        <v>0.29799999999999999</v>
      </c>
    </row>
    <row r="445" spans="1:13" x14ac:dyDescent="0.2">
      <c r="A445" t="s">
        <v>1256</v>
      </c>
      <c r="B445" t="s">
        <v>13</v>
      </c>
      <c r="C445" t="s">
        <v>87</v>
      </c>
      <c r="D445" t="s">
        <v>483</v>
      </c>
      <c r="E445" t="s">
        <v>484</v>
      </c>
      <c r="F445" t="s">
        <v>179</v>
      </c>
      <c r="G445">
        <v>39</v>
      </c>
      <c r="H445">
        <v>10</v>
      </c>
      <c r="I445">
        <v>21</v>
      </c>
      <c r="J445">
        <v>70</v>
      </c>
      <c r="K445" s="482">
        <v>0.55700000000000005</v>
      </c>
      <c r="L445" s="482">
        <v>0.14299999999999999</v>
      </c>
      <c r="M445" s="482">
        <v>0.3</v>
      </c>
    </row>
    <row r="446" spans="1:13" x14ac:dyDescent="0.2">
      <c r="A446" t="s">
        <v>1242</v>
      </c>
      <c r="B446" t="s">
        <v>13</v>
      </c>
      <c r="C446" t="s">
        <v>87</v>
      </c>
      <c r="D446" t="s">
        <v>441</v>
      </c>
      <c r="E446" t="s">
        <v>442</v>
      </c>
      <c r="F446" t="s">
        <v>179</v>
      </c>
      <c r="G446">
        <v>74</v>
      </c>
      <c r="H446">
        <v>12</v>
      </c>
      <c r="I446">
        <v>23</v>
      </c>
      <c r="J446">
        <v>109</v>
      </c>
      <c r="K446" s="482">
        <v>0.67900000000000005</v>
      </c>
      <c r="L446" s="482">
        <v>0.11</v>
      </c>
      <c r="M446" s="482">
        <v>0.21099999999999999</v>
      </c>
    </row>
    <row r="447" spans="1:13" x14ac:dyDescent="0.2">
      <c r="A447" t="s">
        <v>1241</v>
      </c>
      <c r="B447" t="s">
        <v>13</v>
      </c>
      <c r="C447" t="s">
        <v>87</v>
      </c>
      <c r="D447" t="s">
        <v>438</v>
      </c>
      <c r="E447" t="s">
        <v>439</v>
      </c>
      <c r="F447" t="s">
        <v>179</v>
      </c>
      <c r="G447">
        <v>58</v>
      </c>
      <c r="H447">
        <v>16</v>
      </c>
      <c r="I447">
        <v>17</v>
      </c>
      <c r="J447">
        <v>91</v>
      </c>
      <c r="K447" s="482">
        <v>0.63700000000000001</v>
      </c>
      <c r="L447" s="482">
        <v>0.17599999999999999</v>
      </c>
      <c r="M447" s="482">
        <v>0.187</v>
      </c>
    </row>
    <row r="448" spans="1:13" x14ac:dyDescent="0.2">
      <c r="A448" t="s">
        <v>1229</v>
      </c>
      <c r="B448" t="s">
        <v>13</v>
      </c>
      <c r="C448" t="s">
        <v>87</v>
      </c>
      <c r="D448" t="s">
        <v>402</v>
      </c>
      <c r="E448" t="s">
        <v>403</v>
      </c>
      <c r="F448" t="s">
        <v>179</v>
      </c>
      <c r="G448">
        <v>131</v>
      </c>
      <c r="H448">
        <v>31</v>
      </c>
      <c r="I448">
        <v>29</v>
      </c>
      <c r="J448">
        <v>191</v>
      </c>
      <c r="K448" s="482">
        <v>0.68600000000000005</v>
      </c>
      <c r="L448" s="482">
        <v>0.16200000000000001</v>
      </c>
      <c r="M448" s="482">
        <v>0.152</v>
      </c>
    </row>
    <row r="449" spans="1:13" x14ac:dyDescent="0.2">
      <c r="A449" t="s">
        <v>1230</v>
      </c>
      <c r="B449" t="s">
        <v>13</v>
      </c>
      <c r="C449" t="s">
        <v>87</v>
      </c>
      <c r="D449" t="s">
        <v>405</v>
      </c>
      <c r="E449" t="s">
        <v>406</v>
      </c>
      <c r="F449" t="s">
        <v>179</v>
      </c>
      <c r="G449">
        <v>121</v>
      </c>
      <c r="H449">
        <v>22</v>
      </c>
      <c r="I449">
        <v>52</v>
      </c>
      <c r="J449">
        <v>195</v>
      </c>
      <c r="K449" s="482">
        <v>0.621</v>
      </c>
      <c r="L449" s="482">
        <v>0.113</v>
      </c>
      <c r="M449" s="482">
        <v>0.26700000000000002</v>
      </c>
    </row>
    <row r="450" spans="1:13" x14ac:dyDescent="0.2">
      <c r="A450" t="s">
        <v>1243</v>
      </c>
      <c r="B450" t="s">
        <v>13</v>
      </c>
      <c r="C450" t="s">
        <v>87</v>
      </c>
      <c r="D450" t="s">
        <v>444</v>
      </c>
      <c r="E450" t="s">
        <v>445</v>
      </c>
      <c r="F450" t="s">
        <v>179</v>
      </c>
      <c r="G450">
        <v>281</v>
      </c>
      <c r="H450">
        <v>52</v>
      </c>
      <c r="I450">
        <v>92</v>
      </c>
      <c r="J450">
        <v>425</v>
      </c>
      <c r="K450" s="482">
        <v>0.66100000000000003</v>
      </c>
      <c r="L450" s="482">
        <v>0.122</v>
      </c>
      <c r="M450" s="482">
        <v>0.216</v>
      </c>
    </row>
    <row r="451" spans="1:13" x14ac:dyDescent="0.2">
      <c r="A451" t="s">
        <v>1244</v>
      </c>
      <c r="B451" t="s">
        <v>13</v>
      </c>
      <c r="C451" t="s">
        <v>87</v>
      </c>
      <c r="D451" t="s">
        <v>447</v>
      </c>
      <c r="E451" t="s">
        <v>448</v>
      </c>
      <c r="F451" t="s">
        <v>179</v>
      </c>
      <c r="G451">
        <v>213</v>
      </c>
      <c r="H451">
        <v>29</v>
      </c>
      <c r="I451">
        <v>62</v>
      </c>
      <c r="J451">
        <v>304</v>
      </c>
      <c r="K451" s="482">
        <v>0.70099999999999996</v>
      </c>
      <c r="L451" s="482">
        <v>9.5000000000000001E-2</v>
      </c>
      <c r="M451" s="482">
        <v>0.20399999999999999</v>
      </c>
    </row>
    <row r="452" spans="1:13" x14ac:dyDescent="0.2">
      <c r="A452" t="s">
        <v>1245</v>
      </c>
      <c r="B452" t="s">
        <v>13</v>
      </c>
      <c r="C452" t="s">
        <v>87</v>
      </c>
      <c r="D452" t="s">
        <v>450</v>
      </c>
      <c r="E452" t="s">
        <v>451</v>
      </c>
      <c r="F452" t="s">
        <v>179</v>
      </c>
      <c r="G452">
        <v>38</v>
      </c>
      <c r="H452">
        <v>5</v>
      </c>
      <c r="I452">
        <v>12</v>
      </c>
      <c r="J452">
        <v>55</v>
      </c>
      <c r="K452" s="482">
        <v>0.69099999999999995</v>
      </c>
      <c r="L452" s="482">
        <v>9.0999999999999998E-2</v>
      </c>
      <c r="M452" s="482">
        <v>0.218</v>
      </c>
    </row>
    <row r="453" spans="1:13" x14ac:dyDescent="0.2">
      <c r="A453" t="s">
        <v>1246</v>
      </c>
      <c r="B453" t="s">
        <v>13</v>
      </c>
      <c r="C453" t="s">
        <v>87</v>
      </c>
      <c r="D453" t="s">
        <v>453</v>
      </c>
      <c r="E453" t="s">
        <v>454</v>
      </c>
      <c r="F453" t="s">
        <v>179</v>
      </c>
      <c r="G453">
        <v>169</v>
      </c>
      <c r="H453">
        <v>33</v>
      </c>
      <c r="I453">
        <v>50</v>
      </c>
      <c r="J453">
        <v>252</v>
      </c>
      <c r="K453" s="482">
        <v>0.67100000000000004</v>
      </c>
      <c r="L453" s="482">
        <v>0.13100000000000001</v>
      </c>
      <c r="M453" s="482">
        <v>0.19800000000000001</v>
      </c>
    </row>
    <row r="454" spans="1:13" x14ac:dyDescent="0.2">
      <c r="A454" t="s">
        <v>1247</v>
      </c>
      <c r="B454" t="s">
        <v>13</v>
      </c>
      <c r="C454" t="s">
        <v>87</v>
      </c>
      <c r="D454" t="s">
        <v>456</v>
      </c>
      <c r="E454" t="s">
        <v>457</v>
      </c>
      <c r="F454" t="s">
        <v>179</v>
      </c>
      <c r="G454">
        <v>14</v>
      </c>
      <c r="H454">
        <v>4</v>
      </c>
      <c r="I454">
        <v>4</v>
      </c>
      <c r="J454">
        <v>22</v>
      </c>
      <c r="K454" s="482">
        <v>0.63600000000000001</v>
      </c>
      <c r="L454" s="482">
        <v>0.182</v>
      </c>
      <c r="M454" s="482">
        <v>0.182</v>
      </c>
    </row>
    <row r="455" spans="1:13" x14ac:dyDescent="0.2">
      <c r="A455" t="s">
        <v>1248</v>
      </c>
      <c r="B455" t="s">
        <v>13</v>
      </c>
      <c r="C455" t="s">
        <v>87</v>
      </c>
      <c r="D455" t="s">
        <v>459</v>
      </c>
      <c r="E455" t="s">
        <v>460</v>
      </c>
      <c r="F455" t="s">
        <v>179</v>
      </c>
      <c r="G455">
        <v>95</v>
      </c>
      <c r="H455">
        <v>21</v>
      </c>
      <c r="I455">
        <v>43</v>
      </c>
      <c r="J455">
        <v>159</v>
      </c>
      <c r="K455" s="482">
        <v>0.59699999999999998</v>
      </c>
      <c r="L455" s="482">
        <v>0.13200000000000001</v>
      </c>
      <c r="M455" s="482">
        <v>0.27</v>
      </c>
    </row>
    <row r="456" spans="1:13" x14ac:dyDescent="0.2">
      <c r="A456" t="s">
        <v>1249</v>
      </c>
      <c r="B456" t="s">
        <v>13</v>
      </c>
      <c r="C456" t="s">
        <v>87</v>
      </c>
      <c r="D456" t="s">
        <v>462</v>
      </c>
      <c r="E456" t="s">
        <v>463</v>
      </c>
      <c r="F456" t="s">
        <v>179</v>
      </c>
      <c r="G456">
        <v>140</v>
      </c>
      <c r="H456">
        <v>23</v>
      </c>
      <c r="I456">
        <v>42</v>
      </c>
      <c r="J456">
        <v>205</v>
      </c>
      <c r="K456" s="482">
        <v>0.68300000000000005</v>
      </c>
      <c r="L456" s="482">
        <v>0.112</v>
      </c>
      <c r="M456" s="482">
        <v>0.20499999999999999</v>
      </c>
    </row>
    <row r="457" spans="1:13" x14ac:dyDescent="0.2">
      <c r="A457" t="s">
        <v>1228</v>
      </c>
      <c r="B457" t="s">
        <v>13</v>
      </c>
      <c r="C457" t="s">
        <v>87</v>
      </c>
      <c r="D457" t="s">
        <v>399</v>
      </c>
      <c r="E457" t="s">
        <v>400</v>
      </c>
      <c r="F457" t="s">
        <v>179</v>
      </c>
      <c r="G457">
        <v>110</v>
      </c>
      <c r="H457">
        <v>23</v>
      </c>
      <c r="I457">
        <v>49</v>
      </c>
      <c r="J457">
        <v>182</v>
      </c>
      <c r="K457" s="482">
        <v>0.60399999999999998</v>
      </c>
      <c r="L457" s="482">
        <v>0.126</v>
      </c>
      <c r="M457" s="482">
        <v>0.26900000000000002</v>
      </c>
    </row>
    <row r="458" spans="1:13" x14ac:dyDescent="0.2">
      <c r="A458" t="s">
        <v>1260</v>
      </c>
      <c r="B458" t="s">
        <v>13</v>
      </c>
      <c r="C458" t="s">
        <v>87</v>
      </c>
      <c r="D458" t="s">
        <v>498</v>
      </c>
      <c r="E458" t="s">
        <v>499</v>
      </c>
      <c r="F458" t="s">
        <v>179</v>
      </c>
      <c r="G458">
        <v>129</v>
      </c>
      <c r="H458">
        <v>20</v>
      </c>
      <c r="I458">
        <v>53</v>
      </c>
      <c r="J458">
        <v>202</v>
      </c>
      <c r="K458" s="482">
        <v>0.63900000000000001</v>
      </c>
      <c r="L458" s="482">
        <v>9.9000000000000005E-2</v>
      </c>
      <c r="M458" s="482">
        <v>0.26200000000000001</v>
      </c>
    </row>
    <row r="459" spans="1:13" x14ac:dyDescent="0.2">
      <c r="A459" t="s">
        <v>1261</v>
      </c>
      <c r="B459" t="s">
        <v>13</v>
      </c>
      <c r="C459" t="s">
        <v>87</v>
      </c>
      <c r="D459" t="s">
        <v>501</v>
      </c>
      <c r="E459" t="s">
        <v>502</v>
      </c>
      <c r="F459" t="s">
        <v>179</v>
      </c>
      <c r="G459">
        <v>55</v>
      </c>
      <c r="H459">
        <v>15</v>
      </c>
      <c r="I459">
        <v>26</v>
      </c>
      <c r="J459">
        <v>96</v>
      </c>
      <c r="K459" s="482">
        <v>0.57299999999999995</v>
      </c>
      <c r="L459" s="482">
        <v>0.156</v>
      </c>
      <c r="M459" s="482">
        <v>0.27100000000000002</v>
      </c>
    </row>
    <row r="460" spans="1:13" x14ac:dyDescent="0.2">
      <c r="A460" t="s">
        <v>1262</v>
      </c>
      <c r="B460" t="s">
        <v>13</v>
      </c>
      <c r="C460" t="s">
        <v>87</v>
      </c>
      <c r="D460" t="s">
        <v>504</v>
      </c>
      <c r="E460" t="s">
        <v>505</v>
      </c>
      <c r="F460" t="s">
        <v>179</v>
      </c>
      <c r="G460">
        <v>110</v>
      </c>
      <c r="H460">
        <v>12</v>
      </c>
      <c r="I460">
        <v>39</v>
      </c>
      <c r="J460">
        <v>161</v>
      </c>
      <c r="K460" s="482">
        <v>0.68300000000000005</v>
      </c>
      <c r="L460" s="482">
        <v>7.4999999999999997E-2</v>
      </c>
      <c r="M460" s="482">
        <v>0.24199999999999999</v>
      </c>
    </row>
    <row r="461" spans="1:13" x14ac:dyDescent="0.2">
      <c r="A461" t="s">
        <v>1263</v>
      </c>
      <c r="B461" t="s">
        <v>13</v>
      </c>
      <c r="C461" t="s">
        <v>87</v>
      </c>
      <c r="D461" t="s">
        <v>507</v>
      </c>
      <c r="E461" t="s">
        <v>508</v>
      </c>
      <c r="F461" t="s">
        <v>179</v>
      </c>
      <c r="G461">
        <v>188</v>
      </c>
      <c r="H461">
        <v>37</v>
      </c>
      <c r="I461">
        <v>62</v>
      </c>
      <c r="J461">
        <v>287</v>
      </c>
      <c r="K461" s="482">
        <v>0.65500000000000003</v>
      </c>
      <c r="L461" s="482">
        <v>0.129</v>
      </c>
      <c r="M461" s="482">
        <v>0.216</v>
      </c>
    </row>
    <row r="462" spans="1:13" x14ac:dyDescent="0.2">
      <c r="A462" t="s">
        <v>1264</v>
      </c>
      <c r="B462" t="s">
        <v>13</v>
      </c>
      <c r="C462" t="s">
        <v>87</v>
      </c>
      <c r="D462" t="s">
        <v>510</v>
      </c>
      <c r="E462" t="s">
        <v>511</v>
      </c>
      <c r="F462" t="s">
        <v>179</v>
      </c>
      <c r="G462">
        <v>37</v>
      </c>
      <c r="H462">
        <v>10</v>
      </c>
      <c r="I462">
        <v>16</v>
      </c>
      <c r="J462">
        <v>63</v>
      </c>
      <c r="K462" s="482">
        <v>0.58699999999999997</v>
      </c>
      <c r="L462" s="482">
        <v>0.159</v>
      </c>
      <c r="M462" s="482">
        <v>0.254</v>
      </c>
    </row>
    <row r="463" spans="1:13" x14ac:dyDescent="0.2">
      <c r="A463" t="s">
        <v>1265</v>
      </c>
      <c r="B463" t="s">
        <v>13</v>
      </c>
      <c r="C463" t="s">
        <v>87</v>
      </c>
      <c r="D463" t="s">
        <v>513</v>
      </c>
      <c r="E463" t="s">
        <v>514</v>
      </c>
      <c r="F463" t="s">
        <v>179</v>
      </c>
      <c r="G463">
        <v>127</v>
      </c>
      <c r="H463">
        <v>25</v>
      </c>
      <c r="I463">
        <v>48</v>
      </c>
      <c r="J463">
        <v>200</v>
      </c>
      <c r="K463" s="482">
        <v>0.63500000000000001</v>
      </c>
      <c r="L463" s="482">
        <v>0.125</v>
      </c>
      <c r="M463" s="482">
        <v>0.24</v>
      </c>
    </row>
    <row r="464" spans="1:13" x14ac:dyDescent="0.2">
      <c r="A464" t="s">
        <v>1266</v>
      </c>
      <c r="B464" t="s">
        <v>13</v>
      </c>
      <c r="C464" t="s">
        <v>87</v>
      </c>
      <c r="D464" t="s">
        <v>516</v>
      </c>
      <c r="E464" t="s">
        <v>517</v>
      </c>
      <c r="F464" t="s">
        <v>179</v>
      </c>
      <c r="G464">
        <v>74</v>
      </c>
      <c r="H464">
        <v>14</v>
      </c>
      <c r="I464">
        <v>22</v>
      </c>
      <c r="J464">
        <v>110</v>
      </c>
      <c r="K464" s="482">
        <v>0.67300000000000004</v>
      </c>
      <c r="L464" s="482">
        <v>0.127</v>
      </c>
      <c r="M464" s="482">
        <v>0.2</v>
      </c>
    </row>
    <row r="465" spans="1:13" x14ac:dyDescent="0.2">
      <c r="A465" t="s">
        <v>1267</v>
      </c>
      <c r="B465" t="s">
        <v>13</v>
      </c>
      <c r="C465" t="s">
        <v>87</v>
      </c>
      <c r="D465" t="s">
        <v>519</v>
      </c>
      <c r="E465" t="s">
        <v>520</v>
      </c>
      <c r="F465" t="s">
        <v>179</v>
      </c>
      <c r="G465">
        <v>95</v>
      </c>
      <c r="H465">
        <v>25</v>
      </c>
      <c r="I465">
        <v>40</v>
      </c>
      <c r="J465">
        <v>160</v>
      </c>
      <c r="K465" s="482">
        <v>0.59399999999999997</v>
      </c>
      <c r="L465" s="482">
        <v>0.156</v>
      </c>
      <c r="M465" s="482">
        <v>0.25</v>
      </c>
    </row>
    <row r="466" spans="1:13" x14ac:dyDescent="0.2">
      <c r="A466" t="s">
        <v>1268</v>
      </c>
      <c r="B466" t="s">
        <v>13</v>
      </c>
      <c r="C466" t="s">
        <v>87</v>
      </c>
      <c r="D466" t="s">
        <v>522</v>
      </c>
      <c r="E466" t="s">
        <v>523</v>
      </c>
      <c r="F466" t="s">
        <v>179</v>
      </c>
      <c r="G466">
        <v>34</v>
      </c>
      <c r="H466">
        <v>7</v>
      </c>
      <c r="I466">
        <v>19</v>
      </c>
      <c r="J466">
        <v>60</v>
      </c>
      <c r="K466" s="482">
        <v>0.56699999999999995</v>
      </c>
      <c r="L466" s="482">
        <v>0.11700000000000001</v>
      </c>
      <c r="M466" s="482">
        <v>0.317</v>
      </c>
    </row>
    <row r="467" spans="1:13" x14ac:dyDescent="0.2">
      <c r="A467" t="s">
        <v>1269</v>
      </c>
      <c r="B467" t="s">
        <v>13</v>
      </c>
      <c r="C467" t="s">
        <v>87</v>
      </c>
      <c r="D467" t="s">
        <v>525</v>
      </c>
      <c r="E467" t="s">
        <v>526</v>
      </c>
      <c r="F467" t="s">
        <v>179</v>
      </c>
      <c r="G467">
        <v>110</v>
      </c>
      <c r="H467">
        <v>22</v>
      </c>
      <c r="I467">
        <v>29</v>
      </c>
      <c r="J467">
        <v>161</v>
      </c>
      <c r="K467" s="482">
        <v>0.68300000000000005</v>
      </c>
      <c r="L467" s="482">
        <v>0.13700000000000001</v>
      </c>
      <c r="M467" s="482">
        <v>0.18</v>
      </c>
    </row>
    <row r="468" spans="1:13" x14ac:dyDescent="0.2">
      <c r="A468" t="s">
        <v>1270</v>
      </c>
      <c r="B468" t="s">
        <v>13</v>
      </c>
      <c r="C468" t="s">
        <v>87</v>
      </c>
      <c r="D468" t="s">
        <v>528</v>
      </c>
      <c r="E468" t="s">
        <v>529</v>
      </c>
      <c r="F468" t="s">
        <v>179</v>
      </c>
      <c r="G468">
        <v>172</v>
      </c>
      <c r="H468">
        <v>26</v>
      </c>
      <c r="I468">
        <v>57</v>
      </c>
      <c r="J468">
        <v>255</v>
      </c>
      <c r="K468" s="482">
        <v>0.67500000000000004</v>
      </c>
      <c r="L468" s="482">
        <v>0.10199999999999999</v>
      </c>
      <c r="M468" s="482">
        <v>0.224</v>
      </c>
    </row>
    <row r="469" spans="1:13" x14ac:dyDescent="0.2">
      <c r="A469" t="s">
        <v>1271</v>
      </c>
      <c r="B469" t="s">
        <v>13</v>
      </c>
      <c r="C469" t="s">
        <v>87</v>
      </c>
      <c r="D469" t="s">
        <v>531</v>
      </c>
      <c r="E469" t="s">
        <v>532</v>
      </c>
      <c r="F469" t="s">
        <v>179</v>
      </c>
      <c r="G469">
        <v>65</v>
      </c>
      <c r="H469">
        <v>12</v>
      </c>
      <c r="I469">
        <v>15</v>
      </c>
      <c r="J469">
        <v>92</v>
      </c>
      <c r="K469" s="482">
        <v>0.70699999999999996</v>
      </c>
      <c r="L469" s="482">
        <v>0.13</v>
      </c>
      <c r="M469" s="482">
        <v>0.16300000000000001</v>
      </c>
    </row>
    <row r="470" spans="1:13" x14ac:dyDescent="0.2">
      <c r="A470" t="s">
        <v>1272</v>
      </c>
      <c r="B470" t="s">
        <v>13</v>
      </c>
      <c r="C470" t="s">
        <v>87</v>
      </c>
      <c r="D470" t="s">
        <v>534</v>
      </c>
      <c r="E470" t="s">
        <v>535</v>
      </c>
      <c r="F470" t="s">
        <v>179</v>
      </c>
      <c r="G470">
        <v>24</v>
      </c>
      <c r="H470">
        <v>0</v>
      </c>
      <c r="I470">
        <v>6</v>
      </c>
      <c r="J470">
        <v>30</v>
      </c>
      <c r="K470" s="482">
        <v>0.8</v>
      </c>
      <c r="L470" s="482">
        <v>0</v>
      </c>
      <c r="M470" s="482">
        <v>0.2</v>
      </c>
    </row>
    <row r="471" spans="1:13" x14ac:dyDescent="0.2">
      <c r="A471" t="s">
        <v>1273</v>
      </c>
      <c r="B471" t="s">
        <v>13</v>
      </c>
      <c r="C471" t="s">
        <v>87</v>
      </c>
      <c r="D471" t="s">
        <v>537</v>
      </c>
      <c r="E471" t="s">
        <v>538</v>
      </c>
      <c r="F471" t="s">
        <v>179</v>
      </c>
      <c r="G471">
        <v>458</v>
      </c>
      <c r="H471">
        <v>74</v>
      </c>
      <c r="I471">
        <v>189</v>
      </c>
      <c r="J471">
        <v>721</v>
      </c>
      <c r="K471" s="482">
        <v>0.63500000000000001</v>
      </c>
      <c r="L471" s="482">
        <v>0.10299999999999999</v>
      </c>
      <c r="M471" s="482">
        <v>0.26200000000000001</v>
      </c>
    </row>
    <row r="472" spans="1:13" x14ac:dyDescent="0.2">
      <c r="A472" t="s">
        <v>1274</v>
      </c>
      <c r="B472" t="s">
        <v>13</v>
      </c>
      <c r="C472" t="s">
        <v>87</v>
      </c>
      <c r="D472" t="s">
        <v>540</v>
      </c>
      <c r="E472" t="s">
        <v>541</v>
      </c>
      <c r="F472" t="s">
        <v>179</v>
      </c>
      <c r="G472">
        <v>51</v>
      </c>
      <c r="H472">
        <v>4</v>
      </c>
      <c r="I472">
        <v>17</v>
      </c>
      <c r="J472">
        <v>72</v>
      </c>
      <c r="K472" s="482">
        <v>0.70799999999999996</v>
      </c>
      <c r="L472" s="482">
        <v>5.6000000000000001E-2</v>
      </c>
      <c r="M472" s="482">
        <v>0.23599999999999999</v>
      </c>
    </row>
    <row r="473" spans="1:13" x14ac:dyDescent="0.2">
      <c r="A473" t="s">
        <v>1275</v>
      </c>
      <c r="B473" t="s">
        <v>13</v>
      </c>
      <c r="C473" t="s">
        <v>87</v>
      </c>
      <c r="D473" t="s">
        <v>543</v>
      </c>
      <c r="E473" t="s">
        <v>544</v>
      </c>
      <c r="F473" t="s">
        <v>179</v>
      </c>
      <c r="G473">
        <v>43</v>
      </c>
      <c r="H473">
        <v>9</v>
      </c>
      <c r="I473">
        <v>20</v>
      </c>
      <c r="J473">
        <v>72</v>
      </c>
      <c r="K473" s="482">
        <v>0.59699999999999998</v>
      </c>
      <c r="L473" s="482">
        <v>0.125</v>
      </c>
      <c r="M473" s="482">
        <v>0.27800000000000002</v>
      </c>
    </row>
    <row r="474" spans="1:13" x14ac:dyDescent="0.2">
      <c r="A474" t="s">
        <v>1276</v>
      </c>
      <c r="B474" t="s">
        <v>13</v>
      </c>
      <c r="C474" t="s">
        <v>87</v>
      </c>
      <c r="D474" t="s">
        <v>546</v>
      </c>
      <c r="E474" t="s">
        <v>547</v>
      </c>
      <c r="F474" t="s">
        <v>179</v>
      </c>
      <c r="G474">
        <v>30</v>
      </c>
      <c r="H474">
        <v>3</v>
      </c>
      <c r="I474">
        <v>9</v>
      </c>
      <c r="J474">
        <v>42</v>
      </c>
      <c r="K474" s="482">
        <v>0.71399999999999997</v>
      </c>
      <c r="L474" s="482">
        <v>7.0999999999999994E-2</v>
      </c>
      <c r="M474" s="482">
        <v>0.214</v>
      </c>
    </row>
    <row r="475" spans="1:13" x14ac:dyDescent="0.2">
      <c r="A475" t="s">
        <v>1277</v>
      </c>
      <c r="B475" t="s">
        <v>13</v>
      </c>
      <c r="C475" t="s">
        <v>87</v>
      </c>
      <c r="D475" t="s">
        <v>549</v>
      </c>
      <c r="E475" t="s">
        <v>550</v>
      </c>
      <c r="F475" t="s">
        <v>179</v>
      </c>
      <c r="G475">
        <v>74</v>
      </c>
      <c r="H475">
        <v>16</v>
      </c>
      <c r="I475">
        <v>33</v>
      </c>
      <c r="J475">
        <v>123</v>
      </c>
      <c r="K475" s="482">
        <v>0.60199999999999998</v>
      </c>
      <c r="L475" s="482">
        <v>0.13</v>
      </c>
      <c r="M475" s="482">
        <v>0.26800000000000002</v>
      </c>
    </row>
    <row r="476" spans="1:13" x14ac:dyDescent="0.2">
      <c r="A476" t="s">
        <v>1278</v>
      </c>
      <c r="B476" t="s">
        <v>13</v>
      </c>
      <c r="C476" t="s">
        <v>87</v>
      </c>
      <c r="D476" t="s">
        <v>552</v>
      </c>
      <c r="E476" t="s">
        <v>337</v>
      </c>
      <c r="F476" t="s">
        <v>179</v>
      </c>
      <c r="G476">
        <v>77</v>
      </c>
      <c r="H476">
        <v>15</v>
      </c>
      <c r="I476">
        <v>28</v>
      </c>
      <c r="J476">
        <v>120</v>
      </c>
      <c r="K476" s="482">
        <v>0.64200000000000002</v>
      </c>
      <c r="L476" s="482">
        <v>0.125</v>
      </c>
      <c r="M476" s="482">
        <v>0.23300000000000001</v>
      </c>
    </row>
    <row r="477" spans="1:13" x14ac:dyDescent="0.2">
      <c r="A477" t="s">
        <v>1227</v>
      </c>
      <c r="B477" t="s">
        <v>13</v>
      </c>
      <c r="C477" t="s">
        <v>87</v>
      </c>
      <c r="D477" t="s">
        <v>396</v>
      </c>
      <c r="E477" t="s">
        <v>397</v>
      </c>
      <c r="F477" t="s">
        <v>179</v>
      </c>
      <c r="G477">
        <v>87</v>
      </c>
      <c r="H477">
        <v>19</v>
      </c>
      <c r="I477">
        <v>36</v>
      </c>
      <c r="J477">
        <v>142</v>
      </c>
      <c r="K477" s="482">
        <v>0.61299999999999999</v>
      </c>
      <c r="L477" s="482">
        <v>0.13400000000000001</v>
      </c>
      <c r="M477" s="482">
        <v>0.254</v>
      </c>
    </row>
    <row r="478" spans="1:13" x14ac:dyDescent="0.2">
      <c r="A478" t="s">
        <v>1284</v>
      </c>
      <c r="B478" t="s">
        <v>13</v>
      </c>
      <c r="C478" t="s">
        <v>87</v>
      </c>
      <c r="D478" t="s">
        <v>569</v>
      </c>
      <c r="E478" t="s">
        <v>339</v>
      </c>
      <c r="F478" t="s">
        <v>179</v>
      </c>
      <c r="G478">
        <v>46</v>
      </c>
      <c r="H478">
        <v>8</v>
      </c>
      <c r="I478">
        <v>14</v>
      </c>
      <c r="J478">
        <v>68</v>
      </c>
      <c r="K478" s="482">
        <v>0.67600000000000005</v>
      </c>
      <c r="L478" s="482">
        <v>0.11799999999999999</v>
      </c>
      <c r="M478" s="482">
        <v>0.20599999999999999</v>
      </c>
    </row>
    <row r="479" spans="1:13" x14ac:dyDescent="0.2">
      <c r="A479" t="s">
        <v>1285</v>
      </c>
      <c r="B479" t="s">
        <v>13</v>
      </c>
      <c r="C479" t="s">
        <v>87</v>
      </c>
      <c r="D479" t="s">
        <v>571</v>
      </c>
      <c r="E479" t="s">
        <v>572</v>
      </c>
      <c r="F479" t="s">
        <v>179</v>
      </c>
      <c r="G479">
        <v>88</v>
      </c>
      <c r="H479">
        <v>8</v>
      </c>
      <c r="I479">
        <v>29</v>
      </c>
      <c r="J479">
        <v>125</v>
      </c>
      <c r="K479" s="482">
        <v>0.70399999999999996</v>
      </c>
      <c r="L479" s="482">
        <v>6.4000000000000001E-2</v>
      </c>
      <c r="M479" s="482">
        <v>0.23200000000000001</v>
      </c>
    </row>
    <row r="480" spans="1:13" x14ac:dyDescent="0.2">
      <c r="A480" t="s">
        <v>1286</v>
      </c>
      <c r="B480" t="s">
        <v>13</v>
      </c>
      <c r="C480" t="s">
        <v>87</v>
      </c>
      <c r="D480" t="s">
        <v>574</v>
      </c>
      <c r="E480" t="s">
        <v>575</v>
      </c>
      <c r="F480" t="s">
        <v>179</v>
      </c>
      <c r="G480">
        <v>16</v>
      </c>
      <c r="H480">
        <v>4</v>
      </c>
      <c r="I480">
        <v>11</v>
      </c>
      <c r="J480">
        <v>31</v>
      </c>
      <c r="K480" s="482">
        <v>0.51600000000000001</v>
      </c>
      <c r="L480" s="482">
        <v>0.129</v>
      </c>
      <c r="M480" s="482">
        <v>0.35499999999999998</v>
      </c>
    </row>
    <row r="481" spans="1:13" x14ac:dyDescent="0.2">
      <c r="A481" t="s">
        <v>1287</v>
      </c>
      <c r="B481" t="s">
        <v>13</v>
      </c>
      <c r="C481" t="s">
        <v>87</v>
      </c>
      <c r="D481" t="s">
        <v>577</v>
      </c>
      <c r="E481" t="s">
        <v>578</v>
      </c>
      <c r="F481" t="s">
        <v>179</v>
      </c>
      <c r="G481">
        <v>40</v>
      </c>
      <c r="H481">
        <v>7</v>
      </c>
      <c r="I481">
        <v>20</v>
      </c>
      <c r="J481">
        <v>67</v>
      </c>
      <c r="K481" s="482">
        <v>0.59699999999999998</v>
      </c>
      <c r="L481" s="482">
        <v>0.104</v>
      </c>
      <c r="M481" s="482">
        <v>0.29899999999999999</v>
      </c>
    </row>
    <row r="482" spans="1:13" x14ac:dyDescent="0.2">
      <c r="A482" t="s">
        <v>1288</v>
      </c>
      <c r="B482" t="s">
        <v>13</v>
      </c>
      <c r="C482" t="s">
        <v>87</v>
      </c>
      <c r="D482" t="s">
        <v>580</v>
      </c>
      <c r="E482" t="s">
        <v>581</v>
      </c>
      <c r="F482" t="s">
        <v>179</v>
      </c>
      <c r="G482">
        <v>97</v>
      </c>
      <c r="H482">
        <v>16</v>
      </c>
      <c r="I482">
        <v>39</v>
      </c>
      <c r="J482">
        <v>152</v>
      </c>
      <c r="K482" s="482">
        <v>0.63800000000000001</v>
      </c>
      <c r="L482" s="482">
        <v>0.105</v>
      </c>
      <c r="M482" s="482">
        <v>0.25700000000000001</v>
      </c>
    </row>
    <row r="483" spans="1:13" x14ac:dyDescent="0.2">
      <c r="A483" t="s">
        <v>1289</v>
      </c>
      <c r="B483" t="s">
        <v>13</v>
      </c>
      <c r="C483" t="s">
        <v>87</v>
      </c>
      <c r="D483" t="s">
        <v>583</v>
      </c>
      <c r="E483" t="s">
        <v>584</v>
      </c>
      <c r="F483" t="s">
        <v>179</v>
      </c>
      <c r="G483">
        <v>94</v>
      </c>
      <c r="H483">
        <v>17</v>
      </c>
      <c r="I483">
        <v>36</v>
      </c>
      <c r="J483">
        <v>147</v>
      </c>
      <c r="K483" s="482">
        <v>0.63900000000000001</v>
      </c>
      <c r="L483" s="482">
        <v>0.11600000000000001</v>
      </c>
      <c r="M483" s="482">
        <v>0.245</v>
      </c>
    </row>
    <row r="484" spans="1:13" x14ac:dyDescent="0.2">
      <c r="A484" t="s">
        <v>1290</v>
      </c>
      <c r="B484" t="s">
        <v>13</v>
      </c>
      <c r="C484" t="s">
        <v>87</v>
      </c>
      <c r="D484" t="s">
        <v>586</v>
      </c>
      <c r="E484" t="s">
        <v>587</v>
      </c>
      <c r="F484" t="s">
        <v>179</v>
      </c>
      <c r="G484">
        <v>73</v>
      </c>
      <c r="H484">
        <v>10</v>
      </c>
      <c r="I484">
        <v>22</v>
      </c>
      <c r="J484">
        <v>105</v>
      </c>
      <c r="K484" s="482">
        <v>0.69499999999999995</v>
      </c>
      <c r="L484" s="482">
        <v>9.5000000000000001E-2</v>
      </c>
      <c r="M484" s="482">
        <v>0.21</v>
      </c>
    </row>
    <row r="485" spans="1:13" x14ac:dyDescent="0.2">
      <c r="A485" t="s">
        <v>1291</v>
      </c>
      <c r="B485" t="s">
        <v>13</v>
      </c>
      <c r="C485" t="s">
        <v>87</v>
      </c>
      <c r="D485" t="s">
        <v>589</v>
      </c>
      <c r="E485" t="s">
        <v>590</v>
      </c>
      <c r="F485" t="s">
        <v>179</v>
      </c>
      <c r="G485">
        <v>94</v>
      </c>
      <c r="H485">
        <v>22</v>
      </c>
      <c r="I485">
        <v>30</v>
      </c>
      <c r="J485">
        <v>146</v>
      </c>
      <c r="K485" s="482">
        <v>0.64400000000000002</v>
      </c>
      <c r="L485" s="482">
        <v>0.151</v>
      </c>
      <c r="M485" s="482">
        <v>0.20499999999999999</v>
      </c>
    </row>
    <row r="486" spans="1:13" x14ac:dyDescent="0.2">
      <c r="A486" t="s">
        <v>1279</v>
      </c>
      <c r="B486" t="s">
        <v>13</v>
      </c>
      <c r="C486" t="s">
        <v>87</v>
      </c>
      <c r="D486" t="s">
        <v>554</v>
      </c>
      <c r="E486" t="s">
        <v>555</v>
      </c>
      <c r="F486" t="s">
        <v>179</v>
      </c>
      <c r="G486">
        <v>69</v>
      </c>
      <c r="H486">
        <v>14</v>
      </c>
      <c r="I486">
        <v>24</v>
      </c>
      <c r="J486">
        <v>107</v>
      </c>
      <c r="K486" s="482">
        <v>0.64500000000000002</v>
      </c>
      <c r="L486" s="482">
        <v>0.13100000000000001</v>
      </c>
      <c r="M486" s="482">
        <v>0.224</v>
      </c>
    </row>
    <row r="487" spans="1:13" x14ac:dyDescent="0.2">
      <c r="A487" t="s">
        <v>1280</v>
      </c>
      <c r="B487" t="s">
        <v>13</v>
      </c>
      <c r="C487" t="s">
        <v>87</v>
      </c>
      <c r="D487" t="s">
        <v>557</v>
      </c>
      <c r="E487" t="s">
        <v>558</v>
      </c>
      <c r="F487" t="s">
        <v>179</v>
      </c>
      <c r="G487">
        <v>27</v>
      </c>
      <c r="H487">
        <v>6</v>
      </c>
      <c r="I487">
        <v>9</v>
      </c>
      <c r="J487">
        <v>42</v>
      </c>
      <c r="K487" s="482">
        <v>0.64300000000000002</v>
      </c>
      <c r="L487" s="482">
        <v>0.14299999999999999</v>
      </c>
      <c r="M487" s="482">
        <v>0.214</v>
      </c>
    </row>
    <row r="488" spans="1:13" x14ac:dyDescent="0.2">
      <c r="A488" t="s">
        <v>1281</v>
      </c>
      <c r="B488" t="s">
        <v>13</v>
      </c>
      <c r="C488" t="s">
        <v>87</v>
      </c>
      <c r="D488" t="s">
        <v>560</v>
      </c>
      <c r="E488" t="s">
        <v>561</v>
      </c>
      <c r="F488" t="s">
        <v>179</v>
      </c>
      <c r="G488">
        <v>134</v>
      </c>
      <c r="H488">
        <v>22</v>
      </c>
      <c r="I488">
        <v>63</v>
      </c>
      <c r="J488">
        <v>219</v>
      </c>
      <c r="K488" s="482">
        <v>0.61199999999999999</v>
      </c>
      <c r="L488" s="482">
        <v>0.1</v>
      </c>
      <c r="M488" s="482">
        <v>0.28799999999999998</v>
      </c>
    </row>
    <row r="489" spans="1:13" x14ac:dyDescent="0.2">
      <c r="A489" t="s">
        <v>1231</v>
      </c>
      <c r="B489" t="s">
        <v>13</v>
      </c>
      <c r="C489" t="s">
        <v>87</v>
      </c>
      <c r="D489" t="s">
        <v>408</v>
      </c>
      <c r="E489" t="s">
        <v>409</v>
      </c>
      <c r="F489" t="s">
        <v>179</v>
      </c>
      <c r="G489">
        <v>113</v>
      </c>
      <c r="H489">
        <v>13</v>
      </c>
      <c r="I489">
        <v>48</v>
      </c>
      <c r="J489">
        <v>174</v>
      </c>
      <c r="K489" s="482">
        <v>0.64900000000000002</v>
      </c>
      <c r="L489" s="482">
        <v>7.4999999999999997E-2</v>
      </c>
      <c r="M489" s="482">
        <v>0.27600000000000002</v>
      </c>
    </row>
    <row r="490" spans="1:13" x14ac:dyDescent="0.2">
      <c r="A490" t="s">
        <v>1346</v>
      </c>
      <c r="B490" t="s">
        <v>13</v>
      </c>
      <c r="C490" t="s">
        <v>87</v>
      </c>
      <c r="D490" t="s">
        <v>752</v>
      </c>
      <c r="E490" t="s">
        <v>753</v>
      </c>
      <c r="F490" t="s">
        <v>179</v>
      </c>
      <c r="G490">
        <v>35</v>
      </c>
      <c r="H490">
        <v>6</v>
      </c>
      <c r="I490">
        <v>7</v>
      </c>
      <c r="J490">
        <v>48</v>
      </c>
      <c r="K490" s="482">
        <v>0.72899999999999998</v>
      </c>
      <c r="L490" s="482">
        <v>0.125</v>
      </c>
      <c r="M490" s="482">
        <v>0.14599999999999999</v>
      </c>
    </row>
    <row r="491" spans="1:13" x14ac:dyDescent="0.2">
      <c r="A491" t="s">
        <v>1347</v>
      </c>
      <c r="B491" t="s">
        <v>13</v>
      </c>
      <c r="C491" t="s">
        <v>87</v>
      </c>
      <c r="D491" t="s">
        <v>755</v>
      </c>
      <c r="E491" t="s">
        <v>756</v>
      </c>
      <c r="F491" t="s">
        <v>179</v>
      </c>
      <c r="G491">
        <v>72</v>
      </c>
      <c r="H491">
        <v>6</v>
      </c>
      <c r="I491">
        <v>26</v>
      </c>
      <c r="J491">
        <v>104</v>
      </c>
      <c r="K491" s="482">
        <v>0.69199999999999995</v>
      </c>
      <c r="L491" s="482">
        <v>5.8000000000000003E-2</v>
      </c>
      <c r="M491" s="482">
        <v>0.25</v>
      </c>
    </row>
    <row r="492" spans="1:13" x14ac:dyDescent="0.2">
      <c r="A492" t="s">
        <v>1348</v>
      </c>
      <c r="B492" t="s">
        <v>13</v>
      </c>
      <c r="C492" t="s">
        <v>87</v>
      </c>
      <c r="D492" t="s">
        <v>758</v>
      </c>
      <c r="E492" t="s">
        <v>759</v>
      </c>
      <c r="F492" t="s">
        <v>179</v>
      </c>
      <c r="G492">
        <v>298</v>
      </c>
      <c r="H492">
        <v>49</v>
      </c>
      <c r="I492">
        <v>111</v>
      </c>
      <c r="J492">
        <v>458</v>
      </c>
      <c r="K492" s="482">
        <v>0.65100000000000002</v>
      </c>
      <c r="L492" s="482">
        <v>0.107</v>
      </c>
      <c r="M492" s="482">
        <v>0.24199999999999999</v>
      </c>
    </row>
    <row r="493" spans="1:13" x14ac:dyDescent="0.2">
      <c r="A493" t="s">
        <v>1349</v>
      </c>
      <c r="B493" t="s">
        <v>13</v>
      </c>
      <c r="C493" t="s">
        <v>87</v>
      </c>
      <c r="D493" t="s">
        <v>761</v>
      </c>
      <c r="E493" t="s">
        <v>762</v>
      </c>
      <c r="F493" t="s">
        <v>179</v>
      </c>
      <c r="G493">
        <v>47</v>
      </c>
      <c r="H493">
        <v>6</v>
      </c>
      <c r="I493">
        <v>16</v>
      </c>
      <c r="J493">
        <v>69</v>
      </c>
      <c r="K493" s="482">
        <v>0.68100000000000005</v>
      </c>
      <c r="L493" s="482">
        <v>8.6999999999999994E-2</v>
      </c>
      <c r="M493" s="482">
        <v>0.23200000000000001</v>
      </c>
    </row>
    <row r="494" spans="1:13" x14ac:dyDescent="0.2">
      <c r="A494" t="s">
        <v>1350</v>
      </c>
      <c r="B494" t="s">
        <v>13</v>
      </c>
      <c r="C494" t="s">
        <v>87</v>
      </c>
      <c r="D494" t="s">
        <v>764</v>
      </c>
      <c r="E494" t="s">
        <v>765</v>
      </c>
      <c r="F494" t="s">
        <v>179</v>
      </c>
      <c r="G494">
        <v>73</v>
      </c>
      <c r="H494">
        <v>9</v>
      </c>
      <c r="I494">
        <v>30</v>
      </c>
      <c r="J494">
        <v>112</v>
      </c>
      <c r="K494" s="482">
        <v>0.65200000000000002</v>
      </c>
      <c r="L494" s="482">
        <v>0.08</v>
      </c>
      <c r="M494" s="482">
        <v>0.26800000000000002</v>
      </c>
    </row>
    <row r="495" spans="1:13" x14ac:dyDescent="0.2">
      <c r="A495" t="s">
        <v>1351</v>
      </c>
      <c r="B495" t="s">
        <v>13</v>
      </c>
      <c r="C495" t="s">
        <v>87</v>
      </c>
      <c r="D495" t="s">
        <v>767</v>
      </c>
      <c r="E495" t="s">
        <v>768</v>
      </c>
      <c r="F495" t="s">
        <v>179</v>
      </c>
      <c r="G495">
        <v>120</v>
      </c>
      <c r="H495">
        <v>29</v>
      </c>
      <c r="I495">
        <v>53</v>
      </c>
      <c r="J495">
        <v>202</v>
      </c>
      <c r="K495" s="482">
        <v>0.59399999999999997</v>
      </c>
      <c r="L495" s="482">
        <v>0.14399999999999999</v>
      </c>
      <c r="M495" s="482">
        <v>0.26200000000000001</v>
      </c>
    </row>
    <row r="496" spans="1:13" x14ac:dyDescent="0.2">
      <c r="A496" t="s">
        <v>1381</v>
      </c>
      <c r="B496" t="s">
        <v>13</v>
      </c>
      <c r="C496" t="s">
        <v>87</v>
      </c>
      <c r="D496" t="s">
        <v>854</v>
      </c>
      <c r="E496" t="s">
        <v>855</v>
      </c>
      <c r="F496" t="s">
        <v>179</v>
      </c>
      <c r="G496">
        <v>373</v>
      </c>
      <c r="H496">
        <v>67</v>
      </c>
      <c r="I496">
        <v>145</v>
      </c>
      <c r="J496">
        <v>585</v>
      </c>
      <c r="K496" s="482">
        <v>0.63800000000000001</v>
      </c>
      <c r="L496" s="482">
        <v>0.115</v>
      </c>
      <c r="M496" s="482">
        <v>0.248</v>
      </c>
    </row>
    <row r="497" spans="1:13" x14ac:dyDescent="0.2">
      <c r="A497" t="s">
        <v>1382</v>
      </c>
      <c r="B497" t="s">
        <v>13</v>
      </c>
      <c r="C497" t="s">
        <v>87</v>
      </c>
      <c r="D497" t="s">
        <v>857</v>
      </c>
      <c r="E497" t="s">
        <v>858</v>
      </c>
      <c r="F497" t="s">
        <v>179</v>
      </c>
      <c r="G497">
        <v>155</v>
      </c>
      <c r="H497">
        <v>33</v>
      </c>
      <c r="I497">
        <v>80</v>
      </c>
      <c r="J497">
        <v>268</v>
      </c>
      <c r="K497" s="482">
        <v>0.57799999999999996</v>
      </c>
      <c r="L497" s="482">
        <v>0.123</v>
      </c>
      <c r="M497" s="482">
        <v>0.29899999999999999</v>
      </c>
    </row>
    <row r="498" spans="1:13" x14ac:dyDescent="0.2">
      <c r="A498" t="s">
        <v>1383</v>
      </c>
      <c r="B498" t="s">
        <v>13</v>
      </c>
      <c r="C498" t="s">
        <v>87</v>
      </c>
      <c r="D498" t="s">
        <v>860</v>
      </c>
      <c r="E498" t="s">
        <v>861</v>
      </c>
      <c r="F498" t="s">
        <v>179</v>
      </c>
      <c r="G498">
        <v>98</v>
      </c>
      <c r="H498">
        <v>22</v>
      </c>
      <c r="I498">
        <v>50</v>
      </c>
      <c r="J498">
        <v>170</v>
      </c>
      <c r="K498" s="482">
        <v>0.57599999999999996</v>
      </c>
      <c r="L498" s="482">
        <v>0.129</v>
      </c>
      <c r="M498" s="482">
        <v>0.29399999999999998</v>
      </c>
    </row>
    <row r="499" spans="1:13" x14ac:dyDescent="0.2">
      <c r="A499" t="s">
        <v>1384</v>
      </c>
      <c r="B499" t="s">
        <v>13</v>
      </c>
      <c r="C499" t="s">
        <v>87</v>
      </c>
      <c r="D499" t="s">
        <v>863</v>
      </c>
      <c r="E499" t="s">
        <v>864</v>
      </c>
      <c r="F499" t="s">
        <v>179</v>
      </c>
      <c r="G499">
        <v>43</v>
      </c>
      <c r="H499">
        <v>7</v>
      </c>
      <c r="I499">
        <v>9</v>
      </c>
      <c r="J499">
        <v>59</v>
      </c>
      <c r="K499" s="482">
        <v>0.72899999999999998</v>
      </c>
      <c r="L499" s="482">
        <v>0.11899999999999999</v>
      </c>
      <c r="M499" s="482">
        <v>0.153</v>
      </c>
    </row>
    <row r="500" spans="1:13" x14ac:dyDescent="0.2">
      <c r="A500" t="s">
        <v>1385</v>
      </c>
      <c r="B500" t="s">
        <v>13</v>
      </c>
      <c r="C500" t="s">
        <v>87</v>
      </c>
      <c r="D500" t="s">
        <v>866</v>
      </c>
      <c r="E500" t="s">
        <v>867</v>
      </c>
      <c r="F500" t="s">
        <v>179</v>
      </c>
      <c r="G500">
        <v>222</v>
      </c>
      <c r="H500">
        <v>36</v>
      </c>
      <c r="I500">
        <v>77</v>
      </c>
      <c r="J500">
        <v>335</v>
      </c>
      <c r="K500" s="482">
        <v>0.66300000000000003</v>
      </c>
      <c r="L500" s="482">
        <v>0.107</v>
      </c>
      <c r="M500" s="482">
        <v>0.23</v>
      </c>
    </row>
    <row r="501" spans="1:13" x14ac:dyDescent="0.2">
      <c r="A501" t="s">
        <v>1386</v>
      </c>
      <c r="B501" t="s">
        <v>13</v>
      </c>
      <c r="C501" t="s">
        <v>87</v>
      </c>
      <c r="D501" t="s">
        <v>869</v>
      </c>
      <c r="E501" t="s">
        <v>870</v>
      </c>
      <c r="F501" t="s">
        <v>179</v>
      </c>
      <c r="G501">
        <v>119</v>
      </c>
      <c r="H501">
        <v>18</v>
      </c>
      <c r="I501">
        <v>44</v>
      </c>
      <c r="J501">
        <v>181</v>
      </c>
      <c r="K501" s="482">
        <v>0.65700000000000003</v>
      </c>
      <c r="L501" s="482">
        <v>9.9000000000000005E-2</v>
      </c>
      <c r="M501" s="482">
        <v>0.24299999999999999</v>
      </c>
    </row>
    <row r="502" spans="1:13" x14ac:dyDescent="0.2">
      <c r="A502" t="s">
        <v>1387</v>
      </c>
      <c r="B502" t="s">
        <v>13</v>
      </c>
      <c r="C502" t="s">
        <v>87</v>
      </c>
      <c r="D502" t="s">
        <v>872</v>
      </c>
      <c r="E502" t="s">
        <v>873</v>
      </c>
      <c r="F502" t="s">
        <v>179</v>
      </c>
      <c r="G502">
        <v>183</v>
      </c>
      <c r="H502">
        <v>30</v>
      </c>
      <c r="I502">
        <v>64</v>
      </c>
      <c r="J502">
        <v>277</v>
      </c>
      <c r="K502" s="482">
        <v>0.66100000000000003</v>
      </c>
      <c r="L502" s="482">
        <v>0.108</v>
      </c>
      <c r="M502" s="482">
        <v>0.23100000000000001</v>
      </c>
    </row>
    <row r="503" spans="1:13" x14ac:dyDescent="0.2">
      <c r="A503" t="s">
        <v>1388</v>
      </c>
      <c r="B503" t="s">
        <v>13</v>
      </c>
      <c r="C503" t="s">
        <v>87</v>
      </c>
      <c r="D503" t="s">
        <v>875</v>
      </c>
      <c r="E503" t="s">
        <v>876</v>
      </c>
      <c r="F503" t="s">
        <v>179</v>
      </c>
      <c r="G503">
        <v>234</v>
      </c>
      <c r="H503">
        <v>34</v>
      </c>
      <c r="I503">
        <v>68</v>
      </c>
      <c r="J503">
        <v>336</v>
      </c>
      <c r="K503" s="482">
        <v>0.69599999999999995</v>
      </c>
      <c r="L503" s="482">
        <v>0.10100000000000001</v>
      </c>
      <c r="M503" s="482">
        <v>0.20200000000000001</v>
      </c>
    </row>
    <row r="504" spans="1:13" x14ac:dyDescent="0.2">
      <c r="A504" t="s">
        <v>1389</v>
      </c>
      <c r="B504" t="s">
        <v>13</v>
      </c>
      <c r="C504" t="s">
        <v>87</v>
      </c>
      <c r="D504" t="s">
        <v>878</v>
      </c>
      <c r="E504" t="s">
        <v>879</v>
      </c>
      <c r="F504" t="s">
        <v>179</v>
      </c>
      <c r="G504">
        <v>65</v>
      </c>
      <c r="H504">
        <v>11</v>
      </c>
      <c r="I504">
        <v>19</v>
      </c>
      <c r="J504">
        <v>95</v>
      </c>
      <c r="K504" s="482">
        <v>0.68400000000000005</v>
      </c>
      <c r="L504" s="482">
        <v>0.11600000000000001</v>
      </c>
      <c r="M504" s="482">
        <v>0.2</v>
      </c>
    </row>
    <row r="505" spans="1:13" x14ac:dyDescent="0.2">
      <c r="A505" t="s">
        <v>1390</v>
      </c>
      <c r="B505" t="s">
        <v>13</v>
      </c>
      <c r="C505" t="s">
        <v>87</v>
      </c>
      <c r="D505" t="s">
        <v>881</v>
      </c>
      <c r="E505" t="s">
        <v>882</v>
      </c>
      <c r="F505" t="s">
        <v>179</v>
      </c>
      <c r="G505">
        <v>82</v>
      </c>
      <c r="H505">
        <v>17</v>
      </c>
      <c r="I505">
        <v>20</v>
      </c>
      <c r="J505">
        <v>119</v>
      </c>
      <c r="K505" s="482">
        <v>0.68899999999999995</v>
      </c>
      <c r="L505" s="482">
        <v>0.14299999999999999</v>
      </c>
      <c r="M505" s="482">
        <v>0.16800000000000001</v>
      </c>
    </row>
    <row r="506" spans="1:13" x14ac:dyDescent="0.2">
      <c r="A506" t="s">
        <v>1391</v>
      </c>
      <c r="B506" t="s">
        <v>13</v>
      </c>
      <c r="C506" t="s">
        <v>87</v>
      </c>
      <c r="D506" t="s">
        <v>884</v>
      </c>
      <c r="E506" t="s">
        <v>885</v>
      </c>
      <c r="F506" t="s">
        <v>179</v>
      </c>
      <c r="G506">
        <v>120</v>
      </c>
      <c r="H506">
        <v>28</v>
      </c>
      <c r="I506">
        <v>56</v>
      </c>
      <c r="J506">
        <v>204</v>
      </c>
      <c r="K506" s="482">
        <v>0.58799999999999997</v>
      </c>
      <c r="L506" s="482">
        <v>0.13700000000000001</v>
      </c>
      <c r="M506" s="482">
        <v>0.27500000000000002</v>
      </c>
    </row>
    <row r="507" spans="1:13" x14ac:dyDescent="0.2">
      <c r="A507" t="s">
        <v>1392</v>
      </c>
      <c r="B507" t="s">
        <v>13</v>
      </c>
      <c r="C507" t="s">
        <v>87</v>
      </c>
      <c r="D507" t="s">
        <v>887</v>
      </c>
      <c r="E507" t="s">
        <v>888</v>
      </c>
      <c r="F507" t="s">
        <v>179</v>
      </c>
      <c r="G507">
        <v>75</v>
      </c>
      <c r="H507">
        <v>16</v>
      </c>
      <c r="I507">
        <v>30</v>
      </c>
      <c r="J507">
        <v>121</v>
      </c>
      <c r="K507" s="482">
        <v>0.62</v>
      </c>
      <c r="L507" s="482">
        <v>0.13200000000000001</v>
      </c>
      <c r="M507" s="482">
        <v>0.248</v>
      </c>
    </row>
    <row r="508" spans="1:13" x14ac:dyDescent="0.2">
      <c r="A508" t="s">
        <v>1393</v>
      </c>
      <c r="B508" t="s">
        <v>13</v>
      </c>
      <c r="C508" t="s">
        <v>87</v>
      </c>
      <c r="D508" t="s">
        <v>890</v>
      </c>
      <c r="E508" t="s">
        <v>891</v>
      </c>
      <c r="F508" t="s">
        <v>179</v>
      </c>
      <c r="G508">
        <v>43</v>
      </c>
      <c r="H508">
        <v>3</v>
      </c>
      <c r="I508">
        <v>21</v>
      </c>
      <c r="J508">
        <v>67</v>
      </c>
      <c r="K508" s="482">
        <v>0.64200000000000002</v>
      </c>
      <c r="L508" s="482">
        <v>4.4999999999999998E-2</v>
      </c>
      <c r="M508" s="482">
        <v>0.313</v>
      </c>
    </row>
    <row r="509" spans="1:13" x14ac:dyDescent="0.2">
      <c r="A509" t="s">
        <v>1394</v>
      </c>
      <c r="B509" t="s">
        <v>13</v>
      </c>
      <c r="C509" t="s">
        <v>87</v>
      </c>
      <c r="D509" t="s">
        <v>893</v>
      </c>
      <c r="E509" t="s">
        <v>894</v>
      </c>
      <c r="F509" t="s">
        <v>179</v>
      </c>
      <c r="G509">
        <v>56</v>
      </c>
      <c r="H509">
        <v>10</v>
      </c>
      <c r="I509">
        <v>19</v>
      </c>
      <c r="J509">
        <v>85</v>
      </c>
      <c r="K509" s="482">
        <v>0.65900000000000003</v>
      </c>
      <c r="L509" s="482">
        <v>0.11799999999999999</v>
      </c>
      <c r="M509" s="482">
        <v>0.224</v>
      </c>
    </row>
    <row r="510" spans="1:13" x14ac:dyDescent="0.2">
      <c r="A510" t="s">
        <v>1395</v>
      </c>
      <c r="B510" t="s">
        <v>13</v>
      </c>
      <c r="C510" t="s">
        <v>87</v>
      </c>
      <c r="D510" t="s">
        <v>896</v>
      </c>
      <c r="E510" t="s">
        <v>897</v>
      </c>
      <c r="F510" t="s">
        <v>179</v>
      </c>
      <c r="G510">
        <v>65</v>
      </c>
      <c r="H510">
        <v>17</v>
      </c>
      <c r="I510">
        <v>30</v>
      </c>
      <c r="J510">
        <v>112</v>
      </c>
      <c r="K510" s="482">
        <v>0.57999999999999996</v>
      </c>
      <c r="L510" s="482">
        <v>0.152</v>
      </c>
      <c r="M510" s="482">
        <v>0.26800000000000002</v>
      </c>
    </row>
    <row r="511" spans="1:13" x14ac:dyDescent="0.2">
      <c r="A511" t="s">
        <v>1396</v>
      </c>
      <c r="B511" t="s">
        <v>13</v>
      </c>
      <c r="C511" t="s">
        <v>87</v>
      </c>
      <c r="D511" t="s">
        <v>899</v>
      </c>
      <c r="E511" t="s">
        <v>900</v>
      </c>
      <c r="F511" t="s">
        <v>179</v>
      </c>
      <c r="G511">
        <v>51</v>
      </c>
      <c r="H511">
        <v>4</v>
      </c>
      <c r="I511">
        <v>18</v>
      </c>
      <c r="J511">
        <v>73</v>
      </c>
      <c r="K511" s="482">
        <v>0.69899999999999995</v>
      </c>
      <c r="L511" s="482">
        <v>5.5E-2</v>
      </c>
      <c r="M511" s="482">
        <v>0.247</v>
      </c>
    </row>
    <row r="512" spans="1:13" x14ac:dyDescent="0.2">
      <c r="A512" t="s">
        <v>1397</v>
      </c>
      <c r="B512" t="s">
        <v>13</v>
      </c>
      <c r="C512" t="s">
        <v>87</v>
      </c>
      <c r="D512" t="s">
        <v>902</v>
      </c>
      <c r="E512" t="s">
        <v>903</v>
      </c>
      <c r="F512" t="s">
        <v>179</v>
      </c>
      <c r="G512">
        <v>297</v>
      </c>
      <c r="H512">
        <v>56</v>
      </c>
      <c r="I512">
        <v>129</v>
      </c>
      <c r="J512">
        <v>482</v>
      </c>
      <c r="K512" s="482">
        <v>0.61599999999999999</v>
      </c>
      <c r="L512" s="482">
        <v>0.11600000000000001</v>
      </c>
      <c r="M512" s="482">
        <v>0.26800000000000002</v>
      </c>
    </row>
    <row r="513" spans="1:13" x14ac:dyDescent="0.2">
      <c r="A513" t="s">
        <v>1400</v>
      </c>
      <c r="B513" t="s">
        <v>13</v>
      </c>
      <c r="C513" t="s">
        <v>87</v>
      </c>
      <c r="D513" t="s">
        <v>905</v>
      </c>
      <c r="E513" t="s">
        <v>906</v>
      </c>
      <c r="F513" t="s">
        <v>179</v>
      </c>
      <c r="G513">
        <v>107</v>
      </c>
      <c r="H513">
        <v>27</v>
      </c>
      <c r="I513">
        <v>39</v>
      </c>
      <c r="J513">
        <v>173</v>
      </c>
      <c r="K513" s="482">
        <v>0.61799999999999999</v>
      </c>
      <c r="L513" s="482">
        <v>0.156</v>
      </c>
      <c r="M513" s="482">
        <v>0.22500000000000001</v>
      </c>
    </row>
    <row r="514" spans="1:13" x14ac:dyDescent="0.2">
      <c r="A514" t="s">
        <v>1411</v>
      </c>
      <c r="B514" t="s">
        <v>13</v>
      </c>
      <c r="C514" t="s">
        <v>87</v>
      </c>
      <c r="D514" t="s">
        <v>938</v>
      </c>
      <c r="E514" t="s">
        <v>939</v>
      </c>
      <c r="F514" t="s">
        <v>179</v>
      </c>
      <c r="G514">
        <v>45</v>
      </c>
      <c r="H514">
        <v>9</v>
      </c>
      <c r="I514">
        <v>35</v>
      </c>
      <c r="J514">
        <v>89</v>
      </c>
      <c r="K514" s="482">
        <v>0.50600000000000001</v>
      </c>
      <c r="L514" s="482">
        <v>0.10100000000000001</v>
      </c>
      <c r="M514" s="482">
        <v>0.39300000000000002</v>
      </c>
    </row>
    <row r="515" spans="1:13" x14ac:dyDescent="0.2">
      <c r="A515" t="s">
        <v>1412</v>
      </c>
      <c r="B515" t="s">
        <v>13</v>
      </c>
      <c r="C515" t="s">
        <v>87</v>
      </c>
      <c r="D515" t="s">
        <v>941</v>
      </c>
      <c r="E515" t="s">
        <v>942</v>
      </c>
      <c r="F515" t="s">
        <v>179</v>
      </c>
      <c r="G515">
        <v>130</v>
      </c>
      <c r="H515">
        <v>23</v>
      </c>
      <c r="I515">
        <v>61</v>
      </c>
      <c r="J515">
        <v>214</v>
      </c>
      <c r="K515" s="482">
        <v>0.60699999999999998</v>
      </c>
      <c r="L515" s="482">
        <v>0.107</v>
      </c>
      <c r="M515" s="482">
        <v>0.28499999999999998</v>
      </c>
    </row>
    <row r="516" spans="1:13" x14ac:dyDescent="0.2">
      <c r="A516" t="s">
        <v>1399</v>
      </c>
      <c r="B516" t="s">
        <v>13</v>
      </c>
      <c r="C516" t="s">
        <v>87</v>
      </c>
      <c r="D516" t="s">
        <v>1016</v>
      </c>
      <c r="E516" t="s">
        <v>1017</v>
      </c>
      <c r="F516" t="s">
        <v>179</v>
      </c>
      <c r="G516">
        <v>51</v>
      </c>
      <c r="H516">
        <v>14</v>
      </c>
      <c r="I516">
        <v>27</v>
      </c>
      <c r="J516">
        <v>92</v>
      </c>
      <c r="K516" s="482">
        <v>0.55400000000000005</v>
      </c>
      <c r="L516" s="482">
        <v>0.152</v>
      </c>
      <c r="M516" s="482">
        <v>0.29299999999999998</v>
      </c>
    </row>
    <row r="517" spans="1:13" x14ac:dyDescent="0.2">
      <c r="A517" t="s">
        <v>1413</v>
      </c>
      <c r="B517" t="s">
        <v>13</v>
      </c>
      <c r="C517" t="s">
        <v>87</v>
      </c>
      <c r="D517" t="s">
        <v>944</v>
      </c>
      <c r="E517" t="s">
        <v>945</v>
      </c>
      <c r="F517" t="s">
        <v>179</v>
      </c>
      <c r="G517">
        <v>207</v>
      </c>
      <c r="H517">
        <v>31</v>
      </c>
      <c r="I517">
        <v>68</v>
      </c>
      <c r="J517">
        <v>306</v>
      </c>
      <c r="K517" s="482">
        <v>0.67600000000000005</v>
      </c>
      <c r="L517" s="482">
        <v>0.10100000000000001</v>
      </c>
      <c r="M517" s="482">
        <v>0.222</v>
      </c>
    </row>
    <row r="518" spans="1:13" x14ac:dyDescent="0.2">
      <c r="A518" t="s">
        <v>1372</v>
      </c>
      <c r="B518" t="s">
        <v>13</v>
      </c>
      <c r="C518" t="s">
        <v>87</v>
      </c>
      <c r="D518" t="s">
        <v>830</v>
      </c>
      <c r="E518" t="s">
        <v>831</v>
      </c>
      <c r="F518" t="s">
        <v>179</v>
      </c>
      <c r="G518">
        <v>89</v>
      </c>
      <c r="H518">
        <v>21</v>
      </c>
      <c r="I518">
        <v>46</v>
      </c>
      <c r="J518">
        <v>156</v>
      </c>
      <c r="K518" s="482">
        <v>0.57099999999999995</v>
      </c>
      <c r="L518" s="482">
        <v>0.13500000000000001</v>
      </c>
      <c r="M518" s="482">
        <v>0.29499999999999998</v>
      </c>
    </row>
    <row r="519" spans="1:13" x14ac:dyDescent="0.2">
      <c r="A519" t="s">
        <v>1373</v>
      </c>
      <c r="B519" t="s">
        <v>13</v>
      </c>
      <c r="C519" t="s">
        <v>87</v>
      </c>
      <c r="D519" t="s">
        <v>833</v>
      </c>
      <c r="E519" t="s">
        <v>834</v>
      </c>
      <c r="F519" t="s">
        <v>179</v>
      </c>
      <c r="G519">
        <v>210</v>
      </c>
      <c r="H519">
        <v>33</v>
      </c>
      <c r="I519">
        <v>107</v>
      </c>
      <c r="J519">
        <v>350</v>
      </c>
      <c r="K519" s="482">
        <v>0.6</v>
      </c>
      <c r="L519" s="482">
        <v>9.4E-2</v>
      </c>
      <c r="M519" s="482">
        <v>0.30599999999999999</v>
      </c>
    </row>
    <row r="520" spans="1:13" x14ac:dyDescent="0.2">
      <c r="A520" t="s">
        <v>1374</v>
      </c>
      <c r="B520" t="s">
        <v>13</v>
      </c>
      <c r="C520" t="s">
        <v>87</v>
      </c>
      <c r="D520" t="s">
        <v>836</v>
      </c>
      <c r="E520" t="s">
        <v>837</v>
      </c>
      <c r="F520" t="s">
        <v>179</v>
      </c>
      <c r="G520">
        <v>95</v>
      </c>
      <c r="H520">
        <v>19</v>
      </c>
      <c r="I520">
        <v>40</v>
      </c>
      <c r="J520">
        <v>154</v>
      </c>
      <c r="K520" s="482">
        <v>0.61699999999999999</v>
      </c>
      <c r="L520" s="482">
        <v>0.123</v>
      </c>
      <c r="M520" s="482">
        <v>0.26</v>
      </c>
    </row>
    <row r="521" spans="1:13" x14ac:dyDescent="0.2">
      <c r="A521" t="s">
        <v>1375</v>
      </c>
      <c r="B521" t="s">
        <v>13</v>
      </c>
      <c r="C521" t="s">
        <v>87</v>
      </c>
      <c r="D521" t="s">
        <v>839</v>
      </c>
      <c r="E521" t="s">
        <v>840</v>
      </c>
      <c r="F521" t="s">
        <v>179</v>
      </c>
      <c r="G521">
        <v>78</v>
      </c>
      <c r="H521">
        <v>13</v>
      </c>
      <c r="I521">
        <v>33</v>
      </c>
      <c r="J521">
        <v>124</v>
      </c>
      <c r="K521" s="482">
        <v>0.629</v>
      </c>
      <c r="L521" s="482">
        <v>0.105</v>
      </c>
      <c r="M521" s="482">
        <v>0.26600000000000001</v>
      </c>
    </row>
    <row r="522" spans="1:13" x14ac:dyDescent="0.2">
      <c r="A522" t="s">
        <v>1376</v>
      </c>
      <c r="B522" t="s">
        <v>13</v>
      </c>
      <c r="C522" t="s">
        <v>87</v>
      </c>
      <c r="D522" t="s">
        <v>842</v>
      </c>
      <c r="E522" t="s">
        <v>843</v>
      </c>
      <c r="F522" t="s">
        <v>179</v>
      </c>
      <c r="G522">
        <v>130</v>
      </c>
      <c r="H522">
        <v>29</v>
      </c>
      <c r="I522">
        <v>37</v>
      </c>
      <c r="J522">
        <v>196</v>
      </c>
      <c r="K522" s="482">
        <v>0.66300000000000003</v>
      </c>
      <c r="L522" s="482">
        <v>0.14799999999999999</v>
      </c>
      <c r="M522" s="482">
        <v>0.189</v>
      </c>
    </row>
    <row r="523" spans="1:13" x14ac:dyDescent="0.2">
      <c r="A523" t="s">
        <v>1377</v>
      </c>
      <c r="B523" t="s">
        <v>13</v>
      </c>
      <c r="C523" t="s">
        <v>87</v>
      </c>
      <c r="D523" t="s">
        <v>845</v>
      </c>
      <c r="E523" t="s">
        <v>846</v>
      </c>
      <c r="F523" t="s">
        <v>179</v>
      </c>
      <c r="G523">
        <v>75</v>
      </c>
      <c r="H523">
        <v>12</v>
      </c>
      <c r="I523">
        <v>23</v>
      </c>
      <c r="J523">
        <v>110</v>
      </c>
      <c r="K523" s="482">
        <v>0.68200000000000005</v>
      </c>
      <c r="L523" s="482">
        <v>0.109</v>
      </c>
      <c r="M523" s="482">
        <v>0.20899999999999999</v>
      </c>
    </row>
    <row r="524" spans="1:13" x14ac:dyDescent="0.2">
      <c r="A524" t="s">
        <v>1378</v>
      </c>
      <c r="B524" t="s">
        <v>13</v>
      </c>
      <c r="C524" t="s">
        <v>87</v>
      </c>
      <c r="D524" t="s">
        <v>848</v>
      </c>
      <c r="E524" t="s">
        <v>849</v>
      </c>
      <c r="F524" t="s">
        <v>179</v>
      </c>
      <c r="G524">
        <v>71</v>
      </c>
      <c r="H524">
        <v>17</v>
      </c>
      <c r="I524">
        <v>37</v>
      </c>
      <c r="J524">
        <v>125</v>
      </c>
      <c r="K524" s="482">
        <v>0.56799999999999995</v>
      </c>
      <c r="L524" s="482">
        <v>0.13600000000000001</v>
      </c>
      <c r="M524" s="482">
        <v>0.29599999999999999</v>
      </c>
    </row>
    <row r="525" spans="1:13" x14ac:dyDescent="0.2">
      <c r="A525" t="s">
        <v>1379</v>
      </c>
      <c r="B525" t="s">
        <v>13</v>
      </c>
      <c r="C525" t="s">
        <v>87</v>
      </c>
      <c r="D525" t="s">
        <v>851</v>
      </c>
      <c r="E525" t="s">
        <v>852</v>
      </c>
      <c r="F525" t="s">
        <v>179</v>
      </c>
      <c r="G525">
        <v>21</v>
      </c>
      <c r="H525">
        <v>3</v>
      </c>
      <c r="I525">
        <v>12</v>
      </c>
      <c r="J525">
        <v>36</v>
      </c>
      <c r="K525" s="482">
        <v>0.58299999999999996</v>
      </c>
      <c r="L525" s="482">
        <v>8.3000000000000004E-2</v>
      </c>
      <c r="M525" s="482">
        <v>0.33300000000000002</v>
      </c>
    </row>
    <row r="526" spans="1:13" x14ac:dyDescent="0.2">
      <c r="A526" t="s">
        <v>1410</v>
      </c>
      <c r="B526" t="s">
        <v>13</v>
      </c>
      <c r="C526" t="s">
        <v>87</v>
      </c>
      <c r="D526" t="s">
        <v>935</v>
      </c>
      <c r="E526" t="s">
        <v>936</v>
      </c>
      <c r="F526" t="s">
        <v>179</v>
      </c>
      <c r="G526">
        <v>22</v>
      </c>
      <c r="H526">
        <v>4</v>
      </c>
      <c r="I526">
        <v>6</v>
      </c>
      <c r="J526">
        <v>32</v>
      </c>
      <c r="K526" s="482">
        <v>0.68799999999999994</v>
      </c>
      <c r="L526" s="482">
        <v>0.125</v>
      </c>
      <c r="M526" s="482">
        <v>0.188</v>
      </c>
    </row>
    <row r="527" spans="1:13" x14ac:dyDescent="0.2">
      <c r="A527" t="s">
        <v>1409</v>
      </c>
      <c r="B527" t="s">
        <v>13</v>
      </c>
      <c r="C527" t="s">
        <v>87</v>
      </c>
      <c r="D527" t="s">
        <v>932</v>
      </c>
      <c r="E527" t="s">
        <v>933</v>
      </c>
      <c r="F527" t="s">
        <v>179</v>
      </c>
      <c r="G527">
        <v>149</v>
      </c>
      <c r="H527">
        <v>17</v>
      </c>
      <c r="I527">
        <v>50</v>
      </c>
      <c r="J527">
        <v>216</v>
      </c>
      <c r="K527" s="482">
        <v>0.69</v>
      </c>
      <c r="L527" s="482">
        <v>7.9000000000000001E-2</v>
      </c>
      <c r="M527" s="482">
        <v>0.23100000000000001</v>
      </c>
    </row>
    <row r="528" spans="1:13" x14ac:dyDescent="0.2">
      <c r="A528" t="s">
        <v>1414</v>
      </c>
      <c r="B528" t="s">
        <v>13</v>
      </c>
      <c r="C528" t="s">
        <v>87</v>
      </c>
      <c r="D528" t="s">
        <v>947</v>
      </c>
      <c r="E528" t="s">
        <v>948</v>
      </c>
      <c r="F528" t="s">
        <v>179</v>
      </c>
      <c r="G528">
        <v>65</v>
      </c>
      <c r="H528">
        <v>19</v>
      </c>
      <c r="I528">
        <v>39</v>
      </c>
      <c r="J528">
        <v>123</v>
      </c>
      <c r="K528" s="482">
        <v>0.52800000000000002</v>
      </c>
      <c r="L528" s="482">
        <v>0.154</v>
      </c>
      <c r="M528" s="482">
        <v>0.317</v>
      </c>
    </row>
    <row r="529" spans="1:13" x14ac:dyDescent="0.2">
      <c r="A529" t="s">
        <v>1415</v>
      </c>
      <c r="B529" t="s">
        <v>13</v>
      </c>
      <c r="C529" t="s">
        <v>87</v>
      </c>
      <c r="D529" t="s">
        <v>950</v>
      </c>
      <c r="E529" t="s">
        <v>951</v>
      </c>
      <c r="F529" t="s">
        <v>179</v>
      </c>
      <c r="G529">
        <v>119</v>
      </c>
      <c r="H529">
        <v>16</v>
      </c>
      <c r="I529">
        <v>46</v>
      </c>
      <c r="J529">
        <v>181</v>
      </c>
      <c r="K529" s="482">
        <v>0.65700000000000003</v>
      </c>
      <c r="L529" s="482">
        <v>8.7999999999999995E-2</v>
      </c>
      <c r="M529" s="482">
        <v>0.254</v>
      </c>
    </row>
    <row r="530" spans="1:13" x14ac:dyDescent="0.2">
      <c r="A530" t="s">
        <v>1416</v>
      </c>
      <c r="B530" t="s">
        <v>13</v>
      </c>
      <c r="C530" t="s">
        <v>87</v>
      </c>
      <c r="D530" t="s">
        <v>953</v>
      </c>
      <c r="E530" t="s">
        <v>954</v>
      </c>
      <c r="F530" t="s">
        <v>179</v>
      </c>
      <c r="G530">
        <v>84</v>
      </c>
      <c r="H530">
        <v>8</v>
      </c>
      <c r="I530">
        <v>31</v>
      </c>
      <c r="J530">
        <v>123</v>
      </c>
      <c r="K530" s="482">
        <v>0.68300000000000005</v>
      </c>
      <c r="L530" s="482">
        <v>6.5000000000000002E-2</v>
      </c>
      <c r="M530" s="482">
        <v>0.252</v>
      </c>
    </row>
    <row r="531" spans="1:13" x14ac:dyDescent="0.2">
      <c r="A531" t="s">
        <v>1417</v>
      </c>
      <c r="B531" t="s">
        <v>13</v>
      </c>
      <c r="C531" t="s">
        <v>87</v>
      </c>
      <c r="D531" t="s">
        <v>956</v>
      </c>
      <c r="E531" t="s">
        <v>957</v>
      </c>
      <c r="F531" t="s">
        <v>179</v>
      </c>
      <c r="G531">
        <v>45</v>
      </c>
      <c r="H531">
        <v>10</v>
      </c>
      <c r="I531">
        <v>24</v>
      </c>
      <c r="J531">
        <v>79</v>
      </c>
      <c r="K531" s="482">
        <v>0.56999999999999995</v>
      </c>
      <c r="L531" s="482">
        <v>0.127</v>
      </c>
      <c r="M531" s="482">
        <v>0.30399999999999999</v>
      </c>
    </row>
    <row r="532" spans="1:13" x14ac:dyDescent="0.2">
      <c r="A532" t="s">
        <v>1418</v>
      </c>
      <c r="B532" t="s">
        <v>13</v>
      </c>
      <c r="C532" t="s">
        <v>87</v>
      </c>
      <c r="D532" t="s">
        <v>959</v>
      </c>
      <c r="E532" t="s">
        <v>960</v>
      </c>
      <c r="F532" t="s">
        <v>179</v>
      </c>
      <c r="G532">
        <v>279</v>
      </c>
      <c r="H532">
        <v>39</v>
      </c>
      <c r="I532">
        <v>97</v>
      </c>
      <c r="J532">
        <v>415</v>
      </c>
      <c r="K532" s="482">
        <v>0.67200000000000004</v>
      </c>
      <c r="L532" s="482">
        <v>9.4E-2</v>
      </c>
      <c r="M532" s="482">
        <v>0.23400000000000001</v>
      </c>
    </row>
    <row r="533" spans="1:13" x14ac:dyDescent="0.2">
      <c r="A533" t="s">
        <v>1419</v>
      </c>
      <c r="B533" t="s">
        <v>13</v>
      </c>
      <c r="C533" t="s">
        <v>87</v>
      </c>
      <c r="D533" t="s">
        <v>962</v>
      </c>
      <c r="E533" t="s">
        <v>963</v>
      </c>
      <c r="F533" t="s">
        <v>179</v>
      </c>
      <c r="G533">
        <v>59</v>
      </c>
      <c r="H533">
        <v>13</v>
      </c>
      <c r="I533">
        <v>10</v>
      </c>
      <c r="J533">
        <v>82</v>
      </c>
      <c r="K533" s="482">
        <v>0.72</v>
      </c>
      <c r="L533" s="482">
        <v>0.159</v>
      </c>
      <c r="M533" s="482">
        <v>0.122</v>
      </c>
    </row>
    <row r="534" spans="1:13" x14ac:dyDescent="0.2">
      <c r="A534" t="s">
        <v>1420</v>
      </c>
      <c r="B534" t="s">
        <v>13</v>
      </c>
      <c r="C534" t="s">
        <v>87</v>
      </c>
      <c r="D534" t="s">
        <v>965</v>
      </c>
      <c r="E534" t="s">
        <v>966</v>
      </c>
      <c r="F534" t="s">
        <v>179</v>
      </c>
      <c r="G534">
        <v>17</v>
      </c>
      <c r="H534">
        <v>6</v>
      </c>
      <c r="I534">
        <v>6</v>
      </c>
      <c r="J534">
        <v>29</v>
      </c>
      <c r="K534" s="482">
        <v>0.58599999999999997</v>
      </c>
      <c r="L534" s="482">
        <v>0.20699999999999999</v>
      </c>
      <c r="M534" s="482">
        <v>0.20699999999999999</v>
      </c>
    </row>
    <row r="535" spans="1:13" x14ac:dyDescent="0.2">
      <c r="A535" t="s">
        <v>1421</v>
      </c>
      <c r="B535" t="s">
        <v>13</v>
      </c>
      <c r="C535" t="s">
        <v>87</v>
      </c>
      <c r="D535" t="s">
        <v>968</v>
      </c>
      <c r="E535" t="s">
        <v>969</v>
      </c>
      <c r="F535" t="s">
        <v>179</v>
      </c>
      <c r="G535">
        <v>87</v>
      </c>
      <c r="H535">
        <v>12</v>
      </c>
      <c r="I535">
        <v>41</v>
      </c>
      <c r="J535">
        <v>140</v>
      </c>
      <c r="K535" s="482">
        <v>0.621</v>
      </c>
      <c r="L535" s="482">
        <v>8.5999999999999993E-2</v>
      </c>
      <c r="M535" s="482">
        <v>0.29299999999999998</v>
      </c>
    </row>
    <row r="536" spans="1:13" x14ac:dyDescent="0.2">
      <c r="A536" t="s">
        <v>1422</v>
      </c>
      <c r="B536" t="s">
        <v>13</v>
      </c>
      <c r="C536" t="s">
        <v>87</v>
      </c>
      <c r="D536" t="s">
        <v>971</v>
      </c>
      <c r="E536" t="s">
        <v>972</v>
      </c>
      <c r="F536" t="s">
        <v>179</v>
      </c>
      <c r="G536">
        <v>106</v>
      </c>
      <c r="H536">
        <v>14</v>
      </c>
      <c r="I536">
        <v>22</v>
      </c>
      <c r="J536">
        <v>142</v>
      </c>
      <c r="K536" s="482">
        <v>0.746</v>
      </c>
      <c r="L536" s="482">
        <v>9.9000000000000005E-2</v>
      </c>
      <c r="M536" s="482">
        <v>0.155</v>
      </c>
    </row>
    <row r="537" spans="1:13" x14ac:dyDescent="0.2">
      <c r="A537" t="s">
        <v>1423</v>
      </c>
      <c r="B537" t="s">
        <v>13</v>
      </c>
      <c r="C537" t="s">
        <v>87</v>
      </c>
      <c r="D537" t="s">
        <v>974</v>
      </c>
      <c r="E537" t="s">
        <v>975</v>
      </c>
      <c r="F537" t="s">
        <v>179</v>
      </c>
      <c r="G537">
        <v>113</v>
      </c>
      <c r="H537">
        <v>12</v>
      </c>
      <c r="I537">
        <v>34</v>
      </c>
      <c r="J537">
        <v>159</v>
      </c>
      <c r="K537" s="482">
        <v>0.71099999999999997</v>
      </c>
      <c r="L537" s="482">
        <v>7.4999999999999997E-2</v>
      </c>
      <c r="M537" s="482">
        <v>0.214</v>
      </c>
    </row>
    <row r="538" spans="1:13" x14ac:dyDescent="0.2">
      <c r="A538" t="s">
        <v>1424</v>
      </c>
      <c r="B538" t="s">
        <v>13</v>
      </c>
      <c r="C538" t="s">
        <v>87</v>
      </c>
      <c r="D538" t="s">
        <v>977</v>
      </c>
      <c r="E538" t="s">
        <v>978</v>
      </c>
      <c r="F538" t="s">
        <v>179</v>
      </c>
      <c r="G538">
        <v>113</v>
      </c>
      <c r="H538">
        <v>12</v>
      </c>
      <c r="I538">
        <v>32</v>
      </c>
      <c r="J538">
        <v>157</v>
      </c>
      <c r="K538" s="482">
        <v>0.72</v>
      </c>
      <c r="L538" s="482">
        <v>7.5999999999999998E-2</v>
      </c>
      <c r="M538" s="482">
        <v>0.20399999999999999</v>
      </c>
    </row>
    <row r="539" spans="1:13" x14ac:dyDescent="0.2">
      <c r="A539" t="s">
        <v>1425</v>
      </c>
      <c r="B539" t="s">
        <v>13</v>
      </c>
      <c r="C539" t="s">
        <v>87</v>
      </c>
      <c r="D539" t="s">
        <v>980</v>
      </c>
      <c r="E539" t="s">
        <v>981</v>
      </c>
      <c r="F539" t="s">
        <v>179</v>
      </c>
      <c r="G539">
        <v>102</v>
      </c>
      <c r="H539">
        <v>20</v>
      </c>
      <c r="I539">
        <v>56</v>
      </c>
      <c r="J539">
        <v>178</v>
      </c>
      <c r="K539" s="482">
        <v>0.57299999999999995</v>
      </c>
      <c r="L539" s="482">
        <v>0.112</v>
      </c>
      <c r="M539" s="482">
        <v>0.315</v>
      </c>
    </row>
    <row r="540" spans="1:13" x14ac:dyDescent="0.2">
      <c r="A540" t="s">
        <v>1426</v>
      </c>
      <c r="B540" t="s">
        <v>13</v>
      </c>
      <c r="C540" t="s">
        <v>87</v>
      </c>
      <c r="D540" t="s">
        <v>983</v>
      </c>
      <c r="E540" t="s">
        <v>984</v>
      </c>
      <c r="F540" t="s">
        <v>179</v>
      </c>
      <c r="G540">
        <v>137</v>
      </c>
      <c r="H540">
        <v>34</v>
      </c>
      <c r="I540">
        <v>51</v>
      </c>
      <c r="J540">
        <v>222</v>
      </c>
      <c r="K540" s="482">
        <v>0.61699999999999999</v>
      </c>
      <c r="L540" s="482">
        <v>0.153</v>
      </c>
      <c r="M540" s="482">
        <v>0.23</v>
      </c>
    </row>
    <row r="541" spans="1:13" x14ac:dyDescent="0.2">
      <c r="A541" t="s">
        <v>1427</v>
      </c>
      <c r="B541" t="s">
        <v>13</v>
      </c>
      <c r="C541" t="s">
        <v>87</v>
      </c>
      <c r="D541" t="s">
        <v>986</v>
      </c>
      <c r="E541" t="s">
        <v>987</v>
      </c>
      <c r="F541" t="s">
        <v>179</v>
      </c>
      <c r="G541">
        <v>65</v>
      </c>
      <c r="H541">
        <v>11</v>
      </c>
      <c r="I541">
        <v>25</v>
      </c>
      <c r="J541">
        <v>101</v>
      </c>
      <c r="K541" s="482">
        <v>0.64400000000000002</v>
      </c>
      <c r="L541" s="482">
        <v>0.109</v>
      </c>
      <c r="M541" s="482">
        <v>0.248</v>
      </c>
    </row>
    <row r="542" spans="1:13" x14ac:dyDescent="0.2">
      <c r="A542" t="s">
        <v>1428</v>
      </c>
      <c r="B542" t="s">
        <v>13</v>
      </c>
      <c r="C542" t="s">
        <v>87</v>
      </c>
      <c r="D542" t="s">
        <v>989</v>
      </c>
      <c r="E542" t="s">
        <v>990</v>
      </c>
      <c r="F542" t="s">
        <v>179</v>
      </c>
      <c r="G542">
        <v>56</v>
      </c>
      <c r="H542">
        <v>10</v>
      </c>
      <c r="I542">
        <v>16</v>
      </c>
      <c r="J542">
        <v>82</v>
      </c>
      <c r="K542" s="482">
        <v>0.68300000000000005</v>
      </c>
      <c r="L542" s="482">
        <v>0.122</v>
      </c>
      <c r="M542" s="482">
        <v>0.19500000000000001</v>
      </c>
    </row>
    <row r="543" spans="1:13" x14ac:dyDescent="0.2">
      <c r="A543" t="s">
        <v>1380</v>
      </c>
      <c r="B543" t="s">
        <v>13</v>
      </c>
      <c r="C543" t="s">
        <v>87</v>
      </c>
      <c r="D543" t="s">
        <v>731</v>
      </c>
      <c r="E543" t="s">
        <v>732</v>
      </c>
      <c r="F543" t="s">
        <v>179</v>
      </c>
      <c r="G543">
        <v>6</v>
      </c>
      <c r="H543">
        <v>0</v>
      </c>
      <c r="I543">
        <v>4</v>
      </c>
      <c r="J543">
        <v>10</v>
      </c>
      <c r="K543" s="482">
        <v>0.6</v>
      </c>
      <c r="L543" s="482">
        <v>0</v>
      </c>
      <c r="M543" s="482">
        <v>0.4</v>
      </c>
    </row>
    <row r="544" spans="1:13" x14ac:dyDescent="0.2">
      <c r="A544" t="s">
        <v>1340</v>
      </c>
      <c r="B544" t="s">
        <v>13</v>
      </c>
      <c r="C544" t="s">
        <v>87</v>
      </c>
      <c r="D544" t="s">
        <v>734</v>
      </c>
      <c r="E544" t="s">
        <v>735</v>
      </c>
      <c r="F544" t="s">
        <v>179</v>
      </c>
      <c r="G544">
        <v>126</v>
      </c>
      <c r="H544">
        <v>20</v>
      </c>
      <c r="I544">
        <v>43</v>
      </c>
      <c r="J544">
        <v>189</v>
      </c>
      <c r="K544" s="482">
        <v>0.66700000000000004</v>
      </c>
      <c r="L544" s="482">
        <v>0.106</v>
      </c>
      <c r="M544" s="482">
        <v>0.22800000000000001</v>
      </c>
    </row>
    <row r="545" spans="1:13" x14ac:dyDescent="0.2">
      <c r="A545" t="s">
        <v>1292</v>
      </c>
      <c r="B545" t="s">
        <v>13</v>
      </c>
      <c r="C545" t="s">
        <v>87</v>
      </c>
      <c r="D545" t="s">
        <v>592</v>
      </c>
      <c r="E545" t="s">
        <v>593</v>
      </c>
      <c r="F545" t="s">
        <v>179</v>
      </c>
      <c r="G545">
        <v>211</v>
      </c>
      <c r="H545">
        <v>35</v>
      </c>
      <c r="I545">
        <v>62</v>
      </c>
      <c r="J545">
        <v>308</v>
      </c>
      <c r="K545" s="482">
        <v>0.68500000000000005</v>
      </c>
      <c r="L545" s="482">
        <v>0.114</v>
      </c>
      <c r="M545" s="482">
        <v>0.20100000000000001</v>
      </c>
    </row>
    <row r="546" spans="1:13" x14ac:dyDescent="0.2">
      <c r="A546" t="s">
        <v>1293</v>
      </c>
      <c r="B546" t="s">
        <v>13</v>
      </c>
      <c r="C546" t="s">
        <v>87</v>
      </c>
      <c r="D546" t="s">
        <v>595</v>
      </c>
      <c r="E546" t="s">
        <v>596</v>
      </c>
      <c r="F546" t="s">
        <v>179</v>
      </c>
      <c r="G546">
        <v>40</v>
      </c>
      <c r="H546">
        <v>6</v>
      </c>
      <c r="I546">
        <v>14</v>
      </c>
      <c r="J546">
        <v>60</v>
      </c>
      <c r="K546" s="482">
        <v>0.66700000000000004</v>
      </c>
      <c r="L546" s="482">
        <v>0.1</v>
      </c>
      <c r="M546" s="482">
        <v>0.23300000000000001</v>
      </c>
    </row>
    <row r="547" spans="1:13" x14ac:dyDescent="0.2">
      <c r="A547" t="s">
        <v>1294</v>
      </c>
      <c r="B547" t="s">
        <v>13</v>
      </c>
      <c r="C547" t="s">
        <v>87</v>
      </c>
      <c r="D547" t="s">
        <v>598</v>
      </c>
      <c r="E547" t="s">
        <v>599</v>
      </c>
      <c r="F547" t="s">
        <v>179</v>
      </c>
      <c r="G547">
        <v>205</v>
      </c>
      <c r="H547">
        <v>52</v>
      </c>
      <c r="I547">
        <v>61</v>
      </c>
      <c r="J547">
        <v>318</v>
      </c>
      <c r="K547" s="482">
        <v>0.64500000000000002</v>
      </c>
      <c r="L547" s="482">
        <v>0.16400000000000001</v>
      </c>
      <c r="M547" s="482">
        <v>0.192</v>
      </c>
    </row>
    <row r="548" spans="1:13" x14ac:dyDescent="0.2">
      <c r="A548" t="s">
        <v>1295</v>
      </c>
      <c r="B548" t="s">
        <v>13</v>
      </c>
      <c r="C548" t="s">
        <v>87</v>
      </c>
      <c r="D548" t="s">
        <v>601</v>
      </c>
      <c r="E548" t="s">
        <v>602</v>
      </c>
      <c r="F548" t="s">
        <v>179</v>
      </c>
      <c r="G548">
        <v>32</v>
      </c>
      <c r="H548">
        <v>5</v>
      </c>
      <c r="I548">
        <v>23</v>
      </c>
      <c r="J548">
        <v>60</v>
      </c>
      <c r="K548" s="482">
        <v>0.53300000000000003</v>
      </c>
      <c r="L548" s="482">
        <v>8.3000000000000004E-2</v>
      </c>
      <c r="M548" s="482">
        <v>0.38300000000000001</v>
      </c>
    </row>
    <row r="549" spans="1:13" x14ac:dyDescent="0.2">
      <c r="A549" t="s">
        <v>1296</v>
      </c>
      <c r="B549" t="s">
        <v>13</v>
      </c>
      <c r="C549" t="s">
        <v>87</v>
      </c>
      <c r="D549" t="s">
        <v>604</v>
      </c>
      <c r="E549" t="s">
        <v>605</v>
      </c>
      <c r="F549" t="s">
        <v>179</v>
      </c>
      <c r="G549">
        <v>45</v>
      </c>
      <c r="H549">
        <v>5</v>
      </c>
      <c r="I549">
        <v>16</v>
      </c>
      <c r="J549">
        <v>66</v>
      </c>
      <c r="K549" s="482">
        <v>0.68200000000000005</v>
      </c>
      <c r="L549" s="482">
        <v>7.5999999999999998E-2</v>
      </c>
      <c r="M549" s="482">
        <v>0.24199999999999999</v>
      </c>
    </row>
    <row r="550" spans="1:13" x14ac:dyDescent="0.2">
      <c r="A550" t="s">
        <v>1297</v>
      </c>
      <c r="B550" t="s">
        <v>13</v>
      </c>
      <c r="C550" t="s">
        <v>87</v>
      </c>
      <c r="D550" t="s">
        <v>607</v>
      </c>
      <c r="E550" t="s">
        <v>608</v>
      </c>
      <c r="F550" t="s">
        <v>179</v>
      </c>
      <c r="G550">
        <v>23</v>
      </c>
      <c r="H550">
        <v>2</v>
      </c>
      <c r="I550">
        <v>20</v>
      </c>
      <c r="J550">
        <v>45</v>
      </c>
      <c r="K550" s="482">
        <v>0.51100000000000001</v>
      </c>
      <c r="L550" s="482">
        <v>4.3999999999999997E-2</v>
      </c>
      <c r="M550" s="482">
        <v>0.44400000000000001</v>
      </c>
    </row>
    <row r="551" spans="1:13" x14ac:dyDescent="0.2">
      <c r="A551" t="s">
        <v>1324</v>
      </c>
      <c r="B551" t="s">
        <v>13</v>
      </c>
      <c r="C551" t="s">
        <v>87</v>
      </c>
      <c r="D551" t="s">
        <v>683</v>
      </c>
      <c r="E551" t="s">
        <v>684</v>
      </c>
      <c r="F551" t="s">
        <v>179</v>
      </c>
      <c r="G551">
        <v>68</v>
      </c>
      <c r="H551">
        <v>15</v>
      </c>
      <c r="I551">
        <v>24</v>
      </c>
      <c r="J551">
        <v>107</v>
      </c>
      <c r="K551" s="482">
        <v>0.63600000000000001</v>
      </c>
      <c r="L551" s="482">
        <v>0.14000000000000001</v>
      </c>
      <c r="M551" s="482">
        <v>0.224</v>
      </c>
    </row>
    <row r="552" spans="1:13" x14ac:dyDescent="0.2">
      <c r="A552" t="s">
        <v>1325</v>
      </c>
      <c r="B552" t="s">
        <v>13</v>
      </c>
      <c r="C552" t="s">
        <v>87</v>
      </c>
      <c r="D552" t="s">
        <v>686</v>
      </c>
      <c r="E552" t="s">
        <v>687</v>
      </c>
      <c r="F552" t="s">
        <v>179</v>
      </c>
      <c r="G552">
        <v>48</v>
      </c>
      <c r="H552">
        <v>9</v>
      </c>
      <c r="I552">
        <v>12</v>
      </c>
      <c r="J552">
        <v>69</v>
      </c>
      <c r="K552" s="482">
        <v>0.69599999999999995</v>
      </c>
      <c r="L552" s="482">
        <v>0.13</v>
      </c>
      <c r="M552" s="482">
        <v>0.17399999999999999</v>
      </c>
    </row>
    <row r="553" spans="1:13" x14ac:dyDescent="0.2">
      <c r="A553" t="s">
        <v>1326</v>
      </c>
      <c r="B553" t="s">
        <v>13</v>
      </c>
      <c r="C553" t="s">
        <v>87</v>
      </c>
      <c r="D553" t="s">
        <v>689</v>
      </c>
      <c r="E553" t="s">
        <v>690</v>
      </c>
      <c r="F553" t="s">
        <v>179</v>
      </c>
      <c r="G553" t="s">
        <v>53</v>
      </c>
      <c r="H553">
        <v>0</v>
      </c>
      <c r="I553" t="s">
        <v>53</v>
      </c>
      <c r="J553" t="s">
        <v>53</v>
      </c>
      <c r="K553" t="s">
        <v>53</v>
      </c>
      <c r="L553" t="s">
        <v>53</v>
      </c>
      <c r="M553" t="s">
        <v>53</v>
      </c>
    </row>
    <row r="554" spans="1:13" x14ac:dyDescent="0.2">
      <c r="A554" t="s">
        <v>1327</v>
      </c>
      <c r="B554" t="s">
        <v>13</v>
      </c>
      <c r="C554" t="s">
        <v>87</v>
      </c>
      <c r="D554" t="s">
        <v>692</v>
      </c>
      <c r="E554" t="s">
        <v>693</v>
      </c>
      <c r="F554" t="s">
        <v>179</v>
      </c>
      <c r="G554">
        <v>90</v>
      </c>
      <c r="H554">
        <v>17</v>
      </c>
      <c r="I554">
        <v>24</v>
      </c>
      <c r="J554">
        <v>131</v>
      </c>
      <c r="K554" s="482">
        <v>0.68700000000000006</v>
      </c>
      <c r="L554" s="482">
        <v>0.13</v>
      </c>
      <c r="M554" s="482">
        <v>0.183</v>
      </c>
    </row>
    <row r="555" spans="1:13" x14ac:dyDescent="0.2">
      <c r="A555" t="s">
        <v>1328</v>
      </c>
      <c r="B555" t="s">
        <v>13</v>
      </c>
      <c r="C555" t="s">
        <v>87</v>
      </c>
      <c r="D555" t="s">
        <v>695</v>
      </c>
      <c r="E555" t="s">
        <v>696</v>
      </c>
      <c r="F555" t="s">
        <v>179</v>
      </c>
      <c r="G555">
        <v>27</v>
      </c>
      <c r="H555">
        <v>8</v>
      </c>
      <c r="I555">
        <v>5</v>
      </c>
      <c r="J555">
        <v>40</v>
      </c>
      <c r="K555" s="482">
        <v>0.67500000000000004</v>
      </c>
      <c r="L555" s="482">
        <v>0.2</v>
      </c>
      <c r="M555" s="482">
        <v>0.125</v>
      </c>
    </row>
    <row r="556" spans="1:13" x14ac:dyDescent="0.2">
      <c r="A556" t="s">
        <v>1329</v>
      </c>
      <c r="B556" t="s">
        <v>13</v>
      </c>
      <c r="C556" t="s">
        <v>87</v>
      </c>
      <c r="D556" t="s">
        <v>698</v>
      </c>
      <c r="E556" t="s">
        <v>699</v>
      </c>
      <c r="F556" t="s">
        <v>179</v>
      </c>
      <c r="G556">
        <v>87</v>
      </c>
      <c r="H556">
        <v>16</v>
      </c>
      <c r="I556">
        <v>33</v>
      </c>
      <c r="J556">
        <v>136</v>
      </c>
      <c r="K556" s="482">
        <v>0.64</v>
      </c>
      <c r="L556" s="482">
        <v>0.11799999999999999</v>
      </c>
      <c r="M556" s="482">
        <v>0.24299999999999999</v>
      </c>
    </row>
    <row r="557" spans="1:13" x14ac:dyDescent="0.2">
      <c r="A557" t="s">
        <v>1330</v>
      </c>
      <c r="B557" t="s">
        <v>13</v>
      </c>
      <c r="C557" t="s">
        <v>87</v>
      </c>
      <c r="D557" t="s">
        <v>701</v>
      </c>
      <c r="E557" t="s">
        <v>702</v>
      </c>
      <c r="F557" t="s">
        <v>179</v>
      </c>
      <c r="G557">
        <v>128</v>
      </c>
      <c r="H557">
        <v>23</v>
      </c>
      <c r="I557">
        <v>44</v>
      </c>
      <c r="J557">
        <v>195</v>
      </c>
      <c r="K557" s="482">
        <v>0.65600000000000003</v>
      </c>
      <c r="L557" s="482">
        <v>0.11799999999999999</v>
      </c>
      <c r="M557" s="482">
        <v>0.22600000000000001</v>
      </c>
    </row>
    <row r="558" spans="1:13" x14ac:dyDescent="0.2">
      <c r="A558" t="s">
        <v>1331</v>
      </c>
      <c r="B558" t="s">
        <v>13</v>
      </c>
      <c r="C558" t="s">
        <v>87</v>
      </c>
      <c r="D558" t="s">
        <v>704</v>
      </c>
      <c r="E558" t="s">
        <v>705</v>
      </c>
      <c r="F558" t="s">
        <v>179</v>
      </c>
      <c r="G558">
        <v>86</v>
      </c>
      <c r="H558">
        <v>19</v>
      </c>
      <c r="I558">
        <v>24</v>
      </c>
      <c r="J558">
        <v>129</v>
      </c>
      <c r="K558" s="482">
        <v>0.66700000000000004</v>
      </c>
      <c r="L558" s="482">
        <v>0.14699999999999999</v>
      </c>
      <c r="M558" s="482">
        <v>0.186</v>
      </c>
    </row>
    <row r="559" spans="1:13" x14ac:dyDescent="0.2">
      <c r="A559" t="s">
        <v>1332</v>
      </c>
      <c r="B559" t="s">
        <v>13</v>
      </c>
      <c r="C559" t="s">
        <v>87</v>
      </c>
      <c r="D559" t="s">
        <v>707</v>
      </c>
      <c r="E559" t="s">
        <v>708</v>
      </c>
      <c r="F559" t="s">
        <v>179</v>
      </c>
      <c r="G559">
        <v>38</v>
      </c>
      <c r="H559">
        <v>1</v>
      </c>
      <c r="I559">
        <v>9</v>
      </c>
      <c r="J559">
        <v>48</v>
      </c>
      <c r="K559" s="482">
        <v>0.79200000000000004</v>
      </c>
      <c r="L559" s="482">
        <v>2.1000000000000001E-2</v>
      </c>
      <c r="M559" s="482">
        <v>0.188</v>
      </c>
    </row>
    <row r="560" spans="1:13" x14ac:dyDescent="0.2">
      <c r="A560" t="s">
        <v>1333</v>
      </c>
      <c r="B560" t="s">
        <v>13</v>
      </c>
      <c r="C560" t="s">
        <v>87</v>
      </c>
      <c r="D560" t="s">
        <v>710</v>
      </c>
      <c r="E560" t="s">
        <v>711</v>
      </c>
      <c r="F560" t="s">
        <v>179</v>
      </c>
      <c r="G560">
        <v>97</v>
      </c>
      <c r="H560">
        <v>9</v>
      </c>
      <c r="I560">
        <v>31</v>
      </c>
      <c r="J560">
        <v>137</v>
      </c>
      <c r="K560" s="482">
        <v>0.70799999999999996</v>
      </c>
      <c r="L560" s="482">
        <v>6.6000000000000003E-2</v>
      </c>
      <c r="M560" s="482">
        <v>0.22600000000000001</v>
      </c>
    </row>
    <row r="561" spans="1:13" x14ac:dyDescent="0.2">
      <c r="A561" t="s">
        <v>1334</v>
      </c>
      <c r="B561" t="s">
        <v>13</v>
      </c>
      <c r="C561" t="s">
        <v>87</v>
      </c>
      <c r="D561" t="s">
        <v>713</v>
      </c>
      <c r="E561" t="s">
        <v>714</v>
      </c>
      <c r="F561" t="s">
        <v>179</v>
      </c>
      <c r="G561">
        <v>357</v>
      </c>
      <c r="H561">
        <v>60</v>
      </c>
      <c r="I561">
        <v>95</v>
      </c>
      <c r="J561">
        <v>512</v>
      </c>
      <c r="K561" s="482">
        <v>0.69699999999999995</v>
      </c>
      <c r="L561" s="482">
        <v>0.11700000000000001</v>
      </c>
      <c r="M561" s="482">
        <v>0.186</v>
      </c>
    </row>
    <row r="562" spans="1:13" x14ac:dyDescent="0.2">
      <c r="A562" t="s">
        <v>1335</v>
      </c>
      <c r="B562" t="s">
        <v>13</v>
      </c>
      <c r="C562" t="s">
        <v>87</v>
      </c>
      <c r="D562" t="s">
        <v>716</v>
      </c>
      <c r="E562" t="s">
        <v>717</v>
      </c>
      <c r="F562" t="s">
        <v>179</v>
      </c>
      <c r="G562">
        <v>35</v>
      </c>
      <c r="H562">
        <v>4</v>
      </c>
      <c r="I562">
        <v>6</v>
      </c>
      <c r="J562">
        <v>45</v>
      </c>
      <c r="K562" s="482">
        <v>0.77800000000000002</v>
      </c>
      <c r="L562" s="482">
        <v>8.8999999999999996E-2</v>
      </c>
      <c r="M562" s="482">
        <v>0.13300000000000001</v>
      </c>
    </row>
    <row r="563" spans="1:13" x14ac:dyDescent="0.2">
      <c r="A563" t="s">
        <v>1336</v>
      </c>
      <c r="B563" t="s">
        <v>13</v>
      </c>
      <c r="C563" t="s">
        <v>87</v>
      </c>
      <c r="D563" t="s">
        <v>719</v>
      </c>
      <c r="E563" t="s">
        <v>720</v>
      </c>
      <c r="F563" t="s">
        <v>179</v>
      </c>
      <c r="G563">
        <v>87</v>
      </c>
      <c r="H563">
        <v>22</v>
      </c>
      <c r="I563">
        <v>28</v>
      </c>
      <c r="J563">
        <v>137</v>
      </c>
      <c r="K563" s="482">
        <v>0.63500000000000001</v>
      </c>
      <c r="L563" s="482">
        <v>0.161</v>
      </c>
      <c r="M563" s="482">
        <v>0.20399999999999999</v>
      </c>
    </row>
    <row r="564" spans="1:13" x14ac:dyDescent="0.2">
      <c r="A564" t="s">
        <v>1337</v>
      </c>
      <c r="B564" t="s">
        <v>13</v>
      </c>
      <c r="C564" t="s">
        <v>87</v>
      </c>
      <c r="D564" t="s">
        <v>722</v>
      </c>
      <c r="E564" t="s">
        <v>723</v>
      </c>
      <c r="F564" t="s">
        <v>179</v>
      </c>
      <c r="G564">
        <v>82</v>
      </c>
      <c r="H564">
        <v>12</v>
      </c>
      <c r="I564">
        <v>23</v>
      </c>
      <c r="J564">
        <v>117</v>
      </c>
      <c r="K564" s="482">
        <v>0.70099999999999996</v>
      </c>
      <c r="L564" s="482">
        <v>0.10299999999999999</v>
      </c>
      <c r="M564" s="482">
        <v>0.19700000000000001</v>
      </c>
    </row>
    <row r="565" spans="1:13" x14ac:dyDescent="0.2">
      <c r="A565" t="s">
        <v>1338</v>
      </c>
      <c r="B565" t="s">
        <v>13</v>
      </c>
      <c r="C565" t="s">
        <v>87</v>
      </c>
      <c r="D565" t="s">
        <v>725</v>
      </c>
      <c r="E565" t="s">
        <v>726</v>
      </c>
      <c r="F565" t="s">
        <v>179</v>
      </c>
      <c r="G565">
        <v>94</v>
      </c>
      <c r="H565">
        <v>12</v>
      </c>
      <c r="I565">
        <v>34</v>
      </c>
      <c r="J565">
        <v>140</v>
      </c>
      <c r="K565" s="482">
        <v>0.67100000000000004</v>
      </c>
      <c r="L565" s="482">
        <v>8.5999999999999993E-2</v>
      </c>
      <c r="M565" s="482">
        <v>0.24299999999999999</v>
      </c>
    </row>
    <row r="566" spans="1:13" x14ac:dyDescent="0.2">
      <c r="A566" t="s">
        <v>1322</v>
      </c>
      <c r="B566" t="s">
        <v>13</v>
      </c>
      <c r="C566" t="s">
        <v>87</v>
      </c>
      <c r="D566" t="s">
        <v>678</v>
      </c>
      <c r="E566" t="s">
        <v>679</v>
      </c>
      <c r="F566" t="s">
        <v>179</v>
      </c>
      <c r="G566">
        <v>638</v>
      </c>
      <c r="H566">
        <v>129</v>
      </c>
      <c r="I566">
        <v>248</v>
      </c>
      <c r="J566">
        <v>1015</v>
      </c>
      <c r="K566" s="482">
        <v>0.629</v>
      </c>
      <c r="L566" s="482">
        <v>0.127</v>
      </c>
      <c r="M566" s="482">
        <v>0.24399999999999999</v>
      </c>
    </row>
    <row r="567" spans="1:13" x14ac:dyDescent="0.2">
      <c r="A567" t="s">
        <v>1323</v>
      </c>
      <c r="B567" t="s">
        <v>13</v>
      </c>
      <c r="C567" t="s">
        <v>87</v>
      </c>
      <c r="D567" t="s">
        <v>681</v>
      </c>
      <c r="E567" t="s">
        <v>336</v>
      </c>
      <c r="F567" t="s">
        <v>179</v>
      </c>
      <c r="G567">
        <v>207</v>
      </c>
      <c r="H567">
        <v>37</v>
      </c>
      <c r="I567">
        <v>54</v>
      </c>
      <c r="J567">
        <v>298</v>
      </c>
      <c r="K567" s="482">
        <v>0.69499999999999995</v>
      </c>
      <c r="L567" s="482">
        <v>0.124</v>
      </c>
      <c r="M567" s="482">
        <v>0.18099999999999999</v>
      </c>
    </row>
    <row r="568" spans="1:13" x14ac:dyDescent="0.2">
      <c r="A568" t="s">
        <v>1342</v>
      </c>
      <c r="B568" t="s">
        <v>13</v>
      </c>
      <c r="C568" t="s">
        <v>87</v>
      </c>
      <c r="D568" t="s">
        <v>740</v>
      </c>
      <c r="E568" t="s">
        <v>741</v>
      </c>
      <c r="F568" t="s">
        <v>179</v>
      </c>
      <c r="G568">
        <v>25</v>
      </c>
      <c r="H568">
        <v>4</v>
      </c>
      <c r="I568">
        <v>7</v>
      </c>
      <c r="J568">
        <v>36</v>
      </c>
      <c r="K568" s="482">
        <v>0.69399999999999995</v>
      </c>
      <c r="L568" s="482">
        <v>0.111</v>
      </c>
      <c r="M568" s="482">
        <v>0.19400000000000001</v>
      </c>
    </row>
    <row r="569" spans="1:13" x14ac:dyDescent="0.2">
      <c r="A569" t="s">
        <v>1343</v>
      </c>
      <c r="B569" t="s">
        <v>13</v>
      </c>
      <c r="C569" t="s">
        <v>87</v>
      </c>
      <c r="D569" t="s">
        <v>743</v>
      </c>
      <c r="E569" t="s">
        <v>744</v>
      </c>
      <c r="F569" t="s">
        <v>179</v>
      </c>
      <c r="G569">
        <v>348</v>
      </c>
      <c r="H569">
        <v>49</v>
      </c>
      <c r="I569">
        <v>122</v>
      </c>
      <c r="J569">
        <v>519</v>
      </c>
      <c r="K569" s="482">
        <v>0.67100000000000004</v>
      </c>
      <c r="L569" s="482">
        <v>9.4E-2</v>
      </c>
      <c r="M569" s="482">
        <v>0.23499999999999999</v>
      </c>
    </row>
    <row r="570" spans="1:13" x14ac:dyDescent="0.2">
      <c r="A570" t="s">
        <v>1344</v>
      </c>
      <c r="B570" t="s">
        <v>13</v>
      </c>
      <c r="C570" t="s">
        <v>87</v>
      </c>
      <c r="D570" t="s">
        <v>746</v>
      </c>
      <c r="E570" t="s">
        <v>747</v>
      </c>
      <c r="F570" t="s">
        <v>179</v>
      </c>
      <c r="G570">
        <v>18</v>
      </c>
      <c r="H570">
        <v>2</v>
      </c>
      <c r="I570">
        <v>6</v>
      </c>
      <c r="J570">
        <v>26</v>
      </c>
      <c r="K570" s="482">
        <v>0.69199999999999995</v>
      </c>
      <c r="L570" s="482">
        <v>7.6999999999999999E-2</v>
      </c>
      <c r="M570" s="482">
        <v>0.23100000000000001</v>
      </c>
    </row>
    <row r="571" spans="1:13" x14ac:dyDescent="0.2">
      <c r="A571" t="s">
        <v>1345</v>
      </c>
      <c r="B571" t="s">
        <v>13</v>
      </c>
      <c r="C571" t="s">
        <v>87</v>
      </c>
      <c r="D571" t="s">
        <v>749</v>
      </c>
      <c r="E571" t="s">
        <v>750</v>
      </c>
      <c r="F571" t="s">
        <v>179</v>
      </c>
      <c r="G571">
        <v>138</v>
      </c>
      <c r="H571">
        <v>20</v>
      </c>
      <c r="I571">
        <v>45</v>
      </c>
      <c r="J571">
        <v>203</v>
      </c>
      <c r="K571" s="482">
        <v>0.68</v>
      </c>
      <c r="L571" s="482">
        <v>9.9000000000000005E-2</v>
      </c>
      <c r="M571" s="482">
        <v>0.222</v>
      </c>
    </row>
    <row r="572" spans="1:13" x14ac:dyDescent="0.2">
      <c r="A572" t="s">
        <v>1339</v>
      </c>
      <c r="B572" t="s">
        <v>13</v>
      </c>
      <c r="C572" t="s">
        <v>87</v>
      </c>
      <c r="D572" t="s">
        <v>728</v>
      </c>
      <c r="E572" t="s">
        <v>729</v>
      </c>
      <c r="F572" t="s">
        <v>179</v>
      </c>
      <c r="G572">
        <v>11</v>
      </c>
      <c r="H572">
        <v>2</v>
      </c>
      <c r="I572">
        <v>3</v>
      </c>
      <c r="J572">
        <v>16</v>
      </c>
      <c r="K572" s="482">
        <v>0.68799999999999994</v>
      </c>
      <c r="L572" s="482">
        <v>0.125</v>
      </c>
      <c r="M572" s="482">
        <v>0.188</v>
      </c>
    </row>
    <row r="573" spans="1:13" x14ac:dyDescent="0.2">
      <c r="A573" t="s">
        <v>1352</v>
      </c>
      <c r="B573" t="s">
        <v>13</v>
      </c>
      <c r="C573" t="s">
        <v>87</v>
      </c>
      <c r="D573" t="s">
        <v>770</v>
      </c>
      <c r="E573" t="s">
        <v>771</v>
      </c>
      <c r="F573" t="s">
        <v>179</v>
      </c>
      <c r="G573">
        <v>82</v>
      </c>
      <c r="H573">
        <v>17</v>
      </c>
      <c r="I573">
        <v>34</v>
      </c>
      <c r="J573">
        <v>133</v>
      </c>
      <c r="K573" s="482">
        <v>0.61699999999999999</v>
      </c>
      <c r="L573" s="482">
        <v>0.128</v>
      </c>
      <c r="M573" s="482">
        <v>0.25600000000000001</v>
      </c>
    </row>
    <row r="574" spans="1:13" x14ac:dyDescent="0.2">
      <c r="A574" t="s">
        <v>1353</v>
      </c>
      <c r="B574" t="s">
        <v>13</v>
      </c>
      <c r="C574" t="s">
        <v>87</v>
      </c>
      <c r="D574" t="s">
        <v>773</v>
      </c>
      <c r="E574" t="s">
        <v>774</v>
      </c>
      <c r="F574" t="s">
        <v>179</v>
      </c>
      <c r="G574">
        <v>64</v>
      </c>
      <c r="H574">
        <v>15</v>
      </c>
      <c r="I574">
        <v>29</v>
      </c>
      <c r="J574">
        <v>108</v>
      </c>
      <c r="K574" s="482">
        <v>0.59299999999999997</v>
      </c>
      <c r="L574" s="482">
        <v>0.13900000000000001</v>
      </c>
      <c r="M574" s="482">
        <v>0.26900000000000002</v>
      </c>
    </row>
    <row r="575" spans="1:13" x14ac:dyDescent="0.2">
      <c r="A575" t="s">
        <v>1354</v>
      </c>
      <c r="B575" t="s">
        <v>13</v>
      </c>
      <c r="C575" t="s">
        <v>87</v>
      </c>
      <c r="D575" t="s">
        <v>776</v>
      </c>
      <c r="E575" t="s">
        <v>777</v>
      </c>
      <c r="F575" t="s">
        <v>179</v>
      </c>
      <c r="G575">
        <v>97</v>
      </c>
      <c r="H575">
        <v>7</v>
      </c>
      <c r="I575">
        <v>26</v>
      </c>
      <c r="J575">
        <v>130</v>
      </c>
      <c r="K575" s="482">
        <v>0.746</v>
      </c>
      <c r="L575" s="482">
        <v>5.3999999999999999E-2</v>
      </c>
      <c r="M575" s="482">
        <v>0.2</v>
      </c>
    </row>
    <row r="576" spans="1:13" x14ac:dyDescent="0.2">
      <c r="A576" t="s">
        <v>1355</v>
      </c>
      <c r="B576" t="s">
        <v>13</v>
      </c>
      <c r="C576" t="s">
        <v>87</v>
      </c>
      <c r="D576" t="s">
        <v>779</v>
      </c>
      <c r="E576" t="s">
        <v>780</v>
      </c>
      <c r="F576" t="s">
        <v>179</v>
      </c>
      <c r="G576">
        <v>43</v>
      </c>
      <c r="H576">
        <v>8</v>
      </c>
      <c r="I576">
        <v>26</v>
      </c>
      <c r="J576">
        <v>77</v>
      </c>
      <c r="K576" s="482">
        <v>0.55800000000000005</v>
      </c>
      <c r="L576" s="482">
        <v>0.104</v>
      </c>
      <c r="M576" s="482">
        <v>0.33800000000000002</v>
      </c>
    </row>
    <row r="577" spans="1:13" x14ac:dyDescent="0.2">
      <c r="A577" t="s">
        <v>1356</v>
      </c>
      <c r="B577" t="s">
        <v>13</v>
      </c>
      <c r="C577" t="s">
        <v>87</v>
      </c>
      <c r="D577" t="s">
        <v>782</v>
      </c>
      <c r="E577" t="s">
        <v>783</v>
      </c>
      <c r="F577" t="s">
        <v>179</v>
      </c>
      <c r="G577">
        <v>55</v>
      </c>
      <c r="H577">
        <v>15</v>
      </c>
      <c r="I577">
        <v>35</v>
      </c>
      <c r="J577">
        <v>105</v>
      </c>
      <c r="K577" s="482">
        <v>0.52400000000000002</v>
      </c>
      <c r="L577" s="482">
        <v>0.14299999999999999</v>
      </c>
      <c r="M577" s="482">
        <v>0.33300000000000002</v>
      </c>
    </row>
    <row r="578" spans="1:13" x14ac:dyDescent="0.2">
      <c r="A578" t="s">
        <v>1357</v>
      </c>
      <c r="B578" t="s">
        <v>13</v>
      </c>
      <c r="C578" t="s">
        <v>87</v>
      </c>
      <c r="D578" t="s">
        <v>785</v>
      </c>
      <c r="E578" t="s">
        <v>786</v>
      </c>
      <c r="F578" t="s">
        <v>179</v>
      </c>
      <c r="G578">
        <v>338</v>
      </c>
      <c r="H578">
        <v>51</v>
      </c>
      <c r="I578">
        <v>126</v>
      </c>
      <c r="J578">
        <v>515</v>
      </c>
      <c r="K578" s="482">
        <v>0.65600000000000003</v>
      </c>
      <c r="L578" s="482">
        <v>9.9000000000000005E-2</v>
      </c>
      <c r="M578" s="482">
        <v>0.245</v>
      </c>
    </row>
    <row r="579" spans="1:13" x14ac:dyDescent="0.2">
      <c r="A579" t="s">
        <v>1358</v>
      </c>
      <c r="B579" t="s">
        <v>13</v>
      </c>
      <c r="C579" t="s">
        <v>87</v>
      </c>
      <c r="D579" t="s">
        <v>788</v>
      </c>
      <c r="E579" t="s">
        <v>789</v>
      </c>
      <c r="F579" t="s">
        <v>179</v>
      </c>
      <c r="G579">
        <v>33</v>
      </c>
      <c r="H579">
        <v>5</v>
      </c>
      <c r="I579">
        <v>17</v>
      </c>
      <c r="J579">
        <v>55</v>
      </c>
      <c r="K579" s="482">
        <v>0.6</v>
      </c>
      <c r="L579" s="482">
        <v>9.0999999999999998E-2</v>
      </c>
      <c r="M579" s="482">
        <v>0.309</v>
      </c>
    </row>
    <row r="580" spans="1:13" x14ac:dyDescent="0.2">
      <c r="A580" t="s">
        <v>1359</v>
      </c>
      <c r="B580" t="s">
        <v>13</v>
      </c>
      <c r="C580" t="s">
        <v>87</v>
      </c>
      <c r="D580" t="s">
        <v>791</v>
      </c>
      <c r="E580" t="s">
        <v>792</v>
      </c>
      <c r="F580" t="s">
        <v>179</v>
      </c>
      <c r="G580">
        <v>29</v>
      </c>
      <c r="H580">
        <v>3</v>
      </c>
      <c r="I580">
        <v>9</v>
      </c>
      <c r="J580">
        <v>41</v>
      </c>
      <c r="K580" s="482">
        <v>0.70699999999999996</v>
      </c>
      <c r="L580" s="482">
        <v>7.2999999999999995E-2</v>
      </c>
      <c r="M580" s="482">
        <v>0.22</v>
      </c>
    </row>
    <row r="581" spans="1:13" x14ac:dyDescent="0.2">
      <c r="A581" t="s">
        <v>1360</v>
      </c>
      <c r="B581" t="s">
        <v>13</v>
      </c>
      <c r="C581" t="s">
        <v>87</v>
      </c>
      <c r="D581" t="s">
        <v>794</v>
      </c>
      <c r="E581" t="s">
        <v>795</v>
      </c>
      <c r="F581" t="s">
        <v>179</v>
      </c>
      <c r="G581">
        <v>88</v>
      </c>
      <c r="H581">
        <v>11</v>
      </c>
      <c r="I581">
        <v>24</v>
      </c>
      <c r="J581">
        <v>123</v>
      </c>
      <c r="K581" s="482">
        <v>0.71499999999999997</v>
      </c>
      <c r="L581" s="482">
        <v>8.8999999999999996E-2</v>
      </c>
      <c r="M581" s="482">
        <v>0.19500000000000001</v>
      </c>
    </row>
    <row r="582" spans="1:13" x14ac:dyDescent="0.2">
      <c r="A582" t="s">
        <v>1361</v>
      </c>
      <c r="B582" t="s">
        <v>13</v>
      </c>
      <c r="C582" t="s">
        <v>87</v>
      </c>
      <c r="D582" t="s">
        <v>797</v>
      </c>
      <c r="E582" t="s">
        <v>798</v>
      </c>
      <c r="F582" t="s">
        <v>179</v>
      </c>
      <c r="G582">
        <v>60</v>
      </c>
      <c r="H582">
        <v>13</v>
      </c>
      <c r="I582">
        <v>12</v>
      </c>
      <c r="J582">
        <v>85</v>
      </c>
      <c r="K582" s="482">
        <v>0.70599999999999996</v>
      </c>
      <c r="L582" s="482">
        <v>0.153</v>
      </c>
      <c r="M582" s="482">
        <v>0.14099999999999999</v>
      </c>
    </row>
    <row r="583" spans="1:13" x14ac:dyDescent="0.2">
      <c r="A583" t="s">
        <v>1362</v>
      </c>
      <c r="B583" t="s">
        <v>13</v>
      </c>
      <c r="C583" t="s">
        <v>87</v>
      </c>
      <c r="D583" t="s">
        <v>800</v>
      </c>
      <c r="E583" t="s">
        <v>801</v>
      </c>
      <c r="F583" t="s">
        <v>179</v>
      </c>
      <c r="G583">
        <v>114</v>
      </c>
      <c r="H583">
        <v>20</v>
      </c>
      <c r="I583">
        <v>28</v>
      </c>
      <c r="J583">
        <v>162</v>
      </c>
      <c r="K583" s="482">
        <v>0.70399999999999996</v>
      </c>
      <c r="L583" s="482">
        <v>0.123</v>
      </c>
      <c r="M583" s="482">
        <v>0.17299999999999999</v>
      </c>
    </row>
    <row r="584" spans="1:13" x14ac:dyDescent="0.2">
      <c r="A584" t="s">
        <v>1363</v>
      </c>
      <c r="B584" t="s">
        <v>13</v>
      </c>
      <c r="C584" t="s">
        <v>87</v>
      </c>
      <c r="D584" t="s">
        <v>803</v>
      </c>
      <c r="E584" t="s">
        <v>804</v>
      </c>
      <c r="F584" t="s">
        <v>179</v>
      </c>
      <c r="G584">
        <v>63</v>
      </c>
      <c r="H584">
        <v>15</v>
      </c>
      <c r="I584">
        <v>24</v>
      </c>
      <c r="J584">
        <v>102</v>
      </c>
      <c r="K584" s="482">
        <v>0.61799999999999999</v>
      </c>
      <c r="L584" s="482">
        <v>0.14699999999999999</v>
      </c>
      <c r="M584" s="482">
        <v>0.23499999999999999</v>
      </c>
    </row>
    <row r="585" spans="1:13" x14ac:dyDescent="0.2">
      <c r="A585" t="s">
        <v>1364</v>
      </c>
      <c r="B585" t="s">
        <v>13</v>
      </c>
      <c r="C585" t="s">
        <v>87</v>
      </c>
      <c r="D585" t="s">
        <v>806</v>
      </c>
      <c r="E585" t="s">
        <v>807</v>
      </c>
      <c r="F585" t="s">
        <v>179</v>
      </c>
      <c r="G585">
        <v>49</v>
      </c>
      <c r="H585">
        <v>6</v>
      </c>
      <c r="I585">
        <v>16</v>
      </c>
      <c r="J585">
        <v>71</v>
      </c>
      <c r="K585" s="482">
        <v>0.69</v>
      </c>
      <c r="L585" s="482">
        <v>8.5000000000000006E-2</v>
      </c>
      <c r="M585" s="482">
        <v>0.22500000000000001</v>
      </c>
    </row>
    <row r="586" spans="1:13" x14ac:dyDescent="0.2">
      <c r="A586" t="s">
        <v>1365</v>
      </c>
      <c r="B586" t="s">
        <v>13</v>
      </c>
      <c r="C586" t="s">
        <v>87</v>
      </c>
      <c r="D586" t="s">
        <v>809</v>
      </c>
      <c r="E586" t="s">
        <v>810</v>
      </c>
      <c r="F586" t="s">
        <v>179</v>
      </c>
      <c r="G586">
        <v>119</v>
      </c>
      <c r="H586">
        <v>22</v>
      </c>
      <c r="I586">
        <v>46</v>
      </c>
      <c r="J586">
        <v>187</v>
      </c>
      <c r="K586" s="482">
        <v>0.63600000000000001</v>
      </c>
      <c r="L586" s="482">
        <v>0.11799999999999999</v>
      </c>
      <c r="M586" s="482">
        <v>0.246</v>
      </c>
    </row>
    <row r="587" spans="1:13" x14ac:dyDescent="0.2">
      <c r="A587" t="s">
        <v>1366</v>
      </c>
      <c r="B587" t="s">
        <v>13</v>
      </c>
      <c r="C587" t="s">
        <v>87</v>
      </c>
      <c r="D587" t="s">
        <v>812</v>
      </c>
      <c r="E587" t="s">
        <v>813</v>
      </c>
      <c r="F587" t="s">
        <v>179</v>
      </c>
      <c r="G587">
        <v>92</v>
      </c>
      <c r="H587">
        <v>18</v>
      </c>
      <c r="I587">
        <v>24</v>
      </c>
      <c r="J587">
        <v>134</v>
      </c>
      <c r="K587" s="482">
        <v>0.68700000000000006</v>
      </c>
      <c r="L587" s="482">
        <v>0.13400000000000001</v>
      </c>
      <c r="M587" s="482">
        <v>0.17899999999999999</v>
      </c>
    </row>
    <row r="588" spans="1:13" x14ac:dyDescent="0.2">
      <c r="A588" t="s">
        <v>1367</v>
      </c>
      <c r="B588" t="s">
        <v>13</v>
      </c>
      <c r="C588" t="s">
        <v>87</v>
      </c>
      <c r="D588" t="s">
        <v>815</v>
      </c>
      <c r="E588" t="s">
        <v>816</v>
      </c>
      <c r="F588" t="s">
        <v>179</v>
      </c>
      <c r="G588">
        <v>206</v>
      </c>
      <c r="H588">
        <v>29</v>
      </c>
      <c r="I588">
        <v>78</v>
      </c>
      <c r="J588">
        <v>313</v>
      </c>
      <c r="K588" s="482">
        <v>0.65800000000000003</v>
      </c>
      <c r="L588" s="482">
        <v>9.2999999999999999E-2</v>
      </c>
      <c r="M588" s="482">
        <v>0.249</v>
      </c>
    </row>
    <row r="589" spans="1:13" x14ac:dyDescent="0.2">
      <c r="A589" t="s">
        <v>1368</v>
      </c>
      <c r="B589" t="s">
        <v>13</v>
      </c>
      <c r="C589" t="s">
        <v>87</v>
      </c>
      <c r="D589" t="s">
        <v>818</v>
      </c>
      <c r="E589" t="s">
        <v>819</v>
      </c>
      <c r="F589" t="s">
        <v>179</v>
      </c>
      <c r="G589">
        <v>221</v>
      </c>
      <c r="H589">
        <v>35</v>
      </c>
      <c r="I589">
        <v>63</v>
      </c>
      <c r="J589">
        <v>319</v>
      </c>
      <c r="K589" s="482">
        <v>0.69299999999999995</v>
      </c>
      <c r="L589" s="482">
        <v>0.11</v>
      </c>
      <c r="M589" s="482">
        <v>0.19700000000000001</v>
      </c>
    </row>
    <row r="590" spans="1:13" x14ac:dyDescent="0.2">
      <c r="A590" t="s">
        <v>1369</v>
      </c>
      <c r="B590" t="s">
        <v>13</v>
      </c>
      <c r="C590" t="s">
        <v>87</v>
      </c>
      <c r="D590" t="s">
        <v>821</v>
      </c>
      <c r="E590" t="s">
        <v>822</v>
      </c>
      <c r="F590" t="s">
        <v>179</v>
      </c>
      <c r="G590">
        <v>16</v>
      </c>
      <c r="H590">
        <v>6</v>
      </c>
      <c r="I590">
        <v>7</v>
      </c>
      <c r="J590">
        <v>29</v>
      </c>
      <c r="K590" s="482">
        <v>0.55200000000000005</v>
      </c>
      <c r="L590" s="482">
        <v>0.20699999999999999</v>
      </c>
      <c r="M590" s="482">
        <v>0.24099999999999999</v>
      </c>
    </row>
    <row r="591" spans="1:13" x14ac:dyDescent="0.2">
      <c r="A591" t="s">
        <v>1370</v>
      </c>
      <c r="B591" t="s">
        <v>13</v>
      </c>
      <c r="C591" t="s">
        <v>87</v>
      </c>
      <c r="D591" t="s">
        <v>824</v>
      </c>
      <c r="E591" t="s">
        <v>825</v>
      </c>
      <c r="F591" t="s">
        <v>179</v>
      </c>
      <c r="G591">
        <v>146</v>
      </c>
      <c r="H591">
        <v>11</v>
      </c>
      <c r="I591">
        <v>34</v>
      </c>
      <c r="J591">
        <v>191</v>
      </c>
      <c r="K591" s="482">
        <v>0.76400000000000001</v>
      </c>
      <c r="L591" s="482">
        <v>5.8000000000000003E-2</v>
      </c>
      <c r="M591" s="482">
        <v>0.17799999999999999</v>
      </c>
    </row>
    <row r="592" spans="1:13" x14ac:dyDescent="0.2">
      <c r="A592" t="s">
        <v>1371</v>
      </c>
      <c r="B592" t="s">
        <v>13</v>
      </c>
      <c r="C592" t="s">
        <v>87</v>
      </c>
      <c r="D592" t="s">
        <v>827</v>
      </c>
      <c r="E592" t="s">
        <v>828</v>
      </c>
      <c r="F592" t="s">
        <v>179</v>
      </c>
      <c r="G592">
        <v>307</v>
      </c>
      <c r="H592">
        <v>49</v>
      </c>
      <c r="I592">
        <v>106</v>
      </c>
      <c r="J592">
        <v>462</v>
      </c>
      <c r="K592" s="482">
        <v>0.66500000000000004</v>
      </c>
      <c r="L592" s="482">
        <v>0.106</v>
      </c>
      <c r="M592" s="482">
        <v>0.22900000000000001</v>
      </c>
    </row>
    <row r="593" spans="1:13" x14ac:dyDescent="0.2">
      <c r="A593" t="s">
        <v>1282</v>
      </c>
      <c r="B593" t="s">
        <v>13</v>
      </c>
      <c r="C593" t="s">
        <v>87</v>
      </c>
      <c r="D593" t="s">
        <v>563</v>
      </c>
      <c r="E593" t="s">
        <v>564</v>
      </c>
      <c r="F593" t="s">
        <v>179</v>
      </c>
      <c r="G593">
        <v>5</v>
      </c>
      <c r="H593">
        <v>0</v>
      </c>
      <c r="I593">
        <v>3</v>
      </c>
      <c r="J593">
        <v>8</v>
      </c>
      <c r="K593" s="482">
        <v>0.625</v>
      </c>
      <c r="L593" s="482">
        <v>0</v>
      </c>
      <c r="M593" s="482">
        <v>0.375</v>
      </c>
    </row>
    <row r="594" spans="1:13" x14ac:dyDescent="0.2">
      <c r="A594" t="s">
        <v>1283</v>
      </c>
      <c r="B594" t="s">
        <v>13</v>
      </c>
      <c r="C594" t="s">
        <v>87</v>
      </c>
      <c r="D594" t="s">
        <v>566</v>
      </c>
      <c r="E594" t="s">
        <v>567</v>
      </c>
      <c r="F594" t="s">
        <v>179</v>
      </c>
      <c r="G594">
        <v>104</v>
      </c>
      <c r="H594">
        <v>14</v>
      </c>
      <c r="I594">
        <v>27</v>
      </c>
      <c r="J594">
        <v>145</v>
      </c>
      <c r="K594" s="482">
        <v>0.71699999999999997</v>
      </c>
      <c r="L594" s="482">
        <v>9.7000000000000003E-2</v>
      </c>
      <c r="M594" s="482">
        <v>0.186</v>
      </c>
    </row>
    <row r="595" spans="1:13" x14ac:dyDescent="0.2">
      <c r="A595" t="s">
        <v>1401</v>
      </c>
      <c r="B595" t="s">
        <v>13</v>
      </c>
      <c r="C595" t="s">
        <v>87</v>
      </c>
      <c r="D595" t="s">
        <v>908</v>
      </c>
      <c r="E595" t="s">
        <v>909</v>
      </c>
      <c r="F595" t="s">
        <v>179</v>
      </c>
      <c r="G595">
        <v>109</v>
      </c>
      <c r="H595">
        <v>24</v>
      </c>
      <c r="I595">
        <v>37</v>
      </c>
      <c r="J595">
        <v>170</v>
      </c>
      <c r="K595" s="482">
        <v>0.64100000000000001</v>
      </c>
      <c r="L595" s="482">
        <v>0.14099999999999999</v>
      </c>
      <c r="M595" s="482">
        <v>0.218</v>
      </c>
    </row>
    <row r="596" spans="1:13" x14ac:dyDescent="0.2">
      <c r="A596" t="s">
        <v>1257</v>
      </c>
      <c r="B596" t="s">
        <v>13</v>
      </c>
      <c r="C596" t="s">
        <v>87</v>
      </c>
      <c r="D596" t="s">
        <v>486</v>
      </c>
      <c r="E596" t="s">
        <v>487</v>
      </c>
      <c r="F596" t="s">
        <v>179</v>
      </c>
      <c r="G596">
        <v>133</v>
      </c>
      <c r="H596">
        <v>19</v>
      </c>
      <c r="I596">
        <v>49</v>
      </c>
      <c r="J596">
        <v>201</v>
      </c>
      <c r="K596" s="482">
        <v>0.66200000000000003</v>
      </c>
      <c r="L596" s="482">
        <v>9.5000000000000001E-2</v>
      </c>
      <c r="M596" s="482">
        <v>0.24399999999999999</v>
      </c>
    </row>
    <row r="597" spans="1:13" x14ac:dyDescent="0.2">
      <c r="A597" t="s">
        <v>1398</v>
      </c>
      <c r="B597" t="s">
        <v>13</v>
      </c>
      <c r="C597" t="s">
        <v>87</v>
      </c>
      <c r="D597" t="s">
        <v>489</v>
      </c>
      <c r="E597" t="s">
        <v>490</v>
      </c>
      <c r="F597" t="s">
        <v>179</v>
      </c>
      <c r="G597">
        <v>38</v>
      </c>
      <c r="H597">
        <v>4</v>
      </c>
      <c r="I597">
        <v>17</v>
      </c>
      <c r="J597">
        <v>59</v>
      </c>
      <c r="K597" s="482">
        <v>0.64400000000000002</v>
      </c>
      <c r="L597" s="482">
        <v>6.8000000000000005E-2</v>
      </c>
      <c r="M597" s="482">
        <v>0.28799999999999998</v>
      </c>
    </row>
    <row r="598" spans="1:13" x14ac:dyDescent="0.2">
      <c r="A598" t="s">
        <v>1402</v>
      </c>
      <c r="B598" t="s">
        <v>13</v>
      </c>
      <c r="C598" t="s">
        <v>87</v>
      </c>
      <c r="D598" t="s">
        <v>911</v>
      </c>
      <c r="E598" t="s">
        <v>912</v>
      </c>
      <c r="F598" t="s">
        <v>179</v>
      </c>
      <c r="G598">
        <v>79</v>
      </c>
      <c r="H598">
        <v>14</v>
      </c>
      <c r="I598">
        <v>25</v>
      </c>
      <c r="J598">
        <v>118</v>
      </c>
      <c r="K598" s="482">
        <v>0.66900000000000004</v>
      </c>
      <c r="L598" s="482">
        <v>0.11899999999999999</v>
      </c>
      <c r="M598" s="482">
        <v>0.21199999999999999</v>
      </c>
    </row>
    <row r="599" spans="1:13" x14ac:dyDescent="0.2">
      <c r="A599" t="s">
        <v>1403</v>
      </c>
      <c r="B599" t="s">
        <v>13</v>
      </c>
      <c r="C599" t="s">
        <v>87</v>
      </c>
      <c r="D599" t="s">
        <v>914</v>
      </c>
      <c r="E599" t="s">
        <v>915</v>
      </c>
      <c r="F599" t="s">
        <v>179</v>
      </c>
      <c r="G599">
        <v>41</v>
      </c>
      <c r="H599">
        <v>7</v>
      </c>
      <c r="I599">
        <v>17</v>
      </c>
      <c r="J599">
        <v>65</v>
      </c>
      <c r="K599" s="482">
        <v>0.63100000000000001</v>
      </c>
      <c r="L599" s="482">
        <v>0.108</v>
      </c>
      <c r="M599" s="482">
        <v>0.26200000000000001</v>
      </c>
    </row>
    <row r="600" spans="1:13" x14ac:dyDescent="0.2">
      <c r="A600" t="s">
        <v>1404</v>
      </c>
      <c r="B600" t="s">
        <v>13</v>
      </c>
      <c r="C600" t="s">
        <v>87</v>
      </c>
      <c r="D600" t="s">
        <v>917</v>
      </c>
      <c r="E600" t="s">
        <v>918</v>
      </c>
      <c r="F600" t="s">
        <v>179</v>
      </c>
      <c r="G600">
        <v>113</v>
      </c>
      <c r="H600">
        <v>20</v>
      </c>
      <c r="I600">
        <v>53</v>
      </c>
      <c r="J600">
        <v>186</v>
      </c>
      <c r="K600" s="482">
        <v>0.60799999999999998</v>
      </c>
      <c r="L600" s="482">
        <v>0.108</v>
      </c>
      <c r="M600" s="482">
        <v>0.28499999999999998</v>
      </c>
    </row>
    <row r="601" spans="1:13" x14ac:dyDescent="0.2">
      <c r="A601" t="s">
        <v>1405</v>
      </c>
      <c r="B601" t="s">
        <v>13</v>
      </c>
      <c r="C601" t="s">
        <v>87</v>
      </c>
      <c r="D601" t="s">
        <v>920</v>
      </c>
      <c r="E601" t="s">
        <v>921</v>
      </c>
      <c r="F601" t="s">
        <v>179</v>
      </c>
      <c r="G601">
        <v>16</v>
      </c>
      <c r="H601">
        <v>2</v>
      </c>
      <c r="I601">
        <v>2</v>
      </c>
      <c r="J601">
        <v>20</v>
      </c>
      <c r="K601" s="482">
        <v>0.8</v>
      </c>
      <c r="L601" s="482">
        <v>0.1</v>
      </c>
      <c r="M601" s="482">
        <v>0.1</v>
      </c>
    </row>
    <row r="602" spans="1:13" x14ac:dyDescent="0.2">
      <c r="A602" t="s">
        <v>1406</v>
      </c>
      <c r="B602" t="s">
        <v>13</v>
      </c>
      <c r="C602" t="s">
        <v>87</v>
      </c>
      <c r="D602" t="s">
        <v>923</v>
      </c>
      <c r="E602" t="s">
        <v>924</v>
      </c>
      <c r="F602" t="s">
        <v>179</v>
      </c>
      <c r="G602">
        <v>45</v>
      </c>
      <c r="H602">
        <v>7</v>
      </c>
      <c r="I602">
        <v>27</v>
      </c>
      <c r="J602">
        <v>79</v>
      </c>
      <c r="K602" s="482">
        <v>0.56999999999999995</v>
      </c>
      <c r="L602" s="482">
        <v>8.8999999999999996E-2</v>
      </c>
      <c r="M602" s="482">
        <v>0.34200000000000003</v>
      </c>
    </row>
    <row r="603" spans="1:13" x14ac:dyDescent="0.2">
      <c r="A603" t="s">
        <v>1407</v>
      </c>
      <c r="B603" t="s">
        <v>13</v>
      </c>
      <c r="C603" t="s">
        <v>87</v>
      </c>
      <c r="D603" t="s">
        <v>926</v>
      </c>
      <c r="E603" t="s">
        <v>927</v>
      </c>
      <c r="F603" t="s">
        <v>179</v>
      </c>
      <c r="G603">
        <v>18</v>
      </c>
      <c r="H603">
        <v>3</v>
      </c>
      <c r="I603">
        <v>3</v>
      </c>
      <c r="J603">
        <v>24</v>
      </c>
      <c r="K603" s="482">
        <v>0.75</v>
      </c>
      <c r="L603" s="482">
        <v>0.125</v>
      </c>
      <c r="M603" s="482">
        <v>0.125</v>
      </c>
    </row>
    <row r="604" spans="1:13" x14ac:dyDescent="0.2">
      <c r="A604" t="s">
        <v>1408</v>
      </c>
      <c r="B604" t="s">
        <v>13</v>
      </c>
      <c r="C604" t="s">
        <v>87</v>
      </c>
      <c r="D604" t="s">
        <v>929</v>
      </c>
      <c r="E604" t="s">
        <v>930</v>
      </c>
      <c r="F604" t="s">
        <v>179</v>
      </c>
      <c r="G604">
        <v>115</v>
      </c>
      <c r="H604">
        <v>14</v>
      </c>
      <c r="I604">
        <v>43</v>
      </c>
      <c r="J604">
        <v>172</v>
      </c>
      <c r="K604" s="482">
        <v>0.66900000000000004</v>
      </c>
      <c r="L604" s="482">
        <v>8.1000000000000003E-2</v>
      </c>
      <c r="M604" s="482">
        <v>0.25</v>
      </c>
    </row>
    <row r="605" spans="1:13" x14ac:dyDescent="0.2">
      <c r="A605" t="s">
        <v>1258</v>
      </c>
      <c r="B605" t="s">
        <v>13</v>
      </c>
      <c r="C605" t="s">
        <v>87</v>
      </c>
      <c r="D605" t="s">
        <v>492</v>
      </c>
      <c r="E605" t="s">
        <v>493</v>
      </c>
      <c r="F605" t="s">
        <v>179</v>
      </c>
      <c r="G605">
        <v>44</v>
      </c>
      <c r="H605">
        <v>8</v>
      </c>
      <c r="I605">
        <v>13</v>
      </c>
      <c r="J605">
        <v>65</v>
      </c>
      <c r="K605" s="482">
        <v>0.67700000000000005</v>
      </c>
      <c r="L605" s="482">
        <v>0.123</v>
      </c>
      <c r="M605" s="482">
        <v>0.2</v>
      </c>
    </row>
    <row r="606" spans="1:13" x14ac:dyDescent="0.2">
      <c r="A606" t="s">
        <v>1259</v>
      </c>
      <c r="B606" t="s">
        <v>13</v>
      </c>
      <c r="C606" t="s">
        <v>87</v>
      </c>
      <c r="D606" t="s">
        <v>495</v>
      </c>
      <c r="E606" t="s">
        <v>496</v>
      </c>
      <c r="F606" t="s">
        <v>179</v>
      </c>
      <c r="G606">
        <v>166</v>
      </c>
      <c r="H606">
        <v>21</v>
      </c>
      <c r="I606">
        <v>59</v>
      </c>
      <c r="J606">
        <v>246</v>
      </c>
      <c r="K606" s="482">
        <v>0.67500000000000004</v>
      </c>
      <c r="L606" s="482">
        <v>8.5000000000000006E-2</v>
      </c>
      <c r="M606" s="482">
        <v>0.24</v>
      </c>
    </row>
    <row r="607" spans="1:13" x14ac:dyDescent="0.2">
      <c r="A607" t="s">
        <v>1232</v>
      </c>
      <c r="B607" t="s">
        <v>13</v>
      </c>
      <c r="C607" t="s">
        <v>87</v>
      </c>
      <c r="D607" t="s">
        <v>411</v>
      </c>
      <c r="E607" t="s">
        <v>412</v>
      </c>
      <c r="F607" t="s">
        <v>179</v>
      </c>
      <c r="G607">
        <v>97</v>
      </c>
      <c r="H607">
        <v>17</v>
      </c>
      <c r="I607">
        <v>41</v>
      </c>
      <c r="J607">
        <v>155</v>
      </c>
      <c r="K607" s="482">
        <v>0.626</v>
      </c>
      <c r="L607" s="482">
        <v>0.11</v>
      </c>
      <c r="M607" s="482">
        <v>0.26500000000000001</v>
      </c>
    </row>
    <row r="608" spans="1:13" x14ac:dyDescent="0.2">
      <c r="A608" t="s">
        <v>1233</v>
      </c>
      <c r="B608" t="s">
        <v>13</v>
      </c>
      <c r="C608" t="s">
        <v>87</v>
      </c>
      <c r="D608" t="s">
        <v>414</v>
      </c>
      <c r="E608" t="s">
        <v>415</v>
      </c>
      <c r="F608" t="s">
        <v>179</v>
      </c>
      <c r="G608">
        <v>57</v>
      </c>
      <c r="H608">
        <v>17</v>
      </c>
      <c r="I608">
        <v>23</v>
      </c>
      <c r="J608">
        <v>97</v>
      </c>
      <c r="K608" s="482">
        <v>0.58799999999999997</v>
      </c>
      <c r="L608" s="482">
        <v>0.17499999999999999</v>
      </c>
      <c r="M608" s="482">
        <v>0.23699999999999999</v>
      </c>
    </row>
    <row r="609" spans="1:13" x14ac:dyDescent="0.2">
      <c r="A609" t="s">
        <v>1298</v>
      </c>
      <c r="B609" t="s">
        <v>13</v>
      </c>
      <c r="C609" t="s">
        <v>87</v>
      </c>
      <c r="D609" t="s">
        <v>417</v>
      </c>
      <c r="E609" t="s">
        <v>418</v>
      </c>
      <c r="F609" t="s">
        <v>179</v>
      </c>
      <c r="G609">
        <v>67</v>
      </c>
      <c r="H609">
        <v>8</v>
      </c>
      <c r="I609">
        <v>28</v>
      </c>
      <c r="J609">
        <v>103</v>
      </c>
      <c r="K609" s="482">
        <v>0.65</v>
      </c>
      <c r="L609" s="482">
        <v>7.8E-2</v>
      </c>
      <c r="M609" s="482">
        <v>0.27200000000000002</v>
      </c>
    </row>
    <row r="610" spans="1:13" x14ac:dyDescent="0.2">
      <c r="A610" t="s">
        <v>1299</v>
      </c>
      <c r="B610" t="s">
        <v>13</v>
      </c>
      <c r="C610" t="s">
        <v>87</v>
      </c>
      <c r="D610" t="s">
        <v>610</v>
      </c>
      <c r="E610" t="s">
        <v>611</v>
      </c>
      <c r="F610" t="s">
        <v>179</v>
      </c>
      <c r="G610">
        <v>96</v>
      </c>
      <c r="H610">
        <v>17</v>
      </c>
      <c r="I610">
        <v>38</v>
      </c>
      <c r="J610">
        <v>151</v>
      </c>
      <c r="K610" s="482">
        <v>0.63600000000000001</v>
      </c>
      <c r="L610" s="482">
        <v>0.113</v>
      </c>
      <c r="M610" s="482">
        <v>0.252</v>
      </c>
    </row>
    <row r="611" spans="1:13" x14ac:dyDescent="0.2">
      <c r="A611" t="s">
        <v>1300</v>
      </c>
      <c r="B611" t="s">
        <v>13</v>
      </c>
      <c r="C611" t="s">
        <v>87</v>
      </c>
      <c r="D611" t="s">
        <v>613</v>
      </c>
      <c r="E611" t="s">
        <v>614</v>
      </c>
      <c r="F611" t="s">
        <v>179</v>
      </c>
      <c r="G611">
        <v>35</v>
      </c>
      <c r="H611">
        <v>4</v>
      </c>
      <c r="I611">
        <v>12</v>
      </c>
      <c r="J611">
        <v>51</v>
      </c>
      <c r="K611" s="482">
        <v>0.68600000000000005</v>
      </c>
      <c r="L611" s="482">
        <v>7.8E-2</v>
      </c>
      <c r="M611" s="482">
        <v>0.23499999999999999</v>
      </c>
    </row>
    <row r="612" spans="1:13" x14ac:dyDescent="0.2">
      <c r="A612" t="s">
        <v>1301</v>
      </c>
      <c r="B612" t="s">
        <v>13</v>
      </c>
      <c r="C612" t="s">
        <v>87</v>
      </c>
      <c r="D612" t="s">
        <v>616</v>
      </c>
      <c r="E612" t="s">
        <v>617</v>
      </c>
      <c r="F612" t="s">
        <v>179</v>
      </c>
      <c r="G612">
        <v>172</v>
      </c>
      <c r="H612">
        <v>43</v>
      </c>
      <c r="I612">
        <v>69</v>
      </c>
      <c r="J612">
        <v>284</v>
      </c>
      <c r="K612" s="482">
        <v>0.60599999999999998</v>
      </c>
      <c r="L612" s="482">
        <v>0.151</v>
      </c>
      <c r="M612" s="482">
        <v>0.24299999999999999</v>
      </c>
    </row>
    <row r="613" spans="1:13" x14ac:dyDescent="0.2">
      <c r="A613" t="s">
        <v>1302</v>
      </c>
      <c r="B613" t="s">
        <v>13</v>
      </c>
      <c r="C613" t="s">
        <v>87</v>
      </c>
      <c r="D613" t="s">
        <v>619</v>
      </c>
      <c r="E613" t="s">
        <v>338</v>
      </c>
      <c r="F613" t="s">
        <v>179</v>
      </c>
      <c r="G613">
        <v>110</v>
      </c>
      <c r="H613">
        <v>23</v>
      </c>
      <c r="I613">
        <v>36</v>
      </c>
      <c r="J613">
        <v>169</v>
      </c>
      <c r="K613" s="482">
        <v>0.65100000000000002</v>
      </c>
      <c r="L613" s="482">
        <v>0.13600000000000001</v>
      </c>
      <c r="M613" s="482">
        <v>0.21299999999999999</v>
      </c>
    </row>
    <row r="614" spans="1:13" x14ac:dyDescent="0.2">
      <c r="A614" t="s">
        <v>1303</v>
      </c>
      <c r="B614" t="s">
        <v>13</v>
      </c>
      <c r="C614" t="s">
        <v>87</v>
      </c>
      <c r="D614" t="s">
        <v>621</v>
      </c>
      <c r="E614" t="s">
        <v>622</v>
      </c>
      <c r="F614" t="s">
        <v>179</v>
      </c>
      <c r="G614">
        <v>257</v>
      </c>
      <c r="H614">
        <v>50</v>
      </c>
      <c r="I614">
        <v>87</v>
      </c>
      <c r="J614">
        <v>394</v>
      </c>
      <c r="K614" s="482">
        <v>0.65200000000000002</v>
      </c>
      <c r="L614" s="482">
        <v>0.127</v>
      </c>
      <c r="M614" s="482">
        <v>0.221</v>
      </c>
    </row>
    <row r="615" spans="1:13" x14ac:dyDescent="0.2">
      <c r="A615" t="s">
        <v>1304</v>
      </c>
      <c r="B615" t="s">
        <v>13</v>
      </c>
      <c r="C615" t="s">
        <v>87</v>
      </c>
      <c r="D615" t="s">
        <v>624</v>
      </c>
      <c r="E615" t="s">
        <v>625</v>
      </c>
      <c r="F615" t="s">
        <v>179</v>
      </c>
      <c r="G615">
        <v>59</v>
      </c>
      <c r="H615">
        <v>10</v>
      </c>
      <c r="I615">
        <v>15</v>
      </c>
      <c r="J615">
        <v>84</v>
      </c>
      <c r="K615" s="482">
        <v>0.70199999999999996</v>
      </c>
      <c r="L615" s="482">
        <v>0.11899999999999999</v>
      </c>
      <c r="M615" s="482">
        <v>0.17899999999999999</v>
      </c>
    </row>
    <row r="616" spans="1:13" x14ac:dyDescent="0.2">
      <c r="A616" t="s">
        <v>1305</v>
      </c>
      <c r="B616" t="s">
        <v>13</v>
      </c>
      <c r="C616" t="s">
        <v>87</v>
      </c>
      <c r="D616" t="s">
        <v>627</v>
      </c>
      <c r="E616" t="s">
        <v>628</v>
      </c>
      <c r="F616" t="s">
        <v>179</v>
      </c>
      <c r="G616">
        <v>55</v>
      </c>
      <c r="H616">
        <v>6</v>
      </c>
      <c r="I616">
        <v>12</v>
      </c>
      <c r="J616">
        <v>73</v>
      </c>
      <c r="K616" s="482">
        <v>0.753</v>
      </c>
      <c r="L616" s="482">
        <v>8.2000000000000003E-2</v>
      </c>
      <c r="M616" s="482">
        <v>0.16400000000000001</v>
      </c>
    </row>
    <row r="617" spans="1:13" x14ac:dyDescent="0.2">
      <c r="A617" t="s">
        <v>6558</v>
      </c>
      <c r="B617" t="s">
        <v>13</v>
      </c>
      <c r="C617" t="s">
        <v>87</v>
      </c>
      <c r="D617" t="s">
        <v>6553</v>
      </c>
      <c r="E617" t="s">
        <v>6543</v>
      </c>
      <c r="F617" t="s">
        <v>179</v>
      </c>
      <c r="G617">
        <v>200</v>
      </c>
      <c r="H617">
        <v>38</v>
      </c>
      <c r="I617">
        <v>75</v>
      </c>
      <c r="J617">
        <v>313</v>
      </c>
      <c r="K617" s="482">
        <v>0.63900000000000001</v>
      </c>
      <c r="L617" s="482">
        <v>0.121</v>
      </c>
      <c r="M617" s="482">
        <v>0.24</v>
      </c>
    </row>
    <row r="618" spans="1:13" x14ac:dyDescent="0.2">
      <c r="A618" t="s">
        <v>1306</v>
      </c>
      <c r="B618" t="s">
        <v>13</v>
      </c>
      <c r="C618" t="s">
        <v>87</v>
      </c>
      <c r="D618" t="s">
        <v>630</v>
      </c>
      <c r="E618" t="s">
        <v>631</v>
      </c>
      <c r="F618" t="s">
        <v>179</v>
      </c>
      <c r="G618">
        <v>25</v>
      </c>
      <c r="H618">
        <v>5</v>
      </c>
      <c r="I618">
        <v>8</v>
      </c>
      <c r="J618">
        <v>38</v>
      </c>
      <c r="K618" s="482">
        <v>0.65800000000000003</v>
      </c>
      <c r="L618" s="482">
        <v>0.13200000000000001</v>
      </c>
      <c r="M618" s="482">
        <v>0.21099999999999999</v>
      </c>
    </row>
    <row r="619" spans="1:13" x14ac:dyDescent="0.2">
      <c r="A619" t="s">
        <v>1307</v>
      </c>
      <c r="B619" t="s">
        <v>13</v>
      </c>
      <c r="C619" t="s">
        <v>87</v>
      </c>
      <c r="D619" t="s">
        <v>633</v>
      </c>
      <c r="E619" t="s">
        <v>634</v>
      </c>
      <c r="F619" t="s">
        <v>179</v>
      </c>
      <c r="G619">
        <v>46</v>
      </c>
      <c r="H619">
        <v>8</v>
      </c>
      <c r="I619">
        <v>12</v>
      </c>
      <c r="J619">
        <v>66</v>
      </c>
      <c r="K619" s="482">
        <v>0.69699999999999995</v>
      </c>
      <c r="L619" s="482">
        <v>0.121</v>
      </c>
      <c r="M619" s="482">
        <v>0.182</v>
      </c>
    </row>
    <row r="620" spans="1:13" x14ac:dyDescent="0.2">
      <c r="A620" t="s">
        <v>1308</v>
      </c>
      <c r="B620" t="s">
        <v>13</v>
      </c>
      <c r="C620" t="s">
        <v>87</v>
      </c>
      <c r="D620" t="s">
        <v>636</v>
      </c>
      <c r="E620" t="s">
        <v>637</v>
      </c>
      <c r="F620" t="s">
        <v>179</v>
      </c>
      <c r="G620">
        <v>178</v>
      </c>
      <c r="H620">
        <v>22</v>
      </c>
      <c r="I620">
        <v>67</v>
      </c>
      <c r="J620">
        <v>267</v>
      </c>
      <c r="K620" s="482">
        <v>0.66700000000000004</v>
      </c>
      <c r="L620" s="482">
        <v>8.2000000000000003E-2</v>
      </c>
      <c r="M620" s="482">
        <v>0.251</v>
      </c>
    </row>
    <row r="621" spans="1:13" x14ac:dyDescent="0.2">
      <c r="A621" t="s">
        <v>1309</v>
      </c>
      <c r="B621" t="s">
        <v>13</v>
      </c>
      <c r="C621" t="s">
        <v>87</v>
      </c>
      <c r="D621" t="s">
        <v>639</v>
      </c>
      <c r="E621" t="s">
        <v>640</v>
      </c>
      <c r="F621" t="s">
        <v>179</v>
      </c>
      <c r="G621">
        <v>105</v>
      </c>
      <c r="H621">
        <v>16</v>
      </c>
      <c r="I621">
        <v>40</v>
      </c>
      <c r="J621">
        <v>161</v>
      </c>
      <c r="K621" s="482">
        <v>0.65200000000000002</v>
      </c>
      <c r="L621" s="482">
        <v>9.9000000000000005E-2</v>
      </c>
      <c r="M621" s="482">
        <v>0.248</v>
      </c>
    </row>
    <row r="622" spans="1:13" x14ac:dyDescent="0.2">
      <c r="A622" t="s">
        <v>1310</v>
      </c>
      <c r="B622" t="s">
        <v>13</v>
      </c>
      <c r="C622" t="s">
        <v>87</v>
      </c>
      <c r="D622" t="s">
        <v>642</v>
      </c>
      <c r="E622" t="s">
        <v>643</v>
      </c>
      <c r="F622" t="s">
        <v>179</v>
      </c>
      <c r="G622">
        <v>169</v>
      </c>
      <c r="H622">
        <v>30</v>
      </c>
      <c r="I622">
        <v>48</v>
      </c>
      <c r="J622">
        <v>247</v>
      </c>
      <c r="K622" s="482">
        <v>0.68400000000000005</v>
      </c>
      <c r="L622" s="482">
        <v>0.121</v>
      </c>
      <c r="M622" s="482">
        <v>0.19400000000000001</v>
      </c>
    </row>
    <row r="623" spans="1:13" x14ac:dyDescent="0.2">
      <c r="A623" t="s">
        <v>1311</v>
      </c>
      <c r="B623" t="s">
        <v>13</v>
      </c>
      <c r="C623" t="s">
        <v>87</v>
      </c>
      <c r="D623" t="s">
        <v>645</v>
      </c>
      <c r="E623" t="s">
        <v>646</v>
      </c>
      <c r="F623" t="s">
        <v>179</v>
      </c>
      <c r="G623">
        <v>135</v>
      </c>
      <c r="H623">
        <v>21</v>
      </c>
      <c r="I623">
        <v>37</v>
      </c>
      <c r="J623">
        <v>193</v>
      </c>
      <c r="K623" s="482">
        <v>0.69899999999999995</v>
      </c>
      <c r="L623" s="482">
        <v>0.109</v>
      </c>
      <c r="M623" s="482">
        <v>0.192</v>
      </c>
    </row>
    <row r="624" spans="1:13" x14ac:dyDescent="0.2">
      <c r="A624" t="s">
        <v>1312</v>
      </c>
      <c r="B624" t="s">
        <v>13</v>
      </c>
      <c r="C624" t="s">
        <v>87</v>
      </c>
      <c r="D624" t="s">
        <v>648</v>
      </c>
      <c r="E624" t="s">
        <v>649</v>
      </c>
      <c r="F624" t="s">
        <v>179</v>
      </c>
      <c r="G624">
        <v>60</v>
      </c>
      <c r="H624">
        <v>4</v>
      </c>
      <c r="I624">
        <v>15</v>
      </c>
      <c r="J624">
        <v>79</v>
      </c>
      <c r="K624" s="482">
        <v>0.75900000000000001</v>
      </c>
      <c r="L624" s="482">
        <v>5.0999999999999997E-2</v>
      </c>
      <c r="M624" s="482">
        <v>0.19</v>
      </c>
    </row>
    <row r="625" spans="1:13" x14ac:dyDescent="0.2">
      <c r="A625" t="s">
        <v>1313</v>
      </c>
      <c r="B625" t="s">
        <v>13</v>
      </c>
      <c r="C625" t="s">
        <v>87</v>
      </c>
      <c r="D625" t="s">
        <v>651</v>
      </c>
      <c r="E625" t="s">
        <v>652</v>
      </c>
      <c r="F625" t="s">
        <v>179</v>
      </c>
      <c r="G625">
        <v>59</v>
      </c>
      <c r="H625">
        <v>15</v>
      </c>
      <c r="I625">
        <v>27</v>
      </c>
      <c r="J625">
        <v>101</v>
      </c>
      <c r="K625" s="482">
        <v>0.58399999999999996</v>
      </c>
      <c r="L625" s="482">
        <v>0.14899999999999999</v>
      </c>
      <c r="M625" s="482">
        <v>0.26700000000000002</v>
      </c>
    </row>
    <row r="626" spans="1:13" x14ac:dyDescent="0.2">
      <c r="A626" t="s">
        <v>1314</v>
      </c>
      <c r="B626" t="s">
        <v>13</v>
      </c>
      <c r="C626" t="s">
        <v>87</v>
      </c>
      <c r="D626" t="s">
        <v>654</v>
      </c>
      <c r="E626" t="s">
        <v>655</v>
      </c>
      <c r="F626" t="s">
        <v>179</v>
      </c>
      <c r="G626">
        <v>65</v>
      </c>
      <c r="H626">
        <v>5</v>
      </c>
      <c r="I626">
        <v>29</v>
      </c>
      <c r="J626">
        <v>99</v>
      </c>
      <c r="K626" s="482">
        <v>0.65700000000000003</v>
      </c>
      <c r="L626" s="482">
        <v>5.0999999999999997E-2</v>
      </c>
      <c r="M626" s="482">
        <v>0.29299999999999998</v>
      </c>
    </row>
    <row r="627" spans="1:13" x14ac:dyDescent="0.2">
      <c r="A627" t="s">
        <v>1315</v>
      </c>
      <c r="B627" t="s">
        <v>13</v>
      </c>
      <c r="C627" t="s">
        <v>87</v>
      </c>
      <c r="D627" t="s">
        <v>657</v>
      </c>
      <c r="E627" t="s">
        <v>658</v>
      </c>
      <c r="F627" t="s">
        <v>179</v>
      </c>
      <c r="G627">
        <v>84</v>
      </c>
      <c r="H627">
        <v>12</v>
      </c>
      <c r="I627">
        <v>24</v>
      </c>
      <c r="J627">
        <v>120</v>
      </c>
      <c r="K627" s="482">
        <v>0.7</v>
      </c>
      <c r="L627" s="482">
        <v>0.1</v>
      </c>
      <c r="M627" s="482">
        <v>0.2</v>
      </c>
    </row>
    <row r="628" spans="1:13" x14ac:dyDescent="0.2">
      <c r="A628" t="s">
        <v>1316</v>
      </c>
      <c r="B628" t="s">
        <v>13</v>
      </c>
      <c r="C628" t="s">
        <v>87</v>
      </c>
      <c r="D628" t="s">
        <v>660</v>
      </c>
      <c r="E628" t="s">
        <v>661</v>
      </c>
      <c r="F628" t="s">
        <v>179</v>
      </c>
      <c r="G628">
        <v>30</v>
      </c>
      <c r="H628">
        <v>4</v>
      </c>
      <c r="I628">
        <v>17</v>
      </c>
      <c r="J628">
        <v>51</v>
      </c>
      <c r="K628" s="482">
        <v>0.58799999999999997</v>
      </c>
      <c r="L628" s="482">
        <v>7.8E-2</v>
      </c>
      <c r="M628" s="482">
        <v>0.33300000000000002</v>
      </c>
    </row>
    <row r="629" spans="1:13" x14ac:dyDescent="0.2">
      <c r="A629" t="s">
        <v>1317</v>
      </c>
      <c r="B629" t="s">
        <v>13</v>
      </c>
      <c r="C629" t="s">
        <v>87</v>
      </c>
      <c r="D629" t="s">
        <v>663</v>
      </c>
      <c r="E629" t="s">
        <v>664</v>
      </c>
      <c r="F629" t="s">
        <v>179</v>
      </c>
      <c r="G629">
        <v>138</v>
      </c>
      <c r="H629">
        <v>38</v>
      </c>
      <c r="I629">
        <v>45</v>
      </c>
      <c r="J629">
        <v>221</v>
      </c>
      <c r="K629" s="482">
        <v>0.624</v>
      </c>
      <c r="L629" s="482">
        <v>0.17199999999999999</v>
      </c>
      <c r="M629" s="482">
        <v>0.20399999999999999</v>
      </c>
    </row>
    <row r="630" spans="1:13" x14ac:dyDescent="0.2">
      <c r="A630" t="s">
        <v>1318</v>
      </c>
      <c r="B630" t="s">
        <v>13</v>
      </c>
      <c r="C630" t="s">
        <v>87</v>
      </c>
      <c r="D630" t="s">
        <v>666</v>
      </c>
      <c r="E630" t="s">
        <v>667</v>
      </c>
      <c r="F630" t="s">
        <v>179</v>
      </c>
      <c r="G630">
        <v>114</v>
      </c>
      <c r="H630">
        <v>21</v>
      </c>
      <c r="I630">
        <v>34</v>
      </c>
      <c r="J630">
        <v>169</v>
      </c>
      <c r="K630" s="482">
        <v>0.67500000000000004</v>
      </c>
      <c r="L630" s="482">
        <v>0.124</v>
      </c>
      <c r="M630" s="482">
        <v>0.20100000000000001</v>
      </c>
    </row>
    <row r="631" spans="1:13" x14ac:dyDescent="0.2">
      <c r="A631" t="s">
        <v>1319</v>
      </c>
      <c r="B631" t="s">
        <v>13</v>
      </c>
      <c r="C631" t="s">
        <v>87</v>
      </c>
      <c r="D631" t="s">
        <v>669</v>
      </c>
      <c r="E631" t="s">
        <v>670</v>
      </c>
      <c r="F631" t="s">
        <v>179</v>
      </c>
      <c r="G631">
        <v>123</v>
      </c>
      <c r="H631">
        <v>10</v>
      </c>
      <c r="I631">
        <v>34</v>
      </c>
      <c r="J631">
        <v>167</v>
      </c>
      <c r="K631" s="482">
        <v>0.73699999999999999</v>
      </c>
      <c r="L631" s="482">
        <v>0.06</v>
      </c>
      <c r="M631" s="482">
        <v>0.20399999999999999</v>
      </c>
    </row>
    <row r="632" spans="1:13" x14ac:dyDescent="0.2">
      <c r="A632" t="s">
        <v>1320</v>
      </c>
      <c r="B632" t="s">
        <v>13</v>
      </c>
      <c r="C632" t="s">
        <v>87</v>
      </c>
      <c r="D632" t="s">
        <v>672</v>
      </c>
      <c r="E632" t="s">
        <v>673</v>
      </c>
      <c r="F632" t="s">
        <v>179</v>
      </c>
      <c r="G632">
        <v>153</v>
      </c>
      <c r="H632">
        <v>20</v>
      </c>
      <c r="I632">
        <v>48</v>
      </c>
      <c r="J632">
        <v>221</v>
      </c>
      <c r="K632" s="482">
        <v>0.69199999999999995</v>
      </c>
      <c r="L632" s="482">
        <v>0.09</v>
      </c>
      <c r="M632" s="482">
        <v>0.217</v>
      </c>
    </row>
    <row r="633" spans="1:13" x14ac:dyDescent="0.2">
      <c r="A633" t="s">
        <v>1321</v>
      </c>
      <c r="B633" t="s">
        <v>13</v>
      </c>
      <c r="C633" t="s">
        <v>87</v>
      </c>
      <c r="D633" t="s">
        <v>675</v>
      </c>
      <c r="E633" t="s">
        <v>676</v>
      </c>
      <c r="F633" t="s">
        <v>179</v>
      </c>
      <c r="G633">
        <v>152</v>
      </c>
      <c r="H633">
        <v>38</v>
      </c>
      <c r="I633">
        <v>44</v>
      </c>
      <c r="J633">
        <v>234</v>
      </c>
      <c r="K633" s="482">
        <v>0.65</v>
      </c>
      <c r="L633" s="482">
        <v>0.16200000000000001</v>
      </c>
      <c r="M633" s="482">
        <v>0.188</v>
      </c>
    </row>
    <row r="634" spans="1:13" x14ac:dyDescent="0.2">
      <c r="A634" t="s">
        <v>1429</v>
      </c>
      <c r="B634" t="s">
        <v>13</v>
      </c>
      <c r="C634" t="s">
        <v>87</v>
      </c>
      <c r="D634" t="s">
        <v>992</v>
      </c>
      <c r="E634" t="s">
        <v>993</v>
      </c>
      <c r="F634" t="s">
        <v>179</v>
      </c>
      <c r="G634">
        <v>44</v>
      </c>
      <c r="H634">
        <v>4</v>
      </c>
      <c r="I634">
        <v>20</v>
      </c>
      <c r="J634">
        <v>68</v>
      </c>
      <c r="K634" s="482">
        <v>0.64700000000000002</v>
      </c>
      <c r="L634" s="482">
        <v>5.8999999999999997E-2</v>
      </c>
      <c r="M634" s="482">
        <v>0.29399999999999998</v>
      </c>
    </row>
    <row r="635" spans="1:13" x14ac:dyDescent="0.2">
      <c r="A635" t="s">
        <v>1430</v>
      </c>
      <c r="B635" t="s">
        <v>13</v>
      </c>
      <c r="C635" t="s">
        <v>87</v>
      </c>
      <c r="D635" t="s">
        <v>995</v>
      </c>
      <c r="E635" t="s">
        <v>996</v>
      </c>
      <c r="F635" t="s">
        <v>179</v>
      </c>
      <c r="G635">
        <v>101</v>
      </c>
      <c r="H635">
        <v>21</v>
      </c>
      <c r="I635">
        <v>31</v>
      </c>
      <c r="J635">
        <v>153</v>
      </c>
      <c r="K635" s="482">
        <v>0.66</v>
      </c>
      <c r="L635" s="482">
        <v>0.13700000000000001</v>
      </c>
      <c r="M635" s="482">
        <v>0.20300000000000001</v>
      </c>
    </row>
    <row r="636" spans="1:13" x14ac:dyDescent="0.2">
      <c r="A636" t="s">
        <v>1431</v>
      </c>
      <c r="B636" t="s">
        <v>13</v>
      </c>
      <c r="C636" t="s">
        <v>87</v>
      </c>
      <c r="D636" t="s">
        <v>998</v>
      </c>
      <c r="E636" t="s">
        <v>999</v>
      </c>
      <c r="F636" t="s">
        <v>179</v>
      </c>
      <c r="G636">
        <v>56</v>
      </c>
      <c r="H636">
        <v>10</v>
      </c>
      <c r="I636">
        <v>28</v>
      </c>
      <c r="J636">
        <v>94</v>
      </c>
      <c r="K636" s="482">
        <v>0.59599999999999997</v>
      </c>
      <c r="L636" s="482">
        <v>0.106</v>
      </c>
      <c r="M636" s="482">
        <v>0.29799999999999999</v>
      </c>
    </row>
    <row r="637" spans="1:13" x14ac:dyDescent="0.2">
      <c r="A637" t="s">
        <v>1432</v>
      </c>
      <c r="B637" t="s">
        <v>13</v>
      </c>
      <c r="C637" t="s">
        <v>87</v>
      </c>
      <c r="D637" t="s">
        <v>1001</v>
      </c>
      <c r="E637" t="s">
        <v>1002</v>
      </c>
      <c r="F637" t="s">
        <v>179</v>
      </c>
      <c r="G637">
        <v>83</v>
      </c>
      <c r="H637">
        <v>11</v>
      </c>
      <c r="I637">
        <v>27</v>
      </c>
      <c r="J637">
        <v>121</v>
      </c>
      <c r="K637" s="482">
        <v>0.68600000000000005</v>
      </c>
      <c r="L637" s="482">
        <v>9.0999999999999998E-2</v>
      </c>
      <c r="M637" s="482">
        <v>0.223</v>
      </c>
    </row>
    <row r="638" spans="1:13" x14ac:dyDescent="0.2">
      <c r="A638" t="s">
        <v>1433</v>
      </c>
      <c r="B638" t="s">
        <v>13</v>
      </c>
      <c r="C638" t="s">
        <v>87</v>
      </c>
      <c r="D638" t="s">
        <v>1004</v>
      </c>
      <c r="E638" t="s">
        <v>1005</v>
      </c>
      <c r="F638" t="s">
        <v>179</v>
      </c>
      <c r="G638">
        <v>45</v>
      </c>
      <c r="H638">
        <v>7</v>
      </c>
      <c r="I638">
        <v>21</v>
      </c>
      <c r="J638">
        <v>73</v>
      </c>
      <c r="K638" s="482">
        <v>0.61599999999999999</v>
      </c>
      <c r="L638" s="482">
        <v>9.6000000000000002E-2</v>
      </c>
      <c r="M638" s="482">
        <v>0.28799999999999998</v>
      </c>
    </row>
    <row r="639" spans="1:13" x14ac:dyDescent="0.2">
      <c r="A639" t="s">
        <v>1434</v>
      </c>
      <c r="B639" t="s">
        <v>13</v>
      </c>
      <c r="C639" t="s">
        <v>87</v>
      </c>
      <c r="D639" t="s">
        <v>1007</v>
      </c>
      <c r="E639" t="s">
        <v>1008</v>
      </c>
      <c r="F639" t="s">
        <v>179</v>
      </c>
      <c r="G639">
        <v>36</v>
      </c>
      <c r="H639">
        <v>3</v>
      </c>
      <c r="I639">
        <v>13</v>
      </c>
      <c r="J639">
        <v>52</v>
      </c>
      <c r="K639" s="482">
        <v>0.69199999999999995</v>
      </c>
      <c r="L639" s="482">
        <v>5.8000000000000003E-2</v>
      </c>
      <c r="M639" s="482">
        <v>0.25</v>
      </c>
    </row>
    <row r="640" spans="1:13" x14ac:dyDescent="0.2">
      <c r="A640" t="s">
        <v>1435</v>
      </c>
      <c r="B640" t="s">
        <v>13</v>
      </c>
      <c r="C640" t="s">
        <v>87</v>
      </c>
      <c r="D640" t="s">
        <v>1010</v>
      </c>
      <c r="E640" t="s">
        <v>1011</v>
      </c>
      <c r="F640" t="s">
        <v>179</v>
      </c>
      <c r="G640">
        <v>10</v>
      </c>
      <c r="H640">
        <v>2</v>
      </c>
      <c r="I640">
        <v>2</v>
      </c>
      <c r="J640">
        <v>14</v>
      </c>
      <c r="K640" s="482">
        <v>0.71399999999999997</v>
      </c>
      <c r="L640" s="482">
        <v>0.14299999999999999</v>
      </c>
      <c r="M640" s="482">
        <v>0.14299999999999999</v>
      </c>
    </row>
    <row r="641" spans="1:13" x14ac:dyDescent="0.2">
      <c r="A641" t="s">
        <v>1234</v>
      </c>
      <c r="B641" t="s">
        <v>13</v>
      </c>
      <c r="C641" t="s">
        <v>87</v>
      </c>
      <c r="D641" t="s">
        <v>1013</v>
      </c>
      <c r="E641" t="s">
        <v>1014</v>
      </c>
      <c r="F641" t="s">
        <v>179</v>
      </c>
      <c r="G641">
        <v>48</v>
      </c>
      <c r="H641">
        <v>6</v>
      </c>
      <c r="I641">
        <v>7</v>
      </c>
      <c r="J641">
        <v>61</v>
      </c>
      <c r="K641" s="482">
        <v>0.78700000000000003</v>
      </c>
      <c r="L641" s="482">
        <v>9.8000000000000004E-2</v>
      </c>
      <c r="M641" s="482">
        <v>0.115</v>
      </c>
    </row>
    <row r="642" spans="1:13" x14ac:dyDescent="0.2">
      <c r="A642" t="s">
        <v>1235</v>
      </c>
      <c r="B642" t="s">
        <v>13</v>
      </c>
      <c r="C642" t="s">
        <v>87</v>
      </c>
      <c r="D642" t="s">
        <v>420</v>
      </c>
      <c r="E642" t="s">
        <v>421</v>
      </c>
      <c r="F642" t="s">
        <v>179</v>
      </c>
      <c r="G642">
        <v>260</v>
      </c>
      <c r="H642">
        <v>39</v>
      </c>
      <c r="I642">
        <v>79</v>
      </c>
      <c r="J642">
        <v>378</v>
      </c>
      <c r="K642" s="482">
        <v>0.68799999999999994</v>
      </c>
      <c r="L642" s="482">
        <v>0.10299999999999999</v>
      </c>
      <c r="M642" s="482">
        <v>0.20899999999999999</v>
      </c>
    </row>
    <row r="643" spans="1:13" x14ac:dyDescent="0.2">
      <c r="A643" t="s">
        <v>1236</v>
      </c>
      <c r="B643" t="s">
        <v>13</v>
      </c>
      <c r="C643" t="s">
        <v>87</v>
      </c>
      <c r="D643" t="s">
        <v>423</v>
      </c>
      <c r="E643" t="s">
        <v>424</v>
      </c>
      <c r="F643" t="s">
        <v>179</v>
      </c>
      <c r="G643">
        <v>47</v>
      </c>
      <c r="H643">
        <v>8</v>
      </c>
      <c r="I643">
        <v>13</v>
      </c>
      <c r="J643">
        <v>68</v>
      </c>
      <c r="K643" s="482">
        <v>0.69099999999999995</v>
      </c>
      <c r="L643" s="482">
        <v>0.11799999999999999</v>
      </c>
      <c r="M643" s="482">
        <v>0.191</v>
      </c>
    </row>
    <row r="644" spans="1:13" x14ac:dyDescent="0.2">
      <c r="A644" t="s">
        <v>1237</v>
      </c>
      <c r="B644" t="s">
        <v>13</v>
      </c>
      <c r="C644" t="s">
        <v>87</v>
      </c>
      <c r="D644" t="s">
        <v>426</v>
      </c>
      <c r="E644" t="s">
        <v>427</v>
      </c>
      <c r="F644" t="s">
        <v>179</v>
      </c>
      <c r="G644">
        <v>130</v>
      </c>
      <c r="H644">
        <v>15</v>
      </c>
      <c r="I644">
        <v>48</v>
      </c>
      <c r="J644">
        <v>193</v>
      </c>
      <c r="K644" s="482">
        <v>0.67400000000000004</v>
      </c>
      <c r="L644" s="482">
        <v>7.8E-2</v>
      </c>
      <c r="M644" s="482">
        <v>0.249</v>
      </c>
    </row>
    <row r="645" spans="1:13" x14ac:dyDescent="0.2">
      <c r="A645" t="s">
        <v>1238</v>
      </c>
      <c r="B645" t="s">
        <v>13</v>
      </c>
      <c r="C645" t="s">
        <v>87</v>
      </c>
      <c r="D645" t="s">
        <v>429</v>
      </c>
      <c r="E645" t="s">
        <v>430</v>
      </c>
      <c r="F645" t="s">
        <v>179</v>
      </c>
      <c r="G645">
        <v>100</v>
      </c>
      <c r="H645">
        <v>15</v>
      </c>
      <c r="I645">
        <v>31</v>
      </c>
      <c r="J645">
        <v>146</v>
      </c>
      <c r="K645" s="482">
        <v>0.68500000000000005</v>
      </c>
      <c r="L645" s="482">
        <v>0.10299999999999999</v>
      </c>
      <c r="M645" s="482">
        <v>0.21199999999999999</v>
      </c>
    </row>
    <row r="646" spans="1:13" x14ac:dyDescent="0.2">
      <c r="A646" t="s">
        <v>1239</v>
      </c>
      <c r="B646" t="s">
        <v>13</v>
      </c>
      <c r="C646" t="s">
        <v>87</v>
      </c>
      <c r="D646" t="s">
        <v>432</v>
      </c>
      <c r="E646" t="s">
        <v>433</v>
      </c>
      <c r="F646" t="s">
        <v>179</v>
      </c>
      <c r="G646">
        <v>43</v>
      </c>
      <c r="H646">
        <v>5</v>
      </c>
      <c r="I646">
        <v>16</v>
      </c>
      <c r="J646">
        <v>64</v>
      </c>
      <c r="K646" s="482">
        <v>0.67200000000000004</v>
      </c>
      <c r="L646" s="482">
        <v>7.8E-2</v>
      </c>
      <c r="M646" s="482">
        <v>0.25</v>
      </c>
    </row>
    <row r="647" spans="1:13" x14ac:dyDescent="0.2">
      <c r="A647" t="s">
        <v>1240</v>
      </c>
      <c r="B647" t="s">
        <v>13</v>
      </c>
      <c r="C647" t="s">
        <v>87</v>
      </c>
      <c r="D647" t="s">
        <v>435</v>
      </c>
      <c r="E647" t="s">
        <v>436</v>
      </c>
      <c r="F647" t="s">
        <v>179</v>
      </c>
      <c r="G647">
        <v>47</v>
      </c>
      <c r="H647">
        <v>8</v>
      </c>
      <c r="I647">
        <v>14</v>
      </c>
      <c r="J647">
        <v>69</v>
      </c>
      <c r="K647" s="482">
        <v>0.68100000000000005</v>
      </c>
      <c r="L647" s="482">
        <v>0.11600000000000001</v>
      </c>
      <c r="M647" s="482">
        <v>0.20300000000000001</v>
      </c>
    </row>
    <row r="648" spans="1:13" x14ac:dyDescent="0.2">
      <c r="A648" t="s">
        <v>1341</v>
      </c>
      <c r="B648" t="s">
        <v>13</v>
      </c>
      <c r="C648" t="s">
        <v>87</v>
      </c>
      <c r="D648" t="s">
        <v>737</v>
      </c>
      <c r="E648" t="s">
        <v>738</v>
      </c>
      <c r="F648" t="s">
        <v>179</v>
      </c>
      <c r="G648">
        <v>104</v>
      </c>
      <c r="H648">
        <v>17</v>
      </c>
      <c r="I648">
        <v>39</v>
      </c>
      <c r="J648">
        <v>160</v>
      </c>
      <c r="K648" s="482">
        <v>0.65</v>
      </c>
      <c r="L648" s="482">
        <v>0.106</v>
      </c>
      <c r="M648" s="482">
        <v>0.24399999999999999</v>
      </c>
    </row>
    <row r="649" spans="1:13" x14ac:dyDescent="0.2">
      <c r="A649" t="s">
        <v>1530</v>
      </c>
      <c r="B649" t="s">
        <v>13</v>
      </c>
      <c r="C649" t="s">
        <v>87</v>
      </c>
      <c r="D649" t="s">
        <v>737</v>
      </c>
      <c r="E649" t="s">
        <v>738</v>
      </c>
      <c r="F649" t="s">
        <v>52</v>
      </c>
      <c r="G649">
        <v>146</v>
      </c>
      <c r="H649">
        <v>10</v>
      </c>
      <c r="I649">
        <v>4</v>
      </c>
      <c r="J649">
        <v>160</v>
      </c>
      <c r="K649" s="482">
        <v>0.91300000000000003</v>
      </c>
      <c r="L649" s="482">
        <v>6.3E-2</v>
      </c>
      <c r="M649" s="482">
        <v>2.5000000000000001E-2</v>
      </c>
    </row>
    <row r="650" spans="1:13" x14ac:dyDescent="0.2">
      <c r="A650" t="s">
        <v>1631</v>
      </c>
      <c r="B650" t="s">
        <v>13</v>
      </c>
      <c r="C650" t="s">
        <v>87</v>
      </c>
      <c r="D650" t="s">
        <v>435</v>
      </c>
      <c r="E650" t="s">
        <v>436</v>
      </c>
      <c r="F650" t="s">
        <v>52</v>
      </c>
      <c r="G650">
        <v>56</v>
      </c>
      <c r="H650">
        <v>8</v>
      </c>
      <c r="I650">
        <v>4</v>
      </c>
      <c r="J650">
        <v>68</v>
      </c>
      <c r="K650" s="482">
        <v>0.82399999999999995</v>
      </c>
      <c r="L650" s="482">
        <v>0.11799999999999999</v>
      </c>
      <c r="M650" s="482">
        <v>5.8999999999999997E-2</v>
      </c>
    </row>
    <row r="651" spans="1:13" x14ac:dyDescent="0.2">
      <c r="A651" t="s">
        <v>1632</v>
      </c>
      <c r="B651" t="s">
        <v>13</v>
      </c>
      <c r="C651" t="s">
        <v>87</v>
      </c>
      <c r="D651" t="s">
        <v>432</v>
      </c>
      <c r="E651" t="s">
        <v>433</v>
      </c>
      <c r="F651" t="s">
        <v>52</v>
      </c>
      <c r="G651">
        <v>55</v>
      </c>
      <c r="H651">
        <v>4</v>
      </c>
      <c r="I651">
        <v>4</v>
      </c>
      <c r="J651">
        <v>63</v>
      </c>
      <c r="K651" s="482">
        <v>0.873</v>
      </c>
      <c r="L651" s="482">
        <v>6.3E-2</v>
      </c>
      <c r="M651" s="482">
        <v>6.3E-2</v>
      </c>
    </row>
    <row r="652" spans="1:13" x14ac:dyDescent="0.2">
      <c r="A652" t="s">
        <v>1633</v>
      </c>
      <c r="B652" t="s">
        <v>13</v>
      </c>
      <c r="C652" t="s">
        <v>87</v>
      </c>
      <c r="D652" t="s">
        <v>429</v>
      </c>
      <c r="E652" t="s">
        <v>430</v>
      </c>
      <c r="F652" t="s">
        <v>52</v>
      </c>
      <c r="G652">
        <v>136</v>
      </c>
      <c r="H652">
        <v>10</v>
      </c>
      <c r="I652">
        <v>13</v>
      </c>
      <c r="J652">
        <v>159</v>
      </c>
      <c r="K652" s="482">
        <v>0.85499999999999998</v>
      </c>
      <c r="L652" s="482">
        <v>6.3E-2</v>
      </c>
      <c r="M652" s="482">
        <v>8.2000000000000003E-2</v>
      </c>
    </row>
    <row r="653" spans="1:13" x14ac:dyDescent="0.2">
      <c r="A653" t="s">
        <v>1634</v>
      </c>
      <c r="B653" t="s">
        <v>13</v>
      </c>
      <c r="C653" t="s">
        <v>87</v>
      </c>
      <c r="D653" t="s">
        <v>426</v>
      </c>
      <c r="E653" t="s">
        <v>427</v>
      </c>
      <c r="F653" t="s">
        <v>52</v>
      </c>
      <c r="G653">
        <v>173</v>
      </c>
      <c r="H653">
        <v>13</v>
      </c>
      <c r="I653">
        <v>13</v>
      </c>
      <c r="J653">
        <v>199</v>
      </c>
      <c r="K653" s="482">
        <v>0.86899999999999999</v>
      </c>
      <c r="L653" s="482">
        <v>6.5000000000000002E-2</v>
      </c>
      <c r="M653" s="482">
        <v>6.5000000000000002E-2</v>
      </c>
    </row>
    <row r="654" spans="1:13" x14ac:dyDescent="0.2">
      <c r="A654" t="s">
        <v>1635</v>
      </c>
      <c r="B654" t="s">
        <v>13</v>
      </c>
      <c r="C654" t="s">
        <v>87</v>
      </c>
      <c r="D654" t="s">
        <v>423</v>
      </c>
      <c r="E654" t="s">
        <v>424</v>
      </c>
      <c r="F654" t="s">
        <v>52</v>
      </c>
      <c r="G654">
        <v>66</v>
      </c>
      <c r="H654">
        <v>9</v>
      </c>
      <c r="I654">
        <v>3</v>
      </c>
      <c r="J654">
        <v>78</v>
      </c>
      <c r="K654" s="482">
        <v>0.84599999999999997</v>
      </c>
      <c r="L654" s="482">
        <v>0.115</v>
      </c>
      <c r="M654" s="482">
        <v>3.7999999999999999E-2</v>
      </c>
    </row>
    <row r="655" spans="1:13" x14ac:dyDescent="0.2">
      <c r="A655" t="s">
        <v>1636</v>
      </c>
      <c r="B655" t="s">
        <v>13</v>
      </c>
      <c r="C655" t="s">
        <v>87</v>
      </c>
      <c r="D655" t="s">
        <v>420</v>
      </c>
      <c r="E655" t="s">
        <v>421</v>
      </c>
      <c r="F655" t="s">
        <v>52</v>
      </c>
      <c r="G655">
        <v>340</v>
      </c>
      <c r="H655">
        <v>22</v>
      </c>
      <c r="I655">
        <v>23</v>
      </c>
      <c r="J655">
        <v>385</v>
      </c>
      <c r="K655" s="482">
        <v>0.88300000000000001</v>
      </c>
      <c r="L655" s="482">
        <v>5.7000000000000002E-2</v>
      </c>
      <c r="M655" s="482">
        <v>0.06</v>
      </c>
    </row>
    <row r="656" spans="1:13" x14ac:dyDescent="0.2">
      <c r="A656" t="s">
        <v>1637</v>
      </c>
      <c r="B656" t="s">
        <v>13</v>
      </c>
      <c r="C656" t="s">
        <v>87</v>
      </c>
      <c r="D656" t="s">
        <v>1013</v>
      </c>
      <c r="E656" t="s">
        <v>1014</v>
      </c>
      <c r="F656" t="s">
        <v>52</v>
      </c>
      <c r="G656">
        <v>57</v>
      </c>
      <c r="H656">
        <v>7</v>
      </c>
      <c r="I656">
        <v>5</v>
      </c>
      <c r="J656">
        <v>69</v>
      </c>
      <c r="K656" s="482">
        <v>0.82599999999999996</v>
      </c>
      <c r="L656" s="482">
        <v>0.10100000000000001</v>
      </c>
      <c r="M656" s="482">
        <v>7.1999999999999995E-2</v>
      </c>
    </row>
    <row r="657" spans="1:13" x14ac:dyDescent="0.2">
      <c r="A657" t="s">
        <v>1436</v>
      </c>
      <c r="B657" t="s">
        <v>13</v>
      </c>
      <c r="C657" t="s">
        <v>87</v>
      </c>
      <c r="D657" t="s">
        <v>1010</v>
      </c>
      <c r="E657" t="s">
        <v>1011</v>
      </c>
      <c r="F657" t="s">
        <v>52</v>
      </c>
      <c r="G657">
        <v>16</v>
      </c>
      <c r="H657">
        <v>1</v>
      </c>
      <c r="I657">
        <v>1</v>
      </c>
      <c r="J657">
        <v>18</v>
      </c>
      <c r="K657" s="482">
        <v>0.88900000000000001</v>
      </c>
      <c r="L657" s="482">
        <v>5.6000000000000001E-2</v>
      </c>
      <c r="M657" s="482">
        <v>5.6000000000000001E-2</v>
      </c>
    </row>
    <row r="658" spans="1:13" x14ac:dyDescent="0.2">
      <c r="A658" t="s">
        <v>1437</v>
      </c>
      <c r="B658" t="s">
        <v>13</v>
      </c>
      <c r="C658" t="s">
        <v>87</v>
      </c>
      <c r="D658" t="s">
        <v>1007</v>
      </c>
      <c r="E658" t="s">
        <v>1008</v>
      </c>
      <c r="F658" t="s">
        <v>52</v>
      </c>
      <c r="G658">
        <v>53</v>
      </c>
      <c r="H658">
        <v>4</v>
      </c>
      <c r="I658">
        <v>3</v>
      </c>
      <c r="J658">
        <v>60</v>
      </c>
      <c r="K658" s="482">
        <v>0.88300000000000001</v>
      </c>
      <c r="L658" s="482">
        <v>6.7000000000000004E-2</v>
      </c>
      <c r="M658" s="482">
        <v>0.05</v>
      </c>
    </row>
    <row r="659" spans="1:13" x14ac:dyDescent="0.2">
      <c r="A659" t="s">
        <v>1438</v>
      </c>
      <c r="B659" t="s">
        <v>13</v>
      </c>
      <c r="C659" t="s">
        <v>87</v>
      </c>
      <c r="D659" t="s">
        <v>1004</v>
      </c>
      <c r="E659" t="s">
        <v>1005</v>
      </c>
      <c r="F659" t="s">
        <v>52</v>
      </c>
      <c r="G659">
        <v>71</v>
      </c>
      <c r="H659">
        <v>5</v>
      </c>
      <c r="I659">
        <v>3</v>
      </c>
      <c r="J659">
        <v>79</v>
      </c>
      <c r="K659" s="482">
        <v>0.89900000000000002</v>
      </c>
      <c r="L659" s="482">
        <v>6.3E-2</v>
      </c>
      <c r="M659" s="482">
        <v>3.7999999999999999E-2</v>
      </c>
    </row>
    <row r="660" spans="1:13" x14ac:dyDescent="0.2">
      <c r="A660" t="s">
        <v>1439</v>
      </c>
      <c r="B660" t="s">
        <v>13</v>
      </c>
      <c r="C660" t="s">
        <v>87</v>
      </c>
      <c r="D660" t="s">
        <v>1001</v>
      </c>
      <c r="E660" t="s">
        <v>1002</v>
      </c>
      <c r="F660" t="s">
        <v>52</v>
      </c>
      <c r="G660">
        <v>120</v>
      </c>
      <c r="H660">
        <v>6</v>
      </c>
      <c r="I660">
        <v>8</v>
      </c>
      <c r="J660">
        <v>134</v>
      </c>
      <c r="K660" s="482">
        <v>0.89600000000000002</v>
      </c>
      <c r="L660" s="482">
        <v>4.4999999999999998E-2</v>
      </c>
      <c r="M660" s="482">
        <v>0.06</v>
      </c>
    </row>
    <row r="661" spans="1:13" x14ac:dyDescent="0.2">
      <c r="A661" t="s">
        <v>1440</v>
      </c>
      <c r="B661" t="s">
        <v>13</v>
      </c>
      <c r="C661" t="s">
        <v>87</v>
      </c>
      <c r="D661" t="s">
        <v>998</v>
      </c>
      <c r="E661" t="s">
        <v>999</v>
      </c>
      <c r="F661" t="s">
        <v>52</v>
      </c>
      <c r="G661">
        <v>84</v>
      </c>
      <c r="H661">
        <v>11</v>
      </c>
      <c r="I661">
        <v>5</v>
      </c>
      <c r="J661">
        <v>100</v>
      </c>
      <c r="K661" s="482">
        <v>0.84</v>
      </c>
      <c r="L661" s="482">
        <v>0.11</v>
      </c>
      <c r="M661" s="482">
        <v>0.05</v>
      </c>
    </row>
    <row r="662" spans="1:13" x14ac:dyDescent="0.2">
      <c r="A662" t="s">
        <v>1441</v>
      </c>
      <c r="B662" t="s">
        <v>13</v>
      </c>
      <c r="C662" t="s">
        <v>87</v>
      </c>
      <c r="D662" t="s">
        <v>995</v>
      </c>
      <c r="E662" t="s">
        <v>996</v>
      </c>
      <c r="F662" t="s">
        <v>52</v>
      </c>
      <c r="G662">
        <v>137</v>
      </c>
      <c r="H662">
        <v>7</v>
      </c>
      <c r="I662">
        <v>7</v>
      </c>
      <c r="J662">
        <v>151</v>
      </c>
      <c r="K662" s="482">
        <v>0.90700000000000003</v>
      </c>
      <c r="L662" s="482">
        <v>4.5999999999999999E-2</v>
      </c>
      <c r="M662" s="482">
        <v>4.5999999999999999E-2</v>
      </c>
    </row>
    <row r="663" spans="1:13" x14ac:dyDescent="0.2">
      <c r="A663" t="s">
        <v>1442</v>
      </c>
      <c r="B663" t="s">
        <v>13</v>
      </c>
      <c r="C663" t="s">
        <v>87</v>
      </c>
      <c r="D663" t="s">
        <v>992</v>
      </c>
      <c r="E663" t="s">
        <v>993</v>
      </c>
      <c r="F663" t="s">
        <v>52</v>
      </c>
      <c r="G663">
        <v>63</v>
      </c>
      <c r="H663">
        <v>7</v>
      </c>
      <c r="I663">
        <v>2</v>
      </c>
      <c r="J663">
        <v>72</v>
      </c>
      <c r="K663" s="482">
        <v>0.875</v>
      </c>
      <c r="L663" s="482">
        <v>9.7000000000000003E-2</v>
      </c>
      <c r="M663" s="482">
        <v>2.8000000000000001E-2</v>
      </c>
    </row>
    <row r="664" spans="1:13" x14ac:dyDescent="0.2">
      <c r="A664" t="s">
        <v>1550</v>
      </c>
      <c r="B664" t="s">
        <v>13</v>
      </c>
      <c r="C664" t="s">
        <v>87</v>
      </c>
      <c r="D664" t="s">
        <v>675</v>
      </c>
      <c r="E664" t="s">
        <v>676</v>
      </c>
      <c r="F664" t="s">
        <v>52</v>
      </c>
      <c r="G664">
        <v>219</v>
      </c>
      <c r="H664">
        <v>19</v>
      </c>
      <c r="I664">
        <v>13</v>
      </c>
      <c r="J664">
        <v>251</v>
      </c>
      <c r="K664" s="482">
        <v>0.873</v>
      </c>
      <c r="L664" s="482">
        <v>7.5999999999999998E-2</v>
      </c>
      <c r="M664" s="482">
        <v>5.1999999999999998E-2</v>
      </c>
    </row>
    <row r="665" spans="1:13" x14ac:dyDescent="0.2">
      <c r="A665" t="s">
        <v>1551</v>
      </c>
      <c r="B665" t="s">
        <v>13</v>
      </c>
      <c r="C665" t="s">
        <v>87</v>
      </c>
      <c r="D665" t="s">
        <v>672</v>
      </c>
      <c r="E665" t="s">
        <v>673</v>
      </c>
      <c r="F665" t="s">
        <v>52</v>
      </c>
      <c r="G665">
        <v>195</v>
      </c>
      <c r="H665">
        <v>18</v>
      </c>
      <c r="I665">
        <v>20</v>
      </c>
      <c r="J665">
        <v>233</v>
      </c>
      <c r="K665" s="482">
        <v>0.83699999999999997</v>
      </c>
      <c r="L665" s="482">
        <v>7.6999999999999999E-2</v>
      </c>
      <c r="M665" s="482">
        <v>8.5999999999999993E-2</v>
      </c>
    </row>
    <row r="666" spans="1:13" x14ac:dyDescent="0.2">
      <c r="A666" t="s">
        <v>1552</v>
      </c>
      <c r="B666" t="s">
        <v>13</v>
      </c>
      <c r="C666" t="s">
        <v>87</v>
      </c>
      <c r="D666" t="s">
        <v>669</v>
      </c>
      <c r="E666" t="s">
        <v>670</v>
      </c>
      <c r="F666" t="s">
        <v>52</v>
      </c>
      <c r="G666">
        <v>158</v>
      </c>
      <c r="H666">
        <v>7</v>
      </c>
      <c r="I666">
        <v>5</v>
      </c>
      <c r="J666">
        <v>170</v>
      </c>
      <c r="K666" s="482">
        <v>0.92900000000000005</v>
      </c>
      <c r="L666" s="482">
        <v>4.1000000000000002E-2</v>
      </c>
      <c r="M666" s="482">
        <v>2.9000000000000001E-2</v>
      </c>
    </row>
    <row r="667" spans="1:13" x14ac:dyDescent="0.2">
      <c r="A667" t="s">
        <v>1553</v>
      </c>
      <c r="B667" t="s">
        <v>13</v>
      </c>
      <c r="C667" t="s">
        <v>87</v>
      </c>
      <c r="D667" t="s">
        <v>666</v>
      </c>
      <c r="E667" t="s">
        <v>667</v>
      </c>
      <c r="F667" t="s">
        <v>52</v>
      </c>
      <c r="G667">
        <v>168</v>
      </c>
      <c r="H667">
        <v>14</v>
      </c>
      <c r="I667">
        <v>12</v>
      </c>
      <c r="J667">
        <v>194</v>
      </c>
      <c r="K667" s="482">
        <v>0.86599999999999999</v>
      </c>
      <c r="L667" s="482">
        <v>7.1999999999999995E-2</v>
      </c>
      <c r="M667" s="482">
        <v>6.2E-2</v>
      </c>
    </row>
    <row r="668" spans="1:13" x14ac:dyDescent="0.2">
      <c r="A668" t="s">
        <v>1554</v>
      </c>
      <c r="B668" t="s">
        <v>13</v>
      </c>
      <c r="C668" t="s">
        <v>87</v>
      </c>
      <c r="D668" t="s">
        <v>663</v>
      </c>
      <c r="E668" t="s">
        <v>664</v>
      </c>
      <c r="F668" t="s">
        <v>52</v>
      </c>
      <c r="G668">
        <v>207</v>
      </c>
      <c r="H668">
        <v>13</v>
      </c>
      <c r="I668">
        <v>8</v>
      </c>
      <c r="J668">
        <v>228</v>
      </c>
      <c r="K668" s="482">
        <v>0.90800000000000003</v>
      </c>
      <c r="L668" s="482">
        <v>5.7000000000000002E-2</v>
      </c>
      <c r="M668" s="482">
        <v>3.5000000000000003E-2</v>
      </c>
    </row>
    <row r="669" spans="1:13" x14ac:dyDescent="0.2">
      <c r="A669" t="s">
        <v>1555</v>
      </c>
      <c r="B669" t="s">
        <v>13</v>
      </c>
      <c r="C669" t="s">
        <v>87</v>
      </c>
      <c r="D669" t="s">
        <v>660</v>
      </c>
      <c r="E669" t="s">
        <v>661</v>
      </c>
      <c r="F669" t="s">
        <v>52</v>
      </c>
      <c r="G669">
        <v>50</v>
      </c>
      <c r="H669">
        <v>2</v>
      </c>
      <c r="I669">
        <v>3</v>
      </c>
      <c r="J669">
        <v>55</v>
      </c>
      <c r="K669" s="482">
        <v>0.90900000000000003</v>
      </c>
      <c r="L669" s="482">
        <v>3.5999999999999997E-2</v>
      </c>
      <c r="M669" s="482">
        <v>5.5E-2</v>
      </c>
    </row>
    <row r="670" spans="1:13" x14ac:dyDescent="0.2">
      <c r="A670" t="s">
        <v>1556</v>
      </c>
      <c r="B670" t="s">
        <v>13</v>
      </c>
      <c r="C670" t="s">
        <v>87</v>
      </c>
      <c r="D670" t="s">
        <v>657</v>
      </c>
      <c r="E670" t="s">
        <v>658</v>
      </c>
      <c r="F670" t="s">
        <v>52</v>
      </c>
      <c r="G670">
        <v>109</v>
      </c>
      <c r="H670">
        <v>4</v>
      </c>
      <c r="I670">
        <v>6</v>
      </c>
      <c r="J670">
        <v>119</v>
      </c>
      <c r="K670" s="482">
        <v>0.91600000000000004</v>
      </c>
      <c r="L670" s="482">
        <v>3.4000000000000002E-2</v>
      </c>
      <c r="M670" s="482">
        <v>0.05</v>
      </c>
    </row>
    <row r="671" spans="1:13" x14ac:dyDescent="0.2">
      <c r="A671" t="s">
        <v>1557</v>
      </c>
      <c r="B671" t="s">
        <v>13</v>
      </c>
      <c r="C671" t="s">
        <v>87</v>
      </c>
      <c r="D671" t="s">
        <v>654</v>
      </c>
      <c r="E671" t="s">
        <v>655</v>
      </c>
      <c r="F671" t="s">
        <v>52</v>
      </c>
      <c r="G671">
        <v>86</v>
      </c>
      <c r="H671">
        <v>10</v>
      </c>
      <c r="I671">
        <v>9</v>
      </c>
      <c r="J671">
        <v>105</v>
      </c>
      <c r="K671" s="482">
        <v>0.81899999999999995</v>
      </c>
      <c r="L671" s="482">
        <v>9.5000000000000001E-2</v>
      </c>
      <c r="M671" s="482">
        <v>8.5999999999999993E-2</v>
      </c>
    </row>
    <row r="672" spans="1:13" x14ac:dyDescent="0.2">
      <c r="A672" t="s">
        <v>1558</v>
      </c>
      <c r="B672" t="s">
        <v>13</v>
      </c>
      <c r="C672" t="s">
        <v>87</v>
      </c>
      <c r="D672" t="s">
        <v>651</v>
      </c>
      <c r="E672" t="s">
        <v>652</v>
      </c>
      <c r="F672" t="s">
        <v>52</v>
      </c>
      <c r="G672">
        <v>102</v>
      </c>
      <c r="H672">
        <v>5</v>
      </c>
      <c r="I672">
        <v>0</v>
      </c>
      <c r="J672">
        <v>107</v>
      </c>
      <c r="K672" s="482">
        <v>0.95299999999999996</v>
      </c>
      <c r="L672" s="482">
        <v>4.7E-2</v>
      </c>
      <c r="M672" s="482">
        <v>0</v>
      </c>
    </row>
    <row r="673" spans="1:13" x14ac:dyDescent="0.2">
      <c r="A673" t="s">
        <v>1559</v>
      </c>
      <c r="B673" t="s">
        <v>13</v>
      </c>
      <c r="C673" t="s">
        <v>87</v>
      </c>
      <c r="D673" t="s">
        <v>648</v>
      </c>
      <c r="E673" t="s">
        <v>649</v>
      </c>
      <c r="F673" t="s">
        <v>52</v>
      </c>
      <c r="G673">
        <v>69</v>
      </c>
      <c r="H673">
        <v>8</v>
      </c>
      <c r="I673">
        <v>4</v>
      </c>
      <c r="J673">
        <v>81</v>
      </c>
      <c r="K673" s="482">
        <v>0.85199999999999998</v>
      </c>
      <c r="L673" s="482">
        <v>9.9000000000000005E-2</v>
      </c>
      <c r="M673" s="482">
        <v>4.9000000000000002E-2</v>
      </c>
    </row>
    <row r="674" spans="1:13" x14ac:dyDescent="0.2">
      <c r="A674" t="s">
        <v>1560</v>
      </c>
      <c r="B674" t="s">
        <v>13</v>
      </c>
      <c r="C674" t="s">
        <v>87</v>
      </c>
      <c r="D674" t="s">
        <v>645</v>
      </c>
      <c r="E674" t="s">
        <v>646</v>
      </c>
      <c r="F674" t="s">
        <v>52</v>
      </c>
      <c r="G674">
        <v>182</v>
      </c>
      <c r="H674">
        <v>6</v>
      </c>
      <c r="I674">
        <v>10</v>
      </c>
      <c r="J674">
        <v>198</v>
      </c>
      <c r="K674" s="482">
        <v>0.91900000000000004</v>
      </c>
      <c r="L674" s="482">
        <v>0.03</v>
      </c>
      <c r="M674" s="482">
        <v>5.0999999999999997E-2</v>
      </c>
    </row>
    <row r="675" spans="1:13" x14ac:dyDescent="0.2">
      <c r="A675" t="s">
        <v>1561</v>
      </c>
      <c r="B675" t="s">
        <v>13</v>
      </c>
      <c r="C675" t="s">
        <v>87</v>
      </c>
      <c r="D675" t="s">
        <v>642</v>
      </c>
      <c r="E675" t="s">
        <v>643</v>
      </c>
      <c r="F675" t="s">
        <v>52</v>
      </c>
      <c r="G675">
        <v>223</v>
      </c>
      <c r="H675">
        <v>10</v>
      </c>
      <c r="I675">
        <v>14</v>
      </c>
      <c r="J675">
        <v>247</v>
      </c>
      <c r="K675" s="482">
        <v>0.90300000000000002</v>
      </c>
      <c r="L675" s="482">
        <v>0.04</v>
      </c>
      <c r="M675" s="482">
        <v>5.7000000000000002E-2</v>
      </c>
    </row>
    <row r="676" spans="1:13" x14ac:dyDescent="0.2">
      <c r="A676" t="s">
        <v>1562</v>
      </c>
      <c r="B676" t="s">
        <v>13</v>
      </c>
      <c r="C676" t="s">
        <v>87</v>
      </c>
      <c r="D676" t="s">
        <v>639</v>
      </c>
      <c r="E676" t="s">
        <v>640</v>
      </c>
      <c r="F676" t="s">
        <v>52</v>
      </c>
      <c r="G676">
        <v>149</v>
      </c>
      <c r="H676">
        <v>13</v>
      </c>
      <c r="I676">
        <v>7</v>
      </c>
      <c r="J676">
        <v>169</v>
      </c>
      <c r="K676" s="482">
        <v>0.88200000000000001</v>
      </c>
      <c r="L676" s="482">
        <v>7.6999999999999999E-2</v>
      </c>
      <c r="M676" s="482">
        <v>4.1000000000000002E-2</v>
      </c>
    </row>
    <row r="677" spans="1:13" x14ac:dyDescent="0.2">
      <c r="A677" t="s">
        <v>1563</v>
      </c>
      <c r="B677" t="s">
        <v>13</v>
      </c>
      <c r="C677" t="s">
        <v>87</v>
      </c>
      <c r="D677" t="s">
        <v>636</v>
      </c>
      <c r="E677" t="s">
        <v>637</v>
      </c>
      <c r="F677" t="s">
        <v>52</v>
      </c>
      <c r="G677">
        <v>252</v>
      </c>
      <c r="H677">
        <v>12</v>
      </c>
      <c r="I677">
        <v>11</v>
      </c>
      <c r="J677">
        <v>275</v>
      </c>
      <c r="K677" s="482">
        <v>0.91600000000000004</v>
      </c>
      <c r="L677" s="482">
        <v>4.3999999999999997E-2</v>
      </c>
      <c r="M677" s="482">
        <v>0.04</v>
      </c>
    </row>
    <row r="678" spans="1:13" x14ac:dyDescent="0.2">
      <c r="A678" t="s">
        <v>1564</v>
      </c>
      <c r="B678" t="s">
        <v>13</v>
      </c>
      <c r="C678" t="s">
        <v>87</v>
      </c>
      <c r="D678" t="s">
        <v>633</v>
      </c>
      <c r="E678" t="s">
        <v>634</v>
      </c>
      <c r="F678" t="s">
        <v>52</v>
      </c>
      <c r="G678">
        <v>62</v>
      </c>
      <c r="H678">
        <v>4</v>
      </c>
      <c r="I678">
        <v>4</v>
      </c>
      <c r="J678">
        <v>70</v>
      </c>
      <c r="K678" s="482">
        <v>0.88600000000000001</v>
      </c>
      <c r="L678" s="482">
        <v>5.7000000000000002E-2</v>
      </c>
      <c r="M678" s="482">
        <v>5.7000000000000002E-2</v>
      </c>
    </row>
    <row r="679" spans="1:13" x14ac:dyDescent="0.2">
      <c r="A679" t="s">
        <v>1565</v>
      </c>
      <c r="B679" t="s">
        <v>13</v>
      </c>
      <c r="C679" t="s">
        <v>87</v>
      </c>
      <c r="D679" t="s">
        <v>630</v>
      </c>
      <c r="E679" t="s">
        <v>631</v>
      </c>
      <c r="F679" t="s">
        <v>52</v>
      </c>
      <c r="G679">
        <v>34</v>
      </c>
      <c r="H679">
        <v>1</v>
      </c>
      <c r="I679">
        <v>5</v>
      </c>
      <c r="J679">
        <v>40</v>
      </c>
      <c r="K679" s="482">
        <v>0.85</v>
      </c>
      <c r="L679" s="482">
        <v>2.5000000000000001E-2</v>
      </c>
      <c r="M679" s="482">
        <v>0.125</v>
      </c>
    </row>
    <row r="680" spans="1:13" x14ac:dyDescent="0.2">
      <c r="A680" t="s">
        <v>6559</v>
      </c>
      <c r="B680" t="s">
        <v>13</v>
      </c>
      <c r="C680" t="s">
        <v>87</v>
      </c>
      <c r="D680" t="s">
        <v>6553</v>
      </c>
      <c r="E680" t="s">
        <v>6543</v>
      </c>
      <c r="F680" t="s">
        <v>52</v>
      </c>
      <c r="G680">
        <v>294</v>
      </c>
      <c r="H680">
        <v>18</v>
      </c>
      <c r="I680">
        <v>18</v>
      </c>
      <c r="J680">
        <v>330</v>
      </c>
      <c r="K680" s="482">
        <v>0.89100000000000001</v>
      </c>
      <c r="L680" s="482">
        <v>5.5E-2</v>
      </c>
      <c r="M680" s="482">
        <v>5.5E-2</v>
      </c>
    </row>
    <row r="681" spans="1:13" x14ac:dyDescent="0.2">
      <c r="A681" t="s">
        <v>1566</v>
      </c>
      <c r="B681" t="s">
        <v>13</v>
      </c>
      <c r="C681" t="s">
        <v>87</v>
      </c>
      <c r="D681" t="s">
        <v>627</v>
      </c>
      <c r="E681" t="s">
        <v>628</v>
      </c>
      <c r="F681" t="s">
        <v>52</v>
      </c>
      <c r="G681">
        <v>71</v>
      </c>
      <c r="H681">
        <v>5</v>
      </c>
      <c r="I681">
        <v>3</v>
      </c>
      <c r="J681">
        <v>79</v>
      </c>
      <c r="K681" s="482">
        <v>0.89900000000000002</v>
      </c>
      <c r="L681" s="482">
        <v>6.3E-2</v>
      </c>
      <c r="M681" s="482">
        <v>3.7999999999999999E-2</v>
      </c>
    </row>
    <row r="682" spans="1:13" x14ac:dyDescent="0.2">
      <c r="A682" t="s">
        <v>1567</v>
      </c>
      <c r="B682" t="s">
        <v>13</v>
      </c>
      <c r="C682" t="s">
        <v>87</v>
      </c>
      <c r="D682" t="s">
        <v>624</v>
      </c>
      <c r="E682" t="s">
        <v>625</v>
      </c>
      <c r="F682" t="s">
        <v>52</v>
      </c>
      <c r="G682">
        <v>74</v>
      </c>
      <c r="H682">
        <v>4</v>
      </c>
      <c r="I682">
        <v>5</v>
      </c>
      <c r="J682">
        <v>83</v>
      </c>
      <c r="K682" s="482">
        <v>0.89200000000000002</v>
      </c>
      <c r="L682" s="482">
        <v>4.8000000000000001E-2</v>
      </c>
      <c r="M682" s="482">
        <v>0.06</v>
      </c>
    </row>
    <row r="683" spans="1:13" x14ac:dyDescent="0.2">
      <c r="A683" t="s">
        <v>1568</v>
      </c>
      <c r="B683" t="s">
        <v>13</v>
      </c>
      <c r="C683" t="s">
        <v>87</v>
      </c>
      <c r="D683" t="s">
        <v>621</v>
      </c>
      <c r="E683" t="s">
        <v>622</v>
      </c>
      <c r="F683" t="s">
        <v>52</v>
      </c>
      <c r="G683">
        <v>377</v>
      </c>
      <c r="H683">
        <v>21</v>
      </c>
      <c r="I683">
        <v>20</v>
      </c>
      <c r="J683">
        <v>418</v>
      </c>
      <c r="K683" s="482">
        <v>0.90200000000000002</v>
      </c>
      <c r="L683" s="482">
        <v>0.05</v>
      </c>
      <c r="M683" s="482">
        <v>4.8000000000000001E-2</v>
      </c>
    </row>
    <row r="684" spans="1:13" x14ac:dyDescent="0.2">
      <c r="A684" t="s">
        <v>1569</v>
      </c>
      <c r="B684" t="s">
        <v>13</v>
      </c>
      <c r="C684" t="s">
        <v>87</v>
      </c>
      <c r="D684" t="s">
        <v>619</v>
      </c>
      <c r="E684" t="s">
        <v>338</v>
      </c>
      <c r="F684" t="s">
        <v>52</v>
      </c>
      <c r="G684">
        <v>152</v>
      </c>
      <c r="H684">
        <v>12</v>
      </c>
      <c r="I684">
        <v>11</v>
      </c>
      <c r="J684">
        <v>175</v>
      </c>
      <c r="K684" s="482">
        <v>0.86899999999999999</v>
      </c>
      <c r="L684" s="482">
        <v>6.9000000000000006E-2</v>
      </c>
      <c r="M684" s="482">
        <v>6.3E-2</v>
      </c>
    </row>
    <row r="685" spans="1:13" x14ac:dyDescent="0.2">
      <c r="A685" t="s">
        <v>1570</v>
      </c>
      <c r="B685" t="s">
        <v>13</v>
      </c>
      <c r="C685" t="s">
        <v>87</v>
      </c>
      <c r="D685" t="s">
        <v>616</v>
      </c>
      <c r="E685" t="s">
        <v>617</v>
      </c>
      <c r="F685" t="s">
        <v>52</v>
      </c>
      <c r="G685">
        <v>272</v>
      </c>
      <c r="H685">
        <v>15</v>
      </c>
      <c r="I685">
        <v>8</v>
      </c>
      <c r="J685">
        <v>295</v>
      </c>
      <c r="K685" s="482">
        <v>0.92200000000000004</v>
      </c>
      <c r="L685" s="482">
        <v>5.0999999999999997E-2</v>
      </c>
      <c r="M685" s="482">
        <v>2.7E-2</v>
      </c>
    </row>
    <row r="686" spans="1:13" x14ac:dyDescent="0.2">
      <c r="A686" t="s">
        <v>1571</v>
      </c>
      <c r="B686" t="s">
        <v>13</v>
      </c>
      <c r="C686" t="s">
        <v>87</v>
      </c>
      <c r="D686" t="s">
        <v>613</v>
      </c>
      <c r="E686" t="s">
        <v>614</v>
      </c>
      <c r="F686" t="s">
        <v>52</v>
      </c>
      <c r="G686">
        <v>45</v>
      </c>
      <c r="H686">
        <v>4</v>
      </c>
      <c r="I686">
        <v>2</v>
      </c>
      <c r="J686">
        <v>51</v>
      </c>
      <c r="K686" s="482">
        <v>0.88200000000000001</v>
      </c>
      <c r="L686" s="482">
        <v>7.8E-2</v>
      </c>
      <c r="M686" s="482">
        <v>3.9E-2</v>
      </c>
    </row>
    <row r="687" spans="1:13" x14ac:dyDescent="0.2">
      <c r="A687" t="s">
        <v>1572</v>
      </c>
      <c r="B687" t="s">
        <v>13</v>
      </c>
      <c r="C687" t="s">
        <v>87</v>
      </c>
      <c r="D687" t="s">
        <v>610</v>
      </c>
      <c r="E687" t="s">
        <v>611</v>
      </c>
      <c r="F687" t="s">
        <v>52</v>
      </c>
      <c r="G687">
        <v>139</v>
      </c>
      <c r="H687">
        <v>12</v>
      </c>
      <c r="I687">
        <v>6</v>
      </c>
      <c r="J687">
        <v>157</v>
      </c>
      <c r="K687" s="482">
        <v>0.88500000000000001</v>
      </c>
      <c r="L687" s="482">
        <v>7.5999999999999998E-2</v>
      </c>
      <c r="M687" s="482">
        <v>3.7999999999999999E-2</v>
      </c>
    </row>
    <row r="688" spans="1:13" x14ac:dyDescent="0.2">
      <c r="A688" t="s">
        <v>1573</v>
      </c>
      <c r="B688" t="s">
        <v>13</v>
      </c>
      <c r="C688" t="s">
        <v>87</v>
      </c>
      <c r="D688" t="s">
        <v>417</v>
      </c>
      <c r="E688" t="s">
        <v>418</v>
      </c>
      <c r="F688" t="s">
        <v>52</v>
      </c>
      <c r="G688">
        <v>108</v>
      </c>
      <c r="H688">
        <v>4</v>
      </c>
      <c r="I688">
        <v>6</v>
      </c>
      <c r="J688">
        <v>118</v>
      </c>
      <c r="K688" s="482">
        <v>0.91500000000000004</v>
      </c>
      <c r="L688" s="482">
        <v>3.4000000000000002E-2</v>
      </c>
      <c r="M688" s="482">
        <v>5.0999999999999997E-2</v>
      </c>
    </row>
    <row r="689" spans="1:13" x14ac:dyDescent="0.2">
      <c r="A689" t="s">
        <v>1638</v>
      </c>
      <c r="B689" t="s">
        <v>13</v>
      </c>
      <c r="C689" t="s">
        <v>87</v>
      </c>
      <c r="D689" t="s">
        <v>414</v>
      </c>
      <c r="E689" t="s">
        <v>415</v>
      </c>
      <c r="F689" t="s">
        <v>52</v>
      </c>
      <c r="G689">
        <v>83</v>
      </c>
      <c r="H689">
        <v>7</v>
      </c>
      <c r="I689">
        <v>7</v>
      </c>
      <c r="J689">
        <v>97</v>
      </c>
      <c r="K689" s="482">
        <v>0.85599999999999998</v>
      </c>
      <c r="L689" s="482">
        <v>7.1999999999999995E-2</v>
      </c>
      <c r="M689" s="482">
        <v>7.1999999999999995E-2</v>
      </c>
    </row>
    <row r="690" spans="1:13" x14ac:dyDescent="0.2">
      <c r="A690" t="s">
        <v>1639</v>
      </c>
      <c r="B690" t="s">
        <v>13</v>
      </c>
      <c r="C690" t="s">
        <v>87</v>
      </c>
      <c r="D690" t="s">
        <v>411</v>
      </c>
      <c r="E690" t="s">
        <v>412</v>
      </c>
      <c r="F690" t="s">
        <v>52</v>
      </c>
      <c r="G690">
        <v>163</v>
      </c>
      <c r="H690">
        <v>11</v>
      </c>
      <c r="I690">
        <v>13</v>
      </c>
      <c r="J690">
        <v>187</v>
      </c>
      <c r="K690" s="482">
        <v>0.872</v>
      </c>
      <c r="L690" s="482">
        <v>5.8999999999999997E-2</v>
      </c>
      <c r="M690" s="482">
        <v>7.0000000000000007E-2</v>
      </c>
    </row>
    <row r="691" spans="1:13" x14ac:dyDescent="0.2">
      <c r="A691" t="s">
        <v>1612</v>
      </c>
      <c r="B691" t="s">
        <v>13</v>
      </c>
      <c r="C691" t="s">
        <v>87</v>
      </c>
      <c r="D691" t="s">
        <v>495</v>
      </c>
      <c r="E691" t="s">
        <v>496</v>
      </c>
      <c r="F691" t="s">
        <v>52</v>
      </c>
      <c r="G691">
        <v>236</v>
      </c>
      <c r="H691">
        <v>10</v>
      </c>
      <c r="I691">
        <v>13</v>
      </c>
      <c r="J691">
        <v>259</v>
      </c>
      <c r="K691" s="482">
        <v>0.91100000000000003</v>
      </c>
      <c r="L691" s="482">
        <v>3.9E-2</v>
      </c>
      <c r="M691" s="482">
        <v>0.05</v>
      </c>
    </row>
    <row r="692" spans="1:13" x14ac:dyDescent="0.2">
      <c r="A692" t="s">
        <v>1613</v>
      </c>
      <c r="B692" t="s">
        <v>13</v>
      </c>
      <c r="C692" t="s">
        <v>87</v>
      </c>
      <c r="D692" t="s">
        <v>492</v>
      </c>
      <c r="E692" t="s">
        <v>493</v>
      </c>
      <c r="F692" t="s">
        <v>52</v>
      </c>
      <c r="G692">
        <v>55</v>
      </c>
      <c r="H692">
        <v>5</v>
      </c>
      <c r="I692">
        <v>5</v>
      </c>
      <c r="J692">
        <v>65</v>
      </c>
      <c r="K692" s="482">
        <v>0.84599999999999997</v>
      </c>
      <c r="L692" s="482">
        <v>7.6999999999999999E-2</v>
      </c>
      <c r="M692" s="482">
        <v>7.6999999999999999E-2</v>
      </c>
    </row>
    <row r="693" spans="1:13" x14ac:dyDescent="0.2">
      <c r="A693" t="s">
        <v>1463</v>
      </c>
      <c r="B693" t="s">
        <v>13</v>
      </c>
      <c r="C693" t="s">
        <v>87</v>
      </c>
      <c r="D693" t="s">
        <v>929</v>
      </c>
      <c r="E693" t="s">
        <v>930</v>
      </c>
      <c r="F693" t="s">
        <v>52</v>
      </c>
      <c r="G693">
        <v>160</v>
      </c>
      <c r="H693">
        <v>9</v>
      </c>
      <c r="I693">
        <v>12</v>
      </c>
      <c r="J693">
        <v>181</v>
      </c>
      <c r="K693" s="482">
        <v>0.88400000000000001</v>
      </c>
      <c r="L693" s="482">
        <v>0.05</v>
      </c>
      <c r="M693" s="482">
        <v>6.6000000000000003E-2</v>
      </c>
    </row>
    <row r="694" spans="1:13" x14ac:dyDescent="0.2">
      <c r="A694" t="s">
        <v>1465</v>
      </c>
      <c r="B694" t="s">
        <v>13</v>
      </c>
      <c r="C694" t="s">
        <v>87</v>
      </c>
      <c r="D694" t="s">
        <v>926</v>
      </c>
      <c r="E694" t="s">
        <v>927</v>
      </c>
      <c r="F694" t="s">
        <v>52</v>
      </c>
      <c r="G694">
        <v>22</v>
      </c>
      <c r="H694">
        <v>2</v>
      </c>
      <c r="I694">
        <v>3</v>
      </c>
      <c r="J694">
        <v>27</v>
      </c>
      <c r="K694" s="482">
        <v>0.81499999999999995</v>
      </c>
      <c r="L694" s="482">
        <v>7.3999999999999996E-2</v>
      </c>
      <c r="M694" s="482">
        <v>0.111</v>
      </c>
    </row>
    <row r="695" spans="1:13" x14ac:dyDescent="0.2">
      <c r="A695" t="s">
        <v>1466</v>
      </c>
      <c r="B695" t="s">
        <v>13</v>
      </c>
      <c r="C695" t="s">
        <v>87</v>
      </c>
      <c r="D695" t="s">
        <v>923</v>
      </c>
      <c r="E695" t="s">
        <v>924</v>
      </c>
      <c r="F695" t="s">
        <v>52</v>
      </c>
      <c r="G695">
        <v>79</v>
      </c>
      <c r="H695">
        <v>4</v>
      </c>
      <c r="I695">
        <v>6</v>
      </c>
      <c r="J695">
        <v>89</v>
      </c>
      <c r="K695" s="482">
        <v>0.88800000000000001</v>
      </c>
      <c r="L695" s="482">
        <v>4.4999999999999998E-2</v>
      </c>
      <c r="M695" s="482">
        <v>6.7000000000000004E-2</v>
      </c>
    </row>
    <row r="696" spans="1:13" x14ac:dyDescent="0.2">
      <c r="A696" t="s">
        <v>1467</v>
      </c>
      <c r="B696" t="s">
        <v>13</v>
      </c>
      <c r="C696" t="s">
        <v>87</v>
      </c>
      <c r="D696" t="s">
        <v>920</v>
      </c>
      <c r="E696" t="s">
        <v>921</v>
      </c>
      <c r="F696" t="s">
        <v>52</v>
      </c>
      <c r="G696">
        <v>24</v>
      </c>
      <c r="H696">
        <v>1</v>
      </c>
      <c r="I696">
        <v>1</v>
      </c>
      <c r="J696">
        <v>26</v>
      </c>
      <c r="K696" s="482">
        <v>0.92300000000000004</v>
      </c>
      <c r="L696" s="482">
        <v>3.7999999999999999E-2</v>
      </c>
      <c r="M696" s="482">
        <v>3.7999999999999999E-2</v>
      </c>
    </row>
    <row r="697" spans="1:13" x14ac:dyDescent="0.2">
      <c r="A697" t="s">
        <v>1468</v>
      </c>
      <c r="B697" t="s">
        <v>13</v>
      </c>
      <c r="C697" t="s">
        <v>87</v>
      </c>
      <c r="D697" t="s">
        <v>917</v>
      </c>
      <c r="E697" t="s">
        <v>918</v>
      </c>
      <c r="F697" t="s">
        <v>52</v>
      </c>
      <c r="G697">
        <v>177</v>
      </c>
      <c r="H697">
        <v>10</v>
      </c>
      <c r="I697">
        <v>8</v>
      </c>
      <c r="J697">
        <v>195</v>
      </c>
      <c r="K697" s="482">
        <v>0.90800000000000003</v>
      </c>
      <c r="L697" s="482">
        <v>5.0999999999999997E-2</v>
      </c>
      <c r="M697" s="482">
        <v>4.1000000000000002E-2</v>
      </c>
    </row>
    <row r="698" spans="1:13" x14ac:dyDescent="0.2">
      <c r="A698" t="s">
        <v>1469</v>
      </c>
      <c r="B698" t="s">
        <v>13</v>
      </c>
      <c r="C698" t="s">
        <v>87</v>
      </c>
      <c r="D698" t="s">
        <v>914</v>
      </c>
      <c r="E698" t="s">
        <v>915</v>
      </c>
      <c r="F698" t="s">
        <v>52</v>
      </c>
      <c r="G698">
        <v>61</v>
      </c>
      <c r="H698">
        <v>5</v>
      </c>
      <c r="I698">
        <v>6</v>
      </c>
      <c r="J698">
        <v>72</v>
      </c>
      <c r="K698" s="482">
        <v>0.84699999999999998</v>
      </c>
      <c r="L698" s="482">
        <v>6.9000000000000006E-2</v>
      </c>
      <c r="M698" s="482">
        <v>8.3000000000000004E-2</v>
      </c>
    </row>
    <row r="699" spans="1:13" x14ac:dyDescent="0.2">
      <c r="A699" t="s">
        <v>1470</v>
      </c>
      <c r="B699" t="s">
        <v>13</v>
      </c>
      <c r="C699" t="s">
        <v>87</v>
      </c>
      <c r="D699" t="s">
        <v>911</v>
      </c>
      <c r="E699" t="s">
        <v>912</v>
      </c>
      <c r="F699" t="s">
        <v>52</v>
      </c>
      <c r="G699">
        <v>116</v>
      </c>
      <c r="H699">
        <v>4</v>
      </c>
      <c r="I699">
        <v>7</v>
      </c>
      <c r="J699">
        <v>127</v>
      </c>
      <c r="K699" s="482">
        <v>0.91300000000000003</v>
      </c>
      <c r="L699" s="482">
        <v>3.1E-2</v>
      </c>
      <c r="M699" s="482">
        <v>5.5E-2</v>
      </c>
    </row>
    <row r="700" spans="1:13" x14ac:dyDescent="0.2">
      <c r="A700" t="s">
        <v>1474</v>
      </c>
      <c r="B700" t="s">
        <v>13</v>
      </c>
      <c r="C700" t="s">
        <v>87</v>
      </c>
      <c r="D700" t="s">
        <v>489</v>
      </c>
      <c r="E700" t="s">
        <v>490</v>
      </c>
      <c r="F700" t="s">
        <v>52</v>
      </c>
      <c r="G700">
        <v>51</v>
      </c>
      <c r="H700">
        <v>5</v>
      </c>
      <c r="I700">
        <v>2</v>
      </c>
      <c r="J700">
        <v>58</v>
      </c>
      <c r="K700" s="482">
        <v>0.879</v>
      </c>
      <c r="L700" s="482">
        <v>8.5999999999999993E-2</v>
      </c>
      <c r="M700" s="482">
        <v>3.4000000000000002E-2</v>
      </c>
    </row>
    <row r="701" spans="1:13" x14ac:dyDescent="0.2">
      <c r="A701" t="s">
        <v>1614</v>
      </c>
      <c r="B701" t="s">
        <v>13</v>
      </c>
      <c r="C701" t="s">
        <v>87</v>
      </c>
      <c r="D701" t="s">
        <v>486</v>
      </c>
      <c r="E701" t="s">
        <v>487</v>
      </c>
      <c r="F701" t="s">
        <v>52</v>
      </c>
      <c r="G701">
        <v>176</v>
      </c>
      <c r="H701">
        <v>16</v>
      </c>
      <c r="I701">
        <v>16</v>
      </c>
      <c r="J701">
        <v>208</v>
      </c>
      <c r="K701" s="482">
        <v>0.84599999999999997</v>
      </c>
      <c r="L701" s="482">
        <v>7.6999999999999999E-2</v>
      </c>
      <c r="M701" s="482">
        <v>7.6999999999999999E-2</v>
      </c>
    </row>
    <row r="702" spans="1:13" x14ac:dyDescent="0.2">
      <c r="A702" t="s">
        <v>1471</v>
      </c>
      <c r="B702" t="s">
        <v>13</v>
      </c>
      <c r="C702" t="s">
        <v>87</v>
      </c>
      <c r="D702" t="s">
        <v>908</v>
      </c>
      <c r="E702" t="s">
        <v>909</v>
      </c>
      <c r="F702" t="s">
        <v>52</v>
      </c>
      <c r="G702">
        <v>163</v>
      </c>
      <c r="H702">
        <v>12</v>
      </c>
      <c r="I702">
        <v>12</v>
      </c>
      <c r="J702">
        <v>187</v>
      </c>
      <c r="K702" s="482">
        <v>0.872</v>
      </c>
      <c r="L702" s="482">
        <v>6.4000000000000001E-2</v>
      </c>
      <c r="M702" s="482">
        <v>6.4000000000000001E-2</v>
      </c>
    </row>
    <row r="703" spans="1:13" x14ac:dyDescent="0.2">
      <c r="A703" t="s">
        <v>1588</v>
      </c>
      <c r="B703" t="s">
        <v>13</v>
      </c>
      <c r="C703" t="s">
        <v>87</v>
      </c>
      <c r="D703" t="s">
        <v>566</v>
      </c>
      <c r="E703" t="s">
        <v>567</v>
      </c>
      <c r="F703" t="s">
        <v>52</v>
      </c>
      <c r="G703">
        <v>134</v>
      </c>
      <c r="H703">
        <v>11</v>
      </c>
      <c r="I703">
        <v>10</v>
      </c>
      <c r="J703">
        <v>155</v>
      </c>
      <c r="K703" s="482">
        <v>0.86499999999999999</v>
      </c>
      <c r="L703" s="482">
        <v>7.0999999999999994E-2</v>
      </c>
      <c r="M703" s="482">
        <v>6.5000000000000002E-2</v>
      </c>
    </row>
    <row r="704" spans="1:13" x14ac:dyDescent="0.2">
      <c r="A704" t="s">
        <v>1589</v>
      </c>
      <c r="B704" t="s">
        <v>13</v>
      </c>
      <c r="C704" t="s">
        <v>87</v>
      </c>
      <c r="D704" t="s">
        <v>563</v>
      </c>
      <c r="E704" t="s">
        <v>564</v>
      </c>
      <c r="F704" t="s">
        <v>52</v>
      </c>
      <c r="G704">
        <v>6</v>
      </c>
      <c r="H704">
        <v>2</v>
      </c>
      <c r="I704">
        <v>0</v>
      </c>
      <c r="J704">
        <v>8</v>
      </c>
      <c r="K704" s="482">
        <v>0.75</v>
      </c>
      <c r="L704" s="482">
        <v>0.25</v>
      </c>
      <c r="M704" s="482">
        <v>0</v>
      </c>
    </row>
    <row r="705" spans="1:13" x14ac:dyDescent="0.2">
      <c r="A705" t="s">
        <v>1500</v>
      </c>
      <c r="B705" t="s">
        <v>13</v>
      </c>
      <c r="C705" t="s">
        <v>87</v>
      </c>
      <c r="D705" t="s">
        <v>827</v>
      </c>
      <c r="E705" t="s">
        <v>828</v>
      </c>
      <c r="F705" t="s">
        <v>52</v>
      </c>
      <c r="G705">
        <v>430</v>
      </c>
      <c r="H705">
        <v>32</v>
      </c>
      <c r="I705">
        <v>22</v>
      </c>
      <c r="J705">
        <v>484</v>
      </c>
      <c r="K705" s="482">
        <v>0.88800000000000001</v>
      </c>
      <c r="L705" s="482">
        <v>6.6000000000000003E-2</v>
      </c>
      <c r="M705" s="482">
        <v>4.4999999999999998E-2</v>
      </c>
    </row>
    <row r="706" spans="1:13" x14ac:dyDescent="0.2">
      <c r="A706" t="s">
        <v>1501</v>
      </c>
      <c r="B706" t="s">
        <v>13</v>
      </c>
      <c r="C706" t="s">
        <v>87</v>
      </c>
      <c r="D706" t="s">
        <v>824</v>
      </c>
      <c r="E706" t="s">
        <v>825</v>
      </c>
      <c r="F706" t="s">
        <v>52</v>
      </c>
      <c r="G706">
        <v>173</v>
      </c>
      <c r="H706">
        <v>10</v>
      </c>
      <c r="I706">
        <v>10</v>
      </c>
      <c r="J706">
        <v>193</v>
      </c>
      <c r="K706" s="482">
        <v>0.89600000000000002</v>
      </c>
      <c r="L706" s="482">
        <v>5.1999999999999998E-2</v>
      </c>
      <c r="M706" s="482">
        <v>5.1999999999999998E-2</v>
      </c>
    </row>
    <row r="707" spans="1:13" x14ac:dyDescent="0.2">
      <c r="A707" t="s">
        <v>1502</v>
      </c>
      <c r="B707" t="s">
        <v>13</v>
      </c>
      <c r="C707" t="s">
        <v>87</v>
      </c>
      <c r="D707" t="s">
        <v>821</v>
      </c>
      <c r="E707" t="s">
        <v>822</v>
      </c>
      <c r="F707" t="s">
        <v>52</v>
      </c>
      <c r="G707">
        <v>23</v>
      </c>
      <c r="H707">
        <v>3</v>
      </c>
      <c r="I707">
        <v>2</v>
      </c>
      <c r="J707">
        <v>28</v>
      </c>
      <c r="K707" s="482">
        <v>0.82099999999999995</v>
      </c>
      <c r="L707" s="482">
        <v>0.107</v>
      </c>
      <c r="M707" s="482">
        <v>7.0999999999999994E-2</v>
      </c>
    </row>
    <row r="708" spans="1:13" x14ac:dyDescent="0.2">
      <c r="A708" t="s">
        <v>1503</v>
      </c>
      <c r="B708" t="s">
        <v>13</v>
      </c>
      <c r="C708" t="s">
        <v>87</v>
      </c>
      <c r="D708" t="s">
        <v>818</v>
      </c>
      <c r="E708" t="s">
        <v>819</v>
      </c>
      <c r="F708" t="s">
        <v>52</v>
      </c>
      <c r="G708">
        <v>344</v>
      </c>
      <c r="H708">
        <v>17</v>
      </c>
      <c r="I708">
        <v>18</v>
      </c>
      <c r="J708">
        <v>379</v>
      </c>
      <c r="K708" s="482">
        <v>0.90800000000000003</v>
      </c>
      <c r="L708" s="482">
        <v>4.4999999999999998E-2</v>
      </c>
      <c r="M708" s="482">
        <v>4.7E-2</v>
      </c>
    </row>
    <row r="709" spans="1:13" x14ac:dyDescent="0.2">
      <c r="A709" t="s">
        <v>1504</v>
      </c>
      <c r="B709" t="s">
        <v>13</v>
      </c>
      <c r="C709" t="s">
        <v>87</v>
      </c>
      <c r="D709" t="s">
        <v>815</v>
      </c>
      <c r="E709" t="s">
        <v>816</v>
      </c>
      <c r="F709" t="s">
        <v>52</v>
      </c>
      <c r="G709">
        <v>293</v>
      </c>
      <c r="H709">
        <v>17</v>
      </c>
      <c r="I709">
        <v>22</v>
      </c>
      <c r="J709">
        <v>332</v>
      </c>
      <c r="K709" s="482">
        <v>0.88300000000000001</v>
      </c>
      <c r="L709" s="482">
        <v>5.0999999999999997E-2</v>
      </c>
      <c r="M709" s="482">
        <v>6.6000000000000003E-2</v>
      </c>
    </row>
    <row r="710" spans="1:13" x14ac:dyDescent="0.2">
      <c r="A710" t="s">
        <v>1505</v>
      </c>
      <c r="B710" t="s">
        <v>13</v>
      </c>
      <c r="C710" t="s">
        <v>87</v>
      </c>
      <c r="D710" t="s">
        <v>812</v>
      </c>
      <c r="E710" t="s">
        <v>813</v>
      </c>
      <c r="F710" t="s">
        <v>52</v>
      </c>
      <c r="G710">
        <v>129</v>
      </c>
      <c r="H710">
        <v>6</v>
      </c>
      <c r="I710">
        <v>7</v>
      </c>
      <c r="J710">
        <v>142</v>
      </c>
      <c r="K710" s="482">
        <v>0.90800000000000003</v>
      </c>
      <c r="L710" s="482">
        <v>4.2000000000000003E-2</v>
      </c>
      <c r="M710" s="482">
        <v>4.9000000000000002E-2</v>
      </c>
    </row>
    <row r="711" spans="1:13" x14ac:dyDescent="0.2">
      <c r="A711" t="s">
        <v>1506</v>
      </c>
      <c r="B711" t="s">
        <v>13</v>
      </c>
      <c r="C711" t="s">
        <v>87</v>
      </c>
      <c r="D711" t="s">
        <v>809</v>
      </c>
      <c r="E711" t="s">
        <v>810</v>
      </c>
      <c r="F711" t="s">
        <v>52</v>
      </c>
      <c r="G711">
        <v>187</v>
      </c>
      <c r="H711">
        <v>9</v>
      </c>
      <c r="I711">
        <v>17</v>
      </c>
      <c r="J711">
        <v>213</v>
      </c>
      <c r="K711" s="482">
        <v>0.878</v>
      </c>
      <c r="L711" s="482">
        <v>4.2000000000000003E-2</v>
      </c>
      <c r="M711" s="482">
        <v>0.08</v>
      </c>
    </row>
    <row r="712" spans="1:13" x14ac:dyDescent="0.2">
      <c r="A712" t="s">
        <v>1507</v>
      </c>
      <c r="B712" t="s">
        <v>13</v>
      </c>
      <c r="C712" t="s">
        <v>87</v>
      </c>
      <c r="D712" t="s">
        <v>806</v>
      </c>
      <c r="E712" t="s">
        <v>807</v>
      </c>
      <c r="F712" t="s">
        <v>52</v>
      </c>
      <c r="G712">
        <v>66</v>
      </c>
      <c r="H712">
        <v>4</v>
      </c>
      <c r="I712">
        <v>4</v>
      </c>
      <c r="J712">
        <v>74</v>
      </c>
      <c r="K712" s="482">
        <v>0.89200000000000002</v>
      </c>
      <c r="L712" s="482">
        <v>5.3999999999999999E-2</v>
      </c>
      <c r="M712" s="482">
        <v>5.3999999999999999E-2</v>
      </c>
    </row>
    <row r="713" spans="1:13" x14ac:dyDescent="0.2">
      <c r="A713" t="s">
        <v>1508</v>
      </c>
      <c r="B713" t="s">
        <v>13</v>
      </c>
      <c r="C713" t="s">
        <v>87</v>
      </c>
      <c r="D713" t="s">
        <v>803</v>
      </c>
      <c r="E713" t="s">
        <v>804</v>
      </c>
      <c r="F713" t="s">
        <v>52</v>
      </c>
      <c r="G713">
        <v>95</v>
      </c>
      <c r="H713">
        <v>5</v>
      </c>
      <c r="I713">
        <v>4</v>
      </c>
      <c r="J713">
        <v>104</v>
      </c>
      <c r="K713" s="482">
        <v>0.91300000000000003</v>
      </c>
      <c r="L713" s="482">
        <v>4.8000000000000001E-2</v>
      </c>
      <c r="M713" s="482">
        <v>3.7999999999999999E-2</v>
      </c>
    </row>
    <row r="714" spans="1:13" x14ac:dyDescent="0.2">
      <c r="A714" t="s">
        <v>1509</v>
      </c>
      <c r="B714" t="s">
        <v>13</v>
      </c>
      <c r="C714" t="s">
        <v>87</v>
      </c>
      <c r="D714" t="s">
        <v>800</v>
      </c>
      <c r="E714" t="s">
        <v>801</v>
      </c>
      <c r="F714" t="s">
        <v>52</v>
      </c>
      <c r="G714">
        <v>158</v>
      </c>
      <c r="H714">
        <v>8</v>
      </c>
      <c r="I714">
        <v>12</v>
      </c>
      <c r="J714">
        <v>178</v>
      </c>
      <c r="K714" s="482">
        <v>0.88800000000000001</v>
      </c>
      <c r="L714" s="482">
        <v>4.4999999999999998E-2</v>
      </c>
      <c r="M714" s="482">
        <v>6.7000000000000004E-2</v>
      </c>
    </row>
    <row r="715" spans="1:13" x14ac:dyDescent="0.2">
      <c r="A715" t="s">
        <v>1510</v>
      </c>
      <c r="B715" t="s">
        <v>13</v>
      </c>
      <c r="C715" t="s">
        <v>87</v>
      </c>
      <c r="D715" t="s">
        <v>797</v>
      </c>
      <c r="E715" t="s">
        <v>798</v>
      </c>
      <c r="F715" t="s">
        <v>52</v>
      </c>
      <c r="G715">
        <v>78</v>
      </c>
      <c r="H715">
        <v>4</v>
      </c>
      <c r="I715">
        <v>7</v>
      </c>
      <c r="J715">
        <v>89</v>
      </c>
      <c r="K715" s="482">
        <v>0.876</v>
      </c>
      <c r="L715" s="482">
        <v>4.4999999999999998E-2</v>
      </c>
      <c r="M715" s="482">
        <v>7.9000000000000001E-2</v>
      </c>
    </row>
    <row r="716" spans="1:13" x14ac:dyDescent="0.2">
      <c r="A716" t="s">
        <v>1511</v>
      </c>
      <c r="B716" t="s">
        <v>13</v>
      </c>
      <c r="C716" t="s">
        <v>87</v>
      </c>
      <c r="D716" t="s">
        <v>794</v>
      </c>
      <c r="E716" t="s">
        <v>795</v>
      </c>
      <c r="F716" t="s">
        <v>52</v>
      </c>
      <c r="G716">
        <v>134</v>
      </c>
      <c r="H716">
        <v>4</v>
      </c>
      <c r="I716">
        <v>3</v>
      </c>
      <c r="J716">
        <v>141</v>
      </c>
      <c r="K716" s="482">
        <v>0.95</v>
      </c>
      <c r="L716" s="482">
        <v>2.8000000000000001E-2</v>
      </c>
      <c r="M716" s="482">
        <v>2.1000000000000001E-2</v>
      </c>
    </row>
    <row r="717" spans="1:13" x14ac:dyDescent="0.2">
      <c r="A717" t="s">
        <v>1512</v>
      </c>
      <c r="B717" t="s">
        <v>13</v>
      </c>
      <c r="C717" t="s">
        <v>87</v>
      </c>
      <c r="D717" t="s">
        <v>791</v>
      </c>
      <c r="E717" t="s">
        <v>792</v>
      </c>
      <c r="F717" t="s">
        <v>52</v>
      </c>
      <c r="G717">
        <v>44</v>
      </c>
      <c r="H717">
        <v>1</v>
      </c>
      <c r="I717">
        <v>3</v>
      </c>
      <c r="J717">
        <v>48</v>
      </c>
      <c r="K717" s="482">
        <v>0.91700000000000004</v>
      </c>
      <c r="L717" s="482">
        <v>2.1000000000000001E-2</v>
      </c>
      <c r="M717" s="482">
        <v>6.3E-2</v>
      </c>
    </row>
    <row r="718" spans="1:13" x14ac:dyDescent="0.2">
      <c r="A718" t="s">
        <v>1513</v>
      </c>
      <c r="B718" t="s">
        <v>13</v>
      </c>
      <c r="C718" t="s">
        <v>87</v>
      </c>
      <c r="D718" t="s">
        <v>788</v>
      </c>
      <c r="E718" t="s">
        <v>789</v>
      </c>
      <c r="F718" t="s">
        <v>52</v>
      </c>
      <c r="G718">
        <v>53</v>
      </c>
      <c r="H718">
        <v>3</v>
      </c>
      <c r="I718">
        <v>2</v>
      </c>
      <c r="J718">
        <v>58</v>
      </c>
      <c r="K718" s="482">
        <v>0.91400000000000003</v>
      </c>
      <c r="L718" s="482">
        <v>5.1999999999999998E-2</v>
      </c>
      <c r="M718" s="482">
        <v>3.4000000000000002E-2</v>
      </c>
    </row>
    <row r="719" spans="1:13" x14ac:dyDescent="0.2">
      <c r="A719" t="s">
        <v>1514</v>
      </c>
      <c r="B719" t="s">
        <v>13</v>
      </c>
      <c r="C719" t="s">
        <v>87</v>
      </c>
      <c r="D719" t="s">
        <v>785</v>
      </c>
      <c r="E719" t="s">
        <v>786</v>
      </c>
      <c r="F719" t="s">
        <v>52</v>
      </c>
      <c r="G719">
        <v>486</v>
      </c>
      <c r="H719">
        <v>26</v>
      </c>
      <c r="I719">
        <v>27</v>
      </c>
      <c r="J719">
        <v>539</v>
      </c>
      <c r="K719" s="482">
        <v>0.90200000000000002</v>
      </c>
      <c r="L719" s="482">
        <v>4.8000000000000001E-2</v>
      </c>
      <c r="M719" s="482">
        <v>0.05</v>
      </c>
    </row>
    <row r="720" spans="1:13" x14ac:dyDescent="0.2">
      <c r="A720" t="s">
        <v>1515</v>
      </c>
      <c r="B720" t="s">
        <v>13</v>
      </c>
      <c r="C720" t="s">
        <v>87</v>
      </c>
      <c r="D720" t="s">
        <v>782</v>
      </c>
      <c r="E720" t="s">
        <v>783</v>
      </c>
      <c r="F720" t="s">
        <v>52</v>
      </c>
      <c r="G720">
        <v>103</v>
      </c>
      <c r="H720">
        <v>7</v>
      </c>
      <c r="I720">
        <v>9</v>
      </c>
      <c r="J720">
        <v>119</v>
      </c>
      <c r="K720" s="482">
        <v>0.86599999999999999</v>
      </c>
      <c r="L720" s="482">
        <v>5.8999999999999997E-2</v>
      </c>
      <c r="M720" s="482">
        <v>7.5999999999999998E-2</v>
      </c>
    </row>
    <row r="721" spans="1:13" x14ac:dyDescent="0.2">
      <c r="A721" t="s">
        <v>1516</v>
      </c>
      <c r="B721" t="s">
        <v>13</v>
      </c>
      <c r="C721" t="s">
        <v>87</v>
      </c>
      <c r="D721" t="s">
        <v>779</v>
      </c>
      <c r="E721" t="s">
        <v>780</v>
      </c>
      <c r="F721" t="s">
        <v>52</v>
      </c>
      <c r="G721">
        <v>67</v>
      </c>
      <c r="H721">
        <v>4</v>
      </c>
      <c r="I721">
        <v>8</v>
      </c>
      <c r="J721">
        <v>79</v>
      </c>
      <c r="K721" s="482">
        <v>0.84799999999999998</v>
      </c>
      <c r="L721" s="482">
        <v>5.0999999999999997E-2</v>
      </c>
      <c r="M721" s="482">
        <v>0.10100000000000001</v>
      </c>
    </row>
    <row r="722" spans="1:13" x14ac:dyDescent="0.2">
      <c r="A722" t="s">
        <v>1517</v>
      </c>
      <c r="B722" t="s">
        <v>13</v>
      </c>
      <c r="C722" t="s">
        <v>87</v>
      </c>
      <c r="D722" t="s">
        <v>776</v>
      </c>
      <c r="E722" t="s">
        <v>777</v>
      </c>
      <c r="F722" t="s">
        <v>52</v>
      </c>
      <c r="G722">
        <v>122</v>
      </c>
      <c r="H722">
        <v>6</v>
      </c>
      <c r="I722">
        <v>10</v>
      </c>
      <c r="J722">
        <v>138</v>
      </c>
      <c r="K722" s="482">
        <v>0.88400000000000001</v>
      </c>
      <c r="L722" s="482">
        <v>4.2999999999999997E-2</v>
      </c>
      <c r="M722" s="482">
        <v>7.1999999999999995E-2</v>
      </c>
    </row>
    <row r="723" spans="1:13" x14ac:dyDescent="0.2">
      <c r="A723" t="s">
        <v>1518</v>
      </c>
      <c r="B723" t="s">
        <v>13</v>
      </c>
      <c r="C723" t="s">
        <v>87</v>
      </c>
      <c r="D723" t="s">
        <v>773</v>
      </c>
      <c r="E723" t="s">
        <v>774</v>
      </c>
      <c r="F723" t="s">
        <v>52</v>
      </c>
      <c r="G723">
        <v>97</v>
      </c>
      <c r="H723">
        <v>8</v>
      </c>
      <c r="I723">
        <v>7</v>
      </c>
      <c r="J723">
        <v>112</v>
      </c>
      <c r="K723" s="482">
        <v>0.86599999999999999</v>
      </c>
      <c r="L723" s="482">
        <v>7.0999999999999994E-2</v>
      </c>
      <c r="M723" s="482">
        <v>6.3E-2</v>
      </c>
    </row>
    <row r="724" spans="1:13" x14ac:dyDescent="0.2">
      <c r="A724" t="s">
        <v>1519</v>
      </c>
      <c r="B724" t="s">
        <v>13</v>
      </c>
      <c r="C724" t="s">
        <v>87</v>
      </c>
      <c r="D724" t="s">
        <v>770</v>
      </c>
      <c r="E724" t="s">
        <v>771</v>
      </c>
      <c r="F724" t="s">
        <v>52</v>
      </c>
      <c r="G724">
        <v>116</v>
      </c>
      <c r="H724">
        <v>8</v>
      </c>
      <c r="I724">
        <v>8</v>
      </c>
      <c r="J724">
        <v>132</v>
      </c>
      <c r="K724" s="482">
        <v>0.879</v>
      </c>
      <c r="L724" s="482">
        <v>6.0999999999999999E-2</v>
      </c>
      <c r="M724" s="482">
        <v>6.0999999999999999E-2</v>
      </c>
    </row>
    <row r="725" spans="1:13" x14ac:dyDescent="0.2">
      <c r="A725" t="s">
        <v>1532</v>
      </c>
      <c r="B725" t="s">
        <v>13</v>
      </c>
      <c r="C725" t="s">
        <v>87</v>
      </c>
      <c r="D725" t="s">
        <v>728</v>
      </c>
      <c r="E725" t="s">
        <v>729</v>
      </c>
      <c r="F725" t="s">
        <v>52</v>
      </c>
      <c r="G725">
        <v>15</v>
      </c>
      <c r="H725">
        <v>2</v>
      </c>
      <c r="I725">
        <v>1</v>
      </c>
      <c r="J725">
        <v>18</v>
      </c>
      <c r="K725" s="482">
        <v>0.83299999999999996</v>
      </c>
      <c r="L725" s="482">
        <v>0.111</v>
      </c>
      <c r="M725" s="482">
        <v>5.6000000000000001E-2</v>
      </c>
    </row>
    <row r="726" spans="1:13" x14ac:dyDescent="0.2">
      <c r="A726" t="s">
        <v>1526</v>
      </c>
      <c r="B726" t="s">
        <v>13</v>
      </c>
      <c r="C726" t="s">
        <v>87</v>
      </c>
      <c r="D726" t="s">
        <v>749</v>
      </c>
      <c r="E726" t="s">
        <v>750</v>
      </c>
      <c r="F726" t="s">
        <v>52</v>
      </c>
      <c r="G726">
        <v>199</v>
      </c>
      <c r="H726">
        <v>8</v>
      </c>
      <c r="I726">
        <v>9</v>
      </c>
      <c r="J726">
        <v>216</v>
      </c>
      <c r="K726" s="482">
        <v>0.92100000000000004</v>
      </c>
      <c r="L726" s="482">
        <v>3.6999999999999998E-2</v>
      </c>
      <c r="M726" s="482">
        <v>4.2000000000000003E-2</v>
      </c>
    </row>
    <row r="727" spans="1:13" x14ac:dyDescent="0.2">
      <c r="A727" t="s">
        <v>1527</v>
      </c>
      <c r="B727" t="s">
        <v>13</v>
      </c>
      <c r="C727" t="s">
        <v>87</v>
      </c>
      <c r="D727" t="s">
        <v>746</v>
      </c>
      <c r="E727" t="s">
        <v>747</v>
      </c>
      <c r="F727" t="s">
        <v>52</v>
      </c>
      <c r="G727">
        <v>22</v>
      </c>
      <c r="H727">
        <v>2</v>
      </c>
      <c r="I727">
        <v>2</v>
      </c>
      <c r="J727">
        <v>26</v>
      </c>
      <c r="K727" s="482">
        <v>0.84599999999999997</v>
      </c>
      <c r="L727" s="482">
        <v>7.6999999999999999E-2</v>
      </c>
      <c r="M727" s="482">
        <v>7.6999999999999999E-2</v>
      </c>
    </row>
    <row r="728" spans="1:13" x14ac:dyDescent="0.2">
      <c r="A728" t="s">
        <v>1528</v>
      </c>
      <c r="B728" t="s">
        <v>13</v>
      </c>
      <c r="C728" t="s">
        <v>87</v>
      </c>
      <c r="D728" t="s">
        <v>743</v>
      </c>
      <c r="E728" t="s">
        <v>744</v>
      </c>
      <c r="F728" t="s">
        <v>52</v>
      </c>
      <c r="G728">
        <v>459</v>
      </c>
      <c r="H728">
        <v>35</v>
      </c>
      <c r="I728">
        <v>28</v>
      </c>
      <c r="J728">
        <v>522</v>
      </c>
      <c r="K728" s="482">
        <v>0.879</v>
      </c>
      <c r="L728" s="482">
        <v>6.7000000000000004E-2</v>
      </c>
      <c r="M728" s="482">
        <v>5.3999999999999999E-2</v>
      </c>
    </row>
    <row r="729" spans="1:13" x14ac:dyDescent="0.2">
      <c r="A729" t="s">
        <v>1529</v>
      </c>
      <c r="B729" t="s">
        <v>13</v>
      </c>
      <c r="C729" t="s">
        <v>87</v>
      </c>
      <c r="D729" t="s">
        <v>740</v>
      </c>
      <c r="E729" t="s">
        <v>741</v>
      </c>
      <c r="F729" t="s">
        <v>52</v>
      </c>
      <c r="G729">
        <v>30</v>
      </c>
      <c r="H729">
        <v>1</v>
      </c>
      <c r="I729">
        <v>5</v>
      </c>
      <c r="J729">
        <v>36</v>
      </c>
      <c r="K729" s="482">
        <v>0.83299999999999996</v>
      </c>
      <c r="L729" s="482">
        <v>2.8000000000000001E-2</v>
      </c>
      <c r="M729" s="482">
        <v>0.13900000000000001</v>
      </c>
    </row>
    <row r="730" spans="1:13" x14ac:dyDescent="0.2">
      <c r="A730" t="s">
        <v>1548</v>
      </c>
      <c r="B730" t="s">
        <v>13</v>
      </c>
      <c r="C730" t="s">
        <v>87</v>
      </c>
      <c r="D730" t="s">
        <v>681</v>
      </c>
      <c r="E730" t="s">
        <v>336</v>
      </c>
      <c r="F730" t="s">
        <v>52</v>
      </c>
      <c r="G730">
        <v>288</v>
      </c>
      <c r="H730">
        <v>21</v>
      </c>
      <c r="I730">
        <v>13</v>
      </c>
      <c r="J730">
        <v>322</v>
      </c>
      <c r="K730" s="482">
        <v>0.89400000000000002</v>
      </c>
      <c r="L730" s="482">
        <v>6.5000000000000002E-2</v>
      </c>
      <c r="M730" s="482">
        <v>0.04</v>
      </c>
    </row>
    <row r="731" spans="1:13" x14ac:dyDescent="0.2">
      <c r="A731" t="s">
        <v>1549</v>
      </c>
      <c r="B731" t="s">
        <v>13</v>
      </c>
      <c r="C731" t="s">
        <v>87</v>
      </c>
      <c r="D731" t="s">
        <v>678</v>
      </c>
      <c r="E731" t="s">
        <v>679</v>
      </c>
      <c r="F731" t="s">
        <v>52</v>
      </c>
      <c r="G731">
        <v>919</v>
      </c>
      <c r="H731">
        <v>52</v>
      </c>
      <c r="I731">
        <v>51</v>
      </c>
      <c r="J731">
        <v>1022</v>
      </c>
      <c r="K731" s="482">
        <v>0.89900000000000002</v>
      </c>
      <c r="L731" s="482">
        <v>5.0999999999999997E-2</v>
      </c>
      <c r="M731" s="482">
        <v>0.05</v>
      </c>
    </row>
    <row r="732" spans="1:13" x14ac:dyDescent="0.2">
      <c r="A732" t="s">
        <v>1533</v>
      </c>
      <c r="B732" t="s">
        <v>13</v>
      </c>
      <c r="C732" t="s">
        <v>87</v>
      </c>
      <c r="D732" t="s">
        <v>725</v>
      </c>
      <c r="E732" t="s">
        <v>726</v>
      </c>
      <c r="F732" t="s">
        <v>52</v>
      </c>
      <c r="G732">
        <v>132</v>
      </c>
      <c r="H732">
        <v>7</v>
      </c>
      <c r="I732">
        <v>9</v>
      </c>
      <c r="J732">
        <v>148</v>
      </c>
      <c r="K732" s="482">
        <v>0.89200000000000002</v>
      </c>
      <c r="L732" s="482">
        <v>4.7E-2</v>
      </c>
      <c r="M732" s="482">
        <v>6.0999999999999999E-2</v>
      </c>
    </row>
    <row r="733" spans="1:13" x14ac:dyDescent="0.2">
      <c r="A733" t="s">
        <v>1534</v>
      </c>
      <c r="B733" t="s">
        <v>13</v>
      </c>
      <c r="C733" t="s">
        <v>87</v>
      </c>
      <c r="D733" t="s">
        <v>722</v>
      </c>
      <c r="E733" t="s">
        <v>723</v>
      </c>
      <c r="F733" t="s">
        <v>52</v>
      </c>
      <c r="G733">
        <v>110</v>
      </c>
      <c r="H733">
        <v>11</v>
      </c>
      <c r="I733">
        <v>4</v>
      </c>
      <c r="J733">
        <v>125</v>
      </c>
      <c r="K733" s="482">
        <v>0.88</v>
      </c>
      <c r="L733" s="482">
        <v>8.7999999999999995E-2</v>
      </c>
      <c r="M733" s="482">
        <v>3.2000000000000001E-2</v>
      </c>
    </row>
    <row r="734" spans="1:13" x14ac:dyDescent="0.2">
      <c r="A734" t="s">
        <v>1535</v>
      </c>
      <c r="B734" t="s">
        <v>13</v>
      </c>
      <c r="C734" t="s">
        <v>87</v>
      </c>
      <c r="D734" t="s">
        <v>719</v>
      </c>
      <c r="E734" t="s">
        <v>720</v>
      </c>
      <c r="F734" t="s">
        <v>52</v>
      </c>
      <c r="G734">
        <v>110</v>
      </c>
      <c r="H734">
        <v>17</v>
      </c>
      <c r="I734">
        <v>10</v>
      </c>
      <c r="J734">
        <v>137</v>
      </c>
      <c r="K734" s="482">
        <v>0.80300000000000005</v>
      </c>
      <c r="L734" s="482">
        <v>0.124</v>
      </c>
      <c r="M734" s="482">
        <v>7.2999999999999995E-2</v>
      </c>
    </row>
    <row r="735" spans="1:13" x14ac:dyDescent="0.2">
      <c r="A735" t="s">
        <v>1536</v>
      </c>
      <c r="B735" t="s">
        <v>13</v>
      </c>
      <c r="C735" t="s">
        <v>87</v>
      </c>
      <c r="D735" t="s">
        <v>716</v>
      </c>
      <c r="E735" t="s">
        <v>717</v>
      </c>
      <c r="F735" t="s">
        <v>52</v>
      </c>
      <c r="G735">
        <v>40</v>
      </c>
      <c r="H735">
        <v>1</v>
      </c>
      <c r="I735">
        <v>3</v>
      </c>
      <c r="J735">
        <v>44</v>
      </c>
      <c r="K735" s="482">
        <v>0.90900000000000003</v>
      </c>
      <c r="L735" s="482">
        <v>2.3E-2</v>
      </c>
      <c r="M735" s="482">
        <v>6.8000000000000005E-2</v>
      </c>
    </row>
    <row r="736" spans="1:13" x14ac:dyDescent="0.2">
      <c r="A736" t="s">
        <v>1537</v>
      </c>
      <c r="B736" t="s">
        <v>13</v>
      </c>
      <c r="C736" t="s">
        <v>87</v>
      </c>
      <c r="D736" t="s">
        <v>713</v>
      </c>
      <c r="E736" t="s">
        <v>714</v>
      </c>
      <c r="F736" t="s">
        <v>52</v>
      </c>
      <c r="G736">
        <v>505</v>
      </c>
      <c r="H736">
        <v>20</v>
      </c>
      <c r="I736">
        <v>27</v>
      </c>
      <c r="J736">
        <v>552</v>
      </c>
      <c r="K736" s="482">
        <v>0.91500000000000004</v>
      </c>
      <c r="L736" s="482">
        <v>3.5999999999999997E-2</v>
      </c>
      <c r="M736" s="482">
        <v>4.9000000000000002E-2</v>
      </c>
    </row>
    <row r="737" spans="1:13" x14ac:dyDescent="0.2">
      <c r="A737" t="s">
        <v>1538</v>
      </c>
      <c r="B737" t="s">
        <v>13</v>
      </c>
      <c r="C737" t="s">
        <v>87</v>
      </c>
      <c r="D737" t="s">
        <v>710</v>
      </c>
      <c r="E737" t="s">
        <v>711</v>
      </c>
      <c r="F737" t="s">
        <v>52</v>
      </c>
      <c r="G737">
        <v>136</v>
      </c>
      <c r="H737">
        <v>7</v>
      </c>
      <c r="I737">
        <v>7</v>
      </c>
      <c r="J737">
        <v>150</v>
      </c>
      <c r="K737" s="482">
        <v>0.90700000000000003</v>
      </c>
      <c r="L737" s="482">
        <v>4.7E-2</v>
      </c>
      <c r="M737" s="482">
        <v>4.7E-2</v>
      </c>
    </row>
    <row r="738" spans="1:13" x14ac:dyDescent="0.2">
      <c r="A738" t="s">
        <v>1539</v>
      </c>
      <c r="B738" t="s">
        <v>13</v>
      </c>
      <c r="C738" t="s">
        <v>87</v>
      </c>
      <c r="D738" t="s">
        <v>707</v>
      </c>
      <c r="E738" t="s">
        <v>708</v>
      </c>
      <c r="F738" t="s">
        <v>52</v>
      </c>
      <c r="G738">
        <v>51</v>
      </c>
      <c r="H738">
        <v>3</v>
      </c>
      <c r="I738">
        <v>0</v>
      </c>
      <c r="J738">
        <v>54</v>
      </c>
      <c r="K738" s="482">
        <v>0.94399999999999995</v>
      </c>
      <c r="L738" s="482">
        <v>5.6000000000000001E-2</v>
      </c>
      <c r="M738" s="482">
        <v>0</v>
      </c>
    </row>
    <row r="739" spans="1:13" x14ac:dyDescent="0.2">
      <c r="A739" t="s">
        <v>1540</v>
      </c>
      <c r="B739" t="s">
        <v>13</v>
      </c>
      <c r="C739" t="s">
        <v>87</v>
      </c>
      <c r="D739" t="s">
        <v>704</v>
      </c>
      <c r="E739" t="s">
        <v>705</v>
      </c>
      <c r="F739" t="s">
        <v>52</v>
      </c>
      <c r="G739">
        <v>116</v>
      </c>
      <c r="H739">
        <v>6</v>
      </c>
      <c r="I739">
        <v>9</v>
      </c>
      <c r="J739">
        <v>131</v>
      </c>
      <c r="K739" s="482">
        <v>0.88500000000000001</v>
      </c>
      <c r="L739" s="482">
        <v>4.5999999999999999E-2</v>
      </c>
      <c r="M739" s="482">
        <v>6.9000000000000006E-2</v>
      </c>
    </row>
    <row r="740" spans="1:13" x14ac:dyDescent="0.2">
      <c r="A740" t="s">
        <v>1541</v>
      </c>
      <c r="B740" t="s">
        <v>13</v>
      </c>
      <c r="C740" t="s">
        <v>87</v>
      </c>
      <c r="D740" t="s">
        <v>701</v>
      </c>
      <c r="E740" t="s">
        <v>702</v>
      </c>
      <c r="F740" t="s">
        <v>52</v>
      </c>
      <c r="G740">
        <v>179</v>
      </c>
      <c r="H740">
        <v>14</v>
      </c>
      <c r="I740">
        <v>15</v>
      </c>
      <c r="J740">
        <v>208</v>
      </c>
      <c r="K740" s="482">
        <v>0.86099999999999999</v>
      </c>
      <c r="L740" s="482">
        <v>6.7000000000000004E-2</v>
      </c>
      <c r="M740" s="482">
        <v>7.1999999999999995E-2</v>
      </c>
    </row>
    <row r="741" spans="1:13" x14ac:dyDescent="0.2">
      <c r="A741" t="s">
        <v>1542</v>
      </c>
      <c r="B741" t="s">
        <v>13</v>
      </c>
      <c r="C741" t="s">
        <v>87</v>
      </c>
      <c r="D741" t="s">
        <v>698</v>
      </c>
      <c r="E741" t="s">
        <v>699</v>
      </c>
      <c r="F741" t="s">
        <v>52</v>
      </c>
      <c r="G741">
        <v>130</v>
      </c>
      <c r="H741">
        <v>11</v>
      </c>
      <c r="I741">
        <v>8</v>
      </c>
      <c r="J741">
        <v>149</v>
      </c>
      <c r="K741" s="482">
        <v>0.872</v>
      </c>
      <c r="L741" s="482">
        <v>7.3999999999999996E-2</v>
      </c>
      <c r="M741" s="482">
        <v>5.3999999999999999E-2</v>
      </c>
    </row>
    <row r="742" spans="1:13" x14ac:dyDescent="0.2">
      <c r="A742" t="s">
        <v>1543</v>
      </c>
      <c r="B742" t="s">
        <v>13</v>
      </c>
      <c r="C742" t="s">
        <v>87</v>
      </c>
      <c r="D742" t="s">
        <v>695</v>
      </c>
      <c r="E742" t="s">
        <v>696</v>
      </c>
      <c r="F742" t="s">
        <v>52</v>
      </c>
      <c r="G742">
        <v>35</v>
      </c>
      <c r="H742">
        <v>7</v>
      </c>
      <c r="I742">
        <v>3</v>
      </c>
      <c r="J742">
        <v>45</v>
      </c>
      <c r="K742" s="482">
        <v>0.77800000000000002</v>
      </c>
      <c r="L742" s="482">
        <v>0.156</v>
      </c>
      <c r="M742" s="482">
        <v>6.7000000000000004E-2</v>
      </c>
    </row>
    <row r="743" spans="1:13" x14ac:dyDescent="0.2">
      <c r="A743" t="s">
        <v>1544</v>
      </c>
      <c r="B743" t="s">
        <v>13</v>
      </c>
      <c r="C743" t="s">
        <v>87</v>
      </c>
      <c r="D743" t="s">
        <v>692</v>
      </c>
      <c r="E743" t="s">
        <v>693</v>
      </c>
      <c r="F743" t="s">
        <v>52</v>
      </c>
      <c r="G743">
        <v>121</v>
      </c>
      <c r="H743">
        <v>6</v>
      </c>
      <c r="I743">
        <v>9</v>
      </c>
      <c r="J743">
        <v>136</v>
      </c>
      <c r="K743" s="482">
        <v>0.89</v>
      </c>
      <c r="L743" s="482">
        <v>4.3999999999999997E-2</v>
      </c>
      <c r="M743" s="482">
        <v>6.6000000000000003E-2</v>
      </c>
    </row>
    <row r="744" spans="1:13" x14ac:dyDescent="0.2">
      <c r="A744" t="s">
        <v>1545</v>
      </c>
      <c r="B744" t="s">
        <v>13</v>
      </c>
      <c r="C744" t="s">
        <v>87</v>
      </c>
      <c r="D744" t="s">
        <v>689</v>
      </c>
      <c r="E744" t="s">
        <v>690</v>
      </c>
      <c r="F744" t="s">
        <v>52</v>
      </c>
      <c r="G744" t="s">
        <v>53</v>
      </c>
      <c r="H744" t="s">
        <v>53</v>
      </c>
      <c r="I744">
        <v>0</v>
      </c>
      <c r="J744" t="s">
        <v>53</v>
      </c>
      <c r="K744" t="s">
        <v>53</v>
      </c>
      <c r="L744" t="s">
        <v>53</v>
      </c>
      <c r="M744" t="s">
        <v>53</v>
      </c>
    </row>
    <row r="745" spans="1:13" x14ac:dyDescent="0.2">
      <c r="A745" t="s">
        <v>1546</v>
      </c>
      <c r="B745" t="s">
        <v>13</v>
      </c>
      <c r="C745" t="s">
        <v>87</v>
      </c>
      <c r="D745" t="s">
        <v>686</v>
      </c>
      <c r="E745" t="s">
        <v>687</v>
      </c>
      <c r="F745" t="s">
        <v>52</v>
      </c>
      <c r="G745">
        <v>67</v>
      </c>
      <c r="H745">
        <v>2</v>
      </c>
      <c r="I745">
        <v>2</v>
      </c>
      <c r="J745">
        <v>71</v>
      </c>
      <c r="K745" s="482">
        <v>0.94399999999999995</v>
      </c>
      <c r="L745" s="482">
        <v>2.8000000000000001E-2</v>
      </c>
      <c r="M745" s="482">
        <v>2.8000000000000001E-2</v>
      </c>
    </row>
    <row r="746" spans="1:13" x14ac:dyDescent="0.2">
      <c r="A746" t="s">
        <v>1547</v>
      </c>
      <c r="B746" t="s">
        <v>13</v>
      </c>
      <c r="C746" t="s">
        <v>87</v>
      </c>
      <c r="D746" t="s">
        <v>683</v>
      </c>
      <c r="E746" t="s">
        <v>684</v>
      </c>
      <c r="F746" t="s">
        <v>52</v>
      </c>
      <c r="G746">
        <v>93</v>
      </c>
      <c r="H746">
        <v>7</v>
      </c>
      <c r="I746">
        <v>8</v>
      </c>
      <c r="J746">
        <v>108</v>
      </c>
      <c r="K746" s="482">
        <v>0.86099999999999999</v>
      </c>
      <c r="L746" s="482">
        <v>6.5000000000000002E-2</v>
      </c>
      <c r="M746" s="482">
        <v>7.3999999999999996E-2</v>
      </c>
    </row>
    <row r="747" spans="1:13" x14ac:dyDescent="0.2">
      <c r="A747" t="s">
        <v>1574</v>
      </c>
      <c r="B747" t="s">
        <v>13</v>
      </c>
      <c r="C747" t="s">
        <v>87</v>
      </c>
      <c r="D747" t="s">
        <v>607</v>
      </c>
      <c r="E747" t="s">
        <v>608</v>
      </c>
      <c r="F747" t="s">
        <v>52</v>
      </c>
      <c r="G747">
        <v>38</v>
      </c>
      <c r="H747">
        <v>3</v>
      </c>
      <c r="I747">
        <v>4</v>
      </c>
      <c r="J747">
        <v>45</v>
      </c>
      <c r="K747" s="482">
        <v>0.84399999999999997</v>
      </c>
      <c r="L747" s="482">
        <v>6.7000000000000004E-2</v>
      </c>
      <c r="M747" s="482">
        <v>8.8999999999999996E-2</v>
      </c>
    </row>
    <row r="748" spans="1:13" x14ac:dyDescent="0.2">
      <c r="A748" t="s">
        <v>1575</v>
      </c>
      <c r="B748" t="s">
        <v>13</v>
      </c>
      <c r="C748" t="s">
        <v>87</v>
      </c>
      <c r="D748" t="s">
        <v>604</v>
      </c>
      <c r="E748" t="s">
        <v>605</v>
      </c>
      <c r="F748" t="s">
        <v>52</v>
      </c>
      <c r="G748">
        <v>52</v>
      </c>
      <c r="H748">
        <v>1</v>
      </c>
      <c r="I748">
        <v>6</v>
      </c>
      <c r="J748">
        <v>59</v>
      </c>
      <c r="K748" s="482">
        <v>0.88100000000000001</v>
      </c>
      <c r="L748" s="482">
        <v>1.7000000000000001E-2</v>
      </c>
      <c r="M748" s="482">
        <v>0.10199999999999999</v>
      </c>
    </row>
    <row r="749" spans="1:13" x14ac:dyDescent="0.2">
      <c r="A749" t="s">
        <v>1576</v>
      </c>
      <c r="B749" t="s">
        <v>13</v>
      </c>
      <c r="C749" t="s">
        <v>87</v>
      </c>
      <c r="D749" t="s">
        <v>601</v>
      </c>
      <c r="E749" t="s">
        <v>602</v>
      </c>
      <c r="F749" t="s">
        <v>52</v>
      </c>
      <c r="G749">
        <v>65</v>
      </c>
      <c r="H749">
        <v>4</v>
      </c>
      <c r="I749">
        <v>7</v>
      </c>
      <c r="J749">
        <v>76</v>
      </c>
      <c r="K749" s="482">
        <v>0.85499999999999998</v>
      </c>
      <c r="L749" s="482">
        <v>5.2999999999999999E-2</v>
      </c>
      <c r="M749" s="482">
        <v>9.1999999999999998E-2</v>
      </c>
    </row>
    <row r="750" spans="1:13" x14ac:dyDescent="0.2">
      <c r="A750" t="s">
        <v>1577</v>
      </c>
      <c r="B750" t="s">
        <v>13</v>
      </c>
      <c r="C750" t="s">
        <v>87</v>
      </c>
      <c r="D750" t="s">
        <v>598</v>
      </c>
      <c r="E750" t="s">
        <v>599</v>
      </c>
      <c r="F750" t="s">
        <v>52</v>
      </c>
      <c r="G750">
        <v>317</v>
      </c>
      <c r="H750">
        <v>27</v>
      </c>
      <c r="I750">
        <v>23</v>
      </c>
      <c r="J750">
        <v>367</v>
      </c>
      <c r="K750" s="482">
        <v>0.86399999999999999</v>
      </c>
      <c r="L750" s="482">
        <v>7.3999999999999996E-2</v>
      </c>
      <c r="M750" s="482">
        <v>6.3E-2</v>
      </c>
    </row>
    <row r="751" spans="1:13" x14ac:dyDescent="0.2">
      <c r="A751" t="s">
        <v>1578</v>
      </c>
      <c r="B751" t="s">
        <v>13</v>
      </c>
      <c r="C751" t="s">
        <v>87</v>
      </c>
      <c r="D751" t="s">
        <v>595</v>
      </c>
      <c r="E751" t="s">
        <v>596</v>
      </c>
      <c r="F751" t="s">
        <v>52</v>
      </c>
      <c r="G751">
        <v>55</v>
      </c>
      <c r="H751">
        <v>7</v>
      </c>
      <c r="I751">
        <v>5</v>
      </c>
      <c r="J751">
        <v>67</v>
      </c>
      <c r="K751" s="482">
        <v>0.82099999999999995</v>
      </c>
      <c r="L751" s="482">
        <v>0.104</v>
      </c>
      <c r="M751" s="482">
        <v>7.4999999999999997E-2</v>
      </c>
    </row>
    <row r="752" spans="1:13" x14ac:dyDescent="0.2">
      <c r="A752" t="s">
        <v>1579</v>
      </c>
      <c r="B752" t="s">
        <v>13</v>
      </c>
      <c r="C752" t="s">
        <v>87</v>
      </c>
      <c r="D752" t="s">
        <v>592</v>
      </c>
      <c r="E752" t="s">
        <v>593</v>
      </c>
      <c r="F752" t="s">
        <v>52</v>
      </c>
      <c r="G752">
        <v>290</v>
      </c>
      <c r="H752">
        <v>19</v>
      </c>
      <c r="I752">
        <v>10</v>
      </c>
      <c r="J752">
        <v>319</v>
      </c>
      <c r="K752" s="482">
        <v>0.90900000000000003</v>
      </c>
      <c r="L752" s="482">
        <v>0.06</v>
      </c>
      <c r="M752" s="482">
        <v>3.1E-2</v>
      </c>
    </row>
    <row r="753" spans="1:13" x14ac:dyDescent="0.2">
      <c r="A753" t="s">
        <v>1580</v>
      </c>
      <c r="B753" t="s">
        <v>13</v>
      </c>
      <c r="C753" t="s">
        <v>87</v>
      </c>
      <c r="D753" t="s">
        <v>589</v>
      </c>
      <c r="E753" t="s">
        <v>590</v>
      </c>
      <c r="F753" t="s">
        <v>52</v>
      </c>
      <c r="G753">
        <v>144</v>
      </c>
      <c r="H753">
        <v>10</v>
      </c>
      <c r="I753">
        <v>8</v>
      </c>
      <c r="J753">
        <v>162</v>
      </c>
      <c r="K753" s="482">
        <v>0.88900000000000001</v>
      </c>
      <c r="L753" s="482">
        <v>6.2E-2</v>
      </c>
      <c r="M753" s="482">
        <v>4.9000000000000002E-2</v>
      </c>
    </row>
    <row r="754" spans="1:13" x14ac:dyDescent="0.2">
      <c r="A754" t="s">
        <v>1531</v>
      </c>
      <c r="B754" t="s">
        <v>13</v>
      </c>
      <c r="C754" t="s">
        <v>87</v>
      </c>
      <c r="D754" t="s">
        <v>734</v>
      </c>
      <c r="E754" t="s">
        <v>735</v>
      </c>
      <c r="F754" t="s">
        <v>52</v>
      </c>
      <c r="G754">
        <v>166</v>
      </c>
      <c r="H754">
        <v>14</v>
      </c>
      <c r="I754">
        <v>12</v>
      </c>
      <c r="J754">
        <v>192</v>
      </c>
      <c r="K754" s="482">
        <v>0.86499999999999999</v>
      </c>
      <c r="L754" s="482">
        <v>7.2999999999999995E-2</v>
      </c>
      <c r="M754" s="482">
        <v>6.3E-2</v>
      </c>
    </row>
    <row r="755" spans="1:13" x14ac:dyDescent="0.2">
      <c r="A755" t="s">
        <v>1492</v>
      </c>
      <c r="B755" t="s">
        <v>13</v>
      </c>
      <c r="C755" t="s">
        <v>87</v>
      </c>
      <c r="D755" t="s">
        <v>731</v>
      </c>
      <c r="E755" t="s">
        <v>732</v>
      </c>
      <c r="F755" t="s">
        <v>52</v>
      </c>
      <c r="G755">
        <v>8</v>
      </c>
      <c r="H755">
        <v>2</v>
      </c>
      <c r="I755">
        <v>2</v>
      </c>
      <c r="J755">
        <v>12</v>
      </c>
      <c r="K755" s="482">
        <v>0.66700000000000004</v>
      </c>
      <c r="L755" s="482">
        <v>0.16700000000000001</v>
      </c>
      <c r="M755" s="482">
        <v>0.16700000000000001</v>
      </c>
    </row>
    <row r="756" spans="1:13" x14ac:dyDescent="0.2">
      <c r="A756" t="s">
        <v>1443</v>
      </c>
      <c r="B756" t="s">
        <v>13</v>
      </c>
      <c r="C756" t="s">
        <v>87</v>
      </c>
      <c r="D756" t="s">
        <v>989</v>
      </c>
      <c r="E756" t="s">
        <v>990</v>
      </c>
      <c r="F756" t="s">
        <v>52</v>
      </c>
      <c r="G756">
        <v>71</v>
      </c>
      <c r="H756">
        <v>5</v>
      </c>
      <c r="I756">
        <v>5</v>
      </c>
      <c r="J756">
        <v>81</v>
      </c>
      <c r="K756" s="482">
        <v>0.877</v>
      </c>
      <c r="L756" s="482">
        <v>6.2E-2</v>
      </c>
      <c r="M756" s="482">
        <v>6.2E-2</v>
      </c>
    </row>
    <row r="757" spans="1:13" x14ac:dyDescent="0.2">
      <c r="A757" t="s">
        <v>1444</v>
      </c>
      <c r="B757" t="s">
        <v>13</v>
      </c>
      <c r="C757" t="s">
        <v>87</v>
      </c>
      <c r="D757" t="s">
        <v>986</v>
      </c>
      <c r="E757" t="s">
        <v>987</v>
      </c>
      <c r="F757" t="s">
        <v>52</v>
      </c>
      <c r="G757">
        <v>87</v>
      </c>
      <c r="H757">
        <v>9</v>
      </c>
      <c r="I757">
        <v>4</v>
      </c>
      <c r="J757">
        <v>100</v>
      </c>
      <c r="K757" s="482">
        <v>0.87</v>
      </c>
      <c r="L757" s="482">
        <v>0.09</v>
      </c>
      <c r="M757" s="482">
        <v>0.04</v>
      </c>
    </row>
    <row r="758" spans="1:13" x14ac:dyDescent="0.2">
      <c r="A758" t="s">
        <v>1445</v>
      </c>
      <c r="B758" t="s">
        <v>13</v>
      </c>
      <c r="C758" t="s">
        <v>87</v>
      </c>
      <c r="D758" t="s">
        <v>983</v>
      </c>
      <c r="E758" t="s">
        <v>984</v>
      </c>
      <c r="F758" t="s">
        <v>52</v>
      </c>
      <c r="G758">
        <v>197</v>
      </c>
      <c r="H758">
        <v>15</v>
      </c>
      <c r="I758">
        <v>13</v>
      </c>
      <c r="J758">
        <v>225</v>
      </c>
      <c r="K758" s="482">
        <v>0.876</v>
      </c>
      <c r="L758" s="482">
        <v>6.7000000000000004E-2</v>
      </c>
      <c r="M758" s="482">
        <v>5.8000000000000003E-2</v>
      </c>
    </row>
    <row r="759" spans="1:13" x14ac:dyDescent="0.2">
      <c r="A759" t="s">
        <v>1446</v>
      </c>
      <c r="B759" t="s">
        <v>13</v>
      </c>
      <c r="C759" t="s">
        <v>87</v>
      </c>
      <c r="D759" t="s">
        <v>980</v>
      </c>
      <c r="E759" t="s">
        <v>981</v>
      </c>
      <c r="F759" t="s">
        <v>52</v>
      </c>
      <c r="G759">
        <v>167</v>
      </c>
      <c r="H759">
        <v>14</v>
      </c>
      <c r="I759">
        <v>8</v>
      </c>
      <c r="J759">
        <v>189</v>
      </c>
      <c r="K759" s="482">
        <v>0.88400000000000001</v>
      </c>
      <c r="L759" s="482">
        <v>7.3999999999999996E-2</v>
      </c>
      <c r="M759" s="482">
        <v>4.2000000000000003E-2</v>
      </c>
    </row>
    <row r="760" spans="1:13" x14ac:dyDescent="0.2">
      <c r="A760" t="s">
        <v>1447</v>
      </c>
      <c r="B760" t="s">
        <v>13</v>
      </c>
      <c r="C760" t="s">
        <v>87</v>
      </c>
      <c r="D760" t="s">
        <v>977</v>
      </c>
      <c r="E760" t="s">
        <v>978</v>
      </c>
      <c r="F760" t="s">
        <v>52</v>
      </c>
      <c r="G760">
        <v>160</v>
      </c>
      <c r="H760">
        <v>12</v>
      </c>
      <c r="I760">
        <v>4</v>
      </c>
      <c r="J760">
        <v>176</v>
      </c>
      <c r="K760" s="482">
        <v>0.90900000000000003</v>
      </c>
      <c r="L760" s="482">
        <v>6.8000000000000005E-2</v>
      </c>
      <c r="M760" s="482">
        <v>2.3E-2</v>
      </c>
    </row>
    <row r="761" spans="1:13" x14ac:dyDescent="0.2">
      <c r="A761" t="s">
        <v>1448</v>
      </c>
      <c r="B761" t="s">
        <v>13</v>
      </c>
      <c r="C761" t="s">
        <v>87</v>
      </c>
      <c r="D761" t="s">
        <v>974</v>
      </c>
      <c r="E761" t="s">
        <v>975</v>
      </c>
      <c r="F761" t="s">
        <v>52</v>
      </c>
      <c r="G761">
        <v>154</v>
      </c>
      <c r="H761">
        <v>9</v>
      </c>
      <c r="I761">
        <v>4</v>
      </c>
      <c r="J761">
        <v>167</v>
      </c>
      <c r="K761" s="482">
        <v>0.92200000000000004</v>
      </c>
      <c r="L761" s="482">
        <v>5.3999999999999999E-2</v>
      </c>
      <c r="M761" s="482">
        <v>2.4E-2</v>
      </c>
    </row>
    <row r="762" spans="1:13" x14ac:dyDescent="0.2">
      <c r="A762" t="s">
        <v>1449</v>
      </c>
      <c r="B762" t="s">
        <v>13</v>
      </c>
      <c r="C762" t="s">
        <v>87</v>
      </c>
      <c r="D762" t="s">
        <v>971</v>
      </c>
      <c r="E762" t="s">
        <v>972</v>
      </c>
      <c r="F762" t="s">
        <v>52</v>
      </c>
      <c r="G762">
        <v>131</v>
      </c>
      <c r="H762">
        <v>8</v>
      </c>
      <c r="I762">
        <v>7</v>
      </c>
      <c r="J762">
        <v>146</v>
      </c>
      <c r="K762" s="482">
        <v>0.89700000000000002</v>
      </c>
      <c r="L762" s="482">
        <v>5.5E-2</v>
      </c>
      <c r="M762" s="482">
        <v>4.8000000000000001E-2</v>
      </c>
    </row>
    <row r="763" spans="1:13" x14ac:dyDescent="0.2">
      <c r="A763" t="s">
        <v>1450</v>
      </c>
      <c r="B763" t="s">
        <v>13</v>
      </c>
      <c r="C763" t="s">
        <v>87</v>
      </c>
      <c r="D763" t="s">
        <v>968</v>
      </c>
      <c r="E763" t="s">
        <v>969</v>
      </c>
      <c r="F763" t="s">
        <v>52</v>
      </c>
      <c r="G763">
        <v>115</v>
      </c>
      <c r="H763">
        <v>9</v>
      </c>
      <c r="I763">
        <v>20</v>
      </c>
      <c r="J763">
        <v>144</v>
      </c>
      <c r="K763" s="482">
        <v>0.79900000000000004</v>
      </c>
      <c r="L763" s="482">
        <v>6.3E-2</v>
      </c>
      <c r="M763" s="482">
        <v>0.13900000000000001</v>
      </c>
    </row>
    <row r="764" spans="1:13" x14ac:dyDescent="0.2">
      <c r="A764" t="s">
        <v>1451</v>
      </c>
      <c r="B764" t="s">
        <v>13</v>
      </c>
      <c r="C764" t="s">
        <v>87</v>
      </c>
      <c r="D764" t="s">
        <v>965</v>
      </c>
      <c r="E764" t="s">
        <v>966</v>
      </c>
      <c r="F764" t="s">
        <v>52</v>
      </c>
      <c r="G764">
        <v>30</v>
      </c>
      <c r="H764">
        <v>1</v>
      </c>
      <c r="I764">
        <v>5</v>
      </c>
      <c r="J764">
        <v>36</v>
      </c>
      <c r="K764" s="482">
        <v>0.83299999999999996</v>
      </c>
      <c r="L764" s="482">
        <v>2.8000000000000001E-2</v>
      </c>
      <c r="M764" s="482">
        <v>0.13900000000000001</v>
      </c>
    </row>
    <row r="765" spans="1:13" x14ac:dyDescent="0.2">
      <c r="A765" t="s">
        <v>1452</v>
      </c>
      <c r="B765" t="s">
        <v>13</v>
      </c>
      <c r="C765" t="s">
        <v>87</v>
      </c>
      <c r="D765" t="s">
        <v>962</v>
      </c>
      <c r="E765" t="s">
        <v>963</v>
      </c>
      <c r="F765" t="s">
        <v>52</v>
      </c>
      <c r="G765">
        <v>79</v>
      </c>
      <c r="H765">
        <v>4</v>
      </c>
      <c r="I765">
        <v>3</v>
      </c>
      <c r="J765">
        <v>86</v>
      </c>
      <c r="K765" s="482">
        <v>0.91900000000000004</v>
      </c>
      <c r="L765" s="482">
        <v>4.7E-2</v>
      </c>
      <c r="M765" s="482">
        <v>3.5000000000000003E-2</v>
      </c>
    </row>
    <row r="766" spans="1:13" x14ac:dyDescent="0.2">
      <c r="A766" t="s">
        <v>1453</v>
      </c>
      <c r="B766" t="s">
        <v>13</v>
      </c>
      <c r="C766" t="s">
        <v>87</v>
      </c>
      <c r="D766" t="s">
        <v>959</v>
      </c>
      <c r="E766" t="s">
        <v>960</v>
      </c>
      <c r="F766" t="s">
        <v>52</v>
      </c>
      <c r="G766">
        <v>398</v>
      </c>
      <c r="H766">
        <v>23</v>
      </c>
      <c r="I766">
        <v>24</v>
      </c>
      <c r="J766">
        <v>445</v>
      </c>
      <c r="K766" s="482">
        <v>0.89400000000000002</v>
      </c>
      <c r="L766" s="482">
        <v>5.1999999999999998E-2</v>
      </c>
      <c r="M766" s="482">
        <v>5.3999999999999999E-2</v>
      </c>
    </row>
    <row r="767" spans="1:13" x14ac:dyDescent="0.2">
      <c r="A767" t="s">
        <v>1454</v>
      </c>
      <c r="B767" t="s">
        <v>13</v>
      </c>
      <c r="C767" t="s">
        <v>87</v>
      </c>
      <c r="D767" t="s">
        <v>956</v>
      </c>
      <c r="E767" t="s">
        <v>957</v>
      </c>
      <c r="F767" t="s">
        <v>52</v>
      </c>
      <c r="G767">
        <v>73</v>
      </c>
      <c r="H767">
        <v>2</v>
      </c>
      <c r="I767">
        <v>5</v>
      </c>
      <c r="J767">
        <v>80</v>
      </c>
      <c r="K767" s="482">
        <v>0.91300000000000003</v>
      </c>
      <c r="L767" s="482">
        <v>2.5000000000000001E-2</v>
      </c>
      <c r="M767" s="482">
        <v>6.3E-2</v>
      </c>
    </row>
    <row r="768" spans="1:13" x14ac:dyDescent="0.2">
      <c r="A768" t="s">
        <v>1455</v>
      </c>
      <c r="B768" t="s">
        <v>13</v>
      </c>
      <c r="C768" t="s">
        <v>87</v>
      </c>
      <c r="D768" t="s">
        <v>953</v>
      </c>
      <c r="E768" t="s">
        <v>954</v>
      </c>
      <c r="F768" t="s">
        <v>52</v>
      </c>
      <c r="G768">
        <v>113</v>
      </c>
      <c r="H768">
        <v>6</v>
      </c>
      <c r="I768">
        <v>11</v>
      </c>
      <c r="J768">
        <v>130</v>
      </c>
      <c r="K768" s="482">
        <v>0.86899999999999999</v>
      </c>
      <c r="L768" s="482">
        <v>4.5999999999999999E-2</v>
      </c>
      <c r="M768" s="482">
        <v>8.5000000000000006E-2</v>
      </c>
    </row>
    <row r="769" spans="1:13" x14ac:dyDescent="0.2">
      <c r="A769" t="s">
        <v>1456</v>
      </c>
      <c r="B769" t="s">
        <v>13</v>
      </c>
      <c r="C769" t="s">
        <v>87</v>
      </c>
      <c r="D769" t="s">
        <v>950</v>
      </c>
      <c r="E769" t="s">
        <v>951</v>
      </c>
      <c r="F769" t="s">
        <v>52</v>
      </c>
      <c r="G769">
        <v>175</v>
      </c>
      <c r="H769">
        <v>9</v>
      </c>
      <c r="I769">
        <v>9</v>
      </c>
      <c r="J769">
        <v>193</v>
      </c>
      <c r="K769" s="482">
        <v>0.90700000000000003</v>
      </c>
      <c r="L769" s="482">
        <v>4.7E-2</v>
      </c>
      <c r="M769" s="482">
        <v>4.7E-2</v>
      </c>
    </row>
    <row r="770" spans="1:13" x14ac:dyDescent="0.2">
      <c r="A770" t="s">
        <v>1457</v>
      </c>
      <c r="B770" t="s">
        <v>13</v>
      </c>
      <c r="C770" t="s">
        <v>87</v>
      </c>
      <c r="D770" t="s">
        <v>947</v>
      </c>
      <c r="E770" t="s">
        <v>948</v>
      </c>
      <c r="F770" t="s">
        <v>52</v>
      </c>
      <c r="G770">
        <v>116</v>
      </c>
      <c r="H770">
        <v>10</v>
      </c>
      <c r="I770">
        <v>8</v>
      </c>
      <c r="J770">
        <v>134</v>
      </c>
      <c r="K770" s="482">
        <v>0.86599999999999999</v>
      </c>
      <c r="L770" s="482">
        <v>7.4999999999999997E-2</v>
      </c>
      <c r="M770" s="482">
        <v>0.06</v>
      </c>
    </row>
    <row r="771" spans="1:13" x14ac:dyDescent="0.2">
      <c r="A771" t="s">
        <v>1462</v>
      </c>
      <c r="B771" t="s">
        <v>13</v>
      </c>
      <c r="C771" t="s">
        <v>87</v>
      </c>
      <c r="D771" t="s">
        <v>932</v>
      </c>
      <c r="E771" t="s">
        <v>933</v>
      </c>
      <c r="F771" t="s">
        <v>52</v>
      </c>
      <c r="G771">
        <v>197</v>
      </c>
      <c r="H771">
        <v>11</v>
      </c>
      <c r="I771">
        <v>13</v>
      </c>
      <c r="J771">
        <v>221</v>
      </c>
      <c r="K771" s="482">
        <v>0.89100000000000001</v>
      </c>
      <c r="L771" s="482">
        <v>0.05</v>
      </c>
      <c r="M771" s="482">
        <v>5.8999999999999997E-2</v>
      </c>
    </row>
    <row r="772" spans="1:13" x14ac:dyDescent="0.2">
      <c r="A772" t="s">
        <v>1461</v>
      </c>
      <c r="B772" t="s">
        <v>13</v>
      </c>
      <c r="C772" t="s">
        <v>87</v>
      </c>
      <c r="D772" t="s">
        <v>935</v>
      </c>
      <c r="E772" t="s">
        <v>936</v>
      </c>
      <c r="F772" t="s">
        <v>52</v>
      </c>
      <c r="G772">
        <v>31</v>
      </c>
      <c r="H772">
        <v>2</v>
      </c>
      <c r="I772">
        <v>4</v>
      </c>
      <c r="J772">
        <v>37</v>
      </c>
      <c r="K772" s="482">
        <v>0.83799999999999997</v>
      </c>
      <c r="L772" s="482">
        <v>5.3999999999999999E-2</v>
      </c>
      <c r="M772" s="482">
        <v>0.108</v>
      </c>
    </row>
    <row r="773" spans="1:13" x14ac:dyDescent="0.2">
      <c r="A773" t="s">
        <v>1464</v>
      </c>
      <c r="B773" t="s">
        <v>13</v>
      </c>
      <c r="C773" t="s">
        <v>87</v>
      </c>
      <c r="D773" t="s">
        <v>851</v>
      </c>
      <c r="E773" t="s">
        <v>852</v>
      </c>
      <c r="F773" t="s">
        <v>52</v>
      </c>
      <c r="G773">
        <v>33</v>
      </c>
      <c r="H773">
        <v>4</v>
      </c>
      <c r="I773">
        <v>5</v>
      </c>
      <c r="J773">
        <v>42</v>
      </c>
      <c r="K773" s="482">
        <v>0.78600000000000003</v>
      </c>
      <c r="L773" s="482">
        <v>9.5000000000000001E-2</v>
      </c>
      <c r="M773" s="482">
        <v>0.11899999999999999</v>
      </c>
    </row>
    <row r="774" spans="1:13" x14ac:dyDescent="0.2">
      <c r="A774" t="s">
        <v>1493</v>
      </c>
      <c r="B774" t="s">
        <v>13</v>
      </c>
      <c r="C774" t="s">
        <v>87</v>
      </c>
      <c r="D774" t="s">
        <v>848</v>
      </c>
      <c r="E774" t="s">
        <v>849</v>
      </c>
      <c r="F774" t="s">
        <v>52</v>
      </c>
      <c r="G774">
        <v>111</v>
      </c>
      <c r="H774">
        <v>10</v>
      </c>
      <c r="I774">
        <v>13</v>
      </c>
      <c r="J774">
        <v>134</v>
      </c>
      <c r="K774" s="482">
        <v>0.82799999999999996</v>
      </c>
      <c r="L774" s="482">
        <v>7.4999999999999997E-2</v>
      </c>
      <c r="M774" s="482">
        <v>9.7000000000000003E-2</v>
      </c>
    </row>
    <row r="775" spans="1:13" x14ac:dyDescent="0.2">
      <c r="A775" t="s">
        <v>1494</v>
      </c>
      <c r="B775" t="s">
        <v>13</v>
      </c>
      <c r="C775" t="s">
        <v>87</v>
      </c>
      <c r="D775" t="s">
        <v>845</v>
      </c>
      <c r="E775" t="s">
        <v>846</v>
      </c>
      <c r="F775" t="s">
        <v>52</v>
      </c>
      <c r="G775">
        <v>106</v>
      </c>
      <c r="H775">
        <v>11</v>
      </c>
      <c r="I775">
        <v>2</v>
      </c>
      <c r="J775">
        <v>119</v>
      </c>
      <c r="K775" s="482">
        <v>0.89100000000000001</v>
      </c>
      <c r="L775" s="482">
        <v>9.1999999999999998E-2</v>
      </c>
      <c r="M775" s="482">
        <v>1.7000000000000001E-2</v>
      </c>
    </row>
    <row r="776" spans="1:13" x14ac:dyDescent="0.2">
      <c r="A776" t="s">
        <v>1495</v>
      </c>
      <c r="B776" t="s">
        <v>13</v>
      </c>
      <c r="C776" t="s">
        <v>87</v>
      </c>
      <c r="D776" t="s">
        <v>842</v>
      </c>
      <c r="E776" t="s">
        <v>843</v>
      </c>
      <c r="F776" t="s">
        <v>52</v>
      </c>
      <c r="G776">
        <v>180</v>
      </c>
      <c r="H776">
        <v>15</v>
      </c>
      <c r="I776">
        <v>7</v>
      </c>
      <c r="J776">
        <v>202</v>
      </c>
      <c r="K776" s="482">
        <v>0.89100000000000001</v>
      </c>
      <c r="L776" s="482">
        <v>7.3999999999999996E-2</v>
      </c>
      <c r="M776" s="482">
        <v>3.5000000000000003E-2</v>
      </c>
    </row>
    <row r="777" spans="1:13" x14ac:dyDescent="0.2">
      <c r="A777" t="s">
        <v>1496</v>
      </c>
      <c r="B777" t="s">
        <v>13</v>
      </c>
      <c r="C777" t="s">
        <v>87</v>
      </c>
      <c r="D777" t="s">
        <v>839</v>
      </c>
      <c r="E777" t="s">
        <v>840</v>
      </c>
      <c r="F777" t="s">
        <v>52</v>
      </c>
      <c r="G777">
        <v>124</v>
      </c>
      <c r="H777">
        <v>4</v>
      </c>
      <c r="I777">
        <v>4</v>
      </c>
      <c r="J777">
        <v>132</v>
      </c>
      <c r="K777" s="482">
        <v>0.93899999999999995</v>
      </c>
      <c r="L777" s="482">
        <v>0.03</v>
      </c>
      <c r="M777" s="482">
        <v>0.03</v>
      </c>
    </row>
    <row r="778" spans="1:13" x14ac:dyDescent="0.2">
      <c r="A778" t="s">
        <v>1497</v>
      </c>
      <c r="B778" t="s">
        <v>13</v>
      </c>
      <c r="C778" t="s">
        <v>87</v>
      </c>
      <c r="D778" t="s">
        <v>836</v>
      </c>
      <c r="E778" t="s">
        <v>837</v>
      </c>
      <c r="F778" t="s">
        <v>52</v>
      </c>
      <c r="G778">
        <v>141</v>
      </c>
      <c r="H778">
        <v>8</v>
      </c>
      <c r="I778">
        <v>13</v>
      </c>
      <c r="J778">
        <v>162</v>
      </c>
      <c r="K778" s="482">
        <v>0.87</v>
      </c>
      <c r="L778" s="482">
        <v>4.9000000000000002E-2</v>
      </c>
      <c r="M778" s="482">
        <v>0.08</v>
      </c>
    </row>
    <row r="779" spans="1:13" x14ac:dyDescent="0.2">
      <c r="A779" t="s">
        <v>1498</v>
      </c>
      <c r="B779" t="s">
        <v>13</v>
      </c>
      <c r="C779" t="s">
        <v>87</v>
      </c>
      <c r="D779" t="s">
        <v>833</v>
      </c>
      <c r="E779" t="s">
        <v>834</v>
      </c>
      <c r="F779" t="s">
        <v>52</v>
      </c>
      <c r="G779">
        <v>302</v>
      </c>
      <c r="H779">
        <v>21</v>
      </c>
      <c r="I779">
        <v>28</v>
      </c>
      <c r="J779">
        <v>351</v>
      </c>
      <c r="K779" s="482">
        <v>0.86</v>
      </c>
      <c r="L779" s="482">
        <v>0.06</v>
      </c>
      <c r="M779" s="482">
        <v>0.08</v>
      </c>
    </row>
    <row r="780" spans="1:13" x14ac:dyDescent="0.2">
      <c r="A780" t="s">
        <v>1499</v>
      </c>
      <c r="B780" t="s">
        <v>13</v>
      </c>
      <c r="C780" t="s">
        <v>87</v>
      </c>
      <c r="D780" t="s">
        <v>830</v>
      </c>
      <c r="E780" t="s">
        <v>831</v>
      </c>
      <c r="F780" t="s">
        <v>52</v>
      </c>
      <c r="G780">
        <v>145</v>
      </c>
      <c r="H780">
        <v>8</v>
      </c>
      <c r="I780">
        <v>6</v>
      </c>
      <c r="J780">
        <v>159</v>
      </c>
      <c r="K780" s="482">
        <v>0.91200000000000003</v>
      </c>
      <c r="L780" s="482">
        <v>0.05</v>
      </c>
      <c r="M780" s="482">
        <v>3.7999999999999999E-2</v>
      </c>
    </row>
    <row r="781" spans="1:13" x14ac:dyDescent="0.2">
      <c r="A781" t="s">
        <v>1458</v>
      </c>
      <c r="B781" t="s">
        <v>13</v>
      </c>
      <c r="C781" t="s">
        <v>87</v>
      </c>
      <c r="D781" t="s">
        <v>944</v>
      </c>
      <c r="E781" t="s">
        <v>945</v>
      </c>
      <c r="F781" t="s">
        <v>52</v>
      </c>
      <c r="G781">
        <v>273</v>
      </c>
      <c r="H781">
        <v>18</v>
      </c>
      <c r="I781">
        <v>16</v>
      </c>
      <c r="J781">
        <v>307</v>
      </c>
      <c r="K781" s="482">
        <v>0.88900000000000001</v>
      </c>
      <c r="L781" s="482">
        <v>5.8999999999999997E-2</v>
      </c>
      <c r="M781" s="482">
        <v>5.1999999999999998E-2</v>
      </c>
    </row>
    <row r="782" spans="1:13" x14ac:dyDescent="0.2">
      <c r="A782" t="s">
        <v>1473</v>
      </c>
      <c r="B782" t="s">
        <v>13</v>
      </c>
      <c r="C782" t="s">
        <v>87</v>
      </c>
      <c r="D782" t="s">
        <v>1016</v>
      </c>
      <c r="E782" t="s">
        <v>1017</v>
      </c>
      <c r="F782" t="s">
        <v>52</v>
      </c>
      <c r="G782">
        <v>72</v>
      </c>
      <c r="H782">
        <v>7</v>
      </c>
      <c r="I782">
        <v>7</v>
      </c>
      <c r="J782">
        <v>86</v>
      </c>
      <c r="K782" s="482">
        <v>0.83699999999999997</v>
      </c>
      <c r="L782" s="482">
        <v>8.1000000000000003E-2</v>
      </c>
      <c r="M782" s="482">
        <v>8.1000000000000003E-2</v>
      </c>
    </row>
    <row r="783" spans="1:13" x14ac:dyDescent="0.2">
      <c r="A783" t="s">
        <v>1459</v>
      </c>
      <c r="B783" t="s">
        <v>13</v>
      </c>
      <c r="C783" t="s">
        <v>87</v>
      </c>
      <c r="D783" t="s">
        <v>941</v>
      </c>
      <c r="E783" t="s">
        <v>942</v>
      </c>
      <c r="F783" t="s">
        <v>52</v>
      </c>
      <c r="G783">
        <v>189</v>
      </c>
      <c r="H783">
        <v>16</v>
      </c>
      <c r="I783">
        <v>14</v>
      </c>
      <c r="J783">
        <v>219</v>
      </c>
      <c r="K783" s="482">
        <v>0.86299999999999999</v>
      </c>
      <c r="L783" s="482">
        <v>7.2999999999999995E-2</v>
      </c>
      <c r="M783" s="482">
        <v>6.4000000000000001E-2</v>
      </c>
    </row>
    <row r="784" spans="1:13" x14ac:dyDescent="0.2">
      <c r="A784" t="s">
        <v>1460</v>
      </c>
      <c r="B784" t="s">
        <v>13</v>
      </c>
      <c r="C784" t="s">
        <v>87</v>
      </c>
      <c r="D784" t="s">
        <v>938</v>
      </c>
      <c r="E784" t="s">
        <v>939</v>
      </c>
      <c r="F784" t="s">
        <v>52</v>
      </c>
      <c r="G784">
        <v>87</v>
      </c>
      <c r="H784">
        <v>9</v>
      </c>
      <c r="I784">
        <v>2</v>
      </c>
      <c r="J784">
        <v>98</v>
      </c>
      <c r="K784" s="482">
        <v>0.88800000000000001</v>
      </c>
      <c r="L784" s="482">
        <v>9.1999999999999998E-2</v>
      </c>
      <c r="M784" s="482">
        <v>0.02</v>
      </c>
    </row>
    <row r="785" spans="1:13" x14ac:dyDescent="0.2">
      <c r="A785" t="s">
        <v>1472</v>
      </c>
      <c r="B785" t="s">
        <v>13</v>
      </c>
      <c r="C785" t="s">
        <v>87</v>
      </c>
      <c r="D785" t="s">
        <v>905</v>
      </c>
      <c r="E785" t="s">
        <v>906</v>
      </c>
      <c r="F785" t="s">
        <v>52</v>
      </c>
      <c r="G785">
        <v>159</v>
      </c>
      <c r="H785">
        <v>16</v>
      </c>
      <c r="I785">
        <v>7</v>
      </c>
      <c r="J785">
        <v>182</v>
      </c>
      <c r="K785" s="482">
        <v>0.874</v>
      </c>
      <c r="L785" s="482">
        <v>8.7999999999999995E-2</v>
      </c>
      <c r="M785" s="482">
        <v>3.7999999999999999E-2</v>
      </c>
    </row>
    <row r="786" spans="1:13" x14ac:dyDescent="0.2">
      <c r="A786" t="s">
        <v>1475</v>
      </c>
      <c r="B786" t="s">
        <v>13</v>
      </c>
      <c r="C786" t="s">
        <v>87</v>
      </c>
      <c r="D786" t="s">
        <v>902</v>
      </c>
      <c r="E786" t="s">
        <v>903</v>
      </c>
      <c r="F786" t="s">
        <v>52</v>
      </c>
      <c r="G786">
        <v>446</v>
      </c>
      <c r="H786">
        <v>37</v>
      </c>
      <c r="I786">
        <v>36</v>
      </c>
      <c r="J786">
        <v>519</v>
      </c>
      <c r="K786" s="482">
        <v>0.85899999999999999</v>
      </c>
      <c r="L786" s="482">
        <v>7.0999999999999994E-2</v>
      </c>
      <c r="M786" s="482">
        <v>6.9000000000000006E-2</v>
      </c>
    </row>
    <row r="787" spans="1:13" x14ac:dyDescent="0.2">
      <c r="A787" t="s">
        <v>1476</v>
      </c>
      <c r="B787" t="s">
        <v>13</v>
      </c>
      <c r="C787" t="s">
        <v>87</v>
      </c>
      <c r="D787" t="s">
        <v>899</v>
      </c>
      <c r="E787" t="s">
        <v>900</v>
      </c>
      <c r="F787" t="s">
        <v>52</v>
      </c>
      <c r="G787">
        <v>65</v>
      </c>
      <c r="H787">
        <v>6</v>
      </c>
      <c r="I787">
        <v>4</v>
      </c>
      <c r="J787">
        <v>75</v>
      </c>
      <c r="K787" s="482">
        <v>0.86699999999999999</v>
      </c>
      <c r="L787" s="482">
        <v>0.08</v>
      </c>
      <c r="M787" s="482">
        <v>5.2999999999999999E-2</v>
      </c>
    </row>
    <row r="788" spans="1:13" x14ac:dyDescent="0.2">
      <c r="A788" t="s">
        <v>1477</v>
      </c>
      <c r="B788" t="s">
        <v>13</v>
      </c>
      <c r="C788" t="s">
        <v>87</v>
      </c>
      <c r="D788" t="s">
        <v>896</v>
      </c>
      <c r="E788" t="s">
        <v>897</v>
      </c>
      <c r="F788" t="s">
        <v>52</v>
      </c>
      <c r="G788">
        <v>101</v>
      </c>
      <c r="H788">
        <v>6</v>
      </c>
      <c r="I788">
        <v>12</v>
      </c>
      <c r="J788">
        <v>119</v>
      </c>
      <c r="K788" s="482">
        <v>0.84899999999999998</v>
      </c>
      <c r="L788" s="482">
        <v>0.05</v>
      </c>
      <c r="M788" s="482">
        <v>0.10100000000000001</v>
      </c>
    </row>
    <row r="789" spans="1:13" x14ac:dyDescent="0.2">
      <c r="A789" t="s">
        <v>1478</v>
      </c>
      <c r="B789" t="s">
        <v>13</v>
      </c>
      <c r="C789" t="s">
        <v>87</v>
      </c>
      <c r="D789" t="s">
        <v>893</v>
      </c>
      <c r="E789" t="s">
        <v>894</v>
      </c>
      <c r="F789" t="s">
        <v>52</v>
      </c>
      <c r="G789">
        <v>76</v>
      </c>
      <c r="H789">
        <v>4</v>
      </c>
      <c r="I789">
        <v>7</v>
      </c>
      <c r="J789">
        <v>87</v>
      </c>
      <c r="K789" s="482">
        <v>0.874</v>
      </c>
      <c r="L789" s="482">
        <v>4.5999999999999999E-2</v>
      </c>
      <c r="M789" s="482">
        <v>0.08</v>
      </c>
    </row>
    <row r="790" spans="1:13" x14ac:dyDescent="0.2">
      <c r="A790" t="s">
        <v>1479</v>
      </c>
      <c r="B790" t="s">
        <v>13</v>
      </c>
      <c r="C790" t="s">
        <v>87</v>
      </c>
      <c r="D790" t="s">
        <v>890</v>
      </c>
      <c r="E790" t="s">
        <v>891</v>
      </c>
      <c r="F790" t="s">
        <v>52</v>
      </c>
      <c r="G790">
        <v>68</v>
      </c>
      <c r="H790">
        <v>3</v>
      </c>
      <c r="I790">
        <v>2</v>
      </c>
      <c r="J790">
        <v>73</v>
      </c>
      <c r="K790" s="482">
        <v>0.93200000000000005</v>
      </c>
      <c r="L790" s="482">
        <v>4.1000000000000002E-2</v>
      </c>
      <c r="M790" s="482">
        <v>2.7E-2</v>
      </c>
    </row>
    <row r="791" spans="1:13" x14ac:dyDescent="0.2">
      <c r="A791" t="s">
        <v>1480</v>
      </c>
      <c r="B791" t="s">
        <v>13</v>
      </c>
      <c r="C791" t="s">
        <v>87</v>
      </c>
      <c r="D791" t="s">
        <v>887</v>
      </c>
      <c r="E791" t="s">
        <v>888</v>
      </c>
      <c r="F791" t="s">
        <v>52</v>
      </c>
      <c r="G791">
        <v>109</v>
      </c>
      <c r="H791">
        <v>7</v>
      </c>
      <c r="I791">
        <v>5</v>
      </c>
      <c r="J791">
        <v>121</v>
      </c>
      <c r="K791" s="482">
        <v>0.90100000000000002</v>
      </c>
      <c r="L791" s="482">
        <v>5.8000000000000003E-2</v>
      </c>
      <c r="M791" s="482">
        <v>4.1000000000000002E-2</v>
      </c>
    </row>
    <row r="792" spans="1:13" x14ac:dyDescent="0.2">
      <c r="A792" t="s">
        <v>1481</v>
      </c>
      <c r="B792" t="s">
        <v>13</v>
      </c>
      <c r="C792" t="s">
        <v>87</v>
      </c>
      <c r="D792" t="s">
        <v>884</v>
      </c>
      <c r="E792" t="s">
        <v>885</v>
      </c>
      <c r="F792" t="s">
        <v>52</v>
      </c>
      <c r="G792">
        <v>202</v>
      </c>
      <c r="H792">
        <v>13</v>
      </c>
      <c r="I792">
        <v>15</v>
      </c>
      <c r="J792">
        <v>230</v>
      </c>
      <c r="K792" s="482">
        <v>0.878</v>
      </c>
      <c r="L792" s="482">
        <v>5.7000000000000002E-2</v>
      </c>
      <c r="M792" s="482">
        <v>6.5000000000000002E-2</v>
      </c>
    </row>
    <row r="793" spans="1:13" x14ac:dyDescent="0.2">
      <c r="A793" t="s">
        <v>1482</v>
      </c>
      <c r="B793" t="s">
        <v>13</v>
      </c>
      <c r="C793" t="s">
        <v>87</v>
      </c>
      <c r="D793" t="s">
        <v>881</v>
      </c>
      <c r="E793" t="s">
        <v>882</v>
      </c>
      <c r="F793" t="s">
        <v>52</v>
      </c>
      <c r="G793">
        <v>106</v>
      </c>
      <c r="H793">
        <v>7</v>
      </c>
      <c r="I793">
        <v>7</v>
      </c>
      <c r="J793">
        <v>120</v>
      </c>
      <c r="K793" s="482">
        <v>0.88300000000000001</v>
      </c>
      <c r="L793" s="482">
        <v>5.8000000000000003E-2</v>
      </c>
      <c r="M793" s="482">
        <v>5.8000000000000003E-2</v>
      </c>
    </row>
    <row r="794" spans="1:13" x14ac:dyDescent="0.2">
      <c r="A794" t="s">
        <v>1483</v>
      </c>
      <c r="B794" t="s">
        <v>13</v>
      </c>
      <c r="C794" t="s">
        <v>87</v>
      </c>
      <c r="D794" t="s">
        <v>878</v>
      </c>
      <c r="E794" t="s">
        <v>879</v>
      </c>
      <c r="F794" t="s">
        <v>52</v>
      </c>
      <c r="G794">
        <v>86</v>
      </c>
      <c r="H794">
        <v>6</v>
      </c>
      <c r="I794">
        <v>4</v>
      </c>
      <c r="J794">
        <v>96</v>
      </c>
      <c r="K794" s="482">
        <v>0.89600000000000002</v>
      </c>
      <c r="L794" s="482">
        <v>6.3E-2</v>
      </c>
      <c r="M794" s="482">
        <v>4.2000000000000003E-2</v>
      </c>
    </row>
    <row r="795" spans="1:13" x14ac:dyDescent="0.2">
      <c r="A795" t="s">
        <v>1484</v>
      </c>
      <c r="B795" t="s">
        <v>13</v>
      </c>
      <c r="C795" t="s">
        <v>87</v>
      </c>
      <c r="D795" t="s">
        <v>875</v>
      </c>
      <c r="E795" t="s">
        <v>876</v>
      </c>
      <c r="F795" t="s">
        <v>52</v>
      </c>
      <c r="G795">
        <v>323</v>
      </c>
      <c r="H795">
        <v>16</v>
      </c>
      <c r="I795">
        <v>16</v>
      </c>
      <c r="J795">
        <v>355</v>
      </c>
      <c r="K795" s="482">
        <v>0.91</v>
      </c>
      <c r="L795" s="482">
        <v>4.4999999999999998E-2</v>
      </c>
      <c r="M795" s="482">
        <v>4.4999999999999998E-2</v>
      </c>
    </row>
    <row r="796" spans="1:13" x14ac:dyDescent="0.2">
      <c r="A796" t="s">
        <v>1485</v>
      </c>
      <c r="B796" t="s">
        <v>13</v>
      </c>
      <c r="C796" t="s">
        <v>87</v>
      </c>
      <c r="D796" t="s">
        <v>872</v>
      </c>
      <c r="E796" t="s">
        <v>873</v>
      </c>
      <c r="F796" t="s">
        <v>52</v>
      </c>
      <c r="G796">
        <v>256</v>
      </c>
      <c r="H796">
        <v>15</v>
      </c>
      <c r="I796">
        <v>15</v>
      </c>
      <c r="J796">
        <v>286</v>
      </c>
      <c r="K796" s="482">
        <v>0.89500000000000002</v>
      </c>
      <c r="L796" s="482">
        <v>5.1999999999999998E-2</v>
      </c>
      <c r="M796" s="482">
        <v>5.1999999999999998E-2</v>
      </c>
    </row>
    <row r="797" spans="1:13" x14ac:dyDescent="0.2">
      <c r="A797" t="s">
        <v>1486</v>
      </c>
      <c r="B797" t="s">
        <v>13</v>
      </c>
      <c r="C797" t="s">
        <v>87</v>
      </c>
      <c r="D797" t="s">
        <v>869</v>
      </c>
      <c r="E797" t="s">
        <v>870</v>
      </c>
      <c r="F797" t="s">
        <v>52</v>
      </c>
      <c r="G797">
        <v>176</v>
      </c>
      <c r="H797">
        <v>8</v>
      </c>
      <c r="I797">
        <v>10</v>
      </c>
      <c r="J797">
        <v>194</v>
      </c>
      <c r="K797" s="482">
        <v>0.90700000000000003</v>
      </c>
      <c r="L797" s="482">
        <v>4.1000000000000002E-2</v>
      </c>
      <c r="M797" s="482">
        <v>5.1999999999999998E-2</v>
      </c>
    </row>
    <row r="798" spans="1:13" x14ac:dyDescent="0.2">
      <c r="A798" t="s">
        <v>1487</v>
      </c>
      <c r="B798" t="s">
        <v>13</v>
      </c>
      <c r="C798" t="s">
        <v>87</v>
      </c>
      <c r="D798" t="s">
        <v>866</v>
      </c>
      <c r="E798" t="s">
        <v>867</v>
      </c>
      <c r="F798" t="s">
        <v>52</v>
      </c>
      <c r="G798">
        <v>320</v>
      </c>
      <c r="H798">
        <v>15</v>
      </c>
      <c r="I798">
        <v>16</v>
      </c>
      <c r="J798">
        <v>351</v>
      </c>
      <c r="K798" s="482">
        <v>0.91200000000000003</v>
      </c>
      <c r="L798" s="482">
        <v>4.2999999999999997E-2</v>
      </c>
      <c r="M798" s="482">
        <v>4.5999999999999999E-2</v>
      </c>
    </row>
    <row r="799" spans="1:13" x14ac:dyDescent="0.2">
      <c r="A799" t="s">
        <v>1488</v>
      </c>
      <c r="B799" t="s">
        <v>13</v>
      </c>
      <c r="C799" t="s">
        <v>87</v>
      </c>
      <c r="D799" t="s">
        <v>863</v>
      </c>
      <c r="E799" t="s">
        <v>864</v>
      </c>
      <c r="F799" t="s">
        <v>52</v>
      </c>
      <c r="G799">
        <v>61</v>
      </c>
      <c r="H799">
        <v>2</v>
      </c>
      <c r="I799">
        <v>0</v>
      </c>
      <c r="J799">
        <v>63</v>
      </c>
      <c r="K799" s="482">
        <v>0.96799999999999997</v>
      </c>
      <c r="L799" s="482">
        <v>3.2000000000000001E-2</v>
      </c>
      <c r="M799" s="482">
        <v>0</v>
      </c>
    </row>
    <row r="800" spans="1:13" x14ac:dyDescent="0.2">
      <c r="A800" t="s">
        <v>1489</v>
      </c>
      <c r="B800" t="s">
        <v>13</v>
      </c>
      <c r="C800" t="s">
        <v>87</v>
      </c>
      <c r="D800" t="s">
        <v>860</v>
      </c>
      <c r="E800" t="s">
        <v>861</v>
      </c>
      <c r="F800" t="s">
        <v>52</v>
      </c>
      <c r="G800">
        <v>165</v>
      </c>
      <c r="H800">
        <v>11</v>
      </c>
      <c r="I800">
        <v>10</v>
      </c>
      <c r="J800">
        <v>186</v>
      </c>
      <c r="K800" s="482">
        <v>0.88700000000000001</v>
      </c>
      <c r="L800" s="482">
        <v>5.8999999999999997E-2</v>
      </c>
      <c r="M800" s="482">
        <v>5.3999999999999999E-2</v>
      </c>
    </row>
    <row r="801" spans="1:13" x14ac:dyDescent="0.2">
      <c r="A801" t="s">
        <v>1490</v>
      </c>
      <c r="B801" t="s">
        <v>13</v>
      </c>
      <c r="C801" t="s">
        <v>87</v>
      </c>
      <c r="D801" t="s">
        <v>857</v>
      </c>
      <c r="E801" t="s">
        <v>858</v>
      </c>
      <c r="F801" t="s">
        <v>52</v>
      </c>
      <c r="G801">
        <v>259</v>
      </c>
      <c r="H801">
        <v>12</v>
      </c>
      <c r="I801">
        <v>17</v>
      </c>
      <c r="J801">
        <v>288</v>
      </c>
      <c r="K801" s="482">
        <v>0.89900000000000002</v>
      </c>
      <c r="L801" s="482">
        <v>4.2000000000000003E-2</v>
      </c>
      <c r="M801" s="482">
        <v>5.8999999999999997E-2</v>
      </c>
    </row>
    <row r="802" spans="1:13" x14ac:dyDescent="0.2">
      <c r="A802" t="s">
        <v>1491</v>
      </c>
      <c r="B802" t="s">
        <v>13</v>
      </c>
      <c r="C802" t="s">
        <v>87</v>
      </c>
      <c r="D802" t="s">
        <v>854</v>
      </c>
      <c r="E802" t="s">
        <v>855</v>
      </c>
      <c r="F802" t="s">
        <v>52</v>
      </c>
      <c r="G802">
        <v>550</v>
      </c>
      <c r="H802">
        <v>36</v>
      </c>
      <c r="I802">
        <v>29</v>
      </c>
      <c r="J802">
        <v>615</v>
      </c>
      <c r="K802" s="482">
        <v>0.89400000000000002</v>
      </c>
      <c r="L802" s="482">
        <v>5.8999999999999997E-2</v>
      </c>
      <c r="M802" s="482">
        <v>4.7E-2</v>
      </c>
    </row>
    <row r="803" spans="1:13" x14ac:dyDescent="0.2">
      <c r="A803" t="s">
        <v>1520</v>
      </c>
      <c r="B803" t="s">
        <v>13</v>
      </c>
      <c r="C803" t="s">
        <v>87</v>
      </c>
      <c r="D803" t="s">
        <v>767</v>
      </c>
      <c r="E803" t="s">
        <v>768</v>
      </c>
      <c r="F803" t="s">
        <v>52</v>
      </c>
      <c r="G803">
        <v>168</v>
      </c>
      <c r="H803">
        <v>17</v>
      </c>
      <c r="I803">
        <v>15</v>
      </c>
      <c r="J803">
        <v>200</v>
      </c>
      <c r="K803" s="482">
        <v>0.84</v>
      </c>
      <c r="L803" s="482">
        <v>8.5000000000000006E-2</v>
      </c>
      <c r="M803" s="482">
        <v>7.4999999999999997E-2</v>
      </c>
    </row>
    <row r="804" spans="1:13" x14ac:dyDescent="0.2">
      <c r="A804" t="s">
        <v>1521</v>
      </c>
      <c r="B804" t="s">
        <v>13</v>
      </c>
      <c r="C804" t="s">
        <v>87</v>
      </c>
      <c r="D804" t="s">
        <v>764</v>
      </c>
      <c r="E804" t="s">
        <v>765</v>
      </c>
      <c r="F804" t="s">
        <v>52</v>
      </c>
      <c r="G804">
        <v>101</v>
      </c>
      <c r="H804">
        <v>5</v>
      </c>
      <c r="I804">
        <v>12</v>
      </c>
      <c r="J804">
        <v>118</v>
      </c>
      <c r="K804" s="482">
        <v>0.85599999999999998</v>
      </c>
      <c r="L804" s="482">
        <v>4.2000000000000003E-2</v>
      </c>
      <c r="M804" s="482">
        <v>0.10199999999999999</v>
      </c>
    </row>
    <row r="805" spans="1:13" x14ac:dyDescent="0.2">
      <c r="A805" t="s">
        <v>1522</v>
      </c>
      <c r="B805" t="s">
        <v>13</v>
      </c>
      <c r="C805" t="s">
        <v>87</v>
      </c>
      <c r="D805" t="s">
        <v>761</v>
      </c>
      <c r="E805" t="s">
        <v>762</v>
      </c>
      <c r="F805" t="s">
        <v>52</v>
      </c>
      <c r="G805">
        <v>62</v>
      </c>
      <c r="H805">
        <v>4</v>
      </c>
      <c r="I805">
        <v>4</v>
      </c>
      <c r="J805">
        <v>70</v>
      </c>
      <c r="K805" s="482">
        <v>0.88600000000000001</v>
      </c>
      <c r="L805" s="482">
        <v>5.7000000000000002E-2</v>
      </c>
      <c r="M805" s="482">
        <v>5.7000000000000002E-2</v>
      </c>
    </row>
    <row r="806" spans="1:13" x14ac:dyDescent="0.2">
      <c r="A806" t="s">
        <v>1523</v>
      </c>
      <c r="B806" t="s">
        <v>13</v>
      </c>
      <c r="C806" t="s">
        <v>87</v>
      </c>
      <c r="D806" t="s">
        <v>758</v>
      </c>
      <c r="E806" t="s">
        <v>759</v>
      </c>
      <c r="F806" t="s">
        <v>52</v>
      </c>
      <c r="G806">
        <v>442</v>
      </c>
      <c r="H806">
        <v>30</v>
      </c>
      <c r="I806">
        <v>22</v>
      </c>
      <c r="J806">
        <v>494</v>
      </c>
      <c r="K806" s="482">
        <v>0.89500000000000002</v>
      </c>
      <c r="L806" s="482">
        <v>6.0999999999999999E-2</v>
      </c>
      <c r="M806" s="482">
        <v>4.4999999999999998E-2</v>
      </c>
    </row>
    <row r="807" spans="1:13" x14ac:dyDescent="0.2">
      <c r="A807" t="s">
        <v>1524</v>
      </c>
      <c r="B807" t="s">
        <v>13</v>
      </c>
      <c r="C807" t="s">
        <v>87</v>
      </c>
      <c r="D807" t="s">
        <v>755</v>
      </c>
      <c r="E807" t="s">
        <v>756</v>
      </c>
      <c r="F807" t="s">
        <v>52</v>
      </c>
      <c r="G807">
        <v>99</v>
      </c>
      <c r="H807">
        <v>4</v>
      </c>
      <c r="I807">
        <v>8</v>
      </c>
      <c r="J807">
        <v>111</v>
      </c>
      <c r="K807" s="482">
        <v>0.89200000000000002</v>
      </c>
      <c r="L807" s="482">
        <v>3.5999999999999997E-2</v>
      </c>
      <c r="M807" s="482">
        <v>7.1999999999999995E-2</v>
      </c>
    </row>
    <row r="808" spans="1:13" x14ac:dyDescent="0.2">
      <c r="A808" t="s">
        <v>1525</v>
      </c>
      <c r="B808" t="s">
        <v>13</v>
      </c>
      <c r="C808" t="s">
        <v>87</v>
      </c>
      <c r="D808" t="s">
        <v>752</v>
      </c>
      <c r="E808" t="s">
        <v>753</v>
      </c>
      <c r="F808" t="s">
        <v>52</v>
      </c>
      <c r="G808">
        <v>45</v>
      </c>
      <c r="H808">
        <v>1</v>
      </c>
      <c r="I808">
        <v>4</v>
      </c>
      <c r="J808">
        <v>50</v>
      </c>
      <c r="K808" s="482">
        <v>0.9</v>
      </c>
      <c r="L808" s="482">
        <v>0.02</v>
      </c>
      <c r="M808" s="482">
        <v>0.08</v>
      </c>
    </row>
    <row r="809" spans="1:13" x14ac:dyDescent="0.2">
      <c r="A809" t="s">
        <v>1640</v>
      </c>
      <c r="B809" t="s">
        <v>13</v>
      </c>
      <c r="C809" t="s">
        <v>87</v>
      </c>
      <c r="D809" t="s">
        <v>408</v>
      </c>
      <c r="E809" t="s">
        <v>409</v>
      </c>
      <c r="F809" t="s">
        <v>52</v>
      </c>
      <c r="G809">
        <v>154</v>
      </c>
      <c r="H809">
        <v>10</v>
      </c>
      <c r="I809">
        <v>12</v>
      </c>
      <c r="J809">
        <v>176</v>
      </c>
      <c r="K809" s="482">
        <v>0.875</v>
      </c>
      <c r="L809" s="482">
        <v>5.7000000000000002E-2</v>
      </c>
      <c r="M809" s="482">
        <v>6.8000000000000005E-2</v>
      </c>
    </row>
    <row r="810" spans="1:13" x14ac:dyDescent="0.2">
      <c r="A810" t="s">
        <v>1590</v>
      </c>
      <c r="B810" t="s">
        <v>13</v>
      </c>
      <c r="C810" t="s">
        <v>87</v>
      </c>
      <c r="D810" t="s">
        <v>560</v>
      </c>
      <c r="E810" t="s">
        <v>561</v>
      </c>
      <c r="F810" t="s">
        <v>52</v>
      </c>
      <c r="G810">
        <v>200</v>
      </c>
      <c r="H810">
        <v>20</v>
      </c>
      <c r="I810">
        <v>13</v>
      </c>
      <c r="J810">
        <v>233</v>
      </c>
      <c r="K810" s="482">
        <v>0.85799999999999998</v>
      </c>
      <c r="L810" s="482">
        <v>8.5999999999999993E-2</v>
      </c>
      <c r="M810" s="482">
        <v>5.6000000000000001E-2</v>
      </c>
    </row>
    <row r="811" spans="1:13" x14ac:dyDescent="0.2">
      <c r="A811" t="s">
        <v>1591</v>
      </c>
      <c r="B811" t="s">
        <v>13</v>
      </c>
      <c r="C811" t="s">
        <v>87</v>
      </c>
      <c r="D811" t="s">
        <v>557</v>
      </c>
      <c r="E811" t="s">
        <v>558</v>
      </c>
      <c r="F811" t="s">
        <v>52</v>
      </c>
      <c r="G811">
        <v>40</v>
      </c>
      <c r="H811">
        <v>2</v>
      </c>
      <c r="I811">
        <v>3</v>
      </c>
      <c r="J811">
        <v>45</v>
      </c>
      <c r="K811" s="482">
        <v>0.88900000000000001</v>
      </c>
      <c r="L811" s="482">
        <v>4.3999999999999997E-2</v>
      </c>
      <c r="M811" s="482">
        <v>6.7000000000000004E-2</v>
      </c>
    </row>
    <row r="812" spans="1:13" x14ac:dyDescent="0.2">
      <c r="A812" t="s">
        <v>1592</v>
      </c>
      <c r="B812" t="s">
        <v>13</v>
      </c>
      <c r="C812" t="s">
        <v>87</v>
      </c>
      <c r="D812" t="s">
        <v>554</v>
      </c>
      <c r="E812" t="s">
        <v>555</v>
      </c>
      <c r="F812" t="s">
        <v>52</v>
      </c>
      <c r="G812">
        <v>86</v>
      </c>
      <c r="H812">
        <v>13</v>
      </c>
      <c r="I812">
        <v>6</v>
      </c>
      <c r="J812">
        <v>105</v>
      </c>
      <c r="K812" s="482">
        <v>0.81899999999999995</v>
      </c>
      <c r="L812" s="482">
        <v>0.124</v>
      </c>
      <c r="M812" s="482">
        <v>5.7000000000000002E-2</v>
      </c>
    </row>
    <row r="813" spans="1:13" x14ac:dyDescent="0.2">
      <c r="A813" t="s">
        <v>1581</v>
      </c>
      <c r="B813" t="s">
        <v>13</v>
      </c>
      <c r="C813" t="s">
        <v>87</v>
      </c>
      <c r="D813" t="s">
        <v>586</v>
      </c>
      <c r="E813" t="s">
        <v>587</v>
      </c>
      <c r="F813" t="s">
        <v>52</v>
      </c>
      <c r="G813">
        <v>106</v>
      </c>
      <c r="H813">
        <v>2</v>
      </c>
      <c r="I813">
        <v>8</v>
      </c>
      <c r="J813">
        <v>116</v>
      </c>
      <c r="K813" s="482">
        <v>0.91400000000000003</v>
      </c>
      <c r="L813" s="482">
        <v>1.7000000000000001E-2</v>
      </c>
      <c r="M813" s="482">
        <v>6.9000000000000006E-2</v>
      </c>
    </row>
    <row r="814" spans="1:13" x14ac:dyDescent="0.2">
      <c r="A814" t="s">
        <v>1582</v>
      </c>
      <c r="B814" t="s">
        <v>13</v>
      </c>
      <c r="C814" t="s">
        <v>87</v>
      </c>
      <c r="D814" t="s">
        <v>583</v>
      </c>
      <c r="E814" t="s">
        <v>584</v>
      </c>
      <c r="F814" t="s">
        <v>52</v>
      </c>
      <c r="G814">
        <v>133</v>
      </c>
      <c r="H814">
        <v>5</v>
      </c>
      <c r="I814">
        <v>6</v>
      </c>
      <c r="J814">
        <v>144</v>
      </c>
      <c r="K814" s="482">
        <v>0.92400000000000004</v>
      </c>
      <c r="L814" s="482">
        <v>3.5000000000000003E-2</v>
      </c>
      <c r="M814" s="482">
        <v>4.2000000000000003E-2</v>
      </c>
    </row>
    <row r="815" spans="1:13" x14ac:dyDescent="0.2">
      <c r="A815" t="s">
        <v>1583</v>
      </c>
      <c r="B815" t="s">
        <v>13</v>
      </c>
      <c r="C815" t="s">
        <v>87</v>
      </c>
      <c r="D815" t="s">
        <v>580</v>
      </c>
      <c r="E815" t="s">
        <v>581</v>
      </c>
      <c r="F815" t="s">
        <v>52</v>
      </c>
      <c r="G815">
        <v>138</v>
      </c>
      <c r="H815">
        <v>9</v>
      </c>
      <c r="I815">
        <v>12</v>
      </c>
      <c r="J815">
        <v>159</v>
      </c>
      <c r="K815" s="482">
        <v>0.86799999999999999</v>
      </c>
      <c r="L815" s="482">
        <v>5.7000000000000002E-2</v>
      </c>
      <c r="M815" s="482">
        <v>7.4999999999999997E-2</v>
      </c>
    </row>
    <row r="816" spans="1:13" x14ac:dyDescent="0.2">
      <c r="A816" t="s">
        <v>1584</v>
      </c>
      <c r="B816" t="s">
        <v>13</v>
      </c>
      <c r="C816" t="s">
        <v>87</v>
      </c>
      <c r="D816" t="s">
        <v>577</v>
      </c>
      <c r="E816" t="s">
        <v>578</v>
      </c>
      <c r="F816" t="s">
        <v>52</v>
      </c>
      <c r="G816">
        <v>60</v>
      </c>
      <c r="H816">
        <v>5</v>
      </c>
      <c r="I816">
        <v>4</v>
      </c>
      <c r="J816">
        <v>69</v>
      </c>
      <c r="K816" s="482">
        <v>0.87</v>
      </c>
      <c r="L816" s="482">
        <v>7.1999999999999995E-2</v>
      </c>
      <c r="M816" s="482">
        <v>5.8000000000000003E-2</v>
      </c>
    </row>
    <row r="817" spans="1:13" x14ac:dyDescent="0.2">
      <c r="A817" t="s">
        <v>1585</v>
      </c>
      <c r="B817" t="s">
        <v>13</v>
      </c>
      <c r="C817" t="s">
        <v>87</v>
      </c>
      <c r="D817" t="s">
        <v>574</v>
      </c>
      <c r="E817" t="s">
        <v>575</v>
      </c>
      <c r="F817" t="s">
        <v>52</v>
      </c>
      <c r="G817">
        <v>30</v>
      </c>
      <c r="H817">
        <v>2</v>
      </c>
      <c r="I817">
        <v>2</v>
      </c>
      <c r="J817">
        <v>34</v>
      </c>
      <c r="K817" s="482">
        <v>0.88200000000000001</v>
      </c>
      <c r="L817" s="482">
        <v>5.8999999999999997E-2</v>
      </c>
      <c r="M817" s="482">
        <v>5.8999999999999997E-2</v>
      </c>
    </row>
    <row r="818" spans="1:13" x14ac:dyDescent="0.2">
      <c r="A818" t="s">
        <v>1586</v>
      </c>
      <c r="B818" t="s">
        <v>13</v>
      </c>
      <c r="C818" t="s">
        <v>87</v>
      </c>
      <c r="D818" t="s">
        <v>571</v>
      </c>
      <c r="E818" t="s">
        <v>572</v>
      </c>
      <c r="F818" t="s">
        <v>52</v>
      </c>
      <c r="G818">
        <v>115</v>
      </c>
      <c r="H818">
        <v>5</v>
      </c>
      <c r="I818">
        <v>7</v>
      </c>
      <c r="J818">
        <v>127</v>
      </c>
      <c r="K818" s="482">
        <v>0.90600000000000003</v>
      </c>
      <c r="L818" s="482">
        <v>3.9E-2</v>
      </c>
      <c r="M818" s="482">
        <v>5.5E-2</v>
      </c>
    </row>
    <row r="819" spans="1:13" x14ac:dyDescent="0.2">
      <c r="A819" t="s">
        <v>1587</v>
      </c>
      <c r="B819" t="s">
        <v>13</v>
      </c>
      <c r="C819" t="s">
        <v>87</v>
      </c>
      <c r="D819" t="s">
        <v>569</v>
      </c>
      <c r="E819" t="s">
        <v>339</v>
      </c>
      <c r="F819" t="s">
        <v>52</v>
      </c>
      <c r="G819">
        <v>70</v>
      </c>
      <c r="H819">
        <v>4</v>
      </c>
      <c r="I819">
        <v>4</v>
      </c>
      <c r="J819">
        <v>78</v>
      </c>
      <c r="K819" s="482">
        <v>0.89700000000000002</v>
      </c>
      <c r="L819" s="482">
        <v>5.0999999999999997E-2</v>
      </c>
      <c r="M819" s="482">
        <v>5.0999999999999997E-2</v>
      </c>
    </row>
    <row r="820" spans="1:13" x14ac:dyDescent="0.2">
      <c r="A820" t="s">
        <v>1644</v>
      </c>
      <c r="B820" t="s">
        <v>13</v>
      </c>
      <c r="C820" t="s">
        <v>87</v>
      </c>
      <c r="D820" t="s">
        <v>396</v>
      </c>
      <c r="E820" t="s">
        <v>397</v>
      </c>
      <c r="F820" t="s">
        <v>52</v>
      </c>
      <c r="G820">
        <v>140</v>
      </c>
      <c r="H820">
        <v>2</v>
      </c>
      <c r="I820">
        <v>10</v>
      </c>
      <c r="J820">
        <v>152</v>
      </c>
      <c r="K820" s="482">
        <v>0.92100000000000004</v>
      </c>
      <c r="L820" s="482">
        <v>1.2999999999999999E-2</v>
      </c>
      <c r="M820" s="482">
        <v>6.6000000000000003E-2</v>
      </c>
    </row>
    <row r="821" spans="1:13" x14ac:dyDescent="0.2">
      <c r="A821" t="s">
        <v>1593</v>
      </c>
      <c r="B821" t="s">
        <v>13</v>
      </c>
      <c r="C821" t="s">
        <v>87</v>
      </c>
      <c r="D821" t="s">
        <v>552</v>
      </c>
      <c r="E821" t="s">
        <v>337</v>
      </c>
      <c r="F821" t="s">
        <v>52</v>
      </c>
      <c r="G821">
        <v>106</v>
      </c>
      <c r="H821">
        <v>13</v>
      </c>
      <c r="I821">
        <v>8</v>
      </c>
      <c r="J821">
        <v>127</v>
      </c>
      <c r="K821" s="482">
        <v>0.83499999999999996</v>
      </c>
      <c r="L821" s="482">
        <v>0.10199999999999999</v>
      </c>
      <c r="M821" s="482">
        <v>6.3E-2</v>
      </c>
    </row>
    <row r="822" spans="1:13" x14ac:dyDescent="0.2">
      <c r="A822" t="s">
        <v>1594</v>
      </c>
      <c r="B822" t="s">
        <v>13</v>
      </c>
      <c r="C822" t="s">
        <v>87</v>
      </c>
      <c r="D822" t="s">
        <v>549</v>
      </c>
      <c r="E822" t="s">
        <v>550</v>
      </c>
      <c r="F822" t="s">
        <v>52</v>
      </c>
      <c r="G822">
        <v>105</v>
      </c>
      <c r="H822">
        <v>11</v>
      </c>
      <c r="I822">
        <v>7</v>
      </c>
      <c r="J822">
        <v>123</v>
      </c>
      <c r="K822" s="482">
        <v>0.85399999999999998</v>
      </c>
      <c r="L822" s="482">
        <v>8.8999999999999996E-2</v>
      </c>
      <c r="M822" s="482">
        <v>5.7000000000000002E-2</v>
      </c>
    </row>
    <row r="823" spans="1:13" x14ac:dyDescent="0.2">
      <c r="A823" t="s">
        <v>1595</v>
      </c>
      <c r="B823" t="s">
        <v>13</v>
      </c>
      <c r="C823" t="s">
        <v>87</v>
      </c>
      <c r="D823" t="s">
        <v>546</v>
      </c>
      <c r="E823" t="s">
        <v>547</v>
      </c>
      <c r="F823" t="s">
        <v>52</v>
      </c>
      <c r="G823">
        <v>38</v>
      </c>
      <c r="H823">
        <v>1</v>
      </c>
      <c r="I823">
        <v>3</v>
      </c>
      <c r="J823">
        <v>42</v>
      </c>
      <c r="K823" s="482">
        <v>0.90500000000000003</v>
      </c>
      <c r="L823" s="482">
        <v>2.4E-2</v>
      </c>
      <c r="M823" s="482">
        <v>7.0999999999999994E-2</v>
      </c>
    </row>
    <row r="824" spans="1:13" x14ac:dyDescent="0.2">
      <c r="A824" t="s">
        <v>1596</v>
      </c>
      <c r="B824" t="s">
        <v>13</v>
      </c>
      <c r="C824" t="s">
        <v>87</v>
      </c>
      <c r="D824" t="s">
        <v>543</v>
      </c>
      <c r="E824" t="s">
        <v>544</v>
      </c>
      <c r="F824" t="s">
        <v>52</v>
      </c>
      <c r="G824">
        <v>67</v>
      </c>
      <c r="H824">
        <v>5</v>
      </c>
      <c r="I824">
        <v>7</v>
      </c>
      <c r="J824">
        <v>79</v>
      </c>
      <c r="K824" s="482">
        <v>0.84799999999999998</v>
      </c>
      <c r="L824" s="482">
        <v>6.3E-2</v>
      </c>
      <c r="M824" s="482">
        <v>8.8999999999999996E-2</v>
      </c>
    </row>
    <row r="825" spans="1:13" x14ac:dyDescent="0.2">
      <c r="A825" t="s">
        <v>1597</v>
      </c>
      <c r="B825" t="s">
        <v>13</v>
      </c>
      <c r="C825" t="s">
        <v>87</v>
      </c>
      <c r="D825" t="s">
        <v>540</v>
      </c>
      <c r="E825" t="s">
        <v>541</v>
      </c>
      <c r="F825" t="s">
        <v>52</v>
      </c>
      <c r="G825">
        <v>73</v>
      </c>
      <c r="H825">
        <v>3</v>
      </c>
      <c r="I825">
        <v>3</v>
      </c>
      <c r="J825">
        <v>79</v>
      </c>
      <c r="K825" s="482">
        <v>0.92400000000000004</v>
      </c>
      <c r="L825" s="482">
        <v>3.7999999999999999E-2</v>
      </c>
      <c r="M825" s="482">
        <v>3.7999999999999999E-2</v>
      </c>
    </row>
    <row r="826" spans="1:13" x14ac:dyDescent="0.2">
      <c r="A826" t="s">
        <v>1598</v>
      </c>
      <c r="B826" t="s">
        <v>13</v>
      </c>
      <c r="C826" t="s">
        <v>87</v>
      </c>
      <c r="D826" t="s">
        <v>537</v>
      </c>
      <c r="E826" t="s">
        <v>538</v>
      </c>
      <c r="F826" t="s">
        <v>52</v>
      </c>
      <c r="G826">
        <v>655</v>
      </c>
      <c r="H826">
        <v>50</v>
      </c>
      <c r="I826">
        <v>36</v>
      </c>
      <c r="J826">
        <v>741</v>
      </c>
      <c r="K826" s="482">
        <v>0.88400000000000001</v>
      </c>
      <c r="L826" s="482">
        <v>6.7000000000000004E-2</v>
      </c>
      <c r="M826" s="482">
        <v>4.9000000000000002E-2</v>
      </c>
    </row>
    <row r="827" spans="1:13" x14ac:dyDescent="0.2">
      <c r="A827" t="s">
        <v>1599</v>
      </c>
      <c r="B827" t="s">
        <v>13</v>
      </c>
      <c r="C827" t="s">
        <v>87</v>
      </c>
      <c r="D827" t="s">
        <v>534</v>
      </c>
      <c r="E827" t="s">
        <v>535</v>
      </c>
      <c r="F827" t="s">
        <v>52</v>
      </c>
      <c r="G827">
        <v>27</v>
      </c>
      <c r="H827">
        <v>2</v>
      </c>
      <c r="I827">
        <v>3</v>
      </c>
      <c r="J827">
        <v>32</v>
      </c>
      <c r="K827" s="482">
        <v>0.84399999999999997</v>
      </c>
      <c r="L827" s="482">
        <v>6.3E-2</v>
      </c>
      <c r="M827" s="482">
        <v>9.4E-2</v>
      </c>
    </row>
    <row r="828" spans="1:13" x14ac:dyDescent="0.2">
      <c r="A828" t="s">
        <v>1600</v>
      </c>
      <c r="B828" t="s">
        <v>13</v>
      </c>
      <c r="C828" t="s">
        <v>87</v>
      </c>
      <c r="D828" t="s">
        <v>531</v>
      </c>
      <c r="E828" t="s">
        <v>532</v>
      </c>
      <c r="F828" t="s">
        <v>52</v>
      </c>
      <c r="G828">
        <v>82</v>
      </c>
      <c r="H828">
        <v>7</v>
      </c>
      <c r="I828">
        <v>6</v>
      </c>
      <c r="J828">
        <v>95</v>
      </c>
      <c r="K828" s="482">
        <v>0.86299999999999999</v>
      </c>
      <c r="L828" s="482">
        <v>7.3999999999999996E-2</v>
      </c>
      <c r="M828" s="482">
        <v>6.3E-2</v>
      </c>
    </row>
    <row r="829" spans="1:13" x14ac:dyDescent="0.2">
      <c r="A829" t="s">
        <v>1601</v>
      </c>
      <c r="B829" t="s">
        <v>13</v>
      </c>
      <c r="C829" t="s">
        <v>87</v>
      </c>
      <c r="D829" t="s">
        <v>528</v>
      </c>
      <c r="E829" t="s">
        <v>529</v>
      </c>
      <c r="F829" t="s">
        <v>52</v>
      </c>
      <c r="G829">
        <v>237</v>
      </c>
      <c r="H829">
        <v>9</v>
      </c>
      <c r="I829">
        <v>16</v>
      </c>
      <c r="J829">
        <v>262</v>
      </c>
      <c r="K829" s="482">
        <v>0.90500000000000003</v>
      </c>
      <c r="L829" s="482">
        <v>3.4000000000000002E-2</v>
      </c>
      <c r="M829" s="482">
        <v>6.0999999999999999E-2</v>
      </c>
    </row>
    <row r="830" spans="1:13" x14ac:dyDescent="0.2">
      <c r="A830" t="s">
        <v>1602</v>
      </c>
      <c r="B830" t="s">
        <v>13</v>
      </c>
      <c r="C830" t="s">
        <v>87</v>
      </c>
      <c r="D830" t="s">
        <v>525</v>
      </c>
      <c r="E830" t="s">
        <v>526</v>
      </c>
      <c r="F830" t="s">
        <v>52</v>
      </c>
      <c r="G830">
        <v>143</v>
      </c>
      <c r="H830">
        <v>16</v>
      </c>
      <c r="I830">
        <v>18</v>
      </c>
      <c r="J830">
        <v>177</v>
      </c>
      <c r="K830" s="482">
        <v>0.80800000000000005</v>
      </c>
      <c r="L830" s="482">
        <v>0.09</v>
      </c>
      <c r="M830" s="482">
        <v>0.10199999999999999</v>
      </c>
    </row>
    <row r="831" spans="1:13" x14ac:dyDescent="0.2">
      <c r="A831" t="s">
        <v>1603</v>
      </c>
      <c r="B831" t="s">
        <v>13</v>
      </c>
      <c r="C831" t="s">
        <v>87</v>
      </c>
      <c r="D831" t="s">
        <v>522</v>
      </c>
      <c r="E831" t="s">
        <v>523</v>
      </c>
      <c r="F831" t="s">
        <v>52</v>
      </c>
      <c r="G831">
        <v>52</v>
      </c>
      <c r="H831">
        <v>5</v>
      </c>
      <c r="I831">
        <v>4</v>
      </c>
      <c r="J831">
        <v>61</v>
      </c>
      <c r="K831" s="482">
        <v>0.85199999999999998</v>
      </c>
      <c r="L831" s="482">
        <v>8.2000000000000003E-2</v>
      </c>
      <c r="M831" s="482">
        <v>6.6000000000000003E-2</v>
      </c>
    </row>
    <row r="832" spans="1:13" x14ac:dyDescent="0.2">
      <c r="A832" t="s">
        <v>1604</v>
      </c>
      <c r="B832" t="s">
        <v>13</v>
      </c>
      <c r="C832" t="s">
        <v>87</v>
      </c>
      <c r="D832" t="s">
        <v>519</v>
      </c>
      <c r="E832" t="s">
        <v>520</v>
      </c>
      <c r="F832" t="s">
        <v>52</v>
      </c>
      <c r="G832">
        <v>139</v>
      </c>
      <c r="H832">
        <v>18</v>
      </c>
      <c r="I832">
        <v>15</v>
      </c>
      <c r="J832">
        <v>172</v>
      </c>
      <c r="K832" s="482">
        <v>0.80800000000000005</v>
      </c>
      <c r="L832" s="482">
        <v>0.105</v>
      </c>
      <c r="M832" s="482">
        <v>8.6999999999999994E-2</v>
      </c>
    </row>
    <row r="833" spans="1:13" x14ac:dyDescent="0.2">
      <c r="A833" t="s">
        <v>1605</v>
      </c>
      <c r="B833" t="s">
        <v>13</v>
      </c>
      <c r="C833" t="s">
        <v>87</v>
      </c>
      <c r="D833" t="s">
        <v>516</v>
      </c>
      <c r="E833" t="s">
        <v>517</v>
      </c>
      <c r="F833" t="s">
        <v>52</v>
      </c>
      <c r="G833">
        <v>100</v>
      </c>
      <c r="H833">
        <v>7</v>
      </c>
      <c r="I833">
        <v>7</v>
      </c>
      <c r="J833">
        <v>114</v>
      </c>
      <c r="K833" s="482">
        <v>0.877</v>
      </c>
      <c r="L833" s="482">
        <v>6.0999999999999999E-2</v>
      </c>
      <c r="M833" s="482">
        <v>6.0999999999999999E-2</v>
      </c>
    </row>
    <row r="834" spans="1:13" x14ac:dyDescent="0.2">
      <c r="A834" t="s">
        <v>1606</v>
      </c>
      <c r="B834" t="s">
        <v>13</v>
      </c>
      <c r="C834" t="s">
        <v>87</v>
      </c>
      <c r="D834" t="s">
        <v>513</v>
      </c>
      <c r="E834" t="s">
        <v>514</v>
      </c>
      <c r="F834" t="s">
        <v>52</v>
      </c>
      <c r="G834">
        <v>170</v>
      </c>
      <c r="H834">
        <v>15</v>
      </c>
      <c r="I834">
        <v>19</v>
      </c>
      <c r="J834">
        <v>204</v>
      </c>
      <c r="K834" s="482">
        <v>0.83299999999999996</v>
      </c>
      <c r="L834" s="482">
        <v>7.3999999999999996E-2</v>
      </c>
      <c r="M834" s="482">
        <v>9.2999999999999999E-2</v>
      </c>
    </row>
    <row r="835" spans="1:13" x14ac:dyDescent="0.2">
      <c r="A835" t="s">
        <v>1607</v>
      </c>
      <c r="B835" t="s">
        <v>13</v>
      </c>
      <c r="C835" t="s">
        <v>87</v>
      </c>
      <c r="D835" t="s">
        <v>510</v>
      </c>
      <c r="E835" t="s">
        <v>511</v>
      </c>
      <c r="F835" t="s">
        <v>52</v>
      </c>
      <c r="G835">
        <v>57</v>
      </c>
      <c r="H835">
        <v>7</v>
      </c>
      <c r="I835">
        <v>7</v>
      </c>
      <c r="J835">
        <v>71</v>
      </c>
      <c r="K835" s="482">
        <v>0.80300000000000005</v>
      </c>
      <c r="L835" s="482">
        <v>9.9000000000000005E-2</v>
      </c>
      <c r="M835" s="482">
        <v>9.9000000000000005E-2</v>
      </c>
    </row>
    <row r="836" spans="1:13" x14ac:dyDescent="0.2">
      <c r="A836" t="s">
        <v>1608</v>
      </c>
      <c r="B836" t="s">
        <v>13</v>
      </c>
      <c r="C836" t="s">
        <v>87</v>
      </c>
      <c r="D836" t="s">
        <v>507</v>
      </c>
      <c r="E836" t="s">
        <v>508</v>
      </c>
      <c r="F836" t="s">
        <v>52</v>
      </c>
      <c r="G836">
        <v>264</v>
      </c>
      <c r="H836">
        <v>19</v>
      </c>
      <c r="I836">
        <v>22</v>
      </c>
      <c r="J836">
        <v>305</v>
      </c>
      <c r="K836" s="482">
        <v>0.86599999999999999</v>
      </c>
      <c r="L836" s="482">
        <v>6.2E-2</v>
      </c>
      <c r="M836" s="482">
        <v>7.1999999999999995E-2</v>
      </c>
    </row>
    <row r="837" spans="1:13" x14ac:dyDescent="0.2">
      <c r="A837" t="s">
        <v>1609</v>
      </c>
      <c r="B837" t="s">
        <v>13</v>
      </c>
      <c r="C837" t="s">
        <v>87</v>
      </c>
      <c r="D837" t="s">
        <v>504</v>
      </c>
      <c r="E837" t="s">
        <v>505</v>
      </c>
      <c r="F837" t="s">
        <v>52</v>
      </c>
      <c r="G837">
        <v>152</v>
      </c>
      <c r="H837">
        <v>9</v>
      </c>
      <c r="I837">
        <v>2</v>
      </c>
      <c r="J837">
        <v>163</v>
      </c>
      <c r="K837" s="482">
        <v>0.93300000000000005</v>
      </c>
      <c r="L837" s="482">
        <v>5.5E-2</v>
      </c>
      <c r="M837" s="482">
        <v>1.2E-2</v>
      </c>
    </row>
    <row r="838" spans="1:13" x14ac:dyDescent="0.2">
      <c r="A838" t="s">
        <v>1610</v>
      </c>
      <c r="B838" t="s">
        <v>13</v>
      </c>
      <c r="C838" t="s">
        <v>87</v>
      </c>
      <c r="D838" t="s">
        <v>501</v>
      </c>
      <c r="E838" t="s">
        <v>502</v>
      </c>
      <c r="F838" t="s">
        <v>52</v>
      </c>
      <c r="G838">
        <v>90</v>
      </c>
      <c r="H838">
        <v>9</v>
      </c>
      <c r="I838">
        <v>6</v>
      </c>
      <c r="J838">
        <v>105</v>
      </c>
      <c r="K838" s="482">
        <v>0.85699999999999998</v>
      </c>
      <c r="L838" s="482">
        <v>8.5999999999999993E-2</v>
      </c>
      <c r="M838" s="482">
        <v>5.7000000000000002E-2</v>
      </c>
    </row>
    <row r="839" spans="1:13" x14ac:dyDescent="0.2">
      <c r="A839" t="s">
        <v>1611</v>
      </c>
      <c r="B839" t="s">
        <v>13</v>
      </c>
      <c r="C839" t="s">
        <v>87</v>
      </c>
      <c r="D839" t="s">
        <v>498</v>
      </c>
      <c r="E839" t="s">
        <v>499</v>
      </c>
      <c r="F839" t="s">
        <v>52</v>
      </c>
      <c r="G839">
        <v>185</v>
      </c>
      <c r="H839">
        <v>20</v>
      </c>
      <c r="I839">
        <v>9</v>
      </c>
      <c r="J839">
        <v>214</v>
      </c>
      <c r="K839" s="482">
        <v>0.86399999999999999</v>
      </c>
      <c r="L839" s="482">
        <v>9.2999999999999999E-2</v>
      </c>
      <c r="M839" s="482">
        <v>4.2000000000000003E-2</v>
      </c>
    </row>
    <row r="840" spans="1:13" x14ac:dyDescent="0.2">
      <c r="A840" t="s">
        <v>1643</v>
      </c>
      <c r="B840" t="s">
        <v>13</v>
      </c>
      <c r="C840" t="s">
        <v>87</v>
      </c>
      <c r="D840" t="s">
        <v>399</v>
      </c>
      <c r="E840" t="s">
        <v>400</v>
      </c>
      <c r="F840" t="s">
        <v>52</v>
      </c>
      <c r="G840">
        <v>176</v>
      </c>
      <c r="H840">
        <v>6</v>
      </c>
      <c r="I840">
        <v>14</v>
      </c>
      <c r="J840">
        <v>196</v>
      </c>
      <c r="K840" s="482">
        <v>0.89800000000000002</v>
      </c>
      <c r="L840" s="482">
        <v>3.1E-2</v>
      </c>
      <c r="M840" s="482">
        <v>7.0999999999999994E-2</v>
      </c>
    </row>
    <row r="841" spans="1:13" x14ac:dyDescent="0.2">
      <c r="A841" t="s">
        <v>1622</v>
      </c>
      <c r="B841" t="s">
        <v>13</v>
      </c>
      <c r="C841" t="s">
        <v>87</v>
      </c>
      <c r="D841" t="s">
        <v>462</v>
      </c>
      <c r="E841" t="s">
        <v>463</v>
      </c>
      <c r="F841" t="s">
        <v>52</v>
      </c>
      <c r="G841">
        <v>201</v>
      </c>
      <c r="H841">
        <v>10</v>
      </c>
      <c r="I841">
        <v>10</v>
      </c>
      <c r="J841">
        <v>221</v>
      </c>
      <c r="K841" s="482">
        <v>0.91</v>
      </c>
      <c r="L841" s="482">
        <v>4.4999999999999998E-2</v>
      </c>
      <c r="M841" s="482">
        <v>4.4999999999999998E-2</v>
      </c>
    </row>
    <row r="842" spans="1:13" x14ac:dyDescent="0.2">
      <c r="A842" t="s">
        <v>1623</v>
      </c>
      <c r="B842" t="s">
        <v>13</v>
      </c>
      <c r="C842" t="s">
        <v>87</v>
      </c>
      <c r="D842" t="s">
        <v>459</v>
      </c>
      <c r="E842" t="s">
        <v>460</v>
      </c>
      <c r="F842" t="s">
        <v>52</v>
      </c>
      <c r="G842">
        <v>153</v>
      </c>
      <c r="H842">
        <v>9</v>
      </c>
      <c r="I842">
        <v>9</v>
      </c>
      <c r="J842">
        <v>171</v>
      </c>
      <c r="K842" s="482">
        <v>0.89500000000000002</v>
      </c>
      <c r="L842" s="482">
        <v>5.2999999999999999E-2</v>
      </c>
      <c r="M842" s="482">
        <v>5.2999999999999999E-2</v>
      </c>
    </row>
    <row r="843" spans="1:13" x14ac:dyDescent="0.2">
      <c r="A843" t="s">
        <v>1624</v>
      </c>
      <c r="B843" t="s">
        <v>13</v>
      </c>
      <c r="C843" t="s">
        <v>87</v>
      </c>
      <c r="D843" t="s">
        <v>456</v>
      </c>
      <c r="E843" t="s">
        <v>457</v>
      </c>
      <c r="F843" t="s">
        <v>52</v>
      </c>
      <c r="G843">
        <v>23</v>
      </c>
      <c r="H843">
        <v>2</v>
      </c>
      <c r="I843">
        <v>0</v>
      </c>
      <c r="J843">
        <v>25</v>
      </c>
      <c r="K843" s="482">
        <v>0.92</v>
      </c>
      <c r="L843" s="482">
        <v>0.08</v>
      </c>
      <c r="M843" s="482">
        <v>0</v>
      </c>
    </row>
    <row r="844" spans="1:13" x14ac:dyDescent="0.2">
      <c r="A844" t="s">
        <v>1625</v>
      </c>
      <c r="B844" t="s">
        <v>13</v>
      </c>
      <c r="C844" t="s">
        <v>87</v>
      </c>
      <c r="D844" t="s">
        <v>453</v>
      </c>
      <c r="E844" t="s">
        <v>454</v>
      </c>
      <c r="F844" t="s">
        <v>52</v>
      </c>
      <c r="G844">
        <v>233</v>
      </c>
      <c r="H844">
        <v>18</v>
      </c>
      <c r="I844">
        <v>10</v>
      </c>
      <c r="J844">
        <v>261</v>
      </c>
      <c r="K844" s="482">
        <v>0.89300000000000002</v>
      </c>
      <c r="L844" s="482">
        <v>6.9000000000000006E-2</v>
      </c>
      <c r="M844" s="482">
        <v>3.7999999999999999E-2</v>
      </c>
    </row>
    <row r="845" spans="1:13" x14ac:dyDescent="0.2">
      <c r="A845" t="s">
        <v>1626</v>
      </c>
      <c r="B845" t="s">
        <v>13</v>
      </c>
      <c r="C845" t="s">
        <v>87</v>
      </c>
      <c r="D845" t="s">
        <v>450</v>
      </c>
      <c r="E845" t="s">
        <v>451</v>
      </c>
      <c r="F845" t="s">
        <v>52</v>
      </c>
      <c r="G845">
        <v>49</v>
      </c>
      <c r="H845">
        <v>4</v>
      </c>
      <c r="I845">
        <v>3</v>
      </c>
      <c r="J845">
        <v>56</v>
      </c>
      <c r="K845" s="482">
        <v>0.875</v>
      </c>
      <c r="L845" s="482">
        <v>7.0999999999999994E-2</v>
      </c>
      <c r="M845" s="482">
        <v>5.3999999999999999E-2</v>
      </c>
    </row>
    <row r="846" spans="1:13" x14ac:dyDescent="0.2">
      <c r="A846" t="s">
        <v>1627</v>
      </c>
      <c r="B846" t="s">
        <v>13</v>
      </c>
      <c r="C846" t="s">
        <v>87</v>
      </c>
      <c r="D846" t="s">
        <v>447</v>
      </c>
      <c r="E846" t="s">
        <v>448</v>
      </c>
      <c r="F846" t="s">
        <v>52</v>
      </c>
      <c r="G846">
        <v>280</v>
      </c>
      <c r="H846">
        <v>13</v>
      </c>
      <c r="I846">
        <v>14</v>
      </c>
      <c r="J846">
        <v>307</v>
      </c>
      <c r="K846" s="482">
        <v>0.91200000000000003</v>
      </c>
      <c r="L846" s="482">
        <v>4.2000000000000003E-2</v>
      </c>
      <c r="M846" s="482">
        <v>4.5999999999999999E-2</v>
      </c>
    </row>
    <row r="847" spans="1:13" x14ac:dyDescent="0.2">
      <c r="A847" t="s">
        <v>1628</v>
      </c>
      <c r="B847" t="s">
        <v>13</v>
      </c>
      <c r="C847" t="s">
        <v>87</v>
      </c>
      <c r="D847" t="s">
        <v>444</v>
      </c>
      <c r="E847" t="s">
        <v>445</v>
      </c>
      <c r="F847" t="s">
        <v>52</v>
      </c>
      <c r="G847">
        <v>384</v>
      </c>
      <c r="H847">
        <v>27</v>
      </c>
      <c r="I847">
        <v>25</v>
      </c>
      <c r="J847">
        <v>436</v>
      </c>
      <c r="K847" s="482">
        <v>0.88100000000000001</v>
      </c>
      <c r="L847" s="482">
        <v>6.2E-2</v>
      </c>
      <c r="M847" s="482">
        <v>5.7000000000000002E-2</v>
      </c>
    </row>
    <row r="848" spans="1:13" x14ac:dyDescent="0.2">
      <c r="A848" t="s">
        <v>1641</v>
      </c>
      <c r="B848" t="s">
        <v>13</v>
      </c>
      <c r="C848" t="s">
        <v>87</v>
      </c>
      <c r="D848" t="s">
        <v>405</v>
      </c>
      <c r="E848" t="s">
        <v>406</v>
      </c>
      <c r="F848" t="s">
        <v>52</v>
      </c>
      <c r="G848">
        <v>172</v>
      </c>
      <c r="H848">
        <v>14</v>
      </c>
      <c r="I848">
        <v>15</v>
      </c>
      <c r="J848">
        <v>201</v>
      </c>
      <c r="K848" s="482">
        <v>0.85599999999999998</v>
      </c>
      <c r="L848" s="482">
        <v>7.0000000000000007E-2</v>
      </c>
      <c r="M848" s="482">
        <v>7.4999999999999997E-2</v>
      </c>
    </row>
    <row r="849" spans="1:13" x14ac:dyDescent="0.2">
      <c r="A849" t="s">
        <v>1642</v>
      </c>
      <c r="B849" t="s">
        <v>13</v>
      </c>
      <c r="C849" t="s">
        <v>87</v>
      </c>
      <c r="D849" t="s">
        <v>402</v>
      </c>
      <c r="E849" t="s">
        <v>403</v>
      </c>
      <c r="F849" t="s">
        <v>52</v>
      </c>
      <c r="G849">
        <v>200</v>
      </c>
      <c r="H849">
        <v>8</v>
      </c>
      <c r="I849">
        <v>8</v>
      </c>
      <c r="J849">
        <v>216</v>
      </c>
      <c r="K849" s="482">
        <v>0.92600000000000005</v>
      </c>
      <c r="L849" s="482">
        <v>3.6999999999999998E-2</v>
      </c>
      <c r="M849" s="482">
        <v>3.6999999999999998E-2</v>
      </c>
    </row>
    <row r="850" spans="1:13" x14ac:dyDescent="0.2">
      <c r="A850" t="s">
        <v>1630</v>
      </c>
      <c r="B850" t="s">
        <v>13</v>
      </c>
      <c r="C850" t="s">
        <v>87</v>
      </c>
      <c r="D850" t="s">
        <v>438</v>
      </c>
      <c r="E850" t="s">
        <v>439</v>
      </c>
      <c r="F850" t="s">
        <v>52</v>
      </c>
      <c r="G850">
        <v>89</v>
      </c>
      <c r="H850">
        <v>7</v>
      </c>
      <c r="I850">
        <v>4</v>
      </c>
      <c r="J850">
        <v>100</v>
      </c>
      <c r="K850" s="482">
        <v>0.89</v>
      </c>
      <c r="L850" s="482">
        <v>7.0000000000000007E-2</v>
      </c>
      <c r="M850" s="482">
        <v>0.04</v>
      </c>
    </row>
    <row r="851" spans="1:13" x14ac:dyDescent="0.2">
      <c r="A851" t="s">
        <v>1629</v>
      </c>
      <c r="B851" t="s">
        <v>13</v>
      </c>
      <c r="C851" t="s">
        <v>87</v>
      </c>
      <c r="D851" t="s">
        <v>441</v>
      </c>
      <c r="E851" t="s">
        <v>442</v>
      </c>
      <c r="F851" t="s">
        <v>52</v>
      </c>
      <c r="G851">
        <v>99</v>
      </c>
      <c r="H851">
        <v>6</v>
      </c>
      <c r="I851">
        <v>9</v>
      </c>
      <c r="J851">
        <v>114</v>
      </c>
      <c r="K851" s="482">
        <v>0.86799999999999999</v>
      </c>
      <c r="L851" s="482">
        <v>5.2999999999999999E-2</v>
      </c>
      <c r="M851" s="482">
        <v>7.9000000000000001E-2</v>
      </c>
    </row>
    <row r="852" spans="1:13" x14ac:dyDescent="0.2">
      <c r="A852" t="s">
        <v>1615</v>
      </c>
      <c r="B852" t="s">
        <v>13</v>
      </c>
      <c r="C852" t="s">
        <v>87</v>
      </c>
      <c r="D852" t="s">
        <v>483</v>
      </c>
      <c r="E852" t="s">
        <v>484</v>
      </c>
      <c r="F852" t="s">
        <v>52</v>
      </c>
      <c r="G852">
        <v>67</v>
      </c>
      <c r="H852">
        <v>2</v>
      </c>
      <c r="I852">
        <v>1</v>
      </c>
      <c r="J852">
        <v>70</v>
      </c>
      <c r="K852" s="482">
        <v>0.95699999999999996</v>
      </c>
      <c r="L852" s="482">
        <v>2.9000000000000001E-2</v>
      </c>
      <c r="M852" s="482">
        <v>1.4E-2</v>
      </c>
    </row>
    <row r="853" spans="1:13" x14ac:dyDescent="0.2">
      <c r="A853" t="s">
        <v>1618</v>
      </c>
      <c r="B853" t="s">
        <v>13</v>
      </c>
      <c r="C853" t="s">
        <v>87</v>
      </c>
      <c r="D853" t="s">
        <v>474</v>
      </c>
      <c r="E853" t="s">
        <v>475</v>
      </c>
      <c r="F853" t="s">
        <v>52</v>
      </c>
      <c r="G853">
        <v>208</v>
      </c>
      <c r="H853">
        <v>20</v>
      </c>
      <c r="I853">
        <v>21</v>
      </c>
      <c r="J853">
        <v>249</v>
      </c>
      <c r="K853" s="482">
        <v>0.83499999999999996</v>
      </c>
      <c r="L853" s="482">
        <v>0.08</v>
      </c>
      <c r="M853" s="482">
        <v>8.4000000000000005E-2</v>
      </c>
    </row>
    <row r="854" spans="1:13" x14ac:dyDescent="0.2">
      <c r="A854" t="s">
        <v>1619</v>
      </c>
      <c r="B854" t="s">
        <v>13</v>
      </c>
      <c r="C854" t="s">
        <v>87</v>
      </c>
      <c r="D854" t="s">
        <v>471</v>
      </c>
      <c r="E854" t="s">
        <v>472</v>
      </c>
      <c r="F854" t="s">
        <v>52</v>
      </c>
      <c r="G854">
        <v>73</v>
      </c>
      <c r="H854">
        <v>7</v>
      </c>
      <c r="I854">
        <v>2</v>
      </c>
      <c r="J854">
        <v>82</v>
      </c>
      <c r="K854" s="482">
        <v>0.89</v>
      </c>
      <c r="L854" s="482">
        <v>8.5000000000000006E-2</v>
      </c>
      <c r="M854" s="482">
        <v>2.4E-2</v>
      </c>
    </row>
    <row r="855" spans="1:13" x14ac:dyDescent="0.2">
      <c r="A855" t="s">
        <v>1620</v>
      </c>
      <c r="B855" t="s">
        <v>13</v>
      </c>
      <c r="C855" t="s">
        <v>87</v>
      </c>
      <c r="D855" t="s">
        <v>468</v>
      </c>
      <c r="E855" t="s">
        <v>469</v>
      </c>
      <c r="F855" t="s">
        <v>52</v>
      </c>
      <c r="G855">
        <v>448</v>
      </c>
      <c r="H855">
        <v>36</v>
      </c>
      <c r="I855">
        <v>18</v>
      </c>
      <c r="J855">
        <v>502</v>
      </c>
      <c r="K855" s="482">
        <v>0.89200000000000002</v>
      </c>
      <c r="L855" s="482">
        <v>7.1999999999999995E-2</v>
      </c>
      <c r="M855" s="482">
        <v>3.5999999999999997E-2</v>
      </c>
    </row>
    <row r="856" spans="1:13" x14ac:dyDescent="0.2">
      <c r="A856" t="s">
        <v>1621</v>
      </c>
      <c r="B856" t="s">
        <v>13</v>
      </c>
      <c r="C856" t="s">
        <v>87</v>
      </c>
      <c r="D856" t="s">
        <v>465</v>
      </c>
      <c r="E856" t="s">
        <v>466</v>
      </c>
      <c r="F856" t="s">
        <v>52</v>
      </c>
      <c r="G856">
        <v>98</v>
      </c>
      <c r="H856">
        <v>4</v>
      </c>
      <c r="I856">
        <v>6</v>
      </c>
      <c r="J856">
        <v>108</v>
      </c>
      <c r="K856" s="482">
        <v>0.90700000000000003</v>
      </c>
      <c r="L856" s="482">
        <v>3.6999999999999998E-2</v>
      </c>
      <c r="M856" s="482">
        <v>5.6000000000000001E-2</v>
      </c>
    </row>
    <row r="857" spans="1:13" x14ac:dyDescent="0.2">
      <c r="A857" t="s">
        <v>1616</v>
      </c>
      <c r="B857" t="s">
        <v>13</v>
      </c>
      <c r="C857" t="s">
        <v>87</v>
      </c>
      <c r="D857" t="s">
        <v>480</v>
      </c>
      <c r="E857" t="s">
        <v>481</v>
      </c>
      <c r="F857" t="s">
        <v>52</v>
      </c>
      <c r="G857">
        <v>122</v>
      </c>
      <c r="H857">
        <v>8</v>
      </c>
      <c r="I857">
        <v>9</v>
      </c>
      <c r="J857">
        <v>139</v>
      </c>
      <c r="K857" s="482">
        <v>0.878</v>
      </c>
      <c r="L857" s="482">
        <v>5.8000000000000003E-2</v>
      </c>
      <c r="M857" s="482">
        <v>6.5000000000000002E-2</v>
      </c>
    </row>
    <row r="858" spans="1:13" x14ac:dyDescent="0.2">
      <c r="A858" t="s">
        <v>1617</v>
      </c>
      <c r="B858" t="s">
        <v>13</v>
      </c>
      <c r="C858" t="s">
        <v>87</v>
      </c>
      <c r="D858" t="s">
        <v>477</v>
      </c>
      <c r="E858" t="s">
        <v>478</v>
      </c>
      <c r="F858" t="s">
        <v>52</v>
      </c>
      <c r="G858">
        <v>98</v>
      </c>
      <c r="H858">
        <v>5</v>
      </c>
      <c r="I858">
        <v>4</v>
      </c>
      <c r="J858">
        <v>107</v>
      </c>
      <c r="K858" s="482">
        <v>0.91600000000000004</v>
      </c>
      <c r="L858" s="482">
        <v>4.7E-2</v>
      </c>
      <c r="M858" s="482">
        <v>3.6999999999999998E-2</v>
      </c>
    </row>
    <row r="859" spans="1:13" x14ac:dyDescent="0.2">
      <c r="A859" t="s">
        <v>1672</v>
      </c>
      <c r="B859" t="s">
        <v>13</v>
      </c>
      <c r="C859" t="s">
        <v>87</v>
      </c>
      <c r="D859" t="s">
        <v>477</v>
      </c>
      <c r="E859" t="s">
        <v>478</v>
      </c>
      <c r="F859" t="s">
        <v>14</v>
      </c>
      <c r="G859">
        <v>107</v>
      </c>
      <c r="H859">
        <v>0</v>
      </c>
      <c r="I859">
        <v>3</v>
      </c>
      <c r="J859">
        <v>110</v>
      </c>
      <c r="K859" s="482">
        <v>0.97299999999999998</v>
      </c>
      <c r="L859" s="482">
        <v>0</v>
      </c>
      <c r="M859" s="482">
        <v>2.7E-2</v>
      </c>
    </row>
    <row r="860" spans="1:13" x14ac:dyDescent="0.2">
      <c r="A860" t="s">
        <v>1673</v>
      </c>
      <c r="B860" t="s">
        <v>13</v>
      </c>
      <c r="C860" t="s">
        <v>87</v>
      </c>
      <c r="D860" t="s">
        <v>480</v>
      </c>
      <c r="E860" t="s">
        <v>481</v>
      </c>
      <c r="F860" t="s">
        <v>14</v>
      </c>
      <c r="G860">
        <v>146</v>
      </c>
      <c r="H860">
        <v>0</v>
      </c>
      <c r="I860">
        <v>6</v>
      </c>
      <c r="J860">
        <v>152</v>
      </c>
      <c r="K860" s="482">
        <v>0.96099999999999997</v>
      </c>
      <c r="L860" s="482">
        <v>0</v>
      </c>
      <c r="M860" s="482">
        <v>3.9E-2</v>
      </c>
    </row>
    <row r="861" spans="1:13" x14ac:dyDescent="0.2">
      <c r="A861" t="s">
        <v>1668</v>
      </c>
      <c r="B861" t="s">
        <v>13</v>
      </c>
      <c r="C861" t="s">
        <v>87</v>
      </c>
      <c r="D861" t="s">
        <v>465</v>
      </c>
      <c r="E861" t="s">
        <v>466</v>
      </c>
      <c r="F861" t="s">
        <v>14</v>
      </c>
      <c r="G861">
        <v>113</v>
      </c>
      <c r="H861">
        <v>1</v>
      </c>
      <c r="I861">
        <v>4</v>
      </c>
      <c r="J861">
        <v>118</v>
      </c>
      <c r="K861" s="482">
        <v>0.95799999999999996</v>
      </c>
      <c r="L861" s="482">
        <v>8.0000000000000002E-3</v>
      </c>
      <c r="M861" s="482">
        <v>3.4000000000000002E-2</v>
      </c>
    </row>
    <row r="862" spans="1:13" x14ac:dyDescent="0.2">
      <c r="A862" t="s">
        <v>1669</v>
      </c>
      <c r="B862" t="s">
        <v>13</v>
      </c>
      <c r="C862" t="s">
        <v>87</v>
      </c>
      <c r="D862" t="s">
        <v>468</v>
      </c>
      <c r="E862" t="s">
        <v>469</v>
      </c>
      <c r="F862" t="s">
        <v>14</v>
      </c>
      <c r="G862">
        <v>533</v>
      </c>
      <c r="H862">
        <v>2</v>
      </c>
      <c r="I862">
        <v>11</v>
      </c>
      <c r="J862">
        <v>546</v>
      </c>
      <c r="K862" s="482">
        <v>0.97599999999999998</v>
      </c>
      <c r="L862" s="482">
        <v>4.0000000000000001E-3</v>
      </c>
      <c r="M862" s="482">
        <v>0.02</v>
      </c>
    </row>
    <row r="863" spans="1:13" x14ac:dyDescent="0.2">
      <c r="A863" t="s">
        <v>1670</v>
      </c>
      <c r="B863" t="s">
        <v>13</v>
      </c>
      <c r="C863" t="s">
        <v>87</v>
      </c>
      <c r="D863" t="s">
        <v>471</v>
      </c>
      <c r="E863" t="s">
        <v>472</v>
      </c>
      <c r="F863" t="s">
        <v>14</v>
      </c>
      <c r="G863">
        <v>81</v>
      </c>
      <c r="H863">
        <v>1</v>
      </c>
      <c r="I863">
        <v>2</v>
      </c>
      <c r="J863">
        <v>84</v>
      </c>
      <c r="K863" s="482">
        <v>0.96399999999999997</v>
      </c>
      <c r="L863" s="482">
        <v>1.2E-2</v>
      </c>
      <c r="M863" s="482">
        <v>2.4E-2</v>
      </c>
    </row>
    <row r="864" spans="1:13" x14ac:dyDescent="0.2">
      <c r="A864" t="s">
        <v>1671</v>
      </c>
      <c r="B864" t="s">
        <v>13</v>
      </c>
      <c r="C864" t="s">
        <v>87</v>
      </c>
      <c r="D864" t="s">
        <v>474</v>
      </c>
      <c r="E864" t="s">
        <v>475</v>
      </c>
      <c r="F864" t="s">
        <v>14</v>
      </c>
      <c r="G864">
        <v>243</v>
      </c>
      <c r="H864">
        <v>4</v>
      </c>
      <c r="I864">
        <v>11</v>
      </c>
      <c r="J864">
        <v>258</v>
      </c>
      <c r="K864" s="482">
        <v>0.94199999999999995</v>
      </c>
      <c r="L864" s="482">
        <v>1.6E-2</v>
      </c>
      <c r="M864" s="482">
        <v>4.2999999999999997E-2</v>
      </c>
    </row>
    <row r="865" spans="1:13" x14ac:dyDescent="0.2">
      <c r="A865" t="s">
        <v>1674</v>
      </c>
      <c r="B865" t="s">
        <v>13</v>
      </c>
      <c r="C865" t="s">
        <v>87</v>
      </c>
      <c r="D865" t="s">
        <v>483</v>
      </c>
      <c r="E865" t="s">
        <v>484</v>
      </c>
      <c r="F865" t="s">
        <v>14</v>
      </c>
      <c r="G865">
        <v>73</v>
      </c>
      <c r="H865">
        <v>0</v>
      </c>
      <c r="I865">
        <v>3</v>
      </c>
      <c r="J865">
        <v>76</v>
      </c>
      <c r="K865" s="482">
        <v>0.96099999999999997</v>
      </c>
      <c r="L865" s="482">
        <v>0</v>
      </c>
      <c r="M865" s="482">
        <v>3.9E-2</v>
      </c>
    </row>
    <row r="866" spans="1:13" x14ac:dyDescent="0.2">
      <c r="A866" t="s">
        <v>1659</v>
      </c>
      <c r="B866" t="s">
        <v>13</v>
      </c>
      <c r="C866" t="s">
        <v>87</v>
      </c>
      <c r="D866" t="s">
        <v>441</v>
      </c>
      <c r="E866" t="s">
        <v>442</v>
      </c>
      <c r="F866" t="s">
        <v>14</v>
      </c>
      <c r="G866">
        <v>121</v>
      </c>
      <c r="H866">
        <v>1</v>
      </c>
      <c r="I866">
        <v>1</v>
      </c>
      <c r="J866">
        <v>123</v>
      </c>
      <c r="K866" s="482">
        <v>0.98399999999999999</v>
      </c>
      <c r="L866" s="482">
        <v>8.0000000000000002E-3</v>
      </c>
      <c r="M866" s="482">
        <v>8.0000000000000002E-3</v>
      </c>
    </row>
    <row r="867" spans="1:13" x14ac:dyDescent="0.2">
      <c r="A867" t="s">
        <v>1658</v>
      </c>
      <c r="B867" t="s">
        <v>13</v>
      </c>
      <c r="C867" t="s">
        <v>87</v>
      </c>
      <c r="D867" t="s">
        <v>438</v>
      </c>
      <c r="E867" t="s">
        <v>439</v>
      </c>
      <c r="F867" t="s">
        <v>14</v>
      </c>
      <c r="G867">
        <v>107</v>
      </c>
      <c r="H867">
        <v>0</v>
      </c>
      <c r="I867">
        <v>1</v>
      </c>
      <c r="J867">
        <v>108</v>
      </c>
      <c r="K867" s="482">
        <v>0.99099999999999999</v>
      </c>
      <c r="L867" s="482">
        <v>0</v>
      </c>
      <c r="M867" s="482">
        <v>8.9999999999999993E-3</v>
      </c>
    </row>
    <row r="868" spans="1:13" x14ac:dyDescent="0.2">
      <c r="A868" t="s">
        <v>1646</v>
      </c>
      <c r="B868" t="s">
        <v>13</v>
      </c>
      <c r="C868" t="s">
        <v>87</v>
      </c>
      <c r="D868" t="s">
        <v>402</v>
      </c>
      <c r="E868" t="s">
        <v>403</v>
      </c>
      <c r="F868" t="s">
        <v>14</v>
      </c>
      <c r="G868">
        <v>223</v>
      </c>
      <c r="H868">
        <v>0</v>
      </c>
      <c r="I868">
        <v>8</v>
      </c>
      <c r="J868">
        <v>231</v>
      </c>
      <c r="K868" s="482">
        <v>0.96499999999999997</v>
      </c>
      <c r="L868" s="482">
        <v>0</v>
      </c>
      <c r="M868" s="482">
        <v>3.5000000000000003E-2</v>
      </c>
    </row>
    <row r="869" spans="1:13" x14ac:dyDescent="0.2">
      <c r="A869" t="s">
        <v>1647</v>
      </c>
      <c r="B869" t="s">
        <v>13</v>
      </c>
      <c r="C869" t="s">
        <v>87</v>
      </c>
      <c r="D869" t="s">
        <v>405</v>
      </c>
      <c r="E869" t="s">
        <v>406</v>
      </c>
      <c r="F869" t="s">
        <v>14</v>
      </c>
      <c r="G869">
        <v>201</v>
      </c>
      <c r="H869">
        <v>3</v>
      </c>
      <c r="I869">
        <v>15</v>
      </c>
      <c r="J869">
        <v>219</v>
      </c>
      <c r="K869" s="482">
        <v>0.91800000000000004</v>
      </c>
      <c r="L869" s="482">
        <v>1.4E-2</v>
      </c>
      <c r="M869" s="482">
        <v>6.8000000000000005E-2</v>
      </c>
    </row>
    <row r="870" spans="1:13" x14ac:dyDescent="0.2">
      <c r="A870" t="s">
        <v>1661</v>
      </c>
      <c r="B870" t="s">
        <v>13</v>
      </c>
      <c r="C870" t="s">
        <v>87</v>
      </c>
      <c r="D870" t="s">
        <v>444</v>
      </c>
      <c r="E870" t="s">
        <v>445</v>
      </c>
      <c r="F870" t="s">
        <v>14</v>
      </c>
      <c r="G870">
        <v>445</v>
      </c>
      <c r="H870">
        <v>0</v>
      </c>
      <c r="I870">
        <v>15</v>
      </c>
      <c r="J870">
        <v>460</v>
      </c>
      <c r="K870" s="482">
        <v>0.96699999999999997</v>
      </c>
      <c r="L870" s="482">
        <v>0</v>
      </c>
      <c r="M870" s="482">
        <v>3.3000000000000002E-2</v>
      </c>
    </row>
    <row r="871" spans="1:13" x14ac:dyDescent="0.2">
      <c r="A871" t="s">
        <v>1662</v>
      </c>
      <c r="B871" t="s">
        <v>13</v>
      </c>
      <c r="C871" t="s">
        <v>87</v>
      </c>
      <c r="D871" t="s">
        <v>447</v>
      </c>
      <c r="E871" t="s">
        <v>448</v>
      </c>
      <c r="F871" t="s">
        <v>14</v>
      </c>
      <c r="G871">
        <v>322</v>
      </c>
      <c r="H871">
        <v>0</v>
      </c>
      <c r="I871">
        <v>3</v>
      </c>
      <c r="J871">
        <v>325</v>
      </c>
      <c r="K871" s="482">
        <v>0.99099999999999999</v>
      </c>
      <c r="L871" s="482">
        <v>0</v>
      </c>
      <c r="M871" s="482">
        <v>8.9999999999999993E-3</v>
      </c>
    </row>
    <row r="872" spans="1:13" x14ac:dyDescent="0.2">
      <c r="A872" t="s">
        <v>1663</v>
      </c>
      <c r="B872" t="s">
        <v>13</v>
      </c>
      <c r="C872" t="s">
        <v>87</v>
      </c>
      <c r="D872" t="s">
        <v>450</v>
      </c>
      <c r="E872" t="s">
        <v>451</v>
      </c>
      <c r="F872" t="s">
        <v>14</v>
      </c>
      <c r="G872">
        <v>57</v>
      </c>
      <c r="H872">
        <v>1</v>
      </c>
      <c r="I872">
        <v>1</v>
      </c>
      <c r="J872">
        <v>59</v>
      </c>
      <c r="K872" s="482">
        <v>0.96599999999999997</v>
      </c>
      <c r="L872" s="482">
        <v>1.7000000000000001E-2</v>
      </c>
      <c r="M872" s="482">
        <v>1.7000000000000001E-2</v>
      </c>
    </row>
    <row r="873" spans="1:13" x14ac:dyDescent="0.2">
      <c r="A873" t="s">
        <v>1664</v>
      </c>
      <c r="B873" t="s">
        <v>13</v>
      </c>
      <c r="C873" t="s">
        <v>87</v>
      </c>
      <c r="D873" t="s">
        <v>453</v>
      </c>
      <c r="E873" t="s">
        <v>454</v>
      </c>
      <c r="F873" t="s">
        <v>14</v>
      </c>
      <c r="G873">
        <v>281</v>
      </c>
      <c r="H873">
        <v>1</v>
      </c>
      <c r="I873">
        <v>9</v>
      </c>
      <c r="J873">
        <v>291</v>
      </c>
      <c r="K873" s="482">
        <v>0.96599999999999997</v>
      </c>
      <c r="L873" s="482">
        <v>3.0000000000000001E-3</v>
      </c>
      <c r="M873" s="482">
        <v>3.1E-2</v>
      </c>
    </row>
    <row r="874" spans="1:13" x14ac:dyDescent="0.2">
      <c r="A874" t="s">
        <v>1665</v>
      </c>
      <c r="B874" t="s">
        <v>13</v>
      </c>
      <c r="C874" t="s">
        <v>87</v>
      </c>
      <c r="D874" t="s">
        <v>456</v>
      </c>
      <c r="E874" t="s">
        <v>457</v>
      </c>
      <c r="F874" t="s">
        <v>14</v>
      </c>
      <c r="G874">
        <v>28</v>
      </c>
      <c r="H874">
        <v>0</v>
      </c>
      <c r="I874">
        <v>0</v>
      </c>
      <c r="J874">
        <v>28</v>
      </c>
      <c r="K874" s="482">
        <v>1</v>
      </c>
      <c r="L874" s="482">
        <v>0</v>
      </c>
      <c r="M874" s="482">
        <v>0</v>
      </c>
    </row>
    <row r="875" spans="1:13" x14ac:dyDescent="0.2">
      <c r="A875" t="s">
        <v>1666</v>
      </c>
      <c r="B875" t="s">
        <v>13</v>
      </c>
      <c r="C875" t="s">
        <v>87</v>
      </c>
      <c r="D875" t="s">
        <v>459</v>
      </c>
      <c r="E875" t="s">
        <v>460</v>
      </c>
      <c r="F875" t="s">
        <v>14</v>
      </c>
      <c r="G875">
        <v>181</v>
      </c>
      <c r="H875">
        <v>1</v>
      </c>
      <c r="I875">
        <v>4</v>
      </c>
      <c r="J875">
        <v>186</v>
      </c>
      <c r="K875" s="482">
        <v>0.97299999999999998</v>
      </c>
      <c r="L875" s="482">
        <v>5.0000000000000001E-3</v>
      </c>
      <c r="M875" s="482">
        <v>2.1999999999999999E-2</v>
      </c>
    </row>
    <row r="876" spans="1:13" x14ac:dyDescent="0.2">
      <c r="A876" t="s">
        <v>1667</v>
      </c>
      <c r="B876" t="s">
        <v>13</v>
      </c>
      <c r="C876" t="s">
        <v>87</v>
      </c>
      <c r="D876" t="s">
        <v>462</v>
      </c>
      <c r="E876" t="s">
        <v>463</v>
      </c>
      <c r="F876" t="s">
        <v>14</v>
      </c>
      <c r="G876">
        <v>228</v>
      </c>
      <c r="H876">
        <v>2</v>
      </c>
      <c r="I876">
        <v>4</v>
      </c>
      <c r="J876">
        <v>234</v>
      </c>
      <c r="K876" s="482">
        <v>0.97399999999999998</v>
      </c>
      <c r="L876" s="482">
        <v>8.9999999999999993E-3</v>
      </c>
      <c r="M876" s="482">
        <v>1.7000000000000001E-2</v>
      </c>
    </row>
    <row r="877" spans="1:13" x14ac:dyDescent="0.2">
      <c r="A877" t="s">
        <v>1699</v>
      </c>
      <c r="B877" t="s">
        <v>13</v>
      </c>
      <c r="C877" t="s">
        <v>87</v>
      </c>
      <c r="D877" t="s">
        <v>399</v>
      </c>
      <c r="E877" t="s">
        <v>400</v>
      </c>
      <c r="F877" t="s">
        <v>14</v>
      </c>
      <c r="G877">
        <v>196</v>
      </c>
      <c r="H877">
        <v>1</v>
      </c>
      <c r="I877">
        <v>6</v>
      </c>
      <c r="J877">
        <v>203</v>
      </c>
      <c r="K877" s="482">
        <v>0.96599999999999997</v>
      </c>
      <c r="L877" s="482">
        <v>5.0000000000000001E-3</v>
      </c>
      <c r="M877" s="482">
        <v>0.03</v>
      </c>
    </row>
    <row r="878" spans="1:13" x14ac:dyDescent="0.2">
      <c r="A878" t="s">
        <v>1678</v>
      </c>
      <c r="B878" t="s">
        <v>13</v>
      </c>
      <c r="C878" t="s">
        <v>87</v>
      </c>
      <c r="D878" t="s">
        <v>498</v>
      </c>
      <c r="E878" t="s">
        <v>499</v>
      </c>
      <c r="F878" t="s">
        <v>14</v>
      </c>
      <c r="G878">
        <v>221</v>
      </c>
      <c r="H878">
        <v>0</v>
      </c>
      <c r="I878">
        <v>4</v>
      </c>
      <c r="J878">
        <v>225</v>
      </c>
      <c r="K878" s="482">
        <v>0.98199999999999998</v>
      </c>
      <c r="L878" s="482">
        <v>0</v>
      </c>
      <c r="M878" s="482">
        <v>1.7999999999999999E-2</v>
      </c>
    </row>
    <row r="879" spans="1:13" x14ac:dyDescent="0.2">
      <c r="A879" t="s">
        <v>1679</v>
      </c>
      <c r="B879" t="s">
        <v>13</v>
      </c>
      <c r="C879" t="s">
        <v>87</v>
      </c>
      <c r="D879" t="s">
        <v>501</v>
      </c>
      <c r="E879" t="s">
        <v>502</v>
      </c>
      <c r="F879" t="s">
        <v>14</v>
      </c>
      <c r="G879">
        <v>110</v>
      </c>
      <c r="H879">
        <v>1</v>
      </c>
      <c r="I879">
        <v>0</v>
      </c>
      <c r="J879">
        <v>111</v>
      </c>
      <c r="K879" s="482">
        <v>0.99099999999999999</v>
      </c>
      <c r="L879" s="482">
        <v>8.9999999999999993E-3</v>
      </c>
      <c r="M879" s="482">
        <v>0</v>
      </c>
    </row>
    <row r="880" spans="1:13" x14ac:dyDescent="0.2">
      <c r="A880" t="s">
        <v>1680</v>
      </c>
      <c r="B880" t="s">
        <v>13</v>
      </c>
      <c r="C880" t="s">
        <v>87</v>
      </c>
      <c r="D880" t="s">
        <v>504</v>
      </c>
      <c r="E880" t="s">
        <v>505</v>
      </c>
      <c r="F880" t="s">
        <v>14</v>
      </c>
      <c r="G880">
        <v>176</v>
      </c>
      <c r="H880">
        <v>1</v>
      </c>
      <c r="I880">
        <v>2</v>
      </c>
      <c r="J880">
        <v>179</v>
      </c>
      <c r="K880" s="482">
        <v>0.98299999999999998</v>
      </c>
      <c r="L880" s="482">
        <v>6.0000000000000001E-3</v>
      </c>
      <c r="M880" s="482">
        <v>1.0999999999999999E-2</v>
      </c>
    </row>
    <row r="881" spans="1:13" x14ac:dyDescent="0.2">
      <c r="A881" t="s">
        <v>1681</v>
      </c>
      <c r="B881" t="s">
        <v>13</v>
      </c>
      <c r="C881" t="s">
        <v>87</v>
      </c>
      <c r="D881" t="s">
        <v>507</v>
      </c>
      <c r="E881" t="s">
        <v>508</v>
      </c>
      <c r="F881" t="s">
        <v>14</v>
      </c>
      <c r="G881">
        <v>321</v>
      </c>
      <c r="H881">
        <v>2</v>
      </c>
      <c r="I881">
        <v>11</v>
      </c>
      <c r="J881">
        <v>334</v>
      </c>
      <c r="K881" s="482">
        <v>0.96099999999999997</v>
      </c>
      <c r="L881" s="482">
        <v>6.0000000000000001E-3</v>
      </c>
      <c r="M881" s="482">
        <v>3.3000000000000002E-2</v>
      </c>
    </row>
    <row r="882" spans="1:13" x14ac:dyDescent="0.2">
      <c r="A882" t="s">
        <v>1682</v>
      </c>
      <c r="B882" t="s">
        <v>13</v>
      </c>
      <c r="C882" t="s">
        <v>87</v>
      </c>
      <c r="D882" t="s">
        <v>510</v>
      </c>
      <c r="E882" t="s">
        <v>511</v>
      </c>
      <c r="F882" t="s">
        <v>14</v>
      </c>
      <c r="G882">
        <v>65</v>
      </c>
      <c r="H882">
        <v>1</v>
      </c>
      <c r="I882">
        <v>7</v>
      </c>
      <c r="J882">
        <v>73</v>
      </c>
      <c r="K882" s="482">
        <v>0.89</v>
      </c>
      <c r="L882" s="482">
        <v>1.4E-2</v>
      </c>
      <c r="M882" s="482">
        <v>9.6000000000000002E-2</v>
      </c>
    </row>
    <row r="883" spans="1:13" x14ac:dyDescent="0.2">
      <c r="A883" t="s">
        <v>1683</v>
      </c>
      <c r="B883" t="s">
        <v>13</v>
      </c>
      <c r="C883" t="s">
        <v>87</v>
      </c>
      <c r="D883" t="s">
        <v>513</v>
      </c>
      <c r="E883" t="s">
        <v>514</v>
      </c>
      <c r="F883" t="s">
        <v>14</v>
      </c>
      <c r="G883">
        <v>208</v>
      </c>
      <c r="H883">
        <v>1</v>
      </c>
      <c r="I883">
        <v>10</v>
      </c>
      <c r="J883">
        <v>219</v>
      </c>
      <c r="K883" s="482">
        <v>0.95</v>
      </c>
      <c r="L883" s="482">
        <v>5.0000000000000001E-3</v>
      </c>
      <c r="M883" s="482">
        <v>4.5999999999999999E-2</v>
      </c>
    </row>
    <row r="884" spans="1:13" x14ac:dyDescent="0.2">
      <c r="A884" t="s">
        <v>1684</v>
      </c>
      <c r="B884" t="s">
        <v>13</v>
      </c>
      <c r="C884" t="s">
        <v>87</v>
      </c>
      <c r="D884" t="s">
        <v>516</v>
      </c>
      <c r="E884" t="s">
        <v>517</v>
      </c>
      <c r="F884" t="s">
        <v>14</v>
      </c>
      <c r="G884">
        <v>116</v>
      </c>
      <c r="H884">
        <v>0</v>
      </c>
      <c r="I884">
        <v>6</v>
      </c>
      <c r="J884">
        <v>122</v>
      </c>
      <c r="K884" s="482">
        <v>0.95099999999999996</v>
      </c>
      <c r="L884" s="482">
        <v>0</v>
      </c>
      <c r="M884" s="482">
        <v>4.9000000000000002E-2</v>
      </c>
    </row>
    <row r="885" spans="1:13" x14ac:dyDescent="0.2">
      <c r="A885" t="s">
        <v>1685</v>
      </c>
      <c r="B885" t="s">
        <v>13</v>
      </c>
      <c r="C885" t="s">
        <v>87</v>
      </c>
      <c r="D885" t="s">
        <v>519</v>
      </c>
      <c r="E885" t="s">
        <v>520</v>
      </c>
      <c r="F885" t="s">
        <v>14</v>
      </c>
      <c r="G885">
        <v>171</v>
      </c>
      <c r="H885">
        <v>1</v>
      </c>
      <c r="I885">
        <v>8</v>
      </c>
      <c r="J885">
        <v>180</v>
      </c>
      <c r="K885" s="482">
        <v>0.95</v>
      </c>
      <c r="L885" s="482">
        <v>6.0000000000000001E-3</v>
      </c>
      <c r="M885" s="482">
        <v>4.3999999999999997E-2</v>
      </c>
    </row>
    <row r="886" spans="1:13" x14ac:dyDescent="0.2">
      <c r="A886" t="s">
        <v>1686</v>
      </c>
      <c r="B886" t="s">
        <v>13</v>
      </c>
      <c r="C886" t="s">
        <v>87</v>
      </c>
      <c r="D886" t="s">
        <v>522</v>
      </c>
      <c r="E886" t="s">
        <v>523</v>
      </c>
      <c r="F886" t="s">
        <v>14</v>
      </c>
      <c r="G886">
        <v>67</v>
      </c>
      <c r="H886">
        <v>0</v>
      </c>
      <c r="I886">
        <v>2</v>
      </c>
      <c r="J886">
        <v>69</v>
      </c>
      <c r="K886" s="482">
        <v>0.97099999999999997</v>
      </c>
      <c r="L886" s="482">
        <v>0</v>
      </c>
      <c r="M886" s="482">
        <v>2.9000000000000001E-2</v>
      </c>
    </row>
    <row r="887" spans="1:13" x14ac:dyDescent="0.2">
      <c r="A887" t="s">
        <v>1687</v>
      </c>
      <c r="B887" t="s">
        <v>13</v>
      </c>
      <c r="C887" t="s">
        <v>87</v>
      </c>
      <c r="D887" t="s">
        <v>525</v>
      </c>
      <c r="E887" t="s">
        <v>526</v>
      </c>
      <c r="F887" t="s">
        <v>14</v>
      </c>
      <c r="G887">
        <v>187</v>
      </c>
      <c r="H887">
        <v>3</v>
      </c>
      <c r="I887">
        <v>4</v>
      </c>
      <c r="J887">
        <v>194</v>
      </c>
      <c r="K887" s="482">
        <v>0.96399999999999997</v>
      </c>
      <c r="L887" s="482">
        <v>1.4999999999999999E-2</v>
      </c>
      <c r="M887" s="482">
        <v>2.1000000000000001E-2</v>
      </c>
    </row>
    <row r="888" spans="1:13" x14ac:dyDescent="0.2">
      <c r="A888" t="s">
        <v>1688</v>
      </c>
      <c r="B888" t="s">
        <v>13</v>
      </c>
      <c r="C888" t="s">
        <v>87</v>
      </c>
      <c r="D888" t="s">
        <v>528</v>
      </c>
      <c r="E888" t="s">
        <v>529</v>
      </c>
      <c r="F888" t="s">
        <v>14</v>
      </c>
      <c r="G888">
        <v>276</v>
      </c>
      <c r="H888">
        <v>2</v>
      </c>
      <c r="I888">
        <v>3</v>
      </c>
      <c r="J888">
        <v>281</v>
      </c>
      <c r="K888" s="482">
        <v>0.98199999999999998</v>
      </c>
      <c r="L888" s="482">
        <v>7.0000000000000001E-3</v>
      </c>
      <c r="M888" s="482">
        <v>1.0999999999999999E-2</v>
      </c>
    </row>
    <row r="889" spans="1:13" x14ac:dyDescent="0.2">
      <c r="A889" t="s">
        <v>1689</v>
      </c>
      <c r="B889" t="s">
        <v>13</v>
      </c>
      <c r="C889" t="s">
        <v>87</v>
      </c>
      <c r="D889" t="s">
        <v>531</v>
      </c>
      <c r="E889" t="s">
        <v>532</v>
      </c>
      <c r="F889" t="s">
        <v>14</v>
      </c>
      <c r="G889">
        <v>96</v>
      </c>
      <c r="H889">
        <v>0</v>
      </c>
      <c r="I889">
        <v>4</v>
      </c>
      <c r="J889">
        <v>100</v>
      </c>
      <c r="K889" s="482">
        <v>0.96</v>
      </c>
      <c r="L889" s="482">
        <v>0</v>
      </c>
      <c r="M889" s="482">
        <v>0.04</v>
      </c>
    </row>
    <row r="890" spans="1:13" x14ac:dyDescent="0.2">
      <c r="A890" t="s">
        <v>1690</v>
      </c>
      <c r="B890" t="s">
        <v>13</v>
      </c>
      <c r="C890" t="s">
        <v>87</v>
      </c>
      <c r="D890" t="s">
        <v>534</v>
      </c>
      <c r="E890" t="s">
        <v>535</v>
      </c>
      <c r="F890" t="s">
        <v>14</v>
      </c>
      <c r="G890">
        <v>27</v>
      </c>
      <c r="H890">
        <v>1</v>
      </c>
      <c r="I890">
        <v>4</v>
      </c>
      <c r="J890">
        <v>32</v>
      </c>
      <c r="K890" s="482">
        <v>0.84399999999999997</v>
      </c>
      <c r="L890" s="482">
        <v>3.1E-2</v>
      </c>
      <c r="M890" s="482">
        <v>0.125</v>
      </c>
    </row>
    <row r="891" spans="1:13" x14ac:dyDescent="0.2">
      <c r="A891" t="s">
        <v>1691</v>
      </c>
      <c r="B891" t="s">
        <v>13</v>
      </c>
      <c r="C891" t="s">
        <v>87</v>
      </c>
      <c r="D891" t="s">
        <v>537</v>
      </c>
      <c r="E891" t="s">
        <v>538</v>
      </c>
      <c r="F891" t="s">
        <v>14</v>
      </c>
      <c r="G891">
        <v>792</v>
      </c>
      <c r="H891">
        <v>3</v>
      </c>
      <c r="I891">
        <v>19</v>
      </c>
      <c r="J891">
        <v>814</v>
      </c>
      <c r="K891" s="482">
        <v>0.97299999999999998</v>
      </c>
      <c r="L891" s="482">
        <v>4.0000000000000001E-3</v>
      </c>
      <c r="M891" s="482">
        <v>2.3E-2</v>
      </c>
    </row>
    <row r="892" spans="1:13" x14ac:dyDescent="0.2">
      <c r="A892" t="s">
        <v>1692</v>
      </c>
      <c r="B892" t="s">
        <v>13</v>
      </c>
      <c r="C892" t="s">
        <v>87</v>
      </c>
      <c r="D892" t="s">
        <v>540</v>
      </c>
      <c r="E892" t="s">
        <v>541</v>
      </c>
      <c r="F892" t="s">
        <v>14</v>
      </c>
      <c r="G892">
        <v>75</v>
      </c>
      <c r="H892">
        <v>0</v>
      </c>
      <c r="I892">
        <v>3</v>
      </c>
      <c r="J892">
        <v>78</v>
      </c>
      <c r="K892" s="482">
        <v>0.96199999999999997</v>
      </c>
      <c r="L892" s="482">
        <v>0</v>
      </c>
      <c r="M892" s="482">
        <v>3.7999999999999999E-2</v>
      </c>
    </row>
    <row r="893" spans="1:13" x14ac:dyDescent="0.2">
      <c r="A893" t="s">
        <v>1693</v>
      </c>
      <c r="B893" t="s">
        <v>13</v>
      </c>
      <c r="C893" t="s">
        <v>87</v>
      </c>
      <c r="D893" t="s">
        <v>543</v>
      </c>
      <c r="E893" t="s">
        <v>544</v>
      </c>
      <c r="F893" t="s">
        <v>14</v>
      </c>
      <c r="G893">
        <v>80</v>
      </c>
      <c r="H893">
        <v>1</v>
      </c>
      <c r="I893">
        <v>3</v>
      </c>
      <c r="J893">
        <v>84</v>
      </c>
      <c r="K893" s="482">
        <v>0.95199999999999996</v>
      </c>
      <c r="L893" s="482">
        <v>1.2E-2</v>
      </c>
      <c r="M893" s="482">
        <v>3.5999999999999997E-2</v>
      </c>
    </row>
    <row r="894" spans="1:13" x14ac:dyDescent="0.2">
      <c r="A894" t="s">
        <v>1694</v>
      </c>
      <c r="B894" t="s">
        <v>13</v>
      </c>
      <c r="C894" t="s">
        <v>87</v>
      </c>
      <c r="D894" t="s">
        <v>546</v>
      </c>
      <c r="E894" t="s">
        <v>547</v>
      </c>
      <c r="F894" t="s">
        <v>14</v>
      </c>
      <c r="G894">
        <v>45</v>
      </c>
      <c r="H894">
        <v>0</v>
      </c>
      <c r="I894">
        <v>2</v>
      </c>
      <c r="J894">
        <v>47</v>
      </c>
      <c r="K894" s="482">
        <v>0.95699999999999996</v>
      </c>
      <c r="L894" s="482">
        <v>0</v>
      </c>
      <c r="M894" s="482">
        <v>4.2999999999999997E-2</v>
      </c>
    </row>
    <row r="895" spans="1:13" x14ac:dyDescent="0.2">
      <c r="A895" t="s">
        <v>1695</v>
      </c>
      <c r="B895" t="s">
        <v>13</v>
      </c>
      <c r="C895" t="s">
        <v>87</v>
      </c>
      <c r="D895" t="s">
        <v>549</v>
      </c>
      <c r="E895" t="s">
        <v>550</v>
      </c>
      <c r="F895" t="s">
        <v>14</v>
      </c>
      <c r="G895">
        <v>133</v>
      </c>
      <c r="H895">
        <v>0</v>
      </c>
      <c r="I895">
        <v>2</v>
      </c>
      <c r="J895">
        <v>135</v>
      </c>
      <c r="K895" s="482">
        <v>0.98499999999999999</v>
      </c>
      <c r="L895" s="482">
        <v>0</v>
      </c>
      <c r="M895" s="482">
        <v>1.4999999999999999E-2</v>
      </c>
    </row>
    <row r="896" spans="1:13" x14ac:dyDescent="0.2">
      <c r="A896" t="s">
        <v>1696</v>
      </c>
      <c r="B896" t="s">
        <v>13</v>
      </c>
      <c r="C896" t="s">
        <v>87</v>
      </c>
      <c r="D896" t="s">
        <v>552</v>
      </c>
      <c r="E896" t="s">
        <v>337</v>
      </c>
      <c r="F896" t="s">
        <v>14</v>
      </c>
      <c r="G896">
        <v>132</v>
      </c>
      <c r="H896">
        <v>2</v>
      </c>
      <c r="I896">
        <v>2</v>
      </c>
      <c r="J896">
        <v>136</v>
      </c>
      <c r="K896" s="482">
        <v>0.97099999999999997</v>
      </c>
      <c r="L896" s="482">
        <v>1.4999999999999999E-2</v>
      </c>
      <c r="M896" s="482">
        <v>1.4999999999999999E-2</v>
      </c>
    </row>
    <row r="897" spans="1:13" x14ac:dyDescent="0.2">
      <c r="A897" t="s">
        <v>1645</v>
      </c>
      <c r="B897" t="s">
        <v>13</v>
      </c>
      <c r="C897" t="s">
        <v>87</v>
      </c>
      <c r="D897" t="s">
        <v>396</v>
      </c>
      <c r="E897" t="s">
        <v>397</v>
      </c>
      <c r="F897" t="s">
        <v>14</v>
      </c>
      <c r="G897">
        <v>155</v>
      </c>
      <c r="H897">
        <v>0</v>
      </c>
      <c r="I897">
        <v>3</v>
      </c>
      <c r="J897">
        <v>158</v>
      </c>
      <c r="K897" s="482">
        <v>0.98099999999999998</v>
      </c>
      <c r="L897" s="482">
        <v>0</v>
      </c>
      <c r="M897" s="482">
        <v>1.9E-2</v>
      </c>
    </row>
    <row r="898" spans="1:13" x14ac:dyDescent="0.2">
      <c r="A898" t="s">
        <v>1702</v>
      </c>
      <c r="B898" t="s">
        <v>13</v>
      </c>
      <c r="C898" t="s">
        <v>87</v>
      </c>
      <c r="D898" t="s">
        <v>569</v>
      </c>
      <c r="E898" t="s">
        <v>339</v>
      </c>
      <c r="F898" t="s">
        <v>14</v>
      </c>
      <c r="G898">
        <v>83</v>
      </c>
      <c r="H898">
        <v>0</v>
      </c>
      <c r="I898">
        <v>1</v>
      </c>
      <c r="J898">
        <v>84</v>
      </c>
      <c r="K898" s="482">
        <v>0.98799999999999999</v>
      </c>
      <c r="L898" s="482">
        <v>0</v>
      </c>
      <c r="M898" s="482">
        <v>1.2E-2</v>
      </c>
    </row>
    <row r="899" spans="1:13" x14ac:dyDescent="0.2">
      <c r="A899" t="s">
        <v>1703</v>
      </c>
      <c r="B899" t="s">
        <v>13</v>
      </c>
      <c r="C899" t="s">
        <v>87</v>
      </c>
      <c r="D899" t="s">
        <v>571</v>
      </c>
      <c r="E899" t="s">
        <v>572</v>
      </c>
      <c r="F899" t="s">
        <v>14</v>
      </c>
      <c r="G899">
        <v>134</v>
      </c>
      <c r="H899">
        <v>1</v>
      </c>
      <c r="I899">
        <v>1</v>
      </c>
      <c r="J899">
        <v>136</v>
      </c>
      <c r="K899" s="482">
        <v>0.98499999999999999</v>
      </c>
      <c r="L899" s="482">
        <v>7.0000000000000001E-3</v>
      </c>
      <c r="M899" s="482">
        <v>7.0000000000000001E-3</v>
      </c>
    </row>
    <row r="900" spans="1:13" x14ac:dyDescent="0.2">
      <c r="A900" t="s">
        <v>1704</v>
      </c>
      <c r="B900" t="s">
        <v>13</v>
      </c>
      <c r="C900" t="s">
        <v>87</v>
      </c>
      <c r="D900" t="s">
        <v>574</v>
      </c>
      <c r="E900" t="s">
        <v>575</v>
      </c>
      <c r="F900" t="s">
        <v>14</v>
      </c>
      <c r="G900">
        <v>35</v>
      </c>
      <c r="H900">
        <v>0</v>
      </c>
      <c r="I900">
        <v>1</v>
      </c>
      <c r="J900">
        <v>36</v>
      </c>
      <c r="K900" s="482">
        <v>0.97199999999999998</v>
      </c>
      <c r="L900" s="482">
        <v>0</v>
      </c>
      <c r="M900" s="482">
        <v>2.8000000000000001E-2</v>
      </c>
    </row>
    <row r="901" spans="1:13" x14ac:dyDescent="0.2">
      <c r="A901" t="s">
        <v>1705</v>
      </c>
      <c r="B901" t="s">
        <v>13</v>
      </c>
      <c r="C901" t="s">
        <v>87</v>
      </c>
      <c r="D901" t="s">
        <v>577</v>
      </c>
      <c r="E901" t="s">
        <v>578</v>
      </c>
      <c r="F901" t="s">
        <v>14</v>
      </c>
      <c r="G901">
        <v>71</v>
      </c>
      <c r="H901">
        <v>0</v>
      </c>
      <c r="I901">
        <v>4</v>
      </c>
      <c r="J901">
        <v>75</v>
      </c>
      <c r="K901" s="482">
        <v>0.94699999999999995</v>
      </c>
      <c r="L901" s="482">
        <v>0</v>
      </c>
      <c r="M901" s="482">
        <v>5.2999999999999999E-2</v>
      </c>
    </row>
    <row r="902" spans="1:13" x14ac:dyDescent="0.2">
      <c r="A902" t="s">
        <v>1706</v>
      </c>
      <c r="B902" t="s">
        <v>13</v>
      </c>
      <c r="C902" t="s">
        <v>87</v>
      </c>
      <c r="D902" t="s">
        <v>580</v>
      </c>
      <c r="E902" t="s">
        <v>581</v>
      </c>
      <c r="F902" t="s">
        <v>14</v>
      </c>
      <c r="G902">
        <v>166</v>
      </c>
      <c r="H902">
        <v>1</v>
      </c>
      <c r="I902">
        <v>5</v>
      </c>
      <c r="J902">
        <v>172</v>
      </c>
      <c r="K902" s="482">
        <v>0.96499999999999997</v>
      </c>
      <c r="L902" s="482">
        <v>6.0000000000000001E-3</v>
      </c>
      <c r="M902" s="482">
        <v>2.9000000000000001E-2</v>
      </c>
    </row>
    <row r="903" spans="1:13" x14ac:dyDescent="0.2">
      <c r="A903" t="s">
        <v>1707</v>
      </c>
      <c r="B903" t="s">
        <v>13</v>
      </c>
      <c r="C903" t="s">
        <v>87</v>
      </c>
      <c r="D903" t="s">
        <v>583</v>
      </c>
      <c r="E903" t="s">
        <v>584</v>
      </c>
      <c r="F903" t="s">
        <v>14</v>
      </c>
      <c r="G903">
        <v>159</v>
      </c>
      <c r="H903">
        <v>1</v>
      </c>
      <c r="I903">
        <v>4</v>
      </c>
      <c r="J903">
        <v>164</v>
      </c>
      <c r="K903" s="482">
        <v>0.97</v>
      </c>
      <c r="L903" s="482">
        <v>6.0000000000000001E-3</v>
      </c>
      <c r="M903" s="482">
        <v>2.4E-2</v>
      </c>
    </row>
    <row r="904" spans="1:13" x14ac:dyDescent="0.2">
      <c r="A904" t="s">
        <v>1708</v>
      </c>
      <c r="B904" t="s">
        <v>13</v>
      </c>
      <c r="C904" t="s">
        <v>87</v>
      </c>
      <c r="D904" t="s">
        <v>586</v>
      </c>
      <c r="E904" t="s">
        <v>587</v>
      </c>
      <c r="F904" t="s">
        <v>14</v>
      </c>
      <c r="G904">
        <v>123</v>
      </c>
      <c r="H904">
        <v>0</v>
      </c>
      <c r="I904">
        <v>1</v>
      </c>
      <c r="J904">
        <v>124</v>
      </c>
      <c r="K904" s="482">
        <v>0.99199999999999999</v>
      </c>
      <c r="L904" s="482">
        <v>0</v>
      </c>
      <c r="M904" s="482">
        <v>8.0000000000000002E-3</v>
      </c>
    </row>
    <row r="905" spans="1:13" x14ac:dyDescent="0.2">
      <c r="A905" t="s">
        <v>1697</v>
      </c>
      <c r="B905" t="s">
        <v>13</v>
      </c>
      <c r="C905" t="s">
        <v>87</v>
      </c>
      <c r="D905" t="s">
        <v>554</v>
      </c>
      <c r="E905" t="s">
        <v>555</v>
      </c>
      <c r="F905" t="s">
        <v>14</v>
      </c>
      <c r="G905">
        <v>122</v>
      </c>
      <c r="H905">
        <v>0</v>
      </c>
      <c r="I905">
        <v>4</v>
      </c>
      <c r="J905">
        <v>126</v>
      </c>
      <c r="K905" s="482">
        <v>0.96799999999999997</v>
      </c>
      <c r="L905" s="482">
        <v>0</v>
      </c>
      <c r="M905" s="482">
        <v>3.2000000000000001E-2</v>
      </c>
    </row>
    <row r="906" spans="1:13" x14ac:dyDescent="0.2">
      <c r="A906" t="s">
        <v>1698</v>
      </c>
      <c r="B906" t="s">
        <v>13</v>
      </c>
      <c r="C906" t="s">
        <v>87</v>
      </c>
      <c r="D906" t="s">
        <v>557</v>
      </c>
      <c r="E906" t="s">
        <v>558</v>
      </c>
      <c r="F906" t="s">
        <v>14</v>
      </c>
      <c r="G906">
        <v>47</v>
      </c>
      <c r="H906">
        <v>0</v>
      </c>
      <c r="I906">
        <v>0</v>
      </c>
      <c r="J906">
        <v>47</v>
      </c>
      <c r="K906" s="482">
        <v>1</v>
      </c>
      <c r="L906" s="482">
        <v>0</v>
      </c>
      <c r="M906" s="482">
        <v>0</v>
      </c>
    </row>
    <row r="907" spans="1:13" x14ac:dyDescent="0.2">
      <c r="A907" t="s">
        <v>1660</v>
      </c>
      <c r="B907" t="s">
        <v>13</v>
      </c>
      <c r="C907" t="s">
        <v>87</v>
      </c>
      <c r="D907" t="s">
        <v>560</v>
      </c>
      <c r="E907" t="s">
        <v>561</v>
      </c>
      <c r="F907" t="s">
        <v>14</v>
      </c>
      <c r="G907">
        <v>240</v>
      </c>
      <c r="H907">
        <v>3</v>
      </c>
      <c r="I907">
        <v>6</v>
      </c>
      <c r="J907">
        <v>249</v>
      </c>
      <c r="K907" s="482">
        <v>0.96399999999999997</v>
      </c>
      <c r="L907" s="482">
        <v>1.2E-2</v>
      </c>
      <c r="M907" s="482">
        <v>2.4E-2</v>
      </c>
    </row>
    <row r="908" spans="1:13" x14ac:dyDescent="0.2">
      <c r="A908" t="s">
        <v>1648</v>
      </c>
      <c r="B908" t="s">
        <v>13</v>
      </c>
      <c r="C908" t="s">
        <v>87</v>
      </c>
      <c r="D908" t="s">
        <v>408</v>
      </c>
      <c r="E908" t="s">
        <v>409</v>
      </c>
      <c r="F908" t="s">
        <v>14</v>
      </c>
      <c r="G908">
        <v>182</v>
      </c>
      <c r="H908">
        <v>1</v>
      </c>
      <c r="I908">
        <v>8</v>
      </c>
      <c r="J908">
        <v>191</v>
      </c>
      <c r="K908" s="482">
        <v>0.95299999999999996</v>
      </c>
      <c r="L908" s="482">
        <v>5.0000000000000001E-3</v>
      </c>
      <c r="M908" s="482">
        <v>4.2000000000000003E-2</v>
      </c>
    </row>
    <row r="909" spans="1:13" x14ac:dyDescent="0.2">
      <c r="A909" t="s">
        <v>1764</v>
      </c>
      <c r="B909" t="s">
        <v>13</v>
      </c>
      <c r="C909" t="s">
        <v>87</v>
      </c>
      <c r="D909" t="s">
        <v>752</v>
      </c>
      <c r="E909" t="s">
        <v>753</v>
      </c>
      <c r="F909" t="s">
        <v>14</v>
      </c>
      <c r="G909">
        <v>55</v>
      </c>
      <c r="H909">
        <v>0</v>
      </c>
      <c r="I909">
        <v>3</v>
      </c>
      <c r="J909">
        <v>58</v>
      </c>
      <c r="K909" s="482">
        <v>0.94799999999999995</v>
      </c>
      <c r="L909" s="482">
        <v>0</v>
      </c>
      <c r="M909" s="482">
        <v>5.1999999999999998E-2</v>
      </c>
    </row>
    <row r="910" spans="1:13" x14ac:dyDescent="0.2">
      <c r="A910" t="s">
        <v>1765</v>
      </c>
      <c r="B910" t="s">
        <v>13</v>
      </c>
      <c r="C910" t="s">
        <v>87</v>
      </c>
      <c r="D910" t="s">
        <v>755</v>
      </c>
      <c r="E910" t="s">
        <v>756</v>
      </c>
      <c r="F910" t="s">
        <v>14</v>
      </c>
      <c r="G910">
        <v>116</v>
      </c>
      <c r="H910">
        <v>1</v>
      </c>
      <c r="I910">
        <v>2</v>
      </c>
      <c r="J910">
        <v>119</v>
      </c>
      <c r="K910" s="482">
        <v>0.97499999999999998</v>
      </c>
      <c r="L910" s="482">
        <v>8.0000000000000002E-3</v>
      </c>
      <c r="M910" s="482">
        <v>1.7000000000000001E-2</v>
      </c>
    </row>
    <row r="911" spans="1:13" x14ac:dyDescent="0.2">
      <c r="A911" t="s">
        <v>1766</v>
      </c>
      <c r="B911" t="s">
        <v>13</v>
      </c>
      <c r="C911" t="s">
        <v>87</v>
      </c>
      <c r="D911" t="s">
        <v>758</v>
      </c>
      <c r="E911" t="s">
        <v>759</v>
      </c>
      <c r="F911" t="s">
        <v>14</v>
      </c>
      <c r="G911">
        <v>520</v>
      </c>
      <c r="H911">
        <v>5</v>
      </c>
      <c r="I911">
        <v>18</v>
      </c>
      <c r="J911">
        <v>543</v>
      </c>
      <c r="K911" s="482">
        <v>0.95799999999999996</v>
      </c>
      <c r="L911" s="482">
        <v>8.9999999999999993E-3</v>
      </c>
      <c r="M911" s="482">
        <v>3.3000000000000002E-2</v>
      </c>
    </row>
    <row r="912" spans="1:13" x14ac:dyDescent="0.2">
      <c r="A912" t="s">
        <v>1767</v>
      </c>
      <c r="B912" t="s">
        <v>13</v>
      </c>
      <c r="C912" t="s">
        <v>87</v>
      </c>
      <c r="D912" t="s">
        <v>761</v>
      </c>
      <c r="E912" t="s">
        <v>762</v>
      </c>
      <c r="F912" t="s">
        <v>14</v>
      </c>
      <c r="G912">
        <v>77</v>
      </c>
      <c r="H912">
        <v>0</v>
      </c>
      <c r="I912">
        <v>2</v>
      </c>
      <c r="J912">
        <v>79</v>
      </c>
      <c r="K912" s="482">
        <v>0.97499999999999998</v>
      </c>
      <c r="L912" s="482">
        <v>0</v>
      </c>
      <c r="M912" s="482">
        <v>2.5000000000000001E-2</v>
      </c>
    </row>
    <row r="913" spans="1:13" x14ac:dyDescent="0.2">
      <c r="A913" t="s">
        <v>1768</v>
      </c>
      <c r="B913" t="s">
        <v>13</v>
      </c>
      <c r="C913" t="s">
        <v>87</v>
      </c>
      <c r="D913" t="s">
        <v>764</v>
      </c>
      <c r="E913" t="s">
        <v>765</v>
      </c>
      <c r="F913" t="s">
        <v>14</v>
      </c>
      <c r="G913">
        <v>121</v>
      </c>
      <c r="H913">
        <v>0</v>
      </c>
      <c r="I913">
        <v>5</v>
      </c>
      <c r="J913">
        <v>126</v>
      </c>
      <c r="K913" s="482">
        <v>0.96</v>
      </c>
      <c r="L913" s="482">
        <v>0</v>
      </c>
      <c r="M913" s="482">
        <v>0.04</v>
      </c>
    </row>
    <row r="914" spans="1:13" x14ac:dyDescent="0.2">
      <c r="A914" t="s">
        <v>1769</v>
      </c>
      <c r="B914" t="s">
        <v>13</v>
      </c>
      <c r="C914" t="s">
        <v>87</v>
      </c>
      <c r="D914" t="s">
        <v>767</v>
      </c>
      <c r="E914" t="s">
        <v>768</v>
      </c>
      <c r="F914" t="s">
        <v>14</v>
      </c>
      <c r="G914">
        <v>211</v>
      </c>
      <c r="H914">
        <v>1</v>
      </c>
      <c r="I914">
        <v>11</v>
      </c>
      <c r="J914">
        <v>223</v>
      </c>
      <c r="K914" s="482">
        <v>0.94599999999999995</v>
      </c>
      <c r="L914" s="482">
        <v>4.0000000000000001E-3</v>
      </c>
      <c r="M914" s="482">
        <v>4.9000000000000002E-2</v>
      </c>
    </row>
    <row r="915" spans="1:13" x14ac:dyDescent="0.2">
      <c r="A915" t="s">
        <v>1798</v>
      </c>
      <c r="B915" t="s">
        <v>13</v>
      </c>
      <c r="C915" t="s">
        <v>87</v>
      </c>
      <c r="D915" t="s">
        <v>854</v>
      </c>
      <c r="E915" t="s">
        <v>855</v>
      </c>
      <c r="F915" t="s">
        <v>14</v>
      </c>
      <c r="G915">
        <v>646</v>
      </c>
      <c r="H915">
        <v>2</v>
      </c>
      <c r="I915">
        <v>11</v>
      </c>
      <c r="J915">
        <v>659</v>
      </c>
      <c r="K915" s="482">
        <v>0.98</v>
      </c>
      <c r="L915" s="482">
        <v>3.0000000000000001E-3</v>
      </c>
      <c r="M915" s="482">
        <v>1.7000000000000001E-2</v>
      </c>
    </row>
    <row r="916" spans="1:13" x14ac:dyDescent="0.2">
      <c r="A916" t="s">
        <v>1799</v>
      </c>
      <c r="B916" t="s">
        <v>13</v>
      </c>
      <c r="C916" t="s">
        <v>87</v>
      </c>
      <c r="D916" t="s">
        <v>857</v>
      </c>
      <c r="E916" t="s">
        <v>858</v>
      </c>
      <c r="F916" t="s">
        <v>14</v>
      </c>
      <c r="G916">
        <v>296</v>
      </c>
      <c r="H916">
        <v>2</v>
      </c>
      <c r="I916">
        <v>7</v>
      </c>
      <c r="J916">
        <v>305</v>
      </c>
      <c r="K916" s="482">
        <v>0.97</v>
      </c>
      <c r="L916" s="482">
        <v>7.0000000000000001E-3</v>
      </c>
      <c r="M916" s="482">
        <v>2.3E-2</v>
      </c>
    </row>
    <row r="917" spans="1:13" x14ac:dyDescent="0.2">
      <c r="A917" t="s">
        <v>1800</v>
      </c>
      <c r="B917" t="s">
        <v>13</v>
      </c>
      <c r="C917" t="s">
        <v>87</v>
      </c>
      <c r="D917" t="s">
        <v>860</v>
      </c>
      <c r="E917" t="s">
        <v>861</v>
      </c>
      <c r="F917" t="s">
        <v>14</v>
      </c>
      <c r="G917">
        <v>194</v>
      </c>
      <c r="H917">
        <v>0</v>
      </c>
      <c r="I917">
        <v>6</v>
      </c>
      <c r="J917">
        <v>200</v>
      </c>
      <c r="K917" s="482">
        <v>0.97</v>
      </c>
      <c r="L917" s="482">
        <v>0</v>
      </c>
      <c r="M917" s="482">
        <v>0.03</v>
      </c>
    </row>
    <row r="918" spans="1:13" x14ac:dyDescent="0.2">
      <c r="A918" t="s">
        <v>1801</v>
      </c>
      <c r="B918" t="s">
        <v>13</v>
      </c>
      <c r="C918" t="s">
        <v>87</v>
      </c>
      <c r="D918" t="s">
        <v>863</v>
      </c>
      <c r="E918" t="s">
        <v>864</v>
      </c>
      <c r="F918" t="s">
        <v>14</v>
      </c>
      <c r="G918">
        <v>66</v>
      </c>
      <c r="H918">
        <v>0</v>
      </c>
      <c r="I918">
        <v>1</v>
      </c>
      <c r="J918">
        <v>67</v>
      </c>
      <c r="K918" s="482">
        <v>0.98499999999999999</v>
      </c>
      <c r="L918" s="482">
        <v>0</v>
      </c>
      <c r="M918" s="482">
        <v>1.4999999999999999E-2</v>
      </c>
    </row>
    <row r="919" spans="1:13" x14ac:dyDescent="0.2">
      <c r="A919" t="s">
        <v>1802</v>
      </c>
      <c r="B919" t="s">
        <v>13</v>
      </c>
      <c r="C919" t="s">
        <v>87</v>
      </c>
      <c r="D919" t="s">
        <v>866</v>
      </c>
      <c r="E919" t="s">
        <v>867</v>
      </c>
      <c r="F919" t="s">
        <v>14</v>
      </c>
      <c r="G919">
        <v>368</v>
      </c>
      <c r="H919">
        <v>0</v>
      </c>
      <c r="I919">
        <v>8</v>
      </c>
      <c r="J919">
        <v>376</v>
      </c>
      <c r="K919" s="482">
        <v>0.97899999999999998</v>
      </c>
      <c r="L919" s="482">
        <v>0</v>
      </c>
      <c r="M919" s="482">
        <v>2.1000000000000001E-2</v>
      </c>
    </row>
    <row r="920" spans="1:13" x14ac:dyDescent="0.2">
      <c r="A920" t="s">
        <v>1803</v>
      </c>
      <c r="B920" t="s">
        <v>13</v>
      </c>
      <c r="C920" t="s">
        <v>87</v>
      </c>
      <c r="D920" t="s">
        <v>869</v>
      </c>
      <c r="E920" t="s">
        <v>870</v>
      </c>
      <c r="F920" t="s">
        <v>14</v>
      </c>
      <c r="G920">
        <v>203</v>
      </c>
      <c r="H920">
        <v>0</v>
      </c>
      <c r="I920">
        <v>5</v>
      </c>
      <c r="J920">
        <v>208</v>
      </c>
      <c r="K920" s="482">
        <v>0.97599999999999998</v>
      </c>
      <c r="L920" s="482">
        <v>0</v>
      </c>
      <c r="M920" s="482">
        <v>2.4E-2</v>
      </c>
    </row>
    <row r="921" spans="1:13" x14ac:dyDescent="0.2">
      <c r="A921" t="s">
        <v>1804</v>
      </c>
      <c r="B921" t="s">
        <v>13</v>
      </c>
      <c r="C921" t="s">
        <v>87</v>
      </c>
      <c r="D921" t="s">
        <v>872</v>
      </c>
      <c r="E921" t="s">
        <v>873</v>
      </c>
      <c r="F921" t="s">
        <v>14</v>
      </c>
      <c r="G921">
        <v>304</v>
      </c>
      <c r="H921">
        <v>2</v>
      </c>
      <c r="I921">
        <v>3</v>
      </c>
      <c r="J921">
        <v>309</v>
      </c>
      <c r="K921" s="482">
        <v>0.98399999999999999</v>
      </c>
      <c r="L921" s="482">
        <v>6.0000000000000001E-3</v>
      </c>
      <c r="M921" s="482">
        <v>0.01</v>
      </c>
    </row>
    <row r="922" spans="1:13" x14ac:dyDescent="0.2">
      <c r="A922" t="s">
        <v>1805</v>
      </c>
      <c r="B922" t="s">
        <v>13</v>
      </c>
      <c r="C922" t="s">
        <v>87</v>
      </c>
      <c r="D922" t="s">
        <v>875</v>
      </c>
      <c r="E922" t="s">
        <v>876</v>
      </c>
      <c r="F922" t="s">
        <v>14</v>
      </c>
      <c r="G922">
        <v>372</v>
      </c>
      <c r="H922">
        <v>7</v>
      </c>
      <c r="I922">
        <v>7</v>
      </c>
      <c r="J922">
        <v>386</v>
      </c>
      <c r="K922" s="482">
        <v>0.96399999999999997</v>
      </c>
      <c r="L922" s="482">
        <v>1.7999999999999999E-2</v>
      </c>
      <c r="M922" s="482">
        <v>1.7999999999999999E-2</v>
      </c>
    </row>
    <row r="923" spans="1:13" x14ac:dyDescent="0.2">
      <c r="A923" t="s">
        <v>1806</v>
      </c>
      <c r="B923" t="s">
        <v>13</v>
      </c>
      <c r="C923" t="s">
        <v>87</v>
      </c>
      <c r="D923" t="s">
        <v>878</v>
      </c>
      <c r="E923" t="s">
        <v>879</v>
      </c>
      <c r="F923" t="s">
        <v>14</v>
      </c>
      <c r="G923">
        <v>103</v>
      </c>
      <c r="H923">
        <v>0</v>
      </c>
      <c r="I923">
        <v>3</v>
      </c>
      <c r="J923">
        <v>106</v>
      </c>
      <c r="K923" s="482">
        <v>0.97199999999999998</v>
      </c>
      <c r="L923" s="482">
        <v>0</v>
      </c>
      <c r="M923" s="482">
        <v>2.8000000000000001E-2</v>
      </c>
    </row>
    <row r="924" spans="1:13" x14ac:dyDescent="0.2">
      <c r="A924" t="s">
        <v>1807</v>
      </c>
      <c r="B924" t="s">
        <v>13</v>
      </c>
      <c r="C924" t="s">
        <v>87</v>
      </c>
      <c r="D924" t="s">
        <v>881</v>
      </c>
      <c r="E924" t="s">
        <v>882</v>
      </c>
      <c r="F924" t="s">
        <v>14</v>
      </c>
      <c r="G924">
        <v>128</v>
      </c>
      <c r="H924">
        <v>0</v>
      </c>
      <c r="I924">
        <v>2</v>
      </c>
      <c r="J924">
        <v>130</v>
      </c>
      <c r="K924" s="482">
        <v>0.98499999999999999</v>
      </c>
      <c r="L924" s="482">
        <v>0</v>
      </c>
      <c r="M924" s="482">
        <v>1.4999999999999999E-2</v>
      </c>
    </row>
    <row r="925" spans="1:13" x14ac:dyDescent="0.2">
      <c r="A925" t="s">
        <v>1808</v>
      </c>
      <c r="B925" t="s">
        <v>13</v>
      </c>
      <c r="C925" t="s">
        <v>87</v>
      </c>
      <c r="D925" t="s">
        <v>884</v>
      </c>
      <c r="E925" t="s">
        <v>885</v>
      </c>
      <c r="F925" t="s">
        <v>14</v>
      </c>
      <c r="G925">
        <v>238</v>
      </c>
      <c r="H925">
        <v>2</v>
      </c>
      <c r="I925">
        <v>11</v>
      </c>
      <c r="J925">
        <v>251</v>
      </c>
      <c r="K925" s="482">
        <v>0.94799999999999995</v>
      </c>
      <c r="L925" s="482">
        <v>8.0000000000000002E-3</v>
      </c>
      <c r="M925" s="482">
        <v>4.3999999999999997E-2</v>
      </c>
    </row>
    <row r="926" spans="1:13" x14ac:dyDescent="0.2">
      <c r="A926" t="s">
        <v>1809</v>
      </c>
      <c r="B926" t="s">
        <v>13</v>
      </c>
      <c r="C926" t="s">
        <v>87</v>
      </c>
      <c r="D926" t="s">
        <v>887</v>
      </c>
      <c r="E926" t="s">
        <v>888</v>
      </c>
      <c r="F926" t="s">
        <v>14</v>
      </c>
      <c r="G926">
        <v>128</v>
      </c>
      <c r="H926">
        <v>2</v>
      </c>
      <c r="I926">
        <v>3</v>
      </c>
      <c r="J926">
        <v>133</v>
      </c>
      <c r="K926" s="482">
        <v>0.96199999999999997</v>
      </c>
      <c r="L926" s="482">
        <v>1.4999999999999999E-2</v>
      </c>
      <c r="M926" s="482">
        <v>2.3E-2</v>
      </c>
    </row>
    <row r="927" spans="1:13" x14ac:dyDescent="0.2">
      <c r="A927" t="s">
        <v>1810</v>
      </c>
      <c r="B927" t="s">
        <v>13</v>
      </c>
      <c r="C927" t="s">
        <v>87</v>
      </c>
      <c r="D927" t="s">
        <v>890</v>
      </c>
      <c r="E927" t="s">
        <v>891</v>
      </c>
      <c r="F927" t="s">
        <v>14</v>
      </c>
      <c r="G927">
        <v>78</v>
      </c>
      <c r="H927">
        <v>2</v>
      </c>
      <c r="I927">
        <v>0</v>
      </c>
      <c r="J927">
        <v>80</v>
      </c>
      <c r="K927" s="482">
        <v>0.97499999999999998</v>
      </c>
      <c r="L927" s="482">
        <v>2.5000000000000001E-2</v>
      </c>
      <c r="M927" s="482">
        <v>0</v>
      </c>
    </row>
    <row r="928" spans="1:13" x14ac:dyDescent="0.2">
      <c r="A928" t="s">
        <v>1811</v>
      </c>
      <c r="B928" t="s">
        <v>13</v>
      </c>
      <c r="C928" t="s">
        <v>87</v>
      </c>
      <c r="D928" t="s">
        <v>893</v>
      </c>
      <c r="E928" t="s">
        <v>894</v>
      </c>
      <c r="F928" t="s">
        <v>14</v>
      </c>
      <c r="G928">
        <v>98</v>
      </c>
      <c r="H928">
        <v>1</v>
      </c>
      <c r="I928">
        <v>3</v>
      </c>
      <c r="J928">
        <v>102</v>
      </c>
      <c r="K928" s="482">
        <v>0.96099999999999997</v>
      </c>
      <c r="L928" s="482">
        <v>0.01</v>
      </c>
      <c r="M928" s="482">
        <v>2.9000000000000001E-2</v>
      </c>
    </row>
    <row r="929" spans="1:13" x14ac:dyDescent="0.2">
      <c r="A929" t="s">
        <v>1812</v>
      </c>
      <c r="B929" t="s">
        <v>13</v>
      </c>
      <c r="C929" t="s">
        <v>87</v>
      </c>
      <c r="D929" t="s">
        <v>896</v>
      </c>
      <c r="E929" t="s">
        <v>897</v>
      </c>
      <c r="F929" t="s">
        <v>14</v>
      </c>
      <c r="G929">
        <v>117</v>
      </c>
      <c r="H929">
        <v>0</v>
      </c>
      <c r="I929">
        <v>5</v>
      </c>
      <c r="J929">
        <v>122</v>
      </c>
      <c r="K929" s="482">
        <v>0.95899999999999996</v>
      </c>
      <c r="L929" s="482">
        <v>0</v>
      </c>
      <c r="M929" s="482">
        <v>4.1000000000000002E-2</v>
      </c>
    </row>
    <row r="930" spans="1:13" x14ac:dyDescent="0.2">
      <c r="A930" t="s">
        <v>1813</v>
      </c>
      <c r="B930" t="s">
        <v>13</v>
      </c>
      <c r="C930" t="s">
        <v>87</v>
      </c>
      <c r="D930" t="s">
        <v>899</v>
      </c>
      <c r="E930" t="s">
        <v>900</v>
      </c>
      <c r="F930" t="s">
        <v>14</v>
      </c>
      <c r="G930">
        <v>81</v>
      </c>
      <c r="H930">
        <v>1</v>
      </c>
      <c r="I930">
        <v>3</v>
      </c>
      <c r="J930">
        <v>85</v>
      </c>
      <c r="K930" s="482">
        <v>0.95299999999999996</v>
      </c>
      <c r="L930" s="482">
        <v>1.2E-2</v>
      </c>
      <c r="M930" s="482">
        <v>3.5000000000000003E-2</v>
      </c>
    </row>
    <row r="931" spans="1:13" x14ac:dyDescent="0.2">
      <c r="A931" t="s">
        <v>1814</v>
      </c>
      <c r="B931" t="s">
        <v>13</v>
      </c>
      <c r="C931" t="s">
        <v>87</v>
      </c>
      <c r="D931" t="s">
        <v>902</v>
      </c>
      <c r="E931" t="s">
        <v>903</v>
      </c>
      <c r="F931" t="s">
        <v>14</v>
      </c>
      <c r="G931">
        <v>559</v>
      </c>
      <c r="H931">
        <v>6</v>
      </c>
      <c r="I931">
        <v>17</v>
      </c>
      <c r="J931">
        <v>582</v>
      </c>
      <c r="K931" s="482">
        <v>0.96</v>
      </c>
      <c r="L931" s="482">
        <v>0.01</v>
      </c>
      <c r="M931" s="482">
        <v>2.9000000000000001E-2</v>
      </c>
    </row>
    <row r="932" spans="1:13" x14ac:dyDescent="0.2">
      <c r="A932" t="s">
        <v>1817</v>
      </c>
      <c r="B932" t="s">
        <v>13</v>
      </c>
      <c r="C932" t="s">
        <v>87</v>
      </c>
      <c r="D932" t="s">
        <v>905</v>
      </c>
      <c r="E932" t="s">
        <v>906</v>
      </c>
      <c r="F932" t="s">
        <v>14</v>
      </c>
      <c r="G932">
        <v>187</v>
      </c>
      <c r="H932">
        <v>0</v>
      </c>
      <c r="I932">
        <v>7</v>
      </c>
      <c r="J932">
        <v>194</v>
      </c>
      <c r="K932" s="482">
        <v>0.96399999999999997</v>
      </c>
      <c r="L932" s="482">
        <v>0</v>
      </c>
      <c r="M932" s="482">
        <v>3.5999999999999997E-2</v>
      </c>
    </row>
    <row r="933" spans="1:13" x14ac:dyDescent="0.2">
      <c r="A933" t="s">
        <v>1829</v>
      </c>
      <c r="B933" t="s">
        <v>13</v>
      </c>
      <c r="C933" t="s">
        <v>87</v>
      </c>
      <c r="D933" t="s">
        <v>938</v>
      </c>
      <c r="E933" t="s">
        <v>939</v>
      </c>
      <c r="F933" t="s">
        <v>14</v>
      </c>
      <c r="G933">
        <v>105</v>
      </c>
      <c r="H933">
        <v>0</v>
      </c>
      <c r="I933">
        <v>4</v>
      </c>
      <c r="J933">
        <v>109</v>
      </c>
      <c r="K933" s="482">
        <v>0.96299999999999997</v>
      </c>
      <c r="L933" s="482">
        <v>0</v>
      </c>
      <c r="M933" s="482">
        <v>3.6999999999999998E-2</v>
      </c>
    </row>
    <row r="934" spans="1:13" x14ac:dyDescent="0.2">
      <c r="A934" t="s">
        <v>1830</v>
      </c>
      <c r="B934" t="s">
        <v>13</v>
      </c>
      <c r="C934" t="s">
        <v>87</v>
      </c>
      <c r="D934" t="s">
        <v>941</v>
      </c>
      <c r="E934" t="s">
        <v>942</v>
      </c>
      <c r="F934" t="s">
        <v>14</v>
      </c>
      <c r="G934">
        <v>238</v>
      </c>
      <c r="H934">
        <v>1</v>
      </c>
      <c r="I934">
        <v>12</v>
      </c>
      <c r="J934">
        <v>251</v>
      </c>
      <c r="K934" s="482">
        <v>0.94799999999999995</v>
      </c>
      <c r="L934" s="482">
        <v>4.0000000000000001E-3</v>
      </c>
      <c r="M934" s="482">
        <v>4.8000000000000001E-2</v>
      </c>
    </row>
    <row r="935" spans="1:13" x14ac:dyDescent="0.2">
      <c r="A935" t="s">
        <v>1816</v>
      </c>
      <c r="B935" t="s">
        <v>13</v>
      </c>
      <c r="C935" t="s">
        <v>87</v>
      </c>
      <c r="D935" t="s">
        <v>1016</v>
      </c>
      <c r="E935" t="s">
        <v>1017</v>
      </c>
      <c r="F935" t="s">
        <v>14</v>
      </c>
      <c r="G935">
        <v>94</v>
      </c>
      <c r="H935">
        <v>0</v>
      </c>
      <c r="I935">
        <v>4</v>
      </c>
      <c r="J935">
        <v>98</v>
      </c>
      <c r="K935" s="482">
        <v>0.95899999999999996</v>
      </c>
      <c r="L935" s="482">
        <v>0</v>
      </c>
      <c r="M935" s="482">
        <v>4.1000000000000002E-2</v>
      </c>
    </row>
    <row r="936" spans="1:13" x14ac:dyDescent="0.2">
      <c r="A936" t="s">
        <v>1831</v>
      </c>
      <c r="B936" t="s">
        <v>13</v>
      </c>
      <c r="C936" t="s">
        <v>87</v>
      </c>
      <c r="D936" t="s">
        <v>944</v>
      </c>
      <c r="E936" t="s">
        <v>945</v>
      </c>
      <c r="F936" t="s">
        <v>14</v>
      </c>
      <c r="G936">
        <v>309</v>
      </c>
      <c r="H936">
        <v>3</v>
      </c>
      <c r="I936">
        <v>6</v>
      </c>
      <c r="J936">
        <v>318</v>
      </c>
      <c r="K936" s="482">
        <v>0.97199999999999998</v>
      </c>
      <c r="L936" s="482">
        <v>8.9999999999999993E-3</v>
      </c>
      <c r="M936" s="482">
        <v>1.9E-2</v>
      </c>
    </row>
    <row r="937" spans="1:13" x14ac:dyDescent="0.2">
      <c r="A937" t="s">
        <v>1790</v>
      </c>
      <c r="B937" t="s">
        <v>13</v>
      </c>
      <c r="C937" t="s">
        <v>87</v>
      </c>
      <c r="D937" t="s">
        <v>830</v>
      </c>
      <c r="E937" t="s">
        <v>831</v>
      </c>
      <c r="F937" t="s">
        <v>14</v>
      </c>
      <c r="G937">
        <v>174</v>
      </c>
      <c r="H937">
        <v>0</v>
      </c>
      <c r="I937">
        <v>2</v>
      </c>
      <c r="J937">
        <v>176</v>
      </c>
      <c r="K937" s="482">
        <v>0.98899999999999999</v>
      </c>
      <c r="L937" s="482">
        <v>0</v>
      </c>
      <c r="M937" s="482">
        <v>1.0999999999999999E-2</v>
      </c>
    </row>
    <row r="938" spans="1:13" x14ac:dyDescent="0.2">
      <c r="A938" t="s">
        <v>1791</v>
      </c>
      <c r="B938" t="s">
        <v>13</v>
      </c>
      <c r="C938" t="s">
        <v>87</v>
      </c>
      <c r="D938" t="s">
        <v>833</v>
      </c>
      <c r="E938" t="s">
        <v>834</v>
      </c>
      <c r="F938" t="s">
        <v>14</v>
      </c>
      <c r="G938">
        <v>357</v>
      </c>
      <c r="H938">
        <v>4</v>
      </c>
      <c r="I938">
        <v>13</v>
      </c>
      <c r="J938">
        <v>374</v>
      </c>
      <c r="K938" s="482">
        <v>0.95499999999999996</v>
      </c>
      <c r="L938" s="482">
        <v>1.0999999999999999E-2</v>
      </c>
      <c r="M938" s="482">
        <v>3.5000000000000003E-2</v>
      </c>
    </row>
    <row r="939" spans="1:13" x14ac:dyDescent="0.2">
      <c r="A939" t="s">
        <v>1792</v>
      </c>
      <c r="B939" t="s">
        <v>13</v>
      </c>
      <c r="C939" t="s">
        <v>87</v>
      </c>
      <c r="D939" t="s">
        <v>836</v>
      </c>
      <c r="E939" t="s">
        <v>837</v>
      </c>
      <c r="F939" t="s">
        <v>14</v>
      </c>
      <c r="G939">
        <v>170</v>
      </c>
      <c r="H939">
        <v>0</v>
      </c>
      <c r="I939">
        <v>6</v>
      </c>
      <c r="J939">
        <v>176</v>
      </c>
      <c r="K939" s="482">
        <v>0.96599999999999997</v>
      </c>
      <c r="L939" s="482">
        <v>0</v>
      </c>
      <c r="M939" s="482">
        <v>3.4000000000000002E-2</v>
      </c>
    </row>
    <row r="940" spans="1:13" x14ac:dyDescent="0.2">
      <c r="A940" t="s">
        <v>1793</v>
      </c>
      <c r="B940" t="s">
        <v>13</v>
      </c>
      <c r="C940" t="s">
        <v>87</v>
      </c>
      <c r="D940" t="s">
        <v>839</v>
      </c>
      <c r="E940" t="s">
        <v>840</v>
      </c>
      <c r="F940" t="s">
        <v>14</v>
      </c>
      <c r="G940">
        <v>135</v>
      </c>
      <c r="H940">
        <v>2</v>
      </c>
      <c r="I940">
        <v>1</v>
      </c>
      <c r="J940">
        <v>138</v>
      </c>
      <c r="K940" s="482">
        <v>0.97799999999999998</v>
      </c>
      <c r="L940" s="482">
        <v>1.4E-2</v>
      </c>
      <c r="M940" s="482">
        <v>7.0000000000000001E-3</v>
      </c>
    </row>
    <row r="941" spans="1:13" x14ac:dyDescent="0.2">
      <c r="A941" t="s">
        <v>1794</v>
      </c>
      <c r="B941" t="s">
        <v>13</v>
      </c>
      <c r="C941" t="s">
        <v>87</v>
      </c>
      <c r="D941" t="s">
        <v>842</v>
      </c>
      <c r="E941" t="s">
        <v>843</v>
      </c>
      <c r="F941" t="s">
        <v>14</v>
      </c>
      <c r="G941">
        <v>221</v>
      </c>
      <c r="H941">
        <v>0</v>
      </c>
      <c r="I941">
        <v>3</v>
      </c>
      <c r="J941">
        <v>224</v>
      </c>
      <c r="K941" s="482">
        <v>0.98699999999999999</v>
      </c>
      <c r="L941" s="482">
        <v>0</v>
      </c>
      <c r="M941" s="482">
        <v>1.2999999999999999E-2</v>
      </c>
    </row>
    <row r="942" spans="1:13" x14ac:dyDescent="0.2">
      <c r="A942" t="s">
        <v>1795</v>
      </c>
      <c r="B942" t="s">
        <v>13</v>
      </c>
      <c r="C942" t="s">
        <v>87</v>
      </c>
      <c r="D942" t="s">
        <v>845</v>
      </c>
      <c r="E942" t="s">
        <v>846</v>
      </c>
      <c r="F942" t="s">
        <v>14</v>
      </c>
      <c r="G942">
        <v>120</v>
      </c>
      <c r="H942">
        <v>1</v>
      </c>
      <c r="I942">
        <v>3</v>
      </c>
      <c r="J942">
        <v>124</v>
      </c>
      <c r="K942" s="482">
        <v>0.96799999999999997</v>
      </c>
      <c r="L942" s="482">
        <v>8.0000000000000002E-3</v>
      </c>
      <c r="M942" s="482">
        <v>2.4E-2</v>
      </c>
    </row>
    <row r="943" spans="1:13" x14ac:dyDescent="0.2">
      <c r="A943" t="s">
        <v>1796</v>
      </c>
      <c r="B943" t="s">
        <v>13</v>
      </c>
      <c r="C943" t="s">
        <v>87</v>
      </c>
      <c r="D943" t="s">
        <v>848</v>
      </c>
      <c r="E943" t="s">
        <v>849</v>
      </c>
      <c r="F943" t="s">
        <v>14</v>
      </c>
      <c r="G943">
        <v>146</v>
      </c>
      <c r="H943">
        <v>0</v>
      </c>
      <c r="I943">
        <v>5</v>
      </c>
      <c r="J943">
        <v>151</v>
      </c>
      <c r="K943" s="482">
        <v>0.96699999999999997</v>
      </c>
      <c r="L943" s="482">
        <v>0</v>
      </c>
      <c r="M943" s="482">
        <v>3.3000000000000002E-2</v>
      </c>
    </row>
    <row r="944" spans="1:13" x14ac:dyDescent="0.2">
      <c r="A944" t="s">
        <v>1825</v>
      </c>
      <c r="B944" t="s">
        <v>13</v>
      </c>
      <c r="C944" t="s">
        <v>87</v>
      </c>
      <c r="D944" t="s">
        <v>851</v>
      </c>
      <c r="E944" t="s">
        <v>852</v>
      </c>
      <c r="F944" t="s">
        <v>14</v>
      </c>
      <c r="G944">
        <v>40</v>
      </c>
      <c r="H944">
        <v>2</v>
      </c>
      <c r="I944">
        <v>2</v>
      </c>
      <c r="J944">
        <v>44</v>
      </c>
      <c r="K944" s="482">
        <v>0.90900000000000003</v>
      </c>
      <c r="L944" s="482">
        <v>4.4999999999999998E-2</v>
      </c>
      <c r="M944" s="482">
        <v>4.4999999999999998E-2</v>
      </c>
    </row>
    <row r="945" spans="1:13" x14ac:dyDescent="0.2">
      <c r="A945" t="s">
        <v>1828</v>
      </c>
      <c r="B945" t="s">
        <v>13</v>
      </c>
      <c r="C945" t="s">
        <v>87</v>
      </c>
      <c r="D945" t="s">
        <v>935</v>
      </c>
      <c r="E945" t="s">
        <v>936</v>
      </c>
      <c r="F945" t="s">
        <v>14</v>
      </c>
      <c r="G945">
        <v>35</v>
      </c>
      <c r="H945">
        <v>1</v>
      </c>
      <c r="I945">
        <v>4</v>
      </c>
      <c r="J945">
        <v>40</v>
      </c>
      <c r="K945" s="482">
        <v>0.875</v>
      </c>
      <c r="L945" s="482">
        <v>2.5000000000000001E-2</v>
      </c>
      <c r="M945" s="482">
        <v>0.1</v>
      </c>
    </row>
    <row r="946" spans="1:13" x14ac:dyDescent="0.2">
      <c r="A946" t="s">
        <v>1827</v>
      </c>
      <c r="B946" t="s">
        <v>13</v>
      </c>
      <c r="C946" t="s">
        <v>87</v>
      </c>
      <c r="D946" t="s">
        <v>932</v>
      </c>
      <c r="E946" t="s">
        <v>933</v>
      </c>
      <c r="F946" t="s">
        <v>14</v>
      </c>
      <c r="G946">
        <v>227</v>
      </c>
      <c r="H946">
        <v>0</v>
      </c>
      <c r="I946">
        <v>10</v>
      </c>
      <c r="J946">
        <v>237</v>
      </c>
      <c r="K946" s="482">
        <v>0.95799999999999996</v>
      </c>
      <c r="L946" s="482">
        <v>0</v>
      </c>
      <c r="M946" s="482">
        <v>4.2000000000000003E-2</v>
      </c>
    </row>
    <row r="947" spans="1:13" x14ac:dyDescent="0.2">
      <c r="A947" t="s">
        <v>1832</v>
      </c>
      <c r="B947" t="s">
        <v>13</v>
      </c>
      <c r="C947" t="s">
        <v>87</v>
      </c>
      <c r="D947" t="s">
        <v>947</v>
      </c>
      <c r="E947" t="s">
        <v>948</v>
      </c>
      <c r="F947" t="s">
        <v>14</v>
      </c>
      <c r="G947">
        <v>140</v>
      </c>
      <c r="H947">
        <v>0</v>
      </c>
      <c r="I947">
        <v>2</v>
      </c>
      <c r="J947">
        <v>142</v>
      </c>
      <c r="K947" s="482">
        <v>0.98599999999999999</v>
      </c>
      <c r="L947" s="482">
        <v>0</v>
      </c>
      <c r="M947" s="482">
        <v>1.4E-2</v>
      </c>
    </row>
    <row r="948" spans="1:13" x14ac:dyDescent="0.2">
      <c r="A948" t="s">
        <v>1833</v>
      </c>
      <c r="B948" t="s">
        <v>13</v>
      </c>
      <c r="C948" t="s">
        <v>87</v>
      </c>
      <c r="D948" t="s">
        <v>950</v>
      </c>
      <c r="E948" t="s">
        <v>951</v>
      </c>
      <c r="F948" t="s">
        <v>14</v>
      </c>
      <c r="G948">
        <v>197</v>
      </c>
      <c r="H948">
        <v>2</v>
      </c>
      <c r="I948">
        <v>10</v>
      </c>
      <c r="J948">
        <v>209</v>
      </c>
      <c r="K948" s="482">
        <v>0.94299999999999995</v>
      </c>
      <c r="L948" s="482">
        <v>0.01</v>
      </c>
      <c r="M948" s="482">
        <v>4.8000000000000001E-2</v>
      </c>
    </row>
    <row r="949" spans="1:13" x14ac:dyDescent="0.2">
      <c r="A949" t="s">
        <v>1834</v>
      </c>
      <c r="B949" t="s">
        <v>13</v>
      </c>
      <c r="C949" t="s">
        <v>87</v>
      </c>
      <c r="D949" t="s">
        <v>953</v>
      </c>
      <c r="E949" t="s">
        <v>954</v>
      </c>
      <c r="F949" t="s">
        <v>14</v>
      </c>
      <c r="G949">
        <v>134</v>
      </c>
      <c r="H949">
        <v>0</v>
      </c>
      <c r="I949">
        <v>5</v>
      </c>
      <c r="J949">
        <v>139</v>
      </c>
      <c r="K949" s="482">
        <v>0.96399999999999997</v>
      </c>
      <c r="L949" s="482">
        <v>0</v>
      </c>
      <c r="M949" s="482">
        <v>3.5999999999999997E-2</v>
      </c>
    </row>
    <row r="950" spans="1:13" x14ac:dyDescent="0.2">
      <c r="A950" t="s">
        <v>1835</v>
      </c>
      <c r="B950" t="s">
        <v>13</v>
      </c>
      <c r="C950" t="s">
        <v>87</v>
      </c>
      <c r="D950" t="s">
        <v>956</v>
      </c>
      <c r="E950" t="s">
        <v>957</v>
      </c>
      <c r="F950" t="s">
        <v>14</v>
      </c>
      <c r="G950">
        <v>81</v>
      </c>
      <c r="H950">
        <v>2</v>
      </c>
      <c r="I950">
        <v>1</v>
      </c>
      <c r="J950">
        <v>84</v>
      </c>
      <c r="K950" s="482">
        <v>0.96399999999999997</v>
      </c>
      <c r="L950" s="482">
        <v>2.4E-2</v>
      </c>
      <c r="M950" s="482">
        <v>1.2E-2</v>
      </c>
    </row>
    <row r="951" spans="1:13" x14ac:dyDescent="0.2">
      <c r="A951" t="s">
        <v>1836</v>
      </c>
      <c r="B951" t="s">
        <v>13</v>
      </c>
      <c r="C951" t="s">
        <v>87</v>
      </c>
      <c r="D951" t="s">
        <v>959</v>
      </c>
      <c r="E951" t="s">
        <v>960</v>
      </c>
      <c r="F951" t="s">
        <v>14</v>
      </c>
      <c r="G951">
        <v>474</v>
      </c>
      <c r="H951">
        <v>4</v>
      </c>
      <c r="I951">
        <v>14</v>
      </c>
      <c r="J951">
        <v>492</v>
      </c>
      <c r="K951" s="482">
        <v>0.96299999999999997</v>
      </c>
      <c r="L951" s="482">
        <v>8.0000000000000002E-3</v>
      </c>
      <c r="M951" s="482">
        <v>2.8000000000000001E-2</v>
      </c>
    </row>
    <row r="952" spans="1:13" x14ac:dyDescent="0.2">
      <c r="A952" t="s">
        <v>1837</v>
      </c>
      <c r="B952" t="s">
        <v>13</v>
      </c>
      <c r="C952" t="s">
        <v>87</v>
      </c>
      <c r="D952" t="s">
        <v>962</v>
      </c>
      <c r="E952" t="s">
        <v>963</v>
      </c>
      <c r="F952" t="s">
        <v>14</v>
      </c>
      <c r="G952">
        <v>89</v>
      </c>
      <c r="H952">
        <v>0</v>
      </c>
      <c r="I952">
        <v>0</v>
      </c>
      <c r="J952">
        <v>89</v>
      </c>
      <c r="K952" s="482">
        <v>1</v>
      </c>
      <c r="L952" s="482">
        <v>0</v>
      </c>
      <c r="M952" s="482">
        <v>0</v>
      </c>
    </row>
    <row r="953" spans="1:13" x14ac:dyDescent="0.2">
      <c r="A953" t="s">
        <v>1838</v>
      </c>
      <c r="B953" t="s">
        <v>13</v>
      </c>
      <c r="C953" t="s">
        <v>87</v>
      </c>
      <c r="D953" t="s">
        <v>965</v>
      </c>
      <c r="E953" t="s">
        <v>966</v>
      </c>
      <c r="F953" t="s">
        <v>14</v>
      </c>
      <c r="G953">
        <v>34</v>
      </c>
      <c r="H953">
        <v>0</v>
      </c>
      <c r="I953">
        <v>3</v>
      </c>
      <c r="J953">
        <v>37</v>
      </c>
      <c r="K953" s="482">
        <v>0.91900000000000004</v>
      </c>
      <c r="L953" s="482">
        <v>0</v>
      </c>
      <c r="M953" s="482">
        <v>8.1000000000000003E-2</v>
      </c>
    </row>
    <row r="954" spans="1:13" x14ac:dyDescent="0.2">
      <c r="A954" t="s">
        <v>1839</v>
      </c>
      <c r="B954" t="s">
        <v>13</v>
      </c>
      <c r="C954" t="s">
        <v>87</v>
      </c>
      <c r="D954" t="s">
        <v>968</v>
      </c>
      <c r="E954" t="s">
        <v>969</v>
      </c>
      <c r="F954" t="s">
        <v>14</v>
      </c>
      <c r="G954">
        <v>154</v>
      </c>
      <c r="H954">
        <v>0</v>
      </c>
      <c r="I954">
        <v>7</v>
      </c>
      <c r="J954">
        <v>161</v>
      </c>
      <c r="K954" s="482">
        <v>0.95699999999999996</v>
      </c>
      <c r="L954" s="482">
        <v>0</v>
      </c>
      <c r="M954" s="482">
        <v>4.2999999999999997E-2</v>
      </c>
    </row>
    <row r="955" spans="1:13" x14ac:dyDescent="0.2">
      <c r="A955" t="s">
        <v>1840</v>
      </c>
      <c r="B955" t="s">
        <v>13</v>
      </c>
      <c r="C955" t="s">
        <v>87</v>
      </c>
      <c r="D955" t="s">
        <v>971</v>
      </c>
      <c r="E955" t="s">
        <v>972</v>
      </c>
      <c r="F955" t="s">
        <v>14</v>
      </c>
      <c r="G955">
        <v>159</v>
      </c>
      <c r="H955">
        <v>0</v>
      </c>
      <c r="I955">
        <v>4</v>
      </c>
      <c r="J955">
        <v>163</v>
      </c>
      <c r="K955" s="482">
        <v>0.97499999999999998</v>
      </c>
      <c r="L955" s="482">
        <v>0</v>
      </c>
      <c r="M955" s="482">
        <v>2.5000000000000001E-2</v>
      </c>
    </row>
    <row r="956" spans="1:13" x14ac:dyDescent="0.2">
      <c r="A956" t="s">
        <v>1841</v>
      </c>
      <c r="B956" t="s">
        <v>13</v>
      </c>
      <c r="C956" t="s">
        <v>87</v>
      </c>
      <c r="D956" t="s">
        <v>974</v>
      </c>
      <c r="E956" t="s">
        <v>975</v>
      </c>
      <c r="F956" t="s">
        <v>14</v>
      </c>
      <c r="G956">
        <v>179</v>
      </c>
      <c r="H956">
        <v>0</v>
      </c>
      <c r="I956">
        <v>0</v>
      </c>
      <c r="J956">
        <v>179</v>
      </c>
      <c r="K956" s="482">
        <v>1</v>
      </c>
      <c r="L956" s="482">
        <v>0</v>
      </c>
      <c r="M956" s="482">
        <v>0</v>
      </c>
    </row>
    <row r="957" spans="1:13" x14ac:dyDescent="0.2">
      <c r="A957" t="s">
        <v>1842</v>
      </c>
      <c r="B957" t="s">
        <v>13</v>
      </c>
      <c r="C957" t="s">
        <v>87</v>
      </c>
      <c r="D957" t="s">
        <v>977</v>
      </c>
      <c r="E957" t="s">
        <v>978</v>
      </c>
      <c r="F957" t="s">
        <v>14</v>
      </c>
      <c r="G957">
        <v>183</v>
      </c>
      <c r="H957">
        <v>1</v>
      </c>
      <c r="I957">
        <v>5</v>
      </c>
      <c r="J957">
        <v>189</v>
      </c>
      <c r="K957" s="482">
        <v>0.96799999999999997</v>
      </c>
      <c r="L957" s="482">
        <v>5.0000000000000001E-3</v>
      </c>
      <c r="M957" s="482">
        <v>2.5999999999999999E-2</v>
      </c>
    </row>
    <row r="958" spans="1:13" x14ac:dyDescent="0.2">
      <c r="A958" t="s">
        <v>1843</v>
      </c>
      <c r="B958" t="s">
        <v>13</v>
      </c>
      <c r="C958" t="s">
        <v>87</v>
      </c>
      <c r="D958" t="s">
        <v>980</v>
      </c>
      <c r="E958" t="s">
        <v>981</v>
      </c>
      <c r="F958" t="s">
        <v>14</v>
      </c>
      <c r="G958">
        <v>194</v>
      </c>
      <c r="H958">
        <v>0</v>
      </c>
      <c r="I958">
        <v>4</v>
      </c>
      <c r="J958">
        <v>198</v>
      </c>
      <c r="K958" s="482">
        <v>0.98</v>
      </c>
      <c r="L958" s="482">
        <v>0</v>
      </c>
      <c r="M958" s="482">
        <v>0.02</v>
      </c>
    </row>
    <row r="959" spans="1:13" x14ac:dyDescent="0.2">
      <c r="A959" t="s">
        <v>1844</v>
      </c>
      <c r="B959" t="s">
        <v>13</v>
      </c>
      <c r="C959" t="s">
        <v>87</v>
      </c>
      <c r="D959" t="s">
        <v>983</v>
      </c>
      <c r="E959" t="s">
        <v>984</v>
      </c>
      <c r="F959" t="s">
        <v>14</v>
      </c>
      <c r="G959">
        <v>227</v>
      </c>
      <c r="H959">
        <v>3</v>
      </c>
      <c r="I959">
        <v>12</v>
      </c>
      <c r="J959">
        <v>242</v>
      </c>
      <c r="K959" s="482">
        <v>0.93799999999999994</v>
      </c>
      <c r="L959" s="482">
        <v>1.2E-2</v>
      </c>
      <c r="M959" s="482">
        <v>0.05</v>
      </c>
    </row>
    <row r="960" spans="1:13" x14ac:dyDescent="0.2">
      <c r="A960" t="s">
        <v>1845</v>
      </c>
      <c r="B960" t="s">
        <v>13</v>
      </c>
      <c r="C960" t="s">
        <v>87</v>
      </c>
      <c r="D960" t="s">
        <v>986</v>
      </c>
      <c r="E960" t="s">
        <v>987</v>
      </c>
      <c r="F960" t="s">
        <v>14</v>
      </c>
      <c r="G960">
        <v>105</v>
      </c>
      <c r="H960">
        <v>2</v>
      </c>
      <c r="I960">
        <v>1</v>
      </c>
      <c r="J960">
        <v>108</v>
      </c>
      <c r="K960" s="482">
        <v>0.97199999999999998</v>
      </c>
      <c r="L960" s="482">
        <v>1.9E-2</v>
      </c>
      <c r="M960" s="482">
        <v>8.9999999999999993E-3</v>
      </c>
    </row>
    <row r="961" spans="1:13" x14ac:dyDescent="0.2">
      <c r="A961" t="s">
        <v>1846</v>
      </c>
      <c r="B961" t="s">
        <v>13</v>
      </c>
      <c r="C961" t="s">
        <v>87</v>
      </c>
      <c r="D961" t="s">
        <v>989</v>
      </c>
      <c r="E961" t="s">
        <v>990</v>
      </c>
      <c r="F961" t="s">
        <v>14</v>
      </c>
      <c r="G961">
        <v>86</v>
      </c>
      <c r="H961">
        <v>0</v>
      </c>
      <c r="I961">
        <v>2</v>
      </c>
      <c r="J961">
        <v>88</v>
      </c>
      <c r="K961" s="482">
        <v>0.97699999999999998</v>
      </c>
      <c r="L961" s="482">
        <v>0</v>
      </c>
      <c r="M961" s="482">
        <v>2.3E-2</v>
      </c>
    </row>
    <row r="962" spans="1:13" x14ac:dyDescent="0.2">
      <c r="A962" t="s">
        <v>1797</v>
      </c>
      <c r="B962" t="s">
        <v>13</v>
      </c>
      <c r="C962" t="s">
        <v>87</v>
      </c>
      <c r="D962" t="s">
        <v>731</v>
      </c>
      <c r="E962" t="s">
        <v>732</v>
      </c>
      <c r="F962" t="s">
        <v>14</v>
      </c>
      <c r="G962">
        <v>14</v>
      </c>
      <c r="H962">
        <v>0</v>
      </c>
      <c r="I962">
        <v>0</v>
      </c>
      <c r="J962">
        <v>14</v>
      </c>
      <c r="K962" s="482">
        <v>1</v>
      </c>
      <c r="L962" s="482">
        <v>0</v>
      </c>
      <c r="M962" s="482">
        <v>0</v>
      </c>
    </row>
    <row r="963" spans="1:13" x14ac:dyDescent="0.2">
      <c r="A963" t="s">
        <v>1758</v>
      </c>
      <c r="B963" t="s">
        <v>13</v>
      </c>
      <c r="C963" t="s">
        <v>87</v>
      </c>
      <c r="D963" t="s">
        <v>734</v>
      </c>
      <c r="E963" t="s">
        <v>735</v>
      </c>
      <c r="F963" t="s">
        <v>14</v>
      </c>
      <c r="G963">
        <v>199</v>
      </c>
      <c r="H963">
        <v>0</v>
      </c>
      <c r="I963">
        <v>7</v>
      </c>
      <c r="J963">
        <v>206</v>
      </c>
      <c r="K963" s="482">
        <v>0.96599999999999997</v>
      </c>
      <c r="L963" s="482">
        <v>0</v>
      </c>
      <c r="M963" s="482">
        <v>3.4000000000000002E-2</v>
      </c>
    </row>
    <row r="964" spans="1:13" x14ac:dyDescent="0.2">
      <c r="A964" t="s">
        <v>1709</v>
      </c>
      <c r="B964" t="s">
        <v>13</v>
      </c>
      <c r="C964" t="s">
        <v>87</v>
      </c>
      <c r="D964" t="s">
        <v>589</v>
      </c>
      <c r="E964" t="s">
        <v>590</v>
      </c>
      <c r="F964" t="s">
        <v>14</v>
      </c>
      <c r="G964">
        <v>167</v>
      </c>
      <c r="H964">
        <v>3</v>
      </c>
      <c r="I964">
        <v>8</v>
      </c>
      <c r="J964">
        <v>178</v>
      </c>
      <c r="K964" s="482">
        <v>0.93799999999999994</v>
      </c>
      <c r="L964" s="482">
        <v>1.7000000000000001E-2</v>
      </c>
      <c r="M964" s="482">
        <v>4.4999999999999998E-2</v>
      </c>
    </row>
    <row r="965" spans="1:13" x14ac:dyDescent="0.2">
      <c r="A965" t="s">
        <v>1710</v>
      </c>
      <c r="B965" t="s">
        <v>13</v>
      </c>
      <c r="C965" t="s">
        <v>87</v>
      </c>
      <c r="D965" t="s">
        <v>592</v>
      </c>
      <c r="E965" t="s">
        <v>593</v>
      </c>
      <c r="F965" t="s">
        <v>14</v>
      </c>
      <c r="G965">
        <v>330</v>
      </c>
      <c r="H965">
        <v>3</v>
      </c>
      <c r="I965">
        <v>4</v>
      </c>
      <c r="J965">
        <v>337</v>
      </c>
      <c r="K965" s="482">
        <v>0.97899999999999998</v>
      </c>
      <c r="L965" s="482">
        <v>8.9999999999999993E-3</v>
      </c>
      <c r="M965" s="482">
        <v>1.2E-2</v>
      </c>
    </row>
    <row r="966" spans="1:13" x14ac:dyDescent="0.2">
      <c r="A966" t="s">
        <v>1711</v>
      </c>
      <c r="B966" t="s">
        <v>13</v>
      </c>
      <c r="C966" t="s">
        <v>87</v>
      </c>
      <c r="D966" t="s">
        <v>595</v>
      </c>
      <c r="E966" t="s">
        <v>596</v>
      </c>
      <c r="F966" t="s">
        <v>14</v>
      </c>
      <c r="G966">
        <v>69</v>
      </c>
      <c r="H966">
        <v>1</v>
      </c>
      <c r="I966">
        <v>1</v>
      </c>
      <c r="J966">
        <v>71</v>
      </c>
      <c r="K966" s="482">
        <v>0.97199999999999998</v>
      </c>
      <c r="L966" s="482">
        <v>1.4E-2</v>
      </c>
      <c r="M966" s="482">
        <v>1.4E-2</v>
      </c>
    </row>
    <row r="967" spans="1:13" x14ac:dyDescent="0.2">
      <c r="A967" t="s">
        <v>1712</v>
      </c>
      <c r="B967" t="s">
        <v>13</v>
      </c>
      <c r="C967" t="s">
        <v>87</v>
      </c>
      <c r="D967" t="s">
        <v>598</v>
      </c>
      <c r="E967" t="s">
        <v>599</v>
      </c>
      <c r="F967" t="s">
        <v>14</v>
      </c>
      <c r="G967">
        <v>371</v>
      </c>
      <c r="H967">
        <v>0</v>
      </c>
      <c r="I967">
        <v>11</v>
      </c>
      <c r="J967">
        <v>382</v>
      </c>
      <c r="K967" s="482">
        <v>0.97099999999999997</v>
      </c>
      <c r="L967" s="482">
        <v>0</v>
      </c>
      <c r="M967" s="482">
        <v>2.9000000000000001E-2</v>
      </c>
    </row>
    <row r="968" spans="1:13" x14ac:dyDescent="0.2">
      <c r="A968" t="s">
        <v>1713</v>
      </c>
      <c r="B968" t="s">
        <v>13</v>
      </c>
      <c r="C968" t="s">
        <v>87</v>
      </c>
      <c r="D968" t="s">
        <v>601</v>
      </c>
      <c r="E968" t="s">
        <v>602</v>
      </c>
      <c r="F968" t="s">
        <v>14</v>
      </c>
      <c r="G968">
        <v>84</v>
      </c>
      <c r="H968">
        <v>0</v>
      </c>
      <c r="I968">
        <v>2</v>
      </c>
      <c r="J968">
        <v>86</v>
      </c>
      <c r="K968" s="482">
        <v>0.97699999999999998</v>
      </c>
      <c r="L968" s="482">
        <v>0</v>
      </c>
      <c r="M968" s="482">
        <v>2.3E-2</v>
      </c>
    </row>
    <row r="969" spans="1:13" x14ac:dyDescent="0.2">
      <c r="A969" t="s">
        <v>1714</v>
      </c>
      <c r="B969" t="s">
        <v>13</v>
      </c>
      <c r="C969" t="s">
        <v>87</v>
      </c>
      <c r="D969" t="s">
        <v>604</v>
      </c>
      <c r="E969" t="s">
        <v>605</v>
      </c>
      <c r="F969" t="s">
        <v>14</v>
      </c>
      <c r="G969">
        <v>66</v>
      </c>
      <c r="H969">
        <v>0</v>
      </c>
      <c r="I969">
        <v>4</v>
      </c>
      <c r="J969">
        <v>70</v>
      </c>
      <c r="K969" s="482">
        <v>0.94299999999999995</v>
      </c>
      <c r="L969" s="482">
        <v>0</v>
      </c>
      <c r="M969" s="482">
        <v>5.7000000000000002E-2</v>
      </c>
    </row>
    <row r="970" spans="1:13" x14ac:dyDescent="0.2">
      <c r="A970" t="s">
        <v>1715</v>
      </c>
      <c r="B970" t="s">
        <v>13</v>
      </c>
      <c r="C970" t="s">
        <v>87</v>
      </c>
      <c r="D970" t="s">
        <v>607</v>
      </c>
      <c r="E970" t="s">
        <v>608</v>
      </c>
      <c r="F970" t="s">
        <v>14</v>
      </c>
      <c r="G970">
        <v>42</v>
      </c>
      <c r="H970">
        <v>0</v>
      </c>
      <c r="I970">
        <v>6</v>
      </c>
      <c r="J970">
        <v>48</v>
      </c>
      <c r="K970" s="482">
        <v>0.875</v>
      </c>
      <c r="L970" s="482">
        <v>0</v>
      </c>
      <c r="M970" s="482">
        <v>0.125</v>
      </c>
    </row>
    <row r="971" spans="1:13" x14ac:dyDescent="0.2">
      <c r="A971" t="s">
        <v>1742</v>
      </c>
      <c r="B971" t="s">
        <v>13</v>
      </c>
      <c r="C971" t="s">
        <v>87</v>
      </c>
      <c r="D971" t="s">
        <v>683</v>
      </c>
      <c r="E971" t="s">
        <v>684</v>
      </c>
      <c r="F971" t="s">
        <v>14</v>
      </c>
      <c r="G971">
        <v>125</v>
      </c>
      <c r="H971">
        <v>0</v>
      </c>
      <c r="I971">
        <v>3</v>
      </c>
      <c r="J971">
        <v>128</v>
      </c>
      <c r="K971" s="482">
        <v>0.97699999999999998</v>
      </c>
      <c r="L971" s="482">
        <v>0</v>
      </c>
      <c r="M971" s="482">
        <v>2.3E-2</v>
      </c>
    </row>
    <row r="972" spans="1:13" x14ac:dyDescent="0.2">
      <c r="A972" t="s">
        <v>1743</v>
      </c>
      <c r="B972" t="s">
        <v>13</v>
      </c>
      <c r="C972" t="s">
        <v>87</v>
      </c>
      <c r="D972" t="s">
        <v>686</v>
      </c>
      <c r="E972" t="s">
        <v>687</v>
      </c>
      <c r="F972" t="s">
        <v>14</v>
      </c>
      <c r="G972">
        <v>71</v>
      </c>
      <c r="H972">
        <v>1</v>
      </c>
      <c r="I972">
        <v>2</v>
      </c>
      <c r="J972">
        <v>74</v>
      </c>
      <c r="K972" s="482">
        <v>0.95899999999999996</v>
      </c>
      <c r="L972" s="482">
        <v>1.4E-2</v>
      </c>
      <c r="M972" s="482">
        <v>2.7E-2</v>
      </c>
    </row>
    <row r="973" spans="1:13" x14ac:dyDescent="0.2">
      <c r="A973" t="s">
        <v>1744</v>
      </c>
      <c r="B973" t="s">
        <v>13</v>
      </c>
      <c r="C973" t="s">
        <v>87</v>
      </c>
      <c r="D973" t="s">
        <v>689</v>
      </c>
      <c r="E973" t="s">
        <v>690</v>
      </c>
      <c r="F973" t="s">
        <v>14</v>
      </c>
      <c r="G973" t="s">
        <v>53</v>
      </c>
      <c r="H973">
        <v>0</v>
      </c>
      <c r="I973">
        <v>0</v>
      </c>
      <c r="J973" t="s">
        <v>53</v>
      </c>
      <c r="K973" t="s">
        <v>53</v>
      </c>
      <c r="L973" t="s">
        <v>53</v>
      </c>
      <c r="M973" t="s">
        <v>53</v>
      </c>
    </row>
    <row r="974" spans="1:13" x14ac:dyDescent="0.2">
      <c r="A974" t="s">
        <v>1745</v>
      </c>
      <c r="B974" t="s">
        <v>13</v>
      </c>
      <c r="C974" t="s">
        <v>87</v>
      </c>
      <c r="D974" t="s">
        <v>692</v>
      </c>
      <c r="E974" t="s">
        <v>693</v>
      </c>
      <c r="F974" t="s">
        <v>14</v>
      </c>
      <c r="G974">
        <v>142</v>
      </c>
      <c r="H974">
        <v>1</v>
      </c>
      <c r="I974">
        <v>4</v>
      </c>
      <c r="J974">
        <v>147</v>
      </c>
      <c r="K974" s="482">
        <v>0.96599999999999997</v>
      </c>
      <c r="L974" s="482">
        <v>7.0000000000000001E-3</v>
      </c>
      <c r="M974" s="482">
        <v>2.7E-2</v>
      </c>
    </row>
    <row r="975" spans="1:13" x14ac:dyDescent="0.2">
      <c r="A975" t="s">
        <v>1746</v>
      </c>
      <c r="B975" t="s">
        <v>13</v>
      </c>
      <c r="C975" t="s">
        <v>87</v>
      </c>
      <c r="D975" t="s">
        <v>695</v>
      </c>
      <c r="E975" t="s">
        <v>696</v>
      </c>
      <c r="F975" t="s">
        <v>14</v>
      </c>
      <c r="G975">
        <v>45</v>
      </c>
      <c r="H975">
        <v>0</v>
      </c>
      <c r="I975">
        <v>4</v>
      </c>
      <c r="J975">
        <v>49</v>
      </c>
      <c r="K975" s="482">
        <v>0.91800000000000004</v>
      </c>
      <c r="L975" s="482">
        <v>0</v>
      </c>
      <c r="M975" s="482">
        <v>8.2000000000000003E-2</v>
      </c>
    </row>
    <row r="976" spans="1:13" x14ac:dyDescent="0.2">
      <c r="A976" t="s">
        <v>1747</v>
      </c>
      <c r="B976" t="s">
        <v>13</v>
      </c>
      <c r="C976" t="s">
        <v>87</v>
      </c>
      <c r="D976" t="s">
        <v>698</v>
      </c>
      <c r="E976" t="s">
        <v>699</v>
      </c>
      <c r="F976" t="s">
        <v>14</v>
      </c>
      <c r="G976">
        <v>154</v>
      </c>
      <c r="H976">
        <v>2</v>
      </c>
      <c r="I976">
        <v>7</v>
      </c>
      <c r="J976">
        <v>163</v>
      </c>
      <c r="K976" s="482">
        <v>0.94499999999999995</v>
      </c>
      <c r="L976" s="482">
        <v>1.2E-2</v>
      </c>
      <c r="M976" s="482">
        <v>4.2999999999999997E-2</v>
      </c>
    </row>
    <row r="977" spans="1:13" x14ac:dyDescent="0.2">
      <c r="A977" t="s">
        <v>1748</v>
      </c>
      <c r="B977" t="s">
        <v>13</v>
      </c>
      <c r="C977" t="s">
        <v>87</v>
      </c>
      <c r="D977" t="s">
        <v>701</v>
      </c>
      <c r="E977" t="s">
        <v>702</v>
      </c>
      <c r="F977" t="s">
        <v>14</v>
      </c>
      <c r="G977">
        <v>224</v>
      </c>
      <c r="H977">
        <v>2</v>
      </c>
      <c r="I977">
        <v>6</v>
      </c>
      <c r="J977">
        <v>232</v>
      </c>
      <c r="K977" s="482">
        <v>0.96599999999999997</v>
      </c>
      <c r="L977" s="482">
        <v>8.9999999999999993E-3</v>
      </c>
      <c r="M977" s="482">
        <v>2.5999999999999999E-2</v>
      </c>
    </row>
    <row r="978" spans="1:13" x14ac:dyDescent="0.2">
      <c r="A978" t="s">
        <v>1749</v>
      </c>
      <c r="B978" t="s">
        <v>13</v>
      </c>
      <c r="C978" t="s">
        <v>87</v>
      </c>
      <c r="D978" t="s">
        <v>704</v>
      </c>
      <c r="E978" t="s">
        <v>705</v>
      </c>
      <c r="F978" t="s">
        <v>14</v>
      </c>
      <c r="G978">
        <v>141</v>
      </c>
      <c r="H978">
        <v>0</v>
      </c>
      <c r="I978">
        <v>5</v>
      </c>
      <c r="J978">
        <v>146</v>
      </c>
      <c r="K978" s="482">
        <v>0.96599999999999997</v>
      </c>
      <c r="L978" s="482">
        <v>0</v>
      </c>
      <c r="M978" s="482">
        <v>3.4000000000000002E-2</v>
      </c>
    </row>
    <row r="979" spans="1:13" x14ac:dyDescent="0.2">
      <c r="A979" t="s">
        <v>1750</v>
      </c>
      <c r="B979" t="s">
        <v>13</v>
      </c>
      <c r="C979" t="s">
        <v>87</v>
      </c>
      <c r="D979" t="s">
        <v>707</v>
      </c>
      <c r="E979" t="s">
        <v>708</v>
      </c>
      <c r="F979" t="s">
        <v>14</v>
      </c>
      <c r="G979">
        <v>52</v>
      </c>
      <c r="H979">
        <v>0</v>
      </c>
      <c r="I979">
        <v>0</v>
      </c>
      <c r="J979">
        <v>52</v>
      </c>
      <c r="K979" s="482">
        <v>1</v>
      </c>
      <c r="L979" s="482">
        <v>0</v>
      </c>
      <c r="M979" s="482">
        <v>0</v>
      </c>
    </row>
    <row r="980" spans="1:13" x14ac:dyDescent="0.2">
      <c r="A980" t="s">
        <v>1751</v>
      </c>
      <c r="B980" t="s">
        <v>13</v>
      </c>
      <c r="C980" t="s">
        <v>87</v>
      </c>
      <c r="D980" t="s">
        <v>710</v>
      </c>
      <c r="E980" t="s">
        <v>711</v>
      </c>
      <c r="F980" t="s">
        <v>14</v>
      </c>
      <c r="G980">
        <v>157</v>
      </c>
      <c r="H980">
        <v>1</v>
      </c>
      <c r="I980">
        <v>3</v>
      </c>
      <c r="J980">
        <v>161</v>
      </c>
      <c r="K980" s="482">
        <v>0.97499999999999998</v>
      </c>
      <c r="L980" s="482">
        <v>6.0000000000000001E-3</v>
      </c>
      <c r="M980" s="482">
        <v>1.9E-2</v>
      </c>
    </row>
    <row r="981" spans="1:13" x14ac:dyDescent="0.2">
      <c r="A981" t="s">
        <v>1752</v>
      </c>
      <c r="B981" t="s">
        <v>13</v>
      </c>
      <c r="C981" t="s">
        <v>87</v>
      </c>
      <c r="D981" t="s">
        <v>713</v>
      </c>
      <c r="E981" t="s">
        <v>714</v>
      </c>
      <c r="F981" t="s">
        <v>14</v>
      </c>
      <c r="G981">
        <v>557</v>
      </c>
      <c r="H981">
        <v>4</v>
      </c>
      <c r="I981">
        <v>13</v>
      </c>
      <c r="J981">
        <v>574</v>
      </c>
      <c r="K981" s="482">
        <v>0.97</v>
      </c>
      <c r="L981" s="482">
        <v>7.0000000000000001E-3</v>
      </c>
      <c r="M981" s="482">
        <v>2.3E-2</v>
      </c>
    </row>
    <row r="982" spans="1:13" x14ac:dyDescent="0.2">
      <c r="A982" t="s">
        <v>1753</v>
      </c>
      <c r="B982" t="s">
        <v>13</v>
      </c>
      <c r="C982" t="s">
        <v>87</v>
      </c>
      <c r="D982" t="s">
        <v>716</v>
      </c>
      <c r="E982" t="s">
        <v>717</v>
      </c>
      <c r="F982" t="s">
        <v>14</v>
      </c>
      <c r="G982">
        <v>48</v>
      </c>
      <c r="H982">
        <v>0</v>
      </c>
      <c r="I982">
        <v>1</v>
      </c>
      <c r="J982">
        <v>49</v>
      </c>
      <c r="K982" s="482">
        <v>0.98</v>
      </c>
      <c r="L982" s="482">
        <v>0</v>
      </c>
      <c r="M982" s="482">
        <v>0.02</v>
      </c>
    </row>
    <row r="983" spans="1:13" x14ac:dyDescent="0.2">
      <c r="A983" t="s">
        <v>1754</v>
      </c>
      <c r="B983" t="s">
        <v>13</v>
      </c>
      <c r="C983" t="s">
        <v>87</v>
      </c>
      <c r="D983" t="s">
        <v>719</v>
      </c>
      <c r="E983" t="s">
        <v>720</v>
      </c>
      <c r="F983" t="s">
        <v>14</v>
      </c>
      <c r="G983">
        <v>145</v>
      </c>
      <c r="H983">
        <v>0</v>
      </c>
      <c r="I983">
        <v>4</v>
      </c>
      <c r="J983">
        <v>149</v>
      </c>
      <c r="K983" s="482">
        <v>0.97299999999999998</v>
      </c>
      <c r="L983" s="482">
        <v>0</v>
      </c>
      <c r="M983" s="482">
        <v>2.7E-2</v>
      </c>
    </row>
    <row r="984" spans="1:13" x14ac:dyDescent="0.2">
      <c r="A984" t="s">
        <v>1755</v>
      </c>
      <c r="B984" t="s">
        <v>13</v>
      </c>
      <c r="C984" t="s">
        <v>87</v>
      </c>
      <c r="D984" t="s">
        <v>722</v>
      </c>
      <c r="E984" t="s">
        <v>723</v>
      </c>
      <c r="F984" t="s">
        <v>14</v>
      </c>
      <c r="G984">
        <v>131</v>
      </c>
      <c r="H984">
        <v>1</v>
      </c>
      <c r="I984">
        <v>2</v>
      </c>
      <c r="J984">
        <v>134</v>
      </c>
      <c r="K984" s="482">
        <v>0.97799999999999998</v>
      </c>
      <c r="L984" s="482">
        <v>7.0000000000000001E-3</v>
      </c>
      <c r="M984" s="482">
        <v>1.4999999999999999E-2</v>
      </c>
    </row>
    <row r="985" spans="1:13" x14ac:dyDescent="0.2">
      <c r="A985" t="s">
        <v>1756</v>
      </c>
      <c r="B985" t="s">
        <v>13</v>
      </c>
      <c r="C985" t="s">
        <v>87</v>
      </c>
      <c r="D985" t="s">
        <v>725</v>
      </c>
      <c r="E985" t="s">
        <v>726</v>
      </c>
      <c r="F985" t="s">
        <v>14</v>
      </c>
      <c r="G985">
        <v>148</v>
      </c>
      <c r="H985">
        <v>1</v>
      </c>
      <c r="I985">
        <v>5</v>
      </c>
      <c r="J985">
        <v>154</v>
      </c>
      <c r="K985" s="482">
        <v>0.96099999999999997</v>
      </c>
      <c r="L985" s="482">
        <v>6.0000000000000001E-3</v>
      </c>
      <c r="M985" s="482">
        <v>3.2000000000000001E-2</v>
      </c>
    </row>
    <row r="986" spans="1:13" x14ac:dyDescent="0.2">
      <c r="A986" t="s">
        <v>1740</v>
      </c>
      <c r="B986" t="s">
        <v>13</v>
      </c>
      <c r="C986" t="s">
        <v>87</v>
      </c>
      <c r="D986" t="s">
        <v>678</v>
      </c>
      <c r="E986" t="s">
        <v>679</v>
      </c>
      <c r="F986" t="s">
        <v>14</v>
      </c>
      <c r="G986">
        <v>1067</v>
      </c>
      <c r="H986">
        <v>4</v>
      </c>
      <c r="I986">
        <v>30</v>
      </c>
      <c r="J986">
        <v>1101</v>
      </c>
      <c r="K986" s="482">
        <v>0.96899999999999997</v>
      </c>
      <c r="L986" s="482">
        <v>4.0000000000000001E-3</v>
      </c>
      <c r="M986" s="482">
        <v>2.7E-2</v>
      </c>
    </row>
    <row r="987" spans="1:13" x14ac:dyDescent="0.2">
      <c r="A987" t="s">
        <v>1741</v>
      </c>
      <c r="B987" t="s">
        <v>13</v>
      </c>
      <c r="C987" t="s">
        <v>87</v>
      </c>
      <c r="D987" t="s">
        <v>681</v>
      </c>
      <c r="E987" t="s">
        <v>336</v>
      </c>
      <c r="F987" t="s">
        <v>14</v>
      </c>
      <c r="G987">
        <v>323</v>
      </c>
      <c r="H987">
        <v>4</v>
      </c>
      <c r="I987">
        <v>8</v>
      </c>
      <c r="J987">
        <v>335</v>
      </c>
      <c r="K987" s="482">
        <v>0.96399999999999997</v>
      </c>
      <c r="L987" s="482">
        <v>1.2E-2</v>
      </c>
      <c r="M987" s="482">
        <v>2.4E-2</v>
      </c>
    </row>
    <row r="988" spans="1:13" x14ac:dyDescent="0.2">
      <c r="A988" t="s">
        <v>1760</v>
      </c>
      <c r="B988" t="s">
        <v>13</v>
      </c>
      <c r="C988" t="s">
        <v>87</v>
      </c>
      <c r="D988" t="s">
        <v>740</v>
      </c>
      <c r="E988" t="s">
        <v>741</v>
      </c>
      <c r="F988" t="s">
        <v>14</v>
      </c>
      <c r="G988">
        <v>33</v>
      </c>
      <c r="H988">
        <v>0</v>
      </c>
      <c r="I988">
        <v>5</v>
      </c>
      <c r="J988">
        <v>38</v>
      </c>
      <c r="K988" s="482">
        <v>0.86799999999999999</v>
      </c>
      <c r="L988" s="482">
        <v>0</v>
      </c>
      <c r="M988" s="482">
        <v>0.13200000000000001</v>
      </c>
    </row>
    <row r="989" spans="1:13" x14ac:dyDescent="0.2">
      <c r="A989" t="s">
        <v>1761</v>
      </c>
      <c r="B989" t="s">
        <v>13</v>
      </c>
      <c r="C989" t="s">
        <v>87</v>
      </c>
      <c r="D989" t="s">
        <v>743</v>
      </c>
      <c r="E989" t="s">
        <v>744</v>
      </c>
      <c r="F989" t="s">
        <v>14</v>
      </c>
      <c r="G989">
        <v>523</v>
      </c>
      <c r="H989">
        <v>5</v>
      </c>
      <c r="I989">
        <v>26</v>
      </c>
      <c r="J989">
        <v>554</v>
      </c>
      <c r="K989" s="482">
        <v>0.94399999999999995</v>
      </c>
      <c r="L989" s="482">
        <v>8.9999999999999993E-3</v>
      </c>
      <c r="M989" s="482">
        <v>4.7E-2</v>
      </c>
    </row>
    <row r="990" spans="1:13" x14ac:dyDescent="0.2">
      <c r="A990" t="s">
        <v>1762</v>
      </c>
      <c r="B990" t="s">
        <v>13</v>
      </c>
      <c r="C990" t="s">
        <v>87</v>
      </c>
      <c r="D990" t="s">
        <v>746</v>
      </c>
      <c r="E990" t="s">
        <v>747</v>
      </c>
      <c r="F990" t="s">
        <v>14</v>
      </c>
      <c r="G990">
        <v>28</v>
      </c>
      <c r="H990">
        <v>0</v>
      </c>
      <c r="I990">
        <v>0</v>
      </c>
      <c r="J990">
        <v>28</v>
      </c>
      <c r="K990" s="482">
        <v>1</v>
      </c>
      <c r="L990" s="482">
        <v>0</v>
      </c>
      <c r="M990" s="482">
        <v>0</v>
      </c>
    </row>
    <row r="991" spans="1:13" x14ac:dyDescent="0.2">
      <c r="A991" t="s">
        <v>1763</v>
      </c>
      <c r="B991" t="s">
        <v>13</v>
      </c>
      <c r="C991" t="s">
        <v>87</v>
      </c>
      <c r="D991" t="s">
        <v>749</v>
      </c>
      <c r="E991" t="s">
        <v>750</v>
      </c>
      <c r="F991" t="s">
        <v>14</v>
      </c>
      <c r="G991">
        <v>220</v>
      </c>
      <c r="H991">
        <v>0</v>
      </c>
      <c r="I991">
        <v>6</v>
      </c>
      <c r="J991">
        <v>226</v>
      </c>
      <c r="K991" s="482">
        <v>0.97299999999999998</v>
      </c>
      <c r="L991" s="482">
        <v>0</v>
      </c>
      <c r="M991" s="482">
        <v>2.7E-2</v>
      </c>
    </row>
    <row r="992" spans="1:13" x14ac:dyDescent="0.2">
      <c r="A992" t="s">
        <v>1757</v>
      </c>
      <c r="B992" t="s">
        <v>13</v>
      </c>
      <c r="C992" t="s">
        <v>87</v>
      </c>
      <c r="D992" t="s">
        <v>728</v>
      </c>
      <c r="E992" t="s">
        <v>729</v>
      </c>
      <c r="F992" t="s">
        <v>14</v>
      </c>
      <c r="G992">
        <v>18</v>
      </c>
      <c r="H992">
        <v>1</v>
      </c>
      <c r="I992">
        <v>0</v>
      </c>
      <c r="J992">
        <v>19</v>
      </c>
      <c r="K992" s="482">
        <v>0.94699999999999995</v>
      </c>
      <c r="L992" s="482">
        <v>5.2999999999999999E-2</v>
      </c>
      <c r="M992" s="482">
        <v>0</v>
      </c>
    </row>
    <row r="993" spans="1:13" x14ac:dyDescent="0.2">
      <c r="A993" t="s">
        <v>1770</v>
      </c>
      <c r="B993" t="s">
        <v>13</v>
      </c>
      <c r="C993" t="s">
        <v>87</v>
      </c>
      <c r="D993" t="s">
        <v>770</v>
      </c>
      <c r="E993" t="s">
        <v>771</v>
      </c>
      <c r="F993" t="s">
        <v>14</v>
      </c>
      <c r="G993">
        <v>145</v>
      </c>
      <c r="H993">
        <v>0</v>
      </c>
      <c r="I993">
        <v>3</v>
      </c>
      <c r="J993">
        <v>148</v>
      </c>
      <c r="K993" s="482">
        <v>0.98</v>
      </c>
      <c r="L993" s="482">
        <v>0</v>
      </c>
      <c r="M993" s="482">
        <v>0.02</v>
      </c>
    </row>
    <row r="994" spans="1:13" x14ac:dyDescent="0.2">
      <c r="A994" t="s">
        <v>1771</v>
      </c>
      <c r="B994" t="s">
        <v>13</v>
      </c>
      <c r="C994" t="s">
        <v>87</v>
      </c>
      <c r="D994" t="s">
        <v>773</v>
      </c>
      <c r="E994" t="s">
        <v>774</v>
      </c>
      <c r="F994" t="s">
        <v>14</v>
      </c>
      <c r="G994">
        <v>119</v>
      </c>
      <c r="H994">
        <v>0</v>
      </c>
      <c r="I994">
        <v>2</v>
      </c>
      <c r="J994">
        <v>121</v>
      </c>
      <c r="K994" s="482">
        <v>0.98299999999999998</v>
      </c>
      <c r="L994" s="482">
        <v>0</v>
      </c>
      <c r="M994" s="482">
        <v>1.7000000000000001E-2</v>
      </c>
    </row>
    <row r="995" spans="1:13" x14ac:dyDescent="0.2">
      <c r="A995" t="s">
        <v>1772</v>
      </c>
      <c r="B995" t="s">
        <v>13</v>
      </c>
      <c r="C995" t="s">
        <v>87</v>
      </c>
      <c r="D995" t="s">
        <v>776</v>
      </c>
      <c r="E995" t="s">
        <v>777</v>
      </c>
      <c r="F995" t="s">
        <v>14</v>
      </c>
      <c r="G995">
        <v>150</v>
      </c>
      <c r="H995">
        <v>1</v>
      </c>
      <c r="I995">
        <v>4</v>
      </c>
      <c r="J995">
        <v>155</v>
      </c>
      <c r="K995" s="482">
        <v>0.96799999999999997</v>
      </c>
      <c r="L995" s="482">
        <v>6.0000000000000001E-3</v>
      </c>
      <c r="M995" s="482">
        <v>2.5999999999999999E-2</v>
      </c>
    </row>
    <row r="996" spans="1:13" x14ac:dyDescent="0.2">
      <c r="A996" t="s">
        <v>1773</v>
      </c>
      <c r="B996" t="s">
        <v>13</v>
      </c>
      <c r="C996" t="s">
        <v>87</v>
      </c>
      <c r="D996" t="s">
        <v>779</v>
      </c>
      <c r="E996" t="s">
        <v>780</v>
      </c>
      <c r="F996" t="s">
        <v>14</v>
      </c>
      <c r="G996">
        <v>86</v>
      </c>
      <c r="H996">
        <v>3</v>
      </c>
      <c r="I996">
        <v>0</v>
      </c>
      <c r="J996">
        <v>89</v>
      </c>
      <c r="K996" s="482">
        <v>0.96599999999999997</v>
      </c>
      <c r="L996" s="482">
        <v>3.4000000000000002E-2</v>
      </c>
      <c r="M996" s="482">
        <v>0</v>
      </c>
    </row>
    <row r="997" spans="1:13" x14ac:dyDescent="0.2">
      <c r="A997" t="s">
        <v>1774</v>
      </c>
      <c r="B997" t="s">
        <v>13</v>
      </c>
      <c r="C997" t="s">
        <v>87</v>
      </c>
      <c r="D997" t="s">
        <v>782</v>
      </c>
      <c r="E997" t="s">
        <v>783</v>
      </c>
      <c r="F997" t="s">
        <v>14</v>
      </c>
      <c r="G997">
        <v>123</v>
      </c>
      <c r="H997">
        <v>2</v>
      </c>
      <c r="I997">
        <v>4</v>
      </c>
      <c r="J997">
        <v>129</v>
      </c>
      <c r="K997" s="482">
        <v>0.95299999999999996</v>
      </c>
      <c r="L997" s="482">
        <v>1.6E-2</v>
      </c>
      <c r="M997" s="482">
        <v>3.1E-2</v>
      </c>
    </row>
    <row r="998" spans="1:13" x14ac:dyDescent="0.2">
      <c r="A998" t="s">
        <v>1775</v>
      </c>
      <c r="B998" t="s">
        <v>13</v>
      </c>
      <c r="C998" t="s">
        <v>87</v>
      </c>
      <c r="D998" t="s">
        <v>785</v>
      </c>
      <c r="E998" t="s">
        <v>786</v>
      </c>
      <c r="F998" t="s">
        <v>14</v>
      </c>
      <c r="G998">
        <v>552</v>
      </c>
      <c r="H998">
        <v>5</v>
      </c>
      <c r="I998">
        <v>14</v>
      </c>
      <c r="J998">
        <v>571</v>
      </c>
      <c r="K998" s="482">
        <v>0.96699999999999997</v>
      </c>
      <c r="L998" s="482">
        <v>8.9999999999999993E-3</v>
      </c>
      <c r="M998" s="482">
        <v>2.5000000000000001E-2</v>
      </c>
    </row>
    <row r="999" spans="1:13" x14ac:dyDescent="0.2">
      <c r="A999" t="s">
        <v>1776</v>
      </c>
      <c r="B999" t="s">
        <v>13</v>
      </c>
      <c r="C999" t="s">
        <v>87</v>
      </c>
      <c r="D999" t="s">
        <v>788</v>
      </c>
      <c r="E999" t="s">
        <v>789</v>
      </c>
      <c r="F999" t="s">
        <v>14</v>
      </c>
      <c r="G999">
        <v>66</v>
      </c>
      <c r="H999">
        <v>1</v>
      </c>
      <c r="I999">
        <v>0</v>
      </c>
      <c r="J999">
        <v>67</v>
      </c>
      <c r="K999" s="482">
        <v>0.98499999999999999</v>
      </c>
      <c r="L999" s="482">
        <v>1.4999999999999999E-2</v>
      </c>
      <c r="M999" s="482">
        <v>0</v>
      </c>
    </row>
    <row r="1000" spans="1:13" x14ac:dyDescent="0.2">
      <c r="A1000" t="s">
        <v>1777</v>
      </c>
      <c r="B1000" t="s">
        <v>13</v>
      </c>
      <c r="C1000" t="s">
        <v>87</v>
      </c>
      <c r="D1000" t="s">
        <v>791</v>
      </c>
      <c r="E1000" t="s">
        <v>792</v>
      </c>
      <c r="F1000" t="s">
        <v>14</v>
      </c>
      <c r="G1000">
        <v>50</v>
      </c>
      <c r="H1000">
        <v>0</v>
      </c>
      <c r="I1000">
        <v>2</v>
      </c>
      <c r="J1000">
        <v>52</v>
      </c>
      <c r="K1000" s="482">
        <v>0.96199999999999997</v>
      </c>
      <c r="L1000" s="482">
        <v>0</v>
      </c>
      <c r="M1000" s="482">
        <v>3.7999999999999999E-2</v>
      </c>
    </row>
    <row r="1001" spans="1:13" x14ac:dyDescent="0.2">
      <c r="A1001" t="s">
        <v>1778</v>
      </c>
      <c r="B1001" t="s">
        <v>13</v>
      </c>
      <c r="C1001" t="s">
        <v>87</v>
      </c>
      <c r="D1001" t="s">
        <v>794</v>
      </c>
      <c r="E1001" t="s">
        <v>795</v>
      </c>
      <c r="F1001" t="s">
        <v>14</v>
      </c>
      <c r="G1001">
        <v>150</v>
      </c>
      <c r="H1001">
        <v>0</v>
      </c>
      <c r="I1001">
        <v>1</v>
      </c>
      <c r="J1001">
        <v>151</v>
      </c>
      <c r="K1001" s="482">
        <v>0.99299999999999999</v>
      </c>
      <c r="L1001" s="482">
        <v>0</v>
      </c>
      <c r="M1001" s="482">
        <v>7.0000000000000001E-3</v>
      </c>
    </row>
    <row r="1002" spans="1:13" x14ac:dyDescent="0.2">
      <c r="A1002" t="s">
        <v>1779</v>
      </c>
      <c r="B1002" t="s">
        <v>13</v>
      </c>
      <c r="C1002" t="s">
        <v>87</v>
      </c>
      <c r="D1002" t="s">
        <v>797</v>
      </c>
      <c r="E1002" t="s">
        <v>798</v>
      </c>
      <c r="F1002" t="s">
        <v>14</v>
      </c>
      <c r="G1002">
        <v>90</v>
      </c>
      <c r="H1002">
        <v>0</v>
      </c>
      <c r="I1002">
        <v>2</v>
      </c>
      <c r="J1002">
        <v>92</v>
      </c>
      <c r="K1002" s="482">
        <v>0.97799999999999998</v>
      </c>
      <c r="L1002" s="482">
        <v>0</v>
      </c>
      <c r="M1002" s="482">
        <v>2.1999999999999999E-2</v>
      </c>
    </row>
    <row r="1003" spans="1:13" x14ac:dyDescent="0.2">
      <c r="A1003" t="s">
        <v>1780</v>
      </c>
      <c r="B1003" t="s">
        <v>13</v>
      </c>
      <c r="C1003" t="s">
        <v>87</v>
      </c>
      <c r="D1003" t="s">
        <v>800</v>
      </c>
      <c r="E1003" t="s">
        <v>801</v>
      </c>
      <c r="F1003" t="s">
        <v>14</v>
      </c>
      <c r="G1003">
        <v>182</v>
      </c>
      <c r="H1003">
        <v>0</v>
      </c>
      <c r="I1003">
        <v>6</v>
      </c>
      <c r="J1003">
        <v>188</v>
      </c>
      <c r="K1003" s="482">
        <v>0.96799999999999997</v>
      </c>
      <c r="L1003" s="482">
        <v>0</v>
      </c>
      <c r="M1003" s="482">
        <v>3.2000000000000001E-2</v>
      </c>
    </row>
    <row r="1004" spans="1:13" x14ac:dyDescent="0.2">
      <c r="A1004" t="s">
        <v>1781</v>
      </c>
      <c r="B1004" t="s">
        <v>13</v>
      </c>
      <c r="C1004" t="s">
        <v>87</v>
      </c>
      <c r="D1004" t="s">
        <v>803</v>
      </c>
      <c r="E1004" t="s">
        <v>804</v>
      </c>
      <c r="F1004" t="s">
        <v>14</v>
      </c>
      <c r="G1004">
        <v>104</v>
      </c>
      <c r="H1004">
        <v>0</v>
      </c>
      <c r="I1004">
        <v>2</v>
      </c>
      <c r="J1004">
        <v>106</v>
      </c>
      <c r="K1004" s="482">
        <v>0.98099999999999998</v>
      </c>
      <c r="L1004" s="482">
        <v>0</v>
      </c>
      <c r="M1004" s="482">
        <v>1.9E-2</v>
      </c>
    </row>
    <row r="1005" spans="1:13" x14ac:dyDescent="0.2">
      <c r="A1005" t="s">
        <v>1782</v>
      </c>
      <c r="B1005" t="s">
        <v>13</v>
      </c>
      <c r="C1005" t="s">
        <v>87</v>
      </c>
      <c r="D1005" t="s">
        <v>806</v>
      </c>
      <c r="E1005" t="s">
        <v>807</v>
      </c>
      <c r="F1005" t="s">
        <v>14</v>
      </c>
      <c r="G1005">
        <v>74</v>
      </c>
      <c r="H1005">
        <v>1</v>
      </c>
      <c r="I1005">
        <v>2</v>
      </c>
      <c r="J1005">
        <v>77</v>
      </c>
      <c r="K1005" s="482">
        <v>0.96099999999999997</v>
      </c>
      <c r="L1005" s="482">
        <v>1.2999999999999999E-2</v>
      </c>
      <c r="M1005" s="482">
        <v>2.5999999999999999E-2</v>
      </c>
    </row>
    <row r="1006" spans="1:13" x14ac:dyDescent="0.2">
      <c r="A1006" t="s">
        <v>1783</v>
      </c>
      <c r="B1006" t="s">
        <v>13</v>
      </c>
      <c r="C1006" t="s">
        <v>87</v>
      </c>
      <c r="D1006" t="s">
        <v>809</v>
      </c>
      <c r="E1006" t="s">
        <v>810</v>
      </c>
      <c r="F1006" t="s">
        <v>14</v>
      </c>
      <c r="G1006">
        <v>211</v>
      </c>
      <c r="H1006">
        <v>2</v>
      </c>
      <c r="I1006">
        <v>9</v>
      </c>
      <c r="J1006">
        <v>222</v>
      </c>
      <c r="K1006" s="482">
        <v>0.95</v>
      </c>
      <c r="L1006" s="482">
        <v>8.9999999999999993E-3</v>
      </c>
      <c r="M1006" s="482">
        <v>4.1000000000000002E-2</v>
      </c>
    </row>
    <row r="1007" spans="1:13" x14ac:dyDescent="0.2">
      <c r="A1007" t="s">
        <v>1784</v>
      </c>
      <c r="B1007" t="s">
        <v>13</v>
      </c>
      <c r="C1007" t="s">
        <v>87</v>
      </c>
      <c r="D1007" t="s">
        <v>812</v>
      </c>
      <c r="E1007" t="s">
        <v>813</v>
      </c>
      <c r="F1007" t="s">
        <v>14</v>
      </c>
      <c r="G1007">
        <v>147</v>
      </c>
      <c r="H1007">
        <v>2</v>
      </c>
      <c r="I1007">
        <v>1</v>
      </c>
      <c r="J1007">
        <v>150</v>
      </c>
      <c r="K1007" s="482">
        <v>0.98</v>
      </c>
      <c r="L1007" s="482">
        <v>1.2999999999999999E-2</v>
      </c>
      <c r="M1007" s="482">
        <v>7.0000000000000001E-3</v>
      </c>
    </row>
    <row r="1008" spans="1:13" x14ac:dyDescent="0.2">
      <c r="A1008" t="s">
        <v>1785</v>
      </c>
      <c r="B1008" t="s">
        <v>13</v>
      </c>
      <c r="C1008" t="s">
        <v>87</v>
      </c>
      <c r="D1008" t="s">
        <v>815</v>
      </c>
      <c r="E1008" t="s">
        <v>816</v>
      </c>
      <c r="F1008" t="s">
        <v>14</v>
      </c>
      <c r="G1008">
        <v>348</v>
      </c>
      <c r="H1008">
        <v>0</v>
      </c>
      <c r="I1008">
        <v>6</v>
      </c>
      <c r="J1008">
        <v>354</v>
      </c>
      <c r="K1008" s="482">
        <v>0.98299999999999998</v>
      </c>
      <c r="L1008" s="482">
        <v>0</v>
      </c>
      <c r="M1008" s="482">
        <v>1.7000000000000001E-2</v>
      </c>
    </row>
    <row r="1009" spans="1:13" x14ac:dyDescent="0.2">
      <c r="A1009" t="s">
        <v>1786</v>
      </c>
      <c r="B1009" t="s">
        <v>13</v>
      </c>
      <c r="C1009" t="s">
        <v>87</v>
      </c>
      <c r="D1009" t="s">
        <v>818</v>
      </c>
      <c r="E1009" t="s">
        <v>819</v>
      </c>
      <c r="F1009" t="s">
        <v>14</v>
      </c>
      <c r="G1009">
        <v>441</v>
      </c>
      <c r="H1009">
        <v>6</v>
      </c>
      <c r="I1009">
        <v>12</v>
      </c>
      <c r="J1009">
        <v>459</v>
      </c>
      <c r="K1009" s="482">
        <v>0.96099999999999997</v>
      </c>
      <c r="L1009" s="482">
        <v>1.2999999999999999E-2</v>
      </c>
      <c r="M1009" s="482">
        <v>2.5999999999999999E-2</v>
      </c>
    </row>
    <row r="1010" spans="1:13" x14ac:dyDescent="0.2">
      <c r="A1010" t="s">
        <v>1787</v>
      </c>
      <c r="B1010" t="s">
        <v>13</v>
      </c>
      <c r="C1010" t="s">
        <v>87</v>
      </c>
      <c r="D1010" t="s">
        <v>821</v>
      </c>
      <c r="E1010" t="s">
        <v>822</v>
      </c>
      <c r="F1010" t="s">
        <v>14</v>
      </c>
      <c r="G1010">
        <v>28</v>
      </c>
      <c r="H1010">
        <v>0</v>
      </c>
      <c r="I1010">
        <v>2</v>
      </c>
      <c r="J1010">
        <v>30</v>
      </c>
      <c r="K1010" s="482">
        <v>0.93300000000000005</v>
      </c>
      <c r="L1010" s="482">
        <v>0</v>
      </c>
      <c r="M1010" s="482">
        <v>6.7000000000000004E-2</v>
      </c>
    </row>
    <row r="1011" spans="1:13" x14ac:dyDescent="0.2">
      <c r="A1011" t="s">
        <v>1788</v>
      </c>
      <c r="B1011" t="s">
        <v>13</v>
      </c>
      <c r="C1011" t="s">
        <v>87</v>
      </c>
      <c r="D1011" t="s">
        <v>824</v>
      </c>
      <c r="E1011" t="s">
        <v>825</v>
      </c>
      <c r="F1011" t="s">
        <v>14</v>
      </c>
      <c r="G1011">
        <v>200</v>
      </c>
      <c r="H1011">
        <v>1</v>
      </c>
      <c r="I1011">
        <v>8</v>
      </c>
      <c r="J1011">
        <v>209</v>
      </c>
      <c r="K1011" s="482">
        <v>0.95699999999999996</v>
      </c>
      <c r="L1011" s="482">
        <v>5.0000000000000001E-3</v>
      </c>
      <c r="M1011" s="482">
        <v>3.7999999999999999E-2</v>
      </c>
    </row>
    <row r="1012" spans="1:13" x14ac:dyDescent="0.2">
      <c r="A1012" t="s">
        <v>1789</v>
      </c>
      <c r="B1012" t="s">
        <v>13</v>
      </c>
      <c r="C1012" t="s">
        <v>87</v>
      </c>
      <c r="D1012" t="s">
        <v>827</v>
      </c>
      <c r="E1012" t="s">
        <v>828</v>
      </c>
      <c r="F1012" t="s">
        <v>14</v>
      </c>
      <c r="G1012">
        <v>493</v>
      </c>
      <c r="H1012">
        <v>5</v>
      </c>
      <c r="I1012">
        <v>20</v>
      </c>
      <c r="J1012">
        <v>518</v>
      </c>
      <c r="K1012" s="482">
        <v>0.95199999999999996</v>
      </c>
      <c r="L1012" s="482">
        <v>0.01</v>
      </c>
      <c r="M1012" s="482">
        <v>3.9E-2</v>
      </c>
    </row>
    <row r="1013" spans="1:13" x14ac:dyDescent="0.2">
      <c r="A1013" t="s">
        <v>1700</v>
      </c>
      <c r="B1013" t="s">
        <v>13</v>
      </c>
      <c r="C1013" t="s">
        <v>87</v>
      </c>
      <c r="D1013" t="s">
        <v>563</v>
      </c>
      <c r="E1013" t="s">
        <v>564</v>
      </c>
      <c r="F1013" t="s">
        <v>14</v>
      </c>
      <c r="G1013">
        <v>8</v>
      </c>
      <c r="H1013">
        <v>0</v>
      </c>
      <c r="I1013">
        <v>1</v>
      </c>
      <c r="J1013">
        <v>9</v>
      </c>
      <c r="K1013" s="482">
        <v>0.88900000000000001</v>
      </c>
      <c r="L1013" s="482">
        <v>0</v>
      </c>
      <c r="M1013" s="482">
        <v>0.111</v>
      </c>
    </row>
    <row r="1014" spans="1:13" x14ac:dyDescent="0.2">
      <c r="A1014" t="s">
        <v>1701</v>
      </c>
      <c r="B1014" t="s">
        <v>13</v>
      </c>
      <c r="C1014" t="s">
        <v>87</v>
      </c>
      <c r="D1014" t="s">
        <v>566</v>
      </c>
      <c r="E1014" t="s">
        <v>567</v>
      </c>
      <c r="F1014" t="s">
        <v>14</v>
      </c>
      <c r="G1014">
        <v>160</v>
      </c>
      <c r="H1014">
        <v>1</v>
      </c>
      <c r="I1014">
        <v>7</v>
      </c>
      <c r="J1014">
        <v>168</v>
      </c>
      <c r="K1014" s="482">
        <v>0.95199999999999996</v>
      </c>
      <c r="L1014" s="482">
        <v>6.0000000000000001E-3</v>
      </c>
      <c r="M1014" s="482">
        <v>4.2000000000000003E-2</v>
      </c>
    </row>
    <row r="1015" spans="1:13" x14ac:dyDescent="0.2">
      <c r="A1015" t="s">
        <v>1818</v>
      </c>
      <c r="B1015" t="s">
        <v>13</v>
      </c>
      <c r="C1015" t="s">
        <v>87</v>
      </c>
      <c r="D1015" t="s">
        <v>908</v>
      </c>
      <c r="E1015" t="s">
        <v>909</v>
      </c>
      <c r="F1015" t="s">
        <v>14</v>
      </c>
      <c r="G1015">
        <v>197</v>
      </c>
      <c r="H1015">
        <v>2</v>
      </c>
      <c r="I1015">
        <v>3</v>
      </c>
      <c r="J1015">
        <v>202</v>
      </c>
      <c r="K1015" s="482">
        <v>0.97499999999999998</v>
      </c>
      <c r="L1015" s="482">
        <v>0.01</v>
      </c>
      <c r="M1015" s="482">
        <v>1.4999999999999999E-2</v>
      </c>
    </row>
    <row r="1016" spans="1:13" x14ac:dyDescent="0.2">
      <c r="A1016" t="s">
        <v>1675</v>
      </c>
      <c r="B1016" t="s">
        <v>13</v>
      </c>
      <c r="C1016" t="s">
        <v>87</v>
      </c>
      <c r="D1016" t="s">
        <v>486</v>
      </c>
      <c r="E1016" t="s">
        <v>487</v>
      </c>
      <c r="F1016" t="s">
        <v>14</v>
      </c>
      <c r="G1016">
        <v>202</v>
      </c>
      <c r="H1016">
        <v>3</v>
      </c>
      <c r="I1016">
        <v>6</v>
      </c>
      <c r="J1016">
        <v>211</v>
      </c>
      <c r="K1016" s="482">
        <v>0.95699999999999996</v>
      </c>
      <c r="L1016" s="482">
        <v>1.4E-2</v>
      </c>
      <c r="M1016" s="482">
        <v>2.8000000000000001E-2</v>
      </c>
    </row>
    <row r="1017" spans="1:13" x14ac:dyDescent="0.2">
      <c r="A1017" t="s">
        <v>6560</v>
      </c>
      <c r="B1017" t="s">
        <v>13</v>
      </c>
      <c r="C1017" t="s">
        <v>87</v>
      </c>
      <c r="D1017" t="s">
        <v>6551</v>
      </c>
      <c r="E1017" t="s">
        <v>6542</v>
      </c>
      <c r="F1017" t="s">
        <v>14</v>
      </c>
      <c r="G1017" t="s">
        <v>53</v>
      </c>
      <c r="H1017">
        <v>0</v>
      </c>
      <c r="I1017">
        <v>0</v>
      </c>
      <c r="J1017" t="s">
        <v>53</v>
      </c>
      <c r="K1017" t="s">
        <v>53</v>
      </c>
      <c r="L1017" t="s">
        <v>53</v>
      </c>
      <c r="M1017" t="s">
        <v>53</v>
      </c>
    </row>
    <row r="1018" spans="1:13" x14ac:dyDescent="0.2">
      <c r="A1018" t="s">
        <v>1815</v>
      </c>
      <c r="B1018" t="s">
        <v>13</v>
      </c>
      <c r="C1018" t="s">
        <v>87</v>
      </c>
      <c r="D1018" t="s">
        <v>489</v>
      </c>
      <c r="E1018" t="s">
        <v>490</v>
      </c>
      <c r="F1018" t="s">
        <v>14</v>
      </c>
      <c r="G1018">
        <v>59</v>
      </c>
      <c r="H1018">
        <v>0</v>
      </c>
      <c r="I1018">
        <v>4</v>
      </c>
      <c r="J1018">
        <v>63</v>
      </c>
      <c r="K1018" s="482">
        <v>0.93700000000000006</v>
      </c>
      <c r="L1018" s="482">
        <v>0</v>
      </c>
      <c r="M1018" s="482">
        <v>6.3E-2</v>
      </c>
    </row>
    <row r="1019" spans="1:13" x14ac:dyDescent="0.2">
      <c r="A1019" t="s">
        <v>1819</v>
      </c>
      <c r="B1019" t="s">
        <v>13</v>
      </c>
      <c r="C1019" t="s">
        <v>87</v>
      </c>
      <c r="D1019" t="s">
        <v>911</v>
      </c>
      <c r="E1019" t="s">
        <v>912</v>
      </c>
      <c r="F1019" t="s">
        <v>14</v>
      </c>
      <c r="G1019">
        <v>131</v>
      </c>
      <c r="H1019">
        <v>1</v>
      </c>
      <c r="I1019">
        <v>3</v>
      </c>
      <c r="J1019">
        <v>135</v>
      </c>
      <c r="K1019" s="482">
        <v>0.97</v>
      </c>
      <c r="L1019" s="482">
        <v>7.0000000000000001E-3</v>
      </c>
      <c r="M1019" s="482">
        <v>2.1999999999999999E-2</v>
      </c>
    </row>
    <row r="1020" spans="1:13" x14ac:dyDescent="0.2">
      <c r="A1020" t="s">
        <v>1820</v>
      </c>
      <c r="B1020" t="s">
        <v>13</v>
      </c>
      <c r="C1020" t="s">
        <v>87</v>
      </c>
      <c r="D1020" t="s">
        <v>914</v>
      </c>
      <c r="E1020" t="s">
        <v>915</v>
      </c>
      <c r="F1020" t="s">
        <v>14</v>
      </c>
      <c r="G1020">
        <v>77</v>
      </c>
      <c r="H1020">
        <v>1</v>
      </c>
      <c r="I1020">
        <v>1</v>
      </c>
      <c r="J1020">
        <v>79</v>
      </c>
      <c r="K1020" s="482">
        <v>0.97499999999999998</v>
      </c>
      <c r="L1020" s="482">
        <v>1.2999999999999999E-2</v>
      </c>
      <c r="M1020" s="482">
        <v>1.2999999999999999E-2</v>
      </c>
    </row>
    <row r="1021" spans="1:13" x14ac:dyDescent="0.2">
      <c r="A1021" t="s">
        <v>1821</v>
      </c>
      <c r="B1021" t="s">
        <v>13</v>
      </c>
      <c r="C1021" t="s">
        <v>87</v>
      </c>
      <c r="D1021" t="s">
        <v>917</v>
      </c>
      <c r="E1021" t="s">
        <v>918</v>
      </c>
      <c r="F1021" t="s">
        <v>14</v>
      </c>
      <c r="G1021">
        <v>211</v>
      </c>
      <c r="H1021">
        <v>0</v>
      </c>
      <c r="I1021">
        <v>9</v>
      </c>
      <c r="J1021">
        <v>220</v>
      </c>
      <c r="K1021" s="482">
        <v>0.95899999999999996</v>
      </c>
      <c r="L1021" s="482">
        <v>0</v>
      </c>
      <c r="M1021" s="482">
        <v>4.1000000000000002E-2</v>
      </c>
    </row>
    <row r="1022" spans="1:13" x14ac:dyDescent="0.2">
      <c r="A1022" t="s">
        <v>1822</v>
      </c>
      <c r="B1022" t="s">
        <v>13</v>
      </c>
      <c r="C1022" t="s">
        <v>87</v>
      </c>
      <c r="D1022" t="s">
        <v>920</v>
      </c>
      <c r="E1022" t="s">
        <v>921</v>
      </c>
      <c r="F1022" t="s">
        <v>14</v>
      </c>
      <c r="G1022">
        <v>22</v>
      </c>
      <c r="H1022">
        <v>0</v>
      </c>
      <c r="I1022">
        <v>2</v>
      </c>
      <c r="J1022">
        <v>24</v>
      </c>
      <c r="K1022" s="482">
        <v>0.91700000000000004</v>
      </c>
      <c r="L1022" s="482">
        <v>0</v>
      </c>
      <c r="M1022" s="482">
        <v>8.3000000000000004E-2</v>
      </c>
    </row>
    <row r="1023" spans="1:13" x14ac:dyDescent="0.2">
      <c r="A1023" t="s">
        <v>1823</v>
      </c>
      <c r="B1023" t="s">
        <v>13</v>
      </c>
      <c r="C1023" t="s">
        <v>87</v>
      </c>
      <c r="D1023" t="s">
        <v>923</v>
      </c>
      <c r="E1023" t="s">
        <v>924</v>
      </c>
      <c r="F1023" t="s">
        <v>14</v>
      </c>
      <c r="G1023">
        <v>92</v>
      </c>
      <c r="H1023">
        <v>1</v>
      </c>
      <c r="I1023">
        <v>3</v>
      </c>
      <c r="J1023">
        <v>96</v>
      </c>
      <c r="K1023" s="482">
        <v>0.95799999999999996</v>
      </c>
      <c r="L1023" s="482">
        <v>0.01</v>
      </c>
      <c r="M1023" s="482">
        <v>3.1E-2</v>
      </c>
    </row>
    <row r="1024" spans="1:13" x14ac:dyDescent="0.2">
      <c r="A1024" t="s">
        <v>1824</v>
      </c>
      <c r="B1024" t="s">
        <v>13</v>
      </c>
      <c r="C1024" t="s">
        <v>87</v>
      </c>
      <c r="D1024" t="s">
        <v>926</v>
      </c>
      <c r="E1024" t="s">
        <v>927</v>
      </c>
      <c r="F1024" t="s">
        <v>14</v>
      </c>
      <c r="G1024">
        <v>29</v>
      </c>
      <c r="H1024">
        <v>0</v>
      </c>
      <c r="I1024">
        <v>1</v>
      </c>
      <c r="J1024">
        <v>30</v>
      </c>
      <c r="K1024" s="482">
        <v>0.96699999999999997</v>
      </c>
      <c r="L1024" s="482">
        <v>0</v>
      </c>
      <c r="M1024" s="482">
        <v>3.3000000000000002E-2</v>
      </c>
    </row>
    <row r="1025" spans="1:13" x14ac:dyDescent="0.2">
      <c r="A1025" t="s">
        <v>1826</v>
      </c>
      <c r="B1025" t="s">
        <v>13</v>
      </c>
      <c r="C1025" t="s">
        <v>87</v>
      </c>
      <c r="D1025" t="s">
        <v>929</v>
      </c>
      <c r="E1025" t="s">
        <v>930</v>
      </c>
      <c r="F1025" t="s">
        <v>14</v>
      </c>
      <c r="G1025">
        <v>191</v>
      </c>
      <c r="H1025">
        <v>1</v>
      </c>
      <c r="I1025">
        <v>5</v>
      </c>
      <c r="J1025">
        <v>197</v>
      </c>
      <c r="K1025" s="482">
        <v>0.97</v>
      </c>
      <c r="L1025" s="482">
        <v>5.0000000000000001E-3</v>
      </c>
      <c r="M1025" s="482">
        <v>2.5000000000000001E-2</v>
      </c>
    </row>
    <row r="1026" spans="1:13" x14ac:dyDescent="0.2">
      <c r="A1026" t="s">
        <v>1676</v>
      </c>
      <c r="B1026" t="s">
        <v>13</v>
      </c>
      <c r="C1026" t="s">
        <v>87</v>
      </c>
      <c r="D1026" t="s">
        <v>492</v>
      </c>
      <c r="E1026" t="s">
        <v>493</v>
      </c>
      <c r="F1026" t="s">
        <v>14</v>
      </c>
      <c r="G1026">
        <v>68</v>
      </c>
      <c r="H1026">
        <v>1</v>
      </c>
      <c r="I1026">
        <v>4</v>
      </c>
      <c r="J1026">
        <v>73</v>
      </c>
      <c r="K1026" s="482">
        <v>0.93200000000000005</v>
      </c>
      <c r="L1026" s="482">
        <v>1.4E-2</v>
      </c>
      <c r="M1026" s="482">
        <v>5.5E-2</v>
      </c>
    </row>
    <row r="1027" spans="1:13" x14ac:dyDescent="0.2">
      <c r="A1027" t="s">
        <v>1677</v>
      </c>
      <c r="B1027" t="s">
        <v>13</v>
      </c>
      <c r="C1027" t="s">
        <v>87</v>
      </c>
      <c r="D1027" t="s">
        <v>495</v>
      </c>
      <c r="E1027" t="s">
        <v>496</v>
      </c>
      <c r="F1027" t="s">
        <v>14</v>
      </c>
      <c r="G1027">
        <v>272</v>
      </c>
      <c r="H1027">
        <v>0</v>
      </c>
      <c r="I1027">
        <v>13</v>
      </c>
      <c r="J1027">
        <v>285</v>
      </c>
      <c r="K1027" s="482">
        <v>0.95399999999999996</v>
      </c>
      <c r="L1027" s="482">
        <v>0</v>
      </c>
      <c r="M1027" s="482">
        <v>4.5999999999999999E-2</v>
      </c>
    </row>
    <row r="1028" spans="1:13" x14ac:dyDescent="0.2">
      <c r="A1028" t="s">
        <v>1649</v>
      </c>
      <c r="B1028" t="s">
        <v>13</v>
      </c>
      <c r="C1028" t="s">
        <v>87</v>
      </c>
      <c r="D1028" t="s">
        <v>411</v>
      </c>
      <c r="E1028" t="s">
        <v>412</v>
      </c>
      <c r="F1028" t="s">
        <v>14</v>
      </c>
      <c r="G1028">
        <v>188</v>
      </c>
      <c r="H1028">
        <v>3</v>
      </c>
      <c r="I1028">
        <v>5</v>
      </c>
      <c r="J1028">
        <v>196</v>
      </c>
      <c r="K1028" s="482">
        <v>0.95899999999999996</v>
      </c>
      <c r="L1028" s="482">
        <v>1.4999999999999999E-2</v>
      </c>
      <c r="M1028" s="482">
        <v>2.5999999999999999E-2</v>
      </c>
    </row>
    <row r="1029" spans="1:13" x14ac:dyDescent="0.2">
      <c r="A1029" t="s">
        <v>1650</v>
      </c>
      <c r="B1029" t="s">
        <v>13</v>
      </c>
      <c r="C1029" t="s">
        <v>87</v>
      </c>
      <c r="D1029" t="s">
        <v>414</v>
      </c>
      <c r="E1029" t="s">
        <v>415</v>
      </c>
      <c r="F1029" t="s">
        <v>14</v>
      </c>
      <c r="G1029">
        <v>101</v>
      </c>
      <c r="H1029">
        <v>1</v>
      </c>
      <c r="I1029">
        <v>1</v>
      </c>
      <c r="J1029">
        <v>103</v>
      </c>
      <c r="K1029" s="482">
        <v>0.98099999999999998</v>
      </c>
      <c r="L1029" s="482">
        <v>0.01</v>
      </c>
      <c r="M1029" s="482">
        <v>0.01</v>
      </c>
    </row>
    <row r="1030" spans="1:13" x14ac:dyDescent="0.2">
      <c r="A1030" t="s">
        <v>1716</v>
      </c>
      <c r="B1030" t="s">
        <v>13</v>
      </c>
      <c r="C1030" t="s">
        <v>87</v>
      </c>
      <c r="D1030" t="s">
        <v>417</v>
      </c>
      <c r="E1030" t="s">
        <v>418</v>
      </c>
      <c r="F1030" t="s">
        <v>14</v>
      </c>
      <c r="G1030">
        <v>132</v>
      </c>
      <c r="H1030">
        <v>0</v>
      </c>
      <c r="I1030">
        <v>3</v>
      </c>
      <c r="J1030">
        <v>135</v>
      </c>
      <c r="K1030" s="482">
        <v>0.97799999999999998</v>
      </c>
      <c r="L1030" s="482">
        <v>0</v>
      </c>
      <c r="M1030" s="482">
        <v>2.1999999999999999E-2</v>
      </c>
    </row>
    <row r="1031" spans="1:13" x14ac:dyDescent="0.2">
      <c r="A1031" t="s">
        <v>1717</v>
      </c>
      <c r="B1031" t="s">
        <v>13</v>
      </c>
      <c r="C1031" t="s">
        <v>87</v>
      </c>
      <c r="D1031" t="s">
        <v>610</v>
      </c>
      <c r="E1031" t="s">
        <v>611</v>
      </c>
      <c r="F1031" t="s">
        <v>14</v>
      </c>
      <c r="G1031">
        <v>170</v>
      </c>
      <c r="H1031">
        <v>1</v>
      </c>
      <c r="I1031">
        <v>2</v>
      </c>
      <c r="J1031">
        <v>173</v>
      </c>
      <c r="K1031" s="482">
        <v>0.98299999999999998</v>
      </c>
      <c r="L1031" s="482">
        <v>6.0000000000000001E-3</v>
      </c>
      <c r="M1031" s="482">
        <v>1.2E-2</v>
      </c>
    </row>
    <row r="1032" spans="1:13" x14ac:dyDescent="0.2">
      <c r="A1032" t="s">
        <v>1718</v>
      </c>
      <c r="B1032" t="s">
        <v>13</v>
      </c>
      <c r="C1032" t="s">
        <v>87</v>
      </c>
      <c r="D1032" t="s">
        <v>613</v>
      </c>
      <c r="E1032" t="s">
        <v>614</v>
      </c>
      <c r="F1032" t="s">
        <v>14</v>
      </c>
      <c r="G1032">
        <v>52</v>
      </c>
      <c r="H1032">
        <v>0</v>
      </c>
      <c r="I1032">
        <v>4</v>
      </c>
      <c r="J1032">
        <v>56</v>
      </c>
      <c r="K1032" s="482">
        <v>0.92900000000000005</v>
      </c>
      <c r="L1032" s="482">
        <v>0</v>
      </c>
      <c r="M1032" s="482">
        <v>7.0999999999999994E-2</v>
      </c>
    </row>
    <row r="1033" spans="1:13" x14ac:dyDescent="0.2">
      <c r="A1033" t="s">
        <v>1719</v>
      </c>
      <c r="B1033" t="s">
        <v>13</v>
      </c>
      <c r="C1033" t="s">
        <v>87</v>
      </c>
      <c r="D1033" t="s">
        <v>616</v>
      </c>
      <c r="E1033" t="s">
        <v>617</v>
      </c>
      <c r="F1033" t="s">
        <v>14</v>
      </c>
      <c r="G1033">
        <v>307</v>
      </c>
      <c r="H1033">
        <v>1</v>
      </c>
      <c r="I1033">
        <v>8</v>
      </c>
      <c r="J1033">
        <v>316</v>
      </c>
      <c r="K1033" s="482">
        <v>0.97199999999999998</v>
      </c>
      <c r="L1033" s="482">
        <v>3.0000000000000001E-3</v>
      </c>
      <c r="M1033" s="482">
        <v>2.5000000000000001E-2</v>
      </c>
    </row>
    <row r="1034" spans="1:13" x14ac:dyDescent="0.2">
      <c r="A1034" t="s">
        <v>1720</v>
      </c>
      <c r="B1034" t="s">
        <v>13</v>
      </c>
      <c r="C1034" t="s">
        <v>87</v>
      </c>
      <c r="D1034" t="s">
        <v>619</v>
      </c>
      <c r="E1034" t="s">
        <v>338</v>
      </c>
      <c r="F1034" t="s">
        <v>14</v>
      </c>
      <c r="G1034">
        <v>187</v>
      </c>
      <c r="H1034">
        <v>1</v>
      </c>
      <c r="I1034">
        <v>2</v>
      </c>
      <c r="J1034">
        <v>190</v>
      </c>
      <c r="K1034" s="482">
        <v>0.98399999999999999</v>
      </c>
      <c r="L1034" s="482">
        <v>5.0000000000000001E-3</v>
      </c>
      <c r="M1034" s="482">
        <v>1.0999999999999999E-2</v>
      </c>
    </row>
    <row r="1035" spans="1:13" x14ac:dyDescent="0.2">
      <c r="A1035" t="s">
        <v>1721</v>
      </c>
      <c r="B1035" t="s">
        <v>13</v>
      </c>
      <c r="C1035" t="s">
        <v>87</v>
      </c>
      <c r="D1035" t="s">
        <v>621</v>
      </c>
      <c r="E1035" t="s">
        <v>622</v>
      </c>
      <c r="F1035" t="s">
        <v>14</v>
      </c>
      <c r="G1035">
        <v>432</v>
      </c>
      <c r="H1035">
        <v>2</v>
      </c>
      <c r="I1035">
        <v>12</v>
      </c>
      <c r="J1035">
        <v>446</v>
      </c>
      <c r="K1035" s="482">
        <v>0.96899999999999997</v>
      </c>
      <c r="L1035" s="482">
        <v>4.0000000000000001E-3</v>
      </c>
      <c r="M1035" s="482">
        <v>2.7E-2</v>
      </c>
    </row>
    <row r="1036" spans="1:13" x14ac:dyDescent="0.2">
      <c r="A1036" t="s">
        <v>1722</v>
      </c>
      <c r="B1036" t="s">
        <v>13</v>
      </c>
      <c r="C1036" t="s">
        <v>87</v>
      </c>
      <c r="D1036" t="s">
        <v>624</v>
      </c>
      <c r="E1036" t="s">
        <v>625</v>
      </c>
      <c r="F1036" t="s">
        <v>14</v>
      </c>
      <c r="G1036">
        <v>95</v>
      </c>
      <c r="H1036">
        <v>1</v>
      </c>
      <c r="I1036">
        <v>1</v>
      </c>
      <c r="J1036">
        <v>97</v>
      </c>
      <c r="K1036" s="482">
        <v>0.97899999999999998</v>
      </c>
      <c r="L1036" s="482">
        <v>0.01</v>
      </c>
      <c r="M1036" s="482">
        <v>0.01</v>
      </c>
    </row>
    <row r="1037" spans="1:13" x14ac:dyDescent="0.2">
      <c r="A1037" t="s">
        <v>1723</v>
      </c>
      <c r="B1037" t="s">
        <v>13</v>
      </c>
      <c r="C1037" t="s">
        <v>87</v>
      </c>
      <c r="D1037" t="s">
        <v>627</v>
      </c>
      <c r="E1037" t="s">
        <v>628</v>
      </c>
      <c r="F1037" t="s">
        <v>14</v>
      </c>
      <c r="G1037">
        <v>89</v>
      </c>
      <c r="H1037">
        <v>0</v>
      </c>
      <c r="I1037">
        <v>1</v>
      </c>
      <c r="J1037">
        <v>90</v>
      </c>
      <c r="K1037" s="482">
        <v>0.98899999999999999</v>
      </c>
      <c r="L1037" s="482">
        <v>0</v>
      </c>
      <c r="M1037" s="482">
        <v>1.0999999999999999E-2</v>
      </c>
    </row>
    <row r="1038" spans="1:13" x14ac:dyDescent="0.2">
      <c r="A1038" t="s">
        <v>6561</v>
      </c>
      <c r="B1038" t="s">
        <v>13</v>
      </c>
      <c r="C1038" t="s">
        <v>87</v>
      </c>
      <c r="D1038" t="s">
        <v>6553</v>
      </c>
      <c r="E1038" t="s">
        <v>6543</v>
      </c>
      <c r="F1038" t="s">
        <v>14</v>
      </c>
      <c r="G1038">
        <v>343</v>
      </c>
      <c r="H1038">
        <v>2</v>
      </c>
      <c r="I1038">
        <v>8</v>
      </c>
      <c r="J1038">
        <v>353</v>
      </c>
      <c r="K1038" s="482">
        <v>0.97199999999999998</v>
      </c>
      <c r="L1038" s="482">
        <v>6.0000000000000001E-3</v>
      </c>
      <c r="M1038" s="482">
        <v>2.3E-2</v>
      </c>
    </row>
    <row r="1039" spans="1:13" x14ac:dyDescent="0.2">
      <c r="A1039" t="s">
        <v>1724</v>
      </c>
      <c r="B1039" t="s">
        <v>13</v>
      </c>
      <c r="C1039" t="s">
        <v>87</v>
      </c>
      <c r="D1039" t="s">
        <v>630</v>
      </c>
      <c r="E1039" t="s">
        <v>631</v>
      </c>
      <c r="F1039" t="s">
        <v>14</v>
      </c>
      <c r="G1039">
        <v>41</v>
      </c>
      <c r="H1039">
        <v>0</v>
      </c>
      <c r="I1039">
        <v>3</v>
      </c>
      <c r="J1039">
        <v>44</v>
      </c>
      <c r="K1039" s="482">
        <v>0.93200000000000005</v>
      </c>
      <c r="L1039" s="482">
        <v>0</v>
      </c>
      <c r="M1039" s="482">
        <v>6.8000000000000005E-2</v>
      </c>
    </row>
    <row r="1040" spans="1:13" x14ac:dyDescent="0.2">
      <c r="A1040" t="s">
        <v>1725</v>
      </c>
      <c r="B1040" t="s">
        <v>13</v>
      </c>
      <c r="C1040" t="s">
        <v>87</v>
      </c>
      <c r="D1040" t="s">
        <v>633</v>
      </c>
      <c r="E1040" t="s">
        <v>634</v>
      </c>
      <c r="F1040" t="s">
        <v>14</v>
      </c>
      <c r="G1040">
        <v>71</v>
      </c>
      <c r="H1040">
        <v>1</v>
      </c>
      <c r="I1040">
        <v>2</v>
      </c>
      <c r="J1040">
        <v>74</v>
      </c>
      <c r="K1040" s="482">
        <v>0.95899999999999996</v>
      </c>
      <c r="L1040" s="482">
        <v>1.4E-2</v>
      </c>
      <c r="M1040" s="482">
        <v>2.7E-2</v>
      </c>
    </row>
    <row r="1041" spans="1:13" x14ac:dyDescent="0.2">
      <c r="A1041" t="s">
        <v>1726</v>
      </c>
      <c r="B1041" t="s">
        <v>13</v>
      </c>
      <c r="C1041" t="s">
        <v>87</v>
      </c>
      <c r="D1041" t="s">
        <v>636</v>
      </c>
      <c r="E1041" t="s">
        <v>637</v>
      </c>
      <c r="F1041" t="s">
        <v>14</v>
      </c>
      <c r="G1041">
        <v>295</v>
      </c>
      <c r="H1041">
        <v>0</v>
      </c>
      <c r="I1041">
        <v>10</v>
      </c>
      <c r="J1041">
        <v>305</v>
      </c>
      <c r="K1041" s="482">
        <v>0.96699999999999997</v>
      </c>
      <c r="L1041" s="482">
        <v>0</v>
      </c>
      <c r="M1041" s="482">
        <v>3.3000000000000002E-2</v>
      </c>
    </row>
    <row r="1042" spans="1:13" x14ac:dyDescent="0.2">
      <c r="A1042" t="s">
        <v>1727</v>
      </c>
      <c r="B1042" t="s">
        <v>13</v>
      </c>
      <c r="C1042" t="s">
        <v>87</v>
      </c>
      <c r="D1042" t="s">
        <v>639</v>
      </c>
      <c r="E1042" t="s">
        <v>640</v>
      </c>
      <c r="F1042" t="s">
        <v>14</v>
      </c>
      <c r="G1042">
        <v>180</v>
      </c>
      <c r="H1042">
        <v>0</v>
      </c>
      <c r="I1042">
        <v>5</v>
      </c>
      <c r="J1042">
        <v>185</v>
      </c>
      <c r="K1042" s="482">
        <v>0.97299999999999998</v>
      </c>
      <c r="L1042" s="482">
        <v>0</v>
      </c>
      <c r="M1042" s="482">
        <v>2.7E-2</v>
      </c>
    </row>
    <row r="1043" spans="1:13" x14ac:dyDescent="0.2">
      <c r="A1043" t="s">
        <v>1728</v>
      </c>
      <c r="B1043" t="s">
        <v>13</v>
      </c>
      <c r="C1043" t="s">
        <v>87</v>
      </c>
      <c r="D1043" t="s">
        <v>642</v>
      </c>
      <c r="E1043" t="s">
        <v>643</v>
      </c>
      <c r="F1043" t="s">
        <v>14</v>
      </c>
      <c r="G1043">
        <v>260</v>
      </c>
      <c r="H1043">
        <v>4</v>
      </c>
      <c r="I1043">
        <v>6</v>
      </c>
      <c r="J1043">
        <v>270</v>
      </c>
      <c r="K1043" s="482">
        <v>0.96299999999999997</v>
      </c>
      <c r="L1043" s="482">
        <v>1.4999999999999999E-2</v>
      </c>
      <c r="M1043" s="482">
        <v>2.1999999999999999E-2</v>
      </c>
    </row>
    <row r="1044" spans="1:13" x14ac:dyDescent="0.2">
      <c r="A1044" t="s">
        <v>1729</v>
      </c>
      <c r="B1044" t="s">
        <v>13</v>
      </c>
      <c r="C1044" t="s">
        <v>87</v>
      </c>
      <c r="D1044" t="s">
        <v>645</v>
      </c>
      <c r="E1044" t="s">
        <v>646</v>
      </c>
      <c r="F1044" t="s">
        <v>14</v>
      </c>
      <c r="G1044">
        <v>208</v>
      </c>
      <c r="H1044">
        <v>0</v>
      </c>
      <c r="I1044">
        <v>7</v>
      </c>
      <c r="J1044">
        <v>215</v>
      </c>
      <c r="K1044" s="482">
        <v>0.96699999999999997</v>
      </c>
      <c r="L1044" s="482">
        <v>0</v>
      </c>
      <c r="M1044" s="482">
        <v>3.3000000000000002E-2</v>
      </c>
    </row>
    <row r="1045" spans="1:13" x14ac:dyDescent="0.2">
      <c r="A1045" t="s">
        <v>1730</v>
      </c>
      <c r="B1045" t="s">
        <v>13</v>
      </c>
      <c r="C1045" t="s">
        <v>87</v>
      </c>
      <c r="D1045" t="s">
        <v>648</v>
      </c>
      <c r="E1045" t="s">
        <v>649</v>
      </c>
      <c r="F1045" t="s">
        <v>14</v>
      </c>
      <c r="G1045">
        <v>85</v>
      </c>
      <c r="H1045">
        <v>0</v>
      </c>
      <c r="I1045">
        <v>1</v>
      </c>
      <c r="J1045">
        <v>86</v>
      </c>
      <c r="K1045" s="482">
        <v>0.98799999999999999</v>
      </c>
      <c r="L1045" s="482">
        <v>0</v>
      </c>
      <c r="M1045" s="482">
        <v>1.2E-2</v>
      </c>
    </row>
    <row r="1046" spans="1:13" x14ac:dyDescent="0.2">
      <c r="A1046" t="s">
        <v>1731</v>
      </c>
      <c r="B1046" t="s">
        <v>13</v>
      </c>
      <c r="C1046" t="s">
        <v>87</v>
      </c>
      <c r="D1046" t="s">
        <v>651</v>
      </c>
      <c r="E1046" t="s">
        <v>652</v>
      </c>
      <c r="F1046" t="s">
        <v>14</v>
      </c>
      <c r="G1046">
        <v>116</v>
      </c>
      <c r="H1046">
        <v>0</v>
      </c>
      <c r="I1046">
        <v>1</v>
      </c>
      <c r="J1046">
        <v>117</v>
      </c>
      <c r="K1046" s="482">
        <v>0.99099999999999999</v>
      </c>
      <c r="L1046" s="482">
        <v>0</v>
      </c>
      <c r="M1046" s="482">
        <v>8.9999999999999993E-3</v>
      </c>
    </row>
    <row r="1047" spans="1:13" x14ac:dyDescent="0.2">
      <c r="A1047" t="s">
        <v>1732</v>
      </c>
      <c r="B1047" t="s">
        <v>13</v>
      </c>
      <c r="C1047" t="s">
        <v>87</v>
      </c>
      <c r="D1047" t="s">
        <v>654</v>
      </c>
      <c r="E1047" t="s">
        <v>655</v>
      </c>
      <c r="F1047" t="s">
        <v>14</v>
      </c>
      <c r="G1047">
        <v>109</v>
      </c>
      <c r="H1047">
        <v>0</v>
      </c>
      <c r="I1047">
        <v>6</v>
      </c>
      <c r="J1047">
        <v>115</v>
      </c>
      <c r="K1047" s="482">
        <v>0.94799999999999995</v>
      </c>
      <c r="L1047" s="482">
        <v>0</v>
      </c>
      <c r="M1047" s="482">
        <v>5.1999999999999998E-2</v>
      </c>
    </row>
    <row r="1048" spans="1:13" x14ac:dyDescent="0.2">
      <c r="A1048" t="s">
        <v>1733</v>
      </c>
      <c r="B1048" t="s">
        <v>13</v>
      </c>
      <c r="C1048" t="s">
        <v>87</v>
      </c>
      <c r="D1048" t="s">
        <v>657</v>
      </c>
      <c r="E1048" t="s">
        <v>658</v>
      </c>
      <c r="F1048" t="s">
        <v>14</v>
      </c>
      <c r="G1048">
        <v>129</v>
      </c>
      <c r="H1048">
        <v>2</v>
      </c>
      <c r="I1048">
        <v>3</v>
      </c>
      <c r="J1048">
        <v>134</v>
      </c>
      <c r="K1048" s="482">
        <v>0.96299999999999997</v>
      </c>
      <c r="L1048" s="482">
        <v>1.4999999999999999E-2</v>
      </c>
      <c r="M1048" s="482">
        <v>2.1999999999999999E-2</v>
      </c>
    </row>
    <row r="1049" spans="1:13" x14ac:dyDescent="0.2">
      <c r="A1049" t="s">
        <v>1734</v>
      </c>
      <c r="B1049" t="s">
        <v>13</v>
      </c>
      <c r="C1049" t="s">
        <v>87</v>
      </c>
      <c r="D1049" t="s">
        <v>660</v>
      </c>
      <c r="E1049" t="s">
        <v>661</v>
      </c>
      <c r="F1049" t="s">
        <v>14</v>
      </c>
      <c r="G1049">
        <v>64</v>
      </c>
      <c r="H1049">
        <v>0</v>
      </c>
      <c r="I1049">
        <v>1</v>
      </c>
      <c r="J1049">
        <v>65</v>
      </c>
      <c r="K1049" s="482">
        <v>0.98499999999999999</v>
      </c>
      <c r="L1049" s="482">
        <v>0</v>
      </c>
      <c r="M1049" s="482">
        <v>1.4999999999999999E-2</v>
      </c>
    </row>
    <row r="1050" spans="1:13" x14ac:dyDescent="0.2">
      <c r="A1050" t="s">
        <v>1735</v>
      </c>
      <c r="B1050" t="s">
        <v>13</v>
      </c>
      <c r="C1050" t="s">
        <v>87</v>
      </c>
      <c r="D1050" t="s">
        <v>663</v>
      </c>
      <c r="E1050" t="s">
        <v>664</v>
      </c>
      <c r="F1050" t="s">
        <v>14</v>
      </c>
      <c r="G1050">
        <v>246</v>
      </c>
      <c r="H1050">
        <v>0</v>
      </c>
      <c r="I1050">
        <v>3</v>
      </c>
      <c r="J1050">
        <v>249</v>
      </c>
      <c r="K1050" s="482">
        <v>0.98799999999999999</v>
      </c>
      <c r="L1050" s="482">
        <v>0</v>
      </c>
      <c r="M1050" s="482">
        <v>1.2E-2</v>
      </c>
    </row>
    <row r="1051" spans="1:13" x14ac:dyDescent="0.2">
      <c r="A1051" t="s">
        <v>1736</v>
      </c>
      <c r="B1051" t="s">
        <v>13</v>
      </c>
      <c r="C1051" t="s">
        <v>87</v>
      </c>
      <c r="D1051" t="s">
        <v>666</v>
      </c>
      <c r="E1051" t="s">
        <v>667</v>
      </c>
      <c r="F1051" t="s">
        <v>14</v>
      </c>
      <c r="G1051">
        <v>195</v>
      </c>
      <c r="H1051">
        <v>3</v>
      </c>
      <c r="I1051">
        <v>4</v>
      </c>
      <c r="J1051">
        <v>202</v>
      </c>
      <c r="K1051" s="482">
        <v>0.96499999999999997</v>
      </c>
      <c r="L1051" s="482">
        <v>1.4999999999999999E-2</v>
      </c>
      <c r="M1051" s="482">
        <v>0.02</v>
      </c>
    </row>
    <row r="1052" spans="1:13" x14ac:dyDescent="0.2">
      <c r="A1052" t="s">
        <v>1737</v>
      </c>
      <c r="B1052" t="s">
        <v>13</v>
      </c>
      <c r="C1052" t="s">
        <v>87</v>
      </c>
      <c r="D1052" t="s">
        <v>669</v>
      </c>
      <c r="E1052" t="s">
        <v>670</v>
      </c>
      <c r="F1052" t="s">
        <v>14</v>
      </c>
      <c r="G1052">
        <v>184</v>
      </c>
      <c r="H1052">
        <v>0</v>
      </c>
      <c r="I1052">
        <v>3</v>
      </c>
      <c r="J1052">
        <v>187</v>
      </c>
      <c r="K1052" s="482">
        <v>0.98399999999999999</v>
      </c>
      <c r="L1052" s="482">
        <v>0</v>
      </c>
      <c r="M1052" s="482">
        <v>1.6E-2</v>
      </c>
    </row>
    <row r="1053" spans="1:13" x14ac:dyDescent="0.2">
      <c r="A1053" t="s">
        <v>1738</v>
      </c>
      <c r="B1053" t="s">
        <v>13</v>
      </c>
      <c r="C1053" t="s">
        <v>87</v>
      </c>
      <c r="D1053" t="s">
        <v>672</v>
      </c>
      <c r="E1053" t="s">
        <v>673</v>
      </c>
      <c r="F1053" t="s">
        <v>14</v>
      </c>
      <c r="G1053">
        <v>239</v>
      </c>
      <c r="H1053">
        <v>0</v>
      </c>
      <c r="I1053">
        <v>6</v>
      </c>
      <c r="J1053">
        <v>245</v>
      </c>
      <c r="K1053" s="482">
        <v>0.97599999999999998</v>
      </c>
      <c r="L1053" s="482">
        <v>0</v>
      </c>
      <c r="M1053" s="482">
        <v>2.4E-2</v>
      </c>
    </row>
    <row r="1054" spans="1:13" x14ac:dyDescent="0.2">
      <c r="A1054" t="s">
        <v>1739</v>
      </c>
      <c r="B1054" t="s">
        <v>13</v>
      </c>
      <c r="C1054" t="s">
        <v>87</v>
      </c>
      <c r="D1054" t="s">
        <v>675</v>
      </c>
      <c r="E1054" t="s">
        <v>676</v>
      </c>
      <c r="F1054" t="s">
        <v>14</v>
      </c>
      <c r="G1054">
        <v>263</v>
      </c>
      <c r="H1054">
        <v>1</v>
      </c>
      <c r="I1054">
        <v>5</v>
      </c>
      <c r="J1054">
        <v>269</v>
      </c>
      <c r="K1054" s="482">
        <v>0.97799999999999998</v>
      </c>
      <c r="L1054" s="482">
        <v>4.0000000000000001E-3</v>
      </c>
      <c r="M1054" s="482">
        <v>1.9E-2</v>
      </c>
    </row>
    <row r="1055" spans="1:13" x14ac:dyDescent="0.2">
      <c r="A1055" t="s">
        <v>1847</v>
      </c>
      <c r="B1055" t="s">
        <v>13</v>
      </c>
      <c r="C1055" t="s">
        <v>87</v>
      </c>
      <c r="D1055" t="s">
        <v>992</v>
      </c>
      <c r="E1055" t="s">
        <v>993</v>
      </c>
      <c r="F1055" t="s">
        <v>14</v>
      </c>
      <c r="G1055">
        <v>69</v>
      </c>
      <c r="H1055">
        <v>0</v>
      </c>
      <c r="I1055">
        <v>4</v>
      </c>
      <c r="J1055">
        <v>73</v>
      </c>
      <c r="K1055" s="482">
        <v>0.94499999999999995</v>
      </c>
      <c r="L1055" s="482">
        <v>0</v>
      </c>
      <c r="M1055" s="482">
        <v>5.5E-2</v>
      </c>
    </row>
    <row r="1056" spans="1:13" x14ac:dyDescent="0.2">
      <c r="A1056" t="s">
        <v>1848</v>
      </c>
      <c r="B1056" t="s">
        <v>13</v>
      </c>
      <c r="C1056" t="s">
        <v>87</v>
      </c>
      <c r="D1056" t="s">
        <v>995</v>
      </c>
      <c r="E1056" t="s">
        <v>996</v>
      </c>
      <c r="F1056" t="s">
        <v>14</v>
      </c>
      <c r="G1056">
        <v>157</v>
      </c>
      <c r="H1056">
        <v>0</v>
      </c>
      <c r="I1056">
        <v>5</v>
      </c>
      <c r="J1056">
        <v>162</v>
      </c>
      <c r="K1056" s="482">
        <v>0.96899999999999997</v>
      </c>
      <c r="L1056" s="482">
        <v>0</v>
      </c>
      <c r="M1056" s="482">
        <v>3.1E-2</v>
      </c>
    </row>
    <row r="1057" spans="1:13" x14ac:dyDescent="0.2">
      <c r="A1057" t="s">
        <v>1849</v>
      </c>
      <c r="B1057" t="s">
        <v>13</v>
      </c>
      <c r="C1057" t="s">
        <v>87</v>
      </c>
      <c r="D1057" t="s">
        <v>998</v>
      </c>
      <c r="E1057" t="s">
        <v>999</v>
      </c>
      <c r="F1057" t="s">
        <v>14</v>
      </c>
      <c r="G1057">
        <v>104</v>
      </c>
      <c r="H1057">
        <v>2</v>
      </c>
      <c r="I1057">
        <v>3</v>
      </c>
      <c r="J1057">
        <v>109</v>
      </c>
      <c r="K1057" s="482">
        <v>0.95399999999999996</v>
      </c>
      <c r="L1057" s="482">
        <v>1.7999999999999999E-2</v>
      </c>
      <c r="M1057" s="482">
        <v>2.8000000000000001E-2</v>
      </c>
    </row>
    <row r="1058" spans="1:13" x14ac:dyDescent="0.2">
      <c r="A1058" t="s">
        <v>1850</v>
      </c>
      <c r="B1058" t="s">
        <v>13</v>
      </c>
      <c r="C1058" t="s">
        <v>87</v>
      </c>
      <c r="D1058" t="s">
        <v>1001</v>
      </c>
      <c r="E1058" t="s">
        <v>1002</v>
      </c>
      <c r="F1058" t="s">
        <v>14</v>
      </c>
      <c r="G1058">
        <v>144</v>
      </c>
      <c r="H1058">
        <v>2</v>
      </c>
      <c r="I1058">
        <v>4</v>
      </c>
      <c r="J1058">
        <v>150</v>
      </c>
      <c r="K1058" s="482">
        <v>0.96</v>
      </c>
      <c r="L1058" s="482">
        <v>1.2999999999999999E-2</v>
      </c>
      <c r="M1058" s="482">
        <v>2.7E-2</v>
      </c>
    </row>
    <row r="1059" spans="1:13" x14ac:dyDescent="0.2">
      <c r="A1059" t="s">
        <v>1851</v>
      </c>
      <c r="B1059" t="s">
        <v>13</v>
      </c>
      <c r="C1059" t="s">
        <v>87</v>
      </c>
      <c r="D1059" t="s">
        <v>1004</v>
      </c>
      <c r="E1059" t="s">
        <v>1005</v>
      </c>
      <c r="F1059" t="s">
        <v>14</v>
      </c>
      <c r="G1059">
        <v>84</v>
      </c>
      <c r="H1059">
        <v>0</v>
      </c>
      <c r="I1059">
        <v>4</v>
      </c>
      <c r="J1059">
        <v>88</v>
      </c>
      <c r="K1059" s="482">
        <v>0.95499999999999996</v>
      </c>
      <c r="L1059" s="482">
        <v>0</v>
      </c>
      <c r="M1059" s="482">
        <v>4.4999999999999998E-2</v>
      </c>
    </row>
    <row r="1060" spans="1:13" x14ac:dyDescent="0.2">
      <c r="A1060" t="s">
        <v>1852</v>
      </c>
      <c r="B1060" t="s">
        <v>13</v>
      </c>
      <c r="C1060" t="s">
        <v>87</v>
      </c>
      <c r="D1060" t="s">
        <v>1007</v>
      </c>
      <c r="E1060" t="s">
        <v>1008</v>
      </c>
      <c r="F1060" t="s">
        <v>14</v>
      </c>
      <c r="G1060">
        <v>63</v>
      </c>
      <c r="H1060">
        <v>0</v>
      </c>
      <c r="I1060">
        <v>1</v>
      </c>
      <c r="J1060">
        <v>64</v>
      </c>
      <c r="K1060" s="482">
        <v>0.98399999999999999</v>
      </c>
      <c r="L1060" s="482">
        <v>0</v>
      </c>
      <c r="M1060" s="482">
        <v>1.6E-2</v>
      </c>
    </row>
    <row r="1061" spans="1:13" x14ac:dyDescent="0.2">
      <c r="A1061" t="s">
        <v>1853</v>
      </c>
      <c r="B1061" t="s">
        <v>13</v>
      </c>
      <c r="C1061" t="s">
        <v>87</v>
      </c>
      <c r="D1061" t="s">
        <v>1010</v>
      </c>
      <c r="E1061" t="s">
        <v>1011</v>
      </c>
      <c r="F1061" t="s">
        <v>14</v>
      </c>
      <c r="G1061">
        <v>19</v>
      </c>
      <c r="H1061">
        <v>2</v>
      </c>
      <c r="I1061">
        <v>0</v>
      </c>
      <c r="J1061">
        <v>21</v>
      </c>
      <c r="K1061" s="482">
        <v>0.90500000000000003</v>
      </c>
      <c r="L1061" s="482">
        <v>9.5000000000000001E-2</v>
      </c>
      <c r="M1061" s="482">
        <v>0</v>
      </c>
    </row>
    <row r="1062" spans="1:13" x14ac:dyDescent="0.2">
      <c r="A1062" t="s">
        <v>1651</v>
      </c>
      <c r="B1062" t="s">
        <v>13</v>
      </c>
      <c r="C1062" t="s">
        <v>87</v>
      </c>
      <c r="D1062" t="s">
        <v>1013</v>
      </c>
      <c r="E1062" t="s">
        <v>1014</v>
      </c>
      <c r="F1062" t="s">
        <v>14</v>
      </c>
      <c r="G1062">
        <v>69</v>
      </c>
      <c r="H1062">
        <v>2</v>
      </c>
      <c r="I1062">
        <v>4</v>
      </c>
      <c r="J1062">
        <v>75</v>
      </c>
      <c r="K1062" s="482">
        <v>0.92</v>
      </c>
      <c r="L1062" s="482">
        <v>2.7E-2</v>
      </c>
      <c r="M1062" s="482">
        <v>5.2999999999999999E-2</v>
      </c>
    </row>
    <row r="1063" spans="1:13" x14ac:dyDescent="0.2">
      <c r="A1063" t="s">
        <v>1652</v>
      </c>
      <c r="B1063" t="s">
        <v>13</v>
      </c>
      <c r="C1063" t="s">
        <v>87</v>
      </c>
      <c r="D1063" t="s">
        <v>420</v>
      </c>
      <c r="E1063" t="s">
        <v>421</v>
      </c>
      <c r="F1063" t="s">
        <v>14</v>
      </c>
      <c r="G1063">
        <v>404</v>
      </c>
      <c r="H1063">
        <v>1</v>
      </c>
      <c r="I1063">
        <v>13</v>
      </c>
      <c r="J1063">
        <v>418</v>
      </c>
      <c r="K1063" s="482">
        <v>0.96699999999999997</v>
      </c>
      <c r="L1063" s="482">
        <v>2E-3</v>
      </c>
      <c r="M1063" s="482">
        <v>3.1E-2</v>
      </c>
    </row>
    <row r="1064" spans="1:13" x14ac:dyDescent="0.2">
      <c r="A1064" t="s">
        <v>1653</v>
      </c>
      <c r="B1064" t="s">
        <v>13</v>
      </c>
      <c r="C1064" t="s">
        <v>87</v>
      </c>
      <c r="D1064" t="s">
        <v>423</v>
      </c>
      <c r="E1064" t="s">
        <v>424</v>
      </c>
      <c r="F1064" t="s">
        <v>14</v>
      </c>
      <c r="G1064">
        <v>78</v>
      </c>
      <c r="H1064">
        <v>0</v>
      </c>
      <c r="I1064">
        <v>2</v>
      </c>
      <c r="J1064">
        <v>80</v>
      </c>
      <c r="K1064" s="482">
        <v>0.97499999999999998</v>
      </c>
      <c r="L1064" s="482">
        <v>0</v>
      </c>
      <c r="M1064" s="482">
        <v>2.5000000000000001E-2</v>
      </c>
    </row>
    <row r="1065" spans="1:13" x14ac:dyDescent="0.2">
      <c r="A1065" t="s">
        <v>1654</v>
      </c>
      <c r="B1065" t="s">
        <v>13</v>
      </c>
      <c r="C1065" t="s">
        <v>87</v>
      </c>
      <c r="D1065" t="s">
        <v>426</v>
      </c>
      <c r="E1065" t="s">
        <v>427</v>
      </c>
      <c r="F1065" t="s">
        <v>14</v>
      </c>
      <c r="G1065">
        <v>219</v>
      </c>
      <c r="H1065">
        <v>4</v>
      </c>
      <c r="I1065">
        <v>4</v>
      </c>
      <c r="J1065">
        <v>227</v>
      </c>
      <c r="K1065" s="482">
        <v>0.96499999999999997</v>
      </c>
      <c r="L1065" s="482">
        <v>1.7999999999999999E-2</v>
      </c>
      <c r="M1065" s="482">
        <v>1.7999999999999999E-2</v>
      </c>
    </row>
    <row r="1066" spans="1:13" x14ac:dyDescent="0.2">
      <c r="A1066" t="s">
        <v>1655</v>
      </c>
      <c r="B1066" t="s">
        <v>13</v>
      </c>
      <c r="C1066" t="s">
        <v>87</v>
      </c>
      <c r="D1066" t="s">
        <v>429</v>
      </c>
      <c r="E1066" t="s">
        <v>430</v>
      </c>
      <c r="F1066" t="s">
        <v>14</v>
      </c>
      <c r="G1066">
        <v>164</v>
      </c>
      <c r="H1066">
        <v>1</v>
      </c>
      <c r="I1066">
        <v>8</v>
      </c>
      <c r="J1066">
        <v>173</v>
      </c>
      <c r="K1066" s="482">
        <v>0.94799999999999995</v>
      </c>
      <c r="L1066" s="482">
        <v>6.0000000000000001E-3</v>
      </c>
      <c r="M1066" s="482">
        <v>4.5999999999999999E-2</v>
      </c>
    </row>
    <row r="1067" spans="1:13" x14ac:dyDescent="0.2">
      <c r="A1067" t="s">
        <v>1656</v>
      </c>
      <c r="B1067" t="s">
        <v>13</v>
      </c>
      <c r="C1067" t="s">
        <v>87</v>
      </c>
      <c r="D1067" t="s">
        <v>432</v>
      </c>
      <c r="E1067" t="s">
        <v>433</v>
      </c>
      <c r="F1067" t="s">
        <v>14</v>
      </c>
      <c r="G1067">
        <v>68</v>
      </c>
      <c r="H1067">
        <v>0</v>
      </c>
      <c r="I1067">
        <v>2</v>
      </c>
      <c r="J1067">
        <v>70</v>
      </c>
      <c r="K1067" s="482">
        <v>0.97099999999999997</v>
      </c>
      <c r="L1067" s="482">
        <v>0</v>
      </c>
      <c r="M1067" s="482">
        <v>2.9000000000000001E-2</v>
      </c>
    </row>
    <row r="1068" spans="1:13" x14ac:dyDescent="0.2">
      <c r="A1068" t="s">
        <v>1657</v>
      </c>
      <c r="B1068" t="s">
        <v>13</v>
      </c>
      <c r="C1068" t="s">
        <v>87</v>
      </c>
      <c r="D1068" t="s">
        <v>435</v>
      </c>
      <c r="E1068" t="s">
        <v>436</v>
      </c>
      <c r="F1068" t="s">
        <v>14</v>
      </c>
      <c r="G1068">
        <v>72</v>
      </c>
      <c r="H1068">
        <v>0</v>
      </c>
      <c r="I1068">
        <v>3</v>
      </c>
      <c r="J1068">
        <v>75</v>
      </c>
      <c r="K1068" s="482">
        <v>0.96</v>
      </c>
      <c r="L1068" s="482">
        <v>0</v>
      </c>
      <c r="M1068" s="482">
        <v>0.04</v>
      </c>
    </row>
    <row r="1069" spans="1:13" x14ac:dyDescent="0.2">
      <c r="A1069" t="s">
        <v>1759</v>
      </c>
      <c r="B1069" t="s">
        <v>13</v>
      </c>
      <c r="C1069" t="s">
        <v>87</v>
      </c>
      <c r="D1069" t="s">
        <v>737</v>
      </c>
      <c r="E1069" t="s">
        <v>738</v>
      </c>
      <c r="F1069" t="s">
        <v>14</v>
      </c>
      <c r="G1069">
        <v>168</v>
      </c>
      <c r="H1069">
        <v>0</v>
      </c>
      <c r="I1069">
        <v>6</v>
      </c>
      <c r="J1069">
        <v>174</v>
      </c>
      <c r="K1069" s="482">
        <v>0.96599999999999997</v>
      </c>
      <c r="L1069" s="482">
        <v>0</v>
      </c>
      <c r="M1069" s="482">
        <v>3.4000000000000002E-2</v>
      </c>
    </row>
    <row r="1070" spans="1:13" x14ac:dyDescent="0.2">
      <c r="A1070" t="s">
        <v>1948</v>
      </c>
      <c r="B1070" t="s">
        <v>15</v>
      </c>
      <c r="C1070" t="s">
        <v>87</v>
      </c>
      <c r="D1070" t="s">
        <v>737</v>
      </c>
      <c r="E1070" t="s">
        <v>738</v>
      </c>
      <c r="F1070" t="s">
        <v>179</v>
      </c>
      <c r="G1070">
        <v>94</v>
      </c>
      <c r="H1070">
        <v>26</v>
      </c>
      <c r="I1070">
        <v>51</v>
      </c>
      <c r="J1070">
        <v>171</v>
      </c>
      <c r="K1070" s="482">
        <v>0.55000000000000004</v>
      </c>
      <c r="L1070" s="482">
        <v>0.152</v>
      </c>
      <c r="M1070" s="482">
        <v>0.29799999999999999</v>
      </c>
    </row>
    <row r="1071" spans="1:13" x14ac:dyDescent="0.2">
      <c r="A1071" t="s">
        <v>2050</v>
      </c>
      <c r="B1071" t="s">
        <v>15</v>
      </c>
      <c r="C1071" t="s">
        <v>87</v>
      </c>
      <c r="D1071" t="s">
        <v>435</v>
      </c>
      <c r="E1071" t="s">
        <v>436</v>
      </c>
      <c r="F1071" t="s">
        <v>179</v>
      </c>
      <c r="G1071">
        <v>25</v>
      </c>
      <c r="H1071">
        <v>7</v>
      </c>
      <c r="I1071">
        <v>9</v>
      </c>
      <c r="J1071">
        <v>41</v>
      </c>
      <c r="K1071" s="482">
        <v>0.61</v>
      </c>
      <c r="L1071" s="482">
        <v>0.17100000000000001</v>
      </c>
      <c r="M1071" s="482">
        <v>0.22</v>
      </c>
    </row>
    <row r="1072" spans="1:13" x14ac:dyDescent="0.2">
      <c r="A1072" t="s">
        <v>2051</v>
      </c>
      <c r="B1072" t="s">
        <v>15</v>
      </c>
      <c r="C1072" t="s">
        <v>87</v>
      </c>
      <c r="D1072" t="s">
        <v>432</v>
      </c>
      <c r="E1072" t="s">
        <v>433</v>
      </c>
      <c r="F1072" t="s">
        <v>179</v>
      </c>
      <c r="G1072">
        <v>42</v>
      </c>
      <c r="H1072">
        <v>12</v>
      </c>
      <c r="I1072">
        <v>19</v>
      </c>
      <c r="J1072">
        <v>73</v>
      </c>
      <c r="K1072" s="482">
        <v>0.57499999999999996</v>
      </c>
      <c r="L1072" s="482">
        <v>0.16400000000000001</v>
      </c>
      <c r="M1072" s="482">
        <v>0.26</v>
      </c>
    </row>
    <row r="1073" spans="1:13" x14ac:dyDescent="0.2">
      <c r="A1073" t="s">
        <v>2052</v>
      </c>
      <c r="B1073" t="s">
        <v>15</v>
      </c>
      <c r="C1073" t="s">
        <v>87</v>
      </c>
      <c r="D1073" t="s">
        <v>429</v>
      </c>
      <c r="E1073" t="s">
        <v>430</v>
      </c>
      <c r="F1073" t="s">
        <v>179</v>
      </c>
      <c r="G1073">
        <v>99</v>
      </c>
      <c r="H1073">
        <v>19</v>
      </c>
      <c r="I1073">
        <v>47</v>
      </c>
      <c r="J1073">
        <v>165</v>
      </c>
      <c r="K1073" s="482">
        <v>0.6</v>
      </c>
      <c r="L1073" s="482">
        <v>0.115</v>
      </c>
      <c r="M1073" s="482">
        <v>0.28499999999999998</v>
      </c>
    </row>
    <row r="1074" spans="1:13" x14ac:dyDescent="0.2">
      <c r="A1074" t="s">
        <v>2053</v>
      </c>
      <c r="B1074" t="s">
        <v>15</v>
      </c>
      <c r="C1074" t="s">
        <v>87</v>
      </c>
      <c r="D1074" t="s">
        <v>426</v>
      </c>
      <c r="E1074" t="s">
        <v>427</v>
      </c>
      <c r="F1074" t="s">
        <v>179</v>
      </c>
      <c r="G1074">
        <v>163</v>
      </c>
      <c r="H1074">
        <v>25</v>
      </c>
      <c r="I1074">
        <v>89</v>
      </c>
      <c r="J1074">
        <v>277</v>
      </c>
      <c r="K1074" s="482">
        <v>0.58799999999999997</v>
      </c>
      <c r="L1074" s="482">
        <v>0.09</v>
      </c>
      <c r="M1074" s="482">
        <v>0.32100000000000001</v>
      </c>
    </row>
    <row r="1075" spans="1:13" x14ac:dyDescent="0.2">
      <c r="A1075" t="s">
        <v>2054</v>
      </c>
      <c r="B1075" t="s">
        <v>15</v>
      </c>
      <c r="C1075" t="s">
        <v>87</v>
      </c>
      <c r="D1075" t="s">
        <v>423</v>
      </c>
      <c r="E1075" t="s">
        <v>424</v>
      </c>
      <c r="F1075" t="s">
        <v>179</v>
      </c>
      <c r="G1075">
        <v>48</v>
      </c>
      <c r="H1075">
        <v>10</v>
      </c>
      <c r="I1075">
        <v>22</v>
      </c>
      <c r="J1075">
        <v>80</v>
      </c>
      <c r="K1075" s="482">
        <v>0.6</v>
      </c>
      <c r="L1075" s="482">
        <v>0.125</v>
      </c>
      <c r="M1075" s="482">
        <v>0.27500000000000002</v>
      </c>
    </row>
    <row r="1076" spans="1:13" x14ac:dyDescent="0.2">
      <c r="A1076" t="s">
        <v>2055</v>
      </c>
      <c r="B1076" t="s">
        <v>15</v>
      </c>
      <c r="C1076" t="s">
        <v>87</v>
      </c>
      <c r="D1076" t="s">
        <v>420</v>
      </c>
      <c r="E1076" t="s">
        <v>421</v>
      </c>
      <c r="F1076" t="s">
        <v>179</v>
      </c>
      <c r="G1076">
        <v>194</v>
      </c>
      <c r="H1076">
        <v>36</v>
      </c>
      <c r="I1076">
        <v>88</v>
      </c>
      <c r="J1076">
        <v>318</v>
      </c>
      <c r="K1076" s="482">
        <v>0.61</v>
      </c>
      <c r="L1076" s="482">
        <v>0.113</v>
      </c>
      <c r="M1076" s="482">
        <v>0.27700000000000002</v>
      </c>
    </row>
    <row r="1077" spans="1:13" x14ac:dyDescent="0.2">
      <c r="A1077" t="s">
        <v>2056</v>
      </c>
      <c r="B1077" t="s">
        <v>15</v>
      </c>
      <c r="C1077" t="s">
        <v>87</v>
      </c>
      <c r="D1077" t="s">
        <v>1013</v>
      </c>
      <c r="E1077" t="s">
        <v>1014</v>
      </c>
      <c r="F1077" t="s">
        <v>179</v>
      </c>
      <c r="G1077">
        <v>40</v>
      </c>
      <c r="H1077">
        <v>13</v>
      </c>
      <c r="I1077">
        <v>34</v>
      </c>
      <c r="J1077">
        <v>87</v>
      </c>
      <c r="K1077" s="482">
        <v>0.46</v>
      </c>
      <c r="L1077" s="482">
        <v>0.14899999999999999</v>
      </c>
      <c r="M1077" s="482">
        <v>0.39100000000000001</v>
      </c>
    </row>
    <row r="1078" spans="1:13" x14ac:dyDescent="0.2">
      <c r="A1078" t="s">
        <v>1854</v>
      </c>
      <c r="B1078" t="s">
        <v>15</v>
      </c>
      <c r="C1078" t="s">
        <v>87</v>
      </c>
      <c r="D1078" t="s">
        <v>1010</v>
      </c>
      <c r="E1078" t="s">
        <v>1011</v>
      </c>
      <c r="F1078" t="s">
        <v>179</v>
      </c>
      <c r="G1078">
        <v>14</v>
      </c>
      <c r="H1078">
        <v>2</v>
      </c>
      <c r="I1078">
        <v>9</v>
      </c>
      <c r="J1078">
        <v>25</v>
      </c>
      <c r="K1078" s="482">
        <v>0.56000000000000005</v>
      </c>
      <c r="L1078" s="482">
        <v>0.08</v>
      </c>
      <c r="M1078" s="482">
        <v>0.36</v>
      </c>
    </row>
    <row r="1079" spans="1:13" x14ac:dyDescent="0.2">
      <c r="A1079" t="s">
        <v>1855</v>
      </c>
      <c r="B1079" t="s">
        <v>15</v>
      </c>
      <c r="C1079" t="s">
        <v>87</v>
      </c>
      <c r="D1079" t="s">
        <v>1007</v>
      </c>
      <c r="E1079" t="s">
        <v>1008</v>
      </c>
      <c r="F1079" t="s">
        <v>179</v>
      </c>
      <c r="G1079">
        <v>42</v>
      </c>
      <c r="H1079">
        <v>13</v>
      </c>
      <c r="I1079">
        <v>28</v>
      </c>
      <c r="J1079">
        <v>83</v>
      </c>
      <c r="K1079" s="482">
        <v>0.50600000000000001</v>
      </c>
      <c r="L1079" s="482">
        <v>0.157</v>
      </c>
      <c r="M1079" s="482">
        <v>0.33700000000000002</v>
      </c>
    </row>
    <row r="1080" spans="1:13" x14ac:dyDescent="0.2">
      <c r="A1080" t="s">
        <v>1856</v>
      </c>
      <c r="B1080" t="s">
        <v>15</v>
      </c>
      <c r="C1080" t="s">
        <v>87</v>
      </c>
      <c r="D1080" t="s">
        <v>1004</v>
      </c>
      <c r="E1080" t="s">
        <v>1005</v>
      </c>
      <c r="F1080" t="s">
        <v>179</v>
      </c>
      <c r="G1080">
        <v>54</v>
      </c>
      <c r="H1080">
        <v>22</v>
      </c>
      <c r="I1080">
        <v>41</v>
      </c>
      <c r="J1080">
        <v>117</v>
      </c>
      <c r="K1080" s="482">
        <v>0.46200000000000002</v>
      </c>
      <c r="L1080" s="482">
        <v>0.188</v>
      </c>
      <c r="M1080" s="482">
        <v>0.35</v>
      </c>
    </row>
    <row r="1081" spans="1:13" x14ac:dyDescent="0.2">
      <c r="A1081" t="s">
        <v>1857</v>
      </c>
      <c r="B1081" t="s">
        <v>15</v>
      </c>
      <c r="C1081" t="s">
        <v>87</v>
      </c>
      <c r="D1081" t="s">
        <v>1001</v>
      </c>
      <c r="E1081" t="s">
        <v>1002</v>
      </c>
      <c r="F1081" t="s">
        <v>179</v>
      </c>
      <c r="G1081">
        <v>71</v>
      </c>
      <c r="H1081">
        <v>18</v>
      </c>
      <c r="I1081">
        <v>31</v>
      </c>
      <c r="J1081">
        <v>120</v>
      </c>
      <c r="K1081" s="482">
        <v>0.59199999999999997</v>
      </c>
      <c r="L1081" s="482">
        <v>0.15</v>
      </c>
      <c r="M1081" s="482">
        <v>0.25800000000000001</v>
      </c>
    </row>
    <row r="1082" spans="1:13" x14ac:dyDescent="0.2">
      <c r="A1082" t="s">
        <v>1858</v>
      </c>
      <c r="B1082" t="s">
        <v>15</v>
      </c>
      <c r="C1082" t="s">
        <v>87</v>
      </c>
      <c r="D1082" t="s">
        <v>998</v>
      </c>
      <c r="E1082" t="s">
        <v>999</v>
      </c>
      <c r="F1082" t="s">
        <v>179</v>
      </c>
      <c r="G1082">
        <v>76</v>
      </c>
      <c r="H1082">
        <v>17</v>
      </c>
      <c r="I1082">
        <v>49</v>
      </c>
      <c r="J1082">
        <v>142</v>
      </c>
      <c r="K1082" s="482">
        <v>0.53500000000000003</v>
      </c>
      <c r="L1082" s="482">
        <v>0.12</v>
      </c>
      <c r="M1082" s="482">
        <v>0.34499999999999997</v>
      </c>
    </row>
    <row r="1083" spans="1:13" x14ac:dyDescent="0.2">
      <c r="A1083" t="s">
        <v>1859</v>
      </c>
      <c r="B1083" t="s">
        <v>15</v>
      </c>
      <c r="C1083" t="s">
        <v>87</v>
      </c>
      <c r="D1083" t="s">
        <v>995</v>
      </c>
      <c r="E1083" t="s">
        <v>996</v>
      </c>
      <c r="F1083" t="s">
        <v>179</v>
      </c>
      <c r="G1083">
        <v>78</v>
      </c>
      <c r="H1083">
        <v>15</v>
      </c>
      <c r="I1083">
        <v>42</v>
      </c>
      <c r="J1083">
        <v>135</v>
      </c>
      <c r="K1083" s="482">
        <v>0.57799999999999996</v>
      </c>
      <c r="L1083" s="482">
        <v>0.111</v>
      </c>
      <c r="M1083" s="482">
        <v>0.311</v>
      </c>
    </row>
    <row r="1084" spans="1:13" x14ac:dyDescent="0.2">
      <c r="A1084" t="s">
        <v>1860</v>
      </c>
      <c r="B1084" t="s">
        <v>15</v>
      </c>
      <c r="C1084" t="s">
        <v>87</v>
      </c>
      <c r="D1084" t="s">
        <v>992</v>
      </c>
      <c r="E1084" t="s">
        <v>993</v>
      </c>
      <c r="F1084" t="s">
        <v>179</v>
      </c>
      <c r="G1084">
        <v>29</v>
      </c>
      <c r="H1084">
        <v>6</v>
      </c>
      <c r="I1084">
        <v>19</v>
      </c>
      <c r="J1084">
        <v>54</v>
      </c>
      <c r="K1084" s="482">
        <v>0.53700000000000003</v>
      </c>
      <c r="L1084" s="482">
        <v>0.111</v>
      </c>
      <c r="M1084" s="482">
        <v>0.35199999999999998</v>
      </c>
    </row>
    <row r="1085" spans="1:13" x14ac:dyDescent="0.2">
      <c r="A1085" t="s">
        <v>1968</v>
      </c>
      <c r="B1085" t="s">
        <v>15</v>
      </c>
      <c r="C1085" t="s">
        <v>87</v>
      </c>
      <c r="D1085" t="s">
        <v>675</v>
      </c>
      <c r="E1085" t="s">
        <v>676</v>
      </c>
      <c r="F1085" t="s">
        <v>179</v>
      </c>
      <c r="G1085">
        <v>124</v>
      </c>
      <c r="H1085">
        <v>36</v>
      </c>
      <c r="I1085">
        <v>72</v>
      </c>
      <c r="J1085">
        <v>232</v>
      </c>
      <c r="K1085" s="482">
        <v>0.53400000000000003</v>
      </c>
      <c r="L1085" s="482">
        <v>0.155</v>
      </c>
      <c r="M1085" s="482">
        <v>0.31</v>
      </c>
    </row>
    <row r="1086" spans="1:13" x14ac:dyDescent="0.2">
      <c r="A1086" t="s">
        <v>1969</v>
      </c>
      <c r="B1086" t="s">
        <v>15</v>
      </c>
      <c r="C1086" t="s">
        <v>87</v>
      </c>
      <c r="D1086" t="s">
        <v>672</v>
      </c>
      <c r="E1086" t="s">
        <v>673</v>
      </c>
      <c r="F1086" t="s">
        <v>179</v>
      </c>
      <c r="G1086">
        <v>126</v>
      </c>
      <c r="H1086">
        <v>38</v>
      </c>
      <c r="I1086">
        <v>64</v>
      </c>
      <c r="J1086">
        <v>228</v>
      </c>
      <c r="K1086" s="482">
        <v>0.55300000000000005</v>
      </c>
      <c r="L1086" s="482">
        <v>0.16700000000000001</v>
      </c>
      <c r="M1086" s="482">
        <v>0.28100000000000003</v>
      </c>
    </row>
    <row r="1087" spans="1:13" x14ac:dyDescent="0.2">
      <c r="A1087" t="s">
        <v>1970</v>
      </c>
      <c r="B1087" t="s">
        <v>15</v>
      </c>
      <c r="C1087" t="s">
        <v>87</v>
      </c>
      <c r="D1087" t="s">
        <v>669</v>
      </c>
      <c r="E1087" t="s">
        <v>670</v>
      </c>
      <c r="F1087" t="s">
        <v>179</v>
      </c>
      <c r="G1087">
        <v>83</v>
      </c>
      <c r="H1087">
        <v>24</v>
      </c>
      <c r="I1087">
        <v>55</v>
      </c>
      <c r="J1087">
        <v>162</v>
      </c>
      <c r="K1087" s="482">
        <v>0.51200000000000001</v>
      </c>
      <c r="L1087" s="482">
        <v>0.14799999999999999</v>
      </c>
      <c r="M1087" s="482">
        <v>0.34</v>
      </c>
    </row>
    <row r="1088" spans="1:13" x14ac:dyDescent="0.2">
      <c r="A1088" t="s">
        <v>1971</v>
      </c>
      <c r="B1088" t="s">
        <v>15</v>
      </c>
      <c r="C1088" t="s">
        <v>87</v>
      </c>
      <c r="D1088" t="s">
        <v>666</v>
      </c>
      <c r="E1088" t="s">
        <v>667</v>
      </c>
      <c r="F1088" t="s">
        <v>179</v>
      </c>
      <c r="G1088">
        <v>98</v>
      </c>
      <c r="H1088">
        <v>31</v>
      </c>
      <c r="I1088">
        <v>46</v>
      </c>
      <c r="J1088">
        <v>175</v>
      </c>
      <c r="K1088" s="482">
        <v>0.56000000000000005</v>
      </c>
      <c r="L1088" s="482">
        <v>0.17699999999999999</v>
      </c>
      <c r="M1088" s="482">
        <v>0.26300000000000001</v>
      </c>
    </row>
    <row r="1089" spans="1:13" x14ac:dyDescent="0.2">
      <c r="A1089" t="s">
        <v>1972</v>
      </c>
      <c r="B1089" t="s">
        <v>15</v>
      </c>
      <c r="C1089" t="s">
        <v>87</v>
      </c>
      <c r="D1089" t="s">
        <v>663</v>
      </c>
      <c r="E1089" t="s">
        <v>664</v>
      </c>
      <c r="F1089" t="s">
        <v>179</v>
      </c>
      <c r="G1089">
        <v>102</v>
      </c>
      <c r="H1089">
        <v>21</v>
      </c>
      <c r="I1089">
        <v>46</v>
      </c>
      <c r="J1089">
        <v>169</v>
      </c>
      <c r="K1089" s="482">
        <v>0.60399999999999998</v>
      </c>
      <c r="L1089" s="482">
        <v>0.124</v>
      </c>
      <c r="M1089" s="482">
        <v>0.27200000000000002</v>
      </c>
    </row>
    <row r="1090" spans="1:13" x14ac:dyDescent="0.2">
      <c r="A1090" t="s">
        <v>1973</v>
      </c>
      <c r="B1090" t="s">
        <v>15</v>
      </c>
      <c r="C1090" t="s">
        <v>87</v>
      </c>
      <c r="D1090" t="s">
        <v>660</v>
      </c>
      <c r="E1090" t="s">
        <v>661</v>
      </c>
      <c r="F1090" t="s">
        <v>179</v>
      </c>
      <c r="G1090">
        <v>47</v>
      </c>
      <c r="H1090">
        <v>8</v>
      </c>
      <c r="I1090">
        <v>30</v>
      </c>
      <c r="J1090">
        <v>85</v>
      </c>
      <c r="K1090" s="482">
        <v>0.55300000000000005</v>
      </c>
      <c r="L1090" s="482">
        <v>9.4E-2</v>
      </c>
      <c r="M1090" s="482">
        <v>0.35299999999999998</v>
      </c>
    </row>
    <row r="1091" spans="1:13" x14ac:dyDescent="0.2">
      <c r="A1091" t="s">
        <v>1974</v>
      </c>
      <c r="B1091" t="s">
        <v>15</v>
      </c>
      <c r="C1091" t="s">
        <v>87</v>
      </c>
      <c r="D1091" t="s">
        <v>657</v>
      </c>
      <c r="E1091" t="s">
        <v>658</v>
      </c>
      <c r="F1091" t="s">
        <v>179</v>
      </c>
      <c r="G1091">
        <v>90</v>
      </c>
      <c r="H1091">
        <v>24</v>
      </c>
      <c r="I1091">
        <v>45</v>
      </c>
      <c r="J1091">
        <v>159</v>
      </c>
      <c r="K1091" s="482">
        <v>0.56599999999999995</v>
      </c>
      <c r="L1091" s="482">
        <v>0.151</v>
      </c>
      <c r="M1091" s="482">
        <v>0.28299999999999997</v>
      </c>
    </row>
    <row r="1092" spans="1:13" x14ac:dyDescent="0.2">
      <c r="A1092" t="s">
        <v>1975</v>
      </c>
      <c r="B1092" t="s">
        <v>15</v>
      </c>
      <c r="C1092" t="s">
        <v>87</v>
      </c>
      <c r="D1092" t="s">
        <v>654</v>
      </c>
      <c r="E1092" t="s">
        <v>655</v>
      </c>
      <c r="F1092" t="s">
        <v>179</v>
      </c>
      <c r="G1092">
        <v>73</v>
      </c>
      <c r="H1092">
        <v>13</v>
      </c>
      <c r="I1092">
        <v>41</v>
      </c>
      <c r="J1092">
        <v>127</v>
      </c>
      <c r="K1092" s="482">
        <v>0.57499999999999996</v>
      </c>
      <c r="L1092" s="482">
        <v>0.10199999999999999</v>
      </c>
      <c r="M1092" s="482">
        <v>0.32300000000000001</v>
      </c>
    </row>
    <row r="1093" spans="1:13" x14ac:dyDescent="0.2">
      <c r="A1093" t="s">
        <v>1976</v>
      </c>
      <c r="B1093" t="s">
        <v>15</v>
      </c>
      <c r="C1093" t="s">
        <v>87</v>
      </c>
      <c r="D1093" t="s">
        <v>651</v>
      </c>
      <c r="E1093" t="s">
        <v>652</v>
      </c>
      <c r="F1093" t="s">
        <v>179</v>
      </c>
      <c r="G1093">
        <v>46</v>
      </c>
      <c r="H1093">
        <v>21</v>
      </c>
      <c r="I1093">
        <v>46</v>
      </c>
      <c r="J1093">
        <v>113</v>
      </c>
      <c r="K1093" s="482">
        <v>0.40699999999999997</v>
      </c>
      <c r="L1093" s="482">
        <v>0.186</v>
      </c>
      <c r="M1093" s="482">
        <v>0.40699999999999997</v>
      </c>
    </row>
    <row r="1094" spans="1:13" x14ac:dyDescent="0.2">
      <c r="A1094" t="s">
        <v>1977</v>
      </c>
      <c r="B1094" t="s">
        <v>15</v>
      </c>
      <c r="C1094" t="s">
        <v>87</v>
      </c>
      <c r="D1094" t="s">
        <v>648</v>
      </c>
      <c r="E1094" t="s">
        <v>649</v>
      </c>
      <c r="F1094" t="s">
        <v>179</v>
      </c>
      <c r="G1094">
        <v>54</v>
      </c>
      <c r="H1094">
        <v>17</v>
      </c>
      <c r="I1094">
        <v>16</v>
      </c>
      <c r="J1094">
        <v>87</v>
      </c>
      <c r="K1094" s="482">
        <v>0.621</v>
      </c>
      <c r="L1094" s="482">
        <v>0.19500000000000001</v>
      </c>
      <c r="M1094" s="482">
        <v>0.184</v>
      </c>
    </row>
    <row r="1095" spans="1:13" x14ac:dyDescent="0.2">
      <c r="A1095" t="s">
        <v>1978</v>
      </c>
      <c r="B1095" t="s">
        <v>15</v>
      </c>
      <c r="C1095" t="s">
        <v>87</v>
      </c>
      <c r="D1095" t="s">
        <v>645</v>
      </c>
      <c r="E1095" t="s">
        <v>646</v>
      </c>
      <c r="F1095" t="s">
        <v>179</v>
      </c>
      <c r="G1095">
        <v>90</v>
      </c>
      <c r="H1095">
        <v>18</v>
      </c>
      <c r="I1095">
        <v>54</v>
      </c>
      <c r="J1095">
        <v>162</v>
      </c>
      <c r="K1095" s="482">
        <v>0.55600000000000005</v>
      </c>
      <c r="L1095" s="482">
        <v>0.111</v>
      </c>
      <c r="M1095" s="482">
        <v>0.33300000000000002</v>
      </c>
    </row>
    <row r="1096" spans="1:13" x14ac:dyDescent="0.2">
      <c r="A1096" t="s">
        <v>1979</v>
      </c>
      <c r="B1096" t="s">
        <v>15</v>
      </c>
      <c r="C1096" t="s">
        <v>87</v>
      </c>
      <c r="D1096" t="s">
        <v>642</v>
      </c>
      <c r="E1096" t="s">
        <v>643</v>
      </c>
      <c r="F1096" t="s">
        <v>179</v>
      </c>
      <c r="G1096">
        <v>186</v>
      </c>
      <c r="H1096">
        <v>40</v>
      </c>
      <c r="I1096">
        <v>80</v>
      </c>
      <c r="J1096">
        <v>306</v>
      </c>
      <c r="K1096" s="482">
        <v>0.60799999999999998</v>
      </c>
      <c r="L1096" s="482">
        <v>0.13100000000000001</v>
      </c>
      <c r="M1096" s="482">
        <v>0.26100000000000001</v>
      </c>
    </row>
    <row r="1097" spans="1:13" x14ac:dyDescent="0.2">
      <c r="A1097" t="s">
        <v>1980</v>
      </c>
      <c r="B1097" t="s">
        <v>15</v>
      </c>
      <c r="C1097" t="s">
        <v>87</v>
      </c>
      <c r="D1097" t="s">
        <v>639</v>
      </c>
      <c r="E1097" t="s">
        <v>640</v>
      </c>
      <c r="F1097" t="s">
        <v>179</v>
      </c>
      <c r="G1097">
        <v>104</v>
      </c>
      <c r="H1097">
        <v>19</v>
      </c>
      <c r="I1097">
        <v>89</v>
      </c>
      <c r="J1097">
        <v>212</v>
      </c>
      <c r="K1097" s="482">
        <v>0.49099999999999999</v>
      </c>
      <c r="L1097" s="482">
        <v>0.09</v>
      </c>
      <c r="M1097" s="482">
        <v>0.42</v>
      </c>
    </row>
    <row r="1098" spans="1:13" x14ac:dyDescent="0.2">
      <c r="A1098" t="s">
        <v>1981</v>
      </c>
      <c r="B1098" t="s">
        <v>15</v>
      </c>
      <c r="C1098" t="s">
        <v>87</v>
      </c>
      <c r="D1098" t="s">
        <v>636</v>
      </c>
      <c r="E1098" t="s">
        <v>637</v>
      </c>
      <c r="F1098" t="s">
        <v>179</v>
      </c>
      <c r="G1098">
        <v>165</v>
      </c>
      <c r="H1098">
        <v>47</v>
      </c>
      <c r="I1098">
        <v>81</v>
      </c>
      <c r="J1098">
        <v>293</v>
      </c>
      <c r="K1098" s="482">
        <v>0.56299999999999994</v>
      </c>
      <c r="L1098" s="482">
        <v>0.16</v>
      </c>
      <c r="M1098" s="482">
        <v>0.27600000000000002</v>
      </c>
    </row>
    <row r="1099" spans="1:13" x14ac:dyDescent="0.2">
      <c r="A1099" t="s">
        <v>1982</v>
      </c>
      <c r="B1099" t="s">
        <v>15</v>
      </c>
      <c r="C1099" t="s">
        <v>87</v>
      </c>
      <c r="D1099" t="s">
        <v>633</v>
      </c>
      <c r="E1099" t="s">
        <v>634</v>
      </c>
      <c r="F1099" t="s">
        <v>179</v>
      </c>
      <c r="G1099">
        <v>41</v>
      </c>
      <c r="H1099">
        <v>7</v>
      </c>
      <c r="I1099">
        <v>18</v>
      </c>
      <c r="J1099">
        <v>66</v>
      </c>
      <c r="K1099" s="482">
        <v>0.621</v>
      </c>
      <c r="L1099" s="482">
        <v>0.106</v>
      </c>
      <c r="M1099" s="482">
        <v>0.27300000000000002</v>
      </c>
    </row>
    <row r="1100" spans="1:13" x14ac:dyDescent="0.2">
      <c r="A1100" t="s">
        <v>1983</v>
      </c>
      <c r="B1100" t="s">
        <v>15</v>
      </c>
      <c r="C1100" t="s">
        <v>87</v>
      </c>
      <c r="D1100" t="s">
        <v>630</v>
      </c>
      <c r="E1100" t="s">
        <v>631</v>
      </c>
      <c r="F1100" t="s">
        <v>179</v>
      </c>
      <c r="G1100">
        <v>40</v>
      </c>
      <c r="H1100">
        <v>13</v>
      </c>
      <c r="I1100">
        <v>25</v>
      </c>
      <c r="J1100">
        <v>78</v>
      </c>
      <c r="K1100" s="482">
        <v>0.51300000000000001</v>
      </c>
      <c r="L1100" s="482">
        <v>0.16700000000000001</v>
      </c>
      <c r="M1100" s="482">
        <v>0.32100000000000001</v>
      </c>
    </row>
    <row r="1101" spans="1:13" x14ac:dyDescent="0.2">
      <c r="A1101" t="s">
        <v>6562</v>
      </c>
      <c r="B1101" t="s">
        <v>15</v>
      </c>
      <c r="C1101" t="s">
        <v>87</v>
      </c>
      <c r="D1101" t="s">
        <v>6553</v>
      </c>
      <c r="E1101" t="s">
        <v>6543</v>
      </c>
      <c r="F1101" t="s">
        <v>179</v>
      </c>
      <c r="G1101">
        <v>216</v>
      </c>
      <c r="H1101">
        <v>63</v>
      </c>
      <c r="I1101">
        <v>147</v>
      </c>
      <c r="J1101">
        <v>426</v>
      </c>
      <c r="K1101" s="482">
        <v>0.50700000000000001</v>
      </c>
      <c r="L1101" s="482">
        <v>0.14799999999999999</v>
      </c>
      <c r="M1101" s="482">
        <v>0.34499999999999997</v>
      </c>
    </row>
    <row r="1102" spans="1:13" x14ac:dyDescent="0.2">
      <c r="A1102" t="s">
        <v>1984</v>
      </c>
      <c r="B1102" t="s">
        <v>15</v>
      </c>
      <c r="C1102" t="s">
        <v>87</v>
      </c>
      <c r="D1102" t="s">
        <v>627</v>
      </c>
      <c r="E1102" t="s">
        <v>628</v>
      </c>
      <c r="F1102" t="s">
        <v>179</v>
      </c>
      <c r="G1102">
        <v>18</v>
      </c>
      <c r="H1102">
        <v>18</v>
      </c>
      <c r="I1102">
        <v>13</v>
      </c>
      <c r="J1102">
        <v>49</v>
      </c>
      <c r="K1102" s="482">
        <v>0.36699999999999999</v>
      </c>
      <c r="L1102" s="482">
        <v>0.36699999999999999</v>
      </c>
      <c r="M1102" s="482">
        <v>0.26500000000000001</v>
      </c>
    </row>
    <row r="1103" spans="1:13" x14ac:dyDescent="0.2">
      <c r="A1103" t="s">
        <v>1985</v>
      </c>
      <c r="B1103" t="s">
        <v>15</v>
      </c>
      <c r="C1103" t="s">
        <v>87</v>
      </c>
      <c r="D1103" t="s">
        <v>624</v>
      </c>
      <c r="E1103" t="s">
        <v>625</v>
      </c>
      <c r="F1103" t="s">
        <v>179</v>
      </c>
      <c r="G1103">
        <v>52</v>
      </c>
      <c r="H1103">
        <v>11</v>
      </c>
      <c r="I1103">
        <v>27</v>
      </c>
      <c r="J1103">
        <v>90</v>
      </c>
      <c r="K1103" s="482">
        <v>0.57799999999999996</v>
      </c>
      <c r="L1103" s="482">
        <v>0.122</v>
      </c>
      <c r="M1103" s="482">
        <v>0.3</v>
      </c>
    </row>
    <row r="1104" spans="1:13" x14ac:dyDescent="0.2">
      <c r="A1104" t="s">
        <v>1986</v>
      </c>
      <c r="B1104" t="s">
        <v>15</v>
      </c>
      <c r="C1104" t="s">
        <v>87</v>
      </c>
      <c r="D1104" t="s">
        <v>621</v>
      </c>
      <c r="E1104" t="s">
        <v>622</v>
      </c>
      <c r="F1104" t="s">
        <v>179</v>
      </c>
      <c r="G1104">
        <v>247</v>
      </c>
      <c r="H1104">
        <v>46</v>
      </c>
      <c r="I1104">
        <v>110</v>
      </c>
      <c r="J1104">
        <v>403</v>
      </c>
      <c r="K1104" s="482">
        <v>0.61299999999999999</v>
      </c>
      <c r="L1104" s="482">
        <v>0.114</v>
      </c>
      <c r="M1104" s="482">
        <v>0.27300000000000002</v>
      </c>
    </row>
    <row r="1105" spans="1:13" x14ac:dyDescent="0.2">
      <c r="A1105" t="s">
        <v>1987</v>
      </c>
      <c r="B1105" t="s">
        <v>15</v>
      </c>
      <c r="C1105" t="s">
        <v>87</v>
      </c>
      <c r="D1105" t="s">
        <v>619</v>
      </c>
      <c r="E1105" t="s">
        <v>338</v>
      </c>
      <c r="F1105" t="s">
        <v>179</v>
      </c>
      <c r="G1105">
        <v>77</v>
      </c>
      <c r="H1105">
        <v>10</v>
      </c>
      <c r="I1105">
        <v>34</v>
      </c>
      <c r="J1105">
        <v>121</v>
      </c>
      <c r="K1105" s="482">
        <v>0.63600000000000001</v>
      </c>
      <c r="L1105" s="482">
        <v>8.3000000000000004E-2</v>
      </c>
      <c r="M1105" s="482">
        <v>0.28100000000000003</v>
      </c>
    </row>
    <row r="1106" spans="1:13" x14ac:dyDescent="0.2">
      <c r="A1106" t="s">
        <v>1988</v>
      </c>
      <c r="B1106" t="s">
        <v>15</v>
      </c>
      <c r="C1106" t="s">
        <v>87</v>
      </c>
      <c r="D1106" t="s">
        <v>616</v>
      </c>
      <c r="E1106" t="s">
        <v>617</v>
      </c>
      <c r="F1106" t="s">
        <v>179</v>
      </c>
      <c r="G1106">
        <v>124</v>
      </c>
      <c r="H1106">
        <v>36</v>
      </c>
      <c r="I1106">
        <v>82</v>
      </c>
      <c r="J1106">
        <v>242</v>
      </c>
      <c r="K1106" s="482">
        <v>0.51200000000000001</v>
      </c>
      <c r="L1106" s="482">
        <v>0.14899999999999999</v>
      </c>
      <c r="M1106" s="482">
        <v>0.33900000000000002</v>
      </c>
    </row>
    <row r="1107" spans="1:13" x14ac:dyDescent="0.2">
      <c r="A1107" t="s">
        <v>1989</v>
      </c>
      <c r="B1107" t="s">
        <v>15</v>
      </c>
      <c r="C1107" t="s">
        <v>87</v>
      </c>
      <c r="D1107" t="s">
        <v>613</v>
      </c>
      <c r="E1107" t="s">
        <v>614</v>
      </c>
      <c r="F1107" t="s">
        <v>179</v>
      </c>
      <c r="G1107">
        <v>29</v>
      </c>
      <c r="H1107">
        <v>10</v>
      </c>
      <c r="I1107">
        <v>12</v>
      </c>
      <c r="J1107">
        <v>51</v>
      </c>
      <c r="K1107" s="482">
        <v>0.56899999999999995</v>
      </c>
      <c r="L1107" s="482">
        <v>0.19600000000000001</v>
      </c>
      <c r="M1107" s="482">
        <v>0.23499999999999999</v>
      </c>
    </row>
    <row r="1108" spans="1:13" x14ac:dyDescent="0.2">
      <c r="A1108" t="s">
        <v>1990</v>
      </c>
      <c r="B1108" t="s">
        <v>15</v>
      </c>
      <c r="C1108" t="s">
        <v>87</v>
      </c>
      <c r="D1108" t="s">
        <v>610</v>
      </c>
      <c r="E1108" t="s">
        <v>611</v>
      </c>
      <c r="F1108" t="s">
        <v>179</v>
      </c>
      <c r="G1108">
        <v>84</v>
      </c>
      <c r="H1108">
        <v>19</v>
      </c>
      <c r="I1108">
        <v>40</v>
      </c>
      <c r="J1108">
        <v>143</v>
      </c>
      <c r="K1108" s="482">
        <v>0.58699999999999997</v>
      </c>
      <c r="L1108" s="482">
        <v>0.13300000000000001</v>
      </c>
      <c r="M1108" s="482">
        <v>0.28000000000000003</v>
      </c>
    </row>
    <row r="1109" spans="1:13" x14ac:dyDescent="0.2">
      <c r="A1109" t="s">
        <v>1991</v>
      </c>
      <c r="B1109" t="s">
        <v>15</v>
      </c>
      <c r="C1109" t="s">
        <v>87</v>
      </c>
      <c r="D1109" t="s">
        <v>417</v>
      </c>
      <c r="E1109" t="s">
        <v>418</v>
      </c>
      <c r="F1109" t="s">
        <v>179</v>
      </c>
      <c r="G1109">
        <v>77</v>
      </c>
      <c r="H1109">
        <v>12</v>
      </c>
      <c r="I1109">
        <v>35</v>
      </c>
      <c r="J1109">
        <v>124</v>
      </c>
      <c r="K1109" s="482">
        <v>0.621</v>
      </c>
      <c r="L1109" s="482">
        <v>9.7000000000000003E-2</v>
      </c>
      <c r="M1109" s="482">
        <v>0.28199999999999997</v>
      </c>
    </row>
    <row r="1110" spans="1:13" x14ac:dyDescent="0.2">
      <c r="A1110" t="s">
        <v>2057</v>
      </c>
      <c r="B1110" t="s">
        <v>15</v>
      </c>
      <c r="C1110" t="s">
        <v>87</v>
      </c>
      <c r="D1110" t="s">
        <v>414</v>
      </c>
      <c r="E1110" t="s">
        <v>415</v>
      </c>
      <c r="F1110" t="s">
        <v>179</v>
      </c>
      <c r="G1110">
        <v>65</v>
      </c>
      <c r="H1110">
        <v>10</v>
      </c>
      <c r="I1110">
        <v>32</v>
      </c>
      <c r="J1110">
        <v>107</v>
      </c>
      <c r="K1110" s="482">
        <v>0.60699999999999998</v>
      </c>
      <c r="L1110" s="482">
        <v>9.2999999999999999E-2</v>
      </c>
      <c r="M1110" s="482">
        <v>0.29899999999999999</v>
      </c>
    </row>
    <row r="1111" spans="1:13" x14ac:dyDescent="0.2">
      <c r="A1111" t="s">
        <v>2058</v>
      </c>
      <c r="B1111" t="s">
        <v>15</v>
      </c>
      <c r="C1111" t="s">
        <v>87</v>
      </c>
      <c r="D1111" t="s">
        <v>411</v>
      </c>
      <c r="E1111" t="s">
        <v>412</v>
      </c>
      <c r="F1111" t="s">
        <v>179</v>
      </c>
      <c r="G1111">
        <v>108</v>
      </c>
      <c r="H1111">
        <v>25</v>
      </c>
      <c r="I1111">
        <v>75</v>
      </c>
      <c r="J1111">
        <v>208</v>
      </c>
      <c r="K1111" s="482">
        <v>0.51900000000000002</v>
      </c>
      <c r="L1111" s="482">
        <v>0.12</v>
      </c>
      <c r="M1111" s="482">
        <v>0.36099999999999999</v>
      </c>
    </row>
    <row r="1112" spans="1:13" x14ac:dyDescent="0.2">
      <c r="A1112" t="s">
        <v>1876</v>
      </c>
      <c r="B1112" t="s">
        <v>15</v>
      </c>
      <c r="C1112" t="s">
        <v>87</v>
      </c>
      <c r="D1112" t="s">
        <v>944</v>
      </c>
      <c r="E1112" t="s">
        <v>945</v>
      </c>
      <c r="F1112" t="s">
        <v>179</v>
      </c>
      <c r="G1112">
        <v>156</v>
      </c>
      <c r="H1112">
        <v>30</v>
      </c>
      <c r="I1112">
        <v>93</v>
      </c>
      <c r="J1112">
        <v>279</v>
      </c>
      <c r="K1112" s="482">
        <v>0.55900000000000005</v>
      </c>
      <c r="L1112" s="482">
        <v>0.108</v>
      </c>
      <c r="M1112" s="482">
        <v>0.33300000000000002</v>
      </c>
    </row>
    <row r="1113" spans="1:13" x14ac:dyDescent="0.2">
      <c r="A1113" t="s">
        <v>2031</v>
      </c>
      <c r="B1113" t="s">
        <v>15</v>
      </c>
      <c r="C1113" t="s">
        <v>87</v>
      </c>
      <c r="D1113" t="s">
        <v>492</v>
      </c>
      <c r="E1113" t="s">
        <v>493</v>
      </c>
      <c r="F1113" t="s">
        <v>179</v>
      </c>
      <c r="G1113">
        <v>55</v>
      </c>
      <c r="H1113">
        <v>13</v>
      </c>
      <c r="I1113">
        <v>30</v>
      </c>
      <c r="J1113">
        <v>98</v>
      </c>
      <c r="K1113" s="482">
        <v>0.56100000000000005</v>
      </c>
      <c r="L1113" s="482">
        <v>0.13300000000000001</v>
      </c>
      <c r="M1113" s="482">
        <v>0.30599999999999999</v>
      </c>
    </row>
    <row r="1114" spans="1:13" x14ac:dyDescent="0.2">
      <c r="A1114" t="s">
        <v>1881</v>
      </c>
      <c r="B1114" t="s">
        <v>15</v>
      </c>
      <c r="C1114" t="s">
        <v>87</v>
      </c>
      <c r="D1114" t="s">
        <v>929</v>
      </c>
      <c r="E1114" t="s">
        <v>930</v>
      </c>
      <c r="F1114" t="s">
        <v>179</v>
      </c>
      <c r="G1114">
        <v>78</v>
      </c>
      <c r="H1114">
        <v>24</v>
      </c>
      <c r="I1114">
        <v>29</v>
      </c>
      <c r="J1114">
        <v>131</v>
      </c>
      <c r="K1114" s="482">
        <v>0.59499999999999997</v>
      </c>
      <c r="L1114" s="482">
        <v>0.183</v>
      </c>
      <c r="M1114" s="482">
        <v>0.221</v>
      </c>
    </row>
    <row r="1115" spans="1:13" x14ac:dyDescent="0.2">
      <c r="A1115" t="s">
        <v>1883</v>
      </c>
      <c r="B1115" t="s">
        <v>15</v>
      </c>
      <c r="C1115" t="s">
        <v>87</v>
      </c>
      <c r="D1115" t="s">
        <v>926</v>
      </c>
      <c r="E1115" t="s">
        <v>927</v>
      </c>
      <c r="F1115" t="s">
        <v>179</v>
      </c>
      <c r="G1115">
        <v>11</v>
      </c>
      <c r="H1115">
        <v>0</v>
      </c>
      <c r="I1115">
        <v>6</v>
      </c>
      <c r="J1115">
        <v>17</v>
      </c>
      <c r="K1115" s="482">
        <v>0.64700000000000002</v>
      </c>
      <c r="L1115" s="482">
        <v>0</v>
      </c>
      <c r="M1115" s="482">
        <v>0.35299999999999998</v>
      </c>
    </row>
    <row r="1116" spans="1:13" x14ac:dyDescent="0.2">
      <c r="A1116" t="s">
        <v>1884</v>
      </c>
      <c r="B1116" t="s">
        <v>15</v>
      </c>
      <c r="C1116" t="s">
        <v>87</v>
      </c>
      <c r="D1116" t="s">
        <v>923</v>
      </c>
      <c r="E1116" t="s">
        <v>924</v>
      </c>
      <c r="F1116" t="s">
        <v>179</v>
      </c>
      <c r="G1116">
        <v>58</v>
      </c>
      <c r="H1116">
        <v>19</v>
      </c>
      <c r="I1116">
        <v>46</v>
      </c>
      <c r="J1116">
        <v>123</v>
      </c>
      <c r="K1116" s="482">
        <v>0.47199999999999998</v>
      </c>
      <c r="L1116" s="482">
        <v>0.154</v>
      </c>
      <c r="M1116" s="482">
        <v>0.374</v>
      </c>
    </row>
    <row r="1117" spans="1:13" x14ac:dyDescent="0.2">
      <c r="A1117" t="s">
        <v>1885</v>
      </c>
      <c r="B1117" t="s">
        <v>15</v>
      </c>
      <c r="C1117" t="s">
        <v>87</v>
      </c>
      <c r="D1117" t="s">
        <v>920</v>
      </c>
      <c r="E1117" t="s">
        <v>921</v>
      </c>
      <c r="F1117" t="s">
        <v>179</v>
      </c>
      <c r="G1117">
        <v>11</v>
      </c>
      <c r="H1117">
        <v>3</v>
      </c>
      <c r="I1117">
        <v>4</v>
      </c>
      <c r="J1117">
        <v>18</v>
      </c>
      <c r="K1117" s="482">
        <v>0.61099999999999999</v>
      </c>
      <c r="L1117" s="482">
        <v>0.16700000000000001</v>
      </c>
      <c r="M1117" s="482">
        <v>0.222</v>
      </c>
    </row>
    <row r="1118" spans="1:13" x14ac:dyDescent="0.2">
      <c r="A1118" t="s">
        <v>1886</v>
      </c>
      <c r="B1118" t="s">
        <v>15</v>
      </c>
      <c r="C1118" t="s">
        <v>87</v>
      </c>
      <c r="D1118" t="s">
        <v>917</v>
      </c>
      <c r="E1118" t="s">
        <v>918</v>
      </c>
      <c r="F1118" t="s">
        <v>179</v>
      </c>
      <c r="G1118">
        <v>108</v>
      </c>
      <c r="H1118">
        <v>25</v>
      </c>
      <c r="I1118">
        <v>51</v>
      </c>
      <c r="J1118">
        <v>184</v>
      </c>
      <c r="K1118" s="482">
        <v>0.58699999999999997</v>
      </c>
      <c r="L1118" s="482">
        <v>0.13600000000000001</v>
      </c>
      <c r="M1118" s="482">
        <v>0.27700000000000002</v>
      </c>
    </row>
    <row r="1119" spans="1:13" x14ac:dyDescent="0.2">
      <c r="A1119" t="s">
        <v>1887</v>
      </c>
      <c r="B1119" t="s">
        <v>15</v>
      </c>
      <c r="C1119" t="s">
        <v>87</v>
      </c>
      <c r="D1119" t="s">
        <v>914</v>
      </c>
      <c r="E1119" t="s">
        <v>915</v>
      </c>
      <c r="F1119" t="s">
        <v>179</v>
      </c>
      <c r="G1119">
        <v>53</v>
      </c>
      <c r="H1119">
        <v>8</v>
      </c>
      <c r="I1119">
        <v>25</v>
      </c>
      <c r="J1119">
        <v>86</v>
      </c>
      <c r="K1119" s="482">
        <v>0.61599999999999999</v>
      </c>
      <c r="L1119" s="482">
        <v>9.2999999999999999E-2</v>
      </c>
      <c r="M1119" s="482">
        <v>0.29099999999999998</v>
      </c>
    </row>
    <row r="1120" spans="1:13" x14ac:dyDescent="0.2">
      <c r="A1120" t="s">
        <v>1888</v>
      </c>
      <c r="B1120" t="s">
        <v>15</v>
      </c>
      <c r="C1120" t="s">
        <v>87</v>
      </c>
      <c r="D1120" t="s">
        <v>911</v>
      </c>
      <c r="E1120" t="s">
        <v>912</v>
      </c>
      <c r="F1120" t="s">
        <v>179</v>
      </c>
      <c r="G1120">
        <v>53</v>
      </c>
      <c r="H1120">
        <v>9</v>
      </c>
      <c r="I1120">
        <v>22</v>
      </c>
      <c r="J1120">
        <v>84</v>
      </c>
      <c r="K1120" s="482">
        <v>0.63100000000000001</v>
      </c>
      <c r="L1120" s="482">
        <v>0.107</v>
      </c>
      <c r="M1120" s="482">
        <v>0.26200000000000001</v>
      </c>
    </row>
    <row r="1121" spans="1:13" x14ac:dyDescent="0.2">
      <c r="A1121" t="s">
        <v>1892</v>
      </c>
      <c r="B1121" t="s">
        <v>15</v>
      </c>
      <c r="C1121" t="s">
        <v>87</v>
      </c>
      <c r="D1121" t="s">
        <v>489</v>
      </c>
      <c r="E1121" t="s">
        <v>490</v>
      </c>
      <c r="F1121" t="s">
        <v>179</v>
      </c>
      <c r="G1121">
        <v>30</v>
      </c>
      <c r="H1121">
        <v>7</v>
      </c>
      <c r="I1121">
        <v>13</v>
      </c>
      <c r="J1121">
        <v>50</v>
      </c>
      <c r="K1121" s="482">
        <v>0.6</v>
      </c>
      <c r="L1121" s="482">
        <v>0.14000000000000001</v>
      </c>
      <c r="M1121" s="482">
        <v>0.26</v>
      </c>
    </row>
    <row r="1122" spans="1:13" x14ac:dyDescent="0.2">
      <c r="A1122" t="s">
        <v>2032</v>
      </c>
      <c r="B1122" t="s">
        <v>15</v>
      </c>
      <c r="C1122" t="s">
        <v>87</v>
      </c>
      <c r="D1122" t="s">
        <v>486</v>
      </c>
      <c r="E1122" t="s">
        <v>487</v>
      </c>
      <c r="F1122" t="s">
        <v>179</v>
      </c>
      <c r="G1122">
        <v>126</v>
      </c>
      <c r="H1122">
        <v>41</v>
      </c>
      <c r="I1122">
        <v>61</v>
      </c>
      <c r="J1122">
        <v>228</v>
      </c>
      <c r="K1122" s="482">
        <v>0.55300000000000005</v>
      </c>
      <c r="L1122" s="482">
        <v>0.18</v>
      </c>
      <c r="M1122" s="482">
        <v>0.26800000000000002</v>
      </c>
    </row>
    <row r="1123" spans="1:13" x14ac:dyDescent="0.2">
      <c r="A1123" t="s">
        <v>1889</v>
      </c>
      <c r="B1123" t="s">
        <v>15</v>
      </c>
      <c r="C1123" t="s">
        <v>87</v>
      </c>
      <c r="D1123" t="s">
        <v>908</v>
      </c>
      <c r="E1123" t="s">
        <v>909</v>
      </c>
      <c r="F1123" t="s">
        <v>179</v>
      </c>
      <c r="G1123">
        <v>76</v>
      </c>
      <c r="H1123">
        <v>24</v>
      </c>
      <c r="I1123">
        <v>50</v>
      </c>
      <c r="J1123">
        <v>150</v>
      </c>
      <c r="K1123" s="482">
        <v>0.50700000000000001</v>
      </c>
      <c r="L1123" s="482">
        <v>0.16</v>
      </c>
      <c r="M1123" s="482">
        <v>0.33300000000000002</v>
      </c>
    </row>
    <row r="1124" spans="1:13" x14ac:dyDescent="0.2">
      <c r="A1124" t="s">
        <v>2007</v>
      </c>
      <c r="B1124" t="s">
        <v>15</v>
      </c>
      <c r="C1124" t="s">
        <v>87</v>
      </c>
      <c r="D1124" t="s">
        <v>563</v>
      </c>
      <c r="E1124" t="s">
        <v>564</v>
      </c>
      <c r="F1124" t="s">
        <v>179</v>
      </c>
      <c r="G1124" t="s">
        <v>53</v>
      </c>
      <c r="H1124" t="s">
        <v>53</v>
      </c>
      <c r="I1124">
        <v>0</v>
      </c>
      <c r="J1124" t="s">
        <v>53</v>
      </c>
      <c r="K1124" t="s">
        <v>53</v>
      </c>
      <c r="L1124" t="s">
        <v>53</v>
      </c>
      <c r="M1124" t="s">
        <v>53</v>
      </c>
    </row>
    <row r="1125" spans="1:13" x14ac:dyDescent="0.2">
      <c r="A1125" t="s">
        <v>1918</v>
      </c>
      <c r="B1125" t="s">
        <v>15</v>
      </c>
      <c r="C1125" t="s">
        <v>87</v>
      </c>
      <c r="D1125" t="s">
        <v>827</v>
      </c>
      <c r="E1125" t="s">
        <v>828</v>
      </c>
      <c r="F1125" t="s">
        <v>179</v>
      </c>
      <c r="G1125">
        <v>205</v>
      </c>
      <c r="H1125">
        <v>52</v>
      </c>
      <c r="I1125">
        <v>83</v>
      </c>
      <c r="J1125">
        <v>340</v>
      </c>
      <c r="K1125" s="482">
        <v>0.60299999999999998</v>
      </c>
      <c r="L1125" s="482">
        <v>0.153</v>
      </c>
      <c r="M1125" s="482">
        <v>0.24399999999999999</v>
      </c>
    </row>
    <row r="1126" spans="1:13" x14ac:dyDescent="0.2">
      <c r="A1126" t="s">
        <v>1919</v>
      </c>
      <c r="B1126" t="s">
        <v>15</v>
      </c>
      <c r="C1126" t="s">
        <v>87</v>
      </c>
      <c r="D1126" t="s">
        <v>824</v>
      </c>
      <c r="E1126" t="s">
        <v>825</v>
      </c>
      <c r="F1126" t="s">
        <v>179</v>
      </c>
      <c r="G1126">
        <v>140</v>
      </c>
      <c r="H1126">
        <v>23</v>
      </c>
      <c r="I1126">
        <v>61</v>
      </c>
      <c r="J1126">
        <v>224</v>
      </c>
      <c r="K1126" s="482">
        <v>0.625</v>
      </c>
      <c r="L1126" s="482">
        <v>0.10299999999999999</v>
      </c>
      <c r="M1126" s="482">
        <v>0.27200000000000002</v>
      </c>
    </row>
    <row r="1127" spans="1:13" x14ac:dyDescent="0.2">
      <c r="A1127" t="s">
        <v>1920</v>
      </c>
      <c r="B1127" t="s">
        <v>15</v>
      </c>
      <c r="C1127" t="s">
        <v>87</v>
      </c>
      <c r="D1127" t="s">
        <v>821</v>
      </c>
      <c r="E1127" t="s">
        <v>822</v>
      </c>
      <c r="F1127" t="s">
        <v>179</v>
      </c>
      <c r="G1127">
        <v>15</v>
      </c>
      <c r="H1127">
        <v>8</v>
      </c>
      <c r="I1127">
        <v>15</v>
      </c>
      <c r="J1127">
        <v>38</v>
      </c>
      <c r="K1127" s="482">
        <v>0.39500000000000002</v>
      </c>
      <c r="L1127" s="482">
        <v>0.21099999999999999</v>
      </c>
      <c r="M1127" s="482">
        <v>0.39500000000000002</v>
      </c>
    </row>
    <row r="1128" spans="1:13" x14ac:dyDescent="0.2">
      <c r="A1128" t="s">
        <v>1921</v>
      </c>
      <c r="B1128" t="s">
        <v>15</v>
      </c>
      <c r="C1128" t="s">
        <v>87</v>
      </c>
      <c r="D1128" t="s">
        <v>818</v>
      </c>
      <c r="E1128" t="s">
        <v>819</v>
      </c>
      <c r="F1128" t="s">
        <v>179</v>
      </c>
      <c r="G1128">
        <v>156</v>
      </c>
      <c r="H1128">
        <v>48</v>
      </c>
      <c r="I1128">
        <v>69</v>
      </c>
      <c r="J1128">
        <v>273</v>
      </c>
      <c r="K1128" s="482">
        <v>0.57099999999999995</v>
      </c>
      <c r="L1128" s="482">
        <v>0.17599999999999999</v>
      </c>
      <c r="M1128" s="482">
        <v>0.253</v>
      </c>
    </row>
    <row r="1129" spans="1:13" x14ac:dyDescent="0.2">
      <c r="A1129" t="s">
        <v>1922</v>
      </c>
      <c r="B1129" t="s">
        <v>15</v>
      </c>
      <c r="C1129" t="s">
        <v>87</v>
      </c>
      <c r="D1129" t="s">
        <v>815</v>
      </c>
      <c r="E1129" t="s">
        <v>816</v>
      </c>
      <c r="F1129" t="s">
        <v>179</v>
      </c>
      <c r="G1129">
        <v>237</v>
      </c>
      <c r="H1129">
        <v>57</v>
      </c>
      <c r="I1129">
        <v>131</v>
      </c>
      <c r="J1129">
        <v>425</v>
      </c>
      <c r="K1129" s="482">
        <v>0.55800000000000005</v>
      </c>
      <c r="L1129" s="482">
        <v>0.13400000000000001</v>
      </c>
      <c r="M1129" s="482">
        <v>0.308</v>
      </c>
    </row>
    <row r="1130" spans="1:13" x14ac:dyDescent="0.2">
      <c r="A1130" t="s">
        <v>1923</v>
      </c>
      <c r="B1130" t="s">
        <v>15</v>
      </c>
      <c r="C1130" t="s">
        <v>87</v>
      </c>
      <c r="D1130" t="s">
        <v>812</v>
      </c>
      <c r="E1130" t="s">
        <v>813</v>
      </c>
      <c r="F1130" t="s">
        <v>179</v>
      </c>
      <c r="G1130">
        <v>75</v>
      </c>
      <c r="H1130">
        <v>14</v>
      </c>
      <c r="I1130">
        <v>34</v>
      </c>
      <c r="J1130">
        <v>123</v>
      </c>
      <c r="K1130" s="482">
        <v>0.61</v>
      </c>
      <c r="L1130" s="482">
        <v>0.114</v>
      </c>
      <c r="M1130" s="482">
        <v>0.27600000000000002</v>
      </c>
    </row>
    <row r="1131" spans="1:13" x14ac:dyDescent="0.2">
      <c r="A1131" t="s">
        <v>1924</v>
      </c>
      <c r="B1131" t="s">
        <v>15</v>
      </c>
      <c r="C1131" t="s">
        <v>87</v>
      </c>
      <c r="D1131" t="s">
        <v>809</v>
      </c>
      <c r="E1131" t="s">
        <v>810</v>
      </c>
      <c r="F1131" t="s">
        <v>179</v>
      </c>
      <c r="G1131">
        <v>115</v>
      </c>
      <c r="H1131">
        <v>25</v>
      </c>
      <c r="I1131">
        <v>72</v>
      </c>
      <c r="J1131">
        <v>212</v>
      </c>
      <c r="K1131" s="482">
        <v>0.54200000000000004</v>
      </c>
      <c r="L1131" s="482">
        <v>0.11799999999999999</v>
      </c>
      <c r="M1131" s="482">
        <v>0.34</v>
      </c>
    </row>
    <row r="1132" spans="1:13" x14ac:dyDescent="0.2">
      <c r="A1132" t="s">
        <v>1925</v>
      </c>
      <c r="B1132" t="s">
        <v>15</v>
      </c>
      <c r="C1132" t="s">
        <v>87</v>
      </c>
      <c r="D1132" t="s">
        <v>806</v>
      </c>
      <c r="E1132" t="s">
        <v>807</v>
      </c>
      <c r="F1132" t="s">
        <v>179</v>
      </c>
      <c r="G1132">
        <v>55</v>
      </c>
      <c r="H1132">
        <v>13</v>
      </c>
      <c r="I1132">
        <v>52</v>
      </c>
      <c r="J1132">
        <v>120</v>
      </c>
      <c r="K1132" s="482">
        <v>0.45800000000000002</v>
      </c>
      <c r="L1132" s="482">
        <v>0.108</v>
      </c>
      <c r="M1132" s="482">
        <v>0.433</v>
      </c>
    </row>
    <row r="1133" spans="1:13" x14ac:dyDescent="0.2">
      <c r="A1133" t="s">
        <v>1926</v>
      </c>
      <c r="B1133" t="s">
        <v>15</v>
      </c>
      <c r="C1133" t="s">
        <v>87</v>
      </c>
      <c r="D1133" t="s">
        <v>803</v>
      </c>
      <c r="E1133" t="s">
        <v>804</v>
      </c>
      <c r="F1133" t="s">
        <v>179</v>
      </c>
      <c r="G1133">
        <v>53</v>
      </c>
      <c r="H1133">
        <v>11</v>
      </c>
      <c r="I1133">
        <v>27</v>
      </c>
      <c r="J1133">
        <v>91</v>
      </c>
      <c r="K1133" s="482">
        <v>0.58199999999999996</v>
      </c>
      <c r="L1133" s="482">
        <v>0.121</v>
      </c>
      <c r="M1133" s="482">
        <v>0.29699999999999999</v>
      </c>
    </row>
    <row r="1134" spans="1:13" x14ac:dyDescent="0.2">
      <c r="A1134" t="s">
        <v>1927</v>
      </c>
      <c r="B1134" t="s">
        <v>15</v>
      </c>
      <c r="C1134" t="s">
        <v>87</v>
      </c>
      <c r="D1134" t="s">
        <v>800</v>
      </c>
      <c r="E1134" t="s">
        <v>801</v>
      </c>
      <c r="F1134" t="s">
        <v>179</v>
      </c>
      <c r="G1134">
        <v>91</v>
      </c>
      <c r="H1134">
        <v>32</v>
      </c>
      <c r="I1134">
        <v>49</v>
      </c>
      <c r="J1134">
        <v>172</v>
      </c>
      <c r="K1134" s="482">
        <v>0.52900000000000003</v>
      </c>
      <c r="L1134" s="482">
        <v>0.186</v>
      </c>
      <c r="M1134" s="482">
        <v>0.28499999999999998</v>
      </c>
    </row>
    <row r="1135" spans="1:13" x14ac:dyDescent="0.2">
      <c r="A1135" t="s">
        <v>1928</v>
      </c>
      <c r="B1135" t="s">
        <v>15</v>
      </c>
      <c r="C1135" t="s">
        <v>87</v>
      </c>
      <c r="D1135" t="s">
        <v>797</v>
      </c>
      <c r="E1135" t="s">
        <v>798</v>
      </c>
      <c r="F1135" t="s">
        <v>179</v>
      </c>
      <c r="G1135">
        <v>25</v>
      </c>
      <c r="H1135">
        <v>5</v>
      </c>
      <c r="I1135">
        <v>14</v>
      </c>
      <c r="J1135">
        <v>44</v>
      </c>
      <c r="K1135" s="482">
        <v>0.56799999999999995</v>
      </c>
      <c r="L1135" s="482">
        <v>0.114</v>
      </c>
      <c r="M1135" s="482">
        <v>0.318</v>
      </c>
    </row>
    <row r="1136" spans="1:13" x14ac:dyDescent="0.2">
      <c r="A1136" t="s">
        <v>1929</v>
      </c>
      <c r="B1136" t="s">
        <v>15</v>
      </c>
      <c r="C1136" t="s">
        <v>87</v>
      </c>
      <c r="D1136" t="s">
        <v>794</v>
      </c>
      <c r="E1136" t="s">
        <v>795</v>
      </c>
      <c r="F1136" t="s">
        <v>179</v>
      </c>
      <c r="G1136">
        <v>58</v>
      </c>
      <c r="H1136">
        <v>29</v>
      </c>
      <c r="I1136">
        <v>32</v>
      </c>
      <c r="J1136">
        <v>119</v>
      </c>
      <c r="K1136" s="482">
        <v>0.48699999999999999</v>
      </c>
      <c r="L1136" s="482">
        <v>0.24399999999999999</v>
      </c>
      <c r="M1136" s="482">
        <v>0.26900000000000002</v>
      </c>
    </row>
    <row r="1137" spans="1:13" x14ac:dyDescent="0.2">
      <c r="A1137" t="s">
        <v>1930</v>
      </c>
      <c r="B1137" t="s">
        <v>15</v>
      </c>
      <c r="C1137" t="s">
        <v>87</v>
      </c>
      <c r="D1137" t="s">
        <v>791</v>
      </c>
      <c r="E1137" t="s">
        <v>792</v>
      </c>
      <c r="F1137" t="s">
        <v>179</v>
      </c>
      <c r="G1137">
        <v>50</v>
      </c>
      <c r="H1137">
        <v>8</v>
      </c>
      <c r="I1137">
        <v>17</v>
      </c>
      <c r="J1137">
        <v>75</v>
      </c>
      <c r="K1137" s="482">
        <v>0.66700000000000004</v>
      </c>
      <c r="L1137" s="482">
        <v>0.107</v>
      </c>
      <c r="M1137" s="482">
        <v>0.22700000000000001</v>
      </c>
    </row>
    <row r="1138" spans="1:13" x14ac:dyDescent="0.2">
      <c r="A1138" t="s">
        <v>1931</v>
      </c>
      <c r="B1138" t="s">
        <v>15</v>
      </c>
      <c r="C1138" t="s">
        <v>87</v>
      </c>
      <c r="D1138" t="s">
        <v>788</v>
      </c>
      <c r="E1138" t="s">
        <v>789</v>
      </c>
      <c r="F1138" t="s">
        <v>179</v>
      </c>
      <c r="G1138">
        <v>23</v>
      </c>
      <c r="H1138">
        <v>7</v>
      </c>
      <c r="I1138">
        <v>18</v>
      </c>
      <c r="J1138">
        <v>48</v>
      </c>
      <c r="K1138" s="482">
        <v>0.47899999999999998</v>
      </c>
      <c r="L1138" s="482">
        <v>0.14599999999999999</v>
      </c>
      <c r="M1138" s="482">
        <v>0.375</v>
      </c>
    </row>
    <row r="1139" spans="1:13" x14ac:dyDescent="0.2">
      <c r="A1139" t="s">
        <v>1932</v>
      </c>
      <c r="B1139" t="s">
        <v>15</v>
      </c>
      <c r="C1139" t="s">
        <v>87</v>
      </c>
      <c r="D1139" t="s">
        <v>785</v>
      </c>
      <c r="E1139" t="s">
        <v>786</v>
      </c>
      <c r="F1139" t="s">
        <v>179</v>
      </c>
      <c r="G1139">
        <v>158</v>
      </c>
      <c r="H1139">
        <v>37</v>
      </c>
      <c r="I1139">
        <v>89</v>
      </c>
      <c r="J1139">
        <v>284</v>
      </c>
      <c r="K1139" s="482">
        <v>0.55600000000000005</v>
      </c>
      <c r="L1139" s="482">
        <v>0.13</v>
      </c>
      <c r="M1139" s="482">
        <v>0.313</v>
      </c>
    </row>
    <row r="1140" spans="1:13" x14ac:dyDescent="0.2">
      <c r="A1140" t="s">
        <v>1933</v>
      </c>
      <c r="B1140" t="s">
        <v>15</v>
      </c>
      <c r="C1140" t="s">
        <v>87</v>
      </c>
      <c r="D1140" t="s">
        <v>782</v>
      </c>
      <c r="E1140" t="s">
        <v>783</v>
      </c>
      <c r="F1140" t="s">
        <v>179</v>
      </c>
      <c r="G1140">
        <v>54</v>
      </c>
      <c r="H1140">
        <v>23</v>
      </c>
      <c r="I1140">
        <v>53</v>
      </c>
      <c r="J1140">
        <v>130</v>
      </c>
      <c r="K1140" s="482">
        <v>0.41499999999999998</v>
      </c>
      <c r="L1140" s="482">
        <v>0.17699999999999999</v>
      </c>
      <c r="M1140" s="482">
        <v>0.40799999999999997</v>
      </c>
    </row>
    <row r="1141" spans="1:13" x14ac:dyDescent="0.2">
      <c r="A1141" t="s">
        <v>1934</v>
      </c>
      <c r="B1141" t="s">
        <v>15</v>
      </c>
      <c r="C1141" t="s">
        <v>87</v>
      </c>
      <c r="D1141" t="s">
        <v>779</v>
      </c>
      <c r="E1141" t="s">
        <v>780</v>
      </c>
      <c r="F1141" t="s">
        <v>179</v>
      </c>
      <c r="G1141">
        <v>54</v>
      </c>
      <c r="H1141">
        <v>12</v>
      </c>
      <c r="I1141">
        <v>27</v>
      </c>
      <c r="J1141">
        <v>93</v>
      </c>
      <c r="K1141" s="482">
        <v>0.58099999999999996</v>
      </c>
      <c r="L1141" s="482">
        <v>0.129</v>
      </c>
      <c r="M1141" s="482">
        <v>0.28999999999999998</v>
      </c>
    </row>
    <row r="1142" spans="1:13" x14ac:dyDescent="0.2">
      <c r="A1142" t="s">
        <v>1935</v>
      </c>
      <c r="B1142" t="s">
        <v>15</v>
      </c>
      <c r="C1142" t="s">
        <v>87</v>
      </c>
      <c r="D1142" t="s">
        <v>776</v>
      </c>
      <c r="E1142" t="s">
        <v>777</v>
      </c>
      <c r="F1142" t="s">
        <v>179</v>
      </c>
      <c r="G1142">
        <v>68</v>
      </c>
      <c r="H1142">
        <v>15</v>
      </c>
      <c r="I1142">
        <v>37</v>
      </c>
      <c r="J1142">
        <v>120</v>
      </c>
      <c r="K1142" s="482">
        <v>0.56699999999999995</v>
      </c>
      <c r="L1142" s="482">
        <v>0.125</v>
      </c>
      <c r="M1142" s="482">
        <v>0.308</v>
      </c>
    </row>
    <row r="1143" spans="1:13" x14ac:dyDescent="0.2">
      <c r="A1143" t="s">
        <v>1936</v>
      </c>
      <c r="B1143" t="s">
        <v>15</v>
      </c>
      <c r="C1143" t="s">
        <v>87</v>
      </c>
      <c r="D1143" t="s">
        <v>773</v>
      </c>
      <c r="E1143" t="s">
        <v>774</v>
      </c>
      <c r="F1143" t="s">
        <v>179</v>
      </c>
      <c r="G1143">
        <v>75</v>
      </c>
      <c r="H1143">
        <v>13</v>
      </c>
      <c r="I1143">
        <v>48</v>
      </c>
      <c r="J1143">
        <v>136</v>
      </c>
      <c r="K1143" s="482">
        <v>0.55100000000000005</v>
      </c>
      <c r="L1143" s="482">
        <v>9.6000000000000002E-2</v>
      </c>
      <c r="M1143" s="482">
        <v>0.35299999999999998</v>
      </c>
    </row>
    <row r="1144" spans="1:13" x14ac:dyDescent="0.2">
      <c r="A1144" t="s">
        <v>1937</v>
      </c>
      <c r="B1144" t="s">
        <v>15</v>
      </c>
      <c r="C1144" t="s">
        <v>87</v>
      </c>
      <c r="D1144" t="s">
        <v>770</v>
      </c>
      <c r="E1144" t="s">
        <v>771</v>
      </c>
      <c r="F1144" t="s">
        <v>179</v>
      </c>
      <c r="G1144">
        <v>64</v>
      </c>
      <c r="H1144">
        <v>18</v>
      </c>
      <c r="I1144">
        <v>35</v>
      </c>
      <c r="J1144">
        <v>117</v>
      </c>
      <c r="K1144" s="482">
        <v>0.54700000000000004</v>
      </c>
      <c r="L1144" s="482">
        <v>0.154</v>
      </c>
      <c r="M1144" s="482">
        <v>0.29899999999999999</v>
      </c>
    </row>
    <row r="1145" spans="1:13" x14ac:dyDescent="0.2">
      <c r="A1145" t="s">
        <v>1944</v>
      </c>
      <c r="B1145" t="s">
        <v>15</v>
      </c>
      <c r="C1145" t="s">
        <v>87</v>
      </c>
      <c r="D1145" t="s">
        <v>749</v>
      </c>
      <c r="E1145" t="s">
        <v>750</v>
      </c>
      <c r="F1145" t="s">
        <v>179</v>
      </c>
      <c r="G1145">
        <v>138</v>
      </c>
      <c r="H1145">
        <v>36</v>
      </c>
      <c r="I1145">
        <v>81</v>
      </c>
      <c r="J1145">
        <v>255</v>
      </c>
      <c r="K1145" s="482">
        <v>0.54100000000000004</v>
      </c>
      <c r="L1145" s="482">
        <v>0.14099999999999999</v>
      </c>
      <c r="M1145" s="482">
        <v>0.318</v>
      </c>
    </row>
    <row r="1146" spans="1:13" x14ac:dyDescent="0.2">
      <c r="A1146" t="s">
        <v>1945</v>
      </c>
      <c r="B1146" t="s">
        <v>15</v>
      </c>
      <c r="C1146" t="s">
        <v>87</v>
      </c>
      <c r="D1146" t="s">
        <v>746</v>
      </c>
      <c r="E1146" t="s">
        <v>747</v>
      </c>
      <c r="F1146" t="s">
        <v>179</v>
      </c>
      <c r="G1146">
        <v>17</v>
      </c>
      <c r="H1146">
        <v>8</v>
      </c>
      <c r="I1146">
        <v>6</v>
      </c>
      <c r="J1146">
        <v>31</v>
      </c>
      <c r="K1146" s="482">
        <v>0.54800000000000004</v>
      </c>
      <c r="L1146" s="482">
        <v>0.25800000000000001</v>
      </c>
      <c r="M1146" s="482">
        <v>0.19400000000000001</v>
      </c>
    </row>
    <row r="1147" spans="1:13" x14ac:dyDescent="0.2">
      <c r="A1147" t="s">
        <v>1946</v>
      </c>
      <c r="B1147" t="s">
        <v>15</v>
      </c>
      <c r="C1147" t="s">
        <v>87</v>
      </c>
      <c r="D1147" t="s">
        <v>743</v>
      </c>
      <c r="E1147" t="s">
        <v>744</v>
      </c>
      <c r="F1147" t="s">
        <v>179</v>
      </c>
      <c r="G1147">
        <v>196</v>
      </c>
      <c r="H1147">
        <v>57</v>
      </c>
      <c r="I1147">
        <v>149</v>
      </c>
      <c r="J1147">
        <v>402</v>
      </c>
      <c r="K1147" s="482">
        <v>0.48799999999999999</v>
      </c>
      <c r="L1147" s="482">
        <v>0.14199999999999999</v>
      </c>
      <c r="M1147" s="482">
        <v>0.371</v>
      </c>
    </row>
    <row r="1148" spans="1:13" x14ac:dyDescent="0.2">
      <c r="A1148" t="s">
        <v>1947</v>
      </c>
      <c r="B1148" t="s">
        <v>15</v>
      </c>
      <c r="C1148" t="s">
        <v>87</v>
      </c>
      <c r="D1148" t="s">
        <v>740</v>
      </c>
      <c r="E1148" t="s">
        <v>741</v>
      </c>
      <c r="F1148" t="s">
        <v>179</v>
      </c>
      <c r="G1148">
        <v>21</v>
      </c>
      <c r="H1148">
        <v>6</v>
      </c>
      <c r="I1148">
        <v>17</v>
      </c>
      <c r="J1148">
        <v>44</v>
      </c>
      <c r="K1148" s="482">
        <v>0.47699999999999998</v>
      </c>
      <c r="L1148" s="482">
        <v>0.13600000000000001</v>
      </c>
      <c r="M1148" s="482">
        <v>0.38600000000000001</v>
      </c>
    </row>
    <row r="1149" spans="1:13" x14ac:dyDescent="0.2">
      <c r="A1149" t="s">
        <v>1966</v>
      </c>
      <c r="B1149" t="s">
        <v>15</v>
      </c>
      <c r="C1149" t="s">
        <v>87</v>
      </c>
      <c r="D1149" t="s">
        <v>681</v>
      </c>
      <c r="E1149" t="s">
        <v>336</v>
      </c>
      <c r="F1149" t="s">
        <v>179</v>
      </c>
      <c r="G1149">
        <v>221</v>
      </c>
      <c r="H1149">
        <v>58</v>
      </c>
      <c r="I1149">
        <v>85</v>
      </c>
      <c r="J1149">
        <v>364</v>
      </c>
      <c r="K1149" s="482">
        <v>0.60699999999999998</v>
      </c>
      <c r="L1149" s="482">
        <v>0.159</v>
      </c>
      <c r="M1149" s="482">
        <v>0.23400000000000001</v>
      </c>
    </row>
    <row r="1150" spans="1:13" x14ac:dyDescent="0.2">
      <c r="A1150" t="s">
        <v>1967</v>
      </c>
      <c r="B1150" t="s">
        <v>15</v>
      </c>
      <c r="C1150" t="s">
        <v>87</v>
      </c>
      <c r="D1150" t="s">
        <v>678</v>
      </c>
      <c r="E1150" t="s">
        <v>679</v>
      </c>
      <c r="F1150" t="s">
        <v>179</v>
      </c>
      <c r="G1150">
        <v>532</v>
      </c>
      <c r="H1150">
        <v>130</v>
      </c>
      <c r="I1150">
        <v>283</v>
      </c>
      <c r="J1150">
        <v>945</v>
      </c>
      <c r="K1150" s="482">
        <v>0.56299999999999994</v>
      </c>
      <c r="L1150" s="482">
        <v>0.13800000000000001</v>
      </c>
      <c r="M1150" s="482">
        <v>0.29899999999999999</v>
      </c>
    </row>
    <row r="1151" spans="1:13" x14ac:dyDescent="0.2">
      <c r="A1151" t="s">
        <v>1951</v>
      </c>
      <c r="B1151" t="s">
        <v>15</v>
      </c>
      <c r="C1151" t="s">
        <v>87</v>
      </c>
      <c r="D1151" t="s">
        <v>725</v>
      </c>
      <c r="E1151" t="s">
        <v>726</v>
      </c>
      <c r="F1151" t="s">
        <v>179</v>
      </c>
      <c r="G1151">
        <v>80</v>
      </c>
      <c r="H1151">
        <v>17</v>
      </c>
      <c r="I1151">
        <v>55</v>
      </c>
      <c r="J1151">
        <v>152</v>
      </c>
      <c r="K1151" s="482">
        <v>0.52600000000000002</v>
      </c>
      <c r="L1151" s="482">
        <v>0.112</v>
      </c>
      <c r="M1151" s="482">
        <v>0.36199999999999999</v>
      </c>
    </row>
    <row r="1152" spans="1:13" x14ac:dyDescent="0.2">
      <c r="A1152" t="s">
        <v>1952</v>
      </c>
      <c r="B1152" t="s">
        <v>15</v>
      </c>
      <c r="C1152" t="s">
        <v>87</v>
      </c>
      <c r="D1152" t="s">
        <v>722</v>
      </c>
      <c r="E1152" t="s">
        <v>723</v>
      </c>
      <c r="F1152" t="s">
        <v>179</v>
      </c>
      <c r="G1152">
        <v>63</v>
      </c>
      <c r="H1152">
        <v>22</v>
      </c>
      <c r="I1152">
        <v>43</v>
      </c>
      <c r="J1152">
        <v>128</v>
      </c>
      <c r="K1152" s="482">
        <v>0.49199999999999999</v>
      </c>
      <c r="L1152" s="482">
        <v>0.17199999999999999</v>
      </c>
      <c r="M1152" s="482">
        <v>0.33600000000000002</v>
      </c>
    </row>
    <row r="1153" spans="1:13" x14ac:dyDescent="0.2">
      <c r="A1153" t="s">
        <v>1953</v>
      </c>
      <c r="B1153" t="s">
        <v>15</v>
      </c>
      <c r="C1153" t="s">
        <v>87</v>
      </c>
      <c r="D1153" t="s">
        <v>719</v>
      </c>
      <c r="E1153" t="s">
        <v>720</v>
      </c>
      <c r="F1153" t="s">
        <v>179</v>
      </c>
      <c r="G1153">
        <v>75</v>
      </c>
      <c r="H1153">
        <v>19</v>
      </c>
      <c r="I1153">
        <v>59</v>
      </c>
      <c r="J1153">
        <v>153</v>
      </c>
      <c r="K1153" s="482">
        <v>0.49</v>
      </c>
      <c r="L1153" s="482">
        <v>0.124</v>
      </c>
      <c r="M1153" s="482">
        <v>0.38600000000000001</v>
      </c>
    </row>
    <row r="1154" spans="1:13" x14ac:dyDescent="0.2">
      <c r="A1154" t="s">
        <v>1954</v>
      </c>
      <c r="B1154" t="s">
        <v>15</v>
      </c>
      <c r="C1154" t="s">
        <v>87</v>
      </c>
      <c r="D1154" t="s">
        <v>716</v>
      </c>
      <c r="E1154" t="s">
        <v>717</v>
      </c>
      <c r="F1154" t="s">
        <v>179</v>
      </c>
      <c r="G1154">
        <v>14</v>
      </c>
      <c r="H1154">
        <v>2</v>
      </c>
      <c r="I1154">
        <v>8</v>
      </c>
      <c r="J1154">
        <v>24</v>
      </c>
      <c r="K1154" s="482">
        <v>0.58299999999999996</v>
      </c>
      <c r="L1154" s="482">
        <v>8.3000000000000004E-2</v>
      </c>
      <c r="M1154" s="482">
        <v>0.33300000000000002</v>
      </c>
    </row>
    <row r="1155" spans="1:13" x14ac:dyDescent="0.2">
      <c r="A1155" t="s">
        <v>1955</v>
      </c>
      <c r="B1155" t="s">
        <v>15</v>
      </c>
      <c r="C1155" t="s">
        <v>87</v>
      </c>
      <c r="D1155" t="s">
        <v>713</v>
      </c>
      <c r="E1155" t="s">
        <v>714</v>
      </c>
      <c r="F1155" t="s">
        <v>179</v>
      </c>
      <c r="G1155">
        <v>305</v>
      </c>
      <c r="H1155">
        <v>55</v>
      </c>
      <c r="I1155">
        <v>138</v>
      </c>
      <c r="J1155">
        <v>498</v>
      </c>
      <c r="K1155" s="482">
        <v>0.61199999999999999</v>
      </c>
      <c r="L1155" s="482">
        <v>0.11</v>
      </c>
      <c r="M1155" s="482">
        <v>0.27700000000000002</v>
      </c>
    </row>
    <row r="1156" spans="1:13" x14ac:dyDescent="0.2">
      <c r="A1156" t="s">
        <v>1956</v>
      </c>
      <c r="B1156" t="s">
        <v>15</v>
      </c>
      <c r="C1156" t="s">
        <v>87</v>
      </c>
      <c r="D1156" t="s">
        <v>710</v>
      </c>
      <c r="E1156" t="s">
        <v>711</v>
      </c>
      <c r="F1156" t="s">
        <v>179</v>
      </c>
      <c r="G1156">
        <v>98</v>
      </c>
      <c r="H1156">
        <v>18</v>
      </c>
      <c r="I1156">
        <v>38</v>
      </c>
      <c r="J1156">
        <v>154</v>
      </c>
      <c r="K1156" s="482">
        <v>0.63600000000000001</v>
      </c>
      <c r="L1156" s="482">
        <v>0.11700000000000001</v>
      </c>
      <c r="M1156" s="482">
        <v>0.247</v>
      </c>
    </row>
    <row r="1157" spans="1:13" x14ac:dyDescent="0.2">
      <c r="A1157" t="s">
        <v>1957</v>
      </c>
      <c r="B1157" t="s">
        <v>15</v>
      </c>
      <c r="C1157" t="s">
        <v>87</v>
      </c>
      <c r="D1157" t="s">
        <v>707</v>
      </c>
      <c r="E1157" t="s">
        <v>708</v>
      </c>
      <c r="F1157" t="s">
        <v>179</v>
      </c>
      <c r="G1157">
        <v>39</v>
      </c>
      <c r="H1157">
        <v>9</v>
      </c>
      <c r="I1157">
        <v>30</v>
      </c>
      <c r="J1157">
        <v>78</v>
      </c>
      <c r="K1157" s="482">
        <v>0.5</v>
      </c>
      <c r="L1157" s="482">
        <v>0.115</v>
      </c>
      <c r="M1157" s="482">
        <v>0.38500000000000001</v>
      </c>
    </row>
    <row r="1158" spans="1:13" x14ac:dyDescent="0.2">
      <c r="A1158" t="s">
        <v>1958</v>
      </c>
      <c r="B1158" t="s">
        <v>15</v>
      </c>
      <c r="C1158" t="s">
        <v>87</v>
      </c>
      <c r="D1158" t="s">
        <v>704</v>
      </c>
      <c r="E1158" t="s">
        <v>705</v>
      </c>
      <c r="F1158" t="s">
        <v>179</v>
      </c>
      <c r="G1158">
        <v>54</v>
      </c>
      <c r="H1158">
        <v>12</v>
      </c>
      <c r="I1158">
        <v>36</v>
      </c>
      <c r="J1158">
        <v>102</v>
      </c>
      <c r="K1158" s="482">
        <v>0.52900000000000003</v>
      </c>
      <c r="L1158" s="482">
        <v>0.11799999999999999</v>
      </c>
      <c r="M1158" s="482">
        <v>0.35299999999999998</v>
      </c>
    </row>
    <row r="1159" spans="1:13" x14ac:dyDescent="0.2">
      <c r="A1159" t="s">
        <v>1959</v>
      </c>
      <c r="B1159" t="s">
        <v>15</v>
      </c>
      <c r="C1159" t="s">
        <v>87</v>
      </c>
      <c r="D1159" t="s">
        <v>701</v>
      </c>
      <c r="E1159" t="s">
        <v>702</v>
      </c>
      <c r="F1159" t="s">
        <v>179</v>
      </c>
      <c r="G1159">
        <v>96</v>
      </c>
      <c r="H1159">
        <v>26</v>
      </c>
      <c r="I1159">
        <v>69</v>
      </c>
      <c r="J1159">
        <v>191</v>
      </c>
      <c r="K1159" s="482">
        <v>0.503</v>
      </c>
      <c r="L1159" s="482">
        <v>0.13600000000000001</v>
      </c>
      <c r="M1159" s="482">
        <v>0.36099999999999999</v>
      </c>
    </row>
    <row r="1160" spans="1:13" x14ac:dyDescent="0.2">
      <c r="A1160" t="s">
        <v>1960</v>
      </c>
      <c r="B1160" t="s">
        <v>15</v>
      </c>
      <c r="C1160" t="s">
        <v>87</v>
      </c>
      <c r="D1160" t="s">
        <v>698</v>
      </c>
      <c r="E1160" t="s">
        <v>699</v>
      </c>
      <c r="F1160" t="s">
        <v>179</v>
      </c>
      <c r="G1160">
        <v>81</v>
      </c>
      <c r="H1160">
        <v>12</v>
      </c>
      <c r="I1160">
        <v>56</v>
      </c>
      <c r="J1160">
        <v>149</v>
      </c>
      <c r="K1160" s="482">
        <v>0.54400000000000004</v>
      </c>
      <c r="L1160" s="482">
        <v>8.1000000000000003E-2</v>
      </c>
      <c r="M1160" s="482">
        <v>0.376</v>
      </c>
    </row>
    <row r="1161" spans="1:13" x14ac:dyDescent="0.2">
      <c r="A1161" t="s">
        <v>1961</v>
      </c>
      <c r="B1161" t="s">
        <v>15</v>
      </c>
      <c r="C1161" t="s">
        <v>87</v>
      </c>
      <c r="D1161" t="s">
        <v>695</v>
      </c>
      <c r="E1161" t="s">
        <v>696</v>
      </c>
      <c r="F1161" t="s">
        <v>179</v>
      </c>
      <c r="G1161">
        <v>45</v>
      </c>
      <c r="H1161">
        <v>10</v>
      </c>
      <c r="I1161">
        <v>31</v>
      </c>
      <c r="J1161">
        <v>86</v>
      </c>
      <c r="K1161" s="482">
        <v>0.52300000000000002</v>
      </c>
      <c r="L1161" s="482">
        <v>0.11600000000000001</v>
      </c>
      <c r="M1161" s="482">
        <v>0.36</v>
      </c>
    </row>
    <row r="1162" spans="1:13" x14ac:dyDescent="0.2">
      <c r="A1162" t="s">
        <v>1962</v>
      </c>
      <c r="B1162" t="s">
        <v>15</v>
      </c>
      <c r="C1162" t="s">
        <v>87</v>
      </c>
      <c r="D1162" t="s">
        <v>692</v>
      </c>
      <c r="E1162" t="s">
        <v>693</v>
      </c>
      <c r="F1162" t="s">
        <v>179</v>
      </c>
      <c r="G1162">
        <v>89</v>
      </c>
      <c r="H1162">
        <v>17</v>
      </c>
      <c r="I1162">
        <v>48</v>
      </c>
      <c r="J1162">
        <v>154</v>
      </c>
      <c r="K1162" s="482">
        <v>0.57799999999999996</v>
      </c>
      <c r="L1162" s="482">
        <v>0.11</v>
      </c>
      <c r="M1162" s="482">
        <v>0.312</v>
      </c>
    </row>
    <row r="1163" spans="1:13" x14ac:dyDescent="0.2">
      <c r="A1163" t="s">
        <v>1963</v>
      </c>
      <c r="B1163" t="s">
        <v>15</v>
      </c>
      <c r="C1163" t="s">
        <v>87</v>
      </c>
      <c r="D1163" t="s">
        <v>689</v>
      </c>
      <c r="E1163" t="s">
        <v>690</v>
      </c>
      <c r="F1163" t="s">
        <v>179</v>
      </c>
      <c r="G1163">
        <v>15</v>
      </c>
      <c r="H1163">
        <v>2</v>
      </c>
      <c r="I1163">
        <v>7</v>
      </c>
      <c r="J1163">
        <v>24</v>
      </c>
      <c r="K1163" s="482">
        <v>0.625</v>
      </c>
      <c r="L1163" s="482">
        <v>8.3000000000000004E-2</v>
      </c>
      <c r="M1163" s="482">
        <v>0.29199999999999998</v>
      </c>
    </row>
    <row r="1164" spans="1:13" x14ac:dyDescent="0.2">
      <c r="A1164" t="s">
        <v>1964</v>
      </c>
      <c r="B1164" t="s">
        <v>15</v>
      </c>
      <c r="C1164" t="s">
        <v>87</v>
      </c>
      <c r="D1164" t="s">
        <v>686</v>
      </c>
      <c r="E1164" t="s">
        <v>687</v>
      </c>
      <c r="F1164" t="s">
        <v>179</v>
      </c>
      <c r="G1164">
        <v>41</v>
      </c>
      <c r="H1164">
        <v>8</v>
      </c>
      <c r="I1164">
        <v>23</v>
      </c>
      <c r="J1164">
        <v>72</v>
      </c>
      <c r="K1164" s="482">
        <v>0.56899999999999995</v>
      </c>
      <c r="L1164" s="482">
        <v>0.111</v>
      </c>
      <c r="M1164" s="482">
        <v>0.31900000000000001</v>
      </c>
    </row>
    <row r="1165" spans="1:13" x14ac:dyDescent="0.2">
      <c r="A1165" t="s">
        <v>1965</v>
      </c>
      <c r="B1165" t="s">
        <v>15</v>
      </c>
      <c r="C1165" t="s">
        <v>87</v>
      </c>
      <c r="D1165" t="s">
        <v>683</v>
      </c>
      <c r="E1165" t="s">
        <v>684</v>
      </c>
      <c r="F1165" t="s">
        <v>179</v>
      </c>
      <c r="G1165">
        <v>77</v>
      </c>
      <c r="H1165">
        <v>15</v>
      </c>
      <c r="I1165">
        <v>38</v>
      </c>
      <c r="J1165">
        <v>130</v>
      </c>
      <c r="K1165" s="482">
        <v>0.59199999999999997</v>
      </c>
      <c r="L1165" s="482">
        <v>0.115</v>
      </c>
      <c r="M1165" s="482">
        <v>0.29199999999999998</v>
      </c>
    </row>
    <row r="1166" spans="1:13" x14ac:dyDescent="0.2">
      <c r="A1166" t="s">
        <v>1992</v>
      </c>
      <c r="B1166" t="s">
        <v>15</v>
      </c>
      <c r="C1166" t="s">
        <v>87</v>
      </c>
      <c r="D1166" t="s">
        <v>607</v>
      </c>
      <c r="E1166" t="s">
        <v>608</v>
      </c>
      <c r="F1166" t="s">
        <v>179</v>
      </c>
      <c r="G1166">
        <v>18</v>
      </c>
      <c r="H1166">
        <v>4</v>
      </c>
      <c r="I1166">
        <v>15</v>
      </c>
      <c r="J1166">
        <v>37</v>
      </c>
      <c r="K1166" s="482">
        <v>0.48599999999999999</v>
      </c>
      <c r="L1166" s="482">
        <v>0.108</v>
      </c>
      <c r="M1166" s="482">
        <v>0.40500000000000003</v>
      </c>
    </row>
    <row r="1167" spans="1:13" x14ac:dyDescent="0.2">
      <c r="A1167" t="s">
        <v>1993</v>
      </c>
      <c r="B1167" t="s">
        <v>15</v>
      </c>
      <c r="C1167" t="s">
        <v>87</v>
      </c>
      <c r="D1167" t="s">
        <v>604</v>
      </c>
      <c r="E1167" t="s">
        <v>605</v>
      </c>
      <c r="F1167" t="s">
        <v>179</v>
      </c>
      <c r="G1167">
        <v>36</v>
      </c>
      <c r="H1167">
        <v>16</v>
      </c>
      <c r="I1167">
        <v>15</v>
      </c>
      <c r="J1167">
        <v>67</v>
      </c>
      <c r="K1167" s="482">
        <v>0.53700000000000003</v>
      </c>
      <c r="L1167" s="482">
        <v>0.23899999999999999</v>
      </c>
      <c r="M1167" s="482">
        <v>0.224</v>
      </c>
    </row>
    <row r="1168" spans="1:13" x14ac:dyDescent="0.2">
      <c r="A1168" t="s">
        <v>1994</v>
      </c>
      <c r="B1168" t="s">
        <v>15</v>
      </c>
      <c r="C1168" t="s">
        <v>87</v>
      </c>
      <c r="D1168" t="s">
        <v>601</v>
      </c>
      <c r="E1168" t="s">
        <v>602</v>
      </c>
      <c r="F1168" t="s">
        <v>179</v>
      </c>
      <c r="G1168">
        <v>38</v>
      </c>
      <c r="H1168">
        <v>10</v>
      </c>
      <c r="I1168">
        <v>16</v>
      </c>
      <c r="J1168">
        <v>64</v>
      </c>
      <c r="K1168" s="482">
        <v>0.59399999999999997</v>
      </c>
      <c r="L1168" s="482">
        <v>0.156</v>
      </c>
      <c r="M1168" s="482">
        <v>0.25</v>
      </c>
    </row>
    <row r="1169" spans="1:13" x14ac:dyDescent="0.2">
      <c r="A1169" t="s">
        <v>1995</v>
      </c>
      <c r="B1169" t="s">
        <v>15</v>
      </c>
      <c r="C1169" t="s">
        <v>87</v>
      </c>
      <c r="D1169" t="s">
        <v>598</v>
      </c>
      <c r="E1169" t="s">
        <v>599</v>
      </c>
      <c r="F1169" t="s">
        <v>179</v>
      </c>
      <c r="G1169">
        <v>195</v>
      </c>
      <c r="H1169">
        <v>31</v>
      </c>
      <c r="I1169">
        <v>89</v>
      </c>
      <c r="J1169">
        <v>315</v>
      </c>
      <c r="K1169" s="482">
        <v>0.61899999999999999</v>
      </c>
      <c r="L1169" s="482">
        <v>9.8000000000000004E-2</v>
      </c>
      <c r="M1169" s="482">
        <v>0.28299999999999997</v>
      </c>
    </row>
    <row r="1170" spans="1:13" x14ac:dyDescent="0.2">
      <c r="A1170" t="s">
        <v>1996</v>
      </c>
      <c r="B1170" t="s">
        <v>15</v>
      </c>
      <c r="C1170" t="s">
        <v>87</v>
      </c>
      <c r="D1170" t="s">
        <v>595</v>
      </c>
      <c r="E1170" t="s">
        <v>596</v>
      </c>
      <c r="F1170" t="s">
        <v>179</v>
      </c>
      <c r="G1170">
        <v>41</v>
      </c>
      <c r="H1170">
        <v>12</v>
      </c>
      <c r="I1170">
        <v>23</v>
      </c>
      <c r="J1170">
        <v>76</v>
      </c>
      <c r="K1170" s="482">
        <v>0.53900000000000003</v>
      </c>
      <c r="L1170" s="482">
        <v>0.158</v>
      </c>
      <c r="M1170" s="482">
        <v>0.30299999999999999</v>
      </c>
    </row>
    <row r="1171" spans="1:13" x14ac:dyDescent="0.2">
      <c r="A1171" t="s">
        <v>1997</v>
      </c>
      <c r="B1171" t="s">
        <v>15</v>
      </c>
      <c r="C1171" t="s">
        <v>87</v>
      </c>
      <c r="D1171" t="s">
        <v>592</v>
      </c>
      <c r="E1171" t="s">
        <v>593</v>
      </c>
      <c r="F1171" t="s">
        <v>179</v>
      </c>
      <c r="G1171">
        <v>181</v>
      </c>
      <c r="H1171">
        <v>33</v>
      </c>
      <c r="I1171">
        <v>95</v>
      </c>
      <c r="J1171">
        <v>309</v>
      </c>
      <c r="K1171" s="482">
        <v>0.58599999999999997</v>
      </c>
      <c r="L1171" s="482">
        <v>0.107</v>
      </c>
      <c r="M1171" s="482">
        <v>0.307</v>
      </c>
    </row>
    <row r="1172" spans="1:13" x14ac:dyDescent="0.2">
      <c r="A1172" t="s">
        <v>1998</v>
      </c>
      <c r="B1172" t="s">
        <v>15</v>
      </c>
      <c r="C1172" t="s">
        <v>87</v>
      </c>
      <c r="D1172" t="s">
        <v>589</v>
      </c>
      <c r="E1172" t="s">
        <v>590</v>
      </c>
      <c r="F1172" t="s">
        <v>179</v>
      </c>
      <c r="G1172">
        <v>64</v>
      </c>
      <c r="H1172">
        <v>29</v>
      </c>
      <c r="I1172">
        <v>40</v>
      </c>
      <c r="J1172">
        <v>133</v>
      </c>
      <c r="K1172" s="482">
        <v>0.48099999999999998</v>
      </c>
      <c r="L1172" s="482">
        <v>0.218</v>
      </c>
      <c r="M1172" s="482">
        <v>0.30099999999999999</v>
      </c>
    </row>
    <row r="1173" spans="1:13" x14ac:dyDescent="0.2">
      <c r="A1173" t="s">
        <v>1949</v>
      </c>
      <c r="B1173" t="s">
        <v>15</v>
      </c>
      <c r="C1173" t="s">
        <v>87</v>
      </c>
      <c r="D1173" t="s">
        <v>734</v>
      </c>
      <c r="E1173" t="s">
        <v>735</v>
      </c>
      <c r="F1173" t="s">
        <v>179</v>
      </c>
      <c r="G1173">
        <v>85</v>
      </c>
      <c r="H1173">
        <v>27</v>
      </c>
      <c r="I1173">
        <v>46</v>
      </c>
      <c r="J1173">
        <v>158</v>
      </c>
      <c r="K1173" s="482">
        <v>0.53800000000000003</v>
      </c>
      <c r="L1173" s="482">
        <v>0.17100000000000001</v>
      </c>
      <c r="M1173" s="482">
        <v>0.29099999999999998</v>
      </c>
    </row>
    <row r="1174" spans="1:13" x14ac:dyDescent="0.2">
      <c r="A1174" t="s">
        <v>1950</v>
      </c>
      <c r="B1174" t="s">
        <v>15</v>
      </c>
      <c r="C1174" t="s">
        <v>87</v>
      </c>
      <c r="D1174" t="s">
        <v>728</v>
      </c>
      <c r="E1174" t="s">
        <v>729</v>
      </c>
      <c r="F1174" t="s">
        <v>179</v>
      </c>
      <c r="G1174">
        <v>10</v>
      </c>
      <c r="H1174">
        <v>1</v>
      </c>
      <c r="I1174">
        <v>3</v>
      </c>
      <c r="J1174">
        <v>14</v>
      </c>
      <c r="K1174" s="482">
        <v>0.71399999999999997</v>
      </c>
      <c r="L1174" s="482">
        <v>7.0999999999999994E-2</v>
      </c>
      <c r="M1174" s="482">
        <v>0.214</v>
      </c>
    </row>
    <row r="1175" spans="1:13" x14ac:dyDescent="0.2">
      <c r="A1175" t="s">
        <v>1910</v>
      </c>
      <c r="B1175" t="s">
        <v>15</v>
      </c>
      <c r="C1175" t="s">
        <v>87</v>
      </c>
      <c r="D1175" t="s">
        <v>731</v>
      </c>
      <c r="E1175" t="s">
        <v>732</v>
      </c>
      <c r="F1175" t="s">
        <v>179</v>
      </c>
      <c r="G1175">
        <v>10</v>
      </c>
      <c r="H1175">
        <v>2</v>
      </c>
      <c r="I1175">
        <v>6</v>
      </c>
      <c r="J1175">
        <v>18</v>
      </c>
      <c r="K1175" s="482">
        <v>0.55600000000000005</v>
      </c>
      <c r="L1175" s="482">
        <v>0.111</v>
      </c>
      <c r="M1175" s="482">
        <v>0.33300000000000002</v>
      </c>
    </row>
    <row r="1176" spans="1:13" x14ac:dyDescent="0.2">
      <c r="A1176" t="s">
        <v>1861</v>
      </c>
      <c r="B1176" t="s">
        <v>15</v>
      </c>
      <c r="C1176" t="s">
        <v>87</v>
      </c>
      <c r="D1176" t="s">
        <v>989</v>
      </c>
      <c r="E1176" t="s">
        <v>990</v>
      </c>
      <c r="F1176" t="s">
        <v>179</v>
      </c>
      <c r="G1176">
        <v>32</v>
      </c>
      <c r="H1176">
        <v>13</v>
      </c>
      <c r="I1176">
        <v>11</v>
      </c>
      <c r="J1176">
        <v>56</v>
      </c>
      <c r="K1176" s="482">
        <v>0.57099999999999995</v>
      </c>
      <c r="L1176" s="482">
        <v>0.23200000000000001</v>
      </c>
      <c r="M1176" s="482">
        <v>0.19600000000000001</v>
      </c>
    </row>
    <row r="1177" spans="1:13" x14ac:dyDescent="0.2">
      <c r="A1177" t="s">
        <v>1862</v>
      </c>
      <c r="B1177" t="s">
        <v>15</v>
      </c>
      <c r="C1177" t="s">
        <v>87</v>
      </c>
      <c r="D1177" t="s">
        <v>986</v>
      </c>
      <c r="E1177" t="s">
        <v>987</v>
      </c>
      <c r="F1177" t="s">
        <v>179</v>
      </c>
      <c r="G1177">
        <v>32</v>
      </c>
      <c r="H1177">
        <v>13</v>
      </c>
      <c r="I1177">
        <v>23</v>
      </c>
      <c r="J1177">
        <v>68</v>
      </c>
      <c r="K1177" s="482">
        <v>0.47099999999999997</v>
      </c>
      <c r="L1177" s="482">
        <v>0.191</v>
      </c>
      <c r="M1177" s="482">
        <v>0.33800000000000002</v>
      </c>
    </row>
    <row r="1178" spans="1:13" x14ac:dyDescent="0.2">
      <c r="A1178" t="s">
        <v>1863</v>
      </c>
      <c r="B1178" t="s">
        <v>15</v>
      </c>
      <c r="C1178" t="s">
        <v>87</v>
      </c>
      <c r="D1178" t="s">
        <v>983</v>
      </c>
      <c r="E1178" t="s">
        <v>984</v>
      </c>
      <c r="F1178" t="s">
        <v>179</v>
      </c>
      <c r="G1178">
        <v>73</v>
      </c>
      <c r="H1178">
        <v>25</v>
      </c>
      <c r="I1178">
        <v>47</v>
      </c>
      <c r="J1178">
        <v>145</v>
      </c>
      <c r="K1178" s="482">
        <v>0.503</v>
      </c>
      <c r="L1178" s="482">
        <v>0.17199999999999999</v>
      </c>
      <c r="M1178" s="482">
        <v>0.32400000000000001</v>
      </c>
    </row>
    <row r="1179" spans="1:13" x14ac:dyDescent="0.2">
      <c r="A1179" t="s">
        <v>1864</v>
      </c>
      <c r="B1179" t="s">
        <v>15</v>
      </c>
      <c r="C1179" t="s">
        <v>87</v>
      </c>
      <c r="D1179" t="s">
        <v>980</v>
      </c>
      <c r="E1179" t="s">
        <v>981</v>
      </c>
      <c r="F1179" t="s">
        <v>179</v>
      </c>
      <c r="G1179">
        <v>127</v>
      </c>
      <c r="H1179">
        <v>36</v>
      </c>
      <c r="I1179">
        <v>79</v>
      </c>
      <c r="J1179">
        <v>242</v>
      </c>
      <c r="K1179" s="482">
        <v>0.52500000000000002</v>
      </c>
      <c r="L1179" s="482">
        <v>0.14899999999999999</v>
      </c>
      <c r="M1179" s="482">
        <v>0.32600000000000001</v>
      </c>
    </row>
    <row r="1180" spans="1:13" x14ac:dyDescent="0.2">
      <c r="A1180" t="s">
        <v>1865</v>
      </c>
      <c r="B1180" t="s">
        <v>15</v>
      </c>
      <c r="C1180" t="s">
        <v>87</v>
      </c>
      <c r="D1180" t="s">
        <v>977</v>
      </c>
      <c r="E1180" t="s">
        <v>978</v>
      </c>
      <c r="F1180" t="s">
        <v>179</v>
      </c>
      <c r="G1180">
        <v>80</v>
      </c>
      <c r="H1180">
        <v>12</v>
      </c>
      <c r="I1180">
        <v>57</v>
      </c>
      <c r="J1180">
        <v>149</v>
      </c>
      <c r="K1180" s="482">
        <v>0.53700000000000003</v>
      </c>
      <c r="L1180" s="482">
        <v>8.1000000000000003E-2</v>
      </c>
      <c r="M1180" s="482">
        <v>0.38300000000000001</v>
      </c>
    </row>
    <row r="1181" spans="1:13" x14ac:dyDescent="0.2">
      <c r="A1181" t="s">
        <v>1866</v>
      </c>
      <c r="B1181" t="s">
        <v>15</v>
      </c>
      <c r="C1181" t="s">
        <v>87</v>
      </c>
      <c r="D1181" t="s">
        <v>974</v>
      </c>
      <c r="E1181" t="s">
        <v>975</v>
      </c>
      <c r="F1181" t="s">
        <v>179</v>
      </c>
      <c r="G1181">
        <v>101</v>
      </c>
      <c r="H1181">
        <v>17</v>
      </c>
      <c r="I1181">
        <v>30</v>
      </c>
      <c r="J1181">
        <v>148</v>
      </c>
      <c r="K1181" s="482">
        <v>0.68200000000000005</v>
      </c>
      <c r="L1181" s="482">
        <v>0.115</v>
      </c>
      <c r="M1181" s="482">
        <v>0.20300000000000001</v>
      </c>
    </row>
    <row r="1182" spans="1:13" x14ac:dyDescent="0.2">
      <c r="A1182" t="s">
        <v>1867</v>
      </c>
      <c r="B1182" t="s">
        <v>15</v>
      </c>
      <c r="C1182" t="s">
        <v>87</v>
      </c>
      <c r="D1182" t="s">
        <v>971</v>
      </c>
      <c r="E1182" t="s">
        <v>972</v>
      </c>
      <c r="F1182" t="s">
        <v>179</v>
      </c>
      <c r="G1182">
        <v>67</v>
      </c>
      <c r="H1182">
        <v>20</v>
      </c>
      <c r="I1182">
        <v>36</v>
      </c>
      <c r="J1182">
        <v>123</v>
      </c>
      <c r="K1182" s="482">
        <v>0.54500000000000004</v>
      </c>
      <c r="L1182" s="482">
        <v>0.16300000000000001</v>
      </c>
      <c r="M1182" s="482">
        <v>0.29299999999999998</v>
      </c>
    </row>
    <row r="1183" spans="1:13" x14ac:dyDescent="0.2">
      <c r="A1183" t="s">
        <v>1868</v>
      </c>
      <c r="B1183" t="s">
        <v>15</v>
      </c>
      <c r="C1183" t="s">
        <v>87</v>
      </c>
      <c r="D1183" t="s">
        <v>968</v>
      </c>
      <c r="E1183" t="s">
        <v>969</v>
      </c>
      <c r="F1183" t="s">
        <v>179</v>
      </c>
      <c r="G1183">
        <v>89</v>
      </c>
      <c r="H1183">
        <v>27</v>
      </c>
      <c r="I1183">
        <v>75</v>
      </c>
      <c r="J1183">
        <v>191</v>
      </c>
      <c r="K1183" s="482">
        <v>0.46600000000000003</v>
      </c>
      <c r="L1183" s="482">
        <v>0.14099999999999999</v>
      </c>
      <c r="M1183" s="482">
        <v>0.39300000000000002</v>
      </c>
    </row>
    <row r="1184" spans="1:13" x14ac:dyDescent="0.2">
      <c r="A1184" t="s">
        <v>1869</v>
      </c>
      <c r="B1184" t="s">
        <v>15</v>
      </c>
      <c r="C1184" t="s">
        <v>87</v>
      </c>
      <c r="D1184" t="s">
        <v>965</v>
      </c>
      <c r="E1184" t="s">
        <v>966</v>
      </c>
      <c r="F1184" t="s">
        <v>179</v>
      </c>
      <c r="G1184">
        <v>22</v>
      </c>
      <c r="H1184">
        <v>7</v>
      </c>
      <c r="I1184">
        <v>11</v>
      </c>
      <c r="J1184">
        <v>40</v>
      </c>
      <c r="K1184" s="482">
        <v>0.55000000000000004</v>
      </c>
      <c r="L1184" s="482">
        <v>0.17499999999999999</v>
      </c>
      <c r="M1184" s="482">
        <v>0.27500000000000002</v>
      </c>
    </row>
    <row r="1185" spans="1:13" x14ac:dyDescent="0.2">
      <c r="A1185" t="s">
        <v>1870</v>
      </c>
      <c r="B1185" t="s">
        <v>15</v>
      </c>
      <c r="C1185" t="s">
        <v>87</v>
      </c>
      <c r="D1185" t="s">
        <v>962</v>
      </c>
      <c r="E1185" t="s">
        <v>963</v>
      </c>
      <c r="F1185" t="s">
        <v>179</v>
      </c>
      <c r="G1185">
        <v>37</v>
      </c>
      <c r="H1185">
        <v>11</v>
      </c>
      <c r="I1185">
        <v>23</v>
      </c>
      <c r="J1185">
        <v>71</v>
      </c>
      <c r="K1185" s="482">
        <v>0.52100000000000002</v>
      </c>
      <c r="L1185" s="482">
        <v>0.155</v>
      </c>
      <c r="M1185" s="482">
        <v>0.32400000000000001</v>
      </c>
    </row>
    <row r="1186" spans="1:13" x14ac:dyDescent="0.2">
      <c r="A1186" t="s">
        <v>1871</v>
      </c>
      <c r="B1186" t="s">
        <v>15</v>
      </c>
      <c r="C1186" t="s">
        <v>87</v>
      </c>
      <c r="D1186" t="s">
        <v>959</v>
      </c>
      <c r="E1186" t="s">
        <v>960</v>
      </c>
      <c r="F1186" t="s">
        <v>179</v>
      </c>
      <c r="G1186">
        <v>226</v>
      </c>
      <c r="H1186">
        <v>50</v>
      </c>
      <c r="I1186">
        <v>135</v>
      </c>
      <c r="J1186">
        <v>411</v>
      </c>
      <c r="K1186" s="482">
        <v>0.55000000000000004</v>
      </c>
      <c r="L1186" s="482">
        <v>0.122</v>
      </c>
      <c r="M1186" s="482">
        <v>0.32800000000000001</v>
      </c>
    </row>
    <row r="1187" spans="1:13" x14ac:dyDescent="0.2">
      <c r="A1187" t="s">
        <v>1872</v>
      </c>
      <c r="B1187" t="s">
        <v>15</v>
      </c>
      <c r="C1187" t="s">
        <v>87</v>
      </c>
      <c r="D1187" t="s">
        <v>956</v>
      </c>
      <c r="E1187" t="s">
        <v>957</v>
      </c>
      <c r="F1187" t="s">
        <v>179</v>
      </c>
      <c r="G1187">
        <v>63</v>
      </c>
      <c r="H1187">
        <v>21</v>
      </c>
      <c r="I1187">
        <v>33</v>
      </c>
      <c r="J1187">
        <v>117</v>
      </c>
      <c r="K1187" s="482">
        <v>0.53800000000000003</v>
      </c>
      <c r="L1187" s="482">
        <v>0.17899999999999999</v>
      </c>
      <c r="M1187" s="482">
        <v>0.28199999999999997</v>
      </c>
    </row>
    <row r="1188" spans="1:13" x14ac:dyDescent="0.2">
      <c r="A1188" t="s">
        <v>1873</v>
      </c>
      <c r="B1188" t="s">
        <v>15</v>
      </c>
      <c r="C1188" t="s">
        <v>87</v>
      </c>
      <c r="D1188" t="s">
        <v>953</v>
      </c>
      <c r="E1188" t="s">
        <v>954</v>
      </c>
      <c r="F1188" t="s">
        <v>179</v>
      </c>
      <c r="G1188">
        <v>82</v>
      </c>
      <c r="H1188">
        <v>28</v>
      </c>
      <c r="I1188">
        <v>47</v>
      </c>
      <c r="J1188">
        <v>157</v>
      </c>
      <c r="K1188" s="482">
        <v>0.52200000000000002</v>
      </c>
      <c r="L1188" s="482">
        <v>0.17799999999999999</v>
      </c>
      <c r="M1188" s="482">
        <v>0.29899999999999999</v>
      </c>
    </row>
    <row r="1189" spans="1:13" x14ac:dyDescent="0.2">
      <c r="A1189" t="s">
        <v>1874</v>
      </c>
      <c r="B1189" t="s">
        <v>15</v>
      </c>
      <c r="C1189" t="s">
        <v>87</v>
      </c>
      <c r="D1189" t="s">
        <v>950</v>
      </c>
      <c r="E1189" t="s">
        <v>951</v>
      </c>
      <c r="F1189" t="s">
        <v>179</v>
      </c>
      <c r="G1189">
        <v>80</v>
      </c>
      <c r="H1189">
        <v>24</v>
      </c>
      <c r="I1189">
        <v>49</v>
      </c>
      <c r="J1189">
        <v>153</v>
      </c>
      <c r="K1189" s="482">
        <v>0.52300000000000002</v>
      </c>
      <c r="L1189" s="482">
        <v>0.157</v>
      </c>
      <c r="M1189" s="482">
        <v>0.32</v>
      </c>
    </row>
    <row r="1190" spans="1:13" x14ac:dyDescent="0.2">
      <c r="A1190" t="s">
        <v>1875</v>
      </c>
      <c r="B1190" t="s">
        <v>15</v>
      </c>
      <c r="C1190" t="s">
        <v>87</v>
      </c>
      <c r="D1190" t="s">
        <v>947</v>
      </c>
      <c r="E1190" t="s">
        <v>948</v>
      </c>
      <c r="F1190" t="s">
        <v>179</v>
      </c>
      <c r="G1190">
        <v>56</v>
      </c>
      <c r="H1190">
        <v>7</v>
      </c>
      <c r="I1190">
        <v>31</v>
      </c>
      <c r="J1190">
        <v>94</v>
      </c>
      <c r="K1190" s="482">
        <v>0.59599999999999997</v>
      </c>
      <c r="L1190" s="482">
        <v>7.3999999999999996E-2</v>
      </c>
      <c r="M1190" s="482">
        <v>0.33</v>
      </c>
    </row>
    <row r="1191" spans="1:13" x14ac:dyDescent="0.2">
      <c r="A1191" t="s">
        <v>1880</v>
      </c>
      <c r="B1191" t="s">
        <v>15</v>
      </c>
      <c r="C1191" t="s">
        <v>87</v>
      </c>
      <c r="D1191" t="s">
        <v>932</v>
      </c>
      <c r="E1191" t="s">
        <v>933</v>
      </c>
      <c r="F1191" t="s">
        <v>179</v>
      </c>
      <c r="G1191">
        <v>104</v>
      </c>
      <c r="H1191">
        <v>24</v>
      </c>
      <c r="I1191">
        <v>48</v>
      </c>
      <c r="J1191">
        <v>176</v>
      </c>
      <c r="K1191" s="482">
        <v>0.59099999999999997</v>
      </c>
      <c r="L1191" s="482">
        <v>0.13600000000000001</v>
      </c>
      <c r="M1191" s="482">
        <v>0.27300000000000002</v>
      </c>
    </row>
    <row r="1192" spans="1:13" x14ac:dyDescent="0.2">
      <c r="A1192" t="s">
        <v>1879</v>
      </c>
      <c r="B1192" t="s">
        <v>15</v>
      </c>
      <c r="C1192" t="s">
        <v>87</v>
      </c>
      <c r="D1192" t="s">
        <v>935</v>
      </c>
      <c r="E1192" t="s">
        <v>936</v>
      </c>
      <c r="F1192" t="s">
        <v>179</v>
      </c>
      <c r="G1192">
        <v>19</v>
      </c>
      <c r="H1192">
        <v>3</v>
      </c>
      <c r="I1192">
        <v>7</v>
      </c>
      <c r="J1192">
        <v>29</v>
      </c>
      <c r="K1192" s="482">
        <v>0.65500000000000003</v>
      </c>
      <c r="L1192" s="482">
        <v>0.10299999999999999</v>
      </c>
      <c r="M1192" s="482">
        <v>0.24099999999999999</v>
      </c>
    </row>
    <row r="1193" spans="1:13" x14ac:dyDescent="0.2">
      <c r="A1193" t="s">
        <v>1882</v>
      </c>
      <c r="B1193" t="s">
        <v>15</v>
      </c>
      <c r="C1193" t="s">
        <v>87</v>
      </c>
      <c r="D1193" t="s">
        <v>851</v>
      </c>
      <c r="E1193" t="s">
        <v>852</v>
      </c>
      <c r="F1193" t="s">
        <v>179</v>
      </c>
      <c r="G1193">
        <v>23</v>
      </c>
      <c r="H1193">
        <v>9</v>
      </c>
      <c r="I1193">
        <v>20</v>
      </c>
      <c r="J1193">
        <v>52</v>
      </c>
      <c r="K1193" s="482">
        <v>0.442</v>
      </c>
      <c r="L1193" s="482">
        <v>0.17299999999999999</v>
      </c>
      <c r="M1193" s="482">
        <v>0.38500000000000001</v>
      </c>
    </row>
    <row r="1194" spans="1:13" x14ac:dyDescent="0.2">
      <c r="A1194" t="s">
        <v>1911</v>
      </c>
      <c r="B1194" t="s">
        <v>15</v>
      </c>
      <c r="C1194" t="s">
        <v>87</v>
      </c>
      <c r="D1194" t="s">
        <v>848</v>
      </c>
      <c r="E1194" t="s">
        <v>849</v>
      </c>
      <c r="F1194" t="s">
        <v>179</v>
      </c>
      <c r="G1194">
        <v>95</v>
      </c>
      <c r="H1194">
        <v>25</v>
      </c>
      <c r="I1194">
        <v>68</v>
      </c>
      <c r="J1194">
        <v>188</v>
      </c>
      <c r="K1194" s="482">
        <v>0.505</v>
      </c>
      <c r="L1194" s="482">
        <v>0.13300000000000001</v>
      </c>
      <c r="M1194" s="482">
        <v>0.36199999999999999</v>
      </c>
    </row>
    <row r="1195" spans="1:13" x14ac:dyDescent="0.2">
      <c r="A1195" t="s">
        <v>1912</v>
      </c>
      <c r="B1195" t="s">
        <v>15</v>
      </c>
      <c r="C1195" t="s">
        <v>87</v>
      </c>
      <c r="D1195" t="s">
        <v>845</v>
      </c>
      <c r="E1195" t="s">
        <v>846</v>
      </c>
      <c r="F1195" t="s">
        <v>179</v>
      </c>
      <c r="G1195">
        <v>58</v>
      </c>
      <c r="H1195">
        <v>20</v>
      </c>
      <c r="I1195">
        <v>57</v>
      </c>
      <c r="J1195">
        <v>135</v>
      </c>
      <c r="K1195" s="482">
        <v>0.43</v>
      </c>
      <c r="L1195" s="482">
        <v>0.14799999999999999</v>
      </c>
      <c r="M1195" s="482">
        <v>0.42199999999999999</v>
      </c>
    </row>
    <row r="1196" spans="1:13" x14ac:dyDescent="0.2">
      <c r="A1196" t="s">
        <v>1913</v>
      </c>
      <c r="B1196" t="s">
        <v>15</v>
      </c>
      <c r="C1196" t="s">
        <v>87</v>
      </c>
      <c r="D1196" t="s">
        <v>842</v>
      </c>
      <c r="E1196" t="s">
        <v>843</v>
      </c>
      <c r="F1196" t="s">
        <v>179</v>
      </c>
      <c r="G1196">
        <v>112</v>
      </c>
      <c r="H1196">
        <v>28</v>
      </c>
      <c r="I1196">
        <v>57</v>
      </c>
      <c r="J1196">
        <v>197</v>
      </c>
      <c r="K1196" s="482">
        <v>0.56899999999999995</v>
      </c>
      <c r="L1196" s="482">
        <v>0.14199999999999999</v>
      </c>
      <c r="M1196" s="482">
        <v>0.28899999999999998</v>
      </c>
    </row>
    <row r="1197" spans="1:13" x14ac:dyDescent="0.2">
      <c r="A1197" t="s">
        <v>1914</v>
      </c>
      <c r="B1197" t="s">
        <v>15</v>
      </c>
      <c r="C1197" t="s">
        <v>87</v>
      </c>
      <c r="D1197" t="s">
        <v>839</v>
      </c>
      <c r="E1197" t="s">
        <v>840</v>
      </c>
      <c r="F1197" t="s">
        <v>179</v>
      </c>
      <c r="G1197">
        <v>61</v>
      </c>
      <c r="H1197">
        <v>19</v>
      </c>
      <c r="I1197">
        <v>24</v>
      </c>
      <c r="J1197">
        <v>104</v>
      </c>
      <c r="K1197" s="482">
        <v>0.58699999999999997</v>
      </c>
      <c r="L1197" s="482">
        <v>0.183</v>
      </c>
      <c r="M1197" s="482">
        <v>0.23100000000000001</v>
      </c>
    </row>
    <row r="1198" spans="1:13" x14ac:dyDescent="0.2">
      <c r="A1198" t="s">
        <v>1915</v>
      </c>
      <c r="B1198" t="s">
        <v>15</v>
      </c>
      <c r="C1198" t="s">
        <v>87</v>
      </c>
      <c r="D1198" t="s">
        <v>836</v>
      </c>
      <c r="E1198" t="s">
        <v>837</v>
      </c>
      <c r="F1198" t="s">
        <v>179</v>
      </c>
      <c r="G1198">
        <v>105</v>
      </c>
      <c r="H1198">
        <v>24</v>
      </c>
      <c r="I1198">
        <v>63</v>
      </c>
      <c r="J1198">
        <v>192</v>
      </c>
      <c r="K1198" s="482">
        <v>0.54700000000000004</v>
      </c>
      <c r="L1198" s="482">
        <v>0.125</v>
      </c>
      <c r="M1198" s="482">
        <v>0.32800000000000001</v>
      </c>
    </row>
    <row r="1199" spans="1:13" x14ac:dyDescent="0.2">
      <c r="A1199" t="s">
        <v>1916</v>
      </c>
      <c r="B1199" t="s">
        <v>15</v>
      </c>
      <c r="C1199" t="s">
        <v>87</v>
      </c>
      <c r="D1199" t="s">
        <v>833</v>
      </c>
      <c r="E1199" t="s">
        <v>834</v>
      </c>
      <c r="F1199" t="s">
        <v>179</v>
      </c>
      <c r="G1199">
        <v>159</v>
      </c>
      <c r="H1199">
        <v>31</v>
      </c>
      <c r="I1199">
        <v>91</v>
      </c>
      <c r="J1199">
        <v>281</v>
      </c>
      <c r="K1199" s="482">
        <v>0.56599999999999995</v>
      </c>
      <c r="L1199" s="482">
        <v>0.11</v>
      </c>
      <c r="M1199" s="482">
        <v>0.32400000000000001</v>
      </c>
    </row>
    <row r="1200" spans="1:13" x14ac:dyDescent="0.2">
      <c r="A1200" t="s">
        <v>1917</v>
      </c>
      <c r="B1200" t="s">
        <v>15</v>
      </c>
      <c r="C1200" t="s">
        <v>87</v>
      </c>
      <c r="D1200" t="s">
        <v>830</v>
      </c>
      <c r="E1200" t="s">
        <v>831</v>
      </c>
      <c r="F1200" t="s">
        <v>179</v>
      </c>
      <c r="G1200">
        <v>79</v>
      </c>
      <c r="H1200">
        <v>25</v>
      </c>
      <c r="I1200">
        <v>51</v>
      </c>
      <c r="J1200">
        <v>155</v>
      </c>
      <c r="K1200" s="482">
        <v>0.51</v>
      </c>
      <c r="L1200" s="482">
        <v>0.161</v>
      </c>
      <c r="M1200" s="482">
        <v>0.32900000000000001</v>
      </c>
    </row>
    <row r="1201" spans="1:13" x14ac:dyDescent="0.2">
      <c r="A1201" t="s">
        <v>1891</v>
      </c>
      <c r="B1201" t="s">
        <v>15</v>
      </c>
      <c r="C1201" t="s">
        <v>87</v>
      </c>
      <c r="D1201" t="s">
        <v>1016</v>
      </c>
      <c r="E1201" t="s">
        <v>1017</v>
      </c>
      <c r="F1201" t="s">
        <v>179</v>
      </c>
      <c r="G1201">
        <v>77</v>
      </c>
      <c r="H1201">
        <v>21</v>
      </c>
      <c r="I1201">
        <v>41</v>
      </c>
      <c r="J1201">
        <v>139</v>
      </c>
      <c r="K1201" s="482">
        <v>0.55400000000000005</v>
      </c>
      <c r="L1201" s="482">
        <v>0.151</v>
      </c>
      <c r="M1201" s="482">
        <v>0.29499999999999998</v>
      </c>
    </row>
    <row r="1202" spans="1:13" x14ac:dyDescent="0.2">
      <c r="A1202" t="s">
        <v>1877</v>
      </c>
      <c r="B1202" t="s">
        <v>15</v>
      </c>
      <c r="C1202" t="s">
        <v>87</v>
      </c>
      <c r="D1202" t="s">
        <v>941</v>
      </c>
      <c r="E1202" t="s">
        <v>942</v>
      </c>
      <c r="F1202" t="s">
        <v>179</v>
      </c>
      <c r="G1202">
        <v>162</v>
      </c>
      <c r="H1202">
        <v>37</v>
      </c>
      <c r="I1202">
        <v>83</v>
      </c>
      <c r="J1202">
        <v>282</v>
      </c>
      <c r="K1202" s="482">
        <v>0.57399999999999995</v>
      </c>
      <c r="L1202" s="482">
        <v>0.13100000000000001</v>
      </c>
      <c r="M1202" s="482">
        <v>0.29399999999999998</v>
      </c>
    </row>
    <row r="1203" spans="1:13" x14ac:dyDescent="0.2">
      <c r="A1203" t="s">
        <v>1878</v>
      </c>
      <c r="B1203" t="s">
        <v>15</v>
      </c>
      <c r="C1203" t="s">
        <v>87</v>
      </c>
      <c r="D1203" t="s">
        <v>938</v>
      </c>
      <c r="E1203" t="s">
        <v>939</v>
      </c>
      <c r="F1203" t="s">
        <v>179</v>
      </c>
      <c r="G1203">
        <v>55</v>
      </c>
      <c r="H1203">
        <v>11</v>
      </c>
      <c r="I1203">
        <v>29</v>
      </c>
      <c r="J1203">
        <v>95</v>
      </c>
      <c r="K1203" s="482">
        <v>0.57899999999999996</v>
      </c>
      <c r="L1203" s="482">
        <v>0.11600000000000001</v>
      </c>
      <c r="M1203" s="482">
        <v>0.30499999999999999</v>
      </c>
    </row>
    <row r="1204" spans="1:13" x14ac:dyDescent="0.2">
      <c r="A1204" t="s">
        <v>1890</v>
      </c>
      <c r="B1204" t="s">
        <v>15</v>
      </c>
      <c r="C1204" t="s">
        <v>87</v>
      </c>
      <c r="D1204" t="s">
        <v>905</v>
      </c>
      <c r="E1204" t="s">
        <v>906</v>
      </c>
      <c r="F1204" t="s">
        <v>179</v>
      </c>
      <c r="G1204">
        <v>106</v>
      </c>
      <c r="H1204">
        <v>20</v>
      </c>
      <c r="I1204">
        <v>54</v>
      </c>
      <c r="J1204">
        <v>180</v>
      </c>
      <c r="K1204" s="482">
        <v>0.58899999999999997</v>
      </c>
      <c r="L1204" s="482">
        <v>0.111</v>
      </c>
      <c r="M1204" s="482">
        <v>0.3</v>
      </c>
    </row>
    <row r="1205" spans="1:13" x14ac:dyDescent="0.2">
      <c r="A1205" t="s">
        <v>1893</v>
      </c>
      <c r="B1205" t="s">
        <v>15</v>
      </c>
      <c r="C1205" t="s">
        <v>87</v>
      </c>
      <c r="D1205" t="s">
        <v>902</v>
      </c>
      <c r="E1205" t="s">
        <v>903</v>
      </c>
      <c r="F1205" t="s">
        <v>179</v>
      </c>
      <c r="G1205">
        <v>208</v>
      </c>
      <c r="H1205">
        <v>56</v>
      </c>
      <c r="I1205">
        <v>139</v>
      </c>
      <c r="J1205">
        <v>403</v>
      </c>
      <c r="K1205" s="482">
        <v>0.51600000000000001</v>
      </c>
      <c r="L1205" s="482">
        <v>0.13900000000000001</v>
      </c>
      <c r="M1205" s="482">
        <v>0.34499999999999997</v>
      </c>
    </row>
    <row r="1206" spans="1:13" x14ac:dyDescent="0.2">
      <c r="A1206" t="s">
        <v>1894</v>
      </c>
      <c r="B1206" t="s">
        <v>15</v>
      </c>
      <c r="C1206" t="s">
        <v>87</v>
      </c>
      <c r="D1206" t="s">
        <v>899</v>
      </c>
      <c r="E1206" t="s">
        <v>900</v>
      </c>
      <c r="F1206" t="s">
        <v>179</v>
      </c>
      <c r="G1206">
        <v>42</v>
      </c>
      <c r="H1206">
        <v>8</v>
      </c>
      <c r="I1206">
        <v>20</v>
      </c>
      <c r="J1206">
        <v>70</v>
      </c>
      <c r="K1206" s="482">
        <v>0.6</v>
      </c>
      <c r="L1206" s="482">
        <v>0.114</v>
      </c>
      <c r="M1206" s="482">
        <v>0.28599999999999998</v>
      </c>
    </row>
    <row r="1207" spans="1:13" x14ac:dyDescent="0.2">
      <c r="A1207" t="s">
        <v>1895</v>
      </c>
      <c r="B1207" t="s">
        <v>15</v>
      </c>
      <c r="C1207" t="s">
        <v>87</v>
      </c>
      <c r="D1207" t="s">
        <v>896</v>
      </c>
      <c r="E1207" t="s">
        <v>897</v>
      </c>
      <c r="F1207" t="s">
        <v>179</v>
      </c>
      <c r="G1207">
        <v>49</v>
      </c>
      <c r="H1207">
        <v>6</v>
      </c>
      <c r="I1207">
        <v>28</v>
      </c>
      <c r="J1207">
        <v>83</v>
      </c>
      <c r="K1207" s="482">
        <v>0.59</v>
      </c>
      <c r="L1207" s="482">
        <v>7.1999999999999995E-2</v>
      </c>
      <c r="M1207" s="482">
        <v>0.33700000000000002</v>
      </c>
    </row>
    <row r="1208" spans="1:13" x14ac:dyDescent="0.2">
      <c r="A1208" t="s">
        <v>1896</v>
      </c>
      <c r="B1208" t="s">
        <v>15</v>
      </c>
      <c r="C1208" t="s">
        <v>87</v>
      </c>
      <c r="D1208" t="s">
        <v>893</v>
      </c>
      <c r="E1208" t="s">
        <v>894</v>
      </c>
      <c r="F1208" t="s">
        <v>179</v>
      </c>
      <c r="G1208">
        <v>60</v>
      </c>
      <c r="H1208">
        <v>23</v>
      </c>
      <c r="I1208">
        <v>35</v>
      </c>
      <c r="J1208">
        <v>118</v>
      </c>
      <c r="K1208" s="482">
        <v>0.50800000000000001</v>
      </c>
      <c r="L1208" s="482">
        <v>0.19500000000000001</v>
      </c>
      <c r="M1208" s="482">
        <v>0.29699999999999999</v>
      </c>
    </row>
    <row r="1209" spans="1:13" x14ac:dyDescent="0.2">
      <c r="A1209" t="s">
        <v>1897</v>
      </c>
      <c r="B1209" t="s">
        <v>15</v>
      </c>
      <c r="C1209" t="s">
        <v>87</v>
      </c>
      <c r="D1209" t="s">
        <v>890</v>
      </c>
      <c r="E1209" t="s">
        <v>891</v>
      </c>
      <c r="F1209" t="s">
        <v>179</v>
      </c>
      <c r="G1209">
        <v>59</v>
      </c>
      <c r="H1209">
        <v>7</v>
      </c>
      <c r="I1209">
        <v>26</v>
      </c>
      <c r="J1209">
        <v>92</v>
      </c>
      <c r="K1209" s="482">
        <v>0.64100000000000001</v>
      </c>
      <c r="L1209" s="482">
        <v>7.5999999999999998E-2</v>
      </c>
      <c r="M1209" s="482">
        <v>0.28299999999999997</v>
      </c>
    </row>
    <row r="1210" spans="1:13" x14ac:dyDescent="0.2">
      <c r="A1210" t="s">
        <v>1898</v>
      </c>
      <c r="B1210" t="s">
        <v>15</v>
      </c>
      <c r="C1210" t="s">
        <v>87</v>
      </c>
      <c r="D1210" t="s">
        <v>887</v>
      </c>
      <c r="E1210" t="s">
        <v>888</v>
      </c>
      <c r="F1210" t="s">
        <v>179</v>
      </c>
      <c r="G1210">
        <v>67</v>
      </c>
      <c r="H1210">
        <v>15</v>
      </c>
      <c r="I1210">
        <v>26</v>
      </c>
      <c r="J1210">
        <v>108</v>
      </c>
      <c r="K1210" s="482">
        <v>0.62</v>
      </c>
      <c r="L1210" s="482">
        <v>0.13900000000000001</v>
      </c>
      <c r="M1210" s="482">
        <v>0.24099999999999999</v>
      </c>
    </row>
    <row r="1211" spans="1:13" x14ac:dyDescent="0.2">
      <c r="A1211" t="s">
        <v>1899</v>
      </c>
      <c r="B1211" t="s">
        <v>15</v>
      </c>
      <c r="C1211" t="s">
        <v>87</v>
      </c>
      <c r="D1211" t="s">
        <v>884</v>
      </c>
      <c r="E1211" t="s">
        <v>885</v>
      </c>
      <c r="F1211" t="s">
        <v>179</v>
      </c>
      <c r="G1211">
        <v>146</v>
      </c>
      <c r="H1211">
        <v>38</v>
      </c>
      <c r="I1211">
        <v>93</v>
      </c>
      <c r="J1211">
        <v>277</v>
      </c>
      <c r="K1211" s="482">
        <v>0.52700000000000002</v>
      </c>
      <c r="L1211" s="482">
        <v>0.13700000000000001</v>
      </c>
      <c r="M1211" s="482">
        <v>0.33600000000000002</v>
      </c>
    </row>
    <row r="1212" spans="1:13" x14ac:dyDescent="0.2">
      <c r="A1212" t="s">
        <v>1900</v>
      </c>
      <c r="B1212" t="s">
        <v>15</v>
      </c>
      <c r="C1212" t="s">
        <v>87</v>
      </c>
      <c r="D1212" t="s">
        <v>881</v>
      </c>
      <c r="E1212" t="s">
        <v>882</v>
      </c>
      <c r="F1212" t="s">
        <v>179</v>
      </c>
      <c r="G1212">
        <v>59</v>
      </c>
      <c r="H1212">
        <v>15</v>
      </c>
      <c r="I1212">
        <v>32</v>
      </c>
      <c r="J1212">
        <v>106</v>
      </c>
      <c r="K1212" s="482">
        <v>0.55700000000000005</v>
      </c>
      <c r="L1212" s="482">
        <v>0.14199999999999999</v>
      </c>
      <c r="M1212" s="482">
        <v>0.30199999999999999</v>
      </c>
    </row>
    <row r="1213" spans="1:13" x14ac:dyDescent="0.2">
      <c r="A1213" t="s">
        <v>1901</v>
      </c>
      <c r="B1213" t="s">
        <v>15</v>
      </c>
      <c r="C1213" t="s">
        <v>87</v>
      </c>
      <c r="D1213" t="s">
        <v>878</v>
      </c>
      <c r="E1213" t="s">
        <v>879</v>
      </c>
      <c r="F1213" t="s">
        <v>179</v>
      </c>
      <c r="G1213">
        <v>57</v>
      </c>
      <c r="H1213">
        <v>14</v>
      </c>
      <c r="I1213">
        <v>40</v>
      </c>
      <c r="J1213">
        <v>111</v>
      </c>
      <c r="K1213" s="482">
        <v>0.51400000000000001</v>
      </c>
      <c r="L1213" s="482">
        <v>0.126</v>
      </c>
      <c r="M1213" s="482">
        <v>0.36</v>
      </c>
    </row>
    <row r="1214" spans="1:13" x14ac:dyDescent="0.2">
      <c r="A1214" t="s">
        <v>1902</v>
      </c>
      <c r="B1214" t="s">
        <v>15</v>
      </c>
      <c r="C1214" t="s">
        <v>87</v>
      </c>
      <c r="D1214" t="s">
        <v>875</v>
      </c>
      <c r="E1214" t="s">
        <v>876</v>
      </c>
      <c r="F1214" t="s">
        <v>179</v>
      </c>
      <c r="G1214">
        <v>189</v>
      </c>
      <c r="H1214">
        <v>46</v>
      </c>
      <c r="I1214">
        <v>107</v>
      </c>
      <c r="J1214">
        <v>342</v>
      </c>
      <c r="K1214" s="482">
        <v>0.55300000000000005</v>
      </c>
      <c r="L1214" s="482">
        <v>0.13500000000000001</v>
      </c>
      <c r="M1214" s="482">
        <v>0.313</v>
      </c>
    </row>
    <row r="1215" spans="1:13" x14ac:dyDescent="0.2">
      <c r="A1215" t="s">
        <v>1903</v>
      </c>
      <c r="B1215" t="s">
        <v>15</v>
      </c>
      <c r="C1215" t="s">
        <v>87</v>
      </c>
      <c r="D1215" t="s">
        <v>872</v>
      </c>
      <c r="E1215" t="s">
        <v>873</v>
      </c>
      <c r="F1215" t="s">
        <v>179</v>
      </c>
      <c r="G1215">
        <v>192</v>
      </c>
      <c r="H1215">
        <v>46</v>
      </c>
      <c r="I1215">
        <v>81</v>
      </c>
      <c r="J1215">
        <v>319</v>
      </c>
      <c r="K1215" s="482">
        <v>0.60199999999999998</v>
      </c>
      <c r="L1215" s="482">
        <v>0.14399999999999999</v>
      </c>
      <c r="M1215" s="482">
        <v>0.254</v>
      </c>
    </row>
    <row r="1216" spans="1:13" x14ac:dyDescent="0.2">
      <c r="A1216" t="s">
        <v>1904</v>
      </c>
      <c r="B1216" t="s">
        <v>15</v>
      </c>
      <c r="C1216" t="s">
        <v>87</v>
      </c>
      <c r="D1216" t="s">
        <v>869</v>
      </c>
      <c r="E1216" t="s">
        <v>870</v>
      </c>
      <c r="F1216" t="s">
        <v>179</v>
      </c>
      <c r="G1216">
        <v>112</v>
      </c>
      <c r="H1216">
        <v>15</v>
      </c>
      <c r="I1216">
        <v>49</v>
      </c>
      <c r="J1216">
        <v>176</v>
      </c>
      <c r="K1216" s="482">
        <v>0.63600000000000001</v>
      </c>
      <c r="L1216" s="482">
        <v>8.5000000000000006E-2</v>
      </c>
      <c r="M1216" s="482">
        <v>0.27800000000000002</v>
      </c>
    </row>
    <row r="1217" spans="1:13" x14ac:dyDescent="0.2">
      <c r="A1217" t="s">
        <v>1905</v>
      </c>
      <c r="B1217" t="s">
        <v>15</v>
      </c>
      <c r="C1217" t="s">
        <v>87</v>
      </c>
      <c r="D1217" t="s">
        <v>866</v>
      </c>
      <c r="E1217" t="s">
        <v>867</v>
      </c>
      <c r="F1217" t="s">
        <v>179</v>
      </c>
      <c r="G1217">
        <v>170</v>
      </c>
      <c r="H1217">
        <v>47</v>
      </c>
      <c r="I1217">
        <v>89</v>
      </c>
      <c r="J1217">
        <v>306</v>
      </c>
      <c r="K1217" s="482">
        <v>0.55600000000000005</v>
      </c>
      <c r="L1217" s="482">
        <v>0.154</v>
      </c>
      <c r="M1217" s="482">
        <v>0.29099999999999998</v>
      </c>
    </row>
    <row r="1218" spans="1:13" x14ac:dyDescent="0.2">
      <c r="A1218" t="s">
        <v>1906</v>
      </c>
      <c r="B1218" t="s">
        <v>15</v>
      </c>
      <c r="C1218" t="s">
        <v>87</v>
      </c>
      <c r="D1218" t="s">
        <v>863</v>
      </c>
      <c r="E1218" t="s">
        <v>864</v>
      </c>
      <c r="F1218" t="s">
        <v>179</v>
      </c>
      <c r="G1218">
        <v>54</v>
      </c>
      <c r="H1218">
        <v>10</v>
      </c>
      <c r="I1218">
        <v>14</v>
      </c>
      <c r="J1218">
        <v>78</v>
      </c>
      <c r="K1218" s="482">
        <v>0.69199999999999995</v>
      </c>
      <c r="L1218" s="482">
        <v>0.128</v>
      </c>
      <c r="M1218" s="482">
        <v>0.17899999999999999</v>
      </c>
    </row>
    <row r="1219" spans="1:13" x14ac:dyDescent="0.2">
      <c r="A1219" t="s">
        <v>1907</v>
      </c>
      <c r="B1219" t="s">
        <v>15</v>
      </c>
      <c r="C1219" t="s">
        <v>87</v>
      </c>
      <c r="D1219" t="s">
        <v>860</v>
      </c>
      <c r="E1219" t="s">
        <v>861</v>
      </c>
      <c r="F1219" t="s">
        <v>179</v>
      </c>
      <c r="G1219">
        <v>144</v>
      </c>
      <c r="H1219">
        <v>32</v>
      </c>
      <c r="I1219">
        <v>83</v>
      </c>
      <c r="J1219">
        <v>259</v>
      </c>
      <c r="K1219" s="482">
        <v>0.55600000000000005</v>
      </c>
      <c r="L1219" s="482">
        <v>0.124</v>
      </c>
      <c r="M1219" s="482">
        <v>0.32</v>
      </c>
    </row>
    <row r="1220" spans="1:13" x14ac:dyDescent="0.2">
      <c r="A1220" t="s">
        <v>1908</v>
      </c>
      <c r="B1220" t="s">
        <v>15</v>
      </c>
      <c r="C1220" t="s">
        <v>87</v>
      </c>
      <c r="D1220" t="s">
        <v>857</v>
      </c>
      <c r="E1220" t="s">
        <v>858</v>
      </c>
      <c r="F1220" t="s">
        <v>179</v>
      </c>
      <c r="G1220">
        <v>160</v>
      </c>
      <c r="H1220">
        <v>30</v>
      </c>
      <c r="I1220">
        <v>81</v>
      </c>
      <c r="J1220">
        <v>271</v>
      </c>
      <c r="K1220" s="482">
        <v>0.59</v>
      </c>
      <c r="L1220" s="482">
        <v>0.111</v>
      </c>
      <c r="M1220" s="482">
        <v>0.29899999999999999</v>
      </c>
    </row>
    <row r="1221" spans="1:13" x14ac:dyDescent="0.2">
      <c r="A1221" t="s">
        <v>1909</v>
      </c>
      <c r="B1221" t="s">
        <v>15</v>
      </c>
      <c r="C1221" t="s">
        <v>87</v>
      </c>
      <c r="D1221" t="s">
        <v>854</v>
      </c>
      <c r="E1221" t="s">
        <v>855</v>
      </c>
      <c r="F1221" t="s">
        <v>179</v>
      </c>
      <c r="G1221">
        <v>305</v>
      </c>
      <c r="H1221">
        <v>69</v>
      </c>
      <c r="I1221">
        <v>181</v>
      </c>
      <c r="J1221">
        <v>555</v>
      </c>
      <c r="K1221" s="482">
        <v>0.55000000000000004</v>
      </c>
      <c r="L1221" s="482">
        <v>0.124</v>
      </c>
      <c r="M1221" s="482">
        <v>0.32600000000000001</v>
      </c>
    </row>
    <row r="1222" spans="1:13" x14ac:dyDescent="0.2">
      <c r="A1222" t="s">
        <v>1938</v>
      </c>
      <c r="B1222" t="s">
        <v>15</v>
      </c>
      <c r="C1222" t="s">
        <v>87</v>
      </c>
      <c r="D1222" t="s">
        <v>767</v>
      </c>
      <c r="E1222" t="s">
        <v>768</v>
      </c>
      <c r="F1222" t="s">
        <v>179</v>
      </c>
      <c r="G1222">
        <v>124</v>
      </c>
      <c r="H1222">
        <v>42</v>
      </c>
      <c r="I1222">
        <v>89</v>
      </c>
      <c r="J1222">
        <v>255</v>
      </c>
      <c r="K1222" s="482">
        <v>0.48599999999999999</v>
      </c>
      <c r="L1222" s="482">
        <v>0.16500000000000001</v>
      </c>
      <c r="M1222" s="482">
        <v>0.34899999999999998</v>
      </c>
    </row>
    <row r="1223" spans="1:13" x14ac:dyDescent="0.2">
      <c r="A1223" t="s">
        <v>1939</v>
      </c>
      <c r="B1223" t="s">
        <v>15</v>
      </c>
      <c r="C1223" t="s">
        <v>87</v>
      </c>
      <c r="D1223" t="s">
        <v>764</v>
      </c>
      <c r="E1223" t="s">
        <v>765</v>
      </c>
      <c r="F1223" t="s">
        <v>179</v>
      </c>
      <c r="G1223">
        <v>72</v>
      </c>
      <c r="H1223">
        <v>19</v>
      </c>
      <c r="I1223">
        <v>46</v>
      </c>
      <c r="J1223">
        <v>137</v>
      </c>
      <c r="K1223" s="482">
        <v>0.52600000000000002</v>
      </c>
      <c r="L1223" s="482">
        <v>0.13900000000000001</v>
      </c>
      <c r="M1223" s="482">
        <v>0.33600000000000002</v>
      </c>
    </row>
    <row r="1224" spans="1:13" x14ac:dyDescent="0.2">
      <c r="A1224" t="s">
        <v>1940</v>
      </c>
      <c r="B1224" t="s">
        <v>15</v>
      </c>
      <c r="C1224" t="s">
        <v>87</v>
      </c>
      <c r="D1224" t="s">
        <v>761</v>
      </c>
      <c r="E1224" t="s">
        <v>762</v>
      </c>
      <c r="F1224" t="s">
        <v>179</v>
      </c>
      <c r="G1224">
        <v>47</v>
      </c>
      <c r="H1224">
        <v>8</v>
      </c>
      <c r="I1224">
        <v>15</v>
      </c>
      <c r="J1224">
        <v>70</v>
      </c>
      <c r="K1224" s="482">
        <v>0.67100000000000004</v>
      </c>
      <c r="L1224" s="482">
        <v>0.114</v>
      </c>
      <c r="M1224" s="482">
        <v>0.214</v>
      </c>
    </row>
    <row r="1225" spans="1:13" x14ac:dyDescent="0.2">
      <c r="A1225" t="s">
        <v>1941</v>
      </c>
      <c r="B1225" t="s">
        <v>15</v>
      </c>
      <c r="C1225" t="s">
        <v>87</v>
      </c>
      <c r="D1225" t="s">
        <v>758</v>
      </c>
      <c r="E1225" t="s">
        <v>759</v>
      </c>
      <c r="F1225" t="s">
        <v>179</v>
      </c>
      <c r="G1225">
        <v>330</v>
      </c>
      <c r="H1225">
        <v>92</v>
      </c>
      <c r="I1225">
        <v>154</v>
      </c>
      <c r="J1225">
        <v>576</v>
      </c>
      <c r="K1225" s="482">
        <v>0.57299999999999995</v>
      </c>
      <c r="L1225" s="482">
        <v>0.16</v>
      </c>
      <c r="M1225" s="482">
        <v>0.26700000000000002</v>
      </c>
    </row>
    <row r="1226" spans="1:13" x14ac:dyDescent="0.2">
      <c r="A1226" t="s">
        <v>1942</v>
      </c>
      <c r="B1226" t="s">
        <v>15</v>
      </c>
      <c r="C1226" t="s">
        <v>87</v>
      </c>
      <c r="D1226" t="s">
        <v>755</v>
      </c>
      <c r="E1226" t="s">
        <v>756</v>
      </c>
      <c r="F1226" t="s">
        <v>179</v>
      </c>
      <c r="G1226">
        <v>54</v>
      </c>
      <c r="H1226">
        <v>17</v>
      </c>
      <c r="I1226">
        <v>28</v>
      </c>
      <c r="J1226">
        <v>99</v>
      </c>
      <c r="K1226" s="482">
        <v>0.54500000000000004</v>
      </c>
      <c r="L1226" s="482">
        <v>0.17199999999999999</v>
      </c>
      <c r="M1226" s="482">
        <v>0.28299999999999997</v>
      </c>
    </row>
    <row r="1227" spans="1:13" x14ac:dyDescent="0.2">
      <c r="A1227" t="s">
        <v>1943</v>
      </c>
      <c r="B1227" t="s">
        <v>15</v>
      </c>
      <c r="C1227" t="s">
        <v>87</v>
      </c>
      <c r="D1227" t="s">
        <v>752</v>
      </c>
      <c r="E1227" t="s">
        <v>753</v>
      </c>
      <c r="F1227" t="s">
        <v>179</v>
      </c>
      <c r="G1227">
        <v>32</v>
      </c>
      <c r="H1227">
        <v>12</v>
      </c>
      <c r="I1227">
        <v>19</v>
      </c>
      <c r="J1227">
        <v>63</v>
      </c>
      <c r="K1227" s="482">
        <v>0.50800000000000001</v>
      </c>
      <c r="L1227" s="482">
        <v>0.19</v>
      </c>
      <c r="M1227" s="482">
        <v>0.30199999999999999</v>
      </c>
    </row>
    <row r="1228" spans="1:13" x14ac:dyDescent="0.2">
      <c r="A1228" t="s">
        <v>2059</v>
      </c>
      <c r="B1228" t="s">
        <v>15</v>
      </c>
      <c r="C1228" t="s">
        <v>87</v>
      </c>
      <c r="D1228" t="s">
        <v>408</v>
      </c>
      <c r="E1228" t="s">
        <v>409</v>
      </c>
      <c r="F1228" t="s">
        <v>179</v>
      </c>
      <c r="G1228">
        <v>107</v>
      </c>
      <c r="H1228">
        <v>21</v>
      </c>
      <c r="I1228">
        <v>52</v>
      </c>
      <c r="J1228">
        <v>180</v>
      </c>
      <c r="K1228" s="482">
        <v>0.59399999999999997</v>
      </c>
      <c r="L1228" s="482">
        <v>0.11700000000000001</v>
      </c>
      <c r="M1228" s="482">
        <v>0.28899999999999998</v>
      </c>
    </row>
    <row r="1229" spans="1:13" x14ac:dyDescent="0.2">
      <c r="A1229" t="s">
        <v>2047</v>
      </c>
      <c r="B1229" t="s">
        <v>15</v>
      </c>
      <c r="C1229" t="s">
        <v>87</v>
      </c>
      <c r="D1229" t="s">
        <v>560</v>
      </c>
      <c r="E1229" t="s">
        <v>561</v>
      </c>
      <c r="F1229" t="s">
        <v>179</v>
      </c>
      <c r="G1229">
        <v>104</v>
      </c>
      <c r="H1229">
        <v>33</v>
      </c>
      <c r="I1229">
        <v>73</v>
      </c>
      <c r="J1229">
        <v>210</v>
      </c>
      <c r="K1229" s="482">
        <v>0.495</v>
      </c>
      <c r="L1229" s="482">
        <v>0.157</v>
      </c>
      <c r="M1229" s="482">
        <v>0.34799999999999998</v>
      </c>
    </row>
    <row r="1230" spans="1:13" x14ac:dyDescent="0.2">
      <c r="A1230" t="s">
        <v>2009</v>
      </c>
      <c r="B1230" t="s">
        <v>15</v>
      </c>
      <c r="C1230" t="s">
        <v>87</v>
      </c>
      <c r="D1230" t="s">
        <v>557</v>
      </c>
      <c r="E1230" t="s">
        <v>558</v>
      </c>
      <c r="F1230" t="s">
        <v>179</v>
      </c>
      <c r="G1230">
        <v>28</v>
      </c>
      <c r="H1230">
        <v>6</v>
      </c>
      <c r="I1230">
        <v>22</v>
      </c>
      <c r="J1230">
        <v>56</v>
      </c>
      <c r="K1230" s="482">
        <v>0.5</v>
      </c>
      <c r="L1230" s="482">
        <v>0.107</v>
      </c>
      <c r="M1230" s="482">
        <v>0.39300000000000002</v>
      </c>
    </row>
    <row r="1231" spans="1:13" x14ac:dyDescent="0.2">
      <c r="A1231" t="s">
        <v>2010</v>
      </c>
      <c r="B1231" t="s">
        <v>15</v>
      </c>
      <c r="C1231" t="s">
        <v>87</v>
      </c>
      <c r="D1231" t="s">
        <v>554</v>
      </c>
      <c r="E1231" t="s">
        <v>555</v>
      </c>
      <c r="F1231" t="s">
        <v>179</v>
      </c>
      <c r="G1231">
        <v>94</v>
      </c>
      <c r="H1231">
        <v>16</v>
      </c>
      <c r="I1231">
        <v>46</v>
      </c>
      <c r="J1231">
        <v>156</v>
      </c>
      <c r="K1231" s="482">
        <v>0.60299999999999998</v>
      </c>
      <c r="L1231" s="482">
        <v>0.10299999999999999</v>
      </c>
      <c r="M1231" s="482">
        <v>0.29499999999999998</v>
      </c>
    </row>
    <row r="1232" spans="1:13" x14ac:dyDescent="0.2">
      <c r="A1232" t="s">
        <v>1999</v>
      </c>
      <c r="B1232" t="s">
        <v>15</v>
      </c>
      <c r="C1232" t="s">
        <v>87</v>
      </c>
      <c r="D1232" t="s">
        <v>586</v>
      </c>
      <c r="E1232" t="s">
        <v>587</v>
      </c>
      <c r="F1232" t="s">
        <v>179</v>
      </c>
      <c r="G1232">
        <v>55</v>
      </c>
      <c r="H1232">
        <v>13</v>
      </c>
      <c r="I1232">
        <v>42</v>
      </c>
      <c r="J1232">
        <v>110</v>
      </c>
      <c r="K1232" s="482">
        <v>0.5</v>
      </c>
      <c r="L1232" s="482">
        <v>0.11799999999999999</v>
      </c>
      <c r="M1232" s="482">
        <v>0.38200000000000001</v>
      </c>
    </row>
    <row r="1233" spans="1:13" x14ac:dyDescent="0.2">
      <c r="A1233" t="s">
        <v>2006</v>
      </c>
      <c r="B1233" t="s">
        <v>15</v>
      </c>
      <c r="C1233" t="s">
        <v>87</v>
      </c>
      <c r="D1233" t="s">
        <v>566</v>
      </c>
      <c r="E1233" t="s">
        <v>567</v>
      </c>
      <c r="F1233" t="s">
        <v>179</v>
      </c>
      <c r="G1233">
        <v>69</v>
      </c>
      <c r="H1233">
        <v>14</v>
      </c>
      <c r="I1233">
        <v>33</v>
      </c>
      <c r="J1233">
        <v>116</v>
      </c>
      <c r="K1233" s="482">
        <v>0.59499999999999997</v>
      </c>
      <c r="L1233" s="482">
        <v>0.121</v>
      </c>
      <c r="M1233" s="482">
        <v>0.28399999999999997</v>
      </c>
    </row>
    <row r="1234" spans="1:13" x14ac:dyDescent="0.2">
      <c r="A1234" t="s">
        <v>2000</v>
      </c>
      <c r="B1234" t="s">
        <v>15</v>
      </c>
      <c r="C1234" t="s">
        <v>87</v>
      </c>
      <c r="D1234" t="s">
        <v>583</v>
      </c>
      <c r="E1234" t="s">
        <v>584</v>
      </c>
      <c r="F1234" t="s">
        <v>179</v>
      </c>
      <c r="G1234">
        <v>94</v>
      </c>
      <c r="H1234">
        <v>17</v>
      </c>
      <c r="I1234">
        <v>47</v>
      </c>
      <c r="J1234">
        <v>158</v>
      </c>
      <c r="K1234" s="482">
        <v>0.59499999999999997</v>
      </c>
      <c r="L1234" s="482">
        <v>0.108</v>
      </c>
      <c r="M1234" s="482">
        <v>0.29699999999999999</v>
      </c>
    </row>
    <row r="1235" spans="1:13" x14ac:dyDescent="0.2">
      <c r="A1235" t="s">
        <v>2001</v>
      </c>
      <c r="B1235" t="s">
        <v>15</v>
      </c>
      <c r="C1235" t="s">
        <v>87</v>
      </c>
      <c r="D1235" t="s">
        <v>580</v>
      </c>
      <c r="E1235" t="s">
        <v>581</v>
      </c>
      <c r="F1235" t="s">
        <v>179</v>
      </c>
      <c r="G1235">
        <v>167</v>
      </c>
      <c r="H1235">
        <v>33</v>
      </c>
      <c r="I1235">
        <v>75</v>
      </c>
      <c r="J1235">
        <v>275</v>
      </c>
      <c r="K1235" s="482">
        <v>0.60699999999999998</v>
      </c>
      <c r="L1235" s="482">
        <v>0.12</v>
      </c>
      <c r="M1235" s="482">
        <v>0.27300000000000002</v>
      </c>
    </row>
    <row r="1236" spans="1:13" x14ac:dyDescent="0.2">
      <c r="A1236" t="s">
        <v>2002</v>
      </c>
      <c r="B1236" t="s">
        <v>15</v>
      </c>
      <c r="C1236" t="s">
        <v>87</v>
      </c>
      <c r="D1236" t="s">
        <v>577</v>
      </c>
      <c r="E1236" t="s">
        <v>578</v>
      </c>
      <c r="F1236" t="s">
        <v>179</v>
      </c>
      <c r="G1236">
        <v>39</v>
      </c>
      <c r="H1236">
        <v>4</v>
      </c>
      <c r="I1236">
        <v>29</v>
      </c>
      <c r="J1236">
        <v>72</v>
      </c>
      <c r="K1236" s="482">
        <v>0.54200000000000004</v>
      </c>
      <c r="L1236" s="482">
        <v>5.6000000000000001E-2</v>
      </c>
      <c r="M1236" s="482">
        <v>0.40300000000000002</v>
      </c>
    </row>
    <row r="1237" spans="1:13" x14ac:dyDescent="0.2">
      <c r="A1237" t="s">
        <v>2003</v>
      </c>
      <c r="B1237" t="s">
        <v>15</v>
      </c>
      <c r="C1237" t="s">
        <v>87</v>
      </c>
      <c r="D1237" t="s">
        <v>574</v>
      </c>
      <c r="E1237" t="s">
        <v>575</v>
      </c>
      <c r="F1237" t="s">
        <v>179</v>
      </c>
      <c r="G1237">
        <v>16</v>
      </c>
      <c r="H1237">
        <v>6</v>
      </c>
      <c r="I1237">
        <v>21</v>
      </c>
      <c r="J1237">
        <v>43</v>
      </c>
      <c r="K1237" s="482">
        <v>0.372</v>
      </c>
      <c r="L1237" s="482">
        <v>0.14000000000000001</v>
      </c>
      <c r="M1237" s="482">
        <v>0.48799999999999999</v>
      </c>
    </row>
    <row r="1238" spans="1:13" x14ac:dyDescent="0.2">
      <c r="A1238" t="s">
        <v>2004</v>
      </c>
      <c r="B1238" t="s">
        <v>15</v>
      </c>
      <c r="C1238" t="s">
        <v>87</v>
      </c>
      <c r="D1238" t="s">
        <v>571</v>
      </c>
      <c r="E1238" t="s">
        <v>572</v>
      </c>
      <c r="F1238" t="s">
        <v>179</v>
      </c>
      <c r="G1238">
        <v>71</v>
      </c>
      <c r="H1238">
        <v>14</v>
      </c>
      <c r="I1238">
        <v>38</v>
      </c>
      <c r="J1238">
        <v>123</v>
      </c>
      <c r="K1238" s="482">
        <v>0.57699999999999996</v>
      </c>
      <c r="L1238" s="482">
        <v>0.114</v>
      </c>
      <c r="M1238" s="482">
        <v>0.309</v>
      </c>
    </row>
    <row r="1239" spans="1:13" x14ac:dyDescent="0.2">
      <c r="A1239" t="s">
        <v>2005</v>
      </c>
      <c r="B1239" t="s">
        <v>15</v>
      </c>
      <c r="C1239" t="s">
        <v>87</v>
      </c>
      <c r="D1239" t="s">
        <v>569</v>
      </c>
      <c r="E1239" t="s">
        <v>339</v>
      </c>
      <c r="F1239" t="s">
        <v>179</v>
      </c>
      <c r="G1239">
        <v>20</v>
      </c>
      <c r="H1239">
        <v>12</v>
      </c>
      <c r="I1239">
        <v>28</v>
      </c>
      <c r="J1239">
        <v>60</v>
      </c>
      <c r="K1239" s="482">
        <v>0.33300000000000002</v>
      </c>
      <c r="L1239" s="482">
        <v>0.2</v>
      </c>
      <c r="M1239" s="482">
        <v>0.46700000000000003</v>
      </c>
    </row>
    <row r="1240" spans="1:13" x14ac:dyDescent="0.2">
      <c r="A1240" t="s">
        <v>2062</v>
      </c>
      <c r="B1240" t="s">
        <v>15</v>
      </c>
      <c r="C1240" t="s">
        <v>87</v>
      </c>
      <c r="D1240" t="s">
        <v>396</v>
      </c>
      <c r="E1240" t="s">
        <v>397</v>
      </c>
      <c r="F1240" t="s">
        <v>179</v>
      </c>
      <c r="G1240">
        <v>92</v>
      </c>
      <c r="H1240">
        <v>33</v>
      </c>
      <c r="I1240">
        <v>52</v>
      </c>
      <c r="J1240">
        <v>177</v>
      </c>
      <c r="K1240" s="482">
        <v>0.52</v>
      </c>
      <c r="L1240" s="482">
        <v>0.186</v>
      </c>
      <c r="M1240" s="482">
        <v>0.29399999999999998</v>
      </c>
    </row>
    <row r="1241" spans="1:13" x14ac:dyDescent="0.2">
      <c r="A1241" t="s">
        <v>2011</v>
      </c>
      <c r="B1241" t="s">
        <v>15</v>
      </c>
      <c r="C1241" t="s">
        <v>87</v>
      </c>
      <c r="D1241" t="s">
        <v>552</v>
      </c>
      <c r="E1241" t="s">
        <v>337</v>
      </c>
      <c r="F1241" t="s">
        <v>179</v>
      </c>
      <c r="G1241">
        <v>70</v>
      </c>
      <c r="H1241">
        <v>17</v>
      </c>
      <c r="I1241">
        <v>42</v>
      </c>
      <c r="J1241">
        <v>129</v>
      </c>
      <c r="K1241" s="482">
        <v>0.54300000000000004</v>
      </c>
      <c r="L1241" s="482">
        <v>0.13200000000000001</v>
      </c>
      <c r="M1241" s="482">
        <v>0.32600000000000001</v>
      </c>
    </row>
    <row r="1242" spans="1:13" x14ac:dyDescent="0.2">
      <c r="A1242" t="s">
        <v>2012</v>
      </c>
      <c r="B1242" t="s">
        <v>15</v>
      </c>
      <c r="C1242" t="s">
        <v>87</v>
      </c>
      <c r="D1242" t="s">
        <v>549</v>
      </c>
      <c r="E1242" t="s">
        <v>550</v>
      </c>
      <c r="F1242" t="s">
        <v>179</v>
      </c>
      <c r="G1242">
        <v>82</v>
      </c>
      <c r="H1242">
        <v>15</v>
      </c>
      <c r="I1242">
        <v>47</v>
      </c>
      <c r="J1242">
        <v>144</v>
      </c>
      <c r="K1242" s="482">
        <v>0.56899999999999995</v>
      </c>
      <c r="L1242" s="482">
        <v>0.104</v>
      </c>
      <c r="M1242" s="482">
        <v>0.32600000000000001</v>
      </c>
    </row>
    <row r="1243" spans="1:13" x14ac:dyDescent="0.2">
      <c r="A1243" t="s">
        <v>2013</v>
      </c>
      <c r="B1243" t="s">
        <v>15</v>
      </c>
      <c r="C1243" t="s">
        <v>87</v>
      </c>
      <c r="D1243" t="s">
        <v>546</v>
      </c>
      <c r="E1243" t="s">
        <v>547</v>
      </c>
      <c r="F1243" t="s">
        <v>179</v>
      </c>
      <c r="G1243">
        <v>13</v>
      </c>
      <c r="H1243">
        <v>3</v>
      </c>
      <c r="I1243">
        <v>11</v>
      </c>
      <c r="J1243">
        <v>27</v>
      </c>
      <c r="K1243" s="482">
        <v>0.48099999999999998</v>
      </c>
      <c r="L1243" s="482">
        <v>0.111</v>
      </c>
      <c r="M1243" s="482">
        <v>0.40699999999999997</v>
      </c>
    </row>
    <row r="1244" spans="1:13" x14ac:dyDescent="0.2">
      <c r="A1244" t="s">
        <v>2014</v>
      </c>
      <c r="B1244" t="s">
        <v>15</v>
      </c>
      <c r="C1244" t="s">
        <v>87</v>
      </c>
      <c r="D1244" t="s">
        <v>543</v>
      </c>
      <c r="E1244" t="s">
        <v>544</v>
      </c>
      <c r="F1244" t="s">
        <v>179</v>
      </c>
      <c r="G1244">
        <v>52</v>
      </c>
      <c r="H1244">
        <v>15</v>
      </c>
      <c r="I1244">
        <v>38</v>
      </c>
      <c r="J1244">
        <v>105</v>
      </c>
      <c r="K1244" s="482">
        <v>0.495</v>
      </c>
      <c r="L1244" s="482">
        <v>0.14299999999999999</v>
      </c>
      <c r="M1244" s="482">
        <v>0.36199999999999999</v>
      </c>
    </row>
    <row r="1245" spans="1:13" x14ac:dyDescent="0.2">
      <c r="A1245" t="s">
        <v>2015</v>
      </c>
      <c r="B1245" t="s">
        <v>15</v>
      </c>
      <c r="C1245" t="s">
        <v>87</v>
      </c>
      <c r="D1245" t="s">
        <v>540</v>
      </c>
      <c r="E1245" t="s">
        <v>541</v>
      </c>
      <c r="F1245" t="s">
        <v>179</v>
      </c>
      <c r="G1245">
        <v>24</v>
      </c>
      <c r="H1245">
        <v>4</v>
      </c>
      <c r="I1245">
        <v>9</v>
      </c>
      <c r="J1245">
        <v>37</v>
      </c>
      <c r="K1245" s="482">
        <v>0.64900000000000002</v>
      </c>
      <c r="L1245" s="482">
        <v>0.108</v>
      </c>
      <c r="M1245" s="482">
        <v>0.24299999999999999</v>
      </c>
    </row>
    <row r="1246" spans="1:13" x14ac:dyDescent="0.2">
      <c r="A1246" t="s">
        <v>2016</v>
      </c>
      <c r="B1246" t="s">
        <v>15</v>
      </c>
      <c r="C1246" t="s">
        <v>87</v>
      </c>
      <c r="D1246" t="s">
        <v>537</v>
      </c>
      <c r="E1246" t="s">
        <v>538</v>
      </c>
      <c r="F1246" t="s">
        <v>179</v>
      </c>
      <c r="G1246">
        <v>347</v>
      </c>
      <c r="H1246">
        <v>86</v>
      </c>
      <c r="I1246">
        <v>167</v>
      </c>
      <c r="J1246">
        <v>600</v>
      </c>
      <c r="K1246" s="482">
        <v>0.57799999999999996</v>
      </c>
      <c r="L1246" s="482">
        <v>0.14299999999999999</v>
      </c>
      <c r="M1246" s="482">
        <v>0.27800000000000002</v>
      </c>
    </row>
    <row r="1247" spans="1:13" x14ac:dyDescent="0.2">
      <c r="A1247" t="s">
        <v>2017</v>
      </c>
      <c r="B1247" t="s">
        <v>15</v>
      </c>
      <c r="C1247" t="s">
        <v>87</v>
      </c>
      <c r="D1247" t="s">
        <v>534</v>
      </c>
      <c r="E1247" t="s">
        <v>535</v>
      </c>
      <c r="F1247" t="s">
        <v>179</v>
      </c>
      <c r="G1247">
        <v>12</v>
      </c>
      <c r="H1247">
        <v>2</v>
      </c>
      <c r="I1247">
        <v>5</v>
      </c>
      <c r="J1247">
        <v>19</v>
      </c>
      <c r="K1247" s="482">
        <v>0.63200000000000001</v>
      </c>
      <c r="L1247" s="482">
        <v>0.105</v>
      </c>
      <c r="M1247" s="482">
        <v>0.26300000000000001</v>
      </c>
    </row>
    <row r="1248" spans="1:13" x14ac:dyDescent="0.2">
      <c r="A1248" t="s">
        <v>2018</v>
      </c>
      <c r="B1248" t="s">
        <v>15</v>
      </c>
      <c r="C1248" t="s">
        <v>87</v>
      </c>
      <c r="D1248" t="s">
        <v>531</v>
      </c>
      <c r="E1248" t="s">
        <v>532</v>
      </c>
      <c r="F1248" t="s">
        <v>179</v>
      </c>
      <c r="G1248">
        <v>44</v>
      </c>
      <c r="H1248">
        <v>12</v>
      </c>
      <c r="I1248">
        <v>38</v>
      </c>
      <c r="J1248">
        <v>94</v>
      </c>
      <c r="K1248" s="482">
        <v>0.46800000000000003</v>
      </c>
      <c r="L1248" s="482">
        <v>0.128</v>
      </c>
      <c r="M1248" s="482">
        <v>0.40400000000000003</v>
      </c>
    </row>
    <row r="1249" spans="1:13" x14ac:dyDescent="0.2">
      <c r="A1249" t="s">
        <v>2019</v>
      </c>
      <c r="B1249" t="s">
        <v>15</v>
      </c>
      <c r="C1249" t="s">
        <v>87</v>
      </c>
      <c r="D1249" t="s">
        <v>528</v>
      </c>
      <c r="E1249" t="s">
        <v>529</v>
      </c>
      <c r="F1249" t="s">
        <v>179</v>
      </c>
      <c r="G1249">
        <v>117</v>
      </c>
      <c r="H1249">
        <v>38</v>
      </c>
      <c r="I1249">
        <v>65</v>
      </c>
      <c r="J1249">
        <v>220</v>
      </c>
      <c r="K1249" s="482">
        <v>0.53200000000000003</v>
      </c>
      <c r="L1249" s="482">
        <v>0.17299999999999999</v>
      </c>
      <c r="M1249" s="482">
        <v>0.29499999999999998</v>
      </c>
    </row>
    <row r="1250" spans="1:13" x14ac:dyDescent="0.2">
      <c r="A1250" t="s">
        <v>2020</v>
      </c>
      <c r="B1250" t="s">
        <v>15</v>
      </c>
      <c r="C1250" t="s">
        <v>87</v>
      </c>
      <c r="D1250" t="s">
        <v>525</v>
      </c>
      <c r="E1250" t="s">
        <v>526</v>
      </c>
      <c r="F1250" t="s">
        <v>179</v>
      </c>
      <c r="G1250">
        <v>113</v>
      </c>
      <c r="H1250">
        <v>26</v>
      </c>
      <c r="I1250">
        <v>68</v>
      </c>
      <c r="J1250">
        <v>207</v>
      </c>
      <c r="K1250" s="482">
        <v>0.54600000000000004</v>
      </c>
      <c r="L1250" s="482">
        <v>0.126</v>
      </c>
      <c r="M1250" s="482">
        <v>0.32900000000000001</v>
      </c>
    </row>
    <row r="1251" spans="1:13" x14ac:dyDescent="0.2">
      <c r="A1251" t="s">
        <v>2021</v>
      </c>
      <c r="B1251" t="s">
        <v>15</v>
      </c>
      <c r="C1251" t="s">
        <v>87</v>
      </c>
      <c r="D1251" t="s">
        <v>522</v>
      </c>
      <c r="E1251" t="s">
        <v>523</v>
      </c>
      <c r="F1251" t="s">
        <v>179</v>
      </c>
      <c r="G1251">
        <v>28</v>
      </c>
      <c r="H1251">
        <v>9</v>
      </c>
      <c r="I1251">
        <v>16</v>
      </c>
      <c r="J1251">
        <v>53</v>
      </c>
      <c r="K1251" s="482">
        <v>0.52800000000000002</v>
      </c>
      <c r="L1251" s="482">
        <v>0.17</v>
      </c>
      <c r="M1251" s="482">
        <v>0.30199999999999999</v>
      </c>
    </row>
    <row r="1252" spans="1:13" x14ac:dyDescent="0.2">
      <c r="A1252" t="s">
        <v>2022</v>
      </c>
      <c r="B1252" t="s">
        <v>15</v>
      </c>
      <c r="C1252" t="s">
        <v>87</v>
      </c>
      <c r="D1252" t="s">
        <v>519</v>
      </c>
      <c r="E1252" t="s">
        <v>520</v>
      </c>
      <c r="F1252" t="s">
        <v>179</v>
      </c>
      <c r="G1252">
        <v>92</v>
      </c>
      <c r="H1252">
        <v>20</v>
      </c>
      <c r="I1252">
        <v>40</v>
      </c>
      <c r="J1252">
        <v>152</v>
      </c>
      <c r="K1252" s="482">
        <v>0.60499999999999998</v>
      </c>
      <c r="L1252" s="482">
        <v>0.13200000000000001</v>
      </c>
      <c r="M1252" s="482">
        <v>0.26300000000000001</v>
      </c>
    </row>
    <row r="1253" spans="1:13" x14ac:dyDescent="0.2">
      <c r="A1253" t="s">
        <v>2023</v>
      </c>
      <c r="B1253" t="s">
        <v>15</v>
      </c>
      <c r="C1253" t="s">
        <v>87</v>
      </c>
      <c r="D1253" t="s">
        <v>516</v>
      </c>
      <c r="E1253" t="s">
        <v>517</v>
      </c>
      <c r="F1253" t="s">
        <v>179</v>
      </c>
      <c r="G1253">
        <v>40</v>
      </c>
      <c r="H1253">
        <v>21</v>
      </c>
      <c r="I1253">
        <v>37</v>
      </c>
      <c r="J1253">
        <v>98</v>
      </c>
      <c r="K1253" s="482">
        <v>0.40799999999999997</v>
      </c>
      <c r="L1253" s="482">
        <v>0.214</v>
      </c>
      <c r="M1253" s="482">
        <v>0.378</v>
      </c>
    </row>
    <row r="1254" spans="1:13" x14ac:dyDescent="0.2">
      <c r="A1254" t="s">
        <v>2024</v>
      </c>
      <c r="B1254" t="s">
        <v>15</v>
      </c>
      <c r="C1254" t="s">
        <v>87</v>
      </c>
      <c r="D1254" t="s">
        <v>513</v>
      </c>
      <c r="E1254" t="s">
        <v>514</v>
      </c>
      <c r="F1254" t="s">
        <v>179</v>
      </c>
      <c r="G1254">
        <v>125</v>
      </c>
      <c r="H1254">
        <v>28</v>
      </c>
      <c r="I1254">
        <v>84</v>
      </c>
      <c r="J1254">
        <v>237</v>
      </c>
      <c r="K1254" s="482">
        <v>0.52700000000000002</v>
      </c>
      <c r="L1254" s="482">
        <v>0.11799999999999999</v>
      </c>
      <c r="M1254" s="482">
        <v>0.35399999999999998</v>
      </c>
    </row>
    <row r="1255" spans="1:13" x14ac:dyDescent="0.2">
      <c r="A1255" t="s">
        <v>2025</v>
      </c>
      <c r="B1255" t="s">
        <v>15</v>
      </c>
      <c r="C1255" t="s">
        <v>87</v>
      </c>
      <c r="D1255" t="s">
        <v>510</v>
      </c>
      <c r="E1255" t="s">
        <v>511</v>
      </c>
      <c r="F1255" t="s">
        <v>179</v>
      </c>
      <c r="G1255">
        <v>33</v>
      </c>
      <c r="H1255">
        <v>14</v>
      </c>
      <c r="I1255">
        <v>28</v>
      </c>
      <c r="J1255">
        <v>75</v>
      </c>
      <c r="K1255" s="482">
        <v>0.44</v>
      </c>
      <c r="L1255" s="482">
        <v>0.187</v>
      </c>
      <c r="M1255" s="482">
        <v>0.373</v>
      </c>
    </row>
    <row r="1256" spans="1:13" x14ac:dyDescent="0.2">
      <c r="A1256" t="s">
        <v>2026</v>
      </c>
      <c r="B1256" t="s">
        <v>15</v>
      </c>
      <c r="C1256" t="s">
        <v>87</v>
      </c>
      <c r="D1256" t="s">
        <v>507</v>
      </c>
      <c r="E1256" t="s">
        <v>508</v>
      </c>
      <c r="F1256" t="s">
        <v>179</v>
      </c>
      <c r="G1256">
        <v>181</v>
      </c>
      <c r="H1256">
        <v>32</v>
      </c>
      <c r="I1256">
        <v>104</v>
      </c>
      <c r="J1256">
        <v>317</v>
      </c>
      <c r="K1256" s="482">
        <v>0.57099999999999995</v>
      </c>
      <c r="L1256" s="482">
        <v>0.10100000000000001</v>
      </c>
      <c r="M1256" s="482">
        <v>0.32800000000000001</v>
      </c>
    </row>
    <row r="1257" spans="1:13" x14ac:dyDescent="0.2">
      <c r="A1257" t="s">
        <v>2027</v>
      </c>
      <c r="B1257" t="s">
        <v>15</v>
      </c>
      <c r="C1257" t="s">
        <v>87</v>
      </c>
      <c r="D1257" t="s">
        <v>504</v>
      </c>
      <c r="E1257" t="s">
        <v>505</v>
      </c>
      <c r="F1257" t="s">
        <v>179</v>
      </c>
      <c r="G1257">
        <v>88</v>
      </c>
      <c r="H1257">
        <v>12</v>
      </c>
      <c r="I1257">
        <v>48</v>
      </c>
      <c r="J1257">
        <v>148</v>
      </c>
      <c r="K1257" s="482">
        <v>0.59499999999999997</v>
      </c>
      <c r="L1257" s="482">
        <v>8.1000000000000003E-2</v>
      </c>
      <c r="M1257" s="482">
        <v>0.32400000000000001</v>
      </c>
    </row>
    <row r="1258" spans="1:13" x14ac:dyDescent="0.2">
      <c r="A1258" t="s">
        <v>2028</v>
      </c>
      <c r="B1258" t="s">
        <v>15</v>
      </c>
      <c r="C1258" t="s">
        <v>87</v>
      </c>
      <c r="D1258" t="s">
        <v>501</v>
      </c>
      <c r="E1258" t="s">
        <v>502</v>
      </c>
      <c r="F1258" t="s">
        <v>179</v>
      </c>
      <c r="G1258">
        <v>44</v>
      </c>
      <c r="H1258">
        <v>15</v>
      </c>
      <c r="I1258">
        <v>36</v>
      </c>
      <c r="J1258">
        <v>95</v>
      </c>
      <c r="K1258" s="482">
        <v>0.46300000000000002</v>
      </c>
      <c r="L1258" s="482">
        <v>0.158</v>
      </c>
      <c r="M1258" s="482">
        <v>0.379</v>
      </c>
    </row>
    <row r="1259" spans="1:13" x14ac:dyDescent="0.2">
      <c r="A1259" t="s">
        <v>2029</v>
      </c>
      <c r="B1259" t="s">
        <v>15</v>
      </c>
      <c r="C1259" t="s">
        <v>87</v>
      </c>
      <c r="D1259" t="s">
        <v>498</v>
      </c>
      <c r="E1259" t="s">
        <v>499</v>
      </c>
      <c r="F1259" t="s">
        <v>179</v>
      </c>
      <c r="G1259">
        <v>116</v>
      </c>
      <c r="H1259">
        <v>27</v>
      </c>
      <c r="I1259">
        <v>72</v>
      </c>
      <c r="J1259">
        <v>215</v>
      </c>
      <c r="K1259" s="482">
        <v>0.54</v>
      </c>
      <c r="L1259" s="482">
        <v>0.126</v>
      </c>
      <c r="M1259" s="482">
        <v>0.33500000000000002</v>
      </c>
    </row>
    <row r="1260" spans="1:13" x14ac:dyDescent="0.2">
      <c r="A1260" t="s">
        <v>2030</v>
      </c>
      <c r="B1260" t="s">
        <v>15</v>
      </c>
      <c r="C1260" t="s">
        <v>87</v>
      </c>
      <c r="D1260" t="s">
        <v>495</v>
      </c>
      <c r="E1260" t="s">
        <v>496</v>
      </c>
      <c r="F1260" t="s">
        <v>179</v>
      </c>
      <c r="G1260">
        <v>168</v>
      </c>
      <c r="H1260">
        <v>42</v>
      </c>
      <c r="I1260">
        <v>94</v>
      </c>
      <c r="J1260">
        <v>304</v>
      </c>
      <c r="K1260" s="482">
        <v>0.55300000000000005</v>
      </c>
      <c r="L1260" s="482">
        <v>0.13800000000000001</v>
      </c>
      <c r="M1260" s="482">
        <v>0.309</v>
      </c>
    </row>
    <row r="1261" spans="1:13" x14ac:dyDescent="0.2">
      <c r="A1261" t="s">
        <v>2008</v>
      </c>
      <c r="B1261" t="s">
        <v>15</v>
      </c>
      <c r="C1261" t="s">
        <v>87</v>
      </c>
      <c r="D1261" t="s">
        <v>399</v>
      </c>
      <c r="E1261" t="s">
        <v>400</v>
      </c>
      <c r="F1261" t="s">
        <v>179</v>
      </c>
      <c r="G1261">
        <v>101</v>
      </c>
      <c r="H1261">
        <v>31</v>
      </c>
      <c r="I1261">
        <v>77</v>
      </c>
      <c r="J1261">
        <v>209</v>
      </c>
      <c r="K1261" s="482">
        <v>0.48299999999999998</v>
      </c>
      <c r="L1261" s="482">
        <v>0.14799999999999999</v>
      </c>
      <c r="M1261" s="482">
        <v>0.36799999999999999</v>
      </c>
    </row>
    <row r="1262" spans="1:13" x14ac:dyDescent="0.2">
      <c r="A1262" t="s">
        <v>2040</v>
      </c>
      <c r="B1262" t="s">
        <v>15</v>
      </c>
      <c r="C1262" t="s">
        <v>87</v>
      </c>
      <c r="D1262" t="s">
        <v>462</v>
      </c>
      <c r="E1262" t="s">
        <v>463</v>
      </c>
      <c r="F1262" t="s">
        <v>179</v>
      </c>
      <c r="G1262">
        <v>96</v>
      </c>
      <c r="H1262">
        <v>19</v>
      </c>
      <c r="I1262">
        <v>46</v>
      </c>
      <c r="J1262">
        <v>161</v>
      </c>
      <c r="K1262" s="482">
        <v>0.59599999999999997</v>
      </c>
      <c r="L1262" s="482">
        <v>0.11799999999999999</v>
      </c>
      <c r="M1262" s="482">
        <v>0.28599999999999998</v>
      </c>
    </row>
    <row r="1263" spans="1:13" x14ac:dyDescent="0.2">
      <c r="A1263" t="s">
        <v>2041</v>
      </c>
      <c r="B1263" t="s">
        <v>15</v>
      </c>
      <c r="C1263" t="s">
        <v>87</v>
      </c>
      <c r="D1263" t="s">
        <v>459</v>
      </c>
      <c r="E1263" t="s">
        <v>460</v>
      </c>
      <c r="F1263" t="s">
        <v>179</v>
      </c>
      <c r="G1263">
        <v>67</v>
      </c>
      <c r="H1263">
        <v>23</v>
      </c>
      <c r="I1263">
        <v>47</v>
      </c>
      <c r="J1263">
        <v>137</v>
      </c>
      <c r="K1263" s="482">
        <v>0.48899999999999999</v>
      </c>
      <c r="L1263" s="482">
        <v>0.16800000000000001</v>
      </c>
      <c r="M1263" s="482">
        <v>0.34300000000000003</v>
      </c>
    </row>
    <row r="1264" spans="1:13" x14ac:dyDescent="0.2">
      <c r="A1264" t="s">
        <v>2042</v>
      </c>
      <c r="B1264" t="s">
        <v>15</v>
      </c>
      <c r="C1264" t="s">
        <v>87</v>
      </c>
      <c r="D1264" t="s">
        <v>456</v>
      </c>
      <c r="E1264" t="s">
        <v>457</v>
      </c>
      <c r="F1264" t="s">
        <v>179</v>
      </c>
      <c r="G1264">
        <v>11</v>
      </c>
      <c r="H1264">
        <v>0</v>
      </c>
      <c r="I1264">
        <v>6</v>
      </c>
      <c r="J1264">
        <v>17</v>
      </c>
      <c r="K1264" s="482">
        <v>0.64700000000000002</v>
      </c>
      <c r="L1264" s="482">
        <v>0</v>
      </c>
      <c r="M1264" s="482">
        <v>0.35299999999999998</v>
      </c>
    </row>
    <row r="1265" spans="1:13" x14ac:dyDescent="0.2">
      <c r="A1265" t="s">
        <v>2043</v>
      </c>
      <c r="B1265" t="s">
        <v>15</v>
      </c>
      <c r="C1265" t="s">
        <v>87</v>
      </c>
      <c r="D1265" t="s">
        <v>453</v>
      </c>
      <c r="E1265" t="s">
        <v>454</v>
      </c>
      <c r="F1265" t="s">
        <v>179</v>
      </c>
      <c r="G1265">
        <v>180</v>
      </c>
      <c r="H1265">
        <v>40</v>
      </c>
      <c r="I1265">
        <v>72</v>
      </c>
      <c r="J1265">
        <v>292</v>
      </c>
      <c r="K1265" s="482">
        <v>0.61599999999999999</v>
      </c>
      <c r="L1265" s="482">
        <v>0.13700000000000001</v>
      </c>
      <c r="M1265" s="482">
        <v>0.247</v>
      </c>
    </row>
    <row r="1266" spans="1:13" x14ac:dyDescent="0.2">
      <c r="A1266" t="s">
        <v>2044</v>
      </c>
      <c r="B1266" t="s">
        <v>15</v>
      </c>
      <c r="C1266" t="s">
        <v>87</v>
      </c>
      <c r="D1266" t="s">
        <v>450</v>
      </c>
      <c r="E1266" t="s">
        <v>451</v>
      </c>
      <c r="F1266" t="s">
        <v>179</v>
      </c>
      <c r="G1266">
        <v>30</v>
      </c>
      <c r="H1266">
        <v>3</v>
      </c>
      <c r="I1266">
        <v>34</v>
      </c>
      <c r="J1266">
        <v>67</v>
      </c>
      <c r="K1266" s="482">
        <v>0.44800000000000001</v>
      </c>
      <c r="L1266" s="482">
        <v>4.4999999999999998E-2</v>
      </c>
      <c r="M1266" s="482">
        <v>0.50700000000000001</v>
      </c>
    </row>
    <row r="1267" spans="1:13" x14ac:dyDescent="0.2">
      <c r="A1267" t="s">
        <v>2045</v>
      </c>
      <c r="B1267" t="s">
        <v>15</v>
      </c>
      <c r="C1267" t="s">
        <v>87</v>
      </c>
      <c r="D1267" t="s">
        <v>447</v>
      </c>
      <c r="E1267" t="s">
        <v>448</v>
      </c>
      <c r="F1267" t="s">
        <v>179</v>
      </c>
      <c r="G1267">
        <v>160</v>
      </c>
      <c r="H1267">
        <v>44</v>
      </c>
      <c r="I1267">
        <v>74</v>
      </c>
      <c r="J1267">
        <v>278</v>
      </c>
      <c r="K1267" s="482">
        <v>0.57599999999999996</v>
      </c>
      <c r="L1267" s="482">
        <v>0.158</v>
      </c>
      <c r="M1267" s="482">
        <v>0.26600000000000001</v>
      </c>
    </row>
    <row r="1268" spans="1:13" x14ac:dyDescent="0.2">
      <c r="A1268" t="s">
        <v>2046</v>
      </c>
      <c r="B1268" t="s">
        <v>15</v>
      </c>
      <c r="C1268" t="s">
        <v>87</v>
      </c>
      <c r="D1268" t="s">
        <v>444</v>
      </c>
      <c r="E1268" t="s">
        <v>445</v>
      </c>
      <c r="F1268" t="s">
        <v>179</v>
      </c>
      <c r="G1268">
        <v>220</v>
      </c>
      <c r="H1268">
        <v>53</v>
      </c>
      <c r="I1268">
        <v>121</v>
      </c>
      <c r="J1268">
        <v>394</v>
      </c>
      <c r="K1268" s="482">
        <v>0.55800000000000005</v>
      </c>
      <c r="L1268" s="482">
        <v>0.13500000000000001</v>
      </c>
      <c r="M1268" s="482">
        <v>0.307</v>
      </c>
    </row>
    <row r="1269" spans="1:13" x14ac:dyDescent="0.2">
      <c r="A1269" t="s">
        <v>2060</v>
      </c>
      <c r="B1269" t="s">
        <v>15</v>
      </c>
      <c r="C1269" t="s">
        <v>87</v>
      </c>
      <c r="D1269" t="s">
        <v>405</v>
      </c>
      <c r="E1269" t="s">
        <v>406</v>
      </c>
      <c r="F1269" t="s">
        <v>179</v>
      </c>
      <c r="G1269">
        <v>112</v>
      </c>
      <c r="H1269">
        <v>25</v>
      </c>
      <c r="I1269">
        <v>56</v>
      </c>
      <c r="J1269">
        <v>193</v>
      </c>
      <c r="K1269" s="482">
        <v>0.57999999999999996</v>
      </c>
      <c r="L1269" s="482">
        <v>0.13</v>
      </c>
      <c r="M1269" s="482">
        <v>0.28999999999999998</v>
      </c>
    </row>
    <row r="1270" spans="1:13" x14ac:dyDescent="0.2">
      <c r="A1270" t="s">
        <v>2061</v>
      </c>
      <c r="B1270" t="s">
        <v>15</v>
      </c>
      <c r="C1270" t="s">
        <v>87</v>
      </c>
      <c r="D1270" t="s">
        <v>402</v>
      </c>
      <c r="E1270" t="s">
        <v>403</v>
      </c>
      <c r="F1270" t="s">
        <v>179</v>
      </c>
      <c r="G1270">
        <v>124</v>
      </c>
      <c r="H1270">
        <v>29</v>
      </c>
      <c r="I1270">
        <v>81</v>
      </c>
      <c r="J1270">
        <v>234</v>
      </c>
      <c r="K1270" s="482">
        <v>0.53</v>
      </c>
      <c r="L1270" s="482">
        <v>0.124</v>
      </c>
      <c r="M1270" s="482">
        <v>0.34599999999999997</v>
      </c>
    </row>
    <row r="1271" spans="1:13" x14ac:dyDescent="0.2">
      <c r="A1271" t="s">
        <v>2049</v>
      </c>
      <c r="B1271" t="s">
        <v>15</v>
      </c>
      <c r="C1271" t="s">
        <v>87</v>
      </c>
      <c r="D1271" t="s">
        <v>438</v>
      </c>
      <c r="E1271" t="s">
        <v>439</v>
      </c>
      <c r="F1271" t="s">
        <v>179</v>
      </c>
      <c r="G1271">
        <v>39</v>
      </c>
      <c r="H1271">
        <v>11</v>
      </c>
      <c r="I1271">
        <v>25</v>
      </c>
      <c r="J1271">
        <v>75</v>
      </c>
      <c r="K1271" s="482">
        <v>0.52</v>
      </c>
      <c r="L1271" s="482">
        <v>0.14699999999999999</v>
      </c>
      <c r="M1271" s="482">
        <v>0.33300000000000002</v>
      </c>
    </row>
    <row r="1272" spans="1:13" x14ac:dyDescent="0.2">
      <c r="A1272" t="s">
        <v>2048</v>
      </c>
      <c r="B1272" t="s">
        <v>15</v>
      </c>
      <c r="C1272" t="s">
        <v>87</v>
      </c>
      <c r="D1272" t="s">
        <v>441</v>
      </c>
      <c r="E1272" t="s">
        <v>442</v>
      </c>
      <c r="F1272" t="s">
        <v>179</v>
      </c>
      <c r="G1272">
        <v>100</v>
      </c>
      <c r="H1272">
        <v>26</v>
      </c>
      <c r="I1272">
        <v>46</v>
      </c>
      <c r="J1272">
        <v>172</v>
      </c>
      <c r="K1272" s="482">
        <v>0.58099999999999996</v>
      </c>
      <c r="L1272" s="482">
        <v>0.151</v>
      </c>
      <c r="M1272" s="482">
        <v>0.26700000000000002</v>
      </c>
    </row>
    <row r="1273" spans="1:13" x14ac:dyDescent="0.2">
      <c r="A1273" t="s">
        <v>2033</v>
      </c>
      <c r="B1273" t="s">
        <v>15</v>
      </c>
      <c r="C1273" t="s">
        <v>87</v>
      </c>
      <c r="D1273" t="s">
        <v>483</v>
      </c>
      <c r="E1273" t="s">
        <v>484</v>
      </c>
      <c r="F1273" t="s">
        <v>179</v>
      </c>
      <c r="G1273">
        <v>27</v>
      </c>
      <c r="H1273">
        <v>7</v>
      </c>
      <c r="I1273">
        <v>19</v>
      </c>
      <c r="J1273">
        <v>53</v>
      </c>
      <c r="K1273" s="482">
        <v>0.50900000000000001</v>
      </c>
      <c r="L1273" s="482">
        <v>0.13200000000000001</v>
      </c>
      <c r="M1273" s="482">
        <v>0.35799999999999998</v>
      </c>
    </row>
    <row r="1274" spans="1:13" x14ac:dyDescent="0.2">
      <c r="A1274" t="s">
        <v>2036</v>
      </c>
      <c r="B1274" t="s">
        <v>15</v>
      </c>
      <c r="C1274" t="s">
        <v>87</v>
      </c>
      <c r="D1274" t="s">
        <v>474</v>
      </c>
      <c r="E1274" t="s">
        <v>475</v>
      </c>
      <c r="F1274" t="s">
        <v>179</v>
      </c>
      <c r="G1274">
        <v>125</v>
      </c>
      <c r="H1274">
        <v>34</v>
      </c>
      <c r="I1274">
        <v>91</v>
      </c>
      <c r="J1274">
        <v>250</v>
      </c>
      <c r="K1274" s="482">
        <v>0.5</v>
      </c>
      <c r="L1274" s="482">
        <v>0.13600000000000001</v>
      </c>
      <c r="M1274" s="482">
        <v>0.36399999999999999</v>
      </c>
    </row>
    <row r="1275" spans="1:13" x14ac:dyDescent="0.2">
      <c r="A1275" t="s">
        <v>2037</v>
      </c>
      <c r="B1275" t="s">
        <v>15</v>
      </c>
      <c r="C1275" t="s">
        <v>87</v>
      </c>
      <c r="D1275" t="s">
        <v>471</v>
      </c>
      <c r="E1275" t="s">
        <v>472</v>
      </c>
      <c r="F1275" t="s">
        <v>179</v>
      </c>
      <c r="G1275">
        <v>32</v>
      </c>
      <c r="H1275">
        <v>4</v>
      </c>
      <c r="I1275">
        <v>23</v>
      </c>
      <c r="J1275">
        <v>59</v>
      </c>
      <c r="K1275" s="482">
        <v>0.54200000000000004</v>
      </c>
      <c r="L1275" s="482">
        <v>6.8000000000000005E-2</v>
      </c>
      <c r="M1275" s="482">
        <v>0.39</v>
      </c>
    </row>
    <row r="1276" spans="1:13" x14ac:dyDescent="0.2">
      <c r="A1276" t="s">
        <v>2038</v>
      </c>
      <c r="B1276" t="s">
        <v>15</v>
      </c>
      <c r="C1276" t="s">
        <v>87</v>
      </c>
      <c r="D1276" t="s">
        <v>468</v>
      </c>
      <c r="E1276" t="s">
        <v>469</v>
      </c>
      <c r="F1276" t="s">
        <v>179</v>
      </c>
      <c r="G1276">
        <v>270</v>
      </c>
      <c r="H1276">
        <v>49</v>
      </c>
      <c r="I1276">
        <v>130</v>
      </c>
      <c r="J1276">
        <v>449</v>
      </c>
      <c r="K1276" s="482">
        <v>0.60099999999999998</v>
      </c>
      <c r="L1276" s="482">
        <v>0.109</v>
      </c>
      <c r="M1276" s="482">
        <v>0.28999999999999998</v>
      </c>
    </row>
    <row r="1277" spans="1:13" x14ac:dyDescent="0.2">
      <c r="A1277" t="s">
        <v>2039</v>
      </c>
      <c r="B1277" t="s">
        <v>15</v>
      </c>
      <c r="C1277" t="s">
        <v>87</v>
      </c>
      <c r="D1277" t="s">
        <v>465</v>
      </c>
      <c r="E1277" t="s">
        <v>466</v>
      </c>
      <c r="F1277" t="s">
        <v>179</v>
      </c>
      <c r="G1277">
        <v>83</v>
      </c>
      <c r="H1277">
        <v>21</v>
      </c>
      <c r="I1277">
        <v>59</v>
      </c>
      <c r="J1277">
        <v>163</v>
      </c>
      <c r="K1277" s="482">
        <v>0.50900000000000001</v>
      </c>
      <c r="L1277" s="482">
        <v>0.129</v>
      </c>
      <c r="M1277" s="482">
        <v>0.36199999999999999</v>
      </c>
    </row>
    <row r="1278" spans="1:13" x14ac:dyDescent="0.2">
      <c r="A1278" t="s">
        <v>2034</v>
      </c>
      <c r="B1278" t="s">
        <v>15</v>
      </c>
      <c r="C1278" t="s">
        <v>87</v>
      </c>
      <c r="D1278" t="s">
        <v>480</v>
      </c>
      <c r="E1278" t="s">
        <v>481</v>
      </c>
      <c r="F1278" t="s">
        <v>179</v>
      </c>
      <c r="G1278">
        <v>109</v>
      </c>
      <c r="H1278">
        <v>28</v>
      </c>
      <c r="I1278">
        <v>70</v>
      </c>
      <c r="J1278">
        <v>207</v>
      </c>
      <c r="K1278" s="482">
        <v>0.52700000000000002</v>
      </c>
      <c r="L1278" s="482">
        <v>0.13500000000000001</v>
      </c>
      <c r="M1278" s="482">
        <v>0.33800000000000002</v>
      </c>
    </row>
    <row r="1279" spans="1:13" x14ac:dyDescent="0.2">
      <c r="A1279" t="s">
        <v>2035</v>
      </c>
      <c r="B1279" t="s">
        <v>15</v>
      </c>
      <c r="C1279" t="s">
        <v>87</v>
      </c>
      <c r="D1279" t="s">
        <v>477</v>
      </c>
      <c r="E1279" t="s">
        <v>478</v>
      </c>
      <c r="F1279" t="s">
        <v>179</v>
      </c>
      <c r="G1279">
        <v>44</v>
      </c>
      <c r="H1279">
        <v>14</v>
      </c>
      <c r="I1279">
        <v>34</v>
      </c>
      <c r="J1279">
        <v>92</v>
      </c>
      <c r="K1279" s="482">
        <v>0.47799999999999998</v>
      </c>
      <c r="L1279" s="482">
        <v>0.152</v>
      </c>
      <c r="M1279" s="482">
        <v>0.37</v>
      </c>
    </row>
    <row r="1280" spans="1:13" x14ac:dyDescent="0.2">
      <c r="A1280" t="s">
        <v>2090</v>
      </c>
      <c r="B1280" t="s">
        <v>15</v>
      </c>
      <c r="C1280" t="s">
        <v>87</v>
      </c>
      <c r="D1280" t="s">
        <v>477</v>
      </c>
      <c r="E1280" t="s">
        <v>478</v>
      </c>
      <c r="F1280" t="s">
        <v>52</v>
      </c>
      <c r="G1280">
        <v>80</v>
      </c>
      <c r="H1280">
        <v>10</v>
      </c>
      <c r="I1280">
        <v>9</v>
      </c>
      <c r="J1280">
        <v>99</v>
      </c>
      <c r="K1280" s="482">
        <v>0.80800000000000005</v>
      </c>
      <c r="L1280" s="482">
        <v>0.10100000000000001</v>
      </c>
      <c r="M1280" s="482">
        <v>9.0999999999999998E-2</v>
      </c>
    </row>
    <row r="1281" spans="1:13" x14ac:dyDescent="0.2">
      <c r="A1281" t="s">
        <v>2091</v>
      </c>
      <c r="B1281" t="s">
        <v>15</v>
      </c>
      <c r="C1281" t="s">
        <v>87</v>
      </c>
      <c r="D1281" t="s">
        <v>480</v>
      </c>
      <c r="E1281" t="s">
        <v>481</v>
      </c>
      <c r="F1281" t="s">
        <v>52</v>
      </c>
      <c r="G1281">
        <v>170</v>
      </c>
      <c r="H1281">
        <v>21</v>
      </c>
      <c r="I1281">
        <v>23</v>
      </c>
      <c r="J1281">
        <v>214</v>
      </c>
      <c r="K1281" s="482">
        <v>0.79400000000000004</v>
      </c>
      <c r="L1281" s="482">
        <v>9.8000000000000004E-2</v>
      </c>
      <c r="M1281" s="482">
        <v>0.107</v>
      </c>
    </row>
    <row r="1282" spans="1:13" x14ac:dyDescent="0.2">
      <c r="A1282" t="s">
        <v>2086</v>
      </c>
      <c r="B1282" t="s">
        <v>15</v>
      </c>
      <c r="C1282" t="s">
        <v>87</v>
      </c>
      <c r="D1282" t="s">
        <v>465</v>
      </c>
      <c r="E1282" t="s">
        <v>466</v>
      </c>
      <c r="F1282" t="s">
        <v>52</v>
      </c>
      <c r="G1282">
        <v>129</v>
      </c>
      <c r="H1282">
        <v>22</v>
      </c>
      <c r="I1282">
        <v>20</v>
      </c>
      <c r="J1282">
        <v>171</v>
      </c>
      <c r="K1282" s="482">
        <v>0.754</v>
      </c>
      <c r="L1282" s="482">
        <v>0.129</v>
      </c>
      <c r="M1282" s="482">
        <v>0.11700000000000001</v>
      </c>
    </row>
    <row r="1283" spans="1:13" x14ac:dyDescent="0.2">
      <c r="A1283" t="s">
        <v>2087</v>
      </c>
      <c r="B1283" t="s">
        <v>15</v>
      </c>
      <c r="C1283" t="s">
        <v>87</v>
      </c>
      <c r="D1283" t="s">
        <v>468</v>
      </c>
      <c r="E1283" t="s">
        <v>469</v>
      </c>
      <c r="F1283" t="s">
        <v>52</v>
      </c>
      <c r="G1283">
        <v>363</v>
      </c>
      <c r="H1283">
        <v>56</v>
      </c>
      <c r="I1283">
        <v>40</v>
      </c>
      <c r="J1283">
        <v>459</v>
      </c>
      <c r="K1283" s="482">
        <v>0.79100000000000004</v>
      </c>
      <c r="L1283" s="482">
        <v>0.122</v>
      </c>
      <c r="M1283" s="482">
        <v>8.6999999999999994E-2</v>
      </c>
    </row>
    <row r="1284" spans="1:13" x14ac:dyDescent="0.2">
      <c r="A1284" t="s">
        <v>2088</v>
      </c>
      <c r="B1284" t="s">
        <v>15</v>
      </c>
      <c r="C1284" t="s">
        <v>87</v>
      </c>
      <c r="D1284" t="s">
        <v>471</v>
      </c>
      <c r="E1284" t="s">
        <v>472</v>
      </c>
      <c r="F1284" t="s">
        <v>52</v>
      </c>
      <c r="G1284">
        <v>48</v>
      </c>
      <c r="H1284">
        <v>5</v>
      </c>
      <c r="I1284">
        <v>4</v>
      </c>
      <c r="J1284">
        <v>57</v>
      </c>
      <c r="K1284" s="482">
        <v>0.84199999999999997</v>
      </c>
      <c r="L1284" s="482">
        <v>8.7999999999999995E-2</v>
      </c>
      <c r="M1284" s="482">
        <v>7.0000000000000007E-2</v>
      </c>
    </row>
    <row r="1285" spans="1:13" x14ac:dyDescent="0.2">
      <c r="A1285" t="s">
        <v>2089</v>
      </c>
      <c r="B1285" t="s">
        <v>15</v>
      </c>
      <c r="C1285" t="s">
        <v>87</v>
      </c>
      <c r="D1285" t="s">
        <v>474</v>
      </c>
      <c r="E1285" t="s">
        <v>475</v>
      </c>
      <c r="F1285" t="s">
        <v>52</v>
      </c>
      <c r="G1285">
        <v>217</v>
      </c>
      <c r="H1285">
        <v>25</v>
      </c>
      <c r="I1285">
        <v>27</v>
      </c>
      <c r="J1285">
        <v>269</v>
      </c>
      <c r="K1285" s="482">
        <v>0.80700000000000005</v>
      </c>
      <c r="L1285" s="482">
        <v>9.2999999999999999E-2</v>
      </c>
      <c r="M1285" s="482">
        <v>0.1</v>
      </c>
    </row>
    <row r="1286" spans="1:13" x14ac:dyDescent="0.2">
      <c r="A1286" t="s">
        <v>2092</v>
      </c>
      <c r="B1286" t="s">
        <v>15</v>
      </c>
      <c r="C1286" t="s">
        <v>87</v>
      </c>
      <c r="D1286" t="s">
        <v>483</v>
      </c>
      <c r="E1286" t="s">
        <v>484</v>
      </c>
      <c r="F1286" t="s">
        <v>52</v>
      </c>
      <c r="G1286">
        <v>39</v>
      </c>
      <c r="H1286">
        <v>9</v>
      </c>
      <c r="I1286">
        <v>5</v>
      </c>
      <c r="J1286">
        <v>53</v>
      </c>
      <c r="K1286" s="482">
        <v>0.73599999999999999</v>
      </c>
      <c r="L1286" s="482">
        <v>0.17</v>
      </c>
      <c r="M1286" s="482">
        <v>9.4E-2</v>
      </c>
    </row>
    <row r="1287" spans="1:13" x14ac:dyDescent="0.2">
      <c r="A1287" t="s">
        <v>2077</v>
      </c>
      <c r="B1287" t="s">
        <v>15</v>
      </c>
      <c r="C1287" t="s">
        <v>87</v>
      </c>
      <c r="D1287" t="s">
        <v>441</v>
      </c>
      <c r="E1287" t="s">
        <v>442</v>
      </c>
      <c r="F1287" t="s">
        <v>52</v>
      </c>
      <c r="G1287">
        <v>138</v>
      </c>
      <c r="H1287">
        <v>23</v>
      </c>
      <c r="I1287">
        <v>15</v>
      </c>
      <c r="J1287">
        <v>176</v>
      </c>
      <c r="K1287" s="482">
        <v>0.78400000000000003</v>
      </c>
      <c r="L1287" s="482">
        <v>0.13100000000000001</v>
      </c>
      <c r="M1287" s="482">
        <v>8.5000000000000006E-2</v>
      </c>
    </row>
    <row r="1288" spans="1:13" x14ac:dyDescent="0.2">
      <c r="A1288" t="s">
        <v>2076</v>
      </c>
      <c r="B1288" t="s">
        <v>15</v>
      </c>
      <c r="C1288" t="s">
        <v>87</v>
      </c>
      <c r="D1288" t="s">
        <v>438</v>
      </c>
      <c r="E1288" t="s">
        <v>439</v>
      </c>
      <c r="F1288" t="s">
        <v>52</v>
      </c>
      <c r="G1288">
        <v>71</v>
      </c>
      <c r="H1288">
        <v>6</v>
      </c>
      <c r="I1288">
        <v>4</v>
      </c>
      <c r="J1288">
        <v>81</v>
      </c>
      <c r="K1288" s="482">
        <v>0.877</v>
      </c>
      <c r="L1288" s="482">
        <v>7.3999999999999996E-2</v>
      </c>
      <c r="M1288" s="482">
        <v>4.9000000000000002E-2</v>
      </c>
    </row>
    <row r="1289" spans="1:13" x14ac:dyDescent="0.2">
      <c r="A1289" t="s">
        <v>2064</v>
      </c>
      <c r="B1289" t="s">
        <v>15</v>
      </c>
      <c r="C1289" t="s">
        <v>87</v>
      </c>
      <c r="D1289" t="s">
        <v>402</v>
      </c>
      <c r="E1289" t="s">
        <v>403</v>
      </c>
      <c r="F1289" t="s">
        <v>52</v>
      </c>
      <c r="G1289">
        <v>199</v>
      </c>
      <c r="H1289">
        <v>25</v>
      </c>
      <c r="I1289">
        <v>25</v>
      </c>
      <c r="J1289">
        <v>249</v>
      </c>
      <c r="K1289" s="482">
        <v>0.79900000000000004</v>
      </c>
      <c r="L1289" s="482">
        <v>0.1</v>
      </c>
      <c r="M1289" s="482">
        <v>0.1</v>
      </c>
    </row>
    <row r="1290" spans="1:13" x14ac:dyDescent="0.2">
      <c r="A1290" t="s">
        <v>2065</v>
      </c>
      <c r="B1290" t="s">
        <v>15</v>
      </c>
      <c r="C1290" t="s">
        <v>87</v>
      </c>
      <c r="D1290" t="s">
        <v>405</v>
      </c>
      <c r="E1290" t="s">
        <v>406</v>
      </c>
      <c r="F1290" t="s">
        <v>52</v>
      </c>
      <c r="G1290">
        <v>157</v>
      </c>
      <c r="H1290">
        <v>10</v>
      </c>
      <c r="I1290">
        <v>23</v>
      </c>
      <c r="J1290">
        <v>190</v>
      </c>
      <c r="K1290" s="482">
        <v>0.82599999999999996</v>
      </c>
      <c r="L1290" s="482">
        <v>5.2999999999999999E-2</v>
      </c>
      <c r="M1290" s="482">
        <v>0.121</v>
      </c>
    </row>
    <row r="1291" spans="1:13" x14ac:dyDescent="0.2">
      <c r="A1291" t="s">
        <v>2079</v>
      </c>
      <c r="B1291" t="s">
        <v>15</v>
      </c>
      <c r="C1291" t="s">
        <v>87</v>
      </c>
      <c r="D1291" t="s">
        <v>444</v>
      </c>
      <c r="E1291" t="s">
        <v>445</v>
      </c>
      <c r="F1291" t="s">
        <v>52</v>
      </c>
      <c r="G1291">
        <v>331</v>
      </c>
      <c r="H1291">
        <v>36</v>
      </c>
      <c r="I1291">
        <v>35</v>
      </c>
      <c r="J1291">
        <v>402</v>
      </c>
      <c r="K1291" s="482">
        <v>0.82299999999999995</v>
      </c>
      <c r="L1291" s="482">
        <v>0.09</v>
      </c>
      <c r="M1291" s="482">
        <v>8.6999999999999994E-2</v>
      </c>
    </row>
    <row r="1292" spans="1:13" x14ac:dyDescent="0.2">
      <c r="A1292" t="s">
        <v>2080</v>
      </c>
      <c r="B1292" t="s">
        <v>15</v>
      </c>
      <c r="C1292" t="s">
        <v>87</v>
      </c>
      <c r="D1292" t="s">
        <v>447</v>
      </c>
      <c r="E1292" t="s">
        <v>448</v>
      </c>
      <c r="F1292" t="s">
        <v>52</v>
      </c>
      <c r="G1292">
        <v>237</v>
      </c>
      <c r="H1292">
        <v>28</v>
      </c>
      <c r="I1292">
        <v>25</v>
      </c>
      <c r="J1292">
        <v>290</v>
      </c>
      <c r="K1292" s="482">
        <v>0.81699999999999995</v>
      </c>
      <c r="L1292" s="482">
        <v>9.7000000000000003E-2</v>
      </c>
      <c r="M1292" s="482">
        <v>8.5999999999999993E-2</v>
      </c>
    </row>
    <row r="1293" spans="1:13" x14ac:dyDescent="0.2">
      <c r="A1293" t="s">
        <v>2081</v>
      </c>
      <c r="B1293" t="s">
        <v>15</v>
      </c>
      <c r="C1293" t="s">
        <v>87</v>
      </c>
      <c r="D1293" t="s">
        <v>450</v>
      </c>
      <c r="E1293" t="s">
        <v>451</v>
      </c>
      <c r="F1293" t="s">
        <v>52</v>
      </c>
      <c r="G1293">
        <v>57</v>
      </c>
      <c r="H1293">
        <v>5</v>
      </c>
      <c r="I1293">
        <v>12</v>
      </c>
      <c r="J1293">
        <v>74</v>
      </c>
      <c r="K1293" s="482">
        <v>0.77</v>
      </c>
      <c r="L1293" s="482">
        <v>6.8000000000000005E-2</v>
      </c>
      <c r="M1293" s="482">
        <v>0.16200000000000001</v>
      </c>
    </row>
    <row r="1294" spans="1:13" x14ac:dyDescent="0.2">
      <c r="A1294" t="s">
        <v>2082</v>
      </c>
      <c r="B1294" t="s">
        <v>15</v>
      </c>
      <c r="C1294" t="s">
        <v>87</v>
      </c>
      <c r="D1294" t="s">
        <v>453</v>
      </c>
      <c r="E1294" t="s">
        <v>454</v>
      </c>
      <c r="F1294" t="s">
        <v>52</v>
      </c>
      <c r="G1294">
        <v>256</v>
      </c>
      <c r="H1294">
        <v>29</v>
      </c>
      <c r="I1294">
        <v>27</v>
      </c>
      <c r="J1294">
        <v>312</v>
      </c>
      <c r="K1294" s="482">
        <v>0.82099999999999995</v>
      </c>
      <c r="L1294" s="482">
        <v>9.2999999999999999E-2</v>
      </c>
      <c r="M1294" s="482">
        <v>8.6999999999999994E-2</v>
      </c>
    </row>
    <row r="1295" spans="1:13" x14ac:dyDescent="0.2">
      <c r="A1295" t="s">
        <v>2083</v>
      </c>
      <c r="B1295" t="s">
        <v>15</v>
      </c>
      <c r="C1295" t="s">
        <v>87</v>
      </c>
      <c r="D1295" t="s">
        <v>456</v>
      </c>
      <c r="E1295" t="s">
        <v>457</v>
      </c>
      <c r="F1295" t="s">
        <v>52</v>
      </c>
      <c r="G1295">
        <v>15</v>
      </c>
      <c r="H1295">
        <v>2</v>
      </c>
      <c r="I1295">
        <v>3</v>
      </c>
      <c r="J1295">
        <v>20</v>
      </c>
      <c r="K1295" s="482">
        <v>0.75</v>
      </c>
      <c r="L1295" s="482">
        <v>0.1</v>
      </c>
      <c r="M1295" s="482">
        <v>0.15</v>
      </c>
    </row>
    <row r="1296" spans="1:13" x14ac:dyDescent="0.2">
      <c r="A1296" t="s">
        <v>2084</v>
      </c>
      <c r="B1296" t="s">
        <v>15</v>
      </c>
      <c r="C1296" t="s">
        <v>87</v>
      </c>
      <c r="D1296" t="s">
        <v>459</v>
      </c>
      <c r="E1296" t="s">
        <v>460</v>
      </c>
      <c r="F1296" t="s">
        <v>52</v>
      </c>
      <c r="G1296">
        <v>108</v>
      </c>
      <c r="H1296">
        <v>17</v>
      </c>
      <c r="I1296">
        <v>19</v>
      </c>
      <c r="J1296">
        <v>144</v>
      </c>
      <c r="K1296" s="482">
        <v>0.75</v>
      </c>
      <c r="L1296" s="482">
        <v>0.11799999999999999</v>
      </c>
      <c r="M1296" s="482">
        <v>0.13200000000000001</v>
      </c>
    </row>
    <row r="1297" spans="1:13" x14ac:dyDescent="0.2">
      <c r="A1297" t="s">
        <v>2085</v>
      </c>
      <c r="B1297" t="s">
        <v>15</v>
      </c>
      <c r="C1297" t="s">
        <v>87</v>
      </c>
      <c r="D1297" t="s">
        <v>462</v>
      </c>
      <c r="E1297" t="s">
        <v>463</v>
      </c>
      <c r="F1297" t="s">
        <v>52</v>
      </c>
      <c r="G1297">
        <v>136</v>
      </c>
      <c r="H1297">
        <v>18</v>
      </c>
      <c r="I1297">
        <v>13</v>
      </c>
      <c r="J1297">
        <v>167</v>
      </c>
      <c r="K1297" s="482">
        <v>0.81399999999999995</v>
      </c>
      <c r="L1297" s="482">
        <v>0.108</v>
      </c>
      <c r="M1297" s="482">
        <v>7.8E-2</v>
      </c>
    </row>
    <row r="1298" spans="1:13" x14ac:dyDescent="0.2">
      <c r="A1298" t="s">
        <v>2118</v>
      </c>
      <c r="B1298" t="s">
        <v>15</v>
      </c>
      <c r="C1298" t="s">
        <v>87</v>
      </c>
      <c r="D1298" t="s">
        <v>399</v>
      </c>
      <c r="E1298" t="s">
        <v>400</v>
      </c>
      <c r="F1298" t="s">
        <v>52</v>
      </c>
      <c r="G1298">
        <v>170</v>
      </c>
      <c r="H1298">
        <v>27</v>
      </c>
      <c r="I1298">
        <v>31</v>
      </c>
      <c r="J1298">
        <v>228</v>
      </c>
      <c r="K1298" s="482">
        <v>0.746</v>
      </c>
      <c r="L1298" s="482">
        <v>0.11799999999999999</v>
      </c>
      <c r="M1298" s="482">
        <v>0.13600000000000001</v>
      </c>
    </row>
    <row r="1299" spans="1:13" x14ac:dyDescent="0.2">
      <c r="A1299" t="s">
        <v>2096</v>
      </c>
      <c r="B1299" t="s">
        <v>15</v>
      </c>
      <c r="C1299" t="s">
        <v>87</v>
      </c>
      <c r="D1299" t="s">
        <v>495</v>
      </c>
      <c r="E1299" t="s">
        <v>496</v>
      </c>
      <c r="F1299" t="s">
        <v>52</v>
      </c>
      <c r="G1299">
        <v>278</v>
      </c>
      <c r="H1299">
        <v>22</v>
      </c>
      <c r="I1299">
        <v>20</v>
      </c>
      <c r="J1299">
        <v>320</v>
      </c>
      <c r="K1299" s="482">
        <v>0.86899999999999999</v>
      </c>
      <c r="L1299" s="482">
        <v>6.9000000000000006E-2</v>
      </c>
      <c r="M1299" s="482">
        <v>6.3E-2</v>
      </c>
    </row>
    <row r="1300" spans="1:13" x14ac:dyDescent="0.2">
      <c r="A1300" t="s">
        <v>2097</v>
      </c>
      <c r="B1300" t="s">
        <v>15</v>
      </c>
      <c r="C1300" t="s">
        <v>87</v>
      </c>
      <c r="D1300" t="s">
        <v>498</v>
      </c>
      <c r="E1300" t="s">
        <v>499</v>
      </c>
      <c r="F1300" t="s">
        <v>52</v>
      </c>
      <c r="G1300">
        <v>187</v>
      </c>
      <c r="H1300">
        <v>15</v>
      </c>
      <c r="I1300">
        <v>26</v>
      </c>
      <c r="J1300">
        <v>228</v>
      </c>
      <c r="K1300" s="482">
        <v>0.82</v>
      </c>
      <c r="L1300" s="482">
        <v>6.6000000000000003E-2</v>
      </c>
      <c r="M1300" s="482">
        <v>0.114</v>
      </c>
    </row>
    <row r="1301" spans="1:13" x14ac:dyDescent="0.2">
      <c r="A1301" t="s">
        <v>2098</v>
      </c>
      <c r="B1301" t="s">
        <v>15</v>
      </c>
      <c r="C1301" t="s">
        <v>87</v>
      </c>
      <c r="D1301" t="s">
        <v>501</v>
      </c>
      <c r="E1301" t="s">
        <v>502</v>
      </c>
      <c r="F1301" t="s">
        <v>52</v>
      </c>
      <c r="G1301">
        <v>91</v>
      </c>
      <c r="H1301">
        <v>8</v>
      </c>
      <c r="I1301">
        <v>7</v>
      </c>
      <c r="J1301">
        <v>106</v>
      </c>
      <c r="K1301" s="482">
        <v>0.85799999999999998</v>
      </c>
      <c r="L1301" s="482">
        <v>7.4999999999999997E-2</v>
      </c>
      <c r="M1301" s="482">
        <v>6.6000000000000003E-2</v>
      </c>
    </row>
    <row r="1302" spans="1:13" x14ac:dyDescent="0.2">
      <c r="A1302" t="s">
        <v>2099</v>
      </c>
      <c r="B1302" t="s">
        <v>15</v>
      </c>
      <c r="C1302" t="s">
        <v>87</v>
      </c>
      <c r="D1302" t="s">
        <v>504</v>
      </c>
      <c r="E1302" t="s">
        <v>505</v>
      </c>
      <c r="F1302" t="s">
        <v>52</v>
      </c>
      <c r="G1302">
        <v>121</v>
      </c>
      <c r="H1302">
        <v>17</v>
      </c>
      <c r="I1302">
        <v>15</v>
      </c>
      <c r="J1302">
        <v>153</v>
      </c>
      <c r="K1302" s="482">
        <v>0.79100000000000004</v>
      </c>
      <c r="L1302" s="482">
        <v>0.111</v>
      </c>
      <c r="M1302" s="482">
        <v>9.8000000000000004E-2</v>
      </c>
    </row>
    <row r="1303" spans="1:13" x14ac:dyDescent="0.2">
      <c r="A1303" t="s">
        <v>2100</v>
      </c>
      <c r="B1303" t="s">
        <v>15</v>
      </c>
      <c r="C1303" t="s">
        <v>87</v>
      </c>
      <c r="D1303" t="s">
        <v>507</v>
      </c>
      <c r="E1303" t="s">
        <v>508</v>
      </c>
      <c r="F1303" t="s">
        <v>52</v>
      </c>
      <c r="G1303">
        <v>275</v>
      </c>
      <c r="H1303">
        <v>32</v>
      </c>
      <c r="I1303">
        <v>28</v>
      </c>
      <c r="J1303">
        <v>335</v>
      </c>
      <c r="K1303" s="482">
        <v>0.82099999999999995</v>
      </c>
      <c r="L1303" s="482">
        <v>9.6000000000000002E-2</v>
      </c>
      <c r="M1303" s="482">
        <v>8.4000000000000005E-2</v>
      </c>
    </row>
    <row r="1304" spans="1:13" x14ac:dyDescent="0.2">
      <c r="A1304" t="s">
        <v>2101</v>
      </c>
      <c r="B1304" t="s">
        <v>15</v>
      </c>
      <c r="C1304" t="s">
        <v>87</v>
      </c>
      <c r="D1304" t="s">
        <v>510</v>
      </c>
      <c r="E1304" t="s">
        <v>511</v>
      </c>
      <c r="F1304" t="s">
        <v>52</v>
      </c>
      <c r="G1304">
        <v>58</v>
      </c>
      <c r="H1304">
        <v>8</v>
      </c>
      <c r="I1304">
        <v>8</v>
      </c>
      <c r="J1304">
        <v>74</v>
      </c>
      <c r="K1304" s="482">
        <v>0.78400000000000003</v>
      </c>
      <c r="L1304" s="482">
        <v>0.108</v>
      </c>
      <c r="M1304" s="482">
        <v>0.108</v>
      </c>
    </row>
    <row r="1305" spans="1:13" x14ac:dyDescent="0.2">
      <c r="A1305" t="s">
        <v>2102</v>
      </c>
      <c r="B1305" t="s">
        <v>15</v>
      </c>
      <c r="C1305" t="s">
        <v>87</v>
      </c>
      <c r="D1305" t="s">
        <v>513</v>
      </c>
      <c r="E1305" t="s">
        <v>514</v>
      </c>
      <c r="F1305" t="s">
        <v>52</v>
      </c>
      <c r="G1305">
        <v>190</v>
      </c>
      <c r="H1305">
        <v>28</v>
      </c>
      <c r="I1305">
        <v>24</v>
      </c>
      <c r="J1305">
        <v>242</v>
      </c>
      <c r="K1305" s="482">
        <v>0.78500000000000003</v>
      </c>
      <c r="L1305" s="482">
        <v>0.11600000000000001</v>
      </c>
      <c r="M1305" s="482">
        <v>9.9000000000000005E-2</v>
      </c>
    </row>
    <row r="1306" spans="1:13" x14ac:dyDescent="0.2">
      <c r="A1306" t="s">
        <v>2103</v>
      </c>
      <c r="B1306" t="s">
        <v>15</v>
      </c>
      <c r="C1306" t="s">
        <v>87</v>
      </c>
      <c r="D1306" t="s">
        <v>516</v>
      </c>
      <c r="E1306" t="s">
        <v>517</v>
      </c>
      <c r="F1306" t="s">
        <v>52</v>
      </c>
      <c r="G1306">
        <v>77</v>
      </c>
      <c r="H1306">
        <v>13</v>
      </c>
      <c r="I1306">
        <v>15</v>
      </c>
      <c r="J1306">
        <v>105</v>
      </c>
      <c r="K1306" s="482">
        <v>0.73299999999999998</v>
      </c>
      <c r="L1306" s="482">
        <v>0.124</v>
      </c>
      <c r="M1306" s="482">
        <v>0.14299999999999999</v>
      </c>
    </row>
    <row r="1307" spans="1:13" x14ac:dyDescent="0.2">
      <c r="A1307" t="s">
        <v>2104</v>
      </c>
      <c r="B1307" t="s">
        <v>15</v>
      </c>
      <c r="C1307" t="s">
        <v>87</v>
      </c>
      <c r="D1307" t="s">
        <v>519</v>
      </c>
      <c r="E1307" t="s">
        <v>520</v>
      </c>
      <c r="F1307" t="s">
        <v>52</v>
      </c>
      <c r="G1307">
        <v>125</v>
      </c>
      <c r="H1307">
        <v>18</v>
      </c>
      <c r="I1307">
        <v>17</v>
      </c>
      <c r="J1307">
        <v>160</v>
      </c>
      <c r="K1307" s="482">
        <v>0.78100000000000003</v>
      </c>
      <c r="L1307" s="482">
        <v>0.113</v>
      </c>
      <c r="M1307" s="482">
        <v>0.106</v>
      </c>
    </row>
    <row r="1308" spans="1:13" x14ac:dyDescent="0.2">
      <c r="A1308" t="s">
        <v>2105</v>
      </c>
      <c r="B1308" t="s">
        <v>15</v>
      </c>
      <c r="C1308" t="s">
        <v>87</v>
      </c>
      <c r="D1308" t="s">
        <v>522</v>
      </c>
      <c r="E1308" t="s">
        <v>523</v>
      </c>
      <c r="F1308" t="s">
        <v>52</v>
      </c>
      <c r="G1308">
        <v>48</v>
      </c>
      <c r="H1308">
        <v>6</v>
      </c>
      <c r="I1308">
        <v>3</v>
      </c>
      <c r="J1308">
        <v>57</v>
      </c>
      <c r="K1308" s="482">
        <v>0.84199999999999997</v>
      </c>
      <c r="L1308" s="482">
        <v>0.105</v>
      </c>
      <c r="M1308" s="482">
        <v>5.2999999999999999E-2</v>
      </c>
    </row>
    <row r="1309" spans="1:13" x14ac:dyDescent="0.2">
      <c r="A1309" t="s">
        <v>2106</v>
      </c>
      <c r="B1309" t="s">
        <v>15</v>
      </c>
      <c r="C1309" t="s">
        <v>87</v>
      </c>
      <c r="D1309" t="s">
        <v>525</v>
      </c>
      <c r="E1309" t="s">
        <v>526</v>
      </c>
      <c r="F1309" t="s">
        <v>52</v>
      </c>
      <c r="G1309">
        <v>173</v>
      </c>
      <c r="H1309">
        <v>21</v>
      </c>
      <c r="I1309">
        <v>26</v>
      </c>
      <c r="J1309">
        <v>220</v>
      </c>
      <c r="K1309" s="482">
        <v>0.78600000000000003</v>
      </c>
      <c r="L1309" s="482">
        <v>9.5000000000000001E-2</v>
      </c>
      <c r="M1309" s="482">
        <v>0.11799999999999999</v>
      </c>
    </row>
    <row r="1310" spans="1:13" x14ac:dyDescent="0.2">
      <c r="A1310" t="s">
        <v>2107</v>
      </c>
      <c r="B1310" t="s">
        <v>15</v>
      </c>
      <c r="C1310" t="s">
        <v>87</v>
      </c>
      <c r="D1310" t="s">
        <v>528</v>
      </c>
      <c r="E1310" t="s">
        <v>529</v>
      </c>
      <c r="F1310" t="s">
        <v>52</v>
      </c>
      <c r="G1310">
        <v>198</v>
      </c>
      <c r="H1310">
        <v>12</v>
      </c>
      <c r="I1310">
        <v>15</v>
      </c>
      <c r="J1310">
        <v>225</v>
      </c>
      <c r="K1310" s="482">
        <v>0.88</v>
      </c>
      <c r="L1310" s="482">
        <v>5.2999999999999999E-2</v>
      </c>
      <c r="M1310" s="482">
        <v>6.7000000000000004E-2</v>
      </c>
    </row>
    <row r="1311" spans="1:13" x14ac:dyDescent="0.2">
      <c r="A1311" t="s">
        <v>2108</v>
      </c>
      <c r="B1311" t="s">
        <v>15</v>
      </c>
      <c r="C1311" t="s">
        <v>87</v>
      </c>
      <c r="D1311" t="s">
        <v>531</v>
      </c>
      <c r="E1311" t="s">
        <v>532</v>
      </c>
      <c r="F1311" t="s">
        <v>52</v>
      </c>
      <c r="G1311">
        <v>78</v>
      </c>
      <c r="H1311">
        <v>4</v>
      </c>
      <c r="I1311">
        <v>15</v>
      </c>
      <c r="J1311">
        <v>97</v>
      </c>
      <c r="K1311" s="482">
        <v>0.80400000000000005</v>
      </c>
      <c r="L1311" s="482">
        <v>4.1000000000000002E-2</v>
      </c>
      <c r="M1311" s="482">
        <v>0.155</v>
      </c>
    </row>
    <row r="1312" spans="1:13" x14ac:dyDescent="0.2">
      <c r="A1312" t="s">
        <v>2109</v>
      </c>
      <c r="B1312" t="s">
        <v>15</v>
      </c>
      <c r="C1312" t="s">
        <v>87</v>
      </c>
      <c r="D1312" t="s">
        <v>534</v>
      </c>
      <c r="E1312" t="s">
        <v>535</v>
      </c>
      <c r="F1312" t="s">
        <v>52</v>
      </c>
      <c r="G1312">
        <v>14</v>
      </c>
      <c r="H1312">
        <v>3</v>
      </c>
      <c r="I1312">
        <v>3</v>
      </c>
      <c r="J1312">
        <v>20</v>
      </c>
      <c r="K1312" s="482">
        <v>0.7</v>
      </c>
      <c r="L1312" s="482">
        <v>0.15</v>
      </c>
      <c r="M1312" s="482">
        <v>0.15</v>
      </c>
    </row>
    <row r="1313" spans="1:13" x14ac:dyDescent="0.2">
      <c r="A1313" t="s">
        <v>2110</v>
      </c>
      <c r="B1313" t="s">
        <v>15</v>
      </c>
      <c r="C1313" t="s">
        <v>87</v>
      </c>
      <c r="D1313" t="s">
        <v>537</v>
      </c>
      <c r="E1313" t="s">
        <v>538</v>
      </c>
      <c r="F1313" t="s">
        <v>52</v>
      </c>
      <c r="G1313">
        <v>491</v>
      </c>
      <c r="H1313">
        <v>62</v>
      </c>
      <c r="I1313">
        <v>47</v>
      </c>
      <c r="J1313">
        <v>600</v>
      </c>
      <c r="K1313" s="482">
        <v>0.81799999999999995</v>
      </c>
      <c r="L1313" s="482">
        <v>0.10299999999999999</v>
      </c>
      <c r="M1313" s="482">
        <v>7.8E-2</v>
      </c>
    </row>
    <row r="1314" spans="1:13" x14ac:dyDescent="0.2">
      <c r="A1314" t="s">
        <v>2111</v>
      </c>
      <c r="B1314" t="s">
        <v>15</v>
      </c>
      <c r="C1314" t="s">
        <v>87</v>
      </c>
      <c r="D1314" t="s">
        <v>540</v>
      </c>
      <c r="E1314" t="s">
        <v>541</v>
      </c>
      <c r="F1314" t="s">
        <v>52</v>
      </c>
      <c r="G1314">
        <v>33</v>
      </c>
      <c r="H1314">
        <v>4</v>
      </c>
      <c r="I1314">
        <v>1</v>
      </c>
      <c r="J1314">
        <v>38</v>
      </c>
      <c r="K1314" s="482">
        <v>0.86799999999999999</v>
      </c>
      <c r="L1314" s="482">
        <v>0.105</v>
      </c>
      <c r="M1314" s="482">
        <v>2.5999999999999999E-2</v>
      </c>
    </row>
    <row r="1315" spans="1:13" x14ac:dyDescent="0.2">
      <c r="A1315" t="s">
        <v>2112</v>
      </c>
      <c r="B1315" t="s">
        <v>15</v>
      </c>
      <c r="C1315" t="s">
        <v>87</v>
      </c>
      <c r="D1315" t="s">
        <v>543</v>
      </c>
      <c r="E1315" t="s">
        <v>544</v>
      </c>
      <c r="F1315" t="s">
        <v>52</v>
      </c>
      <c r="G1315">
        <v>91</v>
      </c>
      <c r="H1315">
        <v>17</v>
      </c>
      <c r="I1315">
        <v>18</v>
      </c>
      <c r="J1315">
        <v>126</v>
      </c>
      <c r="K1315" s="482">
        <v>0.72199999999999998</v>
      </c>
      <c r="L1315" s="482">
        <v>0.13500000000000001</v>
      </c>
      <c r="M1315" s="482">
        <v>0.14299999999999999</v>
      </c>
    </row>
    <row r="1316" spans="1:13" x14ac:dyDescent="0.2">
      <c r="A1316" t="s">
        <v>2113</v>
      </c>
      <c r="B1316" t="s">
        <v>15</v>
      </c>
      <c r="C1316" t="s">
        <v>87</v>
      </c>
      <c r="D1316" t="s">
        <v>546</v>
      </c>
      <c r="E1316" t="s">
        <v>547</v>
      </c>
      <c r="F1316" t="s">
        <v>52</v>
      </c>
      <c r="G1316">
        <v>22</v>
      </c>
      <c r="H1316">
        <v>4</v>
      </c>
      <c r="I1316">
        <v>4</v>
      </c>
      <c r="J1316">
        <v>30</v>
      </c>
      <c r="K1316" s="482">
        <v>0.73299999999999998</v>
      </c>
      <c r="L1316" s="482">
        <v>0.13300000000000001</v>
      </c>
      <c r="M1316" s="482">
        <v>0.13300000000000001</v>
      </c>
    </row>
    <row r="1317" spans="1:13" x14ac:dyDescent="0.2">
      <c r="A1317" t="s">
        <v>2114</v>
      </c>
      <c r="B1317" t="s">
        <v>15</v>
      </c>
      <c r="C1317" t="s">
        <v>87</v>
      </c>
      <c r="D1317" t="s">
        <v>549</v>
      </c>
      <c r="E1317" t="s">
        <v>550</v>
      </c>
      <c r="F1317" t="s">
        <v>52</v>
      </c>
      <c r="G1317">
        <v>119</v>
      </c>
      <c r="H1317">
        <v>15</v>
      </c>
      <c r="I1317">
        <v>13</v>
      </c>
      <c r="J1317">
        <v>147</v>
      </c>
      <c r="K1317" s="482">
        <v>0.81</v>
      </c>
      <c r="L1317" s="482">
        <v>0.10199999999999999</v>
      </c>
      <c r="M1317" s="482">
        <v>8.7999999999999995E-2</v>
      </c>
    </row>
    <row r="1318" spans="1:13" x14ac:dyDescent="0.2">
      <c r="A1318" t="s">
        <v>2115</v>
      </c>
      <c r="B1318" t="s">
        <v>15</v>
      </c>
      <c r="C1318" t="s">
        <v>87</v>
      </c>
      <c r="D1318" t="s">
        <v>552</v>
      </c>
      <c r="E1318" t="s">
        <v>337</v>
      </c>
      <c r="F1318" t="s">
        <v>52</v>
      </c>
      <c r="G1318">
        <v>120</v>
      </c>
      <c r="H1318">
        <v>12</v>
      </c>
      <c r="I1318">
        <v>10</v>
      </c>
      <c r="J1318">
        <v>142</v>
      </c>
      <c r="K1318" s="482">
        <v>0.84499999999999997</v>
      </c>
      <c r="L1318" s="482">
        <v>8.5000000000000006E-2</v>
      </c>
      <c r="M1318" s="482">
        <v>7.0000000000000007E-2</v>
      </c>
    </row>
    <row r="1319" spans="1:13" x14ac:dyDescent="0.2">
      <c r="A1319" t="s">
        <v>2063</v>
      </c>
      <c r="B1319" t="s">
        <v>15</v>
      </c>
      <c r="C1319" t="s">
        <v>87</v>
      </c>
      <c r="D1319" t="s">
        <v>396</v>
      </c>
      <c r="E1319" t="s">
        <v>397</v>
      </c>
      <c r="F1319" t="s">
        <v>52</v>
      </c>
      <c r="G1319">
        <v>149</v>
      </c>
      <c r="H1319">
        <v>21</v>
      </c>
      <c r="I1319">
        <v>19</v>
      </c>
      <c r="J1319">
        <v>189</v>
      </c>
      <c r="K1319" s="482">
        <v>0.78800000000000003</v>
      </c>
      <c r="L1319" s="482">
        <v>0.111</v>
      </c>
      <c r="M1319" s="482">
        <v>0.10100000000000001</v>
      </c>
    </row>
    <row r="1320" spans="1:13" x14ac:dyDescent="0.2">
      <c r="A1320" t="s">
        <v>2121</v>
      </c>
      <c r="B1320" t="s">
        <v>15</v>
      </c>
      <c r="C1320" t="s">
        <v>87</v>
      </c>
      <c r="D1320" t="s">
        <v>569</v>
      </c>
      <c r="E1320" t="s">
        <v>339</v>
      </c>
      <c r="F1320" t="s">
        <v>52</v>
      </c>
      <c r="G1320">
        <v>46</v>
      </c>
      <c r="H1320">
        <v>7</v>
      </c>
      <c r="I1320">
        <v>5</v>
      </c>
      <c r="J1320">
        <v>58</v>
      </c>
      <c r="K1320" s="482">
        <v>0.79300000000000004</v>
      </c>
      <c r="L1320" s="482">
        <v>0.121</v>
      </c>
      <c r="M1320" s="482">
        <v>8.5999999999999993E-2</v>
      </c>
    </row>
    <row r="1321" spans="1:13" x14ac:dyDescent="0.2">
      <c r="A1321" t="s">
        <v>2122</v>
      </c>
      <c r="B1321" t="s">
        <v>15</v>
      </c>
      <c r="C1321" t="s">
        <v>87</v>
      </c>
      <c r="D1321" t="s">
        <v>571</v>
      </c>
      <c r="E1321" t="s">
        <v>572</v>
      </c>
      <c r="F1321" t="s">
        <v>52</v>
      </c>
      <c r="G1321">
        <v>106</v>
      </c>
      <c r="H1321">
        <v>18</v>
      </c>
      <c r="I1321">
        <v>13</v>
      </c>
      <c r="J1321">
        <v>137</v>
      </c>
      <c r="K1321" s="482">
        <v>0.77400000000000002</v>
      </c>
      <c r="L1321" s="482">
        <v>0.13100000000000001</v>
      </c>
      <c r="M1321" s="482">
        <v>9.5000000000000001E-2</v>
      </c>
    </row>
    <row r="1322" spans="1:13" x14ac:dyDescent="0.2">
      <c r="A1322" t="s">
        <v>2123</v>
      </c>
      <c r="B1322" t="s">
        <v>15</v>
      </c>
      <c r="C1322" t="s">
        <v>87</v>
      </c>
      <c r="D1322" t="s">
        <v>574</v>
      </c>
      <c r="E1322" t="s">
        <v>575</v>
      </c>
      <c r="F1322" t="s">
        <v>52</v>
      </c>
      <c r="G1322">
        <v>38</v>
      </c>
      <c r="H1322">
        <v>3</v>
      </c>
      <c r="I1322">
        <v>4</v>
      </c>
      <c r="J1322">
        <v>45</v>
      </c>
      <c r="K1322" s="482">
        <v>0.84399999999999997</v>
      </c>
      <c r="L1322" s="482">
        <v>6.7000000000000004E-2</v>
      </c>
      <c r="M1322" s="482">
        <v>8.8999999999999996E-2</v>
      </c>
    </row>
    <row r="1323" spans="1:13" x14ac:dyDescent="0.2">
      <c r="A1323" t="s">
        <v>2124</v>
      </c>
      <c r="B1323" t="s">
        <v>15</v>
      </c>
      <c r="C1323" t="s">
        <v>87</v>
      </c>
      <c r="D1323" t="s">
        <v>577</v>
      </c>
      <c r="E1323" t="s">
        <v>578</v>
      </c>
      <c r="F1323" t="s">
        <v>52</v>
      </c>
      <c r="G1323">
        <v>59</v>
      </c>
      <c r="H1323">
        <v>4</v>
      </c>
      <c r="I1323">
        <v>15</v>
      </c>
      <c r="J1323">
        <v>78</v>
      </c>
      <c r="K1323" s="482">
        <v>0.75600000000000001</v>
      </c>
      <c r="L1323" s="482">
        <v>5.0999999999999997E-2</v>
      </c>
      <c r="M1323" s="482">
        <v>0.192</v>
      </c>
    </row>
    <row r="1324" spans="1:13" x14ac:dyDescent="0.2">
      <c r="A1324" t="s">
        <v>2125</v>
      </c>
      <c r="B1324" t="s">
        <v>15</v>
      </c>
      <c r="C1324" t="s">
        <v>87</v>
      </c>
      <c r="D1324" t="s">
        <v>580</v>
      </c>
      <c r="E1324" t="s">
        <v>581</v>
      </c>
      <c r="F1324" t="s">
        <v>52</v>
      </c>
      <c r="G1324">
        <v>241</v>
      </c>
      <c r="H1324">
        <v>25</v>
      </c>
      <c r="I1324">
        <v>27</v>
      </c>
      <c r="J1324">
        <v>293</v>
      </c>
      <c r="K1324" s="482">
        <v>0.82299999999999995</v>
      </c>
      <c r="L1324" s="482">
        <v>8.5000000000000006E-2</v>
      </c>
      <c r="M1324" s="482">
        <v>9.1999999999999998E-2</v>
      </c>
    </row>
    <row r="1325" spans="1:13" x14ac:dyDescent="0.2">
      <c r="A1325" t="s">
        <v>2126</v>
      </c>
      <c r="B1325" t="s">
        <v>15</v>
      </c>
      <c r="C1325" t="s">
        <v>87</v>
      </c>
      <c r="D1325" t="s">
        <v>583</v>
      </c>
      <c r="E1325" t="s">
        <v>584</v>
      </c>
      <c r="F1325" t="s">
        <v>52</v>
      </c>
      <c r="G1325">
        <v>131</v>
      </c>
      <c r="H1325">
        <v>13</v>
      </c>
      <c r="I1325">
        <v>21</v>
      </c>
      <c r="J1325">
        <v>165</v>
      </c>
      <c r="K1325" s="482">
        <v>0.79400000000000004</v>
      </c>
      <c r="L1325" s="482">
        <v>7.9000000000000001E-2</v>
      </c>
      <c r="M1325" s="482">
        <v>0.127</v>
      </c>
    </row>
    <row r="1326" spans="1:13" x14ac:dyDescent="0.2">
      <c r="A1326" t="s">
        <v>2120</v>
      </c>
      <c r="B1326" t="s">
        <v>15</v>
      </c>
      <c r="C1326" t="s">
        <v>87</v>
      </c>
      <c r="D1326" t="s">
        <v>566</v>
      </c>
      <c r="E1326" t="s">
        <v>567</v>
      </c>
      <c r="F1326" t="s">
        <v>52</v>
      </c>
      <c r="G1326">
        <v>107</v>
      </c>
      <c r="H1326">
        <v>11</v>
      </c>
      <c r="I1326">
        <v>7</v>
      </c>
      <c r="J1326">
        <v>125</v>
      </c>
      <c r="K1326" s="482">
        <v>0.85599999999999998</v>
      </c>
      <c r="L1326" s="482">
        <v>8.7999999999999995E-2</v>
      </c>
      <c r="M1326" s="482">
        <v>5.6000000000000001E-2</v>
      </c>
    </row>
    <row r="1327" spans="1:13" x14ac:dyDescent="0.2">
      <c r="A1327" t="s">
        <v>2127</v>
      </c>
      <c r="B1327" t="s">
        <v>15</v>
      </c>
      <c r="C1327" t="s">
        <v>87</v>
      </c>
      <c r="D1327" t="s">
        <v>586</v>
      </c>
      <c r="E1327" t="s">
        <v>587</v>
      </c>
      <c r="F1327" t="s">
        <v>52</v>
      </c>
      <c r="G1327">
        <v>97</v>
      </c>
      <c r="H1327">
        <v>10</v>
      </c>
      <c r="I1327">
        <v>14</v>
      </c>
      <c r="J1327">
        <v>121</v>
      </c>
      <c r="K1327" s="482">
        <v>0.80200000000000005</v>
      </c>
      <c r="L1327" s="482">
        <v>8.3000000000000004E-2</v>
      </c>
      <c r="M1327" s="482">
        <v>0.11600000000000001</v>
      </c>
    </row>
    <row r="1328" spans="1:13" x14ac:dyDescent="0.2">
      <c r="A1328" t="s">
        <v>2116</v>
      </c>
      <c r="B1328" t="s">
        <v>15</v>
      </c>
      <c r="C1328" t="s">
        <v>87</v>
      </c>
      <c r="D1328" t="s">
        <v>554</v>
      </c>
      <c r="E1328" t="s">
        <v>555</v>
      </c>
      <c r="F1328" t="s">
        <v>52</v>
      </c>
      <c r="G1328">
        <v>152</v>
      </c>
      <c r="H1328">
        <v>10</v>
      </c>
      <c r="I1328">
        <v>13</v>
      </c>
      <c r="J1328">
        <v>175</v>
      </c>
      <c r="K1328" s="482">
        <v>0.86899999999999999</v>
      </c>
      <c r="L1328" s="482">
        <v>5.7000000000000002E-2</v>
      </c>
      <c r="M1328" s="482">
        <v>7.3999999999999996E-2</v>
      </c>
    </row>
    <row r="1329" spans="1:13" x14ac:dyDescent="0.2">
      <c r="A1329" t="s">
        <v>2117</v>
      </c>
      <c r="B1329" t="s">
        <v>15</v>
      </c>
      <c r="C1329" t="s">
        <v>87</v>
      </c>
      <c r="D1329" t="s">
        <v>557</v>
      </c>
      <c r="E1329" t="s">
        <v>558</v>
      </c>
      <c r="F1329" t="s">
        <v>52</v>
      </c>
      <c r="G1329">
        <v>47</v>
      </c>
      <c r="H1329">
        <v>4</v>
      </c>
      <c r="I1329">
        <v>9</v>
      </c>
      <c r="J1329">
        <v>60</v>
      </c>
      <c r="K1329" s="482">
        <v>0.78300000000000003</v>
      </c>
      <c r="L1329" s="482">
        <v>6.7000000000000004E-2</v>
      </c>
      <c r="M1329" s="482">
        <v>0.15</v>
      </c>
    </row>
    <row r="1330" spans="1:13" x14ac:dyDescent="0.2">
      <c r="A1330" t="s">
        <v>2078</v>
      </c>
      <c r="B1330" t="s">
        <v>15</v>
      </c>
      <c r="C1330" t="s">
        <v>87</v>
      </c>
      <c r="D1330" t="s">
        <v>560</v>
      </c>
      <c r="E1330" t="s">
        <v>561</v>
      </c>
      <c r="F1330" t="s">
        <v>52</v>
      </c>
      <c r="G1330">
        <v>182</v>
      </c>
      <c r="H1330">
        <v>15</v>
      </c>
      <c r="I1330">
        <v>25</v>
      </c>
      <c r="J1330">
        <v>222</v>
      </c>
      <c r="K1330" s="482">
        <v>0.82</v>
      </c>
      <c r="L1330" s="482">
        <v>6.8000000000000005E-2</v>
      </c>
      <c r="M1330" s="482">
        <v>0.113</v>
      </c>
    </row>
    <row r="1331" spans="1:13" x14ac:dyDescent="0.2">
      <c r="A1331" t="s">
        <v>2066</v>
      </c>
      <c r="B1331" t="s">
        <v>15</v>
      </c>
      <c r="C1331" t="s">
        <v>87</v>
      </c>
      <c r="D1331" t="s">
        <v>408</v>
      </c>
      <c r="E1331" t="s">
        <v>409</v>
      </c>
      <c r="F1331" t="s">
        <v>52</v>
      </c>
      <c r="G1331">
        <v>159</v>
      </c>
      <c r="H1331">
        <v>21</v>
      </c>
      <c r="I1331">
        <v>11</v>
      </c>
      <c r="J1331">
        <v>191</v>
      </c>
      <c r="K1331" s="482">
        <v>0.83199999999999996</v>
      </c>
      <c r="L1331" s="482">
        <v>0.11</v>
      </c>
      <c r="M1331" s="482">
        <v>5.8000000000000003E-2</v>
      </c>
    </row>
    <row r="1332" spans="1:13" x14ac:dyDescent="0.2">
      <c r="A1332" t="s">
        <v>2182</v>
      </c>
      <c r="B1332" t="s">
        <v>15</v>
      </c>
      <c r="C1332" t="s">
        <v>87</v>
      </c>
      <c r="D1332" t="s">
        <v>752</v>
      </c>
      <c r="E1332" t="s">
        <v>753</v>
      </c>
      <c r="F1332" t="s">
        <v>52</v>
      </c>
      <c r="G1332">
        <v>50</v>
      </c>
      <c r="H1332">
        <v>7</v>
      </c>
      <c r="I1332">
        <v>7</v>
      </c>
      <c r="J1332">
        <v>64</v>
      </c>
      <c r="K1332" s="482">
        <v>0.78100000000000003</v>
      </c>
      <c r="L1332" s="482">
        <v>0.109</v>
      </c>
      <c r="M1332" s="482">
        <v>0.109</v>
      </c>
    </row>
    <row r="1333" spans="1:13" x14ac:dyDescent="0.2">
      <c r="A1333" t="s">
        <v>2183</v>
      </c>
      <c r="B1333" t="s">
        <v>15</v>
      </c>
      <c r="C1333" t="s">
        <v>87</v>
      </c>
      <c r="D1333" t="s">
        <v>755</v>
      </c>
      <c r="E1333" t="s">
        <v>756</v>
      </c>
      <c r="F1333" t="s">
        <v>52</v>
      </c>
      <c r="G1333">
        <v>73</v>
      </c>
      <c r="H1333">
        <v>15</v>
      </c>
      <c r="I1333">
        <v>17</v>
      </c>
      <c r="J1333">
        <v>105</v>
      </c>
      <c r="K1333" s="482">
        <v>0.69499999999999995</v>
      </c>
      <c r="L1333" s="482">
        <v>0.14299999999999999</v>
      </c>
      <c r="M1333" s="482">
        <v>0.16200000000000001</v>
      </c>
    </row>
    <row r="1334" spans="1:13" x14ac:dyDescent="0.2">
      <c r="A1334" t="s">
        <v>2184</v>
      </c>
      <c r="B1334" t="s">
        <v>15</v>
      </c>
      <c r="C1334" t="s">
        <v>87</v>
      </c>
      <c r="D1334" t="s">
        <v>758</v>
      </c>
      <c r="E1334" t="s">
        <v>759</v>
      </c>
      <c r="F1334" t="s">
        <v>52</v>
      </c>
      <c r="G1334">
        <v>516</v>
      </c>
      <c r="H1334">
        <v>43</v>
      </c>
      <c r="I1334">
        <v>52</v>
      </c>
      <c r="J1334">
        <v>611</v>
      </c>
      <c r="K1334" s="482">
        <v>0.84499999999999997</v>
      </c>
      <c r="L1334" s="482">
        <v>7.0000000000000007E-2</v>
      </c>
      <c r="M1334" s="482">
        <v>8.5000000000000006E-2</v>
      </c>
    </row>
    <row r="1335" spans="1:13" x14ac:dyDescent="0.2">
      <c r="A1335" t="s">
        <v>2185</v>
      </c>
      <c r="B1335" t="s">
        <v>15</v>
      </c>
      <c r="C1335" t="s">
        <v>87</v>
      </c>
      <c r="D1335" t="s">
        <v>761</v>
      </c>
      <c r="E1335" t="s">
        <v>762</v>
      </c>
      <c r="F1335" t="s">
        <v>52</v>
      </c>
      <c r="G1335">
        <v>54</v>
      </c>
      <c r="H1335">
        <v>12</v>
      </c>
      <c r="I1335">
        <v>6</v>
      </c>
      <c r="J1335">
        <v>72</v>
      </c>
      <c r="K1335" s="482">
        <v>0.75</v>
      </c>
      <c r="L1335" s="482">
        <v>0.16700000000000001</v>
      </c>
      <c r="M1335" s="482">
        <v>8.3000000000000004E-2</v>
      </c>
    </row>
    <row r="1336" spans="1:13" x14ac:dyDescent="0.2">
      <c r="A1336" t="s">
        <v>2186</v>
      </c>
      <c r="B1336" t="s">
        <v>15</v>
      </c>
      <c r="C1336" t="s">
        <v>87</v>
      </c>
      <c r="D1336" t="s">
        <v>764</v>
      </c>
      <c r="E1336" t="s">
        <v>765</v>
      </c>
      <c r="F1336" t="s">
        <v>52</v>
      </c>
      <c r="G1336">
        <v>138</v>
      </c>
      <c r="H1336">
        <v>12</v>
      </c>
      <c r="I1336">
        <v>9</v>
      </c>
      <c r="J1336">
        <v>159</v>
      </c>
      <c r="K1336" s="482">
        <v>0.86799999999999999</v>
      </c>
      <c r="L1336" s="482">
        <v>7.4999999999999997E-2</v>
      </c>
      <c r="M1336" s="482">
        <v>5.7000000000000002E-2</v>
      </c>
    </row>
    <row r="1337" spans="1:13" x14ac:dyDescent="0.2">
      <c r="A1337" t="s">
        <v>2187</v>
      </c>
      <c r="B1337" t="s">
        <v>15</v>
      </c>
      <c r="C1337" t="s">
        <v>87</v>
      </c>
      <c r="D1337" t="s">
        <v>767</v>
      </c>
      <c r="E1337" t="s">
        <v>768</v>
      </c>
      <c r="F1337" t="s">
        <v>52</v>
      </c>
      <c r="G1337">
        <v>193</v>
      </c>
      <c r="H1337">
        <v>36</v>
      </c>
      <c r="I1337">
        <v>34</v>
      </c>
      <c r="J1337">
        <v>263</v>
      </c>
      <c r="K1337" s="482">
        <v>0.73399999999999999</v>
      </c>
      <c r="L1337" s="482">
        <v>0.13700000000000001</v>
      </c>
      <c r="M1337" s="482">
        <v>0.129</v>
      </c>
    </row>
    <row r="1338" spans="1:13" x14ac:dyDescent="0.2">
      <c r="A1338" t="s">
        <v>2217</v>
      </c>
      <c r="B1338" t="s">
        <v>15</v>
      </c>
      <c r="C1338" t="s">
        <v>87</v>
      </c>
      <c r="D1338" t="s">
        <v>854</v>
      </c>
      <c r="E1338" t="s">
        <v>855</v>
      </c>
      <c r="F1338" t="s">
        <v>52</v>
      </c>
      <c r="G1338">
        <v>474</v>
      </c>
      <c r="H1338">
        <v>51</v>
      </c>
      <c r="I1338">
        <v>46</v>
      </c>
      <c r="J1338">
        <v>571</v>
      </c>
      <c r="K1338" s="482">
        <v>0.83</v>
      </c>
      <c r="L1338" s="482">
        <v>8.8999999999999996E-2</v>
      </c>
      <c r="M1338" s="482">
        <v>8.1000000000000003E-2</v>
      </c>
    </row>
    <row r="1339" spans="1:13" x14ac:dyDescent="0.2">
      <c r="A1339" t="s">
        <v>2218</v>
      </c>
      <c r="B1339" t="s">
        <v>15</v>
      </c>
      <c r="C1339" t="s">
        <v>87</v>
      </c>
      <c r="D1339" t="s">
        <v>857</v>
      </c>
      <c r="E1339" t="s">
        <v>858</v>
      </c>
      <c r="F1339" t="s">
        <v>52</v>
      </c>
      <c r="G1339">
        <v>250</v>
      </c>
      <c r="H1339">
        <v>23</v>
      </c>
      <c r="I1339">
        <v>23</v>
      </c>
      <c r="J1339">
        <v>296</v>
      </c>
      <c r="K1339" s="482">
        <v>0.84499999999999997</v>
      </c>
      <c r="L1339" s="482">
        <v>7.8E-2</v>
      </c>
      <c r="M1339" s="482">
        <v>7.8E-2</v>
      </c>
    </row>
    <row r="1340" spans="1:13" x14ac:dyDescent="0.2">
      <c r="A1340" t="s">
        <v>2219</v>
      </c>
      <c r="B1340" t="s">
        <v>15</v>
      </c>
      <c r="C1340" t="s">
        <v>87</v>
      </c>
      <c r="D1340" t="s">
        <v>860</v>
      </c>
      <c r="E1340" t="s">
        <v>861</v>
      </c>
      <c r="F1340" t="s">
        <v>52</v>
      </c>
      <c r="G1340">
        <v>215</v>
      </c>
      <c r="H1340">
        <v>28</v>
      </c>
      <c r="I1340">
        <v>23</v>
      </c>
      <c r="J1340">
        <v>266</v>
      </c>
      <c r="K1340" s="482">
        <v>0.80800000000000005</v>
      </c>
      <c r="L1340" s="482">
        <v>0.105</v>
      </c>
      <c r="M1340" s="482">
        <v>8.5999999999999993E-2</v>
      </c>
    </row>
    <row r="1341" spans="1:13" x14ac:dyDescent="0.2">
      <c r="A1341" t="s">
        <v>2220</v>
      </c>
      <c r="B1341" t="s">
        <v>15</v>
      </c>
      <c r="C1341" t="s">
        <v>87</v>
      </c>
      <c r="D1341" t="s">
        <v>863</v>
      </c>
      <c r="E1341" t="s">
        <v>864</v>
      </c>
      <c r="F1341" t="s">
        <v>52</v>
      </c>
      <c r="G1341">
        <v>67</v>
      </c>
      <c r="H1341">
        <v>3</v>
      </c>
      <c r="I1341">
        <v>11</v>
      </c>
      <c r="J1341">
        <v>81</v>
      </c>
      <c r="K1341" s="482">
        <v>0.82699999999999996</v>
      </c>
      <c r="L1341" s="482">
        <v>3.6999999999999998E-2</v>
      </c>
      <c r="M1341" s="482">
        <v>0.13600000000000001</v>
      </c>
    </row>
    <row r="1342" spans="1:13" x14ac:dyDescent="0.2">
      <c r="A1342" t="s">
        <v>2221</v>
      </c>
      <c r="B1342" t="s">
        <v>15</v>
      </c>
      <c r="C1342" t="s">
        <v>87</v>
      </c>
      <c r="D1342" t="s">
        <v>866</v>
      </c>
      <c r="E1342" t="s">
        <v>867</v>
      </c>
      <c r="F1342" t="s">
        <v>52</v>
      </c>
      <c r="G1342">
        <v>263</v>
      </c>
      <c r="H1342">
        <v>32</v>
      </c>
      <c r="I1342">
        <v>29</v>
      </c>
      <c r="J1342">
        <v>324</v>
      </c>
      <c r="K1342" s="482">
        <v>0.81200000000000006</v>
      </c>
      <c r="L1342" s="482">
        <v>9.9000000000000005E-2</v>
      </c>
      <c r="M1342" s="482">
        <v>0.09</v>
      </c>
    </row>
    <row r="1343" spans="1:13" x14ac:dyDescent="0.2">
      <c r="A1343" t="s">
        <v>2222</v>
      </c>
      <c r="B1343" t="s">
        <v>15</v>
      </c>
      <c r="C1343" t="s">
        <v>87</v>
      </c>
      <c r="D1343" t="s">
        <v>869</v>
      </c>
      <c r="E1343" t="s">
        <v>870</v>
      </c>
      <c r="F1343" t="s">
        <v>52</v>
      </c>
      <c r="G1343">
        <v>151</v>
      </c>
      <c r="H1343">
        <v>17</v>
      </c>
      <c r="I1343">
        <v>9</v>
      </c>
      <c r="J1343">
        <v>177</v>
      </c>
      <c r="K1343" s="482">
        <v>0.85299999999999998</v>
      </c>
      <c r="L1343" s="482">
        <v>9.6000000000000002E-2</v>
      </c>
      <c r="M1343" s="482">
        <v>5.0999999999999997E-2</v>
      </c>
    </row>
    <row r="1344" spans="1:13" x14ac:dyDescent="0.2">
      <c r="A1344" t="s">
        <v>2223</v>
      </c>
      <c r="B1344" t="s">
        <v>15</v>
      </c>
      <c r="C1344" t="s">
        <v>87</v>
      </c>
      <c r="D1344" t="s">
        <v>872</v>
      </c>
      <c r="E1344" t="s">
        <v>873</v>
      </c>
      <c r="F1344" t="s">
        <v>52</v>
      </c>
      <c r="G1344">
        <v>282</v>
      </c>
      <c r="H1344">
        <v>30</v>
      </c>
      <c r="I1344">
        <v>22</v>
      </c>
      <c r="J1344">
        <v>334</v>
      </c>
      <c r="K1344" s="482">
        <v>0.84399999999999997</v>
      </c>
      <c r="L1344" s="482">
        <v>0.09</v>
      </c>
      <c r="M1344" s="482">
        <v>6.6000000000000003E-2</v>
      </c>
    </row>
    <row r="1345" spans="1:13" x14ac:dyDescent="0.2">
      <c r="A1345" t="s">
        <v>2224</v>
      </c>
      <c r="B1345" t="s">
        <v>15</v>
      </c>
      <c r="C1345" t="s">
        <v>87</v>
      </c>
      <c r="D1345" t="s">
        <v>875</v>
      </c>
      <c r="E1345" t="s">
        <v>876</v>
      </c>
      <c r="F1345" t="s">
        <v>52</v>
      </c>
      <c r="G1345">
        <v>282</v>
      </c>
      <c r="H1345">
        <v>39</v>
      </c>
      <c r="I1345">
        <v>35</v>
      </c>
      <c r="J1345">
        <v>356</v>
      </c>
      <c r="K1345" s="482">
        <v>0.79200000000000004</v>
      </c>
      <c r="L1345" s="482">
        <v>0.11</v>
      </c>
      <c r="M1345" s="482">
        <v>9.8000000000000004E-2</v>
      </c>
    </row>
    <row r="1346" spans="1:13" x14ac:dyDescent="0.2">
      <c r="A1346" t="s">
        <v>2225</v>
      </c>
      <c r="B1346" t="s">
        <v>15</v>
      </c>
      <c r="C1346" t="s">
        <v>87</v>
      </c>
      <c r="D1346" t="s">
        <v>878</v>
      </c>
      <c r="E1346" t="s">
        <v>879</v>
      </c>
      <c r="F1346" t="s">
        <v>52</v>
      </c>
      <c r="G1346">
        <v>87</v>
      </c>
      <c r="H1346">
        <v>18</v>
      </c>
      <c r="I1346">
        <v>11</v>
      </c>
      <c r="J1346">
        <v>116</v>
      </c>
      <c r="K1346" s="482">
        <v>0.75</v>
      </c>
      <c r="L1346" s="482">
        <v>0.155</v>
      </c>
      <c r="M1346" s="482">
        <v>9.5000000000000001E-2</v>
      </c>
    </row>
    <row r="1347" spans="1:13" x14ac:dyDescent="0.2">
      <c r="A1347" t="s">
        <v>2226</v>
      </c>
      <c r="B1347" t="s">
        <v>15</v>
      </c>
      <c r="C1347" t="s">
        <v>87</v>
      </c>
      <c r="D1347" t="s">
        <v>881</v>
      </c>
      <c r="E1347" t="s">
        <v>882</v>
      </c>
      <c r="F1347" t="s">
        <v>52</v>
      </c>
      <c r="G1347">
        <v>86</v>
      </c>
      <c r="H1347">
        <v>16</v>
      </c>
      <c r="I1347">
        <v>10</v>
      </c>
      <c r="J1347">
        <v>112</v>
      </c>
      <c r="K1347" s="482">
        <v>0.76800000000000002</v>
      </c>
      <c r="L1347" s="482">
        <v>0.14299999999999999</v>
      </c>
      <c r="M1347" s="482">
        <v>8.8999999999999996E-2</v>
      </c>
    </row>
    <row r="1348" spans="1:13" x14ac:dyDescent="0.2">
      <c r="A1348" t="s">
        <v>2227</v>
      </c>
      <c r="B1348" t="s">
        <v>15</v>
      </c>
      <c r="C1348" t="s">
        <v>87</v>
      </c>
      <c r="D1348" t="s">
        <v>884</v>
      </c>
      <c r="E1348" t="s">
        <v>885</v>
      </c>
      <c r="F1348" t="s">
        <v>52</v>
      </c>
      <c r="G1348">
        <v>249</v>
      </c>
      <c r="H1348">
        <v>29</v>
      </c>
      <c r="I1348">
        <v>26</v>
      </c>
      <c r="J1348">
        <v>304</v>
      </c>
      <c r="K1348" s="482">
        <v>0.81899999999999995</v>
      </c>
      <c r="L1348" s="482">
        <v>9.5000000000000001E-2</v>
      </c>
      <c r="M1348" s="482">
        <v>8.5999999999999993E-2</v>
      </c>
    </row>
    <row r="1349" spans="1:13" x14ac:dyDescent="0.2">
      <c r="A1349" t="s">
        <v>2228</v>
      </c>
      <c r="B1349" t="s">
        <v>15</v>
      </c>
      <c r="C1349" t="s">
        <v>87</v>
      </c>
      <c r="D1349" t="s">
        <v>887</v>
      </c>
      <c r="E1349" t="s">
        <v>888</v>
      </c>
      <c r="F1349" t="s">
        <v>52</v>
      </c>
      <c r="G1349">
        <v>85</v>
      </c>
      <c r="H1349">
        <v>12</v>
      </c>
      <c r="I1349">
        <v>11</v>
      </c>
      <c r="J1349">
        <v>108</v>
      </c>
      <c r="K1349" s="482">
        <v>0.78700000000000003</v>
      </c>
      <c r="L1349" s="482">
        <v>0.111</v>
      </c>
      <c r="M1349" s="482">
        <v>0.10199999999999999</v>
      </c>
    </row>
    <row r="1350" spans="1:13" x14ac:dyDescent="0.2">
      <c r="A1350" t="s">
        <v>2229</v>
      </c>
      <c r="B1350" t="s">
        <v>15</v>
      </c>
      <c r="C1350" t="s">
        <v>87</v>
      </c>
      <c r="D1350" t="s">
        <v>890</v>
      </c>
      <c r="E1350" t="s">
        <v>891</v>
      </c>
      <c r="F1350" t="s">
        <v>52</v>
      </c>
      <c r="G1350">
        <v>84</v>
      </c>
      <c r="H1350">
        <v>9</v>
      </c>
      <c r="I1350">
        <v>3</v>
      </c>
      <c r="J1350">
        <v>96</v>
      </c>
      <c r="K1350" s="482">
        <v>0.875</v>
      </c>
      <c r="L1350" s="482">
        <v>9.4E-2</v>
      </c>
      <c r="M1350" s="482">
        <v>3.1E-2</v>
      </c>
    </row>
    <row r="1351" spans="1:13" x14ac:dyDescent="0.2">
      <c r="A1351" t="s">
        <v>2230</v>
      </c>
      <c r="B1351" t="s">
        <v>15</v>
      </c>
      <c r="C1351" t="s">
        <v>87</v>
      </c>
      <c r="D1351" t="s">
        <v>893</v>
      </c>
      <c r="E1351" t="s">
        <v>894</v>
      </c>
      <c r="F1351" t="s">
        <v>52</v>
      </c>
      <c r="G1351">
        <v>103</v>
      </c>
      <c r="H1351">
        <v>10</v>
      </c>
      <c r="I1351">
        <v>11</v>
      </c>
      <c r="J1351">
        <v>124</v>
      </c>
      <c r="K1351" s="482">
        <v>0.83099999999999996</v>
      </c>
      <c r="L1351" s="482">
        <v>8.1000000000000003E-2</v>
      </c>
      <c r="M1351" s="482">
        <v>8.8999999999999996E-2</v>
      </c>
    </row>
    <row r="1352" spans="1:13" x14ac:dyDescent="0.2">
      <c r="A1352" t="s">
        <v>2231</v>
      </c>
      <c r="B1352" t="s">
        <v>15</v>
      </c>
      <c r="C1352" t="s">
        <v>87</v>
      </c>
      <c r="D1352" t="s">
        <v>896</v>
      </c>
      <c r="E1352" t="s">
        <v>897</v>
      </c>
      <c r="F1352" t="s">
        <v>52</v>
      </c>
      <c r="G1352">
        <v>78</v>
      </c>
      <c r="H1352">
        <v>7</v>
      </c>
      <c r="I1352">
        <v>4</v>
      </c>
      <c r="J1352">
        <v>89</v>
      </c>
      <c r="K1352" s="482">
        <v>0.876</v>
      </c>
      <c r="L1352" s="482">
        <v>7.9000000000000001E-2</v>
      </c>
      <c r="M1352" s="482">
        <v>4.4999999999999998E-2</v>
      </c>
    </row>
    <row r="1353" spans="1:13" x14ac:dyDescent="0.2">
      <c r="A1353" t="s">
        <v>2232</v>
      </c>
      <c r="B1353" t="s">
        <v>15</v>
      </c>
      <c r="C1353" t="s">
        <v>87</v>
      </c>
      <c r="D1353" t="s">
        <v>899</v>
      </c>
      <c r="E1353" t="s">
        <v>900</v>
      </c>
      <c r="F1353" t="s">
        <v>52</v>
      </c>
      <c r="G1353">
        <v>59</v>
      </c>
      <c r="H1353">
        <v>4</v>
      </c>
      <c r="I1353">
        <v>11</v>
      </c>
      <c r="J1353">
        <v>74</v>
      </c>
      <c r="K1353" s="482">
        <v>0.79700000000000004</v>
      </c>
      <c r="L1353" s="482">
        <v>5.3999999999999999E-2</v>
      </c>
      <c r="M1353" s="482">
        <v>0.14899999999999999</v>
      </c>
    </row>
    <row r="1354" spans="1:13" x14ac:dyDescent="0.2">
      <c r="A1354" t="s">
        <v>2233</v>
      </c>
      <c r="B1354" t="s">
        <v>15</v>
      </c>
      <c r="C1354" t="s">
        <v>87</v>
      </c>
      <c r="D1354" t="s">
        <v>902</v>
      </c>
      <c r="E1354" t="s">
        <v>903</v>
      </c>
      <c r="F1354" t="s">
        <v>52</v>
      </c>
      <c r="G1354">
        <v>347</v>
      </c>
      <c r="H1354">
        <v>36</v>
      </c>
      <c r="I1354">
        <v>42</v>
      </c>
      <c r="J1354">
        <v>425</v>
      </c>
      <c r="K1354" s="482">
        <v>0.81599999999999995</v>
      </c>
      <c r="L1354" s="482">
        <v>8.5000000000000006E-2</v>
      </c>
      <c r="M1354" s="482">
        <v>9.9000000000000005E-2</v>
      </c>
    </row>
    <row r="1355" spans="1:13" x14ac:dyDescent="0.2">
      <c r="A1355" t="s">
        <v>2236</v>
      </c>
      <c r="B1355" t="s">
        <v>15</v>
      </c>
      <c r="C1355" t="s">
        <v>87</v>
      </c>
      <c r="D1355" t="s">
        <v>905</v>
      </c>
      <c r="E1355" t="s">
        <v>906</v>
      </c>
      <c r="F1355" t="s">
        <v>52</v>
      </c>
      <c r="G1355">
        <v>153</v>
      </c>
      <c r="H1355">
        <v>20</v>
      </c>
      <c r="I1355">
        <v>14</v>
      </c>
      <c r="J1355">
        <v>187</v>
      </c>
      <c r="K1355" s="482">
        <v>0.81799999999999995</v>
      </c>
      <c r="L1355" s="482">
        <v>0.107</v>
      </c>
      <c r="M1355" s="482">
        <v>7.4999999999999997E-2</v>
      </c>
    </row>
    <row r="1356" spans="1:13" x14ac:dyDescent="0.2">
      <c r="A1356" t="s">
        <v>2247</v>
      </c>
      <c r="B1356" t="s">
        <v>15</v>
      </c>
      <c r="C1356" t="s">
        <v>87</v>
      </c>
      <c r="D1356" t="s">
        <v>938</v>
      </c>
      <c r="E1356" t="s">
        <v>939</v>
      </c>
      <c r="F1356" t="s">
        <v>52</v>
      </c>
      <c r="G1356">
        <v>84</v>
      </c>
      <c r="H1356">
        <v>7</v>
      </c>
      <c r="I1356">
        <v>13</v>
      </c>
      <c r="J1356">
        <v>104</v>
      </c>
      <c r="K1356" s="482">
        <v>0.80800000000000005</v>
      </c>
      <c r="L1356" s="482">
        <v>6.7000000000000004E-2</v>
      </c>
      <c r="M1356" s="482">
        <v>0.125</v>
      </c>
    </row>
    <row r="1357" spans="1:13" x14ac:dyDescent="0.2">
      <c r="A1357" t="s">
        <v>2248</v>
      </c>
      <c r="B1357" t="s">
        <v>15</v>
      </c>
      <c r="C1357" t="s">
        <v>87</v>
      </c>
      <c r="D1357" t="s">
        <v>941</v>
      </c>
      <c r="E1357" t="s">
        <v>942</v>
      </c>
      <c r="F1357" t="s">
        <v>52</v>
      </c>
      <c r="G1357">
        <v>266</v>
      </c>
      <c r="H1357">
        <v>27</v>
      </c>
      <c r="I1357">
        <v>26</v>
      </c>
      <c r="J1357">
        <v>319</v>
      </c>
      <c r="K1357" s="482">
        <v>0.83399999999999996</v>
      </c>
      <c r="L1357" s="482">
        <v>8.5000000000000006E-2</v>
      </c>
      <c r="M1357" s="482">
        <v>8.2000000000000003E-2</v>
      </c>
    </row>
    <row r="1358" spans="1:13" x14ac:dyDescent="0.2">
      <c r="A1358" t="s">
        <v>2235</v>
      </c>
      <c r="B1358" t="s">
        <v>15</v>
      </c>
      <c r="C1358" t="s">
        <v>87</v>
      </c>
      <c r="D1358" t="s">
        <v>1016</v>
      </c>
      <c r="E1358" t="s">
        <v>1017</v>
      </c>
      <c r="F1358" t="s">
        <v>52</v>
      </c>
      <c r="G1358">
        <v>111</v>
      </c>
      <c r="H1358">
        <v>12</v>
      </c>
      <c r="I1358">
        <v>19</v>
      </c>
      <c r="J1358">
        <v>142</v>
      </c>
      <c r="K1358" s="482">
        <v>0.78200000000000003</v>
      </c>
      <c r="L1358" s="482">
        <v>8.5000000000000006E-2</v>
      </c>
      <c r="M1358" s="482">
        <v>0.13400000000000001</v>
      </c>
    </row>
    <row r="1359" spans="1:13" x14ac:dyDescent="0.2">
      <c r="A1359" t="s">
        <v>2209</v>
      </c>
      <c r="B1359" t="s">
        <v>15</v>
      </c>
      <c r="C1359" t="s">
        <v>87</v>
      </c>
      <c r="D1359" t="s">
        <v>830</v>
      </c>
      <c r="E1359" t="s">
        <v>831</v>
      </c>
      <c r="F1359" t="s">
        <v>52</v>
      </c>
      <c r="G1359">
        <v>124</v>
      </c>
      <c r="H1359">
        <v>27</v>
      </c>
      <c r="I1359">
        <v>17</v>
      </c>
      <c r="J1359">
        <v>168</v>
      </c>
      <c r="K1359" s="482">
        <v>0.73799999999999999</v>
      </c>
      <c r="L1359" s="482">
        <v>0.161</v>
      </c>
      <c r="M1359" s="482">
        <v>0.10100000000000001</v>
      </c>
    </row>
    <row r="1360" spans="1:13" x14ac:dyDescent="0.2">
      <c r="A1360" t="s">
        <v>2210</v>
      </c>
      <c r="B1360" t="s">
        <v>15</v>
      </c>
      <c r="C1360" t="s">
        <v>87</v>
      </c>
      <c r="D1360" t="s">
        <v>833</v>
      </c>
      <c r="E1360" t="s">
        <v>834</v>
      </c>
      <c r="F1360" t="s">
        <v>52</v>
      </c>
      <c r="G1360">
        <v>223</v>
      </c>
      <c r="H1360">
        <v>34</v>
      </c>
      <c r="I1360">
        <v>22</v>
      </c>
      <c r="J1360">
        <v>279</v>
      </c>
      <c r="K1360" s="482">
        <v>0.79900000000000004</v>
      </c>
      <c r="L1360" s="482">
        <v>0.122</v>
      </c>
      <c r="M1360" s="482">
        <v>7.9000000000000001E-2</v>
      </c>
    </row>
    <row r="1361" spans="1:13" x14ac:dyDescent="0.2">
      <c r="A1361" t="s">
        <v>2211</v>
      </c>
      <c r="B1361" t="s">
        <v>15</v>
      </c>
      <c r="C1361" t="s">
        <v>87</v>
      </c>
      <c r="D1361" t="s">
        <v>836</v>
      </c>
      <c r="E1361" t="s">
        <v>837</v>
      </c>
      <c r="F1361" t="s">
        <v>52</v>
      </c>
      <c r="G1361">
        <v>157</v>
      </c>
      <c r="H1361">
        <v>21</v>
      </c>
      <c r="I1361">
        <v>17</v>
      </c>
      <c r="J1361">
        <v>195</v>
      </c>
      <c r="K1361" s="482">
        <v>0.80500000000000005</v>
      </c>
      <c r="L1361" s="482">
        <v>0.108</v>
      </c>
      <c r="M1361" s="482">
        <v>8.6999999999999994E-2</v>
      </c>
    </row>
    <row r="1362" spans="1:13" x14ac:dyDescent="0.2">
      <c r="A1362" t="s">
        <v>2212</v>
      </c>
      <c r="B1362" t="s">
        <v>15</v>
      </c>
      <c r="C1362" t="s">
        <v>87</v>
      </c>
      <c r="D1362" t="s">
        <v>839</v>
      </c>
      <c r="E1362" t="s">
        <v>840</v>
      </c>
      <c r="F1362" t="s">
        <v>52</v>
      </c>
      <c r="G1362">
        <v>90</v>
      </c>
      <c r="H1362">
        <v>11</v>
      </c>
      <c r="I1362">
        <v>6</v>
      </c>
      <c r="J1362">
        <v>107</v>
      </c>
      <c r="K1362" s="482">
        <v>0.84099999999999997</v>
      </c>
      <c r="L1362" s="482">
        <v>0.10299999999999999</v>
      </c>
      <c r="M1362" s="482">
        <v>5.6000000000000001E-2</v>
      </c>
    </row>
    <row r="1363" spans="1:13" x14ac:dyDescent="0.2">
      <c r="A1363" t="s">
        <v>2213</v>
      </c>
      <c r="B1363" t="s">
        <v>15</v>
      </c>
      <c r="C1363" t="s">
        <v>87</v>
      </c>
      <c r="D1363" t="s">
        <v>842</v>
      </c>
      <c r="E1363" t="s">
        <v>843</v>
      </c>
      <c r="F1363" t="s">
        <v>52</v>
      </c>
      <c r="G1363">
        <v>166</v>
      </c>
      <c r="H1363">
        <v>18</v>
      </c>
      <c r="I1363">
        <v>20</v>
      </c>
      <c r="J1363">
        <v>204</v>
      </c>
      <c r="K1363" s="482">
        <v>0.81399999999999995</v>
      </c>
      <c r="L1363" s="482">
        <v>8.7999999999999995E-2</v>
      </c>
      <c r="M1363" s="482">
        <v>9.8000000000000004E-2</v>
      </c>
    </row>
    <row r="1364" spans="1:13" x14ac:dyDescent="0.2">
      <c r="A1364" t="s">
        <v>2214</v>
      </c>
      <c r="B1364" t="s">
        <v>15</v>
      </c>
      <c r="C1364" t="s">
        <v>87</v>
      </c>
      <c r="D1364" t="s">
        <v>845</v>
      </c>
      <c r="E1364" t="s">
        <v>846</v>
      </c>
      <c r="F1364" t="s">
        <v>52</v>
      </c>
      <c r="G1364">
        <v>101</v>
      </c>
      <c r="H1364">
        <v>18</v>
      </c>
      <c r="I1364">
        <v>18</v>
      </c>
      <c r="J1364">
        <v>137</v>
      </c>
      <c r="K1364" s="482">
        <v>0.73699999999999999</v>
      </c>
      <c r="L1364" s="482">
        <v>0.13100000000000001</v>
      </c>
      <c r="M1364" s="482">
        <v>0.13100000000000001</v>
      </c>
    </row>
    <row r="1365" spans="1:13" x14ac:dyDescent="0.2">
      <c r="A1365" t="s">
        <v>2215</v>
      </c>
      <c r="B1365" t="s">
        <v>15</v>
      </c>
      <c r="C1365" t="s">
        <v>87</v>
      </c>
      <c r="D1365" t="s">
        <v>848</v>
      </c>
      <c r="E1365" t="s">
        <v>849</v>
      </c>
      <c r="F1365" t="s">
        <v>52</v>
      </c>
      <c r="G1365">
        <v>164</v>
      </c>
      <c r="H1365">
        <v>20</v>
      </c>
      <c r="I1365">
        <v>15</v>
      </c>
      <c r="J1365">
        <v>199</v>
      </c>
      <c r="K1365" s="482">
        <v>0.82399999999999995</v>
      </c>
      <c r="L1365" s="482">
        <v>0.10100000000000001</v>
      </c>
      <c r="M1365" s="482">
        <v>7.4999999999999997E-2</v>
      </c>
    </row>
    <row r="1366" spans="1:13" x14ac:dyDescent="0.2">
      <c r="A1366" t="s">
        <v>2243</v>
      </c>
      <c r="B1366" t="s">
        <v>15</v>
      </c>
      <c r="C1366" t="s">
        <v>87</v>
      </c>
      <c r="D1366" t="s">
        <v>851</v>
      </c>
      <c r="E1366" t="s">
        <v>852</v>
      </c>
      <c r="F1366" t="s">
        <v>52</v>
      </c>
      <c r="G1366">
        <v>40</v>
      </c>
      <c r="H1366">
        <v>8</v>
      </c>
      <c r="I1366">
        <v>9</v>
      </c>
      <c r="J1366">
        <v>57</v>
      </c>
      <c r="K1366" s="482">
        <v>0.70199999999999996</v>
      </c>
      <c r="L1366" s="482">
        <v>0.14000000000000001</v>
      </c>
      <c r="M1366" s="482">
        <v>0.158</v>
      </c>
    </row>
    <row r="1367" spans="1:13" x14ac:dyDescent="0.2">
      <c r="A1367" t="s">
        <v>2246</v>
      </c>
      <c r="B1367" t="s">
        <v>15</v>
      </c>
      <c r="C1367" t="s">
        <v>87</v>
      </c>
      <c r="D1367" t="s">
        <v>935</v>
      </c>
      <c r="E1367" t="s">
        <v>936</v>
      </c>
      <c r="F1367" t="s">
        <v>52</v>
      </c>
      <c r="G1367">
        <v>27</v>
      </c>
      <c r="H1367">
        <v>2</v>
      </c>
      <c r="I1367">
        <v>3</v>
      </c>
      <c r="J1367">
        <v>32</v>
      </c>
      <c r="K1367" s="482">
        <v>0.84399999999999997</v>
      </c>
      <c r="L1367" s="482">
        <v>6.3E-2</v>
      </c>
      <c r="M1367" s="482">
        <v>9.4E-2</v>
      </c>
    </row>
    <row r="1368" spans="1:13" x14ac:dyDescent="0.2">
      <c r="A1368" t="s">
        <v>2245</v>
      </c>
      <c r="B1368" t="s">
        <v>15</v>
      </c>
      <c r="C1368" t="s">
        <v>87</v>
      </c>
      <c r="D1368" t="s">
        <v>932</v>
      </c>
      <c r="E1368" t="s">
        <v>933</v>
      </c>
      <c r="F1368" t="s">
        <v>52</v>
      </c>
      <c r="G1368">
        <v>149</v>
      </c>
      <c r="H1368">
        <v>24</v>
      </c>
      <c r="I1368">
        <v>15</v>
      </c>
      <c r="J1368">
        <v>188</v>
      </c>
      <c r="K1368" s="482">
        <v>0.79300000000000004</v>
      </c>
      <c r="L1368" s="482">
        <v>0.128</v>
      </c>
      <c r="M1368" s="482">
        <v>0.08</v>
      </c>
    </row>
    <row r="1369" spans="1:13" x14ac:dyDescent="0.2">
      <c r="A1369" t="s">
        <v>2250</v>
      </c>
      <c r="B1369" t="s">
        <v>15</v>
      </c>
      <c r="C1369" t="s">
        <v>87</v>
      </c>
      <c r="D1369" t="s">
        <v>947</v>
      </c>
      <c r="E1369" t="s">
        <v>948</v>
      </c>
      <c r="F1369" t="s">
        <v>52</v>
      </c>
      <c r="G1369">
        <v>80</v>
      </c>
      <c r="H1369">
        <v>9</v>
      </c>
      <c r="I1369">
        <v>14</v>
      </c>
      <c r="J1369">
        <v>103</v>
      </c>
      <c r="K1369" s="482">
        <v>0.77700000000000002</v>
      </c>
      <c r="L1369" s="482">
        <v>8.6999999999999994E-2</v>
      </c>
      <c r="M1369" s="482">
        <v>0.13600000000000001</v>
      </c>
    </row>
    <row r="1370" spans="1:13" x14ac:dyDescent="0.2">
      <c r="A1370" t="s">
        <v>2251</v>
      </c>
      <c r="B1370" t="s">
        <v>15</v>
      </c>
      <c r="C1370" t="s">
        <v>87</v>
      </c>
      <c r="D1370" t="s">
        <v>950</v>
      </c>
      <c r="E1370" t="s">
        <v>951</v>
      </c>
      <c r="F1370" t="s">
        <v>52</v>
      </c>
      <c r="G1370">
        <v>129</v>
      </c>
      <c r="H1370">
        <v>15</v>
      </c>
      <c r="I1370">
        <v>12</v>
      </c>
      <c r="J1370">
        <v>156</v>
      </c>
      <c r="K1370" s="482">
        <v>0.82699999999999996</v>
      </c>
      <c r="L1370" s="482">
        <v>9.6000000000000002E-2</v>
      </c>
      <c r="M1370" s="482">
        <v>7.6999999999999999E-2</v>
      </c>
    </row>
    <row r="1371" spans="1:13" x14ac:dyDescent="0.2">
      <c r="A1371" t="s">
        <v>2252</v>
      </c>
      <c r="B1371" t="s">
        <v>15</v>
      </c>
      <c r="C1371" t="s">
        <v>87</v>
      </c>
      <c r="D1371" t="s">
        <v>953</v>
      </c>
      <c r="E1371" t="s">
        <v>954</v>
      </c>
      <c r="F1371" t="s">
        <v>52</v>
      </c>
      <c r="G1371">
        <v>141</v>
      </c>
      <c r="H1371">
        <v>11</v>
      </c>
      <c r="I1371">
        <v>18</v>
      </c>
      <c r="J1371">
        <v>170</v>
      </c>
      <c r="K1371" s="482">
        <v>0.82899999999999996</v>
      </c>
      <c r="L1371" s="482">
        <v>6.5000000000000002E-2</v>
      </c>
      <c r="M1371" s="482">
        <v>0.106</v>
      </c>
    </row>
    <row r="1372" spans="1:13" x14ac:dyDescent="0.2">
      <c r="A1372" t="s">
        <v>2253</v>
      </c>
      <c r="B1372" t="s">
        <v>15</v>
      </c>
      <c r="C1372" t="s">
        <v>87</v>
      </c>
      <c r="D1372" t="s">
        <v>956</v>
      </c>
      <c r="E1372" t="s">
        <v>957</v>
      </c>
      <c r="F1372" t="s">
        <v>52</v>
      </c>
      <c r="G1372">
        <v>90</v>
      </c>
      <c r="H1372">
        <v>13</v>
      </c>
      <c r="I1372">
        <v>11</v>
      </c>
      <c r="J1372">
        <v>114</v>
      </c>
      <c r="K1372" s="482">
        <v>0.78900000000000003</v>
      </c>
      <c r="L1372" s="482">
        <v>0.114</v>
      </c>
      <c r="M1372" s="482">
        <v>9.6000000000000002E-2</v>
      </c>
    </row>
    <row r="1373" spans="1:13" x14ac:dyDescent="0.2">
      <c r="A1373" t="s">
        <v>2254</v>
      </c>
      <c r="B1373" t="s">
        <v>15</v>
      </c>
      <c r="C1373" t="s">
        <v>87</v>
      </c>
      <c r="D1373" t="s">
        <v>959</v>
      </c>
      <c r="E1373" t="s">
        <v>960</v>
      </c>
      <c r="F1373" t="s">
        <v>52</v>
      </c>
      <c r="G1373">
        <v>351</v>
      </c>
      <c r="H1373">
        <v>42</v>
      </c>
      <c r="I1373">
        <v>46</v>
      </c>
      <c r="J1373">
        <v>439</v>
      </c>
      <c r="K1373" s="482">
        <v>0.8</v>
      </c>
      <c r="L1373" s="482">
        <v>9.6000000000000002E-2</v>
      </c>
      <c r="M1373" s="482">
        <v>0.105</v>
      </c>
    </row>
    <row r="1374" spans="1:13" x14ac:dyDescent="0.2">
      <c r="A1374" t="s">
        <v>2255</v>
      </c>
      <c r="B1374" t="s">
        <v>15</v>
      </c>
      <c r="C1374" t="s">
        <v>87</v>
      </c>
      <c r="D1374" t="s">
        <v>962</v>
      </c>
      <c r="E1374" t="s">
        <v>963</v>
      </c>
      <c r="F1374" t="s">
        <v>52</v>
      </c>
      <c r="G1374">
        <v>64</v>
      </c>
      <c r="H1374">
        <v>7</v>
      </c>
      <c r="I1374">
        <v>6</v>
      </c>
      <c r="J1374">
        <v>77</v>
      </c>
      <c r="K1374" s="482">
        <v>0.83099999999999996</v>
      </c>
      <c r="L1374" s="482">
        <v>9.0999999999999998E-2</v>
      </c>
      <c r="M1374" s="482">
        <v>7.8E-2</v>
      </c>
    </row>
    <row r="1375" spans="1:13" x14ac:dyDescent="0.2">
      <c r="A1375" t="s">
        <v>2256</v>
      </c>
      <c r="B1375" t="s">
        <v>15</v>
      </c>
      <c r="C1375" t="s">
        <v>87</v>
      </c>
      <c r="D1375" t="s">
        <v>965</v>
      </c>
      <c r="E1375" t="s">
        <v>966</v>
      </c>
      <c r="F1375" t="s">
        <v>52</v>
      </c>
      <c r="G1375">
        <v>40</v>
      </c>
      <c r="H1375">
        <v>1</v>
      </c>
      <c r="I1375">
        <v>3</v>
      </c>
      <c r="J1375">
        <v>44</v>
      </c>
      <c r="K1375" s="482">
        <v>0.90900000000000003</v>
      </c>
      <c r="L1375" s="482">
        <v>2.3E-2</v>
      </c>
      <c r="M1375" s="482">
        <v>6.8000000000000005E-2</v>
      </c>
    </row>
    <row r="1376" spans="1:13" x14ac:dyDescent="0.2">
      <c r="A1376" t="s">
        <v>2257</v>
      </c>
      <c r="B1376" t="s">
        <v>15</v>
      </c>
      <c r="C1376" t="s">
        <v>87</v>
      </c>
      <c r="D1376" t="s">
        <v>968</v>
      </c>
      <c r="E1376" t="s">
        <v>969</v>
      </c>
      <c r="F1376" t="s">
        <v>52</v>
      </c>
      <c r="G1376">
        <v>159</v>
      </c>
      <c r="H1376">
        <v>29</v>
      </c>
      <c r="I1376">
        <v>16</v>
      </c>
      <c r="J1376">
        <v>204</v>
      </c>
      <c r="K1376" s="482">
        <v>0.77900000000000003</v>
      </c>
      <c r="L1376" s="482">
        <v>0.14199999999999999</v>
      </c>
      <c r="M1376" s="482">
        <v>7.8E-2</v>
      </c>
    </row>
    <row r="1377" spans="1:13" x14ac:dyDescent="0.2">
      <c r="A1377" t="s">
        <v>2258</v>
      </c>
      <c r="B1377" t="s">
        <v>15</v>
      </c>
      <c r="C1377" t="s">
        <v>87</v>
      </c>
      <c r="D1377" t="s">
        <v>971</v>
      </c>
      <c r="E1377" t="s">
        <v>972</v>
      </c>
      <c r="F1377" t="s">
        <v>52</v>
      </c>
      <c r="G1377">
        <v>111</v>
      </c>
      <c r="H1377">
        <v>13</v>
      </c>
      <c r="I1377">
        <v>8</v>
      </c>
      <c r="J1377">
        <v>132</v>
      </c>
      <c r="K1377" s="482">
        <v>0.84099999999999997</v>
      </c>
      <c r="L1377" s="482">
        <v>9.8000000000000004E-2</v>
      </c>
      <c r="M1377" s="482">
        <v>6.0999999999999999E-2</v>
      </c>
    </row>
    <row r="1378" spans="1:13" x14ac:dyDescent="0.2">
      <c r="A1378" t="s">
        <v>2259</v>
      </c>
      <c r="B1378" t="s">
        <v>15</v>
      </c>
      <c r="C1378" t="s">
        <v>87</v>
      </c>
      <c r="D1378" t="s">
        <v>974</v>
      </c>
      <c r="E1378" t="s">
        <v>975</v>
      </c>
      <c r="F1378" t="s">
        <v>52</v>
      </c>
      <c r="G1378">
        <v>133</v>
      </c>
      <c r="H1378">
        <v>13</v>
      </c>
      <c r="I1378">
        <v>7</v>
      </c>
      <c r="J1378">
        <v>153</v>
      </c>
      <c r="K1378" s="482">
        <v>0.86899999999999999</v>
      </c>
      <c r="L1378" s="482">
        <v>8.5000000000000006E-2</v>
      </c>
      <c r="M1378" s="482">
        <v>4.5999999999999999E-2</v>
      </c>
    </row>
    <row r="1379" spans="1:13" x14ac:dyDescent="0.2">
      <c r="A1379" t="s">
        <v>2260</v>
      </c>
      <c r="B1379" t="s">
        <v>15</v>
      </c>
      <c r="C1379" t="s">
        <v>87</v>
      </c>
      <c r="D1379" t="s">
        <v>977</v>
      </c>
      <c r="E1379" t="s">
        <v>978</v>
      </c>
      <c r="F1379" t="s">
        <v>52</v>
      </c>
      <c r="G1379">
        <v>130</v>
      </c>
      <c r="H1379">
        <v>15</v>
      </c>
      <c r="I1379">
        <v>15</v>
      </c>
      <c r="J1379">
        <v>160</v>
      </c>
      <c r="K1379" s="482">
        <v>0.81299999999999994</v>
      </c>
      <c r="L1379" s="482">
        <v>9.4E-2</v>
      </c>
      <c r="M1379" s="482">
        <v>9.4E-2</v>
      </c>
    </row>
    <row r="1380" spans="1:13" x14ac:dyDescent="0.2">
      <c r="A1380" t="s">
        <v>2261</v>
      </c>
      <c r="B1380" t="s">
        <v>15</v>
      </c>
      <c r="C1380" t="s">
        <v>87</v>
      </c>
      <c r="D1380" t="s">
        <v>980</v>
      </c>
      <c r="E1380" t="s">
        <v>981</v>
      </c>
      <c r="F1380" t="s">
        <v>52</v>
      </c>
      <c r="G1380">
        <v>203</v>
      </c>
      <c r="H1380">
        <v>18</v>
      </c>
      <c r="I1380">
        <v>27</v>
      </c>
      <c r="J1380">
        <v>248</v>
      </c>
      <c r="K1380" s="482">
        <v>0.81899999999999995</v>
      </c>
      <c r="L1380" s="482">
        <v>7.2999999999999995E-2</v>
      </c>
      <c r="M1380" s="482">
        <v>0.109</v>
      </c>
    </row>
    <row r="1381" spans="1:13" x14ac:dyDescent="0.2">
      <c r="A1381" t="s">
        <v>2262</v>
      </c>
      <c r="B1381" t="s">
        <v>15</v>
      </c>
      <c r="C1381" t="s">
        <v>87</v>
      </c>
      <c r="D1381" t="s">
        <v>983</v>
      </c>
      <c r="E1381" t="s">
        <v>984</v>
      </c>
      <c r="F1381" t="s">
        <v>52</v>
      </c>
      <c r="G1381">
        <v>108</v>
      </c>
      <c r="H1381">
        <v>21</v>
      </c>
      <c r="I1381">
        <v>18</v>
      </c>
      <c r="J1381">
        <v>147</v>
      </c>
      <c r="K1381" s="482">
        <v>0.73499999999999999</v>
      </c>
      <c r="L1381" s="482">
        <v>0.14299999999999999</v>
      </c>
      <c r="M1381" s="482">
        <v>0.122</v>
      </c>
    </row>
    <row r="1382" spans="1:13" x14ac:dyDescent="0.2">
      <c r="A1382" t="s">
        <v>2263</v>
      </c>
      <c r="B1382" t="s">
        <v>15</v>
      </c>
      <c r="C1382" t="s">
        <v>87</v>
      </c>
      <c r="D1382" t="s">
        <v>986</v>
      </c>
      <c r="E1382" t="s">
        <v>987</v>
      </c>
      <c r="F1382" t="s">
        <v>52</v>
      </c>
      <c r="G1382">
        <v>55</v>
      </c>
      <c r="H1382">
        <v>6</v>
      </c>
      <c r="I1382">
        <v>12</v>
      </c>
      <c r="J1382">
        <v>73</v>
      </c>
      <c r="K1382" s="482">
        <v>0.753</v>
      </c>
      <c r="L1382" s="482">
        <v>8.2000000000000003E-2</v>
      </c>
      <c r="M1382" s="482">
        <v>0.16400000000000001</v>
      </c>
    </row>
    <row r="1383" spans="1:13" x14ac:dyDescent="0.2">
      <c r="A1383" t="s">
        <v>2264</v>
      </c>
      <c r="B1383" t="s">
        <v>15</v>
      </c>
      <c r="C1383" t="s">
        <v>87</v>
      </c>
      <c r="D1383" t="s">
        <v>989</v>
      </c>
      <c r="E1383" t="s">
        <v>990</v>
      </c>
      <c r="F1383" t="s">
        <v>52</v>
      </c>
      <c r="G1383">
        <v>47</v>
      </c>
      <c r="H1383">
        <v>9</v>
      </c>
      <c r="I1383">
        <v>5</v>
      </c>
      <c r="J1383">
        <v>61</v>
      </c>
      <c r="K1383" s="482">
        <v>0.77</v>
      </c>
      <c r="L1383" s="482">
        <v>0.14799999999999999</v>
      </c>
      <c r="M1383" s="482">
        <v>8.2000000000000003E-2</v>
      </c>
    </row>
    <row r="1384" spans="1:13" x14ac:dyDescent="0.2">
      <c r="A1384" t="s">
        <v>2216</v>
      </c>
      <c r="B1384" t="s">
        <v>15</v>
      </c>
      <c r="C1384" t="s">
        <v>87</v>
      </c>
      <c r="D1384" t="s">
        <v>731</v>
      </c>
      <c r="E1384" t="s">
        <v>732</v>
      </c>
      <c r="F1384" t="s">
        <v>52</v>
      </c>
      <c r="G1384">
        <v>18</v>
      </c>
      <c r="H1384">
        <v>2</v>
      </c>
      <c r="I1384">
        <v>2</v>
      </c>
      <c r="J1384">
        <v>22</v>
      </c>
      <c r="K1384" s="482">
        <v>0.81799999999999995</v>
      </c>
      <c r="L1384" s="482">
        <v>9.0999999999999998E-2</v>
      </c>
      <c r="M1384" s="482">
        <v>9.0999999999999998E-2</v>
      </c>
    </row>
    <row r="1385" spans="1:13" x14ac:dyDescent="0.2">
      <c r="A1385" t="s">
        <v>2175</v>
      </c>
      <c r="B1385" t="s">
        <v>15</v>
      </c>
      <c r="C1385" t="s">
        <v>87</v>
      </c>
      <c r="D1385" t="s">
        <v>728</v>
      </c>
      <c r="E1385" t="s">
        <v>729</v>
      </c>
      <c r="F1385" t="s">
        <v>52</v>
      </c>
      <c r="G1385">
        <v>13</v>
      </c>
      <c r="H1385">
        <v>1</v>
      </c>
      <c r="I1385">
        <v>1</v>
      </c>
      <c r="J1385">
        <v>15</v>
      </c>
      <c r="K1385" s="482">
        <v>0.86699999999999999</v>
      </c>
      <c r="L1385" s="482">
        <v>6.7000000000000004E-2</v>
      </c>
      <c r="M1385" s="482">
        <v>6.7000000000000004E-2</v>
      </c>
    </row>
    <row r="1386" spans="1:13" x14ac:dyDescent="0.2">
      <c r="A1386" t="s">
        <v>2128</v>
      </c>
      <c r="B1386" t="s">
        <v>15</v>
      </c>
      <c r="C1386" t="s">
        <v>87</v>
      </c>
      <c r="D1386" t="s">
        <v>589</v>
      </c>
      <c r="E1386" t="s">
        <v>590</v>
      </c>
      <c r="F1386" t="s">
        <v>52</v>
      </c>
      <c r="G1386">
        <v>115</v>
      </c>
      <c r="H1386">
        <v>13</v>
      </c>
      <c r="I1386">
        <v>10</v>
      </c>
      <c r="J1386">
        <v>138</v>
      </c>
      <c r="K1386" s="482">
        <v>0.83299999999999996</v>
      </c>
      <c r="L1386" s="482">
        <v>9.4E-2</v>
      </c>
      <c r="M1386" s="482">
        <v>7.1999999999999995E-2</v>
      </c>
    </row>
    <row r="1387" spans="1:13" x14ac:dyDescent="0.2">
      <c r="A1387" t="s">
        <v>2129</v>
      </c>
      <c r="B1387" t="s">
        <v>15</v>
      </c>
      <c r="C1387" t="s">
        <v>87</v>
      </c>
      <c r="D1387" t="s">
        <v>592</v>
      </c>
      <c r="E1387" t="s">
        <v>593</v>
      </c>
      <c r="F1387" t="s">
        <v>52</v>
      </c>
      <c r="G1387">
        <v>262</v>
      </c>
      <c r="H1387">
        <v>27</v>
      </c>
      <c r="I1387">
        <v>28</v>
      </c>
      <c r="J1387">
        <v>317</v>
      </c>
      <c r="K1387" s="482">
        <v>0.82599999999999996</v>
      </c>
      <c r="L1387" s="482">
        <v>8.5000000000000006E-2</v>
      </c>
      <c r="M1387" s="482">
        <v>8.7999999999999995E-2</v>
      </c>
    </row>
    <row r="1388" spans="1:13" x14ac:dyDescent="0.2">
      <c r="A1388" t="s">
        <v>2130</v>
      </c>
      <c r="B1388" t="s">
        <v>15</v>
      </c>
      <c r="C1388" t="s">
        <v>87</v>
      </c>
      <c r="D1388" t="s">
        <v>595</v>
      </c>
      <c r="E1388" t="s">
        <v>596</v>
      </c>
      <c r="F1388" t="s">
        <v>52</v>
      </c>
      <c r="G1388">
        <v>69</v>
      </c>
      <c r="H1388">
        <v>12</v>
      </c>
      <c r="I1388">
        <v>5</v>
      </c>
      <c r="J1388">
        <v>86</v>
      </c>
      <c r="K1388" s="482">
        <v>0.80200000000000005</v>
      </c>
      <c r="L1388" s="482">
        <v>0.14000000000000001</v>
      </c>
      <c r="M1388" s="482">
        <v>5.8000000000000003E-2</v>
      </c>
    </row>
    <row r="1389" spans="1:13" x14ac:dyDescent="0.2">
      <c r="A1389" t="s">
        <v>2131</v>
      </c>
      <c r="B1389" t="s">
        <v>15</v>
      </c>
      <c r="C1389" t="s">
        <v>87</v>
      </c>
      <c r="D1389" t="s">
        <v>598</v>
      </c>
      <c r="E1389" t="s">
        <v>599</v>
      </c>
      <c r="F1389" t="s">
        <v>52</v>
      </c>
      <c r="G1389">
        <v>274</v>
      </c>
      <c r="H1389">
        <v>32</v>
      </c>
      <c r="I1389">
        <v>46</v>
      </c>
      <c r="J1389">
        <v>352</v>
      </c>
      <c r="K1389" s="482">
        <v>0.77800000000000002</v>
      </c>
      <c r="L1389" s="482">
        <v>9.0999999999999998E-2</v>
      </c>
      <c r="M1389" s="482">
        <v>0.13100000000000001</v>
      </c>
    </row>
    <row r="1390" spans="1:13" x14ac:dyDescent="0.2">
      <c r="A1390" t="s">
        <v>2132</v>
      </c>
      <c r="B1390" t="s">
        <v>15</v>
      </c>
      <c r="C1390" t="s">
        <v>87</v>
      </c>
      <c r="D1390" t="s">
        <v>601</v>
      </c>
      <c r="E1390" t="s">
        <v>602</v>
      </c>
      <c r="F1390" t="s">
        <v>52</v>
      </c>
      <c r="G1390">
        <v>77</v>
      </c>
      <c r="H1390">
        <v>6</v>
      </c>
      <c r="I1390">
        <v>9</v>
      </c>
      <c r="J1390">
        <v>92</v>
      </c>
      <c r="K1390" s="482">
        <v>0.83699999999999997</v>
      </c>
      <c r="L1390" s="482">
        <v>6.5000000000000002E-2</v>
      </c>
      <c r="M1390" s="482">
        <v>9.8000000000000004E-2</v>
      </c>
    </row>
    <row r="1391" spans="1:13" x14ac:dyDescent="0.2">
      <c r="A1391" t="s">
        <v>2133</v>
      </c>
      <c r="B1391" t="s">
        <v>15</v>
      </c>
      <c r="C1391" t="s">
        <v>87</v>
      </c>
      <c r="D1391" t="s">
        <v>604</v>
      </c>
      <c r="E1391" t="s">
        <v>605</v>
      </c>
      <c r="F1391" t="s">
        <v>52</v>
      </c>
      <c r="G1391">
        <v>68</v>
      </c>
      <c r="H1391">
        <v>5</v>
      </c>
      <c r="I1391">
        <v>5</v>
      </c>
      <c r="J1391">
        <v>78</v>
      </c>
      <c r="K1391" s="482">
        <v>0.872</v>
      </c>
      <c r="L1391" s="482">
        <v>6.4000000000000001E-2</v>
      </c>
      <c r="M1391" s="482">
        <v>6.4000000000000001E-2</v>
      </c>
    </row>
    <row r="1392" spans="1:13" x14ac:dyDescent="0.2">
      <c r="A1392" t="s">
        <v>2134</v>
      </c>
      <c r="B1392" t="s">
        <v>15</v>
      </c>
      <c r="C1392" t="s">
        <v>87</v>
      </c>
      <c r="D1392" t="s">
        <v>607</v>
      </c>
      <c r="E1392" t="s">
        <v>608</v>
      </c>
      <c r="F1392" t="s">
        <v>52</v>
      </c>
      <c r="G1392">
        <v>26</v>
      </c>
      <c r="H1392">
        <v>6</v>
      </c>
      <c r="I1392">
        <v>5</v>
      </c>
      <c r="J1392">
        <v>37</v>
      </c>
      <c r="K1392" s="482">
        <v>0.70299999999999996</v>
      </c>
      <c r="L1392" s="482">
        <v>0.16200000000000001</v>
      </c>
      <c r="M1392" s="482">
        <v>0.13500000000000001</v>
      </c>
    </row>
    <row r="1393" spans="1:13" x14ac:dyDescent="0.2">
      <c r="A1393" t="s">
        <v>2160</v>
      </c>
      <c r="B1393" t="s">
        <v>15</v>
      </c>
      <c r="C1393" t="s">
        <v>87</v>
      </c>
      <c r="D1393" t="s">
        <v>683</v>
      </c>
      <c r="E1393" t="s">
        <v>684</v>
      </c>
      <c r="F1393" t="s">
        <v>52</v>
      </c>
      <c r="G1393">
        <v>104</v>
      </c>
      <c r="H1393">
        <v>11</v>
      </c>
      <c r="I1393">
        <v>23</v>
      </c>
      <c r="J1393">
        <v>138</v>
      </c>
      <c r="K1393" s="482">
        <v>0.754</v>
      </c>
      <c r="L1393" s="482">
        <v>0.08</v>
      </c>
      <c r="M1393" s="482">
        <v>0.16700000000000001</v>
      </c>
    </row>
    <row r="1394" spans="1:13" x14ac:dyDescent="0.2">
      <c r="A1394" t="s">
        <v>2161</v>
      </c>
      <c r="B1394" t="s">
        <v>15</v>
      </c>
      <c r="C1394" t="s">
        <v>87</v>
      </c>
      <c r="D1394" t="s">
        <v>686</v>
      </c>
      <c r="E1394" t="s">
        <v>687</v>
      </c>
      <c r="F1394" t="s">
        <v>52</v>
      </c>
      <c r="G1394">
        <v>60</v>
      </c>
      <c r="H1394">
        <v>8</v>
      </c>
      <c r="I1394">
        <v>4</v>
      </c>
      <c r="J1394">
        <v>72</v>
      </c>
      <c r="K1394" s="482">
        <v>0.83299999999999996</v>
      </c>
      <c r="L1394" s="482">
        <v>0.111</v>
      </c>
      <c r="M1394" s="482">
        <v>5.6000000000000001E-2</v>
      </c>
    </row>
    <row r="1395" spans="1:13" x14ac:dyDescent="0.2">
      <c r="A1395" t="s">
        <v>2162</v>
      </c>
      <c r="B1395" t="s">
        <v>15</v>
      </c>
      <c r="C1395" t="s">
        <v>87</v>
      </c>
      <c r="D1395" t="s">
        <v>689</v>
      </c>
      <c r="E1395" t="s">
        <v>690</v>
      </c>
      <c r="F1395" t="s">
        <v>52</v>
      </c>
      <c r="G1395">
        <v>22</v>
      </c>
      <c r="H1395">
        <v>1</v>
      </c>
      <c r="I1395">
        <v>2</v>
      </c>
      <c r="J1395">
        <v>25</v>
      </c>
      <c r="K1395" s="482">
        <v>0.88</v>
      </c>
      <c r="L1395" s="482">
        <v>0.04</v>
      </c>
      <c r="M1395" s="482">
        <v>0.08</v>
      </c>
    </row>
    <row r="1396" spans="1:13" x14ac:dyDescent="0.2">
      <c r="A1396" t="s">
        <v>2163</v>
      </c>
      <c r="B1396" t="s">
        <v>15</v>
      </c>
      <c r="C1396" t="s">
        <v>87</v>
      </c>
      <c r="D1396" t="s">
        <v>692</v>
      </c>
      <c r="E1396" t="s">
        <v>693</v>
      </c>
      <c r="F1396" t="s">
        <v>52</v>
      </c>
      <c r="G1396">
        <v>122</v>
      </c>
      <c r="H1396">
        <v>20</v>
      </c>
      <c r="I1396">
        <v>16</v>
      </c>
      <c r="J1396">
        <v>158</v>
      </c>
      <c r="K1396" s="482">
        <v>0.77200000000000002</v>
      </c>
      <c r="L1396" s="482">
        <v>0.127</v>
      </c>
      <c r="M1396" s="482">
        <v>0.10100000000000001</v>
      </c>
    </row>
    <row r="1397" spans="1:13" x14ac:dyDescent="0.2">
      <c r="A1397" t="s">
        <v>2164</v>
      </c>
      <c r="B1397" t="s">
        <v>15</v>
      </c>
      <c r="C1397" t="s">
        <v>87</v>
      </c>
      <c r="D1397" t="s">
        <v>695</v>
      </c>
      <c r="E1397" t="s">
        <v>696</v>
      </c>
      <c r="F1397" t="s">
        <v>52</v>
      </c>
      <c r="G1397">
        <v>66</v>
      </c>
      <c r="H1397">
        <v>11</v>
      </c>
      <c r="I1397">
        <v>18</v>
      </c>
      <c r="J1397">
        <v>95</v>
      </c>
      <c r="K1397" s="482">
        <v>0.69499999999999995</v>
      </c>
      <c r="L1397" s="482">
        <v>0.11600000000000001</v>
      </c>
      <c r="M1397" s="482">
        <v>0.189</v>
      </c>
    </row>
    <row r="1398" spans="1:13" x14ac:dyDescent="0.2">
      <c r="A1398" t="s">
        <v>2165</v>
      </c>
      <c r="B1398" t="s">
        <v>15</v>
      </c>
      <c r="C1398" t="s">
        <v>87</v>
      </c>
      <c r="D1398" t="s">
        <v>698</v>
      </c>
      <c r="E1398" t="s">
        <v>699</v>
      </c>
      <c r="F1398" t="s">
        <v>52</v>
      </c>
      <c r="G1398">
        <v>114</v>
      </c>
      <c r="H1398">
        <v>20</v>
      </c>
      <c r="I1398">
        <v>23</v>
      </c>
      <c r="J1398">
        <v>157</v>
      </c>
      <c r="K1398" s="482">
        <v>0.72599999999999998</v>
      </c>
      <c r="L1398" s="482">
        <v>0.127</v>
      </c>
      <c r="M1398" s="482">
        <v>0.14599999999999999</v>
      </c>
    </row>
    <row r="1399" spans="1:13" x14ac:dyDescent="0.2">
      <c r="A1399" t="s">
        <v>2166</v>
      </c>
      <c r="B1399" t="s">
        <v>15</v>
      </c>
      <c r="C1399" t="s">
        <v>87</v>
      </c>
      <c r="D1399" t="s">
        <v>701</v>
      </c>
      <c r="E1399" t="s">
        <v>702</v>
      </c>
      <c r="F1399" t="s">
        <v>52</v>
      </c>
      <c r="G1399">
        <v>173</v>
      </c>
      <c r="H1399">
        <v>20</v>
      </c>
      <c r="I1399">
        <v>16</v>
      </c>
      <c r="J1399">
        <v>209</v>
      </c>
      <c r="K1399" s="482">
        <v>0.82799999999999996</v>
      </c>
      <c r="L1399" s="482">
        <v>9.6000000000000002E-2</v>
      </c>
      <c r="M1399" s="482">
        <v>7.6999999999999999E-2</v>
      </c>
    </row>
    <row r="1400" spans="1:13" x14ac:dyDescent="0.2">
      <c r="A1400" t="s">
        <v>2167</v>
      </c>
      <c r="B1400" t="s">
        <v>15</v>
      </c>
      <c r="C1400" t="s">
        <v>87</v>
      </c>
      <c r="D1400" t="s">
        <v>704</v>
      </c>
      <c r="E1400" t="s">
        <v>705</v>
      </c>
      <c r="F1400" t="s">
        <v>52</v>
      </c>
      <c r="G1400">
        <v>88</v>
      </c>
      <c r="H1400">
        <v>8</v>
      </c>
      <c r="I1400">
        <v>7</v>
      </c>
      <c r="J1400">
        <v>103</v>
      </c>
      <c r="K1400" s="482">
        <v>0.85399999999999998</v>
      </c>
      <c r="L1400" s="482">
        <v>7.8E-2</v>
      </c>
      <c r="M1400" s="482">
        <v>6.8000000000000005E-2</v>
      </c>
    </row>
    <row r="1401" spans="1:13" x14ac:dyDescent="0.2">
      <c r="A1401" t="s">
        <v>2168</v>
      </c>
      <c r="B1401" t="s">
        <v>15</v>
      </c>
      <c r="C1401" t="s">
        <v>87</v>
      </c>
      <c r="D1401" t="s">
        <v>707</v>
      </c>
      <c r="E1401" t="s">
        <v>708</v>
      </c>
      <c r="F1401" t="s">
        <v>52</v>
      </c>
      <c r="G1401">
        <v>68</v>
      </c>
      <c r="H1401">
        <v>6</v>
      </c>
      <c r="I1401">
        <v>6</v>
      </c>
      <c r="J1401">
        <v>80</v>
      </c>
      <c r="K1401" s="482">
        <v>0.85</v>
      </c>
      <c r="L1401" s="482">
        <v>7.4999999999999997E-2</v>
      </c>
      <c r="M1401" s="482">
        <v>7.4999999999999997E-2</v>
      </c>
    </row>
    <row r="1402" spans="1:13" x14ac:dyDescent="0.2">
      <c r="A1402" t="s">
        <v>2169</v>
      </c>
      <c r="B1402" t="s">
        <v>15</v>
      </c>
      <c r="C1402" t="s">
        <v>87</v>
      </c>
      <c r="D1402" t="s">
        <v>710</v>
      </c>
      <c r="E1402" t="s">
        <v>711</v>
      </c>
      <c r="F1402" t="s">
        <v>52</v>
      </c>
      <c r="G1402">
        <v>137</v>
      </c>
      <c r="H1402">
        <v>11</v>
      </c>
      <c r="I1402">
        <v>13</v>
      </c>
      <c r="J1402">
        <v>161</v>
      </c>
      <c r="K1402" s="482">
        <v>0.85099999999999998</v>
      </c>
      <c r="L1402" s="482">
        <v>6.8000000000000005E-2</v>
      </c>
      <c r="M1402" s="482">
        <v>8.1000000000000003E-2</v>
      </c>
    </row>
    <row r="1403" spans="1:13" x14ac:dyDescent="0.2">
      <c r="A1403" t="s">
        <v>2170</v>
      </c>
      <c r="B1403" t="s">
        <v>15</v>
      </c>
      <c r="C1403" t="s">
        <v>87</v>
      </c>
      <c r="D1403" t="s">
        <v>713</v>
      </c>
      <c r="E1403" t="s">
        <v>714</v>
      </c>
      <c r="F1403" t="s">
        <v>52</v>
      </c>
      <c r="G1403">
        <v>422</v>
      </c>
      <c r="H1403">
        <v>47</v>
      </c>
      <c r="I1403">
        <v>44</v>
      </c>
      <c r="J1403">
        <v>513</v>
      </c>
      <c r="K1403" s="482">
        <v>0.82299999999999995</v>
      </c>
      <c r="L1403" s="482">
        <v>9.1999999999999998E-2</v>
      </c>
      <c r="M1403" s="482">
        <v>8.5999999999999993E-2</v>
      </c>
    </row>
    <row r="1404" spans="1:13" x14ac:dyDescent="0.2">
      <c r="A1404" t="s">
        <v>2171</v>
      </c>
      <c r="B1404" t="s">
        <v>15</v>
      </c>
      <c r="C1404" t="s">
        <v>87</v>
      </c>
      <c r="D1404" t="s">
        <v>716</v>
      </c>
      <c r="E1404" t="s">
        <v>717</v>
      </c>
      <c r="F1404" t="s">
        <v>52</v>
      </c>
      <c r="G1404">
        <v>15</v>
      </c>
      <c r="H1404">
        <v>5</v>
      </c>
      <c r="I1404">
        <v>7</v>
      </c>
      <c r="J1404">
        <v>27</v>
      </c>
      <c r="K1404" s="482">
        <v>0.55600000000000005</v>
      </c>
      <c r="L1404" s="482">
        <v>0.185</v>
      </c>
      <c r="M1404" s="482">
        <v>0.25900000000000001</v>
      </c>
    </row>
    <row r="1405" spans="1:13" x14ac:dyDescent="0.2">
      <c r="A1405" t="s">
        <v>2172</v>
      </c>
      <c r="B1405" t="s">
        <v>15</v>
      </c>
      <c r="C1405" t="s">
        <v>87</v>
      </c>
      <c r="D1405" t="s">
        <v>719</v>
      </c>
      <c r="E1405" t="s">
        <v>720</v>
      </c>
      <c r="F1405" t="s">
        <v>52</v>
      </c>
      <c r="G1405">
        <v>125</v>
      </c>
      <c r="H1405">
        <v>14</v>
      </c>
      <c r="I1405">
        <v>19</v>
      </c>
      <c r="J1405">
        <v>158</v>
      </c>
      <c r="K1405" s="482">
        <v>0.79100000000000004</v>
      </c>
      <c r="L1405" s="482">
        <v>8.8999999999999996E-2</v>
      </c>
      <c r="M1405" s="482">
        <v>0.12</v>
      </c>
    </row>
    <row r="1406" spans="1:13" x14ac:dyDescent="0.2">
      <c r="A1406" t="s">
        <v>2173</v>
      </c>
      <c r="B1406" t="s">
        <v>15</v>
      </c>
      <c r="C1406" t="s">
        <v>87</v>
      </c>
      <c r="D1406" t="s">
        <v>722</v>
      </c>
      <c r="E1406" t="s">
        <v>723</v>
      </c>
      <c r="F1406" t="s">
        <v>52</v>
      </c>
      <c r="G1406">
        <v>109</v>
      </c>
      <c r="H1406">
        <v>8</v>
      </c>
      <c r="I1406">
        <v>10</v>
      </c>
      <c r="J1406">
        <v>127</v>
      </c>
      <c r="K1406" s="482">
        <v>0.85799999999999998</v>
      </c>
      <c r="L1406" s="482">
        <v>6.3E-2</v>
      </c>
      <c r="M1406" s="482">
        <v>7.9000000000000001E-2</v>
      </c>
    </row>
    <row r="1407" spans="1:13" x14ac:dyDescent="0.2">
      <c r="A1407" t="s">
        <v>2174</v>
      </c>
      <c r="B1407" t="s">
        <v>15</v>
      </c>
      <c r="C1407" t="s">
        <v>87</v>
      </c>
      <c r="D1407" t="s">
        <v>725</v>
      </c>
      <c r="E1407" t="s">
        <v>726</v>
      </c>
      <c r="F1407" t="s">
        <v>52</v>
      </c>
      <c r="G1407">
        <v>128</v>
      </c>
      <c r="H1407">
        <v>11</v>
      </c>
      <c r="I1407">
        <v>14</v>
      </c>
      <c r="J1407">
        <v>153</v>
      </c>
      <c r="K1407" s="482">
        <v>0.83699999999999997</v>
      </c>
      <c r="L1407" s="482">
        <v>7.1999999999999995E-2</v>
      </c>
      <c r="M1407" s="482">
        <v>9.1999999999999998E-2</v>
      </c>
    </row>
    <row r="1408" spans="1:13" x14ac:dyDescent="0.2">
      <c r="A1408" t="s">
        <v>2159</v>
      </c>
      <c r="B1408" t="s">
        <v>15</v>
      </c>
      <c r="C1408" t="s">
        <v>87</v>
      </c>
      <c r="D1408" t="s">
        <v>678</v>
      </c>
      <c r="E1408" t="s">
        <v>679</v>
      </c>
      <c r="F1408" t="s">
        <v>52</v>
      </c>
      <c r="G1408">
        <v>808</v>
      </c>
      <c r="H1408">
        <v>87</v>
      </c>
      <c r="I1408">
        <v>78</v>
      </c>
      <c r="J1408">
        <v>973</v>
      </c>
      <c r="K1408" s="482">
        <v>0.83</v>
      </c>
      <c r="L1408" s="482">
        <v>8.8999999999999996E-2</v>
      </c>
      <c r="M1408" s="482">
        <v>0.08</v>
      </c>
    </row>
    <row r="1409" spans="1:13" x14ac:dyDescent="0.2">
      <c r="A1409" t="s">
        <v>2189</v>
      </c>
      <c r="B1409" t="s">
        <v>15</v>
      </c>
      <c r="C1409" t="s">
        <v>87</v>
      </c>
      <c r="D1409" t="s">
        <v>681</v>
      </c>
      <c r="E1409" t="s">
        <v>336</v>
      </c>
      <c r="F1409" t="s">
        <v>52</v>
      </c>
      <c r="G1409">
        <v>312</v>
      </c>
      <c r="H1409">
        <v>36</v>
      </c>
      <c r="I1409">
        <v>30</v>
      </c>
      <c r="J1409">
        <v>378</v>
      </c>
      <c r="K1409" s="482">
        <v>0.82499999999999996</v>
      </c>
      <c r="L1409" s="482">
        <v>9.5000000000000001E-2</v>
      </c>
      <c r="M1409" s="482">
        <v>7.9000000000000001E-2</v>
      </c>
    </row>
    <row r="1410" spans="1:13" x14ac:dyDescent="0.2">
      <c r="A1410" t="s">
        <v>2178</v>
      </c>
      <c r="B1410" t="s">
        <v>15</v>
      </c>
      <c r="C1410" t="s">
        <v>87</v>
      </c>
      <c r="D1410" t="s">
        <v>740</v>
      </c>
      <c r="E1410" t="s">
        <v>741</v>
      </c>
      <c r="F1410" t="s">
        <v>52</v>
      </c>
      <c r="G1410">
        <v>24</v>
      </c>
      <c r="H1410">
        <v>7</v>
      </c>
      <c r="I1410">
        <v>14</v>
      </c>
      <c r="J1410">
        <v>45</v>
      </c>
      <c r="K1410" s="482">
        <v>0.53300000000000003</v>
      </c>
      <c r="L1410" s="482">
        <v>0.156</v>
      </c>
      <c r="M1410" s="482">
        <v>0.311</v>
      </c>
    </row>
    <row r="1411" spans="1:13" x14ac:dyDescent="0.2">
      <c r="A1411" t="s">
        <v>2179</v>
      </c>
      <c r="B1411" t="s">
        <v>15</v>
      </c>
      <c r="C1411" t="s">
        <v>87</v>
      </c>
      <c r="D1411" t="s">
        <v>743</v>
      </c>
      <c r="E1411" t="s">
        <v>744</v>
      </c>
      <c r="F1411" t="s">
        <v>52</v>
      </c>
      <c r="G1411">
        <v>317</v>
      </c>
      <c r="H1411">
        <v>38</v>
      </c>
      <c r="I1411">
        <v>46</v>
      </c>
      <c r="J1411">
        <v>401</v>
      </c>
      <c r="K1411" s="482">
        <v>0.79100000000000004</v>
      </c>
      <c r="L1411" s="482">
        <v>9.5000000000000001E-2</v>
      </c>
      <c r="M1411" s="482">
        <v>0.115</v>
      </c>
    </row>
    <row r="1412" spans="1:13" x14ac:dyDescent="0.2">
      <c r="A1412" t="s">
        <v>2180</v>
      </c>
      <c r="B1412" t="s">
        <v>15</v>
      </c>
      <c r="C1412" t="s">
        <v>87</v>
      </c>
      <c r="D1412" t="s">
        <v>746</v>
      </c>
      <c r="E1412" t="s">
        <v>747</v>
      </c>
      <c r="F1412" t="s">
        <v>52</v>
      </c>
      <c r="G1412">
        <v>25</v>
      </c>
      <c r="H1412">
        <v>4</v>
      </c>
      <c r="I1412">
        <v>3</v>
      </c>
      <c r="J1412">
        <v>32</v>
      </c>
      <c r="K1412" s="482">
        <v>0.78100000000000003</v>
      </c>
      <c r="L1412" s="482">
        <v>0.125</v>
      </c>
      <c r="M1412" s="482">
        <v>9.4E-2</v>
      </c>
    </row>
    <row r="1413" spans="1:13" x14ac:dyDescent="0.2">
      <c r="A1413" t="s">
        <v>2181</v>
      </c>
      <c r="B1413" t="s">
        <v>15</v>
      </c>
      <c r="C1413" t="s">
        <v>87</v>
      </c>
      <c r="D1413" t="s">
        <v>749</v>
      </c>
      <c r="E1413" t="s">
        <v>750</v>
      </c>
      <c r="F1413" t="s">
        <v>52</v>
      </c>
      <c r="G1413">
        <v>207</v>
      </c>
      <c r="H1413">
        <v>37</v>
      </c>
      <c r="I1413">
        <v>35</v>
      </c>
      <c r="J1413">
        <v>279</v>
      </c>
      <c r="K1413" s="482">
        <v>0.74199999999999999</v>
      </c>
      <c r="L1413" s="482">
        <v>0.13300000000000001</v>
      </c>
      <c r="M1413" s="482">
        <v>0.125</v>
      </c>
    </row>
    <row r="1414" spans="1:13" x14ac:dyDescent="0.2">
      <c r="A1414" t="s">
        <v>2188</v>
      </c>
      <c r="B1414" t="s">
        <v>15</v>
      </c>
      <c r="C1414" t="s">
        <v>87</v>
      </c>
      <c r="D1414" t="s">
        <v>770</v>
      </c>
      <c r="E1414" t="s">
        <v>771</v>
      </c>
      <c r="F1414" t="s">
        <v>52</v>
      </c>
      <c r="G1414">
        <v>104</v>
      </c>
      <c r="H1414">
        <v>11</v>
      </c>
      <c r="I1414">
        <v>16</v>
      </c>
      <c r="J1414">
        <v>131</v>
      </c>
      <c r="K1414" s="482">
        <v>0.79400000000000004</v>
      </c>
      <c r="L1414" s="482">
        <v>8.4000000000000005E-2</v>
      </c>
      <c r="M1414" s="482">
        <v>0.122</v>
      </c>
    </row>
    <row r="1415" spans="1:13" x14ac:dyDescent="0.2">
      <c r="A1415" t="s">
        <v>2190</v>
      </c>
      <c r="B1415" t="s">
        <v>15</v>
      </c>
      <c r="C1415" t="s">
        <v>87</v>
      </c>
      <c r="D1415" t="s">
        <v>773</v>
      </c>
      <c r="E1415" t="s">
        <v>774</v>
      </c>
      <c r="F1415" t="s">
        <v>52</v>
      </c>
      <c r="G1415">
        <v>107</v>
      </c>
      <c r="H1415">
        <v>25</v>
      </c>
      <c r="I1415">
        <v>23</v>
      </c>
      <c r="J1415">
        <v>155</v>
      </c>
      <c r="K1415" s="482">
        <v>0.69</v>
      </c>
      <c r="L1415" s="482">
        <v>0.161</v>
      </c>
      <c r="M1415" s="482">
        <v>0.14799999999999999</v>
      </c>
    </row>
    <row r="1416" spans="1:13" x14ac:dyDescent="0.2">
      <c r="A1416" t="s">
        <v>2191</v>
      </c>
      <c r="B1416" t="s">
        <v>15</v>
      </c>
      <c r="C1416" t="s">
        <v>87</v>
      </c>
      <c r="D1416" t="s">
        <v>776</v>
      </c>
      <c r="E1416" t="s">
        <v>777</v>
      </c>
      <c r="F1416" t="s">
        <v>52</v>
      </c>
      <c r="G1416">
        <v>101</v>
      </c>
      <c r="H1416">
        <v>17</v>
      </c>
      <c r="I1416">
        <v>6</v>
      </c>
      <c r="J1416">
        <v>124</v>
      </c>
      <c r="K1416" s="482">
        <v>0.81499999999999995</v>
      </c>
      <c r="L1416" s="482">
        <v>0.13700000000000001</v>
      </c>
      <c r="M1416" s="482">
        <v>4.8000000000000001E-2</v>
      </c>
    </row>
    <row r="1417" spans="1:13" x14ac:dyDescent="0.2">
      <c r="A1417" t="s">
        <v>2192</v>
      </c>
      <c r="B1417" t="s">
        <v>15</v>
      </c>
      <c r="C1417" t="s">
        <v>87</v>
      </c>
      <c r="D1417" t="s">
        <v>779</v>
      </c>
      <c r="E1417" t="s">
        <v>780</v>
      </c>
      <c r="F1417" t="s">
        <v>52</v>
      </c>
      <c r="G1417">
        <v>73</v>
      </c>
      <c r="H1417">
        <v>13</v>
      </c>
      <c r="I1417">
        <v>14</v>
      </c>
      <c r="J1417">
        <v>100</v>
      </c>
      <c r="K1417" s="482">
        <v>0.73</v>
      </c>
      <c r="L1417" s="482">
        <v>0.13</v>
      </c>
      <c r="M1417" s="482">
        <v>0.14000000000000001</v>
      </c>
    </row>
    <row r="1418" spans="1:13" x14ac:dyDescent="0.2">
      <c r="A1418" t="s">
        <v>2193</v>
      </c>
      <c r="B1418" t="s">
        <v>15</v>
      </c>
      <c r="C1418" t="s">
        <v>87</v>
      </c>
      <c r="D1418" t="s">
        <v>782</v>
      </c>
      <c r="E1418" t="s">
        <v>783</v>
      </c>
      <c r="F1418" t="s">
        <v>52</v>
      </c>
      <c r="G1418">
        <v>108</v>
      </c>
      <c r="H1418">
        <v>16</v>
      </c>
      <c r="I1418">
        <v>13</v>
      </c>
      <c r="J1418">
        <v>137</v>
      </c>
      <c r="K1418" s="482">
        <v>0.78800000000000003</v>
      </c>
      <c r="L1418" s="482">
        <v>0.11700000000000001</v>
      </c>
      <c r="M1418" s="482">
        <v>9.5000000000000001E-2</v>
      </c>
    </row>
    <row r="1419" spans="1:13" x14ac:dyDescent="0.2">
      <c r="A1419" t="s">
        <v>2194</v>
      </c>
      <c r="B1419" t="s">
        <v>15</v>
      </c>
      <c r="C1419" t="s">
        <v>87</v>
      </c>
      <c r="D1419" t="s">
        <v>785</v>
      </c>
      <c r="E1419" t="s">
        <v>786</v>
      </c>
      <c r="F1419" t="s">
        <v>52</v>
      </c>
      <c r="G1419">
        <v>234</v>
      </c>
      <c r="H1419">
        <v>32</v>
      </c>
      <c r="I1419">
        <v>26</v>
      </c>
      <c r="J1419">
        <v>292</v>
      </c>
      <c r="K1419" s="482">
        <v>0.80100000000000005</v>
      </c>
      <c r="L1419" s="482">
        <v>0.11</v>
      </c>
      <c r="M1419" s="482">
        <v>8.8999999999999996E-2</v>
      </c>
    </row>
    <row r="1420" spans="1:13" x14ac:dyDescent="0.2">
      <c r="A1420" t="s">
        <v>2195</v>
      </c>
      <c r="B1420" t="s">
        <v>15</v>
      </c>
      <c r="C1420" t="s">
        <v>87</v>
      </c>
      <c r="D1420" t="s">
        <v>788</v>
      </c>
      <c r="E1420" t="s">
        <v>789</v>
      </c>
      <c r="F1420" t="s">
        <v>52</v>
      </c>
      <c r="G1420">
        <v>41</v>
      </c>
      <c r="H1420">
        <v>6</v>
      </c>
      <c r="I1420">
        <v>4</v>
      </c>
      <c r="J1420">
        <v>51</v>
      </c>
      <c r="K1420" s="482">
        <v>0.80400000000000005</v>
      </c>
      <c r="L1420" s="482">
        <v>0.11799999999999999</v>
      </c>
      <c r="M1420" s="482">
        <v>7.8E-2</v>
      </c>
    </row>
    <row r="1421" spans="1:13" x14ac:dyDescent="0.2">
      <c r="A1421" t="s">
        <v>2196</v>
      </c>
      <c r="B1421" t="s">
        <v>15</v>
      </c>
      <c r="C1421" t="s">
        <v>87</v>
      </c>
      <c r="D1421" t="s">
        <v>791</v>
      </c>
      <c r="E1421" t="s">
        <v>792</v>
      </c>
      <c r="F1421" t="s">
        <v>52</v>
      </c>
      <c r="G1421">
        <v>66</v>
      </c>
      <c r="H1421">
        <v>8</v>
      </c>
      <c r="I1421">
        <v>5</v>
      </c>
      <c r="J1421">
        <v>79</v>
      </c>
      <c r="K1421" s="482">
        <v>0.83499999999999996</v>
      </c>
      <c r="L1421" s="482">
        <v>0.10100000000000001</v>
      </c>
      <c r="M1421" s="482">
        <v>6.3E-2</v>
      </c>
    </row>
    <row r="1422" spans="1:13" x14ac:dyDescent="0.2">
      <c r="A1422" t="s">
        <v>2197</v>
      </c>
      <c r="B1422" t="s">
        <v>15</v>
      </c>
      <c r="C1422" t="s">
        <v>87</v>
      </c>
      <c r="D1422" t="s">
        <v>794</v>
      </c>
      <c r="E1422" t="s">
        <v>795</v>
      </c>
      <c r="F1422" t="s">
        <v>52</v>
      </c>
      <c r="G1422">
        <v>119</v>
      </c>
      <c r="H1422">
        <v>10</v>
      </c>
      <c r="I1422">
        <v>15</v>
      </c>
      <c r="J1422">
        <v>144</v>
      </c>
      <c r="K1422" s="482">
        <v>0.82599999999999996</v>
      </c>
      <c r="L1422" s="482">
        <v>6.9000000000000006E-2</v>
      </c>
      <c r="M1422" s="482">
        <v>0.104</v>
      </c>
    </row>
    <row r="1423" spans="1:13" x14ac:dyDescent="0.2">
      <c r="A1423" t="s">
        <v>2198</v>
      </c>
      <c r="B1423" t="s">
        <v>15</v>
      </c>
      <c r="C1423" t="s">
        <v>87</v>
      </c>
      <c r="D1423" t="s">
        <v>797</v>
      </c>
      <c r="E1423" t="s">
        <v>798</v>
      </c>
      <c r="F1423" t="s">
        <v>52</v>
      </c>
      <c r="G1423">
        <v>39</v>
      </c>
      <c r="H1423">
        <v>5</v>
      </c>
      <c r="I1423">
        <v>1</v>
      </c>
      <c r="J1423">
        <v>45</v>
      </c>
      <c r="K1423" s="482">
        <v>0.86699999999999999</v>
      </c>
      <c r="L1423" s="482">
        <v>0.111</v>
      </c>
      <c r="M1423" s="482">
        <v>2.1999999999999999E-2</v>
      </c>
    </row>
    <row r="1424" spans="1:13" x14ac:dyDescent="0.2">
      <c r="A1424" t="s">
        <v>2199</v>
      </c>
      <c r="B1424" t="s">
        <v>15</v>
      </c>
      <c r="C1424" t="s">
        <v>87</v>
      </c>
      <c r="D1424" t="s">
        <v>800</v>
      </c>
      <c r="E1424" t="s">
        <v>801</v>
      </c>
      <c r="F1424" t="s">
        <v>52</v>
      </c>
      <c r="G1424">
        <v>153</v>
      </c>
      <c r="H1424">
        <v>19</v>
      </c>
      <c r="I1424">
        <v>14</v>
      </c>
      <c r="J1424">
        <v>186</v>
      </c>
      <c r="K1424" s="482">
        <v>0.82299999999999995</v>
      </c>
      <c r="L1424" s="482">
        <v>0.10199999999999999</v>
      </c>
      <c r="M1424" s="482">
        <v>7.4999999999999997E-2</v>
      </c>
    </row>
    <row r="1425" spans="1:13" x14ac:dyDescent="0.2">
      <c r="A1425" t="s">
        <v>2200</v>
      </c>
      <c r="B1425" t="s">
        <v>15</v>
      </c>
      <c r="C1425" t="s">
        <v>87</v>
      </c>
      <c r="D1425" t="s">
        <v>803</v>
      </c>
      <c r="E1425" t="s">
        <v>804</v>
      </c>
      <c r="F1425" t="s">
        <v>52</v>
      </c>
      <c r="G1425">
        <v>79</v>
      </c>
      <c r="H1425">
        <v>7</v>
      </c>
      <c r="I1425">
        <v>14</v>
      </c>
      <c r="J1425">
        <v>100</v>
      </c>
      <c r="K1425" s="482">
        <v>0.79</v>
      </c>
      <c r="L1425" s="482">
        <v>7.0000000000000007E-2</v>
      </c>
      <c r="M1425" s="482">
        <v>0.14000000000000001</v>
      </c>
    </row>
    <row r="1426" spans="1:13" x14ac:dyDescent="0.2">
      <c r="A1426" t="s">
        <v>2201</v>
      </c>
      <c r="B1426" t="s">
        <v>15</v>
      </c>
      <c r="C1426" t="s">
        <v>87</v>
      </c>
      <c r="D1426" t="s">
        <v>806</v>
      </c>
      <c r="E1426" t="s">
        <v>807</v>
      </c>
      <c r="F1426" t="s">
        <v>52</v>
      </c>
      <c r="G1426">
        <v>109</v>
      </c>
      <c r="H1426">
        <v>11</v>
      </c>
      <c r="I1426">
        <v>15</v>
      </c>
      <c r="J1426">
        <v>135</v>
      </c>
      <c r="K1426" s="482">
        <v>0.80700000000000005</v>
      </c>
      <c r="L1426" s="482">
        <v>8.1000000000000003E-2</v>
      </c>
      <c r="M1426" s="482">
        <v>0.111</v>
      </c>
    </row>
    <row r="1427" spans="1:13" x14ac:dyDescent="0.2">
      <c r="A1427" t="s">
        <v>2202</v>
      </c>
      <c r="B1427" t="s">
        <v>15</v>
      </c>
      <c r="C1427" t="s">
        <v>87</v>
      </c>
      <c r="D1427" t="s">
        <v>809</v>
      </c>
      <c r="E1427" t="s">
        <v>810</v>
      </c>
      <c r="F1427" t="s">
        <v>52</v>
      </c>
      <c r="G1427">
        <v>198</v>
      </c>
      <c r="H1427">
        <v>29</v>
      </c>
      <c r="I1427">
        <v>27</v>
      </c>
      <c r="J1427">
        <v>254</v>
      </c>
      <c r="K1427" s="482">
        <v>0.78</v>
      </c>
      <c r="L1427" s="482">
        <v>0.114</v>
      </c>
      <c r="M1427" s="482">
        <v>0.106</v>
      </c>
    </row>
    <row r="1428" spans="1:13" x14ac:dyDescent="0.2">
      <c r="A1428" t="s">
        <v>2203</v>
      </c>
      <c r="B1428" t="s">
        <v>15</v>
      </c>
      <c r="C1428" t="s">
        <v>87</v>
      </c>
      <c r="D1428" t="s">
        <v>812</v>
      </c>
      <c r="E1428" t="s">
        <v>813</v>
      </c>
      <c r="F1428" t="s">
        <v>52</v>
      </c>
      <c r="G1428">
        <v>100</v>
      </c>
      <c r="H1428">
        <v>11</v>
      </c>
      <c r="I1428">
        <v>13</v>
      </c>
      <c r="J1428">
        <v>124</v>
      </c>
      <c r="K1428" s="482">
        <v>0.80600000000000005</v>
      </c>
      <c r="L1428" s="482">
        <v>8.8999999999999996E-2</v>
      </c>
      <c r="M1428" s="482">
        <v>0.105</v>
      </c>
    </row>
    <row r="1429" spans="1:13" x14ac:dyDescent="0.2">
      <c r="A1429" t="s">
        <v>2204</v>
      </c>
      <c r="B1429" t="s">
        <v>15</v>
      </c>
      <c r="C1429" t="s">
        <v>87</v>
      </c>
      <c r="D1429" t="s">
        <v>815</v>
      </c>
      <c r="E1429" t="s">
        <v>816</v>
      </c>
      <c r="F1429" t="s">
        <v>52</v>
      </c>
      <c r="G1429">
        <v>367</v>
      </c>
      <c r="H1429">
        <v>53</v>
      </c>
      <c r="I1429">
        <v>43</v>
      </c>
      <c r="J1429">
        <v>463</v>
      </c>
      <c r="K1429" s="482">
        <v>0.79300000000000004</v>
      </c>
      <c r="L1429" s="482">
        <v>0.114</v>
      </c>
      <c r="M1429" s="482">
        <v>9.2999999999999999E-2</v>
      </c>
    </row>
    <row r="1430" spans="1:13" x14ac:dyDescent="0.2">
      <c r="A1430" t="s">
        <v>2205</v>
      </c>
      <c r="B1430" t="s">
        <v>15</v>
      </c>
      <c r="C1430" t="s">
        <v>87</v>
      </c>
      <c r="D1430" t="s">
        <v>818</v>
      </c>
      <c r="E1430" t="s">
        <v>819</v>
      </c>
      <c r="F1430" t="s">
        <v>52</v>
      </c>
      <c r="G1430">
        <v>290</v>
      </c>
      <c r="H1430">
        <v>16</v>
      </c>
      <c r="I1430">
        <v>22</v>
      </c>
      <c r="J1430">
        <v>328</v>
      </c>
      <c r="K1430" s="482">
        <v>0.88400000000000001</v>
      </c>
      <c r="L1430" s="482">
        <v>4.9000000000000002E-2</v>
      </c>
      <c r="M1430" s="482">
        <v>6.7000000000000004E-2</v>
      </c>
    </row>
    <row r="1431" spans="1:13" x14ac:dyDescent="0.2">
      <c r="A1431" t="s">
        <v>2206</v>
      </c>
      <c r="B1431" t="s">
        <v>15</v>
      </c>
      <c r="C1431" t="s">
        <v>87</v>
      </c>
      <c r="D1431" t="s">
        <v>821</v>
      </c>
      <c r="E1431" t="s">
        <v>822</v>
      </c>
      <c r="F1431" t="s">
        <v>52</v>
      </c>
      <c r="G1431">
        <v>32</v>
      </c>
      <c r="H1431">
        <v>6</v>
      </c>
      <c r="I1431">
        <v>5</v>
      </c>
      <c r="J1431">
        <v>43</v>
      </c>
      <c r="K1431" s="482">
        <v>0.74399999999999999</v>
      </c>
      <c r="L1431" s="482">
        <v>0.14000000000000001</v>
      </c>
      <c r="M1431" s="482">
        <v>0.11600000000000001</v>
      </c>
    </row>
    <row r="1432" spans="1:13" x14ac:dyDescent="0.2">
      <c r="A1432" t="s">
        <v>2207</v>
      </c>
      <c r="B1432" t="s">
        <v>15</v>
      </c>
      <c r="C1432" t="s">
        <v>87</v>
      </c>
      <c r="D1432" t="s">
        <v>824</v>
      </c>
      <c r="E1432" t="s">
        <v>825</v>
      </c>
      <c r="F1432" t="s">
        <v>52</v>
      </c>
      <c r="G1432">
        <v>176</v>
      </c>
      <c r="H1432">
        <v>28</v>
      </c>
      <c r="I1432">
        <v>26</v>
      </c>
      <c r="J1432">
        <v>230</v>
      </c>
      <c r="K1432" s="482">
        <v>0.76500000000000001</v>
      </c>
      <c r="L1432" s="482">
        <v>0.122</v>
      </c>
      <c r="M1432" s="482">
        <v>0.113</v>
      </c>
    </row>
    <row r="1433" spans="1:13" x14ac:dyDescent="0.2">
      <c r="A1433" t="s">
        <v>2208</v>
      </c>
      <c r="B1433" t="s">
        <v>15</v>
      </c>
      <c r="C1433" t="s">
        <v>87</v>
      </c>
      <c r="D1433" t="s">
        <v>827</v>
      </c>
      <c r="E1433" t="s">
        <v>828</v>
      </c>
      <c r="F1433" t="s">
        <v>52</v>
      </c>
      <c r="G1433">
        <v>308</v>
      </c>
      <c r="H1433">
        <v>30</v>
      </c>
      <c r="I1433">
        <v>26</v>
      </c>
      <c r="J1433">
        <v>364</v>
      </c>
      <c r="K1433" s="482">
        <v>0.84599999999999997</v>
      </c>
      <c r="L1433" s="482">
        <v>8.2000000000000003E-2</v>
      </c>
      <c r="M1433" s="482">
        <v>7.0999999999999994E-2</v>
      </c>
    </row>
    <row r="1434" spans="1:13" x14ac:dyDescent="0.2">
      <c r="A1434" t="s">
        <v>2119</v>
      </c>
      <c r="B1434" t="s">
        <v>15</v>
      </c>
      <c r="C1434" t="s">
        <v>87</v>
      </c>
      <c r="D1434" t="s">
        <v>563</v>
      </c>
      <c r="E1434" t="s">
        <v>564</v>
      </c>
      <c r="F1434" t="s">
        <v>52</v>
      </c>
      <c r="G1434" t="s">
        <v>53</v>
      </c>
      <c r="H1434">
        <v>0</v>
      </c>
      <c r="I1434" t="s">
        <v>53</v>
      </c>
      <c r="J1434" t="s">
        <v>53</v>
      </c>
      <c r="K1434" t="s">
        <v>53</v>
      </c>
      <c r="L1434" t="s">
        <v>53</v>
      </c>
      <c r="M1434" t="s">
        <v>53</v>
      </c>
    </row>
    <row r="1435" spans="1:13" x14ac:dyDescent="0.2">
      <c r="A1435" t="s">
        <v>2094</v>
      </c>
      <c r="B1435" t="s">
        <v>15</v>
      </c>
      <c r="C1435" t="s">
        <v>87</v>
      </c>
      <c r="D1435" t="s">
        <v>908</v>
      </c>
      <c r="E1435" t="s">
        <v>909</v>
      </c>
      <c r="F1435" t="s">
        <v>52</v>
      </c>
      <c r="G1435">
        <v>134</v>
      </c>
      <c r="H1435">
        <v>22</v>
      </c>
      <c r="I1435">
        <v>8</v>
      </c>
      <c r="J1435">
        <v>164</v>
      </c>
      <c r="K1435" s="482">
        <v>0.81699999999999995</v>
      </c>
      <c r="L1435" s="482">
        <v>0.13400000000000001</v>
      </c>
      <c r="M1435" s="482">
        <v>4.9000000000000002E-2</v>
      </c>
    </row>
    <row r="1436" spans="1:13" x14ac:dyDescent="0.2">
      <c r="A1436" t="s">
        <v>2093</v>
      </c>
      <c r="B1436" t="s">
        <v>15</v>
      </c>
      <c r="C1436" t="s">
        <v>87</v>
      </c>
      <c r="D1436" t="s">
        <v>486</v>
      </c>
      <c r="E1436" t="s">
        <v>487</v>
      </c>
      <c r="F1436" t="s">
        <v>52</v>
      </c>
      <c r="G1436">
        <v>196</v>
      </c>
      <c r="H1436">
        <v>18</v>
      </c>
      <c r="I1436">
        <v>17</v>
      </c>
      <c r="J1436">
        <v>231</v>
      </c>
      <c r="K1436" s="482">
        <v>0.84799999999999998</v>
      </c>
      <c r="L1436" s="482">
        <v>7.8E-2</v>
      </c>
      <c r="M1436" s="482">
        <v>7.3999999999999996E-2</v>
      </c>
    </row>
    <row r="1437" spans="1:13" x14ac:dyDescent="0.2">
      <c r="A1437" t="s">
        <v>2234</v>
      </c>
      <c r="B1437" t="s">
        <v>15</v>
      </c>
      <c r="C1437" t="s">
        <v>87</v>
      </c>
      <c r="D1437" t="s">
        <v>489</v>
      </c>
      <c r="E1437" t="s">
        <v>490</v>
      </c>
      <c r="F1437" t="s">
        <v>52</v>
      </c>
      <c r="G1437">
        <v>53</v>
      </c>
      <c r="H1437">
        <v>1</v>
      </c>
      <c r="I1437">
        <v>7</v>
      </c>
      <c r="J1437">
        <v>61</v>
      </c>
      <c r="K1437" s="482">
        <v>0.86899999999999999</v>
      </c>
      <c r="L1437" s="482">
        <v>1.6E-2</v>
      </c>
      <c r="M1437" s="482">
        <v>0.115</v>
      </c>
    </row>
    <row r="1438" spans="1:13" x14ac:dyDescent="0.2">
      <c r="A1438" t="s">
        <v>2237</v>
      </c>
      <c r="B1438" t="s">
        <v>15</v>
      </c>
      <c r="C1438" t="s">
        <v>87</v>
      </c>
      <c r="D1438" t="s">
        <v>911</v>
      </c>
      <c r="E1438" t="s">
        <v>912</v>
      </c>
      <c r="F1438" t="s">
        <v>52</v>
      </c>
      <c r="G1438">
        <v>76</v>
      </c>
      <c r="H1438">
        <v>3</v>
      </c>
      <c r="I1438">
        <v>6</v>
      </c>
      <c r="J1438">
        <v>85</v>
      </c>
      <c r="K1438" s="482">
        <v>0.89400000000000002</v>
      </c>
      <c r="L1438" s="482">
        <v>3.5000000000000003E-2</v>
      </c>
      <c r="M1438" s="482">
        <v>7.0999999999999994E-2</v>
      </c>
    </row>
    <row r="1439" spans="1:13" x14ac:dyDescent="0.2">
      <c r="A1439" t="s">
        <v>2238</v>
      </c>
      <c r="B1439" t="s">
        <v>15</v>
      </c>
      <c r="C1439" t="s">
        <v>87</v>
      </c>
      <c r="D1439" t="s">
        <v>914</v>
      </c>
      <c r="E1439" t="s">
        <v>915</v>
      </c>
      <c r="F1439" t="s">
        <v>52</v>
      </c>
      <c r="G1439">
        <v>71</v>
      </c>
      <c r="H1439">
        <v>11</v>
      </c>
      <c r="I1439">
        <v>5</v>
      </c>
      <c r="J1439">
        <v>87</v>
      </c>
      <c r="K1439" s="482">
        <v>0.81599999999999995</v>
      </c>
      <c r="L1439" s="482">
        <v>0.126</v>
      </c>
      <c r="M1439" s="482">
        <v>5.7000000000000002E-2</v>
      </c>
    </row>
    <row r="1440" spans="1:13" x14ac:dyDescent="0.2">
      <c r="A1440" t="s">
        <v>2239</v>
      </c>
      <c r="B1440" t="s">
        <v>15</v>
      </c>
      <c r="C1440" t="s">
        <v>87</v>
      </c>
      <c r="D1440" t="s">
        <v>917</v>
      </c>
      <c r="E1440" t="s">
        <v>918</v>
      </c>
      <c r="F1440" t="s">
        <v>52</v>
      </c>
      <c r="G1440">
        <v>165</v>
      </c>
      <c r="H1440">
        <v>21</v>
      </c>
      <c r="I1440">
        <v>14</v>
      </c>
      <c r="J1440">
        <v>200</v>
      </c>
      <c r="K1440" s="482">
        <v>0.82499999999999996</v>
      </c>
      <c r="L1440" s="482">
        <v>0.105</v>
      </c>
      <c r="M1440" s="482">
        <v>7.0000000000000007E-2</v>
      </c>
    </row>
    <row r="1441" spans="1:13" x14ac:dyDescent="0.2">
      <c r="A1441" t="s">
        <v>2240</v>
      </c>
      <c r="B1441" t="s">
        <v>15</v>
      </c>
      <c r="C1441" t="s">
        <v>87</v>
      </c>
      <c r="D1441" t="s">
        <v>920</v>
      </c>
      <c r="E1441" t="s">
        <v>921</v>
      </c>
      <c r="F1441" t="s">
        <v>52</v>
      </c>
      <c r="G1441">
        <v>16</v>
      </c>
      <c r="H1441">
        <v>0</v>
      </c>
      <c r="I1441">
        <v>3</v>
      </c>
      <c r="J1441">
        <v>19</v>
      </c>
      <c r="K1441" s="482">
        <v>0.84199999999999997</v>
      </c>
      <c r="L1441" s="482">
        <v>0</v>
      </c>
      <c r="M1441" s="482">
        <v>0.158</v>
      </c>
    </row>
    <row r="1442" spans="1:13" x14ac:dyDescent="0.2">
      <c r="A1442" t="s">
        <v>2241</v>
      </c>
      <c r="B1442" t="s">
        <v>15</v>
      </c>
      <c r="C1442" t="s">
        <v>87</v>
      </c>
      <c r="D1442" t="s">
        <v>923</v>
      </c>
      <c r="E1442" t="s">
        <v>924</v>
      </c>
      <c r="F1442" t="s">
        <v>52</v>
      </c>
      <c r="G1442">
        <v>98</v>
      </c>
      <c r="H1442">
        <v>14</v>
      </c>
      <c r="I1442">
        <v>19</v>
      </c>
      <c r="J1442">
        <v>131</v>
      </c>
      <c r="K1442" s="482">
        <v>0.748</v>
      </c>
      <c r="L1442" s="482">
        <v>0.107</v>
      </c>
      <c r="M1442" s="482">
        <v>0.14499999999999999</v>
      </c>
    </row>
    <row r="1443" spans="1:13" x14ac:dyDescent="0.2">
      <c r="A1443" t="s">
        <v>2242</v>
      </c>
      <c r="B1443" t="s">
        <v>15</v>
      </c>
      <c r="C1443" t="s">
        <v>87</v>
      </c>
      <c r="D1443" t="s">
        <v>926</v>
      </c>
      <c r="E1443" t="s">
        <v>927</v>
      </c>
      <c r="F1443" t="s">
        <v>52</v>
      </c>
      <c r="G1443">
        <v>18</v>
      </c>
      <c r="H1443">
        <v>0</v>
      </c>
      <c r="I1443">
        <v>1</v>
      </c>
      <c r="J1443">
        <v>19</v>
      </c>
      <c r="K1443" s="482">
        <v>0.94699999999999995</v>
      </c>
      <c r="L1443" s="482">
        <v>0</v>
      </c>
      <c r="M1443" s="482">
        <v>5.2999999999999999E-2</v>
      </c>
    </row>
    <row r="1444" spans="1:13" x14ac:dyDescent="0.2">
      <c r="A1444" t="s">
        <v>2244</v>
      </c>
      <c r="B1444" t="s">
        <v>15</v>
      </c>
      <c r="C1444" t="s">
        <v>87</v>
      </c>
      <c r="D1444" t="s">
        <v>929</v>
      </c>
      <c r="E1444" t="s">
        <v>930</v>
      </c>
      <c r="F1444" t="s">
        <v>52</v>
      </c>
      <c r="G1444">
        <v>117</v>
      </c>
      <c r="H1444">
        <v>15</v>
      </c>
      <c r="I1444">
        <v>10</v>
      </c>
      <c r="J1444">
        <v>142</v>
      </c>
      <c r="K1444" s="482">
        <v>0.82399999999999995</v>
      </c>
      <c r="L1444" s="482">
        <v>0.106</v>
      </c>
      <c r="M1444" s="482">
        <v>7.0000000000000007E-2</v>
      </c>
    </row>
    <row r="1445" spans="1:13" x14ac:dyDescent="0.2">
      <c r="A1445" t="s">
        <v>2095</v>
      </c>
      <c r="B1445" t="s">
        <v>15</v>
      </c>
      <c r="C1445" t="s">
        <v>87</v>
      </c>
      <c r="D1445" t="s">
        <v>492</v>
      </c>
      <c r="E1445" t="s">
        <v>493</v>
      </c>
      <c r="F1445" t="s">
        <v>52</v>
      </c>
      <c r="G1445">
        <v>82</v>
      </c>
      <c r="H1445">
        <v>13</v>
      </c>
      <c r="I1445">
        <v>14</v>
      </c>
      <c r="J1445">
        <v>109</v>
      </c>
      <c r="K1445" s="482">
        <v>0.752</v>
      </c>
      <c r="L1445" s="482">
        <v>0.11899999999999999</v>
      </c>
      <c r="M1445" s="482">
        <v>0.128</v>
      </c>
    </row>
    <row r="1446" spans="1:13" x14ac:dyDescent="0.2">
      <c r="A1446" t="s">
        <v>2249</v>
      </c>
      <c r="B1446" t="s">
        <v>15</v>
      </c>
      <c r="C1446" t="s">
        <v>87</v>
      </c>
      <c r="D1446" t="s">
        <v>944</v>
      </c>
      <c r="E1446" t="s">
        <v>945</v>
      </c>
      <c r="F1446" t="s">
        <v>52</v>
      </c>
      <c r="G1446">
        <v>223</v>
      </c>
      <c r="H1446">
        <v>32</v>
      </c>
      <c r="I1446">
        <v>24</v>
      </c>
      <c r="J1446">
        <v>279</v>
      </c>
      <c r="K1446" s="482">
        <v>0.79900000000000004</v>
      </c>
      <c r="L1446" s="482">
        <v>0.115</v>
      </c>
      <c r="M1446" s="482">
        <v>8.5999999999999993E-2</v>
      </c>
    </row>
    <row r="1447" spans="1:13" x14ac:dyDescent="0.2">
      <c r="A1447" t="s">
        <v>2067</v>
      </c>
      <c r="B1447" t="s">
        <v>15</v>
      </c>
      <c r="C1447" t="s">
        <v>87</v>
      </c>
      <c r="D1447" t="s">
        <v>411</v>
      </c>
      <c r="E1447" t="s">
        <v>412</v>
      </c>
      <c r="F1447" t="s">
        <v>52</v>
      </c>
      <c r="G1447">
        <v>184</v>
      </c>
      <c r="H1447">
        <v>32</v>
      </c>
      <c r="I1447">
        <v>28</v>
      </c>
      <c r="J1447">
        <v>244</v>
      </c>
      <c r="K1447" s="482">
        <v>0.754</v>
      </c>
      <c r="L1447" s="482">
        <v>0.13100000000000001</v>
      </c>
      <c r="M1447" s="482">
        <v>0.115</v>
      </c>
    </row>
    <row r="1448" spans="1:13" x14ac:dyDescent="0.2">
      <c r="A1448" t="s">
        <v>2068</v>
      </c>
      <c r="B1448" t="s">
        <v>15</v>
      </c>
      <c r="C1448" t="s">
        <v>87</v>
      </c>
      <c r="D1448" t="s">
        <v>414</v>
      </c>
      <c r="E1448" t="s">
        <v>415</v>
      </c>
      <c r="F1448" t="s">
        <v>52</v>
      </c>
      <c r="G1448">
        <v>92</v>
      </c>
      <c r="H1448">
        <v>7</v>
      </c>
      <c r="I1448">
        <v>9</v>
      </c>
      <c r="J1448">
        <v>108</v>
      </c>
      <c r="K1448" s="482">
        <v>0.85199999999999998</v>
      </c>
      <c r="L1448" s="482">
        <v>6.5000000000000002E-2</v>
      </c>
      <c r="M1448" s="482">
        <v>8.3000000000000004E-2</v>
      </c>
    </row>
    <row r="1449" spans="1:13" x14ac:dyDescent="0.2">
      <c r="A1449" t="s">
        <v>2135</v>
      </c>
      <c r="B1449" t="s">
        <v>15</v>
      </c>
      <c r="C1449" t="s">
        <v>87</v>
      </c>
      <c r="D1449" t="s">
        <v>417</v>
      </c>
      <c r="E1449" t="s">
        <v>418</v>
      </c>
      <c r="F1449" t="s">
        <v>52</v>
      </c>
      <c r="G1449">
        <v>108</v>
      </c>
      <c r="H1449">
        <v>14</v>
      </c>
      <c r="I1449">
        <v>14</v>
      </c>
      <c r="J1449">
        <v>136</v>
      </c>
      <c r="K1449" s="482">
        <v>0.79400000000000004</v>
      </c>
      <c r="L1449" s="482">
        <v>0.10299999999999999</v>
      </c>
      <c r="M1449" s="482">
        <v>0.10299999999999999</v>
      </c>
    </row>
    <row r="1450" spans="1:13" x14ac:dyDescent="0.2">
      <c r="A1450" t="s">
        <v>2136</v>
      </c>
      <c r="B1450" t="s">
        <v>15</v>
      </c>
      <c r="C1450" t="s">
        <v>87</v>
      </c>
      <c r="D1450" t="s">
        <v>610</v>
      </c>
      <c r="E1450" t="s">
        <v>611</v>
      </c>
      <c r="F1450" t="s">
        <v>52</v>
      </c>
      <c r="G1450">
        <v>128</v>
      </c>
      <c r="H1450">
        <v>12</v>
      </c>
      <c r="I1450">
        <v>15</v>
      </c>
      <c r="J1450">
        <v>155</v>
      </c>
      <c r="K1450" s="482">
        <v>0.82599999999999996</v>
      </c>
      <c r="L1450" s="482">
        <v>7.6999999999999999E-2</v>
      </c>
      <c r="M1450" s="482">
        <v>9.7000000000000003E-2</v>
      </c>
    </row>
    <row r="1451" spans="1:13" x14ac:dyDescent="0.2">
      <c r="A1451" t="s">
        <v>2137</v>
      </c>
      <c r="B1451" t="s">
        <v>15</v>
      </c>
      <c r="C1451" t="s">
        <v>87</v>
      </c>
      <c r="D1451" t="s">
        <v>613</v>
      </c>
      <c r="E1451" t="s">
        <v>614</v>
      </c>
      <c r="F1451" t="s">
        <v>52</v>
      </c>
      <c r="G1451">
        <v>47</v>
      </c>
      <c r="H1451">
        <v>3</v>
      </c>
      <c r="I1451">
        <v>7</v>
      </c>
      <c r="J1451">
        <v>57</v>
      </c>
      <c r="K1451" s="482">
        <v>0.82499999999999996</v>
      </c>
      <c r="L1451" s="482">
        <v>5.2999999999999999E-2</v>
      </c>
      <c r="M1451" s="482">
        <v>0.123</v>
      </c>
    </row>
    <row r="1452" spans="1:13" x14ac:dyDescent="0.2">
      <c r="A1452" t="s">
        <v>2138</v>
      </c>
      <c r="B1452" t="s">
        <v>15</v>
      </c>
      <c r="C1452" t="s">
        <v>87</v>
      </c>
      <c r="D1452" t="s">
        <v>616</v>
      </c>
      <c r="E1452" t="s">
        <v>617</v>
      </c>
      <c r="F1452" t="s">
        <v>52</v>
      </c>
      <c r="G1452">
        <v>203</v>
      </c>
      <c r="H1452">
        <v>21</v>
      </c>
      <c r="I1452">
        <v>25</v>
      </c>
      <c r="J1452">
        <v>249</v>
      </c>
      <c r="K1452" s="482">
        <v>0.81499999999999995</v>
      </c>
      <c r="L1452" s="482">
        <v>8.4000000000000005E-2</v>
      </c>
      <c r="M1452" s="482">
        <v>0.1</v>
      </c>
    </row>
    <row r="1453" spans="1:13" x14ac:dyDescent="0.2">
      <c r="A1453" t="s">
        <v>2139</v>
      </c>
      <c r="B1453" t="s">
        <v>15</v>
      </c>
      <c r="C1453" t="s">
        <v>87</v>
      </c>
      <c r="D1453" t="s">
        <v>619</v>
      </c>
      <c r="E1453" t="s">
        <v>338</v>
      </c>
      <c r="F1453" t="s">
        <v>52</v>
      </c>
      <c r="G1453">
        <v>109</v>
      </c>
      <c r="H1453">
        <v>10</v>
      </c>
      <c r="I1453">
        <v>9</v>
      </c>
      <c r="J1453">
        <v>128</v>
      </c>
      <c r="K1453" s="482">
        <v>0.85199999999999998</v>
      </c>
      <c r="L1453" s="482">
        <v>7.8E-2</v>
      </c>
      <c r="M1453" s="482">
        <v>7.0000000000000007E-2</v>
      </c>
    </row>
    <row r="1454" spans="1:13" x14ac:dyDescent="0.2">
      <c r="A1454" t="s">
        <v>2140</v>
      </c>
      <c r="B1454" t="s">
        <v>15</v>
      </c>
      <c r="C1454" t="s">
        <v>87</v>
      </c>
      <c r="D1454" t="s">
        <v>621</v>
      </c>
      <c r="E1454" t="s">
        <v>622</v>
      </c>
      <c r="F1454" t="s">
        <v>52</v>
      </c>
      <c r="G1454">
        <v>361</v>
      </c>
      <c r="H1454">
        <v>29</v>
      </c>
      <c r="I1454">
        <v>31</v>
      </c>
      <c r="J1454">
        <v>421</v>
      </c>
      <c r="K1454" s="482">
        <v>0.85699999999999998</v>
      </c>
      <c r="L1454" s="482">
        <v>6.9000000000000006E-2</v>
      </c>
      <c r="M1454" s="482">
        <v>7.3999999999999996E-2</v>
      </c>
    </row>
    <row r="1455" spans="1:13" x14ac:dyDescent="0.2">
      <c r="A1455" t="s">
        <v>2141</v>
      </c>
      <c r="B1455" t="s">
        <v>15</v>
      </c>
      <c r="C1455" t="s">
        <v>87</v>
      </c>
      <c r="D1455" t="s">
        <v>624</v>
      </c>
      <c r="E1455" t="s">
        <v>625</v>
      </c>
      <c r="F1455" t="s">
        <v>52</v>
      </c>
      <c r="G1455">
        <v>75</v>
      </c>
      <c r="H1455">
        <v>10</v>
      </c>
      <c r="I1455">
        <v>10</v>
      </c>
      <c r="J1455">
        <v>95</v>
      </c>
      <c r="K1455" s="482">
        <v>0.78900000000000003</v>
      </c>
      <c r="L1455" s="482">
        <v>0.105</v>
      </c>
      <c r="M1455" s="482">
        <v>0.105</v>
      </c>
    </row>
    <row r="1456" spans="1:13" x14ac:dyDescent="0.2">
      <c r="A1456" t="s">
        <v>2142</v>
      </c>
      <c r="B1456" t="s">
        <v>15</v>
      </c>
      <c r="C1456" t="s">
        <v>87</v>
      </c>
      <c r="D1456" t="s">
        <v>627</v>
      </c>
      <c r="E1456" t="s">
        <v>628</v>
      </c>
      <c r="F1456" t="s">
        <v>52</v>
      </c>
      <c r="G1456">
        <v>38</v>
      </c>
      <c r="H1456">
        <v>6</v>
      </c>
      <c r="I1456">
        <v>6</v>
      </c>
      <c r="J1456">
        <v>50</v>
      </c>
      <c r="K1456" s="482">
        <v>0.76</v>
      </c>
      <c r="L1456" s="482">
        <v>0.12</v>
      </c>
      <c r="M1456" s="482">
        <v>0.12</v>
      </c>
    </row>
    <row r="1457" spans="1:13" x14ac:dyDescent="0.2">
      <c r="A1457" t="s">
        <v>6563</v>
      </c>
      <c r="B1457" t="s">
        <v>15</v>
      </c>
      <c r="C1457" t="s">
        <v>87</v>
      </c>
      <c r="D1457" t="s">
        <v>6553</v>
      </c>
      <c r="E1457" t="s">
        <v>6543</v>
      </c>
      <c r="F1457" t="s">
        <v>52</v>
      </c>
      <c r="G1457">
        <v>345</v>
      </c>
      <c r="H1457">
        <v>45</v>
      </c>
      <c r="I1457">
        <v>49</v>
      </c>
      <c r="J1457">
        <v>439</v>
      </c>
      <c r="K1457" s="482">
        <v>0.78600000000000003</v>
      </c>
      <c r="L1457" s="482">
        <v>0.10299999999999999</v>
      </c>
      <c r="M1457" s="482">
        <v>0.112</v>
      </c>
    </row>
    <row r="1458" spans="1:13" x14ac:dyDescent="0.2">
      <c r="A1458" t="s">
        <v>2143</v>
      </c>
      <c r="B1458" t="s">
        <v>15</v>
      </c>
      <c r="C1458" t="s">
        <v>87</v>
      </c>
      <c r="D1458" t="s">
        <v>630</v>
      </c>
      <c r="E1458" t="s">
        <v>631</v>
      </c>
      <c r="F1458" t="s">
        <v>52</v>
      </c>
      <c r="G1458">
        <v>58</v>
      </c>
      <c r="H1458">
        <v>11</v>
      </c>
      <c r="I1458">
        <v>18</v>
      </c>
      <c r="J1458">
        <v>87</v>
      </c>
      <c r="K1458" s="482">
        <v>0.66700000000000004</v>
      </c>
      <c r="L1458" s="482">
        <v>0.126</v>
      </c>
      <c r="M1458" s="482">
        <v>0.20699999999999999</v>
      </c>
    </row>
    <row r="1459" spans="1:13" x14ac:dyDescent="0.2">
      <c r="A1459" t="s">
        <v>2144</v>
      </c>
      <c r="B1459" t="s">
        <v>15</v>
      </c>
      <c r="C1459" t="s">
        <v>87</v>
      </c>
      <c r="D1459" t="s">
        <v>633</v>
      </c>
      <c r="E1459" t="s">
        <v>634</v>
      </c>
      <c r="F1459" t="s">
        <v>52</v>
      </c>
      <c r="G1459">
        <v>50</v>
      </c>
      <c r="H1459">
        <v>13</v>
      </c>
      <c r="I1459">
        <v>6</v>
      </c>
      <c r="J1459">
        <v>69</v>
      </c>
      <c r="K1459" s="482">
        <v>0.72499999999999998</v>
      </c>
      <c r="L1459" s="482">
        <v>0.188</v>
      </c>
      <c r="M1459" s="482">
        <v>8.6999999999999994E-2</v>
      </c>
    </row>
    <row r="1460" spans="1:13" x14ac:dyDescent="0.2">
      <c r="A1460" t="s">
        <v>2145</v>
      </c>
      <c r="B1460" t="s">
        <v>15</v>
      </c>
      <c r="C1460" t="s">
        <v>87</v>
      </c>
      <c r="D1460" t="s">
        <v>636</v>
      </c>
      <c r="E1460" t="s">
        <v>637</v>
      </c>
      <c r="F1460" t="s">
        <v>52</v>
      </c>
      <c r="G1460">
        <v>256</v>
      </c>
      <c r="H1460">
        <v>26</v>
      </c>
      <c r="I1460">
        <v>22</v>
      </c>
      <c r="J1460">
        <v>304</v>
      </c>
      <c r="K1460" s="482">
        <v>0.84199999999999997</v>
      </c>
      <c r="L1460" s="482">
        <v>8.5999999999999993E-2</v>
      </c>
      <c r="M1460" s="482">
        <v>7.1999999999999995E-2</v>
      </c>
    </row>
    <row r="1461" spans="1:13" x14ac:dyDescent="0.2">
      <c r="A1461" t="s">
        <v>2146</v>
      </c>
      <c r="B1461" t="s">
        <v>15</v>
      </c>
      <c r="C1461" t="s">
        <v>87</v>
      </c>
      <c r="D1461" t="s">
        <v>639</v>
      </c>
      <c r="E1461" t="s">
        <v>640</v>
      </c>
      <c r="F1461" t="s">
        <v>52</v>
      </c>
      <c r="G1461">
        <v>180</v>
      </c>
      <c r="H1461">
        <v>20</v>
      </c>
      <c r="I1461">
        <v>17</v>
      </c>
      <c r="J1461">
        <v>217</v>
      </c>
      <c r="K1461" s="482">
        <v>0.82899999999999996</v>
      </c>
      <c r="L1461" s="482">
        <v>9.1999999999999998E-2</v>
      </c>
      <c r="M1461" s="482">
        <v>7.8E-2</v>
      </c>
    </row>
    <row r="1462" spans="1:13" x14ac:dyDescent="0.2">
      <c r="A1462" t="s">
        <v>2147</v>
      </c>
      <c r="B1462" t="s">
        <v>15</v>
      </c>
      <c r="C1462" t="s">
        <v>87</v>
      </c>
      <c r="D1462" t="s">
        <v>642</v>
      </c>
      <c r="E1462" t="s">
        <v>643</v>
      </c>
      <c r="F1462" t="s">
        <v>52</v>
      </c>
      <c r="G1462">
        <v>252</v>
      </c>
      <c r="H1462">
        <v>31</v>
      </c>
      <c r="I1462">
        <v>27</v>
      </c>
      <c r="J1462">
        <v>310</v>
      </c>
      <c r="K1462" s="482">
        <v>0.81299999999999994</v>
      </c>
      <c r="L1462" s="482">
        <v>0.1</v>
      </c>
      <c r="M1462" s="482">
        <v>8.6999999999999994E-2</v>
      </c>
    </row>
    <row r="1463" spans="1:13" x14ac:dyDescent="0.2">
      <c r="A1463" t="s">
        <v>2148</v>
      </c>
      <c r="B1463" t="s">
        <v>15</v>
      </c>
      <c r="C1463" t="s">
        <v>87</v>
      </c>
      <c r="D1463" t="s">
        <v>645</v>
      </c>
      <c r="E1463" t="s">
        <v>646</v>
      </c>
      <c r="F1463" t="s">
        <v>52</v>
      </c>
      <c r="G1463">
        <v>137</v>
      </c>
      <c r="H1463">
        <v>18</v>
      </c>
      <c r="I1463">
        <v>15</v>
      </c>
      <c r="J1463">
        <v>170</v>
      </c>
      <c r="K1463" s="482">
        <v>0.80600000000000005</v>
      </c>
      <c r="L1463" s="482">
        <v>0.106</v>
      </c>
      <c r="M1463" s="482">
        <v>8.7999999999999995E-2</v>
      </c>
    </row>
    <row r="1464" spans="1:13" x14ac:dyDescent="0.2">
      <c r="A1464" t="s">
        <v>2149</v>
      </c>
      <c r="B1464" t="s">
        <v>15</v>
      </c>
      <c r="C1464" t="s">
        <v>87</v>
      </c>
      <c r="D1464" t="s">
        <v>648</v>
      </c>
      <c r="E1464" t="s">
        <v>649</v>
      </c>
      <c r="F1464" t="s">
        <v>52</v>
      </c>
      <c r="G1464">
        <v>77</v>
      </c>
      <c r="H1464">
        <v>12</v>
      </c>
      <c r="I1464">
        <v>6</v>
      </c>
      <c r="J1464">
        <v>95</v>
      </c>
      <c r="K1464" s="482">
        <v>0.81100000000000005</v>
      </c>
      <c r="L1464" s="482">
        <v>0.126</v>
      </c>
      <c r="M1464" s="482">
        <v>6.3E-2</v>
      </c>
    </row>
    <row r="1465" spans="1:13" x14ac:dyDescent="0.2">
      <c r="A1465" t="s">
        <v>2150</v>
      </c>
      <c r="B1465" t="s">
        <v>15</v>
      </c>
      <c r="C1465" t="s">
        <v>87</v>
      </c>
      <c r="D1465" t="s">
        <v>651</v>
      </c>
      <c r="E1465" t="s">
        <v>652</v>
      </c>
      <c r="F1465" t="s">
        <v>52</v>
      </c>
      <c r="G1465">
        <v>96</v>
      </c>
      <c r="H1465">
        <v>13</v>
      </c>
      <c r="I1465">
        <v>13</v>
      </c>
      <c r="J1465">
        <v>122</v>
      </c>
      <c r="K1465" s="482">
        <v>0.78700000000000003</v>
      </c>
      <c r="L1465" s="482">
        <v>0.107</v>
      </c>
      <c r="M1465" s="482">
        <v>0.107</v>
      </c>
    </row>
    <row r="1466" spans="1:13" x14ac:dyDescent="0.2">
      <c r="A1466" t="s">
        <v>2151</v>
      </c>
      <c r="B1466" t="s">
        <v>15</v>
      </c>
      <c r="C1466" t="s">
        <v>87</v>
      </c>
      <c r="D1466" t="s">
        <v>654</v>
      </c>
      <c r="E1466" t="s">
        <v>655</v>
      </c>
      <c r="F1466" t="s">
        <v>52</v>
      </c>
      <c r="G1466">
        <v>112</v>
      </c>
      <c r="H1466">
        <v>17</v>
      </c>
      <c r="I1466">
        <v>14</v>
      </c>
      <c r="J1466">
        <v>143</v>
      </c>
      <c r="K1466" s="482">
        <v>0.78300000000000003</v>
      </c>
      <c r="L1466" s="482">
        <v>0.11899999999999999</v>
      </c>
      <c r="M1466" s="482">
        <v>9.8000000000000004E-2</v>
      </c>
    </row>
    <row r="1467" spans="1:13" x14ac:dyDescent="0.2">
      <c r="A1467" t="s">
        <v>2152</v>
      </c>
      <c r="B1467" t="s">
        <v>15</v>
      </c>
      <c r="C1467" t="s">
        <v>87</v>
      </c>
      <c r="D1467" t="s">
        <v>657</v>
      </c>
      <c r="E1467" t="s">
        <v>658</v>
      </c>
      <c r="F1467" t="s">
        <v>52</v>
      </c>
      <c r="G1467">
        <v>141</v>
      </c>
      <c r="H1467">
        <v>19</v>
      </c>
      <c r="I1467">
        <v>15</v>
      </c>
      <c r="J1467">
        <v>175</v>
      </c>
      <c r="K1467" s="482">
        <v>0.80600000000000005</v>
      </c>
      <c r="L1467" s="482">
        <v>0.109</v>
      </c>
      <c r="M1467" s="482">
        <v>8.5999999999999993E-2</v>
      </c>
    </row>
    <row r="1468" spans="1:13" x14ac:dyDescent="0.2">
      <c r="A1468" t="s">
        <v>2153</v>
      </c>
      <c r="B1468" t="s">
        <v>15</v>
      </c>
      <c r="C1468" t="s">
        <v>87</v>
      </c>
      <c r="D1468" t="s">
        <v>660</v>
      </c>
      <c r="E1468" t="s">
        <v>661</v>
      </c>
      <c r="F1468" t="s">
        <v>52</v>
      </c>
      <c r="G1468">
        <v>71</v>
      </c>
      <c r="H1468">
        <v>10</v>
      </c>
      <c r="I1468">
        <v>10</v>
      </c>
      <c r="J1468">
        <v>91</v>
      </c>
      <c r="K1468" s="482">
        <v>0.78</v>
      </c>
      <c r="L1468" s="482">
        <v>0.11</v>
      </c>
      <c r="M1468" s="482">
        <v>0.11</v>
      </c>
    </row>
    <row r="1469" spans="1:13" x14ac:dyDescent="0.2">
      <c r="A1469" t="s">
        <v>2154</v>
      </c>
      <c r="B1469" t="s">
        <v>15</v>
      </c>
      <c r="C1469" t="s">
        <v>87</v>
      </c>
      <c r="D1469" t="s">
        <v>663</v>
      </c>
      <c r="E1469" t="s">
        <v>664</v>
      </c>
      <c r="F1469" t="s">
        <v>52</v>
      </c>
      <c r="G1469">
        <v>144</v>
      </c>
      <c r="H1469">
        <v>17</v>
      </c>
      <c r="I1469">
        <v>16</v>
      </c>
      <c r="J1469">
        <v>177</v>
      </c>
      <c r="K1469" s="482">
        <v>0.81399999999999995</v>
      </c>
      <c r="L1469" s="482">
        <v>9.6000000000000002E-2</v>
      </c>
      <c r="M1469" s="482">
        <v>0.09</v>
      </c>
    </row>
    <row r="1470" spans="1:13" x14ac:dyDescent="0.2">
      <c r="A1470" t="s">
        <v>2155</v>
      </c>
      <c r="B1470" t="s">
        <v>15</v>
      </c>
      <c r="C1470" t="s">
        <v>87</v>
      </c>
      <c r="D1470" t="s">
        <v>666</v>
      </c>
      <c r="E1470" t="s">
        <v>667</v>
      </c>
      <c r="F1470" t="s">
        <v>52</v>
      </c>
      <c r="G1470">
        <v>142</v>
      </c>
      <c r="H1470">
        <v>19</v>
      </c>
      <c r="I1470">
        <v>14</v>
      </c>
      <c r="J1470">
        <v>175</v>
      </c>
      <c r="K1470" s="482">
        <v>0.81100000000000005</v>
      </c>
      <c r="L1470" s="482">
        <v>0.109</v>
      </c>
      <c r="M1470" s="482">
        <v>0.08</v>
      </c>
    </row>
    <row r="1471" spans="1:13" x14ac:dyDescent="0.2">
      <c r="A1471" t="s">
        <v>2156</v>
      </c>
      <c r="B1471" t="s">
        <v>15</v>
      </c>
      <c r="C1471" t="s">
        <v>87</v>
      </c>
      <c r="D1471" t="s">
        <v>669</v>
      </c>
      <c r="E1471" t="s">
        <v>670</v>
      </c>
      <c r="F1471" t="s">
        <v>52</v>
      </c>
      <c r="G1471">
        <v>137</v>
      </c>
      <c r="H1471">
        <v>21</v>
      </c>
      <c r="I1471">
        <v>17</v>
      </c>
      <c r="J1471">
        <v>175</v>
      </c>
      <c r="K1471" s="482">
        <v>0.78300000000000003</v>
      </c>
      <c r="L1471" s="482">
        <v>0.12</v>
      </c>
      <c r="M1471" s="482">
        <v>9.7000000000000003E-2</v>
      </c>
    </row>
    <row r="1472" spans="1:13" x14ac:dyDescent="0.2">
      <c r="A1472" t="s">
        <v>2157</v>
      </c>
      <c r="B1472" t="s">
        <v>15</v>
      </c>
      <c r="C1472" t="s">
        <v>87</v>
      </c>
      <c r="D1472" t="s">
        <v>672</v>
      </c>
      <c r="E1472" t="s">
        <v>673</v>
      </c>
      <c r="F1472" t="s">
        <v>52</v>
      </c>
      <c r="G1472">
        <v>208</v>
      </c>
      <c r="H1472">
        <v>19</v>
      </c>
      <c r="I1472">
        <v>17</v>
      </c>
      <c r="J1472">
        <v>244</v>
      </c>
      <c r="K1472" s="482">
        <v>0.85199999999999998</v>
      </c>
      <c r="L1472" s="482">
        <v>7.8E-2</v>
      </c>
      <c r="M1472" s="482">
        <v>7.0000000000000007E-2</v>
      </c>
    </row>
    <row r="1473" spans="1:13" x14ac:dyDescent="0.2">
      <c r="A1473" t="s">
        <v>2158</v>
      </c>
      <c r="B1473" t="s">
        <v>15</v>
      </c>
      <c r="C1473" t="s">
        <v>87</v>
      </c>
      <c r="D1473" t="s">
        <v>675</v>
      </c>
      <c r="E1473" t="s">
        <v>676</v>
      </c>
      <c r="F1473" t="s">
        <v>52</v>
      </c>
      <c r="G1473">
        <v>203</v>
      </c>
      <c r="H1473">
        <v>24</v>
      </c>
      <c r="I1473">
        <v>21</v>
      </c>
      <c r="J1473">
        <v>248</v>
      </c>
      <c r="K1473" s="482">
        <v>0.81899999999999995</v>
      </c>
      <c r="L1473" s="482">
        <v>9.7000000000000003E-2</v>
      </c>
      <c r="M1473" s="482">
        <v>8.5000000000000006E-2</v>
      </c>
    </row>
    <row r="1474" spans="1:13" x14ac:dyDescent="0.2">
      <c r="A1474" t="s">
        <v>2265</v>
      </c>
      <c r="B1474" t="s">
        <v>15</v>
      </c>
      <c r="C1474" t="s">
        <v>87</v>
      </c>
      <c r="D1474" t="s">
        <v>992</v>
      </c>
      <c r="E1474" t="s">
        <v>993</v>
      </c>
      <c r="F1474" t="s">
        <v>52</v>
      </c>
      <c r="G1474">
        <v>52</v>
      </c>
      <c r="H1474">
        <v>4</v>
      </c>
      <c r="I1474">
        <v>7</v>
      </c>
      <c r="J1474">
        <v>63</v>
      </c>
      <c r="K1474" s="482">
        <v>0.82499999999999996</v>
      </c>
      <c r="L1474" s="482">
        <v>6.3E-2</v>
      </c>
      <c r="M1474" s="482">
        <v>0.111</v>
      </c>
    </row>
    <row r="1475" spans="1:13" x14ac:dyDescent="0.2">
      <c r="A1475" t="s">
        <v>2266</v>
      </c>
      <c r="B1475" t="s">
        <v>15</v>
      </c>
      <c r="C1475" t="s">
        <v>87</v>
      </c>
      <c r="D1475" t="s">
        <v>995</v>
      </c>
      <c r="E1475" t="s">
        <v>996</v>
      </c>
      <c r="F1475" t="s">
        <v>52</v>
      </c>
      <c r="G1475">
        <v>109</v>
      </c>
      <c r="H1475">
        <v>10</v>
      </c>
      <c r="I1475">
        <v>12</v>
      </c>
      <c r="J1475">
        <v>131</v>
      </c>
      <c r="K1475" s="482">
        <v>0.83199999999999996</v>
      </c>
      <c r="L1475" s="482">
        <v>7.5999999999999998E-2</v>
      </c>
      <c r="M1475" s="482">
        <v>9.1999999999999998E-2</v>
      </c>
    </row>
    <row r="1476" spans="1:13" x14ac:dyDescent="0.2">
      <c r="A1476" t="s">
        <v>2267</v>
      </c>
      <c r="B1476" t="s">
        <v>15</v>
      </c>
      <c r="C1476" t="s">
        <v>87</v>
      </c>
      <c r="D1476" t="s">
        <v>998</v>
      </c>
      <c r="E1476" t="s">
        <v>999</v>
      </c>
      <c r="F1476" t="s">
        <v>52</v>
      </c>
      <c r="G1476">
        <v>108</v>
      </c>
      <c r="H1476">
        <v>13</v>
      </c>
      <c r="I1476">
        <v>18</v>
      </c>
      <c r="J1476">
        <v>139</v>
      </c>
      <c r="K1476" s="482">
        <v>0.77700000000000002</v>
      </c>
      <c r="L1476" s="482">
        <v>9.4E-2</v>
      </c>
      <c r="M1476" s="482">
        <v>0.129</v>
      </c>
    </row>
    <row r="1477" spans="1:13" x14ac:dyDescent="0.2">
      <c r="A1477" t="s">
        <v>2268</v>
      </c>
      <c r="B1477" t="s">
        <v>15</v>
      </c>
      <c r="C1477" t="s">
        <v>87</v>
      </c>
      <c r="D1477" t="s">
        <v>1001</v>
      </c>
      <c r="E1477" t="s">
        <v>1002</v>
      </c>
      <c r="F1477" t="s">
        <v>52</v>
      </c>
      <c r="G1477">
        <v>103</v>
      </c>
      <c r="H1477">
        <v>11</v>
      </c>
      <c r="I1477">
        <v>12</v>
      </c>
      <c r="J1477">
        <v>126</v>
      </c>
      <c r="K1477" s="482">
        <v>0.81699999999999995</v>
      </c>
      <c r="L1477" s="482">
        <v>8.6999999999999994E-2</v>
      </c>
      <c r="M1477" s="482">
        <v>9.5000000000000001E-2</v>
      </c>
    </row>
    <row r="1478" spans="1:13" x14ac:dyDescent="0.2">
      <c r="A1478" t="s">
        <v>2269</v>
      </c>
      <c r="B1478" t="s">
        <v>15</v>
      </c>
      <c r="C1478" t="s">
        <v>87</v>
      </c>
      <c r="D1478" t="s">
        <v>1004</v>
      </c>
      <c r="E1478" t="s">
        <v>1005</v>
      </c>
      <c r="F1478" t="s">
        <v>52</v>
      </c>
      <c r="G1478">
        <v>93</v>
      </c>
      <c r="H1478">
        <v>14</v>
      </c>
      <c r="I1478">
        <v>13</v>
      </c>
      <c r="J1478">
        <v>120</v>
      </c>
      <c r="K1478" s="482">
        <v>0.77500000000000002</v>
      </c>
      <c r="L1478" s="482">
        <v>0.11700000000000001</v>
      </c>
      <c r="M1478" s="482">
        <v>0.108</v>
      </c>
    </row>
    <row r="1479" spans="1:13" x14ac:dyDescent="0.2">
      <c r="A1479" t="s">
        <v>2270</v>
      </c>
      <c r="B1479" t="s">
        <v>15</v>
      </c>
      <c r="C1479" t="s">
        <v>87</v>
      </c>
      <c r="D1479" t="s">
        <v>1007</v>
      </c>
      <c r="E1479" t="s">
        <v>1008</v>
      </c>
      <c r="F1479" t="s">
        <v>52</v>
      </c>
      <c r="G1479">
        <v>73</v>
      </c>
      <c r="H1479">
        <v>14</v>
      </c>
      <c r="I1479">
        <v>7</v>
      </c>
      <c r="J1479">
        <v>94</v>
      </c>
      <c r="K1479" s="482">
        <v>0.77700000000000002</v>
      </c>
      <c r="L1479" s="482">
        <v>0.14899999999999999</v>
      </c>
      <c r="M1479" s="482">
        <v>7.3999999999999996E-2</v>
      </c>
    </row>
    <row r="1480" spans="1:13" x14ac:dyDescent="0.2">
      <c r="A1480" t="s">
        <v>2271</v>
      </c>
      <c r="B1480" t="s">
        <v>15</v>
      </c>
      <c r="C1480" t="s">
        <v>87</v>
      </c>
      <c r="D1480" t="s">
        <v>1010</v>
      </c>
      <c r="E1480" t="s">
        <v>1011</v>
      </c>
      <c r="F1480" t="s">
        <v>52</v>
      </c>
      <c r="G1480">
        <v>20</v>
      </c>
      <c r="H1480">
        <v>3</v>
      </c>
      <c r="I1480">
        <v>0</v>
      </c>
      <c r="J1480">
        <v>23</v>
      </c>
      <c r="K1480" s="482">
        <v>0.87</v>
      </c>
      <c r="L1480" s="482">
        <v>0.13</v>
      </c>
      <c r="M1480" s="482">
        <v>0</v>
      </c>
    </row>
    <row r="1481" spans="1:13" x14ac:dyDescent="0.2">
      <c r="A1481" t="s">
        <v>2069</v>
      </c>
      <c r="B1481" t="s">
        <v>15</v>
      </c>
      <c r="C1481" t="s">
        <v>87</v>
      </c>
      <c r="D1481" t="s">
        <v>1013</v>
      </c>
      <c r="E1481" t="s">
        <v>1014</v>
      </c>
      <c r="F1481" t="s">
        <v>52</v>
      </c>
      <c r="G1481">
        <v>71</v>
      </c>
      <c r="H1481">
        <v>9</v>
      </c>
      <c r="I1481">
        <v>8</v>
      </c>
      <c r="J1481">
        <v>88</v>
      </c>
      <c r="K1481" s="482">
        <v>0.80700000000000005</v>
      </c>
      <c r="L1481" s="482">
        <v>0.10199999999999999</v>
      </c>
      <c r="M1481" s="482">
        <v>9.0999999999999998E-2</v>
      </c>
    </row>
    <row r="1482" spans="1:13" x14ac:dyDescent="0.2">
      <c r="A1482" t="s">
        <v>2070</v>
      </c>
      <c r="B1482" t="s">
        <v>15</v>
      </c>
      <c r="C1482" t="s">
        <v>87</v>
      </c>
      <c r="D1482" t="s">
        <v>420</v>
      </c>
      <c r="E1482" t="s">
        <v>421</v>
      </c>
      <c r="F1482" t="s">
        <v>52</v>
      </c>
      <c r="G1482">
        <v>269</v>
      </c>
      <c r="H1482">
        <v>34</v>
      </c>
      <c r="I1482">
        <v>32</v>
      </c>
      <c r="J1482">
        <v>335</v>
      </c>
      <c r="K1482" s="482">
        <v>0.80300000000000005</v>
      </c>
      <c r="L1482" s="482">
        <v>0.10100000000000001</v>
      </c>
      <c r="M1482" s="482">
        <v>9.6000000000000002E-2</v>
      </c>
    </row>
    <row r="1483" spans="1:13" x14ac:dyDescent="0.2">
      <c r="A1483" t="s">
        <v>2071</v>
      </c>
      <c r="B1483" t="s">
        <v>15</v>
      </c>
      <c r="C1483" t="s">
        <v>87</v>
      </c>
      <c r="D1483" t="s">
        <v>423</v>
      </c>
      <c r="E1483" t="s">
        <v>424</v>
      </c>
      <c r="F1483" t="s">
        <v>52</v>
      </c>
      <c r="G1483">
        <v>65</v>
      </c>
      <c r="H1483">
        <v>10</v>
      </c>
      <c r="I1483">
        <v>9</v>
      </c>
      <c r="J1483">
        <v>84</v>
      </c>
      <c r="K1483" s="482">
        <v>0.77400000000000002</v>
      </c>
      <c r="L1483" s="482">
        <v>0.11899999999999999</v>
      </c>
      <c r="M1483" s="482">
        <v>0.107</v>
      </c>
    </row>
    <row r="1484" spans="1:13" x14ac:dyDescent="0.2">
      <c r="A1484" t="s">
        <v>2072</v>
      </c>
      <c r="B1484" t="s">
        <v>15</v>
      </c>
      <c r="C1484" t="s">
        <v>87</v>
      </c>
      <c r="D1484" t="s">
        <v>426</v>
      </c>
      <c r="E1484" t="s">
        <v>427</v>
      </c>
      <c r="F1484" t="s">
        <v>52</v>
      </c>
      <c r="G1484">
        <v>235</v>
      </c>
      <c r="H1484">
        <v>27</v>
      </c>
      <c r="I1484">
        <v>30</v>
      </c>
      <c r="J1484">
        <v>292</v>
      </c>
      <c r="K1484" s="482">
        <v>0.80500000000000005</v>
      </c>
      <c r="L1484" s="482">
        <v>9.1999999999999998E-2</v>
      </c>
      <c r="M1484" s="482">
        <v>0.10299999999999999</v>
      </c>
    </row>
    <row r="1485" spans="1:13" x14ac:dyDescent="0.2">
      <c r="A1485" t="s">
        <v>2073</v>
      </c>
      <c r="B1485" t="s">
        <v>15</v>
      </c>
      <c r="C1485" t="s">
        <v>87</v>
      </c>
      <c r="D1485" t="s">
        <v>429</v>
      </c>
      <c r="E1485" t="s">
        <v>430</v>
      </c>
      <c r="F1485" t="s">
        <v>52</v>
      </c>
      <c r="G1485">
        <v>151</v>
      </c>
      <c r="H1485">
        <v>17</v>
      </c>
      <c r="I1485">
        <v>17</v>
      </c>
      <c r="J1485">
        <v>185</v>
      </c>
      <c r="K1485" s="482">
        <v>0.81599999999999995</v>
      </c>
      <c r="L1485" s="482">
        <v>9.1999999999999998E-2</v>
      </c>
      <c r="M1485" s="482">
        <v>9.1999999999999998E-2</v>
      </c>
    </row>
    <row r="1486" spans="1:13" x14ac:dyDescent="0.2">
      <c r="A1486" t="s">
        <v>2074</v>
      </c>
      <c r="B1486" t="s">
        <v>15</v>
      </c>
      <c r="C1486" t="s">
        <v>87</v>
      </c>
      <c r="D1486" t="s">
        <v>432</v>
      </c>
      <c r="E1486" t="s">
        <v>433</v>
      </c>
      <c r="F1486" t="s">
        <v>52</v>
      </c>
      <c r="G1486">
        <v>65</v>
      </c>
      <c r="H1486">
        <v>8</v>
      </c>
      <c r="I1486">
        <v>3</v>
      </c>
      <c r="J1486">
        <v>76</v>
      </c>
      <c r="K1486" s="482">
        <v>0.85499999999999998</v>
      </c>
      <c r="L1486" s="482">
        <v>0.105</v>
      </c>
      <c r="M1486" s="482">
        <v>3.9E-2</v>
      </c>
    </row>
    <row r="1487" spans="1:13" x14ac:dyDescent="0.2">
      <c r="A1487" t="s">
        <v>2075</v>
      </c>
      <c r="B1487" t="s">
        <v>15</v>
      </c>
      <c r="C1487" t="s">
        <v>87</v>
      </c>
      <c r="D1487" t="s">
        <v>435</v>
      </c>
      <c r="E1487" t="s">
        <v>436</v>
      </c>
      <c r="F1487" t="s">
        <v>52</v>
      </c>
      <c r="G1487">
        <v>26</v>
      </c>
      <c r="H1487">
        <v>6</v>
      </c>
      <c r="I1487">
        <v>5</v>
      </c>
      <c r="J1487">
        <v>37</v>
      </c>
      <c r="K1487" s="482">
        <v>0.70299999999999996</v>
      </c>
      <c r="L1487" s="482">
        <v>0.16200000000000001</v>
      </c>
      <c r="M1487" s="482">
        <v>0.13500000000000001</v>
      </c>
    </row>
    <row r="1488" spans="1:13" x14ac:dyDescent="0.2">
      <c r="A1488" t="s">
        <v>2177</v>
      </c>
      <c r="B1488" t="s">
        <v>15</v>
      </c>
      <c r="C1488" t="s">
        <v>87</v>
      </c>
      <c r="D1488" t="s">
        <v>737</v>
      </c>
      <c r="E1488" t="s">
        <v>738</v>
      </c>
      <c r="F1488" t="s">
        <v>52</v>
      </c>
      <c r="G1488">
        <v>132</v>
      </c>
      <c r="H1488">
        <v>17</v>
      </c>
      <c r="I1488">
        <v>21</v>
      </c>
      <c r="J1488">
        <v>170</v>
      </c>
      <c r="K1488" s="482">
        <v>0.77600000000000002</v>
      </c>
      <c r="L1488" s="482">
        <v>0.1</v>
      </c>
      <c r="M1488" s="482">
        <v>0.124</v>
      </c>
    </row>
    <row r="1489" spans="1:13" x14ac:dyDescent="0.2">
      <c r="A1489" t="s">
        <v>2176</v>
      </c>
      <c r="B1489" t="s">
        <v>15</v>
      </c>
      <c r="C1489" t="s">
        <v>87</v>
      </c>
      <c r="D1489" t="s">
        <v>734</v>
      </c>
      <c r="E1489" t="s">
        <v>735</v>
      </c>
      <c r="F1489" t="s">
        <v>52</v>
      </c>
      <c r="G1489">
        <v>135</v>
      </c>
      <c r="H1489">
        <v>21</v>
      </c>
      <c r="I1489">
        <v>14</v>
      </c>
      <c r="J1489">
        <v>170</v>
      </c>
      <c r="K1489" s="482">
        <v>0.79400000000000004</v>
      </c>
      <c r="L1489" s="482">
        <v>0.124</v>
      </c>
      <c r="M1489" s="482">
        <v>8.2000000000000003E-2</v>
      </c>
    </row>
    <row r="1490" spans="1:13" x14ac:dyDescent="0.2">
      <c r="A1490" t="s">
        <v>2367</v>
      </c>
      <c r="B1490" t="s">
        <v>15</v>
      </c>
      <c r="C1490" t="s">
        <v>87</v>
      </c>
      <c r="D1490" t="s">
        <v>734</v>
      </c>
      <c r="E1490" t="s">
        <v>735</v>
      </c>
      <c r="F1490" t="s">
        <v>16</v>
      </c>
      <c r="G1490">
        <v>169</v>
      </c>
      <c r="H1490">
        <v>2</v>
      </c>
      <c r="I1490">
        <v>7</v>
      </c>
      <c r="J1490">
        <v>178</v>
      </c>
      <c r="K1490" s="482">
        <v>0.94899999999999995</v>
      </c>
      <c r="L1490" s="482">
        <v>1.0999999999999999E-2</v>
      </c>
      <c r="M1490" s="482">
        <v>3.9E-2</v>
      </c>
    </row>
    <row r="1491" spans="1:13" x14ac:dyDescent="0.2">
      <c r="A1491" t="s">
        <v>2366</v>
      </c>
      <c r="B1491" t="s">
        <v>15</v>
      </c>
      <c r="C1491" t="s">
        <v>87</v>
      </c>
      <c r="D1491" t="s">
        <v>737</v>
      </c>
      <c r="E1491" t="s">
        <v>738</v>
      </c>
      <c r="F1491" t="s">
        <v>16</v>
      </c>
      <c r="G1491">
        <v>180</v>
      </c>
      <c r="H1491">
        <v>1</v>
      </c>
      <c r="I1491">
        <v>8</v>
      </c>
      <c r="J1491">
        <v>189</v>
      </c>
      <c r="K1491" s="482">
        <v>0.95199999999999996</v>
      </c>
      <c r="L1491" s="482">
        <v>5.0000000000000001E-3</v>
      </c>
      <c r="M1491" s="482">
        <v>4.2000000000000003E-2</v>
      </c>
    </row>
    <row r="1492" spans="1:13" x14ac:dyDescent="0.2">
      <c r="A1492" t="s">
        <v>2468</v>
      </c>
      <c r="B1492" t="s">
        <v>15</v>
      </c>
      <c r="C1492" t="s">
        <v>87</v>
      </c>
      <c r="D1492" t="s">
        <v>435</v>
      </c>
      <c r="E1492" t="s">
        <v>436</v>
      </c>
      <c r="F1492" t="s">
        <v>16</v>
      </c>
      <c r="G1492">
        <v>37</v>
      </c>
      <c r="H1492">
        <v>2</v>
      </c>
      <c r="I1492">
        <v>1</v>
      </c>
      <c r="J1492">
        <v>40</v>
      </c>
      <c r="K1492" s="482">
        <v>0.92500000000000004</v>
      </c>
      <c r="L1492" s="482">
        <v>0.05</v>
      </c>
      <c r="M1492" s="482">
        <v>2.5000000000000001E-2</v>
      </c>
    </row>
    <row r="1493" spans="1:13" x14ac:dyDescent="0.2">
      <c r="A1493" t="s">
        <v>2469</v>
      </c>
      <c r="B1493" t="s">
        <v>15</v>
      </c>
      <c r="C1493" t="s">
        <v>87</v>
      </c>
      <c r="D1493" t="s">
        <v>432</v>
      </c>
      <c r="E1493" t="s">
        <v>433</v>
      </c>
      <c r="F1493" t="s">
        <v>16</v>
      </c>
      <c r="G1493">
        <v>79</v>
      </c>
      <c r="H1493">
        <v>1</v>
      </c>
      <c r="I1493">
        <v>4</v>
      </c>
      <c r="J1493">
        <v>84</v>
      </c>
      <c r="K1493" s="482">
        <v>0.94</v>
      </c>
      <c r="L1493" s="482">
        <v>1.2E-2</v>
      </c>
      <c r="M1493" s="482">
        <v>4.8000000000000001E-2</v>
      </c>
    </row>
    <row r="1494" spans="1:13" x14ac:dyDescent="0.2">
      <c r="A1494" t="s">
        <v>2470</v>
      </c>
      <c r="B1494" t="s">
        <v>15</v>
      </c>
      <c r="C1494" t="s">
        <v>87</v>
      </c>
      <c r="D1494" t="s">
        <v>429</v>
      </c>
      <c r="E1494" t="s">
        <v>430</v>
      </c>
      <c r="F1494" t="s">
        <v>16</v>
      </c>
      <c r="G1494">
        <v>187</v>
      </c>
      <c r="H1494">
        <v>5</v>
      </c>
      <c r="I1494">
        <v>8</v>
      </c>
      <c r="J1494">
        <v>200</v>
      </c>
      <c r="K1494" s="482">
        <v>0.93500000000000005</v>
      </c>
      <c r="L1494" s="482">
        <v>2.5000000000000001E-2</v>
      </c>
      <c r="M1494" s="482">
        <v>0.04</v>
      </c>
    </row>
    <row r="1495" spans="1:13" x14ac:dyDescent="0.2">
      <c r="A1495" t="s">
        <v>2471</v>
      </c>
      <c r="B1495" t="s">
        <v>15</v>
      </c>
      <c r="C1495" t="s">
        <v>87</v>
      </c>
      <c r="D1495" t="s">
        <v>426</v>
      </c>
      <c r="E1495" t="s">
        <v>427</v>
      </c>
      <c r="F1495" t="s">
        <v>16</v>
      </c>
      <c r="G1495">
        <v>296</v>
      </c>
      <c r="H1495">
        <v>5</v>
      </c>
      <c r="I1495">
        <v>23</v>
      </c>
      <c r="J1495">
        <v>324</v>
      </c>
      <c r="K1495" s="482">
        <v>0.91400000000000003</v>
      </c>
      <c r="L1495" s="482">
        <v>1.4999999999999999E-2</v>
      </c>
      <c r="M1495" s="482">
        <v>7.0999999999999994E-2</v>
      </c>
    </row>
    <row r="1496" spans="1:13" x14ac:dyDescent="0.2">
      <c r="A1496" t="s">
        <v>2472</v>
      </c>
      <c r="B1496" t="s">
        <v>15</v>
      </c>
      <c r="C1496" t="s">
        <v>87</v>
      </c>
      <c r="D1496" t="s">
        <v>423</v>
      </c>
      <c r="E1496" t="s">
        <v>424</v>
      </c>
      <c r="F1496" t="s">
        <v>16</v>
      </c>
      <c r="G1496">
        <v>79</v>
      </c>
      <c r="H1496">
        <v>1</v>
      </c>
      <c r="I1496">
        <v>7</v>
      </c>
      <c r="J1496">
        <v>87</v>
      </c>
      <c r="K1496" s="482">
        <v>0.90800000000000003</v>
      </c>
      <c r="L1496" s="482">
        <v>1.0999999999999999E-2</v>
      </c>
      <c r="M1496" s="482">
        <v>0.08</v>
      </c>
    </row>
    <row r="1497" spans="1:13" x14ac:dyDescent="0.2">
      <c r="A1497" t="s">
        <v>2473</v>
      </c>
      <c r="B1497" t="s">
        <v>15</v>
      </c>
      <c r="C1497" t="s">
        <v>87</v>
      </c>
      <c r="D1497" t="s">
        <v>420</v>
      </c>
      <c r="E1497" t="s">
        <v>421</v>
      </c>
      <c r="F1497" t="s">
        <v>16</v>
      </c>
      <c r="G1497">
        <v>342</v>
      </c>
      <c r="H1497">
        <v>5</v>
      </c>
      <c r="I1497">
        <v>20</v>
      </c>
      <c r="J1497">
        <v>367</v>
      </c>
      <c r="K1497" s="482">
        <v>0.93200000000000005</v>
      </c>
      <c r="L1497" s="482">
        <v>1.4E-2</v>
      </c>
      <c r="M1497" s="482">
        <v>5.3999999999999999E-2</v>
      </c>
    </row>
    <row r="1498" spans="1:13" x14ac:dyDescent="0.2">
      <c r="A1498" t="s">
        <v>2474</v>
      </c>
      <c r="B1498" t="s">
        <v>15</v>
      </c>
      <c r="C1498" t="s">
        <v>87</v>
      </c>
      <c r="D1498" t="s">
        <v>1013</v>
      </c>
      <c r="E1498" t="s">
        <v>1014</v>
      </c>
      <c r="F1498" t="s">
        <v>16</v>
      </c>
      <c r="G1498">
        <v>87</v>
      </c>
      <c r="H1498">
        <v>0</v>
      </c>
      <c r="I1498">
        <v>6</v>
      </c>
      <c r="J1498">
        <v>93</v>
      </c>
      <c r="K1498" s="482">
        <v>0.93500000000000005</v>
      </c>
      <c r="L1498" s="482">
        <v>0</v>
      </c>
      <c r="M1498" s="482">
        <v>6.5000000000000002E-2</v>
      </c>
    </row>
    <row r="1499" spans="1:13" x14ac:dyDescent="0.2">
      <c r="A1499" t="s">
        <v>2272</v>
      </c>
      <c r="B1499" t="s">
        <v>15</v>
      </c>
      <c r="C1499" t="s">
        <v>87</v>
      </c>
      <c r="D1499" t="s">
        <v>1010</v>
      </c>
      <c r="E1499" t="s">
        <v>1011</v>
      </c>
      <c r="F1499" t="s">
        <v>16</v>
      </c>
      <c r="G1499">
        <v>27</v>
      </c>
      <c r="H1499">
        <v>0</v>
      </c>
      <c r="I1499">
        <v>3</v>
      </c>
      <c r="J1499">
        <v>30</v>
      </c>
      <c r="K1499" s="482">
        <v>0.9</v>
      </c>
      <c r="L1499" s="482">
        <v>0</v>
      </c>
      <c r="M1499" s="482">
        <v>0.1</v>
      </c>
    </row>
    <row r="1500" spans="1:13" x14ac:dyDescent="0.2">
      <c r="A1500" t="s">
        <v>2273</v>
      </c>
      <c r="B1500" t="s">
        <v>15</v>
      </c>
      <c r="C1500" t="s">
        <v>87</v>
      </c>
      <c r="D1500" t="s">
        <v>1007</v>
      </c>
      <c r="E1500" t="s">
        <v>1008</v>
      </c>
      <c r="F1500" t="s">
        <v>16</v>
      </c>
      <c r="G1500">
        <v>96</v>
      </c>
      <c r="H1500">
        <v>1</v>
      </c>
      <c r="I1500">
        <v>3</v>
      </c>
      <c r="J1500">
        <v>100</v>
      </c>
      <c r="K1500" s="482">
        <v>0.96</v>
      </c>
      <c r="L1500" s="482">
        <v>0.01</v>
      </c>
      <c r="M1500" s="482">
        <v>0.03</v>
      </c>
    </row>
    <row r="1501" spans="1:13" x14ac:dyDescent="0.2">
      <c r="A1501" t="s">
        <v>2274</v>
      </c>
      <c r="B1501" t="s">
        <v>15</v>
      </c>
      <c r="C1501" t="s">
        <v>87</v>
      </c>
      <c r="D1501" t="s">
        <v>1004</v>
      </c>
      <c r="E1501" t="s">
        <v>1005</v>
      </c>
      <c r="F1501" t="s">
        <v>16</v>
      </c>
      <c r="G1501">
        <v>116</v>
      </c>
      <c r="H1501">
        <v>4</v>
      </c>
      <c r="I1501">
        <v>6</v>
      </c>
      <c r="J1501">
        <v>126</v>
      </c>
      <c r="K1501" s="482">
        <v>0.92100000000000004</v>
      </c>
      <c r="L1501" s="482">
        <v>3.2000000000000001E-2</v>
      </c>
      <c r="M1501" s="482">
        <v>4.8000000000000001E-2</v>
      </c>
    </row>
    <row r="1502" spans="1:13" x14ac:dyDescent="0.2">
      <c r="A1502" t="s">
        <v>2275</v>
      </c>
      <c r="B1502" t="s">
        <v>15</v>
      </c>
      <c r="C1502" t="s">
        <v>87</v>
      </c>
      <c r="D1502" t="s">
        <v>1001</v>
      </c>
      <c r="E1502" t="s">
        <v>1002</v>
      </c>
      <c r="F1502" t="s">
        <v>16</v>
      </c>
      <c r="G1502">
        <v>138</v>
      </c>
      <c r="H1502">
        <v>1</v>
      </c>
      <c r="I1502">
        <v>3</v>
      </c>
      <c r="J1502">
        <v>142</v>
      </c>
      <c r="K1502" s="482">
        <v>0.97199999999999998</v>
      </c>
      <c r="L1502" s="482">
        <v>7.0000000000000001E-3</v>
      </c>
      <c r="M1502" s="482">
        <v>2.1000000000000001E-2</v>
      </c>
    </row>
    <row r="1503" spans="1:13" x14ac:dyDescent="0.2">
      <c r="A1503" t="s">
        <v>2276</v>
      </c>
      <c r="B1503" t="s">
        <v>15</v>
      </c>
      <c r="C1503" t="s">
        <v>87</v>
      </c>
      <c r="D1503" t="s">
        <v>998</v>
      </c>
      <c r="E1503" t="s">
        <v>999</v>
      </c>
      <c r="F1503" t="s">
        <v>16</v>
      </c>
      <c r="G1503">
        <v>144</v>
      </c>
      <c r="H1503">
        <v>4</v>
      </c>
      <c r="I1503">
        <v>7</v>
      </c>
      <c r="J1503">
        <v>155</v>
      </c>
      <c r="K1503" s="482">
        <v>0.92900000000000005</v>
      </c>
      <c r="L1503" s="482">
        <v>2.5999999999999999E-2</v>
      </c>
      <c r="M1503" s="482">
        <v>4.4999999999999998E-2</v>
      </c>
    </row>
    <row r="1504" spans="1:13" x14ac:dyDescent="0.2">
      <c r="A1504" t="s">
        <v>2277</v>
      </c>
      <c r="B1504" t="s">
        <v>15</v>
      </c>
      <c r="C1504" t="s">
        <v>87</v>
      </c>
      <c r="D1504" t="s">
        <v>995</v>
      </c>
      <c r="E1504" t="s">
        <v>996</v>
      </c>
      <c r="F1504" t="s">
        <v>16</v>
      </c>
      <c r="G1504">
        <v>135</v>
      </c>
      <c r="H1504">
        <v>1</v>
      </c>
      <c r="I1504">
        <v>6</v>
      </c>
      <c r="J1504">
        <v>142</v>
      </c>
      <c r="K1504" s="482">
        <v>0.95099999999999996</v>
      </c>
      <c r="L1504" s="482">
        <v>7.0000000000000001E-3</v>
      </c>
      <c r="M1504" s="482">
        <v>4.2000000000000003E-2</v>
      </c>
    </row>
    <row r="1505" spans="1:13" x14ac:dyDescent="0.2">
      <c r="A1505" t="s">
        <v>2278</v>
      </c>
      <c r="B1505" t="s">
        <v>15</v>
      </c>
      <c r="C1505" t="s">
        <v>87</v>
      </c>
      <c r="D1505" t="s">
        <v>992</v>
      </c>
      <c r="E1505" t="s">
        <v>993</v>
      </c>
      <c r="F1505" t="s">
        <v>16</v>
      </c>
      <c r="G1505">
        <v>63</v>
      </c>
      <c r="H1505">
        <v>0</v>
      </c>
      <c r="I1505">
        <v>5</v>
      </c>
      <c r="J1505">
        <v>68</v>
      </c>
      <c r="K1505" s="482">
        <v>0.92600000000000005</v>
      </c>
      <c r="L1505" s="482">
        <v>0</v>
      </c>
      <c r="M1505" s="482">
        <v>7.3999999999999996E-2</v>
      </c>
    </row>
    <row r="1506" spans="1:13" x14ac:dyDescent="0.2">
      <c r="A1506" t="s">
        <v>2385</v>
      </c>
      <c r="B1506" t="s">
        <v>15</v>
      </c>
      <c r="C1506" t="s">
        <v>87</v>
      </c>
      <c r="D1506" t="s">
        <v>675</v>
      </c>
      <c r="E1506" t="s">
        <v>676</v>
      </c>
      <c r="F1506" t="s">
        <v>16</v>
      </c>
      <c r="G1506">
        <v>244</v>
      </c>
      <c r="H1506">
        <v>2</v>
      </c>
      <c r="I1506">
        <v>16</v>
      </c>
      <c r="J1506">
        <v>262</v>
      </c>
      <c r="K1506" s="482">
        <v>0.93100000000000005</v>
      </c>
      <c r="L1506" s="482">
        <v>8.0000000000000002E-3</v>
      </c>
      <c r="M1506" s="482">
        <v>6.0999999999999999E-2</v>
      </c>
    </row>
    <row r="1507" spans="1:13" x14ac:dyDescent="0.2">
      <c r="A1507" t="s">
        <v>2386</v>
      </c>
      <c r="B1507" t="s">
        <v>15</v>
      </c>
      <c r="C1507" t="s">
        <v>87</v>
      </c>
      <c r="D1507" t="s">
        <v>672</v>
      </c>
      <c r="E1507" t="s">
        <v>673</v>
      </c>
      <c r="F1507" t="s">
        <v>16</v>
      </c>
      <c r="G1507">
        <v>253</v>
      </c>
      <c r="H1507">
        <v>1</v>
      </c>
      <c r="I1507">
        <v>9</v>
      </c>
      <c r="J1507">
        <v>263</v>
      </c>
      <c r="K1507" s="482">
        <v>0.96199999999999997</v>
      </c>
      <c r="L1507" s="482">
        <v>4.0000000000000001E-3</v>
      </c>
      <c r="M1507" s="482">
        <v>3.4000000000000002E-2</v>
      </c>
    </row>
    <row r="1508" spans="1:13" x14ac:dyDescent="0.2">
      <c r="A1508" t="s">
        <v>2387</v>
      </c>
      <c r="B1508" t="s">
        <v>15</v>
      </c>
      <c r="C1508" t="s">
        <v>87</v>
      </c>
      <c r="D1508" t="s">
        <v>669</v>
      </c>
      <c r="E1508" t="s">
        <v>670</v>
      </c>
      <c r="F1508" t="s">
        <v>16</v>
      </c>
      <c r="G1508">
        <v>168</v>
      </c>
      <c r="H1508">
        <v>1</v>
      </c>
      <c r="I1508">
        <v>16</v>
      </c>
      <c r="J1508">
        <v>185</v>
      </c>
      <c r="K1508" s="482">
        <v>0.90800000000000003</v>
      </c>
      <c r="L1508" s="482">
        <v>5.0000000000000001E-3</v>
      </c>
      <c r="M1508" s="482">
        <v>8.5999999999999993E-2</v>
      </c>
    </row>
    <row r="1509" spans="1:13" x14ac:dyDescent="0.2">
      <c r="A1509" t="s">
        <v>2388</v>
      </c>
      <c r="B1509" t="s">
        <v>15</v>
      </c>
      <c r="C1509" t="s">
        <v>87</v>
      </c>
      <c r="D1509" t="s">
        <v>666</v>
      </c>
      <c r="E1509" t="s">
        <v>667</v>
      </c>
      <c r="F1509" t="s">
        <v>16</v>
      </c>
      <c r="G1509">
        <v>191</v>
      </c>
      <c r="H1509">
        <v>1</v>
      </c>
      <c r="I1509">
        <v>3</v>
      </c>
      <c r="J1509">
        <v>195</v>
      </c>
      <c r="K1509" s="482">
        <v>0.97899999999999998</v>
      </c>
      <c r="L1509" s="482">
        <v>5.0000000000000001E-3</v>
      </c>
      <c r="M1509" s="482">
        <v>1.4999999999999999E-2</v>
      </c>
    </row>
    <row r="1510" spans="1:13" x14ac:dyDescent="0.2">
      <c r="A1510" t="s">
        <v>2389</v>
      </c>
      <c r="B1510" t="s">
        <v>15</v>
      </c>
      <c r="C1510" t="s">
        <v>87</v>
      </c>
      <c r="D1510" t="s">
        <v>663</v>
      </c>
      <c r="E1510" t="s">
        <v>664</v>
      </c>
      <c r="F1510" t="s">
        <v>16</v>
      </c>
      <c r="G1510">
        <v>168</v>
      </c>
      <c r="H1510">
        <v>3</v>
      </c>
      <c r="I1510">
        <v>11</v>
      </c>
      <c r="J1510">
        <v>182</v>
      </c>
      <c r="K1510" s="482">
        <v>0.92300000000000004</v>
      </c>
      <c r="L1510" s="482">
        <v>1.6E-2</v>
      </c>
      <c r="M1510" s="482">
        <v>0.06</v>
      </c>
    </row>
    <row r="1511" spans="1:13" x14ac:dyDescent="0.2">
      <c r="A1511" t="s">
        <v>2390</v>
      </c>
      <c r="B1511" t="s">
        <v>15</v>
      </c>
      <c r="C1511" t="s">
        <v>87</v>
      </c>
      <c r="D1511" t="s">
        <v>660</v>
      </c>
      <c r="E1511" t="s">
        <v>661</v>
      </c>
      <c r="F1511" t="s">
        <v>16</v>
      </c>
      <c r="G1511">
        <v>91</v>
      </c>
      <c r="H1511">
        <v>0</v>
      </c>
      <c r="I1511">
        <v>7</v>
      </c>
      <c r="J1511">
        <v>98</v>
      </c>
      <c r="K1511" s="482">
        <v>0.92900000000000005</v>
      </c>
      <c r="L1511" s="482">
        <v>0</v>
      </c>
      <c r="M1511" s="482">
        <v>7.0999999999999994E-2</v>
      </c>
    </row>
    <row r="1512" spans="1:13" x14ac:dyDescent="0.2">
      <c r="A1512" t="s">
        <v>2391</v>
      </c>
      <c r="B1512" t="s">
        <v>15</v>
      </c>
      <c r="C1512" t="s">
        <v>87</v>
      </c>
      <c r="D1512" t="s">
        <v>657</v>
      </c>
      <c r="E1512" t="s">
        <v>658</v>
      </c>
      <c r="F1512" t="s">
        <v>16</v>
      </c>
      <c r="G1512">
        <v>178</v>
      </c>
      <c r="H1512">
        <v>4</v>
      </c>
      <c r="I1512">
        <v>9</v>
      </c>
      <c r="J1512">
        <v>191</v>
      </c>
      <c r="K1512" s="482">
        <v>0.93200000000000005</v>
      </c>
      <c r="L1512" s="482">
        <v>2.1000000000000001E-2</v>
      </c>
      <c r="M1512" s="482">
        <v>4.7E-2</v>
      </c>
    </row>
    <row r="1513" spans="1:13" x14ac:dyDescent="0.2">
      <c r="A1513" t="s">
        <v>2392</v>
      </c>
      <c r="B1513" t="s">
        <v>15</v>
      </c>
      <c r="C1513" t="s">
        <v>87</v>
      </c>
      <c r="D1513" t="s">
        <v>654</v>
      </c>
      <c r="E1513" t="s">
        <v>655</v>
      </c>
      <c r="F1513" t="s">
        <v>16</v>
      </c>
      <c r="G1513">
        <v>135</v>
      </c>
      <c r="H1513">
        <v>1</v>
      </c>
      <c r="I1513">
        <v>11</v>
      </c>
      <c r="J1513">
        <v>147</v>
      </c>
      <c r="K1513" s="482">
        <v>0.91800000000000004</v>
      </c>
      <c r="L1513" s="482">
        <v>7.0000000000000001E-3</v>
      </c>
      <c r="M1513" s="482">
        <v>7.4999999999999997E-2</v>
      </c>
    </row>
    <row r="1514" spans="1:13" x14ac:dyDescent="0.2">
      <c r="A1514" t="s">
        <v>2393</v>
      </c>
      <c r="B1514" t="s">
        <v>15</v>
      </c>
      <c r="C1514" t="s">
        <v>87</v>
      </c>
      <c r="D1514" t="s">
        <v>651</v>
      </c>
      <c r="E1514" t="s">
        <v>652</v>
      </c>
      <c r="F1514" t="s">
        <v>16</v>
      </c>
      <c r="G1514">
        <v>127</v>
      </c>
      <c r="H1514">
        <v>0</v>
      </c>
      <c r="I1514">
        <v>7</v>
      </c>
      <c r="J1514">
        <v>134</v>
      </c>
      <c r="K1514" s="482">
        <v>0.94799999999999995</v>
      </c>
      <c r="L1514" s="482">
        <v>0</v>
      </c>
      <c r="M1514" s="482">
        <v>5.1999999999999998E-2</v>
      </c>
    </row>
    <row r="1515" spans="1:13" x14ac:dyDescent="0.2">
      <c r="A1515" t="s">
        <v>2394</v>
      </c>
      <c r="B1515" t="s">
        <v>15</v>
      </c>
      <c r="C1515" t="s">
        <v>87</v>
      </c>
      <c r="D1515" t="s">
        <v>648</v>
      </c>
      <c r="E1515" t="s">
        <v>649</v>
      </c>
      <c r="F1515" t="s">
        <v>16</v>
      </c>
      <c r="G1515">
        <v>91</v>
      </c>
      <c r="H1515">
        <v>1</v>
      </c>
      <c r="I1515">
        <v>4</v>
      </c>
      <c r="J1515">
        <v>96</v>
      </c>
      <c r="K1515" s="482">
        <v>0.94799999999999995</v>
      </c>
      <c r="L1515" s="482">
        <v>0.01</v>
      </c>
      <c r="M1515" s="482">
        <v>4.2000000000000003E-2</v>
      </c>
    </row>
    <row r="1516" spans="1:13" x14ac:dyDescent="0.2">
      <c r="A1516" t="s">
        <v>2395</v>
      </c>
      <c r="B1516" t="s">
        <v>15</v>
      </c>
      <c r="C1516" t="s">
        <v>87</v>
      </c>
      <c r="D1516" t="s">
        <v>645</v>
      </c>
      <c r="E1516" t="s">
        <v>646</v>
      </c>
      <c r="F1516" t="s">
        <v>16</v>
      </c>
      <c r="G1516">
        <v>171</v>
      </c>
      <c r="H1516">
        <v>0</v>
      </c>
      <c r="I1516">
        <v>11</v>
      </c>
      <c r="J1516">
        <v>182</v>
      </c>
      <c r="K1516" s="482">
        <v>0.94</v>
      </c>
      <c r="L1516" s="482">
        <v>0</v>
      </c>
      <c r="M1516" s="482">
        <v>0.06</v>
      </c>
    </row>
    <row r="1517" spans="1:13" x14ac:dyDescent="0.2">
      <c r="A1517" t="s">
        <v>2396</v>
      </c>
      <c r="B1517" t="s">
        <v>15</v>
      </c>
      <c r="C1517" t="s">
        <v>87</v>
      </c>
      <c r="D1517" t="s">
        <v>642</v>
      </c>
      <c r="E1517" t="s">
        <v>643</v>
      </c>
      <c r="F1517" t="s">
        <v>16</v>
      </c>
      <c r="G1517">
        <v>313</v>
      </c>
      <c r="H1517">
        <v>4</v>
      </c>
      <c r="I1517">
        <v>16</v>
      </c>
      <c r="J1517">
        <v>333</v>
      </c>
      <c r="K1517" s="482">
        <v>0.94</v>
      </c>
      <c r="L1517" s="482">
        <v>1.2E-2</v>
      </c>
      <c r="M1517" s="482">
        <v>4.8000000000000001E-2</v>
      </c>
    </row>
    <row r="1518" spans="1:13" x14ac:dyDescent="0.2">
      <c r="A1518" t="s">
        <v>2397</v>
      </c>
      <c r="B1518" t="s">
        <v>15</v>
      </c>
      <c r="C1518" t="s">
        <v>87</v>
      </c>
      <c r="D1518" t="s">
        <v>639</v>
      </c>
      <c r="E1518" t="s">
        <v>640</v>
      </c>
      <c r="F1518" t="s">
        <v>16</v>
      </c>
      <c r="G1518">
        <v>216</v>
      </c>
      <c r="H1518">
        <v>1</v>
      </c>
      <c r="I1518">
        <v>10</v>
      </c>
      <c r="J1518">
        <v>227</v>
      </c>
      <c r="K1518" s="482">
        <v>0.95199999999999996</v>
      </c>
      <c r="L1518" s="482">
        <v>4.0000000000000001E-3</v>
      </c>
      <c r="M1518" s="482">
        <v>4.3999999999999997E-2</v>
      </c>
    </row>
    <row r="1519" spans="1:13" x14ac:dyDescent="0.2">
      <c r="A1519" t="s">
        <v>2398</v>
      </c>
      <c r="B1519" t="s">
        <v>15</v>
      </c>
      <c r="C1519" t="s">
        <v>87</v>
      </c>
      <c r="D1519" t="s">
        <v>636</v>
      </c>
      <c r="E1519" t="s">
        <v>637</v>
      </c>
      <c r="F1519" t="s">
        <v>16</v>
      </c>
      <c r="G1519">
        <v>313</v>
      </c>
      <c r="H1519">
        <v>2</v>
      </c>
      <c r="I1519">
        <v>14</v>
      </c>
      <c r="J1519">
        <v>329</v>
      </c>
      <c r="K1519" s="482">
        <v>0.95099999999999996</v>
      </c>
      <c r="L1519" s="482">
        <v>6.0000000000000001E-3</v>
      </c>
      <c r="M1519" s="482">
        <v>4.2999999999999997E-2</v>
      </c>
    </row>
    <row r="1520" spans="1:13" x14ac:dyDescent="0.2">
      <c r="A1520" t="s">
        <v>2399</v>
      </c>
      <c r="B1520" t="s">
        <v>15</v>
      </c>
      <c r="C1520" t="s">
        <v>87</v>
      </c>
      <c r="D1520" t="s">
        <v>633</v>
      </c>
      <c r="E1520" t="s">
        <v>634</v>
      </c>
      <c r="F1520" t="s">
        <v>16</v>
      </c>
      <c r="G1520">
        <v>65</v>
      </c>
      <c r="H1520">
        <v>3</v>
      </c>
      <c r="I1520">
        <v>5</v>
      </c>
      <c r="J1520">
        <v>73</v>
      </c>
      <c r="K1520" s="482">
        <v>0.89</v>
      </c>
      <c r="L1520" s="482">
        <v>4.1000000000000002E-2</v>
      </c>
      <c r="M1520" s="482">
        <v>6.8000000000000005E-2</v>
      </c>
    </row>
    <row r="1521" spans="1:13" x14ac:dyDescent="0.2">
      <c r="A1521" t="s">
        <v>2400</v>
      </c>
      <c r="B1521" t="s">
        <v>15</v>
      </c>
      <c r="C1521" t="s">
        <v>87</v>
      </c>
      <c r="D1521" t="s">
        <v>630</v>
      </c>
      <c r="E1521" t="s">
        <v>631</v>
      </c>
      <c r="F1521" t="s">
        <v>16</v>
      </c>
      <c r="G1521">
        <v>82</v>
      </c>
      <c r="H1521">
        <v>1</v>
      </c>
      <c r="I1521">
        <v>12</v>
      </c>
      <c r="J1521">
        <v>95</v>
      </c>
      <c r="K1521" s="482">
        <v>0.86299999999999999</v>
      </c>
      <c r="L1521" s="482">
        <v>1.0999999999999999E-2</v>
      </c>
      <c r="M1521" s="482">
        <v>0.126</v>
      </c>
    </row>
    <row r="1522" spans="1:13" x14ac:dyDescent="0.2">
      <c r="A1522" t="s">
        <v>6564</v>
      </c>
      <c r="B1522" t="s">
        <v>15</v>
      </c>
      <c r="C1522" t="s">
        <v>87</v>
      </c>
      <c r="D1522" t="s">
        <v>6553</v>
      </c>
      <c r="E1522" t="s">
        <v>6543</v>
      </c>
      <c r="F1522" t="s">
        <v>16</v>
      </c>
      <c r="G1522">
        <v>431</v>
      </c>
      <c r="H1522">
        <v>6</v>
      </c>
      <c r="I1522">
        <v>29</v>
      </c>
      <c r="J1522">
        <v>466</v>
      </c>
      <c r="K1522" s="482">
        <v>0.92500000000000004</v>
      </c>
      <c r="L1522" s="482">
        <v>1.2999999999999999E-2</v>
      </c>
      <c r="M1522" s="482">
        <v>6.2E-2</v>
      </c>
    </row>
    <row r="1523" spans="1:13" x14ac:dyDescent="0.2">
      <c r="A1523" t="s">
        <v>2401</v>
      </c>
      <c r="B1523" t="s">
        <v>15</v>
      </c>
      <c r="C1523" t="s">
        <v>87</v>
      </c>
      <c r="D1523" t="s">
        <v>627</v>
      </c>
      <c r="E1523" t="s">
        <v>628</v>
      </c>
      <c r="F1523" t="s">
        <v>16</v>
      </c>
      <c r="G1523">
        <v>50</v>
      </c>
      <c r="H1523">
        <v>0</v>
      </c>
      <c r="I1523">
        <v>5</v>
      </c>
      <c r="J1523">
        <v>55</v>
      </c>
      <c r="K1523" s="482">
        <v>0.90900000000000003</v>
      </c>
      <c r="L1523" s="482">
        <v>0</v>
      </c>
      <c r="M1523" s="482">
        <v>9.0999999999999998E-2</v>
      </c>
    </row>
    <row r="1524" spans="1:13" x14ac:dyDescent="0.2">
      <c r="A1524" t="s">
        <v>2402</v>
      </c>
      <c r="B1524" t="s">
        <v>15</v>
      </c>
      <c r="C1524" t="s">
        <v>87</v>
      </c>
      <c r="D1524" t="s">
        <v>624</v>
      </c>
      <c r="E1524" t="s">
        <v>625</v>
      </c>
      <c r="F1524" t="s">
        <v>16</v>
      </c>
      <c r="G1524">
        <v>98</v>
      </c>
      <c r="H1524">
        <v>3</v>
      </c>
      <c r="I1524">
        <v>6</v>
      </c>
      <c r="J1524">
        <v>107</v>
      </c>
      <c r="K1524" s="482">
        <v>0.91600000000000004</v>
      </c>
      <c r="L1524" s="482">
        <v>2.8000000000000001E-2</v>
      </c>
      <c r="M1524" s="482">
        <v>5.6000000000000001E-2</v>
      </c>
    </row>
    <row r="1525" spans="1:13" x14ac:dyDescent="0.2">
      <c r="A1525" t="s">
        <v>2403</v>
      </c>
      <c r="B1525" t="s">
        <v>15</v>
      </c>
      <c r="C1525" t="s">
        <v>87</v>
      </c>
      <c r="D1525" t="s">
        <v>621</v>
      </c>
      <c r="E1525" t="s">
        <v>622</v>
      </c>
      <c r="F1525" t="s">
        <v>16</v>
      </c>
      <c r="G1525">
        <v>418</v>
      </c>
      <c r="H1525">
        <v>8</v>
      </c>
      <c r="I1525">
        <v>14</v>
      </c>
      <c r="J1525">
        <v>440</v>
      </c>
      <c r="K1525" s="482">
        <v>0.95</v>
      </c>
      <c r="L1525" s="482">
        <v>1.7999999999999999E-2</v>
      </c>
      <c r="M1525" s="482">
        <v>3.2000000000000001E-2</v>
      </c>
    </row>
    <row r="1526" spans="1:13" x14ac:dyDescent="0.2">
      <c r="A1526" t="s">
        <v>2404</v>
      </c>
      <c r="B1526" t="s">
        <v>15</v>
      </c>
      <c r="C1526" t="s">
        <v>87</v>
      </c>
      <c r="D1526" t="s">
        <v>619</v>
      </c>
      <c r="E1526" t="s">
        <v>338</v>
      </c>
      <c r="F1526" t="s">
        <v>16</v>
      </c>
      <c r="G1526">
        <v>130</v>
      </c>
      <c r="H1526">
        <v>2</v>
      </c>
      <c r="I1526">
        <v>3</v>
      </c>
      <c r="J1526">
        <v>135</v>
      </c>
      <c r="K1526" s="482">
        <v>0.96299999999999997</v>
      </c>
      <c r="L1526" s="482">
        <v>1.4999999999999999E-2</v>
      </c>
      <c r="M1526" s="482">
        <v>2.1999999999999999E-2</v>
      </c>
    </row>
    <row r="1527" spans="1:13" x14ac:dyDescent="0.2">
      <c r="A1527" t="s">
        <v>2405</v>
      </c>
      <c r="B1527" t="s">
        <v>15</v>
      </c>
      <c r="C1527" t="s">
        <v>87</v>
      </c>
      <c r="D1527" t="s">
        <v>616</v>
      </c>
      <c r="E1527" t="s">
        <v>617</v>
      </c>
      <c r="F1527" t="s">
        <v>16</v>
      </c>
      <c r="G1527">
        <v>252</v>
      </c>
      <c r="H1527">
        <v>4</v>
      </c>
      <c r="I1527">
        <v>14</v>
      </c>
      <c r="J1527">
        <v>270</v>
      </c>
      <c r="K1527" s="482">
        <v>0.93300000000000005</v>
      </c>
      <c r="L1527" s="482">
        <v>1.4999999999999999E-2</v>
      </c>
      <c r="M1527" s="482">
        <v>5.1999999999999998E-2</v>
      </c>
    </row>
    <row r="1528" spans="1:13" x14ac:dyDescent="0.2">
      <c r="A1528" t="s">
        <v>2406</v>
      </c>
      <c r="B1528" t="s">
        <v>15</v>
      </c>
      <c r="C1528" t="s">
        <v>87</v>
      </c>
      <c r="D1528" t="s">
        <v>613</v>
      </c>
      <c r="E1528" t="s">
        <v>614</v>
      </c>
      <c r="F1528" t="s">
        <v>16</v>
      </c>
      <c r="G1528">
        <v>49</v>
      </c>
      <c r="H1528">
        <v>2</v>
      </c>
      <c r="I1528">
        <v>5</v>
      </c>
      <c r="J1528">
        <v>56</v>
      </c>
      <c r="K1528" s="482">
        <v>0.875</v>
      </c>
      <c r="L1528" s="482">
        <v>3.5999999999999997E-2</v>
      </c>
      <c r="M1528" s="482">
        <v>8.8999999999999996E-2</v>
      </c>
    </row>
    <row r="1529" spans="1:13" x14ac:dyDescent="0.2">
      <c r="A1529" t="s">
        <v>2407</v>
      </c>
      <c r="B1529" t="s">
        <v>15</v>
      </c>
      <c r="C1529" t="s">
        <v>87</v>
      </c>
      <c r="D1529" t="s">
        <v>610</v>
      </c>
      <c r="E1529" t="s">
        <v>611</v>
      </c>
      <c r="F1529" t="s">
        <v>16</v>
      </c>
      <c r="G1529">
        <v>154</v>
      </c>
      <c r="H1529">
        <v>2</v>
      </c>
      <c r="I1529">
        <v>11</v>
      </c>
      <c r="J1529">
        <v>167</v>
      </c>
      <c r="K1529" s="482">
        <v>0.92200000000000004</v>
      </c>
      <c r="L1529" s="482">
        <v>1.2E-2</v>
      </c>
      <c r="M1529" s="482">
        <v>6.6000000000000003E-2</v>
      </c>
    </row>
    <row r="1530" spans="1:13" x14ac:dyDescent="0.2">
      <c r="A1530" t="s">
        <v>2408</v>
      </c>
      <c r="B1530" t="s">
        <v>15</v>
      </c>
      <c r="C1530" t="s">
        <v>87</v>
      </c>
      <c r="D1530" t="s">
        <v>417</v>
      </c>
      <c r="E1530" t="s">
        <v>418</v>
      </c>
      <c r="F1530" t="s">
        <v>16</v>
      </c>
      <c r="G1530">
        <v>126</v>
      </c>
      <c r="H1530">
        <v>0</v>
      </c>
      <c r="I1530">
        <v>12</v>
      </c>
      <c r="J1530">
        <v>138</v>
      </c>
      <c r="K1530" s="482">
        <v>0.91300000000000003</v>
      </c>
      <c r="L1530" s="482">
        <v>0</v>
      </c>
      <c r="M1530" s="482">
        <v>8.6999999999999994E-2</v>
      </c>
    </row>
    <row r="1531" spans="1:13" x14ac:dyDescent="0.2">
      <c r="A1531" t="s">
        <v>2475</v>
      </c>
      <c r="B1531" t="s">
        <v>15</v>
      </c>
      <c r="C1531" t="s">
        <v>87</v>
      </c>
      <c r="D1531" t="s">
        <v>414</v>
      </c>
      <c r="E1531" t="s">
        <v>415</v>
      </c>
      <c r="F1531" t="s">
        <v>16</v>
      </c>
      <c r="G1531">
        <v>108</v>
      </c>
      <c r="H1531">
        <v>2</v>
      </c>
      <c r="I1531">
        <v>4</v>
      </c>
      <c r="J1531">
        <v>114</v>
      </c>
      <c r="K1531" s="482">
        <v>0.94699999999999995</v>
      </c>
      <c r="L1531" s="482">
        <v>1.7999999999999999E-2</v>
      </c>
      <c r="M1531" s="482">
        <v>3.5000000000000003E-2</v>
      </c>
    </row>
    <row r="1532" spans="1:13" x14ac:dyDescent="0.2">
      <c r="A1532" t="s">
        <v>2476</v>
      </c>
      <c r="B1532" t="s">
        <v>15</v>
      </c>
      <c r="C1532" t="s">
        <v>87</v>
      </c>
      <c r="D1532" t="s">
        <v>411</v>
      </c>
      <c r="E1532" t="s">
        <v>412</v>
      </c>
      <c r="F1532" t="s">
        <v>16</v>
      </c>
      <c r="G1532">
        <v>248</v>
      </c>
      <c r="H1532">
        <v>2</v>
      </c>
      <c r="I1532">
        <v>13</v>
      </c>
      <c r="J1532">
        <v>263</v>
      </c>
      <c r="K1532" s="482">
        <v>0.94299999999999995</v>
      </c>
      <c r="L1532" s="482">
        <v>8.0000000000000002E-3</v>
      </c>
      <c r="M1532" s="482">
        <v>4.9000000000000002E-2</v>
      </c>
    </row>
    <row r="1533" spans="1:13" x14ac:dyDescent="0.2">
      <c r="A1533" t="s">
        <v>2448</v>
      </c>
      <c r="B1533" t="s">
        <v>15</v>
      </c>
      <c r="C1533" t="s">
        <v>87</v>
      </c>
      <c r="D1533" t="s">
        <v>492</v>
      </c>
      <c r="E1533" t="s">
        <v>493</v>
      </c>
      <c r="F1533" t="s">
        <v>16</v>
      </c>
      <c r="G1533">
        <v>110</v>
      </c>
      <c r="H1533">
        <v>3</v>
      </c>
      <c r="I1533">
        <v>7</v>
      </c>
      <c r="J1533">
        <v>120</v>
      </c>
      <c r="K1533" s="482">
        <v>0.91700000000000004</v>
      </c>
      <c r="L1533" s="482">
        <v>2.5000000000000001E-2</v>
      </c>
      <c r="M1533" s="482">
        <v>5.8000000000000003E-2</v>
      </c>
    </row>
    <row r="1534" spans="1:13" x14ac:dyDescent="0.2">
      <c r="A1534" t="s">
        <v>2299</v>
      </c>
      <c r="B1534" t="s">
        <v>15</v>
      </c>
      <c r="C1534" t="s">
        <v>87</v>
      </c>
      <c r="D1534" t="s">
        <v>929</v>
      </c>
      <c r="E1534" t="s">
        <v>930</v>
      </c>
      <c r="F1534" t="s">
        <v>16</v>
      </c>
      <c r="G1534">
        <v>147</v>
      </c>
      <c r="H1534">
        <v>0</v>
      </c>
      <c r="I1534">
        <v>5</v>
      </c>
      <c r="J1534">
        <v>152</v>
      </c>
      <c r="K1534" s="482">
        <v>0.96699999999999997</v>
      </c>
      <c r="L1534" s="482">
        <v>0</v>
      </c>
      <c r="M1534" s="482">
        <v>3.3000000000000002E-2</v>
      </c>
    </row>
    <row r="1535" spans="1:13" x14ac:dyDescent="0.2">
      <c r="A1535" t="s">
        <v>2301</v>
      </c>
      <c r="B1535" t="s">
        <v>15</v>
      </c>
      <c r="C1535" t="s">
        <v>87</v>
      </c>
      <c r="D1535" t="s">
        <v>926</v>
      </c>
      <c r="E1535" t="s">
        <v>927</v>
      </c>
      <c r="F1535" t="s">
        <v>16</v>
      </c>
      <c r="G1535">
        <v>19</v>
      </c>
      <c r="H1535">
        <v>1</v>
      </c>
      <c r="I1535">
        <v>1</v>
      </c>
      <c r="J1535">
        <v>21</v>
      </c>
      <c r="K1535" s="482">
        <v>0.90500000000000003</v>
      </c>
      <c r="L1535" s="482">
        <v>4.8000000000000001E-2</v>
      </c>
      <c r="M1535" s="482">
        <v>4.8000000000000001E-2</v>
      </c>
    </row>
    <row r="1536" spans="1:13" x14ac:dyDescent="0.2">
      <c r="A1536" t="s">
        <v>2302</v>
      </c>
      <c r="B1536" t="s">
        <v>15</v>
      </c>
      <c r="C1536" t="s">
        <v>87</v>
      </c>
      <c r="D1536" t="s">
        <v>923</v>
      </c>
      <c r="E1536" t="s">
        <v>924</v>
      </c>
      <c r="F1536" t="s">
        <v>16</v>
      </c>
      <c r="G1536">
        <v>128</v>
      </c>
      <c r="H1536">
        <v>1</v>
      </c>
      <c r="I1536">
        <v>10</v>
      </c>
      <c r="J1536">
        <v>139</v>
      </c>
      <c r="K1536" s="482">
        <v>0.92100000000000004</v>
      </c>
      <c r="L1536" s="482">
        <v>7.0000000000000001E-3</v>
      </c>
      <c r="M1536" s="482">
        <v>7.1999999999999995E-2</v>
      </c>
    </row>
    <row r="1537" spans="1:13" x14ac:dyDescent="0.2">
      <c r="A1537" t="s">
        <v>2303</v>
      </c>
      <c r="B1537" t="s">
        <v>15</v>
      </c>
      <c r="C1537" t="s">
        <v>87</v>
      </c>
      <c r="D1537" t="s">
        <v>920</v>
      </c>
      <c r="E1537" t="s">
        <v>921</v>
      </c>
      <c r="F1537" t="s">
        <v>16</v>
      </c>
      <c r="G1537">
        <v>20</v>
      </c>
      <c r="H1537">
        <v>0</v>
      </c>
      <c r="I1537">
        <v>2</v>
      </c>
      <c r="J1537">
        <v>22</v>
      </c>
      <c r="K1537" s="482">
        <v>0.90900000000000003</v>
      </c>
      <c r="L1537" s="482">
        <v>0</v>
      </c>
      <c r="M1537" s="482">
        <v>9.0999999999999998E-2</v>
      </c>
    </row>
    <row r="1538" spans="1:13" x14ac:dyDescent="0.2">
      <c r="A1538" t="s">
        <v>2304</v>
      </c>
      <c r="B1538" t="s">
        <v>15</v>
      </c>
      <c r="C1538" t="s">
        <v>87</v>
      </c>
      <c r="D1538" t="s">
        <v>917</v>
      </c>
      <c r="E1538" t="s">
        <v>918</v>
      </c>
      <c r="F1538" t="s">
        <v>16</v>
      </c>
      <c r="G1538">
        <v>201</v>
      </c>
      <c r="H1538">
        <v>3</v>
      </c>
      <c r="I1538">
        <v>7</v>
      </c>
      <c r="J1538">
        <v>211</v>
      </c>
      <c r="K1538" s="482">
        <v>0.95299999999999996</v>
      </c>
      <c r="L1538" s="482">
        <v>1.4E-2</v>
      </c>
      <c r="M1538" s="482">
        <v>3.3000000000000002E-2</v>
      </c>
    </row>
    <row r="1539" spans="1:13" x14ac:dyDescent="0.2">
      <c r="A1539" t="s">
        <v>2305</v>
      </c>
      <c r="B1539" t="s">
        <v>15</v>
      </c>
      <c r="C1539" t="s">
        <v>87</v>
      </c>
      <c r="D1539" t="s">
        <v>914</v>
      </c>
      <c r="E1539" t="s">
        <v>915</v>
      </c>
      <c r="F1539" t="s">
        <v>16</v>
      </c>
      <c r="G1539">
        <v>86</v>
      </c>
      <c r="H1539">
        <v>2</v>
      </c>
      <c r="I1539">
        <v>5</v>
      </c>
      <c r="J1539">
        <v>93</v>
      </c>
      <c r="K1539" s="482">
        <v>0.92500000000000004</v>
      </c>
      <c r="L1539" s="482">
        <v>2.1999999999999999E-2</v>
      </c>
      <c r="M1539" s="482">
        <v>5.3999999999999999E-2</v>
      </c>
    </row>
    <row r="1540" spans="1:13" x14ac:dyDescent="0.2">
      <c r="A1540" t="s">
        <v>2306</v>
      </c>
      <c r="B1540" t="s">
        <v>15</v>
      </c>
      <c r="C1540" t="s">
        <v>87</v>
      </c>
      <c r="D1540" t="s">
        <v>911</v>
      </c>
      <c r="E1540" t="s">
        <v>912</v>
      </c>
      <c r="F1540" t="s">
        <v>16</v>
      </c>
      <c r="G1540">
        <v>93</v>
      </c>
      <c r="H1540">
        <v>2</v>
      </c>
      <c r="I1540">
        <v>3</v>
      </c>
      <c r="J1540">
        <v>98</v>
      </c>
      <c r="K1540" s="482">
        <v>0.94899999999999995</v>
      </c>
      <c r="L1540" s="482">
        <v>0.02</v>
      </c>
      <c r="M1540" s="482">
        <v>3.1E-2</v>
      </c>
    </row>
    <row r="1541" spans="1:13" x14ac:dyDescent="0.2">
      <c r="A1541" t="s">
        <v>2309</v>
      </c>
      <c r="B1541" t="s">
        <v>15</v>
      </c>
      <c r="C1541" t="s">
        <v>87</v>
      </c>
      <c r="D1541" t="s">
        <v>489</v>
      </c>
      <c r="E1541" t="s">
        <v>490</v>
      </c>
      <c r="F1541" t="s">
        <v>16</v>
      </c>
      <c r="G1541">
        <v>58</v>
      </c>
      <c r="H1541">
        <v>0</v>
      </c>
      <c r="I1541">
        <v>5</v>
      </c>
      <c r="J1541">
        <v>63</v>
      </c>
      <c r="K1541" s="482">
        <v>0.92100000000000004</v>
      </c>
      <c r="L1541" s="482">
        <v>0</v>
      </c>
      <c r="M1541" s="482">
        <v>7.9000000000000001E-2</v>
      </c>
    </row>
    <row r="1542" spans="1:13" x14ac:dyDescent="0.2">
      <c r="A1542" t="s">
        <v>2450</v>
      </c>
      <c r="B1542" t="s">
        <v>15</v>
      </c>
      <c r="C1542" t="s">
        <v>87</v>
      </c>
      <c r="D1542" t="s">
        <v>486</v>
      </c>
      <c r="E1542" t="s">
        <v>487</v>
      </c>
      <c r="F1542" t="s">
        <v>16</v>
      </c>
      <c r="G1542">
        <v>230</v>
      </c>
      <c r="H1542">
        <v>2</v>
      </c>
      <c r="I1542">
        <v>12</v>
      </c>
      <c r="J1542">
        <v>244</v>
      </c>
      <c r="K1542" s="482">
        <v>0.94299999999999995</v>
      </c>
      <c r="L1542" s="482">
        <v>8.0000000000000002E-3</v>
      </c>
      <c r="M1542" s="482">
        <v>4.9000000000000002E-2</v>
      </c>
    </row>
    <row r="1543" spans="1:13" x14ac:dyDescent="0.2">
      <c r="A1543" t="s">
        <v>2449</v>
      </c>
      <c r="B1543" t="s">
        <v>15</v>
      </c>
      <c r="C1543" t="s">
        <v>87</v>
      </c>
      <c r="D1543" t="s">
        <v>908</v>
      </c>
      <c r="E1543" t="s">
        <v>909</v>
      </c>
      <c r="F1543" t="s">
        <v>16</v>
      </c>
      <c r="G1543">
        <v>170</v>
      </c>
      <c r="H1543">
        <v>0</v>
      </c>
      <c r="I1543">
        <v>9</v>
      </c>
      <c r="J1543">
        <v>179</v>
      </c>
      <c r="K1543" s="482">
        <v>0.95</v>
      </c>
      <c r="L1543" s="482">
        <v>0</v>
      </c>
      <c r="M1543" s="482">
        <v>0.05</v>
      </c>
    </row>
    <row r="1544" spans="1:13" x14ac:dyDescent="0.2">
      <c r="A1544" t="s">
        <v>2424</v>
      </c>
      <c r="B1544" t="s">
        <v>15</v>
      </c>
      <c r="C1544" t="s">
        <v>87</v>
      </c>
      <c r="D1544" t="s">
        <v>563</v>
      </c>
      <c r="E1544" t="s">
        <v>564</v>
      </c>
      <c r="F1544" t="s">
        <v>16</v>
      </c>
      <c r="G1544" t="s">
        <v>53</v>
      </c>
      <c r="H1544">
        <v>0</v>
      </c>
      <c r="I1544" t="s">
        <v>53</v>
      </c>
      <c r="J1544" t="s">
        <v>53</v>
      </c>
      <c r="K1544" t="s">
        <v>53</v>
      </c>
      <c r="L1544" t="s">
        <v>53</v>
      </c>
      <c r="M1544" t="s">
        <v>53</v>
      </c>
    </row>
    <row r="1545" spans="1:13" x14ac:dyDescent="0.2">
      <c r="A1545" t="s">
        <v>2335</v>
      </c>
      <c r="B1545" t="s">
        <v>15</v>
      </c>
      <c r="C1545" t="s">
        <v>87</v>
      </c>
      <c r="D1545" t="s">
        <v>827</v>
      </c>
      <c r="E1545" t="s">
        <v>828</v>
      </c>
      <c r="F1545" t="s">
        <v>16</v>
      </c>
      <c r="G1545">
        <v>384</v>
      </c>
      <c r="H1545">
        <v>4</v>
      </c>
      <c r="I1545">
        <v>13</v>
      </c>
      <c r="J1545">
        <v>401</v>
      </c>
      <c r="K1545" s="482">
        <v>0.95799999999999996</v>
      </c>
      <c r="L1545" s="482">
        <v>0.01</v>
      </c>
      <c r="M1545" s="482">
        <v>3.2000000000000001E-2</v>
      </c>
    </row>
    <row r="1546" spans="1:13" x14ac:dyDescent="0.2">
      <c r="A1546" t="s">
        <v>2336</v>
      </c>
      <c r="B1546" t="s">
        <v>15</v>
      </c>
      <c r="C1546" t="s">
        <v>87</v>
      </c>
      <c r="D1546" t="s">
        <v>824</v>
      </c>
      <c r="E1546" t="s">
        <v>825</v>
      </c>
      <c r="F1546" t="s">
        <v>16</v>
      </c>
      <c r="G1546">
        <v>219</v>
      </c>
      <c r="H1546">
        <v>3</v>
      </c>
      <c r="I1546">
        <v>22</v>
      </c>
      <c r="J1546">
        <v>244</v>
      </c>
      <c r="K1546" s="482">
        <v>0.89800000000000002</v>
      </c>
      <c r="L1546" s="482">
        <v>1.2E-2</v>
      </c>
      <c r="M1546" s="482">
        <v>0.09</v>
      </c>
    </row>
    <row r="1547" spans="1:13" x14ac:dyDescent="0.2">
      <c r="A1547" t="s">
        <v>2337</v>
      </c>
      <c r="B1547" t="s">
        <v>15</v>
      </c>
      <c r="C1547" t="s">
        <v>87</v>
      </c>
      <c r="D1547" t="s">
        <v>821</v>
      </c>
      <c r="E1547" t="s">
        <v>822</v>
      </c>
      <c r="F1547" t="s">
        <v>16</v>
      </c>
      <c r="G1547">
        <v>43</v>
      </c>
      <c r="H1547">
        <v>0</v>
      </c>
      <c r="I1547">
        <v>3</v>
      </c>
      <c r="J1547">
        <v>46</v>
      </c>
      <c r="K1547" s="482">
        <v>0.93500000000000005</v>
      </c>
      <c r="L1547" s="482">
        <v>0</v>
      </c>
      <c r="M1547" s="482">
        <v>6.5000000000000002E-2</v>
      </c>
    </row>
    <row r="1548" spans="1:13" x14ac:dyDescent="0.2">
      <c r="A1548" t="s">
        <v>2338</v>
      </c>
      <c r="B1548" t="s">
        <v>15</v>
      </c>
      <c r="C1548" t="s">
        <v>87</v>
      </c>
      <c r="D1548" t="s">
        <v>818</v>
      </c>
      <c r="E1548" t="s">
        <v>819</v>
      </c>
      <c r="F1548" t="s">
        <v>16</v>
      </c>
      <c r="G1548">
        <v>357</v>
      </c>
      <c r="H1548">
        <v>0</v>
      </c>
      <c r="I1548">
        <v>11</v>
      </c>
      <c r="J1548">
        <v>368</v>
      </c>
      <c r="K1548" s="482">
        <v>0.97</v>
      </c>
      <c r="L1548" s="482">
        <v>0</v>
      </c>
      <c r="M1548" s="482">
        <v>0.03</v>
      </c>
    </row>
    <row r="1549" spans="1:13" x14ac:dyDescent="0.2">
      <c r="A1549" t="s">
        <v>2339</v>
      </c>
      <c r="B1549" t="s">
        <v>15</v>
      </c>
      <c r="C1549" t="s">
        <v>87</v>
      </c>
      <c r="D1549" t="s">
        <v>815</v>
      </c>
      <c r="E1549" t="s">
        <v>816</v>
      </c>
      <c r="F1549" t="s">
        <v>16</v>
      </c>
      <c r="G1549">
        <v>474</v>
      </c>
      <c r="H1549">
        <v>4</v>
      </c>
      <c r="I1549">
        <v>20</v>
      </c>
      <c r="J1549">
        <v>498</v>
      </c>
      <c r="K1549" s="482">
        <v>0.95199999999999996</v>
      </c>
      <c r="L1549" s="482">
        <v>8.0000000000000002E-3</v>
      </c>
      <c r="M1549" s="482">
        <v>0.04</v>
      </c>
    </row>
    <row r="1550" spans="1:13" x14ac:dyDescent="0.2">
      <c r="A1550" t="s">
        <v>2340</v>
      </c>
      <c r="B1550" t="s">
        <v>15</v>
      </c>
      <c r="C1550" t="s">
        <v>87</v>
      </c>
      <c r="D1550" t="s">
        <v>812</v>
      </c>
      <c r="E1550" t="s">
        <v>813</v>
      </c>
      <c r="F1550" t="s">
        <v>16</v>
      </c>
      <c r="G1550">
        <v>133</v>
      </c>
      <c r="H1550">
        <v>1</v>
      </c>
      <c r="I1550">
        <v>7</v>
      </c>
      <c r="J1550">
        <v>141</v>
      </c>
      <c r="K1550" s="482">
        <v>0.94299999999999995</v>
      </c>
      <c r="L1550" s="482">
        <v>7.0000000000000001E-3</v>
      </c>
      <c r="M1550" s="482">
        <v>0.05</v>
      </c>
    </row>
    <row r="1551" spans="1:13" x14ac:dyDescent="0.2">
      <c r="A1551" t="s">
        <v>2341</v>
      </c>
      <c r="B1551" t="s">
        <v>15</v>
      </c>
      <c r="C1551" t="s">
        <v>87</v>
      </c>
      <c r="D1551" t="s">
        <v>809</v>
      </c>
      <c r="E1551" t="s">
        <v>810</v>
      </c>
      <c r="F1551" t="s">
        <v>16</v>
      </c>
      <c r="G1551">
        <v>264</v>
      </c>
      <c r="H1551">
        <v>3</v>
      </c>
      <c r="I1551">
        <v>16</v>
      </c>
      <c r="J1551">
        <v>283</v>
      </c>
      <c r="K1551" s="482">
        <v>0.93300000000000005</v>
      </c>
      <c r="L1551" s="482">
        <v>1.0999999999999999E-2</v>
      </c>
      <c r="M1551" s="482">
        <v>5.7000000000000002E-2</v>
      </c>
    </row>
    <row r="1552" spans="1:13" x14ac:dyDescent="0.2">
      <c r="A1552" t="s">
        <v>2342</v>
      </c>
      <c r="B1552" t="s">
        <v>15</v>
      </c>
      <c r="C1552" t="s">
        <v>87</v>
      </c>
      <c r="D1552" t="s">
        <v>806</v>
      </c>
      <c r="E1552" t="s">
        <v>807</v>
      </c>
      <c r="F1552" t="s">
        <v>16</v>
      </c>
      <c r="G1552">
        <v>129</v>
      </c>
      <c r="H1552">
        <v>1</v>
      </c>
      <c r="I1552">
        <v>14</v>
      </c>
      <c r="J1552">
        <v>144</v>
      </c>
      <c r="K1552" s="482">
        <v>0.89600000000000002</v>
      </c>
      <c r="L1552" s="482">
        <v>7.0000000000000001E-3</v>
      </c>
      <c r="M1552" s="482">
        <v>9.7000000000000003E-2</v>
      </c>
    </row>
    <row r="1553" spans="1:13" x14ac:dyDescent="0.2">
      <c r="A1553" t="s">
        <v>2343</v>
      </c>
      <c r="B1553" t="s">
        <v>15</v>
      </c>
      <c r="C1553" t="s">
        <v>87</v>
      </c>
      <c r="D1553" t="s">
        <v>803</v>
      </c>
      <c r="E1553" t="s">
        <v>804</v>
      </c>
      <c r="F1553" t="s">
        <v>16</v>
      </c>
      <c r="G1553">
        <v>95</v>
      </c>
      <c r="H1553">
        <v>1</v>
      </c>
      <c r="I1553">
        <v>10</v>
      </c>
      <c r="J1553">
        <v>106</v>
      </c>
      <c r="K1553" s="482">
        <v>0.89600000000000002</v>
      </c>
      <c r="L1553" s="482">
        <v>8.9999999999999993E-3</v>
      </c>
      <c r="M1553" s="482">
        <v>9.4E-2</v>
      </c>
    </row>
    <row r="1554" spans="1:13" x14ac:dyDescent="0.2">
      <c r="A1554" t="s">
        <v>2344</v>
      </c>
      <c r="B1554" t="s">
        <v>15</v>
      </c>
      <c r="C1554" t="s">
        <v>87</v>
      </c>
      <c r="D1554" t="s">
        <v>800</v>
      </c>
      <c r="E1554" t="s">
        <v>801</v>
      </c>
      <c r="F1554" t="s">
        <v>16</v>
      </c>
      <c r="G1554">
        <v>188</v>
      </c>
      <c r="H1554">
        <v>2</v>
      </c>
      <c r="I1554">
        <v>7</v>
      </c>
      <c r="J1554">
        <v>197</v>
      </c>
      <c r="K1554" s="482">
        <v>0.95399999999999996</v>
      </c>
      <c r="L1554" s="482">
        <v>0.01</v>
      </c>
      <c r="M1554" s="482">
        <v>3.5999999999999997E-2</v>
      </c>
    </row>
    <row r="1555" spans="1:13" x14ac:dyDescent="0.2">
      <c r="A1555" t="s">
        <v>2345</v>
      </c>
      <c r="B1555" t="s">
        <v>15</v>
      </c>
      <c r="C1555" t="s">
        <v>87</v>
      </c>
      <c r="D1555" t="s">
        <v>797</v>
      </c>
      <c r="E1555" t="s">
        <v>798</v>
      </c>
      <c r="F1555" t="s">
        <v>16</v>
      </c>
      <c r="G1555">
        <v>48</v>
      </c>
      <c r="H1555">
        <v>0</v>
      </c>
      <c r="I1555">
        <v>0</v>
      </c>
      <c r="J1555">
        <v>48</v>
      </c>
      <c r="K1555" s="482">
        <v>1</v>
      </c>
      <c r="L1555" s="482">
        <v>0</v>
      </c>
      <c r="M1555" s="482">
        <v>0</v>
      </c>
    </row>
    <row r="1556" spans="1:13" x14ac:dyDescent="0.2">
      <c r="A1556" t="s">
        <v>2346</v>
      </c>
      <c r="B1556" t="s">
        <v>15</v>
      </c>
      <c r="C1556" t="s">
        <v>87</v>
      </c>
      <c r="D1556" t="s">
        <v>794</v>
      </c>
      <c r="E1556" t="s">
        <v>795</v>
      </c>
      <c r="F1556" t="s">
        <v>16</v>
      </c>
      <c r="G1556">
        <v>137</v>
      </c>
      <c r="H1556">
        <v>3</v>
      </c>
      <c r="I1556">
        <v>5</v>
      </c>
      <c r="J1556">
        <v>145</v>
      </c>
      <c r="K1556" s="482">
        <v>0.94499999999999995</v>
      </c>
      <c r="L1556" s="482">
        <v>2.1000000000000001E-2</v>
      </c>
      <c r="M1556" s="482">
        <v>3.4000000000000002E-2</v>
      </c>
    </row>
    <row r="1557" spans="1:13" x14ac:dyDescent="0.2">
      <c r="A1557" t="s">
        <v>2347</v>
      </c>
      <c r="B1557" t="s">
        <v>15</v>
      </c>
      <c r="C1557" t="s">
        <v>87</v>
      </c>
      <c r="D1557" t="s">
        <v>791</v>
      </c>
      <c r="E1557" t="s">
        <v>792</v>
      </c>
      <c r="F1557" t="s">
        <v>16</v>
      </c>
      <c r="G1557">
        <v>83</v>
      </c>
      <c r="H1557">
        <v>0</v>
      </c>
      <c r="I1557">
        <v>3</v>
      </c>
      <c r="J1557">
        <v>86</v>
      </c>
      <c r="K1557" s="482">
        <v>0.96499999999999997</v>
      </c>
      <c r="L1557" s="482">
        <v>0</v>
      </c>
      <c r="M1557" s="482">
        <v>3.5000000000000003E-2</v>
      </c>
    </row>
    <row r="1558" spans="1:13" x14ac:dyDescent="0.2">
      <c r="A1558" t="s">
        <v>2348</v>
      </c>
      <c r="B1558" t="s">
        <v>15</v>
      </c>
      <c r="C1558" t="s">
        <v>87</v>
      </c>
      <c r="D1558" t="s">
        <v>788</v>
      </c>
      <c r="E1558" t="s">
        <v>789</v>
      </c>
      <c r="F1558" t="s">
        <v>16</v>
      </c>
      <c r="G1558">
        <v>52</v>
      </c>
      <c r="H1558">
        <v>0</v>
      </c>
      <c r="I1558">
        <v>3</v>
      </c>
      <c r="J1558">
        <v>55</v>
      </c>
      <c r="K1558" s="482">
        <v>0.94499999999999995</v>
      </c>
      <c r="L1558" s="482">
        <v>0</v>
      </c>
      <c r="M1558" s="482">
        <v>5.5E-2</v>
      </c>
    </row>
    <row r="1559" spans="1:13" x14ac:dyDescent="0.2">
      <c r="A1559" t="s">
        <v>2349</v>
      </c>
      <c r="B1559" t="s">
        <v>15</v>
      </c>
      <c r="C1559" t="s">
        <v>87</v>
      </c>
      <c r="D1559" t="s">
        <v>785</v>
      </c>
      <c r="E1559" t="s">
        <v>786</v>
      </c>
      <c r="F1559" t="s">
        <v>16</v>
      </c>
      <c r="G1559">
        <v>314</v>
      </c>
      <c r="H1559">
        <v>4</v>
      </c>
      <c r="I1559">
        <v>13</v>
      </c>
      <c r="J1559">
        <v>331</v>
      </c>
      <c r="K1559" s="482">
        <v>0.94899999999999995</v>
      </c>
      <c r="L1559" s="482">
        <v>1.2E-2</v>
      </c>
      <c r="M1559" s="482">
        <v>3.9E-2</v>
      </c>
    </row>
    <row r="1560" spans="1:13" x14ac:dyDescent="0.2">
      <c r="A1560" t="s">
        <v>2350</v>
      </c>
      <c r="B1560" t="s">
        <v>15</v>
      </c>
      <c r="C1560" t="s">
        <v>87</v>
      </c>
      <c r="D1560" t="s">
        <v>782</v>
      </c>
      <c r="E1560" t="s">
        <v>783</v>
      </c>
      <c r="F1560" t="s">
        <v>16</v>
      </c>
      <c r="G1560">
        <v>134</v>
      </c>
      <c r="H1560">
        <v>0</v>
      </c>
      <c r="I1560">
        <v>13</v>
      </c>
      <c r="J1560">
        <v>147</v>
      </c>
      <c r="K1560" s="482">
        <v>0.91200000000000003</v>
      </c>
      <c r="L1560" s="482">
        <v>0</v>
      </c>
      <c r="M1560" s="482">
        <v>8.7999999999999995E-2</v>
      </c>
    </row>
    <row r="1561" spans="1:13" x14ac:dyDescent="0.2">
      <c r="A1561" t="s">
        <v>2351</v>
      </c>
      <c r="B1561" t="s">
        <v>15</v>
      </c>
      <c r="C1561" t="s">
        <v>87</v>
      </c>
      <c r="D1561" t="s">
        <v>779</v>
      </c>
      <c r="E1561" t="s">
        <v>780</v>
      </c>
      <c r="F1561" t="s">
        <v>16</v>
      </c>
      <c r="G1561">
        <v>102</v>
      </c>
      <c r="H1561">
        <v>1</v>
      </c>
      <c r="I1561">
        <v>5</v>
      </c>
      <c r="J1561">
        <v>108</v>
      </c>
      <c r="K1561" s="482">
        <v>0.94399999999999995</v>
      </c>
      <c r="L1561" s="482">
        <v>8.9999999999999993E-3</v>
      </c>
      <c r="M1561" s="482">
        <v>4.5999999999999999E-2</v>
      </c>
    </row>
    <row r="1562" spans="1:13" x14ac:dyDescent="0.2">
      <c r="A1562" t="s">
        <v>2352</v>
      </c>
      <c r="B1562" t="s">
        <v>15</v>
      </c>
      <c r="C1562" t="s">
        <v>87</v>
      </c>
      <c r="D1562" t="s">
        <v>776</v>
      </c>
      <c r="E1562" t="s">
        <v>777</v>
      </c>
      <c r="F1562" t="s">
        <v>16</v>
      </c>
      <c r="G1562">
        <v>128</v>
      </c>
      <c r="H1562">
        <v>0</v>
      </c>
      <c r="I1562">
        <v>8</v>
      </c>
      <c r="J1562">
        <v>136</v>
      </c>
      <c r="K1562" s="482">
        <v>0.94099999999999995</v>
      </c>
      <c r="L1562" s="482">
        <v>0</v>
      </c>
      <c r="M1562" s="482">
        <v>5.8999999999999997E-2</v>
      </c>
    </row>
    <row r="1563" spans="1:13" x14ac:dyDescent="0.2">
      <c r="A1563" t="s">
        <v>2353</v>
      </c>
      <c r="B1563" t="s">
        <v>15</v>
      </c>
      <c r="C1563" t="s">
        <v>87</v>
      </c>
      <c r="D1563" t="s">
        <v>773</v>
      </c>
      <c r="E1563" t="s">
        <v>774</v>
      </c>
      <c r="F1563" t="s">
        <v>16</v>
      </c>
      <c r="G1563">
        <v>155</v>
      </c>
      <c r="H1563">
        <v>3</v>
      </c>
      <c r="I1563">
        <v>10</v>
      </c>
      <c r="J1563">
        <v>168</v>
      </c>
      <c r="K1563" s="482">
        <v>0.92300000000000004</v>
      </c>
      <c r="L1563" s="482">
        <v>1.7999999999999999E-2</v>
      </c>
      <c r="M1563" s="482">
        <v>0.06</v>
      </c>
    </row>
    <row r="1564" spans="1:13" x14ac:dyDescent="0.2">
      <c r="A1564" t="s">
        <v>2355</v>
      </c>
      <c r="B1564" t="s">
        <v>15</v>
      </c>
      <c r="C1564" t="s">
        <v>87</v>
      </c>
      <c r="D1564" t="s">
        <v>770</v>
      </c>
      <c r="E1564" t="s">
        <v>771</v>
      </c>
      <c r="F1564" t="s">
        <v>16</v>
      </c>
      <c r="G1564">
        <v>124</v>
      </c>
      <c r="H1564">
        <v>4</v>
      </c>
      <c r="I1564">
        <v>11</v>
      </c>
      <c r="J1564">
        <v>139</v>
      </c>
      <c r="K1564" s="482">
        <v>0.89200000000000002</v>
      </c>
      <c r="L1564" s="482">
        <v>2.9000000000000001E-2</v>
      </c>
      <c r="M1564" s="482">
        <v>7.9000000000000001E-2</v>
      </c>
    </row>
    <row r="1565" spans="1:13" x14ac:dyDescent="0.2">
      <c r="A1565" t="s">
        <v>2362</v>
      </c>
      <c r="B1565" t="s">
        <v>15</v>
      </c>
      <c r="C1565" t="s">
        <v>87</v>
      </c>
      <c r="D1565" t="s">
        <v>749</v>
      </c>
      <c r="E1565" t="s">
        <v>750</v>
      </c>
      <c r="F1565" t="s">
        <v>16</v>
      </c>
      <c r="G1565">
        <v>277</v>
      </c>
      <c r="H1565">
        <v>5</v>
      </c>
      <c r="I1565">
        <v>22</v>
      </c>
      <c r="J1565">
        <v>304</v>
      </c>
      <c r="K1565" s="482">
        <v>0.91100000000000003</v>
      </c>
      <c r="L1565" s="482">
        <v>1.6E-2</v>
      </c>
      <c r="M1565" s="482">
        <v>7.1999999999999995E-2</v>
      </c>
    </row>
    <row r="1566" spans="1:13" x14ac:dyDescent="0.2">
      <c r="A1566" t="s">
        <v>2363</v>
      </c>
      <c r="B1566" t="s">
        <v>15</v>
      </c>
      <c r="C1566" t="s">
        <v>87</v>
      </c>
      <c r="D1566" t="s">
        <v>746</v>
      </c>
      <c r="E1566" t="s">
        <v>747</v>
      </c>
      <c r="F1566" t="s">
        <v>16</v>
      </c>
      <c r="G1566">
        <v>34</v>
      </c>
      <c r="H1566">
        <v>0</v>
      </c>
      <c r="I1566">
        <v>0</v>
      </c>
      <c r="J1566">
        <v>34</v>
      </c>
      <c r="K1566" s="482">
        <v>1</v>
      </c>
      <c r="L1566" s="482">
        <v>0</v>
      </c>
      <c r="M1566" s="482">
        <v>0</v>
      </c>
    </row>
    <row r="1567" spans="1:13" x14ac:dyDescent="0.2">
      <c r="A1567" t="s">
        <v>2364</v>
      </c>
      <c r="B1567" t="s">
        <v>15</v>
      </c>
      <c r="C1567" t="s">
        <v>87</v>
      </c>
      <c r="D1567" t="s">
        <v>743</v>
      </c>
      <c r="E1567" t="s">
        <v>744</v>
      </c>
      <c r="F1567" t="s">
        <v>16</v>
      </c>
      <c r="G1567">
        <v>394</v>
      </c>
      <c r="H1567">
        <v>7</v>
      </c>
      <c r="I1567">
        <v>29</v>
      </c>
      <c r="J1567">
        <v>430</v>
      </c>
      <c r="K1567" s="482">
        <v>0.91600000000000004</v>
      </c>
      <c r="L1567" s="482">
        <v>1.6E-2</v>
      </c>
      <c r="M1567" s="482">
        <v>6.7000000000000004E-2</v>
      </c>
    </row>
    <row r="1568" spans="1:13" x14ac:dyDescent="0.2">
      <c r="A1568" t="s">
        <v>2365</v>
      </c>
      <c r="B1568" t="s">
        <v>15</v>
      </c>
      <c r="C1568" t="s">
        <v>87</v>
      </c>
      <c r="D1568" t="s">
        <v>740</v>
      </c>
      <c r="E1568" t="s">
        <v>741</v>
      </c>
      <c r="F1568" t="s">
        <v>16</v>
      </c>
      <c r="G1568">
        <v>37</v>
      </c>
      <c r="H1568">
        <v>2</v>
      </c>
      <c r="I1568">
        <v>8</v>
      </c>
      <c r="J1568">
        <v>47</v>
      </c>
      <c r="K1568" s="482">
        <v>0.78700000000000003</v>
      </c>
      <c r="L1568" s="482">
        <v>4.2999999999999997E-2</v>
      </c>
      <c r="M1568" s="482">
        <v>0.17</v>
      </c>
    </row>
    <row r="1569" spans="1:13" x14ac:dyDescent="0.2">
      <c r="A1569" t="s">
        <v>2354</v>
      </c>
      <c r="B1569" t="s">
        <v>15</v>
      </c>
      <c r="C1569" t="s">
        <v>87</v>
      </c>
      <c r="D1569" t="s">
        <v>681</v>
      </c>
      <c r="E1569" t="s">
        <v>336</v>
      </c>
      <c r="F1569" t="s">
        <v>16</v>
      </c>
      <c r="G1569">
        <v>381</v>
      </c>
      <c r="H1569">
        <v>3</v>
      </c>
      <c r="I1569">
        <v>19</v>
      </c>
      <c r="J1569">
        <v>403</v>
      </c>
      <c r="K1569" s="482">
        <v>0.94499999999999995</v>
      </c>
      <c r="L1569" s="482">
        <v>7.0000000000000001E-3</v>
      </c>
      <c r="M1569" s="482">
        <v>4.7E-2</v>
      </c>
    </row>
    <row r="1570" spans="1:13" x14ac:dyDescent="0.2">
      <c r="A1570" t="s">
        <v>2384</v>
      </c>
      <c r="B1570" t="s">
        <v>15</v>
      </c>
      <c r="C1570" t="s">
        <v>87</v>
      </c>
      <c r="D1570" t="s">
        <v>678</v>
      </c>
      <c r="E1570" t="s">
        <v>679</v>
      </c>
      <c r="F1570" t="s">
        <v>16</v>
      </c>
      <c r="G1570">
        <v>994</v>
      </c>
      <c r="H1570">
        <v>13</v>
      </c>
      <c r="I1570">
        <v>38</v>
      </c>
      <c r="J1570">
        <v>1045</v>
      </c>
      <c r="K1570" s="482">
        <v>0.95099999999999996</v>
      </c>
      <c r="L1570" s="482">
        <v>1.2E-2</v>
      </c>
      <c r="M1570" s="482">
        <v>3.5999999999999997E-2</v>
      </c>
    </row>
    <row r="1571" spans="1:13" x14ac:dyDescent="0.2">
      <c r="A1571" t="s">
        <v>2369</v>
      </c>
      <c r="B1571" t="s">
        <v>15</v>
      </c>
      <c r="C1571" t="s">
        <v>87</v>
      </c>
      <c r="D1571" t="s">
        <v>725</v>
      </c>
      <c r="E1571" t="s">
        <v>726</v>
      </c>
      <c r="F1571" t="s">
        <v>16</v>
      </c>
      <c r="G1571">
        <v>149</v>
      </c>
      <c r="H1571">
        <v>1</v>
      </c>
      <c r="I1571">
        <v>10</v>
      </c>
      <c r="J1571">
        <v>160</v>
      </c>
      <c r="K1571" s="482">
        <v>0.93100000000000005</v>
      </c>
      <c r="L1571" s="482">
        <v>6.0000000000000001E-3</v>
      </c>
      <c r="M1571" s="482">
        <v>6.3E-2</v>
      </c>
    </row>
    <row r="1572" spans="1:13" x14ac:dyDescent="0.2">
      <c r="A1572" t="s">
        <v>2370</v>
      </c>
      <c r="B1572" t="s">
        <v>15</v>
      </c>
      <c r="C1572" t="s">
        <v>87</v>
      </c>
      <c r="D1572" t="s">
        <v>722</v>
      </c>
      <c r="E1572" t="s">
        <v>723</v>
      </c>
      <c r="F1572" t="s">
        <v>16</v>
      </c>
      <c r="G1572">
        <v>132</v>
      </c>
      <c r="H1572">
        <v>2</v>
      </c>
      <c r="I1572">
        <v>6</v>
      </c>
      <c r="J1572">
        <v>140</v>
      </c>
      <c r="K1572" s="482">
        <v>0.94299999999999995</v>
      </c>
      <c r="L1572" s="482">
        <v>1.4E-2</v>
      </c>
      <c r="M1572" s="482">
        <v>4.2999999999999997E-2</v>
      </c>
    </row>
    <row r="1573" spans="1:13" x14ac:dyDescent="0.2">
      <c r="A1573" t="s">
        <v>2371</v>
      </c>
      <c r="B1573" t="s">
        <v>15</v>
      </c>
      <c r="C1573" t="s">
        <v>87</v>
      </c>
      <c r="D1573" t="s">
        <v>719</v>
      </c>
      <c r="E1573" t="s">
        <v>720</v>
      </c>
      <c r="F1573" t="s">
        <v>16</v>
      </c>
      <c r="G1573">
        <v>147</v>
      </c>
      <c r="H1573">
        <v>3</v>
      </c>
      <c r="I1573">
        <v>15</v>
      </c>
      <c r="J1573">
        <v>165</v>
      </c>
      <c r="K1573" s="482">
        <v>0.89100000000000001</v>
      </c>
      <c r="L1573" s="482">
        <v>1.7999999999999999E-2</v>
      </c>
      <c r="M1573" s="482">
        <v>9.0999999999999998E-2</v>
      </c>
    </row>
    <row r="1574" spans="1:13" x14ac:dyDescent="0.2">
      <c r="A1574" t="s">
        <v>2372</v>
      </c>
      <c r="B1574" t="s">
        <v>15</v>
      </c>
      <c r="C1574" t="s">
        <v>87</v>
      </c>
      <c r="D1574" t="s">
        <v>716</v>
      </c>
      <c r="E1574" t="s">
        <v>717</v>
      </c>
      <c r="F1574" t="s">
        <v>16</v>
      </c>
      <c r="G1574">
        <v>23</v>
      </c>
      <c r="H1574">
        <v>1</v>
      </c>
      <c r="I1574">
        <v>6</v>
      </c>
      <c r="J1574">
        <v>30</v>
      </c>
      <c r="K1574" s="482">
        <v>0.76700000000000002</v>
      </c>
      <c r="L1574" s="482">
        <v>3.3000000000000002E-2</v>
      </c>
      <c r="M1574" s="482">
        <v>0.2</v>
      </c>
    </row>
    <row r="1575" spans="1:13" x14ac:dyDescent="0.2">
      <c r="A1575" t="s">
        <v>2373</v>
      </c>
      <c r="B1575" t="s">
        <v>15</v>
      </c>
      <c r="C1575" t="s">
        <v>87</v>
      </c>
      <c r="D1575" t="s">
        <v>713</v>
      </c>
      <c r="E1575" t="s">
        <v>714</v>
      </c>
      <c r="F1575" t="s">
        <v>16</v>
      </c>
      <c r="G1575">
        <v>549</v>
      </c>
      <c r="H1575">
        <v>1</v>
      </c>
      <c r="I1575">
        <v>21</v>
      </c>
      <c r="J1575">
        <v>571</v>
      </c>
      <c r="K1575" s="482">
        <v>0.96099999999999997</v>
      </c>
      <c r="L1575" s="482">
        <v>2E-3</v>
      </c>
      <c r="M1575" s="482">
        <v>3.6999999999999998E-2</v>
      </c>
    </row>
    <row r="1576" spans="1:13" x14ac:dyDescent="0.2">
      <c r="A1576" t="s">
        <v>2374</v>
      </c>
      <c r="B1576" t="s">
        <v>15</v>
      </c>
      <c r="C1576" t="s">
        <v>87</v>
      </c>
      <c r="D1576" t="s">
        <v>710</v>
      </c>
      <c r="E1576" t="s">
        <v>711</v>
      </c>
      <c r="F1576" t="s">
        <v>16</v>
      </c>
      <c r="G1576">
        <v>165</v>
      </c>
      <c r="H1576">
        <v>1</v>
      </c>
      <c r="I1576">
        <v>7</v>
      </c>
      <c r="J1576">
        <v>173</v>
      </c>
      <c r="K1576" s="482">
        <v>0.95399999999999996</v>
      </c>
      <c r="L1576" s="482">
        <v>6.0000000000000001E-3</v>
      </c>
      <c r="M1576" s="482">
        <v>0.04</v>
      </c>
    </row>
    <row r="1577" spans="1:13" x14ac:dyDescent="0.2">
      <c r="A1577" t="s">
        <v>2375</v>
      </c>
      <c r="B1577" t="s">
        <v>15</v>
      </c>
      <c r="C1577" t="s">
        <v>87</v>
      </c>
      <c r="D1577" t="s">
        <v>707</v>
      </c>
      <c r="E1577" t="s">
        <v>708</v>
      </c>
      <c r="F1577" t="s">
        <v>16</v>
      </c>
      <c r="G1577">
        <v>85</v>
      </c>
      <c r="H1577">
        <v>1</v>
      </c>
      <c r="I1577">
        <v>2</v>
      </c>
      <c r="J1577">
        <v>88</v>
      </c>
      <c r="K1577" s="482">
        <v>0.96599999999999997</v>
      </c>
      <c r="L1577" s="482">
        <v>1.0999999999999999E-2</v>
      </c>
      <c r="M1577" s="482">
        <v>2.3E-2</v>
      </c>
    </row>
    <row r="1578" spans="1:13" x14ac:dyDescent="0.2">
      <c r="A1578" t="s">
        <v>2376</v>
      </c>
      <c r="B1578" t="s">
        <v>15</v>
      </c>
      <c r="C1578" t="s">
        <v>87</v>
      </c>
      <c r="D1578" t="s">
        <v>704</v>
      </c>
      <c r="E1578" t="s">
        <v>705</v>
      </c>
      <c r="F1578" t="s">
        <v>16</v>
      </c>
      <c r="G1578">
        <v>105</v>
      </c>
      <c r="H1578">
        <v>1</v>
      </c>
      <c r="I1578">
        <v>7</v>
      </c>
      <c r="J1578">
        <v>113</v>
      </c>
      <c r="K1578" s="482">
        <v>0.92900000000000005</v>
      </c>
      <c r="L1578" s="482">
        <v>8.9999999999999993E-3</v>
      </c>
      <c r="M1578" s="482">
        <v>6.2E-2</v>
      </c>
    </row>
    <row r="1579" spans="1:13" x14ac:dyDescent="0.2">
      <c r="A1579" t="s">
        <v>2377</v>
      </c>
      <c r="B1579" t="s">
        <v>15</v>
      </c>
      <c r="C1579" t="s">
        <v>87</v>
      </c>
      <c r="D1579" t="s">
        <v>701</v>
      </c>
      <c r="E1579" t="s">
        <v>702</v>
      </c>
      <c r="F1579" t="s">
        <v>16</v>
      </c>
      <c r="G1579">
        <v>206</v>
      </c>
      <c r="H1579">
        <v>5</v>
      </c>
      <c r="I1579">
        <v>9</v>
      </c>
      <c r="J1579">
        <v>220</v>
      </c>
      <c r="K1579" s="482">
        <v>0.93600000000000005</v>
      </c>
      <c r="L1579" s="482">
        <v>2.3E-2</v>
      </c>
      <c r="M1579" s="482">
        <v>4.1000000000000002E-2</v>
      </c>
    </row>
    <row r="1580" spans="1:13" x14ac:dyDescent="0.2">
      <c r="A1580" t="s">
        <v>2378</v>
      </c>
      <c r="B1580" t="s">
        <v>15</v>
      </c>
      <c r="C1580" t="s">
        <v>87</v>
      </c>
      <c r="D1580" t="s">
        <v>698</v>
      </c>
      <c r="E1580" t="s">
        <v>699</v>
      </c>
      <c r="F1580" t="s">
        <v>16</v>
      </c>
      <c r="G1580">
        <v>148</v>
      </c>
      <c r="H1580">
        <v>3</v>
      </c>
      <c r="I1580">
        <v>18</v>
      </c>
      <c r="J1580">
        <v>169</v>
      </c>
      <c r="K1580" s="482">
        <v>0.876</v>
      </c>
      <c r="L1580" s="482">
        <v>1.7999999999999999E-2</v>
      </c>
      <c r="M1580" s="482">
        <v>0.107</v>
      </c>
    </row>
    <row r="1581" spans="1:13" x14ac:dyDescent="0.2">
      <c r="A1581" t="s">
        <v>2379</v>
      </c>
      <c r="B1581" t="s">
        <v>15</v>
      </c>
      <c r="C1581" t="s">
        <v>87</v>
      </c>
      <c r="D1581" t="s">
        <v>695</v>
      </c>
      <c r="E1581" t="s">
        <v>696</v>
      </c>
      <c r="F1581" t="s">
        <v>16</v>
      </c>
      <c r="G1581">
        <v>85</v>
      </c>
      <c r="H1581">
        <v>2</v>
      </c>
      <c r="I1581">
        <v>14</v>
      </c>
      <c r="J1581">
        <v>101</v>
      </c>
      <c r="K1581" s="482">
        <v>0.84199999999999997</v>
      </c>
      <c r="L1581" s="482">
        <v>0.02</v>
      </c>
      <c r="M1581" s="482">
        <v>0.13900000000000001</v>
      </c>
    </row>
    <row r="1582" spans="1:13" x14ac:dyDescent="0.2">
      <c r="A1582" t="s">
        <v>2380</v>
      </c>
      <c r="B1582" t="s">
        <v>15</v>
      </c>
      <c r="C1582" t="s">
        <v>87</v>
      </c>
      <c r="D1582" t="s">
        <v>692</v>
      </c>
      <c r="E1582" t="s">
        <v>693</v>
      </c>
      <c r="F1582" t="s">
        <v>16</v>
      </c>
      <c r="G1582">
        <v>154</v>
      </c>
      <c r="H1582">
        <v>1</v>
      </c>
      <c r="I1582">
        <v>16</v>
      </c>
      <c r="J1582">
        <v>171</v>
      </c>
      <c r="K1582" s="482">
        <v>0.90100000000000002</v>
      </c>
      <c r="L1582" s="482">
        <v>6.0000000000000001E-3</v>
      </c>
      <c r="M1582" s="482">
        <v>9.4E-2</v>
      </c>
    </row>
    <row r="1583" spans="1:13" x14ac:dyDescent="0.2">
      <c r="A1583" t="s">
        <v>2381</v>
      </c>
      <c r="B1583" t="s">
        <v>15</v>
      </c>
      <c r="C1583" t="s">
        <v>87</v>
      </c>
      <c r="D1583" t="s">
        <v>689</v>
      </c>
      <c r="E1583" t="s">
        <v>690</v>
      </c>
      <c r="F1583" t="s">
        <v>16</v>
      </c>
      <c r="G1583">
        <v>27</v>
      </c>
      <c r="H1583">
        <v>0</v>
      </c>
      <c r="I1583">
        <v>1</v>
      </c>
      <c r="J1583">
        <v>28</v>
      </c>
      <c r="K1583" s="482">
        <v>0.96399999999999997</v>
      </c>
      <c r="L1583" s="482">
        <v>0</v>
      </c>
      <c r="M1583" s="482">
        <v>3.5999999999999997E-2</v>
      </c>
    </row>
    <row r="1584" spans="1:13" x14ac:dyDescent="0.2">
      <c r="A1584" t="s">
        <v>2382</v>
      </c>
      <c r="B1584" t="s">
        <v>15</v>
      </c>
      <c r="C1584" t="s">
        <v>87</v>
      </c>
      <c r="D1584" t="s">
        <v>686</v>
      </c>
      <c r="E1584" t="s">
        <v>687</v>
      </c>
      <c r="F1584" t="s">
        <v>16</v>
      </c>
      <c r="G1584">
        <v>70</v>
      </c>
      <c r="H1584">
        <v>0</v>
      </c>
      <c r="I1584">
        <v>6</v>
      </c>
      <c r="J1584">
        <v>76</v>
      </c>
      <c r="K1584" s="482">
        <v>0.92100000000000004</v>
      </c>
      <c r="L1584" s="482">
        <v>0</v>
      </c>
      <c r="M1584" s="482">
        <v>7.9000000000000001E-2</v>
      </c>
    </row>
    <row r="1585" spans="1:13" x14ac:dyDescent="0.2">
      <c r="A1585" t="s">
        <v>2383</v>
      </c>
      <c r="B1585" t="s">
        <v>15</v>
      </c>
      <c r="C1585" t="s">
        <v>87</v>
      </c>
      <c r="D1585" t="s">
        <v>683</v>
      </c>
      <c r="E1585" t="s">
        <v>684</v>
      </c>
      <c r="F1585" t="s">
        <v>16</v>
      </c>
      <c r="G1585">
        <v>132</v>
      </c>
      <c r="H1585">
        <v>2</v>
      </c>
      <c r="I1585">
        <v>10</v>
      </c>
      <c r="J1585">
        <v>144</v>
      </c>
      <c r="K1585" s="482">
        <v>0.91700000000000004</v>
      </c>
      <c r="L1585" s="482">
        <v>1.4E-2</v>
      </c>
      <c r="M1585" s="482">
        <v>6.9000000000000006E-2</v>
      </c>
    </row>
    <row r="1586" spans="1:13" x14ac:dyDescent="0.2">
      <c r="A1586" t="s">
        <v>2409</v>
      </c>
      <c r="B1586" t="s">
        <v>15</v>
      </c>
      <c r="C1586" t="s">
        <v>87</v>
      </c>
      <c r="D1586" t="s">
        <v>607</v>
      </c>
      <c r="E1586" t="s">
        <v>608</v>
      </c>
      <c r="F1586" t="s">
        <v>16</v>
      </c>
      <c r="G1586">
        <v>35</v>
      </c>
      <c r="H1586">
        <v>1</v>
      </c>
      <c r="I1586">
        <v>3</v>
      </c>
      <c r="J1586">
        <v>39</v>
      </c>
      <c r="K1586" s="482">
        <v>0.89700000000000002</v>
      </c>
      <c r="L1586" s="482">
        <v>2.5999999999999999E-2</v>
      </c>
      <c r="M1586" s="482">
        <v>7.6999999999999999E-2</v>
      </c>
    </row>
    <row r="1587" spans="1:13" x14ac:dyDescent="0.2">
      <c r="A1587" t="s">
        <v>2410</v>
      </c>
      <c r="B1587" t="s">
        <v>15</v>
      </c>
      <c r="C1587" t="s">
        <v>87</v>
      </c>
      <c r="D1587" t="s">
        <v>604</v>
      </c>
      <c r="E1587" t="s">
        <v>605</v>
      </c>
      <c r="F1587" t="s">
        <v>16</v>
      </c>
      <c r="G1587">
        <v>85</v>
      </c>
      <c r="H1587">
        <v>0</v>
      </c>
      <c r="I1587">
        <v>1</v>
      </c>
      <c r="J1587">
        <v>86</v>
      </c>
      <c r="K1587" s="482">
        <v>0.98799999999999999</v>
      </c>
      <c r="L1587" s="482">
        <v>0</v>
      </c>
      <c r="M1587" s="482">
        <v>1.2E-2</v>
      </c>
    </row>
    <row r="1588" spans="1:13" x14ac:dyDescent="0.2">
      <c r="A1588" t="s">
        <v>2411</v>
      </c>
      <c r="B1588" t="s">
        <v>15</v>
      </c>
      <c r="C1588" t="s">
        <v>87</v>
      </c>
      <c r="D1588" t="s">
        <v>601</v>
      </c>
      <c r="E1588" t="s">
        <v>602</v>
      </c>
      <c r="F1588" t="s">
        <v>16</v>
      </c>
      <c r="G1588">
        <v>95</v>
      </c>
      <c r="H1588">
        <v>1</v>
      </c>
      <c r="I1588">
        <v>2</v>
      </c>
      <c r="J1588">
        <v>98</v>
      </c>
      <c r="K1588" s="482">
        <v>0.96899999999999997</v>
      </c>
      <c r="L1588" s="482">
        <v>0.01</v>
      </c>
      <c r="M1588" s="482">
        <v>0.02</v>
      </c>
    </row>
    <row r="1589" spans="1:13" x14ac:dyDescent="0.2">
      <c r="A1589" t="s">
        <v>2412</v>
      </c>
      <c r="B1589" t="s">
        <v>15</v>
      </c>
      <c r="C1589" t="s">
        <v>87</v>
      </c>
      <c r="D1589" t="s">
        <v>598</v>
      </c>
      <c r="E1589" t="s">
        <v>599</v>
      </c>
      <c r="F1589" t="s">
        <v>16</v>
      </c>
      <c r="G1589">
        <v>337</v>
      </c>
      <c r="H1589">
        <v>4</v>
      </c>
      <c r="I1589">
        <v>32</v>
      </c>
      <c r="J1589">
        <v>373</v>
      </c>
      <c r="K1589" s="482">
        <v>0.90300000000000002</v>
      </c>
      <c r="L1589" s="482">
        <v>1.0999999999999999E-2</v>
      </c>
      <c r="M1589" s="482">
        <v>8.5999999999999993E-2</v>
      </c>
    </row>
    <row r="1590" spans="1:13" x14ac:dyDescent="0.2">
      <c r="A1590" t="s">
        <v>2413</v>
      </c>
      <c r="B1590" t="s">
        <v>15</v>
      </c>
      <c r="C1590" t="s">
        <v>87</v>
      </c>
      <c r="D1590" t="s">
        <v>595</v>
      </c>
      <c r="E1590" t="s">
        <v>596</v>
      </c>
      <c r="F1590" t="s">
        <v>16</v>
      </c>
      <c r="G1590">
        <v>85</v>
      </c>
      <c r="H1590">
        <v>0</v>
      </c>
      <c r="I1590">
        <v>6</v>
      </c>
      <c r="J1590">
        <v>91</v>
      </c>
      <c r="K1590" s="482">
        <v>0.93400000000000005</v>
      </c>
      <c r="L1590" s="482">
        <v>0</v>
      </c>
      <c r="M1590" s="482">
        <v>6.6000000000000003E-2</v>
      </c>
    </row>
    <row r="1591" spans="1:13" x14ac:dyDescent="0.2">
      <c r="A1591" t="s">
        <v>2414</v>
      </c>
      <c r="B1591" t="s">
        <v>15</v>
      </c>
      <c r="C1591" t="s">
        <v>87</v>
      </c>
      <c r="D1591" t="s">
        <v>592</v>
      </c>
      <c r="E1591" t="s">
        <v>593</v>
      </c>
      <c r="F1591" t="s">
        <v>16</v>
      </c>
      <c r="G1591">
        <v>317</v>
      </c>
      <c r="H1591">
        <v>4</v>
      </c>
      <c r="I1591">
        <v>14</v>
      </c>
      <c r="J1591">
        <v>335</v>
      </c>
      <c r="K1591" s="482">
        <v>0.94599999999999995</v>
      </c>
      <c r="L1591" s="482">
        <v>1.2E-2</v>
      </c>
      <c r="M1591" s="482">
        <v>4.2000000000000003E-2</v>
      </c>
    </row>
    <row r="1592" spans="1:13" x14ac:dyDescent="0.2">
      <c r="A1592" t="s">
        <v>2415</v>
      </c>
      <c r="B1592" t="s">
        <v>15</v>
      </c>
      <c r="C1592" t="s">
        <v>87</v>
      </c>
      <c r="D1592" t="s">
        <v>589</v>
      </c>
      <c r="E1592" t="s">
        <v>590</v>
      </c>
      <c r="F1592" t="s">
        <v>16</v>
      </c>
      <c r="G1592">
        <v>145</v>
      </c>
      <c r="H1592">
        <v>0</v>
      </c>
      <c r="I1592">
        <v>6</v>
      </c>
      <c r="J1592">
        <v>151</v>
      </c>
      <c r="K1592" s="482">
        <v>0.96</v>
      </c>
      <c r="L1592" s="482">
        <v>0</v>
      </c>
      <c r="M1592" s="482">
        <v>0.04</v>
      </c>
    </row>
    <row r="1593" spans="1:13" x14ac:dyDescent="0.2">
      <c r="A1593" t="s">
        <v>2368</v>
      </c>
      <c r="B1593" t="s">
        <v>15</v>
      </c>
      <c r="C1593" t="s">
        <v>87</v>
      </c>
      <c r="D1593" t="s">
        <v>728</v>
      </c>
      <c r="E1593" t="s">
        <v>729</v>
      </c>
      <c r="F1593" t="s">
        <v>16</v>
      </c>
      <c r="G1593">
        <v>14</v>
      </c>
      <c r="H1593">
        <v>0</v>
      </c>
      <c r="I1593">
        <v>1</v>
      </c>
      <c r="J1593">
        <v>15</v>
      </c>
      <c r="K1593" s="482">
        <v>0.93300000000000005</v>
      </c>
      <c r="L1593" s="482">
        <v>0</v>
      </c>
      <c r="M1593" s="482">
        <v>6.7000000000000004E-2</v>
      </c>
    </row>
    <row r="1594" spans="1:13" x14ac:dyDescent="0.2">
      <c r="A1594" t="s">
        <v>2327</v>
      </c>
      <c r="B1594" t="s">
        <v>15</v>
      </c>
      <c r="C1594" t="s">
        <v>87</v>
      </c>
      <c r="D1594" t="s">
        <v>731</v>
      </c>
      <c r="E1594" t="s">
        <v>732</v>
      </c>
      <c r="F1594" t="s">
        <v>16</v>
      </c>
      <c r="G1594">
        <v>22</v>
      </c>
      <c r="H1594">
        <v>1</v>
      </c>
      <c r="I1594">
        <v>1</v>
      </c>
      <c r="J1594">
        <v>24</v>
      </c>
      <c r="K1594" s="482">
        <v>0.91700000000000004</v>
      </c>
      <c r="L1594" s="482">
        <v>4.2000000000000003E-2</v>
      </c>
      <c r="M1594" s="482">
        <v>4.2000000000000003E-2</v>
      </c>
    </row>
    <row r="1595" spans="1:13" x14ac:dyDescent="0.2">
      <c r="A1595" t="s">
        <v>2294</v>
      </c>
      <c r="B1595" t="s">
        <v>15</v>
      </c>
      <c r="C1595" t="s">
        <v>87</v>
      </c>
      <c r="D1595" t="s">
        <v>944</v>
      </c>
      <c r="E1595" t="s">
        <v>945</v>
      </c>
      <c r="F1595" t="s">
        <v>16</v>
      </c>
      <c r="G1595">
        <v>277</v>
      </c>
      <c r="H1595">
        <v>4</v>
      </c>
      <c r="I1595">
        <v>19</v>
      </c>
      <c r="J1595">
        <v>300</v>
      </c>
      <c r="K1595" s="482">
        <v>0.92300000000000004</v>
      </c>
      <c r="L1595" s="482">
        <v>1.2999999999999999E-2</v>
      </c>
      <c r="M1595" s="482">
        <v>6.3E-2</v>
      </c>
    </row>
    <row r="1596" spans="1:13" x14ac:dyDescent="0.2">
      <c r="A1596" t="s">
        <v>2279</v>
      </c>
      <c r="B1596" t="s">
        <v>15</v>
      </c>
      <c r="C1596" t="s">
        <v>87</v>
      </c>
      <c r="D1596" t="s">
        <v>989</v>
      </c>
      <c r="E1596" t="s">
        <v>990</v>
      </c>
      <c r="F1596" t="s">
        <v>16</v>
      </c>
      <c r="G1596">
        <v>58</v>
      </c>
      <c r="H1596">
        <v>0</v>
      </c>
      <c r="I1596">
        <v>6</v>
      </c>
      <c r="J1596">
        <v>64</v>
      </c>
      <c r="K1596" s="482">
        <v>0.90600000000000003</v>
      </c>
      <c r="L1596" s="482">
        <v>0</v>
      </c>
      <c r="M1596" s="482">
        <v>9.4E-2</v>
      </c>
    </row>
    <row r="1597" spans="1:13" x14ac:dyDescent="0.2">
      <c r="A1597" t="s">
        <v>2280</v>
      </c>
      <c r="B1597" t="s">
        <v>15</v>
      </c>
      <c r="C1597" t="s">
        <v>87</v>
      </c>
      <c r="D1597" t="s">
        <v>986</v>
      </c>
      <c r="E1597" t="s">
        <v>987</v>
      </c>
      <c r="F1597" t="s">
        <v>16</v>
      </c>
      <c r="G1597">
        <v>69</v>
      </c>
      <c r="H1597">
        <v>1</v>
      </c>
      <c r="I1597">
        <v>5</v>
      </c>
      <c r="J1597">
        <v>75</v>
      </c>
      <c r="K1597" s="482">
        <v>0.92</v>
      </c>
      <c r="L1597" s="482">
        <v>1.2999999999999999E-2</v>
      </c>
      <c r="M1597" s="482">
        <v>6.7000000000000004E-2</v>
      </c>
    </row>
    <row r="1598" spans="1:13" x14ac:dyDescent="0.2">
      <c r="A1598" t="s">
        <v>2281</v>
      </c>
      <c r="B1598" t="s">
        <v>15</v>
      </c>
      <c r="C1598" t="s">
        <v>87</v>
      </c>
      <c r="D1598" t="s">
        <v>983</v>
      </c>
      <c r="E1598" t="s">
        <v>984</v>
      </c>
      <c r="F1598" t="s">
        <v>16</v>
      </c>
      <c r="G1598">
        <v>144</v>
      </c>
      <c r="H1598">
        <v>2</v>
      </c>
      <c r="I1598">
        <v>7</v>
      </c>
      <c r="J1598">
        <v>153</v>
      </c>
      <c r="K1598" s="482">
        <v>0.94099999999999995</v>
      </c>
      <c r="L1598" s="482">
        <v>1.2999999999999999E-2</v>
      </c>
      <c r="M1598" s="482">
        <v>4.5999999999999999E-2</v>
      </c>
    </row>
    <row r="1599" spans="1:13" x14ac:dyDescent="0.2">
      <c r="A1599" t="s">
        <v>2282</v>
      </c>
      <c r="B1599" t="s">
        <v>15</v>
      </c>
      <c r="C1599" t="s">
        <v>87</v>
      </c>
      <c r="D1599" t="s">
        <v>980</v>
      </c>
      <c r="E1599" t="s">
        <v>981</v>
      </c>
      <c r="F1599" t="s">
        <v>16</v>
      </c>
      <c r="G1599">
        <v>255</v>
      </c>
      <c r="H1599">
        <v>2</v>
      </c>
      <c r="I1599">
        <v>18</v>
      </c>
      <c r="J1599">
        <v>275</v>
      </c>
      <c r="K1599" s="482">
        <v>0.92700000000000005</v>
      </c>
      <c r="L1599" s="482">
        <v>7.0000000000000001E-3</v>
      </c>
      <c r="M1599" s="482">
        <v>6.5000000000000002E-2</v>
      </c>
    </row>
    <row r="1600" spans="1:13" x14ac:dyDescent="0.2">
      <c r="A1600" t="s">
        <v>2283</v>
      </c>
      <c r="B1600" t="s">
        <v>15</v>
      </c>
      <c r="C1600" t="s">
        <v>87</v>
      </c>
      <c r="D1600" t="s">
        <v>977</v>
      </c>
      <c r="E1600" t="s">
        <v>978</v>
      </c>
      <c r="F1600" t="s">
        <v>16</v>
      </c>
      <c r="G1600">
        <v>157</v>
      </c>
      <c r="H1600">
        <v>4</v>
      </c>
      <c r="I1600">
        <v>10</v>
      </c>
      <c r="J1600">
        <v>171</v>
      </c>
      <c r="K1600" s="482">
        <v>0.91800000000000004</v>
      </c>
      <c r="L1600" s="482">
        <v>2.3E-2</v>
      </c>
      <c r="M1600" s="482">
        <v>5.8000000000000003E-2</v>
      </c>
    </row>
    <row r="1601" spans="1:13" x14ac:dyDescent="0.2">
      <c r="A1601" t="s">
        <v>2284</v>
      </c>
      <c r="B1601" t="s">
        <v>15</v>
      </c>
      <c r="C1601" t="s">
        <v>87</v>
      </c>
      <c r="D1601" t="s">
        <v>974</v>
      </c>
      <c r="E1601" t="s">
        <v>975</v>
      </c>
      <c r="F1601" t="s">
        <v>16</v>
      </c>
      <c r="G1601">
        <v>155</v>
      </c>
      <c r="H1601">
        <v>2</v>
      </c>
      <c r="I1601">
        <v>3</v>
      </c>
      <c r="J1601">
        <v>160</v>
      </c>
      <c r="K1601" s="482">
        <v>0.96899999999999997</v>
      </c>
      <c r="L1601" s="482">
        <v>1.2999999999999999E-2</v>
      </c>
      <c r="M1601" s="482">
        <v>1.9E-2</v>
      </c>
    </row>
    <row r="1602" spans="1:13" x14ac:dyDescent="0.2">
      <c r="A1602" t="s">
        <v>2285</v>
      </c>
      <c r="B1602" t="s">
        <v>15</v>
      </c>
      <c r="C1602" t="s">
        <v>87</v>
      </c>
      <c r="D1602" t="s">
        <v>971</v>
      </c>
      <c r="E1602" t="s">
        <v>972</v>
      </c>
      <c r="F1602" t="s">
        <v>16</v>
      </c>
      <c r="G1602">
        <v>136</v>
      </c>
      <c r="H1602">
        <v>1</v>
      </c>
      <c r="I1602">
        <v>5</v>
      </c>
      <c r="J1602">
        <v>142</v>
      </c>
      <c r="K1602" s="482">
        <v>0.95799999999999996</v>
      </c>
      <c r="L1602" s="482">
        <v>7.0000000000000001E-3</v>
      </c>
      <c r="M1602" s="482">
        <v>3.5000000000000003E-2</v>
      </c>
    </row>
    <row r="1603" spans="1:13" x14ac:dyDescent="0.2">
      <c r="A1603" t="s">
        <v>2286</v>
      </c>
      <c r="B1603" t="s">
        <v>15</v>
      </c>
      <c r="C1603" t="s">
        <v>87</v>
      </c>
      <c r="D1603" t="s">
        <v>968</v>
      </c>
      <c r="E1603" t="s">
        <v>969</v>
      </c>
      <c r="F1603" t="s">
        <v>16</v>
      </c>
      <c r="G1603">
        <v>210</v>
      </c>
      <c r="H1603">
        <v>2</v>
      </c>
      <c r="I1603">
        <v>16</v>
      </c>
      <c r="J1603">
        <v>228</v>
      </c>
      <c r="K1603" s="482">
        <v>0.92100000000000004</v>
      </c>
      <c r="L1603" s="482">
        <v>8.9999999999999993E-3</v>
      </c>
      <c r="M1603" s="482">
        <v>7.0000000000000007E-2</v>
      </c>
    </row>
    <row r="1604" spans="1:13" x14ac:dyDescent="0.2">
      <c r="A1604" t="s">
        <v>2287</v>
      </c>
      <c r="B1604" t="s">
        <v>15</v>
      </c>
      <c r="C1604" t="s">
        <v>87</v>
      </c>
      <c r="D1604" t="s">
        <v>965</v>
      </c>
      <c r="E1604" t="s">
        <v>966</v>
      </c>
      <c r="F1604" t="s">
        <v>16</v>
      </c>
      <c r="G1604">
        <v>45</v>
      </c>
      <c r="H1604">
        <v>1</v>
      </c>
      <c r="I1604">
        <v>3</v>
      </c>
      <c r="J1604">
        <v>49</v>
      </c>
      <c r="K1604" s="482">
        <v>0.91800000000000004</v>
      </c>
      <c r="L1604" s="482">
        <v>0.02</v>
      </c>
      <c r="M1604" s="482">
        <v>6.0999999999999999E-2</v>
      </c>
    </row>
    <row r="1605" spans="1:13" x14ac:dyDescent="0.2">
      <c r="A1605" t="s">
        <v>2288</v>
      </c>
      <c r="B1605" t="s">
        <v>15</v>
      </c>
      <c r="C1605" t="s">
        <v>87</v>
      </c>
      <c r="D1605" t="s">
        <v>962</v>
      </c>
      <c r="E1605" t="s">
        <v>963</v>
      </c>
      <c r="F1605" t="s">
        <v>16</v>
      </c>
      <c r="G1605">
        <v>85</v>
      </c>
      <c r="H1605">
        <v>0</v>
      </c>
      <c r="I1605">
        <v>5</v>
      </c>
      <c r="J1605">
        <v>90</v>
      </c>
      <c r="K1605" s="482">
        <v>0.94399999999999995</v>
      </c>
      <c r="L1605" s="482">
        <v>0</v>
      </c>
      <c r="M1605" s="482">
        <v>5.6000000000000001E-2</v>
      </c>
    </row>
    <row r="1606" spans="1:13" x14ac:dyDescent="0.2">
      <c r="A1606" t="s">
        <v>2289</v>
      </c>
      <c r="B1606" t="s">
        <v>15</v>
      </c>
      <c r="C1606" t="s">
        <v>87</v>
      </c>
      <c r="D1606" t="s">
        <v>959</v>
      </c>
      <c r="E1606" t="s">
        <v>960</v>
      </c>
      <c r="F1606" t="s">
        <v>16</v>
      </c>
      <c r="G1606">
        <v>450</v>
      </c>
      <c r="H1606">
        <v>5</v>
      </c>
      <c r="I1606">
        <v>21</v>
      </c>
      <c r="J1606">
        <v>476</v>
      </c>
      <c r="K1606" s="482">
        <v>0.94499999999999995</v>
      </c>
      <c r="L1606" s="482">
        <v>1.0999999999999999E-2</v>
      </c>
      <c r="M1606" s="482">
        <v>4.3999999999999997E-2</v>
      </c>
    </row>
    <row r="1607" spans="1:13" x14ac:dyDescent="0.2">
      <c r="A1607" t="s">
        <v>2290</v>
      </c>
      <c r="B1607" t="s">
        <v>15</v>
      </c>
      <c r="C1607" t="s">
        <v>87</v>
      </c>
      <c r="D1607" t="s">
        <v>956</v>
      </c>
      <c r="E1607" t="s">
        <v>957</v>
      </c>
      <c r="F1607" t="s">
        <v>16</v>
      </c>
      <c r="G1607">
        <v>109</v>
      </c>
      <c r="H1607">
        <v>2</v>
      </c>
      <c r="I1607">
        <v>8</v>
      </c>
      <c r="J1607">
        <v>119</v>
      </c>
      <c r="K1607" s="482">
        <v>0.91600000000000004</v>
      </c>
      <c r="L1607" s="482">
        <v>1.7000000000000001E-2</v>
      </c>
      <c r="M1607" s="482">
        <v>6.7000000000000004E-2</v>
      </c>
    </row>
    <row r="1608" spans="1:13" x14ac:dyDescent="0.2">
      <c r="A1608" t="s">
        <v>2291</v>
      </c>
      <c r="B1608" t="s">
        <v>15</v>
      </c>
      <c r="C1608" t="s">
        <v>87</v>
      </c>
      <c r="D1608" t="s">
        <v>953</v>
      </c>
      <c r="E1608" t="s">
        <v>954</v>
      </c>
      <c r="F1608" t="s">
        <v>16</v>
      </c>
      <c r="G1608">
        <v>171</v>
      </c>
      <c r="H1608">
        <v>0</v>
      </c>
      <c r="I1608">
        <v>10</v>
      </c>
      <c r="J1608">
        <v>181</v>
      </c>
      <c r="K1608" s="482">
        <v>0.94499999999999995</v>
      </c>
      <c r="L1608" s="482">
        <v>0</v>
      </c>
      <c r="M1608" s="482">
        <v>5.5E-2</v>
      </c>
    </row>
    <row r="1609" spans="1:13" x14ac:dyDescent="0.2">
      <c r="A1609" t="s">
        <v>2292</v>
      </c>
      <c r="B1609" t="s">
        <v>15</v>
      </c>
      <c r="C1609" t="s">
        <v>87</v>
      </c>
      <c r="D1609" t="s">
        <v>950</v>
      </c>
      <c r="E1609" t="s">
        <v>951</v>
      </c>
      <c r="F1609" t="s">
        <v>16</v>
      </c>
      <c r="G1609">
        <v>160</v>
      </c>
      <c r="H1609">
        <v>3</v>
      </c>
      <c r="I1609">
        <v>8</v>
      </c>
      <c r="J1609">
        <v>171</v>
      </c>
      <c r="K1609" s="482">
        <v>0.93600000000000005</v>
      </c>
      <c r="L1609" s="482">
        <v>1.7999999999999999E-2</v>
      </c>
      <c r="M1609" s="482">
        <v>4.7E-2</v>
      </c>
    </row>
    <row r="1610" spans="1:13" x14ac:dyDescent="0.2">
      <c r="A1610" t="s">
        <v>2293</v>
      </c>
      <c r="B1610" t="s">
        <v>15</v>
      </c>
      <c r="C1610" t="s">
        <v>87</v>
      </c>
      <c r="D1610" t="s">
        <v>947</v>
      </c>
      <c r="E1610" t="s">
        <v>948</v>
      </c>
      <c r="F1610" t="s">
        <v>16</v>
      </c>
      <c r="G1610">
        <v>103</v>
      </c>
      <c r="H1610">
        <v>2</v>
      </c>
      <c r="I1610">
        <v>11</v>
      </c>
      <c r="J1610">
        <v>116</v>
      </c>
      <c r="K1610" s="482">
        <v>0.88800000000000001</v>
      </c>
      <c r="L1610" s="482">
        <v>1.7000000000000001E-2</v>
      </c>
      <c r="M1610" s="482">
        <v>9.5000000000000001E-2</v>
      </c>
    </row>
    <row r="1611" spans="1:13" x14ac:dyDescent="0.2">
      <c r="A1611" t="s">
        <v>2298</v>
      </c>
      <c r="B1611" t="s">
        <v>15</v>
      </c>
      <c r="C1611" t="s">
        <v>87</v>
      </c>
      <c r="D1611" t="s">
        <v>932</v>
      </c>
      <c r="E1611" t="s">
        <v>933</v>
      </c>
      <c r="F1611" t="s">
        <v>16</v>
      </c>
      <c r="G1611">
        <v>184</v>
      </c>
      <c r="H1611">
        <v>2</v>
      </c>
      <c r="I1611">
        <v>12</v>
      </c>
      <c r="J1611">
        <v>198</v>
      </c>
      <c r="K1611" s="482">
        <v>0.92900000000000005</v>
      </c>
      <c r="L1611" s="482">
        <v>0.01</v>
      </c>
      <c r="M1611" s="482">
        <v>6.0999999999999999E-2</v>
      </c>
    </row>
    <row r="1612" spans="1:13" x14ac:dyDescent="0.2">
      <c r="A1612" t="s">
        <v>2297</v>
      </c>
      <c r="B1612" t="s">
        <v>15</v>
      </c>
      <c r="C1612" t="s">
        <v>87</v>
      </c>
      <c r="D1612" t="s">
        <v>935</v>
      </c>
      <c r="E1612" t="s">
        <v>936</v>
      </c>
      <c r="F1612" t="s">
        <v>16</v>
      </c>
      <c r="G1612">
        <v>35</v>
      </c>
      <c r="H1612">
        <v>0</v>
      </c>
      <c r="I1612">
        <v>2</v>
      </c>
      <c r="J1612">
        <v>37</v>
      </c>
      <c r="K1612" s="482">
        <v>0.94599999999999995</v>
      </c>
      <c r="L1612" s="482">
        <v>0</v>
      </c>
      <c r="M1612" s="482">
        <v>5.3999999999999999E-2</v>
      </c>
    </row>
    <row r="1613" spans="1:13" x14ac:dyDescent="0.2">
      <c r="A1613" t="s">
        <v>2300</v>
      </c>
      <c r="B1613" t="s">
        <v>15</v>
      </c>
      <c r="C1613" t="s">
        <v>87</v>
      </c>
      <c r="D1613" t="s">
        <v>851</v>
      </c>
      <c r="E1613" t="s">
        <v>852</v>
      </c>
      <c r="F1613" t="s">
        <v>16</v>
      </c>
      <c r="G1613">
        <v>56</v>
      </c>
      <c r="H1613">
        <v>1</v>
      </c>
      <c r="I1613">
        <v>5</v>
      </c>
      <c r="J1613">
        <v>62</v>
      </c>
      <c r="K1613" s="482">
        <v>0.90300000000000002</v>
      </c>
      <c r="L1613" s="482">
        <v>1.6E-2</v>
      </c>
      <c r="M1613" s="482">
        <v>8.1000000000000003E-2</v>
      </c>
    </row>
    <row r="1614" spans="1:13" x14ac:dyDescent="0.2">
      <c r="A1614" t="s">
        <v>2328</v>
      </c>
      <c r="B1614" t="s">
        <v>15</v>
      </c>
      <c r="C1614" t="s">
        <v>87</v>
      </c>
      <c r="D1614" t="s">
        <v>848</v>
      </c>
      <c r="E1614" t="s">
        <v>849</v>
      </c>
      <c r="F1614" t="s">
        <v>16</v>
      </c>
      <c r="G1614">
        <v>197</v>
      </c>
      <c r="H1614">
        <v>3</v>
      </c>
      <c r="I1614">
        <v>15</v>
      </c>
      <c r="J1614">
        <v>215</v>
      </c>
      <c r="K1614" s="482">
        <v>0.91600000000000004</v>
      </c>
      <c r="L1614" s="482">
        <v>1.4E-2</v>
      </c>
      <c r="M1614" s="482">
        <v>7.0000000000000007E-2</v>
      </c>
    </row>
    <row r="1615" spans="1:13" x14ac:dyDescent="0.2">
      <c r="A1615" t="s">
        <v>2329</v>
      </c>
      <c r="B1615" t="s">
        <v>15</v>
      </c>
      <c r="C1615" t="s">
        <v>87</v>
      </c>
      <c r="D1615" t="s">
        <v>845</v>
      </c>
      <c r="E1615" t="s">
        <v>846</v>
      </c>
      <c r="F1615" t="s">
        <v>16</v>
      </c>
      <c r="G1615">
        <v>133</v>
      </c>
      <c r="H1615">
        <v>3</v>
      </c>
      <c r="I1615">
        <v>14</v>
      </c>
      <c r="J1615">
        <v>150</v>
      </c>
      <c r="K1615" s="482">
        <v>0.88700000000000001</v>
      </c>
      <c r="L1615" s="482">
        <v>0.02</v>
      </c>
      <c r="M1615" s="482">
        <v>9.2999999999999999E-2</v>
      </c>
    </row>
    <row r="1616" spans="1:13" x14ac:dyDescent="0.2">
      <c r="A1616" t="s">
        <v>2330</v>
      </c>
      <c r="B1616" t="s">
        <v>15</v>
      </c>
      <c r="C1616" t="s">
        <v>87</v>
      </c>
      <c r="D1616" t="s">
        <v>842</v>
      </c>
      <c r="E1616" t="s">
        <v>843</v>
      </c>
      <c r="F1616" t="s">
        <v>16</v>
      </c>
      <c r="G1616">
        <v>213</v>
      </c>
      <c r="H1616">
        <v>2</v>
      </c>
      <c r="I1616">
        <v>8</v>
      </c>
      <c r="J1616">
        <v>223</v>
      </c>
      <c r="K1616" s="482">
        <v>0.95499999999999996</v>
      </c>
      <c r="L1616" s="482">
        <v>8.9999999999999993E-3</v>
      </c>
      <c r="M1616" s="482">
        <v>3.5999999999999997E-2</v>
      </c>
    </row>
    <row r="1617" spans="1:13" x14ac:dyDescent="0.2">
      <c r="A1617" t="s">
        <v>2331</v>
      </c>
      <c r="B1617" t="s">
        <v>15</v>
      </c>
      <c r="C1617" t="s">
        <v>87</v>
      </c>
      <c r="D1617" t="s">
        <v>839</v>
      </c>
      <c r="E1617" t="s">
        <v>840</v>
      </c>
      <c r="F1617" t="s">
        <v>16</v>
      </c>
      <c r="G1617">
        <v>114</v>
      </c>
      <c r="H1617">
        <v>0</v>
      </c>
      <c r="I1617">
        <v>2</v>
      </c>
      <c r="J1617">
        <v>116</v>
      </c>
      <c r="K1617" s="482">
        <v>0.98299999999999998</v>
      </c>
      <c r="L1617" s="482">
        <v>0</v>
      </c>
      <c r="M1617" s="482">
        <v>1.7000000000000001E-2</v>
      </c>
    </row>
    <row r="1618" spans="1:13" x14ac:dyDescent="0.2">
      <c r="A1618" t="s">
        <v>2332</v>
      </c>
      <c r="B1618" t="s">
        <v>15</v>
      </c>
      <c r="C1618" t="s">
        <v>87</v>
      </c>
      <c r="D1618" t="s">
        <v>836</v>
      </c>
      <c r="E1618" t="s">
        <v>837</v>
      </c>
      <c r="F1618" t="s">
        <v>16</v>
      </c>
      <c r="G1618">
        <v>194</v>
      </c>
      <c r="H1618">
        <v>2</v>
      </c>
      <c r="I1618">
        <v>10</v>
      </c>
      <c r="J1618">
        <v>206</v>
      </c>
      <c r="K1618" s="482">
        <v>0.94199999999999995</v>
      </c>
      <c r="L1618" s="482">
        <v>0.01</v>
      </c>
      <c r="M1618" s="482">
        <v>4.9000000000000002E-2</v>
      </c>
    </row>
    <row r="1619" spans="1:13" x14ac:dyDescent="0.2">
      <c r="A1619" t="s">
        <v>2333</v>
      </c>
      <c r="B1619" t="s">
        <v>15</v>
      </c>
      <c r="C1619" t="s">
        <v>87</v>
      </c>
      <c r="D1619" t="s">
        <v>833</v>
      </c>
      <c r="E1619" t="s">
        <v>834</v>
      </c>
      <c r="F1619" t="s">
        <v>16</v>
      </c>
      <c r="G1619">
        <v>286</v>
      </c>
      <c r="H1619">
        <v>4</v>
      </c>
      <c r="I1619">
        <v>13</v>
      </c>
      <c r="J1619">
        <v>303</v>
      </c>
      <c r="K1619" s="482">
        <v>0.94399999999999995</v>
      </c>
      <c r="L1619" s="482">
        <v>1.2999999999999999E-2</v>
      </c>
      <c r="M1619" s="482">
        <v>4.2999999999999997E-2</v>
      </c>
    </row>
    <row r="1620" spans="1:13" x14ac:dyDescent="0.2">
      <c r="A1620" t="s">
        <v>2334</v>
      </c>
      <c r="B1620" t="s">
        <v>15</v>
      </c>
      <c r="C1620" t="s">
        <v>87</v>
      </c>
      <c r="D1620" t="s">
        <v>830</v>
      </c>
      <c r="E1620" t="s">
        <v>831</v>
      </c>
      <c r="F1620" t="s">
        <v>16</v>
      </c>
      <c r="G1620">
        <v>168</v>
      </c>
      <c r="H1620">
        <v>2</v>
      </c>
      <c r="I1620">
        <v>14</v>
      </c>
      <c r="J1620">
        <v>184</v>
      </c>
      <c r="K1620" s="482">
        <v>0.91300000000000003</v>
      </c>
      <c r="L1620" s="482">
        <v>1.0999999999999999E-2</v>
      </c>
      <c r="M1620" s="482">
        <v>7.5999999999999998E-2</v>
      </c>
    </row>
    <row r="1621" spans="1:13" x14ac:dyDescent="0.2">
      <c r="A1621" t="s">
        <v>2308</v>
      </c>
      <c r="B1621" t="s">
        <v>15</v>
      </c>
      <c r="C1621" t="s">
        <v>87</v>
      </c>
      <c r="D1621" t="s">
        <v>1016</v>
      </c>
      <c r="E1621" t="s">
        <v>1017</v>
      </c>
      <c r="F1621" t="s">
        <v>16</v>
      </c>
      <c r="G1621">
        <v>123</v>
      </c>
      <c r="H1621">
        <v>1</v>
      </c>
      <c r="I1621">
        <v>14</v>
      </c>
      <c r="J1621">
        <v>138</v>
      </c>
      <c r="K1621" s="482">
        <v>0.89100000000000001</v>
      </c>
      <c r="L1621" s="482">
        <v>7.0000000000000001E-3</v>
      </c>
      <c r="M1621" s="482">
        <v>0.10100000000000001</v>
      </c>
    </row>
    <row r="1622" spans="1:13" x14ac:dyDescent="0.2">
      <c r="A1622" t="s">
        <v>2295</v>
      </c>
      <c r="B1622" t="s">
        <v>15</v>
      </c>
      <c r="C1622" t="s">
        <v>87</v>
      </c>
      <c r="D1622" t="s">
        <v>941</v>
      </c>
      <c r="E1622" t="s">
        <v>942</v>
      </c>
      <c r="F1622" t="s">
        <v>16</v>
      </c>
      <c r="G1622">
        <v>328</v>
      </c>
      <c r="H1622">
        <v>5</v>
      </c>
      <c r="I1622">
        <v>13</v>
      </c>
      <c r="J1622">
        <v>346</v>
      </c>
      <c r="K1622" s="482">
        <v>0.94799999999999995</v>
      </c>
      <c r="L1622" s="482">
        <v>1.4E-2</v>
      </c>
      <c r="M1622" s="482">
        <v>3.7999999999999999E-2</v>
      </c>
    </row>
    <row r="1623" spans="1:13" x14ac:dyDescent="0.2">
      <c r="A1623" t="s">
        <v>2296</v>
      </c>
      <c r="B1623" t="s">
        <v>15</v>
      </c>
      <c r="C1623" t="s">
        <v>87</v>
      </c>
      <c r="D1623" t="s">
        <v>938</v>
      </c>
      <c r="E1623" t="s">
        <v>939</v>
      </c>
      <c r="F1623" t="s">
        <v>16</v>
      </c>
      <c r="G1623">
        <v>105</v>
      </c>
      <c r="H1623">
        <v>0</v>
      </c>
      <c r="I1623">
        <v>7</v>
      </c>
      <c r="J1623">
        <v>112</v>
      </c>
      <c r="K1623" s="482">
        <v>0.93799999999999994</v>
      </c>
      <c r="L1623" s="482">
        <v>0</v>
      </c>
      <c r="M1623" s="482">
        <v>6.3E-2</v>
      </c>
    </row>
    <row r="1624" spans="1:13" x14ac:dyDescent="0.2">
      <c r="A1624" t="s">
        <v>2307</v>
      </c>
      <c r="B1624" t="s">
        <v>15</v>
      </c>
      <c r="C1624" t="s">
        <v>87</v>
      </c>
      <c r="D1624" t="s">
        <v>905</v>
      </c>
      <c r="E1624" t="s">
        <v>906</v>
      </c>
      <c r="F1624" t="s">
        <v>16</v>
      </c>
      <c r="G1624">
        <v>175</v>
      </c>
      <c r="H1624">
        <v>7</v>
      </c>
      <c r="I1624">
        <v>6</v>
      </c>
      <c r="J1624">
        <v>188</v>
      </c>
      <c r="K1624" s="482">
        <v>0.93100000000000005</v>
      </c>
      <c r="L1624" s="482">
        <v>3.6999999999999998E-2</v>
      </c>
      <c r="M1624" s="482">
        <v>3.2000000000000001E-2</v>
      </c>
    </row>
    <row r="1625" spans="1:13" x14ac:dyDescent="0.2">
      <c r="A1625" t="s">
        <v>2310</v>
      </c>
      <c r="B1625" t="s">
        <v>15</v>
      </c>
      <c r="C1625" t="s">
        <v>87</v>
      </c>
      <c r="D1625" t="s">
        <v>902</v>
      </c>
      <c r="E1625" t="s">
        <v>903</v>
      </c>
      <c r="F1625" t="s">
        <v>16</v>
      </c>
      <c r="G1625">
        <v>446</v>
      </c>
      <c r="H1625">
        <v>5</v>
      </c>
      <c r="I1625">
        <v>21</v>
      </c>
      <c r="J1625">
        <v>472</v>
      </c>
      <c r="K1625" s="482">
        <v>0.94499999999999995</v>
      </c>
      <c r="L1625" s="482">
        <v>1.0999999999999999E-2</v>
      </c>
      <c r="M1625" s="482">
        <v>4.3999999999999997E-2</v>
      </c>
    </row>
    <row r="1626" spans="1:13" x14ac:dyDescent="0.2">
      <c r="A1626" t="s">
        <v>2311</v>
      </c>
      <c r="B1626" t="s">
        <v>15</v>
      </c>
      <c r="C1626" t="s">
        <v>87</v>
      </c>
      <c r="D1626" t="s">
        <v>899</v>
      </c>
      <c r="E1626" t="s">
        <v>900</v>
      </c>
      <c r="F1626" t="s">
        <v>16</v>
      </c>
      <c r="G1626">
        <v>64</v>
      </c>
      <c r="H1626">
        <v>0</v>
      </c>
      <c r="I1626">
        <v>11</v>
      </c>
      <c r="J1626">
        <v>75</v>
      </c>
      <c r="K1626" s="482">
        <v>0.85299999999999998</v>
      </c>
      <c r="L1626" s="482">
        <v>0</v>
      </c>
      <c r="M1626" s="482">
        <v>0.14699999999999999</v>
      </c>
    </row>
    <row r="1627" spans="1:13" x14ac:dyDescent="0.2">
      <c r="A1627" t="s">
        <v>2312</v>
      </c>
      <c r="B1627" t="s">
        <v>15</v>
      </c>
      <c r="C1627" t="s">
        <v>87</v>
      </c>
      <c r="D1627" t="s">
        <v>896</v>
      </c>
      <c r="E1627" t="s">
        <v>897</v>
      </c>
      <c r="F1627" t="s">
        <v>16</v>
      </c>
      <c r="G1627">
        <v>92</v>
      </c>
      <c r="H1627">
        <v>0</v>
      </c>
      <c r="I1627">
        <v>3</v>
      </c>
      <c r="J1627">
        <v>95</v>
      </c>
      <c r="K1627" s="482">
        <v>0.96799999999999997</v>
      </c>
      <c r="L1627" s="482">
        <v>0</v>
      </c>
      <c r="M1627" s="482">
        <v>3.2000000000000001E-2</v>
      </c>
    </row>
    <row r="1628" spans="1:13" x14ac:dyDescent="0.2">
      <c r="A1628" t="s">
        <v>2313</v>
      </c>
      <c r="B1628" t="s">
        <v>15</v>
      </c>
      <c r="C1628" t="s">
        <v>87</v>
      </c>
      <c r="D1628" t="s">
        <v>893</v>
      </c>
      <c r="E1628" t="s">
        <v>894</v>
      </c>
      <c r="F1628" t="s">
        <v>16</v>
      </c>
      <c r="G1628">
        <v>130</v>
      </c>
      <c r="H1628">
        <v>0</v>
      </c>
      <c r="I1628">
        <v>4</v>
      </c>
      <c r="J1628">
        <v>134</v>
      </c>
      <c r="K1628" s="482">
        <v>0.97</v>
      </c>
      <c r="L1628" s="482">
        <v>0</v>
      </c>
      <c r="M1628" s="482">
        <v>0.03</v>
      </c>
    </row>
    <row r="1629" spans="1:13" x14ac:dyDescent="0.2">
      <c r="A1629" t="s">
        <v>2314</v>
      </c>
      <c r="B1629" t="s">
        <v>15</v>
      </c>
      <c r="C1629" t="s">
        <v>87</v>
      </c>
      <c r="D1629" t="s">
        <v>890</v>
      </c>
      <c r="E1629" t="s">
        <v>891</v>
      </c>
      <c r="F1629" t="s">
        <v>16</v>
      </c>
      <c r="G1629">
        <v>102</v>
      </c>
      <c r="H1629">
        <v>1</v>
      </c>
      <c r="I1629">
        <v>4</v>
      </c>
      <c r="J1629">
        <v>107</v>
      </c>
      <c r="K1629" s="482">
        <v>0.95299999999999996</v>
      </c>
      <c r="L1629" s="482">
        <v>8.9999999999999993E-3</v>
      </c>
      <c r="M1629" s="482">
        <v>3.6999999999999998E-2</v>
      </c>
    </row>
    <row r="1630" spans="1:13" x14ac:dyDescent="0.2">
      <c r="A1630" t="s">
        <v>2315</v>
      </c>
      <c r="B1630" t="s">
        <v>15</v>
      </c>
      <c r="C1630" t="s">
        <v>87</v>
      </c>
      <c r="D1630" t="s">
        <v>887</v>
      </c>
      <c r="E1630" t="s">
        <v>888</v>
      </c>
      <c r="F1630" t="s">
        <v>16</v>
      </c>
      <c r="G1630">
        <v>113</v>
      </c>
      <c r="H1630">
        <v>0</v>
      </c>
      <c r="I1630">
        <v>5</v>
      </c>
      <c r="J1630">
        <v>118</v>
      </c>
      <c r="K1630" s="482">
        <v>0.95799999999999996</v>
      </c>
      <c r="L1630" s="482">
        <v>0</v>
      </c>
      <c r="M1630" s="482">
        <v>4.2000000000000003E-2</v>
      </c>
    </row>
    <row r="1631" spans="1:13" x14ac:dyDescent="0.2">
      <c r="A1631" t="s">
        <v>2316</v>
      </c>
      <c r="B1631" t="s">
        <v>15</v>
      </c>
      <c r="C1631" t="s">
        <v>87</v>
      </c>
      <c r="D1631" t="s">
        <v>884</v>
      </c>
      <c r="E1631" t="s">
        <v>885</v>
      </c>
      <c r="F1631" t="s">
        <v>16</v>
      </c>
      <c r="G1631">
        <v>298</v>
      </c>
      <c r="H1631">
        <v>3</v>
      </c>
      <c r="I1631">
        <v>22</v>
      </c>
      <c r="J1631">
        <v>323</v>
      </c>
      <c r="K1631" s="482">
        <v>0.92300000000000004</v>
      </c>
      <c r="L1631" s="482">
        <v>8.9999999999999993E-3</v>
      </c>
      <c r="M1631" s="482">
        <v>6.8000000000000005E-2</v>
      </c>
    </row>
    <row r="1632" spans="1:13" x14ac:dyDescent="0.2">
      <c r="A1632" t="s">
        <v>2317</v>
      </c>
      <c r="B1632" t="s">
        <v>15</v>
      </c>
      <c r="C1632" t="s">
        <v>87</v>
      </c>
      <c r="D1632" t="s">
        <v>881</v>
      </c>
      <c r="E1632" t="s">
        <v>882</v>
      </c>
      <c r="F1632" t="s">
        <v>16</v>
      </c>
      <c r="G1632">
        <v>109</v>
      </c>
      <c r="H1632">
        <v>3</v>
      </c>
      <c r="I1632">
        <v>7</v>
      </c>
      <c r="J1632">
        <v>119</v>
      </c>
      <c r="K1632" s="482">
        <v>0.91600000000000004</v>
      </c>
      <c r="L1632" s="482">
        <v>2.5000000000000001E-2</v>
      </c>
      <c r="M1632" s="482">
        <v>5.8999999999999997E-2</v>
      </c>
    </row>
    <row r="1633" spans="1:13" x14ac:dyDescent="0.2">
      <c r="A1633" t="s">
        <v>2318</v>
      </c>
      <c r="B1633" t="s">
        <v>15</v>
      </c>
      <c r="C1633" t="s">
        <v>87</v>
      </c>
      <c r="D1633" t="s">
        <v>878</v>
      </c>
      <c r="E1633" t="s">
        <v>879</v>
      </c>
      <c r="F1633" t="s">
        <v>16</v>
      </c>
      <c r="G1633">
        <v>117</v>
      </c>
      <c r="H1633">
        <v>0</v>
      </c>
      <c r="I1633">
        <v>3</v>
      </c>
      <c r="J1633">
        <v>120</v>
      </c>
      <c r="K1633" s="482">
        <v>0.97499999999999998</v>
      </c>
      <c r="L1633" s="482">
        <v>0</v>
      </c>
      <c r="M1633" s="482">
        <v>2.5000000000000001E-2</v>
      </c>
    </row>
    <row r="1634" spans="1:13" x14ac:dyDescent="0.2">
      <c r="A1634" t="s">
        <v>2319</v>
      </c>
      <c r="B1634" t="s">
        <v>15</v>
      </c>
      <c r="C1634" t="s">
        <v>87</v>
      </c>
      <c r="D1634" t="s">
        <v>875</v>
      </c>
      <c r="E1634" t="s">
        <v>876</v>
      </c>
      <c r="F1634" t="s">
        <v>16</v>
      </c>
      <c r="G1634">
        <v>354</v>
      </c>
      <c r="H1634">
        <v>3</v>
      </c>
      <c r="I1634">
        <v>30</v>
      </c>
      <c r="J1634">
        <v>387</v>
      </c>
      <c r="K1634" s="482">
        <v>0.91500000000000004</v>
      </c>
      <c r="L1634" s="482">
        <v>8.0000000000000002E-3</v>
      </c>
      <c r="M1634" s="482">
        <v>7.8E-2</v>
      </c>
    </row>
    <row r="1635" spans="1:13" x14ac:dyDescent="0.2">
      <c r="A1635" t="s">
        <v>2320</v>
      </c>
      <c r="B1635" t="s">
        <v>15</v>
      </c>
      <c r="C1635" t="s">
        <v>87</v>
      </c>
      <c r="D1635" t="s">
        <v>872</v>
      </c>
      <c r="E1635" t="s">
        <v>873</v>
      </c>
      <c r="F1635" t="s">
        <v>16</v>
      </c>
      <c r="G1635">
        <v>350</v>
      </c>
      <c r="H1635">
        <v>5</v>
      </c>
      <c r="I1635">
        <v>15</v>
      </c>
      <c r="J1635">
        <v>370</v>
      </c>
      <c r="K1635" s="482">
        <v>0.94599999999999995</v>
      </c>
      <c r="L1635" s="482">
        <v>1.4E-2</v>
      </c>
      <c r="M1635" s="482">
        <v>4.1000000000000002E-2</v>
      </c>
    </row>
    <row r="1636" spans="1:13" x14ac:dyDescent="0.2">
      <c r="A1636" t="s">
        <v>2321</v>
      </c>
      <c r="B1636" t="s">
        <v>15</v>
      </c>
      <c r="C1636" t="s">
        <v>87</v>
      </c>
      <c r="D1636" t="s">
        <v>869</v>
      </c>
      <c r="E1636" t="s">
        <v>870</v>
      </c>
      <c r="F1636" t="s">
        <v>16</v>
      </c>
      <c r="G1636">
        <v>199</v>
      </c>
      <c r="H1636">
        <v>0</v>
      </c>
      <c r="I1636">
        <v>7</v>
      </c>
      <c r="J1636">
        <v>206</v>
      </c>
      <c r="K1636" s="482">
        <v>0.96599999999999997</v>
      </c>
      <c r="L1636" s="482">
        <v>0</v>
      </c>
      <c r="M1636" s="482">
        <v>3.4000000000000002E-2</v>
      </c>
    </row>
    <row r="1637" spans="1:13" x14ac:dyDescent="0.2">
      <c r="A1637" t="s">
        <v>2322</v>
      </c>
      <c r="B1637" t="s">
        <v>15</v>
      </c>
      <c r="C1637" t="s">
        <v>87</v>
      </c>
      <c r="D1637" t="s">
        <v>866</v>
      </c>
      <c r="E1637" t="s">
        <v>867</v>
      </c>
      <c r="F1637" t="s">
        <v>16</v>
      </c>
      <c r="G1637">
        <v>320</v>
      </c>
      <c r="H1637">
        <v>2</v>
      </c>
      <c r="I1637">
        <v>21</v>
      </c>
      <c r="J1637">
        <v>343</v>
      </c>
      <c r="K1637" s="482">
        <v>0.93300000000000005</v>
      </c>
      <c r="L1637" s="482">
        <v>6.0000000000000001E-3</v>
      </c>
      <c r="M1637" s="482">
        <v>6.0999999999999999E-2</v>
      </c>
    </row>
    <row r="1638" spans="1:13" x14ac:dyDescent="0.2">
      <c r="A1638" t="s">
        <v>2323</v>
      </c>
      <c r="B1638" t="s">
        <v>15</v>
      </c>
      <c r="C1638" t="s">
        <v>87</v>
      </c>
      <c r="D1638" t="s">
        <v>863</v>
      </c>
      <c r="E1638" t="s">
        <v>864</v>
      </c>
      <c r="F1638" t="s">
        <v>16</v>
      </c>
      <c r="G1638">
        <v>79</v>
      </c>
      <c r="H1638">
        <v>1</v>
      </c>
      <c r="I1638">
        <v>8</v>
      </c>
      <c r="J1638">
        <v>88</v>
      </c>
      <c r="K1638" s="482">
        <v>0.89800000000000002</v>
      </c>
      <c r="L1638" s="482">
        <v>1.0999999999999999E-2</v>
      </c>
      <c r="M1638" s="482">
        <v>9.0999999999999998E-2</v>
      </c>
    </row>
    <row r="1639" spans="1:13" x14ac:dyDescent="0.2">
      <c r="A1639" t="s">
        <v>2324</v>
      </c>
      <c r="B1639" t="s">
        <v>15</v>
      </c>
      <c r="C1639" t="s">
        <v>87</v>
      </c>
      <c r="D1639" t="s">
        <v>860</v>
      </c>
      <c r="E1639" t="s">
        <v>861</v>
      </c>
      <c r="F1639" t="s">
        <v>16</v>
      </c>
      <c r="G1639">
        <v>265</v>
      </c>
      <c r="H1639">
        <v>2</v>
      </c>
      <c r="I1639">
        <v>16</v>
      </c>
      <c r="J1639">
        <v>283</v>
      </c>
      <c r="K1639" s="482">
        <v>0.93600000000000005</v>
      </c>
      <c r="L1639" s="482">
        <v>7.0000000000000001E-3</v>
      </c>
      <c r="M1639" s="482">
        <v>5.7000000000000002E-2</v>
      </c>
    </row>
    <row r="1640" spans="1:13" x14ac:dyDescent="0.2">
      <c r="A1640" t="s">
        <v>2325</v>
      </c>
      <c r="B1640" t="s">
        <v>15</v>
      </c>
      <c r="C1640" t="s">
        <v>87</v>
      </c>
      <c r="D1640" t="s">
        <v>857</v>
      </c>
      <c r="E1640" t="s">
        <v>858</v>
      </c>
      <c r="F1640" t="s">
        <v>16</v>
      </c>
      <c r="G1640">
        <v>307</v>
      </c>
      <c r="H1640">
        <v>4</v>
      </c>
      <c r="I1640">
        <v>7</v>
      </c>
      <c r="J1640">
        <v>318</v>
      </c>
      <c r="K1640" s="482">
        <v>0.96499999999999997</v>
      </c>
      <c r="L1640" s="482">
        <v>1.2999999999999999E-2</v>
      </c>
      <c r="M1640" s="482">
        <v>2.1999999999999999E-2</v>
      </c>
    </row>
    <row r="1641" spans="1:13" x14ac:dyDescent="0.2">
      <c r="A1641" t="s">
        <v>2326</v>
      </c>
      <c r="B1641" t="s">
        <v>15</v>
      </c>
      <c r="C1641" t="s">
        <v>87</v>
      </c>
      <c r="D1641" t="s">
        <v>854</v>
      </c>
      <c r="E1641" t="s">
        <v>855</v>
      </c>
      <c r="F1641" t="s">
        <v>16</v>
      </c>
      <c r="G1641">
        <v>583</v>
      </c>
      <c r="H1641">
        <v>9</v>
      </c>
      <c r="I1641">
        <v>36</v>
      </c>
      <c r="J1641">
        <v>628</v>
      </c>
      <c r="K1641" s="482">
        <v>0.92800000000000005</v>
      </c>
      <c r="L1641" s="482">
        <v>1.4E-2</v>
      </c>
      <c r="M1641" s="482">
        <v>5.7000000000000002E-2</v>
      </c>
    </row>
    <row r="1642" spans="1:13" x14ac:dyDescent="0.2">
      <c r="A1642" t="s">
        <v>2356</v>
      </c>
      <c r="B1642" t="s">
        <v>15</v>
      </c>
      <c r="C1642" t="s">
        <v>87</v>
      </c>
      <c r="D1642" t="s">
        <v>767</v>
      </c>
      <c r="E1642" t="s">
        <v>768</v>
      </c>
      <c r="F1642" t="s">
        <v>16</v>
      </c>
      <c r="G1642">
        <v>264</v>
      </c>
      <c r="H1642">
        <v>4</v>
      </c>
      <c r="I1642">
        <v>21</v>
      </c>
      <c r="J1642">
        <v>289</v>
      </c>
      <c r="K1642" s="482">
        <v>0.91300000000000003</v>
      </c>
      <c r="L1642" s="482">
        <v>1.4E-2</v>
      </c>
      <c r="M1642" s="482">
        <v>7.2999999999999995E-2</v>
      </c>
    </row>
    <row r="1643" spans="1:13" x14ac:dyDescent="0.2">
      <c r="A1643" t="s">
        <v>2357</v>
      </c>
      <c r="B1643" t="s">
        <v>15</v>
      </c>
      <c r="C1643" t="s">
        <v>87</v>
      </c>
      <c r="D1643" t="s">
        <v>764</v>
      </c>
      <c r="E1643" t="s">
        <v>765</v>
      </c>
      <c r="F1643" t="s">
        <v>16</v>
      </c>
      <c r="G1643">
        <v>164</v>
      </c>
      <c r="H1643">
        <v>0</v>
      </c>
      <c r="I1643">
        <v>2</v>
      </c>
      <c r="J1643">
        <v>166</v>
      </c>
      <c r="K1643" s="482">
        <v>0.98799999999999999</v>
      </c>
      <c r="L1643" s="482">
        <v>0</v>
      </c>
      <c r="M1643" s="482">
        <v>1.2E-2</v>
      </c>
    </row>
    <row r="1644" spans="1:13" x14ac:dyDescent="0.2">
      <c r="A1644" t="s">
        <v>2358</v>
      </c>
      <c r="B1644" t="s">
        <v>15</v>
      </c>
      <c r="C1644" t="s">
        <v>87</v>
      </c>
      <c r="D1644" t="s">
        <v>761</v>
      </c>
      <c r="E1644" t="s">
        <v>762</v>
      </c>
      <c r="F1644" t="s">
        <v>16</v>
      </c>
      <c r="G1644">
        <v>79</v>
      </c>
      <c r="H1644">
        <v>0</v>
      </c>
      <c r="I1644">
        <v>3</v>
      </c>
      <c r="J1644">
        <v>82</v>
      </c>
      <c r="K1644" s="482">
        <v>0.96299999999999997</v>
      </c>
      <c r="L1644" s="482">
        <v>0</v>
      </c>
      <c r="M1644" s="482">
        <v>3.6999999999999998E-2</v>
      </c>
    </row>
    <row r="1645" spans="1:13" x14ac:dyDescent="0.2">
      <c r="A1645" t="s">
        <v>2359</v>
      </c>
      <c r="B1645" t="s">
        <v>15</v>
      </c>
      <c r="C1645" t="s">
        <v>87</v>
      </c>
      <c r="D1645" t="s">
        <v>758</v>
      </c>
      <c r="E1645" t="s">
        <v>759</v>
      </c>
      <c r="F1645" t="s">
        <v>16</v>
      </c>
      <c r="G1645">
        <v>649</v>
      </c>
      <c r="H1645">
        <v>5</v>
      </c>
      <c r="I1645">
        <v>28</v>
      </c>
      <c r="J1645">
        <v>682</v>
      </c>
      <c r="K1645" s="482">
        <v>0.95199999999999996</v>
      </c>
      <c r="L1645" s="482">
        <v>7.0000000000000001E-3</v>
      </c>
      <c r="M1645" s="482">
        <v>4.1000000000000002E-2</v>
      </c>
    </row>
    <row r="1646" spans="1:13" x14ac:dyDescent="0.2">
      <c r="A1646" t="s">
        <v>2360</v>
      </c>
      <c r="B1646" t="s">
        <v>15</v>
      </c>
      <c r="C1646" t="s">
        <v>87</v>
      </c>
      <c r="D1646" t="s">
        <v>755</v>
      </c>
      <c r="E1646" t="s">
        <v>756</v>
      </c>
      <c r="F1646" t="s">
        <v>16</v>
      </c>
      <c r="G1646">
        <v>104</v>
      </c>
      <c r="H1646">
        <v>0</v>
      </c>
      <c r="I1646">
        <v>8</v>
      </c>
      <c r="J1646">
        <v>112</v>
      </c>
      <c r="K1646" s="482">
        <v>0.92900000000000005</v>
      </c>
      <c r="L1646" s="482">
        <v>0</v>
      </c>
      <c r="M1646" s="482">
        <v>7.0999999999999994E-2</v>
      </c>
    </row>
    <row r="1647" spans="1:13" x14ac:dyDescent="0.2">
      <c r="A1647" t="s">
        <v>2361</v>
      </c>
      <c r="B1647" t="s">
        <v>15</v>
      </c>
      <c r="C1647" t="s">
        <v>87</v>
      </c>
      <c r="D1647" t="s">
        <v>752</v>
      </c>
      <c r="E1647" t="s">
        <v>753</v>
      </c>
      <c r="F1647" t="s">
        <v>16</v>
      </c>
      <c r="G1647">
        <v>66</v>
      </c>
      <c r="H1647">
        <v>2</v>
      </c>
      <c r="I1647">
        <v>3</v>
      </c>
      <c r="J1647">
        <v>71</v>
      </c>
      <c r="K1647" s="482">
        <v>0.93</v>
      </c>
      <c r="L1647" s="482">
        <v>2.8000000000000001E-2</v>
      </c>
      <c r="M1647" s="482">
        <v>4.2000000000000003E-2</v>
      </c>
    </row>
    <row r="1648" spans="1:13" x14ac:dyDescent="0.2">
      <c r="A1648" t="s">
        <v>2477</v>
      </c>
      <c r="B1648" t="s">
        <v>15</v>
      </c>
      <c r="C1648" t="s">
        <v>87</v>
      </c>
      <c r="D1648" t="s">
        <v>408</v>
      </c>
      <c r="E1648" t="s">
        <v>409</v>
      </c>
      <c r="F1648" t="s">
        <v>16</v>
      </c>
      <c r="G1648">
        <v>196</v>
      </c>
      <c r="H1648">
        <v>3</v>
      </c>
      <c r="I1648">
        <v>8</v>
      </c>
      <c r="J1648">
        <v>207</v>
      </c>
      <c r="K1648" s="482">
        <v>0.94699999999999995</v>
      </c>
      <c r="L1648" s="482">
        <v>1.4E-2</v>
      </c>
      <c r="M1648" s="482">
        <v>3.9E-2</v>
      </c>
    </row>
    <row r="1649" spans="1:13" x14ac:dyDescent="0.2">
      <c r="A1649" t="s">
        <v>2465</v>
      </c>
      <c r="B1649" t="s">
        <v>15</v>
      </c>
      <c r="C1649" t="s">
        <v>87</v>
      </c>
      <c r="D1649" t="s">
        <v>560</v>
      </c>
      <c r="E1649" t="s">
        <v>561</v>
      </c>
      <c r="F1649" t="s">
        <v>16</v>
      </c>
      <c r="G1649">
        <v>221</v>
      </c>
      <c r="H1649">
        <v>6</v>
      </c>
      <c r="I1649">
        <v>12</v>
      </c>
      <c r="J1649">
        <v>239</v>
      </c>
      <c r="K1649" s="482">
        <v>0.92500000000000004</v>
      </c>
      <c r="L1649" s="482">
        <v>2.5000000000000001E-2</v>
      </c>
      <c r="M1649" s="482">
        <v>0.05</v>
      </c>
    </row>
    <row r="1650" spans="1:13" x14ac:dyDescent="0.2">
      <c r="A1650" t="s">
        <v>2426</v>
      </c>
      <c r="B1650" t="s">
        <v>15</v>
      </c>
      <c r="C1650" t="s">
        <v>87</v>
      </c>
      <c r="D1650" t="s">
        <v>557</v>
      </c>
      <c r="E1650" t="s">
        <v>558</v>
      </c>
      <c r="F1650" t="s">
        <v>16</v>
      </c>
      <c r="G1650">
        <v>50</v>
      </c>
      <c r="H1650">
        <v>1</v>
      </c>
      <c r="I1650">
        <v>9</v>
      </c>
      <c r="J1650">
        <v>60</v>
      </c>
      <c r="K1650" s="482">
        <v>0.83299999999999996</v>
      </c>
      <c r="L1650" s="482">
        <v>1.7000000000000001E-2</v>
      </c>
      <c r="M1650" s="482">
        <v>0.15</v>
      </c>
    </row>
    <row r="1651" spans="1:13" x14ac:dyDescent="0.2">
      <c r="A1651" t="s">
        <v>2427</v>
      </c>
      <c r="B1651" t="s">
        <v>15</v>
      </c>
      <c r="C1651" t="s">
        <v>87</v>
      </c>
      <c r="D1651" t="s">
        <v>554</v>
      </c>
      <c r="E1651" t="s">
        <v>555</v>
      </c>
      <c r="F1651" t="s">
        <v>16</v>
      </c>
      <c r="G1651">
        <v>187</v>
      </c>
      <c r="H1651">
        <v>2</v>
      </c>
      <c r="I1651">
        <v>7</v>
      </c>
      <c r="J1651">
        <v>196</v>
      </c>
      <c r="K1651" s="482">
        <v>0.95399999999999996</v>
      </c>
      <c r="L1651" s="482">
        <v>0.01</v>
      </c>
      <c r="M1651" s="482">
        <v>3.5999999999999997E-2</v>
      </c>
    </row>
    <row r="1652" spans="1:13" x14ac:dyDescent="0.2">
      <c r="A1652" t="s">
        <v>2416</v>
      </c>
      <c r="B1652" t="s">
        <v>15</v>
      </c>
      <c r="C1652" t="s">
        <v>87</v>
      </c>
      <c r="D1652" t="s">
        <v>586</v>
      </c>
      <c r="E1652" t="s">
        <v>587</v>
      </c>
      <c r="F1652" t="s">
        <v>16</v>
      </c>
      <c r="G1652">
        <v>113</v>
      </c>
      <c r="H1652">
        <v>1</v>
      </c>
      <c r="I1652">
        <v>9</v>
      </c>
      <c r="J1652">
        <v>123</v>
      </c>
      <c r="K1652" s="482">
        <v>0.91900000000000004</v>
      </c>
      <c r="L1652" s="482">
        <v>8.0000000000000002E-3</v>
      </c>
      <c r="M1652" s="482">
        <v>7.2999999999999995E-2</v>
      </c>
    </row>
    <row r="1653" spans="1:13" x14ac:dyDescent="0.2">
      <c r="A1653" t="s">
        <v>2423</v>
      </c>
      <c r="B1653" t="s">
        <v>15</v>
      </c>
      <c r="C1653" t="s">
        <v>87</v>
      </c>
      <c r="D1653" t="s">
        <v>566</v>
      </c>
      <c r="E1653" t="s">
        <v>567</v>
      </c>
      <c r="F1653" t="s">
        <v>16</v>
      </c>
      <c r="G1653">
        <v>127</v>
      </c>
      <c r="H1653">
        <v>1</v>
      </c>
      <c r="I1653">
        <v>7</v>
      </c>
      <c r="J1653">
        <v>135</v>
      </c>
      <c r="K1653" s="482">
        <v>0.94099999999999995</v>
      </c>
      <c r="L1653" s="482">
        <v>7.0000000000000001E-3</v>
      </c>
      <c r="M1653" s="482">
        <v>5.1999999999999998E-2</v>
      </c>
    </row>
    <row r="1654" spans="1:13" x14ac:dyDescent="0.2">
      <c r="A1654" t="s">
        <v>2417</v>
      </c>
      <c r="B1654" t="s">
        <v>15</v>
      </c>
      <c r="C1654" t="s">
        <v>87</v>
      </c>
      <c r="D1654" t="s">
        <v>583</v>
      </c>
      <c r="E1654" t="s">
        <v>584</v>
      </c>
      <c r="F1654" t="s">
        <v>16</v>
      </c>
      <c r="G1654">
        <v>157</v>
      </c>
      <c r="H1654">
        <v>2</v>
      </c>
      <c r="I1654">
        <v>11</v>
      </c>
      <c r="J1654">
        <v>170</v>
      </c>
      <c r="K1654" s="482">
        <v>0.92400000000000004</v>
      </c>
      <c r="L1654" s="482">
        <v>1.2E-2</v>
      </c>
      <c r="M1654" s="482">
        <v>6.5000000000000002E-2</v>
      </c>
    </row>
    <row r="1655" spans="1:13" x14ac:dyDescent="0.2">
      <c r="A1655" t="s">
        <v>2418</v>
      </c>
      <c r="B1655" t="s">
        <v>15</v>
      </c>
      <c r="C1655" t="s">
        <v>87</v>
      </c>
      <c r="D1655" t="s">
        <v>580</v>
      </c>
      <c r="E1655" t="s">
        <v>581</v>
      </c>
      <c r="F1655" t="s">
        <v>16</v>
      </c>
      <c r="G1655">
        <v>286</v>
      </c>
      <c r="H1655">
        <v>3</v>
      </c>
      <c r="I1655">
        <v>15</v>
      </c>
      <c r="J1655">
        <v>304</v>
      </c>
      <c r="K1655" s="482">
        <v>0.94099999999999995</v>
      </c>
      <c r="L1655" s="482">
        <v>0.01</v>
      </c>
      <c r="M1655" s="482">
        <v>4.9000000000000002E-2</v>
      </c>
    </row>
    <row r="1656" spans="1:13" x14ac:dyDescent="0.2">
      <c r="A1656" t="s">
        <v>2419</v>
      </c>
      <c r="B1656" t="s">
        <v>15</v>
      </c>
      <c r="C1656" t="s">
        <v>87</v>
      </c>
      <c r="D1656" t="s">
        <v>577</v>
      </c>
      <c r="E1656" t="s">
        <v>578</v>
      </c>
      <c r="F1656" t="s">
        <v>16</v>
      </c>
      <c r="G1656">
        <v>72</v>
      </c>
      <c r="H1656">
        <v>1</v>
      </c>
      <c r="I1656">
        <v>15</v>
      </c>
      <c r="J1656">
        <v>88</v>
      </c>
      <c r="K1656" s="482">
        <v>0.81799999999999995</v>
      </c>
      <c r="L1656" s="482">
        <v>1.0999999999999999E-2</v>
      </c>
      <c r="M1656" s="482">
        <v>0.17</v>
      </c>
    </row>
    <row r="1657" spans="1:13" x14ac:dyDescent="0.2">
      <c r="A1657" t="s">
        <v>2420</v>
      </c>
      <c r="B1657" t="s">
        <v>15</v>
      </c>
      <c r="C1657" t="s">
        <v>87</v>
      </c>
      <c r="D1657" t="s">
        <v>574</v>
      </c>
      <c r="E1657" t="s">
        <v>575</v>
      </c>
      <c r="F1657" t="s">
        <v>16</v>
      </c>
      <c r="G1657">
        <v>47</v>
      </c>
      <c r="H1657">
        <v>2</v>
      </c>
      <c r="I1657">
        <v>4</v>
      </c>
      <c r="J1657">
        <v>53</v>
      </c>
      <c r="K1657" s="482">
        <v>0.88700000000000001</v>
      </c>
      <c r="L1657" s="482">
        <v>3.7999999999999999E-2</v>
      </c>
      <c r="M1657" s="482">
        <v>7.4999999999999997E-2</v>
      </c>
    </row>
    <row r="1658" spans="1:13" x14ac:dyDescent="0.2">
      <c r="A1658" t="s">
        <v>2421</v>
      </c>
      <c r="B1658" t="s">
        <v>15</v>
      </c>
      <c r="C1658" t="s">
        <v>87</v>
      </c>
      <c r="D1658" t="s">
        <v>571</v>
      </c>
      <c r="E1658" t="s">
        <v>572</v>
      </c>
      <c r="F1658" t="s">
        <v>16</v>
      </c>
      <c r="G1658">
        <v>133</v>
      </c>
      <c r="H1658">
        <v>2</v>
      </c>
      <c r="I1658">
        <v>5</v>
      </c>
      <c r="J1658">
        <v>140</v>
      </c>
      <c r="K1658" s="482">
        <v>0.95</v>
      </c>
      <c r="L1658" s="482">
        <v>1.4E-2</v>
      </c>
      <c r="M1658" s="482">
        <v>3.5999999999999997E-2</v>
      </c>
    </row>
    <row r="1659" spans="1:13" x14ac:dyDescent="0.2">
      <c r="A1659" t="s">
        <v>2422</v>
      </c>
      <c r="B1659" t="s">
        <v>15</v>
      </c>
      <c r="C1659" t="s">
        <v>87</v>
      </c>
      <c r="D1659" t="s">
        <v>569</v>
      </c>
      <c r="E1659" t="s">
        <v>339</v>
      </c>
      <c r="F1659" t="s">
        <v>16</v>
      </c>
      <c r="G1659">
        <v>61</v>
      </c>
      <c r="H1659">
        <v>0</v>
      </c>
      <c r="I1659">
        <v>4</v>
      </c>
      <c r="J1659">
        <v>65</v>
      </c>
      <c r="K1659" s="482">
        <v>0.93799999999999994</v>
      </c>
      <c r="L1659" s="482">
        <v>0</v>
      </c>
      <c r="M1659" s="482">
        <v>6.2E-2</v>
      </c>
    </row>
    <row r="1660" spans="1:13" x14ac:dyDescent="0.2">
      <c r="A1660" t="s">
        <v>2480</v>
      </c>
      <c r="B1660" t="s">
        <v>15</v>
      </c>
      <c r="C1660" t="s">
        <v>87</v>
      </c>
      <c r="D1660" t="s">
        <v>396</v>
      </c>
      <c r="E1660" t="s">
        <v>397</v>
      </c>
      <c r="F1660" t="s">
        <v>16</v>
      </c>
      <c r="G1660">
        <v>202</v>
      </c>
      <c r="H1660">
        <v>5</v>
      </c>
      <c r="I1660">
        <v>5</v>
      </c>
      <c r="J1660">
        <v>212</v>
      </c>
      <c r="K1660" s="482">
        <v>0.95299999999999996</v>
      </c>
      <c r="L1660" s="482">
        <v>2.4E-2</v>
      </c>
      <c r="M1660" s="482">
        <v>2.4E-2</v>
      </c>
    </row>
    <row r="1661" spans="1:13" x14ac:dyDescent="0.2">
      <c r="A1661" t="s">
        <v>2428</v>
      </c>
      <c r="B1661" t="s">
        <v>15</v>
      </c>
      <c r="C1661" t="s">
        <v>87</v>
      </c>
      <c r="D1661" t="s">
        <v>552</v>
      </c>
      <c r="E1661" t="s">
        <v>337</v>
      </c>
      <c r="F1661" t="s">
        <v>16</v>
      </c>
      <c r="G1661">
        <v>141</v>
      </c>
      <c r="H1661">
        <v>0</v>
      </c>
      <c r="I1661">
        <v>8</v>
      </c>
      <c r="J1661">
        <v>149</v>
      </c>
      <c r="K1661" s="482">
        <v>0.94599999999999995</v>
      </c>
      <c r="L1661" s="482">
        <v>0</v>
      </c>
      <c r="M1661" s="482">
        <v>5.3999999999999999E-2</v>
      </c>
    </row>
    <row r="1662" spans="1:13" x14ac:dyDescent="0.2">
      <c r="A1662" t="s">
        <v>2429</v>
      </c>
      <c r="B1662" t="s">
        <v>15</v>
      </c>
      <c r="C1662" t="s">
        <v>87</v>
      </c>
      <c r="D1662" t="s">
        <v>549</v>
      </c>
      <c r="E1662" t="s">
        <v>550</v>
      </c>
      <c r="F1662" t="s">
        <v>16</v>
      </c>
      <c r="G1662">
        <v>151</v>
      </c>
      <c r="H1662">
        <v>0</v>
      </c>
      <c r="I1662">
        <v>9</v>
      </c>
      <c r="J1662">
        <v>160</v>
      </c>
      <c r="K1662" s="482">
        <v>0.94399999999999995</v>
      </c>
      <c r="L1662" s="482">
        <v>0</v>
      </c>
      <c r="M1662" s="482">
        <v>5.6000000000000001E-2</v>
      </c>
    </row>
    <row r="1663" spans="1:13" x14ac:dyDescent="0.2">
      <c r="A1663" t="s">
        <v>2430</v>
      </c>
      <c r="B1663" t="s">
        <v>15</v>
      </c>
      <c r="C1663" t="s">
        <v>87</v>
      </c>
      <c r="D1663" t="s">
        <v>546</v>
      </c>
      <c r="E1663" t="s">
        <v>547</v>
      </c>
      <c r="F1663" t="s">
        <v>16</v>
      </c>
      <c r="G1663">
        <v>28</v>
      </c>
      <c r="H1663">
        <v>0</v>
      </c>
      <c r="I1663">
        <v>2</v>
      </c>
      <c r="J1663">
        <v>30</v>
      </c>
      <c r="K1663" s="482">
        <v>0.93300000000000005</v>
      </c>
      <c r="L1663" s="482">
        <v>0</v>
      </c>
      <c r="M1663" s="482">
        <v>6.7000000000000004E-2</v>
      </c>
    </row>
    <row r="1664" spans="1:13" x14ac:dyDescent="0.2">
      <c r="A1664" t="s">
        <v>2431</v>
      </c>
      <c r="B1664" t="s">
        <v>15</v>
      </c>
      <c r="C1664" t="s">
        <v>87</v>
      </c>
      <c r="D1664" t="s">
        <v>543</v>
      </c>
      <c r="E1664" t="s">
        <v>544</v>
      </c>
      <c r="F1664" t="s">
        <v>16</v>
      </c>
      <c r="G1664">
        <v>120</v>
      </c>
      <c r="H1664">
        <v>0</v>
      </c>
      <c r="I1664">
        <v>19</v>
      </c>
      <c r="J1664">
        <v>139</v>
      </c>
      <c r="K1664" s="482">
        <v>0.86299999999999999</v>
      </c>
      <c r="L1664" s="482">
        <v>0</v>
      </c>
      <c r="M1664" s="482">
        <v>0.13700000000000001</v>
      </c>
    </row>
    <row r="1665" spans="1:13" x14ac:dyDescent="0.2">
      <c r="A1665" t="s">
        <v>2432</v>
      </c>
      <c r="B1665" t="s">
        <v>15</v>
      </c>
      <c r="C1665" t="s">
        <v>87</v>
      </c>
      <c r="D1665" t="s">
        <v>540</v>
      </c>
      <c r="E1665" t="s">
        <v>541</v>
      </c>
      <c r="F1665" t="s">
        <v>16</v>
      </c>
      <c r="G1665">
        <v>41</v>
      </c>
      <c r="H1665">
        <v>0</v>
      </c>
      <c r="I1665">
        <v>1</v>
      </c>
      <c r="J1665">
        <v>42</v>
      </c>
      <c r="K1665" s="482">
        <v>0.97599999999999998</v>
      </c>
      <c r="L1665" s="482">
        <v>0</v>
      </c>
      <c r="M1665" s="482">
        <v>2.4E-2</v>
      </c>
    </row>
    <row r="1666" spans="1:13" x14ac:dyDescent="0.2">
      <c r="A1666" t="s">
        <v>2433</v>
      </c>
      <c r="B1666" t="s">
        <v>15</v>
      </c>
      <c r="C1666" t="s">
        <v>87</v>
      </c>
      <c r="D1666" t="s">
        <v>537</v>
      </c>
      <c r="E1666" t="s">
        <v>538</v>
      </c>
      <c r="F1666" t="s">
        <v>16</v>
      </c>
      <c r="G1666">
        <v>620</v>
      </c>
      <c r="H1666">
        <v>8</v>
      </c>
      <c r="I1666">
        <v>23</v>
      </c>
      <c r="J1666">
        <v>651</v>
      </c>
      <c r="K1666" s="482">
        <v>0.95199999999999996</v>
      </c>
      <c r="L1666" s="482">
        <v>1.2E-2</v>
      </c>
      <c r="M1666" s="482">
        <v>3.5000000000000003E-2</v>
      </c>
    </row>
    <row r="1667" spans="1:13" x14ac:dyDescent="0.2">
      <c r="A1667" t="s">
        <v>2434</v>
      </c>
      <c r="B1667" t="s">
        <v>15</v>
      </c>
      <c r="C1667" t="s">
        <v>87</v>
      </c>
      <c r="D1667" t="s">
        <v>534</v>
      </c>
      <c r="E1667" t="s">
        <v>535</v>
      </c>
      <c r="F1667" t="s">
        <v>16</v>
      </c>
      <c r="G1667">
        <v>19</v>
      </c>
      <c r="H1667">
        <v>0</v>
      </c>
      <c r="I1667">
        <v>2</v>
      </c>
      <c r="J1667">
        <v>21</v>
      </c>
      <c r="K1667" s="482">
        <v>0.90500000000000003</v>
      </c>
      <c r="L1667" s="482">
        <v>0</v>
      </c>
      <c r="M1667" s="482">
        <v>9.5000000000000001E-2</v>
      </c>
    </row>
    <row r="1668" spans="1:13" x14ac:dyDescent="0.2">
      <c r="A1668" t="s">
        <v>2435</v>
      </c>
      <c r="B1668" t="s">
        <v>15</v>
      </c>
      <c r="C1668" t="s">
        <v>87</v>
      </c>
      <c r="D1668" t="s">
        <v>531</v>
      </c>
      <c r="E1668" t="s">
        <v>532</v>
      </c>
      <c r="F1668" t="s">
        <v>16</v>
      </c>
      <c r="G1668">
        <v>102</v>
      </c>
      <c r="H1668">
        <v>0</v>
      </c>
      <c r="I1668">
        <v>8</v>
      </c>
      <c r="J1668">
        <v>110</v>
      </c>
      <c r="K1668" s="482">
        <v>0.92700000000000005</v>
      </c>
      <c r="L1668" s="482">
        <v>0</v>
      </c>
      <c r="M1668" s="482">
        <v>7.2999999999999995E-2</v>
      </c>
    </row>
    <row r="1669" spans="1:13" x14ac:dyDescent="0.2">
      <c r="A1669" t="s">
        <v>2436</v>
      </c>
      <c r="B1669" t="s">
        <v>15</v>
      </c>
      <c r="C1669" t="s">
        <v>87</v>
      </c>
      <c r="D1669" t="s">
        <v>528</v>
      </c>
      <c r="E1669" t="s">
        <v>529</v>
      </c>
      <c r="F1669" t="s">
        <v>16</v>
      </c>
      <c r="G1669">
        <v>228</v>
      </c>
      <c r="H1669">
        <v>3</v>
      </c>
      <c r="I1669">
        <v>5</v>
      </c>
      <c r="J1669">
        <v>236</v>
      </c>
      <c r="K1669" s="482">
        <v>0.96599999999999997</v>
      </c>
      <c r="L1669" s="482">
        <v>1.2999999999999999E-2</v>
      </c>
      <c r="M1669" s="482">
        <v>2.1000000000000001E-2</v>
      </c>
    </row>
    <row r="1670" spans="1:13" x14ac:dyDescent="0.2">
      <c r="A1670" t="s">
        <v>2437</v>
      </c>
      <c r="B1670" t="s">
        <v>15</v>
      </c>
      <c r="C1670" t="s">
        <v>87</v>
      </c>
      <c r="D1670" t="s">
        <v>525</v>
      </c>
      <c r="E1670" t="s">
        <v>526</v>
      </c>
      <c r="F1670" t="s">
        <v>16</v>
      </c>
      <c r="G1670">
        <v>218</v>
      </c>
      <c r="H1670">
        <v>4</v>
      </c>
      <c r="I1670">
        <v>20</v>
      </c>
      <c r="J1670">
        <v>242</v>
      </c>
      <c r="K1670" s="482">
        <v>0.90100000000000002</v>
      </c>
      <c r="L1670" s="482">
        <v>1.7000000000000001E-2</v>
      </c>
      <c r="M1670" s="482">
        <v>8.3000000000000004E-2</v>
      </c>
    </row>
    <row r="1671" spans="1:13" x14ac:dyDescent="0.2">
      <c r="A1671" t="s">
        <v>2438</v>
      </c>
      <c r="B1671" t="s">
        <v>15</v>
      </c>
      <c r="C1671" t="s">
        <v>87</v>
      </c>
      <c r="D1671" t="s">
        <v>522</v>
      </c>
      <c r="E1671" t="s">
        <v>523</v>
      </c>
      <c r="F1671" t="s">
        <v>16</v>
      </c>
      <c r="G1671">
        <v>61</v>
      </c>
      <c r="H1671">
        <v>0</v>
      </c>
      <c r="I1671">
        <v>7</v>
      </c>
      <c r="J1671">
        <v>68</v>
      </c>
      <c r="K1671" s="482">
        <v>0.89700000000000002</v>
      </c>
      <c r="L1671" s="482">
        <v>0</v>
      </c>
      <c r="M1671" s="482">
        <v>0.10299999999999999</v>
      </c>
    </row>
    <row r="1672" spans="1:13" x14ac:dyDescent="0.2">
      <c r="A1672" t="s">
        <v>2439</v>
      </c>
      <c r="B1672" t="s">
        <v>15</v>
      </c>
      <c r="C1672" t="s">
        <v>87</v>
      </c>
      <c r="D1672" t="s">
        <v>519</v>
      </c>
      <c r="E1672" t="s">
        <v>520</v>
      </c>
      <c r="F1672" t="s">
        <v>16</v>
      </c>
      <c r="G1672">
        <v>161</v>
      </c>
      <c r="H1672">
        <v>0</v>
      </c>
      <c r="I1672">
        <v>6</v>
      </c>
      <c r="J1672">
        <v>167</v>
      </c>
      <c r="K1672" s="482">
        <v>0.96399999999999997</v>
      </c>
      <c r="L1672" s="482">
        <v>0</v>
      </c>
      <c r="M1672" s="482">
        <v>3.5999999999999997E-2</v>
      </c>
    </row>
    <row r="1673" spans="1:13" x14ac:dyDescent="0.2">
      <c r="A1673" t="s">
        <v>2440</v>
      </c>
      <c r="B1673" t="s">
        <v>15</v>
      </c>
      <c r="C1673" t="s">
        <v>87</v>
      </c>
      <c r="D1673" t="s">
        <v>516</v>
      </c>
      <c r="E1673" t="s">
        <v>517</v>
      </c>
      <c r="F1673" t="s">
        <v>16</v>
      </c>
      <c r="G1673">
        <v>107</v>
      </c>
      <c r="H1673">
        <v>1</v>
      </c>
      <c r="I1673">
        <v>9</v>
      </c>
      <c r="J1673">
        <v>117</v>
      </c>
      <c r="K1673" s="482">
        <v>0.91500000000000004</v>
      </c>
      <c r="L1673" s="482">
        <v>8.9999999999999993E-3</v>
      </c>
      <c r="M1673" s="482">
        <v>7.6999999999999999E-2</v>
      </c>
    </row>
    <row r="1674" spans="1:13" x14ac:dyDescent="0.2">
      <c r="A1674" t="s">
        <v>2441</v>
      </c>
      <c r="B1674" t="s">
        <v>15</v>
      </c>
      <c r="C1674" t="s">
        <v>87</v>
      </c>
      <c r="D1674" t="s">
        <v>513</v>
      </c>
      <c r="E1674" t="s">
        <v>514</v>
      </c>
      <c r="F1674" t="s">
        <v>16</v>
      </c>
      <c r="G1674">
        <v>239</v>
      </c>
      <c r="H1674">
        <v>5</v>
      </c>
      <c r="I1674">
        <v>16</v>
      </c>
      <c r="J1674">
        <v>260</v>
      </c>
      <c r="K1674" s="482">
        <v>0.91900000000000004</v>
      </c>
      <c r="L1674" s="482">
        <v>1.9E-2</v>
      </c>
      <c r="M1674" s="482">
        <v>6.2E-2</v>
      </c>
    </row>
    <row r="1675" spans="1:13" x14ac:dyDescent="0.2">
      <c r="A1675" t="s">
        <v>2442</v>
      </c>
      <c r="B1675" t="s">
        <v>15</v>
      </c>
      <c r="C1675" t="s">
        <v>87</v>
      </c>
      <c r="D1675" t="s">
        <v>510</v>
      </c>
      <c r="E1675" t="s">
        <v>511</v>
      </c>
      <c r="F1675" t="s">
        <v>16</v>
      </c>
      <c r="G1675">
        <v>80</v>
      </c>
      <c r="H1675">
        <v>1</v>
      </c>
      <c r="I1675">
        <v>5</v>
      </c>
      <c r="J1675">
        <v>86</v>
      </c>
      <c r="K1675" s="482">
        <v>0.93</v>
      </c>
      <c r="L1675" s="482">
        <v>1.2E-2</v>
      </c>
      <c r="M1675" s="482">
        <v>5.8000000000000003E-2</v>
      </c>
    </row>
    <row r="1676" spans="1:13" x14ac:dyDescent="0.2">
      <c r="A1676" t="s">
        <v>2443</v>
      </c>
      <c r="B1676" t="s">
        <v>15</v>
      </c>
      <c r="C1676" t="s">
        <v>87</v>
      </c>
      <c r="D1676" t="s">
        <v>507</v>
      </c>
      <c r="E1676" t="s">
        <v>508</v>
      </c>
      <c r="F1676" t="s">
        <v>16</v>
      </c>
      <c r="G1676">
        <v>325</v>
      </c>
      <c r="H1676">
        <v>7</v>
      </c>
      <c r="I1676">
        <v>22</v>
      </c>
      <c r="J1676">
        <v>354</v>
      </c>
      <c r="K1676" s="482">
        <v>0.91800000000000004</v>
      </c>
      <c r="L1676" s="482">
        <v>0.02</v>
      </c>
      <c r="M1676" s="482">
        <v>6.2E-2</v>
      </c>
    </row>
    <row r="1677" spans="1:13" x14ac:dyDescent="0.2">
      <c r="A1677" t="s">
        <v>2444</v>
      </c>
      <c r="B1677" t="s">
        <v>15</v>
      </c>
      <c r="C1677" t="s">
        <v>87</v>
      </c>
      <c r="D1677" t="s">
        <v>504</v>
      </c>
      <c r="E1677" t="s">
        <v>505</v>
      </c>
      <c r="F1677" t="s">
        <v>16</v>
      </c>
      <c r="G1677">
        <v>158</v>
      </c>
      <c r="H1677">
        <v>2</v>
      </c>
      <c r="I1677">
        <v>5</v>
      </c>
      <c r="J1677">
        <v>165</v>
      </c>
      <c r="K1677" s="482">
        <v>0.95799999999999996</v>
      </c>
      <c r="L1677" s="482">
        <v>1.2E-2</v>
      </c>
      <c r="M1677" s="482">
        <v>0.03</v>
      </c>
    </row>
    <row r="1678" spans="1:13" x14ac:dyDescent="0.2">
      <c r="A1678" t="s">
        <v>2445</v>
      </c>
      <c r="B1678" t="s">
        <v>15</v>
      </c>
      <c r="C1678" t="s">
        <v>87</v>
      </c>
      <c r="D1678" t="s">
        <v>501</v>
      </c>
      <c r="E1678" t="s">
        <v>502</v>
      </c>
      <c r="F1678" t="s">
        <v>16</v>
      </c>
      <c r="G1678">
        <v>109</v>
      </c>
      <c r="H1678">
        <v>3</v>
      </c>
      <c r="I1678">
        <v>5</v>
      </c>
      <c r="J1678">
        <v>117</v>
      </c>
      <c r="K1678" s="482">
        <v>0.93200000000000005</v>
      </c>
      <c r="L1678" s="482">
        <v>2.5999999999999999E-2</v>
      </c>
      <c r="M1678" s="482">
        <v>4.2999999999999997E-2</v>
      </c>
    </row>
    <row r="1679" spans="1:13" x14ac:dyDescent="0.2">
      <c r="A1679" t="s">
        <v>2446</v>
      </c>
      <c r="B1679" t="s">
        <v>15</v>
      </c>
      <c r="C1679" t="s">
        <v>87</v>
      </c>
      <c r="D1679" t="s">
        <v>498</v>
      </c>
      <c r="E1679" t="s">
        <v>499</v>
      </c>
      <c r="F1679" t="s">
        <v>16</v>
      </c>
      <c r="G1679">
        <v>224</v>
      </c>
      <c r="H1679">
        <v>1</v>
      </c>
      <c r="I1679">
        <v>13</v>
      </c>
      <c r="J1679">
        <v>238</v>
      </c>
      <c r="K1679" s="482">
        <v>0.94099999999999995</v>
      </c>
      <c r="L1679" s="482">
        <v>4.0000000000000001E-3</v>
      </c>
      <c r="M1679" s="482">
        <v>5.5E-2</v>
      </c>
    </row>
    <row r="1680" spans="1:13" x14ac:dyDescent="0.2">
      <c r="A1680" t="s">
        <v>2447</v>
      </c>
      <c r="B1680" t="s">
        <v>15</v>
      </c>
      <c r="C1680" t="s">
        <v>87</v>
      </c>
      <c r="D1680" t="s">
        <v>495</v>
      </c>
      <c r="E1680" t="s">
        <v>496</v>
      </c>
      <c r="F1680" t="s">
        <v>16</v>
      </c>
      <c r="G1680">
        <v>332</v>
      </c>
      <c r="H1680">
        <v>4</v>
      </c>
      <c r="I1680">
        <v>13</v>
      </c>
      <c r="J1680">
        <v>349</v>
      </c>
      <c r="K1680" s="482">
        <v>0.95099999999999996</v>
      </c>
      <c r="L1680" s="482">
        <v>1.0999999999999999E-2</v>
      </c>
      <c r="M1680" s="482">
        <v>3.6999999999999998E-2</v>
      </c>
    </row>
    <row r="1681" spans="1:13" x14ac:dyDescent="0.2">
      <c r="A1681" t="s">
        <v>2425</v>
      </c>
      <c r="B1681" t="s">
        <v>15</v>
      </c>
      <c r="C1681" t="s">
        <v>87</v>
      </c>
      <c r="D1681" t="s">
        <v>399</v>
      </c>
      <c r="E1681" t="s">
        <v>400</v>
      </c>
      <c r="F1681" t="s">
        <v>16</v>
      </c>
      <c r="G1681">
        <v>223</v>
      </c>
      <c r="H1681">
        <v>5</v>
      </c>
      <c r="I1681">
        <v>17</v>
      </c>
      <c r="J1681">
        <v>245</v>
      </c>
      <c r="K1681" s="482">
        <v>0.91</v>
      </c>
      <c r="L1681" s="482">
        <v>0.02</v>
      </c>
      <c r="M1681" s="482">
        <v>6.9000000000000006E-2</v>
      </c>
    </row>
    <row r="1682" spans="1:13" x14ac:dyDescent="0.2">
      <c r="A1682" t="s">
        <v>2458</v>
      </c>
      <c r="B1682" t="s">
        <v>15</v>
      </c>
      <c r="C1682" t="s">
        <v>87</v>
      </c>
      <c r="D1682" t="s">
        <v>462</v>
      </c>
      <c r="E1682" t="s">
        <v>463</v>
      </c>
      <c r="F1682" t="s">
        <v>16</v>
      </c>
      <c r="G1682">
        <v>163</v>
      </c>
      <c r="H1682">
        <v>2</v>
      </c>
      <c r="I1682">
        <v>13</v>
      </c>
      <c r="J1682">
        <v>178</v>
      </c>
      <c r="K1682" s="482">
        <v>0.91600000000000004</v>
      </c>
      <c r="L1682" s="482">
        <v>1.0999999999999999E-2</v>
      </c>
      <c r="M1682" s="482">
        <v>7.2999999999999995E-2</v>
      </c>
    </row>
    <row r="1683" spans="1:13" x14ac:dyDescent="0.2">
      <c r="A1683" t="s">
        <v>2459</v>
      </c>
      <c r="B1683" t="s">
        <v>15</v>
      </c>
      <c r="C1683" t="s">
        <v>87</v>
      </c>
      <c r="D1683" t="s">
        <v>459</v>
      </c>
      <c r="E1683" t="s">
        <v>460</v>
      </c>
      <c r="F1683" t="s">
        <v>16</v>
      </c>
      <c r="G1683">
        <v>148</v>
      </c>
      <c r="H1683">
        <v>2</v>
      </c>
      <c r="I1683">
        <v>14</v>
      </c>
      <c r="J1683">
        <v>164</v>
      </c>
      <c r="K1683" s="482">
        <v>0.90200000000000002</v>
      </c>
      <c r="L1683" s="482">
        <v>1.2E-2</v>
      </c>
      <c r="M1683" s="482">
        <v>8.5000000000000006E-2</v>
      </c>
    </row>
    <row r="1684" spans="1:13" x14ac:dyDescent="0.2">
      <c r="A1684" t="s">
        <v>2460</v>
      </c>
      <c r="B1684" t="s">
        <v>15</v>
      </c>
      <c r="C1684" t="s">
        <v>87</v>
      </c>
      <c r="D1684" t="s">
        <v>456</v>
      </c>
      <c r="E1684" t="s">
        <v>457</v>
      </c>
      <c r="F1684" t="s">
        <v>16</v>
      </c>
      <c r="G1684">
        <v>16</v>
      </c>
      <c r="H1684">
        <v>0</v>
      </c>
      <c r="I1684">
        <v>5</v>
      </c>
      <c r="J1684">
        <v>21</v>
      </c>
      <c r="K1684" s="482">
        <v>0.76200000000000001</v>
      </c>
      <c r="L1684" s="482">
        <v>0</v>
      </c>
      <c r="M1684" s="482">
        <v>0.23799999999999999</v>
      </c>
    </row>
    <row r="1685" spans="1:13" x14ac:dyDescent="0.2">
      <c r="A1685" t="s">
        <v>2461</v>
      </c>
      <c r="B1685" t="s">
        <v>15</v>
      </c>
      <c r="C1685" t="s">
        <v>87</v>
      </c>
      <c r="D1685" t="s">
        <v>453</v>
      </c>
      <c r="E1685" t="s">
        <v>454</v>
      </c>
      <c r="F1685" t="s">
        <v>16</v>
      </c>
      <c r="G1685">
        <v>325</v>
      </c>
      <c r="H1685">
        <v>5</v>
      </c>
      <c r="I1685">
        <v>10</v>
      </c>
      <c r="J1685">
        <v>340</v>
      </c>
      <c r="K1685" s="482">
        <v>0.95599999999999996</v>
      </c>
      <c r="L1685" s="482">
        <v>1.4999999999999999E-2</v>
      </c>
      <c r="M1685" s="482">
        <v>2.9000000000000001E-2</v>
      </c>
    </row>
    <row r="1686" spans="1:13" x14ac:dyDescent="0.2">
      <c r="A1686" t="s">
        <v>2462</v>
      </c>
      <c r="B1686" t="s">
        <v>15</v>
      </c>
      <c r="C1686" t="s">
        <v>87</v>
      </c>
      <c r="D1686" t="s">
        <v>450</v>
      </c>
      <c r="E1686" t="s">
        <v>451</v>
      </c>
      <c r="F1686" t="s">
        <v>16</v>
      </c>
      <c r="G1686">
        <v>71</v>
      </c>
      <c r="H1686">
        <v>2</v>
      </c>
      <c r="I1686">
        <v>5</v>
      </c>
      <c r="J1686">
        <v>78</v>
      </c>
      <c r="K1686" s="482">
        <v>0.91</v>
      </c>
      <c r="L1686" s="482">
        <v>2.5999999999999999E-2</v>
      </c>
      <c r="M1686" s="482">
        <v>6.4000000000000001E-2</v>
      </c>
    </row>
    <row r="1687" spans="1:13" x14ac:dyDescent="0.2">
      <c r="A1687" t="s">
        <v>2463</v>
      </c>
      <c r="B1687" t="s">
        <v>15</v>
      </c>
      <c r="C1687" t="s">
        <v>87</v>
      </c>
      <c r="D1687" t="s">
        <v>447</v>
      </c>
      <c r="E1687" t="s">
        <v>448</v>
      </c>
      <c r="F1687" t="s">
        <v>16</v>
      </c>
      <c r="G1687">
        <v>297</v>
      </c>
      <c r="H1687">
        <v>3</v>
      </c>
      <c r="I1687">
        <v>14</v>
      </c>
      <c r="J1687">
        <v>314</v>
      </c>
      <c r="K1687" s="482">
        <v>0.94599999999999995</v>
      </c>
      <c r="L1687" s="482">
        <v>0.01</v>
      </c>
      <c r="M1687" s="482">
        <v>4.4999999999999998E-2</v>
      </c>
    </row>
    <row r="1688" spans="1:13" x14ac:dyDescent="0.2">
      <c r="A1688" t="s">
        <v>2464</v>
      </c>
      <c r="B1688" t="s">
        <v>15</v>
      </c>
      <c r="C1688" t="s">
        <v>87</v>
      </c>
      <c r="D1688" t="s">
        <v>444</v>
      </c>
      <c r="E1688" t="s">
        <v>445</v>
      </c>
      <c r="F1688" t="s">
        <v>16</v>
      </c>
      <c r="G1688">
        <v>407</v>
      </c>
      <c r="H1688">
        <v>2</v>
      </c>
      <c r="I1688">
        <v>26</v>
      </c>
      <c r="J1688">
        <v>435</v>
      </c>
      <c r="K1688" s="482">
        <v>0.93600000000000005</v>
      </c>
      <c r="L1688" s="482">
        <v>5.0000000000000001E-3</v>
      </c>
      <c r="M1688" s="482">
        <v>0.06</v>
      </c>
    </row>
    <row r="1689" spans="1:13" x14ac:dyDescent="0.2">
      <c r="A1689" t="s">
        <v>2478</v>
      </c>
      <c r="B1689" t="s">
        <v>15</v>
      </c>
      <c r="C1689" t="s">
        <v>87</v>
      </c>
      <c r="D1689" t="s">
        <v>405</v>
      </c>
      <c r="E1689" t="s">
        <v>406</v>
      </c>
      <c r="F1689" t="s">
        <v>16</v>
      </c>
      <c r="G1689">
        <v>187</v>
      </c>
      <c r="H1689">
        <v>4</v>
      </c>
      <c r="I1689">
        <v>14</v>
      </c>
      <c r="J1689">
        <v>205</v>
      </c>
      <c r="K1689" s="482">
        <v>0.91200000000000003</v>
      </c>
      <c r="L1689" s="482">
        <v>0.02</v>
      </c>
      <c r="M1689" s="482">
        <v>6.8000000000000005E-2</v>
      </c>
    </row>
    <row r="1690" spans="1:13" x14ac:dyDescent="0.2">
      <c r="A1690" t="s">
        <v>2479</v>
      </c>
      <c r="B1690" t="s">
        <v>15</v>
      </c>
      <c r="C1690" t="s">
        <v>87</v>
      </c>
      <c r="D1690" t="s">
        <v>402</v>
      </c>
      <c r="E1690" t="s">
        <v>403</v>
      </c>
      <c r="F1690" t="s">
        <v>16</v>
      </c>
      <c r="G1690">
        <v>251</v>
      </c>
      <c r="H1690">
        <v>5</v>
      </c>
      <c r="I1690">
        <v>11</v>
      </c>
      <c r="J1690">
        <v>267</v>
      </c>
      <c r="K1690" s="482">
        <v>0.94</v>
      </c>
      <c r="L1690" s="482">
        <v>1.9E-2</v>
      </c>
      <c r="M1690" s="482">
        <v>4.1000000000000002E-2</v>
      </c>
    </row>
    <row r="1691" spans="1:13" x14ac:dyDescent="0.2">
      <c r="A1691" t="s">
        <v>2467</v>
      </c>
      <c r="B1691" t="s">
        <v>15</v>
      </c>
      <c r="C1691" t="s">
        <v>87</v>
      </c>
      <c r="D1691" t="s">
        <v>438</v>
      </c>
      <c r="E1691" t="s">
        <v>439</v>
      </c>
      <c r="F1691" t="s">
        <v>16</v>
      </c>
      <c r="G1691">
        <v>83</v>
      </c>
      <c r="H1691">
        <v>3</v>
      </c>
      <c r="I1691">
        <v>4</v>
      </c>
      <c r="J1691">
        <v>90</v>
      </c>
      <c r="K1691" s="482">
        <v>0.92200000000000004</v>
      </c>
      <c r="L1691" s="482">
        <v>3.3000000000000002E-2</v>
      </c>
      <c r="M1691" s="482">
        <v>4.3999999999999997E-2</v>
      </c>
    </row>
    <row r="1692" spans="1:13" x14ac:dyDescent="0.2">
      <c r="A1692" t="s">
        <v>2466</v>
      </c>
      <c r="B1692" t="s">
        <v>15</v>
      </c>
      <c r="C1692" t="s">
        <v>87</v>
      </c>
      <c r="D1692" t="s">
        <v>441</v>
      </c>
      <c r="E1692" t="s">
        <v>442</v>
      </c>
      <c r="F1692" t="s">
        <v>16</v>
      </c>
      <c r="G1692">
        <v>176</v>
      </c>
      <c r="H1692">
        <v>3</v>
      </c>
      <c r="I1692">
        <v>6</v>
      </c>
      <c r="J1692">
        <v>185</v>
      </c>
      <c r="K1692" s="482">
        <v>0.95099999999999996</v>
      </c>
      <c r="L1692" s="482">
        <v>1.6E-2</v>
      </c>
      <c r="M1692" s="482">
        <v>3.2000000000000001E-2</v>
      </c>
    </row>
    <row r="1693" spans="1:13" x14ac:dyDescent="0.2">
      <c r="A1693" t="s">
        <v>2451</v>
      </c>
      <c r="B1693" t="s">
        <v>15</v>
      </c>
      <c r="C1693" t="s">
        <v>87</v>
      </c>
      <c r="D1693" t="s">
        <v>483</v>
      </c>
      <c r="E1693" t="s">
        <v>484</v>
      </c>
      <c r="F1693" t="s">
        <v>16</v>
      </c>
      <c r="G1693">
        <v>55</v>
      </c>
      <c r="H1693">
        <v>0</v>
      </c>
      <c r="I1693">
        <v>2</v>
      </c>
      <c r="J1693">
        <v>57</v>
      </c>
      <c r="K1693" s="482">
        <v>0.96499999999999997</v>
      </c>
      <c r="L1693" s="482">
        <v>0</v>
      </c>
      <c r="M1693" s="482">
        <v>3.5000000000000003E-2</v>
      </c>
    </row>
    <row r="1694" spans="1:13" x14ac:dyDescent="0.2">
      <c r="A1694" t="s">
        <v>2454</v>
      </c>
      <c r="B1694" t="s">
        <v>15</v>
      </c>
      <c r="C1694" t="s">
        <v>87</v>
      </c>
      <c r="D1694" t="s">
        <v>474</v>
      </c>
      <c r="E1694" t="s">
        <v>475</v>
      </c>
      <c r="F1694" t="s">
        <v>16</v>
      </c>
      <c r="G1694">
        <v>264</v>
      </c>
      <c r="H1694">
        <v>1</v>
      </c>
      <c r="I1694">
        <v>18</v>
      </c>
      <c r="J1694">
        <v>283</v>
      </c>
      <c r="K1694" s="482">
        <v>0.93300000000000005</v>
      </c>
      <c r="L1694" s="482">
        <v>4.0000000000000001E-3</v>
      </c>
      <c r="M1694" s="482">
        <v>6.4000000000000001E-2</v>
      </c>
    </row>
    <row r="1695" spans="1:13" x14ac:dyDescent="0.2">
      <c r="A1695" t="s">
        <v>2455</v>
      </c>
      <c r="B1695" t="s">
        <v>15</v>
      </c>
      <c r="C1695" t="s">
        <v>87</v>
      </c>
      <c r="D1695" t="s">
        <v>471</v>
      </c>
      <c r="E1695" t="s">
        <v>472</v>
      </c>
      <c r="F1695" t="s">
        <v>16</v>
      </c>
      <c r="G1695">
        <v>61</v>
      </c>
      <c r="H1695">
        <v>2</v>
      </c>
      <c r="I1695">
        <v>3</v>
      </c>
      <c r="J1695">
        <v>66</v>
      </c>
      <c r="K1695" s="482">
        <v>0.92400000000000004</v>
      </c>
      <c r="L1695" s="482">
        <v>0.03</v>
      </c>
      <c r="M1695" s="482">
        <v>4.4999999999999998E-2</v>
      </c>
    </row>
    <row r="1696" spans="1:13" x14ac:dyDescent="0.2">
      <c r="A1696" t="s">
        <v>2456</v>
      </c>
      <c r="B1696" t="s">
        <v>15</v>
      </c>
      <c r="C1696" t="s">
        <v>87</v>
      </c>
      <c r="D1696" t="s">
        <v>468</v>
      </c>
      <c r="E1696" t="s">
        <v>469</v>
      </c>
      <c r="F1696" t="s">
        <v>16</v>
      </c>
      <c r="G1696">
        <v>456</v>
      </c>
      <c r="H1696">
        <v>6</v>
      </c>
      <c r="I1696">
        <v>29</v>
      </c>
      <c r="J1696">
        <v>491</v>
      </c>
      <c r="K1696" s="482">
        <v>0.92900000000000005</v>
      </c>
      <c r="L1696" s="482">
        <v>1.2E-2</v>
      </c>
      <c r="M1696" s="482">
        <v>5.8999999999999997E-2</v>
      </c>
    </row>
    <row r="1697" spans="1:13" x14ac:dyDescent="0.2">
      <c r="A1697" t="s">
        <v>2457</v>
      </c>
      <c r="B1697" t="s">
        <v>15</v>
      </c>
      <c r="C1697" t="s">
        <v>87</v>
      </c>
      <c r="D1697" t="s">
        <v>465</v>
      </c>
      <c r="E1697" t="s">
        <v>466</v>
      </c>
      <c r="F1697" t="s">
        <v>16</v>
      </c>
      <c r="G1697">
        <v>179</v>
      </c>
      <c r="H1697">
        <v>4</v>
      </c>
      <c r="I1697">
        <v>13</v>
      </c>
      <c r="J1697">
        <v>196</v>
      </c>
      <c r="K1697" s="482">
        <v>0.91300000000000003</v>
      </c>
      <c r="L1697" s="482">
        <v>0.02</v>
      </c>
      <c r="M1697" s="482">
        <v>6.6000000000000003E-2</v>
      </c>
    </row>
    <row r="1698" spans="1:13" x14ac:dyDescent="0.2">
      <c r="A1698" t="s">
        <v>2452</v>
      </c>
      <c r="B1698" t="s">
        <v>15</v>
      </c>
      <c r="C1698" t="s">
        <v>87</v>
      </c>
      <c r="D1698" t="s">
        <v>480</v>
      </c>
      <c r="E1698" t="s">
        <v>481</v>
      </c>
      <c r="F1698" t="s">
        <v>16</v>
      </c>
      <c r="G1698">
        <v>209</v>
      </c>
      <c r="H1698">
        <v>2</v>
      </c>
      <c r="I1698">
        <v>13</v>
      </c>
      <c r="J1698">
        <v>224</v>
      </c>
      <c r="K1698" s="482">
        <v>0.93300000000000005</v>
      </c>
      <c r="L1698" s="482">
        <v>8.9999999999999993E-3</v>
      </c>
      <c r="M1698" s="482">
        <v>5.8000000000000003E-2</v>
      </c>
    </row>
    <row r="1699" spans="1:13" x14ac:dyDescent="0.2">
      <c r="A1699" t="s">
        <v>2453</v>
      </c>
      <c r="B1699" t="s">
        <v>15</v>
      </c>
      <c r="C1699" t="s">
        <v>87</v>
      </c>
      <c r="D1699" t="s">
        <v>477</v>
      </c>
      <c r="E1699" t="s">
        <v>478</v>
      </c>
      <c r="F1699" t="s">
        <v>16</v>
      </c>
      <c r="G1699">
        <v>101</v>
      </c>
      <c r="H1699">
        <v>0</v>
      </c>
      <c r="I1699">
        <v>4</v>
      </c>
      <c r="J1699">
        <v>105</v>
      </c>
      <c r="K1699" s="482">
        <v>0.96199999999999997</v>
      </c>
      <c r="L1699" s="482">
        <v>0</v>
      </c>
      <c r="M1699" s="482">
        <v>3.7999999999999999E-2</v>
      </c>
    </row>
    <row r="1700" spans="1:13" x14ac:dyDescent="0.2">
      <c r="A1700" t="s">
        <v>2508</v>
      </c>
      <c r="B1700" t="s">
        <v>17</v>
      </c>
      <c r="C1700" t="s">
        <v>87</v>
      </c>
      <c r="D1700" t="s">
        <v>477</v>
      </c>
      <c r="E1700" t="s">
        <v>478</v>
      </c>
      <c r="F1700" t="s">
        <v>0</v>
      </c>
      <c r="G1700" t="s">
        <v>53</v>
      </c>
      <c r="H1700">
        <v>0</v>
      </c>
      <c r="I1700">
        <v>0</v>
      </c>
      <c r="J1700" t="s">
        <v>53</v>
      </c>
      <c r="K1700" t="s">
        <v>53</v>
      </c>
      <c r="L1700" t="s">
        <v>53</v>
      </c>
      <c r="M1700" t="s">
        <v>53</v>
      </c>
    </row>
    <row r="1701" spans="1:13" x14ac:dyDescent="0.2">
      <c r="A1701" t="s">
        <v>2509</v>
      </c>
      <c r="B1701" t="s">
        <v>17</v>
      </c>
      <c r="C1701" t="s">
        <v>87</v>
      </c>
      <c r="D1701" t="s">
        <v>480</v>
      </c>
      <c r="E1701" t="s">
        <v>481</v>
      </c>
      <c r="F1701" t="s">
        <v>0</v>
      </c>
      <c r="G1701">
        <v>28</v>
      </c>
      <c r="H1701">
        <v>0</v>
      </c>
      <c r="I1701">
        <v>8</v>
      </c>
      <c r="J1701">
        <v>36</v>
      </c>
      <c r="K1701" s="482">
        <v>0.77800000000000002</v>
      </c>
      <c r="L1701" s="482">
        <v>0</v>
      </c>
      <c r="M1701" s="482">
        <v>0.222</v>
      </c>
    </row>
    <row r="1702" spans="1:13" x14ac:dyDescent="0.2">
      <c r="A1702" t="s">
        <v>2505</v>
      </c>
      <c r="B1702" t="s">
        <v>17</v>
      </c>
      <c r="C1702" t="s">
        <v>87</v>
      </c>
      <c r="D1702" t="s">
        <v>465</v>
      </c>
      <c r="E1702" t="s">
        <v>466</v>
      </c>
      <c r="F1702" t="s">
        <v>0</v>
      </c>
      <c r="G1702">
        <v>35</v>
      </c>
      <c r="H1702">
        <v>0</v>
      </c>
      <c r="I1702">
        <v>1</v>
      </c>
      <c r="J1702">
        <v>36</v>
      </c>
      <c r="K1702" s="482">
        <v>0.97199999999999998</v>
      </c>
      <c r="L1702" s="482">
        <v>0</v>
      </c>
      <c r="M1702" s="482">
        <v>2.8000000000000001E-2</v>
      </c>
    </row>
    <row r="1703" spans="1:13" x14ac:dyDescent="0.2">
      <c r="A1703" t="s">
        <v>2506</v>
      </c>
      <c r="B1703" t="s">
        <v>17</v>
      </c>
      <c r="C1703" t="s">
        <v>87</v>
      </c>
      <c r="D1703" t="s">
        <v>468</v>
      </c>
      <c r="E1703" t="s">
        <v>469</v>
      </c>
      <c r="F1703" t="s">
        <v>0</v>
      </c>
      <c r="G1703">
        <v>44</v>
      </c>
      <c r="H1703">
        <v>0</v>
      </c>
      <c r="I1703">
        <v>7</v>
      </c>
      <c r="J1703">
        <v>51</v>
      </c>
      <c r="K1703" s="482">
        <v>0.86299999999999999</v>
      </c>
      <c r="L1703" s="482">
        <v>0</v>
      </c>
      <c r="M1703" s="482">
        <v>0.13700000000000001</v>
      </c>
    </row>
    <row r="1704" spans="1:13" x14ac:dyDescent="0.2">
      <c r="A1704" t="s">
        <v>2507</v>
      </c>
      <c r="B1704" t="s">
        <v>17</v>
      </c>
      <c r="C1704" t="s">
        <v>87</v>
      </c>
      <c r="D1704" t="s">
        <v>474</v>
      </c>
      <c r="E1704" t="s">
        <v>475</v>
      </c>
      <c r="F1704" t="s">
        <v>0</v>
      </c>
      <c r="G1704">
        <v>47</v>
      </c>
      <c r="H1704">
        <v>0</v>
      </c>
      <c r="I1704">
        <v>4</v>
      </c>
      <c r="J1704">
        <v>51</v>
      </c>
      <c r="K1704" s="482">
        <v>0.92200000000000004</v>
      </c>
      <c r="L1704" s="482">
        <v>0</v>
      </c>
      <c r="M1704" s="482">
        <v>7.8E-2</v>
      </c>
    </row>
    <row r="1705" spans="1:13" x14ac:dyDescent="0.2">
      <c r="A1705" t="s">
        <v>2510</v>
      </c>
      <c r="B1705" t="s">
        <v>17</v>
      </c>
      <c r="C1705" t="s">
        <v>87</v>
      </c>
      <c r="D1705" t="s">
        <v>483</v>
      </c>
      <c r="E1705" t="s">
        <v>484</v>
      </c>
      <c r="F1705" t="s">
        <v>0</v>
      </c>
      <c r="G1705">
        <v>6</v>
      </c>
      <c r="H1705">
        <v>0</v>
      </c>
      <c r="I1705">
        <v>0</v>
      </c>
      <c r="J1705">
        <v>6</v>
      </c>
      <c r="K1705" s="482">
        <v>1</v>
      </c>
      <c r="L1705" s="482">
        <v>0</v>
      </c>
      <c r="M1705" s="482">
        <v>0</v>
      </c>
    </row>
    <row r="1706" spans="1:13" x14ac:dyDescent="0.2">
      <c r="A1706" t="s">
        <v>2494</v>
      </c>
      <c r="B1706" t="s">
        <v>17</v>
      </c>
      <c r="C1706" t="s">
        <v>87</v>
      </c>
      <c r="D1706" t="s">
        <v>441</v>
      </c>
      <c r="E1706" t="s">
        <v>442</v>
      </c>
      <c r="F1706" t="s">
        <v>0</v>
      </c>
      <c r="G1706">
        <v>4</v>
      </c>
      <c r="H1706">
        <v>0</v>
      </c>
      <c r="I1706">
        <v>2</v>
      </c>
      <c r="J1706">
        <v>6</v>
      </c>
      <c r="K1706" s="482">
        <v>0.66700000000000004</v>
      </c>
      <c r="L1706" s="482">
        <v>0</v>
      </c>
      <c r="M1706" s="482">
        <v>0.33300000000000002</v>
      </c>
    </row>
    <row r="1707" spans="1:13" x14ac:dyDescent="0.2">
      <c r="A1707" t="s">
        <v>2493</v>
      </c>
      <c r="B1707" t="s">
        <v>17</v>
      </c>
      <c r="C1707" t="s">
        <v>87</v>
      </c>
      <c r="D1707" t="s">
        <v>438</v>
      </c>
      <c r="E1707" t="s">
        <v>439</v>
      </c>
      <c r="F1707" t="s">
        <v>0</v>
      </c>
      <c r="G1707">
        <v>7</v>
      </c>
      <c r="H1707">
        <v>0</v>
      </c>
      <c r="I1707">
        <v>0</v>
      </c>
      <c r="J1707">
        <v>7</v>
      </c>
      <c r="K1707" s="482">
        <v>1</v>
      </c>
      <c r="L1707" s="482">
        <v>0</v>
      </c>
      <c r="M1707" s="482">
        <v>0</v>
      </c>
    </row>
    <row r="1708" spans="1:13" x14ac:dyDescent="0.2">
      <c r="A1708" t="s">
        <v>2482</v>
      </c>
      <c r="B1708" t="s">
        <v>17</v>
      </c>
      <c r="C1708" t="s">
        <v>87</v>
      </c>
      <c r="D1708" t="s">
        <v>402</v>
      </c>
      <c r="E1708" t="s">
        <v>403</v>
      </c>
      <c r="F1708" t="s">
        <v>0</v>
      </c>
      <c r="G1708">
        <v>24</v>
      </c>
      <c r="H1708">
        <v>0</v>
      </c>
      <c r="I1708">
        <v>0</v>
      </c>
      <c r="J1708">
        <v>24</v>
      </c>
      <c r="K1708" s="482">
        <v>1</v>
      </c>
      <c r="L1708" s="482">
        <v>0</v>
      </c>
      <c r="M1708" s="482">
        <v>0</v>
      </c>
    </row>
    <row r="1709" spans="1:13" x14ac:dyDescent="0.2">
      <c r="A1709" t="s">
        <v>2497</v>
      </c>
      <c r="B1709" t="s">
        <v>17</v>
      </c>
      <c r="C1709" t="s">
        <v>87</v>
      </c>
      <c r="D1709" t="s">
        <v>405</v>
      </c>
      <c r="E1709" t="s">
        <v>406</v>
      </c>
      <c r="F1709" t="s">
        <v>0</v>
      </c>
      <c r="G1709">
        <v>15</v>
      </c>
      <c r="H1709">
        <v>0</v>
      </c>
      <c r="I1709">
        <v>0</v>
      </c>
      <c r="J1709">
        <v>15</v>
      </c>
      <c r="K1709" s="482">
        <v>1</v>
      </c>
      <c r="L1709" s="482">
        <v>0</v>
      </c>
      <c r="M1709" s="482">
        <v>0</v>
      </c>
    </row>
    <row r="1710" spans="1:13" x14ac:dyDescent="0.2">
      <c r="A1710" t="s">
        <v>2498</v>
      </c>
      <c r="B1710" t="s">
        <v>17</v>
      </c>
      <c r="C1710" t="s">
        <v>87</v>
      </c>
      <c r="D1710" t="s">
        <v>444</v>
      </c>
      <c r="E1710" t="s">
        <v>445</v>
      </c>
      <c r="F1710" t="s">
        <v>0</v>
      </c>
      <c r="G1710">
        <v>9</v>
      </c>
      <c r="H1710">
        <v>0</v>
      </c>
      <c r="I1710">
        <v>3</v>
      </c>
      <c r="J1710">
        <v>12</v>
      </c>
      <c r="K1710" s="482">
        <v>0.75</v>
      </c>
      <c r="L1710" s="482">
        <v>0</v>
      </c>
      <c r="M1710" s="482">
        <v>0.25</v>
      </c>
    </row>
    <row r="1711" spans="1:13" x14ac:dyDescent="0.2">
      <c r="A1711" t="s">
        <v>2499</v>
      </c>
      <c r="B1711" t="s">
        <v>17</v>
      </c>
      <c r="C1711" t="s">
        <v>87</v>
      </c>
      <c r="D1711" t="s">
        <v>447</v>
      </c>
      <c r="E1711" t="s">
        <v>448</v>
      </c>
      <c r="F1711" t="s">
        <v>0</v>
      </c>
      <c r="G1711" t="s">
        <v>53</v>
      </c>
      <c r="H1711">
        <v>0</v>
      </c>
      <c r="I1711" t="s">
        <v>53</v>
      </c>
      <c r="J1711" t="s">
        <v>53</v>
      </c>
      <c r="K1711" t="s">
        <v>53</v>
      </c>
      <c r="L1711" t="s">
        <v>53</v>
      </c>
      <c r="M1711" t="s">
        <v>53</v>
      </c>
    </row>
    <row r="1712" spans="1:13" x14ac:dyDescent="0.2">
      <c r="A1712" t="s">
        <v>2500</v>
      </c>
      <c r="B1712" t="s">
        <v>17</v>
      </c>
      <c r="C1712" t="s">
        <v>87</v>
      </c>
      <c r="D1712" t="s">
        <v>450</v>
      </c>
      <c r="E1712" t="s">
        <v>451</v>
      </c>
      <c r="F1712" t="s">
        <v>0</v>
      </c>
      <c r="G1712">
        <v>19</v>
      </c>
      <c r="H1712">
        <v>0</v>
      </c>
      <c r="I1712">
        <v>6</v>
      </c>
      <c r="J1712">
        <v>25</v>
      </c>
      <c r="K1712" s="482">
        <v>0.76</v>
      </c>
      <c r="L1712" s="482">
        <v>0</v>
      </c>
      <c r="M1712" s="482">
        <v>0.24</v>
      </c>
    </row>
    <row r="1713" spans="1:13" x14ac:dyDescent="0.2">
      <c r="A1713" t="s">
        <v>2501</v>
      </c>
      <c r="B1713" t="s">
        <v>17</v>
      </c>
      <c r="C1713" t="s">
        <v>87</v>
      </c>
      <c r="D1713" t="s">
        <v>453</v>
      </c>
      <c r="E1713" t="s">
        <v>454</v>
      </c>
      <c r="F1713" t="s">
        <v>0</v>
      </c>
      <c r="G1713">
        <v>18</v>
      </c>
      <c r="H1713">
        <v>0</v>
      </c>
      <c r="I1713">
        <v>4</v>
      </c>
      <c r="J1713">
        <v>22</v>
      </c>
      <c r="K1713" s="482">
        <v>0.81799999999999995</v>
      </c>
      <c r="L1713" s="482">
        <v>0</v>
      </c>
      <c r="M1713" s="482">
        <v>0.182</v>
      </c>
    </row>
    <row r="1714" spans="1:13" x14ac:dyDescent="0.2">
      <c r="A1714" t="s">
        <v>2502</v>
      </c>
      <c r="B1714" t="s">
        <v>17</v>
      </c>
      <c r="C1714" t="s">
        <v>87</v>
      </c>
      <c r="D1714" t="s">
        <v>456</v>
      </c>
      <c r="E1714" t="s">
        <v>457</v>
      </c>
      <c r="F1714" t="s">
        <v>0</v>
      </c>
      <c r="G1714">
        <v>16</v>
      </c>
      <c r="H1714">
        <v>0</v>
      </c>
      <c r="I1714">
        <v>2</v>
      </c>
      <c r="J1714">
        <v>18</v>
      </c>
      <c r="K1714" s="482">
        <v>0.88900000000000001</v>
      </c>
      <c r="L1714" s="482">
        <v>0</v>
      </c>
      <c r="M1714" s="482">
        <v>0.111</v>
      </c>
    </row>
    <row r="1715" spans="1:13" x14ac:dyDescent="0.2">
      <c r="A1715" t="s">
        <v>2503</v>
      </c>
      <c r="B1715" t="s">
        <v>17</v>
      </c>
      <c r="C1715" t="s">
        <v>87</v>
      </c>
      <c r="D1715" t="s">
        <v>459</v>
      </c>
      <c r="E1715" t="s">
        <v>460</v>
      </c>
      <c r="F1715" t="s">
        <v>0</v>
      </c>
      <c r="G1715">
        <v>13</v>
      </c>
      <c r="H1715">
        <v>0</v>
      </c>
      <c r="I1715">
        <v>6</v>
      </c>
      <c r="J1715">
        <v>19</v>
      </c>
      <c r="K1715" s="482">
        <v>0.68400000000000005</v>
      </c>
      <c r="L1715" s="482">
        <v>0</v>
      </c>
      <c r="M1715" s="482">
        <v>0.316</v>
      </c>
    </row>
    <row r="1716" spans="1:13" x14ac:dyDescent="0.2">
      <c r="A1716" t="s">
        <v>2504</v>
      </c>
      <c r="B1716" t="s">
        <v>17</v>
      </c>
      <c r="C1716" t="s">
        <v>87</v>
      </c>
      <c r="D1716" t="s">
        <v>462</v>
      </c>
      <c r="E1716" t="s">
        <v>463</v>
      </c>
      <c r="F1716" t="s">
        <v>0</v>
      </c>
      <c r="G1716">
        <v>22</v>
      </c>
      <c r="H1716">
        <v>0</v>
      </c>
      <c r="I1716">
        <v>2</v>
      </c>
      <c r="J1716">
        <v>24</v>
      </c>
      <c r="K1716" s="482">
        <v>0.91700000000000004</v>
      </c>
      <c r="L1716" s="482">
        <v>0</v>
      </c>
      <c r="M1716" s="482">
        <v>8.3000000000000004E-2</v>
      </c>
    </row>
    <row r="1717" spans="1:13" x14ac:dyDescent="0.2">
      <c r="A1717" t="s">
        <v>2535</v>
      </c>
      <c r="B1717" t="s">
        <v>17</v>
      </c>
      <c r="C1717" t="s">
        <v>87</v>
      </c>
      <c r="D1717" t="s">
        <v>399</v>
      </c>
      <c r="E1717" t="s">
        <v>400</v>
      </c>
      <c r="F1717" t="s">
        <v>0</v>
      </c>
      <c r="G1717">
        <v>79</v>
      </c>
      <c r="H1717">
        <v>0</v>
      </c>
      <c r="I1717">
        <v>14</v>
      </c>
      <c r="J1717">
        <v>93</v>
      </c>
      <c r="K1717" s="482">
        <v>0.84899999999999998</v>
      </c>
      <c r="L1717" s="482">
        <v>0</v>
      </c>
      <c r="M1717" s="482">
        <v>0.151</v>
      </c>
    </row>
    <row r="1718" spans="1:13" x14ac:dyDescent="0.2">
      <c r="A1718" t="s">
        <v>2514</v>
      </c>
      <c r="B1718" t="s">
        <v>17</v>
      </c>
      <c r="C1718" t="s">
        <v>87</v>
      </c>
      <c r="D1718" t="s">
        <v>495</v>
      </c>
      <c r="E1718" t="s">
        <v>496</v>
      </c>
      <c r="F1718" t="s">
        <v>0</v>
      </c>
      <c r="G1718">
        <v>35</v>
      </c>
      <c r="H1718">
        <v>0</v>
      </c>
      <c r="I1718">
        <v>10</v>
      </c>
      <c r="J1718">
        <v>45</v>
      </c>
      <c r="K1718" s="482">
        <v>0.77800000000000002</v>
      </c>
      <c r="L1718" s="482">
        <v>0</v>
      </c>
      <c r="M1718" s="482">
        <v>0.222</v>
      </c>
    </row>
    <row r="1719" spans="1:13" x14ac:dyDescent="0.2">
      <c r="A1719" t="s">
        <v>2515</v>
      </c>
      <c r="B1719" t="s">
        <v>17</v>
      </c>
      <c r="C1719" t="s">
        <v>87</v>
      </c>
      <c r="D1719" t="s">
        <v>498</v>
      </c>
      <c r="E1719" t="s">
        <v>499</v>
      </c>
      <c r="F1719" t="s">
        <v>0</v>
      </c>
      <c r="G1719" t="s">
        <v>53</v>
      </c>
      <c r="H1719">
        <v>0</v>
      </c>
      <c r="I1719">
        <v>0</v>
      </c>
      <c r="J1719" t="s">
        <v>53</v>
      </c>
      <c r="K1719" t="s">
        <v>53</v>
      </c>
      <c r="L1719" t="s">
        <v>53</v>
      </c>
      <c r="M1719" t="s">
        <v>53</v>
      </c>
    </row>
    <row r="1720" spans="1:13" x14ac:dyDescent="0.2">
      <c r="A1720" t="s">
        <v>2516</v>
      </c>
      <c r="B1720" t="s">
        <v>17</v>
      </c>
      <c r="C1720" t="s">
        <v>87</v>
      </c>
      <c r="D1720" t="s">
        <v>501</v>
      </c>
      <c r="E1720" t="s">
        <v>502</v>
      </c>
      <c r="F1720" t="s">
        <v>0</v>
      </c>
      <c r="G1720">
        <v>17</v>
      </c>
      <c r="H1720">
        <v>0</v>
      </c>
      <c r="I1720">
        <v>5</v>
      </c>
      <c r="J1720">
        <v>22</v>
      </c>
      <c r="K1720" s="482">
        <v>0.77300000000000002</v>
      </c>
      <c r="L1720" s="482">
        <v>0</v>
      </c>
      <c r="M1720" s="482">
        <v>0.22700000000000001</v>
      </c>
    </row>
    <row r="1721" spans="1:13" x14ac:dyDescent="0.2">
      <c r="A1721" t="s">
        <v>2517</v>
      </c>
      <c r="B1721" t="s">
        <v>17</v>
      </c>
      <c r="C1721" t="s">
        <v>87</v>
      </c>
      <c r="D1721" t="s">
        <v>504</v>
      </c>
      <c r="E1721" t="s">
        <v>505</v>
      </c>
      <c r="F1721" t="s">
        <v>0</v>
      </c>
      <c r="G1721">
        <v>43</v>
      </c>
      <c r="H1721">
        <v>0</v>
      </c>
      <c r="I1721">
        <v>7</v>
      </c>
      <c r="J1721">
        <v>50</v>
      </c>
      <c r="K1721" s="482">
        <v>0.86</v>
      </c>
      <c r="L1721" s="482">
        <v>0</v>
      </c>
      <c r="M1721" s="482">
        <v>0.14000000000000001</v>
      </c>
    </row>
    <row r="1722" spans="1:13" x14ac:dyDescent="0.2">
      <c r="A1722" t="s">
        <v>2518</v>
      </c>
      <c r="B1722" t="s">
        <v>17</v>
      </c>
      <c r="C1722" t="s">
        <v>87</v>
      </c>
      <c r="D1722" t="s">
        <v>507</v>
      </c>
      <c r="E1722" t="s">
        <v>508</v>
      </c>
      <c r="F1722" t="s">
        <v>0</v>
      </c>
      <c r="G1722">
        <v>77</v>
      </c>
      <c r="H1722">
        <v>0</v>
      </c>
      <c r="I1722">
        <v>15</v>
      </c>
      <c r="J1722">
        <v>92</v>
      </c>
      <c r="K1722" s="482">
        <v>0.83699999999999997</v>
      </c>
      <c r="L1722" s="482">
        <v>0</v>
      </c>
      <c r="M1722" s="482">
        <v>0.16300000000000001</v>
      </c>
    </row>
    <row r="1723" spans="1:13" x14ac:dyDescent="0.2">
      <c r="A1723" t="s">
        <v>2519</v>
      </c>
      <c r="B1723" t="s">
        <v>17</v>
      </c>
      <c r="C1723" t="s">
        <v>87</v>
      </c>
      <c r="D1723" t="s">
        <v>510</v>
      </c>
      <c r="E1723" t="s">
        <v>511</v>
      </c>
      <c r="F1723" t="s">
        <v>0</v>
      </c>
      <c r="G1723" t="s">
        <v>53</v>
      </c>
      <c r="H1723">
        <v>0</v>
      </c>
      <c r="I1723" t="s">
        <v>53</v>
      </c>
      <c r="J1723" t="s">
        <v>53</v>
      </c>
      <c r="K1723" t="s">
        <v>53</v>
      </c>
      <c r="L1723" t="s">
        <v>53</v>
      </c>
      <c r="M1723" t="s">
        <v>53</v>
      </c>
    </row>
    <row r="1724" spans="1:13" x14ac:dyDescent="0.2">
      <c r="A1724" t="s">
        <v>2520</v>
      </c>
      <c r="B1724" t="s">
        <v>17</v>
      </c>
      <c r="C1724" t="s">
        <v>87</v>
      </c>
      <c r="D1724" t="s">
        <v>513</v>
      </c>
      <c r="E1724" t="s">
        <v>514</v>
      </c>
      <c r="F1724" t="s">
        <v>0</v>
      </c>
      <c r="G1724">
        <v>14</v>
      </c>
      <c r="H1724">
        <v>0</v>
      </c>
      <c r="I1724">
        <v>3</v>
      </c>
      <c r="J1724">
        <v>17</v>
      </c>
      <c r="K1724" s="482">
        <v>0.82399999999999995</v>
      </c>
      <c r="L1724" s="482">
        <v>0</v>
      </c>
      <c r="M1724" s="482">
        <v>0.17599999999999999</v>
      </c>
    </row>
    <row r="1725" spans="1:13" x14ac:dyDescent="0.2">
      <c r="A1725" t="s">
        <v>2521</v>
      </c>
      <c r="B1725" t="s">
        <v>17</v>
      </c>
      <c r="C1725" t="s">
        <v>87</v>
      </c>
      <c r="D1725" t="s">
        <v>516</v>
      </c>
      <c r="E1725" t="s">
        <v>517</v>
      </c>
      <c r="F1725" t="s">
        <v>0</v>
      </c>
      <c r="G1725">
        <v>10</v>
      </c>
      <c r="H1725">
        <v>0</v>
      </c>
      <c r="I1725">
        <v>2</v>
      </c>
      <c r="J1725">
        <v>12</v>
      </c>
      <c r="K1725" s="482">
        <v>0.83299999999999996</v>
      </c>
      <c r="L1725" s="482">
        <v>0</v>
      </c>
      <c r="M1725" s="482">
        <v>0.16700000000000001</v>
      </c>
    </row>
    <row r="1726" spans="1:13" x14ac:dyDescent="0.2">
      <c r="A1726" t="s">
        <v>2522</v>
      </c>
      <c r="B1726" t="s">
        <v>17</v>
      </c>
      <c r="C1726" t="s">
        <v>87</v>
      </c>
      <c r="D1726" t="s">
        <v>519</v>
      </c>
      <c r="E1726" t="s">
        <v>520</v>
      </c>
      <c r="F1726" t="s">
        <v>0</v>
      </c>
      <c r="G1726">
        <v>15</v>
      </c>
      <c r="H1726">
        <v>0</v>
      </c>
      <c r="I1726">
        <v>1</v>
      </c>
      <c r="J1726">
        <v>16</v>
      </c>
      <c r="K1726" s="482">
        <v>0.93799999999999994</v>
      </c>
      <c r="L1726" s="482">
        <v>0</v>
      </c>
      <c r="M1726" s="482">
        <v>6.3E-2</v>
      </c>
    </row>
    <row r="1727" spans="1:13" x14ac:dyDescent="0.2">
      <c r="A1727" t="s">
        <v>2523</v>
      </c>
      <c r="B1727" t="s">
        <v>17</v>
      </c>
      <c r="C1727" t="s">
        <v>87</v>
      </c>
      <c r="D1727" t="s">
        <v>522</v>
      </c>
      <c r="E1727" t="s">
        <v>523</v>
      </c>
      <c r="F1727" t="s">
        <v>0</v>
      </c>
      <c r="G1727">
        <v>25</v>
      </c>
      <c r="H1727">
        <v>0</v>
      </c>
      <c r="I1727">
        <v>19</v>
      </c>
      <c r="J1727">
        <v>44</v>
      </c>
      <c r="K1727" s="482">
        <v>0.56799999999999995</v>
      </c>
      <c r="L1727" s="482">
        <v>0</v>
      </c>
      <c r="M1727" s="482">
        <v>0.432</v>
      </c>
    </row>
    <row r="1728" spans="1:13" x14ac:dyDescent="0.2">
      <c r="A1728" t="s">
        <v>2524</v>
      </c>
      <c r="B1728" t="s">
        <v>17</v>
      </c>
      <c r="C1728" t="s">
        <v>87</v>
      </c>
      <c r="D1728" t="s">
        <v>525</v>
      </c>
      <c r="E1728" t="s">
        <v>526</v>
      </c>
      <c r="F1728" t="s">
        <v>0</v>
      </c>
      <c r="G1728">
        <v>39</v>
      </c>
      <c r="H1728">
        <v>0</v>
      </c>
      <c r="I1728">
        <v>6</v>
      </c>
      <c r="J1728">
        <v>45</v>
      </c>
      <c r="K1728" s="482">
        <v>0.86699999999999999</v>
      </c>
      <c r="L1728" s="482">
        <v>0</v>
      </c>
      <c r="M1728" s="482">
        <v>0.13300000000000001</v>
      </c>
    </row>
    <row r="1729" spans="1:13" x14ac:dyDescent="0.2">
      <c r="A1729" t="s">
        <v>2525</v>
      </c>
      <c r="B1729" t="s">
        <v>17</v>
      </c>
      <c r="C1729" t="s">
        <v>87</v>
      </c>
      <c r="D1729" t="s">
        <v>528</v>
      </c>
      <c r="E1729" t="s">
        <v>529</v>
      </c>
      <c r="F1729" t="s">
        <v>0</v>
      </c>
      <c r="G1729">
        <v>87</v>
      </c>
      <c r="H1729">
        <v>0</v>
      </c>
      <c r="I1729">
        <v>15</v>
      </c>
      <c r="J1729">
        <v>102</v>
      </c>
      <c r="K1729" s="482">
        <v>0.85299999999999998</v>
      </c>
      <c r="L1729" s="482">
        <v>0</v>
      </c>
      <c r="M1729" s="482">
        <v>0.14699999999999999</v>
      </c>
    </row>
    <row r="1730" spans="1:13" x14ac:dyDescent="0.2">
      <c r="A1730" t="s">
        <v>2526</v>
      </c>
      <c r="B1730" t="s">
        <v>17</v>
      </c>
      <c r="C1730" t="s">
        <v>87</v>
      </c>
      <c r="D1730" t="s">
        <v>534</v>
      </c>
      <c r="E1730" t="s">
        <v>535</v>
      </c>
      <c r="F1730" t="s">
        <v>0</v>
      </c>
      <c r="G1730">
        <v>26</v>
      </c>
      <c r="H1730">
        <v>0</v>
      </c>
      <c r="I1730">
        <v>3</v>
      </c>
      <c r="J1730">
        <v>29</v>
      </c>
      <c r="K1730" s="482">
        <v>0.89700000000000002</v>
      </c>
      <c r="L1730" s="482">
        <v>0</v>
      </c>
      <c r="M1730" s="482">
        <v>0.10299999999999999</v>
      </c>
    </row>
    <row r="1731" spans="1:13" x14ac:dyDescent="0.2">
      <c r="A1731" t="s">
        <v>2527</v>
      </c>
      <c r="B1731" t="s">
        <v>17</v>
      </c>
      <c r="C1731" t="s">
        <v>87</v>
      </c>
      <c r="D1731" t="s">
        <v>537</v>
      </c>
      <c r="E1731" t="s">
        <v>538</v>
      </c>
      <c r="F1731" t="s">
        <v>0</v>
      </c>
      <c r="G1731">
        <v>90</v>
      </c>
      <c r="H1731">
        <v>0</v>
      </c>
      <c r="I1731">
        <v>16</v>
      </c>
      <c r="J1731">
        <v>106</v>
      </c>
      <c r="K1731" s="482">
        <v>0.84899999999999998</v>
      </c>
      <c r="L1731" s="482">
        <v>0</v>
      </c>
      <c r="M1731" s="482">
        <v>0.151</v>
      </c>
    </row>
    <row r="1732" spans="1:13" x14ac:dyDescent="0.2">
      <c r="A1732" t="s">
        <v>2528</v>
      </c>
      <c r="B1732" t="s">
        <v>17</v>
      </c>
      <c r="C1732" t="s">
        <v>87</v>
      </c>
      <c r="D1732" t="s">
        <v>540</v>
      </c>
      <c r="E1732" t="s">
        <v>541</v>
      </c>
      <c r="F1732" t="s">
        <v>0</v>
      </c>
      <c r="G1732" t="s">
        <v>53</v>
      </c>
      <c r="H1732">
        <v>0</v>
      </c>
      <c r="I1732">
        <v>0</v>
      </c>
      <c r="J1732" t="s">
        <v>53</v>
      </c>
      <c r="K1732" t="s">
        <v>53</v>
      </c>
      <c r="L1732" t="s">
        <v>53</v>
      </c>
      <c r="M1732" t="s">
        <v>53</v>
      </c>
    </row>
    <row r="1733" spans="1:13" x14ac:dyDescent="0.2">
      <c r="A1733" t="s">
        <v>2529</v>
      </c>
      <c r="B1733" t="s">
        <v>17</v>
      </c>
      <c r="C1733" t="s">
        <v>87</v>
      </c>
      <c r="D1733" t="s">
        <v>543</v>
      </c>
      <c r="E1733" t="s">
        <v>544</v>
      </c>
      <c r="F1733" t="s">
        <v>0</v>
      </c>
      <c r="G1733">
        <v>4</v>
      </c>
      <c r="H1733">
        <v>0</v>
      </c>
      <c r="I1733">
        <v>2</v>
      </c>
      <c r="J1733">
        <v>6</v>
      </c>
      <c r="K1733" s="482">
        <v>0.66700000000000004</v>
      </c>
      <c r="L1733" s="482">
        <v>0</v>
      </c>
      <c r="M1733" s="482">
        <v>0.33300000000000002</v>
      </c>
    </row>
    <row r="1734" spans="1:13" x14ac:dyDescent="0.2">
      <c r="A1734" t="s">
        <v>2530</v>
      </c>
      <c r="B1734" t="s">
        <v>17</v>
      </c>
      <c r="C1734" t="s">
        <v>87</v>
      </c>
      <c r="D1734" t="s">
        <v>546</v>
      </c>
      <c r="E1734" t="s">
        <v>547</v>
      </c>
      <c r="F1734" t="s">
        <v>0</v>
      </c>
      <c r="G1734">
        <v>18</v>
      </c>
      <c r="H1734">
        <v>0</v>
      </c>
      <c r="I1734">
        <v>4</v>
      </c>
      <c r="J1734">
        <v>22</v>
      </c>
      <c r="K1734" s="482">
        <v>0.81799999999999995</v>
      </c>
      <c r="L1734" s="482">
        <v>0</v>
      </c>
      <c r="M1734" s="482">
        <v>0.182</v>
      </c>
    </row>
    <row r="1735" spans="1:13" x14ac:dyDescent="0.2">
      <c r="A1735" t="s">
        <v>2531</v>
      </c>
      <c r="B1735" t="s">
        <v>17</v>
      </c>
      <c r="C1735" t="s">
        <v>87</v>
      </c>
      <c r="D1735" t="s">
        <v>549</v>
      </c>
      <c r="E1735" t="s">
        <v>550</v>
      </c>
      <c r="F1735" t="s">
        <v>0</v>
      </c>
      <c r="G1735">
        <v>11</v>
      </c>
      <c r="H1735">
        <v>0</v>
      </c>
      <c r="I1735">
        <v>2</v>
      </c>
      <c r="J1735">
        <v>13</v>
      </c>
      <c r="K1735" s="482">
        <v>0.84599999999999997</v>
      </c>
      <c r="L1735" s="482">
        <v>0</v>
      </c>
      <c r="M1735" s="482">
        <v>0.154</v>
      </c>
    </row>
    <row r="1736" spans="1:13" x14ac:dyDescent="0.2">
      <c r="A1736" t="s">
        <v>2532</v>
      </c>
      <c r="B1736" t="s">
        <v>17</v>
      </c>
      <c r="C1736" t="s">
        <v>87</v>
      </c>
      <c r="D1736" t="s">
        <v>552</v>
      </c>
      <c r="E1736" t="s">
        <v>337</v>
      </c>
      <c r="F1736" t="s">
        <v>0</v>
      </c>
      <c r="G1736">
        <v>37</v>
      </c>
      <c r="H1736">
        <v>0</v>
      </c>
      <c r="I1736">
        <v>11</v>
      </c>
      <c r="J1736">
        <v>48</v>
      </c>
      <c r="K1736" s="482">
        <v>0.77100000000000002</v>
      </c>
      <c r="L1736" s="482">
        <v>0</v>
      </c>
      <c r="M1736" s="482">
        <v>0.22900000000000001</v>
      </c>
    </row>
    <row r="1737" spans="1:13" x14ac:dyDescent="0.2">
      <c r="A1737" t="s">
        <v>2538</v>
      </c>
      <c r="B1737" t="s">
        <v>17</v>
      </c>
      <c r="C1737" t="s">
        <v>87</v>
      </c>
      <c r="D1737" t="s">
        <v>569</v>
      </c>
      <c r="E1737" t="s">
        <v>339</v>
      </c>
      <c r="F1737" t="s">
        <v>0</v>
      </c>
      <c r="G1737" t="s">
        <v>53</v>
      </c>
      <c r="H1737">
        <v>0</v>
      </c>
      <c r="I1737">
        <v>0</v>
      </c>
      <c r="J1737" t="s">
        <v>53</v>
      </c>
      <c r="K1737" t="s">
        <v>53</v>
      </c>
      <c r="L1737" t="s">
        <v>53</v>
      </c>
      <c r="M1737" t="s">
        <v>53</v>
      </c>
    </row>
    <row r="1738" spans="1:13" x14ac:dyDescent="0.2">
      <c r="A1738" t="s">
        <v>2539</v>
      </c>
      <c r="B1738" t="s">
        <v>17</v>
      </c>
      <c r="C1738" t="s">
        <v>87</v>
      </c>
      <c r="D1738" t="s">
        <v>571</v>
      </c>
      <c r="E1738" t="s">
        <v>572</v>
      </c>
      <c r="F1738" t="s">
        <v>0</v>
      </c>
      <c r="G1738">
        <v>8</v>
      </c>
      <c r="H1738">
        <v>0</v>
      </c>
      <c r="I1738">
        <v>1</v>
      </c>
      <c r="J1738">
        <v>9</v>
      </c>
      <c r="K1738" s="482">
        <v>0.88900000000000001</v>
      </c>
      <c r="L1738" s="482">
        <v>0</v>
      </c>
      <c r="M1738" s="482">
        <v>0.111</v>
      </c>
    </row>
    <row r="1739" spans="1:13" x14ac:dyDescent="0.2">
      <c r="A1739" t="s">
        <v>2540</v>
      </c>
      <c r="B1739" t="s">
        <v>17</v>
      </c>
      <c r="C1739" t="s">
        <v>87</v>
      </c>
      <c r="D1739" t="s">
        <v>574</v>
      </c>
      <c r="E1739" t="s">
        <v>575</v>
      </c>
      <c r="F1739" t="s">
        <v>0</v>
      </c>
      <c r="G1739">
        <v>14</v>
      </c>
      <c r="H1739">
        <v>0</v>
      </c>
      <c r="I1739">
        <v>6</v>
      </c>
      <c r="J1739">
        <v>20</v>
      </c>
      <c r="K1739" s="482">
        <v>0.7</v>
      </c>
      <c r="L1739" s="482">
        <v>0</v>
      </c>
      <c r="M1739" s="482">
        <v>0.3</v>
      </c>
    </row>
    <row r="1740" spans="1:13" x14ac:dyDescent="0.2">
      <c r="A1740" t="s">
        <v>2541</v>
      </c>
      <c r="B1740" t="s">
        <v>17</v>
      </c>
      <c r="C1740" t="s">
        <v>87</v>
      </c>
      <c r="D1740" t="s">
        <v>577</v>
      </c>
      <c r="E1740" t="s">
        <v>578</v>
      </c>
      <c r="F1740" t="s">
        <v>0</v>
      </c>
      <c r="G1740">
        <v>10</v>
      </c>
      <c r="H1740">
        <v>0</v>
      </c>
      <c r="I1740">
        <v>2</v>
      </c>
      <c r="J1740">
        <v>12</v>
      </c>
      <c r="K1740" s="482">
        <v>0.83299999999999996</v>
      </c>
      <c r="L1740" s="482">
        <v>0</v>
      </c>
      <c r="M1740" s="482">
        <v>0.16700000000000001</v>
      </c>
    </row>
    <row r="1741" spans="1:13" x14ac:dyDescent="0.2">
      <c r="A1741" t="s">
        <v>2542</v>
      </c>
      <c r="B1741" t="s">
        <v>17</v>
      </c>
      <c r="C1741" t="s">
        <v>87</v>
      </c>
      <c r="D1741" t="s">
        <v>580</v>
      </c>
      <c r="E1741" t="s">
        <v>581</v>
      </c>
      <c r="F1741" t="s">
        <v>0</v>
      </c>
      <c r="G1741">
        <v>25</v>
      </c>
      <c r="H1741">
        <v>0</v>
      </c>
      <c r="I1741">
        <v>14</v>
      </c>
      <c r="J1741">
        <v>39</v>
      </c>
      <c r="K1741" s="482">
        <v>0.64100000000000001</v>
      </c>
      <c r="L1741" s="482">
        <v>0</v>
      </c>
      <c r="M1741" s="482">
        <v>0.35899999999999999</v>
      </c>
    </row>
    <row r="1742" spans="1:13" x14ac:dyDescent="0.2">
      <c r="A1742" t="s">
        <v>2543</v>
      </c>
      <c r="B1742" t="s">
        <v>17</v>
      </c>
      <c r="C1742" t="s">
        <v>87</v>
      </c>
      <c r="D1742" t="s">
        <v>583</v>
      </c>
      <c r="E1742" t="s">
        <v>584</v>
      </c>
      <c r="F1742" t="s">
        <v>0</v>
      </c>
      <c r="G1742">
        <v>7</v>
      </c>
      <c r="H1742">
        <v>0</v>
      </c>
      <c r="I1742">
        <v>2</v>
      </c>
      <c r="J1742">
        <v>9</v>
      </c>
      <c r="K1742" s="482">
        <v>0.77800000000000002</v>
      </c>
      <c r="L1742" s="482">
        <v>0</v>
      </c>
      <c r="M1742" s="482">
        <v>0.222</v>
      </c>
    </row>
    <row r="1743" spans="1:13" x14ac:dyDescent="0.2">
      <c r="A1743" t="s">
        <v>2537</v>
      </c>
      <c r="B1743" t="s">
        <v>17</v>
      </c>
      <c r="C1743" t="s">
        <v>87</v>
      </c>
      <c r="D1743" t="s">
        <v>566</v>
      </c>
      <c r="E1743" t="s">
        <v>567</v>
      </c>
      <c r="F1743" t="s">
        <v>0</v>
      </c>
      <c r="G1743">
        <v>40</v>
      </c>
      <c r="H1743">
        <v>0</v>
      </c>
      <c r="I1743">
        <v>9</v>
      </c>
      <c r="J1743">
        <v>49</v>
      </c>
      <c r="K1743" s="482">
        <v>0.81599999999999995</v>
      </c>
      <c r="L1743" s="482">
        <v>0</v>
      </c>
      <c r="M1743" s="482">
        <v>0.184</v>
      </c>
    </row>
    <row r="1744" spans="1:13" x14ac:dyDescent="0.2">
      <c r="A1744" t="s">
        <v>2544</v>
      </c>
      <c r="B1744" t="s">
        <v>17</v>
      </c>
      <c r="C1744" t="s">
        <v>87</v>
      </c>
      <c r="D1744" t="s">
        <v>586</v>
      </c>
      <c r="E1744" t="s">
        <v>587</v>
      </c>
      <c r="F1744" t="s">
        <v>0</v>
      </c>
      <c r="G1744">
        <v>6</v>
      </c>
      <c r="H1744">
        <v>0</v>
      </c>
      <c r="I1744">
        <v>2</v>
      </c>
      <c r="J1744">
        <v>8</v>
      </c>
      <c r="K1744" s="482">
        <v>0.75</v>
      </c>
      <c r="L1744" s="482">
        <v>0</v>
      </c>
      <c r="M1744" s="482">
        <v>0.25</v>
      </c>
    </row>
    <row r="1745" spans="1:13" x14ac:dyDescent="0.2">
      <c r="A1745" t="s">
        <v>2533</v>
      </c>
      <c r="B1745" t="s">
        <v>17</v>
      </c>
      <c r="C1745" t="s">
        <v>87</v>
      </c>
      <c r="D1745" t="s">
        <v>554</v>
      </c>
      <c r="E1745" t="s">
        <v>555</v>
      </c>
      <c r="F1745" t="s">
        <v>0</v>
      </c>
      <c r="G1745">
        <v>10</v>
      </c>
      <c r="H1745">
        <v>0</v>
      </c>
      <c r="I1745">
        <v>3</v>
      </c>
      <c r="J1745">
        <v>13</v>
      </c>
      <c r="K1745" s="482">
        <v>0.76900000000000002</v>
      </c>
      <c r="L1745" s="482">
        <v>0</v>
      </c>
      <c r="M1745" s="482">
        <v>0.23100000000000001</v>
      </c>
    </row>
    <row r="1746" spans="1:13" x14ac:dyDescent="0.2">
      <c r="A1746" t="s">
        <v>2534</v>
      </c>
      <c r="B1746" t="s">
        <v>17</v>
      </c>
      <c r="C1746" t="s">
        <v>87</v>
      </c>
      <c r="D1746" t="s">
        <v>557</v>
      </c>
      <c r="E1746" t="s">
        <v>558</v>
      </c>
      <c r="F1746" t="s">
        <v>0</v>
      </c>
      <c r="G1746">
        <v>23</v>
      </c>
      <c r="H1746">
        <v>0</v>
      </c>
      <c r="I1746">
        <v>15</v>
      </c>
      <c r="J1746">
        <v>38</v>
      </c>
      <c r="K1746" s="482">
        <v>0.60499999999999998</v>
      </c>
      <c r="L1746" s="482">
        <v>0</v>
      </c>
      <c r="M1746" s="482">
        <v>0.39500000000000002</v>
      </c>
    </row>
    <row r="1747" spans="1:13" x14ac:dyDescent="0.2">
      <c r="A1747" t="s">
        <v>2495</v>
      </c>
      <c r="B1747" t="s">
        <v>17</v>
      </c>
      <c r="C1747" t="s">
        <v>87</v>
      </c>
      <c r="D1747" t="s">
        <v>560</v>
      </c>
      <c r="E1747" t="s">
        <v>561</v>
      </c>
      <c r="F1747" t="s">
        <v>0</v>
      </c>
      <c r="G1747">
        <v>24</v>
      </c>
      <c r="H1747">
        <v>0</v>
      </c>
      <c r="I1747">
        <v>4</v>
      </c>
      <c r="J1747">
        <v>28</v>
      </c>
      <c r="K1747" s="482">
        <v>0.85699999999999998</v>
      </c>
      <c r="L1747" s="482">
        <v>0</v>
      </c>
      <c r="M1747" s="482">
        <v>0.14299999999999999</v>
      </c>
    </row>
    <row r="1748" spans="1:13" x14ac:dyDescent="0.2">
      <c r="A1748" t="s">
        <v>2483</v>
      </c>
      <c r="B1748" t="s">
        <v>17</v>
      </c>
      <c r="C1748" t="s">
        <v>87</v>
      </c>
      <c r="D1748" t="s">
        <v>408</v>
      </c>
      <c r="E1748" t="s">
        <v>409</v>
      </c>
      <c r="F1748" t="s">
        <v>0</v>
      </c>
      <c r="G1748">
        <v>13</v>
      </c>
      <c r="H1748">
        <v>0</v>
      </c>
      <c r="I1748">
        <v>3</v>
      </c>
      <c r="J1748">
        <v>16</v>
      </c>
      <c r="K1748" s="482">
        <v>0.81299999999999994</v>
      </c>
      <c r="L1748" s="482">
        <v>0</v>
      </c>
      <c r="M1748" s="482">
        <v>0.188</v>
      </c>
    </row>
    <row r="1749" spans="1:13" x14ac:dyDescent="0.2">
      <c r="A1749" t="s">
        <v>2481</v>
      </c>
      <c r="B1749" t="s">
        <v>17</v>
      </c>
      <c r="C1749" t="s">
        <v>87</v>
      </c>
      <c r="D1749" t="s">
        <v>396</v>
      </c>
      <c r="E1749" t="s">
        <v>397</v>
      </c>
      <c r="F1749" t="s">
        <v>0</v>
      </c>
      <c r="G1749">
        <v>76</v>
      </c>
      <c r="H1749">
        <v>0</v>
      </c>
      <c r="I1749">
        <v>13</v>
      </c>
      <c r="J1749">
        <v>89</v>
      </c>
      <c r="K1749" s="482">
        <v>0.85399999999999998</v>
      </c>
      <c r="L1749" s="482">
        <v>0</v>
      </c>
      <c r="M1749" s="482">
        <v>0.14599999999999999</v>
      </c>
    </row>
    <row r="1750" spans="1:13" x14ac:dyDescent="0.2">
      <c r="A1750" t="s">
        <v>2595</v>
      </c>
      <c r="B1750" t="s">
        <v>17</v>
      </c>
      <c r="C1750" t="s">
        <v>87</v>
      </c>
      <c r="D1750" t="s">
        <v>752</v>
      </c>
      <c r="E1750" t="s">
        <v>753</v>
      </c>
      <c r="F1750" t="s">
        <v>0</v>
      </c>
      <c r="G1750">
        <v>13</v>
      </c>
      <c r="H1750">
        <v>0</v>
      </c>
      <c r="I1750">
        <v>4</v>
      </c>
      <c r="J1750">
        <v>17</v>
      </c>
      <c r="K1750" s="482">
        <v>0.76500000000000001</v>
      </c>
      <c r="L1750" s="482">
        <v>0</v>
      </c>
      <c r="M1750" s="482">
        <v>0.23499999999999999</v>
      </c>
    </row>
    <row r="1751" spans="1:13" x14ac:dyDescent="0.2">
      <c r="A1751" t="s">
        <v>2596</v>
      </c>
      <c r="B1751" t="s">
        <v>17</v>
      </c>
      <c r="C1751" t="s">
        <v>87</v>
      </c>
      <c r="D1751" t="s">
        <v>755</v>
      </c>
      <c r="E1751" t="s">
        <v>756</v>
      </c>
      <c r="F1751" t="s">
        <v>0</v>
      </c>
      <c r="G1751" t="s">
        <v>53</v>
      </c>
      <c r="H1751">
        <v>0</v>
      </c>
      <c r="I1751">
        <v>0</v>
      </c>
      <c r="J1751" t="s">
        <v>53</v>
      </c>
      <c r="K1751" t="s">
        <v>53</v>
      </c>
      <c r="L1751" t="s">
        <v>53</v>
      </c>
      <c r="M1751" t="s">
        <v>53</v>
      </c>
    </row>
    <row r="1752" spans="1:13" x14ac:dyDescent="0.2">
      <c r="A1752" t="s">
        <v>2597</v>
      </c>
      <c r="B1752" t="s">
        <v>17</v>
      </c>
      <c r="C1752" t="s">
        <v>87</v>
      </c>
      <c r="D1752" t="s">
        <v>758</v>
      </c>
      <c r="E1752" t="s">
        <v>759</v>
      </c>
      <c r="F1752" t="s">
        <v>0</v>
      </c>
      <c r="G1752">
        <v>53</v>
      </c>
      <c r="H1752">
        <v>0</v>
      </c>
      <c r="I1752">
        <v>4</v>
      </c>
      <c r="J1752">
        <v>57</v>
      </c>
      <c r="K1752" s="482">
        <v>0.93</v>
      </c>
      <c r="L1752" s="482">
        <v>0</v>
      </c>
      <c r="M1752" s="482">
        <v>7.0000000000000007E-2</v>
      </c>
    </row>
    <row r="1753" spans="1:13" x14ac:dyDescent="0.2">
      <c r="A1753" t="s">
        <v>2598</v>
      </c>
      <c r="B1753" t="s">
        <v>17</v>
      </c>
      <c r="C1753" t="s">
        <v>87</v>
      </c>
      <c r="D1753" t="s">
        <v>761</v>
      </c>
      <c r="E1753" t="s">
        <v>762</v>
      </c>
      <c r="F1753" t="s">
        <v>0</v>
      </c>
      <c r="G1753">
        <v>5</v>
      </c>
      <c r="H1753">
        <v>0</v>
      </c>
      <c r="I1753">
        <v>1</v>
      </c>
      <c r="J1753">
        <v>6</v>
      </c>
      <c r="K1753" s="482">
        <v>0.83299999999999996</v>
      </c>
      <c r="L1753" s="482">
        <v>0</v>
      </c>
      <c r="M1753" s="482">
        <v>0.16700000000000001</v>
      </c>
    </row>
    <row r="1754" spans="1:13" x14ac:dyDescent="0.2">
      <c r="A1754" t="s">
        <v>2599</v>
      </c>
      <c r="B1754" t="s">
        <v>17</v>
      </c>
      <c r="C1754" t="s">
        <v>87</v>
      </c>
      <c r="D1754" t="s">
        <v>764</v>
      </c>
      <c r="E1754" t="s">
        <v>765</v>
      </c>
      <c r="F1754" t="s">
        <v>0</v>
      </c>
      <c r="G1754" t="s">
        <v>53</v>
      </c>
      <c r="H1754">
        <v>0</v>
      </c>
      <c r="I1754" t="s">
        <v>53</v>
      </c>
      <c r="J1754" t="s">
        <v>53</v>
      </c>
      <c r="K1754" t="s">
        <v>53</v>
      </c>
      <c r="L1754" t="s">
        <v>53</v>
      </c>
      <c r="M1754" t="s">
        <v>53</v>
      </c>
    </row>
    <row r="1755" spans="1:13" x14ac:dyDescent="0.2">
      <c r="A1755" t="s">
        <v>2600</v>
      </c>
      <c r="B1755" t="s">
        <v>17</v>
      </c>
      <c r="C1755" t="s">
        <v>87</v>
      </c>
      <c r="D1755" t="s">
        <v>767</v>
      </c>
      <c r="E1755" t="s">
        <v>768</v>
      </c>
      <c r="F1755" t="s">
        <v>0</v>
      </c>
      <c r="G1755">
        <v>15</v>
      </c>
      <c r="H1755">
        <v>0</v>
      </c>
      <c r="I1755">
        <v>1</v>
      </c>
      <c r="J1755">
        <v>16</v>
      </c>
      <c r="K1755" s="482">
        <v>0.93799999999999994</v>
      </c>
      <c r="L1755" s="482">
        <v>0</v>
      </c>
      <c r="M1755" s="482">
        <v>6.3E-2</v>
      </c>
    </row>
    <row r="1756" spans="1:13" x14ac:dyDescent="0.2">
      <c r="A1756" t="s">
        <v>2626</v>
      </c>
      <c r="B1756" t="s">
        <v>17</v>
      </c>
      <c r="C1756" t="s">
        <v>87</v>
      </c>
      <c r="D1756" t="s">
        <v>854</v>
      </c>
      <c r="E1756" t="s">
        <v>855</v>
      </c>
      <c r="F1756" t="s">
        <v>0</v>
      </c>
      <c r="G1756">
        <v>41</v>
      </c>
      <c r="H1756">
        <v>0</v>
      </c>
      <c r="I1756">
        <v>11</v>
      </c>
      <c r="J1756">
        <v>52</v>
      </c>
      <c r="K1756" s="482">
        <v>0.78800000000000003</v>
      </c>
      <c r="L1756" s="482">
        <v>0</v>
      </c>
      <c r="M1756" s="482">
        <v>0.21199999999999999</v>
      </c>
    </row>
    <row r="1757" spans="1:13" x14ac:dyDescent="0.2">
      <c r="A1757" t="s">
        <v>2627</v>
      </c>
      <c r="B1757" t="s">
        <v>17</v>
      </c>
      <c r="C1757" t="s">
        <v>87</v>
      </c>
      <c r="D1757" t="s">
        <v>857</v>
      </c>
      <c r="E1757" t="s">
        <v>858</v>
      </c>
      <c r="F1757" t="s">
        <v>0</v>
      </c>
      <c r="G1757">
        <v>86</v>
      </c>
      <c r="H1757">
        <v>0</v>
      </c>
      <c r="I1757">
        <v>18</v>
      </c>
      <c r="J1757">
        <v>104</v>
      </c>
      <c r="K1757" s="482">
        <v>0.82699999999999996</v>
      </c>
      <c r="L1757" s="482">
        <v>0</v>
      </c>
      <c r="M1757" s="482">
        <v>0.17299999999999999</v>
      </c>
    </row>
    <row r="1758" spans="1:13" x14ac:dyDescent="0.2">
      <c r="A1758" t="s">
        <v>2628</v>
      </c>
      <c r="B1758" t="s">
        <v>17</v>
      </c>
      <c r="C1758" t="s">
        <v>87</v>
      </c>
      <c r="D1758" t="s">
        <v>860</v>
      </c>
      <c r="E1758" t="s">
        <v>861</v>
      </c>
      <c r="F1758" t="s">
        <v>0</v>
      </c>
      <c r="G1758">
        <v>36</v>
      </c>
      <c r="H1758">
        <v>0</v>
      </c>
      <c r="I1758">
        <v>4</v>
      </c>
      <c r="J1758">
        <v>40</v>
      </c>
      <c r="K1758" s="482">
        <v>0.9</v>
      </c>
      <c r="L1758" s="482">
        <v>0</v>
      </c>
      <c r="M1758" s="482">
        <v>0.1</v>
      </c>
    </row>
    <row r="1759" spans="1:13" x14ac:dyDescent="0.2">
      <c r="A1759" t="s">
        <v>2629</v>
      </c>
      <c r="B1759" t="s">
        <v>17</v>
      </c>
      <c r="C1759" t="s">
        <v>87</v>
      </c>
      <c r="D1759" t="s">
        <v>863</v>
      </c>
      <c r="E1759" t="s">
        <v>864</v>
      </c>
      <c r="F1759" t="s">
        <v>0</v>
      </c>
      <c r="G1759">
        <v>20</v>
      </c>
      <c r="H1759">
        <v>0</v>
      </c>
      <c r="I1759">
        <v>8</v>
      </c>
      <c r="J1759">
        <v>28</v>
      </c>
      <c r="K1759" s="482">
        <v>0.71399999999999997</v>
      </c>
      <c r="L1759" s="482">
        <v>0</v>
      </c>
      <c r="M1759" s="482">
        <v>0.28599999999999998</v>
      </c>
    </row>
    <row r="1760" spans="1:13" x14ac:dyDescent="0.2">
      <c r="A1760" t="s">
        <v>2630</v>
      </c>
      <c r="B1760" t="s">
        <v>17</v>
      </c>
      <c r="C1760" t="s">
        <v>87</v>
      </c>
      <c r="D1760" t="s">
        <v>866</v>
      </c>
      <c r="E1760" t="s">
        <v>867</v>
      </c>
      <c r="F1760" t="s">
        <v>0</v>
      </c>
      <c r="G1760">
        <v>30</v>
      </c>
      <c r="H1760">
        <v>0</v>
      </c>
      <c r="I1760">
        <v>4</v>
      </c>
      <c r="J1760">
        <v>34</v>
      </c>
      <c r="K1760" s="482">
        <v>0.88200000000000001</v>
      </c>
      <c r="L1760" s="482">
        <v>0</v>
      </c>
      <c r="M1760" s="482">
        <v>0.11799999999999999</v>
      </c>
    </row>
    <row r="1761" spans="1:13" x14ac:dyDescent="0.2">
      <c r="A1761" t="s">
        <v>2631</v>
      </c>
      <c r="B1761" t="s">
        <v>17</v>
      </c>
      <c r="C1761" t="s">
        <v>87</v>
      </c>
      <c r="D1761" t="s">
        <v>869</v>
      </c>
      <c r="E1761" t="s">
        <v>870</v>
      </c>
      <c r="F1761" t="s">
        <v>0</v>
      </c>
      <c r="G1761">
        <v>81</v>
      </c>
      <c r="H1761">
        <v>1</v>
      </c>
      <c r="I1761">
        <v>12</v>
      </c>
      <c r="J1761">
        <v>94</v>
      </c>
      <c r="K1761" s="482">
        <v>0.86199999999999999</v>
      </c>
      <c r="L1761" s="482">
        <v>1.0999999999999999E-2</v>
      </c>
      <c r="M1761" s="482">
        <v>0.128</v>
      </c>
    </row>
    <row r="1762" spans="1:13" x14ac:dyDescent="0.2">
      <c r="A1762" t="s">
        <v>2632</v>
      </c>
      <c r="B1762" t="s">
        <v>17</v>
      </c>
      <c r="C1762" t="s">
        <v>87</v>
      </c>
      <c r="D1762" t="s">
        <v>872</v>
      </c>
      <c r="E1762" t="s">
        <v>873</v>
      </c>
      <c r="F1762" t="s">
        <v>0</v>
      </c>
      <c r="G1762">
        <v>18</v>
      </c>
      <c r="H1762">
        <v>0</v>
      </c>
      <c r="I1762">
        <v>3</v>
      </c>
      <c r="J1762">
        <v>21</v>
      </c>
      <c r="K1762" s="482">
        <v>0.85699999999999998</v>
      </c>
      <c r="L1762" s="482">
        <v>0</v>
      </c>
      <c r="M1762" s="482">
        <v>0.14299999999999999</v>
      </c>
    </row>
    <row r="1763" spans="1:13" x14ac:dyDescent="0.2">
      <c r="A1763" t="s">
        <v>2633</v>
      </c>
      <c r="B1763" t="s">
        <v>17</v>
      </c>
      <c r="C1763" t="s">
        <v>87</v>
      </c>
      <c r="D1763" t="s">
        <v>875</v>
      </c>
      <c r="E1763" t="s">
        <v>876</v>
      </c>
      <c r="F1763" t="s">
        <v>0</v>
      </c>
      <c r="G1763">
        <v>51</v>
      </c>
      <c r="H1763">
        <v>0</v>
      </c>
      <c r="I1763">
        <v>8</v>
      </c>
      <c r="J1763">
        <v>59</v>
      </c>
      <c r="K1763" s="482">
        <v>0.86399999999999999</v>
      </c>
      <c r="L1763" s="482">
        <v>0</v>
      </c>
      <c r="M1763" s="482">
        <v>0.13600000000000001</v>
      </c>
    </row>
    <row r="1764" spans="1:13" x14ac:dyDescent="0.2">
      <c r="A1764" t="s">
        <v>2634</v>
      </c>
      <c r="B1764" t="s">
        <v>17</v>
      </c>
      <c r="C1764" t="s">
        <v>87</v>
      </c>
      <c r="D1764" t="s">
        <v>878</v>
      </c>
      <c r="E1764" t="s">
        <v>879</v>
      </c>
      <c r="F1764" t="s">
        <v>0</v>
      </c>
      <c r="G1764">
        <v>6</v>
      </c>
      <c r="H1764">
        <v>0</v>
      </c>
      <c r="I1764">
        <v>2</v>
      </c>
      <c r="J1764">
        <v>8</v>
      </c>
      <c r="K1764" s="482">
        <v>0.75</v>
      </c>
      <c r="L1764" s="482">
        <v>0</v>
      </c>
      <c r="M1764" s="482">
        <v>0.25</v>
      </c>
    </row>
    <row r="1765" spans="1:13" x14ac:dyDescent="0.2">
      <c r="A1765" t="s">
        <v>2635</v>
      </c>
      <c r="B1765" t="s">
        <v>17</v>
      </c>
      <c r="C1765" t="s">
        <v>87</v>
      </c>
      <c r="D1765" t="s">
        <v>881</v>
      </c>
      <c r="E1765" t="s">
        <v>882</v>
      </c>
      <c r="F1765" t="s">
        <v>0</v>
      </c>
      <c r="G1765">
        <v>13</v>
      </c>
      <c r="H1765">
        <v>0</v>
      </c>
      <c r="I1765">
        <v>6</v>
      </c>
      <c r="J1765">
        <v>19</v>
      </c>
      <c r="K1765" s="482">
        <v>0.68400000000000005</v>
      </c>
      <c r="L1765" s="482">
        <v>0</v>
      </c>
      <c r="M1765" s="482">
        <v>0.316</v>
      </c>
    </row>
    <row r="1766" spans="1:13" x14ac:dyDescent="0.2">
      <c r="A1766" t="s">
        <v>2636</v>
      </c>
      <c r="B1766" t="s">
        <v>17</v>
      </c>
      <c r="C1766" t="s">
        <v>87</v>
      </c>
      <c r="D1766" t="s">
        <v>884</v>
      </c>
      <c r="E1766" t="s">
        <v>885</v>
      </c>
      <c r="F1766" t="s">
        <v>0</v>
      </c>
      <c r="G1766">
        <v>10</v>
      </c>
      <c r="H1766">
        <v>0</v>
      </c>
      <c r="I1766">
        <v>2</v>
      </c>
      <c r="J1766">
        <v>12</v>
      </c>
      <c r="K1766" s="482">
        <v>0.83299999999999996</v>
      </c>
      <c r="L1766" s="482">
        <v>0</v>
      </c>
      <c r="M1766" s="482">
        <v>0.16700000000000001</v>
      </c>
    </row>
    <row r="1767" spans="1:13" x14ac:dyDescent="0.2">
      <c r="A1767" t="s">
        <v>2637</v>
      </c>
      <c r="B1767" t="s">
        <v>17</v>
      </c>
      <c r="C1767" t="s">
        <v>87</v>
      </c>
      <c r="D1767" t="s">
        <v>887</v>
      </c>
      <c r="E1767" t="s">
        <v>888</v>
      </c>
      <c r="F1767" t="s">
        <v>0</v>
      </c>
      <c r="G1767">
        <v>32</v>
      </c>
      <c r="H1767">
        <v>0</v>
      </c>
      <c r="I1767">
        <v>4</v>
      </c>
      <c r="J1767">
        <v>36</v>
      </c>
      <c r="K1767" s="482">
        <v>0.88900000000000001</v>
      </c>
      <c r="L1767" s="482">
        <v>0</v>
      </c>
      <c r="M1767" s="482">
        <v>0.111</v>
      </c>
    </row>
    <row r="1768" spans="1:13" x14ac:dyDescent="0.2">
      <c r="A1768" t="s">
        <v>2638</v>
      </c>
      <c r="B1768" t="s">
        <v>17</v>
      </c>
      <c r="C1768" t="s">
        <v>87</v>
      </c>
      <c r="D1768" t="s">
        <v>890</v>
      </c>
      <c r="E1768" t="s">
        <v>891</v>
      </c>
      <c r="F1768" t="s">
        <v>0</v>
      </c>
      <c r="G1768">
        <v>9</v>
      </c>
      <c r="H1768">
        <v>0</v>
      </c>
      <c r="I1768">
        <v>4</v>
      </c>
      <c r="J1768">
        <v>13</v>
      </c>
      <c r="K1768" s="482">
        <v>0.69199999999999995</v>
      </c>
      <c r="L1768" s="482">
        <v>0</v>
      </c>
      <c r="M1768" s="482">
        <v>0.308</v>
      </c>
    </row>
    <row r="1769" spans="1:13" x14ac:dyDescent="0.2">
      <c r="A1769" t="s">
        <v>2639</v>
      </c>
      <c r="B1769" t="s">
        <v>17</v>
      </c>
      <c r="C1769" t="s">
        <v>87</v>
      </c>
      <c r="D1769" t="s">
        <v>893</v>
      </c>
      <c r="E1769" t="s">
        <v>894</v>
      </c>
      <c r="F1769" t="s">
        <v>0</v>
      </c>
      <c r="G1769">
        <v>9</v>
      </c>
      <c r="H1769">
        <v>0</v>
      </c>
      <c r="I1769">
        <v>4</v>
      </c>
      <c r="J1769">
        <v>13</v>
      </c>
      <c r="K1769" s="482">
        <v>0.69199999999999995</v>
      </c>
      <c r="L1769" s="482">
        <v>0</v>
      </c>
      <c r="M1769" s="482">
        <v>0.308</v>
      </c>
    </row>
    <row r="1770" spans="1:13" x14ac:dyDescent="0.2">
      <c r="A1770" t="s">
        <v>2640</v>
      </c>
      <c r="B1770" t="s">
        <v>17</v>
      </c>
      <c r="C1770" t="s">
        <v>87</v>
      </c>
      <c r="D1770" t="s">
        <v>896</v>
      </c>
      <c r="E1770" t="s">
        <v>897</v>
      </c>
      <c r="F1770" t="s">
        <v>0</v>
      </c>
      <c r="G1770" t="s">
        <v>53</v>
      </c>
      <c r="H1770">
        <v>0</v>
      </c>
      <c r="I1770">
        <v>0</v>
      </c>
      <c r="J1770" t="s">
        <v>53</v>
      </c>
      <c r="K1770" t="s">
        <v>53</v>
      </c>
      <c r="L1770" t="s">
        <v>53</v>
      </c>
      <c r="M1770" t="s">
        <v>53</v>
      </c>
    </row>
    <row r="1771" spans="1:13" x14ac:dyDescent="0.2">
      <c r="A1771" t="s">
        <v>2641</v>
      </c>
      <c r="B1771" t="s">
        <v>17</v>
      </c>
      <c r="C1771" t="s">
        <v>87</v>
      </c>
      <c r="D1771" t="s">
        <v>899</v>
      </c>
      <c r="E1771" t="s">
        <v>900</v>
      </c>
      <c r="F1771" t="s">
        <v>0</v>
      </c>
      <c r="G1771">
        <v>10</v>
      </c>
      <c r="H1771">
        <v>0</v>
      </c>
      <c r="I1771">
        <v>0</v>
      </c>
      <c r="J1771">
        <v>10</v>
      </c>
      <c r="K1771" s="482">
        <v>1</v>
      </c>
      <c r="L1771" s="482">
        <v>0</v>
      </c>
      <c r="M1771" s="482">
        <v>0</v>
      </c>
    </row>
    <row r="1772" spans="1:13" x14ac:dyDescent="0.2">
      <c r="A1772" t="s">
        <v>2642</v>
      </c>
      <c r="B1772" t="s">
        <v>17</v>
      </c>
      <c r="C1772" t="s">
        <v>87</v>
      </c>
      <c r="D1772" t="s">
        <v>902</v>
      </c>
      <c r="E1772" t="s">
        <v>903</v>
      </c>
      <c r="F1772" t="s">
        <v>0</v>
      </c>
      <c r="G1772">
        <v>70</v>
      </c>
      <c r="H1772">
        <v>0</v>
      </c>
      <c r="I1772">
        <v>11</v>
      </c>
      <c r="J1772">
        <v>81</v>
      </c>
      <c r="K1772" s="482">
        <v>0.86399999999999999</v>
      </c>
      <c r="L1772" s="482">
        <v>0</v>
      </c>
      <c r="M1772" s="482">
        <v>0.13600000000000001</v>
      </c>
    </row>
    <row r="1773" spans="1:13" x14ac:dyDescent="0.2">
      <c r="A1773" t="s">
        <v>2645</v>
      </c>
      <c r="B1773" t="s">
        <v>17</v>
      </c>
      <c r="C1773" t="s">
        <v>87</v>
      </c>
      <c r="D1773" t="s">
        <v>905</v>
      </c>
      <c r="E1773" t="s">
        <v>906</v>
      </c>
      <c r="F1773" t="s">
        <v>0</v>
      </c>
      <c r="G1773">
        <v>39</v>
      </c>
      <c r="H1773">
        <v>0</v>
      </c>
      <c r="I1773">
        <v>5</v>
      </c>
      <c r="J1773">
        <v>44</v>
      </c>
      <c r="K1773" s="482">
        <v>0.88600000000000001</v>
      </c>
      <c r="L1773" s="482">
        <v>0</v>
      </c>
      <c r="M1773" s="482">
        <v>0.114</v>
      </c>
    </row>
    <row r="1774" spans="1:13" x14ac:dyDescent="0.2">
      <c r="A1774" t="s">
        <v>2655</v>
      </c>
      <c r="B1774" t="s">
        <v>17</v>
      </c>
      <c r="C1774" t="s">
        <v>87</v>
      </c>
      <c r="D1774" t="s">
        <v>938</v>
      </c>
      <c r="E1774" t="s">
        <v>939</v>
      </c>
      <c r="F1774" t="s">
        <v>0</v>
      </c>
      <c r="G1774">
        <v>11</v>
      </c>
      <c r="H1774">
        <v>0</v>
      </c>
      <c r="I1774">
        <v>1</v>
      </c>
      <c r="J1774">
        <v>12</v>
      </c>
      <c r="K1774" s="482">
        <v>0.91700000000000004</v>
      </c>
      <c r="L1774" s="482">
        <v>0</v>
      </c>
      <c r="M1774" s="482">
        <v>8.3000000000000004E-2</v>
      </c>
    </row>
    <row r="1775" spans="1:13" x14ac:dyDescent="0.2">
      <c r="A1775" t="s">
        <v>2656</v>
      </c>
      <c r="B1775" t="s">
        <v>17</v>
      </c>
      <c r="C1775" t="s">
        <v>87</v>
      </c>
      <c r="D1775" t="s">
        <v>941</v>
      </c>
      <c r="E1775" t="s">
        <v>942</v>
      </c>
      <c r="F1775" t="s">
        <v>0</v>
      </c>
      <c r="G1775">
        <v>20</v>
      </c>
      <c r="H1775">
        <v>0</v>
      </c>
      <c r="I1775">
        <v>3</v>
      </c>
      <c r="J1775">
        <v>23</v>
      </c>
      <c r="K1775" s="482">
        <v>0.87</v>
      </c>
      <c r="L1775" s="482">
        <v>0</v>
      </c>
      <c r="M1775" s="482">
        <v>0.13</v>
      </c>
    </row>
    <row r="1776" spans="1:13" x14ac:dyDescent="0.2">
      <c r="A1776" t="s">
        <v>2644</v>
      </c>
      <c r="B1776" t="s">
        <v>17</v>
      </c>
      <c r="C1776" t="s">
        <v>87</v>
      </c>
      <c r="D1776" t="s">
        <v>1016</v>
      </c>
      <c r="E1776" t="s">
        <v>1017</v>
      </c>
      <c r="F1776" t="s">
        <v>0</v>
      </c>
      <c r="G1776">
        <v>93</v>
      </c>
      <c r="H1776">
        <v>0</v>
      </c>
      <c r="I1776">
        <v>19</v>
      </c>
      <c r="J1776">
        <v>112</v>
      </c>
      <c r="K1776" s="482">
        <v>0.83</v>
      </c>
      <c r="L1776" s="482">
        <v>0</v>
      </c>
      <c r="M1776" s="482">
        <v>0.17</v>
      </c>
    </row>
    <row r="1777" spans="1:13" x14ac:dyDescent="0.2">
      <c r="A1777" t="s">
        <v>2619</v>
      </c>
      <c r="B1777" t="s">
        <v>17</v>
      </c>
      <c r="C1777" t="s">
        <v>87</v>
      </c>
      <c r="D1777" t="s">
        <v>827</v>
      </c>
      <c r="E1777" t="s">
        <v>828</v>
      </c>
      <c r="F1777" t="s">
        <v>0</v>
      </c>
      <c r="G1777">
        <v>68</v>
      </c>
      <c r="H1777">
        <v>1</v>
      </c>
      <c r="I1777">
        <v>11</v>
      </c>
      <c r="J1777">
        <v>80</v>
      </c>
      <c r="K1777" s="482">
        <v>0.85</v>
      </c>
      <c r="L1777" s="482">
        <v>1.2999999999999999E-2</v>
      </c>
      <c r="M1777" s="482">
        <v>0.13800000000000001</v>
      </c>
    </row>
    <row r="1778" spans="1:13" x14ac:dyDescent="0.2">
      <c r="A1778" t="s">
        <v>2620</v>
      </c>
      <c r="B1778" t="s">
        <v>17</v>
      </c>
      <c r="C1778" t="s">
        <v>87</v>
      </c>
      <c r="D1778" t="s">
        <v>830</v>
      </c>
      <c r="E1778" t="s">
        <v>831</v>
      </c>
      <c r="F1778" t="s">
        <v>0</v>
      </c>
      <c r="G1778">
        <v>9</v>
      </c>
      <c r="H1778">
        <v>0</v>
      </c>
      <c r="I1778">
        <v>0</v>
      </c>
      <c r="J1778">
        <v>9</v>
      </c>
      <c r="K1778" s="482">
        <v>1</v>
      </c>
      <c r="L1778" s="482">
        <v>0</v>
      </c>
      <c r="M1778" s="482">
        <v>0</v>
      </c>
    </row>
    <row r="1779" spans="1:13" x14ac:dyDescent="0.2">
      <c r="A1779" t="s">
        <v>2621</v>
      </c>
      <c r="B1779" t="s">
        <v>17</v>
      </c>
      <c r="C1779" t="s">
        <v>87</v>
      </c>
      <c r="D1779" t="s">
        <v>833</v>
      </c>
      <c r="E1779" t="s">
        <v>834</v>
      </c>
      <c r="F1779" t="s">
        <v>0</v>
      </c>
      <c r="G1779">
        <v>7</v>
      </c>
      <c r="H1779">
        <v>0</v>
      </c>
      <c r="I1779">
        <v>0</v>
      </c>
      <c r="J1779">
        <v>7</v>
      </c>
      <c r="K1779" s="482">
        <v>1</v>
      </c>
      <c r="L1779" s="482">
        <v>0</v>
      </c>
      <c r="M1779" s="482">
        <v>0</v>
      </c>
    </row>
    <row r="1780" spans="1:13" x14ac:dyDescent="0.2">
      <c r="A1780" t="s">
        <v>2622</v>
      </c>
      <c r="B1780" t="s">
        <v>17</v>
      </c>
      <c r="C1780" t="s">
        <v>87</v>
      </c>
      <c r="D1780" t="s">
        <v>836</v>
      </c>
      <c r="E1780" t="s">
        <v>837</v>
      </c>
      <c r="F1780" t="s">
        <v>0</v>
      </c>
      <c r="G1780">
        <v>28</v>
      </c>
      <c r="H1780">
        <v>0</v>
      </c>
      <c r="I1780">
        <v>8</v>
      </c>
      <c r="J1780">
        <v>36</v>
      </c>
      <c r="K1780" s="482">
        <v>0.77800000000000002</v>
      </c>
      <c r="L1780" s="482">
        <v>0</v>
      </c>
      <c r="M1780" s="482">
        <v>0.222</v>
      </c>
    </row>
    <row r="1781" spans="1:13" x14ac:dyDescent="0.2">
      <c r="A1781" t="s">
        <v>2623</v>
      </c>
      <c r="B1781" t="s">
        <v>17</v>
      </c>
      <c r="C1781" t="s">
        <v>87</v>
      </c>
      <c r="D1781" t="s">
        <v>839</v>
      </c>
      <c r="E1781" t="s">
        <v>840</v>
      </c>
      <c r="F1781" t="s">
        <v>0</v>
      </c>
      <c r="G1781" t="s">
        <v>53</v>
      </c>
      <c r="H1781">
        <v>0</v>
      </c>
      <c r="I1781">
        <v>0</v>
      </c>
      <c r="J1781" t="s">
        <v>53</v>
      </c>
      <c r="K1781" t="s">
        <v>53</v>
      </c>
      <c r="L1781" t="s">
        <v>53</v>
      </c>
      <c r="M1781" t="s">
        <v>53</v>
      </c>
    </row>
    <row r="1782" spans="1:13" x14ac:dyDescent="0.2">
      <c r="A1782" t="s">
        <v>2624</v>
      </c>
      <c r="B1782" t="s">
        <v>17</v>
      </c>
      <c r="C1782" t="s">
        <v>87</v>
      </c>
      <c r="D1782" t="s">
        <v>842</v>
      </c>
      <c r="E1782" t="s">
        <v>843</v>
      </c>
      <c r="F1782" t="s">
        <v>0</v>
      </c>
      <c r="G1782">
        <v>13</v>
      </c>
      <c r="H1782">
        <v>0</v>
      </c>
      <c r="I1782">
        <v>3</v>
      </c>
      <c r="J1782">
        <v>16</v>
      </c>
      <c r="K1782" s="482">
        <v>0.81299999999999994</v>
      </c>
      <c r="L1782" s="482">
        <v>0</v>
      </c>
      <c r="M1782" s="482">
        <v>0.188</v>
      </c>
    </row>
    <row r="1783" spans="1:13" x14ac:dyDescent="0.2">
      <c r="A1783" t="s">
        <v>2625</v>
      </c>
      <c r="B1783" t="s">
        <v>17</v>
      </c>
      <c r="C1783" t="s">
        <v>87</v>
      </c>
      <c r="D1783" t="s">
        <v>848</v>
      </c>
      <c r="E1783" t="s">
        <v>849</v>
      </c>
      <c r="F1783" t="s">
        <v>0</v>
      </c>
      <c r="G1783">
        <v>12</v>
      </c>
      <c r="H1783">
        <v>0</v>
      </c>
      <c r="I1783">
        <v>1</v>
      </c>
      <c r="J1783">
        <v>13</v>
      </c>
      <c r="K1783" s="482">
        <v>0.92300000000000004</v>
      </c>
      <c r="L1783" s="482">
        <v>0</v>
      </c>
      <c r="M1783" s="482">
        <v>7.6999999999999999E-2</v>
      </c>
    </row>
    <row r="1784" spans="1:13" x14ac:dyDescent="0.2">
      <c r="A1784" t="s">
        <v>2652</v>
      </c>
      <c r="B1784" t="s">
        <v>17</v>
      </c>
      <c r="C1784" t="s">
        <v>87</v>
      </c>
      <c r="D1784" t="s">
        <v>851</v>
      </c>
      <c r="E1784" t="s">
        <v>852</v>
      </c>
      <c r="F1784" t="s">
        <v>0</v>
      </c>
      <c r="G1784">
        <v>12</v>
      </c>
      <c r="H1784">
        <v>0</v>
      </c>
      <c r="I1784">
        <v>1</v>
      </c>
      <c r="J1784">
        <v>13</v>
      </c>
      <c r="K1784" s="482">
        <v>0.92300000000000004</v>
      </c>
      <c r="L1784" s="482">
        <v>0</v>
      </c>
      <c r="M1784" s="482">
        <v>7.6999999999999999E-2</v>
      </c>
    </row>
    <row r="1785" spans="1:13" x14ac:dyDescent="0.2">
      <c r="A1785" t="s">
        <v>2654</v>
      </c>
      <c r="B1785" t="s">
        <v>17</v>
      </c>
      <c r="C1785" t="s">
        <v>87</v>
      </c>
      <c r="D1785" t="s">
        <v>935</v>
      </c>
      <c r="E1785" t="s">
        <v>936</v>
      </c>
      <c r="F1785" t="s">
        <v>0</v>
      </c>
      <c r="G1785" t="s">
        <v>53</v>
      </c>
      <c r="H1785">
        <v>0</v>
      </c>
      <c r="I1785">
        <v>0</v>
      </c>
      <c r="J1785" t="s">
        <v>53</v>
      </c>
      <c r="K1785" t="s">
        <v>53</v>
      </c>
      <c r="L1785" t="s">
        <v>53</v>
      </c>
      <c r="M1785" t="s">
        <v>53</v>
      </c>
    </row>
    <row r="1786" spans="1:13" x14ac:dyDescent="0.2">
      <c r="A1786" t="s">
        <v>2653</v>
      </c>
      <c r="B1786" t="s">
        <v>17</v>
      </c>
      <c r="C1786" t="s">
        <v>87</v>
      </c>
      <c r="D1786" t="s">
        <v>932</v>
      </c>
      <c r="E1786" t="s">
        <v>933</v>
      </c>
      <c r="F1786" t="s">
        <v>0</v>
      </c>
      <c r="G1786">
        <v>32</v>
      </c>
      <c r="H1786">
        <v>0</v>
      </c>
      <c r="I1786">
        <v>8</v>
      </c>
      <c r="J1786">
        <v>40</v>
      </c>
      <c r="K1786" s="482">
        <v>0.8</v>
      </c>
      <c r="L1786" s="482">
        <v>0</v>
      </c>
      <c r="M1786" s="482">
        <v>0.2</v>
      </c>
    </row>
    <row r="1787" spans="1:13" x14ac:dyDescent="0.2">
      <c r="A1787" t="s">
        <v>2658</v>
      </c>
      <c r="B1787" t="s">
        <v>17</v>
      </c>
      <c r="C1787" t="s">
        <v>87</v>
      </c>
      <c r="D1787" t="s">
        <v>947</v>
      </c>
      <c r="E1787" t="s">
        <v>948</v>
      </c>
      <c r="F1787" t="s">
        <v>0</v>
      </c>
      <c r="G1787">
        <v>15</v>
      </c>
      <c r="H1787">
        <v>0</v>
      </c>
      <c r="I1787">
        <v>1</v>
      </c>
      <c r="J1787">
        <v>16</v>
      </c>
      <c r="K1787" s="482">
        <v>0.93799999999999994</v>
      </c>
      <c r="L1787" s="482">
        <v>0</v>
      </c>
      <c r="M1787" s="482">
        <v>6.3E-2</v>
      </c>
    </row>
    <row r="1788" spans="1:13" x14ac:dyDescent="0.2">
      <c r="A1788" t="s">
        <v>2659</v>
      </c>
      <c r="B1788" t="s">
        <v>17</v>
      </c>
      <c r="C1788" t="s">
        <v>87</v>
      </c>
      <c r="D1788" t="s">
        <v>950</v>
      </c>
      <c r="E1788" t="s">
        <v>951</v>
      </c>
      <c r="F1788" t="s">
        <v>0</v>
      </c>
      <c r="G1788">
        <v>7</v>
      </c>
      <c r="H1788">
        <v>0</v>
      </c>
      <c r="I1788">
        <v>3</v>
      </c>
      <c r="J1788">
        <v>10</v>
      </c>
      <c r="K1788" s="482">
        <v>0.7</v>
      </c>
      <c r="L1788" s="482">
        <v>0</v>
      </c>
      <c r="M1788" s="482">
        <v>0.3</v>
      </c>
    </row>
    <row r="1789" spans="1:13" x14ac:dyDescent="0.2">
      <c r="A1789" t="s">
        <v>2660</v>
      </c>
      <c r="B1789" t="s">
        <v>17</v>
      </c>
      <c r="C1789" t="s">
        <v>87</v>
      </c>
      <c r="D1789" t="s">
        <v>953</v>
      </c>
      <c r="E1789" t="s">
        <v>954</v>
      </c>
      <c r="F1789" t="s">
        <v>0</v>
      </c>
      <c r="G1789">
        <v>5</v>
      </c>
      <c r="H1789">
        <v>0</v>
      </c>
      <c r="I1789">
        <v>2</v>
      </c>
      <c r="J1789">
        <v>7</v>
      </c>
      <c r="K1789" s="482">
        <v>0.71399999999999997</v>
      </c>
      <c r="L1789" s="482">
        <v>0</v>
      </c>
      <c r="M1789" s="482">
        <v>0.28599999999999998</v>
      </c>
    </row>
    <row r="1790" spans="1:13" x14ac:dyDescent="0.2">
      <c r="A1790" t="s">
        <v>2661</v>
      </c>
      <c r="B1790" t="s">
        <v>17</v>
      </c>
      <c r="C1790" t="s">
        <v>87</v>
      </c>
      <c r="D1790" t="s">
        <v>956</v>
      </c>
      <c r="E1790" t="s">
        <v>957</v>
      </c>
      <c r="F1790" t="s">
        <v>0</v>
      </c>
      <c r="G1790" t="s">
        <v>53</v>
      </c>
      <c r="H1790">
        <v>0</v>
      </c>
      <c r="I1790">
        <v>0</v>
      </c>
      <c r="J1790" t="s">
        <v>53</v>
      </c>
      <c r="K1790" t="s">
        <v>53</v>
      </c>
      <c r="L1790" t="s">
        <v>53</v>
      </c>
      <c r="M1790" t="s">
        <v>53</v>
      </c>
    </row>
    <row r="1791" spans="1:13" x14ac:dyDescent="0.2">
      <c r="A1791" t="s">
        <v>2662</v>
      </c>
      <c r="B1791" t="s">
        <v>17</v>
      </c>
      <c r="C1791" t="s">
        <v>87</v>
      </c>
      <c r="D1791" t="s">
        <v>959</v>
      </c>
      <c r="E1791" t="s">
        <v>960</v>
      </c>
      <c r="F1791" t="s">
        <v>0</v>
      </c>
      <c r="G1791">
        <v>21</v>
      </c>
      <c r="H1791">
        <v>0</v>
      </c>
      <c r="I1791">
        <v>2</v>
      </c>
      <c r="J1791">
        <v>23</v>
      </c>
      <c r="K1791" s="482">
        <v>0.91300000000000003</v>
      </c>
      <c r="L1791" s="482">
        <v>0</v>
      </c>
      <c r="M1791" s="482">
        <v>8.6999999999999994E-2</v>
      </c>
    </row>
    <row r="1792" spans="1:13" x14ac:dyDescent="0.2">
      <c r="A1792" t="s">
        <v>2663</v>
      </c>
      <c r="B1792" t="s">
        <v>17</v>
      </c>
      <c r="C1792" t="s">
        <v>87</v>
      </c>
      <c r="D1792" t="s">
        <v>962</v>
      </c>
      <c r="E1792" t="s">
        <v>963</v>
      </c>
      <c r="F1792" t="s">
        <v>0</v>
      </c>
      <c r="G1792">
        <v>31</v>
      </c>
      <c r="H1792">
        <v>0</v>
      </c>
      <c r="I1792">
        <v>6</v>
      </c>
      <c r="J1792">
        <v>37</v>
      </c>
      <c r="K1792" s="482">
        <v>0.83799999999999997</v>
      </c>
      <c r="L1792" s="482">
        <v>0</v>
      </c>
      <c r="M1792" s="482">
        <v>0.16200000000000001</v>
      </c>
    </row>
    <row r="1793" spans="1:13" x14ac:dyDescent="0.2">
      <c r="A1793" t="s">
        <v>2664</v>
      </c>
      <c r="B1793" t="s">
        <v>17</v>
      </c>
      <c r="C1793" t="s">
        <v>87</v>
      </c>
      <c r="D1793" t="s">
        <v>965</v>
      </c>
      <c r="E1793" t="s">
        <v>966</v>
      </c>
      <c r="F1793" t="s">
        <v>0</v>
      </c>
      <c r="G1793">
        <v>22</v>
      </c>
      <c r="H1793">
        <v>0</v>
      </c>
      <c r="I1793">
        <v>10</v>
      </c>
      <c r="J1793">
        <v>32</v>
      </c>
      <c r="K1793" s="482">
        <v>0.68799999999999994</v>
      </c>
      <c r="L1793" s="482">
        <v>0</v>
      </c>
      <c r="M1793" s="482">
        <v>0.313</v>
      </c>
    </row>
    <row r="1794" spans="1:13" x14ac:dyDescent="0.2">
      <c r="A1794" t="s">
        <v>2665</v>
      </c>
      <c r="B1794" t="s">
        <v>17</v>
      </c>
      <c r="C1794" t="s">
        <v>87</v>
      </c>
      <c r="D1794" t="s">
        <v>968</v>
      </c>
      <c r="E1794" t="s">
        <v>969</v>
      </c>
      <c r="F1794" t="s">
        <v>0</v>
      </c>
      <c r="G1794">
        <v>22</v>
      </c>
      <c r="H1794">
        <v>0</v>
      </c>
      <c r="I1794">
        <v>7</v>
      </c>
      <c r="J1794">
        <v>29</v>
      </c>
      <c r="K1794" s="482">
        <v>0.75900000000000001</v>
      </c>
      <c r="L1794" s="482">
        <v>0</v>
      </c>
      <c r="M1794" s="482">
        <v>0.24099999999999999</v>
      </c>
    </row>
    <row r="1795" spans="1:13" x14ac:dyDescent="0.2">
      <c r="A1795" t="s">
        <v>2666</v>
      </c>
      <c r="B1795" t="s">
        <v>17</v>
      </c>
      <c r="C1795" t="s">
        <v>87</v>
      </c>
      <c r="D1795" t="s">
        <v>971</v>
      </c>
      <c r="E1795" t="s">
        <v>972</v>
      </c>
      <c r="F1795" t="s">
        <v>0</v>
      </c>
      <c r="G1795">
        <v>11</v>
      </c>
      <c r="H1795">
        <v>0</v>
      </c>
      <c r="I1795">
        <v>1</v>
      </c>
      <c r="J1795">
        <v>12</v>
      </c>
      <c r="K1795" s="482">
        <v>0.91700000000000004</v>
      </c>
      <c r="L1795" s="482">
        <v>0</v>
      </c>
      <c r="M1795" s="482">
        <v>8.3000000000000004E-2</v>
      </c>
    </row>
    <row r="1796" spans="1:13" x14ac:dyDescent="0.2">
      <c r="A1796" t="s">
        <v>2667</v>
      </c>
      <c r="B1796" t="s">
        <v>17</v>
      </c>
      <c r="C1796" t="s">
        <v>87</v>
      </c>
      <c r="D1796" t="s">
        <v>974</v>
      </c>
      <c r="E1796" t="s">
        <v>975</v>
      </c>
      <c r="F1796" t="s">
        <v>0</v>
      </c>
      <c r="G1796">
        <v>16</v>
      </c>
      <c r="H1796">
        <v>0</v>
      </c>
      <c r="I1796">
        <v>3</v>
      </c>
      <c r="J1796">
        <v>19</v>
      </c>
      <c r="K1796" s="482">
        <v>0.84199999999999997</v>
      </c>
      <c r="L1796" s="482">
        <v>0</v>
      </c>
      <c r="M1796" s="482">
        <v>0.158</v>
      </c>
    </row>
    <row r="1797" spans="1:13" x14ac:dyDescent="0.2">
      <c r="A1797" t="s">
        <v>2668</v>
      </c>
      <c r="B1797" t="s">
        <v>17</v>
      </c>
      <c r="C1797" t="s">
        <v>87</v>
      </c>
      <c r="D1797" t="s">
        <v>977</v>
      </c>
      <c r="E1797" t="s">
        <v>978</v>
      </c>
      <c r="F1797" t="s">
        <v>0</v>
      </c>
      <c r="G1797" t="s">
        <v>53</v>
      </c>
      <c r="H1797">
        <v>0</v>
      </c>
      <c r="I1797">
        <v>0</v>
      </c>
      <c r="J1797" t="s">
        <v>53</v>
      </c>
      <c r="K1797" t="s">
        <v>53</v>
      </c>
      <c r="L1797" t="s">
        <v>53</v>
      </c>
      <c r="M1797" t="s">
        <v>53</v>
      </c>
    </row>
    <row r="1798" spans="1:13" x14ac:dyDescent="0.2">
      <c r="A1798" t="s">
        <v>2669</v>
      </c>
      <c r="B1798" t="s">
        <v>17</v>
      </c>
      <c r="C1798" t="s">
        <v>87</v>
      </c>
      <c r="D1798" t="s">
        <v>980</v>
      </c>
      <c r="E1798" t="s">
        <v>981</v>
      </c>
      <c r="F1798" t="s">
        <v>0</v>
      </c>
      <c r="G1798">
        <v>109</v>
      </c>
      <c r="H1798">
        <v>1</v>
      </c>
      <c r="I1798">
        <v>34</v>
      </c>
      <c r="J1798">
        <v>144</v>
      </c>
      <c r="K1798" s="482">
        <v>0.75700000000000001</v>
      </c>
      <c r="L1798" s="482">
        <v>7.0000000000000001E-3</v>
      </c>
      <c r="M1798" s="482">
        <v>0.23599999999999999</v>
      </c>
    </row>
    <row r="1799" spans="1:13" x14ac:dyDescent="0.2">
      <c r="A1799" t="s">
        <v>2670</v>
      </c>
      <c r="B1799" t="s">
        <v>17</v>
      </c>
      <c r="C1799" t="s">
        <v>87</v>
      </c>
      <c r="D1799" t="s">
        <v>983</v>
      </c>
      <c r="E1799" t="s">
        <v>984</v>
      </c>
      <c r="F1799" t="s">
        <v>0</v>
      </c>
      <c r="G1799">
        <v>29</v>
      </c>
      <c r="H1799">
        <v>0</v>
      </c>
      <c r="I1799">
        <v>4</v>
      </c>
      <c r="J1799">
        <v>33</v>
      </c>
      <c r="K1799" s="482">
        <v>0.879</v>
      </c>
      <c r="L1799" s="482">
        <v>0</v>
      </c>
      <c r="M1799" s="482">
        <v>0.121</v>
      </c>
    </row>
    <row r="1800" spans="1:13" x14ac:dyDescent="0.2">
      <c r="A1800" t="s">
        <v>2671</v>
      </c>
      <c r="B1800" t="s">
        <v>17</v>
      </c>
      <c r="C1800" t="s">
        <v>87</v>
      </c>
      <c r="D1800" t="s">
        <v>986</v>
      </c>
      <c r="E1800" t="s">
        <v>987</v>
      </c>
      <c r="F1800" t="s">
        <v>0</v>
      </c>
      <c r="G1800" t="s">
        <v>53</v>
      </c>
      <c r="H1800">
        <v>0</v>
      </c>
      <c r="I1800">
        <v>0</v>
      </c>
      <c r="J1800" t="s">
        <v>53</v>
      </c>
      <c r="K1800" t="s">
        <v>53</v>
      </c>
      <c r="L1800" t="s">
        <v>53</v>
      </c>
      <c r="M1800" t="s">
        <v>53</v>
      </c>
    </row>
    <row r="1801" spans="1:13" x14ac:dyDescent="0.2">
      <c r="A1801" t="s">
        <v>2672</v>
      </c>
      <c r="B1801" t="s">
        <v>17</v>
      </c>
      <c r="C1801" t="s">
        <v>87</v>
      </c>
      <c r="D1801" t="s">
        <v>989</v>
      </c>
      <c r="E1801" t="s">
        <v>990</v>
      </c>
      <c r="F1801" t="s">
        <v>0</v>
      </c>
      <c r="G1801">
        <v>12</v>
      </c>
      <c r="H1801">
        <v>0</v>
      </c>
      <c r="I1801">
        <v>1</v>
      </c>
      <c r="J1801">
        <v>13</v>
      </c>
      <c r="K1801" s="482">
        <v>0.92300000000000004</v>
      </c>
      <c r="L1801" s="482">
        <v>0</v>
      </c>
      <c r="M1801" s="482">
        <v>7.6999999999999999E-2</v>
      </c>
    </row>
    <row r="1802" spans="1:13" x14ac:dyDescent="0.2">
      <c r="A1802" t="s">
        <v>2657</v>
      </c>
      <c r="B1802" t="s">
        <v>17</v>
      </c>
      <c r="C1802" t="s">
        <v>87</v>
      </c>
      <c r="D1802" t="s">
        <v>944</v>
      </c>
      <c r="E1802" t="s">
        <v>945</v>
      </c>
      <c r="F1802" t="s">
        <v>0</v>
      </c>
      <c r="G1802">
        <v>26</v>
      </c>
      <c r="H1802">
        <v>0</v>
      </c>
      <c r="I1802">
        <v>6</v>
      </c>
      <c r="J1802">
        <v>32</v>
      </c>
      <c r="K1802" s="482">
        <v>0.81299999999999994</v>
      </c>
      <c r="L1802" s="482">
        <v>0</v>
      </c>
      <c r="M1802" s="482">
        <v>0.188</v>
      </c>
    </row>
    <row r="1803" spans="1:13" x14ac:dyDescent="0.2">
      <c r="A1803" t="s">
        <v>2588</v>
      </c>
      <c r="B1803" t="s">
        <v>17</v>
      </c>
      <c r="C1803" t="s">
        <v>87</v>
      </c>
      <c r="D1803" t="s">
        <v>731</v>
      </c>
      <c r="E1803" t="s">
        <v>732</v>
      </c>
      <c r="F1803" t="s">
        <v>0</v>
      </c>
      <c r="G1803" t="s">
        <v>53</v>
      </c>
      <c r="H1803">
        <v>0</v>
      </c>
      <c r="I1803" t="s">
        <v>53</v>
      </c>
      <c r="J1803" t="s">
        <v>53</v>
      </c>
      <c r="K1803" t="s">
        <v>53</v>
      </c>
      <c r="L1803" t="s">
        <v>53</v>
      </c>
      <c r="M1803" t="s">
        <v>53</v>
      </c>
    </row>
    <row r="1804" spans="1:13" x14ac:dyDescent="0.2">
      <c r="A1804" t="s">
        <v>2587</v>
      </c>
      <c r="B1804" t="s">
        <v>17</v>
      </c>
      <c r="C1804" t="s">
        <v>87</v>
      </c>
      <c r="D1804" t="s">
        <v>728</v>
      </c>
      <c r="E1804" t="s">
        <v>729</v>
      </c>
      <c r="F1804" t="s">
        <v>0</v>
      </c>
      <c r="G1804">
        <v>19</v>
      </c>
      <c r="H1804">
        <v>0</v>
      </c>
      <c r="I1804">
        <v>2</v>
      </c>
      <c r="J1804">
        <v>21</v>
      </c>
      <c r="K1804" s="482">
        <v>0.90500000000000003</v>
      </c>
      <c r="L1804" s="482">
        <v>0</v>
      </c>
      <c r="M1804" s="482">
        <v>9.5000000000000001E-2</v>
      </c>
    </row>
    <row r="1805" spans="1:13" x14ac:dyDescent="0.2">
      <c r="A1805" t="s">
        <v>2545</v>
      </c>
      <c r="B1805" t="s">
        <v>17</v>
      </c>
      <c r="C1805" t="s">
        <v>87</v>
      </c>
      <c r="D1805" t="s">
        <v>589</v>
      </c>
      <c r="E1805" t="s">
        <v>590</v>
      </c>
      <c r="F1805" t="s">
        <v>0</v>
      </c>
      <c r="G1805">
        <v>33</v>
      </c>
      <c r="H1805">
        <v>0</v>
      </c>
      <c r="I1805">
        <v>4</v>
      </c>
      <c r="J1805">
        <v>37</v>
      </c>
      <c r="K1805" s="482">
        <v>0.89200000000000002</v>
      </c>
      <c r="L1805" s="482">
        <v>0</v>
      </c>
      <c r="M1805" s="482">
        <v>0.108</v>
      </c>
    </row>
    <row r="1806" spans="1:13" x14ac:dyDescent="0.2">
      <c r="A1806" t="s">
        <v>2546</v>
      </c>
      <c r="B1806" t="s">
        <v>17</v>
      </c>
      <c r="C1806" t="s">
        <v>87</v>
      </c>
      <c r="D1806" t="s">
        <v>592</v>
      </c>
      <c r="E1806" t="s">
        <v>593</v>
      </c>
      <c r="F1806" t="s">
        <v>0</v>
      </c>
      <c r="G1806">
        <v>30</v>
      </c>
      <c r="H1806">
        <v>0</v>
      </c>
      <c r="I1806">
        <v>4</v>
      </c>
      <c r="J1806">
        <v>34</v>
      </c>
      <c r="K1806" s="482">
        <v>0.88200000000000001</v>
      </c>
      <c r="L1806" s="482">
        <v>0</v>
      </c>
      <c r="M1806" s="482">
        <v>0.11799999999999999</v>
      </c>
    </row>
    <row r="1807" spans="1:13" x14ac:dyDescent="0.2">
      <c r="A1807" t="s">
        <v>2547</v>
      </c>
      <c r="B1807" t="s">
        <v>17</v>
      </c>
      <c r="C1807" t="s">
        <v>87</v>
      </c>
      <c r="D1807" t="s">
        <v>595</v>
      </c>
      <c r="E1807" t="s">
        <v>596</v>
      </c>
      <c r="F1807" t="s">
        <v>0</v>
      </c>
      <c r="G1807">
        <v>10</v>
      </c>
      <c r="H1807">
        <v>0</v>
      </c>
      <c r="I1807">
        <v>4</v>
      </c>
      <c r="J1807">
        <v>14</v>
      </c>
      <c r="K1807" s="482">
        <v>0.71399999999999997</v>
      </c>
      <c r="L1807" s="482">
        <v>0</v>
      </c>
      <c r="M1807" s="482">
        <v>0.28599999999999998</v>
      </c>
    </row>
    <row r="1808" spans="1:13" x14ac:dyDescent="0.2">
      <c r="A1808" t="s">
        <v>2548</v>
      </c>
      <c r="B1808" t="s">
        <v>17</v>
      </c>
      <c r="C1808" t="s">
        <v>87</v>
      </c>
      <c r="D1808" t="s">
        <v>598</v>
      </c>
      <c r="E1808" t="s">
        <v>599</v>
      </c>
      <c r="F1808" t="s">
        <v>0</v>
      </c>
      <c r="G1808">
        <v>63</v>
      </c>
      <c r="H1808">
        <v>0</v>
      </c>
      <c r="I1808">
        <v>14</v>
      </c>
      <c r="J1808">
        <v>77</v>
      </c>
      <c r="K1808" s="482">
        <v>0.81799999999999995</v>
      </c>
      <c r="L1808" s="482">
        <v>0</v>
      </c>
      <c r="M1808" s="482">
        <v>0.182</v>
      </c>
    </row>
    <row r="1809" spans="1:13" x14ac:dyDescent="0.2">
      <c r="A1809" t="s">
        <v>2549</v>
      </c>
      <c r="B1809" t="s">
        <v>17</v>
      </c>
      <c r="C1809" t="s">
        <v>87</v>
      </c>
      <c r="D1809" t="s">
        <v>601</v>
      </c>
      <c r="E1809" t="s">
        <v>602</v>
      </c>
      <c r="F1809" t="s">
        <v>0</v>
      </c>
      <c r="G1809">
        <v>9</v>
      </c>
      <c r="H1809">
        <v>0</v>
      </c>
      <c r="I1809">
        <v>1</v>
      </c>
      <c r="J1809">
        <v>10</v>
      </c>
      <c r="K1809" s="482">
        <v>0.9</v>
      </c>
      <c r="L1809" s="482">
        <v>0</v>
      </c>
      <c r="M1809" s="482">
        <v>0.1</v>
      </c>
    </row>
    <row r="1810" spans="1:13" x14ac:dyDescent="0.2">
      <c r="A1810" t="s">
        <v>2550</v>
      </c>
      <c r="B1810" t="s">
        <v>17</v>
      </c>
      <c r="C1810" t="s">
        <v>87</v>
      </c>
      <c r="D1810" t="s">
        <v>604</v>
      </c>
      <c r="E1810" t="s">
        <v>605</v>
      </c>
      <c r="F1810" t="s">
        <v>0</v>
      </c>
      <c r="G1810">
        <v>24</v>
      </c>
      <c r="H1810">
        <v>0</v>
      </c>
      <c r="I1810">
        <v>2</v>
      </c>
      <c r="J1810">
        <v>26</v>
      </c>
      <c r="K1810" s="482">
        <v>0.92300000000000004</v>
      </c>
      <c r="L1810" s="482">
        <v>0</v>
      </c>
      <c r="M1810" s="482">
        <v>7.6999999999999999E-2</v>
      </c>
    </row>
    <row r="1811" spans="1:13" x14ac:dyDescent="0.2">
      <c r="A1811" t="s">
        <v>2589</v>
      </c>
      <c r="B1811" t="s">
        <v>17</v>
      </c>
      <c r="C1811" t="s">
        <v>87</v>
      </c>
      <c r="D1811" t="s">
        <v>607</v>
      </c>
      <c r="E1811" t="s">
        <v>608</v>
      </c>
      <c r="F1811" t="s">
        <v>0</v>
      </c>
      <c r="G1811">
        <v>7</v>
      </c>
      <c r="H1811">
        <v>0</v>
      </c>
      <c r="I1811">
        <v>1</v>
      </c>
      <c r="J1811">
        <v>8</v>
      </c>
      <c r="K1811" s="482">
        <v>0.875</v>
      </c>
      <c r="L1811" s="482">
        <v>0</v>
      </c>
      <c r="M1811" s="482">
        <v>0.125</v>
      </c>
    </row>
    <row r="1812" spans="1:13" x14ac:dyDescent="0.2">
      <c r="A1812" t="s">
        <v>2574</v>
      </c>
      <c r="B1812" t="s">
        <v>17</v>
      </c>
      <c r="C1812" t="s">
        <v>87</v>
      </c>
      <c r="D1812" t="s">
        <v>683</v>
      </c>
      <c r="E1812" t="s">
        <v>684</v>
      </c>
      <c r="F1812" t="s">
        <v>0</v>
      </c>
      <c r="G1812">
        <v>31</v>
      </c>
      <c r="H1812">
        <v>0</v>
      </c>
      <c r="I1812">
        <v>7</v>
      </c>
      <c r="J1812">
        <v>38</v>
      </c>
      <c r="K1812" s="482">
        <v>0.81599999999999995</v>
      </c>
      <c r="L1812" s="482">
        <v>0</v>
      </c>
      <c r="M1812" s="482">
        <v>0.184</v>
      </c>
    </row>
    <row r="1813" spans="1:13" x14ac:dyDescent="0.2">
      <c r="A1813" t="s">
        <v>6569</v>
      </c>
      <c r="B1813" t="s">
        <v>17</v>
      </c>
      <c r="C1813" t="s">
        <v>87</v>
      </c>
      <c r="D1813" t="s">
        <v>686</v>
      </c>
      <c r="E1813" t="s">
        <v>687</v>
      </c>
      <c r="F1813" t="s">
        <v>0</v>
      </c>
      <c r="G1813">
        <v>0</v>
      </c>
      <c r="H1813">
        <v>0</v>
      </c>
      <c r="I1813" t="s">
        <v>53</v>
      </c>
      <c r="J1813" t="s">
        <v>53</v>
      </c>
      <c r="K1813" t="s">
        <v>53</v>
      </c>
      <c r="L1813" t="s">
        <v>53</v>
      </c>
      <c r="M1813" t="s">
        <v>53</v>
      </c>
    </row>
    <row r="1814" spans="1:13" x14ac:dyDescent="0.2">
      <c r="A1814" t="s">
        <v>2575</v>
      </c>
      <c r="B1814" t="s">
        <v>17</v>
      </c>
      <c r="C1814" t="s">
        <v>87</v>
      </c>
      <c r="D1814" t="s">
        <v>689</v>
      </c>
      <c r="E1814" t="s">
        <v>690</v>
      </c>
      <c r="F1814" t="s">
        <v>0</v>
      </c>
      <c r="G1814">
        <v>5</v>
      </c>
      <c r="H1814">
        <v>0</v>
      </c>
      <c r="I1814">
        <v>2</v>
      </c>
      <c r="J1814">
        <v>7</v>
      </c>
      <c r="K1814" s="482">
        <v>0.71399999999999997</v>
      </c>
      <c r="L1814" s="482">
        <v>0</v>
      </c>
      <c r="M1814" s="482">
        <v>0.28599999999999998</v>
      </c>
    </row>
    <row r="1815" spans="1:13" x14ac:dyDescent="0.2">
      <c r="A1815" t="s">
        <v>2576</v>
      </c>
      <c r="B1815" t="s">
        <v>17</v>
      </c>
      <c r="C1815" t="s">
        <v>87</v>
      </c>
      <c r="D1815" t="s">
        <v>692</v>
      </c>
      <c r="E1815" t="s">
        <v>693</v>
      </c>
      <c r="F1815" t="s">
        <v>0</v>
      </c>
      <c r="G1815">
        <v>36</v>
      </c>
      <c r="H1815">
        <v>0</v>
      </c>
      <c r="I1815">
        <v>9</v>
      </c>
      <c r="J1815">
        <v>45</v>
      </c>
      <c r="K1815" s="482">
        <v>0.8</v>
      </c>
      <c r="L1815" s="482">
        <v>0</v>
      </c>
      <c r="M1815" s="482">
        <v>0.2</v>
      </c>
    </row>
    <row r="1816" spans="1:13" x14ac:dyDescent="0.2">
      <c r="A1816" t="s">
        <v>2577</v>
      </c>
      <c r="B1816" t="s">
        <v>17</v>
      </c>
      <c r="C1816" t="s">
        <v>87</v>
      </c>
      <c r="D1816" t="s">
        <v>695</v>
      </c>
      <c r="E1816" t="s">
        <v>696</v>
      </c>
      <c r="F1816" t="s">
        <v>0</v>
      </c>
      <c r="G1816">
        <v>25</v>
      </c>
      <c r="H1816">
        <v>0</v>
      </c>
      <c r="I1816">
        <v>12</v>
      </c>
      <c r="J1816">
        <v>37</v>
      </c>
      <c r="K1816" s="482">
        <v>0.67600000000000005</v>
      </c>
      <c r="L1816" s="482">
        <v>0</v>
      </c>
      <c r="M1816" s="482">
        <v>0.32400000000000001</v>
      </c>
    </row>
    <row r="1817" spans="1:13" x14ac:dyDescent="0.2">
      <c r="A1817" t="s">
        <v>2578</v>
      </c>
      <c r="B1817" t="s">
        <v>17</v>
      </c>
      <c r="C1817" t="s">
        <v>87</v>
      </c>
      <c r="D1817" t="s">
        <v>698</v>
      </c>
      <c r="E1817" t="s">
        <v>699</v>
      </c>
      <c r="F1817" t="s">
        <v>0</v>
      </c>
      <c r="G1817">
        <v>22</v>
      </c>
      <c r="H1817">
        <v>0</v>
      </c>
      <c r="I1817">
        <v>4</v>
      </c>
      <c r="J1817">
        <v>26</v>
      </c>
      <c r="K1817" s="482">
        <v>0.84599999999999997</v>
      </c>
      <c r="L1817" s="482">
        <v>0</v>
      </c>
      <c r="M1817" s="482">
        <v>0.154</v>
      </c>
    </row>
    <row r="1818" spans="1:13" x14ac:dyDescent="0.2">
      <c r="A1818" t="s">
        <v>2579</v>
      </c>
      <c r="B1818" t="s">
        <v>17</v>
      </c>
      <c r="C1818" t="s">
        <v>87</v>
      </c>
      <c r="D1818" t="s">
        <v>701</v>
      </c>
      <c r="E1818" t="s">
        <v>702</v>
      </c>
      <c r="F1818" t="s">
        <v>0</v>
      </c>
      <c r="G1818" t="s">
        <v>53</v>
      </c>
      <c r="H1818">
        <v>0</v>
      </c>
      <c r="I1818" t="s">
        <v>53</v>
      </c>
      <c r="J1818" t="s">
        <v>53</v>
      </c>
      <c r="K1818" t="s">
        <v>53</v>
      </c>
      <c r="L1818" t="s">
        <v>53</v>
      </c>
      <c r="M1818" t="s">
        <v>53</v>
      </c>
    </row>
    <row r="1819" spans="1:13" x14ac:dyDescent="0.2">
      <c r="A1819" t="s">
        <v>2580</v>
      </c>
      <c r="B1819" t="s">
        <v>17</v>
      </c>
      <c r="C1819" t="s">
        <v>87</v>
      </c>
      <c r="D1819" t="s">
        <v>704</v>
      </c>
      <c r="E1819" t="s">
        <v>705</v>
      </c>
      <c r="F1819" t="s">
        <v>0</v>
      </c>
      <c r="G1819">
        <v>33</v>
      </c>
      <c r="H1819">
        <v>0</v>
      </c>
      <c r="I1819">
        <v>9</v>
      </c>
      <c r="J1819">
        <v>42</v>
      </c>
      <c r="K1819" s="482">
        <v>0.78600000000000003</v>
      </c>
      <c r="L1819" s="482">
        <v>0</v>
      </c>
      <c r="M1819" s="482">
        <v>0.214</v>
      </c>
    </row>
    <row r="1820" spans="1:13" x14ac:dyDescent="0.2">
      <c r="A1820" t="s">
        <v>2581</v>
      </c>
      <c r="B1820" t="s">
        <v>17</v>
      </c>
      <c r="C1820" t="s">
        <v>87</v>
      </c>
      <c r="D1820" t="s">
        <v>707</v>
      </c>
      <c r="E1820" t="s">
        <v>708</v>
      </c>
      <c r="F1820" t="s">
        <v>0</v>
      </c>
      <c r="G1820" t="s">
        <v>53</v>
      </c>
      <c r="H1820">
        <v>0</v>
      </c>
      <c r="I1820">
        <v>0</v>
      </c>
      <c r="J1820" t="s">
        <v>53</v>
      </c>
      <c r="K1820" t="s">
        <v>53</v>
      </c>
      <c r="L1820" t="s">
        <v>53</v>
      </c>
      <c r="M1820" t="s">
        <v>53</v>
      </c>
    </row>
    <row r="1821" spans="1:13" x14ac:dyDescent="0.2">
      <c r="A1821" t="s">
        <v>2582</v>
      </c>
      <c r="B1821" t="s">
        <v>17</v>
      </c>
      <c r="C1821" t="s">
        <v>87</v>
      </c>
      <c r="D1821" t="s">
        <v>710</v>
      </c>
      <c r="E1821" t="s">
        <v>711</v>
      </c>
      <c r="F1821" t="s">
        <v>0</v>
      </c>
      <c r="G1821">
        <v>33</v>
      </c>
      <c r="H1821">
        <v>0</v>
      </c>
      <c r="I1821">
        <v>5</v>
      </c>
      <c r="J1821">
        <v>38</v>
      </c>
      <c r="K1821" s="482">
        <v>0.86799999999999999</v>
      </c>
      <c r="L1821" s="482">
        <v>0</v>
      </c>
      <c r="M1821" s="482">
        <v>0.13200000000000001</v>
      </c>
    </row>
    <row r="1822" spans="1:13" x14ac:dyDescent="0.2">
      <c r="A1822" t="s">
        <v>2583</v>
      </c>
      <c r="B1822" t="s">
        <v>17</v>
      </c>
      <c r="C1822" t="s">
        <v>87</v>
      </c>
      <c r="D1822" t="s">
        <v>713</v>
      </c>
      <c r="E1822" t="s">
        <v>714</v>
      </c>
      <c r="F1822" t="s">
        <v>0</v>
      </c>
      <c r="G1822">
        <v>31</v>
      </c>
      <c r="H1822">
        <v>0</v>
      </c>
      <c r="I1822">
        <v>1</v>
      </c>
      <c r="J1822">
        <v>32</v>
      </c>
      <c r="K1822" s="482">
        <v>0.96899999999999997</v>
      </c>
      <c r="L1822" s="482">
        <v>0</v>
      </c>
      <c r="M1822" s="482">
        <v>3.1E-2</v>
      </c>
    </row>
    <row r="1823" spans="1:13" x14ac:dyDescent="0.2">
      <c r="A1823" t="s">
        <v>2584</v>
      </c>
      <c r="B1823" t="s">
        <v>17</v>
      </c>
      <c r="C1823" t="s">
        <v>87</v>
      </c>
      <c r="D1823" t="s">
        <v>716</v>
      </c>
      <c r="E1823" t="s">
        <v>717</v>
      </c>
      <c r="F1823" t="s">
        <v>0</v>
      </c>
      <c r="G1823">
        <v>20</v>
      </c>
      <c r="H1823">
        <v>0</v>
      </c>
      <c r="I1823">
        <v>5</v>
      </c>
      <c r="J1823">
        <v>25</v>
      </c>
      <c r="K1823" s="482">
        <v>0.8</v>
      </c>
      <c r="L1823" s="482">
        <v>0</v>
      </c>
      <c r="M1823" s="482">
        <v>0.2</v>
      </c>
    </row>
    <row r="1824" spans="1:13" x14ac:dyDescent="0.2">
      <c r="A1824" t="s">
        <v>2585</v>
      </c>
      <c r="B1824" t="s">
        <v>17</v>
      </c>
      <c r="C1824" t="s">
        <v>87</v>
      </c>
      <c r="D1824" t="s">
        <v>719</v>
      </c>
      <c r="E1824" t="s">
        <v>720</v>
      </c>
      <c r="F1824" t="s">
        <v>0</v>
      </c>
      <c r="G1824">
        <v>16</v>
      </c>
      <c r="H1824">
        <v>0</v>
      </c>
      <c r="I1824">
        <v>3</v>
      </c>
      <c r="J1824">
        <v>19</v>
      </c>
      <c r="K1824" s="482">
        <v>0.84199999999999997</v>
      </c>
      <c r="L1824" s="482">
        <v>0</v>
      </c>
      <c r="M1824" s="482">
        <v>0.158</v>
      </c>
    </row>
    <row r="1825" spans="1:13" x14ac:dyDescent="0.2">
      <c r="A1825" t="s">
        <v>2586</v>
      </c>
      <c r="B1825" t="s">
        <v>17</v>
      </c>
      <c r="C1825" t="s">
        <v>87</v>
      </c>
      <c r="D1825" t="s">
        <v>725</v>
      </c>
      <c r="E1825" t="s">
        <v>726</v>
      </c>
      <c r="F1825" t="s">
        <v>0</v>
      </c>
      <c r="G1825" t="s">
        <v>53</v>
      </c>
      <c r="H1825">
        <v>0</v>
      </c>
      <c r="I1825" t="s">
        <v>53</v>
      </c>
      <c r="J1825" t="s">
        <v>53</v>
      </c>
      <c r="K1825" t="s">
        <v>53</v>
      </c>
      <c r="L1825" t="s">
        <v>53</v>
      </c>
      <c r="M1825" t="s">
        <v>53</v>
      </c>
    </row>
    <row r="1826" spans="1:13" x14ac:dyDescent="0.2">
      <c r="A1826" t="s">
        <v>2573</v>
      </c>
      <c r="B1826" t="s">
        <v>17</v>
      </c>
      <c r="C1826" t="s">
        <v>87</v>
      </c>
      <c r="D1826" t="s">
        <v>678</v>
      </c>
      <c r="E1826" t="s">
        <v>679</v>
      </c>
      <c r="F1826" t="s">
        <v>0</v>
      </c>
      <c r="G1826">
        <v>83</v>
      </c>
      <c r="H1826">
        <v>0</v>
      </c>
      <c r="I1826">
        <v>13</v>
      </c>
      <c r="J1826">
        <v>96</v>
      </c>
      <c r="K1826" s="482">
        <v>0.86499999999999999</v>
      </c>
      <c r="L1826" s="482">
        <v>0</v>
      </c>
      <c r="M1826" s="482">
        <v>0.13500000000000001</v>
      </c>
    </row>
    <row r="1827" spans="1:13" x14ac:dyDescent="0.2">
      <c r="A1827" t="s">
        <v>2592</v>
      </c>
      <c r="B1827" t="s">
        <v>17</v>
      </c>
      <c r="C1827" t="s">
        <v>87</v>
      </c>
      <c r="D1827" t="s">
        <v>740</v>
      </c>
      <c r="E1827" t="s">
        <v>741</v>
      </c>
      <c r="F1827" t="s">
        <v>0</v>
      </c>
      <c r="G1827">
        <v>10</v>
      </c>
      <c r="H1827">
        <v>0</v>
      </c>
      <c r="I1827">
        <v>4</v>
      </c>
      <c r="J1827">
        <v>14</v>
      </c>
      <c r="K1827" s="482">
        <v>0.71399999999999997</v>
      </c>
      <c r="L1827" s="482">
        <v>0</v>
      </c>
      <c r="M1827" s="482">
        <v>0.28599999999999998</v>
      </c>
    </row>
    <row r="1828" spans="1:13" x14ac:dyDescent="0.2">
      <c r="A1828" t="s">
        <v>2593</v>
      </c>
      <c r="B1828" t="s">
        <v>17</v>
      </c>
      <c r="C1828" t="s">
        <v>87</v>
      </c>
      <c r="D1828" t="s">
        <v>743</v>
      </c>
      <c r="E1828" t="s">
        <v>744</v>
      </c>
      <c r="F1828" t="s">
        <v>0</v>
      </c>
      <c r="G1828">
        <v>14</v>
      </c>
      <c r="H1828">
        <v>0</v>
      </c>
      <c r="I1828">
        <v>3</v>
      </c>
      <c r="J1828">
        <v>17</v>
      </c>
      <c r="K1828" s="482">
        <v>0.82399999999999995</v>
      </c>
      <c r="L1828" s="482">
        <v>0</v>
      </c>
      <c r="M1828" s="482">
        <v>0.17599999999999999</v>
      </c>
    </row>
    <row r="1829" spans="1:13" x14ac:dyDescent="0.2">
      <c r="A1829" t="s">
        <v>2594</v>
      </c>
      <c r="B1829" t="s">
        <v>17</v>
      </c>
      <c r="C1829" t="s">
        <v>87</v>
      </c>
      <c r="D1829" t="s">
        <v>749</v>
      </c>
      <c r="E1829" t="s">
        <v>750</v>
      </c>
      <c r="F1829" t="s">
        <v>0</v>
      </c>
      <c r="G1829">
        <v>13</v>
      </c>
      <c r="H1829">
        <v>0</v>
      </c>
      <c r="I1829">
        <v>3</v>
      </c>
      <c r="J1829">
        <v>16</v>
      </c>
      <c r="K1829" s="482">
        <v>0.81299999999999994</v>
      </c>
      <c r="L1829" s="482">
        <v>0</v>
      </c>
      <c r="M1829" s="482">
        <v>0.188</v>
      </c>
    </row>
    <row r="1830" spans="1:13" x14ac:dyDescent="0.2">
      <c r="A1830" t="s">
        <v>2601</v>
      </c>
      <c r="B1830" t="s">
        <v>17</v>
      </c>
      <c r="C1830" t="s">
        <v>87</v>
      </c>
      <c r="D1830" t="s">
        <v>770</v>
      </c>
      <c r="E1830" t="s">
        <v>771</v>
      </c>
      <c r="F1830" t="s">
        <v>0</v>
      </c>
      <c r="G1830">
        <v>36</v>
      </c>
      <c r="H1830">
        <v>0</v>
      </c>
      <c r="I1830">
        <v>3</v>
      </c>
      <c r="J1830">
        <v>39</v>
      </c>
      <c r="K1830" s="482">
        <v>0.92300000000000004</v>
      </c>
      <c r="L1830" s="482">
        <v>0</v>
      </c>
      <c r="M1830" s="482">
        <v>7.6999999999999999E-2</v>
      </c>
    </row>
    <row r="1831" spans="1:13" x14ac:dyDescent="0.2">
      <c r="A1831" t="s">
        <v>2602</v>
      </c>
      <c r="B1831" t="s">
        <v>17</v>
      </c>
      <c r="C1831" t="s">
        <v>87</v>
      </c>
      <c r="D1831" t="s">
        <v>681</v>
      </c>
      <c r="E1831" t="s">
        <v>336</v>
      </c>
      <c r="F1831" t="s">
        <v>0</v>
      </c>
      <c r="G1831">
        <v>51</v>
      </c>
      <c r="H1831">
        <v>0</v>
      </c>
      <c r="I1831">
        <v>9</v>
      </c>
      <c r="J1831">
        <v>60</v>
      </c>
      <c r="K1831" s="482">
        <v>0.85</v>
      </c>
      <c r="L1831" s="482">
        <v>0</v>
      </c>
      <c r="M1831" s="482">
        <v>0.15</v>
      </c>
    </row>
    <row r="1832" spans="1:13" x14ac:dyDescent="0.2">
      <c r="A1832" t="s">
        <v>2603</v>
      </c>
      <c r="B1832" t="s">
        <v>17</v>
      </c>
      <c r="C1832" t="s">
        <v>87</v>
      </c>
      <c r="D1832" t="s">
        <v>773</v>
      </c>
      <c r="E1832" t="s">
        <v>774</v>
      </c>
      <c r="F1832" t="s">
        <v>0</v>
      </c>
      <c r="G1832">
        <v>32</v>
      </c>
      <c r="H1832">
        <v>0</v>
      </c>
      <c r="I1832">
        <v>14</v>
      </c>
      <c r="J1832">
        <v>46</v>
      </c>
      <c r="K1832" s="482">
        <v>0.69599999999999995</v>
      </c>
      <c r="L1832" s="482">
        <v>0</v>
      </c>
      <c r="M1832" s="482">
        <v>0.30399999999999999</v>
      </c>
    </row>
    <row r="1833" spans="1:13" x14ac:dyDescent="0.2">
      <c r="A1833" t="s">
        <v>2604</v>
      </c>
      <c r="B1833" t="s">
        <v>17</v>
      </c>
      <c r="C1833" t="s">
        <v>87</v>
      </c>
      <c r="D1833" t="s">
        <v>776</v>
      </c>
      <c r="E1833" t="s">
        <v>777</v>
      </c>
      <c r="F1833" t="s">
        <v>0</v>
      </c>
      <c r="G1833">
        <v>20</v>
      </c>
      <c r="H1833">
        <v>0</v>
      </c>
      <c r="I1833">
        <v>6</v>
      </c>
      <c r="J1833">
        <v>26</v>
      </c>
      <c r="K1833" s="482">
        <v>0.76900000000000002</v>
      </c>
      <c r="L1833" s="482">
        <v>0</v>
      </c>
      <c r="M1833" s="482">
        <v>0.23100000000000001</v>
      </c>
    </row>
    <row r="1834" spans="1:13" x14ac:dyDescent="0.2">
      <c r="A1834" t="s">
        <v>2605</v>
      </c>
      <c r="B1834" t="s">
        <v>17</v>
      </c>
      <c r="C1834" t="s">
        <v>87</v>
      </c>
      <c r="D1834" t="s">
        <v>779</v>
      </c>
      <c r="E1834" t="s">
        <v>780</v>
      </c>
      <c r="F1834" t="s">
        <v>0</v>
      </c>
      <c r="G1834">
        <v>16</v>
      </c>
      <c r="H1834">
        <v>0</v>
      </c>
      <c r="I1834">
        <v>2</v>
      </c>
      <c r="J1834">
        <v>18</v>
      </c>
      <c r="K1834" s="482">
        <v>0.88900000000000001</v>
      </c>
      <c r="L1834" s="482">
        <v>0</v>
      </c>
      <c r="M1834" s="482">
        <v>0.111</v>
      </c>
    </row>
    <row r="1835" spans="1:13" x14ac:dyDescent="0.2">
      <c r="A1835" t="s">
        <v>2606</v>
      </c>
      <c r="B1835" t="s">
        <v>17</v>
      </c>
      <c r="C1835" t="s">
        <v>87</v>
      </c>
      <c r="D1835" t="s">
        <v>782</v>
      </c>
      <c r="E1835" t="s">
        <v>783</v>
      </c>
      <c r="F1835" t="s">
        <v>0</v>
      </c>
      <c r="G1835">
        <v>6</v>
      </c>
      <c r="H1835">
        <v>0</v>
      </c>
      <c r="I1835">
        <v>0</v>
      </c>
      <c r="J1835">
        <v>6</v>
      </c>
      <c r="K1835" s="482">
        <v>1</v>
      </c>
      <c r="L1835" s="482">
        <v>0</v>
      </c>
      <c r="M1835" s="482">
        <v>0</v>
      </c>
    </row>
    <row r="1836" spans="1:13" x14ac:dyDescent="0.2">
      <c r="A1836" t="s">
        <v>2607</v>
      </c>
      <c r="B1836" t="s">
        <v>17</v>
      </c>
      <c r="C1836" t="s">
        <v>87</v>
      </c>
      <c r="D1836" t="s">
        <v>785</v>
      </c>
      <c r="E1836" t="s">
        <v>786</v>
      </c>
      <c r="F1836" t="s">
        <v>0</v>
      </c>
      <c r="G1836">
        <v>27</v>
      </c>
      <c r="H1836">
        <v>0</v>
      </c>
      <c r="I1836">
        <v>5</v>
      </c>
      <c r="J1836">
        <v>32</v>
      </c>
      <c r="K1836" s="482">
        <v>0.84399999999999997</v>
      </c>
      <c r="L1836" s="482">
        <v>0</v>
      </c>
      <c r="M1836" s="482">
        <v>0.156</v>
      </c>
    </row>
    <row r="1837" spans="1:13" x14ac:dyDescent="0.2">
      <c r="A1837" t="s">
        <v>2608</v>
      </c>
      <c r="B1837" t="s">
        <v>17</v>
      </c>
      <c r="C1837" t="s">
        <v>87</v>
      </c>
      <c r="D1837" t="s">
        <v>788</v>
      </c>
      <c r="E1837" t="s">
        <v>789</v>
      </c>
      <c r="F1837" t="s">
        <v>0</v>
      </c>
      <c r="G1837" t="s">
        <v>53</v>
      </c>
      <c r="H1837">
        <v>0</v>
      </c>
      <c r="I1837" t="s">
        <v>53</v>
      </c>
      <c r="J1837" t="s">
        <v>53</v>
      </c>
      <c r="K1837" t="s">
        <v>53</v>
      </c>
      <c r="L1837" t="s">
        <v>53</v>
      </c>
      <c r="M1837" t="s">
        <v>53</v>
      </c>
    </row>
    <row r="1838" spans="1:13" x14ac:dyDescent="0.2">
      <c r="A1838" t="s">
        <v>2609</v>
      </c>
      <c r="B1838" t="s">
        <v>17</v>
      </c>
      <c r="C1838" t="s">
        <v>87</v>
      </c>
      <c r="D1838" t="s">
        <v>791</v>
      </c>
      <c r="E1838" t="s">
        <v>792</v>
      </c>
      <c r="F1838" t="s">
        <v>0</v>
      </c>
      <c r="G1838">
        <v>12</v>
      </c>
      <c r="H1838">
        <v>0</v>
      </c>
      <c r="I1838">
        <v>3</v>
      </c>
      <c r="J1838">
        <v>15</v>
      </c>
      <c r="K1838" s="482">
        <v>0.8</v>
      </c>
      <c r="L1838" s="482">
        <v>0</v>
      </c>
      <c r="M1838" s="482">
        <v>0.2</v>
      </c>
    </row>
    <row r="1839" spans="1:13" x14ac:dyDescent="0.2">
      <c r="A1839" t="s">
        <v>6570</v>
      </c>
      <c r="B1839" t="s">
        <v>17</v>
      </c>
      <c r="C1839" t="s">
        <v>87</v>
      </c>
      <c r="D1839" t="s">
        <v>794</v>
      </c>
      <c r="E1839" t="s">
        <v>795</v>
      </c>
      <c r="F1839" t="s">
        <v>0</v>
      </c>
      <c r="G1839">
        <v>5</v>
      </c>
      <c r="H1839">
        <v>0</v>
      </c>
      <c r="I1839">
        <v>3</v>
      </c>
      <c r="J1839">
        <v>8</v>
      </c>
      <c r="K1839" s="482">
        <v>0.625</v>
      </c>
      <c r="L1839" s="482">
        <v>0</v>
      </c>
      <c r="M1839" s="482">
        <v>0.375</v>
      </c>
    </row>
    <row r="1840" spans="1:13" x14ac:dyDescent="0.2">
      <c r="A1840" t="s">
        <v>2610</v>
      </c>
      <c r="B1840" t="s">
        <v>17</v>
      </c>
      <c r="C1840" t="s">
        <v>87</v>
      </c>
      <c r="D1840" t="s">
        <v>797</v>
      </c>
      <c r="E1840" t="s">
        <v>798</v>
      </c>
      <c r="F1840" t="s">
        <v>0</v>
      </c>
      <c r="G1840">
        <v>8</v>
      </c>
      <c r="H1840">
        <v>0</v>
      </c>
      <c r="I1840">
        <v>5</v>
      </c>
      <c r="J1840">
        <v>13</v>
      </c>
      <c r="K1840" s="482">
        <v>0.61499999999999999</v>
      </c>
      <c r="L1840" s="482">
        <v>0</v>
      </c>
      <c r="M1840" s="482">
        <v>0.38500000000000001</v>
      </c>
    </row>
    <row r="1841" spans="1:13" x14ac:dyDescent="0.2">
      <c r="A1841" t="s">
        <v>2611</v>
      </c>
      <c r="B1841" t="s">
        <v>17</v>
      </c>
      <c r="C1841" t="s">
        <v>87</v>
      </c>
      <c r="D1841" t="s">
        <v>800</v>
      </c>
      <c r="E1841" t="s">
        <v>801</v>
      </c>
      <c r="F1841" t="s">
        <v>0</v>
      </c>
      <c r="G1841">
        <v>40</v>
      </c>
      <c r="H1841">
        <v>0</v>
      </c>
      <c r="I1841">
        <v>14</v>
      </c>
      <c r="J1841">
        <v>54</v>
      </c>
      <c r="K1841" s="482">
        <v>0.74099999999999999</v>
      </c>
      <c r="L1841" s="482">
        <v>0</v>
      </c>
      <c r="M1841" s="482">
        <v>0.25900000000000001</v>
      </c>
    </row>
    <row r="1842" spans="1:13" x14ac:dyDescent="0.2">
      <c r="A1842" t="s">
        <v>2612</v>
      </c>
      <c r="B1842" t="s">
        <v>17</v>
      </c>
      <c r="C1842" t="s">
        <v>87</v>
      </c>
      <c r="D1842" t="s">
        <v>803</v>
      </c>
      <c r="E1842" t="s">
        <v>804</v>
      </c>
      <c r="F1842" t="s">
        <v>0</v>
      </c>
      <c r="G1842">
        <v>23</v>
      </c>
      <c r="H1842">
        <v>0</v>
      </c>
      <c r="I1842">
        <v>5</v>
      </c>
      <c r="J1842">
        <v>28</v>
      </c>
      <c r="K1842" s="482">
        <v>0.82099999999999995</v>
      </c>
      <c r="L1842" s="482">
        <v>0</v>
      </c>
      <c r="M1842" s="482">
        <v>0.17899999999999999</v>
      </c>
    </row>
    <row r="1843" spans="1:13" x14ac:dyDescent="0.2">
      <c r="A1843" t="s">
        <v>2613</v>
      </c>
      <c r="B1843" t="s">
        <v>17</v>
      </c>
      <c r="C1843" t="s">
        <v>87</v>
      </c>
      <c r="D1843" t="s">
        <v>806</v>
      </c>
      <c r="E1843" t="s">
        <v>807</v>
      </c>
      <c r="F1843" t="s">
        <v>0</v>
      </c>
      <c r="G1843">
        <v>8</v>
      </c>
      <c r="H1843">
        <v>0</v>
      </c>
      <c r="I1843">
        <v>0</v>
      </c>
      <c r="J1843">
        <v>8</v>
      </c>
      <c r="K1843" s="482">
        <v>1</v>
      </c>
      <c r="L1843" s="482">
        <v>0</v>
      </c>
      <c r="M1843" s="482">
        <v>0</v>
      </c>
    </row>
    <row r="1844" spans="1:13" x14ac:dyDescent="0.2">
      <c r="A1844" t="s">
        <v>2614</v>
      </c>
      <c r="B1844" t="s">
        <v>17</v>
      </c>
      <c r="C1844" t="s">
        <v>87</v>
      </c>
      <c r="D1844" t="s">
        <v>809</v>
      </c>
      <c r="E1844" t="s">
        <v>810</v>
      </c>
      <c r="F1844" t="s">
        <v>0</v>
      </c>
      <c r="G1844">
        <v>92</v>
      </c>
      <c r="H1844">
        <v>0</v>
      </c>
      <c r="I1844">
        <v>28</v>
      </c>
      <c r="J1844">
        <v>120</v>
      </c>
      <c r="K1844" s="482">
        <v>0.76700000000000002</v>
      </c>
      <c r="L1844" s="482">
        <v>0</v>
      </c>
      <c r="M1844" s="482">
        <v>0.23300000000000001</v>
      </c>
    </row>
    <row r="1845" spans="1:13" x14ac:dyDescent="0.2">
      <c r="A1845" t="s">
        <v>2615</v>
      </c>
      <c r="B1845" t="s">
        <v>17</v>
      </c>
      <c r="C1845" t="s">
        <v>87</v>
      </c>
      <c r="D1845" t="s">
        <v>812</v>
      </c>
      <c r="E1845" t="s">
        <v>813</v>
      </c>
      <c r="F1845" t="s">
        <v>0</v>
      </c>
      <c r="G1845">
        <v>20</v>
      </c>
      <c r="H1845">
        <v>0</v>
      </c>
      <c r="I1845">
        <v>3</v>
      </c>
      <c r="J1845">
        <v>23</v>
      </c>
      <c r="K1845" s="482">
        <v>0.87</v>
      </c>
      <c r="L1845" s="482">
        <v>0</v>
      </c>
      <c r="M1845" s="482">
        <v>0.13</v>
      </c>
    </row>
    <row r="1846" spans="1:13" x14ac:dyDescent="0.2">
      <c r="A1846" t="s">
        <v>2616</v>
      </c>
      <c r="B1846" t="s">
        <v>17</v>
      </c>
      <c r="C1846" t="s">
        <v>87</v>
      </c>
      <c r="D1846" t="s">
        <v>815</v>
      </c>
      <c r="E1846" t="s">
        <v>816</v>
      </c>
      <c r="F1846" t="s">
        <v>0</v>
      </c>
      <c r="G1846">
        <v>61</v>
      </c>
      <c r="H1846">
        <v>0</v>
      </c>
      <c r="I1846">
        <v>12</v>
      </c>
      <c r="J1846">
        <v>73</v>
      </c>
      <c r="K1846" s="482">
        <v>0.83599999999999997</v>
      </c>
      <c r="L1846" s="482">
        <v>0</v>
      </c>
      <c r="M1846" s="482">
        <v>0.16400000000000001</v>
      </c>
    </row>
    <row r="1847" spans="1:13" x14ac:dyDescent="0.2">
      <c r="A1847" t="s">
        <v>2617</v>
      </c>
      <c r="B1847" t="s">
        <v>17</v>
      </c>
      <c r="C1847" t="s">
        <v>87</v>
      </c>
      <c r="D1847" t="s">
        <v>818</v>
      </c>
      <c r="E1847" t="s">
        <v>819</v>
      </c>
      <c r="F1847" t="s">
        <v>0</v>
      </c>
      <c r="G1847">
        <v>25</v>
      </c>
      <c r="H1847">
        <v>0</v>
      </c>
      <c r="I1847">
        <v>4</v>
      </c>
      <c r="J1847">
        <v>29</v>
      </c>
      <c r="K1847" s="482">
        <v>0.86199999999999999</v>
      </c>
      <c r="L1847" s="482">
        <v>0</v>
      </c>
      <c r="M1847" s="482">
        <v>0.13800000000000001</v>
      </c>
    </row>
    <row r="1848" spans="1:13" x14ac:dyDescent="0.2">
      <c r="A1848" t="s">
        <v>2618</v>
      </c>
      <c r="B1848" t="s">
        <v>17</v>
      </c>
      <c r="C1848" t="s">
        <v>87</v>
      </c>
      <c r="D1848" t="s">
        <v>824</v>
      </c>
      <c r="E1848" t="s">
        <v>825</v>
      </c>
      <c r="F1848" t="s">
        <v>0</v>
      </c>
      <c r="G1848">
        <v>39</v>
      </c>
      <c r="H1848">
        <v>0</v>
      </c>
      <c r="I1848">
        <v>8</v>
      </c>
      <c r="J1848">
        <v>47</v>
      </c>
      <c r="K1848" s="482">
        <v>0.83</v>
      </c>
      <c r="L1848" s="482">
        <v>0</v>
      </c>
      <c r="M1848" s="482">
        <v>0.17</v>
      </c>
    </row>
    <row r="1849" spans="1:13" x14ac:dyDescent="0.2">
      <c r="A1849" t="s">
        <v>2536</v>
      </c>
      <c r="B1849" t="s">
        <v>17</v>
      </c>
      <c r="C1849" t="s">
        <v>87</v>
      </c>
      <c r="D1849" t="s">
        <v>563</v>
      </c>
      <c r="E1849" t="s">
        <v>564</v>
      </c>
      <c r="F1849" t="s">
        <v>0</v>
      </c>
      <c r="G1849">
        <v>9</v>
      </c>
      <c r="H1849">
        <v>0</v>
      </c>
      <c r="I1849">
        <v>1</v>
      </c>
      <c r="J1849">
        <v>10</v>
      </c>
      <c r="K1849" s="482">
        <v>0.9</v>
      </c>
      <c r="L1849" s="482">
        <v>0</v>
      </c>
      <c r="M1849" s="482">
        <v>0.1</v>
      </c>
    </row>
    <row r="1850" spans="1:13" x14ac:dyDescent="0.2">
      <c r="A1850" t="s">
        <v>2512</v>
      </c>
      <c r="B1850" t="s">
        <v>17</v>
      </c>
      <c r="C1850" t="s">
        <v>87</v>
      </c>
      <c r="D1850" t="s">
        <v>908</v>
      </c>
      <c r="E1850" t="s">
        <v>909</v>
      </c>
      <c r="F1850" t="s">
        <v>0</v>
      </c>
      <c r="G1850">
        <v>64</v>
      </c>
      <c r="H1850">
        <v>0</v>
      </c>
      <c r="I1850">
        <v>6</v>
      </c>
      <c r="J1850">
        <v>70</v>
      </c>
      <c r="K1850" s="482">
        <v>0.91400000000000003</v>
      </c>
      <c r="L1850" s="482">
        <v>0</v>
      </c>
      <c r="M1850" s="482">
        <v>8.5999999999999993E-2</v>
      </c>
    </row>
    <row r="1851" spans="1:13" x14ac:dyDescent="0.2">
      <c r="A1851" t="s">
        <v>2511</v>
      </c>
      <c r="B1851" t="s">
        <v>17</v>
      </c>
      <c r="C1851" t="s">
        <v>87</v>
      </c>
      <c r="D1851" t="s">
        <v>486</v>
      </c>
      <c r="E1851" t="s">
        <v>487</v>
      </c>
      <c r="F1851" t="s">
        <v>0</v>
      </c>
      <c r="G1851">
        <v>32</v>
      </c>
      <c r="H1851">
        <v>0</v>
      </c>
      <c r="I1851">
        <v>8</v>
      </c>
      <c r="J1851">
        <v>40</v>
      </c>
      <c r="K1851" s="482">
        <v>0.8</v>
      </c>
      <c r="L1851" s="482">
        <v>0</v>
      </c>
      <c r="M1851" s="482">
        <v>0.2</v>
      </c>
    </row>
    <row r="1852" spans="1:13" x14ac:dyDescent="0.2">
      <c r="A1852" t="s">
        <v>2643</v>
      </c>
      <c r="B1852" t="s">
        <v>17</v>
      </c>
      <c r="C1852" t="s">
        <v>87</v>
      </c>
      <c r="D1852" t="s">
        <v>489</v>
      </c>
      <c r="E1852" t="s">
        <v>490</v>
      </c>
      <c r="F1852" t="s">
        <v>0</v>
      </c>
      <c r="G1852">
        <v>23</v>
      </c>
      <c r="H1852">
        <v>0</v>
      </c>
      <c r="I1852">
        <v>8</v>
      </c>
      <c r="J1852">
        <v>31</v>
      </c>
      <c r="K1852" s="482">
        <v>0.74199999999999999</v>
      </c>
      <c r="L1852" s="482">
        <v>0</v>
      </c>
      <c r="M1852" s="482">
        <v>0.25800000000000001</v>
      </c>
    </row>
    <row r="1853" spans="1:13" x14ac:dyDescent="0.2">
      <c r="A1853" t="s">
        <v>2646</v>
      </c>
      <c r="B1853" t="s">
        <v>17</v>
      </c>
      <c r="C1853" t="s">
        <v>87</v>
      </c>
      <c r="D1853" t="s">
        <v>911</v>
      </c>
      <c r="E1853" t="s">
        <v>912</v>
      </c>
      <c r="F1853" t="s">
        <v>0</v>
      </c>
      <c r="G1853">
        <v>12</v>
      </c>
      <c r="H1853">
        <v>0</v>
      </c>
      <c r="I1853">
        <v>0</v>
      </c>
      <c r="J1853">
        <v>12</v>
      </c>
      <c r="K1853" s="482">
        <v>1</v>
      </c>
      <c r="L1853" s="482">
        <v>0</v>
      </c>
      <c r="M1853" s="482">
        <v>0</v>
      </c>
    </row>
    <row r="1854" spans="1:13" x14ac:dyDescent="0.2">
      <c r="A1854" t="s">
        <v>2647</v>
      </c>
      <c r="B1854" t="s">
        <v>17</v>
      </c>
      <c r="C1854" t="s">
        <v>87</v>
      </c>
      <c r="D1854" t="s">
        <v>914</v>
      </c>
      <c r="E1854" t="s">
        <v>915</v>
      </c>
      <c r="F1854" t="s">
        <v>0</v>
      </c>
      <c r="G1854">
        <v>8</v>
      </c>
      <c r="H1854">
        <v>0</v>
      </c>
      <c r="I1854">
        <v>3</v>
      </c>
      <c r="J1854">
        <v>11</v>
      </c>
      <c r="K1854" s="482">
        <v>0.72699999999999998</v>
      </c>
      <c r="L1854" s="482">
        <v>0</v>
      </c>
      <c r="M1854" s="482">
        <v>0.27300000000000002</v>
      </c>
    </row>
    <row r="1855" spans="1:13" x14ac:dyDescent="0.2">
      <c r="A1855" t="s">
        <v>2648</v>
      </c>
      <c r="B1855" t="s">
        <v>17</v>
      </c>
      <c r="C1855" t="s">
        <v>87</v>
      </c>
      <c r="D1855" t="s">
        <v>917</v>
      </c>
      <c r="E1855" t="s">
        <v>918</v>
      </c>
      <c r="F1855" t="s">
        <v>0</v>
      </c>
      <c r="G1855">
        <v>15</v>
      </c>
      <c r="H1855">
        <v>0</v>
      </c>
      <c r="I1855">
        <v>1</v>
      </c>
      <c r="J1855">
        <v>16</v>
      </c>
      <c r="K1855" s="482">
        <v>0.93799999999999994</v>
      </c>
      <c r="L1855" s="482">
        <v>0</v>
      </c>
      <c r="M1855" s="482">
        <v>6.3E-2</v>
      </c>
    </row>
    <row r="1856" spans="1:13" x14ac:dyDescent="0.2">
      <c r="A1856" t="s">
        <v>2649</v>
      </c>
      <c r="B1856" t="s">
        <v>17</v>
      </c>
      <c r="C1856" t="s">
        <v>87</v>
      </c>
      <c r="D1856" t="s">
        <v>920</v>
      </c>
      <c r="E1856" t="s">
        <v>921</v>
      </c>
      <c r="F1856" t="s">
        <v>0</v>
      </c>
      <c r="G1856">
        <v>21</v>
      </c>
      <c r="H1856">
        <v>0</v>
      </c>
      <c r="I1856">
        <v>11</v>
      </c>
      <c r="J1856">
        <v>32</v>
      </c>
      <c r="K1856" s="482">
        <v>0.65600000000000003</v>
      </c>
      <c r="L1856" s="482">
        <v>0</v>
      </c>
      <c r="M1856" s="482">
        <v>0.34399999999999997</v>
      </c>
    </row>
    <row r="1857" spans="1:13" x14ac:dyDescent="0.2">
      <c r="A1857" t="s">
        <v>2650</v>
      </c>
      <c r="B1857" t="s">
        <v>17</v>
      </c>
      <c r="C1857" t="s">
        <v>87</v>
      </c>
      <c r="D1857" t="s">
        <v>923</v>
      </c>
      <c r="E1857" t="s">
        <v>924</v>
      </c>
      <c r="F1857" t="s">
        <v>0</v>
      </c>
      <c r="G1857">
        <v>14</v>
      </c>
      <c r="H1857">
        <v>0</v>
      </c>
      <c r="I1857">
        <v>2</v>
      </c>
      <c r="J1857">
        <v>16</v>
      </c>
      <c r="K1857" s="482">
        <v>0.875</v>
      </c>
      <c r="L1857" s="482">
        <v>0</v>
      </c>
      <c r="M1857" s="482">
        <v>0.125</v>
      </c>
    </row>
    <row r="1858" spans="1:13" x14ac:dyDescent="0.2">
      <c r="A1858" t="s">
        <v>2651</v>
      </c>
      <c r="B1858" t="s">
        <v>17</v>
      </c>
      <c r="C1858" t="s">
        <v>87</v>
      </c>
      <c r="D1858" t="s">
        <v>926</v>
      </c>
      <c r="E1858" t="s">
        <v>927</v>
      </c>
      <c r="F1858" t="s">
        <v>0</v>
      </c>
      <c r="G1858">
        <v>5</v>
      </c>
      <c r="H1858">
        <v>0</v>
      </c>
      <c r="I1858">
        <v>1</v>
      </c>
      <c r="J1858">
        <v>6</v>
      </c>
      <c r="K1858" s="482">
        <v>0.83299999999999996</v>
      </c>
      <c r="L1858" s="482">
        <v>0</v>
      </c>
      <c r="M1858" s="482">
        <v>0.16700000000000001</v>
      </c>
    </row>
    <row r="1859" spans="1:13" x14ac:dyDescent="0.2">
      <c r="A1859" t="s">
        <v>2496</v>
      </c>
      <c r="B1859" t="s">
        <v>17</v>
      </c>
      <c r="C1859" t="s">
        <v>87</v>
      </c>
      <c r="D1859" t="s">
        <v>929</v>
      </c>
      <c r="E1859" t="s">
        <v>930</v>
      </c>
      <c r="F1859" t="s">
        <v>0</v>
      </c>
      <c r="G1859">
        <v>16</v>
      </c>
      <c r="H1859">
        <v>0</v>
      </c>
      <c r="I1859">
        <v>3</v>
      </c>
      <c r="J1859">
        <v>19</v>
      </c>
      <c r="K1859" s="482">
        <v>0.84199999999999997</v>
      </c>
      <c r="L1859" s="482">
        <v>0</v>
      </c>
      <c r="M1859" s="482">
        <v>0.158</v>
      </c>
    </row>
    <row r="1860" spans="1:13" x14ac:dyDescent="0.2">
      <c r="A1860" t="s">
        <v>2513</v>
      </c>
      <c r="B1860" t="s">
        <v>17</v>
      </c>
      <c r="C1860" t="s">
        <v>87</v>
      </c>
      <c r="D1860" t="s">
        <v>492</v>
      </c>
      <c r="E1860" t="s">
        <v>493</v>
      </c>
      <c r="F1860" t="s">
        <v>0</v>
      </c>
      <c r="G1860">
        <v>14</v>
      </c>
      <c r="H1860">
        <v>0</v>
      </c>
      <c r="I1860">
        <v>6</v>
      </c>
      <c r="J1860">
        <v>20</v>
      </c>
      <c r="K1860" s="482">
        <v>0.7</v>
      </c>
      <c r="L1860" s="482">
        <v>0</v>
      </c>
      <c r="M1860" s="482">
        <v>0.3</v>
      </c>
    </row>
    <row r="1861" spans="1:13" x14ac:dyDescent="0.2">
      <c r="A1861" t="s">
        <v>2484</v>
      </c>
      <c r="B1861" t="s">
        <v>17</v>
      </c>
      <c r="C1861" t="s">
        <v>87</v>
      </c>
      <c r="D1861" t="s">
        <v>411</v>
      </c>
      <c r="E1861" t="s">
        <v>412</v>
      </c>
      <c r="F1861" t="s">
        <v>0</v>
      </c>
      <c r="G1861">
        <v>19</v>
      </c>
      <c r="H1861">
        <v>0</v>
      </c>
      <c r="I1861">
        <v>6</v>
      </c>
      <c r="J1861">
        <v>25</v>
      </c>
      <c r="K1861" s="482">
        <v>0.76</v>
      </c>
      <c r="L1861" s="482">
        <v>0</v>
      </c>
      <c r="M1861" s="482">
        <v>0.24</v>
      </c>
    </row>
    <row r="1862" spans="1:13" x14ac:dyDescent="0.2">
      <c r="A1862" t="s">
        <v>2485</v>
      </c>
      <c r="B1862" t="s">
        <v>17</v>
      </c>
      <c r="C1862" t="s">
        <v>87</v>
      </c>
      <c r="D1862" t="s">
        <v>414</v>
      </c>
      <c r="E1862" t="s">
        <v>415</v>
      </c>
      <c r="F1862" t="s">
        <v>0</v>
      </c>
      <c r="G1862">
        <v>17</v>
      </c>
      <c r="H1862">
        <v>0</v>
      </c>
      <c r="I1862">
        <v>3</v>
      </c>
      <c r="J1862">
        <v>20</v>
      </c>
      <c r="K1862" s="482">
        <v>0.85</v>
      </c>
      <c r="L1862" s="482">
        <v>0</v>
      </c>
      <c r="M1862" s="482">
        <v>0.15</v>
      </c>
    </row>
    <row r="1863" spans="1:13" x14ac:dyDescent="0.2">
      <c r="A1863" t="s">
        <v>2551</v>
      </c>
      <c r="B1863" t="s">
        <v>17</v>
      </c>
      <c r="C1863" t="s">
        <v>87</v>
      </c>
      <c r="D1863" t="s">
        <v>417</v>
      </c>
      <c r="E1863" t="s">
        <v>418</v>
      </c>
      <c r="F1863" t="s">
        <v>0</v>
      </c>
      <c r="G1863">
        <v>48</v>
      </c>
      <c r="H1863">
        <v>0</v>
      </c>
      <c r="I1863">
        <v>9</v>
      </c>
      <c r="J1863">
        <v>57</v>
      </c>
      <c r="K1863" s="482">
        <v>0.84199999999999997</v>
      </c>
      <c r="L1863" s="482">
        <v>0</v>
      </c>
      <c r="M1863" s="482">
        <v>0.158</v>
      </c>
    </row>
    <row r="1864" spans="1:13" x14ac:dyDescent="0.2">
      <c r="A1864" t="s">
        <v>2552</v>
      </c>
      <c r="B1864" t="s">
        <v>17</v>
      </c>
      <c r="C1864" t="s">
        <v>87</v>
      </c>
      <c r="D1864" t="s">
        <v>610</v>
      </c>
      <c r="E1864" t="s">
        <v>611</v>
      </c>
      <c r="F1864" t="s">
        <v>0</v>
      </c>
      <c r="G1864">
        <v>10</v>
      </c>
      <c r="H1864">
        <v>0</v>
      </c>
      <c r="I1864">
        <v>5</v>
      </c>
      <c r="J1864">
        <v>15</v>
      </c>
      <c r="K1864" s="482">
        <v>0.66700000000000004</v>
      </c>
      <c r="L1864" s="482">
        <v>0</v>
      </c>
      <c r="M1864" s="482">
        <v>0.33300000000000002</v>
      </c>
    </row>
    <row r="1865" spans="1:13" x14ac:dyDescent="0.2">
      <c r="A1865" t="s">
        <v>2553</v>
      </c>
      <c r="B1865" t="s">
        <v>17</v>
      </c>
      <c r="C1865" t="s">
        <v>87</v>
      </c>
      <c r="D1865" t="s">
        <v>613</v>
      </c>
      <c r="E1865" t="s">
        <v>614</v>
      </c>
      <c r="F1865" t="s">
        <v>0</v>
      </c>
      <c r="G1865">
        <v>7</v>
      </c>
      <c r="H1865">
        <v>0</v>
      </c>
      <c r="I1865">
        <v>5</v>
      </c>
      <c r="J1865">
        <v>12</v>
      </c>
      <c r="K1865" s="482">
        <v>0.58299999999999996</v>
      </c>
      <c r="L1865" s="482">
        <v>0</v>
      </c>
      <c r="M1865" s="482">
        <v>0.41699999999999998</v>
      </c>
    </row>
    <row r="1866" spans="1:13" x14ac:dyDescent="0.2">
      <c r="A1866" t="s">
        <v>2554</v>
      </c>
      <c r="B1866" t="s">
        <v>17</v>
      </c>
      <c r="C1866" t="s">
        <v>87</v>
      </c>
      <c r="D1866" t="s">
        <v>616</v>
      </c>
      <c r="E1866" t="s">
        <v>617</v>
      </c>
      <c r="F1866" t="s">
        <v>0</v>
      </c>
      <c r="G1866">
        <v>18</v>
      </c>
      <c r="H1866">
        <v>0</v>
      </c>
      <c r="I1866">
        <v>2</v>
      </c>
      <c r="J1866">
        <v>20</v>
      </c>
      <c r="K1866" s="482">
        <v>0.9</v>
      </c>
      <c r="L1866" s="482">
        <v>0</v>
      </c>
      <c r="M1866" s="482">
        <v>0.1</v>
      </c>
    </row>
    <row r="1867" spans="1:13" x14ac:dyDescent="0.2">
      <c r="A1867" t="s">
        <v>2555</v>
      </c>
      <c r="B1867" t="s">
        <v>17</v>
      </c>
      <c r="C1867" t="s">
        <v>87</v>
      </c>
      <c r="D1867" t="s">
        <v>619</v>
      </c>
      <c r="E1867" t="s">
        <v>338</v>
      </c>
      <c r="F1867" t="s">
        <v>0</v>
      </c>
      <c r="G1867">
        <v>16</v>
      </c>
      <c r="H1867">
        <v>0</v>
      </c>
      <c r="I1867">
        <v>3</v>
      </c>
      <c r="J1867">
        <v>19</v>
      </c>
      <c r="K1867" s="482">
        <v>0.84199999999999997</v>
      </c>
      <c r="L1867" s="482">
        <v>0</v>
      </c>
      <c r="M1867" s="482">
        <v>0.158</v>
      </c>
    </row>
    <row r="1868" spans="1:13" x14ac:dyDescent="0.2">
      <c r="A1868" t="s">
        <v>2556</v>
      </c>
      <c r="B1868" t="s">
        <v>17</v>
      </c>
      <c r="C1868" t="s">
        <v>87</v>
      </c>
      <c r="D1868" t="s">
        <v>621</v>
      </c>
      <c r="E1868" t="s">
        <v>622</v>
      </c>
      <c r="F1868" t="s">
        <v>0</v>
      </c>
      <c r="G1868">
        <v>30</v>
      </c>
      <c r="H1868">
        <v>0</v>
      </c>
      <c r="I1868">
        <v>6</v>
      </c>
      <c r="J1868">
        <v>36</v>
      </c>
      <c r="K1868" s="482">
        <v>0.83299999999999996</v>
      </c>
      <c r="L1868" s="482">
        <v>0</v>
      </c>
      <c r="M1868" s="482">
        <v>0.16700000000000001</v>
      </c>
    </row>
    <row r="1869" spans="1:13" x14ac:dyDescent="0.2">
      <c r="A1869" t="s">
        <v>2557</v>
      </c>
      <c r="B1869" t="s">
        <v>17</v>
      </c>
      <c r="C1869" t="s">
        <v>87</v>
      </c>
      <c r="D1869" t="s">
        <v>624</v>
      </c>
      <c r="E1869" t="s">
        <v>625</v>
      </c>
      <c r="F1869" t="s">
        <v>0</v>
      </c>
      <c r="G1869">
        <v>26</v>
      </c>
      <c r="H1869">
        <v>0</v>
      </c>
      <c r="I1869">
        <v>5</v>
      </c>
      <c r="J1869">
        <v>31</v>
      </c>
      <c r="K1869" s="482">
        <v>0.83899999999999997</v>
      </c>
      <c r="L1869" s="482">
        <v>0</v>
      </c>
      <c r="M1869" s="482">
        <v>0.161</v>
      </c>
    </row>
    <row r="1870" spans="1:13" x14ac:dyDescent="0.2">
      <c r="A1870" t="s">
        <v>6565</v>
      </c>
      <c r="B1870" t="s">
        <v>17</v>
      </c>
      <c r="C1870" t="s">
        <v>87</v>
      </c>
      <c r="D1870" t="s">
        <v>6553</v>
      </c>
      <c r="E1870" t="s">
        <v>6543</v>
      </c>
      <c r="F1870" t="s">
        <v>0</v>
      </c>
      <c r="G1870">
        <v>109</v>
      </c>
      <c r="H1870">
        <v>0</v>
      </c>
      <c r="I1870">
        <v>23</v>
      </c>
      <c r="J1870">
        <v>132</v>
      </c>
      <c r="K1870" s="482">
        <v>0.82599999999999996</v>
      </c>
      <c r="L1870" s="482">
        <v>0</v>
      </c>
      <c r="M1870" s="482">
        <v>0.17399999999999999</v>
      </c>
    </row>
    <row r="1871" spans="1:13" x14ac:dyDescent="0.2">
      <c r="A1871" t="s">
        <v>2558</v>
      </c>
      <c r="B1871" t="s">
        <v>17</v>
      </c>
      <c r="C1871" t="s">
        <v>87</v>
      </c>
      <c r="D1871" t="s">
        <v>630</v>
      </c>
      <c r="E1871" t="s">
        <v>631</v>
      </c>
      <c r="F1871" t="s">
        <v>0</v>
      </c>
      <c r="G1871">
        <v>14</v>
      </c>
      <c r="H1871">
        <v>0</v>
      </c>
      <c r="I1871">
        <v>7</v>
      </c>
      <c r="J1871">
        <v>21</v>
      </c>
      <c r="K1871" s="482">
        <v>0.66700000000000004</v>
      </c>
      <c r="L1871" s="482">
        <v>0</v>
      </c>
      <c r="M1871" s="482">
        <v>0.33300000000000002</v>
      </c>
    </row>
    <row r="1872" spans="1:13" x14ac:dyDescent="0.2">
      <c r="A1872" t="s">
        <v>2559</v>
      </c>
      <c r="B1872" t="s">
        <v>17</v>
      </c>
      <c r="C1872" t="s">
        <v>87</v>
      </c>
      <c r="D1872" t="s">
        <v>633</v>
      </c>
      <c r="E1872" t="s">
        <v>634</v>
      </c>
      <c r="F1872" t="s">
        <v>0</v>
      </c>
      <c r="G1872" t="s">
        <v>53</v>
      </c>
      <c r="H1872">
        <v>0</v>
      </c>
      <c r="I1872">
        <v>0</v>
      </c>
      <c r="J1872" t="s">
        <v>53</v>
      </c>
      <c r="K1872" t="s">
        <v>53</v>
      </c>
      <c r="L1872" t="s">
        <v>53</v>
      </c>
      <c r="M1872" t="s">
        <v>53</v>
      </c>
    </row>
    <row r="1873" spans="1:13" x14ac:dyDescent="0.2">
      <c r="A1873" t="s">
        <v>2560</v>
      </c>
      <c r="B1873" t="s">
        <v>17</v>
      </c>
      <c r="C1873" t="s">
        <v>87</v>
      </c>
      <c r="D1873" t="s">
        <v>636</v>
      </c>
      <c r="E1873" t="s">
        <v>637</v>
      </c>
      <c r="F1873" t="s">
        <v>0</v>
      </c>
      <c r="G1873">
        <v>31</v>
      </c>
      <c r="H1873">
        <v>0</v>
      </c>
      <c r="I1873">
        <v>7</v>
      </c>
      <c r="J1873">
        <v>38</v>
      </c>
      <c r="K1873" s="482">
        <v>0.81599999999999995</v>
      </c>
      <c r="L1873" s="482">
        <v>0</v>
      </c>
      <c r="M1873" s="482">
        <v>0.184</v>
      </c>
    </row>
    <row r="1874" spans="1:13" x14ac:dyDescent="0.2">
      <c r="A1874" t="s">
        <v>2561</v>
      </c>
      <c r="B1874" t="s">
        <v>17</v>
      </c>
      <c r="C1874" t="s">
        <v>87</v>
      </c>
      <c r="D1874" t="s">
        <v>639</v>
      </c>
      <c r="E1874" t="s">
        <v>640</v>
      </c>
      <c r="F1874" t="s">
        <v>0</v>
      </c>
      <c r="G1874">
        <v>23</v>
      </c>
      <c r="H1874">
        <v>0</v>
      </c>
      <c r="I1874">
        <v>3</v>
      </c>
      <c r="J1874">
        <v>26</v>
      </c>
      <c r="K1874" s="482">
        <v>0.88500000000000001</v>
      </c>
      <c r="L1874" s="482">
        <v>0</v>
      </c>
      <c r="M1874" s="482">
        <v>0.115</v>
      </c>
    </row>
    <row r="1875" spans="1:13" x14ac:dyDescent="0.2">
      <c r="A1875" t="s">
        <v>2562</v>
      </c>
      <c r="B1875" t="s">
        <v>17</v>
      </c>
      <c r="C1875" t="s">
        <v>87</v>
      </c>
      <c r="D1875" t="s">
        <v>642</v>
      </c>
      <c r="E1875" t="s">
        <v>643</v>
      </c>
      <c r="F1875" t="s">
        <v>0</v>
      </c>
      <c r="G1875">
        <v>15</v>
      </c>
      <c r="H1875">
        <v>0</v>
      </c>
      <c r="I1875">
        <v>4</v>
      </c>
      <c r="J1875">
        <v>19</v>
      </c>
      <c r="K1875" s="482">
        <v>0.78900000000000003</v>
      </c>
      <c r="L1875" s="482">
        <v>0</v>
      </c>
      <c r="M1875" s="482">
        <v>0.21099999999999999</v>
      </c>
    </row>
    <row r="1876" spans="1:13" x14ac:dyDescent="0.2">
      <c r="A1876" t="s">
        <v>2563</v>
      </c>
      <c r="B1876" t="s">
        <v>17</v>
      </c>
      <c r="C1876" t="s">
        <v>87</v>
      </c>
      <c r="D1876" t="s">
        <v>645</v>
      </c>
      <c r="E1876" t="s">
        <v>646</v>
      </c>
      <c r="F1876" t="s">
        <v>0</v>
      </c>
      <c r="G1876">
        <v>7</v>
      </c>
      <c r="H1876">
        <v>0</v>
      </c>
      <c r="I1876">
        <v>2</v>
      </c>
      <c r="J1876">
        <v>9</v>
      </c>
      <c r="K1876" s="482">
        <v>0.77800000000000002</v>
      </c>
      <c r="L1876" s="482">
        <v>0</v>
      </c>
      <c r="M1876" s="482">
        <v>0.222</v>
      </c>
    </row>
    <row r="1877" spans="1:13" x14ac:dyDescent="0.2">
      <c r="A1877" t="s">
        <v>2564</v>
      </c>
      <c r="B1877" t="s">
        <v>17</v>
      </c>
      <c r="C1877" t="s">
        <v>87</v>
      </c>
      <c r="D1877" t="s">
        <v>648</v>
      </c>
      <c r="E1877" t="s">
        <v>649</v>
      </c>
      <c r="F1877" t="s">
        <v>0</v>
      </c>
      <c r="G1877" t="s">
        <v>53</v>
      </c>
      <c r="H1877">
        <v>0</v>
      </c>
      <c r="I1877">
        <v>0</v>
      </c>
      <c r="J1877" t="s">
        <v>53</v>
      </c>
      <c r="K1877" t="s">
        <v>53</v>
      </c>
      <c r="L1877" t="s">
        <v>53</v>
      </c>
      <c r="M1877" t="s">
        <v>53</v>
      </c>
    </row>
    <row r="1878" spans="1:13" x14ac:dyDescent="0.2">
      <c r="A1878" t="s">
        <v>2565</v>
      </c>
      <c r="B1878" t="s">
        <v>17</v>
      </c>
      <c r="C1878" t="s">
        <v>87</v>
      </c>
      <c r="D1878" t="s">
        <v>654</v>
      </c>
      <c r="E1878" t="s">
        <v>655</v>
      </c>
      <c r="F1878" t="s">
        <v>0</v>
      </c>
      <c r="G1878">
        <v>18</v>
      </c>
      <c r="H1878">
        <v>0</v>
      </c>
      <c r="I1878">
        <v>1</v>
      </c>
      <c r="J1878">
        <v>19</v>
      </c>
      <c r="K1878" s="482">
        <v>0.94699999999999995</v>
      </c>
      <c r="L1878" s="482">
        <v>0</v>
      </c>
      <c r="M1878" s="482">
        <v>5.2999999999999999E-2</v>
      </c>
    </row>
    <row r="1879" spans="1:13" x14ac:dyDescent="0.2">
      <c r="A1879" t="s">
        <v>2566</v>
      </c>
      <c r="B1879" t="s">
        <v>17</v>
      </c>
      <c r="C1879" t="s">
        <v>87</v>
      </c>
      <c r="D1879" t="s">
        <v>657</v>
      </c>
      <c r="E1879" t="s">
        <v>658</v>
      </c>
      <c r="F1879" t="s">
        <v>0</v>
      </c>
      <c r="G1879">
        <v>7</v>
      </c>
      <c r="H1879">
        <v>0</v>
      </c>
      <c r="I1879">
        <v>0</v>
      </c>
      <c r="J1879">
        <v>7</v>
      </c>
      <c r="K1879" s="482">
        <v>1</v>
      </c>
      <c r="L1879" s="482">
        <v>0</v>
      </c>
      <c r="M1879" s="482">
        <v>0</v>
      </c>
    </row>
    <row r="1880" spans="1:13" x14ac:dyDescent="0.2">
      <c r="A1880" t="s">
        <v>2567</v>
      </c>
      <c r="B1880" t="s">
        <v>17</v>
      </c>
      <c r="C1880" t="s">
        <v>87</v>
      </c>
      <c r="D1880" t="s">
        <v>660</v>
      </c>
      <c r="E1880" t="s">
        <v>661</v>
      </c>
      <c r="F1880" t="s">
        <v>0</v>
      </c>
      <c r="G1880" t="s">
        <v>53</v>
      </c>
      <c r="H1880">
        <v>0</v>
      </c>
      <c r="I1880">
        <v>0</v>
      </c>
      <c r="J1880" t="s">
        <v>53</v>
      </c>
      <c r="K1880" t="s">
        <v>53</v>
      </c>
      <c r="L1880" t="s">
        <v>53</v>
      </c>
      <c r="M1880" t="s">
        <v>53</v>
      </c>
    </row>
    <row r="1881" spans="1:13" x14ac:dyDescent="0.2">
      <c r="A1881" t="s">
        <v>2568</v>
      </c>
      <c r="B1881" t="s">
        <v>17</v>
      </c>
      <c r="C1881" t="s">
        <v>87</v>
      </c>
      <c r="D1881" t="s">
        <v>663</v>
      </c>
      <c r="E1881" t="s">
        <v>664</v>
      </c>
      <c r="F1881" t="s">
        <v>0</v>
      </c>
      <c r="G1881">
        <v>54</v>
      </c>
      <c r="H1881">
        <v>0</v>
      </c>
      <c r="I1881">
        <v>7</v>
      </c>
      <c r="J1881">
        <v>61</v>
      </c>
      <c r="K1881" s="482">
        <v>0.88500000000000001</v>
      </c>
      <c r="L1881" s="482">
        <v>0</v>
      </c>
      <c r="M1881" s="482">
        <v>0.115</v>
      </c>
    </row>
    <row r="1882" spans="1:13" x14ac:dyDescent="0.2">
      <c r="A1882" t="s">
        <v>2569</v>
      </c>
      <c r="B1882" t="s">
        <v>17</v>
      </c>
      <c r="C1882" t="s">
        <v>87</v>
      </c>
      <c r="D1882" t="s">
        <v>666</v>
      </c>
      <c r="E1882" t="s">
        <v>667</v>
      </c>
      <c r="F1882" t="s">
        <v>0</v>
      </c>
      <c r="G1882">
        <v>4</v>
      </c>
      <c r="H1882">
        <v>1</v>
      </c>
      <c r="I1882">
        <v>1</v>
      </c>
      <c r="J1882">
        <v>6</v>
      </c>
      <c r="K1882" s="482">
        <v>0.66700000000000004</v>
      </c>
      <c r="L1882" s="482">
        <v>0.16700000000000001</v>
      </c>
      <c r="M1882" s="482">
        <v>0.16700000000000001</v>
      </c>
    </row>
    <row r="1883" spans="1:13" x14ac:dyDescent="0.2">
      <c r="A1883" t="s">
        <v>2570</v>
      </c>
      <c r="B1883" t="s">
        <v>17</v>
      </c>
      <c r="C1883" t="s">
        <v>87</v>
      </c>
      <c r="D1883" t="s">
        <v>669</v>
      </c>
      <c r="E1883" t="s">
        <v>670</v>
      </c>
      <c r="F1883" t="s">
        <v>0</v>
      </c>
      <c r="G1883">
        <v>7</v>
      </c>
      <c r="H1883">
        <v>0</v>
      </c>
      <c r="I1883">
        <v>1</v>
      </c>
      <c r="J1883">
        <v>8</v>
      </c>
      <c r="K1883" s="482">
        <v>0.875</v>
      </c>
      <c r="L1883" s="482">
        <v>0</v>
      </c>
      <c r="M1883" s="482">
        <v>0.125</v>
      </c>
    </row>
    <row r="1884" spans="1:13" x14ac:dyDescent="0.2">
      <c r="A1884" t="s">
        <v>2571</v>
      </c>
      <c r="B1884" t="s">
        <v>17</v>
      </c>
      <c r="C1884" t="s">
        <v>87</v>
      </c>
      <c r="D1884" t="s">
        <v>672</v>
      </c>
      <c r="E1884" t="s">
        <v>673</v>
      </c>
      <c r="F1884" t="s">
        <v>0</v>
      </c>
      <c r="G1884">
        <v>32</v>
      </c>
      <c r="H1884">
        <v>0</v>
      </c>
      <c r="I1884">
        <v>11</v>
      </c>
      <c r="J1884">
        <v>43</v>
      </c>
      <c r="K1884" s="482">
        <v>0.74399999999999999</v>
      </c>
      <c r="L1884" s="482">
        <v>0</v>
      </c>
      <c r="M1884" s="482">
        <v>0.25600000000000001</v>
      </c>
    </row>
    <row r="1885" spans="1:13" x14ac:dyDescent="0.2">
      <c r="A1885" t="s">
        <v>2572</v>
      </c>
      <c r="B1885" t="s">
        <v>17</v>
      </c>
      <c r="C1885" t="s">
        <v>87</v>
      </c>
      <c r="D1885" t="s">
        <v>675</v>
      </c>
      <c r="E1885" t="s">
        <v>676</v>
      </c>
      <c r="F1885" t="s">
        <v>0</v>
      </c>
      <c r="G1885">
        <v>13</v>
      </c>
      <c r="H1885">
        <v>0</v>
      </c>
      <c r="I1885">
        <v>6</v>
      </c>
      <c r="J1885">
        <v>19</v>
      </c>
      <c r="K1885" s="482">
        <v>0.68400000000000005</v>
      </c>
      <c r="L1885" s="482">
        <v>0</v>
      </c>
      <c r="M1885" s="482">
        <v>0.316</v>
      </c>
    </row>
    <row r="1886" spans="1:13" x14ac:dyDescent="0.2">
      <c r="A1886" t="s">
        <v>2673</v>
      </c>
      <c r="B1886" t="s">
        <v>17</v>
      </c>
      <c r="C1886" t="s">
        <v>87</v>
      </c>
      <c r="D1886" t="s">
        <v>992</v>
      </c>
      <c r="E1886" t="s">
        <v>993</v>
      </c>
      <c r="F1886" t="s">
        <v>0</v>
      </c>
      <c r="G1886" t="s">
        <v>53</v>
      </c>
      <c r="H1886">
        <v>0</v>
      </c>
      <c r="I1886" t="s">
        <v>53</v>
      </c>
      <c r="J1886" t="s">
        <v>53</v>
      </c>
      <c r="K1886" t="s">
        <v>53</v>
      </c>
      <c r="L1886" t="s">
        <v>53</v>
      </c>
      <c r="M1886" t="s">
        <v>53</v>
      </c>
    </row>
    <row r="1887" spans="1:13" x14ac:dyDescent="0.2">
      <c r="A1887" t="s">
        <v>2674</v>
      </c>
      <c r="B1887" t="s">
        <v>17</v>
      </c>
      <c r="C1887" t="s">
        <v>87</v>
      </c>
      <c r="D1887" t="s">
        <v>995</v>
      </c>
      <c r="E1887" t="s">
        <v>996</v>
      </c>
      <c r="F1887" t="s">
        <v>0</v>
      </c>
      <c r="G1887">
        <v>33</v>
      </c>
      <c r="H1887">
        <v>0</v>
      </c>
      <c r="I1887">
        <v>5</v>
      </c>
      <c r="J1887">
        <v>38</v>
      </c>
      <c r="K1887" s="482">
        <v>0.86799999999999999</v>
      </c>
      <c r="L1887" s="482">
        <v>0</v>
      </c>
      <c r="M1887" s="482">
        <v>0.13200000000000001</v>
      </c>
    </row>
    <row r="1888" spans="1:13" x14ac:dyDescent="0.2">
      <c r="A1888" t="s">
        <v>2675</v>
      </c>
      <c r="B1888" t="s">
        <v>17</v>
      </c>
      <c r="C1888" t="s">
        <v>87</v>
      </c>
      <c r="D1888" t="s">
        <v>998</v>
      </c>
      <c r="E1888" t="s">
        <v>999</v>
      </c>
      <c r="F1888" t="s">
        <v>0</v>
      </c>
      <c r="G1888">
        <v>19</v>
      </c>
      <c r="H1888">
        <v>1</v>
      </c>
      <c r="I1888">
        <v>10</v>
      </c>
      <c r="J1888">
        <v>30</v>
      </c>
      <c r="K1888" s="482">
        <v>0.63300000000000001</v>
      </c>
      <c r="L1888" s="482">
        <v>3.3000000000000002E-2</v>
      </c>
      <c r="M1888" s="482">
        <v>0.33300000000000002</v>
      </c>
    </row>
    <row r="1889" spans="1:13" x14ac:dyDescent="0.2">
      <c r="A1889" t="s">
        <v>2676</v>
      </c>
      <c r="B1889" t="s">
        <v>17</v>
      </c>
      <c r="C1889" t="s">
        <v>87</v>
      </c>
      <c r="D1889" t="s">
        <v>1001</v>
      </c>
      <c r="E1889" t="s">
        <v>1002</v>
      </c>
      <c r="F1889" t="s">
        <v>0</v>
      </c>
      <c r="G1889">
        <v>8</v>
      </c>
      <c r="H1889">
        <v>0</v>
      </c>
      <c r="I1889">
        <v>0</v>
      </c>
      <c r="J1889">
        <v>8</v>
      </c>
      <c r="K1889" s="482">
        <v>1</v>
      </c>
      <c r="L1889" s="482">
        <v>0</v>
      </c>
      <c r="M1889" s="482">
        <v>0</v>
      </c>
    </row>
    <row r="1890" spans="1:13" x14ac:dyDescent="0.2">
      <c r="A1890" t="s">
        <v>2677</v>
      </c>
      <c r="B1890" t="s">
        <v>17</v>
      </c>
      <c r="C1890" t="s">
        <v>87</v>
      </c>
      <c r="D1890" t="s">
        <v>1007</v>
      </c>
      <c r="E1890" t="s">
        <v>1008</v>
      </c>
      <c r="F1890" t="s">
        <v>0</v>
      </c>
      <c r="G1890" t="s">
        <v>53</v>
      </c>
      <c r="H1890">
        <v>0</v>
      </c>
      <c r="I1890" t="s">
        <v>53</v>
      </c>
      <c r="J1890" t="s">
        <v>53</v>
      </c>
      <c r="K1890" t="s">
        <v>53</v>
      </c>
      <c r="L1890" t="s">
        <v>53</v>
      </c>
      <c r="M1890" t="s">
        <v>53</v>
      </c>
    </row>
    <row r="1891" spans="1:13" x14ac:dyDescent="0.2">
      <c r="A1891" t="s">
        <v>2678</v>
      </c>
      <c r="B1891" t="s">
        <v>17</v>
      </c>
      <c r="C1891" t="s">
        <v>87</v>
      </c>
      <c r="D1891" t="s">
        <v>1010</v>
      </c>
      <c r="E1891" t="s">
        <v>1011</v>
      </c>
      <c r="F1891" t="s">
        <v>0</v>
      </c>
      <c r="G1891">
        <v>6</v>
      </c>
      <c r="H1891">
        <v>0</v>
      </c>
      <c r="I1891">
        <v>1</v>
      </c>
      <c r="J1891">
        <v>7</v>
      </c>
      <c r="K1891" s="482">
        <v>0.85699999999999998</v>
      </c>
      <c r="L1891" s="482">
        <v>0</v>
      </c>
      <c r="M1891" s="482">
        <v>0.14299999999999999</v>
      </c>
    </row>
    <row r="1892" spans="1:13" x14ac:dyDescent="0.2">
      <c r="A1892" t="s">
        <v>2486</v>
      </c>
      <c r="B1892" t="s">
        <v>17</v>
      </c>
      <c r="C1892" t="s">
        <v>87</v>
      </c>
      <c r="D1892" t="s">
        <v>1013</v>
      </c>
      <c r="E1892" t="s">
        <v>1014</v>
      </c>
      <c r="F1892" t="s">
        <v>0</v>
      </c>
      <c r="G1892">
        <v>32</v>
      </c>
      <c r="H1892">
        <v>0</v>
      </c>
      <c r="I1892">
        <v>4</v>
      </c>
      <c r="J1892">
        <v>36</v>
      </c>
      <c r="K1892" s="482">
        <v>0.88900000000000001</v>
      </c>
      <c r="L1892" s="482">
        <v>0</v>
      </c>
      <c r="M1892" s="482">
        <v>0.111</v>
      </c>
    </row>
    <row r="1893" spans="1:13" x14ac:dyDescent="0.2">
      <c r="A1893" t="s">
        <v>2487</v>
      </c>
      <c r="B1893" t="s">
        <v>17</v>
      </c>
      <c r="C1893" t="s">
        <v>87</v>
      </c>
      <c r="D1893" t="s">
        <v>420</v>
      </c>
      <c r="E1893" t="s">
        <v>421</v>
      </c>
      <c r="F1893" t="s">
        <v>0</v>
      </c>
      <c r="G1893">
        <v>29</v>
      </c>
      <c r="H1893">
        <v>0</v>
      </c>
      <c r="I1893">
        <v>2</v>
      </c>
      <c r="J1893">
        <v>31</v>
      </c>
      <c r="K1893" s="482">
        <v>0.93500000000000005</v>
      </c>
      <c r="L1893" s="482">
        <v>0</v>
      </c>
      <c r="M1893" s="482">
        <v>6.5000000000000002E-2</v>
      </c>
    </row>
    <row r="1894" spans="1:13" x14ac:dyDescent="0.2">
      <c r="A1894" t="s">
        <v>2488</v>
      </c>
      <c r="B1894" t="s">
        <v>17</v>
      </c>
      <c r="C1894" t="s">
        <v>87</v>
      </c>
      <c r="D1894" t="s">
        <v>423</v>
      </c>
      <c r="E1894" t="s">
        <v>424</v>
      </c>
      <c r="F1894" t="s">
        <v>0</v>
      </c>
      <c r="G1894" t="s">
        <v>53</v>
      </c>
      <c r="H1894">
        <v>0</v>
      </c>
      <c r="I1894">
        <v>0</v>
      </c>
      <c r="J1894" t="s">
        <v>53</v>
      </c>
      <c r="K1894" t="s">
        <v>53</v>
      </c>
      <c r="L1894" t="s">
        <v>53</v>
      </c>
      <c r="M1894" t="s">
        <v>53</v>
      </c>
    </row>
    <row r="1895" spans="1:13" x14ac:dyDescent="0.2">
      <c r="A1895" t="s">
        <v>2489</v>
      </c>
      <c r="B1895" t="s">
        <v>17</v>
      </c>
      <c r="C1895" t="s">
        <v>87</v>
      </c>
      <c r="D1895" t="s">
        <v>426</v>
      </c>
      <c r="E1895" t="s">
        <v>427</v>
      </c>
      <c r="F1895" t="s">
        <v>0</v>
      </c>
      <c r="G1895">
        <v>66</v>
      </c>
      <c r="H1895">
        <v>0</v>
      </c>
      <c r="I1895">
        <v>13</v>
      </c>
      <c r="J1895">
        <v>79</v>
      </c>
      <c r="K1895" s="482">
        <v>0.83499999999999996</v>
      </c>
      <c r="L1895" s="482">
        <v>0</v>
      </c>
      <c r="M1895" s="482">
        <v>0.16500000000000001</v>
      </c>
    </row>
    <row r="1896" spans="1:13" x14ac:dyDescent="0.2">
      <c r="A1896" t="s">
        <v>2490</v>
      </c>
      <c r="B1896" t="s">
        <v>17</v>
      </c>
      <c r="C1896" t="s">
        <v>87</v>
      </c>
      <c r="D1896" t="s">
        <v>429</v>
      </c>
      <c r="E1896" t="s">
        <v>430</v>
      </c>
      <c r="F1896" t="s">
        <v>0</v>
      </c>
      <c r="G1896">
        <v>25</v>
      </c>
      <c r="H1896">
        <v>0</v>
      </c>
      <c r="I1896">
        <v>4</v>
      </c>
      <c r="J1896">
        <v>29</v>
      </c>
      <c r="K1896" s="482">
        <v>0.86199999999999999</v>
      </c>
      <c r="L1896" s="482">
        <v>0</v>
      </c>
      <c r="M1896" s="482">
        <v>0.13800000000000001</v>
      </c>
    </row>
    <row r="1897" spans="1:13" x14ac:dyDescent="0.2">
      <c r="A1897" t="s">
        <v>2491</v>
      </c>
      <c r="B1897" t="s">
        <v>17</v>
      </c>
      <c r="C1897" t="s">
        <v>87</v>
      </c>
      <c r="D1897" t="s">
        <v>432</v>
      </c>
      <c r="E1897" t="s">
        <v>433</v>
      </c>
      <c r="F1897" t="s">
        <v>0</v>
      </c>
      <c r="G1897">
        <v>13</v>
      </c>
      <c r="H1897">
        <v>0</v>
      </c>
      <c r="I1897">
        <v>3</v>
      </c>
      <c r="J1897">
        <v>16</v>
      </c>
      <c r="K1897" s="482">
        <v>0.81299999999999994</v>
      </c>
      <c r="L1897" s="482">
        <v>0</v>
      </c>
      <c r="M1897" s="482">
        <v>0.188</v>
      </c>
    </row>
    <row r="1898" spans="1:13" x14ac:dyDescent="0.2">
      <c r="A1898" t="s">
        <v>2492</v>
      </c>
      <c r="B1898" t="s">
        <v>17</v>
      </c>
      <c r="C1898" t="s">
        <v>87</v>
      </c>
      <c r="D1898" t="s">
        <v>435</v>
      </c>
      <c r="E1898" t="s">
        <v>436</v>
      </c>
      <c r="F1898" t="s">
        <v>0</v>
      </c>
      <c r="G1898">
        <v>21</v>
      </c>
      <c r="H1898">
        <v>0</v>
      </c>
      <c r="I1898">
        <v>8</v>
      </c>
      <c r="J1898">
        <v>29</v>
      </c>
      <c r="K1898" s="482">
        <v>0.72399999999999998</v>
      </c>
      <c r="L1898" s="482">
        <v>0</v>
      </c>
      <c r="M1898" s="482">
        <v>0.27600000000000002</v>
      </c>
    </row>
    <row r="1899" spans="1:13" x14ac:dyDescent="0.2">
      <c r="A1899" t="s">
        <v>2591</v>
      </c>
      <c r="B1899" t="s">
        <v>17</v>
      </c>
      <c r="C1899" t="s">
        <v>87</v>
      </c>
      <c r="D1899" t="s">
        <v>737</v>
      </c>
      <c r="E1899" t="s">
        <v>738</v>
      </c>
      <c r="F1899" t="s">
        <v>0</v>
      </c>
      <c r="G1899">
        <v>18</v>
      </c>
      <c r="H1899">
        <v>0</v>
      </c>
      <c r="I1899">
        <v>2</v>
      </c>
      <c r="J1899">
        <v>20</v>
      </c>
      <c r="K1899" s="482">
        <v>0.9</v>
      </c>
      <c r="L1899" s="482">
        <v>0</v>
      </c>
      <c r="M1899" s="482">
        <v>0.1</v>
      </c>
    </row>
    <row r="1900" spans="1:13" x14ac:dyDescent="0.2">
      <c r="A1900" t="s">
        <v>2590</v>
      </c>
      <c r="B1900" t="s">
        <v>17</v>
      </c>
      <c r="C1900" t="s">
        <v>87</v>
      </c>
      <c r="D1900" t="s">
        <v>734</v>
      </c>
      <c r="E1900" t="s">
        <v>735</v>
      </c>
      <c r="F1900" t="s">
        <v>0</v>
      </c>
      <c r="G1900">
        <v>18</v>
      </c>
      <c r="H1900">
        <v>0</v>
      </c>
      <c r="I1900">
        <v>4</v>
      </c>
      <c r="J1900">
        <v>22</v>
      </c>
      <c r="K1900" s="482">
        <v>0.81799999999999995</v>
      </c>
      <c r="L1900" s="482">
        <v>0</v>
      </c>
      <c r="M1900" s="482">
        <v>0.182</v>
      </c>
    </row>
    <row r="1901" spans="1:13" x14ac:dyDescent="0.2">
      <c r="A1901" t="s">
        <v>2767</v>
      </c>
      <c r="B1901" t="s">
        <v>17</v>
      </c>
      <c r="C1901" t="s">
        <v>87</v>
      </c>
      <c r="D1901" t="s">
        <v>734</v>
      </c>
      <c r="E1901" t="s">
        <v>735</v>
      </c>
      <c r="F1901" t="s">
        <v>179</v>
      </c>
      <c r="G1901">
        <v>8</v>
      </c>
      <c r="H1901">
        <v>6</v>
      </c>
      <c r="I1901">
        <v>9</v>
      </c>
      <c r="J1901">
        <v>23</v>
      </c>
      <c r="K1901" s="482">
        <v>0.34799999999999998</v>
      </c>
      <c r="L1901" s="482">
        <v>0.26100000000000001</v>
      </c>
      <c r="M1901" s="482">
        <v>0.39100000000000001</v>
      </c>
    </row>
    <row r="1902" spans="1:13" x14ac:dyDescent="0.2">
      <c r="A1902" t="s">
        <v>2686</v>
      </c>
      <c r="B1902" t="s">
        <v>17</v>
      </c>
      <c r="C1902" t="s">
        <v>87</v>
      </c>
      <c r="D1902" t="s">
        <v>989</v>
      </c>
      <c r="E1902" t="s">
        <v>990</v>
      </c>
      <c r="F1902" t="s">
        <v>179</v>
      </c>
      <c r="G1902">
        <v>5</v>
      </c>
      <c r="H1902">
        <v>0</v>
      </c>
      <c r="I1902">
        <v>8</v>
      </c>
      <c r="J1902">
        <v>13</v>
      </c>
      <c r="K1902" s="482">
        <v>0.38500000000000001</v>
      </c>
      <c r="L1902" s="482">
        <v>0</v>
      </c>
      <c r="M1902" s="482">
        <v>0.61499999999999999</v>
      </c>
    </row>
    <row r="1903" spans="1:13" x14ac:dyDescent="0.2">
      <c r="A1903" t="s">
        <v>2866</v>
      </c>
      <c r="B1903" t="s">
        <v>17</v>
      </c>
      <c r="C1903" t="s">
        <v>87</v>
      </c>
      <c r="D1903" t="s">
        <v>432</v>
      </c>
      <c r="E1903" t="s">
        <v>433</v>
      </c>
      <c r="F1903" t="s">
        <v>179</v>
      </c>
      <c r="G1903">
        <v>8</v>
      </c>
      <c r="H1903">
        <v>1</v>
      </c>
      <c r="I1903">
        <v>6</v>
      </c>
      <c r="J1903">
        <v>15</v>
      </c>
      <c r="K1903" s="482">
        <v>0.53300000000000003</v>
      </c>
      <c r="L1903" s="482">
        <v>6.7000000000000004E-2</v>
      </c>
      <c r="M1903" s="482">
        <v>0.4</v>
      </c>
    </row>
    <row r="1904" spans="1:13" x14ac:dyDescent="0.2">
      <c r="A1904" t="s">
        <v>2867</v>
      </c>
      <c r="B1904" t="s">
        <v>17</v>
      </c>
      <c r="C1904" t="s">
        <v>87</v>
      </c>
      <c r="D1904" t="s">
        <v>429</v>
      </c>
      <c r="E1904" t="s">
        <v>430</v>
      </c>
      <c r="F1904" t="s">
        <v>179</v>
      </c>
      <c r="G1904">
        <v>14</v>
      </c>
      <c r="H1904">
        <v>8</v>
      </c>
      <c r="I1904">
        <v>9</v>
      </c>
      <c r="J1904">
        <v>31</v>
      </c>
      <c r="K1904" s="482">
        <v>0.45200000000000001</v>
      </c>
      <c r="L1904" s="482">
        <v>0.25800000000000001</v>
      </c>
      <c r="M1904" s="482">
        <v>0.28999999999999998</v>
      </c>
    </row>
    <row r="1905" spans="1:13" x14ac:dyDescent="0.2">
      <c r="A1905" t="s">
        <v>2868</v>
      </c>
      <c r="B1905" t="s">
        <v>17</v>
      </c>
      <c r="C1905" t="s">
        <v>87</v>
      </c>
      <c r="D1905" t="s">
        <v>426</v>
      </c>
      <c r="E1905" t="s">
        <v>427</v>
      </c>
      <c r="F1905" t="s">
        <v>179</v>
      </c>
      <c r="G1905">
        <v>27</v>
      </c>
      <c r="H1905">
        <v>14</v>
      </c>
      <c r="I1905">
        <v>34</v>
      </c>
      <c r="J1905">
        <v>75</v>
      </c>
      <c r="K1905" s="482">
        <v>0.36</v>
      </c>
      <c r="L1905" s="482">
        <v>0.187</v>
      </c>
      <c r="M1905" s="482">
        <v>0.45300000000000001</v>
      </c>
    </row>
    <row r="1906" spans="1:13" x14ac:dyDescent="0.2">
      <c r="A1906" t="s">
        <v>2713</v>
      </c>
      <c r="B1906" t="s">
        <v>17</v>
      </c>
      <c r="C1906" t="s">
        <v>87</v>
      </c>
      <c r="D1906" t="s">
        <v>905</v>
      </c>
      <c r="E1906" t="s">
        <v>906</v>
      </c>
      <c r="F1906" t="s">
        <v>179</v>
      </c>
      <c r="G1906">
        <v>22</v>
      </c>
      <c r="H1906">
        <v>10</v>
      </c>
      <c r="I1906">
        <v>11</v>
      </c>
      <c r="J1906">
        <v>43</v>
      </c>
      <c r="K1906" s="482">
        <v>0.51200000000000001</v>
      </c>
      <c r="L1906" s="482">
        <v>0.23300000000000001</v>
      </c>
      <c r="M1906" s="482">
        <v>0.25600000000000001</v>
      </c>
    </row>
    <row r="1907" spans="1:13" x14ac:dyDescent="0.2">
      <c r="A1907" t="s">
        <v>2869</v>
      </c>
      <c r="B1907" t="s">
        <v>17</v>
      </c>
      <c r="C1907" t="s">
        <v>87</v>
      </c>
      <c r="D1907" t="s">
        <v>423</v>
      </c>
      <c r="E1907" t="s">
        <v>424</v>
      </c>
      <c r="F1907" t="s">
        <v>179</v>
      </c>
      <c r="G1907" t="s">
        <v>53</v>
      </c>
      <c r="H1907" t="s">
        <v>53</v>
      </c>
      <c r="I1907">
        <v>0</v>
      </c>
      <c r="J1907" t="s">
        <v>53</v>
      </c>
      <c r="K1907" t="s">
        <v>53</v>
      </c>
      <c r="L1907" t="s">
        <v>53</v>
      </c>
      <c r="M1907" t="s">
        <v>53</v>
      </c>
    </row>
    <row r="1908" spans="1:13" x14ac:dyDescent="0.2">
      <c r="A1908" t="s">
        <v>2870</v>
      </c>
      <c r="B1908" t="s">
        <v>17</v>
      </c>
      <c r="C1908" t="s">
        <v>87</v>
      </c>
      <c r="D1908" t="s">
        <v>420</v>
      </c>
      <c r="E1908" t="s">
        <v>421</v>
      </c>
      <c r="F1908" t="s">
        <v>179</v>
      </c>
      <c r="G1908">
        <v>16</v>
      </c>
      <c r="H1908">
        <v>8</v>
      </c>
      <c r="I1908">
        <v>9</v>
      </c>
      <c r="J1908">
        <v>33</v>
      </c>
      <c r="K1908" s="482">
        <v>0.48499999999999999</v>
      </c>
      <c r="L1908" s="482">
        <v>0.24199999999999999</v>
      </c>
      <c r="M1908" s="482">
        <v>0.27300000000000002</v>
      </c>
    </row>
    <row r="1909" spans="1:13" x14ac:dyDescent="0.2">
      <c r="A1909" t="s">
        <v>2871</v>
      </c>
      <c r="B1909" t="s">
        <v>17</v>
      </c>
      <c r="C1909" t="s">
        <v>87</v>
      </c>
      <c r="D1909" t="s">
        <v>1013</v>
      </c>
      <c r="E1909" t="s">
        <v>1014</v>
      </c>
      <c r="F1909" t="s">
        <v>179</v>
      </c>
      <c r="G1909">
        <v>11</v>
      </c>
      <c r="H1909">
        <v>6</v>
      </c>
      <c r="I1909">
        <v>19</v>
      </c>
      <c r="J1909">
        <v>36</v>
      </c>
      <c r="K1909" s="482">
        <v>0.30599999999999999</v>
      </c>
      <c r="L1909" s="482">
        <v>0.16700000000000001</v>
      </c>
      <c r="M1909" s="482">
        <v>0.52800000000000002</v>
      </c>
    </row>
    <row r="1910" spans="1:13" x14ac:dyDescent="0.2">
      <c r="A1910" t="s">
        <v>2679</v>
      </c>
      <c r="B1910" t="s">
        <v>17</v>
      </c>
      <c r="C1910" t="s">
        <v>87</v>
      </c>
      <c r="D1910" t="s">
        <v>1010</v>
      </c>
      <c r="E1910" t="s">
        <v>1011</v>
      </c>
      <c r="F1910" t="s">
        <v>179</v>
      </c>
      <c r="G1910">
        <v>1</v>
      </c>
      <c r="H1910">
        <v>3</v>
      </c>
      <c r="I1910">
        <v>3</v>
      </c>
      <c r="J1910">
        <v>7</v>
      </c>
      <c r="K1910" s="482">
        <v>0.14299999999999999</v>
      </c>
      <c r="L1910" s="482">
        <v>0.42899999999999999</v>
      </c>
      <c r="M1910" s="482">
        <v>0.42899999999999999</v>
      </c>
    </row>
    <row r="1911" spans="1:13" x14ac:dyDescent="0.2">
      <c r="A1911" t="s">
        <v>2680</v>
      </c>
      <c r="B1911" t="s">
        <v>17</v>
      </c>
      <c r="C1911" t="s">
        <v>87</v>
      </c>
      <c r="D1911" t="s">
        <v>1007</v>
      </c>
      <c r="E1911" t="s">
        <v>1008</v>
      </c>
      <c r="F1911" t="s">
        <v>179</v>
      </c>
      <c r="G1911" t="s">
        <v>53</v>
      </c>
      <c r="H1911" t="s">
        <v>53</v>
      </c>
      <c r="I1911" t="s">
        <v>53</v>
      </c>
      <c r="J1911" t="s">
        <v>53</v>
      </c>
      <c r="K1911" t="s">
        <v>53</v>
      </c>
      <c r="L1911" t="s">
        <v>53</v>
      </c>
      <c r="M1911" t="s">
        <v>53</v>
      </c>
    </row>
    <row r="1912" spans="1:13" x14ac:dyDescent="0.2">
      <c r="A1912" t="s">
        <v>2682</v>
      </c>
      <c r="B1912" t="s">
        <v>17</v>
      </c>
      <c r="C1912" t="s">
        <v>87</v>
      </c>
      <c r="D1912" t="s">
        <v>1001</v>
      </c>
      <c r="E1912" t="s">
        <v>1002</v>
      </c>
      <c r="F1912" t="s">
        <v>179</v>
      </c>
      <c r="G1912">
        <v>4</v>
      </c>
      <c r="H1912">
        <v>2</v>
      </c>
      <c r="I1912">
        <v>3</v>
      </c>
      <c r="J1912">
        <v>9</v>
      </c>
      <c r="K1912" s="482">
        <v>0.44400000000000001</v>
      </c>
      <c r="L1912" s="482">
        <v>0.222</v>
      </c>
      <c r="M1912" s="482">
        <v>0.33300000000000002</v>
      </c>
    </row>
    <row r="1913" spans="1:13" x14ac:dyDescent="0.2">
      <c r="A1913" t="s">
        <v>2683</v>
      </c>
      <c r="B1913" t="s">
        <v>17</v>
      </c>
      <c r="C1913" t="s">
        <v>87</v>
      </c>
      <c r="D1913" t="s">
        <v>998</v>
      </c>
      <c r="E1913" t="s">
        <v>999</v>
      </c>
      <c r="F1913" t="s">
        <v>179</v>
      </c>
      <c r="G1913">
        <v>10</v>
      </c>
      <c r="H1913">
        <v>5</v>
      </c>
      <c r="I1913">
        <v>13</v>
      </c>
      <c r="J1913">
        <v>28</v>
      </c>
      <c r="K1913" s="482">
        <v>0.35699999999999998</v>
      </c>
      <c r="L1913" s="482">
        <v>0.17899999999999999</v>
      </c>
      <c r="M1913" s="482">
        <v>0.46400000000000002</v>
      </c>
    </row>
    <row r="1914" spans="1:13" x14ac:dyDescent="0.2">
      <c r="A1914" t="s">
        <v>2684</v>
      </c>
      <c r="B1914" t="s">
        <v>17</v>
      </c>
      <c r="C1914" t="s">
        <v>87</v>
      </c>
      <c r="D1914" t="s">
        <v>995</v>
      </c>
      <c r="E1914" t="s">
        <v>996</v>
      </c>
      <c r="F1914" t="s">
        <v>179</v>
      </c>
      <c r="G1914">
        <v>12</v>
      </c>
      <c r="H1914">
        <v>10</v>
      </c>
      <c r="I1914">
        <v>14</v>
      </c>
      <c r="J1914">
        <v>36</v>
      </c>
      <c r="K1914" s="482">
        <v>0.33300000000000002</v>
      </c>
      <c r="L1914" s="482">
        <v>0.27800000000000002</v>
      </c>
      <c r="M1914" s="482">
        <v>0.38900000000000001</v>
      </c>
    </row>
    <row r="1915" spans="1:13" x14ac:dyDescent="0.2">
      <c r="A1915" t="s">
        <v>2685</v>
      </c>
      <c r="B1915" t="s">
        <v>17</v>
      </c>
      <c r="C1915" t="s">
        <v>87</v>
      </c>
      <c r="D1915" t="s">
        <v>992</v>
      </c>
      <c r="E1915" t="s">
        <v>993</v>
      </c>
      <c r="F1915" t="s">
        <v>179</v>
      </c>
      <c r="G1915" t="s">
        <v>53</v>
      </c>
      <c r="H1915">
        <v>0</v>
      </c>
      <c r="I1915" t="s">
        <v>53</v>
      </c>
      <c r="J1915" t="s">
        <v>53</v>
      </c>
      <c r="K1915" t="s">
        <v>53</v>
      </c>
      <c r="L1915" t="s">
        <v>53</v>
      </c>
      <c r="M1915" t="s">
        <v>53</v>
      </c>
    </row>
    <row r="1916" spans="1:13" x14ac:dyDescent="0.2">
      <c r="A1916" t="s">
        <v>2785</v>
      </c>
      <c r="B1916" t="s">
        <v>17</v>
      </c>
      <c r="C1916" t="s">
        <v>87</v>
      </c>
      <c r="D1916" t="s">
        <v>675</v>
      </c>
      <c r="E1916" t="s">
        <v>676</v>
      </c>
      <c r="F1916" t="s">
        <v>179</v>
      </c>
      <c r="G1916">
        <v>8</v>
      </c>
      <c r="H1916">
        <v>3</v>
      </c>
      <c r="I1916">
        <v>8</v>
      </c>
      <c r="J1916">
        <v>19</v>
      </c>
      <c r="K1916" s="482">
        <v>0.42099999999999999</v>
      </c>
      <c r="L1916" s="482">
        <v>0.158</v>
      </c>
      <c r="M1916" s="482">
        <v>0.42099999999999999</v>
      </c>
    </row>
    <row r="1917" spans="1:13" x14ac:dyDescent="0.2">
      <c r="A1917" t="s">
        <v>2786</v>
      </c>
      <c r="B1917" t="s">
        <v>17</v>
      </c>
      <c r="C1917" t="s">
        <v>87</v>
      </c>
      <c r="D1917" t="s">
        <v>672</v>
      </c>
      <c r="E1917" t="s">
        <v>673</v>
      </c>
      <c r="F1917" t="s">
        <v>179</v>
      </c>
      <c r="G1917">
        <v>14</v>
      </c>
      <c r="H1917">
        <v>12</v>
      </c>
      <c r="I1917">
        <v>16</v>
      </c>
      <c r="J1917">
        <v>42</v>
      </c>
      <c r="K1917" s="482">
        <v>0.33300000000000002</v>
      </c>
      <c r="L1917" s="482">
        <v>0.28599999999999998</v>
      </c>
      <c r="M1917" s="482">
        <v>0.38100000000000001</v>
      </c>
    </row>
    <row r="1918" spans="1:13" x14ac:dyDescent="0.2">
      <c r="A1918" t="s">
        <v>2787</v>
      </c>
      <c r="B1918" t="s">
        <v>17</v>
      </c>
      <c r="C1918" t="s">
        <v>87</v>
      </c>
      <c r="D1918" t="s">
        <v>669</v>
      </c>
      <c r="E1918" t="s">
        <v>670</v>
      </c>
      <c r="F1918" t="s">
        <v>179</v>
      </c>
      <c r="G1918">
        <v>3</v>
      </c>
      <c r="H1918">
        <v>1</v>
      </c>
      <c r="I1918">
        <v>4</v>
      </c>
      <c r="J1918">
        <v>8</v>
      </c>
      <c r="K1918" s="482">
        <v>0.375</v>
      </c>
      <c r="L1918" s="482">
        <v>0.125</v>
      </c>
      <c r="M1918" s="482">
        <v>0.5</v>
      </c>
    </row>
    <row r="1919" spans="1:13" x14ac:dyDescent="0.2">
      <c r="A1919" t="s">
        <v>2788</v>
      </c>
      <c r="B1919" t="s">
        <v>17</v>
      </c>
      <c r="C1919" t="s">
        <v>87</v>
      </c>
      <c r="D1919" t="s">
        <v>666</v>
      </c>
      <c r="E1919" t="s">
        <v>667</v>
      </c>
      <c r="F1919" t="s">
        <v>179</v>
      </c>
      <c r="G1919">
        <v>0</v>
      </c>
      <c r="H1919">
        <v>1</v>
      </c>
      <c r="I1919">
        <v>5</v>
      </c>
      <c r="J1919">
        <v>6</v>
      </c>
      <c r="K1919" s="482">
        <v>0</v>
      </c>
      <c r="L1919" s="482">
        <v>0.16700000000000001</v>
      </c>
      <c r="M1919" s="482">
        <v>0.83299999999999996</v>
      </c>
    </row>
    <row r="1920" spans="1:13" x14ac:dyDescent="0.2">
      <c r="A1920" t="s">
        <v>2789</v>
      </c>
      <c r="B1920" t="s">
        <v>17</v>
      </c>
      <c r="C1920" t="s">
        <v>87</v>
      </c>
      <c r="D1920" t="s">
        <v>663</v>
      </c>
      <c r="E1920" t="s">
        <v>664</v>
      </c>
      <c r="F1920" t="s">
        <v>179</v>
      </c>
      <c r="G1920">
        <v>24</v>
      </c>
      <c r="H1920">
        <v>10</v>
      </c>
      <c r="I1920">
        <v>22</v>
      </c>
      <c r="J1920">
        <v>56</v>
      </c>
      <c r="K1920" s="482">
        <v>0.42899999999999999</v>
      </c>
      <c r="L1920" s="482">
        <v>0.17899999999999999</v>
      </c>
      <c r="M1920" s="482">
        <v>0.39300000000000002</v>
      </c>
    </row>
    <row r="1921" spans="1:13" x14ac:dyDescent="0.2">
      <c r="A1921" t="s">
        <v>2790</v>
      </c>
      <c r="B1921" t="s">
        <v>17</v>
      </c>
      <c r="C1921" t="s">
        <v>87</v>
      </c>
      <c r="D1921" t="s">
        <v>660</v>
      </c>
      <c r="E1921" t="s">
        <v>661</v>
      </c>
      <c r="F1921" t="s">
        <v>179</v>
      </c>
      <c r="G1921">
        <v>3</v>
      </c>
      <c r="H1921">
        <v>1</v>
      </c>
      <c r="I1921">
        <v>2</v>
      </c>
      <c r="J1921">
        <v>6</v>
      </c>
      <c r="K1921" s="482">
        <v>0.5</v>
      </c>
      <c r="L1921" s="482">
        <v>0.16700000000000001</v>
      </c>
      <c r="M1921" s="482">
        <v>0.33300000000000002</v>
      </c>
    </row>
    <row r="1922" spans="1:13" x14ac:dyDescent="0.2">
      <c r="A1922" t="s">
        <v>2791</v>
      </c>
      <c r="B1922" t="s">
        <v>17</v>
      </c>
      <c r="C1922" t="s">
        <v>87</v>
      </c>
      <c r="D1922" t="s">
        <v>657</v>
      </c>
      <c r="E1922" t="s">
        <v>658</v>
      </c>
      <c r="F1922" t="s">
        <v>179</v>
      </c>
      <c r="G1922">
        <v>2</v>
      </c>
      <c r="H1922">
        <v>2</v>
      </c>
      <c r="I1922">
        <v>3</v>
      </c>
      <c r="J1922">
        <v>7</v>
      </c>
      <c r="K1922" s="482">
        <v>0.28599999999999998</v>
      </c>
      <c r="L1922" s="482">
        <v>0.28599999999999998</v>
      </c>
      <c r="M1922" s="482">
        <v>0.42899999999999999</v>
      </c>
    </row>
    <row r="1923" spans="1:13" x14ac:dyDescent="0.2">
      <c r="A1923" t="s">
        <v>2792</v>
      </c>
      <c r="B1923" t="s">
        <v>17</v>
      </c>
      <c r="C1923" t="s">
        <v>87</v>
      </c>
      <c r="D1923" t="s">
        <v>654</v>
      </c>
      <c r="E1923" t="s">
        <v>655</v>
      </c>
      <c r="F1923" t="s">
        <v>179</v>
      </c>
      <c r="G1923">
        <v>5</v>
      </c>
      <c r="H1923">
        <v>5</v>
      </c>
      <c r="I1923">
        <v>8</v>
      </c>
      <c r="J1923">
        <v>18</v>
      </c>
      <c r="K1923" s="482">
        <v>0.27800000000000002</v>
      </c>
      <c r="L1923" s="482">
        <v>0.27800000000000002</v>
      </c>
      <c r="M1923" s="482">
        <v>0.44400000000000001</v>
      </c>
    </row>
    <row r="1924" spans="1:13" x14ac:dyDescent="0.2">
      <c r="A1924" t="s">
        <v>2793</v>
      </c>
      <c r="B1924" t="s">
        <v>17</v>
      </c>
      <c r="C1924" t="s">
        <v>87</v>
      </c>
      <c r="D1924" t="s">
        <v>648</v>
      </c>
      <c r="E1924" t="s">
        <v>649</v>
      </c>
      <c r="F1924" t="s">
        <v>179</v>
      </c>
      <c r="G1924" t="s">
        <v>53</v>
      </c>
      <c r="H1924" t="s">
        <v>53</v>
      </c>
      <c r="I1924" t="s">
        <v>53</v>
      </c>
      <c r="J1924" t="s">
        <v>53</v>
      </c>
      <c r="K1924" t="s">
        <v>53</v>
      </c>
      <c r="L1924" t="s">
        <v>53</v>
      </c>
      <c r="M1924" t="s">
        <v>53</v>
      </c>
    </row>
    <row r="1925" spans="1:13" x14ac:dyDescent="0.2">
      <c r="A1925" t="s">
        <v>2794</v>
      </c>
      <c r="B1925" t="s">
        <v>17</v>
      </c>
      <c r="C1925" t="s">
        <v>87</v>
      </c>
      <c r="D1925" t="s">
        <v>645</v>
      </c>
      <c r="E1925" t="s">
        <v>646</v>
      </c>
      <c r="F1925" t="s">
        <v>179</v>
      </c>
      <c r="G1925">
        <v>4</v>
      </c>
      <c r="H1925">
        <v>1</v>
      </c>
      <c r="I1925">
        <v>3</v>
      </c>
      <c r="J1925">
        <v>8</v>
      </c>
      <c r="K1925" s="482">
        <v>0.5</v>
      </c>
      <c r="L1925" s="482">
        <v>0.125</v>
      </c>
      <c r="M1925" s="482">
        <v>0.375</v>
      </c>
    </row>
    <row r="1926" spans="1:13" x14ac:dyDescent="0.2">
      <c r="A1926" t="s">
        <v>2795</v>
      </c>
      <c r="B1926" t="s">
        <v>17</v>
      </c>
      <c r="C1926" t="s">
        <v>87</v>
      </c>
      <c r="D1926" t="s">
        <v>642</v>
      </c>
      <c r="E1926" t="s">
        <v>643</v>
      </c>
      <c r="F1926" t="s">
        <v>179</v>
      </c>
      <c r="G1926">
        <v>5</v>
      </c>
      <c r="H1926">
        <v>1</v>
      </c>
      <c r="I1926">
        <v>10</v>
      </c>
      <c r="J1926">
        <v>16</v>
      </c>
      <c r="K1926" s="482">
        <v>0.313</v>
      </c>
      <c r="L1926" s="482">
        <v>6.3E-2</v>
      </c>
      <c r="M1926" s="482">
        <v>0.625</v>
      </c>
    </row>
    <row r="1927" spans="1:13" x14ac:dyDescent="0.2">
      <c r="A1927" t="s">
        <v>2796</v>
      </c>
      <c r="B1927" t="s">
        <v>17</v>
      </c>
      <c r="C1927" t="s">
        <v>87</v>
      </c>
      <c r="D1927" t="s">
        <v>639</v>
      </c>
      <c r="E1927" t="s">
        <v>640</v>
      </c>
      <c r="F1927" t="s">
        <v>179</v>
      </c>
      <c r="G1927">
        <v>10</v>
      </c>
      <c r="H1927">
        <v>3</v>
      </c>
      <c r="I1927">
        <v>10</v>
      </c>
      <c r="J1927">
        <v>23</v>
      </c>
      <c r="K1927" s="482">
        <v>0.435</v>
      </c>
      <c r="L1927" s="482">
        <v>0.13</v>
      </c>
      <c r="M1927" s="482">
        <v>0.435</v>
      </c>
    </row>
    <row r="1928" spans="1:13" x14ac:dyDescent="0.2">
      <c r="A1928" t="s">
        <v>2797</v>
      </c>
      <c r="B1928" t="s">
        <v>17</v>
      </c>
      <c r="C1928" t="s">
        <v>87</v>
      </c>
      <c r="D1928" t="s">
        <v>636</v>
      </c>
      <c r="E1928" t="s">
        <v>637</v>
      </c>
      <c r="F1928" t="s">
        <v>179</v>
      </c>
      <c r="G1928">
        <v>11</v>
      </c>
      <c r="H1928">
        <v>10</v>
      </c>
      <c r="I1928">
        <v>14</v>
      </c>
      <c r="J1928">
        <v>35</v>
      </c>
      <c r="K1928" s="482">
        <v>0.314</v>
      </c>
      <c r="L1928" s="482">
        <v>0.28599999999999998</v>
      </c>
      <c r="M1928" s="482">
        <v>0.4</v>
      </c>
    </row>
    <row r="1929" spans="1:13" x14ac:dyDescent="0.2">
      <c r="A1929" t="s">
        <v>2798</v>
      </c>
      <c r="B1929" t="s">
        <v>17</v>
      </c>
      <c r="C1929" t="s">
        <v>87</v>
      </c>
      <c r="D1929" t="s">
        <v>633</v>
      </c>
      <c r="E1929" t="s">
        <v>634</v>
      </c>
      <c r="F1929" t="s">
        <v>179</v>
      </c>
      <c r="G1929" t="s">
        <v>53</v>
      </c>
      <c r="H1929">
        <v>0</v>
      </c>
      <c r="I1929" t="s">
        <v>53</v>
      </c>
      <c r="J1929" t="s">
        <v>53</v>
      </c>
      <c r="K1929" t="s">
        <v>53</v>
      </c>
      <c r="L1929" t="s">
        <v>53</v>
      </c>
      <c r="M1929" t="s">
        <v>53</v>
      </c>
    </row>
    <row r="1930" spans="1:13" x14ac:dyDescent="0.2">
      <c r="A1930" t="s">
        <v>2799</v>
      </c>
      <c r="B1930" t="s">
        <v>17</v>
      </c>
      <c r="C1930" t="s">
        <v>87</v>
      </c>
      <c r="D1930" t="s">
        <v>630</v>
      </c>
      <c r="E1930" t="s">
        <v>631</v>
      </c>
      <c r="F1930" t="s">
        <v>179</v>
      </c>
      <c r="G1930">
        <v>9</v>
      </c>
      <c r="H1930">
        <v>4</v>
      </c>
      <c r="I1930">
        <v>6</v>
      </c>
      <c r="J1930">
        <v>19</v>
      </c>
      <c r="K1930" s="482">
        <v>0.47399999999999998</v>
      </c>
      <c r="L1930" s="482">
        <v>0.21099999999999999</v>
      </c>
      <c r="M1930" s="482">
        <v>0.316</v>
      </c>
    </row>
    <row r="1931" spans="1:13" x14ac:dyDescent="0.2">
      <c r="A1931" t="s">
        <v>6566</v>
      </c>
      <c r="B1931" t="s">
        <v>17</v>
      </c>
      <c r="C1931" t="s">
        <v>87</v>
      </c>
      <c r="D1931" t="s">
        <v>6553</v>
      </c>
      <c r="E1931" t="s">
        <v>6543</v>
      </c>
      <c r="F1931" t="s">
        <v>179</v>
      </c>
      <c r="G1931">
        <v>39</v>
      </c>
      <c r="H1931">
        <v>21</v>
      </c>
      <c r="I1931">
        <v>63</v>
      </c>
      <c r="J1931">
        <v>123</v>
      </c>
      <c r="K1931" s="482">
        <v>0.317</v>
      </c>
      <c r="L1931" s="482">
        <v>0.17100000000000001</v>
      </c>
      <c r="M1931" s="482">
        <v>0.51200000000000001</v>
      </c>
    </row>
    <row r="1932" spans="1:13" x14ac:dyDescent="0.2">
      <c r="A1932" t="s">
        <v>2800</v>
      </c>
      <c r="B1932" t="s">
        <v>17</v>
      </c>
      <c r="C1932" t="s">
        <v>87</v>
      </c>
      <c r="D1932" t="s">
        <v>624</v>
      </c>
      <c r="E1932" t="s">
        <v>625</v>
      </c>
      <c r="F1932" t="s">
        <v>179</v>
      </c>
      <c r="G1932">
        <v>11</v>
      </c>
      <c r="H1932">
        <v>7</v>
      </c>
      <c r="I1932">
        <v>12</v>
      </c>
      <c r="J1932">
        <v>30</v>
      </c>
      <c r="K1932" s="482">
        <v>0.36699999999999999</v>
      </c>
      <c r="L1932" s="482">
        <v>0.23300000000000001</v>
      </c>
      <c r="M1932" s="482">
        <v>0.4</v>
      </c>
    </row>
    <row r="1933" spans="1:13" x14ac:dyDescent="0.2">
      <c r="A1933" t="s">
        <v>2801</v>
      </c>
      <c r="B1933" t="s">
        <v>17</v>
      </c>
      <c r="C1933" t="s">
        <v>87</v>
      </c>
      <c r="D1933" t="s">
        <v>621</v>
      </c>
      <c r="E1933" t="s">
        <v>622</v>
      </c>
      <c r="F1933" t="s">
        <v>179</v>
      </c>
      <c r="G1933">
        <v>11</v>
      </c>
      <c r="H1933">
        <v>8</v>
      </c>
      <c r="I1933">
        <v>13</v>
      </c>
      <c r="J1933">
        <v>32</v>
      </c>
      <c r="K1933" s="482">
        <v>0.34399999999999997</v>
      </c>
      <c r="L1933" s="482">
        <v>0.25</v>
      </c>
      <c r="M1933" s="482">
        <v>0.40600000000000003</v>
      </c>
    </row>
    <row r="1934" spans="1:13" x14ac:dyDescent="0.2">
      <c r="A1934" t="s">
        <v>2802</v>
      </c>
      <c r="B1934" t="s">
        <v>17</v>
      </c>
      <c r="C1934" t="s">
        <v>87</v>
      </c>
      <c r="D1934" t="s">
        <v>619</v>
      </c>
      <c r="E1934" t="s">
        <v>338</v>
      </c>
      <c r="F1934" t="s">
        <v>179</v>
      </c>
      <c r="G1934">
        <v>10</v>
      </c>
      <c r="H1934">
        <v>4</v>
      </c>
      <c r="I1934">
        <v>6</v>
      </c>
      <c r="J1934">
        <v>20</v>
      </c>
      <c r="K1934" s="482">
        <v>0.5</v>
      </c>
      <c r="L1934" s="482">
        <v>0.2</v>
      </c>
      <c r="M1934" s="482">
        <v>0.3</v>
      </c>
    </row>
    <row r="1935" spans="1:13" x14ac:dyDescent="0.2">
      <c r="A1935" t="s">
        <v>2803</v>
      </c>
      <c r="B1935" t="s">
        <v>17</v>
      </c>
      <c r="C1935" t="s">
        <v>87</v>
      </c>
      <c r="D1935" t="s">
        <v>616</v>
      </c>
      <c r="E1935" t="s">
        <v>617</v>
      </c>
      <c r="F1935" t="s">
        <v>179</v>
      </c>
      <c r="G1935">
        <v>10</v>
      </c>
      <c r="H1935">
        <v>3</v>
      </c>
      <c r="I1935">
        <v>8</v>
      </c>
      <c r="J1935">
        <v>21</v>
      </c>
      <c r="K1935" s="482">
        <v>0.47599999999999998</v>
      </c>
      <c r="L1935" s="482">
        <v>0.14299999999999999</v>
      </c>
      <c r="M1935" s="482">
        <v>0.38100000000000001</v>
      </c>
    </row>
    <row r="1936" spans="1:13" x14ac:dyDescent="0.2">
      <c r="A1936" t="s">
        <v>2804</v>
      </c>
      <c r="B1936" t="s">
        <v>17</v>
      </c>
      <c r="C1936" t="s">
        <v>87</v>
      </c>
      <c r="D1936" t="s">
        <v>613</v>
      </c>
      <c r="E1936" t="s">
        <v>614</v>
      </c>
      <c r="F1936" t="s">
        <v>179</v>
      </c>
      <c r="G1936">
        <v>3</v>
      </c>
      <c r="H1936">
        <v>3</v>
      </c>
      <c r="I1936">
        <v>8</v>
      </c>
      <c r="J1936">
        <v>14</v>
      </c>
      <c r="K1936" s="482">
        <v>0.214</v>
      </c>
      <c r="L1936" s="482">
        <v>0.214</v>
      </c>
      <c r="M1936" s="482">
        <v>0.57099999999999995</v>
      </c>
    </row>
    <row r="1937" spans="1:13" x14ac:dyDescent="0.2">
      <c r="A1937" t="s">
        <v>2805</v>
      </c>
      <c r="B1937" t="s">
        <v>17</v>
      </c>
      <c r="C1937" t="s">
        <v>87</v>
      </c>
      <c r="D1937" t="s">
        <v>610</v>
      </c>
      <c r="E1937" t="s">
        <v>611</v>
      </c>
      <c r="F1937" t="s">
        <v>179</v>
      </c>
      <c r="G1937">
        <v>3</v>
      </c>
      <c r="H1937">
        <v>2</v>
      </c>
      <c r="I1937">
        <v>9</v>
      </c>
      <c r="J1937">
        <v>14</v>
      </c>
      <c r="K1937" s="482">
        <v>0.214</v>
      </c>
      <c r="L1937" s="482">
        <v>0.14299999999999999</v>
      </c>
      <c r="M1937" s="482">
        <v>0.64300000000000002</v>
      </c>
    </row>
    <row r="1938" spans="1:13" x14ac:dyDescent="0.2">
      <c r="A1938" t="s">
        <v>2806</v>
      </c>
      <c r="B1938" t="s">
        <v>17</v>
      </c>
      <c r="C1938" t="s">
        <v>87</v>
      </c>
      <c r="D1938" t="s">
        <v>417</v>
      </c>
      <c r="E1938" t="s">
        <v>418</v>
      </c>
      <c r="F1938" t="s">
        <v>179</v>
      </c>
      <c r="G1938">
        <v>23</v>
      </c>
      <c r="H1938">
        <v>12</v>
      </c>
      <c r="I1938">
        <v>19</v>
      </c>
      <c r="J1938">
        <v>54</v>
      </c>
      <c r="K1938" s="482">
        <v>0.42599999999999999</v>
      </c>
      <c r="L1938" s="482">
        <v>0.222</v>
      </c>
      <c r="M1938" s="482">
        <v>0.35199999999999998</v>
      </c>
    </row>
    <row r="1939" spans="1:13" x14ac:dyDescent="0.2">
      <c r="A1939" t="s">
        <v>2872</v>
      </c>
      <c r="B1939" t="s">
        <v>17</v>
      </c>
      <c r="C1939" t="s">
        <v>87</v>
      </c>
      <c r="D1939" t="s">
        <v>414</v>
      </c>
      <c r="E1939" t="s">
        <v>415</v>
      </c>
      <c r="F1939" t="s">
        <v>179</v>
      </c>
      <c r="G1939">
        <v>7</v>
      </c>
      <c r="H1939">
        <v>3</v>
      </c>
      <c r="I1939">
        <v>7</v>
      </c>
      <c r="J1939">
        <v>17</v>
      </c>
      <c r="K1939" s="482">
        <v>0.41199999999999998</v>
      </c>
      <c r="L1939" s="482">
        <v>0.17599999999999999</v>
      </c>
      <c r="M1939" s="482">
        <v>0.41199999999999998</v>
      </c>
    </row>
    <row r="1940" spans="1:13" x14ac:dyDescent="0.2">
      <c r="A1940" t="s">
        <v>2873</v>
      </c>
      <c r="B1940" t="s">
        <v>17</v>
      </c>
      <c r="C1940" t="s">
        <v>87</v>
      </c>
      <c r="D1940" t="s">
        <v>411</v>
      </c>
      <c r="E1940" t="s">
        <v>412</v>
      </c>
      <c r="F1940" t="s">
        <v>179</v>
      </c>
      <c r="G1940">
        <v>9</v>
      </c>
      <c r="H1940">
        <v>3</v>
      </c>
      <c r="I1940">
        <v>14</v>
      </c>
      <c r="J1940">
        <v>26</v>
      </c>
      <c r="K1940" s="482">
        <v>0.34599999999999997</v>
      </c>
      <c r="L1940" s="482">
        <v>0.115</v>
      </c>
      <c r="M1940" s="482">
        <v>0.53800000000000003</v>
      </c>
    </row>
    <row r="1941" spans="1:13" x14ac:dyDescent="0.2">
      <c r="A1941" t="s">
        <v>2844</v>
      </c>
      <c r="B1941" t="s">
        <v>17</v>
      </c>
      <c r="C1941" t="s">
        <v>87</v>
      </c>
      <c r="D1941" t="s">
        <v>492</v>
      </c>
      <c r="E1941" t="s">
        <v>493</v>
      </c>
      <c r="F1941" t="s">
        <v>179</v>
      </c>
      <c r="G1941">
        <v>12</v>
      </c>
      <c r="H1941">
        <v>1</v>
      </c>
      <c r="I1941">
        <v>6</v>
      </c>
      <c r="J1941">
        <v>19</v>
      </c>
      <c r="K1941" s="482">
        <v>0.63200000000000001</v>
      </c>
      <c r="L1941" s="482">
        <v>5.2999999999999999E-2</v>
      </c>
      <c r="M1941" s="482">
        <v>0.316</v>
      </c>
    </row>
    <row r="1942" spans="1:13" x14ac:dyDescent="0.2">
      <c r="A1942" t="s">
        <v>2861</v>
      </c>
      <c r="B1942" t="s">
        <v>17</v>
      </c>
      <c r="C1942" t="s">
        <v>87</v>
      </c>
      <c r="D1942" t="s">
        <v>929</v>
      </c>
      <c r="E1942" t="s">
        <v>930</v>
      </c>
      <c r="F1942" t="s">
        <v>179</v>
      </c>
      <c r="G1942">
        <v>8</v>
      </c>
      <c r="H1942">
        <v>4</v>
      </c>
      <c r="I1942">
        <v>7</v>
      </c>
      <c r="J1942">
        <v>19</v>
      </c>
      <c r="K1942" s="482">
        <v>0.42099999999999999</v>
      </c>
      <c r="L1942" s="482">
        <v>0.21099999999999999</v>
      </c>
      <c r="M1942" s="482">
        <v>0.36799999999999999</v>
      </c>
    </row>
    <row r="1943" spans="1:13" x14ac:dyDescent="0.2">
      <c r="A1943" t="s">
        <v>2707</v>
      </c>
      <c r="B1943" t="s">
        <v>17</v>
      </c>
      <c r="C1943" t="s">
        <v>87</v>
      </c>
      <c r="D1943" t="s">
        <v>926</v>
      </c>
      <c r="E1943" t="s">
        <v>927</v>
      </c>
      <c r="F1943" t="s">
        <v>179</v>
      </c>
      <c r="G1943">
        <v>2</v>
      </c>
      <c r="H1943">
        <v>0</v>
      </c>
      <c r="I1943">
        <v>4</v>
      </c>
      <c r="J1943">
        <v>6</v>
      </c>
      <c r="K1943" s="482">
        <v>0.33300000000000002</v>
      </c>
      <c r="L1943" s="482">
        <v>0</v>
      </c>
      <c r="M1943" s="482">
        <v>0.66700000000000004</v>
      </c>
    </row>
    <row r="1944" spans="1:13" x14ac:dyDescent="0.2">
      <c r="A1944" t="s">
        <v>2708</v>
      </c>
      <c r="B1944" t="s">
        <v>17</v>
      </c>
      <c r="C1944" t="s">
        <v>87</v>
      </c>
      <c r="D1944" t="s">
        <v>923</v>
      </c>
      <c r="E1944" t="s">
        <v>924</v>
      </c>
      <c r="F1944" t="s">
        <v>179</v>
      </c>
      <c r="G1944">
        <v>7</v>
      </c>
      <c r="H1944">
        <v>0</v>
      </c>
      <c r="I1944">
        <v>8</v>
      </c>
      <c r="J1944">
        <v>15</v>
      </c>
      <c r="K1944" s="482">
        <v>0.46700000000000003</v>
      </c>
      <c r="L1944" s="482">
        <v>0</v>
      </c>
      <c r="M1944" s="482">
        <v>0.53300000000000003</v>
      </c>
    </row>
    <row r="1945" spans="1:13" x14ac:dyDescent="0.2">
      <c r="A1945" t="s">
        <v>2709</v>
      </c>
      <c r="B1945" t="s">
        <v>17</v>
      </c>
      <c r="C1945" t="s">
        <v>87</v>
      </c>
      <c r="D1945" t="s">
        <v>920</v>
      </c>
      <c r="E1945" t="s">
        <v>921</v>
      </c>
      <c r="F1945" t="s">
        <v>179</v>
      </c>
      <c r="G1945">
        <v>12</v>
      </c>
      <c r="H1945">
        <v>8</v>
      </c>
      <c r="I1945">
        <v>7</v>
      </c>
      <c r="J1945">
        <v>27</v>
      </c>
      <c r="K1945" s="482">
        <v>0.44400000000000001</v>
      </c>
      <c r="L1945" s="482">
        <v>0.29599999999999999</v>
      </c>
      <c r="M1945" s="482">
        <v>0.25900000000000001</v>
      </c>
    </row>
    <row r="1946" spans="1:13" x14ac:dyDescent="0.2">
      <c r="A1946" t="s">
        <v>2710</v>
      </c>
      <c r="B1946" t="s">
        <v>17</v>
      </c>
      <c r="C1946" t="s">
        <v>87</v>
      </c>
      <c r="D1946" t="s">
        <v>917</v>
      </c>
      <c r="E1946" t="s">
        <v>918</v>
      </c>
      <c r="F1946" t="s">
        <v>179</v>
      </c>
      <c r="G1946">
        <v>5</v>
      </c>
      <c r="H1946">
        <v>2</v>
      </c>
      <c r="I1946">
        <v>8</v>
      </c>
      <c r="J1946">
        <v>15</v>
      </c>
      <c r="K1946" s="482">
        <v>0.33300000000000002</v>
      </c>
      <c r="L1946" s="482">
        <v>0.13300000000000001</v>
      </c>
      <c r="M1946" s="482">
        <v>0.53300000000000003</v>
      </c>
    </row>
    <row r="1947" spans="1:13" x14ac:dyDescent="0.2">
      <c r="A1947" t="s">
        <v>2711</v>
      </c>
      <c r="B1947" t="s">
        <v>17</v>
      </c>
      <c r="C1947" t="s">
        <v>87</v>
      </c>
      <c r="D1947" t="s">
        <v>914</v>
      </c>
      <c r="E1947" t="s">
        <v>915</v>
      </c>
      <c r="F1947" t="s">
        <v>179</v>
      </c>
      <c r="G1947">
        <v>5</v>
      </c>
      <c r="H1947">
        <v>0</v>
      </c>
      <c r="I1947">
        <v>4</v>
      </c>
      <c r="J1947">
        <v>9</v>
      </c>
      <c r="K1947" s="482">
        <v>0.55600000000000005</v>
      </c>
      <c r="L1947" s="482">
        <v>0</v>
      </c>
      <c r="M1947" s="482">
        <v>0.44400000000000001</v>
      </c>
    </row>
    <row r="1948" spans="1:13" x14ac:dyDescent="0.2">
      <c r="A1948" t="s">
        <v>2712</v>
      </c>
      <c r="B1948" t="s">
        <v>17</v>
      </c>
      <c r="C1948" t="s">
        <v>87</v>
      </c>
      <c r="D1948" t="s">
        <v>911</v>
      </c>
      <c r="E1948" t="s">
        <v>912</v>
      </c>
      <c r="F1948" t="s">
        <v>179</v>
      </c>
      <c r="G1948">
        <v>5</v>
      </c>
      <c r="H1948">
        <v>3</v>
      </c>
      <c r="I1948">
        <v>4</v>
      </c>
      <c r="J1948">
        <v>12</v>
      </c>
      <c r="K1948" s="482">
        <v>0.41699999999999998</v>
      </c>
      <c r="L1948" s="482">
        <v>0.25</v>
      </c>
      <c r="M1948" s="482">
        <v>0.33300000000000002</v>
      </c>
    </row>
    <row r="1949" spans="1:13" x14ac:dyDescent="0.2">
      <c r="A1949" t="s">
        <v>2714</v>
      </c>
      <c r="B1949" t="s">
        <v>17</v>
      </c>
      <c r="C1949" t="s">
        <v>87</v>
      </c>
      <c r="D1949" t="s">
        <v>489</v>
      </c>
      <c r="E1949" t="s">
        <v>490</v>
      </c>
      <c r="F1949" t="s">
        <v>179</v>
      </c>
      <c r="G1949">
        <v>10</v>
      </c>
      <c r="H1949">
        <v>11</v>
      </c>
      <c r="I1949">
        <v>10</v>
      </c>
      <c r="J1949">
        <v>31</v>
      </c>
      <c r="K1949" s="482">
        <v>0.32300000000000001</v>
      </c>
      <c r="L1949" s="482">
        <v>0.35499999999999998</v>
      </c>
      <c r="M1949" s="482">
        <v>0.32300000000000001</v>
      </c>
    </row>
    <row r="1950" spans="1:13" x14ac:dyDescent="0.2">
      <c r="A1950" t="s">
        <v>2846</v>
      </c>
      <c r="B1950" t="s">
        <v>17</v>
      </c>
      <c r="C1950" t="s">
        <v>87</v>
      </c>
      <c r="D1950" t="s">
        <v>486</v>
      </c>
      <c r="E1950" t="s">
        <v>487</v>
      </c>
      <c r="F1950" t="s">
        <v>179</v>
      </c>
      <c r="G1950">
        <v>11</v>
      </c>
      <c r="H1950">
        <v>11</v>
      </c>
      <c r="I1950">
        <v>17</v>
      </c>
      <c r="J1950">
        <v>39</v>
      </c>
      <c r="K1950" s="482">
        <v>0.28199999999999997</v>
      </c>
      <c r="L1950" s="482">
        <v>0.28199999999999997</v>
      </c>
      <c r="M1950" s="482">
        <v>0.436</v>
      </c>
    </row>
    <row r="1951" spans="1:13" x14ac:dyDescent="0.2">
      <c r="A1951" t="s">
        <v>2845</v>
      </c>
      <c r="B1951" t="s">
        <v>17</v>
      </c>
      <c r="C1951" t="s">
        <v>87</v>
      </c>
      <c r="D1951" t="s">
        <v>908</v>
      </c>
      <c r="E1951" t="s">
        <v>909</v>
      </c>
      <c r="F1951" t="s">
        <v>179</v>
      </c>
      <c r="G1951">
        <v>17</v>
      </c>
      <c r="H1951">
        <v>17</v>
      </c>
      <c r="I1951">
        <v>27</v>
      </c>
      <c r="J1951">
        <v>61</v>
      </c>
      <c r="K1951" s="482">
        <v>0.27900000000000003</v>
      </c>
      <c r="L1951" s="482">
        <v>0.27900000000000003</v>
      </c>
      <c r="M1951" s="482">
        <v>0.443</v>
      </c>
    </row>
    <row r="1952" spans="1:13" x14ac:dyDescent="0.2">
      <c r="A1952" t="s">
        <v>2821</v>
      </c>
      <c r="B1952" t="s">
        <v>17</v>
      </c>
      <c r="C1952" t="s">
        <v>87</v>
      </c>
      <c r="D1952" t="s">
        <v>563</v>
      </c>
      <c r="E1952" t="s">
        <v>564</v>
      </c>
      <c r="F1952" t="s">
        <v>179</v>
      </c>
      <c r="G1952">
        <v>7</v>
      </c>
      <c r="H1952">
        <v>1</v>
      </c>
      <c r="I1952">
        <v>3</v>
      </c>
      <c r="J1952">
        <v>11</v>
      </c>
      <c r="K1952" s="482">
        <v>0.63600000000000001</v>
      </c>
      <c r="L1952" s="482">
        <v>9.0999999999999998E-2</v>
      </c>
      <c r="M1952" s="482">
        <v>0.27300000000000002</v>
      </c>
    </row>
    <row r="1953" spans="1:13" x14ac:dyDescent="0.2">
      <c r="A1953" t="s">
        <v>2739</v>
      </c>
      <c r="B1953" t="s">
        <v>17</v>
      </c>
      <c r="C1953" t="s">
        <v>87</v>
      </c>
      <c r="D1953" t="s">
        <v>824</v>
      </c>
      <c r="E1953" t="s">
        <v>825</v>
      </c>
      <c r="F1953" t="s">
        <v>179</v>
      </c>
      <c r="G1953">
        <v>28</v>
      </c>
      <c r="H1953">
        <v>7</v>
      </c>
      <c r="I1953">
        <v>12</v>
      </c>
      <c r="J1953">
        <v>47</v>
      </c>
      <c r="K1953" s="482">
        <v>0.59599999999999997</v>
      </c>
      <c r="L1953" s="482">
        <v>0.14899999999999999</v>
      </c>
      <c r="M1953" s="482">
        <v>0.255</v>
      </c>
    </row>
    <row r="1954" spans="1:13" x14ac:dyDescent="0.2">
      <c r="A1954" t="s">
        <v>2740</v>
      </c>
      <c r="B1954" t="s">
        <v>17</v>
      </c>
      <c r="C1954" t="s">
        <v>87</v>
      </c>
      <c r="D1954" t="s">
        <v>818</v>
      </c>
      <c r="E1954" t="s">
        <v>819</v>
      </c>
      <c r="F1954" t="s">
        <v>179</v>
      </c>
      <c r="G1954">
        <v>10</v>
      </c>
      <c r="H1954">
        <v>5</v>
      </c>
      <c r="I1954">
        <v>16</v>
      </c>
      <c r="J1954">
        <v>31</v>
      </c>
      <c r="K1954" s="482">
        <v>0.32300000000000001</v>
      </c>
      <c r="L1954" s="482">
        <v>0.161</v>
      </c>
      <c r="M1954" s="482">
        <v>0.51600000000000001</v>
      </c>
    </row>
    <row r="1955" spans="1:13" x14ac:dyDescent="0.2">
      <c r="A1955" t="s">
        <v>2741</v>
      </c>
      <c r="B1955" t="s">
        <v>17</v>
      </c>
      <c r="C1955" t="s">
        <v>87</v>
      </c>
      <c r="D1955" t="s">
        <v>815</v>
      </c>
      <c r="E1955" t="s">
        <v>816</v>
      </c>
      <c r="F1955" t="s">
        <v>179</v>
      </c>
      <c r="G1955">
        <v>24</v>
      </c>
      <c r="H1955">
        <v>15</v>
      </c>
      <c r="I1955">
        <v>33</v>
      </c>
      <c r="J1955">
        <v>72</v>
      </c>
      <c r="K1955" s="482">
        <v>0.33300000000000002</v>
      </c>
      <c r="L1955" s="482">
        <v>0.20799999999999999</v>
      </c>
      <c r="M1955" s="482">
        <v>0.45800000000000002</v>
      </c>
    </row>
    <row r="1956" spans="1:13" x14ac:dyDescent="0.2">
      <c r="A1956" t="s">
        <v>2742</v>
      </c>
      <c r="B1956" t="s">
        <v>17</v>
      </c>
      <c r="C1956" t="s">
        <v>87</v>
      </c>
      <c r="D1956" t="s">
        <v>812</v>
      </c>
      <c r="E1956" t="s">
        <v>813</v>
      </c>
      <c r="F1956" t="s">
        <v>179</v>
      </c>
      <c r="G1956">
        <v>10</v>
      </c>
      <c r="H1956">
        <v>6</v>
      </c>
      <c r="I1956">
        <v>8</v>
      </c>
      <c r="J1956">
        <v>24</v>
      </c>
      <c r="K1956" s="482">
        <v>0.41699999999999998</v>
      </c>
      <c r="L1956" s="482">
        <v>0.25</v>
      </c>
      <c r="M1956" s="482">
        <v>0.33300000000000002</v>
      </c>
    </row>
    <row r="1957" spans="1:13" x14ac:dyDescent="0.2">
      <c r="A1957" t="s">
        <v>2743</v>
      </c>
      <c r="B1957" t="s">
        <v>17</v>
      </c>
      <c r="C1957" t="s">
        <v>87</v>
      </c>
      <c r="D1957" t="s">
        <v>809</v>
      </c>
      <c r="E1957" t="s">
        <v>810</v>
      </c>
      <c r="F1957" t="s">
        <v>179</v>
      </c>
      <c r="G1957">
        <v>46</v>
      </c>
      <c r="H1957">
        <v>17</v>
      </c>
      <c r="I1957">
        <v>53</v>
      </c>
      <c r="J1957">
        <v>116</v>
      </c>
      <c r="K1957" s="482">
        <v>0.39700000000000002</v>
      </c>
      <c r="L1957" s="482">
        <v>0.14699999999999999</v>
      </c>
      <c r="M1957" s="482">
        <v>0.45700000000000002</v>
      </c>
    </row>
    <row r="1958" spans="1:13" x14ac:dyDescent="0.2">
      <c r="A1958" t="s">
        <v>2744</v>
      </c>
      <c r="B1958" t="s">
        <v>17</v>
      </c>
      <c r="C1958" t="s">
        <v>87</v>
      </c>
      <c r="D1958" t="s">
        <v>806</v>
      </c>
      <c r="E1958" t="s">
        <v>807</v>
      </c>
      <c r="F1958" t="s">
        <v>179</v>
      </c>
      <c r="G1958">
        <v>2</v>
      </c>
      <c r="H1958">
        <v>0</v>
      </c>
      <c r="I1958">
        <v>5</v>
      </c>
      <c r="J1958">
        <v>7</v>
      </c>
      <c r="K1958" s="482">
        <v>0.28599999999999998</v>
      </c>
      <c r="L1958" s="482">
        <v>0</v>
      </c>
      <c r="M1958" s="482">
        <v>0.71399999999999997</v>
      </c>
    </row>
    <row r="1959" spans="1:13" x14ac:dyDescent="0.2">
      <c r="A1959" t="s">
        <v>2745</v>
      </c>
      <c r="B1959" t="s">
        <v>17</v>
      </c>
      <c r="C1959" t="s">
        <v>87</v>
      </c>
      <c r="D1959" t="s">
        <v>803</v>
      </c>
      <c r="E1959" t="s">
        <v>804</v>
      </c>
      <c r="F1959" t="s">
        <v>179</v>
      </c>
      <c r="G1959">
        <v>8</v>
      </c>
      <c r="H1959">
        <v>8</v>
      </c>
      <c r="I1959">
        <v>11</v>
      </c>
      <c r="J1959">
        <v>27</v>
      </c>
      <c r="K1959" s="482">
        <v>0.29599999999999999</v>
      </c>
      <c r="L1959" s="482">
        <v>0.29599999999999999</v>
      </c>
      <c r="M1959" s="482">
        <v>0.40699999999999997</v>
      </c>
    </row>
    <row r="1960" spans="1:13" x14ac:dyDescent="0.2">
      <c r="A1960" t="s">
        <v>2746</v>
      </c>
      <c r="B1960" t="s">
        <v>17</v>
      </c>
      <c r="C1960" t="s">
        <v>87</v>
      </c>
      <c r="D1960" t="s">
        <v>800</v>
      </c>
      <c r="E1960" t="s">
        <v>801</v>
      </c>
      <c r="F1960" t="s">
        <v>179</v>
      </c>
      <c r="G1960">
        <v>17</v>
      </c>
      <c r="H1960">
        <v>15</v>
      </c>
      <c r="I1960">
        <v>20</v>
      </c>
      <c r="J1960">
        <v>52</v>
      </c>
      <c r="K1960" s="482">
        <v>0.32700000000000001</v>
      </c>
      <c r="L1960" s="482">
        <v>0.28799999999999998</v>
      </c>
      <c r="M1960" s="482">
        <v>0.38500000000000001</v>
      </c>
    </row>
    <row r="1961" spans="1:13" x14ac:dyDescent="0.2">
      <c r="A1961" t="s">
        <v>2747</v>
      </c>
      <c r="B1961" t="s">
        <v>17</v>
      </c>
      <c r="C1961" t="s">
        <v>87</v>
      </c>
      <c r="D1961" t="s">
        <v>797</v>
      </c>
      <c r="E1961" t="s">
        <v>798</v>
      </c>
      <c r="F1961" t="s">
        <v>179</v>
      </c>
      <c r="G1961">
        <v>7</v>
      </c>
      <c r="H1961">
        <v>0</v>
      </c>
      <c r="I1961">
        <v>7</v>
      </c>
      <c r="J1961">
        <v>14</v>
      </c>
      <c r="K1961" s="482">
        <v>0.5</v>
      </c>
      <c r="L1961" s="482">
        <v>0</v>
      </c>
      <c r="M1961" s="482">
        <v>0.5</v>
      </c>
    </row>
    <row r="1962" spans="1:13" x14ac:dyDescent="0.2">
      <c r="A1962" t="s">
        <v>6571</v>
      </c>
      <c r="B1962" t="s">
        <v>17</v>
      </c>
      <c r="C1962" t="s">
        <v>87</v>
      </c>
      <c r="D1962" t="s">
        <v>794</v>
      </c>
      <c r="E1962" t="s">
        <v>795</v>
      </c>
      <c r="F1962" t="s">
        <v>179</v>
      </c>
      <c r="G1962">
        <v>3</v>
      </c>
      <c r="H1962">
        <v>2</v>
      </c>
      <c r="I1962">
        <v>3</v>
      </c>
      <c r="J1962">
        <v>8</v>
      </c>
      <c r="K1962" s="482">
        <v>0.375</v>
      </c>
      <c r="L1962" s="482">
        <v>0.25</v>
      </c>
      <c r="M1962" s="482">
        <v>0.375</v>
      </c>
    </row>
    <row r="1963" spans="1:13" x14ac:dyDescent="0.2">
      <c r="A1963" t="s">
        <v>2748</v>
      </c>
      <c r="B1963" t="s">
        <v>17</v>
      </c>
      <c r="C1963" t="s">
        <v>87</v>
      </c>
      <c r="D1963" t="s">
        <v>791</v>
      </c>
      <c r="E1963" t="s">
        <v>792</v>
      </c>
      <c r="F1963" t="s">
        <v>179</v>
      </c>
      <c r="G1963">
        <v>5</v>
      </c>
      <c r="H1963">
        <v>4</v>
      </c>
      <c r="I1963">
        <v>5</v>
      </c>
      <c r="J1963">
        <v>14</v>
      </c>
      <c r="K1963" s="482">
        <v>0.35699999999999998</v>
      </c>
      <c r="L1963" s="482">
        <v>0.28599999999999998</v>
      </c>
      <c r="M1963" s="482">
        <v>0.35699999999999998</v>
      </c>
    </row>
    <row r="1964" spans="1:13" x14ac:dyDescent="0.2">
      <c r="A1964" t="s">
        <v>2749</v>
      </c>
      <c r="B1964" t="s">
        <v>17</v>
      </c>
      <c r="C1964" t="s">
        <v>87</v>
      </c>
      <c r="D1964" t="s">
        <v>788</v>
      </c>
      <c r="E1964" t="s">
        <v>789</v>
      </c>
      <c r="F1964" t="s">
        <v>179</v>
      </c>
      <c r="G1964" t="s">
        <v>53</v>
      </c>
      <c r="H1964">
        <v>0</v>
      </c>
      <c r="I1964" t="s">
        <v>53</v>
      </c>
      <c r="J1964" t="s">
        <v>53</v>
      </c>
      <c r="K1964" t="s">
        <v>53</v>
      </c>
      <c r="L1964" t="s">
        <v>53</v>
      </c>
      <c r="M1964" t="s">
        <v>53</v>
      </c>
    </row>
    <row r="1965" spans="1:13" x14ac:dyDescent="0.2">
      <c r="A1965" t="s">
        <v>2750</v>
      </c>
      <c r="B1965" t="s">
        <v>17</v>
      </c>
      <c r="C1965" t="s">
        <v>87</v>
      </c>
      <c r="D1965" t="s">
        <v>785</v>
      </c>
      <c r="E1965" t="s">
        <v>786</v>
      </c>
      <c r="F1965" t="s">
        <v>179</v>
      </c>
      <c r="G1965">
        <v>12</v>
      </c>
      <c r="H1965">
        <v>9</v>
      </c>
      <c r="I1965">
        <v>11</v>
      </c>
      <c r="J1965">
        <v>32</v>
      </c>
      <c r="K1965" s="482">
        <v>0.375</v>
      </c>
      <c r="L1965" s="482">
        <v>0.28100000000000003</v>
      </c>
      <c r="M1965" s="482">
        <v>0.34399999999999997</v>
      </c>
    </row>
    <row r="1966" spans="1:13" x14ac:dyDescent="0.2">
      <c r="A1966" t="s">
        <v>2751</v>
      </c>
      <c r="B1966" t="s">
        <v>17</v>
      </c>
      <c r="C1966" t="s">
        <v>87</v>
      </c>
      <c r="D1966" t="s">
        <v>782</v>
      </c>
      <c r="E1966" t="s">
        <v>783</v>
      </c>
      <c r="F1966" t="s">
        <v>179</v>
      </c>
      <c r="G1966">
        <v>5</v>
      </c>
      <c r="H1966">
        <v>0</v>
      </c>
      <c r="I1966">
        <v>1</v>
      </c>
      <c r="J1966">
        <v>6</v>
      </c>
      <c r="K1966" s="482">
        <v>0.83299999999999996</v>
      </c>
      <c r="L1966" s="482">
        <v>0</v>
      </c>
      <c r="M1966" s="482">
        <v>0.16700000000000001</v>
      </c>
    </row>
    <row r="1967" spans="1:13" x14ac:dyDescent="0.2">
      <c r="A1967" t="s">
        <v>2752</v>
      </c>
      <c r="B1967" t="s">
        <v>17</v>
      </c>
      <c r="C1967" t="s">
        <v>87</v>
      </c>
      <c r="D1967" t="s">
        <v>779</v>
      </c>
      <c r="E1967" t="s">
        <v>780</v>
      </c>
      <c r="F1967" t="s">
        <v>179</v>
      </c>
      <c r="G1967">
        <v>6</v>
      </c>
      <c r="H1967">
        <v>2</v>
      </c>
      <c r="I1967">
        <v>8</v>
      </c>
      <c r="J1967">
        <v>16</v>
      </c>
      <c r="K1967" s="482">
        <v>0.375</v>
      </c>
      <c r="L1967" s="482">
        <v>0.125</v>
      </c>
      <c r="M1967" s="482">
        <v>0.5</v>
      </c>
    </row>
    <row r="1968" spans="1:13" x14ac:dyDescent="0.2">
      <c r="A1968" t="s">
        <v>2753</v>
      </c>
      <c r="B1968" t="s">
        <v>17</v>
      </c>
      <c r="C1968" t="s">
        <v>87</v>
      </c>
      <c r="D1968" t="s">
        <v>776</v>
      </c>
      <c r="E1968" t="s">
        <v>777</v>
      </c>
      <c r="F1968" t="s">
        <v>179</v>
      </c>
      <c r="G1968">
        <v>11</v>
      </c>
      <c r="H1968">
        <v>8</v>
      </c>
      <c r="I1968">
        <v>7</v>
      </c>
      <c r="J1968">
        <v>26</v>
      </c>
      <c r="K1968" s="482">
        <v>0.42299999999999999</v>
      </c>
      <c r="L1968" s="482">
        <v>0.308</v>
      </c>
      <c r="M1968" s="482">
        <v>0.26900000000000002</v>
      </c>
    </row>
    <row r="1969" spans="1:13" x14ac:dyDescent="0.2">
      <c r="A1969" t="s">
        <v>2754</v>
      </c>
      <c r="B1969" t="s">
        <v>17</v>
      </c>
      <c r="C1969" t="s">
        <v>87</v>
      </c>
      <c r="D1969" t="s">
        <v>773</v>
      </c>
      <c r="E1969" t="s">
        <v>774</v>
      </c>
      <c r="F1969" t="s">
        <v>179</v>
      </c>
      <c r="G1969">
        <v>17</v>
      </c>
      <c r="H1969">
        <v>9</v>
      </c>
      <c r="I1969">
        <v>17</v>
      </c>
      <c r="J1969">
        <v>43</v>
      </c>
      <c r="K1969" s="482">
        <v>0.39500000000000002</v>
      </c>
      <c r="L1969" s="482">
        <v>0.20899999999999999</v>
      </c>
      <c r="M1969" s="482">
        <v>0.39500000000000002</v>
      </c>
    </row>
    <row r="1970" spans="1:13" x14ac:dyDescent="0.2">
      <c r="A1970" t="s">
        <v>2755</v>
      </c>
      <c r="B1970" t="s">
        <v>17</v>
      </c>
      <c r="C1970" t="s">
        <v>87</v>
      </c>
      <c r="D1970" t="s">
        <v>681</v>
      </c>
      <c r="E1970" t="s">
        <v>336</v>
      </c>
      <c r="F1970" t="s">
        <v>179</v>
      </c>
      <c r="G1970">
        <v>18</v>
      </c>
      <c r="H1970">
        <v>14</v>
      </c>
      <c r="I1970">
        <v>28</v>
      </c>
      <c r="J1970">
        <v>60</v>
      </c>
      <c r="K1970" s="482">
        <v>0.3</v>
      </c>
      <c r="L1970" s="482">
        <v>0.23300000000000001</v>
      </c>
      <c r="M1970" s="482">
        <v>0.46700000000000003</v>
      </c>
    </row>
    <row r="1971" spans="1:13" x14ac:dyDescent="0.2">
      <c r="A1971" t="s">
        <v>2756</v>
      </c>
      <c r="B1971" t="s">
        <v>17</v>
      </c>
      <c r="C1971" t="s">
        <v>87</v>
      </c>
      <c r="D1971" t="s">
        <v>770</v>
      </c>
      <c r="E1971" t="s">
        <v>771</v>
      </c>
      <c r="F1971" t="s">
        <v>179</v>
      </c>
      <c r="G1971">
        <v>14</v>
      </c>
      <c r="H1971">
        <v>9</v>
      </c>
      <c r="I1971">
        <v>14</v>
      </c>
      <c r="J1971">
        <v>37</v>
      </c>
      <c r="K1971" s="482">
        <v>0.378</v>
      </c>
      <c r="L1971" s="482">
        <v>0.24299999999999999</v>
      </c>
      <c r="M1971" s="482">
        <v>0.378</v>
      </c>
    </row>
    <row r="1972" spans="1:13" x14ac:dyDescent="0.2">
      <c r="A1972" t="s">
        <v>2763</v>
      </c>
      <c r="B1972" t="s">
        <v>17</v>
      </c>
      <c r="C1972" t="s">
        <v>87</v>
      </c>
      <c r="D1972" t="s">
        <v>749</v>
      </c>
      <c r="E1972" t="s">
        <v>750</v>
      </c>
      <c r="F1972" t="s">
        <v>179</v>
      </c>
      <c r="G1972">
        <v>2</v>
      </c>
      <c r="H1972">
        <v>3</v>
      </c>
      <c r="I1972">
        <v>7</v>
      </c>
      <c r="J1972">
        <v>12</v>
      </c>
      <c r="K1972" s="482">
        <v>0.16700000000000001</v>
      </c>
      <c r="L1972" s="482">
        <v>0.25</v>
      </c>
      <c r="M1972" s="482">
        <v>0.58299999999999996</v>
      </c>
    </row>
    <row r="1973" spans="1:13" x14ac:dyDescent="0.2">
      <c r="A1973" t="s">
        <v>2764</v>
      </c>
      <c r="B1973" t="s">
        <v>17</v>
      </c>
      <c r="C1973" t="s">
        <v>87</v>
      </c>
      <c r="D1973" t="s">
        <v>743</v>
      </c>
      <c r="E1973" t="s">
        <v>744</v>
      </c>
      <c r="F1973" t="s">
        <v>179</v>
      </c>
      <c r="G1973">
        <v>7</v>
      </c>
      <c r="H1973">
        <v>2</v>
      </c>
      <c r="I1973">
        <v>6</v>
      </c>
      <c r="J1973">
        <v>15</v>
      </c>
      <c r="K1973" s="482">
        <v>0.46700000000000003</v>
      </c>
      <c r="L1973" s="482">
        <v>0.13300000000000001</v>
      </c>
      <c r="M1973" s="482">
        <v>0.4</v>
      </c>
    </row>
    <row r="1974" spans="1:13" x14ac:dyDescent="0.2">
      <c r="A1974" t="s">
        <v>2765</v>
      </c>
      <c r="B1974" t="s">
        <v>17</v>
      </c>
      <c r="C1974" t="s">
        <v>87</v>
      </c>
      <c r="D1974" t="s">
        <v>740</v>
      </c>
      <c r="E1974" t="s">
        <v>741</v>
      </c>
      <c r="F1974" t="s">
        <v>179</v>
      </c>
      <c r="G1974">
        <v>6</v>
      </c>
      <c r="H1974">
        <v>3</v>
      </c>
      <c r="I1974">
        <v>4</v>
      </c>
      <c r="J1974">
        <v>13</v>
      </c>
      <c r="K1974" s="482">
        <v>0.46200000000000002</v>
      </c>
      <c r="L1974" s="482">
        <v>0.23100000000000001</v>
      </c>
      <c r="M1974" s="482">
        <v>0.308</v>
      </c>
    </row>
    <row r="1975" spans="1:13" x14ac:dyDescent="0.2">
      <c r="A1975" t="s">
        <v>2784</v>
      </c>
      <c r="B1975" t="s">
        <v>17</v>
      </c>
      <c r="C1975" t="s">
        <v>87</v>
      </c>
      <c r="D1975" t="s">
        <v>678</v>
      </c>
      <c r="E1975" t="s">
        <v>679</v>
      </c>
      <c r="F1975" t="s">
        <v>179</v>
      </c>
      <c r="G1975">
        <v>36</v>
      </c>
      <c r="H1975">
        <v>16</v>
      </c>
      <c r="I1975">
        <v>44</v>
      </c>
      <c r="J1975">
        <v>96</v>
      </c>
      <c r="K1975" s="482">
        <v>0.375</v>
      </c>
      <c r="L1975" s="482">
        <v>0.16700000000000001</v>
      </c>
      <c r="M1975" s="482">
        <v>0.45800000000000002</v>
      </c>
    </row>
    <row r="1976" spans="1:13" x14ac:dyDescent="0.2">
      <c r="A1976" t="s">
        <v>2766</v>
      </c>
      <c r="B1976" t="s">
        <v>17</v>
      </c>
      <c r="C1976" t="s">
        <v>87</v>
      </c>
      <c r="D1976" t="s">
        <v>737</v>
      </c>
      <c r="E1976" t="s">
        <v>738</v>
      </c>
      <c r="F1976" t="s">
        <v>179</v>
      </c>
      <c r="G1976">
        <v>7</v>
      </c>
      <c r="H1976">
        <v>3</v>
      </c>
      <c r="I1976">
        <v>8</v>
      </c>
      <c r="J1976">
        <v>18</v>
      </c>
      <c r="K1976" s="482">
        <v>0.38900000000000001</v>
      </c>
      <c r="L1976" s="482">
        <v>0.16700000000000001</v>
      </c>
      <c r="M1976" s="482">
        <v>0.44400000000000001</v>
      </c>
    </row>
    <row r="1977" spans="1:13" x14ac:dyDescent="0.2">
      <c r="A1977" t="s">
        <v>2771</v>
      </c>
      <c r="B1977" t="s">
        <v>17</v>
      </c>
      <c r="C1977" t="s">
        <v>87</v>
      </c>
      <c r="D1977" t="s">
        <v>725</v>
      </c>
      <c r="E1977" t="s">
        <v>726</v>
      </c>
      <c r="F1977" t="s">
        <v>179</v>
      </c>
      <c r="G1977" t="s">
        <v>53</v>
      </c>
      <c r="H1977">
        <v>0</v>
      </c>
      <c r="I1977" t="s">
        <v>53</v>
      </c>
      <c r="J1977" t="s">
        <v>53</v>
      </c>
      <c r="K1977" t="s">
        <v>53</v>
      </c>
      <c r="L1977" t="s">
        <v>53</v>
      </c>
      <c r="M1977" t="s">
        <v>53</v>
      </c>
    </row>
    <row r="1978" spans="1:13" x14ac:dyDescent="0.2">
      <c r="A1978" t="s">
        <v>2772</v>
      </c>
      <c r="B1978" t="s">
        <v>17</v>
      </c>
      <c r="C1978" t="s">
        <v>87</v>
      </c>
      <c r="D1978" t="s">
        <v>719</v>
      </c>
      <c r="E1978" t="s">
        <v>720</v>
      </c>
      <c r="F1978" t="s">
        <v>179</v>
      </c>
      <c r="G1978">
        <v>11</v>
      </c>
      <c r="H1978">
        <v>3</v>
      </c>
      <c r="I1978">
        <v>5</v>
      </c>
      <c r="J1978">
        <v>19</v>
      </c>
      <c r="K1978" s="482">
        <v>0.57899999999999996</v>
      </c>
      <c r="L1978" s="482">
        <v>0.158</v>
      </c>
      <c r="M1978" s="482">
        <v>0.26300000000000001</v>
      </c>
    </row>
    <row r="1979" spans="1:13" x14ac:dyDescent="0.2">
      <c r="A1979" t="s">
        <v>2773</v>
      </c>
      <c r="B1979" t="s">
        <v>17</v>
      </c>
      <c r="C1979" t="s">
        <v>87</v>
      </c>
      <c r="D1979" t="s">
        <v>716</v>
      </c>
      <c r="E1979" t="s">
        <v>717</v>
      </c>
      <c r="F1979" t="s">
        <v>179</v>
      </c>
      <c r="G1979">
        <v>7</v>
      </c>
      <c r="H1979">
        <v>3</v>
      </c>
      <c r="I1979">
        <v>13</v>
      </c>
      <c r="J1979">
        <v>23</v>
      </c>
      <c r="K1979" s="482">
        <v>0.30399999999999999</v>
      </c>
      <c r="L1979" s="482">
        <v>0.13</v>
      </c>
      <c r="M1979" s="482">
        <v>0.56499999999999995</v>
      </c>
    </row>
    <row r="1980" spans="1:13" x14ac:dyDescent="0.2">
      <c r="A1980" t="s">
        <v>2774</v>
      </c>
      <c r="B1980" t="s">
        <v>17</v>
      </c>
      <c r="C1980" t="s">
        <v>87</v>
      </c>
      <c r="D1980" t="s">
        <v>713</v>
      </c>
      <c r="E1980" t="s">
        <v>714</v>
      </c>
      <c r="F1980" t="s">
        <v>179</v>
      </c>
      <c r="G1980">
        <v>15</v>
      </c>
      <c r="H1980">
        <v>5</v>
      </c>
      <c r="I1980">
        <v>12</v>
      </c>
      <c r="J1980">
        <v>32</v>
      </c>
      <c r="K1980" s="482">
        <v>0.46899999999999997</v>
      </c>
      <c r="L1980" s="482">
        <v>0.156</v>
      </c>
      <c r="M1980" s="482">
        <v>0.375</v>
      </c>
    </row>
    <row r="1981" spans="1:13" x14ac:dyDescent="0.2">
      <c r="A1981" t="s">
        <v>2775</v>
      </c>
      <c r="B1981" t="s">
        <v>17</v>
      </c>
      <c r="C1981" t="s">
        <v>87</v>
      </c>
      <c r="D1981" t="s">
        <v>710</v>
      </c>
      <c r="E1981" t="s">
        <v>711</v>
      </c>
      <c r="F1981" t="s">
        <v>179</v>
      </c>
      <c r="G1981">
        <v>14</v>
      </c>
      <c r="H1981">
        <v>7</v>
      </c>
      <c r="I1981">
        <v>16</v>
      </c>
      <c r="J1981">
        <v>37</v>
      </c>
      <c r="K1981" s="482">
        <v>0.378</v>
      </c>
      <c r="L1981" s="482">
        <v>0.189</v>
      </c>
      <c r="M1981" s="482">
        <v>0.432</v>
      </c>
    </row>
    <row r="1982" spans="1:13" x14ac:dyDescent="0.2">
      <c r="A1982" t="s">
        <v>2776</v>
      </c>
      <c r="B1982" t="s">
        <v>17</v>
      </c>
      <c r="C1982" t="s">
        <v>87</v>
      </c>
      <c r="D1982" t="s">
        <v>707</v>
      </c>
      <c r="E1982" t="s">
        <v>708</v>
      </c>
      <c r="F1982" t="s">
        <v>179</v>
      </c>
      <c r="G1982" t="s">
        <v>53</v>
      </c>
      <c r="H1982" t="s">
        <v>53</v>
      </c>
      <c r="I1982" t="s">
        <v>53</v>
      </c>
      <c r="J1982" t="s">
        <v>53</v>
      </c>
      <c r="K1982" t="s">
        <v>53</v>
      </c>
      <c r="L1982" t="s">
        <v>53</v>
      </c>
      <c r="M1982" t="s">
        <v>53</v>
      </c>
    </row>
    <row r="1983" spans="1:13" x14ac:dyDescent="0.2">
      <c r="A1983" t="s">
        <v>2777</v>
      </c>
      <c r="B1983" t="s">
        <v>17</v>
      </c>
      <c r="C1983" t="s">
        <v>87</v>
      </c>
      <c r="D1983" t="s">
        <v>704</v>
      </c>
      <c r="E1983" t="s">
        <v>705</v>
      </c>
      <c r="F1983" t="s">
        <v>179</v>
      </c>
      <c r="G1983">
        <v>15</v>
      </c>
      <c r="H1983">
        <v>10</v>
      </c>
      <c r="I1983">
        <v>18</v>
      </c>
      <c r="J1983">
        <v>43</v>
      </c>
      <c r="K1983" s="482">
        <v>0.34899999999999998</v>
      </c>
      <c r="L1983" s="482">
        <v>0.23300000000000001</v>
      </c>
      <c r="M1983" s="482">
        <v>0.41899999999999998</v>
      </c>
    </row>
    <row r="1984" spans="1:13" x14ac:dyDescent="0.2">
      <c r="A1984" t="s">
        <v>2778</v>
      </c>
      <c r="B1984" t="s">
        <v>17</v>
      </c>
      <c r="C1984" t="s">
        <v>87</v>
      </c>
      <c r="D1984" t="s">
        <v>701</v>
      </c>
      <c r="E1984" t="s">
        <v>702</v>
      </c>
      <c r="F1984" t="s">
        <v>179</v>
      </c>
      <c r="G1984" t="s">
        <v>53</v>
      </c>
      <c r="H1984">
        <v>0</v>
      </c>
      <c r="I1984" t="s">
        <v>53</v>
      </c>
      <c r="J1984" t="s">
        <v>53</v>
      </c>
      <c r="K1984" t="s">
        <v>53</v>
      </c>
      <c r="L1984" t="s">
        <v>53</v>
      </c>
      <c r="M1984" t="s">
        <v>53</v>
      </c>
    </row>
    <row r="1985" spans="1:13" x14ac:dyDescent="0.2">
      <c r="A1985" t="s">
        <v>2779</v>
      </c>
      <c r="B1985" t="s">
        <v>17</v>
      </c>
      <c r="C1985" t="s">
        <v>87</v>
      </c>
      <c r="D1985" t="s">
        <v>698</v>
      </c>
      <c r="E1985" t="s">
        <v>699</v>
      </c>
      <c r="F1985" t="s">
        <v>179</v>
      </c>
      <c r="G1985">
        <v>10</v>
      </c>
      <c r="H1985">
        <v>5</v>
      </c>
      <c r="I1985">
        <v>12</v>
      </c>
      <c r="J1985">
        <v>27</v>
      </c>
      <c r="K1985" s="482">
        <v>0.37</v>
      </c>
      <c r="L1985" s="482">
        <v>0.185</v>
      </c>
      <c r="M1985" s="482">
        <v>0.44400000000000001</v>
      </c>
    </row>
    <row r="1986" spans="1:13" x14ac:dyDescent="0.2">
      <c r="A1986" t="s">
        <v>2780</v>
      </c>
      <c r="B1986" t="s">
        <v>17</v>
      </c>
      <c r="C1986" t="s">
        <v>87</v>
      </c>
      <c r="D1986" t="s">
        <v>695</v>
      </c>
      <c r="E1986" t="s">
        <v>696</v>
      </c>
      <c r="F1986" t="s">
        <v>179</v>
      </c>
      <c r="G1986">
        <v>11</v>
      </c>
      <c r="H1986">
        <v>9</v>
      </c>
      <c r="I1986">
        <v>14</v>
      </c>
      <c r="J1986">
        <v>34</v>
      </c>
      <c r="K1986" s="482">
        <v>0.32400000000000001</v>
      </c>
      <c r="L1986" s="482">
        <v>0.26500000000000001</v>
      </c>
      <c r="M1986" s="482">
        <v>0.41199999999999998</v>
      </c>
    </row>
    <row r="1987" spans="1:13" x14ac:dyDescent="0.2">
      <c r="A1987" t="s">
        <v>2781</v>
      </c>
      <c r="B1987" t="s">
        <v>17</v>
      </c>
      <c r="C1987" t="s">
        <v>87</v>
      </c>
      <c r="D1987" t="s">
        <v>692</v>
      </c>
      <c r="E1987" t="s">
        <v>693</v>
      </c>
      <c r="F1987" t="s">
        <v>179</v>
      </c>
      <c r="G1987">
        <v>14</v>
      </c>
      <c r="H1987">
        <v>8</v>
      </c>
      <c r="I1987">
        <v>20</v>
      </c>
      <c r="J1987">
        <v>42</v>
      </c>
      <c r="K1987" s="482">
        <v>0.33300000000000002</v>
      </c>
      <c r="L1987" s="482">
        <v>0.19</v>
      </c>
      <c r="M1987" s="482">
        <v>0.47599999999999998</v>
      </c>
    </row>
    <row r="1988" spans="1:13" x14ac:dyDescent="0.2">
      <c r="A1988" t="s">
        <v>2782</v>
      </c>
      <c r="B1988" t="s">
        <v>17</v>
      </c>
      <c r="C1988" t="s">
        <v>87</v>
      </c>
      <c r="D1988" t="s">
        <v>689</v>
      </c>
      <c r="E1988" t="s">
        <v>690</v>
      </c>
      <c r="F1988" t="s">
        <v>179</v>
      </c>
      <c r="G1988">
        <v>1</v>
      </c>
      <c r="H1988">
        <v>0</v>
      </c>
      <c r="I1988">
        <v>5</v>
      </c>
      <c r="J1988">
        <v>6</v>
      </c>
      <c r="K1988" s="482">
        <v>0.16700000000000001</v>
      </c>
      <c r="L1988" s="482">
        <v>0</v>
      </c>
      <c r="M1988" s="482">
        <v>0.83299999999999996</v>
      </c>
    </row>
    <row r="1989" spans="1:13" x14ac:dyDescent="0.2">
      <c r="A1989" t="s">
        <v>6572</v>
      </c>
      <c r="B1989" t="s">
        <v>17</v>
      </c>
      <c r="C1989" t="s">
        <v>87</v>
      </c>
      <c r="D1989" t="s">
        <v>686</v>
      </c>
      <c r="E1989" t="s">
        <v>687</v>
      </c>
      <c r="F1989" t="s">
        <v>179</v>
      </c>
      <c r="G1989">
        <v>0</v>
      </c>
      <c r="H1989" t="s">
        <v>53</v>
      </c>
      <c r="I1989">
        <v>0</v>
      </c>
      <c r="J1989" t="s">
        <v>53</v>
      </c>
      <c r="K1989" t="s">
        <v>53</v>
      </c>
      <c r="L1989" t="s">
        <v>53</v>
      </c>
      <c r="M1989" t="s">
        <v>53</v>
      </c>
    </row>
    <row r="1990" spans="1:13" x14ac:dyDescent="0.2">
      <c r="A1990" t="s">
        <v>2783</v>
      </c>
      <c r="B1990" t="s">
        <v>17</v>
      </c>
      <c r="C1990" t="s">
        <v>87</v>
      </c>
      <c r="D1990" t="s">
        <v>683</v>
      </c>
      <c r="E1990" t="s">
        <v>684</v>
      </c>
      <c r="F1990" t="s">
        <v>179</v>
      </c>
      <c r="G1990">
        <v>13</v>
      </c>
      <c r="H1990">
        <v>14</v>
      </c>
      <c r="I1990">
        <v>12</v>
      </c>
      <c r="J1990">
        <v>39</v>
      </c>
      <c r="K1990" s="482">
        <v>0.33300000000000002</v>
      </c>
      <c r="L1990" s="482">
        <v>0.35899999999999999</v>
      </c>
      <c r="M1990" s="482">
        <v>0.308</v>
      </c>
    </row>
    <row r="1991" spans="1:13" x14ac:dyDescent="0.2">
      <c r="A1991" t="s">
        <v>2768</v>
      </c>
      <c r="B1991" t="s">
        <v>17</v>
      </c>
      <c r="C1991" t="s">
        <v>87</v>
      </c>
      <c r="D1991" t="s">
        <v>607</v>
      </c>
      <c r="E1991" t="s">
        <v>608</v>
      </c>
      <c r="F1991" t="s">
        <v>179</v>
      </c>
      <c r="G1991">
        <v>4</v>
      </c>
      <c r="H1991">
        <v>0</v>
      </c>
      <c r="I1991">
        <v>2</v>
      </c>
      <c r="J1991">
        <v>6</v>
      </c>
      <c r="K1991" s="482">
        <v>0.66700000000000004</v>
      </c>
      <c r="L1991" s="482">
        <v>0</v>
      </c>
      <c r="M1991" s="482">
        <v>0.33300000000000002</v>
      </c>
    </row>
    <row r="1992" spans="1:13" x14ac:dyDescent="0.2">
      <c r="A1992" t="s">
        <v>2807</v>
      </c>
      <c r="B1992" t="s">
        <v>17</v>
      </c>
      <c r="C1992" t="s">
        <v>87</v>
      </c>
      <c r="D1992" t="s">
        <v>604</v>
      </c>
      <c r="E1992" t="s">
        <v>605</v>
      </c>
      <c r="F1992" t="s">
        <v>179</v>
      </c>
      <c r="G1992">
        <v>8</v>
      </c>
      <c r="H1992">
        <v>8</v>
      </c>
      <c r="I1992">
        <v>10</v>
      </c>
      <c r="J1992">
        <v>26</v>
      </c>
      <c r="K1992" s="482">
        <v>0.308</v>
      </c>
      <c r="L1992" s="482">
        <v>0.308</v>
      </c>
      <c r="M1992" s="482">
        <v>0.38500000000000001</v>
      </c>
    </row>
    <row r="1993" spans="1:13" x14ac:dyDescent="0.2">
      <c r="A1993" t="s">
        <v>2808</v>
      </c>
      <c r="B1993" t="s">
        <v>17</v>
      </c>
      <c r="C1993" t="s">
        <v>87</v>
      </c>
      <c r="D1993" t="s">
        <v>601</v>
      </c>
      <c r="E1993" t="s">
        <v>602</v>
      </c>
      <c r="F1993" t="s">
        <v>179</v>
      </c>
      <c r="G1993">
        <v>8</v>
      </c>
      <c r="H1993">
        <v>0</v>
      </c>
      <c r="I1993">
        <v>3</v>
      </c>
      <c r="J1993">
        <v>11</v>
      </c>
      <c r="K1993" s="482">
        <v>0.72699999999999998</v>
      </c>
      <c r="L1993" s="482">
        <v>0</v>
      </c>
      <c r="M1993" s="482">
        <v>0.27300000000000002</v>
      </c>
    </row>
    <row r="1994" spans="1:13" x14ac:dyDescent="0.2">
      <c r="A1994" t="s">
        <v>2809</v>
      </c>
      <c r="B1994" t="s">
        <v>17</v>
      </c>
      <c r="C1994" t="s">
        <v>87</v>
      </c>
      <c r="D1994" t="s">
        <v>598</v>
      </c>
      <c r="E1994" t="s">
        <v>599</v>
      </c>
      <c r="F1994" t="s">
        <v>179</v>
      </c>
      <c r="G1994">
        <v>33</v>
      </c>
      <c r="H1994">
        <v>10</v>
      </c>
      <c r="I1994">
        <v>27</v>
      </c>
      <c r="J1994">
        <v>70</v>
      </c>
      <c r="K1994" s="482">
        <v>0.47099999999999997</v>
      </c>
      <c r="L1994" s="482">
        <v>0.14299999999999999</v>
      </c>
      <c r="M1994" s="482">
        <v>0.38600000000000001</v>
      </c>
    </row>
    <row r="1995" spans="1:13" x14ac:dyDescent="0.2">
      <c r="A1995" t="s">
        <v>2810</v>
      </c>
      <c r="B1995" t="s">
        <v>17</v>
      </c>
      <c r="C1995" t="s">
        <v>87</v>
      </c>
      <c r="D1995" t="s">
        <v>595</v>
      </c>
      <c r="E1995" t="s">
        <v>596</v>
      </c>
      <c r="F1995" t="s">
        <v>179</v>
      </c>
      <c r="G1995">
        <v>5</v>
      </c>
      <c r="H1995">
        <v>3</v>
      </c>
      <c r="I1995">
        <v>4</v>
      </c>
      <c r="J1995">
        <v>12</v>
      </c>
      <c r="K1995" s="482">
        <v>0.41699999999999998</v>
      </c>
      <c r="L1995" s="482">
        <v>0.25</v>
      </c>
      <c r="M1995" s="482">
        <v>0.33300000000000002</v>
      </c>
    </row>
    <row r="1996" spans="1:13" x14ac:dyDescent="0.2">
      <c r="A1996" t="s">
        <v>2811</v>
      </c>
      <c r="B1996" t="s">
        <v>17</v>
      </c>
      <c r="C1996" t="s">
        <v>87</v>
      </c>
      <c r="D1996" t="s">
        <v>592</v>
      </c>
      <c r="E1996" t="s">
        <v>593</v>
      </c>
      <c r="F1996" t="s">
        <v>179</v>
      </c>
      <c r="G1996">
        <v>17</v>
      </c>
      <c r="H1996">
        <v>4</v>
      </c>
      <c r="I1996">
        <v>11</v>
      </c>
      <c r="J1996">
        <v>32</v>
      </c>
      <c r="K1996" s="482">
        <v>0.53100000000000003</v>
      </c>
      <c r="L1996" s="482">
        <v>0.125</v>
      </c>
      <c r="M1996" s="482">
        <v>0.34399999999999997</v>
      </c>
    </row>
    <row r="1997" spans="1:13" x14ac:dyDescent="0.2">
      <c r="A1997" t="s">
        <v>2812</v>
      </c>
      <c r="B1997" t="s">
        <v>17</v>
      </c>
      <c r="C1997" t="s">
        <v>87</v>
      </c>
      <c r="D1997" t="s">
        <v>589</v>
      </c>
      <c r="E1997" t="s">
        <v>590</v>
      </c>
      <c r="F1997" t="s">
        <v>179</v>
      </c>
      <c r="G1997">
        <v>10</v>
      </c>
      <c r="H1997">
        <v>9</v>
      </c>
      <c r="I1997">
        <v>18</v>
      </c>
      <c r="J1997">
        <v>37</v>
      </c>
      <c r="K1997" s="482">
        <v>0.27</v>
      </c>
      <c r="L1997" s="482">
        <v>0.24299999999999999</v>
      </c>
      <c r="M1997" s="482">
        <v>0.48599999999999999</v>
      </c>
    </row>
    <row r="1998" spans="1:13" x14ac:dyDescent="0.2">
      <c r="A1998" t="s">
        <v>2770</v>
      </c>
      <c r="B1998" t="s">
        <v>17</v>
      </c>
      <c r="C1998" t="s">
        <v>87</v>
      </c>
      <c r="D1998" t="s">
        <v>728</v>
      </c>
      <c r="E1998" t="s">
        <v>729</v>
      </c>
      <c r="F1998" t="s">
        <v>179</v>
      </c>
      <c r="G1998">
        <v>13</v>
      </c>
      <c r="H1998">
        <v>4</v>
      </c>
      <c r="I1998">
        <v>7</v>
      </c>
      <c r="J1998">
        <v>24</v>
      </c>
      <c r="K1998" s="482">
        <v>0.54200000000000004</v>
      </c>
      <c r="L1998" s="482">
        <v>0.16700000000000001</v>
      </c>
      <c r="M1998" s="482">
        <v>0.29199999999999998</v>
      </c>
    </row>
    <row r="1999" spans="1:13" x14ac:dyDescent="0.2">
      <c r="A1999" t="s">
        <v>2769</v>
      </c>
      <c r="B1999" t="s">
        <v>17</v>
      </c>
      <c r="C1999" t="s">
        <v>87</v>
      </c>
      <c r="D1999" t="s">
        <v>731</v>
      </c>
      <c r="E1999" t="s">
        <v>732</v>
      </c>
      <c r="F1999" t="s">
        <v>179</v>
      </c>
      <c r="G1999" t="s">
        <v>53</v>
      </c>
      <c r="H1999">
        <v>0</v>
      </c>
      <c r="I1999">
        <v>0</v>
      </c>
      <c r="J1999" t="s">
        <v>53</v>
      </c>
      <c r="K1999" t="s">
        <v>53</v>
      </c>
      <c r="L1999" t="s">
        <v>53</v>
      </c>
      <c r="M1999" t="s">
        <v>53</v>
      </c>
    </row>
    <row r="2000" spans="1:13" x14ac:dyDescent="0.2">
      <c r="A2000" t="s">
        <v>2701</v>
      </c>
      <c r="B2000" t="s">
        <v>17</v>
      </c>
      <c r="C2000" t="s">
        <v>87</v>
      </c>
      <c r="D2000" t="s">
        <v>944</v>
      </c>
      <c r="E2000" t="s">
        <v>945</v>
      </c>
      <c r="F2000" t="s">
        <v>179</v>
      </c>
      <c r="G2000">
        <v>13</v>
      </c>
      <c r="H2000">
        <v>7</v>
      </c>
      <c r="I2000">
        <v>12</v>
      </c>
      <c r="J2000">
        <v>32</v>
      </c>
      <c r="K2000" s="482">
        <v>0.40600000000000003</v>
      </c>
      <c r="L2000" s="482">
        <v>0.219</v>
      </c>
      <c r="M2000" s="482">
        <v>0.375</v>
      </c>
    </row>
    <row r="2001" spans="1:13" x14ac:dyDescent="0.2">
      <c r="A2001" t="s">
        <v>2687</v>
      </c>
      <c r="B2001" t="s">
        <v>17</v>
      </c>
      <c r="C2001" t="s">
        <v>87</v>
      </c>
      <c r="D2001" t="s">
        <v>986</v>
      </c>
      <c r="E2001" t="s">
        <v>987</v>
      </c>
      <c r="F2001" t="s">
        <v>179</v>
      </c>
      <c r="G2001" t="s">
        <v>53</v>
      </c>
      <c r="H2001" t="s">
        <v>53</v>
      </c>
      <c r="I2001">
        <v>0</v>
      </c>
      <c r="J2001" t="s">
        <v>53</v>
      </c>
      <c r="K2001" t="s">
        <v>53</v>
      </c>
      <c r="L2001" t="s">
        <v>53</v>
      </c>
      <c r="M2001" t="s">
        <v>53</v>
      </c>
    </row>
    <row r="2002" spans="1:13" x14ac:dyDescent="0.2">
      <c r="A2002" t="s">
        <v>2688</v>
      </c>
      <c r="B2002" t="s">
        <v>17</v>
      </c>
      <c r="C2002" t="s">
        <v>87</v>
      </c>
      <c r="D2002" t="s">
        <v>983</v>
      </c>
      <c r="E2002" t="s">
        <v>984</v>
      </c>
      <c r="F2002" t="s">
        <v>179</v>
      </c>
      <c r="G2002">
        <v>14</v>
      </c>
      <c r="H2002">
        <v>2</v>
      </c>
      <c r="I2002">
        <v>17</v>
      </c>
      <c r="J2002">
        <v>33</v>
      </c>
      <c r="K2002" s="482">
        <v>0.42399999999999999</v>
      </c>
      <c r="L2002" s="482">
        <v>6.0999999999999999E-2</v>
      </c>
      <c r="M2002" s="482">
        <v>0.51500000000000001</v>
      </c>
    </row>
    <row r="2003" spans="1:13" x14ac:dyDescent="0.2">
      <c r="A2003" t="s">
        <v>2689</v>
      </c>
      <c r="B2003" t="s">
        <v>17</v>
      </c>
      <c r="C2003" t="s">
        <v>87</v>
      </c>
      <c r="D2003" t="s">
        <v>980</v>
      </c>
      <c r="E2003" t="s">
        <v>981</v>
      </c>
      <c r="F2003" t="s">
        <v>179</v>
      </c>
      <c r="G2003">
        <v>39</v>
      </c>
      <c r="H2003">
        <v>27</v>
      </c>
      <c r="I2003">
        <v>68</v>
      </c>
      <c r="J2003">
        <v>134</v>
      </c>
      <c r="K2003" s="482">
        <v>0.29099999999999998</v>
      </c>
      <c r="L2003" s="482">
        <v>0.20100000000000001</v>
      </c>
      <c r="M2003" s="482">
        <v>0.50700000000000001</v>
      </c>
    </row>
    <row r="2004" spans="1:13" x14ac:dyDescent="0.2">
      <c r="A2004" t="s">
        <v>2690</v>
      </c>
      <c r="B2004" t="s">
        <v>17</v>
      </c>
      <c r="C2004" t="s">
        <v>87</v>
      </c>
      <c r="D2004" t="s">
        <v>977</v>
      </c>
      <c r="E2004" t="s">
        <v>978</v>
      </c>
      <c r="F2004" t="s">
        <v>179</v>
      </c>
      <c r="G2004" t="s">
        <v>53</v>
      </c>
      <c r="H2004">
        <v>0</v>
      </c>
      <c r="I2004" t="s">
        <v>53</v>
      </c>
      <c r="J2004" t="s">
        <v>53</v>
      </c>
      <c r="K2004" t="s">
        <v>53</v>
      </c>
      <c r="L2004" t="s">
        <v>53</v>
      </c>
      <c r="M2004" t="s">
        <v>53</v>
      </c>
    </row>
    <row r="2005" spans="1:13" x14ac:dyDescent="0.2">
      <c r="A2005" t="s">
        <v>2691</v>
      </c>
      <c r="B2005" t="s">
        <v>17</v>
      </c>
      <c r="C2005" t="s">
        <v>87</v>
      </c>
      <c r="D2005" t="s">
        <v>974</v>
      </c>
      <c r="E2005" t="s">
        <v>975</v>
      </c>
      <c r="F2005" t="s">
        <v>179</v>
      </c>
      <c r="G2005">
        <v>8</v>
      </c>
      <c r="H2005">
        <v>3</v>
      </c>
      <c r="I2005">
        <v>5</v>
      </c>
      <c r="J2005">
        <v>16</v>
      </c>
      <c r="K2005" s="482">
        <v>0.5</v>
      </c>
      <c r="L2005" s="482">
        <v>0.188</v>
      </c>
      <c r="M2005" s="482">
        <v>0.313</v>
      </c>
    </row>
    <row r="2006" spans="1:13" x14ac:dyDescent="0.2">
      <c r="A2006" t="s">
        <v>2692</v>
      </c>
      <c r="B2006" t="s">
        <v>17</v>
      </c>
      <c r="C2006" t="s">
        <v>87</v>
      </c>
      <c r="D2006" t="s">
        <v>971</v>
      </c>
      <c r="E2006" t="s">
        <v>972</v>
      </c>
      <c r="F2006" t="s">
        <v>179</v>
      </c>
      <c r="G2006">
        <v>5</v>
      </c>
      <c r="H2006">
        <v>1</v>
      </c>
      <c r="I2006">
        <v>6</v>
      </c>
      <c r="J2006">
        <v>12</v>
      </c>
      <c r="K2006" s="482">
        <v>0.41699999999999998</v>
      </c>
      <c r="L2006" s="482">
        <v>8.3000000000000004E-2</v>
      </c>
      <c r="M2006" s="482">
        <v>0.5</v>
      </c>
    </row>
    <row r="2007" spans="1:13" x14ac:dyDescent="0.2">
      <c r="A2007" t="s">
        <v>2693</v>
      </c>
      <c r="B2007" t="s">
        <v>17</v>
      </c>
      <c r="C2007" t="s">
        <v>87</v>
      </c>
      <c r="D2007" t="s">
        <v>968</v>
      </c>
      <c r="E2007" t="s">
        <v>969</v>
      </c>
      <c r="F2007" t="s">
        <v>179</v>
      </c>
      <c r="G2007">
        <v>11</v>
      </c>
      <c r="H2007">
        <v>6</v>
      </c>
      <c r="I2007">
        <v>10</v>
      </c>
      <c r="J2007">
        <v>27</v>
      </c>
      <c r="K2007" s="482">
        <v>0.40699999999999997</v>
      </c>
      <c r="L2007" s="482">
        <v>0.222</v>
      </c>
      <c r="M2007" s="482">
        <v>0.37</v>
      </c>
    </row>
    <row r="2008" spans="1:13" x14ac:dyDescent="0.2">
      <c r="A2008" t="s">
        <v>2694</v>
      </c>
      <c r="B2008" t="s">
        <v>17</v>
      </c>
      <c r="C2008" t="s">
        <v>87</v>
      </c>
      <c r="D2008" t="s">
        <v>965</v>
      </c>
      <c r="E2008" t="s">
        <v>966</v>
      </c>
      <c r="F2008" t="s">
        <v>179</v>
      </c>
      <c r="G2008">
        <v>10</v>
      </c>
      <c r="H2008">
        <v>3</v>
      </c>
      <c r="I2008">
        <v>15</v>
      </c>
      <c r="J2008">
        <v>28</v>
      </c>
      <c r="K2008" s="482">
        <v>0.35699999999999998</v>
      </c>
      <c r="L2008" s="482">
        <v>0.107</v>
      </c>
      <c r="M2008" s="482">
        <v>0.53600000000000003</v>
      </c>
    </row>
    <row r="2009" spans="1:13" x14ac:dyDescent="0.2">
      <c r="A2009" t="s">
        <v>2695</v>
      </c>
      <c r="B2009" t="s">
        <v>17</v>
      </c>
      <c r="C2009" t="s">
        <v>87</v>
      </c>
      <c r="D2009" t="s">
        <v>962</v>
      </c>
      <c r="E2009" t="s">
        <v>963</v>
      </c>
      <c r="F2009" t="s">
        <v>179</v>
      </c>
      <c r="G2009">
        <v>12</v>
      </c>
      <c r="H2009">
        <v>8</v>
      </c>
      <c r="I2009">
        <v>16</v>
      </c>
      <c r="J2009">
        <v>36</v>
      </c>
      <c r="K2009" s="482">
        <v>0.33300000000000002</v>
      </c>
      <c r="L2009" s="482">
        <v>0.222</v>
      </c>
      <c r="M2009" s="482">
        <v>0.44400000000000001</v>
      </c>
    </row>
    <row r="2010" spans="1:13" x14ac:dyDescent="0.2">
      <c r="A2010" t="s">
        <v>2696</v>
      </c>
      <c r="B2010" t="s">
        <v>17</v>
      </c>
      <c r="C2010" t="s">
        <v>87</v>
      </c>
      <c r="D2010" t="s">
        <v>959</v>
      </c>
      <c r="E2010" t="s">
        <v>960</v>
      </c>
      <c r="F2010" t="s">
        <v>179</v>
      </c>
      <c r="G2010">
        <v>9</v>
      </c>
      <c r="H2010">
        <v>1</v>
      </c>
      <c r="I2010">
        <v>11</v>
      </c>
      <c r="J2010">
        <v>21</v>
      </c>
      <c r="K2010" s="482">
        <v>0.42899999999999999</v>
      </c>
      <c r="L2010" s="482">
        <v>4.8000000000000001E-2</v>
      </c>
      <c r="M2010" s="482">
        <v>0.52400000000000002</v>
      </c>
    </row>
    <row r="2011" spans="1:13" x14ac:dyDescent="0.2">
      <c r="A2011" t="s">
        <v>2697</v>
      </c>
      <c r="B2011" t="s">
        <v>17</v>
      </c>
      <c r="C2011" t="s">
        <v>87</v>
      </c>
      <c r="D2011" t="s">
        <v>956</v>
      </c>
      <c r="E2011" t="s">
        <v>957</v>
      </c>
      <c r="F2011" t="s">
        <v>179</v>
      </c>
      <c r="G2011" t="s">
        <v>53</v>
      </c>
      <c r="H2011">
        <v>0</v>
      </c>
      <c r="I2011">
        <v>0</v>
      </c>
      <c r="J2011" t="s">
        <v>53</v>
      </c>
      <c r="K2011" t="s">
        <v>53</v>
      </c>
      <c r="L2011" t="s">
        <v>53</v>
      </c>
      <c r="M2011" t="s">
        <v>53</v>
      </c>
    </row>
    <row r="2012" spans="1:13" x14ac:dyDescent="0.2">
      <c r="A2012" t="s">
        <v>2698</v>
      </c>
      <c r="B2012" t="s">
        <v>17</v>
      </c>
      <c r="C2012" t="s">
        <v>87</v>
      </c>
      <c r="D2012" t="s">
        <v>953</v>
      </c>
      <c r="E2012" t="s">
        <v>954</v>
      </c>
      <c r="F2012" t="s">
        <v>179</v>
      </c>
      <c r="G2012">
        <v>1</v>
      </c>
      <c r="H2012">
        <v>3</v>
      </c>
      <c r="I2012">
        <v>2</v>
      </c>
      <c r="J2012">
        <v>6</v>
      </c>
      <c r="K2012" s="482">
        <v>0.16700000000000001</v>
      </c>
      <c r="L2012" s="482">
        <v>0.5</v>
      </c>
      <c r="M2012" s="482">
        <v>0.33300000000000002</v>
      </c>
    </row>
    <row r="2013" spans="1:13" x14ac:dyDescent="0.2">
      <c r="A2013" t="s">
        <v>2699</v>
      </c>
      <c r="B2013" t="s">
        <v>17</v>
      </c>
      <c r="C2013" t="s">
        <v>87</v>
      </c>
      <c r="D2013" t="s">
        <v>950</v>
      </c>
      <c r="E2013" t="s">
        <v>951</v>
      </c>
      <c r="F2013" t="s">
        <v>179</v>
      </c>
      <c r="G2013">
        <v>4</v>
      </c>
      <c r="H2013">
        <v>1</v>
      </c>
      <c r="I2013">
        <v>5</v>
      </c>
      <c r="J2013">
        <v>10</v>
      </c>
      <c r="K2013" s="482">
        <v>0.4</v>
      </c>
      <c r="L2013" s="482">
        <v>0.1</v>
      </c>
      <c r="M2013" s="482">
        <v>0.5</v>
      </c>
    </row>
    <row r="2014" spans="1:13" x14ac:dyDescent="0.2">
      <c r="A2014" t="s">
        <v>2700</v>
      </c>
      <c r="B2014" t="s">
        <v>17</v>
      </c>
      <c r="C2014" t="s">
        <v>87</v>
      </c>
      <c r="D2014" t="s">
        <v>947</v>
      </c>
      <c r="E2014" t="s">
        <v>948</v>
      </c>
      <c r="F2014" t="s">
        <v>179</v>
      </c>
      <c r="G2014">
        <v>3</v>
      </c>
      <c r="H2014">
        <v>4</v>
      </c>
      <c r="I2014">
        <v>8</v>
      </c>
      <c r="J2014">
        <v>15</v>
      </c>
      <c r="K2014" s="482">
        <v>0.2</v>
      </c>
      <c r="L2014" s="482">
        <v>0.26700000000000002</v>
      </c>
      <c r="M2014" s="482">
        <v>0.53300000000000003</v>
      </c>
    </row>
    <row r="2015" spans="1:13" x14ac:dyDescent="0.2">
      <c r="A2015" t="s">
        <v>2705</v>
      </c>
      <c r="B2015" t="s">
        <v>17</v>
      </c>
      <c r="C2015" t="s">
        <v>87</v>
      </c>
      <c r="D2015" t="s">
        <v>932</v>
      </c>
      <c r="E2015" t="s">
        <v>933</v>
      </c>
      <c r="F2015" t="s">
        <v>179</v>
      </c>
      <c r="G2015">
        <v>15</v>
      </c>
      <c r="H2015">
        <v>4</v>
      </c>
      <c r="I2015">
        <v>17</v>
      </c>
      <c r="J2015">
        <v>36</v>
      </c>
      <c r="K2015" s="482">
        <v>0.41699999999999998</v>
      </c>
      <c r="L2015" s="482">
        <v>0.111</v>
      </c>
      <c r="M2015" s="482">
        <v>0.47199999999999998</v>
      </c>
    </row>
    <row r="2016" spans="1:13" x14ac:dyDescent="0.2">
      <c r="A2016" t="s">
        <v>2704</v>
      </c>
      <c r="B2016" t="s">
        <v>17</v>
      </c>
      <c r="C2016" t="s">
        <v>87</v>
      </c>
      <c r="D2016" t="s">
        <v>935</v>
      </c>
      <c r="E2016" t="s">
        <v>936</v>
      </c>
      <c r="F2016" t="s">
        <v>179</v>
      </c>
      <c r="G2016">
        <v>0</v>
      </c>
      <c r="H2016">
        <v>0</v>
      </c>
      <c r="I2016" t="s">
        <v>53</v>
      </c>
      <c r="J2016" t="s">
        <v>53</v>
      </c>
      <c r="K2016" t="s">
        <v>53</v>
      </c>
      <c r="L2016" t="s">
        <v>53</v>
      </c>
      <c r="M2016" t="s">
        <v>53</v>
      </c>
    </row>
    <row r="2017" spans="1:13" x14ac:dyDescent="0.2">
      <c r="A2017" t="s">
        <v>2706</v>
      </c>
      <c r="B2017" t="s">
        <v>17</v>
      </c>
      <c r="C2017" t="s">
        <v>87</v>
      </c>
      <c r="D2017" t="s">
        <v>851</v>
      </c>
      <c r="E2017" t="s">
        <v>852</v>
      </c>
      <c r="F2017" t="s">
        <v>179</v>
      </c>
      <c r="G2017">
        <v>7</v>
      </c>
      <c r="H2017">
        <v>1</v>
      </c>
      <c r="I2017">
        <v>7</v>
      </c>
      <c r="J2017">
        <v>15</v>
      </c>
      <c r="K2017" s="482">
        <v>0.46700000000000003</v>
      </c>
      <c r="L2017" s="482">
        <v>6.7000000000000004E-2</v>
      </c>
      <c r="M2017" s="482">
        <v>0.46700000000000003</v>
      </c>
    </row>
    <row r="2018" spans="1:13" x14ac:dyDescent="0.2">
      <c r="A2018" t="s">
        <v>2732</v>
      </c>
      <c r="B2018" t="s">
        <v>17</v>
      </c>
      <c r="C2018" t="s">
        <v>87</v>
      </c>
      <c r="D2018" t="s">
        <v>848</v>
      </c>
      <c r="E2018" t="s">
        <v>849</v>
      </c>
      <c r="F2018" t="s">
        <v>179</v>
      </c>
      <c r="G2018">
        <v>7</v>
      </c>
      <c r="H2018">
        <v>1</v>
      </c>
      <c r="I2018">
        <v>4</v>
      </c>
      <c r="J2018">
        <v>12</v>
      </c>
      <c r="K2018" s="482">
        <v>0.58299999999999996</v>
      </c>
      <c r="L2018" s="482">
        <v>8.3000000000000004E-2</v>
      </c>
      <c r="M2018" s="482">
        <v>0.33300000000000002</v>
      </c>
    </row>
    <row r="2019" spans="1:13" x14ac:dyDescent="0.2">
      <c r="A2019" t="s">
        <v>2733</v>
      </c>
      <c r="B2019" t="s">
        <v>17</v>
      </c>
      <c r="C2019" t="s">
        <v>87</v>
      </c>
      <c r="D2019" t="s">
        <v>842</v>
      </c>
      <c r="E2019" t="s">
        <v>843</v>
      </c>
      <c r="F2019" t="s">
        <v>179</v>
      </c>
      <c r="G2019">
        <v>9</v>
      </c>
      <c r="H2019">
        <v>2</v>
      </c>
      <c r="I2019">
        <v>5</v>
      </c>
      <c r="J2019">
        <v>16</v>
      </c>
      <c r="K2019" s="482">
        <v>0.56299999999999994</v>
      </c>
      <c r="L2019" s="482">
        <v>0.125</v>
      </c>
      <c r="M2019" s="482">
        <v>0.313</v>
      </c>
    </row>
    <row r="2020" spans="1:13" x14ac:dyDescent="0.2">
      <c r="A2020" t="s">
        <v>2734</v>
      </c>
      <c r="B2020" t="s">
        <v>17</v>
      </c>
      <c r="C2020" t="s">
        <v>87</v>
      </c>
      <c r="D2020" t="s">
        <v>839</v>
      </c>
      <c r="E2020" t="s">
        <v>840</v>
      </c>
      <c r="F2020" t="s">
        <v>179</v>
      </c>
      <c r="G2020" t="s">
        <v>53</v>
      </c>
      <c r="H2020" t="s">
        <v>53</v>
      </c>
      <c r="I2020" t="s">
        <v>53</v>
      </c>
      <c r="J2020" t="s">
        <v>53</v>
      </c>
      <c r="K2020" t="s">
        <v>53</v>
      </c>
      <c r="L2020" t="s">
        <v>53</v>
      </c>
      <c r="M2020" t="s">
        <v>53</v>
      </c>
    </row>
    <row r="2021" spans="1:13" x14ac:dyDescent="0.2">
      <c r="A2021" t="s">
        <v>2735</v>
      </c>
      <c r="B2021" t="s">
        <v>17</v>
      </c>
      <c r="C2021" t="s">
        <v>87</v>
      </c>
      <c r="D2021" t="s">
        <v>836</v>
      </c>
      <c r="E2021" t="s">
        <v>837</v>
      </c>
      <c r="F2021" t="s">
        <v>179</v>
      </c>
      <c r="G2021">
        <v>17</v>
      </c>
      <c r="H2021">
        <v>6</v>
      </c>
      <c r="I2021">
        <v>12</v>
      </c>
      <c r="J2021">
        <v>35</v>
      </c>
      <c r="K2021" s="482">
        <v>0.48599999999999999</v>
      </c>
      <c r="L2021" s="482">
        <v>0.17100000000000001</v>
      </c>
      <c r="M2021" s="482">
        <v>0.34300000000000003</v>
      </c>
    </row>
    <row r="2022" spans="1:13" x14ac:dyDescent="0.2">
      <c r="A2022" t="s">
        <v>2736</v>
      </c>
      <c r="B2022" t="s">
        <v>17</v>
      </c>
      <c r="C2022" t="s">
        <v>87</v>
      </c>
      <c r="D2022" t="s">
        <v>833</v>
      </c>
      <c r="E2022" t="s">
        <v>834</v>
      </c>
      <c r="F2022" t="s">
        <v>179</v>
      </c>
      <c r="G2022">
        <v>6</v>
      </c>
      <c r="H2022">
        <v>0</v>
      </c>
      <c r="I2022">
        <v>1</v>
      </c>
      <c r="J2022">
        <v>7</v>
      </c>
      <c r="K2022" s="482">
        <v>0.85699999999999998</v>
      </c>
      <c r="L2022" s="482">
        <v>0</v>
      </c>
      <c r="M2022" s="482">
        <v>0.14299999999999999</v>
      </c>
    </row>
    <row r="2023" spans="1:13" x14ac:dyDescent="0.2">
      <c r="A2023" t="s">
        <v>2737</v>
      </c>
      <c r="B2023" t="s">
        <v>17</v>
      </c>
      <c r="C2023" t="s">
        <v>87</v>
      </c>
      <c r="D2023" t="s">
        <v>830</v>
      </c>
      <c r="E2023" t="s">
        <v>831</v>
      </c>
      <c r="F2023" t="s">
        <v>179</v>
      </c>
      <c r="G2023">
        <v>5</v>
      </c>
      <c r="H2023">
        <v>3</v>
      </c>
      <c r="I2023">
        <v>1</v>
      </c>
      <c r="J2023">
        <v>9</v>
      </c>
      <c r="K2023" s="482">
        <v>0.55600000000000005</v>
      </c>
      <c r="L2023" s="482">
        <v>0.33300000000000002</v>
      </c>
      <c r="M2023" s="482">
        <v>0.111</v>
      </c>
    </row>
    <row r="2024" spans="1:13" x14ac:dyDescent="0.2">
      <c r="A2024" t="s">
        <v>2738</v>
      </c>
      <c r="B2024" t="s">
        <v>17</v>
      </c>
      <c r="C2024" t="s">
        <v>87</v>
      </c>
      <c r="D2024" t="s">
        <v>827</v>
      </c>
      <c r="E2024" t="s">
        <v>828</v>
      </c>
      <c r="F2024" t="s">
        <v>179</v>
      </c>
      <c r="G2024">
        <v>34</v>
      </c>
      <c r="H2024">
        <v>15</v>
      </c>
      <c r="I2024">
        <v>27</v>
      </c>
      <c r="J2024">
        <v>76</v>
      </c>
      <c r="K2024" s="482">
        <v>0.44700000000000001</v>
      </c>
      <c r="L2024" s="482">
        <v>0.19700000000000001</v>
      </c>
      <c r="M2024" s="482">
        <v>0.35499999999999998</v>
      </c>
    </row>
    <row r="2025" spans="1:13" x14ac:dyDescent="0.2">
      <c r="A2025" t="s">
        <v>2681</v>
      </c>
      <c r="B2025" t="s">
        <v>17</v>
      </c>
      <c r="C2025" t="s">
        <v>87</v>
      </c>
      <c r="D2025" t="s">
        <v>1016</v>
      </c>
      <c r="E2025" t="s">
        <v>1017</v>
      </c>
      <c r="F2025" t="s">
        <v>179</v>
      </c>
      <c r="G2025">
        <v>39</v>
      </c>
      <c r="H2025">
        <v>19</v>
      </c>
      <c r="I2025">
        <v>44</v>
      </c>
      <c r="J2025">
        <v>102</v>
      </c>
      <c r="K2025" s="482">
        <v>0.38200000000000001</v>
      </c>
      <c r="L2025" s="482">
        <v>0.186</v>
      </c>
      <c r="M2025" s="482">
        <v>0.43099999999999999</v>
      </c>
    </row>
    <row r="2026" spans="1:13" x14ac:dyDescent="0.2">
      <c r="A2026" t="s">
        <v>2702</v>
      </c>
      <c r="B2026" t="s">
        <v>17</v>
      </c>
      <c r="C2026" t="s">
        <v>87</v>
      </c>
      <c r="D2026" t="s">
        <v>941</v>
      </c>
      <c r="E2026" t="s">
        <v>942</v>
      </c>
      <c r="F2026" t="s">
        <v>179</v>
      </c>
      <c r="G2026">
        <v>11</v>
      </c>
      <c r="H2026">
        <v>6</v>
      </c>
      <c r="I2026">
        <v>5</v>
      </c>
      <c r="J2026">
        <v>22</v>
      </c>
      <c r="K2026" s="482">
        <v>0.5</v>
      </c>
      <c r="L2026" s="482">
        <v>0.27300000000000002</v>
      </c>
      <c r="M2026" s="482">
        <v>0.22700000000000001</v>
      </c>
    </row>
    <row r="2027" spans="1:13" x14ac:dyDescent="0.2">
      <c r="A2027" t="s">
        <v>2703</v>
      </c>
      <c r="B2027" t="s">
        <v>17</v>
      </c>
      <c r="C2027" t="s">
        <v>87</v>
      </c>
      <c r="D2027" t="s">
        <v>938</v>
      </c>
      <c r="E2027" t="s">
        <v>939</v>
      </c>
      <c r="F2027" t="s">
        <v>179</v>
      </c>
      <c r="G2027">
        <v>3</v>
      </c>
      <c r="H2027">
        <v>4</v>
      </c>
      <c r="I2027">
        <v>4</v>
      </c>
      <c r="J2027">
        <v>11</v>
      </c>
      <c r="K2027" s="482">
        <v>0.27300000000000002</v>
      </c>
      <c r="L2027" s="482">
        <v>0.36399999999999999</v>
      </c>
      <c r="M2027" s="482">
        <v>0.36399999999999999</v>
      </c>
    </row>
    <row r="2028" spans="1:13" x14ac:dyDescent="0.2">
      <c r="A2028" t="s">
        <v>2715</v>
      </c>
      <c r="B2028" t="s">
        <v>17</v>
      </c>
      <c r="C2028" t="s">
        <v>87</v>
      </c>
      <c r="D2028" t="s">
        <v>902</v>
      </c>
      <c r="E2028" t="s">
        <v>903</v>
      </c>
      <c r="F2028" t="s">
        <v>179</v>
      </c>
      <c r="G2028">
        <v>29</v>
      </c>
      <c r="H2028">
        <v>24</v>
      </c>
      <c r="I2028">
        <v>25</v>
      </c>
      <c r="J2028">
        <v>78</v>
      </c>
      <c r="K2028" s="482">
        <v>0.372</v>
      </c>
      <c r="L2028" s="482">
        <v>0.308</v>
      </c>
      <c r="M2028" s="482">
        <v>0.32100000000000001</v>
      </c>
    </row>
    <row r="2029" spans="1:13" x14ac:dyDescent="0.2">
      <c r="A2029" t="s">
        <v>2716</v>
      </c>
      <c r="B2029" t="s">
        <v>17</v>
      </c>
      <c r="C2029" t="s">
        <v>87</v>
      </c>
      <c r="D2029" t="s">
        <v>899</v>
      </c>
      <c r="E2029" t="s">
        <v>900</v>
      </c>
      <c r="F2029" t="s">
        <v>179</v>
      </c>
      <c r="G2029">
        <v>1</v>
      </c>
      <c r="H2029">
        <v>3</v>
      </c>
      <c r="I2029">
        <v>6</v>
      </c>
      <c r="J2029">
        <v>10</v>
      </c>
      <c r="K2029" s="482">
        <v>0.1</v>
      </c>
      <c r="L2029" s="482">
        <v>0.3</v>
      </c>
      <c r="M2029" s="482">
        <v>0.6</v>
      </c>
    </row>
    <row r="2030" spans="1:13" x14ac:dyDescent="0.2">
      <c r="A2030" t="s">
        <v>2717</v>
      </c>
      <c r="B2030" t="s">
        <v>17</v>
      </c>
      <c r="C2030" t="s">
        <v>87</v>
      </c>
      <c r="D2030" t="s">
        <v>896</v>
      </c>
      <c r="E2030" t="s">
        <v>897</v>
      </c>
      <c r="F2030" t="s">
        <v>179</v>
      </c>
      <c r="G2030" t="s">
        <v>53</v>
      </c>
      <c r="H2030">
        <v>0</v>
      </c>
      <c r="I2030" t="s">
        <v>53</v>
      </c>
      <c r="J2030" t="s">
        <v>53</v>
      </c>
      <c r="K2030" t="s">
        <v>53</v>
      </c>
      <c r="L2030" t="s">
        <v>53</v>
      </c>
      <c r="M2030" t="s">
        <v>53</v>
      </c>
    </row>
    <row r="2031" spans="1:13" x14ac:dyDescent="0.2">
      <c r="A2031" t="s">
        <v>2718</v>
      </c>
      <c r="B2031" t="s">
        <v>17</v>
      </c>
      <c r="C2031" t="s">
        <v>87</v>
      </c>
      <c r="D2031" t="s">
        <v>893</v>
      </c>
      <c r="E2031" t="s">
        <v>894</v>
      </c>
      <c r="F2031" t="s">
        <v>179</v>
      </c>
      <c r="G2031">
        <v>6</v>
      </c>
      <c r="H2031">
        <v>2</v>
      </c>
      <c r="I2031">
        <v>5</v>
      </c>
      <c r="J2031">
        <v>13</v>
      </c>
      <c r="K2031" s="482">
        <v>0.46200000000000002</v>
      </c>
      <c r="L2031" s="482">
        <v>0.154</v>
      </c>
      <c r="M2031" s="482">
        <v>0.38500000000000001</v>
      </c>
    </row>
    <row r="2032" spans="1:13" x14ac:dyDescent="0.2">
      <c r="A2032" t="s">
        <v>2719</v>
      </c>
      <c r="B2032" t="s">
        <v>17</v>
      </c>
      <c r="C2032" t="s">
        <v>87</v>
      </c>
      <c r="D2032" t="s">
        <v>890</v>
      </c>
      <c r="E2032" t="s">
        <v>891</v>
      </c>
      <c r="F2032" t="s">
        <v>179</v>
      </c>
      <c r="G2032">
        <v>4</v>
      </c>
      <c r="H2032">
        <v>3</v>
      </c>
      <c r="I2032">
        <v>5</v>
      </c>
      <c r="J2032">
        <v>12</v>
      </c>
      <c r="K2032" s="482">
        <v>0.33300000000000002</v>
      </c>
      <c r="L2032" s="482">
        <v>0.25</v>
      </c>
      <c r="M2032" s="482">
        <v>0.41699999999999998</v>
      </c>
    </row>
    <row r="2033" spans="1:13" x14ac:dyDescent="0.2">
      <c r="A2033" t="s">
        <v>2720</v>
      </c>
      <c r="B2033" t="s">
        <v>17</v>
      </c>
      <c r="C2033" t="s">
        <v>87</v>
      </c>
      <c r="D2033" t="s">
        <v>887</v>
      </c>
      <c r="E2033" t="s">
        <v>888</v>
      </c>
      <c r="F2033" t="s">
        <v>179</v>
      </c>
      <c r="G2033">
        <v>21</v>
      </c>
      <c r="H2033">
        <v>5</v>
      </c>
      <c r="I2033">
        <v>10</v>
      </c>
      <c r="J2033">
        <v>36</v>
      </c>
      <c r="K2033" s="482">
        <v>0.58299999999999996</v>
      </c>
      <c r="L2033" s="482">
        <v>0.13900000000000001</v>
      </c>
      <c r="M2033" s="482">
        <v>0.27800000000000002</v>
      </c>
    </row>
    <row r="2034" spans="1:13" x14ac:dyDescent="0.2">
      <c r="A2034" t="s">
        <v>2721</v>
      </c>
      <c r="B2034" t="s">
        <v>17</v>
      </c>
      <c r="C2034" t="s">
        <v>87</v>
      </c>
      <c r="D2034" t="s">
        <v>884</v>
      </c>
      <c r="E2034" t="s">
        <v>885</v>
      </c>
      <c r="F2034" t="s">
        <v>179</v>
      </c>
      <c r="G2034">
        <v>7</v>
      </c>
      <c r="H2034">
        <v>1</v>
      </c>
      <c r="I2034">
        <v>4</v>
      </c>
      <c r="J2034">
        <v>12</v>
      </c>
      <c r="K2034" s="482">
        <v>0.58299999999999996</v>
      </c>
      <c r="L2034" s="482">
        <v>8.3000000000000004E-2</v>
      </c>
      <c r="M2034" s="482">
        <v>0.33300000000000002</v>
      </c>
    </row>
    <row r="2035" spans="1:13" x14ac:dyDescent="0.2">
      <c r="A2035" t="s">
        <v>2722</v>
      </c>
      <c r="B2035" t="s">
        <v>17</v>
      </c>
      <c r="C2035" t="s">
        <v>87</v>
      </c>
      <c r="D2035" t="s">
        <v>881</v>
      </c>
      <c r="E2035" t="s">
        <v>882</v>
      </c>
      <c r="F2035" t="s">
        <v>179</v>
      </c>
      <c r="G2035">
        <v>8</v>
      </c>
      <c r="H2035">
        <v>3</v>
      </c>
      <c r="I2035">
        <v>8</v>
      </c>
      <c r="J2035">
        <v>19</v>
      </c>
      <c r="K2035" s="482">
        <v>0.42099999999999999</v>
      </c>
      <c r="L2035" s="482">
        <v>0.158</v>
      </c>
      <c r="M2035" s="482">
        <v>0.42099999999999999</v>
      </c>
    </row>
    <row r="2036" spans="1:13" x14ac:dyDescent="0.2">
      <c r="A2036" t="s">
        <v>2723</v>
      </c>
      <c r="B2036" t="s">
        <v>17</v>
      </c>
      <c r="C2036" t="s">
        <v>87</v>
      </c>
      <c r="D2036" t="s">
        <v>878</v>
      </c>
      <c r="E2036" t="s">
        <v>879</v>
      </c>
      <c r="F2036" t="s">
        <v>179</v>
      </c>
      <c r="G2036">
        <v>3</v>
      </c>
      <c r="H2036">
        <v>1</v>
      </c>
      <c r="I2036">
        <v>5</v>
      </c>
      <c r="J2036">
        <v>9</v>
      </c>
      <c r="K2036" s="482">
        <v>0.33300000000000002</v>
      </c>
      <c r="L2036" s="482">
        <v>0.111</v>
      </c>
      <c r="M2036" s="482">
        <v>0.55600000000000005</v>
      </c>
    </row>
    <row r="2037" spans="1:13" x14ac:dyDescent="0.2">
      <c r="A2037" t="s">
        <v>2724</v>
      </c>
      <c r="B2037" t="s">
        <v>17</v>
      </c>
      <c r="C2037" t="s">
        <v>87</v>
      </c>
      <c r="D2037" t="s">
        <v>875</v>
      </c>
      <c r="E2037" t="s">
        <v>876</v>
      </c>
      <c r="F2037" t="s">
        <v>179</v>
      </c>
      <c r="G2037">
        <v>23</v>
      </c>
      <c r="H2037">
        <v>11</v>
      </c>
      <c r="I2037">
        <v>24</v>
      </c>
      <c r="J2037">
        <v>58</v>
      </c>
      <c r="K2037" s="482">
        <v>0.39700000000000002</v>
      </c>
      <c r="L2037" s="482">
        <v>0.19</v>
      </c>
      <c r="M2037" s="482">
        <v>0.41399999999999998</v>
      </c>
    </row>
    <row r="2038" spans="1:13" x14ac:dyDescent="0.2">
      <c r="A2038" t="s">
        <v>2725</v>
      </c>
      <c r="B2038" t="s">
        <v>17</v>
      </c>
      <c r="C2038" t="s">
        <v>87</v>
      </c>
      <c r="D2038" t="s">
        <v>872</v>
      </c>
      <c r="E2038" t="s">
        <v>873</v>
      </c>
      <c r="F2038" t="s">
        <v>179</v>
      </c>
      <c r="G2038">
        <v>12</v>
      </c>
      <c r="H2038">
        <v>6</v>
      </c>
      <c r="I2038">
        <v>3</v>
      </c>
      <c r="J2038">
        <v>21</v>
      </c>
      <c r="K2038" s="482">
        <v>0.57099999999999995</v>
      </c>
      <c r="L2038" s="482">
        <v>0.28599999999999998</v>
      </c>
      <c r="M2038" s="482">
        <v>0.14299999999999999</v>
      </c>
    </row>
    <row r="2039" spans="1:13" x14ac:dyDescent="0.2">
      <c r="A2039" t="s">
        <v>2726</v>
      </c>
      <c r="B2039" t="s">
        <v>17</v>
      </c>
      <c r="C2039" t="s">
        <v>87</v>
      </c>
      <c r="D2039" t="s">
        <v>869</v>
      </c>
      <c r="E2039" t="s">
        <v>870</v>
      </c>
      <c r="F2039" t="s">
        <v>179</v>
      </c>
      <c r="G2039">
        <v>38</v>
      </c>
      <c r="H2039">
        <v>23</v>
      </c>
      <c r="I2039">
        <v>37</v>
      </c>
      <c r="J2039">
        <v>98</v>
      </c>
      <c r="K2039" s="482">
        <v>0.38800000000000001</v>
      </c>
      <c r="L2039" s="482">
        <v>0.23499999999999999</v>
      </c>
      <c r="M2039" s="482">
        <v>0.378</v>
      </c>
    </row>
    <row r="2040" spans="1:13" x14ac:dyDescent="0.2">
      <c r="A2040" t="s">
        <v>2727</v>
      </c>
      <c r="B2040" t="s">
        <v>17</v>
      </c>
      <c r="C2040" t="s">
        <v>87</v>
      </c>
      <c r="D2040" t="s">
        <v>866</v>
      </c>
      <c r="E2040" t="s">
        <v>867</v>
      </c>
      <c r="F2040" t="s">
        <v>179</v>
      </c>
      <c r="G2040">
        <v>13</v>
      </c>
      <c r="H2040">
        <v>4</v>
      </c>
      <c r="I2040">
        <v>15</v>
      </c>
      <c r="J2040">
        <v>32</v>
      </c>
      <c r="K2040" s="482">
        <v>0.40600000000000003</v>
      </c>
      <c r="L2040" s="482">
        <v>0.125</v>
      </c>
      <c r="M2040" s="482">
        <v>0.46899999999999997</v>
      </c>
    </row>
    <row r="2041" spans="1:13" x14ac:dyDescent="0.2">
      <c r="A2041" t="s">
        <v>2728</v>
      </c>
      <c r="B2041" t="s">
        <v>17</v>
      </c>
      <c r="C2041" t="s">
        <v>87</v>
      </c>
      <c r="D2041" t="s">
        <v>863</v>
      </c>
      <c r="E2041" t="s">
        <v>864</v>
      </c>
      <c r="F2041" t="s">
        <v>179</v>
      </c>
      <c r="G2041">
        <v>8</v>
      </c>
      <c r="H2041">
        <v>4</v>
      </c>
      <c r="I2041">
        <v>13</v>
      </c>
      <c r="J2041">
        <v>25</v>
      </c>
      <c r="K2041" s="482">
        <v>0.32</v>
      </c>
      <c r="L2041" s="482">
        <v>0.16</v>
      </c>
      <c r="M2041" s="482">
        <v>0.52</v>
      </c>
    </row>
    <row r="2042" spans="1:13" x14ac:dyDescent="0.2">
      <c r="A2042" t="s">
        <v>2729</v>
      </c>
      <c r="B2042" t="s">
        <v>17</v>
      </c>
      <c r="C2042" t="s">
        <v>87</v>
      </c>
      <c r="D2042" t="s">
        <v>860</v>
      </c>
      <c r="E2042" t="s">
        <v>861</v>
      </c>
      <c r="F2042" t="s">
        <v>179</v>
      </c>
      <c r="G2042">
        <v>5</v>
      </c>
      <c r="H2042">
        <v>9</v>
      </c>
      <c r="I2042">
        <v>21</v>
      </c>
      <c r="J2042">
        <v>35</v>
      </c>
      <c r="K2042" s="482">
        <v>0.14299999999999999</v>
      </c>
      <c r="L2042" s="482">
        <v>0.25700000000000001</v>
      </c>
      <c r="M2042" s="482">
        <v>0.6</v>
      </c>
    </row>
    <row r="2043" spans="1:13" x14ac:dyDescent="0.2">
      <c r="A2043" t="s">
        <v>2730</v>
      </c>
      <c r="B2043" t="s">
        <v>17</v>
      </c>
      <c r="C2043" t="s">
        <v>87</v>
      </c>
      <c r="D2043" t="s">
        <v>857</v>
      </c>
      <c r="E2043" t="s">
        <v>858</v>
      </c>
      <c r="F2043" t="s">
        <v>179</v>
      </c>
      <c r="G2043">
        <v>32</v>
      </c>
      <c r="H2043">
        <v>20</v>
      </c>
      <c r="I2043">
        <v>52</v>
      </c>
      <c r="J2043">
        <v>104</v>
      </c>
      <c r="K2043" s="482">
        <v>0.308</v>
      </c>
      <c r="L2043" s="482">
        <v>0.192</v>
      </c>
      <c r="M2043" s="482">
        <v>0.5</v>
      </c>
    </row>
    <row r="2044" spans="1:13" x14ac:dyDescent="0.2">
      <c r="A2044" t="s">
        <v>2731</v>
      </c>
      <c r="B2044" t="s">
        <v>17</v>
      </c>
      <c r="C2044" t="s">
        <v>87</v>
      </c>
      <c r="D2044" t="s">
        <v>854</v>
      </c>
      <c r="E2044" t="s">
        <v>855</v>
      </c>
      <c r="F2044" t="s">
        <v>179</v>
      </c>
      <c r="G2044">
        <v>20</v>
      </c>
      <c r="H2044">
        <v>8</v>
      </c>
      <c r="I2044">
        <v>25</v>
      </c>
      <c r="J2044">
        <v>53</v>
      </c>
      <c r="K2044" s="482">
        <v>0.377</v>
      </c>
      <c r="L2044" s="482">
        <v>0.151</v>
      </c>
      <c r="M2044" s="482">
        <v>0.47199999999999998</v>
      </c>
    </row>
    <row r="2045" spans="1:13" x14ac:dyDescent="0.2">
      <c r="A2045" t="s">
        <v>2757</v>
      </c>
      <c r="B2045" t="s">
        <v>17</v>
      </c>
      <c r="C2045" t="s">
        <v>87</v>
      </c>
      <c r="D2045" t="s">
        <v>767</v>
      </c>
      <c r="E2045" t="s">
        <v>768</v>
      </c>
      <c r="F2045" t="s">
        <v>179</v>
      </c>
      <c r="G2045">
        <v>6</v>
      </c>
      <c r="H2045">
        <v>4</v>
      </c>
      <c r="I2045">
        <v>5</v>
      </c>
      <c r="J2045">
        <v>15</v>
      </c>
      <c r="K2045" s="482">
        <v>0.4</v>
      </c>
      <c r="L2045" s="482">
        <v>0.26700000000000002</v>
      </c>
      <c r="M2045" s="482">
        <v>0.33300000000000002</v>
      </c>
    </row>
    <row r="2046" spans="1:13" x14ac:dyDescent="0.2">
      <c r="A2046" t="s">
        <v>2758</v>
      </c>
      <c r="B2046" t="s">
        <v>17</v>
      </c>
      <c r="C2046" t="s">
        <v>87</v>
      </c>
      <c r="D2046" t="s">
        <v>764</v>
      </c>
      <c r="E2046" t="s">
        <v>765</v>
      </c>
      <c r="F2046" t="s">
        <v>179</v>
      </c>
      <c r="G2046" t="s">
        <v>53</v>
      </c>
      <c r="H2046">
        <v>0</v>
      </c>
      <c r="I2046" t="s">
        <v>53</v>
      </c>
      <c r="J2046" t="s">
        <v>53</v>
      </c>
      <c r="K2046" t="s">
        <v>53</v>
      </c>
      <c r="L2046" t="s">
        <v>53</v>
      </c>
      <c r="M2046" t="s">
        <v>53</v>
      </c>
    </row>
    <row r="2047" spans="1:13" x14ac:dyDescent="0.2">
      <c r="A2047" t="s">
        <v>2759</v>
      </c>
      <c r="B2047" t="s">
        <v>17</v>
      </c>
      <c r="C2047" t="s">
        <v>87</v>
      </c>
      <c r="D2047" t="s">
        <v>761</v>
      </c>
      <c r="E2047" t="s">
        <v>762</v>
      </c>
      <c r="F2047" t="s">
        <v>179</v>
      </c>
      <c r="G2047">
        <v>4</v>
      </c>
      <c r="H2047">
        <v>1</v>
      </c>
      <c r="I2047">
        <v>2</v>
      </c>
      <c r="J2047">
        <v>7</v>
      </c>
      <c r="K2047" s="482">
        <v>0.57099999999999995</v>
      </c>
      <c r="L2047" s="482">
        <v>0.14299999999999999</v>
      </c>
      <c r="M2047" s="482">
        <v>0.28599999999999998</v>
      </c>
    </row>
    <row r="2048" spans="1:13" x14ac:dyDescent="0.2">
      <c r="A2048" t="s">
        <v>2760</v>
      </c>
      <c r="B2048" t="s">
        <v>17</v>
      </c>
      <c r="C2048" t="s">
        <v>87</v>
      </c>
      <c r="D2048" t="s">
        <v>758</v>
      </c>
      <c r="E2048" t="s">
        <v>759</v>
      </c>
      <c r="F2048" t="s">
        <v>179</v>
      </c>
      <c r="G2048">
        <v>20</v>
      </c>
      <c r="H2048">
        <v>13</v>
      </c>
      <c r="I2048">
        <v>21</v>
      </c>
      <c r="J2048">
        <v>54</v>
      </c>
      <c r="K2048" s="482">
        <v>0.37</v>
      </c>
      <c r="L2048" s="482">
        <v>0.24099999999999999</v>
      </c>
      <c r="M2048" s="482">
        <v>0.38900000000000001</v>
      </c>
    </row>
    <row r="2049" spans="1:13" x14ac:dyDescent="0.2">
      <c r="A2049" t="s">
        <v>2761</v>
      </c>
      <c r="B2049" t="s">
        <v>17</v>
      </c>
      <c r="C2049" t="s">
        <v>87</v>
      </c>
      <c r="D2049" t="s">
        <v>755</v>
      </c>
      <c r="E2049" t="s">
        <v>756</v>
      </c>
      <c r="F2049" t="s">
        <v>179</v>
      </c>
      <c r="G2049" t="s">
        <v>53</v>
      </c>
      <c r="H2049" t="s">
        <v>53</v>
      </c>
      <c r="I2049" t="s">
        <v>53</v>
      </c>
      <c r="J2049" t="s">
        <v>53</v>
      </c>
      <c r="K2049" t="s">
        <v>53</v>
      </c>
      <c r="L2049" t="s">
        <v>53</v>
      </c>
      <c r="M2049" t="s">
        <v>53</v>
      </c>
    </row>
    <row r="2050" spans="1:13" x14ac:dyDescent="0.2">
      <c r="A2050" t="s">
        <v>2762</v>
      </c>
      <c r="B2050" t="s">
        <v>17</v>
      </c>
      <c r="C2050" t="s">
        <v>87</v>
      </c>
      <c r="D2050" t="s">
        <v>752</v>
      </c>
      <c r="E2050" t="s">
        <v>753</v>
      </c>
      <c r="F2050" t="s">
        <v>179</v>
      </c>
      <c r="G2050">
        <v>8</v>
      </c>
      <c r="H2050">
        <v>3</v>
      </c>
      <c r="I2050">
        <v>4</v>
      </c>
      <c r="J2050">
        <v>15</v>
      </c>
      <c r="K2050" s="482">
        <v>0.53300000000000003</v>
      </c>
      <c r="L2050" s="482">
        <v>0.2</v>
      </c>
      <c r="M2050" s="482">
        <v>0.26700000000000002</v>
      </c>
    </row>
    <row r="2051" spans="1:13" x14ac:dyDescent="0.2">
      <c r="A2051" t="s">
        <v>2876</v>
      </c>
      <c r="B2051" t="s">
        <v>17</v>
      </c>
      <c r="C2051" t="s">
        <v>87</v>
      </c>
      <c r="D2051" t="s">
        <v>396</v>
      </c>
      <c r="E2051" t="s">
        <v>397</v>
      </c>
      <c r="F2051" t="s">
        <v>179</v>
      </c>
      <c r="G2051">
        <v>33</v>
      </c>
      <c r="H2051">
        <v>15</v>
      </c>
      <c r="I2051">
        <v>34</v>
      </c>
      <c r="J2051">
        <v>82</v>
      </c>
      <c r="K2051" s="482">
        <v>0.40200000000000002</v>
      </c>
      <c r="L2051" s="482">
        <v>0.183</v>
      </c>
      <c r="M2051" s="482">
        <v>0.41499999999999998</v>
      </c>
    </row>
    <row r="2052" spans="1:13" x14ac:dyDescent="0.2">
      <c r="A2052" t="s">
        <v>2874</v>
      </c>
      <c r="B2052" t="s">
        <v>17</v>
      </c>
      <c r="C2052" t="s">
        <v>87</v>
      </c>
      <c r="D2052" t="s">
        <v>408</v>
      </c>
      <c r="E2052" t="s">
        <v>409</v>
      </c>
      <c r="F2052" t="s">
        <v>179</v>
      </c>
      <c r="G2052">
        <v>8</v>
      </c>
      <c r="H2052">
        <v>2</v>
      </c>
      <c r="I2052">
        <v>6</v>
      </c>
      <c r="J2052">
        <v>16</v>
      </c>
      <c r="K2052" s="482">
        <v>0.5</v>
      </c>
      <c r="L2052" s="482">
        <v>0.125</v>
      </c>
      <c r="M2052" s="482">
        <v>0.375</v>
      </c>
    </row>
    <row r="2053" spans="1:13" x14ac:dyDescent="0.2">
      <c r="A2053" t="s">
        <v>2862</v>
      </c>
      <c r="B2053" t="s">
        <v>17</v>
      </c>
      <c r="C2053" t="s">
        <v>87</v>
      </c>
      <c r="D2053" t="s">
        <v>560</v>
      </c>
      <c r="E2053" t="s">
        <v>561</v>
      </c>
      <c r="F2053" t="s">
        <v>179</v>
      </c>
      <c r="G2053">
        <v>11</v>
      </c>
      <c r="H2053">
        <v>4</v>
      </c>
      <c r="I2053">
        <v>9</v>
      </c>
      <c r="J2053">
        <v>24</v>
      </c>
      <c r="K2053" s="482">
        <v>0.45800000000000002</v>
      </c>
      <c r="L2053" s="482">
        <v>0.16700000000000001</v>
      </c>
      <c r="M2053" s="482">
        <v>0.375</v>
      </c>
    </row>
    <row r="2054" spans="1:13" x14ac:dyDescent="0.2">
      <c r="A2054" t="s">
        <v>2823</v>
      </c>
      <c r="B2054" t="s">
        <v>17</v>
      </c>
      <c r="C2054" t="s">
        <v>87</v>
      </c>
      <c r="D2054" t="s">
        <v>557</v>
      </c>
      <c r="E2054" t="s">
        <v>558</v>
      </c>
      <c r="F2054" t="s">
        <v>179</v>
      </c>
      <c r="G2054">
        <v>16</v>
      </c>
      <c r="H2054">
        <v>6</v>
      </c>
      <c r="I2054">
        <v>14</v>
      </c>
      <c r="J2054">
        <v>36</v>
      </c>
      <c r="K2054" s="482">
        <v>0.44400000000000001</v>
      </c>
      <c r="L2054" s="482">
        <v>0.16700000000000001</v>
      </c>
      <c r="M2054" s="482">
        <v>0.38900000000000001</v>
      </c>
    </row>
    <row r="2055" spans="1:13" x14ac:dyDescent="0.2">
      <c r="A2055" t="s">
        <v>2824</v>
      </c>
      <c r="B2055" t="s">
        <v>17</v>
      </c>
      <c r="C2055" t="s">
        <v>87</v>
      </c>
      <c r="D2055" t="s">
        <v>554</v>
      </c>
      <c r="E2055" t="s">
        <v>555</v>
      </c>
      <c r="F2055" t="s">
        <v>179</v>
      </c>
      <c r="G2055">
        <v>6</v>
      </c>
      <c r="H2055">
        <v>4</v>
      </c>
      <c r="I2055">
        <v>3</v>
      </c>
      <c r="J2055">
        <v>13</v>
      </c>
      <c r="K2055" s="482">
        <v>0.46200000000000002</v>
      </c>
      <c r="L2055" s="482">
        <v>0.308</v>
      </c>
      <c r="M2055" s="482">
        <v>0.23100000000000001</v>
      </c>
    </row>
    <row r="2056" spans="1:13" x14ac:dyDescent="0.2">
      <c r="A2056" t="s">
        <v>2813</v>
      </c>
      <c r="B2056" t="s">
        <v>17</v>
      </c>
      <c r="C2056" t="s">
        <v>87</v>
      </c>
      <c r="D2056" t="s">
        <v>586</v>
      </c>
      <c r="E2056" t="s">
        <v>587</v>
      </c>
      <c r="F2056" t="s">
        <v>179</v>
      </c>
      <c r="G2056">
        <v>2</v>
      </c>
      <c r="H2056">
        <v>3</v>
      </c>
      <c r="I2056">
        <v>3</v>
      </c>
      <c r="J2056">
        <v>8</v>
      </c>
      <c r="K2056" s="482">
        <v>0.25</v>
      </c>
      <c r="L2056" s="482">
        <v>0.375</v>
      </c>
      <c r="M2056" s="482">
        <v>0.375</v>
      </c>
    </row>
    <row r="2057" spans="1:13" x14ac:dyDescent="0.2">
      <c r="A2057" t="s">
        <v>2820</v>
      </c>
      <c r="B2057" t="s">
        <v>17</v>
      </c>
      <c r="C2057" t="s">
        <v>87</v>
      </c>
      <c r="D2057" t="s">
        <v>566</v>
      </c>
      <c r="E2057" t="s">
        <v>567</v>
      </c>
      <c r="F2057" t="s">
        <v>179</v>
      </c>
      <c r="G2057">
        <v>16</v>
      </c>
      <c r="H2057">
        <v>8</v>
      </c>
      <c r="I2057">
        <v>23</v>
      </c>
      <c r="J2057">
        <v>47</v>
      </c>
      <c r="K2057" s="482">
        <v>0.34</v>
      </c>
      <c r="L2057" s="482">
        <v>0.17</v>
      </c>
      <c r="M2057" s="482">
        <v>0.48899999999999999</v>
      </c>
    </row>
    <row r="2058" spans="1:13" x14ac:dyDescent="0.2">
      <c r="A2058" t="s">
        <v>2814</v>
      </c>
      <c r="B2058" t="s">
        <v>17</v>
      </c>
      <c r="C2058" t="s">
        <v>87</v>
      </c>
      <c r="D2058" t="s">
        <v>583</v>
      </c>
      <c r="E2058" t="s">
        <v>584</v>
      </c>
      <c r="F2058" t="s">
        <v>179</v>
      </c>
      <c r="G2058">
        <v>5</v>
      </c>
      <c r="H2058">
        <v>0</v>
      </c>
      <c r="I2058">
        <v>4</v>
      </c>
      <c r="J2058">
        <v>9</v>
      </c>
      <c r="K2058" s="482">
        <v>0.55600000000000005</v>
      </c>
      <c r="L2058" s="482">
        <v>0</v>
      </c>
      <c r="M2058" s="482">
        <v>0.44400000000000001</v>
      </c>
    </row>
    <row r="2059" spans="1:13" x14ac:dyDescent="0.2">
      <c r="A2059" t="s">
        <v>2815</v>
      </c>
      <c r="B2059" t="s">
        <v>17</v>
      </c>
      <c r="C2059" t="s">
        <v>87</v>
      </c>
      <c r="D2059" t="s">
        <v>580</v>
      </c>
      <c r="E2059" t="s">
        <v>581</v>
      </c>
      <c r="F2059" t="s">
        <v>179</v>
      </c>
      <c r="G2059">
        <v>14</v>
      </c>
      <c r="H2059">
        <v>8</v>
      </c>
      <c r="I2059">
        <v>17</v>
      </c>
      <c r="J2059">
        <v>39</v>
      </c>
      <c r="K2059" s="482">
        <v>0.35899999999999999</v>
      </c>
      <c r="L2059" s="482">
        <v>0.20499999999999999</v>
      </c>
      <c r="M2059" s="482">
        <v>0.436</v>
      </c>
    </row>
    <row r="2060" spans="1:13" x14ac:dyDescent="0.2">
      <c r="A2060" t="s">
        <v>2816</v>
      </c>
      <c r="B2060" t="s">
        <v>17</v>
      </c>
      <c r="C2060" t="s">
        <v>87</v>
      </c>
      <c r="D2060" t="s">
        <v>577</v>
      </c>
      <c r="E2060" t="s">
        <v>578</v>
      </c>
      <c r="F2060" t="s">
        <v>179</v>
      </c>
      <c r="G2060">
        <v>4</v>
      </c>
      <c r="H2060">
        <v>1</v>
      </c>
      <c r="I2060">
        <v>7</v>
      </c>
      <c r="J2060">
        <v>12</v>
      </c>
      <c r="K2060" s="482">
        <v>0.33300000000000002</v>
      </c>
      <c r="L2060" s="482">
        <v>8.3000000000000004E-2</v>
      </c>
      <c r="M2060" s="482">
        <v>0.58299999999999996</v>
      </c>
    </row>
    <row r="2061" spans="1:13" x14ac:dyDescent="0.2">
      <c r="A2061" t="s">
        <v>2817</v>
      </c>
      <c r="B2061" t="s">
        <v>17</v>
      </c>
      <c r="C2061" t="s">
        <v>87</v>
      </c>
      <c r="D2061" t="s">
        <v>574</v>
      </c>
      <c r="E2061" t="s">
        <v>575</v>
      </c>
      <c r="F2061" t="s">
        <v>179</v>
      </c>
      <c r="G2061">
        <v>7</v>
      </c>
      <c r="H2061">
        <v>5</v>
      </c>
      <c r="I2061">
        <v>8</v>
      </c>
      <c r="J2061">
        <v>20</v>
      </c>
      <c r="K2061" s="482">
        <v>0.35</v>
      </c>
      <c r="L2061" s="482">
        <v>0.25</v>
      </c>
      <c r="M2061" s="482">
        <v>0.4</v>
      </c>
    </row>
    <row r="2062" spans="1:13" x14ac:dyDescent="0.2">
      <c r="A2062" t="s">
        <v>2818</v>
      </c>
      <c r="B2062" t="s">
        <v>17</v>
      </c>
      <c r="C2062" t="s">
        <v>87</v>
      </c>
      <c r="D2062" t="s">
        <v>571</v>
      </c>
      <c r="E2062" t="s">
        <v>572</v>
      </c>
      <c r="F2062" t="s">
        <v>179</v>
      </c>
      <c r="G2062">
        <v>7</v>
      </c>
      <c r="H2062">
        <v>0</v>
      </c>
      <c r="I2062">
        <v>3</v>
      </c>
      <c r="J2062">
        <v>10</v>
      </c>
      <c r="K2062" s="482">
        <v>0.7</v>
      </c>
      <c r="L2062" s="482">
        <v>0</v>
      </c>
      <c r="M2062" s="482">
        <v>0.3</v>
      </c>
    </row>
    <row r="2063" spans="1:13" x14ac:dyDescent="0.2">
      <c r="A2063" t="s">
        <v>2819</v>
      </c>
      <c r="B2063" t="s">
        <v>17</v>
      </c>
      <c r="C2063" t="s">
        <v>87</v>
      </c>
      <c r="D2063" t="s">
        <v>569</v>
      </c>
      <c r="E2063" t="s">
        <v>339</v>
      </c>
      <c r="F2063" t="s">
        <v>179</v>
      </c>
      <c r="G2063" t="s">
        <v>53</v>
      </c>
      <c r="H2063" t="s">
        <v>53</v>
      </c>
      <c r="I2063">
        <v>0</v>
      </c>
      <c r="J2063" t="s">
        <v>53</v>
      </c>
      <c r="K2063" t="s">
        <v>53</v>
      </c>
      <c r="L2063" t="s">
        <v>53</v>
      </c>
      <c r="M2063" t="s">
        <v>53</v>
      </c>
    </row>
    <row r="2064" spans="1:13" x14ac:dyDescent="0.2">
      <c r="A2064" t="s">
        <v>2825</v>
      </c>
      <c r="B2064" t="s">
        <v>17</v>
      </c>
      <c r="C2064" t="s">
        <v>87</v>
      </c>
      <c r="D2064" t="s">
        <v>552</v>
      </c>
      <c r="E2064" t="s">
        <v>337</v>
      </c>
      <c r="F2064" t="s">
        <v>179</v>
      </c>
      <c r="G2064">
        <v>14</v>
      </c>
      <c r="H2064">
        <v>8</v>
      </c>
      <c r="I2064">
        <v>23</v>
      </c>
      <c r="J2064">
        <v>45</v>
      </c>
      <c r="K2064" s="482">
        <v>0.311</v>
      </c>
      <c r="L2064" s="482">
        <v>0.17799999999999999</v>
      </c>
      <c r="M2064" s="482">
        <v>0.51100000000000001</v>
      </c>
    </row>
    <row r="2065" spans="1:13" x14ac:dyDescent="0.2">
      <c r="A2065" t="s">
        <v>2826</v>
      </c>
      <c r="B2065" t="s">
        <v>17</v>
      </c>
      <c r="C2065" t="s">
        <v>87</v>
      </c>
      <c r="D2065" t="s">
        <v>549</v>
      </c>
      <c r="E2065" t="s">
        <v>550</v>
      </c>
      <c r="F2065" t="s">
        <v>179</v>
      </c>
      <c r="G2065">
        <v>4</v>
      </c>
      <c r="H2065">
        <v>1</v>
      </c>
      <c r="I2065">
        <v>5</v>
      </c>
      <c r="J2065">
        <v>10</v>
      </c>
      <c r="K2065" s="482">
        <v>0.4</v>
      </c>
      <c r="L2065" s="482">
        <v>0.1</v>
      </c>
      <c r="M2065" s="482">
        <v>0.5</v>
      </c>
    </row>
    <row r="2066" spans="1:13" x14ac:dyDescent="0.2">
      <c r="A2066" t="s">
        <v>2827</v>
      </c>
      <c r="B2066" t="s">
        <v>17</v>
      </c>
      <c r="C2066" t="s">
        <v>87</v>
      </c>
      <c r="D2066" t="s">
        <v>546</v>
      </c>
      <c r="E2066" t="s">
        <v>547</v>
      </c>
      <c r="F2066" t="s">
        <v>179</v>
      </c>
      <c r="G2066">
        <v>7</v>
      </c>
      <c r="H2066">
        <v>3</v>
      </c>
      <c r="I2066">
        <v>13</v>
      </c>
      <c r="J2066">
        <v>23</v>
      </c>
      <c r="K2066" s="482">
        <v>0.30399999999999999</v>
      </c>
      <c r="L2066" s="482">
        <v>0.13</v>
      </c>
      <c r="M2066" s="482">
        <v>0.56499999999999995</v>
      </c>
    </row>
    <row r="2067" spans="1:13" x14ac:dyDescent="0.2">
      <c r="A2067" t="s">
        <v>2828</v>
      </c>
      <c r="B2067" t="s">
        <v>17</v>
      </c>
      <c r="C2067" t="s">
        <v>87</v>
      </c>
      <c r="D2067" t="s">
        <v>543</v>
      </c>
      <c r="E2067" t="s">
        <v>544</v>
      </c>
      <c r="F2067" t="s">
        <v>179</v>
      </c>
      <c r="G2067">
        <v>0</v>
      </c>
      <c r="H2067">
        <v>3</v>
      </c>
      <c r="I2067">
        <v>5</v>
      </c>
      <c r="J2067">
        <v>8</v>
      </c>
      <c r="K2067" s="482">
        <v>0</v>
      </c>
      <c r="L2067" s="482">
        <v>0.375</v>
      </c>
      <c r="M2067" s="482">
        <v>0.625</v>
      </c>
    </row>
    <row r="2068" spans="1:13" x14ac:dyDescent="0.2">
      <c r="A2068" t="s">
        <v>2829</v>
      </c>
      <c r="B2068" t="s">
        <v>17</v>
      </c>
      <c r="C2068" t="s">
        <v>87</v>
      </c>
      <c r="D2068" t="s">
        <v>540</v>
      </c>
      <c r="E2068" t="s">
        <v>541</v>
      </c>
      <c r="F2068" t="s">
        <v>179</v>
      </c>
      <c r="G2068">
        <v>0</v>
      </c>
      <c r="H2068">
        <v>0</v>
      </c>
      <c r="I2068" t="s">
        <v>53</v>
      </c>
      <c r="J2068" t="s">
        <v>53</v>
      </c>
      <c r="K2068" t="s">
        <v>53</v>
      </c>
      <c r="L2068" t="s">
        <v>53</v>
      </c>
      <c r="M2068" t="s">
        <v>53</v>
      </c>
    </row>
    <row r="2069" spans="1:13" x14ac:dyDescent="0.2">
      <c r="A2069" t="s">
        <v>2830</v>
      </c>
      <c r="B2069" t="s">
        <v>17</v>
      </c>
      <c r="C2069" t="s">
        <v>87</v>
      </c>
      <c r="D2069" t="s">
        <v>537</v>
      </c>
      <c r="E2069" t="s">
        <v>538</v>
      </c>
      <c r="F2069" t="s">
        <v>179</v>
      </c>
      <c r="G2069">
        <v>38</v>
      </c>
      <c r="H2069">
        <v>17</v>
      </c>
      <c r="I2069">
        <v>47</v>
      </c>
      <c r="J2069">
        <v>102</v>
      </c>
      <c r="K2069" s="482">
        <v>0.373</v>
      </c>
      <c r="L2069" s="482">
        <v>0.16700000000000001</v>
      </c>
      <c r="M2069" s="482">
        <v>0.46100000000000002</v>
      </c>
    </row>
    <row r="2070" spans="1:13" x14ac:dyDescent="0.2">
      <c r="A2070" t="s">
        <v>2831</v>
      </c>
      <c r="B2070" t="s">
        <v>17</v>
      </c>
      <c r="C2070" t="s">
        <v>87</v>
      </c>
      <c r="D2070" t="s">
        <v>534</v>
      </c>
      <c r="E2070" t="s">
        <v>535</v>
      </c>
      <c r="F2070" t="s">
        <v>179</v>
      </c>
      <c r="G2070">
        <v>10</v>
      </c>
      <c r="H2070">
        <v>6</v>
      </c>
      <c r="I2070">
        <v>8</v>
      </c>
      <c r="J2070">
        <v>24</v>
      </c>
      <c r="K2070" s="482">
        <v>0.41699999999999998</v>
      </c>
      <c r="L2070" s="482">
        <v>0.25</v>
      </c>
      <c r="M2070" s="482">
        <v>0.33300000000000002</v>
      </c>
    </row>
    <row r="2071" spans="1:13" x14ac:dyDescent="0.2">
      <c r="A2071" t="s">
        <v>2832</v>
      </c>
      <c r="B2071" t="s">
        <v>17</v>
      </c>
      <c r="C2071" t="s">
        <v>87</v>
      </c>
      <c r="D2071" t="s">
        <v>528</v>
      </c>
      <c r="E2071" t="s">
        <v>529</v>
      </c>
      <c r="F2071" t="s">
        <v>179</v>
      </c>
      <c r="G2071">
        <v>39</v>
      </c>
      <c r="H2071">
        <v>18</v>
      </c>
      <c r="I2071">
        <v>42</v>
      </c>
      <c r="J2071">
        <v>99</v>
      </c>
      <c r="K2071" s="482">
        <v>0.39400000000000002</v>
      </c>
      <c r="L2071" s="482">
        <v>0.182</v>
      </c>
      <c r="M2071" s="482">
        <v>0.42399999999999999</v>
      </c>
    </row>
    <row r="2072" spans="1:13" x14ac:dyDescent="0.2">
      <c r="A2072" t="s">
        <v>2833</v>
      </c>
      <c r="B2072" t="s">
        <v>17</v>
      </c>
      <c r="C2072" t="s">
        <v>87</v>
      </c>
      <c r="D2072" t="s">
        <v>525</v>
      </c>
      <c r="E2072" t="s">
        <v>526</v>
      </c>
      <c r="F2072" t="s">
        <v>179</v>
      </c>
      <c r="G2072">
        <v>20</v>
      </c>
      <c r="H2072">
        <v>10</v>
      </c>
      <c r="I2072">
        <v>13</v>
      </c>
      <c r="J2072">
        <v>43</v>
      </c>
      <c r="K2072" s="482">
        <v>0.46500000000000002</v>
      </c>
      <c r="L2072" s="482">
        <v>0.23300000000000001</v>
      </c>
      <c r="M2072" s="482">
        <v>0.30199999999999999</v>
      </c>
    </row>
    <row r="2073" spans="1:13" x14ac:dyDescent="0.2">
      <c r="A2073" t="s">
        <v>2834</v>
      </c>
      <c r="B2073" t="s">
        <v>17</v>
      </c>
      <c r="C2073" t="s">
        <v>87</v>
      </c>
      <c r="D2073" t="s">
        <v>522</v>
      </c>
      <c r="E2073" t="s">
        <v>523</v>
      </c>
      <c r="F2073" t="s">
        <v>179</v>
      </c>
      <c r="G2073">
        <v>11</v>
      </c>
      <c r="H2073">
        <v>9</v>
      </c>
      <c r="I2073">
        <v>24</v>
      </c>
      <c r="J2073">
        <v>44</v>
      </c>
      <c r="K2073" s="482">
        <v>0.25</v>
      </c>
      <c r="L2073" s="482">
        <v>0.20499999999999999</v>
      </c>
      <c r="M2073" s="482">
        <v>0.54500000000000004</v>
      </c>
    </row>
    <row r="2074" spans="1:13" x14ac:dyDescent="0.2">
      <c r="A2074" t="s">
        <v>2835</v>
      </c>
      <c r="B2074" t="s">
        <v>17</v>
      </c>
      <c r="C2074" t="s">
        <v>87</v>
      </c>
      <c r="D2074" t="s">
        <v>519</v>
      </c>
      <c r="E2074" t="s">
        <v>520</v>
      </c>
      <c r="F2074" t="s">
        <v>179</v>
      </c>
      <c r="G2074">
        <v>6</v>
      </c>
      <c r="H2074">
        <v>4</v>
      </c>
      <c r="I2074">
        <v>5</v>
      </c>
      <c r="J2074">
        <v>15</v>
      </c>
      <c r="K2074" s="482">
        <v>0.4</v>
      </c>
      <c r="L2074" s="482">
        <v>0.26700000000000002</v>
      </c>
      <c r="M2074" s="482">
        <v>0.33300000000000002</v>
      </c>
    </row>
    <row r="2075" spans="1:13" x14ac:dyDescent="0.2">
      <c r="A2075" t="s">
        <v>2836</v>
      </c>
      <c r="B2075" t="s">
        <v>17</v>
      </c>
      <c r="C2075" t="s">
        <v>87</v>
      </c>
      <c r="D2075" t="s">
        <v>516</v>
      </c>
      <c r="E2075" t="s">
        <v>517</v>
      </c>
      <c r="F2075" t="s">
        <v>179</v>
      </c>
      <c r="G2075">
        <v>7</v>
      </c>
      <c r="H2075">
        <v>2</v>
      </c>
      <c r="I2075">
        <v>3</v>
      </c>
      <c r="J2075">
        <v>12</v>
      </c>
      <c r="K2075" s="482">
        <v>0.58299999999999996</v>
      </c>
      <c r="L2075" s="482">
        <v>0.16700000000000001</v>
      </c>
      <c r="M2075" s="482">
        <v>0.25</v>
      </c>
    </row>
    <row r="2076" spans="1:13" x14ac:dyDescent="0.2">
      <c r="A2076" t="s">
        <v>2837</v>
      </c>
      <c r="B2076" t="s">
        <v>17</v>
      </c>
      <c r="C2076" t="s">
        <v>87</v>
      </c>
      <c r="D2076" t="s">
        <v>513</v>
      </c>
      <c r="E2076" t="s">
        <v>514</v>
      </c>
      <c r="F2076" t="s">
        <v>179</v>
      </c>
      <c r="G2076">
        <v>9</v>
      </c>
      <c r="H2076">
        <v>3</v>
      </c>
      <c r="I2076">
        <v>5</v>
      </c>
      <c r="J2076">
        <v>17</v>
      </c>
      <c r="K2076" s="482">
        <v>0.52900000000000003</v>
      </c>
      <c r="L2076" s="482">
        <v>0.17599999999999999</v>
      </c>
      <c r="M2076" s="482">
        <v>0.29399999999999998</v>
      </c>
    </row>
    <row r="2077" spans="1:13" x14ac:dyDescent="0.2">
      <c r="A2077" t="s">
        <v>2838</v>
      </c>
      <c r="B2077" t="s">
        <v>17</v>
      </c>
      <c r="C2077" t="s">
        <v>87</v>
      </c>
      <c r="D2077" t="s">
        <v>510</v>
      </c>
      <c r="E2077" t="s">
        <v>511</v>
      </c>
      <c r="F2077" t="s">
        <v>179</v>
      </c>
      <c r="G2077">
        <v>0</v>
      </c>
      <c r="H2077">
        <v>0</v>
      </c>
      <c r="I2077" t="s">
        <v>53</v>
      </c>
      <c r="J2077" t="s">
        <v>53</v>
      </c>
      <c r="K2077" t="s">
        <v>53</v>
      </c>
      <c r="L2077" t="s">
        <v>53</v>
      </c>
      <c r="M2077" t="s">
        <v>53</v>
      </c>
    </row>
    <row r="2078" spans="1:13" x14ac:dyDescent="0.2">
      <c r="A2078" t="s">
        <v>2839</v>
      </c>
      <c r="B2078" t="s">
        <v>17</v>
      </c>
      <c r="C2078" t="s">
        <v>87</v>
      </c>
      <c r="D2078" t="s">
        <v>507</v>
      </c>
      <c r="E2078" t="s">
        <v>508</v>
      </c>
      <c r="F2078" t="s">
        <v>179</v>
      </c>
      <c r="G2078">
        <v>40</v>
      </c>
      <c r="H2078">
        <v>16</v>
      </c>
      <c r="I2078">
        <v>32</v>
      </c>
      <c r="J2078">
        <v>88</v>
      </c>
      <c r="K2078" s="482">
        <v>0.45500000000000002</v>
      </c>
      <c r="L2078" s="482">
        <v>0.182</v>
      </c>
      <c r="M2078" s="482">
        <v>0.36399999999999999</v>
      </c>
    </row>
    <row r="2079" spans="1:13" x14ac:dyDescent="0.2">
      <c r="A2079" t="s">
        <v>2840</v>
      </c>
      <c r="B2079" t="s">
        <v>17</v>
      </c>
      <c r="C2079" t="s">
        <v>87</v>
      </c>
      <c r="D2079" t="s">
        <v>504</v>
      </c>
      <c r="E2079" t="s">
        <v>505</v>
      </c>
      <c r="F2079" t="s">
        <v>179</v>
      </c>
      <c r="G2079">
        <v>18</v>
      </c>
      <c r="H2079">
        <v>7</v>
      </c>
      <c r="I2079">
        <v>18</v>
      </c>
      <c r="J2079">
        <v>43</v>
      </c>
      <c r="K2079" s="482">
        <v>0.41899999999999998</v>
      </c>
      <c r="L2079" s="482">
        <v>0.16300000000000001</v>
      </c>
      <c r="M2079" s="482">
        <v>0.41899999999999998</v>
      </c>
    </row>
    <row r="2080" spans="1:13" x14ac:dyDescent="0.2">
      <c r="A2080" t="s">
        <v>2841</v>
      </c>
      <c r="B2080" t="s">
        <v>17</v>
      </c>
      <c r="C2080" t="s">
        <v>87</v>
      </c>
      <c r="D2080" t="s">
        <v>501</v>
      </c>
      <c r="E2080" t="s">
        <v>502</v>
      </c>
      <c r="F2080" t="s">
        <v>179</v>
      </c>
      <c r="G2080">
        <v>10</v>
      </c>
      <c r="H2080">
        <v>5</v>
      </c>
      <c r="I2080">
        <v>7</v>
      </c>
      <c r="J2080">
        <v>22</v>
      </c>
      <c r="K2080" s="482">
        <v>0.45500000000000002</v>
      </c>
      <c r="L2080" s="482">
        <v>0.22700000000000001</v>
      </c>
      <c r="M2080" s="482">
        <v>0.318</v>
      </c>
    </row>
    <row r="2081" spans="1:13" x14ac:dyDescent="0.2">
      <c r="A2081" t="s">
        <v>2842</v>
      </c>
      <c r="B2081" t="s">
        <v>17</v>
      </c>
      <c r="C2081" t="s">
        <v>87</v>
      </c>
      <c r="D2081" t="s">
        <v>498</v>
      </c>
      <c r="E2081" t="s">
        <v>499</v>
      </c>
      <c r="F2081" t="s">
        <v>179</v>
      </c>
      <c r="G2081" t="s">
        <v>53</v>
      </c>
      <c r="H2081">
        <v>0</v>
      </c>
      <c r="I2081" t="s">
        <v>53</v>
      </c>
      <c r="J2081" t="s">
        <v>53</v>
      </c>
      <c r="K2081" t="s">
        <v>53</v>
      </c>
      <c r="L2081" t="s">
        <v>53</v>
      </c>
      <c r="M2081" t="s">
        <v>53</v>
      </c>
    </row>
    <row r="2082" spans="1:13" x14ac:dyDescent="0.2">
      <c r="A2082" t="s">
        <v>2843</v>
      </c>
      <c r="B2082" t="s">
        <v>17</v>
      </c>
      <c r="C2082" t="s">
        <v>87</v>
      </c>
      <c r="D2082" t="s">
        <v>495</v>
      </c>
      <c r="E2082" t="s">
        <v>496</v>
      </c>
      <c r="F2082" t="s">
        <v>179</v>
      </c>
      <c r="G2082">
        <v>22</v>
      </c>
      <c r="H2082">
        <v>7</v>
      </c>
      <c r="I2082">
        <v>15</v>
      </c>
      <c r="J2082">
        <v>44</v>
      </c>
      <c r="K2082" s="482">
        <v>0.5</v>
      </c>
      <c r="L2082" s="482">
        <v>0.159</v>
      </c>
      <c r="M2082" s="482">
        <v>0.34100000000000003</v>
      </c>
    </row>
    <row r="2083" spans="1:13" x14ac:dyDescent="0.2">
      <c r="A2083" t="s">
        <v>2822</v>
      </c>
      <c r="B2083" t="s">
        <v>17</v>
      </c>
      <c r="C2083" t="s">
        <v>87</v>
      </c>
      <c r="D2083" t="s">
        <v>399</v>
      </c>
      <c r="E2083" t="s">
        <v>400</v>
      </c>
      <c r="F2083" t="s">
        <v>179</v>
      </c>
      <c r="G2083">
        <v>30</v>
      </c>
      <c r="H2083">
        <v>20</v>
      </c>
      <c r="I2083">
        <v>40</v>
      </c>
      <c r="J2083">
        <v>90</v>
      </c>
      <c r="K2083" s="482">
        <v>0.33300000000000002</v>
      </c>
      <c r="L2083" s="482">
        <v>0.222</v>
      </c>
      <c r="M2083" s="482">
        <v>0.44400000000000001</v>
      </c>
    </row>
    <row r="2084" spans="1:13" x14ac:dyDescent="0.2">
      <c r="A2084" t="s">
        <v>2865</v>
      </c>
      <c r="B2084" t="s">
        <v>17</v>
      </c>
      <c r="C2084" t="s">
        <v>87</v>
      </c>
      <c r="D2084" t="s">
        <v>435</v>
      </c>
      <c r="E2084" t="s">
        <v>436</v>
      </c>
      <c r="F2084" t="s">
        <v>179</v>
      </c>
      <c r="G2084">
        <v>16</v>
      </c>
      <c r="H2084">
        <v>5</v>
      </c>
      <c r="I2084">
        <v>9</v>
      </c>
      <c r="J2084">
        <v>30</v>
      </c>
      <c r="K2084" s="482">
        <v>0.53300000000000003</v>
      </c>
      <c r="L2084" s="482">
        <v>0.16700000000000001</v>
      </c>
      <c r="M2084" s="482">
        <v>0.3</v>
      </c>
    </row>
    <row r="2085" spans="1:13" x14ac:dyDescent="0.2">
      <c r="A2085" t="s">
        <v>2853</v>
      </c>
      <c r="B2085" t="s">
        <v>17</v>
      </c>
      <c r="C2085" t="s">
        <v>87</v>
      </c>
      <c r="D2085" t="s">
        <v>462</v>
      </c>
      <c r="E2085" t="s">
        <v>463</v>
      </c>
      <c r="F2085" t="s">
        <v>179</v>
      </c>
      <c r="G2085">
        <v>11</v>
      </c>
      <c r="H2085">
        <v>7</v>
      </c>
      <c r="I2085">
        <v>6</v>
      </c>
      <c r="J2085">
        <v>24</v>
      </c>
      <c r="K2085" s="482">
        <v>0.45800000000000002</v>
      </c>
      <c r="L2085" s="482">
        <v>0.29199999999999998</v>
      </c>
      <c r="M2085" s="482">
        <v>0.25</v>
      </c>
    </row>
    <row r="2086" spans="1:13" x14ac:dyDescent="0.2">
      <c r="A2086" t="s">
        <v>2854</v>
      </c>
      <c r="B2086" t="s">
        <v>17</v>
      </c>
      <c r="C2086" t="s">
        <v>87</v>
      </c>
      <c r="D2086" t="s">
        <v>459</v>
      </c>
      <c r="E2086" t="s">
        <v>460</v>
      </c>
      <c r="F2086" t="s">
        <v>179</v>
      </c>
      <c r="G2086">
        <v>6</v>
      </c>
      <c r="H2086">
        <v>5</v>
      </c>
      <c r="I2086">
        <v>8</v>
      </c>
      <c r="J2086">
        <v>19</v>
      </c>
      <c r="K2086" s="482">
        <v>0.316</v>
      </c>
      <c r="L2086" s="482">
        <v>0.26300000000000001</v>
      </c>
      <c r="M2086" s="482">
        <v>0.42099999999999999</v>
      </c>
    </row>
    <row r="2087" spans="1:13" x14ac:dyDescent="0.2">
      <c r="A2087" t="s">
        <v>2855</v>
      </c>
      <c r="B2087" t="s">
        <v>17</v>
      </c>
      <c r="C2087" t="s">
        <v>87</v>
      </c>
      <c r="D2087" t="s">
        <v>456</v>
      </c>
      <c r="E2087" t="s">
        <v>457</v>
      </c>
      <c r="F2087" t="s">
        <v>179</v>
      </c>
      <c r="G2087">
        <v>7</v>
      </c>
      <c r="H2087">
        <v>4</v>
      </c>
      <c r="I2087">
        <v>4</v>
      </c>
      <c r="J2087">
        <v>15</v>
      </c>
      <c r="K2087" s="482">
        <v>0.46700000000000003</v>
      </c>
      <c r="L2087" s="482">
        <v>0.26700000000000002</v>
      </c>
      <c r="M2087" s="482">
        <v>0.26700000000000002</v>
      </c>
    </row>
    <row r="2088" spans="1:13" x14ac:dyDescent="0.2">
      <c r="A2088" t="s">
        <v>2856</v>
      </c>
      <c r="B2088" t="s">
        <v>17</v>
      </c>
      <c r="C2088" t="s">
        <v>87</v>
      </c>
      <c r="D2088" t="s">
        <v>453</v>
      </c>
      <c r="E2088" t="s">
        <v>454</v>
      </c>
      <c r="F2088" t="s">
        <v>179</v>
      </c>
      <c r="G2088">
        <v>5</v>
      </c>
      <c r="H2088">
        <v>6</v>
      </c>
      <c r="I2088">
        <v>10</v>
      </c>
      <c r="J2088">
        <v>21</v>
      </c>
      <c r="K2088" s="482">
        <v>0.23799999999999999</v>
      </c>
      <c r="L2088" s="482">
        <v>0.28599999999999998</v>
      </c>
      <c r="M2088" s="482">
        <v>0.47599999999999998</v>
      </c>
    </row>
    <row r="2089" spans="1:13" x14ac:dyDescent="0.2">
      <c r="A2089" t="s">
        <v>2857</v>
      </c>
      <c r="B2089" t="s">
        <v>17</v>
      </c>
      <c r="C2089" t="s">
        <v>87</v>
      </c>
      <c r="D2089" t="s">
        <v>450</v>
      </c>
      <c r="E2089" t="s">
        <v>451</v>
      </c>
      <c r="F2089" t="s">
        <v>179</v>
      </c>
      <c r="G2089">
        <v>8</v>
      </c>
      <c r="H2089">
        <v>4</v>
      </c>
      <c r="I2089">
        <v>14</v>
      </c>
      <c r="J2089">
        <v>26</v>
      </c>
      <c r="K2089" s="482">
        <v>0.308</v>
      </c>
      <c r="L2089" s="482">
        <v>0.154</v>
      </c>
      <c r="M2089" s="482">
        <v>0.53800000000000003</v>
      </c>
    </row>
    <row r="2090" spans="1:13" x14ac:dyDescent="0.2">
      <c r="A2090" t="s">
        <v>2858</v>
      </c>
      <c r="B2090" t="s">
        <v>17</v>
      </c>
      <c r="C2090" t="s">
        <v>87</v>
      </c>
      <c r="D2090" t="s">
        <v>447</v>
      </c>
      <c r="E2090" t="s">
        <v>448</v>
      </c>
      <c r="F2090" t="s">
        <v>179</v>
      </c>
      <c r="G2090" t="s">
        <v>53</v>
      </c>
      <c r="H2090" t="s">
        <v>53</v>
      </c>
      <c r="I2090" t="s">
        <v>53</v>
      </c>
      <c r="J2090" t="s">
        <v>53</v>
      </c>
      <c r="K2090" t="s">
        <v>53</v>
      </c>
      <c r="L2090" t="s">
        <v>53</v>
      </c>
      <c r="M2090" t="s">
        <v>53</v>
      </c>
    </row>
    <row r="2091" spans="1:13" x14ac:dyDescent="0.2">
      <c r="A2091" t="s">
        <v>2859</v>
      </c>
      <c r="B2091" t="s">
        <v>17</v>
      </c>
      <c r="C2091" t="s">
        <v>87</v>
      </c>
      <c r="D2091" t="s">
        <v>444</v>
      </c>
      <c r="E2091" t="s">
        <v>445</v>
      </c>
      <c r="F2091" t="s">
        <v>179</v>
      </c>
      <c r="G2091">
        <v>5</v>
      </c>
      <c r="H2091">
        <v>3</v>
      </c>
      <c r="I2091">
        <v>4</v>
      </c>
      <c r="J2091">
        <v>12</v>
      </c>
      <c r="K2091" s="482">
        <v>0.41699999999999998</v>
      </c>
      <c r="L2091" s="482">
        <v>0.25</v>
      </c>
      <c r="M2091" s="482">
        <v>0.33300000000000002</v>
      </c>
    </row>
    <row r="2092" spans="1:13" x14ac:dyDescent="0.2">
      <c r="A2092" t="s">
        <v>2860</v>
      </c>
      <c r="B2092" t="s">
        <v>17</v>
      </c>
      <c r="C2092" t="s">
        <v>87</v>
      </c>
      <c r="D2092" t="s">
        <v>405</v>
      </c>
      <c r="E2092" t="s">
        <v>406</v>
      </c>
      <c r="F2092" t="s">
        <v>179</v>
      </c>
      <c r="G2092">
        <v>9</v>
      </c>
      <c r="H2092">
        <v>2</v>
      </c>
      <c r="I2092">
        <v>4</v>
      </c>
      <c r="J2092">
        <v>15</v>
      </c>
      <c r="K2092" s="482">
        <v>0.6</v>
      </c>
      <c r="L2092" s="482">
        <v>0.13300000000000001</v>
      </c>
      <c r="M2092" s="482">
        <v>0.26700000000000002</v>
      </c>
    </row>
    <row r="2093" spans="1:13" x14ac:dyDescent="0.2">
      <c r="A2093" t="s">
        <v>2875</v>
      </c>
      <c r="B2093" t="s">
        <v>17</v>
      </c>
      <c r="C2093" t="s">
        <v>87</v>
      </c>
      <c r="D2093" t="s">
        <v>402</v>
      </c>
      <c r="E2093" t="s">
        <v>403</v>
      </c>
      <c r="F2093" t="s">
        <v>179</v>
      </c>
      <c r="G2093">
        <v>7</v>
      </c>
      <c r="H2093">
        <v>8</v>
      </c>
      <c r="I2093">
        <v>9</v>
      </c>
      <c r="J2093">
        <v>24</v>
      </c>
      <c r="K2093" s="482">
        <v>0.29199999999999998</v>
      </c>
      <c r="L2093" s="482">
        <v>0.33300000000000002</v>
      </c>
      <c r="M2093" s="482">
        <v>0.375</v>
      </c>
    </row>
    <row r="2094" spans="1:13" x14ac:dyDescent="0.2">
      <c r="A2094" t="s">
        <v>2864</v>
      </c>
      <c r="B2094" t="s">
        <v>17</v>
      </c>
      <c r="C2094" t="s">
        <v>87</v>
      </c>
      <c r="D2094" t="s">
        <v>438</v>
      </c>
      <c r="E2094" t="s">
        <v>439</v>
      </c>
      <c r="F2094" t="s">
        <v>179</v>
      </c>
      <c r="G2094">
        <v>4</v>
      </c>
      <c r="H2094">
        <v>2</v>
      </c>
      <c r="I2094">
        <v>1</v>
      </c>
      <c r="J2094">
        <v>7</v>
      </c>
      <c r="K2094" s="482">
        <v>0.57099999999999995</v>
      </c>
      <c r="L2094" s="482">
        <v>0.28599999999999998</v>
      </c>
      <c r="M2094" s="482">
        <v>0.14299999999999999</v>
      </c>
    </row>
    <row r="2095" spans="1:13" x14ac:dyDescent="0.2">
      <c r="A2095" t="s">
        <v>2863</v>
      </c>
      <c r="B2095" t="s">
        <v>17</v>
      </c>
      <c r="C2095" t="s">
        <v>87</v>
      </c>
      <c r="D2095" t="s">
        <v>441</v>
      </c>
      <c r="E2095" t="s">
        <v>442</v>
      </c>
      <c r="F2095" t="s">
        <v>179</v>
      </c>
      <c r="G2095" t="s">
        <v>53</v>
      </c>
      <c r="H2095">
        <v>0</v>
      </c>
      <c r="I2095" t="s">
        <v>53</v>
      </c>
      <c r="J2095" t="s">
        <v>53</v>
      </c>
      <c r="K2095" t="s">
        <v>53</v>
      </c>
      <c r="L2095" t="s">
        <v>53</v>
      </c>
      <c r="M2095" t="s">
        <v>53</v>
      </c>
    </row>
    <row r="2096" spans="1:13" x14ac:dyDescent="0.2">
      <c r="A2096" t="s">
        <v>2847</v>
      </c>
      <c r="B2096" t="s">
        <v>17</v>
      </c>
      <c r="C2096" t="s">
        <v>87</v>
      </c>
      <c r="D2096" t="s">
        <v>483</v>
      </c>
      <c r="E2096" t="s">
        <v>484</v>
      </c>
      <c r="F2096" t="s">
        <v>179</v>
      </c>
      <c r="G2096">
        <v>0</v>
      </c>
      <c r="H2096" t="s">
        <v>53</v>
      </c>
      <c r="I2096" t="s">
        <v>53</v>
      </c>
      <c r="J2096" t="s">
        <v>53</v>
      </c>
      <c r="K2096" t="s">
        <v>53</v>
      </c>
      <c r="L2096" t="s">
        <v>53</v>
      </c>
      <c r="M2096" t="s">
        <v>53</v>
      </c>
    </row>
    <row r="2097" spans="1:13" x14ac:dyDescent="0.2">
      <c r="A2097" t="s">
        <v>2850</v>
      </c>
      <c r="B2097" t="s">
        <v>17</v>
      </c>
      <c r="C2097" t="s">
        <v>87</v>
      </c>
      <c r="D2097" t="s">
        <v>474</v>
      </c>
      <c r="E2097" t="s">
        <v>475</v>
      </c>
      <c r="F2097" t="s">
        <v>179</v>
      </c>
      <c r="G2097">
        <v>16</v>
      </c>
      <c r="H2097">
        <v>14</v>
      </c>
      <c r="I2097">
        <v>19</v>
      </c>
      <c r="J2097">
        <v>49</v>
      </c>
      <c r="K2097" s="482">
        <v>0.32700000000000001</v>
      </c>
      <c r="L2097" s="482">
        <v>0.28599999999999998</v>
      </c>
      <c r="M2097" s="482">
        <v>0.38800000000000001</v>
      </c>
    </row>
    <row r="2098" spans="1:13" x14ac:dyDescent="0.2">
      <c r="A2098" t="s">
        <v>2851</v>
      </c>
      <c r="B2098" t="s">
        <v>17</v>
      </c>
      <c r="C2098" t="s">
        <v>87</v>
      </c>
      <c r="D2098" t="s">
        <v>468</v>
      </c>
      <c r="E2098" t="s">
        <v>469</v>
      </c>
      <c r="F2098" t="s">
        <v>179</v>
      </c>
      <c r="G2098">
        <v>21</v>
      </c>
      <c r="H2098">
        <v>7</v>
      </c>
      <c r="I2098">
        <v>21</v>
      </c>
      <c r="J2098">
        <v>49</v>
      </c>
      <c r="K2098" s="482">
        <v>0.42899999999999999</v>
      </c>
      <c r="L2098" s="482">
        <v>0.14299999999999999</v>
      </c>
      <c r="M2098" s="482">
        <v>0.42899999999999999</v>
      </c>
    </row>
    <row r="2099" spans="1:13" x14ac:dyDescent="0.2">
      <c r="A2099" t="s">
        <v>2852</v>
      </c>
      <c r="B2099" t="s">
        <v>17</v>
      </c>
      <c r="C2099" t="s">
        <v>87</v>
      </c>
      <c r="D2099" t="s">
        <v>465</v>
      </c>
      <c r="E2099" t="s">
        <v>466</v>
      </c>
      <c r="F2099" t="s">
        <v>179</v>
      </c>
      <c r="G2099">
        <v>15</v>
      </c>
      <c r="H2099">
        <v>5</v>
      </c>
      <c r="I2099">
        <v>13</v>
      </c>
      <c r="J2099">
        <v>33</v>
      </c>
      <c r="K2099" s="482">
        <v>0.45500000000000002</v>
      </c>
      <c r="L2099" s="482">
        <v>0.152</v>
      </c>
      <c r="M2099" s="482">
        <v>0.39400000000000002</v>
      </c>
    </row>
    <row r="2100" spans="1:13" x14ac:dyDescent="0.2">
      <c r="A2100" t="s">
        <v>2848</v>
      </c>
      <c r="B2100" t="s">
        <v>17</v>
      </c>
      <c r="C2100" t="s">
        <v>87</v>
      </c>
      <c r="D2100" t="s">
        <v>480</v>
      </c>
      <c r="E2100" t="s">
        <v>481</v>
      </c>
      <c r="F2100" t="s">
        <v>179</v>
      </c>
      <c r="G2100">
        <v>19</v>
      </c>
      <c r="H2100">
        <v>5</v>
      </c>
      <c r="I2100">
        <v>12</v>
      </c>
      <c r="J2100">
        <v>36</v>
      </c>
      <c r="K2100" s="482">
        <v>0.52800000000000002</v>
      </c>
      <c r="L2100" s="482">
        <v>0.13900000000000001</v>
      </c>
      <c r="M2100" s="482">
        <v>0.33300000000000002</v>
      </c>
    </row>
    <row r="2101" spans="1:13" x14ac:dyDescent="0.2">
      <c r="A2101" t="s">
        <v>2849</v>
      </c>
      <c r="B2101" t="s">
        <v>17</v>
      </c>
      <c r="C2101" t="s">
        <v>87</v>
      </c>
      <c r="D2101" t="s">
        <v>477</v>
      </c>
      <c r="E2101" t="s">
        <v>478</v>
      </c>
      <c r="F2101" t="s">
        <v>179</v>
      </c>
      <c r="G2101" t="s">
        <v>53</v>
      </c>
      <c r="H2101" t="s">
        <v>53</v>
      </c>
      <c r="I2101" t="s">
        <v>53</v>
      </c>
      <c r="J2101" t="s">
        <v>53</v>
      </c>
      <c r="K2101" t="s">
        <v>53</v>
      </c>
      <c r="L2101" t="s">
        <v>53</v>
      </c>
      <c r="M2101" t="s">
        <v>53</v>
      </c>
    </row>
    <row r="2102" spans="1:13" x14ac:dyDescent="0.2">
      <c r="A2102" t="s">
        <v>2904</v>
      </c>
      <c r="B2102" t="s">
        <v>17</v>
      </c>
      <c r="C2102" t="s">
        <v>87</v>
      </c>
      <c r="D2102" t="s">
        <v>477</v>
      </c>
      <c r="E2102" t="s">
        <v>478</v>
      </c>
      <c r="F2102" t="s">
        <v>52</v>
      </c>
      <c r="G2102">
        <v>0</v>
      </c>
      <c r="H2102" t="s">
        <v>53</v>
      </c>
      <c r="I2102" t="s">
        <v>53</v>
      </c>
      <c r="J2102" t="s">
        <v>53</v>
      </c>
      <c r="K2102" t="s">
        <v>53</v>
      </c>
      <c r="L2102" t="s">
        <v>53</v>
      </c>
      <c r="M2102" t="s">
        <v>53</v>
      </c>
    </row>
    <row r="2103" spans="1:13" x14ac:dyDescent="0.2">
      <c r="A2103" t="s">
        <v>2905</v>
      </c>
      <c r="B2103" t="s">
        <v>17</v>
      </c>
      <c r="C2103" t="s">
        <v>87</v>
      </c>
      <c r="D2103" t="s">
        <v>480</v>
      </c>
      <c r="E2103" t="s">
        <v>481</v>
      </c>
      <c r="F2103" t="s">
        <v>52</v>
      </c>
      <c r="G2103">
        <v>22</v>
      </c>
      <c r="H2103">
        <v>9</v>
      </c>
      <c r="I2103">
        <v>3</v>
      </c>
      <c r="J2103">
        <v>34</v>
      </c>
      <c r="K2103" s="482">
        <v>0.64700000000000002</v>
      </c>
      <c r="L2103" s="482">
        <v>0.26500000000000001</v>
      </c>
      <c r="M2103" s="482">
        <v>8.7999999999999995E-2</v>
      </c>
    </row>
    <row r="2104" spans="1:13" x14ac:dyDescent="0.2">
      <c r="A2104" t="s">
        <v>2901</v>
      </c>
      <c r="B2104" t="s">
        <v>17</v>
      </c>
      <c r="C2104" t="s">
        <v>87</v>
      </c>
      <c r="D2104" t="s">
        <v>465</v>
      </c>
      <c r="E2104" t="s">
        <v>466</v>
      </c>
      <c r="F2104" t="s">
        <v>52</v>
      </c>
      <c r="G2104">
        <v>21</v>
      </c>
      <c r="H2104">
        <v>5</v>
      </c>
      <c r="I2104">
        <v>7</v>
      </c>
      <c r="J2104">
        <v>33</v>
      </c>
      <c r="K2104" s="482">
        <v>0.63600000000000001</v>
      </c>
      <c r="L2104" s="482">
        <v>0.152</v>
      </c>
      <c r="M2104" s="482">
        <v>0.21199999999999999</v>
      </c>
    </row>
    <row r="2105" spans="1:13" x14ac:dyDescent="0.2">
      <c r="A2105" t="s">
        <v>2902</v>
      </c>
      <c r="B2105" t="s">
        <v>17</v>
      </c>
      <c r="C2105" t="s">
        <v>87</v>
      </c>
      <c r="D2105" t="s">
        <v>468</v>
      </c>
      <c r="E2105" t="s">
        <v>469</v>
      </c>
      <c r="F2105" t="s">
        <v>52</v>
      </c>
      <c r="G2105">
        <v>32</v>
      </c>
      <c r="H2105">
        <v>9</v>
      </c>
      <c r="I2105">
        <v>6</v>
      </c>
      <c r="J2105">
        <v>47</v>
      </c>
      <c r="K2105" s="482">
        <v>0.68100000000000005</v>
      </c>
      <c r="L2105" s="482">
        <v>0.191</v>
      </c>
      <c r="M2105" s="482">
        <v>0.128</v>
      </c>
    </row>
    <row r="2106" spans="1:13" x14ac:dyDescent="0.2">
      <c r="A2106" t="s">
        <v>2903</v>
      </c>
      <c r="B2106" t="s">
        <v>17</v>
      </c>
      <c r="C2106" t="s">
        <v>87</v>
      </c>
      <c r="D2106" t="s">
        <v>474</v>
      </c>
      <c r="E2106" t="s">
        <v>475</v>
      </c>
      <c r="F2106" t="s">
        <v>52</v>
      </c>
      <c r="G2106">
        <v>24</v>
      </c>
      <c r="H2106">
        <v>18</v>
      </c>
      <c r="I2106">
        <v>5</v>
      </c>
      <c r="J2106">
        <v>47</v>
      </c>
      <c r="K2106" s="482">
        <v>0.51100000000000001</v>
      </c>
      <c r="L2106" s="482">
        <v>0.38300000000000001</v>
      </c>
      <c r="M2106" s="482">
        <v>0.106</v>
      </c>
    </row>
    <row r="2107" spans="1:13" x14ac:dyDescent="0.2">
      <c r="A2107" t="s">
        <v>2906</v>
      </c>
      <c r="B2107" t="s">
        <v>17</v>
      </c>
      <c r="C2107" t="s">
        <v>87</v>
      </c>
      <c r="D2107" t="s">
        <v>483</v>
      </c>
      <c r="E2107" t="s">
        <v>484</v>
      </c>
      <c r="F2107" t="s">
        <v>52</v>
      </c>
      <c r="G2107">
        <v>1</v>
      </c>
      <c r="H2107">
        <v>3</v>
      </c>
      <c r="I2107">
        <v>2</v>
      </c>
      <c r="J2107">
        <v>6</v>
      </c>
      <c r="K2107" s="482">
        <v>0.16700000000000001</v>
      </c>
      <c r="L2107" s="482">
        <v>0.5</v>
      </c>
      <c r="M2107" s="482">
        <v>0.33300000000000002</v>
      </c>
    </row>
    <row r="2108" spans="1:13" x14ac:dyDescent="0.2">
      <c r="A2108" t="s">
        <v>2890</v>
      </c>
      <c r="B2108" t="s">
        <v>17</v>
      </c>
      <c r="C2108" t="s">
        <v>87</v>
      </c>
      <c r="D2108" t="s">
        <v>441</v>
      </c>
      <c r="E2108" t="s">
        <v>442</v>
      </c>
      <c r="F2108" t="s">
        <v>52</v>
      </c>
      <c r="G2108">
        <v>0</v>
      </c>
      <c r="H2108" t="s">
        <v>53</v>
      </c>
      <c r="I2108" t="s">
        <v>53</v>
      </c>
      <c r="J2108" t="s">
        <v>53</v>
      </c>
      <c r="K2108" t="s">
        <v>53</v>
      </c>
      <c r="L2108" t="s">
        <v>53</v>
      </c>
      <c r="M2108" t="s">
        <v>53</v>
      </c>
    </row>
    <row r="2109" spans="1:13" x14ac:dyDescent="0.2">
      <c r="A2109" t="s">
        <v>2889</v>
      </c>
      <c r="B2109" t="s">
        <v>17</v>
      </c>
      <c r="C2109" t="s">
        <v>87</v>
      </c>
      <c r="D2109" t="s">
        <v>438</v>
      </c>
      <c r="E2109" t="s">
        <v>439</v>
      </c>
      <c r="F2109" t="s">
        <v>52</v>
      </c>
      <c r="G2109">
        <v>4</v>
      </c>
      <c r="H2109">
        <v>1</v>
      </c>
      <c r="I2109">
        <v>1</v>
      </c>
      <c r="J2109">
        <v>6</v>
      </c>
      <c r="K2109" s="482">
        <v>0.66700000000000004</v>
      </c>
      <c r="L2109" s="482">
        <v>0.16700000000000001</v>
      </c>
      <c r="M2109" s="482">
        <v>0.16700000000000001</v>
      </c>
    </row>
    <row r="2110" spans="1:13" x14ac:dyDescent="0.2">
      <c r="A2110" t="s">
        <v>2878</v>
      </c>
      <c r="B2110" t="s">
        <v>17</v>
      </c>
      <c r="C2110" t="s">
        <v>87</v>
      </c>
      <c r="D2110" t="s">
        <v>402</v>
      </c>
      <c r="E2110" t="s">
        <v>403</v>
      </c>
      <c r="F2110" t="s">
        <v>52</v>
      </c>
      <c r="G2110">
        <v>12</v>
      </c>
      <c r="H2110">
        <v>10</v>
      </c>
      <c r="I2110">
        <v>2</v>
      </c>
      <c r="J2110">
        <v>24</v>
      </c>
      <c r="K2110" s="482">
        <v>0.5</v>
      </c>
      <c r="L2110" s="482">
        <v>0.41699999999999998</v>
      </c>
      <c r="M2110" s="482">
        <v>8.3000000000000004E-2</v>
      </c>
    </row>
    <row r="2111" spans="1:13" x14ac:dyDescent="0.2">
      <c r="A2111" t="s">
        <v>2893</v>
      </c>
      <c r="B2111" t="s">
        <v>17</v>
      </c>
      <c r="C2111" t="s">
        <v>87</v>
      </c>
      <c r="D2111" t="s">
        <v>405</v>
      </c>
      <c r="E2111" t="s">
        <v>406</v>
      </c>
      <c r="F2111" t="s">
        <v>52</v>
      </c>
      <c r="G2111">
        <v>8</v>
      </c>
      <c r="H2111">
        <v>6</v>
      </c>
      <c r="I2111">
        <v>2</v>
      </c>
      <c r="J2111">
        <v>16</v>
      </c>
      <c r="K2111" s="482">
        <v>0.5</v>
      </c>
      <c r="L2111" s="482">
        <v>0.375</v>
      </c>
      <c r="M2111" s="482">
        <v>0.125</v>
      </c>
    </row>
    <row r="2112" spans="1:13" x14ac:dyDescent="0.2">
      <c r="A2112" t="s">
        <v>2894</v>
      </c>
      <c r="B2112" t="s">
        <v>17</v>
      </c>
      <c r="C2112" t="s">
        <v>87</v>
      </c>
      <c r="D2112" t="s">
        <v>444</v>
      </c>
      <c r="E2112" t="s">
        <v>445</v>
      </c>
      <c r="F2112" t="s">
        <v>52</v>
      </c>
      <c r="G2112">
        <v>4</v>
      </c>
      <c r="H2112">
        <v>4</v>
      </c>
      <c r="I2112">
        <v>3</v>
      </c>
      <c r="J2112">
        <v>11</v>
      </c>
      <c r="K2112" s="482">
        <v>0.36399999999999999</v>
      </c>
      <c r="L2112" s="482">
        <v>0.36399999999999999</v>
      </c>
      <c r="M2112" s="482">
        <v>0.27300000000000002</v>
      </c>
    </row>
    <row r="2113" spans="1:13" x14ac:dyDescent="0.2">
      <c r="A2113" t="s">
        <v>2895</v>
      </c>
      <c r="B2113" t="s">
        <v>17</v>
      </c>
      <c r="C2113" t="s">
        <v>87</v>
      </c>
      <c r="D2113" t="s">
        <v>447</v>
      </c>
      <c r="E2113" t="s">
        <v>448</v>
      </c>
      <c r="F2113" t="s">
        <v>52</v>
      </c>
      <c r="G2113" t="s">
        <v>53</v>
      </c>
      <c r="H2113" t="s">
        <v>53</v>
      </c>
      <c r="I2113" t="s">
        <v>53</v>
      </c>
      <c r="J2113" t="s">
        <v>53</v>
      </c>
      <c r="K2113" t="s">
        <v>53</v>
      </c>
      <c r="L2113" t="s">
        <v>53</v>
      </c>
      <c r="M2113" t="s">
        <v>53</v>
      </c>
    </row>
    <row r="2114" spans="1:13" x14ac:dyDescent="0.2">
      <c r="A2114" t="s">
        <v>2896</v>
      </c>
      <c r="B2114" t="s">
        <v>17</v>
      </c>
      <c r="C2114" t="s">
        <v>87</v>
      </c>
      <c r="D2114" t="s">
        <v>450</v>
      </c>
      <c r="E2114" t="s">
        <v>451</v>
      </c>
      <c r="F2114" t="s">
        <v>52</v>
      </c>
      <c r="G2114">
        <v>10</v>
      </c>
      <c r="H2114">
        <v>10</v>
      </c>
      <c r="I2114">
        <v>7</v>
      </c>
      <c r="J2114">
        <v>27</v>
      </c>
      <c r="K2114" s="482">
        <v>0.37</v>
      </c>
      <c r="L2114" s="482">
        <v>0.37</v>
      </c>
      <c r="M2114" s="482">
        <v>0.25900000000000001</v>
      </c>
    </row>
    <row r="2115" spans="1:13" x14ac:dyDescent="0.2">
      <c r="A2115" t="s">
        <v>2897</v>
      </c>
      <c r="B2115" t="s">
        <v>17</v>
      </c>
      <c r="C2115" t="s">
        <v>87</v>
      </c>
      <c r="D2115" t="s">
        <v>453</v>
      </c>
      <c r="E2115" t="s">
        <v>454</v>
      </c>
      <c r="F2115" t="s">
        <v>52</v>
      </c>
      <c r="G2115">
        <v>10</v>
      </c>
      <c r="H2115">
        <v>3</v>
      </c>
      <c r="I2115">
        <v>6</v>
      </c>
      <c r="J2115">
        <v>19</v>
      </c>
      <c r="K2115" s="482">
        <v>0.52600000000000002</v>
      </c>
      <c r="L2115" s="482">
        <v>0.158</v>
      </c>
      <c r="M2115" s="482">
        <v>0.316</v>
      </c>
    </row>
    <row r="2116" spans="1:13" x14ac:dyDescent="0.2">
      <c r="A2116" t="s">
        <v>2898</v>
      </c>
      <c r="B2116" t="s">
        <v>17</v>
      </c>
      <c r="C2116" t="s">
        <v>87</v>
      </c>
      <c r="D2116" t="s">
        <v>456</v>
      </c>
      <c r="E2116" t="s">
        <v>457</v>
      </c>
      <c r="F2116" t="s">
        <v>52</v>
      </c>
      <c r="G2116">
        <v>12</v>
      </c>
      <c r="H2116">
        <v>4</v>
      </c>
      <c r="I2116">
        <v>1</v>
      </c>
      <c r="J2116">
        <v>17</v>
      </c>
      <c r="K2116" s="482">
        <v>0.70599999999999996</v>
      </c>
      <c r="L2116" s="482">
        <v>0.23499999999999999</v>
      </c>
      <c r="M2116" s="482">
        <v>5.8999999999999997E-2</v>
      </c>
    </row>
    <row r="2117" spans="1:13" x14ac:dyDescent="0.2">
      <c r="A2117" t="s">
        <v>2899</v>
      </c>
      <c r="B2117" t="s">
        <v>17</v>
      </c>
      <c r="C2117" t="s">
        <v>87</v>
      </c>
      <c r="D2117" t="s">
        <v>459</v>
      </c>
      <c r="E2117" t="s">
        <v>460</v>
      </c>
      <c r="F2117" t="s">
        <v>52</v>
      </c>
      <c r="G2117">
        <v>10</v>
      </c>
      <c r="H2117">
        <v>3</v>
      </c>
      <c r="I2117">
        <v>4</v>
      </c>
      <c r="J2117">
        <v>17</v>
      </c>
      <c r="K2117" s="482">
        <v>0.58799999999999997</v>
      </c>
      <c r="L2117" s="482">
        <v>0.17599999999999999</v>
      </c>
      <c r="M2117" s="482">
        <v>0.23499999999999999</v>
      </c>
    </row>
    <row r="2118" spans="1:13" x14ac:dyDescent="0.2">
      <c r="A2118" t="s">
        <v>2900</v>
      </c>
      <c r="B2118" t="s">
        <v>17</v>
      </c>
      <c r="C2118" t="s">
        <v>87</v>
      </c>
      <c r="D2118" t="s">
        <v>462</v>
      </c>
      <c r="E2118" t="s">
        <v>463</v>
      </c>
      <c r="F2118" t="s">
        <v>52</v>
      </c>
      <c r="G2118">
        <v>11</v>
      </c>
      <c r="H2118">
        <v>10</v>
      </c>
      <c r="I2118">
        <v>3</v>
      </c>
      <c r="J2118">
        <v>24</v>
      </c>
      <c r="K2118" s="482">
        <v>0.45800000000000002</v>
      </c>
      <c r="L2118" s="482">
        <v>0.41699999999999998</v>
      </c>
      <c r="M2118" s="482">
        <v>0.125</v>
      </c>
    </row>
    <row r="2119" spans="1:13" x14ac:dyDescent="0.2">
      <c r="A2119" t="s">
        <v>2888</v>
      </c>
      <c r="B2119" t="s">
        <v>17</v>
      </c>
      <c r="C2119" t="s">
        <v>87</v>
      </c>
      <c r="D2119" t="s">
        <v>435</v>
      </c>
      <c r="E2119" t="s">
        <v>436</v>
      </c>
      <c r="F2119" t="s">
        <v>52</v>
      </c>
      <c r="G2119">
        <v>11</v>
      </c>
      <c r="H2119">
        <v>11</v>
      </c>
      <c r="I2119">
        <v>8</v>
      </c>
      <c r="J2119">
        <v>30</v>
      </c>
      <c r="K2119" s="482">
        <v>0.36699999999999999</v>
      </c>
      <c r="L2119" s="482">
        <v>0.36699999999999999</v>
      </c>
      <c r="M2119" s="482">
        <v>0.26700000000000002</v>
      </c>
    </row>
    <row r="2120" spans="1:13" x14ac:dyDescent="0.2">
      <c r="A2120" t="s">
        <v>2931</v>
      </c>
      <c r="B2120" t="s">
        <v>17</v>
      </c>
      <c r="C2120" t="s">
        <v>87</v>
      </c>
      <c r="D2120" t="s">
        <v>399</v>
      </c>
      <c r="E2120" t="s">
        <v>400</v>
      </c>
      <c r="F2120" t="s">
        <v>52</v>
      </c>
      <c r="G2120">
        <v>45</v>
      </c>
      <c r="H2120">
        <v>35</v>
      </c>
      <c r="I2120">
        <v>15</v>
      </c>
      <c r="J2120">
        <v>95</v>
      </c>
      <c r="K2120" s="482">
        <v>0.47399999999999998</v>
      </c>
      <c r="L2120" s="482">
        <v>0.36799999999999999</v>
      </c>
      <c r="M2120" s="482">
        <v>0.158</v>
      </c>
    </row>
    <row r="2121" spans="1:13" x14ac:dyDescent="0.2">
      <c r="A2121" t="s">
        <v>2910</v>
      </c>
      <c r="B2121" t="s">
        <v>17</v>
      </c>
      <c r="C2121" t="s">
        <v>87</v>
      </c>
      <c r="D2121" t="s">
        <v>495</v>
      </c>
      <c r="E2121" t="s">
        <v>496</v>
      </c>
      <c r="F2121" t="s">
        <v>52</v>
      </c>
      <c r="G2121">
        <v>24</v>
      </c>
      <c r="H2121">
        <v>11</v>
      </c>
      <c r="I2121">
        <v>7</v>
      </c>
      <c r="J2121">
        <v>42</v>
      </c>
      <c r="K2121" s="482">
        <v>0.57099999999999995</v>
      </c>
      <c r="L2121" s="482">
        <v>0.26200000000000001</v>
      </c>
      <c r="M2121" s="482">
        <v>0.16700000000000001</v>
      </c>
    </row>
    <row r="2122" spans="1:13" x14ac:dyDescent="0.2">
      <c r="A2122" t="s">
        <v>2911</v>
      </c>
      <c r="B2122" t="s">
        <v>17</v>
      </c>
      <c r="C2122" t="s">
        <v>87</v>
      </c>
      <c r="D2122" t="s">
        <v>498</v>
      </c>
      <c r="E2122" t="s">
        <v>499</v>
      </c>
      <c r="F2122" t="s">
        <v>52</v>
      </c>
      <c r="G2122" t="s">
        <v>53</v>
      </c>
      <c r="H2122" t="s">
        <v>53</v>
      </c>
      <c r="I2122">
        <v>0</v>
      </c>
      <c r="J2122" t="s">
        <v>53</v>
      </c>
      <c r="K2122" t="s">
        <v>53</v>
      </c>
      <c r="L2122" t="s">
        <v>53</v>
      </c>
      <c r="M2122" t="s">
        <v>53</v>
      </c>
    </row>
    <row r="2123" spans="1:13" x14ac:dyDescent="0.2">
      <c r="A2123" t="s">
        <v>2912</v>
      </c>
      <c r="B2123" t="s">
        <v>17</v>
      </c>
      <c r="C2123" t="s">
        <v>87</v>
      </c>
      <c r="D2123" t="s">
        <v>501</v>
      </c>
      <c r="E2123" t="s">
        <v>502</v>
      </c>
      <c r="F2123" t="s">
        <v>52</v>
      </c>
      <c r="G2123">
        <v>12</v>
      </c>
      <c r="H2123">
        <v>8</v>
      </c>
      <c r="I2123">
        <v>3</v>
      </c>
      <c r="J2123">
        <v>23</v>
      </c>
      <c r="K2123" s="482">
        <v>0.52200000000000002</v>
      </c>
      <c r="L2123" s="482">
        <v>0.34799999999999998</v>
      </c>
      <c r="M2123" s="482">
        <v>0.13</v>
      </c>
    </row>
    <row r="2124" spans="1:13" x14ac:dyDescent="0.2">
      <c r="A2124" t="s">
        <v>2913</v>
      </c>
      <c r="B2124" t="s">
        <v>17</v>
      </c>
      <c r="C2124" t="s">
        <v>87</v>
      </c>
      <c r="D2124" t="s">
        <v>504</v>
      </c>
      <c r="E2124" t="s">
        <v>505</v>
      </c>
      <c r="F2124" t="s">
        <v>52</v>
      </c>
      <c r="G2124">
        <v>31</v>
      </c>
      <c r="H2124">
        <v>12</v>
      </c>
      <c r="I2124">
        <v>3</v>
      </c>
      <c r="J2124">
        <v>46</v>
      </c>
      <c r="K2124" s="482">
        <v>0.67400000000000004</v>
      </c>
      <c r="L2124" s="482">
        <v>0.26100000000000001</v>
      </c>
      <c r="M2124" s="482">
        <v>6.5000000000000002E-2</v>
      </c>
    </row>
    <row r="2125" spans="1:13" x14ac:dyDescent="0.2">
      <c r="A2125" t="s">
        <v>2914</v>
      </c>
      <c r="B2125" t="s">
        <v>17</v>
      </c>
      <c r="C2125" t="s">
        <v>87</v>
      </c>
      <c r="D2125" t="s">
        <v>507</v>
      </c>
      <c r="E2125" t="s">
        <v>508</v>
      </c>
      <c r="F2125" t="s">
        <v>52</v>
      </c>
      <c r="G2125">
        <v>50</v>
      </c>
      <c r="H2125">
        <v>26</v>
      </c>
      <c r="I2125">
        <v>16</v>
      </c>
      <c r="J2125">
        <v>92</v>
      </c>
      <c r="K2125" s="482">
        <v>0.54300000000000004</v>
      </c>
      <c r="L2125" s="482">
        <v>0.28299999999999997</v>
      </c>
      <c r="M2125" s="482">
        <v>0.17399999999999999</v>
      </c>
    </row>
    <row r="2126" spans="1:13" x14ac:dyDescent="0.2">
      <c r="A2126" t="s">
        <v>2915</v>
      </c>
      <c r="B2126" t="s">
        <v>17</v>
      </c>
      <c r="C2126" t="s">
        <v>87</v>
      </c>
      <c r="D2126" t="s">
        <v>510</v>
      </c>
      <c r="E2126" t="s">
        <v>511</v>
      </c>
      <c r="F2126" t="s">
        <v>52</v>
      </c>
      <c r="G2126" t="s">
        <v>53</v>
      </c>
      <c r="H2126">
        <v>0</v>
      </c>
      <c r="I2126" t="s">
        <v>53</v>
      </c>
      <c r="J2126" t="s">
        <v>53</v>
      </c>
      <c r="K2126" t="s">
        <v>53</v>
      </c>
      <c r="L2126" t="s">
        <v>53</v>
      </c>
      <c r="M2126" t="s">
        <v>53</v>
      </c>
    </row>
    <row r="2127" spans="1:13" x14ac:dyDescent="0.2">
      <c r="A2127" t="s">
        <v>2916</v>
      </c>
      <c r="B2127" t="s">
        <v>17</v>
      </c>
      <c r="C2127" t="s">
        <v>87</v>
      </c>
      <c r="D2127" t="s">
        <v>513</v>
      </c>
      <c r="E2127" t="s">
        <v>514</v>
      </c>
      <c r="F2127" t="s">
        <v>52</v>
      </c>
      <c r="G2127">
        <v>7</v>
      </c>
      <c r="H2127">
        <v>8</v>
      </c>
      <c r="I2127">
        <v>2</v>
      </c>
      <c r="J2127">
        <v>17</v>
      </c>
      <c r="K2127" s="482">
        <v>0.41199999999999998</v>
      </c>
      <c r="L2127" s="482">
        <v>0.47099999999999997</v>
      </c>
      <c r="M2127" s="482">
        <v>0.11799999999999999</v>
      </c>
    </row>
    <row r="2128" spans="1:13" x14ac:dyDescent="0.2">
      <c r="A2128" t="s">
        <v>2917</v>
      </c>
      <c r="B2128" t="s">
        <v>17</v>
      </c>
      <c r="C2128" t="s">
        <v>87</v>
      </c>
      <c r="D2128" t="s">
        <v>516</v>
      </c>
      <c r="E2128" t="s">
        <v>517</v>
      </c>
      <c r="F2128" t="s">
        <v>52</v>
      </c>
      <c r="G2128">
        <v>6</v>
      </c>
      <c r="H2128">
        <v>3</v>
      </c>
      <c r="I2128">
        <v>3</v>
      </c>
      <c r="J2128">
        <v>12</v>
      </c>
      <c r="K2128" s="482">
        <v>0.5</v>
      </c>
      <c r="L2128" s="482">
        <v>0.25</v>
      </c>
      <c r="M2128" s="482">
        <v>0.25</v>
      </c>
    </row>
    <row r="2129" spans="1:13" x14ac:dyDescent="0.2">
      <c r="A2129" t="s">
        <v>2918</v>
      </c>
      <c r="B2129" t="s">
        <v>17</v>
      </c>
      <c r="C2129" t="s">
        <v>87</v>
      </c>
      <c r="D2129" t="s">
        <v>519</v>
      </c>
      <c r="E2129" t="s">
        <v>520</v>
      </c>
      <c r="F2129" t="s">
        <v>52</v>
      </c>
      <c r="G2129">
        <v>7</v>
      </c>
      <c r="H2129">
        <v>4</v>
      </c>
      <c r="I2129">
        <v>4</v>
      </c>
      <c r="J2129">
        <v>15</v>
      </c>
      <c r="K2129" s="482">
        <v>0.46700000000000003</v>
      </c>
      <c r="L2129" s="482">
        <v>0.26700000000000002</v>
      </c>
      <c r="M2129" s="482">
        <v>0.26700000000000002</v>
      </c>
    </row>
    <row r="2130" spans="1:13" x14ac:dyDescent="0.2">
      <c r="A2130" t="s">
        <v>2919</v>
      </c>
      <c r="B2130" t="s">
        <v>17</v>
      </c>
      <c r="C2130" t="s">
        <v>87</v>
      </c>
      <c r="D2130" t="s">
        <v>522</v>
      </c>
      <c r="E2130" t="s">
        <v>523</v>
      </c>
      <c r="F2130" t="s">
        <v>52</v>
      </c>
      <c r="G2130">
        <v>18</v>
      </c>
      <c r="H2130">
        <v>8</v>
      </c>
      <c r="I2130">
        <v>17</v>
      </c>
      <c r="J2130">
        <v>43</v>
      </c>
      <c r="K2130" s="482">
        <v>0.41899999999999998</v>
      </c>
      <c r="L2130" s="482">
        <v>0.186</v>
      </c>
      <c r="M2130" s="482">
        <v>0.39500000000000002</v>
      </c>
    </row>
    <row r="2131" spans="1:13" x14ac:dyDescent="0.2">
      <c r="A2131" t="s">
        <v>2920</v>
      </c>
      <c r="B2131" t="s">
        <v>17</v>
      </c>
      <c r="C2131" t="s">
        <v>87</v>
      </c>
      <c r="D2131" t="s">
        <v>525</v>
      </c>
      <c r="E2131" t="s">
        <v>526</v>
      </c>
      <c r="F2131" t="s">
        <v>52</v>
      </c>
      <c r="G2131">
        <v>30</v>
      </c>
      <c r="H2131">
        <v>13</v>
      </c>
      <c r="I2131">
        <v>6</v>
      </c>
      <c r="J2131">
        <v>49</v>
      </c>
      <c r="K2131" s="482">
        <v>0.61199999999999999</v>
      </c>
      <c r="L2131" s="482">
        <v>0.26500000000000001</v>
      </c>
      <c r="M2131" s="482">
        <v>0.122</v>
      </c>
    </row>
    <row r="2132" spans="1:13" x14ac:dyDescent="0.2">
      <c r="A2132" t="s">
        <v>2921</v>
      </c>
      <c r="B2132" t="s">
        <v>17</v>
      </c>
      <c r="C2132" t="s">
        <v>87</v>
      </c>
      <c r="D2132" t="s">
        <v>528</v>
      </c>
      <c r="E2132" t="s">
        <v>529</v>
      </c>
      <c r="F2132" t="s">
        <v>52</v>
      </c>
      <c r="G2132">
        <v>54</v>
      </c>
      <c r="H2132">
        <v>28</v>
      </c>
      <c r="I2132">
        <v>18</v>
      </c>
      <c r="J2132">
        <v>100</v>
      </c>
      <c r="K2132" s="482">
        <v>0.54</v>
      </c>
      <c r="L2132" s="482">
        <v>0.28000000000000003</v>
      </c>
      <c r="M2132" s="482">
        <v>0.18</v>
      </c>
    </row>
    <row r="2133" spans="1:13" x14ac:dyDescent="0.2">
      <c r="A2133" t="s">
        <v>2922</v>
      </c>
      <c r="B2133" t="s">
        <v>17</v>
      </c>
      <c r="C2133" t="s">
        <v>87</v>
      </c>
      <c r="D2133" t="s">
        <v>534</v>
      </c>
      <c r="E2133" t="s">
        <v>535</v>
      </c>
      <c r="F2133" t="s">
        <v>52</v>
      </c>
      <c r="G2133">
        <v>15</v>
      </c>
      <c r="H2133">
        <v>8</v>
      </c>
      <c r="I2133">
        <v>4</v>
      </c>
      <c r="J2133">
        <v>27</v>
      </c>
      <c r="K2133" s="482">
        <v>0.55600000000000005</v>
      </c>
      <c r="L2133" s="482">
        <v>0.29599999999999999</v>
      </c>
      <c r="M2133" s="482">
        <v>0.14799999999999999</v>
      </c>
    </row>
    <row r="2134" spans="1:13" x14ac:dyDescent="0.2">
      <c r="A2134" t="s">
        <v>2923</v>
      </c>
      <c r="B2134" t="s">
        <v>17</v>
      </c>
      <c r="C2134" t="s">
        <v>87</v>
      </c>
      <c r="D2134" t="s">
        <v>537</v>
      </c>
      <c r="E2134" t="s">
        <v>538</v>
      </c>
      <c r="F2134" t="s">
        <v>52</v>
      </c>
      <c r="G2134">
        <v>46</v>
      </c>
      <c r="H2134">
        <v>35</v>
      </c>
      <c r="I2134">
        <v>22</v>
      </c>
      <c r="J2134">
        <v>103</v>
      </c>
      <c r="K2134" s="482">
        <v>0.44700000000000001</v>
      </c>
      <c r="L2134" s="482">
        <v>0.34</v>
      </c>
      <c r="M2134" s="482">
        <v>0.214</v>
      </c>
    </row>
    <row r="2135" spans="1:13" x14ac:dyDescent="0.2">
      <c r="A2135" t="s">
        <v>2924</v>
      </c>
      <c r="B2135" t="s">
        <v>17</v>
      </c>
      <c r="C2135" t="s">
        <v>87</v>
      </c>
      <c r="D2135" t="s">
        <v>540</v>
      </c>
      <c r="E2135" t="s">
        <v>541</v>
      </c>
      <c r="F2135" t="s">
        <v>52</v>
      </c>
      <c r="G2135" t="s">
        <v>53</v>
      </c>
      <c r="H2135">
        <v>0</v>
      </c>
      <c r="I2135">
        <v>0</v>
      </c>
      <c r="J2135" t="s">
        <v>53</v>
      </c>
      <c r="K2135" t="s">
        <v>53</v>
      </c>
      <c r="L2135" t="s">
        <v>53</v>
      </c>
      <c r="M2135" t="s">
        <v>53</v>
      </c>
    </row>
    <row r="2136" spans="1:13" x14ac:dyDescent="0.2">
      <c r="A2136" t="s">
        <v>2925</v>
      </c>
      <c r="B2136" t="s">
        <v>17</v>
      </c>
      <c r="C2136" t="s">
        <v>87</v>
      </c>
      <c r="D2136" t="s">
        <v>543</v>
      </c>
      <c r="E2136" t="s">
        <v>544</v>
      </c>
      <c r="F2136" t="s">
        <v>52</v>
      </c>
      <c r="G2136">
        <v>3</v>
      </c>
      <c r="H2136">
        <v>5</v>
      </c>
      <c r="I2136">
        <v>0</v>
      </c>
      <c r="J2136">
        <v>8</v>
      </c>
      <c r="K2136" s="482">
        <v>0.375</v>
      </c>
      <c r="L2136" s="482">
        <v>0.625</v>
      </c>
      <c r="M2136" s="482">
        <v>0</v>
      </c>
    </row>
    <row r="2137" spans="1:13" x14ac:dyDescent="0.2">
      <c r="A2137" t="s">
        <v>2926</v>
      </c>
      <c r="B2137" t="s">
        <v>17</v>
      </c>
      <c r="C2137" t="s">
        <v>87</v>
      </c>
      <c r="D2137" t="s">
        <v>546</v>
      </c>
      <c r="E2137" t="s">
        <v>547</v>
      </c>
      <c r="F2137" t="s">
        <v>52</v>
      </c>
      <c r="G2137">
        <v>12</v>
      </c>
      <c r="H2137">
        <v>8</v>
      </c>
      <c r="I2137">
        <v>2</v>
      </c>
      <c r="J2137">
        <v>22</v>
      </c>
      <c r="K2137" s="482">
        <v>0.54500000000000004</v>
      </c>
      <c r="L2137" s="482">
        <v>0.36399999999999999</v>
      </c>
      <c r="M2137" s="482">
        <v>9.0999999999999998E-2</v>
      </c>
    </row>
    <row r="2138" spans="1:13" x14ac:dyDescent="0.2">
      <c r="A2138" t="s">
        <v>2927</v>
      </c>
      <c r="B2138" t="s">
        <v>17</v>
      </c>
      <c r="C2138" t="s">
        <v>87</v>
      </c>
      <c r="D2138" t="s">
        <v>549</v>
      </c>
      <c r="E2138" t="s">
        <v>550</v>
      </c>
      <c r="F2138" t="s">
        <v>52</v>
      </c>
      <c r="G2138">
        <v>3</v>
      </c>
      <c r="H2138">
        <v>5</v>
      </c>
      <c r="I2138">
        <v>1</v>
      </c>
      <c r="J2138">
        <v>9</v>
      </c>
      <c r="K2138" s="482">
        <v>0.33300000000000002</v>
      </c>
      <c r="L2138" s="482">
        <v>0.55600000000000005</v>
      </c>
      <c r="M2138" s="482">
        <v>0.111</v>
      </c>
    </row>
    <row r="2139" spans="1:13" x14ac:dyDescent="0.2">
      <c r="A2139" t="s">
        <v>2928</v>
      </c>
      <c r="B2139" t="s">
        <v>17</v>
      </c>
      <c r="C2139" t="s">
        <v>87</v>
      </c>
      <c r="D2139" t="s">
        <v>552</v>
      </c>
      <c r="E2139" t="s">
        <v>337</v>
      </c>
      <c r="F2139" t="s">
        <v>52</v>
      </c>
      <c r="G2139">
        <v>23</v>
      </c>
      <c r="H2139">
        <v>14</v>
      </c>
      <c r="I2139">
        <v>7</v>
      </c>
      <c r="J2139">
        <v>44</v>
      </c>
      <c r="K2139" s="482">
        <v>0.52300000000000002</v>
      </c>
      <c r="L2139" s="482">
        <v>0.318</v>
      </c>
      <c r="M2139" s="482">
        <v>0.159</v>
      </c>
    </row>
    <row r="2140" spans="1:13" x14ac:dyDescent="0.2">
      <c r="A2140" t="s">
        <v>2934</v>
      </c>
      <c r="B2140" t="s">
        <v>17</v>
      </c>
      <c r="C2140" t="s">
        <v>87</v>
      </c>
      <c r="D2140" t="s">
        <v>569</v>
      </c>
      <c r="E2140" t="s">
        <v>339</v>
      </c>
      <c r="F2140" t="s">
        <v>52</v>
      </c>
      <c r="G2140">
        <v>0</v>
      </c>
      <c r="H2140" t="s">
        <v>53</v>
      </c>
      <c r="I2140" t="s">
        <v>53</v>
      </c>
      <c r="J2140" t="s">
        <v>53</v>
      </c>
      <c r="K2140" t="s">
        <v>53</v>
      </c>
      <c r="L2140" t="s">
        <v>53</v>
      </c>
      <c r="M2140" t="s">
        <v>53</v>
      </c>
    </row>
    <row r="2141" spans="1:13" x14ac:dyDescent="0.2">
      <c r="A2141" t="s">
        <v>2935</v>
      </c>
      <c r="B2141" t="s">
        <v>17</v>
      </c>
      <c r="C2141" t="s">
        <v>87</v>
      </c>
      <c r="D2141" t="s">
        <v>571</v>
      </c>
      <c r="E2141" t="s">
        <v>572</v>
      </c>
      <c r="F2141" t="s">
        <v>52</v>
      </c>
      <c r="G2141">
        <v>9</v>
      </c>
      <c r="H2141">
        <v>0</v>
      </c>
      <c r="I2141">
        <v>1</v>
      </c>
      <c r="J2141">
        <v>10</v>
      </c>
      <c r="K2141" s="482">
        <v>0.9</v>
      </c>
      <c r="L2141" s="482">
        <v>0</v>
      </c>
      <c r="M2141" s="482">
        <v>0.1</v>
      </c>
    </row>
    <row r="2142" spans="1:13" x14ac:dyDescent="0.2">
      <c r="A2142" t="s">
        <v>2936</v>
      </c>
      <c r="B2142" t="s">
        <v>17</v>
      </c>
      <c r="C2142" t="s">
        <v>87</v>
      </c>
      <c r="D2142" t="s">
        <v>574</v>
      </c>
      <c r="E2142" t="s">
        <v>575</v>
      </c>
      <c r="F2142" t="s">
        <v>52</v>
      </c>
      <c r="G2142">
        <v>9</v>
      </c>
      <c r="H2142">
        <v>2</v>
      </c>
      <c r="I2142">
        <v>10</v>
      </c>
      <c r="J2142">
        <v>21</v>
      </c>
      <c r="K2142" s="482">
        <v>0.42899999999999999</v>
      </c>
      <c r="L2142" s="482">
        <v>9.5000000000000001E-2</v>
      </c>
      <c r="M2142" s="482">
        <v>0.47599999999999998</v>
      </c>
    </row>
    <row r="2143" spans="1:13" x14ac:dyDescent="0.2">
      <c r="A2143" t="s">
        <v>2937</v>
      </c>
      <c r="B2143" t="s">
        <v>17</v>
      </c>
      <c r="C2143" t="s">
        <v>87</v>
      </c>
      <c r="D2143" t="s">
        <v>577</v>
      </c>
      <c r="E2143" t="s">
        <v>578</v>
      </c>
      <c r="F2143" t="s">
        <v>52</v>
      </c>
      <c r="G2143">
        <v>4</v>
      </c>
      <c r="H2143">
        <v>5</v>
      </c>
      <c r="I2143">
        <v>3</v>
      </c>
      <c r="J2143">
        <v>12</v>
      </c>
      <c r="K2143" s="482">
        <v>0.33300000000000002</v>
      </c>
      <c r="L2143" s="482">
        <v>0.41699999999999998</v>
      </c>
      <c r="M2143" s="482">
        <v>0.25</v>
      </c>
    </row>
    <row r="2144" spans="1:13" x14ac:dyDescent="0.2">
      <c r="A2144" t="s">
        <v>2938</v>
      </c>
      <c r="B2144" t="s">
        <v>17</v>
      </c>
      <c r="C2144" t="s">
        <v>87</v>
      </c>
      <c r="D2144" t="s">
        <v>580</v>
      </c>
      <c r="E2144" t="s">
        <v>581</v>
      </c>
      <c r="F2144" t="s">
        <v>52</v>
      </c>
      <c r="G2144">
        <v>16</v>
      </c>
      <c r="H2144">
        <v>11</v>
      </c>
      <c r="I2144">
        <v>12</v>
      </c>
      <c r="J2144">
        <v>39</v>
      </c>
      <c r="K2144" s="482">
        <v>0.41</v>
      </c>
      <c r="L2144" s="482">
        <v>0.28199999999999997</v>
      </c>
      <c r="M2144" s="482">
        <v>0.308</v>
      </c>
    </row>
    <row r="2145" spans="1:13" x14ac:dyDescent="0.2">
      <c r="A2145" t="s">
        <v>2939</v>
      </c>
      <c r="B2145" t="s">
        <v>17</v>
      </c>
      <c r="C2145" t="s">
        <v>87</v>
      </c>
      <c r="D2145" t="s">
        <v>583</v>
      </c>
      <c r="E2145" t="s">
        <v>584</v>
      </c>
      <c r="F2145" t="s">
        <v>52</v>
      </c>
      <c r="G2145">
        <v>4</v>
      </c>
      <c r="H2145">
        <v>2</v>
      </c>
      <c r="I2145">
        <v>2</v>
      </c>
      <c r="J2145">
        <v>8</v>
      </c>
      <c r="K2145" s="482">
        <v>0.5</v>
      </c>
      <c r="L2145" s="482">
        <v>0.25</v>
      </c>
      <c r="M2145" s="482">
        <v>0.25</v>
      </c>
    </row>
    <row r="2146" spans="1:13" x14ac:dyDescent="0.2">
      <c r="A2146" t="s">
        <v>2933</v>
      </c>
      <c r="B2146" t="s">
        <v>17</v>
      </c>
      <c r="C2146" t="s">
        <v>87</v>
      </c>
      <c r="D2146" t="s">
        <v>566</v>
      </c>
      <c r="E2146" t="s">
        <v>567</v>
      </c>
      <c r="F2146" t="s">
        <v>52</v>
      </c>
      <c r="G2146">
        <v>26</v>
      </c>
      <c r="H2146">
        <v>15</v>
      </c>
      <c r="I2146">
        <v>5</v>
      </c>
      <c r="J2146">
        <v>46</v>
      </c>
      <c r="K2146" s="482">
        <v>0.56499999999999995</v>
      </c>
      <c r="L2146" s="482">
        <v>0.32600000000000001</v>
      </c>
      <c r="M2146" s="482">
        <v>0.109</v>
      </c>
    </row>
    <row r="2147" spans="1:13" x14ac:dyDescent="0.2">
      <c r="A2147" t="s">
        <v>2940</v>
      </c>
      <c r="B2147" t="s">
        <v>17</v>
      </c>
      <c r="C2147" t="s">
        <v>87</v>
      </c>
      <c r="D2147" t="s">
        <v>586</v>
      </c>
      <c r="E2147" t="s">
        <v>587</v>
      </c>
      <c r="F2147" t="s">
        <v>52</v>
      </c>
      <c r="G2147">
        <v>4</v>
      </c>
      <c r="H2147">
        <v>3</v>
      </c>
      <c r="I2147">
        <v>1</v>
      </c>
      <c r="J2147">
        <v>8</v>
      </c>
      <c r="K2147" s="482">
        <v>0.5</v>
      </c>
      <c r="L2147" s="482">
        <v>0.375</v>
      </c>
      <c r="M2147" s="482">
        <v>0.125</v>
      </c>
    </row>
    <row r="2148" spans="1:13" x14ac:dyDescent="0.2">
      <c r="A2148" t="s">
        <v>2929</v>
      </c>
      <c r="B2148" t="s">
        <v>17</v>
      </c>
      <c r="C2148" t="s">
        <v>87</v>
      </c>
      <c r="D2148" t="s">
        <v>554</v>
      </c>
      <c r="E2148" t="s">
        <v>555</v>
      </c>
      <c r="F2148" t="s">
        <v>52</v>
      </c>
      <c r="G2148">
        <v>8</v>
      </c>
      <c r="H2148">
        <v>3</v>
      </c>
      <c r="I2148">
        <v>2</v>
      </c>
      <c r="J2148">
        <v>13</v>
      </c>
      <c r="K2148" s="482">
        <v>0.61499999999999999</v>
      </c>
      <c r="L2148" s="482">
        <v>0.23100000000000001</v>
      </c>
      <c r="M2148" s="482">
        <v>0.154</v>
      </c>
    </row>
    <row r="2149" spans="1:13" x14ac:dyDescent="0.2">
      <c r="A2149" t="s">
        <v>2930</v>
      </c>
      <c r="B2149" t="s">
        <v>17</v>
      </c>
      <c r="C2149" t="s">
        <v>87</v>
      </c>
      <c r="D2149" t="s">
        <v>557</v>
      </c>
      <c r="E2149" t="s">
        <v>558</v>
      </c>
      <c r="F2149" t="s">
        <v>52</v>
      </c>
      <c r="G2149">
        <v>16</v>
      </c>
      <c r="H2149">
        <v>12</v>
      </c>
      <c r="I2149">
        <v>10</v>
      </c>
      <c r="J2149">
        <v>38</v>
      </c>
      <c r="K2149" s="482">
        <v>0.42099999999999999</v>
      </c>
      <c r="L2149" s="482">
        <v>0.316</v>
      </c>
      <c r="M2149" s="482">
        <v>0.26300000000000001</v>
      </c>
    </row>
    <row r="2150" spans="1:13" x14ac:dyDescent="0.2">
      <c r="A2150" t="s">
        <v>2891</v>
      </c>
      <c r="B2150" t="s">
        <v>17</v>
      </c>
      <c r="C2150" t="s">
        <v>87</v>
      </c>
      <c r="D2150" t="s">
        <v>560</v>
      </c>
      <c r="E2150" t="s">
        <v>561</v>
      </c>
      <c r="F2150" t="s">
        <v>52</v>
      </c>
      <c r="G2150">
        <v>15</v>
      </c>
      <c r="H2150">
        <v>9</v>
      </c>
      <c r="I2150">
        <v>3</v>
      </c>
      <c r="J2150">
        <v>27</v>
      </c>
      <c r="K2150" s="482">
        <v>0.55600000000000005</v>
      </c>
      <c r="L2150" s="482">
        <v>0.33300000000000002</v>
      </c>
      <c r="M2150" s="482">
        <v>0.111</v>
      </c>
    </row>
    <row r="2151" spans="1:13" x14ac:dyDescent="0.2">
      <c r="A2151" t="s">
        <v>2879</v>
      </c>
      <c r="B2151" t="s">
        <v>17</v>
      </c>
      <c r="C2151" t="s">
        <v>87</v>
      </c>
      <c r="D2151" t="s">
        <v>408</v>
      </c>
      <c r="E2151" t="s">
        <v>409</v>
      </c>
      <c r="F2151" t="s">
        <v>52</v>
      </c>
      <c r="G2151">
        <v>8</v>
      </c>
      <c r="H2151">
        <v>4</v>
      </c>
      <c r="I2151">
        <v>2</v>
      </c>
      <c r="J2151">
        <v>14</v>
      </c>
      <c r="K2151" s="482">
        <v>0.57099999999999995</v>
      </c>
      <c r="L2151" s="482">
        <v>0.28599999999999998</v>
      </c>
      <c r="M2151" s="482">
        <v>0.14299999999999999</v>
      </c>
    </row>
    <row r="2152" spans="1:13" x14ac:dyDescent="0.2">
      <c r="A2152" t="s">
        <v>2877</v>
      </c>
      <c r="B2152" t="s">
        <v>17</v>
      </c>
      <c r="C2152" t="s">
        <v>87</v>
      </c>
      <c r="D2152" t="s">
        <v>396</v>
      </c>
      <c r="E2152" t="s">
        <v>397</v>
      </c>
      <c r="F2152" t="s">
        <v>52</v>
      </c>
      <c r="G2152">
        <v>50</v>
      </c>
      <c r="H2152">
        <v>22</v>
      </c>
      <c r="I2152">
        <v>11</v>
      </c>
      <c r="J2152">
        <v>83</v>
      </c>
      <c r="K2152" s="482">
        <v>0.60199999999999998</v>
      </c>
      <c r="L2152" s="482">
        <v>0.26500000000000001</v>
      </c>
      <c r="M2152" s="482">
        <v>0.13300000000000001</v>
      </c>
    </row>
    <row r="2153" spans="1:13" x14ac:dyDescent="0.2">
      <c r="A2153" t="s">
        <v>2991</v>
      </c>
      <c r="B2153" t="s">
        <v>17</v>
      </c>
      <c r="C2153" t="s">
        <v>87</v>
      </c>
      <c r="D2153" t="s">
        <v>752</v>
      </c>
      <c r="E2153" t="s">
        <v>753</v>
      </c>
      <c r="F2153" t="s">
        <v>52</v>
      </c>
      <c r="G2153">
        <v>9</v>
      </c>
      <c r="H2153">
        <v>5</v>
      </c>
      <c r="I2153">
        <v>2</v>
      </c>
      <c r="J2153">
        <v>16</v>
      </c>
      <c r="K2153" s="482">
        <v>0.56299999999999994</v>
      </c>
      <c r="L2153" s="482">
        <v>0.313</v>
      </c>
      <c r="M2153" s="482">
        <v>0.125</v>
      </c>
    </row>
    <row r="2154" spans="1:13" x14ac:dyDescent="0.2">
      <c r="A2154" t="s">
        <v>2992</v>
      </c>
      <c r="B2154" t="s">
        <v>17</v>
      </c>
      <c r="C2154" t="s">
        <v>87</v>
      </c>
      <c r="D2154" t="s">
        <v>755</v>
      </c>
      <c r="E2154" t="s">
        <v>756</v>
      </c>
      <c r="F2154" t="s">
        <v>52</v>
      </c>
      <c r="G2154" t="s">
        <v>53</v>
      </c>
      <c r="H2154">
        <v>0</v>
      </c>
      <c r="I2154" t="s">
        <v>53</v>
      </c>
      <c r="J2154" t="s">
        <v>53</v>
      </c>
      <c r="K2154" t="s">
        <v>53</v>
      </c>
      <c r="L2154" t="s">
        <v>53</v>
      </c>
      <c r="M2154" t="s">
        <v>53</v>
      </c>
    </row>
    <row r="2155" spans="1:13" x14ac:dyDescent="0.2">
      <c r="A2155" t="s">
        <v>2993</v>
      </c>
      <c r="B2155" t="s">
        <v>17</v>
      </c>
      <c r="C2155" t="s">
        <v>87</v>
      </c>
      <c r="D2155" t="s">
        <v>758</v>
      </c>
      <c r="E2155" t="s">
        <v>759</v>
      </c>
      <c r="F2155" t="s">
        <v>52</v>
      </c>
      <c r="G2155">
        <v>33</v>
      </c>
      <c r="H2155">
        <v>17</v>
      </c>
      <c r="I2155">
        <v>6</v>
      </c>
      <c r="J2155">
        <v>56</v>
      </c>
      <c r="K2155" s="482">
        <v>0.58899999999999997</v>
      </c>
      <c r="L2155" s="482">
        <v>0.30399999999999999</v>
      </c>
      <c r="M2155" s="482">
        <v>0.107</v>
      </c>
    </row>
    <row r="2156" spans="1:13" x14ac:dyDescent="0.2">
      <c r="A2156" t="s">
        <v>2994</v>
      </c>
      <c r="B2156" t="s">
        <v>17</v>
      </c>
      <c r="C2156" t="s">
        <v>87</v>
      </c>
      <c r="D2156" t="s">
        <v>761</v>
      </c>
      <c r="E2156" t="s">
        <v>762</v>
      </c>
      <c r="F2156" t="s">
        <v>52</v>
      </c>
      <c r="G2156">
        <v>5</v>
      </c>
      <c r="H2156">
        <v>2</v>
      </c>
      <c r="I2156">
        <v>0</v>
      </c>
      <c r="J2156">
        <v>7</v>
      </c>
      <c r="K2156" s="482">
        <v>0.71399999999999997</v>
      </c>
      <c r="L2156" s="482">
        <v>0.28599999999999998</v>
      </c>
      <c r="M2156" s="482">
        <v>0</v>
      </c>
    </row>
    <row r="2157" spans="1:13" x14ac:dyDescent="0.2">
      <c r="A2157" t="s">
        <v>2995</v>
      </c>
      <c r="B2157" t="s">
        <v>17</v>
      </c>
      <c r="C2157" t="s">
        <v>87</v>
      </c>
      <c r="D2157" t="s">
        <v>764</v>
      </c>
      <c r="E2157" t="s">
        <v>765</v>
      </c>
      <c r="F2157" t="s">
        <v>52</v>
      </c>
      <c r="G2157" t="s">
        <v>53</v>
      </c>
      <c r="H2157" t="s">
        <v>53</v>
      </c>
      <c r="I2157" t="s">
        <v>53</v>
      </c>
      <c r="J2157" t="s">
        <v>53</v>
      </c>
      <c r="K2157" t="s">
        <v>53</v>
      </c>
      <c r="L2157" t="s">
        <v>53</v>
      </c>
      <c r="M2157" t="s">
        <v>53</v>
      </c>
    </row>
    <row r="2158" spans="1:13" x14ac:dyDescent="0.2">
      <c r="A2158" t="s">
        <v>2996</v>
      </c>
      <c r="B2158" t="s">
        <v>17</v>
      </c>
      <c r="C2158" t="s">
        <v>87</v>
      </c>
      <c r="D2158" t="s">
        <v>767</v>
      </c>
      <c r="E2158" t="s">
        <v>768</v>
      </c>
      <c r="F2158" t="s">
        <v>52</v>
      </c>
      <c r="G2158">
        <v>7</v>
      </c>
      <c r="H2158">
        <v>4</v>
      </c>
      <c r="I2158">
        <v>2</v>
      </c>
      <c r="J2158">
        <v>13</v>
      </c>
      <c r="K2158" s="482">
        <v>0.53800000000000003</v>
      </c>
      <c r="L2158" s="482">
        <v>0.308</v>
      </c>
      <c r="M2158" s="482">
        <v>0.154</v>
      </c>
    </row>
    <row r="2159" spans="1:13" x14ac:dyDescent="0.2">
      <c r="A2159" t="s">
        <v>3022</v>
      </c>
      <c r="B2159" t="s">
        <v>17</v>
      </c>
      <c r="C2159" t="s">
        <v>87</v>
      </c>
      <c r="D2159" t="s">
        <v>854</v>
      </c>
      <c r="E2159" t="s">
        <v>855</v>
      </c>
      <c r="F2159" t="s">
        <v>52</v>
      </c>
      <c r="G2159">
        <v>27</v>
      </c>
      <c r="H2159">
        <v>15</v>
      </c>
      <c r="I2159">
        <v>12</v>
      </c>
      <c r="J2159">
        <v>54</v>
      </c>
      <c r="K2159" s="482">
        <v>0.5</v>
      </c>
      <c r="L2159" s="482">
        <v>0.27800000000000002</v>
      </c>
      <c r="M2159" s="482">
        <v>0.222</v>
      </c>
    </row>
    <row r="2160" spans="1:13" x14ac:dyDescent="0.2">
      <c r="A2160" t="s">
        <v>3023</v>
      </c>
      <c r="B2160" t="s">
        <v>17</v>
      </c>
      <c r="C2160" t="s">
        <v>87</v>
      </c>
      <c r="D2160" t="s">
        <v>857</v>
      </c>
      <c r="E2160" t="s">
        <v>858</v>
      </c>
      <c r="F2160" t="s">
        <v>52</v>
      </c>
      <c r="G2160">
        <v>58</v>
      </c>
      <c r="H2160">
        <v>34</v>
      </c>
      <c r="I2160">
        <v>15</v>
      </c>
      <c r="J2160">
        <v>107</v>
      </c>
      <c r="K2160" s="482">
        <v>0.54200000000000004</v>
      </c>
      <c r="L2160" s="482">
        <v>0.318</v>
      </c>
      <c r="M2160" s="482">
        <v>0.14000000000000001</v>
      </c>
    </row>
    <row r="2161" spans="1:13" x14ac:dyDescent="0.2">
      <c r="A2161" t="s">
        <v>3024</v>
      </c>
      <c r="B2161" t="s">
        <v>17</v>
      </c>
      <c r="C2161" t="s">
        <v>87</v>
      </c>
      <c r="D2161" t="s">
        <v>860</v>
      </c>
      <c r="E2161" t="s">
        <v>861</v>
      </c>
      <c r="F2161" t="s">
        <v>52</v>
      </c>
      <c r="G2161">
        <v>21</v>
      </c>
      <c r="H2161">
        <v>9</v>
      </c>
      <c r="I2161">
        <v>6</v>
      </c>
      <c r="J2161">
        <v>36</v>
      </c>
      <c r="K2161" s="482">
        <v>0.58299999999999996</v>
      </c>
      <c r="L2161" s="482">
        <v>0.25</v>
      </c>
      <c r="M2161" s="482">
        <v>0.16700000000000001</v>
      </c>
    </row>
    <row r="2162" spans="1:13" x14ac:dyDescent="0.2">
      <c r="A2162" t="s">
        <v>3025</v>
      </c>
      <c r="B2162" t="s">
        <v>17</v>
      </c>
      <c r="C2162" t="s">
        <v>87</v>
      </c>
      <c r="D2162" t="s">
        <v>863</v>
      </c>
      <c r="E2162" t="s">
        <v>864</v>
      </c>
      <c r="F2162" t="s">
        <v>52</v>
      </c>
      <c r="G2162">
        <v>9</v>
      </c>
      <c r="H2162">
        <v>10</v>
      </c>
      <c r="I2162">
        <v>5</v>
      </c>
      <c r="J2162">
        <v>24</v>
      </c>
      <c r="K2162" s="482">
        <v>0.375</v>
      </c>
      <c r="L2162" s="482">
        <v>0.41699999999999998</v>
      </c>
      <c r="M2162" s="482">
        <v>0.20799999999999999</v>
      </c>
    </row>
    <row r="2163" spans="1:13" x14ac:dyDescent="0.2">
      <c r="A2163" t="s">
        <v>3026</v>
      </c>
      <c r="B2163" t="s">
        <v>17</v>
      </c>
      <c r="C2163" t="s">
        <v>87</v>
      </c>
      <c r="D2163" t="s">
        <v>866</v>
      </c>
      <c r="E2163" t="s">
        <v>867</v>
      </c>
      <c r="F2163" t="s">
        <v>52</v>
      </c>
      <c r="G2163">
        <v>21</v>
      </c>
      <c r="H2163">
        <v>8</v>
      </c>
      <c r="I2163">
        <v>4</v>
      </c>
      <c r="J2163">
        <v>33</v>
      </c>
      <c r="K2163" s="482">
        <v>0.63600000000000001</v>
      </c>
      <c r="L2163" s="482">
        <v>0.24199999999999999</v>
      </c>
      <c r="M2163" s="482">
        <v>0.121</v>
      </c>
    </row>
    <row r="2164" spans="1:13" x14ac:dyDescent="0.2">
      <c r="A2164" t="s">
        <v>3027</v>
      </c>
      <c r="B2164" t="s">
        <v>17</v>
      </c>
      <c r="C2164" t="s">
        <v>87</v>
      </c>
      <c r="D2164" t="s">
        <v>869</v>
      </c>
      <c r="E2164" t="s">
        <v>870</v>
      </c>
      <c r="F2164" t="s">
        <v>52</v>
      </c>
      <c r="G2164">
        <v>52</v>
      </c>
      <c r="H2164">
        <v>32</v>
      </c>
      <c r="I2164">
        <v>16</v>
      </c>
      <c r="J2164">
        <v>100</v>
      </c>
      <c r="K2164" s="482">
        <v>0.52</v>
      </c>
      <c r="L2164" s="482">
        <v>0.32</v>
      </c>
      <c r="M2164" s="482">
        <v>0.16</v>
      </c>
    </row>
    <row r="2165" spans="1:13" x14ac:dyDescent="0.2">
      <c r="A2165" t="s">
        <v>3028</v>
      </c>
      <c r="B2165" t="s">
        <v>17</v>
      </c>
      <c r="C2165" t="s">
        <v>87</v>
      </c>
      <c r="D2165" t="s">
        <v>872</v>
      </c>
      <c r="E2165" t="s">
        <v>873</v>
      </c>
      <c r="F2165" t="s">
        <v>52</v>
      </c>
      <c r="G2165">
        <v>12</v>
      </c>
      <c r="H2165">
        <v>5</v>
      </c>
      <c r="I2165">
        <v>3</v>
      </c>
      <c r="J2165">
        <v>20</v>
      </c>
      <c r="K2165" s="482">
        <v>0.6</v>
      </c>
      <c r="L2165" s="482">
        <v>0.25</v>
      </c>
      <c r="M2165" s="482">
        <v>0.15</v>
      </c>
    </row>
    <row r="2166" spans="1:13" x14ac:dyDescent="0.2">
      <c r="A2166" t="s">
        <v>3029</v>
      </c>
      <c r="B2166" t="s">
        <v>17</v>
      </c>
      <c r="C2166" t="s">
        <v>87</v>
      </c>
      <c r="D2166" t="s">
        <v>875</v>
      </c>
      <c r="E2166" t="s">
        <v>876</v>
      </c>
      <c r="F2166" t="s">
        <v>52</v>
      </c>
      <c r="G2166">
        <v>40</v>
      </c>
      <c r="H2166">
        <v>16</v>
      </c>
      <c r="I2166">
        <v>4</v>
      </c>
      <c r="J2166">
        <v>60</v>
      </c>
      <c r="K2166" s="482">
        <v>0.66700000000000004</v>
      </c>
      <c r="L2166" s="482">
        <v>0.26700000000000002</v>
      </c>
      <c r="M2166" s="482">
        <v>6.7000000000000004E-2</v>
      </c>
    </row>
    <row r="2167" spans="1:13" x14ac:dyDescent="0.2">
      <c r="A2167" t="s">
        <v>3030</v>
      </c>
      <c r="B2167" t="s">
        <v>17</v>
      </c>
      <c r="C2167" t="s">
        <v>87</v>
      </c>
      <c r="D2167" t="s">
        <v>878</v>
      </c>
      <c r="E2167" t="s">
        <v>879</v>
      </c>
      <c r="F2167" t="s">
        <v>52</v>
      </c>
      <c r="G2167">
        <v>4</v>
      </c>
      <c r="H2167">
        <v>4</v>
      </c>
      <c r="I2167">
        <v>1</v>
      </c>
      <c r="J2167">
        <v>9</v>
      </c>
      <c r="K2167" s="482">
        <v>0.44400000000000001</v>
      </c>
      <c r="L2167" s="482">
        <v>0.44400000000000001</v>
      </c>
      <c r="M2167" s="482">
        <v>0.111</v>
      </c>
    </row>
    <row r="2168" spans="1:13" x14ac:dyDescent="0.2">
      <c r="A2168" t="s">
        <v>3031</v>
      </c>
      <c r="B2168" t="s">
        <v>17</v>
      </c>
      <c r="C2168" t="s">
        <v>87</v>
      </c>
      <c r="D2168" t="s">
        <v>881</v>
      </c>
      <c r="E2168" t="s">
        <v>882</v>
      </c>
      <c r="F2168" t="s">
        <v>52</v>
      </c>
      <c r="G2168">
        <v>11</v>
      </c>
      <c r="H2168">
        <v>8</v>
      </c>
      <c r="I2168">
        <v>3</v>
      </c>
      <c r="J2168">
        <v>22</v>
      </c>
      <c r="K2168" s="482">
        <v>0.5</v>
      </c>
      <c r="L2168" s="482">
        <v>0.36399999999999999</v>
      </c>
      <c r="M2168" s="482">
        <v>0.13600000000000001</v>
      </c>
    </row>
    <row r="2169" spans="1:13" x14ac:dyDescent="0.2">
      <c r="A2169" t="s">
        <v>3032</v>
      </c>
      <c r="B2169" t="s">
        <v>17</v>
      </c>
      <c r="C2169" t="s">
        <v>87</v>
      </c>
      <c r="D2169" t="s">
        <v>884</v>
      </c>
      <c r="E2169" t="s">
        <v>885</v>
      </c>
      <c r="F2169" t="s">
        <v>52</v>
      </c>
      <c r="G2169">
        <v>8</v>
      </c>
      <c r="H2169">
        <v>3</v>
      </c>
      <c r="I2169">
        <v>1</v>
      </c>
      <c r="J2169">
        <v>12</v>
      </c>
      <c r="K2169" s="482">
        <v>0.66700000000000004</v>
      </c>
      <c r="L2169" s="482">
        <v>0.25</v>
      </c>
      <c r="M2169" s="482">
        <v>8.3000000000000004E-2</v>
      </c>
    </row>
    <row r="2170" spans="1:13" x14ac:dyDescent="0.2">
      <c r="A2170" t="s">
        <v>3033</v>
      </c>
      <c r="B2170" t="s">
        <v>17</v>
      </c>
      <c r="C2170" t="s">
        <v>87</v>
      </c>
      <c r="D2170" t="s">
        <v>887</v>
      </c>
      <c r="E2170" t="s">
        <v>888</v>
      </c>
      <c r="F2170" t="s">
        <v>52</v>
      </c>
      <c r="G2170">
        <v>23</v>
      </c>
      <c r="H2170">
        <v>9</v>
      </c>
      <c r="I2170">
        <v>3</v>
      </c>
      <c r="J2170">
        <v>35</v>
      </c>
      <c r="K2170" s="482">
        <v>0.65700000000000003</v>
      </c>
      <c r="L2170" s="482">
        <v>0.25700000000000001</v>
      </c>
      <c r="M2170" s="482">
        <v>8.5999999999999993E-2</v>
      </c>
    </row>
    <row r="2171" spans="1:13" x14ac:dyDescent="0.2">
      <c r="A2171" t="s">
        <v>3034</v>
      </c>
      <c r="B2171" t="s">
        <v>17</v>
      </c>
      <c r="C2171" t="s">
        <v>87</v>
      </c>
      <c r="D2171" t="s">
        <v>890</v>
      </c>
      <c r="E2171" t="s">
        <v>891</v>
      </c>
      <c r="F2171" t="s">
        <v>52</v>
      </c>
      <c r="G2171">
        <v>6</v>
      </c>
      <c r="H2171">
        <v>5</v>
      </c>
      <c r="I2171">
        <v>1</v>
      </c>
      <c r="J2171">
        <v>12</v>
      </c>
      <c r="K2171" s="482">
        <v>0.5</v>
      </c>
      <c r="L2171" s="482">
        <v>0.41699999999999998</v>
      </c>
      <c r="M2171" s="482">
        <v>8.3000000000000004E-2</v>
      </c>
    </row>
    <row r="2172" spans="1:13" x14ac:dyDescent="0.2">
      <c r="A2172" t="s">
        <v>3035</v>
      </c>
      <c r="B2172" t="s">
        <v>17</v>
      </c>
      <c r="C2172" t="s">
        <v>87</v>
      </c>
      <c r="D2172" t="s">
        <v>893</v>
      </c>
      <c r="E2172" t="s">
        <v>894</v>
      </c>
      <c r="F2172" t="s">
        <v>52</v>
      </c>
      <c r="G2172">
        <v>6</v>
      </c>
      <c r="H2172">
        <v>4</v>
      </c>
      <c r="I2172">
        <v>4</v>
      </c>
      <c r="J2172">
        <v>14</v>
      </c>
      <c r="K2172" s="482">
        <v>0.42899999999999999</v>
      </c>
      <c r="L2172" s="482">
        <v>0.28599999999999998</v>
      </c>
      <c r="M2172" s="482">
        <v>0.28599999999999998</v>
      </c>
    </row>
    <row r="2173" spans="1:13" x14ac:dyDescent="0.2">
      <c r="A2173" t="s">
        <v>3036</v>
      </c>
      <c r="B2173" t="s">
        <v>17</v>
      </c>
      <c r="C2173" t="s">
        <v>87</v>
      </c>
      <c r="D2173" t="s">
        <v>896</v>
      </c>
      <c r="E2173" t="s">
        <v>897</v>
      </c>
      <c r="F2173" t="s">
        <v>52</v>
      </c>
      <c r="G2173" t="s">
        <v>53</v>
      </c>
      <c r="H2173">
        <v>0</v>
      </c>
      <c r="I2173" t="s">
        <v>53</v>
      </c>
      <c r="J2173" t="s">
        <v>53</v>
      </c>
      <c r="K2173" t="s">
        <v>53</v>
      </c>
      <c r="L2173" t="s">
        <v>53</v>
      </c>
      <c r="M2173" t="s">
        <v>53</v>
      </c>
    </row>
    <row r="2174" spans="1:13" x14ac:dyDescent="0.2">
      <c r="A2174" t="s">
        <v>3037</v>
      </c>
      <c r="B2174" t="s">
        <v>17</v>
      </c>
      <c r="C2174" t="s">
        <v>87</v>
      </c>
      <c r="D2174" t="s">
        <v>899</v>
      </c>
      <c r="E2174" t="s">
        <v>900</v>
      </c>
      <c r="F2174" t="s">
        <v>52</v>
      </c>
      <c r="G2174">
        <v>4</v>
      </c>
      <c r="H2174">
        <v>5</v>
      </c>
      <c r="I2174">
        <v>0</v>
      </c>
      <c r="J2174">
        <v>9</v>
      </c>
      <c r="K2174" s="482">
        <v>0.44400000000000001</v>
      </c>
      <c r="L2174" s="482">
        <v>0.55600000000000005</v>
      </c>
      <c r="M2174" s="482">
        <v>0</v>
      </c>
    </row>
    <row r="2175" spans="1:13" x14ac:dyDescent="0.2">
      <c r="A2175" t="s">
        <v>3038</v>
      </c>
      <c r="B2175" t="s">
        <v>17</v>
      </c>
      <c r="C2175" t="s">
        <v>87</v>
      </c>
      <c r="D2175" t="s">
        <v>902</v>
      </c>
      <c r="E2175" t="s">
        <v>903</v>
      </c>
      <c r="F2175" t="s">
        <v>52</v>
      </c>
      <c r="G2175">
        <v>42</v>
      </c>
      <c r="H2175">
        <v>33</v>
      </c>
      <c r="I2175">
        <v>3</v>
      </c>
      <c r="J2175">
        <v>78</v>
      </c>
      <c r="K2175" s="482">
        <v>0.53800000000000003</v>
      </c>
      <c r="L2175" s="482">
        <v>0.42299999999999999</v>
      </c>
      <c r="M2175" s="482">
        <v>3.7999999999999999E-2</v>
      </c>
    </row>
    <row r="2176" spans="1:13" x14ac:dyDescent="0.2">
      <c r="A2176" t="s">
        <v>3049</v>
      </c>
      <c r="B2176" t="s">
        <v>17</v>
      </c>
      <c r="C2176" t="s">
        <v>87</v>
      </c>
      <c r="D2176" t="s">
        <v>935</v>
      </c>
      <c r="E2176" t="s">
        <v>936</v>
      </c>
      <c r="F2176" t="s">
        <v>52</v>
      </c>
      <c r="G2176" t="s">
        <v>53</v>
      </c>
      <c r="H2176">
        <v>0</v>
      </c>
      <c r="I2176">
        <v>0</v>
      </c>
      <c r="J2176" t="s">
        <v>53</v>
      </c>
      <c r="K2176" t="s">
        <v>53</v>
      </c>
      <c r="L2176" t="s">
        <v>53</v>
      </c>
      <c r="M2176" t="s">
        <v>53</v>
      </c>
    </row>
    <row r="2177" spans="1:13" x14ac:dyDescent="0.2">
      <c r="A2177" t="s">
        <v>3050</v>
      </c>
      <c r="B2177" t="s">
        <v>17</v>
      </c>
      <c r="C2177" t="s">
        <v>87</v>
      </c>
      <c r="D2177" t="s">
        <v>938</v>
      </c>
      <c r="E2177" t="s">
        <v>939</v>
      </c>
      <c r="F2177" t="s">
        <v>52</v>
      </c>
      <c r="G2177">
        <v>3</v>
      </c>
      <c r="H2177">
        <v>5</v>
      </c>
      <c r="I2177">
        <v>3</v>
      </c>
      <c r="J2177">
        <v>11</v>
      </c>
      <c r="K2177" s="482">
        <v>0.27300000000000002</v>
      </c>
      <c r="L2177" s="482">
        <v>0.45500000000000002</v>
      </c>
      <c r="M2177" s="482">
        <v>0.27300000000000002</v>
      </c>
    </row>
    <row r="2178" spans="1:13" x14ac:dyDescent="0.2">
      <c r="A2178" t="s">
        <v>3051</v>
      </c>
      <c r="B2178" t="s">
        <v>17</v>
      </c>
      <c r="C2178" t="s">
        <v>87</v>
      </c>
      <c r="D2178" t="s">
        <v>941</v>
      </c>
      <c r="E2178" t="s">
        <v>942</v>
      </c>
      <c r="F2178" t="s">
        <v>52</v>
      </c>
      <c r="G2178">
        <v>14</v>
      </c>
      <c r="H2178">
        <v>7</v>
      </c>
      <c r="I2178">
        <v>3</v>
      </c>
      <c r="J2178">
        <v>24</v>
      </c>
      <c r="K2178" s="482">
        <v>0.58299999999999996</v>
      </c>
      <c r="L2178" s="482">
        <v>0.29199999999999998</v>
      </c>
      <c r="M2178" s="482">
        <v>0.125</v>
      </c>
    </row>
    <row r="2179" spans="1:13" x14ac:dyDescent="0.2">
      <c r="A2179" t="s">
        <v>3072</v>
      </c>
      <c r="B2179" t="s">
        <v>17</v>
      </c>
      <c r="C2179" t="s">
        <v>87</v>
      </c>
      <c r="D2179" t="s">
        <v>1016</v>
      </c>
      <c r="E2179" t="s">
        <v>1017</v>
      </c>
      <c r="F2179" t="s">
        <v>52</v>
      </c>
      <c r="G2179">
        <v>45</v>
      </c>
      <c r="H2179">
        <v>37</v>
      </c>
      <c r="I2179">
        <v>24</v>
      </c>
      <c r="J2179">
        <v>106</v>
      </c>
      <c r="K2179" s="482">
        <v>0.42499999999999999</v>
      </c>
      <c r="L2179" s="482">
        <v>0.34899999999999998</v>
      </c>
      <c r="M2179" s="482">
        <v>0.22600000000000001</v>
      </c>
    </row>
    <row r="2180" spans="1:13" x14ac:dyDescent="0.2">
      <c r="A2180" t="s">
        <v>3015</v>
      </c>
      <c r="B2180" t="s">
        <v>17</v>
      </c>
      <c r="C2180" t="s">
        <v>87</v>
      </c>
      <c r="D2180" t="s">
        <v>827</v>
      </c>
      <c r="E2180" t="s">
        <v>828</v>
      </c>
      <c r="F2180" t="s">
        <v>52</v>
      </c>
      <c r="G2180">
        <v>44</v>
      </c>
      <c r="H2180">
        <v>20</v>
      </c>
      <c r="I2180">
        <v>13</v>
      </c>
      <c r="J2180">
        <v>77</v>
      </c>
      <c r="K2180" s="482">
        <v>0.57099999999999995</v>
      </c>
      <c r="L2180" s="482">
        <v>0.26</v>
      </c>
      <c r="M2180" s="482">
        <v>0.16900000000000001</v>
      </c>
    </row>
    <row r="2181" spans="1:13" x14ac:dyDescent="0.2">
      <c r="A2181" t="s">
        <v>3016</v>
      </c>
      <c r="B2181" t="s">
        <v>17</v>
      </c>
      <c r="C2181" t="s">
        <v>87</v>
      </c>
      <c r="D2181" t="s">
        <v>830</v>
      </c>
      <c r="E2181" t="s">
        <v>831</v>
      </c>
      <c r="F2181" t="s">
        <v>52</v>
      </c>
      <c r="G2181">
        <v>5</v>
      </c>
      <c r="H2181">
        <v>4</v>
      </c>
      <c r="I2181">
        <v>0</v>
      </c>
      <c r="J2181">
        <v>9</v>
      </c>
      <c r="K2181" s="482">
        <v>0.55600000000000005</v>
      </c>
      <c r="L2181" s="482">
        <v>0.44400000000000001</v>
      </c>
      <c r="M2181" s="482">
        <v>0</v>
      </c>
    </row>
    <row r="2182" spans="1:13" x14ac:dyDescent="0.2">
      <c r="A2182" t="s">
        <v>3017</v>
      </c>
      <c r="B2182" t="s">
        <v>17</v>
      </c>
      <c r="C2182" t="s">
        <v>87</v>
      </c>
      <c r="D2182" t="s">
        <v>833</v>
      </c>
      <c r="E2182" t="s">
        <v>834</v>
      </c>
      <c r="F2182" t="s">
        <v>52</v>
      </c>
      <c r="G2182">
        <v>3</v>
      </c>
      <c r="H2182">
        <v>4</v>
      </c>
      <c r="I2182">
        <v>0</v>
      </c>
      <c r="J2182">
        <v>7</v>
      </c>
      <c r="K2182" s="482">
        <v>0.42899999999999999</v>
      </c>
      <c r="L2182" s="482">
        <v>0.57099999999999995</v>
      </c>
      <c r="M2182" s="482">
        <v>0</v>
      </c>
    </row>
    <row r="2183" spans="1:13" x14ac:dyDescent="0.2">
      <c r="A2183" t="s">
        <v>3018</v>
      </c>
      <c r="B2183" t="s">
        <v>17</v>
      </c>
      <c r="C2183" t="s">
        <v>87</v>
      </c>
      <c r="D2183" t="s">
        <v>836</v>
      </c>
      <c r="E2183" t="s">
        <v>837</v>
      </c>
      <c r="F2183" t="s">
        <v>52</v>
      </c>
      <c r="G2183">
        <v>18</v>
      </c>
      <c r="H2183">
        <v>10</v>
      </c>
      <c r="I2183">
        <v>4</v>
      </c>
      <c r="J2183">
        <v>32</v>
      </c>
      <c r="K2183" s="482">
        <v>0.56299999999999994</v>
      </c>
      <c r="L2183" s="482">
        <v>0.313</v>
      </c>
      <c r="M2183" s="482">
        <v>0.125</v>
      </c>
    </row>
    <row r="2184" spans="1:13" x14ac:dyDescent="0.2">
      <c r="A2184" t="s">
        <v>3019</v>
      </c>
      <c r="B2184" t="s">
        <v>17</v>
      </c>
      <c r="C2184" t="s">
        <v>87</v>
      </c>
      <c r="D2184" t="s">
        <v>839</v>
      </c>
      <c r="E2184" t="s">
        <v>840</v>
      </c>
      <c r="F2184" t="s">
        <v>52</v>
      </c>
      <c r="G2184" t="s">
        <v>53</v>
      </c>
      <c r="H2184">
        <v>0</v>
      </c>
      <c r="I2184">
        <v>0</v>
      </c>
      <c r="J2184" t="s">
        <v>53</v>
      </c>
      <c r="K2184" t="s">
        <v>53</v>
      </c>
      <c r="L2184" t="s">
        <v>53</v>
      </c>
      <c r="M2184" t="s">
        <v>53</v>
      </c>
    </row>
    <row r="2185" spans="1:13" x14ac:dyDescent="0.2">
      <c r="A2185" t="s">
        <v>3020</v>
      </c>
      <c r="B2185" t="s">
        <v>17</v>
      </c>
      <c r="C2185" t="s">
        <v>87</v>
      </c>
      <c r="D2185" t="s">
        <v>842</v>
      </c>
      <c r="E2185" t="s">
        <v>843</v>
      </c>
      <c r="F2185" t="s">
        <v>52</v>
      </c>
      <c r="G2185">
        <v>8</v>
      </c>
      <c r="H2185">
        <v>9</v>
      </c>
      <c r="I2185">
        <v>0</v>
      </c>
      <c r="J2185">
        <v>17</v>
      </c>
      <c r="K2185" s="482">
        <v>0.47099999999999997</v>
      </c>
      <c r="L2185" s="482">
        <v>0.52900000000000003</v>
      </c>
      <c r="M2185" s="482">
        <v>0</v>
      </c>
    </row>
    <row r="2186" spans="1:13" x14ac:dyDescent="0.2">
      <c r="A2186" t="s">
        <v>3021</v>
      </c>
      <c r="B2186" t="s">
        <v>17</v>
      </c>
      <c r="C2186" t="s">
        <v>87</v>
      </c>
      <c r="D2186" t="s">
        <v>848</v>
      </c>
      <c r="E2186" t="s">
        <v>849</v>
      </c>
      <c r="F2186" t="s">
        <v>52</v>
      </c>
      <c r="G2186">
        <v>8</v>
      </c>
      <c r="H2186">
        <v>3</v>
      </c>
      <c r="I2186">
        <v>2</v>
      </c>
      <c r="J2186">
        <v>13</v>
      </c>
      <c r="K2186" s="482">
        <v>0.61499999999999999</v>
      </c>
      <c r="L2186" s="482">
        <v>0.23100000000000001</v>
      </c>
      <c r="M2186" s="482">
        <v>0.154</v>
      </c>
    </row>
    <row r="2187" spans="1:13" x14ac:dyDescent="0.2">
      <c r="A2187" t="s">
        <v>3047</v>
      </c>
      <c r="B2187" t="s">
        <v>17</v>
      </c>
      <c r="C2187" t="s">
        <v>87</v>
      </c>
      <c r="D2187" t="s">
        <v>851</v>
      </c>
      <c r="E2187" t="s">
        <v>852</v>
      </c>
      <c r="F2187" t="s">
        <v>52</v>
      </c>
      <c r="G2187">
        <v>4</v>
      </c>
      <c r="H2187">
        <v>6</v>
      </c>
      <c r="I2187">
        <v>5</v>
      </c>
      <c r="J2187">
        <v>15</v>
      </c>
      <c r="K2187" s="482">
        <v>0.26700000000000002</v>
      </c>
      <c r="L2187" s="482">
        <v>0.4</v>
      </c>
      <c r="M2187" s="482">
        <v>0.33300000000000002</v>
      </c>
    </row>
    <row r="2188" spans="1:13" x14ac:dyDescent="0.2">
      <c r="A2188" t="s">
        <v>3048</v>
      </c>
      <c r="B2188" t="s">
        <v>17</v>
      </c>
      <c r="C2188" t="s">
        <v>87</v>
      </c>
      <c r="D2188" t="s">
        <v>932</v>
      </c>
      <c r="E2188" t="s">
        <v>933</v>
      </c>
      <c r="F2188" t="s">
        <v>52</v>
      </c>
      <c r="G2188">
        <v>20</v>
      </c>
      <c r="H2188">
        <v>16</v>
      </c>
      <c r="I2188">
        <v>4</v>
      </c>
      <c r="J2188">
        <v>40</v>
      </c>
      <c r="K2188" s="482">
        <v>0.5</v>
      </c>
      <c r="L2188" s="482">
        <v>0.4</v>
      </c>
      <c r="M2188" s="482">
        <v>0.1</v>
      </c>
    </row>
    <row r="2189" spans="1:13" x14ac:dyDescent="0.2">
      <c r="A2189" t="s">
        <v>3053</v>
      </c>
      <c r="B2189" t="s">
        <v>17</v>
      </c>
      <c r="C2189" t="s">
        <v>87</v>
      </c>
      <c r="D2189" t="s">
        <v>947</v>
      </c>
      <c r="E2189" t="s">
        <v>948</v>
      </c>
      <c r="F2189" t="s">
        <v>52</v>
      </c>
      <c r="G2189">
        <v>5</v>
      </c>
      <c r="H2189">
        <v>6</v>
      </c>
      <c r="I2189">
        <v>3</v>
      </c>
      <c r="J2189">
        <v>14</v>
      </c>
      <c r="K2189" s="482">
        <v>0.35699999999999998</v>
      </c>
      <c r="L2189" s="482">
        <v>0.42899999999999999</v>
      </c>
      <c r="M2189" s="482">
        <v>0.214</v>
      </c>
    </row>
    <row r="2190" spans="1:13" x14ac:dyDescent="0.2">
      <c r="A2190" t="s">
        <v>3054</v>
      </c>
      <c r="B2190" t="s">
        <v>17</v>
      </c>
      <c r="C2190" t="s">
        <v>87</v>
      </c>
      <c r="D2190" t="s">
        <v>950</v>
      </c>
      <c r="E2190" t="s">
        <v>951</v>
      </c>
      <c r="F2190" t="s">
        <v>52</v>
      </c>
      <c r="G2190">
        <v>1</v>
      </c>
      <c r="H2190">
        <v>5</v>
      </c>
      <c r="I2190">
        <v>4</v>
      </c>
      <c r="J2190">
        <v>10</v>
      </c>
      <c r="K2190" s="482">
        <v>0.1</v>
      </c>
      <c r="L2190" s="482">
        <v>0.5</v>
      </c>
      <c r="M2190" s="482">
        <v>0.4</v>
      </c>
    </row>
    <row r="2191" spans="1:13" x14ac:dyDescent="0.2">
      <c r="A2191" t="s">
        <v>3055</v>
      </c>
      <c r="B2191" t="s">
        <v>17</v>
      </c>
      <c r="C2191" t="s">
        <v>87</v>
      </c>
      <c r="D2191" t="s">
        <v>953</v>
      </c>
      <c r="E2191" t="s">
        <v>954</v>
      </c>
      <c r="F2191" t="s">
        <v>52</v>
      </c>
      <c r="G2191">
        <v>5</v>
      </c>
      <c r="H2191">
        <v>1</v>
      </c>
      <c r="I2191">
        <v>0</v>
      </c>
      <c r="J2191">
        <v>6</v>
      </c>
      <c r="K2191" s="482">
        <v>0.83299999999999996</v>
      </c>
      <c r="L2191" s="482">
        <v>0.16700000000000001</v>
      </c>
      <c r="M2191" s="482">
        <v>0</v>
      </c>
    </row>
    <row r="2192" spans="1:13" x14ac:dyDescent="0.2">
      <c r="A2192" t="s">
        <v>3056</v>
      </c>
      <c r="B2192" t="s">
        <v>17</v>
      </c>
      <c r="C2192" t="s">
        <v>87</v>
      </c>
      <c r="D2192" t="s">
        <v>956</v>
      </c>
      <c r="E2192" t="s">
        <v>957</v>
      </c>
      <c r="F2192" t="s">
        <v>52</v>
      </c>
      <c r="G2192" t="s">
        <v>53</v>
      </c>
      <c r="H2192">
        <v>0</v>
      </c>
      <c r="I2192">
        <v>0</v>
      </c>
      <c r="J2192" t="s">
        <v>53</v>
      </c>
      <c r="K2192" t="s">
        <v>53</v>
      </c>
      <c r="L2192" t="s">
        <v>53</v>
      </c>
      <c r="M2192" t="s">
        <v>53</v>
      </c>
    </row>
    <row r="2193" spans="1:13" x14ac:dyDescent="0.2">
      <c r="A2193" t="s">
        <v>3057</v>
      </c>
      <c r="B2193" t="s">
        <v>17</v>
      </c>
      <c r="C2193" t="s">
        <v>87</v>
      </c>
      <c r="D2193" t="s">
        <v>959</v>
      </c>
      <c r="E2193" t="s">
        <v>960</v>
      </c>
      <c r="F2193" t="s">
        <v>52</v>
      </c>
      <c r="G2193">
        <v>12</v>
      </c>
      <c r="H2193">
        <v>7</v>
      </c>
      <c r="I2193">
        <v>3</v>
      </c>
      <c r="J2193">
        <v>22</v>
      </c>
      <c r="K2193" s="482">
        <v>0.54500000000000004</v>
      </c>
      <c r="L2193" s="482">
        <v>0.318</v>
      </c>
      <c r="M2193" s="482">
        <v>0.13600000000000001</v>
      </c>
    </row>
    <row r="2194" spans="1:13" x14ac:dyDescent="0.2">
      <c r="A2194" t="s">
        <v>3058</v>
      </c>
      <c r="B2194" t="s">
        <v>17</v>
      </c>
      <c r="C2194" t="s">
        <v>87</v>
      </c>
      <c r="D2194" t="s">
        <v>962</v>
      </c>
      <c r="E2194" t="s">
        <v>963</v>
      </c>
      <c r="F2194" t="s">
        <v>52</v>
      </c>
      <c r="G2194">
        <v>14</v>
      </c>
      <c r="H2194">
        <v>13</v>
      </c>
      <c r="I2194">
        <v>9</v>
      </c>
      <c r="J2194">
        <v>36</v>
      </c>
      <c r="K2194" s="482">
        <v>0.38900000000000001</v>
      </c>
      <c r="L2194" s="482">
        <v>0.36099999999999999</v>
      </c>
      <c r="M2194" s="482">
        <v>0.25</v>
      </c>
    </row>
    <row r="2195" spans="1:13" x14ac:dyDescent="0.2">
      <c r="A2195" t="s">
        <v>3059</v>
      </c>
      <c r="B2195" t="s">
        <v>17</v>
      </c>
      <c r="C2195" t="s">
        <v>87</v>
      </c>
      <c r="D2195" t="s">
        <v>965</v>
      </c>
      <c r="E2195" t="s">
        <v>966</v>
      </c>
      <c r="F2195" t="s">
        <v>52</v>
      </c>
      <c r="G2195">
        <v>9</v>
      </c>
      <c r="H2195">
        <v>12</v>
      </c>
      <c r="I2195">
        <v>7</v>
      </c>
      <c r="J2195">
        <v>28</v>
      </c>
      <c r="K2195" s="482">
        <v>0.32100000000000001</v>
      </c>
      <c r="L2195" s="482">
        <v>0.42899999999999999</v>
      </c>
      <c r="M2195" s="482">
        <v>0.25</v>
      </c>
    </row>
    <row r="2196" spans="1:13" x14ac:dyDescent="0.2">
      <c r="A2196" t="s">
        <v>3060</v>
      </c>
      <c r="B2196" t="s">
        <v>17</v>
      </c>
      <c r="C2196" t="s">
        <v>87</v>
      </c>
      <c r="D2196" t="s">
        <v>968</v>
      </c>
      <c r="E2196" t="s">
        <v>969</v>
      </c>
      <c r="F2196" t="s">
        <v>52</v>
      </c>
      <c r="G2196">
        <v>17</v>
      </c>
      <c r="H2196">
        <v>8</v>
      </c>
      <c r="I2196">
        <v>1</v>
      </c>
      <c r="J2196">
        <v>26</v>
      </c>
      <c r="K2196" s="482">
        <v>0.65400000000000003</v>
      </c>
      <c r="L2196" s="482">
        <v>0.308</v>
      </c>
      <c r="M2196" s="482">
        <v>3.7999999999999999E-2</v>
      </c>
    </row>
    <row r="2197" spans="1:13" x14ac:dyDescent="0.2">
      <c r="A2197" t="s">
        <v>3061</v>
      </c>
      <c r="B2197" t="s">
        <v>17</v>
      </c>
      <c r="C2197" t="s">
        <v>87</v>
      </c>
      <c r="D2197" t="s">
        <v>971</v>
      </c>
      <c r="E2197" t="s">
        <v>972</v>
      </c>
      <c r="F2197" t="s">
        <v>52</v>
      </c>
      <c r="G2197">
        <v>6</v>
      </c>
      <c r="H2197">
        <v>4</v>
      </c>
      <c r="I2197">
        <v>2</v>
      </c>
      <c r="J2197">
        <v>12</v>
      </c>
      <c r="K2197" s="482">
        <v>0.5</v>
      </c>
      <c r="L2197" s="482">
        <v>0.33300000000000002</v>
      </c>
      <c r="M2197" s="482">
        <v>0.16700000000000001</v>
      </c>
    </row>
    <row r="2198" spans="1:13" x14ac:dyDescent="0.2">
      <c r="A2198" t="s">
        <v>3062</v>
      </c>
      <c r="B2198" t="s">
        <v>17</v>
      </c>
      <c r="C2198" t="s">
        <v>87</v>
      </c>
      <c r="D2198" t="s">
        <v>974</v>
      </c>
      <c r="E2198" t="s">
        <v>975</v>
      </c>
      <c r="F2198" t="s">
        <v>52</v>
      </c>
      <c r="G2198">
        <v>10</v>
      </c>
      <c r="H2198">
        <v>6</v>
      </c>
      <c r="I2198">
        <v>2</v>
      </c>
      <c r="J2198">
        <v>18</v>
      </c>
      <c r="K2198" s="482">
        <v>0.55600000000000005</v>
      </c>
      <c r="L2198" s="482">
        <v>0.33300000000000002</v>
      </c>
      <c r="M2198" s="482">
        <v>0.111</v>
      </c>
    </row>
    <row r="2199" spans="1:13" x14ac:dyDescent="0.2">
      <c r="A2199" t="s">
        <v>3063</v>
      </c>
      <c r="B2199" t="s">
        <v>17</v>
      </c>
      <c r="C2199" t="s">
        <v>87</v>
      </c>
      <c r="D2199" t="s">
        <v>977</v>
      </c>
      <c r="E2199" t="s">
        <v>978</v>
      </c>
      <c r="F2199" t="s">
        <v>52</v>
      </c>
      <c r="G2199">
        <v>0</v>
      </c>
      <c r="H2199" t="s">
        <v>53</v>
      </c>
      <c r="I2199" t="s">
        <v>53</v>
      </c>
      <c r="J2199" t="s">
        <v>53</v>
      </c>
      <c r="K2199" t="s">
        <v>53</v>
      </c>
      <c r="L2199" t="s">
        <v>53</v>
      </c>
      <c r="M2199" t="s">
        <v>53</v>
      </c>
    </row>
    <row r="2200" spans="1:13" x14ac:dyDescent="0.2">
      <c r="A2200" t="s">
        <v>3064</v>
      </c>
      <c r="B2200" t="s">
        <v>17</v>
      </c>
      <c r="C2200" t="s">
        <v>87</v>
      </c>
      <c r="D2200" t="s">
        <v>980</v>
      </c>
      <c r="E2200" t="s">
        <v>981</v>
      </c>
      <c r="F2200" t="s">
        <v>52</v>
      </c>
      <c r="G2200">
        <v>66</v>
      </c>
      <c r="H2200">
        <v>41</v>
      </c>
      <c r="I2200">
        <v>36</v>
      </c>
      <c r="J2200">
        <v>143</v>
      </c>
      <c r="K2200" s="482">
        <v>0.46200000000000002</v>
      </c>
      <c r="L2200" s="482">
        <v>0.28699999999999998</v>
      </c>
      <c r="M2200" s="482">
        <v>0.252</v>
      </c>
    </row>
    <row r="2201" spans="1:13" x14ac:dyDescent="0.2">
      <c r="A2201" t="s">
        <v>3065</v>
      </c>
      <c r="B2201" t="s">
        <v>17</v>
      </c>
      <c r="C2201" t="s">
        <v>87</v>
      </c>
      <c r="D2201" t="s">
        <v>983</v>
      </c>
      <c r="E2201" t="s">
        <v>984</v>
      </c>
      <c r="F2201" t="s">
        <v>52</v>
      </c>
      <c r="G2201">
        <v>19</v>
      </c>
      <c r="H2201">
        <v>11</v>
      </c>
      <c r="I2201">
        <v>4</v>
      </c>
      <c r="J2201">
        <v>34</v>
      </c>
      <c r="K2201" s="482">
        <v>0.55900000000000005</v>
      </c>
      <c r="L2201" s="482">
        <v>0.32400000000000001</v>
      </c>
      <c r="M2201" s="482">
        <v>0.11799999999999999</v>
      </c>
    </row>
    <row r="2202" spans="1:13" x14ac:dyDescent="0.2">
      <c r="A2202" t="s">
        <v>3066</v>
      </c>
      <c r="B2202" t="s">
        <v>17</v>
      </c>
      <c r="C2202" t="s">
        <v>87</v>
      </c>
      <c r="D2202" t="s">
        <v>986</v>
      </c>
      <c r="E2202" t="s">
        <v>987</v>
      </c>
      <c r="F2202" t="s">
        <v>52</v>
      </c>
      <c r="G2202" t="s">
        <v>53</v>
      </c>
      <c r="H2202" t="s">
        <v>53</v>
      </c>
      <c r="I2202" t="s">
        <v>53</v>
      </c>
      <c r="J2202" t="s">
        <v>53</v>
      </c>
      <c r="K2202" t="s">
        <v>53</v>
      </c>
      <c r="L2202" t="s">
        <v>53</v>
      </c>
      <c r="M2202" t="s">
        <v>53</v>
      </c>
    </row>
    <row r="2203" spans="1:13" x14ac:dyDescent="0.2">
      <c r="A2203" t="s">
        <v>3052</v>
      </c>
      <c r="B2203" t="s">
        <v>17</v>
      </c>
      <c r="C2203" t="s">
        <v>87</v>
      </c>
      <c r="D2203" t="s">
        <v>944</v>
      </c>
      <c r="E2203" t="s">
        <v>945</v>
      </c>
      <c r="F2203" t="s">
        <v>52</v>
      </c>
      <c r="G2203">
        <v>19</v>
      </c>
      <c r="H2203">
        <v>11</v>
      </c>
      <c r="I2203">
        <v>1</v>
      </c>
      <c r="J2203">
        <v>31</v>
      </c>
      <c r="K2203" s="482">
        <v>0.61299999999999999</v>
      </c>
      <c r="L2203" s="482">
        <v>0.35499999999999998</v>
      </c>
      <c r="M2203" s="482">
        <v>3.2000000000000001E-2</v>
      </c>
    </row>
    <row r="2204" spans="1:13" x14ac:dyDescent="0.2">
      <c r="A2204" t="s">
        <v>2984</v>
      </c>
      <c r="B2204" t="s">
        <v>17</v>
      </c>
      <c r="C2204" t="s">
        <v>87</v>
      </c>
      <c r="D2204" t="s">
        <v>731</v>
      </c>
      <c r="E2204" t="s">
        <v>732</v>
      </c>
      <c r="F2204" t="s">
        <v>52</v>
      </c>
      <c r="G2204">
        <v>0</v>
      </c>
      <c r="H2204" t="s">
        <v>53</v>
      </c>
      <c r="I2204">
        <v>0</v>
      </c>
      <c r="J2204" t="s">
        <v>53</v>
      </c>
      <c r="K2204" t="s">
        <v>53</v>
      </c>
      <c r="L2204" t="s">
        <v>53</v>
      </c>
      <c r="M2204" t="s">
        <v>53</v>
      </c>
    </row>
    <row r="2205" spans="1:13" x14ac:dyDescent="0.2">
      <c r="A2205" t="s">
        <v>2983</v>
      </c>
      <c r="B2205" t="s">
        <v>17</v>
      </c>
      <c r="C2205" t="s">
        <v>87</v>
      </c>
      <c r="D2205" t="s">
        <v>728</v>
      </c>
      <c r="E2205" t="s">
        <v>729</v>
      </c>
      <c r="F2205" t="s">
        <v>52</v>
      </c>
      <c r="G2205">
        <v>17</v>
      </c>
      <c r="H2205">
        <v>2</v>
      </c>
      <c r="I2205">
        <v>2</v>
      </c>
      <c r="J2205">
        <v>21</v>
      </c>
      <c r="K2205" s="482">
        <v>0.81</v>
      </c>
      <c r="L2205" s="482">
        <v>9.5000000000000001E-2</v>
      </c>
      <c r="M2205" s="482">
        <v>9.5000000000000001E-2</v>
      </c>
    </row>
    <row r="2206" spans="1:13" x14ac:dyDescent="0.2">
      <c r="A2206" t="s">
        <v>2990</v>
      </c>
      <c r="B2206" t="s">
        <v>17</v>
      </c>
      <c r="C2206" t="s">
        <v>87</v>
      </c>
      <c r="D2206" t="s">
        <v>749</v>
      </c>
      <c r="E2206" t="s">
        <v>750</v>
      </c>
      <c r="F2206" t="s">
        <v>52</v>
      </c>
      <c r="G2206">
        <v>10</v>
      </c>
      <c r="H2206">
        <v>5</v>
      </c>
      <c r="I2206">
        <v>0</v>
      </c>
      <c r="J2206">
        <v>15</v>
      </c>
      <c r="K2206" s="482">
        <v>0.66700000000000004</v>
      </c>
      <c r="L2206" s="482">
        <v>0.33300000000000002</v>
      </c>
      <c r="M2206" s="482">
        <v>0</v>
      </c>
    </row>
    <row r="2207" spans="1:13" x14ac:dyDescent="0.2">
      <c r="A2207" t="s">
        <v>2941</v>
      </c>
      <c r="B2207" t="s">
        <v>17</v>
      </c>
      <c r="C2207" t="s">
        <v>87</v>
      </c>
      <c r="D2207" t="s">
        <v>589</v>
      </c>
      <c r="E2207" t="s">
        <v>590</v>
      </c>
      <c r="F2207" t="s">
        <v>52</v>
      </c>
      <c r="G2207">
        <v>18</v>
      </c>
      <c r="H2207">
        <v>17</v>
      </c>
      <c r="I2207">
        <v>3</v>
      </c>
      <c r="J2207">
        <v>38</v>
      </c>
      <c r="K2207" s="482">
        <v>0.47399999999999998</v>
      </c>
      <c r="L2207" s="482">
        <v>0.44700000000000001</v>
      </c>
      <c r="M2207" s="482">
        <v>7.9000000000000001E-2</v>
      </c>
    </row>
    <row r="2208" spans="1:13" x14ac:dyDescent="0.2">
      <c r="A2208" t="s">
        <v>2942</v>
      </c>
      <c r="B2208" t="s">
        <v>17</v>
      </c>
      <c r="C2208" t="s">
        <v>87</v>
      </c>
      <c r="D2208" t="s">
        <v>592</v>
      </c>
      <c r="E2208" t="s">
        <v>593</v>
      </c>
      <c r="F2208" t="s">
        <v>52</v>
      </c>
      <c r="G2208">
        <v>17</v>
      </c>
      <c r="H2208">
        <v>10</v>
      </c>
      <c r="I2208">
        <v>4</v>
      </c>
      <c r="J2208">
        <v>31</v>
      </c>
      <c r="K2208" s="482">
        <v>0.54800000000000004</v>
      </c>
      <c r="L2208" s="482">
        <v>0.32300000000000001</v>
      </c>
      <c r="M2208" s="482">
        <v>0.129</v>
      </c>
    </row>
    <row r="2209" spans="1:13" x14ac:dyDescent="0.2">
      <c r="A2209" t="s">
        <v>2943</v>
      </c>
      <c r="B2209" t="s">
        <v>17</v>
      </c>
      <c r="C2209" t="s">
        <v>87</v>
      </c>
      <c r="D2209" t="s">
        <v>595</v>
      </c>
      <c r="E2209" t="s">
        <v>596</v>
      </c>
      <c r="F2209" t="s">
        <v>52</v>
      </c>
      <c r="G2209">
        <v>6</v>
      </c>
      <c r="H2209">
        <v>6</v>
      </c>
      <c r="I2209">
        <v>2</v>
      </c>
      <c r="J2209">
        <v>14</v>
      </c>
      <c r="K2209" s="482">
        <v>0.42899999999999999</v>
      </c>
      <c r="L2209" s="482">
        <v>0.42899999999999999</v>
      </c>
      <c r="M2209" s="482">
        <v>0.14299999999999999</v>
      </c>
    </row>
    <row r="2210" spans="1:13" x14ac:dyDescent="0.2">
      <c r="A2210" t="s">
        <v>2944</v>
      </c>
      <c r="B2210" t="s">
        <v>17</v>
      </c>
      <c r="C2210" t="s">
        <v>87</v>
      </c>
      <c r="D2210" t="s">
        <v>598</v>
      </c>
      <c r="E2210" t="s">
        <v>599</v>
      </c>
      <c r="F2210" t="s">
        <v>52</v>
      </c>
      <c r="G2210">
        <v>40</v>
      </c>
      <c r="H2210">
        <v>22</v>
      </c>
      <c r="I2210">
        <v>12</v>
      </c>
      <c r="J2210">
        <v>74</v>
      </c>
      <c r="K2210" s="482">
        <v>0.54100000000000004</v>
      </c>
      <c r="L2210" s="482">
        <v>0.29699999999999999</v>
      </c>
      <c r="M2210" s="482">
        <v>0.16200000000000001</v>
      </c>
    </row>
    <row r="2211" spans="1:13" x14ac:dyDescent="0.2">
      <c r="A2211" t="s">
        <v>2945</v>
      </c>
      <c r="B2211" t="s">
        <v>17</v>
      </c>
      <c r="C2211" t="s">
        <v>87</v>
      </c>
      <c r="D2211" t="s">
        <v>601</v>
      </c>
      <c r="E2211" t="s">
        <v>602</v>
      </c>
      <c r="F2211" t="s">
        <v>52</v>
      </c>
      <c r="G2211">
        <v>5</v>
      </c>
      <c r="H2211">
        <v>2</v>
      </c>
      <c r="I2211">
        <v>1</v>
      </c>
      <c r="J2211">
        <v>8</v>
      </c>
      <c r="K2211" s="482">
        <v>0.625</v>
      </c>
      <c r="L2211" s="482">
        <v>0.25</v>
      </c>
      <c r="M2211" s="482">
        <v>0.125</v>
      </c>
    </row>
    <row r="2212" spans="1:13" x14ac:dyDescent="0.2">
      <c r="A2212" t="s">
        <v>2946</v>
      </c>
      <c r="B2212" t="s">
        <v>17</v>
      </c>
      <c r="C2212" t="s">
        <v>87</v>
      </c>
      <c r="D2212" t="s">
        <v>604</v>
      </c>
      <c r="E2212" t="s">
        <v>605</v>
      </c>
      <c r="F2212" t="s">
        <v>52</v>
      </c>
      <c r="G2212">
        <v>9</v>
      </c>
      <c r="H2212">
        <v>8</v>
      </c>
      <c r="I2212">
        <v>7</v>
      </c>
      <c r="J2212">
        <v>24</v>
      </c>
      <c r="K2212" s="482">
        <v>0.375</v>
      </c>
      <c r="L2212" s="482">
        <v>0.33300000000000002</v>
      </c>
      <c r="M2212" s="482">
        <v>0.29199999999999998</v>
      </c>
    </row>
    <row r="2213" spans="1:13" x14ac:dyDescent="0.2">
      <c r="A2213" t="s">
        <v>2985</v>
      </c>
      <c r="B2213" t="s">
        <v>17</v>
      </c>
      <c r="C2213" t="s">
        <v>87</v>
      </c>
      <c r="D2213" t="s">
        <v>607</v>
      </c>
      <c r="E2213" t="s">
        <v>608</v>
      </c>
      <c r="F2213" t="s">
        <v>52</v>
      </c>
      <c r="G2213">
        <v>5</v>
      </c>
      <c r="H2213">
        <v>2</v>
      </c>
      <c r="I2213">
        <v>0</v>
      </c>
      <c r="J2213">
        <v>7</v>
      </c>
      <c r="K2213" s="482">
        <v>0.71399999999999997</v>
      </c>
      <c r="L2213" s="482">
        <v>0.28599999999999998</v>
      </c>
      <c r="M2213" s="482">
        <v>0</v>
      </c>
    </row>
    <row r="2214" spans="1:13" x14ac:dyDescent="0.2">
      <c r="A2214" t="s">
        <v>2970</v>
      </c>
      <c r="B2214" t="s">
        <v>17</v>
      </c>
      <c r="C2214" t="s">
        <v>87</v>
      </c>
      <c r="D2214" t="s">
        <v>683</v>
      </c>
      <c r="E2214" t="s">
        <v>684</v>
      </c>
      <c r="F2214" t="s">
        <v>52</v>
      </c>
      <c r="G2214">
        <v>19</v>
      </c>
      <c r="H2214">
        <v>11</v>
      </c>
      <c r="I2214">
        <v>9</v>
      </c>
      <c r="J2214">
        <v>39</v>
      </c>
      <c r="K2214" s="482">
        <v>0.48699999999999999</v>
      </c>
      <c r="L2214" s="482">
        <v>0.28199999999999997</v>
      </c>
      <c r="M2214" s="482">
        <v>0.23100000000000001</v>
      </c>
    </row>
    <row r="2215" spans="1:13" x14ac:dyDescent="0.2">
      <c r="A2215" t="s">
        <v>6573</v>
      </c>
      <c r="B2215" t="s">
        <v>17</v>
      </c>
      <c r="C2215" t="s">
        <v>87</v>
      </c>
      <c r="D2215" t="s">
        <v>686</v>
      </c>
      <c r="E2215" t="s">
        <v>687</v>
      </c>
      <c r="F2215" t="s">
        <v>52</v>
      </c>
      <c r="G2215">
        <v>0</v>
      </c>
      <c r="H2215" t="s">
        <v>53</v>
      </c>
      <c r="I2215">
        <v>0</v>
      </c>
      <c r="J2215" t="s">
        <v>53</v>
      </c>
      <c r="K2215" t="s">
        <v>53</v>
      </c>
      <c r="L2215" t="s">
        <v>53</v>
      </c>
      <c r="M2215" t="s">
        <v>53</v>
      </c>
    </row>
    <row r="2216" spans="1:13" x14ac:dyDescent="0.2">
      <c r="A2216" t="s">
        <v>2971</v>
      </c>
      <c r="B2216" t="s">
        <v>17</v>
      </c>
      <c r="C2216" t="s">
        <v>87</v>
      </c>
      <c r="D2216" t="s">
        <v>689</v>
      </c>
      <c r="E2216" t="s">
        <v>690</v>
      </c>
      <c r="F2216" t="s">
        <v>52</v>
      </c>
      <c r="G2216">
        <v>3</v>
      </c>
      <c r="H2216">
        <v>0</v>
      </c>
      <c r="I2216">
        <v>3</v>
      </c>
      <c r="J2216">
        <v>6</v>
      </c>
      <c r="K2216" s="482">
        <v>0.5</v>
      </c>
      <c r="L2216" s="482">
        <v>0</v>
      </c>
      <c r="M2216" s="482">
        <v>0.5</v>
      </c>
    </row>
    <row r="2217" spans="1:13" x14ac:dyDescent="0.2">
      <c r="A2217" t="s">
        <v>2972</v>
      </c>
      <c r="B2217" t="s">
        <v>17</v>
      </c>
      <c r="C2217" t="s">
        <v>87</v>
      </c>
      <c r="D2217" t="s">
        <v>692</v>
      </c>
      <c r="E2217" t="s">
        <v>693</v>
      </c>
      <c r="F2217" t="s">
        <v>52</v>
      </c>
      <c r="G2217">
        <v>18</v>
      </c>
      <c r="H2217">
        <v>18</v>
      </c>
      <c r="I2217">
        <v>7</v>
      </c>
      <c r="J2217">
        <v>43</v>
      </c>
      <c r="K2217" s="482">
        <v>0.41899999999999998</v>
      </c>
      <c r="L2217" s="482">
        <v>0.41899999999999998</v>
      </c>
      <c r="M2217" s="482">
        <v>0.16300000000000001</v>
      </c>
    </row>
    <row r="2218" spans="1:13" x14ac:dyDescent="0.2">
      <c r="A2218" t="s">
        <v>2973</v>
      </c>
      <c r="B2218" t="s">
        <v>17</v>
      </c>
      <c r="C2218" t="s">
        <v>87</v>
      </c>
      <c r="D2218" t="s">
        <v>695</v>
      </c>
      <c r="E2218" t="s">
        <v>696</v>
      </c>
      <c r="F2218" t="s">
        <v>52</v>
      </c>
      <c r="G2218">
        <v>20</v>
      </c>
      <c r="H2218">
        <v>9</v>
      </c>
      <c r="I2218">
        <v>7</v>
      </c>
      <c r="J2218">
        <v>36</v>
      </c>
      <c r="K2218" s="482">
        <v>0.55600000000000005</v>
      </c>
      <c r="L2218" s="482">
        <v>0.25</v>
      </c>
      <c r="M2218" s="482">
        <v>0.19400000000000001</v>
      </c>
    </row>
    <row r="2219" spans="1:13" x14ac:dyDescent="0.2">
      <c r="A2219" t="s">
        <v>2974</v>
      </c>
      <c r="B2219" t="s">
        <v>17</v>
      </c>
      <c r="C2219" t="s">
        <v>87</v>
      </c>
      <c r="D2219" t="s">
        <v>698</v>
      </c>
      <c r="E2219" t="s">
        <v>699</v>
      </c>
      <c r="F2219" t="s">
        <v>52</v>
      </c>
      <c r="G2219">
        <v>15</v>
      </c>
      <c r="H2219">
        <v>6</v>
      </c>
      <c r="I2219">
        <v>2</v>
      </c>
      <c r="J2219">
        <v>23</v>
      </c>
      <c r="K2219" s="482">
        <v>0.65200000000000002</v>
      </c>
      <c r="L2219" s="482">
        <v>0.26100000000000001</v>
      </c>
      <c r="M2219" s="482">
        <v>8.6999999999999994E-2</v>
      </c>
    </row>
    <row r="2220" spans="1:13" x14ac:dyDescent="0.2">
      <c r="A2220" t="s">
        <v>2975</v>
      </c>
      <c r="B2220" t="s">
        <v>17</v>
      </c>
      <c r="C2220" t="s">
        <v>87</v>
      </c>
      <c r="D2220" t="s">
        <v>701</v>
      </c>
      <c r="E2220" t="s">
        <v>702</v>
      </c>
      <c r="F2220" t="s">
        <v>52</v>
      </c>
      <c r="G2220" t="s">
        <v>53</v>
      </c>
      <c r="H2220">
        <v>0</v>
      </c>
      <c r="I2220" t="s">
        <v>53</v>
      </c>
      <c r="J2220" t="s">
        <v>53</v>
      </c>
      <c r="K2220" t="s">
        <v>53</v>
      </c>
      <c r="L2220" t="s">
        <v>53</v>
      </c>
      <c r="M2220" t="s">
        <v>53</v>
      </c>
    </row>
    <row r="2221" spans="1:13" x14ac:dyDescent="0.2">
      <c r="A2221" t="s">
        <v>2976</v>
      </c>
      <c r="B2221" t="s">
        <v>17</v>
      </c>
      <c r="C2221" t="s">
        <v>87</v>
      </c>
      <c r="D2221" t="s">
        <v>704</v>
      </c>
      <c r="E2221" t="s">
        <v>705</v>
      </c>
      <c r="F2221" t="s">
        <v>52</v>
      </c>
      <c r="G2221">
        <v>21</v>
      </c>
      <c r="H2221">
        <v>17</v>
      </c>
      <c r="I2221">
        <v>4</v>
      </c>
      <c r="J2221">
        <v>42</v>
      </c>
      <c r="K2221" s="482">
        <v>0.5</v>
      </c>
      <c r="L2221" s="482">
        <v>0.40500000000000003</v>
      </c>
      <c r="M2221" s="482">
        <v>9.5000000000000001E-2</v>
      </c>
    </row>
    <row r="2222" spans="1:13" x14ac:dyDescent="0.2">
      <c r="A2222" t="s">
        <v>2977</v>
      </c>
      <c r="B2222" t="s">
        <v>17</v>
      </c>
      <c r="C2222" t="s">
        <v>87</v>
      </c>
      <c r="D2222" t="s">
        <v>707</v>
      </c>
      <c r="E2222" t="s">
        <v>708</v>
      </c>
      <c r="F2222" t="s">
        <v>52</v>
      </c>
      <c r="G2222" t="s">
        <v>53</v>
      </c>
      <c r="H2222">
        <v>0</v>
      </c>
      <c r="I2222" t="s">
        <v>53</v>
      </c>
      <c r="J2222" t="s">
        <v>53</v>
      </c>
      <c r="K2222" t="s">
        <v>53</v>
      </c>
      <c r="L2222" t="s">
        <v>53</v>
      </c>
      <c r="M2222" t="s">
        <v>53</v>
      </c>
    </row>
    <row r="2223" spans="1:13" x14ac:dyDescent="0.2">
      <c r="A2223" t="s">
        <v>2978</v>
      </c>
      <c r="B2223" t="s">
        <v>17</v>
      </c>
      <c r="C2223" t="s">
        <v>87</v>
      </c>
      <c r="D2223" t="s">
        <v>710</v>
      </c>
      <c r="E2223" t="s">
        <v>711</v>
      </c>
      <c r="F2223" t="s">
        <v>52</v>
      </c>
      <c r="G2223">
        <v>21</v>
      </c>
      <c r="H2223">
        <v>11</v>
      </c>
      <c r="I2223">
        <v>6</v>
      </c>
      <c r="J2223">
        <v>38</v>
      </c>
      <c r="K2223" s="482">
        <v>0.55300000000000005</v>
      </c>
      <c r="L2223" s="482">
        <v>0.28899999999999998</v>
      </c>
      <c r="M2223" s="482">
        <v>0.158</v>
      </c>
    </row>
    <row r="2224" spans="1:13" x14ac:dyDescent="0.2">
      <c r="A2224" t="s">
        <v>2979</v>
      </c>
      <c r="B2224" t="s">
        <v>17</v>
      </c>
      <c r="C2224" t="s">
        <v>87</v>
      </c>
      <c r="D2224" t="s">
        <v>713</v>
      </c>
      <c r="E2224" t="s">
        <v>714</v>
      </c>
      <c r="F2224" t="s">
        <v>52</v>
      </c>
      <c r="G2224">
        <v>18</v>
      </c>
      <c r="H2224">
        <v>12</v>
      </c>
      <c r="I2224">
        <v>1</v>
      </c>
      <c r="J2224">
        <v>31</v>
      </c>
      <c r="K2224" s="482">
        <v>0.58099999999999996</v>
      </c>
      <c r="L2224" s="482">
        <v>0.38700000000000001</v>
      </c>
      <c r="M2224" s="482">
        <v>3.2000000000000001E-2</v>
      </c>
    </row>
    <row r="2225" spans="1:13" x14ac:dyDescent="0.2">
      <c r="A2225" t="s">
        <v>2980</v>
      </c>
      <c r="B2225" t="s">
        <v>17</v>
      </c>
      <c r="C2225" t="s">
        <v>87</v>
      </c>
      <c r="D2225" t="s">
        <v>716</v>
      </c>
      <c r="E2225" t="s">
        <v>717</v>
      </c>
      <c r="F2225" t="s">
        <v>52</v>
      </c>
      <c r="G2225">
        <v>12</v>
      </c>
      <c r="H2225">
        <v>6</v>
      </c>
      <c r="I2225">
        <v>6</v>
      </c>
      <c r="J2225">
        <v>24</v>
      </c>
      <c r="K2225" s="482">
        <v>0.5</v>
      </c>
      <c r="L2225" s="482">
        <v>0.25</v>
      </c>
      <c r="M2225" s="482">
        <v>0.25</v>
      </c>
    </row>
    <row r="2226" spans="1:13" x14ac:dyDescent="0.2">
      <c r="A2226" t="s">
        <v>2981</v>
      </c>
      <c r="B2226" t="s">
        <v>17</v>
      </c>
      <c r="C2226" t="s">
        <v>87</v>
      </c>
      <c r="D2226" t="s">
        <v>719</v>
      </c>
      <c r="E2226" t="s">
        <v>720</v>
      </c>
      <c r="F2226" t="s">
        <v>52</v>
      </c>
      <c r="G2226">
        <v>8</v>
      </c>
      <c r="H2226">
        <v>8</v>
      </c>
      <c r="I2226">
        <v>3</v>
      </c>
      <c r="J2226">
        <v>19</v>
      </c>
      <c r="K2226" s="482">
        <v>0.42099999999999999</v>
      </c>
      <c r="L2226" s="482">
        <v>0.42099999999999999</v>
      </c>
      <c r="M2226" s="482">
        <v>0.158</v>
      </c>
    </row>
    <row r="2227" spans="1:13" x14ac:dyDescent="0.2">
      <c r="A2227" t="s">
        <v>2982</v>
      </c>
      <c r="B2227" t="s">
        <v>17</v>
      </c>
      <c r="C2227" t="s">
        <v>87</v>
      </c>
      <c r="D2227" t="s">
        <v>725</v>
      </c>
      <c r="E2227" t="s">
        <v>726</v>
      </c>
      <c r="F2227" t="s">
        <v>52</v>
      </c>
      <c r="G2227" t="s">
        <v>53</v>
      </c>
      <c r="H2227" t="s">
        <v>53</v>
      </c>
      <c r="I2227" t="s">
        <v>53</v>
      </c>
      <c r="J2227" t="s">
        <v>53</v>
      </c>
      <c r="K2227" t="s">
        <v>53</v>
      </c>
      <c r="L2227" t="s">
        <v>53</v>
      </c>
      <c r="M2227" t="s">
        <v>53</v>
      </c>
    </row>
    <row r="2228" spans="1:13" x14ac:dyDescent="0.2">
      <c r="A2228" t="s">
        <v>2987</v>
      </c>
      <c r="B2228" t="s">
        <v>17</v>
      </c>
      <c r="C2228" t="s">
        <v>87</v>
      </c>
      <c r="D2228" t="s">
        <v>737</v>
      </c>
      <c r="E2228" t="s">
        <v>738</v>
      </c>
      <c r="F2228" t="s">
        <v>52</v>
      </c>
      <c r="G2228">
        <v>7</v>
      </c>
      <c r="H2228">
        <v>10</v>
      </c>
      <c r="I2228">
        <v>2</v>
      </c>
      <c r="J2228">
        <v>19</v>
      </c>
      <c r="K2228" s="482">
        <v>0.36799999999999999</v>
      </c>
      <c r="L2228" s="482">
        <v>0.52600000000000002</v>
      </c>
      <c r="M2228" s="482">
        <v>0.105</v>
      </c>
    </row>
    <row r="2229" spans="1:13" x14ac:dyDescent="0.2">
      <c r="A2229" t="s">
        <v>2969</v>
      </c>
      <c r="B2229" t="s">
        <v>17</v>
      </c>
      <c r="C2229" t="s">
        <v>87</v>
      </c>
      <c r="D2229" t="s">
        <v>678</v>
      </c>
      <c r="E2229" t="s">
        <v>679</v>
      </c>
      <c r="F2229" t="s">
        <v>52</v>
      </c>
      <c r="G2229">
        <v>50</v>
      </c>
      <c r="H2229">
        <v>29</v>
      </c>
      <c r="I2229">
        <v>16</v>
      </c>
      <c r="J2229">
        <v>95</v>
      </c>
      <c r="K2229" s="482">
        <v>0.52600000000000002</v>
      </c>
      <c r="L2229" s="482">
        <v>0.30499999999999999</v>
      </c>
      <c r="M2229" s="482">
        <v>0.16800000000000001</v>
      </c>
    </row>
    <row r="2230" spans="1:13" x14ac:dyDescent="0.2">
      <c r="A2230" t="s">
        <v>2988</v>
      </c>
      <c r="B2230" t="s">
        <v>17</v>
      </c>
      <c r="C2230" t="s">
        <v>87</v>
      </c>
      <c r="D2230" t="s">
        <v>740</v>
      </c>
      <c r="E2230" t="s">
        <v>741</v>
      </c>
      <c r="F2230" t="s">
        <v>52</v>
      </c>
      <c r="G2230">
        <v>5</v>
      </c>
      <c r="H2230">
        <v>5</v>
      </c>
      <c r="I2230">
        <v>2</v>
      </c>
      <c r="J2230">
        <v>12</v>
      </c>
      <c r="K2230" s="482">
        <v>0.41699999999999998</v>
      </c>
      <c r="L2230" s="482">
        <v>0.41699999999999998</v>
      </c>
      <c r="M2230" s="482">
        <v>0.16700000000000001</v>
      </c>
    </row>
    <row r="2231" spans="1:13" x14ac:dyDescent="0.2">
      <c r="A2231" t="s">
        <v>2989</v>
      </c>
      <c r="B2231" t="s">
        <v>17</v>
      </c>
      <c r="C2231" t="s">
        <v>87</v>
      </c>
      <c r="D2231" t="s">
        <v>743</v>
      </c>
      <c r="E2231" t="s">
        <v>744</v>
      </c>
      <c r="F2231" t="s">
        <v>52</v>
      </c>
      <c r="G2231">
        <v>10</v>
      </c>
      <c r="H2231">
        <v>3</v>
      </c>
      <c r="I2231">
        <v>3</v>
      </c>
      <c r="J2231">
        <v>16</v>
      </c>
      <c r="K2231" s="482">
        <v>0.625</v>
      </c>
      <c r="L2231" s="482">
        <v>0.188</v>
      </c>
      <c r="M2231" s="482">
        <v>0.188</v>
      </c>
    </row>
    <row r="2232" spans="1:13" x14ac:dyDescent="0.2">
      <c r="A2232" t="s">
        <v>2997</v>
      </c>
      <c r="B2232" t="s">
        <v>17</v>
      </c>
      <c r="C2232" t="s">
        <v>87</v>
      </c>
      <c r="D2232" t="s">
        <v>770</v>
      </c>
      <c r="E2232" t="s">
        <v>771</v>
      </c>
      <c r="F2232" t="s">
        <v>52</v>
      </c>
      <c r="G2232">
        <v>22</v>
      </c>
      <c r="H2232">
        <v>13</v>
      </c>
      <c r="I2232">
        <v>2</v>
      </c>
      <c r="J2232">
        <v>37</v>
      </c>
      <c r="K2232" s="482">
        <v>0.59499999999999997</v>
      </c>
      <c r="L2232" s="482">
        <v>0.35099999999999998</v>
      </c>
      <c r="M2232" s="482">
        <v>5.3999999999999999E-2</v>
      </c>
    </row>
    <row r="2233" spans="1:13" x14ac:dyDescent="0.2">
      <c r="A2233" t="s">
        <v>2998</v>
      </c>
      <c r="B2233" t="s">
        <v>17</v>
      </c>
      <c r="C2233" t="s">
        <v>87</v>
      </c>
      <c r="D2233" t="s">
        <v>681</v>
      </c>
      <c r="E2233" t="s">
        <v>336</v>
      </c>
      <c r="F2233" t="s">
        <v>52</v>
      </c>
      <c r="G2233">
        <v>27</v>
      </c>
      <c r="H2233">
        <v>20</v>
      </c>
      <c r="I2233">
        <v>11</v>
      </c>
      <c r="J2233">
        <v>58</v>
      </c>
      <c r="K2233" s="482">
        <v>0.46600000000000003</v>
      </c>
      <c r="L2233" s="482">
        <v>0.34499999999999997</v>
      </c>
      <c r="M2233" s="482">
        <v>0.19</v>
      </c>
    </row>
    <row r="2234" spans="1:13" x14ac:dyDescent="0.2">
      <c r="A2234" t="s">
        <v>2999</v>
      </c>
      <c r="B2234" t="s">
        <v>17</v>
      </c>
      <c r="C2234" t="s">
        <v>87</v>
      </c>
      <c r="D2234" t="s">
        <v>773</v>
      </c>
      <c r="E2234" t="s">
        <v>774</v>
      </c>
      <c r="F2234" t="s">
        <v>52</v>
      </c>
      <c r="G2234">
        <v>19</v>
      </c>
      <c r="H2234">
        <v>18</v>
      </c>
      <c r="I2234">
        <v>7</v>
      </c>
      <c r="J2234">
        <v>44</v>
      </c>
      <c r="K2234" s="482">
        <v>0.432</v>
      </c>
      <c r="L2234" s="482">
        <v>0.40899999999999997</v>
      </c>
      <c r="M2234" s="482">
        <v>0.159</v>
      </c>
    </row>
    <row r="2235" spans="1:13" x14ac:dyDescent="0.2">
      <c r="A2235" t="s">
        <v>3000</v>
      </c>
      <c r="B2235" t="s">
        <v>17</v>
      </c>
      <c r="C2235" t="s">
        <v>87</v>
      </c>
      <c r="D2235" t="s">
        <v>776</v>
      </c>
      <c r="E2235" t="s">
        <v>777</v>
      </c>
      <c r="F2235" t="s">
        <v>52</v>
      </c>
      <c r="G2235">
        <v>11</v>
      </c>
      <c r="H2235">
        <v>10</v>
      </c>
      <c r="I2235">
        <v>4</v>
      </c>
      <c r="J2235">
        <v>25</v>
      </c>
      <c r="K2235" s="482">
        <v>0.44</v>
      </c>
      <c r="L2235" s="482">
        <v>0.4</v>
      </c>
      <c r="M2235" s="482">
        <v>0.16</v>
      </c>
    </row>
    <row r="2236" spans="1:13" x14ac:dyDescent="0.2">
      <c r="A2236" t="s">
        <v>3001</v>
      </c>
      <c r="B2236" t="s">
        <v>17</v>
      </c>
      <c r="C2236" t="s">
        <v>87</v>
      </c>
      <c r="D2236" t="s">
        <v>779</v>
      </c>
      <c r="E2236" t="s">
        <v>780</v>
      </c>
      <c r="F2236" t="s">
        <v>52</v>
      </c>
      <c r="G2236">
        <v>6</v>
      </c>
      <c r="H2236">
        <v>7</v>
      </c>
      <c r="I2236">
        <v>3</v>
      </c>
      <c r="J2236">
        <v>16</v>
      </c>
      <c r="K2236" s="482">
        <v>0.375</v>
      </c>
      <c r="L2236" s="482">
        <v>0.438</v>
      </c>
      <c r="M2236" s="482">
        <v>0.188</v>
      </c>
    </row>
    <row r="2237" spans="1:13" x14ac:dyDescent="0.2">
      <c r="A2237" t="s">
        <v>3002</v>
      </c>
      <c r="B2237" t="s">
        <v>17</v>
      </c>
      <c r="C2237" t="s">
        <v>87</v>
      </c>
      <c r="D2237" t="s">
        <v>782</v>
      </c>
      <c r="E2237" t="s">
        <v>783</v>
      </c>
      <c r="F2237" t="s">
        <v>52</v>
      </c>
      <c r="G2237">
        <v>4</v>
      </c>
      <c r="H2237">
        <v>2</v>
      </c>
      <c r="I2237">
        <v>0</v>
      </c>
      <c r="J2237">
        <v>6</v>
      </c>
      <c r="K2237" s="482">
        <v>0.66700000000000004</v>
      </c>
      <c r="L2237" s="482">
        <v>0.33300000000000002</v>
      </c>
      <c r="M2237" s="482">
        <v>0</v>
      </c>
    </row>
    <row r="2238" spans="1:13" x14ac:dyDescent="0.2">
      <c r="A2238" t="s">
        <v>3003</v>
      </c>
      <c r="B2238" t="s">
        <v>17</v>
      </c>
      <c r="C2238" t="s">
        <v>87</v>
      </c>
      <c r="D2238" t="s">
        <v>785</v>
      </c>
      <c r="E2238" t="s">
        <v>786</v>
      </c>
      <c r="F2238" t="s">
        <v>52</v>
      </c>
      <c r="G2238">
        <v>16</v>
      </c>
      <c r="H2238">
        <v>7</v>
      </c>
      <c r="I2238">
        <v>7</v>
      </c>
      <c r="J2238">
        <v>30</v>
      </c>
      <c r="K2238" s="482">
        <v>0.53300000000000003</v>
      </c>
      <c r="L2238" s="482">
        <v>0.23300000000000001</v>
      </c>
      <c r="M2238" s="482">
        <v>0.23300000000000001</v>
      </c>
    </row>
    <row r="2239" spans="1:13" x14ac:dyDescent="0.2">
      <c r="A2239" t="s">
        <v>3004</v>
      </c>
      <c r="B2239" t="s">
        <v>17</v>
      </c>
      <c r="C2239" t="s">
        <v>87</v>
      </c>
      <c r="D2239" t="s">
        <v>788</v>
      </c>
      <c r="E2239" t="s">
        <v>789</v>
      </c>
      <c r="F2239" t="s">
        <v>52</v>
      </c>
      <c r="G2239" t="s">
        <v>53</v>
      </c>
      <c r="H2239">
        <v>0</v>
      </c>
      <c r="I2239" t="s">
        <v>53</v>
      </c>
      <c r="J2239" t="s">
        <v>53</v>
      </c>
      <c r="K2239" t="s">
        <v>53</v>
      </c>
      <c r="L2239" t="s">
        <v>53</v>
      </c>
      <c r="M2239" t="s">
        <v>53</v>
      </c>
    </row>
    <row r="2240" spans="1:13" x14ac:dyDescent="0.2">
      <c r="A2240" t="s">
        <v>3005</v>
      </c>
      <c r="B2240" t="s">
        <v>17</v>
      </c>
      <c r="C2240" t="s">
        <v>87</v>
      </c>
      <c r="D2240" t="s">
        <v>791</v>
      </c>
      <c r="E2240" t="s">
        <v>792</v>
      </c>
      <c r="F2240" t="s">
        <v>52</v>
      </c>
      <c r="G2240">
        <v>11</v>
      </c>
      <c r="H2240">
        <v>2</v>
      </c>
      <c r="I2240">
        <v>1</v>
      </c>
      <c r="J2240">
        <v>14</v>
      </c>
      <c r="K2240" s="482">
        <v>0.78600000000000003</v>
      </c>
      <c r="L2240" s="482">
        <v>0.14299999999999999</v>
      </c>
      <c r="M2240" s="482">
        <v>7.0999999999999994E-2</v>
      </c>
    </row>
    <row r="2241" spans="1:13" x14ac:dyDescent="0.2">
      <c r="A2241" t="s">
        <v>6574</v>
      </c>
      <c r="B2241" t="s">
        <v>17</v>
      </c>
      <c r="C2241" t="s">
        <v>87</v>
      </c>
      <c r="D2241" t="s">
        <v>794</v>
      </c>
      <c r="E2241" t="s">
        <v>795</v>
      </c>
      <c r="F2241" t="s">
        <v>52</v>
      </c>
      <c r="G2241">
        <v>3</v>
      </c>
      <c r="H2241">
        <v>3</v>
      </c>
      <c r="I2241">
        <v>1</v>
      </c>
      <c r="J2241">
        <v>7</v>
      </c>
      <c r="K2241" s="482">
        <v>0.42899999999999999</v>
      </c>
      <c r="L2241" s="482">
        <v>0.42899999999999999</v>
      </c>
      <c r="M2241" s="482">
        <v>0.14299999999999999</v>
      </c>
    </row>
    <row r="2242" spans="1:13" x14ac:dyDescent="0.2">
      <c r="A2242" t="s">
        <v>3006</v>
      </c>
      <c r="B2242" t="s">
        <v>17</v>
      </c>
      <c r="C2242" t="s">
        <v>87</v>
      </c>
      <c r="D2242" t="s">
        <v>797</v>
      </c>
      <c r="E2242" t="s">
        <v>798</v>
      </c>
      <c r="F2242" t="s">
        <v>52</v>
      </c>
      <c r="G2242">
        <v>7</v>
      </c>
      <c r="H2242">
        <v>1</v>
      </c>
      <c r="I2242">
        <v>5</v>
      </c>
      <c r="J2242">
        <v>13</v>
      </c>
      <c r="K2242" s="482">
        <v>0.53800000000000003</v>
      </c>
      <c r="L2242" s="482">
        <v>7.6999999999999999E-2</v>
      </c>
      <c r="M2242" s="482">
        <v>0.38500000000000001</v>
      </c>
    </row>
    <row r="2243" spans="1:13" x14ac:dyDescent="0.2">
      <c r="A2243" t="s">
        <v>3007</v>
      </c>
      <c r="B2243" t="s">
        <v>17</v>
      </c>
      <c r="C2243" t="s">
        <v>87</v>
      </c>
      <c r="D2243" t="s">
        <v>800</v>
      </c>
      <c r="E2243" t="s">
        <v>801</v>
      </c>
      <c r="F2243" t="s">
        <v>52</v>
      </c>
      <c r="G2243">
        <v>28</v>
      </c>
      <c r="H2243">
        <v>15</v>
      </c>
      <c r="I2243">
        <v>6</v>
      </c>
      <c r="J2243">
        <v>49</v>
      </c>
      <c r="K2243" s="482">
        <v>0.57099999999999995</v>
      </c>
      <c r="L2243" s="482">
        <v>0.30599999999999999</v>
      </c>
      <c r="M2243" s="482">
        <v>0.122</v>
      </c>
    </row>
    <row r="2244" spans="1:13" x14ac:dyDescent="0.2">
      <c r="A2244" t="s">
        <v>3008</v>
      </c>
      <c r="B2244" t="s">
        <v>17</v>
      </c>
      <c r="C2244" t="s">
        <v>87</v>
      </c>
      <c r="D2244" t="s">
        <v>803</v>
      </c>
      <c r="E2244" t="s">
        <v>804</v>
      </c>
      <c r="F2244" t="s">
        <v>52</v>
      </c>
      <c r="G2244">
        <v>12</v>
      </c>
      <c r="H2244">
        <v>11</v>
      </c>
      <c r="I2244">
        <v>3</v>
      </c>
      <c r="J2244">
        <v>26</v>
      </c>
      <c r="K2244" s="482">
        <v>0.46200000000000002</v>
      </c>
      <c r="L2244" s="482">
        <v>0.42299999999999999</v>
      </c>
      <c r="M2244" s="482">
        <v>0.115</v>
      </c>
    </row>
    <row r="2245" spans="1:13" x14ac:dyDescent="0.2">
      <c r="A2245" t="s">
        <v>3009</v>
      </c>
      <c r="B2245" t="s">
        <v>17</v>
      </c>
      <c r="C2245" t="s">
        <v>87</v>
      </c>
      <c r="D2245" t="s">
        <v>806</v>
      </c>
      <c r="E2245" t="s">
        <v>807</v>
      </c>
      <c r="F2245" t="s">
        <v>52</v>
      </c>
      <c r="G2245">
        <v>4</v>
      </c>
      <c r="H2245">
        <v>3</v>
      </c>
      <c r="I2245">
        <v>1</v>
      </c>
      <c r="J2245">
        <v>8</v>
      </c>
      <c r="K2245" s="482">
        <v>0.5</v>
      </c>
      <c r="L2245" s="482">
        <v>0.375</v>
      </c>
      <c r="M2245" s="482">
        <v>0.125</v>
      </c>
    </row>
    <row r="2246" spans="1:13" x14ac:dyDescent="0.2">
      <c r="A2246" t="s">
        <v>3010</v>
      </c>
      <c r="B2246" t="s">
        <v>17</v>
      </c>
      <c r="C2246" t="s">
        <v>87</v>
      </c>
      <c r="D2246" t="s">
        <v>809</v>
      </c>
      <c r="E2246" t="s">
        <v>810</v>
      </c>
      <c r="F2246" t="s">
        <v>52</v>
      </c>
      <c r="G2246">
        <v>58</v>
      </c>
      <c r="H2246">
        <v>36</v>
      </c>
      <c r="I2246">
        <v>30</v>
      </c>
      <c r="J2246">
        <v>124</v>
      </c>
      <c r="K2246" s="482">
        <v>0.46800000000000003</v>
      </c>
      <c r="L2246" s="482">
        <v>0.28999999999999998</v>
      </c>
      <c r="M2246" s="482">
        <v>0.24199999999999999</v>
      </c>
    </row>
    <row r="2247" spans="1:13" x14ac:dyDescent="0.2">
      <c r="A2247" t="s">
        <v>3011</v>
      </c>
      <c r="B2247" t="s">
        <v>17</v>
      </c>
      <c r="C2247" t="s">
        <v>87</v>
      </c>
      <c r="D2247" t="s">
        <v>812</v>
      </c>
      <c r="E2247" t="s">
        <v>813</v>
      </c>
      <c r="F2247" t="s">
        <v>52</v>
      </c>
      <c r="G2247">
        <v>17</v>
      </c>
      <c r="H2247">
        <v>8</v>
      </c>
      <c r="I2247">
        <v>0</v>
      </c>
      <c r="J2247">
        <v>25</v>
      </c>
      <c r="K2247" s="482">
        <v>0.68</v>
      </c>
      <c r="L2247" s="482">
        <v>0.32</v>
      </c>
      <c r="M2247" s="482">
        <v>0</v>
      </c>
    </row>
    <row r="2248" spans="1:13" x14ac:dyDescent="0.2">
      <c r="A2248" t="s">
        <v>3012</v>
      </c>
      <c r="B2248" t="s">
        <v>17</v>
      </c>
      <c r="C2248" t="s">
        <v>87</v>
      </c>
      <c r="D2248" t="s">
        <v>815</v>
      </c>
      <c r="E2248" t="s">
        <v>816</v>
      </c>
      <c r="F2248" t="s">
        <v>52</v>
      </c>
      <c r="G2248">
        <v>39</v>
      </c>
      <c r="H2248">
        <v>19</v>
      </c>
      <c r="I2248">
        <v>12</v>
      </c>
      <c r="J2248">
        <v>70</v>
      </c>
      <c r="K2248" s="482">
        <v>0.55700000000000005</v>
      </c>
      <c r="L2248" s="482">
        <v>0.27100000000000002</v>
      </c>
      <c r="M2248" s="482">
        <v>0.17100000000000001</v>
      </c>
    </row>
    <row r="2249" spans="1:13" x14ac:dyDescent="0.2">
      <c r="A2249" t="s">
        <v>3013</v>
      </c>
      <c r="B2249" t="s">
        <v>17</v>
      </c>
      <c r="C2249" t="s">
        <v>87</v>
      </c>
      <c r="D2249" t="s">
        <v>818</v>
      </c>
      <c r="E2249" t="s">
        <v>819</v>
      </c>
      <c r="F2249" t="s">
        <v>52</v>
      </c>
      <c r="G2249">
        <v>15</v>
      </c>
      <c r="H2249">
        <v>10</v>
      </c>
      <c r="I2249">
        <v>4</v>
      </c>
      <c r="J2249">
        <v>29</v>
      </c>
      <c r="K2249" s="482">
        <v>0.51700000000000002</v>
      </c>
      <c r="L2249" s="482">
        <v>0.34499999999999997</v>
      </c>
      <c r="M2249" s="482">
        <v>0.13800000000000001</v>
      </c>
    </row>
    <row r="2250" spans="1:13" x14ac:dyDescent="0.2">
      <c r="A2250" t="s">
        <v>3014</v>
      </c>
      <c r="B2250" t="s">
        <v>17</v>
      </c>
      <c r="C2250" t="s">
        <v>87</v>
      </c>
      <c r="D2250" t="s">
        <v>824</v>
      </c>
      <c r="E2250" t="s">
        <v>825</v>
      </c>
      <c r="F2250" t="s">
        <v>52</v>
      </c>
      <c r="G2250">
        <v>27</v>
      </c>
      <c r="H2250">
        <v>15</v>
      </c>
      <c r="I2250">
        <v>3</v>
      </c>
      <c r="J2250">
        <v>45</v>
      </c>
      <c r="K2250" s="482">
        <v>0.6</v>
      </c>
      <c r="L2250" s="482">
        <v>0.33300000000000002</v>
      </c>
      <c r="M2250" s="482">
        <v>6.7000000000000004E-2</v>
      </c>
    </row>
    <row r="2251" spans="1:13" x14ac:dyDescent="0.2">
      <c r="A2251" t="s">
        <v>2932</v>
      </c>
      <c r="B2251" t="s">
        <v>17</v>
      </c>
      <c r="C2251" t="s">
        <v>87</v>
      </c>
      <c r="D2251" t="s">
        <v>563</v>
      </c>
      <c r="E2251" t="s">
        <v>564</v>
      </c>
      <c r="F2251" t="s">
        <v>52</v>
      </c>
      <c r="G2251">
        <v>3</v>
      </c>
      <c r="H2251">
        <v>7</v>
      </c>
      <c r="I2251">
        <v>1</v>
      </c>
      <c r="J2251">
        <v>11</v>
      </c>
      <c r="K2251" s="482">
        <v>0.27300000000000002</v>
      </c>
      <c r="L2251" s="482">
        <v>0.63600000000000001</v>
      </c>
      <c r="M2251" s="482">
        <v>9.0999999999999998E-2</v>
      </c>
    </row>
    <row r="2252" spans="1:13" x14ac:dyDescent="0.2">
      <c r="A2252" t="s">
        <v>2908</v>
      </c>
      <c r="B2252" t="s">
        <v>17</v>
      </c>
      <c r="C2252" t="s">
        <v>87</v>
      </c>
      <c r="D2252" t="s">
        <v>908</v>
      </c>
      <c r="E2252" t="s">
        <v>909</v>
      </c>
      <c r="F2252" t="s">
        <v>52</v>
      </c>
      <c r="G2252">
        <v>31</v>
      </c>
      <c r="H2252">
        <v>25</v>
      </c>
      <c r="I2252">
        <v>7</v>
      </c>
      <c r="J2252">
        <v>63</v>
      </c>
      <c r="K2252" s="482">
        <v>0.49199999999999999</v>
      </c>
      <c r="L2252" s="482">
        <v>0.39700000000000002</v>
      </c>
      <c r="M2252" s="482">
        <v>0.111</v>
      </c>
    </row>
    <row r="2253" spans="1:13" x14ac:dyDescent="0.2">
      <c r="A2253" t="s">
        <v>2907</v>
      </c>
      <c r="B2253" t="s">
        <v>17</v>
      </c>
      <c r="C2253" t="s">
        <v>87</v>
      </c>
      <c r="D2253" t="s">
        <v>486</v>
      </c>
      <c r="E2253" t="s">
        <v>487</v>
      </c>
      <c r="F2253" t="s">
        <v>52</v>
      </c>
      <c r="G2253">
        <v>22</v>
      </c>
      <c r="H2253">
        <v>12</v>
      </c>
      <c r="I2253">
        <v>5</v>
      </c>
      <c r="J2253">
        <v>39</v>
      </c>
      <c r="K2253" s="482">
        <v>0.56399999999999995</v>
      </c>
      <c r="L2253" s="482">
        <v>0.308</v>
      </c>
      <c r="M2253" s="482">
        <v>0.128</v>
      </c>
    </row>
    <row r="2254" spans="1:13" x14ac:dyDescent="0.2">
      <c r="A2254" t="s">
        <v>3039</v>
      </c>
      <c r="B2254" t="s">
        <v>17</v>
      </c>
      <c r="C2254" t="s">
        <v>87</v>
      </c>
      <c r="D2254" t="s">
        <v>489</v>
      </c>
      <c r="E2254" t="s">
        <v>490</v>
      </c>
      <c r="F2254" t="s">
        <v>52</v>
      </c>
      <c r="G2254">
        <v>18</v>
      </c>
      <c r="H2254">
        <v>6</v>
      </c>
      <c r="I2254">
        <v>9</v>
      </c>
      <c r="J2254">
        <v>33</v>
      </c>
      <c r="K2254" s="482">
        <v>0.54500000000000004</v>
      </c>
      <c r="L2254" s="482">
        <v>0.182</v>
      </c>
      <c r="M2254" s="482">
        <v>0.27300000000000002</v>
      </c>
    </row>
    <row r="2255" spans="1:13" x14ac:dyDescent="0.2">
      <c r="A2255" t="s">
        <v>3041</v>
      </c>
      <c r="B2255" t="s">
        <v>17</v>
      </c>
      <c r="C2255" t="s">
        <v>87</v>
      </c>
      <c r="D2255" t="s">
        <v>911</v>
      </c>
      <c r="E2255" t="s">
        <v>912</v>
      </c>
      <c r="F2255" t="s">
        <v>52</v>
      </c>
      <c r="G2255">
        <v>6</v>
      </c>
      <c r="H2255">
        <v>2</v>
      </c>
      <c r="I2255">
        <v>4</v>
      </c>
      <c r="J2255">
        <v>12</v>
      </c>
      <c r="K2255" s="482">
        <v>0.5</v>
      </c>
      <c r="L2255" s="482">
        <v>0.16700000000000001</v>
      </c>
      <c r="M2255" s="482">
        <v>0.33300000000000002</v>
      </c>
    </row>
    <row r="2256" spans="1:13" x14ac:dyDescent="0.2">
      <c r="A2256" t="s">
        <v>3042</v>
      </c>
      <c r="B2256" t="s">
        <v>17</v>
      </c>
      <c r="C2256" t="s">
        <v>87</v>
      </c>
      <c r="D2256" t="s">
        <v>914</v>
      </c>
      <c r="E2256" t="s">
        <v>915</v>
      </c>
      <c r="F2256" t="s">
        <v>52</v>
      </c>
      <c r="G2256">
        <v>4</v>
      </c>
      <c r="H2256">
        <v>3</v>
      </c>
      <c r="I2256">
        <v>3</v>
      </c>
      <c r="J2256">
        <v>10</v>
      </c>
      <c r="K2256" s="482">
        <v>0.4</v>
      </c>
      <c r="L2256" s="482">
        <v>0.3</v>
      </c>
      <c r="M2256" s="482">
        <v>0.3</v>
      </c>
    </row>
    <row r="2257" spans="1:13" x14ac:dyDescent="0.2">
      <c r="A2257" t="s">
        <v>3043</v>
      </c>
      <c r="B2257" t="s">
        <v>17</v>
      </c>
      <c r="C2257" t="s">
        <v>87</v>
      </c>
      <c r="D2257" t="s">
        <v>917</v>
      </c>
      <c r="E2257" t="s">
        <v>918</v>
      </c>
      <c r="F2257" t="s">
        <v>52</v>
      </c>
      <c r="G2257">
        <v>8</v>
      </c>
      <c r="H2257">
        <v>4</v>
      </c>
      <c r="I2257">
        <v>2</v>
      </c>
      <c r="J2257">
        <v>14</v>
      </c>
      <c r="K2257" s="482">
        <v>0.57099999999999995</v>
      </c>
      <c r="L2257" s="482">
        <v>0.28599999999999998</v>
      </c>
      <c r="M2257" s="482">
        <v>0.14299999999999999</v>
      </c>
    </row>
    <row r="2258" spans="1:13" x14ac:dyDescent="0.2">
      <c r="A2258" t="s">
        <v>3044</v>
      </c>
      <c r="B2258" t="s">
        <v>17</v>
      </c>
      <c r="C2258" t="s">
        <v>87</v>
      </c>
      <c r="D2258" t="s">
        <v>920</v>
      </c>
      <c r="E2258" t="s">
        <v>921</v>
      </c>
      <c r="F2258" t="s">
        <v>52</v>
      </c>
      <c r="G2258">
        <v>10</v>
      </c>
      <c r="H2258">
        <v>14</v>
      </c>
      <c r="I2258">
        <v>6</v>
      </c>
      <c r="J2258">
        <v>30</v>
      </c>
      <c r="K2258" s="482">
        <v>0.33300000000000002</v>
      </c>
      <c r="L2258" s="482">
        <v>0.46700000000000003</v>
      </c>
      <c r="M2258" s="482">
        <v>0.2</v>
      </c>
    </row>
    <row r="2259" spans="1:13" x14ac:dyDescent="0.2">
      <c r="A2259" t="s">
        <v>3045</v>
      </c>
      <c r="B2259" t="s">
        <v>17</v>
      </c>
      <c r="C2259" t="s">
        <v>87</v>
      </c>
      <c r="D2259" t="s">
        <v>923</v>
      </c>
      <c r="E2259" t="s">
        <v>924</v>
      </c>
      <c r="F2259" t="s">
        <v>52</v>
      </c>
      <c r="G2259">
        <v>6</v>
      </c>
      <c r="H2259">
        <v>5</v>
      </c>
      <c r="I2259">
        <v>2</v>
      </c>
      <c r="J2259">
        <v>13</v>
      </c>
      <c r="K2259" s="482">
        <v>0.46200000000000002</v>
      </c>
      <c r="L2259" s="482">
        <v>0.38500000000000001</v>
      </c>
      <c r="M2259" s="482">
        <v>0.154</v>
      </c>
    </row>
    <row r="2260" spans="1:13" x14ac:dyDescent="0.2">
      <c r="A2260" t="s">
        <v>3046</v>
      </c>
      <c r="B2260" t="s">
        <v>17</v>
      </c>
      <c r="C2260" t="s">
        <v>87</v>
      </c>
      <c r="D2260" t="s">
        <v>926</v>
      </c>
      <c r="E2260" t="s">
        <v>927</v>
      </c>
      <c r="F2260" t="s">
        <v>52</v>
      </c>
      <c r="G2260">
        <v>3</v>
      </c>
      <c r="H2260">
        <v>1</v>
      </c>
      <c r="I2260">
        <v>2</v>
      </c>
      <c r="J2260">
        <v>6</v>
      </c>
      <c r="K2260" s="482">
        <v>0.5</v>
      </c>
      <c r="L2260" s="482">
        <v>0.16700000000000001</v>
      </c>
      <c r="M2260" s="482">
        <v>0.33300000000000002</v>
      </c>
    </row>
    <row r="2261" spans="1:13" x14ac:dyDescent="0.2">
      <c r="A2261" t="s">
        <v>2892</v>
      </c>
      <c r="B2261" t="s">
        <v>17</v>
      </c>
      <c r="C2261" t="s">
        <v>87</v>
      </c>
      <c r="D2261" t="s">
        <v>929</v>
      </c>
      <c r="E2261" t="s">
        <v>930</v>
      </c>
      <c r="F2261" t="s">
        <v>52</v>
      </c>
      <c r="G2261">
        <v>12</v>
      </c>
      <c r="H2261">
        <v>5</v>
      </c>
      <c r="I2261">
        <v>2</v>
      </c>
      <c r="J2261">
        <v>19</v>
      </c>
      <c r="K2261" s="482">
        <v>0.63200000000000001</v>
      </c>
      <c r="L2261" s="482">
        <v>0.26300000000000001</v>
      </c>
      <c r="M2261" s="482">
        <v>0.105</v>
      </c>
    </row>
    <row r="2262" spans="1:13" x14ac:dyDescent="0.2">
      <c r="A2262" t="s">
        <v>2909</v>
      </c>
      <c r="B2262" t="s">
        <v>17</v>
      </c>
      <c r="C2262" t="s">
        <v>87</v>
      </c>
      <c r="D2262" t="s">
        <v>492</v>
      </c>
      <c r="E2262" t="s">
        <v>493</v>
      </c>
      <c r="F2262" t="s">
        <v>52</v>
      </c>
      <c r="G2262">
        <v>10</v>
      </c>
      <c r="H2262">
        <v>6</v>
      </c>
      <c r="I2262">
        <v>4</v>
      </c>
      <c r="J2262">
        <v>20</v>
      </c>
      <c r="K2262" s="482">
        <v>0.5</v>
      </c>
      <c r="L2262" s="482">
        <v>0.3</v>
      </c>
      <c r="M2262" s="482">
        <v>0.2</v>
      </c>
    </row>
    <row r="2263" spans="1:13" x14ac:dyDescent="0.2">
      <c r="A2263" t="s">
        <v>2880</v>
      </c>
      <c r="B2263" t="s">
        <v>17</v>
      </c>
      <c r="C2263" t="s">
        <v>87</v>
      </c>
      <c r="D2263" t="s">
        <v>411</v>
      </c>
      <c r="E2263" t="s">
        <v>412</v>
      </c>
      <c r="F2263" t="s">
        <v>52</v>
      </c>
      <c r="G2263">
        <v>13</v>
      </c>
      <c r="H2263">
        <v>2</v>
      </c>
      <c r="I2263">
        <v>9</v>
      </c>
      <c r="J2263">
        <v>24</v>
      </c>
      <c r="K2263" s="482">
        <v>0.54200000000000004</v>
      </c>
      <c r="L2263" s="482">
        <v>8.3000000000000004E-2</v>
      </c>
      <c r="M2263" s="482">
        <v>0.375</v>
      </c>
    </row>
    <row r="2264" spans="1:13" x14ac:dyDescent="0.2">
      <c r="A2264" t="s">
        <v>2881</v>
      </c>
      <c r="B2264" t="s">
        <v>17</v>
      </c>
      <c r="C2264" t="s">
        <v>87</v>
      </c>
      <c r="D2264" t="s">
        <v>414</v>
      </c>
      <c r="E2264" t="s">
        <v>415</v>
      </c>
      <c r="F2264" t="s">
        <v>52</v>
      </c>
      <c r="G2264">
        <v>13</v>
      </c>
      <c r="H2264">
        <v>4</v>
      </c>
      <c r="I2264">
        <v>2</v>
      </c>
      <c r="J2264">
        <v>19</v>
      </c>
      <c r="K2264" s="482">
        <v>0.68400000000000005</v>
      </c>
      <c r="L2264" s="482">
        <v>0.21099999999999999</v>
      </c>
      <c r="M2264" s="482">
        <v>0.105</v>
      </c>
    </row>
    <row r="2265" spans="1:13" x14ac:dyDescent="0.2">
      <c r="A2265" t="s">
        <v>2947</v>
      </c>
      <c r="B2265" t="s">
        <v>17</v>
      </c>
      <c r="C2265" t="s">
        <v>87</v>
      </c>
      <c r="D2265" t="s">
        <v>417</v>
      </c>
      <c r="E2265" t="s">
        <v>418</v>
      </c>
      <c r="F2265" t="s">
        <v>52</v>
      </c>
      <c r="G2265">
        <v>28</v>
      </c>
      <c r="H2265">
        <v>12</v>
      </c>
      <c r="I2265">
        <v>11</v>
      </c>
      <c r="J2265">
        <v>51</v>
      </c>
      <c r="K2265" s="482">
        <v>0.54900000000000004</v>
      </c>
      <c r="L2265" s="482">
        <v>0.23499999999999999</v>
      </c>
      <c r="M2265" s="482">
        <v>0.216</v>
      </c>
    </row>
    <row r="2266" spans="1:13" x14ac:dyDescent="0.2">
      <c r="A2266" t="s">
        <v>2948</v>
      </c>
      <c r="B2266" t="s">
        <v>17</v>
      </c>
      <c r="C2266" t="s">
        <v>87</v>
      </c>
      <c r="D2266" t="s">
        <v>610</v>
      </c>
      <c r="E2266" t="s">
        <v>611</v>
      </c>
      <c r="F2266" t="s">
        <v>52</v>
      </c>
      <c r="G2266">
        <v>5</v>
      </c>
      <c r="H2266">
        <v>7</v>
      </c>
      <c r="I2266">
        <v>3</v>
      </c>
      <c r="J2266">
        <v>15</v>
      </c>
      <c r="K2266" s="482">
        <v>0.33300000000000002</v>
      </c>
      <c r="L2266" s="482">
        <v>0.46700000000000003</v>
      </c>
      <c r="M2266" s="482">
        <v>0.2</v>
      </c>
    </row>
    <row r="2267" spans="1:13" x14ac:dyDescent="0.2">
      <c r="A2267" t="s">
        <v>2949</v>
      </c>
      <c r="B2267" t="s">
        <v>17</v>
      </c>
      <c r="C2267" t="s">
        <v>87</v>
      </c>
      <c r="D2267" t="s">
        <v>613</v>
      </c>
      <c r="E2267" t="s">
        <v>614</v>
      </c>
      <c r="F2267" t="s">
        <v>52</v>
      </c>
      <c r="G2267">
        <v>4</v>
      </c>
      <c r="H2267">
        <v>5</v>
      </c>
      <c r="I2267">
        <v>3</v>
      </c>
      <c r="J2267">
        <v>12</v>
      </c>
      <c r="K2267" s="482">
        <v>0.33300000000000002</v>
      </c>
      <c r="L2267" s="482">
        <v>0.41699999999999998</v>
      </c>
      <c r="M2267" s="482">
        <v>0.25</v>
      </c>
    </row>
    <row r="2268" spans="1:13" x14ac:dyDescent="0.2">
      <c r="A2268" t="s">
        <v>2950</v>
      </c>
      <c r="B2268" t="s">
        <v>17</v>
      </c>
      <c r="C2268" t="s">
        <v>87</v>
      </c>
      <c r="D2268" t="s">
        <v>616</v>
      </c>
      <c r="E2268" t="s">
        <v>617</v>
      </c>
      <c r="F2268" t="s">
        <v>52</v>
      </c>
      <c r="G2268">
        <v>13</v>
      </c>
      <c r="H2268">
        <v>4</v>
      </c>
      <c r="I2268">
        <v>4</v>
      </c>
      <c r="J2268">
        <v>21</v>
      </c>
      <c r="K2268" s="482">
        <v>0.61899999999999999</v>
      </c>
      <c r="L2268" s="482">
        <v>0.19</v>
      </c>
      <c r="M2268" s="482">
        <v>0.19</v>
      </c>
    </row>
    <row r="2269" spans="1:13" x14ac:dyDescent="0.2">
      <c r="A2269" t="s">
        <v>2951</v>
      </c>
      <c r="B2269" t="s">
        <v>17</v>
      </c>
      <c r="C2269" t="s">
        <v>87</v>
      </c>
      <c r="D2269" t="s">
        <v>619</v>
      </c>
      <c r="E2269" t="s">
        <v>338</v>
      </c>
      <c r="F2269" t="s">
        <v>52</v>
      </c>
      <c r="G2269">
        <v>12</v>
      </c>
      <c r="H2269">
        <v>4</v>
      </c>
      <c r="I2269">
        <v>4</v>
      </c>
      <c r="J2269">
        <v>20</v>
      </c>
      <c r="K2269" s="482">
        <v>0.6</v>
      </c>
      <c r="L2269" s="482">
        <v>0.2</v>
      </c>
      <c r="M2269" s="482">
        <v>0.2</v>
      </c>
    </row>
    <row r="2270" spans="1:13" x14ac:dyDescent="0.2">
      <c r="A2270" t="s">
        <v>2952</v>
      </c>
      <c r="B2270" t="s">
        <v>17</v>
      </c>
      <c r="C2270" t="s">
        <v>87</v>
      </c>
      <c r="D2270" t="s">
        <v>621</v>
      </c>
      <c r="E2270" t="s">
        <v>622</v>
      </c>
      <c r="F2270" t="s">
        <v>52</v>
      </c>
      <c r="G2270">
        <v>17</v>
      </c>
      <c r="H2270">
        <v>10</v>
      </c>
      <c r="I2270">
        <v>7</v>
      </c>
      <c r="J2270">
        <v>34</v>
      </c>
      <c r="K2270" s="482">
        <v>0.5</v>
      </c>
      <c r="L2270" s="482">
        <v>0.29399999999999998</v>
      </c>
      <c r="M2270" s="482">
        <v>0.20599999999999999</v>
      </c>
    </row>
    <row r="2271" spans="1:13" x14ac:dyDescent="0.2">
      <c r="A2271" t="s">
        <v>2953</v>
      </c>
      <c r="B2271" t="s">
        <v>17</v>
      </c>
      <c r="C2271" t="s">
        <v>87</v>
      </c>
      <c r="D2271" t="s">
        <v>624</v>
      </c>
      <c r="E2271" t="s">
        <v>625</v>
      </c>
      <c r="F2271" t="s">
        <v>52</v>
      </c>
      <c r="G2271">
        <v>16</v>
      </c>
      <c r="H2271">
        <v>9</v>
      </c>
      <c r="I2271">
        <v>6</v>
      </c>
      <c r="J2271">
        <v>31</v>
      </c>
      <c r="K2271" s="482">
        <v>0.51600000000000001</v>
      </c>
      <c r="L2271" s="482">
        <v>0.28999999999999998</v>
      </c>
      <c r="M2271" s="482">
        <v>0.19400000000000001</v>
      </c>
    </row>
    <row r="2272" spans="1:13" x14ac:dyDescent="0.2">
      <c r="A2272" t="s">
        <v>6567</v>
      </c>
      <c r="B2272" t="s">
        <v>17</v>
      </c>
      <c r="C2272" t="s">
        <v>87</v>
      </c>
      <c r="D2272" t="s">
        <v>6553</v>
      </c>
      <c r="E2272" t="s">
        <v>6543</v>
      </c>
      <c r="F2272" t="s">
        <v>52</v>
      </c>
      <c r="G2272">
        <v>65</v>
      </c>
      <c r="H2272">
        <v>40</v>
      </c>
      <c r="I2272">
        <v>22</v>
      </c>
      <c r="J2272">
        <v>127</v>
      </c>
      <c r="K2272" s="482">
        <v>0.51200000000000001</v>
      </c>
      <c r="L2272" s="482">
        <v>0.315</v>
      </c>
      <c r="M2272" s="482">
        <v>0.17299999999999999</v>
      </c>
    </row>
    <row r="2273" spans="1:13" x14ac:dyDescent="0.2">
      <c r="A2273" t="s">
        <v>2954</v>
      </c>
      <c r="B2273" t="s">
        <v>17</v>
      </c>
      <c r="C2273" t="s">
        <v>87</v>
      </c>
      <c r="D2273" t="s">
        <v>630</v>
      </c>
      <c r="E2273" t="s">
        <v>631</v>
      </c>
      <c r="F2273" t="s">
        <v>52</v>
      </c>
      <c r="G2273">
        <v>8</v>
      </c>
      <c r="H2273">
        <v>7</v>
      </c>
      <c r="I2273">
        <v>4</v>
      </c>
      <c r="J2273">
        <v>19</v>
      </c>
      <c r="K2273" s="482">
        <v>0.42099999999999999</v>
      </c>
      <c r="L2273" s="482">
        <v>0.36799999999999999</v>
      </c>
      <c r="M2273" s="482">
        <v>0.21099999999999999</v>
      </c>
    </row>
    <row r="2274" spans="1:13" x14ac:dyDescent="0.2">
      <c r="A2274" t="s">
        <v>2955</v>
      </c>
      <c r="B2274" t="s">
        <v>17</v>
      </c>
      <c r="C2274" t="s">
        <v>87</v>
      </c>
      <c r="D2274" t="s">
        <v>633</v>
      </c>
      <c r="E2274" t="s">
        <v>634</v>
      </c>
      <c r="F2274" t="s">
        <v>52</v>
      </c>
      <c r="G2274">
        <v>0</v>
      </c>
      <c r="H2274">
        <v>0</v>
      </c>
      <c r="I2274" t="s">
        <v>53</v>
      </c>
      <c r="J2274" t="s">
        <v>53</v>
      </c>
      <c r="K2274" t="s">
        <v>53</v>
      </c>
      <c r="L2274" t="s">
        <v>53</v>
      </c>
      <c r="M2274" t="s">
        <v>53</v>
      </c>
    </row>
    <row r="2275" spans="1:13" x14ac:dyDescent="0.2">
      <c r="A2275" t="s">
        <v>2956</v>
      </c>
      <c r="B2275" t="s">
        <v>17</v>
      </c>
      <c r="C2275" t="s">
        <v>87</v>
      </c>
      <c r="D2275" t="s">
        <v>636</v>
      </c>
      <c r="E2275" t="s">
        <v>637</v>
      </c>
      <c r="F2275" t="s">
        <v>52</v>
      </c>
      <c r="G2275">
        <v>7</v>
      </c>
      <c r="H2275">
        <v>21</v>
      </c>
      <c r="I2275">
        <v>8</v>
      </c>
      <c r="J2275">
        <v>36</v>
      </c>
      <c r="K2275" s="482">
        <v>0.19400000000000001</v>
      </c>
      <c r="L2275" s="482">
        <v>0.58299999999999996</v>
      </c>
      <c r="M2275" s="482">
        <v>0.222</v>
      </c>
    </row>
    <row r="2276" spans="1:13" x14ac:dyDescent="0.2">
      <c r="A2276" t="s">
        <v>2957</v>
      </c>
      <c r="B2276" t="s">
        <v>17</v>
      </c>
      <c r="C2276" t="s">
        <v>87</v>
      </c>
      <c r="D2276" t="s">
        <v>639</v>
      </c>
      <c r="E2276" t="s">
        <v>640</v>
      </c>
      <c r="F2276" t="s">
        <v>52</v>
      </c>
      <c r="G2276">
        <v>12</v>
      </c>
      <c r="H2276">
        <v>6</v>
      </c>
      <c r="I2276">
        <v>4</v>
      </c>
      <c r="J2276">
        <v>22</v>
      </c>
      <c r="K2276" s="482">
        <v>0.54500000000000004</v>
      </c>
      <c r="L2276" s="482">
        <v>0.27300000000000002</v>
      </c>
      <c r="M2276" s="482">
        <v>0.182</v>
      </c>
    </row>
    <row r="2277" spans="1:13" x14ac:dyDescent="0.2">
      <c r="A2277" t="s">
        <v>2958</v>
      </c>
      <c r="B2277" t="s">
        <v>17</v>
      </c>
      <c r="C2277" t="s">
        <v>87</v>
      </c>
      <c r="D2277" t="s">
        <v>642</v>
      </c>
      <c r="E2277" t="s">
        <v>643</v>
      </c>
      <c r="F2277" t="s">
        <v>52</v>
      </c>
      <c r="G2277">
        <v>9</v>
      </c>
      <c r="H2277">
        <v>4</v>
      </c>
      <c r="I2277">
        <v>3</v>
      </c>
      <c r="J2277">
        <v>16</v>
      </c>
      <c r="K2277" s="482">
        <v>0.56299999999999994</v>
      </c>
      <c r="L2277" s="482">
        <v>0.25</v>
      </c>
      <c r="M2277" s="482">
        <v>0.188</v>
      </c>
    </row>
    <row r="2278" spans="1:13" x14ac:dyDescent="0.2">
      <c r="A2278" t="s">
        <v>2959</v>
      </c>
      <c r="B2278" t="s">
        <v>17</v>
      </c>
      <c r="C2278" t="s">
        <v>87</v>
      </c>
      <c r="D2278" t="s">
        <v>645</v>
      </c>
      <c r="E2278" t="s">
        <v>646</v>
      </c>
      <c r="F2278" t="s">
        <v>52</v>
      </c>
      <c r="G2278">
        <v>5</v>
      </c>
      <c r="H2278">
        <v>1</v>
      </c>
      <c r="I2278">
        <v>3</v>
      </c>
      <c r="J2278">
        <v>9</v>
      </c>
      <c r="K2278" s="482">
        <v>0.55600000000000005</v>
      </c>
      <c r="L2278" s="482">
        <v>0.111</v>
      </c>
      <c r="M2278" s="482">
        <v>0.33300000000000002</v>
      </c>
    </row>
    <row r="2279" spans="1:13" x14ac:dyDescent="0.2">
      <c r="A2279" t="s">
        <v>2960</v>
      </c>
      <c r="B2279" t="s">
        <v>17</v>
      </c>
      <c r="C2279" t="s">
        <v>87</v>
      </c>
      <c r="D2279" t="s">
        <v>648</v>
      </c>
      <c r="E2279" t="s">
        <v>649</v>
      </c>
      <c r="F2279" t="s">
        <v>52</v>
      </c>
      <c r="G2279" t="s">
        <v>53</v>
      </c>
      <c r="H2279" t="s">
        <v>53</v>
      </c>
      <c r="I2279">
        <v>0</v>
      </c>
      <c r="J2279" t="s">
        <v>53</v>
      </c>
      <c r="K2279" t="s">
        <v>53</v>
      </c>
      <c r="L2279" t="s">
        <v>53</v>
      </c>
      <c r="M2279" t="s">
        <v>53</v>
      </c>
    </row>
    <row r="2280" spans="1:13" x14ac:dyDescent="0.2">
      <c r="A2280" t="s">
        <v>2961</v>
      </c>
      <c r="B2280" t="s">
        <v>17</v>
      </c>
      <c r="C2280" t="s">
        <v>87</v>
      </c>
      <c r="D2280" t="s">
        <v>654</v>
      </c>
      <c r="E2280" t="s">
        <v>655</v>
      </c>
      <c r="F2280" t="s">
        <v>52</v>
      </c>
      <c r="G2280">
        <v>7</v>
      </c>
      <c r="H2280">
        <v>8</v>
      </c>
      <c r="I2280">
        <v>3</v>
      </c>
      <c r="J2280">
        <v>18</v>
      </c>
      <c r="K2280" s="482">
        <v>0.38900000000000001</v>
      </c>
      <c r="L2280" s="482">
        <v>0.44400000000000001</v>
      </c>
      <c r="M2280" s="482">
        <v>0.16700000000000001</v>
      </c>
    </row>
    <row r="2281" spans="1:13" x14ac:dyDescent="0.2">
      <c r="A2281" t="s">
        <v>2962</v>
      </c>
      <c r="B2281" t="s">
        <v>17</v>
      </c>
      <c r="C2281" t="s">
        <v>87</v>
      </c>
      <c r="D2281" t="s">
        <v>657</v>
      </c>
      <c r="E2281" t="s">
        <v>658</v>
      </c>
      <c r="F2281" t="s">
        <v>52</v>
      </c>
      <c r="G2281">
        <v>7</v>
      </c>
      <c r="H2281">
        <v>0</v>
      </c>
      <c r="I2281">
        <v>0</v>
      </c>
      <c r="J2281">
        <v>7</v>
      </c>
      <c r="K2281" s="482">
        <v>1</v>
      </c>
      <c r="L2281" s="482">
        <v>0</v>
      </c>
      <c r="M2281" s="482">
        <v>0</v>
      </c>
    </row>
    <row r="2282" spans="1:13" x14ac:dyDescent="0.2">
      <c r="A2282" t="s">
        <v>2963</v>
      </c>
      <c r="B2282" t="s">
        <v>17</v>
      </c>
      <c r="C2282" t="s">
        <v>87</v>
      </c>
      <c r="D2282" t="s">
        <v>660</v>
      </c>
      <c r="E2282" t="s">
        <v>661</v>
      </c>
      <c r="F2282" t="s">
        <v>52</v>
      </c>
      <c r="G2282">
        <v>3</v>
      </c>
      <c r="H2282">
        <v>2</v>
      </c>
      <c r="I2282">
        <v>1</v>
      </c>
      <c r="J2282">
        <v>6</v>
      </c>
      <c r="K2282" s="482">
        <v>0.5</v>
      </c>
      <c r="L2282" s="482">
        <v>0.33300000000000002</v>
      </c>
      <c r="M2282" s="482">
        <v>0.16700000000000001</v>
      </c>
    </row>
    <row r="2283" spans="1:13" x14ac:dyDescent="0.2">
      <c r="A2283" t="s">
        <v>2964</v>
      </c>
      <c r="B2283" t="s">
        <v>17</v>
      </c>
      <c r="C2283" t="s">
        <v>87</v>
      </c>
      <c r="D2283" t="s">
        <v>663</v>
      </c>
      <c r="E2283" t="s">
        <v>664</v>
      </c>
      <c r="F2283" t="s">
        <v>52</v>
      </c>
      <c r="G2283">
        <v>28</v>
      </c>
      <c r="H2283">
        <v>25</v>
      </c>
      <c r="I2283">
        <v>4</v>
      </c>
      <c r="J2283">
        <v>57</v>
      </c>
      <c r="K2283" s="482">
        <v>0.49099999999999999</v>
      </c>
      <c r="L2283" s="482">
        <v>0.439</v>
      </c>
      <c r="M2283" s="482">
        <v>7.0000000000000007E-2</v>
      </c>
    </row>
    <row r="2284" spans="1:13" x14ac:dyDescent="0.2">
      <c r="A2284" t="s">
        <v>2965</v>
      </c>
      <c r="B2284" t="s">
        <v>17</v>
      </c>
      <c r="C2284" t="s">
        <v>87</v>
      </c>
      <c r="D2284" t="s">
        <v>666</v>
      </c>
      <c r="E2284" t="s">
        <v>667</v>
      </c>
      <c r="F2284" t="s">
        <v>52</v>
      </c>
      <c r="G2284">
        <v>2</v>
      </c>
      <c r="H2284">
        <v>3</v>
      </c>
      <c r="I2284">
        <v>1</v>
      </c>
      <c r="J2284">
        <v>6</v>
      </c>
      <c r="K2284" s="482">
        <v>0.33300000000000002</v>
      </c>
      <c r="L2284" s="482">
        <v>0.5</v>
      </c>
      <c r="M2284" s="482">
        <v>0.16700000000000001</v>
      </c>
    </row>
    <row r="2285" spans="1:13" x14ac:dyDescent="0.2">
      <c r="A2285" t="s">
        <v>2966</v>
      </c>
      <c r="B2285" t="s">
        <v>17</v>
      </c>
      <c r="C2285" t="s">
        <v>87</v>
      </c>
      <c r="D2285" t="s">
        <v>669</v>
      </c>
      <c r="E2285" t="s">
        <v>670</v>
      </c>
      <c r="F2285" t="s">
        <v>52</v>
      </c>
      <c r="G2285" t="s">
        <v>53</v>
      </c>
      <c r="H2285" t="s">
        <v>53</v>
      </c>
      <c r="I2285">
        <v>0</v>
      </c>
      <c r="J2285" t="s">
        <v>53</v>
      </c>
      <c r="K2285" t="s">
        <v>53</v>
      </c>
      <c r="L2285" t="s">
        <v>53</v>
      </c>
      <c r="M2285" t="s">
        <v>53</v>
      </c>
    </row>
    <row r="2286" spans="1:13" x14ac:dyDescent="0.2">
      <c r="A2286" t="s">
        <v>2967</v>
      </c>
      <c r="B2286" t="s">
        <v>17</v>
      </c>
      <c r="C2286" t="s">
        <v>87</v>
      </c>
      <c r="D2286" t="s">
        <v>672</v>
      </c>
      <c r="E2286" t="s">
        <v>673</v>
      </c>
      <c r="F2286" t="s">
        <v>52</v>
      </c>
      <c r="G2286">
        <v>26</v>
      </c>
      <c r="H2286">
        <v>14</v>
      </c>
      <c r="I2286">
        <v>4</v>
      </c>
      <c r="J2286">
        <v>44</v>
      </c>
      <c r="K2286" s="482">
        <v>0.59099999999999997</v>
      </c>
      <c r="L2286" s="482">
        <v>0.318</v>
      </c>
      <c r="M2286" s="482">
        <v>9.0999999999999998E-2</v>
      </c>
    </row>
    <row r="2287" spans="1:13" x14ac:dyDescent="0.2">
      <c r="A2287" t="s">
        <v>2968</v>
      </c>
      <c r="B2287" t="s">
        <v>17</v>
      </c>
      <c r="C2287" t="s">
        <v>87</v>
      </c>
      <c r="D2287" t="s">
        <v>675</v>
      </c>
      <c r="E2287" t="s">
        <v>676</v>
      </c>
      <c r="F2287" t="s">
        <v>52</v>
      </c>
      <c r="G2287">
        <v>13</v>
      </c>
      <c r="H2287">
        <v>3</v>
      </c>
      <c r="I2287">
        <v>3</v>
      </c>
      <c r="J2287">
        <v>19</v>
      </c>
      <c r="K2287" s="482">
        <v>0.68400000000000005</v>
      </c>
      <c r="L2287" s="482">
        <v>0.158</v>
      </c>
      <c r="M2287" s="482">
        <v>0.158</v>
      </c>
    </row>
    <row r="2288" spans="1:13" x14ac:dyDescent="0.2">
      <c r="A2288" t="s">
        <v>3068</v>
      </c>
      <c r="B2288" t="s">
        <v>17</v>
      </c>
      <c r="C2288" t="s">
        <v>87</v>
      </c>
      <c r="D2288" t="s">
        <v>992</v>
      </c>
      <c r="E2288" t="s">
        <v>993</v>
      </c>
      <c r="F2288" t="s">
        <v>52</v>
      </c>
      <c r="G2288" t="s">
        <v>53</v>
      </c>
      <c r="H2288" t="s">
        <v>53</v>
      </c>
      <c r="I2288" t="s">
        <v>53</v>
      </c>
      <c r="J2288" t="s">
        <v>53</v>
      </c>
      <c r="K2288" t="s">
        <v>53</v>
      </c>
      <c r="L2288" t="s">
        <v>53</v>
      </c>
      <c r="M2288" t="s">
        <v>53</v>
      </c>
    </row>
    <row r="2289" spans="1:13" x14ac:dyDescent="0.2">
      <c r="A2289" t="s">
        <v>3069</v>
      </c>
      <c r="B2289" t="s">
        <v>17</v>
      </c>
      <c r="C2289" t="s">
        <v>87</v>
      </c>
      <c r="D2289" t="s">
        <v>995</v>
      </c>
      <c r="E2289" t="s">
        <v>996</v>
      </c>
      <c r="F2289" t="s">
        <v>52</v>
      </c>
      <c r="G2289">
        <v>19</v>
      </c>
      <c r="H2289">
        <v>13</v>
      </c>
      <c r="I2289">
        <v>5</v>
      </c>
      <c r="J2289">
        <v>37</v>
      </c>
      <c r="K2289" s="482">
        <v>0.51400000000000001</v>
      </c>
      <c r="L2289" s="482">
        <v>0.35099999999999998</v>
      </c>
      <c r="M2289" s="482">
        <v>0.13500000000000001</v>
      </c>
    </row>
    <row r="2290" spans="1:13" x14ac:dyDescent="0.2">
      <c r="A2290" t="s">
        <v>3070</v>
      </c>
      <c r="B2290" t="s">
        <v>17</v>
      </c>
      <c r="C2290" t="s">
        <v>87</v>
      </c>
      <c r="D2290" t="s">
        <v>998</v>
      </c>
      <c r="E2290" t="s">
        <v>999</v>
      </c>
      <c r="F2290" t="s">
        <v>52</v>
      </c>
      <c r="G2290">
        <v>8</v>
      </c>
      <c r="H2290">
        <v>12</v>
      </c>
      <c r="I2290">
        <v>7</v>
      </c>
      <c r="J2290">
        <v>27</v>
      </c>
      <c r="K2290" s="482">
        <v>0.29599999999999999</v>
      </c>
      <c r="L2290" s="482">
        <v>0.44400000000000001</v>
      </c>
      <c r="M2290" s="482">
        <v>0.25900000000000001</v>
      </c>
    </row>
    <row r="2291" spans="1:13" x14ac:dyDescent="0.2">
      <c r="A2291" t="s">
        <v>3071</v>
      </c>
      <c r="B2291" t="s">
        <v>17</v>
      </c>
      <c r="C2291" t="s">
        <v>87</v>
      </c>
      <c r="D2291" t="s">
        <v>1001</v>
      </c>
      <c r="E2291" t="s">
        <v>1002</v>
      </c>
      <c r="F2291" t="s">
        <v>52</v>
      </c>
      <c r="G2291">
        <v>5</v>
      </c>
      <c r="H2291">
        <v>0</v>
      </c>
      <c r="I2291">
        <v>2</v>
      </c>
      <c r="J2291">
        <v>7</v>
      </c>
      <c r="K2291" s="482">
        <v>0.71399999999999997</v>
      </c>
      <c r="L2291" s="482">
        <v>0</v>
      </c>
      <c r="M2291" s="482">
        <v>0.28599999999999998</v>
      </c>
    </row>
    <row r="2292" spans="1:13" x14ac:dyDescent="0.2">
      <c r="A2292" t="s">
        <v>3073</v>
      </c>
      <c r="B2292" t="s">
        <v>17</v>
      </c>
      <c r="C2292" t="s">
        <v>87</v>
      </c>
      <c r="D2292" t="s">
        <v>1007</v>
      </c>
      <c r="E2292" t="s">
        <v>1008</v>
      </c>
      <c r="F2292" t="s">
        <v>52</v>
      </c>
      <c r="G2292" t="s">
        <v>53</v>
      </c>
      <c r="H2292" t="s">
        <v>53</v>
      </c>
      <c r="I2292">
        <v>0</v>
      </c>
      <c r="J2292" t="s">
        <v>53</v>
      </c>
      <c r="K2292" t="s">
        <v>53</v>
      </c>
      <c r="L2292" t="s">
        <v>53</v>
      </c>
      <c r="M2292" t="s">
        <v>53</v>
      </c>
    </row>
    <row r="2293" spans="1:13" x14ac:dyDescent="0.2">
      <c r="A2293" t="s">
        <v>3074</v>
      </c>
      <c r="B2293" t="s">
        <v>17</v>
      </c>
      <c r="C2293" t="s">
        <v>87</v>
      </c>
      <c r="D2293" t="s">
        <v>1010</v>
      </c>
      <c r="E2293" t="s">
        <v>1011</v>
      </c>
      <c r="F2293" t="s">
        <v>52</v>
      </c>
      <c r="G2293">
        <v>7</v>
      </c>
      <c r="H2293">
        <v>0</v>
      </c>
      <c r="I2293">
        <v>0</v>
      </c>
      <c r="J2293">
        <v>7</v>
      </c>
      <c r="K2293" s="482">
        <v>1</v>
      </c>
      <c r="L2293" s="482">
        <v>0</v>
      </c>
      <c r="M2293" s="482">
        <v>0</v>
      </c>
    </row>
    <row r="2294" spans="1:13" x14ac:dyDescent="0.2">
      <c r="A2294" t="s">
        <v>2882</v>
      </c>
      <c r="B2294" t="s">
        <v>17</v>
      </c>
      <c r="C2294" t="s">
        <v>87</v>
      </c>
      <c r="D2294" t="s">
        <v>1013</v>
      </c>
      <c r="E2294" t="s">
        <v>1014</v>
      </c>
      <c r="F2294" t="s">
        <v>52</v>
      </c>
      <c r="G2294">
        <v>25</v>
      </c>
      <c r="H2294">
        <v>9</v>
      </c>
      <c r="I2294">
        <v>3</v>
      </c>
      <c r="J2294">
        <v>37</v>
      </c>
      <c r="K2294" s="482">
        <v>0.67600000000000005</v>
      </c>
      <c r="L2294" s="482">
        <v>0.24299999999999999</v>
      </c>
      <c r="M2294" s="482">
        <v>8.1000000000000003E-2</v>
      </c>
    </row>
    <row r="2295" spans="1:13" x14ac:dyDescent="0.2">
      <c r="A2295" t="s">
        <v>2883</v>
      </c>
      <c r="B2295" t="s">
        <v>17</v>
      </c>
      <c r="C2295" t="s">
        <v>87</v>
      </c>
      <c r="D2295" t="s">
        <v>420</v>
      </c>
      <c r="E2295" t="s">
        <v>421</v>
      </c>
      <c r="F2295" t="s">
        <v>52</v>
      </c>
      <c r="G2295">
        <v>20</v>
      </c>
      <c r="H2295">
        <v>9</v>
      </c>
      <c r="I2295">
        <v>4</v>
      </c>
      <c r="J2295">
        <v>33</v>
      </c>
      <c r="K2295" s="482">
        <v>0.60599999999999998</v>
      </c>
      <c r="L2295" s="482">
        <v>0.27300000000000002</v>
      </c>
      <c r="M2295" s="482">
        <v>0.121</v>
      </c>
    </row>
    <row r="2296" spans="1:13" x14ac:dyDescent="0.2">
      <c r="A2296" t="s">
        <v>2884</v>
      </c>
      <c r="B2296" t="s">
        <v>17</v>
      </c>
      <c r="C2296" t="s">
        <v>87</v>
      </c>
      <c r="D2296" t="s">
        <v>423</v>
      </c>
      <c r="E2296" t="s">
        <v>424</v>
      </c>
      <c r="F2296" t="s">
        <v>52</v>
      </c>
      <c r="G2296" t="s">
        <v>53</v>
      </c>
      <c r="H2296">
        <v>0</v>
      </c>
      <c r="I2296" t="s">
        <v>53</v>
      </c>
      <c r="J2296" t="s">
        <v>53</v>
      </c>
      <c r="K2296" t="s">
        <v>53</v>
      </c>
      <c r="L2296" t="s">
        <v>53</v>
      </c>
      <c r="M2296" t="s">
        <v>53</v>
      </c>
    </row>
    <row r="2297" spans="1:13" x14ac:dyDescent="0.2">
      <c r="A2297" t="s">
        <v>3040</v>
      </c>
      <c r="B2297" t="s">
        <v>17</v>
      </c>
      <c r="C2297" t="s">
        <v>87</v>
      </c>
      <c r="D2297" t="s">
        <v>905</v>
      </c>
      <c r="E2297" t="s">
        <v>906</v>
      </c>
      <c r="F2297" t="s">
        <v>52</v>
      </c>
      <c r="G2297">
        <v>28</v>
      </c>
      <c r="H2297">
        <v>11</v>
      </c>
      <c r="I2297">
        <v>6</v>
      </c>
      <c r="J2297">
        <v>45</v>
      </c>
      <c r="K2297" s="482">
        <v>0.622</v>
      </c>
      <c r="L2297" s="482">
        <v>0.24399999999999999</v>
      </c>
      <c r="M2297" s="482">
        <v>0.13300000000000001</v>
      </c>
    </row>
    <row r="2298" spans="1:13" x14ac:dyDescent="0.2">
      <c r="A2298" t="s">
        <v>2885</v>
      </c>
      <c r="B2298" t="s">
        <v>17</v>
      </c>
      <c r="C2298" t="s">
        <v>87</v>
      </c>
      <c r="D2298" t="s">
        <v>426</v>
      </c>
      <c r="E2298" t="s">
        <v>427</v>
      </c>
      <c r="F2298" t="s">
        <v>52</v>
      </c>
      <c r="G2298">
        <v>40</v>
      </c>
      <c r="H2298">
        <v>24</v>
      </c>
      <c r="I2298">
        <v>12</v>
      </c>
      <c r="J2298">
        <v>76</v>
      </c>
      <c r="K2298" s="482">
        <v>0.52600000000000002</v>
      </c>
      <c r="L2298" s="482">
        <v>0.316</v>
      </c>
      <c r="M2298" s="482">
        <v>0.158</v>
      </c>
    </row>
    <row r="2299" spans="1:13" x14ac:dyDescent="0.2">
      <c r="A2299" t="s">
        <v>2886</v>
      </c>
      <c r="B2299" t="s">
        <v>17</v>
      </c>
      <c r="C2299" t="s">
        <v>87</v>
      </c>
      <c r="D2299" t="s">
        <v>429</v>
      </c>
      <c r="E2299" t="s">
        <v>430</v>
      </c>
      <c r="F2299" t="s">
        <v>52</v>
      </c>
      <c r="G2299">
        <v>18</v>
      </c>
      <c r="H2299">
        <v>5</v>
      </c>
      <c r="I2299">
        <v>9</v>
      </c>
      <c r="J2299">
        <v>32</v>
      </c>
      <c r="K2299" s="482">
        <v>0.56299999999999994</v>
      </c>
      <c r="L2299" s="482">
        <v>0.156</v>
      </c>
      <c r="M2299" s="482">
        <v>0.28100000000000003</v>
      </c>
    </row>
    <row r="2300" spans="1:13" x14ac:dyDescent="0.2">
      <c r="A2300" t="s">
        <v>2887</v>
      </c>
      <c r="B2300" t="s">
        <v>17</v>
      </c>
      <c r="C2300" t="s">
        <v>87</v>
      </c>
      <c r="D2300" t="s">
        <v>432</v>
      </c>
      <c r="E2300" t="s">
        <v>433</v>
      </c>
      <c r="F2300" t="s">
        <v>52</v>
      </c>
      <c r="G2300">
        <v>10</v>
      </c>
      <c r="H2300">
        <v>4</v>
      </c>
      <c r="I2300">
        <v>0</v>
      </c>
      <c r="J2300">
        <v>14</v>
      </c>
      <c r="K2300" s="482">
        <v>0.71399999999999997</v>
      </c>
      <c r="L2300" s="482">
        <v>0.28599999999999998</v>
      </c>
      <c r="M2300" s="482">
        <v>0</v>
      </c>
    </row>
    <row r="2301" spans="1:13" x14ac:dyDescent="0.2">
      <c r="A2301" t="s">
        <v>3067</v>
      </c>
      <c r="B2301" t="s">
        <v>17</v>
      </c>
      <c r="C2301" t="s">
        <v>87</v>
      </c>
      <c r="D2301" t="s">
        <v>989</v>
      </c>
      <c r="E2301" t="s">
        <v>990</v>
      </c>
      <c r="F2301" t="s">
        <v>52</v>
      </c>
      <c r="G2301">
        <v>4</v>
      </c>
      <c r="H2301">
        <v>7</v>
      </c>
      <c r="I2301">
        <v>2</v>
      </c>
      <c r="J2301">
        <v>13</v>
      </c>
      <c r="K2301" s="482">
        <v>0.308</v>
      </c>
      <c r="L2301" s="482">
        <v>0.53800000000000003</v>
      </c>
      <c r="M2301" s="482">
        <v>0.154</v>
      </c>
    </row>
    <row r="2302" spans="1:13" x14ac:dyDescent="0.2">
      <c r="A2302" t="s">
        <v>2986</v>
      </c>
      <c r="B2302" t="s">
        <v>17</v>
      </c>
      <c r="C2302" t="s">
        <v>87</v>
      </c>
      <c r="D2302" t="s">
        <v>734</v>
      </c>
      <c r="E2302" t="s">
        <v>735</v>
      </c>
      <c r="F2302" t="s">
        <v>52</v>
      </c>
      <c r="G2302">
        <v>11</v>
      </c>
      <c r="H2302">
        <v>5</v>
      </c>
      <c r="I2302">
        <v>4</v>
      </c>
      <c r="J2302">
        <v>20</v>
      </c>
      <c r="K2302" s="482">
        <v>0.55000000000000004</v>
      </c>
      <c r="L2302" s="482">
        <v>0.25</v>
      </c>
      <c r="M2302" s="482">
        <v>0.2</v>
      </c>
    </row>
    <row r="2303" spans="1:13" x14ac:dyDescent="0.2">
      <c r="A2303" t="s">
        <v>3605</v>
      </c>
      <c r="B2303" t="s">
        <v>50</v>
      </c>
      <c r="C2303" t="s">
        <v>1</v>
      </c>
      <c r="D2303" t="s">
        <v>3606</v>
      </c>
      <c r="E2303" t="s">
        <v>3607</v>
      </c>
      <c r="F2303" t="s">
        <v>179</v>
      </c>
      <c r="G2303">
        <v>16</v>
      </c>
      <c r="H2303">
        <v>6</v>
      </c>
      <c r="I2303">
        <v>15</v>
      </c>
      <c r="J2303">
        <v>37</v>
      </c>
      <c r="K2303" s="482">
        <v>0.432</v>
      </c>
      <c r="L2303" s="482">
        <v>0.16200000000000001</v>
      </c>
      <c r="M2303" s="482">
        <v>0.40500000000000003</v>
      </c>
    </row>
    <row r="2304" spans="1:13" x14ac:dyDescent="0.2">
      <c r="A2304" t="s">
        <v>3602</v>
      </c>
      <c r="B2304" t="s">
        <v>50</v>
      </c>
      <c r="C2304" t="s">
        <v>1</v>
      </c>
      <c r="D2304" t="s">
        <v>3603</v>
      </c>
      <c r="E2304" t="s">
        <v>3604</v>
      </c>
      <c r="F2304" t="s">
        <v>179</v>
      </c>
      <c r="G2304">
        <v>9</v>
      </c>
      <c r="H2304">
        <v>3</v>
      </c>
      <c r="I2304">
        <v>3</v>
      </c>
      <c r="J2304">
        <v>15</v>
      </c>
      <c r="K2304" s="482">
        <v>0.6</v>
      </c>
      <c r="L2304" s="482">
        <v>0.2</v>
      </c>
      <c r="M2304" s="482">
        <v>0.2</v>
      </c>
    </row>
    <row r="2305" spans="1:13" x14ac:dyDescent="0.2">
      <c r="A2305" t="s">
        <v>3200</v>
      </c>
      <c r="B2305" t="s">
        <v>50</v>
      </c>
      <c r="C2305" t="s">
        <v>1</v>
      </c>
      <c r="D2305" t="s">
        <v>3201</v>
      </c>
      <c r="E2305" t="s">
        <v>3202</v>
      </c>
      <c r="F2305" t="s">
        <v>179</v>
      </c>
      <c r="G2305">
        <v>37</v>
      </c>
      <c r="H2305">
        <v>20</v>
      </c>
      <c r="I2305">
        <v>36</v>
      </c>
      <c r="J2305">
        <v>93</v>
      </c>
      <c r="K2305" s="482">
        <v>0.39800000000000002</v>
      </c>
      <c r="L2305" s="482">
        <v>0.215</v>
      </c>
      <c r="M2305" s="482">
        <v>0.38700000000000001</v>
      </c>
    </row>
    <row r="2306" spans="1:13" x14ac:dyDescent="0.2">
      <c r="A2306" t="s">
        <v>3590</v>
      </c>
      <c r="B2306" t="s">
        <v>50</v>
      </c>
      <c r="C2306" t="s">
        <v>1</v>
      </c>
      <c r="D2306" t="s">
        <v>3591</v>
      </c>
      <c r="E2306" t="s">
        <v>3592</v>
      </c>
      <c r="F2306" t="s">
        <v>179</v>
      </c>
      <c r="G2306">
        <v>13</v>
      </c>
      <c r="H2306">
        <v>3</v>
      </c>
      <c r="I2306">
        <v>14</v>
      </c>
      <c r="J2306">
        <v>30</v>
      </c>
      <c r="K2306" s="482">
        <v>0.433</v>
      </c>
      <c r="L2306" s="482">
        <v>0.1</v>
      </c>
      <c r="M2306" s="482">
        <v>0.46700000000000003</v>
      </c>
    </row>
    <row r="2307" spans="1:13" x14ac:dyDescent="0.2">
      <c r="A2307" t="s">
        <v>3593</v>
      </c>
      <c r="B2307" t="s">
        <v>50</v>
      </c>
      <c r="C2307" t="s">
        <v>1</v>
      </c>
      <c r="D2307" t="s">
        <v>3594</v>
      </c>
      <c r="E2307" t="s">
        <v>3595</v>
      </c>
      <c r="F2307" t="s">
        <v>179</v>
      </c>
      <c r="G2307">
        <v>22</v>
      </c>
      <c r="H2307">
        <v>15</v>
      </c>
      <c r="I2307">
        <v>26</v>
      </c>
      <c r="J2307">
        <v>63</v>
      </c>
      <c r="K2307" s="482">
        <v>0.34899999999999998</v>
      </c>
      <c r="L2307" s="482">
        <v>0.23799999999999999</v>
      </c>
      <c r="M2307" s="482">
        <v>0.41299999999999998</v>
      </c>
    </row>
    <row r="2308" spans="1:13" x14ac:dyDescent="0.2">
      <c r="A2308" t="s">
        <v>3596</v>
      </c>
      <c r="B2308" t="s">
        <v>50</v>
      </c>
      <c r="C2308" t="s">
        <v>1</v>
      </c>
      <c r="D2308" t="s">
        <v>3597</v>
      </c>
      <c r="E2308" t="s">
        <v>3598</v>
      </c>
      <c r="F2308" t="s">
        <v>179</v>
      </c>
      <c r="G2308">
        <v>6</v>
      </c>
      <c r="H2308">
        <v>1</v>
      </c>
      <c r="I2308">
        <v>6</v>
      </c>
      <c r="J2308">
        <v>13</v>
      </c>
      <c r="K2308" s="482">
        <v>0.46200000000000002</v>
      </c>
      <c r="L2308" s="482">
        <v>7.6999999999999999E-2</v>
      </c>
      <c r="M2308" s="482">
        <v>0.46200000000000002</v>
      </c>
    </row>
    <row r="2309" spans="1:13" x14ac:dyDescent="0.2">
      <c r="A2309" t="s">
        <v>3599</v>
      </c>
      <c r="B2309" t="s">
        <v>50</v>
      </c>
      <c r="C2309" t="s">
        <v>1</v>
      </c>
      <c r="D2309" t="s">
        <v>3600</v>
      </c>
      <c r="E2309" t="s">
        <v>3601</v>
      </c>
      <c r="F2309" t="s">
        <v>179</v>
      </c>
      <c r="G2309">
        <v>30</v>
      </c>
      <c r="H2309">
        <v>8</v>
      </c>
      <c r="I2309">
        <v>25</v>
      </c>
      <c r="J2309">
        <v>63</v>
      </c>
      <c r="K2309" s="482">
        <v>0.47599999999999998</v>
      </c>
      <c r="L2309" s="482">
        <v>0.127</v>
      </c>
      <c r="M2309" s="482">
        <v>0.39700000000000002</v>
      </c>
    </row>
    <row r="2310" spans="1:13" x14ac:dyDescent="0.2">
      <c r="A2310" t="s">
        <v>3920</v>
      </c>
      <c r="B2310" t="s">
        <v>50</v>
      </c>
      <c r="C2310" t="s">
        <v>1</v>
      </c>
      <c r="D2310" t="s">
        <v>3921</v>
      </c>
      <c r="E2310" t="s">
        <v>3922</v>
      </c>
      <c r="F2310" t="s">
        <v>179</v>
      </c>
      <c r="G2310">
        <v>33</v>
      </c>
      <c r="H2310">
        <v>16</v>
      </c>
      <c r="I2310">
        <v>32</v>
      </c>
      <c r="J2310">
        <v>81</v>
      </c>
      <c r="K2310" s="482">
        <v>0.40699999999999997</v>
      </c>
      <c r="L2310" s="482">
        <v>0.19800000000000001</v>
      </c>
      <c r="M2310" s="482">
        <v>0.39500000000000002</v>
      </c>
    </row>
    <row r="2311" spans="1:13" x14ac:dyDescent="0.2">
      <c r="A2311" t="s">
        <v>3926</v>
      </c>
      <c r="B2311" t="s">
        <v>50</v>
      </c>
      <c r="C2311" t="s">
        <v>1</v>
      </c>
      <c r="D2311" t="s">
        <v>3927</v>
      </c>
      <c r="E2311" t="s">
        <v>3928</v>
      </c>
      <c r="F2311" t="s">
        <v>179</v>
      </c>
      <c r="G2311" t="s">
        <v>53</v>
      </c>
      <c r="H2311">
        <v>0</v>
      </c>
      <c r="I2311" t="s">
        <v>53</v>
      </c>
      <c r="J2311" t="s">
        <v>53</v>
      </c>
      <c r="K2311" t="s">
        <v>53</v>
      </c>
      <c r="L2311" t="s">
        <v>53</v>
      </c>
      <c r="M2311" t="s">
        <v>53</v>
      </c>
    </row>
    <row r="2312" spans="1:13" x14ac:dyDescent="0.2">
      <c r="A2312" t="s">
        <v>3153</v>
      </c>
      <c r="B2312" t="s">
        <v>50</v>
      </c>
      <c r="C2312" t="s">
        <v>1</v>
      </c>
      <c r="D2312" t="s">
        <v>3154</v>
      </c>
      <c r="E2312" t="s">
        <v>3155</v>
      </c>
      <c r="F2312" t="s">
        <v>179</v>
      </c>
      <c r="G2312">
        <v>2</v>
      </c>
      <c r="H2312">
        <v>2</v>
      </c>
      <c r="I2312">
        <v>2</v>
      </c>
      <c r="J2312">
        <v>6</v>
      </c>
      <c r="K2312" s="482">
        <v>0.33300000000000002</v>
      </c>
      <c r="L2312" s="482">
        <v>0.33300000000000002</v>
      </c>
      <c r="M2312" s="482">
        <v>0.33300000000000002</v>
      </c>
    </row>
    <row r="2313" spans="1:13" x14ac:dyDescent="0.2">
      <c r="A2313" t="s">
        <v>3156</v>
      </c>
      <c r="B2313" t="s">
        <v>50</v>
      </c>
      <c r="C2313" t="s">
        <v>1</v>
      </c>
      <c r="D2313" t="s">
        <v>3157</v>
      </c>
      <c r="E2313" t="s">
        <v>3158</v>
      </c>
      <c r="F2313" t="s">
        <v>179</v>
      </c>
      <c r="G2313">
        <v>23</v>
      </c>
      <c r="H2313">
        <v>26</v>
      </c>
      <c r="I2313">
        <v>41</v>
      </c>
      <c r="J2313">
        <v>90</v>
      </c>
      <c r="K2313" s="482">
        <v>0.25600000000000001</v>
      </c>
      <c r="L2313" s="482">
        <v>0.28899999999999998</v>
      </c>
      <c r="M2313" s="482">
        <v>0.45600000000000002</v>
      </c>
    </row>
    <row r="2314" spans="1:13" x14ac:dyDescent="0.2">
      <c r="A2314" t="s">
        <v>3159</v>
      </c>
      <c r="B2314" t="s">
        <v>50</v>
      </c>
      <c r="C2314" t="s">
        <v>1</v>
      </c>
      <c r="D2314" t="s">
        <v>3160</v>
      </c>
      <c r="E2314" t="s">
        <v>3161</v>
      </c>
      <c r="F2314" t="s">
        <v>179</v>
      </c>
      <c r="G2314">
        <v>0</v>
      </c>
      <c r="H2314" t="s">
        <v>53</v>
      </c>
      <c r="I2314">
        <v>0</v>
      </c>
      <c r="J2314" t="s">
        <v>53</v>
      </c>
      <c r="K2314" t="s">
        <v>53</v>
      </c>
      <c r="L2314" t="s">
        <v>53</v>
      </c>
      <c r="M2314" t="s">
        <v>53</v>
      </c>
    </row>
    <row r="2315" spans="1:13" x14ac:dyDescent="0.2">
      <c r="A2315" t="s">
        <v>3162</v>
      </c>
      <c r="B2315" t="s">
        <v>50</v>
      </c>
      <c r="C2315" t="s">
        <v>1</v>
      </c>
      <c r="D2315" t="s">
        <v>3163</v>
      </c>
      <c r="E2315" t="s">
        <v>3164</v>
      </c>
      <c r="F2315" t="s">
        <v>179</v>
      </c>
      <c r="G2315">
        <v>21</v>
      </c>
      <c r="H2315">
        <v>17</v>
      </c>
      <c r="I2315">
        <v>28</v>
      </c>
      <c r="J2315">
        <v>66</v>
      </c>
      <c r="K2315" s="482">
        <v>0.318</v>
      </c>
      <c r="L2315" s="482">
        <v>0.25800000000000001</v>
      </c>
      <c r="M2315" s="482">
        <v>0.42399999999999999</v>
      </c>
    </row>
    <row r="2316" spans="1:13" x14ac:dyDescent="0.2">
      <c r="A2316" t="s">
        <v>3165</v>
      </c>
      <c r="B2316" t="s">
        <v>50</v>
      </c>
      <c r="C2316" t="s">
        <v>1</v>
      </c>
      <c r="D2316" t="s">
        <v>3166</v>
      </c>
      <c r="E2316" t="s">
        <v>3167</v>
      </c>
      <c r="F2316" t="s">
        <v>179</v>
      </c>
      <c r="G2316">
        <v>7</v>
      </c>
      <c r="H2316">
        <v>5</v>
      </c>
      <c r="I2316">
        <v>6</v>
      </c>
      <c r="J2316">
        <v>18</v>
      </c>
      <c r="K2316" s="482">
        <v>0.38900000000000001</v>
      </c>
      <c r="L2316" s="482">
        <v>0.27800000000000002</v>
      </c>
      <c r="M2316" s="482">
        <v>0.33300000000000002</v>
      </c>
    </row>
    <row r="2317" spans="1:13" x14ac:dyDescent="0.2">
      <c r="A2317" t="s">
        <v>3168</v>
      </c>
      <c r="B2317" t="s">
        <v>50</v>
      </c>
      <c r="C2317" t="s">
        <v>1</v>
      </c>
      <c r="D2317" t="s">
        <v>3169</v>
      </c>
      <c r="E2317" t="s">
        <v>340</v>
      </c>
      <c r="F2317" t="s">
        <v>179</v>
      </c>
      <c r="G2317">
        <v>3</v>
      </c>
      <c r="H2317">
        <v>3</v>
      </c>
      <c r="I2317">
        <v>2</v>
      </c>
      <c r="J2317">
        <v>8</v>
      </c>
      <c r="K2317" s="482">
        <v>0.375</v>
      </c>
      <c r="L2317" s="482">
        <v>0.375</v>
      </c>
      <c r="M2317" s="482">
        <v>0.25</v>
      </c>
    </row>
    <row r="2318" spans="1:13" x14ac:dyDescent="0.2">
      <c r="A2318" t="s">
        <v>3138</v>
      </c>
      <c r="B2318" t="s">
        <v>50</v>
      </c>
      <c r="C2318" t="s">
        <v>1</v>
      </c>
      <c r="D2318" t="s">
        <v>3139</v>
      </c>
      <c r="E2318" t="s">
        <v>3140</v>
      </c>
      <c r="F2318" t="s">
        <v>179</v>
      </c>
      <c r="G2318">
        <v>45</v>
      </c>
      <c r="H2318">
        <v>42</v>
      </c>
      <c r="I2318">
        <v>64</v>
      </c>
      <c r="J2318">
        <v>151</v>
      </c>
      <c r="K2318" s="482">
        <v>0.29799999999999999</v>
      </c>
      <c r="L2318" s="482">
        <v>0.27800000000000002</v>
      </c>
      <c r="M2318" s="482">
        <v>0.42399999999999999</v>
      </c>
    </row>
    <row r="2319" spans="1:13" x14ac:dyDescent="0.2">
      <c r="A2319" t="s">
        <v>3132</v>
      </c>
      <c r="B2319" t="s">
        <v>50</v>
      </c>
      <c r="C2319" t="s">
        <v>1</v>
      </c>
      <c r="D2319" t="s">
        <v>3133</v>
      </c>
      <c r="E2319" t="s">
        <v>3134</v>
      </c>
      <c r="F2319" t="s">
        <v>179</v>
      </c>
      <c r="G2319" t="s">
        <v>53</v>
      </c>
      <c r="H2319">
        <v>0</v>
      </c>
      <c r="I2319" t="s">
        <v>53</v>
      </c>
      <c r="J2319" t="s">
        <v>53</v>
      </c>
      <c r="K2319" t="s">
        <v>53</v>
      </c>
      <c r="L2319" t="s">
        <v>53</v>
      </c>
      <c r="M2319" t="s">
        <v>53</v>
      </c>
    </row>
    <row r="2320" spans="1:13" x14ac:dyDescent="0.2">
      <c r="A2320" t="s">
        <v>3129</v>
      </c>
      <c r="B2320" t="s">
        <v>50</v>
      </c>
      <c r="C2320" t="s">
        <v>1</v>
      </c>
      <c r="D2320" t="s">
        <v>3130</v>
      </c>
      <c r="E2320" t="s">
        <v>3131</v>
      </c>
      <c r="F2320" t="s">
        <v>179</v>
      </c>
      <c r="G2320">
        <v>16</v>
      </c>
      <c r="H2320">
        <v>6</v>
      </c>
      <c r="I2320">
        <v>14</v>
      </c>
      <c r="J2320">
        <v>36</v>
      </c>
      <c r="K2320" s="482">
        <v>0.44400000000000001</v>
      </c>
      <c r="L2320" s="482">
        <v>0.16700000000000001</v>
      </c>
      <c r="M2320" s="482">
        <v>0.38900000000000001</v>
      </c>
    </row>
    <row r="2321" spans="1:13" x14ac:dyDescent="0.2">
      <c r="A2321" t="s">
        <v>3141</v>
      </c>
      <c r="B2321" t="s">
        <v>50</v>
      </c>
      <c r="C2321" t="s">
        <v>1</v>
      </c>
      <c r="D2321" t="s">
        <v>3142</v>
      </c>
      <c r="E2321" t="s">
        <v>3143</v>
      </c>
      <c r="F2321" t="s">
        <v>179</v>
      </c>
      <c r="G2321">
        <v>61</v>
      </c>
      <c r="H2321">
        <v>27</v>
      </c>
      <c r="I2321">
        <v>58</v>
      </c>
      <c r="J2321">
        <v>146</v>
      </c>
      <c r="K2321" s="482">
        <v>0.41799999999999998</v>
      </c>
      <c r="L2321" s="482">
        <v>0.185</v>
      </c>
      <c r="M2321" s="482">
        <v>0.39700000000000002</v>
      </c>
    </row>
    <row r="2322" spans="1:13" x14ac:dyDescent="0.2">
      <c r="A2322" t="s">
        <v>3144</v>
      </c>
      <c r="B2322" t="s">
        <v>50</v>
      </c>
      <c r="C2322" t="s">
        <v>1</v>
      </c>
      <c r="D2322" t="s">
        <v>3145</v>
      </c>
      <c r="E2322" t="s">
        <v>3146</v>
      </c>
      <c r="F2322" t="s">
        <v>179</v>
      </c>
      <c r="G2322">
        <v>95</v>
      </c>
      <c r="H2322">
        <v>40</v>
      </c>
      <c r="I2322">
        <v>100</v>
      </c>
      <c r="J2322">
        <v>235</v>
      </c>
      <c r="K2322" s="482">
        <v>0.40400000000000003</v>
      </c>
      <c r="L2322" s="482">
        <v>0.17</v>
      </c>
      <c r="M2322" s="482">
        <v>0.42599999999999999</v>
      </c>
    </row>
    <row r="2323" spans="1:13" x14ac:dyDescent="0.2">
      <c r="A2323" t="s">
        <v>3191</v>
      </c>
      <c r="B2323" t="s">
        <v>50</v>
      </c>
      <c r="C2323" t="s">
        <v>1</v>
      </c>
      <c r="D2323" t="s">
        <v>3192</v>
      </c>
      <c r="E2323" t="s">
        <v>3193</v>
      </c>
      <c r="F2323" t="s">
        <v>179</v>
      </c>
      <c r="G2323">
        <v>27</v>
      </c>
      <c r="H2323">
        <v>15</v>
      </c>
      <c r="I2323">
        <v>34</v>
      </c>
      <c r="J2323">
        <v>76</v>
      </c>
      <c r="K2323" s="482">
        <v>0.35499999999999998</v>
      </c>
      <c r="L2323" s="482">
        <v>0.19700000000000001</v>
      </c>
      <c r="M2323" s="482">
        <v>0.44700000000000001</v>
      </c>
    </row>
    <row r="2324" spans="1:13" x14ac:dyDescent="0.2">
      <c r="A2324" t="s">
        <v>3194</v>
      </c>
      <c r="B2324" t="s">
        <v>50</v>
      </c>
      <c r="C2324" t="s">
        <v>1</v>
      </c>
      <c r="D2324" t="s">
        <v>3195</v>
      </c>
      <c r="E2324" t="s">
        <v>3196</v>
      </c>
      <c r="F2324" t="s">
        <v>179</v>
      </c>
      <c r="G2324">
        <v>56</v>
      </c>
      <c r="H2324">
        <v>24</v>
      </c>
      <c r="I2324">
        <v>49</v>
      </c>
      <c r="J2324">
        <v>129</v>
      </c>
      <c r="K2324" s="482">
        <v>0.434</v>
      </c>
      <c r="L2324" s="482">
        <v>0.186</v>
      </c>
      <c r="M2324" s="482">
        <v>0.38</v>
      </c>
    </row>
    <row r="2325" spans="1:13" x14ac:dyDescent="0.2">
      <c r="A2325" t="s">
        <v>3123</v>
      </c>
      <c r="B2325" t="s">
        <v>50</v>
      </c>
      <c r="C2325" t="s">
        <v>1</v>
      </c>
      <c r="D2325" t="s">
        <v>3124</v>
      </c>
      <c r="E2325" t="s">
        <v>3125</v>
      </c>
      <c r="F2325" t="s">
        <v>179</v>
      </c>
      <c r="G2325">
        <v>27</v>
      </c>
      <c r="H2325">
        <v>13</v>
      </c>
      <c r="I2325">
        <v>41</v>
      </c>
      <c r="J2325">
        <v>81</v>
      </c>
      <c r="K2325" s="482">
        <v>0.33300000000000002</v>
      </c>
      <c r="L2325" s="482">
        <v>0.16</v>
      </c>
      <c r="M2325" s="482">
        <v>0.50600000000000001</v>
      </c>
    </row>
    <row r="2326" spans="1:13" x14ac:dyDescent="0.2">
      <c r="A2326" t="s">
        <v>3126</v>
      </c>
      <c r="B2326" t="s">
        <v>50</v>
      </c>
      <c r="C2326" t="s">
        <v>1</v>
      </c>
      <c r="D2326" t="s">
        <v>3127</v>
      </c>
      <c r="E2326" t="s">
        <v>3128</v>
      </c>
      <c r="F2326" t="s">
        <v>179</v>
      </c>
      <c r="G2326">
        <v>57</v>
      </c>
      <c r="H2326">
        <v>31</v>
      </c>
      <c r="I2326">
        <v>86</v>
      </c>
      <c r="J2326">
        <v>174</v>
      </c>
      <c r="K2326" s="482">
        <v>0.32800000000000001</v>
      </c>
      <c r="L2326" s="482">
        <v>0.17799999999999999</v>
      </c>
      <c r="M2326" s="482">
        <v>0.49399999999999999</v>
      </c>
    </row>
    <row r="2327" spans="1:13" x14ac:dyDescent="0.2">
      <c r="A2327" t="s">
        <v>3170</v>
      </c>
      <c r="B2327" t="s">
        <v>50</v>
      </c>
      <c r="C2327" t="s">
        <v>1</v>
      </c>
      <c r="D2327" t="s">
        <v>3171</v>
      </c>
      <c r="E2327" t="s">
        <v>3172</v>
      </c>
      <c r="F2327" t="s">
        <v>179</v>
      </c>
      <c r="G2327">
        <v>16</v>
      </c>
      <c r="H2327">
        <v>8</v>
      </c>
      <c r="I2327">
        <v>18</v>
      </c>
      <c r="J2327">
        <v>42</v>
      </c>
      <c r="K2327" s="482">
        <v>0.38100000000000001</v>
      </c>
      <c r="L2327" s="482">
        <v>0.19</v>
      </c>
      <c r="M2327" s="482">
        <v>0.42899999999999999</v>
      </c>
    </row>
    <row r="2328" spans="1:13" x14ac:dyDescent="0.2">
      <c r="A2328" t="s">
        <v>3173</v>
      </c>
      <c r="B2328" t="s">
        <v>50</v>
      </c>
      <c r="C2328" t="s">
        <v>1</v>
      </c>
      <c r="D2328" t="s">
        <v>3174</v>
      </c>
      <c r="E2328" t="s">
        <v>3175</v>
      </c>
      <c r="F2328" t="s">
        <v>179</v>
      </c>
      <c r="G2328">
        <v>31</v>
      </c>
      <c r="H2328">
        <v>18</v>
      </c>
      <c r="I2328">
        <v>30</v>
      </c>
      <c r="J2328">
        <v>79</v>
      </c>
      <c r="K2328" s="482">
        <v>0.39200000000000002</v>
      </c>
      <c r="L2328" s="482">
        <v>0.22800000000000001</v>
      </c>
      <c r="M2328" s="482">
        <v>0.38</v>
      </c>
    </row>
    <row r="2329" spans="1:13" x14ac:dyDescent="0.2">
      <c r="A2329" t="s">
        <v>3176</v>
      </c>
      <c r="B2329" t="s">
        <v>50</v>
      </c>
      <c r="C2329" t="s">
        <v>1</v>
      </c>
      <c r="D2329" t="s">
        <v>3177</v>
      </c>
      <c r="E2329" t="s">
        <v>3178</v>
      </c>
      <c r="F2329" t="s">
        <v>179</v>
      </c>
      <c r="G2329">
        <v>9</v>
      </c>
      <c r="H2329">
        <v>3</v>
      </c>
      <c r="I2329">
        <v>4</v>
      </c>
      <c r="J2329">
        <v>16</v>
      </c>
      <c r="K2329" s="482">
        <v>0.56299999999999994</v>
      </c>
      <c r="L2329" s="482">
        <v>0.188</v>
      </c>
      <c r="M2329" s="482">
        <v>0.25</v>
      </c>
    </row>
    <row r="2330" spans="1:13" x14ac:dyDescent="0.2">
      <c r="A2330" t="s">
        <v>3179</v>
      </c>
      <c r="B2330" t="s">
        <v>50</v>
      </c>
      <c r="C2330" t="s">
        <v>1</v>
      </c>
      <c r="D2330" t="s">
        <v>3180</v>
      </c>
      <c r="E2330" t="s">
        <v>3181</v>
      </c>
      <c r="F2330" t="s">
        <v>179</v>
      </c>
      <c r="G2330">
        <v>9</v>
      </c>
      <c r="H2330">
        <v>4</v>
      </c>
      <c r="I2330">
        <v>5</v>
      </c>
      <c r="J2330">
        <v>18</v>
      </c>
      <c r="K2330" s="482">
        <v>0.5</v>
      </c>
      <c r="L2330" s="482">
        <v>0.222</v>
      </c>
      <c r="M2330" s="482">
        <v>0.27800000000000002</v>
      </c>
    </row>
    <row r="2331" spans="1:13" x14ac:dyDescent="0.2">
      <c r="A2331" t="s">
        <v>3182</v>
      </c>
      <c r="B2331" t="s">
        <v>50</v>
      </c>
      <c r="C2331" t="s">
        <v>1</v>
      </c>
      <c r="D2331" t="s">
        <v>3183</v>
      </c>
      <c r="E2331" t="s">
        <v>3184</v>
      </c>
      <c r="F2331" t="s">
        <v>179</v>
      </c>
      <c r="G2331">
        <v>0</v>
      </c>
      <c r="H2331" t="s">
        <v>53</v>
      </c>
      <c r="I2331">
        <v>0</v>
      </c>
      <c r="J2331" t="s">
        <v>53</v>
      </c>
      <c r="K2331" t="s">
        <v>53</v>
      </c>
      <c r="L2331" t="s">
        <v>53</v>
      </c>
      <c r="M2331" t="s">
        <v>53</v>
      </c>
    </row>
    <row r="2332" spans="1:13" x14ac:dyDescent="0.2">
      <c r="A2332" t="s">
        <v>3185</v>
      </c>
      <c r="B2332" t="s">
        <v>50</v>
      </c>
      <c r="C2332" t="s">
        <v>1</v>
      </c>
      <c r="D2332" t="s">
        <v>3186</v>
      </c>
      <c r="E2332" t="s">
        <v>3187</v>
      </c>
      <c r="F2332" t="s">
        <v>179</v>
      </c>
      <c r="G2332">
        <v>4</v>
      </c>
      <c r="H2332">
        <v>6</v>
      </c>
      <c r="I2332">
        <v>4</v>
      </c>
      <c r="J2332">
        <v>14</v>
      </c>
      <c r="K2332" s="482">
        <v>0.28599999999999998</v>
      </c>
      <c r="L2332" s="482">
        <v>0.42899999999999999</v>
      </c>
      <c r="M2332" s="482">
        <v>0.28599999999999998</v>
      </c>
    </row>
    <row r="2333" spans="1:13" x14ac:dyDescent="0.2">
      <c r="A2333" t="s">
        <v>3188</v>
      </c>
      <c r="B2333" t="s">
        <v>50</v>
      </c>
      <c r="C2333" t="s">
        <v>1</v>
      </c>
      <c r="D2333" t="s">
        <v>3189</v>
      </c>
      <c r="E2333" t="s">
        <v>3190</v>
      </c>
      <c r="F2333" t="s">
        <v>179</v>
      </c>
      <c r="G2333">
        <v>7</v>
      </c>
      <c r="H2333">
        <v>5</v>
      </c>
      <c r="I2333">
        <v>23</v>
      </c>
      <c r="J2333">
        <v>35</v>
      </c>
      <c r="K2333" s="482">
        <v>0.2</v>
      </c>
      <c r="L2333" s="482">
        <v>0.14299999999999999</v>
      </c>
      <c r="M2333" s="482">
        <v>0.65700000000000003</v>
      </c>
    </row>
    <row r="2334" spans="1:13" x14ac:dyDescent="0.2">
      <c r="A2334" t="s">
        <v>3795</v>
      </c>
      <c r="B2334" t="s">
        <v>50</v>
      </c>
      <c r="C2334" t="s">
        <v>1</v>
      </c>
      <c r="D2334" t="s">
        <v>3796</v>
      </c>
      <c r="E2334" t="s">
        <v>3797</v>
      </c>
      <c r="F2334" t="s">
        <v>179</v>
      </c>
      <c r="G2334">
        <v>40</v>
      </c>
      <c r="H2334">
        <v>18</v>
      </c>
      <c r="I2334">
        <v>40</v>
      </c>
      <c r="J2334">
        <v>98</v>
      </c>
      <c r="K2334" s="482">
        <v>0.40799999999999997</v>
      </c>
      <c r="L2334" s="482">
        <v>0.184</v>
      </c>
      <c r="M2334" s="482">
        <v>0.40799999999999997</v>
      </c>
    </row>
    <row r="2335" spans="1:13" x14ac:dyDescent="0.2">
      <c r="A2335" t="s">
        <v>3798</v>
      </c>
      <c r="B2335" t="s">
        <v>50</v>
      </c>
      <c r="C2335" t="s">
        <v>1</v>
      </c>
      <c r="D2335" t="s">
        <v>3799</v>
      </c>
      <c r="E2335" t="s">
        <v>3800</v>
      </c>
      <c r="F2335" t="s">
        <v>179</v>
      </c>
      <c r="G2335">
        <v>86</v>
      </c>
      <c r="H2335">
        <v>41</v>
      </c>
      <c r="I2335">
        <v>105</v>
      </c>
      <c r="J2335">
        <v>232</v>
      </c>
      <c r="K2335" s="482">
        <v>0.371</v>
      </c>
      <c r="L2335" s="482">
        <v>0.17699999999999999</v>
      </c>
      <c r="M2335" s="482">
        <v>0.45300000000000001</v>
      </c>
    </row>
    <row r="2336" spans="1:13" x14ac:dyDescent="0.2">
      <c r="A2336" t="s">
        <v>3801</v>
      </c>
      <c r="B2336" t="s">
        <v>50</v>
      </c>
      <c r="C2336" t="s">
        <v>1</v>
      </c>
      <c r="D2336" t="s">
        <v>3802</v>
      </c>
      <c r="E2336" t="s">
        <v>3803</v>
      </c>
      <c r="F2336" t="s">
        <v>179</v>
      </c>
      <c r="G2336">
        <v>26</v>
      </c>
      <c r="H2336">
        <v>15</v>
      </c>
      <c r="I2336">
        <v>27</v>
      </c>
      <c r="J2336">
        <v>68</v>
      </c>
      <c r="K2336" s="482">
        <v>0.38200000000000001</v>
      </c>
      <c r="L2336" s="482">
        <v>0.221</v>
      </c>
      <c r="M2336" s="482">
        <v>0.39700000000000002</v>
      </c>
    </row>
    <row r="2337" spans="1:13" x14ac:dyDescent="0.2">
      <c r="A2337" t="s">
        <v>3804</v>
      </c>
      <c r="B2337" t="s">
        <v>50</v>
      </c>
      <c r="C2337" t="s">
        <v>1</v>
      </c>
      <c r="D2337" t="s">
        <v>3805</v>
      </c>
      <c r="E2337" t="s">
        <v>3806</v>
      </c>
      <c r="F2337" t="s">
        <v>179</v>
      </c>
      <c r="G2337">
        <v>32</v>
      </c>
      <c r="H2337">
        <v>11</v>
      </c>
      <c r="I2337">
        <v>50</v>
      </c>
      <c r="J2337">
        <v>93</v>
      </c>
      <c r="K2337" s="482">
        <v>0.34399999999999997</v>
      </c>
      <c r="L2337" s="482">
        <v>0.11799999999999999</v>
      </c>
      <c r="M2337" s="482">
        <v>0.53800000000000003</v>
      </c>
    </row>
    <row r="2338" spans="1:13" x14ac:dyDescent="0.2">
      <c r="A2338" t="s">
        <v>3402</v>
      </c>
      <c r="B2338" t="s">
        <v>50</v>
      </c>
      <c r="C2338" t="s">
        <v>1</v>
      </c>
      <c r="D2338" t="s">
        <v>3403</v>
      </c>
      <c r="E2338" t="s">
        <v>3404</v>
      </c>
      <c r="F2338" t="s">
        <v>179</v>
      </c>
      <c r="G2338">
        <v>15</v>
      </c>
      <c r="H2338">
        <v>4</v>
      </c>
      <c r="I2338">
        <v>15</v>
      </c>
      <c r="J2338">
        <v>34</v>
      </c>
      <c r="K2338" s="482">
        <v>0.441</v>
      </c>
      <c r="L2338" s="482">
        <v>0.11799999999999999</v>
      </c>
      <c r="M2338" s="482">
        <v>0.441</v>
      </c>
    </row>
    <row r="2339" spans="1:13" x14ac:dyDescent="0.2">
      <c r="A2339" t="s">
        <v>3569</v>
      </c>
      <c r="B2339" t="s">
        <v>50</v>
      </c>
      <c r="C2339" t="s">
        <v>1</v>
      </c>
      <c r="D2339" t="s">
        <v>3570</v>
      </c>
      <c r="E2339" t="s">
        <v>3571</v>
      </c>
      <c r="F2339" t="s">
        <v>179</v>
      </c>
      <c r="G2339">
        <v>0</v>
      </c>
      <c r="H2339">
        <v>0</v>
      </c>
      <c r="I2339" t="s">
        <v>53</v>
      </c>
      <c r="J2339" t="s">
        <v>53</v>
      </c>
      <c r="K2339" t="s">
        <v>53</v>
      </c>
      <c r="L2339" t="s">
        <v>53</v>
      </c>
      <c r="M2339" t="s">
        <v>53</v>
      </c>
    </row>
    <row r="2340" spans="1:13" x14ac:dyDescent="0.2">
      <c r="A2340" t="s">
        <v>3572</v>
      </c>
      <c r="B2340" t="s">
        <v>50</v>
      </c>
      <c r="C2340" t="s">
        <v>1</v>
      </c>
      <c r="D2340" t="s">
        <v>3573</v>
      </c>
      <c r="E2340" t="s">
        <v>3574</v>
      </c>
      <c r="F2340" t="s">
        <v>179</v>
      </c>
      <c r="G2340">
        <v>7</v>
      </c>
      <c r="H2340">
        <v>1</v>
      </c>
      <c r="I2340">
        <v>0</v>
      </c>
      <c r="J2340">
        <v>8</v>
      </c>
      <c r="K2340" s="482">
        <v>0.875</v>
      </c>
      <c r="L2340" s="482">
        <v>0.125</v>
      </c>
      <c r="M2340" s="482">
        <v>0</v>
      </c>
    </row>
    <row r="2341" spans="1:13" x14ac:dyDescent="0.2">
      <c r="A2341" t="s">
        <v>3575</v>
      </c>
      <c r="B2341" t="s">
        <v>50</v>
      </c>
      <c r="C2341" t="s">
        <v>1</v>
      </c>
      <c r="D2341" t="s">
        <v>3576</v>
      </c>
      <c r="E2341" t="s">
        <v>3577</v>
      </c>
      <c r="F2341" t="s">
        <v>179</v>
      </c>
      <c r="G2341">
        <v>6</v>
      </c>
      <c r="H2341">
        <v>3</v>
      </c>
      <c r="I2341">
        <v>7</v>
      </c>
      <c r="J2341">
        <v>16</v>
      </c>
      <c r="K2341" s="482">
        <v>0.375</v>
      </c>
      <c r="L2341" s="482">
        <v>0.188</v>
      </c>
      <c r="M2341" s="482">
        <v>0.438</v>
      </c>
    </row>
    <row r="2342" spans="1:13" x14ac:dyDescent="0.2">
      <c r="A2342" t="s">
        <v>3578</v>
      </c>
      <c r="B2342" t="s">
        <v>50</v>
      </c>
      <c r="C2342" t="s">
        <v>1</v>
      </c>
      <c r="D2342" t="s">
        <v>3579</v>
      </c>
      <c r="E2342" t="s">
        <v>3580</v>
      </c>
      <c r="F2342" t="s">
        <v>179</v>
      </c>
      <c r="G2342">
        <v>9</v>
      </c>
      <c r="H2342">
        <v>6</v>
      </c>
      <c r="I2342">
        <v>9</v>
      </c>
      <c r="J2342">
        <v>24</v>
      </c>
      <c r="K2342" s="482">
        <v>0.375</v>
      </c>
      <c r="L2342" s="482">
        <v>0.25</v>
      </c>
      <c r="M2342" s="482">
        <v>0.375</v>
      </c>
    </row>
    <row r="2343" spans="1:13" x14ac:dyDescent="0.2">
      <c r="A2343" t="s">
        <v>3581</v>
      </c>
      <c r="B2343" t="s">
        <v>50</v>
      </c>
      <c r="C2343" t="s">
        <v>1</v>
      </c>
      <c r="D2343" t="s">
        <v>3582</v>
      </c>
      <c r="E2343" t="s">
        <v>3583</v>
      </c>
      <c r="F2343" t="s">
        <v>179</v>
      </c>
      <c r="G2343">
        <v>20</v>
      </c>
      <c r="H2343">
        <v>13</v>
      </c>
      <c r="I2343">
        <v>23</v>
      </c>
      <c r="J2343">
        <v>56</v>
      </c>
      <c r="K2343" s="482">
        <v>0.35699999999999998</v>
      </c>
      <c r="L2343" s="482">
        <v>0.23200000000000001</v>
      </c>
      <c r="M2343" s="482">
        <v>0.41099999999999998</v>
      </c>
    </row>
    <row r="2344" spans="1:13" x14ac:dyDescent="0.2">
      <c r="A2344" t="s">
        <v>3584</v>
      </c>
      <c r="B2344" t="s">
        <v>50</v>
      </c>
      <c r="C2344" t="s">
        <v>1</v>
      </c>
      <c r="D2344" t="s">
        <v>3585</v>
      </c>
      <c r="E2344" t="s">
        <v>3586</v>
      </c>
      <c r="F2344" t="s">
        <v>179</v>
      </c>
      <c r="G2344">
        <v>31</v>
      </c>
      <c r="H2344">
        <v>20</v>
      </c>
      <c r="I2344">
        <v>37</v>
      </c>
      <c r="J2344">
        <v>88</v>
      </c>
      <c r="K2344" s="482">
        <v>0.35199999999999998</v>
      </c>
      <c r="L2344" s="482">
        <v>0.22700000000000001</v>
      </c>
      <c r="M2344" s="482">
        <v>0.42</v>
      </c>
    </row>
    <row r="2345" spans="1:13" x14ac:dyDescent="0.2">
      <c r="A2345" t="s">
        <v>3587</v>
      </c>
      <c r="B2345" t="s">
        <v>50</v>
      </c>
      <c r="C2345" t="s">
        <v>1</v>
      </c>
      <c r="D2345" t="s">
        <v>3588</v>
      </c>
      <c r="E2345" t="s">
        <v>3589</v>
      </c>
      <c r="F2345" t="s">
        <v>179</v>
      </c>
      <c r="G2345">
        <v>3</v>
      </c>
      <c r="H2345">
        <v>1</v>
      </c>
      <c r="I2345">
        <v>5</v>
      </c>
      <c r="J2345">
        <v>9</v>
      </c>
      <c r="K2345" s="482">
        <v>0.33300000000000002</v>
      </c>
      <c r="L2345" s="482">
        <v>0.111</v>
      </c>
      <c r="M2345" s="482">
        <v>0.55600000000000005</v>
      </c>
    </row>
    <row r="2346" spans="1:13" x14ac:dyDescent="0.2">
      <c r="A2346" t="s">
        <v>3519</v>
      </c>
      <c r="B2346" t="s">
        <v>50</v>
      </c>
      <c r="C2346" t="s">
        <v>1</v>
      </c>
      <c r="D2346" t="s">
        <v>3520</v>
      </c>
      <c r="E2346" t="s">
        <v>341</v>
      </c>
      <c r="F2346" t="s">
        <v>179</v>
      </c>
      <c r="G2346">
        <v>12</v>
      </c>
      <c r="H2346">
        <v>7</v>
      </c>
      <c r="I2346">
        <v>9</v>
      </c>
      <c r="J2346">
        <v>28</v>
      </c>
      <c r="K2346" s="482">
        <v>0.42899999999999999</v>
      </c>
      <c r="L2346" s="482">
        <v>0.25</v>
      </c>
      <c r="M2346" s="482">
        <v>0.32100000000000001</v>
      </c>
    </row>
    <row r="2347" spans="1:13" x14ac:dyDescent="0.2">
      <c r="A2347" t="s">
        <v>3545</v>
      </c>
      <c r="B2347" t="s">
        <v>50</v>
      </c>
      <c r="C2347" t="s">
        <v>1</v>
      </c>
      <c r="D2347" t="s">
        <v>3546</v>
      </c>
      <c r="E2347" t="s">
        <v>3547</v>
      </c>
      <c r="F2347" t="s">
        <v>179</v>
      </c>
      <c r="G2347">
        <v>35</v>
      </c>
      <c r="H2347">
        <v>19</v>
      </c>
      <c r="I2347">
        <v>63</v>
      </c>
      <c r="J2347">
        <v>117</v>
      </c>
      <c r="K2347" s="482">
        <v>0.29899999999999999</v>
      </c>
      <c r="L2347" s="482">
        <v>0.16200000000000001</v>
      </c>
      <c r="M2347" s="482">
        <v>0.53800000000000003</v>
      </c>
    </row>
    <row r="2348" spans="1:13" x14ac:dyDescent="0.2">
      <c r="A2348" t="s">
        <v>3516</v>
      </c>
      <c r="B2348" t="s">
        <v>50</v>
      </c>
      <c r="C2348" t="s">
        <v>1</v>
      </c>
      <c r="D2348" t="s">
        <v>3517</v>
      </c>
      <c r="E2348" t="s">
        <v>3518</v>
      </c>
      <c r="F2348" t="s">
        <v>179</v>
      </c>
      <c r="G2348">
        <v>56</v>
      </c>
      <c r="H2348">
        <v>22</v>
      </c>
      <c r="I2348">
        <v>55</v>
      </c>
      <c r="J2348">
        <v>133</v>
      </c>
      <c r="K2348" s="482">
        <v>0.42099999999999999</v>
      </c>
      <c r="L2348" s="482">
        <v>0.16500000000000001</v>
      </c>
      <c r="M2348" s="482">
        <v>0.41399999999999998</v>
      </c>
    </row>
    <row r="2349" spans="1:13" x14ac:dyDescent="0.2">
      <c r="A2349" t="s">
        <v>3539</v>
      </c>
      <c r="B2349" t="s">
        <v>50</v>
      </c>
      <c r="C2349" t="s">
        <v>1</v>
      </c>
      <c r="D2349" t="s">
        <v>3540</v>
      </c>
      <c r="E2349" t="s">
        <v>3541</v>
      </c>
      <c r="F2349" t="s">
        <v>179</v>
      </c>
      <c r="G2349">
        <v>43</v>
      </c>
      <c r="H2349">
        <v>5</v>
      </c>
      <c r="I2349">
        <v>18</v>
      </c>
      <c r="J2349">
        <v>66</v>
      </c>
      <c r="K2349" s="482">
        <v>0.65200000000000002</v>
      </c>
      <c r="L2349" s="482">
        <v>7.5999999999999998E-2</v>
      </c>
      <c r="M2349" s="482">
        <v>0.27300000000000002</v>
      </c>
    </row>
    <row r="2350" spans="1:13" x14ac:dyDescent="0.2">
      <c r="A2350" t="s">
        <v>6575</v>
      </c>
      <c r="B2350" t="s">
        <v>50</v>
      </c>
      <c r="C2350" t="s">
        <v>1</v>
      </c>
      <c r="D2350" t="s">
        <v>3689</v>
      </c>
      <c r="E2350" t="s">
        <v>6576</v>
      </c>
      <c r="F2350" t="s">
        <v>179</v>
      </c>
      <c r="G2350">
        <v>18</v>
      </c>
      <c r="H2350">
        <v>7</v>
      </c>
      <c r="I2350">
        <v>24</v>
      </c>
      <c r="J2350">
        <v>49</v>
      </c>
      <c r="K2350" s="482">
        <v>0.36699999999999999</v>
      </c>
      <c r="L2350" s="482">
        <v>0.14299999999999999</v>
      </c>
      <c r="M2350" s="482">
        <v>0.49</v>
      </c>
    </row>
    <row r="2351" spans="1:13" x14ac:dyDescent="0.2">
      <c r="A2351" t="s">
        <v>3542</v>
      </c>
      <c r="B2351" t="s">
        <v>50</v>
      </c>
      <c r="C2351" t="s">
        <v>1</v>
      </c>
      <c r="D2351" t="s">
        <v>3543</v>
      </c>
      <c r="E2351" t="s">
        <v>3544</v>
      </c>
      <c r="F2351" t="s">
        <v>179</v>
      </c>
      <c r="G2351">
        <v>71</v>
      </c>
      <c r="H2351">
        <v>41</v>
      </c>
      <c r="I2351">
        <v>78</v>
      </c>
      <c r="J2351">
        <v>190</v>
      </c>
      <c r="K2351" s="482">
        <v>0.374</v>
      </c>
      <c r="L2351" s="482">
        <v>0.216</v>
      </c>
      <c r="M2351" s="482">
        <v>0.41099999999999998</v>
      </c>
    </row>
    <row r="2352" spans="1:13" x14ac:dyDescent="0.2">
      <c r="A2352" t="s">
        <v>3275</v>
      </c>
      <c r="B2352" t="s">
        <v>50</v>
      </c>
      <c r="C2352" t="s">
        <v>1</v>
      </c>
      <c r="D2352" t="s">
        <v>3276</v>
      </c>
      <c r="E2352" t="s">
        <v>3277</v>
      </c>
      <c r="F2352" t="s">
        <v>179</v>
      </c>
      <c r="G2352">
        <v>11</v>
      </c>
      <c r="H2352">
        <v>8</v>
      </c>
      <c r="I2352">
        <v>15</v>
      </c>
      <c r="J2352">
        <v>34</v>
      </c>
      <c r="K2352" s="482">
        <v>0.32400000000000001</v>
      </c>
      <c r="L2352" s="482">
        <v>0.23499999999999999</v>
      </c>
      <c r="M2352" s="482">
        <v>0.441</v>
      </c>
    </row>
    <row r="2353" spans="1:13" x14ac:dyDescent="0.2">
      <c r="A2353" t="s">
        <v>6577</v>
      </c>
      <c r="B2353" t="s">
        <v>50</v>
      </c>
      <c r="C2353" t="s">
        <v>1</v>
      </c>
      <c r="D2353" t="s">
        <v>3278</v>
      </c>
      <c r="E2353" t="s">
        <v>6578</v>
      </c>
      <c r="F2353" t="s">
        <v>179</v>
      </c>
      <c r="G2353">
        <v>76</v>
      </c>
      <c r="H2353">
        <v>39</v>
      </c>
      <c r="I2353">
        <v>89</v>
      </c>
      <c r="J2353">
        <v>204</v>
      </c>
      <c r="K2353" s="482">
        <v>0.373</v>
      </c>
      <c r="L2353" s="482">
        <v>0.191</v>
      </c>
      <c r="M2353" s="482">
        <v>0.436</v>
      </c>
    </row>
    <row r="2354" spans="1:13" x14ac:dyDescent="0.2">
      <c r="A2354" t="s">
        <v>3279</v>
      </c>
      <c r="B2354" t="s">
        <v>50</v>
      </c>
      <c r="C2354" t="s">
        <v>1</v>
      </c>
      <c r="D2354" t="s">
        <v>3280</v>
      </c>
      <c r="E2354" t="s">
        <v>3281</v>
      </c>
      <c r="F2354" t="s">
        <v>179</v>
      </c>
      <c r="G2354">
        <v>10</v>
      </c>
      <c r="H2354">
        <v>12</v>
      </c>
      <c r="I2354">
        <v>19</v>
      </c>
      <c r="J2354">
        <v>41</v>
      </c>
      <c r="K2354" s="482">
        <v>0.24399999999999999</v>
      </c>
      <c r="L2354" s="482">
        <v>0.29299999999999998</v>
      </c>
      <c r="M2354" s="482">
        <v>0.46300000000000002</v>
      </c>
    </row>
    <row r="2355" spans="1:13" x14ac:dyDescent="0.2">
      <c r="A2355" t="s">
        <v>3215</v>
      </c>
      <c r="B2355" t="s">
        <v>50</v>
      </c>
      <c r="C2355" t="s">
        <v>1</v>
      </c>
      <c r="D2355" t="s">
        <v>3216</v>
      </c>
      <c r="E2355" t="s">
        <v>3217</v>
      </c>
      <c r="F2355" t="s">
        <v>179</v>
      </c>
      <c r="G2355">
        <v>35</v>
      </c>
      <c r="H2355">
        <v>13</v>
      </c>
      <c r="I2355">
        <v>37</v>
      </c>
      <c r="J2355">
        <v>85</v>
      </c>
      <c r="K2355" s="482">
        <v>0.41199999999999998</v>
      </c>
      <c r="L2355" s="482">
        <v>0.153</v>
      </c>
      <c r="M2355" s="482">
        <v>0.435</v>
      </c>
    </row>
    <row r="2356" spans="1:13" x14ac:dyDescent="0.2">
      <c r="A2356" t="s">
        <v>3218</v>
      </c>
      <c r="B2356" t="s">
        <v>50</v>
      </c>
      <c r="C2356" t="s">
        <v>1</v>
      </c>
      <c r="D2356" t="s">
        <v>3219</v>
      </c>
      <c r="E2356" t="s">
        <v>3220</v>
      </c>
      <c r="F2356" t="s">
        <v>179</v>
      </c>
      <c r="G2356">
        <v>58</v>
      </c>
      <c r="H2356">
        <v>26</v>
      </c>
      <c r="I2356">
        <v>65</v>
      </c>
      <c r="J2356">
        <v>149</v>
      </c>
      <c r="K2356" s="482">
        <v>0.38900000000000001</v>
      </c>
      <c r="L2356" s="482">
        <v>0.17399999999999999</v>
      </c>
      <c r="M2356" s="482">
        <v>0.436</v>
      </c>
    </row>
    <row r="2357" spans="1:13" x14ac:dyDescent="0.2">
      <c r="A2357" t="s">
        <v>3221</v>
      </c>
      <c r="B2357" t="s">
        <v>50</v>
      </c>
      <c r="C2357" t="s">
        <v>1</v>
      </c>
      <c r="D2357" t="s">
        <v>3222</v>
      </c>
      <c r="E2357" t="s">
        <v>3223</v>
      </c>
      <c r="F2357" t="s">
        <v>179</v>
      </c>
      <c r="G2357">
        <v>14</v>
      </c>
      <c r="H2357">
        <v>13</v>
      </c>
      <c r="I2357">
        <v>9</v>
      </c>
      <c r="J2357">
        <v>36</v>
      </c>
      <c r="K2357" s="482">
        <v>0.38900000000000001</v>
      </c>
      <c r="L2357" s="482">
        <v>0.36099999999999999</v>
      </c>
      <c r="M2357" s="482">
        <v>0.25</v>
      </c>
    </row>
    <row r="2358" spans="1:13" x14ac:dyDescent="0.2">
      <c r="A2358" t="s">
        <v>3224</v>
      </c>
      <c r="B2358" t="s">
        <v>50</v>
      </c>
      <c r="C2358" t="s">
        <v>1</v>
      </c>
      <c r="D2358" t="s">
        <v>3225</v>
      </c>
      <c r="E2358" t="s">
        <v>3226</v>
      </c>
      <c r="F2358" t="s">
        <v>179</v>
      </c>
      <c r="G2358">
        <v>28</v>
      </c>
      <c r="H2358">
        <v>13</v>
      </c>
      <c r="I2358">
        <v>39</v>
      </c>
      <c r="J2358">
        <v>80</v>
      </c>
      <c r="K2358" s="482">
        <v>0.35</v>
      </c>
      <c r="L2358" s="482">
        <v>0.16300000000000001</v>
      </c>
      <c r="M2358" s="482">
        <v>0.48799999999999999</v>
      </c>
    </row>
    <row r="2359" spans="1:13" x14ac:dyDescent="0.2">
      <c r="A2359" t="s">
        <v>3693</v>
      </c>
      <c r="B2359" t="s">
        <v>50</v>
      </c>
      <c r="C2359" t="s">
        <v>1</v>
      </c>
      <c r="D2359" t="s">
        <v>3694</v>
      </c>
      <c r="E2359" t="s">
        <v>3695</v>
      </c>
      <c r="F2359" t="s">
        <v>179</v>
      </c>
      <c r="G2359">
        <v>7</v>
      </c>
      <c r="H2359">
        <v>9</v>
      </c>
      <c r="I2359">
        <v>14</v>
      </c>
      <c r="J2359">
        <v>30</v>
      </c>
      <c r="K2359" s="482">
        <v>0.23300000000000001</v>
      </c>
      <c r="L2359" s="482">
        <v>0.3</v>
      </c>
      <c r="M2359" s="482">
        <v>0.46700000000000003</v>
      </c>
    </row>
    <row r="2360" spans="1:13" x14ac:dyDescent="0.2">
      <c r="A2360" t="s">
        <v>3536</v>
      </c>
      <c r="B2360" t="s">
        <v>50</v>
      </c>
      <c r="C2360" t="s">
        <v>1</v>
      </c>
      <c r="D2360" t="s">
        <v>3537</v>
      </c>
      <c r="E2360" t="s">
        <v>3538</v>
      </c>
      <c r="F2360" t="s">
        <v>179</v>
      </c>
      <c r="G2360">
        <v>29</v>
      </c>
      <c r="H2360">
        <v>17</v>
      </c>
      <c r="I2360">
        <v>50</v>
      </c>
      <c r="J2360">
        <v>96</v>
      </c>
      <c r="K2360" s="482">
        <v>0.30199999999999999</v>
      </c>
      <c r="L2360" s="482">
        <v>0.17699999999999999</v>
      </c>
      <c r="M2360" s="482">
        <v>0.52100000000000002</v>
      </c>
    </row>
    <row r="2361" spans="1:13" x14ac:dyDescent="0.2">
      <c r="A2361" t="s">
        <v>3650</v>
      </c>
      <c r="B2361" t="s">
        <v>50</v>
      </c>
      <c r="C2361" t="s">
        <v>1</v>
      </c>
      <c r="D2361" t="s">
        <v>3651</v>
      </c>
      <c r="E2361" t="s">
        <v>3652</v>
      </c>
      <c r="F2361" t="s">
        <v>179</v>
      </c>
      <c r="G2361">
        <v>160</v>
      </c>
      <c r="H2361">
        <v>80</v>
      </c>
      <c r="I2361">
        <v>138</v>
      </c>
      <c r="J2361">
        <v>378</v>
      </c>
      <c r="K2361" s="482">
        <v>0.42299999999999999</v>
      </c>
      <c r="L2361" s="482">
        <v>0.21199999999999999</v>
      </c>
      <c r="M2361" s="482">
        <v>0.36499999999999999</v>
      </c>
    </row>
    <row r="2362" spans="1:13" x14ac:dyDescent="0.2">
      <c r="A2362" t="s">
        <v>3653</v>
      </c>
      <c r="B2362" t="s">
        <v>50</v>
      </c>
      <c r="C2362" t="s">
        <v>1</v>
      </c>
      <c r="D2362" t="s">
        <v>3654</v>
      </c>
      <c r="E2362" t="s">
        <v>3655</v>
      </c>
      <c r="F2362" t="s">
        <v>179</v>
      </c>
      <c r="G2362">
        <v>6</v>
      </c>
      <c r="H2362">
        <v>3</v>
      </c>
      <c r="I2362">
        <v>3</v>
      </c>
      <c r="J2362">
        <v>12</v>
      </c>
      <c r="K2362" s="482">
        <v>0.5</v>
      </c>
      <c r="L2362" s="482">
        <v>0.25</v>
      </c>
      <c r="M2362" s="482">
        <v>0.25</v>
      </c>
    </row>
    <row r="2363" spans="1:13" x14ac:dyDescent="0.2">
      <c r="A2363" t="s">
        <v>3656</v>
      </c>
      <c r="B2363" t="s">
        <v>50</v>
      </c>
      <c r="C2363" t="s">
        <v>1</v>
      </c>
      <c r="D2363" t="s">
        <v>3657</v>
      </c>
      <c r="E2363" t="s">
        <v>3658</v>
      </c>
      <c r="F2363" t="s">
        <v>179</v>
      </c>
      <c r="G2363">
        <v>31</v>
      </c>
      <c r="H2363">
        <v>14</v>
      </c>
      <c r="I2363">
        <v>67</v>
      </c>
      <c r="J2363">
        <v>112</v>
      </c>
      <c r="K2363" s="482">
        <v>0.27700000000000002</v>
      </c>
      <c r="L2363" s="482">
        <v>0.125</v>
      </c>
      <c r="M2363" s="482">
        <v>0.59799999999999998</v>
      </c>
    </row>
    <row r="2364" spans="1:13" x14ac:dyDescent="0.2">
      <c r="A2364" t="s">
        <v>3640</v>
      </c>
      <c r="B2364" t="s">
        <v>50</v>
      </c>
      <c r="C2364" t="s">
        <v>1</v>
      </c>
      <c r="D2364" t="s">
        <v>3641</v>
      </c>
      <c r="E2364" t="s">
        <v>3642</v>
      </c>
      <c r="F2364" t="s">
        <v>179</v>
      </c>
      <c r="G2364">
        <v>55</v>
      </c>
      <c r="H2364">
        <v>38</v>
      </c>
      <c r="I2364">
        <v>101</v>
      </c>
      <c r="J2364">
        <v>194</v>
      </c>
      <c r="K2364" s="482">
        <v>0.28399999999999997</v>
      </c>
      <c r="L2364" s="482">
        <v>0.19600000000000001</v>
      </c>
      <c r="M2364" s="482">
        <v>0.52100000000000002</v>
      </c>
    </row>
    <row r="2365" spans="1:13" x14ac:dyDescent="0.2">
      <c r="A2365" t="s">
        <v>6579</v>
      </c>
      <c r="B2365" t="s">
        <v>50</v>
      </c>
      <c r="C2365" t="s">
        <v>1</v>
      </c>
      <c r="D2365" t="s">
        <v>3643</v>
      </c>
      <c r="E2365" t="s">
        <v>6580</v>
      </c>
      <c r="F2365" t="s">
        <v>179</v>
      </c>
      <c r="G2365">
        <v>23</v>
      </c>
      <c r="H2365">
        <v>9</v>
      </c>
      <c r="I2365">
        <v>24</v>
      </c>
      <c r="J2365">
        <v>56</v>
      </c>
      <c r="K2365" s="482">
        <v>0.41099999999999998</v>
      </c>
      <c r="L2365" s="482">
        <v>0.161</v>
      </c>
      <c r="M2365" s="482">
        <v>0.42899999999999999</v>
      </c>
    </row>
    <row r="2366" spans="1:13" x14ac:dyDescent="0.2">
      <c r="A2366" t="s">
        <v>3644</v>
      </c>
      <c r="B2366" t="s">
        <v>50</v>
      </c>
      <c r="C2366" t="s">
        <v>1</v>
      </c>
      <c r="D2366" t="s">
        <v>3645</v>
      </c>
      <c r="E2366" t="s">
        <v>3646</v>
      </c>
      <c r="F2366" t="s">
        <v>179</v>
      </c>
      <c r="G2366">
        <v>48</v>
      </c>
      <c r="H2366">
        <v>35</v>
      </c>
      <c r="I2366">
        <v>70</v>
      </c>
      <c r="J2366">
        <v>153</v>
      </c>
      <c r="K2366" s="482">
        <v>0.314</v>
      </c>
      <c r="L2366" s="482">
        <v>0.22900000000000001</v>
      </c>
      <c r="M2366" s="482">
        <v>0.45800000000000002</v>
      </c>
    </row>
    <row r="2367" spans="1:13" x14ac:dyDescent="0.2">
      <c r="A2367" t="s">
        <v>3647</v>
      </c>
      <c r="B2367" t="s">
        <v>50</v>
      </c>
      <c r="C2367" t="s">
        <v>1</v>
      </c>
      <c r="D2367" t="s">
        <v>3648</v>
      </c>
      <c r="E2367" t="s">
        <v>3649</v>
      </c>
      <c r="F2367" t="s">
        <v>179</v>
      </c>
      <c r="G2367">
        <v>7</v>
      </c>
      <c r="H2367">
        <v>4</v>
      </c>
      <c r="I2367">
        <v>5</v>
      </c>
      <c r="J2367">
        <v>16</v>
      </c>
      <c r="K2367" s="482">
        <v>0.438</v>
      </c>
      <c r="L2367" s="482">
        <v>0.25</v>
      </c>
      <c r="M2367" s="482">
        <v>0.313</v>
      </c>
    </row>
    <row r="2368" spans="1:13" x14ac:dyDescent="0.2">
      <c r="A2368" t="s">
        <v>3659</v>
      </c>
      <c r="B2368" t="s">
        <v>50</v>
      </c>
      <c r="C2368" t="s">
        <v>1</v>
      </c>
      <c r="D2368" t="s">
        <v>3660</v>
      </c>
      <c r="E2368" t="s">
        <v>3661</v>
      </c>
      <c r="F2368" t="s">
        <v>179</v>
      </c>
      <c r="G2368">
        <v>17</v>
      </c>
      <c r="H2368">
        <v>18</v>
      </c>
      <c r="I2368">
        <v>20</v>
      </c>
      <c r="J2368">
        <v>55</v>
      </c>
      <c r="K2368" s="482">
        <v>0.309</v>
      </c>
      <c r="L2368" s="482">
        <v>0.32700000000000001</v>
      </c>
      <c r="M2368" s="482">
        <v>0.36399999999999999</v>
      </c>
    </row>
    <row r="2369" spans="1:13" x14ac:dyDescent="0.2">
      <c r="A2369" t="s">
        <v>3662</v>
      </c>
      <c r="B2369" t="s">
        <v>50</v>
      </c>
      <c r="C2369" t="s">
        <v>1</v>
      </c>
      <c r="D2369" t="s">
        <v>3663</v>
      </c>
      <c r="E2369" t="s">
        <v>3664</v>
      </c>
      <c r="F2369" t="s">
        <v>179</v>
      </c>
      <c r="G2369">
        <v>42</v>
      </c>
      <c r="H2369">
        <v>20</v>
      </c>
      <c r="I2369">
        <v>64</v>
      </c>
      <c r="J2369">
        <v>126</v>
      </c>
      <c r="K2369" s="482">
        <v>0.33300000000000002</v>
      </c>
      <c r="L2369" s="482">
        <v>0.159</v>
      </c>
      <c r="M2369" s="482">
        <v>0.50800000000000001</v>
      </c>
    </row>
    <row r="2370" spans="1:13" x14ac:dyDescent="0.2">
      <c r="A2370" t="s">
        <v>3665</v>
      </c>
      <c r="B2370" t="s">
        <v>50</v>
      </c>
      <c r="C2370" t="s">
        <v>1</v>
      </c>
      <c r="D2370" t="s">
        <v>3666</v>
      </c>
      <c r="E2370" t="s">
        <v>3667</v>
      </c>
      <c r="F2370" t="s">
        <v>179</v>
      </c>
      <c r="G2370">
        <v>15</v>
      </c>
      <c r="H2370">
        <v>6</v>
      </c>
      <c r="I2370">
        <v>17</v>
      </c>
      <c r="J2370">
        <v>38</v>
      </c>
      <c r="K2370" s="482">
        <v>0.39500000000000002</v>
      </c>
      <c r="L2370" s="482">
        <v>0.158</v>
      </c>
      <c r="M2370" s="482">
        <v>0.44700000000000001</v>
      </c>
    </row>
    <row r="2371" spans="1:13" x14ac:dyDescent="0.2">
      <c r="A2371" t="s">
        <v>3668</v>
      </c>
      <c r="B2371" t="s">
        <v>50</v>
      </c>
      <c r="C2371" t="s">
        <v>1</v>
      </c>
      <c r="D2371" t="s">
        <v>3669</v>
      </c>
      <c r="E2371" t="s">
        <v>3670</v>
      </c>
      <c r="F2371" t="s">
        <v>179</v>
      </c>
      <c r="G2371">
        <v>39</v>
      </c>
      <c r="H2371">
        <v>14</v>
      </c>
      <c r="I2371">
        <v>72</v>
      </c>
      <c r="J2371">
        <v>125</v>
      </c>
      <c r="K2371" s="482">
        <v>0.312</v>
      </c>
      <c r="L2371" s="482">
        <v>0.112</v>
      </c>
      <c r="M2371" s="482">
        <v>0.57599999999999996</v>
      </c>
    </row>
    <row r="2372" spans="1:13" x14ac:dyDescent="0.2">
      <c r="A2372" t="s">
        <v>3671</v>
      </c>
      <c r="B2372" t="s">
        <v>50</v>
      </c>
      <c r="C2372" t="s">
        <v>1</v>
      </c>
      <c r="D2372" t="s">
        <v>3672</v>
      </c>
      <c r="E2372" t="s">
        <v>3673</v>
      </c>
      <c r="F2372" t="s">
        <v>179</v>
      </c>
      <c r="G2372">
        <v>21</v>
      </c>
      <c r="H2372">
        <v>21</v>
      </c>
      <c r="I2372">
        <v>34</v>
      </c>
      <c r="J2372">
        <v>76</v>
      </c>
      <c r="K2372" s="482">
        <v>0.27600000000000002</v>
      </c>
      <c r="L2372" s="482">
        <v>0.27600000000000002</v>
      </c>
      <c r="M2372" s="482">
        <v>0.44700000000000001</v>
      </c>
    </row>
    <row r="2373" spans="1:13" x14ac:dyDescent="0.2">
      <c r="A2373" t="s">
        <v>3674</v>
      </c>
      <c r="B2373" t="s">
        <v>50</v>
      </c>
      <c r="C2373" t="s">
        <v>1</v>
      </c>
      <c r="D2373" t="s">
        <v>3675</v>
      </c>
      <c r="E2373" t="s">
        <v>3676</v>
      </c>
      <c r="F2373" t="s">
        <v>179</v>
      </c>
      <c r="G2373">
        <v>44</v>
      </c>
      <c r="H2373">
        <v>24</v>
      </c>
      <c r="I2373">
        <v>36</v>
      </c>
      <c r="J2373">
        <v>104</v>
      </c>
      <c r="K2373" s="482">
        <v>0.42299999999999999</v>
      </c>
      <c r="L2373" s="482">
        <v>0.23100000000000001</v>
      </c>
      <c r="M2373" s="482">
        <v>0.34599999999999997</v>
      </c>
    </row>
    <row r="2374" spans="1:13" x14ac:dyDescent="0.2">
      <c r="A2374" t="s">
        <v>3269</v>
      </c>
      <c r="B2374" t="s">
        <v>50</v>
      </c>
      <c r="C2374" t="s">
        <v>1</v>
      </c>
      <c r="D2374" t="s">
        <v>3270</v>
      </c>
      <c r="E2374" t="s">
        <v>3271</v>
      </c>
      <c r="F2374" t="s">
        <v>179</v>
      </c>
      <c r="G2374">
        <v>36</v>
      </c>
      <c r="H2374">
        <v>20</v>
      </c>
      <c r="I2374">
        <v>50</v>
      </c>
      <c r="J2374">
        <v>106</v>
      </c>
      <c r="K2374" s="482">
        <v>0.34</v>
      </c>
      <c r="L2374" s="482">
        <v>0.189</v>
      </c>
      <c r="M2374" s="482">
        <v>0.47199999999999998</v>
      </c>
    </row>
    <row r="2375" spans="1:13" x14ac:dyDescent="0.2">
      <c r="A2375" t="s">
        <v>3272</v>
      </c>
      <c r="B2375" t="s">
        <v>50</v>
      </c>
      <c r="C2375" t="s">
        <v>1</v>
      </c>
      <c r="D2375" t="s">
        <v>3273</v>
      </c>
      <c r="E2375" t="s">
        <v>3274</v>
      </c>
      <c r="F2375" t="s">
        <v>179</v>
      </c>
      <c r="G2375" t="s">
        <v>53</v>
      </c>
      <c r="H2375">
        <v>0</v>
      </c>
      <c r="I2375">
        <v>0</v>
      </c>
      <c r="J2375" t="s">
        <v>53</v>
      </c>
      <c r="K2375" t="s">
        <v>53</v>
      </c>
      <c r="L2375" t="s">
        <v>53</v>
      </c>
      <c r="M2375" t="s">
        <v>53</v>
      </c>
    </row>
    <row r="2376" spans="1:13" x14ac:dyDescent="0.2">
      <c r="A2376" t="s">
        <v>3206</v>
      </c>
      <c r="B2376" t="s">
        <v>50</v>
      </c>
      <c r="C2376" t="s">
        <v>1</v>
      </c>
      <c r="D2376" t="s">
        <v>3207</v>
      </c>
      <c r="E2376" t="s">
        <v>3208</v>
      </c>
      <c r="F2376" t="s">
        <v>179</v>
      </c>
      <c r="G2376">
        <v>10</v>
      </c>
      <c r="H2376">
        <v>10</v>
      </c>
      <c r="I2376">
        <v>16</v>
      </c>
      <c r="J2376">
        <v>36</v>
      </c>
      <c r="K2376" s="482">
        <v>0.27800000000000002</v>
      </c>
      <c r="L2376" s="482">
        <v>0.27800000000000002</v>
      </c>
      <c r="M2376" s="482">
        <v>0.44400000000000001</v>
      </c>
    </row>
    <row r="2377" spans="1:13" x14ac:dyDescent="0.2">
      <c r="A2377" t="s">
        <v>3831</v>
      </c>
      <c r="B2377" t="s">
        <v>50</v>
      </c>
      <c r="C2377" t="s">
        <v>1</v>
      </c>
      <c r="D2377" t="s">
        <v>3832</v>
      </c>
      <c r="E2377" t="s">
        <v>3833</v>
      </c>
      <c r="F2377" t="s">
        <v>179</v>
      </c>
      <c r="G2377">
        <v>43</v>
      </c>
      <c r="H2377">
        <v>19</v>
      </c>
      <c r="I2377">
        <v>36</v>
      </c>
      <c r="J2377">
        <v>98</v>
      </c>
      <c r="K2377" s="482">
        <v>0.439</v>
      </c>
      <c r="L2377" s="482">
        <v>0.19400000000000001</v>
      </c>
      <c r="M2377" s="482">
        <v>0.36699999999999999</v>
      </c>
    </row>
    <row r="2378" spans="1:13" x14ac:dyDescent="0.2">
      <c r="A2378" t="s">
        <v>3705</v>
      </c>
      <c r="B2378" t="s">
        <v>50</v>
      </c>
      <c r="C2378" t="s">
        <v>1</v>
      </c>
      <c r="D2378" t="s">
        <v>3706</v>
      </c>
      <c r="E2378" t="s">
        <v>3707</v>
      </c>
      <c r="F2378" t="s">
        <v>179</v>
      </c>
      <c r="G2378">
        <v>46</v>
      </c>
      <c r="H2378">
        <v>26</v>
      </c>
      <c r="I2378">
        <v>55</v>
      </c>
      <c r="J2378">
        <v>127</v>
      </c>
      <c r="K2378" s="482">
        <v>0.36199999999999999</v>
      </c>
      <c r="L2378" s="482">
        <v>0.20499999999999999</v>
      </c>
      <c r="M2378" s="482">
        <v>0.433</v>
      </c>
    </row>
    <row r="2379" spans="1:13" x14ac:dyDescent="0.2">
      <c r="A2379" t="s">
        <v>3524</v>
      </c>
      <c r="B2379" t="s">
        <v>50</v>
      </c>
      <c r="C2379" t="s">
        <v>1</v>
      </c>
      <c r="D2379" t="s">
        <v>3525</v>
      </c>
      <c r="E2379" t="s">
        <v>3526</v>
      </c>
      <c r="F2379" t="s">
        <v>179</v>
      </c>
      <c r="G2379">
        <v>10</v>
      </c>
      <c r="H2379">
        <v>2</v>
      </c>
      <c r="I2379">
        <v>7</v>
      </c>
      <c r="J2379">
        <v>19</v>
      </c>
      <c r="K2379" s="482">
        <v>0.52600000000000002</v>
      </c>
      <c r="L2379" s="482">
        <v>0.105</v>
      </c>
      <c r="M2379" s="482">
        <v>0.36799999999999999</v>
      </c>
    </row>
    <row r="2380" spans="1:13" x14ac:dyDescent="0.2">
      <c r="A2380" t="s">
        <v>6581</v>
      </c>
      <c r="B2380" t="s">
        <v>50</v>
      </c>
      <c r="C2380" t="s">
        <v>1</v>
      </c>
      <c r="D2380" t="s">
        <v>6529</v>
      </c>
      <c r="E2380" t="s">
        <v>6530</v>
      </c>
      <c r="F2380" t="s">
        <v>179</v>
      </c>
      <c r="G2380">
        <v>0</v>
      </c>
      <c r="H2380">
        <v>0</v>
      </c>
      <c r="I2380" t="s">
        <v>53</v>
      </c>
      <c r="J2380" t="s">
        <v>53</v>
      </c>
      <c r="K2380" t="s">
        <v>53</v>
      </c>
      <c r="L2380" t="s">
        <v>53</v>
      </c>
      <c r="M2380" t="s">
        <v>53</v>
      </c>
    </row>
    <row r="2381" spans="1:13" x14ac:dyDescent="0.2">
      <c r="A2381" t="s">
        <v>3834</v>
      </c>
      <c r="B2381" t="s">
        <v>50</v>
      </c>
      <c r="C2381" t="s">
        <v>1</v>
      </c>
      <c r="D2381" t="s">
        <v>3835</v>
      </c>
      <c r="E2381" t="s">
        <v>3836</v>
      </c>
      <c r="F2381" t="s">
        <v>179</v>
      </c>
      <c r="G2381">
        <v>20</v>
      </c>
      <c r="H2381">
        <v>7</v>
      </c>
      <c r="I2381">
        <v>18</v>
      </c>
      <c r="J2381">
        <v>45</v>
      </c>
      <c r="K2381" s="482">
        <v>0.44400000000000001</v>
      </c>
      <c r="L2381" s="482">
        <v>0.156</v>
      </c>
      <c r="M2381" s="482">
        <v>0.4</v>
      </c>
    </row>
    <row r="2382" spans="1:13" x14ac:dyDescent="0.2">
      <c r="A2382" t="s">
        <v>3530</v>
      </c>
      <c r="B2382" t="s">
        <v>50</v>
      </c>
      <c r="C2382" t="s">
        <v>1</v>
      </c>
      <c r="D2382" t="s">
        <v>3531</v>
      </c>
      <c r="E2382" t="s">
        <v>3532</v>
      </c>
      <c r="F2382" t="s">
        <v>179</v>
      </c>
      <c r="G2382">
        <v>16</v>
      </c>
      <c r="H2382">
        <v>9</v>
      </c>
      <c r="I2382">
        <v>20</v>
      </c>
      <c r="J2382">
        <v>45</v>
      </c>
      <c r="K2382" s="482">
        <v>0.35599999999999998</v>
      </c>
      <c r="L2382" s="482">
        <v>0.2</v>
      </c>
      <c r="M2382" s="482">
        <v>0.44400000000000001</v>
      </c>
    </row>
    <row r="2383" spans="1:13" x14ac:dyDescent="0.2">
      <c r="A2383" t="s">
        <v>3533</v>
      </c>
      <c r="B2383" t="s">
        <v>50</v>
      </c>
      <c r="C2383" t="s">
        <v>1</v>
      </c>
      <c r="D2383" t="s">
        <v>3534</v>
      </c>
      <c r="E2383" t="s">
        <v>3535</v>
      </c>
      <c r="F2383" t="s">
        <v>179</v>
      </c>
      <c r="G2383">
        <v>15</v>
      </c>
      <c r="H2383">
        <v>12</v>
      </c>
      <c r="I2383">
        <v>14</v>
      </c>
      <c r="J2383">
        <v>41</v>
      </c>
      <c r="K2383" s="482">
        <v>0.36599999999999999</v>
      </c>
      <c r="L2383" s="482">
        <v>0.29299999999999998</v>
      </c>
      <c r="M2383" s="482">
        <v>0.34100000000000003</v>
      </c>
    </row>
    <row r="2384" spans="1:13" x14ac:dyDescent="0.2">
      <c r="A2384" t="s">
        <v>3720</v>
      </c>
      <c r="B2384" t="s">
        <v>50</v>
      </c>
      <c r="C2384" t="s">
        <v>1</v>
      </c>
      <c r="D2384" t="s">
        <v>3721</v>
      </c>
      <c r="E2384" t="s">
        <v>3722</v>
      </c>
      <c r="F2384" t="s">
        <v>179</v>
      </c>
      <c r="G2384">
        <v>93</v>
      </c>
      <c r="H2384">
        <v>55</v>
      </c>
      <c r="I2384">
        <v>112</v>
      </c>
      <c r="J2384">
        <v>260</v>
      </c>
      <c r="K2384" s="482">
        <v>0.35799999999999998</v>
      </c>
      <c r="L2384" s="482">
        <v>0.21199999999999999</v>
      </c>
      <c r="M2384" s="482">
        <v>0.43099999999999999</v>
      </c>
    </row>
    <row r="2385" spans="1:13" x14ac:dyDescent="0.2">
      <c r="A2385" t="s">
        <v>3723</v>
      </c>
      <c r="B2385" t="s">
        <v>50</v>
      </c>
      <c r="C2385" t="s">
        <v>1</v>
      </c>
      <c r="D2385" t="s">
        <v>3724</v>
      </c>
      <c r="E2385" t="s">
        <v>3725</v>
      </c>
      <c r="F2385" t="s">
        <v>179</v>
      </c>
      <c r="G2385">
        <v>27</v>
      </c>
      <c r="H2385">
        <v>23</v>
      </c>
      <c r="I2385">
        <v>34</v>
      </c>
      <c r="J2385">
        <v>84</v>
      </c>
      <c r="K2385" s="482">
        <v>0.32100000000000001</v>
      </c>
      <c r="L2385" s="482">
        <v>0.27400000000000002</v>
      </c>
      <c r="M2385" s="482">
        <v>0.40500000000000003</v>
      </c>
    </row>
    <row r="2386" spans="1:13" x14ac:dyDescent="0.2">
      <c r="A2386" t="s">
        <v>3726</v>
      </c>
      <c r="B2386" t="s">
        <v>50</v>
      </c>
      <c r="C2386" t="s">
        <v>1</v>
      </c>
      <c r="D2386" t="s">
        <v>3727</v>
      </c>
      <c r="E2386" t="s">
        <v>3728</v>
      </c>
      <c r="F2386" t="s">
        <v>179</v>
      </c>
      <c r="G2386">
        <v>25</v>
      </c>
      <c r="H2386">
        <v>12</v>
      </c>
      <c r="I2386">
        <v>25</v>
      </c>
      <c r="J2386">
        <v>62</v>
      </c>
      <c r="K2386" s="482">
        <v>0.40300000000000002</v>
      </c>
      <c r="L2386" s="482">
        <v>0.19400000000000001</v>
      </c>
      <c r="M2386" s="482">
        <v>0.40300000000000002</v>
      </c>
    </row>
    <row r="2387" spans="1:13" x14ac:dyDescent="0.2">
      <c r="A2387" t="s">
        <v>3729</v>
      </c>
      <c r="B2387" t="s">
        <v>50</v>
      </c>
      <c r="C2387" t="s">
        <v>1</v>
      </c>
      <c r="D2387" t="s">
        <v>3730</v>
      </c>
      <c r="E2387" t="s">
        <v>3731</v>
      </c>
      <c r="F2387" t="s">
        <v>179</v>
      </c>
      <c r="G2387">
        <v>38</v>
      </c>
      <c r="H2387">
        <v>16</v>
      </c>
      <c r="I2387">
        <v>50</v>
      </c>
      <c r="J2387">
        <v>104</v>
      </c>
      <c r="K2387" s="482">
        <v>0.36499999999999999</v>
      </c>
      <c r="L2387" s="482">
        <v>0.154</v>
      </c>
      <c r="M2387" s="482">
        <v>0.48099999999999998</v>
      </c>
    </row>
    <row r="2388" spans="1:13" x14ac:dyDescent="0.2">
      <c r="A2388" t="s">
        <v>3732</v>
      </c>
      <c r="B2388" t="s">
        <v>50</v>
      </c>
      <c r="C2388" t="s">
        <v>1</v>
      </c>
      <c r="D2388" t="s">
        <v>3733</v>
      </c>
      <c r="E2388" t="s">
        <v>3734</v>
      </c>
      <c r="F2388" t="s">
        <v>179</v>
      </c>
      <c r="G2388">
        <v>89</v>
      </c>
      <c r="H2388">
        <v>54</v>
      </c>
      <c r="I2388">
        <v>87</v>
      </c>
      <c r="J2388">
        <v>230</v>
      </c>
      <c r="K2388" s="482">
        <v>0.38700000000000001</v>
      </c>
      <c r="L2388" s="482">
        <v>0.23499999999999999</v>
      </c>
      <c r="M2388" s="482">
        <v>0.378</v>
      </c>
    </row>
    <row r="2389" spans="1:13" x14ac:dyDescent="0.2">
      <c r="A2389" t="s">
        <v>3735</v>
      </c>
      <c r="B2389" t="s">
        <v>50</v>
      </c>
      <c r="C2389" t="s">
        <v>1</v>
      </c>
      <c r="D2389" t="s">
        <v>3736</v>
      </c>
      <c r="E2389" t="s">
        <v>3737</v>
      </c>
      <c r="F2389" t="s">
        <v>179</v>
      </c>
      <c r="G2389">
        <v>9</v>
      </c>
      <c r="H2389">
        <v>7</v>
      </c>
      <c r="I2389">
        <v>15</v>
      </c>
      <c r="J2389">
        <v>31</v>
      </c>
      <c r="K2389" s="482">
        <v>0.28999999999999998</v>
      </c>
      <c r="L2389" s="482">
        <v>0.22600000000000001</v>
      </c>
      <c r="M2389" s="482">
        <v>0.48399999999999999</v>
      </c>
    </row>
    <row r="2390" spans="1:13" x14ac:dyDescent="0.2">
      <c r="A2390" t="s">
        <v>3708</v>
      </c>
      <c r="B2390" t="s">
        <v>50</v>
      </c>
      <c r="C2390" t="s">
        <v>1</v>
      </c>
      <c r="D2390" t="s">
        <v>3709</v>
      </c>
      <c r="E2390" t="s">
        <v>3710</v>
      </c>
      <c r="F2390" t="s">
        <v>179</v>
      </c>
      <c r="G2390">
        <v>15</v>
      </c>
      <c r="H2390">
        <v>8</v>
      </c>
      <c r="I2390">
        <v>29</v>
      </c>
      <c r="J2390">
        <v>52</v>
      </c>
      <c r="K2390" s="482">
        <v>0.28799999999999998</v>
      </c>
      <c r="L2390" s="482">
        <v>0.154</v>
      </c>
      <c r="M2390" s="482">
        <v>0.55800000000000005</v>
      </c>
    </row>
    <row r="2391" spans="1:13" x14ac:dyDescent="0.2">
      <c r="A2391" t="s">
        <v>3711</v>
      </c>
      <c r="B2391" t="s">
        <v>50</v>
      </c>
      <c r="C2391" t="s">
        <v>1</v>
      </c>
      <c r="D2391" t="s">
        <v>3712</v>
      </c>
      <c r="E2391" t="s">
        <v>3713</v>
      </c>
      <c r="F2391" t="s">
        <v>179</v>
      </c>
      <c r="G2391">
        <v>65</v>
      </c>
      <c r="H2391">
        <v>33</v>
      </c>
      <c r="I2391">
        <v>77</v>
      </c>
      <c r="J2391">
        <v>175</v>
      </c>
      <c r="K2391" s="482">
        <v>0.371</v>
      </c>
      <c r="L2391" s="482">
        <v>0.189</v>
      </c>
      <c r="M2391" s="482">
        <v>0.44</v>
      </c>
    </row>
    <row r="2392" spans="1:13" x14ac:dyDescent="0.2">
      <c r="A2392" t="s">
        <v>3744</v>
      </c>
      <c r="B2392" t="s">
        <v>50</v>
      </c>
      <c r="C2392" t="s">
        <v>1</v>
      </c>
      <c r="D2392" t="s">
        <v>3745</v>
      </c>
      <c r="E2392" t="s">
        <v>3746</v>
      </c>
      <c r="F2392" t="s">
        <v>179</v>
      </c>
      <c r="G2392">
        <v>46</v>
      </c>
      <c r="H2392">
        <v>25</v>
      </c>
      <c r="I2392">
        <v>57</v>
      </c>
      <c r="J2392">
        <v>128</v>
      </c>
      <c r="K2392" s="482">
        <v>0.35899999999999999</v>
      </c>
      <c r="L2392" s="482">
        <v>0.19500000000000001</v>
      </c>
      <c r="M2392" s="482">
        <v>0.44500000000000001</v>
      </c>
    </row>
    <row r="2393" spans="1:13" x14ac:dyDescent="0.2">
      <c r="A2393" t="s">
        <v>3908</v>
      </c>
      <c r="B2393" t="s">
        <v>50</v>
      </c>
      <c r="C2393" t="s">
        <v>1</v>
      </c>
      <c r="D2393" t="s">
        <v>3909</v>
      </c>
      <c r="E2393" t="s">
        <v>3910</v>
      </c>
      <c r="F2393" t="s">
        <v>179</v>
      </c>
      <c r="G2393">
        <v>78</v>
      </c>
      <c r="H2393">
        <v>34</v>
      </c>
      <c r="I2393">
        <v>63</v>
      </c>
      <c r="J2393">
        <v>175</v>
      </c>
      <c r="K2393" s="482">
        <v>0.44600000000000001</v>
      </c>
      <c r="L2393" s="482">
        <v>0.19400000000000001</v>
      </c>
      <c r="M2393" s="482">
        <v>0.36</v>
      </c>
    </row>
    <row r="2394" spans="1:13" x14ac:dyDescent="0.2">
      <c r="A2394" t="s">
        <v>3911</v>
      </c>
      <c r="B2394" t="s">
        <v>50</v>
      </c>
      <c r="C2394" t="s">
        <v>1</v>
      </c>
      <c r="D2394" t="s">
        <v>3912</v>
      </c>
      <c r="E2394" t="s">
        <v>3913</v>
      </c>
      <c r="F2394" t="s">
        <v>179</v>
      </c>
      <c r="G2394">
        <v>15</v>
      </c>
      <c r="H2394">
        <v>11</v>
      </c>
      <c r="I2394">
        <v>18</v>
      </c>
      <c r="J2394">
        <v>44</v>
      </c>
      <c r="K2394" s="482">
        <v>0.34100000000000003</v>
      </c>
      <c r="L2394" s="482">
        <v>0.25</v>
      </c>
      <c r="M2394" s="482">
        <v>0.40899999999999997</v>
      </c>
    </row>
    <row r="2395" spans="1:13" x14ac:dyDescent="0.2">
      <c r="A2395" t="s">
        <v>3914</v>
      </c>
      <c r="B2395" t="s">
        <v>50</v>
      </c>
      <c r="C2395" t="s">
        <v>1</v>
      </c>
      <c r="D2395" t="s">
        <v>3915</v>
      </c>
      <c r="E2395" t="s">
        <v>3916</v>
      </c>
      <c r="F2395" t="s">
        <v>179</v>
      </c>
      <c r="G2395">
        <v>46</v>
      </c>
      <c r="H2395">
        <v>19</v>
      </c>
      <c r="I2395">
        <v>56</v>
      </c>
      <c r="J2395">
        <v>121</v>
      </c>
      <c r="K2395" s="482">
        <v>0.38</v>
      </c>
      <c r="L2395" s="482">
        <v>0.157</v>
      </c>
      <c r="M2395" s="482">
        <v>0.46300000000000002</v>
      </c>
    </row>
    <row r="2396" spans="1:13" x14ac:dyDescent="0.2">
      <c r="A2396" t="s">
        <v>3917</v>
      </c>
      <c r="B2396" t="s">
        <v>50</v>
      </c>
      <c r="C2396" t="s">
        <v>1</v>
      </c>
      <c r="D2396" t="s">
        <v>3918</v>
      </c>
      <c r="E2396" t="s">
        <v>3919</v>
      </c>
      <c r="F2396" t="s">
        <v>179</v>
      </c>
      <c r="G2396">
        <v>24</v>
      </c>
      <c r="H2396">
        <v>14</v>
      </c>
      <c r="I2396">
        <v>33</v>
      </c>
      <c r="J2396">
        <v>71</v>
      </c>
      <c r="K2396" s="482">
        <v>0.33800000000000002</v>
      </c>
      <c r="L2396" s="482">
        <v>0.19700000000000001</v>
      </c>
      <c r="M2396" s="482">
        <v>0.46500000000000002</v>
      </c>
    </row>
    <row r="2397" spans="1:13" x14ac:dyDescent="0.2">
      <c r="A2397" t="s">
        <v>3923</v>
      </c>
      <c r="B2397" t="s">
        <v>50</v>
      </c>
      <c r="C2397" t="s">
        <v>1</v>
      </c>
      <c r="D2397" t="s">
        <v>3924</v>
      </c>
      <c r="E2397" t="s">
        <v>3925</v>
      </c>
      <c r="F2397" t="s">
        <v>179</v>
      </c>
      <c r="G2397">
        <v>18</v>
      </c>
      <c r="H2397">
        <v>17</v>
      </c>
      <c r="I2397">
        <v>25</v>
      </c>
      <c r="J2397">
        <v>60</v>
      </c>
      <c r="K2397" s="482">
        <v>0.3</v>
      </c>
      <c r="L2397" s="482">
        <v>0.28299999999999997</v>
      </c>
      <c r="M2397" s="482">
        <v>0.41699999999999998</v>
      </c>
    </row>
    <row r="2398" spans="1:13" x14ac:dyDescent="0.2">
      <c r="A2398" t="s">
        <v>3566</v>
      </c>
      <c r="B2398" t="s">
        <v>50</v>
      </c>
      <c r="C2398" t="s">
        <v>1</v>
      </c>
      <c r="D2398" t="s">
        <v>3567</v>
      </c>
      <c r="E2398" t="s">
        <v>3568</v>
      </c>
      <c r="F2398" t="s">
        <v>179</v>
      </c>
      <c r="G2398">
        <v>21</v>
      </c>
      <c r="H2398">
        <v>8</v>
      </c>
      <c r="I2398">
        <v>23</v>
      </c>
      <c r="J2398">
        <v>52</v>
      </c>
      <c r="K2398" s="482">
        <v>0.40400000000000003</v>
      </c>
      <c r="L2398" s="482">
        <v>0.154</v>
      </c>
      <c r="M2398" s="482">
        <v>0.442</v>
      </c>
    </row>
    <row r="2399" spans="1:13" x14ac:dyDescent="0.2">
      <c r="A2399" t="s">
        <v>3929</v>
      </c>
      <c r="B2399" t="s">
        <v>50</v>
      </c>
      <c r="C2399" t="s">
        <v>1</v>
      </c>
      <c r="D2399" t="s">
        <v>3930</v>
      </c>
      <c r="E2399" t="s">
        <v>344</v>
      </c>
      <c r="F2399" t="s">
        <v>179</v>
      </c>
      <c r="G2399">
        <v>45</v>
      </c>
      <c r="H2399">
        <v>20</v>
      </c>
      <c r="I2399">
        <v>48</v>
      </c>
      <c r="J2399">
        <v>113</v>
      </c>
      <c r="K2399" s="482">
        <v>0.39800000000000002</v>
      </c>
      <c r="L2399" s="482">
        <v>0.17699999999999999</v>
      </c>
      <c r="M2399" s="482">
        <v>0.42499999999999999</v>
      </c>
    </row>
    <row r="2400" spans="1:13" x14ac:dyDescent="0.2">
      <c r="A2400" t="s">
        <v>3521</v>
      </c>
      <c r="B2400" t="s">
        <v>50</v>
      </c>
      <c r="C2400" t="s">
        <v>1</v>
      </c>
      <c r="D2400" t="s">
        <v>3522</v>
      </c>
      <c r="E2400" t="s">
        <v>3523</v>
      </c>
      <c r="F2400" t="s">
        <v>179</v>
      </c>
      <c r="G2400">
        <v>58</v>
      </c>
      <c r="H2400">
        <v>23</v>
      </c>
      <c r="I2400">
        <v>75</v>
      </c>
      <c r="J2400">
        <v>156</v>
      </c>
      <c r="K2400" s="482">
        <v>0.372</v>
      </c>
      <c r="L2400" s="482">
        <v>0.14699999999999999</v>
      </c>
      <c r="M2400" s="482">
        <v>0.48099999999999998</v>
      </c>
    </row>
    <row r="2401" spans="1:13" x14ac:dyDescent="0.2">
      <c r="A2401" t="s">
        <v>6582</v>
      </c>
      <c r="B2401" t="s">
        <v>50</v>
      </c>
      <c r="C2401" t="s">
        <v>1</v>
      </c>
      <c r="D2401" t="s">
        <v>6515</v>
      </c>
      <c r="E2401" t="s">
        <v>6516</v>
      </c>
      <c r="F2401" t="s">
        <v>179</v>
      </c>
      <c r="G2401">
        <v>0</v>
      </c>
      <c r="H2401">
        <v>0</v>
      </c>
      <c r="I2401" t="s">
        <v>53</v>
      </c>
      <c r="J2401" t="s">
        <v>53</v>
      </c>
      <c r="K2401" t="s">
        <v>53</v>
      </c>
      <c r="L2401" t="s">
        <v>53</v>
      </c>
      <c r="M2401" t="s">
        <v>53</v>
      </c>
    </row>
    <row r="2402" spans="1:13" x14ac:dyDescent="0.2">
      <c r="A2402" t="s">
        <v>3527</v>
      </c>
      <c r="B2402" t="s">
        <v>50</v>
      </c>
      <c r="C2402" t="s">
        <v>1</v>
      </c>
      <c r="D2402" t="s">
        <v>3528</v>
      </c>
      <c r="E2402" t="s">
        <v>3529</v>
      </c>
      <c r="F2402" t="s">
        <v>179</v>
      </c>
      <c r="G2402">
        <v>59</v>
      </c>
      <c r="H2402">
        <v>21</v>
      </c>
      <c r="I2402">
        <v>52</v>
      </c>
      <c r="J2402">
        <v>132</v>
      </c>
      <c r="K2402" s="482">
        <v>0.44700000000000001</v>
      </c>
      <c r="L2402" s="482">
        <v>0.159</v>
      </c>
      <c r="M2402" s="482">
        <v>0.39400000000000002</v>
      </c>
    </row>
    <row r="2403" spans="1:13" x14ac:dyDescent="0.2">
      <c r="A2403" t="s">
        <v>3626</v>
      </c>
      <c r="B2403" t="s">
        <v>50</v>
      </c>
      <c r="C2403" t="s">
        <v>1</v>
      </c>
      <c r="D2403" t="s">
        <v>3627</v>
      </c>
      <c r="E2403" t="s">
        <v>3628</v>
      </c>
      <c r="F2403" t="s">
        <v>179</v>
      </c>
      <c r="G2403">
        <v>52</v>
      </c>
      <c r="H2403">
        <v>16</v>
      </c>
      <c r="I2403">
        <v>56</v>
      </c>
      <c r="J2403">
        <v>124</v>
      </c>
      <c r="K2403" s="482">
        <v>0.41899999999999998</v>
      </c>
      <c r="L2403" s="482">
        <v>0.129</v>
      </c>
      <c r="M2403" s="482">
        <v>0.45200000000000001</v>
      </c>
    </row>
    <row r="2404" spans="1:13" x14ac:dyDescent="0.2">
      <c r="A2404" t="s">
        <v>3629</v>
      </c>
      <c r="B2404" t="s">
        <v>50</v>
      </c>
      <c r="C2404" t="s">
        <v>1</v>
      </c>
      <c r="D2404" t="s">
        <v>3630</v>
      </c>
      <c r="E2404" t="s">
        <v>3631</v>
      </c>
      <c r="F2404" t="s">
        <v>179</v>
      </c>
      <c r="G2404">
        <v>30</v>
      </c>
      <c r="H2404">
        <v>13</v>
      </c>
      <c r="I2404">
        <v>26</v>
      </c>
      <c r="J2404">
        <v>69</v>
      </c>
      <c r="K2404" s="482">
        <v>0.435</v>
      </c>
      <c r="L2404" s="482">
        <v>0.188</v>
      </c>
      <c r="M2404" s="482">
        <v>0.377</v>
      </c>
    </row>
    <row r="2405" spans="1:13" x14ac:dyDescent="0.2">
      <c r="A2405" t="s">
        <v>3632</v>
      </c>
      <c r="B2405" t="s">
        <v>50</v>
      </c>
      <c r="C2405" t="s">
        <v>1</v>
      </c>
      <c r="D2405" t="s">
        <v>3633</v>
      </c>
      <c r="E2405" t="s">
        <v>342</v>
      </c>
      <c r="F2405" t="s">
        <v>179</v>
      </c>
      <c r="G2405">
        <v>64</v>
      </c>
      <c r="H2405">
        <v>38</v>
      </c>
      <c r="I2405">
        <v>73</v>
      </c>
      <c r="J2405">
        <v>175</v>
      </c>
      <c r="K2405" s="482">
        <v>0.36599999999999999</v>
      </c>
      <c r="L2405" s="482">
        <v>0.217</v>
      </c>
      <c r="M2405" s="482">
        <v>0.41699999999999998</v>
      </c>
    </row>
    <row r="2406" spans="1:13" x14ac:dyDescent="0.2">
      <c r="A2406" t="s">
        <v>3634</v>
      </c>
      <c r="B2406" t="s">
        <v>50</v>
      </c>
      <c r="C2406" t="s">
        <v>1</v>
      </c>
      <c r="D2406" t="s">
        <v>3635</v>
      </c>
      <c r="E2406" t="s">
        <v>3636</v>
      </c>
      <c r="F2406" t="s">
        <v>179</v>
      </c>
      <c r="G2406">
        <v>29</v>
      </c>
      <c r="H2406">
        <v>20</v>
      </c>
      <c r="I2406">
        <v>31</v>
      </c>
      <c r="J2406">
        <v>80</v>
      </c>
      <c r="K2406" s="482">
        <v>0.36299999999999999</v>
      </c>
      <c r="L2406" s="482">
        <v>0.25</v>
      </c>
      <c r="M2406" s="482">
        <v>0.38800000000000001</v>
      </c>
    </row>
    <row r="2407" spans="1:13" x14ac:dyDescent="0.2">
      <c r="A2407" t="s">
        <v>3637</v>
      </c>
      <c r="B2407" t="s">
        <v>50</v>
      </c>
      <c r="C2407" t="s">
        <v>1</v>
      </c>
      <c r="D2407" t="s">
        <v>3638</v>
      </c>
      <c r="E2407" t="s">
        <v>3639</v>
      </c>
      <c r="F2407" t="s">
        <v>179</v>
      </c>
      <c r="G2407">
        <v>30</v>
      </c>
      <c r="H2407">
        <v>22</v>
      </c>
      <c r="I2407">
        <v>46</v>
      </c>
      <c r="J2407">
        <v>98</v>
      </c>
      <c r="K2407" s="482">
        <v>0.30599999999999999</v>
      </c>
      <c r="L2407" s="482">
        <v>0.224</v>
      </c>
      <c r="M2407" s="482">
        <v>0.46899999999999997</v>
      </c>
    </row>
    <row r="2408" spans="1:13" x14ac:dyDescent="0.2">
      <c r="A2408" t="s">
        <v>3756</v>
      </c>
      <c r="B2408" t="s">
        <v>50</v>
      </c>
      <c r="C2408" t="s">
        <v>1</v>
      </c>
      <c r="D2408" t="s">
        <v>3757</v>
      </c>
      <c r="E2408" t="s">
        <v>3758</v>
      </c>
      <c r="F2408" t="s">
        <v>179</v>
      </c>
      <c r="G2408">
        <v>14</v>
      </c>
      <c r="H2408">
        <v>6</v>
      </c>
      <c r="I2408">
        <v>9</v>
      </c>
      <c r="J2408">
        <v>29</v>
      </c>
      <c r="K2408" s="482">
        <v>0.48299999999999998</v>
      </c>
      <c r="L2408" s="482">
        <v>0.20699999999999999</v>
      </c>
      <c r="M2408" s="482">
        <v>0.31</v>
      </c>
    </row>
    <row r="2409" spans="1:13" x14ac:dyDescent="0.2">
      <c r="A2409" t="s">
        <v>3759</v>
      </c>
      <c r="B2409" t="s">
        <v>50</v>
      </c>
      <c r="C2409" t="s">
        <v>1</v>
      </c>
      <c r="D2409" t="s">
        <v>3760</v>
      </c>
      <c r="E2409" t="s">
        <v>3761</v>
      </c>
      <c r="F2409" t="s">
        <v>179</v>
      </c>
      <c r="G2409">
        <v>12</v>
      </c>
      <c r="H2409">
        <v>4</v>
      </c>
      <c r="I2409">
        <v>18</v>
      </c>
      <c r="J2409">
        <v>34</v>
      </c>
      <c r="K2409" s="482">
        <v>0.35299999999999998</v>
      </c>
      <c r="L2409" s="482">
        <v>0.11799999999999999</v>
      </c>
      <c r="M2409" s="482">
        <v>0.52900000000000003</v>
      </c>
    </row>
    <row r="2410" spans="1:13" x14ac:dyDescent="0.2">
      <c r="A2410" t="s">
        <v>6583</v>
      </c>
      <c r="B2410" t="s">
        <v>50</v>
      </c>
      <c r="C2410" t="s">
        <v>1</v>
      </c>
      <c r="D2410" t="s">
        <v>3480</v>
      </c>
      <c r="E2410" t="s">
        <v>6584</v>
      </c>
      <c r="F2410" t="s">
        <v>179</v>
      </c>
      <c r="G2410">
        <v>12</v>
      </c>
      <c r="H2410">
        <v>3</v>
      </c>
      <c r="I2410">
        <v>21</v>
      </c>
      <c r="J2410">
        <v>36</v>
      </c>
      <c r="K2410" s="482">
        <v>0.33300000000000002</v>
      </c>
      <c r="L2410" s="482">
        <v>8.3000000000000004E-2</v>
      </c>
      <c r="M2410" s="482">
        <v>0.58299999999999996</v>
      </c>
    </row>
    <row r="2411" spans="1:13" x14ac:dyDescent="0.2">
      <c r="A2411" t="s">
        <v>3762</v>
      </c>
      <c r="B2411" t="s">
        <v>50</v>
      </c>
      <c r="C2411" t="s">
        <v>1</v>
      </c>
      <c r="D2411" t="s">
        <v>3763</v>
      </c>
      <c r="E2411" t="s">
        <v>3764</v>
      </c>
      <c r="F2411" t="s">
        <v>179</v>
      </c>
      <c r="G2411">
        <v>53</v>
      </c>
      <c r="H2411">
        <v>23</v>
      </c>
      <c r="I2411">
        <v>76</v>
      </c>
      <c r="J2411">
        <v>152</v>
      </c>
      <c r="K2411" s="482">
        <v>0.34899999999999998</v>
      </c>
      <c r="L2411" s="482">
        <v>0.151</v>
      </c>
      <c r="M2411" s="482">
        <v>0.5</v>
      </c>
    </row>
    <row r="2412" spans="1:13" x14ac:dyDescent="0.2">
      <c r="A2412" t="s">
        <v>3765</v>
      </c>
      <c r="B2412" t="s">
        <v>50</v>
      </c>
      <c r="C2412" t="s">
        <v>1</v>
      </c>
      <c r="D2412" t="s">
        <v>3766</v>
      </c>
      <c r="E2412" t="s">
        <v>3767</v>
      </c>
      <c r="F2412" t="s">
        <v>179</v>
      </c>
      <c r="G2412">
        <v>25</v>
      </c>
      <c r="H2412">
        <v>13</v>
      </c>
      <c r="I2412">
        <v>32</v>
      </c>
      <c r="J2412">
        <v>70</v>
      </c>
      <c r="K2412" s="482">
        <v>0.35699999999999998</v>
      </c>
      <c r="L2412" s="482">
        <v>0.186</v>
      </c>
      <c r="M2412" s="482">
        <v>0.45700000000000002</v>
      </c>
    </row>
    <row r="2413" spans="1:13" x14ac:dyDescent="0.2">
      <c r="A2413" t="s">
        <v>3768</v>
      </c>
      <c r="B2413" t="s">
        <v>50</v>
      </c>
      <c r="C2413" t="s">
        <v>1</v>
      </c>
      <c r="D2413" t="s">
        <v>3769</v>
      </c>
      <c r="E2413" t="s">
        <v>3770</v>
      </c>
      <c r="F2413" t="s">
        <v>179</v>
      </c>
      <c r="G2413">
        <v>29</v>
      </c>
      <c r="H2413">
        <v>21</v>
      </c>
      <c r="I2413">
        <v>49</v>
      </c>
      <c r="J2413">
        <v>99</v>
      </c>
      <c r="K2413" s="482">
        <v>0.29299999999999998</v>
      </c>
      <c r="L2413" s="482">
        <v>0.21199999999999999</v>
      </c>
      <c r="M2413" s="482">
        <v>0.495</v>
      </c>
    </row>
    <row r="2414" spans="1:13" x14ac:dyDescent="0.2">
      <c r="A2414" t="s">
        <v>3771</v>
      </c>
      <c r="B2414" t="s">
        <v>50</v>
      </c>
      <c r="C2414" t="s">
        <v>1</v>
      </c>
      <c r="D2414" t="s">
        <v>3772</v>
      </c>
      <c r="E2414" t="s">
        <v>3773</v>
      </c>
      <c r="F2414" t="s">
        <v>179</v>
      </c>
      <c r="G2414">
        <v>10</v>
      </c>
      <c r="H2414">
        <v>3</v>
      </c>
      <c r="I2414">
        <v>10</v>
      </c>
      <c r="J2414">
        <v>23</v>
      </c>
      <c r="K2414" s="482">
        <v>0.435</v>
      </c>
      <c r="L2414" s="482">
        <v>0.13</v>
      </c>
      <c r="M2414" s="482">
        <v>0.435</v>
      </c>
    </row>
    <row r="2415" spans="1:13" x14ac:dyDescent="0.2">
      <c r="A2415" t="s">
        <v>3774</v>
      </c>
      <c r="B2415" t="s">
        <v>50</v>
      </c>
      <c r="C2415" t="s">
        <v>1</v>
      </c>
      <c r="D2415" t="s">
        <v>3775</v>
      </c>
      <c r="E2415" t="s">
        <v>3776</v>
      </c>
      <c r="F2415" t="s">
        <v>179</v>
      </c>
      <c r="G2415">
        <v>0</v>
      </c>
      <c r="H2415" t="s">
        <v>53</v>
      </c>
      <c r="I2415" t="s">
        <v>53</v>
      </c>
      <c r="J2415" t="s">
        <v>53</v>
      </c>
      <c r="K2415" t="s">
        <v>53</v>
      </c>
      <c r="L2415" t="s">
        <v>53</v>
      </c>
      <c r="M2415" t="s">
        <v>53</v>
      </c>
    </row>
    <row r="2416" spans="1:13" x14ac:dyDescent="0.2">
      <c r="A2416" t="s">
        <v>3777</v>
      </c>
      <c r="B2416" t="s">
        <v>50</v>
      </c>
      <c r="C2416" t="s">
        <v>1</v>
      </c>
      <c r="D2416" t="s">
        <v>3778</v>
      </c>
      <c r="E2416" t="s">
        <v>3779</v>
      </c>
      <c r="F2416" t="s">
        <v>179</v>
      </c>
      <c r="G2416">
        <v>44</v>
      </c>
      <c r="H2416">
        <v>27</v>
      </c>
      <c r="I2416">
        <v>49</v>
      </c>
      <c r="J2416">
        <v>120</v>
      </c>
      <c r="K2416" s="482">
        <v>0.36699999999999999</v>
      </c>
      <c r="L2416" s="482">
        <v>0.22500000000000001</v>
      </c>
      <c r="M2416" s="482">
        <v>0.40799999999999997</v>
      </c>
    </row>
    <row r="2417" spans="1:13" x14ac:dyDescent="0.2">
      <c r="A2417" t="s">
        <v>3714</v>
      </c>
      <c r="B2417" t="s">
        <v>50</v>
      </c>
      <c r="C2417" t="s">
        <v>1</v>
      </c>
      <c r="D2417" t="s">
        <v>3715</v>
      </c>
      <c r="E2417" t="s">
        <v>3716</v>
      </c>
      <c r="F2417" t="s">
        <v>179</v>
      </c>
      <c r="G2417">
        <v>18</v>
      </c>
      <c r="H2417">
        <v>9</v>
      </c>
      <c r="I2417">
        <v>16</v>
      </c>
      <c r="J2417">
        <v>43</v>
      </c>
      <c r="K2417" s="482">
        <v>0.41899999999999998</v>
      </c>
      <c r="L2417" s="482">
        <v>0.20899999999999999</v>
      </c>
      <c r="M2417" s="482">
        <v>0.372</v>
      </c>
    </row>
    <row r="2418" spans="1:13" x14ac:dyDescent="0.2">
      <c r="A2418" t="s">
        <v>3717</v>
      </c>
      <c r="B2418" t="s">
        <v>50</v>
      </c>
      <c r="C2418" t="s">
        <v>1</v>
      </c>
      <c r="D2418" t="s">
        <v>3718</v>
      </c>
      <c r="E2418" t="s">
        <v>3719</v>
      </c>
      <c r="F2418" t="s">
        <v>179</v>
      </c>
      <c r="G2418">
        <v>108</v>
      </c>
      <c r="H2418">
        <v>49</v>
      </c>
      <c r="I2418">
        <v>131</v>
      </c>
      <c r="J2418">
        <v>288</v>
      </c>
      <c r="K2418" s="482">
        <v>0.375</v>
      </c>
      <c r="L2418" s="482">
        <v>0.17</v>
      </c>
      <c r="M2418" s="482">
        <v>0.45500000000000002</v>
      </c>
    </row>
    <row r="2419" spans="1:13" x14ac:dyDescent="0.2">
      <c r="A2419" t="s">
        <v>3557</v>
      </c>
      <c r="B2419" t="s">
        <v>50</v>
      </c>
      <c r="C2419" t="s">
        <v>1</v>
      </c>
      <c r="D2419" t="s">
        <v>3558</v>
      </c>
      <c r="E2419" t="s">
        <v>3559</v>
      </c>
      <c r="F2419" t="s">
        <v>179</v>
      </c>
      <c r="G2419">
        <v>37</v>
      </c>
      <c r="H2419">
        <v>25</v>
      </c>
      <c r="I2419">
        <v>39</v>
      </c>
      <c r="J2419">
        <v>101</v>
      </c>
      <c r="K2419" s="482">
        <v>0.36599999999999999</v>
      </c>
      <c r="L2419" s="482">
        <v>0.248</v>
      </c>
      <c r="M2419" s="482">
        <v>0.38600000000000001</v>
      </c>
    </row>
    <row r="2420" spans="1:13" x14ac:dyDescent="0.2">
      <c r="A2420" t="s">
        <v>3508</v>
      </c>
      <c r="B2420" t="s">
        <v>50</v>
      </c>
      <c r="C2420" t="s">
        <v>1</v>
      </c>
      <c r="D2420" t="s">
        <v>3509</v>
      </c>
      <c r="E2420" t="s">
        <v>3510</v>
      </c>
      <c r="F2420" t="s">
        <v>179</v>
      </c>
      <c r="G2420">
        <v>21</v>
      </c>
      <c r="H2420">
        <v>6</v>
      </c>
      <c r="I2420">
        <v>18</v>
      </c>
      <c r="J2420">
        <v>45</v>
      </c>
      <c r="K2420" s="482">
        <v>0.46700000000000003</v>
      </c>
      <c r="L2420" s="482">
        <v>0.13300000000000001</v>
      </c>
      <c r="M2420" s="482">
        <v>0.4</v>
      </c>
    </row>
    <row r="2421" spans="1:13" x14ac:dyDescent="0.2">
      <c r="A2421" t="s">
        <v>3502</v>
      </c>
      <c r="B2421" t="s">
        <v>50</v>
      </c>
      <c r="C2421" t="s">
        <v>1</v>
      </c>
      <c r="D2421" t="s">
        <v>3503</v>
      </c>
      <c r="E2421" t="s">
        <v>3504</v>
      </c>
      <c r="F2421" t="s">
        <v>179</v>
      </c>
      <c r="G2421">
        <v>9</v>
      </c>
      <c r="H2421">
        <v>5</v>
      </c>
      <c r="I2421">
        <v>7</v>
      </c>
      <c r="J2421">
        <v>21</v>
      </c>
      <c r="K2421" s="482">
        <v>0.42899999999999999</v>
      </c>
      <c r="L2421" s="482">
        <v>0.23799999999999999</v>
      </c>
      <c r="M2421" s="482">
        <v>0.33300000000000002</v>
      </c>
    </row>
    <row r="2422" spans="1:13" x14ac:dyDescent="0.2">
      <c r="A2422" t="s">
        <v>3505</v>
      </c>
      <c r="B2422" t="s">
        <v>50</v>
      </c>
      <c r="C2422" t="s">
        <v>1</v>
      </c>
      <c r="D2422" t="s">
        <v>3506</v>
      </c>
      <c r="E2422" t="s">
        <v>3507</v>
      </c>
      <c r="F2422" t="s">
        <v>179</v>
      </c>
      <c r="G2422">
        <v>0</v>
      </c>
      <c r="H2422">
        <v>2</v>
      </c>
      <c r="I2422">
        <v>4</v>
      </c>
      <c r="J2422">
        <v>6</v>
      </c>
      <c r="K2422" s="482">
        <v>0</v>
      </c>
      <c r="L2422" s="482">
        <v>0.33300000000000002</v>
      </c>
      <c r="M2422" s="482">
        <v>0.66700000000000004</v>
      </c>
    </row>
    <row r="2423" spans="1:13" x14ac:dyDescent="0.2">
      <c r="A2423" t="s">
        <v>3511</v>
      </c>
      <c r="B2423" t="s">
        <v>50</v>
      </c>
      <c r="C2423" t="s">
        <v>1</v>
      </c>
      <c r="D2423" t="s">
        <v>3512</v>
      </c>
      <c r="E2423" t="s">
        <v>3513</v>
      </c>
      <c r="F2423" t="s">
        <v>179</v>
      </c>
      <c r="G2423" t="s">
        <v>53</v>
      </c>
      <c r="H2423">
        <v>0</v>
      </c>
      <c r="I2423" t="s">
        <v>53</v>
      </c>
      <c r="J2423" t="s">
        <v>53</v>
      </c>
      <c r="K2423" t="s">
        <v>53</v>
      </c>
      <c r="L2423" t="s">
        <v>53</v>
      </c>
      <c r="M2423" t="s">
        <v>53</v>
      </c>
    </row>
    <row r="2424" spans="1:13" x14ac:dyDescent="0.2">
      <c r="A2424" t="s">
        <v>3548</v>
      </c>
      <c r="B2424" t="s">
        <v>50</v>
      </c>
      <c r="C2424" t="s">
        <v>1</v>
      </c>
      <c r="D2424" t="s">
        <v>3549</v>
      </c>
      <c r="E2424" t="s">
        <v>3550</v>
      </c>
      <c r="F2424" t="s">
        <v>179</v>
      </c>
      <c r="G2424">
        <v>33</v>
      </c>
      <c r="H2424">
        <v>27</v>
      </c>
      <c r="I2424">
        <v>54</v>
      </c>
      <c r="J2424">
        <v>114</v>
      </c>
      <c r="K2424" s="482">
        <v>0.28899999999999998</v>
      </c>
      <c r="L2424" s="482">
        <v>0.23699999999999999</v>
      </c>
      <c r="M2424" s="482">
        <v>0.47399999999999998</v>
      </c>
    </row>
    <row r="2425" spans="1:13" x14ac:dyDescent="0.2">
      <c r="A2425" t="s">
        <v>3551</v>
      </c>
      <c r="B2425" t="s">
        <v>50</v>
      </c>
      <c r="C2425" t="s">
        <v>1</v>
      </c>
      <c r="D2425" t="s">
        <v>3552</v>
      </c>
      <c r="E2425" t="s">
        <v>3553</v>
      </c>
      <c r="F2425" t="s">
        <v>179</v>
      </c>
      <c r="G2425">
        <v>13</v>
      </c>
      <c r="H2425">
        <v>15</v>
      </c>
      <c r="I2425">
        <v>34</v>
      </c>
      <c r="J2425">
        <v>62</v>
      </c>
      <c r="K2425" s="482">
        <v>0.21</v>
      </c>
      <c r="L2425" s="482">
        <v>0.24199999999999999</v>
      </c>
      <c r="M2425" s="482">
        <v>0.54800000000000004</v>
      </c>
    </row>
    <row r="2426" spans="1:13" x14ac:dyDescent="0.2">
      <c r="A2426" t="s">
        <v>3554</v>
      </c>
      <c r="B2426" t="s">
        <v>50</v>
      </c>
      <c r="C2426" t="s">
        <v>1</v>
      </c>
      <c r="D2426" t="s">
        <v>3555</v>
      </c>
      <c r="E2426" t="s">
        <v>3556</v>
      </c>
      <c r="F2426" t="s">
        <v>179</v>
      </c>
      <c r="G2426">
        <v>41</v>
      </c>
      <c r="H2426">
        <v>13</v>
      </c>
      <c r="I2426">
        <v>36</v>
      </c>
      <c r="J2426">
        <v>90</v>
      </c>
      <c r="K2426" s="482">
        <v>0.45600000000000002</v>
      </c>
      <c r="L2426" s="482">
        <v>0.14399999999999999</v>
      </c>
      <c r="M2426" s="482">
        <v>0.4</v>
      </c>
    </row>
    <row r="2427" spans="1:13" x14ac:dyDescent="0.2">
      <c r="A2427" t="s">
        <v>3872</v>
      </c>
      <c r="B2427" t="s">
        <v>50</v>
      </c>
      <c r="C2427" t="s">
        <v>1</v>
      </c>
      <c r="D2427" t="s">
        <v>3873</v>
      </c>
      <c r="E2427" t="s">
        <v>3874</v>
      </c>
      <c r="F2427" t="s">
        <v>179</v>
      </c>
      <c r="G2427">
        <v>78</v>
      </c>
      <c r="H2427">
        <v>31</v>
      </c>
      <c r="I2427">
        <v>81</v>
      </c>
      <c r="J2427">
        <v>190</v>
      </c>
      <c r="K2427" s="482">
        <v>0.41099999999999998</v>
      </c>
      <c r="L2427" s="482">
        <v>0.16300000000000001</v>
      </c>
      <c r="M2427" s="482">
        <v>0.42599999999999999</v>
      </c>
    </row>
    <row r="2428" spans="1:13" x14ac:dyDescent="0.2">
      <c r="A2428" t="s">
        <v>3875</v>
      </c>
      <c r="B2428" t="s">
        <v>50</v>
      </c>
      <c r="C2428" t="s">
        <v>1</v>
      </c>
      <c r="D2428" t="s">
        <v>3876</v>
      </c>
      <c r="E2428" t="s">
        <v>3877</v>
      </c>
      <c r="F2428" t="s">
        <v>179</v>
      </c>
      <c r="G2428">
        <v>28</v>
      </c>
      <c r="H2428">
        <v>10</v>
      </c>
      <c r="I2428">
        <v>31</v>
      </c>
      <c r="J2428">
        <v>69</v>
      </c>
      <c r="K2428" s="482">
        <v>0.40600000000000003</v>
      </c>
      <c r="L2428" s="482">
        <v>0.14499999999999999</v>
      </c>
      <c r="M2428" s="482">
        <v>0.44900000000000001</v>
      </c>
    </row>
    <row r="2429" spans="1:13" x14ac:dyDescent="0.2">
      <c r="A2429" t="s">
        <v>3878</v>
      </c>
      <c r="B2429" t="s">
        <v>50</v>
      </c>
      <c r="C2429" t="s">
        <v>1</v>
      </c>
      <c r="D2429" t="s">
        <v>3879</v>
      </c>
      <c r="E2429" t="s">
        <v>3880</v>
      </c>
      <c r="F2429" t="s">
        <v>179</v>
      </c>
      <c r="G2429">
        <v>28</v>
      </c>
      <c r="H2429">
        <v>13</v>
      </c>
      <c r="I2429">
        <v>20</v>
      </c>
      <c r="J2429">
        <v>61</v>
      </c>
      <c r="K2429" s="482">
        <v>0.45900000000000002</v>
      </c>
      <c r="L2429" s="482">
        <v>0.21299999999999999</v>
      </c>
      <c r="M2429" s="482">
        <v>0.32800000000000001</v>
      </c>
    </row>
    <row r="2430" spans="1:13" x14ac:dyDescent="0.2">
      <c r="A2430" t="s">
        <v>3881</v>
      </c>
      <c r="B2430" t="s">
        <v>50</v>
      </c>
      <c r="C2430" t="s">
        <v>1</v>
      </c>
      <c r="D2430" t="s">
        <v>3882</v>
      </c>
      <c r="E2430" t="s">
        <v>3883</v>
      </c>
      <c r="F2430" t="s">
        <v>179</v>
      </c>
      <c r="G2430">
        <v>45</v>
      </c>
      <c r="H2430">
        <v>28</v>
      </c>
      <c r="I2430">
        <v>47</v>
      </c>
      <c r="J2430">
        <v>120</v>
      </c>
      <c r="K2430" s="482">
        <v>0.375</v>
      </c>
      <c r="L2430" s="482">
        <v>0.23300000000000001</v>
      </c>
      <c r="M2430" s="482">
        <v>0.39200000000000002</v>
      </c>
    </row>
    <row r="2431" spans="1:13" x14ac:dyDescent="0.2">
      <c r="A2431" t="s">
        <v>3851</v>
      </c>
      <c r="B2431" t="s">
        <v>50</v>
      </c>
      <c r="C2431" t="s">
        <v>1</v>
      </c>
      <c r="D2431" t="s">
        <v>3852</v>
      </c>
      <c r="E2431" t="s">
        <v>3853</v>
      </c>
      <c r="F2431" t="s">
        <v>179</v>
      </c>
      <c r="G2431">
        <v>54</v>
      </c>
      <c r="H2431">
        <v>25</v>
      </c>
      <c r="I2431">
        <v>45</v>
      </c>
      <c r="J2431">
        <v>124</v>
      </c>
      <c r="K2431" s="482">
        <v>0.435</v>
      </c>
      <c r="L2431" s="482">
        <v>0.20200000000000001</v>
      </c>
      <c r="M2431" s="482">
        <v>0.36299999999999999</v>
      </c>
    </row>
    <row r="2432" spans="1:13" x14ac:dyDescent="0.2">
      <c r="A2432" t="s">
        <v>3854</v>
      </c>
      <c r="B2432" t="s">
        <v>50</v>
      </c>
      <c r="C2432" t="s">
        <v>1</v>
      </c>
      <c r="D2432" t="s">
        <v>3855</v>
      </c>
      <c r="E2432" t="s">
        <v>3856</v>
      </c>
      <c r="F2432" t="s">
        <v>179</v>
      </c>
      <c r="G2432">
        <v>0</v>
      </c>
      <c r="H2432">
        <v>1</v>
      </c>
      <c r="I2432">
        <v>5</v>
      </c>
      <c r="J2432">
        <v>6</v>
      </c>
      <c r="K2432" s="482">
        <v>0</v>
      </c>
      <c r="L2432" s="482">
        <v>0.16700000000000001</v>
      </c>
      <c r="M2432" s="482">
        <v>0.83299999999999996</v>
      </c>
    </row>
    <row r="2433" spans="1:13" x14ac:dyDescent="0.2">
      <c r="A2433" t="s">
        <v>3857</v>
      </c>
      <c r="B2433" t="s">
        <v>50</v>
      </c>
      <c r="C2433" t="s">
        <v>1</v>
      </c>
      <c r="D2433" t="s">
        <v>3858</v>
      </c>
      <c r="E2433" t="s">
        <v>3859</v>
      </c>
      <c r="F2433" t="s">
        <v>179</v>
      </c>
      <c r="G2433">
        <v>22</v>
      </c>
      <c r="H2433">
        <v>13</v>
      </c>
      <c r="I2433">
        <v>40</v>
      </c>
      <c r="J2433">
        <v>75</v>
      </c>
      <c r="K2433" s="482">
        <v>0.29299999999999998</v>
      </c>
      <c r="L2433" s="482">
        <v>0.17299999999999999</v>
      </c>
      <c r="M2433" s="482">
        <v>0.53300000000000003</v>
      </c>
    </row>
    <row r="2434" spans="1:13" x14ac:dyDescent="0.2">
      <c r="A2434" t="s">
        <v>3899</v>
      </c>
      <c r="B2434" t="s">
        <v>50</v>
      </c>
      <c r="C2434" t="s">
        <v>1</v>
      </c>
      <c r="D2434" t="s">
        <v>3900</v>
      </c>
      <c r="E2434" t="s">
        <v>3901</v>
      </c>
      <c r="F2434" t="s">
        <v>179</v>
      </c>
      <c r="G2434">
        <v>14</v>
      </c>
      <c r="H2434">
        <v>9</v>
      </c>
      <c r="I2434">
        <v>12</v>
      </c>
      <c r="J2434">
        <v>35</v>
      </c>
      <c r="K2434" s="482">
        <v>0.4</v>
      </c>
      <c r="L2434" s="482">
        <v>0.25700000000000001</v>
      </c>
      <c r="M2434" s="482">
        <v>0.34300000000000003</v>
      </c>
    </row>
    <row r="2435" spans="1:13" x14ac:dyDescent="0.2">
      <c r="A2435" t="s">
        <v>3860</v>
      </c>
      <c r="B2435" t="s">
        <v>50</v>
      </c>
      <c r="C2435" t="s">
        <v>1</v>
      </c>
      <c r="D2435" t="s">
        <v>3861</v>
      </c>
      <c r="E2435" t="s">
        <v>3862</v>
      </c>
      <c r="F2435" t="s">
        <v>179</v>
      </c>
      <c r="G2435">
        <v>110</v>
      </c>
      <c r="H2435">
        <v>47</v>
      </c>
      <c r="I2435">
        <v>118</v>
      </c>
      <c r="J2435">
        <v>275</v>
      </c>
      <c r="K2435" s="482">
        <v>0.4</v>
      </c>
      <c r="L2435" s="482">
        <v>0.17100000000000001</v>
      </c>
      <c r="M2435" s="482">
        <v>0.42899999999999999</v>
      </c>
    </row>
    <row r="2436" spans="1:13" x14ac:dyDescent="0.2">
      <c r="A2436" t="s">
        <v>3863</v>
      </c>
      <c r="B2436" t="s">
        <v>50</v>
      </c>
      <c r="C2436" t="s">
        <v>1</v>
      </c>
      <c r="D2436" t="s">
        <v>3864</v>
      </c>
      <c r="E2436" t="s">
        <v>3865</v>
      </c>
      <c r="F2436" t="s">
        <v>179</v>
      </c>
      <c r="G2436">
        <v>63</v>
      </c>
      <c r="H2436">
        <v>28</v>
      </c>
      <c r="I2436">
        <v>60</v>
      </c>
      <c r="J2436">
        <v>151</v>
      </c>
      <c r="K2436" s="482">
        <v>0.41699999999999998</v>
      </c>
      <c r="L2436" s="482">
        <v>0.185</v>
      </c>
      <c r="M2436" s="482">
        <v>0.39700000000000002</v>
      </c>
    </row>
    <row r="2437" spans="1:13" x14ac:dyDescent="0.2">
      <c r="A2437" t="s">
        <v>3866</v>
      </c>
      <c r="B2437" t="s">
        <v>50</v>
      </c>
      <c r="C2437" t="s">
        <v>1</v>
      </c>
      <c r="D2437" t="s">
        <v>3867</v>
      </c>
      <c r="E2437" t="s">
        <v>3868</v>
      </c>
      <c r="F2437" t="s">
        <v>179</v>
      </c>
      <c r="G2437">
        <v>47</v>
      </c>
      <c r="H2437">
        <v>32</v>
      </c>
      <c r="I2437">
        <v>67</v>
      </c>
      <c r="J2437">
        <v>146</v>
      </c>
      <c r="K2437" s="482">
        <v>0.32200000000000001</v>
      </c>
      <c r="L2437" s="482">
        <v>0.219</v>
      </c>
      <c r="M2437" s="482">
        <v>0.45900000000000002</v>
      </c>
    </row>
    <row r="2438" spans="1:13" x14ac:dyDescent="0.2">
      <c r="A2438" t="s">
        <v>3869</v>
      </c>
      <c r="B2438" t="s">
        <v>50</v>
      </c>
      <c r="C2438" t="s">
        <v>1</v>
      </c>
      <c r="D2438" t="s">
        <v>3870</v>
      </c>
      <c r="E2438" t="s">
        <v>3871</v>
      </c>
      <c r="F2438" t="s">
        <v>179</v>
      </c>
      <c r="G2438">
        <v>16</v>
      </c>
      <c r="H2438">
        <v>8</v>
      </c>
      <c r="I2438">
        <v>21</v>
      </c>
      <c r="J2438">
        <v>45</v>
      </c>
      <c r="K2438" s="482">
        <v>0.35599999999999998</v>
      </c>
      <c r="L2438" s="482">
        <v>0.17799999999999999</v>
      </c>
      <c r="M2438" s="482">
        <v>0.46700000000000003</v>
      </c>
    </row>
    <row r="2439" spans="1:13" x14ac:dyDescent="0.2">
      <c r="A2439" t="s">
        <v>3780</v>
      </c>
      <c r="B2439" t="s">
        <v>50</v>
      </c>
      <c r="C2439" t="s">
        <v>1</v>
      </c>
      <c r="D2439" t="s">
        <v>3781</v>
      </c>
      <c r="E2439" t="s">
        <v>3782</v>
      </c>
      <c r="F2439" t="s">
        <v>179</v>
      </c>
      <c r="G2439">
        <v>46</v>
      </c>
      <c r="H2439">
        <v>19</v>
      </c>
      <c r="I2439">
        <v>35</v>
      </c>
      <c r="J2439">
        <v>100</v>
      </c>
      <c r="K2439" s="482">
        <v>0.46</v>
      </c>
      <c r="L2439" s="482">
        <v>0.19</v>
      </c>
      <c r="M2439" s="482">
        <v>0.35</v>
      </c>
    </row>
    <row r="2440" spans="1:13" x14ac:dyDescent="0.2">
      <c r="A2440" t="s">
        <v>3783</v>
      </c>
      <c r="B2440" t="s">
        <v>50</v>
      </c>
      <c r="C2440" t="s">
        <v>1</v>
      </c>
      <c r="D2440" t="s">
        <v>3784</v>
      </c>
      <c r="E2440" t="s">
        <v>3785</v>
      </c>
      <c r="F2440" t="s">
        <v>179</v>
      </c>
      <c r="G2440">
        <v>64</v>
      </c>
      <c r="H2440">
        <v>41</v>
      </c>
      <c r="I2440">
        <v>100</v>
      </c>
      <c r="J2440">
        <v>205</v>
      </c>
      <c r="K2440" s="482">
        <v>0.312</v>
      </c>
      <c r="L2440" s="482">
        <v>0.2</v>
      </c>
      <c r="M2440" s="482">
        <v>0.48799999999999999</v>
      </c>
    </row>
    <row r="2441" spans="1:13" x14ac:dyDescent="0.2">
      <c r="A2441" t="s">
        <v>3786</v>
      </c>
      <c r="B2441" t="s">
        <v>50</v>
      </c>
      <c r="C2441" t="s">
        <v>1</v>
      </c>
      <c r="D2441" t="s">
        <v>3787</v>
      </c>
      <c r="E2441" t="s">
        <v>3788</v>
      </c>
      <c r="F2441" t="s">
        <v>179</v>
      </c>
      <c r="G2441">
        <v>81</v>
      </c>
      <c r="H2441">
        <v>50</v>
      </c>
      <c r="I2441">
        <v>89</v>
      </c>
      <c r="J2441">
        <v>220</v>
      </c>
      <c r="K2441" s="482">
        <v>0.36799999999999999</v>
      </c>
      <c r="L2441" s="482">
        <v>0.22700000000000001</v>
      </c>
      <c r="M2441" s="482">
        <v>0.40500000000000003</v>
      </c>
    </row>
    <row r="2442" spans="1:13" x14ac:dyDescent="0.2">
      <c r="A2442" t="s">
        <v>3789</v>
      </c>
      <c r="B2442" t="s">
        <v>50</v>
      </c>
      <c r="C2442" t="s">
        <v>1</v>
      </c>
      <c r="D2442" t="s">
        <v>3790</v>
      </c>
      <c r="E2442" t="s">
        <v>3791</v>
      </c>
      <c r="F2442" t="s">
        <v>179</v>
      </c>
      <c r="G2442">
        <v>62</v>
      </c>
      <c r="H2442">
        <v>36</v>
      </c>
      <c r="I2442">
        <v>63</v>
      </c>
      <c r="J2442">
        <v>161</v>
      </c>
      <c r="K2442" s="482">
        <v>0.38500000000000001</v>
      </c>
      <c r="L2442" s="482">
        <v>0.224</v>
      </c>
      <c r="M2442" s="482">
        <v>0.39100000000000001</v>
      </c>
    </row>
    <row r="2443" spans="1:13" x14ac:dyDescent="0.2">
      <c r="A2443" t="s">
        <v>3810</v>
      </c>
      <c r="B2443" t="s">
        <v>50</v>
      </c>
      <c r="C2443" t="s">
        <v>1</v>
      </c>
      <c r="D2443" t="s">
        <v>3811</v>
      </c>
      <c r="E2443" t="s">
        <v>3812</v>
      </c>
      <c r="F2443" t="s">
        <v>179</v>
      </c>
      <c r="G2443">
        <v>6</v>
      </c>
      <c r="H2443">
        <v>4</v>
      </c>
      <c r="I2443">
        <v>3</v>
      </c>
      <c r="J2443">
        <v>13</v>
      </c>
      <c r="K2443" s="482">
        <v>0.46200000000000002</v>
      </c>
      <c r="L2443" s="482">
        <v>0.308</v>
      </c>
      <c r="M2443" s="482">
        <v>0.23100000000000001</v>
      </c>
    </row>
    <row r="2444" spans="1:13" x14ac:dyDescent="0.2">
      <c r="A2444" t="s">
        <v>3233</v>
      </c>
      <c r="B2444" t="s">
        <v>50</v>
      </c>
      <c r="C2444" t="s">
        <v>1</v>
      </c>
      <c r="D2444" t="s">
        <v>3234</v>
      </c>
      <c r="E2444" t="s">
        <v>3235</v>
      </c>
      <c r="F2444" t="s">
        <v>179</v>
      </c>
      <c r="G2444">
        <v>30</v>
      </c>
      <c r="H2444">
        <v>18</v>
      </c>
      <c r="I2444">
        <v>32</v>
      </c>
      <c r="J2444">
        <v>80</v>
      </c>
      <c r="K2444" s="482">
        <v>0.375</v>
      </c>
      <c r="L2444" s="482">
        <v>0.22500000000000001</v>
      </c>
      <c r="M2444" s="482">
        <v>0.4</v>
      </c>
    </row>
    <row r="2445" spans="1:13" x14ac:dyDescent="0.2">
      <c r="A2445" t="s">
        <v>3230</v>
      </c>
      <c r="B2445" t="s">
        <v>50</v>
      </c>
      <c r="C2445" t="s">
        <v>1</v>
      </c>
      <c r="D2445" t="s">
        <v>3231</v>
      </c>
      <c r="E2445" t="s">
        <v>3232</v>
      </c>
      <c r="F2445" t="s">
        <v>179</v>
      </c>
      <c r="G2445">
        <v>21</v>
      </c>
      <c r="H2445">
        <v>13</v>
      </c>
      <c r="I2445">
        <v>17</v>
      </c>
      <c r="J2445">
        <v>51</v>
      </c>
      <c r="K2445" s="482">
        <v>0.41199999999999998</v>
      </c>
      <c r="L2445" s="482">
        <v>0.255</v>
      </c>
      <c r="M2445" s="482">
        <v>0.33300000000000002</v>
      </c>
    </row>
    <row r="2446" spans="1:13" x14ac:dyDescent="0.2">
      <c r="A2446" t="s">
        <v>3135</v>
      </c>
      <c r="B2446" t="s">
        <v>50</v>
      </c>
      <c r="C2446" t="s">
        <v>1</v>
      </c>
      <c r="D2446" t="s">
        <v>3136</v>
      </c>
      <c r="E2446" t="s">
        <v>3137</v>
      </c>
      <c r="F2446" t="s">
        <v>179</v>
      </c>
      <c r="G2446">
        <v>10</v>
      </c>
      <c r="H2446">
        <v>7</v>
      </c>
      <c r="I2446">
        <v>11</v>
      </c>
      <c r="J2446">
        <v>28</v>
      </c>
      <c r="K2446" s="482">
        <v>0.35699999999999998</v>
      </c>
      <c r="L2446" s="482">
        <v>0.25</v>
      </c>
      <c r="M2446" s="482">
        <v>0.39300000000000002</v>
      </c>
    </row>
    <row r="2447" spans="1:13" x14ac:dyDescent="0.2">
      <c r="A2447" t="s">
        <v>3236</v>
      </c>
      <c r="B2447" t="s">
        <v>50</v>
      </c>
      <c r="C2447" t="s">
        <v>1</v>
      </c>
      <c r="D2447" t="s">
        <v>3237</v>
      </c>
      <c r="E2447" t="s">
        <v>3238</v>
      </c>
      <c r="F2447" t="s">
        <v>179</v>
      </c>
      <c r="G2447">
        <v>32</v>
      </c>
      <c r="H2447">
        <v>23</v>
      </c>
      <c r="I2447">
        <v>44</v>
      </c>
      <c r="J2447">
        <v>99</v>
      </c>
      <c r="K2447" s="482">
        <v>0.32300000000000001</v>
      </c>
      <c r="L2447" s="482">
        <v>0.23200000000000001</v>
      </c>
      <c r="M2447" s="482">
        <v>0.44400000000000001</v>
      </c>
    </row>
    <row r="2448" spans="1:13" x14ac:dyDescent="0.2">
      <c r="A2448" t="s">
        <v>3203</v>
      </c>
      <c r="B2448" t="s">
        <v>50</v>
      </c>
      <c r="C2448" t="s">
        <v>1</v>
      </c>
      <c r="D2448" t="s">
        <v>3204</v>
      </c>
      <c r="E2448" t="s">
        <v>3205</v>
      </c>
      <c r="F2448" t="s">
        <v>179</v>
      </c>
      <c r="G2448">
        <v>43</v>
      </c>
      <c r="H2448">
        <v>25</v>
      </c>
      <c r="I2448">
        <v>49</v>
      </c>
      <c r="J2448">
        <v>117</v>
      </c>
      <c r="K2448" s="482">
        <v>0.36799999999999999</v>
      </c>
      <c r="L2448" s="482">
        <v>0.214</v>
      </c>
      <c r="M2448" s="482">
        <v>0.41899999999999998</v>
      </c>
    </row>
    <row r="2449" spans="1:13" x14ac:dyDescent="0.2">
      <c r="A2449" t="s">
        <v>3807</v>
      </c>
      <c r="B2449" t="s">
        <v>50</v>
      </c>
      <c r="C2449" t="s">
        <v>1</v>
      </c>
      <c r="D2449" t="s">
        <v>3808</v>
      </c>
      <c r="E2449" t="s">
        <v>3809</v>
      </c>
      <c r="F2449" t="s">
        <v>179</v>
      </c>
      <c r="G2449">
        <v>14</v>
      </c>
      <c r="H2449">
        <v>9</v>
      </c>
      <c r="I2449">
        <v>18</v>
      </c>
      <c r="J2449">
        <v>41</v>
      </c>
      <c r="K2449" s="482">
        <v>0.34100000000000003</v>
      </c>
      <c r="L2449" s="482">
        <v>0.22</v>
      </c>
      <c r="M2449" s="482">
        <v>0.439</v>
      </c>
    </row>
    <row r="2450" spans="1:13" x14ac:dyDescent="0.2">
      <c r="A2450" t="s">
        <v>3813</v>
      </c>
      <c r="B2450" t="s">
        <v>50</v>
      </c>
      <c r="C2450" t="s">
        <v>1</v>
      </c>
      <c r="D2450" t="s">
        <v>3814</v>
      </c>
      <c r="E2450" t="s">
        <v>3815</v>
      </c>
      <c r="F2450" t="s">
        <v>179</v>
      </c>
      <c r="G2450">
        <v>19</v>
      </c>
      <c r="H2450">
        <v>14</v>
      </c>
      <c r="I2450">
        <v>22</v>
      </c>
      <c r="J2450">
        <v>55</v>
      </c>
      <c r="K2450" s="482">
        <v>0.34499999999999997</v>
      </c>
      <c r="L2450" s="482">
        <v>0.255</v>
      </c>
      <c r="M2450" s="482">
        <v>0.4</v>
      </c>
    </row>
    <row r="2451" spans="1:13" x14ac:dyDescent="0.2">
      <c r="A2451" t="s">
        <v>3816</v>
      </c>
      <c r="B2451" t="s">
        <v>50</v>
      </c>
      <c r="C2451" t="s">
        <v>1</v>
      </c>
      <c r="D2451" t="s">
        <v>3817</v>
      </c>
      <c r="E2451" t="s">
        <v>3818</v>
      </c>
      <c r="F2451" t="s">
        <v>179</v>
      </c>
      <c r="G2451">
        <v>46</v>
      </c>
      <c r="H2451">
        <v>24</v>
      </c>
      <c r="I2451">
        <v>29</v>
      </c>
      <c r="J2451">
        <v>99</v>
      </c>
      <c r="K2451" s="482">
        <v>0.46500000000000002</v>
      </c>
      <c r="L2451" s="482">
        <v>0.24199999999999999</v>
      </c>
      <c r="M2451" s="482">
        <v>0.29299999999999998</v>
      </c>
    </row>
    <row r="2452" spans="1:13" x14ac:dyDescent="0.2">
      <c r="A2452" t="s">
        <v>3819</v>
      </c>
      <c r="B2452" t="s">
        <v>50</v>
      </c>
      <c r="C2452" t="s">
        <v>1</v>
      </c>
      <c r="D2452" t="s">
        <v>3820</v>
      </c>
      <c r="E2452" t="s">
        <v>3821</v>
      </c>
      <c r="F2452" t="s">
        <v>179</v>
      </c>
      <c r="G2452">
        <v>72</v>
      </c>
      <c r="H2452">
        <v>33</v>
      </c>
      <c r="I2452">
        <v>79</v>
      </c>
      <c r="J2452">
        <v>184</v>
      </c>
      <c r="K2452" s="482">
        <v>0.39100000000000001</v>
      </c>
      <c r="L2452" s="482">
        <v>0.17899999999999999</v>
      </c>
      <c r="M2452" s="482">
        <v>0.42899999999999999</v>
      </c>
    </row>
    <row r="2453" spans="1:13" x14ac:dyDescent="0.2">
      <c r="A2453" t="s">
        <v>3822</v>
      </c>
      <c r="B2453" t="s">
        <v>50</v>
      </c>
      <c r="C2453" t="s">
        <v>1</v>
      </c>
      <c r="D2453" t="s">
        <v>3823</v>
      </c>
      <c r="E2453" t="s">
        <v>3824</v>
      </c>
      <c r="F2453" t="s">
        <v>179</v>
      </c>
      <c r="G2453">
        <v>83</v>
      </c>
      <c r="H2453">
        <v>41</v>
      </c>
      <c r="I2453">
        <v>81</v>
      </c>
      <c r="J2453">
        <v>205</v>
      </c>
      <c r="K2453" s="482">
        <v>0.40500000000000003</v>
      </c>
      <c r="L2453" s="482">
        <v>0.2</v>
      </c>
      <c r="M2453" s="482">
        <v>0.39500000000000002</v>
      </c>
    </row>
    <row r="2454" spans="1:13" x14ac:dyDescent="0.2">
      <c r="A2454" t="s">
        <v>3825</v>
      </c>
      <c r="B2454" t="s">
        <v>50</v>
      </c>
      <c r="C2454" t="s">
        <v>1</v>
      </c>
      <c r="D2454" t="s">
        <v>3826</v>
      </c>
      <c r="E2454" t="s">
        <v>3827</v>
      </c>
      <c r="F2454" t="s">
        <v>179</v>
      </c>
      <c r="G2454">
        <v>60</v>
      </c>
      <c r="H2454">
        <v>26</v>
      </c>
      <c r="I2454">
        <v>63</v>
      </c>
      <c r="J2454">
        <v>149</v>
      </c>
      <c r="K2454" s="482">
        <v>0.40300000000000002</v>
      </c>
      <c r="L2454" s="482">
        <v>0.17399999999999999</v>
      </c>
      <c r="M2454" s="482">
        <v>0.42299999999999999</v>
      </c>
    </row>
    <row r="2455" spans="1:13" x14ac:dyDescent="0.2">
      <c r="A2455" t="s">
        <v>3828</v>
      </c>
      <c r="B2455" t="s">
        <v>50</v>
      </c>
      <c r="C2455" t="s">
        <v>1</v>
      </c>
      <c r="D2455" t="s">
        <v>3829</v>
      </c>
      <c r="E2455" t="s">
        <v>3830</v>
      </c>
      <c r="F2455" t="s">
        <v>179</v>
      </c>
      <c r="G2455">
        <v>104</v>
      </c>
      <c r="H2455">
        <v>41</v>
      </c>
      <c r="I2455">
        <v>118</v>
      </c>
      <c r="J2455">
        <v>263</v>
      </c>
      <c r="K2455" s="482">
        <v>0.39500000000000002</v>
      </c>
      <c r="L2455" s="482">
        <v>0.156</v>
      </c>
      <c r="M2455" s="482">
        <v>0.44900000000000001</v>
      </c>
    </row>
    <row r="2456" spans="1:13" x14ac:dyDescent="0.2">
      <c r="A2456" t="s">
        <v>3848</v>
      </c>
      <c r="B2456" t="s">
        <v>50</v>
      </c>
      <c r="C2456" t="s">
        <v>1</v>
      </c>
      <c r="D2456" t="s">
        <v>3849</v>
      </c>
      <c r="E2456" t="s">
        <v>3850</v>
      </c>
      <c r="F2456" t="s">
        <v>179</v>
      </c>
      <c r="G2456">
        <v>37</v>
      </c>
      <c r="H2456">
        <v>25</v>
      </c>
      <c r="I2456">
        <v>47</v>
      </c>
      <c r="J2456">
        <v>109</v>
      </c>
      <c r="K2456" s="482">
        <v>0.33900000000000002</v>
      </c>
      <c r="L2456" s="482">
        <v>0.22900000000000001</v>
      </c>
      <c r="M2456" s="482">
        <v>0.43099999999999999</v>
      </c>
    </row>
    <row r="2457" spans="1:13" x14ac:dyDescent="0.2">
      <c r="A2457" t="s">
        <v>3405</v>
      </c>
      <c r="B2457" t="s">
        <v>50</v>
      </c>
      <c r="C2457" t="s">
        <v>1</v>
      </c>
      <c r="D2457" t="s">
        <v>3406</v>
      </c>
      <c r="E2457" t="s">
        <v>3407</v>
      </c>
      <c r="F2457" t="s">
        <v>179</v>
      </c>
      <c r="G2457">
        <v>30</v>
      </c>
      <c r="H2457">
        <v>10</v>
      </c>
      <c r="I2457">
        <v>32</v>
      </c>
      <c r="J2457">
        <v>72</v>
      </c>
      <c r="K2457" s="482">
        <v>0.41699999999999998</v>
      </c>
      <c r="L2457" s="482">
        <v>0.13900000000000001</v>
      </c>
      <c r="M2457" s="482">
        <v>0.44400000000000001</v>
      </c>
    </row>
    <row r="2458" spans="1:13" x14ac:dyDescent="0.2">
      <c r="A2458" t="s">
        <v>3417</v>
      </c>
      <c r="B2458" t="s">
        <v>50</v>
      </c>
      <c r="C2458" t="s">
        <v>1</v>
      </c>
      <c r="D2458" t="s">
        <v>3418</v>
      </c>
      <c r="E2458" t="s">
        <v>3419</v>
      </c>
      <c r="F2458" t="s">
        <v>179</v>
      </c>
      <c r="G2458">
        <v>28</v>
      </c>
      <c r="H2458">
        <v>15</v>
      </c>
      <c r="I2458">
        <v>14</v>
      </c>
      <c r="J2458">
        <v>57</v>
      </c>
      <c r="K2458" s="482">
        <v>0.49099999999999999</v>
      </c>
      <c r="L2458" s="482">
        <v>0.26300000000000001</v>
      </c>
      <c r="M2458" s="482">
        <v>0.246</v>
      </c>
    </row>
    <row r="2459" spans="1:13" x14ac:dyDescent="0.2">
      <c r="A2459" t="s">
        <v>3426</v>
      </c>
      <c r="B2459" t="s">
        <v>50</v>
      </c>
      <c r="C2459" t="s">
        <v>1</v>
      </c>
      <c r="D2459" t="s">
        <v>3427</v>
      </c>
      <c r="E2459" t="s">
        <v>3428</v>
      </c>
      <c r="F2459" t="s">
        <v>179</v>
      </c>
      <c r="G2459">
        <v>21</v>
      </c>
      <c r="H2459">
        <v>13</v>
      </c>
      <c r="I2459">
        <v>36</v>
      </c>
      <c r="J2459">
        <v>70</v>
      </c>
      <c r="K2459" s="482">
        <v>0.3</v>
      </c>
      <c r="L2459" s="482">
        <v>0.186</v>
      </c>
      <c r="M2459" s="482">
        <v>0.51400000000000001</v>
      </c>
    </row>
    <row r="2460" spans="1:13" x14ac:dyDescent="0.2">
      <c r="A2460" t="s">
        <v>3429</v>
      </c>
      <c r="B2460" t="s">
        <v>50</v>
      </c>
      <c r="C2460" t="s">
        <v>1</v>
      </c>
      <c r="D2460" t="s">
        <v>3430</v>
      </c>
      <c r="E2460" t="s">
        <v>3431</v>
      </c>
      <c r="F2460" t="s">
        <v>179</v>
      </c>
      <c r="G2460">
        <v>44</v>
      </c>
      <c r="H2460">
        <v>29</v>
      </c>
      <c r="I2460">
        <v>65</v>
      </c>
      <c r="J2460">
        <v>138</v>
      </c>
      <c r="K2460" s="482">
        <v>0.31900000000000001</v>
      </c>
      <c r="L2460" s="482">
        <v>0.21</v>
      </c>
      <c r="M2460" s="482">
        <v>0.47099999999999997</v>
      </c>
    </row>
    <row r="2461" spans="1:13" x14ac:dyDescent="0.2">
      <c r="A2461" t="s">
        <v>3432</v>
      </c>
      <c r="B2461" t="s">
        <v>50</v>
      </c>
      <c r="C2461" t="s">
        <v>1</v>
      </c>
      <c r="D2461" t="s">
        <v>3433</v>
      </c>
      <c r="E2461" t="s">
        <v>3434</v>
      </c>
      <c r="F2461" t="s">
        <v>179</v>
      </c>
      <c r="G2461">
        <v>6</v>
      </c>
      <c r="H2461">
        <v>9</v>
      </c>
      <c r="I2461">
        <v>6</v>
      </c>
      <c r="J2461">
        <v>21</v>
      </c>
      <c r="K2461" s="482">
        <v>0.28599999999999998</v>
      </c>
      <c r="L2461" s="482">
        <v>0.42899999999999999</v>
      </c>
      <c r="M2461" s="482">
        <v>0.28599999999999998</v>
      </c>
    </row>
    <row r="2462" spans="1:13" x14ac:dyDescent="0.2">
      <c r="A2462" t="s">
        <v>3435</v>
      </c>
      <c r="B2462" t="s">
        <v>50</v>
      </c>
      <c r="C2462" t="s">
        <v>1</v>
      </c>
      <c r="D2462" t="s">
        <v>3436</v>
      </c>
      <c r="E2462" t="s">
        <v>3437</v>
      </c>
      <c r="F2462" t="s">
        <v>179</v>
      </c>
      <c r="G2462">
        <v>11</v>
      </c>
      <c r="H2462">
        <v>4</v>
      </c>
      <c r="I2462">
        <v>5</v>
      </c>
      <c r="J2462">
        <v>20</v>
      </c>
      <c r="K2462" s="482">
        <v>0.55000000000000004</v>
      </c>
      <c r="L2462" s="482">
        <v>0.2</v>
      </c>
      <c r="M2462" s="482">
        <v>0.25</v>
      </c>
    </row>
    <row r="2463" spans="1:13" x14ac:dyDescent="0.2">
      <c r="A2463" t="s">
        <v>3438</v>
      </c>
      <c r="B2463" t="s">
        <v>50</v>
      </c>
      <c r="C2463" t="s">
        <v>1</v>
      </c>
      <c r="D2463" t="s">
        <v>3439</v>
      </c>
      <c r="E2463" t="s">
        <v>3440</v>
      </c>
      <c r="F2463" t="s">
        <v>179</v>
      </c>
      <c r="G2463">
        <v>9</v>
      </c>
      <c r="H2463">
        <v>4</v>
      </c>
      <c r="I2463">
        <v>14</v>
      </c>
      <c r="J2463">
        <v>27</v>
      </c>
      <c r="K2463" s="482">
        <v>0.33300000000000002</v>
      </c>
      <c r="L2463" s="482">
        <v>0.14799999999999999</v>
      </c>
      <c r="M2463" s="482">
        <v>0.51900000000000002</v>
      </c>
    </row>
    <row r="2464" spans="1:13" x14ac:dyDescent="0.2">
      <c r="A2464" t="s">
        <v>3411</v>
      </c>
      <c r="B2464" t="s">
        <v>50</v>
      </c>
      <c r="C2464" t="s">
        <v>1</v>
      </c>
      <c r="D2464" t="s">
        <v>3412</v>
      </c>
      <c r="E2464" t="s">
        <v>3413</v>
      </c>
      <c r="F2464" t="s">
        <v>179</v>
      </c>
      <c r="G2464">
        <v>0</v>
      </c>
      <c r="H2464">
        <v>0</v>
      </c>
      <c r="I2464" t="s">
        <v>53</v>
      </c>
      <c r="J2464" t="s">
        <v>53</v>
      </c>
      <c r="K2464" t="s">
        <v>53</v>
      </c>
      <c r="L2464" t="s">
        <v>53</v>
      </c>
      <c r="M2464" t="s">
        <v>53</v>
      </c>
    </row>
    <row r="2465" spans="1:13" x14ac:dyDescent="0.2">
      <c r="A2465" t="s">
        <v>3414</v>
      </c>
      <c r="B2465" t="s">
        <v>50</v>
      </c>
      <c r="C2465" t="s">
        <v>1</v>
      </c>
      <c r="D2465" t="s">
        <v>3415</v>
      </c>
      <c r="E2465" t="s">
        <v>3416</v>
      </c>
      <c r="F2465" t="s">
        <v>179</v>
      </c>
      <c r="G2465">
        <v>14</v>
      </c>
      <c r="H2465">
        <v>7</v>
      </c>
      <c r="I2465">
        <v>12</v>
      </c>
      <c r="J2465">
        <v>33</v>
      </c>
      <c r="K2465" s="482">
        <v>0.42399999999999999</v>
      </c>
      <c r="L2465" s="482">
        <v>0.21199999999999999</v>
      </c>
      <c r="M2465" s="482">
        <v>0.36399999999999999</v>
      </c>
    </row>
    <row r="2466" spans="1:13" x14ac:dyDescent="0.2">
      <c r="A2466" t="s">
        <v>3447</v>
      </c>
      <c r="B2466" t="s">
        <v>50</v>
      </c>
      <c r="C2466" t="s">
        <v>1</v>
      </c>
      <c r="D2466" t="s">
        <v>3448</v>
      </c>
      <c r="E2466" t="s">
        <v>3449</v>
      </c>
      <c r="F2466" t="s">
        <v>179</v>
      </c>
      <c r="G2466">
        <v>36</v>
      </c>
      <c r="H2466">
        <v>16</v>
      </c>
      <c r="I2466">
        <v>44</v>
      </c>
      <c r="J2466">
        <v>96</v>
      </c>
      <c r="K2466" s="482">
        <v>0.375</v>
      </c>
      <c r="L2466" s="482">
        <v>0.16700000000000001</v>
      </c>
      <c r="M2466" s="482">
        <v>0.45800000000000002</v>
      </c>
    </row>
    <row r="2467" spans="1:13" x14ac:dyDescent="0.2">
      <c r="A2467" t="s">
        <v>3450</v>
      </c>
      <c r="B2467" t="s">
        <v>50</v>
      </c>
      <c r="C2467" t="s">
        <v>1</v>
      </c>
      <c r="D2467" t="s">
        <v>3451</v>
      </c>
      <c r="E2467" t="s">
        <v>3452</v>
      </c>
      <c r="F2467" t="s">
        <v>179</v>
      </c>
      <c r="G2467">
        <v>97</v>
      </c>
      <c r="H2467">
        <v>33</v>
      </c>
      <c r="I2467">
        <v>77</v>
      </c>
      <c r="J2467">
        <v>207</v>
      </c>
      <c r="K2467" s="482">
        <v>0.46899999999999997</v>
      </c>
      <c r="L2467" s="482">
        <v>0.159</v>
      </c>
      <c r="M2467" s="482">
        <v>0.372</v>
      </c>
    </row>
    <row r="2468" spans="1:13" x14ac:dyDescent="0.2">
      <c r="A2468" t="s">
        <v>3453</v>
      </c>
      <c r="B2468" t="s">
        <v>50</v>
      </c>
      <c r="C2468" t="s">
        <v>1</v>
      </c>
      <c r="D2468" t="s">
        <v>3454</v>
      </c>
      <c r="E2468" t="s">
        <v>3455</v>
      </c>
      <c r="F2468" t="s">
        <v>179</v>
      </c>
      <c r="G2468">
        <v>45</v>
      </c>
      <c r="H2468">
        <v>34</v>
      </c>
      <c r="I2468">
        <v>62</v>
      </c>
      <c r="J2468">
        <v>141</v>
      </c>
      <c r="K2468" s="482">
        <v>0.31900000000000001</v>
      </c>
      <c r="L2468" s="482">
        <v>0.24099999999999999</v>
      </c>
      <c r="M2468" s="482">
        <v>0.44</v>
      </c>
    </row>
    <row r="2469" spans="1:13" x14ac:dyDescent="0.2">
      <c r="A2469" t="s">
        <v>3456</v>
      </c>
      <c r="B2469" t="s">
        <v>50</v>
      </c>
      <c r="C2469" t="s">
        <v>1</v>
      </c>
      <c r="D2469" t="s">
        <v>3457</v>
      </c>
      <c r="E2469" t="s">
        <v>3458</v>
      </c>
      <c r="F2469" t="s">
        <v>179</v>
      </c>
      <c r="G2469">
        <v>13</v>
      </c>
      <c r="H2469">
        <v>9</v>
      </c>
      <c r="I2469">
        <v>16</v>
      </c>
      <c r="J2469">
        <v>38</v>
      </c>
      <c r="K2469" s="482">
        <v>0.34200000000000003</v>
      </c>
      <c r="L2469" s="482">
        <v>0.23699999999999999</v>
      </c>
      <c r="M2469" s="482">
        <v>0.42099999999999999</v>
      </c>
    </row>
    <row r="2470" spans="1:13" x14ac:dyDescent="0.2">
      <c r="A2470" t="s">
        <v>3459</v>
      </c>
      <c r="B2470" t="s">
        <v>50</v>
      </c>
      <c r="C2470" t="s">
        <v>1</v>
      </c>
      <c r="D2470" t="s">
        <v>3460</v>
      </c>
      <c r="E2470" t="s">
        <v>3461</v>
      </c>
      <c r="F2470" t="s">
        <v>179</v>
      </c>
      <c r="G2470">
        <v>49</v>
      </c>
      <c r="H2470">
        <v>15</v>
      </c>
      <c r="I2470">
        <v>42</v>
      </c>
      <c r="J2470">
        <v>106</v>
      </c>
      <c r="K2470" s="482">
        <v>0.46200000000000002</v>
      </c>
      <c r="L2470" s="482">
        <v>0.14199999999999999</v>
      </c>
      <c r="M2470" s="482">
        <v>0.39600000000000002</v>
      </c>
    </row>
    <row r="2471" spans="1:13" x14ac:dyDescent="0.2">
      <c r="A2471" t="s">
        <v>3462</v>
      </c>
      <c r="B2471" t="s">
        <v>50</v>
      </c>
      <c r="C2471" t="s">
        <v>1</v>
      </c>
      <c r="D2471" t="s">
        <v>3463</v>
      </c>
      <c r="E2471" t="s">
        <v>3464</v>
      </c>
      <c r="F2471" t="s">
        <v>179</v>
      </c>
      <c r="G2471">
        <v>49</v>
      </c>
      <c r="H2471">
        <v>35</v>
      </c>
      <c r="I2471">
        <v>74</v>
      </c>
      <c r="J2471">
        <v>158</v>
      </c>
      <c r="K2471" s="482">
        <v>0.31</v>
      </c>
      <c r="L2471" s="482">
        <v>0.222</v>
      </c>
      <c r="M2471" s="482">
        <v>0.46800000000000003</v>
      </c>
    </row>
    <row r="2472" spans="1:13" x14ac:dyDescent="0.2">
      <c r="A2472" t="s">
        <v>3465</v>
      </c>
      <c r="B2472" t="s">
        <v>50</v>
      </c>
      <c r="C2472" t="s">
        <v>1</v>
      </c>
      <c r="D2472" t="s">
        <v>3466</v>
      </c>
      <c r="E2472" t="s">
        <v>3467</v>
      </c>
      <c r="F2472" t="s">
        <v>179</v>
      </c>
      <c r="G2472">
        <v>72</v>
      </c>
      <c r="H2472">
        <v>30</v>
      </c>
      <c r="I2472">
        <v>89</v>
      </c>
      <c r="J2472">
        <v>191</v>
      </c>
      <c r="K2472" s="482">
        <v>0.377</v>
      </c>
      <c r="L2472" s="482">
        <v>0.157</v>
      </c>
      <c r="M2472" s="482">
        <v>0.46600000000000003</v>
      </c>
    </row>
    <row r="2473" spans="1:13" x14ac:dyDescent="0.2">
      <c r="A2473" t="s">
        <v>3468</v>
      </c>
      <c r="B2473" t="s">
        <v>50</v>
      </c>
      <c r="C2473" t="s">
        <v>1</v>
      </c>
      <c r="D2473" t="s">
        <v>3469</v>
      </c>
      <c r="E2473" t="s">
        <v>3470</v>
      </c>
      <c r="F2473" t="s">
        <v>179</v>
      </c>
      <c r="G2473" t="s">
        <v>53</v>
      </c>
      <c r="H2473">
        <v>0</v>
      </c>
      <c r="I2473">
        <v>0</v>
      </c>
      <c r="J2473" t="s">
        <v>53</v>
      </c>
      <c r="K2473" t="s">
        <v>53</v>
      </c>
      <c r="L2473" t="s">
        <v>53</v>
      </c>
      <c r="M2473" t="s">
        <v>53</v>
      </c>
    </row>
    <row r="2474" spans="1:13" x14ac:dyDescent="0.2">
      <c r="A2474" t="s">
        <v>3471</v>
      </c>
      <c r="B2474" t="s">
        <v>50</v>
      </c>
      <c r="C2474" t="s">
        <v>1</v>
      </c>
      <c r="D2474" t="s">
        <v>3472</v>
      </c>
      <c r="E2474" t="s">
        <v>3473</v>
      </c>
      <c r="F2474" t="s">
        <v>179</v>
      </c>
      <c r="G2474">
        <v>67</v>
      </c>
      <c r="H2474">
        <v>41</v>
      </c>
      <c r="I2474">
        <v>82</v>
      </c>
      <c r="J2474">
        <v>190</v>
      </c>
      <c r="K2474" s="482">
        <v>0.35299999999999998</v>
      </c>
      <c r="L2474" s="482">
        <v>0.216</v>
      </c>
      <c r="M2474" s="482">
        <v>0.432</v>
      </c>
    </row>
    <row r="2475" spans="1:13" x14ac:dyDescent="0.2">
      <c r="A2475" t="s">
        <v>3474</v>
      </c>
      <c r="B2475" t="s">
        <v>50</v>
      </c>
      <c r="C2475" t="s">
        <v>1</v>
      </c>
      <c r="D2475" t="s">
        <v>3475</v>
      </c>
      <c r="E2475" t="s">
        <v>3476</v>
      </c>
      <c r="F2475" t="s">
        <v>179</v>
      </c>
      <c r="G2475">
        <v>105</v>
      </c>
      <c r="H2475">
        <v>55</v>
      </c>
      <c r="I2475">
        <v>104</v>
      </c>
      <c r="J2475">
        <v>264</v>
      </c>
      <c r="K2475" s="482">
        <v>0.39800000000000002</v>
      </c>
      <c r="L2475" s="482">
        <v>0.20799999999999999</v>
      </c>
      <c r="M2475" s="482">
        <v>0.39400000000000002</v>
      </c>
    </row>
    <row r="2476" spans="1:13" x14ac:dyDescent="0.2">
      <c r="A2476" t="s">
        <v>3477</v>
      </c>
      <c r="B2476" t="s">
        <v>50</v>
      </c>
      <c r="C2476" t="s">
        <v>1</v>
      </c>
      <c r="D2476" t="s">
        <v>3478</v>
      </c>
      <c r="E2476" t="s">
        <v>3479</v>
      </c>
      <c r="F2476" t="s">
        <v>179</v>
      </c>
      <c r="G2476">
        <v>120</v>
      </c>
      <c r="H2476">
        <v>61</v>
      </c>
      <c r="I2476">
        <v>89</v>
      </c>
      <c r="J2476">
        <v>270</v>
      </c>
      <c r="K2476" s="482">
        <v>0.44400000000000001</v>
      </c>
      <c r="L2476" s="482">
        <v>0.22600000000000001</v>
      </c>
      <c r="M2476" s="482">
        <v>0.33</v>
      </c>
    </row>
    <row r="2477" spans="1:13" x14ac:dyDescent="0.2">
      <c r="A2477" t="s">
        <v>3481</v>
      </c>
      <c r="B2477" t="s">
        <v>50</v>
      </c>
      <c r="C2477" t="s">
        <v>1</v>
      </c>
      <c r="D2477" t="s">
        <v>3482</v>
      </c>
      <c r="E2477" t="s">
        <v>3483</v>
      </c>
      <c r="F2477" t="s">
        <v>179</v>
      </c>
      <c r="G2477">
        <v>49</v>
      </c>
      <c r="H2477">
        <v>22</v>
      </c>
      <c r="I2477">
        <v>52</v>
      </c>
      <c r="J2477">
        <v>123</v>
      </c>
      <c r="K2477" s="482">
        <v>0.39800000000000002</v>
      </c>
      <c r="L2477" s="482">
        <v>0.17899999999999999</v>
      </c>
      <c r="M2477" s="482">
        <v>0.42299999999999999</v>
      </c>
    </row>
    <row r="2478" spans="1:13" x14ac:dyDescent="0.2">
      <c r="A2478" t="s">
        <v>3484</v>
      </c>
      <c r="B2478" t="s">
        <v>50</v>
      </c>
      <c r="C2478" t="s">
        <v>1</v>
      </c>
      <c r="D2478" t="s">
        <v>3485</v>
      </c>
      <c r="E2478" t="s">
        <v>3486</v>
      </c>
      <c r="F2478" t="s">
        <v>179</v>
      </c>
      <c r="G2478">
        <v>26</v>
      </c>
      <c r="H2478">
        <v>18</v>
      </c>
      <c r="I2478">
        <v>29</v>
      </c>
      <c r="J2478">
        <v>73</v>
      </c>
      <c r="K2478" s="482">
        <v>0.35599999999999998</v>
      </c>
      <c r="L2478" s="482">
        <v>0.247</v>
      </c>
      <c r="M2478" s="482">
        <v>0.39700000000000002</v>
      </c>
    </row>
    <row r="2479" spans="1:13" x14ac:dyDescent="0.2">
      <c r="A2479" t="s">
        <v>3420</v>
      </c>
      <c r="B2479" t="s">
        <v>50</v>
      </c>
      <c r="C2479" t="s">
        <v>1</v>
      </c>
      <c r="D2479" t="s">
        <v>3421</v>
      </c>
      <c r="E2479" t="s">
        <v>3422</v>
      </c>
      <c r="F2479" t="s">
        <v>179</v>
      </c>
      <c r="G2479">
        <v>94</v>
      </c>
      <c r="H2479">
        <v>44</v>
      </c>
      <c r="I2479">
        <v>82</v>
      </c>
      <c r="J2479">
        <v>220</v>
      </c>
      <c r="K2479" s="482">
        <v>0.42699999999999999</v>
      </c>
      <c r="L2479" s="482">
        <v>0.2</v>
      </c>
      <c r="M2479" s="482">
        <v>0.373</v>
      </c>
    </row>
    <row r="2480" spans="1:13" x14ac:dyDescent="0.2">
      <c r="A2480" t="s">
        <v>3423</v>
      </c>
      <c r="B2480" t="s">
        <v>50</v>
      </c>
      <c r="C2480" t="s">
        <v>1</v>
      </c>
      <c r="D2480" t="s">
        <v>3424</v>
      </c>
      <c r="E2480" t="s">
        <v>3425</v>
      </c>
      <c r="F2480" t="s">
        <v>179</v>
      </c>
      <c r="G2480">
        <v>58</v>
      </c>
      <c r="H2480">
        <v>32</v>
      </c>
      <c r="I2480">
        <v>72</v>
      </c>
      <c r="J2480">
        <v>162</v>
      </c>
      <c r="K2480" s="482">
        <v>0.35799999999999998</v>
      </c>
      <c r="L2480" s="482">
        <v>0.19800000000000001</v>
      </c>
      <c r="M2480" s="482">
        <v>0.44400000000000001</v>
      </c>
    </row>
    <row r="2481" spans="1:13" x14ac:dyDescent="0.2">
      <c r="A2481" t="s">
        <v>3441</v>
      </c>
      <c r="B2481" t="s">
        <v>50</v>
      </c>
      <c r="C2481" t="s">
        <v>1</v>
      </c>
      <c r="D2481" t="s">
        <v>3442</v>
      </c>
      <c r="E2481" t="s">
        <v>3443</v>
      </c>
      <c r="F2481" t="s">
        <v>179</v>
      </c>
      <c r="G2481">
        <v>109</v>
      </c>
      <c r="H2481">
        <v>42</v>
      </c>
      <c r="I2481">
        <v>101</v>
      </c>
      <c r="J2481">
        <v>252</v>
      </c>
      <c r="K2481" s="482">
        <v>0.433</v>
      </c>
      <c r="L2481" s="482">
        <v>0.16700000000000001</v>
      </c>
      <c r="M2481" s="482">
        <v>0.40100000000000002</v>
      </c>
    </row>
    <row r="2482" spans="1:13" x14ac:dyDescent="0.2">
      <c r="A2482" t="s">
        <v>3444</v>
      </c>
      <c r="B2482" t="s">
        <v>50</v>
      </c>
      <c r="C2482" t="s">
        <v>1</v>
      </c>
      <c r="D2482" t="s">
        <v>3445</v>
      </c>
      <c r="E2482" t="s">
        <v>3446</v>
      </c>
      <c r="F2482" t="s">
        <v>179</v>
      </c>
      <c r="G2482">
        <v>17</v>
      </c>
      <c r="H2482">
        <v>13</v>
      </c>
      <c r="I2482">
        <v>17</v>
      </c>
      <c r="J2482">
        <v>47</v>
      </c>
      <c r="K2482" s="482">
        <v>0.36199999999999999</v>
      </c>
      <c r="L2482" s="482">
        <v>0.27700000000000002</v>
      </c>
      <c r="M2482" s="482">
        <v>0.36199999999999999</v>
      </c>
    </row>
    <row r="2483" spans="1:13" x14ac:dyDescent="0.2">
      <c r="A2483" t="s">
        <v>3324</v>
      </c>
      <c r="B2483" t="s">
        <v>50</v>
      </c>
      <c r="C2483" t="s">
        <v>1</v>
      </c>
      <c r="D2483" t="s">
        <v>3325</v>
      </c>
      <c r="E2483" t="s">
        <v>3326</v>
      </c>
      <c r="F2483" t="s">
        <v>179</v>
      </c>
      <c r="G2483">
        <v>0</v>
      </c>
      <c r="H2483">
        <v>0</v>
      </c>
      <c r="I2483" t="s">
        <v>53</v>
      </c>
      <c r="J2483" t="s">
        <v>53</v>
      </c>
      <c r="K2483" t="s">
        <v>53</v>
      </c>
      <c r="L2483" t="s">
        <v>53</v>
      </c>
      <c r="M2483" t="s">
        <v>53</v>
      </c>
    </row>
    <row r="2484" spans="1:13" x14ac:dyDescent="0.2">
      <c r="A2484" t="s">
        <v>3266</v>
      </c>
      <c r="B2484" t="s">
        <v>50</v>
      </c>
      <c r="C2484" t="s">
        <v>1</v>
      </c>
      <c r="D2484" t="s">
        <v>3267</v>
      </c>
      <c r="E2484" t="s">
        <v>3268</v>
      </c>
      <c r="F2484" t="s">
        <v>179</v>
      </c>
      <c r="G2484">
        <v>12</v>
      </c>
      <c r="H2484">
        <v>5</v>
      </c>
      <c r="I2484">
        <v>11</v>
      </c>
      <c r="J2484">
        <v>28</v>
      </c>
      <c r="K2484" s="482">
        <v>0.42899999999999999</v>
      </c>
      <c r="L2484" s="482">
        <v>0.17899999999999999</v>
      </c>
      <c r="M2484" s="482">
        <v>0.39300000000000002</v>
      </c>
    </row>
    <row r="2485" spans="1:13" x14ac:dyDescent="0.2">
      <c r="A2485" t="s">
        <v>3330</v>
      </c>
      <c r="B2485" t="s">
        <v>50</v>
      </c>
      <c r="C2485" t="s">
        <v>1</v>
      </c>
      <c r="D2485" t="s">
        <v>3331</v>
      </c>
      <c r="E2485" t="s">
        <v>3332</v>
      </c>
      <c r="F2485" t="s">
        <v>179</v>
      </c>
      <c r="G2485">
        <v>4</v>
      </c>
      <c r="H2485">
        <v>1</v>
      </c>
      <c r="I2485">
        <v>3</v>
      </c>
      <c r="J2485">
        <v>8</v>
      </c>
      <c r="K2485" s="482">
        <v>0.5</v>
      </c>
      <c r="L2485" s="482">
        <v>0.125</v>
      </c>
      <c r="M2485" s="482">
        <v>0.375</v>
      </c>
    </row>
    <row r="2486" spans="1:13" x14ac:dyDescent="0.2">
      <c r="A2486" t="s">
        <v>3327</v>
      </c>
      <c r="B2486" t="s">
        <v>50</v>
      </c>
      <c r="C2486" t="s">
        <v>1</v>
      </c>
      <c r="D2486" t="s">
        <v>3328</v>
      </c>
      <c r="E2486" t="s">
        <v>3329</v>
      </c>
      <c r="F2486" t="s">
        <v>179</v>
      </c>
      <c r="G2486">
        <v>6</v>
      </c>
      <c r="H2486">
        <v>1</v>
      </c>
      <c r="I2486">
        <v>6</v>
      </c>
      <c r="J2486">
        <v>13</v>
      </c>
      <c r="K2486" s="482">
        <v>0.46200000000000002</v>
      </c>
      <c r="L2486" s="482">
        <v>7.6999999999999999E-2</v>
      </c>
      <c r="M2486" s="482">
        <v>0.46200000000000002</v>
      </c>
    </row>
    <row r="2487" spans="1:13" x14ac:dyDescent="0.2">
      <c r="A2487" t="s">
        <v>3321</v>
      </c>
      <c r="B2487" t="s">
        <v>50</v>
      </c>
      <c r="C2487" t="s">
        <v>1</v>
      </c>
      <c r="D2487" t="s">
        <v>3322</v>
      </c>
      <c r="E2487" t="s">
        <v>3323</v>
      </c>
      <c r="F2487" t="s">
        <v>179</v>
      </c>
      <c r="G2487">
        <v>7</v>
      </c>
      <c r="H2487">
        <v>3</v>
      </c>
      <c r="I2487">
        <v>7</v>
      </c>
      <c r="J2487">
        <v>17</v>
      </c>
      <c r="K2487" s="482">
        <v>0.41199999999999998</v>
      </c>
      <c r="L2487" s="482">
        <v>0.17599999999999999</v>
      </c>
      <c r="M2487" s="482">
        <v>0.41199999999999998</v>
      </c>
    </row>
    <row r="2488" spans="1:13" x14ac:dyDescent="0.2">
      <c r="A2488" t="s">
        <v>3263</v>
      </c>
      <c r="B2488" t="s">
        <v>50</v>
      </c>
      <c r="C2488" t="s">
        <v>1</v>
      </c>
      <c r="D2488" t="s">
        <v>3264</v>
      </c>
      <c r="E2488" t="s">
        <v>3265</v>
      </c>
      <c r="F2488" t="s">
        <v>179</v>
      </c>
      <c r="G2488">
        <v>6</v>
      </c>
      <c r="H2488">
        <v>7</v>
      </c>
      <c r="I2488">
        <v>15</v>
      </c>
      <c r="J2488">
        <v>28</v>
      </c>
      <c r="K2488" s="482">
        <v>0.214</v>
      </c>
      <c r="L2488" s="482">
        <v>0.25</v>
      </c>
      <c r="M2488" s="482">
        <v>0.53600000000000003</v>
      </c>
    </row>
    <row r="2489" spans="1:13" x14ac:dyDescent="0.2">
      <c r="A2489" t="s">
        <v>3251</v>
      </c>
      <c r="B2489" t="s">
        <v>50</v>
      </c>
      <c r="C2489" t="s">
        <v>1</v>
      </c>
      <c r="D2489" t="s">
        <v>3252</v>
      </c>
      <c r="E2489" t="s">
        <v>3253</v>
      </c>
      <c r="F2489" t="s">
        <v>179</v>
      </c>
      <c r="G2489">
        <v>8</v>
      </c>
      <c r="H2489">
        <v>5</v>
      </c>
      <c r="I2489">
        <v>9</v>
      </c>
      <c r="J2489">
        <v>22</v>
      </c>
      <c r="K2489" s="482">
        <v>0.36399999999999999</v>
      </c>
      <c r="L2489" s="482">
        <v>0.22700000000000001</v>
      </c>
      <c r="M2489" s="482">
        <v>0.40899999999999997</v>
      </c>
    </row>
    <row r="2490" spans="1:13" x14ac:dyDescent="0.2">
      <c r="A2490" t="s">
        <v>3254</v>
      </c>
      <c r="B2490" t="s">
        <v>50</v>
      </c>
      <c r="C2490" t="s">
        <v>1</v>
      </c>
      <c r="D2490" t="s">
        <v>3255</v>
      </c>
      <c r="E2490" t="s">
        <v>3256</v>
      </c>
      <c r="F2490" t="s">
        <v>179</v>
      </c>
      <c r="G2490" t="s">
        <v>53</v>
      </c>
      <c r="H2490">
        <v>0</v>
      </c>
      <c r="I2490" t="s">
        <v>53</v>
      </c>
      <c r="J2490" t="s">
        <v>53</v>
      </c>
      <c r="K2490" t="s">
        <v>53</v>
      </c>
      <c r="L2490" t="s">
        <v>53</v>
      </c>
      <c r="M2490" t="s">
        <v>53</v>
      </c>
    </row>
    <row r="2491" spans="1:13" x14ac:dyDescent="0.2">
      <c r="A2491" t="s">
        <v>3257</v>
      </c>
      <c r="B2491" t="s">
        <v>50</v>
      </c>
      <c r="C2491" t="s">
        <v>1</v>
      </c>
      <c r="D2491" t="s">
        <v>3258</v>
      </c>
      <c r="E2491" t="s">
        <v>3259</v>
      </c>
      <c r="F2491" t="s">
        <v>179</v>
      </c>
      <c r="G2491">
        <v>4</v>
      </c>
      <c r="H2491">
        <v>8</v>
      </c>
      <c r="I2491">
        <v>1</v>
      </c>
      <c r="J2491">
        <v>13</v>
      </c>
      <c r="K2491" s="482">
        <v>0.308</v>
      </c>
      <c r="L2491" s="482">
        <v>0.61499999999999999</v>
      </c>
      <c r="M2491" s="482">
        <v>7.6999999999999999E-2</v>
      </c>
    </row>
    <row r="2492" spans="1:13" x14ac:dyDescent="0.2">
      <c r="A2492" t="s">
        <v>3260</v>
      </c>
      <c r="B2492" t="s">
        <v>50</v>
      </c>
      <c r="C2492" t="s">
        <v>1</v>
      </c>
      <c r="D2492" t="s">
        <v>3261</v>
      </c>
      <c r="E2492" t="s">
        <v>3262</v>
      </c>
      <c r="F2492" t="s">
        <v>179</v>
      </c>
      <c r="G2492">
        <v>5</v>
      </c>
      <c r="H2492">
        <v>1</v>
      </c>
      <c r="I2492">
        <v>7</v>
      </c>
      <c r="J2492">
        <v>13</v>
      </c>
      <c r="K2492" s="482">
        <v>0.38500000000000001</v>
      </c>
      <c r="L2492" s="482">
        <v>7.6999999999999999E-2</v>
      </c>
      <c r="M2492" s="482">
        <v>0.53800000000000003</v>
      </c>
    </row>
    <row r="2493" spans="1:13" x14ac:dyDescent="0.2">
      <c r="A2493" t="s">
        <v>3902</v>
      </c>
      <c r="B2493" t="s">
        <v>50</v>
      </c>
      <c r="C2493" t="s">
        <v>1</v>
      </c>
      <c r="D2493" t="s">
        <v>3903</v>
      </c>
      <c r="E2493" t="s">
        <v>3904</v>
      </c>
      <c r="F2493" t="s">
        <v>179</v>
      </c>
      <c r="G2493">
        <v>41</v>
      </c>
      <c r="H2493">
        <v>17</v>
      </c>
      <c r="I2493">
        <v>44</v>
      </c>
      <c r="J2493">
        <v>102</v>
      </c>
      <c r="K2493" s="482">
        <v>0.40200000000000002</v>
      </c>
      <c r="L2493" s="482">
        <v>0.16700000000000001</v>
      </c>
      <c r="M2493" s="482">
        <v>0.43099999999999999</v>
      </c>
    </row>
    <row r="2494" spans="1:13" x14ac:dyDescent="0.2">
      <c r="A2494" t="s">
        <v>3887</v>
      </c>
      <c r="B2494" t="s">
        <v>50</v>
      </c>
      <c r="C2494" t="s">
        <v>1</v>
      </c>
      <c r="D2494" t="s">
        <v>3888</v>
      </c>
      <c r="E2494" t="s">
        <v>3889</v>
      </c>
      <c r="F2494" t="s">
        <v>179</v>
      </c>
      <c r="G2494">
        <v>135</v>
      </c>
      <c r="H2494">
        <v>78</v>
      </c>
      <c r="I2494">
        <v>148</v>
      </c>
      <c r="J2494">
        <v>361</v>
      </c>
      <c r="K2494" s="482">
        <v>0.374</v>
      </c>
      <c r="L2494" s="482">
        <v>0.216</v>
      </c>
      <c r="M2494" s="482">
        <v>0.41</v>
      </c>
    </row>
    <row r="2495" spans="1:13" x14ac:dyDescent="0.2">
      <c r="A2495" t="s">
        <v>3514</v>
      </c>
      <c r="B2495" t="s">
        <v>50</v>
      </c>
      <c r="C2495" t="s">
        <v>1</v>
      </c>
      <c r="D2495" t="s">
        <v>3515</v>
      </c>
      <c r="E2495" t="s">
        <v>343</v>
      </c>
      <c r="F2495" t="s">
        <v>179</v>
      </c>
      <c r="G2495">
        <v>125</v>
      </c>
      <c r="H2495">
        <v>71</v>
      </c>
      <c r="I2495">
        <v>168</v>
      </c>
      <c r="J2495">
        <v>364</v>
      </c>
      <c r="K2495" s="482">
        <v>0.34300000000000003</v>
      </c>
      <c r="L2495" s="482">
        <v>0.19500000000000001</v>
      </c>
      <c r="M2495" s="482">
        <v>0.46200000000000002</v>
      </c>
    </row>
    <row r="2496" spans="1:13" x14ac:dyDescent="0.2">
      <c r="A2496" t="s">
        <v>3884</v>
      </c>
      <c r="B2496" t="s">
        <v>50</v>
      </c>
      <c r="C2496" t="s">
        <v>1</v>
      </c>
      <c r="D2496" t="s">
        <v>3885</v>
      </c>
      <c r="E2496" t="s">
        <v>3886</v>
      </c>
      <c r="F2496" t="s">
        <v>179</v>
      </c>
      <c r="G2496">
        <v>76</v>
      </c>
      <c r="H2496">
        <v>39</v>
      </c>
      <c r="I2496">
        <v>83</v>
      </c>
      <c r="J2496">
        <v>198</v>
      </c>
      <c r="K2496" s="482">
        <v>0.38400000000000001</v>
      </c>
      <c r="L2496" s="482">
        <v>0.19700000000000001</v>
      </c>
      <c r="M2496" s="482">
        <v>0.41899999999999998</v>
      </c>
    </row>
    <row r="2497" spans="1:13" x14ac:dyDescent="0.2">
      <c r="A2497" t="s">
        <v>3890</v>
      </c>
      <c r="B2497" t="s">
        <v>50</v>
      </c>
      <c r="C2497" t="s">
        <v>1</v>
      </c>
      <c r="D2497" t="s">
        <v>3891</v>
      </c>
      <c r="E2497" t="s">
        <v>3892</v>
      </c>
      <c r="F2497" t="s">
        <v>179</v>
      </c>
      <c r="G2497">
        <v>12</v>
      </c>
      <c r="H2497">
        <v>14</v>
      </c>
      <c r="I2497">
        <v>18</v>
      </c>
      <c r="J2497">
        <v>44</v>
      </c>
      <c r="K2497" s="482">
        <v>0.27300000000000002</v>
      </c>
      <c r="L2497" s="482">
        <v>0.318</v>
      </c>
      <c r="M2497" s="482">
        <v>0.40899999999999997</v>
      </c>
    </row>
    <row r="2498" spans="1:13" x14ac:dyDescent="0.2">
      <c r="A2498" t="s">
        <v>3893</v>
      </c>
      <c r="B2498" t="s">
        <v>50</v>
      </c>
      <c r="C2498" t="s">
        <v>1</v>
      </c>
      <c r="D2498" t="s">
        <v>3894</v>
      </c>
      <c r="E2498" t="s">
        <v>3895</v>
      </c>
      <c r="F2498" t="s">
        <v>179</v>
      </c>
      <c r="G2498">
        <v>65</v>
      </c>
      <c r="H2498">
        <v>32</v>
      </c>
      <c r="I2498">
        <v>36</v>
      </c>
      <c r="J2498">
        <v>133</v>
      </c>
      <c r="K2498" s="482">
        <v>0.48899999999999999</v>
      </c>
      <c r="L2498" s="482">
        <v>0.24099999999999999</v>
      </c>
      <c r="M2498" s="482">
        <v>0.27100000000000002</v>
      </c>
    </row>
    <row r="2499" spans="1:13" x14ac:dyDescent="0.2">
      <c r="A2499" t="s">
        <v>3896</v>
      </c>
      <c r="B2499" t="s">
        <v>50</v>
      </c>
      <c r="C2499" t="s">
        <v>1</v>
      </c>
      <c r="D2499" t="s">
        <v>3897</v>
      </c>
      <c r="E2499" t="s">
        <v>3898</v>
      </c>
      <c r="F2499" t="s">
        <v>179</v>
      </c>
      <c r="G2499">
        <v>14</v>
      </c>
      <c r="H2499">
        <v>9</v>
      </c>
      <c r="I2499">
        <v>18</v>
      </c>
      <c r="J2499">
        <v>41</v>
      </c>
      <c r="K2499" s="482">
        <v>0.34100000000000003</v>
      </c>
      <c r="L2499" s="482">
        <v>0.22</v>
      </c>
      <c r="M2499" s="482">
        <v>0.439</v>
      </c>
    </row>
    <row r="2500" spans="1:13" x14ac:dyDescent="0.2">
      <c r="A2500" t="s">
        <v>3905</v>
      </c>
      <c r="B2500" t="s">
        <v>50</v>
      </c>
      <c r="C2500" t="s">
        <v>1</v>
      </c>
      <c r="D2500" t="s">
        <v>3906</v>
      </c>
      <c r="E2500" t="s">
        <v>3907</v>
      </c>
      <c r="F2500" t="s">
        <v>179</v>
      </c>
      <c r="G2500">
        <v>109</v>
      </c>
      <c r="H2500">
        <v>60</v>
      </c>
      <c r="I2500">
        <v>121</v>
      </c>
      <c r="J2500">
        <v>290</v>
      </c>
      <c r="K2500" s="482">
        <v>0.376</v>
      </c>
      <c r="L2500" s="482">
        <v>0.20699999999999999</v>
      </c>
      <c r="M2500" s="482">
        <v>0.41699999999999998</v>
      </c>
    </row>
    <row r="2501" spans="1:13" x14ac:dyDescent="0.2">
      <c r="A2501" t="s">
        <v>6585</v>
      </c>
      <c r="B2501" t="s">
        <v>50</v>
      </c>
      <c r="C2501" t="s">
        <v>1</v>
      </c>
      <c r="D2501" t="s">
        <v>4370</v>
      </c>
      <c r="E2501" t="s">
        <v>4371</v>
      </c>
      <c r="F2501" t="s">
        <v>179</v>
      </c>
      <c r="G2501">
        <v>0</v>
      </c>
      <c r="H2501" t="s">
        <v>53</v>
      </c>
      <c r="I2501" t="s">
        <v>53</v>
      </c>
      <c r="J2501" t="s">
        <v>53</v>
      </c>
      <c r="K2501" t="s">
        <v>53</v>
      </c>
      <c r="L2501" t="s">
        <v>53</v>
      </c>
      <c r="M2501" t="s">
        <v>53</v>
      </c>
    </row>
    <row r="2502" spans="1:13" x14ac:dyDescent="0.2">
      <c r="A2502" t="s">
        <v>3408</v>
      </c>
      <c r="B2502" t="s">
        <v>50</v>
      </c>
      <c r="C2502" t="s">
        <v>1</v>
      </c>
      <c r="D2502" t="s">
        <v>3409</v>
      </c>
      <c r="E2502" t="s">
        <v>3410</v>
      </c>
      <c r="F2502" t="s">
        <v>179</v>
      </c>
      <c r="G2502">
        <v>17</v>
      </c>
      <c r="H2502">
        <v>13</v>
      </c>
      <c r="I2502">
        <v>19</v>
      </c>
      <c r="J2502">
        <v>49</v>
      </c>
      <c r="K2502" s="482">
        <v>0.34699999999999998</v>
      </c>
      <c r="L2502" s="482">
        <v>0.26500000000000001</v>
      </c>
      <c r="M2502" s="482">
        <v>0.38800000000000001</v>
      </c>
    </row>
    <row r="2503" spans="1:13" x14ac:dyDescent="0.2">
      <c r="A2503" t="s">
        <v>3209</v>
      </c>
      <c r="B2503" t="s">
        <v>50</v>
      </c>
      <c r="C2503" t="s">
        <v>1</v>
      </c>
      <c r="D2503" t="s">
        <v>3210</v>
      </c>
      <c r="E2503" t="s">
        <v>3211</v>
      </c>
      <c r="F2503" t="s">
        <v>179</v>
      </c>
      <c r="G2503">
        <v>7</v>
      </c>
      <c r="H2503">
        <v>7</v>
      </c>
      <c r="I2503">
        <v>4</v>
      </c>
      <c r="J2503">
        <v>18</v>
      </c>
      <c r="K2503" s="482">
        <v>0.38900000000000001</v>
      </c>
      <c r="L2503" s="482">
        <v>0.38900000000000001</v>
      </c>
      <c r="M2503" s="482">
        <v>0.222</v>
      </c>
    </row>
    <row r="2504" spans="1:13" x14ac:dyDescent="0.2">
      <c r="A2504" t="s">
        <v>3212</v>
      </c>
      <c r="B2504" t="s">
        <v>50</v>
      </c>
      <c r="C2504" t="s">
        <v>1</v>
      </c>
      <c r="D2504" t="s">
        <v>3213</v>
      </c>
      <c r="E2504" t="s">
        <v>3214</v>
      </c>
      <c r="F2504" t="s">
        <v>179</v>
      </c>
      <c r="G2504">
        <v>42</v>
      </c>
      <c r="H2504">
        <v>17</v>
      </c>
      <c r="I2504">
        <v>47</v>
      </c>
      <c r="J2504">
        <v>106</v>
      </c>
      <c r="K2504" s="482">
        <v>0.39600000000000002</v>
      </c>
      <c r="L2504" s="482">
        <v>0.16</v>
      </c>
      <c r="M2504" s="482">
        <v>0.443</v>
      </c>
    </row>
    <row r="2505" spans="1:13" x14ac:dyDescent="0.2">
      <c r="A2505" t="s">
        <v>3197</v>
      </c>
      <c r="B2505" t="s">
        <v>50</v>
      </c>
      <c r="C2505" t="s">
        <v>1</v>
      </c>
      <c r="D2505" t="s">
        <v>3198</v>
      </c>
      <c r="E2505" t="s">
        <v>3199</v>
      </c>
      <c r="F2505" t="s">
        <v>179</v>
      </c>
      <c r="G2505">
        <v>36</v>
      </c>
      <c r="H2505">
        <v>25</v>
      </c>
      <c r="I2505">
        <v>42</v>
      </c>
      <c r="J2505">
        <v>103</v>
      </c>
      <c r="K2505" s="482">
        <v>0.35</v>
      </c>
      <c r="L2505" s="482">
        <v>0.24299999999999999</v>
      </c>
      <c r="M2505" s="482">
        <v>0.40799999999999997</v>
      </c>
    </row>
    <row r="2506" spans="1:13" x14ac:dyDescent="0.2">
      <c r="A2506" t="s">
        <v>3339</v>
      </c>
      <c r="B2506" t="s">
        <v>50</v>
      </c>
      <c r="C2506" t="s">
        <v>1</v>
      </c>
      <c r="D2506" t="s">
        <v>3340</v>
      </c>
      <c r="E2506" t="s">
        <v>3341</v>
      </c>
      <c r="F2506" t="s">
        <v>179</v>
      </c>
      <c r="G2506">
        <v>3</v>
      </c>
      <c r="H2506">
        <v>3</v>
      </c>
      <c r="I2506">
        <v>4</v>
      </c>
      <c r="J2506">
        <v>10</v>
      </c>
      <c r="K2506" s="482">
        <v>0.3</v>
      </c>
      <c r="L2506" s="482">
        <v>0.3</v>
      </c>
      <c r="M2506" s="482">
        <v>0.4</v>
      </c>
    </row>
    <row r="2507" spans="1:13" x14ac:dyDescent="0.2">
      <c r="A2507" t="s">
        <v>3342</v>
      </c>
      <c r="B2507" t="s">
        <v>50</v>
      </c>
      <c r="C2507" t="s">
        <v>1</v>
      </c>
      <c r="D2507" t="s">
        <v>3343</v>
      </c>
      <c r="E2507" t="s">
        <v>3344</v>
      </c>
      <c r="F2507" t="s">
        <v>179</v>
      </c>
      <c r="G2507">
        <v>31</v>
      </c>
      <c r="H2507">
        <v>15</v>
      </c>
      <c r="I2507">
        <v>24</v>
      </c>
      <c r="J2507">
        <v>70</v>
      </c>
      <c r="K2507" s="482">
        <v>0.443</v>
      </c>
      <c r="L2507" s="482">
        <v>0.214</v>
      </c>
      <c r="M2507" s="482">
        <v>0.34300000000000003</v>
      </c>
    </row>
    <row r="2508" spans="1:13" x14ac:dyDescent="0.2">
      <c r="A2508" t="s">
        <v>3384</v>
      </c>
      <c r="B2508" t="s">
        <v>50</v>
      </c>
      <c r="C2508" t="s">
        <v>1</v>
      </c>
      <c r="D2508" t="s">
        <v>3385</v>
      </c>
      <c r="E2508" t="s">
        <v>3386</v>
      </c>
      <c r="F2508" t="s">
        <v>179</v>
      </c>
      <c r="G2508">
        <v>11</v>
      </c>
      <c r="H2508">
        <v>13</v>
      </c>
      <c r="I2508">
        <v>11</v>
      </c>
      <c r="J2508">
        <v>35</v>
      </c>
      <c r="K2508" s="482">
        <v>0.314</v>
      </c>
      <c r="L2508" s="482">
        <v>0.371</v>
      </c>
      <c r="M2508" s="482">
        <v>0.314</v>
      </c>
    </row>
    <row r="2509" spans="1:13" x14ac:dyDescent="0.2">
      <c r="A2509" t="s">
        <v>3387</v>
      </c>
      <c r="B2509" t="s">
        <v>50</v>
      </c>
      <c r="C2509" t="s">
        <v>1</v>
      </c>
      <c r="D2509" t="s">
        <v>3388</v>
      </c>
      <c r="E2509" t="s">
        <v>3389</v>
      </c>
      <c r="F2509" t="s">
        <v>179</v>
      </c>
      <c r="G2509">
        <v>19</v>
      </c>
      <c r="H2509">
        <v>9</v>
      </c>
      <c r="I2509">
        <v>11</v>
      </c>
      <c r="J2509">
        <v>39</v>
      </c>
      <c r="K2509" s="482">
        <v>0.48699999999999999</v>
      </c>
      <c r="L2509" s="482">
        <v>0.23100000000000001</v>
      </c>
      <c r="M2509" s="482">
        <v>0.28199999999999997</v>
      </c>
    </row>
    <row r="2510" spans="1:13" x14ac:dyDescent="0.2">
      <c r="A2510" t="s">
        <v>3390</v>
      </c>
      <c r="B2510" t="s">
        <v>50</v>
      </c>
      <c r="C2510" t="s">
        <v>1</v>
      </c>
      <c r="D2510" t="s">
        <v>3391</v>
      </c>
      <c r="E2510" t="s">
        <v>3392</v>
      </c>
      <c r="F2510" t="s">
        <v>179</v>
      </c>
      <c r="G2510">
        <v>17</v>
      </c>
      <c r="H2510">
        <v>9</v>
      </c>
      <c r="I2510">
        <v>20</v>
      </c>
      <c r="J2510">
        <v>46</v>
      </c>
      <c r="K2510" s="482">
        <v>0.37</v>
      </c>
      <c r="L2510" s="482">
        <v>0.19600000000000001</v>
      </c>
      <c r="M2510" s="482">
        <v>0.435</v>
      </c>
    </row>
    <row r="2511" spans="1:13" x14ac:dyDescent="0.2">
      <c r="A2511" t="s">
        <v>3393</v>
      </c>
      <c r="B2511" t="s">
        <v>50</v>
      </c>
      <c r="C2511" t="s">
        <v>1</v>
      </c>
      <c r="D2511" t="s">
        <v>3394</v>
      </c>
      <c r="E2511" t="s">
        <v>3395</v>
      </c>
      <c r="F2511" t="s">
        <v>179</v>
      </c>
      <c r="G2511">
        <v>22</v>
      </c>
      <c r="H2511">
        <v>9</v>
      </c>
      <c r="I2511">
        <v>26</v>
      </c>
      <c r="J2511">
        <v>57</v>
      </c>
      <c r="K2511" s="482">
        <v>0.38600000000000001</v>
      </c>
      <c r="L2511" s="482">
        <v>0.158</v>
      </c>
      <c r="M2511" s="482">
        <v>0.45600000000000002</v>
      </c>
    </row>
    <row r="2512" spans="1:13" x14ac:dyDescent="0.2">
      <c r="A2512" t="s">
        <v>3396</v>
      </c>
      <c r="B2512" t="s">
        <v>50</v>
      </c>
      <c r="C2512" t="s">
        <v>1</v>
      </c>
      <c r="D2512" t="s">
        <v>3397</v>
      </c>
      <c r="E2512" t="s">
        <v>3398</v>
      </c>
      <c r="F2512" t="s">
        <v>179</v>
      </c>
      <c r="G2512">
        <v>17</v>
      </c>
      <c r="H2512">
        <v>4</v>
      </c>
      <c r="I2512">
        <v>10</v>
      </c>
      <c r="J2512">
        <v>31</v>
      </c>
      <c r="K2512" s="482">
        <v>0.54800000000000004</v>
      </c>
      <c r="L2512" s="482">
        <v>0.129</v>
      </c>
      <c r="M2512" s="482">
        <v>0.32300000000000001</v>
      </c>
    </row>
    <row r="2513" spans="1:13" x14ac:dyDescent="0.2">
      <c r="A2513" t="s">
        <v>3399</v>
      </c>
      <c r="B2513" t="s">
        <v>50</v>
      </c>
      <c r="C2513" t="s">
        <v>1</v>
      </c>
      <c r="D2513" t="s">
        <v>3400</v>
      </c>
      <c r="E2513" t="s">
        <v>3401</v>
      </c>
      <c r="F2513" t="s">
        <v>179</v>
      </c>
      <c r="G2513">
        <v>89</v>
      </c>
      <c r="H2513">
        <v>51</v>
      </c>
      <c r="I2513">
        <v>78</v>
      </c>
      <c r="J2513">
        <v>218</v>
      </c>
      <c r="K2513" s="482">
        <v>0.40799999999999997</v>
      </c>
      <c r="L2513" s="482">
        <v>0.23400000000000001</v>
      </c>
      <c r="M2513" s="482">
        <v>0.35799999999999998</v>
      </c>
    </row>
    <row r="2514" spans="1:13" x14ac:dyDescent="0.2">
      <c r="A2514" t="s">
        <v>3239</v>
      </c>
      <c r="B2514" t="s">
        <v>50</v>
      </c>
      <c r="C2514" t="s">
        <v>1</v>
      </c>
      <c r="D2514" t="s">
        <v>3240</v>
      </c>
      <c r="E2514" t="s">
        <v>3241</v>
      </c>
      <c r="F2514" t="s">
        <v>179</v>
      </c>
      <c r="G2514">
        <v>29</v>
      </c>
      <c r="H2514">
        <v>13</v>
      </c>
      <c r="I2514">
        <v>20</v>
      </c>
      <c r="J2514">
        <v>62</v>
      </c>
      <c r="K2514" s="482">
        <v>0.46800000000000003</v>
      </c>
      <c r="L2514" s="482">
        <v>0.21</v>
      </c>
      <c r="M2514" s="482">
        <v>0.32300000000000001</v>
      </c>
    </row>
    <row r="2515" spans="1:13" x14ac:dyDescent="0.2">
      <c r="A2515" t="s">
        <v>3242</v>
      </c>
      <c r="B2515" t="s">
        <v>50</v>
      </c>
      <c r="C2515" t="s">
        <v>1</v>
      </c>
      <c r="D2515" t="s">
        <v>3243</v>
      </c>
      <c r="E2515" t="s">
        <v>3244</v>
      </c>
      <c r="F2515" t="s">
        <v>179</v>
      </c>
      <c r="G2515">
        <v>29</v>
      </c>
      <c r="H2515">
        <v>11</v>
      </c>
      <c r="I2515">
        <v>30</v>
      </c>
      <c r="J2515">
        <v>70</v>
      </c>
      <c r="K2515" s="482">
        <v>0.41399999999999998</v>
      </c>
      <c r="L2515" s="482">
        <v>0.157</v>
      </c>
      <c r="M2515" s="482">
        <v>0.42899999999999999</v>
      </c>
    </row>
    <row r="2516" spans="1:13" x14ac:dyDescent="0.2">
      <c r="A2516" t="s">
        <v>3245</v>
      </c>
      <c r="B2516" t="s">
        <v>50</v>
      </c>
      <c r="C2516" t="s">
        <v>1</v>
      </c>
      <c r="D2516" t="s">
        <v>3246</v>
      </c>
      <c r="E2516" t="s">
        <v>3247</v>
      </c>
      <c r="F2516" t="s">
        <v>179</v>
      </c>
      <c r="G2516">
        <v>44</v>
      </c>
      <c r="H2516">
        <v>23</v>
      </c>
      <c r="I2516">
        <v>38</v>
      </c>
      <c r="J2516">
        <v>105</v>
      </c>
      <c r="K2516" s="482">
        <v>0.41899999999999998</v>
      </c>
      <c r="L2516" s="482">
        <v>0.219</v>
      </c>
      <c r="M2516" s="482">
        <v>0.36199999999999999</v>
      </c>
    </row>
    <row r="2517" spans="1:13" x14ac:dyDescent="0.2">
      <c r="A2517" t="s">
        <v>3248</v>
      </c>
      <c r="B2517" t="s">
        <v>50</v>
      </c>
      <c r="C2517" t="s">
        <v>1</v>
      </c>
      <c r="D2517" t="s">
        <v>3249</v>
      </c>
      <c r="E2517" t="s">
        <v>3250</v>
      </c>
      <c r="F2517" t="s">
        <v>179</v>
      </c>
      <c r="G2517">
        <v>4</v>
      </c>
      <c r="H2517">
        <v>4</v>
      </c>
      <c r="I2517">
        <v>4</v>
      </c>
      <c r="J2517">
        <v>12</v>
      </c>
      <c r="K2517" s="482">
        <v>0.33300000000000002</v>
      </c>
      <c r="L2517" s="482">
        <v>0.33300000000000002</v>
      </c>
      <c r="M2517" s="482">
        <v>0.33300000000000002</v>
      </c>
    </row>
    <row r="2518" spans="1:13" x14ac:dyDescent="0.2">
      <c r="A2518" t="s">
        <v>3108</v>
      </c>
      <c r="B2518" t="s">
        <v>50</v>
      </c>
      <c r="C2518" t="s">
        <v>1</v>
      </c>
      <c r="D2518" t="s">
        <v>3109</v>
      </c>
      <c r="E2518" t="s">
        <v>3110</v>
      </c>
      <c r="F2518" t="s">
        <v>179</v>
      </c>
      <c r="G2518">
        <v>83</v>
      </c>
      <c r="H2518">
        <v>48</v>
      </c>
      <c r="I2518">
        <v>87</v>
      </c>
      <c r="J2518">
        <v>218</v>
      </c>
      <c r="K2518" s="482">
        <v>0.38100000000000001</v>
      </c>
      <c r="L2518" s="482">
        <v>0.22</v>
      </c>
      <c r="M2518" s="482">
        <v>0.39900000000000002</v>
      </c>
    </row>
    <row r="2519" spans="1:13" x14ac:dyDescent="0.2">
      <c r="A2519" t="s">
        <v>3105</v>
      </c>
      <c r="B2519" t="s">
        <v>50</v>
      </c>
      <c r="C2519" t="s">
        <v>1</v>
      </c>
      <c r="D2519" t="s">
        <v>3106</v>
      </c>
      <c r="E2519" t="s">
        <v>3107</v>
      </c>
      <c r="F2519" t="s">
        <v>179</v>
      </c>
      <c r="G2519">
        <v>15</v>
      </c>
      <c r="H2519">
        <v>12</v>
      </c>
      <c r="I2519">
        <v>34</v>
      </c>
      <c r="J2519">
        <v>61</v>
      </c>
      <c r="K2519" s="482">
        <v>0.246</v>
      </c>
      <c r="L2519" s="482">
        <v>0.19700000000000001</v>
      </c>
      <c r="M2519" s="482">
        <v>0.55700000000000005</v>
      </c>
    </row>
    <row r="2520" spans="1:13" x14ac:dyDescent="0.2">
      <c r="A2520" t="s">
        <v>3792</v>
      </c>
      <c r="B2520" t="s">
        <v>50</v>
      </c>
      <c r="C2520" t="s">
        <v>1</v>
      </c>
      <c r="D2520" t="s">
        <v>3793</v>
      </c>
      <c r="E2520" t="s">
        <v>3794</v>
      </c>
      <c r="F2520" t="s">
        <v>179</v>
      </c>
      <c r="G2520">
        <v>0</v>
      </c>
      <c r="H2520" t="s">
        <v>53</v>
      </c>
      <c r="I2520" t="s">
        <v>53</v>
      </c>
      <c r="J2520" t="s">
        <v>53</v>
      </c>
      <c r="K2520" t="s">
        <v>53</v>
      </c>
      <c r="L2520" t="s">
        <v>53</v>
      </c>
      <c r="M2520" t="s">
        <v>53</v>
      </c>
    </row>
    <row r="2521" spans="1:13" x14ac:dyDescent="0.2">
      <c r="A2521" t="s">
        <v>3087</v>
      </c>
      <c r="B2521" t="s">
        <v>50</v>
      </c>
      <c r="C2521" t="s">
        <v>1</v>
      </c>
      <c r="D2521" t="s">
        <v>3088</v>
      </c>
      <c r="E2521" t="s">
        <v>3089</v>
      </c>
      <c r="F2521" t="s">
        <v>179</v>
      </c>
      <c r="G2521">
        <v>29</v>
      </c>
      <c r="H2521">
        <v>15</v>
      </c>
      <c r="I2521">
        <v>30</v>
      </c>
      <c r="J2521">
        <v>74</v>
      </c>
      <c r="K2521" s="482">
        <v>0.39200000000000002</v>
      </c>
      <c r="L2521" s="482">
        <v>0.20300000000000001</v>
      </c>
      <c r="M2521" s="482">
        <v>0.40500000000000003</v>
      </c>
    </row>
    <row r="2522" spans="1:13" x14ac:dyDescent="0.2">
      <c r="A2522" t="s">
        <v>3102</v>
      </c>
      <c r="B2522" t="s">
        <v>50</v>
      </c>
      <c r="C2522" t="s">
        <v>1</v>
      </c>
      <c r="D2522" t="s">
        <v>3103</v>
      </c>
      <c r="E2522" t="s">
        <v>3104</v>
      </c>
      <c r="F2522" t="s">
        <v>179</v>
      </c>
      <c r="G2522">
        <v>8</v>
      </c>
      <c r="H2522">
        <v>5</v>
      </c>
      <c r="I2522">
        <v>11</v>
      </c>
      <c r="J2522">
        <v>24</v>
      </c>
      <c r="K2522" s="482">
        <v>0.33300000000000002</v>
      </c>
      <c r="L2522" s="482">
        <v>0.20799999999999999</v>
      </c>
      <c r="M2522" s="482">
        <v>0.45800000000000002</v>
      </c>
    </row>
    <row r="2523" spans="1:13" x14ac:dyDescent="0.2">
      <c r="A2523" t="s">
        <v>3147</v>
      </c>
      <c r="B2523" t="s">
        <v>50</v>
      </c>
      <c r="C2523" t="s">
        <v>1</v>
      </c>
      <c r="D2523" t="s">
        <v>3148</v>
      </c>
      <c r="E2523" t="s">
        <v>3149</v>
      </c>
      <c r="F2523" t="s">
        <v>179</v>
      </c>
      <c r="G2523">
        <v>26</v>
      </c>
      <c r="H2523">
        <v>8</v>
      </c>
      <c r="I2523">
        <v>17</v>
      </c>
      <c r="J2523">
        <v>51</v>
      </c>
      <c r="K2523" s="482">
        <v>0.51</v>
      </c>
      <c r="L2523" s="482">
        <v>0.157</v>
      </c>
      <c r="M2523" s="482">
        <v>0.33300000000000002</v>
      </c>
    </row>
    <row r="2524" spans="1:13" x14ac:dyDescent="0.2">
      <c r="A2524" t="s">
        <v>3150</v>
      </c>
      <c r="B2524" t="s">
        <v>50</v>
      </c>
      <c r="C2524" t="s">
        <v>1</v>
      </c>
      <c r="D2524" t="s">
        <v>3151</v>
      </c>
      <c r="E2524" t="s">
        <v>3152</v>
      </c>
      <c r="F2524" t="s">
        <v>179</v>
      </c>
      <c r="G2524">
        <v>58</v>
      </c>
      <c r="H2524">
        <v>29</v>
      </c>
      <c r="I2524">
        <v>53</v>
      </c>
      <c r="J2524">
        <v>140</v>
      </c>
      <c r="K2524" s="482">
        <v>0.41399999999999998</v>
      </c>
      <c r="L2524" s="482">
        <v>0.20699999999999999</v>
      </c>
      <c r="M2524" s="482">
        <v>0.379</v>
      </c>
    </row>
    <row r="2525" spans="1:13" x14ac:dyDescent="0.2">
      <c r="A2525" t="s">
        <v>3117</v>
      </c>
      <c r="B2525" t="s">
        <v>50</v>
      </c>
      <c r="C2525" t="s">
        <v>1</v>
      </c>
      <c r="D2525" t="s">
        <v>3118</v>
      </c>
      <c r="E2525" t="s">
        <v>3119</v>
      </c>
      <c r="F2525" t="s">
        <v>179</v>
      </c>
      <c r="G2525">
        <v>12</v>
      </c>
      <c r="H2525">
        <v>11</v>
      </c>
      <c r="I2525">
        <v>18</v>
      </c>
      <c r="J2525">
        <v>41</v>
      </c>
      <c r="K2525" s="482">
        <v>0.29299999999999998</v>
      </c>
      <c r="L2525" s="482">
        <v>0.26800000000000002</v>
      </c>
      <c r="M2525" s="482">
        <v>0.439</v>
      </c>
    </row>
    <row r="2526" spans="1:13" x14ac:dyDescent="0.2">
      <c r="A2526" t="s">
        <v>3120</v>
      </c>
      <c r="B2526" t="s">
        <v>50</v>
      </c>
      <c r="C2526" t="s">
        <v>1</v>
      </c>
      <c r="D2526" t="s">
        <v>3121</v>
      </c>
      <c r="E2526" t="s">
        <v>3122</v>
      </c>
      <c r="F2526" t="s">
        <v>179</v>
      </c>
      <c r="G2526">
        <v>56</v>
      </c>
      <c r="H2526">
        <v>32</v>
      </c>
      <c r="I2526">
        <v>102</v>
      </c>
      <c r="J2526">
        <v>190</v>
      </c>
      <c r="K2526" s="482">
        <v>0.29499999999999998</v>
      </c>
      <c r="L2526" s="482">
        <v>0.16800000000000001</v>
      </c>
      <c r="M2526" s="482">
        <v>0.53700000000000003</v>
      </c>
    </row>
    <row r="2527" spans="1:13" x14ac:dyDescent="0.2">
      <c r="A2527" t="s">
        <v>3114</v>
      </c>
      <c r="B2527" t="s">
        <v>50</v>
      </c>
      <c r="C2527" t="s">
        <v>1</v>
      </c>
      <c r="D2527" t="s">
        <v>3115</v>
      </c>
      <c r="E2527" t="s">
        <v>3116</v>
      </c>
      <c r="F2527" t="s">
        <v>179</v>
      </c>
      <c r="G2527">
        <v>24</v>
      </c>
      <c r="H2527">
        <v>12</v>
      </c>
      <c r="I2527">
        <v>20</v>
      </c>
      <c r="J2527">
        <v>56</v>
      </c>
      <c r="K2527" s="482">
        <v>0.42899999999999999</v>
      </c>
      <c r="L2527" s="482">
        <v>0.214</v>
      </c>
      <c r="M2527" s="482">
        <v>0.35699999999999998</v>
      </c>
    </row>
    <row r="2528" spans="1:13" x14ac:dyDescent="0.2">
      <c r="A2528" t="s">
        <v>3111</v>
      </c>
      <c r="B2528" t="s">
        <v>50</v>
      </c>
      <c r="C2528" t="s">
        <v>1</v>
      </c>
      <c r="D2528" t="s">
        <v>3112</v>
      </c>
      <c r="E2528" t="s">
        <v>3113</v>
      </c>
      <c r="F2528" t="s">
        <v>179</v>
      </c>
      <c r="G2528">
        <v>19</v>
      </c>
      <c r="H2528">
        <v>17</v>
      </c>
      <c r="I2528">
        <v>25</v>
      </c>
      <c r="J2528">
        <v>61</v>
      </c>
      <c r="K2528" s="482">
        <v>0.311</v>
      </c>
      <c r="L2528" s="482">
        <v>0.27900000000000003</v>
      </c>
      <c r="M2528" s="482">
        <v>0.41</v>
      </c>
    </row>
    <row r="2529" spans="1:13" x14ac:dyDescent="0.2">
      <c r="A2529" t="s">
        <v>3747</v>
      </c>
      <c r="B2529" t="s">
        <v>50</v>
      </c>
      <c r="C2529" t="s">
        <v>1</v>
      </c>
      <c r="D2529" t="s">
        <v>3748</v>
      </c>
      <c r="E2529" t="s">
        <v>3749</v>
      </c>
      <c r="F2529" t="s">
        <v>179</v>
      </c>
      <c r="G2529">
        <v>22</v>
      </c>
      <c r="H2529">
        <v>8</v>
      </c>
      <c r="I2529">
        <v>15</v>
      </c>
      <c r="J2529">
        <v>45</v>
      </c>
      <c r="K2529" s="482">
        <v>0.48899999999999999</v>
      </c>
      <c r="L2529" s="482">
        <v>0.17799999999999999</v>
      </c>
      <c r="M2529" s="482">
        <v>0.33300000000000002</v>
      </c>
    </row>
    <row r="2530" spans="1:13" x14ac:dyDescent="0.2">
      <c r="A2530" t="s">
        <v>3677</v>
      </c>
      <c r="B2530" t="s">
        <v>50</v>
      </c>
      <c r="C2530" t="s">
        <v>1</v>
      </c>
      <c r="D2530" t="s">
        <v>3678</v>
      </c>
      <c r="E2530" t="s">
        <v>3679</v>
      </c>
      <c r="F2530" t="s">
        <v>179</v>
      </c>
      <c r="G2530">
        <v>83</v>
      </c>
      <c r="H2530">
        <v>42</v>
      </c>
      <c r="I2530">
        <v>77</v>
      </c>
      <c r="J2530">
        <v>202</v>
      </c>
      <c r="K2530" s="482">
        <v>0.41099999999999998</v>
      </c>
      <c r="L2530" s="482">
        <v>0.20799999999999999</v>
      </c>
      <c r="M2530" s="482">
        <v>0.38100000000000001</v>
      </c>
    </row>
    <row r="2531" spans="1:13" x14ac:dyDescent="0.2">
      <c r="A2531" t="s">
        <v>3680</v>
      </c>
      <c r="B2531" t="s">
        <v>50</v>
      </c>
      <c r="C2531" t="s">
        <v>1</v>
      </c>
      <c r="D2531" t="s">
        <v>3681</v>
      </c>
      <c r="E2531" t="s">
        <v>3682</v>
      </c>
      <c r="F2531" t="s">
        <v>179</v>
      </c>
      <c r="G2531">
        <v>59</v>
      </c>
      <c r="H2531">
        <v>23</v>
      </c>
      <c r="I2531">
        <v>57</v>
      </c>
      <c r="J2531">
        <v>139</v>
      </c>
      <c r="K2531" s="482">
        <v>0.42399999999999999</v>
      </c>
      <c r="L2531" s="482">
        <v>0.16500000000000001</v>
      </c>
      <c r="M2531" s="482">
        <v>0.41</v>
      </c>
    </row>
    <row r="2532" spans="1:13" x14ac:dyDescent="0.2">
      <c r="A2532" t="s">
        <v>3750</v>
      </c>
      <c r="B2532" t="s">
        <v>50</v>
      </c>
      <c r="C2532" t="s">
        <v>1</v>
      </c>
      <c r="D2532" t="s">
        <v>3751</v>
      </c>
      <c r="E2532" t="s">
        <v>3752</v>
      </c>
      <c r="F2532" t="s">
        <v>179</v>
      </c>
      <c r="G2532">
        <v>25</v>
      </c>
      <c r="H2532">
        <v>10</v>
      </c>
      <c r="I2532">
        <v>26</v>
      </c>
      <c r="J2532">
        <v>61</v>
      </c>
      <c r="K2532" s="482">
        <v>0.41</v>
      </c>
      <c r="L2532" s="482">
        <v>0.16400000000000001</v>
      </c>
      <c r="M2532" s="482">
        <v>0.42599999999999999</v>
      </c>
    </row>
    <row r="2533" spans="1:13" x14ac:dyDescent="0.2">
      <c r="A2533" t="s">
        <v>3333</v>
      </c>
      <c r="B2533" t="s">
        <v>50</v>
      </c>
      <c r="C2533" t="s">
        <v>1</v>
      </c>
      <c r="D2533" t="s">
        <v>3334</v>
      </c>
      <c r="E2533" t="s">
        <v>3335</v>
      </c>
      <c r="F2533" t="s">
        <v>179</v>
      </c>
      <c r="G2533">
        <v>9</v>
      </c>
      <c r="H2533">
        <v>6</v>
      </c>
      <c r="I2533">
        <v>7</v>
      </c>
      <c r="J2533">
        <v>22</v>
      </c>
      <c r="K2533" s="482">
        <v>0.40899999999999997</v>
      </c>
      <c r="L2533" s="482">
        <v>0.27300000000000002</v>
      </c>
      <c r="M2533" s="482">
        <v>0.318</v>
      </c>
    </row>
    <row r="2534" spans="1:13" x14ac:dyDescent="0.2">
      <c r="A2534" t="s">
        <v>3336</v>
      </c>
      <c r="B2534" t="s">
        <v>50</v>
      </c>
      <c r="C2534" t="s">
        <v>1</v>
      </c>
      <c r="D2534" t="s">
        <v>3337</v>
      </c>
      <c r="E2534" t="s">
        <v>3338</v>
      </c>
      <c r="F2534" t="s">
        <v>179</v>
      </c>
      <c r="G2534">
        <v>16</v>
      </c>
      <c r="H2534">
        <v>8</v>
      </c>
      <c r="I2534">
        <v>15</v>
      </c>
      <c r="J2534">
        <v>39</v>
      </c>
      <c r="K2534" s="482">
        <v>0.41</v>
      </c>
      <c r="L2534" s="482">
        <v>0.20499999999999999</v>
      </c>
      <c r="M2534" s="482">
        <v>0.38500000000000001</v>
      </c>
    </row>
    <row r="2535" spans="1:13" x14ac:dyDescent="0.2">
      <c r="A2535" t="s">
        <v>3345</v>
      </c>
      <c r="B2535" t="s">
        <v>50</v>
      </c>
      <c r="C2535" t="s">
        <v>1</v>
      </c>
      <c r="D2535" t="s">
        <v>3346</v>
      </c>
      <c r="E2535" t="s">
        <v>3347</v>
      </c>
      <c r="F2535" t="s">
        <v>179</v>
      </c>
      <c r="G2535">
        <v>38</v>
      </c>
      <c r="H2535">
        <v>11</v>
      </c>
      <c r="I2535">
        <v>36</v>
      </c>
      <c r="J2535">
        <v>85</v>
      </c>
      <c r="K2535" s="482">
        <v>0.44700000000000001</v>
      </c>
      <c r="L2535" s="482">
        <v>0.129</v>
      </c>
      <c r="M2535" s="482">
        <v>0.42399999999999999</v>
      </c>
    </row>
    <row r="2536" spans="1:13" x14ac:dyDescent="0.2">
      <c r="A2536" t="s">
        <v>3348</v>
      </c>
      <c r="B2536" t="s">
        <v>50</v>
      </c>
      <c r="C2536" t="s">
        <v>1</v>
      </c>
      <c r="D2536" t="s">
        <v>3349</v>
      </c>
      <c r="E2536" t="s">
        <v>3350</v>
      </c>
      <c r="F2536" t="s">
        <v>179</v>
      </c>
      <c r="G2536">
        <v>4</v>
      </c>
      <c r="H2536">
        <v>3</v>
      </c>
      <c r="I2536">
        <v>5</v>
      </c>
      <c r="J2536">
        <v>12</v>
      </c>
      <c r="K2536" s="482">
        <v>0.33300000000000002</v>
      </c>
      <c r="L2536" s="482">
        <v>0.25</v>
      </c>
      <c r="M2536" s="482">
        <v>0.41699999999999998</v>
      </c>
    </row>
    <row r="2537" spans="1:13" x14ac:dyDescent="0.2">
      <c r="A2537" t="s">
        <v>3351</v>
      </c>
      <c r="B2537" t="s">
        <v>50</v>
      </c>
      <c r="C2537" t="s">
        <v>1</v>
      </c>
      <c r="D2537" t="s">
        <v>3352</v>
      </c>
      <c r="E2537" t="s">
        <v>3353</v>
      </c>
      <c r="F2537" t="s">
        <v>179</v>
      </c>
      <c r="G2537">
        <v>13</v>
      </c>
      <c r="H2537">
        <v>8</v>
      </c>
      <c r="I2537">
        <v>18</v>
      </c>
      <c r="J2537">
        <v>39</v>
      </c>
      <c r="K2537" s="482">
        <v>0.33300000000000002</v>
      </c>
      <c r="L2537" s="482">
        <v>0.20499999999999999</v>
      </c>
      <c r="M2537" s="482">
        <v>0.46200000000000002</v>
      </c>
    </row>
    <row r="2538" spans="1:13" x14ac:dyDescent="0.2">
      <c r="A2538" t="s">
        <v>3354</v>
      </c>
      <c r="B2538" t="s">
        <v>50</v>
      </c>
      <c r="C2538" t="s">
        <v>1</v>
      </c>
      <c r="D2538" t="s">
        <v>3355</v>
      </c>
      <c r="E2538" t="s">
        <v>3356</v>
      </c>
      <c r="F2538" t="s">
        <v>179</v>
      </c>
      <c r="G2538">
        <v>14</v>
      </c>
      <c r="H2538">
        <v>9</v>
      </c>
      <c r="I2538">
        <v>18</v>
      </c>
      <c r="J2538">
        <v>41</v>
      </c>
      <c r="K2538" s="482">
        <v>0.34100000000000003</v>
      </c>
      <c r="L2538" s="482">
        <v>0.22</v>
      </c>
      <c r="M2538" s="482">
        <v>0.439</v>
      </c>
    </row>
    <row r="2539" spans="1:13" x14ac:dyDescent="0.2">
      <c r="A2539" t="s">
        <v>3357</v>
      </c>
      <c r="B2539" t="s">
        <v>50</v>
      </c>
      <c r="C2539" t="s">
        <v>1</v>
      </c>
      <c r="D2539" t="s">
        <v>3358</v>
      </c>
      <c r="E2539" t="s">
        <v>3359</v>
      </c>
      <c r="F2539" t="s">
        <v>179</v>
      </c>
      <c r="G2539">
        <v>51</v>
      </c>
      <c r="H2539">
        <v>26</v>
      </c>
      <c r="I2539">
        <v>50</v>
      </c>
      <c r="J2539">
        <v>127</v>
      </c>
      <c r="K2539" s="482">
        <v>0.40200000000000002</v>
      </c>
      <c r="L2539" s="482">
        <v>0.20499999999999999</v>
      </c>
      <c r="M2539" s="482">
        <v>0.39400000000000002</v>
      </c>
    </row>
    <row r="2540" spans="1:13" x14ac:dyDescent="0.2">
      <c r="A2540" t="s">
        <v>3375</v>
      </c>
      <c r="B2540" t="s">
        <v>50</v>
      </c>
      <c r="C2540" t="s">
        <v>1</v>
      </c>
      <c r="D2540" t="s">
        <v>3376</v>
      </c>
      <c r="E2540" t="s">
        <v>3377</v>
      </c>
      <c r="F2540" t="s">
        <v>179</v>
      </c>
      <c r="G2540">
        <v>13</v>
      </c>
      <c r="H2540">
        <v>8</v>
      </c>
      <c r="I2540">
        <v>16</v>
      </c>
      <c r="J2540">
        <v>37</v>
      </c>
      <c r="K2540" s="482">
        <v>0.35099999999999998</v>
      </c>
      <c r="L2540" s="482">
        <v>0.216</v>
      </c>
      <c r="M2540" s="482">
        <v>0.432</v>
      </c>
    </row>
    <row r="2541" spans="1:13" x14ac:dyDescent="0.2">
      <c r="A2541" t="s">
        <v>3360</v>
      </c>
      <c r="B2541" t="s">
        <v>50</v>
      </c>
      <c r="C2541" t="s">
        <v>1</v>
      </c>
      <c r="D2541" t="s">
        <v>3361</v>
      </c>
      <c r="E2541" t="s">
        <v>3362</v>
      </c>
      <c r="F2541" t="s">
        <v>179</v>
      </c>
      <c r="G2541">
        <v>30</v>
      </c>
      <c r="H2541">
        <v>17</v>
      </c>
      <c r="I2541">
        <v>25</v>
      </c>
      <c r="J2541">
        <v>72</v>
      </c>
      <c r="K2541" s="482">
        <v>0.41699999999999998</v>
      </c>
      <c r="L2541" s="482">
        <v>0.23599999999999999</v>
      </c>
      <c r="M2541" s="482">
        <v>0.34699999999999998</v>
      </c>
    </row>
    <row r="2542" spans="1:13" x14ac:dyDescent="0.2">
      <c r="A2542" t="s">
        <v>3363</v>
      </c>
      <c r="B2542" t="s">
        <v>50</v>
      </c>
      <c r="C2542" t="s">
        <v>1</v>
      </c>
      <c r="D2542" t="s">
        <v>3364</v>
      </c>
      <c r="E2542" t="s">
        <v>3365</v>
      </c>
      <c r="F2542" t="s">
        <v>179</v>
      </c>
      <c r="G2542">
        <v>3</v>
      </c>
      <c r="H2542">
        <v>5</v>
      </c>
      <c r="I2542">
        <v>8</v>
      </c>
      <c r="J2542">
        <v>16</v>
      </c>
      <c r="K2542" s="482">
        <v>0.188</v>
      </c>
      <c r="L2542" s="482">
        <v>0.313</v>
      </c>
      <c r="M2542" s="482">
        <v>0.5</v>
      </c>
    </row>
    <row r="2543" spans="1:13" x14ac:dyDescent="0.2">
      <c r="A2543" t="s">
        <v>3366</v>
      </c>
      <c r="B2543" t="s">
        <v>50</v>
      </c>
      <c r="C2543" t="s">
        <v>1</v>
      </c>
      <c r="D2543" t="s">
        <v>3367</v>
      </c>
      <c r="E2543" t="s">
        <v>3368</v>
      </c>
      <c r="F2543" t="s">
        <v>179</v>
      </c>
      <c r="G2543">
        <v>91</v>
      </c>
      <c r="H2543">
        <v>48</v>
      </c>
      <c r="I2543">
        <v>134</v>
      </c>
      <c r="J2543">
        <v>273</v>
      </c>
      <c r="K2543" s="482">
        <v>0.33300000000000002</v>
      </c>
      <c r="L2543" s="482">
        <v>0.17599999999999999</v>
      </c>
      <c r="M2543" s="482">
        <v>0.49099999999999999</v>
      </c>
    </row>
    <row r="2544" spans="1:13" x14ac:dyDescent="0.2">
      <c r="A2544" t="s">
        <v>3369</v>
      </c>
      <c r="B2544" t="s">
        <v>50</v>
      </c>
      <c r="C2544" t="s">
        <v>1</v>
      </c>
      <c r="D2544" t="s">
        <v>3370</v>
      </c>
      <c r="E2544" t="s">
        <v>3371</v>
      </c>
      <c r="F2544" t="s">
        <v>179</v>
      </c>
      <c r="G2544">
        <v>74</v>
      </c>
      <c r="H2544">
        <v>33</v>
      </c>
      <c r="I2544">
        <v>76</v>
      </c>
      <c r="J2544">
        <v>183</v>
      </c>
      <c r="K2544" s="482">
        <v>0.40400000000000003</v>
      </c>
      <c r="L2544" s="482">
        <v>0.18</v>
      </c>
      <c r="M2544" s="482">
        <v>0.41499999999999998</v>
      </c>
    </row>
    <row r="2545" spans="1:13" x14ac:dyDescent="0.2">
      <c r="A2545" t="s">
        <v>3372</v>
      </c>
      <c r="B2545" t="s">
        <v>50</v>
      </c>
      <c r="C2545" t="s">
        <v>1</v>
      </c>
      <c r="D2545" t="s">
        <v>3373</v>
      </c>
      <c r="E2545" t="s">
        <v>3374</v>
      </c>
      <c r="F2545" t="s">
        <v>179</v>
      </c>
      <c r="G2545">
        <v>72</v>
      </c>
      <c r="H2545">
        <v>35</v>
      </c>
      <c r="I2545">
        <v>76</v>
      </c>
      <c r="J2545">
        <v>183</v>
      </c>
      <c r="K2545" s="482">
        <v>0.39300000000000002</v>
      </c>
      <c r="L2545" s="482">
        <v>0.191</v>
      </c>
      <c r="M2545" s="482">
        <v>0.41499999999999998</v>
      </c>
    </row>
    <row r="2546" spans="1:13" x14ac:dyDescent="0.2">
      <c r="A2546" t="s">
        <v>3378</v>
      </c>
      <c r="B2546" t="s">
        <v>50</v>
      </c>
      <c r="C2546" t="s">
        <v>1</v>
      </c>
      <c r="D2546" t="s">
        <v>3379</v>
      </c>
      <c r="E2546" t="s">
        <v>3380</v>
      </c>
      <c r="F2546" t="s">
        <v>179</v>
      </c>
      <c r="G2546">
        <v>56</v>
      </c>
      <c r="H2546">
        <v>37</v>
      </c>
      <c r="I2546">
        <v>69</v>
      </c>
      <c r="J2546">
        <v>162</v>
      </c>
      <c r="K2546" s="482">
        <v>0.34599999999999997</v>
      </c>
      <c r="L2546" s="482">
        <v>0.22800000000000001</v>
      </c>
      <c r="M2546" s="482">
        <v>0.42599999999999999</v>
      </c>
    </row>
    <row r="2547" spans="1:13" x14ac:dyDescent="0.2">
      <c r="A2547" t="s">
        <v>3075</v>
      </c>
      <c r="B2547" t="s">
        <v>50</v>
      </c>
      <c r="C2547" t="s">
        <v>1</v>
      </c>
      <c r="D2547" t="s">
        <v>3076</v>
      </c>
      <c r="E2547" t="s">
        <v>3077</v>
      </c>
      <c r="F2547" t="s">
        <v>179</v>
      </c>
      <c r="G2547">
        <v>74</v>
      </c>
      <c r="H2547">
        <v>43</v>
      </c>
      <c r="I2547">
        <v>95</v>
      </c>
      <c r="J2547">
        <v>212</v>
      </c>
      <c r="K2547" s="482">
        <v>0.34899999999999998</v>
      </c>
      <c r="L2547" s="482">
        <v>0.20300000000000001</v>
      </c>
      <c r="M2547" s="482">
        <v>0.44800000000000001</v>
      </c>
    </row>
    <row r="2548" spans="1:13" x14ac:dyDescent="0.2">
      <c r="A2548" t="s">
        <v>3078</v>
      </c>
      <c r="B2548" t="s">
        <v>50</v>
      </c>
      <c r="C2548" t="s">
        <v>1</v>
      </c>
      <c r="D2548" t="s">
        <v>3079</v>
      </c>
      <c r="E2548" t="s">
        <v>3080</v>
      </c>
      <c r="F2548" t="s">
        <v>179</v>
      </c>
      <c r="G2548">
        <v>25</v>
      </c>
      <c r="H2548">
        <v>11</v>
      </c>
      <c r="I2548">
        <v>21</v>
      </c>
      <c r="J2548">
        <v>57</v>
      </c>
      <c r="K2548" s="482">
        <v>0.439</v>
      </c>
      <c r="L2548" s="482">
        <v>0.193</v>
      </c>
      <c r="M2548" s="482">
        <v>0.36799999999999999</v>
      </c>
    </row>
    <row r="2549" spans="1:13" x14ac:dyDescent="0.2">
      <c r="A2549" t="s">
        <v>3081</v>
      </c>
      <c r="B2549" t="s">
        <v>50</v>
      </c>
      <c r="C2549" t="s">
        <v>1</v>
      </c>
      <c r="D2549" t="s">
        <v>3082</v>
      </c>
      <c r="E2549" t="s">
        <v>3083</v>
      </c>
      <c r="F2549" t="s">
        <v>179</v>
      </c>
      <c r="G2549">
        <v>11</v>
      </c>
      <c r="H2549">
        <v>2</v>
      </c>
      <c r="I2549">
        <v>13</v>
      </c>
      <c r="J2549">
        <v>26</v>
      </c>
      <c r="K2549" s="482">
        <v>0.42299999999999999</v>
      </c>
      <c r="L2549" s="482">
        <v>7.6999999999999999E-2</v>
      </c>
      <c r="M2549" s="482">
        <v>0.5</v>
      </c>
    </row>
    <row r="2550" spans="1:13" x14ac:dyDescent="0.2">
      <c r="A2550" t="s">
        <v>3084</v>
      </c>
      <c r="B2550" t="s">
        <v>50</v>
      </c>
      <c r="C2550" t="s">
        <v>1</v>
      </c>
      <c r="D2550" t="s">
        <v>3085</v>
      </c>
      <c r="E2550" t="s">
        <v>3086</v>
      </c>
      <c r="F2550" t="s">
        <v>179</v>
      </c>
      <c r="G2550">
        <v>66</v>
      </c>
      <c r="H2550">
        <v>28</v>
      </c>
      <c r="I2550">
        <v>61</v>
      </c>
      <c r="J2550">
        <v>155</v>
      </c>
      <c r="K2550" s="482">
        <v>0.42599999999999999</v>
      </c>
      <c r="L2550" s="482">
        <v>0.18099999999999999</v>
      </c>
      <c r="M2550" s="482">
        <v>0.39400000000000002</v>
      </c>
    </row>
    <row r="2551" spans="1:13" x14ac:dyDescent="0.2">
      <c r="A2551" t="s">
        <v>3093</v>
      </c>
      <c r="B2551" t="s">
        <v>50</v>
      </c>
      <c r="C2551" t="s">
        <v>1</v>
      </c>
      <c r="D2551" t="s">
        <v>3094</v>
      </c>
      <c r="E2551" t="s">
        <v>3095</v>
      </c>
      <c r="F2551" t="s">
        <v>179</v>
      </c>
      <c r="G2551">
        <v>89</v>
      </c>
      <c r="H2551">
        <v>38</v>
      </c>
      <c r="I2551">
        <v>106</v>
      </c>
      <c r="J2551">
        <v>233</v>
      </c>
      <c r="K2551" s="482">
        <v>0.38200000000000001</v>
      </c>
      <c r="L2551" s="482">
        <v>0.16300000000000001</v>
      </c>
      <c r="M2551" s="482">
        <v>0.45500000000000002</v>
      </c>
    </row>
    <row r="2552" spans="1:13" x14ac:dyDescent="0.2">
      <c r="A2552" t="s">
        <v>3096</v>
      </c>
      <c r="B2552" t="s">
        <v>50</v>
      </c>
      <c r="C2552" t="s">
        <v>1</v>
      </c>
      <c r="D2552" t="s">
        <v>3097</v>
      </c>
      <c r="E2552" t="s">
        <v>3098</v>
      </c>
      <c r="F2552" t="s">
        <v>179</v>
      </c>
      <c r="G2552">
        <v>17</v>
      </c>
      <c r="H2552">
        <v>19</v>
      </c>
      <c r="I2552">
        <v>15</v>
      </c>
      <c r="J2552">
        <v>51</v>
      </c>
      <c r="K2552" s="482">
        <v>0.33300000000000002</v>
      </c>
      <c r="L2552" s="482">
        <v>0.373</v>
      </c>
      <c r="M2552" s="482">
        <v>0.29399999999999998</v>
      </c>
    </row>
    <row r="2553" spans="1:13" x14ac:dyDescent="0.2">
      <c r="A2553" t="s">
        <v>3090</v>
      </c>
      <c r="B2553" t="s">
        <v>50</v>
      </c>
      <c r="C2553" t="s">
        <v>1</v>
      </c>
      <c r="D2553" t="s">
        <v>3091</v>
      </c>
      <c r="E2553" t="s">
        <v>3092</v>
      </c>
      <c r="F2553" t="s">
        <v>179</v>
      </c>
      <c r="G2553">
        <v>12</v>
      </c>
      <c r="H2553">
        <v>8</v>
      </c>
      <c r="I2553">
        <v>18</v>
      </c>
      <c r="J2553">
        <v>38</v>
      </c>
      <c r="K2553" s="482">
        <v>0.316</v>
      </c>
      <c r="L2553" s="482">
        <v>0.21099999999999999</v>
      </c>
      <c r="M2553" s="482">
        <v>0.47399999999999998</v>
      </c>
    </row>
    <row r="2554" spans="1:13" x14ac:dyDescent="0.2">
      <c r="A2554" t="s">
        <v>3099</v>
      </c>
      <c r="B2554" t="s">
        <v>50</v>
      </c>
      <c r="C2554" t="s">
        <v>1</v>
      </c>
      <c r="D2554" t="s">
        <v>3100</v>
      </c>
      <c r="E2554" t="s">
        <v>3101</v>
      </c>
      <c r="F2554" t="s">
        <v>179</v>
      </c>
      <c r="G2554">
        <v>73</v>
      </c>
      <c r="H2554">
        <v>36</v>
      </c>
      <c r="I2554">
        <v>83</v>
      </c>
      <c r="J2554">
        <v>192</v>
      </c>
      <c r="K2554" s="482">
        <v>0.38</v>
      </c>
      <c r="L2554" s="482">
        <v>0.188</v>
      </c>
      <c r="M2554" s="482">
        <v>0.432</v>
      </c>
    </row>
    <row r="2555" spans="1:13" x14ac:dyDescent="0.2">
      <c r="A2555" t="s">
        <v>3741</v>
      </c>
      <c r="B2555" t="s">
        <v>50</v>
      </c>
      <c r="C2555" t="s">
        <v>1</v>
      </c>
      <c r="D2555" t="s">
        <v>3742</v>
      </c>
      <c r="E2555" t="s">
        <v>3743</v>
      </c>
      <c r="F2555" t="s">
        <v>179</v>
      </c>
      <c r="G2555">
        <v>9</v>
      </c>
      <c r="H2555">
        <v>8</v>
      </c>
      <c r="I2555">
        <v>18</v>
      </c>
      <c r="J2555">
        <v>35</v>
      </c>
      <c r="K2555" s="482">
        <v>0.25700000000000001</v>
      </c>
      <c r="L2555" s="482">
        <v>0.22900000000000001</v>
      </c>
      <c r="M2555" s="482">
        <v>0.51400000000000001</v>
      </c>
    </row>
    <row r="2556" spans="1:13" x14ac:dyDescent="0.2">
      <c r="A2556" t="s">
        <v>3381</v>
      </c>
      <c r="B2556" t="s">
        <v>50</v>
      </c>
      <c r="C2556" t="s">
        <v>1</v>
      </c>
      <c r="D2556" t="s">
        <v>3382</v>
      </c>
      <c r="E2556" t="s">
        <v>3383</v>
      </c>
      <c r="F2556" t="s">
        <v>179</v>
      </c>
      <c r="G2556">
        <v>49</v>
      </c>
      <c r="H2556">
        <v>28</v>
      </c>
      <c r="I2556">
        <v>73</v>
      </c>
      <c r="J2556">
        <v>150</v>
      </c>
      <c r="K2556" s="482">
        <v>0.32700000000000001</v>
      </c>
      <c r="L2556" s="482">
        <v>0.187</v>
      </c>
      <c r="M2556" s="482">
        <v>0.48699999999999999</v>
      </c>
    </row>
    <row r="2557" spans="1:13" x14ac:dyDescent="0.2">
      <c r="A2557" t="s">
        <v>3702</v>
      </c>
      <c r="B2557" t="s">
        <v>50</v>
      </c>
      <c r="C2557" t="s">
        <v>1</v>
      </c>
      <c r="D2557" t="s">
        <v>3703</v>
      </c>
      <c r="E2557" t="s">
        <v>3704</v>
      </c>
      <c r="F2557" t="s">
        <v>179</v>
      </c>
      <c r="G2557">
        <v>6</v>
      </c>
      <c r="H2557">
        <v>2</v>
      </c>
      <c r="I2557">
        <v>2</v>
      </c>
      <c r="J2557">
        <v>10</v>
      </c>
      <c r="K2557" s="482">
        <v>0.6</v>
      </c>
      <c r="L2557" s="482">
        <v>0.2</v>
      </c>
      <c r="M2557" s="482">
        <v>0.2</v>
      </c>
    </row>
    <row r="2558" spans="1:13" x14ac:dyDescent="0.2">
      <c r="A2558" t="s">
        <v>3753</v>
      </c>
      <c r="B2558" t="s">
        <v>50</v>
      </c>
      <c r="C2558" t="s">
        <v>1</v>
      </c>
      <c r="D2558" t="s">
        <v>3754</v>
      </c>
      <c r="E2558" t="s">
        <v>3755</v>
      </c>
      <c r="F2558" t="s">
        <v>179</v>
      </c>
      <c r="G2558">
        <v>25</v>
      </c>
      <c r="H2558">
        <v>14</v>
      </c>
      <c r="I2558">
        <v>29</v>
      </c>
      <c r="J2558">
        <v>68</v>
      </c>
      <c r="K2558" s="482">
        <v>0.36799999999999999</v>
      </c>
      <c r="L2558" s="482">
        <v>0.20599999999999999</v>
      </c>
      <c r="M2558" s="482">
        <v>0.42599999999999999</v>
      </c>
    </row>
    <row r="2559" spans="1:13" x14ac:dyDescent="0.2">
      <c r="A2559" t="s">
        <v>3738</v>
      </c>
      <c r="B2559" t="s">
        <v>50</v>
      </c>
      <c r="C2559" t="s">
        <v>1</v>
      </c>
      <c r="D2559" t="s">
        <v>3739</v>
      </c>
      <c r="E2559" t="s">
        <v>3740</v>
      </c>
      <c r="F2559" t="s">
        <v>179</v>
      </c>
      <c r="G2559">
        <v>35</v>
      </c>
      <c r="H2559">
        <v>18</v>
      </c>
      <c r="I2559">
        <v>36</v>
      </c>
      <c r="J2559">
        <v>89</v>
      </c>
      <c r="K2559" s="482">
        <v>0.39300000000000002</v>
      </c>
      <c r="L2559" s="482">
        <v>0.20200000000000001</v>
      </c>
      <c r="M2559" s="482">
        <v>0.40400000000000003</v>
      </c>
    </row>
    <row r="2560" spans="1:13" x14ac:dyDescent="0.2">
      <c r="A2560" t="s">
        <v>3315</v>
      </c>
      <c r="B2560" t="s">
        <v>50</v>
      </c>
      <c r="C2560" t="s">
        <v>1</v>
      </c>
      <c r="D2560" t="s">
        <v>3316</v>
      </c>
      <c r="E2560" t="s">
        <v>3317</v>
      </c>
      <c r="F2560" t="s">
        <v>179</v>
      </c>
      <c r="G2560">
        <v>15</v>
      </c>
      <c r="H2560">
        <v>7</v>
      </c>
      <c r="I2560">
        <v>8</v>
      </c>
      <c r="J2560">
        <v>30</v>
      </c>
      <c r="K2560" s="482">
        <v>0.5</v>
      </c>
      <c r="L2560" s="482">
        <v>0.23300000000000001</v>
      </c>
      <c r="M2560" s="482">
        <v>0.26700000000000002</v>
      </c>
    </row>
    <row r="2561" spans="1:13" x14ac:dyDescent="0.2">
      <c r="A2561" t="s">
        <v>3318</v>
      </c>
      <c r="B2561" t="s">
        <v>50</v>
      </c>
      <c r="C2561" t="s">
        <v>1</v>
      </c>
      <c r="D2561" t="s">
        <v>3319</v>
      </c>
      <c r="E2561" t="s">
        <v>3320</v>
      </c>
      <c r="F2561" t="s">
        <v>179</v>
      </c>
      <c r="G2561">
        <v>18</v>
      </c>
      <c r="H2561">
        <v>14</v>
      </c>
      <c r="I2561">
        <v>11</v>
      </c>
      <c r="J2561">
        <v>43</v>
      </c>
      <c r="K2561" s="482">
        <v>0.41899999999999998</v>
      </c>
      <c r="L2561" s="482">
        <v>0.32600000000000001</v>
      </c>
      <c r="M2561" s="482">
        <v>0.25600000000000001</v>
      </c>
    </row>
    <row r="2562" spans="1:13" x14ac:dyDescent="0.2">
      <c r="A2562" t="s">
        <v>3683</v>
      </c>
      <c r="B2562" t="s">
        <v>50</v>
      </c>
      <c r="C2562" t="s">
        <v>1</v>
      </c>
      <c r="D2562" t="s">
        <v>3684</v>
      </c>
      <c r="E2562" t="s">
        <v>3685</v>
      </c>
      <c r="F2562" t="s">
        <v>179</v>
      </c>
      <c r="G2562">
        <v>130</v>
      </c>
      <c r="H2562">
        <v>76</v>
      </c>
      <c r="I2562">
        <v>129</v>
      </c>
      <c r="J2562">
        <v>335</v>
      </c>
      <c r="K2562" s="482">
        <v>0.38800000000000001</v>
      </c>
      <c r="L2562" s="482">
        <v>0.22700000000000001</v>
      </c>
      <c r="M2562" s="482">
        <v>0.38500000000000001</v>
      </c>
    </row>
    <row r="2563" spans="1:13" x14ac:dyDescent="0.2">
      <c r="A2563" t="s">
        <v>3686</v>
      </c>
      <c r="B2563" t="s">
        <v>50</v>
      </c>
      <c r="C2563" t="s">
        <v>1</v>
      </c>
      <c r="D2563" t="s">
        <v>3687</v>
      </c>
      <c r="E2563" t="s">
        <v>3688</v>
      </c>
      <c r="F2563" t="s">
        <v>179</v>
      </c>
      <c r="G2563">
        <v>3</v>
      </c>
      <c r="H2563">
        <v>0</v>
      </c>
      <c r="I2563">
        <v>3</v>
      </c>
      <c r="J2563">
        <v>6</v>
      </c>
      <c r="K2563" s="482">
        <v>0.5</v>
      </c>
      <c r="L2563" s="482">
        <v>0</v>
      </c>
      <c r="M2563" s="482">
        <v>0.5</v>
      </c>
    </row>
    <row r="2564" spans="1:13" x14ac:dyDescent="0.2">
      <c r="A2564" t="s">
        <v>3690</v>
      </c>
      <c r="B2564" t="s">
        <v>50</v>
      </c>
      <c r="C2564" t="s">
        <v>1</v>
      </c>
      <c r="D2564" t="s">
        <v>3691</v>
      </c>
      <c r="E2564" t="s">
        <v>3692</v>
      </c>
      <c r="F2564" t="s">
        <v>179</v>
      </c>
      <c r="G2564" t="s">
        <v>53</v>
      </c>
      <c r="H2564">
        <v>0</v>
      </c>
      <c r="I2564" t="s">
        <v>53</v>
      </c>
      <c r="J2564" t="s">
        <v>53</v>
      </c>
      <c r="K2564" t="s">
        <v>53</v>
      </c>
      <c r="L2564" t="s">
        <v>53</v>
      </c>
      <c r="M2564" t="s">
        <v>53</v>
      </c>
    </row>
    <row r="2565" spans="1:13" x14ac:dyDescent="0.2">
      <c r="A2565" t="s">
        <v>3696</v>
      </c>
      <c r="B2565" t="s">
        <v>50</v>
      </c>
      <c r="C2565" t="s">
        <v>1</v>
      </c>
      <c r="D2565" t="s">
        <v>3697</v>
      </c>
      <c r="E2565" t="s">
        <v>3698</v>
      </c>
      <c r="F2565" t="s">
        <v>179</v>
      </c>
      <c r="G2565" t="s">
        <v>53</v>
      </c>
      <c r="H2565">
        <v>0</v>
      </c>
      <c r="I2565" t="s">
        <v>53</v>
      </c>
      <c r="J2565" t="s">
        <v>53</v>
      </c>
      <c r="K2565" t="s">
        <v>53</v>
      </c>
      <c r="L2565" t="s">
        <v>53</v>
      </c>
      <c r="M2565" t="s">
        <v>53</v>
      </c>
    </row>
    <row r="2566" spans="1:13" x14ac:dyDescent="0.2">
      <c r="A2566" t="s">
        <v>3699</v>
      </c>
      <c r="B2566" t="s">
        <v>50</v>
      </c>
      <c r="C2566" t="s">
        <v>1</v>
      </c>
      <c r="D2566" t="s">
        <v>3700</v>
      </c>
      <c r="E2566" t="s">
        <v>3701</v>
      </c>
      <c r="F2566" t="s">
        <v>179</v>
      </c>
      <c r="G2566">
        <v>7</v>
      </c>
      <c r="H2566">
        <v>2</v>
      </c>
      <c r="I2566">
        <v>3</v>
      </c>
      <c r="J2566">
        <v>12</v>
      </c>
      <c r="K2566" s="482">
        <v>0.58299999999999996</v>
      </c>
      <c r="L2566" s="482">
        <v>0.16700000000000001</v>
      </c>
      <c r="M2566" s="482">
        <v>0.25</v>
      </c>
    </row>
    <row r="2567" spans="1:13" x14ac:dyDescent="0.2">
      <c r="A2567" t="s">
        <v>3291</v>
      </c>
      <c r="B2567" t="s">
        <v>50</v>
      </c>
      <c r="C2567" t="s">
        <v>1</v>
      </c>
      <c r="D2567" t="s">
        <v>3292</v>
      </c>
      <c r="E2567" t="s">
        <v>3293</v>
      </c>
      <c r="F2567" t="s">
        <v>179</v>
      </c>
      <c r="G2567">
        <v>23</v>
      </c>
      <c r="H2567">
        <v>8</v>
      </c>
      <c r="I2567">
        <v>17</v>
      </c>
      <c r="J2567">
        <v>48</v>
      </c>
      <c r="K2567" s="482">
        <v>0.47899999999999998</v>
      </c>
      <c r="L2567" s="482">
        <v>0.16700000000000001</v>
      </c>
      <c r="M2567" s="482">
        <v>0.35399999999999998</v>
      </c>
    </row>
    <row r="2568" spans="1:13" x14ac:dyDescent="0.2">
      <c r="A2568" t="s">
        <v>3285</v>
      </c>
      <c r="B2568" t="s">
        <v>50</v>
      </c>
      <c r="C2568" t="s">
        <v>1</v>
      </c>
      <c r="D2568" t="s">
        <v>3286</v>
      </c>
      <c r="E2568" t="s">
        <v>3287</v>
      </c>
      <c r="F2568" t="s">
        <v>179</v>
      </c>
      <c r="G2568">
        <v>0</v>
      </c>
      <c r="H2568" t="s">
        <v>53</v>
      </c>
      <c r="I2568" t="s">
        <v>53</v>
      </c>
      <c r="J2568" t="s">
        <v>53</v>
      </c>
      <c r="K2568" t="s">
        <v>53</v>
      </c>
      <c r="L2568" t="s">
        <v>53</v>
      </c>
      <c r="M2568" t="s">
        <v>53</v>
      </c>
    </row>
    <row r="2569" spans="1:13" x14ac:dyDescent="0.2">
      <c r="A2569" t="s">
        <v>3288</v>
      </c>
      <c r="B2569" t="s">
        <v>50</v>
      </c>
      <c r="C2569" t="s">
        <v>1</v>
      </c>
      <c r="D2569" t="s">
        <v>3289</v>
      </c>
      <c r="E2569" t="s">
        <v>3290</v>
      </c>
      <c r="F2569" t="s">
        <v>179</v>
      </c>
      <c r="G2569">
        <v>5</v>
      </c>
      <c r="H2569">
        <v>3</v>
      </c>
      <c r="I2569">
        <v>4</v>
      </c>
      <c r="J2569">
        <v>12</v>
      </c>
      <c r="K2569" s="482">
        <v>0.41699999999999998</v>
      </c>
      <c r="L2569" s="482">
        <v>0.25</v>
      </c>
      <c r="M2569" s="482">
        <v>0.33300000000000002</v>
      </c>
    </row>
    <row r="2570" spans="1:13" x14ac:dyDescent="0.2">
      <c r="A2570" t="s">
        <v>3617</v>
      </c>
      <c r="B2570" t="s">
        <v>50</v>
      </c>
      <c r="C2570" t="s">
        <v>1</v>
      </c>
      <c r="D2570" t="s">
        <v>3618</v>
      </c>
      <c r="E2570" t="s">
        <v>3619</v>
      </c>
      <c r="F2570" t="s">
        <v>179</v>
      </c>
      <c r="G2570">
        <v>7</v>
      </c>
      <c r="H2570">
        <v>2</v>
      </c>
      <c r="I2570">
        <v>4</v>
      </c>
      <c r="J2570">
        <v>13</v>
      </c>
      <c r="K2570" s="482">
        <v>0.53800000000000003</v>
      </c>
      <c r="L2570" s="482">
        <v>0.154</v>
      </c>
      <c r="M2570" s="482">
        <v>0.308</v>
      </c>
    </row>
    <row r="2571" spans="1:13" x14ac:dyDescent="0.2">
      <c r="A2571" t="s">
        <v>3620</v>
      </c>
      <c r="B2571" t="s">
        <v>50</v>
      </c>
      <c r="C2571" t="s">
        <v>1</v>
      </c>
      <c r="D2571" t="s">
        <v>3621</v>
      </c>
      <c r="E2571" t="s">
        <v>3622</v>
      </c>
      <c r="F2571" t="s">
        <v>179</v>
      </c>
      <c r="G2571">
        <v>18</v>
      </c>
      <c r="H2571">
        <v>8</v>
      </c>
      <c r="I2571">
        <v>13</v>
      </c>
      <c r="J2571">
        <v>39</v>
      </c>
      <c r="K2571" s="482">
        <v>0.46200000000000002</v>
      </c>
      <c r="L2571" s="482">
        <v>0.20499999999999999</v>
      </c>
      <c r="M2571" s="482">
        <v>0.33300000000000002</v>
      </c>
    </row>
    <row r="2572" spans="1:13" x14ac:dyDescent="0.2">
      <c r="A2572" t="s">
        <v>3623</v>
      </c>
      <c r="B2572" t="s">
        <v>50</v>
      </c>
      <c r="C2572" t="s">
        <v>1</v>
      </c>
      <c r="D2572" t="s">
        <v>3624</v>
      </c>
      <c r="E2572" t="s">
        <v>3625</v>
      </c>
      <c r="F2572" t="s">
        <v>179</v>
      </c>
      <c r="G2572">
        <v>10</v>
      </c>
      <c r="H2572">
        <v>8</v>
      </c>
      <c r="I2572">
        <v>8</v>
      </c>
      <c r="J2572">
        <v>26</v>
      </c>
      <c r="K2572" s="482">
        <v>0.38500000000000001</v>
      </c>
      <c r="L2572" s="482">
        <v>0.308</v>
      </c>
      <c r="M2572" s="482">
        <v>0.308</v>
      </c>
    </row>
    <row r="2573" spans="1:13" x14ac:dyDescent="0.2">
      <c r="A2573" t="s">
        <v>3282</v>
      </c>
      <c r="B2573" t="s">
        <v>50</v>
      </c>
      <c r="C2573" t="s">
        <v>1</v>
      </c>
      <c r="D2573" t="s">
        <v>3283</v>
      </c>
      <c r="E2573" t="s">
        <v>3284</v>
      </c>
      <c r="F2573" t="s">
        <v>179</v>
      </c>
      <c r="G2573">
        <v>20</v>
      </c>
      <c r="H2573">
        <v>7</v>
      </c>
      <c r="I2573">
        <v>13</v>
      </c>
      <c r="J2573">
        <v>40</v>
      </c>
      <c r="K2573" s="482">
        <v>0.5</v>
      </c>
      <c r="L2573" s="482">
        <v>0.17499999999999999</v>
      </c>
      <c r="M2573" s="482">
        <v>0.32500000000000001</v>
      </c>
    </row>
    <row r="2574" spans="1:13" x14ac:dyDescent="0.2">
      <c r="A2574" t="s">
        <v>3294</v>
      </c>
      <c r="B2574" t="s">
        <v>50</v>
      </c>
      <c r="C2574" t="s">
        <v>1</v>
      </c>
      <c r="D2574" t="s">
        <v>3295</v>
      </c>
      <c r="E2574" t="s">
        <v>3296</v>
      </c>
      <c r="F2574" t="s">
        <v>179</v>
      </c>
      <c r="G2574">
        <v>6</v>
      </c>
      <c r="H2574">
        <v>3</v>
      </c>
      <c r="I2574">
        <v>7</v>
      </c>
      <c r="J2574">
        <v>16</v>
      </c>
      <c r="K2574" s="482">
        <v>0.375</v>
      </c>
      <c r="L2574" s="482">
        <v>0.188</v>
      </c>
      <c r="M2574" s="482">
        <v>0.438</v>
      </c>
    </row>
    <row r="2575" spans="1:13" x14ac:dyDescent="0.2">
      <c r="A2575" t="s">
        <v>3297</v>
      </c>
      <c r="B2575" t="s">
        <v>50</v>
      </c>
      <c r="C2575" t="s">
        <v>1</v>
      </c>
      <c r="D2575" t="s">
        <v>3298</v>
      </c>
      <c r="E2575" t="s">
        <v>3299</v>
      </c>
      <c r="F2575" t="s">
        <v>179</v>
      </c>
      <c r="G2575">
        <v>14</v>
      </c>
      <c r="H2575">
        <v>11</v>
      </c>
      <c r="I2575">
        <v>24</v>
      </c>
      <c r="J2575">
        <v>49</v>
      </c>
      <c r="K2575" s="482">
        <v>0.28599999999999998</v>
      </c>
      <c r="L2575" s="482">
        <v>0.224</v>
      </c>
      <c r="M2575" s="482">
        <v>0.49</v>
      </c>
    </row>
    <row r="2576" spans="1:13" x14ac:dyDescent="0.2">
      <c r="A2576" t="s">
        <v>3300</v>
      </c>
      <c r="B2576" t="s">
        <v>50</v>
      </c>
      <c r="C2576" t="s">
        <v>1</v>
      </c>
      <c r="D2576" t="s">
        <v>3301</v>
      </c>
      <c r="E2576" t="s">
        <v>3302</v>
      </c>
      <c r="F2576" t="s">
        <v>179</v>
      </c>
      <c r="G2576">
        <v>22</v>
      </c>
      <c r="H2576">
        <v>7</v>
      </c>
      <c r="I2576">
        <v>13</v>
      </c>
      <c r="J2576">
        <v>42</v>
      </c>
      <c r="K2576" s="482">
        <v>0.52400000000000002</v>
      </c>
      <c r="L2576" s="482">
        <v>0.16700000000000001</v>
      </c>
      <c r="M2576" s="482">
        <v>0.31</v>
      </c>
    </row>
    <row r="2577" spans="1:13" x14ac:dyDescent="0.2">
      <c r="A2577" t="s">
        <v>6586</v>
      </c>
      <c r="B2577" t="s">
        <v>50</v>
      </c>
      <c r="C2577" t="s">
        <v>1</v>
      </c>
      <c r="D2577" t="s">
        <v>4318</v>
      </c>
      <c r="E2577" t="s">
        <v>4319</v>
      </c>
      <c r="F2577" t="s">
        <v>179</v>
      </c>
      <c r="G2577" t="s">
        <v>53</v>
      </c>
      <c r="H2577">
        <v>0</v>
      </c>
      <c r="I2577">
        <v>0</v>
      </c>
      <c r="J2577" t="s">
        <v>53</v>
      </c>
      <c r="K2577" t="s">
        <v>53</v>
      </c>
      <c r="L2577" t="s">
        <v>53</v>
      </c>
      <c r="M2577" t="s">
        <v>53</v>
      </c>
    </row>
    <row r="2578" spans="1:13" x14ac:dyDescent="0.2">
      <c r="A2578" t="s">
        <v>3303</v>
      </c>
      <c r="B2578" t="s">
        <v>50</v>
      </c>
      <c r="C2578" t="s">
        <v>1</v>
      </c>
      <c r="D2578" t="s">
        <v>3304</v>
      </c>
      <c r="E2578" t="s">
        <v>3305</v>
      </c>
      <c r="F2578" t="s">
        <v>179</v>
      </c>
      <c r="G2578">
        <v>25</v>
      </c>
      <c r="H2578">
        <v>8</v>
      </c>
      <c r="I2578">
        <v>14</v>
      </c>
      <c r="J2578">
        <v>47</v>
      </c>
      <c r="K2578" s="482">
        <v>0.53200000000000003</v>
      </c>
      <c r="L2578" s="482">
        <v>0.17</v>
      </c>
      <c r="M2578" s="482">
        <v>0.29799999999999999</v>
      </c>
    </row>
    <row r="2579" spans="1:13" x14ac:dyDescent="0.2">
      <c r="A2579" t="s">
        <v>3306</v>
      </c>
      <c r="B2579" t="s">
        <v>50</v>
      </c>
      <c r="C2579" t="s">
        <v>1</v>
      </c>
      <c r="D2579" t="s">
        <v>3307</v>
      </c>
      <c r="E2579" t="s">
        <v>3308</v>
      </c>
      <c r="F2579" t="s">
        <v>179</v>
      </c>
      <c r="G2579">
        <v>22</v>
      </c>
      <c r="H2579">
        <v>5</v>
      </c>
      <c r="I2579">
        <v>22</v>
      </c>
      <c r="J2579">
        <v>49</v>
      </c>
      <c r="K2579" s="482">
        <v>0.44900000000000001</v>
      </c>
      <c r="L2579" s="482">
        <v>0.10199999999999999</v>
      </c>
      <c r="M2579" s="482">
        <v>0.44900000000000001</v>
      </c>
    </row>
    <row r="2580" spans="1:13" x14ac:dyDescent="0.2">
      <c r="A2580" t="s">
        <v>3309</v>
      </c>
      <c r="B2580" t="s">
        <v>50</v>
      </c>
      <c r="C2580" t="s">
        <v>1</v>
      </c>
      <c r="D2580" t="s">
        <v>3310</v>
      </c>
      <c r="E2580" t="s">
        <v>3311</v>
      </c>
      <c r="F2580" t="s">
        <v>179</v>
      </c>
      <c r="G2580">
        <v>10</v>
      </c>
      <c r="H2580">
        <v>11</v>
      </c>
      <c r="I2580">
        <v>16</v>
      </c>
      <c r="J2580">
        <v>37</v>
      </c>
      <c r="K2580" s="482">
        <v>0.27</v>
      </c>
      <c r="L2580" s="482">
        <v>0.29699999999999999</v>
      </c>
      <c r="M2580" s="482">
        <v>0.432</v>
      </c>
    </row>
    <row r="2581" spans="1:13" x14ac:dyDescent="0.2">
      <c r="A2581" t="s">
        <v>3312</v>
      </c>
      <c r="B2581" t="s">
        <v>50</v>
      </c>
      <c r="C2581" t="s">
        <v>1</v>
      </c>
      <c r="D2581" t="s">
        <v>3313</v>
      </c>
      <c r="E2581" t="s">
        <v>3314</v>
      </c>
      <c r="F2581" t="s">
        <v>179</v>
      </c>
      <c r="G2581">
        <v>8</v>
      </c>
      <c r="H2581">
        <v>3</v>
      </c>
      <c r="I2581">
        <v>4</v>
      </c>
      <c r="J2581">
        <v>15</v>
      </c>
      <c r="K2581" s="482">
        <v>0.53300000000000003</v>
      </c>
      <c r="L2581" s="482">
        <v>0.2</v>
      </c>
      <c r="M2581" s="482">
        <v>0.26700000000000002</v>
      </c>
    </row>
    <row r="2582" spans="1:13" x14ac:dyDescent="0.2">
      <c r="A2582" t="s">
        <v>3227</v>
      </c>
      <c r="B2582" t="s">
        <v>50</v>
      </c>
      <c r="C2582" t="s">
        <v>1</v>
      </c>
      <c r="D2582" t="s">
        <v>3228</v>
      </c>
      <c r="E2582" t="s">
        <v>3229</v>
      </c>
      <c r="F2582" t="s">
        <v>179</v>
      </c>
      <c r="G2582">
        <v>39</v>
      </c>
      <c r="H2582">
        <v>12</v>
      </c>
      <c r="I2582">
        <v>16</v>
      </c>
      <c r="J2582">
        <v>67</v>
      </c>
      <c r="K2582" s="482">
        <v>0.58199999999999996</v>
      </c>
      <c r="L2582" s="482">
        <v>0.17899999999999999</v>
      </c>
      <c r="M2582" s="482">
        <v>0.23899999999999999</v>
      </c>
    </row>
    <row r="2583" spans="1:13" x14ac:dyDescent="0.2">
      <c r="A2583" t="s">
        <v>3563</v>
      </c>
      <c r="B2583" t="s">
        <v>50</v>
      </c>
      <c r="C2583" t="s">
        <v>1</v>
      </c>
      <c r="D2583" t="s">
        <v>3564</v>
      </c>
      <c r="E2583" t="s">
        <v>3565</v>
      </c>
      <c r="F2583" t="s">
        <v>179</v>
      </c>
      <c r="G2583">
        <v>9</v>
      </c>
      <c r="H2583">
        <v>7</v>
      </c>
      <c r="I2583">
        <v>15</v>
      </c>
      <c r="J2583">
        <v>31</v>
      </c>
      <c r="K2583" s="482">
        <v>0.28999999999999998</v>
      </c>
      <c r="L2583" s="482">
        <v>0.22600000000000001</v>
      </c>
      <c r="M2583" s="482">
        <v>0.48399999999999999</v>
      </c>
    </row>
    <row r="2584" spans="1:13" x14ac:dyDescent="0.2">
      <c r="A2584" t="s">
        <v>3496</v>
      </c>
      <c r="B2584" t="s">
        <v>50</v>
      </c>
      <c r="C2584" t="s">
        <v>1</v>
      </c>
      <c r="D2584" t="s">
        <v>3497</v>
      </c>
      <c r="E2584" t="s">
        <v>3498</v>
      </c>
      <c r="F2584" t="s">
        <v>179</v>
      </c>
      <c r="G2584">
        <v>5</v>
      </c>
      <c r="H2584">
        <v>6</v>
      </c>
      <c r="I2584">
        <v>10</v>
      </c>
      <c r="J2584">
        <v>21</v>
      </c>
      <c r="K2584" s="482">
        <v>0.23799999999999999</v>
      </c>
      <c r="L2584" s="482">
        <v>0.28599999999999998</v>
      </c>
      <c r="M2584" s="482">
        <v>0.47599999999999998</v>
      </c>
    </row>
    <row r="2585" spans="1:13" x14ac:dyDescent="0.2">
      <c r="A2585" t="s">
        <v>3560</v>
      </c>
      <c r="B2585" t="s">
        <v>50</v>
      </c>
      <c r="C2585" t="s">
        <v>1</v>
      </c>
      <c r="D2585" t="s">
        <v>3561</v>
      </c>
      <c r="E2585" t="s">
        <v>3562</v>
      </c>
      <c r="F2585" t="s">
        <v>179</v>
      </c>
      <c r="G2585">
        <v>15</v>
      </c>
      <c r="H2585">
        <v>11</v>
      </c>
      <c r="I2585">
        <v>19</v>
      </c>
      <c r="J2585">
        <v>45</v>
      </c>
      <c r="K2585" s="482">
        <v>0.33300000000000002</v>
      </c>
      <c r="L2585" s="482">
        <v>0.24399999999999999</v>
      </c>
      <c r="M2585" s="482">
        <v>0.42199999999999999</v>
      </c>
    </row>
    <row r="2586" spans="1:13" x14ac:dyDescent="0.2">
      <c r="A2586" t="s">
        <v>3487</v>
      </c>
      <c r="B2586" t="s">
        <v>50</v>
      </c>
      <c r="C2586" t="s">
        <v>1</v>
      </c>
      <c r="D2586" t="s">
        <v>3488</v>
      </c>
      <c r="E2586" t="s">
        <v>3489</v>
      </c>
      <c r="F2586" t="s">
        <v>179</v>
      </c>
      <c r="G2586">
        <v>4</v>
      </c>
      <c r="H2586">
        <v>1</v>
      </c>
      <c r="I2586">
        <v>3</v>
      </c>
      <c r="J2586">
        <v>8</v>
      </c>
      <c r="K2586" s="482">
        <v>0.5</v>
      </c>
      <c r="L2586" s="482">
        <v>0.125</v>
      </c>
      <c r="M2586" s="482">
        <v>0.375</v>
      </c>
    </row>
    <row r="2587" spans="1:13" x14ac:dyDescent="0.2">
      <c r="A2587" t="s">
        <v>3490</v>
      </c>
      <c r="B2587" t="s">
        <v>50</v>
      </c>
      <c r="C2587" t="s">
        <v>1</v>
      </c>
      <c r="D2587" t="s">
        <v>3491</v>
      </c>
      <c r="E2587" t="s">
        <v>3492</v>
      </c>
      <c r="F2587" t="s">
        <v>179</v>
      </c>
      <c r="G2587">
        <v>8</v>
      </c>
      <c r="H2587">
        <v>4</v>
      </c>
      <c r="I2587">
        <v>9</v>
      </c>
      <c r="J2587">
        <v>21</v>
      </c>
      <c r="K2587" s="482">
        <v>0.38100000000000001</v>
      </c>
      <c r="L2587" s="482">
        <v>0.19</v>
      </c>
      <c r="M2587" s="482">
        <v>0.42899999999999999</v>
      </c>
    </row>
    <row r="2588" spans="1:13" x14ac:dyDescent="0.2">
      <c r="A2588" t="s">
        <v>3493</v>
      </c>
      <c r="B2588" t="s">
        <v>50</v>
      </c>
      <c r="C2588" t="s">
        <v>1</v>
      </c>
      <c r="D2588" t="s">
        <v>3494</v>
      </c>
      <c r="E2588" t="s">
        <v>3495</v>
      </c>
      <c r="F2588" t="s">
        <v>179</v>
      </c>
      <c r="G2588">
        <v>0</v>
      </c>
      <c r="H2588" t="s">
        <v>53</v>
      </c>
      <c r="I2588" t="s">
        <v>53</v>
      </c>
      <c r="J2588" t="s">
        <v>53</v>
      </c>
      <c r="K2588" t="s">
        <v>53</v>
      </c>
      <c r="L2588" t="s">
        <v>53</v>
      </c>
      <c r="M2588" t="s">
        <v>53</v>
      </c>
    </row>
    <row r="2589" spans="1:13" x14ac:dyDescent="0.2">
      <c r="A2589" t="s">
        <v>3840</v>
      </c>
      <c r="B2589" t="s">
        <v>50</v>
      </c>
      <c r="C2589" t="s">
        <v>1</v>
      </c>
      <c r="D2589" t="s">
        <v>3841</v>
      </c>
      <c r="E2589" t="s">
        <v>3842</v>
      </c>
      <c r="F2589" t="s">
        <v>179</v>
      </c>
      <c r="G2589">
        <v>43</v>
      </c>
      <c r="H2589">
        <v>29</v>
      </c>
      <c r="I2589">
        <v>43</v>
      </c>
      <c r="J2589">
        <v>115</v>
      </c>
      <c r="K2589" s="482">
        <v>0.374</v>
      </c>
      <c r="L2589" s="482">
        <v>0.252</v>
      </c>
      <c r="M2589" s="482">
        <v>0.374</v>
      </c>
    </row>
    <row r="2590" spans="1:13" x14ac:dyDescent="0.2">
      <c r="A2590" t="s">
        <v>3843</v>
      </c>
      <c r="B2590" t="s">
        <v>50</v>
      </c>
      <c r="C2590" t="s">
        <v>1</v>
      </c>
      <c r="D2590" t="s">
        <v>3844</v>
      </c>
      <c r="E2590" t="s">
        <v>345</v>
      </c>
      <c r="F2590" t="s">
        <v>179</v>
      </c>
      <c r="G2590">
        <v>18</v>
      </c>
      <c r="H2590">
        <v>17</v>
      </c>
      <c r="I2590">
        <v>19</v>
      </c>
      <c r="J2590">
        <v>54</v>
      </c>
      <c r="K2590" s="482">
        <v>0.33300000000000002</v>
      </c>
      <c r="L2590" s="482">
        <v>0.315</v>
      </c>
      <c r="M2590" s="482">
        <v>0.35199999999999998</v>
      </c>
    </row>
    <row r="2591" spans="1:13" x14ac:dyDescent="0.2">
      <c r="A2591" t="s">
        <v>3845</v>
      </c>
      <c r="B2591" t="s">
        <v>50</v>
      </c>
      <c r="C2591" t="s">
        <v>1</v>
      </c>
      <c r="D2591" t="s">
        <v>3846</v>
      </c>
      <c r="E2591" t="s">
        <v>3847</v>
      </c>
      <c r="F2591" t="s">
        <v>179</v>
      </c>
      <c r="G2591">
        <v>17</v>
      </c>
      <c r="H2591">
        <v>11</v>
      </c>
      <c r="I2591">
        <v>19</v>
      </c>
      <c r="J2591">
        <v>47</v>
      </c>
      <c r="K2591" s="482">
        <v>0.36199999999999999</v>
      </c>
      <c r="L2591" s="482">
        <v>0.23400000000000001</v>
      </c>
      <c r="M2591" s="482">
        <v>0.40400000000000003</v>
      </c>
    </row>
    <row r="2592" spans="1:13" x14ac:dyDescent="0.2">
      <c r="A2592" t="s">
        <v>3499</v>
      </c>
      <c r="B2592" t="s">
        <v>50</v>
      </c>
      <c r="C2592" t="s">
        <v>1</v>
      </c>
      <c r="D2592" t="s">
        <v>3500</v>
      </c>
      <c r="E2592" t="s">
        <v>3501</v>
      </c>
      <c r="F2592" t="s">
        <v>179</v>
      </c>
      <c r="G2592">
        <v>1</v>
      </c>
      <c r="H2592">
        <v>1</v>
      </c>
      <c r="I2592">
        <v>5</v>
      </c>
      <c r="J2592">
        <v>7</v>
      </c>
      <c r="K2592" s="482">
        <v>0.14299999999999999</v>
      </c>
      <c r="L2592" s="482">
        <v>0.14299999999999999</v>
      </c>
      <c r="M2592" s="482">
        <v>0.71399999999999997</v>
      </c>
    </row>
    <row r="2593" spans="1:13" x14ac:dyDescent="0.2">
      <c r="A2593" t="s">
        <v>3608</v>
      </c>
      <c r="B2593" t="s">
        <v>50</v>
      </c>
      <c r="C2593" t="s">
        <v>1</v>
      </c>
      <c r="D2593" t="s">
        <v>3609</v>
      </c>
      <c r="E2593" t="s">
        <v>3610</v>
      </c>
      <c r="F2593" t="s">
        <v>179</v>
      </c>
      <c r="G2593">
        <v>7</v>
      </c>
      <c r="H2593">
        <v>6</v>
      </c>
      <c r="I2593">
        <v>11</v>
      </c>
      <c r="J2593">
        <v>24</v>
      </c>
      <c r="K2593" s="482">
        <v>0.29199999999999998</v>
      </c>
      <c r="L2593" s="482">
        <v>0.25</v>
      </c>
      <c r="M2593" s="482">
        <v>0.45800000000000002</v>
      </c>
    </row>
    <row r="2594" spans="1:13" x14ac:dyDescent="0.2">
      <c r="A2594" t="s">
        <v>3611</v>
      </c>
      <c r="B2594" t="s">
        <v>50</v>
      </c>
      <c r="C2594" t="s">
        <v>1</v>
      </c>
      <c r="D2594" t="s">
        <v>3612</v>
      </c>
      <c r="E2594" t="s">
        <v>3613</v>
      </c>
      <c r="F2594" t="s">
        <v>179</v>
      </c>
      <c r="G2594">
        <v>32</v>
      </c>
      <c r="H2594">
        <v>26</v>
      </c>
      <c r="I2594">
        <v>36</v>
      </c>
      <c r="J2594">
        <v>94</v>
      </c>
      <c r="K2594" s="482">
        <v>0.34</v>
      </c>
      <c r="L2594" s="482">
        <v>0.27700000000000002</v>
      </c>
      <c r="M2594" s="482">
        <v>0.38300000000000001</v>
      </c>
    </row>
    <row r="2595" spans="1:13" x14ac:dyDescent="0.2">
      <c r="A2595" t="s">
        <v>3614</v>
      </c>
      <c r="B2595" t="s">
        <v>50</v>
      </c>
      <c r="C2595" t="s">
        <v>1</v>
      </c>
      <c r="D2595" t="s">
        <v>3615</v>
      </c>
      <c r="E2595" t="s">
        <v>3616</v>
      </c>
      <c r="F2595" t="s">
        <v>179</v>
      </c>
      <c r="G2595">
        <v>7</v>
      </c>
      <c r="H2595">
        <v>5</v>
      </c>
      <c r="I2595">
        <v>15</v>
      </c>
      <c r="J2595">
        <v>27</v>
      </c>
      <c r="K2595" s="482">
        <v>0.25900000000000001</v>
      </c>
      <c r="L2595" s="482">
        <v>0.185</v>
      </c>
      <c r="M2595" s="482">
        <v>0.55600000000000005</v>
      </c>
    </row>
    <row r="2596" spans="1:13" x14ac:dyDescent="0.2">
      <c r="A2596" t="s">
        <v>3837</v>
      </c>
      <c r="B2596" t="s">
        <v>50</v>
      </c>
      <c r="C2596" t="s">
        <v>1</v>
      </c>
      <c r="D2596" t="s">
        <v>3838</v>
      </c>
      <c r="E2596" t="s">
        <v>3839</v>
      </c>
      <c r="F2596" t="s">
        <v>179</v>
      </c>
      <c r="G2596">
        <v>46</v>
      </c>
      <c r="H2596">
        <v>20</v>
      </c>
      <c r="I2596">
        <v>50</v>
      </c>
      <c r="J2596">
        <v>116</v>
      </c>
      <c r="K2596" s="482">
        <v>0.39700000000000002</v>
      </c>
      <c r="L2596" s="482">
        <v>0.17199999999999999</v>
      </c>
      <c r="M2596" s="482">
        <v>0.43099999999999999</v>
      </c>
    </row>
    <row r="2597" spans="1:13" x14ac:dyDescent="0.2">
      <c r="A2597" t="s">
        <v>3962</v>
      </c>
      <c r="B2597" t="s">
        <v>50</v>
      </c>
      <c r="C2597" t="s">
        <v>1</v>
      </c>
      <c r="D2597" t="s">
        <v>3838</v>
      </c>
      <c r="E2597" t="s">
        <v>3839</v>
      </c>
      <c r="F2597" t="s">
        <v>52</v>
      </c>
      <c r="G2597">
        <v>69</v>
      </c>
      <c r="H2597">
        <v>29</v>
      </c>
      <c r="I2597">
        <v>19</v>
      </c>
      <c r="J2597">
        <v>117</v>
      </c>
      <c r="K2597" s="482">
        <v>0.59</v>
      </c>
      <c r="L2597" s="482">
        <v>0.248</v>
      </c>
      <c r="M2597" s="482">
        <v>0.16200000000000001</v>
      </c>
    </row>
    <row r="2598" spans="1:13" x14ac:dyDescent="0.2">
      <c r="A2598" t="s">
        <v>4035</v>
      </c>
      <c r="B2598" t="s">
        <v>50</v>
      </c>
      <c r="C2598" t="s">
        <v>1</v>
      </c>
      <c r="D2598" t="s">
        <v>3615</v>
      </c>
      <c r="E2598" t="s">
        <v>3616</v>
      </c>
      <c r="F2598" t="s">
        <v>52</v>
      </c>
      <c r="G2598">
        <v>10</v>
      </c>
      <c r="H2598">
        <v>11</v>
      </c>
      <c r="I2598">
        <v>10</v>
      </c>
      <c r="J2598">
        <v>31</v>
      </c>
      <c r="K2598" s="482">
        <v>0.32300000000000001</v>
      </c>
      <c r="L2598" s="482">
        <v>0.35499999999999998</v>
      </c>
      <c r="M2598" s="482">
        <v>0.32300000000000001</v>
      </c>
    </row>
    <row r="2599" spans="1:13" x14ac:dyDescent="0.2">
      <c r="A2599" t="s">
        <v>4036</v>
      </c>
      <c r="B2599" t="s">
        <v>50</v>
      </c>
      <c r="C2599" t="s">
        <v>1</v>
      </c>
      <c r="D2599" t="s">
        <v>3612</v>
      </c>
      <c r="E2599" t="s">
        <v>3613</v>
      </c>
      <c r="F2599" t="s">
        <v>52</v>
      </c>
      <c r="G2599">
        <v>39</v>
      </c>
      <c r="H2599">
        <v>33</v>
      </c>
      <c r="I2599">
        <v>23</v>
      </c>
      <c r="J2599">
        <v>95</v>
      </c>
      <c r="K2599" s="482">
        <v>0.41099999999999998</v>
      </c>
      <c r="L2599" s="482">
        <v>0.34699999999999998</v>
      </c>
      <c r="M2599" s="482">
        <v>0.24199999999999999</v>
      </c>
    </row>
    <row r="2600" spans="1:13" x14ac:dyDescent="0.2">
      <c r="A2600" t="s">
        <v>4037</v>
      </c>
      <c r="B2600" t="s">
        <v>50</v>
      </c>
      <c r="C2600" t="s">
        <v>1</v>
      </c>
      <c r="D2600" t="s">
        <v>3609</v>
      </c>
      <c r="E2600" t="s">
        <v>3610</v>
      </c>
      <c r="F2600" t="s">
        <v>52</v>
      </c>
      <c r="G2600">
        <v>15</v>
      </c>
      <c r="H2600">
        <v>6</v>
      </c>
      <c r="I2600">
        <v>1</v>
      </c>
      <c r="J2600">
        <v>22</v>
      </c>
      <c r="K2600" s="482">
        <v>0.68200000000000005</v>
      </c>
      <c r="L2600" s="482">
        <v>0.27300000000000002</v>
      </c>
      <c r="M2600" s="482">
        <v>4.4999999999999998E-2</v>
      </c>
    </row>
    <row r="2601" spans="1:13" x14ac:dyDescent="0.2">
      <c r="A2601" t="s">
        <v>4074</v>
      </c>
      <c r="B2601" t="s">
        <v>50</v>
      </c>
      <c r="C2601" t="s">
        <v>1</v>
      </c>
      <c r="D2601" t="s">
        <v>3500</v>
      </c>
      <c r="E2601" t="s">
        <v>3501</v>
      </c>
      <c r="F2601" t="s">
        <v>52</v>
      </c>
      <c r="G2601">
        <v>3</v>
      </c>
      <c r="H2601">
        <v>3</v>
      </c>
      <c r="I2601">
        <v>1</v>
      </c>
      <c r="J2601">
        <v>7</v>
      </c>
      <c r="K2601" s="482">
        <v>0.42899999999999999</v>
      </c>
      <c r="L2601" s="482">
        <v>0.42899999999999999</v>
      </c>
      <c r="M2601" s="482">
        <v>0.14299999999999999</v>
      </c>
    </row>
    <row r="2602" spans="1:13" x14ac:dyDescent="0.2">
      <c r="A2602" t="s">
        <v>3959</v>
      </c>
      <c r="B2602" t="s">
        <v>50</v>
      </c>
      <c r="C2602" t="s">
        <v>1</v>
      </c>
      <c r="D2602" t="s">
        <v>3846</v>
      </c>
      <c r="E2602" t="s">
        <v>3847</v>
      </c>
      <c r="F2602" t="s">
        <v>52</v>
      </c>
      <c r="G2602">
        <v>24</v>
      </c>
      <c r="H2602">
        <v>12</v>
      </c>
      <c r="I2602">
        <v>11</v>
      </c>
      <c r="J2602">
        <v>47</v>
      </c>
      <c r="K2602" s="482">
        <v>0.51100000000000001</v>
      </c>
      <c r="L2602" s="482">
        <v>0.255</v>
      </c>
      <c r="M2602" s="482">
        <v>0.23400000000000001</v>
      </c>
    </row>
    <row r="2603" spans="1:13" x14ac:dyDescent="0.2">
      <c r="A2603" t="s">
        <v>3960</v>
      </c>
      <c r="B2603" t="s">
        <v>50</v>
      </c>
      <c r="C2603" t="s">
        <v>1</v>
      </c>
      <c r="D2603" t="s">
        <v>3844</v>
      </c>
      <c r="E2603" t="s">
        <v>345</v>
      </c>
      <c r="F2603" t="s">
        <v>52</v>
      </c>
      <c r="G2603">
        <v>7</v>
      </c>
      <c r="H2603">
        <v>4</v>
      </c>
      <c r="I2603">
        <v>2</v>
      </c>
      <c r="J2603">
        <v>13</v>
      </c>
      <c r="K2603" s="482">
        <v>0.53800000000000003</v>
      </c>
      <c r="L2603" s="482">
        <v>0.308</v>
      </c>
      <c r="M2603" s="482">
        <v>0.154</v>
      </c>
    </row>
    <row r="2604" spans="1:13" x14ac:dyDescent="0.2">
      <c r="A2604" t="s">
        <v>3961</v>
      </c>
      <c r="B2604" t="s">
        <v>50</v>
      </c>
      <c r="C2604" t="s">
        <v>1</v>
      </c>
      <c r="D2604" t="s">
        <v>3841</v>
      </c>
      <c r="E2604" t="s">
        <v>3842</v>
      </c>
      <c r="F2604" t="s">
        <v>52</v>
      </c>
      <c r="G2604">
        <v>54</v>
      </c>
      <c r="H2604">
        <v>37</v>
      </c>
      <c r="I2604">
        <v>25</v>
      </c>
      <c r="J2604">
        <v>116</v>
      </c>
      <c r="K2604" s="482">
        <v>0.46600000000000003</v>
      </c>
      <c r="L2604" s="482">
        <v>0.31900000000000001</v>
      </c>
      <c r="M2604" s="482">
        <v>0.216</v>
      </c>
    </row>
    <row r="2605" spans="1:13" x14ac:dyDescent="0.2">
      <c r="A2605" t="s">
        <v>4076</v>
      </c>
      <c r="B2605" t="s">
        <v>50</v>
      </c>
      <c r="C2605" t="s">
        <v>1</v>
      </c>
      <c r="D2605" t="s">
        <v>3494</v>
      </c>
      <c r="E2605" t="s">
        <v>3495</v>
      </c>
      <c r="F2605" t="s">
        <v>52</v>
      </c>
      <c r="G2605">
        <v>0</v>
      </c>
      <c r="H2605" t="s">
        <v>53</v>
      </c>
      <c r="I2605">
        <v>0</v>
      </c>
      <c r="J2605" t="s">
        <v>53</v>
      </c>
      <c r="K2605" t="s">
        <v>53</v>
      </c>
      <c r="L2605" t="s">
        <v>53</v>
      </c>
      <c r="M2605" t="s">
        <v>53</v>
      </c>
    </row>
    <row r="2606" spans="1:13" x14ac:dyDescent="0.2">
      <c r="A2606" t="s">
        <v>4077</v>
      </c>
      <c r="B2606" t="s">
        <v>50</v>
      </c>
      <c r="C2606" t="s">
        <v>1</v>
      </c>
      <c r="D2606" t="s">
        <v>3491</v>
      </c>
      <c r="E2606" t="s">
        <v>3492</v>
      </c>
      <c r="F2606" t="s">
        <v>52</v>
      </c>
      <c r="G2606">
        <v>10</v>
      </c>
      <c r="H2606">
        <v>6</v>
      </c>
      <c r="I2606">
        <v>6</v>
      </c>
      <c r="J2606">
        <v>22</v>
      </c>
      <c r="K2606" s="482">
        <v>0.45500000000000002</v>
      </c>
      <c r="L2606" s="482">
        <v>0.27300000000000002</v>
      </c>
      <c r="M2606" s="482">
        <v>0.27300000000000002</v>
      </c>
    </row>
    <row r="2607" spans="1:13" x14ac:dyDescent="0.2">
      <c r="A2607" t="s">
        <v>4078</v>
      </c>
      <c r="B2607" t="s">
        <v>50</v>
      </c>
      <c r="C2607" t="s">
        <v>1</v>
      </c>
      <c r="D2607" t="s">
        <v>3488</v>
      </c>
      <c r="E2607" t="s">
        <v>3489</v>
      </c>
      <c r="F2607" t="s">
        <v>52</v>
      </c>
      <c r="G2607">
        <v>4</v>
      </c>
      <c r="H2607">
        <v>3</v>
      </c>
      <c r="I2607">
        <v>1</v>
      </c>
      <c r="J2607">
        <v>8</v>
      </c>
      <c r="K2607" s="482">
        <v>0.5</v>
      </c>
      <c r="L2607" s="482">
        <v>0.375</v>
      </c>
      <c r="M2607" s="482">
        <v>0.125</v>
      </c>
    </row>
    <row r="2608" spans="1:13" x14ac:dyDescent="0.2">
      <c r="A2608" t="s">
        <v>4053</v>
      </c>
      <c r="B2608" t="s">
        <v>50</v>
      </c>
      <c r="C2608" t="s">
        <v>1</v>
      </c>
      <c r="D2608" t="s">
        <v>3561</v>
      </c>
      <c r="E2608" t="s">
        <v>3562</v>
      </c>
      <c r="F2608" t="s">
        <v>52</v>
      </c>
      <c r="G2608">
        <v>15</v>
      </c>
      <c r="H2608">
        <v>8</v>
      </c>
      <c r="I2608">
        <v>6</v>
      </c>
      <c r="J2608">
        <v>29</v>
      </c>
      <c r="K2608" s="482">
        <v>0.51700000000000002</v>
      </c>
      <c r="L2608" s="482">
        <v>0.27600000000000002</v>
      </c>
      <c r="M2608" s="482">
        <v>0.20699999999999999</v>
      </c>
    </row>
    <row r="2609" spans="1:13" x14ac:dyDescent="0.2">
      <c r="A2609" t="s">
        <v>4075</v>
      </c>
      <c r="B2609" t="s">
        <v>50</v>
      </c>
      <c r="C2609" t="s">
        <v>1</v>
      </c>
      <c r="D2609" t="s">
        <v>3497</v>
      </c>
      <c r="E2609" t="s">
        <v>3498</v>
      </c>
      <c r="F2609" t="s">
        <v>52</v>
      </c>
      <c r="G2609">
        <v>13</v>
      </c>
      <c r="H2609">
        <v>5</v>
      </c>
      <c r="I2609">
        <v>4</v>
      </c>
      <c r="J2609">
        <v>22</v>
      </c>
      <c r="K2609" s="482">
        <v>0.59099999999999997</v>
      </c>
      <c r="L2609" s="482">
        <v>0.22700000000000001</v>
      </c>
      <c r="M2609" s="482">
        <v>0.182</v>
      </c>
    </row>
    <row r="2610" spans="1:13" x14ac:dyDescent="0.2">
      <c r="A2610" t="s">
        <v>4052</v>
      </c>
      <c r="B2610" t="s">
        <v>50</v>
      </c>
      <c r="C2610" t="s">
        <v>1</v>
      </c>
      <c r="D2610" t="s">
        <v>3564</v>
      </c>
      <c r="E2610" t="s">
        <v>3565</v>
      </c>
      <c r="F2610" t="s">
        <v>52</v>
      </c>
      <c r="G2610">
        <v>12</v>
      </c>
      <c r="H2610">
        <v>9</v>
      </c>
      <c r="I2610">
        <v>10</v>
      </c>
      <c r="J2610">
        <v>31</v>
      </c>
      <c r="K2610" s="482">
        <v>0.38700000000000001</v>
      </c>
      <c r="L2610" s="482">
        <v>0.28999999999999998</v>
      </c>
      <c r="M2610" s="482">
        <v>0.32300000000000001</v>
      </c>
    </row>
    <row r="2611" spans="1:13" x14ac:dyDescent="0.2">
      <c r="A2611" t="s">
        <v>4164</v>
      </c>
      <c r="B2611" t="s">
        <v>50</v>
      </c>
      <c r="C2611" t="s">
        <v>1</v>
      </c>
      <c r="D2611" t="s">
        <v>3228</v>
      </c>
      <c r="E2611" t="s">
        <v>3229</v>
      </c>
      <c r="F2611" t="s">
        <v>52</v>
      </c>
      <c r="G2611">
        <v>45</v>
      </c>
      <c r="H2611">
        <v>15</v>
      </c>
      <c r="I2611">
        <v>4</v>
      </c>
      <c r="J2611">
        <v>64</v>
      </c>
      <c r="K2611" s="482">
        <v>0.70299999999999996</v>
      </c>
      <c r="L2611" s="482">
        <v>0.23400000000000001</v>
      </c>
      <c r="M2611" s="482">
        <v>6.3E-2</v>
      </c>
    </row>
    <row r="2612" spans="1:13" x14ac:dyDescent="0.2">
      <c r="A2612" t="s">
        <v>4136</v>
      </c>
      <c r="B2612" t="s">
        <v>50</v>
      </c>
      <c r="C2612" t="s">
        <v>1</v>
      </c>
      <c r="D2612" t="s">
        <v>3313</v>
      </c>
      <c r="E2612" t="s">
        <v>3314</v>
      </c>
      <c r="F2612" t="s">
        <v>52</v>
      </c>
      <c r="G2612">
        <v>8</v>
      </c>
      <c r="H2612">
        <v>8</v>
      </c>
      <c r="I2612">
        <v>0</v>
      </c>
      <c r="J2612">
        <v>16</v>
      </c>
      <c r="K2612" s="482">
        <v>0.5</v>
      </c>
      <c r="L2612" s="482">
        <v>0.5</v>
      </c>
      <c r="M2612" s="482">
        <v>0</v>
      </c>
    </row>
    <row r="2613" spans="1:13" x14ac:dyDescent="0.2">
      <c r="A2613" t="s">
        <v>4137</v>
      </c>
      <c r="B2613" t="s">
        <v>50</v>
      </c>
      <c r="C2613" t="s">
        <v>1</v>
      </c>
      <c r="D2613" t="s">
        <v>3310</v>
      </c>
      <c r="E2613" t="s">
        <v>3311</v>
      </c>
      <c r="F2613" t="s">
        <v>52</v>
      </c>
      <c r="G2613">
        <v>14</v>
      </c>
      <c r="H2613">
        <v>13</v>
      </c>
      <c r="I2613">
        <v>10</v>
      </c>
      <c r="J2613">
        <v>37</v>
      </c>
      <c r="K2613" s="482">
        <v>0.378</v>
      </c>
      <c r="L2613" s="482">
        <v>0.35099999999999998</v>
      </c>
      <c r="M2613" s="482">
        <v>0.27</v>
      </c>
    </row>
    <row r="2614" spans="1:13" x14ac:dyDescent="0.2">
      <c r="A2614" t="s">
        <v>4138</v>
      </c>
      <c r="B2614" t="s">
        <v>50</v>
      </c>
      <c r="C2614" t="s">
        <v>1</v>
      </c>
      <c r="D2614" t="s">
        <v>3307</v>
      </c>
      <c r="E2614" t="s">
        <v>3308</v>
      </c>
      <c r="F2614" t="s">
        <v>52</v>
      </c>
      <c r="G2614">
        <v>21</v>
      </c>
      <c r="H2614">
        <v>19</v>
      </c>
      <c r="I2614">
        <v>9</v>
      </c>
      <c r="J2614">
        <v>49</v>
      </c>
      <c r="K2614" s="482">
        <v>0.42899999999999999</v>
      </c>
      <c r="L2614" s="482">
        <v>0.38800000000000001</v>
      </c>
      <c r="M2614" s="482">
        <v>0.184</v>
      </c>
    </row>
    <row r="2615" spans="1:13" x14ac:dyDescent="0.2">
      <c r="A2615" t="s">
        <v>4139</v>
      </c>
      <c r="B2615" t="s">
        <v>50</v>
      </c>
      <c r="C2615" t="s">
        <v>1</v>
      </c>
      <c r="D2615" t="s">
        <v>3304</v>
      </c>
      <c r="E2615" t="s">
        <v>3305</v>
      </c>
      <c r="F2615" t="s">
        <v>52</v>
      </c>
      <c r="G2615">
        <v>28</v>
      </c>
      <c r="H2615">
        <v>11</v>
      </c>
      <c r="I2615">
        <v>9</v>
      </c>
      <c r="J2615">
        <v>48</v>
      </c>
      <c r="K2615" s="482">
        <v>0.58299999999999996</v>
      </c>
      <c r="L2615" s="482">
        <v>0.22900000000000001</v>
      </c>
      <c r="M2615" s="482">
        <v>0.188</v>
      </c>
    </row>
    <row r="2616" spans="1:13" x14ac:dyDescent="0.2">
      <c r="A2616" t="s">
        <v>6587</v>
      </c>
      <c r="B2616" t="s">
        <v>50</v>
      </c>
      <c r="C2616" t="s">
        <v>1</v>
      </c>
      <c r="D2616" t="s">
        <v>4318</v>
      </c>
      <c r="E2616" t="s">
        <v>4319</v>
      </c>
      <c r="F2616" t="s">
        <v>52</v>
      </c>
      <c r="G2616" t="s">
        <v>53</v>
      </c>
      <c r="H2616">
        <v>0</v>
      </c>
      <c r="I2616">
        <v>0</v>
      </c>
      <c r="J2616" t="s">
        <v>53</v>
      </c>
      <c r="K2616" t="s">
        <v>53</v>
      </c>
      <c r="L2616" t="s">
        <v>53</v>
      </c>
      <c r="M2616" t="s">
        <v>53</v>
      </c>
    </row>
    <row r="2617" spans="1:13" x14ac:dyDescent="0.2">
      <c r="A2617" t="s">
        <v>4140</v>
      </c>
      <c r="B2617" t="s">
        <v>50</v>
      </c>
      <c r="C2617" t="s">
        <v>1</v>
      </c>
      <c r="D2617" t="s">
        <v>3301</v>
      </c>
      <c r="E2617" t="s">
        <v>3302</v>
      </c>
      <c r="F2617" t="s">
        <v>52</v>
      </c>
      <c r="G2617">
        <v>25</v>
      </c>
      <c r="H2617">
        <v>13</v>
      </c>
      <c r="I2617">
        <v>4</v>
      </c>
      <c r="J2617">
        <v>42</v>
      </c>
      <c r="K2617" s="482">
        <v>0.59499999999999997</v>
      </c>
      <c r="L2617" s="482">
        <v>0.31</v>
      </c>
      <c r="M2617" s="482">
        <v>9.5000000000000001E-2</v>
      </c>
    </row>
    <row r="2618" spans="1:13" x14ac:dyDescent="0.2">
      <c r="A2618" t="s">
        <v>4141</v>
      </c>
      <c r="B2618" t="s">
        <v>50</v>
      </c>
      <c r="C2618" t="s">
        <v>1</v>
      </c>
      <c r="D2618" t="s">
        <v>3298</v>
      </c>
      <c r="E2618" t="s">
        <v>3299</v>
      </c>
      <c r="F2618" t="s">
        <v>52</v>
      </c>
      <c r="G2618">
        <v>17</v>
      </c>
      <c r="H2618">
        <v>26</v>
      </c>
      <c r="I2618">
        <v>7</v>
      </c>
      <c r="J2618">
        <v>50</v>
      </c>
      <c r="K2618" s="482">
        <v>0.34</v>
      </c>
      <c r="L2618" s="482">
        <v>0.52</v>
      </c>
      <c r="M2618" s="482">
        <v>0.14000000000000001</v>
      </c>
    </row>
    <row r="2619" spans="1:13" x14ac:dyDescent="0.2">
      <c r="A2619" t="s">
        <v>4142</v>
      </c>
      <c r="B2619" t="s">
        <v>50</v>
      </c>
      <c r="C2619" t="s">
        <v>1</v>
      </c>
      <c r="D2619" t="s">
        <v>3295</v>
      </c>
      <c r="E2619" t="s">
        <v>3296</v>
      </c>
      <c r="F2619" t="s">
        <v>52</v>
      </c>
      <c r="G2619">
        <v>7</v>
      </c>
      <c r="H2619">
        <v>5</v>
      </c>
      <c r="I2619">
        <v>4</v>
      </c>
      <c r="J2619">
        <v>16</v>
      </c>
      <c r="K2619" s="482">
        <v>0.438</v>
      </c>
      <c r="L2619" s="482">
        <v>0.313</v>
      </c>
      <c r="M2619" s="482">
        <v>0.25</v>
      </c>
    </row>
    <row r="2620" spans="1:13" x14ac:dyDescent="0.2">
      <c r="A2620" t="s">
        <v>4146</v>
      </c>
      <c r="B2620" t="s">
        <v>50</v>
      </c>
      <c r="C2620" t="s">
        <v>1</v>
      </c>
      <c r="D2620" t="s">
        <v>3283</v>
      </c>
      <c r="E2620" t="s">
        <v>3284</v>
      </c>
      <c r="F2620" t="s">
        <v>52</v>
      </c>
      <c r="G2620">
        <v>26</v>
      </c>
      <c r="H2620">
        <v>10</v>
      </c>
      <c r="I2620">
        <v>4</v>
      </c>
      <c r="J2620">
        <v>40</v>
      </c>
      <c r="K2620" s="482">
        <v>0.65</v>
      </c>
      <c r="L2620" s="482">
        <v>0.25</v>
      </c>
      <c r="M2620" s="482">
        <v>0.1</v>
      </c>
    </row>
    <row r="2621" spans="1:13" x14ac:dyDescent="0.2">
      <c r="A2621" t="s">
        <v>4032</v>
      </c>
      <c r="B2621" t="s">
        <v>50</v>
      </c>
      <c r="C2621" t="s">
        <v>1</v>
      </c>
      <c r="D2621" t="s">
        <v>3624</v>
      </c>
      <c r="E2621" t="s">
        <v>3625</v>
      </c>
      <c r="F2621" t="s">
        <v>52</v>
      </c>
      <c r="G2621">
        <v>10</v>
      </c>
      <c r="H2621">
        <v>9</v>
      </c>
      <c r="I2621">
        <v>7</v>
      </c>
      <c r="J2621">
        <v>26</v>
      </c>
      <c r="K2621" s="482">
        <v>0.38500000000000001</v>
      </c>
      <c r="L2621" s="482">
        <v>0.34599999999999997</v>
      </c>
      <c r="M2621" s="482">
        <v>0.26900000000000002</v>
      </c>
    </row>
    <row r="2622" spans="1:13" x14ac:dyDescent="0.2">
      <c r="A2622" t="s">
        <v>4033</v>
      </c>
      <c r="B2622" t="s">
        <v>50</v>
      </c>
      <c r="C2622" t="s">
        <v>1</v>
      </c>
      <c r="D2622" t="s">
        <v>3621</v>
      </c>
      <c r="E2622" t="s">
        <v>3622</v>
      </c>
      <c r="F2622" t="s">
        <v>52</v>
      </c>
      <c r="G2622">
        <v>13</v>
      </c>
      <c r="H2622">
        <v>12</v>
      </c>
      <c r="I2622">
        <v>13</v>
      </c>
      <c r="J2622">
        <v>38</v>
      </c>
      <c r="K2622" s="482">
        <v>0.34200000000000003</v>
      </c>
      <c r="L2622" s="482">
        <v>0.316</v>
      </c>
      <c r="M2622" s="482">
        <v>0.34200000000000003</v>
      </c>
    </row>
    <row r="2623" spans="1:13" x14ac:dyDescent="0.2">
      <c r="A2623" t="s">
        <v>4034</v>
      </c>
      <c r="B2623" t="s">
        <v>50</v>
      </c>
      <c r="C2623" t="s">
        <v>1</v>
      </c>
      <c r="D2623" t="s">
        <v>3618</v>
      </c>
      <c r="E2623" t="s">
        <v>3619</v>
      </c>
      <c r="F2623" t="s">
        <v>52</v>
      </c>
      <c r="G2623">
        <v>10</v>
      </c>
      <c r="H2623">
        <v>2</v>
      </c>
      <c r="I2623">
        <v>1</v>
      </c>
      <c r="J2623">
        <v>13</v>
      </c>
      <c r="K2623" s="482">
        <v>0.76900000000000002</v>
      </c>
      <c r="L2623" s="482">
        <v>0.154</v>
      </c>
      <c r="M2623" s="482">
        <v>7.6999999999999999E-2</v>
      </c>
    </row>
    <row r="2624" spans="1:13" x14ac:dyDescent="0.2">
      <c r="A2624" t="s">
        <v>4144</v>
      </c>
      <c r="B2624" t="s">
        <v>50</v>
      </c>
      <c r="C2624" t="s">
        <v>1</v>
      </c>
      <c r="D2624" t="s">
        <v>3289</v>
      </c>
      <c r="E2624" t="s">
        <v>3290</v>
      </c>
      <c r="F2624" t="s">
        <v>52</v>
      </c>
      <c r="G2624">
        <v>7</v>
      </c>
      <c r="H2624">
        <v>3</v>
      </c>
      <c r="I2624">
        <v>1</v>
      </c>
      <c r="J2624">
        <v>11</v>
      </c>
      <c r="K2624" s="482">
        <v>0.63600000000000001</v>
      </c>
      <c r="L2624" s="482">
        <v>0.27300000000000002</v>
      </c>
      <c r="M2624" s="482">
        <v>9.0999999999999998E-2</v>
      </c>
    </row>
    <row r="2625" spans="1:13" x14ac:dyDescent="0.2">
      <c r="A2625" t="s">
        <v>4145</v>
      </c>
      <c r="B2625" t="s">
        <v>50</v>
      </c>
      <c r="C2625" t="s">
        <v>1</v>
      </c>
      <c r="D2625" t="s">
        <v>3286</v>
      </c>
      <c r="E2625" t="s">
        <v>3287</v>
      </c>
      <c r="F2625" t="s">
        <v>52</v>
      </c>
      <c r="G2625" t="s">
        <v>53</v>
      </c>
      <c r="H2625" t="s">
        <v>53</v>
      </c>
      <c r="I2625" t="s">
        <v>53</v>
      </c>
      <c r="J2625" t="s">
        <v>53</v>
      </c>
      <c r="K2625" t="s">
        <v>53</v>
      </c>
      <c r="L2625" t="s">
        <v>53</v>
      </c>
      <c r="M2625" t="s">
        <v>53</v>
      </c>
    </row>
    <row r="2626" spans="1:13" x14ac:dyDescent="0.2">
      <c r="A2626" t="s">
        <v>4143</v>
      </c>
      <c r="B2626" t="s">
        <v>50</v>
      </c>
      <c r="C2626" t="s">
        <v>1</v>
      </c>
      <c r="D2626" t="s">
        <v>3292</v>
      </c>
      <c r="E2626" t="s">
        <v>3293</v>
      </c>
      <c r="F2626" t="s">
        <v>52</v>
      </c>
      <c r="G2626">
        <v>22</v>
      </c>
      <c r="H2626">
        <v>19</v>
      </c>
      <c r="I2626">
        <v>8</v>
      </c>
      <c r="J2626">
        <v>49</v>
      </c>
      <c r="K2626" s="482">
        <v>0.44900000000000001</v>
      </c>
      <c r="L2626" s="482">
        <v>0.38800000000000001</v>
      </c>
      <c r="M2626" s="482">
        <v>0.16300000000000001</v>
      </c>
    </row>
    <row r="2627" spans="1:13" x14ac:dyDescent="0.2">
      <c r="A2627" t="s">
        <v>4008</v>
      </c>
      <c r="B2627" t="s">
        <v>50</v>
      </c>
      <c r="C2627" t="s">
        <v>1</v>
      </c>
      <c r="D2627" t="s">
        <v>3700</v>
      </c>
      <c r="E2627" t="s">
        <v>3701</v>
      </c>
      <c r="F2627" t="s">
        <v>52</v>
      </c>
      <c r="G2627">
        <v>6</v>
      </c>
      <c r="H2627">
        <v>4</v>
      </c>
      <c r="I2627">
        <v>1</v>
      </c>
      <c r="J2627">
        <v>11</v>
      </c>
      <c r="K2627" s="482">
        <v>0.54500000000000004</v>
      </c>
      <c r="L2627" s="482">
        <v>0.36399999999999999</v>
      </c>
      <c r="M2627" s="482">
        <v>9.0999999999999998E-2</v>
      </c>
    </row>
    <row r="2628" spans="1:13" x14ac:dyDescent="0.2">
      <c r="A2628" t="s">
        <v>6588</v>
      </c>
      <c r="B2628" t="s">
        <v>50</v>
      </c>
      <c r="C2628" t="s">
        <v>1</v>
      </c>
      <c r="D2628" t="s">
        <v>3697</v>
      </c>
      <c r="E2628" t="s">
        <v>3698</v>
      </c>
      <c r="F2628" t="s">
        <v>52</v>
      </c>
      <c r="G2628">
        <v>0</v>
      </c>
      <c r="H2628" t="s">
        <v>53</v>
      </c>
      <c r="I2628">
        <v>0</v>
      </c>
      <c r="J2628" t="s">
        <v>53</v>
      </c>
      <c r="K2628" t="s">
        <v>53</v>
      </c>
      <c r="L2628" t="s">
        <v>53</v>
      </c>
      <c r="M2628" t="s">
        <v>53</v>
      </c>
    </row>
    <row r="2629" spans="1:13" x14ac:dyDescent="0.2">
      <c r="A2629" t="s">
        <v>4010</v>
      </c>
      <c r="B2629" t="s">
        <v>50</v>
      </c>
      <c r="C2629" t="s">
        <v>1</v>
      </c>
      <c r="D2629" t="s">
        <v>3691</v>
      </c>
      <c r="E2629" t="s">
        <v>3692</v>
      </c>
      <c r="F2629" t="s">
        <v>52</v>
      </c>
      <c r="G2629">
        <v>3</v>
      </c>
      <c r="H2629">
        <v>2</v>
      </c>
      <c r="I2629">
        <v>1</v>
      </c>
      <c r="J2629">
        <v>6</v>
      </c>
      <c r="K2629" s="482">
        <v>0.5</v>
      </c>
      <c r="L2629" s="482">
        <v>0.33300000000000002</v>
      </c>
      <c r="M2629" s="482">
        <v>0.16700000000000001</v>
      </c>
    </row>
    <row r="2630" spans="1:13" x14ac:dyDescent="0.2">
      <c r="A2630" t="s">
        <v>4011</v>
      </c>
      <c r="B2630" t="s">
        <v>50</v>
      </c>
      <c r="C2630" t="s">
        <v>1</v>
      </c>
      <c r="D2630" t="s">
        <v>3687</v>
      </c>
      <c r="E2630" t="s">
        <v>3688</v>
      </c>
      <c r="F2630" t="s">
        <v>52</v>
      </c>
      <c r="G2630">
        <v>3</v>
      </c>
      <c r="H2630">
        <v>2</v>
      </c>
      <c r="I2630">
        <v>1</v>
      </c>
      <c r="J2630">
        <v>6</v>
      </c>
      <c r="K2630" s="482">
        <v>0.5</v>
      </c>
      <c r="L2630" s="482">
        <v>0.33300000000000002</v>
      </c>
      <c r="M2630" s="482">
        <v>0.16700000000000001</v>
      </c>
    </row>
    <row r="2631" spans="1:13" x14ac:dyDescent="0.2">
      <c r="A2631" t="s">
        <v>4012</v>
      </c>
      <c r="B2631" t="s">
        <v>50</v>
      </c>
      <c r="C2631" t="s">
        <v>1</v>
      </c>
      <c r="D2631" t="s">
        <v>3684</v>
      </c>
      <c r="E2631" t="s">
        <v>3685</v>
      </c>
      <c r="F2631" t="s">
        <v>52</v>
      </c>
      <c r="G2631">
        <v>180</v>
      </c>
      <c r="H2631">
        <v>96</v>
      </c>
      <c r="I2631">
        <v>53</v>
      </c>
      <c r="J2631">
        <v>329</v>
      </c>
      <c r="K2631" s="482">
        <v>0.54700000000000004</v>
      </c>
      <c r="L2631" s="482">
        <v>0.29199999999999998</v>
      </c>
      <c r="M2631" s="482">
        <v>0.161</v>
      </c>
    </row>
    <row r="2632" spans="1:13" x14ac:dyDescent="0.2">
      <c r="A2632" t="s">
        <v>4134</v>
      </c>
      <c r="B2632" t="s">
        <v>50</v>
      </c>
      <c r="C2632" t="s">
        <v>1</v>
      </c>
      <c r="D2632" t="s">
        <v>3319</v>
      </c>
      <c r="E2632" t="s">
        <v>3320</v>
      </c>
      <c r="F2632" t="s">
        <v>52</v>
      </c>
      <c r="G2632">
        <v>22</v>
      </c>
      <c r="H2632">
        <v>17</v>
      </c>
      <c r="I2632">
        <v>4</v>
      </c>
      <c r="J2632">
        <v>43</v>
      </c>
      <c r="K2632" s="482">
        <v>0.51200000000000001</v>
      </c>
      <c r="L2632" s="482">
        <v>0.39500000000000002</v>
      </c>
      <c r="M2632" s="482">
        <v>9.2999999999999999E-2</v>
      </c>
    </row>
    <row r="2633" spans="1:13" x14ac:dyDescent="0.2">
      <c r="A2633" t="s">
        <v>4135</v>
      </c>
      <c r="B2633" t="s">
        <v>50</v>
      </c>
      <c r="C2633" t="s">
        <v>1</v>
      </c>
      <c r="D2633" t="s">
        <v>3316</v>
      </c>
      <c r="E2633" t="s">
        <v>3317</v>
      </c>
      <c r="F2633" t="s">
        <v>52</v>
      </c>
      <c r="G2633">
        <v>16</v>
      </c>
      <c r="H2633">
        <v>12</v>
      </c>
      <c r="I2633">
        <v>2</v>
      </c>
      <c r="J2633">
        <v>30</v>
      </c>
      <c r="K2633" s="482">
        <v>0.53300000000000003</v>
      </c>
      <c r="L2633" s="482">
        <v>0.4</v>
      </c>
      <c r="M2633" s="482">
        <v>6.7000000000000004E-2</v>
      </c>
    </row>
    <row r="2634" spans="1:13" x14ac:dyDescent="0.2">
      <c r="A2634" t="s">
        <v>3995</v>
      </c>
      <c r="B2634" t="s">
        <v>50</v>
      </c>
      <c r="C2634" t="s">
        <v>1</v>
      </c>
      <c r="D2634" t="s">
        <v>3739</v>
      </c>
      <c r="E2634" t="s">
        <v>3740</v>
      </c>
      <c r="F2634" t="s">
        <v>52</v>
      </c>
      <c r="G2634">
        <v>52</v>
      </c>
      <c r="H2634">
        <v>26</v>
      </c>
      <c r="I2634">
        <v>14</v>
      </c>
      <c r="J2634">
        <v>92</v>
      </c>
      <c r="K2634" s="482">
        <v>0.56499999999999995</v>
      </c>
      <c r="L2634" s="482">
        <v>0.28299999999999997</v>
      </c>
      <c r="M2634" s="482">
        <v>0.152</v>
      </c>
    </row>
    <row r="2635" spans="1:13" x14ac:dyDescent="0.2">
      <c r="A2635" t="s">
        <v>3990</v>
      </c>
      <c r="B2635" t="s">
        <v>50</v>
      </c>
      <c r="C2635" t="s">
        <v>1</v>
      </c>
      <c r="D2635" t="s">
        <v>3754</v>
      </c>
      <c r="E2635" t="s">
        <v>3755</v>
      </c>
      <c r="F2635" t="s">
        <v>52</v>
      </c>
      <c r="G2635">
        <v>31</v>
      </c>
      <c r="H2635">
        <v>21</v>
      </c>
      <c r="I2635">
        <v>18</v>
      </c>
      <c r="J2635">
        <v>70</v>
      </c>
      <c r="K2635" s="482">
        <v>0.443</v>
      </c>
      <c r="L2635" s="482">
        <v>0.3</v>
      </c>
      <c r="M2635" s="482">
        <v>0.25700000000000001</v>
      </c>
    </row>
    <row r="2636" spans="1:13" x14ac:dyDescent="0.2">
      <c r="A2636" t="s">
        <v>4007</v>
      </c>
      <c r="B2636" t="s">
        <v>50</v>
      </c>
      <c r="C2636" t="s">
        <v>1</v>
      </c>
      <c r="D2636" t="s">
        <v>3703</v>
      </c>
      <c r="E2636" t="s">
        <v>3704</v>
      </c>
      <c r="F2636" t="s">
        <v>52</v>
      </c>
      <c r="G2636">
        <v>4</v>
      </c>
      <c r="H2636">
        <v>5</v>
      </c>
      <c r="I2636">
        <v>1</v>
      </c>
      <c r="J2636">
        <v>10</v>
      </c>
      <c r="K2636" s="482">
        <v>0.4</v>
      </c>
      <c r="L2636" s="482">
        <v>0.5</v>
      </c>
      <c r="M2636" s="482">
        <v>0.1</v>
      </c>
    </row>
    <row r="2637" spans="1:13" x14ac:dyDescent="0.2">
      <c r="A2637" t="s">
        <v>4113</v>
      </c>
      <c r="B2637" t="s">
        <v>50</v>
      </c>
      <c r="C2637" t="s">
        <v>1</v>
      </c>
      <c r="D2637" t="s">
        <v>3382</v>
      </c>
      <c r="E2637" t="s">
        <v>3383</v>
      </c>
      <c r="F2637" t="s">
        <v>52</v>
      </c>
      <c r="G2637">
        <v>76</v>
      </c>
      <c r="H2637">
        <v>45</v>
      </c>
      <c r="I2637">
        <v>25</v>
      </c>
      <c r="J2637">
        <v>146</v>
      </c>
      <c r="K2637" s="482">
        <v>0.52100000000000002</v>
      </c>
      <c r="L2637" s="482">
        <v>0.308</v>
      </c>
      <c r="M2637" s="482">
        <v>0.17100000000000001</v>
      </c>
    </row>
    <row r="2638" spans="1:13" x14ac:dyDescent="0.2">
      <c r="A2638" t="s">
        <v>3994</v>
      </c>
      <c r="B2638" t="s">
        <v>50</v>
      </c>
      <c r="C2638" t="s">
        <v>1</v>
      </c>
      <c r="D2638" t="s">
        <v>3742</v>
      </c>
      <c r="E2638" t="s">
        <v>3743</v>
      </c>
      <c r="F2638" t="s">
        <v>52</v>
      </c>
      <c r="G2638">
        <v>18</v>
      </c>
      <c r="H2638">
        <v>9</v>
      </c>
      <c r="I2638">
        <v>8</v>
      </c>
      <c r="J2638">
        <v>35</v>
      </c>
      <c r="K2638" s="482">
        <v>0.51400000000000001</v>
      </c>
      <c r="L2638" s="482">
        <v>0.25700000000000001</v>
      </c>
      <c r="M2638" s="482">
        <v>0.22900000000000001</v>
      </c>
    </row>
    <row r="2639" spans="1:13" x14ac:dyDescent="0.2">
      <c r="A2639" t="s">
        <v>4207</v>
      </c>
      <c r="B2639" t="s">
        <v>50</v>
      </c>
      <c r="C2639" t="s">
        <v>1</v>
      </c>
      <c r="D2639" t="s">
        <v>3100</v>
      </c>
      <c r="E2639" t="s">
        <v>3101</v>
      </c>
      <c r="F2639" t="s">
        <v>52</v>
      </c>
      <c r="G2639">
        <v>86</v>
      </c>
      <c r="H2639">
        <v>54</v>
      </c>
      <c r="I2639">
        <v>54</v>
      </c>
      <c r="J2639">
        <v>194</v>
      </c>
      <c r="K2639" s="482">
        <v>0.443</v>
      </c>
      <c r="L2639" s="482">
        <v>0.27800000000000002</v>
      </c>
      <c r="M2639" s="482">
        <v>0.27800000000000002</v>
      </c>
    </row>
    <row r="2640" spans="1:13" x14ac:dyDescent="0.2">
      <c r="A2640" t="s">
        <v>4210</v>
      </c>
      <c r="B2640" t="s">
        <v>50</v>
      </c>
      <c r="C2640" t="s">
        <v>1</v>
      </c>
      <c r="D2640" t="s">
        <v>3091</v>
      </c>
      <c r="E2640" t="s">
        <v>3092</v>
      </c>
      <c r="F2640" t="s">
        <v>52</v>
      </c>
      <c r="G2640">
        <v>26</v>
      </c>
      <c r="H2640">
        <v>12</v>
      </c>
      <c r="I2640">
        <v>2</v>
      </c>
      <c r="J2640">
        <v>40</v>
      </c>
      <c r="K2640" s="482">
        <v>0.65</v>
      </c>
      <c r="L2640" s="482">
        <v>0.3</v>
      </c>
      <c r="M2640" s="482">
        <v>0.05</v>
      </c>
    </row>
    <row r="2641" spans="1:13" x14ac:dyDescent="0.2">
      <c r="A2641" t="s">
        <v>4208</v>
      </c>
      <c r="B2641" t="s">
        <v>50</v>
      </c>
      <c r="C2641" t="s">
        <v>1</v>
      </c>
      <c r="D2641" t="s">
        <v>3097</v>
      </c>
      <c r="E2641" t="s">
        <v>3098</v>
      </c>
      <c r="F2641" t="s">
        <v>52</v>
      </c>
      <c r="G2641">
        <v>20</v>
      </c>
      <c r="H2641">
        <v>22</v>
      </c>
      <c r="I2641">
        <v>7</v>
      </c>
      <c r="J2641">
        <v>49</v>
      </c>
      <c r="K2641" s="482">
        <v>0.40799999999999997</v>
      </c>
      <c r="L2641" s="482">
        <v>0.44900000000000001</v>
      </c>
      <c r="M2641" s="482">
        <v>0.14299999999999999</v>
      </c>
    </row>
    <row r="2642" spans="1:13" x14ac:dyDescent="0.2">
      <c r="A2642" t="s">
        <v>4209</v>
      </c>
      <c r="B2642" t="s">
        <v>50</v>
      </c>
      <c r="C2642" t="s">
        <v>1</v>
      </c>
      <c r="D2642" t="s">
        <v>3094</v>
      </c>
      <c r="E2642" t="s">
        <v>3095</v>
      </c>
      <c r="F2642" t="s">
        <v>52</v>
      </c>
      <c r="G2642">
        <v>110</v>
      </c>
      <c r="H2642">
        <v>80</v>
      </c>
      <c r="I2642">
        <v>51</v>
      </c>
      <c r="J2642">
        <v>241</v>
      </c>
      <c r="K2642" s="482">
        <v>0.45600000000000002</v>
      </c>
      <c r="L2642" s="482">
        <v>0.33200000000000002</v>
      </c>
      <c r="M2642" s="482">
        <v>0.21199999999999999</v>
      </c>
    </row>
    <row r="2643" spans="1:13" x14ac:dyDescent="0.2">
      <c r="A2643" t="s">
        <v>4212</v>
      </c>
      <c r="B2643" t="s">
        <v>50</v>
      </c>
      <c r="C2643" t="s">
        <v>1</v>
      </c>
      <c r="D2643" t="s">
        <v>3085</v>
      </c>
      <c r="E2643" t="s">
        <v>3086</v>
      </c>
      <c r="F2643" t="s">
        <v>52</v>
      </c>
      <c r="G2643">
        <v>85</v>
      </c>
      <c r="H2643">
        <v>41</v>
      </c>
      <c r="I2643">
        <v>26</v>
      </c>
      <c r="J2643">
        <v>152</v>
      </c>
      <c r="K2643" s="482">
        <v>0.55900000000000005</v>
      </c>
      <c r="L2643" s="482">
        <v>0.27</v>
      </c>
      <c r="M2643" s="482">
        <v>0.17100000000000001</v>
      </c>
    </row>
    <row r="2644" spans="1:13" x14ac:dyDescent="0.2">
      <c r="A2644" t="s">
        <v>4213</v>
      </c>
      <c r="B2644" t="s">
        <v>50</v>
      </c>
      <c r="C2644" t="s">
        <v>1</v>
      </c>
      <c r="D2644" t="s">
        <v>3082</v>
      </c>
      <c r="E2644" t="s">
        <v>3083</v>
      </c>
      <c r="F2644" t="s">
        <v>52</v>
      </c>
      <c r="G2644">
        <v>11</v>
      </c>
      <c r="H2644">
        <v>8</v>
      </c>
      <c r="I2644">
        <v>8</v>
      </c>
      <c r="J2644">
        <v>27</v>
      </c>
      <c r="K2644" s="482">
        <v>0.40699999999999997</v>
      </c>
      <c r="L2644" s="482">
        <v>0.29599999999999999</v>
      </c>
      <c r="M2644" s="482">
        <v>0.29599999999999999</v>
      </c>
    </row>
    <row r="2645" spans="1:13" x14ac:dyDescent="0.2">
      <c r="A2645" t="s">
        <v>4214</v>
      </c>
      <c r="B2645" t="s">
        <v>50</v>
      </c>
      <c r="C2645" t="s">
        <v>1</v>
      </c>
      <c r="D2645" t="s">
        <v>3079</v>
      </c>
      <c r="E2645" t="s">
        <v>3080</v>
      </c>
      <c r="F2645" t="s">
        <v>52</v>
      </c>
      <c r="G2645">
        <v>39</v>
      </c>
      <c r="H2645">
        <v>12</v>
      </c>
      <c r="I2645">
        <v>11</v>
      </c>
      <c r="J2645">
        <v>62</v>
      </c>
      <c r="K2645" s="482">
        <v>0.629</v>
      </c>
      <c r="L2645" s="482">
        <v>0.19400000000000001</v>
      </c>
      <c r="M2645" s="482">
        <v>0.17699999999999999</v>
      </c>
    </row>
    <row r="2646" spans="1:13" x14ac:dyDescent="0.2">
      <c r="A2646" t="s">
        <v>4215</v>
      </c>
      <c r="B2646" t="s">
        <v>50</v>
      </c>
      <c r="C2646" t="s">
        <v>1</v>
      </c>
      <c r="D2646" t="s">
        <v>3076</v>
      </c>
      <c r="E2646" t="s">
        <v>3077</v>
      </c>
      <c r="F2646" t="s">
        <v>52</v>
      </c>
      <c r="G2646">
        <v>120</v>
      </c>
      <c r="H2646">
        <v>64</v>
      </c>
      <c r="I2646">
        <v>27</v>
      </c>
      <c r="J2646">
        <v>211</v>
      </c>
      <c r="K2646" s="482">
        <v>0.56899999999999995</v>
      </c>
      <c r="L2646" s="482">
        <v>0.30299999999999999</v>
      </c>
      <c r="M2646" s="482">
        <v>0.128</v>
      </c>
    </row>
    <row r="2647" spans="1:13" x14ac:dyDescent="0.2">
      <c r="A2647" t="s">
        <v>4114</v>
      </c>
      <c r="B2647" t="s">
        <v>50</v>
      </c>
      <c r="C2647" t="s">
        <v>1</v>
      </c>
      <c r="D2647" t="s">
        <v>3379</v>
      </c>
      <c r="E2647" t="s">
        <v>3380</v>
      </c>
      <c r="F2647" t="s">
        <v>52</v>
      </c>
      <c r="G2647">
        <v>81</v>
      </c>
      <c r="H2647">
        <v>50</v>
      </c>
      <c r="I2647">
        <v>33</v>
      </c>
      <c r="J2647">
        <v>164</v>
      </c>
      <c r="K2647" s="482">
        <v>0.49399999999999999</v>
      </c>
      <c r="L2647" s="482">
        <v>0.30499999999999999</v>
      </c>
      <c r="M2647" s="482">
        <v>0.20100000000000001</v>
      </c>
    </row>
    <row r="2648" spans="1:13" x14ac:dyDescent="0.2">
      <c r="A2648" t="s">
        <v>4116</v>
      </c>
      <c r="B2648" t="s">
        <v>50</v>
      </c>
      <c r="C2648" t="s">
        <v>1</v>
      </c>
      <c r="D2648" t="s">
        <v>3373</v>
      </c>
      <c r="E2648" t="s">
        <v>3374</v>
      </c>
      <c r="F2648" t="s">
        <v>52</v>
      </c>
      <c r="G2648">
        <v>86</v>
      </c>
      <c r="H2648">
        <v>70</v>
      </c>
      <c r="I2648">
        <v>28</v>
      </c>
      <c r="J2648">
        <v>184</v>
      </c>
      <c r="K2648" s="482">
        <v>0.46700000000000003</v>
      </c>
      <c r="L2648" s="482">
        <v>0.38</v>
      </c>
      <c r="M2648" s="482">
        <v>0.152</v>
      </c>
    </row>
    <row r="2649" spans="1:13" x14ac:dyDescent="0.2">
      <c r="A2649" t="s">
        <v>4117</v>
      </c>
      <c r="B2649" t="s">
        <v>50</v>
      </c>
      <c r="C2649" t="s">
        <v>1</v>
      </c>
      <c r="D2649" t="s">
        <v>3370</v>
      </c>
      <c r="E2649" t="s">
        <v>3371</v>
      </c>
      <c r="F2649" t="s">
        <v>52</v>
      </c>
      <c r="G2649">
        <v>111</v>
      </c>
      <c r="H2649">
        <v>48</v>
      </c>
      <c r="I2649">
        <v>26</v>
      </c>
      <c r="J2649">
        <v>185</v>
      </c>
      <c r="K2649" s="482">
        <v>0.6</v>
      </c>
      <c r="L2649" s="482">
        <v>0.25900000000000001</v>
      </c>
      <c r="M2649" s="482">
        <v>0.14099999999999999</v>
      </c>
    </row>
    <row r="2650" spans="1:13" x14ac:dyDescent="0.2">
      <c r="A2650" t="s">
        <v>4118</v>
      </c>
      <c r="B2650" t="s">
        <v>50</v>
      </c>
      <c r="C2650" t="s">
        <v>1</v>
      </c>
      <c r="D2650" t="s">
        <v>3367</v>
      </c>
      <c r="E2650" t="s">
        <v>3368</v>
      </c>
      <c r="F2650" t="s">
        <v>52</v>
      </c>
      <c r="G2650">
        <v>122</v>
      </c>
      <c r="H2650">
        <v>99</v>
      </c>
      <c r="I2650">
        <v>54</v>
      </c>
      <c r="J2650">
        <v>275</v>
      </c>
      <c r="K2650" s="482">
        <v>0.44400000000000001</v>
      </c>
      <c r="L2650" s="482">
        <v>0.36</v>
      </c>
      <c r="M2650" s="482">
        <v>0.19600000000000001</v>
      </c>
    </row>
    <row r="2651" spans="1:13" x14ac:dyDescent="0.2">
      <c r="A2651" t="s">
        <v>4119</v>
      </c>
      <c r="B2651" t="s">
        <v>50</v>
      </c>
      <c r="C2651" t="s">
        <v>1</v>
      </c>
      <c r="D2651" t="s">
        <v>3364</v>
      </c>
      <c r="E2651" t="s">
        <v>3365</v>
      </c>
      <c r="F2651" t="s">
        <v>52</v>
      </c>
      <c r="G2651">
        <v>7</v>
      </c>
      <c r="H2651">
        <v>5</v>
      </c>
      <c r="I2651">
        <v>3</v>
      </c>
      <c r="J2651">
        <v>15</v>
      </c>
      <c r="K2651" s="482">
        <v>0.46700000000000003</v>
      </c>
      <c r="L2651" s="482">
        <v>0.33300000000000002</v>
      </c>
      <c r="M2651" s="482">
        <v>0.2</v>
      </c>
    </row>
    <row r="2652" spans="1:13" x14ac:dyDescent="0.2">
      <c r="A2652" t="s">
        <v>4120</v>
      </c>
      <c r="B2652" t="s">
        <v>50</v>
      </c>
      <c r="C2652" t="s">
        <v>1</v>
      </c>
      <c r="D2652" t="s">
        <v>3361</v>
      </c>
      <c r="E2652" t="s">
        <v>3362</v>
      </c>
      <c r="F2652" t="s">
        <v>52</v>
      </c>
      <c r="G2652">
        <v>38</v>
      </c>
      <c r="H2652">
        <v>19</v>
      </c>
      <c r="I2652">
        <v>16</v>
      </c>
      <c r="J2652">
        <v>73</v>
      </c>
      <c r="K2652" s="482">
        <v>0.52100000000000002</v>
      </c>
      <c r="L2652" s="482">
        <v>0.26</v>
      </c>
      <c r="M2652" s="482">
        <v>0.219</v>
      </c>
    </row>
    <row r="2653" spans="1:13" x14ac:dyDescent="0.2">
      <c r="A2653" t="s">
        <v>4115</v>
      </c>
      <c r="B2653" t="s">
        <v>50</v>
      </c>
      <c r="C2653" t="s">
        <v>1</v>
      </c>
      <c r="D2653" t="s">
        <v>3376</v>
      </c>
      <c r="E2653" t="s">
        <v>3377</v>
      </c>
      <c r="F2653" t="s">
        <v>52</v>
      </c>
      <c r="G2653">
        <v>12</v>
      </c>
      <c r="H2653">
        <v>19</v>
      </c>
      <c r="I2653">
        <v>6</v>
      </c>
      <c r="J2653">
        <v>37</v>
      </c>
      <c r="K2653" s="482">
        <v>0.32400000000000001</v>
      </c>
      <c r="L2653" s="482">
        <v>0.51400000000000001</v>
      </c>
      <c r="M2653" s="482">
        <v>0.16200000000000001</v>
      </c>
    </row>
    <row r="2654" spans="1:13" x14ac:dyDescent="0.2">
      <c r="A2654" t="s">
        <v>4121</v>
      </c>
      <c r="B2654" t="s">
        <v>50</v>
      </c>
      <c r="C2654" t="s">
        <v>1</v>
      </c>
      <c r="D2654" t="s">
        <v>3358</v>
      </c>
      <c r="E2654" t="s">
        <v>3359</v>
      </c>
      <c r="F2654" t="s">
        <v>52</v>
      </c>
      <c r="G2654">
        <v>59</v>
      </c>
      <c r="H2654">
        <v>45</v>
      </c>
      <c r="I2654">
        <v>21</v>
      </c>
      <c r="J2654">
        <v>125</v>
      </c>
      <c r="K2654" s="482">
        <v>0.47199999999999998</v>
      </c>
      <c r="L2654" s="482">
        <v>0.36</v>
      </c>
      <c r="M2654" s="482">
        <v>0.16800000000000001</v>
      </c>
    </row>
    <row r="2655" spans="1:13" x14ac:dyDescent="0.2">
      <c r="A2655" t="s">
        <v>4122</v>
      </c>
      <c r="B2655" t="s">
        <v>50</v>
      </c>
      <c r="C2655" t="s">
        <v>1</v>
      </c>
      <c r="D2655" t="s">
        <v>3355</v>
      </c>
      <c r="E2655" t="s">
        <v>3356</v>
      </c>
      <c r="F2655" t="s">
        <v>52</v>
      </c>
      <c r="G2655">
        <v>14</v>
      </c>
      <c r="H2655">
        <v>12</v>
      </c>
      <c r="I2655">
        <v>12</v>
      </c>
      <c r="J2655">
        <v>38</v>
      </c>
      <c r="K2655" s="482">
        <v>0.36799999999999999</v>
      </c>
      <c r="L2655" s="482">
        <v>0.316</v>
      </c>
      <c r="M2655" s="482">
        <v>0.316</v>
      </c>
    </row>
    <row r="2656" spans="1:13" x14ac:dyDescent="0.2">
      <c r="A2656" t="s">
        <v>4123</v>
      </c>
      <c r="B2656" t="s">
        <v>50</v>
      </c>
      <c r="C2656" t="s">
        <v>1</v>
      </c>
      <c r="D2656" t="s">
        <v>3352</v>
      </c>
      <c r="E2656" t="s">
        <v>3353</v>
      </c>
      <c r="F2656" t="s">
        <v>52</v>
      </c>
      <c r="G2656">
        <v>20</v>
      </c>
      <c r="H2656">
        <v>13</v>
      </c>
      <c r="I2656">
        <v>8</v>
      </c>
      <c r="J2656">
        <v>41</v>
      </c>
      <c r="K2656" s="482">
        <v>0.48799999999999999</v>
      </c>
      <c r="L2656" s="482">
        <v>0.317</v>
      </c>
      <c r="M2656" s="482">
        <v>0.19500000000000001</v>
      </c>
    </row>
    <row r="2657" spans="1:13" x14ac:dyDescent="0.2">
      <c r="A2657" t="s">
        <v>4124</v>
      </c>
      <c r="B2657" t="s">
        <v>50</v>
      </c>
      <c r="C2657" t="s">
        <v>1</v>
      </c>
      <c r="D2657" t="s">
        <v>3349</v>
      </c>
      <c r="E2657" t="s">
        <v>3350</v>
      </c>
      <c r="F2657" t="s">
        <v>52</v>
      </c>
      <c r="G2657">
        <v>4</v>
      </c>
      <c r="H2657">
        <v>4</v>
      </c>
      <c r="I2657">
        <v>4</v>
      </c>
      <c r="J2657">
        <v>12</v>
      </c>
      <c r="K2657" s="482">
        <v>0.33300000000000002</v>
      </c>
      <c r="L2657" s="482">
        <v>0.33300000000000002</v>
      </c>
      <c r="M2657" s="482">
        <v>0.33300000000000002</v>
      </c>
    </row>
    <row r="2658" spans="1:13" x14ac:dyDescent="0.2">
      <c r="A2658" t="s">
        <v>4125</v>
      </c>
      <c r="B2658" t="s">
        <v>50</v>
      </c>
      <c r="C2658" t="s">
        <v>1</v>
      </c>
      <c r="D2658" t="s">
        <v>3346</v>
      </c>
      <c r="E2658" t="s">
        <v>3347</v>
      </c>
      <c r="F2658" t="s">
        <v>52</v>
      </c>
      <c r="G2658">
        <v>46</v>
      </c>
      <c r="H2658">
        <v>26</v>
      </c>
      <c r="I2658">
        <v>14</v>
      </c>
      <c r="J2658">
        <v>86</v>
      </c>
      <c r="K2658" s="482">
        <v>0.53500000000000003</v>
      </c>
      <c r="L2658" s="482">
        <v>0.30199999999999999</v>
      </c>
      <c r="M2658" s="482">
        <v>0.16300000000000001</v>
      </c>
    </row>
    <row r="2659" spans="1:13" x14ac:dyDescent="0.2">
      <c r="A2659" t="s">
        <v>4127</v>
      </c>
      <c r="B2659" t="s">
        <v>50</v>
      </c>
      <c r="C2659" t="s">
        <v>1</v>
      </c>
      <c r="D2659" t="s">
        <v>3337</v>
      </c>
      <c r="E2659" t="s">
        <v>3338</v>
      </c>
      <c r="F2659" t="s">
        <v>52</v>
      </c>
      <c r="G2659">
        <v>23</v>
      </c>
      <c r="H2659">
        <v>13</v>
      </c>
      <c r="I2659">
        <v>5</v>
      </c>
      <c r="J2659">
        <v>41</v>
      </c>
      <c r="K2659" s="482">
        <v>0.56100000000000005</v>
      </c>
      <c r="L2659" s="482">
        <v>0.317</v>
      </c>
      <c r="M2659" s="482">
        <v>0.122</v>
      </c>
    </row>
    <row r="2660" spans="1:13" x14ac:dyDescent="0.2">
      <c r="A2660" t="s">
        <v>4129</v>
      </c>
      <c r="B2660" t="s">
        <v>50</v>
      </c>
      <c r="C2660" t="s">
        <v>1</v>
      </c>
      <c r="D2660" t="s">
        <v>3334</v>
      </c>
      <c r="E2660" t="s">
        <v>3335</v>
      </c>
      <c r="F2660" t="s">
        <v>52</v>
      </c>
      <c r="G2660">
        <v>15</v>
      </c>
      <c r="H2660">
        <v>5</v>
      </c>
      <c r="I2660">
        <v>4</v>
      </c>
      <c r="J2660">
        <v>24</v>
      </c>
      <c r="K2660" s="482">
        <v>0.625</v>
      </c>
      <c r="L2660" s="482">
        <v>0.20799999999999999</v>
      </c>
      <c r="M2660" s="482">
        <v>0.16700000000000001</v>
      </c>
    </row>
    <row r="2661" spans="1:13" x14ac:dyDescent="0.2">
      <c r="A2661" t="s">
        <v>3991</v>
      </c>
      <c r="B2661" t="s">
        <v>50</v>
      </c>
      <c r="C2661" t="s">
        <v>1</v>
      </c>
      <c r="D2661" t="s">
        <v>3751</v>
      </c>
      <c r="E2661" t="s">
        <v>3752</v>
      </c>
      <c r="F2661" t="s">
        <v>52</v>
      </c>
      <c r="G2661">
        <v>24</v>
      </c>
      <c r="H2661">
        <v>23</v>
      </c>
      <c r="I2661">
        <v>13</v>
      </c>
      <c r="J2661">
        <v>60</v>
      </c>
      <c r="K2661" s="482">
        <v>0.4</v>
      </c>
      <c r="L2661" s="482">
        <v>0.38300000000000001</v>
      </c>
      <c r="M2661" s="482">
        <v>0.217</v>
      </c>
    </row>
    <row r="2662" spans="1:13" x14ac:dyDescent="0.2">
      <c r="A2662" t="s">
        <v>4013</v>
      </c>
      <c r="B2662" t="s">
        <v>50</v>
      </c>
      <c r="C2662" t="s">
        <v>1</v>
      </c>
      <c r="D2662" t="s">
        <v>3681</v>
      </c>
      <c r="E2662" t="s">
        <v>3682</v>
      </c>
      <c r="F2662" t="s">
        <v>52</v>
      </c>
      <c r="G2662">
        <v>97</v>
      </c>
      <c r="H2662">
        <v>33</v>
      </c>
      <c r="I2662">
        <v>14</v>
      </c>
      <c r="J2662">
        <v>144</v>
      </c>
      <c r="K2662" s="482">
        <v>0.67400000000000004</v>
      </c>
      <c r="L2662" s="482">
        <v>0.22900000000000001</v>
      </c>
      <c r="M2662" s="482">
        <v>9.7000000000000003E-2</v>
      </c>
    </row>
    <row r="2663" spans="1:13" x14ac:dyDescent="0.2">
      <c r="A2663" t="s">
        <v>4014</v>
      </c>
      <c r="B2663" t="s">
        <v>50</v>
      </c>
      <c r="C2663" t="s">
        <v>1</v>
      </c>
      <c r="D2663" t="s">
        <v>3678</v>
      </c>
      <c r="E2663" t="s">
        <v>3679</v>
      </c>
      <c r="F2663" t="s">
        <v>52</v>
      </c>
      <c r="G2663">
        <v>118</v>
      </c>
      <c r="H2663">
        <v>50</v>
      </c>
      <c r="I2663">
        <v>27</v>
      </c>
      <c r="J2663">
        <v>195</v>
      </c>
      <c r="K2663" s="482">
        <v>0.60499999999999998</v>
      </c>
      <c r="L2663" s="482">
        <v>0.25600000000000001</v>
      </c>
      <c r="M2663" s="482">
        <v>0.13800000000000001</v>
      </c>
    </row>
    <row r="2664" spans="1:13" x14ac:dyDescent="0.2">
      <c r="A2664" t="s">
        <v>3992</v>
      </c>
      <c r="B2664" t="s">
        <v>50</v>
      </c>
      <c r="C2664" t="s">
        <v>1</v>
      </c>
      <c r="D2664" t="s">
        <v>3748</v>
      </c>
      <c r="E2664" t="s">
        <v>3749</v>
      </c>
      <c r="F2664" t="s">
        <v>52</v>
      </c>
      <c r="G2664">
        <v>19</v>
      </c>
      <c r="H2664">
        <v>18</v>
      </c>
      <c r="I2664">
        <v>9</v>
      </c>
      <c r="J2664">
        <v>46</v>
      </c>
      <c r="K2664" s="482">
        <v>0.41299999999999998</v>
      </c>
      <c r="L2664" s="482">
        <v>0.39100000000000001</v>
      </c>
      <c r="M2664" s="482">
        <v>0.19600000000000001</v>
      </c>
    </row>
    <row r="2665" spans="1:13" x14ac:dyDescent="0.2">
      <c r="A2665" t="s">
        <v>4203</v>
      </c>
      <c r="B2665" t="s">
        <v>50</v>
      </c>
      <c r="C2665" t="s">
        <v>1</v>
      </c>
      <c r="D2665" t="s">
        <v>3112</v>
      </c>
      <c r="E2665" t="s">
        <v>3113</v>
      </c>
      <c r="F2665" t="s">
        <v>52</v>
      </c>
      <c r="G2665">
        <v>23</v>
      </c>
      <c r="H2665">
        <v>26</v>
      </c>
      <c r="I2665">
        <v>13</v>
      </c>
      <c r="J2665">
        <v>62</v>
      </c>
      <c r="K2665" s="482">
        <v>0.371</v>
      </c>
      <c r="L2665" s="482">
        <v>0.41899999999999998</v>
      </c>
      <c r="M2665" s="482">
        <v>0.21</v>
      </c>
    </row>
    <row r="2666" spans="1:13" x14ac:dyDescent="0.2">
      <c r="A2666" t="s">
        <v>4202</v>
      </c>
      <c r="B2666" t="s">
        <v>50</v>
      </c>
      <c r="C2666" t="s">
        <v>1</v>
      </c>
      <c r="D2666" t="s">
        <v>3115</v>
      </c>
      <c r="E2666" t="s">
        <v>3116</v>
      </c>
      <c r="F2666" t="s">
        <v>52</v>
      </c>
      <c r="G2666">
        <v>27</v>
      </c>
      <c r="H2666">
        <v>22</v>
      </c>
      <c r="I2666">
        <v>10</v>
      </c>
      <c r="J2666">
        <v>59</v>
      </c>
      <c r="K2666" s="482">
        <v>0.45800000000000002</v>
      </c>
      <c r="L2666" s="482">
        <v>0.373</v>
      </c>
      <c r="M2666" s="482">
        <v>0.16900000000000001</v>
      </c>
    </row>
    <row r="2667" spans="1:13" x14ac:dyDescent="0.2">
      <c r="A2667" t="s">
        <v>4200</v>
      </c>
      <c r="B2667" t="s">
        <v>50</v>
      </c>
      <c r="C2667" t="s">
        <v>1</v>
      </c>
      <c r="D2667" t="s">
        <v>3121</v>
      </c>
      <c r="E2667" t="s">
        <v>3122</v>
      </c>
      <c r="F2667" t="s">
        <v>52</v>
      </c>
      <c r="G2667">
        <v>82</v>
      </c>
      <c r="H2667">
        <v>69</v>
      </c>
      <c r="I2667">
        <v>52</v>
      </c>
      <c r="J2667">
        <v>203</v>
      </c>
      <c r="K2667" s="482">
        <v>0.40400000000000003</v>
      </c>
      <c r="L2667" s="482">
        <v>0.34</v>
      </c>
      <c r="M2667" s="482">
        <v>0.25600000000000001</v>
      </c>
    </row>
    <row r="2668" spans="1:13" x14ac:dyDescent="0.2">
      <c r="A2668" t="s">
        <v>4201</v>
      </c>
      <c r="B2668" t="s">
        <v>50</v>
      </c>
      <c r="C2668" t="s">
        <v>1</v>
      </c>
      <c r="D2668" t="s">
        <v>3118</v>
      </c>
      <c r="E2668" t="s">
        <v>3119</v>
      </c>
      <c r="F2668" t="s">
        <v>52</v>
      </c>
      <c r="G2668">
        <v>16</v>
      </c>
      <c r="H2668">
        <v>19</v>
      </c>
      <c r="I2668">
        <v>5</v>
      </c>
      <c r="J2668">
        <v>40</v>
      </c>
      <c r="K2668" s="482">
        <v>0.4</v>
      </c>
      <c r="L2668" s="482">
        <v>0.47499999999999998</v>
      </c>
      <c r="M2668" s="482">
        <v>0.125</v>
      </c>
    </row>
    <row r="2669" spans="1:13" x14ac:dyDescent="0.2">
      <c r="A2669" t="s">
        <v>4190</v>
      </c>
      <c r="B2669" t="s">
        <v>50</v>
      </c>
      <c r="C2669" t="s">
        <v>1</v>
      </c>
      <c r="D2669" t="s">
        <v>3151</v>
      </c>
      <c r="E2669" t="s">
        <v>3152</v>
      </c>
      <c r="F2669" t="s">
        <v>52</v>
      </c>
      <c r="G2669">
        <v>63</v>
      </c>
      <c r="H2669">
        <v>54</v>
      </c>
      <c r="I2669">
        <v>23</v>
      </c>
      <c r="J2669">
        <v>140</v>
      </c>
      <c r="K2669" s="482">
        <v>0.45</v>
      </c>
      <c r="L2669" s="482">
        <v>0.38600000000000001</v>
      </c>
      <c r="M2669" s="482">
        <v>0.16400000000000001</v>
      </c>
    </row>
    <row r="2670" spans="1:13" x14ac:dyDescent="0.2">
      <c r="A2670" t="s">
        <v>4191</v>
      </c>
      <c r="B2670" t="s">
        <v>50</v>
      </c>
      <c r="C2670" t="s">
        <v>1</v>
      </c>
      <c r="D2670" t="s">
        <v>3148</v>
      </c>
      <c r="E2670" t="s">
        <v>3149</v>
      </c>
      <c r="F2670" t="s">
        <v>52</v>
      </c>
      <c r="G2670">
        <v>28</v>
      </c>
      <c r="H2670">
        <v>16</v>
      </c>
      <c r="I2670">
        <v>8</v>
      </c>
      <c r="J2670">
        <v>52</v>
      </c>
      <c r="K2670" s="482">
        <v>0.53800000000000003</v>
      </c>
      <c r="L2670" s="482">
        <v>0.308</v>
      </c>
      <c r="M2670" s="482">
        <v>0.154</v>
      </c>
    </row>
    <row r="2671" spans="1:13" x14ac:dyDescent="0.2">
      <c r="A2671" t="s">
        <v>4206</v>
      </c>
      <c r="B2671" t="s">
        <v>50</v>
      </c>
      <c r="C2671" t="s">
        <v>1</v>
      </c>
      <c r="D2671" t="s">
        <v>3103</v>
      </c>
      <c r="E2671" t="s">
        <v>3104</v>
      </c>
      <c r="F2671" t="s">
        <v>52</v>
      </c>
      <c r="G2671">
        <v>17</v>
      </c>
      <c r="H2671">
        <v>7</v>
      </c>
      <c r="I2671">
        <v>1</v>
      </c>
      <c r="J2671">
        <v>25</v>
      </c>
      <c r="K2671" s="482">
        <v>0.68</v>
      </c>
      <c r="L2671" s="482">
        <v>0.28000000000000003</v>
      </c>
      <c r="M2671" s="482">
        <v>0.04</v>
      </c>
    </row>
    <row r="2672" spans="1:13" x14ac:dyDescent="0.2">
      <c r="A2672" t="s">
        <v>4211</v>
      </c>
      <c r="B2672" t="s">
        <v>50</v>
      </c>
      <c r="C2672" t="s">
        <v>1</v>
      </c>
      <c r="D2672" t="s">
        <v>3088</v>
      </c>
      <c r="E2672" t="s">
        <v>3089</v>
      </c>
      <c r="F2672" t="s">
        <v>52</v>
      </c>
      <c r="G2672">
        <v>29</v>
      </c>
      <c r="H2672">
        <v>36</v>
      </c>
      <c r="I2672">
        <v>8</v>
      </c>
      <c r="J2672">
        <v>73</v>
      </c>
      <c r="K2672" s="482">
        <v>0.39700000000000002</v>
      </c>
      <c r="L2672" s="482">
        <v>0.49299999999999999</v>
      </c>
      <c r="M2672" s="482">
        <v>0.11</v>
      </c>
    </row>
    <row r="2673" spans="1:13" x14ac:dyDescent="0.2">
      <c r="A2673" t="s">
        <v>3977</v>
      </c>
      <c r="B2673" t="s">
        <v>50</v>
      </c>
      <c r="C2673" t="s">
        <v>1</v>
      </c>
      <c r="D2673" t="s">
        <v>3793</v>
      </c>
      <c r="E2673" t="s">
        <v>3794</v>
      </c>
      <c r="F2673" t="s">
        <v>52</v>
      </c>
      <c r="G2673">
        <v>0</v>
      </c>
      <c r="H2673">
        <v>0</v>
      </c>
      <c r="I2673" t="s">
        <v>53</v>
      </c>
      <c r="J2673" t="s">
        <v>53</v>
      </c>
      <c r="K2673" t="s">
        <v>53</v>
      </c>
      <c r="L2673" t="s">
        <v>53</v>
      </c>
      <c r="M2673" t="s">
        <v>53</v>
      </c>
    </row>
    <row r="2674" spans="1:13" x14ac:dyDescent="0.2">
      <c r="A2674" t="s">
        <v>4205</v>
      </c>
      <c r="B2674" t="s">
        <v>50</v>
      </c>
      <c r="C2674" t="s">
        <v>1</v>
      </c>
      <c r="D2674" t="s">
        <v>3106</v>
      </c>
      <c r="E2674" t="s">
        <v>3107</v>
      </c>
      <c r="F2674" t="s">
        <v>52</v>
      </c>
      <c r="G2674">
        <v>20</v>
      </c>
      <c r="H2674">
        <v>30</v>
      </c>
      <c r="I2674">
        <v>11</v>
      </c>
      <c r="J2674">
        <v>61</v>
      </c>
      <c r="K2674" s="482">
        <v>0.32800000000000001</v>
      </c>
      <c r="L2674" s="482">
        <v>0.49199999999999999</v>
      </c>
      <c r="M2674" s="482">
        <v>0.18</v>
      </c>
    </row>
    <row r="2675" spans="1:13" x14ac:dyDescent="0.2">
      <c r="A2675" t="s">
        <v>4204</v>
      </c>
      <c r="B2675" t="s">
        <v>50</v>
      </c>
      <c r="C2675" t="s">
        <v>1</v>
      </c>
      <c r="D2675" t="s">
        <v>3109</v>
      </c>
      <c r="E2675" t="s">
        <v>3110</v>
      </c>
      <c r="F2675" t="s">
        <v>52</v>
      </c>
      <c r="G2675">
        <v>104</v>
      </c>
      <c r="H2675">
        <v>70</v>
      </c>
      <c r="I2675">
        <v>44</v>
      </c>
      <c r="J2675">
        <v>218</v>
      </c>
      <c r="K2675" s="482">
        <v>0.47699999999999998</v>
      </c>
      <c r="L2675" s="482">
        <v>0.32100000000000001</v>
      </c>
      <c r="M2675" s="482">
        <v>0.20200000000000001</v>
      </c>
    </row>
    <row r="2676" spans="1:13" x14ac:dyDescent="0.2">
      <c r="A2676" t="s">
        <v>4157</v>
      </c>
      <c r="B2676" t="s">
        <v>50</v>
      </c>
      <c r="C2676" t="s">
        <v>1</v>
      </c>
      <c r="D2676" t="s">
        <v>3249</v>
      </c>
      <c r="E2676" t="s">
        <v>3250</v>
      </c>
      <c r="F2676" t="s">
        <v>52</v>
      </c>
      <c r="G2676">
        <v>3</v>
      </c>
      <c r="H2676">
        <v>3</v>
      </c>
      <c r="I2676">
        <v>4</v>
      </c>
      <c r="J2676">
        <v>10</v>
      </c>
      <c r="K2676" s="482">
        <v>0.3</v>
      </c>
      <c r="L2676" s="482">
        <v>0.3</v>
      </c>
      <c r="M2676" s="482">
        <v>0.4</v>
      </c>
    </row>
    <row r="2677" spans="1:13" x14ac:dyDescent="0.2">
      <c r="A2677" t="s">
        <v>4158</v>
      </c>
      <c r="B2677" t="s">
        <v>50</v>
      </c>
      <c r="C2677" t="s">
        <v>1</v>
      </c>
      <c r="D2677" t="s">
        <v>3246</v>
      </c>
      <c r="E2677" t="s">
        <v>3247</v>
      </c>
      <c r="F2677" t="s">
        <v>52</v>
      </c>
      <c r="G2677">
        <v>62</v>
      </c>
      <c r="H2677">
        <v>30</v>
      </c>
      <c r="I2677">
        <v>21</v>
      </c>
      <c r="J2677">
        <v>113</v>
      </c>
      <c r="K2677" s="482">
        <v>0.54900000000000004</v>
      </c>
      <c r="L2677" s="482">
        <v>0.26500000000000001</v>
      </c>
      <c r="M2677" s="482">
        <v>0.186</v>
      </c>
    </row>
    <row r="2678" spans="1:13" x14ac:dyDescent="0.2">
      <c r="A2678" t="s">
        <v>4159</v>
      </c>
      <c r="B2678" t="s">
        <v>50</v>
      </c>
      <c r="C2678" t="s">
        <v>1</v>
      </c>
      <c r="D2678" t="s">
        <v>3243</v>
      </c>
      <c r="E2678" t="s">
        <v>3244</v>
      </c>
      <c r="F2678" t="s">
        <v>52</v>
      </c>
      <c r="G2678">
        <v>36</v>
      </c>
      <c r="H2678">
        <v>28</v>
      </c>
      <c r="I2678">
        <v>7</v>
      </c>
      <c r="J2678">
        <v>71</v>
      </c>
      <c r="K2678" s="482">
        <v>0.50700000000000001</v>
      </c>
      <c r="L2678" s="482">
        <v>0.39400000000000002</v>
      </c>
      <c r="M2678" s="482">
        <v>9.9000000000000005E-2</v>
      </c>
    </row>
    <row r="2679" spans="1:13" x14ac:dyDescent="0.2">
      <c r="A2679" t="s">
        <v>4160</v>
      </c>
      <c r="B2679" t="s">
        <v>50</v>
      </c>
      <c r="C2679" t="s">
        <v>1</v>
      </c>
      <c r="D2679" t="s">
        <v>3240</v>
      </c>
      <c r="E2679" t="s">
        <v>3241</v>
      </c>
      <c r="F2679" t="s">
        <v>52</v>
      </c>
      <c r="G2679">
        <v>31</v>
      </c>
      <c r="H2679">
        <v>16</v>
      </c>
      <c r="I2679">
        <v>13</v>
      </c>
      <c r="J2679">
        <v>60</v>
      </c>
      <c r="K2679" s="482">
        <v>0.51700000000000002</v>
      </c>
      <c r="L2679" s="482">
        <v>0.26700000000000002</v>
      </c>
      <c r="M2679" s="482">
        <v>0.217</v>
      </c>
    </row>
    <row r="2680" spans="1:13" x14ac:dyDescent="0.2">
      <c r="A2680" t="s">
        <v>4107</v>
      </c>
      <c r="B2680" t="s">
        <v>50</v>
      </c>
      <c r="C2680" t="s">
        <v>1</v>
      </c>
      <c r="D2680" t="s">
        <v>3400</v>
      </c>
      <c r="E2680" t="s">
        <v>3401</v>
      </c>
      <c r="F2680" t="s">
        <v>52</v>
      </c>
      <c r="G2680">
        <v>112</v>
      </c>
      <c r="H2680">
        <v>76</v>
      </c>
      <c r="I2680">
        <v>31</v>
      </c>
      <c r="J2680">
        <v>219</v>
      </c>
      <c r="K2680" s="482">
        <v>0.51100000000000001</v>
      </c>
      <c r="L2680" s="482">
        <v>0.34699999999999998</v>
      </c>
      <c r="M2680" s="482">
        <v>0.14199999999999999</v>
      </c>
    </row>
    <row r="2681" spans="1:13" x14ac:dyDescent="0.2">
      <c r="A2681" t="s">
        <v>4108</v>
      </c>
      <c r="B2681" t="s">
        <v>50</v>
      </c>
      <c r="C2681" t="s">
        <v>1</v>
      </c>
      <c r="D2681" t="s">
        <v>3397</v>
      </c>
      <c r="E2681" t="s">
        <v>3398</v>
      </c>
      <c r="F2681" t="s">
        <v>52</v>
      </c>
      <c r="G2681">
        <v>21</v>
      </c>
      <c r="H2681">
        <v>8</v>
      </c>
      <c r="I2681">
        <v>2</v>
      </c>
      <c r="J2681">
        <v>31</v>
      </c>
      <c r="K2681" s="482">
        <v>0.67700000000000005</v>
      </c>
      <c r="L2681" s="482">
        <v>0.25800000000000001</v>
      </c>
      <c r="M2681" s="482">
        <v>6.5000000000000002E-2</v>
      </c>
    </row>
    <row r="2682" spans="1:13" x14ac:dyDescent="0.2">
      <c r="A2682" t="s">
        <v>4109</v>
      </c>
      <c r="B2682" t="s">
        <v>50</v>
      </c>
      <c r="C2682" t="s">
        <v>1</v>
      </c>
      <c r="D2682" t="s">
        <v>3394</v>
      </c>
      <c r="E2682" t="s">
        <v>3395</v>
      </c>
      <c r="F2682" t="s">
        <v>52</v>
      </c>
      <c r="G2682">
        <v>28</v>
      </c>
      <c r="H2682">
        <v>14</v>
      </c>
      <c r="I2682">
        <v>16</v>
      </c>
      <c r="J2682">
        <v>58</v>
      </c>
      <c r="K2682" s="482">
        <v>0.48299999999999998</v>
      </c>
      <c r="L2682" s="482">
        <v>0.24099999999999999</v>
      </c>
      <c r="M2682" s="482">
        <v>0.27600000000000002</v>
      </c>
    </row>
    <row r="2683" spans="1:13" x14ac:dyDescent="0.2">
      <c r="A2683" t="s">
        <v>4110</v>
      </c>
      <c r="B2683" t="s">
        <v>50</v>
      </c>
      <c r="C2683" t="s">
        <v>1</v>
      </c>
      <c r="D2683" t="s">
        <v>3391</v>
      </c>
      <c r="E2683" t="s">
        <v>3392</v>
      </c>
      <c r="F2683" t="s">
        <v>52</v>
      </c>
      <c r="G2683">
        <v>21</v>
      </c>
      <c r="H2683">
        <v>19</v>
      </c>
      <c r="I2683">
        <v>6</v>
      </c>
      <c r="J2683">
        <v>46</v>
      </c>
      <c r="K2683" s="482">
        <v>0.45700000000000002</v>
      </c>
      <c r="L2683" s="482">
        <v>0.41299999999999998</v>
      </c>
      <c r="M2683" s="482">
        <v>0.13</v>
      </c>
    </row>
    <row r="2684" spans="1:13" x14ac:dyDescent="0.2">
      <c r="A2684" t="s">
        <v>4111</v>
      </c>
      <c r="B2684" t="s">
        <v>50</v>
      </c>
      <c r="C2684" t="s">
        <v>1</v>
      </c>
      <c r="D2684" t="s">
        <v>3388</v>
      </c>
      <c r="E2684" t="s">
        <v>3389</v>
      </c>
      <c r="F2684" t="s">
        <v>52</v>
      </c>
      <c r="G2684">
        <v>17</v>
      </c>
      <c r="H2684">
        <v>15</v>
      </c>
      <c r="I2684">
        <v>8</v>
      </c>
      <c r="J2684">
        <v>40</v>
      </c>
      <c r="K2684" s="482">
        <v>0.42499999999999999</v>
      </c>
      <c r="L2684" s="482">
        <v>0.375</v>
      </c>
      <c r="M2684" s="482">
        <v>0.2</v>
      </c>
    </row>
    <row r="2685" spans="1:13" x14ac:dyDescent="0.2">
      <c r="A2685" t="s">
        <v>4112</v>
      </c>
      <c r="B2685" t="s">
        <v>50</v>
      </c>
      <c r="C2685" t="s">
        <v>1</v>
      </c>
      <c r="D2685" t="s">
        <v>3385</v>
      </c>
      <c r="E2685" t="s">
        <v>3386</v>
      </c>
      <c r="F2685" t="s">
        <v>52</v>
      </c>
      <c r="G2685">
        <v>23</v>
      </c>
      <c r="H2685">
        <v>9</v>
      </c>
      <c r="I2685">
        <v>1</v>
      </c>
      <c r="J2685">
        <v>33</v>
      </c>
      <c r="K2685" s="482">
        <v>0.69699999999999995</v>
      </c>
      <c r="L2685" s="482">
        <v>0.27300000000000002</v>
      </c>
      <c r="M2685" s="482">
        <v>0.03</v>
      </c>
    </row>
    <row r="2686" spans="1:13" x14ac:dyDescent="0.2">
      <c r="A2686" t="s">
        <v>4126</v>
      </c>
      <c r="B2686" t="s">
        <v>50</v>
      </c>
      <c r="C2686" t="s">
        <v>1</v>
      </c>
      <c r="D2686" t="s">
        <v>3343</v>
      </c>
      <c r="E2686" t="s">
        <v>3344</v>
      </c>
      <c r="F2686" t="s">
        <v>52</v>
      </c>
      <c r="G2686">
        <v>43</v>
      </c>
      <c r="H2686">
        <v>15</v>
      </c>
      <c r="I2686">
        <v>11</v>
      </c>
      <c r="J2686">
        <v>69</v>
      </c>
      <c r="K2686" s="482">
        <v>0.623</v>
      </c>
      <c r="L2686" s="482">
        <v>0.217</v>
      </c>
      <c r="M2686" s="482">
        <v>0.159</v>
      </c>
    </row>
    <row r="2687" spans="1:13" x14ac:dyDescent="0.2">
      <c r="A2687" t="s">
        <v>4128</v>
      </c>
      <c r="B2687" t="s">
        <v>50</v>
      </c>
      <c r="C2687" t="s">
        <v>1</v>
      </c>
      <c r="D2687" t="s">
        <v>3340</v>
      </c>
      <c r="E2687" t="s">
        <v>3341</v>
      </c>
      <c r="F2687" t="s">
        <v>52</v>
      </c>
      <c r="G2687">
        <v>7</v>
      </c>
      <c r="H2687">
        <v>4</v>
      </c>
      <c r="I2687">
        <v>0</v>
      </c>
      <c r="J2687">
        <v>11</v>
      </c>
      <c r="K2687" s="482">
        <v>0.63600000000000001</v>
      </c>
      <c r="L2687" s="482">
        <v>0.36399999999999999</v>
      </c>
      <c r="M2687" s="482">
        <v>0</v>
      </c>
    </row>
    <row r="2688" spans="1:13" x14ac:dyDescent="0.2">
      <c r="A2688" t="s">
        <v>4174</v>
      </c>
      <c r="B2688" t="s">
        <v>50</v>
      </c>
      <c r="C2688" t="s">
        <v>1</v>
      </c>
      <c r="D2688" t="s">
        <v>3198</v>
      </c>
      <c r="E2688" t="s">
        <v>3199</v>
      </c>
      <c r="F2688" t="s">
        <v>52</v>
      </c>
      <c r="G2688">
        <v>50</v>
      </c>
      <c r="H2688">
        <v>46</v>
      </c>
      <c r="I2688">
        <v>10</v>
      </c>
      <c r="J2688">
        <v>106</v>
      </c>
      <c r="K2688" s="482">
        <v>0.47199999999999998</v>
      </c>
      <c r="L2688" s="482">
        <v>0.434</v>
      </c>
      <c r="M2688" s="482">
        <v>9.4E-2</v>
      </c>
    </row>
    <row r="2689" spans="1:13" x14ac:dyDescent="0.2">
      <c r="A2689" t="s">
        <v>4169</v>
      </c>
      <c r="B2689" t="s">
        <v>50</v>
      </c>
      <c r="C2689" t="s">
        <v>1</v>
      </c>
      <c r="D2689" t="s">
        <v>3213</v>
      </c>
      <c r="E2689" t="s">
        <v>3214</v>
      </c>
      <c r="F2689" t="s">
        <v>52</v>
      </c>
      <c r="G2689">
        <v>44</v>
      </c>
      <c r="H2689">
        <v>43</v>
      </c>
      <c r="I2689">
        <v>17</v>
      </c>
      <c r="J2689">
        <v>104</v>
      </c>
      <c r="K2689" s="482">
        <v>0.42299999999999999</v>
      </c>
      <c r="L2689" s="482">
        <v>0.41299999999999998</v>
      </c>
      <c r="M2689" s="482">
        <v>0.16300000000000001</v>
      </c>
    </row>
    <row r="2690" spans="1:13" x14ac:dyDescent="0.2">
      <c r="A2690" t="s">
        <v>4170</v>
      </c>
      <c r="B2690" t="s">
        <v>50</v>
      </c>
      <c r="C2690" t="s">
        <v>1</v>
      </c>
      <c r="D2690" t="s">
        <v>3210</v>
      </c>
      <c r="E2690" t="s">
        <v>3211</v>
      </c>
      <c r="F2690" t="s">
        <v>52</v>
      </c>
      <c r="G2690">
        <v>11</v>
      </c>
      <c r="H2690">
        <v>6</v>
      </c>
      <c r="I2690">
        <v>2</v>
      </c>
      <c r="J2690">
        <v>19</v>
      </c>
      <c r="K2690" s="482">
        <v>0.57899999999999996</v>
      </c>
      <c r="L2690" s="482">
        <v>0.316</v>
      </c>
      <c r="M2690" s="482">
        <v>0.105</v>
      </c>
    </row>
    <row r="2691" spans="1:13" x14ac:dyDescent="0.2">
      <c r="A2691" t="s">
        <v>4104</v>
      </c>
      <c r="B2691" t="s">
        <v>50</v>
      </c>
      <c r="C2691" t="s">
        <v>1</v>
      </c>
      <c r="D2691" t="s">
        <v>3409</v>
      </c>
      <c r="E2691" t="s">
        <v>3410</v>
      </c>
      <c r="F2691" t="s">
        <v>52</v>
      </c>
      <c r="G2691">
        <v>23</v>
      </c>
      <c r="H2691">
        <v>18</v>
      </c>
      <c r="I2691">
        <v>9</v>
      </c>
      <c r="J2691">
        <v>50</v>
      </c>
      <c r="K2691" s="482">
        <v>0.46</v>
      </c>
      <c r="L2691" s="482">
        <v>0.36</v>
      </c>
      <c r="M2691" s="482">
        <v>0.18</v>
      </c>
    </row>
    <row r="2692" spans="1:13" x14ac:dyDescent="0.2">
      <c r="A2692" t="s">
        <v>6589</v>
      </c>
      <c r="B2692" t="s">
        <v>50</v>
      </c>
      <c r="C2692" t="s">
        <v>1</v>
      </c>
      <c r="D2692" t="s">
        <v>4370</v>
      </c>
      <c r="E2692" t="s">
        <v>4371</v>
      </c>
      <c r="F2692" t="s">
        <v>52</v>
      </c>
      <c r="G2692" t="s">
        <v>53</v>
      </c>
      <c r="H2692">
        <v>0</v>
      </c>
      <c r="I2692" t="s">
        <v>53</v>
      </c>
      <c r="J2692" t="s">
        <v>53</v>
      </c>
      <c r="K2692" t="s">
        <v>53</v>
      </c>
      <c r="L2692" t="s">
        <v>53</v>
      </c>
      <c r="M2692" t="s">
        <v>53</v>
      </c>
    </row>
    <row r="2693" spans="1:13" x14ac:dyDescent="0.2">
      <c r="A2693" t="s">
        <v>3939</v>
      </c>
      <c r="B2693" t="s">
        <v>50</v>
      </c>
      <c r="C2693" t="s">
        <v>1</v>
      </c>
      <c r="D2693" t="s">
        <v>3906</v>
      </c>
      <c r="E2693" t="s">
        <v>3907</v>
      </c>
      <c r="F2693" t="s">
        <v>52</v>
      </c>
      <c r="G2693">
        <v>153</v>
      </c>
      <c r="H2693">
        <v>92</v>
      </c>
      <c r="I2693">
        <v>49</v>
      </c>
      <c r="J2693">
        <v>294</v>
      </c>
      <c r="K2693" s="482">
        <v>0.52</v>
      </c>
      <c r="L2693" s="482">
        <v>0.313</v>
      </c>
      <c r="M2693" s="482">
        <v>0.16700000000000001</v>
      </c>
    </row>
    <row r="2694" spans="1:13" x14ac:dyDescent="0.2">
      <c r="A2694" t="s">
        <v>3942</v>
      </c>
      <c r="B2694" t="s">
        <v>50</v>
      </c>
      <c r="C2694" t="s">
        <v>1</v>
      </c>
      <c r="D2694" t="s">
        <v>3897</v>
      </c>
      <c r="E2694" t="s">
        <v>3898</v>
      </c>
      <c r="F2694" t="s">
        <v>52</v>
      </c>
      <c r="G2694">
        <v>21</v>
      </c>
      <c r="H2694">
        <v>11</v>
      </c>
      <c r="I2694">
        <v>13</v>
      </c>
      <c r="J2694">
        <v>45</v>
      </c>
      <c r="K2694" s="482">
        <v>0.46700000000000003</v>
      </c>
      <c r="L2694" s="482">
        <v>0.24399999999999999</v>
      </c>
      <c r="M2694" s="482">
        <v>0.28899999999999998</v>
      </c>
    </row>
    <row r="2695" spans="1:13" x14ac:dyDescent="0.2">
      <c r="A2695" t="s">
        <v>3943</v>
      </c>
      <c r="B2695" t="s">
        <v>50</v>
      </c>
      <c r="C2695" t="s">
        <v>1</v>
      </c>
      <c r="D2695" t="s">
        <v>3894</v>
      </c>
      <c r="E2695" t="s">
        <v>3895</v>
      </c>
      <c r="F2695" t="s">
        <v>52</v>
      </c>
      <c r="G2695">
        <v>82</v>
      </c>
      <c r="H2695">
        <v>32</v>
      </c>
      <c r="I2695">
        <v>12</v>
      </c>
      <c r="J2695">
        <v>126</v>
      </c>
      <c r="K2695" s="482">
        <v>0.65100000000000002</v>
      </c>
      <c r="L2695" s="482">
        <v>0.254</v>
      </c>
      <c r="M2695" s="482">
        <v>9.5000000000000001E-2</v>
      </c>
    </row>
    <row r="2696" spans="1:13" x14ac:dyDescent="0.2">
      <c r="A2696" t="s">
        <v>3944</v>
      </c>
      <c r="B2696" t="s">
        <v>50</v>
      </c>
      <c r="C2696" t="s">
        <v>1</v>
      </c>
      <c r="D2696" t="s">
        <v>3891</v>
      </c>
      <c r="E2696" t="s">
        <v>3892</v>
      </c>
      <c r="F2696" t="s">
        <v>52</v>
      </c>
      <c r="G2696">
        <v>2</v>
      </c>
      <c r="H2696">
        <v>8</v>
      </c>
      <c r="I2696">
        <v>4</v>
      </c>
      <c r="J2696">
        <v>14</v>
      </c>
      <c r="K2696" s="482">
        <v>0.14299999999999999</v>
      </c>
      <c r="L2696" s="482">
        <v>0.57099999999999995</v>
      </c>
      <c r="M2696" s="482">
        <v>0.28599999999999998</v>
      </c>
    </row>
    <row r="2697" spans="1:13" x14ac:dyDescent="0.2">
      <c r="A2697" t="s">
        <v>3946</v>
      </c>
      <c r="B2697" t="s">
        <v>50</v>
      </c>
      <c r="C2697" t="s">
        <v>1</v>
      </c>
      <c r="D2697" t="s">
        <v>3885</v>
      </c>
      <c r="E2697" t="s">
        <v>3886</v>
      </c>
      <c r="F2697" t="s">
        <v>52</v>
      </c>
      <c r="G2697">
        <v>95</v>
      </c>
      <c r="H2697">
        <v>57</v>
      </c>
      <c r="I2697">
        <v>44</v>
      </c>
      <c r="J2697">
        <v>196</v>
      </c>
      <c r="K2697" s="482">
        <v>0.48499999999999999</v>
      </c>
      <c r="L2697" s="482">
        <v>0.29099999999999998</v>
      </c>
      <c r="M2697" s="482">
        <v>0.224</v>
      </c>
    </row>
    <row r="2698" spans="1:13" x14ac:dyDescent="0.2">
      <c r="A2698" t="s">
        <v>4069</v>
      </c>
      <c r="B2698" t="s">
        <v>50</v>
      </c>
      <c r="C2698" t="s">
        <v>1</v>
      </c>
      <c r="D2698" t="s">
        <v>3515</v>
      </c>
      <c r="E2698" t="s">
        <v>343</v>
      </c>
      <c r="F2698" t="s">
        <v>52</v>
      </c>
      <c r="G2698">
        <v>184</v>
      </c>
      <c r="H2698">
        <v>120</v>
      </c>
      <c r="I2698">
        <v>62</v>
      </c>
      <c r="J2698">
        <v>366</v>
      </c>
      <c r="K2698" s="482">
        <v>0.503</v>
      </c>
      <c r="L2698" s="482">
        <v>0.32800000000000001</v>
      </c>
      <c r="M2698" s="482">
        <v>0.16900000000000001</v>
      </c>
    </row>
    <row r="2699" spans="1:13" x14ac:dyDescent="0.2">
      <c r="A2699" t="s">
        <v>3945</v>
      </c>
      <c r="B2699" t="s">
        <v>50</v>
      </c>
      <c r="C2699" t="s">
        <v>1</v>
      </c>
      <c r="D2699" t="s">
        <v>3888</v>
      </c>
      <c r="E2699" t="s">
        <v>3889</v>
      </c>
      <c r="F2699" t="s">
        <v>52</v>
      </c>
      <c r="G2699">
        <v>199</v>
      </c>
      <c r="H2699">
        <v>89</v>
      </c>
      <c r="I2699">
        <v>68</v>
      </c>
      <c r="J2699">
        <v>356</v>
      </c>
      <c r="K2699" s="482">
        <v>0.55900000000000005</v>
      </c>
      <c r="L2699" s="482">
        <v>0.25</v>
      </c>
      <c r="M2699" s="482">
        <v>0.191</v>
      </c>
    </row>
    <row r="2700" spans="1:13" x14ac:dyDescent="0.2">
      <c r="A2700" t="s">
        <v>3940</v>
      </c>
      <c r="B2700" t="s">
        <v>50</v>
      </c>
      <c r="C2700" t="s">
        <v>1</v>
      </c>
      <c r="D2700" t="s">
        <v>3903</v>
      </c>
      <c r="E2700" t="s">
        <v>3904</v>
      </c>
      <c r="F2700" t="s">
        <v>52</v>
      </c>
      <c r="G2700">
        <v>54</v>
      </c>
      <c r="H2700">
        <v>32</v>
      </c>
      <c r="I2700">
        <v>19</v>
      </c>
      <c r="J2700">
        <v>105</v>
      </c>
      <c r="K2700" s="482">
        <v>0.51400000000000001</v>
      </c>
      <c r="L2700" s="482">
        <v>0.30499999999999999</v>
      </c>
      <c r="M2700" s="482">
        <v>0.18099999999999999</v>
      </c>
    </row>
    <row r="2701" spans="1:13" x14ac:dyDescent="0.2">
      <c r="A2701" t="s">
        <v>4153</v>
      </c>
      <c r="B2701" t="s">
        <v>50</v>
      </c>
      <c r="C2701" t="s">
        <v>1</v>
      </c>
      <c r="D2701" t="s">
        <v>3261</v>
      </c>
      <c r="E2701" t="s">
        <v>3262</v>
      </c>
      <c r="F2701" t="s">
        <v>52</v>
      </c>
      <c r="G2701">
        <v>7</v>
      </c>
      <c r="H2701">
        <v>4</v>
      </c>
      <c r="I2701">
        <v>1</v>
      </c>
      <c r="J2701">
        <v>12</v>
      </c>
      <c r="K2701" s="482">
        <v>0.58299999999999996</v>
      </c>
      <c r="L2701" s="482">
        <v>0.33300000000000002</v>
      </c>
      <c r="M2701" s="482">
        <v>8.3000000000000004E-2</v>
      </c>
    </row>
    <row r="2702" spans="1:13" x14ac:dyDescent="0.2">
      <c r="A2702" t="s">
        <v>4154</v>
      </c>
      <c r="B2702" t="s">
        <v>50</v>
      </c>
      <c r="C2702" t="s">
        <v>1</v>
      </c>
      <c r="D2702" t="s">
        <v>3258</v>
      </c>
      <c r="E2702" t="s">
        <v>3259</v>
      </c>
      <c r="F2702" t="s">
        <v>52</v>
      </c>
      <c r="G2702">
        <v>6</v>
      </c>
      <c r="H2702">
        <v>6</v>
      </c>
      <c r="I2702">
        <v>0</v>
      </c>
      <c r="J2702">
        <v>12</v>
      </c>
      <c r="K2702" s="482">
        <v>0.5</v>
      </c>
      <c r="L2702" s="482">
        <v>0.5</v>
      </c>
      <c r="M2702" s="482">
        <v>0</v>
      </c>
    </row>
    <row r="2703" spans="1:13" x14ac:dyDescent="0.2">
      <c r="A2703" t="s">
        <v>4155</v>
      </c>
      <c r="B2703" t="s">
        <v>50</v>
      </c>
      <c r="C2703" t="s">
        <v>1</v>
      </c>
      <c r="D2703" t="s">
        <v>3255</v>
      </c>
      <c r="E2703" t="s">
        <v>3256</v>
      </c>
      <c r="F2703" t="s">
        <v>52</v>
      </c>
      <c r="G2703" t="s">
        <v>53</v>
      </c>
      <c r="H2703" t="s">
        <v>53</v>
      </c>
      <c r="I2703">
        <v>0</v>
      </c>
      <c r="J2703" t="s">
        <v>53</v>
      </c>
      <c r="K2703" t="s">
        <v>53</v>
      </c>
      <c r="L2703" t="s">
        <v>53</v>
      </c>
      <c r="M2703" t="s">
        <v>53</v>
      </c>
    </row>
    <row r="2704" spans="1:13" x14ac:dyDescent="0.2">
      <c r="A2704" t="s">
        <v>4156</v>
      </c>
      <c r="B2704" t="s">
        <v>50</v>
      </c>
      <c r="C2704" t="s">
        <v>1</v>
      </c>
      <c r="D2704" t="s">
        <v>3252</v>
      </c>
      <c r="E2704" t="s">
        <v>3253</v>
      </c>
      <c r="F2704" t="s">
        <v>52</v>
      </c>
      <c r="G2704">
        <v>9</v>
      </c>
      <c r="H2704">
        <v>11</v>
      </c>
      <c r="I2704">
        <v>1</v>
      </c>
      <c r="J2704">
        <v>21</v>
      </c>
      <c r="K2704" s="482">
        <v>0.42899999999999999</v>
      </c>
      <c r="L2704" s="482">
        <v>0.52400000000000002</v>
      </c>
      <c r="M2704" s="482">
        <v>4.8000000000000001E-2</v>
      </c>
    </row>
    <row r="2705" spans="1:13" x14ac:dyDescent="0.2">
      <c r="A2705" t="s">
        <v>4152</v>
      </c>
      <c r="B2705" t="s">
        <v>50</v>
      </c>
      <c r="C2705" t="s">
        <v>1</v>
      </c>
      <c r="D2705" t="s">
        <v>3264</v>
      </c>
      <c r="E2705" t="s">
        <v>3265</v>
      </c>
      <c r="F2705" t="s">
        <v>52</v>
      </c>
      <c r="G2705">
        <v>13</v>
      </c>
      <c r="H2705">
        <v>10</v>
      </c>
      <c r="I2705">
        <v>6</v>
      </c>
      <c r="J2705">
        <v>29</v>
      </c>
      <c r="K2705" s="482">
        <v>0.44800000000000001</v>
      </c>
      <c r="L2705" s="482">
        <v>0.34499999999999997</v>
      </c>
      <c r="M2705" s="482">
        <v>0.20699999999999999</v>
      </c>
    </row>
    <row r="2706" spans="1:13" x14ac:dyDescent="0.2">
      <c r="A2706" t="s">
        <v>4133</v>
      </c>
      <c r="B2706" t="s">
        <v>50</v>
      </c>
      <c r="C2706" t="s">
        <v>1</v>
      </c>
      <c r="D2706" t="s">
        <v>3322</v>
      </c>
      <c r="E2706" t="s">
        <v>3323</v>
      </c>
      <c r="F2706" t="s">
        <v>52</v>
      </c>
      <c r="G2706">
        <v>10</v>
      </c>
      <c r="H2706">
        <v>7</v>
      </c>
      <c r="I2706">
        <v>1</v>
      </c>
      <c r="J2706">
        <v>18</v>
      </c>
      <c r="K2706" s="482">
        <v>0.55600000000000005</v>
      </c>
      <c r="L2706" s="482">
        <v>0.38900000000000001</v>
      </c>
      <c r="M2706" s="482">
        <v>5.6000000000000001E-2</v>
      </c>
    </row>
    <row r="2707" spans="1:13" x14ac:dyDescent="0.2">
      <c r="A2707" t="s">
        <v>4131</v>
      </c>
      <c r="B2707" t="s">
        <v>50</v>
      </c>
      <c r="C2707" t="s">
        <v>1</v>
      </c>
      <c r="D2707" t="s">
        <v>3328</v>
      </c>
      <c r="E2707" t="s">
        <v>3329</v>
      </c>
      <c r="F2707" t="s">
        <v>52</v>
      </c>
      <c r="G2707">
        <v>6</v>
      </c>
      <c r="H2707">
        <v>3</v>
      </c>
      <c r="I2707">
        <v>1</v>
      </c>
      <c r="J2707">
        <v>10</v>
      </c>
      <c r="K2707" s="482">
        <v>0.6</v>
      </c>
      <c r="L2707" s="482">
        <v>0.3</v>
      </c>
      <c r="M2707" s="482">
        <v>0.1</v>
      </c>
    </row>
    <row r="2708" spans="1:13" x14ac:dyDescent="0.2">
      <c r="A2708" t="s">
        <v>4130</v>
      </c>
      <c r="B2708" t="s">
        <v>50</v>
      </c>
      <c r="C2708" t="s">
        <v>1</v>
      </c>
      <c r="D2708" t="s">
        <v>3331</v>
      </c>
      <c r="E2708" t="s">
        <v>3332</v>
      </c>
      <c r="F2708" t="s">
        <v>52</v>
      </c>
      <c r="G2708">
        <v>5</v>
      </c>
      <c r="H2708">
        <v>3</v>
      </c>
      <c r="I2708">
        <v>0</v>
      </c>
      <c r="J2708">
        <v>8</v>
      </c>
      <c r="K2708" s="482">
        <v>0.625</v>
      </c>
      <c r="L2708" s="482">
        <v>0.375</v>
      </c>
      <c r="M2708" s="482">
        <v>0</v>
      </c>
    </row>
    <row r="2709" spans="1:13" x14ac:dyDescent="0.2">
      <c r="A2709" t="s">
        <v>4151</v>
      </c>
      <c r="B2709" t="s">
        <v>50</v>
      </c>
      <c r="C2709" t="s">
        <v>1</v>
      </c>
      <c r="D2709" t="s">
        <v>3267</v>
      </c>
      <c r="E2709" t="s">
        <v>3268</v>
      </c>
      <c r="F2709" t="s">
        <v>52</v>
      </c>
      <c r="G2709">
        <v>16</v>
      </c>
      <c r="H2709">
        <v>7</v>
      </c>
      <c r="I2709">
        <v>7</v>
      </c>
      <c r="J2709">
        <v>30</v>
      </c>
      <c r="K2709" s="482">
        <v>0.53300000000000003</v>
      </c>
      <c r="L2709" s="482">
        <v>0.23300000000000001</v>
      </c>
      <c r="M2709" s="482">
        <v>0.23300000000000001</v>
      </c>
    </row>
    <row r="2710" spans="1:13" x14ac:dyDescent="0.2">
      <c r="A2710" t="s">
        <v>4132</v>
      </c>
      <c r="B2710" t="s">
        <v>50</v>
      </c>
      <c r="C2710" t="s">
        <v>1</v>
      </c>
      <c r="D2710" t="s">
        <v>3325</v>
      </c>
      <c r="E2710" t="s">
        <v>3326</v>
      </c>
      <c r="F2710" t="s">
        <v>52</v>
      </c>
      <c r="G2710">
        <v>0</v>
      </c>
      <c r="H2710" t="s">
        <v>53</v>
      </c>
      <c r="I2710">
        <v>0</v>
      </c>
      <c r="J2710" t="s">
        <v>53</v>
      </c>
      <c r="K2710" t="s">
        <v>53</v>
      </c>
      <c r="L2710" t="s">
        <v>53</v>
      </c>
      <c r="M2710" t="s">
        <v>53</v>
      </c>
    </row>
    <row r="2711" spans="1:13" x14ac:dyDescent="0.2">
      <c r="A2711" t="s">
        <v>4092</v>
      </c>
      <c r="B2711" t="s">
        <v>50</v>
      </c>
      <c r="C2711" t="s">
        <v>1</v>
      </c>
      <c r="D2711" t="s">
        <v>3445</v>
      </c>
      <c r="E2711" t="s">
        <v>3446</v>
      </c>
      <c r="F2711" t="s">
        <v>52</v>
      </c>
      <c r="G2711">
        <v>10</v>
      </c>
      <c r="H2711">
        <v>4</v>
      </c>
      <c r="I2711">
        <v>6</v>
      </c>
      <c r="J2711">
        <v>20</v>
      </c>
      <c r="K2711" s="482">
        <v>0.5</v>
      </c>
      <c r="L2711" s="482">
        <v>0.2</v>
      </c>
      <c r="M2711" s="482">
        <v>0.3</v>
      </c>
    </row>
    <row r="2712" spans="1:13" x14ac:dyDescent="0.2">
      <c r="A2712" t="s">
        <v>4093</v>
      </c>
      <c r="B2712" t="s">
        <v>50</v>
      </c>
      <c r="C2712" t="s">
        <v>1</v>
      </c>
      <c r="D2712" t="s">
        <v>3442</v>
      </c>
      <c r="E2712" t="s">
        <v>3443</v>
      </c>
      <c r="F2712" t="s">
        <v>52</v>
      </c>
      <c r="G2712">
        <v>157</v>
      </c>
      <c r="H2712">
        <v>70</v>
      </c>
      <c r="I2712">
        <v>32</v>
      </c>
      <c r="J2712">
        <v>259</v>
      </c>
      <c r="K2712" s="482">
        <v>0.60599999999999998</v>
      </c>
      <c r="L2712" s="482">
        <v>0.27</v>
      </c>
      <c r="M2712" s="482">
        <v>0.124</v>
      </c>
    </row>
    <row r="2713" spans="1:13" x14ac:dyDescent="0.2">
      <c r="A2713" t="s">
        <v>4099</v>
      </c>
      <c r="B2713" t="s">
        <v>50</v>
      </c>
      <c r="C2713" t="s">
        <v>1</v>
      </c>
      <c r="D2713" t="s">
        <v>3424</v>
      </c>
      <c r="E2713" t="s">
        <v>3425</v>
      </c>
      <c r="F2713" t="s">
        <v>52</v>
      </c>
      <c r="G2713">
        <v>68</v>
      </c>
      <c r="H2713">
        <v>66</v>
      </c>
      <c r="I2713">
        <v>28</v>
      </c>
      <c r="J2713">
        <v>162</v>
      </c>
      <c r="K2713" s="482">
        <v>0.42</v>
      </c>
      <c r="L2713" s="482">
        <v>0.40699999999999997</v>
      </c>
      <c r="M2713" s="482">
        <v>0.17299999999999999</v>
      </c>
    </row>
    <row r="2714" spans="1:13" x14ac:dyDescent="0.2">
      <c r="A2714" t="s">
        <v>4100</v>
      </c>
      <c r="B2714" t="s">
        <v>50</v>
      </c>
      <c r="C2714" t="s">
        <v>1</v>
      </c>
      <c r="D2714" t="s">
        <v>3421</v>
      </c>
      <c r="E2714" t="s">
        <v>3422</v>
      </c>
      <c r="F2714" t="s">
        <v>52</v>
      </c>
      <c r="G2714">
        <v>130</v>
      </c>
      <c r="H2714">
        <v>67</v>
      </c>
      <c r="I2714">
        <v>21</v>
      </c>
      <c r="J2714">
        <v>218</v>
      </c>
      <c r="K2714" s="482">
        <v>0.59599999999999997</v>
      </c>
      <c r="L2714" s="482">
        <v>0.307</v>
      </c>
      <c r="M2714" s="482">
        <v>9.6000000000000002E-2</v>
      </c>
    </row>
    <row r="2715" spans="1:13" x14ac:dyDescent="0.2">
      <c r="A2715" t="s">
        <v>4079</v>
      </c>
      <c r="B2715" t="s">
        <v>50</v>
      </c>
      <c r="C2715" t="s">
        <v>1</v>
      </c>
      <c r="D2715" t="s">
        <v>3485</v>
      </c>
      <c r="E2715" t="s">
        <v>3486</v>
      </c>
      <c r="F2715" t="s">
        <v>52</v>
      </c>
      <c r="G2715">
        <v>38</v>
      </c>
      <c r="H2715">
        <v>16</v>
      </c>
      <c r="I2715">
        <v>17</v>
      </c>
      <c r="J2715">
        <v>71</v>
      </c>
      <c r="K2715" s="482">
        <v>0.53500000000000003</v>
      </c>
      <c r="L2715" s="482">
        <v>0.22500000000000001</v>
      </c>
      <c r="M2715" s="482">
        <v>0.23899999999999999</v>
      </c>
    </row>
    <row r="2716" spans="1:13" x14ac:dyDescent="0.2">
      <c r="A2716" t="s">
        <v>4080</v>
      </c>
      <c r="B2716" t="s">
        <v>50</v>
      </c>
      <c r="C2716" t="s">
        <v>1</v>
      </c>
      <c r="D2716" t="s">
        <v>3482</v>
      </c>
      <c r="E2716" t="s">
        <v>3483</v>
      </c>
      <c r="F2716" t="s">
        <v>52</v>
      </c>
      <c r="G2716">
        <v>69</v>
      </c>
      <c r="H2716">
        <v>29</v>
      </c>
      <c r="I2716">
        <v>25</v>
      </c>
      <c r="J2716">
        <v>123</v>
      </c>
      <c r="K2716" s="482">
        <v>0.56100000000000005</v>
      </c>
      <c r="L2716" s="482">
        <v>0.23599999999999999</v>
      </c>
      <c r="M2716" s="482">
        <v>0.20300000000000001</v>
      </c>
    </row>
    <row r="2717" spans="1:13" x14ac:dyDescent="0.2">
      <c r="A2717" t="s">
        <v>4081</v>
      </c>
      <c r="B2717" t="s">
        <v>50</v>
      </c>
      <c r="C2717" t="s">
        <v>1</v>
      </c>
      <c r="D2717" t="s">
        <v>3478</v>
      </c>
      <c r="E2717" t="s">
        <v>3479</v>
      </c>
      <c r="F2717" t="s">
        <v>52</v>
      </c>
      <c r="G2717">
        <v>171</v>
      </c>
      <c r="H2717">
        <v>58</v>
      </c>
      <c r="I2717">
        <v>38</v>
      </c>
      <c r="J2717">
        <v>267</v>
      </c>
      <c r="K2717" s="482">
        <v>0.64</v>
      </c>
      <c r="L2717" s="482">
        <v>0.217</v>
      </c>
      <c r="M2717" s="482">
        <v>0.14199999999999999</v>
      </c>
    </row>
    <row r="2718" spans="1:13" x14ac:dyDescent="0.2">
      <c r="A2718" t="s">
        <v>4082</v>
      </c>
      <c r="B2718" t="s">
        <v>50</v>
      </c>
      <c r="C2718" t="s">
        <v>1</v>
      </c>
      <c r="D2718" t="s">
        <v>3475</v>
      </c>
      <c r="E2718" t="s">
        <v>3476</v>
      </c>
      <c r="F2718" t="s">
        <v>52</v>
      </c>
      <c r="G2718">
        <v>146</v>
      </c>
      <c r="H2718">
        <v>72</v>
      </c>
      <c r="I2718">
        <v>56</v>
      </c>
      <c r="J2718">
        <v>274</v>
      </c>
      <c r="K2718" s="482">
        <v>0.53300000000000003</v>
      </c>
      <c r="L2718" s="482">
        <v>0.26300000000000001</v>
      </c>
      <c r="M2718" s="482">
        <v>0.20399999999999999</v>
      </c>
    </row>
    <row r="2719" spans="1:13" x14ac:dyDescent="0.2">
      <c r="A2719" t="s">
        <v>4083</v>
      </c>
      <c r="B2719" t="s">
        <v>50</v>
      </c>
      <c r="C2719" t="s">
        <v>1</v>
      </c>
      <c r="D2719" t="s">
        <v>3472</v>
      </c>
      <c r="E2719" t="s">
        <v>3473</v>
      </c>
      <c r="F2719" t="s">
        <v>52</v>
      </c>
      <c r="G2719">
        <v>88</v>
      </c>
      <c r="H2719">
        <v>70</v>
      </c>
      <c r="I2719">
        <v>39</v>
      </c>
      <c r="J2719">
        <v>197</v>
      </c>
      <c r="K2719" s="482">
        <v>0.44700000000000001</v>
      </c>
      <c r="L2719" s="482">
        <v>0.35499999999999998</v>
      </c>
      <c r="M2719" s="482">
        <v>0.19800000000000001</v>
      </c>
    </row>
    <row r="2720" spans="1:13" x14ac:dyDescent="0.2">
      <c r="A2720" t="s">
        <v>4084</v>
      </c>
      <c r="B2720" t="s">
        <v>50</v>
      </c>
      <c r="C2720" t="s">
        <v>1</v>
      </c>
      <c r="D2720" t="s">
        <v>3469</v>
      </c>
      <c r="E2720" t="s">
        <v>3470</v>
      </c>
      <c r="F2720" t="s">
        <v>52</v>
      </c>
      <c r="G2720" t="s">
        <v>53</v>
      </c>
      <c r="H2720">
        <v>0</v>
      </c>
      <c r="I2720">
        <v>0</v>
      </c>
      <c r="J2720" t="s">
        <v>53</v>
      </c>
      <c r="K2720" t="s">
        <v>53</v>
      </c>
      <c r="L2720" t="s">
        <v>53</v>
      </c>
      <c r="M2720" t="s">
        <v>53</v>
      </c>
    </row>
    <row r="2721" spans="1:13" x14ac:dyDescent="0.2">
      <c r="A2721" t="s">
        <v>4085</v>
      </c>
      <c r="B2721" t="s">
        <v>50</v>
      </c>
      <c r="C2721" t="s">
        <v>1</v>
      </c>
      <c r="D2721" t="s">
        <v>3466</v>
      </c>
      <c r="E2721" t="s">
        <v>3467</v>
      </c>
      <c r="F2721" t="s">
        <v>52</v>
      </c>
      <c r="G2721">
        <v>82</v>
      </c>
      <c r="H2721">
        <v>60</v>
      </c>
      <c r="I2721">
        <v>56</v>
      </c>
      <c r="J2721">
        <v>198</v>
      </c>
      <c r="K2721" s="482">
        <v>0.41399999999999998</v>
      </c>
      <c r="L2721" s="482">
        <v>0.30299999999999999</v>
      </c>
      <c r="M2721" s="482">
        <v>0.28299999999999997</v>
      </c>
    </row>
    <row r="2722" spans="1:13" x14ac:dyDescent="0.2">
      <c r="A2722" t="s">
        <v>4086</v>
      </c>
      <c r="B2722" t="s">
        <v>50</v>
      </c>
      <c r="C2722" t="s">
        <v>1</v>
      </c>
      <c r="D2722" t="s">
        <v>3463</v>
      </c>
      <c r="E2722" t="s">
        <v>3464</v>
      </c>
      <c r="F2722" t="s">
        <v>52</v>
      </c>
      <c r="G2722">
        <v>70</v>
      </c>
      <c r="H2722">
        <v>47</v>
      </c>
      <c r="I2722">
        <v>42</v>
      </c>
      <c r="J2722">
        <v>159</v>
      </c>
      <c r="K2722" s="482">
        <v>0.44</v>
      </c>
      <c r="L2722" s="482">
        <v>0.29599999999999999</v>
      </c>
      <c r="M2722" s="482">
        <v>0.26400000000000001</v>
      </c>
    </row>
    <row r="2723" spans="1:13" x14ac:dyDescent="0.2">
      <c r="A2723" t="s">
        <v>4087</v>
      </c>
      <c r="B2723" t="s">
        <v>50</v>
      </c>
      <c r="C2723" t="s">
        <v>1</v>
      </c>
      <c r="D2723" t="s">
        <v>3460</v>
      </c>
      <c r="E2723" t="s">
        <v>3461</v>
      </c>
      <c r="F2723" t="s">
        <v>52</v>
      </c>
      <c r="G2723">
        <v>58</v>
      </c>
      <c r="H2723">
        <v>35</v>
      </c>
      <c r="I2723">
        <v>14</v>
      </c>
      <c r="J2723">
        <v>107</v>
      </c>
      <c r="K2723" s="482">
        <v>0.54200000000000004</v>
      </c>
      <c r="L2723" s="482">
        <v>0.32700000000000001</v>
      </c>
      <c r="M2723" s="482">
        <v>0.13100000000000001</v>
      </c>
    </row>
    <row r="2724" spans="1:13" x14ac:dyDescent="0.2">
      <c r="A2724" t="s">
        <v>4088</v>
      </c>
      <c r="B2724" t="s">
        <v>50</v>
      </c>
      <c r="C2724" t="s">
        <v>1</v>
      </c>
      <c r="D2724" t="s">
        <v>3457</v>
      </c>
      <c r="E2724" t="s">
        <v>3458</v>
      </c>
      <c r="F2724" t="s">
        <v>52</v>
      </c>
      <c r="G2724">
        <v>12</v>
      </c>
      <c r="H2724">
        <v>13</v>
      </c>
      <c r="I2724">
        <v>12</v>
      </c>
      <c r="J2724">
        <v>37</v>
      </c>
      <c r="K2724" s="482">
        <v>0.32400000000000001</v>
      </c>
      <c r="L2724" s="482">
        <v>0.35099999999999998</v>
      </c>
      <c r="M2724" s="482">
        <v>0.32400000000000001</v>
      </c>
    </row>
    <row r="2725" spans="1:13" x14ac:dyDescent="0.2">
      <c r="A2725" t="s">
        <v>4089</v>
      </c>
      <c r="B2725" t="s">
        <v>50</v>
      </c>
      <c r="C2725" t="s">
        <v>1</v>
      </c>
      <c r="D2725" t="s">
        <v>3454</v>
      </c>
      <c r="E2725" t="s">
        <v>3455</v>
      </c>
      <c r="F2725" t="s">
        <v>52</v>
      </c>
      <c r="G2725">
        <v>67</v>
      </c>
      <c r="H2725">
        <v>44</v>
      </c>
      <c r="I2725">
        <v>31</v>
      </c>
      <c r="J2725">
        <v>142</v>
      </c>
      <c r="K2725" s="482">
        <v>0.47199999999999998</v>
      </c>
      <c r="L2725" s="482">
        <v>0.31</v>
      </c>
      <c r="M2725" s="482">
        <v>0.218</v>
      </c>
    </row>
    <row r="2726" spans="1:13" x14ac:dyDescent="0.2">
      <c r="A2726" t="s">
        <v>4090</v>
      </c>
      <c r="B2726" t="s">
        <v>50</v>
      </c>
      <c r="C2726" t="s">
        <v>1</v>
      </c>
      <c r="D2726" t="s">
        <v>3451</v>
      </c>
      <c r="E2726" t="s">
        <v>3452</v>
      </c>
      <c r="F2726" t="s">
        <v>52</v>
      </c>
      <c r="G2726">
        <v>118</v>
      </c>
      <c r="H2726">
        <v>69</v>
      </c>
      <c r="I2726">
        <v>24</v>
      </c>
      <c r="J2726">
        <v>211</v>
      </c>
      <c r="K2726" s="482">
        <v>0.55900000000000005</v>
      </c>
      <c r="L2726" s="482">
        <v>0.32700000000000001</v>
      </c>
      <c r="M2726" s="482">
        <v>0.114</v>
      </c>
    </row>
    <row r="2727" spans="1:13" x14ac:dyDescent="0.2">
      <c r="A2727" t="s">
        <v>4091</v>
      </c>
      <c r="B2727" t="s">
        <v>50</v>
      </c>
      <c r="C2727" t="s">
        <v>1</v>
      </c>
      <c r="D2727" t="s">
        <v>3448</v>
      </c>
      <c r="E2727" t="s">
        <v>3449</v>
      </c>
      <c r="F2727" t="s">
        <v>52</v>
      </c>
      <c r="G2727">
        <v>51</v>
      </c>
      <c r="H2727">
        <v>25</v>
      </c>
      <c r="I2727">
        <v>20</v>
      </c>
      <c r="J2727">
        <v>96</v>
      </c>
      <c r="K2727" s="482">
        <v>0.53100000000000003</v>
      </c>
      <c r="L2727" s="482">
        <v>0.26</v>
      </c>
      <c r="M2727" s="482">
        <v>0.20799999999999999</v>
      </c>
    </row>
    <row r="2728" spans="1:13" x14ac:dyDescent="0.2">
      <c r="A2728" t="s">
        <v>4102</v>
      </c>
      <c r="B2728" t="s">
        <v>50</v>
      </c>
      <c r="C2728" t="s">
        <v>1</v>
      </c>
      <c r="D2728" t="s">
        <v>3415</v>
      </c>
      <c r="E2728" t="s">
        <v>3416</v>
      </c>
      <c r="F2728" t="s">
        <v>52</v>
      </c>
      <c r="G2728">
        <v>15</v>
      </c>
      <c r="H2728">
        <v>13</v>
      </c>
      <c r="I2728">
        <v>6</v>
      </c>
      <c r="J2728">
        <v>34</v>
      </c>
      <c r="K2728" s="482">
        <v>0.441</v>
      </c>
      <c r="L2728" s="482">
        <v>0.38200000000000001</v>
      </c>
      <c r="M2728" s="482">
        <v>0.17599999999999999</v>
      </c>
    </row>
    <row r="2729" spans="1:13" x14ac:dyDescent="0.2">
      <c r="A2729" t="s">
        <v>4103</v>
      </c>
      <c r="B2729" t="s">
        <v>50</v>
      </c>
      <c r="C2729" t="s">
        <v>1</v>
      </c>
      <c r="D2729" t="s">
        <v>3412</v>
      </c>
      <c r="E2729" t="s">
        <v>3413</v>
      </c>
      <c r="F2729" t="s">
        <v>52</v>
      </c>
      <c r="G2729">
        <v>0</v>
      </c>
      <c r="H2729" t="s">
        <v>53</v>
      </c>
      <c r="I2729">
        <v>0</v>
      </c>
      <c r="J2729" t="s">
        <v>53</v>
      </c>
      <c r="K2729" t="s">
        <v>53</v>
      </c>
      <c r="L2729" t="s">
        <v>53</v>
      </c>
      <c r="M2729" t="s">
        <v>53</v>
      </c>
    </row>
    <row r="2730" spans="1:13" x14ac:dyDescent="0.2">
      <c r="A2730" t="s">
        <v>4094</v>
      </c>
      <c r="B2730" t="s">
        <v>50</v>
      </c>
      <c r="C2730" t="s">
        <v>1</v>
      </c>
      <c r="D2730" t="s">
        <v>3439</v>
      </c>
      <c r="E2730" t="s">
        <v>3440</v>
      </c>
      <c r="F2730" t="s">
        <v>52</v>
      </c>
      <c r="G2730">
        <v>14</v>
      </c>
      <c r="H2730">
        <v>13</v>
      </c>
      <c r="I2730">
        <v>3</v>
      </c>
      <c r="J2730">
        <v>30</v>
      </c>
      <c r="K2730" s="482">
        <v>0.46700000000000003</v>
      </c>
      <c r="L2730" s="482">
        <v>0.433</v>
      </c>
      <c r="M2730" s="482">
        <v>0.1</v>
      </c>
    </row>
    <row r="2731" spans="1:13" x14ac:dyDescent="0.2">
      <c r="A2731" t="s">
        <v>4095</v>
      </c>
      <c r="B2731" t="s">
        <v>50</v>
      </c>
      <c r="C2731" t="s">
        <v>1</v>
      </c>
      <c r="D2731" t="s">
        <v>3436</v>
      </c>
      <c r="E2731" t="s">
        <v>3437</v>
      </c>
      <c r="F2731" t="s">
        <v>52</v>
      </c>
      <c r="G2731">
        <v>12</v>
      </c>
      <c r="H2731">
        <v>6</v>
      </c>
      <c r="I2731">
        <v>2</v>
      </c>
      <c r="J2731">
        <v>20</v>
      </c>
      <c r="K2731" s="482">
        <v>0.6</v>
      </c>
      <c r="L2731" s="482">
        <v>0.3</v>
      </c>
      <c r="M2731" s="482">
        <v>0.1</v>
      </c>
    </row>
    <row r="2732" spans="1:13" x14ac:dyDescent="0.2">
      <c r="A2732" t="s">
        <v>4096</v>
      </c>
      <c r="B2732" t="s">
        <v>50</v>
      </c>
      <c r="C2732" t="s">
        <v>1</v>
      </c>
      <c r="D2732" t="s">
        <v>3433</v>
      </c>
      <c r="E2732" t="s">
        <v>3434</v>
      </c>
      <c r="F2732" t="s">
        <v>52</v>
      </c>
      <c r="G2732">
        <v>14</v>
      </c>
      <c r="H2732">
        <v>6</v>
      </c>
      <c r="I2732">
        <v>1</v>
      </c>
      <c r="J2732">
        <v>21</v>
      </c>
      <c r="K2732" s="482">
        <v>0.66700000000000004</v>
      </c>
      <c r="L2732" s="482">
        <v>0.28599999999999998</v>
      </c>
      <c r="M2732" s="482">
        <v>4.8000000000000001E-2</v>
      </c>
    </row>
    <row r="2733" spans="1:13" x14ac:dyDescent="0.2">
      <c r="A2733" t="s">
        <v>4097</v>
      </c>
      <c r="B2733" t="s">
        <v>50</v>
      </c>
      <c r="C2733" t="s">
        <v>1</v>
      </c>
      <c r="D2733" t="s">
        <v>3430</v>
      </c>
      <c r="E2733" t="s">
        <v>3431</v>
      </c>
      <c r="F2733" t="s">
        <v>52</v>
      </c>
      <c r="G2733">
        <v>70</v>
      </c>
      <c r="H2733">
        <v>35</v>
      </c>
      <c r="I2733">
        <v>30</v>
      </c>
      <c r="J2733">
        <v>135</v>
      </c>
      <c r="K2733" s="482">
        <v>0.51900000000000002</v>
      </c>
      <c r="L2733" s="482">
        <v>0.25900000000000001</v>
      </c>
      <c r="M2733" s="482">
        <v>0.222</v>
      </c>
    </row>
    <row r="2734" spans="1:13" x14ac:dyDescent="0.2">
      <c r="A2734" t="s">
        <v>4098</v>
      </c>
      <c r="B2734" t="s">
        <v>50</v>
      </c>
      <c r="C2734" t="s">
        <v>1</v>
      </c>
      <c r="D2734" t="s">
        <v>3427</v>
      </c>
      <c r="E2734" t="s">
        <v>3428</v>
      </c>
      <c r="F2734" t="s">
        <v>52</v>
      </c>
      <c r="G2734">
        <v>38</v>
      </c>
      <c r="H2734">
        <v>19</v>
      </c>
      <c r="I2734">
        <v>13</v>
      </c>
      <c r="J2734">
        <v>70</v>
      </c>
      <c r="K2734" s="482">
        <v>0.54300000000000004</v>
      </c>
      <c r="L2734" s="482">
        <v>0.27100000000000002</v>
      </c>
      <c r="M2734" s="482">
        <v>0.186</v>
      </c>
    </row>
    <row r="2735" spans="1:13" x14ac:dyDescent="0.2">
      <c r="A2735" t="s">
        <v>4101</v>
      </c>
      <c r="B2735" t="s">
        <v>50</v>
      </c>
      <c r="C2735" t="s">
        <v>1</v>
      </c>
      <c r="D2735" t="s">
        <v>3418</v>
      </c>
      <c r="E2735" t="s">
        <v>3419</v>
      </c>
      <c r="F2735" t="s">
        <v>52</v>
      </c>
      <c r="G2735">
        <v>29</v>
      </c>
      <c r="H2735">
        <v>19</v>
      </c>
      <c r="I2735">
        <v>9</v>
      </c>
      <c r="J2735">
        <v>57</v>
      </c>
      <c r="K2735" s="482">
        <v>0.50900000000000001</v>
      </c>
      <c r="L2735" s="482">
        <v>0.33300000000000002</v>
      </c>
      <c r="M2735" s="482">
        <v>0.158</v>
      </c>
    </row>
    <row r="2736" spans="1:13" x14ac:dyDescent="0.2">
      <c r="A2736" t="s">
        <v>4105</v>
      </c>
      <c r="B2736" t="s">
        <v>50</v>
      </c>
      <c r="C2736" t="s">
        <v>1</v>
      </c>
      <c r="D2736" t="s">
        <v>3406</v>
      </c>
      <c r="E2736" t="s">
        <v>3407</v>
      </c>
      <c r="F2736" t="s">
        <v>52</v>
      </c>
      <c r="G2736">
        <v>33</v>
      </c>
      <c r="H2736">
        <v>24</v>
      </c>
      <c r="I2736">
        <v>11</v>
      </c>
      <c r="J2736">
        <v>68</v>
      </c>
      <c r="K2736" s="482">
        <v>0.48499999999999999</v>
      </c>
      <c r="L2736" s="482">
        <v>0.35299999999999998</v>
      </c>
      <c r="M2736" s="482">
        <v>0.16200000000000001</v>
      </c>
    </row>
    <row r="2737" spans="1:13" x14ac:dyDescent="0.2">
      <c r="A2737" t="s">
        <v>3958</v>
      </c>
      <c r="B2737" t="s">
        <v>50</v>
      </c>
      <c r="C2737" t="s">
        <v>1</v>
      </c>
      <c r="D2737" t="s">
        <v>3849</v>
      </c>
      <c r="E2737" t="s">
        <v>3850</v>
      </c>
      <c r="F2737" t="s">
        <v>52</v>
      </c>
      <c r="G2737">
        <v>12</v>
      </c>
      <c r="H2737">
        <v>8</v>
      </c>
      <c r="I2737">
        <v>8</v>
      </c>
      <c r="J2737">
        <v>28</v>
      </c>
      <c r="K2737" s="482">
        <v>0.42899999999999999</v>
      </c>
      <c r="L2737" s="482">
        <v>0.28599999999999998</v>
      </c>
      <c r="M2737" s="482">
        <v>0.28599999999999998</v>
      </c>
    </row>
    <row r="2738" spans="1:13" x14ac:dyDescent="0.2">
      <c r="A2738" t="s">
        <v>3966</v>
      </c>
      <c r="B2738" t="s">
        <v>50</v>
      </c>
      <c r="C2738" t="s">
        <v>1</v>
      </c>
      <c r="D2738" t="s">
        <v>3829</v>
      </c>
      <c r="E2738" t="s">
        <v>3830</v>
      </c>
      <c r="F2738" t="s">
        <v>52</v>
      </c>
      <c r="G2738">
        <v>126</v>
      </c>
      <c r="H2738">
        <v>102</v>
      </c>
      <c r="I2738">
        <v>36</v>
      </c>
      <c r="J2738">
        <v>264</v>
      </c>
      <c r="K2738" s="482">
        <v>0.47699999999999998</v>
      </c>
      <c r="L2738" s="482">
        <v>0.38600000000000001</v>
      </c>
      <c r="M2738" s="482">
        <v>0.13600000000000001</v>
      </c>
    </row>
    <row r="2739" spans="1:13" x14ac:dyDescent="0.2">
      <c r="A2739" t="s">
        <v>3967</v>
      </c>
      <c r="B2739" t="s">
        <v>50</v>
      </c>
      <c r="C2739" t="s">
        <v>1</v>
      </c>
      <c r="D2739" t="s">
        <v>3826</v>
      </c>
      <c r="E2739" t="s">
        <v>3827</v>
      </c>
      <c r="F2739" t="s">
        <v>52</v>
      </c>
      <c r="G2739">
        <v>81</v>
      </c>
      <c r="H2739">
        <v>37</v>
      </c>
      <c r="I2739">
        <v>30</v>
      </c>
      <c r="J2739">
        <v>148</v>
      </c>
      <c r="K2739" s="482">
        <v>0.54700000000000004</v>
      </c>
      <c r="L2739" s="482">
        <v>0.25</v>
      </c>
      <c r="M2739" s="482">
        <v>0.20300000000000001</v>
      </c>
    </row>
    <row r="2740" spans="1:13" x14ac:dyDescent="0.2">
      <c r="A2740" t="s">
        <v>3968</v>
      </c>
      <c r="B2740" t="s">
        <v>50</v>
      </c>
      <c r="C2740" t="s">
        <v>1</v>
      </c>
      <c r="D2740" t="s">
        <v>3823</v>
      </c>
      <c r="E2740" t="s">
        <v>3824</v>
      </c>
      <c r="F2740" t="s">
        <v>52</v>
      </c>
      <c r="G2740">
        <v>108</v>
      </c>
      <c r="H2740">
        <v>60</v>
      </c>
      <c r="I2740">
        <v>41</v>
      </c>
      <c r="J2740">
        <v>209</v>
      </c>
      <c r="K2740" s="482">
        <v>0.51700000000000002</v>
      </c>
      <c r="L2740" s="482">
        <v>0.28699999999999998</v>
      </c>
      <c r="M2740" s="482">
        <v>0.19600000000000001</v>
      </c>
    </row>
    <row r="2741" spans="1:13" x14ac:dyDescent="0.2">
      <c r="A2741" t="s">
        <v>3969</v>
      </c>
      <c r="B2741" t="s">
        <v>50</v>
      </c>
      <c r="C2741" t="s">
        <v>1</v>
      </c>
      <c r="D2741" t="s">
        <v>3820</v>
      </c>
      <c r="E2741" t="s">
        <v>3821</v>
      </c>
      <c r="F2741" t="s">
        <v>52</v>
      </c>
      <c r="G2741">
        <v>97</v>
      </c>
      <c r="H2741">
        <v>52</v>
      </c>
      <c r="I2741">
        <v>34</v>
      </c>
      <c r="J2741">
        <v>183</v>
      </c>
      <c r="K2741" s="482">
        <v>0.53</v>
      </c>
      <c r="L2741" s="482">
        <v>0.28399999999999997</v>
      </c>
      <c r="M2741" s="482">
        <v>0.186</v>
      </c>
    </row>
    <row r="2742" spans="1:13" x14ac:dyDescent="0.2">
      <c r="A2742" t="s">
        <v>3970</v>
      </c>
      <c r="B2742" t="s">
        <v>50</v>
      </c>
      <c r="C2742" t="s">
        <v>1</v>
      </c>
      <c r="D2742" t="s">
        <v>3817</v>
      </c>
      <c r="E2742" t="s">
        <v>3818</v>
      </c>
      <c r="F2742" t="s">
        <v>52</v>
      </c>
      <c r="G2742">
        <v>49</v>
      </c>
      <c r="H2742">
        <v>28</v>
      </c>
      <c r="I2742">
        <v>19</v>
      </c>
      <c r="J2742">
        <v>96</v>
      </c>
      <c r="K2742" s="482">
        <v>0.51</v>
      </c>
      <c r="L2742" s="482">
        <v>0.29199999999999998</v>
      </c>
      <c r="M2742" s="482">
        <v>0.19800000000000001</v>
      </c>
    </row>
    <row r="2743" spans="1:13" x14ac:dyDescent="0.2">
      <c r="A2743" t="s">
        <v>3971</v>
      </c>
      <c r="B2743" t="s">
        <v>50</v>
      </c>
      <c r="C2743" t="s">
        <v>1</v>
      </c>
      <c r="D2743" t="s">
        <v>3814</v>
      </c>
      <c r="E2743" t="s">
        <v>3815</v>
      </c>
      <c r="F2743" t="s">
        <v>52</v>
      </c>
      <c r="G2743">
        <v>34</v>
      </c>
      <c r="H2743">
        <v>10</v>
      </c>
      <c r="I2743">
        <v>14</v>
      </c>
      <c r="J2743">
        <v>58</v>
      </c>
      <c r="K2743" s="482">
        <v>0.58599999999999997</v>
      </c>
      <c r="L2743" s="482">
        <v>0.17199999999999999</v>
      </c>
      <c r="M2743" s="482">
        <v>0.24099999999999999</v>
      </c>
    </row>
    <row r="2744" spans="1:13" x14ac:dyDescent="0.2">
      <c r="A2744" t="s">
        <v>3964</v>
      </c>
      <c r="B2744" t="s">
        <v>50</v>
      </c>
      <c r="C2744" t="s">
        <v>1</v>
      </c>
      <c r="D2744" t="s">
        <v>3808</v>
      </c>
      <c r="E2744" t="s">
        <v>3809</v>
      </c>
      <c r="F2744" t="s">
        <v>52</v>
      </c>
      <c r="G2744">
        <v>10</v>
      </c>
      <c r="H2744">
        <v>4</v>
      </c>
      <c r="I2744">
        <v>4</v>
      </c>
      <c r="J2744">
        <v>18</v>
      </c>
      <c r="K2744" s="482">
        <v>0.55600000000000005</v>
      </c>
      <c r="L2744" s="482">
        <v>0.222</v>
      </c>
      <c r="M2744" s="482">
        <v>0.222</v>
      </c>
    </row>
    <row r="2745" spans="1:13" x14ac:dyDescent="0.2">
      <c r="A2745" t="s">
        <v>4161</v>
      </c>
      <c r="B2745" t="s">
        <v>50</v>
      </c>
      <c r="C2745" t="s">
        <v>1</v>
      </c>
      <c r="D2745" t="s">
        <v>3237</v>
      </c>
      <c r="E2745" t="s">
        <v>3238</v>
      </c>
      <c r="F2745" t="s">
        <v>52</v>
      </c>
      <c r="G2745">
        <v>52</v>
      </c>
      <c r="H2745">
        <v>34</v>
      </c>
      <c r="I2745">
        <v>17</v>
      </c>
      <c r="J2745">
        <v>103</v>
      </c>
      <c r="K2745" s="482">
        <v>0.505</v>
      </c>
      <c r="L2745" s="482">
        <v>0.33</v>
      </c>
      <c r="M2745" s="482">
        <v>0.16500000000000001</v>
      </c>
    </row>
    <row r="2746" spans="1:13" x14ac:dyDescent="0.2">
      <c r="A2746" t="s">
        <v>4195</v>
      </c>
      <c r="B2746" t="s">
        <v>50</v>
      </c>
      <c r="C2746" t="s">
        <v>1</v>
      </c>
      <c r="D2746" t="s">
        <v>3136</v>
      </c>
      <c r="E2746" t="s">
        <v>3137</v>
      </c>
      <c r="F2746" t="s">
        <v>52</v>
      </c>
      <c r="G2746">
        <v>11</v>
      </c>
      <c r="H2746">
        <v>11</v>
      </c>
      <c r="I2746">
        <v>5</v>
      </c>
      <c r="J2746">
        <v>27</v>
      </c>
      <c r="K2746" s="482">
        <v>0.40699999999999997</v>
      </c>
      <c r="L2746" s="482">
        <v>0.40699999999999997</v>
      </c>
      <c r="M2746" s="482">
        <v>0.185</v>
      </c>
    </row>
    <row r="2747" spans="1:13" x14ac:dyDescent="0.2">
      <c r="A2747" t="s">
        <v>4163</v>
      </c>
      <c r="B2747" t="s">
        <v>50</v>
      </c>
      <c r="C2747" t="s">
        <v>1</v>
      </c>
      <c r="D2747" t="s">
        <v>3231</v>
      </c>
      <c r="E2747" t="s">
        <v>3232</v>
      </c>
      <c r="F2747" t="s">
        <v>52</v>
      </c>
      <c r="G2747">
        <v>36</v>
      </c>
      <c r="H2747">
        <v>13</v>
      </c>
      <c r="I2747">
        <v>4</v>
      </c>
      <c r="J2747">
        <v>53</v>
      </c>
      <c r="K2747" s="482">
        <v>0.67900000000000005</v>
      </c>
      <c r="L2747" s="482">
        <v>0.245</v>
      </c>
      <c r="M2747" s="482">
        <v>7.4999999999999997E-2</v>
      </c>
    </row>
    <row r="2748" spans="1:13" x14ac:dyDescent="0.2">
      <c r="A2748" t="s">
        <v>4162</v>
      </c>
      <c r="B2748" t="s">
        <v>50</v>
      </c>
      <c r="C2748" t="s">
        <v>1</v>
      </c>
      <c r="D2748" t="s">
        <v>3234</v>
      </c>
      <c r="E2748" t="s">
        <v>3235</v>
      </c>
      <c r="F2748" t="s">
        <v>52</v>
      </c>
      <c r="G2748">
        <v>42</v>
      </c>
      <c r="H2748">
        <v>31</v>
      </c>
      <c r="I2748">
        <v>17</v>
      </c>
      <c r="J2748">
        <v>90</v>
      </c>
      <c r="K2748" s="482">
        <v>0.46700000000000003</v>
      </c>
      <c r="L2748" s="482">
        <v>0.34399999999999997</v>
      </c>
      <c r="M2748" s="482">
        <v>0.189</v>
      </c>
    </row>
    <row r="2749" spans="1:13" x14ac:dyDescent="0.2">
      <c r="A2749" t="s">
        <v>3978</v>
      </c>
      <c r="B2749" t="s">
        <v>50</v>
      </c>
      <c r="C2749" t="s">
        <v>1</v>
      </c>
      <c r="D2749" t="s">
        <v>3790</v>
      </c>
      <c r="E2749" t="s">
        <v>3791</v>
      </c>
      <c r="F2749" t="s">
        <v>52</v>
      </c>
      <c r="G2749">
        <v>77</v>
      </c>
      <c r="H2749">
        <v>57</v>
      </c>
      <c r="I2749">
        <v>32</v>
      </c>
      <c r="J2749">
        <v>166</v>
      </c>
      <c r="K2749" s="482">
        <v>0.46400000000000002</v>
      </c>
      <c r="L2749" s="482">
        <v>0.34300000000000003</v>
      </c>
      <c r="M2749" s="482">
        <v>0.193</v>
      </c>
    </row>
    <row r="2750" spans="1:13" x14ac:dyDescent="0.2">
      <c r="A2750" t="s">
        <v>3979</v>
      </c>
      <c r="B2750" t="s">
        <v>50</v>
      </c>
      <c r="C2750" t="s">
        <v>1</v>
      </c>
      <c r="D2750" t="s">
        <v>3787</v>
      </c>
      <c r="E2750" t="s">
        <v>3788</v>
      </c>
      <c r="F2750" t="s">
        <v>52</v>
      </c>
      <c r="G2750">
        <v>28</v>
      </c>
      <c r="H2750">
        <v>28</v>
      </c>
      <c r="I2750">
        <v>13</v>
      </c>
      <c r="J2750">
        <v>69</v>
      </c>
      <c r="K2750" s="482">
        <v>0.40600000000000003</v>
      </c>
      <c r="L2750" s="482">
        <v>0.40600000000000003</v>
      </c>
      <c r="M2750" s="482">
        <v>0.188</v>
      </c>
    </row>
    <row r="2751" spans="1:13" x14ac:dyDescent="0.2">
      <c r="A2751" t="s">
        <v>3980</v>
      </c>
      <c r="B2751" t="s">
        <v>50</v>
      </c>
      <c r="C2751" t="s">
        <v>1</v>
      </c>
      <c r="D2751" t="s">
        <v>3784</v>
      </c>
      <c r="E2751" t="s">
        <v>3785</v>
      </c>
      <c r="F2751" t="s">
        <v>52</v>
      </c>
      <c r="G2751">
        <v>94</v>
      </c>
      <c r="H2751">
        <v>62</v>
      </c>
      <c r="I2751">
        <v>44</v>
      </c>
      <c r="J2751">
        <v>200</v>
      </c>
      <c r="K2751" s="482">
        <v>0.47</v>
      </c>
      <c r="L2751" s="482">
        <v>0.31</v>
      </c>
      <c r="M2751" s="482">
        <v>0.22</v>
      </c>
    </row>
    <row r="2752" spans="1:13" x14ac:dyDescent="0.2">
      <c r="A2752" t="s">
        <v>3981</v>
      </c>
      <c r="B2752" t="s">
        <v>50</v>
      </c>
      <c r="C2752" t="s">
        <v>1</v>
      </c>
      <c r="D2752" t="s">
        <v>3781</v>
      </c>
      <c r="E2752" t="s">
        <v>3782</v>
      </c>
      <c r="F2752" t="s">
        <v>52</v>
      </c>
      <c r="G2752">
        <v>44</v>
      </c>
      <c r="H2752">
        <v>37</v>
      </c>
      <c r="I2752">
        <v>17</v>
      </c>
      <c r="J2752">
        <v>98</v>
      </c>
      <c r="K2752" s="482">
        <v>0.44900000000000001</v>
      </c>
      <c r="L2752" s="482">
        <v>0.378</v>
      </c>
      <c r="M2752" s="482">
        <v>0.17299999999999999</v>
      </c>
    </row>
    <row r="2753" spans="1:13" x14ac:dyDescent="0.2">
      <c r="A2753" t="s">
        <v>3951</v>
      </c>
      <c r="B2753" t="s">
        <v>50</v>
      </c>
      <c r="C2753" t="s">
        <v>1</v>
      </c>
      <c r="D2753" t="s">
        <v>3870</v>
      </c>
      <c r="E2753" t="s">
        <v>3871</v>
      </c>
      <c r="F2753" t="s">
        <v>52</v>
      </c>
      <c r="G2753">
        <v>28</v>
      </c>
      <c r="H2753">
        <v>9</v>
      </c>
      <c r="I2753">
        <v>5</v>
      </c>
      <c r="J2753">
        <v>42</v>
      </c>
      <c r="K2753" s="482">
        <v>0.66700000000000004</v>
      </c>
      <c r="L2753" s="482">
        <v>0.214</v>
      </c>
      <c r="M2753" s="482">
        <v>0.11899999999999999</v>
      </c>
    </row>
    <row r="2754" spans="1:13" x14ac:dyDescent="0.2">
      <c r="A2754" t="s">
        <v>3952</v>
      </c>
      <c r="B2754" t="s">
        <v>50</v>
      </c>
      <c r="C2754" t="s">
        <v>1</v>
      </c>
      <c r="D2754" t="s">
        <v>3867</v>
      </c>
      <c r="E2754" t="s">
        <v>3868</v>
      </c>
      <c r="F2754" t="s">
        <v>52</v>
      </c>
      <c r="G2754">
        <v>74</v>
      </c>
      <c r="H2754">
        <v>51</v>
      </c>
      <c r="I2754">
        <v>21</v>
      </c>
      <c r="J2754">
        <v>146</v>
      </c>
      <c r="K2754" s="482">
        <v>0.50700000000000001</v>
      </c>
      <c r="L2754" s="482">
        <v>0.34899999999999998</v>
      </c>
      <c r="M2754" s="482">
        <v>0.14399999999999999</v>
      </c>
    </row>
    <row r="2755" spans="1:13" x14ac:dyDescent="0.2">
      <c r="A2755" t="s">
        <v>3953</v>
      </c>
      <c r="B2755" t="s">
        <v>50</v>
      </c>
      <c r="C2755" t="s">
        <v>1</v>
      </c>
      <c r="D2755" t="s">
        <v>3864</v>
      </c>
      <c r="E2755" t="s">
        <v>3865</v>
      </c>
      <c r="F2755" t="s">
        <v>52</v>
      </c>
      <c r="G2755">
        <v>57</v>
      </c>
      <c r="H2755">
        <v>71</v>
      </c>
      <c r="I2755">
        <v>26</v>
      </c>
      <c r="J2755">
        <v>154</v>
      </c>
      <c r="K2755" s="482">
        <v>0.37</v>
      </c>
      <c r="L2755" s="482">
        <v>0.46100000000000002</v>
      </c>
      <c r="M2755" s="482">
        <v>0.16900000000000001</v>
      </c>
    </row>
    <row r="2756" spans="1:13" x14ac:dyDescent="0.2">
      <c r="A2756" t="s">
        <v>3954</v>
      </c>
      <c r="B2756" t="s">
        <v>50</v>
      </c>
      <c r="C2756" t="s">
        <v>1</v>
      </c>
      <c r="D2756" t="s">
        <v>3861</v>
      </c>
      <c r="E2756" t="s">
        <v>3862</v>
      </c>
      <c r="F2756" t="s">
        <v>52</v>
      </c>
      <c r="G2756">
        <v>124</v>
      </c>
      <c r="H2756">
        <v>94</v>
      </c>
      <c r="I2756">
        <v>54</v>
      </c>
      <c r="J2756">
        <v>272</v>
      </c>
      <c r="K2756" s="482">
        <v>0.45600000000000002</v>
      </c>
      <c r="L2756" s="482">
        <v>0.34599999999999997</v>
      </c>
      <c r="M2756" s="482">
        <v>0.19900000000000001</v>
      </c>
    </row>
    <row r="2757" spans="1:13" x14ac:dyDescent="0.2">
      <c r="A2757" t="s">
        <v>3941</v>
      </c>
      <c r="B2757" t="s">
        <v>50</v>
      </c>
      <c r="C2757" t="s">
        <v>1</v>
      </c>
      <c r="D2757" t="s">
        <v>3900</v>
      </c>
      <c r="E2757" t="s">
        <v>3901</v>
      </c>
      <c r="F2757" t="s">
        <v>52</v>
      </c>
      <c r="G2757">
        <v>22</v>
      </c>
      <c r="H2757">
        <v>11</v>
      </c>
      <c r="I2757">
        <v>1</v>
      </c>
      <c r="J2757">
        <v>34</v>
      </c>
      <c r="K2757" s="482">
        <v>0.64700000000000002</v>
      </c>
      <c r="L2757" s="482">
        <v>0.32400000000000001</v>
      </c>
      <c r="M2757" s="482">
        <v>2.9000000000000001E-2</v>
      </c>
    </row>
    <row r="2758" spans="1:13" x14ac:dyDescent="0.2">
      <c r="A2758" t="s">
        <v>3955</v>
      </c>
      <c r="B2758" t="s">
        <v>50</v>
      </c>
      <c r="C2758" t="s">
        <v>1</v>
      </c>
      <c r="D2758" t="s">
        <v>3858</v>
      </c>
      <c r="E2758" t="s">
        <v>3859</v>
      </c>
      <c r="F2758" t="s">
        <v>52</v>
      </c>
      <c r="G2758">
        <v>36</v>
      </c>
      <c r="H2758">
        <v>19</v>
      </c>
      <c r="I2758">
        <v>23</v>
      </c>
      <c r="J2758">
        <v>78</v>
      </c>
      <c r="K2758" s="482">
        <v>0.46200000000000002</v>
      </c>
      <c r="L2758" s="482">
        <v>0.24399999999999999</v>
      </c>
      <c r="M2758" s="482">
        <v>0.29499999999999998</v>
      </c>
    </row>
    <row r="2759" spans="1:13" x14ac:dyDescent="0.2">
      <c r="A2759" t="s">
        <v>3956</v>
      </c>
      <c r="B2759" t="s">
        <v>50</v>
      </c>
      <c r="C2759" t="s">
        <v>1</v>
      </c>
      <c r="D2759" t="s">
        <v>3855</v>
      </c>
      <c r="E2759" t="s">
        <v>3856</v>
      </c>
      <c r="F2759" t="s">
        <v>52</v>
      </c>
      <c r="G2759">
        <v>2</v>
      </c>
      <c r="H2759">
        <v>2</v>
      </c>
      <c r="I2759">
        <v>2</v>
      </c>
      <c r="J2759">
        <v>6</v>
      </c>
      <c r="K2759" s="482">
        <v>0.33300000000000002</v>
      </c>
      <c r="L2759" s="482">
        <v>0.33300000000000002</v>
      </c>
      <c r="M2759" s="482">
        <v>0.33300000000000002</v>
      </c>
    </row>
    <row r="2760" spans="1:13" x14ac:dyDescent="0.2">
      <c r="A2760" t="s">
        <v>3957</v>
      </c>
      <c r="B2760" t="s">
        <v>50</v>
      </c>
      <c r="C2760" t="s">
        <v>1</v>
      </c>
      <c r="D2760" t="s">
        <v>3852</v>
      </c>
      <c r="E2760" t="s">
        <v>3853</v>
      </c>
      <c r="F2760" t="s">
        <v>52</v>
      </c>
      <c r="G2760">
        <v>63</v>
      </c>
      <c r="H2760">
        <v>40</v>
      </c>
      <c r="I2760">
        <v>20</v>
      </c>
      <c r="J2760">
        <v>123</v>
      </c>
      <c r="K2760" s="482">
        <v>0.51200000000000001</v>
      </c>
      <c r="L2760" s="482">
        <v>0.32500000000000001</v>
      </c>
      <c r="M2760" s="482">
        <v>0.16300000000000001</v>
      </c>
    </row>
    <row r="2761" spans="1:13" x14ac:dyDescent="0.2">
      <c r="A2761" t="s">
        <v>3947</v>
      </c>
      <c r="B2761" t="s">
        <v>50</v>
      </c>
      <c r="C2761" t="s">
        <v>1</v>
      </c>
      <c r="D2761" t="s">
        <v>3882</v>
      </c>
      <c r="E2761" t="s">
        <v>3883</v>
      </c>
      <c r="F2761" t="s">
        <v>52</v>
      </c>
      <c r="G2761">
        <v>63</v>
      </c>
      <c r="H2761">
        <v>42</v>
      </c>
      <c r="I2761">
        <v>17</v>
      </c>
      <c r="J2761">
        <v>122</v>
      </c>
      <c r="K2761" s="482">
        <v>0.51600000000000001</v>
      </c>
      <c r="L2761" s="482">
        <v>0.34399999999999997</v>
      </c>
      <c r="M2761" s="482">
        <v>0.13900000000000001</v>
      </c>
    </row>
    <row r="2762" spans="1:13" x14ac:dyDescent="0.2">
      <c r="A2762" t="s">
        <v>3948</v>
      </c>
      <c r="B2762" t="s">
        <v>50</v>
      </c>
      <c r="C2762" t="s">
        <v>1</v>
      </c>
      <c r="D2762" t="s">
        <v>3879</v>
      </c>
      <c r="E2762" t="s">
        <v>3880</v>
      </c>
      <c r="F2762" t="s">
        <v>52</v>
      </c>
      <c r="G2762">
        <v>7</v>
      </c>
      <c r="H2762">
        <v>10</v>
      </c>
      <c r="I2762">
        <v>5</v>
      </c>
      <c r="J2762">
        <v>22</v>
      </c>
      <c r="K2762" s="482">
        <v>0.318</v>
      </c>
      <c r="L2762" s="482">
        <v>0.45500000000000002</v>
      </c>
      <c r="M2762" s="482">
        <v>0.22700000000000001</v>
      </c>
    </row>
    <row r="2763" spans="1:13" x14ac:dyDescent="0.2">
      <c r="A2763" t="s">
        <v>3949</v>
      </c>
      <c r="B2763" t="s">
        <v>50</v>
      </c>
      <c r="C2763" t="s">
        <v>1</v>
      </c>
      <c r="D2763" t="s">
        <v>3876</v>
      </c>
      <c r="E2763" t="s">
        <v>3877</v>
      </c>
      <c r="F2763" t="s">
        <v>52</v>
      </c>
      <c r="G2763">
        <v>31</v>
      </c>
      <c r="H2763">
        <v>25</v>
      </c>
      <c r="I2763">
        <v>12</v>
      </c>
      <c r="J2763">
        <v>68</v>
      </c>
      <c r="K2763" s="482">
        <v>0.45600000000000002</v>
      </c>
      <c r="L2763" s="482">
        <v>0.36799999999999999</v>
      </c>
      <c r="M2763" s="482">
        <v>0.17599999999999999</v>
      </c>
    </row>
    <row r="2764" spans="1:13" x14ac:dyDescent="0.2">
      <c r="A2764" t="s">
        <v>3950</v>
      </c>
      <c r="B2764" t="s">
        <v>50</v>
      </c>
      <c r="C2764" t="s">
        <v>1</v>
      </c>
      <c r="D2764" t="s">
        <v>3873</v>
      </c>
      <c r="E2764" t="s">
        <v>3874</v>
      </c>
      <c r="F2764" t="s">
        <v>52</v>
      </c>
      <c r="G2764">
        <v>99</v>
      </c>
      <c r="H2764">
        <v>72</v>
      </c>
      <c r="I2764">
        <v>21</v>
      </c>
      <c r="J2764">
        <v>192</v>
      </c>
      <c r="K2764" s="482">
        <v>0.51600000000000001</v>
      </c>
      <c r="L2764" s="482">
        <v>0.375</v>
      </c>
      <c r="M2764" s="482">
        <v>0.109</v>
      </c>
    </row>
    <row r="2765" spans="1:13" x14ac:dyDescent="0.2">
      <c r="A2765" t="s">
        <v>4055</v>
      </c>
      <c r="B2765" t="s">
        <v>50</v>
      </c>
      <c r="C2765" t="s">
        <v>1</v>
      </c>
      <c r="D2765" t="s">
        <v>3555</v>
      </c>
      <c r="E2765" t="s">
        <v>3556</v>
      </c>
      <c r="F2765" t="s">
        <v>52</v>
      </c>
      <c r="G2765">
        <v>55</v>
      </c>
      <c r="H2765">
        <v>23</v>
      </c>
      <c r="I2765">
        <v>15</v>
      </c>
      <c r="J2765">
        <v>93</v>
      </c>
      <c r="K2765" s="482">
        <v>0.59099999999999997</v>
      </c>
      <c r="L2765" s="482">
        <v>0.247</v>
      </c>
      <c r="M2765" s="482">
        <v>0.161</v>
      </c>
    </row>
    <row r="2766" spans="1:13" x14ac:dyDescent="0.2">
      <c r="A2766" t="s">
        <v>4056</v>
      </c>
      <c r="B2766" t="s">
        <v>50</v>
      </c>
      <c r="C2766" t="s">
        <v>1</v>
      </c>
      <c r="D2766" t="s">
        <v>3552</v>
      </c>
      <c r="E2766" t="s">
        <v>3553</v>
      </c>
      <c r="F2766" t="s">
        <v>52</v>
      </c>
      <c r="G2766">
        <v>22</v>
      </c>
      <c r="H2766">
        <v>26</v>
      </c>
      <c r="I2766">
        <v>20</v>
      </c>
      <c r="J2766">
        <v>68</v>
      </c>
      <c r="K2766" s="482">
        <v>0.32400000000000001</v>
      </c>
      <c r="L2766" s="482">
        <v>0.38200000000000001</v>
      </c>
      <c r="M2766" s="482">
        <v>0.29399999999999998</v>
      </c>
    </row>
    <row r="2767" spans="1:13" x14ac:dyDescent="0.2">
      <c r="A2767" t="s">
        <v>4057</v>
      </c>
      <c r="B2767" t="s">
        <v>50</v>
      </c>
      <c r="C2767" t="s">
        <v>1</v>
      </c>
      <c r="D2767" t="s">
        <v>3549</v>
      </c>
      <c r="E2767" t="s">
        <v>3550</v>
      </c>
      <c r="F2767" t="s">
        <v>52</v>
      </c>
      <c r="G2767">
        <v>58</v>
      </c>
      <c r="H2767">
        <v>30</v>
      </c>
      <c r="I2767">
        <v>20</v>
      </c>
      <c r="J2767">
        <v>108</v>
      </c>
      <c r="K2767" s="482">
        <v>0.53700000000000003</v>
      </c>
      <c r="L2767" s="482">
        <v>0.27800000000000002</v>
      </c>
      <c r="M2767" s="482">
        <v>0.185</v>
      </c>
    </row>
    <row r="2768" spans="1:13" x14ac:dyDescent="0.2">
      <c r="A2768" t="s">
        <v>4070</v>
      </c>
      <c r="B2768" t="s">
        <v>50</v>
      </c>
      <c r="C2768" t="s">
        <v>1</v>
      </c>
      <c r="D2768" t="s">
        <v>3512</v>
      </c>
      <c r="E2768" t="s">
        <v>3513</v>
      </c>
      <c r="F2768" t="s">
        <v>52</v>
      </c>
      <c r="G2768">
        <v>0</v>
      </c>
      <c r="H2768" t="s">
        <v>53</v>
      </c>
      <c r="I2768">
        <v>0</v>
      </c>
      <c r="J2768" t="s">
        <v>53</v>
      </c>
      <c r="K2768" t="s">
        <v>53</v>
      </c>
      <c r="L2768" t="s">
        <v>53</v>
      </c>
      <c r="M2768" t="s">
        <v>53</v>
      </c>
    </row>
    <row r="2769" spans="1:13" x14ac:dyDescent="0.2">
      <c r="A2769" t="s">
        <v>4072</v>
      </c>
      <c r="B2769" t="s">
        <v>50</v>
      </c>
      <c r="C2769" t="s">
        <v>1</v>
      </c>
      <c r="D2769" t="s">
        <v>3506</v>
      </c>
      <c r="E2769" t="s">
        <v>3507</v>
      </c>
      <c r="F2769" t="s">
        <v>52</v>
      </c>
      <c r="G2769">
        <v>2</v>
      </c>
      <c r="H2769">
        <v>4</v>
      </c>
      <c r="I2769">
        <v>1</v>
      </c>
      <c r="J2769">
        <v>7</v>
      </c>
      <c r="K2769" s="482">
        <v>0.28599999999999998</v>
      </c>
      <c r="L2769" s="482">
        <v>0.57099999999999995</v>
      </c>
      <c r="M2769" s="482">
        <v>0.14299999999999999</v>
      </c>
    </row>
    <row r="2770" spans="1:13" x14ac:dyDescent="0.2">
      <c r="A2770" t="s">
        <v>4073</v>
      </c>
      <c r="B2770" t="s">
        <v>50</v>
      </c>
      <c r="C2770" t="s">
        <v>1</v>
      </c>
      <c r="D2770" t="s">
        <v>3503</v>
      </c>
      <c r="E2770" t="s">
        <v>3504</v>
      </c>
      <c r="F2770" t="s">
        <v>52</v>
      </c>
      <c r="G2770">
        <v>11</v>
      </c>
      <c r="H2770">
        <v>7</v>
      </c>
      <c r="I2770">
        <v>5</v>
      </c>
      <c r="J2770">
        <v>23</v>
      </c>
      <c r="K2770" s="482">
        <v>0.47799999999999998</v>
      </c>
      <c r="L2770" s="482">
        <v>0.30399999999999999</v>
      </c>
      <c r="M2770" s="482">
        <v>0.217</v>
      </c>
    </row>
    <row r="2771" spans="1:13" x14ac:dyDescent="0.2">
      <c r="A2771" t="s">
        <v>4071</v>
      </c>
      <c r="B2771" t="s">
        <v>50</v>
      </c>
      <c r="C2771" t="s">
        <v>1</v>
      </c>
      <c r="D2771" t="s">
        <v>3509</v>
      </c>
      <c r="E2771" t="s">
        <v>3510</v>
      </c>
      <c r="F2771" t="s">
        <v>52</v>
      </c>
      <c r="G2771">
        <v>5</v>
      </c>
      <c r="H2771">
        <v>5</v>
      </c>
      <c r="I2771">
        <v>2</v>
      </c>
      <c r="J2771">
        <v>12</v>
      </c>
      <c r="K2771" s="482">
        <v>0.41699999999999998</v>
      </c>
      <c r="L2771" s="482">
        <v>0.41699999999999998</v>
      </c>
      <c r="M2771" s="482">
        <v>0.16700000000000001</v>
      </c>
    </row>
    <row r="2772" spans="1:13" x14ac:dyDescent="0.2">
      <c r="A2772" t="s">
        <v>4054</v>
      </c>
      <c r="B2772" t="s">
        <v>50</v>
      </c>
      <c r="C2772" t="s">
        <v>1</v>
      </c>
      <c r="D2772" t="s">
        <v>3558</v>
      </c>
      <c r="E2772" t="s">
        <v>3559</v>
      </c>
      <c r="F2772" t="s">
        <v>52</v>
      </c>
      <c r="G2772">
        <v>53</v>
      </c>
      <c r="H2772">
        <v>34</v>
      </c>
      <c r="I2772">
        <v>13</v>
      </c>
      <c r="J2772">
        <v>100</v>
      </c>
      <c r="K2772" s="482">
        <v>0.53</v>
      </c>
      <c r="L2772" s="482">
        <v>0.34</v>
      </c>
      <c r="M2772" s="482">
        <v>0.13</v>
      </c>
    </row>
    <row r="2773" spans="1:13" x14ac:dyDescent="0.2">
      <c r="A2773" t="s">
        <v>4002</v>
      </c>
      <c r="B2773" t="s">
        <v>50</v>
      </c>
      <c r="C2773" t="s">
        <v>1</v>
      </c>
      <c r="D2773" t="s">
        <v>3718</v>
      </c>
      <c r="E2773" t="s">
        <v>3719</v>
      </c>
      <c r="F2773" t="s">
        <v>52</v>
      </c>
      <c r="G2773">
        <v>117</v>
      </c>
      <c r="H2773">
        <v>99</v>
      </c>
      <c r="I2773">
        <v>68</v>
      </c>
      <c r="J2773">
        <v>284</v>
      </c>
      <c r="K2773" s="482">
        <v>0.41199999999999998</v>
      </c>
      <c r="L2773" s="482">
        <v>0.34899999999999998</v>
      </c>
      <c r="M2773" s="482">
        <v>0.23899999999999999</v>
      </c>
    </row>
    <row r="2774" spans="1:13" x14ac:dyDescent="0.2">
      <c r="A2774" t="s">
        <v>4003</v>
      </c>
      <c r="B2774" t="s">
        <v>50</v>
      </c>
      <c r="C2774" t="s">
        <v>1</v>
      </c>
      <c r="D2774" t="s">
        <v>3715</v>
      </c>
      <c r="E2774" t="s">
        <v>3716</v>
      </c>
      <c r="F2774" t="s">
        <v>52</v>
      </c>
      <c r="G2774">
        <v>21</v>
      </c>
      <c r="H2774">
        <v>14</v>
      </c>
      <c r="I2774">
        <v>7</v>
      </c>
      <c r="J2774">
        <v>42</v>
      </c>
      <c r="K2774" s="482">
        <v>0.5</v>
      </c>
      <c r="L2774" s="482">
        <v>0.33300000000000002</v>
      </c>
      <c r="M2774" s="482">
        <v>0.16700000000000001</v>
      </c>
    </row>
    <row r="2775" spans="1:13" x14ac:dyDescent="0.2">
      <c r="A2775" t="s">
        <v>3982</v>
      </c>
      <c r="B2775" t="s">
        <v>50</v>
      </c>
      <c r="C2775" t="s">
        <v>1</v>
      </c>
      <c r="D2775" t="s">
        <v>3778</v>
      </c>
      <c r="E2775" t="s">
        <v>3779</v>
      </c>
      <c r="F2775" t="s">
        <v>52</v>
      </c>
      <c r="G2775">
        <v>56</v>
      </c>
      <c r="H2775">
        <v>43</v>
      </c>
      <c r="I2775">
        <v>21</v>
      </c>
      <c r="J2775">
        <v>120</v>
      </c>
      <c r="K2775" s="482">
        <v>0.46700000000000003</v>
      </c>
      <c r="L2775" s="482">
        <v>0.35799999999999998</v>
      </c>
      <c r="M2775" s="482">
        <v>0.17499999999999999</v>
      </c>
    </row>
    <row r="2776" spans="1:13" x14ac:dyDescent="0.2">
      <c r="A2776" t="s">
        <v>3983</v>
      </c>
      <c r="B2776" t="s">
        <v>50</v>
      </c>
      <c r="C2776" t="s">
        <v>1</v>
      </c>
      <c r="D2776" t="s">
        <v>3775</v>
      </c>
      <c r="E2776" t="s">
        <v>3776</v>
      </c>
      <c r="F2776" t="s">
        <v>52</v>
      </c>
      <c r="G2776" t="s">
        <v>53</v>
      </c>
      <c r="H2776">
        <v>0</v>
      </c>
      <c r="I2776" t="s">
        <v>53</v>
      </c>
      <c r="J2776" t="s">
        <v>53</v>
      </c>
      <c r="K2776" t="s">
        <v>53</v>
      </c>
      <c r="L2776" t="s">
        <v>53</v>
      </c>
      <c r="M2776" t="s">
        <v>53</v>
      </c>
    </row>
    <row r="2777" spans="1:13" x14ac:dyDescent="0.2">
      <c r="A2777" t="s">
        <v>3984</v>
      </c>
      <c r="B2777" t="s">
        <v>50</v>
      </c>
      <c r="C2777" t="s">
        <v>1</v>
      </c>
      <c r="D2777" t="s">
        <v>3772</v>
      </c>
      <c r="E2777" t="s">
        <v>3773</v>
      </c>
      <c r="F2777" t="s">
        <v>52</v>
      </c>
      <c r="G2777">
        <v>13</v>
      </c>
      <c r="H2777">
        <v>6</v>
      </c>
      <c r="I2777">
        <v>6</v>
      </c>
      <c r="J2777">
        <v>25</v>
      </c>
      <c r="K2777" s="482">
        <v>0.52</v>
      </c>
      <c r="L2777" s="482">
        <v>0.24</v>
      </c>
      <c r="M2777" s="482">
        <v>0.24</v>
      </c>
    </row>
    <row r="2778" spans="1:13" x14ac:dyDescent="0.2">
      <c r="A2778" t="s">
        <v>3985</v>
      </c>
      <c r="B2778" t="s">
        <v>50</v>
      </c>
      <c r="C2778" t="s">
        <v>1</v>
      </c>
      <c r="D2778" t="s">
        <v>3769</v>
      </c>
      <c r="E2778" t="s">
        <v>3770</v>
      </c>
      <c r="F2778" t="s">
        <v>52</v>
      </c>
      <c r="G2778">
        <v>44</v>
      </c>
      <c r="H2778">
        <v>45</v>
      </c>
      <c r="I2778">
        <v>15</v>
      </c>
      <c r="J2778">
        <v>104</v>
      </c>
      <c r="K2778" s="482">
        <v>0.42299999999999999</v>
      </c>
      <c r="L2778" s="482">
        <v>0.433</v>
      </c>
      <c r="M2778" s="482">
        <v>0.14399999999999999</v>
      </c>
    </row>
    <row r="2779" spans="1:13" x14ac:dyDescent="0.2">
      <c r="A2779" t="s">
        <v>3986</v>
      </c>
      <c r="B2779" t="s">
        <v>50</v>
      </c>
      <c r="C2779" t="s">
        <v>1</v>
      </c>
      <c r="D2779" t="s">
        <v>3766</v>
      </c>
      <c r="E2779" t="s">
        <v>3767</v>
      </c>
      <c r="F2779" t="s">
        <v>52</v>
      </c>
      <c r="G2779">
        <v>11</v>
      </c>
      <c r="H2779">
        <v>5</v>
      </c>
      <c r="I2779">
        <v>9</v>
      </c>
      <c r="J2779">
        <v>25</v>
      </c>
      <c r="K2779" s="482">
        <v>0.44</v>
      </c>
      <c r="L2779" s="482">
        <v>0.2</v>
      </c>
      <c r="M2779" s="482">
        <v>0.36</v>
      </c>
    </row>
    <row r="2780" spans="1:13" x14ac:dyDescent="0.2">
      <c r="A2780" t="s">
        <v>3987</v>
      </c>
      <c r="B2780" t="s">
        <v>50</v>
      </c>
      <c r="C2780" t="s">
        <v>1</v>
      </c>
      <c r="D2780" t="s">
        <v>3763</v>
      </c>
      <c r="E2780" t="s">
        <v>3764</v>
      </c>
      <c r="F2780" t="s">
        <v>52</v>
      </c>
      <c r="G2780">
        <v>59</v>
      </c>
      <c r="H2780">
        <v>54</v>
      </c>
      <c r="I2780">
        <v>38</v>
      </c>
      <c r="J2780">
        <v>151</v>
      </c>
      <c r="K2780" s="482">
        <v>0.39100000000000001</v>
      </c>
      <c r="L2780" s="482">
        <v>0.35799999999999998</v>
      </c>
      <c r="M2780" s="482">
        <v>0.252</v>
      </c>
    </row>
    <row r="2781" spans="1:13" x14ac:dyDescent="0.2">
      <c r="A2781" t="s">
        <v>6590</v>
      </c>
      <c r="B2781" t="s">
        <v>50</v>
      </c>
      <c r="C2781" t="s">
        <v>1</v>
      </c>
      <c r="D2781" t="s">
        <v>3480</v>
      </c>
      <c r="E2781" t="s">
        <v>6584</v>
      </c>
      <c r="F2781" t="s">
        <v>52</v>
      </c>
      <c r="G2781">
        <v>18</v>
      </c>
      <c r="H2781">
        <v>10</v>
      </c>
      <c r="I2781">
        <v>8</v>
      </c>
      <c r="J2781">
        <v>36</v>
      </c>
      <c r="K2781" s="482">
        <v>0.5</v>
      </c>
      <c r="L2781" s="482">
        <v>0.27800000000000002</v>
      </c>
      <c r="M2781" s="482">
        <v>0.222</v>
      </c>
    </row>
    <row r="2782" spans="1:13" x14ac:dyDescent="0.2">
      <c r="A2782" t="s">
        <v>3988</v>
      </c>
      <c r="B2782" t="s">
        <v>50</v>
      </c>
      <c r="C2782" t="s">
        <v>1</v>
      </c>
      <c r="D2782" t="s">
        <v>3760</v>
      </c>
      <c r="E2782" t="s">
        <v>3761</v>
      </c>
      <c r="F2782" t="s">
        <v>52</v>
      </c>
      <c r="G2782">
        <v>15</v>
      </c>
      <c r="H2782">
        <v>12</v>
      </c>
      <c r="I2782">
        <v>9</v>
      </c>
      <c r="J2782">
        <v>36</v>
      </c>
      <c r="K2782" s="482">
        <v>0.41699999999999998</v>
      </c>
      <c r="L2782" s="482">
        <v>0.33300000000000002</v>
      </c>
      <c r="M2782" s="482">
        <v>0.25</v>
      </c>
    </row>
    <row r="2783" spans="1:13" x14ac:dyDescent="0.2">
      <c r="A2783" t="s">
        <v>3989</v>
      </c>
      <c r="B2783" t="s">
        <v>50</v>
      </c>
      <c r="C2783" t="s">
        <v>1</v>
      </c>
      <c r="D2783" t="s">
        <v>3757</v>
      </c>
      <c r="E2783" t="s">
        <v>3758</v>
      </c>
      <c r="F2783" t="s">
        <v>52</v>
      </c>
      <c r="G2783">
        <v>15</v>
      </c>
      <c r="H2783">
        <v>11</v>
      </c>
      <c r="I2783">
        <v>4</v>
      </c>
      <c r="J2783">
        <v>30</v>
      </c>
      <c r="K2783" s="482">
        <v>0.5</v>
      </c>
      <c r="L2783" s="482">
        <v>0.36699999999999999</v>
      </c>
      <c r="M2783" s="482">
        <v>0.13300000000000001</v>
      </c>
    </row>
    <row r="2784" spans="1:13" x14ac:dyDescent="0.2">
      <c r="A2784" t="s">
        <v>4027</v>
      </c>
      <c r="B2784" t="s">
        <v>50</v>
      </c>
      <c r="C2784" t="s">
        <v>1</v>
      </c>
      <c r="D2784" t="s">
        <v>3638</v>
      </c>
      <c r="E2784" t="s">
        <v>3639</v>
      </c>
      <c r="F2784" t="s">
        <v>52</v>
      </c>
      <c r="G2784">
        <v>57</v>
      </c>
      <c r="H2784">
        <v>20</v>
      </c>
      <c r="I2784">
        <v>17</v>
      </c>
      <c r="J2784">
        <v>94</v>
      </c>
      <c r="K2784" s="482">
        <v>0.60599999999999998</v>
      </c>
      <c r="L2784" s="482">
        <v>0.21299999999999999</v>
      </c>
      <c r="M2784" s="482">
        <v>0.18099999999999999</v>
      </c>
    </row>
    <row r="2785" spans="1:13" x14ac:dyDescent="0.2">
      <c r="A2785" t="s">
        <v>4028</v>
      </c>
      <c r="B2785" t="s">
        <v>50</v>
      </c>
      <c r="C2785" t="s">
        <v>1</v>
      </c>
      <c r="D2785" t="s">
        <v>3635</v>
      </c>
      <c r="E2785" t="s">
        <v>3636</v>
      </c>
      <c r="F2785" t="s">
        <v>52</v>
      </c>
      <c r="G2785">
        <v>41</v>
      </c>
      <c r="H2785">
        <v>20</v>
      </c>
      <c r="I2785">
        <v>17</v>
      </c>
      <c r="J2785">
        <v>78</v>
      </c>
      <c r="K2785" s="482">
        <v>0.52600000000000002</v>
      </c>
      <c r="L2785" s="482">
        <v>0.25600000000000001</v>
      </c>
      <c r="M2785" s="482">
        <v>0.218</v>
      </c>
    </row>
    <row r="2786" spans="1:13" x14ac:dyDescent="0.2">
      <c r="A2786" t="s">
        <v>4029</v>
      </c>
      <c r="B2786" t="s">
        <v>50</v>
      </c>
      <c r="C2786" t="s">
        <v>1</v>
      </c>
      <c r="D2786" t="s">
        <v>3633</v>
      </c>
      <c r="E2786" t="s">
        <v>342</v>
      </c>
      <c r="F2786" t="s">
        <v>52</v>
      </c>
      <c r="G2786">
        <v>73</v>
      </c>
      <c r="H2786">
        <v>56</v>
      </c>
      <c r="I2786">
        <v>40</v>
      </c>
      <c r="J2786">
        <v>169</v>
      </c>
      <c r="K2786" s="482">
        <v>0.432</v>
      </c>
      <c r="L2786" s="482">
        <v>0.33100000000000002</v>
      </c>
      <c r="M2786" s="482">
        <v>0.23699999999999999</v>
      </c>
    </row>
    <row r="2787" spans="1:13" x14ac:dyDescent="0.2">
      <c r="A2787" t="s">
        <v>4030</v>
      </c>
      <c r="B2787" t="s">
        <v>50</v>
      </c>
      <c r="C2787" t="s">
        <v>1</v>
      </c>
      <c r="D2787" t="s">
        <v>3630</v>
      </c>
      <c r="E2787" t="s">
        <v>3631</v>
      </c>
      <c r="F2787" t="s">
        <v>52</v>
      </c>
      <c r="G2787">
        <v>42</v>
      </c>
      <c r="H2787">
        <v>16</v>
      </c>
      <c r="I2787">
        <v>13</v>
      </c>
      <c r="J2787">
        <v>71</v>
      </c>
      <c r="K2787" s="482">
        <v>0.59199999999999997</v>
      </c>
      <c r="L2787" s="482">
        <v>0.22500000000000001</v>
      </c>
      <c r="M2787" s="482">
        <v>0.183</v>
      </c>
    </row>
    <row r="2788" spans="1:13" x14ac:dyDescent="0.2">
      <c r="A2788" t="s">
        <v>4031</v>
      </c>
      <c r="B2788" t="s">
        <v>50</v>
      </c>
      <c r="C2788" t="s">
        <v>1</v>
      </c>
      <c r="D2788" t="s">
        <v>3627</v>
      </c>
      <c r="E2788" t="s">
        <v>3628</v>
      </c>
      <c r="F2788" t="s">
        <v>52</v>
      </c>
      <c r="G2788">
        <v>21</v>
      </c>
      <c r="H2788">
        <v>11</v>
      </c>
      <c r="I2788">
        <v>5</v>
      </c>
      <c r="J2788">
        <v>37</v>
      </c>
      <c r="K2788" s="482">
        <v>0.56799999999999995</v>
      </c>
      <c r="L2788" s="482">
        <v>0.29699999999999999</v>
      </c>
      <c r="M2788" s="482">
        <v>0.13500000000000001</v>
      </c>
    </row>
    <row r="2789" spans="1:13" x14ac:dyDescent="0.2">
      <c r="A2789" t="s">
        <v>4064</v>
      </c>
      <c r="B2789" t="s">
        <v>50</v>
      </c>
      <c r="C2789" t="s">
        <v>1</v>
      </c>
      <c r="D2789" t="s">
        <v>3528</v>
      </c>
      <c r="E2789" t="s">
        <v>3529</v>
      </c>
      <c r="F2789" t="s">
        <v>52</v>
      </c>
      <c r="G2789">
        <v>68</v>
      </c>
      <c r="H2789">
        <v>38</v>
      </c>
      <c r="I2789">
        <v>21</v>
      </c>
      <c r="J2789">
        <v>127</v>
      </c>
      <c r="K2789" s="482">
        <v>0.53500000000000003</v>
      </c>
      <c r="L2789" s="482">
        <v>0.29899999999999999</v>
      </c>
      <c r="M2789" s="482">
        <v>0.16500000000000001</v>
      </c>
    </row>
    <row r="2790" spans="1:13" x14ac:dyDescent="0.2">
      <c r="A2790" t="s">
        <v>6591</v>
      </c>
      <c r="B2790" t="s">
        <v>50</v>
      </c>
      <c r="C2790" t="s">
        <v>1</v>
      </c>
      <c r="D2790" t="s">
        <v>6515</v>
      </c>
      <c r="E2790" t="s">
        <v>6516</v>
      </c>
      <c r="F2790" t="s">
        <v>52</v>
      </c>
      <c r="G2790" t="s">
        <v>53</v>
      </c>
      <c r="H2790">
        <v>0</v>
      </c>
      <c r="I2790">
        <v>0</v>
      </c>
      <c r="J2790" t="s">
        <v>53</v>
      </c>
      <c r="K2790" t="s">
        <v>53</v>
      </c>
      <c r="L2790" t="s">
        <v>53</v>
      </c>
      <c r="M2790" t="s">
        <v>53</v>
      </c>
    </row>
    <row r="2791" spans="1:13" x14ac:dyDescent="0.2">
      <c r="A2791" t="s">
        <v>4066</v>
      </c>
      <c r="B2791" t="s">
        <v>50</v>
      </c>
      <c r="C2791" t="s">
        <v>1</v>
      </c>
      <c r="D2791" t="s">
        <v>3522</v>
      </c>
      <c r="E2791" t="s">
        <v>3523</v>
      </c>
      <c r="F2791" t="s">
        <v>52</v>
      </c>
      <c r="G2791">
        <v>24</v>
      </c>
      <c r="H2791">
        <v>11</v>
      </c>
      <c r="I2791">
        <v>16</v>
      </c>
      <c r="J2791">
        <v>51</v>
      </c>
      <c r="K2791" s="482">
        <v>0.47099999999999997</v>
      </c>
      <c r="L2791" s="482">
        <v>0.216</v>
      </c>
      <c r="M2791" s="482">
        <v>0.314</v>
      </c>
    </row>
    <row r="2792" spans="1:13" x14ac:dyDescent="0.2">
      <c r="A2792" t="s">
        <v>3931</v>
      </c>
      <c r="B2792" t="s">
        <v>50</v>
      </c>
      <c r="C2792" t="s">
        <v>1</v>
      </c>
      <c r="D2792" t="s">
        <v>3930</v>
      </c>
      <c r="E2792" t="s">
        <v>344</v>
      </c>
      <c r="F2792" t="s">
        <v>52</v>
      </c>
      <c r="G2792">
        <v>63</v>
      </c>
      <c r="H2792">
        <v>37</v>
      </c>
      <c r="I2792">
        <v>21</v>
      </c>
      <c r="J2792">
        <v>121</v>
      </c>
      <c r="K2792" s="482">
        <v>0.52100000000000002</v>
      </c>
      <c r="L2792" s="482">
        <v>0.30599999999999999</v>
      </c>
      <c r="M2792" s="482">
        <v>0.17399999999999999</v>
      </c>
    </row>
    <row r="2793" spans="1:13" x14ac:dyDescent="0.2">
      <c r="A2793" t="s">
        <v>4051</v>
      </c>
      <c r="B2793" t="s">
        <v>50</v>
      </c>
      <c r="C2793" t="s">
        <v>1</v>
      </c>
      <c r="D2793" t="s">
        <v>3567</v>
      </c>
      <c r="E2793" t="s">
        <v>3568</v>
      </c>
      <c r="F2793" t="s">
        <v>52</v>
      </c>
      <c r="G2793">
        <v>26</v>
      </c>
      <c r="H2793">
        <v>16</v>
      </c>
      <c r="I2793">
        <v>13</v>
      </c>
      <c r="J2793">
        <v>55</v>
      </c>
      <c r="K2793" s="482">
        <v>0.47299999999999998</v>
      </c>
      <c r="L2793" s="482">
        <v>0.29099999999999998</v>
      </c>
      <c r="M2793" s="482">
        <v>0.23599999999999999</v>
      </c>
    </row>
    <row r="2794" spans="1:13" x14ac:dyDescent="0.2">
      <c r="A2794" t="s">
        <v>3933</v>
      </c>
      <c r="B2794" t="s">
        <v>50</v>
      </c>
      <c r="C2794" t="s">
        <v>1</v>
      </c>
      <c r="D2794" t="s">
        <v>3924</v>
      </c>
      <c r="E2794" t="s">
        <v>3925</v>
      </c>
      <c r="F2794" t="s">
        <v>52</v>
      </c>
      <c r="G2794">
        <v>8</v>
      </c>
      <c r="H2794">
        <v>2</v>
      </c>
      <c r="I2794">
        <v>5</v>
      </c>
      <c r="J2794">
        <v>15</v>
      </c>
      <c r="K2794" s="482">
        <v>0.53300000000000003</v>
      </c>
      <c r="L2794" s="482">
        <v>0.13300000000000001</v>
      </c>
      <c r="M2794" s="482">
        <v>0.33300000000000002</v>
      </c>
    </row>
    <row r="2795" spans="1:13" x14ac:dyDescent="0.2">
      <c r="A2795" t="s">
        <v>3935</v>
      </c>
      <c r="B2795" t="s">
        <v>50</v>
      </c>
      <c r="C2795" t="s">
        <v>1</v>
      </c>
      <c r="D2795" t="s">
        <v>3918</v>
      </c>
      <c r="E2795" t="s">
        <v>3919</v>
      </c>
      <c r="F2795" t="s">
        <v>52</v>
      </c>
      <c r="G2795">
        <v>35</v>
      </c>
      <c r="H2795">
        <v>24</v>
      </c>
      <c r="I2795">
        <v>17</v>
      </c>
      <c r="J2795">
        <v>76</v>
      </c>
      <c r="K2795" s="482">
        <v>0.46100000000000002</v>
      </c>
      <c r="L2795" s="482">
        <v>0.316</v>
      </c>
      <c r="M2795" s="482">
        <v>0.224</v>
      </c>
    </row>
    <row r="2796" spans="1:13" x14ac:dyDescent="0.2">
      <c r="A2796" t="s">
        <v>3936</v>
      </c>
      <c r="B2796" t="s">
        <v>50</v>
      </c>
      <c r="C2796" t="s">
        <v>1</v>
      </c>
      <c r="D2796" t="s">
        <v>3915</v>
      </c>
      <c r="E2796" t="s">
        <v>3916</v>
      </c>
      <c r="F2796" t="s">
        <v>52</v>
      </c>
      <c r="G2796">
        <v>60</v>
      </c>
      <c r="H2796">
        <v>38</v>
      </c>
      <c r="I2796">
        <v>22</v>
      </c>
      <c r="J2796">
        <v>120</v>
      </c>
      <c r="K2796" s="482">
        <v>0.5</v>
      </c>
      <c r="L2796" s="482">
        <v>0.317</v>
      </c>
      <c r="M2796" s="482">
        <v>0.183</v>
      </c>
    </row>
    <row r="2797" spans="1:13" x14ac:dyDescent="0.2">
      <c r="A2797" t="s">
        <v>3937</v>
      </c>
      <c r="B2797" t="s">
        <v>50</v>
      </c>
      <c r="C2797" t="s">
        <v>1</v>
      </c>
      <c r="D2797" t="s">
        <v>3912</v>
      </c>
      <c r="E2797" t="s">
        <v>3913</v>
      </c>
      <c r="F2797" t="s">
        <v>52</v>
      </c>
      <c r="G2797">
        <v>27</v>
      </c>
      <c r="H2797">
        <v>11</v>
      </c>
      <c r="I2797">
        <v>6</v>
      </c>
      <c r="J2797">
        <v>44</v>
      </c>
      <c r="K2797" s="482">
        <v>0.61399999999999999</v>
      </c>
      <c r="L2797" s="482">
        <v>0.25</v>
      </c>
      <c r="M2797" s="482">
        <v>0.13600000000000001</v>
      </c>
    </row>
    <row r="2798" spans="1:13" x14ac:dyDescent="0.2">
      <c r="A2798" t="s">
        <v>3938</v>
      </c>
      <c r="B2798" t="s">
        <v>50</v>
      </c>
      <c r="C2798" t="s">
        <v>1</v>
      </c>
      <c r="D2798" t="s">
        <v>3909</v>
      </c>
      <c r="E2798" t="s">
        <v>3910</v>
      </c>
      <c r="F2798" t="s">
        <v>52</v>
      </c>
      <c r="G2798">
        <v>103</v>
      </c>
      <c r="H2798">
        <v>49</v>
      </c>
      <c r="I2798">
        <v>27</v>
      </c>
      <c r="J2798">
        <v>179</v>
      </c>
      <c r="K2798" s="482">
        <v>0.57499999999999996</v>
      </c>
      <c r="L2798" s="482">
        <v>0.27400000000000002</v>
      </c>
      <c r="M2798" s="482">
        <v>0.151</v>
      </c>
    </row>
    <row r="2799" spans="1:13" x14ac:dyDescent="0.2">
      <c r="A2799" t="s">
        <v>3993</v>
      </c>
      <c r="B2799" t="s">
        <v>50</v>
      </c>
      <c r="C2799" t="s">
        <v>1</v>
      </c>
      <c r="D2799" t="s">
        <v>3745</v>
      </c>
      <c r="E2799" t="s">
        <v>3746</v>
      </c>
      <c r="F2799" t="s">
        <v>52</v>
      </c>
      <c r="G2799">
        <v>67</v>
      </c>
      <c r="H2799">
        <v>40</v>
      </c>
      <c r="I2799">
        <v>21</v>
      </c>
      <c r="J2799">
        <v>128</v>
      </c>
      <c r="K2799" s="482">
        <v>0.52300000000000002</v>
      </c>
      <c r="L2799" s="482">
        <v>0.313</v>
      </c>
      <c r="M2799" s="482">
        <v>0.16400000000000001</v>
      </c>
    </row>
    <row r="2800" spans="1:13" x14ac:dyDescent="0.2">
      <c r="A2800" t="s">
        <v>4004</v>
      </c>
      <c r="B2800" t="s">
        <v>50</v>
      </c>
      <c r="C2800" t="s">
        <v>1</v>
      </c>
      <c r="D2800" t="s">
        <v>3712</v>
      </c>
      <c r="E2800" t="s">
        <v>3713</v>
      </c>
      <c r="F2800" t="s">
        <v>52</v>
      </c>
      <c r="G2800">
        <v>102</v>
      </c>
      <c r="H2800">
        <v>39</v>
      </c>
      <c r="I2800">
        <v>25</v>
      </c>
      <c r="J2800">
        <v>166</v>
      </c>
      <c r="K2800" s="482">
        <v>0.61399999999999999</v>
      </c>
      <c r="L2800" s="482">
        <v>0.23499999999999999</v>
      </c>
      <c r="M2800" s="482">
        <v>0.151</v>
      </c>
    </row>
    <row r="2801" spans="1:13" x14ac:dyDescent="0.2">
      <c r="A2801" t="s">
        <v>4005</v>
      </c>
      <c r="B2801" t="s">
        <v>50</v>
      </c>
      <c r="C2801" t="s">
        <v>1</v>
      </c>
      <c r="D2801" t="s">
        <v>3709</v>
      </c>
      <c r="E2801" t="s">
        <v>3710</v>
      </c>
      <c r="F2801" t="s">
        <v>52</v>
      </c>
      <c r="G2801">
        <v>21</v>
      </c>
      <c r="H2801">
        <v>21</v>
      </c>
      <c r="I2801">
        <v>11</v>
      </c>
      <c r="J2801">
        <v>53</v>
      </c>
      <c r="K2801" s="482">
        <v>0.39600000000000002</v>
      </c>
      <c r="L2801" s="482">
        <v>0.39600000000000002</v>
      </c>
      <c r="M2801" s="482">
        <v>0.20799999999999999</v>
      </c>
    </row>
    <row r="2802" spans="1:13" x14ac:dyDescent="0.2">
      <c r="A2802" t="s">
        <v>3996</v>
      </c>
      <c r="B2802" t="s">
        <v>50</v>
      </c>
      <c r="C2802" t="s">
        <v>1</v>
      </c>
      <c r="D2802" t="s">
        <v>3736</v>
      </c>
      <c r="E2802" t="s">
        <v>3737</v>
      </c>
      <c r="F2802" t="s">
        <v>52</v>
      </c>
      <c r="G2802">
        <v>5</v>
      </c>
      <c r="H2802">
        <v>4</v>
      </c>
      <c r="I2802">
        <v>3</v>
      </c>
      <c r="J2802">
        <v>12</v>
      </c>
      <c r="K2802" s="482">
        <v>0.41699999999999998</v>
      </c>
      <c r="L2802" s="482">
        <v>0.33300000000000002</v>
      </c>
      <c r="M2802" s="482">
        <v>0.25</v>
      </c>
    </row>
    <row r="2803" spans="1:13" x14ac:dyDescent="0.2">
      <c r="A2803" t="s">
        <v>3997</v>
      </c>
      <c r="B2803" t="s">
        <v>50</v>
      </c>
      <c r="C2803" t="s">
        <v>1</v>
      </c>
      <c r="D2803" t="s">
        <v>3733</v>
      </c>
      <c r="E2803" t="s">
        <v>3734</v>
      </c>
      <c r="F2803" t="s">
        <v>52</v>
      </c>
      <c r="G2803">
        <v>125</v>
      </c>
      <c r="H2803">
        <v>73</v>
      </c>
      <c r="I2803">
        <v>39</v>
      </c>
      <c r="J2803">
        <v>237</v>
      </c>
      <c r="K2803" s="482">
        <v>0.52700000000000002</v>
      </c>
      <c r="L2803" s="482">
        <v>0.308</v>
      </c>
      <c r="M2803" s="482">
        <v>0.16500000000000001</v>
      </c>
    </row>
    <row r="2804" spans="1:13" x14ac:dyDescent="0.2">
      <c r="A2804" t="s">
        <v>3998</v>
      </c>
      <c r="B2804" t="s">
        <v>50</v>
      </c>
      <c r="C2804" t="s">
        <v>1</v>
      </c>
      <c r="D2804" t="s">
        <v>3730</v>
      </c>
      <c r="E2804" t="s">
        <v>3731</v>
      </c>
      <c r="F2804" t="s">
        <v>52</v>
      </c>
      <c r="G2804">
        <v>53</v>
      </c>
      <c r="H2804">
        <v>37</v>
      </c>
      <c r="I2804">
        <v>19</v>
      </c>
      <c r="J2804">
        <v>109</v>
      </c>
      <c r="K2804" s="482">
        <v>0.48599999999999999</v>
      </c>
      <c r="L2804" s="482">
        <v>0.33900000000000002</v>
      </c>
      <c r="M2804" s="482">
        <v>0.17399999999999999</v>
      </c>
    </row>
    <row r="2805" spans="1:13" x14ac:dyDescent="0.2">
      <c r="A2805" t="s">
        <v>3999</v>
      </c>
      <c r="B2805" t="s">
        <v>50</v>
      </c>
      <c r="C2805" t="s">
        <v>1</v>
      </c>
      <c r="D2805" t="s">
        <v>3727</v>
      </c>
      <c r="E2805" t="s">
        <v>3728</v>
      </c>
      <c r="F2805" t="s">
        <v>52</v>
      </c>
      <c r="G2805">
        <v>32</v>
      </c>
      <c r="H2805">
        <v>15</v>
      </c>
      <c r="I2805">
        <v>12</v>
      </c>
      <c r="J2805">
        <v>59</v>
      </c>
      <c r="K2805" s="482">
        <v>0.54200000000000004</v>
      </c>
      <c r="L2805" s="482">
        <v>0.254</v>
      </c>
      <c r="M2805" s="482">
        <v>0.20300000000000001</v>
      </c>
    </row>
    <row r="2806" spans="1:13" x14ac:dyDescent="0.2">
      <c r="A2806" t="s">
        <v>4000</v>
      </c>
      <c r="B2806" t="s">
        <v>50</v>
      </c>
      <c r="C2806" t="s">
        <v>1</v>
      </c>
      <c r="D2806" t="s">
        <v>3724</v>
      </c>
      <c r="E2806" t="s">
        <v>3725</v>
      </c>
      <c r="F2806" t="s">
        <v>52</v>
      </c>
      <c r="G2806">
        <v>44</v>
      </c>
      <c r="H2806">
        <v>28</v>
      </c>
      <c r="I2806">
        <v>14</v>
      </c>
      <c r="J2806">
        <v>86</v>
      </c>
      <c r="K2806" s="482">
        <v>0.51200000000000001</v>
      </c>
      <c r="L2806" s="482">
        <v>0.32600000000000001</v>
      </c>
      <c r="M2806" s="482">
        <v>0.16300000000000001</v>
      </c>
    </row>
    <row r="2807" spans="1:13" x14ac:dyDescent="0.2">
      <c r="A2807" t="s">
        <v>4001</v>
      </c>
      <c r="B2807" t="s">
        <v>50</v>
      </c>
      <c r="C2807" t="s">
        <v>1</v>
      </c>
      <c r="D2807" t="s">
        <v>3721</v>
      </c>
      <c r="E2807" t="s">
        <v>3722</v>
      </c>
      <c r="F2807" t="s">
        <v>52</v>
      </c>
      <c r="G2807">
        <v>123</v>
      </c>
      <c r="H2807">
        <v>87</v>
      </c>
      <c r="I2807">
        <v>46</v>
      </c>
      <c r="J2807">
        <v>256</v>
      </c>
      <c r="K2807" s="482">
        <v>0.48</v>
      </c>
      <c r="L2807" s="482">
        <v>0.34</v>
      </c>
      <c r="M2807" s="482">
        <v>0.18</v>
      </c>
    </row>
    <row r="2808" spans="1:13" x14ac:dyDescent="0.2">
      <c r="A2808" t="s">
        <v>4062</v>
      </c>
      <c r="B2808" t="s">
        <v>50</v>
      </c>
      <c r="C2808" t="s">
        <v>1</v>
      </c>
      <c r="D2808" t="s">
        <v>3534</v>
      </c>
      <c r="E2808" t="s">
        <v>3535</v>
      </c>
      <c r="F2808" t="s">
        <v>52</v>
      </c>
      <c r="G2808">
        <v>15</v>
      </c>
      <c r="H2808">
        <v>18</v>
      </c>
      <c r="I2808">
        <v>6</v>
      </c>
      <c r="J2808">
        <v>39</v>
      </c>
      <c r="K2808" s="482">
        <v>0.38500000000000001</v>
      </c>
      <c r="L2808" s="482">
        <v>0.46200000000000002</v>
      </c>
      <c r="M2808" s="482">
        <v>0.154</v>
      </c>
    </row>
    <row r="2809" spans="1:13" x14ac:dyDescent="0.2">
      <c r="A2809" t="s">
        <v>4063</v>
      </c>
      <c r="B2809" t="s">
        <v>50</v>
      </c>
      <c r="C2809" t="s">
        <v>1</v>
      </c>
      <c r="D2809" t="s">
        <v>3531</v>
      </c>
      <c r="E2809" t="s">
        <v>3532</v>
      </c>
      <c r="F2809" t="s">
        <v>52</v>
      </c>
      <c r="G2809">
        <v>19</v>
      </c>
      <c r="H2809">
        <v>16</v>
      </c>
      <c r="I2809">
        <v>13</v>
      </c>
      <c r="J2809">
        <v>48</v>
      </c>
      <c r="K2809" s="482">
        <v>0.39600000000000002</v>
      </c>
      <c r="L2809" s="482">
        <v>0.33300000000000002</v>
      </c>
      <c r="M2809" s="482">
        <v>0.27100000000000002</v>
      </c>
    </row>
    <row r="2810" spans="1:13" x14ac:dyDescent="0.2">
      <c r="A2810" t="s">
        <v>3963</v>
      </c>
      <c r="B2810" t="s">
        <v>50</v>
      </c>
      <c r="C2810" t="s">
        <v>1</v>
      </c>
      <c r="D2810" t="s">
        <v>3835</v>
      </c>
      <c r="E2810" t="s">
        <v>3836</v>
      </c>
      <c r="F2810" t="s">
        <v>52</v>
      </c>
      <c r="G2810">
        <v>33</v>
      </c>
      <c r="H2810">
        <v>13</v>
      </c>
      <c r="I2810">
        <v>4</v>
      </c>
      <c r="J2810">
        <v>50</v>
      </c>
      <c r="K2810" s="482">
        <v>0.66</v>
      </c>
      <c r="L2810" s="482">
        <v>0.26</v>
      </c>
      <c r="M2810" s="482">
        <v>0.08</v>
      </c>
    </row>
    <row r="2811" spans="1:13" x14ac:dyDescent="0.2">
      <c r="A2811" t="s">
        <v>6592</v>
      </c>
      <c r="B2811" t="s">
        <v>50</v>
      </c>
      <c r="C2811" t="s">
        <v>1</v>
      </c>
      <c r="D2811" t="s">
        <v>6529</v>
      </c>
      <c r="E2811" t="s">
        <v>6530</v>
      </c>
      <c r="F2811" t="s">
        <v>52</v>
      </c>
      <c r="G2811">
        <v>0</v>
      </c>
      <c r="H2811">
        <v>0</v>
      </c>
      <c r="I2811" t="s">
        <v>53</v>
      </c>
      <c r="J2811" t="s">
        <v>53</v>
      </c>
      <c r="K2811" t="s">
        <v>53</v>
      </c>
      <c r="L2811" t="s">
        <v>53</v>
      </c>
      <c r="M2811" t="s">
        <v>53</v>
      </c>
    </row>
    <row r="2812" spans="1:13" x14ac:dyDescent="0.2">
      <c r="A2812" t="s">
        <v>4065</v>
      </c>
      <c r="B2812" t="s">
        <v>50</v>
      </c>
      <c r="C2812" t="s">
        <v>1</v>
      </c>
      <c r="D2812" t="s">
        <v>3525</v>
      </c>
      <c r="E2812" t="s">
        <v>3526</v>
      </c>
      <c r="F2812" t="s">
        <v>52</v>
      </c>
      <c r="G2812">
        <v>12</v>
      </c>
      <c r="H2812">
        <v>4</v>
      </c>
      <c r="I2812">
        <v>2</v>
      </c>
      <c r="J2812">
        <v>18</v>
      </c>
      <c r="K2812" s="482">
        <v>0.66700000000000004</v>
      </c>
      <c r="L2812" s="482">
        <v>0.222</v>
      </c>
      <c r="M2812" s="482">
        <v>0.111</v>
      </c>
    </row>
    <row r="2813" spans="1:13" x14ac:dyDescent="0.2">
      <c r="A2813" t="s">
        <v>4006</v>
      </c>
      <c r="B2813" t="s">
        <v>50</v>
      </c>
      <c r="C2813" t="s">
        <v>1</v>
      </c>
      <c r="D2813" t="s">
        <v>3706</v>
      </c>
      <c r="E2813" t="s">
        <v>3707</v>
      </c>
      <c r="F2813" t="s">
        <v>52</v>
      </c>
      <c r="G2813">
        <v>59</v>
      </c>
      <c r="H2813">
        <v>42</v>
      </c>
      <c r="I2813">
        <v>24</v>
      </c>
      <c r="J2813">
        <v>125</v>
      </c>
      <c r="K2813" s="482">
        <v>0.47199999999999998</v>
      </c>
      <c r="L2813" s="482">
        <v>0.33600000000000002</v>
      </c>
      <c r="M2813" s="482">
        <v>0.192</v>
      </c>
    </row>
    <row r="2814" spans="1:13" x14ac:dyDescent="0.2">
      <c r="A2814" t="s">
        <v>3965</v>
      </c>
      <c r="B2814" t="s">
        <v>50</v>
      </c>
      <c r="C2814" t="s">
        <v>1</v>
      </c>
      <c r="D2814" t="s">
        <v>3832</v>
      </c>
      <c r="E2814" t="s">
        <v>3833</v>
      </c>
      <c r="F2814" t="s">
        <v>52</v>
      </c>
      <c r="G2814">
        <v>54</v>
      </c>
      <c r="H2814">
        <v>30</v>
      </c>
      <c r="I2814">
        <v>15</v>
      </c>
      <c r="J2814">
        <v>99</v>
      </c>
      <c r="K2814" s="482">
        <v>0.54500000000000004</v>
      </c>
      <c r="L2814" s="482">
        <v>0.30299999999999999</v>
      </c>
      <c r="M2814" s="482">
        <v>0.152</v>
      </c>
    </row>
    <row r="2815" spans="1:13" x14ac:dyDescent="0.2">
      <c r="A2815" t="s">
        <v>4171</v>
      </c>
      <c r="B2815" t="s">
        <v>50</v>
      </c>
      <c r="C2815" t="s">
        <v>1</v>
      </c>
      <c r="D2815" t="s">
        <v>3207</v>
      </c>
      <c r="E2815" t="s">
        <v>3208</v>
      </c>
      <c r="F2815" t="s">
        <v>52</v>
      </c>
      <c r="G2815">
        <v>18</v>
      </c>
      <c r="H2815">
        <v>11</v>
      </c>
      <c r="I2815">
        <v>9</v>
      </c>
      <c r="J2815">
        <v>38</v>
      </c>
      <c r="K2815" s="482">
        <v>0.47399999999999998</v>
      </c>
      <c r="L2815" s="482">
        <v>0.28899999999999998</v>
      </c>
      <c r="M2815" s="482">
        <v>0.23699999999999999</v>
      </c>
    </row>
    <row r="2816" spans="1:13" x14ac:dyDescent="0.2">
      <c r="A2816" t="s">
        <v>4172</v>
      </c>
      <c r="B2816" t="s">
        <v>50</v>
      </c>
      <c r="C2816" t="s">
        <v>1</v>
      </c>
      <c r="D2816" t="s">
        <v>3204</v>
      </c>
      <c r="E2816" t="s">
        <v>3205</v>
      </c>
      <c r="F2816" t="s">
        <v>52</v>
      </c>
      <c r="G2816">
        <v>57</v>
      </c>
      <c r="H2816">
        <v>49</v>
      </c>
      <c r="I2816">
        <v>12</v>
      </c>
      <c r="J2816">
        <v>118</v>
      </c>
      <c r="K2816" s="482">
        <v>0.48299999999999998</v>
      </c>
      <c r="L2816" s="482">
        <v>0.41499999999999998</v>
      </c>
      <c r="M2816" s="482">
        <v>0.10199999999999999</v>
      </c>
    </row>
    <row r="2817" spans="1:13" x14ac:dyDescent="0.2">
      <c r="A2817" t="s">
        <v>4149</v>
      </c>
      <c r="B2817" t="s">
        <v>50</v>
      </c>
      <c r="C2817" t="s">
        <v>1</v>
      </c>
      <c r="D2817" t="s">
        <v>3273</v>
      </c>
      <c r="E2817" t="s">
        <v>3274</v>
      </c>
      <c r="F2817" t="s">
        <v>52</v>
      </c>
      <c r="G2817">
        <v>0</v>
      </c>
      <c r="H2817" t="s">
        <v>53</v>
      </c>
      <c r="I2817">
        <v>0</v>
      </c>
      <c r="J2817" t="s">
        <v>53</v>
      </c>
      <c r="K2817" t="s">
        <v>53</v>
      </c>
      <c r="L2817" t="s">
        <v>53</v>
      </c>
      <c r="M2817" t="s">
        <v>53</v>
      </c>
    </row>
    <row r="2818" spans="1:13" x14ac:dyDescent="0.2">
      <c r="A2818" t="s">
        <v>4150</v>
      </c>
      <c r="B2818" t="s">
        <v>50</v>
      </c>
      <c r="C2818" t="s">
        <v>1</v>
      </c>
      <c r="D2818" t="s">
        <v>3270</v>
      </c>
      <c r="E2818" t="s">
        <v>3271</v>
      </c>
      <c r="F2818" t="s">
        <v>52</v>
      </c>
      <c r="G2818">
        <v>57</v>
      </c>
      <c r="H2818">
        <v>34</v>
      </c>
      <c r="I2818">
        <v>14</v>
      </c>
      <c r="J2818">
        <v>105</v>
      </c>
      <c r="K2818" s="482">
        <v>0.54300000000000004</v>
      </c>
      <c r="L2818" s="482">
        <v>0.32400000000000001</v>
      </c>
      <c r="M2818" s="482">
        <v>0.13300000000000001</v>
      </c>
    </row>
    <row r="2819" spans="1:13" x14ac:dyDescent="0.2">
      <c r="A2819" t="s">
        <v>4015</v>
      </c>
      <c r="B2819" t="s">
        <v>50</v>
      </c>
      <c r="C2819" t="s">
        <v>1</v>
      </c>
      <c r="D2819" t="s">
        <v>3675</v>
      </c>
      <c r="E2819" t="s">
        <v>3676</v>
      </c>
      <c r="F2819" t="s">
        <v>52</v>
      </c>
      <c r="G2819">
        <v>55</v>
      </c>
      <c r="H2819">
        <v>34</v>
      </c>
      <c r="I2819">
        <v>13</v>
      </c>
      <c r="J2819">
        <v>102</v>
      </c>
      <c r="K2819" s="482">
        <v>0.53900000000000003</v>
      </c>
      <c r="L2819" s="482">
        <v>0.33300000000000002</v>
      </c>
      <c r="M2819" s="482">
        <v>0.127</v>
      </c>
    </row>
    <row r="2820" spans="1:13" x14ac:dyDescent="0.2">
      <c r="A2820" t="s">
        <v>4016</v>
      </c>
      <c r="B2820" t="s">
        <v>50</v>
      </c>
      <c r="C2820" t="s">
        <v>1</v>
      </c>
      <c r="D2820" t="s">
        <v>3672</v>
      </c>
      <c r="E2820" t="s">
        <v>3673</v>
      </c>
      <c r="F2820" t="s">
        <v>52</v>
      </c>
      <c r="G2820">
        <v>17</v>
      </c>
      <c r="H2820">
        <v>9</v>
      </c>
      <c r="I2820">
        <v>15</v>
      </c>
      <c r="J2820">
        <v>41</v>
      </c>
      <c r="K2820" s="482">
        <v>0.41499999999999998</v>
      </c>
      <c r="L2820" s="482">
        <v>0.22</v>
      </c>
      <c r="M2820" s="482">
        <v>0.36599999999999999</v>
      </c>
    </row>
    <row r="2821" spans="1:13" x14ac:dyDescent="0.2">
      <c r="A2821" t="s">
        <v>4017</v>
      </c>
      <c r="B2821" t="s">
        <v>50</v>
      </c>
      <c r="C2821" t="s">
        <v>1</v>
      </c>
      <c r="D2821" t="s">
        <v>3669</v>
      </c>
      <c r="E2821" t="s">
        <v>3670</v>
      </c>
      <c r="F2821" t="s">
        <v>52</v>
      </c>
      <c r="G2821">
        <v>49</v>
      </c>
      <c r="H2821">
        <v>44</v>
      </c>
      <c r="I2821">
        <v>36</v>
      </c>
      <c r="J2821">
        <v>129</v>
      </c>
      <c r="K2821" s="482">
        <v>0.38</v>
      </c>
      <c r="L2821" s="482">
        <v>0.34100000000000003</v>
      </c>
      <c r="M2821" s="482">
        <v>0.27900000000000003</v>
      </c>
    </row>
    <row r="2822" spans="1:13" x14ac:dyDescent="0.2">
      <c r="A2822" t="s">
        <v>4018</v>
      </c>
      <c r="B2822" t="s">
        <v>50</v>
      </c>
      <c r="C2822" t="s">
        <v>1</v>
      </c>
      <c r="D2822" t="s">
        <v>3666</v>
      </c>
      <c r="E2822" t="s">
        <v>3667</v>
      </c>
      <c r="F2822" t="s">
        <v>52</v>
      </c>
      <c r="G2822">
        <v>19</v>
      </c>
      <c r="H2822">
        <v>9</v>
      </c>
      <c r="I2822">
        <v>9</v>
      </c>
      <c r="J2822">
        <v>37</v>
      </c>
      <c r="K2822" s="482">
        <v>0.51400000000000001</v>
      </c>
      <c r="L2822" s="482">
        <v>0.24299999999999999</v>
      </c>
      <c r="M2822" s="482">
        <v>0.24299999999999999</v>
      </c>
    </row>
    <row r="2823" spans="1:13" x14ac:dyDescent="0.2">
      <c r="A2823" t="s">
        <v>4019</v>
      </c>
      <c r="B2823" t="s">
        <v>50</v>
      </c>
      <c r="C2823" t="s">
        <v>1</v>
      </c>
      <c r="D2823" t="s">
        <v>3663</v>
      </c>
      <c r="E2823" t="s">
        <v>3664</v>
      </c>
      <c r="F2823" t="s">
        <v>52</v>
      </c>
      <c r="G2823">
        <v>65</v>
      </c>
      <c r="H2823">
        <v>31</v>
      </c>
      <c r="I2823">
        <v>24</v>
      </c>
      <c r="J2823">
        <v>120</v>
      </c>
      <c r="K2823" s="482">
        <v>0.54200000000000004</v>
      </c>
      <c r="L2823" s="482">
        <v>0.25800000000000001</v>
      </c>
      <c r="M2823" s="482">
        <v>0.2</v>
      </c>
    </row>
    <row r="2824" spans="1:13" x14ac:dyDescent="0.2">
      <c r="A2824" t="s">
        <v>4020</v>
      </c>
      <c r="B2824" t="s">
        <v>50</v>
      </c>
      <c r="C2824" t="s">
        <v>1</v>
      </c>
      <c r="D2824" t="s">
        <v>3660</v>
      </c>
      <c r="E2824" t="s">
        <v>3661</v>
      </c>
      <c r="F2824" t="s">
        <v>52</v>
      </c>
      <c r="G2824">
        <v>26</v>
      </c>
      <c r="H2824">
        <v>22</v>
      </c>
      <c r="I2824">
        <v>10</v>
      </c>
      <c r="J2824">
        <v>58</v>
      </c>
      <c r="K2824" s="482">
        <v>0.44800000000000001</v>
      </c>
      <c r="L2824" s="482">
        <v>0.379</v>
      </c>
      <c r="M2824" s="482">
        <v>0.17199999999999999</v>
      </c>
    </row>
    <row r="2825" spans="1:13" x14ac:dyDescent="0.2">
      <c r="A2825" t="s">
        <v>4024</v>
      </c>
      <c r="B2825" t="s">
        <v>50</v>
      </c>
      <c r="C2825" t="s">
        <v>1</v>
      </c>
      <c r="D2825" t="s">
        <v>3648</v>
      </c>
      <c r="E2825" t="s">
        <v>3649</v>
      </c>
      <c r="F2825" t="s">
        <v>52</v>
      </c>
      <c r="G2825">
        <v>10</v>
      </c>
      <c r="H2825">
        <v>5</v>
      </c>
      <c r="I2825">
        <v>1</v>
      </c>
      <c r="J2825">
        <v>16</v>
      </c>
      <c r="K2825" s="482">
        <v>0.625</v>
      </c>
      <c r="L2825" s="482">
        <v>0.313</v>
      </c>
      <c r="M2825" s="482">
        <v>6.3E-2</v>
      </c>
    </row>
    <row r="2826" spans="1:13" x14ac:dyDescent="0.2">
      <c r="A2826" t="s">
        <v>4025</v>
      </c>
      <c r="B2826" t="s">
        <v>50</v>
      </c>
      <c r="C2826" t="s">
        <v>1</v>
      </c>
      <c r="D2826" t="s">
        <v>3645</v>
      </c>
      <c r="E2826" t="s">
        <v>3646</v>
      </c>
      <c r="F2826" t="s">
        <v>52</v>
      </c>
      <c r="G2826">
        <v>60</v>
      </c>
      <c r="H2826">
        <v>66</v>
      </c>
      <c r="I2826">
        <v>31</v>
      </c>
      <c r="J2826">
        <v>157</v>
      </c>
      <c r="K2826" s="482">
        <v>0.38200000000000001</v>
      </c>
      <c r="L2826" s="482">
        <v>0.42</v>
      </c>
      <c r="M2826" s="482">
        <v>0.19700000000000001</v>
      </c>
    </row>
    <row r="2827" spans="1:13" x14ac:dyDescent="0.2">
      <c r="A2827" t="s">
        <v>6593</v>
      </c>
      <c r="B2827" t="s">
        <v>50</v>
      </c>
      <c r="C2827" t="s">
        <v>1</v>
      </c>
      <c r="D2827" t="s">
        <v>3643</v>
      </c>
      <c r="E2827" t="s">
        <v>6580</v>
      </c>
      <c r="F2827" t="s">
        <v>52</v>
      </c>
      <c r="G2827">
        <v>31</v>
      </c>
      <c r="H2827">
        <v>10</v>
      </c>
      <c r="I2827">
        <v>17</v>
      </c>
      <c r="J2827">
        <v>58</v>
      </c>
      <c r="K2827" s="482">
        <v>0.53400000000000003</v>
      </c>
      <c r="L2827" s="482">
        <v>0.17199999999999999</v>
      </c>
      <c r="M2827" s="482">
        <v>0.29299999999999998</v>
      </c>
    </row>
    <row r="2828" spans="1:13" x14ac:dyDescent="0.2">
      <c r="A2828" t="s">
        <v>4026</v>
      </c>
      <c r="B2828" t="s">
        <v>50</v>
      </c>
      <c r="C2828" t="s">
        <v>1</v>
      </c>
      <c r="D2828" t="s">
        <v>3641</v>
      </c>
      <c r="E2828" t="s">
        <v>3642</v>
      </c>
      <c r="F2828" t="s">
        <v>52</v>
      </c>
      <c r="G2828">
        <v>67</v>
      </c>
      <c r="H2828">
        <v>86</v>
      </c>
      <c r="I2828">
        <v>47</v>
      </c>
      <c r="J2828">
        <v>200</v>
      </c>
      <c r="K2828" s="482">
        <v>0.33500000000000002</v>
      </c>
      <c r="L2828" s="482">
        <v>0.43</v>
      </c>
      <c r="M2828" s="482">
        <v>0.23499999999999999</v>
      </c>
    </row>
    <row r="2829" spans="1:13" x14ac:dyDescent="0.2">
      <c r="A2829" t="s">
        <v>4021</v>
      </c>
      <c r="B2829" t="s">
        <v>50</v>
      </c>
      <c r="C2829" t="s">
        <v>1</v>
      </c>
      <c r="D2829" t="s">
        <v>3657</v>
      </c>
      <c r="E2829" t="s">
        <v>3658</v>
      </c>
      <c r="F2829" t="s">
        <v>52</v>
      </c>
      <c r="G2829">
        <v>44</v>
      </c>
      <c r="H2829">
        <v>35</v>
      </c>
      <c r="I2829">
        <v>32</v>
      </c>
      <c r="J2829">
        <v>111</v>
      </c>
      <c r="K2829" s="482">
        <v>0.39600000000000002</v>
      </c>
      <c r="L2829" s="482">
        <v>0.315</v>
      </c>
      <c r="M2829" s="482">
        <v>0.28799999999999998</v>
      </c>
    </row>
    <row r="2830" spans="1:13" x14ac:dyDescent="0.2">
      <c r="A2830" t="s">
        <v>4022</v>
      </c>
      <c r="B2830" t="s">
        <v>50</v>
      </c>
      <c r="C2830" t="s">
        <v>1</v>
      </c>
      <c r="D2830" t="s">
        <v>3654</v>
      </c>
      <c r="E2830" t="s">
        <v>3655</v>
      </c>
      <c r="F2830" t="s">
        <v>52</v>
      </c>
      <c r="G2830">
        <v>8</v>
      </c>
      <c r="H2830">
        <v>4</v>
      </c>
      <c r="I2830">
        <v>0</v>
      </c>
      <c r="J2830">
        <v>12</v>
      </c>
      <c r="K2830" s="482">
        <v>0.66700000000000004</v>
      </c>
      <c r="L2830" s="482">
        <v>0.33300000000000002</v>
      </c>
      <c r="M2830" s="482">
        <v>0</v>
      </c>
    </row>
    <row r="2831" spans="1:13" x14ac:dyDescent="0.2">
      <c r="A2831" t="s">
        <v>4023</v>
      </c>
      <c r="B2831" t="s">
        <v>50</v>
      </c>
      <c r="C2831" t="s">
        <v>1</v>
      </c>
      <c r="D2831" t="s">
        <v>3651</v>
      </c>
      <c r="E2831" t="s">
        <v>3652</v>
      </c>
      <c r="F2831" t="s">
        <v>52</v>
      </c>
      <c r="G2831">
        <v>234</v>
      </c>
      <c r="H2831">
        <v>107</v>
      </c>
      <c r="I2831">
        <v>44</v>
      </c>
      <c r="J2831">
        <v>385</v>
      </c>
      <c r="K2831" s="482">
        <v>0.60799999999999998</v>
      </c>
      <c r="L2831" s="482">
        <v>0.27800000000000002</v>
      </c>
      <c r="M2831" s="482">
        <v>0.114</v>
      </c>
    </row>
    <row r="2832" spans="1:13" x14ac:dyDescent="0.2">
      <c r="A2832" t="s">
        <v>4061</v>
      </c>
      <c r="B2832" t="s">
        <v>50</v>
      </c>
      <c r="C2832" t="s">
        <v>1</v>
      </c>
      <c r="D2832" t="s">
        <v>3537</v>
      </c>
      <c r="E2832" t="s">
        <v>3538</v>
      </c>
      <c r="F2832" t="s">
        <v>52</v>
      </c>
      <c r="G2832">
        <v>42</v>
      </c>
      <c r="H2832">
        <v>29</v>
      </c>
      <c r="I2832">
        <v>24</v>
      </c>
      <c r="J2832">
        <v>95</v>
      </c>
      <c r="K2832" s="482">
        <v>0.442</v>
      </c>
      <c r="L2832" s="482">
        <v>0.30499999999999999</v>
      </c>
      <c r="M2832" s="482">
        <v>0.253</v>
      </c>
    </row>
    <row r="2833" spans="1:13" x14ac:dyDescent="0.2">
      <c r="A2833" t="s">
        <v>4009</v>
      </c>
      <c r="B2833" t="s">
        <v>50</v>
      </c>
      <c r="C2833" t="s">
        <v>1</v>
      </c>
      <c r="D2833" t="s">
        <v>3694</v>
      </c>
      <c r="E2833" t="s">
        <v>3695</v>
      </c>
      <c r="F2833" t="s">
        <v>52</v>
      </c>
      <c r="G2833">
        <v>11</v>
      </c>
      <c r="H2833">
        <v>11</v>
      </c>
      <c r="I2833">
        <v>8</v>
      </c>
      <c r="J2833">
        <v>30</v>
      </c>
      <c r="K2833" s="482">
        <v>0.36699999999999999</v>
      </c>
      <c r="L2833" s="482">
        <v>0.36699999999999999</v>
      </c>
      <c r="M2833" s="482">
        <v>0.26700000000000002</v>
      </c>
    </row>
    <row r="2834" spans="1:13" x14ac:dyDescent="0.2">
      <c r="A2834" t="s">
        <v>4165</v>
      </c>
      <c r="B2834" t="s">
        <v>50</v>
      </c>
      <c r="C2834" t="s">
        <v>1</v>
      </c>
      <c r="D2834" t="s">
        <v>3225</v>
      </c>
      <c r="E2834" t="s">
        <v>3226</v>
      </c>
      <c r="F2834" t="s">
        <v>52</v>
      </c>
      <c r="G2834">
        <v>38</v>
      </c>
      <c r="H2834">
        <v>27</v>
      </c>
      <c r="I2834">
        <v>15</v>
      </c>
      <c r="J2834">
        <v>80</v>
      </c>
      <c r="K2834" s="482">
        <v>0.47499999999999998</v>
      </c>
      <c r="L2834" s="482">
        <v>0.33800000000000002</v>
      </c>
      <c r="M2834" s="482">
        <v>0.188</v>
      </c>
    </row>
    <row r="2835" spans="1:13" x14ac:dyDescent="0.2">
      <c r="A2835" t="s">
        <v>4166</v>
      </c>
      <c r="B2835" t="s">
        <v>50</v>
      </c>
      <c r="C2835" t="s">
        <v>1</v>
      </c>
      <c r="D2835" t="s">
        <v>3222</v>
      </c>
      <c r="E2835" t="s">
        <v>3223</v>
      </c>
      <c r="F2835" t="s">
        <v>52</v>
      </c>
      <c r="G2835">
        <v>19</v>
      </c>
      <c r="H2835">
        <v>12</v>
      </c>
      <c r="I2835">
        <v>4</v>
      </c>
      <c r="J2835">
        <v>35</v>
      </c>
      <c r="K2835" s="482">
        <v>0.54300000000000004</v>
      </c>
      <c r="L2835" s="482">
        <v>0.34300000000000003</v>
      </c>
      <c r="M2835" s="482">
        <v>0.114</v>
      </c>
    </row>
    <row r="2836" spans="1:13" x14ac:dyDescent="0.2">
      <c r="A2836" t="s">
        <v>4167</v>
      </c>
      <c r="B2836" t="s">
        <v>50</v>
      </c>
      <c r="C2836" t="s">
        <v>1</v>
      </c>
      <c r="D2836" t="s">
        <v>3219</v>
      </c>
      <c r="E2836" t="s">
        <v>3220</v>
      </c>
      <c r="F2836" t="s">
        <v>52</v>
      </c>
      <c r="G2836">
        <v>78</v>
      </c>
      <c r="H2836">
        <v>44</v>
      </c>
      <c r="I2836">
        <v>25</v>
      </c>
      <c r="J2836">
        <v>147</v>
      </c>
      <c r="K2836" s="482">
        <v>0.53100000000000003</v>
      </c>
      <c r="L2836" s="482">
        <v>0.29899999999999999</v>
      </c>
      <c r="M2836" s="482">
        <v>0.17</v>
      </c>
    </row>
    <row r="2837" spans="1:13" x14ac:dyDescent="0.2">
      <c r="A2837" t="s">
        <v>4168</v>
      </c>
      <c r="B2837" t="s">
        <v>50</v>
      </c>
      <c r="C2837" t="s">
        <v>1</v>
      </c>
      <c r="D2837" t="s">
        <v>3216</v>
      </c>
      <c r="E2837" t="s">
        <v>3217</v>
      </c>
      <c r="F2837" t="s">
        <v>52</v>
      </c>
      <c r="G2837">
        <v>47</v>
      </c>
      <c r="H2837">
        <v>25</v>
      </c>
      <c r="I2837">
        <v>13</v>
      </c>
      <c r="J2837">
        <v>85</v>
      </c>
      <c r="K2837" s="482">
        <v>0.55300000000000005</v>
      </c>
      <c r="L2837" s="482">
        <v>0.29399999999999998</v>
      </c>
      <c r="M2837" s="482">
        <v>0.153</v>
      </c>
    </row>
    <row r="2838" spans="1:13" x14ac:dyDescent="0.2">
      <c r="A2838" t="s">
        <v>4147</v>
      </c>
      <c r="B2838" t="s">
        <v>50</v>
      </c>
      <c r="C2838" t="s">
        <v>1</v>
      </c>
      <c r="D2838" t="s">
        <v>3280</v>
      </c>
      <c r="E2838" t="s">
        <v>3281</v>
      </c>
      <c r="F2838" t="s">
        <v>52</v>
      </c>
      <c r="G2838">
        <v>17</v>
      </c>
      <c r="H2838">
        <v>13</v>
      </c>
      <c r="I2838">
        <v>10</v>
      </c>
      <c r="J2838">
        <v>40</v>
      </c>
      <c r="K2838" s="482">
        <v>0.42499999999999999</v>
      </c>
      <c r="L2838" s="482">
        <v>0.32500000000000001</v>
      </c>
      <c r="M2838" s="482">
        <v>0.25</v>
      </c>
    </row>
    <row r="2839" spans="1:13" x14ac:dyDescent="0.2">
      <c r="A2839" t="s">
        <v>6594</v>
      </c>
      <c r="B2839" t="s">
        <v>50</v>
      </c>
      <c r="C2839" t="s">
        <v>1</v>
      </c>
      <c r="D2839" t="s">
        <v>3278</v>
      </c>
      <c r="E2839" t="s">
        <v>6578</v>
      </c>
      <c r="F2839" t="s">
        <v>52</v>
      </c>
      <c r="G2839">
        <v>93</v>
      </c>
      <c r="H2839">
        <v>80</v>
      </c>
      <c r="I2839">
        <v>27</v>
      </c>
      <c r="J2839">
        <v>200</v>
      </c>
      <c r="K2839" s="482">
        <v>0.46500000000000002</v>
      </c>
      <c r="L2839" s="482">
        <v>0.4</v>
      </c>
      <c r="M2839" s="482">
        <v>0.13500000000000001</v>
      </c>
    </row>
    <row r="2840" spans="1:13" x14ac:dyDescent="0.2">
      <c r="A2840" t="s">
        <v>4148</v>
      </c>
      <c r="B2840" t="s">
        <v>50</v>
      </c>
      <c r="C2840" t="s">
        <v>1</v>
      </c>
      <c r="D2840" t="s">
        <v>3276</v>
      </c>
      <c r="E2840" t="s">
        <v>3277</v>
      </c>
      <c r="F2840" t="s">
        <v>52</v>
      </c>
      <c r="G2840">
        <v>17</v>
      </c>
      <c r="H2840">
        <v>14</v>
      </c>
      <c r="I2840">
        <v>3</v>
      </c>
      <c r="J2840">
        <v>34</v>
      </c>
      <c r="K2840" s="482">
        <v>0.5</v>
      </c>
      <c r="L2840" s="482">
        <v>0.41199999999999998</v>
      </c>
      <c r="M2840" s="482">
        <v>8.7999999999999995E-2</v>
      </c>
    </row>
    <row r="2841" spans="1:13" x14ac:dyDescent="0.2">
      <c r="A2841" t="s">
        <v>4059</v>
      </c>
      <c r="B2841" t="s">
        <v>50</v>
      </c>
      <c r="C2841" t="s">
        <v>1</v>
      </c>
      <c r="D2841" t="s">
        <v>3543</v>
      </c>
      <c r="E2841" t="s">
        <v>3544</v>
      </c>
      <c r="F2841" t="s">
        <v>52</v>
      </c>
      <c r="G2841">
        <v>90</v>
      </c>
      <c r="H2841">
        <v>58</v>
      </c>
      <c r="I2841">
        <v>40</v>
      </c>
      <c r="J2841">
        <v>188</v>
      </c>
      <c r="K2841" s="482">
        <v>0.47899999999999998</v>
      </c>
      <c r="L2841" s="482">
        <v>0.309</v>
      </c>
      <c r="M2841" s="482">
        <v>0.21299999999999999</v>
      </c>
    </row>
    <row r="2842" spans="1:13" x14ac:dyDescent="0.2">
      <c r="A2842" t="s">
        <v>6595</v>
      </c>
      <c r="B2842" t="s">
        <v>50</v>
      </c>
      <c r="C2842" t="s">
        <v>1</v>
      </c>
      <c r="D2842" t="s">
        <v>3689</v>
      </c>
      <c r="E2842" t="s">
        <v>6576</v>
      </c>
      <c r="F2842" t="s">
        <v>52</v>
      </c>
      <c r="G2842">
        <v>18</v>
      </c>
      <c r="H2842">
        <v>23</v>
      </c>
      <c r="I2842">
        <v>10</v>
      </c>
      <c r="J2842">
        <v>51</v>
      </c>
      <c r="K2842" s="482">
        <v>0.35299999999999998</v>
      </c>
      <c r="L2842" s="482">
        <v>0.45100000000000001</v>
      </c>
      <c r="M2842" s="482">
        <v>0.19600000000000001</v>
      </c>
    </row>
    <row r="2843" spans="1:13" x14ac:dyDescent="0.2">
      <c r="A2843" t="s">
        <v>4060</v>
      </c>
      <c r="B2843" t="s">
        <v>50</v>
      </c>
      <c r="C2843" t="s">
        <v>1</v>
      </c>
      <c r="D2843" t="s">
        <v>3540</v>
      </c>
      <c r="E2843" t="s">
        <v>3541</v>
      </c>
      <c r="F2843" t="s">
        <v>52</v>
      </c>
      <c r="G2843">
        <v>38</v>
      </c>
      <c r="H2843">
        <v>15</v>
      </c>
      <c r="I2843">
        <v>9</v>
      </c>
      <c r="J2843">
        <v>62</v>
      </c>
      <c r="K2843" s="482">
        <v>0.61299999999999999</v>
      </c>
      <c r="L2843" s="482">
        <v>0.24199999999999999</v>
      </c>
      <c r="M2843" s="482">
        <v>0.14499999999999999</v>
      </c>
    </row>
    <row r="2844" spans="1:13" x14ac:dyDescent="0.2">
      <c r="A2844" t="s">
        <v>4068</v>
      </c>
      <c r="B2844" t="s">
        <v>50</v>
      </c>
      <c r="C2844" t="s">
        <v>1</v>
      </c>
      <c r="D2844" t="s">
        <v>3517</v>
      </c>
      <c r="E2844" t="s">
        <v>3518</v>
      </c>
      <c r="F2844" t="s">
        <v>52</v>
      </c>
      <c r="G2844">
        <v>71</v>
      </c>
      <c r="H2844">
        <v>40</v>
      </c>
      <c r="I2844">
        <v>20</v>
      </c>
      <c r="J2844">
        <v>131</v>
      </c>
      <c r="K2844" s="482">
        <v>0.54200000000000004</v>
      </c>
      <c r="L2844" s="482">
        <v>0.30499999999999999</v>
      </c>
      <c r="M2844" s="482">
        <v>0.153</v>
      </c>
    </row>
    <row r="2845" spans="1:13" x14ac:dyDescent="0.2">
      <c r="A2845" t="s">
        <v>4058</v>
      </c>
      <c r="B2845" t="s">
        <v>50</v>
      </c>
      <c r="C2845" t="s">
        <v>1</v>
      </c>
      <c r="D2845" t="s">
        <v>3546</v>
      </c>
      <c r="E2845" t="s">
        <v>3547</v>
      </c>
      <c r="F2845" t="s">
        <v>52</v>
      </c>
      <c r="G2845">
        <v>69</v>
      </c>
      <c r="H2845">
        <v>34</v>
      </c>
      <c r="I2845">
        <v>22</v>
      </c>
      <c r="J2845">
        <v>125</v>
      </c>
      <c r="K2845" s="482">
        <v>0.55200000000000005</v>
      </c>
      <c r="L2845" s="482">
        <v>0.27200000000000002</v>
      </c>
      <c r="M2845" s="482">
        <v>0.17599999999999999</v>
      </c>
    </row>
    <row r="2846" spans="1:13" x14ac:dyDescent="0.2">
      <c r="A2846" t="s">
        <v>4067</v>
      </c>
      <c r="B2846" t="s">
        <v>50</v>
      </c>
      <c r="C2846" t="s">
        <v>1</v>
      </c>
      <c r="D2846" t="s">
        <v>3520</v>
      </c>
      <c r="E2846" t="s">
        <v>341</v>
      </c>
      <c r="F2846" t="s">
        <v>52</v>
      </c>
      <c r="G2846">
        <v>18</v>
      </c>
      <c r="H2846">
        <v>9</v>
      </c>
      <c r="I2846">
        <v>3</v>
      </c>
      <c r="J2846">
        <v>30</v>
      </c>
      <c r="K2846" s="482">
        <v>0.6</v>
      </c>
      <c r="L2846" s="482">
        <v>0.3</v>
      </c>
      <c r="M2846" s="482">
        <v>0.1</v>
      </c>
    </row>
    <row r="2847" spans="1:13" x14ac:dyDescent="0.2">
      <c r="A2847" t="s">
        <v>4044</v>
      </c>
      <c r="B2847" t="s">
        <v>50</v>
      </c>
      <c r="C2847" t="s">
        <v>1</v>
      </c>
      <c r="D2847" t="s">
        <v>3588</v>
      </c>
      <c r="E2847" t="s">
        <v>3589</v>
      </c>
      <c r="F2847" t="s">
        <v>52</v>
      </c>
      <c r="G2847">
        <v>1</v>
      </c>
      <c r="H2847">
        <v>7</v>
      </c>
      <c r="I2847">
        <v>1</v>
      </c>
      <c r="J2847">
        <v>9</v>
      </c>
      <c r="K2847" s="482">
        <v>0.111</v>
      </c>
      <c r="L2847" s="482">
        <v>0.77800000000000002</v>
      </c>
      <c r="M2847" s="482">
        <v>0.111</v>
      </c>
    </row>
    <row r="2848" spans="1:13" x14ac:dyDescent="0.2">
      <c r="A2848" t="s">
        <v>4045</v>
      </c>
      <c r="B2848" t="s">
        <v>50</v>
      </c>
      <c r="C2848" t="s">
        <v>1</v>
      </c>
      <c r="D2848" t="s">
        <v>3585</v>
      </c>
      <c r="E2848" t="s">
        <v>3586</v>
      </c>
      <c r="F2848" t="s">
        <v>52</v>
      </c>
      <c r="G2848">
        <v>41</v>
      </c>
      <c r="H2848">
        <v>34</v>
      </c>
      <c r="I2848">
        <v>10</v>
      </c>
      <c r="J2848">
        <v>85</v>
      </c>
      <c r="K2848" s="482">
        <v>0.48199999999999998</v>
      </c>
      <c r="L2848" s="482">
        <v>0.4</v>
      </c>
      <c r="M2848" s="482">
        <v>0.11799999999999999</v>
      </c>
    </row>
    <row r="2849" spans="1:13" x14ac:dyDescent="0.2">
      <c r="A2849" t="s">
        <v>4046</v>
      </c>
      <c r="B2849" t="s">
        <v>50</v>
      </c>
      <c r="C2849" t="s">
        <v>1</v>
      </c>
      <c r="D2849" t="s">
        <v>3582</v>
      </c>
      <c r="E2849" t="s">
        <v>3583</v>
      </c>
      <c r="F2849" t="s">
        <v>52</v>
      </c>
      <c r="G2849">
        <v>26</v>
      </c>
      <c r="H2849">
        <v>19</v>
      </c>
      <c r="I2849">
        <v>12</v>
      </c>
      <c r="J2849">
        <v>57</v>
      </c>
      <c r="K2849" s="482">
        <v>0.45600000000000002</v>
      </c>
      <c r="L2849" s="482">
        <v>0.33300000000000002</v>
      </c>
      <c r="M2849" s="482">
        <v>0.21099999999999999</v>
      </c>
    </row>
    <row r="2850" spans="1:13" x14ac:dyDescent="0.2">
      <c r="A2850" t="s">
        <v>4047</v>
      </c>
      <c r="B2850" t="s">
        <v>50</v>
      </c>
      <c r="C2850" t="s">
        <v>1</v>
      </c>
      <c r="D2850" t="s">
        <v>3579</v>
      </c>
      <c r="E2850" t="s">
        <v>3580</v>
      </c>
      <c r="F2850" t="s">
        <v>52</v>
      </c>
      <c r="G2850">
        <v>7</v>
      </c>
      <c r="H2850">
        <v>7</v>
      </c>
      <c r="I2850">
        <v>7</v>
      </c>
      <c r="J2850">
        <v>21</v>
      </c>
      <c r="K2850" s="482">
        <v>0.33300000000000002</v>
      </c>
      <c r="L2850" s="482">
        <v>0.33300000000000002</v>
      </c>
      <c r="M2850" s="482">
        <v>0.33300000000000002</v>
      </c>
    </row>
    <row r="2851" spans="1:13" x14ac:dyDescent="0.2">
      <c r="A2851" t="s">
        <v>4048</v>
      </c>
      <c r="B2851" t="s">
        <v>50</v>
      </c>
      <c r="C2851" t="s">
        <v>1</v>
      </c>
      <c r="D2851" t="s">
        <v>3576</v>
      </c>
      <c r="E2851" t="s">
        <v>3577</v>
      </c>
      <c r="F2851" t="s">
        <v>52</v>
      </c>
      <c r="G2851">
        <v>7</v>
      </c>
      <c r="H2851">
        <v>3</v>
      </c>
      <c r="I2851">
        <v>4</v>
      </c>
      <c r="J2851">
        <v>14</v>
      </c>
      <c r="K2851" s="482">
        <v>0.5</v>
      </c>
      <c r="L2851" s="482">
        <v>0.214</v>
      </c>
      <c r="M2851" s="482">
        <v>0.28599999999999998</v>
      </c>
    </row>
    <row r="2852" spans="1:13" x14ac:dyDescent="0.2">
      <c r="A2852" t="s">
        <v>4049</v>
      </c>
      <c r="B2852" t="s">
        <v>50</v>
      </c>
      <c r="C2852" t="s">
        <v>1</v>
      </c>
      <c r="D2852" t="s">
        <v>3573</v>
      </c>
      <c r="E2852" t="s">
        <v>3574</v>
      </c>
      <c r="F2852" t="s">
        <v>52</v>
      </c>
      <c r="G2852">
        <v>6</v>
      </c>
      <c r="H2852">
        <v>1</v>
      </c>
      <c r="I2852">
        <v>1</v>
      </c>
      <c r="J2852">
        <v>8</v>
      </c>
      <c r="K2852" s="482">
        <v>0.75</v>
      </c>
      <c r="L2852" s="482">
        <v>0.125</v>
      </c>
      <c r="M2852" s="482">
        <v>0.125</v>
      </c>
    </row>
    <row r="2853" spans="1:13" x14ac:dyDescent="0.2">
      <c r="A2853" t="s">
        <v>4050</v>
      </c>
      <c r="B2853" t="s">
        <v>50</v>
      </c>
      <c r="C2853" t="s">
        <v>1</v>
      </c>
      <c r="D2853" t="s">
        <v>3570</v>
      </c>
      <c r="E2853" t="s">
        <v>3571</v>
      </c>
      <c r="F2853" t="s">
        <v>52</v>
      </c>
      <c r="G2853">
        <v>0</v>
      </c>
      <c r="H2853" t="s">
        <v>53</v>
      </c>
      <c r="I2853">
        <v>0</v>
      </c>
      <c r="J2853" t="s">
        <v>53</v>
      </c>
      <c r="K2853" t="s">
        <v>53</v>
      </c>
      <c r="L2853" t="s">
        <v>53</v>
      </c>
      <c r="M2853" t="s">
        <v>53</v>
      </c>
    </row>
    <row r="2854" spans="1:13" x14ac:dyDescent="0.2">
      <c r="A2854" t="s">
        <v>4106</v>
      </c>
      <c r="B2854" t="s">
        <v>50</v>
      </c>
      <c r="C2854" t="s">
        <v>1</v>
      </c>
      <c r="D2854" t="s">
        <v>3403</v>
      </c>
      <c r="E2854" t="s">
        <v>3404</v>
      </c>
      <c r="F2854" t="s">
        <v>52</v>
      </c>
      <c r="G2854">
        <v>19</v>
      </c>
      <c r="H2854">
        <v>11</v>
      </c>
      <c r="I2854">
        <v>3</v>
      </c>
      <c r="J2854">
        <v>33</v>
      </c>
      <c r="K2854" s="482">
        <v>0.57599999999999996</v>
      </c>
      <c r="L2854" s="482">
        <v>0.33300000000000002</v>
      </c>
      <c r="M2854" s="482">
        <v>9.0999999999999998E-2</v>
      </c>
    </row>
    <row r="2855" spans="1:13" x14ac:dyDescent="0.2">
      <c r="A2855" t="s">
        <v>3973</v>
      </c>
      <c r="B2855" t="s">
        <v>50</v>
      </c>
      <c r="C2855" t="s">
        <v>1</v>
      </c>
      <c r="D2855" t="s">
        <v>3805</v>
      </c>
      <c r="E2855" t="s">
        <v>3806</v>
      </c>
      <c r="F2855" t="s">
        <v>52</v>
      </c>
      <c r="G2855">
        <v>43</v>
      </c>
      <c r="H2855">
        <v>39</v>
      </c>
      <c r="I2855">
        <v>12</v>
      </c>
      <c r="J2855">
        <v>94</v>
      </c>
      <c r="K2855" s="482">
        <v>0.45700000000000002</v>
      </c>
      <c r="L2855" s="482">
        <v>0.41499999999999998</v>
      </c>
      <c r="M2855" s="482">
        <v>0.128</v>
      </c>
    </row>
    <row r="2856" spans="1:13" x14ac:dyDescent="0.2">
      <c r="A2856" t="s">
        <v>3974</v>
      </c>
      <c r="B2856" t="s">
        <v>50</v>
      </c>
      <c r="C2856" t="s">
        <v>1</v>
      </c>
      <c r="D2856" t="s">
        <v>3802</v>
      </c>
      <c r="E2856" t="s">
        <v>3803</v>
      </c>
      <c r="F2856" t="s">
        <v>52</v>
      </c>
      <c r="G2856">
        <v>27</v>
      </c>
      <c r="H2856">
        <v>27</v>
      </c>
      <c r="I2856">
        <v>12</v>
      </c>
      <c r="J2856">
        <v>66</v>
      </c>
      <c r="K2856" s="482">
        <v>0.40899999999999997</v>
      </c>
      <c r="L2856" s="482">
        <v>0.40899999999999997</v>
      </c>
      <c r="M2856" s="482">
        <v>0.182</v>
      </c>
    </row>
    <row r="2857" spans="1:13" x14ac:dyDescent="0.2">
      <c r="A2857" t="s">
        <v>3975</v>
      </c>
      <c r="B2857" t="s">
        <v>50</v>
      </c>
      <c r="C2857" t="s">
        <v>1</v>
      </c>
      <c r="D2857" t="s">
        <v>3799</v>
      </c>
      <c r="E2857" t="s">
        <v>3800</v>
      </c>
      <c r="F2857" t="s">
        <v>52</v>
      </c>
      <c r="G2857">
        <v>118</v>
      </c>
      <c r="H2857">
        <v>64</v>
      </c>
      <c r="I2857">
        <v>55</v>
      </c>
      <c r="J2857">
        <v>237</v>
      </c>
      <c r="K2857" s="482">
        <v>0.498</v>
      </c>
      <c r="L2857" s="482">
        <v>0.27</v>
      </c>
      <c r="M2857" s="482">
        <v>0.23200000000000001</v>
      </c>
    </row>
    <row r="2858" spans="1:13" x14ac:dyDescent="0.2">
      <c r="A2858" t="s">
        <v>3976</v>
      </c>
      <c r="B2858" t="s">
        <v>50</v>
      </c>
      <c r="C2858" t="s">
        <v>1</v>
      </c>
      <c r="D2858" t="s">
        <v>3796</v>
      </c>
      <c r="E2858" t="s">
        <v>3797</v>
      </c>
      <c r="F2858" t="s">
        <v>52</v>
      </c>
      <c r="G2858">
        <v>53</v>
      </c>
      <c r="H2858">
        <v>32</v>
      </c>
      <c r="I2858">
        <v>12</v>
      </c>
      <c r="J2858">
        <v>97</v>
      </c>
      <c r="K2858" s="482">
        <v>0.54600000000000004</v>
      </c>
      <c r="L2858" s="482">
        <v>0.33</v>
      </c>
      <c r="M2858" s="482">
        <v>0.124</v>
      </c>
    </row>
    <row r="2859" spans="1:13" x14ac:dyDescent="0.2">
      <c r="A2859" t="s">
        <v>3972</v>
      </c>
      <c r="B2859" t="s">
        <v>50</v>
      </c>
      <c r="C2859" t="s">
        <v>1</v>
      </c>
      <c r="D2859" t="s">
        <v>3811</v>
      </c>
      <c r="E2859" t="s">
        <v>3812</v>
      </c>
      <c r="F2859" t="s">
        <v>52</v>
      </c>
      <c r="G2859">
        <v>6</v>
      </c>
      <c r="H2859">
        <v>4</v>
      </c>
      <c r="I2859">
        <v>3</v>
      </c>
      <c r="J2859">
        <v>13</v>
      </c>
      <c r="K2859" s="482">
        <v>0.46200000000000002</v>
      </c>
      <c r="L2859" s="482">
        <v>0.308</v>
      </c>
      <c r="M2859" s="482">
        <v>0.23100000000000001</v>
      </c>
    </row>
    <row r="2860" spans="1:13" x14ac:dyDescent="0.2">
      <c r="A2860" t="s">
        <v>4177</v>
      </c>
      <c r="B2860" t="s">
        <v>50</v>
      </c>
      <c r="C2860" t="s">
        <v>1</v>
      </c>
      <c r="D2860" t="s">
        <v>3189</v>
      </c>
      <c r="E2860" t="s">
        <v>3190</v>
      </c>
      <c r="F2860" t="s">
        <v>52</v>
      </c>
      <c r="G2860">
        <v>19</v>
      </c>
      <c r="H2860">
        <v>11</v>
      </c>
      <c r="I2860">
        <v>7</v>
      </c>
      <c r="J2860">
        <v>37</v>
      </c>
      <c r="K2860" s="482">
        <v>0.51400000000000001</v>
      </c>
      <c r="L2860" s="482">
        <v>0.29699999999999999</v>
      </c>
      <c r="M2860" s="482">
        <v>0.189</v>
      </c>
    </row>
    <row r="2861" spans="1:13" x14ac:dyDescent="0.2">
      <c r="A2861" t="s">
        <v>4178</v>
      </c>
      <c r="B2861" t="s">
        <v>50</v>
      </c>
      <c r="C2861" t="s">
        <v>1</v>
      </c>
      <c r="D2861" t="s">
        <v>3186</v>
      </c>
      <c r="E2861" t="s">
        <v>3187</v>
      </c>
      <c r="F2861" t="s">
        <v>52</v>
      </c>
      <c r="G2861">
        <v>11</v>
      </c>
      <c r="H2861">
        <v>1</v>
      </c>
      <c r="I2861">
        <v>3</v>
      </c>
      <c r="J2861">
        <v>15</v>
      </c>
      <c r="K2861" s="482">
        <v>0.73299999999999998</v>
      </c>
      <c r="L2861" s="482">
        <v>6.7000000000000004E-2</v>
      </c>
      <c r="M2861" s="482">
        <v>0.2</v>
      </c>
    </row>
    <row r="2862" spans="1:13" x14ac:dyDescent="0.2">
      <c r="A2862" t="s">
        <v>4179</v>
      </c>
      <c r="B2862" t="s">
        <v>50</v>
      </c>
      <c r="C2862" t="s">
        <v>1</v>
      </c>
      <c r="D2862" t="s">
        <v>3183</v>
      </c>
      <c r="E2862" t="s">
        <v>3184</v>
      </c>
      <c r="F2862" t="s">
        <v>52</v>
      </c>
      <c r="G2862">
        <v>0</v>
      </c>
      <c r="H2862" t="s">
        <v>53</v>
      </c>
      <c r="I2862">
        <v>0</v>
      </c>
      <c r="J2862" t="s">
        <v>53</v>
      </c>
      <c r="K2862" t="s">
        <v>53</v>
      </c>
      <c r="L2862" t="s">
        <v>53</v>
      </c>
      <c r="M2862" t="s">
        <v>53</v>
      </c>
    </row>
    <row r="2863" spans="1:13" x14ac:dyDescent="0.2">
      <c r="A2863" t="s">
        <v>4180</v>
      </c>
      <c r="B2863" t="s">
        <v>50</v>
      </c>
      <c r="C2863" t="s">
        <v>1</v>
      </c>
      <c r="D2863" t="s">
        <v>3180</v>
      </c>
      <c r="E2863" t="s">
        <v>3181</v>
      </c>
      <c r="F2863" t="s">
        <v>52</v>
      </c>
      <c r="G2863">
        <v>11</v>
      </c>
      <c r="H2863">
        <v>5</v>
      </c>
      <c r="I2863">
        <v>2</v>
      </c>
      <c r="J2863">
        <v>18</v>
      </c>
      <c r="K2863" s="482">
        <v>0.61099999999999999</v>
      </c>
      <c r="L2863" s="482">
        <v>0.27800000000000002</v>
      </c>
      <c r="M2863" s="482">
        <v>0.111</v>
      </c>
    </row>
    <row r="2864" spans="1:13" x14ac:dyDescent="0.2">
      <c r="A2864" t="s">
        <v>4181</v>
      </c>
      <c r="B2864" t="s">
        <v>50</v>
      </c>
      <c r="C2864" t="s">
        <v>1</v>
      </c>
      <c r="D2864" t="s">
        <v>3177</v>
      </c>
      <c r="E2864" t="s">
        <v>3178</v>
      </c>
      <c r="F2864" t="s">
        <v>52</v>
      </c>
      <c r="G2864">
        <v>8</v>
      </c>
      <c r="H2864">
        <v>7</v>
      </c>
      <c r="I2864">
        <v>1</v>
      </c>
      <c r="J2864">
        <v>16</v>
      </c>
      <c r="K2864" s="482">
        <v>0.5</v>
      </c>
      <c r="L2864" s="482">
        <v>0.438</v>
      </c>
      <c r="M2864" s="482">
        <v>6.3E-2</v>
      </c>
    </row>
    <row r="2865" spans="1:13" x14ac:dyDescent="0.2">
      <c r="A2865" t="s">
        <v>4182</v>
      </c>
      <c r="B2865" t="s">
        <v>50</v>
      </c>
      <c r="C2865" t="s">
        <v>1</v>
      </c>
      <c r="D2865" t="s">
        <v>3174</v>
      </c>
      <c r="E2865" t="s">
        <v>3175</v>
      </c>
      <c r="F2865" t="s">
        <v>52</v>
      </c>
      <c r="G2865">
        <v>31</v>
      </c>
      <c r="H2865">
        <v>37</v>
      </c>
      <c r="I2865">
        <v>14</v>
      </c>
      <c r="J2865">
        <v>82</v>
      </c>
      <c r="K2865" s="482">
        <v>0.378</v>
      </c>
      <c r="L2865" s="482">
        <v>0.45100000000000001</v>
      </c>
      <c r="M2865" s="482">
        <v>0.17100000000000001</v>
      </c>
    </row>
    <row r="2866" spans="1:13" x14ac:dyDescent="0.2">
      <c r="A2866" t="s">
        <v>4183</v>
      </c>
      <c r="B2866" t="s">
        <v>50</v>
      </c>
      <c r="C2866" t="s">
        <v>1</v>
      </c>
      <c r="D2866" t="s">
        <v>3171</v>
      </c>
      <c r="E2866" t="s">
        <v>3172</v>
      </c>
      <c r="F2866" t="s">
        <v>52</v>
      </c>
      <c r="G2866">
        <v>19</v>
      </c>
      <c r="H2866">
        <v>19</v>
      </c>
      <c r="I2866">
        <v>4</v>
      </c>
      <c r="J2866">
        <v>42</v>
      </c>
      <c r="K2866" s="482">
        <v>0.45200000000000001</v>
      </c>
      <c r="L2866" s="482">
        <v>0.45200000000000001</v>
      </c>
      <c r="M2866" s="482">
        <v>9.5000000000000001E-2</v>
      </c>
    </row>
    <row r="2867" spans="1:13" x14ac:dyDescent="0.2">
      <c r="A2867" t="s">
        <v>4198</v>
      </c>
      <c r="B2867" t="s">
        <v>50</v>
      </c>
      <c r="C2867" t="s">
        <v>1</v>
      </c>
      <c r="D2867" t="s">
        <v>3127</v>
      </c>
      <c r="E2867" t="s">
        <v>3128</v>
      </c>
      <c r="F2867" t="s">
        <v>52</v>
      </c>
      <c r="G2867">
        <v>70</v>
      </c>
      <c r="H2867">
        <v>67</v>
      </c>
      <c r="I2867">
        <v>34</v>
      </c>
      <c r="J2867">
        <v>171</v>
      </c>
      <c r="K2867" s="482">
        <v>0.40899999999999997</v>
      </c>
      <c r="L2867" s="482">
        <v>0.39200000000000002</v>
      </c>
      <c r="M2867" s="482">
        <v>0.19900000000000001</v>
      </c>
    </row>
    <row r="2868" spans="1:13" x14ac:dyDescent="0.2">
      <c r="A2868" t="s">
        <v>4199</v>
      </c>
      <c r="B2868" t="s">
        <v>50</v>
      </c>
      <c r="C2868" t="s">
        <v>1</v>
      </c>
      <c r="D2868" t="s">
        <v>3124</v>
      </c>
      <c r="E2868" t="s">
        <v>3125</v>
      </c>
      <c r="F2868" t="s">
        <v>52</v>
      </c>
      <c r="G2868">
        <v>8</v>
      </c>
      <c r="H2868">
        <v>12</v>
      </c>
      <c r="I2868">
        <v>7</v>
      </c>
      <c r="J2868">
        <v>27</v>
      </c>
      <c r="K2868" s="482">
        <v>0.29599999999999999</v>
      </c>
      <c r="L2868" s="482">
        <v>0.44400000000000001</v>
      </c>
      <c r="M2868" s="482">
        <v>0.25900000000000001</v>
      </c>
    </row>
    <row r="2869" spans="1:13" x14ac:dyDescent="0.2">
      <c r="A2869" t="s">
        <v>4175</v>
      </c>
      <c r="B2869" t="s">
        <v>50</v>
      </c>
      <c r="C2869" t="s">
        <v>1</v>
      </c>
      <c r="D2869" t="s">
        <v>3195</v>
      </c>
      <c r="E2869" t="s">
        <v>3196</v>
      </c>
      <c r="F2869" t="s">
        <v>52</v>
      </c>
      <c r="G2869">
        <v>70</v>
      </c>
      <c r="H2869">
        <v>41</v>
      </c>
      <c r="I2869">
        <v>17</v>
      </c>
      <c r="J2869">
        <v>128</v>
      </c>
      <c r="K2869" s="482">
        <v>0.54700000000000004</v>
      </c>
      <c r="L2869" s="482">
        <v>0.32</v>
      </c>
      <c r="M2869" s="482">
        <v>0.13300000000000001</v>
      </c>
    </row>
    <row r="2870" spans="1:13" x14ac:dyDescent="0.2">
      <c r="A2870" t="s">
        <v>4176</v>
      </c>
      <c r="B2870" t="s">
        <v>50</v>
      </c>
      <c r="C2870" t="s">
        <v>1</v>
      </c>
      <c r="D2870" t="s">
        <v>3192</v>
      </c>
      <c r="E2870" t="s">
        <v>3193</v>
      </c>
      <c r="F2870" t="s">
        <v>52</v>
      </c>
      <c r="G2870">
        <v>36</v>
      </c>
      <c r="H2870">
        <v>23</v>
      </c>
      <c r="I2870">
        <v>19</v>
      </c>
      <c r="J2870">
        <v>78</v>
      </c>
      <c r="K2870" s="482">
        <v>0.46200000000000002</v>
      </c>
      <c r="L2870" s="482">
        <v>0.29499999999999998</v>
      </c>
      <c r="M2870" s="482">
        <v>0.24399999999999999</v>
      </c>
    </row>
    <row r="2871" spans="1:13" x14ac:dyDescent="0.2">
      <c r="A2871" t="s">
        <v>4192</v>
      </c>
      <c r="B2871" t="s">
        <v>50</v>
      </c>
      <c r="C2871" t="s">
        <v>1</v>
      </c>
      <c r="D2871" t="s">
        <v>3145</v>
      </c>
      <c r="E2871" t="s">
        <v>3146</v>
      </c>
      <c r="F2871" t="s">
        <v>52</v>
      </c>
      <c r="G2871">
        <v>119</v>
      </c>
      <c r="H2871">
        <v>87</v>
      </c>
      <c r="I2871">
        <v>39</v>
      </c>
      <c r="J2871">
        <v>245</v>
      </c>
      <c r="K2871" s="482">
        <v>0.48599999999999999</v>
      </c>
      <c r="L2871" s="482">
        <v>0.35499999999999998</v>
      </c>
      <c r="M2871" s="482">
        <v>0.159</v>
      </c>
    </row>
    <row r="2872" spans="1:13" x14ac:dyDescent="0.2">
      <c r="A2872" t="s">
        <v>4193</v>
      </c>
      <c r="B2872" t="s">
        <v>50</v>
      </c>
      <c r="C2872" t="s">
        <v>1</v>
      </c>
      <c r="D2872" t="s">
        <v>3142</v>
      </c>
      <c r="E2872" t="s">
        <v>3143</v>
      </c>
      <c r="F2872" t="s">
        <v>52</v>
      </c>
      <c r="G2872">
        <v>76</v>
      </c>
      <c r="H2872">
        <v>49</v>
      </c>
      <c r="I2872">
        <v>22</v>
      </c>
      <c r="J2872">
        <v>147</v>
      </c>
      <c r="K2872" s="482">
        <v>0.51700000000000002</v>
      </c>
      <c r="L2872" s="482">
        <v>0.33300000000000002</v>
      </c>
      <c r="M2872" s="482">
        <v>0.15</v>
      </c>
    </row>
    <row r="2873" spans="1:13" x14ac:dyDescent="0.2">
      <c r="A2873" t="s">
        <v>4197</v>
      </c>
      <c r="B2873" t="s">
        <v>50</v>
      </c>
      <c r="C2873" t="s">
        <v>1</v>
      </c>
      <c r="D2873" t="s">
        <v>3130</v>
      </c>
      <c r="E2873" t="s">
        <v>3131</v>
      </c>
      <c r="F2873" t="s">
        <v>52</v>
      </c>
      <c r="G2873">
        <v>16</v>
      </c>
      <c r="H2873">
        <v>16</v>
      </c>
      <c r="I2873">
        <v>3</v>
      </c>
      <c r="J2873">
        <v>35</v>
      </c>
      <c r="K2873" s="482">
        <v>0.45700000000000002</v>
      </c>
      <c r="L2873" s="482">
        <v>0.45700000000000002</v>
      </c>
      <c r="M2873" s="482">
        <v>8.5999999999999993E-2</v>
      </c>
    </row>
    <row r="2874" spans="1:13" x14ac:dyDescent="0.2">
      <c r="A2874" t="s">
        <v>4196</v>
      </c>
      <c r="B2874" t="s">
        <v>50</v>
      </c>
      <c r="C2874" t="s">
        <v>1</v>
      </c>
      <c r="D2874" t="s">
        <v>3133</v>
      </c>
      <c r="E2874" t="s">
        <v>3134</v>
      </c>
      <c r="F2874" t="s">
        <v>52</v>
      </c>
      <c r="G2874" t="s">
        <v>53</v>
      </c>
      <c r="H2874" t="s">
        <v>53</v>
      </c>
      <c r="I2874" t="s">
        <v>53</v>
      </c>
      <c r="J2874" t="s">
        <v>53</v>
      </c>
      <c r="K2874" t="s">
        <v>53</v>
      </c>
      <c r="L2874" t="s">
        <v>53</v>
      </c>
      <c r="M2874" t="s">
        <v>53</v>
      </c>
    </row>
    <row r="2875" spans="1:13" x14ac:dyDescent="0.2">
      <c r="A2875" t="s">
        <v>4194</v>
      </c>
      <c r="B2875" t="s">
        <v>50</v>
      </c>
      <c r="C2875" t="s">
        <v>1</v>
      </c>
      <c r="D2875" t="s">
        <v>3139</v>
      </c>
      <c r="E2875" t="s">
        <v>3140</v>
      </c>
      <c r="F2875" t="s">
        <v>52</v>
      </c>
      <c r="G2875">
        <v>56</v>
      </c>
      <c r="H2875">
        <v>75</v>
      </c>
      <c r="I2875">
        <v>22</v>
      </c>
      <c r="J2875">
        <v>153</v>
      </c>
      <c r="K2875" s="482">
        <v>0.36599999999999999</v>
      </c>
      <c r="L2875" s="482">
        <v>0.49</v>
      </c>
      <c r="M2875" s="482">
        <v>0.14399999999999999</v>
      </c>
    </row>
    <row r="2876" spans="1:13" x14ac:dyDescent="0.2">
      <c r="A2876" t="s">
        <v>4184</v>
      </c>
      <c r="B2876" t="s">
        <v>50</v>
      </c>
      <c r="C2876" t="s">
        <v>1</v>
      </c>
      <c r="D2876" t="s">
        <v>3169</v>
      </c>
      <c r="E2876" t="s">
        <v>340</v>
      </c>
      <c r="F2876" t="s">
        <v>52</v>
      </c>
      <c r="G2876">
        <v>3</v>
      </c>
      <c r="H2876">
        <v>3</v>
      </c>
      <c r="I2876">
        <v>1</v>
      </c>
      <c r="J2876">
        <v>7</v>
      </c>
      <c r="K2876" s="482">
        <v>0.42899999999999999</v>
      </c>
      <c r="L2876" s="482">
        <v>0.42899999999999999</v>
      </c>
      <c r="M2876" s="482">
        <v>0.14299999999999999</v>
      </c>
    </row>
    <row r="2877" spans="1:13" x14ac:dyDescent="0.2">
      <c r="A2877" t="s">
        <v>4185</v>
      </c>
      <c r="B2877" t="s">
        <v>50</v>
      </c>
      <c r="C2877" t="s">
        <v>1</v>
      </c>
      <c r="D2877" t="s">
        <v>3166</v>
      </c>
      <c r="E2877" t="s">
        <v>3167</v>
      </c>
      <c r="F2877" t="s">
        <v>52</v>
      </c>
      <c r="G2877">
        <v>8</v>
      </c>
      <c r="H2877">
        <v>9</v>
      </c>
      <c r="I2877">
        <v>0</v>
      </c>
      <c r="J2877">
        <v>17</v>
      </c>
      <c r="K2877" s="482">
        <v>0.47099999999999997</v>
      </c>
      <c r="L2877" s="482">
        <v>0.52900000000000003</v>
      </c>
      <c r="M2877" s="482">
        <v>0</v>
      </c>
    </row>
    <row r="2878" spans="1:13" x14ac:dyDescent="0.2">
      <c r="A2878" t="s">
        <v>4186</v>
      </c>
      <c r="B2878" t="s">
        <v>50</v>
      </c>
      <c r="C2878" t="s">
        <v>1</v>
      </c>
      <c r="D2878" t="s">
        <v>3163</v>
      </c>
      <c r="E2878" t="s">
        <v>3164</v>
      </c>
      <c r="F2878" t="s">
        <v>52</v>
      </c>
      <c r="G2878">
        <v>23</v>
      </c>
      <c r="H2878">
        <v>30</v>
      </c>
      <c r="I2878">
        <v>11</v>
      </c>
      <c r="J2878">
        <v>64</v>
      </c>
      <c r="K2878" s="482">
        <v>0.35899999999999999</v>
      </c>
      <c r="L2878" s="482">
        <v>0.46899999999999997</v>
      </c>
      <c r="M2878" s="482">
        <v>0.17199999999999999</v>
      </c>
    </row>
    <row r="2879" spans="1:13" x14ac:dyDescent="0.2">
      <c r="A2879" t="s">
        <v>4187</v>
      </c>
      <c r="B2879" t="s">
        <v>50</v>
      </c>
      <c r="C2879" t="s">
        <v>1</v>
      </c>
      <c r="D2879" t="s">
        <v>3160</v>
      </c>
      <c r="E2879" t="s">
        <v>3161</v>
      </c>
      <c r="F2879" t="s">
        <v>52</v>
      </c>
      <c r="G2879" t="s">
        <v>53</v>
      </c>
      <c r="H2879" t="s">
        <v>53</v>
      </c>
      <c r="I2879">
        <v>0</v>
      </c>
      <c r="J2879" t="s">
        <v>53</v>
      </c>
      <c r="K2879" t="s">
        <v>53</v>
      </c>
      <c r="L2879" t="s">
        <v>53</v>
      </c>
      <c r="M2879" t="s">
        <v>53</v>
      </c>
    </row>
    <row r="2880" spans="1:13" x14ac:dyDescent="0.2">
      <c r="A2880" t="s">
        <v>4188</v>
      </c>
      <c r="B2880" t="s">
        <v>50</v>
      </c>
      <c r="C2880" t="s">
        <v>1</v>
      </c>
      <c r="D2880" t="s">
        <v>3157</v>
      </c>
      <c r="E2880" t="s">
        <v>3158</v>
      </c>
      <c r="F2880" t="s">
        <v>52</v>
      </c>
      <c r="G2880">
        <v>43</v>
      </c>
      <c r="H2880">
        <v>29</v>
      </c>
      <c r="I2880">
        <v>20</v>
      </c>
      <c r="J2880">
        <v>92</v>
      </c>
      <c r="K2880" s="482">
        <v>0.46700000000000003</v>
      </c>
      <c r="L2880" s="482">
        <v>0.315</v>
      </c>
      <c r="M2880" s="482">
        <v>0.217</v>
      </c>
    </row>
    <row r="2881" spans="1:13" x14ac:dyDescent="0.2">
      <c r="A2881" t="s">
        <v>4189</v>
      </c>
      <c r="B2881" t="s">
        <v>50</v>
      </c>
      <c r="C2881" t="s">
        <v>1</v>
      </c>
      <c r="D2881" t="s">
        <v>3154</v>
      </c>
      <c r="E2881" t="s">
        <v>3155</v>
      </c>
      <c r="F2881" t="s">
        <v>52</v>
      </c>
      <c r="G2881">
        <v>3</v>
      </c>
      <c r="H2881">
        <v>0</v>
      </c>
      <c r="I2881">
        <v>4</v>
      </c>
      <c r="J2881">
        <v>7</v>
      </c>
      <c r="K2881" s="482">
        <v>0.42899999999999999</v>
      </c>
      <c r="L2881" s="482">
        <v>0</v>
      </c>
      <c r="M2881" s="482">
        <v>0.57099999999999995</v>
      </c>
    </row>
    <row r="2882" spans="1:13" x14ac:dyDescent="0.2">
      <c r="A2882" t="s">
        <v>3932</v>
      </c>
      <c r="B2882" t="s">
        <v>50</v>
      </c>
      <c r="C2882" t="s">
        <v>1</v>
      </c>
      <c r="D2882" t="s">
        <v>3927</v>
      </c>
      <c r="E2882" t="s">
        <v>3928</v>
      </c>
      <c r="F2882" t="s">
        <v>52</v>
      </c>
      <c r="G2882">
        <v>0</v>
      </c>
      <c r="H2882" t="s">
        <v>53</v>
      </c>
      <c r="I2882" t="s">
        <v>53</v>
      </c>
      <c r="J2882" t="s">
        <v>53</v>
      </c>
      <c r="K2882" t="s">
        <v>53</v>
      </c>
      <c r="L2882" t="s">
        <v>53</v>
      </c>
      <c r="M2882" t="s">
        <v>53</v>
      </c>
    </row>
    <row r="2883" spans="1:13" x14ac:dyDescent="0.2">
      <c r="A2883" t="s">
        <v>3934</v>
      </c>
      <c r="B2883" t="s">
        <v>50</v>
      </c>
      <c r="C2883" t="s">
        <v>1</v>
      </c>
      <c r="D2883" t="s">
        <v>3921</v>
      </c>
      <c r="E2883" t="s">
        <v>3922</v>
      </c>
      <c r="F2883" t="s">
        <v>52</v>
      </c>
      <c r="G2883">
        <v>46</v>
      </c>
      <c r="H2883">
        <v>28</v>
      </c>
      <c r="I2883">
        <v>10</v>
      </c>
      <c r="J2883">
        <v>84</v>
      </c>
      <c r="K2883" s="482">
        <v>0.54800000000000004</v>
      </c>
      <c r="L2883" s="482">
        <v>0.33300000000000002</v>
      </c>
      <c r="M2883" s="482">
        <v>0.11899999999999999</v>
      </c>
    </row>
    <row r="2884" spans="1:13" x14ac:dyDescent="0.2">
      <c r="A2884" t="s">
        <v>4040</v>
      </c>
      <c r="B2884" t="s">
        <v>50</v>
      </c>
      <c r="C2884" t="s">
        <v>1</v>
      </c>
      <c r="D2884" t="s">
        <v>3600</v>
      </c>
      <c r="E2884" t="s">
        <v>3601</v>
      </c>
      <c r="F2884" t="s">
        <v>52</v>
      </c>
      <c r="G2884">
        <v>40</v>
      </c>
      <c r="H2884">
        <v>15</v>
      </c>
      <c r="I2884">
        <v>10</v>
      </c>
      <c r="J2884">
        <v>65</v>
      </c>
      <c r="K2884" s="482">
        <v>0.61499999999999999</v>
      </c>
      <c r="L2884" s="482">
        <v>0.23100000000000001</v>
      </c>
      <c r="M2884" s="482">
        <v>0.154</v>
      </c>
    </row>
    <row r="2885" spans="1:13" x14ac:dyDescent="0.2">
      <c r="A2885" t="s">
        <v>4041</v>
      </c>
      <c r="B2885" t="s">
        <v>50</v>
      </c>
      <c r="C2885" t="s">
        <v>1</v>
      </c>
      <c r="D2885" t="s">
        <v>3597</v>
      </c>
      <c r="E2885" t="s">
        <v>3598</v>
      </c>
      <c r="F2885" t="s">
        <v>52</v>
      </c>
      <c r="G2885">
        <v>6</v>
      </c>
      <c r="H2885">
        <v>4</v>
      </c>
      <c r="I2885">
        <v>4</v>
      </c>
      <c r="J2885">
        <v>14</v>
      </c>
      <c r="K2885" s="482">
        <v>0.42899999999999999</v>
      </c>
      <c r="L2885" s="482">
        <v>0.28599999999999998</v>
      </c>
      <c r="M2885" s="482">
        <v>0.28599999999999998</v>
      </c>
    </row>
    <row r="2886" spans="1:13" x14ac:dyDescent="0.2">
      <c r="A2886" t="s">
        <v>4042</v>
      </c>
      <c r="B2886" t="s">
        <v>50</v>
      </c>
      <c r="C2886" t="s">
        <v>1</v>
      </c>
      <c r="D2886" t="s">
        <v>3594</v>
      </c>
      <c r="E2886" t="s">
        <v>3595</v>
      </c>
      <c r="F2886" t="s">
        <v>52</v>
      </c>
      <c r="G2886">
        <v>39</v>
      </c>
      <c r="H2886">
        <v>18</v>
      </c>
      <c r="I2886">
        <v>4</v>
      </c>
      <c r="J2886">
        <v>61</v>
      </c>
      <c r="K2886" s="482">
        <v>0.63900000000000001</v>
      </c>
      <c r="L2886" s="482">
        <v>0.29499999999999998</v>
      </c>
      <c r="M2886" s="482">
        <v>6.6000000000000003E-2</v>
      </c>
    </row>
    <row r="2887" spans="1:13" x14ac:dyDescent="0.2">
      <c r="A2887" t="s">
        <v>4043</v>
      </c>
      <c r="B2887" t="s">
        <v>50</v>
      </c>
      <c r="C2887" t="s">
        <v>1</v>
      </c>
      <c r="D2887" t="s">
        <v>3591</v>
      </c>
      <c r="E2887" t="s">
        <v>3592</v>
      </c>
      <c r="F2887" t="s">
        <v>52</v>
      </c>
      <c r="G2887">
        <v>11</v>
      </c>
      <c r="H2887">
        <v>12</v>
      </c>
      <c r="I2887">
        <v>6</v>
      </c>
      <c r="J2887">
        <v>29</v>
      </c>
      <c r="K2887" s="482">
        <v>0.379</v>
      </c>
      <c r="L2887" s="482">
        <v>0.41399999999999998</v>
      </c>
      <c r="M2887" s="482">
        <v>0.20699999999999999</v>
      </c>
    </row>
    <row r="2888" spans="1:13" x14ac:dyDescent="0.2">
      <c r="A2888" t="s">
        <v>4173</v>
      </c>
      <c r="B2888" t="s">
        <v>50</v>
      </c>
      <c r="C2888" t="s">
        <v>1</v>
      </c>
      <c r="D2888" t="s">
        <v>3201</v>
      </c>
      <c r="E2888" t="s">
        <v>3202</v>
      </c>
      <c r="F2888" t="s">
        <v>52</v>
      </c>
      <c r="G2888">
        <v>44</v>
      </c>
      <c r="H2888">
        <v>31</v>
      </c>
      <c r="I2888">
        <v>14</v>
      </c>
      <c r="J2888">
        <v>89</v>
      </c>
      <c r="K2888" s="482">
        <v>0.49399999999999999</v>
      </c>
      <c r="L2888" s="482">
        <v>0.34799999999999998</v>
      </c>
      <c r="M2888" s="482">
        <v>0.157</v>
      </c>
    </row>
    <row r="2889" spans="1:13" x14ac:dyDescent="0.2">
      <c r="A2889" t="s">
        <v>4039</v>
      </c>
      <c r="B2889" t="s">
        <v>50</v>
      </c>
      <c r="C2889" t="s">
        <v>1</v>
      </c>
      <c r="D2889" t="s">
        <v>3603</v>
      </c>
      <c r="E2889" t="s">
        <v>3604</v>
      </c>
      <c r="F2889" t="s">
        <v>52</v>
      </c>
      <c r="G2889">
        <v>7</v>
      </c>
      <c r="H2889">
        <v>5</v>
      </c>
      <c r="I2889">
        <v>3</v>
      </c>
      <c r="J2889">
        <v>15</v>
      </c>
      <c r="K2889" s="482">
        <v>0.46700000000000003</v>
      </c>
      <c r="L2889" s="482">
        <v>0.33300000000000002</v>
      </c>
      <c r="M2889" s="482">
        <v>0.2</v>
      </c>
    </row>
    <row r="2890" spans="1:13" x14ac:dyDescent="0.2">
      <c r="A2890" t="s">
        <v>4038</v>
      </c>
      <c r="B2890" t="s">
        <v>50</v>
      </c>
      <c r="C2890" t="s">
        <v>1</v>
      </c>
      <c r="D2890" t="s">
        <v>3606</v>
      </c>
      <c r="E2890" t="s">
        <v>3607</v>
      </c>
      <c r="F2890" t="s">
        <v>52</v>
      </c>
      <c r="G2890">
        <v>20</v>
      </c>
      <c r="H2890">
        <v>12</v>
      </c>
      <c r="I2890">
        <v>2</v>
      </c>
      <c r="J2890">
        <v>34</v>
      </c>
      <c r="K2890" s="482">
        <v>0.58799999999999997</v>
      </c>
      <c r="L2890" s="482">
        <v>0.35299999999999998</v>
      </c>
      <c r="M2890" s="482">
        <v>5.8999999999999997E-2</v>
      </c>
    </row>
    <row r="2891" spans="1:13" x14ac:dyDescent="0.2">
      <c r="A2891" t="s">
        <v>4444</v>
      </c>
      <c r="B2891" t="s">
        <v>13</v>
      </c>
      <c r="C2891" t="s">
        <v>1</v>
      </c>
      <c r="D2891" t="s">
        <v>3606</v>
      </c>
      <c r="E2891" t="s">
        <v>3607</v>
      </c>
      <c r="F2891" t="s">
        <v>179</v>
      </c>
      <c r="G2891">
        <v>3</v>
      </c>
      <c r="H2891">
        <v>2</v>
      </c>
      <c r="I2891">
        <v>3</v>
      </c>
      <c r="J2891">
        <v>8</v>
      </c>
      <c r="K2891" s="482">
        <v>0.375</v>
      </c>
      <c r="L2891" s="482">
        <v>0.25</v>
      </c>
      <c r="M2891" s="482">
        <v>0.375</v>
      </c>
    </row>
    <row r="2892" spans="1:13" x14ac:dyDescent="0.2">
      <c r="A2892" t="s">
        <v>4443</v>
      </c>
      <c r="B2892" t="s">
        <v>13</v>
      </c>
      <c r="C2892" t="s">
        <v>1</v>
      </c>
      <c r="D2892" t="s">
        <v>3603</v>
      </c>
      <c r="E2892" t="s">
        <v>3604</v>
      </c>
      <c r="F2892" t="s">
        <v>179</v>
      </c>
      <c r="G2892" t="s">
        <v>53</v>
      </c>
      <c r="H2892">
        <v>0</v>
      </c>
      <c r="I2892">
        <v>0</v>
      </c>
      <c r="J2892" t="s">
        <v>53</v>
      </c>
      <c r="K2892" t="s">
        <v>53</v>
      </c>
      <c r="L2892" t="s">
        <v>53</v>
      </c>
      <c r="M2892" t="s">
        <v>53</v>
      </c>
    </row>
    <row r="2893" spans="1:13" x14ac:dyDescent="0.2">
      <c r="A2893" t="s">
        <v>4265</v>
      </c>
      <c r="B2893" t="s">
        <v>13</v>
      </c>
      <c r="C2893" t="s">
        <v>1</v>
      </c>
      <c r="D2893" t="s">
        <v>3201</v>
      </c>
      <c r="E2893" t="s">
        <v>3202</v>
      </c>
      <c r="F2893" t="s">
        <v>179</v>
      </c>
      <c r="G2893">
        <v>56</v>
      </c>
      <c r="H2893">
        <v>11</v>
      </c>
      <c r="I2893">
        <v>18</v>
      </c>
      <c r="J2893">
        <v>85</v>
      </c>
      <c r="K2893" s="482">
        <v>0.65900000000000003</v>
      </c>
      <c r="L2893" s="482">
        <v>0.129</v>
      </c>
      <c r="M2893" s="482">
        <v>0.21199999999999999</v>
      </c>
    </row>
    <row r="2894" spans="1:13" x14ac:dyDescent="0.2">
      <c r="A2894" t="s">
        <v>4439</v>
      </c>
      <c r="B2894" t="s">
        <v>13</v>
      </c>
      <c r="C2894" t="s">
        <v>1</v>
      </c>
      <c r="D2894" t="s">
        <v>3591</v>
      </c>
      <c r="E2894" t="s">
        <v>3592</v>
      </c>
      <c r="F2894" t="s">
        <v>179</v>
      </c>
      <c r="G2894">
        <v>12</v>
      </c>
      <c r="H2894">
        <v>1</v>
      </c>
      <c r="I2894">
        <v>3</v>
      </c>
      <c r="J2894">
        <v>16</v>
      </c>
      <c r="K2894" s="482">
        <v>0.75</v>
      </c>
      <c r="L2894" s="482">
        <v>6.3E-2</v>
      </c>
      <c r="M2894" s="482">
        <v>0.188</v>
      </c>
    </row>
    <row r="2895" spans="1:13" x14ac:dyDescent="0.2">
      <c r="A2895" t="s">
        <v>4440</v>
      </c>
      <c r="B2895" t="s">
        <v>13</v>
      </c>
      <c r="C2895" t="s">
        <v>1</v>
      </c>
      <c r="D2895" t="s">
        <v>3594</v>
      </c>
      <c r="E2895" t="s">
        <v>3595</v>
      </c>
      <c r="F2895" t="s">
        <v>179</v>
      </c>
      <c r="G2895">
        <v>23</v>
      </c>
      <c r="H2895">
        <v>7</v>
      </c>
      <c r="I2895">
        <v>6</v>
      </c>
      <c r="J2895">
        <v>36</v>
      </c>
      <c r="K2895" s="482">
        <v>0.63900000000000001</v>
      </c>
      <c r="L2895" s="482">
        <v>0.19400000000000001</v>
      </c>
      <c r="M2895" s="482">
        <v>0.16700000000000001</v>
      </c>
    </row>
    <row r="2896" spans="1:13" x14ac:dyDescent="0.2">
      <c r="A2896" t="s">
        <v>4441</v>
      </c>
      <c r="B2896" t="s">
        <v>13</v>
      </c>
      <c r="C2896" t="s">
        <v>1</v>
      </c>
      <c r="D2896" t="s">
        <v>3597</v>
      </c>
      <c r="E2896" t="s">
        <v>3598</v>
      </c>
      <c r="F2896" t="s">
        <v>179</v>
      </c>
      <c r="G2896">
        <v>12</v>
      </c>
      <c r="H2896">
        <v>1</v>
      </c>
      <c r="I2896">
        <v>3</v>
      </c>
      <c r="J2896">
        <v>16</v>
      </c>
      <c r="K2896" s="482">
        <v>0.75</v>
      </c>
      <c r="L2896" s="482">
        <v>6.3E-2</v>
      </c>
      <c r="M2896" s="482">
        <v>0.188</v>
      </c>
    </row>
    <row r="2897" spans="1:13" x14ac:dyDescent="0.2">
      <c r="A2897" t="s">
        <v>4442</v>
      </c>
      <c r="B2897" t="s">
        <v>13</v>
      </c>
      <c r="C2897" t="s">
        <v>1</v>
      </c>
      <c r="D2897" t="s">
        <v>3600</v>
      </c>
      <c r="E2897" t="s">
        <v>3601</v>
      </c>
      <c r="F2897" t="s">
        <v>179</v>
      </c>
      <c r="G2897">
        <v>56</v>
      </c>
      <c r="H2897">
        <v>6</v>
      </c>
      <c r="I2897">
        <v>15</v>
      </c>
      <c r="J2897">
        <v>77</v>
      </c>
      <c r="K2897" s="482">
        <v>0.72699999999999998</v>
      </c>
      <c r="L2897" s="482">
        <v>7.8E-2</v>
      </c>
      <c r="M2897" s="482">
        <v>0.19500000000000001</v>
      </c>
    </row>
    <row r="2898" spans="1:13" x14ac:dyDescent="0.2">
      <c r="A2898" t="s">
        <v>4563</v>
      </c>
      <c r="B2898" t="s">
        <v>13</v>
      </c>
      <c r="C2898" t="s">
        <v>1</v>
      </c>
      <c r="D2898" t="s">
        <v>3921</v>
      </c>
      <c r="E2898" t="s">
        <v>3922</v>
      </c>
      <c r="F2898" t="s">
        <v>179</v>
      </c>
      <c r="G2898">
        <v>62</v>
      </c>
      <c r="H2898">
        <v>14</v>
      </c>
      <c r="I2898">
        <v>20</v>
      </c>
      <c r="J2898">
        <v>96</v>
      </c>
      <c r="K2898" s="482">
        <v>0.64600000000000002</v>
      </c>
      <c r="L2898" s="482">
        <v>0.14599999999999999</v>
      </c>
      <c r="M2898" s="482">
        <v>0.20799999999999999</v>
      </c>
    </row>
    <row r="2899" spans="1:13" x14ac:dyDescent="0.2">
      <c r="A2899" t="s">
        <v>4269</v>
      </c>
      <c r="B2899" t="s">
        <v>13</v>
      </c>
      <c r="C2899" t="s">
        <v>1</v>
      </c>
      <c r="D2899" t="s">
        <v>3927</v>
      </c>
      <c r="E2899" t="s">
        <v>3928</v>
      </c>
      <c r="F2899" t="s">
        <v>179</v>
      </c>
      <c r="G2899">
        <v>26</v>
      </c>
      <c r="H2899">
        <v>6</v>
      </c>
      <c r="I2899">
        <v>13</v>
      </c>
      <c r="J2899">
        <v>45</v>
      </c>
      <c r="K2899" s="482">
        <v>0.57799999999999996</v>
      </c>
      <c r="L2899" s="482">
        <v>0.13300000000000001</v>
      </c>
      <c r="M2899" s="482">
        <v>0.28899999999999998</v>
      </c>
    </row>
    <row r="2900" spans="1:13" x14ac:dyDescent="0.2">
      <c r="A2900" t="s">
        <v>4243</v>
      </c>
      <c r="B2900" t="s">
        <v>13</v>
      </c>
      <c r="C2900" t="s">
        <v>1</v>
      </c>
      <c r="D2900" t="s">
        <v>3154</v>
      </c>
      <c r="E2900" t="s">
        <v>3155</v>
      </c>
      <c r="F2900" t="s">
        <v>179</v>
      </c>
      <c r="G2900">
        <v>12</v>
      </c>
      <c r="H2900">
        <v>1</v>
      </c>
      <c r="I2900">
        <v>2</v>
      </c>
      <c r="J2900">
        <v>15</v>
      </c>
      <c r="K2900" s="482">
        <v>0.8</v>
      </c>
      <c r="L2900" s="482">
        <v>6.7000000000000004E-2</v>
      </c>
      <c r="M2900" s="482">
        <v>0.13300000000000001</v>
      </c>
    </row>
    <row r="2901" spans="1:13" x14ac:dyDescent="0.2">
      <c r="A2901" t="s">
        <v>4244</v>
      </c>
      <c r="B2901" t="s">
        <v>13</v>
      </c>
      <c r="C2901" t="s">
        <v>1</v>
      </c>
      <c r="D2901" t="s">
        <v>3157</v>
      </c>
      <c r="E2901" t="s">
        <v>3158</v>
      </c>
      <c r="F2901" t="s">
        <v>179</v>
      </c>
      <c r="G2901">
        <v>43</v>
      </c>
      <c r="H2901">
        <v>7</v>
      </c>
      <c r="I2901">
        <v>8</v>
      </c>
      <c r="J2901">
        <v>58</v>
      </c>
      <c r="K2901" s="482">
        <v>0.74099999999999999</v>
      </c>
      <c r="L2901" s="482">
        <v>0.121</v>
      </c>
      <c r="M2901" s="482">
        <v>0.13800000000000001</v>
      </c>
    </row>
    <row r="2902" spans="1:13" x14ac:dyDescent="0.2">
      <c r="A2902" t="s">
        <v>4245</v>
      </c>
      <c r="B2902" t="s">
        <v>13</v>
      </c>
      <c r="C2902" t="s">
        <v>1</v>
      </c>
      <c r="D2902" t="s">
        <v>3160</v>
      </c>
      <c r="E2902" t="s">
        <v>3161</v>
      </c>
      <c r="F2902" t="s">
        <v>179</v>
      </c>
      <c r="G2902">
        <v>38</v>
      </c>
      <c r="H2902">
        <v>7</v>
      </c>
      <c r="I2902">
        <v>8</v>
      </c>
      <c r="J2902">
        <v>53</v>
      </c>
      <c r="K2902" s="482">
        <v>0.71699999999999997</v>
      </c>
      <c r="L2902" s="482">
        <v>0.13200000000000001</v>
      </c>
      <c r="M2902" s="482">
        <v>0.151</v>
      </c>
    </row>
    <row r="2903" spans="1:13" x14ac:dyDescent="0.2">
      <c r="A2903" t="s">
        <v>4246</v>
      </c>
      <c r="B2903" t="s">
        <v>13</v>
      </c>
      <c r="C2903" t="s">
        <v>1</v>
      </c>
      <c r="D2903" t="s">
        <v>3163</v>
      </c>
      <c r="E2903" t="s">
        <v>3164</v>
      </c>
      <c r="F2903" t="s">
        <v>179</v>
      </c>
      <c r="G2903">
        <v>33</v>
      </c>
      <c r="H2903">
        <v>13</v>
      </c>
      <c r="I2903">
        <v>14</v>
      </c>
      <c r="J2903">
        <v>60</v>
      </c>
      <c r="K2903" s="482">
        <v>0.55000000000000004</v>
      </c>
      <c r="L2903" s="482">
        <v>0.217</v>
      </c>
      <c r="M2903" s="482">
        <v>0.23300000000000001</v>
      </c>
    </row>
    <row r="2904" spans="1:13" x14ac:dyDescent="0.2">
      <c r="A2904" t="s">
        <v>4247</v>
      </c>
      <c r="B2904" t="s">
        <v>13</v>
      </c>
      <c r="C2904" t="s">
        <v>1</v>
      </c>
      <c r="D2904" t="s">
        <v>3166</v>
      </c>
      <c r="E2904" t="s">
        <v>3167</v>
      </c>
      <c r="F2904" t="s">
        <v>179</v>
      </c>
      <c r="G2904">
        <v>104</v>
      </c>
      <c r="H2904">
        <v>7</v>
      </c>
      <c r="I2904">
        <v>21</v>
      </c>
      <c r="J2904">
        <v>132</v>
      </c>
      <c r="K2904" s="482">
        <v>0.78800000000000003</v>
      </c>
      <c r="L2904" s="482">
        <v>5.2999999999999999E-2</v>
      </c>
      <c r="M2904" s="482">
        <v>0.159</v>
      </c>
    </row>
    <row r="2905" spans="1:13" x14ac:dyDescent="0.2">
      <c r="A2905" t="s">
        <v>4248</v>
      </c>
      <c r="B2905" t="s">
        <v>13</v>
      </c>
      <c r="C2905" t="s">
        <v>1</v>
      </c>
      <c r="D2905" t="s">
        <v>3169</v>
      </c>
      <c r="E2905" t="s">
        <v>340</v>
      </c>
      <c r="F2905" t="s">
        <v>179</v>
      </c>
      <c r="G2905">
        <v>59</v>
      </c>
      <c r="H2905">
        <v>10</v>
      </c>
      <c r="I2905">
        <v>26</v>
      </c>
      <c r="J2905">
        <v>95</v>
      </c>
      <c r="K2905" s="482">
        <v>0.621</v>
      </c>
      <c r="L2905" s="482">
        <v>0.105</v>
      </c>
      <c r="M2905" s="482">
        <v>0.27400000000000002</v>
      </c>
    </row>
    <row r="2906" spans="1:13" x14ac:dyDescent="0.2">
      <c r="A2906" t="s">
        <v>4238</v>
      </c>
      <c r="B2906" t="s">
        <v>13</v>
      </c>
      <c r="C2906" t="s">
        <v>1</v>
      </c>
      <c r="D2906" t="s">
        <v>3133</v>
      </c>
      <c r="E2906" t="s">
        <v>3134</v>
      </c>
      <c r="F2906" t="s">
        <v>179</v>
      </c>
      <c r="G2906" t="s">
        <v>53</v>
      </c>
      <c r="H2906">
        <v>0</v>
      </c>
      <c r="I2906">
        <v>0</v>
      </c>
      <c r="J2906" t="s">
        <v>53</v>
      </c>
      <c r="K2906" t="s">
        <v>53</v>
      </c>
      <c r="L2906" t="s">
        <v>53</v>
      </c>
      <c r="M2906" t="s">
        <v>53</v>
      </c>
    </row>
    <row r="2907" spans="1:13" x14ac:dyDescent="0.2">
      <c r="A2907" t="s">
        <v>4237</v>
      </c>
      <c r="B2907" t="s">
        <v>13</v>
      </c>
      <c r="C2907" t="s">
        <v>1</v>
      </c>
      <c r="D2907" t="s">
        <v>3130</v>
      </c>
      <c r="E2907" t="s">
        <v>3131</v>
      </c>
      <c r="F2907" t="s">
        <v>179</v>
      </c>
      <c r="G2907">
        <v>30</v>
      </c>
      <c r="H2907">
        <v>1</v>
      </c>
      <c r="I2907">
        <v>8</v>
      </c>
      <c r="J2907">
        <v>39</v>
      </c>
      <c r="K2907" s="482">
        <v>0.76900000000000002</v>
      </c>
      <c r="L2907" s="482">
        <v>2.5999999999999999E-2</v>
      </c>
      <c r="M2907" s="482">
        <v>0.20499999999999999</v>
      </c>
    </row>
    <row r="2908" spans="1:13" x14ac:dyDescent="0.2">
      <c r="A2908" t="s">
        <v>4239</v>
      </c>
      <c r="B2908" t="s">
        <v>13</v>
      </c>
      <c r="C2908" t="s">
        <v>1</v>
      </c>
      <c r="D2908" t="s">
        <v>3142</v>
      </c>
      <c r="E2908" t="s">
        <v>3143</v>
      </c>
      <c r="F2908" t="s">
        <v>179</v>
      </c>
      <c r="G2908">
        <v>143</v>
      </c>
      <c r="H2908">
        <v>12</v>
      </c>
      <c r="I2908">
        <v>47</v>
      </c>
      <c r="J2908">
        <v>202</v>
      </c>
      <c r="K2908" s="482">
        <v>0.70799999999999996</v>
      </c>
      <c r="L2908" s="482">
        <v>5.8999999999999997E-2</v>
      </c>
      <c r="M2908" s="482">
        <v>0.23300000000000001</v>
      </c>
    </row>
    <row r="2909" spans="1:13" x14ac:dyDescent="0.2">
      <c r="A2909" t="s">
        <v>4240</v>
      </c>
      <c r="B2909" t="s">
        <v>13</v>
      </c>
      <c r="C2909" t="s">
        <v>1</v>
      </c>
      <c r="D2909" t="s">
        <v>3145</v>
      </c>
      <c r="E2909" t="s">
        <v>3146</v>
      </c>
      <c r="F2909" t="s">
        <v>179</v>
      </c>
      <c r="G2909">
        <v>64</v>
      </c>
      <c r="H2909">
        <v>19</v>
      </c>
      <c r="I2909">
        <v>13</v>
      </c>
      <c r="J2909">
        <v>96</v>
      </c>
      <c r="K2909" s="482">
        <v>0.66700000000000004</v>
      </c>
      <c r="L2909" s="482">
        <v>0.19800000000000001</v>
      </c>
      <c r="M2909" s="482">
        <v>0.13500000000000001</v>
      </c>
    </row>
    <row r="2910" spans="1:13" x14ac:dyDescent="0.2">
      <c r="A2910" t="s">
        <v>4262</v>
      </c>
      <c r="B2910" t="s">
        <v>13</v>
      </c>
      <c r="C2910" t="s">
        <v>1</v>
      </c>
      <c r="D2910" t="s">
        <v>3192</v>
      </c>
      <c r="E2910" t="s">
        <v>3193</v>
      </c>
      <c r="F2910" t="s">
        <v>179</v>
      </c>
      <c r="G2910">
        <v>68</v>
      </c>
      <c r="H2910">
        <v>11</v>
      </c>
      <c r="I2910">
        <v>27</v>
      </c>
      <c r="J2910">
        <v>106</v>
      </c>
      <c r="K2910" s="482">
        <v>0.64200000000000002</v>
      </c>
      <c r="L2910" s="482">
        <v>0.104</v>
      </c>
      <c r="M2910" s="482">
        <v>0.255</v>
      </c>
    </row>
    <row r="2911" spans="1:13" x14ac:dyDescent="0.2">
      <c r="A2911" t="s">
        <v>4263</v>
      </c>
      <c r="B2911" t="s">
        <v>13</v>
      </c>
      <c r="C2911" t="s">
        <v>1</v>
      </c>
      <c r="D2911" t="s">
        <v>3195</v>
      </c>
      <c r="E2911" t="s">
        <v>3196</v>
      </c>
      <c r="F2911" t="s">
        <v>179</v>
      </c>
      <c r="G2911">
        <v>93</v>
      </c>
      <c r="H2911">
        <v>21</v>
      </c>
      <c r="I2911">
        <v>41</v>
      </c>
      <c r="J2911">
        <v>155</v>
      </c>
      <c r="K2911" s="482">
        <v>0.6</v>
      </c>
      <c r="L2911" s="482">
        <v>0.13500000000000001</v>
      </c>
      <c r="M2911" s="482">
        <v>0.26500000000000001</v>
      </c>
    </row>
    <row r="2912" spans="1:13" x14ac:dyDescent="0.2">
      <c r="A2912" t="s">
        <v>4235</v>
      </c>
      <c r="B2912" t="s">
        <v>13</v>
      </c>
      <c r="C2912" t="s">
        <v>1</v>
      </c>
      <c r="D2912" t="s">
        <v>3124</v>
      </c>
      <c r="E2912" t="s">
        <v>3125</v>
      </c>
      <c r="F2912" t="s">
        <v>179</v>
      </c>
      <c r="G2912">
        <v>4</v>
      </c>
      <c r="H2912">
        <v>0</v>
      </c>
      <c r="I2912">
        <v>2</v>
      </c>
      <c r="J2912">
        <v>6</v>
      </c>
      <c r="K2912" s="482">
        <v>0.66700000000000004</v>
      </c>
      <c r="L2912" s="482">
        <v>0</v>
      </c>
      <c r="M2912" s="482">
        <v>0.33300000000000002</v>
      </c>
    </row>
    <row r="2913" spans="1:13" x14ac:dyDescent="0.2">
      <c r="A2913" t="s">
        <v>4236</v>
      </c>
      <c r="B2913" t="s">
        <v>13</v>
      </c>
      <c r="C2913" t="s">
        <v>1</v>
      </c>
      <c r="D2913" t="s">
        <v>3127</v>
      </c>
      <c r="E2913" t="s">
        <v>3128</v>
      </c>
      <c r="F2913" t="s">
        <v>179</v>
      </c>
      <c r="G2913">
        <v>86</v>
      </c>
      <c r="H2913">
        <v>15</v>
      </c>
      <c r="I2913">
        <v>48</v>
      </c>
      <c r="J2913">
        <v>149</v>
      </c>
      <c r="K2913" s="482">
        <v>0.57699999999999996</v>
      </c>
      <c r="L2913" s="482">
        <v>0.10100000000000001</v>
      </c>
      <c r="M2913" s="482">
        <v>0.32200000000000001</v>
      </c>
    </row>
    <row r="2914" spans="1:13" x14ac:dyDescent="0.2">
      <c r="A2914" t="s">
        <v>4249</v>
      </c>
      <c r="B2914" t="s">
        <v>13</v>
      </c>
      <c r="C2914" t="s">
        <v>1</v>
      </c>
      <c r="D2914" t="s">
        <v>3171</v>
      </c>
      <c r="E2914" t="s">
        <v>3172</v>
      </c>
      <c r="F2914" t="s">
        <v>179</v>
      </c>
      <c r="G2914">
        <v>35</v>
      </c>
      <c r="H2914">
        <v>10</v>
      </c>
      <c r="I2914">
        <v>14</v>
      </c>
      <c r="J2914">
        <v>59</v>
      </c>
      <c r="K2914" s="482">
        <v>0.59299999999999997</v>
      </c>
      <c r="L2914" s="482">
        <v>0.16900000000000001</v>
      </c>
      <c r="M2914" s="482">
        <v>0.23699999999999999</v>
      </c>
    </row>
    <row r="2915" spans="1:13" x14ac:dyDescent="0.2">
      <c r="A2915" t="s">
        <v>4250</v>
      </c>
      <c r="B2915" t="s">
        <v>13</v>
      </c>
      <c r="C2915" t="s">
        <v>1</v>
      </c>
      <c r="D2915" t="s">
        <v>4251</v>
      </c>
      <c r="E2915" t="s">
        <v>4252</v>
      </c>
      <c r="F2915" t="s">
        <v>179</v>
      </c>
      <c r="G2915">
        <v>132</v>
      </c>
      <c r="H2915">
        <v>33</v>
      </c>
      <c r="I2915">
        <v>59</v>
      </c>
      <c r="J2915">
        <v>224</v>
      </c>
      <c r="K2915" s="482">
        <v>0.58899999999999997</v>
      </c>
      <c r="L2915" s="482">
        <v>0.14699999999999999</v>
      </c>
      <c r="M2915" s="482">
        <v>0.26300000000000001</v>
      </c>
    </row>
    <row r="2916" spans="1:13" x14ac:dyDescent="0.2">
      <c r="A2916" t="s">
        <v>4253</v>
      </c>
      <c r="B2916" t="s">
        <v>13</v>
      </c>
      <c r="C2916" t="s">
        <v>1</v>
      </c>
      <c r="D2916" t="s">
        <v>4254</v>
      </c>
      <c r="E2916" t="s">
        <v>4255</v>
      </c>
      <c r="F2916" t="s">
        <v>179</v>
      </c>
      <c r="G2916">
        <v>13</v>
      </c>
      <c r="H2916">
        <v>2</v>
      </c>
      <c r="I2916">
        <v>7</v>
      </c>
      <c r="J2916">
        <v>22</v>
      </c>
      <c r="K2916" s="482">
        <v>0.59099999999999997</v>
      </c>
      <c r="L2916" s="482">
        <v>9.0999999999999998E-2</v>
      </c>
      <c r="M2916" s="482">
        <v>0.318</v>
      </c>
    </row>
    <row r="2917" spans="1:13" x14ac:dyDescent="0.2">
      <c r="A2917" t="s">
        <v>4256</v>
      </c>
      <c r="B2917" t="s">
        <v>13</v>
      </c>
      <c r="C2917" t="s">
        <v>1</v>
      </c>
      <c r="D2917" t="s">
        <v>3174</v>
      </c>
      <c r="E2917" t="s">
        <v>3175</v>
      </c>
      <c r="F2917" t="s">
        <v>179</v>
      </c>
      <c r="G2917">
        <v>23</v>
      </c>
      <c r="H2917">
        <v>3</v>
      </c>
      <c r="I2917">
        <v>8</v>
      </c>
      <c r="J2917">
        <v>34</v>
      </c>
      <c r="K2917" s="482">
        <v>0.67600000000000005</v>
      </c>
      <c r="L2917" s="482">
        <v>8.7999999999999995E-2</v>
      </c>
      <c r="M2917" s="482">
        <v>0.23499999999999999</v>
      </c>
    </row>
    <row r="2918" spans="1:13" x14ac:dyDescent="0.2">
      <c r="A2918" t="s">
        <v>4257</v>
      </c>
      <c r="B2918" t="s">
        <v>13</v>
      </c>
      <c r="C2918" t="s">
        <v>1</v>
      </c>
      <c r="D2918" t="s">
        <v>3177</v>
      </c>
      <c r="E2918" t="s">
        <v>3178</v>
      </c>
      <c r="F2918" t="s">
        <v>179</v>
      </c>
      <c r="G2918">
        <v>16</v>
      </c>
      <c r="H2918">
        <v>3</v>
      </c>
      <c r="I2918">
        <v>3</v>
      </c>
      <c r="J2918">
        <v>22</v>
      </c>
      <c r="K2918" s="482">
        <v>0.72699999999999998</v>
      </c>
      <c r="L2918" s="482">
        <v>0.13600000000000001</v>
      </c>
      <c r="M2918" s="482">
        <v>0.13600000000000001</v>
      </c>
    </row>
    <row r="2919" spans="1:13" x14ac:dyDescent="0.2">
      <c r="A2919" t="s">
        <v>4258</v>
      </c>
      <c r="B2919" t="s">
        <v>13</v>
      </c>
      <c r="C2919" t="s">
        <v>1</v>
      </c>
      <c r="D2919" t="s">
        <v>3180</v>
      </c>
      <c r="E2919" t="s">
        <v>3181</v>
      </c>
      <c r="F2919" t="s">
        <v>179</v>
      </c>
      <c r="G2919">
        <v>26</v>
      </c>
      <c r="H2919">
        <v>3</v>
      </c>
      <c r="I2919">
        <v>4</v>
      </c>
      <c r="J2919">
        <v>33</v>
      </c>
      <c r="K2919" s="482">
        <v>0.78800000000000003</v>
      </c>
      <c r="L2919" s="482">
        <v>9.0999999999999998E-2</v>
      </c>
      <c r="M2919" s="482">
        <v>0.121</v>
      </c>
    </row>
    <row r="2920" spans="1:13" x14ac:dyDescent="0.2">
      <c r="A2920" t="s">
        <v>4259</v>
      </c>
      <c r="B2920" t="s">
        <v>13</v>
      </c>
      <c r="C2920" t="s">
        <v>1</v>
      </c>
      <c r="D2920" t="s">
        <v>3183</v>
      </c>
      <c r="E2920" t="s">
        <v>3184</v>
      </c>
      <c r="F2920" t="s">
        <v>179</v>
      </c>
      <c r="G2920" t="s">
        <v>53</v>
      </c>
      <c r="H2920">
        <v>0</v>
      </c>
      <c r="I2920">
        <v>0</v>
      </c>
      <c r="J2920" t="s">
        <v>53</v>
      </c>
      <c r="K2920" t="s">
        <v>53</v>
      </c>
      <c r="L2920" t="s">
        <v>53</v>
      </c>
      <c r="M2920" t="s">
        <v>53</v>
      </c>
    </row>
    <row r="2921" spans="1:13" x14ac:dyDescent="0.2">
      <c r="A2921" t="s">
        <v>4260</v>
      </c>
      <c r="B2921" t="s">
        <v>13</v>
      </c>
      <c r="C2921" t="s">
        <v>1</v>
      </c>
      <c r="D2921" t="s">
        <v>3186</v>
      </c>
      <c r="E2921" t="s">
        <v>3187</v>
      </c>
      <c r="F2921" t="s">
        <v>179</v>
      </c>
      <c r="G2921" t="s">
        <v>53</v>
      </c>
      <c r="H2921">
        <v>0</v>
      </c>
      <c r="I2921">
        <v>0</v>
      </c>
      <c r="J2921" t="s">
        <v>53</v>
      </c>
      <c r="K2921" t="s">
        <v>53</v>
      </c>
      <c r="L2921" t="s">
        <v>53</v>
      </c>
      <c r="M2921" t="s">
        <v>53</v>
      </c>
    </row>
    <row r="2922" spans="1:13" x14ac:dyDescent="0.2">
      <c r="A2922" t="s">
        <v>4261</v>
      </c>
      <c r="B2922" t="s">
        <v>13</v>
      </c>
      <c r="C2922" t="s">
        <v>1</v>
      </c>
      <c r="D2922" t="s">
        <v>3189</v>
      </c>
      <c r="E2922" t="s">
        <v>3190</v>
      </c>
      <c r="F2922" t="s">
        <v>179</v>
      </c>
      <c r="G2922">
        <v>27</v>
      </c>
      <c r="H2922">
        <v>7</v>
      </c>
      <c r="I2922">
        <v>24</v>
      </c>
      <c r="J2922">
        <v>58</v>
      </c>
      <c r="K2922" s="482">
        <v>0.46600000000000003</v>
      </c>
      <c r="L2922" s="482">
        <v>0.121</v>
      </c>
      <c r="M2922" s="482">
        <v>0.41399999999999998</v>
      </c>
    </row>
    <row r="2923" spans="1:13" x14ac:dyDescent="0.2">
      <c r="A2923" t="s">
        <v>4427</v>
      </c>
      <c r="B2923" t="s">
        <v>13</v>
      </c>
      <c r="C2923" t="s">
        <v>1</v>
      </c>
      <c r="D2923" t="s">
        <v>4428</v>
      </c>
      <c r="E2923" t="s">
        <v>4429</v>
      </c>
      <c r="F2923" t="s">
        <v>179</v>
      </c>
      <c r="G2923">
        <v>53</v>
      </c>
      <c r="H2923">
        <v>6</v>
      </c>
      <c r="I2923">
        <v>15</v>
      </c>
      <c r="J2923">
        <v>74</v>
      </c>
      <c r="K2923" s="482">
        <v>0.71599999999999997</v>
      </c>
      <c r="L2923" s="482">
        <v>8.1000000000000003E-2</v>
      </c>
      <c r="M2923" s="482">
        <v>0.20300000000000001</v>
      </c>
    </row>
    <row r="2924" spans="1:13" x14ac:dyDescent="0.2">
      <c r="A2924" t="s">
        <v>4515</v>
      </c>
      <c r="B2924" t="s">
        <v>13</v>
      </c>
      <c r="C2924" t="s">
        <v>1</v>
      </c>
      <c r="D2924" t="s">
        <v>3799</v>
      </c>
      <c r="E2924" t="s">
        <v>3800</v>
      </c>
      <c r="F2924" t="s">
        <v>179</v>
      </c>
      <c r="G2924">
        <v>78</v>
      </c>
      <c r="H2924">
        <v>15</v>
      </c>
      <c r="I2924">
        <v>33</v>
      </c>
      <c r="J2924">
        <v>126</v>
      </c>
      <c r="K2924" s="482">
        <v>0.61899999999999999</v>
      </c>
      <c r="L2924" s="482">
        <v>0.11899999999999999</v>
      </c>
      <c r="M2924" s="482">
        <v>0.26200000000000001</v>
      </c>
    </row>
    <row r="2925" spans="1:13" x14ac:dyDescent="0.2">
      <c r="A2925" t="s">
        <v>4516</v>
      </c>
      <c r="B2925" t="s">
        <v>13</v>
      </c>
      <c r="C2925" t="s">
        <v>1</v>
      </c>
      <c r="D2925" t="s">
        <v>3802</v>
      </c>
      <c r="E2925" t="s">
        <v>3803</v>
      </c>
      <c r="F2925" t="s">
        <v>179</v>
      </c>
      <c r="G2925">
        <v>109</v>
      </c>
      <c r="H2925">
        <v>35</v>
      </c>
      <c r="I2925">
        <v>41</v>
      </c>
      <c r="J2925">
        <v>185</v>
      </c>
      <c r="K2925" s="482">
        <v>0.58899999999999997</v>
      </c>
      <c r="L2925" s="482">
        <v>0.189</v>
      </c>
      <c r="M2925" s="482">
        <v>0.222</v>
      </c>
    </row>
    <row r="2926" spans="1:13" x14ac:dyDescent="0.2">
      <c r="A2926" t="s">
        <v>4517</v>
      </c>
      <c r="B2926" t="s">
        <v>13</v>
      </c>
      <c r="C2926" t="s">
        <v>1</v>
      </c>
      <c r="D2926" t="s">
        <v>4518</v>
      </c>
      <c r="E2926" t="s">
        <v>4519</v>
      </c>
      <c r="F2926" t="s">
        <v>179</v>
      </c>
      <c r="G2926">
        <v>223</v>
      </c>
      <c r="H2926">
        <v>34</v>
      </c>
      <c r="I2926">
        <v>71</v>
      </c>
      <c r="J2926">
        <v>328</v>
      </c>
      <c r="K2926" s="482">
        <v>0.68</v>
      </c>
      <c r="L2926" s="482">
        <v>0.104</v>
      </c>
      <c r="M2926" s="482">
        <v>0.216</v>
      </c>
    </row>
    <row r="2927" spans="1:13" x14ac:dyDescent="0.2">
      <c r="A2927" t="s">
        <v>4361</v>
      </c>
      <c r="B2927" t="s">
        <v>13</v>
      </c>
      <c r="C2927" t="s">
        <v>1</v>
      </c>
      <c r="D2927" t="s">
        <v>3403</v>
      </c>
      <c r="E2927" t="s">
        <v>3404</v>
      </c>
      <c r="F2927" t="s">
        <v>179</v>
      </c>
      <c r="G2927">
        <v>107</v>
      </c>
      <c r="H2927">
        <v>10</v>
      </c>
      <c r="I2927">
        <v>35</v>
      </c>
      <c r="J2927">
        <v>152</v>
      </c>
      <c r="K2927" s="482">
        <v>0.70399999999999996</v>
      </c>
      <c r="L2927" s="482">
        <v>6.6000000000000003E-2</v>
      </c>
      <c r="M2927" s="482">
        <v>0.23</v>
      </c>
    </row>
    <row r="2928" spans="1:13" x14ac:dyDescent="0.2">
      <c r="A2928" t="s">
        <v>4432</v>
      </c>
      <c r="B2928" t="s">
        <v>13</v>
      </c>
      <c r="C2928" t="s">
        <v>1</v>
      </c>
      <c r="D2928" t="s">
        <v>3570</v>
      </c>
      <c r="E2928" t="s">
        <v>3571</v>
      </c>
      <c r="F2928" t="s">
        <v>179</v>
      </c>
      <c r="G2928" t="s">
        <v>53</v>
      </c>
      <c r="H2928">
        <v>0</v>
      </c>
      <c r="I2928" t="s">
        <v>53</v>
      </c>
      <c r="J2928" t="s">
        <v>53</v>
      </c>
      <c r="K2928" t="s">
        <v>53</v>
      </c>
      <c r="L2928" t="s">
        <v>53</v>
      </c>
      <c r="M2928" t="s">
        <v>53</v>
      </c>
    </row>
    <row r="2929" spans="1:13" x14ac:dyDescent="0.2">
      <c r="A2929" t="s">
        <v>4433</v>
      </c>
      <c r="B2929" t="s">
        <v>13</v>
      </c>
      <c r="C2929" t="s">
        <v>1</v>
      </c>
      <c r="D2929" t="s">
        <v>3573</v>
      </c>
      <c r="E2929" t="s">
        <v>3574</v>
      </c>
      <c r="F2929" t="s">
        <v>179</v>
      </c>
      <c r="G2929">
        <v>20</v>
      </c>
      <c r="H2929">
        <v>3</v>
      </c>
      <c r="I2929">
        <v>15</v>
      </c>
      <c r="J2929">
        <v>38</v>
      </c>
      <c r="K2929" s="482">
        <v>0.52600000000000002</v>
      </c>
      <c r="L2929" s="482">
        <v>7.9000000000000001E-2</v>
      </c>
      <c r="M2929" s="482">
        <v>0.39500000000000002</v>
      </c>
    </row>
    <row r="2930" spans="1:13" x14ac:dyDescent="0.2">
      <c r="A2930" t="s">
        <v>4434</v>
      </c>
      <c r="B2930" t="s">
        <v>13</v>
      </c>
      <c r="C2930" t="s">
        <v>1</v>
      </c>
      <c r="D2930" t="s">
        <v>3576</v>
      </c>
      <c r="E2930" t="s">
        <v>3577</v>
      </c>
      <c r="F2930" t="s">
        <v>179</v>
      </c>
      <c r="G2930">
        <v>6</v>
      </c>
      <c r="H2930">
        <v>0</v>
      </c>
      <c r="I2930">
        <v>1</v>
      </c>
      <c r="J2930">
        <v>7</v>
      </c>
      <c r="K2930" s="482">
        <v>0.85699999999999998</v>
      </c>
      <c r="L2930" s="482">
        <v>0</v>
      </c>
      <c r="M2930" s="482">
        <v>0.14299999999999999</v>
      </c>
    </row>
    <row r="2931" spans="1:13" x14ac:dyDescent="0.2">
      <c r="A2931" t="s">
        <v>4435</v>
      </c>
      <c r="B2931" t="s">
        <v>13</v>
      </c>
      <c r="C2931" t="s">
        <v>1</v>
      </c>
      <c r="D2931" t="s">
        <v>3579</v>
      </c>
      <c r="E2931" t="s">
        <v>3580</v>
      </c>
      <c r="F2931" t="s">
        <v>179</v>
      </c>
      <c r="G2931">
        <v>45</v>
      </c>
      <c r="H2931">
        <v>2</v>
      </c>
      <c r="I2931">
        <v>20</v>
      </c>
      <c r="J2931">
        <v>67</v>
      </c>
      <c r="K2931" s="482">
        <v>0.67200000000000004</v>
      </c>
      <c r="L2931" s="482">
        <v>0.03</v>
      </c>
      <c r="M2931" s="482">
        <v>0.29899999999999999</v>
      </c>
    </row>
    <row r="2932" spans="1:13" x14ac:dyDescent="0.2">
      <c r="A2932" t="s">
        <v>4436</v>
      </c>
      <c r="B2932" t="s">
        <v>13</v>
      </c>
      <c r="C2932" t="s">
        <v>1</v>
      </c>
      <c r="D2932" t="s">
        <v>3582</v>
      </c>
      <c r="E2932" t="s">
        <v>3583</v>
      </c>
      <c r="F2932" t="s">
        <v>179</v>
      </c>
      <c r="G2932">
        <v>37</v>
      </c>
      <c r="H2932">
        <v>6</v>
      </c>
      <c r="I2932">
        <v>5</v>
      </c>
      <c r="J2932">
        <v>48</v>
      </c>
      <c r="K2932" s="482">
        <v>0.77100000000000002</v>
      </c>
      <c r="L2932" s="482">
        <v>0.125</v>
      </c>
      <c r="M2932" s="482">
        <v>0.104</v>
      </c>
    </row>
    <row r="2933" spans="1:13" x14ac:dyDescent="0.2">
      <c r="A2933" t="s">
        <v>4437</v>
      </c>
      <c r="B2933" t="s">
        <v>13</v>
      </c>
      <c r="C2933" t="s">
        <v>1</v>
      </c>
      <c r="D2933" t="s">
        <v>3585</v>
      </c>
      <c r="E2933" t="s">
        <v>3586</v>
      </c>
      <c r="F2933" t="s">
        <v>179</v>
      </c>
      <c r="G2933">
        <v>14</v>
      </c>
      <c r="H2933">
        <v>3</v>
      </c>
      <c r="I2933">
        <v>9</v>
      </c>
      <c r="J2933">
        <v>26</v>
      </c>
      <c r="K2933" s="482">
        <v>0.53800000000000003</v>
      </c>
      <c r="L2933" s="482">
        <v>0.115</v>
      </c>
      <c r="M2933" s="482">
        <v>0.34599999999999997</v>
      </c>
    </row>
    <row r="2934" spans="1:13" x14ac:dyDescent="0.2">
      <c r="A2934" t="s">
        <v>4438</v>
      </c>
      <c r="B2934" t="s">
        <v>13</v>
      </c>
      <c r="C2934" t="s">
        <v>1</v>
      </c>
      <c r="D2934" t="s">
        <v>3588</v>
      </c>
      <c r="E2934" t="s">
        <v>3589</v>
      </c>
      <c r="F2934" t="s">
        <v>179</v>
      </c>
      <c r="G2934">
        <v>5</v>
      </c>
      <c r="H2934">
        <v>0</v>
      </c>
      <c r="I2934">
        <v>4</v>
      </c>
      <c r="J2934">
        <v>9</v>
      </c>
      <c r="K2934" s="482">
        <v>0.55600000000000005</v>
      </c>
      <c r="L2934" s="482">
        <v>0</v>
      </c>
      <c r="M2934" s="482">
        <v>0.44400000000000001</v>
      </c>
    </row>
    <row r="2935" spans="1:13" x14ac:dyDescent="0.2">
      <c r="A2935" t="s">
        <v>4422</v>
      </c>
      <c r="B2935" t="s">
        <v>13</v>
      </c>
      <c r="C2935" t="s">
        <v>1</v>
      </c>
      <c r="D2935" t="s">
        <v>3558</v>
      </c>
      <c r="E2935" t="s">
        <v>3559</v>
      </c>
      <c r="F2935" t="s">
        <v>179</v>
      </c>
      <c r="G2935">
        <v>83</v>
      </c>
      <c r="H2935">
        <v>12</v>
      </c>
      <c r="I2935">
        <v>29</v>
      </c>
      <c r="J2935">
        <v>124</v>
      </c>
      <c r="K2935" s="482">
        <v>0.66900000000000004</v>
      </c>
      <c r="L2935" s="482">
        <v>9.7000000000000003E-2</v>
      </c>
      <c r="M2935" s="482">
        <v>0.23400000000000001</v>
      </c>
    </row>
    <row r="2936" spans="1:13" x14ac:dyDescent="0.2">
      <c r="A2936" t="s">
        <v>4411</v>
      </c>
      <c r="B2936" t="s">
        <v>13</v>
      </c>
      <c r="C2936" t="s">
        <v>1</v>
      </c>
      <c r="D2936" t="s">
        <v>3520</v>
      </c>
      <c r="E2936" t="s">
        <v>341</v>
      </c>
      <c r="F2936" t="s">
        <v>179</v>
      </c>
      <c r="G2936">
        <v>57</v>
      </c>
      <c r="H2936">
        <v>7</v>
      </c>
      <c r="I2936">
        <v>18</v>
      </c>
      <c r="J2936">
        <v>82</v>
      </c>
      <c r="K2936" s="482">
        <v>0.69499999999999995</v>
      </c>
      <c r="L2936" s="482">
        <v>8.5000000000000006E-2</v>
      </c>
      <c r="M2936" s="482">
        <v>0.22</v>
      </c>
    </row>
    <row r="2937" spans="1:13" x14ac:dyDescent="0.2">
      <c r="A2937" t="s">
        <v>4418</v>
      </c>
      <c r="B2937" t="s">
        <v>13</v>
      </c>
      <c r="C2937" t="s">
        <v>1</v>
      </c>
      <c r="D2937" t="s">
        <v>3546</v>
      </c>
      <c r="E2937" t="s">
        <v>3547</v>
      </c>
      <c r="F2937" t="s">
        <v>179</v>
      </c>
      <c r="G2937">
        <v>161</v>
      </c>
      <c r="H2937">
        <v>30</v>
      </c>
      <c r="I2937">
        <v>65</v>
      </c>
      <c r="J2937">
        <v>256</v>
      </c>
      <c r="K2937" s="482">
        <v>0.629</v>
      </c>
      <c r="L2937" s="482">
        <v>0.11700000000000001</v>
      </c>
      <c r="M2937" s="482">
        <v>0.254</v>
      </c>
    </row>
    <row r="2938" spans="1:13" x14ac:dyDescent="0.2">
      <c r="A2938" t="s">
        <v>4410</v>
      </c>
      <c r="B2938" t="s">
        <v>13</v>
      </c>
      <c r="C2938" t="s">
        <v>1</v>
      </c>
      <c r="D2938" t="s">
        <v>3517</v>
      </c>
      <c r="E2938" t="s">
        <v>3518</v>
      </c>
      <c r="F2938" t="s">
        <v>179</v>
      </c>
      <c r="G2938">
        <v>97</v>
      </c>
      <c r="H2938">
        <v>16</v>
      </c>
      <c r="I2938">
        <v>32</v>
      </c>
      <c r="J2938">
        <v>145</v>
      </c>
      <c r="K2938" s="482">
        <v>0.66900000000000004</v>
      </c>
      <c r="L2938" s="482">
        <v>0.11</v>
      </c>
      <c r="M2938" s="482">
        <v>0.221</v>
      </c>
    </row>
    <row r="2939" spans="1:13" x14ac:dyDescent="0.2">
      <c r="A2939" t="s">
        <v>4416</v>
      </c>
      <c r="B2939" t="s">
        <v>13</v>
      </c>
      <c r="C2939" t="s">
        <v>1</v>
      </c>
      <c r="D2939" t="s">
        <v>3540</v>
      </c>
      <c r="E2939" t="s">
        <v>3541</v>
      </c>
      <c r="F2939" t="s">
        <v>179</v>
      </c>
      <c r="G2939">
        <v>89</v>
      </c>
      <c r="H2939">
        <v>9</v>
      </c>
      <c r="I2939">
        <v>22</v>
      </c>
      <c r="J2939">
        <v>120</v>
      </c>
      <c r="K2939" s="482">
        <v>0.74199999999999999</v>
      </c>
      <c r="L2939" s="482">
        <v>7.4999999999999997E-2</v>
      </c>
      <c r="M2939" s="482">
        <v>0.183</v>
      </c>
    </row>
    <row r="2940" spans="1:13" x14ac:dyDescent="0.2">
      <c r="A2940" t="s">
        <v>4415</v>
      </c>
      <c r="B2940" t="s">
        <v>13</v>
      </c>
      <c r="C2940" t="s">
        <v>1</v>
      </c>
      <c r="D2940" t="s">
        <v>3537</v>
      </c>
      <c r="E2940" t="s">
        <v>3538</v>
      </c>
      <c r="F2940" t="s">
        <v>179</v>
      </c>
      <c r="G2940">
        <v>136</v>
      </c>
      <c r="H2940">
        <v>26</v>
      </c>
      <c r="I2940">
        <v>64</v>
      </c>
      <c r="J2940">
        <v>226</v>
      </c>
      <c r="K2940" s="482">
        <v>0.60199999999999998</v>
      </c>
      <c r="L2940" s="482">
        <v>0.115</v>
      </c>
      <c r="M2940" s="482">
        <v>0.28299999999999997</v>
      </c>
    </row>
    <row r="2941" spans="1:13" x14ac:dyDescent="0.2">
      <c r="A2941" t="s">
        <v>6596</v>
      </c>
      <c r="B2941" t="s">
        <v>13</v>
      </c>
      <c r="C2941" t="s">
        <v>1</v>
      </c>
      <c r="D2941" t="s">
        <v>3689</v>
      </c>
      <c r="E2941" t="s">
        <v>6576</v>
      </c>
      <c r="F2941" t="s">
        <v>179</v>
      </c>
      <c r="G2941">
        <v>96</v>
      </c>
      <c r="H2941">
        <v>21</v>
      </c>
      <c r="I2941">
        <v>26</v>
      </c>
      <c r="J2941">
        <v>143</v>
      </c>
      <c r="K2941" s="482">
        <v>0.67100000000000004</v>
      </c>
      <c r="L2941" s="482">
        <v>0.14699999999999999</v>
      </c>
      <c r="M2941" s="482">
        <v>0.182</v>
      </c>
    </row>
    <row r="2942" spans="1:13" x14ac:dyDescent="0.2">
      <c r="A2942" t="s">
        <v>4417</v>
      </c>
      <c r="B2942" t="s">
        <v>13</v>
      </c>
      <c r="C2942" t="s">
        <v>1</v>
      </c>
      <c r="D2942" t="s">
        <v>3543</v>
      </c>
      <c r="E2942" t="s">
        <v>3544</v>
      </c>
      <c r="F2942" t="s">
        <v>179</v>
      </c>
      <c r="G2942">
        <v>184</v>
      </c>
      <c r="H2942">
        <v>34</v>
      </c>
      <c r="I2942">
        <v>83</v>
      </c>
      <c r="J2942">
        <v>301</v>
      </c>
      <c r="K2942" s="482">
        <v>0.61099999999999999</v>
      </c>
      <c r="L2942" s="482">
        <v>0.113</v>
      </c>
      <c r="M2942" s="482">
        <v>0.27600000000000002</v>
      </c>
    </row>
    <row r="2943" spans="1:13" x14ac:dyDescent="0.2">
      <c r="A2943" t="s">
        <v>4307</v>
      </c>
      <c r="B2943" t="s">
        <v>13</v>
      </c>
      <c r="C2943" t="s">
        <v>1</v>
      </c>
      <c r="D2943" t="s">
        <v>3276</v>
      </c>
      <c r="E2943" t="s">
        <v>3277</v>
      </c>
      <c r="F2943" t="s">
        <v>179</v>
      </c>
      <c r="G2943">
        <v>16</v>
      </c>
      <c r="H2943">
        <v>3</v>
      </c>
      <c r="I2943">
        <v>8</v>
      </c>
      <c r="J2943">
        <v>27</v>
      </c>
      <c r="K2943" s="482">
        <v>0.59299999999999997</v>
      </c>
      <c r="L2943" s="482">
        <v>0.111</v>
      </c>
      <c r="M2943" s="482">
        <v>0.29599999999999999</v>
      </c>
    </row>
    <row r="2944" spans="1:13" x14ac:dyDescent="0.2">
      <c r="A2944" t="s">
        <v>6597</v>
      </c>
      <c r="B2944" t="s">
        <v>13</v>
      </c>
      <c r="C2944" t="s">
        <v>1</v>
      </c>
      <c r="D2944" t="s">
        <v>3278</v>
      </c>
      <c r="E2944" t="s">
        <v>6578</v>
      </c>
      <c r="F2944" t="s">
        <v>179</v>
      </c>
      <c r="G2944">
        <v>354</v>
      </c>
      <c r="H2944">
        <v>52</v>
      </c>
      <c r="I2944">
        <v>145</v>
      </c>
      <c r="J2944">
        <v>551</v>
      </c>
      <c r="K2944" s="482">
        <v>0.64200000000000002</v>
      </c>
      <c r="L2944" s="482">
        <v>9.4E-2</v>
      </c>
      <c r="M2944" s="482">
        <v>0.26300000000000001</v>
      </c>
    </row>
    <row r="2945" spans="1:13" x14ac:dyDescent="0.2">
      <c r="A2945" t="s">
        <v>4308</v>
      </c>
      <c r="B2945" t="s">
        <v>13</v>
      </c>
      <c r="C2945" t="s">
        <v>1</v>
      </c>
      <c r="D2945" t="s">
        <v>3280</v>
      </c>
      <c r="E2945" t="s">
        <v>3281</v>
      </c>
      <c r="F2945" t="s">
        <v>179</v>
      </c>
      <c r="G2945">
        <v>112</v>
      </c>
      <c r="H2945">
        <v>20</v>
      </c>
      <c r="I2945">
        <v>37</v>
      </c>
      <c r="J2945">
        <v>169</v>
      </c>
      <c r="K2945" s="482">
        <v>0.66300000000000003</v>
      </c>
      <c r="L2945" s="482">
        <v>0.11799999999999999</v>
      </c>
      <c r="M2945" s="482">
        <v>0.219</v>
      </c>
    </row>
    <row r="2946" spans="1:13" x14ac:dyDescent="0.2">
      <c r="A2946" t="s">
        <v>4275</v>
      </c>
      <c r="B2946" t="s">
        <v>13</v>
      </c>
      <c r="C2946" t="s">
        <v>1</v>
      </c>
      <c r="D2946" t="s">
        <v>4276</v>
      </c>
      <c r="E2946" t="s">
        <v>4277</v>
      </c>
      <c r="F2946" t="s">
        <v>179</v>
      </c>
      <c r="G2946">
        <v>9</v>
      </c>
      <c r="H2946">
        <v>2</v>
      </c>
      <c r="I2946">
        <v>1</v>
      </c>
      <c r="J2946">
        <v>12</v>
      </c>
      <c r="K2946" s="482">
        <v>0.75</v>
      </c>
      <c r="L2946" s="482">
        <v>0.16700000000000001</v>
      </c>
      <c r="M2946" s="482">
        <v>8.3000000000000004E-2</v>
      </c>
    </row>
    <row r="2947" spans="1:13" x14ac:dyDescent="0.2">
      <c r="A2947" t="s">
        <v>4278</v>
      </c>
      <c r="B2947" t="s">
        <v>13</v>
      </c>
      <c r="C2947" t="s">
        <v>1</v>
      </c>
      <c r="D2947" t="s">
        <v>4279</v>
      </c>
      <c r="E2947" t="s">
        <v>4280</v>
      </c>
      <c r="F2947" t="s">
        <v>179</v>
      </c>
      <c r="G2947">
        <v>0</v>
      </c>
      <c r="H2947" t="s">
        <v>53</v>
      </c>
      <c r="I2947" t="s">
        <v>53</v>
      </c>
      <c r="J2947" t="s">
        <v>53</v>
      </c>
      <c r="K2947" t="s">
        <v>53</v>
      </c>
      <c r="L2947" t="s">
        <v>53</v>
      </c>
      <c r="M2947" t="s">
        <v>53</v>
      </c>
    </row>
    <row r="2948" spans="1:13" x14ac:dyDescent="0.2">
      <c r="A2948" t="s">
        <v>4274</v>
      </c>
      <c r="B2948" t="s">
        <v>13</v>
      </c>
      <c r="C2948" t="s">
        <v>1</v>
      </c>
      <c r="D2948" t="s">
        <v>3216</v>
      </c>
      <c r="E2948" t="s">
        <v>3217</v>
      </c>
      <c r="F2948" t="s">
        <v>179</v>
      </c>
      <c r="G2948">
        <v>94</v>
      </c>
      <c r="H2948">
        <v>13</v>
      </c>
      <c r="I2948">
        <v>30</v>
      </c>
      <c r="J2948">
        <v>137</v>
      </c>
      <c r="K2948" s="482">
        <v>0.68600000000000005</v>
      </c>
      <c r="L2948" s="482">
        <v>9.5000000000000001E-2</v>
      </c>
      <c r="M2948" s="482">
        <v>0.219</v>
      </c>
    </row>
    <row r="2949" spans="1:13" x14ac:dyDescent="0.2">
      <c r="A2949" t="s">
        <v>4281</v>
      </c>
      <c r="B2949" t="s">
        <v>13</v>
      </c>
      <c r="C2949" t="s">
        <v>1</v>
      </c>
      <c r="D2949" t="s">
        <v>3219</v>
      </c>
      <c r="E2949" t="s">
        <v>3220</v>
      </c>
      <c r="F2949" t="s">
        <v>179</v>
      </c>
      <c r="G2949">
        <v>80</v>
      </c>
      <c r="H2949">
        <v>13</v>
      </c>
      <c r="I2949">
        <v>26</v>
      </c>
      <c r="J2949">
        <v>119</v>
      </c>
      <c r="K2949" s="482">
        <v>0.67200000000000004</v>
      </c>
      <c r="L2949" s="482">
        <v>0.109</v>
      </c>
      <c r="M2949" s="482">
        <v>0.218</v>
      </c>
    </row>
    <row r="2950" spans="1:13" x14ac:dyDescent="0.2">
      <c r="A2950" t="s">
        <v>4282</v>
      </c>
      <c r="B2950" t="s">
        <v>13</v>
      </c>
      <c r="C2950" t="s">
        <v>1</v>
      </c>
      <c r="D2950" t="s">
        <v>3222</v>
      </c>
      <c r="E2950" t="s">
        <v>3223</v>
      </c>
      <c r="F2950" t="s">
        <v>179</v>
      </c>
      <c r="G2950">
        <v>54</v>
      </c>
      <c r="H2950">
        <v>13</v>
      </c>
      <c r="I2950">
        <v>10</v>
      </c>
      <c r="J2950">
        <v>77</v>
      </c>
      <c r="K2950" s="482">
        <v>0.70099999999999996</v>
      </c>
      <c r="L2950" s="482">
        <v>0.16900000000000001</v>
      </c>
      <c r="M2950" s="482">
        <v>0.13</v>
      </c>
    </row>
    <row r="2951" spans="1:13" x14ac:dyDescent="0.2">
      <c r="A2951" t="s">
        <v>4283</v>
      </c>
      <c r="B2951" t="s">
        <v>13</v>
      </c>
      <c r="C2951" t="s">
        <v>1</v>
      </c>
      <c r="D2951" t="s">
        <v>3225</v>
      </c>
      <c r="E2951" t="s">
        <v>3226</v>
      </c>
      <c r="F2951" t="s">
        <v>179</v>
      </c>
      <c r="G2951">
        <v>126</v>
      </c>
      <c r="H2951">
        <v>23</v>
      </c>
      <c r="I2951">
        <v>60</v>
      </c>
      <c r="J2951">
        <v>209</v>
      </c>
      <c r="K2951" s="482">
        <v>0.60299999999999998</v>
      </c>
      <c r="L2951" s="482">
        <v>0.11</v>
      </c>
      <c r="M2951" s="482">
        <v>0.28699999999999998</v>
      </c>
    </row>
    <row r="2952" spans="1:13" x14ac:dyDescent="0.2">
      <c r="A2952" t="s">
        <v>4284</v>
      </c>
      <c r="B2952" t="s">
        <v>13</v>
      </c>
      <c r="C2952" t="s">
        <v>1</v>
      </c>
      <c r="D2952" t="s">
        <v>4285</v>
      </c>
      <c r="E2952" t="s">
        <v>4286</v>
      </c>
      <c r="F2952" t="s">
        <v>179</v>
      </c>
      <c r="G2952">
        <v>123</v>
      </c>
      <c r="H2952">
        <v>28</v>
      </c>
      <c r="I2952">
        <v>47</v>
      </c>
      <c r="J2952">
        <v>198</v>
      </c>
      <c r="K2952" s="482">
        <v>0.621</v>
      </c>
      <c r="L2952" s="482">
        <v>0.14099999999999999</v>
      </c>
      <c r="M2952" s="482">
        <v>0.23699999999999999</v>
      </c>
    </row>
    <row r="2953" spans="1:13" x14ac:dyDescent="0.2">
      <c r="A2953" t="s">
        <v>4459</v>
      </c>
      <c r="B2953" t="s">
        <v>13</v>
      </c>
      <c r="C2953" t="s">
        <v>1</v>
      </c>
      <c r="D2953" t="s">
        <v>3651</v>
      </c>
      <c r="E2953" t="s">
        <v>3652</v>
      </c>
      <c r="F2953" t="s">
        <v>179</v>
      </c>
      <c r="G2953">
        <v>188</v>
      </c>
      <c r="H2953">
        <v>29</v>
      </c>
      <c r="I2953">
        <v>51</v>
      </c>
      <c r="J2953">
        <v>268</v>
      </c>
      <c r="K2953" s="482">
        <v>0.70099999999999996</v>
      </c>
      <c r="L2953" s="482">
        <v>0.108</v>
      </c>
      <c r="M2953" s="482">
        <v>0.19</v>
      </c>
    </row>
    <row r="2954" spans="1:13" x14ac:dyDescent="0.2">
      <c r="A2954" t="s">
        <v>4460</v>
      </c>
      <c r="B2954" t="s">
        <v>13</v>
      </c>
      <c r="C2954" t="s">
        <v>1</v>
      </c>
      <c r="D2954" t="s">
        <v>3654</v>
      </c>
      <c r="E2954" t="s">
        <v>3655</v>
      </c>
      <c r="F2954" t="s">
        <v>179</v>
      </c>
      <c r="G2954">
        <v>54</v>
      </c>
      <c r="H2954">
        <v>9</v>
      </c>
      <c r="I2954">
        <v>17</v>
      </c>
      <c r="J2954">
        <v>80</v>
      </c>
      <c r="K2954" s="482">
        <v>0.67500000000000004</v>
      </c>
      <c r="L2954" s="482">
        <v>0.113</v>
      </c>
      <c r="M2954" s="482">
        <v>0.21299999999999999</v>
      </c>
    </row>
    <row r="2955" spans="1:13" x14ac:dyDescent="0.2">
      <c r="A2955" t="s">
        <v>4461</v>
      </c>
      <c r="B2955" t="s">
        <v>13</v>
      </c>
      <c r="C2955" t="s">
        <v>1</v>
      </c>
      <c r="D2955" t="s">
        <v>3657</v>
      </c>
      <c r="E2955" t="s">
        <v>3658</v>
      </c>
      <c r="F2955" t="s">
        <v>179</v>
      </c>
      <c r="G2955">
        <v>86</v>
      </c>
      <c r="H2955">
        <v>11</v>
      </c>
      <c r="I2955">
        <v>43</v>
      </c>
      <c r="J2955">
        <v>140</v>
      </c>
      <c r="K2955" s="482">
        <v>0.61399999999999999</v>
      </c>
      <c r="L2955" s="482">
        <v>7.9000000000000001E-2</v>
      </c>
      <c r="M2955" s="482">
        <v>0.307</v>
      </c>
    </row>
    <row r="2956" spans="1:13" x14ac:dyDescent="0.2">
      <c r="A2956" t="s">
        <v>4456</v>
      </c>
      <c r="B2956" t="s">
        <v>13</v>
      </c>
      <c r="C2956" t="s">
        <v>1</v>
      </c>
      <c r="D2956" t="s">
        <v>3641</v>
      </c>
      <c r="E2956" t="s">
        <v>3642</v>
      </c>
      <c r="F2956" t="s">
        <v>179</v>
      </c>
      <c r="G2956">
        <v>126</v>
      </c>
      <c r="H2956">
        <v>13</v>
      </c>
      <c r="I2956">
        <v>55</v>
      </c>
      <c r="J2956">
        <v>194</v>
      </c>
      <c r="K2956" s="482">
        <v>0.64900000000000002</v>
      </c>
      <c r="L2956" s="482">
        <v>6.7000000000000004E-2</v>
      </c>
      <c r="M2956" s="482">
        <v>0.28399999999999997</v>
      </c>
    </row>
    <row r="2957" spans="1:13" x14ac:dyDescent="0.2">
      <c r="A2957" t="s">
        <v>6598</v>
      </c>
      <c r="B2957" t="s">
        <v>13</v>
      </c>
      <c r="C2957" t="s">
        <v>1</v>
      </c>
      <c r="D2957" t="s">
        <v>3643</v>
      </c>
      <c r="E2957" t="s">
        <v>6580</v>
      </c>
      <c r="F2957" t="s">
        <v>179</v>
      </c>
      <c r="G2957">
        <v>105</v>
      </c>
      <c r="H2957">
        <v>16</v>
      </c>
      <c r="I2957">
        <v>32</v>
      </c>
      <c r="J2957">
        <v>153</v>
      </c>
      <c r="K2957" s="482">
        <v>0.68600000000000005</v>
      </c>
      <c r="L2957" s="482">
        <v>0.105</v>
      </c>
      <c r="M2957" s="482">
        <v>0.20899999999999999</v>
      </c>
    </row>
    <row r="2958" spans="1:13" x14ac:dyDescent="0.2">
      <c r="A2958" t="s">
        <v>4457</v>
      </c>
      <c r="B2958" t="s">
        <v>13</v>
      </c>
      <c r="C2958" t="s">
        <v>1</v>
      </c>
      <c r="D2958" t="s">
        <v>3645</v>
      </c>
      <c r="E2958" t="s">
        <v>3646</v>
      </c>
      <c r="F2958" t="s">
        <v>179</v>
      </c>
      <c r="G2958">
        <v>98</v>
      </c>
      <c r="H2958">
        <v>10</v>
      </c>
      <c r="I2958">
        <v>34</v>
      </c>
      <c r="J2958">
        <v>142</v>
      </c>
      <c r="K2958" s="482">
        <v>0.69</v>
      </c>
      <c r="L2958" s="482">
        <v>7.0000000000000007E-2</v>
      </c>
      <c r="M2958" s="482">
        <v>0.23899999999999999</v>
      </c>
    </row>
    <row r="2959" spans="1:13" x14ac:dyDescent="0.2">
      <c r="A2959" t="s">
        <v>4458</v>
      </c>
      <c r="B2959" t="s">
        <v>13</v>
      </c>
      <c r="C2959" t="s">
        <v>1</v>
      </c>
      <c r="D2959" t="s">
        <v>3648</v>
      </c>
      <c r="E2959" t="s">
        <v>3649</v>
      </c>
      <c r="F2959" t="s">
        <v>179</v>
      </c>
      <c r="G2959">
        <v>86</v>
      </c>
      <c r="H2959">
        <v>10</v>
      </c>
      <c r="I2959">
        <v>13</v>
      </c>
      <c r="J2959">
        <v>109</v>
      </c>
      <c r="K2959" s="482">
        <v>0.78900000000000003</v>
      </c>
      <c r="L2959" s="482">
        <v>9.1999999999999998E-2</v>
      </c>
      <c r="M2959" s="482">
        <v>0.11899999999999999</v>
      </c>
    </row>
    <row r="2960" spans="1:13" x14ac:dyDescent="0.2">
      <c r="A2960" t="s">
        <v>4462</v>
      </c>
      <c r="B2960" t="s">
        <v>13</v>
      </c>
      <c r="C2960" t="s">
        <v>1</v>
      </c>
      <c r="D2960" t="s">
        <v>3660</v>
      </c>
      <c r="E2960" t="s">
        <v>3661</v>
      </c>
      <c r="F2960" t="s">
        <v>179</v>
      </c>
      <c r="G2960">
        <v>48</v>
      </c>
      <c r="H2960">
        <v>11</v>
      </c>
      <c r="I2960">
        <v>15</v>
      </c>
      <c r="J2960">
        <v>74</v>
      </c>
      <c r="K2960" s="482">
        <v>0.64900000000000002</v>
      </c>
      <c r="L2960" s="482">
        <v>0.14899999999999999</v>
      </c>
      <c r="M2960" s="482">
        <v>0.20300000000000001</v>
      </c>
    </row>
    <row r="2961" spans="1:13" x14ac:dyDescent="0.2">
      <c r="A2961" t="s">
        <v>4463</v>
      </c>
      <c r="B2961" t="s">
        <v>13</v>
      </c>
      <c r="C2961" t="s">
        <v>1</v>
      </c>
      <c r="D2961" t="s">
        <v>3663</v>
      </c>
      <c r="E2961" t="s">
        <v>3664</v>
      </c>
      <c r="F2961" t="s">
        <v>179</v>
      </c>
      <c r="G2961">
        <v>49</v>
      </c>
      <c r="H2961">
        <v>12</v>
      </c>
      <c r="I2961">
        <v>23</v>
      </c>
      <c r="J2961">
        <v>84</v>
      </c>
      <c r="K2961" s="482">
        <v>0.58299999999999996</v>
      </c>
      <c r="L2961" s="482">
        <v>0.14299999999999999</v>
      </c>
      <c r="M2961" s="482">
        <v>0.27400000000000002</v>
      </c>
    </row>
    <row r="2962" spans="1:13" x14ac:dyDescent="0.2">
      <c r="A2962" t="s">
        <v>4464</v>
      </c>
      <c r="B2962" t="s">
        <v>13</v>
      </c>
      <c r="C2962" t="s">
        <v>1</v>
      </c>
      <c r="D2962" t="s">
        <v>3666</v>
      </c>
      <c r="E2962" t="s">
        <v>3667</v>
      </c>
      <c r="F2962" t="s">
        <v>179</v>
      </c>
      <c r="G2962">
        <v>19</v>
      </c>
      <c r="H2962">
        <v>2</v>
      </c>
      <c r="I2962">
        <v>12</v>
      </c>
      <c r="J2962">
        <v>33</v>
      </c>
      <c r="K2962" s="482">
        <v>0.57599999999999996</v>
      </c>
      <c r="L2962" s="482">
        <v>6.0999999999999999E-2</v>
      </c>
      <c r="M2962" s="482">
        <v>0.36399999999999999</v>
      </c>
    </row>
    <row r="2963" spans="1:13" x14ac:dyDescent="0.2">
      <c r="A2963" t="s">
        <v>4465</v>
      </c>
      <c r="B2963" t="s">
        <v>13</v>
      </c>
      <c r="C2963" t="s">
        <v>1</v>
      </c>
      <c r="D2963" t="s">
        <v>3669</v>
      </c>
      <c r="E2963" t="s">
        <v>3670</v>
      </c>
      <c r="F2963" t="s">
        <v>179</v>
      </c>
      <c r="G2963">
        <v>147</v>
      </c>
      <c r="H2963">
        <v>17</v>
      </c>
      <c r="I2963">
        <v>59</v>
      </c>
      <c r="J2963">
        <v>223</v>
      </c>
      <c r="K2963" s="482">
        <v>0.65900000000000003</v>
      </c>
      <c r="L2963" s="482">
        <v>7.5999999999999998E-2</v>
      </c>
      <c r="M2963" s="482">
        <v>0.26500000000000001</v>
      </c>
    </row>
    <row r="2964" spans="1:13" x14ac:dyDescent="0.2">
      <c r="A2964" t="s">
        <v>4466</v>
      </c>
      <c r="B2964" t="s">
        <v>13</v>
      </c>
      <c r="C2964" t="s">
        <v>1</v>
      </c>
      <c r="D2964" t="s">
        <v>3672</v>
      </c>
      <c r="E2964" t="s">
        <v>3673</v>
      </c>
      <c r="F2964" t="s">
        <v>179</v>
      </c>
      <c r="G2964">
        <v>37</v>
      </c>
      <c r="H2964">
        <v>11</v>
      </c>
      <c r="I2964">
        <v>11</v>
      </c>
      <c r="J2964">
        <v>59</v>
      </c>
      <c r="K2964" s="482">
        <v>0.627</v>
      </c>
      <c r="L2964" s="482">
        <v>0.186</v>
      </c>
      <c r="M2964" s="482">
        <v>0.186</v>
      </c>
    </row>
    <row r="2965" spans="1:13" x14ac:dyDescent="0.2">
      <c r="A2965" t="s">
        <v>4467</v>
      </c>
      <c r="B2965" t="s">
        <v>13</v>
      </c>
      <c r="C2965" t="s">
        <v>1</v>
      </c>
      <c r="D2965" t="s">
        <v>3675</v>
      </c>
      <c r="E2965" t="s">
        <v>3676</v>
      </c>
      <c r="F2965" t="s">
        <v>179</v>
      </c>
      <c r="G2965">
        <v>112</v>
      </c>
      <c r="H2965">
        <v>24</v>
      </c>
      <c r="I2965">
        <v>44</v>
      </c>
      <c r="J2965">
        <v>180</v>
      </c>
      <c r="K2965" s="482">
        <v>0.622</v>
      </c>
      <c r="L2965" s="482">
        <v>0.13300000000000001</v>
      </c>
      <c r="M2965" s="482">
        <v>0.24399999999999999</v>
      </c>
    </row>
    <row r="2966" spans="1:13" x14ac:dyDescent="0.2">
      <c r="A2966" t="s">
        <v>4304</v>
      </c>
      <c r="B2966" t="s">
        <v>13</v>
      </c>
      <c r="C2966" t="s">
        <v>1</v>
      </c>
      <c r="D2966" t="s">
        <v>3267</v>
      </c>
      <c r="E2966" t="s">
        <v>3268</v>
      </c>
      <c r="F2966" t="s">
        <v>179</v>
      </c>
      <c r="G2966">
        <v>25</v>
      </c>
      <c r="H2966">
        <v>8</v>
      </c>
      <c r="I2966">
        <v>13</v>
      </c>
      <c r="J2966">
        <v>46</v>
      </c>
      <c r="K2966" s="482">
        <v>0.54300000000000004</v>
      </c>
      <c r="L2966" s="482">
        <v>0.17399999999999999</v>
      </c>
      <c r="M2966" s="482">
        <v>0.28299999999999997</v>
      </c>
    </row>
    <row r="2967" spans="1:13" x14ac:dyDescent="0.2">
      <c r="A2967" t="s">
        <v>4305</v>
      </c>
      <c r="B2967" t="s">
        <v>13</v>
      </c>
      <c r="C2967" t="s">
        <v>1</v>
      </c>
      <c r="D2967" t="s">
        <v>3270</v>
      </c>
      <c r="E2967" t="s">
        <v>3271</v>
      </c>
      <c r="F2967" t="s">
        <v>179</v>
      </c>
      <c r="G2967">
        <v>69</v>
      </c>
      <c r="H2967">
        <v>18</v>
      </c>
      <c r="I2967">
        <v>31</v>
      </c>
      <c r="J2967">
        <v>118</v>
      </c>
      <c r="K2967" s="482">
        <v>0.58499999999999996</v>
      </c>
      <c r="L2967" s="482">
        <v>0.153</v>
      </c>
      <c r="M2967" s="482">
        <v>0.26300000000000001</v>
      </c>
    </row>
    <row r="2968" spans="1:13" x14ac:dyDescent="0.2">
      <c r="A2968" t="s">
        <v>4306</v>
      </c>
      <c r="B2968" t="s">
        <v>13</v>
      </c>
      <c r="C2968" t="s">
        <v>1</v>
      </c>
      <c r="D2968" t="s">
        <v>3273</v>
      </c>
      <c r="E2968" t="s">
        <v>3274</v>
      </c>
      <c r="F2968" t="s">
        <v>179</v>
      </c>
      <c r="G2968">
        <v>6</v>
      </c>
      <c r="H2968">
        <v>0</v>
      </c>
      <c r="I2968">
        <v>3</v>
      </c>
      <c r="J2968">
        <v>9</v>
      </c>
      <c r="K2968" s="482">
        <v>0.66700000000000004</v>
      </c>
      <c r="L2968" s="482">
        <v>0</v>
      </c>
      <c r="M2968" s="482">
        <v>0.33300000000000002</v>
      </c>
    </row>
    <row r="2969" spans="1:13" x14ac:dyDescent="0.2">
      <c r="A2969" t="s">
        <v>4270</v>
      </c>
      <c r="B2969" t="s">
        <v>13</v>
      </c>
      <c r="C2969" t="s">
        <v>1</v>
      </c>
      <c r="D2969" t="s">
        <v>3204</v>
      </c>
      <c r="E2969" t="s">
        <v>3205</v>
      </c>
      <c r="F2969" t="s">
        <v>179</v>
      </c>
      <c r="G2969">
        <v>41</v>
      </c>
      <c r="H2969">
        <v>9</v>
      </c>
      <c r="I2969">
        <v>18</v>
      </c>
      <c r="J2969">
        <v>68</v>
      </c>
      <c r="K2969" s="482">
        <v>0.60299999999999998</v>
      </c>
      <c r="L2969" s="482">
        <v>0.13200000000000001</v>
      </c>
      <c r="M2969" s="482">
        <v>0.26500000000000001</v>
      </c>
    </row>
    <row r="2970" spans="1:13" x14ac:dyDescent="0.2">
      <c r="A2970" t="s">
        <v>4271</v>
      </c>
      <c r="B2970" t="s">
        <v>13</v>
      </c>
      <c r="C2970" t="s">
        <v>1</v>
      </c>
      <c r="D2970" t="s">
        <v>3207</v>
      </c>
      <c r="E2970" t="s">
        <v>3208</v>
      </c>
      <c r="F2970" t="s">
        <v>179</v>
      </c>
      <c r="G2970">
        <v>55</v>
      </c>
      <c r="H2970">
        <v>10</v>
      </c>
      <c r="I2970">
        <v>12</v>
      </c>
      <c r="J2970">
        <v>77</v>
      </c>
      <c r="K2970" s="482">
        <v>0.71399999999999997</v>
      </c>
      <c r="L2970" s="482">
        <v>0.13</v>
      </c>
      <c r="M2970" s="482">
        <v>0.156</v>
      </c>
    </row>
    <row r="2971" spans="1:13" x14ac:dyDescent="0.2">
      <c r="A2971" t="s">
        <v>4526</v>
      </c>
      <c r="B2971" t="s">
        <v>13</v>
      </c>
      <c r="C2971" t="s">
        <v>1</v>
      </c>
      <c r="D2971" t="s">
        <v>3832</v>
      </c>
      <c r="E2971" t="s">
        <v>3833</v>
      </c>
      <c r="F2971" t="s">
        <v>179</v>
      </c>
      <c r="G2971">
        <v>101</v>
      </c>
      <c r="H2971">
        <v>12</v>
      </c>
      <c r="I2971">
        <v>19</v>
      </c>
      <c r="J2971">
        <v>132</v>
      </c>
      <c r="K2971" s="482">
        <v>0.76500000000000001</v>
      </c>
      <c r="L2971" s="482">
        <v>9.0999999999999998E-2</v>
      </c>
      <c r="M2971" s="482">
        <v>0.14399999999999999</v>
      </c>
    </row>
    <row r="2972" spans="1:13" x14ac:dyDescent="0.2">
      <c r="A2972" t="s">
        <v>4482</v>
      </c>
      <c r="B2972" t="s">
        <v>13</v>
      </c>
      <c r="C2972" t="s">
        <v>1</v>
      </c>
      <c r="D2972" t="s">
        <v>3706</v>
      </c>
      <c r="E2972" t="s">
        <v>3707</v>
      </c>
      <c r="F2972" t="s">
        <v>179</v>
      </c>
      <c r="G2972">
        <v>220</v>
      </c>
      <c r="H2972">
        <v>35</v>
      </c>
      <c r="I2972">
        <v>88</v>
      </c>
      <c r="J2972">
        <v>343</v>
      </c>
      <c r="K2972" s="482">
        <v>0.64100000000000001</v>
      </c>
      <c r="L2972" s="482">
        <v>0.10199999999999999</v>
      </c>
      <c r="M2972" s="482">
        <v>0.25700000000000001</v>
      </c>
    </row>
    <row r="2973" spans="1:13" x14ac:dyDescent="0.2">
      <c r="A2973" t="s">
        <v>4413</v>
      </c>
      <c r="B2973" t="s">
        <v>13</v>
      </c>
      <c r="C2973" t="s">
        <v>1</v>
      </c>
      <c r="D2973" t="s">
        <v>3525</v>
      </c>
      <c r="E2973" t="s">
        <v>3526</v>
      </c>
      <c r="F2973" t="s">
        <v>179</v>
      </c>
      <c r="G2973">
        <v>62</v>
      </c>
      <c r="H2973">
        <v>7</v>
      </c>
      <c r="I2973">
        <v>24</v>
      </c>
      <c r="J2973">
        <v>93</v>
      </c>
      <c r="K2973" s="482">
        <v>0.66700000000000004</v>
      </c>
      <c r="L2973" s="482">
        <v>7.4999999999999997E-2</v>
      </c>
      <c r="M2973" s="482">
        <v>0.25800000000000001</v>
      </c>
    </row>
    <row r="2974" spans="1:13" x14ac:dyDescent="0.2">
      <c r="A2974" t="s">
        <v>4414</v>
      </c>
      <c r="B2974" t="s">
        <v>13</v>
      </c>
      <c r="C2974" t="s">
        <v>1</v>
      </c>
      <c r="D2974" t="s">
        <v>3534</v>
      </c>
      <c r="E2974" t="s">
        <v>3535</v>
      </c>
      <c r="F2974" t="s">
        <v>179</v>
      </c>
      <c r="G2974">
        <v>48</v>
      </c>
      <c r="H2974">
        <v>12</v>
      </c>
      <c r="I2974">
        <v>16</v>
      </c>
      <c r="J2974">
        <v>76</v>
      </c>
      <c r="K2974" s="482">
        <v>0.63200000000000001</v>
      </c>
      <c r="L2974" s="482">
        <v>0.158</v>
      </c>
      <c r="M2974" s="482">
        <v>0.21099999999999999</v>
      </c>
    </row>
    <row r="2975" spans="1:13" x14ac:dyDescent="0.2">
      <c r="A2975" t="s">
        <v>4487</v>
      </c>
      <c r="B2975" t="s">
        <v>13</v>
      </c>
      <c r="C2975" t="s">
        <v>1</v>
      </c>
      <c r="D2975" t="s">
        <v>3721</v>
      </c>
      <c r="E2975" t="s">
        <v>3722</v>
      </c>
      <c r="F2975" t="s">
        <v>179</v>
      </c>
      <c r="G2975">
        <v>161</v>
      </c>
      <c r="H2975">
        <v>35</v>
      </c>
      <c r="I2975">
        <v>61</v>
      </c>
      <c r="J2975">
        <v>257</v>
      </c>
      <c r="K2975" s="482">
        <v>0.626</v>
      </c>
      <c r="L2975" s="482">
        <v>0.13600000000000001</v>
      </c>
      <c r="M2975" s="482">
        <v>0.23699999999999999</v>
      </c>
    </row>
    <row r="2976" spans="1:13" x14ac:dyDescent="0.2">
      <c r="A2976" t="s">
        <v>4488</v>
      </c>
      <c r="B2976" t="s">
        <v>13</v>
      </c>
      <c r="C2976" t="s">
        <v>1</v>
      </c>
      <c r="D2976" t="s">
        <v>3724</v>
      </c>
      <c r="E2976" t="s">
        <v>3725</v>
      </c>
      <c r="F2976" t="s">
        <v>179</v>
      </c>
      <c r="G2976">
        <v>137</v>
      </c>
      <c r="H2976">
        <v>12</v>
      </c>
      <c r="I2976">
        <v>45</v>
      </c>
      <c r="J2976">
        <v>194</v>
      </c>
      <c r="K2976" s="482">
        <v>0.70599999999999996</v>
      </c>
      <c r="L2976" s="482">
        <v>6.2E-2</v>
      </c>
      <c r="M2976" s="482">
        <v>0.23200000000000001</v>
      </c>
    </row>
    <row r="2977" spans="1:13" x14ac:dyDescent="0.2">
      <c r="A2977" t="s">
        <v>4489</v>
      </c>
      <c r="B2977" t="s">
        <v>13</v>
      </c>
      <c r="C2977" t="s">
        <v>1</v>
      </c>
      <c r="D2977" t="s">
        <v>3727</v>
      </c>
      <c r="E2977" t="s">
        <v>3728</v>
      </c>
      <c r="F2977" t="s">
        <v>179</v>
      </c>
      <c r="G2977">
        <v>62</v>
      </c>
      <c r="H2977">
        <v>7</v>
      </c>
      <c r="I2977">
        <v>19</v>
      </c>
      <c r="J2977">
        <v>88</v>
      </c>
      <c r="K2977" s="482">
        <v>0.70499999999999996</v>
      </c>
      <c r="L2977" s="482">
        <v>0.08</v>
      </c>
      <c r="M2977" s="482">
        <v>0.216</v>
      </c>
    </row>
    <row r="2978" spans="1:13" x14ac:dyDescent="0.2">
      <c r="A2978" t="s">
        <v>4490</v>
      </c>
      <c r="B2978" t="s">
        <v>13</v>
      </c>
      <c r="C2978" t="s">
        <v>1</v>
      </c>
      <c r="D2978" t="s">
        <v>3730</v>
      </c>
      <c r="E2978" t="s">
        <v>3731</v>
      </c>
      <c r="F2978" t="s">
        <v>179</v>
      </c>
      <c r="G2978">
        <v>95</v>
      </c>
      <c r="H2978">
        <v>21</v>
      </c>
      <c r="I2978">
        <v>37</v>
      </c>
      <c r="J2978">
        <v>153</v>
      </c>
      <c r="K2978" s="482">
        <v>0.621</v>
      </c>
      <c r="L2978" s="482">
        <v>0.13700000000000001</v>
      </c>
      <c r="M2978" s="482">
        <v>0.24199999999999999</v>
      </c>
    </row>
    <row r="2979" spans="1:13" x14ac:dyDescent="0.2">
      <c r="A2979" t="s">
        <v>4491</v>
      </c>
      <c r="B2979" t="s">
        <v>13</v>
      </c>
      <c r="C2979" t="s">
        <v>1</v>
      </c>
      <c r="D2979" t="s">
        <v>3733</v>
      </c>
      <c r="E2979" t="s">
        <v>3734</v>
      </c>
      <c r="F2979" t="s">
        <v>179</v>
      </c>
      <c r="G2979">
        <v>113</v>
      </c>
      <c r="H2979">
        <v>22</v>
      </c>
      <c r="I2979">
        <v>35</v>
      </c>
      <c r="J2979">
        <v>170</v>
      </c>
      <c r="K2979" s="482">
        <v>0.66500000000000004</v>
      </c>
      <c r="L2979" s="482">
        <v>0.129</v>
      </c>
      <c r="M2979" s="482">
        <v>0.20599999999999999</v>
      </c>
    </row>
    <row r="2980" spans="1:13" x14ac:dyDescent="0.2">
      <c r="A2980" t="s">
        <v>4492</v>
      </c>
      <c r="B2980" t="s">
        <v>13</v>
      </c>
      <c r="C2980" t="s">
        <v>1</v>
      </c>
      <c r="D2980" t="s">
        <v>3736</v>
      </c>
      <c r="E2980" t="s">
        <v>3737</v>
      </c>
      <c r="F2980" t="s">
        <v>179</v>
      </c>
      <c r="G2980">
        <v>37</v>
      </c>
      <c r="H2980">
        <v>6</v>
      </c>
      <c r="I2980">
        <v>15</v>
      </c>
      <c r="J2980">
        <v>58</v>
      </c>
      <c r="K2980" s="482">
        <v>0.63800000000000001</v>
      </c>
      <c r="L2980" s="482">
        <v>0.10299999999999999</v>
      </c>
      <c r="M2980" s="482">
        <v>0.25900000000000001</v>
      </c>
    </row>
    <row r="2981" spans="1:13" x14ac:dyDescent="0.2">
      <c r="A2981" t="s">
        <v>4483</v>
      </c>
      <c r="B2981" t="s">
        <v>13</v>
      </c>
      <c r="C2981" t="s">
        <v>1</v>
      </c>
      <c r="D2981" t="s">
        <v>3709</v>
      </c>
      <c r="E2981" t="s">
        <v>3710</v>
      </c>
      <c r="F2981" t="s">
        <v>179</v>
      </c>
      <c r="G2981">
        <v>49</v>
      </c>
      <c r="H2981">
        <v>13</v>
      </c>
      <c r="I2981">
        <v>17</v>
      </c>
      <c r="J2981">
        <v>79</v>
      </c>
      <c r="K2981" s="482">
        <v>0.62</v>
      </c>
      <c r="L2981" s="482">
        <v>0.16500000000000001</v>
      </c>
      <c r="M2981" s="482">
        <v>0.215</v>
      </c>
    </row>
    <row r="2982" spans="1:13" x14ac:dyDescent="0.2">
      <c r="A2982" t="s">
        <v>4484</v>
      </c>
      <c r="B2982" t="s">
        <v>13</v>
      </c>
      <c r="C2982" t="s">
        <v>1</v>
      </c>
      <c r="D2982" t="s">
        <v>3712</v>
      </c>
      <c r="E2982" t="s">
        <v>3713</v>
      </c>
      <c r="F2982" t="s">
        <v>179</v>
      </c>
      <c r="G2982">
        <v>146</v>
      </c>
      <c r="H2982">
        <v>21</v>
      </c>
      <c r="I2982">
        <v>46</v>
      </c>
      <c r="J2982">
        <v>213</v>
      </c>
      <c r="K2982" s="482">
        <v>0.68500000000000005</v>
      </c>
      <c r="L2982" s="482">
        <v>9.9000000000000005E-2</v>
      </c>
      <c r="M2982" s="482">
        <v>0.216</v>
      </c>
    </row>
    <row r="2983" spans="1:13" x14ac:dyDescent="0.2">
      <c r="A2983" t="s">
        <v>4498</v>
      </c>
      <c r="B2983" t="s">
        <v>13</v>
      </c>
      <c r="C2983" t="s">
        <v>1</v>
      </c>
      <c r="D2983" t="s">
        <v>3745</v>
      </c>
      <c r="E2983" t="s">
        <v>3746</v>
      </c>
      <c r="F2983" t="s">
        <v>179</v>
      </c>
      <c r="G2983">
        <v>162</v>
      </c>
      <c r="H2983">
        <v>28</v>
      </c>
      <c r="I2983">
        <v>83</v>
      </c>
      <c r="J2983">
        <v>273</v>
      </c>
      <c r="K2983" s="482">
        <v>0.59299999999999997</v>
      </c>
      <c r="L2983" s="482">
        <v>0.10299999999999999</v>
      </c>
      <c r="M2983" s="482">
        <v>0.30399999999999999</v>
      </c>
    </row>
    <row r="2984" spans="1:13" x14ac:dyDescent="0.2">
      <c r="A2984" t="s">
        <v>4556</v>
      </c>
      <c r="B2984" t="s">
        <v>13</v>
      </c>
      <c r="C2984" t="s">
        <v>1</v>
      </c>
      <c r="D2984" t="s">
        <v>3909</v>
      </c>
      <c r="E2984" t="s">
        <v>3910</v>
      </c>
      <c r="F2984" t="s">
        <v>179</v>
      </c>
      <c r="G2984">
        <v>71</v>
      </c>
      <c r="H2984">
        <v>10</v>
      </c>
      <c r="I2984">
        <v>23</v>
      </c>
      <c r="J2984">
        <v>104</v>
      </c>
      <c r="K2984" s="482">
        <v>0.68300000000000005</v>
      </c>
      <c r="L2984" s="482">
        <v>9.6000000000000002E-2</v>
      </c>
      <c r="M2984" s="482">
        <v>0.221</v>
      </c>
    </row>
    <row r="2985" spans="1:13" x14ac:dyDescent="0.2">
      <c r="A2985" t="s">
        <v>4560</v>
      </c>
      <c r="B2985" t="s">
        <v>13</v>
      </c>
      <c r="C2985" t="s">
        <v>1</v>
      </c>
      <c r="D2985" t="s">
        <v>3912</v>
      </c>
      <c r="E2985" t="s">
        <v>3913</v>
      </c>
      <c r="F2985" t="s">
        <v>179</v>
      </c>
      <c r="G2985">
        <v>57</v>
      </c>
      <c r="H2985">
        <v>14</v>
      </c>
      <c r="I2985">
        <v>14</v>
      </c>
      <c r="J2985">
        <v>85</v>
      </c>
      <c r="K2985" s="482">
        <v>0.67100000000000004</v>
      </c>
      <c r="L2985" s="482">
        <v>0.16500000000000001</v>
      </c>
      <c r="M2985" s="482">
        <v>0.16500000000000001</v>
      </c>
    </row>
    <row r="2986" spans="1:13" x14ac:dyDescent="0.2">
      <c r="A2986" t="s">
        <v>4561</v>
      </c>
      <c r="B2986" t="s">
        <v>13</v>
      </c>
      <c r="C2986" t="s">
        <v>1</v>
      </c>
      <c r="D2986" t="s">
        <v>3915</v>
      </c>
      <c r="E2986" t="s">
        <v>3916</v>
      </c>
      <c r="F2986" t="s">
        <v>179</v>
      </c>
      <c r="G2986">
        <v>82</v>
      </c>
      <c r="H2986">
        <v>20</v>
      </c>
      <c r="I2986">
        <v>32</v>
      </c>
      <c r="J2986">
        <v>134</v>
      </c>
      <c r="K2986" s="482">
        <v>0.61199999999999999</v>
      </c>
      <c r="L2986" s="482">
        <v>0.14899999999999999</v>
      </c>
      <c r="M2986" s="482">
        <v>0.23899999999999999</v>
      </c>
    </row>
    <row r="2987" spans="1:13" x14ac:dyDescent="0.2">
      <c r="A2987" t="s">
        <v>4562</v>
      </c>
      <c r="B2987" t="s">
        <v>13</v>
      </c>
      <c r="C2987" t="s">
        <v>1</v>
      </c>
      <c r="D2987" t="s">
        <v>3918</v>
      </c>
      <c r="E2987" t="s">
        <v>3919</v>
      </c>
      <c r="F2987" t="s">
        <v>179</v>
      </c>
      <c r="G2987">
        <v>44</v>
      </c>
      <c r="H2987">
        <v>10</v>
      </c>
      <c r="I2987">
        <v>22</v>
      </c>
      <c r="J2987">
        <v>76</v>
      </c>
      <c r="K2987" s="482">
        <v>0.57899999999999996</v>
      </c>
      <c r="L2987" s="482">
        <v>0.13200000000000001</v>
      </c>
      <c r="M2987" s="482">
        <v>0.28899999999999998</v>
      </c>
    </row>
    <row r="2988" spans="1:13" x14ac:dyDescent="0.2">
      <c r="A2988" t="s">
        <v>4430</v>
      </c>
      <c r="B2988" t="s">
        <v>13</v>
      </c>
      <c r="C2988" t="s">
        <v>1</v>
      </c>
      <c r="D2988" t="s">
        <v>3924</v>
      </c>
      <c r="E2988" t="s">
        <v>3925</v>
      </c>
      <c r="F2988" t="s">
        <v>179</v>
      </c>
      <c r="G2988">
        <v>128</v>
      </c>
      <c r="H2988">
        <v>19</v>
      </c>
      <c r="I2988">
        <v>38</v>
      </c>
      <c r="J2988">
        <v>185</v>
      </c>
      <c r="K2988" s="482">
        <v>0.69199999999999995</v>
      </c>
      <c r="L2988" s="482">
        <v>0.10299999999999999</v>
      </c>
      <c r="M2988" s="482">
        <v>0.20499999999999999</v>
      </c>
    </row>
    <row r="2989" spans="1:13" x14ac:dyDescent="0.2">
      <c r="A2989" t="s">
        <v>4431</v>
      </c>
      <c r="B2989" t="s">
        <v>13</v>
      </c>
      <c r="C2989" t="s">
        <v>1</v>
      </c>
      <c r="D2989" t="s">
        <v>3567</v>
      </c>
      <c r="E2989" t="s">
        <v>3568</v>
      </c>
      <c r="F2989" t="s">
        <v>179</v>
      </c>
      <c r="G2989">
        <v>133</v>
      </c>
      <c r="H2989">
        <v>11</v>
      </c>
      <c r="I2989">
        <v>57</v>
      </c>
      <c r="J2989">
        <v>201</v>
      </c>
      <c r="K2989" s="482">
        <v>0.66200000000000003</v>
      </c>
      <c r="L2989" s="482">
        <v>5.5E-2</v>
      </c>
      <c r="M2989" s="482">
        <v>0.28399999999999997</v>
      </c>
    </row>
    <row r="2990" spans="1:13" x14ac:dyDescent="0.2">
      <c r="A2990" t="s">
        <v>4564</v>
      </c>
      <c r="B2990" t="s">
        <v>13</v>
      </c>
      <c r="C2990" t="s">
        <v>1</v>
      </c>
      <c r="D2990" t="s">
        <v>3930</v>
      </c>
      <c r="E2990" t="s">
        <v>344</v>
      </c>
      <c r="F2990" t="s">
        <v>179</v>
      </c>
      <c r="G2990">
        <v>132</v>
      </c>
      <c r="H2990">
        <v>22</v>
      </c>
      <c r="I2990">
        <v>46</v>
      </c>
      <c r="J2990">
        <v>200</v>
      </c>
      <c r="K2990" s="482">
        <v>0.66</v>
      </c>
      <c r="L2990" s="482">
        <v>0.11</v>
      </c>
      <c r="M2990" s="482">
        <v>0.23</v>
      </c>
    </row>
    <row r="2991" spans="1:13" x14ac:dyDescent="0.2">
      <c r="A2991" t="s">
        <v>4412</v>
      </c>
      <c r="B2991" t="s">
        <v>13</v>
      </c>
      <c r="C2991" t="s">
        <v>1</v>
      </c>
      <c r="D2991" t="s">
        <v>3522</v>
      </c>
      <c r="E2991" t="s">
        <v>3523</v>
      </c>
      <c r="F2991" t="s">
        <v>179</v>
      </c>
      <c r="G2991">
        <v>44</v>
      </c>
      <c r="H2991">
        <v>7</v>
      </c>
      <c r="I2991">
        <v>23</v>
      </c>
      <c r="J2991">
        <v>74</v>
      </c>
      <c r="K2991" s="482">
        <v>0.59499999999999997</v>
      </c>
      <c r="L2991" s="482">
        <v>9.5000000000000001E-2</v>
      </c>
      <c r="M2991" s="482">
        <v>0.311</v>
      </c>
    </row>
    <row r="2992" spans="1:13" x14ac:dyDescent="0.2">
      <c r="A2992" t="s">
        <v>6599</v>
      </c>
      <c r="B2992" t="s">
        <v>13</v>
      </c>
      <c r="C2992" t="s">
        <v>1</v>
      </c>
      <c r="D2992" t="s">
        <v>6515</v>
      </c>
      <c r="E2992" t="s">
        <v>6516</v>
      </c>
      <c r="F2992" t="s">
        <v>179</v>
      </c>
      <c r="G2992">
        <v>3</v>
      </c>
      <c r="H2992">
        <v>1</v>
      </c>
      <c r="I2992">
        <v>4</v>
      </c>
      <c r="J2992">
        <v>8</v>
      </c>
      <c r="K2992" s="482">
        <v>0.375</v>
      </c>
      <c r="L2992" s="482">
        <v>0.125</v>
      </c>
      <c r="M2992" s="482">
        <v>0.5</v>
      </c>
    </row>
    <row r="2993" spans="1:13" x14ac:dyDescent="0.2">
      <c r="A2993" t="s">
        <v>4450</v>
      </c>
      <c r="B2993" t="s">
        <v>13</v>
      </c>
      <c r="C2993" t="s">
        <v>1</v>
      </c>
      <c r="D2993" t="s">
        <v>3528</v>
      </c>
      <c r="E2993" t="s">
        <v>3529</v>
      </c>
      <c r="F2993" t="s">
        <v>179</v>
      </c>
      <c r="G2993">
        <v>86</v>
      </c>
      <c r="H2993">
        <v>24</v>
      </c>
      <c r="I2993">
        <v>40</v>
      </c>
      <c r="J2993">
        <v>150</v>
      </c>
      <c r="K2993" s="482">
        <v>0.57299999999999995</v>
      </c>
      <c r="L2993" s="482">
        <v>0.16</v>
      </c>
      <c r="M2993" s="482">
        <v>0.26700000000000002</v>
      </c>
    </row>
    <row r="2994" spans="1:13" x14ac:dyDescent="0.2">
      <c r="A2994" t="s">
        <v>4451</v>
      </c>
      <c r="B2994" t="s">
        <v>13</v>
      </c>
      <c r="C2994" t="s">
        <v>1</v>
      </c>
      <c r="D2994" t="s">
        <v>3627</v>
      </c>
      <c r="E2994" t="s">
        <v>3628</v>
      </c>
      <c r="F2994" t="s">
        <v>179</v>
      </c>
      <c r="G2994">
        <v>124</v>
      </c>
      <c r="H2994">
        <v>17</v>
      </c>
      <c r="I2994">
        <v>41</v>
      </c>
      <c r="J2994">
        <v>182</v>
      </c>
      <c r="K2994" s="482">
        <v>0.68100000000000005</v>
      </c>
      <c r="L2994" s="482">
        <v>9.2999999999999999E-2</v>
      </c>
      <c r="M2994" s="482">
        <v>0.22500000000000001</v>
      </c>
    </row>
    <row r="2995" spans="1:13" x14ac:dyDescent="0.2">
      <c r="A2995" t="s">
        <v>4452</v>
      </c>
      <c r="B2995" t="s">
        <v>13</v>
      </c>
      <c r="C2995" t="s">
        <v>1</v>
      </c>
      <c r="D2995" t="s">
        <v>3630</v>
      </c>
      <c r="E2995" t="s">
        <v>3631</v>
      </c>
      <c r="F2995" t="s">
        <v>179</v>
      </c>
      <c r="G2995">
        <v>89</v>
      </c>
      <c r="H2995">
        <v>16</v>
      </c>
      <c r="I2995">
        <v>38</v>
      </c>
      <c r="J2995">
        <v>143</v>
      </c>
      <c r="K2995" s="482">
        <v>0.622</v>
      </c>
      <c r="L2995" s="482">
        <v>0.112</v>
      </c>
      <c r="M2995" s="482">
        <v>0.26600000000000001</v>
      </c>
    </row>
    <row r="2996" spans="1:13" x14ac:dyDescent="0.2">
      <c r="A2996" t="s">
        <v>4453</v>
      </c>
      <c r="B2996" t="s">
        <v>13</v>
      </c>
      <c r="C2996" t="s">
        <v>1</v>
      </c>
      <c r="D2996" t="s">
        <v>3633</v>
      </c>
      <c r="E2996" t="s">
        <v>342</v>
      </c>
      <c r="F2996" t="s">
        <v>179</v>
      </c>
      <c r="G2996">
        <v>91</v>
      </c>
      <c r="H2996">
        <v>21</v>
      </c>
      <c r="I2996">
        <v>50</v>
      </c>
      <c r="J2996">
        <v>162</v>
      </c>
      <c r="K2996" s="482">
        <v>0.56200000000000006</v>
      </c>
      <c r="L2996" s="482">
        <v>0.13</v>
      </c>
      <c r="M2996" s="482">
        <v>0.309</v>
      </c>
    </row>
    <row r="2997" spans="1:13" x14ac:dyDescent="0.2">
      <c r="A2997" t="s">
        <v>4454</v>
      </c>
      <c r="B2997" t="s">
        <v>13</v>
      </c>
      <c r="C2997" t="s">
        <v>1</v>
      </c>
      <c r="D2997" t="s">
        <v>3635</v>
      </c>
      <c r="E2997" t="s">
        <v>3636</v>
      </c>
      <c r="F2997" t="s">
        <v>179</v>
      </c>
      <c r="G2997">
        <v>92</v>
      </c>
      <c r="H2997">
        <v>24</v>
      </c>
      <c r="I2997">
        <v>53</v>
      </c>
      <c r="J2997">
        <v>169</v>
      </c>
      <c r="K2997" s="482">
        <v>0.54400000000000004</v>
      </c>
      <c r="L2997" s="482">
        <v>0.14199999999999999</v>
      </c>
      <c r="M2997" s="482">
        <v>0.314</v>
      </c>
    </row>
    <row r="2998" spans="1:13" x14ac:dyDescent="0.2">
      <c r="A2998" t="s">
        <v>4455</v>
      </c>
      <c r="B2998" t="s">
        <v>13</v>
      </c>
      <c r="C2998" t="s">
        <v>1</v>
      </c>
      <c r="D2998" t="s">
        <v>3638</v>
      </c>
      <c r="E2998" t="s">
        <v>3639</v>
      </c>
      <c r="F2998" t="s">
        <v>179</v>
      </c>
      <c r="G2998">
        <v>90</v>
      </c>
      <c r="H2998">
        <v>19</v>
      </c>
      <c r="I2998">
        <v>31</v>
      </c>
      <c r="J2998">
        <v>140</v>
      </c>
      <c r="K2998" s="482">
        <v>0.64300000000000002</v>
      </c>
      <c r="L2998" s="482">
        <v>0.13600000000000001</v>
      </c>
      <c r="M2998" s="482">
        <v>0.221</v>
      </c>
    </row>
    <row r="2999" spans="1:13" x14ac:dyDescent="0.2">
      <c r="A2999" t="s">
        <v>4502</v>
      </c>
      <c r="B2999" t="s">
        <v>13</v>
      </c>
      <c r="C2999" t="s">
        <v>1</v>
      </c>
      <c r="D2999" t="s">
        <v>3757</v>
      </c>
      <c r="E2999" t="s">
        <v>3758</v>
      </c>
      <c r="F2999" t="s">
        <v>179</v>
      </c>
      <c r="G2999">
        <v>29</v>
      </c>
      <c r="H2999">
        <v>9</v>
      </c>
      <c r="I2999">
        <v>11</v>
      </c>
      <c r="J2999">
        <v>49</v>
      </c>
      <c r="K2999" s="482">
        <v>0.59199999999999997</v>
      </c>
      <c r="L2999" s="482">
        <v>0.184</v>
      </c>
      <c r="M2999" s="482">
        <v>0.224</v>
      </c>
    </row>
    <row r="3000" spans="1:13" x14ac:dyDescent="0.2">
      <c r="A3000" t="s">
        <v>4503</v>
      </c>
      <c r="B3000" t="s">
        <v>13</v>
      </c>
      <c r="C3000" t="s">
        <v>1</v>
      </c>
      <c r="D3000" t="s">
        <v>3760</v>
      </c>
      <c r="E3000" t="s">
        <v>3761</v>
      </c>
      <c r="F3000" t="s">
        <v>179</v>
      </c>
      <c r="G3000">
        <v>45</v>
      </c>
      <c r="H3000">
        <v>4</v>
      </c>
      <c r="I3000">
        <v>14</v>
      </c>
      <c r="J3000">
        <v>63</v>
      </c>
      <c r="K3000" s="482">
        <v>0.71399999999999997</v>
      </c>
      <c r="L3000" s="482">
        <v>6.3E-2</v>
      </c>
      <c r="M3000" s="482">
        <v>0.222</v>
      </c>
    </row>
    <row r="3001" spans="1:13" x14ac:dyDescent="0.2">
      <c r="A3001" t="s">
        <v>6600</v>
      </c>
      <c r="B3001" t="s">
        <v>13</v>
      </c>
      <c r="C3001" t="s">
        <v>1</v>
      </c>
      <c r="D3001" t="s">
        <v>3480</v>
      </c>
      <c r="E3001" t="s">
        <v>6584</v>
      </c>
      <c r="F3001" t="s">
        <v>179</v>
      </c>
      <c r="G3001">
        <v>126</v>
      </c>
      <c r="H3001">
        <v>19</v>
      </c>
      <c r="I3001">
        <v>65</v>
      </c>
      <c r="J3001">
        <v>210</v>
      </c>
      <c r="K3001" s="482">
        <v>0.6</v>
      </c>
      <c r="L3001" s="482">
        <v>0.09</v>
      </c>
      <c r="M3001" s="482">
        <v>0.31</v>
      </c>
    </row>
    <row r="3002" spans="1:13" x14ac:dyDescent="0.2">
      <c r="A3002" t="s">
        <v>4504</v>
      </c>
      <c r="B3002" t="s">
        <v>13</v>
      </c>
      <c r="C3002" t="s">
        <v>1</v>
      </c>
      <c r="D3002" t="s">
        <v>3763</v>
      </c>
      <c r="E3002" t="s">
        <v>3764</v>
      </c>
      <c r="F3002" t="s">
        <v>179</v>
      </c>
      <c r="G3002">
        <v>135</v>
      </c>
      <c r="H3002">
        <v>37</v>
      </c>
      <c r="I3002">
        <v>79</v>
      </c>
      <c r="J3002">
        <v>251</v>
      </c>
      <c r="K3002" s="482">
        <v>0.53800000000000003</v>
      </c>
      <c r="L3002" s="482">
        <v>0.14699999999999999</v>
      </c>
      <c r="M3002" s="482">
        <v>0.315</v>
      </c>
    </row>
    <row r="3003" spans="1:13" x14ac:dyDescent="0.2">
      <c r="A3003" t="s">
        <v>4505</v>
      </c>
      <c r="B3003" t="s">
        <v>13</v>
      </c>
      <c r="C3003" t="s">
        <v>1</v>
      </c>
      <c r="D3003" t="s">
        <v>4506</v>
      </c>
      <c r="E3003" t="s">
        <v>4507</v>
      </c>
      <c r="F3003" t="s">
        <v>179</v>
      </c>
      <c r="G3003">
        <v>4</v>
      </c>
      <c r="H3003">
        <v>2</v>
      </c>
      <c r="I3003">
        <v>2</v>
      </c>
      <c r="J3003">
        <v>8</v>
      </c>
      <c r="K3003" s="482">
        <v>0.5</v>
      </c>
      <c r="L3003" s="482">
        <v>0.25</v>
      </c>
      <c r="M3003" s="482">
        <v>0.25</v>
      </c>
    </row>
    <row r="3004" spans="1:13" x14ac:dyDescent="0.2">
      <c r="A3004" t="s">
        <v>4508</v>
      </c>
      <c r="B3004" t="s">
        <v>13</v>
      </c>
      <c r="C3004" t="s">
        <v>1</v>
      </c>
      <c r="D3004" t="s">
        <v>3766</v>
      </c>
      <c r="E3004" t="s">
        <v>3767</v>
      </c>
      <c r="F3004" t="s">
        <v>179</v>
      </c>
      <c r="G3004">
        <v>83</v>
      </c>
      <c r="H3004">
        <v>13</v>
      </c>
      <c r="I3004">
        <v>24</v>
      </c>
      <c r="J3004">
        <v>120</v>
      </c>
      <c r="K3004" s="482">
        <v>0.69199999999999995</v>
      </c>
      <c r="L3004" s="482">
        <v>0.108</v>
      </c>
      <c r="M3004" s="482">
        <v>0.2</v>
      </c>
    </row>
    <row r="3005" spans="1:13" x14ac:dyDescent="0.2">
      <c r="A3005" t="s">
        <v>4509</v>
      </c>
      <c r="B3005" t="s">
        <v>13</v>
      </c>
      <c r="C3005" t="s">
        <v>1</v>
      </c>
      <c r="D3005" t="s">
        <v>3769</v>
      </c>
      <c r="E3005" t="s">
        <v>3770</v>
      </c>
      <c r="F3005" t="s">
        <v>179</v>
      </c>
      <c r="G3005">
        <v>60</v>
      </c>
      <c r="H3005">
        <v>11</v>
      </c>
      <c r="I3005">
        <v>22</v>
      </c>
      <c r="J3005">
        <v>93</v>
      </c>
      <c r="K3005" s="482">
        <v>0.64500000000000002</v>
      </c>
      <c r="L3005" s="482">
        <v>0.11799999999999999</v>
      </c>
      <c r="M3005" s="482">
        <v>0.23699999999999999</v>
      </c>
    </row>
    <row r="3006" spans="1:13" x14ac:dyDescent="0.2">
      <c r="A3006" t="s">
        <v>4510</v>
      </c>
      <c r="B3006" t="s">
        <v>13</v>
      </c>
      <c r="C3006" t="s">
        <v>1</v>
      </c>
      <c r="D3006" t="s">
        <v>3772</v>
      </c>
      <c r="E3006" t="s">
        <v>3773</v>
      </c>
      <c r="F3006" t="s">
        <v>179</v>
      </c>
      <c r="G3006">
        <v>115</v>
      </c>
      <c r="H3006">
        <v>19</v>
      </c>
      <c r="I3006">
        <v>29</v>
      </c>
      <c r="J3006">
        <v>163</v>
      </c>
      <c r="K3006" s="482">
        <v>0.70599999999999996</v>
      </c>
      <c r="L3006" s="482">
        <v>0.11700000000000001</v>
      </c>
      <c r="M3006" s="482">
        <v>0.17799999999999999</v>
      </c>
    </row>
    <row r="3007" spans="1:13" x14ac:dyDescent="0.2">
      <c r="A3007" t="s">
        <v>4485</v>
      </c>
      <c r="B3007" t="s">
        <v>13</v>
      </c>
      <c r="C3007" t="s">
        <v>1</v>
      </c>
      <c r="D3007" t="s">
        <v>3715</v>
      </c>
      <c r="E3007" t="s">
        <v>3716</v>
      </c>
      <c r="F3007" t="s">
        <v>179</v>
      </c>
      <c r="G3007">
        <v>136</v>
      </c>
      <c r="H3007">
        <v>19</v>
      </c>
      <c r="I3007">
        <v>45</v>
      </c>
      <c r="J3007">
        <v>200</v>
      </c>
      <c r="K3007" s="482">
        <v>0.68</v>
      </c>
      <c r="L3007" s="482">
        <v>9.5000000000000001E-2</v>
      </c>
      <c r="M3007" s="482">
        <v>0.22500000000000001</v>
      </c>
    </row>
    <row r="3008" spans="1:13" x14ac:dyDescent="0.2">
      <c r="A3008" t="s">
        <v>4486</v>
      </c>
      <c r="B3008" t="s">
        <v>13</v>
      </c>
      <c r="C3008" t="s">
        <v>1</v>
      </c>
      <c r="D3008" t="s">
        <v>3718</v>
      </c>
      <c r="E3008" t="s">
        <v>3719</v>
      </c>
      <c r="F3008" t="s">
        <v>179</v>
      </c>
      <c r="G3008">
        <v>320</v>
      </c>
      <c r="H3008">
        <v>52</v>
      </c>
      <c r="I3008">
        <v>103</v>
      </c>
      <c r="J3008">
        <v>475</v>
      </c>
      <c r="K3008" s="482">
        <v>0.67400000000000004</v>
      </c>
      <c r="L3008" s="482">
        <v>0.109</v>
      </c>
      <c r="M3008" s="482">
        <v>0.217</v>
      </c>
    </row>
    <row r="3009" spans="1:13" x14ac:dyDescent="0.2">
      <c r="A3009" t="s">
        <v>4528</v>
      </c>
      <c r="B3009" t="s">
        <v>13</v>
      </c>
      <c r="C3009" t="s">
        <v>1</v>
      </c>
      <c r="D3009" t="s">
        <v>4529</v>
      </c>
      <c r="E3009" t="s">
        <v>4530</v>
      </c>
      <c r="F3009" t="s">
        <v>179</v>
      </c>
      <c r="G3009" t="s">
        <v>53</v>
      </c>
      <c r="H3009">
        <v>0</v>
      </c>
      <c r="I3009">
        <v>0</v>
      </c>
      <c r="J3009" t="s">
        <v>53</v>
      </c>
      <c r="K3009" t="s">
        <v>53</v>
      </c>
      <c r="L3009" t="s">
        <v>53</v>
      </c>
      <c r="M3009" t="s">
        <v>53</v>
      </c>
    </row>
    <row r="3010" spans="1:13" x14ac:dyDescent="0.2">
      <c r="A3010" t="s">
        <v>4407</v>
      </c>
      <c r="B3010" t="s">
        <v>13</v>
      </c>
      <c r="C3010" t="s">
        <v>1</v>
      </c>
      <c r="D3010" t="s">
        <v>3509</v>
      </c>
      <c r="E3010" t="s">
        <v>3510</v>
      </c>
      <c r="F3010" t="s">
        <v>179</v>
      </c>
      <c r="G3010">
        <v>29</v>
      </c>
      <c r="H3010">
        <v>4</v>
      </c>
      <c r="I3010">
        <v>19</v>
      </c>
      <c r="J3010">
        <v>52</v>
      </c>
      <c r="K3010" s="482">
        <v>0.55800000000000005</v>
      </c>
      <c r="L3010" s="482">
        <v>7.6999999999999999E-2</v>
      </c>
      <c r="M3010" s="482">
        <v>0.36499999999999999</v>
      </c>
    </row>
    <row r="3011" spans="1:13" x14ac:dyDescent="0.2">
      <c r="A3011" t="s">
        <v>4424</v>
      </c>
      <c r="B3011" t="s">
        <v>13</v>
      </c>
      <c r="C3011" t="s">
        <v>1</v>
      </c>
      <c r="D3011" t="s">
        <v>4425</v>
      </c>
      <c r="E3011" t="s">
        <v>4426</v>
      </c>
      <c r="F3011" t="s">
        <v>179</v>
      </c>
      <c r="G3011">
        <v>240</v>
      </c>
      <c r="H3011">
        <v>34</v>
      </c>
      <c r="I3011">
        <v>105</v>
      </c>
      <c r="J3011">
        <v>379</v>
      </c>
      <c r="K3011" s="482">
        <v>0.63300000000000001</v>
      </c>
      <c r="L3011" s="482">
        <v>0.09</v>
      </c>
      <c r="M3011" s="482">
        <v>0.27700000000000002</v>
      </c>
    </row>
    <row r="3012" spans="1:13" x14ac:dyDescent="0.2">
      <c r="A3012" t="s">
        <v>4405</v>
      </c>
      <c r="B3012" t="s">
        <v>13</v>
      </c>
      <c r="C3012" t="s">
        <v>1</v>
      </c>
      <c r="D3012" t="s">
        <v>3503</v>
      </c>
      <c r="E3012" t="s">
        <v>3504</v>
      </c>
      <c r="F3012" t="s">
        <v>179</v>
      </c>
      <c r="G3012">
        <v>4</v>
      </c>
      <c r="H3012">
        <v>2</v>
      </c>
      <c r="I3012">
        <v>2</v>
      </c>
      <c r="J3012">
        <v>8</v>
      </c>
      <c r="K3012" s="482">
        <v>0.5</v>
      </c>
      <c r="L3012" s="482">
        <v>0.25</v>
      </c>
      <c r="M3012" s="482">
        <v>0.25</v>
      </c>
    </row>
    <row r="3013" spans="1:13" x14ac:dyDescent="0.2">
      <c r="A3013" t="s">
        <v>4406</v>
      </c>
      <c r="B3013" t="s">
        <v>13</v>
      </c>
      <c r="C3013" t="s">
        <v>1</v>
      </c>
      <c r="D3013" t="s">
        <v>3506</v>
      </c>
      <c r="E3013" t="s">
        <v>3507</v>
      </c>
      <c r="F3013" t="s">
        <v>179</v>
      </c>
      <c r="G3013">
        <v>27</v>
      </c>
      <c r="H3013">
        <v>5</v>
      </c>
      <c r="I3013">
        <v>12</v>
      </c>
      <c r="J3013">
        <v>44</v>
      </c>
      <c r="K3013" s="482">
        <v>0.61399999999999999</v>
      </c>
      <c r="L3013" s="482">
        <v>0.114</v>
      </c>
      <c r="M3013" s="482">
        <v>0.27300000000000002</v>
      </c>
    </row>
    <row r="3014" spans="1:13" x14ac:dyDescent="0.2">
      <c r="A3014" t="s">
        <v>4408</v>
      </c>
      <c r="B3014" t="s">
        <v>13</v>
      </c>
      <c r="C3014" t="s">
        <v>1</v>
      </c>
      <c r="D3014" t="s">
        <v>3512</v>
      </c>
      <c r="E3014" t="s">
        <v>3513</v>
      </c>
      <c r="F3014" t="s">
        <v>179</v>
      </c>
      <c r="G3014">
        <v>41</v>
      </c>
      <c r="H3014">
        <v>3</v>
      </c>
      <c r="I3014">
        <v>8</v>
      </c>
      <c r="J3014">
        <v>52</v>
      </c>
      <c r="K3014" s="482">
        <v>0.78800000000000003</v>
      </c>
      <c r="L3014" s="482">
        <v>5.8000000000000003E-2</v>
      </c>
      <c r="M3014" s="482">
        <v>0.154</v>
      </c>
    </row>
    <row r="3015" spans="1:13" x14ac:dyDescent="0.2">
      <c r="A3015" t="s">
        <v>4419</v>
      </c>
      <c r="B3015" t="s">
        <v>13</v>
      </c>
      <c r="C3015" t="s">
        <v>1</v>
      </c>
      <c r="D3015" t="s">
        <v>3549</v>
      </c>
      <c r="E3015" t="s">
        <v>3550</v>
      </c>
      <c r="F3015" t="s">
        <v>179</v>
      </c>
      <c r="G3015">
        <v>69</v>
      </c>
      <c r="H3015">
        <v>10</v>
      </c>
      <c r="I3015">
        <v>24</v>
      </c>
      <c r="J3015">
        <v>103</v>
      </c>
      <c r="K3015" s="482">
        <v>0.67</v>
      </c>
      <c r="L3015" s="482">
        <v>9.7000000000000003E-2</v>
      </c>
      <c r="M3015" s="482">
        <v>0.23300000000000001</v>
      </c>
    </row>
    <row r="3016" spans="1:13" x14ac:dyDescent="0.2">
      <c r="A3016" t="s">
        <v>4420</v>
      </c>
      <c r="B3016" t="s">
        <v>13</v>
      </c>
      <c r="C3016" t="s">
        <v>1</v>
      </c>
      <c r="D3016" t="s">
        <v>3552</v>
      </c>
      <c r="E3016" t="s">
        <v>3553</v>
      </c>
      <c r="F3016" t="s">
        <v>179</v>
      </c>
      <c r="G3016">
        <v>81</v>
      </c>
      <c r="H3016">
        <v>13</v>
      </c>
      <c r="I3016">
        <v>26</v>
      </c>
      <c r="J3016">
        <v>120</v>
      </c>
      <c r="K3016" s="482">
        <v>0.67500000000000004</v>
      </c>
      <c r="L3016" s="482">
        <v>0.108</v>
      </c>
      <c r="M3016" s="482">
        <v>0.217</v>
      </c>
    </row>
    <row r="3017" spans="1:13" x14ac:dyDescent="0.2">
      <c r="A3017" t="s">
        <v>4421</v>
      </c>
      <c r="B3017" t="s">
        <v>13</v>
      </c>
      <c r="C3017" t="s">
        <v>1</v>
      </c>
      <c r="D3017" t="s">
        <v>3555</v>
      </c>
      <c r="E3017" t="s">
        <v>3556</v>
      </c>
      <c r="F3017" t="s">
        <v>179</v>
      </c>
      <c r="G3017">
        <v>74</v>
      </c>
      <c r="H3017">
        <v>9</v>
      </c>
      <c r="I3017">
        <v>24</v>
      </c>
      <c r="J3017">
        <v>107</v>
      </c>
      <c r="K3017" s="482">
        <v>0.69199999999999995</v>
      </c>
      <c r="L3017" s="482">
        <v>8.4000000000000005E-2</v>
      </c>
      <c r="M3017" s="482">
        <v>0.224</v>
      </c>
    </row>
    <row r="3018" spans="1:13" x14ac:dyDescent="0.2">
      <c r="A3018" t="s">
        <v>4543</v>
      </c>
      <c r="B3018" t="s">
        <v>13</v>
      </c>
      <c r="C3018" t="s">
        <v>1</v>
      </c>
      <c r="D3018" t="s">
        <v>3873</v>
      </c>
      <c r="E3018" t="s">
        <v>3874</v>
      </c>
      <c r="F3018" t="s">
        <v>179</v>
      </c>
      <c r="G3018">
        <v>239</v>
      </c>
      <c r="H3018">
        <v>35</v>
      </c>
      <c r="I3018">
        <v>101</v>
      </c>
      <c r="J3018">
        <v>375</v>
      </c>
      <c r="K3018" s="482">
        <v>0.63700000000000001</v>
      </c>
      <c r="L3018" s="482">
        <v>9.2999999999999999E-2</v>
      </c>
      <c r="M3018" s="482">
        <v>0.26900000000000002</v>
      </c>
    </row>
    <row r="3019" spans="1:13" x14ac:dyDescent="0.2">
      <c r="A3019" t="s">
        <v>4544</v>
      </c>
      <c r="B3019" t="s">
        <v>13</v>
      </c>
      <c r="C3019" t="s">
        <v>1</v>
      </c>
      <c r="D3019" t="s">
        <v>3876</v>
      </c>
      <c r="E3019" t="s">
        <v>3877</v>
      </c>
      <c r="F3019" t="s">
        <v>179</v>
      </c>
      <c r="G3019">
        <v>139</v>
      </c>
      <c r="H3019">
        <v>33</v>
      </c>
      <c r="I3019">
        <v>54</v>
      </c>
      <c r="J3019">
        <v>226</v>
      </c>
      <c r="K3019" s="482">
        <v>0.61499999999999999</v>
      </c>
      <c r="L3019" s="482">
        <v>0.14599999999999999</v>
      </c>
      <c r="M3019" s="482">
        <v>0.23899999999999999</v>
      </c>
    </row>
    <row r="3020" spans="1:13" x14ac:dyDescent="0.2">
      <c r="A3020" t="s">
        <v>4545</v>
      </c>
      <c r="B3020" t="s">
        <v>13</v>
      </c>
      <c r="C3020" t="s">
        <v>1</v>
      </c>
      <c r="D3020" t="s">
        <v>3879</v>
      </c>
      <c r="E3020" t="s">
        <v>3880</v>
      </c>
      <c r="F3020" t="s">
        <v>179</v>
      </c>
      <c r="G3020">
        <v>101</v>
      </c>
      <c r="H3020">
        <v>16</v>
      </c>
      <c r="I3020">
        <v>27</v>
      </c>
      <c r="J3020">
        <v>144</v>
      </c>
      <c r="K3020" s="482">
        <v>0.70099999999999996</v>
      </c>
      <c r="L3020" s="482">
        <v>0.111</v>
      </c>
      <c r="M3020" s="482">
        <v>0.188</v>
      </c>
    </row>
    <row r="3021" spans="1:13" x14ac:dyDescent="0.2">
      <c r="A3021" t="s">
        <v>4546</v>
      </c>
      <c r="B3021" t="s">
        <v>13</v>
      </c>
      <c r="C3021" t="s">
        <v>1</v>
      </c>
      <c r="D3021" t="s">
        <v>3882</v>
      </c>
      <c r="E3021" t="s">
        <v>3883</v>
      </c>
      <c r="F3021" t="s">
        <v>179</v>
      </c>
      <c r="G3021">
        <v>197</v>
      </c>
      <c r="H3021">
        <v>47</v>
      </c>
      <c r="I3021">
        <v>86</v>
      </c>
      <c r="J3021">
        <v>330</v>
      </c>
      <c r="K3021" s="482">
        <v>0.59699999999999998</v>
      </c>
      <c r="L3021" s="482">
        <v>0.14199999999999999</v>
      </c>
      <c r="M3021" s="482">
        <v>0.26100000000000001</v>
      </c>
    </row>
    <row r="3022" spans="1:13" x14ac:dyDescent="0.2">
      <c r="A3022" t="s">
        <v>4536</v>
      </c>
      <c r="B3022" t="s">
        <v>13</v>
      </c>
      <c r="C3022" t="s">
        <v>1</v>
      </c>
      <c r="D3022" t="s">
        <v>3852</v>
      </c>
      <c r="E3022" t="s">
        <v>3853</v>
      </c>
      <c r="F3022" t="s">
        <v>179</v>
      </c>
      <c r="G3022">
        <v>40</v>
      </c>
      <c r="H3022">
        <v>5</v>
      </c>
      <c r="I3022">
        <v>19</v>
      </c>
      <c r="J3022">
        <v>64</v>
      </c>
      <c r="K3022" s="482">
        <v>0.625</v>
      </c>
      <c r="L3022" s="482">
        <v>7.8E-2</v>
      </c>
      <c r="M3022" s="482">
        <v>0.29699999999999999</v>
      </c>
    </row>
    <row r="3023" spans="1:13" x14ac:dyDescent="0.2">
      <c r="A3023" t="s">
        <v>4537</v>
      </c>
      <c r="B3023" t="s">
        <v>13</v>
      </c>
      <c r="C3023" t="s">
        <v>1</v>
      </c>
      <c r="D3023" t="s">
        <v>3855</v>
      </c>
      <c r="E3023" t="s">
        <v>3856</v>
      </c>
      <c r="F3023" t="s">
        <v>179</v>
      </c>
      <c r="G3023">
        <v>37</v>
      </c>
      <c r="H3023">
        <v>3</v>
      </c>
      <c r="I3023">
        <v>12</v>
      </c>
      <c r="J3023">
        <v>52</v>
      </c>
      <c r="K3023" s="482">
        <v>0.71199999999999997</v>
      </c>
      <c r="L3023" s="482">
        <v>5.8000000000000003E-2</v>
      </c>
      <c r="M3023" s="482">
        <v>0.23100000000000001</v>
      </c>
    </row>
    <row r="3024" spans="1:13" x14ac:dyDescent="0.2">
      <c r="A3024" t="s">
        <v>4538</v>
      </c>
      <c r="B3024" t="s">
        <v>13</v>
      </c>
      <c r="C3024" t="s">
        <v>1</v>
      </c>
      <c r="D3024" t="s">
        <v>3858</v>
      </c>
      <c r="E3024" t="s">
        <v>3859</v>
      </c>
      <c r="F3024" t="s">
        <v>179</v>
      </c>
      <c r="G3024">
        <v>112</v>
      </c>
      <c r="H3024">
        <v>24</v>
      </c>
      <c r="I3024">
        <v>44</v>
      </c>
      <c r="J3024">
        <v>180</v>
      </c>
      <c r="K3024" s="482">
        <v>0.622</v>
      </c>
      <c r="L3024" s="482">
        <v>0.13300000000000001</v>
      </c>
      <c r="M3024" s="482">
        <v>0.24399999999999999</v>
      </c>
    </row>
    <row r="3025" spans="1:13" x14ac:dyDescent="0.2">
      <c r="A3025" t="s">
        <v>6601</v>
      </c>
      <c r="B3025" t="s">
        <v>13</v>
      </c>
      <c r="C3025" t="s">
        <v>1</v>
      </c>
      <c r="D3025" t="s">
        <v>3900</v>
      </c>
      <c r="E3025" t="s">
        <v>3901</v>
      </c>
      <c r="F3025" t="s">
        <v>179</v>
      </c>
      <c r="G3025" t="s">
        <v>53</v>
      </c>
      <c r="H3025">
        <v>0</v>
      </c>
      <c r="I3025">
        <v>0</v>
      </c>
      <c r="J3025" t="s">
        <v>53</v>
      </c>
      <c r="K3025" t="s">
        <v>53</v>
      </c>
      <c r="L3025" t="s">
        <v>53</v>
      </c>
      <c r="M3025" t="s">
        <v>53</v>
      </c>
    </row>
    <row r="3026" spans="1:13" x14ac:dyDescent="0.2">
      <c r="A3026" t="s">
        <v>4539</v>
      </c>
      <c r="B3026" t="s">
        <v>13</v>
      </c>
      <c r="C3026" t="s">
        <v>1</v>
      </c>
      <c r="D3026" t="s">
        <v>3861</v>
      </c>
      <c r="E3026" t="s">
        <v>3862</v>
      </c>
      <c r="F3026" t="s">
        <v>179</v>
      </c>
      <c r="G3026">
        <v>244</v>
      </c>
      <c r="H3026">
        <v>39</v>
      </c>
      <c r="I3026">
        <v>85</v>
      </c>
      <c r="J3026">
        <v>368</v>
      </c>
      <c r="K3026" s="482">
        <v>0.66300000000000003</v>
      </c>
      <c r="L3026" s="482">
        <v>0.106</v>
      </c>
      <c r="M3026" s="482">
        <v>0.23100000000000001</v>
      </c>
    </row>
    <row r="3027" spans="1:13" x14ac:dyDescent="0.2">
      <c r="A3027" t="s">
        <v>4540</v>
      </c>
      <c r="B3027" t="s">
        <v>13</v>
      </c>
      <c r="C3027" t="s">
        <v>1</v>
      </c>
      <c r="D3027" t="s">
        <v>3864</v>
      </c>
      <c r="E3027" t="s">
        <v>3865</v>
      </c>
      <c r="F3027" t="s">
        <v>179</v>
      </c>
      <c r="G3027">
        <v>113</v>
      </c>
      <c r="H3027">
        <v>18</v>
      </c>
      <c r="I3027">
        <v>49</v>
      </c>
      <c r="J3027">
        <v>180</v>
      </c>
      <c r="K3027" s="482">
        <v>0.628</v>
      </c>
      <c r="L3027" s="482">
        <v>0.1</v>
      </c>
      <c r="M3027" s="482">
        <v>0.27200000000000002</v>
      </c>
    </row>
    <row r="3028" spans="1:13" x14ac:dyDescent="0.2">
      <c r="A3028" t="s">
        <v>4541</v>
      </c>
      <c r="B3028" t="s">
        <v>13</v>
      </c>
      <c r="C3028" t="s">
        <v>1</v>
      </c>
      <c r="D3028" t="s">
        <v>3867</v>
      </c>
      <c r="E3028" t="s">
        <v>3868</v>
      </c>
      <c r="F3028" t="s">
        <v>179</v>
      </c>
      <c r="G3028">
        <v>100</v>
      </c>
      <c r="H3028">
        <v>25</v>
      </c>
      <c r="I3028">
        <v>51</v>
      </c>
      <c r="J3028">
        <v>176</v>
      </c>
      <c r="K3028" s="482">
        <v>0.56799999999999995</v>
      </c>
      <c r="L3028" s="482">
        <v>0.14199999999999999</v>
      </c>
      <c r="M3028" s="482">
        <v>0.28999999999999998</v>
      </c>
    </row>
    <row r="3029" spans="1:13" x14ac:dyDescent="0.2">
      <c r="A3029" t="s">
        <v>4542</v>
      </c>
      <c r="B3029" t="s">
        <v>13</v>
      </c>
      <c r="C3029" t="s">
        <v>1</v>
      </c>
      <c r="D3029" t="s">
        <v>3870</v>
      </c>
      <c r="E3029" t="s">
        <v>3871</v>
      </c>
      <c r="F3029" t="s">
        <v>179</v>
      </c>
      <c r="G3029">
        <v>27</v>
      </c>
      <c r="H3029">
        <v>13</v>
      </c>
      <c r="I3029">
        <v>13</v>
      </c>
      <c r="J3029">
        <v>53</v>
      </c>
      <c r="K3029" s="482">
        <v>0.50900000000000001</v>
      </c>
      <c r="L3029" s="482">
        <v>0.245</v>
      </c>
      <c r="M3029" s="482">
        <v>0.245</v>
      </c>
    </row>
    <row r="3030" spans="1:13" x14ac:dyDescent="0.2">
      <c r="A3030" t="s">
        <v>4511</v>
      </c>
      <c r="B3030" t="s">
        <v>13</v>
      </c>
      <c r="C3030" t="s">
        <v>1</v>
      </c>
      <c r="D3030" t="s">
        <v>3781</v>
      </c>
      <c r="E3030" t="s">
        <v>3782</v>
      </c>
      <c r="F3030" t="s">
        <v>179</v>
      </c>
      <c r="G3030">
        <v>55</v>
      </c>
      <c r="H3030">
        <v>7</v>
      </c>
      <c r="I3030">
        <v>14</v>
      </c>
      <c r="J3030">
        <v>76</v>
      </c>
      <c r="K3030" s="482">
        <v>0.72399999999999998</v>
      </c>
      <c r="L3030" s="482">
        <v>9.1999999999999998E-2</v>
      </c>
      <c r="M3030" s="482">
        <v>0.184</v>
      </c>
    </row>
    <row r="3031" spans="1:13" x14ac:dyDescent="0.2">
      <c r="A3031" t="s">
        <v>4512</v>
      </c>
      <c r="B3031" t="s">
        <v>13</v>
      </c>
      <c r="C3031" t="s">
        <v>1</v>
      </c>
      <c r="D3031" t="s">
        <v>3784</v>
      </c>
      <c r="E3031" t="s">
        <v>3785</v>
      </c>
      <c r="F3031" t="s">
        <v>179</v>
      </c>
      <c r="G3031">
        <v>150</v>
      </c>
      <c r="H3031">
        <v>27</v>
      </c>
      <c r="I3031">
        <v>55</v>
      </c>
      <c r="J3031">
        <v>232</v>
      </c>
      <c r="K3031" s="482">
        <v>0.64700000000000002</v>
      </c>
      <c r="L3031" s="482">
        <v>0.11600000000000001</v>
      </c>
      <c r="M3031" s="482">
        <v>0.23699999999999999</v>
      </c>
    </row>
    <row r="3032" spans="1:13" x14ac:dyDescent="0.2">
      <c r="A3032" t="s">
        <v>4513</v>
      </c>
      <c r="B3032" t="s">
        <v>13</v>
      </c>
      <c r="C3032" t="s">
        <v>1</v>
      </c>
      <c r="D3032" t="s">
        <v>3787</v>
      </c>
      <c r="E3032" t="s">
        <v>3788</v>
      </c>
      <c r="F3032" t="s">
        <v>179</v>
      </c>
      <c r="G3032">
        <v>80</v>
      </c>
      <c r="H3032">
        <v>12</v>
      </c>
      <c r="I3032">
        <v>37</v>
      </c>
      <c r="J3032">
        <v>129</v>
      </c>
      <c r="K3032" s="482">
        <v>0.62</v>
      </c>
      <c r="L3032" s="482">
        <v>9.2999999999999999E-2</v>
      </c>
      <c r="M3032" s="482">
        <v>0.28699999999999998</v>
      </c>
    </row>
    <row r="3033" spans="1:13" x14ac:dyDescent="0.2">
      <c r="A3033" t="s">
        <v>4514</v>
      </c>
      <c r="B3033" t="s">
        <v>13</v>
      </c>
      <c r="C3033" t="s">
        <v>1</v>
      </c>
      <c r="D3033" t="s">
        <v>3790</v>
      </c>
      <c r="E3033" t="s">
        <v>3791</v>
      </c>
      <c r="F3033" t="s">
        <v>179</v>
      </c>
      <c r="G3033">
        <v>247</v>
      </c>
      <c r="H3033">
        <v>41</v>
      </c>
      <c r="I3033">
        <v>111</v>
      </c>
      <c r="J3033">
        <v>399</v>
      </c>
      <c r="K3033" s="482">
        <v>0.61899999999999999</v>
      </c>
      <c r="L3033" s="482">
        <v>0.10299999999999999</v>
      </c>
      <c r="M3033" s="482">
        <v>0.27800000000000002</v>
      </c>
    </row>
    <row r="3034" spans="1:13" x14ac:dyDescent="0.2">
      <c r="A3034" t="s">
        <v>4287</v>
      </c>
      <c r="B3034" t="s">
        <v>13</v>
      </c>
      <c r="C3034" t="s">
        <v>1</v>
      </c>
      <c r="D3034" t="s">
        <v>3234</v>
      </c>
      <c r="E3034" t="s">
        <v>3235</v>
      </c>
      <c r="F3034" t="s">
        <v>179</v>
      </c>
      <c r="G3034">
        <v>95</v>
      </c>
      <c r="H3034">
        <v>24</v>
      </c>
      <c r="I3034">
        <v>42</v>
      </c>
      <c r="J3034">
        <v>161</v>
      </c>
      <c r="K3034" s="482">
        <v>0.59</v>
      </c>
      <c r="L3034" s="482">
        <v>0.14899999999999999</v>
      </c>
      <c r="M3034" s="482">
        <v>0.26100000000000001</v>
      </c>
    </row>
    <row r="3035" spans="1:13" x14ac:dyDescent="0.2">
      <c r="A3035" t="s">
        <v>4288</v>
      </c>
      <c r="B3035" t="s">
        <v>13</v>
      </c>
      <c r="C3035" t="s">
        <v>1</v>
      </c>
      <c r="D3035" t="s">
        <v>3237</v>
      </c>
      <c r="E3035" t="s">
        <v>3238</v>
      </c>
      <c r="F3035" t="s">
        <v>179</v>
      </c>
      <c r="G3035">
        <v>29</v>
      </c>
      <c r="H3035">
        <v>9</v>
      </c>
      <c r="I3035">
        <v>11</v>
      </c>
      <c r="J3035">
        <v>49</v>
      </c>
      <c r="K3035" s="482">
        <v>0.59199999999999997</v>
      </c>
      <c r="L3035" s="482">
        <v>0.184</v>
      </c>
      <c r="M3035" s="482">
        <v>0.224</v>
      </c>
    </row>
    <row r="3036" spans="1:13" x14ac:dyDescent="0.2">
      <c r="A3036" t="s">
        <v>4527</v>
      </c>
      <c r="B3036" t="s">
        <v>13</v>
      </c>
      <c r="C3036" t="s">
        <v>1</v>
      </c>
      <c r="D3036" t="s">
        <v>3808</v>
      </c>
      <c r="E3036" t="s">
        <v>3809</v>
      </c>
      <c r="F3036" t="s">
        <v>179</v>
      </c>
      <c r="G3036">
        <v>25</v>
      </c>
      <c r="H3036">
        <v>1</v>
      </c>
      <c r="I3036">
        <v>1</v>
      </c>
      <c r="J3036">
        <v>27</v>
      </c>
      <c r="K3036" s="482">
        <v>0.92600000000000005</v>
      </c>
      <c r="L3036" s="482">
        <v>3.6999999999999998E-2</v>
      </c>
      <c r="M3036" s="482">
        <v>3.6999999999999998E-2</v>
      </c>
    </row>
    <row r="3037" spans="1:13" x14ac:dyDescent="0.2">
      <c r="A3037" t="s">
        <v>4520</v>
      </c>
      <c r="B3037" t="s">
        <v>13</v>
      </c>
      <c r="C3037" t="s">
        <v>1</v>
      </c>
      <c r="D3037" t="s">
        <v>3814</v>
      </c>
      <c r="E3037" t="s">
        <v>3815</v>
      </c>
      <c r="F3037" t="s">
        <v>179</v>
      </c>
      <c r="G3037">
        <v>67</v>
      </c>
      <c r="H3037">
        <v>7</v>
      </c>
      <c r="I3037">
        <v>21</v>
      </c>
      <c r="J3037">
        <v>95</v>
      </c>
      <c r="K3037" s="482">
        <v>0.70499999999999996</v>
      </c>
      <c r="L3037" s="482">
        <v>7.3999999999999996E-2</v>
      </c>
      <c r="M3037" s="482">
        <v>0.221</v>
      </c>
    </row>
    <row r="3038" spans="1:13" x14ac:dyDescent="0.2">
      <c r="A3038" t="s">
        <v>4521</v>
      </c>
      <c r="B3038" t="s">
        <v>13</v>
      </c>
      <c r="C3038" t="s">
        <v>1</v>
      </c>
      <c r="D3038" t="s">
        <v>3817</v>
      </c>
      <c r="E3038" t="s">
        <v>3818</v>
      </c>
      <c r="F3038" t="s">
        <v>179</v>
      </c>
      <c r="G3038">
        <v>56</v>
      </c>
      <c r="H3038">
        <v>14</v>
      </c>
      <c r="I3038">
        <v>27</v>
      </c>
      <c r="J3038">
        <v>97</v>
      </c>
      <c r="K3038" s="482">
        <v>0.57699999999999996</v>
      </c>
      <c r="L3038" s="482">
        <v>0.14399999999999999</v>
      </c>
      <c r="M3038" s="482">
        <v>0.27800000000000002</v>
      </c>
    </row>
    <row r="3039" spans="1:13" x14ac:dyDescent="0.2">
      <c r="A3039" t="s">
        <v>4522</v>
      </c>
      <c r="B3039" t="s">
        <v>13</v>
      </c>
      <c r="C3039" t="s">
        <v>1</v>
      </c>
      <c r="D3039" t="s">
        <v>3820</v>
      </c>
      <c r="E3039" t="s">
        <v>3821</v>
      </c>
      <c r="F3039" t="s">
        <v>179</v>
      </c>
      <c r="G3039">
        <v>194</v>
      </c>
      <c r="H3039">
        <v>29</v>
      </c>
      <c r="I3039">
        <v>72</v>
      </c>
      <c r="J3039">
        <v>295</v>
      </c>
      <c r="K3039" s="482">
        <v>0.65800000000000003</v>
      </c>
      <c r="L3039" s="482">
        <v>9.8000000000000004E-2</v>
      </c>
      <c r="M3039" s="482">
        <v>0.24399999999999999</v>
      </c>
    </row>
    <row r="3040" spans="1:13" x14ac:dyDescent="0.2">
      <c r="A3040" t="s">
        <v>4523</v>
      </c>
      <c r="B3040" t="s">
        <v>13</v>
      </c>
      <c r="C3040" t="s">
        <v>1</v>
      </c>
      <c r="D3040" t="s">
        <v>3823</v>
      </c>
      <c r="E3040" t="s">
        <v>3824</v>
      </c>
      <c r="F3040" t="s">
        <v>179</v>
      </c>
      <c r="G3040">
        <v>105</v>
      </c>
      <c r="H3040">
        <v>17</v>
      </c>
      <c r="I3040">
        <v>38</v>
      </c>
      <c r="J3040">
        <v>160</v>
      </c>
      <c r="K3040" s="482">
        <v>0.65600000000000003</v>
      </c>
      <c r="L3040" s="482">
        <v>0.106</v>
      </c>
      <c r="M3040" s="482">
        <v>0.23799999999999999</v>
      </c>
    </row>
    <row r="3041" spans="1:13" x14ac:dyDescent="0.2">
      <c r="A3041" t="s">
        <v>4524</v>
      </c>
      <c r="B3041" t="s">
        <v>13</v>
      </c>
      <c r="C3041" t="s">
        <v>1</v>
      </c>
      <c r="D3041" t="s">
        <v>3826</v>
      </c>
      <c r="E3041" t="s">
        <v>3827</v>
      </c>
      <c r="F3041" t="s">
        <v>179</v>
      </c>
      <c r="G3041">
        <v>122</v>
      </c>
      <c r="H3041">
        <v>23</v>
      </c>
      <c r="I3041">
        <v>54</v>
      </c>
      <c r="J3041">
        <v>199</v>
      </c>
      <c r="K3041" s="482">
        <v>0.61299999999999999</v>
      </c>
      <c r="L3041" s="482">
        <v>0.11600000000000001</v>
      </c>
      <c r="M3041" s="482">
        <v>0.27100000000000002</v>
      </c>
    </row>
    <row r="3042" spans="1:13" x14ac:dyDescent="0.2">
      <c r="A3042" t="s">
        <v>4525</v>
      </c>
      <c r="B3042" t="s">
        <v>13</v>
      </c>
      <c r="C3042" t="s">
        <v>1</v>
      </c>
      <c r="D3042" t="s">
        <v>3829</v>
      </c>
      <c r="E3042" t="s">
        <v>3830</v>
      </c>
      <c r="F3042" t="s">
        <v>179</v>
      </c>
      <c r="G3042">
        <v>238</v>
      </c>
      <c r="H3042">
        <v>46</v>
      </c>
      <c r="I3042">
        <v>85</v>
      </c>
      <c r="J3042">
        <v>369</v>
      </c>
      <c r="K3042" s="482">
        <v>0.64500000000000002</v>
      </c>
      <c r="L3042" s="482">
        <v>0.125</v>
      </c>
      <c r="M3042" s="482">
        <v>0.23</v>
      </c>
    </row>
    <row r="3043" spans="1:13" x14ac:dyDescent="0.2">
      <c r="A3043" t="s">
        <v>4535</v>
      </c>
      <c r="B3043" t="s">
        <v>13</v>
      </c>
      <c r="C3043" t="s">
        <v>1</v>
      </c>
      <c r="D3043" t="s">
        <v>3849</v>
      </c>
      <c r="E3043" t="s">
        <v>3850</v>
      </c>
      <c r="F3043" t="s">
        <v>179</v>
      </c>
      <c r="G3043">
        <v>409</v>
      </c>
      <c r="H3043">
        <v>75</v>
      </c>
      <c r="I3043">
        <v>146</v>
      </c>
      <c r="J3043">
        <v>630</v>
      </c>
      <c r="K3043" s="482">
        <v>0.64900000000000002</v>
      </c>
      <c r="L3043" s="482">
        <v>0.11899999999999999</v>
      </c>
      <c r="M3043" s="482">
        <v>0.23200000000000001</v>
      </c>
    </row>
    <row r="3044" spans="1:13" x14ac:dyDescent="0.2">
      <c r="A3044" t="s">
        <v>4368</v>
      </c>
      <c r="B3044" t="s">
        <v>13</v>
      </c>
      <c r="C3044" t="s">
        <v>1</v>
      </c>
      <c r="D3044" t="s">
        <v>3418</v>
      </c>
      <c r="E3044" t="s">
        <v>3419</v>
      </c>
      <c r="F3044" t="s">
        <v>179</v>
      </c>
      <c r="G3044">
        <v>40</v>
      </c>
      <c r="H3044">
        <v>3</v>
      </c>
      <c r="I3044">
        <v>7</v>
      </c>
      <c r="J3044">
        <v>50</v>
      </c>
      <c r="K3044" s="482">
        <v>0.8</v>
      </c>
      <c r="L3044" s="482">
        <v>0.06</v>
      </c>
      <c r="M3044" s="482">
        <v>0.14000000000000001</v>
      </c>
    </row>
    <row r="3045" spans="1:13" x14ac:dyDescent="0.2">
      <c r="A3045" t="s">
        <v>4374</v>
      </c>
      <c r="B3045" t="s">
        <v>13</v>
      </c>
      <c r="C3045" t="s">
        <v>1</v>
      </c>
      <c r="D3045" t="s">
        <v>3427</v>
      </c>
      <c r="E3045" t="s">
        <v>3428</v>
      </c>
      <c r="F3045" t="s">
        <v>179</v>
      </c>
      <c r="G3045">
        <v>79</v>
      </c>
      <c r="H3045">
        <v>12</v>
      </c>
      <c r="I3045">
        <v>34</v>
      </c>
      <c r="J3045">
        <v>125</v>
      </c>
      <c r="K3045" s="482">
        <v>0.63200000000000001</v>
      </c>
      <c r="L3045" s="482">
        <v>9.6000000000000002E-2</v>
      </c>
      <c r="M3045" s="482">
        <v>0.27200000000000002</v>
      </c>
    </row>
    <row r="3046" spans="1:13" x14ac:dyDescent="0.2">
      <c r="A3046" t="s">
        <v>4375</v>
      </c>
      <c r="B3046" t="s">
        <v>13</v>
      </c>
      <c r="C3046" t="s">
        <v>1</v>
      </c>
      <c r="D3046" t="s">
        <v>3430</v>
      </c>
      <c r="E3046" t="s">
        <v>3431</v>
      </c>
      <c r="F3046" t="s">
        <v>179</v>
      </c>
      <c r="G3046">
        <v>68</v>
      </c>
      <c r="H3046">
        <v>18</v>
      </c>
      <c r="I3046">
        <v>15</v>
      </c>
      <c r="J3046">
        <v>101</v>
      </c>
      <c r="K3046" s="482">
        <v>0.67300000000000004</v>
      </c>
      <c r="L3046" s="482">
        <v>0.17799999999999999</v>
      </c>
      <c r="M3046" s="482">
        <v>0.14899999999999999</v>
      </c>
    </row>
    <row r="3047" spans="1:13" x14ac:dyDescent="0.2">
      <c r="A3047" t="s">
        <v>4376</v>
      </c>
      <c r="B3047" t="s">
        <v>13</v>
      </c>
      <c r="C3047" t="s">
        <v>1</v>
      </c>
      <c r="D3047" t="s">
        <v>3433</v>
      </c>
      <c r="E3047" t="s">
        <v>3434</v>
      </c>
      <c r="F3047" t="s">
        <v>179</v>
      </c>
      <c r="G3047">
        <v>23</v>
      </c>
      <c r="H3047">
        <v>4</v>
      </c>
      <c r="I3047">
        <v>8</v>
      </c>
      <c r="J3047">
        <v>35</v>
      </c>
      <c r="K3047" s="482">
        <v>0.65700000000000003</v>
      </c>
      <c r="L3047" s="482">
        <v>0.114</v>
      </c>
      <c r="M3047" s="482">
        <v>0.22900000000000001</v>
      </c>
    </row>
    <row r="3048" spans="1:13" x14ac:dyDescent="0.2">
      <c r="A3048" t="s">
        <v>4380</v>
      </c>
      <c r="B3048" t="s">
        <v>13</v>
      </c>
      <c r="C3048" t="s">
        <v>1</v>
      </c>
      <c r="D3048" t="s">
        <v>4381</v>
      </c>
      <c r="E3048" t="s">
        <v>4382</v>
      </c>
      <c r="F3048" t="s">
        <v>179</v>
      </c>
      <c r="G3048">
        <v>119</v>
      </c>
      <c r="H3048">
        <v>27</v>
      </c>
      <c r="I3048">
        <v>28</v>
      </c>
      <c r="J3048">
        <v>174</v>
      </c>
      <c r="K3048" s="482">
        <v>0.68400000000000005</v>
      </c>
      <c r="L3048" s="482">
        <v>0.155</v>
      </c>
      <c r="M3048" s="482">
        <v>0.161</v>
      </c>
    </row>
    <row r="3049" spans="1:13" x14ac:dyDescent="0.2">
      <c r="A3049" t="s">
        <v>4363</v>
      </c>
      <c r="B3049" t="s">
        <v>13</v>
      </c>
      <c r="C3049" t="s">
        <v>1</v>
      </c>
      <c r="D3049" t="s">
        <v>4364</v>
      </c>
      <c r="E3049" t="s">
        <v>4365</v>
      </c>
      <c r="F3049" t="s">
        <v>179</v>
      </c>
      <c r="G3049">
        <v>49</v>
      </c>
      <c r="H3049">
        <v>4</v>
      </c>
      <c r="I3049">
        <v>18</v>
      </c>
      <c r="J3049">
        <v>71</v>
      </c>
      <c r="K3049" s="482">
        <v>0.69</v>
      </c>
      <c r="L3049" s="482">
        <v>5.6000000000000001E-2</v>
      </c>
      <c r="M3049" s="482">
        <v>0.254</v>
      </c>
    </row>
    <row r="3050" spans="1:13" x14ac:dyDescent="0.2">
      <c r="A3050" t="s">
        <v>4383</v>
      </c>
      <c r="B3050" t="s">
        <v>13</v>
      </c>
      <c r="C3050" t="s">
        <v>1</v>
      </c>
      <c r="D3050" t="s">
        <v>3436</v>
      </c>
      <c r="E3050" t="s">
        <v>3437</v>
      </c>
      <c r="F3050" t="s">
        <v>179</v>
      </c>
      <c r="G3050">
        <v>43</v>
      </c>
      <c r="H3050">
        <v>7</v>
      </c>
      <c r="I3050">
        <v>6</v>
      </c>
      <c r="J3050">
        <v>56</v>
      </c>
      <c r="K3050" s="482">
        <v>0.76800000000000002</v>
      </c>
      <c r="L3050" s="482">
        <v>0.125</v>
      </c>
      <c r="M3050" s="482">
        <v>0.107</v>
      </c>
    </row>
    <row r="3051" spans="1:13" x14ac:dyDescent="0.2">
      <c r="A3051" t="s">
        <v>4384</v>
      </c>
      <c r="B3051" t="s">
        <v>13</v>
      </c>
      <c r="C3051" t="s">
        <v>1</v>
      </c>
      <c r="D3051" t="s">
        <v>3439</v>
      </c>
      <c r="E3051" t="s">
        <v>3440</v>
      </c>
      <c r="F3051" t="s">
        <v>179</v>
      </c>
      <c r="G3051">
        <v>42</v>
      </c>
      <c r="H3051">
        <v>11</v>
      </c>
      <c r="I3051">
        <v>7</v>
      </c>
      <c r="J3051">
        <v>60</v>
      </c>
      <c r="K3051" s="482">
        <v>0.7</v>
      </c>
      <c r="L3051" s="482">
        <v>0.183</v>
      </c>
      <c r="M3051" s="482">
        <v>0.11700000000000001</v>
      </c>
    </row>
    <row r="3052" spans="1:13" x14ac:dyDescent="0.2">
      <c r="A3052" t="s">
        <v>4366</v>
      </c>
      <c r="B3052" t="s">
        <v>13</v>
      </c>
      <c r="C3052" t="s">
        <v>1</v>
      </c>
      <c r="D3052" t="s">
        <v>3412</v>
      </c>
      <c r="E3052" t="s">
        <v>3413</v>
      </c>
      <c r="F3052" t="s">
        <v>179</v>
      </c>
      <c r="G3052">
        <v>25</v>
      </c>
      <c r="H3052">
        <v>10</v>
      </c>
      <c r="I3052">
        <v>5</v>
      </c>
      <c r="J3052">
        <v>40</v>
      </c>
      <c r="K3052" s="482">
        <v>0.625</v>
      </c>
      <c r="L3052" s="482">
        <v>0.25</v>
      </c>
      <c r="M3052" s="482">
        <v>0.125</v>
      </c>
    </row>
    <row r="3053" spans="1:13" x14ac:dyDescent="0.2">
      <c r="A3053" t="s">
        <v>4367</v>
      </c>
      <c r="B3053" t="s">
        <v>13</v>
      </c>
      <c r="C3053" t="s">
        <v>1</v>
      </c>
      <c r="D3053" t="s">
        <v>3415</v>
      </c>
      <c r="E3053" t="s">
        <v>3416</v>
      </c>
      <c r="F3053" t="s">
        <v>179</v>
      </c>
      <c r="G3053">
        <v>8</v>
      </c>
      <c r="H3053">
        <v>4</v>
      </c>
      <c r="I3053">
        <v>4</v>
      </c>
      <c r="J3053">
        <v>16</v>
      </c>
      <c r="K3053" s="482">
        <v>0.5</v>
      </c>
      <c r="L3053" s="482">
        <v>0.25</v>
      </c>
      <c r="M3053" s="482">
        <v>0.25</v>
      </c>
    </row>
    <row r="3054" spans="1:13" x14ac:dyDescent="0.2">
      <c r="A3054" t="s">
        <v>4387</v>
      </c>
      <c r="B3054" t="s">
        <v>13</v>
      </c>
      <c r="C3054" t="s">
        <v>1</v>
      </c>
      <c r="D3054" t="s">
        <v>3448</v>
      </c>
      <c r="E3054" t="s">
        <v>3449</v>
      </c>
      <c r="F3054" t="s">
        <v>179</v>
      </c>
      <c r="G3054">
        <v>68</v>
      </c>
      <c r="H3054">
        <v>11</v>
      </c>
      <c r="I3054">
        <v>28</v>
      </c>
      <c r="J3054">
        <v>107</v>
      </c>
      <c r="K3054" s="482">
        <v>0.63600000000000001</v>
      </c>
      <c r="L3054" s="482">
        <v>0.10299999999999999</v>
      </c>
      <c r="M3054" s="482">
        <v>0.26200000000000001</v>
      </c>
    </row>
    <row r="3055" spans="1:13" x14ac:dyDescent="0.2">
      <c r="A3055" t="s">
        <v>4377</v>
      </c>
      <c r="B3055" t="s">
        <v>13</v>
      </c>
      <c r="C3055" t="s">
        <v>1</v>
      </c>
      <c r="D3055" t="s">
        <v>4378</v>
      </c>
      <c r="E3055" t="s">
        <v>4379</v>
      </c>
      <c r="F3055" t="s">
        <v>179</v>
      </c>
      <c r="G3055">
        <v>81</v>
      </c>
      <c r="H3055">
        <v>17</v>
      </c>
      <c r="I3055">
        <v>37</v>
      </c>
      <c r="J3055">
        <v>135</v>
      </c>
      <c r="K3055" s="482">
        <v>0.6</v>
      </c>
      <c r="L3055" s="482">
        <v>0.126</v>
      </c>
      <c r="M3055" s="482">
        <v>0.27400000000000002</v>
      </c>
    </row>
    <row r="3056" spans="1:13" x14ac:dyDescent="0.2">
      <c r="A3056" t="s">
        <v>4388</v>
      </c>
      <c r="B3056" t="s">
        <v>13</v>
      </c>
      <c r="C3056" t="s">
        <v>1</v>
      </c>
      <c r="D3056" t="s">
        <v>3451</v>
      </c>
      <c r="E3056" t="s">
        <v>3452</v>
      </c>
      <c r="F3056" t="s">
        <v>179</v>
      </c>
      <c r="G3056">
        <v>82</v>
      </c>
      <c r="H3056">
        <v>18</v>
      </c>
      <c r="I3056">
        <v>24</v>
      </c>
      <c r="J3056">
        <v>124</v>
      </c>
      <c r="K3056" s="482">
        <v>0.66100000000000003</v>
      </c>
      <c r="L3056" s="482">
        <v>0.14499999999999999</v>
      </c>
      <c r="M3056" s="482">
        <v>0.19400000000000001</v>
      </c>
    </row>
    <row r="3057" spans="1:13" x14ac:dyDescent="0.2">
      <c r="A3057" t="s">
        <v>4389</v>
      </c>
      <c r="B3057" t="s">
        <v>13</v>
      </c>
      <c r="C3057" t="s">
        <v>1</v>
      </c>
      <c r="D3057" t="s">
        <v>3454</v>
      </c>
      <c r="E3057" t="s">
        <v>3455</v>
      </c>
      <c r="F3057" t="s">
        <v>179</v>
      </c>
      <c r="G3057">
        <v>112</v>
      </c>
      <c r="H3057">
        <v>30</v>
      </c>
      <c r="I3057">
        <v>47</v>
      </c>
      <c r="J3057">
        <v>189</v>
      </c>
      <c r="K3057" s="482">
        <v>0.59299999999999997</v>
      </c>
      <c r="L3057" s="482">
        <v>0.159</v>
      </c>
      <c r="M3057" s="482">
        <v>0.249</v>
      </c>
    </row>
    <row r="3058" spans="1:13" x14ac:dyDescent="0.2">
      <c r="A3058" t="s">
        <v>4390</v>
      </c>
      <c r="B3058" t="s">
        <v>13</v>
      </c>
      <c r="C3058" t="s">
        <v>1</v>
      </c>
      <c r="D3058" t="s">
        <v>3457</v>
      </c>
      <c r="E3058" t="s">
        <v>3458</v>
      </c>
      <c r="F3058" t="s">
        <v>179</v>
      </c>
      <c r="G3058">
        <v>50</v>
      </c>
      <c r="H3058">
        <v>5</v>
      </c>
      <c r="I3058">
        <v>15</v>
      </c>
      <c r="J3058">
        <v>70</v>
      </c>
      <c r="K3058" s="482">
        <v>0.71399999999999997</v>
      </c>
      <c r="L3058" s="482">
        <v>7.0999999999999994E-2</v>
      </c>
      <c r="M3058" s="482">
        <v>0.214</v>
      </c>
    </row>
    <row r="3059" spans="1:13" x14ac:dyDescent="0.2">
      <c r="A3059" t="s">
        <v>4391</v>
      </c>
      <c r="B3059" t="s">
        <v>13</v>
      </c>
      <c r="C3059" t="s">
        <v>1</v>
      </c>
      <c r="D3059" t="s">
        <v>3460</v>
      </c>
      <c r="E3059" t="s">
        <v>3461</v>
      </c>
      <c r="F3059" t="s">
        <v>179</v>
      </c>
      <c r="G3059">
        <v>114</v>
      </c>
      <c r="H3059">
        <v>16</v>
      </c>
      <c r="I3059">
        <v>46</v>
      </c>
      <c r="J3059">
        <v>176</v>
      </c>
      <c r="K3059" s="482">
        <v>0.64800000000000002</v>
      </c>
      <c r="L3059" s="482">
        <v>9.0999999999999998E-2</v>
      </c>
      <c r="M3059" s="482">
        <v>0.26100000000000001</v>
      </c>
    </row>
    <row r="3060" spans="1:13" x14ac:dyDescent="0.2">
      <c r="A3060" t="s">
        <v>4392</v>
      </c>
      <c r="B3060" t="s">
        <v>13</v>
      </c>
      <c r="C3060" t="s">
        <v>1</v>
      </c>
      <c r="D3060" t="s">
        <v>3463</v>
      </c>
      <c r="E3060" t="s">
        <v>3464</v>
      </c>
      <c r="F3060" t="s">
        <v>179</v>
      </c>
      <c r="G3060">
        <v>88</v>
      </c>
      <c r="H3060">
        <v>19</v>
      </c>
      <c r="I3060">
        <v>35</v>
      </c>
      <c r="J3060">
        <v>142</v>
      </c>
      <c r="K3060" s="482">
        <v>0.62</v>
      </c>
      <c r="L3060" s="482">
        <v>0.13400000000000001</v>
      </c>
      <c r="M3060" s="482">
        <v>0.246</v>
      </c>
    </row>
    <row r="3061" spans="1:13" x14ac:dyDescent="0.2">
      <c r="A3061" t="s">
        <v>4393</v>
      </c>
      <c r="B3061" t="s">
        <v>13</v>
      </c>
      <c r="C3061" t="s">
        <v>1</v>
      </c>
      <c r="D3061" t="s">
        <v>3466</v>
      </c>
      <c r="E3061" t="s">
        <v>3467</v>
      </c>
      <c r="F3061" t="s">
        <v>179</v>
      </c>
      <c r="G3061">
        <v>204</v>
      </c>
      <c r="H3061">
        <v>33</v>
      </c>
      <c r="I3061">
        <v>87</v>
      </c>
      <c r="J3061">
        <v>324</v>
      </c>
      <c r="K3061" s="482">
        <v>0.63</v>
      </c>
      <c r="L3061" s="482">
        <v>0.10199999999999999</v>
      </c>
      <c r="M3061" s="482">
        <v>0.26900000000000002</v>
      </c>
    </row>
    <row r="3062" spans="1:13" x14ac:dyDescent="0.2">
      <c r="A3062" t="s">
        <v>4394</v>
      </c>
      <c r="B3062" t="s">
        <v>13</v>
      </c>
      <c r="C3062" t="s">
        <v>1</v>
      </c>
      <c r="D3062" t="s">
        <v>3469</v>
      </c>
      <c r="E3062" t="s">
        <v>3470</v>
      </c>
      <c r="F3062" t="s">
        <v>179</v>
      </c>
      <c r="G3062" t="s">
        <v>53</v>
      </c>
      <c r="H3062" t="s">
        <v>53</v>
      </c>
      <c r="I3062">
        <v>0</v>
      </c>
      <c r="J3062" t="s">
        <v>53</v>
      </c>
      <c r="K3062" t="s">
        <v>53</v>
      </c>
      <c r="L3062" t="s">
        <v>53</v>
      </c>
      <c r="M3062" t="s">
        <v>53</v>
      </c>
    </row>
    <row r="3063" spans="1:13" x14ac:dyDescent="0.2">
      <c r="A3063" t="s">
        <v>4395</v>
      </c>
      <c r="B3063" t="s">
        <v>13</v>
      </c>
      <c r="C3063" t="s">
        <v>1</v>
      </c>
      <c r="D3063" t="s">
        <v>3472</v>
      </c>
      <c r="E3063" t="s">
        <v>3473</v>
      </c>
      <c r="F3063" t="s">
        <v>179</v>
      </c>
      <c r="G3063">
        <v>127</v>
      </c>
      <c r="H3063">
        <v>24</v>
      </c>
      <c r="I3063">
        <v>56</v>
      </c>
      <c r="J3063">
        <v>207</v>
      </c>
      <c r="K3063" s="482">
        <v>0.61399999999999999</v>
      </c>
      <c r="L3063" s="482">
        <v>0.11600000000000001</v>
      </c>
      <c r="M3063" s="482">
        <v>0.27100000000000002</v>
      </c>
    </row>
    <row r="3064" spans="1:13" x14ac:dyDescent="0.2">
      <c r="A3064" t="s">
        <v>4396</v>
      </c>
      <c r="B3064" t="s">
        <v>13</v>
      </c>
      <c r="C3064" t="s">
        <v>1</v>
      </c>
      <c r="D3064" t="s">
        <v>3475</v>
      </c>
      <c r="E3064" t="s">
        <v>3476</v>
      </c>
      <c r="F3064" t="s">
        <v>179</v>
      </c>
      <c r="G3064">
        <v>91</v>
      </c>
      <c r="H3064">
        <v>13</v>
      </c>
      <c r="I3064">
        <v>33</v>
      </c>
      <c r="J3064">
        <v>137</v>
      </c>
      <c r="K3064" s="482">
        <v>0.66400000000000003</v>
      </c>
      <c r="L3064" s="482">
        <v>9.5000000000000001E-2</v>
      </c>
      <c r="M3064" s="482">
        <v>0.24099999999999999</v>
      </c>
    </row>
    <row r="3065" spans="1:13" x14ac:dyDescent="0.2">
      <c r="A3065" t="s">
        <v>4397</v>
      </c>
      <c r="B3065" t="s">
        <v>13</v>
      </c>
      <c r="C3065" t="s">
        <v>1</v>
      </c>
      <c r="D3065" t="s">
        <v>3478</v>
      </c>
      <c r="E3065" t="s">
        <v>3479</v>
      </c>
      <c r="F3065" t="s">
        <v>179</v>
      </c>
      <c r="G3065">
        <v>99</v>
      </c>
      <c r="H3065">
        <v>13</v>
      </c>
      <c r="I3065">
        <v>36</v>
      </c>
      <c r="J3065">
        <v>148</v>
      </c>
      <c r="K3065" s="482">
        <v>0.66900000000000004</v>
      </c>
      <c r="L3065" s="482">
        <v>8.7999999999999995E-2</v>
      </c>
      <c r="M3065" s="482">
        <v>0.24299999999999999</v>
      </c>
    </row>
    <row r="3066" spans="1:13" x14ac:dyDescent="0.2">
      <c r="A3066" t="s">
        <v>4398</v>
      </c>
      <c r="B3066" t="s">
        <v>13</v>
      </c>
      <c r="C3066" t="s">
        <v>1</v>
      </c>
      <c r="D3066" t="s">
        <v>3482</v>
      </c>
      <c r="E3066" t="s">
        <v>3483</v>
      </c>
      <c r="F3066" t="s">
        <v>179</v>
      </c>
      <c r="G3066">
        <v>242</v>
      </c>
      <c r="H3066">
        <v>45</v>
      </c>
      <c r="I3066">
        <v>121</v>
      </c>
      <c r="J3066">
        <v>408</v>
      </c>
      <c r="K3066" s="482">
        <v>0.59299999999999997</v>
      </c>
      <c r="L3066" s="482">
        <v>0.11</v>
      </c>
      <c r="M3066" s="482">
        <v>0.29699999999999999</v>
      </c>
    </row>
    <row r="3067" spans="1:13" x14ac:dyDescent="0.2">
      <c r="A3067" t="s">
        <v>4399</v>
      </c>
      <c r="B3067" t="s">
        <v>13</v>
      </c>
      <c r="C3067" t="s">
        <v>1</v>
      </c>
      <c r="D3067" t="s">
        <v>3485</v>
      </c>
      <c r="E3067" t="s">
        <v>3486</v>
      </c>
      <c r="F3067" t="s">
        <v>179</v>
      </c>
      <c r="G3067">
        <v>22</v>
      </c>
      <c r="H3067">
        <v>6</v>
      </c>
      <c r="I3067">
        <v>12</v>
      </c>
      <c r="J3067">
        <v>40</v>
      </c>
      <c r="K3067" s="482">
        <v>0.55000000000000004</v>
      </c>
      <c r="L3067" s="482">
        <v>0.15</v>
      </c>
      <c r="M3067" s="482">
        <v>0.3</v>
      </c>
    </row>
    <row r="3068" spans="1:13" x14ac:dyDescent="0.2">
      <c r="A3068" t="s">
        <v>4372</v>
      </c>
      <c r="B3068" t="s">
        <v>13</v>
      </c>
      <c r="C3068" t="s">
        <v>1</v>
      </c>
      <c r="D3068" t="s">
        <v>3421</v>
      </c>
      <c r="E3068" t="s">
        <v>3422</v>
      </c>
      <c r="F3068" t="s">
        <v>179</v>
      </c>
      <c r="G3068">
        <v>186</v>
      </c>
      <c r="H3068">
        <v>25</v>
      </c>
      <c r="I3068">
        <v>65</v>
      </c>
      <c r="J3068">
        <v>276</v>
      </c>
      <c r="K3068" s="482">
        <v>0.67400000000000004</v>
      </c>
      <c r="L3068" s="482">
        <v>9.0999999999999998E-2</v>
      </c>
      <c r="M3068" s="482">
        <v>0.23599999999999999</v>
      </c>
    </row>
    <row r="3069" spans="1:13" x14ac:dyDescent="0.2">
      <c r="A3069" t="s">
        <v>4373</v>
      </c>
      <c r="B3069" t="s">
        <v>13</v>
      </c>
      <c r="C3069" t="s">
        <v>1</v>
      </c>
      <c r="D3069" t="s">
        <v>3424</v>
      </c>
      <c r="E3069" t="s">
        <v>3425</v>
      </c>
      <c r="F3069" t="s">
        <v>179</v>
      </c>
      <c r="G3069">
        <v>58</v>
      </c>
      <c r="H3069">
        <v>4</v>
      </c>
      <c r="I3069">
        <v>21</v>
      </c>
      <c r="J3069">
        <v>83</v>
      </c>
      <c r="K3069" s="482">
        <v>0.69899999999999995</v>
      </c>
      <c r="L3069" s="482">
        <v>4.8000000000000001E-2</v>
      </c>
      <c r="M3069" s="482">
        <v>0.253</v>
      </c>
    </row>
    <row r="3070" spans="1:13" x14ac:dyDescent="0.2">
      <c r="A3070" t="s">
        <v>4385</v>
      </c>
      <c r="B3070" t="s">
        <v>13</v>
      </c>
      <c r="C3070" t="s">
        <v>1</v>
      </c>
      <c r="D3070" t="s">
        <v>3442</v>
      </c>
      <c r="E3070" t="s">
        <v>3443</v>
      </c>
      <c r="F3070" t="s">
        <v>179</v>
      </c>
      <c r="G3070">
        <v>321</v>
      </c>
      <c r="H3070">
        <v>80</v>
      </c>
      <c r="I3070">
        <v>154</v>
      </c>
      <c r="J3070">
        <v>555</v>
      </c>
      <c r="K3070" s="482">
        <v>0.57799999999999996</v>
      </c>
      <c r="L3070" s="482">
        <v>0.14399999999999999</v>
      </c>
      <c r="M3070" s="482">
        <v>0.27700000000000002</v>
      </c>
    </row>
    <row r="3071" spans="1:13" x14ac:dyDescent="0.2">
      <c r="A3071" t="s">
        <v>4386</v>
      </c>
      <c r="B3071" t="s">
        <v>13</v>
      </c>
      <c r="C3071" t="s">
        <v>1</v>
      </c>
      <c r="D3071" t="s">
        <v>3445</v>
      </c>
      <c r="E3071" t="s">
        <v>3446</v>
      </c>
      <c r="F3071" t="s">
        <v>179</v>
      </c>
      <c r="G3071">
        <v>33</v>
      </c>
      <c r="H3071">
        <v>7</v>
      </c>
      <c r="I3071">
        <v>19</v>
      </c>
      <c r="J3071">
        <v>59</v>
      </c>
      <c r="K3071" s="482">
        <v>0.55900000000000005</v>
      </c>
      <c r="L3071" s="482">
        <v>0.11899999999999999</v>
      </c>
      <c r="M3071" s="482">
        <v>0.32200000000000001</v>
      </c>
    </row>
    <row r="3072" spans="1:13" x14ac:dyDescent="0.2">
      <c r="A3072" t="s">
        <v>4329</v>
      </c>
      <c r="B3072" t="s">
        <v>13</v>
      </c>
      <c r="C3072" t="s">
        <v>1</v>
      </c>
      <c r="D3072" t="s">
        <v>3328</v>
      </c>
      <c r="E3072" t="s">
        <v>3329</v>
      </c>
      <c r="F3072" t="s">
        <v>179</v>
      </c>
      <c r="G3072">
        <v>57</v>
      </c>
      <c r="H3072">
        <v>10</v>
      </c>
      <c r="I3072">
        <v>14</v>
      </c>
      <c r="J3072">
        <v>81</v>
      </c>
      <c r="K3072" s="482">
        <v>0.70399999999999996</v>
      </c>
      <c r="L3072" s="482">
        <v>0.123</v>
      </c>
      <c r="M3072" s="482">
        <v>0.17299999999999999</v>
      </c>
    </row>
    <row r="3073" spans="1:13" x14ac:dyDescent="0.2">
      <c r="A3073" t="s">
        <v>4325</v>
      </c>
      <c r="B3073" t="s">
        <v>13</v>
      </c>
      <c r="C3073" t="s">
        <v>1</v>
      </c>
      <c r="D3073" t="s">
        <v>3322</v>
      </c>
      <c r="E3073" t="s">
        <v>3323</v>
      </c>
      <c r="F3073" t="s">
        <v>179</v>
      </c>
      <c r="G3073">
        <v>5</v>
      </c>
      <c r="H3073">
        <v>1</v>
      </c>
      <c r="I3073">
        <v>3</v>
      </c>
      <c r="J3073">
        <v>9</v>
      </c>
      <c r="K3073" s="482">
        <v>0.55600000000000005</v>
      </c>
      <c r="L3073" s="482">
        <v>0.111</v>
      </c>
      <c r="M3073" s="482">
        <v>0.33300000000000002</v>
      </c>
    </row>
    <row r="3074" spans="1:13" x14ac:dyDescent="0.2">
      <c r="A3074" t="s">
        <v>4297</v>
      </c>
      <c r="B3074" t="s">
        <v>13</v>
      </c>
      <c r="C3074" t="s">
        <v>1</v>
      </c>
      <c r="D3074" t="s">
        <v>3264</v>
      </c>
      <c r="E3074" t="s">
        <v>3265</v>
      </c>
      <c r="F3074" t="s">
        <v>179</v>
      </c>
      <c r="G3074">
        <v>46</v>
      </c>
      <c r="H3074">
        <v>11</v>
      </c>
      <c r="I3074">
        <v>18</v>
      </c>
      <c r="J3074">
        <v>75</v>
      </c>
      <c r="K3074" s="482">
        <v>0.61299999999999999</v>
      </c>
      <c r="L3074" s="482">
        <v>0.14699999999999999</v>
      </c>
      <c r="M3074" s="482">
        <v>0.24</v>
      </c>
    </row>
    <row r="3075" spans="1:13" x14ac:dyDescent="0.2">
      <c r="A3075" t="s">
        <v>4298</v>
      </c>
      <c r="B3075" t="s">
        <v>13</v>
      </c>
      <c r="C3075" t="s">
        <v>1</v>
      </c>
      <c r="D3075" t="s">
        <v>4299</v>
      </c>
      <c r="E3075" t="s">
        <v>4300</v>
      </c>
      <c r="F3075" t="s">
        <v>179</v>
      </c>
      <c r="G3075">
        <v>73</v>
      </c>
      <c r="H3075">
        <v>14</v>
      </c>
      <c r="I3075">
        <v>16</v>
      </c>
      <c r="J3075">
        <v>103</v>
      </c>
      <c r="K3075" s="482">
        <v>0.70899999999999996</v>
      </c>
      <c r="L3075" s="482">
        <v>0.13600000000000001</v>
      </c>
      <c r="M3075" s="482">
        <v>0.155</v>
      </c>
    </row>
    <row r="3076" spans="1:13" x14ac:dyDescent="0.2">
      <c r="A3076" t="s">
        <v>4301</v>
      </c>
      <c r="B3076" t="s">
        <v>13</v>
      </c>
      <c r="C3076" t="s">
        <v>1</v>
      </c>
      <c r="D3076" t="s">
        <v>4302</v>
      </c>
      <c r="E3076" t="s">
        <v>4303</v>
      </c>
      <c r="F3076" t="s">
        <v>179</v>
      </c>
      <c r="G3076">
        <v>48</v>
      </c>
      <c r="H3076">
        <v>9</v>
      </c>
      <c r="I3076">
        <v>9</v>
      </c>
      <c r="J3076">
        <v>66</v>
      </c>
      <c r="K3076" s="482">
        <v>0.72699999999999998</v>
      </c>
      <c r="L3076" s="482">
        <v>0.13600000000000001</v>
      </c>
      <c r="M3076" s="482">
        <v>0.13600000000000001</v>
      </c>
    </row>
    <row r="3077" spans="1:13" x14ac:dyDescent="0.2">
      <c r="A3077" t="s">
        <v>4293</v>
      </c>
      <c r="B3077" t="s">
        <v>13</v>
      </c>
      <c r="C3077" t="s">
        <v>1</v>
      </c>
      <c r="D3077" t="s">
        <v>3252</v>
      </c>
      <c r="E3077" t="s">
        <v>3253</v>
      </c>
      <c r="F3077" t="s">
        <v>179</v>
      </c>
      <c r="G3077">
        <v>9</v>
      </c>
      <c r="H3077">
        <v>0</v>
      </c>
      <c r="I3077">
        <v>0</v>
      </c>
      <c r="J3077">
        <v>9</v>
      </c>
      <c r="K3077" s="482">
        <v>1</v>
      </c>
      <c r="L3077" s="482">
        <v>0</v>
      </c>
      <c r="M3077" s="482">
        <v>0</v>
      </c>
    </row>
    <row r="3078" spans="1:13" x14ac:dyDescent="0.2">
      <c r="A3078" t="s">
        <v>4294</v>
      </c>
      <c r="B3078" t="s">
        <v>13</v>
      </c>
      <c r="C3078" t="s">
        <v>1</v>
      </c>
      <c r="D3078" t="s">
        <v>3255</v>
      </c>
      <c r="E3078" t="s">
        <v>3256</v>
      </c>
      <c r="F3078" t="s">
        <v>179</v>
      </c>
      <c r="G3078">
        <v>7</v>
      </c>
      <c r="H3078">
        <v>1</v>
      </c>
      <c r="I3078">
        <v>2</v>
      </c>
      <c r="J3078">
        <v>10</v>
      </c>
      <c r="K3078" s="482">
        <v>0.7</v>
      </c>
      <c r="L3078" s="482">
        <v>0.1</v>
      </c>
      <c r="M3078" s="482">
        <v>0.2</v>
      </c>
    </row>
    <row r="3079" spans="1:13" x14ac:dyDescent="0.2">
      <c r="A3079" t="s">
        <v>4295</v>
      </c>
      <c r="B3079" t="s">
        <v>13</v>
      </c>
      <c r="C3079" t="s">
        <v>1</v>
      </c>
      <c r="D3079" t="s">
        <v>3258</v>
      </c>
      <c r="E3079" t="s">
        <v>3259</v>
      </c>
      <c r="F3079" t="s">
        <v>179</v>
      </c>
      <c r="G3079">
        <v>44</v>
      </c>
      <c r="H3079">
        <v>8</v>
      </c>
      <c r="I3079">
        <v>16</v>
      </c>
      <c r="J3079">
        <v>68</v>
      </c>
      <c r="K3079" s="482">
        <v>0.64700000000000002</v>
      </c>
      <c r="L3079" s="482">
        <v>0.11799999999999999</v>
      </c>
      <c r="M3079" s="482">
        <v>0.23499999999999999</v>
      </c>
    </row>
    <row r="3080" spans="1:13" x14ac:dyDescent="0.2">
      <c r="A3080" t="s">
        <v>4296</v>
      </c>
      <c r="B3080" t="s">
        <v>13</v>
      </c>
      <c r="C3080" t="s">
        <v>1</v>
      </c>
      <c r="D3080" t="s">
        <v>3261</v>
      </c>
      <c r="E3080" t="s">
        <v>3262</v>
      </c>
      <c r="F3080" t="s">
        <v>179</v>
      </c>
      <c r="G3080">
        <v>13</v>
      </c>
      <c r="H3080">
        <v>4</v>
      </c>
      <c r="I3080">
        <v>2</v>
      </c>
      <c r="J3080">
        <v>19</v>
      </c>
      <c r="K3080" s="482">
        <v>0.68400000000000005</v>
      </c>
      <c r="L3080" s="482">
        <v>0.21099999999999999</v>
      </c>
      <c r="M3080" s="482">
        <v>0.105</v>
      </c>
    </row>
    <row r="3081" spans="1:13" x14ac:dyDescent="0.2">
      <c r="A3081" t="s">
        <v>4548</v>
      </c>
      <c r="B3081" t="s">
        <v>13</v>
      </c>
      <c r="C3081" t="s">
        <v>1</v>
      </c>
      <c r="D3081" t="s">
        <v>3888</v>
      </c>
      <c r="E3081" t="s">
        <v>3889</v>
      </c>
      <c r="F3081" t="s">
        <v>179</v>
      </c>
      <c r="G3081">
        <v>194</v>
      </c>
      <c r="H3081">
        <v>37</v>
      </c>
      <c r="I3081">
        <v>64</v>
      </c>
      <c r="J3081">
        <v>295</v>
      </c>
      <c r="K3081" s="482">
        <v>0.65800000000000003</v>
      </c>
      <c r="L3081" s="482">
        <v>0.125</v>
      </c>
      <c r="M3081" s="482">
        <v>0.217</v>
      </c>
    </row>
    <row r="3082" spans="1:13" x14ac:dyDescent="0.2">
      <c r="A3082" t="s">
        <v>4409</v>
      </c>
      <c r="B3082" t="s">
        <v>13</v>
      </c>
      <c r="C3082" t="s">
        <v>1</v>
      </c>
      <c r="D3082" t="s">
        <v>3515</v>
      </c>
      <c r="E3082" t="s">
        <v>343</v>
      </c>
      <c r="F3082" t="s">
        <v>179</v>
      </c>
      <c r="G3082">
        <v>199</v>
      </c>
      <c r="H3082">
        <v>33</v>
      </c>
      <c r="I3082">
        <v>69</v>
      </c>
      <c r="J3082">
        <v>301</v>
      </c>
      <c r="K3082" s="482">
        <v>0.66100000000000003</v>
      </c>
      <c r="L3082" s="482">
        <v>0.11</v>
      </c>
      <c r="M3082" s="482">
        <v>0.22900000000000001</v>
      </c>
    </row>
    <row r="3083" spans="1:13" x14ac:dyDescent="0.2">
      <c r="A3083" t="s">
        <v>4547</v>
      </c>
      <c r="B3083" t="s">
        <v>13</v>
      </c>
      <c r="C3083" t="s">
        <v>1</v>
      </c>
      <c r="D3083" t="s">
        <v>3885</v>
      </c>
      <c r="E3083" t="s">
        <v>3886</v>
      </c>
      <c r="F3083" t="s">
        <v>179</v>
      </c>
      <c r="G3083">
        <v>162</v>
      </c>
      <c r="H3083">
        <v>24</v>
      </c>
      <c r="I3083">
        <v>74</v>
      </c>
      <c r="J3083">
        <v>260</v>
      </c>
      <c r="K3083" s="482">
        <v>0.623</v>
      </c>
      <c r="L3083" s="482">
        <v>9.1999999999999998E-2</v>
      </c>
      <c r="M3083" s="482">
        <v>0.28499999999999998</v>
      </c>
    </row>
    <row r="3084" spans="1:13" x14ac:dyDescent="0.2">
      <c r="A3084" t="s">
        <v>4549</v>
      </c>
      <c r="B3084" t="s">
        <v>13</v>
      </c>
      <c r="C3084" t="s">
        <v>1</v>
      </c>
      <c r="D3084" t="s">
        <v>3891</v>
      </c>
      <c r="E3084" t="s">
        <v>3892</v>
      </c>
      <c r="F3084" t="s">
        <v>179</v>
      </c>
      <c r="G3084">
        <v>82</v>
      </c>
      <c r="H3084">
        <v>15</v>
      </c>
      <c r="I3084">
        <v>25</v>
      </c>
      <c r="J3084">
        <v>122</v>
      </c>
      <c r="K3084" s="482">
        <v>0.67200000000000004</v>
      </c>
      <c r="L3084" s="482">
        <v>0.123</v>
      </c>
      <c r="M3084" s="482">
        <v>0.20499999999999999</v>
      </c>
    </row>
    <row r="3085" spans="1:13" x14ac:dyDescent="0.2">
      <c r="A3085" t="s">
        <v>4550</v>
      </c>
      <c r="B3085" t="s">
        <v>13</v>
      </c>
      <c r="C3085" t="s">
        <v>1</v>
      </c>
      <c r="D3085" t="s">
        <v>3894</v>
      </c>
      <c r="E3085" t="s">
        <v>3895</v>
      </c>
      <c r="F3085" t="s">
        <v>179</v>
      </c>
      <c r="G3085">
        <v>150</v>
      </c>
      <c r="H3085">
        <v>25</v>
      </c>
      <c r="I3085">
        <v>45</v>
      </c>
      <c r="J3085">
        <v>220</v>
      </c>
      <c r="K3085" s="482">
        <v>0.68200000000000005</v>
      </c>
      <c r="L3085" s="482">
        <v>0.114</v>
      </c>
      <c r="M3085" s="482">
        <v>0.20499999999999999</v>
      </c>
    </row>
    <row r="3086" spans="1:13" x14ac:dyDescent="0.2">
      <c r="A3086" t="s">
        <v>4551</v>
      </c>
      <c r="B3086" t="s">
        <v>13</v>
      </c>
      <c r="C3086" t="s">
        <v>1</v>
      </c>
      <c r="D3086" t="s">
        <v>3897</v>
      </c>
      <c r="E3086" t="s">
        <v>3898</v>
      </c>
      <c r="F3086" t="s">
        <v>179</v>
      </c>
      <c r="G3086">
        <v>18</v>
      </c>
      <c r="H3086">
        <v>2</v>
      </c>
      <c r="I3086">
        <v>8</v>
      </c>
      <c r="J3086">
        <v>28</v>
      </c>
      <c r="K3086" s="482">
        <v>0.64300000000000002</v>
      </c>
      <c r="L3086" s="482">
        <v>7.0999999999999994E-2</v>
      </c>
      <c r="M3086" s="482">
        <v>0.28599999999999998</v>
      </c>
    </row>
    <row r="3087" spans="1:13" x14ac:dyDescent="0.2">
      <c r="A3087" t="s">
        <v>4555</v>
      </c>
      <c r="B3087" t="s">
        <v>13</v>
      </c>
      <c r="C3087" t="s">
        <v>1</v>
      </c>
      <c r="D3087" t="s">
        <v>3906</v>
      </c>
      <c r="E3087" t="s">
        <v>3907</v>
      </c>
      <c r="F3087" t="s">
        <v>179</v>
      </c>
      <c r="G3087">
        <v>137</v>
      </c>
      <c r="H3087">
        <v>25</v>
      </c>
      <c r="I3087">
        <v>32</v>
      </c>
      <c r="J3087">
        <v>194</v>
      </c>
      <c r="K3087" s="482">
        <v>0.70599999999999996</v>
      </c>
      <c r="L3087" s="482">
        <v>0.129</v>
      </c>
      <c r="M3087" s="482">
        <v>0.16500000000000001</v>
      </c>
    </row>
    <row r="3088" spans="1:13" x14ac:dyDescent="0.2">
      <c r="A3088" t="s">
        <v>4369</v>
      </c>
      <c r="B3088" t="s">
        <v>13</v>
      </c>
      <c r="C3088" t="s">
        <v>1</v>
      </c>
      <c r="D3088" t="s">
        <v>4370</v>
      </c>
      <c r="E3088" t="s">
        <v>4371</v>
      </c>
      <c r="F3088" t="s">
        <v>179</v>
      </c>
      <c r="G3088">
        <v>60</v>
      </c>
      <c r="H3088">
        <v>4</v>
      </c>
      <c r="I3088">
        <v>23</v>
      </c>
      <c r="J3088">
        <v>87</v>
      </c>
      <c r="K3088" s="482">
        <v>0.69</v>
      </c>
      <c r="L3088" s="482">
        <v>4.5999999999999999E-2</v>
      </c>
      <c r="M3088" s="482">
        <v>0.26400000000000001</v>
      </c>
    </row>
    <row r="3089" spans="1:13" x14ac:dyDescent="0.2">
      <c r="A3089" t="s">
        <v>4552</v>
      </c>
      <c r="B3089" t="s">
        <v>13</v>
      </c>
      <c r="C3089" t="s">
        <v>1</v>
      </c>
      <c r="D3089" t="s">
        <v>4553</v>
      </c>
      <c r="E3089" t="s">
        <v>4554</v>
      </c>
      <c r="F3089" t="s">
        <v>179</v>
      </c>
      <c r="G3089">
        <v>124</v>
      </c>
      <c r="H3089">
        <v>21</v>
      </c>
      <c r="I3089">
        <v>37</v>
      </c>
      <c r="J3089">
        <v>182</v>
      </c>
      <c r="K3089" s="482">
        <v>0.68100000000000005</v>
      </c>
      <c r="L3089" s="482">
        <v>0.115</v>
      </c>
      <c r="M3089" s="482">
        <v>0.20300000000000001</v>
      </c>
    </row>
    <row r="3090" spans="1:13" x14ac:dyDescent="0.2">
      <c r="A3090" t="s">
        <v>4557</v>
      </c>
      <c r="B3090" t="s">
        <v>13</v>
      </c>
      <c r="C3090" t="s">
        <v>1</v>
      </c>
      <c r="D3090" t="s">
        <v>4558</v>
      </c>
      <c r="E3090" t="s">
        <v>4559</v>
      </c>
      <c r="F3090" t="s">
        <v>179</v>
      </c>
      <c r="G3090">
        <v>47</v>
      </c>
      <c r="H3090">
        <v>6</v>
      </c>
      <c r="I3090">
        <v>12</v>
      </c>
      <c r="J3090">
        <v>65</v>
      </c>
      <c r="K3090" s="482">
        <v>0.72299999999999998</v>
      </c>
      <c r="L3090" s="482">
        <v>9.1999999999999998E-2</v>
      </c>
      <c r="M3090" s="482">
        <v>0.185</v>
      </c>
    </row>
    <row r="3091" spans="1:13" x14ac:dyDescent="0.2">
      <c r="A3091" t="s">
        <v>4362</v>
      </c>
      <c r="B3091" t="s">
        <v>13</v>
      </c>
      <c r="C3091" t="s">
        <v>1</v>
      </c>
      <c r="D3091" t="s">
        <v>3409</v>
      </c>
      <c r="E3091" t="s">
        <v>3410</v>
      </c>
      <c r="F3091" t="s">
        <v>179</v>
      </c>
      <c r="G3091">
        <v>69</v>
      </c>
      <c r="H3091">
        <v>10</v>
      </c>
      <c r="I3091">
        <v>26</v>
      </c>
      <c r="J3091">
        <v>105</v>
      </c>
      <c r="K3091" s="482">
        <v>0.65700000000000003</v>
      </c>
      <c r="L3091" s="482">
        <v>9.5000000000000001E-2</v>
      </c>
      <c r="M3091" s="482">
        <v>0.248</v>
      </c>
    </row>
    <row r="3092" spans="1:13" x14ac:dyDescent="0.2">
      <c r="A3092" t="s">
        <v>4272</v>
      </c>
      <c r="B3092" t="s">
        <v>13</v>
      </c>
      <c r="C3092" t="s">
        <v>1</v>
      </c>
      <c r="D3092" t="s">
        <v>3210</v>
      </c>
      <c r="E3092" t="s">
        <v>3211</v>
      </c>
      <c r="F3092" t="s">
        <v>179</v>
      </c>
      <c r="G3092">
        <v>5</v>
      </c>
      <c r="H3092">
        <v>3</v>
      </c>
      <c r="I3092">
        <v>1</v>
      </c>
      <c r="J3092">
        <v>9</v>
      </c>
      <c r="K3092" s="482">
        <v>0.55600000000000005</v>
      </c>
      <c r="L3092" s="482">
        <v>0.33300000000000002</v>
      </c>
      <c r="M3092" s="482">
        <v>0.111</v>
      </c>
    </row>
    <row r="3093" spans="1:13" x14ac:dyDescent="0.2">
      <c r="A3093" t="s">
        <v>4273</v>
      </c>
      <c r="B3093" t="s">
        <v>13</v>
      </c>
      <c r="C3093" t="s">
        <v>1</v>
      </c>
      <c r="D3093" t="s">
        <v>3213</v>
      </c>
      <c r="E3093" t="s">
        <v>3214</v>
      </c>
      <c r="F3093" t="s">
        <v>179</v>
      </c>
      <c r="G3093">
        <v>149</v>
      </c>
      <c r="H3093">
        <v>16</v>
      </c>
      <c r="I3093">
        <v>33</v>
      </c>
      <c r="J3093">
        <v>198</v>
      </c>
      <c r="K3093" s="482">
        <v>0.753</v>
      </c>
      <c r="L3093" s="482">
        <v>8.1000000000000003E-2</v>
      </c>
      <c r="M3093" s="482">
        <v>0.16700000000000001</v>
      </c>
    </row>
    <row r="3094" spans="1:13" x14ac:dyDescent="0.2">
      <c r="A3094" t="s">
        <v>4264</v>
      </c>
      <c r="B3094" t="s">
        <v>13</v>
      </c>
      <c r="C3094" t="s">
        <v>1</v>
      </c>
      <c r="D3094" t="s">
        <v>3198</v>
      </c>
      <c r="E3094" t="s">
        <v>3199</v>
      </c>
      <c r="F3094" t="s">
        <v>179</v>
      </c>
      <c r="G3094">
        <v>44</v>
      </c>
      <c r="H3094">
        <v>8</v>
      </c>
      <c r="I3094">
        <v>21</v>
      </c>
      <c r="J3094">
        <v>73</v>
      </c>
      <c r="K3094" s="482">
        <v>0.60299999999999998</v>
      </c>
      <c r="L3094" s="482">
        <v>0.11</v>
      </c>
      <c r="M3094" s="482">
        <v>0.28799999999999998</v>
      </c>
    </row>
    <row r="3095" spans="1:13" x14ac:dyDescent="0.2">
      <c r="A3095" t="s">
        <v>4332</v>
      </c>
      <c r="B3095" t="s">
        <v>13</v>
      </c>
      <c r="C3095" t="s">
        <v>1</v>
      </c>
      <c r="D3095" t="s">
        <v>3340</v>
      </c>
      <c r="E3095" t="s">
        <v>3341</v>
      </c>
      <c r="F3095" t="s">
        <v>179</v>
      </c>
      <c r="G3095">
        <v>115</v>
      </c>
      <c r="H3095">
        <v>19</v>
      </c>
      <c r="I3095">
        <v>26</v>
      </c>
      <c r="J3095">
        <v>160</v>
      </c>
      <c r="K3095" s="482">
        <v>0.71899999999999997</v>
      </c>
      <c r="L3095" s="482">
        <v>0.11899999999999999</v>
      </c>
      <c r="M3095" s="482">
        <v>0.16300000000000001</v>
      </c>
    </row>
    <row r="3096" spans="1:13" x14ac:dyDescent="0.2">
      <c r="A3096" t="s">
        <v>4266</v>
      </c>
      <c r="B3096" t="s">
        <v>13</v>
      </c>
      <c r="C3096" t="s">
        <v>1</v>
      </c>
      <c r="D3096" t="s">
        <v>4267</v>
      </c>
      <c r="E3096" t="s">
        <v>4268</v>
      </c>
      <c r="F3096" t="s">
        <v>179</v>
      </c>
      <c r="G3096">
        <v>55</v>
      </c>
      <c r="H3096">
        <v>7</v>
      </c>
      <c r="I3096">
        <v>7</v>
      </c>
      <c r="J3096">
        <v>69</v>
      </c>
      <c r="K3096" s="482">
        <v>0.79700000000000004</v>
      </c>
      <c r="L3096" s="482">
        <v>0.10100000000000001</v>
      </c>
      <c r="M3096" s="482">
        <v>0.10100000000000001</v>
      </c>
    </row>
    <row r="3097" spans="1:13" x14ac:dyDescent="0.2">
      <c r="A3097" t="s">
        <v>4333</v>
      </c>
      <c r="B3097" t="s">
        <v>13</v>
      </c>
      <c r="C3097" t="s">
        <v>1</v>
      </c>
      <c r="D3097" t="s">
        <v>4334</v>
      </c>
      <c r="E3097" t="s">
        <v>4335</v>
      </c>
      <c r="F3097" t="s">
        <v>179</v>
      </c>
      <c r="G3097">
        <v>29</v>
      </c>
      <c r="H3097">
        <v>2</v>
      </c>
      <c r="I3097">
        <v>7</v>
      </c>
      <c r="J3097">
        <v>38</v>
      </c>
      <c r="K3097" s="482">
        <v>0.76300000000000001</v>
      </c>
      <c r="L3097" s="482">
        <v>5.2999999999999999E-2</v>
      </c>
      <c r="M3097" s="482">
        <v>0.184</v>
      </c>
    </row>
    <row r="3098" spans="1:13" x14ac:dyDescent="0.2">
      <c r="A3098" t="s">
        <v>4337</v>
      </c>
      <c r="B3098" t="s">
        <v>13</v>
      </c>
      <c r="C3098" t="s">
        <v>1</v>
      </c>
      <c r="D3098" t="s">
        <v>3343</v>
      </c>
      <c r="E3098" t="s">
        <v>3344</v>
      </c>
      <c r="F3098" t="s">
        <v>179</v>
      </c>
      <c r="G3098">
        <v>44</v>
      </c>
      <c r="H3098">
        <v>5</v>
      </c>
      <c r="I3098">
        <v>17</v>
      </c>
      <c r="J3098">
        <v>66</v>
      </c>
      <c r="K3098" s="482">
        <v>0.66700000000000004</v>
      </c>
      <c r="L3098" s="482">
        <v>7.5999999999999998E-2</v>
      </c>
      <c r="M3098" s="482">
        <v>0.25800000000000001</v>
      </c>
    </row>
    <row r="3099" spans="1:13" x14ac:dyDescent="0.2">
      <c r="A3099" t="s">
        <v>4338</v>
      </c>
      <c r="B3099" t="s">
        <v>13</v>
      </c>
      <c r="C3099" t="s">
        <v>1</v>
      </c>
      <c r="D3099" t="s">
        <v>4339</v>
      </c>
      <c r="E3099" t="s">
        <v>4340</v>
      </c>
      <c r="F3099" t="s">
        <v>179</v>
      </c>
      <c r="G3099">
        <v>21</v>
      </c>
      <c r="H3099">
        <v>5</v>
      </c>
      <c r="I3099">
        <v>9</v>
      </c>
      <c r="J3099">
        <v>35</v>
      </c>
      <c r="K3099" s="482">
        <v>0.6</v>
      </c>
      <c r="L3099" s="482">
        <v>0.14299999999999999</v>
      </c>
      <c r="M3099" s="482">
        <v>0.25700000000000001</v>
      </c>
    </row>
    <row r="3100" spans="1:13" x14ac:dyDescent="0.2">
      <c r="A3100" t="s">
        <v>4341</v>
      </c>
      <c r="B3100" t="s">
        <v>13</v>
      </c>
      <c r="C3100" t="s">
        <v>1</v>
      </c>
      <c r="D3100" t="s">
        <v>4342</v>
      </c>
      <c r="E3100" t="s">
        <v>4343</v>
      </c>
      <c r="F3100" t="s">
        <v>179</v>
      </c>
      <c r="G3100">
        <v>14</v>
      </c>
      <c r="H3100">
        <v>5</v>
      </c>
      <c r="I3100">
        <v>5</v>
      </c>
      <c r="J3100">
        <v>24</v>
      </c>
      <c r="K3100" s="482">
        <v>0.58299999999999996</v>
      </c>
      <c r="L3100" s="482">
        <v>0.20799999999999999</v>
      </c>
      <c r="M3100" s="482">
        <v>0.20799999999999999</v>
      </c>
    </row>
    <row r="3101" spans="1:13" x14ac:dyDescent="0.2">
      <c r="A3101" t="s">
        <v>4355</v>
      </c>
      <c r="B3101" t="s">
        <v>13</v>
      </c>
      <c r="C3101" t="s">
        <v>1</v>
      </c>
      <c r="D3101" t="s">
        <v>3385</v>
      </c>
      <c r="E3101" t="s">
        <v>3386</v>
      </c>
      <c r="F3101" t="s">
        <v>179</v>
      </c>
      <c r="G3101">
        <v>78</v>
      </c>
      <c r="H3101">
        <v>14</v>
      </c>
      <c r="I3101">
        <v>38</v>
      </c>
      <c r="J3101">
        <v>130</v>
      </c>
      <c r="K3101" s="482">
        <v>0.6</v>
      </c>
      <c r="L3101" s="482">
        <v>0.108</v>
      </c>
      <c r="M3101" s="482">
        <v>0.29199999999999998</v>
      </c>
    </row>
    <row r="3102" spans="1:13" x14ac:dyDescent="0.2">
      <c r="A3102" t="s">
        <v>4356</v>
      </c>
      <c r="B3102" t="s">
        <v>13</v>
      </c>
      <c r="C3102" t="s">
        <v>1</v>
      </c>
      <c r="D3102" t="s">
        <v>3388</v>
      </c>
      <c r="E3102" t="s">
        <v>3389</v>
      </c>
      <c r="F3102" t="s">
        <v>179</v>
      </c>
      <c r="G3102">
        <v>72</v>
      </c>
      <c r="H3102">
        <v>17</v>
      </c>
      <c r="I3102">
        <v>31</v>
      </c>
      <c r="J3102">
        <v>120</v>
      </c>
      <c r="K3102" s="482">
        <v>0.6</v>
      </c>
      <c r="L3102" s="482">
        <v>0.14199999999999999</v>
      </c>
      <c r="M3102" s="482">
        <v>0.25800000000000001</v>
      </c>
    </row>
    <row r="3103" spans="1:13" x14ac:dyDescent="0.2">
      <c r="A3103" t="s">
        <v>4357</v>
      </c>
      <c r="B3103" t="s">
        <v>13</v>
      </c>
      <c r="C3103" t="s">
        <v>1</v>
      </c>
      <c r="D3103" t="s">
        <v>3391</v>
      </c>
      <c r="E3103" t="s">
        <v>3392</v>
      </c>
      <c r="F3103" t="s">
        <v>179</v>
      </c>
      <c r="G3103">
        <v>22</v>
      </c>
      <c r="H3103">
        <v>4</v>
      </c>
      <c r="I3103">
        <v>5</v>
      </c>
      <c r="J3103">
        <v>31</v>
      </c>
      <c r="K3103" s="482">
        <v>0.71</v>
      </c>
      <c r="L3103" s="482">
        <v>0.129</v>
      </c>
      <c r="M3103" s="482">
        <v>0.161</v>
      </c>
    </row>
    <row r="3104" spans="1:13" x14ac:dyDescent="0.2">
      <c r="A3104" t="s">
        <v>4358</v>
      </c>
      <c r="B3104" t="s">
        <v>13</v>
      </c>
      <c r="C3104" t="s">
        <v>1</v>
      </c>
      <c r="D3104" t="s">
        <v>3394</v>
      </c>
      <c r="E3104" t="s">
        <v>3395</v>
      </c>
      <c r="F3104" t="s">
        <v>179</v>
      </c>
      <c r="G3104">
        <v>106</v>
      </c>
      <c r="H3104">
        <v>13</v>
      </c>
      <c r="I3104">
        <v>29</v>
      </c>
      <c r="J3104">
        <v>148</v>
      </c>
      <c r="K3104" s="482">
        <v>0.71599999999999997</v>
      </c>
      <c r="L3104" s="482">
        <v>8.7999999999999995E-2</v>
      </c>
      <c r="M3104" s="482">
        <v>0.19600000000000001</v>
      </c>
    </row>
    <row r="3105" spans="1:13" x14ac:dyDescent="0.2">
      <c r="A3105" t="s">
        <v>4359</v>
      </c>
      <c r="B3105" t="s">
        <v>13</v>
      </c>
      <c r="C3105" t="s">
        <v>1</v>
      </c>
      <c r="D3105" t="s">
        <v>3397</v>
      </c>
      <c r="E3105" t="s">
        <v>3398</v>
      </c>
      <c r="F3105" t="s">
        <v>179</v>
      </c>
      <c r="G3105">
        <v>92</v>
      </c>
      <c r="H3105">
        <v>7</v>
      </c>
      <c r="I3105">
        <v>17</v>
      </c>
      <c r="J3105">
        <v>116</v>
      </c>
      <c r="K3105" s="482">
        <v>0.79300000000000004</v>
      </c>
      <c r="L3105" s="482">
        <v>0.06</v>
      </c>
      <c r="M3105" s="482">
        <v>0.14699999999999999</v>
      </c>
    </row>
    <row r="3106" spans="1:13" x14ac:dyDescent="0.2">
      <c r="A3106" t="s">
        <v>4360</v>
      </c>
      <c r="B3106" t="s">
        <v>13</v>
      </c>
      <c r="C3106" t="s">
        <v>1</v>
      </c>
      <c r="D3106" t="s">
        <v>3400</v>
      </c>
      <c r="E3106" t="s">
        <v>3401</v>
      </c>
      <c r="F3106" t="s">
        <v>179</v>
      </c>
      <c r="G3106">
        <v>49</v>
      </c>
      <c r="H3106">
        <v>10</v>
      </c>
      <c r="I3106">
        <v>18</v>
      </c>
      <c r="J3106">
        <v>77</v>
      </c>
      <c r="K3106" s="482">
        <v>0.63600000000000001</v>
      </c>
      <c r="L3106" s="482">
        <v>0.13</v>
      </c>
      <c r="M3106" s="482">
        <v>0.23400000000000001</v>
      </c>
    </row>
    <row r="3107" spans="1:13" x14ac:dyDescent="0.2">
      <c r="A3107" t="s">
        <v>4289</v>
      </c>
      <c r="B3107" t="s">
        <v>13</v>
      </c>
      <c r="C3107" t="s">
        <v>1</v>
      </c>
      <c r="D3107" t="s">
        <v>3240</v>
      </c>
      <c r="E3107" t="s">
        <v>3241</v>
      </c>
      <c r="F3107" t="s">
        <v>179</v>
      </c>
      <c r="G3107">
        <v>5</v>
      </c>
      <c r="H3107">
        <v>0</v>
      </c>
      <c r="I3107">
        <v>1</v>
      </c>
      <c r="J3107">
        <v>6</v>
      </c>
      <c r="K3107" s="482">
        <v>0.83299999999999996</v>
      </c>
      <c r="L3107" s="482">
        <v>0</v>
      </c>
      <c r="M3107" s="482">
        <v>0.16700000000000001</v>
      </c>
    </row>
    <row r="3108" spans="1:13" x14ac:dyDescent="0.2">
      <c r="A3108" t="s">
        <v>4290</v>
      </c>
      <c r="B3108" t="s">
        <v>13</v>
      </c>
      <c r="C3108" t="s">
        <v>1</v>
      </c>
      <c r="D3108" t="s">
        <v>3243</v>
      </c>
      <c r="E3108" t="s">
        <v>3244</v>
      </c>
      <c r="F3108" t="s">
        <v>179</v>
      </c>
      <c r="G3108">
        <v>52</v>
      </c>
      <c r="H3108">
        <v>10</v>
      </c>
      <c r="I3108">
        <v>18</v>
      </c>
      <c r="J3108">
        <v>80</v>
      </c>
      <c r="K3108" s="482">
        <v>0.65</v>
      </c>
      <c r="L3108" s="482">
        <v>0.125</v>
      </c>
      <c r="M3108" s="482">
        <v>0.22500000000000001</v>
      </c>
    </row>
    <row r="3109" spans="1:13" x14ac:dyDescent="0.2">
      <c r="A3109" t="s">
        <v>4291</v>
      </c>
      <c r="B3109" t="s">
        <v>13</v>
      </c>
      <c r="C3109" t="s">
        <v>1</v>
      </c>
      <c r="D3109" t="s">
        <v>3246</v>
      </c>
      <c r="E3109" t="s">
        <v>3247</v>
      </c>
      <c r="F3109" t="s">
        <v>179</v>
      </c>
      <c r="G3109">
        <v>65</v>
      </c>
      <c r="H3109">
        <v>10</v>
      </c>
      <c r="I3109">
        <v>16</v>
      </c>
      <c r="J3109">
        <v>91</v>
      </c>
      <c r="K3109" s="482">
        <v>0.71399999999999997</v>
      </c>
      <c r="L3109" s="482">
        <v>0.11</v>
      </c>
      <c r="M3109" s="482">
        <v>0.17599999999999999</v>
      </c>
    </row>
    <row r="3110" spans="1:13" x14ac:dyDescent="0.2">
      <c r="A3110" t="s">
        <v>4292</v>
      </c>
      <c r="B3110" t="s">
        <v>13</v>
      </c>
      <c r="C3110" t="s">
        <v>1</v>
      </c>
      <c r="D3110" t="s">
        <v>3249</v>
      </c>
      <c r="E3110" t="s">
        <v>3250</v>
      </c>
      <c r="F3110" t="s">
        <v>179</v>
      </c>
      <c r="G3110">
        <v>36</v>
      </c>
      <c r="H3110">
        <v>9</v>
      </c>
      <c r="I3110">
        <v>11</v>
      </c>
      <c r="J3110">
        <v>56</v>
      </c>
      <c r="K3110" s="482">
        <v>0.64300000000000002</v>
      </c>
      <c r="L3110" s="482">
        <v>0.161</v>
      </c>
      <c r="M3110" s="482">
        <v>0.19600000000000001</v>
      </c>
    </row>
    <row r="3111" spans="1:13" x14ac:dyDescent="0.2">
      <c r="A3111" t="s">
        <v>4231</v>
      </c>
      <c r="B3111" t="s">
        <v>13</v>
      </c>
      <c r="C3111" t="s">
        <v>1</v>
      </c>
      <c r="D3111" t="s">
        <v>3109</v>
      </c>
      <c r="E3111" t="s">
        <v>3110</v>
      </c>
      <c r="F3111" t="s">
        <v>179</v>
      </c>
      <c r="G3111">
        <v>132</v>
      </c>
      <c r="H3111">
        <v>18</v>
      </c>
      <c r="I3111">
        <v>28</v>
      </c>
      <c r="J3111">
        <v>178</v>
      </c>
      <c r="K3111" s="482">
        <v>0.74199999999999999</v>
      </c>
      <c r="L3111" s="482">
        <v>0.10100000000000001</v>
      </c>
      <c r="M3111" s="482">
        <v>0.157</v>
      </c>
    </row>
    <row r="3112" spans="1:13" x14ac:dyDescent="0.2">
      <c r="A3112" t="s">
        <v>4228</v>
      </c>
      <c r="B3112" t="s">
        <v>13</v>
      </c>
      <c r="C3112" t="s">
        <v>1</v>
      </c>
      <c r="D3112" t="s">
        <v>4229</v>
      </c>
      <c r="E3112" t="s">
        <v>4230</v>
      </c>
      <c r="F3112" t="s">
        <v>179</v>
      </c>
      <c r="G3112">
        <v>171</v>
      </c>
      <c r="H3112">
        <v>26</v>
      </c>
      <c r="I3112">
        <v>56</v>
      </c>
      <c r="J3112">
        <v>253</v>
      </c>
      <c r="K3112" s="482">
        <v>0.67600000000000005</v>
      </c>
      <c r="L3112" s="482">
        <v>0.10299999999999999</v>
      </c>
      <c r="M3112" s="482">
        <v>0.221</v>
      </c>
    </row>
    <row r="3113" spans="1:13" x14ac:dyDescent="0.2">
      <c r="A3113" t="s">
        <v>4227</v>
      </c>
      <c r="B3113" t="s">
        <v>13</v>
      </c>
      <c r="C3113" t="s">
        <v>1</v>
      </c>
      <c r="D3113" t="s">
        <v>3103</v>
      </c>
      <c r="E3113" t="s">
        <v>3104</v>
      </c>
      <c r="F3113" t="s">
        <v>179</v>
      </c>
      <c r="G3113">
        <v>32</v>
      </c>
      <c r="H3113">
        <v>6</v>
      </c>
      <c r="I3113">
        <v>15</v>
      </c>
      <c r="J3113">
        <v>53</v>
      </c>
      <c r="K3113" s="482">
        <v>0.60399999999999998</v>
      </c>
      <c r="L3113" s="482">
        <v>0.113</v>
      </c>
      <c r="M3113" s="482">
        <v>0.28299999999999997</v>
      </c>
    </row>
    <row r="3114" spans="1:13" x14ac:dyDescent="0.2">
      <c r="A3114" t="s">
        <v>4241</v>
      </c>
      <c r="B3114" t="s">
        <v>13</v>
      </c>
      <c r="C3114" t="s">
        <v>1</v>
      </c>
      <c r="D3114" t="s">
        <v>3148</v>
      </c>
      <c r="E3114" t="s">
        <v>3149</v>
      </c>
      <c r="F3114" t="s">
        <v>179</v>
      </c>
      <c r="G3114">
        <v>40</v>
      </c>
      <c r="H3114">
        <v>10</v>
      </c>
      <c r="I3114">
        <v>24</v>
      </c>
      <c r="J3114">
        <v>74</v>
      </c>
      <c r="K3114" s="482">
        <v>0.54100000000000004</v>
      </c>
      <c r="L3114" s="482">
        <v>0.13500000000000001</v>
      </c>
      <c r="M3114" s="482">
        <v>0.32400000000000001</v>
      </c>
    </row>
    <row r="3115" spans="1:13" x14ac:dyDescent="0.2">
      <c r="A3115" t="s">
        <v>4242</v>
      </c>
      <c r="B3115" t="s">
        <v>13</v>
      </c>
      <c r="C3115" t="s">
        <v>1</v>
      </c>
      <c r="D3115" t="s">
        <v>3151</v>
      </c>
      <c r="E3115" t="s">
        <v>3152</v>
      </c>
      <c r="F3115" t="s">
        <v>179</v>
      </c>
      <c r="G3115">
        <v>46</v>
      </c>
      <c r="H3115">
        <v>9</v>
      </c>
      <c r="I3115">
        <v>12</v>
      </c>
      <c r="J3115">
        <v>67</v>
      </c>
      <c r="K3115" s="482">
        <v>0.68700000000000006</v>
      </c>
      <c r="L3115" s="482">
        <v>0.13400000000000001</v>
      </c>
      <c r="M3115" s="482">
        <v>0.17899999999999999</v>
      </c>
    </row>
    <row r="3116" spans="1:13" x14ac:dyDescent="0.2">
      <c r="A3116" t="s">
        <v>4233</v>
      </c>
      <c r="B3116" t="s">
        <v>13</v>
      </c>
      <c r="C3116" t="s">
        <v>1</v>
      </c>
      <c r="D3116" t="s">
        <v>3118</v>
      </c>
      <c r="E3116" t="s">
        <v>3119</v>
      </c>
      <c r="F3116" t="s">
        <v>179</v>
      </c>
      <c r="G3116">
        <v>23</v>
      </c>
      <c r="H3116">
        <v>2</v>
      </c>
      <c r="I3116">
        <v>1</v>
      </c>
      <c r="J3116">
        <v>26</v>
      </c>
      <c r="K3116" s="482">
        <v>0.88500000000000001</v>
      </c>
      <c r="L3116" s="482">
        <v>7.6999999999999999E-2</v>
      </c>
      <c r="M3116" s="482">
        <v>3.7999999999999999E-2</v>
      </c>
    </row>
    <row r="3117" spans="1:13" x14ac:dyDescent="0.2">
      <c r="A3117" t="s">
        <v>4234</v>
      </c>
      <c r="B3117" t="s">
        <v>13</v>
      </c>
      <c r="C3117" t="s">
        <v>1</v>
      </c>
      <c r="D3117" t="s">
        <v>3121</v>
      </c>
      <c r="E3117" t="s">
        <v>3122</v>
      </c>
      <c r="F3117" t="s">
        <v>179</v>
      </c>
      <c r="G3117">
        <v>123</v>
      </c>
      <c r="H3117">
        <v>29</v>
      </c>
      <c r="I3117">
        <v>73</v>
      </c>
      <c r="J3117">
        <v>225</v>
      </c>
      <c r="K3117" s="482">
        <v>0.54700000000000004</v>
      </c>
      <c r="L3117" s="482">
        <v>0.129</v>
      </c>
      <c r="M3117" s="482">
        <v>0.32400000000000001</v>
      </c>
    </row>
    <row r="3118" spans="1:13" x14ac:dyDescent="0.2">
      <c r="A3118" t="s">
        <v>4232</v>
      </c>
      <c r="B3118" t="s">
        <v>13</v>
      </c>
      <c r="C3118" t="s">
        <v>1</v>
      </c>
      <c r="D3118" t="s">
        <v>3115</v>
      </c>
      <c r="E3118" t="s">
        <v>3116</v>
      </c>
      <c r="F3118" t="s">
        <v>179</v>
      </c>
      <c r="G3118">
        <v>104</v>
      </c>
      <c r="H3118">
        <v>22</v>
      </c>
      <c r="I3118">
        <v>29</v>
      </c>
      <c r="J3118">
        <v>155</v>
      </c>
      <c r="K3118" s="482">
        <v>0.67100000000000004</v>
      </c>
      <c r="L3118" s="482">
        <v>0.14199999999999999</v>
      </c>
      <c r="M3118" s="482">
        <v>0.187</v>
      </c>
    </row>
    <row r="3119" spans="1:13" x14ac:dyDescent="0.2">
      <c r="A3119" t="s">
        <v>4221</v>
      </c>
      <c r="B3119" t="s">
        <v>13</v>
      </c>
      <c r="C3119" t="s">
        <v>1</v>
      </c>
      <c r="D3119" t="s">
        <v>4222</v>
      </c>
      <c r="E3119" t="s">
        <v>4223</v>
      </c>
      <c r="F3119" t="s">
        <v>179</v>
      </c>
      <c r="G3119">
        <v>407</v>
      </c>
      <c r="H3119">
        <v>76</v>
      </c>
      <c r="I3119">
        <v>156</v>
      </c>
      <c r="J3119">
        <v>639</v>
      </c>
      <c r="K3119" s="482">
        <v>0.63700000000000001</v>
      </c>
      <c r="L3119" s="482">
        <v>0.11899999999999999</v>
      </c>
      <c r="M3119" s="482">
        <v>0.24399999999999999</v>
      </c>
    </row>
    <row r="3120" spans="1:13" x14ac:dyDescent="0.2">
      <c r="A3120" t="s">
        <v>4499</v>
      </c>
      <c r="B3120" t="s">
        <v>13</v>
      </c>
      <c r="C3120" t="s">
        <v>1</v>
      </c>
      <c r="D3120" t="s">
        <v>3748</v>
      </c>
      <c r="E3120" t="s">
        <v>3749</v>
      </c>
      <c r="F3120" t="s">
        <v>179</v>
      </c>
      <c r="G3120">
        <v>126</v>
      </c>
      <c r="H3120">
        <v>21</v>
      </c>
      <c r="I3120">
        <v>50</v>
      </c>
      <c r="J3120">
        <v>197</v>
      </c>
      <c r="K3120" s="482">
        <v>0.64</v>
      </c>
      <c r="L3120" s="482">
        <v>0.107</v>
      </c>
      <c r="M3120" s="482">
        <v>0.254</v>
      </c>
    </row>
    <row r="3121" spans="1:13" x14ac:dyDescent="0.2">
      <c r="A3121" t="s">
        <v>4468</v>
      </c>
      <c r="B3121" t="s">
        <v>13</v>
      </c>
      <c r="C3121" t="s">
        <v>1</v>
      </c>
      <c r="D3121" t="s">
        <v>3678</v>
      </c>
      <c r="E3121" t="s">
        <v>3679</v>
      </c>
      <c r="F3121" t="s">
        <v>179</v>
      </c>
      <c r="G3121">
        <v>181</v>
      </c>
      <c r="H3121">
        <v>18</v>
      </c>
      <c r="I3121">
        <v>56</v>
      </c>
      <c r="J3121">
        <v>255</v>
      </c>
      <c r="K3121" s="482">
        <v>0.71</v>
      </c>
      <c r="L3121" s="482">
        <v>7.0999999999999994E-2</v>
      </c>
      <c r="M3121" s="482">
        <v>0.22</v>
      </c>
    </row>
    <row r="3122" spans="1:13" x14ac:dyDescent="0.2">
      <c r="A3122" t="s">
        <v>4469</v>
      </c>
      <c r="B3122" t="s">
        <v>13</v>
      </c>
      <c r="C3122" t="s">
        <v>1</v>
      </c>
      <c r="D3122" t="s">
        <v>3681</v>
      </c>
      <c r="E3122" t="s">
        <v>3682</v>
      </c>
      <c r="F3122" t="s">
        <v>179</v>
      </c>
      <c r="G3122">
        <v>160</v>
      </c>
      <c r="H3122">
        <v>21</v>
      </c>
      <c r="I3122">
        <v>52</v>
      </c>
      <c r="J3122">
        <v>233</v>
      </c>
      <c r="K3122" s="482">
        <v>0.68700000000000006</v>
      </c>
      <c r="L3122" s="482">
        <v>0.09</v>
      </c>
      <c r="M3122" s="482">
        <v>0.223</v>
      </c>
    </row>
    <row r="3123" spans="1:13" x14ac:dyDescent="0.2">
      <c r="A3123" t="s">
        <v>4500</v>
      </c>
      <c r="B3123" t="s">
        <v>13</v>
      </c>
      <c r="C3123" t="s">
        <v>1</v>
      </c>
      <c r="D3123" t="s">
        <v>3751</v>
      </c>
      <c r="E3123" t="s">
        <v>3752</v>
      </c>
      <c r="F3123" t="s">
        <v>179</v>
      </c>
      <c r="G3123">
        <v>107</v>
      </c>
      <c r="H3123">
        <v>23</v>
      </c>
      <c r="I3123">
        <v>52</v>
      </c>
      <c r="J3123">
        <v>182</v>
      </c>
      <c r="K3123" s="482">
        <v>0.58799999999999997</v>
      </c>
      <c r="L3123" s="482">
        <v>0.126</v>
      </c>
      <c r="M3123" s="482">
        <v>0.28599999999999998</v>
      </c>
    </row>
    <row r="3124" spans="1:13" x14ac:dyDescent="0.2">
      <c r="A3124" t="s">
        <v>4331</v>
      </c>
      <c r="B3124" t="s">
        <v>13</v>
      </c>
      <c r="C3124" t="s">
        <v>1</v>
      </c>
      <c r="D3124" t="s">
        <v>3334</v>
      </c>
      <c r="E3124" t="s">
        <v>3335</v>
      </c>
      <c r="F3124" t="s">
        <v>179</v>
      </c>
      <c r="G3124">
        <v>15</v>
      </c>
      <c r="H3124">
        <v>2</v>
      </c>
      <c r="I3124">
        <v>0</v>
      </c>
      <c r="J3124">
        <v>17</v>
      </c>
      <c r="K3124" s="482">
        <v>0.88200000000000001</v>
      </c>
      <c r="L3124" s="482">
        <v>0.11799999999999999</v>
      </c>
      <c r="M3124" s="482">
        <v>0</v>
      </c>
    </row>
    <row r="3125" spans="1:13" x14ac:dyDescent="0.2">
      <c r="A3125" t="s">
        <v>4336</v>
      </c>
      <c r="B3125" t="s">
        <v>13</v>
      </c>
      <c r="C3125" t="s">
        <v>1</v>
      </c>
      <c r="D3125" t="s">
        <v>3337</v>
      </c>
      <c r="E3125" t="s">
        <v>3338</v>
      </c>
      <c r="F3125" t="s">
        <v>179</v>
      </c>
      <c r="G3125">
        <v>21</v>
      </c>
      <c r="H3125">
        <v>2</v>
      </c>
      <c r="I3125">
        <v>4</v>
      </c>
      <c r="J3125">
        <v>27</v>
      </c>
      <c r="K3125" s="482">
        <v>0.77800000000000002</v>
      </c>
      <c r="L3125" s="482">
        <v>7.3999999999999996E-2</v>
      </c>
      <c r="M3125" s="482">
        <v>0.14799999999999999</v>
      </c>
    </row>
    <row r="3126" spans="1:13" x14ac:dyDescent="0.2">
      <c r="A3126" t="s">
        <v>4344</v>
      </c>
      <c r="B3126" t="s">
        <v>13</v>
      </c>
      <c r="C3126" t="s">
        <v>1</v>
      </c>
      <c r="D3126" t="s">
        <v>3346</v>
      </c>
      <c r="E3126" t="s">
        <v>3347</v>
      </c>
      <c r="F3126" t="s">
        <v>179</v>
      </c>
      <c r="G3126">
        <v>28</v>
      </c>
      <c r="H3126">
        <v>6</v>
      </c>
      <c r="I3126">
        <v>8</v>
      </c>
      <c r="J3126">
        <v>42</v>
      </c>
      <c r="K3126" s="482">
        <v>0.66700000000000004</v>
      </c>
      <c r="L3126" s="482">
        <v>0.14299999999999999</v>
      </c>
      <c r="M3126" s="482">
        <v>0.19</v>
      </c>
    </row>
    <row r="3127" spans="1:13" x14ac:dyDescent="0.2">
      <c r="A3127" t="s">
        <v>4345</v>
      </c>
      <c r="B3127" t="s">
        <v>13</v>
      </c>
      <c r="C3127" t="s">
        <v>1</v>
      </c>
      <c r="D3127" t="s">
        <v>3349</v>
      </c>
      <c r="E3127" t="s">
        <v>3350</v>
      </c>
      <c r="F3127" t="s">
        <v>179</v>
      </c>
      <c r="G3127">
        <v>20</v>
      </c>
      <c r="H3127">
        <v>5</v>
      </c>
      <c r="I3127">
        <v>13</v>
      </c>
      <c r="J3127">
        <v>38</v>
      </c>
      <c r="K3127" s="482">
        <v>0.52600000000000002</v>
      </c>
      <c r="L3127" s="482">
        <v>0.13200000000000001</v>
      </c>
      <c r="M3127" s="482">
        <v>0.34200000000000003</v>
      </c>
    </row>
    <row r="3128" spans="1:13" x14ac:dyDescent="0.2">
      <c r="A3128" t="s">
        <v>4346</v>
      </c>
      <c r="B3128" t="s">
        <v>13</v>
      </c>
      <c r="C3128" t="s">
        <v>1</v>
      </c>
      <c r="D3128" t="s">
        <v>3352</v>
      </c>
      <c r="E3128" t="s">
        <v>3353</v>
      </c>
      <c r="F3128" t="s">
        <v>179</v>
      </c>
      <c r="G3128">
        <v>50</v>
      </c>
      <c r="H3128">
        <v>4</v>
      </c>
      <c r="I3128">
        <v>19</v>
      </c>
      <c r="J3128">
        <v>73</v>
      </c>
      <c r="K3128" s="482">
        <v>0.68500000000000005</v>
      </c>
      <c r="L3128" s="482">
        <v>5.5E-2</v>
      </c>
      <c r="M3128" s="482">
        <v>0.26</v>
      </c>
    </row>
    <row r="3129" spans="1:13" x14ac:dyDescent="0.2">
      <c r="A3129" t="s">
        <v>4347</v>
      </c>
      <c r="B3129" t="s">
        <v>13</v>
      </c>
      <c r="C3129" t="s">
        <v>1</v>
      </c>
      <c r="D3129" t="s">
        <v>3355</v>
      </c>
      <c r="E3129" t="s">
        <v>3356</v>
      </c>
      <c r="F3129" t="s">
        <v>179</v>
      </c>
      <c r="G3129">
        <v>36</v>
      </c>
      <c r="H3129">
        <v>8</v>
      </c>
      <c r="I3129">
        <v>20</v>
      </c>
      <c r="J3129">
        <v>64</v>
      </c>
      <c r="K3129" s="482">
        <v>0.56299999999999994</v>
      </c>
      <c r="L3129" s="482">
        <v>0.125</v>
      </c>
      <c r="M3129" s="482">
        <v>0.313</v>
      </c>
    </row>
    <row r="3130" spans="1:13" x14ac:dyDescent="0.2">
      <c r="A3130" t="s">
        <v>4348</v>
      </c>
      <c r="B3130" t="s">
        <v>13</v>
      </c>
      <c r="C3130" t="s">
        <v>1</v>
      </c>
      <c r="D3130" t="s">
        <v>3358</v>
      </c>
      <c r="E3130" t="s">
        <v>3359</v>
      </c>
      <c r="F3130" t="s">
        <v>179</v>
      </c>
      <c r="G3130">
        <v>56</v>
      </c>
      <c r="H3130">
        <v>9</v>
      </c>
      <c r="I3130">
        <v>13</v>
      </c>
      <c r="J3130">
        <v>78</v>
      </c>
      <c r="K3130" s="482">
        <v>0.71799999999999997</v>
      </c>
      <c r="L3130" s="482">
        <v>0.115</v>
      </c>
      <c r="M3130" s="482">
        <v>0.16700000000000001</v>
      </c>
    </row>
    <row r="3131" spans="1:13" x14ac:dyDescent="0.2">
      <c r="A3131" t="s">
        <v>4330</v>
      </c>
      <c r="B3131" t="s">
        <v>13</v>
      </c>
      <c r="C3131" t="s">
        <v>1</v>
      </c>
      <c r="D3131" t="s">
        <v>3331</v>
      </c>
      <c r="E3131" t="s">
        <v>3332</v>
      </c>
      <c r="F3131" t="s">
        <v>179</v>
      </c>
      <c r="G3131">
        <v>27</v>
      </c>
      <c r="H3131">
        <v>0</v>
      </c>
      <c r="I3131">
        <v>6</v>
      </c>
      <c r="J3131">
        <v>33</v>
      </c>
      <c r="K3131" s="482">
        <v>0.81799999999999995</v>
      </c>
      <c r="L3131" s="482">
        <v>0</v>
      </c>
      <c r="M3131" s="482">
        <v>0.182</v>
      </c>
    </row>
    <row r="3132" spans="1:13" x14ac:dyDescent="0.2">
      <c r="A3132" t="s">
        <v>4349</v>
      </c>
      <c r="B3132" t="s">
        <v>13</v>
      </c>
      <c r="C3132" t="s">
        <v>1</v>
      </c>
      <c r="D3132" t="s">
        <v>3361</v>
      </c>
      <c r="E3132" t="s">
        <v>3362</v>
      </c>
      <c r="F3132" t="s">
        <v>179</v>
      </c>
      <c r="G3132">
        <v>54</v>
      </c>
      <c r="H3132">
        <v>12</v>
      </c>
      <c r="I3132">
        <v>16</v>
      </c>
      <c r="J3132">
        <v>82</v>
      </c>
      <c r="K3132" s="482">
        <v>0.65900000000000003</v>
      </c>
      <c r="L3132" s="482">
        <v>0.14599999999999999</v>
      </c>
      <c r="M3132" s="482">
        <v>0.19500000000000001</v>
      </c>
    </row>
    <row r="3133" spans="1:13" x14ac:dyDescent="0.2">
      <c r="A3133" t="s">
        <v>4350</v>
      </c>
      <c r="B3133" t="s">
        <v>13</v>
      </c>
      <c r="C3133" t="s">
        <v>1</v>
      </c>
      <c r="D3133" t="s">
        <v>3364</v>
      </c>
      <c r="E3133" t="s">
        <v>3365</v>
      </c>
      <c r="F3133" t="s">
        <v>179</v>
      </c>
      <c r="G3133" t="s">
        <v>53</v>
      </c>
      <c r="H3133">
        <v>0</v>
      </c>
      <c r="I3133">
        <v>0</v>
      </c>
      <c r="J3133" t="s">
        <v>53</v>
      </c>
      <c r="K3133" t="s">
        <v>53</v>
      </c>
      <c r="L3133" t="s">
        <v>53</v>
      </c>
      <c r="M3133" t="s">
        <v>53</v>
      </c>
    </row>
    <row r="3134" spans="1:13" x14ac:dyDescent="0.2">
      <c r="A3134" t="s">
        <v>4351</v>
      </c>
      <c r="B3134" t="s">
        <v>13</v>
      </c>
      <c r="C3134" t="s">
        <v>1</v>
      </c>
      <c r="D3134" t="s">
        <v>3367</v>
      </c>
      <c r="E3134" t="s">
        <v>3368</v>
      </c>
      <c r="F3134" t="s">
        <v>179</v>
      </c>
      <c r="G3134">
        <v>111</v>
      </c>
      <c r="H3134">
        <v>29</v>
      </c>
      <c r="I3134">
        <v>55</v>
      </c>
      <c r="J3134">
        <v>195</v>
      </c>
      <c r="K3134" s="482">
        <v>0.56899999999999995</v>
      </c>
      <c r="L3134" s="482">
        <v>0.14899999999999999</v>
      </c>
      <c r="M3134" s="482">
        <v>0.28199999999999997</v>
      </c>
    </row>
    <row r="3135" spans="1:13" x14ac:dyDescent="0.2">
      <c r="A3135" t="s">
        <v>4352</v>
      </c>
      <c r="B3135" t="s">
        <v>13</v>
      </c>
      <c r="C3135" t="s">
        <v>1</v>
      </c>
      <c r="D3135" t="s">
        <v>3370</v>
      </c>
      <c r="E3135" t="s">
        <v>3371</v>
      </c>
      <c r="F3135" t="s">
        <v>179</v>
      </c>
      <c r="G3135">
        <v>99</v>
      </c>
      <c r="H3135">
        <v>18</v>
      </c>
      <c r="I3135">
        <v>31</v>
      </c>
      <c r="J3135">
        <v>148</v>
      </c>
      <c r="K3135" s="482">
        <v>0.66900000000000004</v>
      </c>
      <c r="L3135" s="482">
        <v>0.122</v>
      </c>
      <c r="M3135" s="482">
        <v>0.20899999999999999</v>
      </c>
    </row>
    <row r="3136" spans="1:13" x14ac:dyDescent="0.2">
      <c r="A3136" t="s">
        <v>4353</v>
      </c>
      <c r="B3136" t="s">
        <v>13</v>
      </c>
      <c r="C3136" t="s">
        <v>1</v>
      </c>
      <c r="D3136" t="s">
        <v>3373</v>
      </c>
      <c r="E3136" t="s">
        <v>3374</v>
      </c>
      <c r="F3136" t="s">
        <v>179</v>
      </c>
      <c r="G3136">
        <v>103</v>
      </c>
      <c r="H3136">
        <v>13</v>
      </c>
      <c r="I3136">
        <v>33</v>
      </c>
      <c r="J3136">
        <v>149</v>
      </c>
      <c r="K3136" s="482">
        <v>0.69099999999999995</v>
      </c>
      <c r="L3136" s="482">
        <v>8.6999999999999994E-2</v>
      </c>
      <c r="M3136" s="482">
        <v>0.221</v>
      </c>
    </row>
    <row r="3137" spans="1:13" x14ac:dyDescent="0.2">
      <c r="A3137" t="s">
        <v>4220</v>
      </c>
      <c r="B3137" t="s">
        <v>13</v>
      </c>
      <c r="C3137" t="s">
        <v>1</v>
      </c>
      <c r="D3137" t="s">
        <v>3379</v>
      </c>
      <c r="E3137" t="s">
        <v>3380</v>
      </c>
      <c r="F3137" t="s">
        <v>179</v>
      </c>
      <c r="G3137">
        <v>162</v>
      </c>
      <c r="H3137">
        <v>29</v>
      </c>
      <c r="I3137">
        <v>65</v>
      </c>
      <c r="J3137">
        <v>256</v>
      </c>
      <c r="K3137" s="482">
        <v>0.63300000000000001</v>
      </c>
      <c r="L3137" s="482">
        <v>0.113</v>
      </c>
      <c r="M3137" s="482">
        <v>0.254</v>
      </c>
    </row>
    <row r="3138" spans="1:13" x14ac:dyDescent="0.2">
      <c r="A3138" t="s">
        <v>4216</v>
      </c>
      <c r="B3138" t="s">
        <v>13</v>
      </c>
      <c r="C3138" t="s">
        <v>1</v>
      </c>
      <c r="D3138" t="s">
        <v>3076</v>
      </c>
      <c r="E3138" t="s">
        <v>3077</v>
      </c>
      <c r="F3138" t="s">
        <v>179</v>
      </c>
      <c r="G3138">
        <v>140</v>
      </c>
      <c r="H3138">
        <v>23</v>
      </c>
      <c r="I3138">
        <v>36</v>
      </c>
      <c r="J3138">
        <v>199</v>
      </c>
      <c r="K3138" s="482">
        <v>0.70399999999999996</v>
      </c>
      <c r="L3138" s="482">
        <v>0.11600000000000001</v>
      </c>
      <c r="M3138" s="482">
        <v>0.18099999999999999</v>
      </c>
    </row>
    <row r="3139" spans="1:13" x14ac:dyDescent="0.2">
      <c r="A3139" t="s">
        <v>4217</v>
      </c>
      <c r="B3139" t="s">
        <v>13</v>
      </c>
      <c r="C3139" t="s">
        <v>1</v>
      </c>
      <c r="D3139" t="s">
        <v>3079</v>
      </c>
      <c r="E3139" t="s">
        <v>3080</v>
      </c>
      <c r="F3139" t="s">
        <v>179</v>
      </c>
      <c r="G3139">
        <v>40</v>
      </c>
      <c r="H3139">
        <v>4</v>
      </c>
      <c r="I3139">
        <v>11</v>
      </c>
      <c r="J3139">
        <v>55</v>
      </c>
      <c r="K3139" s="482">
        <v>0.72699999999999998</v>
      </c>
      <c r="L3139" s="482">
        <v>7.2999999999999995E-2</v>
      </c>
      <c r="M3139" s="482">
        <v>0.2</v>
      </c>
    </row>
    <row r="3140" spans="1:13" x14ac:dyDescent="0.2">
      <c r="A3140" t="s">
        <v>4218</v>
      </c>
      <c r="B3140" t="s">
        <v>13</v>
      </c>
      <c r="C3140" t="s">
        <v>1</v>
      </c>
      <c r="D3140" t="s">
        <v>3082</v>
      </c>
      <c r="E3140" t="s">
        <v>3083</v>
      </c>
      <c r="F3140" t="s">
        <v>179</v>
      </c>
      <c r="G3140">
        <v>17</v>
      </c>
      <c r="H3140">
        <v>6</v>
      </c>
      <c r="I3140">
        <v>3</v>
      </c>
      <c r="J3140">
        <v>26</v>
      </c>
      <c r="K3140" s="482">
        <v>0.65400000000000003</v>
      </c>
      <c r="L3140" s="482">
        <v>0.23100000000000001</v>
      </c>
      <c r="M3140" s="482">
        <v>0.115</v>
      </c>
    </row>
    <row r="3141" spans="1:13" x14ac:dyDescent="0.2">
      <c r="A3141" t="s">
        <v>4219</v>
      </c>
      <c r="B3141" t="s">
        <v>13</v>
      </c>
      <c r="C3141" t="s">
        <v>1</v>
      </c>
      <c r="D3141" t="s">
        <v>3085</v>
      </c>
      <c r="E3141" t="s">
        <v>3086</v>
      </c>
      <c r="F3141" t="s">
        <v>179</v>
      </c>
      <c r="G3141">
        <v>111</v>
      </c>
      <c r="H3141">
        <v>12</v>
      </c>
      <c r="I3141">
        <v>49</v>
      </c>
      <c r="J3141">
        <v>172</v>
      </c>
      <c r="K3141" s="482">
        <v>0.64500000000000002</v>
      </c>
      <c r="L3141" s="482">
        <v>7.0000000000000007E-2</v>
      </c>
      <c r="M3141" s="482">
        <v>0.28499999999999998</v>
      </c>
    </row>
    <row r="3142" spans="1:13" x14ac:dyDescent="0.2">
      <c r="A3142" t="s">
        <v>4225</v>
      </c>
      <c r="B3142" t="s">
        <v>13</v>
      </c>
      <c r="C3142" t="s">
        <v>1</v>
      </c>
      <c r="D3142" t="s">
        <v>3097</v>
      </c>
      <c r="E3142" t="s">
        <v>3098</v>
      </c>
      <c r="F3142" t="s">
        <v>179</v>
      </c>
      <c r="G3142">
        <v>150</v>
      </c>
      <c r="H3142">
        <v>17</v>
      </c>
      <c r="I3142">
        <v>23</v>
      </c>
      <c r="J3142">
        <v>190</v>
      </c>
      <c r="K3142" s="482">
        <v>0.78900000000000003</v>
      </c>
      <c r="L3142" s="482">
        <v>8.8999999999999996E-2</v>
      </c>
      <c r="M3142" s="482">
        <v>0.121</v>
      </c>
    </row>
    <row r="3143" spans="1:13" x14ac:dyDescent="0.2">
      <c r="A3143" t="s">
        <v>4224</v>
      </c>
      <c r="B3143" t="s">
        <v>13</v>
      </c>
      <c r="C3143" t="s">
        <v>1</v>
      </c>
      <c r="D3143" t="s">
        <v>3091</v>
      </c>
      <c r="E3143" t="s">
        <v>3092</v>
      </c>
      <c r="F3143" t="s">
        <v>179</v>
      </c>
      <c r="G3143">
        <v>68</v>
      </c>
      <c r="H3143">
        <v>13</v>
      </c>
      <c r="I3143">
        <v>37</v>
      </c>
      <c r="J3143">
        <v>118</v>
      </c>
      <c r="K3143" s="482">
        <v>0.57599999999999996</v>
      </c>
      <c r="L3143" s="482">
        <v>0.11</v>
      </c>
      <c r="M3143" s="482">
        <v>0.314</v>
      </c>
    </row>
    <row r="3144" spans="1:13" x14ac:dyDescent="0.2">
      <c r="A3144" t="s">
        <v>4226</v>
      </c>
      <c r="B3144" t="s">
        <v>13</v>
      </c>
      <c r="C3144" t="s">
        <v>1</v>
      </c>
      <c r="D3144" t="s">
        <v>3100</v>
      </c>
      <c r="E3144" t="s">
        <v>3101</v>
      </c>
      <c r="F3144" t="s">
        <v>179</v>
      </c>
      <c r="G3144">
        <v>108</v>
      </c>
      <c r="H3144">
        <v>24</v>
      </c>
      <c r="I3144">
        <v>52</v>
      </c>
      <c r="J3144">
        <v>184</v>
      </c>
      <c r="K3144" s="482">
        <v>0.58699999999999997</v>
      </c>
      <c r="L3144" s="482">
        <v>0.13</v>
      </c>
      <c r="M3144" s="482">
        <v>0.28299999999999997</v>
      </c>
    </row>
    <row r="3145" spans="1:13" x14ac:dyDescent="0.2">
      <c r="A3145" t="s">
        <v>4494</v>
      </c>
      <c r="B3145" t="s">
        <v>13</v>
      </c>
      <c r="C3145" t="s">
        <v>1</v>
      </c>
      <c r="D3145" t="s">
        <v>3742</v>
      </c>
      <c r="E3145" t="s">
        <v>3743</v>
      </c>
      <c r="F3145" t="s">
        <v>179</v>
      </c>
      <c r="G3145">
        <v>224</v>
      </c>
      <c r="H3145">
        <v>37</v>
      </c>
      <c r="I3145">
        <v>112</v>
      </c>
      <c r="J3145">
        <v>373</v>
      </c>
      <c r="K3145" s="482">
        <v>0.60099999999999998</v>
      </c>
      <c r="L3145" s="482">
        <v>9.9000000000000005E-2</v>
      </c>
      <c r="M3145" s="482">
        <v>0.3</v>
      </c>
    </row>
    <row r="3146" spans="1:13" x14ac:dyDescent="0.2">
      <c r="A3146" t="s">
        <v>4354</v>
      </c>
      <c r="B3146" t="s">
        <v>13</v>
      </c>
      <c r="C3146" t="s">
        <v>1</v>
      </c>
      <c r="D3146" t="s">
        <v>3382</v>
      </c>
      <c r="E3146" t="s">
        <v>3383</v>
      </c>
      <c r="F3146" t="s">
        <v>179</v>
      </c>
      <c r="G3146">
        <v>137</v>
      </c>
      <c r="H3146">
        <v>24</v>
      </c>
      <c r="I3146">
        <v>42</v>
      </c>
      <c r="J3146">
        <v>203</v>
      </c>
      <c r="K3146" s="482">
        <v>0.67500000000000004</v>
      </c>
      <c r="L3146" s="482">
        <v>0.11799999999999999</v>
      </c>
      <c r="M3146" s="482">
        <v>0.20699999999999999</v>
      </c>
    </row>
    <row r="3147" spans="1:13" x14ac:dyDescent="0.2">
      <c r="A3147" t="s">
        <v>4479</v>
      </c>
      <c r="B3147" t="s">
        <v>13</v>
      </c>
      <c r="C3147" t="s">
        <v>1</v>
      </c>
      <c r="D3147" t="s">
        <v>4480</v>
      </c>
      <c r="E3147" t="s">
        <v>4481</v>
      </c>
      <c r="F3147" t="s">
        <v>179</v>
      </c>
      <c r="G3147">
        <v>217</v>
      </c>
      <c r="H3147">
        <v>40</v>
      </c>
      <c r="I3147">
        <v>82</v>
      </c>
      <c r="J3147">
        <v>339</v>
      </c>
      <c r="K3147" s="482">
        <v>0.64</v>
      </c>
      <c r="L3147" s="482">
        <v>0.11799999999999999</v>
      </c>
      <c r="M3147" s="482">
        <v>0.24199999999999999</v>
      </c>
    </row>
    <row r="3148" spans="1:13" x14ac:dyDescent="0.2">
      <c r="A3148" t="s">
        <v>4475</v>
      </c>
      <c r="B3148" t="s">
        <v>13</v>
      </c>
      <c r="C3148" t="s">
        <v>1</v>
      </c>
      <c r="D3148" t="s">
        <v>3703</v>
      </c>
      <c r="E3148" t="s">
        <v>3704</v>
      </c>
      <c r="F3148" t="s">
        <v>179</v>
      </c>
      <c r="G3148" t="s">
        <v>53</v>
      </c>
      <c r="H3148" t="s">
        <v>53</v>
      </c>
      <c r="I3148" t="s">
        <v>53</v>
      </c>
      <c r="J3148" t="s">
        <v>53</v>
      </c>
      <c r="K3148" t="s">
        <v>53</v>
      </c>
      <c r="L3148" t="s">
        <v>53</v>
      </c>
      <c r="M3148" t="s">
        <v>53</v>
      </c>
    </row>
    <row r="3149" spans="1:13" x14ac:dyDescent="0.2">
      <c r="A3149" t="s">
        <v>4501</v>
      </c>
      <c r="B3149" t="s">
        <v>13</v>
      </c>
      <c r="C3149" t="s">
        <v>1</v>
      </c>
      <c r="D3149" t="s">
        <v>3754</v>
      </c>
      <c r="E3149" t="s">
        <v>3755</v>
      </c>
      <c r="F3149" t="s">
        <v>179</v>
      </c>
      <c r="G3149">
        <v>88</v>
      </c>
      <c r="H3149">
        <v>17</v>
      </c>
      <c r="I3149">
        <v>32</v>
      </c>
      <c r="J3149">
        <v>137</v>
      </c>
      <c r="K3149" s="482">
        <v>0.64200000000000002</v>
      </c>
      <c r="L3149" s="482">
        <v>0.124</v>
      </c>
      <c r="M3149" s="482">
        <v>0.23400000000000001</v>
      </c>
    </row>
    <row r="3150" spans="1:13" x14ac:dyDescent="0.2">
      <c r="A3150" t="s">
        <v>4493</v>
      </c>
      <c r="B3150" t="s">
        <v>13</v>
      </c>
      <c r="C3150" t="s">
        <v>1</v>
      </c>
      <c r="D3150" t="s">
        <v>3739</v>
      </c>
      <c r="E3150" t="s">
        <v>3740</v>
      </c>
      <c r="F3150" t="s">
        <v>179</v>
      </c>
      <c r="G3150">
        <v>99</v>
      </c>
      <c r="H3150">
        <v>26</v>
      </c>
      <c r="I3150">
        <v>28</v>
      </c>
      <c r="J3150">
        <v>153</v>
      </c>
      <c r="K3150" s="482">
        <v>0.64700000000000002</v>
      </c>
      <c r="L3150" s="482">
        <v>0.17</v>
      </c>
      <c r="M3150" s="482">
        <v>0.183</v>
      </c>
    </row>
    <row r="3151" spans="1:13" x14ac:dyDescent="0.2">
      <c r="A3151" t="s">
        <v>4495</v>
      </c>
      <c r="B3151" t="s">
        <v>13</v>
      </c>
      <c r="C3151" t="s">
        <v>1</v>
      </c>
      <c r="D3151" t="s">
        <v>4496</v>
      </c>
      <c r="E3151" t="s">
        <v>4497</v>
      </c>
      <c r="F3151" t="s">
        <v>179</v>
      </c>
      <c r="G3151">
        <v>388</v>
      </c>
      <c r="H3151">
        <v>51</v>
      </c>
      <c r="I3151">
        <v>111</v>
      </c>
      <c r="J3151">
        <v>550</v>
      </c>
      <c r="K3151" s="482">
        <v>0.70499999999999996</v>
      </c>
      <c r="L3151" s="482">
        <v>9.2999999999999999E-2</v>
      </c>
      <c r="M3151" s="482">
        <v>0.20200000000000001</v>
      </c>
    </row>
    <row r="3152" spans="1:13" x14ac:dyDescent="0.2">
      <c r="A3152" t="s">
        <v>4323</v>
      </c>
      <c r="B3152" t="s">
        <v>13</v>
      </c>
      <c r="C3152" t="s">
        <v>1</v>
      </c>
      <c r="D3152" t="s">
        <v>3316</v>
      </c>
      <c r="E3152" t="s">
        <v>3317</v>
      </c>
      <c r="F3152" t="s">
        <v>179</v>
      </c>
      <c r="G3152">
        <v>24</v>
      </c>
      <c r="H3152">
        <v>6</v>
      </c>
      <c r="I3152">
        <v>9</v>
      </c>
      <c r="J3152">
        <v>39</v>
      </c>
      <c r="K3152" s="482">
        <v>0.61499999999999999</v>
      </c>
      <c r="L3152" s="482">
        <v>0.154</v>
      </c>
      <c r="M3152" s="482">
        <v>0.23100000000000001</v>
      </c>
    </row>
    <row r="3153" spans="1:13" x14ac:dyDescent="0.2">
      <c r="A3153" t="s">
        <v>4324</v>
      </c>
      <c r="B3153" t="s">
        <v>13</v>
      </c>
      <c r="C3153" t="s">
        <v>1</v>
      </c>
      <c r="D3153" t="s">
        <v>3319</v>
      </c>
      <c r="E3153" t="s">
        <v>3320</v>
      </c>
      <c r="F3153" t="s">
        <v>179</v>
      </c>
      <c r="G3153">
        <v>27</v>
      </c>
      <c r="H3153">
        <v>4</v>
      </c>
      <c r="I3153">
        <v>13</v>
      </c>
      <c r="J3153">
        <v>44</v>
      </c>
      <c r="K3153" s="482">
        <v>0.61399999999999999</v>
      </c>
      <c r="L3153" s="482">
        <v>9.0999999999999998E-2</v>
      </c>
      <c r="M3153" s="482">
        <v>0.29499999999999998</v>
      </c>
    </row>
    <row r="3154" spans="1:13" x14ac:dyDescent="0.2">
      <c r="A3154" t="s">
        <v>4470</v>
      </c>
      <c r="B3154" t="s">
        <v>13</v>
      </c>
      <c r="C3154" t="s">
        <v>1</v>
      </c>
      <c r="D3154" t="s">
        <v>3684</v>
      </c>
      <c r="E3154" t="s">
        <v>3685</v>
      </c>
      <c r="F3154" t="s">
        <v>179</v>
      </c>
      <c r="G3154">
        <v>422</v>
      </c>
      <c r="H3154">
        <v>60</v>
      </c>
      <c r="I3154">
        <v>105</v>
      </c>
      <c r="J3154">
        <v>587</v>
      </c>
      <c r="K3154" s="482">
        <v>0.71899999999999997</v>
      </c>
      <c r="L3154" s="482">
        <v>0.10199999999999999</v>
      </c>
      <c r="M3154" s="482">
        <v>0.17899999999999999</v>
      </c>
    </row>
    <row r="3155" spans="1:13" x14ac:dyDescent="0.2">
      <c r="A3155" t="s">
        <v>4471</v>
      </c>
      <c r="B3155" t="s">
        <v>13</v>
      </c>
      <c r="C3155" t="s">
        <v>1</v>
      </c>
      <c r="D3155" t="s">
        <v>3687</v>
      </c>
      <c r="E3155" t="s">
        <v>3688</v>
      </c>
      <c r="F3155" t="s">
        <v>179</v>
      </c>
      <c r="G3155">
        <v>257</v>
      </c>
      <c r="H3155">
        <v>34</v>
      </c>
      <c r="I3155">
        <v>95</v>
      </c>
      <c r="J3155">
        <v>386</v>
      </c>
      <c r="K3155" s="482">
        <v>0.66600000000000004</v>
      </c>
      <c r="L3155" s="482">
        <v>8.7999999999999995E-2</v>
      </c>
      <c r="M3155" s="482">
        <v>0.246</v>
      </c>
    </row>
    <row r="3156" spans="1:13" x14ac:dyDescent="0.2">
      <c r="A3156" t="s">
        <v>4472</v>
      </c>
      <c r="B3156" t="s">
        <v>13</v>
      </c>
      <c r="C3156" t="s">
        <v>1</v>
      </c>
      <c r="D3156" t="s">
        <v>3691</v>
      </c>
      <c r="E3156" t="s">
        <v>3692</v>
      </c>
      <c r="F3156" t="s">
        <v>179</v>
      </c>
      <c r="G3156">
        <v>48</v>
      </c>
      <c r="H3156">
        <v>6</v>
      </c>
      <c r="I3156">
        <v>14</v>
      </c>
      <c r="J3156">
        <v>68</v>
      </c>
      <c r="K3156" s="482">
        <v>0.70599999999999996</v>
      </c>
      <c r="L3156" s="482">
        <v>8.7999999999999995E-2</v>
      </c>
      <c r="M3156" s="482">
        <v>0.20599999999999999</v>
      </c>
    </row>
    <row r="3157" spans="1:13" x14ac:dyDescent="0.2">
      <c r="A3157" t="s">
        <v>4473</v>
      </c>
      <c r="B3157" t="s">
        <v>13</v>
      </c>
      <c r="C3157" t="s">
        <v>1</v>
      </c>
      <c r="D3157" t="s">
        <v>3697</v>
      </c>
      <c r="E3157" t="s">
        <v>3698</v>
      </c>
      <c r="F3157" t="s">
        <v>179</v>
      </c>
      <c r="G3157" t="s">
        <v>53</v>
      </c>
      <c r="H3157">
        <v>0</v>
      </c>
      <c r="I3157" t="s">
        <v>53</v>
      </c>
      <c r="J3157" t="s">
        <v>53</v>
      </c>
      <c r="K3157" t="s">
        <v>53</v>
      </c>
      <c r="L3157" t="s">
        <v>53</v>
      </c>
      <c r="M3157" t="s">
        <v>53</v>
      </c>
    </row>
    <row r="3158" spans="1:13" x14ac:dyDescent="0.2">
      <c r="A3158" t="s">
        <v>4474</v>
      </c>
      <c r="B3158" t="s">
        <v>13</v>
      </c>
      <c r="C3158" t="s">
        <v>1</v>
      </c>
      <c r="D3158" t="s">
        <v>3700</v>
      </c>
      <c r="E3158" t="s">
        <v>3701</v>
      </c>
      <c r="F3158" t="s">
        <v>179</v>
      </c>
      <c r="G3158">
        <v>9</v>
      </c>
      <c r="H3158">
        <v>1</v>
      </c>
      <c r="I3158">
        <v>1</v>
      </c>
      <c r="J3158">
        <v>11</v>
      </c>
      <c r="K3158" s="482">
        <v>0.81799999999999995</v>
      </c>
      <c r="L3158" s="482">
        <v>9.0999999999999998E-2</v>
      </c>
      <c r="M3158" s="482">
        <v>9.0999999999999998E-2</v>
      </c>
    </row>
    <row r="3159" spans="1:13" x14ac:dyDescent="0.2">
      <c r="A3159" t="s">
        <v>4326</v>
      </c>
      <c r="B3159" t="s">
        <v>13</v>
      </c>
      <c r="C3159" t="s">
        <v>1</v>
      </c>
      <c r="D3159" t="s">
        <v>4327</v>
      </c>
      <c r="E3159" t="s">
        <v>4328</v>
      </c>
      <c r="F3159" t="s">
        <v>179</v>
      </c>
      <c r="G3159" t="s">
        <v>53</v>
      </c>
      <c r="H3159">
        <v>0</v>
      </c>
      <c r="I3159">
        <v>0</v>
      </c>
      <c r="J3159" t="s">
        <v>53</v>
      </c>
      <c r="K3159" t="s">
        <v>53</v>
      </c>
      <c r="L3159" t="s">
        <v>53</v>
      </c>
      <c r="M3159" t="s">
        <v>53</v>
      </c>
    </row>
    <row r="3160" spans="1:13" x14ac:dyDescent="0.2">
      <c r="A3160" t="s">
        <v>4476</v>
      </c>
      <c r="B3160" t="s">
        <v>13</v>
      </c>
      <c r="C3160" t="s">
        <v>1</v>
      </c>
      <c r="D3160" t="s">
        <v>4477</v>
      </c>
      <c r="E3160" t="s">
        <v>4478</v>
      </c>
      <c r="F3160" t="s">
        <v>179</v>
      </c>
      <c r="G3160">
        <v>24</v>
      </c>
      <c r="H3160">
        <v>1</v>
      </c>
      <c r="I3160">
        <v>3</v>
      </c>
      <c r="J3160">
        <v>28</v>
      </c>
      <c r="K3160" s="482">
        <v>0.85699999999999998</v>
      </c>
      <c r="L3160" s="482">
        <v>3.5999999999999997E-2</v>
      </c>
      <c r="M3160" s="482">
        <v>0.107</v>
      </c>
    </row>
    <row r="3161" spans="1:13" x14ac:dyDescent="0.2">
      <c r="A3161" t="s">
        <v>4312</v>
      </c>
      <c r="B3161" t="s">
        <v>13</v>
      </c>
      <c r="C3161" t="s">
        <v>1</v>
      </c>
      <c r="D3161" t="s">
        <v>3292</v>
      </c>
      <c r="E3161" t="s">
        <v>3293</v>
      </c>
      <c r="F3161" t="s">
        <v>179</v>
      </c>
      <c r="G3161">
        <v>44</v>
      </c>
      <c r="H3161">
        <v>11</v>
      </c>
      <c r="I3161">
        <v>17</v>
      </c>
      <c r="J3161">
        <v>72</v>
      </c>
      <c r="K3161" s="482">
        <v>0.61099999999999999</v>
      </c>
      <c r="L3161" s="482">
        <v>0.153</v>
      </c>
      <c r="M3161" s="482">
        <v>0.23599999999999999</v>
      </c>
    </row>
    <row r="3162" spans="1:13" x14ac:dyDescent="0.2">
      <c r="A3162" t="s">
        <v>6602</v>
      </c>
      <c r="B3162" t="s">
        <v>13</v>
      </c>
      <c r="C3162" t="s">
        <v>1</v>
      </c>
      <c r="D3162" t="s">
        <v>4776</v>
      </c>
      <c r="E3162" t="s">
        <v>4777</v>
      </c>
      <c r="F3162" t="s">
        <v>179</v>
      </c>
      <c r="G3162" t="s">
        <v>53</v>
      </c>
      <c r="H3162" t="s">
        <v>53</v>
      </c>
      <c r="I3162" t="s">
        <v>53</v>
      </c>
      <c r="J3162" t="s">
        <v>53</v>
      </c>
      <c r="K3162" t="s">
        <v>53</v>
      </c>
      <c r="L3162" t="s">
        <v>53</v>
      </c>
      <c r="M3162" t="s">
        <v>53</v>
      </c>
    </row>
    <row r="3163" spans="1:13" x14ac:dyDescent="0.2">
      <c r="A3163" t="s">
        <v>4310</v>
      </c>
      <c r="B3163" t="s">
        <v>13</v>
      </c>
      <c r="C3163" t="s">
        <v>1</v>
      </c>
      <c r="D3163" t="s">
        <v>3286</v>
      </c>
      <c r="E3163" t="s">
        <v>3287</v>
      </c>
      <c r="F3163" t="s">
        <v>179</v>
      </c>
      <c r="G3163">
        <v>19</v>
      </c>
      <c r="H3163">
        <v>3</v>
      </c>
      <c r="I3163">
        <v>6</v>
      </c>
      <c r="J3163">
        <v>28</v>
      </c>
      <c r="K3163" s="482">
        <v>0.67900000000000005</v>
      </c>
      <c r="L3163" s="482">
        <v>0.107</v>
      </c>
      <c r="M3163" s="482">
        <v>0.214</v>
      </c>
    </row>
    <row r="3164" spans="1:13" x14ac:dyDescent="0.2">
      <c r="A3164" t="s">
        <v>4311</v>
      </c>
      <c r="B3164" t="s">
        <v>13</v>
      </c>
      <c r="C3164" t="s">
        <v>1</v>
      </c>
      <c r="D3164" t="s">
        <v>3289</v>
      </c>
      <c r="E3164" t="s">
        <v>3290</v>
      </c>
      <c r="F3164" t="s">
        <v>179</v>
      </c>
      <c r="G3164">
        <v>8</v>
      </c>
      <c r="H3164">
        <v>1</v>
      </c>
      <c r="I3164">
        <v>3</v>
      </c>
      <c r="J3164">
        <v>12</v>
      </c>
      <c r="K3164" s="482">
        <v>0.66700000000000004</v>
      </c>
      <c r="L3164" s="482">
        <v>8.3000000000000004E-2</v>
      </c>
      <c r="M3164" s="482">
        <v>0.25</v>
      </c>
    </row>
    <row r="3165" spans="1:13" x14ac:dyDescent="0.2">
      <c r="A3165" t="s">
        <v>4447</v>
      </c>
      <c r="B3165" t="s">
        <v>13</v>
      </c>
      <c r="C3165" t="s">
        <v>1</v>
      </c>
      <c r="D3165" t="s">
        <v>3618</v>
      </c>
      <c r="E3165" t="s">
        <v>3619</v>
      </c>
      <c r="F3165" t="s">
        <v>179</v>
      </c>
      <c r="G3165">
        <v>12</v>
      </c>
      <c r="H3165">
        <v>1</v>
      </c>
      <c r="I3165">
        <v>4</v>
      </c>
      <c r="J3165">
        <v>17</v>
      </c>
      <c r="K3165" s="482">
        <v>0.70599999999999996</v>
      </c>
      <c r="L3165" s="482">
        <v>5.8999999999999997E-2</v>
      </c>
      <c r="M3165" s="482">
        <v>0.23499999999999999</v>
      </c>
    </row>
    <row r="3166" spans="1:13" x14ac:dyDescent="0.2">
      <c r="A3166" t="s">
        <v>4448</v>
      </c>
      <c r="B3166" t="s">
        <v>13</v>
      </c>
      <c r="C3166" t="s">
        <v>1</v>
      </c>
      <c r="D3166" t="s">
        <v>3621</v>
      </c>
      <c r="E3166" t="s">
        <v>3622</v>
      </c>
      <c r="F3166" t="s">
        <v>179</v>
      </c>
      <c r="G3166">
        <v>7</v>
      </c>
      <c r="H3166">
        <v>0</v>
      </c>
      <c r="I3166">
        <v>1</v>
      </c>
      <c r="J3166">
        <v>8</v>
      </c>
      <c r="K3166" s="482">
        <v>0.875</v>
      </c>
      <c r="L3166" s="482">
        <v>0</v>
      </c>
      <c r="M3166" s="482">
        <v>0.125</v>
      </c>
    </row>
    <row r="3167" spans="1:13" x14ac:dyDescent="0.2">
      <c r="A3167" t="s">
        <v>4449</v>
      </c>
      <c r="B3167" t="s">
        <v>13</v>
      </c>
      <c r="C3167" t="s">
        <v>1</v>
      </c>
      <c r="D3167" t="s">
        <v>3624</v>
      </c>
      <c r="E3167" t="s">
        <v>3625</v>
      </c>
      <c r="F3167" t="s">
        <v>179</v>
      </c>
      <c r="G3167">
        <v>21</v>
      </c>
      <c r="H3167">
        <v>1</v>
      </c>
      <c r="I3167">
        <v>5</v>
      </c>
      <c r="J3167">
        <v>27</v>
      </c>
      <c r="K3167" s="482">
        <v>0.77800000000000002</v>
      </c>
      <c r="L3167" s="482">
        <v>3.6999999999999998E-2</v>
      </c>
      <c r="M3167" s="482">
        <v>0.185</v>
      </c>
    </row>
    <row r="3168" spans="1:13" x14ac:dyDescent="0.2">
      <c r="A3168" t="s">
        <v>4309</v>
      </c>
      <c r="B3168" t="s">
        <v>13</v>
      </c>
      <c r="C3168" t="s">
        <v>1</v>
      </c>
      <c r="D3168" t="s">
        <v>3283</v>
      </c>
      <c r="E3168" t="s">
        <v>3284</v>
      </c>
      <c r="F3168" t="s">
        <v>179</v>
      </c>
      <c r="G3168">
        <v>68</v>
      </c>
      <c r="H3168">
        <v>12</v>
      </c>
      <c r="I3168">
        <v>13</v>
      </c>
      <c r="J3168">
        <v>93</v>
      </c>
      <c r="K3168" s="482">
        <v>0.73099999999999998</v>
      </c>
      <c r="L3168" s="482">
        <v>0.129</v>
      </c>
      <c r="M3168" s="482">
        <v>0.14000000000000001</v>
      </c>
    </row>
    <row r="3169" spans="1:13" x14ac:dyDescent="0.2">
      <c r="A3169" t="s">
        <v>4313</v>
      </c>
      <c r="B3169" t="s">
        <v>13</v>
      </c>
      <c r="C3169" t="s">
        <v>1</v>
      </c>
      <c r="D3169" t="s">
        <v>3295</v>
      </c>
      <c r="E3169" t="s">
        <v>3296</v>
      </c>
      <c r="F3169" t="s">
        <v>179</v>
      </c>
      <c r="G3169">
        <v>26</v>
      </c>
      <c r="H3169">
        <v>5</v>
      </c>
      <c r="I3169">
        <v>7</v>
      </c>
      <c r="J3169">
        <v>38</v>
      </c>
      <c r="K3169" s="482">
        <v>0.68400000000000005</v>
      </c>
      <c r="L3169" s="482">
        <v>0.13200000000000001</v>
      </c>
      <c r="M3169" s="482">
        <v>0.184</v>
      </c>
    </row>
    <row r="3170" spans="1:13" x14ac:dyDescent="0.2">
      <c r="A3170" t="s">
        <v>4314</v>
      </c>
      <c r="B3170" t="s">
        <v>13</v>
      </c>
      <c r="C3170" t="s">
        <v>1</v>
      </c>
      <c r="D3170" t="s">
        <v>3298</v>
      </c>
      <c r="E3170" t="s">
        <v>3299</v>
      </c>
      <c r="F3170" t="s">
        <v>179</v>
      </c>
      <c r="G3170">
        <v>68</v>
      </c>
      <c r="H3170">
        <v>22</v>
      </c>
      <c r="I3170">
        <v>27</v>
      </c>
      <c r="J3170">
        <v>117</v>
      </c>
      <c r="K3170" s="482">
        <v>0.58099999999999996</v>
      </c>
      <c r="L3170" s="482">
        <v>0.188</v>
      </c>
      <c r="M3170" s="482">
        <v>0.23100000000000001</v>
      </c>
    </row>
    <row r="3171" spans="1:13" x14ac:dyDescent="0.2">
      <c r="A3171" t="s">
        <v>4315</v>
      </c>
      <c r="B3171" t="s">
        <v>13</v>
      </c>
      <c r="C3171" t="s">
        <v>1</v>
      </c>
      <c r="D3171" t="s">
        <v>3301</v>
      </c>
      <c r="E3171" t="s">
        <v>3302</v>
      </c>
      <c r="F3171" t="s">
        <v>179</v>
      </c>
      <c r="G3171">
        <v>22</v>
      </c>
      <c r="H3171">
        <v>6</v>
      </c>
      <c r="I3171">
        <v>9</v>
      </c>
      <c r="J3171">
        <v>37</v>
      </c>
      <c r="K3171" s="482">
        <v>0.59499999999999997</v>
      </c>
      <c r="L3171" s="482">
        <v>0.16200000000000001</v>
      </c>
      <c r="M3171" s="482">
        <v>0.24299999999999999</v>
      </c>
    </row>
    <row r="3172" spans="1:13" x14ac:dyDescent="0.2">
      <c r="A3172" t="s">
        <v>4317</v>
      </c>
      <c r="B3172" t="s">
        <v>13</v>
      </c>
      <c r="C3172" t="s">
        <v>1</v>
      </c>
      <c r="D3172" t="s">
        <v>4318</v>
      </c>
      <c r="E3172" t="s">
        <v>4319</v>
      </c>
      <c r="F3172" t="s">
        <v>179</v>
      </c>
      <c r="G3172">
        <v>24</v>
      </c>
      <c r="H3172">
        <v>1</v>
      </c>
      <c r="I3172">
        <v>6</v>
      </c>
      <c r="J3172">
        <v>31</v>
      </c>
      <c r="K3172" s="482">
        <v>0.77400000000000002</v>
      </c>
      <c r="L3172" s="482">
        <v>3.2000000000000001E-2</v>
      </c>
      <c r="M3172" s="482">
        <v>0.19400000000000001</v>
      </c>
    </row>
    <row r="3173" spans="1:13" x14ac:dyDescent="0.2">
      <c r="A3173" t="s">
        <v>4316</v>
      </c>
      <c r="B3173" t="s">
        <v>13</v>
      </c>
      <c r="C3173" t="s">
        <v>1</v>
      </c>
      <c r="D3173" t="s">
        <v>3304</v>
      </c>
      <c r="E3173" t="s">
        <v>3305</v>
      </c>
      <c r="F3173" t="s">
        <v>179</v>
      </c>
      <c r="G3173">
        <v>13</v>
      </c>
      <c r="H3173">
        <v>2</v>
      </c>
      <c r="I3173">
        <v>1</v>
      </c>
      <c r="J3173">
        <v>16</v>
      </c>
      <c r="K3173" s="482">
        <v>0.81299999999999994</v>
      </c>
      <c r="L3173" s="482">
        <v>0.125</v>
      </c>
      <c r="M3173" s="482">
        <v>6.3E-2</v>
      </c>
    </row>
    <row r="3174" spans="1:13" x14ac:dyDescent="0.2">
      <c r="A3174" t="s">
        <v>4320</v>
      </c>
      <c r="B3174" t="s">
        <v>13</v>
      </c>
      <c r="C3174" t="s">
        <v>1</v>
      </c>
      <c r="D3174" t="s">
        <v>3307</v>
      </c>
      <c r="E3174" t="s">
        <v>3308</v>
      </c>
      <c r="F3174" t="s">
        <v>179</v>
      </c>
      <c r="G3174">
        <v>21</v>
      </c>
      <c r="H3174">
        <v>3</v>
      </c>
      <c r="I3174">
        <v>5</v>
      </c>
      <c r="J3174">
        <v>29</v>
      </c>
      <c r="K3174" s="482">
        <v>0.72399999999999998</v>
      </c>
      <c r="L3174" s="482">
        <v>0.10299999999999999</v>
      </c>
      <c r="M3174" s="482">
        <v>0.17199999999999999</v>
      </c>
    </row>
    <row r="3175" spans="1:13" x14ac:dyDescent="0.2">
      <c r="A3175" t="s">
        <v>4321</v>
      </c>
      <c r="B3175" t="s">
        <v>13</v>
      </c>
      <c r="C3175" t="s">
        <v>1</v>
      </c>
      <c r="D3175" t="s">
        <v>3310</v>
      </c>
      <c r="E3175" t="s">
        <v>3311</v>
      </c>
      <c r="F3175" t="s">
        <v>179</v>
      </c>
      <c r="G3175">
        <v>27</v>
      </c>
      <c r="H3175">
        <v>4</v>
      </c>
      <c r="I3175">
        <v>8</v>
      </c>
      <c r="J3175">
        <v>39</v>
      </c>
      <c r="K3175" s="482">
        <v>0.69199999999999995</v>
      </c>
      <c r="L3175" s="482">
        <v>0.10299999999999999</v>
      </c>
      <c r="M3175" s="482">
        <v>0.20499999999999999</v>
      </c>
    </row>
    <row r="3176" spans="1:13" x14ac:dyDescent="0.2">
      <c r="A3176" t="s">
        <v>4322</v>
      </c>
      <c r="B3176" t="s">
        <v>13</v>
      </c>
      <c r="C3176" t="s">
        <v>1</v>
      </c>
      <c r="D3176" t="s">
        <v>3313</v>
      </c>
      <c r="E3176" t="s">
        <v>3314</v>
      </c>
      <c r="F3176" t="s">
        <v>179</v>
      </c>
      <c r="G3176">
        <v>42</v>
      </c>
      <c r="H3176">
        <v>2</v>
      </c>
      <c r="I3176">
        <v>10</v>
      </c>
      <c r="J3176">
        <v>54</v>
      </c>
      <c r="K3176" s="482">
        <v>0.77800000000000002</v>
      </c>
      <c r="L3176" s="482">
        <v>3.6999999999999998E-2</v>
      </c>
      <c r="M3176" s="482">
        <v>0.185</v>
      </c>
    </row>
    <row r="3177" spans="1:13" x14ac:dyDescent="0.2">
      <c r="A3177" t="s">
        <v>4403</v>
      </c>
      <c r="B3177" t="s">
        <v>13</v>
      </c>
      <c r="C3177" t="s">
        <v>1</v>
      </c>
      <c r="D3177" t="s">
        <v>3497</v>
      </c>
      <c r="E3177" t="s">
        <v>3498</v>
      </c>
      <c r="F3177" t="s">
        <v>179</v>
      </c>
      <c r="G3177">
        <v>4</v>
      </c>
      <c r="H3177">
        <v>1</v>
      </c>
      <c r="I3177">
        <v>1</v>
      </c>
      <c r="J3177">
        <v>6</v>
      </c>
      <c r="K3177" s="482">
        <v>0.66700000000000004</v>
      </c>
      <c r="L3177" s="482">
        <v>0.16700000000000001</v>
      </c>
      <c r="M3177" s="482">
        <v>0.16700000000000001</v>
      </c>
    </row>
    <row r="3178" spans="1:13" x14ac:dyDescent="0.2">
      <c r="A3178" t="s">
        <v>4423</v>
      </c>
      <c r="B3178" t="s">
        <v>13</v>
      </c>
      <c r="C3178" t="s">
        <v>1</v>
      </c>
      <c r="D3178" t="s">
        <v>3561</v>
      </c>
      <c r="E3178" t="s">
        <v>3562</v>
      </c>
      <c r="F3178" t="s">
        <v>179</v>
      </c>
      <c r="G3178">
        <v>8</v>
      </c>
      <c r="H3178">
        <v>1</v>
      </c>
      <c r="I3178">
        <v>4</v>
      </c>
      <c r="J3178">
        <v>13</v>
      </c>
      <c r="K3178" s="482">
        <v>0.61499999999999999</v>
      </c>
      <c r="L3178" s="482">
        <v>7.6999999999999999E-2</v>
      </c>
      <c r="M3178" s="482">
        <v>0.308</v>
      </c>
    </row>
    <row r="3179" spans="1:13" x14ac:dyDescent="0.2">
      <c r="A3179" t="s">
        <v>4400</v>
      </c>
      <c r="B3179" t="s">
        <v>13</v>
      </c>
      <c r="C3179" t="s">
        <v>1</v>
      </c>
      <c r="D3179" t="s">
        <v>3488</v>
      </c>
      <c r="E3179" t="s">
        <v>3489</v>
      </c>
      <c r="F3179" t="s">
        <v>179</v>
      </c>
      <c r="G3179">
        <v>45</v>
      </c>
      <c r="H3179">
        <v>6</v>
      </c>
      <c r="I3179">
        <v>11</v>
      </c>
      <c r="J3179">
        <v>62</v>
      </c>
      <c r="K3179" s="482">
        <v>0.72599999999999998</v>
      </c>
      <c r="L3179" s="482">
        <v>9.7000000000000003E-2</v>
      </c>
      <c r="M3179" s="482">
        <v>0.17699999999999999</v>
      </c>
    </row>
    <row r="3180" spans="1:13" x14ac:dyDescent="0.2">
      <c r="A3180" t="s">
        <v>4401</v>
      </c>
      <c r="B3180" t="s">
        <v>13</v>
      </c>
      <c r="C3180" t="s">
        <v>1</v>
      </c>
      <c r="D3180" t="s">
        <v>3491</v>
      </c>
      <c r="E3180" t="s">
        <v>3492</v>
      </c>
      <c r="F3180" t="s">
        <v>179</v>
      </c>
      <c r="G3180">
        <v>7</v>
      </c>
      <c r="H3180">
        <v>5</v>
      </c>
      <c r="I3180">
        <v>2</v>
      </c>
      <c r="J3180">
        <v>14</v>
      </c>
      <c r="K3180" s="482">
        <v>0.5</v>
      </c>
      <c r="L3180" s="482">
        <v>0.35699999999999998</v>
      </c>
      <c r="M3180" s="482">
        <v>0.14299999999999999</v>
      </c>
    </row>
    <row r="3181" spans="1:13" x14ac:dyDescent="0.2">
      <c r="A3181" t="s">
        <v>4402</v>
      </c>
      <c r="B3181" t="s">
        <v>13</v>
      </c>
      <c r="C3181" t="s">
        <v>1</v>
      </c>
      <c r="D3181" t="s">
        <v>3494</v>
      </c>
      <c r="E3181" t="s">
        <v>3495</v>
      </c>
      <c r="F3181" t="s">
        <v>179</v>
      </c>
      <c r="G3181">
        <v>11</v>
      </c>
      <c r="H3181">
        <v>1</v>
      </c>
      <c r="I3181">
        <v>0</v>
      </c>
      <c r="J3181">
        <v>12</v>
      </c>
      <c r="K3181" s="482">
        <v>0.91700000000000004</v>
      </c>
      <c r="L3181" s="482">
        <v>8.3000000000000004E-2</v>
      </c>
      <c r="M3181" s="482">
        <v>0</v>
      </c>
    </row>
    <row r="3182" spans="1:13" x14ac:dyDescent="0.2">
      <c r="A3182" t="s">
        <v>4532</v>
      </c>
      <c r="B3182" t="s">
        <v>13</v>
      </c>
      <c r="C3182" t="s">
        <v>1</v>
      </c>
      <c r="D3182" t="s">
        <v>3841</v>
      </c>
      <c r="E3182" t="s">
        <v>3842</v>
      </c>
      <c r="F3182" t="s">
        <v>179</v>
      </c>
      <c r="G3182">
        <v>96</v>
      </c>
      <c r="H3182">
        <v>18</v>
      </c>
      <c r="I3182">
        <v>21</v>
      </c>
      <c r="J3182">
        <v>135</v>
      </c>
      <c r="K3182" s="482">
        <v>0.71099999999999997</v>
      </c>
      <c r="L3182" s="482">
        <v>0.13300000000000001</v>
      </c>
      <c r="M3182" s="482">
        <v>0.156</v>
      </c>
    </row>
    <row r="3183" spans="1:13" x14ac:dyDescent="0.2">
      <c r="A3183" t="s">
        <v>4533</v>
      </c>
      <c r="B3183" t="s">
        <v>13</v>
      </c>
      <c r="C3183" t="s">
        <v>1</v>
      </c>
      <c r="D3183" t="s">
        <v>3844</v>
      </c>
      <c r="E3183" t="s">
        <v>345</v>
      </c>
      <c r="F3183" t="s">
        <v>179</v>
      </c>
      <c r="G3183">
        <v>129</v>
      </c>
      <c r="H3183">
        <v>30</v>
      </c>
      <c r="I3183">
        <v>41</v>
      </c>
      <c r="J3183">
        <v>200</v>
      </c>
      <c r="K3183" s="482">
        <v>0.64500000000000002</v>
      </c>
      <c r="L3183" s="482">
        <v>0.15</v>
      </c>
      <c r="M3183" s="482">
        <v>0.20499999999999999</v>
      </c>
    </row>
    <row r="3184" spans="1:13" x14ac:dyDescent="0.2">
      <c r="A3184" t="s">
        <v>4534</v>
      </c>
      <c r="B3184" t="s">
        <v>13</v>
      </c>
      <c r="C3184" t="s">
        <v>1</v>
      </c>
      <c r="D3184" t="s">
        <v>3846</v>
      </c>
      <c r="E3184" t="s">
        <v>3847</v>
      </c>
      <c r="F3184" t="s">
        <v>179</v>
      </c>
      <c r="G3184">
        <v>38</v>
      </c>
      <c r="H3184">
        <v>8</v>
      </c>
      <c r="I3184">
        <v>8</v>
      </c>
      <c r="J3184">
        <v>54</v>
      </c>
      <c r="K3184" s="482">
        <v>0.70399999999999996</v>
      </c>
      <c r="L3184" s="482">
        <v>0.14799999999999999</v>
      </c>
      <c r="M3184" s="482">
        <v>0.14799999999999999</v>
      </c>
    </row>
    <row r="3185" spans="1:13" x14ac:dyDescent="0.2">
      <c r="A3185" t="s">
        <v>4404</v>
      </c>
      <c r="B3185" t="s">
        <v>13</v>
      </c>
      <c r="C3185" t="s">
        <v>1</v>
      </c>
      <c r="D3185" t="s">
        <v>3500</v>
      </c>
      <c r="E3185" t="s">
        <v>3501</v>
      </c>
      <c r="F3185" t="s">
        <v>179</v>
      </c>
      <c r="G3185">
        <v>41</v>
      </c>
      <c r="H3185">
        <v>11</v>
      </c>
      <c r="I3185">
        <v>7</v>
      </c>
      <c r="J3185">
        <v>59</v>
      </c>
      <c r="K3185" s="482">
        <v>0.69499999999999995</v>
      </c>
      <c r="L3185" s="482">
        <v>0.186</v>
      </c>
      <c r="M3185" s="482">
        <v>0.11899999999999999</v>
      </c>
    </row>
    <row r="3186" spans="1:13" x14ac:dyDescent="0.2">
      <c r="A3186" t="s">
        <v>4445</v>
      </c>
      <c r="B3186" t="s">
        <v>13</v>
      </c>
      <c r="C3186" t="s">
        <v>1</v>
      </c>
      <c r="D3186" t="s">
        <v>3609</v>
      </c>
      <c r="E3186" t="s">
        <v>3610</v>
      </c>
      <c r="F3186" t="s">
        <v>179</v>
      </c>
      <c r="G3186">
        <v>13</v>
      </c>
      <c r="H3186">
        <v>3</v>
      </c>
      <c r="I3186">
        <v>2</v>
      </c>
      <c r="J3186">
        <v>18</v>
      </c>
      <c r="K3186" s="482">
        <v>0.72199999999999998</v>
      </c>
      <c r="L3186" s="482">
        <v>0.16700000000000001</v>
      </c>
      <c r="M3186" s="482">
        <v>0.111</v>
      </c>
    </row>
    <row r="3187" spans="1:13" x14ac:dyDescent="0.2">
      <c r="A3187" t="s">
        <v>6603</v>
      </c>
      <c r="B3187" t="s">
        <v>13</v>
      </c>
      <c r="C3187" t="s">
        <v>1</v>
      </c>
      <c r="D3187" t="s">
        <v>3612</v>
      </c>
      <c r="E3187" t="s">
        <v>3613</v>
      </c>
      <c r="F3187" t="s">
        <v>179</v>
      </c>
      <c r="G3187" t="s">
        <v>53</v>
      </c>
      <c r="H3187" t="s">
        <v>53</v>
      </c>
      <c r="I3187">
        <v>0</v>
      </c>
      <c r="J3187" t="s">
        <v>53</v>
      </c>
      <c r="K3187" t="s">
        <v>53</v>
      </c>
      <c r="L3187" t="s">
        <v>53</v>
      </c>
      <c r="M3187" t="s">
        <v>53</v>
      </c>
    </row>
    <row r="3188" spans="1:13" x14ac:dyDescent="0.2">
      <c r="A3188" t="s">
        <v>4446</v>
      </c>
      <c r="B3188" t="s">
        <v>13</v>
      </c>
      <c r="C3188" t="s">
        <v>1</v>
      </c>
      <c r="D3188" t="s">
        <v>3615</v>
      </c>
      <c r="E3188" t="s">
        <v>3616</v>
      </c>
      <c r="F3188" t="s">
        <v>179</v>
      </c>
      <c r="G3188">
        <v>42</v>
      </c>
      <c r="H3188">
        <v>12</v>
      </c>
      <c r="I3188">
        <v>34</v>
      </c>
      <c r="J3188">
        <v>88</v>
      </c>
      <c r="K3188" s="482">
        <v>0.47699999999999998</v>
      </c>
      <c r="L3188" s="482">
        <v>0.13600000000000001</v>
      </c>
      <c r="M3188" s="482">
        <v>0.38600000000000001</v>
      </c>
    </row>
    <row r="3189" spans="1:13" x14ac:dyDescent="0.2">
      <c r="A3189" t="s">
        <v>4531</v>
      </c>
      <c r="B3189" t="s">
        <v>13</v>
      </c>
      <c r="C3189" t="s">
        <v>1</v>
      </c>
      <c r="D3189" t="s">
        <v>3838</v>
      </c>
      <c r="E3189" t="s">
        <v>3839</v>
      </c>
      <c r="F3189" t="s">
        <v>179</v>
      </c>
      <c r="G3189">
        <v>68</v>
      </c>
      <c r="H3189">
        <v>11</v>
      </c>
      <c r="I3189">
        <v>38</v>
      </c>
      <c r="J3189">
        <v>117</v>
      </c>
      <c r="K3189" s="482">
        <v>0.58099999999999996</v>
      </c>
      <c r="L3189" s="482">
        <v>9.4E-2</v>
      </c>
      <c r="M3189" s="482">
        <v>0.32500000000000001</v>
      </c>
    </row>
    <row r="3190" spans="1:13" x14ac:dyDescent="0.2">
      <c r="A3190" t="s">
        <v>4594</v>
      </c>
      <c r="B3190" t="s">
        <v>13</v>
      </c>
      <c r="C3190" t="s">
        <v>1</v>
      </c>
      <c r="D3190" t="s">
        <v>3838</v>
      </c>
      <c r="E3190" t="s">
        <v>3839</v>
      </c>
      <c r="F3190" t="s">
        <v>52</v>
      </c>
      <c r="G3190">
        <v>114</v>
      </c>
      <c r="H3190">
        <v>11</v>
      </c>
      <c r="I3190">
        <v>7</v>
      </c>
      <c r="J3190">
        <v>132</v>
      </c>
      <c r="K3190" s="482">
        <v>0.86399999999999999</v>
      </c>
      <c r="L3190" s="482">
        <v>8.3000000000000004E-2</v>
      </c>
      <c r="M3190" s="482">
        <v>5.2999999999999999E-2</v>
      </c>
    </row>
    <row r="3191" spans="1:13" x14ac:dyDescent="0.2">
      <c r="A3191" t="s">
        <v>4666</v>
      </c>
      <c r="B3191" t="s">
        <v>13</v>
      </c>
      <c r="C3191" t="s">
        <v>1</v>
      </c>
      <c r="D3191" t="s">
        <v>3615</v>
      </c>
      <c r="E3191" t="s">
        <v>3616</v>
      </c>
      <c r="F3191" t="s">
        <v>52</v>
      </c>
      <c r="G3191">
        <v>82</v>
      </c>
      <c r="H3191">
        <v>7</v>
      </c>
      <c r="I3191">
        <v>8</v>
      </c>
      <c r="J3191">
        <v>97</v>
      </c>
      <c r="K3191" s="482">
        <v>0.84499999999999997</v>
      </c>
      <c r="L3191" s="482">
        <v>7.1999999999999995E-2</v>
      </c>
      <c r="M3191" s="482">
        <v>8.2000000000000003E-2</v>
      </c>
    </row>
    <row r="3192" spans="1:13" x14ac:dyDescent="0.2">
      <c r="A3192" t="s">
        <v>6604</v>
      </c>
      <c r="B3192" t="s">
        <v>13</v>
      </c>
      <c r="C3192" t="s">
        <v>1</v>
      </c>
      <c r="D3192" t="s">
        <v>3612</v>
      </c>
      <c r="E3192" t="s">
        <v>3613</v>
      </c>
      <c r="F3192" t="s">
        <v>52</v>
      </c>
      <c r="G3192" t="s">
        <v>53</v>
      </c>
      <c r="H3192">
        <v>0</v>
      </c>
      <c r="I3192">
        <v>0</v>
      </c>
      <c r="J3192" t="s">
        <v>53</v>
      </c>
      <c r="K3192" t="s">
        <v>53</v>
      </c>
      <c r="L3192" t="s">
        <v>53</v>
      </c>
      <c r="M3192" t="s">
        <v>53</v>
      </c>
    </row>
    <row r="3193" spans="1:13" x14ac:dyDescent="0.2">
      <c r="A3193" t="s">
        <v>4667</v>
      </c>
      <c r="B3193" t="s">
        <v>13</v>
      </c>
      <c r="C3193" t="s">
        <v>1</v>
      </c>
      <c r="D3193" t="s">
        <v>3609</v>
      </c>
      <c r="E3193" t="s">
        <v>3610</v>
      </c>
      <c r="F3193" t="s">
        <v>52</v>
      </c>
      <c r="G3193">
        <v>22</v>
      </c>
      <c r="H3193">
        <v>0</v>
      </c>
      <c r="I3193">
        <v>0</v>
      </c>
      <c r="J3193">
        <v>22</v>
      </c>
      <c r="K3193" s="482">
        <v>1</v>
      </c>
      <c r="L3193" s="482">
        <v>0</v>
      </c>
      <c r="M3193" s="482">
        <v>0</v>
      </c>
    </row>
    <row r="3194" spans="1:13" x14ac:dyDescent="0.2">
      <c r="A3194" t="s">
        <v>4704</v>
      </c>
      <c r="B3194" t="s">
        <v>13</v>
      </c>
      <c r="C3194" t="s">
        <v>1</v>
      </c>
      <c r="D3194" t="s">
        <v>3500</v>
      </c>
      <c r="E3194" t="s">
        <v>3501</v>
      </c>
      <c r="F3194" t="s">
        <v>52</v>
      </c>
      <c r="G3194">
        <v>65</v>
      </c>
      <c r="H3194">
        <v>2</v>
      </c>
      <c r="I3194">
        <v>1</v>
      </c>
      <c r="J3194">
        <v>68</v>
      </c>
      <c r="K3194" s="482">
        <v>0.95599999999999996</v>
      </c>
      <c r="L3194" s="482">
        <v>2.9000000000000001E-2</v>
      </c>
      <c r="M3194" s="482">
        <v>1.4999999999999999E-2</v>
      </c>
    </row>
    <row r="3195" spans="1:13" x14ac:dyDescent="0.2">
      <c r="A3195" t="s">
        <v>4591</v>
      </c>
      <c r="B3195" t="s">
        <v>13</v>
      </c>
      <c r="C3195" t="s">
        <v>1</v>
      </c>
      <c r="D3195" t="s">
        <v>3846</v>
      </c>
      <c r="E3195" t="s">
        <v>3847</v>
      </c>
      <c r="F3195" t="s">
        <v>52</v>
      </c>
      <c r="G3195">
        <v>55</v>
      </c>
      <c r="H3195">
        <v>3</v>
      </c>
      <c r="I3195">
        <v>2</v>
      </c>
      <c r="J3195">
        <v>60</v>
      </c>
      <c r="K3195" s="482">
        <v>0.91700000000000004</v>
      </c>
      <c r="L3195" s="482">
        <v>0.05</v>
      </c>
      <c r="M3195" s="482">
        <v>3.3000000000000002E-2</v>
      </c>
    </row>
    <row r="3196" spans="1:13" x14ac:dyDescent="0.2">
      <c r="A3196" t="s">
        <v>4592</v>
      </c>
      <c r="B3196" t="s">
        <v>13</v>
      </c>
      <c r="C3196" t="s">
        <v>1</v>
      </c>
      <c r="D3196" t="s">
        <v>3844</v>
      </c>
      <c r="E3196" t="s">
        <v>345</v>
      </c>
      <c r="F3196" t="s">
        <v>52</v>
      </c>
      <c r="G3196">
        <v>183</v>
      </c>
      <c r="H3196">
        <v>14</v>
      </c>
      <c r="I3196">
        <v>10</v>
      </c>
      <c r="J3196">
        <v>207</v>
      </c>
      <c r="K3196" s="482">
        <v>0.88400000000000001</v>
      </c>
      <c r="L3196" s="482">
        <v>6.8000000000000005E-2</v>
      </c>
      <c r="M3196" s="482">
        <v>4.8000000000000001E-2</v>
      </c>
    </row>
    <row r="3197" spans="1:13" x14ac:dyDescent="0.2">
      <c r="A3197" t="s">
        <v>4593</v>
      </c>
      <c r="B3197" t="s">
        <v>13</v>
      </c>
      <c r="C3197" t="s">
        <v>1</v>
      </c>
      <c r="D3197" t="s">
        <v>3841</v>
      </c>
      <c r="E3197" t="s">
        <v>3842</v>
      </c>
      <c r="F3197" t="s">
        <v>52</v>
      </c>
      <c r="G3197">
        <v>127</v>
      </c>
      <c r="H3197">
        <v>12</v>
      </c>
      <c r="I3197">
        <v>8</v>
      </c>
      <c r="J3197">
        <v>147</v>
      </c>
      <c r="K3197" s="482">
        <v>0.86399999999999999</v>
      </c>
      <c r="L3197" s="482">
        <v>8.2000000000000003E-2</v>
      </c>
      <c r="M3197" s="482">
        <v>5.3999999999999999E-2</v>
      </c>
    </row>
    <row r="3198" spans="1:13" x14ac:dyDescent="0.2">
      <c r="A3198" t="s">
        <v>4706</v>
      </c>
      <c r="B3198" t="s">
        <v>13</v>
      </c>
      <c r="C3198" t="s">
        <v>1</v>
      </c>
      <c r="D3198" t="s">
        <v>3494</v>
      </c>
      <c r="E3198" t="s">
        <v>3495</v>
      </c>
      <c r="F3198" t="s">
        <v>52</v>
      </c>
      <c r="G3198">
        <v>13</v>
      </c>
      <c r="H3198">
        <v>0</v>
      </c>
      <c r="I3198">
        <v>0</v>
      </c>
      <c r="J3198">
        <v>13</v>
      </c>
      <c r="K3198" s="482">
        <v>1</v>
      </c>
      <c r="L3198" s="482">
        <v>0</v>
      </c>
      <c r="M3198" s="482">
        <v>0</v>
      </c>
    </row>
    <row r="3199" spans="1:13" x14ac:dyDescent="0.2">
      <c r="A3199" t="s">
        <v>4707</v>
      </c>
      <c r="B3199" t="s">
        <v>13</v>
      </c>
      <c r="C3199" t="s">
        <v>1</v>
      </c>
      <c r="D3199" t="s">
        <v>3491</v>
      </c>
      <c r="E3199" t="s">
        <v>3492</v>
      </c>
      <c r="F3199" t="s">
        <v>52</v>
      </c>
      <c r="G3199">
        <v>13</v>
      </c>
      <c r="H3199">
        <v>0</v>
      </c>
      <c r="I3199">
        <v>1</v>
      </c>
      <c r="J3199">
        <v>14</v>
      </c>
      <c r="K3199" s="482">
        <v>0.92900000000000005</v>
      </c>
      <c r="L3199" s="482">
        <v>0</v>
      </c>
      <c r="M3199" s="482">
        <v>7.0999999999999994E-2</v>
      </c>
    </row>
    <row r="3200" spans="1:13" x14ac:dyDescent="0.2">
      <c r="A3200" t="s">
        <v>4708</v>
      </c>
      <c r="B3200" t="s">
        <v>13</v>
      </c>
      <c r="C3200" t="s">
        <v>1</v>
      </c>
      <c r="D3200" t="s">
        <v>3488</v>
      </c>
      <c r="E3200" t="s">
        <v>3489</v>
      </c>
      <c r="F3200" t="s">
        <v>52</v>
      </c>
      <c r="G3200">
        <v>60</v>
      </c>
      <c r="H3200">
        <v>3</v>
      </c>
      <c r="I3200">
        <v>1</v>
      </c>
      <c r="J3200">
        <v>64</v>
      </c>
      <c r="K3200" s="482">
        <v>0.93799999999999994</v>
      </c>
      <c r="L3200" s="482">
        <v>4.7E-2</v>
      </c>
      <c r="M3200" s="482">
        <v>1.6E-2</v>
      </c>
    </row>
    <row r="3201" spans="1:13" x14ac:dyDescent="0.2">
      <c r="A3201" t="s">
        <v>4685</v>
      </c>
      <c r="B3201" t="s">
        <v>13</v>
      </c>
      <c r="C3201" t="s">
        <v>1</v>
      </c>
      <c r="D3201" t="s">
        <v>3561</v>
      </c>
      <c r="E3201" t="s">
        <v>3562</v>
      </c>
      <c r="F3201" t="s">
        <v>52</v>
      </c>
      <c r="G3201">
        <v>14</v>
      </c>
      <c r="H3201">
        <v>1</v>
      </c>
      <c r="I3201">
        <v>0</v>
      </c>
      <c r="J3201">
        <v>15</v>
      </c>
      <c r="K3201" s="482">
        <v>0.93300000000000005</v>
      </c>
      <c r="L3201" s="482">
        <v>6.7000000000000004E-2</v>
      </c>
      <c r="M3201" s="482">
        <v>0</v>
      </c>
    </row>
    <row r="3202" spans="1:13" x14ac:dyDescent="0.2">
      <c r="A3202" t="s">
        <v>4705</v>
      </c>
      <c r="B3202" t="s">
        <v>13</v>
      </c>
      <c r="C3202" t="s">
        <v>1</v>
      </c>
      <c r="D3202" t="s">
        <v>3497</v>
      </c>
      <c r="E3202" t="s">
        <v>3498</v>
      </c>
      <c r="F3202" t="s">
        <v>52</v>
      </c>
      <c r="G3202">
        <v>5</v>
      </c>
      <c r="H3202">
        <v>0</v>
      </c>
      <c r="I3202">
        <v>1</v>
      </c>
      <c r="J3202">
        <v>6</v>
      </c>
      <c r="K3202" s="482">
        <v>0.83299999999999996</v>
      </c>
      <c r="L3202" s="482">
        <v>0</v>
      </c>
      <c r="M3202" s="482">
        <v>0.16700000000000001</v>
      </c>
    </row>
    <row r="3203" spans="1:13" x14ac:dyDescent="0.2">
      <c r="A3203" t="s">
        <v>4771</v>
      </c>
      <c r="B3203" t="s">
        <v>13</v>
      </c>
      <c r="C3203" t="s">
        <v>1</v>
      </c>
      <c r="D3203" t="s">
        <v>3313</v>
      </c>
      <c r="E3203" t="s">
        <v>3314</v>
      </c>
      <c r="F3203" t="s">
        <v>52</v>
      </c>
      <c r="G3203">
        <v>52</v>
      </c>
      <c r="H3203">
        <v>1</v>
      </c>
      <c r="I3203">
        <v>2</v>
      </c>
      <c r="J3203">
        <v>55</v>
      </c>
      <c r="K3203" s="482">
        <v>0.94499999999999995</v>
      </c>
      <c r="L3203" s="482">
        <v>1.7999999999999999E-2</v>
      </c>
      <c r="M3203" s="482">
        <v>3.5999999999999997E-2</v>
      </c>
    </row>
    <row r="3204" spans="1:13" x14ac:dyDescent="0.2">
      <c r="A3204" t="s">
        <v>4772</v>
      </c>
      <c r="B3204" t="s">
        <v>13</v>
      </c>
      <c r="C3204" t="s">
        <v>1</v>
      </c>
      <c r="D3204" t="s">
        <v>3310</v>
      </c>
      <c r="E3204" t="s">
        <v>3311</v>
      </c>
      <c r="F3204" t="s">
        <v>52</v>
      </c>
      <c r="G3204">
        <v>34</v>
      </c>
      <c r="H3204">
        <v>6</v>
      </c>
      <c r="I3204">
        <v>4</v>
      </c>
      <c r="J3204">
        <v>44</v>
      </c>
      <c r="K3204" s="482">
        <v>0.77300000000000002</v>
      </c>
      <c r="L3204" s="482">
        <v>0.13600000000000001</v>
      </c>
      <c r="M3204" s="482">
        <v>9.0999999999999998E-2</v>
      </c>
    </row>
    <row r="3205" spans="1:13" x14ac:dyDescent="0.2">
      <c r="A3205" t="s">
        <v>4773</v>
      </c>
      <c r="B3205" t="s">
        <v>13</v>
      </c>
      <c r="C3205" t="s">
        <v>1</v>
      </c>
      <c r="D3205" t="s">
        <v>3307</v>
      </c>
      <c r="E3205" t="s">
        <v>3308</v>
      </c>
      <c r="F3205" t="s">
        <v>52</v>
      </c>
      <c r="G3205">
        <v>30</v>
      </c>
      <c r="H3205">
        <v>1</v>
      </c>
      <c r="I3205">
        <v>1</v>
      </c>
      <c r="J3205">
        <v>32</v>
      </c>
      <c r="K3205" s="482">
        <v>0.93799999999999994</v>
      </c>
      <c r="L3205" s="482">
        <v>3.1E-2</v>
      </c>
      <c r="M3205" s="482">
        <v>3.1E-2</v>
      </c>
    </row>
    <row r="3206" spans="1:13" x14ac:dyDescent="0.2">
      <c r="A3206" t="s">
        <v>4778</v>
      </c>
      <c r="B3206" t="s">
        <v>13</v>
      </c>
      <c r="C3206" t="s">
        <v>1</v>
      </c>
      <c r="D3206" t="s">
        <v>3304</v>
      </c>
      <c r="E3206" t="s">
        <v>3305</v>
      </c>
      <c r="F3206" t="s">
        <v>52</v>
      </c>
      <c r="G3206">
        <v>17</v>
      </c>
      <c r="H3206">
        <v>1</v>
      </c>
      <c r="I3206">
        <v>0</v>
      </c>
      <c r="J3206">
        <v>18</v>
      </c>
      <c r="K3206" s="482">
        <v>0.94399999999999995</v>
      </c>
      <c r="L3206" s="482">
        <v>5.6000000000000001E-2</v>
      </c>
      <c r="M3206" s="482">
        <v>0</v>
      </c>
    </row>
    <row r="3207" spans="1:13" x14ac:dyDescent="0.2">
      <c r="A3207" t="s">
        <v>4774</v>
      </c>
      <c r="B3207" t="s">
        <v>13</v>
      </c>
      <c r="C3207" t="s">
        <v>1</v>
      </c>
      <c r="D3207" t="s">
        <v>4318</v>
      </c>
      <c r="E3207" t="s">
        <v>4319</v>
      </c>
      <c r="F3207" t="s">
        <v>52</v>
      </c>
      <c r="G3207">
        <v>31</v>
      </c>
      <c r="H3207">
        <v>2</v>
      </c>
      <c r="I3207">
        <v>0</v>
      </c>
      <c r="J3207">
        <v>33</v>
      </c>
      <c r="K3207" s="482">
        <v>0.93899999999999995</v>
      </c>
      <c r="L3207" s="482">
        <v>6.0999999999999999E-2</v>
      </c>
      <c r="M3207" s="482">
        <v>0</v>
      </c>
    </row>
    <row r="3208" spans="1:13" x14ac:dyDescent="0.2">
      <c r="A3208" t="s">
        <v>4779</v>
      </c>
      <c r="B3208" t="s">
        <v>13</v>
      </c>
      <c r="C3208" t="s">
        <v>1</v>
      </c>
      <c r="D3208" t="s">
        <v>3301</v>
      </c>
      <c r="E3208" t="s">
        <v>3302</v>
      </c>
      <c r="F3208" t="s">
        <v>52</v>
      </c>
      <c r="G3208">
        <v>34</v>
      </c>
      <c r="H3208">
        <v>2</v>
      </c>
      <c r="I3208">
        <v>4</v>
      </c>
      <c r="J3208">
        <v>40</v>
      </c>
      <c r="K3208" s="482">
        <v>0.85</v>
      </c>
      <c r="L3208" s="482">
        <v>0.05</v>
      </c>
      <c r="M3208" s="482">
        <v>0.1</v>
      </c>
    </row>
    <row r="3209" spans="1:13" x14ac:dyDescent="0.2">
      <c r="A3209" t="s">
        <v>4780</v>
      </c>
      <c r="B3209" t="s">
        <v>13</v>
      </c>
      <c r="C3209" t="s">
        <v>1</v>
      </c>
      <c r="D3209" t="s">
        <v>3298</v>
      </c>
      <c r="E3209" t="s">
        <v>3299</v>
      </c>
      <c r="F3209" t="s">
        <v>52</v>
      </c>
      <c r="G3209">
        <v>107</v>
      </c>
      <c r="H3209">
        <v>8</v>
      </c>
      <c r="I3209">
        <v>4</v>
      </c>
      <c r="J3209">
        <v>119</v>
      </c>
      <c r="K3209" s="482">
        <v>0.89900000000000002</v>
      </c>
      <c r="L3209" s="482">
        <v>6.7000000000000004E-2</v>
      </c>
      <c r="M3209" s="482">
        <v>3.4000000000000002E-2</v>
      </c>
    </row>
    <row r="3210" spans="1:13" x14ac:dyDescent="0.2">
      <c r="A3210" t="s">
        <v>4781</v>
      </c>
      <c r="B3210" t="s">
        <v>13</v>
      </c>
      <c r="C3210" t="s">
        <v>1</v>
      </c>
      <c r="D3210" t="s">
        <v>3295</v>
      </c>
      <c r="E3210" t="s">
        <v>3296</v>
      </c>
      <c r="F3210" t="s">
        <v>52</v>
      </c>
      <c r="G3210">
        <v>39</v>
      </c>
      <c r="H3210">
        <v>2</v>
      </c>
      <c r="I3210">
        <v>2</v>
      </c>
      <c r="J3210">
        <v>43</v>
      </c>
      <c r="K3210" s="482">
        <v>0.90700000000000003</v>
      </c>
      <c r="L3210" s="482">
        <v>4.7E-2</v>
      </c>
      <c r="M3210" s="482">
        <v>4.7E-2</v>
      </c>
    </row>
    <row r="3211" spans="1:13" x14ac:dyDescent="0.2">
      <c r="A3211" t="s">
        <v>4785</v>
      </c>
      <c r="B3211" t="s">
        <v>13</v>
      </c>
      <c r="C3211" t="s">
        <v>1</v>
      </c>
      <c r="D3211" t="s">
        <v>3283</v>
      </c>
      <c r="E3211" t="s">
        <v>3284</v>
      </c>
      <c r="F3211" t="s">
        <v>52</v>
      </c>
      <c r="G3211">
        <v>91</v>
      </c>
      <c r="H3211">
        <v>5</v>
      </c>
      <c r="I3211">
        <v>5</v>
      </c>
      <c r="J3211">
        <v>101</v>
      </c>
      <c r="K3211" s="482">
        <v>0.90100000000000002</v>
      </c>
      <c r="L3211" s="482">
        <v>0.05</v>
      </c>
      <c r="M3211" s="482">
        <v>0.05</v>
      </c>
    </row>
    <row r="3212" spans="1:13" x14ac:dyDescent="0.2">
      <c r="A3212" t="s">
        <v>4786</v>
      </c>
      <c r="B3212" t="s">
        <v>13</v>
      </c>
      <c r="C3212" t="s">
        <v>1</v>
      </c>
      <c r="D3212" t="s">
        <v>3624</v>
      </c>
      <c r="E3212" t="s">
        <v>3625</v>
      </c>
      <c r="F3212" t="s">
        <v>52</v>
      </c>
      <c r="G3212">
        <v>25</v>
      </c>
      <c r="H3212">
        <v>1</v>
      </c>
      <c r="I3212">
        <v>0</v>
      </c>
      <c r="J3212">
        <v>26</v>
      </c>
      <c r="K3212" s="482">
        <v>0.96199999999999997</v>
      </c>
      <c r="L3212" s="482">
        <v>3.7999999999999999E-2</v>
      </c>
      <c r="M3212" s="482">
        <v>0</v>
      </c>
    </row>
    <row r="3213" spans="1:13" x14ac:dyDescent="0.2">
      <c r="A3213" t="s">
        <v>4664</v>
      </c>
      <c r="B3213" t="s">
        <v>13</v>
      </c>
      <c r="C3213" t="s">
        <v>1</v>
      </c>
      <c r="D3213" t="s">
        <v>3621</v>
      </c>
      <c r="E3213" t="s">
        <v>3622</v>
      </c>
      <c r="F3213" t="s">
        <v>52</v>
      </c>
      <c r="G3213">
        <v>9</v>
      </c>
      <c r="H3213">
        <v>0</v>
      </c>
      <c r="I3213">
        <v>1</v>
      </c>
      <c r="J3213">
        <v>10</v>
      </c>
      <c r="K3213" s="482">
        <v>0.9</v>
      </c>
      <c r="L3213" s="482">
        <v>0</v>
      </c>
      <c r="M3213" s="482">
        <v>0.1</v>
      </c>
    </row>
    <row r="3214" spans="1:13" x14ac:dyDescent="0.2">
      <c r="A3214" t="s">
        <v>4665</v>
      </c>
      <c r="B3214" t="s">
        <v>13</v>
      </c>
      <c r="C3214" t="s">
        <v>1</v>
      </c>
      <c r="D3214" t="s">
        <v>3618</v>
      </c>
      <c r="E3214" t="s">
        <v>3619</v>
      </c>
      <c r="F3214" t="s">
        <v>52</v>
      </c>
      <c r="G3214">
        <v>15</v>
      </c>
      <c r="H3214">
        <v>1</v>
      </c>
      <c r="I3214">
        <v>1</v>
      </c>
      <c r="J3214">
        <v>17</v>
      </c>
      <c r="K3214" s="482">
        <v>0.88200000000000001</v>
      </c>
      <c r="L3214" s="482">
        <v>5.8999999999999997E-2</v>
      </c>
      <c r="M3214" s="482">
        <v>5.8999999999999997E-2</v>
      </c>
    </row>
    <row r="3215" spans="1:13" x14ac:dyDescent="0.2">
      <c r="A3215" t="s">
        <v>4783</v>
      </c>
      <c r="B3215" t="s">
        <v>13</v>
      </c>
      <c r="C3215" t="s">
        <v>1</v>
      </c>
      <c r="D3215" t="s">
        <v>3289</v>
      </c>
      <c r="E3215" t="s">
        <v>3290</v>
      </c>
      <c r="F3215" t="s">
        <v>52</v>
      </c>
      <c r="G3215">
        <v>11</v>
      </c>
      <c r="H3215">
        <v>1</v>
      </c>
      <c r="I3215">
        <v>1</v>
      </c>
      <c r="J3215">
        <v>13</v>
      </c>
      <c r="K3215" s="482">
        <v>0.84599999999999997</v>
      </c>
      <c r="L3215" s="482">
        <v>7.6999999999999999E-2</v>
      </c>
      <c r="M3215" s="482">
        <v>7.6999999999999999E-2</v>
      </c>
    </row>
    <row r="3216" spans="1:13" x14ac:dyDescent="0.2">
      <c r="A3216" t="s">
        <v>4784</v>
      </c>
      <c r="B3216" t="s">
        <v>13</v>
      </c>
      <c r="C3216" t="s">
        <v>1</v>
      </c>
      <c r="D3216" t="s">
        <v>3286</v>
      </c>
      <c r="E3216" t="s">
        <v>3287</v>
      </c>
      <c r="F3216" t="s">
        <v>52</v>
      </c>
      <c r="G3216">
        <v>28</v>
      </c>
      <c r="H3216">
        <v>5</v>
      </c>
      <c r="I3216">
        <v>1</v>
      </c>
      <c r="J3216">
        <v>34</v>
      </c>
      <c r="K3216" s="482">
        <v>0.82399999999999995</v>
      </c>
      <c r="L3216" s="482">
        <v>0.14699999999999999</v>
      </c>
      <c r="M3216" s="482">
        <v>2.9000000000000001E-2</v>
      </c>
    </row>
    <row r="3217" spans="1:13" x14ac:dyDescent="0.2">
      <c r="A3217" t="s">
        <v>4775</v>
      </c>
      <c r="B3217" t="s">
        <v>13</v>
      </c>
      <c r="C3217" t="s">
        <v>1</v>
      </c>
      <c r="D3217" t="s">
        <v>4776</v>
      </c>
      <c r="E3217" t="s">
        <v>4777</v>
      </c>
      <c r="F3217" t="s">
        <v>52</v>
      </c>
      <c r="G3217">
        <v>6</v>
      </c>
      <c r="H3217">
        <v>0</v>
      </c>
      <c r="I3217">
        <v>1</v>
      </c>
      <c r="J3217">
        <v>7</v>
      </c>
      <c r="K3217" s="482">
        <v>0.85699999999999998</v>
      </c>
      <c r="L3217" s="482">
        <v>0</v>
      </c>
      <c r="M3217" s="482">
        <v>0.14299999999999999</v>
      </c>
    </row>
    <row r="3218" spans="1:13" x14ac:dyDescent="0.2">
      <c r="A3218" t="s">
        <v>4782</v>
      </c>
      <c r="B3218" t="s">
        <v>13</v>
      </c>
      <c r="C3218" t="s">
        <v>1</v>
      </c>
      <c r="D3218" t="s">
        <v>3292</v>
      </c>
      <c r="E3218" t="s">
        <v>3293</v>
      </c>
      <c r="F3218" t="s">
        <v>52</v>
      </c>
      <c r="G3218">
        <v>65</v>
      </c>
      <c r="H3218">
        <v>3</v>
      </c>
      <c r="I3218">
        <v>4</v>
      </c>
      <c r="J3218">
        <v>72</v>
      </c>
      <c r="K3218" s="482">
        <v>0.90300000000000002</v>
      </c>
      <c r="L3218" s="482">
        <v>4.2000000000000003E-2</v>
      </c>
      <c r="M3218" s="482">
        <v>5.6000000000000001E-2</v>
      </c>
    </row>
    <row r="3219" spans="1:13" x14ac:dyDescent="0.2">
      <c r="A3219" t="s">
        <v>4637</v>
      </c>
      <c r="B3219" t="s">
        <v>13</v>
      </c>
      <c r="C3219" t="s">
        <v>1</v>
      </c>
      <c r="D3219" t="s">
        <v>4477</v>
      </c>
      <c r="E3219" t="s">
        <v>4478</v>
      </c>
      <c r="F3219" t="s">
        <v>52</v>
      </c>
      <c r="G3219">
        <v>30</v>
      </c>
      <c r="H3219">
        <v>1</v>
      </c>
      <c r="I3219">
        <v>0</v>
      </c>
      <c r="J3219">
        <v>31</v>
      </c>
      <c r="K3219" s="482">
        <v>0.96799999999999997</v>
      </c>
      <c r="L3219" s="482">
        <v>3.2000000000000001E-2</v>
      </c>
      <c r="M3219" s="482">
        <v>0</v>
      </c>
    </row>
    <row r="3220" spans="1:13" x14ac:dyDescent="0.2">
      <c r="A3220" t="s">
        <v>4767</v>
      </c>
      <c r="B3220" t="s">
        <v>13</v>
      </c>
      <c r="C3220" t="s">
        <v>1</v>
      </c>
      <c r="D3220" t="s">
        <v>4327</v>
      </c>
      <c r="E3220" t="s">
        <v>4328</v>
      </c>
      <c r="F3220" t="s">
        <v>52</v>
      </c>
      <c r="G3220" t="s">
        <v>53</v>
      </c>
      <c r="H3220">
        <v>0</v>
      </c>
      <c r="I3220">
        <v>0</v>
      </c>
      <c r="J3220" t="s">
        <v>53</v>
      </c>
      <c r="K3220" t="s">
        <v>53</v>
      </c>
      <c r="L3220" t="s">
        <v>53</v>
      </c>
      <c r="M3220" t="s">
        <v>53</v>
      </c>
    </row>
    <row r="3221" spans="1:13" x14ac:dyDescent="0.2">
      <c r="A3221" t="s">
        <v>4639</v>
      </c>
      <c r="B3221" t="s">
        <v>13</v>
      </c>
      <c r="C3221" t="s">
        <v>1</v>
      </c>
      <c r="D3221" t="s">
        <v>3700</v>
      </c>
      <c r="E3221" t="s">
        <v>3701</v>
      </c>
      <c r="F3221" t="s">
        <v>52</v>
      </c>
      <c r="G3221">
        <v>10</v>
      </c>
      <c r="H3221">
        <v>1</v>
      </c>
      <c r="I3221">
        <v>1</v>
      </c>
      <c r="J3221">
        <v>12</v>
      </c>
      <c r="K3221" s="482">
        <v>0.83299999999999996</v>
      </c>
      <c r="L3221" s="482">
        <v>8.3000000000000004E-2</v>
      </c>
      <c r="M3221" s="482">
        <v>8.3000000000000004E-2</v>
      </c>
    </row>
    <row r="3222" spans="1:13" x14ac:dyDescent="0.2">
      <c r="A3222" t="s">
        <v>4640</v>
      </c>
      <c r="B3222" t="s">
        <v>13</v>
      </c>
      <c r="C3222" t="s">
        <v>1</v>
      </c>
      <c r="D3222" t="s">
        <v>3697</v>
      </c>
      <c r="E3222" t="s">
        <v>3698</v>
      </c>
      <c r="F3222" t="s">
        <v>52</v>
      </c>
      <c r="G3222" t="s">
        <v>53</v>
      </c>
      <c r="H3222" t="s">
        <v>53</v>
      </c>
      <c r="I3222">
        <v>0</v>
      </c>
      <c r="J3222" t="s">
        <v>53</v>
      </c>
      <c r="K3222" t="s">
        <v>53</v>
      </c>
      <c r="L3222" t="s">
        <v>53</v>
      </c>
      <c r="M3222" t="s">
        <v>53</v>
      </c>
    </row>
    <row r="3223" spans="1:13" x14ac:dyDescent="0.2">
      <c r="A3223" t="s">
        <v>4641</v>
      </c>
      <c r="B3223" t="s">
        <v>13</v>
      </c>
      <c r="C3223" t="s">
        <v>1</v>
      </c>
      <c r="D3223" t="s">
        <v>3691</v>
      </c>
      <c r="E3223" t="s">
        <v>3692</v>
      </c>
      <c r="F3223" t="s">
        <v>52</v>
      </c>
      <c r="G3223">
        <v>67</v>
      </c>
      <c r="H3223">
        <v>3</v>
      </c>
      <c r="I3223">
        <v>4</v>
      </c>
      <c r="J3223">
        <v>74</v>
      </c>
      <c r="K3223" s="482">
        <v>0.90500000000000003</v>
      </c>
      <c r="L3223" s="482">
        <v>4.1000000000000002E-2</v>
      </c>
      <c r="M3223" s="482">
        <v>5.3999999999999999E-2</v>
      </c>
    </row>
    <row r="3224" spans="1:13" x14ac:dyDescent="0.2">
      <c r="A3224" t="s">
        <v>4642</v>
      </c>
      <c r="B3224" t="s">
        <v>13</v>
      </c>
      <c r="C3224" t="s">
        <v>1</v>
      </c>
      <c r="D3224" t="s">
        <v>3687</v>
      </c>
      <c r="E3224" t="s">
        <v>3688</v>
      </c>
      <c r="F3224" t="s">
        <v>52</v>
      </c>
      <c r="G3224">
        <v>342</v>
      </c>
      <c r="H3224">
        <v>22</v>
      </c>
      <c r="I3224">
        <v>29</v>
      </c>
      <c r="J3224">
        <v>393</v>
      </c>
      <c r="K3224" s="482">
        <v>0.87</v>
      </c>
      <c r="L3224" s="482">
        <v>5.6000000000000001E-2</v>
      </c>
      <c r="M3224" s="482">
        <v>7.3999999999999996E-2</v>
      </c>
    </row>
    <row r="3225" spans="1:13" x14ac:dyDescent="0.2">
      <c r="A3225" t="s">
        <v>4643</v>
      </c>
      <c r="B3225" t="s">
        <v>13</v>
      </c>
      <c r="C3225" t="s">
        <v>1</v>
      </c>
      <c r="D3225" t="s">
        <v>3684</v>
      </c>
      <c r="E3225" t="s">
        <v>3685</v>
      </c>
      <c r="F3225" t="s">
        <v>52</v>
      </c>
      <c r="G3225">
        <v>565</v>
      </c>
      <c r="H3225">
        <v>46</v>
      </c>
      <c r="I3225">
        <v>28</v>
      </c>
      <c r="J3225">
        <v>639</v>
      </c>
      <c r="K3225" s="482">
        <v>0.88400000000000001</v>
      </c>
      <c r="L3225" s="482">
        <v>7.1999999999999995E-2</v>
      </c>
      <c r="M3225" s="482">
        <v>4.3999999999999997E-2</v>
      </c>
    </row>
    <row r="3226" spans="1:13" x14ac:dyDescent="0.2">
      <c r="A3226" t="s">
        <v>4769</v>
      </c>
      <c r="B3226" t="s">
        <v>13</v>
      </c>
      <c r="C3226" t="s">
        <v>1</v>
      </c>
      <c r="D3226" t="s">
        <v>3319</v>
      </c>
      <c r="E3226" t="s">
        <v>3320</v>
      </c>
      <c r="F3226" t="s">
        <v>52</v>
      </c>
      <c r="G3226">
        <v>37</v>
      </c>
      <c r="H3226">
        <v>2</v>
      </c>
      <c r="I3226">
        <v>3</v>
      </c>
      <c r="J3226">
        <v>42</v>
      </c>
      <c r="K3226" s="482">
        <v>0.88100000000000001</v>
      </c>
      <c r="L3226" s="482">
        <v>4.8000000000000001E-2</v>
      </c>
      <c r="M3226" s="482">
        <v>7.0999999999999994E-2</v>
      </c>
    </row>
    <row r="3227" spans="1:13" x14ac:dyDescent="0.2">
      <c r="A3227" t="s">
        <v>4770</v>
      </c>
      <c r="B3227" t="s">
        <v>13</v>
      </c>
      <c r="C3227" t="s">
        <v>1</v>
      </c>
      <c r="D3227" t="s">
        <v>3316</v>
      </c>
      <c r="E3227" t="s">
        <v>3317</v>
      </c>
      <c r="F3227" t="s">
        <v>52</v>
      </c>
      <c r="G3227">
        <v>40</v>
      </c>
      <c r="H3227">
        <v>2</v>
      </c>
      <c r="I3227">
        <v>2</v>
      </c>
      <c r="J3227">
        <v>44</v>
      </c>
      <c r="K3227" s="482">
        <v>0.90900000000000003</v>
      </c>
      <c r="L3227" s="482">
        <v>4.4999999999999998E-2</v>
      </c>
      <c r="M3227" s="482">
        <v>4.4999999999999998E-2</v>
      </c>
    </row>
    <row r="3228" spans="1:13" x14ac:dyDescent="0.2">
      <c r="A3228" t="s">
        <v>4623</v>
      </c>
      <c r="B3228" t="s">
        <v>13</v>
      </c>
      <c r="C3228" t="s">
        <v>1</v>
      </c>
      <c r="D3228" t="s">
        <v>4496</v>
      </c>
      <c r="E3228" t="s">
        <v>4497</v>
      </c>
      <c r="F3228" t="s">
        <v>52</v>
      </c>
      <c r="G3228">
        <v>623</v>
      </c>
      <c r="H3228">
        <v>31</v>
      </c>
      <c r="I3228">
        <v>28</v>
      </c>
      <c r="J3228">
        <v>682</v>
      </c>
      <c r="K3228" s="482">
        <v>0.91300000000000003</v>
      </c>
      <c r="L3228" s="482">
        <v>4.4999999999999998E-2</v>
      </c>
      <c r="M3228" s="482">
        <v>4.1000000000000002E-2</v>
      </c>
    </row>
    <row r="3229" spans="1:13" x14ac:dyDescent="0.2">
      <c r="A3229" t="s">
        <v>4625</v>
      </c>
      <c r="B3229" t="s">
        <v>13</v>
      </c>
      <c r="C3229" t="s">
        <v>1</v>
      </c>
      <c r="D3229" t="s">
        <v>3739</v>
      </c>
      <c r="E3229" t="s">
        <v>3740</v>
      </c>
      <c r="F3229" t="s">
        <v>52</v>
      </c>
      <c r="G3229">
        <v>145</v>
      </c>
      <c r="H3229">
        <v>8</v>
      </c>
      <c r="I3229">
        <v>12</v>
      </c>
      <c r="J3229">
        <v>165</v>
      </c>
      <c r="K3229" s="482">
        <v>0.879</v>
      </c>
      <c r="L3229" s="482">
        <v>4.8000000000000001E-2</v>
      </c>
      <c r="M3229" s="482">
        <v>7.2999999999999995E-2</v>
      </c>
    </row>
    <row r="3230" spans="1:13" x14ac:dyDescent="0.2">
      <c r="A3230" t="s">
        <v>4618</v>
      </c>
      <c r="B3230" t="s">
        <v>13</v>
      </c>
      <c r="C3230" t="s">
        <v>1</v>
      </c>
      <c r="D3230" t="s">
        <v>3754</v>
      </c>
      <c r="E3230" t="s">
        <v>3755</v>
      </c>
      <c r="F3230" t="s">
        <v>52</v>
      </c>
      <c r="G3230">
        <v>134</v>
      </c>
      <c r="H3230">
        <v>6</v>
      </c>
      <c r="I3230">
        <v>8</v>
      </c>
      <c r="J3230">
        <v>148</v>
      </c>
      <c r="K3230" s="482">
        <v>0.90500000000000003</v>
      </c>
      <c r="L3230" s="482">
        <v>4.1000000000000002E-2</v>
      </c>
      <c r="M3230" s="482">
        <v>5.3999999999999999E-2</v>
      </c>
    </row>
    <row r="3231" spans="1:13" x14ac:dyDescent="0.2">
      <c r="A3231" t="s">
        <v>4638</v>
      </c>
      <c r="B3231" t="s">
        <v>13</v>
      </c>
      <c r="C3231" t="s">
        <v>1</v>
      </c>
      <c r="D3231" t="s">
        <v>3703</v>
      </c>
      <c r="E3231" t="s">
        <v>3704</v>
      </c>
      <c r="F3231" t="s">
        <v>52</v>
      </c>
      <c r="G3231">
        <v>5</v>
      </c>
      <c r="H3231">
        <v>1</v>
      </c>
      <c r="I3231">
        <v>0</v>
      </c>
      <c r="J3231">
        <v>6</v>
      </c>
      <c r="K3231" s="482">
        <v>0.83299999999999996</v>
      </c>
      <c r="L3231" s="482">
        <v>0.16700000000000001</v>
      </c>
      <c r="M3231" s="482">
        <v>0</v>
      </c>
    </row>
    <row r="3232" spans="1:13" x14ac:dyDescent="0.2">
      <c r="A3232" t="s">
        <v>4747</v>
      </c>
      <c r="B3232" t="s">
        <v>13</v>
      </c>
      <c r="C3232" t="s">
        <v>1</v>
      </c>
      <c r="D3232" t="s">
        <v>4480</v>
      </c>
      <c r="E3232" t="s">
        <v>4481</v>
      </c>
      <c r="F3232" t="s">
        <v>52</v>
      </c>
      <c r="G3232">
        <v>380</v>
      </c>
      <c r="H3232">
        <v>21</v>
      </c>
      <c r="I3232">
        <v>34</v>
      </c>
      <c r="J3232">
        <v>435</v>
      </c>
      <c r="K3232" s="482">
        <v>0.874</v>
      </c>
      <c r="L3232" s="482">
        <v>4.8000000000000001E-2</v>
      </c>
      <c r="M3232" s="482">
        <v>7.8E-2</v>
      </c>
    </row>
    <row r="3233" spans="1:13" x14ac:dyDescent="0.2">
      <c r="A3233" t="s">
        <v>4620</v>
      </c>
      <c r="B3233" t="s">
        <v>13</v>
      </c>
      <c r="C3233" t="s">
        <v>1</v>
      </c>
      <c r="D3233" t="s">
        <v>3748</v>
      </c>
      <c r="E3233" t="s">
        <v>3749</v>
      </c>
      <c r="F3233" t="s">
        <v>52</v>
      </c>
      <c r="G3233">
        <v>179</v>
      </c>
      <c r="H3233">
        <v>16</v>
      </c>
      <c r="I3233">
        <v>19</v>
      </c>
      <c r="J3233">
        <v>214</v>
      </c>
      <c r="K3233" s="482">
        <v>0.83599999999999997</v>
      </c>
      <c r="L3233" s="482">
        <v>7.4999999999999997E-2</v>
      </c>
      <c r="M3233" s="482">
        <v>8.8999999999999996E-2</v>
      </c>
    </row>
    <row r="3234" spans="1:13" x14ac:dyDescent="0.2">
      <c r="A3234" t="s">
        <v>4746</v>
      </c>
      <c r="B3234" t="s">
        <v>13</v>
      </c>
      <c r="C3234" t="s">
        <v>1</v>
      </c>
      <c r="D3234" t="s">
        <v>3382</v>
      </c>
      <c r="E3234" t="s">
        <v>3383</v>
      </c>
      <c r="F3234" t="s">
        <v>52</v>
      </c>
      <c r="G3234">
        <v>178</v>
      </c>
      <c r="H3234">
        <v>14</v>
      </c>
      <c r="I3234">
        <v>17</v>
      </c>
      <c r="J3234">
        <v>209</v>
      </c>
      <c r="K3234" s="482">
        <v>0.85199999999999998</v>
      </c>
      <c r="L3234" s="482">
        <v>6.7000000000000004E-2</v>
      </c>
      <c r="M3234" s="482">
        <v>8.1000000000000003E-2</v>
      </c>
    </row>
    <row r="3235" spans="1:13" x14ac:dyDescent="0.2">
      <c r="A3235" t="s">
        <v>4624</v>
      </c>
      <c r="B3235" t="s">
        <v>13</v>
      </c>
      <c r="C3235" t="s">
        <v>1</v>
      </c>
      <c r="D3235" t="s">
        <v>3742</v>
      </c>
      <c r="E3235" t="s">
        <v>3743</v>
      </c>
      <c r="F3235" t="s">
        <v>52</v>
      </c>
      <c r="G3235">
        <v>345</v>
      </c>
      <c r="H3235">
        <v>19</v>
      </c>
      <c r="I3235">
        <v>20</v>
      </c>
      <c r="J3235">
        <v>384</v>
      </c>
      <c r="K3235" s="482">
        <v>0.89800000000000002</v>
      </c>
      <c r="L3235" s="482">
        <v>4.9000000000000002E-2</v>
      </c>
      <c r="M3235" s="482">
        <v>5.1999999999999998E-2</v>
      </c>
    </row>
    <row r="3236" spans="1:13" x14ac:dyDescent="0.2">
      <c r="A3236" t="s">
        <v>4851</v>
      </c>
      <c r="B3236" t="s">
        <v>13</v>
      </c>
      <c r="C3236" t="s">
        <v>1</v>
      </c>
      <c r="D3236" t="s">
        <v>3100</v>
      </c>
      <c r="E3236" t="s">
        <v>3101</v>
      </c>
      <c r="F3236" t="s">
        <v>52</v>
      </c>
      <c r="G3236">
        <v>163</v>
      </c>
      <c r="H3236">
        <v>16</v>
      </c>
      <c r="I3236">
        <v>10</v>
      </c>
      <c r="J3236">
        <v>189</v>
      </c>
      <c r="K3236" s="482">
        <v>0.86199999999999999</v>
      </c>
      <c r="L3236" s="482">
        <v>8.5000000000000006E-2</v>
      </c>
      <c r="M3236" s="482">
        <v>5.2999999999999999E-2</v>
      </c>
    </row>
    <row r="3237" spans="1:13" x14ac:dyDescent="0.2">
      <c r="A3237" t="s">
        <v>4853</v>
      </c>
      <c r="B3237" t="s">
        <v>13</v>
      </c>
      <c r="C3237" t="s">
        <v>1</v>
      </c>
      <c r="D3237" t="s">
        <v>3091</v>
      </c>
      <c r="E3237" t="s">
        <v>3092</v>
      </c>
      <c r="F3237" t="s">
        <v>52</v>
      </c>
      <c r="G3237">
        <v>118</v>
      </c>
      <c r="H3237">
        <v>4</v>
      </c>
      <c r="I3237">
        <v>7</v>
      </c>
      <c r="J3237">
        <v>129</v>
      </c>
      <c r="K3237" s="482">
        <v>0.91500000000000004</v>
      </c>
      <c r="L3237" s="482">
        <v>3.1E-2</v>
      </c>
      <c r="M3237" s="482">
        <v>5.3999999999999999E-2</v>
      </c>
    </row>
    <row r="3238" spans="1:13" x14ac:dyDescent="0.2">
      <c r="A3238" t="s">
        <v>4852</v>
      </c>
      <c r="B3238" t="s">
        <v>13</v>
      </c>
      <c r="C3238" t="s">
        <v>1</v>
      </c>
      <c r="D3238" t="s">
        <v>3097</v>
      </c>
      <c r="E3238" t="s">
        <v>3098</v>
      </c>
      <c r="F3238" t="s">
        <v>52</v>
      </c>
      <c r="G3238">
        <v>185</v>
      </c>
      <c r="H3238">
        <v>11</v>
      </c>
      <c r="I3238">
        <v>5</v>
      </c>
      <c r="J3238">
        <v>201</v>
      </c>
      <c r="K3238" s="482">
        <v>0.92</v>
      </c>
      <c r="L3238" s="482">
        <v>5.5E-2</v>
      </c>
      <c r="M3238" s="482">
        <v>2.5000000000000001E-2</v>
      </c>
    </row>
    <row r="3239" spans="1:13" x14ac:dyDescent="0.2">
      <c r="A3239" t="s">
        <v>4855</v>
      </c>
      <c r="B3239" t="s">
        <v>13</v>
      </c>
      <c r="C3239" t="s">
        <v>1</v>
      </c>
      <c r="D3239" t="s">
        <v>3085</v>
      </c>
      <c r="E3239" t="s">
        <v>3086</v>
      </c>
      <c r="F3239" t="s">
        <v>52</v>
      </c>
      <c r="G3239">
        <v>150</v>
      </c>
      <c r="H3239">
        <v>8</v>
      </c>
      <c r="I3239">
        <v>14</v>
      </c>
      <c r="J3239">
        <v>172</v>
      </c>
      <c r="K3239" s="482">
        <v>0.872</v>
      </c>
      <c r="L3239" s="482">
        <v>4.7E-2</v>
      </c>
      <c r="M3239" s="482">
        <v>8.1000000000000003E-2</v>
      </c>
    </row>
    <row r="3240" spans="1:13" x14ac:dyDescent="0.2">
      <c r="A3240" t="s">
        <v>4856</v>
      </c>
      <c r="B3240" t="s">
        <v>13</v>
      </c>
      <c r="C3240" t="s">
        <v>1</v>
      </c>
      <c r="D3240" t="s">
        <v>3082</v>
      </c>
      <c r="E3240" t="s">
        <v>3083</v>
      </c>
      <c r="F3240" t="s">
        <v>52</v>
      </c>
      <c r="G3240">
        <v>25</v>
      </c>
      <c r="H3240">
        <v>4</v>
      </c>
      <c r="I3240">
        <v>1</v>
      </c>
      <c r="J3240">
        <v>30</v>
      </c>
      <c r="K3240" s="482">
        <v>0.83299999999999996</v>
      </c>
      <c r="L3240" s="482">
        <v>0.13300000000000001</v>
      </c>
      <c r="M3240" s="482">
        <v>3.3000000000000002E-2</v>
      </c>
    </row>
    <row r="3241" spans="1:13" x14ac:dyDescent="0.2">
      <c r="A3241" t="s">
        <v>4857</v>
      </c>
      <c r="B3241" t="s">
        <v>13</v>
      </c>
      <c r="C3241" t="s">
        <v>1</v>
      </c>
      <c r="D3241" t="s">
        <v>3079</v>
      </c>
      <c r="E3241" t="s">
        <v>3080</v>
      </c>
      <c r="F3241" t="s">
        <v>52</v>
      </c>
      <c r="G3241">
        <v>47</v>
      </c>
      <c r="H3241">
        <v>7</v>
      </c>
      <c r="I3241">
        <v>3</v>
      </c>
      <c r="J3241">
        <v>57</v>
      </c>
      <c r="K3241" s="482">
        <v>0.82499999999999996</v>
      </c>
      <c r="L3241" s="482">
        <v>0.123</v>
      </c>
      <c r="M3241" s="482">
        <v>5.2999999999999999E-2</v>
      </c>
    </row>
    <row r="3242" spans="1:13" x14ac:dyDescent="0.2">
      <c r="A3242" t="s">
        <v>4858</v>
      </c>
      <c r="B3242" t="s">
        <v>13</v>
      </c>
      <c r="C3242" t="s">
        <v>1</v>
      </c>
      <c r="D3242" t="s">
        <v>3076</v>
      </c>
      <c r="E3242" t="s">
        <v>3077</v>
      </c>
      <c r="F3242" t="s">
        <v>52</v>
      </c>
      <c r="G3242">
        <v>200</v>
      </c>
      <c r="H3242">
        <v>5</v>
      </c>
      <c r="I3242">
        <v>16</v>
      </c>
      <c r="J3242">
        <v>221</v>
      </c>
      <c r="K3242" s="482">
        <v>0.90500000000000003</v>
      </c>
      <c r="L3242" s="482">
        <v>2.3E-2</v>
      </c>
      <c r="M3242" s="482">
        <v>7.1999999999999995E-2</v>
      </c>
    </row>
    <row r="3243" spans="1:13" x14ac:dyDescent="0.2">
      <c r="A3243" t="s">
        <v>4854</v>
      </c>
      <c r="B3243" t="s">
        <v>13</v>
      </c>
      <c r="C3243" t="s">
        <v>1</v>
      </c>
      <c r="D3243" t="s">
        <v>3379</v>
      </c>
      <c r="E3243" t="s">
        <v>3380</v>
      </c>
      <c r="F3243" t="s">
        <v>52</v>
      </c>
      <c r="G3243">
        <v>242</v>
      </c>
      <c r="H3243">
        <v>18</v>
      </c>
      <c r="I3243">
        <v>17</v>
      </c>
      <c r="J3243">
        <v>277</v>
      </c>
      <c r="K3243" s="482">
        <v>0.874</v>
      </c>
      <c r="L3243" s="482">
        <v>6.5000000000000002E-2</v>
      </c>
      <c r="M3243" s="482">
        <v>6.0999999999999999E-2</v>
      </c>
    </row>
    <row r="3244" spans="1:13" x14ac:dyDescent="0.2">
      <c r="A3244" t="s">
        <v>4748</v>
      </c>
      <c r="B3244" t="s">
        <v>13</v>
      </c>
      <c r="C3244" t="s">
        <v>1</v>
      </c>
      <c r="D3244" t="s">
        <v>3373</v>
      </c>
      <c r="E3244" t="s">
        <v>3374</v>
      </c>
      <c r="F3244" t="s">
        <v>52</v>
      </c>
      <c r="G3244">
        <v>147</v>
      </c>
      <c r="H3244">
        <v>7</v>
      </c>
      <c r="I3244">
        <v>5</v>
      </c>
      <c r="J3244">
        <v>159</v>
      </c>
      <c r="K3244" s="482">
        <v>0.92500000000000004</v>
      </c>
      <c r="L3244" s="482">
        <v>4.3999999999999997E-2</v>
      </c>
      <c r="M3244" s="482">
        <v>3.1E-2</v>
      </c>
    </row>
    <row r="3245" spans="1:13" x14ac:dyDescent="0.2">
      <c r="A3245" t="s">
        <v>4749</v>
      </c>
      <c r="B3245" t="s">
        <v>13</v>
      </c>
      <c r="C3245" t="s">
        <v>1</v>
      </c>
      <c r="D3245" t="s">
        <v>3370</v>
      </c>
      <c r="E3245" t="s">
        <v>3371</v>
      </c>
      <c r="F3245" t="s">
        <v>52</v>
      </c>
      <c r="G3245">
        <v>120</v>
      </c>
      <c r="H3245">
        <v>14</v>
      </c>
      <c r="I3245">
        <v>13</v>
      </c>
      <c r="J3245">
        <v>147</v>
      </c>
      <c r="K3245" s="482">
        <v>0.81599999999999995</v>
      </c>
      <c r="L3245" s="482">
        <v>9.5000000000000001E-2</v>
      </c>
      <c r="M3245" s="482">
        <v>8.7999999999999995E-2</v>
      </c>
    </row>
    <row r="3246" spans="1:13" x14ac:dyDescent="0.2">
      <c r="A3246" t="s">
        <v>4750</v>
      </c>
      <c r="B3246" t="s">
        <v>13</v>
      </c>
      <c r="C3246" t="s">
        <v>1</v>
      </c>
      <c r="D3246" t="s">
        <v>3367</v>
      </c>
      <c r="E3246" t="s">
        <v>3368</v>
      </c>
      <c r="F3246" t="s">
        <v>52</v>
      </c>
      <c r="G3246">
        <v>171</v>
      </c>
      <c r="H3246">
        <v>24</v>
      </c>
      <c r="I3246">
        <v>18</v>
      </c>
      <c r="J3246">
        <v>213</v>
      </c>
      <c r="K3246" s="482">
        <v>0.80300000000000005</v>
      </c>
      <c r="L3246" s="482">
        <v>0.113</v>
      </c>
      <c r="M3246" s="482">
        <v>8.5000000000000006E-2</v>
      </c>
    </row>
    <row r="3247" spans="1:13" x14ac:dyDescent="0.2">
      <c r="A3247" t="s">
        <v>4751</v>
      </c>
      <c r="B3247" t="s">
        <v>13</v>
      </c>
      <c r="C3247" t="s">
        <v>1</v>
      </c>
      <c r="D3247" t="s">
        <v>3364</v>
      </c>
      <c r="E3247" t="s">
        <v>3365</v>
      </c>
      <c r="F3247" t="s">
        <v>52</v>
      </c>
      <c r="G3247" t="s">
        <v>53</v>
      </c>
      <c r="H3247">
        <v>0</v>
      </c>
      <c r="I3247">
        <v>0</v>
      </c>
      <c r="J3247" t="s">
        <v>53</v>
      </c>
      <c r="K3247" t="s">
        <v>53</v>
      </c>
      <c r="L3247" t="s">
        <v>53</v>
      </c>
      <c r="M3247" t="s">
        <v>53</v>
      </c>
    </row>
    <row r="3248" spans="1:13" x14ac:dyDescent="0.2">
      <c r="A3248" t="s">
        <v>4752</v>
      </c>
      <c r="B3248" t="s">
        <v>13</v>
      </c>
      <c r="C3248" t="s">
        <v>1</v>
      </c>
      <c r="D3248" t="s">
        <v>3361</v>
      </c>
      <c r="E3248" t="s">
        <v>3362</v>
      </c>
      <c r="F3248" t="s">
        <v>52</v>
      </c>
      <c r="G3248">
        <v>65</v>
      </c>
      <c r="H3248">
        <v>5</v>
      </c>
      <c r="I3248">
        <v>7</v>
      </c>
      <c r="J3248">
        <v>77</v>
      </c>
      <c r="K3248" s="482">
        <v>0.84399999999999997</v>
      </c>
      <c r="L3248" s="482">
        <v>6.5000000000000002E-2</v>
      </c>
      <c r="M3248" s="482">
        <v>9.0999999999999998E-2</v>
      </c>
    </row>
    <row r="3249" spans="1:13" x14ac:dyDescent="0.2">
      <c r="A3249" t="s">
        <v>4765</v>
      </c>
      <c r="B3249" t="s">
        <v>13</v>
      </c>
      <c r="C3249" t="s">
        <v>1</v>
      </c>
      <c r="D3249" t="s">
        <v>3331</v>
      </c>
      <c r="E3249" t="s">
        <v>3332</v>
      </c>
      <c r="F3249" t="s">
        <v>52</v>
      </c>
      <c r="G3249">
        <v>31</v>
      </c>
      <c r="H3249">
        <v>1</v>
      </c>
      <c r="I3249">
        <v>1</v>
      </c>
      <c r="J3249">
        <v>33</v>
      </c>
      <c r="K3249" s="482">
        <v>0.93899999999999995</v>
      </c>
      <c r="L3249" s="482">
        <v>0.03</v>
      </c>
      <c r="M3249" s="482">
        <v>0.03</v>
      </c>
    </row>
    <row r="3250" spans="1:13" x14ac:dyDescent="0.2">
      <c r="A3250" t="s">
        <v>4753</v>
      </c>
      <c r="B3250" t="s">
        <v>13</v>
      </c>
      <c r="C3250" t="s">
        <v>1</v>
      </c>
      <c r="D3250" t="s">
        <v>3358</v>
      </c>
      <c r="E3250" t="s">
        <v>3359</v>
      </c>
      <c r="F3250" t="s">
        <v>52</v>
      </c>
      <c r="G3250">
        <v>72</v>
      </c>
      <c r="H3250">
        <v>5</v>
      </c>
      <c r="I3250">
        <v>4</v>
      </c>
      <c r="J3250">
        <v>81</v>
      </c>
      <c r="K3250" s="482">
        <v>0.88900000000000001</v>
      </c>
      <c r="L3250" s="482">
        <v>6.2E-2</v>
      </c>
      <c r="M3250" s="482">
        <v>4.9000000000000002E-2</v>
      </c>
    </row>
    <row r="3251" spans="1:13" x14ac:dyDescent="0.2">
      <c r="A3251" t="s">
        <v>4754</v>
      </c>
      <c r="B3251" t="s">
        <v>13</v>
      </c>
      <c r="C3251" t="s">
        <v>1</v>
      </c>
      <c r="D3251" t="s">
        <v>3355</v>
      </c>
      <c r="E3251" t="s">
        <v>3356</v>
      </c>
      <c r="F3251" t="s">
        <v>52</v>
      </c>
      <c r="G3251">
        <v>58</v>
      </c>
      <c r="H3251">
        <v>4</v>
      </c>
      <c r="I3251">
        <v>7</v>
      </c>
      <c r="J3251">
        <v>69</v>
      </c>
      <c r="K3251" s="482">
        <v>0.84099999999999997</v>
      </c>
      <c r="L3251" s="482">
        <v>5.8000000000000003E-2</v>
      </c>
      <c r="M3251" s="482">
        <v>0.10100000000000001</v>
      </c>
    </row>
    <row r="3252" spans="1:13" x14ac:dyDescent="0.2">
      <c r="A3252" t="s">
        <v>4755</v>
      </c>
      <c r="B3252" t="s">
        <v>13</v>
      </c>
      <c r="C3252" t="s">
        <v>1</v>
      </c>
      <c r="D3252" t="s">
        <v>3352</v>
      </c>
      <c r="E3252" t="s">
        <v>3353</v>
      </c>
      <c r="F3252" t="s">
        <v>52</v>
      </c>
      <c r="G3252">
        <v>64</v>
      </c>
      <c r="H3252">
        <v>4</v>
      </c>
      <c r="I3252">
        <v>6</v>
      </c>
      <c r="J3252">
        <v>74</v>
      </c>
      <c r="K3252" s="482">
        <v>0.86499999999999999</v>
      </c>
      <c r="L3252" s="482">
        <v>5.3999999999999999E-2</v>
      </c>
      <c r="M3252" s="482">
        <v>8.1000000000000003E-2</v>
      </c>
    </row>
    <row r="3253" spans="1:13" x14ac:dyDescent="0.2">
      <c r="A3253" t="s">
        <v>4756</v>
      </c>
      <c r="B3253" t="s">
        <v>13</v>
      </c>
      <c r="C3253" t="s">
        <v>1</v>
      </c>
      <c r="D3253" t="s">
        <v>3349</v>
      </c>
      <c r="E3253" t="s">
        <v>3350</v>
      </c>
      <c r="F3253" t="s">
        <v>52</v>
      </c>
      <c r="G3253">
        <v>34</v>
      </c>
      <c r="H3253">
        <v>3</v>
      </c>
      <c r="I3253">
        <v>2</v>
      </c>
      <c r="J3253">
        <v>39</v>
      </c>
      <c r="K3253" s="482">
        <v>0.872</v>
      </c>
      <c r="L3253" s="482">
        <v>7.6999999999999999E-2</v>
      </c>
      <c r="M3253" s="482">
        <v>5.0999999999999997E-2</v>
      </c>
    </row>
    <row r="3254" spans="1:13" x14ac:dyDescent="0.2">
      <c r="A3254" t="s">
        <v>4757</v>
      </c>
      <c r="B3254" t="s">
        <v>13</v>
      </c>
      <c r="C3254" t="s">
        <v>1</v>
      </c>
      <c r="D3254" t="s">
        <v>3346</v>
      </c>
      <c r="E3254" t="s">
        <v>3347</v>
      </c>
      <c r="F3254" t="s">
        <v>52</v>
      </c>
      <c r="G3254">
        <v>40</v>
      </c>
      <c r="H3254">
        <v>3</v>
      </c>
      <c r="I3254">
        <v>3</v>
      </c>
      <c r="J3254">
        <v>46</v>
      </c>
      <c r="K3254" s="482">
        <v>0.87</v>
      </c>
      <c r="L3254" s="482">
        <v>6.5000000000000002E-2</v>
      </c>
      <c r="M3254" s="482">
        <v>6.5000000000000002E-2</v>
      </c>
    </row>
    <row r="3255" spans="1:13" x14ac:dyDescent="0.2">
      <c r="A3255" t="s">
        <v>4761</v>
      </c>
      <c r="B3255" t="s">
        <v>13</v>
      </c>
      <c r="C3255" t="s">
        <v>1</v>
      </c>
      <c r="D3255" t="s">
        <v>3337</v>
      </c>
      <c r="E3255" t="s">
        <v>3338</v>
      </c>
      <c r="F3255" t="s">
        <v>52</v>
      </c>
      <c r="G3255">
        <v>28</v>
      </c>
      <c r="H3255">
        <v>1</v>
      </c>
      <c r="I3255">
        <v>1</v>
      </c>
      <c r="J3255">
        <v>30</v>
      </c>
      <c r="K3255" s="482">
        <v>0.93300000000000005</v>
      </c>
      <c r="L3255" s="482">
        <v>3.3000000000000002E-2</v>
      </c>
      <c r="M3255" s="482">
        <v>3.3000000000000002E-2</v>
      </c>
    </row>
    <row r="3256" spans="1:13" x14ac:dyDescent="0.2">
      <c r="A3256" t="s">
        <v>4764</v>
      </c>
      <c r="B3256" t="s">
        <v>13</v>
      </c>
      <c r="C3256" t="s">
        <v>1</v>
      </c>
      <c r="D3256" t="s">
        <v>3334</v>
      </c>
      <c r="E3256" t="s">
        <v>3335</v>
      </c>
      <c r="F3256" t="s">
        <v>52</v>
      </c>
      <c r="G3256">
        <v>16</v>
      </c>
      <c r="H3256">
        <v>0</v>
      </c>
      <c r="I3256">
        <v>1</v>
      </c>
      <c r="J3256">
        <v>17</v>
      </c>
      <c r="K3256" s="482">
        <v>0.94099999999999995</v>
      </c>
      <c r="L3256" s="482">
        <v>0</v>
      </c>
      <c r="M3256" s="482">
        <v>5.8999999999999997E-2</v>
      </c>
    </row>
    <row r="3257" spans="1:13" x14ac:dyDescent="0.2">
      <c r="A3257" t="s">
        <v>4619</v>
      </c>
      <c r="B3257" t="s">
        <v>13</v>
      </c>
      <c r="C3257" t="s">
        <v>1</v>
      </c>
      <c r="D3257" t="s">
        <v>3751</v>
      </c>
      <c r="E3257" t="s">
        <v>3752</v>
      </c>
      <c r="F3257" t="s">
        <v>52</v>
      </c>
      <c r="G3257">
        <v>155</v>
      </c>
      <c r="H3257">
        <v>9</v>
      </c>
      <c r="I3257">
        <v>13</v>
      </c>
      <c r="J3257">
        <v>177</v>
      </c>
      <c r="K3257" s="482">
        <v>0.876</v>
      </c>
      <c r="L3257" s="482">
        <v>5.0999999999999997E-2</v>
      </c>
      <c r="M3257" s="482">
        <v>7.2999999999999995E-2</v>
      </c>
    </row>
    <row r="3258" spans="1:13" x14ac:dyDescent="0.2">
      <c r="A3258" t="s">
        <v>4644</v>
      </c>
      <c r="B3258" t="s">
        <v>13</v>
      </c>
      <c r="C3258" t="s">
        <v>1</v>
      </c>
      <c r="D3258" t="s">
        <v>3681</v>
      </c>
      <c r="E3258" t="s">
        <v>3682</v>
      </c>
      <c r="F3258" t="s">
        <v>52</v>
      </c>
      <c r="G3258">
        <v>214</v>
      </c>
      <c r="H3258">
        <v>11</v>
      </c>
      <c r="I3258">
        <v>13</v>
      </c>
      <c r="J3258">
        <v>238</v>
      </c>
      <c r="K3258" s="482">
        <v>0.89900000000000002</v>
      </c>
      <c r="L3258" s="482">
        <v>4.5999999999999999E-2</v>
      </c>
      <c r="M3258" s="482">
        <v>5.5E-2</v>
      </c>
    </row>
    <row r="3259" spans="1:13" x14ac:dyDescent="0.2">
      <c r="A3259" t="s">
        <v>4645</v>
      </c>
      <c r="B3259" t="s">
        <v>13</v>
      </c>
      <c r="C3259" t="s">
        <v>1</v>
      </c>
      <c r="D3259" t="s">
        <v>3678</v>
      </c>
      <c r="E3259" t="s">
        <v>3679</v>
      </c>
      <c r="F3259" t="s">
        <v>52</v>
      </c>
      <c r="G3259">
        <v>213</v>
      </c>
      <c r="H3259">
        <v>16</v>
      </c>
      <c r="I3259">
        <v>19</v>
      </c>
      <c r="J3259">
        <v>248</v>
      </c>
      <c r="K3259" s="482">
        <v>0.85899999999999999</v>
      </c>
      <c r="L3259" s="482">
        <v>6.5000000000000002E-2</v>
      </c>
      <c r="M3259" s="482">
        <v>7.6999999999999999E-2</v>
      </c>
    </row>
    <row r="3260" spans="1:13" x14ac:dyDescent="0.2">
      <c r="A3260" t="s">
        <v>4646</v>
      </c>
      <c r="B3260" t="s">
        <v>13</v>
      </c>
      <c r="C3260" t="s">
        <v>1</v>
      </c>
      <c r="D3260" t="s">
        <v>3675</v>
      </c>
      <c r="E3260" t="s">
        <v>3676</v>
      </c>
      <c r="F3260" t="s">
        <v>52</v>
      </c>
      <c r="G3260">
        <v>171</v>
      </c>
      <c r="H3260">
        <v>8</v>
      </c>
      <c r="I3260">
        <v>7</v>
      </c>
      <c r="J3260">
        <v>186</v>
      </c>
      <c r="K3260" s="482">
        <v>0.91900000000000004</v>
      </c>
      <c r="L3260" s="482">
        <v>4.2999999999999997E-2</v>
      </c>
      <c r="M3260" s="482">
        <v>3.7999999999999999E-2</v>
      </c>
    </row>
    <row r="3261" spans="1:13" x14ac:dyDescent="0.2">
      <c r="A3261" t="s">
        <v>4622</v>
      </c>
      <c r="B3261" t="s">
        <v>13</v>
      </c>
      <c r="C3261" t="s">
        <v>1</v>
      </c>
      <c r="D3261" t="s">
        <v>4222</v>
      </c>
      <c r="E3261" t="s">
        <v>4223</v>
      </c>
      <c r="F3261" t="s">
        <v>52</v>
      </c>
      <c r="G3261">
        <v>563</v>
      </c>
      <c r="H3261">
        <v>42</v>
      </c>
      <c r="I3261">
        <v>31</v>
      </c>
      <c r="J3261">
        <v>636</v>
      </c>
      <c r="K3261" s="482">
        <v>0.88500000000000001</v>
      </c>
      <c r="L3261" s="482">
        <v>6.6000000000000003E-2</v>
      </c>
      <c r="M3261" s="482">
        <v>4.9000000000000002E-2</v>
      </c>
    </row>
    <row r="3262" spans="1:13" x14ac:dyDescent="0.2">
      <c r="A3262" t="s">
        <v>4847</v>
      </c>
      <c r="B3262" t="s">
        <v>13</v>
      </c>
      <c r="C3262" t="s">
        <v>1</v>
      </c>
      <c r="D3262" t="s">
        <v>3115</v>
      </c>
      <c r="E3262" t="s">
        <v>3116</v>
      </c>
      <c r="F3262" t="s">
        <v>52</v>
      </c>
      <c r="G3262">
        <v>138</v>
      </c>
      <c r="H3262">
        <v>10</v>
      </c>
      <c r="I3262">
        <v>12</v>
      </c>
      <c r="J3262">
        <v>160</v>
      </c>
      <c r="K3262" s="482">
        <v>0.86299999999999999</v>
      </c>
      <c r="L3262" s="482">
        <v>6.3E-2</v>
      </c>
      <c r="M3262" s="482">
        <v>7.4999999999999997E-2</v>
      </c>
    </row>
    <row r="3263" spans="1:13" x14ac:dyDescent="0.2">
      <c r="A3263" t="s">
        <v>4845</v>
      </c>
      <c r="B3263" t="s">
        <v>13</v>
      </c>
      <c r="C3263" t="s">
        <v>1</v>
      </c>
      <c r="D3263" t="s">
        <v>3121</v>
      </c>
      <c r="E3263" t="s">
        <v>3122</v>
      </c>
      <c r="F3263" t="s">
        <v>52</v>
      </c>
      <c r="G3263">
        <v>212</v>
      </c>
      <c r="H3263">
        <v>11</v>
      </c>
      <c r="I3263">
        <v>13</v>
      </c>
      <c r="J3263">
        <v>236</v>
      </c>
      <c r="K3263" s="482">
        <v>0.89800000000000002</v>
      </c>
      <c r="L3263" s="482">
        <v>4.7E-2</v>
      </c>
      <c r="M3263" s="482">
        <v>5.5E-2</v>
      </c>
    </row>
    <row r="3264" spans="1:13" x14ac:dyDescent="0.2">
      <c r="A3264" t="s">
        <v>4846</v>
      </c>
      <c r="B3264" t="s">
        <v>13</v>
      </c>
      <c r="C3264" t="s">
        <v>1</v>
      </c>
      <c r="D3264" t="s">
        <v>3118</v>
      </c>
      <c r="E3264" t="s">
        <v>3119</v>
      </c>
      <c r="F3264" t="s">
        <v>52</v>
      </c>
      <c r="G3264">
        <v>25</v>
      </c>
      <c r="H3264">
        <v>1</v>
      </c>
      <c r="I3264">
        <v>0</v>
      </c>
      <c r="J3264">
        <v>26</v>
      </c>
      <c r="K3264" s="482">
        <v>0.96199999999999997</v>
      </c>
      <c r="L3264" s="482">
        <v>3.7999999999999999E-2</v>
      </c>
      <c r="M3264" s="482">
        <v>0</v>
      </c>
    </row>
    <row r="3265" spans="1:13" x14ac:dyDescent="0.2">
      <c r="A3265" t="s">
        <v>4837</v>
      </c>
      <c r="B3265" t="s">
        <v>13</v>
      </c>
      <c r="C3265" t="s">
        <v>1</v>
      </c>
      <c r="D3265" t="s">
        <v>3151</v>
      </c>
      <c r="E3265" t="s">
        <v>3152</v>
      </c>
      <c r="F3265" t="s">
        <v>52</v>
      </c>
      <c r="G3265">
        <v>60</v>
      </c>
      <c r="H3265">
        <v>5</v>
      </c>
      <c r="I3265">
        <v>6</v>
      </c>
      <c r="J3265">
        <v>71</v>
      </c>
      <c r="K3265" s="482">
        <v>0.84499999999999997</v>
      </c>
      <c r="L3265" s="482">
        <v>7.0000000000000007E-2</v>
      </c>
      <c r="M3265" s="482">
        <v>8.5000000000000006E-2</v>
      </c>
    </row>
    <row r="3266" spans="1:13" x14ac:dyDescent="0.2">
      <c r="A3266" t="s">
        <v>4838</v>
      </c>
      <c r="B3266" t="s">
        <v>13</v>
      </c>
      <c r="C3266" t="s">
        <v>1</v>
      </c>
      <c r="D3266" t="s">
        <v>3148</v>
      </c>
      <c r="E3266" t="s">
        <v>3149</v>
      </c>
      <c r="F3266" t="s">
        <v>52</v>
      </c>
      <c r="G3266">
        <v>74</v>
      </c>
      <c r="H3266">
        <v>6</v>
      </c>
      <c r="I3266">
        <v>4</v>
      </c>
      <c r="J3266">
        <v>84</v>
      </c>
      <c r="K3266" s="482">
        <v>0.88100000000000001</v>
      </c>
      <c r="L3266" s="482">
        <v>7.0999999999999994E-2</v>
      </c>
      <c r="M3266" s="482">
        <v>4.8000000000000001E-2</v>
      </c>
    </row>
    <row r="3267" spans="1:13" x14ac:dyDescent="0.2">
      <c r="A3267" t="s">
        <v>4850</v>
      </c>
      <c r="B3267" t="s">
        <v>13</v>
      </c>
      <c r="C3267" t="s">
        <v>1</v>
      </c>
      <c r="D3267" t="s">
        <v>3103</v>
      </c>
      <c r="E3267" t="s">
        <v>3104</v>
      </c>
      <c r="F3267" t="s">
        <v>52</v>
      </c>
      <c r="G3267">
        <v>57</v>
      </c>
      <c r="H3267">
        <v>0</v>
      </c>
      <c r="I3267">
        <v>3</v>
      </c>
      <c r="J3267">
        <v>60</v>
      </c>
      <c r="K3267" s="482">
        <v>0.95</v>
      </c>
      <c r="L3267" s="482">
        <v>0</v>
      </c>
      <c r="M3267" s="482">
        <v>0.05</v>
      </c>
    </row>
    <row r="3268" spans="1:13" x14ac:dyDescent="0.2">
      <c r="A3268" t="s">
        <v>4849</v>
      </c>
      <c r="B3268" t="s">
        <v>13</v>
      </c>
      <c r="C3268" t="s">
        <v>1</v>
      </c>
      <c r="D3268" t="s">
        <v>4229</v>
      </c>
      <c r="E3268" t="s">
        <v>4230</v>
      </c>
      <c r="F3268" t="s">
        <v>52</v>
      </c>
      <c r="G3268">
        <v>244</v>
      </c>
      <c r="H3268">
        <v>12</v>
      </c>
      <c r="I3268">
        <v>14</v>
      </c>
      <c r="J3268">
        <v>270</v>
      </c>
      <c r="K3268" s="482">
        <v>0.90400000000000003</v>
      </c>
      <c r="L3268" s="482">
        <v>4.3999999999999997E-2</v>
      </c>
      <c r="M3268" s="482">
        <v>5.1999999999999998E-2</v>
      </c>
    </row>
    <row r="3269" spans="1:13" x14ac:dyDescent="0.2">
      <c r="A3269" t="s">
        <v>4848</v>
      </c>
      <c r="B3269" t="s">
        <v>13</v>
      </c>
      <c r="C3269" t="s">
        <v>1</v>
      </c>
      <c r="D3269" t="s">
        <v>3109</v>
      </c>
      <c r="E3269" t="s">
        <v>3110</v>
      </c>
      <c r="F3269" t="s">
        <v>52</v>
      </c>
      <c r="G3269">
        <v>153</v>
      </c>
      <c r="H3269">
        <v>9</v>
      </c>
      <c r="I3269">
        <v>10</v>
      </c>
      <c r="J3269">
        <v>172</v>
      </c>
      <c r="K3269" s="482">
        <v>0.89</v>
      </c>
      <c r="L3269" s="482">
        <v>5.1999999999999998E-2</v>
      </c>
      <c r="M3269" s="482">
        <v>5.8000000000000003E-2</v>
      </c>
    </row>
    <row r="3270" spans="1:13" x14ac:dyDescent="0.2">
      <c r="A3270" t="s">
        <v>4799</v>
      </c>
      <c r="B3270" t="s">
        <v>13</v>
      </c>
      <c r="C3270" t="s">
        <v>1</v>
      </c>
      <c r="D3270" t="s">
        <v>3249</v>
      </c>
      <c r="E3270" t="s">
        <v>3250</v>
      </c>
      <c r="F3270" t="s">
        <v>52</v>
      </c>
      <c r="G3270">
        <v>60</v>
      </c>
      <c r="H3270">
        <v>0</v>
      </c>
      <c r="I3270">
        <v>1</v>
      </c>
      <c r="J3270">
        <v>61</v>
      </c>
      <c r="K3270" s="482">
        <v>0.98399999999999999</v>
      </c>
      <c r="L3270" s="482">
        <v>0</v>
      </c>
      <c r="M3270" s="482">
        <v>1.6E-2</v>
      </c>
    </row>
    <row r="3271" spans="1:13" x14ac:dyDescent="0.2">
      <c r="A3271" t="s">
        <v>4800</v>
      </c>
      <c r="B3271" t="s">
        <v>13</v>
      </c>
      <c r="C3271" t="s">
        <v>1</v>
      </c>
      <c r="D3271" t="s">
        <v>3246</v>
      </c>
      <c r="E3271" t="s">
        <v>3247</v>
      </c>
      <c r="F3271" t="s">
        <v>52</v>
      </c>
      <c r="G3271">
        <v>86</v>
      </c>
      <c r="H3271">
        <v>7</v>
      </c>
      <c r="I3271">
        <v>9</v>
      </c>
      <c r="J3271">
        <v>102</v>
      </c>
      <c r="K3271" s="482">
        <v>0.84299999999999997</v>
      </c>
      <c r="L3271" s="482">
        <v>6.9000000000000006E-2</v>
      </c>
      <c r="M3271" s="482">
        <v>8.7999999999999995E-2</v>
      </c>
    </row>
    <row r="3272" spans="1:13" x14ac:dyDescent="0.2">
      <c r="A3272" t="s">
        <v>4801</v>
      </c>
      <c r="B3272" t="s">
        <v>13</v>
      </c>
      <c r="C3272" t="s">
        <v>1</v>
      </c>
      <c r="D3272" t="s">
        <v>3243</v>
      </c>
      <c r="E3272" t="s">
        <v>3244</v>
      </c>
      <c r="F3272" t="s">
        <v>52</v>
      </c>
      <c r="G3272">
        <v>73</v>
      </c>
      <c r="H3272">
        <v>4</v>
      </c>
      <c r="I3272">
        <v>1</v>
      </c>
      <c r="J3272">
        <v>78</v>
      </c>
      <c r="K3272" s="482">
        <v>0.93600000000000005</v>
      </c>
      <c r="L3272" s="482">
        <v>5.0999999999999997E-2</v>
      </c>
      <c r="M3272" s="482">
        <v>1.2999999999999999E-2</v>
      </c>
    </row>
    <row r="3273" spans="1:13" x14ac:dyDescent="0.2">
      <c r="A3273" t="s">
        <v>4802</v>
      </c>
      <c r="B3273" t="s">
        <v>13</v>
      </c>
      <c r="C3273" t="s">
        <v>1</v>
      </c>
      <c r="D3273" t="s">
        <v>3240</v>
      </c>
      <c r="E3273" t="s">
        <v>3241</v>
      </c>
      <c r="F3273" t="s">
        <v>52</v>
      </c>
      <c r="G3273">
        <v>7</v>
      </c>
      <c r="H3273">
        <v>0</v>
      </c>
      <c r="I3273">
        <v>0</v>
      </c>
      <c r="J3273">
        <v>7</v>
      </c>
      <c r="K3273" s="482">
        <v>1</v>
      </c>
      <c r="L3273" s="482">
        <v>0</v>
      </c>
      <c r="M3273" s="482">
        <v>0</v>
      </c>
    </row>
    <row r="3274" spans="1:13" x14ac:dyDescent="0.2">
      <c r="A3274" t="s">
        <v>4740</v>
      </c>
      <c r="B3274" t="s">
        <v>13</v>
      </c>
      <c r="C3274" t="s">
        <v>1</v>
      </c>
      <c r="D3274" t="s">
        <v>3400</v>
      </c>
      <c r="E3274" t="s">
        <v>3401</v>
      </c>
      <c r="F3274" t="s">
        <v>52</v>
      </c>
      <c r="G3274">
        <v>74</v>
      </c>
      <c r="H3274">
        <v>5</v>
      </c>
      <c r="I3274">
        <v>4</v>
      </c>
      <c r="J3274">
        <v>83</v>
      </c>
      <c r="K3274" s="482">
        <v>0.89200000000000002</v>
      </c>
      <c r="L3274" s="482">
        <v>0.06</v>
      </c>
      <c r="M3274" s="482">
        <v>4.8000000000000001E-2</v>
      </c>
    </row>
    <row r="3275" spans="1:13" x14ac:dyDescent="0.2">
      <c r="A3275" t="s">
        <v>4741</v>
      </c>
      <c r="B3275" t="s">
        <v>13</v>
      </c>
      <c r="C3275" t="s">
        <v>1</v>
      </c>
      <c r="D3275" t="s">
        <v>3397</v>
      </c>
      <c r="E3275" t="s">
        <v>3398</v>
      </c>
      <c r="F3275" t="s">
        <v>52</v>
      </c>
      <c r="G3275">
        <v>115</v>
      </c>
      <c r="H3275">
        <v>8</v>
      </c>
      <c r="I3275">
        <v>4</v>
      </c>
      <c r="J3275">
        <v>127</v>
      </c>
      <c r="K3275" s="482">
        <v>0.90600000000000003</v>
      </c>
      <c r="L3275" s="482">
        <v>6.3E-2</v>
      </c>
      <c r="M3275" s="482">
        <v>3.1E-2</v>
      </c>
    </row>
    <row r="3276" spans="1:13" x14ac:dyDescent="0.2">
      <c r="A3276" t="s">
        <v>4742</v>
      </c>
      <c r="B3276" t="s">
        <v>13</v>
      </c>
      <c r="C3276" t="s">
        <v>1</v>
      </c>
      <c r="D3276" t="s">
        <v>3394</v>
      </c>
      <c r="E3276" t="s">
        <v>3395</v>
      </c>
      <c r="F3276" t="s">
        <v>52</v>
      </c>
      <c r="G3276">
        <v>138</v>
      </c>
      <c r="H3276">
        <v>9</v>
      </c>
      <c r="I3276">
        <v>1</v>
      </c>
      <c r="J3276">
        <v>148</v>
      </c>
      <c r="K3276" s="482">
        <v>0.93200000000000005</v>
      </c>
      <c r="L3276" s="482">
        <v>6.0999999999999999E-2</v>
      </c>
      <c r="M3276" s="482">
        <v>7.0000000000000001E-3</v>
      </c>
    </row>
    <row r="3277" spans="1:13" x14ac:dyDescent="0.2">
      <c r="A3277" t="s">
        <v>4743</v>
      </c>
      <c r="B3277" t="s">
        <v>13</v>
      </c>
      <c r="C3277" t="s">
        <v>1</v>
      </c>
      <c r="D3277" t="s">
        <v>3391</v>
      </c>
      <c r="E3277" t="s">
        <v>3392</v>
      </c>
      <c r="F3277" t="s">
        <v>52</v>
      </c>
      <c r="G3277">
        <v>29</v>
      </c>
      <c r="H3277">
        <v>1</v>
      </c>
      <c r="I3277">
        <v>2</v>
      </c>
      <c r="J3277">
        <v>32</v>
      </c>
      <c r="K3277" s="482">
        <v>0.90600000000000003</v>
      </c>
      <c r="L3277" s="482">
        <v>3.1E-2</v>
      </c>
      <c r="M3277" s="482">
        <v>6.3E-2</v>
      </c>
    </row>
    <row r="3278" spans="1:13" x14ac:dyDescent="0.2">
      <c r="A3278" t="s">
        <v>4744</v>
      </c>
      <c r="B3278" t="s">
        <v>13</v>
      </c>
      <c r="C3278" t="s">
        <v>1</v>
      </c>
      <c r="D3278" t="s">
        <v>3388</v>
      </c>
      <c r="E3278" t="s">
        <v>3389</v>
      </c>
      <c r="F3278" t="s">
        <v>52</v>
      </c>
      <c r="G3278">
        <v>118</v>
      </c>
      <c r="H3278">
        <v>4</v>
      </c>
      <c r="I3278">
        <v>6</v>
      </c>
      <c r="J3278">
        <v>128</v>
      </c>
      <c r="K3278" s="482">
        <v>0.92200000000000004</v>
      </c>
      <c r="L3278" s="482">
        <v>3.1E-2</v>
      </c>
      <c r="M3278" s="482">
        <v>4.7E-2</v>
      </c>
    </row>
    <row r="3279" spans="1:13" x14ac:dyDescent="0.2">
      <c r="A3279" t="s">
        <v>4745</v>
      </c>
      <c r="B3279" t="s">
        <v>13</v>
      </c>
      <c r="C3279" t="s">
        <v>1</v>
      </c>
      <c r="D3279" t="s">
        <v>3385</v>
      </c>
      <c r="E3279" t="s">
        <v>3386</v>
      </c>
      <c r="F3279" t="s">
        <v>52</v>
      </c>
      <c r="G3279">
        <v>125</v>
      </c>
      <c r="H3279">
        <v>2</v>
      </c>
      <c r="I3279">
        <v>4</v>
      </c>
      <c r="J3279">
        <v>131</v>
      </c>
      <c r="K3279" s="482">
        <v>0.95399999999999996</v>
      </c>
      <c r="L3279" s="482">
        <v>1.4999999999999999E-2</v>
      </c>
      <c r="M3279" s="482">
        <v>3.1E-2</v>
      </c>
    </row>
    <row r="3280" spans="1:13" x14ac:dyDescent="0.2">
      <c r="A3280" t="s">
        <v>4758</v>
      </c>
      <c r="B3280" t="s">
        <v>13</v>
      </c>
      <c r="C3280" t="s">
        <v>1</v>
      </c>
      <c r="D3280" t="s">
        <v>4342</v>
      </c>
      <c r="E3280" t="s">
        <v>4343</v>
      </c>
      <c r="F3280" t="s">
        <v>52</v>
      </c>
      <c r="G3280">
        <v>21</v>
      </c>
      <c r="H3280">
        <v>1</v>
      </c>
      <c r="I3280">
        <v>3</v>
      </c>
      <c r="J3280">
        <v>25</v>
      </c>
      <c r="K3280" s="482">
        <v>0.84</v>
      </c>
      <c r="L3280" s="482">
        <v>0.04</v>
      </c>
      <c r="M3280" s="482">
        <v>0.12</v>
      </c>
    </row>
    <row r="3281" spans="1:13" x14ac:dyDescent="0.2">
      <c r="A3281" t="s">
        <v>4759</v>
      </c>
      <c r="B3281" t="s">
        <v>13</v>
      </c>
      <c r="C3281" t="s">
        <v>1</v>
      </c>
      <c r="D3281" t="s">
        <v>4339</v>
      </c>
      <c r="E3281" t="s">
        <v>4340</v>
      </c>
      <c r="F3281" t="s">
        <v>52</v>
      </c>
      <c r="G3281">
        <v>33</v>
      </c>
      <c r="H3281">
        <v>1</v>
      </c>
      <c r="I3281">
        <v>2</v>
      </c>
      <c r="J3281">
        <v>36</v>
      </c>
      <c r="K3281" s="482">
        <v>0.91700000000000004</v>
      </c>
      <c r="L3281" s="482">
        <v>2.8000000000000001E-2</v>
      </c>
      <c r="M3281" s="482">
        <v>5.6000000000000001E-2</v>
      </c>
    </row>
    <row r="3282" spans="1:13" x14ac:dyDescent="0.2">
      <c r="A3282" t="s">
        <v>4760</v>
      </c>
      <c r="B3282" t="s">
        <v>13</v>
      </c>
      <c r="C3282" t="s">
        <v>1</v>
      </c>
      <c r="D3282" t="s">
        <v>3343</v>
      </c>
      <c r="E3282" t="s">
        <v>3344</v>
      </c>
      <c r="F3282" t="s">
        <v>52</v>
      </c>
      <c r="G3282">
        <v>58</v>
      </c>
      <c r="H3282">
        <v>4</v>
      </c>
      <c r="I3282">
        <v>2</v>
      </c>
      <c r="J3282">
        <v>64</v>
      </c>
      <c r="K3282" s="482">
        <v>0.90600000000000003</v>
      </c>
      <c r="L3282" s="482">
        <v>6.3E-2</v>
      </c>
      <c r="M3282" s="482">
        <v>3.1E-2</v>
      </c>
    </row>
    <row r="3283" spans="1:13" x14ac:dyDescent="0.2">
      <c r="A3283" t="s">
        <v>4762</v>
      </c>
      <c r="B3283" t="s">
        <v>13</v>
      </c>
      <c r="C3283" t="s">
        <v>1</v>
      </c>
      <c r="D3283" t="s">
        <v>4334</v>
      </c>
      <c r="E3283" t="s">
        <v>4335</v>
      </c>
      <c r="F3283" t="s">
        <v>52</v>
      </c>
      <c r="G3283">
        <v>32</v>
      </c>
      <c r="H3283">
        <v>1</v>
      </c>
      <c r="I3283">
        <v>1</v>
      </c>
      <c r="J3283">
        <v>34</v>
      </c>
      <c r="K3283" s="482">
        <v>0.94099999999999995</v>
      </c>
      <c r="L3283" s="482">
        <v>2.9000000000000001E-2</v>
      </c>
      <c r="M3283" s="482">
        <v>2.9000000000000001E-2</v>
      </c>
    </row>
    <row r="3284" spans="1:13" x14ac:dyDescent="0.2">
      <c r="A3284" t="s">
        <v>4817</v>
      </c>
      <c r="B3284" t="s">
        <v>13</v>
      </c>
      <c r="C3284" t="s">
        <v>1</v>
      </c>
      <c r="D3284" t="s">
        <v>4267</v>
      </c>
      <c r="E3284" t="s">
        <v>4268</v>
      </c>
      <c r="F3284" t="s">
        <v>52</v>
      </c>
      <c r="G3284">
        <v>62</v>
      </c>
      <c r="H3284">
        <v>6</v>
      </c>
      <c r="I3284">
        <v>5</v>
      </c>
      <c r="J3284">
        <v>73</v>
      </c>
      <c r="K3284" s="482">
        <v>0.84899999999999998</v>
      </c>
      <c r="L3284" s="482">
        <v>8.2000000000000003E-2</v>
      </c>
      <c r="M3284" s="482">
        <v>6.8000000000000005E-2</v>
      </c>
    </row>
    <row r="3285" spans="1:13" x14ac:dyDescent="0.2">
      <c r="A3285" t="s">
        <v>4763</v>
      </c>
      <c r="B3285" t="s">
        <v>13</v>
      </c>
      <c r="C3285" t="s">
        <v>1</v>
      </c>
      <c r="D3285" t="s">
        <v>3340</v>
      </c>
      <c r="E3285" t="s">
        <v>3341</v>
      </c>
      <c r="F3285" t="s">
        <v>52</v>
      </c>
      <c r="G3285">
        <v>162</v>
      </c>
      <c r="H3285">
        <v>2</v>
      </c>
      <c r="I3285">
        <v>5</v>
      </c>
      <c r="J3285">
        <v>169</v>
      </c>
      <c r="K3285" s="482">
        <v>0.95899999999999996</v>
      </c>
      <c r="L3285" s="482">
        <v>1.2E-2</v>
      </c>
      <c r="M3285" s="482">
        <v>0.03</v>
      </c>
    </row>
    <row r="3286" spans="1:13" x14ac:dyDescent="0.2">
      <c r="A3286" t="s">
        <v>4819</v>
      </c>
      <c r="B3286" t="s">
        <v>13</v>
      </c>
      <c r="C3286" t="s">
        <v>1</v>
      </c>
      <c r="D3286" t="s">
        <v>3198</v>
      </c>
      <c r="E3286" t="s">
        <v>3199</v>
      </c>
      <c r="F3286" t="s">
        <v>52</v>
      </c>
      <c r="G3286">
        <v>64</v>
      </c>
      <c r="H3286">
        <v>3</v>
      </c>
      <c r="I3286">
        <v>6</v>
      </c>
      <c r="J3286">
        <v>73</v>
      </c>
      <c r="K3286" s="482">
        <v>0.877</v>
      </c>
      <c r="L3286" s="482">
        <v>4.1000000000000002E-2</v>
      </c>
      <c r="M3286" s="482">
        <v>8.2000000000000003E-2</v>
      </c>
    </row>
    <row r="3287" spans="1:13" x14ac:dyDescent="0.2">
      <c r="A3287" t="s">
        <v>4812</v>
      </c>
      <c r="B3287" t="s">
        <v>13</v>
      </c>
      <c r="C3287" t="s">
        <v>1</v>
      </c>
      <c r="D3287" t="s">
        <v>3213</v>
      </c>
      <c r="E3287" t="s">
        <v>3214</v>
      </c>
      <c r="F3287" t="s">
        <v>52</v>
      </c>
      <c r="G3287">
        <v>178</v>
      </c>
      <c r="H3287">
        <v>15</v>
      </c>
      <c r="I3287">
        <v>13</v>
      </c>
      <c r="J3287">
        <v>206</v>
      </c>
      <c r="K3287" s="482">
        <v>0.86399999999999999</v>
      </c>
      <c r="L3287" s="482">
        <v>7.2999999999999995E-2</v>
      </c>
      <c r="M3287" s="482">
        <v>6.3E-2</v>
      </c>
    </row>
    <row r="3288" spans="1:13" x14ac:dyDescent="0.2">
      <c r="A3288" t="s">
        <v>4813</v>
      </c>
      <c r="B3288" t="s">
        <v>13</v>
      </c>
      <c r="C3288" t="s">
        <v>1</v>
      </c>
      <c r="D3288" t="s">
        <v>3210</v>
      </c>
      <c r="E3288" t="s">
        <v>3211</v>
      </c>
      <c r="F3288" t="s">
        <v>52</v>
      </c>
      <c r="G3288">
        <v>10</v>
      </c>
      <c r="H3288">
        <v>1</v>
      </c>
      <c r="I3288">
        <v>0</v>
      </c>
      <c r="J3288">
        <v>11</v>
      </c>
      <c r="K3288" s="482">
        <v>0.90900000000000003</v>
      </c>
      <c r="L3288" s="482">
        <v>9.0999999999999998E-2</v>
      </c>
      <c r="M3288" s="482">
        <v>0</v>
      </c>
    </row>
    <row r="3289" spans="1:13" x14ac:dyDescent="0.2">
      <c r="A3289" t="s">
        <v>4738</v>
      </c>
      <c r="B3289" t="s">
        <v>13</v>
      </c>
      <c r="C3289" t="s">
        <v>1</v>
      </c>
      <c r="D3289" t="s">
        <v>3409</v>
      </c>
      <c r="E3289" t="s">
        <v>3410</v>
      </c>
      <c r="F3289" t="s">
        <v>52</v>
      </c>
      <c r="G3289">
        <v>93</v>
      </c>
      <c r="H3289">
        <v>8</v>
      </c>
      <c r="I3289">
        <v>8</v>
      </c>
      <c r="J3289">
        <v>109</v>
      </c>
      <c r="K3289" s="482">
        <v>0.85299999999999998</v>
      </c>
      <c r="L3289" s="482">
        <v>7.2999999999999995E-2</v>
      </c>
      <c r="M3289" s="482">
        <v>7.2999999999999995E-2</v>
      </c>
    </row>
    <row r="3290" spans="1:13" x14ac:dyDescent="0.2">
      <c r="A3290" t="s">
        <v>4570</v>
      </c>
      <c r="B3290" t="s">
        <v>13</v>
      </c>
      <c r="C3290" t="s">
        <v>1</v>
      </c>
      <c r="D3290" t="s">
        <v>4558</v>
      </c>
      <c r="E3290" t="s">
        <v>4559</v>
      </c>
      <c r="F3290" t="s">
        <v>52</v>
      </c>
      <c r="G3290">
        <v>69</v>
      </c>
      <c r="H3290">
        <v>6</v>
      </c>
      <c r="I3290">
        <v>1</v>
      </c>
      <c r="J3290">
        <v>76</v>
      </c>
      <c r="K3290" s="482">
        <v>0.90800000000000003</v>
      </c>
      <c r="L3290" s="482">
        <v>7.9000000000000001E-2</v>
      </c>
      <c r="M3290" s="482">
        <v>1.2999999999999999E-2</v>
      </c>
    </row>
    <row r="3291" spans="1:13" x14ac:dyDescent="0.2">
      <c r="A3291" t="s">
        <v>4573</v>
      </c>
      <c r="B3291" t="s">
        <v>13</v>
      </c>
      <c r="C3291" t="s">
        <v>1</v>
      </c>
      <c r="D3291" t="s">
        <v>4553</v>
      </c>
      <c r="E3291" t="s">
        <v>4554</v>
      </c>
      <c r="F3291" t="s">
        <v>52</v>
      </c>
      <c r="G3291">
        <v>174</v>
      </c>
      <c r="H3291">
        <v>11</v>
      </c>
      <c r="I3291">
        <v>8</v>
      </c>
      <c r="J3291">
        <v>193</v>
      </c>
      <c r="K3291" s="482">
        <v>0.90200000000000002</v>
      </c>
      <c r="L3291" s="482">
        <v>5.7000000000000002E-2</v>
      </c>
      <c r="M3291" s="482">
        <v>4.1000000000000002E-2</v>
      </c>
    </row>
    <row r="3292" spans="1:13" x14ac:dyDescent="0.2">
      <c r="A3292" t="s">
        <v>4733</v>
      </c>
      <c r="B3292" t="s">
        <v>13</v>
      </c>
      <c r="C3292" t="s">
        <v>1</v>
      </c>
      <c r="D3292" t="s">
        <v>4370</v>
      </c>
      <c r="E3292" t="s">
        <v>4371</v>
      </c>
      <c r="F3292" t="s">
        <v>52</v>
      </c>
      <c r="G3292">
        <v>70</v>
      </c>
      <c r="H3292">
        <v>9</v>
      </c>
      <c r="I3292">
        <v>5</v>
      </c>
      <c r="J3292">
        <v>84</v>
      </c>
      <c r="K3292" s="482">
        <v>0.83299999999999996</v>
      </c>
      <c r="L3292" s="482">
        <v>0.107</v>
      </c>
      <c r="M3292" s="482">
        <v>0.06</v>
      </c>
    </row>
    <row r="3293" spans="1:13" x14ac:dyDescent="0.2">
      <c r="A3293" t="s">
        <v>4572</v>
      </c>
      <c r="B3293" t="s">
        <v>13</v>
      </c>
      <c r="C3293" t="s">
        <v>1</v>
      </c>
      <c r="D3293" t="s">
        <v>3906</v>
      </c>
      <c r="E3293" t="s">
        <v>3907</v>
      </c>
      <c r="F3293" t="s">
        <v>52</v>
      </c>
      <c r="G3293">
        <v>182</v>
      </c>
      <c r="H3293">
        <v>16</v>
      </c>
      <c r="I3293">
        <v>17</v>
      </c>
      <c r="J3293">
        <v>215</v>
      </c>
      <c r="K3293" s="482">
        <v>0.84699999999999998</v>
      </c>
      <c r="L3293" s="482">
        <v>7.3999999999999996E-2</v>
      </c>
      <c r="M3293" s="482">
        <v>7.9000000000000001E-2</v>
      </c>
    </row>
    <row r="3294" spans="1:13" x14ac:dyDescent="0.2">
      <c r="A3294" t="s">
        <v>4574</v>
      </c>
      <c r="B3294" t="s">
        <v>13</v>
      </c>
      <c r="C3294" t="s">
        <v>1</v>
      </c>
      <c r="D3294" t="s">
        <v>3897</v>
      </c>
      <c r="E3294" t="s">
        <v>3898</v>
      </c>
      <c r="F3294" t="s">
        <v>52</v>
      </c>
      <c r="G3294">
        <v>22</v>
      </c>
      <c r="H3294">
        <v>2</v>
      </c>
      <c r="I3294">
        <v>5</v>
      </c>
      <c r="J3294">
        <v>29</v>
      </c>
      <c r="K3294" s="482">
        <v>0.75900000000000001</v>
      </c>
      <c r="L3294" s="482">
        <v>6.9000000000000006E-2</v>
      </c>
      <c r="M3294" s="482">
        <v>0.17199999999999999</v>
      </c>
    </row>
    <row r="3295" spans="1:13" x14ac:dyDescent="0.2">
      <c r="A3295" t="s">
        <v>4575</v>
      </c>
      <c r="B3295" t="s">
        <v>13</v>
      </c>
      <c r="C3295" t="s">
        <v>1</v>
      </c>
      <c r="D3295" t="s">
        <v>3894</v>
      </c>
      <c r="E3295" t="s">
        <v>3895</v>
      </c>
      <c r="F3295" t="s">
        <v>52</v>
      </c>
      <c r="G3295">
        <v>199</v>
      </c>
      <c r="H3295">
        <v>15</v>
      </c>
      <c r="I3295">
        <v>12</v>
      </c>
      <c r="J3295">
        <v>226</v>
      </c>
      <c r="K3295" s="482">
        <v>0.88100000000000001</v>
      </c>
      <c r="L3295" s="482">
        <v>6.6000000000000003E-2</v>
      </c>
      <c r="M3295" s="482">
        <v>5.2999999999999999E-2</v>
      </c>
    </row>
    <row r="3296" spans="1:13" x14ac:dyDescent="0.2">
      <c r="A3296" t="s">
        <v>4576</v>
      </c>
      <c r="B3296" t="s">
        <v>13</v>
      </c>
      <c r="C3296" t="s">
        <v>1</v>
      </c>
      <c r="D3296" t="s">
        <v>3891</v>
      </c>
      <c r="E3296" t="s">
        <v>3892</v>
      </c>
      <c r="F3296" t="s">
        <v>52</v>
      </c>
      <c r="G3296">
        <v>115</v>
      </c>
      <c r="H3296">
        <v>10</v>
      </c>
      <c r="I3296">
        <v>1</v>
      </c>
      <c r="J3296">
        <v>126</v>
      </c>
      <c r="K3296" s="482">
        <v>0.91300000000000003</v>
      </c>
      <c r="L3296" s="482">
        <v>7.9000000000000001E-2</v>
      </c>
      <c r="M3296" s="482">
        <v>8.0000000000000002E-3</v>
      </c>
    </row>
    <row r="3297" spans="1:13" x14ac:dyDescent="0.2">
      <c r="A3297" t="s">
        <v>4578</v>
      </c>
      <c r="B3297" t="s">
        <v>13</v>
      </c>
      <c r="C3297" t="s">
        <v>1</v>
      </c>
      <c r="D3297" t="s">
        <v>3885</v>
      </c>
      <c r="E3297" t="s">
        <v>3886</v>
      </c>
      <c r="F3297" t="s">
        <v>52</v>
      </c>
      <c r="G3297">
        <v>234</v>
      </c>
      <c r="H3297">
        <v>19</v>
      </c>
      <c r="I3297">
        <v>16</v>
      </c>
      <c r="J3297">
        <v>269</v>
      </c>
      <c r="K3297" s="482">
        <v>0.87</v>
      </c>
      <c r="L3297" s="482">
        <v>7.0999999999999994E-2</v>
      </c>
      <c r="M3297" s="482">
        <v>5.8999999999999997E-2</v>
      </c>
    </row>
    <row r="3298" spans="1:13" x14ac:dyDescent="0.2">
      <c r="A3298" t="s">
        <v>4699</v>
      </c>
      <c r="B3298" t="s">
        <v>13</v>
      </c>
      <c r="C3298" t="s">
        <v>1</v>
      </c>
      <c r="D3298" t="s">
        <v>3515</v>
      </c>
      <c r="E3298" t="s">
        <v>343</v>
      </c>
      <c r="F3298" t="s">
        <v>52</v>
      </c>
      <c r="G3298">
        <v>276</v>
      </c>
      <c r="H3298">
        <v>18</v>
      </c>
      <c r="I3298">
        <v>21</v>
      </c>
      <c r="J3298">
        <v>315</v>
      </c>
      <c r="K3298" s="482">
        <v>0.876</v>
      </c>
      <c r="L3298" s="482">
        <v>5.7000000000000002E-2</v>
      </c>
      <c r="M3298" s="482">
        <v>6.7000000000000004E-2</v>
      </c>
    </row>
    <row r="3299" spans="1:13" x14ac:dyDescent="0.2">
      <c r="A3299" t="s">
        <v>4577</v>
      </c>
      <c r="B3299" t="s">
        <v>13</v>
      </c>
      <c r="C3299" t="s">
        <v>1</v>
      </c>
      <c r="D3299" t="s">
        <v>3888</v>
      </c>
      <c r="E3299" t="s">
        <v>3889</v>
      </c>
      <c r="F3299" t="s">
        <v>52</v>
      </c>
      <c r="G3299">
        <v>269</v>
      </c>
      <c r="H3299">
        <v>24</v>
      </c>
      <c r="I3299">
        <v>15</v>
      </c>
      <c r="J3299">
        <v>308</v>
      </c>
      <c r="K3299" s="482">
        <v>0.873</v>
      </c>
      <c r="L3299" s="482">
        <v>7.8E-2</v>
      </c>
      <c r="M3299" s="482">
        <v>4.9000000000000002E-2</v>
      </c>
    </row>
    <row r="3300" spans="1:13" x14ac:dyDescent="0.2">
      <c r="A3300" t="s">
        <v>4795</v>
      </c>
      <c r="B3300" t="s">
        <v>13</v>
      </c>
      <c r="C3300" t="s">
        <v>1</v>
      </c>
      <c r="D3300" t="s">
        <v>3261</v>
      </c>
      <c r="E3300" t="s">
        <v>3262</v>
      </c>
      <c r="F3300" t="s">
        <v>52</v>
      </c>
      <c r="G3300">
        <v>16</v>
      </c>
      <c r="H3300">
        <v>3</v>
      </c>
      <c r="I3300">
        <v>2</v>
      </c>
      <c r="J3300">
        <v>21</v>
      </c>
      <c r="K3300" s="482">
        <v>0.76200000000000001</v>
      </c>
      <c r="L3300" s="482">
        <v>0.14299999999999999</v>
      </c>
      <c r="M3300" s="482">
        <v>9.5000000000000001E-2</v>
      </c>
    </row>
    <row r="3301" spans="1:13" x14ac:dyDescent="0.2">
      <c r="A3301" t="s">
        <v>4796</v>
      </c>
      <c r="B3301" t="s">
        <v>13</v>
      </c>
      <c r="C3301" t="s">
        <v>1</v>
      </c>
      <c r="D3301" t="s">
        <v>3258</v>
      </c>
      <c r="E3301" t="s">
        <v>3259</v>
      </c>
      <c r="F3301" t="s">
        <v>52</v>
      </c>
      <c r="G3301">
        <v>61</v>
      </c>
      <c r="H3301">
        <v>3</v>
      </c>
      <c r="I3301">
        <v>3</v>
      </c>
      <c r="J3301">
        <v>67</v>
      </c>
      <c r="K3301" s="482">
        <v>0.91</v>
      </c>
      <c r="L3301" s="482">
        <v>4.4999999999999998E-2</v>
      </c>
      <c r="M3301" s="482">
        <v>4.4999999999999998E-2</v>
      </c>
    </row>
    <row r="3302" spans="1:13" x14ac:dyDescent="0.2">
      <c r="A3302" t="s">
        <v>4797</v>
      </c>
      <c r="B3302" t="s">
        <v>13</v>
      </c>
      <c r="C3302" t="s">
        <v>1</v>
      </c>
      <c r="D3302" t="s">
        <v>3255</v>
      </c>
      <c r="E3302" t="s">
        <v>3256</v>
      </c>
      <c r="F3302" t="s">
        <v>52</v>
      </c>
      <c r="G3302">
        <v>10</v>
      </c>
      <c r="H3302">
        <v>1</v>
      </c>
      <c r="I3302">
        <v>0</v>
      </c>
      <c r="J3302">
        <v>11</v>
      </c>
      <c r="K3302" s="482">
        <v>0.90900000000000003</v>
      </c>
      <c r="L3302" s="482">
        <v>9.0999999999999998E-2</v>
      </c>
      <c r="M3302" s="482">
        <v>0</v>
      </c>
    </row>
    <row r="3303" spans="1:13" x14ac:dyDescent="0.2">
      <c r="A3303" t="s">
        <v>4798</v>
      </c>
      <c r="B3303" t="s">
        <v>13</v>
      </c>
      <c r="C3303" t="s">
        <v>1</v>
      </c>
      <c r="D3303" t="s">
        <v>3252</v>
      </c>
      <c r="E3303" t="s">
        <v>3253</v>
      </c>
      <c r="F3303" t="s">
        <v>52</v>
      </c>
      <c r="G3303">
        <v>10</v>
      </c>
      <c r="H3303">
        <v>0</v>
      </c>
      <c r="I3303">
        <v>0</v>
      </c>
      <c r="J3303">
        <v>10</v>
      </c>
      <c r="K3303" s="482">
        <v>1</v>
      </c>
      <c r="L3303" s="482">
        <v>0</v>
      </c>
      <c r="M3303" s="482">
        <v>0</v>
      </c>
    </row>
    <row r="3304" spans="1:13" x14ac:dyDescent="0.2">
      <c r="A3304" t="s">
        <v>4792</v>
      </c>
      <c r="B3304" t="s">
        <v>13</v>
      </c>
      <c r="C3304" t="s">
        <v>1</v>
      </c>
      <c r="D3304" t="s">
        <v>4302</v>
      </c>
      <c r="E3304" t="s">
        <v>4303</v>
      </c>
      <c r="F3304" t="s">
        <v>52</v>
      </c>
      <c r="G3304">
        <v>64</v>
      </c>
      <c r="H3304">
        <v>6</v>
      </c>
      <c r="I3304">
        <v>2</v>
      </c>
      <c r="J3304">
        <v>72</v>
      </c>
      <c r="K3304" s="482">
        <v>0.88900000000000001</v>
      </c>
      <c r="L3304" s="482">
        <v>8.3000000000000004E-2</v>
      </c>
      <c r="M3304" s="482">
        <v>2.8000000000000001E-2</v>
      </c>
    </row>
    <row r="3305" spans="1:13" x14ac:dyDescent="0.2">
      <c r="A3305" t="s">
        <v>4793</v>
      </c>
      <c r="B3305" t="s">
        <v>13</v>
      </c>
      <c r="C3305" t="s">
        <v>1</v>
      </c>
      <c r="D3305" t="s">
        <v>4299</v>
      </c>
      <c r="E3305" t="s">
        <v>4300</v>
      </c>
      <c r="F3305" t="s">
        <v>52</v>
      </c>
      <c r="G3305">
        <v>95</v>
      </c>
      <c r="H3305">
        <v>3</v>
      </c>
      <c r="I3305">
        <v>2</v>
      </c>
      <c r="J3305">
        <v>100</v>
      </c>
      <c r="K3305" s="482">
        <v>0.95</v>
      </c>
      <c r="L3305" s="482">
        <v>0.03</v>
      </c>
      <c r="M3305" s="482">
        <v>0.02</v>
      </c>
    </row>
    <row r="3306" spans="1:13" x14ac:dyDescent="0.2">
      <c r="A3306" t="s">
        <v>4794</v>
      </c>
      <c r="B3306" t="s">
        <v>13</v>
      </c>
      <c r="C3306" t="s">
        <v>1</v>
      </c>
      <c r="D3306" t="s">
        <v>3264</v>
      </c>
      <c r="E3306" t="s">
        <v>3265</v>
      </c>
      <c r="F3306" t="s">
        <v>52</v>
      </c>
      <c r="G3306">
        <v>69</v>
      </c>
      <c r="H3306">
        <v>5</v>
      </c>
      <c r="I3306">
        <v>3</v>
      </c>
      <c r="J3306">
        <v>77</v>
      </c>
      <c r="K3306" s="482">
        <v>0.89600000000000002</v>
      </c>
      <c r="L3306" s="482">
        <v>6.5000000000000002E-2</v>
      </c>
      <c r="M3306" s="482">
        <v>3.9E-2</v>
      </c>
    </row>
    <row r="3307" spans="1:13" x14ac:dyDescent="0.2">
      <c r="A3307" t="s">
        <v>4768</v>
      </c>
      <c r="B3307" t="s">
        <v>13</v>
      </c>
      <c r="C3307" t="s">
        <v>1</v>
      </c>
      <c r="D3307" t="s">
        <v>3322</v>
      </c>
      <c r="E3307" t="s">
        <v>3323</v>
      </c>
      <c r="F3307" t="s">
        <v>52</v>
      </c>
      <c r="G3307">
        <v>6</v>
      </c>
      <c r="H3307">
        <v>1</v>
      </c>
      <c r="I3307">
        <v>1</v>
      </c>
      <c r="J3307">
        <v>8</v>
      </c>
      <c r="K3307" s="482">
        <v>0.75</v>
      </c>
      <c r="L3307" s="482">
        <v>0.125</v>
      </c>
      <c r="M3307" s="482">
        <v>0.125</v>
      </c>
    </row>
    <row r="3308" spans="1:13" x14ac:dyDescent="0.2">
      <c r="A3308" t="s">
        <v>4766</v>
      </c>
      <c r="B3308" t="s">
        <v>13</v>
      </c>
      <c r="C3308" t="s">
        <v>1</v>
      </c>
      <c r="D3308" t="s">
        <v>3328</v>
      </c>
      <c r="E3308" t="s">
        <v>3329</v>
      </c>
      <c r="F3308" t="s">
        <v>52</v>
      </c>
      <c r="G3308">
        <v>74</v>
      </c>
      <c r="H3308">
        <v>3</v>
      </c>
      <c r="I3308">
        <v>6</v>
      </c>
      <c r="J3308">
        <v>83</v>
      </c>
      <c r="K3308" s="482">
        <v>0.89200000000000002</v>
      </c>
      <c r="L3308" s="482">
        <v>3.5999999999999997E-2</v>
      </c>
      <c r="M3308" s="482">
        <v>7.1999999999999995E-2</v>
      </c>
    </row>
    <row r="3309" spans="1:13" x14ac:dyDescent="0.2">
      <c r="A3309" t="s">
        <v>4722</v>
      </c>
      <c r="B3309" t="s">
        <v>13</v>
      </c>
      <c r="C3309" t="s">
        <v>1</v>
      </c>
      <c r="D3309" t="s">
        <v>3445</v>
      </c>
      <c r="E3309" t="s">
        <v>3446</v>
      </c>
      <c r="F3309" t="s">
        <v>52</v>
      </c>
      <c r="G3309">
        <v>58</v>
      </c>
      <c r="H3309">
        <v>5</v>
      </c>
      <c r="I3309">
        <v>4</v>
      </c>
      <c r="J3309">
        <v>67</v>
      </c>
      <c r="K3309" s="482">
        <v>0.86599999999999999</v>
      </c>
      <c r="L3309" s="482">
        <v>7.4999999999999997E-2</v>
      </c>
      <c r="M3309" s="482">
        <v>0.06</v>
      </c>
    </row>
    <row r="3310" spans="1:13" x14ac:dyDescent="0.2">
      <c r="A3310" t="s">
        <v>4723</v>
      </c>
      <c r="B3310" t="s">
        <v>13</v>
      </c>
      <c r="C3310" t="s">
        <v>1</v>
      </c>
      <c r="D3310" t="s">
        <v>3442</v>
      </c>
      <c r="E3310" t="s">
        <v>3443</v>
      </c>
      <c r="F3310" t="s">
        <v>52</v>
      </c>
      <c r="G3310">
        <v>501</v>
      </c>
      <c r="H3310">
        <v>26</v>
      </c>
      <c r="I3310">
        <v>24</v>
      </c>
      <c r="J3310">
        <v>551</v>
      </c>
      <c r="K3310" s="482">
        <v>0.90900000000000003</v>
      </c>
      <c r="L3310" s="482">
        <v>4.7E-2</v>
      </c>
      <c r="M3310" s="482">
        <v>4.3999999999999997E-2</v>
      </c>
    </row>
    <row r="3311" spans="1:13" x14ac:dyDescent="0.2">
      <c r="A3311" t="s">
        <v>4731</v>
      </c>
      <c r="B3311" t="s">
        <v>13</v>
      </c>
      <c r="C3311" t="s">
        <v>1</v>
      </c>
      <c r="D3311" t="s">
        <v>3424</v>
      </c>
      <c r="E3311" t="s">
        <v>3425</v>
      </c>
      <c r="F3311" t="s">
        <v>52</v>
      </c>
      <c r="G3311">
        <v>83</v>
      </c>
      <c r="H3311">
        <v>4</v>
      </c>
      <c r="I3311">
        <v>5</v>
      </c>
      <c r="J3311">
        <v>92</v>
      </c>
      <c r="K3311" s="482">
        <v>0.90200000000000002</v>
      </c>
      <c r="L3311" s="482">
        <v>4.2999999999999997E-2</v>
      </c>
      <c r="M3311" s="482">
        <v>5.3999999999999999E-2</v>
      </c>
    </row>
    <row r="3312" spans="1:13" x14ac:dyDescent="0.2">
      <c r="A3312" t="s">
        <v>4732</v>
      </c>
      <c r="B3312" t="s">
        <v>13</v>
      </c>
      <c r="C3312" t="s">
        <v>1</v>
      </c>
      <c r="D3312" t="s">
        <v>3421</v>
      </c>
      <c r="E3312" t="s">
        <v>3422</v>
      </c>
      <c r="F3312" t="s">
        <v>52</v>
      </c>
      <c r="G3312">
        <v>238</v>
      </c>
      <c r="H3312">
        <v>18</v>
      </c>
      <c r="I3312">
        <v>16</v>
      </c>
      <c r="J3312">
        <v>272</v>
      </c>
      <c r="K3312" s="482">
        <v>0.875</v>
      </c>
      <c r="L3312" s="482">
        <v>6.6000000000000003E-2</v>
      </c>
      <c r="M3312" s="482">
        <v>5.8999999999999997E-2</v>
      </c>
    </row>
    <row r="3313" spans="1:13" x14ac:dyDescent="0.2">
      <c r="A3313" t="s">
        <v>4709</v>
      </c>
      <c r="B3313" t="s">
        <v>13</v>
      </c>
      <c r="C3313" t="s">
        <v>1</v>
      </c>
      <c r="D3313" t="s">
        <v>3485</v>
      </c>
      <c r="E3313" t="s">
        <v>3486</v>
      </c>
      <c r="F3313" t="s">
        <v>52</v>
      </c>
      <c r="G3313">
        <v>34</v>
      </c>
      <c r="H3313">
        <v>2</v>
      </c>
      <c r="I3313">
        <v>4</v>
      </c>
      <c r="J3313">
        <v>40</v>
      </c>
      <c r="K3313" s="482">
        <v>0.85</v>
      </c>
      <c r="L3313" s="482">
        <v>0.05</v>
      </c>
      <c r="M3313" s="482">
        <v>0.1</v>
      </c>
    </row>
    <row r="3314" spans="1:13" x14ac:dyDescent="0.2">
      <c r="A3314" t="s">
        <v>4710</v>
      </c>
      <c r="B3314" t="s">
        <v>13</v>
      </c>
      <c r="C3314" t="s">
        <v>1</v>
      </c>
      <c r="D3314" t="s">
        <v>3482</v>
      </c>
      <c r="E3314" t="s">
        <v>3483</v>
      </c>
      <c r="F3314" t="s">
        <v>52</v>
      </c>
      <c r="G3314">
        <v>374</v>
      </c>
      <c r="H3314">
        <v>27</v>
      </c>
      <c r="I3314">
        <v>24</v>
      </c>
      <c r="J3314">
        <v>425</v>
      </c>
      <c r="K3314" s="482">
        <v>0.88</v>
      </c>
      <c r="L3314" s="482">
        <v>6.4000000000000001E-2</v>
      </c>
      <c r="M3314" s="482">
        <v>5.6000000000000001E-2</v>
      </c>
    </row>
    <row r="3315" spans="1:13" x14ac:dyDescent="0.2">
      <c r="A3315" t="s">
        <v>4711</v>
      </c>
      <c r="B3315" t="s">
        <v>13</v>
      </c>
      <c r="C3315" t="s">
        <v>1</v>
      </c>
      <c r="D3315" t="s">
        <v>3478</v>
      </c>
      <c r="E3315" t="s">
        <v>3479</v>
      </c>
      <c r="F3315" t="s">
        <v>52</v>
      </c>
      <c r="G3315">
        <v>138</v>
      </c>
      <c r="H3315">
        <v>6</v>
      </c>
      <c r="I3315">
        <v>9</v>
      </c>
      <c r="J3315">
        <v>153</v>
      </c>
      <c r="K3315" s="482">
        <v>0.90200000000000002</v>
      </c>
      <c r="L3315" s="482">
        <v>3.9E-2</v>
      </c>
      <c r="M3315" s="482">
        <v>5.8999999999999997E-2</v>
      </c>
    </row>
    <row r="3316" spans="1:13" x14ac:dyDescent="0.2">
      <c r="A3316" t="s">
        <v>4712</v>
      </c>
      <c r="B3316" t="s">
        <v>13</v>
      </c>
      <c r="C3316" t="s">
        <v>1</v>
      </c>
      <c r="D3316" t="s">
        <v>3475</v>
      </c>
      <c r="E3316" t="s">
        <v>3476</v>
      </c>
      <c r="F3316" t="s">
        <v>52</v>
      </c>
      <c r="G3316">
        <v>127</v>
      </c>
      <c r="H3316">
        <v>5</v>
      </c>
      <c r="I3316">
        <v>11</v>
      </c>
      <c r="J3316">
        <v>143</v>
      </c>
      <c r="K3316" s="482">
        <v>0.88800000000000001</v>
      </c>
      <c r="L3316" s="482">
        <v>3.5000000000000003E-2</v>
      </c>
      <c r="M3316" s="482">
        <v>7.6999999999999999E-2</v>
      </c>
    </row>
    <row r="3317" spans="1:13" x14ac:dyDescent="0.2">
      <c r="A3317" t="s">
        <v>4713</v>
      </c>
      <c r="B3317" t="s">
        <v>13</v>
      </c>
      <c r="C3317" t="s">
        <v>1</v>
      </c>
      <c r="D3317" t="s">
        <v>3472</v>
      </c>
      <c r="E3317" t="s">
        <v>3473</v>
      </c>
      <c r="F3317" t="s">
        <v>52</v>
      </c>
      <c r="G3317">
        <v>187</v>
      </c>
      <c r="H3317">
        <v>23</v>
      </c>
      <c r="I3317">
        <v>10</v>
      </c>
      <c r="J3317">
        <v>220</v>
      </c>
      <c r="K3317" s="482">
        <v>0.85</v>
      </c>
      <c r="L3317" s="482">
        <v>0.105</v>
      </c>
      <c r="M3317" s="482">
        <v>4.4999999999999998E-2</v>
      </c>
    </row>
    <row r="3318" spans="1:13" x14ac:dyDescent="0.2">
      <c r="A3318" t="s">
        <v>4714</v>
      </c>
      <c r="B3318" t="s">
        <v>13</v>
      </c>
      <c r="C3318" t="s">
        <v>1</v>
      </c>
      <c r="D3318" t="s">
        <v>3469</v>
      </c>
      <c r="E3318" t="s">
        <v>3470</v>
      </c>
      <c r="F3318" t="s">
        <v>52</v>
      </c>
      <c r="G3318" t="s">
        <v>53</v>
      </c>
      <c r="H3318">
        <v>0</v>
      </c>
      <c r="I3318" t="s">
        <v>53</v>
      </c>
      <c r="J3318" t="s">
        <v>53</v>
      </c>
      <c r="K3318" t="s">
        <v>53</v>
      </c>
      <c r="L3318" t="s">
        <v>53</v>
      </c>
      <c r="M3318" t="s">
        <v>53</v>
      </c>
    </row>
    <row r="3319" spans="1:13" x14ac:dyDescent="0.2">
      <c r="A3319" t="s">
        <v>4715</v>
      </c>
      <c r="B3319" t="s">
        <v>13</v>
      </c>
      <c r="C3319" t="s">
        <v>1</v>
      </c>
      <c r="D3319" t="s">
        <v>3466</v>
      </c>
      <c r="E3319" t="s">
        <v>3467</v>
      </c>
      <c r="F3319" t="s">
        <v>52</v>
      </c>
      <c r="G3319">
        <v>292</v>
      </c>
      <c r="H3319">
        <v>21</v>
      </c>
      <c r="I3319">
        <v>30</v>
      </c>
      <c r="J3319">
        <v>343</v>
      </c>
      <c r="K3319" s="482">
        <v>0.85099999999999998</v>
      </c>
      <c r="L3319" s="482">
        <v>6.0999999999999999E-2</v>
      </c>
      <c r="M3319" s="482">
        <v>8.6999999999999994E-2</v>
      </c>
    </row>
    <row r="3320" spans="1:13" x14ac:dyDescent="0.2">
      <c r="A3320" t="s">
        <v>4716</v>
      </c>
      <c r="B3320" t="s">
        <v>13</v>
      </c>
      <c r="C3320" t="s">
        <v>1</v>
      </c>
      <c r="D3320" t="s">
        <v>3463</v>
      </c>
      <c r="E3320" t="s">
        <v>3464</v>
      </c>
      <c r="F3320" t="s">
        <v>52</v>
      </c>
      <c r="G3320">
        <v>137</v>
      </c>
      <c r="H3320">
        <v>8</v>
      </c>
      <c r="I3320">
        <v>10</v>
      </c>
      <c r="J3320">
        <v>155</v>
      </c>
      <c r="K3320" s="482">
        <v>0.88400000000000001</v>
      </c>
      <c r="L3320" s="482">
        <v>5.1999999999999998E-2</v>
      </c>
      <c r="M3320" s="482">
        <v>6.5000000000000002E-2</v>
      </c>
    </row>
    <row r="3321" spans="1:13" x14ac:dyDescent="0.2">
      <c r="A3321" t="s">
        <v>4717</v>
      </c>
      <c r="B3321" t="s">
        <v>13</v>
      </c>
      <c r="C3321" t="s">
        <v>1</v>
      </c>
      <c r="D3321" t="s">
        <v>3460</v>
      </c>
      <c r="E3321" t="s">
        <v>3461</v>
      </c>
      <c r="F3321" t="s">
        <v>52</v>
      </c>
      <c r="G3321">
        <v>154</v>
      </c>
      <c r="H3321">
        <v>10</v>
      </c>
      <c r="I3321">
        <v>12</v>
      </c>
      <c r="J3321">
        <v>176</v>
      </c>
      <c r="K3321" s="482">
        <v>0.875</v>
      </c>
      <c r="L3321" s="482">
        <v>5.7000000000000002E-2</v>
      </c>
      <c r="M3321" s="482">
        <v>6.8000000000000005E-2</v>
      </c>
    </row>
    <row r="3322" spans="1:13" x14ac:dyDescent="0.2">
      <c r="A3322" t="s">
        <v>4718</v>
      </c>
      <c r="B3322" t="s">
        <v>13</v>
      </c>
      <c r="C3322" t="s">
        <v>1</v>
      </c>
      <c r="D3322" t="s">
        <v>3457</v>
      </c>
      <c r="E3322" t="s">
        <v>3458</v>
      </c>
      <c r="F3322" t="s">
        <v>52</v>
      </c>
      <c r="G3322">
        <v>68</v>
      </c>
      <c r="H3322">
        <v>5</v>
      </c>
      <c r="I3322">
        <v>2</v>
      </c>
      <c r="J3322">
        <v>75</v>
      </c>
      <c r="K3322" s="482">
        <v>0.90700000000000003</v>
      </c>
      <c r="L3322" s="482">
        <v>6.7000000000000004E-2</v>
      </c>
      <c r="M3322" s="482">
        <v>2.7E-2</v>
      </c>
    </row>
    <row r="3323" spans="1:13" x14ac:dyDescent="0.2">
      <c r="A3323" t="s">
        <v>4719</v>
      </c>
      <c r="B3323" t="s">
        <v>13</v>
      </c>
      <c r="C3323" t="s">
        <v>1</v>
      </c>
      <c r="D3323" t="s">
        <v>3454</v>
      </c>
      <c r="E3323" t="s">
        <v>3455</v>
      </c>
      <c r="F3323" t="s">
        <v>52</v>
      </c>
      <c r="G3323">
        <v>169</v>
      </c>
      <c r="H3323">
        <v>23</v>
      </c>
      <c r="I3323">
        <v>12</v>
      </c>
      <c r="J3323">
        <v>204</v>
      </c>
      <c r="K3323" s="482">
        <v>0.82799999999999996</v>
      </c>
      <c r="L3323" s="482">
        <v>0.113</v>
      </c>
      <c r="M3323" s="482">
        <v>5.8999999999999997E-2</v>
      </c>
    </row>
    <row r="3324" spans="1:13" x14ac:dyDescent="0.2">
      <c r="A3324" t="s">
        <v>4720</v>
      </c>
      <c r="B3324" t="s">
        <v>13</v>
      </c>
      <c r="C3324" t="s">
        <v>1</v>
      </c>
      <c r="D3324" t="s">
        <v>3451</v>
      </c>
      <c r="E3324" t="s">
        <v>3452</v>
      </c>
      <c r="F3324" t="s">
        <v>52</v>
      </c>
      <c r="G3324">
        <v>128</v>
      </c>
      <c r="H3324">
        <v>5</v>
      </c>
      <c r="I3324">
        <v>7</v>
      </c>
      <c r="J3324">
        <v>140</v>
      </c>
      <c r="K3324" s="482">
        <v>0.91400000000000003</v>
      </c>
      <c r="L3324" s="482">
        <v>3.5999999999999997E-2</v>
      </c>
      <c r="M3324" s="482">
        <v>0.05</v>
      </c>
    </row>
    <row r="3325" spans="1:13" x14ac:dyDescent="0.2">
      <c r="A3325" t="s">
        <v>4727</v>
      </c>
      <c r="B3325" t="s">
        <v>13</v>
      </c>
      <c r="C3325" t="s">
        <v>1</v>
      </c>
      <c r="D3325" t="s">
        <v>4378</v>
      </c>
      <c r="E3325" t="s">
        <v>4379</v>
      </c>
      <c r="F3325" t="s">
        <v>52</v>
      </c>
      <c r="G3325">
        <v>115</v>
      </c>
      <c r="H3325">
        <v>9</v>
      </c>
      <c r="I3325">
        <v>14</v>
      </c>
      <c r="J3325">
        <v>138</v>
      </c>
      <c r="K3325" s="482">
        <v>0.83299999999999996</v>
      </c>
      <c r="L3325" s="482">
        <v>6.5000000000000002E-2</v>
      </c>
      <c r="M3325" s="482">
        <v>0.10100000000000001</v>
      </c>
    </row>
    <row r="3326" spans="1:13" x14ac:dyDescent="0.2">
      <c r="A3326" t="s">
        <v>4721</v>
      </c>
      <c r="B3326" t="s">
        <v>13</v>
      </c>
      <c r="C3326" t="s">
        <v>1</v>
      </c>
      <c r="D3326" t="s">
        <v>3448</v>
      </c>
      <c r="E3326" t="s">
        <v>3449</v>
      </c>
      <c r="F3326" t="s">
        <v>52</v>
      </c>
      <c r="G3326">
        <v>100</v>
      </c>
      <c r="H3326">
        <v>9</v>
      </c>
      <c r="I3326">
        <v>7</v>
      </c>
      <c r="J3326">
        <v>116</v>
      </c>
      <c r="K3326" s="482">
        <v>0.86199999999999999</v>
      </c>
      <c r="L3326" s="482">
        <v>7.8E-2</v>
      </c>
      <c r="M3326" s="482">
        <v>0.06</v>
      </c>
    </row>
    <row r="3327" spans="1:13" x14ac:dyDescent="0.2">
      <c r="A3327" t="s">
        <v>4735</v>
      </c>
      <c r="B3327" t="s">
        <v>13</v>
      </c>
      <c r="C3327" t="s">
        <v>1</v>
      </c>
      <c r="D3327" t="s">
        <v>3415</v>
      </c>
      <c r="E3327" t="s">
        <v>3416</v>
      </c>
      <c r="F3327" t="s">
        <v>52</v>
      </c>
      <c r="G3327">
        <v>18</v>
      </c>
      <c r="H3327">
        <v>1</v>
      </c>
      <c r="I3327">
        <v>0</v>
      </c>
      <c r="J3327">
        <v>19</v>
      </c>
      <c r="K3327" s="482">
        <v>0.94699999999999995</v>
      </c>
      <c r="L3327" s="482">
        <v>5.2999999999999999E-2</v>
      </c>
      <c r="M3327" s="482">
        <v>0</v>
      </c>
    </row>
    <row r="3328" spans="1:13" x14ac:dyDescent="0.2">
      <c r="A3328" t="s">
        <v>4736</v>
      </c>
      <c r="B3328" t="s">
        <v>13</v>
      </c>
      <c r="C3328" t="s">
        <v>1</v>
      </c>
      <c r="D3328" t="s">
        <v>3412</v>
      </c>
      <c r="E3328" t="s">
        <v>3413</v>
      </c>
      <c r="F3328" t="s">
        <v>52</v>
      </c>
      <c r="G3328">
        <v>39</v>
      </c>
      <c r="H3328">
        <v>2</v>
      </c>
      <c r="I3328">
        <v>0</v>
      </c>
      <c r="J3328">
        <v>41</v>
      </c>
      <c r="K3328" s="482">
        <v>0.95099999999999996</v>
      </c>
      <c r="L3328" s="482">
        <v>4.9000000000000002E-2</v>
      </c>
      <c r="M3328" s="482">
        <v>0</v>
      </c>
    </row>
    <row r="3329" spans="1:13" x14ac:dyDescent="0.2">
      <c r="A3329" t="s">
        <v>4724</v>
      </c>
      <c r="B3329" t="s">
        <v>13</v>
      </c>
      <c r="C3329" t="s">
        <v>1</v>
      </c>
      <c r="D3329" t="s">
        <v>3439</v>
      </c>
      <c r="E3329" t="s">
        <v>3440</v>
      </c>
      <c r="F3329" t="s">
        <v>52</v>
      </c>
      <c r="G3329">
        <v>62</v>
      </c>
      <c r="H3329">
        <v>2</v>
      </c>
      <c r="I3329">
        <v>1</v>
      </c>
      <c r="J3329">
        <v>65</v>
      </c>
      <c r="K3329" s="482">
        <v>0.95399999999999996</v>
      </c>
      <c r="L3329" s="482">
        <v>3.1E-2</v>
      </c>
      <c r="M3329" s="482">
        <v>1.4999999999999999E-2</v>
      </c>
    </row>
    <row r="3330" spans="1:13" x14ac:dyDescent="0.2">
      <c r="A3330" t="s">
        <v>4725</v>
      </c>
      <c r="B3330" t="s">
        <v>13</v>
      </c>
      <c r="C3330" t="s">
        <v>1</v>
      </c>
      <c r="D3330" t="s">
        <v>3436</v>
      </c>
      <c r="E3330" t="s">
        <v>3437</v>
      </c>
      <c r="F3330" t="s">
        <v>52</v>
      </c>
      <c r="G3330">
        <v>57</v>
      </c>
      <c r="H3330">
        <v>0</v>
      </c>
      <c r="I3330">
        <v>2</v>
      </c>
      <c r="J3330">
        <v>59</v>
      </c>
      <c r="K3330" s="482">
        <v>0.96599999999999997</v>
      </c>
      <c r="L3330" s="482">
        <v>0</v>
      </c>
      <c r="M3330" s="482">
        <v>3.4000000000000002E-2</v>
      </c>
    </row>
    <row r="3331" spans="1:13" x14ac:dyDescent="0.2">
      <c r="A3331" t="s">
        <v>4737</v>
      </c>
      <c r="B3331" t="s">
        <v>13</v>
      </c>
      <c r="C3331" t="s">
        <v>1</v>
      </c>
      <c r="D3331" t="s">
        <v>4364</v>
      </c>
      <c r="E3331" t="s">
        <v>4365</v>
      </c>
      <c r="F3331" t="s">
        <v>52</v>
      </c>
      <c r="G3331">
        <v>65</v>
      </c>
      <c r="H3331">
        <v>4</v>
      </c>
      <c r="I3331">
        <v>6</v>
      </c>
      <c r="J3331">
        <v>75</v>
      </c>
      <c r="K3331" s="482">
        <v>0.86699999999999999</v>
      </c>
      <c r="L3331" s="482">
        <v>5.2999999999999999E-2</v>
      </c>
      <c r="M3331" s="482">
        <v>0.08</v>
      </c>
    </row>
    <row r="3332" spans="1:13" x14ac:dyDescent="0.2">
      <c r="A3332" t="s">
        <v>4726</v>
      </c>
      <c r="B3332" t="s">
        <v>13</v>
      </c>
      <c r="C3332" t="s">
        <v>1</v>
      </c>
      <c r="D3332" t="s">
        <v>4381</v>
      </c>
      <c r="E3332" t="s">
        <v>4382</v>
      </c>
      <c r="F3332" t="s">
        <v>52</v>
      </c>
      <c r="G3332">
        <v>151</v>
      </c>
      <c r="H3332">
        <v>10</v>
      </c>
      <c r="I3332">
        <v>14</v>
      </c>
      <c r="J3332">
        <v>175</v>
      </c>
      <c r="K3332" s="482">
        <v>0.86299999999999999</v>
      </c>
      <c r="L3332" s="482">
        <v>5.7000000000000002E-2</v>
      </c>
      <c r="M3332" s="482">
        <v>0.08</v>
      </c>
    </row>
    <row r="3333" spans="1:13" x14ac:dyDescent="0.2">
      <c r="A3333" t="s">
        <v>4728</v>
      </c>
      <c r="B3333" t="s">
        <v>13</v>
      </c>
      <c r="C3333" t="s">
        <v>1</v>
      </c>
      <c r="D3333" t="s">
        <v>3433</v>
      </c>
      <c r="E3333" t="s">
        <v>3434</v>
      </c>
      <c r="F3333" t="s">
        <v>52</v>
      </c>
      <c r="G3333">
        <v>32</v>
      </c>
      <c r="H3333">
        <v>3</v>
      </c>
      <c r="I3333">
        <v>2</v>
      </c>
      <c r="J3333">
        <v>37</v>
      </c>
      <c r="K3333" s="482">
        <v>0.86499999999999999</v>
      </c>
      <c r="L3333" s="482">
        <v>8.1000000000000003E-2</v>
      </c>
      <c r="M3333" s="482">
        <v>5.3999999999999999E-2</v>
      </c>
    </row>
    <row r="3334" spans="1:13" x14ac:dyDescent="0.2">
      <c r="A3334" t="s">
        <v>4729</v>
      </c>
      <c r="B3334" t="s">
        <v>13</v>
      </c>
      <c r="C3334" t="s">
        <v>1</v>
      </c>
      <c r="D3334" t="s">
        <v>3430</v>
      </c>
      <c r="E3334" t="s">
        <v>3431</v>
      </c>
      <c r="F3334" t="s">
        <v>52</v>
      </c>
      <c r="G3334">
        <v>89</v>
      </c>
      <c r="H3334">
        <v>5</v>
      </c>
      <c r="I3334">
        <v>5</v>
      </c>
      <c r="J3334">
        <v>99</v>
      </c>
      <c r="K3334" s="482">
        <v>0.89900000000000002</v>
      </c>
      <c r="L3334" s="482">
        <v>5.0999999999999997E-2</v>
      </c>
      <c r="M3334" s="482">
        <v>5.0999999999999997E-2</v>
      </c>
    </row>
    <row r="3335" spans="1:13" x14ac:dyDescent="0.2">
      <c r="A3335" t="s">
        <v>4730</v>
      </c>
      <c r="B3335" t="s">
        <v>13</v>
      </c>
      <c r="C3335" t="s">
        <v>1</v>
      </c>
      <c r="D3335" t="s">
        <v>3427</v>
      </c>
      <c r="E3335" t="s">
        <v>3428</v>
      </c>
      <c r="F3335" t="s">
        <v>52</v>
      </c>
      <c r="G3335">
        <v>122</v>
      </c>
      <c r="H3335">
        <v>4</v>
      </c>
      <c r="I3335">
        <v>12</v>
      </c>
      <c r="J3335">
        <v>138</v>
      </c>
      <c r="K3335" s="482">
        <v>0.88400000000000001</v>
      </c>
      <c r="L3335" s="482">
        <v>2.9000000000000001E-2</v>
      </c>
      <c r="M3335" s="482">
        <v>8.6999999999999994E-2</v>
      </c>
    </row>
    <row r="3336" spans="1:13" x14ac:dyDescent="0.2">
      <c r="A3336" t="s">
        <v>4734</v>
      </c>
      <c r="B3336" t="s">
        <v>13</v>
      </c>
      <c r="C3336" t="s">
        <v>1</v>
      </c>
      <c r="D3336" t="s">
        <v>3418</v>
      </c>
      <c r="E3336" t="s">
        <v>3419</v>
      </c>
      <c r="F3336" t="s">
        <v>52</v>
      </c>
      <c r="G3336">
        <v>47</v>
      </c>
      <c r="H3336">
        <v>5</v>
      </c>
      <c r="I3336">
        <v>2</v>
      </c>
      <c r="J3336">
        <v>54</v>
      </c>
      <c r="K3336" s="482">
        <v>0.87</v>
      </c>
      <c r="L3336" s="482">
        <v>9.2999999999999999E-2</v>
      </c>
      <c r="M3336" s="482">
        <v>3.6999999999999998E-2</v>
      </c>
    </row>
    <row r="3337" spans="1:13" x14ac:dyDescent="0.2">
      <c r="A3337" t="s">
        <v>4590</v>
      </c>
      <c r="B3337" t="s">
        <v>13</v>
      </c>
      <c r="C3337" t="s">
        <v>1</v>
      </c>
      <c r="D3337" t="s">
        <v>3849</v>
      </c>
      <c r="E3337" t="s">
        <v>3850</v>
      </c>
      <c r="F3337" t="s">
        <v>52</v>
      </c>
      <c r="G3337">
        <v>554</v>
      </c>
      <c r="H3337">
        <v>41</v>
      </c>
      <c r="I3337">
        <v>41</v>
      </c>
      <c r="J3337">
        <v>636</v>
      </c>
      <c r="K3337" s="482">
        <v>0.871</v>
      </c>
      <c r="L3337" s="482">
        <v>6.4000000000000001E-2</v>
      </c>
      <c r="M3337" s="482">
        <v>6.4000000000000001E-2</v>
      </c>
    </row>
    <row r="3338" spans="1:13" x14ac:dyDescent="0.2">
      <c r="A3338" t="s">
        <v>4598</v>
      </c>
      <c r="B3338" t="s">
        <v>13</v>
      </c>
      <c r="C3338" t="s">
        <v>1</v>
      </c>
      <c r="D3338" t="s">
        <v>3829</v>
      </c>
      <c r="E3338" t="s">
        <v>3830</v>
      </c>
      <c r="F3338" t="s">
        <v>52</v>
      </c>
      <c r="G3338">
        <v>352</v>
      </c>
      <c r="H3338">
        <v>18</v>
      </c>
      <c r="I3338">
        <v>15</v>
      </c>
      <c r="J3338">
        <v>385</v>
      </c>
      <c r="K3338" s="482">
        <v>0.91400000000000003</v>
      </c>
      <c r="L3338" s="482">
        <v>4.7E-2</v>
      </c>
      <c r="M3338" s="482">
        <v>3.9E-2</v>
      </c>
    </row>
    <row r="3339" spans="1:13" x14ac:dyDescent="0.2">
      <c r="A3339" t="s">
        <v>4599</v>
      </c>
      <c r="B3339" t="s">
        <v>13</v>
      </c>
      <c r="C3339" t="s">
        <v>1</v>
      </c>
      <c r="D3339" t="s">
        <v>3826</v>
      </c>
      <c r="E3339" t="s">
        <v>3827</v>
      </c>
      <c r="F3339" t="s">
        <v>52</v>
      </c>
      <c r="G3339">
        <v>195</v>
      </c>
      <c r="H3339">
        <v>18</v>
      </c>
      <c r="I3339">
        <v>18</v>
      </c>
      <c r="J3339">
        <v>231</v>
      </c>
      <c r="K3339" s="482">
        <v>0.84399999999999997</v>
      </c>
      <c r="L3339" s="482">
        <v>7.8E-2</v>
      </c>
      <c r="M3339" s="482">
        <v>7.8E-2</v>
      </c>
    </row>
    <row r="3340" spans="1:13" x14ac:dyDescent="0.2">
      <c r="A3340" t="s">
        <v>4600</v>
      </c>
      <c r="B3340" t="s">
        <v>13</v>
      </c>
      <c r="C3340" t="s">
        <v>1</v>
      </c>
      <c r="D3340" t="s">
        <v>3823</v>
      </c>
      <c r="E3340" t="s">
        <v>3824</v>
      </c>
      <c r="F3340" t="s">
        <v>52</v>
      </c>
      <c r="G3340">
        <v>156</v>
      </c>
      <c r="H3340">
        <v>4</v>
      </c>
      <c r="I3340">
        <v>11</v>
      </c>
      <c r="J3340">
        <v>171</v>
      </c>
      <c r="K3340" s="482">
        <v>0.91200000000000003</v>
      </c>
      <c r="L3340" s="482">
        <v>2.3E-2</v>
      </c>
      <c r="M3340" s="482">
        <v>6.4000000000000001E-2</v>
      </c>
    </row>
    <row r="3341" spans="1:13" x14ac:dyDescent="0.2">
      <c r="A3341" t="s">
        <v>4601</v>
      </c>
      <c r="B3341" t="s">
        <v>13</v>
      </c>
      <c r="C3341" t="s">
        <v>1</v>
      </c>
      <c r="D3341" t="s">
        <v>3820</v>
      </c>
      <c r="E3341" t="s">
        <v>3821</v>
      </c>
      <c r="F3341" t="s">
        <v>52</v>
      </c>
      <c r="G3341">
        <v>290</v>
      </c>
      <c r="H3341">
        <v>27</v>
      </c>
      <c r="I3341">
        <v>15</v>
      </c>
      <c r="J3341">
        <v>332</v>
      </c>
      <c r="K3341" s="482">
        <v>0.873</v>
      </c>
      <c r="L3341" s="482">
        <v>8.1000000000000003E-2</v>
      </c>
      <c r="M3341" s="482">
        <v>4.4999999999999998E-2</v>
      </c>
    </row>
    <row r="3342" spans="1:13" x14ac:dyDescent="0.2">
      <c r="A3342" t="s">
        <v>4602</v>
      </c>
      <c r="B3342" t="s">
        <v>13</v>
      </c>
      <c r="C3342" t="s">
        <v>1</v>
      </c>
      <c r="D3342" t="s">
        <v>3817</v>
      </c>
      <c r="E3342" t="s">
        <v>3818</v>
      </c>
      <c r="F3342" t="s">
        <v>52</v>
      </c>
      <c r="G3342">
        <v>91</v>
      </c>
      <c r="H3342">
        <v>4</v>
      </c>
      <c r="I3342">
        <v>8</v>
      </c>
      <c r="J3342">
        <v>103</v>
      </c>
      <c r="K3342" s="482">
        <v>0.88300000000000001</v>
      </c>
      <c r="L3342" s="482">
        <v>3.9E-2</v>
      </c>
      <c r="M3342" s="482">
        <v>7.8E-2</v>
      </c>
    </row>
    <row r="3343" spans="1:13" x14ac:dyDescent="0.2">
      <c r="A3343" t="s">
        <v>4603</v>
      </c>
      <c r="B3343" t="s">
        <v>13</v>
      </c>
      <c r="C3343" t="s">
        <v>1</v>
      </c>
      <c r="D3343" t="s">
        <v>3814</v>
      </c>
      <c r="E3343" t="s">
        <v>3815</v>
      </c>
      <c r="F3343" t="s">
        <v>52</v>
      </c>
      <c r="G3343">
        <v>86</v>
      </c>
      <c r="H3343">
        <v>2</v>
      </c>
      <c r="I3343">
        <v>8</v>
      </c>
      <c r="J3343">
        <v>96</v>
      </c>
      <c r="K3343" s="482">
        <v>0.89600000000000002</v>
      </c>
      <c r="L3343" s="482">
        <v>2.1000000000000001E-2</v>
      </c>
      <c r="M3343" s="482">
        <v>8.3000000000000004E-2</v>
      </c>
    </row>
    <row r="3344" spans="1:13" x14ac:dyDescent="0.2">
      <c r="A3344" t="s">
        <v>4596</v>
      </c>
      <c r="B3344" t="s">
        <v>13</v>
      </c>
      <c r="C3344" t="s">
        <v>1</v>
      </c>
      <c r="D3344" t="s">
        <v>3808</v>
      </c>
      <c r="E3344" t="s">
        <v>3809</v>
      </c>
      <c r="F3344" t="s">
        <v>52</v>
      </c>
      <c r="G3344">
        <v>25</v>
      </c>
      <c r="H3344">
        <v>1</v>
      </c>
      <c r="I3344">
        <v>2</v>
      </c>
      <c r="J3344">
        <v>28</v>
      </c>
      <c r="K3344" s="482">
        <v>0.89300000000000002</v>
      </c>
      <c r="L3344" s="482">
        <v>3.5999999999999997E-2</v>
      </c>
      <c r="M3344" s="482">
        <v>7.0999999999999994E-2</v>
      </c>
    </row>
    <row r="3345" spans="1:13" x14ac:dyDescent="0.2">
      <c r="A3345" t="s">
        <v>4803</v>
      </c>
      <c r="B3345" t="s">
        <v>13</v>
      </c>
      <c r="C3345" t="s">
        <v>1</v>
      </c>
      <c r="D3345" t="s">
        <v>3237</v>
      </c>
      <c r="E3345" t="s">
        <v>3238</v>
      </c>
      <c r="F3345" t="s">
        <v>52</v>
      </c>
      <c r="G3345">
        <v>45</v>
      </c>
      <c r="H3345">
        <v>4</v>
      </c>
      <c r="I3345">
        <v>2</v>
      </c>
      <c r="J3345">
        <v>51</v>
      </c>
      <c r="K3345" s="482">
        <v>0.88200000000000001</v>
      </c>
      <c r="L3345" s="482">
        <v>7.8E-2</v>
      </c>
      <c r="M3345" s="482">
        <v>3.9E-2</v>
      </c>
    </row>
    <row r="3346" spans="1:13" x14ac:dyDescent="0.2">
      <c r="A3346" t="s">
        <v>4804</v>
      </c>
      <c r="B3346" t="s">
        <v>13</v>
      </c>
      <c r="C3346" t="s">
        <v>1</v>
      </c>
      <c r="D3346" t="s">
        <v>3234</v>
      </c>
      <c r="E3346" t="s">
        <v>3235</v>
      </c>
      <c r="F3346" t="s">
        <v>52</v>
      </c>
      <c r="G3346">
        <v>158</v>
      </c>
      <c r="H3346">
        <v>8</v>
      </c>
      <c r="I3346">
        <v>10</v>
      </c>
      <c r="J3346">
        <v>176</v>
      </c>
      <c r="K3346" s="482">
        <v>0.89800000000000002</v>
      </c>
      <c r="L3346" s="482">
        <v>4.4999999999999998E-2</v>
      </c>
      <c r="M3346" s="482">
        <v>5.7000000000000002E-2</v>
      </c>
    </row>
    <row r="3347" spans="1:13" x14ac:dyDescent="0.2">
      <c r="A3347" t="s">
        <v>4607</v>
      </c>
      <c r="B3347" t="s">
        <v>13</v>
      </c>
      <c r="C3347" t="s">
        <v>1</v>
      </c>
      <c r="D3347" t="s">
        <v>3790</v>
      </c>
      <c r="E3347" t="s">
        <v>3791</v>
      </c>
      <c r="F3347" t="s">
        <v>52</v>
      </c>
      <c r="G3347">
        <v>362</v>
      </c>
      <c r="H3347">
        <v>30</v>
      </c>
      <c r="I3347">
        <v>30</v>
      </c>
      <c r="J3347">
        <v>422</v>
      </c>
      <c r="K3347" s="482">
        <v>0.85799999999999998</v>
      </c>
      <c r="L3347" s="482">
        <v>7.0999999999999994E-2</v>
      </c>
      <c r="M3347" s="482">
        <v>7.0999999999999994E-2</v>
      </c>
    </row>
    <row r="3348" spans="1:13" x14ac:dyDescent="0.2">
      <c r="A3348" t="s">
        <v>4608</v>
      </c>
      <c r="B3348" t="s">
        <v>13</v>
      </c>
      <c r="C3348" t="s">
        <v>1</v>
      </c>
      <c r="D3348" t="s">
        <v>3787</v>
      </c>
      <c r="E3348" t="s">
        <v>3788</v>
      </c>
      <c r="F3348" t="s">
        <v>52</v>
      </c>
      <c r="G3348">
        <v>115</v>
      </c>
      <c r="H3348">
        <v>9</v>
      </c>
      <c r="I3348">
        <v>14</v>
      </c>
      <c r="J3348">
        <v>138</v>
      </c>
      <c r="K3348" s="482">
        <v>0.83299999999999996</v>
      </c>
      <c r="L3348" s="482">
        <v>6.5000000000000002E-2</v>
      </c>
      <c r="M3348" s="482">
        <v>0.10100000000000001</v>
      </c>
    </row>
    <row r="3349" spans="1:13" x14ac:dyDescent="0.2">
      <c r="A3349" t="s">
        <v>4609</v>
      </c>
      <c r="B3349" t="s">
        <v>13</v>
      </c>
      <c r="C3349" t="s">
        <v>1</v>
      </c>
      <c r="D3349" t="s">
        <v>3784</v>
      </c>
      <c r="E3349" t="s">
        <v>3785</v>
      </c>
      <c r="F3349" t="s">
        <v>52</v>
      </c>
      <c r="G3349">
        <v>233</v>
      </c>
      <c r="H3349">
        <v>13</v>
      </c>
      <c r="I3349">
        <v>10</v>
      </c>
      <c r="J3349">
        <v>256</v>
      </c>
      <c r="K3349" s="482">
        <v>0.91</v>
      </c>
      <c r="L3349" s="482">
        <v>5.0999999999999997E-2</v>
      </c>
      <c r="M3349" s="482">
        <v>3.9E-2</v>
      </c>
    </row>
    <row r="3350" spans="1:13" x14ac:dyDescent="0.2">
      <c r="A3350" t="s">
        <v>4610</v>
      </c>
      <c r="B3350" t="s">
        <v>13</v>
      </c>
      <c r="C3350" t="s">
        <v>1</v>
      </c>
      <c r="D3350" t="s">
        <v>3781</v>
      </c>
      <c r="E3350" t="s">
        <v>3782</v>
      </c>
      <c r="F3350" t="s">
        <v>52</v>
      </c>
      <c r="G3350">
        <v>67</v>
      </c>
      <c r="H3350">
        <v>5</v>
      </c>
      <c r="I3350">
        <v>6</v>
      </c>
      <c r="J3350">
        <v>78</v>
      </c>
      <c r="K3350" s="482">
        <v>0.85899999999999999</v>
      </c>
      <c r="L3350" s="482">
        <v>6.4000000000000001E-2</v>
      </c>
      <c r="M3350" s="482">
        <v>7.6999999999999999E-2</v>
      </c>
    </row>
    <row r="3351" spans="1:13" x14ac:dyDescent="0.2">
      <c r="A3351" t="s">
        <v>4583</v>
      </c>
      <c r="B3351" t="s">
        <v>13</v>
      </c>
      <c r="C3351" t="s">
        <v>1</v>
      </c>
      <c r="D3351" t="s">
        <v>3870</v>
      </c>
      <c r="E3351" t="s">
        <v>3871</v>
      </c>
      <c r="F3351" t="s">
        <v>52</v>
      </c>
      <c r="G3351">
        <v>56</v>
      </c>
      <c r="H3351">
        <v>2</v>
      </c>
      <c r="I3351">
        <v>2</v>
      </c>
      <c r="J3351">
        <v>60</v>
      </c>
      <c r="K3351" s="482">
        <v>0.93300000000000005</v>
      </c>
      <c r="L3351" s="482">
        <v>3.3000000000000002E-2</v>
      </c>
      <c r="M3351" s="482">
        <v>3.3000000000000002E-2</v>
      </c>
    </row>
    <row r="3352" spans="1:13" x14ac:dyDescent="0.2">
      <c r="A3352" t="s">
        <v>4584</v>
      </c>
      <c r="B3352" t="s">
        <v>13</v>
      </c>
      <c r="C3352" t="s">
        <v>1</v>
      </c>
      <c r="D3352" t="s">
        <v>3867</v>
      </c>
      <c r="E3352" t="s">
        <v>3868</v>
      </c>
      <c r="F3352" t="s">
        <v>52</v>
      </c>
      <c r="G3352">
        <v>162</v>
      </c>
      <c r="H3352">
        <v>8</v>
      </c>
      <c r="I3352">
        <v>11</v>
      </c>
      <c r="J3352">
        <v>181</v>
      </c>
      <c r="K3352" s="482">
        <v>0.89500000000000002</v>
      </c>
      <c r="L3352" s="482">
        <v>4.3999999999999997E-2</v>
      </c>
      <c r="M3352" s="482">
        <v>6.0999999999999999E-2</v>
      </c>
    </row>
    <row r="3353" spans="1:13" x14ac:dyDescent="0.2">
      <c r="A3353" t="s">
        <v>4585</v>
      </c>
      <c r="B3353" t="s">
        <v>13</v>
      </c>
      <c r="C3353" t="s">
        <v>1</v>
      </c>
      <c r="D3353" t="s">
        <v>3864</v>
      </c>
      <c r="E3353" t="s">
        <v>3865</v>
      </c>
      <c r="F3353" t="s">
        <v>52</v>
      </c>
      <c r="G3353">
        <v>160</v>
      </c>
      <c r="H3353">
        <v>10</v>
      </c>
      <c r="I3353">
        <v>14</v>
      </c>
      <c r="J3353">
        <v>184</v>
      </c>
      <c r="K3353" s="482">
        <v>0.87</v>
      </c>
      <c r="L3353" s="482">
        <v>5.3999999999999999E-2</v>
      </c>
      <c r="M3353" s="482">
        <v>7.5999999999999998E-2</v>
      </c>
    </row>
    <row r="3354" spans="1:13" x14ac:dyDescent="0.2">
      <c r="A3354" t="s">
        <v>4586</v>
      </c>
      <c r="B3354" t="s">
        <v>13</v>
      </c>
      <c r="C3354" t="s">
        <v>1</v>
      </c>
      <c r="D3354" t="s">
        <v>3861</v>
      </c>
      <c r="E3354" t="s">
        <v>3862</v>
      </c>
      <c r="F3354" t="s">
        <v>52</v>
      </c>
      <c r="G3354">
        <v>333</v>
      </c>
      <c r="H3354">
        <v>21</v>
      </c>
      <c r="I3354">
        <v>24</v>
      </c>
      <c r="J3354">
        <v>378</v>
      </c>
      <c r="K3354" s="482">
        <v>0.88100000000000001</v>
      </c>
      <c r="L3354" s="482">
        <v>5.6000000000000001E-2</v>
      </c>
      <c r="M3354" s="482">
        <v>6.3E-2</v>
      </c>
    </row>
    <row r="3355" spans="1:13" x14ac:dyDescent="0.2">
      <c r="A3355" t="s">
        <v>6605</v>
      </c>
      <c r="B3355" t="s">
        <v>13</v>
      </c>
      <c r="C3355" t="s">
        <v>1</v>
      </c>
      <c r="D3355" t="s">
        <v>3900</v>
      </c>
      <c r="E3355" t="s">
        <v>3901</v>
      </c>
      <c r="F3355" t="s">
        <v>52</v>
      </c>
      <c r="G3355" t="s">
        <v>53</v>
      </c>
      <c r="H3355">
        <v>0</v>
      </c>
      <c r="I3355">
        <v>0</v>
      </c>
      <c r="J3355" t="s">
        <v>53</v>
      </c>
      <c r="K3355" t="s">
        <v>53</v>
      </c>
      <c r="L3355" t="s">
        <v>53</v>
      </c>
      <c r="M3355" t="s">
        <v>53</v>
      </c>
    </row>
    <row r="3356" spans="1:13" x14ac:dyDescent="0.2">
      <c r="A3356" t="s">
        <v>4587</v>
      </c>
      <c r="B3356" t="s">
        <v>13</v>
      </c>
      <c r="C3356" t="s">
        <v>1</v>
      </c>
      <c r="D3356" t="s">
        <v>3858</v>
      </c>
      <c r="E3356" t="s">
        <v>3859</v>
      </c>
      <c r="F3356" t="s">
        <v>52</v>
      </c>
      <c r="G3356">
        <v>178</v>
      </c>
      <c r="H3356">
        <v>9</v>
      </c>
      <c r="I3356">
        <v>11</v>
      </c>
      <c r="J3356">
        <v>198</v>
      </c>
      <c r="K3356" s="482">
        <v>0.89900000000000002</v>
      </c>
      <c r="L3356" s="482">
        <v>4.4999999999999998E-2</v>
      </c>
      <c r="M3356" s="482">
        <v>5.6000000000000001E-2</v>
      </c>
    </row>
    <row r="3357" spans="1:13" x14ac:dyDescent="0.2">
      <c r="A3357" t="s">
        <v>4588</v>
      </c>
      <c r="B3357" t="s">
        <v>13</v>
      </c>
      <c r="C3357" t="s">
        <v>1</v>
      </c>
      <c r="D3357" t="s">
        <v>3855</v>
      </c>
      <c r="E3357" t="s">
        <v>3856</v>
      </c>
      <c r="F3357" t="s">
        <v>52</v>
      </c>
      <c r="G3357">
        <v>44</v>
      </c>
      <c r="H3357">
        <v>6</v>
      </c>
      <c r="I3357">
        <v>4</v>
      </c>
      <c r="J3357">
        <v>54</v>
      </c>
      <c r="K3357" s="482">
        <v>0.81499999999999995</v>
      </c>
      <c r="L3357" s="482">
        <v>0.111</v>
      </c>
      <c r="M3357" s="482">
        <v>7.3999999999999996E-2</v>
      </c>
    </row>
    <row r="3358" spans="1:13" x14ac:dyDescent="0.2">
      <c r="A3358" t="s">
        <v>4589</v>
      </c>
      <c r="B3358" t="s">
        <v>13</v>
      </c>
      <c r="C3358" t="s">
        <v>1</v>
      </c>
      <c r="D3358" t="s">
        <v>3852</v>
      </c>
      <c r="E3358" t="s">
        <v>3853</v>
      </c>
      <c r="F3358" t="s">
        <v>52</v>
      </c>
      <c r="G3358">
        <v>55</v>
      </c>
      <c r="H3358">
        <v>4</v>
      </c>
      <c r="I3358">
        <v>3</v>
      </c>
      <c r="J3358">
        <v>62</v>
      </c>
      <c r="K3358" s="482">
        <v>0.88700000000000001</v>
      </c>
      <c r="L3358" s="482">
        <v>6.5000000000000002E-2</v>
      </c>
      <c r="M3358" s="482">
        <v>4.8000000000000001E-2</v>
      </c>
    </row>
    <row r="3359" spans="1:13" x14ac:dyDescent="0.2">
      <c r="A3359" t="s">
        <v>4579</v>
      </c>
      <c r="B3359" t="s">
        <v>13</v>
      </c>
      <c r="C3359" t="s">
        <v>1</v>
      </c>
      <c r="D3359" t="s">
        <v>3882</v>
      </c>
      <c r="E3359" t="s">
        <v>3883</v>
      </c>
      <c r="F3359" t="s">
        <v>52</v>
      </c>
      <c r="G3359">
        <v>311</v>
      </c>
      <c r="H3359">
        <v>14</v>
      </c>
      <c r="I3359">
        <v>15</v>
      </c>
      <c r="J3359">
        <v>340</v>
      </c>
      <c r="K3359" s="482">
        <v>0.91500000000000004</v>
      </c>
      <c r="L3359" s="482">
        <v>4.1000000000000002E-2</v>
      </c>
      <c r="M3359" s="482">
        <v>4.3999999999999997E-2</v>
      </c>
    </row>
    <row r="3360" spans="1:13" x14ac:dyDescent="0.2">
      <c r="A3360" t="s">
        <v>4580</v>
      </c>
      <c r="B3360" t="s">
        <v>13</v>
      </c>
      <c r="C3360" t="s">
        <v>1</v>
      </c>
      <c r="D3360" t="s">
        <v>3879</v>
      </c>
      <c r="E3360" t="s">
        <v>3880</v>
      </c>
      <c r="F3360" t="s">
        <v>52</v>
      </c>
      <c r="G3360">
        <v>130</v>
      </c>
      <c r="H3360">
        <v>3</v>
      </c>
      <c r="I3360">
        <v>11</v>
      </c>
      <c r="J3360">
        <v>144</v>
      </c>
      <c r="K3360" s="482">
        <v>0.90300000000000002</v>
      </c>
      <c r="L3360" s="482">
        <v>2.1000000000000001E-2</v>
      </c>
      <c r="M3360" s="482">
        <v>7.5999999999999998E-2</v>
      </c>
    </row>
    <row r="3361" spans="1:13" x14ac:dyDescent="0.2">
      <c r="A3361" t="s">
        <v>4581</v>
      </c>
      <c r="B3361" t="s">
        <v>13</v>
      </c>
      <c r="C3361" t="s">
        <v>1</v>
      </c>
      <c r="D3361" t="s">
        <v>3876</v>
      </c>
      <c r="E3361" t="s">
        <v>3877</v>
      </c>
      <c r="F3361" t="s">
        <v>52</v>
      </c>
      <c r="G3361">
        <v>192</v>
      </c>
      <c r="H3361">
        <v>14</v>
      </c>
      <c r="I3361">
        <v>10</v>
      </c>
      <c r="J3361">
        <v>216</v>
      </c>
      <c r="K3361" s="482">
        <v>0.88900000000000001</v>
      </c>
      <c r="L3361" s="482">
        <v>6.5000000000000002E-2</v>
      </c>
      <c r="M3361" s="482">
        <v>4.5999999999999999E-2</v>
      </c>
    </row>
    <row r="3362" spans="1:13" x14ac:dyDescent="0.2">
      <c r="A3362" t="s">
        <v>4582</v>
      </c>
      <c r="B3362" t="s">
        <v>13</v>
      </c>
      <c r="C3362" t="s">
        <v>1</v>
      </c>
      <c r="D3362" t="s">
        <v>3873</v>
      </c>
      <c r="E3362" t="s">
        <v>3874</v>
      </c>
      <c r="F3362" t="s">
        <v>52</v>
      </c>
      <c r="G3362">
        <v>338</v>
      </c>
      <c r="H3362">
        <v>32</v>
      </c>
      <c r="I3362">
        <v>34</v>
      </c>
      <c r="J3362">
        <v>404</v>
      </c>
      <c r="K3362" s="482">
        <v>0.83699999999999997</v>
      </c>
      <c r="L3362" s="482">
        <v>7.9000000000000001E-2</v>
      </c>
      <c r="M3362" s="482">
        <v>8.4000000000000005E-2</v>
      </c>
    </row>
    <row r="3363" spans="1:13" x14ac:dyDescent="0.2">
      <c r="A3363" t="s">
        <v>4687</v>
      </c>
      <c r="B3363" t="s">
        <v>13</v>
      </c>
      <c r="C3363" t="s">
        <v>1</v>
      </c>
      <c r="D3363" t="s">
        <v>3555</v>
      </c>
      <c r="E3363" t="s">
        <v>3556</v>
      </c>
      <c r="F3363" t="s">
        <v>52</v>
      </c>
      <c r="G3363">
        <v>101</v>
      </c>
      <c r="H3363">
        <v>7</v>
      </c>
      <c r="I3363">
        <v>4</v>
      </c>
      <c r="J3363">
        <v>112</v>
      </c>
      <c r="K3363" s="482">
        <v>0.90200000000000002</v>
      </c>
      <c r="L3363" s="482">
        <v>6.3E-2</v>
      </c>
      <c r="M3363" s="482">
        <v>3.5999999999999997E-2</v>
      </c>
    </row>
    <row r="3364" spans="1:13" x14ac:dyDescent="0.2">
      <c r="A3364" t="s">
        <v>4688</v>
      </c>
      <c r="B3364" t="s">
        <v>13</v>
      </c>
      <c r="C3364" t="s">
        <v>1</v>
      </c>
      <c r="D3364" t="s">
        <v>3552</v>
      </c>
      <c r="E3364" t="s">
        <v>3553</v>
      </c>
      <c r="F3364" t="s">
        <v>52</v>
      </c>
      <c r="G3364">
        <v>109</v>
      </c>
      <c r="H3364">
        <v>9</v>
      </c>
      <c r="I3364">
        <v>10</v>
      </c>
      <c r="J3364">
        <v>128</v>
      </c>
      <c r="K3364" s="482">
        <v>0.85199999999999998</v>
      </c>
      <c r="L3364" s="482">
        <v>7.0000000000000007E-2</v>
      </c>
      <c r="M3364" s="482">
        <v>7.8E-2</v>
      </c>
    </row>
    <row r="3365" spans="1:13" x14ac:dyDescent="0.2">
      <c r="A3365" t="s">
        <v>4689</v>
      </c>
      <c r="B3365" t="s">
        <v>13</v>
      </c>
      <c r="C3365" t="s">
        <v>1</v>
      </c>
      <c r="D3365" t="s">
        <v>3549</v>
      </c>
      <c r="E3365" t="s">
        <v>3550</v>
      </c>
      <c r="F3365" t="s">
        <v>52</v>
      </c>
      <c r="G3365">
        <v>88</v>
      </c>
      <c r="H3365">
        <v>6</v>
      </c>
      <c r="I3365">
        <v>10</v>
      </c>
      <c r="J3365">
        <v>104</v>
      </c>
      <c r="K3365" s="482">
        <v>0.84599999999999997</v>
      </c>
      <c r="L3365" s="482">
        <v>5.8000000000000003E-2</v>
      </c>
      <c r="M3365" s="482">
        <v>9.6000000000000002E-2</v>
      </c>
    </row>
    <row r="3366" spans="1:13" x14ac:dyDescent="0.2">
      <c r="A3366" t="s">
        <v>4700</v>
      </c>
      <c r="B3366" t="s">
        <v>13</v>
      </c>
      <c r="C3366" t="s">
        <v>1</v>
      </c>
      <c r="D3366" t="s">
        <v>3512</v>
      </c>
      <c r="E3366" t="s">
        <v>3513</v>
      </c>
      <c r="F3366" t="s">
        <v>52</v>
      </c>
      <c r="G3366">
        <v>57</v>
      </c>
      <c r="H3366">
        <v>3</v>
      </c>
      <c r="I3366">
        <v>1</v>
      </c>
      <c r="J3366">
        <v>61</v>
      </c>
      <c r="K3366" s="482">
        <v>0.93400000000000005</v>
      </c>
      <c r="L3366" s="482">
        <v>4.9000000000000002E-2</v>
      </c>
      <c r="M3366" s="482">
        <v>1.6E-2</v>
      </c>
    </row>
    <row r="3367" spans="1:13" x14ac:dyDescent="0.2">
      <c r="A3367" t="s">
        <v>4702</v>
      </c>
      <c r="B3367" t="s">
        <v>13</v>
      </c>
      <c r="C3367" t="s">
        <v>1</v>
      </c>
      <c r="D3367" t="s">
        <v>3506</v>
      </c>
      <c r="E3367" t="s">
        <v>3507</v>
      </c>
      <c r="F3367" t="s">
        <v>52</v>
      </c>
      <c r="G3367">
        <v>45</v>
      </c>
      <c r="H3367">
        <v>4</v>
      </c>
      <c r="I3367">
        <v>3</v>
      </c>
      <c r="J3367">
        <v>52</v>
      </c>
      <c r="K3367" s="482">
        <v>0.86499999999999999</v>
      </c>
      <c r="L3367" s="482">
        <v>7.6999999999999999E-2</v>
      </c>
      <c r="M3367" s="482">
        <v>5.8000000000000003E-2</v>
      </c>
    </row>
    <row r="3368" spans="1:13" x14ac:dyDescent="0.2">
      <c r="A3368" t="s">
        <v>4703</v>
      </c>
      <c r="B3368" t="s">
        <v>13</v>
      </c>
      <c r="C3368" t="s">
        <v>1</v>
      </c>
      <c r="D3368" t="s">
        <v>3503</v>
      </c>
      <c r="E3368" t="s">
        <v>3504</v>
      </c>
      <c r="F3368" t="s">
        <v>52</v>
      </c>
      <c r="G3368">
        <v>7</v>
      </c>
      <c r="H3368">
        <v>0</v>
      </c>
      <c r="I3368">
        <v>1</v>
      </c>
      <c r="J3368">
        <v>8</v>
      </c>
      <c r="K3368" s="482">
        <v>0.875</v>
      </c>
      <c r="L3368" s="482">
        <v>0</v>
      </c>
      <c r="M3368" s="482">
        <v>0.125</v>
      </c>
    </row>
    <row r="3369" spans="1:13" x14ac:dyDescent="0.2">
      <c r="A3369" t="s">
        <v>4684</v>
      </c>
      <c r="B3369" t="s">
        <v>13</v>
      </c>
      <c r="C3369" t="s">
        <v>1</v>
      </c>
      <c r="D3369" t="s">
        <v>4425</v>
      </c>
      <c r="E3369" t="s">
        <v>4426</v>
      </c>
      <c r="F3369" t="s">
        <v>52</v>
      </c>
      <c r="G3369">
        <v>380</v>
      </c>
      <c r="H3369">
        <v>19</v>
      </c>
      <c r="I3369">
        <v>21</v>
      </c>
      <c r="J3369">
        <v>420</v>
      </c>
      <c r="K3369" s="482">
        <v>0.90500000000000003</v>
      </c>
      <c r="L3369" s="482">
        <v>4.4999999999999998E-2</v>
      </c>
      <c r="M3369" s="482">
        <v>0.05</v>
      </c>
    </row>
    <row r="3370" spans="1:13" x14ac:dyDescent="0.2">
      <c r="A3370" t="s">
        <v>4701</v>
      </c>
      <c r="B3370" t="s">
        <v>13</v>
      </c>
      <c r="C3370" t="s">
        <v>1</v>
      </c>
      <c r="D3370" t="s">
        <v>3509</v>
      </c>
      <c r="E3370" t="s">
        <v>3510</v>
      </c>
      <c r="F3370" t="s">
        <v>52</v>
      </c>
      <c r="G3370">
        <v>50</v>
      </c>
      <c r="H3370">
        <v>6</v>
      </c>
      <c r="I3370">
        <v>2</v>
      </c>
      <c r="J3370">
        <v>58</v>
      </c>
      <c r="K3370" s="482">
        <v>0.86199999999999999</v>
      </c>
      <c r="L3370" s="482">
        <v>0.10299999999999999</v>
      </c>
      <c r="M3370" s="482">
        <v>3.4000000000000002E-2</v>
      </c>
    </row>
    <row r="3371" spans="1:13" x14ac:dyDescent="0.2">
      <c r="A3371" t="s">
        <v>4595</v>
      </c>
      <c r="B3371" t="s">
        <v>13</v>
      </c>
      <c r="C3371" t="s">
        <v>1</v>
      </c>
      <c r="D3371" t="s">
        <v>4529</v>
      </c>
      <c r="E3371" t="s">
        <v>4530</v>
      </c>
      <c r="F3371" t="s">
        <v>52</v>
      </c>
      <c r="G3371" t="s">
        <v>53</v>
      </c>
      <c r="H3371">
        <v>0</v>
      </c>
      <c r="I3371">
        <v>0</v>
      </c>
      <c r="J3371" t="s">
        <v>53</v>
      </c>
      <c r="K3371" t="s">
        <v>53</v>
      </c>
      <c r="L3371" t="s">
        <v>53</v>
      </c>
      <c r="M3371" t="s">
        <v>53</v>
      </c>
    </row>
    <row r="3372" spans="1:13" x14ac:dyDescent="0.2">
      <c r="A3372" t="s">
        <v>4632</v>
      </c>
      <c r="B3372" t="s">
        <v>13</v>
      </c>
      <c r="C3372" t="s">
        <v>1</v>
      </c>
      <c r="D3372" t="s">
        <v>3718</v>
      </c>
      <c r="E3372" t="s">
        <v>3719</v>
      </c>
      <c r="F3372" t="s">
        <v>52</v>
      </c>
      <c r="G3372">
        <v>413</v>
      </c>
      <c r="H3372">
        <v>41</v>
      </c>
      <c r="I3372">
        <v>27</v>
      </c>
      <c r="J3372">
        <v>481</v>
      </c>
      <c r="K3372" s="482">
        <v>0.85899999999999999</v>
      </c>
      <c r="L3372" s="482">
        <v>8.5000000000000006E-2</v>
      </c>
      <c r="M3372" s="482">
        <v>5.6000000000000001E-2</v>
      </c>
    </row>
    <row r="3373" spans="1:13" x14ac:dyDescent="0.2">
      <c r="A3373" t="s">
        <v>4633</v>
      </c>
      <c r="B3373" t="s">
        <v>13</v>
      </c>
      <c r="C3373" t="s">
        <v>1</v>
      </c>
      <c r="D3373" t="s">
        <v>3715</v>
      </c>
      <c r="E3373" t="s">
        <v>3716</v>
      </c>
      <c r="F3373" t="s">
        <v>52</v>
      </c>
      <c r="G3373">
        <v>194</v>
      </c>
      <c r="H3373">
        <v>9</v>
      </c>
      <c r="I3373">
        <v>12</v>
      </c>
      <c r="J3373">
        <v>215</v>
      </c>
      <c r="K3373" s="482">
        <v>0.90200000000000002</v>
      </c>
      <c r="L3373" s="482">
        <v>4.2000000000000003E-2</v>
      </c>
      <c r="M3373" s="482">
        <v>5.6000000000000001E-2</v>
      </c>
    </row>
    <row r="3374" spans="1:13" x14ac:dyDescent="0.2">
      <c r="A3374" t="s">
        <v>4611</v>
      </c>
      <c r="B3374" t="s">
        <v>13</v>
      </c>
      <c r="C3374" t="s">
        <v>1</v>
      </c>
      <c r="D3374" t="s">
        <v>3772</v>
      </c>
      <c r="E3374" t="s">
        <v>3773</v>
      </c>
      <c r="F3374" t="s">
        <v>52</v>
      </c>
      <c r="G3374">
        <v>144</v>
      </c>
      <c r="H3374">
        <v>12</v>
      </c>
      <c r="I3374">
        <v>10</v>
      </c>
      <c r="J3374">
        <v>166</v>
      </c>
      <c r="K3374" s="482">
        <v>0.86699999999999999</v>
      </c>
      <c r="L3374" s="482">
        <v>7.1999999999999995E-2</v>
      </c>
      <c r="M3374" s="482">
        <v>0.06</v>
      </c>
    </row>
    <row r="3375" spans="1:13" x14ac:dyDescent="0.2">
      <c r="A3375" t="s">
        <v>4612</v>
      </c>
      <c r="B3375" t="s">
        <v>13</v>
      </c>
      <c r="C3375" t="s">
        <v>1</v>
      </c>
      <c r="D3375" t="s">
        <v>3769</v>
      </c>
      <c r="E3375" t="s">
        <v>3770</v>
      </c>
      <c r="F3375" t="s">
        <v>52</v>
      </c>
      <c r="G3375">
        <v>87</v>
      </c>
      <c r="H3375">
        <v>9</v>
      </c>
      <c r="I3375">
        <v>12</v>
      </c>
      <c r="J3375">
        <v>108</v>
      </c>
      <c r="K3375" s="482">
        <v>0.80600000000000005</v>
      </c>
      <c r="L3375" s="482">
        <v>8.3000000000000004E-2</v>
      </c>
      <c r="M3375" s="482">
        <v>0.111</v>
      </c>
    </row>
    <row r="3376" spans="1:13" x14ac:dyDescent="0.2">
      <c r="A3376" t="s">
        <v>4613</v>
      </c>
      <c r="B3376" t="s">
        <v>13</v>
      </c>
      <c r="C3376" t="s">
        <v>1</v>
      </c>
      <c r="D3376" t="s">
        <v>3766</v>
      </c>
      <c r="E3376" t="s">
        <v>3767</v>
      </c>
      <c r="F3376" t="s">
        <v>52</v>
      </c>
      <c r="G3376">
        <v>99</v>
      </c>
      <c r="H3376">
        <v>12</v>
      </c>
      <c r="I3376">
        <v>13</v>
      </c>
      <c r="J3376">
        <v>124</v>
      </c>
      <c r="K3376" s="482">
        <v>0.79800000000000004</v>
      </c>
      <c r="L3376" s="482">
        <v>9.7000000000000003E-2</v>
      </c>
      <c r="M3376" s="482">
        <v>0.105</v>
      </c>
    </row>
    <row r="3377" spans="1:13" x14ac:dyDescent="0.2">
      <c r="A3377" t="s">
        <v>4614</v>
      </c>
      <c r="B3377" t="s">
        <v>13</v>
      </c>
      <c r="C3377" t="s">
        <v>1</v>
      </c>
      <c r="D3377" t="s">
        <v>4506</v>
      </c>
      <c r="E3377" t="s">
        <v>4507</v>
      </c>
      <c r="F3377" t="s">
        <v>52</v>
      </c>
      <c r="G3377">
        <v>7</v>
      </c>
      <c r="H3377">
        <v>1</v>
      </c>
      <c r="I3377">
        <v>0</v>
      </c>
      <c r="J3377">
        <v>8</v>
      </c>
      <c r="K3377" s="482">
        <v>0.875</v>
      </c>
      <c r="L3377" s="482">
        <v>0.125</v>
      </c>
      <c r="M3377" s="482">
        <v>0</v>
      </c>
    </row>
    <row r="3378" spans="1:13" x14ac:dyDescent="0.2">
      <c r="A3378" t="s">
        <v>4615</v>
      </c>
      <c r="B3378" t="s">
        <v>13</v>
      </c>
      <c r="C3378" t="s">
        <v>1</v>
      </c>
      <c r="D3378" t="s">
        <v>3763</v>
      </c>
      <c r="E3378" t="s">
        <v>3764</v>
      </c>
      <c r="F3378" t="s">
        <v>52</v>
      </c>
      <c r="G3378">
        <v>234</v>
      </c>
      <c r="H3378">
        <v>24</v>
      </c>
      <c r="I3378">
        <v>13</v>
      </c>
      <c r="J3378">
        <v>271</v>
      </c>
      <c r="K3378" s="482">
        <v>0.86299999999999999</v>
      </c>
      <c r="L3378" s="482">
        <v>8.8999999999999996E-2</v>
      </c>
      <c r="M3378" s="482">
        <v>4.8000000000000001E-2</v>
      </c>
    </row>
    <row r="3379" spans="1:13" x14ac:dyDescent="0.2">
      <c r="A3379" t="s">
        <v>6606</v>
      </c>
      <c r="B3379" t="s">
        <v>13</v>
      </c>
      <c r="C3379" t="s">
        <v>1</v>
      </c>
      <c r="D3379" t="s">
        <v>3480</v>
      </c>
      <c r="E3379" t="s">
        <v>6584</v>
      </c>
      <c r="F3379" t="s">
        <v>52</v>
      </c>
      <c r="G3379">
        <v>181</v>
      </c>
      <c r="H3379">
        <v>16</v>
      </c>
      <c r="I3379">
        <v>18</v>
      </c>
      <c r="J3379">
        <v>215</v>
      </c>
      <c r="K3379" s="482">
        <v>0.84199999999999997</v>
      </c>
      <c r="L3379" s="482">
        <v>7.3999999999999996E-2</v>
      </c>
      <c r="M3379" s="482">
        <v>8.4000000000000005E-2</v>
      </c>
    </row>
    <row r="3380" spans="1:13" x14ac:dyDescent="0.2">
      <c r="A3380" t="s">
        <v>4616</v>
      </c>
      <c r="B3380" t="s">
        <v>13</v>
      </c>
      <c r="C3380" t="s">
        <v>1</v>
      </c>
      <c r="D3380" t="s">
        <v>3760</v>
      </c>
      <c r="E3380" t="s">
        <v>3761</v>
      </c>
      <c r="F3380" t="s">
        <v>52</v>
      </c>
      <c r="G3380">
        <v>68</v>
      </c>
      <c r="H3380">
        <v>3</v>
      </c>
      <c r="I3380">
        <v>4</v>
      </c>
      <c r="J3380">
        <v>75</v>
      </c>
      <c r="K3380" s="482">
        <v>0.90700000000000003</v>
      </c>
      <c r="L3380" s="482">
        <v>0.04</v>
      </c>
      <c r="M3380" s="482">
        <v>5.2999999999999999E-2</v>
      </c>
    </row>
    <row r="3381" spans="1:13" x14ac:dyDescent="0.2">
      <c r="A3381" t="s">
        <v>4617</v>
      </c>
      <c r="B3381" t="s">
        <v>13</v>
      </c>
      <c r="C3381" t="s">
        <v>1</v>
      </c>
      <c r="D3381" t="s">
        <v>3757</v>
      </c>
      <c r="E3381" t="s">
        <v>3758</v>
      </c>
      <c r="F3381" t="s">
        <v>52</v>
      </c>
      <c r="G3381">
        <v>51</v>
      </c>
      <c r="H3381">
        <v>1</v>
      </c>
      <c r="I3381">
        <v>2</v>
      </c>
      <c r="J3381">
        <v>54</v>
      </c>
      <c r="K3381" s="482">
        <v>0.94399999999999995</v>
      </c>
      <c r="L3381" s="482">
        <v>1.9E-2</v>
      </c>
      <c r="M3381" s="482">
        <v>3.6999999999999998E-2</v>
      </c>
    </row>
    <row r="3382" spans="1:13" x14ac:dyDescent="0.2">
      <c r="A3382" t="s">
        <v>4658</v>
      </c>
      <c r="B3382" t="s">
        <v>13</v>
      </c>
      <c r="C3382" t="s">
        <v>1</v>
      </c>
      <c r="D3382" t="s">
        <v>3638</v>
      </c>
      <c r="E3382" t="s">
        <v>3639</v>
      </c>
      <c r="F3382" t="s">
        <v>52</v>
      </c>
      <c r="G3382">
        <v>118</v>
      </c>
      <c r="H3382">
        <v>12</v>
      </c>
      <c r="I3382">
        <v>12</v>
      </c>
      <c r="J3382">
        <v>142</v>
      </c>
      <c r="K3382" s="482">
        <v>0.83099999999999996</v>
      </c>
      <c r="L3382" s="482">
        <v>8.5000000000000006E-2</v>
      </c>
      <c r="M3382" s="482">
        <v>8.5000000000000006E-2</v>
      </c>
    </row>
    <row r="3383" spans="1:13" x14ac:dyDescent="0.2">
      <c r="A3383" t="s">
        <v>4659</v>
      </c>
      <c r="B3383" t="s">
        <v>13</v>
      </c>
      <c r="C3383" t="s">
        <v>1</v>
      </c>
      <c r="D3383" t="s">
        <v>3635</v>
      </c>
      <c r="E3383" t="s">
        <v>3636</v>
      </c>
      <c r="F3383" t="s">
        <v>52</v>
      </c>
      <c r="G3383">
        <v>154</v>
      </c>
      <c r="H3383">
        <v>10</v>
      </c>
      <c r="I3383">
        <v>10</v>
      </c>
      <c r="J3383">
        <v>174</v>
      </c>
      <c r="K3383" s="482">
        <v>0.88500000000000001</v>
      </c>
      <c r="L3383" s="482">
        <v>5.7000000000000002E-2</v>
      </c>
      <c r="M3383" s="482">
        <v>5.7000000000000002E-2</v>
      </c>
    </row>
    <row r="3384" spans="1:13" x14ac:dyDescent="0.2">
      <c r="A3384" t="s">
        <v>4660</v>
      </c>
      <c r="B3384" t="s">
        <v>13</v>
      </c>
      <c r="C3384" t="s">
        <v>1</v>
      </c>
      <c r="D3384" t="s">
        <v>3633</v>
      </c>
      <c r="E3384" t="s">
        <v>342</v>
      </c>
      <c r="F3384" t="s">
        <v>52</v>
      </c>
      <c r="G3384">
        <v>141</v>
      </c>
      <c r="H3384">
        <v>13</v>
      </c>
      <c r="I3384">
        <v>7</v>
      </c>
      <c r="J3384">
        <v>161</v>
      </c>
      <c r="K3384" s="482">
        <v>0.876</v>
      </c>
      <c r="L3384" s="482">
        <v>8.1000000000000003E-2</v>
      </c>
      <c r="M3384" s="482">
        <v>4.2999999999999997E-2</v>
      </c>
    </row>
    <row r="3385" spans="1:13" x14ac:dyDescent="0.2">
      <c r="A3385" t="s">
        <v>4661</v>
      </c>
      <c r="B3385" t="s">
        <v>13</v>
      </c>
      <c r="C3385" t="s">
        <v>1</v>
      </c>
      <c r="D3385" t="s">
        <v>3630</v>
      </c>
      <c r="E3385" t="s">
        <v>3631</v>
      </c>
      <c r="F3385" t="s">
        <v>52</v>
      </c>
      <c r="G3385">
        <v>127</v>
      </c>
      <c r="H3385">
        <v>15</v>
      </c>
      <c r="I3385">
        <v>6</v>
      </c>
      <c r="J3385">
        <v>148</v>
      </c>
      <c r="K3385" s="482">
        <v>0.85799999999999998</v>
      </c>
      <c r="L3385" s="482">
        <v>0.10100000000000001</v>
      </c>
      <c r="M3385" s="482">
        <v>4.1000000000000002E-2</v>
      </c>
    </row>
    <row r="3386" spans="1:13" x14ac:dyDescent="0.2">
      <c r="A3386" t="s">
        <v>4662</v>
      </c>
      <c r="B3386" t="s">
        <v>13</v>
      </c>
      <c r="C3386" t="s">
        <v>1</v>
      </c>
      <c r="D3386" t="s">
        <v>3627</v>
      </c>
      <c r="E3386" t="s">
        <v>3628</v>
      </c>
      <c r="F3386" t="s">
        <v>52</v>
      </c>
      <c r="G3386">
        <v>168</v>
      </c>
      <c r="H3386">
        <v>12</v>
      </c>
      <c r="I3386">
        <v>6</v>
      </c>
      <c r="J3386">
        <v>186</v>
      </c>
      <c r="K3386" s="482">
        <v>0.90300000000000002</v>
      </c>
      <c r="L3386" s="482">
        <v>6.5000000000000002E-2</v>
      </c>
      <c r="M3386" s="482">
        <v>3.2000000000000001E-2</v>
      </c>
    </row>
    <row r="3387" spans="1:13" x14ac:dyDescent="0.2">
      <c r="A3387" t="s">
        <v>4663</v>
      </c>
      <c r="B3387" t="s">
        <v>13</v>
      </c>
      <c r="C3387" t="s">
        <v>1</v>
      </c>
      <c r="D3387" t="s">
        <v>3528</v>
      </c>
      <c r="E3387" t="s">
        <v>3529</v>
      </c>
      <c r="F3387" t="s">
        <v>52</v>
      </c>
      <c r="G3387">
        <v>130</v>
      </c>
      <c r="H3387">
        <v>8</v>
      </c>
      <c r="I3387">
        <v>10</v>
      </c>
      <c r="J3387">
        <v>148</v>
      </c>
      <c r="K3387" s="482">
        <v>0.878</v>
      </c>
      <c r="L3387" s="482">
        <v>5.3999999999999999E-2</v>
      </c>
      <c r="M3387" s="482">
        <v>6.8000000000000005E-2</v>
      </c>
    </row>
    <row r="3388" spans="1:13" x14ac:dyDescent="0.2">
      <c r="A3388" t="s">
        <v>6607</v>
      </c>
      <c r="B3388" t="s">
        <v>13</v>
      </c>
      <c r="C3388" t="s">
        <v>1</v>
      </c>
      <c r="D3388" t="s">
        <v>6515</v>
      </c>
      <c r="E3388" t="s">
        <v>6516</v>
      </c>
      <c r="F3388" t="s">
        <v>52</v>
      </c>
      <c r="G3388">
        <v>5</v>
      </c>
      <c r="H3388">
        <v>1</v>
      </c>
      <c r="I3388">
        <v>1</v>
      </c>
      <c r="J3388">
        <v>7</v>
      </c>
      <c r="K3388" s="482">
        <v>0.71399999999999997</v>
      </c>
      <c r="L3388" s="482">
        <v>0.14299999999999999</v>
      </c>
      <c r="M3388" s="482">
        <v>0.14299999999999999</v>
      </c>
    </row>
    <row r="3389" spans="1:13" x14ac:dyDescent="0.2">
      <c r="A3389" t="s">
        <v>4696</v>
      </c>
      <c r="B3389" t="s">
        <v>13</v>
      </c>
      <c r="C3389" t="s">
        <v>1</v>
      </c>
      <c r="D3389" t="s">
        <v>3522</v>
      </c>
      <c r="E3389" t="s">
        <v>3523</v>
      </c>
      <c r="F3389" t="s">
        <v>52</v>
      </c>
      <c r="G3389">
        <v>58</v>
      </c>
      <c r="H3389">
        <v>8</v>
      </c>
      <c r="I3389">
        <v>6</v>
      </c>
      <c r="J3389">
        <v>72</v>
      </c>
      <c r="K3389" s="482">
        <v>0.80600000000000005</v>
      </c>
      <c r="L3389" s="482">
        <v>0.111</v>
      </c>
      <c r="M3389" s="482">
        <v>8.3000000000000004E-2</v>
      </c>
    </row>
    <row r="3390" spans="1:13" x14ac:dyDescent="0.2">
      <c r="A3390" t="s">
        <v>4565</v>
      </c>
      <c r="B3390" t="s">
        <v>13</v>
      </c>
      <c r="C3390" t="s">
        <v>1</v>
      </c>
      <c r="D3390" t="s">
        <v>3930</v>
      </c>
      <c r="E3390" t="s">
        <v>344</v>
      </c>
      <c r="F3390" t="s">
        <v>52</v>
      </c>
      <c r="G3390">
        <v>187</v>
      </c>
      <c r="H3390">
        <v>13</v>
      </c>
      <c r="I3390">
        <v>19</v>
      </c>
      <c r="J3390">
        <v>219</v>
      </c>
      <c r="K3390" s="482">
        <v>0.85399999999999998</v>
      </c>
      <c r="L3390" s="482">
        <v>5.8999999999999997E-2</v>
      </c>
      <c r="M3390" s="482">
        <v>8.6999999999999994E-2</v>
      </c>
    </row>
    <row r="3391" spans="1:13" x14ac:dyDescent="0.2">
      <c r="A3391" t="s">
        <v>4681</v>
      </c>
      <c r="B3391" t="s">
        <v>13</v>
      </c>
      <c r="C3391" t="s">
        <v>1</v>
      </c>
      <c r="D3391" t="s">
        <v>3567</v>
      </c>
      <c r="E3391" t="s">
        <v>3568</v>
      </c>
      <c r="F3391" t="s">
        <v>52</v>
      </c>
      <c r="G3391">
        <v>181</v>
      </c>
      <c r="H3391">
        <v>14</v>
      </c>
      <c r="I3391">
        <v>14</v>
      </c>
      <c r="J3391">
        <v>209</v>
      </c>
      <c r="K3391" s="482">
        <v>0.86599999999999999</v>
      </c>
      <c r="L3391" s="482">
        <v>6.7000000000000004E-2</v>
      </c>
      <c r="M3391" s="482">
        <v>6.7000000000000004E-2</v>
      </c>
    </row>
    <row r="3392" spans="1:13" x14ac:dyDescent="0.2">
      <c r="A3392" t="s">
        <v>4682</v>
      </c>
      <c r="B3392" t="s">
        <v>13</v>
      </c>
      <c r="C3392" t="s">
        <v>1</v>
      </c>
      <c r="D3392" t="s">
        <v>3924</v>
      </c>
      <c r="E3392" t="s">
        <v>3925</v>
      </c>
      <c r="F3392" t="s">
        <v>52</v>
      </c>
      <c r="G3392">
        <v>169</v>
      </c>
      <c r="H3392">
        <v>7</v>
      </c>
      <c r="I3392">
        <v>12</v>
      </c>
      <c r="J3392">
        <v>188</v>
      </c>
      <c r="K3392" s="482">
        <v>0.89900000000000002</v>
      </c>
      <c r="L3392" s="482">
        <v>3.6999999999999998E-2</v>
      </c>
      <c r="M3392" s="482">
        <v>6.4000000000000001E-2</v>
      </c>
    </row>
    <row r="3393" spans="1:13" x14ac:dyDescent="0.2">
      <c r="A3393" t="s">
        <v>4567</v>
      </c>
      <c r="B3393" t="s">
        <v>13</v>
      </c>
      <c r="C3393" t="s">
        <v>1</v>
      </c>
      <c r="D3393" t="s">
        <v>3918</v>
      </c>
      <c r="E3393" t="s">
        <v>3919</v>
      </c>
      <c r="F3393" t="s">
        <v>52</v>
      </c>
      <c r="G3393">
        <v>63</v>
      </c>
      <c r="H3393">
        <v>11</v>
      </c>
      <c r="I3393">
        <v>7</v>
      </c>
      <c r="J3393">
        <v>81</v>
      </c>
      <c r="K3393" s="482">
        <v>0.77800000000000002</v>
      </c>
      <c r="L3393" s="482">
        <v>0.13600000000000001</v>
      </c>
      <c r="M3393" s="482">
        <v>8.5999999999999993E-2</v>
      </c>
    </row>
    <row r="3394" spans="1:13" x14ac:dyDescent="0.2">
      <c r="A3394" t="s">
        <v>4568</v>
      </c>
      <c r="B3394" t="s">
        <v>13</v>
      </c>
      <c r="C3394" t="s">
        <v>1</v>
      </c>
      <c r="D3394" t="s">
        <v>3915</v>
      </c>
      <c r="E3394" t="s">
        <v>3916</v>
      </c>
      <c r="F3394" t="s">
        <v>52</v>
      </c>
      <c r="G3394">
        <v>127</v>
      </c>
      <c r="H3394">
        <v>10</v>
      </c>
      <c r="I3394">
        <v>4</v>
      </c>
      <c r="J3394">
        <v>141</v>
      </c>
      <c r="K3394" s="482">
        <v>0.90100000000000002</v>
      </c>
      <c r="L3394" s="482">
        <v>7.0999999999999994E-2</v>
      </c>
      <c r="M3394" s="482">
        <v>2.8000000000000001E-2</v>
      </c>
    </row>
    <row r="3395" spans="1:13" x14ac:dyDescent="0.2">
      <c r="A3395" t="s">
        <v>4569</v>
      </c>
      <c r="B3395" t="s">
        <v>13</v>
      </c>
      <c r="C3395" t="s">
        <v>1</v>
      </c>
      <c r="D3395" t="s">
        <v>3912</v>
      </c>
      <c r="E3395" t="s">
        <v>3913</v>
      </c>
      <c r="F3395" t="s">
        <v>52</v>
      </c>
      <c r="G3395">
        <v>72</v>
      </c>
      <c r="H3395">
        <v>8</v>
      </c>
      <c r="I3395">
        <v>6</v>
      </c>
      <c r="J3395">
        <v>86</v>
      </c>
      <c r="K3395" s="482">
        <v>0.83699999999999997</v>
      </c>
      <c r="L3395" s="482">
        <v>9.2999999999999999E-2</v>
      </c>
      <c r="M3395" s="482">
        <v>7.0000000000000007E-2</v>
      </c>
    </row>
    <row r="3396" spans="1:13" x14ac:dyDescent="0.2">
      <c r="A3396" t="s">
        <v>4571</v>
      </c>
      <c r="B3396" t="s">
        <v>13</v>
      </c>
      <c r="C3396" t="s">
        <v>1</v>
      </c>
      <c r="D3396" t="s">
        <v>3909</v>
      </c>
      <c r="E3396" t="s">
        <v>3910</v>
      </c>
      <c r="F3396" t="s">
        <v>52</v>
      </c>
      <c r="G3396">
        <v>99</v>
      </c>
      <c r="H3396">
        <v>3</v>
      </c>
      <c r="I3396">
        <v>7</v>
      </c>
      <c r="J3396">
        <v>109</v>
      </c>
      <c r="K3396" s="482">
        <v>0.90800000000000003</v>
      </c>
      <c r="L3396" s="482">
        <v>2.8000000000000001E-2</v>
      </c>
      <c r="M3396" s="482">
        <v>6.4000000000000001E-2</v>
      </c>
    </row>
    <row r="3397" spans="1:13" x14ac:dyDescent="0.2">
      <c r="A3397" t="s">
        <v>4621</v>
      </c>
      <c r="B3397" t="s">
        <v>13</v>
      </c>
      <c r="C3397" t="s">
        <v>1</v>
      </c>
      <c r="D3397" t="s">
        <v>3745</v>
      </c>
      <c r="E3397" t="s">
        <v>3746</v>
      </c>
      <c r="F3397" t="s">
        <v>52</v>
      </c>
      <c r="G3397">
        <v>242</v>
      </c>
      <c r="H3397">
        <v>24</v>
      </c>
      <c r="I3397">
        <v>21</v>
      </c>
      <c r="J3397">
        <v>287</v>
      </c>
      <c r="K3397" s="482">
        <v>0.84299999999999997</v>
      </c>
      <c r="L3397" s="482">
        <v>8.4000000000000005E-2</v>
      </c>
      <c r="M3397" s="482">
        <v>7.2999999999999995E-2</v>
      </c>
    </row>
    <row r="3398" spans="1:13" x14ac:dyDescent="0.2">
      <c r="A3398" t="s">
        <v>4634</v>
      </c>
      <c r="B3398" t="s">
        <v>13</v>
      </c>
      <c r="C3398" t="s">
        <v>1</v>
      </c>
      <c r="D3398" t="s">
        <v>3712</v>
      </c>
      <c r="E3398" t="s">
        <v>3713</v>
      </c>
      <c r="F3398" t="s">
        <v>52</v>
      </c>
      <c r="G3398">
        <v>204</v>
      </c>
      <c r="H3398">
        <v>10</v>
      </c>
      <c r="I3398">
        <v>13</v>
      </c>
      <c r="J3398">
        <v>227</v>
      </c>
      <c r="K3398" s="482">
        <v>0.89900000000000002</v>
      </c>
      <c r="L3398" s="482">
        <v>4.3999999999999997E-2</v>
      </c>
      <c r="M3398" s="482">
        <v>5.7000000000000002E-2</v>
      </c>
    </row>
    <row r="3399" spans="1:13" x14ac:dyDescent="0.2">
      <c r="A3399" t="s">
        <v>4635</v>
      </c>
      <c r="B3399" t="s">
        <v>13</v>
      </c>
      <c r="C3399" t="s">
        <v>1</v>
      </c>
      <c r="D3399" t="s">
        <v>3709</v>
      </c>
      <c r="E3399" t="s">
        <v>3710</v>
      </c>
      <c r="F3399" t="s">
        <v>52</v>
      </c>
      <c r="G3399">
        <v>74</v>
      </c>
      <c r="H3399">
        <v>3</v>
      </c>
      <c r="I3399">
        <v>3</v>
      </c>
      <c r="J3399">
        <v>80</v>
      </c>
      <c r="K3399" s="482">
        <v>0.92500000000000004</v>
      </c>
      <c r="L3399" s="482">
        <v>3.7999999999999999E-2</v>
      </c>
      <c r="M3399" s="482">
        <v>3.7999999999999999E-2</v>
      </c>
    </row>
    <row r="3400" spans="1:13" x14ac:dyDescent="0.2">
      <c r="A3400" t="s">
        <v>4626</v>
      </c>
      <c r="B3400" t="s">
        <v>13</v>
      </c>
      <c r="C3400" t="s">
        <v>1</v>
      </c>
      <c r="D3400" t="s">
        <v>3736</v>
      </c>
      <c r="E3400" t="s">
        <v>3737</v>
      </c>
      <c r="F3400" t="s">
        <v>52</v>
      </c>
      <c r="G3400">
        <v>55</v>
      </c>
      <c r="H3400">
        <v>3</v>
      </c>
      <c r="I3400">
        <v>1</v>
      </c>
      <c r="J3400">
        <v>59</v>
      </c>
      <c r="K3400" s="482">
        <v>0.93200000000000005</v>
      </c>
      <c r="L3400" s="482">
        <v>5.0999999999999997E-2</v>
      </c>
      <c r="M3400" s="482">
        <v>1.7000000000000001E-2</v>
      </c>
    </row>
    <row r="3401" spans="1:13" x14ac:dyDescent="0.2">
      <c r="A3401" t="s">
        <v>4627</v>
      </c>
      <c r="B3401" t="s">
        <v>13</v>
      </c>
      <c r="C3401" t="s">
        <v>1</v>
      </c>
      <c r="D3401" t="s">
        <v>3733</v>
      </c>
      <c r="E3401" t="s">
        <v>3734</v>
      </c>
      <c r="F3401" t="s">
        <v>52</v>
      </c>
      <c r="G3401">
        <v>155</v>
      </c>
      <c r="H3401">
        <v>12</v>
      </c>
      <c r="I3401">
        <v>11</v>
      </c>
      <c r="J3401">
        <v>178</v>
      </c>
      <c r="K3401" s="482">
        <v>0.871</v>
      </c>
      <c r="L3401" s="482">
        <v>6.7000000000000004E-2</v>
      </c>
      <c r="M3401" s="482">
        <v>6.2E-2</v>
      </c>
    </row>
    <row r="3402" spans="1:13" x14ac:dyDescent="0.2">
      <c r="A3402" t="s">
        <v>4628</v>
      </c>
      <c r="B3402" t="s">
        <v>13</v>
      </c>
      <c r="C3402" t="s">
        <v>1</v>
      </c>
      <c r="D3402" t="s">
        <v>3730</v>
      </c>
      <c r="E3402" t="s">
        <v>3731</v>
      </c>
      <c r="F3402" t="s">
        <v>52</v>
      </c>
      <c r="G3402">
        <v>138</v>
      </c>
      <c r="H3402">
        <v>10</v>
      </c>
      <c r="I3402">
        <v>12</v>
      </c>
      <c r="J3402">
        <v>160</v>
      </c>
      <c r="K3402" s="482">
        <v>0.86299999999999999</v>
      </c>
      <c r="L3402" s="482">
        <v>6.3E-2</v>
      </c>
      <c r="M3402" s="482">
        <v>7.4999999999999997E-2</v>
      </c>
    </row>
    <row r="3403" spans="1:13" x14ac:dyDescent="0.2">
      <c r="A3403" t="s">
        <v>4629</v>
      </c>
      <c r="B3403" t="s">
        <v>13</v>
      </c>
      <c r="C3403" t="s">
        <v>1</v>
      </c>
      <c r="D3403" t="s">
        <v>3727</v>
      </c>
      <c r="E3403" t="s">
        <v>3728</v>
      </c>
      <c r="F3403" t="s">
        <v>52</v>
      </c>
      <c r="G3403">
        <v>79</v>
      </c>
      <c r="H3403">
        <v>8</v>
      </c>
      <c r="I3403">
        <v>13</v>
      </c>
      <c r="J3403">
        <v>100</v>
      </c>
      <c r="K3403" s="482">
        <v>0.79</v>
      </c>
      <c r="L3403" s="482">
        <v>0.08</v>
      </c>
      <c r="M3403" s="482">
        <v>0.13</v>
      </c>
    </row>
    <row r="3404" spans="1:13" x14ac:dyDescent="0.2">
      <c r="A3404" t="s">
        <v>4630</v>
      </c>
      <c r="B3404" t="s">
        <v>13</v>
      </c>
      <c r="C3404" t="s">
        <v>1</v>
      </c>
      <c r="D3404" t="s">
        <v>3724</v>
      </c>
      <c r="E3404" t="s">
        <v>3725</v>
      </c>
      <c r="F3404" t="s">
        <v>52</v>
      </c>
      <c r="G3404">
        <v>189</v>
      </c>
      <c r="H3404">
        <v>7</v>
      </c>
      <c r="I3404">
        <v>9</v>
      </c>
      <c r="J3404">
        <v>205</v>
      </c>
      <c r="K3404" s="482">
        <v>0.92200000000000004</v>
      </c>
      <c r="L3404" s="482">
        <v>3.4000000000000002E-2</v>
      </c>
      <c r="M3404" s="482">
        <v>4.3999999999999997E-2</v>
      </c>
    </row>
    <row r="3405" spans="1:13" x14ac:dyDescent="0.2">
      <c r="A3405" t="s">
        <v>4631</v>
      </c>
      <c r="B3405" t="s">
        <v>13</v>
      </c>
      <c r="C3405" t="s">
        <v>1</v>
      </c>
      <c r="D3405" t="s">
        <v>3721</v>
      </c>
      <c r="E3405" t="s">
        <v>3722</v>
      </c>
      <c r="F3405" t="s">
        <v>52</v>
      </c>
      <c r="G3405">
        <v>225</v>
      </c>
      <c r="H3405">
        <v>24</v>
      </c>
      <c r="I3405">
        <v>20</v>
      </c>
      <c r="J3405">
        <v>269</v>
      </c>
      <c r="K3405" s="482">
        <v>0.83599999999999997</v>
      </c>
      <c r="L3405" s="482">
        <v>8.8999999999999996E-2</v>
      </c>
      <c r="M3405" s="482">
        <v>7.3999999999999996E-2</v>
      </c>
    </row>
    <row r="3406" spans="1:13" x14ac:dyDescent="0.2">
      <c r="A3406" t="s">
        <v>4694</v>
      </c>
      <c r="B3406" t="s">
        <v>13</v>
      </c>
      <c r="C3406" t="s">
        <v>1</v>
      </c>
      <c r="D3406" t="s">
        <v>3534</v>
      </c>
      <c r="E3406" t="s">
        <v>3535</v>
      </c>
      <c r="F3406" t="s">
        <v>52</v>
      </c>
      <c r="G3406">
        <v>71</v>
      </c>
      <c r="H3406">
        <v>6</v>
      </c>
      <c r="I3406">
        <v>5</v>
      </c>
      <c r="J3406">
        <v>82</v>
      </c>
      <c r="K3406" s="482">
        <v>0.86599999999999999</v>
      </c>
      <c r="L3406" s="482">
        <v>7.2999999999999995E-2</v>
      </c>
      <c r="M3406" s="482">
        <v>6.0999999999999999E-2</v>
      </c>
    </row>
    <row r="3407" spans="1:13" x14ac:dyDescent="0.2">
      <c r="A3407" t="s">
        <v>4695</v>
      </c>
      <c r="B3407" t="s">
        <v>13</v>
      </c>
      <c r="C3407" t="s">
        <v>1</v>
      </c>
      <c r="D3407" t="s">
        <v>3525</v>
      </c>
      <c r="E3407" t="s">
        <v>3526</v>
      </c>
      <c r="F3407" t="s">
        <v>52</v>
      </c>
      <c r="G3407">
        <v>94</v>
      </c>
      <c r="H3407">
        <v>7</v>
      </c>
      <c r="I3407">
        <v>8</v>
      </c>
      <c r="J3407">
        <v>109</v>
      </c>
      <c r="K3407" s="482">
        <v>0.86199999999999999</v>
      </c>
      <c r="L3407" s="482">
        <v>6.4000000000000001E-2</v>
      </c>
      <c r="M3407" s="482">
        <v>7.2999999999999995E-2</v>
      </c>
    </row>
    <row r="3408" spans="1:13" x14ac:dyDescent="0.2">
      <c r="A3408" t="s">
        <v>4636</v>
      </c>
      <c r="B3408" t="s">
        <v>13</v>
      </c>
      <c r="C3408" t="s">
        <v>1</v>
      </c>
      <c r="D3408" t="s">
        <v>3706</v>
      </c>
      <c r="E3408" t="s">
        <v>3707</v>
      </c>
      <c r="F3408" t="s">
        <v>52</v>
      </c>
      <c r="G3408">
        <v>290</v>
      </c>
      <c r="H3408">
        <v>24</v>
      </c>
      <c r="I3408">
        <v>28</v>
      </c>
      <c r="J3408">
        <v>342</v>
      </c>
      <c r="K3408" s="482">
        <v>0.84799999999999998</v>
      </c>
      <c r="L3408" s="482">
        <v>7.0000000000000007E-2</v>
      </c>
      <c r="M3408" s="482">
        <v>8.2000000000000003E-2</v>
      </c>
    </row>
    <row r="3409" spans="1:13" x14ac:dyDescent="0.2">
      <c r="A3409" t="s">
        <v>4597</v>
      </c>
      <c r="B3409" t="s">
        <v>13</v>
      </c>
      <c r="C3409" t="s">
        <v>1</v>
      </c>
      <c r="D3409" t="s">
        <v>3832</v>
      </c>
      <c r="E3409" t="s">
        <v>3833</v>
      </c>
      <c r="F3409" t="s">
        <v>52</v>
      </c>
      <c r="G3409">
        <v>136</v>
      </c>
      <c r="H3409">
        <v>10</v>
      </c>
      <c r="I3409">
        <v>4</v>
      </c>
      <c r="J3409">
        <v>150</v>
      </c>
      <c r="K3409" s="482">
        <v>0.90700000000000003</v>
      </c>
      <c r="L3409" s="482">
        <v>6.7000000000000004E-2</v>
      </c>
      <c r="M3409" s="482">
        <v>2.7E-2</v>
      </c>
    </row>
    <row r="3410" spans="1:13" x14ac:dyDescent="0.2">
      <c r="A3410" t="s">
        <v>4814</v>
      </c>
      <c r="B3410" t="s">
        <v>13</v>
      </c>
      <c r="C3410" t="s">
        <v>1</v>
      </c>
      <c r="D3410" t="s">
        <v>3207</v>
      </c>
      <c r="E3410" t="s">
        <v>3208</v>
      </c>
      <c r="F3410" t="s">
        <v>52</v>
      </c>
      <c r="G3410">
        <v>71</v>
      </c>
      <c r="H3410">
        <v>9</v>
      </c>
      <c r="I3410">
        <v>4</v>
      </c>
      <c r="J3410">
        <v>84</v>
      </c>
      <c r="K3410" s="482">
        <v>0.84499999999999997</v>
      </c>
      <c r="L3410" s="482">
        <v>0.107</v>
      </c>
      <c r="M3410" s="482">
        <v>4.8000000000000001E-2</v>
      </c>
    </row>
    <row r="3411" spans="1:13" x14ac:dyDescent="0.2">
      <c r="A3411" t="s">
        <v>4815</v>
      </c>
      <c r="B3411" t="s">
        <v>13</v>
      </c>
      <c r="C3411" t="s">
        <v>1</v>
      </c>
      <c r="D3411" t="s">
        <v>3204</v>
      </c>
      <c r="E3411" t="s">
        <v>3205</v>
      </c>
      <c r="F3411" t="s">
        <v>52</v>
      </c>
      <c r="G3411">
        <v>70</v>
      </c>
      <c r="H3411">
        <v>6</v>
      </c>
      <c r="I3411">
        <v>1</v>
      </c>
      <c r="J3411">
        <v>77</v>
      </c>
      <c r="K3411" s="482">
        <v>0.90900000000000003</v>
      </c>
      <c r="L3411" s="482">
        <v>7.8E-2</v>
      </c>
      <c r="M3411" s="482">
        <v>1.2999999999999999E-2</v>
      </c>
    </row>
    <row r="3412" spans="1:13" x14ac:dyDescent="0.2">
      <c r="A3412" t="s">
        <v>4789</v>
      </c>
      <c r="B3412" t="s">
        <v>13</v>
      </c>
      <c r="C3412" t="s">
        <v>1</v>
      </c>
      <c r="D3412" t="s">
        <v>3273</v>
      </c>
      <c r="E3412" t="s">
        <v>3274</v>
      </c>
      <c r="F3412" t="s">
        <v>52</v>
      </c>
      <c r="G3412">
        <v>9</v>
      </c>
      <c r="H3412">
        <v>0</v>
      </c>
      <c r="I3412">
        <v>0</v>
      </c>
      <c r="J3412">
        <v>9</v>
      </c>
      <c r="K3412" s="482">
        <v>1</v>
      </c>
      <c r="L3412" s="482">
        <v>0</v>
      </c>
      <c r="M3412" s="482">
        <v>0</v>
      </c>
    </row>
    <row r="3413" spans="1:13" x14ac:dyDescent="0.2">
      <c r="A3413" t="s">
        <v>4790</v>
      </c>
      <c r="B3413" t="s">
        <v>13</v>
      </c>
      <c r="C3413" t="s">
        <v>1</v>
      </c>
      <c r="D3413" t="s">
        <v>3270</v>
      </c>
      <c r="E3413" t="s">
        <v>3271</v>
      </c>
      <c r="F3413" t="s">
        <v>52</v>
      </c>
      <c r="G3413">
        <v>112</v>
      </c>
      <c r="H3413">
        <v>6</v>
      </c>
      <c r="I3413">
        <v>6</v>
      </c>
      <c r="J3413">
        <v>124</v>
      </c>
      <c r="K3413" s="482">
        <v>0.90300000000000002</v>
      </c>
      <c r="L3413" s="482">
        <v>4.8000000000000001E-2</v>
      </c>
      <c r="M3413" s="482">
        <v>4.8000000000000001E-2</v>
      </c>
    </row>
    <row r="3414" spans="1:13" x14ac:dyDescent="0.2">
      <c r="A3414" t="s">
        <v>4791</v>
      </c>
      <c r="B3414" t="s">
        <v>13</v>
      </c>
      <c r="C3414" t="s">
        <v>1</v>
      </c>
      <c r="D3414" t="s">
        <v>3267</v>
      </c>
      <c r="E3414" t="s">
        <v>3268</v>
      </c>
      <c r="F3414" t="s">
        <v>52</v>
      </c>
      <c r="G3414">
        <v>39</v>
      </c>
      <c r="H3414">
        <v>4</v>
      </c>
      <c r="I3414">
        <v>2</v>
      </c>
      <c r="J3414">
        <v>45</v>
      </c>
      <c r="K3414" s="482">
        <v>0.86699999999999999</v>
      </c>
      <c r="L3414" s="482">
        <v>8.8999999999999996E-2</v>
      </c>
      <c r="M3414" s="482">
        <v>4.3999999999999997E-2</v>
      </c>
    </row>
    <row r="3415" spans="1:13" x14ac:dyDescent="0.2">
      <c r="A3415" t="s">
        <v>4647</v>
      </c>
      <c r="B3415" t="s">
        <v>13</v>
      </c>
      <c r="C3415" t="s">
        <v>1</v>
      </c>
      <c r="D3415" t="s">
        <v>3672</v>
      </c>
      <c r="E3415" t="s">
        <v>3673</v>
      </c>
      <c r="F3415" t="s">
        <v>52</v>
      </c>
      <c r="G3415">
        <v>61</v>
      </c>
      <c r="H3415">
        <v>4</v>
      </c>
      <c r="I3415">
        <v>3</v>
      </c>
      <c r="J3415">
        <v>68</v>
      </c>
      <c r="K3415" s="482">
        <v>0.89700000000000002</v>
      </c>
      <c r="L3415" s="482">
        <v>5.8999999999999997E-2</v>
      </c>
      <c r="M3415" s="482">
        <v>4.3999999999999997E-2</v>
      </c>
    </row>
    <row r="3416" spans="1:13" x14ac:dyDescent="0.2">
      <c r="A3416" t="s">
        <v>4648</v>
      </c>
      <c r="B3416" t="s">
        <v>13</v>
      </c>
      <c r="C3416" t="s">
        <v>1</v>
      </c>
      <c r="D3416" t="s">
        <v>3669</v>
      </c>
      <c r="E3416" t="s">
        <v>3670</v>
      </c>
      <c r="F3416" t="s">
        <v>52</v>
      </c>
      <c r="G3416">
        <v>210</v>
      </c>
      <c r="H3416">
        <v>7</v>
      </c>
      <c r="I3416">
        <v>9</v>
      </c>
      <c r="J3416">
        <v>226</v>
      </c>
      <c r="K3416" s="482">
        <v>0.92900000000000005</v>
      </c>
      <c r="L3416" s="482">
        <v>3.1E-2</v>
      </c>
      <c r="M3416" s="482">
        <v>0.04</v>
      </c>
    </row>
    <row r="3417" spans="1:13" x14ac:dyDescent="0.2">
      <c r="A3417" t="s">
        <v>4649</v>
      </c>
      <c r="B3417" t="s">
        <v>13</v>
      </c>
      <c r="C3417" t="s">
        <v>1</v>
      </c>
      <c r="D3417" t="s">
        <v>3666</v>
      </c>
      <c r="E3417" t="s">
        <v>3667</v>
      </c>
      <c r="F3417" t="s">
        <v>52</v>
      </c>
      <c r="G3417">
        <v>31</v>
      </c>
      <c r="H3417">
        <v>1</v>
      </c>
      <c r="I3417">
        <v>1</v>
      </c>
      <c r="J3417">
        <v>33</v>
      </c>
      <c r="K3417" s="482">
        <v>0.93899999999999995</v>
      </c>
      <c r="L3417" s="482">
        <v>0.03</v>
      </c>
      <c r="M3417" s="482">
        <v>0.03</v>
      </c>
    </row>
    <row r="3418" spans="1:13" x14ac:dyDescent="0.2">
      <c r="A3418" t="s">
        <v>4650</v>
      </c>
      <c r="B3418" t="s">
        <v>13</v>
      </c>
      <c r="C3418" t="s">
        <v>1</v>
      </c>
      <c r="D3418" t="s">
        <v>3663</v>
      </c>
      <c r="E3418" t="s">
        <v>3664</v>
      </c>
      <c r="F3418" t="s">
        <v>52</v>
      </c>
      <c r="G3418">
        <v>88</v>
      </c>
      <c r="H3418">
        <v>3</v>
      </c>
      <c r="I3418">
        <v>3</v>
      </c>
      <c r="J3418">
        <v>94</v>
      </c>
      <c r="K3418" s="482">
        <v>0.93600000000000005</v>
      </c>
      <c r="L3418" s="482">
        <v>3.2000000000000001E-2</v>
      </c>
      <c r="M3418" s="482">
        <v>3.2000000000000001E-2</v>
      </c>
    </row>
    <row r="3419" spans="1:13" x14ac:dyDescent="0.2">
      <c r="A3419" t="s">
        <v>4651</v>
      </c>
      <c r="B3419" t="s">
        <v>13</v>
      </c>
      <c r="C3419" t="s">
        <v>1</v>
      </c>
      <c r="D3419" t="s">
        <v>3660</v>
      </c>
      <c r="E3419" t="s">
        <v>3661</v>
      </c>
      <c r="F3419" t="s">
        <v>52</v>
      </c>
      <c r="G3419">
        <v>75</v>
      </c>
      <c r="H3419">
        <v>4</v>
      </c>
      <c r="I3419">
        <v>4</v>
      </c>
      <c r="J3419">
        <v>83</v>
      </c>
      <c r="K3419" s="482">
        <v>0.90400000000000003</v>
      </c>
      <c r="L3419" s="482">
        <v>4.8000000000000001E-2</v>
      </c>
      <c r="M3419" s="482">
        <v>4.8000000000000001E-2</v>
      </c>
    </row>
    <row r="3420" spans="1:13" x14ac:dyDescent="0.2">
      <c r="A3420" t="s">
        <v>4655</v>
      </c>
      <c r="B3420" t="s">
        <v>13</v>
      </c>
      <c r="C3420" t="s">
        <v>1</v>
      </c>
      <c r="D3420" t="s">
        <v>3648</v>
      </c>
      <c r="E3420" t="s">
        <v>3649</v>
      </c>
      <c r="F3420" t="s">
        <v>52</v>
      </c>
      <c r="G3420">
        <v>98</v>
      </c>
      <c r="H3420">
        <v>12</v>
      </c>
      <c r="I3420">
        <v>3</v>
      </c>
      <c r="J3420">
        <v>113</v>
      </c>
      <c r="K3420" s="482">
        <v>0.86699999999999999</v>
      </c>
      <c r="L3420" s="482">
        <v>0.106</v>
      </c>
      <c r="M3420" s="482">
        <v>2.7E-2</v>
      </c>
    </row>
    <row r="3421" spans="1:13" x14ac:dyDescent="0.2">
      <c r="A3421" t="s">
        <v>4656</v>
      </c>
      <c r="B3421" t="s">
        <v>13</v>
      </c>
      <c r="C3421" t="s">
        <v>1</v>
      </c>
      <c r="D3421" t="s">
        <v>3645</v>
      </c>
      <c r="E3421" t="s">
        <v>3646</v>
      </c>
      <c r="F3421" t="s">
        <v>52</v>
      </c>
      <c r="G3421">
        <v>123</v>
      </c>
      <c r="H3421">
        <v>8</v>
      </c>
      <c r="I3421">
        <v>7</v>
      </c>
      <c r="J3421">
        <v>138</v>
      </c>
      <c r="K3421" s="482">
        <v>0.89100000000000001</v>
      </c>
      <c r="L3421" s="482">
        <v>5.8000000000000003E-2</v>
      </c>
      <c r="M3421" s="482">
        <v>5.0999999999999997E-2</v>
      </c>
    </row>
    <row r="3422" spans="1:13" x14ac:dyDescent="0.2">
      <c r="A3422" t="s">
        <v>6608</v>
      </c>
      <c r="B3422" t="s">
        <v>13</v>
      </c>
      <c r="C3422" t="s">
        <v>1</v>
      </c>
      <c r="D3422" t="s">
        <v>3643</v>
      </c>
      <c r="E3422" t="s">
        <v>6580</v>
      </c>
      <c r="F3422" t="s">
        <v>52</v>
      </c>
      <c r="G3422">
        <v>139</v>
      </c>
      <c r="H3422">
        <v>7</v>
      </c>
      <c r="I3422">
        <v>11</v>
      </c>
      <c r="J3422">
        <v>157</v>
      </c>
      <c r="K3422" s="482">
        <v>0.88500000000000001</v>
      </c>
      <c r="L3422" s="482">
        <v>4.4999999999999998E-2</v>
      </c>
      <c r="M3422" s="482">
        <v>7.0000000000000007E-2</v>
      </c>
    </row>
    <row r="3423" spans="1:13" x14ac:dyDescent="0.2">
      <c r="A3423" t="s">
        <v>4657</v>
      </c>
      <c r="B3423" t="s">
        <v>13</v>
      </c>
      <c r="C3423" t="s">
        <v>1</v>
      </c>
      <c r="D3423" t="s">
        <v>3641</v>
      </c>
      <c r="E3423" t="s">
        <v>3642</v>
      </c>
      <c r="F3423" t="s">
        <v>52</v>
      </c>
      <c r="G3423">
        <v>186</v>
      </c>
      <c r="H3423">
        <v>8</v>
      </c>
      <c r="I3423">
        <v>14</v>
      </c>
      <c r="J3423">
        <v>208</v>
      </c>
      <c r="K3423" s="482">
        <v>0.89400000000000002</v>
      </c>
      <c r="L3423" s="482">
        <v>3.7999999999999999E-2</v>
      </c>
      <c r="M3423" s="482">
        <v>6.7000000000000004E-2</v>
      </c>
    </row>
    <row r="3424" spans="1:13" x14ac:dyDescent="0.2">
      <c r="A3424" t="s">
        <v>4652</v>
      </c>
      <c r="B3424" t="s">
        <v>13</v>
      </c>
      <c r="C3424" t="s">
        <v>1</v>
      </c>
      <c r="D3424" t="s">
        <v>3657</v>
      </c>
      <c r="E3424" t="s">
        <v>3658</v>
      </c>
      <c r="F3424" t="s">
        <v>52</v>
      </c>
      <c r="G3424">
        <v>133</v>
      </c>
      <c r="H3424">
        <v>10</v>
      </c>
      <c r="I3424">
        <v>4</v>
      </c>
      <c r="J3424">
        <v>147</v>
      </c>
      <c r="K3424" s="482">
        <v>0.90500000000000003</v>
      </c>
      <c r="L3424" s="482">
        <v>6.8000000000000005E-2</v>
      </c>
      <c r="M3424" s="482">
        <v>2.7E-2</v>
      </c>
    </row>
    <row r="3425" spans="1:13" x14ac:dyDescent="0.2">
      <c r="A3425" t="s">
        <v>4653</v>
      </c>
      <c r="B3425" t="s">
        <v>13</v>
      </c>
      <c r="C3425" t="s">
        <v>1</v>
      </c>
      <c r="D3425" t="s">
        <v>3654</v>
      </c>
      <c r="E3425" t="s">
        <v>3655</v>
      </c>
      <c r="F3425" t="s">
        <v>52</v>
      </c>
      <c r="G3425">
        <v>85</v>
      </c>
      <c r="H3425">
        <v>7</v>
      </c>
      <c r="I3425">
        <v>7</v>
      </c>
      <c r="J3425">
        <v>99</v>
      </c>
      <c r="K3425" s="482">
        <v>0.85899999999999999</v>
      </c>
      <c r="L3425" s="482">
        <v>7.0999999999999994E-2</v>
      </c>
      <c r="M3425" s="482">
        <v>7.0999999999999994E-2</v>
      </c>
    </row>
    <row r="3426" spans="1:13" x14ac:dyDescent="0.2">
      <c r="A3426" t="s">
        <v>4654</v>
      </c>
      <c r="B3426" t="s">
        <v>13</v>
      </c>
      <c r="C3426" t="s">
        <v>1</v>
      </c>
      <c r="D3426" t="s">
        <v>3651</v>
      </c>
      <c r="E3426" t="s">
        <v>3652</v>
      </c>
      <c r="F3426" t="s">
        <v>52</v>
      </c>
      <c r="G3426">
        <v>242</v>
      </c>
      <c r="H3426">
        <v>14</v>
      </c>
      <c r="I3426">
        <v>21</v>
      </c>
      <c r="J3426">
        <v>277</v>
      </c>
      <c r="K3426" s="482">
        <v>0.874</v>
      </c>
      <c r="L3426" s="482">
        <v>5.0999999999999997E-2</v>
      </c>
      <c r="M3426" s="482">
        <v>7.5999999999999998E-2</v>
      </c>
    </row>
    <row r="3427" spans="1:13" x14ac:dyDescent="0.2">
      <c r="A3427" t="s">
        <v>4805</v>
      </c>
      <c r="B3427" t="s">
        <v>13</v>
      </c>
      <c r="C3427" t="s">
        <v>1</v>
      </c>
      <c r="D3427" t="s">
        <v>4285</v>
      </c>
      <c r="E3427" t="s">
        <v>4286</v>
      </c>
      <c r="F3427" t="s">
        <v>52</v>
      </c>
      <c r="G3427">
        <v>187</v>
      </c>
      <c r="H3427">
        <v>6</v>
      </c>
      <c r="I3427">
        <v>12</v>
      </c>
      <c r="J3427">
        <v>205</v>
      </c>
      <c r="K3427" s="482">
        <v>0.91200000000000003</v>
      </c>
      <c r="L3427" s="482">
        <v>2.9000000000000001E-2</v>
      </c>
      <c r="M3427" s="482">
        <v>5.8999999999999997E-2</v>
      </c>
    </row>
    <row r="3428" spans="1:13" x14ac:dyDescent="0.2">
      <c r="A3428" t="s">
        <v>4806</v>
      </c>
      <c r="B3428" t="s">
        <v>13</v>
      </c>
      <c r="C3428" t="s">
        <v>1</v>
      </c>
      <c r="D3428" t="s">
        <v>3225</v>
      </c>
      <c r="E3428" t="s">
        <v>3226</v>
      </c>
      <c r="F3428" t="s">
        <v>52</v>
      </c>
      <c r="G3428">
        <v>191</v>
      </c>
      <c r="H3428">
        <v>12</v>
      </c>
      <c r="I3428">
        <v>14</v>
      </c>
      <c r="J3428">
        <v>217</v>
      </c>
      <c r="K3428" s="482">
        <v>0.88</v>
      </c>
      <c r="L3428" s="482">
        <v>5.5E-2</v>
      </c>
      <c r="M3428" s="482">
        <v>6.5000000000000002E-2</v>
      </c>
    </row>
    <row r="3429" spans="1:13" x14ac:dyDescent="0.2">
      <c r="A3429" t="s">
        <v>4807</v>
      </c>
      <c r="B3429" t="s">
        <v>13</v>
      </c>
      <c r="C3429" t="s">
        <v>1</v>
      </c>
      <c r="D3429" t="s">
        <v>3222</v>
      </c>
      <c r="E3429" t="s">
        <v>3223</v>
      </c>
      <c r="F3429" t="s">
        <v>52</v>
      </c>
      <c r="G3429">
        <v>72</v>
      </c>
      <c r="H3429">
        <v>3</v>
      </c>
      <c r="I3429">
        <v>3</v>
      </c>
      <c r="J3429">
        <v>78</v>
      </c>
      <c r="K3429" s="482">
        <v>0.92300000000000004</v>
      </c>
      <c r="L3429" s="482">
        <v>3.7999999999999999E-2</v>
      </c>
      <c r="M3429" s="482">
        <v>3.7999999999999999E-2</v>
      </c>
    </row>
    <row r="3430" spans="1:13" x14ac:dyDescent="0.2">
      <c r="A3430" t="s">
        <v>4808</v>
      </c>
      <c r="B3430" t="s">
        <v>13</v>
      </c>
      <c r="C3430" t="s">
        <v>1</v>
      </c>
      <c r="D3430" t="s">
        <v>3219</v>
      </c>
      <c r="E3430" t="s">
        <v>3220</v>
      </c>
      <c r="F3430" t="s">
        <v>52</v>
      </c>
      <c r="G3430">
        <v>114</v>
      </c>
      <c r="H3430">
        <v>6</v>
      </c>
      <c r="I3430">
        <v>11</v>
      </c>
      <c r="J3430">
        <v>131</v>
      </c>
      <c r="K3430" s="482">
        <v>0.87</v>
      </c>
      <c r="L3430" s="482">
        <v>4.5999999999999999E-2</v>
      </c>
      <c r="M3430" s="482">
        <v>8.4000000000000005E-2</v>
      </c>
    </row>
    <row r="3431" spans="1:13" x14ac:dyDescent="0.2">
      <c r="A3431" t="s">
        <v>4811</v>
      </c>
      <c r="B3431" t="s">
        <v>13</v>
      </c>
      <c r="C3431" t="s">
        <v>1</v>
      </c>
      <c r="D3431" t="s">
        <v>3216</v>
      </c>
      <c r="E3431" t="s">
        <v>3217</v>
      </c>
      <c r="F3431" t="s">
        <v>52</v>
      </c>
      <c r="G3431">
        <v>134</v>
      </c>
      <c r="H3431">
        <v>12</v>
      </c>
      <c r="I3431">
        <v>10</v>
      </c>
      <c r="J3431">
        <v>156</v>
      </c>
      <c r="K3431" s="482">
        <v>0.85899999999999999</v>
      </c>
      <c r="L3431" s="482">
        <v>7.6999999999999999E-2</v>
      </c>
      <c r="M3431" s="482">
        <v>6.4000000000000001E-2</v>
      </c>
    </row>
    <row r="3432" spans="1:13" x14ac:dyDescent="0.2">
      <c r="A3432" t="s">
        <v>4809</v>
      </c>
      <c r="B3432" t="s">
        <v>13</v>
      </c>
      <c r="C3432" t="s">
        <v>1</v>
      </c>
      <c r="D3432" t="s">
        <v>4279</v>
      </c>
      <c r="E3432" t="s">
        <v>4280</v>
      </c>
      <c r="F3432" t="s">
        <v>52</v>
      </c>
      <c r="G3432" t="s">
        <v>53</v>
      </c>
      <c r="H3432" t="s">
        <v>53</v>
      </c>
      <c r="I3432">
        <v>0</v>
      </c>
      <c r="J3432" t="s">
        <v>53</v>
      </c>
      <c r="K3432" t="s">
        <v>53</v>
      </c>
      <c r="L3432" t="s">
        <v>53</v>
      </c>
      <c r="M3432" t="s">
        <v>53</v>
      </c>
    </row>
    <row r="3433" spans="1:13" x14ac:dyDescent="0.2">
      <c r="A3433" t="s">
        <v>4810</v>
      </c>
      <c r="B3433" t="s">
        <v>13</v>
      </c>
      <c r="C3433" t="s">
        <v>1</v>
      </c>
      <c r="D3433" t="s">
        <v>4276</v>
      </c>
      <c r="E3433" t="s">
        <v>4277</v>
      </c>
      <c r="F3433" t="s">
        <v>52</v>
      </c>
      <c r="G3433">
        <v>10</v>
      </c>
      <c r="H3433">
        <v>2</v>
      </c>
      <c r="I3433">
        <v>1</v>
      </c>
      <c r="J3433">
        <v>13</v>
      </c>
      <c r="K3433" s="482">
        <v>0.76900000000000002</v>
      </c>
      <c r="L3433" s="482">
        <v>0.154</v>
      </c>
      <c r="M3433" s="482">
        <v>7.6999999999999999E-2</v>
      </c>
    </row>
    <row r="3434" spans="1:13" x14ac:dyDescent="0.2">
      <c r="A3434" t="s">
        <v>4787</v>
      </c>
      <c r="B3434" t="s">
        <v>13</v>
      </c>
      <c r="C3434" t="s">
        <v>1</v>
      </c>
      <c r="D3434" t="s">
        <v>3280</v>
      </c>
      <c r="E3434" t="s">
        <v>3281</v>
      </c>
      <c r="F3434" t="s">
        <v>52</v>
      </c>
      <c r="G3434">
        <v>148</v>
      </c>
      <c r="H3434">
        <v>11</v>
      </c>
      <c r="I3434">
        <v>11</v>
      </c>
      <c r="J3434">
        <v>170</v>
      </c>
      <c r="K3434" s="482">
        <v>0.871</v>
      </c>
      <c r="L3434" s="482">
        <v>6.5000000000000002E-2</v>
      </c>
      <c r="M3434" s="482">
        <v>6.5000000000000002E-2</v>
      </c>
    </row>
    <row r="3435" spans="1:13" x14ac:dyDescent="0.2">
      <c r="A3435" t="s">
        <v>6609</v>
      </c>
      <c r="B3435" t="s">
        <v>13</v>
      </c>
      <c r="C3435" t="s">
        <v>1</v>
      </c>
      <c r="D3435" t="s">
        <v>3278</v>
      </c>
      <c r="E3435" t="s">
        <v>6578</v>
      </c>
      <c r="F3435" t="s">
        <v>52</v>
      </c>
      <c r="G3435">
        <v>496</v>
      </c>
      <c r="H3435">
        <v>35</v>
      </c>
      <c r="I3435">
        <v>38</v>
      </c>
      <c r="J3435">
        <v>569</v>
      </c>
      <c r="K3435" s="482">
        <v>0.872</v>
      </c>
      <c r="L3435" s="482">
        <v>6.2E-2</v>
      </c>
      <c r="M3435" s="482">
        <v>6.7000000000000004E-2</v>
      </c>
    </row>
    <row r="3436" spans="1:13" x14ac:dyDescent="0.2">
      <c r="A3436" t="s">
        <v>4788</v>
      </c>
      <c r="B3436" t="s">
        <v>13</v>
      </c>
      <c r="C3436" t="s">
        <v>1</v>
      </c>
      <c r="D3436" t="s">
        <v>3276</v>
      </c>
      <c r="E3436" t="s">
        <v>3277</v>
      </c>
      <c r="F3436" t="s">
        <v>52</v>
      </c>
      <c r="G3436">
        <v>23</v>
      </c>
      <c r="H3436">
        <v>2</v>
      </c>
      <c r="I3436">
        <v>1</v>
      </c>
      <c r="J3436">
        <v>26</v>
      </c>
      <c r="K3436" s="482">
        <v>0.88500000000000001</v>
      </c>
      <c r="L3436" s="482">
        <v>7.6999999999999999E-2</v>
      </c>
      <c r="M3436" s="482">
        <v>3.7999999999999999E-2</v>
      </c>
    </row>
    <row r="3437" spans="1:13" x14ac:dyDescent="0.2">
      <c r="A3437" t="s">
        <v>4691</v>
      </c>
      <c r="B3437" t="s">
        <v>13</v>
      </c>
      <c r="C3437" t="s">
        <v>1</v>
      </c>
      <c r="D3437" t="s">
        <v>3543</v>
      </c>
      <c r="E3437" t="s">
        <v>3544</v>
      </c>
      <c r="F3437" t="s">
        <v>52</v>
      </c>
      <c r="G3437">
        <v>293</v>
      </c>
      <c r="H3437">
        <v>12</v>
      </c>
      <c r="I3437">
        <v>12</v>
      </c>
      <c r="J3437">
        <v>317</v>
      </c>
      <c r="K3437" s="482">
        <v>0.92400000000000004</v>
      </c>
      <c r="L3437" s="482">
        <v>3.7999999999999999E-2</v>
      </c>
      <c r="M3437" s="482">
        <v>3.7999999999999999E-2</v>
      </c>
    </row>
    <row r="3438" spans="1:13" x14ac:dyDescent="0.2">
      <c r="A3438" t="s">
        <v>6610</v>
      </c>
      <c r="B3438" t="s">
        <v>13</v>
      </c>
      <c r="C3438" t="s">
        <v>1</v>
      </c>
      <c r="D3438" t="s">
        <v>3689</v>
      </c>
      <c r="E3438" t="s">
        <v>6576</v>
      </c>
      <c r="F3438" t="s">
        <v>52</v>
      </c>
      <c r="G3438">
        <v>135</v>
      </c>
      <c r="H3438">
        <v>6</v>
      </c>
      <c r="I3438">
        <v>7</v>
      </c>
      <c r="J3438">
        <v>148</v>
      </c>
      <c r="K3438" s="482">
        <v>0.91200000000000003</v>
      </c>
      <c r="L3438" s="482">
        <v>4.1000000000000002E-2</v>
      </c>
      <c r="M3438" s="482">
        <v>4.7E-2</v>
      </c>
    </row>
    <row r="3439" spans="1:13" x14ac:dyDescent="0.2">
      <c r="A3439" t="s">
        <v>4693</v>
      </c>
      <c r="B3439" t="s">
        <v>13</v>
      </c>
      <c r="C3439" t="s">
        <v>1</v>
      </c>
      <c r="D3439" t="s">
        <v>3537</v>
      </c>
      <c r="E3439" t="s">
        <v>3538</v>
      </c>
      <c r="F3439" t="s">
        <v>52</v>
      </c>
      <c r="G3439">
        <v>199</v>
      </c>
      <c r="H3439">
        <v>22</v>
      </c>
      <c r="I3439">
        <v>20</v>
      </c>
      <c r="J3439">
        <v>241</v>
      </c>
      <c r="K3439" s="482">
        <v>0.82599999999999996</v>
      </c>
      <c r="L3439" s="482">
        <v>9.0999999999999998E-2</v>
      </c>
      <c r="M3439" s="482">
        <v>8.3000000000000004E-2</v>
      </c>
    </row>
    <row r="3440" spans="1:13" x14ac:dyDescent="0.2">
      <c r="A3440" t="s">
        <v>4692</v>
      </c>
      <c r="B3440" t="s">
        <v>13</v>
      </c>
      <c r="C3440" t="s">
        <v>1</v>
      </c>
      <c r="D3440" t="s">
        <v>3540</v>
      </c>
      <c r="E3440" t="s">
        <v>3541</v>
      </c>
      <c r="F3440" t="s">
        <v>52</v>
      </c>
      <c r="G3440">
        <v>115</v>
      </c>
      <c r="H3440">
        <v>5</v>
      </c>
      <c r="I3440">
        <v>8</v>
      </c>
      <c r="J3440">
        <v>128</v>
      </c>
      <c r="K3440" s="482">
        <v>0.89800000000000002</v>
      </c>
      <c r="L3440" s="482">
        <v>3.9E-2</v>
      </c>
      <c r="M3440" s="482">
        <v>6.3E-2</v>
      </c>
    </row>
    <row r="3441" spans="1:13" x14ac:dyDescent="0.2">
      <c r="A3441" t="s">
        <v>4698</v>
      </c>
      <c r="B3441" t="s">
        <v>13</v>
      </c>
      <c r="C3441" t="s">
        <v>1</v>
      </c>
      <c r="D3441" t="s">
        <v>3517</v>
      </c>
      <c r="E3441" t="s">
        <v>3518</v>
      </c>
      <c r="F3441" t="s">
        <v>52</v>
      </c>
      <c r="G3441">
        <v>139</v>
      </c>
      <c r="H3441">
        <v>8</v>
      </c>
      <c r="I3441">
        <v>5</v>
      </c>
      <c r="J3441">
        <v>152</v>
      </c>
      <c r="K3441" s="482">
        <v>0.91400000000000003</v>
      </c>
      <c r="L3441" s="482">
        <v>5.2999999999999999E-2</v>
      </c>
      <c r="M3441" s="482">
        <v>3.3000000000000002E-2</v>
      </c>
    </row>
    <row r="3442" spans="1:13" x14ac:dyDescent="0.2">
      <c r="A3442" t="s">
        <v>4690</v>
      </c>
      <c r="B3442" t="s">
        <v>13</v>
      </c>
      <c r="C3442" t="s">
        <v>1</v>
      </c>
      <c r="D3442" t="s">
        <v>3546</v>
      </c>
      <c r="E3442" t="s">
        <v>3547</v>
      </c>
      <c r="F3442" t="s">
        <v>52</v>
      </c>
      <c r="G3442">
        <v>236</v>
      </c>
      <c r="H3442">
        <v>11</v>
      </c>
      <c r="I3442">
        <v>19</v>
      </c>
      <c r="J3442">
        <v>266</v>
      </c>
      <c r="K3442" s="482">
        <v>0.88700000000000001</v>
      </c>
      <c r="L3442" s="482">
        <v>4.1000000000000002E-2</v>
      </c>
      <c r="M3442" s="482">
        <v>7.0999999999999994E-2</v>
      </c>
    </row>
    <row r="3443" spans="1:13" x14ac:dyDescent="0.2">
      <c r="A3443" t="s">
        <v>4697</v>
      </c>
      <c r="B3443" t="s">
        <v>13</v>
      </c>
      <c r="C3443" t="s">
        <v>1</v>
      </c>
      <c r="D3443" t="s">
        <v>3520</v>
      </c>
      <c r="E3443" t="s">
        <v>341</v>
      </c>
      <c r="F3443" t="s">
        <v>52</v>
      </c>
      <c r="G3443">
        <v>80</v>
      </c>
      <c r="H3443">
        <v>6</v>
      </c>
      <c r="I3443">
        <v>5</v>
      </c>
      <c r="J3443">
        <v>91</v>
      </c>
      <c r="K3443" s="482">
        <v>0.879</v>
      </c>
      <c r="L3443" s="482">
        <v>6.6000000000000003E-2</v>
      </c>
      <c r="M3443" s="482">
        <v>5.5E-2</v>
      </c>
    </row>
    <row r="3444" spans="1:13" x14ac:dyDescent="0.2">
      <c r="A3444" t="s">
        <v>4686</v>
      </c>
      <c r="B3444" t="s">
        <v>13</v>
      </c>
      <c r="C3444" t="s">
        <v>1</v>
      </c>
      <c r="D3444" t="s">
        <v>3558</v>
      </c>
      <c r="E3444" t="s">
        <v>3559</v>
      </c>
      <c r="F3444" t="s">
        <v>52</v>
      </c>
      <c r="G3444">
        <v>118</v>
      </c>
      <c r="H3444">
        <v>10</v>
      </c>
      <c r="I3444">
        <v>6</v>
      </c>
      <c r="J3444">
        <v>134</v>
      </c>
      <c r="K3444" s="482">
        <v>0.88100000000000001</v>
      </c>
      <c r="L3444" s="482">
        <v>7.4999999999999997E-2</v>
      </c>
      <c r="M3444" s="482">
        <v>4.4999999999999998E-2</v>
      </c>
    </row>
    <row r="3445" spans="1:13" x14ac:dyDescent="0.2">
      <c r="A3445" t="s">
        <v>4674</v>
      </c>
      <c r="B3445" t="s">
        <v>13</v>
      </c>
      <c r="C3445" t="s">
        <v>1</v>
      </c>
      <c r="D3445" t="s">
        <v>3588</v>
      </c>
      <c r="E3445" t="s">
        <v>3589</v>
      </c>
      <c r="F3445" t="s">
        <v>52</v>
      </c>
      <c r="G3445">
        <v>11</v>
      </c>
      <c r="H3445">
        <v>0</v>
      </c>
      <c r="I3445">
        <v>0</v>
      </c>
      <c r="J3445">
        <v>11</v>
      </c>
      <c r="K3445" s="482">
        <v>1</v>
      </c>
      <c r="L3445" s="482">
        <v>0</v>
      </c>
      <c r="M3445" s="482">
        <v>0</v>
      </c>
    </row>
    <row r="3446" spans="1:13" x14ac:dyDescent="0.2">
      <c r="A3446" t="s">
        <v>4675</v>
      </c>
      <c r="B3446" t="s">
        <v>13</v>
      </c>
      <c r="C3446" t="s">
        <v>1</v>
      </c>
      <c r="D3446" t="s">
        <v>3585</v>
      </c>
      <c r="E3446" t="s">
        <v>3586</v>
      </c>
      <c r="F3446" t="s">
        <v>52</v>
      </c>
      <c r="G3446">
        <v>24</v>
      </c>
      <c r="H3446">
        <v>1</v>
      </c>
      <c r="I3446">
        <v>2</v>
      </c>
      <c r="J3446">
        <v>27</v>
      </c>
      <c r="K3446" s="482">
        <v>0.88900000000000001</v>
      </c>
      <c r="L3446" s="482">
        <v>3.6999999999999998E-2</v>
      </c>
      <c r="M3446" s="482">
        <v>7.3999999999999996E-2</v>
      </c>
    </row>
    <row r="3447" spans="1:13" x14ac:dyDescent="0.2">
      <c r="A3447" t="s">
        <v>4676</v>
      </c>
      <c r="B3447" t="s">
        <v>13</v>
      </c>
      <c r="C3447" t="s">
        <v>1</v>
      </c>
      <c r="D3447" t="s">
        <v>3582</v>
      </c>
      <c r="E3447" t="s">
        <v>3583</v>
      </c>
      <c r="F3447" t="s">
        <v>52</v>
      </c>
      <c r="G3447">
        <v>37</v>
      </c>
      <c r="H3447">
        <v>2</v>
      </c>
      <c r="I3447">
        <v>5</v>
      </c>
      <c r="J3447">
        <v>44</v>
      </c>
      <c r="K3447" s="482">
        <v>0.84099999999999997</v>
      </c>
      <c r="L3447" s="482">
        <v>4.4999999999999998E-2</v>
      </c>
      <c r="M3447" s="482">
        <v>0.114</v>
      </c>
    </row>
    <row r="3448" spans="1:13" x14ac:dyDescent="0.2">
      <c r="A3448" t="s">
        <v>4677</v>
      </c>
      <c r="B3448" t="s">
        <v>13</v>
      </c>
      <c r="C3448" t="s">
        <v>1</v>
      </c>
      <c r="D3448" t="s">
        <v>3579</v>
      </c>
      <c r="E3448" t="s">
        <v>3580</v>
      </c>
      <c r="F3448" t="s">
        <v>52</v>
      </c>
      <c r="G3448">
        <v>58</v>
      </c>
      <c r="H3448">
        <v>6</v>
      </c>
      <c r="I3448">
        <v>2</v>
      </c>
      <c r="J3448">
        <v>66</v>
      </c>
      <c r="K3448" s="482">
        <v>0.879</v>
      </c>
      <c r="L3448" s="482">
        <v>9.0999999999999998E-2</v>
      </c>
      <c r="M3448" s="482">
        <v>0.03</v>
      </c>
    </row>
    <row r="3449" spans="1:13" x14ac:dyDescent="0.2">
      <c r="A3449" t="s">
        <v>4678</v>
      </c>
      <c r="B3449" t="s">
        <v>13</v>
      </c>
      <c r="C3449" t="s">
        <v>1</v>
      </c>
      <c r="D3449" t="s">
        <v>3576</v>
      </c>
      <c r="E3449" t="s">
        <v>3577</v>
      </c>
      <c r="F3449" t="s">
        <v>52</v>
      </c>
      <c r="G3449">
        <v>10</v>
      </c>
      <c r="H3449">
        <v>0</v>
      </c>
      <c r="I3449">
        <v>0</v>
      </c>
      <c r="J3449">
        <v>10</v>
      </c>
      <c r="K3449" s="482">
        <v>1</v>
      </c>
      <c r="L3449" s="482">
        <v>0</v>
      </c>
      <c r="M3449" s="482">
        <v>0</v>
      </c>
    </row>
    <row r="3450" spans="1:13" x14ac:dyDescent="0.2">
      <c r="A3450" t="s">
        <v>4679</v>
      </c>
      <c r="B3450" t="s">
        <v>13</v>
      </c>
      <c r="C3450" t="s">
        <v>1</v>
      </c>
      <c r="D3450" t="s">
        <v>3573</v>
      </c>
      <c r="E3450" t="s">
        <v>3574</v>
      </c>
      <c r="F3450" t="s">
        <v>52</v>
      </c>
      <c r="G3450">
        <v>33</v>
      </c>
      <c r="H3450">
        <v>4</v>
      </c>
      <c r="I3450">
        <v>7</v>
      </c>
      <c r="J3450">
        <v>44</v>
      </c>
      <c r="K3450" s="482">
        <v>0.75</v>
      </c>
      <c r="L3450" s="482">
        <v>9.0999999999999998E-2</v>
      </c>
      <c r="M3450" s="482">
        <v>0.159</v>
      </c>
    </row>
    <row r="3451" spans="1:13" x14ac:dyDescent="0.2">
      <c r="A3451" t="s">
        <v>4680</v>
      </c>
      <c r="B3451" t="s">
        <v>13</v>
      </c>
      <c r="C3451" t="s">
        <v>1</v>
      </c>
      <c r="D3451" t="s">
        <v>3570</v>
      </c>
      <c r="E3451" t="s">
        <v>3571</v>
      </c>
      <c r="F3451" t="s">
        <v>52</v>
      </c>
      <c r="G3451" t="s">
        <v>53</v>
      </c>
      <c r="H3451" t="s">
        <v>53</v>
      </c>
      <c r="I3451" t="s">
        <v>53</v>
      </c>
      <c r="J3451" t="s">
        <v>53</v>
      </c>
      <c r="K3451" t="s">
        <v>53</v>
      </c>
      <c r="L3451" t="s">
        <v>53</v>
      </c>
      <c r="M3451" t="s">
        <v>53</v>
      </c>
    </row>
    <row r="3452" spans="1:13" x14ac:dyDescent="0.2">
      <c r="A3452" t="s">
        <v>4739</v>
      </c>
      <c r="B3452" t="s">
        <v>13</v>
      </c>
      <c r="C3452" t="s">
        <v>1</v>
      </c>
      <c r="D3452" t="s">
        <v>3403</v>
      </c>
      <c r="E3452" t="s">
        <v>3404</v>
      </c>
      <c r="F3452" t="s">
        <v>52</v>
      </c>
      <c r="G3452">
        <v>137</v>
      </c>
      <c r="H3452">
        <v>9</v>
      </c>
      <c r="I3452">
        <v>9</v>
      </c>
      <c r="J3452">
        <v>155</v>
      </c>
      <c r="K3452" s="482">
        <v>0.88400000000000001</v>
      </c>
      <c r="L3452" s="482">
        <v>5.8000000000000003E-2</v>
      </c>
      <c r="M3452" s="482">
        <v>5.8000000000000003E-2</v>
      </c>
    </row>
    <row r="3453" spans="1:13" x14ac:dyDescent="0.2">
      <c r="A3453" t="s">
        <v>4604</v>
      </c>
      <c r="B3453" t="s">
        <v>13</v>
      </c>
      <c r="C3453" t="s">
        <v>1</v>
      </c>
      <c r="D3453" t="s">
        <v>4518</v>
      </c>
      <c r="E3453" t="s">
        <v>4519</v>
      </c>
      <c r="F3453" t="s">
        <v>52</v>
      </c>
      <c r="G3453">
        <v>298</v>
      </c>
      <c r="H3453">
        <v>19</v>
      </c>
      <c r="I3453">
        <v>13</v>
      </c>
      <c r="J3453">
        <v>330</v>
      </c>
      <c r="K3453" s="482">
        <v>0.90300000000000002</v>
      </c>
      <c r="L3453" s="482">
        <v>5.8000000000000003E-2</v>
      </c>
      <c r="M3453" s="482">
        <v>3.9E-2</v>
      </c>
    </row>
    <row r="3454" spans="1:13" x14ac:dyDescent="0.2">
      <c r="A3454" t="s">
        <v>4605</v>
      </c>
      <c r="B3454" t="s">
        <v>13</v>
      </c>
      <c r="C3454" t="s">
        <v>1</v>
      </c>
      <c r="D3454" t="s">
        <v>3802</v>
      </c>
      <c r="E3454" t="s">
        <v>3803</v>
      </c>
      <c r="F3454" t="s">
        <v>52</v>
      </c>
      <c r="G3454">
        <v>180</v>
      </c>
      <c r="H3454">
        <v>10</v>
      </c>
      <c r="I3454">
        <v>12</v>
      </c>
      <c r="J3454">
        <v>202</v>
      </c>
      <c r="K3454" s="482">
        <v>0.89100000000000001</v>
      </c>
      <c r="L3454" s="482">
        <v>0.05</v>
      </c>
      <c r="M3454" s="482">
        <v>5.8999999999999997E-2</v>
      </c>
    </row>
    <row r="3455" spans="1:13" x14ac:dyDescent="0.2">
      <c r="A3455" t="s">
        <v>4606</v>
      </c>
      <c r="B3455" t="s">
        <v>13</v>
      </c>
      <c r="C3455" t="s">
        <v>1</v>
      </c>
      <c r="D3455" t="s">
        <v>3799</v>
      </c>
      <c r="E3455" t="s">
        <v>3800</v>
      </c>
      <c r="F3455" t="s">
        <v>52</v>
      </c>
      <c r="G3455">
        <v>114</v>
      </c>
      <c r="H3455">
        <v>8</v>
      </c>
      <c r="I3455">
        <v>8</v>
      </c>
      <c r="J3455">
        <v>130</v>
      </c>
      <c r="K3455" s="482">
        <v>0.877</v>
      </c>
      <c r="L3455" s="482">
        <v>6.2E-2</v>
      </c>
      <c r="M3455" s="482">
        <v>6.2E-2</v>
      </c>
    </row>
    <row r="3456" spans="1:13" x14ac:dyDescent="0.2">
      <c r="A3456" t="s">
        <v>4683</v>
      </c>
      <c r="B3456" t="s">
        <v>13</v>
      </c>
      <c r="C3456" t="s">
        <v>1</v>
      </c>
      <c r="D3456" t="s">
        <v>4428</v>
      </c>
      <c r="E3456" t="s">
        <v>4429</v>
      </c>
      <c r="F3456" t="s">
        <v>52</v>
      </c>
      <c r="G3456">
        <v>75</v>
      </c>
      <c r="H3456">
        <v>2</v>
      </c>
      <c r="I3456">
        <v>4</v>
      </c>
      <c r="J3456">
        <v>81</v>
      </c>
      <c r="K3456" s="482">
        <v>0.92600000000000005</v>
      </c>
      <c r="L3456" s="482">
        <v>2.5000000000000001E-2</v>
      </c>
      <c r="M3456" s="482">
        <v>4.9000000000000002E-2</v>
      </c>
    </row>
    <row r="3457" spans="1:13" x14ac:dyDescent="0.2">
      <c r="A3457" t="s">
        <v>4822</v>
      </c>
      <c r="B3457" t="s">
        <v>13</v>
      </c>
      <c r="C3457" t="s">
        <v>1</v>
      </c>
      <c r="D3457" t="s">
        <v>3189</v>
      </c>
      <c r="E3457" t="s">
        <v>3190</v>
      </c>
      <c r="F3457" t="s">
        <v>52</v>
      </c>
      <c r="G3457">
        <v>53</v>
      </c>
      <c r="H3457">
        <v>3</v>
      </c>
      <c r="I3457">
        <v>4</v>
      </c>
      <c r="J3457">
        <v>60</v>
      </c>
      <c r="K3457" s="482">
        <v>0.88300000000000001</v>
      </c>
      <c r="L3457" s="482">
        <v>0.05</v>
      </c>
      <c r="M3457" s="482">
        <v>6.7000000000000004E-2</v>
      </c>
    </row>
    <row r="3458" spans="1:13" x14ac:dyDescent="0.2">
      <c r="A3458" t="s">
        <v>4823</v>
      </c>
      <c r="B3458" t="s">
        <v>13</v>
      </c>
      <c r="C3458" t="s">
        <v>1</v>
      </c>
      <c r="D3458" t="s">
        <v>3186</v>
      </c>
      <c r="E3458" t="s">
        <v>3187</v>
      </c>
      <c r="F3458" t="s">
        <v>52</v>
      </c>
      <c r="G3458" t="s">
        <v>53</v>
      </c>
      <c r="H3458">
        <v>0</v>
      </c>
      <c r="I3458">
        <v>0</v>
      </c>
      <c r="J3458" t="s">
        <v>53</v>
      </c>
      <c r="K3458" t="s">
        <v>53</v>
      </c>
      <c r="L3458" t="s">
        <v>53</v>
      </c>
      <c r="M3458" t="s">
        <v>53</v>
      </c>
    </row>
    <row r="3459" spans="1:13" x14ac:dyDescent="0.2">
      <c r="A3459" t="s">
        <v>4824</v>
      </c>
      <c r="B3459" t="s">
        <v>13</v>
      </c>
      <c r="C3459" t="s">
        <v>1</v>
      </c>
      <c r="D3459" t="s">
        <v>3183</v>
      </c>
      <c r="E3459" t="s">
        <v>3184</v>
      </c>
      <c r="F3459" t="s">
        <v>52</v>
      </c>
      <c r="G3459" t="s">
        <v>53</v>
      </c>
      <c r="H3459">
        <v>0</v>
      </c>
      <c r="I3459">
        <v>0</v>
      </c>
      <c r="J3459" t="s">
        <v>53</v>
      </c>
      <c r="K3459" t="s">
        <v>53</v>
      </c>
      <c r="L3459" t="s">
        <v>53</v>
      </c>
      <c r="M3459" t="s">
        <v>53</v>
      </c>
    </row>
    <row r="3460" spans="1:13" x14ac:dyDescent="0.2">
      <c r="A3460" t="s">
        <v>4825</v>
      </c>
      <c r="B3460" t="s">
        <v>13</v>
      </c>
      <c r="C3460" t="s">
        <v>1</v>
      </c>
      <c r="D3460" t="s">
        <v>3180</v>
      </c>
      <c r="E3460" t="s">
        <v>3181</v>
      </c>
      <c r="F3460" t="s">
        <v>52</v>
      </c>
      <c r="G3460">
        <v>32</v>
      </c>
      <c r="H3460">
        <v>4</v>
      </c>
      <c r="I3460">
        <v>0</v>
      </c>
      <c r="J3460">
        <v>36</v>
      </c>
      <c r="K3460" s="482">
        <v>0.88900000000000001</v>
      </c>
      <c r="L3460" s="482">
        <v>0.111</v>
      </c>
      <c r="M3460" s="482">
        <v>0</v>
      </c>
    </row>
    <row r="3461" spans="1:13" x14ac:dyDescent="0.2">
      <c r="A3461" t="s">
        <v>4826</v>
      </c>
      <c r="B3461" t="s">
        <v>13</v>
      </c>
      <c r="C3461" t="s">
        <v>1</v>
      </c>
      <c r="D3461" t="s">
        <v>3177</v>
      </c>
      <c r="E3461" t="s">
        <v>3178</v>
      </c>
      <c r="F3461" t="s">
        <v>52</v>
      </c>
      <c r="G3461">
        <v>24</v>
      </c>
      <c r="H3461">
        <v>2</v>
      </c>
      <c r="I3461">
        <v>0</v>
      </c>
      <c r="J3461">
        <v>26</v>
      </c>
      <c r="K3461" s="482">
        <v>0.92300000000000004</v>
      </c>
      <c r="L3461" s="482">
        <v>7.6999999999999999E-2</v>
      </c>
      <c r="M3461" s="482">
        <v>0</v>
      </c>
    </row>
    <row r="3462" spans="1:13" x14ac:dyDescent="0.2">
      <c r="A3462" t="s">
        <v>4827</v>
      </c>
      <c r="B3462" t="s">
        <v>13</v>
      </c>
      <c r="C3462" t="s">
        <v>1</v>
      </c>
      <c r="D3462" t="s">
        <v>3174</v>
      </c>
      <c r="E3462" t="s">
        <v>3175</v>
      </c>
      <c r="F3462" t="s">
        <v>52</v>
      </c>
      <c r="G3462">
        <v>32</v>
      </c>
      <c r="H3462">
        <v>0</v>
      </c>
      <c r="I3462">
        <v>2</v>
      </c>
      <c r="J3462">
        <v>34</v>
      </c>
      <c r="K3462" s="482">
        <v>0.94099999999999995</v>
      </c>
      <c r="L3462" s="482">
        <v>0</v>
      </c>
      <c r="M3462" s="482">
        <v>5.8999999999999997E-2</v>
      </c>
    </row>
    <row r="3463" spans="1:13" x14ac:dyDescent="0.2">
      <c r="A3463" t="s">
        <v>4828</v>
      </c>
      <c r="B3463" t="s">
        <v>13</v>
      </c>
      <c r="C3463" t="s">
        <v>1</v>
      </c>
      <c r="D3463" t="s">
        <v>4254</v>
      </c>
      <c r="E3463" t="s">
        <v>4255</v>
      </c>
      <c r="F3463" t="s">
        <v>52</v>
      </c>
      <c r="G3463">
        <v>15</v>
      </c>
      <c r="H3463">
        <v>0</v>
      </c>
      <c r="I3463">
        <v>2</v>
      </c>
      <c r="J3463">
        <v>17</v>
      </c>
      <c r="K3463" s="482">
        <v>0.88200000000000001</v>
      </c>
      <c r="L3463" s="482">
        <v>0</v>
      </c>
      <c r="M3463" s="482">
        <v>0.11799999999999999</v>
      </c>
    </row>
    <row r="3464" spans="1:13" x14ac:dyDescent="0.2">
      <c r="A3464" t="s">
        <v>4829</v>
      </c>
      <c r="B3464" t="s">
        <v>13</v>
      </c>
      <c r="C3464" t="s">
        <v>1</v>
      </c>
      <c r="D3464" t="s">
        <v>4251</v>
      </c>
      <c r="E3464" t="s">
        <v>4252</v>
      </c>
      <c r="F3464" t="s">
        <v>52</v>
      </c>
      <c r="G3464">
        <v>202</v>
      </c>
      <c r="H3464">
        <v>17</v>
      </c>
      <c r="I3464">
        <v>9</v>
      </c>
      <c r="J3464">
        <v>228</v>
      </c>
      <c r="K3464" s="482">
        <v>0.88600000000000001</v>
      </c>
      <c r="L3464" s="482">
        <v>7.4999999999999997E-2</v>
      </c>
      <c r="M3464" s="482">
        <v>3.9E-2</v>
      </c>
    </row>
    <row r="3465" spans="1:13" x14ac:dyDescent="0.2">
      <c r="A3465" t="s">
        <v>4830</v>
      </c>
      <c r="B3465" t="s">
        <v>13</v>
      </c>
      <c r="C3465" t="s">
        <v>1</v>
      </c>
      <c r="D3465" t="s">
        <v>3171</v>
      </c>
      <c r="E3465" t="s">
        <v>3172</v>
      </c>
      <c r="F3465" t="s">
        <v>52</v>
      </c>
      <c r="G3465">
        <v>56</v>
      </c>
      <c r="H3465">
        <v>1</v>
      </c>
      <c r="I3465">
        <v>0</v>
      </c>
      <c r="J3465">
        <v>57</v>
      </c>
      <c r="K3465" s="482">
        <v>0.98199999999999998</v>
      </c>
      <c r="L3465" s="482">
        <v>1.7999999999999999E-2</v>
      </c>
      <c r="M3465" s="482">
        <v>0</v>
      </c>
    </row>
    <row r="3466" spans="1:13" x14ac:dyDescent="0.2">
      <c r="A3466" t="s">
        <v>4843</v>
      </c>
      <c r="B3466" t="s">
        <v>13</v>
      </c>
      <c r="C3466" t="s">
        <v>1</v>
      </c>
      <c r="D3466" t="s">
        <v>3127</v>
      </c>
      <c r="E3466" t="s">
        <v>3128</v>
      </c>
      <c r="F3466" t="s">
        <v>52</v>
      </c>
      <c r="G3466">
        <v>125</v>
      </c>
      <c r="H3466">
        <v>10</v>
      </c>
      <c r="I3466">
        <v>22</v>
      </c>
      <c r="J3466">
        <v>157</v>
      </c>
      <c r="K3466" s="482">
        <v>0.79600000000000004</v>
      </c>
      <c r="L3466" s="482">
        <v>6.4000000000000001E-2</v>
      </c>
      <c r="M3466" s="482">
        <v>0.14000000000000001</v>
      </c>
    </row>
    <row r="3467" spans="1:13" x14ac:dyDescent="0.2">
      <c r="A3467" t="s">
        <v>4844</v>
      </c>
      <c r="B3467" t="s">
        <v>13</v>
      </c>
      <c r="C3467" t="s">
        <v>1</v>
      </c>
      <c r="D3467" t="s">
        <v>3124</v>
      </c>
      <c r="E3467" t="s">
        <v>3125</v>
      </c>
      <c r="F3467" t="s">
        <v>52</v>
      </c>
      <c r="G3467">
        <v>6</v>
      </c>
      <c r="H3467">
        <v>0</v>
      </c>
      <c r="I3467">
        <v>0</v>
      </c>
      <c r="J3467">
        <v>6</v>
      </c>
      <c r="K3467" s="482">
        <v>1</v>
      </c>
      <c r="L3467" s="482">
        <v>0</v>
      </c>
      <c r="M3467" s="482">
        <v>0</v>
      </c>
    </row>
    <row r="3468" spans="1:13" x14ac:dyDescent="0.2">
      <c r="A3468" t="s">
        <v>4820</v>
      </c>
      <c r="B3468" t="s">
        <v>13</v>
      </c>
      <c r="C3468" t="s">
        <v>1</v>
      </c>
      <c r="D3468" t="s">
        <v>3195</v>
      </c>
      <c r="E3468" t="s">
        <v>3196</v>
      </c>
      <c r="F3468" t="s">
        <v>52</v>
      </c>
      <c r="G3468">
        <v>153</v>
      </c>
      <c r="H3468">
        <v>6</v>
      </c>
      <c r="I3468">
        <v>3</v>
      </c>
      <c r="J3468">
        <v>162</v>
      </c>
      <c r="K3468" s="482">
        <v>0.94399999999999995</v>
      </c>
      <c r="L3468" s="482">
        <v>3.6999999999999998E-2</v>
      </c>
      <c r="M3468" s="482">
        <v>1.9E-2</v>
      </c>
    </row>
    <row r="3469" spans="1:13" x14ac:dyDescent="0.2">
      <c r="A3469" t="s">
        <v>4821</v>
      </c>
      <c r="B3469" t="s">
        <v>13</v>
      </c>
      <c r="C3469" t="s">
        <v>1</v>
      </c>
      <c r="D3469" t="s">
        <v>3192</v>
      </c>
      <c r="E3469" t="s">
        <v>3193</v>
      </c>
      <c r="F3469" t="s">
        <v>52</v>
      </c>
      <c r="G3469">
        <v>92</v>
      </c>
      <c r="H3469">
        <v>5</v>
      </c>
      <c r="I3469">
        <v>5</v>
      </c>
      <c r="J3469">
        <v>102</v>
      </c>
      <c r="K3469" s="482">
        <v>0.90200000000000002</v>
      </c>
      <c r="L3469" s="482">
        <v>4.9000000000000002E-2</v>
      </c>
      <c r="M3469" s="482">
        <v>4.9000000000000002E-2</v>
      </c>
    </row>
    <row r="3470" spans="1:13" x14ac:dyDescent="0.2">
      <c r="A3470" t="s">
        <v>4839</v>
      </c>
      <c r="B3470" t="s">
        <v>13</v>
      </c>
      <c r="C3470" t="s">
        <v>1</v>
      </c>
      <c r="D3470" t="s">
        <v>3145</v>
      </c>
      <c r="E3470" t="s">
        <v>3146</v>
      </c>
      <c r="F3470" t="s">
        <v>52</v>
      </c>
      <c r="G3470">
        <v>81</v>
      </c>
      <c r="H3470">
        <v>9</v>
      </c>
      <c r="I3470">
        <v>4</v>
      </c>
      <c r="J3470">
        <v>94</v>
      </c>
      <c r="K3470" s="482">
        <v>0.86199999999999999</v>
      </c>
      <c r="L3470" s="482">
        <v>9.6000000000000002E-2</v>
      </c>
      <c r="M3470" s="482">
        <v>4.2999999999999997E-2</v>
      </c>
    </row>
    <row r="3471" spans="1:13" x14ac:dyDescent="0.2">
      <c r="A3471" t="s">
        <v>4840</v>
      </c>
      <c r="B3471" t="s">
        <v>13</v>
      </c>
      <c r="C3471" t="s">
        <v>1</v>
      </c>
      <c r="D3471" t="s">
        <v>3142</v>
      </c>
      <c r="E3471" t="s">
        <v>3143</v>
      </c>
      <c r="F3471" t="s">
        <v>52</v>
      </c>
      <c r="G3471">
        <v>190</v>
      </c>
      <c r="H3471">
        <v>10</v>
      </c>
      <c r="I3471">
        <v>4</v>
      </c>
      <c r="J3471">
        <v>204</v>
      </c>
      <c r="K3471" s="482">
        <v>0.93100000000000005</v>
      </c>
      <c r="L3471" s="482">
        <v>4.9000000000000002E-2</v>
      </c>
      <c r="M3471" s="482">
        <v>0.02</v>
      </c>
    </row>
    <row r="3472" spans="1:13" x14ac:dyDescent="0.2">
      <c r="A3472" t="s">
        <v>4842</v>
      </c>
      <c r="B3472" t="s">
        <v>13</v>
      </c>
      <c r="C3472" t="s">
        <v>1</v>
      </c>
      <c r="D3472" t="s">
        <v>3130</v>
      </c>
      <c r="E3472" t="s">
        <v>3131</v>
      </c>
      <c r="F3472" t="s">
        <v>52</v>
      </c>
      <c r="G3472">
        <v>39</v>
      </c>
      <c r="H3472">
        <v>2</v>
      </c>
      <c r="I3472">
        <v>1</v>
      </c>
      <c r="J3472">
        <v>42</v>
      </c>
      <c r="K3472" s="482">
        <v>0.92900000000000005</v>
      </c>
      <c r="L3472" s="482">
        <v>4.8000000000000001E-2</v>
      </c>
      <c r="M3472" s="482">
        <v>2.4E-2</v>
      </c>
    </row>
    <row r="3473" spans="1:13" x14ac:dyDescent="0.2">
      <c r="A3473" t="s">
        <v>4841</v>
      </c>
      <c r="B3473" t="s">
        <v>13</v>
      </c>
      <c r="C3473" t="s">
        <v>1</v>
      </c>
      <c r="D3473" t="s">
        <v>3133</v>
      </c>
      <c r="E3473" t="s">
        <v>3134</v>
      </c>
      <c r="F3473" t="s">
        <v>52</v>
      </c>
      <c r="G3473" t="s">
        <v>53</v>
      </c>
      <c r="H3473">
        <v>0</v>
      </c>
      <c r="I3473">
        <v>0</v>
      </c>
      <c r="J3473" t="s">
        <v>53</v>
      </c>
      <c r="K3473" t="s">
        <v>53</v>
      </c>
      <c r="L3473" t="s">
        <v>53</v>
      </c>
      <c r="M3473" t="s">
        <v>53</v>
      </c>
    </row>
    <row r="3474" spans="1:13" x14ac:dyDescent="0.2">
      <c r="A3474" t="s">
        <v>4831</v>
      </c>
      <c r="B3474" t="s">
        <v>13</v>
      </c>
      <c r="C3474" t="s">
        <v>1</v>
      </c>
      <c r="D3474" t="s">
        <v>3169</v>
      </c>
      <c r="E3474" t="s">
        <v>340</v>
      </c>
      <c r="F3474" t="s">
        <v>52</v>
      </c>
      <c r="G3474">
        <v>91</v>
      </c>
      <c r="H3474">
        <v>3</v>
      </c>
      <c r="I3474">
        <v>3</v>
      </c>
      <c r="J3474">
        <v>97</v>
      </c>
      <c r="K3474" s="482">
        <v>0.93799999999999994</v>
      </c>
      <c r="L3474" s="482">
        <v>3.1E-2</v>
      </c>
      <c r="M3474" s="482">
        <v>3.1E-2</v>
      </c>
    </row>
    <row r="3475" spans="1:13" x14ac:dyDescent="0.2">
      <c r="A3475" t="s">
        <v>4832</v>
      </c>
      <c r="B3475" t="s">
        <v>13</v>
      </c>
      <c r="C3475" t="s">
        <v>1</v>
      </c>
      <c r="D3475" t="s">
        <v>3166</v>
      </c>
      <c r="E3475" t="s">
        <v>3167</v>
      </c>
      <c r="F3475" t="s">
        <v>52</v>
      </c>
      <c r="G3475">
        <v>110</v>
      </c>
      <c r="H3475">
        <v>10</v>
      </c>
      <c r="I3475">
        <v>12</v>
      </c>
      <c r="J3475">
        <v>132</v>
      </c>
      <c r="K3475" s="482">
        <v>0.83299999999999996</v>
      </c>
      <c r="L3475" s="482">
        <v>7.5999999999999998E-2</v>
      </c>
      <c r="M3475" s="482">
        <v>9.0999999999999998E-2</v>
      </c>
    </row>
    <row r="3476" spans="1:13" x14ac:dyDescent="0.2">
      <c r="A3476" t="s">
        <v>4833</v>
      </c>
      <c r="B3476" t="s">
        <v>13</v>
      </c>
      <c r="C3476" t="s">
        <v>1</v>
      </c>
      <c r="D3476" t="s">
        <v>3163</v>
      </c>
      <c r="E3476" t="s">
        <v>3164</v>
      </c>
      <c r="F3476" t="s">
        <v>52</v>
      </c>
      <c r="G3476">
        <v>55</v>
      </c>
      <c r="H3476">
        <v>2</v>
      </c>
      <c r="I3476">
        <v>5</v>
      </c>
      <c r="J3476">
        <v>62</v>
      </c>
      <c r="K3476" s="482">
        <v>0.88700000000000001</v>
      </c>
      <c r="L3476" s="482">
        <v>3.2000000000000001E-2</v>
      </c>
      <c r="M3476" s="482">
        <v>8.1000000000000003E-2</v>
      </c>
    </row>
    <row r="3477" spans="1:13" x14ac:dyDescent="0.2">
      <c r="A3477" t="s">
        <v>4834</v>
      </c>
      <c r="B3477" t="s">
        <v>13</v>
      </c>
      <c r="C3477" t="s">
        <v>1</v>
      </c>
      <c r="D3477" t="s">
        <v>3160</v>
      </c>
      <c r="E3477" t="s">
        <v>3161</v>
      </c>
      <c r="F3477" t="s">
        <v>52</v>
      </c>
      <c r="G3477">
        <v>56</v>
      </c>
      <c r="H3477">
        <v>3</v>
      </c>
      <c r="I3477">
        <v>1</v>
      </c>
      <c r="J3477">
        <v>60</v>
      </c>
      <c r="K3477" s="482">
        <v>0.93300000000000005</v>
      </c>
      <c r="L3477" s="482">
        <v>0.05</v>
      </c>
      <c r="M3477" s="482">
        <v>1.7000000000000001E-2</v>
      </c>
    </row>
    <row r="3478" spans="1:13" x14ac:dyDescent="0.2">
      <c r="A3478" t="s">
        <v>4835</v>
      </c>
      <c r="B3478" t="s">
        <v>13</v>
      </c>
      <c r="C3478" t="s">
        <v>1</v>
      </c>
      <c r="D3478" t="s">
        <v>3157</v>
      </c>
      <c r="E3478" t="s">
        <v>3158</v>
      </c>
      <c r="F3478" t="s">
        <v>52</v>
      </c>
      <c r="G3478">
        <v>53</v>
      </c>
      <c r="H3478">
        <v>4</v>
      </c>
      <c r="I3478">
        <v>2</v>
      </c>
      <c r="J3478">
        <v>59</v>
      </c>
      <c r="K3478" s="482">
        <v>0.89800000000000002</v>
      </c>
      <c r="L3478" s="482">
        <v>6.8000000000000005E-2</v>
      </c>
      <c r="M3478" s="482">
        <v>3.4000000000000002E-2</v>
      </c>
    </row>
    <row r="3479" spans="1:13" x14ac:dyDescent="0.2">
      <c r="A3479" t="s">
        <v>4836</v>
      </c>
      <c r="B3479" t="s">
        <v>13</v>
      </c>
      <c r="C3479" t="s">
        <v>1</v>
      </c>
      <c r="D3479" t="s">
        <v>3154</v>
      </c>
      <c r="E3479" t="s">
        <v>3155</v>
      </c>
      <c r="F3479" t="s">
        <v>52</v>
      </c>
      <c r="G3479">
        <v>15</v>
      </c>
      <c r="H3479">
        <v>1</v>
      </c>
      <c r="I3479">
        <v>1</v>
      </c>
      <c r="J3479">
        <v>17</v>
      </c>
      <c r="K3479" s="482">
        <v>0.88200000000000001</v>
      </c>
      <c r="L3479" s="482">
        <v>5.8999999999999997E-2</v>
      </c>
      <c r="M3479" s="482">
        <v>5.8999999999999997E-2</v>
      </c>
    </row>
    <row r="3480" spans="1:13" x14ac:dyDescent="0.2">
      <c r="A3480" t="s">
        <v>4816</v>
      </c>
      <c r="B3480" t="s">
        <v>13</v>
      </c>
      <c r="C3480" t="s">
        <v>1</v>
      </c>
      <c r="D3480" t="s">
        <v>3927</v>
      </c>
      <c r="E3480" t="s">
        <v>3928</v>
      </c>
      <c r="F3480" t="s">
        <v>52</v>
      </c>
      <c r="G3480">
        <v>63</v>
      </c>
      <c r="H3480">
        <v>4</v>
      </c>
      <c r="I3480">
        <v>3</v>
      </c>
      <c r="J3480">
        <v>70</v>
      </c>
      <c r="K3480" s="482">
        <v>0.9</v>
      </c>
      <c r="L3480" s="482">
        <v>5.7000000000000002E-2</v>
      </c>
      <c r="M3480" s="482">
        <v>4.2999999999999997E-2</v>
      </c>
    </row>
    <row r="3481" spans="1:13" x14ac:dyDescent="0.2">
      <c r="A3481" t="s">
        <v>4566</v>
      </c>
      <c r="B3481" t="s">
        <v>13</v>
      </c>
      <c r="C3481" t="s">
        <v>1</v>
      </c>
      <c r="D3481" t="s">
        <v>3921</v>
      </c>
      <c r="E3481" t="s">
        <v>3922</v>
      </c>
      <c r="F3481" t="s">
        <v>52</v>
      </c>
      <c r="G3481">
        <v>88</v>
      </c>
      <c r="H3481">
        <v>4</v>
      </c>
      <c r="I3481">
        <v>3</v>
      </c>
      <c r="J3481">
        <v>95</v>
      </c>
      <c r="K3481" s="482">
        <v>0.92600000000000005</v>
      </c>
      <c r="L3481" s="482">
        <v>4.2000000000000003E-2</v>
      </c>
      <c r="M3481" s="482">
        <v>3.2000000000000001E-2</v>
      </c>
    </row>
    <row r="3482" spans="1:13" x14ac:dyDescent="0.2">
      <c r="A3482" t="s">
        <v>4670</v>
      </c>
      <c r="B3482" t="s">
        <v>13</v>
      </c>
      <c r="C3482" t="s">
        <v>1</v>
      </c>
      <c r="D3482" t="s">
        <v>3600</v>
      </c>
      <c r="E3482" t="s">
        <v>3601</v>
      </c>
      <c r="F3482" t="s">
        <v>52</v>
      </c>
      <c r="G3482">
        <v>80</v>
      </c>
      <c r="H3482">
        <v>0</v>
      </c>
      <c r="I3482">
        <v>3</v>
      </c>
      <c r="J3482">
        <v>83</v>
      </c>
      <c r="K3482" s="482">
        <v>0.96399999999999997</v>
      </c>
      <c r="L3482" s="482">
        <v>0</v>
      </c>
      <c r="M3482" s="482">
        <v>3.5999999999999997E-2</v>
      </c>
    </row>
    <row r="3483" spans="1:13" x14ac:dyDescent="0.2">
      <c r="A3483" t="s">
        <v>4671</v>
      </c>
      <c r="B3483" t="s">
        <v>13</v>
      </c>
      <c r="C3483" t="s">
        <v>1</v>
      </c>
      <c r="D3483" t="s">
        <v>3597</v>
      </c>
      <c r="E3483" t="s">
        <v>3598</v>
      </c>
      <c r="F3483" t="s">
        <v>52</v>
      </c>
      <c r="G3483">
        <v>15</v>
      </c>
      <c r="H3483">
        <v>1</v>
      </c>
      <c r="I3483">
        <v>1</v>
      </c>
      <c r="J3483">
        <v>17</v>
      </c>
      <c r="K3483" s="482">
        <v>0.88200000000000001</v>
      </c>
      <c r="L3483" s="482">
        <v>5.8999999999999997E-2</v>
      </c>
      <c r="M3483" s="482">
        <v>5.8999999999999997E-2</v>
      </c>
    </row>
    <row r="3484" spans="1:13" x14ac:dyDescent="0.2">
      <c r="A3484" t="s">
        <v>4672</v>
      </c>
      <c r="B3484" t="s">
        <v>13</v>
      </c>
      <c r="C3484" t="s">
        <v>1</v>
      </c>
      <c r="D3484" t="s">
        <v>3594</v>
      </c>
      <c r="E3484" t="s">
        <v>3595</v>
      </c>
      <c r="F3484" t="s">
        <v>52</v>
      </c>
      <c r="G3484">
        <v>39</v>
      </c>
      <c r="H3484">
        <v>1</v>
      </c>
      <c r="I3484">
        <v>1</v>
      </c>
      <c r="J3484">
        <v>41</v>
      </c>
      <c r="K3484" s="482">
        <v>0.95099999999999996</v>
      </c>
      <c r="L3484" s="482">
        <v>2.4E-2</v>
      </c>
      <c r="M3484" s="482">
        <v>2.4E-2</v>
      </c>
    </row>
    <row r="3485" spans="1:13" x14ac:dyDescent="0.2">
      <c r="A3485" t="s">
        <v>4673</v>
      </c>
      <c r="B3485" t="s">
        <v>13</v>
      </c>
      <c r="C3485" t="s">
        <v>1</v>
      </c>
      <c r="D3485" t="s">
        <v>3591</v>
      </c>
      <c r="E3485" t="s">
        <v>3592</v>
      </c>
      <c r="F3485" t="s">
        <v>52</v>
      </c>
      <c r="G3485">
        <v>12</v>
      </c>
      <c r="H3485">
        <v>1</v>
      </c>
      <c r="I3485">
        <v>1</v>
      </c>
      <c r="J3485">
        <v>14</v>
      </c>
      <c r="K3485" s="482">
        <v>0.85699999999999998</v>
      </c>
      <c r="L3485" s="482">
        <v>7.0999999999999994E-2</v>
      </c>
      <c r="M3485" s="482">
        <v>7.0999999999999994E-2</v>
      </c>
    </row>
    <row r="3486" spans="1:13" x14ac:dyDescent="0.2">
      <c r="A3486" t="s">
        <v>4818</v>
      </c>
      <c r="B3486" t="s">
        <v>13</v>
      </c>
      <c r="C3486" t="s">
        <v>1</v>
      </c>
      <c r="D3486" t="s">
        <v>3201</v>
      </c>
      <c r="E3486" t="s">
        <v>3202</v>
      </c>
      <c r="F3486" t="s">
        <v>52</v>
      </c>
      <c r="G3486">
        <v>77</v>
      </c>
      <c r="H3486">
        <v>6</v>
      </c>
      <c r="I3486">
        <v>1</v>
      </c>
      <c r="J3486">
        <v>84</v>
      </c>
      <c r="K3486" s="482">
        <v>0.91700000000000004</v>
      </c>
      <c r="L3486" s="482">
        <v>7.0999999999999994E-2</v>
      </c>
      <c r="M3486" s="482">
        <v>1.2E-2</v>
      </c>
    </row>
    <row r="3487" spans="1:13" x14ac:dyDescent="0.2">
      <c r="A3487" t="s">
        <v>4669</v>
      </c>
      <c r="B3487" t="s">
        <v>13</v>
      </c>
      <c r="C3487" t="s">
        <v>1</v>
      </c>
      <c r="D3487" t="s">
        <v>3603</v>
      </c>
      <c r="E3487" t="s">
        <v>3604</v>
      </c>
      <c r="F3487" t="s">
        <v>52</v>
      </c>
      <c r="G3487">
        <v>6</v>
      </c>
      <c r="H3487">
        <v>0</v>
      </c>
      <c r="I3487">
        <v>1</v>
      </c>
      <c r="J3487">
        <v>7</v>
      </c>
      <c r="K3487" s="482">
        <v>0.85699999999999998</v>
      </c>
      <c r="L3487" s="482">
        <v>0</v>
      </c>
      <c r="M3487" s="482">
        <v>0.14299999999999999</v>
      </c>
    </row>
    <row r="3488" spans="1:13" x14ac:dyDescent="0.2">
      <c r="A3488" t="s">
        <v>4668</v>
      </c>
      <c r="B3488" t="s">
        <v>13</v>
      </c>
      <c r="C3488" t="s">
        <v>1</v>
      </c>
      <c r="D3488" t="s">
        <v>3606</v>
      </c>
      <c r="E3488" t="s">
        <v>3607</v>
      </c>
      <c r="F3488" t="s">
        <v>52</v>
      </c>
      <c r="G3488">
        <v>8</v>
      </c>
      <c r="H3488">
        <v>0</v>
      </c>
      <c r="I3488">
        <v>1</v>
      </c>
      <c r="J3488">
        <v>9</v>
      </c>
      <c r="K3488" s="482">
        <v>0.88900000000000001</v>
      </c>
      <c r="L3488" s="482">
        <v>0</v>
      </c>
      <c r="M3488" s="482">
        <v>0.111</v>
      </c>
    </row>
    <row r="3489" spans="1:13" x14ac:dyDescent="0.2">
      <c r="A3489" t="s">
        <v>5045</v>
      </c>
      <c r="B3489" t="s">
        <v>13</v>
      </c>
      <c r="C3489" t="s">
        <v>1</v>
      </c>
      <c r="D3489" t="s">
        <v>3606</v>
      </c>
      <c r="E3489" t="s">
        <v>3607</v>
      </c>
      <c r="F3489" t="s">
        <v>14</v>
      </c>
      <c r="G3489">
        <v>11</v>
      </c>
      <c r="H3489">
        <v>0</v>
      </c>
      <c r="I3489">
        <v>0</v>
      </c>
      <c r="J3489">
        <v>11</v>
      </c>
      <c r="K3489" s="482">
        <v>1</v>
      </c>
      <c r="L3489" s="482">
        <v>0</v>
      </c>
      <c r="M3489" s="482">
        <v>0</v>
      </c>
    </row>
    <row r="3490" spans="1:13" x14ac:dyDescent="0.2">
      <c r="A3490" t="s">
        <v>5044</v>
      </c>
      <c r="B3490" t="s">
        <v>13</v>
      </c>
      <c r="C3490" t="s">
        <v>1</v>
      </c>
      <c r="D3490" t="s">
        <v>3603</v>
      </c>
      <c r="E3490" t="s">
        <v>3604</v>
      </c>
      <c r="F3490" t="s">
        <v>14</v>
      </c>
      <c r="G3490">
        <v>8</v>
      </c>
      <c r="H3490">
        <v>0</v>
      </c>
      <c r="I3490">
        <v>0</v>
      </c>
      <c r="J3490">
        <v>8</v>
      </c>
      <c r="K3490" s="482">
        <v>1</v>
      </c>
      <c r="L3490" s="482">
        <v>0</v>
      </c>
      <c r="M3490" s="482">
        <v>0</v>
      </c>
    </row>
    <row r="3491" spans="1:13" x14ac:dyDescent="0.2">
      <c r="A3491" t="s">
        <v>5150</v>
      </c>
      <c r="B3491" t="s">
        <v>13</v>
      </c>
      <c r="C3491" t="s">
        <v>1</v>
      </c>
      <c r="D3491" t="s">
        <v>3201</v>
      </c>
      <c r="E3491" t="s">
        <v>3202</v>
      </c>
      <c r="F3491" t="s">
        <v>14</v>
      </c>
      <c r="G3491">
        <v>88</v>
      </c>
      <c r="H3491">
        <v>0</v>
      </c>
      <c r="I3491">
        <v>1</v>
      </c>
      <c r="J3491">
        <v>89</v>
      </c>
      <c r="K3491" s="482">
        <v>0.98899999999999999</v>
      </c>
      <c r="L3491" s="482">
        <v>0</v>
      </c>
      <c r="M3491" s="482">
        <v>1.0999999999999999E-2</v>
      </c>
    </row>
    <row r="3492" spans="1:13" x14ac:dyDescent="0.2">
      <c r="A3492" t="s">
        <v>5040</v>
      </c>
      <c r="B3492" t="s">
        <v>13</v>
      </c>
      <c r="C3492" t="s">
        <v>1</v>
      </c>
      <c r="D3492" t="s">
        <v>3591</v>
      </c>
      <c r="E3492" t="s">
        <v>3592</v>
      </c>
      <c r="F3492" t="s">
        <v>14</v>
      </c>
      <c r="G3492">
        <v>16</v>
      </c>
      <c r="H3492">
        <v>0</v>
      </c>
      <c r="I3492">
        <v>0</v>
      </c>
      <c r="J3492">
        <v>16</v>
      </c>
      <c r="K3492" s="482">
        <v>1</v>
      </c>
      <c r="L3492" s="482">
        <v>0</v>
      </c>
      <c r="M3492" s="482">
        <v>0</v>
      </c>
    </row>
    <row r="3493" spans="1:13" x14ac:dyDescent="0.2">
      <c r="A3493" t="s">
        <v>5041</v>
      </c>
      <c r="B3493" t="s">
        <v>13</v>
      </c>
      <c r="C3493" t="s">
        <v>1</v>
      </c>
      <c r="D3493" t="s">
        <v>3594</v>
      </c>
      <c r="E3493" t="s">
        <v>3595</v>
      </c>
      <c r="F3493" t="s">
        <v>14</v>
      </c>
      <c r="G3493">
        <v>44</v>
      </c>
      <c r="H3493">
        <v>0</v>
      </c>
      <c r="I3493">
        <v>1</v>
      </c>
      <c r="J3493">
        <v>45</v>
      </c>
      <c r="K3493" s="482">
        <v>0.97799999999999998</v>
      </c>
      <c r="L3493" s="482">
        <v>0</v>
      </c>
      <c r="M3493" s="482">
        <v>2.1999999999999999E-2</v>
      </c>
    </row>
    <row r="3494" spans="1:13" x14ac:dyDescent="0.2">
      <c r="A3494" t="s">
        <v>5042</v>
      </c>
      <c r="B3494" t="s">
        <v>13</v>
      </c>
      <c r="C3494" t="s">
        <v>1</v>
      </c>
      <c r="D3494" t="s">
        <v>3597</v>
      </c>
      <c r="E3494" t="s">
        <v>3598</v>
      </c>
      <c r="F3494" t="s">
        <v>14</v>
      </c>
      <c r="G3494">
        <v>16</v>
      </c>
      <c r="H3494">
        <v>0</v>
      </c>
      <c r="I3494">
        <v>0</v>
      </c>
      <c r="J3494">
        <v>16</v>
      </c>
      <c r="K3494" s="482">
        <v>1</v>
      </c>
      <c r="L3494" s="482">
        <v>0</v>
      </c>
      <c r="M3494" s="482">
        <v>0</v>
      </c>
    </row>
    <row r="3495" spans="1:13" x14ac:dyDescent="0.2">
      <c r="A3495" t="s">
        <v>5043</v>
      </c>
      <c r="B3495" t="s">
        <v>13</v>
      </c>
      <c r="C3495" t="s">
        <v>1</v>
      </c>
      <c r="D3495" t="s">
        <v>3600</v>
      </c>
      <c r="E3495" t="s">
        <v>3601</v>
      </c>
      <c r="F3495" t="s">
        <v>14</v>
      </c>
      <c r="G3495">
        <v>89</v>
      </c>
      <c r="H3495">
        <v>1</v>
      </c>
      <c r="I3495">
        <v>3</v>
      </c>
      <c r="J3495">
        <v>93</v>
      </c>
      <c r="K3495" s="482">
        <v>0.95699999999999996</v>
      </c>
      <c r="L3495" s="482">
        <v>1.0999999999999999E-2</v>
      </c>
      <c r="M3495" s="482">
        <v>3.2000000000000001E-2</v>
      </c>
    </row>
    <row r="3496" spans="1:13" x14ac:dyDescent="0.2">
      <c r="A3496" t="s">
        <v>5148</v>
      </c>
      <c r="B3496" t="s">
        <v>13</v>
      </c>
      <c r="C3496" t="s">
        <v>1</v>
      </c>
      <c r="D3496" t="s">
        <v>3921</v>
      </c>
      <c r="E3496" t="s">
        <v>3922</v>
      </c>
      <c r="F3496" t="s">
        <v>14</v>
      </c>
      <c r="G3496">
        <v>98</v>
      </c>
      <c r="H3496">
        <v>0</v>
      </c>
      <c r="I3496">
        <v>3</v>
      </c>
      <c r="J3496">
        <v>101</v>
      </c>
      <c r="K3496" s="482">
        <v>0.97</v>
      </c>
      <c r="L3496" s="482">
        <v>0</v>
      </c>
      <c r="M3496" s="482">
        <v>0.03</v>
      </c>
    </row>
    <row r="3497" spans="1:13" x14ac:dyDescent="0.2">
      <c r="A3497" t="s">
        <v>4900</v>
      </c>
      <c r="B3497" t="s">
        <v>13</v>
      </c>
      <c r="C3497" t="s">
        <v>1</v>
      </c>
      <c r="D3497" t="s">
        <v>3927</v>
      </c>
      <c r="E3497" t="s">
        <v>3928</v>
      </c>
      <c r="F3497" t="s">
        <v>14</v>
      </c>
      <c r="G3497">
        <v>70</v>
      </c>
      <c r="H3497">
        <v>2</v>
      </c>
      <c r="I3497">
        <v>1</v>
      </c>
      <c r="J3497">
        <v>73</v>
      </c>
      <c r="K3497" s="482">
        <v>0.95899999999999996</v>
      </c>
      <c r="L3497" s="482">
        <v>2.7E-2</v>
      </c>
      <c r="M3497" s="482">
        <v>1.4E-2</v>
      </c>
    </row>
    <row r="3498" spans="1:13" x14ac:dyDescent="0.2">
      <c r="A3498" t="s">
        <v>4881</v>
      </c>
      <c r="B3498" t="s">
        <v>13</v>
      </c>
      <c r="C3498" t="s">
        <v>1</v>
      </c>
      <c r="D3498" t="s">
        <v>3154</v>
      </c>
      <c r="E3498" t="s">
        <v>3155</v>
      </c>
      <c r="F3498" t="s">
        <v>14</v>
      </c>
      <c r="G3498">
        <v>20</v>
      </c>
      <c r="H3498">
        <v>0</v>
      </c>
      <c r="I3498">
        <v>0</v>
      </c>
      <c r="J3498">
        <v>20</v>
      </c>
      <c r="K3498" s="482">
        <v>1</v>
      </c>
      <c r="L3498" s="482">
        <v>0</v>
      </c>
      <c r="M3498" s="482">
        <v>0</v>
      </c>
    </row>
    <row r="3499" spans="1:13" x14ac:dyDescent="0.2">
      <c r="A3499" t="s">
        <v>4882</v>
      </c>
      <c r="B3499" t="s">
        <v>13</v>
      </c>
      <c r="C3499" t="s">
        <v>1</v>
      </c>
      <c r="D3499" t="s">
        <v>3157</v>
      </c>
      <c r="E3499" t="s">
        <v>3158</v>
      </c>
      <c r="F3499" t="s">
        <v>14</v>
      </c>
      <c r="G3499">
        <v>57</v>
      </c>
      <c r="H3499">
        <v>2</v>
      </c>
      <c r="I3499">
        <v>2</v>
      </c>
      <c r="J3499">
        <v>61</v>
      </c>
      <c r="K3499" s="482">
        <v>0.93400000000000005</v>
      </c>
      <c r="L3499" s="482">
        <v>3.3000000000000002E-2</v>
      </c>
      <c r="M3499" s="482">
        <v>3.3000000000000002E-2</v>
      </c>
    </row>
    <row r="3500" spans="1:13" x14ac:dyDescent="0.2">
      <c r="A3500" t="s">
        <v>4883</v>
      </c>
      <c r="B3500" t="s">
        <v>13</v>
      </c>
      <c r="C3500" t="s">
        <v>1</v>
      </c>
      <c r="D3500" t="s">
        <v>3160</v>
      </c>
      <c r="E3500" t="s">
        <v>3161</v>
      </c>
      <c r="F3500" t="s">
        <v>14</v>
      </c>
      <c r="G3500">
        <v>62</v>
      </c>
      <c r="H3500">
        <v>0</v>
      </c>
      <c r="I3500">
        <v>1</v>
      </c>
      <c r="J3500">
        <v>63</v>
      </c>
      <c r="K3500" s="482">
        <v>0.98399999999999999</v>
      </c>
      <c r="L3500" s="482">
        <v>0</v>
      </c>
      <c r="M3500" s="482">
        <v>1.6E-2</v>
      </c>
    </row>
    <row r="3501" spans="1:13" x14ac:dyDescent="0.2">
      <c r="A3501" t="s">
        <v>4884</v>
      </c>
      <c r="B3501" t="s">
        <v>13</v>
      </c>
      <c r="C3501" t="s">
        <v>1</v>
      </c>
      <c r="D3501" t="s">
        <v>3163</v>
      </c>
      <c r="E3501" t="s">
        <v>3164</v>
      </c>
      <c r="F3501" t="s">
        <v>14</v>
      </c>
      <c r="G3501">
        <v>59</v>
      </c>
      <c r="H3501">
        <v>1</v>
      </c>
      <c r="I3501">
        <v>4</v>
      </c>
      <c r="J3501">
        <v>64</v>
      </c>
      <c r="K3501" s="482">
        <v>0.92200000000000004</v>
      </c>
      <c r="L3501" s="482">
        <v>1.6E-2</v>
      </c>
      <c r="M3501" s="482">
        <v>6.3E-2</v>
      </c>
    </row>
    <row r="3502" spans="1:13" x14ac:dyDescent="0.2">
      <c r="A3502" t="s">
        <v>4885</v>
      </c>
      <c r="B3502" t="s">
        <v>13</v>
      </c>
      <c r="C3502" t="s">
        <v>1</v>
      </c>
      <c r="D3502" t="s">
        <v>3166</v>
      </c>
      <c r="E3502" t="s">
        <v>3167</v>
      </c>
      <c r="F3502" t="s">
        <v>14</v>
      </c>
      <c r="G3502">
        <v>137</v>
      </c>
      <c r="H3502">
        <v>1</v>
      </c>
      <c r="I3502">
        <v>6</v>
      </c>
      <c r="J3502">
        <v>144</v>
      </c>
      <c r="K3502" s="482">
        <v>0.95099999999999996</v>
      </c>
      <c r="L3502" s="482">
        <v>7.0000000000000001E-3</v>
      </c>
      <c r="M3502" s="482">
        <v>4.2000000000000003E-2</v>
      </c>
    </row>
    <row r="3503" spans="1:13" x14ac:dyDescent="0.2">
      <c r="A3503" t="s">
        <v>4886</v>
      </c>
      <c r="B3503" t="s">
        <v>13</v>
      </c>
      <c r="C3503" t="s">
        <v>1</v>
      </c>
      <c r="D3503" t="s">
        <v>3169</v>
      </c>
      <c r="E3503" t="s">
        <v>340</v>
      </c>
      <c r="F3503" t="s">
        <v>14</v>
      </c>
      <c r="G3503">
        <v>100</v>
      </c>
      <c r="H3503">
        <v>0</v>
      </c>
      <c r="I3503">
        <v>1</v>
      </c>
      <c r="J3503">
        <v>101</v>
      </c>
      <c r="K3503" s="482">
        <v>0.99</v>
      </c>
      <c r="L3503" s="482">
        <v>0</v>
      </c>
      <c r="M3503" s="482">
        <v>0.01</v>
      </c>
    </row>
    <row r="3504" spans="1:13" x14ac:dyDescent="0.2">
      <c r="A3504" t="s">
        <v>4876</v>
      </c>
      <c r="B3504" t="s">
        <v>13</v>
      </c>
      <c r="C3504" t="s">
        <v>1</v>
      </c>
      <c r="D3504" t="s">
        <v>3133</v>
      </c>
      <c r="E3504" t="s">
        <v>3134</v>
      </c>
      <c r="F3504" t="s">
        <v>14</v>
      </c>
      <c r="G3504" t="s">
        <v>53</v>
      </c>
      <c r="H3504">
        <v>0</v>
      </c>
      <c r="I3504">
        <v>0</v>
      </c>
      <c r="J3504" t="s">
        <v>53</v>
      </c>
      <c r="K3504" t="s">
        <v>53</v>
      </c>
      <c r="L3504" t="s">
        <v>53</v>
      </c>
      <c r="M3504" t="s">
        <v>53</v>
      </c>
    </row>
    <row r="3505" spans="1:13" x14ac:dyDescent="0.2">
      <c r="A3505" t="s">
        <v>4875</v>
      </c>
      <c r="B3505" t="s">
        <v>13</v>
      </c>
      <c r="C3505" t="s">
        <v>1</v>
      </c>
      <c r="D3505" t="s">
        <v>3130</v>
      </c>
      <c r="E3505" t="s">
        <v>3131</v>
      </c>
      <c r="F3505" t="s">
        <v>14</v>
      </c>
      <c r="G3505">
        <v>47</v>
      </c>
      <c r="H3505">
        <v>0</v>
      </c>
      <c r="I3505">
        <v>0</v>
      </c>
      <c r="J3505">
        <v>47</v>
      </c>
      <c r="K3505" s="482">
        <v>1</v>
      </c>
      <c r="L3505" s="482">
        <v>0</v>
      </c>
      <c r="M3505" s="482">
        <v>0</v>
      </c>
    </row>
    <row r="3506" spans="1:13" x14ac:dyDescent="0.2">
      <c r="A3506" t="s">
        <v>4877</v>
      </c>
      <c r="B3506" t="s">
        <v>13</v>
      </c>
      <c r="C3506" t="s">
        <v>1</v>
      </c>
      <c r="D3506" t="s">
        <v>3142</v>
      </c>
      <c r="E3506" t="s">
        <v>3143</v>
      </c>
      <c r="F3506" t="s">
        <v>14</v>
      </c>
      <c r="G3506">
        <v>223</v>
      </c>
      <c r="H3506">
        <v>0</v>
      </c>
      <c r="I3506">
        <v>3</v>
      </c>
      <c r="J3506">
        <v>226</v>
      </c>
      <c r="K3506" s="482">
        <v>0.98699999999999999</v>
      </c>
      <c r="L3506" s="482">
        <v>0</v>
      </c>
      <c r="M3506" s="482">
        <v>1.2999999999999999E-2</v>
      </c>
    </row>
    <row r="3507" spans="1:13" x14ac:dyDescent="0.2">
      <c r="A3507" t="s">
        <v>4878</v>
      </c>
      <c r="B3507" t="s">
        <v>13</v>
      </c>
      <c r="C3507" t="s">
        <v>1</v>
      </c>
      <c r="D3507" t="s">
        <v>3145</v>
      </c>
      <c r="E3507" t="s">
        <v>3146</v>
      </c>
      <c r="F3507" t="s">
        <v>14</v>
      </c>
      <c r="G3507">
        <v>103</v>
      </c>
      <c r="H3507">
        <v>0</v>
      </c>
      <c r="I3507">
        <v>3</v>
      </c>
      <c r="J3507">
        <v>106</v>
      </c>
      <c r="K3507" s="482">
        <v>0.97199999999999998</v>
      </c>
      <c r="L3507" s="482">
        <v>0</v>
      </c>
      <c r="M3507" s="482">
        <v>2.8000000000000001E-2</v>
      </c>
    </row>
    <row r="3508" spans="1:13" x14ac:dyDescent="0.2">
      <c r="A3508" t="s">
        <v>4896</v>
      </c>
      <c r="B3508" t="s">
        <v>13</v>
      </c>
      <c r="C3508" t="s">
        <v>1</v>
      </c>
      <c r="D3508" t="s">
        <v>3192</v>
      </c>
      <c r="E3508" t="s">
        <v>3193</v>
      </c>
      <c r="F3508" t="s">
        <v>14</v>
      </c>
      <c r="G3508">
        <v>109</v>
      </c>
      <c r="H3508">
        <v>2</v>
      </c>
      <c r="I3508">
        <v>1</v>
      </c>
      <c r="J3508">
        <v>112</v>
      </c>
      <c r="K3508" s="482">
        <v>0.97299999999999998</v>
      </c>
      <c r="L3508" s="482">
        <v>1.7999999999999999E-2</v>
      </c>
      <c r="M3508" s="482">
        <v>8.9999999999999993E-3</v>
      </c>
    </row>
    <row r="3509" spans="1:13" x14ac:dyDescent="0.2">
      <c r="A3509" t="s">
        <v>4897</v>
      </c>
      <c r="B3509" t="s">
        <v>13</v>
      </c>
      <c r="C3509" t="s">
        <v>1</v>
      </c>
      <c r="D3509" t="s">
        <v>3195</v>
      </c>
      <c r="E3509" t="s">
        <v>3196</v>
      </c>
      <c r="F3509" t="s">
        <v>14</v>
      </c>
      <c r="G3509">
        <v>170</v>
      </c>
      <c r="H3509">
        <v>2</v>
      </c>
      <c r="I3509">
        <v>0</v>
      </c>
      <c r="J3509">
        <v>172</v>
      </c>
      <c r="K3509" s="482">
        <v>0.98799999999999999</v>
      </c>
      <c r="L3509" s="482">
        <v>1.2E-2</v>
      </c>
      <c r="M3509" s="482">
        <v>0</v>
      </c>
    </row>
    <row r="3510" spans="1:13" x14ac:dyDescent="0.2">
      <c r="A3510" t="s">
        <v>4873</v>
      </c>
      <c r="B3510" t="s">
        <v>13</v>
      </c>
      <c r="C3510" t="s">
        <v>1</v>
      </c>
      <c r="D3510" t="s">
        <v>3124</v>
      </c>
      <c r="E3510" t="s">
        <v>3125</v>
      </c>
      <c r="F3510" t="s">
        <v>14</v>
      </c>
      <c r="G3510">
        <v>7</v>
      </c>
      <c r="H3510">
        <v>0</v>
      </c>
      <c r="I3510">
        <v>0</v>
      </c>
      <c r="J3510">
        <v>7</v>
      </c>
      <c r="K3510" s="482">
        <v>1</v>
      </c>
      <c r="L3510" s="482">
        <v>0</v>
      </c>
      <c r="M3510" s="482">
        <v>0</v>
      </c>
    </row>
    <row r="3511" spans="1:13" x14ac:dyDescent="0.2">
      <c r="A3511" t="s">
        <v>4874</v>
      </c>
      <c r="B3511" t="s">
        <v>13</v>
      </c>
      <c r="C3511" t="s">
        <v>1</v>
      </c>
      <c r="D3511" t="s">
        <v>3127</v>
      </c>
      <c r="E3511" t="s">
        <v>3128</v>
      </c>
      <c r="F3511" t="s">
        <v>14</v>
      </c>
      <c r="G3511">
        <v>159</v>
      </c>
      <c r="H3511">
        <v>1</v>
      </c>
      <c r="I3511">
        <v>7</v>
      </c>
      <c r="J3511">
        <v>167</v>
      </c>
      <c r="K3511" s="482">
        <v>0.95199999999999996</v>
      </c>
      <c r="L3511" s="482">
        <v>6.0000000000000001E-3</v>
      </c>
      <c r="M3511" s="482">
        <v>4.2000000000000003E-2</v>
      </c>
    </row>
    <row r="3512" spans="1:13" x14ac:dyDescent="0.2">
      <c r="A3512" t="s">
        <v>4887</v>
      </c>
      <c r="B3512" t="s">
        <v>13</v>
      </c>
      <c r="C3512" t="s">
        <v>1</v>
      </c>
      <c r="D3512" t="s">
        <v>3171</v>
      </c>
      <c r="E3512" t="s">
        <v>3172</v>
      </c>
      <c r="F3512" t="s">
        <v>14</v>
      </c>
      <c r="G3512">
        <v>64</v>
      </c>
      <c r="H3512">
        <v>0</v>
      </c>
      <c r="I3512">
        <v>2</v>
      </c>
      <c r="J3512">
        <v>66</v>
      </c>
      <c r="K3512" s="482">
        <v>0.97</v>
      </c>
      <c r="L3512" s="482">
        <v>0</v>
      </c>
      <c r="M3512" s="482">
        <v>0.03</v>
      </c>
    </row>
    <row r="3513" spans="1:13" x14ac:dyDescent="0.2">
      <c r="A3513" t="s">
        <v>4888</v>
      </c>
      <c r="B3513" t="s">
        <v>13</v>
      </c>
      <c r="C3513" t="s">
        <v>1</v>
      </c>
      <c r="D3513" t="s">
        <v>4251</v>
      </c>
      <c r="E3513" t="s">
        <v>4252</v>
      </c>
      <c r="F3513" t="s">
        <v>14</v>
      </c>
      <c r="G3513">
        <v>243</v>
      </c>
      <c r="H3513">
        <v>1</v>
      </c>
      <c r="I3513">
        <v>3</v>
      </c>
      <c r="J3513">
        <v>247</v>
      </c>
      <c r="K3513" s="482">
        <v>0.98399999999999999</v>
      </c>
      <c r="L3513" s="482">
        <v>4.0000000000000001E-3</v>
      </c>
      <c r="M3513" s="482">
        <v>1.2E-2</v>
      </c>
    </row>
    <row r="3514" spans="1:13" x14ac:dyDescent="0.2">
      <c r="A3514" t="s">
        <v>4889</v>
      </c>
      <c r="B3514" t="s">
        <v>13</v>
      </c>
      <c r="C3514" t="s">
        <v>1</v>
      </c>
      <c r="D3514" t="s">
        <v>4254</v>
      </c>
      <c r="E3514" t="s">
        <v>4255</v>
      </c>
      <c r="F3514" t="s">
        <v>14</v>
      </c>
      <c r="G3514">
        <v>22</v>
      </c>
      <c r="H3514">
        <v>0</v>
      </c>
      <c r="I3514">
        <v>1</v>
      </c>
      <c r="J3514">
        <v>23</v>
      </c>
      <c r="K3514" s="482">
        <v>0.95699999999999996</v>
      </c>
      <c r="L3514" s="482">
        <v>0</v>
      </c>
      <c r="M3514" s="482">
        <v>4.2999999999999997E-2</v>
      </c>
    </row>
    <row r="3515" spans="1:13" x14ac:dyDescent="0.2">
      <c r="A3515" t="s">
        <v>4890</v>
      </c>
      <c r="B3515" t="s">
        <v>13</v>
      </c>
      <c r="C3515" t="s">
        <v>1</v>
      </c>
      <c r="D3515" t="s">
        <v>3174</v>
      </c>
      <c r="E3515" t="s">
        <v>3175</v>
      </c>
      <c r="F3515" t="s">
        <v>14</v>
      </c>
      <c r="G3515">
        <v>41</v>
      </c>
      <c r="H3515">
        <v>1</v>
      </c>
      <c r="I3515">
        <v>1</v>
      </c>
      <c r="J3515">
        <v>43</v>
      </c>
      <c r="K3515" s="482">
        <v>0.95299999999999996</v>
      </c>
      <c r="L3515" s="482">
        <v>2.3E-2</v>
      </c>
      <c r="M3515" s="482">
        <v>2.3E-2</v>
      </c>
    </row>
    <row r="3516" spans="1:13" x14ac:dyDescent="0.2">
      <c r="A3516" t="s">
        <v>4891</v>
      </c>
      <c r="B3516" t="s">
        <v>13</v>
      </c>
      <c r="C3516" t="s">
        <v>1</v>
      </c>
      <c r="D3516" t="s">
        <v>3177</v>
      </c>
      <c r="E3516" t="s">
        <v>3178</v>
      </c>
      <c r="F3516" t="s">
        <v>14</v>
      </c>
      <c r="G3516">
        <v>26</v>
      </c>
      <c r="H3516">
        <v>0</v>
      </c>
      <c r="I3516">
        <v>0</v>
      </c>
      <c r="J3516">
        <v>26</v>
      </c>
      <c r="K3516" s="482">
        <v>1</v>
      </c>
      <c r="L3516" s="482">
        <v>0</v>
      </c>
      <c r="M3516" s="482">
        <v>0</v>
      </c>
    </row>
    <row r="3517" spans="1:13" x14ac:dyDescent="0.2">
      <c r="A3517" t="s">
        <v>4892</v>
      </c>
      <c r="B3517" t="s">
        <v>13</v>
      </c>
      <c r="C3517" t="s">
        <v>1</v>
      </c>
      <c r="D3517" t="s">
        <v>3180</v>
      </c>
      <c r="E3517" t="s">
        <v>3181</v>
      </c>
      <c r="F3517" t="s">
        <v>14</v>
      </c>
      <c r="G3517">
        <v>39</v>
      </c>
      <c r="H3517">
        <v>0</v>
      </c>
      <c r="I3517">
        <v>0</v>
      </c>
      <c r="J3517">
        <v>39</v>
      </c>
      <c r="K3517" s="482">
        <v>1</v>
      </c>
      <c r="L3517" s="482">
        <v>0</v>
      </c>
      <c r="M3517" s="482">
        <v>0</v>
      </c>
    </row>
    <row r="3518" spans="1:13" x14ac:dyDescent="0.2">
      <c r="A3518" t="s">
        <v>4893</v>
      </c>
      <c r="B3518" t="s">
        <v>13</v>
      </c>
      <c r="C3518" t="s">
        <v>1</v>
      </c>
      <c r="D3518" t="s">
        <v>3183</v>
      </c>
      <c r="E3518" t="s">
        <v>3184</v>
      </c>
      <c r="F3518" t="s">
        <v>14</v>
      </c>
      <c r="G3518">
        <v>7</v>
      </c>
      <c r="H3518">
        <v>0</v>
      </c>
      <c r="I3518">
        <v>0</v>
      </c>
      <c r="J3518">
        <v>7</v>
      </c>
      <c r="K3518" s="482">
        <v>1</v>
      </c>
      <c r="L3518" s="482">
        <v>0</v>
      </c>
      <c r="M3518" s="482">
        <v>0</v>
      </c>
    </row>
    <row r="3519" spans="1:13" x14ac:dyDescent="0.2">
      <c r="A3519" t="s">
        <v>4894</v>
      </c>
      <c r="B3519" t="s">
        <v>13</v>
      </c>
      <c r="C3519" t="s">
        <v>1</v>
      </c>
      <c r="D3519" t="s">
        <v>3186</v>
      </c>
      <c r="E3519" t="s">
        <v>3187</v>
      </c>
      <c r="F3519" t="s">
        <v>14</v>
      </c>
      <c r="G3519" t="s">
        <v>53</v>
      </c>
      <c r="H3519">
        <v>0</v>
      </c>
      <c r="I3519">
        <v>0</v>
      </c>
      <c r="J3519" t="s">
        <v>53</v>
      </c>
      <c r="K3519" t="s">
        <v>53</v>
      </c>
      <c r="L3519" t="s">
        <v>53</v>
      </c>
      <c r="M3519" t="s">
        <v>53</v>
      </c>
    </row>
    <row r="3520" spans="1:13" x14ac:dyDescent="0.2">
      <c r="A3520" t="s">
        <v>4895</v>
      </c>
      <c r="B3520" t="s">
        <v>13</v>
      </c>
      <c r="C3520" t="s">
        <v>1</v>
      </c>
      <c r="D3520" t="s">
        <v>3189</v>
      </c>
      <c r="E3520" t="s">
        <v>3190</v>
      </c>
      <c r="F3520" t="s">
        <v>14</v>
      </c>
      <c r="G3520">
        <v>64</v>
      </c>
      <c r="H3520">
        <v>0</v>
      </c>
      <c r="I3520">
        <v>1</v>
      </c>
      <c r="J3520">
        <v>65</v>
      </c>
      <c r="K3520" s="482">
        <v>0.98499999999999999</v>
      </c>
      <c r="L3520" s="482">
        <v>0</v>
      </c>
      <c r="M3520" s="482">
        <v>1.4999999999999999E-2</v>
      </c>
    </row>
    <row r="3521" spans="1:13" x14ac:dyDescent="0.2">
      <c r="A3521" t="s">
        <v>5108</v>
      </c>
      <c r="B3521" t="s">
        <v>13</v>
      </c>
      <c r="C3521" t="s">
        <v>1</v>
      </c>
      <c r="D3521" t="s">
        <v>3799</v>
      </c>
      <c r="E3521" t="s">
        <v>3800</v>
      </c>
      <c r="F3521" t="s">
        <v>14</v>
      </c>
      <c r="G3521">
        <v>138</v>
      </c>
      <c r="H3521">
        <v>0</v>
      </c>
      <c r="I3521">
        <v>4</v>
      </c>
      <c r="J3521">
        <v>142</v>
      </c>
      <c r="K3521" s="482">
        <v>0.97199999999999998</v>
      </c>
      <c r="L3521" s="482">
        <v>0</v>
      </c>
      <c r="M3521" s="482">
        <v>2.8000000000000001E-2</v>
      </c>
    </row>
    <row r="3522" spans="1:13" x14ac:dyDescent="0.2">
      <c r="A3522" t="s">
        <v>5109</v>
      </c>
      <c r="B3522" t="s">
        <v>13</v>
      </c>
      <c r="C3522" t="s">
        <v>1</v>
      </c>
      <c r="D3522" t="s">
        <v>3802</v>
      </c>
      <c r="E3522" t="s">
        <v>3803</v>
      </c>
      <c r="F3522" t="s">
        <v>14</v>
      </c>
      <c r="G3522">
        <v>222</v>
      </c>
      <c r="H3522">
        <v>0</v>
      </c>
      <c r="I3522">
        <v>3</v>
      </c>
      <c r="J3522">
        <v>225</v>
      </c>
      <c r="K3522" s="482">
        <v>0.98699999999999999</v>
      </c>
      <c r="L3522" s="482">
        <v>0</v>
      </c>
      <c r="M3522" s="482">
        <v>1.2999999999999999E-2</v>
      </c>
    </row>
    <row r="3523" spans="1:13" x14ac:dyDescent="0.2">
      <c r="A3523" t="s">
        <v>5110</v>
      </c>
      <c r="B3523" t="s">
        <v>13</v>
      </c>
      <c r="C3523" t="s">
        <v>1</v>
      </c>
      <c r="D3523" t="s">
        <v>4518</v>
      </c>
      <c r="E3523" t="s">
        <v>4519</v>
      </c>
      <c r="F3523" t="s">
        <v>14</v>
      </c>
      <c r="G3523">
        <v>356</v>
      </c>
      <c r="H3523">
        <v>1</v>
      </c>
      <c r="I3523">
        <v>3</v>
      </c>
      <c r="J3523">
        <v>360</v>
      </c>
      <c r="K3523" s="482">
        <v>0.98899999999999999</v>
      </c>
      <c r="L3523" s="482">
        <v>3.0000000000000001E-3</v>
      </c>
      <c r="M3523" s="482">
        <v>8.0000000000000002E-3</v>
      </c>
    </row>
    <row r="3524" spans="1:13" x14ac:dyDescent="0.2">
      <c r="A3524" t="s">
        <v>5048</v>
      </c>
      <c r="B3524" t="s">
        <v>13</v>
      </c>
      <c r="C3524" t="s">
        <v>1</v>
      </c>
      <c r="D3524" t="s">
        <v>3403</v>
      </c>
      <c r="E3524" t="s">
        <v>3404</v>
      </c>
      <c r="F3524" t="s">
        <v>14</v>
      </c>
      <c r="G3524">
        <v>155</v>
      </c>
      <c r="H3524">
        <v>1</v>
      </c>
      <c r="I3524">
        <v>10</v>
      </c>
      <c r="J3524">
        <v>166</v>
      </c>
      <c r="K3524" s="482">
        <v>0.93400000000000005</v>
      </c>
      <c r="L3524" s="482">
        <v>6.0000000000000001E-3</v>
      </c>
      <c r="M3524" s="482">
        <v>0.06</v>
      </c>
    </row>
    <row r="3525" spans="1:13" x14ac:dyDescent="0.2">
      <c r="A3525" t="s">
        <v>5033</v>
      </c>
      <c r="B3525" t="s">
        <v>13</v>
      </c>
      <c r="C3525" t="s">
        <v>1</v>
      </c>
      <c r="D3525" t="s">
        <v>3570</v>
      </c>
      <c r="E3525" t="s">
        <v>3571</v>
      </c>
      <c r="F3525" t="s">
        <v>14</v>
      </c>
      <c r="G3525" t="s">
        <v>53</v>
      </c>
      <c r="H3525">
        <v>0</v>
      </c>
      <c r="I3525">
        <v>0</v>
      </c>
      <c r="J3525" t="s">
        <v>53</v>
      </c>
      <c r="K3525" t="s">
        <v>53</v>
      </c>
      <c r="L3525" t="s">
        <v>53</v>
      </c>
      <c r="M3525" t="s">
        <v>53</v>
      </c>
    </row>
    <row r="3526" spans="1:13" x14ac:dyDescent="0.2">
      <c r="A3526" t="s">
        <v>5034</v>
      </c>
      <c r="B3526" t="s">
        <v>13</v>
      </c>
      <c r="C3526" t="s">
        <v>1</v>
      </c>
      <c r="D3526" t="s">
        <v>3573</v>
      </c>
      <c r="E3526" t="s">
        <v>3574</v>
      </c>
      <c r="F3526" t="s">
        <v>14</v>
      </c>
      <c r="G3526">
        <v>39</v>
      </c>
      <c r="H3526">
        <v>0</v>
      </c>
      <c r="I3526">
        <v>3</v>
      </c>
      <c r="J3526">
        <v>42</v>
      </c>
      <c r="K3526" s="482">
        <v>0.92900000000000005</v>
      </c>
      <c r="L3526" s="482">
        <v>0</v>
      </c>
      <c r="M3526" s="482">
        <v>7.0999999999999994E-2</v>
      </c>
    </row>
    <row r="3527" spans="1:13" x14ac:dyDescent="0.2">
      <c r="A3527" t="s">
        <v>5035</v>
      </c>
      <c r="B3527" t="s">
        <v>13</v>
      </c>
      <c r="C3527" t="s">
        <v>1</v>
      </c>
      <c r="D3527" t="s">
        <v>3576</v>
      </c>
      <c r="E3527" t="s">
        <v>3577</v>
      </c>
      <c r="F3527" t="s">
        <v>14</v>
      </c>
      <c r="G3527">
        <v>11</v>
      </c>
      <c r="H3527">
        <v>0</v>
      </c>
      <c r="I3527">
        <v>0</v>
      </c>
      <c r="J3527">
        <v>11</v>
      </c>
      <c r="K3527" s="482">
        <v>1</v>
      </c>
      <c r="L3527" s="482">
        <v>0</v>
      </c>
      <c r="M3527" s="482">
        <v>0</v>
      </c>
    </row>
    <row r="3528" spans="1:13" x14ac:dyDescent="0.2">
      <c r="A3528" t="s">
        <v>5036</v>
      </c>
      <c r="B3528" t="s">
        <v>13</v>
      </c>
      <c r="C3528" t="s">
        <v>1</v>
      </c>
      <c r="D3528" t="s">
        <v>3579</v>
      </c>
      <c r="E3528" t="s">
        <v>3580</v>
      </c>
      <c r="F3528" t="s">
        <v>14</v>
      </c>
      <c r="G3528">
        <v>70</v>
      </c>
      <c r="H3528">
        <v>2</v>
      </c>
      <c r="I3528">
        <v>1</v>
      </c>
      <c r="J3528">
        <v>73</v>
      </c>
      <c r="K3528" s="482">
        <v>0.95899999999999996</v>
      </c>
      <c r="L3528" s="482">
        <v>2.7E-2</v>
      </c>
      <c r="M3528" s="482">
        <v>1.4E-2</v>
      </c>
    </row>
    <row r="3529" spans="1:13" x14ac:dyDescent="0.2">
      <c r="A3529" t="s">
        <v>5037</v>
      </c>
      <c r="B3529" t="s">
        <v>13</v>
      </c>
      <c r="C3529" t="s">
        <v>1</v>
      </c>
      <c r="D3529" t="s">
        <v>3582</v>
      </c>
      <c r="E3529" t="s">
        <v>3583</v>
      </c>
      <c r="F3529" t="s">
        <v>14</v>
      </c>
      <c r="G3529">
        <v>47</v>
      </c>
      <c r="H3529">
        <v>0</v>
      </c>
      <c r="I3529">
        <v>1</v>
      </c>
      <c r="J3529">
        <v>48</v>
      </c>
      <c r="K3529" s="482">
        <v>0.97899999999999998</v>
      </c>
      <c r="L3529" s="482">
        <v>0</v>
      </c>
      <c r="M3529" s="482">
        <v>2.1000000000000001E-2</v>
      </c>
    </row>
    <row r="3530" spans="1:13" x14ac:dyDescent="0.2">
      <c r="A3530" t="s">
        <v>5038</v>
      </c>
      <c r="B3530" t="s">
        <v>13</v>
      </c>
      <c r="C3530" t="s">
        <v>1</v>
      </c>
      <c r="D3530" t="s">
        <v>3585</v>
      </c>
      <c r="E3530" t="s">
        <v>3586</v>
      </c>
      <c r="F3530" t="s">
        <v>14</v>
      </c>
      <c r="G3530">
        <v>34</v>
      </c>
      <c r="H3530">
        <v>0</v>
      </c>
      <c r="I3530">
        <v>2</v>
      </c>
      <c r="J3530">
        <v>36</v>
      </c>
      <c r="K3530" s="482">
        <v>0.94399999999999995</v>
      </c>
      <c r="L3530" s="482">
        <v>0</v>
      </c>
      <c r="M3530" s="482">
        <v>5.6000000000000001E-2</v>
      </c>
    </row>
    <row r="3531" spans="1:13" x14ac:dyDescent="0.2">
      <c r="A3531" t="s">
        <v>5039</v>
      </c>
      <c r="B3531" t="s">
        <v>13</v>
      </c>
      <c r="C3531" t="s">
        <v>1</v>
      </c>
      <c r="D3531" t="s">
        <v>3588</v>
      </c>
      <c r="E3531" t="s">
        <v>3589</v>
      </c>
      <c r="F3531" t="s">
        <v>14</v>
      </c>
      <c r="G3531">
        <v>12</v>
      </c>
      <c r="H3531">
        <v>0</v>
      </c>
      <c r="I3531">
        <v>0</v>
      </c>
      <c r="J3531">
        <v>12</v>
      </c>
      <c r="K3531" s="482">
        <v>1</v>
      </c>
      <c r="L3531" s="482">
        <v>0</v>
      </c>
      <c r="M3531" s="482">
        <v>0</v>
      </c>
    </row>
    <row r="3532" spans="1:13" x14ac:dyDescent="0.2">
      <c r="A3532" t="s">
        <v>5027</v>
      </c>
      <c r="B3532" t="s">
        <v>13</v>
      </c>
      <c r="C3532" t="s">
        <v>1</v>
      </c>
      <c r="D3532" t="s">
        <v>3558</v>
      </c>
      <c r="E3532" t="s">
        <v>3559</v>
      </c>
      <c r="F3532" t="s">
        <v>14</v>
      </c>
      <c r="G3532">
        <v>140</v>
      </c>
      <c r="H3532">
        <v>0</v>
      </c>
      <c r="I3532">
        <v>3</v>
      </c>
      <c r="J3532">
        <v>143</v>
      </c>
      <c r="K3532" s="482">
        <v>0.97899999999999998</v>
      </c>
      <c r="L3532" s="482">
        <v>0</v>
      </c>
      <c r="M3532" s="482">
        <v>2.1000000000000001E-2</v>
      </c>
    </row>
    <row r="3533" spans="1:13" x14ac:dyDescent="0.2">
      <c r="A3533" t="s">
        <v>5016</v>
      </c>
      <c r="B3533" t="s">
        <v>13</v>
      </c>
      <c r="C3533" t="s">
        <v>1</v>
      </c>
      <c r="D3533" t="s">
        <v>3520</v>
      </c>
      <c r="E3533" t="s">
        <v>341</v>
      </c>
      <c r="F3533" t="s">
        <v>14</v>
      </c>
      <c r="G3533">
        <v>90</v>
      </c>
      <c r="H3533">
        <v>1</v>
      </c>
      <c r="I3533">
        <v>5</v>
      </c>
      <c r="J3533">
        <v>96</v>
      </c>
      <c r="K3533" s="482">
        <v>0.93799999999999994</v>
      </c>
      <c r="L3533" s="482">
        <v>0.01</v>
      </c>
      <c r="M3533" s="482">
        <v>5.1999999999999998E-2</v>
      </c>
    </row>
    <row r="3534" spans="1:13" x14ac:dyDescent="0.2">
      <c r="A3534" t="s">
        <v>5023</v>
      </c>
      <c r="B3534" t="s">
        <v>13</v>
      </c>
      <c r="C3534" t="s">
        <v>1</v>
      </c>
      <c r="D3534" t="s">
        <v>3546</v>
      </c>
      <c r="E3534" t="s">
        <v>3547</v>
      </c>
      <c r="F3534" t="s">
        <v>14</v>
      </c>
      <c r="G3534">
        <v>281</v>
      </c>
      <c r="H3534">
        <v>3</v>
      </c>
      <c r="I3534">
        <v>8</v>
      </c>
      <c r="J3534">
        <v>292</v>
      </c>
      <c r="K3534" s="482">
        <v>0.96199999999999997</v>
      </c>
      <c r="L3534" s="482">
        <v>0.01</v>
      </c>
      <c r="M3534" s="482">
        <v>2.7E-2</v>
      </c>
    </row>
    <row r="3535" spans="1:13" x14ac:dyDescent="0.2">
      <c r="A3535" t="s">
        <v>5015</v>
      </c>
      <c r="B3535" t="s">
        <v>13</v>
      </c>
      <c r="C3535" t="s">
        <v>1</v>
      </c>
      <c r="D3535" t="s">
        <v>3517</v>
      </c>
      <c r="E3535" t="s">
        <v>3518</v>
      </c>
      <c r="F3535" t="s">
        <v>14</v>
      </c>
      <c r="G3535">
        <v>162</v>
      </c>
      <c r="H3535">
        <v>1</v>
      </c>
      <c r="I3535">
        <v>5</v>
      </c>
      <c r="J3535">
        <v>168</v>
      </c>
      <c r="K3535" s="482">
        <v>0.96399999999999997</v>
      </c>
      <c r="L3535" s="482">
        <v>6.0000000000000001E-3</v>
      </c>
      <c r="M3535" s="482">
        <v>0.03</v>
      </c>
    </row>
    <row r="3536" spans="1:13" x14ac:dyDescent="0.2">
      <c r="A3536" t="s">
        <v>5021</v>
      </c>
      <c r="B3536" t="s">
        <v>13</v>
      </c>
      <c r="C3536" t="s">
        <v>1</v>
      </c>
      <c r="D3536" t="s">
        <v>3540</v>
      </c>
      <c r="E3536" t="s">
        <v>3541</v>
      </c>
      <c r="F3536" t="s">
        <v>14</v>
      </c>
      <c r="G3536">
        <v>132</v>
      </c>
      <c r="H3536">
        <v>1</v>
      </c>
      <c r="I3536">
        <v>5</v>
      </c>
      <c r="J3536">
        <v>138</v>
      </c>
      <c r="K3536" s="482">
        <v>0.95699999999999996</v>
      </c>
      <c r="L3536" s="482">
        <v>7.0000000000000001E-3</v>
      </c>
      <c r="M3536" s="482">
        <v>3.5999999999999997E-2</v>
      </c>
    </row>
    <row r="3537" spans="1:13" x14ac:dyDescent="0.2">
      <c r="A3537" t="s">
        <v>5020</v>
      </c>
      <c r="B3537" t="s">
        <v>13</v>
      </c>
      <c r="C3537" t="s">
        <v>1</v>
      </c>
      <c r="D3537" t="s">
        <v>3537</v>
      </c>
      <c r="E3537" t="s">
        <v>3538</v>
      </c>
      <c r="F3537" t="s">
        <v>14</v>
      </c>
      <c r="G3537">
        <v>241</v>
      </c>
      <c r="H3537">
        <v>3</v>
      </c>
      <c r="I3537">
        <v>10</v>
      </c>
      <c r="J3537">
        <v>254</v>
      </c>
      <c r="K3537" s="482">
        <v>0.94899999999999995</v>
      </c>
      <c r="L3537" s="482">
        <v>1.2E-2</v>
      </c>
      <c r="M3537" s="482">
        <v>3.9E-2</v>
      </c>
    </row>
    <row r="3538" spans="1:13" x14ac:dyDescent="0.2">
      <c r="A3538" t="s">
        <v>6611</v>
      </c>
      <c r="B3538" t="s">
        <v>13</v>
      </c>
      <c r="C3538" t="s">
        <v>1</v>
      </c>
      <c r="D3538" t="s">
        <v>3689</v>
      </c>
      <c r="E3538" t="s">
        <v>6576</v>
      </c>
      <c r="F3538" t="s">
        <v>14</v>
      </c>
      <c r="G3538">
        <v>156</v>
      </c>
      <c r="H3538">
        <v>1</v>
      </c>
      <c r="I3538">
        <v>2</v>
      </c>
      <c r="J3538">
        <v>159</v>
      </c>
      <c r="K3538" s="482">
        <v>0.98099999999999998</v>
      </c>
      <c r="L3538" s="482">
        <v>6.0000000000000001E-3</v>
      </c>
      <c r="M3538" s="482">
        <v>1.2999999999999999E-2</v>
      </c>
    </row>
    <row r="3539" spans="1:13" x14ac:dyDescent="0.2">
      <c r="A3539" t="s">
        <v>5022</v>
      </c>
      <c r="B3539" t="s">
        <v>13</v>
      </c>
      <c r="C3539" t="s">
        <v>1</v>
      </c>
      <c r="D3539" t="s">
        <v>3543</v>
      </c>
      <c r="E3539" t="s">
        <v>3544</v>
      </c>
      <c r="F3539" t="s">
        <v>14</v>
      </c>
      <c r="G3539">
        <v>334</v>
      </c>
      <c r="H3539">
        <v>1</v>
      </c>
      <c r="I3539">
        <v>13</v>
      </c>
      <c r="J3539">
        <v>348</v>
      </c>
      <c r="K3539" s="482">
        <v>0.96</v>
      </c>
      <c r="L3539" s="482">
        <v>3.0000000000000001E-3</v>
      </c>
      <c r="M3539" s="482">
        <v>3.6999999999999998E-2</v>
      </c>
    </row>
    <row r="3540" spans="1:13" x14ac:dyDescent="0.2">
      <c r="A3540" t="s">
        <v>4928</v>
      </c>
      <c r="B3540" t="s">
        <v>13</v>
      </c>
      <c r="C3540" t="s">
        <v>1</v>
      </c>
      <c r="D3540" t="s">
        <v>3276</v>
      </c>
      <c r="E3540" t="s">
        <v>3277</v>
      </c>
      <c r="F3540" t="s">
        <v>14</v>
      </c>
      <c r="G3540">
        <v>29</v>
      </c>
      <c r="H3540">
        <v>0</v>
      </c>
      <c r="I3540">
        <v>0</v>
      </c>
      <c r="J3540">
        <v>29</v>
      </c>
      <c r="K3540" s="482">
        <v>1</v>
      </c>
      <c r="L3540" s="482">
        <v>0</v>
      </c>
      <c r="M3540" s="482">
        <v>0</v>
      </c>
    </row>
    <row r="3541" spans="1:13" x14ac:dyDescent="0.2">
      <c r="A3541" t="s">
        <v>6612</v>
      </c>
      <c r="B3541" t="s">
        <v>13</v>
      </c>
      <c r="C3541" t="s">
        <v>1</v>
      </c>
      <c r="D3541" t="s">
        <v>3278</v>
      </c>
      <c r="E3541" t="s">
        <v>6578</v>
      </c>
      <c r="F3541" t="s">
        <v>14</v>
      </c>
      <c r="G3541">
        <v>583</v>
      </c>
      <c r="H3541">
        <v>6</v>
      </c>
      <c r="I3541">
        <v>22</v>
      </c>
      <c r="J3541">
        <v>611</v>
      </c>
      <c r="K3541" s="482">
        <v>0.95399999999999996</v>
      </c>
      <c r="L3541" s="482">
        <v>0.01</v>
      </c>
      <c r="M3541" s="482">
        <v>3.5999999999999997E-2</v>
      </c>
    </row>
    <row r="3542" spans="1:13" x14ac:dyDescent="0.2">
      <c r="A3542" t="s">
        <v>4929</v>
      </c>
      <c r="B3542" t="s">
        <v>13</v>
      </c>
      <c r="C3542" t="s">
        <v>1</v>
      </c>
      <c r="D3542" t="s">
        <v>3280</v>
      </c>
      <c r="E3542" t="s">
        <v>3281</v>
      </c>
      <c r="F3542" t="s">
        <v>14</v>
      </c>
      <c r="G3542">
        <v>182</v>
      </c>
      <c r="H3542">
        <v>2</v>
      </c>
      <c r="I3542">
        <v>5</v>
      </c>
      <c r="J3542">
        <v>189</v>
      </c>
      <c r="K3542" s="482">
        <v>0.96299999999999997</v>
      </c>
      <c r="L3542" s="482">
        <v>1.0999999999999999E-2</v>
      </c>
      <c r="M3542" s="482">
        <v>2.5999999999999999E-2</v>
      </c>
    </row>
    <row r="3543" spans="1:13" x14ac:dyDescent="0.2">
      <c r="A3543" t="s">
        <v>4906</v>
      </c>
      <c r="B3543" t="s">
        <v>13</v>
      </c>
      <c r="C3543" t="s">
        <v>1</v>
      </c>
      <c r="D3543" t="s">
        <v>4276</v>
      </c>
      <c r="E3543" t="s">
        <v>4277</v>
      </c>
      <c r="F3543" t="s">
        <v>14</v>
      </c>
      <c r="G3543">
        <v>13</v>
      </c>
      <c r="H3543">
        <v>0</v>
      </c>
      <c r="I3543">
        <v>0</v>
      </c>
      <c r="J3543">
        <v>13</v>
      </c>
      <c r="K3543" s="482">
        <v>1</v>
      </c>
      <c r="L3543" s="482">
        <v>0</v>
      </c>
      <c r="M3543" s="482">
        <v>0</v>
      </c>
    </row>
    <row r="3544" spans="1:13" x14ac:dyDescent="0.2">
      <c r="A3544" t="s">
        <v>4907</v>
      </c>
      <c r="B3544" t="s">
        <v>13</v>
      </c>
      <c r="C3544" t="s">
        <v>1</v>
      </c>
      <c r="D3544" t="s">
        <v>4279</v>
      </c>
      <c r="E3544" t="s">
        <v>4280</v>
      </c>
      <c r="F3544" t="s">
        <v>14</v>
      </c>
      <c r="G3544" t="s">
        <v>53</v>
      </c>
      <c r="H3544">
        <v>0</v>
      </c>
      <c r="I3544">
        <v>0</v>
      </c>
      <c r="J3544" t="s">
        <v>53</v>
      </c>
      <c r="K3544" t="s">
        <v>53</v>
      </c>
      <c r="L3544" t="s">
        <v>53</v>
      </c>
      <c r="M3544" t="s">
        <v>53</v>
      </c>
    </row>
    <row r="3545" spans="1:13" x14ac:dyDescent="0.2">
      <c r="A3545" t="s">
        <v>4905</v>
      </c>
      <c r="B3545" t="s">
        <v>13</v>
      </c>
      <c r="C3545" t="s">
        <v>1</v>
      </c>
      <c r="D3545" t="s">
        <v>3216</v>
      </c>
      <c r="E3545" t="s">
        <v>3217</v>
      </c>
      <c r="F3545" t="s">
        <v>14</v>
      </c>
      <c r="G3545">
        <v>153</v>
      </c>
      <c r="H3545">
        <v>1</v>
      </c>
      <c r="I3545">
        <v>9</v>
      </c>
      <c r="J3545">
        <v>163</v>
      </c>
      <c r="K3545" s="482">
        <v>0.93899999999999995</v>
      </c>
      <c r="L3545" s="482">
        <v>6.0000000000000001E-3</v>
      </c>
      <c r="M3545" s="482">
        <v>5.5E-2</v>
      </c>
    </row>
    <row r="3546" spans="1:13" x14ac:dyDescent="0.2">
      <c r="A3546" t="s">
        <v>4908</v>
      </c>
      <c r="B3546" t="s">
        <v>13</v>
      </c>
      <c r="C3546" t="s">
        <v>1</v>
      </c>
      <c r="D3546" t="s">
        <v>3219</v>
      </c>
      <c r="E3546" t="s">
        <v>3220</v>
      </c>
      <c r="F3546" t="s">
        <v>14</v>
      </c>
      <c r="G3546">
        <v>140</v>
      </c>
      <c r="H3546">
        <v>1</v>
      </c>
      <c r="I3546">
        <v>0</v>
      </c>
      <c r="J3546">
        <v>141</v>
      </c>
      <c r="K3546" s="482">
        <v>0.99299999999999999</v>
      </c>
      <c r="L3546" s="482">
        <v>7.0000000000000001E-3</v>
      </c>
      <c r="M3546" s="482">
        <v>0</v>
      </c>
    </row>
    <row r="3547" spans="1:13" x14ac:dyDescent="0.2">
      <c r="A3547" t="s">
        <v>4909</v>
      </c>
      <c r="B3547" t="s">
        <v>13</v>
      </c>
      <c r="C3547" t="s">
        <v>1</v>
      </c>
      <c r="D3547" t="s">
        <v>3222</v>
      </c>
      <c r="E3547" t="s">
        <v>3223</v>
      </c>
      <c r="F3547" t="s">
        <v>14</v>
      </c>
      <c r="G3547">
        <v>82</v>
      </c>
      <c r="H3547">
        <v>0</v>
      </c>
      <c r="I3547">
        <v>1</v>
      </c>
      <c r="J3547">
        <v>83</v>
      </c>
      <c r="K3547" s="482">
        <v>0.98799999999999999</v>
      </c>
      <c r="L3547" s="482">
        <v>0</v>
      </c>
      <c r="M3547" s="482">
        <v>1.2E-2</v>
      </c>
    </row>
    <row r="3548" spans="1:13" x14ac:dyDescent="0.2">
      <c r="A3548" t="s">
        <v>4911</v>
      </c>
      <c r="B3548" t="s">
        <v>13</v>
      </c>
      <c r="C3548" t="s">
        <v>1</v>
      </c>
      <c r="D3548" t="s">
        <v>4285</v>
      </c>
      <c r="E3548" t="s">
        <v>4286</v>
      </c>
      <c r="F3548" t="s">
        <v>14</v>
      </c>
      <c r="G3548">
        <v>218</v>
      </c>
      <c r="H3548">
        <v>2</v>
      </c>
      <c r="I3548">
        <v>4</v>
      </c>
      <c r="J3548">
        <v>224</v>
      </c>
      <c r="K3548" s="482">
        <v>0.97299999999999998</v>
      </c>
      <c r="L3548" s="482">
        <v>8.9999999999999993E-3</v>
      </c>
      <c r="M3548" s="482">
        <v>1.7999999999999999E-2</v>
      </c>
    </row>
    <row r="3549" spans="1:13" x14ac:dyDescent="0.2">
      <c r="A3549" t="s">
        <v>5060</v>
      </c>
      <c r="B3549" t="s">
        <v>13</v>
      </c>
      <c r="C3549" t="s">
        <v>1</v>
      </c>
      <c r="D3549" t="s">
        <v>3651</v>
      </c>
      <c r="E3549" t="s">
        <v>3652</v>
      </c>
      <c r="F3549" t="s">
        <v>14</v>
      </c>
      <c r="G3549">
        <v>292</v>
      </c>
      <c r="H3549">
        <v>0</v>
      </c>
      <c r="I3549">
        <v>12</v>
      </c>
      <c r="J3549">
        <v>304</v>
      </c>
      <c r="K3549" s="482">
        <v>0.96099999999999997</v>
      </c>
      <c r="L3549" s="482">
        <v>0</v>
      </c>
      <c r="M3549" s="482">
        <v>3.9E-2</v>
      </c>
    </row>
    <row r="3550" spans="1:13" x14ac:dyDescent="0.2">
      <c r="A3550" t="s">
        <v>5061</v>
      </c>
      <c r="B3550" t="s">
        <v>13</v>
      </c>
      <c r="C3550" t="s">
        <v>1</v>
      </c>
      <c r="D3550" t="s">
        <v>3654</v>
      </c>
      <c r="E3550" t="s">
        <v>3655</v>
      </c>
      <c r="F3550" t="s">
        <v>14</v>
      </c>
      <c r="G3550">
        <v>102</v>
      </c>
      <c r="H3550">
        <v>1</v>
      </c>
      <c r="I3550">
        <v>3</v>
      </c>
      <c r="J3550">
        <v>106</v>
      </c>
      <c r="K3550" s="482">
        <v>0.96199999999999997</v>
      </c>
      <c r="L3550" s="482">
        <v>8.9999999999999993E-3</v>
      </c>
      <c r="M3550" s="482">
        <v>2.8000000000000001E-2</v>
      </c>
    </row>
    <row r="3551" spans="1:13" x14ac:dyDescent="0.2">
      <c r="A3551" t="s">
        <v>5062</v>
      </c>
      <c r="B3551" t="s">
        <v>13</v>
      </c>
      <c r="C3551" t="s">
        <v>1</v>
      </c>
      <c r="D3551" t="s">
        <v>3657</v>
      </c>
      <c r="E3551" t="s">
        <v>3658</v>
      </c>
      <c r="F3551" t="s">
        <v>14</v>
      </c>
      <c r="G3551">
        <v>153</v>
      </c>
      <c r="H3551">
        <v>2</v>
      </c>
      <c r="I3551">
        <v>5</v>
      </c>
      <c r="J3551">
        <v>160</v>
      </c>
      <c r="K3551" s="482">
        <v>0.95599999999999996</v>
      </c>
      <c r="L3551" s="482">
        <v>1.2999999999999999E-2</v>
      </c>
      <c r="M3551" s="482">
        <v>3.1E-2</v>
      </c>
    </row>
    <row r="3552" spans="1:13" x14ac:dyDescent="0.2">
      <c r="A3552" t="s">
        <v>5057</v>
      </c>
      <c r="B3552" t="s">
        <v>13</v>
      </c>
      <c r="C3552" t="s">
        <v>1</v>
      </c>
      <c r="D3552" t="s">
        <v>3641</v>
      </c>
      <c r="E3552" t="s">
        <v>3642</v>
      </c>
      <c r="F3552" t="s">
        <v>14</v>
      </c>
      <c r="G3552">
        <v>232</v>
      </c>
      <c r="H3552">
        <v>2</v>
      </c>
      <c r="I3552">
        <v>8</v>
      </c>
      <c r="J3552">
        <v>242</v>
      </c>
      <c r="K3552" s="482">
        <v>0.95899999999999996</v>
      </c>
      <c r="L3552" s="482">
        <v>8.0000000000000002E-3</v>
      </c>
      <c r="M3552" s="482">
        <v>3.3000000000000002E-2</v>
      </c>
    </row>
    <row r="3553" spans="1:13" x14ac:dyDescent="0.2">
      <c r="A3553" t="s">
        <v>6613</v>
      </c>
      <c r="B3553" t="s">
        <v>13</v>
      </c>
      <c r="C3553" t="s">
        <v>1</v>
      </c>
      <c r="D3553" t="s">
        <v>3643</v>
      </c>
      <c r="E3553" t="s">
        <v>6580</v>
      </c>
      <c r="F3553" t="s">
        <v>14</v>
      </c>
      <c r="G3553">
        <v>169</v>
      </c>
      <c r="H3553">
        <v>1</v>
      </c>
      <c r="I3553">
        <v>3</v>
      </c>
      <c r="J3553">
        <v>173</v>
      </c>
      <c r="K3553" s="482">
        <v>0.97699999999999998</v>
      </c>
      <c r="L3553" s="482">
        <v>6.0000000000000001E-3</v>
      </c>
      <c r="M3553" s="482">
        <v>1.7000000000000001E-2</v>
      </c>
    </row>
    <row r="3554" spans="1:13" x14ac:dyDescent="0.2">
      <c r="A3554" t="s">
        <v>5058</v>
      </c>
      <c r="B3554" t="s">
        <v>13</v>
      </c>
      <c r="C3554" t="s">
        <v>1</v>
      </c>
      <c r="D3554" t="s">
        <v>3645</v>
      </c>
      <c r="E3554" t="s">
        <v>3646</v>
      </c>
      <c r="F3554" t="s">
        <v>14</v>
      </c>
      <c r="G3554">
        <v>136</v>
      </c>
      <c r="H3554">
        <v>2</v>
      </c>
      <c r="I3554">
        <v>6</v>
      </c>
      <c r="J3554">
        <v>144</v>
      </c>
      <c r="K3554" s="482">
        <v>0.94399999999999995</v>
      </c>
      <c r="L3554" s="482">
        <v>1.4E-2</v>
      </c>
      <c r="M3554" s="482">
        <v>4.2000000000000003E-2</v>
      </c>
    </row>
    <row r="3555" spans="1:13" x14ac:dyDescent="0.2">
      <c r="A3555" t="s">
        <v>5059</v>
      </c>
      <c r="B3555" t="s">
        <v>13</v>
      </c>
      <c r="C3555" t="s">
        <v>1</v>
      </c>
      <c r="D3555" t="s">
        <v>3648</v>
      </c>
      <c r="E3555" t="s">
        <v>3649</v>
      </c>
      <c r="F3555" t="s">
        <v>14</v>
      </c>
      <c r="G3555">
        <v>122</v>
      </c>
      <c r="H3555">
        <v>0</v>
      </c>
      <c r="I3555">
        <v>0</v>
      </c>
      <c r="J3555">
        <v>122</v>
      </c>
      <c r="K3555" s="482">
        <v>1</v>
      </c>
      <c r="L3555" s="482">
        <v>0</v>
      </c>
      <c r="M3555" s="482">
        <v>0</v>
      </c>
    </row>
    <row r="3556" spans="1:13" x14ac:dyDescent="0.2">
      <c r="A3556" t="s">
        <v>5063</v>
      </c>
      <c r="B3556" t="s">
        <v>13</v>
      </c>
      <c r="C3556" t="s">
        <v>1</v>
      </c>
      <c r="D3556" t="s">
        <v>3660</v>
      </c>
      <c r="E3556" t="s">
        <v>3661</v>
      </c>
      <c r="F3556" t="s">
        <v>14</v>
      </c>
      <c r="G3556">
        <v>86</v>
      </c>
      <c r="H3556">
        <v>0</v>
      </c>
      <c r="I3556">
        <v>1</v>
      </c>
      <c r="J3556">
        <v>87</v>
      </c>
      <c r="K3556" s="482">
        <v>0.98899999999999999</v>
      </c>
      <c r="L3556" s="482">
        <v>0</v>
      </c>
      <c r="M3556" s="482">
        <v>1.0999999999999999E-2</v>
      </c>
    </row>
    <row r="3557" spans="1:13" x14ac:dyDescent="0.2">
      <c r="A3557" t="s">
        <v>5064</v>
      </c>
      <c r="B3557" t="s">
        <v>13</v>
      </c>
      <c r="C3557" t="s">
        <v>1</v>
      </c>
      <c r="D3557" t="s">
        <v>3663</v>
      </c>
      <c r="E3557" t="s">
        <v>3664</v>
      </c>
      <c r="F3557" t="s">
        <v>14</v>
      </c>
      <c r="G3557">
        <v>101</v>
      </c>
      <c r="H3557">
        <v>1</v>
      </c>
      <c r="I3557">
        <v>0</v>
      </c>
      <c r="J3557">
        <v>102</v>
      </c>
      <c r="K3557" s="482">
        <v>0.99</v>
      </c>
      <c r="L3557" s="482">
        <v>0.01</v>
      </c>
      <c r="M3557" s="482">
        <v>0</v>
      </c>
    </row>
    <row r="3558" spans="1:13" x14ac:dyDescent="0.2">
      <c r="A3558" t="s">
        <v>5065</v>
      </c>
      <c r="B3558" t="s">
        <v>13</v>
      </c>
      <c r="C3558" t="s">
        <v>1</v>
      </c>
      <c r="D3558" t="s">
        <v>3666</v>
      </c>
      <c r="E3558" t="s">
        <v>3667</v>
      </c>
      <c r="F3558" t="s">
        <v>14</v>
      </c>
      <c r="G3558">
        <v>35</v>
      </c>
      <c r="H3558">
        <v>2</v>
      </c>
      <c r="I3558">
        <v>0</v>
      </c>
      <c r="J3558">
        <v>37</v>
      </c>
      <c r="K3558" s="482">
        <v>0.94599999999999995</v>
      </c>
      <c r="L3558" s="482">
        <v>5.3999999999999999E-2</v>
      </c>
      <c r="M3558" s="482">
        <v>0</v>
      </c>
    </row>
    <row r="3559" spans="1:13" x14ac:dyDescent="0.2">
      <c r="A3559" t="s">
        <v>5066</v>
      </c>
      <c r="B3559" t="s">
        <v>13</v>
      </c>
      <c r="C3559" t="s">
        <v>1</v>
      </c>
      <c r="D3559" t="s">
        <v>3669</v>
      </c>
      <c r="E3559" t="s">
        <v>3670</v>
      </c>
      <c r="F3559" t="s">
        <v>14</v>
      </c>
      <c r="G3559">
        <v>228</v>
      </c>
      <c r="H3559">
        <v>0</v>
      </c>
      <c r="I3559">
        <v>8</v>
      </c>
      <c r="J3559">
        <v>236</v>
      </c>
      <c r="K3559" s="482">
        <v>0.96599999999999997</v>
      </c>
      <c r="L3559" s="482">
        <v>0</v>
      </c>
      <c r="M3559" s="482">
        <v>3.4000000000000002E-2</v>
      </c>
    </row>
    <row r="3560" spans="1:13" x14ac:dyDescent="0.2">
      <c r="A3560" t="s">
        <v>5067</v>
      </c>
      <c r="B3560" t="s">
        <v>13</v>
      </c>
      <c r="C3560" t="s">
        <v>1</v>
      </c>
      <c r="D3560" t="s">
        <v>3672</v>
      </c>
      <c r="E3560" t="s">
        <v>3673</v>
      </c>
      <c r="F3560" t="s">
        <v>14</v>
      </c>
      <c r="G3560">
        <v>72</v>
      </c>
      <c r="H3560">
        <v>0</v>
      </c>
      <c r="I3560">
        <v>4</v>
      </c>
      <c r="J3560">
        <v>76</v>
      </c>
      <c r="K3560" s="482">
        <v>0.94699999999999995</v>
      </c>
      <c r="L3560" s="482">
        <v>0</v>
      </c>
      <c r="M3560" s="482">
        <v>5.2999999999999999E-2</v>
      </c>
    </row>
    <row r="3561" spans="1:13" x14ac:dyDescent="0.2">
      <c r="A3561" t="s">
        <v>4925</v>
      </c>
      <c r="B3561" t="s">
        <v>13</v>
      </c>
      <c r="C3561" t="s">
        <v>1</v>
      </c>
      <c r="D3561" t="s">
        <v>3267</v>
      </c>
      <c r="E3561" t="s">
        <v>3268</v>
      </c>
      <c r="F3561" t="s">
        <v>14</v>
      </c>
      <c r="G3561">
        <v>45</v>
      </c>
      <c r="H3561">
        <v>1</v>
      </c>
      <c r="I3561">
        <v>1</v>
      </c>
      <c r="J3561">
        <v>47</v>
      </c>
      <c r="K3561" s="482">
        <v>0.95699999999999996</v>
      </c>
      <c r="L3561" s="482">
        <v>2.1000000000000001E-2</v>
      </c>
      <c r="M3561" s="482">
        <v>2.1000000000000001E-2</v>
      </c>
    </row>
    <row r="3562" spans="1:13" x14ac:dyDescent="0.2">
      <c r="A3562" t="s">
        <v>4926</v>
      </c>
      <c r="B3562" t="s">
        <v>13</v>
      </c>
      <c r="C3562" t="s">
        <v>1</v>
      </c>
      <c r="D3562" t="s">
        <v>3270</v>
      </c>
      <c r="E3562" t="s">
        <v>3271</v>
      </c>
      <c r="F3562" t="s">
        <v>14</v>
      </c>
      <c r="G3562">
        <v>128</v>
      </c>
      <c r="H3562">
        <v>3</v>
      </c>
      <c r="I3562">
        <v>2</v>
      </c>
      <c r="J3562">
        <v>133</v>
      </c>
      <c r="K3562" s="482">
        <v>0.96199999999999997</v>
      </c>
      <c r="L3562" s="482">
        <v>2.3E-2</v>
      </c>
      <c r="M3562" s="482">
        <v>1.4999999999999999E-2</v>
      </c>
    </row>
    <row r="3563" spans="1:13" x14ac:dyDescent="0.2">
      <c r="A3563" t="s">
        <v>4927</v>
      </c>
      <c r="B3563" t="s">
        <v>13</v>
      </c>
      <c r="C3563" t="s">
        <v>1</v>
      </c>
      <c r="D3563" t="s">
        <v>3273</v>
      </c>
      <c r="E3563" t="s">
        <v>3274</v>
      </c>
      <c r="F3563" t="s">
        <v>14</v>
      </c>
      <c r="G3563">
        <v>12</v>
      </c>
      <c r="H3563">
        <v>0</v>
      </c>
      <c r="I3563">
        <v>0</v>
      </c>
      <c r="J3563">
        <v>12</v>
      </c>
      <c r="K3563" s="482">
        <v>1</v>
      </c>
      <c r="L3563" s="482">
        <v>0</v>
      </c>
      <c r="M3563" s="482">
        <v>0</v>
      </c>
    </row>
    <row r="3564" spans="1:13" x14ac:dyDescent="0.2">
      <c r="A3564" t="s">
        <v>4901</v>
      </c>
      <c r="B3564" t="s">
        <v>13</v>
      </c>
      <c r="C3564" t="s">
        <v>1</v>
      </c>
      <c r="D3564" t="s">
        <v>3204</v>
      </c>
      <c r="E3564" t="s">
        <v>3205</v>
      </c>
      <c r="F3564" t="s">
        <v>14</v>
      </c>
      <c r="G3564">
        <v>79</v>
      </c>
      <c r="H3564">
        <v>0</v>
      </c>
      <c r="I3564">
        <v>2</v>
      </c>
      <c r="J3564">
        <v>81</v>
      </c>
      <c r="K3564" s="482">
        <v>0.97499999999999998</v>
      </c>
      <c r="L3564" s="482">
        <v>0</v>
      </c>
      <c r="M3564" s="482">
        <v>2.5000000000000001E-2</v>
      </c>
    </row>
    <row r="3565" spans="1:13" x14ac:dyDescent="0.2">
      <c r="A3565" t="s">
        <v>4902</v>
      </c>
      <c r="B3565" t="s">
        <v>13</v>
      </c>
      <c r="C3565" t="s">
        <v>1</v>
      </c>
      <c r="D3565" t="s">
        <v>3207</v>
      </c>
      <c r="E3565" t="s">
        <v>3208</v>
      </c>
      <c r="F3565" t="s">
        <v>14</v>
      </c>
      <c r="G3565">
        <v>92</v>
      </c>
      <c r="H3565">
        <v>0</v>
      </c>
      <c r="I3565">
        <v>4</v>
      </c>
      <c r="J3565">
        <v>96</v>
      </c>
      <c r="K3565" s="482">
        <v>0.95799999999999996</v>
      </c>
      <c r="L3565" s="482">
        <v>0</v>
      </c>
      <c r="M3565" s="482">
        <v>4.2000000000000003E-2</v>
      </c>
    </row>
    <row r="3566" spans="1:13" x14ac:dyDescent="0.2">
      <c r="A3566" t="s">
        <v>5117</v>
      </c>
      <c r="B3566" t="s">
        <v>13</v>
      </c>
      <c r="C3566" t="s">
        <v>1</v>
      </c>
      <c r="D3566" t="s">
        <v>3832</v>
      </c>
      <c r="E3566" t="s">
        <v>3833</v>
      </c>
      <c r="F3566" t="s">
        <v>14</v>
      </c>
      <c r="G3566">
        <v>153</v>
      </c>
      <c r="H3566">
        <v>1</v>
      </c>
      <c r="I3566">
        <v>6</v>
      </c>
      <c r="J3566">
        <v>160</v>
      </c>
      <c r="K3566" s="482">
        <v>0.95599999999999996</v>
      </c>
      <c r="L3566" s="482">
        <v>6.0000000000000001E-3</v>
      </c>
      <c r="M3566" s="482">
        <v>3.7999999999999999E-2</v>
      </c>
    </row>
    <row r="3567" spans="1:13" x14ac:dyDescent="0.2">
      <c r="A3567" t="s">
        <v>5079</v>
      </c>
      <c r="B3567" t="s">
        <v>13</v>
      </c>
      <c r="C3567" t="s">
        <v>1</v>
      </c>
      <c r="D3567" t="s">
        <v>3706</v>
      </c>
      <c r="E3567" t="s">
        <v>3707</v>
      </c>
      <c r="F3567" t="s">
        <v>14</v>
      </c>
      <c r="G3567">
        <v>333</v>
      </c>
      <c r="H3567">
        <v>4</v>
      </c>
      <c r="I3567">
        <v>21</v>
      </c>
      <c r="J3567">
        <v>358</v>
      </c>
      <c r="K3567" s="482">
        <v>0.93</v>
      </c>
      <c r="L3567" s="482">
        <v>1.0999999999999999E-2</v>
      </c>
      <c r="M3567" s="482">
        <v>5.8999999999999997E-2</v>
      </c>
    </row>
    <row r="3568" spans="1:13" x14ac:dyDescent="0.2">
      <c r="A3568" t="s">
        <v>5018</v>
      </c>
      <c r="B3568" t="s">
        <v>13</v>
      </c>
      <c r="C3568" t="s">
        <v>1</v>
      </c>
      <c r="D3568" t="s">
        <v>3525</v>
      </c>
      <c r="E3568" t="s">
        <v>3526</v>
      </c>
      <c r="F3568" t="s">
        <v>14</v>
      </c>
      <c r="G3568">
        <v>109</v>
      </c>
      <c r="H3568">
        <v>1</v>
      </c>
      <c r="I3568">
        <v>5</v>
      </c>
      <c r="J3568">
        <v>115</v>
      </c>
      <c r="K3568" s="482">
        <v>0.94799999999999995</v>
      </c>
      <c r="L3568" s="482">
        <v>8.9999999999999993E-3</v>
      </c>
      <c r="M3568" s="482">
        <v>4.2999999999999997E-2</v>
      </c>
    </row>
    <row r="3569" spans="1:13" x14ac:dyDescent="0.2">
      <c r="A3569" t="s">
        <v>5019</v>
      </c>
      <c r="B3569" t="s">
        <v>13</v>
      </c>
      <c r="C3569" t="s">
        <v>1</v>
      </c>
      <c r="D3569" t="s">
        <v>3534</v>
      </c>
      <c r="E3569" t="s">
        <v>3535</v>
      </c>
      <c r="F3569" t="s">
        <v>14</v>
      </c>
      <c r="G3569">
        <v>85</v>
      </c>
      <c r="H3569">
        <v>1</v>
      </c>
      <c r="I3569">
        <v>2</v>
      </c>
      <c r="J3569">
        <v>88</v>
      </c>
      <c r="K3569" s="482">
        <v>0.96599999999999997</v>
      </c>
      <c r="L3569" s="482">
        <v>1.0999999999999999E-2</v>
      </c>
      <c r="M3569" s="482">
        <v>2.3E-2</v>
      </c>
    </row>
    <row r="3570" spans="1:13" x14ac:dyDescent="0.2">
      <c r="A3570" t="s">
        <v>5084</v>
      </c>
      <c r="B3570" t="s">
        <v>13</v>
      </c>
      <c r="C3570" t="s">
        <v>1</v>
      </c>
      <c r="D3570" t="s">
        <v>3721</v>
      </c>
      <c r="E3570" t="s">
        <v>3722</v>
      </c>
      <c r="F3570" t="s">
        <v>14</v>
      </c>
      <c r="G3570">
        <v>286</v>
      </c>
      <c r="H3570">
        <v>2</v>
      </c>
      <c r="I3570">
        <v>16</v>
      </c>
      <c r="J3570">
        <v>304</v>
      </c>
      <c r="K3570" s="482">
        <v>0.94099999999999995</v>
      </c>
      <c r="L3570" s="482">
        <v>7.0000000000000001E-3</v>
      </c>
      <c r="M3570" s="482">
        <v>5.2999999999999999E-2</v>
      </c>
    </row>
    <row r="3571" spans="1:13" x14ac:dyDescent="0.2">
      <c r="A3571" t="s">
        <v>5085</v>
      </c>
      <c r="B3571" t="s">
        <v>13</v>
      </c>
      <c r="C3571" t="s">
        <v>1</v>
      </c>
      <c r="D3571" t="s">
        <v>3724</v>
      </c>
      <c r="E3571" t="s">
        <v>3725</v>
      </c>
      <c r="F3571" t="s">
        <v>14</v>
      </c>
      <c r="G3571">
        <v>224</v>
      </c>
      <c r="H3571">
        <v>1</v>
      </c>
      <c r="I3571">
        <v>5</v>
      </c>
      <c r="J3571">
        <v>230</v>
      </c>
      <c r="K3571" s="482">
        <v>0.97399999999999998</v>
      </c>
      <c r="L3571" s="482">
        <v>4.0000000000000001E-3</v>
      </c>
      <c r="M3571" s="482">
        <v>2.1999999999999999E-2</v>
      </c>
    </row>
    <row r="3572" spans="1:13" x14ac:dyDescent="0.2">
      <c r="A3572" t="s">
        <v>5086</v>
      </c>
      <c r="B3572" t="s">
        <v>13</v>
      </c>
      <c r="C3572" t="s">
        <v>1</v>
      </c>
      <c r="D3572" t="s">
        <v>3727</v>
      </c>
      <c r="E3572" t="s">
        <v>3728</v>
      </c>
      <c r="F3572" t="s">
        <v>14</v>
      </c>
      <c r="G3572">
        <v>101</v>
      </c>
      <c r="H3572">
        <v>1</v>
      </c>
      <c r="I3572">
        <v>9</v>
      </c>
      <c r="J3572">
        <v>111</v>
      </c>
      <c r="K3572" s="482">
        <v>0.91</v>
      </c>
      <c r="L3572" s="482">
        <v>8.9999999999999993E-3</v>
      </c>
      <c r="M3572" s="482">
        <v>8.1000000000000003E-2</v>
      </c>
    </row>
    <row r="3573" spans="1:13" x14ac:dyDescent="0.2">
      <c r="A3573" t="s">
        <v>5087</v>
      </c>
      <c r="B3573" t="s">
        <v>13</v>
      </c>
      <c r="C3573" t="s">
        <v>1</v>
      </c>
      <c r="D3573" t="s">
        <v>3730</v>
      </c>
      <c r="E3573" t="s">
        <v>3731</v>
      </c>
      <c r="F3573" t="s">
        <v>14</v>
      </c>
      <c r="G3573">
        <v>168</v>
      </c>
      <c r="H3573">
        <v>1</v>
      </c>
      <c r="I3573">
        <v>2</v>
      </c>
      <c r="J3573">
        <v>171</v>
      </c>
      <c r="K3573" s="482">
        <v>0.98199999999999998</v>
      </c>
      <c r="L3573" s="482">
        <v>6.0000000000000001E-3</v>
      </c>
      <c r="M3573" s="482">
        <v>1.2E-2</v>
      </c>
    </row>
    <row r="3574" spans="1:13" x14ac:dyDescent="0.2">
      <c r="A3574" t="s">
        <v>5088</v>
      </c>
      <c r="B3574" t="s">
        <v>13</v>
      </c>
      <c r="C3574" t="s">
        <v>1</v>
      </c>
      <c r="D3574" t="s">
        <v>3733</v>
      </c>
      <c r="E3574" t="s">
        <v>3734</v>
      </c>
      <c r="F3574" t="s">
        <v>14</v>
      </c>
      <c r="G3574">
        <v>186</v>
      </c>
      <c r="H3574">
        <v>1</v>
      </c>
      <c r="I3574">
        <v>7</v>
      </c>
      <c r="J3574">
        <v>194</v>
      </c>
      <c r="K3574" s="482">
        <v>0.95899999999999996</v>
      </c>
      <c r="L3574" s="482">
        <v>5.0000000000000001E-3</v>
      </c>
      <c r="M3574" s="482">
        <v>3.5999999999999997E-2</v>
      </c>
    </row>
    <row r="3575" spans="1:13" x14ac:dyDescent="0.2">
      <c r="A3575" t="s">
        <v>5089</v>
      </c>
      <c r="B3575" t="s">
        <v>13</v>
      </c>
      <c r="C3575" t="s">
        <v>1</v>
      </c>
      <c r="D3575" t="s">
        <v>3736</v>
      </c>
      <c r="E3575" t="s">
        <v>3737</v>
      </c>
      <c r="F3575" t="s">
        <v>14</v>
      </c>
      <c r="G3575">
        <v>66</v>
      </c>
      <c r="H3575">
        <v>0</v>
      </c>
      <c r="I3575">
        <v>2</v>
      </c>
      <c r="J3575">
        <v>68</v>
      </c>
      <c r="K3575" s="482">
        <v>0.97099999999999997</v>
      </c>
      <c r="L3575" s="482">
        <v>0</v>
      </c>
      <c r="M3575" s="482">
        <v>2.9000000000000001E-2</v>
      </c>
    </row>
    <row r="3576" spans="1:13" x14ac:dyDescent="0.2">
      <c r="A3576" t="s">
        <v>5080</v>
      </c>
      <c r="B3576" t="s">
        <v>13</v>
      </c>
      <c r="C3576" t="s">
        <v>1</v>
      </c>
      <c r="D3576" t="s">
        <v>3709</v>
      </c>
      <c r="E3576" t="s">
        <v>3710</v>
      </c>
      <c r="F3576" t="s">
        <v>14</v>
      </c>
      <c r="G3576">
        <v>84</v>
      </c>
      <c r="H3576">
        <v>1</v>
      </c>
      <c r="I3576">
        <v>1</v>
      </c>
      <c r="J3576">
        <v>86</v>
      </c>
      <c r="K3576" s="482">
        <v>0.97699999999999998</v>
      </c>
      <c r="L3576" s="482">
        <v>1.2E-2</v>
      </c>
      <c r="M3576" s="482">
        <v>1.2E-2</v>
      </c>
    </row>
    <row r="3577" spans="1:13" x14ac:dyDescent="0.2">
      <c r="A3577" t="s">
        <v>5081</v>
      </c>
      <c r="B3577" t="s">
        <v>13</v>
      </c>
      <c r="C3577" t="s">
        <v>1</v>
      </c>
      <c r="D3577" t="s">
        <v>3712</v>
      </c>
      <c r="E3577" t="s">
        <v>3713</v>
      </c>
      <c r="F3577" t="s">
        <v>14</v>
      </c>
      <c r="G3577">
        <v>239</v>
      </c>
      <c r="H3577">
        <v>1</v>
      </c>
      <c r="I3577">
        <v>7</v>
      </c>
      <c r="J3577">
        <v>247</v>
      </c>
      <c r="K3577" s="482">
        <v>0.96799999999999997</v>
      </c>
      <c r="L3577" s="482">
        <v>4.0000000000000001E-3</v>
      </c>
      <c r="M3577" s="482">
        <v>2.8000000000000001E-2</v>
      </c>
    </row>
    <row r="3578" spans="1:13" x14ac:dyDescent="0.2">
      <c r="A3578" t="s">
        <v>5093</v>
      </c>
      <c r="B3578" t="s">
        <v>13</v>
      </c>
      <c r="C3578" t="s">
        <v>1</v>
      </c>
      <c r="D3578" t="s">
        <v>3745</v>
      </c>
      <c r="E3578" t="s">
        <v>3746</v>
      </c>
      <c r="F3578" t="s">
        <v>14</v>
      </c>
      <c r="G3578">
        <v>298</v>
      </c>
      <c r="H3578">
        <v>3</v>
      </c>
      <c r="I3578">
        <v>17</v>
      </c>
      <c r="J3578">
        <v>318</v>
      </c>
      <c r="K3578" s="482">
        <v>0.93700000000000006</v>
      </c>
      <c r="L3578" s="482">
        <v>8.9999999999999993E-3</v>
      </c>
      <c r="M3578" s="482">
        <v>5.2999999999999999E-2</v>
      </c>
    </row>
    <row r="3579" spans="1:13" x14ac:dyDescent="0.2">
      <c r="A3579" t="s">
        <v>5143</v>
      </c>
      <c r="B3579" t="s">
        <v>13</v>
      </c>
      <c r="C3579" t="s">
        <v>1</v>
      </c>
      <c r="D3579" t="s">
        <v>3909</v>
      </c>
      <c r="E3579" t="s">
        <v>3910</v>
      </c>
      <c r="F3579" t="s">
        <v>14</v>
      </c>
      <c r="G3579">
        <v>116</v>
      </c>
      <c r="H3579">
        <v>2</v>
      </c>
      <c r="I3579">
        <v>2</v>
      </c>
      <c r="J3579">
        <v>120</v>
      </c>
      <c r="K3579" s="482">
        <v>0.96699999999999997</v>
      </c>
      <c r="L3579" s="482">
        <v>1.7000000000000001E-2</v>
      </c>
      <c r="M3579" s="482">
        <v>1.7000000000000001E-2</v>
      </c>
    </row>
    <row r="3580" spans="1:13" x14ac:dyDescent="0.2">
      <c r="A3580" t="s">
        <v>5145</v>
      </c>
      <c r="B3580" t="s">
        <v>13</v>
      </c>
      <c r="C3580" t="s">
        <v>1</v>
      </c>
      <c r="D3580" t="s">
        <v>3912</v>
      </c>
      <c r="E3580" t="s">
        <v>3913</v>
      </c>
      <c r="F3580" t="s">
        <v>14</v>
      </c>
      <c r="G3580">
        <v>87</v>
      </c>
      <c r="H3580">
        <v>0</v>
      </c>
      <c r="I3580">
        <v>4</v>
      </c>
      <c r="J3580">
        <v>91</v>
      </c>
      <c r="K3580" s="482">
        <v>0.95599999999999996</v>
      </c>
      <c r="L3580" s="482">
        <v>0</v>
      </c>
      <c r="M3580" s="482">
        <v>4.3999999999999997E-2</v>
      </c>
    </row>
    <row r="3581" spans="1:13" x14ac:dyDescent="0.2">
      <c r="A3581" t="s">
        <v>5146</v>
      </c>
      <c r="B3581" t="s">
        <v>13</v>
      </c>
      <c r="C3581" t="s">
        <v>1</v>
      </c>
      <c r="D3581" t="s">
        <v>3915</v>
      </c>
      <c r="E3581" t="s">
        <v>3916</v>
      </c>
      <c r="F3581" t="s">
        <v>14</v>
      </c>
      <c r="G3581">
        <v>145</v>
      </c>
      <c r="H3581">
        <v>0</v>
      </c>
      <c r="I3581">
        <v>6</v>
      </c>
      <c r="J3581">
        <v>151</v>
      </c>
      <c r="K3581" s="482">
        <v>0.96</v>
      </c>
      <c r="L3581" s="482">
        <v>0</v>
      </c>
      <c r="M3581" s="482">
        <v>0.04</v>
      </c>
    </row>
    <row r="3582" spans="1:13" x14ac:dyDescent="0.2">
      <c r="A3582" t="s">
        <v>5147</v>
      </c>
      <c r="B3582" t="s">
        <v>13</v>
      </c>
      <c r="C3582" t="s">
        <v>1</v>
      </c>
      <c r="D3582" t="s">
        <v>3918</v>
      </c>
      <c r="E3582" t="s">
        <v>3919</v>
      </c>
      <c r="F3582" t="s">
        <v>14</v>
      </c>
      <c r="G3582">
        <v>83</v>
      </c>
      <c r="H3582">
        <v>0</v>
      </c>
      <c r="I3582">
        <v>7</v>
      </c>
      <c r="J3582">
        <v>90</v>
      </c>
      <c r="K3582" s="482">
        <v>0.92200000000000004</v>
      </c>
      <c r="L3582" s="482">
        <v>0</v>
      </c>
      <c r="M3582" s="482">
        <v>7.8E-2</v>
      </c>
    </row>
    <row r="3583" spans="1:13" x14ac:dyDescent="0.2">
      <c r="A3583" t="s">
        <v>5031</v>
      </c>
      <c r="B3583" t="s">
        <v>13</v>
      </c>
      <c r="C3583" t="s">
        <v>1</v>
      </c>
      <c r="D3583" t="s">
        <v>3924</v>
      </c>
      <c r="E3583" t="s">
        <v>3925</v>
      </c>
      <c r="F3583" t="s">
        <v>14</v>
      </c>
      <c r="G3583">
        <v>197</v>
      </c>
      <c r="H3583">
        <v>2</v>
      </c>
      <c r="I3583">
        <v>5</v>
      </c>
      <c r="J3583">
        <v>204</v>
      </c>
      <c r="K3583" s="482">
        <v>0.96599999999999997</v>
      </c>
      <c r="L3583" s="482">
        <v>0.01</v>
      </c>
      <c r="M3583" s="482">
        <v>2.5000000000000001E-2</v>
      </c>
    </row>
    <row r="3584" spans="1:13" x14ac:dyDescent="0.2">
      <c r="A3584" t="s">
        <v>5032</v>
      </c>
      <c r="B3584" t="s">
        <v>13</v>
      </c>
      <c r="C3584" t="s">
        <v>1</v>
      </c>
      <c r="D3584" t="s">
        <v>3567</v>
      </c>
      <c r="E3584" t="s">
        <v>3568</v>
      </c>
      <c r="F3584" t="s">
        <v>14</v>
      </c>
      <c r="G3584">
        <v>210</v>
      </c>
      <c r="H3584">
        <v>2</v>
      </c>
      <c r="I3584">
        <v>7</v>
      </c>
      <c r="J3584">
        <v>219</v>
      </c>
      <c r="K3584" s="482">
        <v>0.95899999999999996</v>
      </c>
      <c r="L3584" s="482">
        <v>8.9999999999999993E-3</v>
      </c>
      <c r="M3584" s="482">
        <v>3.2000000000000001E-2</v>
      </c>
    </row>
    <row r="3585" spans="1:13" x14ac:dyDescent="0.2">
      <c r="A3585" t="s">
        <v>5149</v>
      </c>
      <c r="B3585" t="s">
        <v>13</v>
      </c>
      <c r="C3585" t="s">
        <v>1</v>
      </c>
      <c r="D3585" t="s">
        <v>3930</v>
      </c>
      <c r="E3585" t="s">
        <v>344</v>
      </c>
      <c r="F3585" t="s">
        <v>14</v>
      </c>
      <c r="G3585">
        <v>221</v>
      </c>
      <c r="H3585">
        <v>1</v>
      </c>
      <c r="I3585">
        <v>8</v>
      </c>
      <c r="J3585">
        <v>230</v>
      </c>
      <c r="K3585" s="482">
        <v>0.96099999999999997</v>
      </c>
      <c r="L3585" s="482">
        <v>4.0000000000000001E-3</v>
      </c>
      <c r="M3585" s="482">
        <v>3.5000000000000003E-2</v>
      </c>
    </row>
    <row r="3586" spans="1:13" x14ac:dyDescent="0.2">
      <c r="A3586" t="s">
        <v>5017</v>
      </c>
      <c r="B3586" t="s">
        <v>13</v>
      </c>
      <c r="C3586" t="s">
        <v>1</v>
      </c>
      <c r="D3586" t="s">
        <v>3522</v>
      </c>
      <c r="E3586" t="s">
        <v>3523</v>
      </c>
      <c r="F3586" t="s">
        <v>14</v>
      </c>
      <c r="G3586">
        <v>74</v>
      </c>
      <c r="H3586">
        <v>0</v>
      </c>
      <c r="I3586">
        <v>4</v>
      </c>
      <c r="J3586">
        <v>78</v>
      </c>
      <c r="K3586" s="482">
        <v>0.94899999999999995</v>
      </c>
      <c r="L3586" s="482">
        <v>0</v>
      </c>
      <c r="M3586" s="482">
        <v>5.0999999999999997E-2</v>
      </c>
    </row>
    <row r="3587" spans="1:13" x14ac:dyDescent="0.2">
      <c r="A3587" t="s">
        <v>6614</v>
      </c>
      <c r="B3587" t="s">
        <v>13</v>
      </c>
      <c r="C3587" t="s">
        <v>1</v>
      </c>
      <c r="D3587" t="s">
        <v>6515</v>
      </c>
      <c r="E3587" t="s">
        <v>6516</v>
      </c>
      <c r="F3587" t="s">
        <v>14</v>
      </c>
      <c r="G3587">
        <v>5</v>
      </c>
      <c r="H3587" t="s">
        <v>53</v>
      </c>
      <c r="I3587">
        <v>1</v>
      </c>
      <c r="J3587" t="s">
        <v>53</v>
      </c>
      <c r="K3587" t="s">
        <v>53</v>
      </c>
      <c r="L3587" t="s">
        <v>53</v>
      </c>
      <c r="M3587" t="s">
        <v>53</v>
      </c>
    </row>
    <row r="3588" spans="1:13" x14ac:dyDescent="0.2">
      <c r="A3588" t="s">
        <v>5051</v>
      </c>
      <c r="B3588" t="s">
        <v>13</v>
      </c>
      <c r="C3588" t="s">
        <v>1</v>
      </c>
      <c r="D3588" t="s">
        <v>3528</v>
      </c>
      <c r="E3588" t="s">
        <v>3529</v>
      </c>
      <c r="F3588" t="s">
        <v>14</v>
      </c>
      <c r="G3588">
        <v>154</v>
      </c>
      <c r="H3588">
        <v>3</v>
      </c>
      <c r="I3588">
        <v>2</v>
      </c>
      <c r="J3588">
        <v>159</v>
      </c>
      <c r="K3588" s="482">
        <v>0.96899999999999997</v>
      </c>
      <c r="L3588" s="482">
        <v>1.9E-2</v>
      </c>
      <c r="M3588" s="482">
        <v>1.2999999999999999E-2</v>
      </c>
    </row>
    <row r="3589" spans="1:13" x14ac:dyDescent="0.2">
      <c r="A3589" t="s">
        <v>5052</v>
      </c>
      <c r="B3589" t="s">
        <v>13</v>
      </c>
      <c r="C3589" t="s">
        <v>1</v>
      </c>
      <c r="D3589" t="s">
        <v>3627</v>
      </c>
      <c r="E3589" t="s">
        <v>3628</v>
      </c>
      <c r="F3589" t="s">
        <v>14</v>
      </c>
      <c r="G3589">
        <v>190</v>
      </c>
      <c r="H3589">
        <v>0</v>
      </c>
      <c r="I3589">
        <v>3</v>
      </c>
      <c r="J3589">
        <v>193</v>
      </c>
      <c r="K3589" s="482">
        <v>0.98399999999999999</v>
      </c>
      <c r="L3589" s="482">
        <v>0</v>
      </c>
      <c r="M3589" s="482">
        <v>1.6E-2</v>
      </c>
    </row>
    <row r="3590" spans="1:13" x14ac:dyDescent="0.2">
      <c r="A3590" t="s">
        <v>5053</v>
      </c>
      <c r="B3590" t="s">
        <v>13</v>
      </c>
      <c r="C3590" t="s">
        <v>1</v>
      </c>
      <c r="D3590" t="s">
        <v>3630</v>
      </c>
      <c r="E3590" t="s">
        <v>3631</v>
      </c>
      <c r="F3590" t="s">
        <v>14</v>
      </c>
      <c r="G3590">
        <v>159</v>
      </c>
      <c r="H3590">
        <v>0</v>
      </c>
      <c r="I3590">
        <v>3</v>
      </c>
      <c r="J3590">
        <v>162</v>
      </c>
      <c r="K3590" s="482">
        <v>0.98099999999999998</v>
      </c>
      <c r="L3590" s="482">
        <v>0</v>
      </c>
      <c r="M3590" s="482">
        <v>1.9E-2</v>
      </c>
    </row>
    <row r="3591" spans="1:13" x14ac:dyDescent="0.2">
      <c r="A3591" t="s">
        <v>5054</v>
      </c>
      <c r="B3591" t="s">
        <v>13</v>
      </c>
      <c r="C3591" t="s">
        <v>1</v>
      </c>
      <c r="D3591" t="s">
        <v>3633</v>
      </c>
      <c r="E3591" t="s">
        <v>342</v>
      </c>
      <c r="F3591" t="s">
        <v>14</v>
      </c>
      <c r="G3591">
        <v>164</v>
      </c>
      <c r="H3591">
        <v>0</v>
      </c>
      <c r="I3591">
        <v>6</v>
      </c>
      <c r="J3591">
        <v>170</v>
      </c>
      <c r="K3591" s="482">
        <v>0.96499999999999997</v>
      </c>
      <c r="L3591" s="482">
        <v>0</v>
      </c>
      <c r="M3591" s="482">
        <v>3.5000000000000003E-2</v>
      </c>
    </row>
    <row r="3592" spans="1:13" x14ac:dyDescent="0.2">
      <c r="A3592" t="s">
        <v>5055</v>
      </c>
      <c r="B3592" t="s">
        <v>13</v>
      </c>
      <c r="C3592" t="s">
        <v>1</v>
      </c>
      <c r="D3592" t="s">
        <v>3635</v>
      </c>
      <c r="E3592" t="s">
        <v>3636</v>
      </c>
      <c r="F3592" t="s">
        <v>14</v>
      </c>
      <c r="G3592">
        <v>178</v>
      </c>
      <c r="H3592">
        <v>0</v>
      </c>
      <c r="I3592">
        <v>11</v>
      </c>
      <c r="J3592">
        <v>189</v>
      </c>
      <c r="K3592" s="482">
        <v>0.94199999999999995</v>
      </c>
      <c r="L3592" s="482">
        <v>0</v>
      </c>
      <c r="M3592" s="482">
        <v>5.8000000000000003E-2</v>
      </c>
    </row>
    <row r="3593" spans="1:13" x14ac:dyDescent="0.2">
      <c r="A3593" t="s">
        <v>5056</v>
      </c>
      <c r="B3593" t="s">
        <v>13</v>
      </c>
      <c r="C3593" t="s">
        <v>1</v>
      </c>
      <c r="D3593" t="s">
        <v>3638</v>
      </c>
      <c r="E3593" t="s">
        <v>3639</v>
      </c>
      <c r="F3593" t="s">
        <v>14</v>
      </c>
      <c r="G3593">
        <v>143</v>
      </c>
      <c r="H3593">
        <v>0</v>
      </c>
      <c r="I3593">
        <v>5</v>
      </c>
      <c r="J3593">
        <v>148</v>
      </c>
      <c r="K3593" s="482">
        <v>0.96599999999999997</v>
      </c>
      <c r="L3593" s="482">
        <v>0</v>
      </c>
      <c r="M3593" s="482">
        <v>3.4000000000000002E-2</v>
      </c>
    </row>
    <row r="3594" spans="1:13" x14ac:dyDescent="0.2">
      <c r="A3594" t="s">
        <v>5097</v>
      </c>
      <c r="B3594" t="s">
        <v>13</v>
      </c>
      <c r="C3594" t="s">
        <v>1</v>
      </c>
      <c r="D3594" t="s">
        <v>3757</v>
      </c>
      <c r="E3594" t="s">
        <v>3758</v>
      </c>
      <c r="F3594" t="s">
        <v>14</v>
      </c>
      <c r="G3594">
        <v>59</v>
      </c>
      <c r="H3594">
        <v>1</v>
      </c>
      <c r="I3594">
        <v>0</v>
      </c>
      <c r="J3594">
        <v>60</v>
      </c>
      <c r="K3594" s="482">
        <v>0.98299999999999998</v>
      </c>
      <c r="L3594" s="482">
        <v>1.7000000000000001E-2</v>
      </c>
      <c r="M3594" s="482">
        <v>0</v>
      </c>
    </row>
    <row r="3595" spans="1:13" x14ac:dyDescent="0.2">
      <c r="A3595" t="s">
        <v>5098</v>
      </c>
      <c r="B3595" t="s">
        <v>13</v>
      </c>
      <c r="C3595" t="s">
        <v>1</v>
      </c>
      <c r="D3595" t="s">
        <v>3760</v>
      </c>
      <c r="E3595" t="s">
        <v>3761</v>
      </c>
      <c r="F3595" t="s">
        <v>14</v>
      </c>
      <c r="G3595">
        <v>74</v>
      </c>
      <c r="H3595">
        <v>1</v>
      </c>
      <c r="I3595">
        <v>2</v>
      </c>
      <c r="J3595">
        <v>77</v>
      </c>
      <c r="K3595" s="482">
        <v>0.96099999999999997</v>
      </c>
      <c r="L3595" s="482">
        <v>1.2999999999999999E-2</v>
      </c>
      <c r="M3595" s="482">
        <v>2.5999999999999999E-2</v>
      </c>
    </row>
    <row r="3596" spans="1:13" x14ac:dyDescent="0.2">
      <c r="A3596" t="s">
        <v>6615</v>
      </c>
      <c r="B3596" t="s">
        <v>13</v>
      </c>
      <c r="C3596" t="s">
        <v>1</v>
      </c>
      <c r="D3596" t="s">
        <v>3480</v>
      </c>
      <c r="E3596" t="s">
        <v>6584</v>
      </c>
      <c r="F3596" t="s">
        <v>14</v>
      </c>
      <c r="G3596">
        <v>218</v>
      </c>
      <c r="H3596">
        <v>4</v>
      </c>
      <c r="I3596">
        <v>9</v>
      </c>
      <c r="J3596">
        <v>231</v>
      </c>
      <c r="K3596" s="482">
        <v>0.94399999999999995</v>
      </c>
      <c r="L3596" s="482">
        <v>1.7000000000000001E-2</v>
      </c>
      <c r="M3596" s="482">
        <v>3.9E-2</v>
      </c>
    </row>
    <row r="3597" spans="1:13" x14ac:dyDescent="0.2">
      <c r="A3597" t="s">
        <v>5099</v>
      </c>
      <c r="B3597" t="s">
        <v>13</v>
      </c>
      <c r="C3597" t="s">
        <v>1</v>
      </c>
      <c r="D3597" t="s">
        <v>3763</v>
      </c>
      <c r="E3597" t="s">
        <v>3764</v>
      </c>
      <c r="F3597" t="s">
        <v>14</v>
      </c>
      <c r="G3597">
        <v>281</v>
      </c>
      <c r="H3597">
        <v>2</v>
      </c>
      <c r="I3597">
        <v>5</v>
      </c>
      <c r="J3597">
        <v>288</v>
      </c>
      <c r="K3597" s="482">
        <v>0.97599999999999998</v>
      </c>
      <c r="L3597" s="482">
        <v>7.0000000000000001E-3</v>
      </c>
      <c r="M3597" s="482">
        <v>1.7000000000000001E-2</v>
      </c>
    </row>
    <row r="3598" spans="1:13" x14ac:dyDescent="0.2">
      <c r="A3598" t="s">
        <v>5100</v>
      </c>
      <c r="B3598" t="s">
        <v>13</v>
      </c>
      <c r="C3598" t="s">
        <v>1</v>
      </c>
      <c r="D3598" t="s">
        <v>4506</v>
      </c>
      <c r="E3598" t="s">
        <v>4507</v>
      </c>
      <c r="F3598" t="s">
        <v>14</v>
      </c>
      <c r="G3598">
        <v>9</v>
      </c>
      <c r="H3598">
        <v>0</v>
      </c>
      <c r="I3598">
        <v>1</v>
      </c>
      <c r="J3598">
        <v>10</v>
      </c>
      <c r="K3598" s="482">
        <v>0.9</v>
      </c>
      <c r="L3598" s="482">
        <v>0</v>
      </c>
      <c r="M3598" s="482">
        <v>0.1</v>
      </c>
    </row>
    <row r="3599" spans="1:13" x14ac:dyDescent="0.2">
      <c r="A3599" t="s">
        <v>5101</v>
      </c>
      <c r="B3599" t="s">
        <v>13</v>
      </c>
      <c r="C3599" t="s">
        <v>1</v>
      </c>
      <c r="D3599" t="s">
        <v>3766</v>
      </c>
      <c r="E3599" t="s">
        <v>3767</v>
      </c>
      <c r="F3599" t="s">
        <v>14</v>
      </c>
      <c r="G3599">
        <v>124</v>
      </c>
      <c r="H3599">
        <v>4</v>
      </c>
      <c r="I3599">
        <v>6</v>
      </c>
      <c r="J3599">
        <v>134</v>
      </c>
      <c r="K3599" s="482">
        <v>0.92500000000000004</v>
      </c>
      <c r="L3599" s="482">
        <v>0.03</v>
      </c>
      <c r="M3599" s="482">
        <v>4.4999999999999998E-2</v>
      </c>
    </row>
    <row r="3600" spans="1:13" x14ac:dyDescent="0.2">
      <c r="A3600" t="s">
        <v>5102</v>
      </c>
      <c r="B3600" t="s">
        <v>13</v>
      </c>
      <c r="C3600" t="s">
        <v>1</v>
      </c>
      <c r="D3600" t="s">
        <v>3769</v>
      </c>
      <c r="E3600" t="s">
        <v>3770</v>
      </c>
      <c r="F3600" t="s">
        <v>14</v>
      </c>
      <c r="G3600">
        <v>106</v>
      </c>
      <c r="H3600">
        <v>4</v>
      </c>
      <c r="I3600">
        <v>5</v>
      </c>
      <c r="J3600">
        <v>115</v>
      </c>
      <c r="K3600" s="482">
        <v>0.92200000000000004</v>
      </c>
      <c r="L3600" s="482">
        <v>3.5000000000000003E-2</v>
      </c>
      <c r="M3600" s="482">
        <v>4.2999999999999997E-2</v>
      </c>
    </row>
    <row r="3601" spans="1:13" x14ac:dyDescent="0.2">
      <c r="A3601" t="s">
        <v>5103</v>
      </c>
      <c r="B3601" t="s">
        <v>13</v>
      </c>
      <c r="C3601" t="s">
        <v>1</v>
      </c>
      <c r="D3601" t="s">
        <v>3772</v>
      </c>
      <c r="E3601" t="s">
        <v>3773</v>
      </c>
      <c r="F3601" t="s">
        <v>14</v>
      </c>
      <c r="G3601">
        <v>166</v>
      </c>
      <c r="H3601">
        <v>0</v>
      </c>
      <c r="I3601">
        <v>9</v>
      </c>
      <c r="J3601">
        <v>175</v>
      </c>
      <c r="K3601" s="482">
        <v>0.94899999999999995</v>
      </c>
      <c r="L3601" s="482">
        <v>0</v>
      </c>
      <c r="M3601" s="482">
        <v>5.0999999999999997E-2</v>
      </c>
    </row>
    <row r="3602" spans="1:13" x14ac:dyDescent="0.2">
      <c r="A3602" t="s">
        <v>5082</v>
      </c>
      <c r="B3602" t="s">
        <v>13</v>
      </c>
      <c r="C3602" t="s">
        <v>1</v>
      </c>
      <c r="D3602" t="s">
        <v>3715</v>
      </c>
      <c r="E3602" t="s">
        <v>3716</v>
      </c>
      <c r="F3602" t="s">
        <v>14</v>
      </c>
      <c r="G3602">
        <v>228</v>
      </c>
      <c r="H3602">
        <v>0</v>
      </c>
      <c r="I3602">
        <v>2</v>
      </c>
      <c r="J3602">
        <v>230</v>
      </c>
      <c r="K3602" s="482">
        <v>0.99099999999999999</v>
      </c>
      <c r="L3602" s="482">
        <v>0</v>
      </c>
      <c r="M3602" s="482">
        <v>8.9999999999999993E-3</v>
      </c>
    </row>
    <row r="3603" spans="1:13" x14ac:dyDescent="0.2">
      <c r="A3603" t="s">
        <v>5083</v>
      </c>
      <c r="B3603" t="s">
        <v>13</v>
      </c>
      <c r="C3603" t="s">
        <v>1</v>
      </c>
      <c r="D3603" t="s">
        <v>3718</v>
      </c>
      <c r="E3603" t="s">
        <v>3719</v>
      </c>
      <c r="F3603" t="s">
        <v>14</v>
      </c>
      <c r="G3603">
        <v>538</v>
      </c>
      <c r="H3603">
        <v>4</v>
      </c>
      <c r="I3603">
        <v>12</v>
      </c>
      <c r="J3603">
        <v>554</v>
      </c>
      <c r="K3603" s="482">
        <v>0.97099999999999997</v>
      </c>
      <c r="L3603" s="482">
        <v>7.0000000000000001E-3</v>
      </c>
      <c r="M3603" s="482">
        <v>2.1999999999999999E-2</v>
      </c>
    </row>
    <row r="3604" spans="1:13" x14ac:dyDescent="0.2">
      <c r="A3604" t="s">
        <v>5119</v>
      </c>
      <c r="B3604" t="s">
        <v>13</v>
      </c>
      <c r="C3604" t="s">
        <v>1</v>
      </c>
      <c r="D3604" t="s">
        <v>4529</v>
      </c>
      <c r="E3604" t="s">
        <v>4530</v>
      </c>
      <c r="F3604" t="s">
        <v>14</v>
      </c>
      <c r="G3604" t="s">
        <v>53</v>
      </c>
      <c r="H3604">
        <v>0</v>
      </c>
      <c r="I3604">
        <v>0</v>
      </c>
      <c r="J3604" t="s">
        <v>53</v>
      </c>
      <c r="K3604" t="s">
        <v>53</v>
      </c>
      <c r="L3604" t="s">
        <v>53</v>
      </c>
      <c r="M3604" t="s">
        <v>53</v>
      </c>
    </row>
    <row r="3605" spans="1:13" x14ac:dyDescent="0.2">
      <c r="A3605" t="s">
        <v>5012</v>
      </c>
      <c r="B3605" t="s">
        <v>13</v>
      </c>
      <c r="C3605" t="s">
        <v>1</v>
      </c>
      <c r="D3605" t="s">
        <v>3509</v>
      </c>
      <c r="E3605" t="s">
        <v>3510</v>
      </c>
      <c r="F3605" t="s">
        <v>14</v>
      </c>
      <c r="G3605">
        <v>62</v>
      </c>
      <c r="H3605">
        <v>0</v>
      </c>
      <c r="I3605">
        <v>1</v>
      </c>
      <c r="J3605">
        <v>63</v>
      </c>
      <c r="K3605" s="482">
        <v>0.98399999999999999</v>
      </c>
      <c r="L3605" s="482">
        <v>0</v>
      </c>
      <c r="M3605" s="482">
        <v>1.6E-2</v>
      </c>
    </row>
    <row r="3606" spans="1:13" x14ac:dyDescent="0.2">
      <c r="A3606" t="s">
        <v>5029</v>
      </c>
      <c r="B3606" t="s">
        <v>13</v>
      </c>
      <c r="C3606" t="s">
        <v>1</v>
      </c>
      <c r="D3606" t="s">
        <v>4425</v>
      </c>
      <c r="E3606" t="s">
        <v>4426</v>
      </c>
      <c r="F3606" t="s">
        <v>14</v>
      </c>
      <c r="G3606">
        <v>443</v>
      </c>
      <c r="H3606">
        <v>3</v>
      </c>
      <c r="I3606">
        <v>10</v>
      </c>
      <c r="J3606">
        <v>456</v>
      </c>
      <c r="K3606" s="482">
        <v>0.97099999999999997</v>
      </c>
      <c r="L3606" s="482">
        <v>7.0000000000000001E-3</v>
      </c>
      <c r="M3606" s="482">
        <v>2.1999999999999999E-2</v>
      </c>
    </row>
    <row r="3607" spans="1:13" x14ac:dyDescent="0.2">
      <c r="A3607" t="s">
        <v>5010</v>
      </c>
      <c r="B3607" t="s">
        <v>13</v>
      </c>
      <c r="C3607" t="s">
        <v>1</v>
      </c>
      <c r="D3607" t="s">
        <v>3503</v>
      </c>
      <c r="E3607" t="s">
        <v>3504</v>
      </c>
      <c r="F3607" t="s">
        <v>14</v>
      </c>
      <c r="G3607">
        <v>10</v>
      </c>
      <c r="H3607">
        <v>0</v>
      </c>
      <c r="I3607">
        <v>0</v>
      </c>
      <c r="J3607">
        <v>10</v>
      </c>
      <c r="K3607" s="482">
        <v>1</v>
      </c>
      <c r="L3607" s="482">
        <v>0</v>
      </c>
      <c r="M3607" s="482">
        <v>0</v>
      </c>
    </row>
    <row r="3608" spans="1:13" x14ac:dyDescent="0.2">
      <c r="A3608" t="s">
        <v>5011</v>
      </c>
      <c r="B3608" t="s">
        <v>13</v>
      </c>
      <c r="C3608" t="s">
        <v>1</v>
      </c>
      <c r="D3608" t="s">
        <v>3506</v>
      </c>
      <c r="E3608" t="s">
        <v>3507</v>
      </c>
      <c r="F3608" t="s">
        <v>14</v>
      </c>
      <c r="G3608">
        <v>54</v>
      </c>
      <c r="H3608">
        <v>0</v>
      </c>
      <c r="I3608">
        <v>2</v>
      </c>
      <c r="J3608">
        <v>56</v>
      </c>
      <c r="K3608" s="482">
        <v>0.96399999999999997</v>
      </c>
      <c r="L3608" s="482">
        <v>0</v>
      </c>
      <c r="M3608" s="482">
        <v>3.5999999999999997E-2</v>
      </c>
    </row>
    <row r="3609" spans="1:13" x14ac:dyDescent="0.2">
      <c r="A3609" t="s">
        <v>5013</v>
      </c>
      <c r="B3609" t="s">
        <v>13</v>
      </c>
      <c r="C3609" t="s">
        <v>1</v>
      </c>
      <c r="D3609" t="s">
        <v>3512</v>
      </c>
      <c r="E3609" t="s">
        <v>3513</v>
      </c>
      <c r="F3609" t="s">
        <v>14</v>
      </c>
      <c r="G3609">
        <v>62</v>
      </c>
      <c r="H3609">
        <v>0</v>
      </c>
      <c r="I3609">
        <v>1</v>
      </c>
      <c r="J3609">
        <v>63</v>
      </c>
      <c r="K3609" s="482">
        <v>0.98399999999999999</v>
      </c>
      <c r="L3609" s="482">
        <v>0</v>
      </c>
      <c r="M3609" s="482">
        <v>1.6E-2</v>
      </c>
    </row>
    <row r="3610" spans="1:13" x14ac:dyDescent="0.2">
      <c r="A3610" t="s">
        <v>5024</v>
      </c>
      <c r="B3610" t="s">
        <v>13</v>
      </c>
      <c r="C3610" t="s">
        <v>1</v>
      </c>
      <c r="D3610" t="s">
        <v>3549</v>
      </c>
      <c r="E3610" t="s">
        <v>3550</v>
      </c>
      <c r="F3610" t="s">
        <v>14</v>
      </c>
      <c r="G3610">
        <v>108</v>
      </c>
      <c r="H3610">
        <v>1</v>
      </c>
      <c r="I3610">
        <v>4</v>
      </c>
      <c r="J3610">
        <v>113</v>
      </c>
      <c r="K3610" s="482">
        <v>0.95599999999999996</v>
      </c>
      <c r="L3610" s="482">
        <v>8.9999999999999993E-3</v>
      </c>
      <c r="M3610" s="482">
        <v>3.5000000000000003E-2</v>
      </c>
    </row>
    <row r="3611" spans="1:13" x14ac:dyDescent="0.2">
      <c r="A3611" t="s">
        <v>5025</v>
      </c>
      <c r="B3611" t="s">
        <v>13</v>
      </c>
      <c r="C3611" t="s">
        <v>1</v>
      </c>
      <c r="D3611" t="s">
        <v>3552</v>
      </c>
      <c r="E3611" t="s">
        <v>3553</v>
      </c>
      <c r="F3611" t="s">
        <v>14</v>
      </c>
      <c r="G3611">
        <v>128</v>
      </c>
      <c r="H3611">
        <v>1</v>
      </c>
      <c r="I3611">
        <v>8</v>
      </c>
      <c r="J3611">
        <v>137</v>
      </c>
      <c r="K3611" s="482">
        <v>0.93400000000000005</v>
      </c>
      <c r="L3611" s="482">
        <v>7.0000000000000001E-3</v>
      </c>
      <c r="M3611" s="482">
        <v>5.8000000000000003E-2</v>
      </c>
    </row>
    <row r="3612" spans="1:13" x14ac:dyDescent="0.2">
      <c r="A3612" t="s">
        <v>5026</v>
      </c>
      <c r="B3612" t="s">
        <v>13</v>
      </c>
      <c r="C3612" t="s">
        <v>1</v>
      </c>
      <c r="D3612" t="s">
        <v>3555</v>
      </c>
      <c r="E3612" t="s">
        <v>3556</v>
      </c>
      <c r="F3612" t="s">
        <v>14</v>
      </c>
      <c r="G3612">
        <v>122</v>
      </c>
      <c r="H3612">
        <v>0</v>
      </c>
      <c r="I3612">
        <v>1</v>
      </c>
      <c r="J3612">
        <v>123</v>
      </c>
      <c r="K3612" s="482">
        <v>0.99199999999999999</v>
      </c>
      <c r="L3612" s="482">
        <v>0</v>
      </c>
      <c r="M3612" s="482">
        <v>8.0000000000000002E-3</v>
      </c>
    </row>
    <row r="3613" spans="1:13" x14ac:dyDescent="0.2">
      <c r="A3613" t="s">
        <v>5132</v>
      </c>
      <c r="B3613" t="s">
        <v>13</v>
      </c>
      <c r="C3613" t="s">
        <v>1</v>
      </c>
      <c r="D3613" t="s">
        <v>3873</v>
      </c>
      <c r="E3613" t="s">
        <v>3874</v>
      </c>
      <c r="F3613" t="s">
        <v>14</v>
      </c>
      <c r="G3613">
        <v>426</v>
      </c>
      <c r="H3613">
        <v>5</v>
      </c>
      <c r="I3613">
        <v>17</v>
      </c>
      <c r="J3613">
        <v>448</v>
      </c>
      <c r="K3613" s="482">
        <v>0.95099999999999996</v>
      </c>
      <c r="L3613" s="482">
        <v>1.0999999999999999E-2</v>
      </c>
      <c r="M3613" s="482">
        <v>3.7999999999999999E-2</v>
      </c>
    </row>
    <row r="3614" spans="1:13" x14ac:dyDescent="0.2">
      <c r="A3614" t="s">
        <v>5133</v>
      </c>
      <c r="B3614" t="s">
        <v>13</v>
      </c>
      <c r="C3614" t="s">
        <v>1</v>
      </c>
      <c r="D3614" t="s">
        <v>3876</v>
      </c>
      <c r="E3614" t="s">
        <v>3877</v>
      </c>
      <c r="F3614" t="s">
        <v>14</v>
      </c>
      <c r="G3614">
        <v>227</v>
      </c>
      <c r="H3614">
        <v>1</v>
      </c>
      <c r="I3614">
        <v>11</v>
      </c>
      <c r="J3614">
        <v>239</v>
      </c>
      <c r="K3614" s="482">
        <v>0.95</v>
      </c>
      <c r="L3614" s="482">
        <v>4.0000000000000001E-3</v>
      </c>
      <c r="M3614" s="482">
        <v>4.5999999999999999E-2</v>
      </c>
    </row>
    <row r="3615" spans="1:13" x14ac:dyDescent="0.2">
      <c r="A3615" t="s">
        <v>5134</v>
      </c>
      <c r="B3615" t="s">
        <v>13</v>
      </c>
      <c r="C3615" t="s">
        <v>1</v>
      </c>
      <c r="D3615" t="s">
        <v>3879</v>
      </c>
      <c r="E3615" t="s">
        <v>3880</v>
      </c>
      <c r="F3615" t="s">
        <v>14</v>
      </c>
      <c r="G3615">
        <v>146</v>
      </c>
      <c r="H3615">
        <v>3</v>
      </c>
      <c r="I3615">
        <v>7</v>
      </c>
      <c r="J3615">
        <v>156</v>
      </c>
      <c r="K3615" s="482">
        <v>0.93600000000000005</v>
      </c>
      <c r="L3615" s="482">
        <v>1.9E-2</v>
      </c>
      <c r="M3615" s="482">
        <v>4.4999999999999998E-2</v>
      </c>
    </row>
    <row r="3616" spans="1:13" x14ac:dyDescent="0.2">
      <c r="A3616" t="s">
        <v>5135</v>
      </c>
      <c r="B3616" t="s">
        <v>13</v>
      </c>
      <c r="C3616" t="s">
        <v>1</v>
      </c>
      <c r="D3616" t="s">
        <v>3882</v>
      </c>
      <c r="E3616" t="s">
        <v>3883</v>
      </c>
      <c r="F3616" t="s">
        <v>14</v>
      </c>
      <c r="G3616">
        <v>360</v>
      </c>
      <c r="H3616">
        <v>1</v>
      </c>
      <c r="I3616">
        <v>10</v>
      </c>
      <c r="J3616">
        <v>371</v>
      </c>
      <c r="K3616" s="482">
        <v>0.97</v>
      </c>
      <c r="L3616" s="482">
        <v>3.0000000000000001E-3</v>
      </c>
      <c r="M3616" s="482">
        <v>2.7E-2</v>
      </c>
    </row>
    <row r="3617" spans="1:13" x14ac:dyDescent="0.2">
      <c r="A3617" t="s">
        <v>5125</v>
      </c>
      <c r="B3617" t="s">
        <v>13</v>
      </c>
      <c r="C3617" t="s">
        <v>1</v>
      </c>
      <c r="D3617" t="s">
        <v>3852</v>
      </c>
      <c r="E3617" t="s">
        <v>3853</v>
      </c>
      <c r="F3617" t="s">
        <v>14</v>
      </c>
      <c r="G3617">
        <v>66</v>
      </c>
      <c r="H3617">
        <v>1</v>
      </c>
      <c r="I3617">
        <v>2</v>
      </c>
      <c r="J3617">
        <v>69</v>
      </c>
      <c r="K3617" s="482">
        <v>0.95699999999999996</v>
      </c>
      <c r="L3617" s="482">
        <v>1.4E-2</v>
      </c>
      <c r="M3617" s="482">
        <v>2.9000000000000001E-2</v>
      </c>
    </row>
    <row r="3618" spans="1:13" x14ac:dyDescent="0.2">
      <c r="A3618" t="s">
        <v>5126</v>
      </c>
      <c r="B3618" t="s">
        <v>13</v>
      </c>
      <c r="C3618" t="s">
        <v>1</v>
      </c>
      <c r="D3618" t="s">
        <v>3855</v>
      </c>
      <c r="E3618" t="s">
        <v>3856</v>
      </c>
      <c r="F3618" t="s">
        <v>14</v>
      </c>
      <c r="G3618">
        <v>63</v>
      </c>
      <c r="H3618">
        <v>0</v>
      </c>
      <c r="I3618">
        <v>2</v>
      </c>
      <c r="J3618">
        <v>65</v>
      </c>
      <c r="K3618" s="482">
        <v>0.96899999999999997</v>
      </c>
      <c r="L3618" s="482">
        <v>0</v>
      </c>
      <c r="M3618" s="482">
        <v>3.1E-2</v>
      </c>
    </row>
    <row r="3619" spans="1:13" x14ac:dyDescent="0.2">
      <c r="A3619" t="s">
        <v>5127</v>
      </c>
      <c r="B3619" t="s">
        <v>13</v>
      </c>
      <c r="C3619" t="s">
        <v>1</v>
      </c>
      <c r="D3619" t="s">
        <v>3858</v>
      </c>
      <c r="E3619" t="s">
        <v>3859</v>
      </c>
      <c r="F3619" t="s">
        <v>14</v>
      </c>
      <c r="G3619">
        <v>200</v>
      </c>
      <c r="H3619">
        <v>1</v>
      </c>
      <c r="I3619">
        <v>6</v>
      </c>
      <c r="J3619">
        <v>207</v>
      </c>
      <c r="K3619" s="482">
        <v>0.96599999999999997</v>
      </c>
      <c r="L3619" s="482">
        <v>5.0000000000000001E-3</v>
      </c>
      <c r="M3619" s="482">
        <v>2.9000000000000001E-2</v>
      </c>
    </row>
    <row r="3620" spans="1:13" x14ac:dyDescent="0.2">
      <c r="A3620" t="s">
        <v>6616</v>
      </c>
      <c r="B3620" t="s">
        <v>13</v>
      </c>
      <c r="C3620" t="s">
        <v>1</v>
      </c>
      <c r="D3620" t="s">
        <v>3900</v>
      </c>
      <c r="E3620" t="s">
        <v>3901</v>
      </c>
      <c r="F3620" t="s">
        <v>14</v>
      </c>
      <c r="G3620" t="s">
        <v>53</v>
      </c>
      <c r="H3620">
        <v>0</v>
      </c>
      <c r="I3620">
        <v>0</v>
      </c>
      <c r="J3620" t="s">
        <v>53</v>
      </c>
      <c r="K3620" t="s">
        <v>53</v>
      </c>
      <c r="L3620" t="s">
        <v>53</v>
      </c>
      <c r="M3620" t="s">
        <v>53</v>
      </c>
    </row>
    <row r="3621" spans="1:13" x14ac:dyDescent="0.2">
      <c r="A3621" t="s">
        <v>5128</v>
      </c>
      <c r="B3621" t="s">
        <v>13</v>
      </c>
      <c r="C3621" t="s">
        <v>1</v>
      </c>
      <c r="D3621" t="s">
        <v>3861</v>
      </c>
      <c r="E3621" t="s">
        <v>3862</v>
      </c>
      <c r="F3621" t="s">
        <v>14</v>
      </c>
      <c r="G3621">
        <v>386</v>
      </c>
      <c r="H3621">
        <v>3</v>
      </c>
      <c r="I3621">
        <v>14</v>
      </c>
      <c r="J3621">
        <v>403</v>
      </c>
      <c r="K3621" s="482">
        <v>0.95799999999999996</v>
      </c>
      <c r="L3621" s="482">
        <v>7.0000000000000001E-3</v>
      </c>
      <c r="M3621" s="482">
        <v>3.5000000000000003E-2</v>
      </c>
    </row>
    <row r="3622" spans="1:13" x14ac:dyDescent="0.2">
      <c r="A3622" t="s">
        <v>5129</v>
      </c>
      <c r="B3622" t="s">
        <v>13</v>
      </c>
      <c r="C3622" t="s">
        <v>1</v>
      </c>
      <c r="D3622" t="s">
        <v>3864</v>
      </c>
      <c r="E3622" t="s">
        <v>3865</v>
      </c>
      <c r="F3622" t="s">
        <v>14</v>
      </c>
      <c r="G3622">
        <v>181</v>
      </c>
      <c r="H3622">
        <v>2</v>
      </c>
      <c r="I3622">
        <v>9</v>
      </c>
      <c r="J3622">
        <v>192</v>
      </c>
      <c r="K3622" s="482">
        <v>0.94299999999999995</v>
      </c>
      <c r="L3622" s="482">
        <v>0.01</v>
      </c>
      <c r="M3622" s="482">
        <v>4.7E-2</v>
      </c>
    </row>
    <row r="3623" spans="1:13" x14ac:dyDescent="0.2">
      <c r="A3623" t="s">
        <v>5130</v>
      </c>
      <c r="B3623" t="s">
        <v>13</v>
      </c>
      <c r="C3623" t="s">
        <v>1</v>
      </c>
      <c r="D3623" t="s">
        <v>3867</v>
      </c>
      <c r="E3623" t="s">
        <v>3868</v>
      </c>
      <c r="F3623" t="s">
        <v>14</v>
      </c>
      <c r="G3623">
        <v>189</v>
      </c>
      <c r="H3623">
        <v>0</v>
      </c>
      <c r="I3623">
        <v>5</v>
      </c>
      <c r="J3623">
        <v>194</v>
      </c>
      <c r="K3623" s="482">
        <v>0.97399999999999998</v>
      </c>
      <c r="L3623" s="482">
        <v>0</v>
      </c>
      <c r="M3623" s="482">
        <v>2.5999999999999999E-2</v>
      </c>
    </row>
    <row r="3624" spans="1:13" x14ac:dyDescent="0.2">
      <c r="A3624" t="s">
        <v>5131</v>
      </c>
      <c r="B3624" t="s">
        <v>13</v>
      </c>
      <c r="C3624" t="s">
        <v>1</v>
      </c>
      <c r="D3624" t="s">
        <v>3870</v>
      </c>
      <c r="E3624" t="s">
        <v>3871</v>
      </c>
      <c r="F3624" t="s">
        <v>14</v>
      </c>
      <c r="G3624">
        <v>59</v>
      </c>
      <c r="H3624">
        <v>0</v>
      </c>
      <c r="I3624">
        <v>2</v>
      </c>
      <c r="J3624">
        <v>61</v>
      </c>
      <c r="K3624" s="482">
        <v>0.96699999999999997</v>
      </c>
      <c r="L3624" s="482">
        <v>0</v>
      </c>
      <c r="M3624" s="482">
        <v>3.3000000000000002E-2</v>
      </c>
    </row>
    <row r="3625" spans="1:13" x14ac:dyDescent="0.2">
      <c r="A3625" t="s">
        <v>5104</v>
      </c>
      <c r="B3625" t="s">
        <v>13</v>
      </c>
      <c r="C3625" t="s">
        <v>1</v>
      </c>
      <c r="D3625" t="s">
        <v>3781</v>
      </c>
      <c r="E3625" t="s">
        <v>3782</v>
      </c>
      <c r="F3625" t="s">
        <v>14</v>
      </c>
      <c r="G3625">
        <v>80</v>
      </c>
      <c r="H3625">
        <v>0</v>
      </c>
      <c r="I3625">
        <v>5</v>
      </c>
      <c r="J3625">
        <v>85</v>
      </c>
      <c r="K3625" s="482">
        <v>0.94099999999999995</v>
      </c>
      <c r="L3625" s="482">
        <v>0</v>
      </c>
      <c r="M3625" s="482">
        <v>5.8999999999999997E-2</v>
      </c>
    </row>
    <row r="3626" spans="1:13" x14ac:dyDescent="0.2">
      <c r="A3626" t="s">
        <v>5105</v>
      </c>
      <c r="B3626" t="s">
        <v>13</v>
      </c>
      <c r="C3626" t="s">
        <v>1</v>
      </c>
      <c r="D3626" t="s">
        <v>3784</v>
      </c>
      <c r="E3626" t="s">
        <v>3785</v>
      </c>
      <c r="F3626" t="s">
        <v>14</v>
      </c>
      <c r="G3626">
        <v>267</v>
      </c>
      <c r="H3626">
        <v>0</v>
      </c>
      <c r="I3626">
        <v>10</v>
      </c>
      <c r="J3626">
        <v>277</v>
      </c>
      <c r="K3626" s="482">
        <v>0.96399999999999997</v>
      </c>
      <c r="L3626" s="482">
        <v>0</v>
      </c>
      <c r="M3626" s="482">
        <v>3.5999999999999997E-2</v>
      </c>
    </row>
    <row r="3627" spans="1:13" x14ac:dyDescent="0.2">
      <c r="A3627" t="s">
        <v>5106</v>
      </c>
      <c r="B3627" t="s">
        <v>13</v>
      </c>
      <c r="C3627" t="s">
        <v>1</v>
      </c>
      <c r="D3627" t="s">
        <v>3787</v>
      </c>
      <c r="E3627" t="s">
        <v>3788</v>
      </c>
      <c r="F3627" t="s">
        <v>14</v>
      </c>
      <c r="G3627">
        <v>140</v>
      </c>
      <c r="H3627">
        <v>0</v>
      </c>
      <c r="I3627">
        <v>5</v>
      </c>
      <c r="J3627">
        <v>145</v>
      </c>
      <c r="K3627" s="482">
        <v>0.96599999999999997</v>
      </c>
      <c r="L3627" s="482">
        <v>0</v>
      </c>
      <c r="M3627" s="482">
        <v>3.4000000000000002E-2</v>
      </c>
    </row>
    <row r="3628" spans="1:13" x14ac:dyDescent="0.2">
      <c r="A3628" t="s">
        <v>5107</v>
      </c>
      <c r="B3628" t="s">
        <v>13</v>
      </c>
      <c r="C3628" t="s">
        <v>1</v>
      </c>
      <c r="D3628" t="s">
        <v>3790</v>
      </c>
      <c r="E3628" t="s">
        <v>3791</v>
      </c>
      <c r="F3628" t="s">
        <v>14</v>
      </c>
      <c r="G3628">
        <v>447</v>
      </c>
      <c r="H3628">
        <v>3</v>
      </c>
      <c r="I3628">
        <v>18</v>
      </c>
      <c r="J3628">
        <v>468</v>
      </c>
      <c r="K3628" s="482">
        <v>0.95499999999999996</v>
      </c>
      <c r="L3628" s="482">
        <v>6.0000000000000001E-3</v>
      </c>
      <c r="M3628" s="482">
        <v>3.7999999999999999E-2</v>
      </c>
    </row>
    <row r="3629" spans="1:13" x14ac:dyDescent="0.2">
      <c r="A3629" t="s">
        <v>4912</v>
      </c>
      <c r="B3629" t="s">
        <v>13</v>
      </c>
      <c r="C3629" t="s">
        <v>1</v>
      </c>
      <c r="D3629" t="s">
        <v>3234</v>
      </c>
      <c r="E3629" t="s">
        <v>3235</v>
      </c>
      <c r="F3629" t="s">
        <v>14</v>
      </c>
      <c r="G3629">
        <v>188</v>
      </c>
      <c r="H3629">
        <v>2</v>
      </c>
      <c r="I3629">
        <v>1</v>
      </c>
      <c r="J3629">
        <v>191</v>
      </c>
      <c r="K3629" s="482">
        <v>0.98399999999999999</v>
      </c>
      <c r="L3629" s="482">
        <v>0.01</v>
      </c>
      <c r="M3629" s="482">
        <v>5.0000000000000001E-3</v>
      </c>
    </row>
    <row r="3630" spans="1:13" x14ac:dyDescent="0.2">
      <c r="A3630" t="s">
        <v>4910</v>
      </c>
      <c r="B3630" t="s">
        <v>13</v>
      </c>
      <c r="C3630" t="s">
        <v>1</v>
      </c>
      <c r="D3630" t="s">
        <v>3225</v>
      </c>
      <c r="E3630" t="s">
        <v>3226</v>
      </c>
      <c r="F3630" t="s">
        <v>14</v>
      </c>
      <c r="G3630">
        <v>226</v>
      </c>
      <c r="H3630">
        <v>2</v>
      </c>
      <c r="I3630">
        <v>9</v>
      </c>
      <c r="J3630">
        <v>237</v>
      </c>
      <c r="K3630" s="482">
        <v>0.95399999999999996</v>
      </c>
      <c r="L3630" s="482">
        <v>8.0000000000000002E-3</v>
      </c>
      <c r="M3630" s="482">
        <v>3.7999999999999999E-2</v>
      </c>
    </row>
    <row r="3631" spans="1:13" x14ac:dyDescent="0.2">
      <c r="A3631" t="s">
        <v>4913</v>
      </c>
      <c r="B3631" t="s">
        <v>13</v>
      </c>
      <c r="C3631" t="s">
        <v>1</v>
      </c>
      <c r="D3631" t="s">
        <v>3237</v>
      </c>
      <c r="E3631" t="s">
        <v>3238</v>
      </c>
      <c r="F3631" t="s">
        <v>14</v>
      </c>
      <c r="G3631">
        <v>51</v>
      </c>
      <c r="H3631">
        <v>1</v>
      </c>
      <c r="I3631">
        <v>1</v>
      </c>
      <c r="J3631">
        <v>53</v>
      </c>
      <c r="K3631" s="482">
        <v>0.96199999999999997</v>
      </c>
      <c r="L3631" s="482">
        <v>1.9E-2</v>
      </c>
      <c r="M3631" s="482">
        <v>1.9E-2</v>
      </c>
    </row>
    <row r="3632" spans="1:13" x14ac:dyDescent="0.2">
      <c r="A3632" t="s">
        <v>4869</v>
      </c>
      <c r="B3632" t="s">
        <v>13</v>
      </c>
      <c r="C3632" t="s">
        <v>1</v>
      </c>
      <c r="D3632" t="s">
        <v>3109</v>
      </c>
      <c r="E3632" t="s">
        <v>3110</v>
      </c>
      <c r="F3632" t="s">
        <v>14</v>
      </c>
      <c r="G3632">
        <v>178</v>
      </c>
      <c r="H3632">
        <v>3</v>
      </c>
      <c r="I3632">
        <v>5</v>
      </c>
      <c r="J3632">
        <v>186</v>
      </c>
      <c r="K3632" s="482">
        <v>0.95699999999999996</v>
      </c>
      <c r="L3632" s="482">
        <v>1.6E-2</v>
      </c>
      <c r="M3632" s="482">
        <v>2.7E-2</v>
      </c>
    </row>
    <row r="3633" spans="1:13" x14ac:dyDescent="0.2">
      <c r="A3633" t="s">
        <v>5118</v>
      </c>
      <c r="B3633" t="s">
        <v>13</v>
      </c>
      <c r="C3633" t="s">
        <v>1</v>
      </c>
      <c r="D3633" t="s">
        <v>3808</v>
      </c>
      <c r="E3633" t="s">
        <v>3809</v>
      </c>
      <c r="F3633" t="s">
        <v>14</v>
      </c>
      <c r="G3633">
        <v>28</v>
      </c>
      <c r="H3633">
        <v>0</v>
      </c>
      <c r="I3633">
        <v>1</v>
      </c>
      <c r="J3633">
        <v>29</v>
      </c>
      <c r="K3633" s="482">
        <v>0.96599999999999997</v>
      </c>
      <c r="L3633" s="482">
        <v>0</v>
      </c>
      <c r="M3633" s="482">
        <v>3.4000000000000002E-2</v>
      </c>
    </row>
    <row r="3634" spans="1:13" x14ac:dyDescent="0.2">
      <c r="A3634" t="s">
        <v>5111</v>
      </c>
      <c r="B3634" t="s">
        <v>13</v>
      </c>
      <c r="C3634" t="s">
        <v>1</v>
      </c>
      <c r="D3634" t="s">
        <v>3814</v>
      </c>
      <c r="E3634" t="s">
        <v>3815</v>
      </c>
      <c r="F3634" t="s">
        <v>14</v>
      </c>
      <c r="G3634">
        <v>108</v>
      </c>
      <c r="H3634">
        <v>0</v>
      </c>
      <c r="I3634">
        <v>5</v>
      </c>
      <c r="J3634">
        <v>113</v>
      </c>
      <c r="K3634" s="482">
        <v>0.95599999999999996</v>
      </c>
      <c r="L3634" s="482">
        <v>0</v>
      </c>
      <c r="M3634" s="482">
        <v>4.3999999999999997E-2</v>
      </c>
    </row>
    <row r="3635" spans="1:13" x14ac:dyDescent="0.2">
      <c r="A3635" t="s">
        <v>5112</v>
      </c>
      <c r="B3635" t="s">
        <v>13</v>
      </c>
      <c r="C3635" t="s">
        <v>1</v>
      </c>
      <c r="D3635" t="s">
        <v>3817</v>
      </c>
      <c r="E3635" t="s">
        <v>3818</v>
      </c>
      <c r="F3635" t="s">
        <v>14</v>
      </c>
      <c r="G3635">
        <v>99</v>
      </c>
      <c r="H3635">
        <v>1</v>
      </c>
      <c r="I3635">
        <v>5</v>
      </c>
      <c r="J3635">
        <v>105</v>
      </c>
      <c r="K3635" s="482">
        <v>0.94299999999999995</v>
      </c>
      <c r="L3635" s="482">
        <v>0.01</v>
      </c>
      <c r="M3635" s="482">
        <v>4.8000000000000001E-2</v>
      </c>
    </row>
    <row r="3636" spans="1:13" x14ac:dyDescent="0.2">
      <c r="A3636" t="s">
        <v>5113</v>
      </c>
      <c r="B3636" t="s">
        <v>13</v>
      </c>
      <c r="C3636" t="s">
        <v>1</v>
      </c>
      <c r="D3636" t="s">
        <v>3820</v>
      </c>
      <c r="E3636" t="s">
        <v>3821</v>
      </c>
      <c r="F3636" t="s">
        <v>14</v>
      </c>
      <c r="G3636">
        <v>346</v>
      </c>
      <c r="H3636">
        <v>1</v>
      </c>
      <c r="I3636">
        <v>10</v>
      </c>
      <c r="J3636">
        <v>357</v>
      </c>
      <c r="K3636" s="482">
        <v>0.96899999999999997</v>
      </c>
      <c r="L3636" s="482">
        <v>3.0000000000000001E-3</v>
      </c>
      <c r="M3636" s="482">
        <v>2.8000000000000001E-2</v>
      </c>
    </row>
    <row r="3637" spans="1:13" x14ac:dyDescent="0.2">
      <c r="A3637" t="s">
        <v>5114</v>
      </c>
      <c r="B3637" t="s">
        <v>13</v>
      </c>
      <c r="C3637" t="s">
        <v>1</v>
      </c>
      <c r="D3637" t="s">
        <v>3823</v>
      </c>
      <c r="E3637" t="s">
        <v>3824</v>
      </c>
      <c r="F3637" t="s">
        <v>14</v>
      </c>
      <c r="G3637">
        <v>178</v>
      </c>
      <c r="H3637">
        <v>0</v>
      </c>
      <c r="I3637">
        <v>9</v>
      </c>
      <c r="J3637">
        <v>187</v>
      </c>
      <c r="K3637" s="482">
        <v>0.95199999999999996</v>
      </c>
      <c r="L3637" s="482">
        <v>0</v>
      </c>
      <c r="M3637" s="482">
        <v>4.8000000000000001E-2</v>
      </c>
    </row>
    <row r="3638" spans="1:13" x14ac:dyDescent="0.2">
      <c r="A3638" t="s">
        <v>5115</v>
      </c>
      <c r="B3638" t="s">
        <v>13</v>
      </c>
      <c r="C3638" t="s">
        <v>1</v>
      </c>
      <c r="D3638" t="s">
        <v>3826</v>
      </c>
      <c r="E3638" t="s">
        <v>3827</v>
      </c>
      <c r="F3638" t="s">
        <v>14</v>
      </c>
      <c r="G3638">
        <v>236</v>
      </c>
      <c r="H3638">
        <v>0</v>
      </c>
      <c r="I3638">
        <v>10</v>
      </c>
      <c r="J3638">
        <v>246</v>
      </c>
      <c r="K3638" s="482">
        <v>0.95899999999999996</v>
      </c>
      <c r="L3638" s="482">
        <v>0</v>
      </c>
      <c r="M3638" s="482">
        <v>4.1000000000000002E-2</v>
      </c>
    </row>
    <row r="3639" spans="1:13" x14ac:dyDescent="0.2">
      <c r="A3639" t="s">
        <v>5116</v>
      </c>
      <c r="B3639" t="s">
        <v>13</v>
      </c>
      <c r="C3639" t="s">
        <v>1</v>
      </c>
      <c r="D3639" t="s">
        <v>3829</v>
      </c>
      <c r="E3639" t="s">
        <v>3830</v>
      </c>
      <c r="F3639" t="s">
        <v>14</v>
      </c>
      <c r="G3639">
        <v>419</v>
      </c>
      <c r="H3639">
        <v>1</v>
      </c>
      <c r="I3639">
        <v>6</v>
      </c>
      <c r="J3639">
        <v>426</v>
      </c>
      <c r="K3639" s="482">
        <v>0.98399999999999999</v>
      </c>
      <c r="L3639" s="482">
        <v>2E-3</v>
      </c>
      <c r="M3639" s="482">
        <v>1.4E-2</v>
      </c>
    </row>
    <row r="3640" spans="1:13" x14ac:dyDescent="0.2">
      <c r="A3640" t="s">
        <v>5124</v>
      </c>
      <c r="B3640" t="s">
        <v>13</v>
      </c>
      <c r="C3640" t="s">
        <v>1</v>
      </c>
      <c r="D3640" t="s">
        <v>3849</v>
      </c>
      <c r="E3640" t="s">
        <v>3850</v>
      </c>
      <c r="F3640" t="s">
        <v>14</v>
      </c>
      <c r="G3640">
        <v>652</v>
      </c>
      <c r="H3640">
        <v>5</v>
      </c>
      <c r="I3640">
        <v>23</v>
      </c>
      <c r="J3640">
        <v>680</v>
      </c>
      <c r="K3640" s="482">
        <v>0.95899999999999996</v>
      </c>
      <c r="L3640" s="482">
        <v>7.0000000000000001E-3</v>
      </c>
      <c r="M3640" s="482">
        <v>3.4000000000000002E-2</v>
      </c>
    </row>
    <row r="3641" spans="1:13" x14ac:dyDescent="0.2">
      <c r="A3641" t="s">
        <v>4979</v>
      </c>
      <c r="B3641" t="s">
        <v>13</v>
      </c>
      <c r="C3641" t="s">
        <v>1</v>
      </c>
      <c r="D3641" t="s">
        <v>3418</v>
      </c>
      <c r="E3641" t="s">
        <v>3419</v>
      </c>
      <c r="F3641" t="s">
        <v>14</v>
      </c>
      <c r="G3641">
        <v>59</v>
      </c>
      <c r="H3641">
        <v>0</v>
      </c>
      <c r="I3641">
        <v>0</v>
      </c>
      <c r="J3641">
        <v>59</v>
      </c>
      <c r="K3641" s="482">
        <v>1</v>
      </c>
      <c r="L3641" s="482">
        <v>0</v>
      </c>
      <c r="M3641" s="482">
        <v>0</v>
      </c>
    </row>
    <row r="3642" spans="1:13" x14ac:dyDescent="0.2">
      <c r="A3642" t="s">
        <v>4983</v>
      </c>
      <c r="B3642" t="s">
        <v>13</v>
      </c>
      <c r="C3642" t="s">
        <v>1</v>
      </c>
      <c r="D3642" t="s">
        <v>3427</v>
      </c>
      <c r="E3642" t="s">
        <v>3428</v>
      </c>
      <c r="F3642" t="s">
        <v>14</v>
      </c>
      <c r="G3642">
        <v>131</v>
      </c>
      <c r="H3642">
        <v>1</v>
      </c>
      <c r="I3642">
        <v>6</v>
      </c>
      <c r="J3642">
        <v>138</v>
      </c>
      <c r="K3642" s="482">
        <v>0.94899999999999995</v>
      </c>
      <c r="L3642" s="482">
        <v>7.0000000000000001E-3</v>
      </c>
      <c r="M3642" s="482">
        <v>4.2999999999999997E-2</v>
      </c>
    </row>
    <row r="3643" spans="1:13" x14ac:dyDescent="0.2">
      <c r="A3643" t="s">
        <v>4984</v>
      </c>
      <c r="B3643" t="s">
        <v>13</v>
      </c>
      <c r="C3643" t="s">
        <v>1</v>
      </c>
      <c r="D3643" t="s">
        <v>3430</v>
      </c>
      <c r="E3643" t="s">
        <v>3431</v>
      </c>
      <c r="F3643" t="s">
        <v>14</v>
      </c>
      <c r="G3643">
        <v>104</v>
      </c>
      <c r="H3643">
        <v>1</v>
      </c>
      <c r="I3643">
        <v>1</v>
      </c>
      <c r="J3643">
        <v>106</v>
      </c>
      <c r="K3643" s="482">
        <v>0.98099999999999998</v>
      </c>
      <c r="L3643" s="482">
        <v>8.9999999999999993E-3</v>
      </c>
      <c r="M3643" s="482">
        <v>8.9999999999999993E-3</v>
      </c>
    </row>
    <row r="3644" spans="1:13" x14ac:dyDescent="0.2">
      <c r="A3644" t="s">
        <v>4985</v>
      </c>
      <c r="B3644" t="s">
        <v>13</v>
      </c>
      <c r="C3644" t="s">
        <v>1</v>
      </c>
      <c r="D3644" t="s">
        <v>3433</v>
      </c>
      <c r="E3644" t="s">
        <v>3434</v>
      </c>
      <c r="F3644" t="s">
        <v>14</v>
      </c>
      <c r="G3644">
        <v>38</v>
      </c>
      <c r="H3644">
        <v>0</v>
      </c>
      <c r="I3644">
        <v>2</v>
      </c>
      <c r="J3644">
        <v>40</v>
      </c>
      <c r="K3644" s="482">
        <v>0.95</v>
      </c>
      <c r="L3644" s="482">
        <v>0</v>
      </c>
      <c r="M3644" s="482">
        <v>0.05</v>
      </c>
    </row>
    <row r="3645" spans="1:13" x14ac:dyDescent="0.2">
      <c r="A3645" t="s">
        <v>4987</v>
      </c>
      <c r="B3645" t="s">
        <v>13</v>
      </c>
      <c r="C3645" t="s">
        <v>1</v>
      </c>
      <c r="D3645" t="s">
        <v>4381</v>
      </c>
      <c r="E3645" t="s">
        <v>4382</v>
      </c>
      <c r="F3645" t="s">
        <v>14</v>
      </c>
      <c r="G3645">
        <v>188</v>
      </c>
      <c r="H3645">
        <v>1</v>
      </c>
      <c r="I3645">
        <v>9</v>
      </c>
      <c r="J3645">
        <v>198</v>
      </c>
      <c r="K3645" s="482">
        <v>0.94899999999999995</v>
      </c>
      <c r="L3645" s="482">
        <v>5.0000000000000001E-3</v>
      </c>
      <c r="M3645" s="482">
        <v>4.4999999999999998E-2</v>
      </c>
    </row>
    <row r="3646" spans="1:13" x14ac:dyDescent="0.2">
      <c r="A3646" t="s">
        <v>4976</v>
      </c>
      <c r="B3646" t="s">
        <v>13</v>
      </c>
      <c r="C3646" t="s">
        <v>1</v>
      </c>
      <c r="D3646" t="s">
        <v>4364</v>
      </c>
      <c r="E3646" t="s">
        <v>4365</v>
      </c>
      <c r="F3646" t="s">
        <v>14</v>
      </c>
      <c r="G3646">
        <v>80</v>
      </c>
      <c r="H3646">
        <v>0</v>
      </c>
      <c r="I3646">
        <v>1</v>
      </c>
      <c r="J3646">
        <v>81</v>
      </c>
      <c r="K3646" s="482">
        <v>0.98799999999999999</v>
      </c>
      <c r="L3646" s="482">
        <v>0</v>
      </c>
      <c r="M3646" s="482">
        <v>1.2E-2</v>
      </c>
    </row>
    <row r="3647" spans="1:13" x14ac:dyDescent="0.2">
      <c r="A3647" t="s">
        <v>4988</v>
      </c>
      <c r="B3647" t="s">
        <v>13</v>
      </c>
      <c r="C3647" t="s">
        <v>1</v>
      </c>
      <c r="D3647" t="s">
        <v>3436</v>
      </c>
      <c r="E3647" t="s">
        <v>3437</v>
      </c>
      <c r="F3647" t="s">
        <v>14</v>
      </c>
      <c r="G3647">
        <v>62</v>
      </c>
      <c r="H3647">
        <v>0</v>
      </c>
      <c r="I3647">
        <v>0</v>
      </c>
      <c r="J3647">
        <v>62</v>
      </c>
      <c r="K3647" s="482">
        <v>1</v>
      </c>
      <c r="L3647" s="482">
        <v>0</v>
      </c>
      <c r="M3647" s="482">
        <v>0</v>
      </c>
    </row>
    <row r="3648" spans="1:13" x14ac:dyDescent="0.2">
      <c r="A3648" t="s">
        <v>4989</v>
      </c>
      <c r="B3648" t="s">
        <v>13</v>
      </c>
      <c r="C3648" t="s">
        <v>1</v>
      </c>
      <c r="D3648" t="s">
        <v>3439</v>
      </c>
      <c r="E3648" t="s">
        <v>3440</v>
      </c>
      <c r="F3648" t="s">
        <v>14</v>
      </c>
      <c r="G3648">
        <v>68</v>
      </c>
      <c r="H3648">
        <v>1</v>
      </c>
      <c r="I3648">
        <v>0</v>
      </c>
      <c r="J3648">
        <v>69</v>
      </c>
      <c r="K3648" s="482">
        <v>0.98599999999999999</v>
      </c>
      <c r="L3648" s="482">
        <v>1.4E-2</v>
      </c>
      <c r="M3648" s="482">
        <v>0</v>
      </c>
    </row>
    <row r="3649" spans="1:13" x14ac:dyDescent="0.2">
      <c r="A3649" t="s">
        <v>4977</v>
      </c>
      <c r="B3649" t="s">
        <v>13</v>
      </c>
      <c r="C3649" t="s">
        <v>1</v>
      </c>
      <c r="D3649" t="s">
        <v>3412</v>
      </c>
      <c r="E3649" t="s">
        <v>3413</v>
      </c>
      <c r="F3649" t="s">
        <v>14</v>
      </c>
      <c r="G3649">
        <v>46</v>
      </c>
      <c r="H3649">
        <v>0</v>
      </c>
      <c r="I3649">
        <v>0</v>
      </c>
      <c r="J3649">
        <v>46</v>
      </c>
      <c r="K3649" s="482">
        <v>1</v>
      </c>
      <c r="L3649" s="482">
        <v>0</v>
      </c>
      <c r="M3649" s="482">
        <v>0</v>
      </c>
    </row>
    <row r="3650" spans="1:13" x14ac:dyDescent="0.2">
      <c r="A3650" t="s">
        <v>4978</v>
      </c>
      <c r="B3650" t="s">
        <v>13</v>
      </c>
      <c r="C3650" t="s">
        <v>1</v>
      </c>
      <c r="D3650" t="s">
        <v>3415</v>
      </c>
      <c r="E3650" t="s">
        <v>3416</v>
      </c>
      <c r="F3650" t="s">
        <v>14</v>
      </c>
      <c r="G3650">
        <v>19</v>
      </c>
      <c r="H3650">
        <v>0</v>
      </c>
      <c r="I3650">
        <v>0</v>
      </c>
      <c r="J3650">
        <v>19</v>
      </c>
      <c r="K3650" s="482">
        <v>1</v>
      </c>
      <c r="L3650" s="482">
        <v>0</v>
      </c>
      <c r="M3650" s="482">
        <v>0</v>
      </c>
    </row>
    <row r="3651" spans="1:13" x14ac:dyDescent="0.2">
      <c r="A3651" t="s">
        <v>4992</v>
      </c>
      <c r="B3651" t="s">
        <v>13</v>
      </c>
      <c r="C3651" t="s">
        <v>1</v>
      </c>
      <c r="D3651" t="s">
        <v>3448</v>
      </c>
      <c r="E3651" t="s">
        <v>3449</v>
      </c>
      <c r="F3651" t="s">
        <v>14</v>
      </c>
      <c r="G3651">
        <v>122</v>
      </c>
      <c r="H3651">
        <v>1</v>
      </c>
      <c r="I3651">
        <v>4</v>
      </c>
      <c r="J3651">
        <v>127</v>
      </c>
      <c r="K3651" s="482">
        <v>0.96099999999999997</v>
      </c>
      <c r="L3651" s="482">
        <v>8.0000000000000002E-3</v>
      </c>
      <c r="M3651" s="482">
        <v>3.1E-2</v>
      </c>
    </row>
    <row r="3652" spans="1:13" x14ac:dyDescent="0.2">
      <c r="A3652" t="s">
        <v>4986</v>
      </c>
      <c r="B3652" t="s">
        <v>13</v>
      </c>
      <c r="C3652" t="s">
        <v>1</v>
      </c>
      <c r="D3652" t="s">
        <v>4378</v>
      </c>
      <c r="E3652" t="s">
        <v>4379</v>
      </c>
      <c r="F3652" t="s">
        <v>14</v>
      </c>
      <c r="G3652">
        <v>129</v>
      </c>
      <c r="H3652">
        <v>0</v>
      </c>
      <c r="I3652">
        <v>13</v>
      </c>
      <c r="J3652">
        <v>142</v>
      </c>
      <c r="K3652" s="482">
        <v>0.90800000000000003</v>
      </c>
      <c r="L3652" s="482">
        <v>0</v>
      </c>
      <c r="M3652" s="482">
        <v>9.1999999999999998E-2</v>
      </c>
    </row>
    <row r="3653" spans="1:13" x14ac:dyDescent="0.2">
      <c r="A3653" t="s">
        <v>4993</v>
      </c>
      <c r="B3653" t="s">
        <v>13</v>
      </c>
      <c r="C3653" t="s">
        <v>1</v>
      </c>
      <c r="D3653" t="s">
        <v>3451</v>
      </c>
      <c r="E3653" t="s">
        <v>3452</v>
      </c>
      <c r="F3653" t="s">
        <v>14</v>
      </c>
      <c r="G3653">
        <v>140</v>
      </c>
      <c r="H3653">
        <v>1</v>
      </c>
      <c r="I3653">
        <v>4</v>
      </c>
      <c r="J3653">
        <v>145</v>
      </c>
      <c r="K3653" s="482">
        <v>0.96599999999999997</v>
      </c>
      <c r="L3653" s="482">
        <v>7.0000000000000001E-3</v>
      </c>
      <c r="M3653" s="482">
        <v>2.8000000000000001E-2</v>
      </c>
    </row>
    <row r="3654" spans="1:13" x14ac:dyDescent="0.2">
      <c r="A3654" t="s">
        <v>4994</v>
      </c>
      <c r="B3654" t="s">
        <v>13</v>
      </c>
      <c r="C3654" t="s">
        <v>1</v>
      </c>
      <c r="D3654" t="s">
        <v>3454</v>
      </c>
      <c r="E3654" t="s">
        <v>3455</v>
      </c>
      <c r="F3654" t="s">
        <v>14</v>
      </c>
      <c r="G3654">
        <v>206</v>
      </c>
      <c r="H3654">
        <v>5</v>
      </c>
      <c r="I3654">
        <v>10</v>
      </c>
      <c r="J3654">
        <v>221</v>
      </c>
      <c r="K3654" s="482">
        <v>0.93200000000000005</v>
      </c>
      <c r="L3654" s="482">
        <v>2.3E-2</v>
      </c>
      <c r="M3654" s="482">
        <v>4.4999999999999998E-2</v>
      </c>
    </row>
    <row r="3655" spans="1:13" x14ac:dyDescent="0.2">
      <c r="A3655" t="s">
        <v>4995</v>
      </c>
      <c r="B3655" t="s">
        <v>13</v>
      </c>
      <c r="C3655" t="s">
        <v>1</v>
      </c>
      <c r="D3655" t="s">
        <v>3457</v>
      </c>
      <c r="E3655" t="s">
        <v>3458</v>
      </c>
      <c r="F3655" t="s">
        <v>14</v>
      </c>
      <c r="G3655">
        <v>81</v>
      </c>
      <c r="H3655">
        <v>0</v>
      </c>
      <c r="I3655">
        <v>0</v>
      </c>
      <c r="J3655">
        <v>81</v>
      </c>
      <c r="K3655" s="482">
        <v>1</v>
      </c>
      <c r="L3655" s="482">
        <v>0</v>
      </c>
      <c r="M3655" s="482">
        <v>0</v>
      </c>
    </row>
    <row r="3656" spans="1:13" x14ac:dyDescent="0.2">
      <c r="A3656" t="s">
        <v>4996</v>
      </c>
      <c r="B3656" t="s">
        <v>13</v>
      </c>
      <c r="C3656" t="s">
        <v>1</v>
      </c>
      <c r="D3656" t="s">
        <v>3460</v>
      </c>
      <c r="E3656" t="s">
        <v>3461</v>
      </c>
      <c r="F3656" t="s">
        <v>14</v>
      </c>
      <c r="G3656">
        <v>185</v>
      </c>
      <c r="H3656">
        <v>2</v>
      </c>
      <c r="I3656">
        <v>1</v>
      </c>
      <c r="J3656">
        <v>188</v>
      </c>
      <c r="K3656" s="482">
        <v>0.98399999999999999</v>
      </c>
      <c r="L3656" s="482">
        <v>1.0999999999999999E-2</v>
      </c>
      <c r="M3656" s="482">
        <v>5.0000000000000001E-3</v>
      </c>
    </row>
    <row r="3657" spans="1:13" x14ac:dyDescent="0.2">
      <c r="A3657" t="s">
        <v>4997</v>
      </c>
      <c r="B3657" t="s">
        <v>13</v>
      </c>
      <c r="C3657" t="s">
        <v>1</v>
      </c>
      <c r="D3657" t="s">
        <v>3463</v>
      </c>
      <c r="E3657" t="s">
        <v>3464</v>
      </c>
      <c r="F3657" t="s">
        <v>14</v>
      </c>
      <c r="G3657">
        <v>158</v>
      </c>
      <c r="H3657">
        <v>1</v>
      </c>
      <c r="I3657">
        <v>4</v>
      </c>
      <c r="J3657">
        <v>163</v>
      </c>
      <c r="K3657" s="482">
        <v>0.96899999999999997</v>
      </c>
      <c r="L3657" s="482">
        <v>6.0000000000000001E-3</v>
      </c>
      <c r="M3657" s="482">
        <v>2.5000000000000001E-2</v>
      </c>
    </row>
    <row r="3658" spans="1:13" x14ac:dyDescent="0.2">
      <c r="A3658" t="s">
        <v>4998</v>
      </c>
      <c r="B3658" t="s">
        <v>13</v>
      </c>
      <c r="C3658" t="s">
        <v>1</v>
      </c>
      <c r="D3658" t="s">
        <v>3466</v>
      </c>
      <c r="E3658" t="s">
        <v>3467</v>
      </c>
      <c r="F3658" t="s">
        <v>14</v>
      </c>
      <c r="G3658">
        <v>350</v>
      </c>
      <c r="H3658">
        <v>0</v>
      </c>
      <c r="I3658">
        <v>11</v>
      </c>
      <c r="J3658">
        <v>361</v>
      </c>
      <c r="K3658" s="482">
        <v>0.97</v>
      </c>
      <c r="L3658" s="482">
        <v>0</v>
      </c>
      <c r="M3658" s="482">
        <v>0.03</v>
      </c>
    </row>
    <row r="3659" spans="1:13" x14ac:dyDescent="0.2">
      <c r="A3659" t="s">
        <v>4999</v>
      </c>
      <c r="B3659" t="s">
        <v>13</v>
      </c>
      <c r="C3659" t="s">
        <v>1</v>
      </c>
      <c r="D3659" t="s">
        <v>3469</v>
      </c>
      <c r="E3659" t="s">
        <v>3470</v>
      </c>
      <c r="F3659" t="s">
        <v>14</v>
      </c>
      <c r="G3659" t="s">
        <v>53</v>
      </c>
      <c r="H3659">
        <v>0</v>
      </c>
      <c r="I3659">
        <v>0</v>
      </c>
      <c r="J3659" t="s">
        <v>53</v>
      </c>
      <c r="K3659" t="s">
        <v>53</v>
      </c>
      <c r="L3659" t="s">
        <v>53</v>
      </c>
      <c r="M3659" t="s">
        <v>53</v>
      </c>
    </row>
    <row r="3660" spans="1:13" x14ac:dyDescent="0.2">
      <c r="A3660" t="s">
        <v>5000</v>
      </c>
      <c r="B3660" t="s">
        <v>13</v>
      </c>
      <c r="C3660" t="s">
        <v>1</v>
      </c>
      <c r="D3660" t="s">
        <v>3472</v>
      </c>
      <c r="E3660" t="s">
        <v>3473</v>
      </c>
      <c r="F3660" t="s">
        <v>14</v>
      </c>
      <c r="G3660">
        <v>213</v>
      </c>
      <c r="H3660">
        <v>9</v>
      </c>
      <c r="I3660">
        <v>9</v>
      </c>
      <c r="J3660">
        <v>231</v>
      </c>
      <c r="K3660" s="482">
        <v>0.92200000000000004</v>
      </c>
      <c r="L3660" s="482">
        <v>3.9E-2</v>
      </c>
      <c r="M3660" s="482">
        <v>3.9E-2</v>
      </c>
    </row>
    <row r="3661" spans="1:13" x14ac:dyDescent="0.2">
      <c r="A3661" t="s">
        <v>5001</v>
      </c>
      <c r="B3661" t="s">
        <v>13</v>
      </c>
      <c r="C3661" t="s">
        <v>1</v>
      </c>
      <c r="D3661" t="s">
        <v>3475</v>
      </c>
      <c r="E3661" t="s">
        <v>3476</v>
      </c>
      <c r="F3661" t="s">
        <v>14</v>
      </c>
      <c r="G3661">
        <v>161</v>
      </c>
      <c r="H3661">
        <v>0</v>
      </c>
      <c r="I3661">
        <v>4</v>
      </c>
      <c r="J3661">
        <v>165</v>
      </c>
      <c r="K3661" s="482">
        <v>0.97599999999999998</v>
      </c>
      <c r="L3661" s="482">
        <v>0</v>
      </c>
      <c r="M3661" s="482">
        <v>2.4E-2</v>
      </c>
    </row>
    <row r="3662" spans="1:13" x14ac:dyDescent="0.2">
      <c r="A3662" t="s">
        <v>5002</v>
      </c>
      <c r="B3662" t="s">
        <v>13</v>
      </c>
      <c r="C3662" t="s">
        <v>1</v>
      </c>
      <c r="D3662" t="s">
        <v>3478</v>
      </c>
      <c r="E3662" t="s">
        <v>3479</v>
      </c>
      <c r="F3662" t="s">
        <v>14</v>
      </c>
      <c r="G3662">
        <v>170</v>
      </c>
      <c r="H3662">
        <v>1</v>
      </c>
      <c r="I3662">
        <v>4</v>
      </c>
      <c r="J3662">
        <v>175</v>
      </c>
      <c r="K3662" s="482">
        <v>0.97099999999999997</v>
      </c>
      <c r="L3662" s="482">
        <v>6.0000000000000001E-3</v>
      </c>
      <c r="M3662" s="482">
        <v>2.3E-2</v>
      </c>
    </row>
    <row r="3663" spans="1:13" x14ac:dyDescent="0.2">
      <c r="A3663" t="s">
        <v>5003</v>
      </c>
      <c r="B3663" t="s">
        <v>13</v>
      </c>
      <c r="C3663" t="s">
        <v>1</v>
      </c>
      <c r="D3663" t="s">
        <v>3482</v>
      </c>
      <c r="E3663" t="s">
        <v>3483</v>
      </c>
      <c r="F3663" t="s">
        <v>14</v>
      </c>
      <c r="G3663">
        <v>455</v>
      </c>
      <c r="H3663">
        <v>2</v>
      </c>
      <c r="I3663">
        <v>24</v>
      </c>
      <c r="J3663">
        <v>481</v>
      </c>
      <c r="K3663" s="482">
        <v>0.94599999999999995</v>
      </c>
      <c r="L3663" s="482">
        <v>4.0000000000000001E-3</v>
      </c>
      <c r="M3663" s="482">
        <v>0.05</v>
      </c>
    </row>
    <row r="3664" spans="1:13" x14ac:dyDescent="0.2">
      <c r="A3664" t="s">
        <v>5004</v>
      </c>
      <c r="B3664" t="s">
        <v>13</v>
      </c>
      <c r="C3664" t="s">
        <v>1</v>
      </c>
      <c r="D3664" t="s">
        <v>3485</v>
      </c>
      <c r="E3664" t="s">
        <v>3486</v>
      </c>
      <c r="F3664" t="s">
        <v>14</v>
      </c>
      <c r="G3664">
        <v>45</v>
      </c>
      <c r="H3664">
        <v>0</v>
      </c>
      <c r="I3664">
        <v>1</v>
      </c>
      <c r="J3664">
        <v>46</v>
      </c>
      <c r="K3664" s="482">
        <v>0.97799999999999998</v>
      </c>
      <c r="L3664" s="482">
        <v>0</v>
      </c>
      <c r="M3664" s="482">
        <v>2.1999999999999999E-2</v>
      </c>
    </row>
    <row r="3665" spans="1:13" x14ac:dyDescent="0.2">
      <c r="A3665" t="s">
        <v>4981</v>
      </c>
      <c r="B3665" t="s">
        <v>13</v>
      </c>
      <c r="C3665" t="s">
        <v>1</v>
      </c>
      <c r="D3665" t="s">
        <v>3421</v>
      </c>
      <c r="E3665" t="s">
        <v>3422</v>
      </c>
      <c r="F3665" t="s">
        <v>14</v>
      </c>
      <c r="G3665">
        <v>273</v>
      </c>
      <c r="H3665">
        <v>3</v>
      </c>
      <c r="I3665">
        <v>7</v>
      </c>
      <c r="J3665">
        <v>283</v>
      </c>
      <c r="K3665" s="482">
        <v>0.96499999999999997</v>
      </c>
      <c r="L3665" s="482">
        <v>1.0999999999999999E-2</v>
      </c>
      <c r="M3665" s="482">
        <v>2.5000000000000001E-2</v>
      </c>
    </row>
    <row r="3666" spans="1:13" x14ac:dyDescent="0.2">
      <c r="A3666" t="s">
        <v>4982</v>
      </c>
      <c r="B3666" t="s">
        <v>13</v>
      </c>
      <c r="C3666" t="s">
        <v>1</v>
      </c>
      <c r="D3666" t="s">
        <v>3424</v>
      </c>
      <c r="E3666" t="s">
        <v>3425</v>
      </c>
      <c r="F3666" t="s">
        <v>14</v>
      </c>
      <c r="G3666">
        <v>94</v>
      </c>
      <c r="H3666">
        <v>0</v>
      </c>
      <c r="I3666">
        <v>2</v>
      </c>
      <c r="J3666">
        <v>96</v>
      </c>
      <c r="K3666" s="482">
        <v>0.97899999999999998</v>
      </c>
      <c r="L3666" s="482">
        <v>0</v>
      </c>
      <c r="M3666" s="482">
        <v>2.1000000000000001E-2</v>
      </c>
    </row>
    <row r="3667" spans="1:13" x14ac:dyDescent="0.2">
      <c r="A3667" t="s">
        <v>4990</v>
      </c>
      <c r="B3667" t="s">
        <v>13</v>
      </c>
      <c r="C3667" t="s">
        <v>1</v>
      </c>
      <c r="D3667" t="s">
        <v>3442</v>
      </c>
      <c r="E3667" t="s">
        <v>3443</v>
      </c>
      <c r="F3667" t="s">
        <v>14</v>
      </c>
      <c r="G3667">
        <v>568</v>
      </c>
      <c r="H3667">
        <v>2</v>
      </c>
      <c r="I3667">
        <v>10</v>
      </c>
      <c r="J3667">
        <v>580</v>
      </c>
      <c r="K3667" s="482">
        <v>0.97899999999999998</v>
      </c>
      <c r="L3667" s="482">
        <v>3.0000000000000001E-3</v>
      </c>
      <c r="M3667" s="482">
        <v>1.7000000000000001E-2</v>
      </c>
    </row>
    <row r="3668" spans="1:13" x14ac:dyDescent="0.2">
      <c r="A3668" t="s">
        <v>4991</v>
      </c>
      <c r="B3668" t="s">
        <v>13</v>
      </c>
      <c r="C3668" t="s">
        <v>1</v>
      </c>
      <c r="D3668" t="s">
        <v>3445</v>
      </c>
      <c r="E3668" t="s">
        <v>3446</v>
      </c>
      <c r="F3668" t="s">
        <v>14</v>
      </c>
      <c r="G3668">
        <v>69</v>
      </c>
      <c r="H3668">
        <v>1</v>
      </c>
      <c r="I3668">
        <v>3</v>
      </c>
      <c r="J3668">
        <v>73</v>
      </c>
      <c r="K3668" s="482">
        <v>0.94499999999999995</v>
      </c>
      <c r="L3668" s="482">
        <v>1.4E-2</v>
      </c>
      <c r="M3668" s="482">
        <v>4.1000000000000002E-2</v>
      </c>
    </row>
    <row r="3669" spans="1:13" x14ac:dyDescent="0.2">
      <c r="A3669" t="s">
        <v>4948</v>
      </c>
      <c r="B3669" t="s">
        <v>13</v>
      </c>
      <c r="C3669" t="s">
        <v>1</v>
      </c>
      <c r="D3669" t="s">
        <v>3328</v>
      </c>
      <c r="E3669" t="s">
        <v>3329</v>
      </c>
      <c r="F3669" t="s">
        <v>14</v>
      </c>
      <c r="G3669">
        <v>84</v>
      </c>
      <c r="H3669">
        <v>1</v>
      </c>
      <c r="I3669">
        <v>2</v>
      </c>
      <c r="J3669">
        <v>87</v>
      </c>
      <c r="K3669" s="482">
        <v>0.96599999999999997</v>
      </c>
      <c r="L3669" s="482">
        <v>1.0999999999999999E-2</v>
      </c>
      <c r="M3669" s="482">
        <v>2.3E-2</v>
      </c>
    </row>
    <row r="3670" spans="1:13" x14ac:dyDescent="0.2">
      <c r="A3670" t="s">
        <v>4946</v>
      </c>
      <c r="B3670" t="s">
        <v>13</v>
      </c>
      <c r="C3670" t="s">
        <v>1</v>
      </c>
      <c r="D3670" t="s">
        <v>3322</v>
      </c>
      <c r="E3670" t="s">
        <v>3323</v>
      </c>
      <c r="F3670" t="s">
        <v>14</v>
      </c>
      <c r="G3670">
        <v>11</v>
      </c>
      <c r="H3670">
        <v>0</v>
      </c>
      <c r="I3670">
        <v>0</v>
      </c>
      <c r="J3670">
        <v>11</v>
      </c>
      <c r="K3670" s="482">
        <v>1</v>
      </c>
      <c r="L3670" s="482">
        <v>0</v>
      </c>
      <c r="M3670" s="482">
        <v>0</v>
      </c>
    </row>
    <row r="3671" spans="1:13" x14ac:dyDescent="0.2">
      <c r="A3671" t="s">
        <v>4922</v>
      </c>
      <c r="B3671" t="s">
        <v>13</v>
      </c>
      <c r="C3671" t="s">
        <v>1</v>
      </c>
      <c r="D3671" t="s">
        <v>3264</v>
      </c>
      <c r="E3671" t="s">
        <v>3265</v>
      </c>
      <c r="F3671" t="s">
        <v>14</v>
      </c>
      <c r="G3671">
        <v>82</v>
      </c>
      <c r="H3671">
        <v>0</v>
      </c>
      <c r="I3671">
        <v>2</v>
      </c>
      <c r="J3671">
        <v>84</v>
      </c>
      <c r="K3671" s="482">
        <v>0.97599999999999998</v>
      </c>
      <c r="L3671" s="482">
        <v>0</v>
      </c>
      <c r="M3671" s="482">
        <v>2.4E-2</v>
      </c>
    </row>
    <row r="3672" spans="1:13" x14ac:dyDescent="0.2">
      <c r="A3672" t="s">
        <v>4923</v>
      </c>
      <c r="B3672" t="s">
        <v>13</v>
      </c>
      <c r="C3672" t="s">
        <v>1</v>
      </c>
      <c r="D3672" t="s">
        <v>4299</v>
      </c>
      <c r="E3672" t="s">
        <v>4300</v>
      </c>
      <c r="F3672" t="s">
        <v>14</v>
      </c>
      <c r="G3672">
        <v>108</v>
      </c>
      <c r="H3672">
        <v>0</v>
      </c>
      <c r="I3672">
        <v>1</v>
      </c>
      <c r="J3672">
        <v>109</v>
      </c>
      <c r="K3672" s="482">
        <v>0.99099999999999999</v>
      </c>
      <c r="L3672" s="482">
        <v>0</v>
      </c>
      <c r="M3672" s="482">
        <v>8.9999999999999993E-3</v>
      </c>
    </row>
    <row r="3673" spans="1:13" x14ac:dyDescent="0.2">
      <c r="A3673" t="s">
        <v>4924</v>
      </c>
      <c r="B3673" t="s">
        <v>13</v>
      </c>
      <c r="C3673" t="s">
        <v>1</v>
      </c>
      <c r="D3673" t="s">
        <v>4302</v>
      </c>
      <c r="E3673" t="s">
        <v>4303</v>
      </c>
      <c r="F3673" t="s">
        <v>14</v>
      </c>
      <c r="G3673">
        <v>78</v>
      </c>
      <c r="H3673">
        <v>0</v>
      </c>
      <c r="I3673">
        <v>1</v>
      </c>
      <c r="J3673">
        <v>79</v>
      </c>
      <c r="K3673" s="482">
        <v>0.98699999999999999</v>
      </c>
      <c r="L3673" s="482">
        <v>0</v>
      </c>
      <c r="M3673" s="482">
        <v>1.2999999999999999E-2</v>
      </c>
    </row>
    <row r="3674" spans="1:13" x14ac:dyDescent="0.2">
      <c r="A3674" t="s">
        <v>4918</v>
      </c>
      <c r="B3674" t="s">
        <v>13</v>
      </c>
      <c r="C3674" t="s">
        <v>1</v>
      </c>
      <c r="D3674" t="s">
        <v>3252</v>
      </c>
      <c r="E3674" t="s">
        <v>3253</v>
      </c>
      <c r="F3674" t="s">
        <v>14</v>
      </c>
      <c r="G3674">
        <v>12</v>
      </c>
      <c r="H3674">
        <v>0</v>
      </c>
      <c r="I3674">
        <v>0</v>
      </c>
      <c r="J3674">
        <v>12</v>
      </c>
      <c r="K3674" s="482">
        <v>1</v>
      </c>
      <c r="L3674" s="482">
        <v>0</v>
      </c>
      <c r="M3674" s="482">
        <v>0</v>
      </c>
    </row>
    <row r="3675" spans="1:13" x14ac:dyDescent="0.2">
      <c r="A3675" t="s">
        <v>4919</v>
      </c>
      <c r="B3675" t="s">
        <v>13</v>
      </c>
      <c r="C3675" t="s">
        <v>1</v>
      </c>
      <c r="D3675" t="s">
        <v>3255</v>
      </c>
      <c r="E3675" t="s">
        <v>3256</v>
      </c>
      <c r="F3675" t="s">
        <v>14</v>
      </c>
      <c r="G3675">
        <v>11</v>
      </c>
      <c r="H3675">
        <v>0</v>
      </c>
      <c r="I3675">
        <v>0</v>
      </c>
      <c r="J3675">
        <v>11</v>
      </c>
      <c r="K3675" s="482">
        <v>1</v>
      </c>
      <c r="L3675" s="482">
        <v>0</v>
      </c>
      <c r="M3675" s="482">
        <v>0</v>
      </c>
    </row>
    <row r="3676" spans="1:13" x14ac:dyDescent="0.2">
      <c r="A3676" t="s">
        <v>4920</v>
      </c>
      <c r="B3676" t="s">
        <v>13</v>
      </c>
      <c r="C3676" t="s">
        <v>1</v>
      </c>
      <c r="D3676" t="s">
        <v>3258</v>
      </c>
      <c r="E3676" t="s">
        <v>3259</v>
      </c>
      <c r="F3676" t="s">
        <v>14</v>
      </c>
      <c r="G3676">
        <v>75</v>
      </c>
      <c r="H3676">
        <v>0</v>
      </c>
      <c r="I3676">
        <v>1</v>
      </c>
      <c r="J3676">
        <v>76</v>
      </c>
      <c r="K3676" s="482">
        <v>0.98699999999999999</v>
      </c>
      <c r="L3676" s="482">
        <v>0</v>
      </c>
      <c r="M3676" s="482">
        <v>1.2999999999999999E-2</v>
      </c>
    </row>
    <row r="3677" spans="1:13" x14ac:dyDescent="0.2">
      <c r="A3677" t="s">
        <v>4921</v>
      </c>
      <c r="B3677" t="s">
        <v>13</v>
      </c>
      <c r="C3677" t="s">
        <v>1</v>
      </c>
      <c r="D3677" t="s">
        <v>3261</v>
      </c>
      <c r="E3677" t="s">
        <v>3262</v>
      </c>
      <c r="F3677" t="s">
        <v>14</v>
      </c>
      <c r="G3677">
        <v>22</v>
      </c>
      <c r="H3677">
        <v>0</v>
      </c>
      <c r="I3677">
        <v>1</v>
      </c>
      <c r="J3677">
        <v>23</v>
      </c>
      <c r="K3677" s="482">
        <v>0.95699999999999996</v>
      </c>
      <c r="L3677" s="482">
        <v>0</v>
      </c>
      <c r="M3677" s="482">
        <v>4.2999999999999997E-2</v>
      </c>
    </row>
    <row r="3678" spans="1:13" x14ac:dyDescent="0.2">
      <c r="A3678" t="s">
        <v>5137</v>
      </c>
      <c r="B3678" t="s">
        <v>13</v>
      </c>
      <c r="C3678" t="s">
        <v>1</v>
      </c>
      <c r="D3678" t="s">
        <v>3888</v>
      </c>
      <c r="E3678" t="s">
        <v>3889</v>
      </c>
      <c r="F3678" t="s">
        <v>14</v>
      </c>
      <c r="G3678">
        <v>318</v>
      </c>
      <c r="H3678">
        <v>0</v>
      </c>
      <c r="I3678">
        <v>16</v>
      </c>
      <c r="J3678">
        <v>334</v>
      </c>
      <c r="K3678" s="482">
        <v>0.95199999999999996</v>
      </c>
      <c r="L3678" s="482">
        <v>0</v>
      </c>
      <c r="M3678" s="482">
        <v>4.8000000000000001E-2</v>
      </c>
    </row>
    <row r="3679" spans="1:13" x14ac:dyDescent="0.2">
      <c r="A3679" t="s">
        <v>5014</v>
      </c>
      <c r="B3679" t="s">
        <v>13</v>
      </c>
      <c r="C3679" t="s">
        <v>1</v>
      </c>
      <c r="D3679" t="s">
        <v>3515</v>
      </c>
      <c r="E3679" t="s">
        <v>343</v>
      </c>
      <c r="F3679" t="s">
        <v>14</v>
      </c>
      <c r="G3679">
        <v>338</v>
      </c>
      <c r="H3679">
        <v>2</v>
      </c>
      <c r="I3679">
        <v>7</v>
      </c>
      <c r="J3679">
        <v>347</v>
      </c>
      <c r="K3679" s="482">
        <v>0.97399999999999998</v>
      </c>
      <c r="L3679" s="482">
        <v>6.0000000000000001E-3</v>
      </c>
      <c r="M3679" s="482">
        <v>0.02</v>
      </c>
    </row>
    <row r="3680" spans="1:13" x14ac:dyDescent="0.2">
      <c r="A3680" t="s">
        <v>5136</v>
      </c>
      <c r="B3680" t="s">
        <v>13</v>
      </c>
      <c r="C3680" t="s">
        <v>1</v>
      </c>
      <c r="D3680" t="s">
        <v>3885</v>
      </c>
      <c r="E3680" t="s">
        <v>3886</v>
      </c>
      <c r="F3680" t="s">
        <v>14</v>
      </c>
      <c r="G3680">
        <v>288</v>
      </c>
      <c r="H3680">
        <v>1</v>
      </c>
      <c r="I3680">
        <v>7</v>
      </c>
      <c r="J3680">
        <v>296</v>
      </c>
      <c r="K3680" s="482">
        <v>0.97299999999999998</v>
      </c>
      <c r="L3680" s="482">
        <v>3.0000000000000001E-3</v>
      </c>
      <c r="M3680" s="482">
        <v>2.4E-2</v>
      </c>
    </row>
    <row r="3681" spans="1:13" x14ac:dyDescent="0.2">
      <c r="A3681" t="s">
        <v>5138</v>
      </c>
      <c r="B3681" t="s">
        <v>13</v>
      </c>
      <c r="C3681" t="s">
        <v>1</v>
      </c>
      <c r="D3681" t="s">
        <v>3891</v>
      </c>
      <c r="E3681" t="s">
        <v>3892</v>
      </c>
      <c r="F3681" t="s">
        <v>14</v>
      </c>
      <c r="G3681">
        <v>130</v>
      </c>
      <c r="H3681">
        <v>2</v>
      </c>
      <c r="I3681">
        <v>1</v>
      </c>
      <c r="J3681">
        <v>133</v>
      </c>
      <c r="K3681" s="482">
        <v>0.97699999999999998</v>
      </c>
      <c r="L3681" s="482">
        <v>1.4999999999999999E-2</v>
      </c>
      <c r="M3681" s="482">
        <v>8.0000000000000002E-3</v>
      </c>
    </row>
    <row r="3682" spans="1:13" x14ac:dyDescent="0.2">
      <c r="A3682" t="s">
        <v>5139</v>
      </c>
      <c r="B3682" t="s">
        <v>13</v>
      </c>
      <c r="C3682" t="s">
        <v>1</v>
      </c>
      <c r="D3682" t="s">
        <v>3894</v>
      </c>
      <c r="E3682" t="s">
        <v>3895</v>
      </c>
      <c r="F3682" t="s">
        <v>14</v>
      </c>
      <c r="G3682">
        <v>226</v>
      </c>
      <c r="H3682">
        <v>2</v>
      </c>
      <c r="I3682">
        <v>8</v>
      </c>
      <c r="J3682">
        <v>236</v>
      </c>
      <c r="K3682" s="482">
        <v>0.95799999999999996</v>
      </c>
      <c r="L3682" s="482">
        <v>8.0000000000000002E-3</v>
      </c>
      <c r="M3682" s="482">
        <v>3.4000000000000002E-2</v>
      </c>
    </row>
    <row r="3683" spans="1:13" x14ac:dyDescent="0.2">
      <c r="A3683" t="s">
        <v>5140</v>
      </c>
      <c r="B3683" t="s">
        <v>13</v>
      </c>
      <c r="C3683" t="s">
        <v>1</v>
      </c>
      <c r="D3683" t="s">
        <v>3897</v>
      </c>
      <c r="E3683" t="s">
        <v>3898</v>
      </c>
      <c r="F3683" t="s">
        <v>14</v>
      </c>
      <c r="G3683">
        <v>25</v>
      </c>
      <c r="H3683">
        <v>1</v>
      </c>
      <c r="I3683">
        <v>5</v>
      </c>
      <c r="J3683">
        <v>31</v>
      </c>
      <c r="K3683" s="482">
        <v>0.80600000000000005</v>
      </c>
      <c r="L3683" s="482">
        <v>3.2000000000000001E-2</v>
      </c>
      <c r="M3683" s="482">
        <v>0.161</v>
      </c>
    </row>
    <row r="3684" spans="1:13" x14ac:dyDescent="0.2">
      <c r="A3684" t="s">
        <v>5142</v>
      </c>
      <c r="B3684" t="s">
        <v>13</v>
      </c>
      <c r="C3684" t="s">
        <v>1</v>
      </c>
      <c r="D3684" t="s">
        <v>3906</v>
      </c>
      <c r="E3684" t="s">
        <v>3907</v>
      </c>
      <c r="F3684" t="s">
        <v>14</v>
      </c>
      <c r="G3684">
        <v>222</v>
      </c>
      <c r="H3684">
        <v>6</v>
      </c>
      <c r="I3684">
        <v>5</v>
      </c>
      <c r="J3684">
        <v>233</v>
      </c>
      <c r="K3684" s="482">
        <v>0.95299999999999996</v>
      </c>
      <c r="L3684" s="482">
        <v>2.5999999999999999E-2</v>
      </c>
      <c r="M3684" s="482">
        <v>2.1000000000000001E-2</v>
      </c>
    </row>
    <row r="3685" spans="1:13" x14ac:dyDescent="0.2">
      <c r="A3685" t="s">
        <v>4980</v>
      </c>
      <c r="B3685" t="s">
        <v>13</v>
      </c>
      <c r="C3685" t="s">
        <v>1</v>
      </c>
      <c r="D3685" t="s">
        <v>4370</v>
      </c>
      <c r="E3685" t="s">
        <v>4371</v>
      </c>
      <c r="F3685" t="s">
        <v>14</v>
      </c>
      <c r="G3685">
        <v>88</v>
      </c>
      <c r="H3685">
        <v>1</v>
      </c>
      <c r="I3685">
        <v>7</v>
      </c>
      <c r="J3685">
        <v>96</v>
      </c>
      <c r="K3685" s="482">
        <v>0.91700000000000004</v>
      </c>
      <c r="L3685" s="482">
        <v>0.01</v>
      </c>
      <c r="M3685" s="482">
        <v>7.2999999999999995E-2</v>
      </c>
    </row>
    <row r="3686" spans="1:13" x14ac:dyDescent="0.2">
      <c r="A3686" t="s">
        <v>5141</v>
      </c>
      <c r="B3686" t="s">
        <v>13</v>
      </c>
      <c r="C3686" t="s">
        <v>1</v>
      </c>
      <c r="D3686" t="s">
        <v>4553</v>
      </c>
      <c r="E3686" t="s">
        <v>4554</v>
      </c>
      <c r="F3686" t="s">
        <v>14</v>
      </c>
      <c r="G3686">
        <v>204</v>
      </c>
      <c r="H3686">
        <v>0</v>
      </c>
      <c r="I3686">
        <v>3</v>
      </c>
      <c r="J3686">
        <v>207</v>
      </c>
      <c r="K3686" s="482">
        <v>0.98599999999999999</v>
      </c>
      <c r="L3686" s="482">
        <v>0</v>
      </c>
      <c r="M3686" s="482">
        <v>1.4E-2</v>
      </c>
    </row>
    <row r="3687" spans="1:13" x14ac:dyDescent="0.2">
      <c r="A3687" t="s">
        <v>5144</v>
      </c>
      <c r="B3687" t="s">
        <v>13</v>
      </c>
      <c r="C3687" t="s">
        <v>1</v>
      </c>
      <c r="D3687" t="s">
        <v>4558</v>
      </c>
      <c r="E3687" t="s">
        <v>4559</v>
      </c>
      <c r="F3687" t="s">
        <v>14</v>
      </c>
      <c r="G3687">
        <v>84</v>
      </c>
      <c r="H3687">
        <v>0</v>
      </c>
      <c r="I3687">
        <v>3</v>
      </c>
      <c r="J3687">
        <v>87</v>
      </c>
      <c r="K3687" s="482">
        <v>0.96599999999999997</v>
      </c>
      <c r="L3687" s="482">
        <v>0</v>
      </c>
      <c r="M3687" s="482">
        <v>3.4000000000000002E-2</v>
      </c>
    </row>
    <row r="3688" spans="1:13" x14ac:dyDescent="0.2">
      <c r="A3688" t="s">
        <v>4975</v>
      </c>
      <c r="B3688" t="s">
        <v>13</v>
      </c>
      <c r="C3688" t="s">
        <v>1</v>
      </c>
      <c r="D3688" t="s">
        <v>3409</v>
      </c>
      <c r="E3688" t="s">
        <v>3410</v>
      </c>
      <c r="F3688" t="s">
        <v>14</v>
      </c>
      <c r="G3688">
        <v>112</v>
      </c>
      <c r="H3688">
        <v>1</v>
      </c>
      <c r="I3688">
        <v>6</v>
      </c>
      <c r="J3688">
        <v>119</v>
      </c>
      <c r="K3688" s="482">
        <v>0.94099999999999995</v>
      </c>
      <c r="L3688" s="482">
        <v>8.0000000000000002E-3</v>
      </c>
      <c r="M3688" s="482">
        <v>0.05</v>
      </c>
    </row>
    <row r="3689" spans="1:13" x14ac:dyDescent="0.2">
      <c r="A3689" t="s">
        <v>4903</v>
      </c>
      <c r="B3689" t="s">
        <v>13</v>
      </c>
      <c r="C3689" t="s">
        <v>1</v>
      </c>
      <c r="D3689" t="s">
        <v>3210</v>
      </c>
      <c r="E3689" t="s">
        <v>3211</v>
      </c>
      <c r="F3689" t="s">
        <v>14</v>
      </c>
      <c r="G3689">
        <v>10</v>
      </c>
      <c r="H3689">
        <v>0</v>
      </c>
      <c r="I3689">
        <v>1</v>
      </c>
      <c r="J3689">
        <v>11</v>
      </c>
      <c r="K3689" s="482">
        <v>0.90900000000000003</v>
      </c>
      <c r="L3689" s="482">
        <v>0</v>
      </c>
      <c r="M3689" s="482">
        <v>9.0999999999999998E-2</v>
      </c>
    </row>
    <row r="3690" spans="1:13" x14ac:dyDescent="0.2">
      <c r="A3690" t="s">
        <v>4904</v>
      </c>
      <c r="B3690" t="s">
        <v>13</v>
      </c>
      <c r="C3690" t="s">
        <v>1</v>
      </c>
      <c r="D3690" t="s">
        <v>3213</v>
      </c>
      <c r="E3690" t="s">
        <v>3214</v>
      </c>
      <c r="F3690" t="s">
        <v>14</v>
      </c>
      <c r="G3690">
        <v>213</v>
      </c>
      <c r="H3690">
        <v>3</v>
      </c>
      <c r="I3690">
        <v>5</v>
      </c>
      <c r="J3690">
        <v>221</v>
      </c>
      <c r="K3690" s="482">
        <v>0.96399999999999997</v>
      </c>
      <c r="L3690" s="482">
        <v>1.4E-2</v>
      </c>
      <c r="M3690" s="482">
        <v>2.3E-2</v>
      </c>
    </row>
    <row r="3691" spans="1:13" x14ac:dyDescent="0.2">
      <c r="A3691" t="s">
        <v>4898</v>
      </c>
      <c r="B3691" t="s">
        <v>13</v>
      </c>
      <c r="C3691" t="s">
        <v>1</v>
      </c>
      <c r="D3691" t="s">
        <v>3198</v>
      </c>
      <c r="E3691" t="s">
        <v>3199</v>
      </c>
      <c r="F3691" t="s">
        <v>14</v>
      </c>
      <c r="G3691">
        <v>72</v>
      </c>
      <c r="H3691">
        <v>2</v>
      </c>
      <c r="I3691">
        <v>0</v>
      </c>
      <c r="J3691">
        <v>74</v>
      </c>
      <c r="K3691" s="482">
        <v>0.97299999999999998</v>
      </c>
      <c r="L3691" s="482">
        <v>2.7E-2</v>
      </c>
      <c r="M3691" s="482">
        <v>0</v>
      </c>
    </row>
    <row r="3692" spans="1:13" x14ac:dyDescent="0.2">
      <c r="A3692" t="s">
        <v>4951</v>
      </c>
      <c r="B3692" t="s">
        <v>13</v>
      </c>
      <c r="C3692" t="s">
        <v>1</v>
      </c>
      <c r="D3692" t="s">
        <v>3340</v>
      </c>
      <c r="E3692" t="s">
        <v>3341</v>
      </c>
      <c r="F3692" t="s">
        <v>14</v>
      </c>
      <c r="G3692">
        <v>181</v>
      </c>
      <c r="H3692">
        <v>2</v>
      </c>
      <c r="I3692">
        <v>0</v>
      </c>
      <c r="J3692">
        <v>183</v>
      </c>
      <c r="K3692" s="482">
        <v>0.98899999999999999</v>
      </c>
      <c r="L3692" s="482">
        <v>1.0999999999999999E-2</v>
      </c>
      <c r="M3692" s="482">
        <v>0</v>
      </c>
    </row>
    <row r="3693" spans="1:13" x14ac:dyDescent="0.2">
      <c r="A3693" t="s">
        <v>4899</v>
      </c>
      <c r="B3693" t="s">
        <v>13</v>
      </c>
      <c r="C3693" t="s">
        <v>1</v>
      </c>
      <c r="D3693" t="s">
        <v>4267</v>
      </c>
      <c r="E3693" t="s">
        <v>4268</v>
      </c>
      <c r="F3693" t="s">
        <v>14</v>
      </c>
      <c r="G3693">
        <v>75</v>
      </c>
      <c r="H3693">
        <v>1</v>
      </c>
      <c r="I3693">
        <v>2</v>
      </c>
      <c r="J3693">
        <v>78</v>
      </c>
      <c r="K3693" s="482">
        <v>0.96199999999999997</v>
      </c>
      <c r="L3693" s="482">
        <v>1.2999999999999999E-2</v>
      </c>
      <c r="M3693" s="482">
        <v>2.5999999999999999E-2</v>
      </c>
    </row>
    <row r="3694" spans="1:13" x14ac:dyDescent="0.2">
      <c r="A3694" t="s">
        <v>4952</v>
      </c>
      <c r="B3694" t="s">
        <v>13</v>
      </c>
      <c r="C3694" t="s">
        <v>1</v>
      </c>
      <c r="D3694" t="s">
        <v>4334</v>
      </c>
      <c r="E3694" t="s">
        <v>4335</v>
      </c>
      <c r="F3694" t="s">
        <v>14</v>
      </c>
      <c r="G3694">
        <v>41</v>
      </c>
      <c r="H3694">
        <v>0</v>
      </c>
      <c r="I3694">
        <v>0</v>
      </c>
      <c r="J3694">
        <v>41</v>
      </c>
      <c r="K3694" s="482">
        <v>1</v>
      </c>
      <c r="L3694" s="482">
        <v>0</v>
      </c>
      <c r="M3694" s="482">
        <v>0</v>
      </c>
    </row>
    <row r="3695" spans="1:13" x14ac:dyDescent="0.2">
      <c r="A3695" t="s">
        <v>4968</v>
      </c>
      <c r="B3695" t="s">
        <v>13</v>
      </c>
      <c r="C3695" t="s">
        <v>1</v>
      </c>
      <c r="D3695" t="s">
        <v>3343</v>
      </c>
      <c r="E3695" t="s">
        <v>3344</v>
      </c>
      <c r="F3695" t="s">
        <v>14</v>
      </c>
      <c r="G3695">
        <v>68</v>
      </c>
      <c r="H3695">
        <v>1</v>
      </c>
      <c r="I3695">
        <v>1</v>
      </c>
      <c r="J3695">
        <v>70</v>
      </c>
      <c r="K3695" s="482">
        <v>0.97099999999999997</v>
      </c>
      <c r="L3695" s="482">
        <v>1.4E-2</v>
      </c>
      <c r="M3695" s="482">
        <v>1.4E-2</v>
      </c>
    </row>
    <row r="3696" spans="1:13" x14ac:dyDescent="0.2">
      <c r="A3696" t="s">
        <v>4954</v>
      </c>
      <c r="B3696" t="s">
        <v>13</v>
      </c>
      <c r="C3696" t="s">
        <v>1</v>
      </c>
      <c r="D3696" t="s">
        <v>4339</v>
      </c>
      <c r="E3696" t="s">
        <v>4340</v>
      </c>
      <c r="F3696" t="s">
        <v>14</v>
      </c>
      <c r="G3696">
        <v>35</v>
      </c>
      <c r="H3696">
        <v>0</v>
      </c>
      <c r="I3696">
        <v>3</v>
      </c>
      <c r="J3696">
        <v>38</v>
      </c>
      <c r="K3696" s="482">
        <v>0.92100000000000004</v>
      </c>
      <c r="L3696" s="482">
        <v>0</v>
      </c>
      <c r="M3696" s="482">
        <v>7.9000000000000001E-2</v>
      </c>
    </row>
    <row r="3697" spans="1:13" x14ac:dyDescent="0.2">
      <c r="A3697" t="s">
        <v>4955</v>
      </c>
      <c r="B3697" t="s">
        <v>13</v>
      </c>
      <c r="C3697" t="s">
        <v>1</v>
      </c>
      <c r="D3697" t="s">
        <v>4342</v>
      </c>
      <c r="E3697" t="s">
        <v>4343</v>
      </c>
      <c r="F3697" t="s">
        <v>14</v>
      </c>
      <c r="G3697">
        <v>26</v>
      </c>
      <c r="H3697">
        <v>0</v>
      </c>
      <c r="I3697">
        <v>1</v>
      </c>
      <c r="J3697">
        <v>27</v>
      </c>
      <c r="K3697" s="482">
        <v>0.96299999999999997</v>
      </c>
      <c r="L3697" s="482">
        <v>0</v>
      </c>
      <c r="M3697" s="482">
        <v>3.6999999999999998E-2</v>
      </c>
    </row>
    <row r="3698" spans="1:13" x14ac:dyDescent="0.2">
      <c r="A3698" t="s">
        <v>4969</v>
      </c>
      <c r="B3698" t="s">
        <v>13</v>
      </c>
      <c r="C3698" t="s">
        <v>1</v>
      </c>
      <c r="D3698" t="s">
        <v>3385</v>
      </c>
      <c r="E3698" t="s">
        <v>3386</v>
      </c>
      <c r="F3698" t="s">
        <v>14</v>
      </c>
      <c r="G3698">
        <v>139</v>
      </c>
      <c r="H3698">
        <v>0</v>
      </c>
      <c r="I3698">
        <v>0</v>
      </c>
      <c r="J3698">
        <v>139</v>
      </c>
      <c r="K3698" s="482">
        <v>1</v>
      </c>
      <c r="L3698" s="482">
        <v>0</v>
      </c>
      <c r="M3698" s="482">
        <v>0</v>
      </c>
    </row>
    <row r="3699" spans="1:13" x14ac:dyDescent="0.2">
      <c r="A3699" t="s">
        <v>4970</v>
      </c>
      <c r="B3699" t="s">
        <v>13</v>
      </c>
      <c r="C3699" t="s">
        <v>1</v>
      </c>
      <c r="D3699" t="s">
        <v>3388</v>
      </c>
      <c r="E3699" t="s">
        <v>3389</v>
      </c>
      <c r="F3699" t="s">
        <v>14</v>
      </c>
      <c r="G3699">
        <v>128</v>
      </c>
      <c r="H3699">
        <v>1</v>
      </c>
      <c r="I3699">
        <v>1</v>
      </c>
      <c r="J3699">
        <v>130</v>
      </c>
      <c r="K3699" s="482">
        <v>0.98499999999999999</v>
      </c>
      <c r="L3699" s="482">
        <v>8.0000000000000002E-3</v>
      </c>
      <c r="M3699" s="482">
        <v>8.0000000000000002E-3</v>
      </c>
    </row>
    <row r="3700" spans="1:13" x14ac:dyDescent="0.2">
      <c r="A3700" t="s">
        <v>4971</v>
      </c>
      <c r="B3700" t="s">
        <v>13</v>
      </c>
      <c r="C3700" t="s">
        <v>1</v>
      </c>
      <c r="D3700" t="s">
        <v>3391</v>
      </c>
      <c r="E3700" t="s">
        <v>3392</v>
      </c>
      <c r="F3700" t="s">
        <v>14</v>
      </c>
      <c r="G3700">
        <v>32</v>
      </c>
      <c r="H3700">
        <v>0</v>
      </c>
      <c r="I3700">
        <v>1</v>
      </c>
      <c r="J3700">
        <v>33</v>
      </c>
      <c r="K3700" s="482">
        <v>0.97</v>
      </c>
      <c r="L3700" s="482">
        <v>0</v>
      </c>
      <c r="M3700" s="482">
        <v>0.03</v>
      </c>
    </row>
    <row r="3701" spans="1:13" x14ac:dyDescent="0.2">
      <c r="A3701" t="s">
        <v>4972</v>
      </c>
      <c r="B3701" t="s">
        <v>13</v>
      </c>
      <c r="C3701" t="s">
        <v>1</v>
      </c>
      <c r="D3701" t="s">
        <v>3394</v>
      </c>
      <c r="E3701" t="s">
        <v>3395</v>
      </c>
      <c r="F3701" t="s">
        <v>14</v>
      </c>
      <c r="G3701">
        <v>158</v>
      </c>
      <c r="H3701">
        <v>3</v>
      </c>
      <c r="I3701">
        <v>2</v>
      </c>
      <c r="J3701">
        <v>163</v>
      </c>
      <c r="K3701" s="482">
        <v>0.96899999999999997</v>
      </c>
      <c r="L3701" s="482">
        <v>1.7999999999999999E-2</v>
      </c>
      <c r="M3701" s="482">
        <v>1.2E-2</v>
      </c>
    </row>
    <row r="3702" spans="1:13" x14ac:dyDescent="0.2">
      <c r="A3702" t="s">
        <v>4973</v>
      </c>
      <c r="B3702" t="s">
        <v>13</v>
      </c>
      <c r="C3702" t="s">
        <v>1</v>
      </c>
      <c r="D3702" t="s">
        <v>3397</v>
      </c>
      <c r="E3702" t="s">
        <v>3398</v>
      </c>
      <c r="F3702" t="s">
        <v>14</v>
      </c>
      <c r="G3702">
        <v>131</v>
      </c>
      <c r="H3702">
        <v>0</v>
      </c>
      <c r="I3702">
        <v>3</v>
      </c>
      <c r="J3702">
        <v>134</v>
      </c>
      <c r="K3702" s="482">
        <v>0.97799999999999998</v>
      </c>
      <c r="L3702" s="482">
        <v>0</v>
      </c>
      <c r="M3702" s="482">
        <v>2.1999999999999999E-2</v>
      </c>
    </row>
    <row r="3703" spans="1:13" x14ac:dyDescent="0.2">
      <c r="A3703" t="s">
        <v>4974</v>
      </c>
      <c r="B3703" t="s">
        <v>13</v>
      </c>
      <c r="C3703" t="s">
        <v>1</v>
      </c>
      <c r="D3703" t="s">
        <v>3400</v>
      </c>
      <c r="E3703" t="s">
        <v>3401</v>
      </c>
      <c r="F3703" t="s">
        <v>14</v>
      </c>
      <c r="G3703">
        <v>85</v>
      </c>
      <c r="H3703">
        <v>0</v>
      </c>
      <c r="I3703">
        <v>3</v>
      </c>
      <c r="J3703">
        <v>88</v>
      </c>
      <c r="K3703" s="482">
        <v>0.96599999999999997</v>
      </c>
      <c r="L3703" s="482">
        <v>0</v>
      </c>
      <c r="M3703" s="482">
        <v>3.4000000000000002E-2</v>
      </c>
    </row>
    <row r="3704" spans="1:13" x14ac:dyDescent="0.2">
      <c r="A3704" t="s">
        <v>4914</v>
      </c>
      <c r="B3704" t="s">
        <v>13</v>
      </c>
      <c r="C3704" t="s">
        <v>1</v>
      </c>
      <c r="D3704" t="s">
        <v>3240</v>
      </c>
      <c r="E3704" t="s">
        <v>3241</v>
      </c>
      <c r="F3704" t="s">
        <v>14</v>
      </c>
      <c r="G3704">
        <v>7</v>
      </c>
      <c r="H3704">
        <v>0</v>
      </c>
      <c r="I3704">
        <v>0</v>
      </c>
      <c r="J3704">
        <v>7</v>
      </c>
      <c r="K3704" s="482">
        <v>1</v>
      </c>
      <c r="L3704" s="482">
        <v>0</v>
      </c>
      <c r="M3704" s="482">
        <v>0</v>
      </c>
    </row>
    <row r="3705" spans="1:13" x14ac:dyDescent="0.2">
      <c r="A3705" t="s">
        <v>4915</v>
      </c>
      <c r="B3705" t="s">
        <v>13</v>
      </c>
      <c r="C3705" t="s">
        <v>1</v>
      </c>
      <c r="D3705" t="s">
        <v>3243</v>
      </c>
      <c r="E3705" t="s">
        <v>3244</v>
      </c>
      <c r="F3705" t="s">
        <v>14</v>
      </c>
      <c r="G3705">
        <v>84</v>
      </c>
      <c r="H3705">
        <v>0</v>
      </c>
      <c r="I3705">
        <v>1</v>
      </c>
      <c r="J3705">
        <v>85</v>
      </c>
      <c r="K3705" s="482">
        <v>0.98799999999999999</v>
      </c>
      <c r="L3705" s="482">
        <v>0</v>
      </c>
      <c r="M3705" s="482">
        <v>1.2E-2</v>
      </c>
    </row>
    <row r="3706" spans="1:13" x14ac:dyDescent="0.2">
      <c r="A3706" t="s">
        <v>4916</v>
      </c>
      <c r="B3706" t="s">
        <v>13</v>
      </c>
      <c r="C3706" t="s">
        <v>1</v>
      </c>
      <c r="D3706" t="s">
        <v>3246</v>
      </c>
      <c r="E3706" t="s">
        <v>3247</v>
      </c>
      <c r="F3706" t="s">
        <v>14</v>
      </c>
      <c r="G3706">
        <v>118</v>
      </c>
      <c r="H3706">
        <v>0</v>
      </c>
      <c r="I3706">
        <v>6</v>
      </c>
      <c r="J3706">
        <v>124</v>
      </c>
      <c r="K3706" s="482">
        <v>0.95199999999999996</v>
      </c>
      <c r="L3706" s="482">
        <v>0</v>
      </c>
      <c r="M3706" s="482">
        <v>4.8000000000000001E-2</v>
      </c>
    </row>
    <row r="3707" spans="1:13" x14ac:dyDescent="0.2">
      <c r="A3707" t="s">
        <v>4917</v>
      </c>
      <c r="B3707" t="s">
        <v>13</v>
      </c>
      <c r="C3707" t="s">
        <v>1</v>
      </c>
      <c r="D3707" t="s">
        <v>3249</v>
      </c>
      <c r="E3707" t="s">
        <v>3250</v>
      </c>
      <c r="F3707" t="s">
        <v>14</v>
      </c>
      <c r="G3707">
        <v>65</v>
      </c>
      <c r="H3707">
        <v>0</v>
      </c>
      <c r="I3707">
        <v>0</v>
      </c>
      <c r="J3707">
        <v>65</v>
      </c>
      <c r="K3707" s="482">
        <v>1</v>
      </c>
      <c r="L3707" s="482">
        <v>0</v>
      </c>
      <c r="M3707" s="482">
        <v>0</v>
      </c>
    </row>
    <row r="3708" spans="1:13" x14ac:dyDescent="0.2">
      <c r="A3708" t="s">
        <v>4868</v>
      </c>
      <c r="B3708" t="s">
        <v>13</v>
      </c>
      <c r="C3708" t="s">
        <v>1</v>
      </c>
      <c r="D3708" t="s">
        <v>4229</v>
      </c>
      <c r="E3708" t="s">
        <v>4230</v>
      </c>
      <c r="F3708" t="s">
        <v>14</v>
      </c>
      <c r="G3708">
        <v>277</v>
      </c>
      <c r="H3708">
        <v>2</v>
      </c>
      <c r="I3708">
        <v>9</v>
      </c>
      <c r="J3708">
        <v>288</v>
      </c>
      <c r="K3708" s="482">
        <v>0.96199999999999997</v>
      </c>
      <c r="L3708" s="482">
        <v>7.0000000000000001E-3</v>
      </c>
      <c r="M3708" s="482">
        <v>3.1E-2</v>
      </c>
    </row>
    <row r="3709" spans="1:13" x14ac:dyDescent="0.2">
      <c r="A3709" t="s">
        <v>4867</v>
      </c>
      <c r="B3709" t="s">
        <v>13</v>
      </c>
      <c r="C3709" t="s">
        <v>1</v>
      </c>
      <c r="D3709" t="s">
        <v>3103</v>
      </c>
      <c r="E3709" t="s">
        <v>3104</v>
      </c>
      <c r="F3709" t="s">
        <v>14</v>
      </c>
      <c r="G3709">
        <v>59</v>
      </c>
      <c r="H3709">
        <v>0</v>
      </c>
      <c r="I3709">
        <v>1</v>
      </c>
      <c r="J3709">
        <v>60</v>
      </c>
      <c r="K3709" s="482">
        <v>0.98299999999999998</v>
      </c>
      <c r="L3709" s="482">
        <v>0</v>
      </c>
      <c r="M3709" s="482">
        <v>1.7000000000000001E-2</v>
      </c>
    </row>
    <row r="3710" spans="1:13" x14ac:dyDescent="0.2">
      <c r="A3710" t="s">
        <v>5030</v>
      </c>
      <c r="B3710" t="s">
        <v>13</v>
      </c>
      <c r="C3710" t="s">
        <v>1</v>
      </c>
      <c r="D3710" t="s">
        <v>4428</v>
      </c>
      <c r="E3710" t="s">
        <v>4429</v>
      </c>
      <c r="F3710" t="s">
        <v>14</v>
      </c>
      <c r="G3710">
        <v>81</v>
      </c>
      <c r="H3710">
        <v>0</v>
      </c>
      <c r="I3710">
        <v>2</v>
      </c>
      <c r="J3710">
        <v>83</v>
      </c>
      <c r="K3710" s="482">
        <v>0.97599999999999998</v>
      </c>
      <c r="L3710" s="482">
        <v>0</v>
      </c>
      <c r="M3710" s="482">
        <v>2.4E-2</v>
      </c>
    </row>
    <row r="3711" spans="1:13" x14ac:dyDescent="0.2">
      <c r="A3711" t="s">
        <v>4879</v>
      </c>
      <c r="B3711" t="s">
        <v>13</v>
      </c>
      <c r="C3711" t="s">
        <v>1</v>
      </c>
      <c r="D3711" t="s">
        <v>3148</v>
      </c>
      <c r="E3711" t="s">
        <v>3149</v>
      </c>
      <c r="F3711" t="s">
        <v>14</v>
      </c>
      <c r="G3711">
        <v>87</v>
      </c>
      <c r="H3711">
        <v>1</v>
      </c>
      <c r="I3711">
        <v>1</v>
      </c>
      <c r="J3711">
        <v>89</v>
      </c>
      <c r="K3711" s="482">
        <v>0.97799999999999998</v>
      </c>
      <c r="L3711" s="482">
        <v>1.0999999999999999E-2</v>
      </c>
      <c r="M3711" s="482">
        <v>1.0999999999999999E-2</v>
      </c>
    </row>
    <row r="3712" spans="1:13" x14ac:dyDescent="0.2">
      <c r="A3712" t="s">
        <v>4880</v>
      </c>
      <c r="B3712" t="s">
        <v>13</v>
      </c>
      <c r="C3712" t="s">
        <v>1</v>
      </c>
      <c r="D3712" t="s">
        <v>3151</v>
      </c>
      <c r="E3712" t="s">
        <v>3152</v>
      </c>
      <c r="F3712" t="s">
        <v>14</v>
      </c>
      <c r="G3712">
        <v>77</v>
      </c>
      <c r="H3712">
        <v>0</v>
      </c>
      <c r="I3712">
        <v>3</v>
      </c>
      <c r="J3712">
        <v>80</v>
      </c>
      <c r="K3712" s="482">
        <v>0.96299999999999997</v>
      </c>
      <c r="L3712" s="482">
        <v>0</v>
      </c>
      <c r="M3712" s="482">
        <v>3.7999999999999999E-2</v>
      </c>
    </row>
    <row r="3713" spans="1:13" x14ac:dyDescent="0.2">
      <c r="A3713" t="s">
        <v>4871</v>
      </c>
      <c r="B3713" t="s">
        <v>13</v>
      </c>
      <c r="C3713" t="s">
        <v>1</v>
      </c>
      <c r="D3713" t="s">
        <v>3118</v>
      </c>
      <c r="E3713" t="s">
        <v>3119</v>
      </c>
      <c r="F3713" t="s">
        <v>14</v>
      </c>
      <c r="G3713">
        <v>30</v>
      </c>
      <c r="H3713">
        <v>0</v>
      </c>
      <c r="I3713">
        <v>0</v>
      </c>
      <c r="J3713">
        <v>30</v>
      </c>
      <c r="K3713" s="482">
        <v>1</v>
      </c>
      <c r="L3713" s="482">
        <v>0</v>
      </c>
      <c r="M3713" s="482">
        <v>0</v>
      </c>
    </row>
    <row r="3714" spans="1:13" x14ac:dyDescent="0.2">
      <c r="A3714" t="s">
        <v>4872</v>
      </c>
      <c r="B3714" t="s">
        <v>13</v>
      </c>
      <c r="C3714" t="s">
        <v>1</v>
      </c>
      <c r="D3714" t="s">
        <v>3121</v>
      </c>
      <c r="E3714" t="s">
        <v>3122</v>
      </c>
      <c r="F3714" t="s">
        <v>14</v>
      </c>
      <c r="G3714">
        <v>245</v>
      </c>
      <c r="H3714">
        <v>1</v>
      </c>
      <c r="I3714">
        <v>5</v>
      </c>
      <c r="J3714">
        <v>251</v>
      </c>
      <c r="K3714" s="482">
        <v>0.97599999999999998</v>
      </c>
      <c r="L3714" s="482">
        <v>4.0000000000000001E-3</v>
      </c>
      <c r="M3714" s="482">
        <v>0.02</v>
      </c>
    </row>
    <row r="3715" spans="1:13" x14ac:dyDescent="0.2">
      <c r="A3715" t="s">
        <v>4870</v>
      </c>
      <c r="B3715" t="s">
        <v>13</v>
      </c>
      <c r="C3715" t="s">
        <v>1</v>
      </c>
      <c r="D3715" t="s">
        <v>3115</v>
      </c>
      <c r="E3715" t="s">
        <v>3116</v>
      </c>
      <c r="F3715" t="s">
        <v>14</v>
      </c>
      <c r="G3715">
        <v>166</v>
      </c>
      <c r="H3715">
        <v>0</v>
      </c>
      <c r="I3715">
        <v>10</v>
      </c>
      <c r="J3715">
        <v>176</v>
      </c>
      <c r="K3715" s="482">
        <v>0.94299999999999995</v>
      </c>
      <c r="L3715" s="482">
        <v>0</v>
      </c>
      <c r="M3715" s="482">
        <v>5.7000000000000002E-2</v>
      </c>
    </row>
    <row r="3716" spans="1:13" x14ac:dyDescent="0.2">
      <c r="A3716" t="s">
        <v>5092</v>
      </c>
      <c r="B3716" t="s">
        <v>13</v>
      </c>
      <c r="C3716" t="s">
        <v>1</v>
      </c>
      <c r="D3716" t="s">
        <v>4222</v>
      </c>
      <c r="E3716" t="s">
        <v>4223</v>
      </c>
      <c r="F3716" t="s">
        <v>14</v>
      </c>
      <c r="G3716">
        <v>653</v>
      </c>
      <c r="H3716">
        <v>3</v>
      </c>
      <c r="I3716">
        <v>20</v>
      </c>
      <c r="J3716">
        <v>676</v>
      </c>
      <c r="K3716" s="482">
        <v>0.96599999999999997</v>
      </c>
      <c r="L3716" s="482">
        <v>4.0000000000000001E-3</v>
      </c>
      <c r="M3716" s="482">
        <v>0.03</v>
      </c>
    </row>
    <row r="3717" spans="1:13" x14ac:dyDescent="0.2">
      <c r="A3717" t="s">
        <v>5068</v>
      </c>
      <c r="B3717" t="s">
        <v>13</v>
      </c>
      <c r="C3717" t="s">
        <v>1</v>
      </c>
      <c r="D3717" t="s">
        <v>3675</v>
      </c>
      <c r="E3717" t="s">
        <v>3676</v>
      </c>
      <c r="F3717" t="s">
        <v>14</v>
      </c>
      <c r="G3717">
        <v>191</v>
      </c>
      <c r="H3717">
        <v>1</v>
      </c>
      <c r="I3717">
        <v>2</v>
      </c>
      <c r="J3717">
        <v>194</v>
      </c>
      <c r="K3717" s="482">
        <v>0.98499999999999999</v>
      </c>
      <c r="L3717" s="482">
        <v>5.0000000000000001E-3</v>
      </c>
      <c r="M3717" s="482">
        <v>0.01</v>
      </c>
    </row>
    <row r="3718" spans="1:13" x14ac:dyDescent="0.2">
      <c r="A3718" t="s">
        <v>5069</v>
      </c>
      <c r="B3718" t="s">
        <v>13</v>
      </c>
      <c r="C3718" t="s">
        <v>1</v>
      </c>
      <c r="D3718" t="s">
        <v>3678</v>
      </c>
      <c r="E3718" t="s">
        <v>3679</v>
      </c>
      <c r="F3718" t="s">
        <v>14</v>
      </c>
      <c r="G3718">
        <v>275</v>
      </c>
      <c r="H3718">
        <v>1</v>
      </c>
      <c r="I3718">
        <v>8</v>
      </c>
      <c r="J3718">
        <v>284</v>
      </c>
      <c r="K3718" s="482">
        <v>0.96799999999999997</v>
      </c>
      <c r="L3718" s="482">
        <v>4.0000000000000001E-3</v>
      </c>
      <c r="M3718" s="482">
        <v>2.8000000000000001E-2</v>
      </c>
    </row>
    <row r="3719" spans="1:13" x14ac:dyDescent="0.2">
      <c r="A3719" t="s">
        <v>5070</v>
      </c>
      <c r="B3719" t="s">
        <v>13</v>
      </c>
      <c r="C3719" t="s">
        <v>1</v>
      </c>
      <c r="D3719" t="s">
        <v>3681</v>
      </c>
      <c r="E3719" t="s">
        <v>3682</v>
      </c>
      <c r="F3719" t="s">
        <v>14</v>
      </c>
      <c r="G3719">
        <v>252</v>
      </c>
      <c r="H3719">
        <v>3</v>
      </c>
      <c r="I3719">
        <v>5</v>
      </c>
      <c r="J3719">
        <v>260</v>
      </c>
      <c r="K3719" s="482">
        <v>0.96899999999999997</v>
      </c>
      <c r="L3719" s="482">
        <v>1.2E-2</v>
      </c>
      <c r="M3719" s="482">
        <v>1.9E-2</v>
      </c>
    </row>
    <row r="3720" spans="1:13" x14ac:dyDescent="0.2">
      <c r="A3720" t="s">
        <v>5095</v>
      </c>
      <c r="B3720" t="s">
        <v>13</v>
      </c>
      <c r="C3720" t="s">
        <v>1</v>
      </c>
      <c r="D3720" t="s">
        <v>3751</v>
      </c>
      <c r="E3720" t="s">
        <v>3752</v>
      </c>
      <c r="F3720" t="s">
        <v>14</v>
      </c>
      <c r="G3720">
        <v>179</v>
      </c>
      <c r="H3720">
        <v>2</v>
      </c>
      <c r="I3720">
        <v>11</v>
      </c>
      <c r="J3720">
        <v>192</v>
      </c>
      <c r="K3720" s="482">
        <v>0.93200000000000005</v>
      </c>
      <c r="L3720" s="482">
        <v>0.01</v>
      </c>
      <c r="M3720" s="482">
        <v>5.7000000000000002E-2</v>
      </c>
    </row>
    <row r="3721" spans="1:13" x14ac:dyDescent="0.2">
      <c r="A3721" t="s">
        <v>4950</v>
      </c>
      <c r="B3721" t="s">
        <v>13</v>
      </c>
      <c r="C3721" t="s">
        <v>1</v>
      </c>
      <c r="D3721" t="s">
        <v>3334</v>
      </c>
      <c r="E3721" t="s">
        <v>3335</v>
      </c>
      <c r="F3721" t="s">
        <v>14</v>
      </c>
      <c r="G3721">
        <v>16</v>
      </c>
      <c r="H3721">
        <v>0</v>
      </c>
      <c r="I3721">
        <v>0</v>
      </c>
      <c r="J3721">
        <v>16</v>
      </c>
      <c r="K3721" s="482">
        <v>1</v>
      </c>
      <c r="L3721" s="482">
        <v>0</v>
      </c>
      <c r="M3721" s="482">
        <v>0</v>
      </c>
    </row>
    <row r="3722" spans="1:13" x14ac:dyDescent="0.2">
      <c r="A3722" t="s">
        <v>4953</v>
      </c>
      <c r="B3722" t="s">
        <v>13</v>
      </c>
      <c r="C3722" t="s">
        <v>1</v>
      </c>
      <c r="D3722" t="s">
        <v>3337</v>
      </c>
      <c r="E3722" t="s">
        <v>3338</v>
      </c>
      <c r="F3722" t="s">
        <v>14</v>
      </c>
      <c r="G3722">
        <v>31</v>
      </c>
      <c r="H3722">
        <v>0</v>
      </c>
      <c r="I3722">
        <v>0</v>
      </c>
      <c r="J3722">
        <v>31</v>
      </c>
      <c r="K3722" s="482">
        <v>1</v>
      </c>
      <c r="L3722" s="482">
        <v>0</v>
      </c>
      <c r="M3722" s="482">
        <v>0</v>
      </c>
    </row>
    <row r="3723" spans="1:13" x14ac:dyDescent="0.2">
      <c r="A3723" t="s">
        <v>4956</v>
      </c>
      <c r="B3723" t="s">
        <v>13</v>
      </c>
      <c r="C3723" t="s">
        <v>1</v>
      </c>
      <c r="D3723" t="s">
        <v>3346</v>
      </c>
      <c r="E3723" t="s">
        <v>3347</v>
      </c>
      <c r="F3723" t="s">
        <v>14</v>
      </c>
      <c r="G3723">
        <v>46</v>
      </c>
      <c r="H3723">
        <v>0</v>
      </c>
      <c r="I3723">
        <v>1</v>
      </c>
      <c r="J3723">
        <v>47</v>
      </c>
      <c r="K3723" s="482">
        <v>0.97899999999999998</v>
      </c>
      <c r="L3723" s="482">
        <v>0</v>
      </c>
      <c r="M3723" s="482">
        <v>2.1000000000000001E-2</v>
      </c>
    </row>
    <row r="3724" spans="1:13" x14ac:dyDescent="0.2">
      <c r="A3724" t="s">
        <v>4957</v>
      </c>
      <c r="B3724" t="s">
        <v>13</v>
      </c>
      <c r="C3724" t="s">
        <v>1</v>
      </c>
      <c r="D3724" t="s">
        <v>3349</v>
      </c>
      <c r="E3724" t="s">
        <v>3350</v>
      </c>
      <c r="F3724" t="s">
        <v>14</v>
      </c>
      <c r="G3724">
        <v>41</v>
      </c>
      <c r="H3724">
        <v>1</v>
      </c>
      <c r="I3724">
        <v>0</v>
      </c>
      <c r="J3724">
        <v>42</v>
      </c>
      <c r="K3724" s="482">
        <v>0.97599999999999998</v>
      </c>
      <c r="L3724" s="482">
        <v>2.4E-2</v>
      </c>
      <c r="M3724" s="482">
        <v>0</v>
      </c>
    </row>
    <row r="3725" spans="1:13" x14ac:dyDescent="0.2">
      <c r="A3725" t="s">
        <v>4958</v>
      </c>
      <c r="B3725" t="s">
        <v>13</v>
      </c>
      <c r="C3725" t="s">
        <v>1</v>
      </c>
      <c r="D3725" t="s">
        <v>3352</v>
      </c>
      <c r="E3725" t="s">
        <v>3353</v>
      </c>
      <c r="F3725" t="s">
        <v>14</v>
      </c>
      <c r="G3725">
        <v>77</v>
      </c>
      <c r="H3725">
        <v>0</v>
      </c>
      <c r="I3725">
        <v>4</v>
      </c>
      <c r="J3725">
        <v>81</v>
      </c>
      <c r="K3725" s="482">
        <v>0.95099999999999996</v>
      </c>
      <c r="L3725" s="482">
        <v>0</v>
      </c>
      <c r="M3725" s="482">
        <v>4.9000000000000002E-2</v>
      </c>
    </row>
    <row r="3726" spans="1:13" x14ac:dyDescent="0.2">
      <c r="A3726" t="s">
        <v>4959</v>
      </c>
      <c r="B3726" t="s">
        <v>13</v>
      </c>
      <c r="C3726" t="s">
        <v>1</v>
      </c>
      <c r="D3726" t="s">
        <v>3355</v>
      </c>
      <c r="E3726" t="s">
        <v>3356</v>
      </c>
      <c r="F3726" t="s">
        <v>14</v>
      </c>
      <c r="G3726">
        <v>70</v>
      </c>
      <c r="H3726">
        <v>0</v>
      </c>
      <c r="I3726">
        <v>3</v>
      </c>
      <c r="J3726">
        <v>73</v>
      </c>
      <c r="K3726" s="482">
        <v>0.95899999999999996</v>
      </c>
      <c r="L3726" s="482">
        <v>0</v>
      </c>
      <c r="M3726" s="482">
        <v>4.1000000000000002E-2</v>
      </c>
    </row>
    <row r="3727" spans="1:13" x14ac:dyDescent="0.2">
      <c r="A3727" t="s">
        <v>4960</v>
      </c>
      <c r="B3727" t="s">
        <v>13</v>
      </c>
      <c r="C3727" t="s">
        <v>1</v>
      </c>
      <c r="D3727" t="s">
        <v>3358</v>
      </c>
      <c r="E3727" t="s">
        <v>3359</v>
      </c>
      <c r="F3727" t="s">
        <v>14</v>
      </c>
      <c r="G3727">
        <v>91</v>
      </c>
      <c r="H3727">
        <v>0</v>
      </c>
      <c r="I3727">
        <v>2</v>
      </c>
      <c r="J3727">
        <v>93</v>
      </c>
      <c r="K3727" s="482">
        <v>0.97799999999999998</v>
      </c>
      <c r="L3727" s="482">
        <v>0</v>
      </c>
      <c r="M3727" s="482">
        <v>2.1999999999999999E-2</v>
      </c>
    </row>
    <row r="3728" spans="1:13" x14ac:dyDescent="0.2">
      <c r="A3728" t="s">
        <v>4949</v>
      </c>
      <c r="B3728" t="s">
        <v>13</v>
      </c>
      <c r="C3728" t="s">
        <v>1</v>
      </c>
      <c r="D3728" t="s">
        <v>3331</v>
      </c>
      <c r="E3728" t="s">
        <v>3332</v>
      </c>
      <c r="F3728" t="s">
        <v>14</v>
      </c>
      <c r="G3728">
        <v>35</v>
      </c>
      <c r="H3728">
        <v>0</v>
      </c>
      <c r="I3728">
        <v>0</v>
      </c>
      <c r="J3728">
        <v>35</v>
      </c>
      <c r="K3728" s="482">
        <v>1</v>
      </c>
      <c r="L3728" s="482">
        <v>0</v>
      </c>
      <c r="M3728" s="482">
        <v>0</v>
      </c>
    </row>
    <row r="3729" spans="1:13" x14ac:dyDescent="0.2">
      <c r="A3729" t="s">
        <v>4961</v>
      </c>
      <c r="B3729" t="s">
        <v>13</v>
      </c>
      <c r="C3729" t="s">
        <v>1</v>
      </c>
      <c r="D3729" t="s">
        <v>3361</v>
      </c>
      <c r="E3729" t="s">
        <v>3362</v>
      </c>
      <c r="F3729" t="s">
        <v>14</v>
      </c>
      <c r="G3729">
        <v>83</v>
      </c>
      <c r="H3729">
        <v>0</v>
      </c>
      <c r="I3729">
        <v>4</v>
      </c>
      <c r="J3729">
        <v>87</v>
      </c>
      <c r="K3729" s="482">
        <v>0.95399999999999996</v>
      </c>
      <c r="L3729" s="482">
        <v>0</v>
      </c>
      <c r="M3729" s="482">
        <v>4.5999999999999999E-2</v>
      </c>
    </row>
    <row r="3730" spans="1:13" x14ac:dyDescent="0.2">
      <c r="A3730" t="s">
        <v>4962</v>
      </c>
      <c r="B3730" t="s">
        <v>13</v>
      </c>
      <c r="C3730" t="s">
        <v>1</v>
      </c>
      <c r="D3730" t="s">
        <v>3364</v>
      </c>
      <c r="E3730" t="s">
        <v>3365</v>
      </c>
      <c r="F3730" t="s">
        <v>14</v>
      </c>
      <c r="G3730" t="s">
        <v>53</v>
      </c>
      <c r="H3730">
        <v>0</v>
      </c>
      <c r="I3730">
        <v>0</v>
      </c>
      <c r="J3730" t="s">
        <v>53</v>
      </c>
      <c r="K3730" t="s">
        <v>53</v>
      </c>
      <c r="L3730" t="s">
        <v>53</v>
      </c>
      <c r="M3730" t="s">
        <v>53</v>
      </c>
    </row>
    <row r="3731" spans="1:13" x14ac:dyDescent="0.2">
      <c r="A3731" t="s">
        <v>4963</v>
      </c>
      <c r="B3731" t="s">
        <v>13</v>
      </c>
      <c r="C3731" t="s">
        <v>1</v>
      </c>
      <c r="D3731" t="s">
        <v>3367</v>
      </c>
      <c r="E3731" t="s">
        <v>3368</v>
      </c>
      <c r="F3731" t="s">
        <v>14</v>
      </c>
      <c r="G3731">
        <v>218</v>
      </c>
      <c r="H3731">
        <v>2</v>
      </c>
      <c r="I3731">
        <v>14</v>
      </c>
      <c r="J3731">
        <v>234</v>
      </c>
      <c r="K3731" s="482">
        <v>0.93200000000000005</v>
      </c>
      <c r="L3731" s="482">
        <v>8.9999999999999993E-3</v>
      </c>
      <c r="M3731" s="482">
        <v>0.06</v>
      </c>
    </row>
    <row r="3732" spans="1:13" x14ac:dyDescent="0.2">
      <c r="A3732" t="s">
        <v>4964</v>
      </c>
      <c r="B3732" t="s">
        <v>13</v>
      </c>
      <c r="C3732" t="s">
        <v>1</v>
      </c>
      <c r="D3732" t="s">
        <v>3370</v>
      </c>
      <c r="E3732" t="s">
        <v>3371</v>
      </c>
      <c r="F3732" t="s">
        <v>14</v>
      </c>
      <c r="G3732">
        <v>148</v>
      </c>
      <c r="H3732">
        <v>0</v>
      </c>
      <c r="I3732">
        <v>6</v>
      </c>
      <c r="J3732">
        <v>154</v>
      </c>
      <c r="K3732" s="482">
        <v>0.96099999999999997</v>
      </c>
      <c r="L3732" s="482">
        <v>0</v>
      </c>
      <c r="M3732" s="482">
        <v>3.9E-2</v>
      </c>
    </row>
    <row r="3733" spans="1:13" x14ac:dyDescent="0.2">
      <c r="A3733" t="s">
        <v>4965</v>
      </c>
      <c r="B3733" t="s">
        <v>13</v>
      </c>
      <c r="C3733" t="s">
        <v>1</v>
      </c>
      <c r="D3733" t="s">
        <v>3373</v>
      </c>
      <c r="E3733" t="s">
        <v>3374</v>
      </c>
      <c r="F3733" t="s">
        <v>14</v>
      </c>
      <c r="G3733">
        <v>170</v>
      </c>
      <c r="H3733">
        <v>0</v>
      </c>
      <c r="I3733">
        <v>4</v>
      </c>
      <c r="J3733">
        <v>174</v>
      </c>
      <c r="K3733" s="482">
        <v>0.97699999999999998</v>
      </c>
      <c r="L3733" s="482">
        <v>0</v>
      </c>
      <c r="M3733" s="482">
        <v>2.3E-2</v>
      </c>
    </row>
    <row r="3734" spans="1:13" x14ac:dyDescent="0.2">
      <c r="A3734" t="s">
        <v>4863</v>
      </c>
      <c r="B3734" t="s">
        <v>13</v>
      </c>
      <c r="C3734" t="s">
        <v>1</v>
      </c>
      <c r="D3734" t="s">
        <v>3379</v>
      </c>
      <c r="E3734" t="s">
        <v>3380</v>
      </c>
      <c r="F3734" t="s">
        <v>14</v>
      </c>
      <c r="G3734">
        <v>286</v>
      </c>
      <c r="H3734">
        <v>3</v>
      </c>
      <c r="I3734">
        <v>7</v>
      </c>
      <c r="J3734">
        <v>296</v>
      </c>
      <c r="K3734" s="482">
        <v>0.96599999999999997</v>
      </c>
      <c r="L3734" s="482">
        <v>0.01</v>
      </c>
      <c r="M3734" s="482">
        <v>2.4E-2</v>
      </c>
    </row>
    <row r="3735" spans="1:13" x14ac:dyDescent="0.2">
      <c r="A3735" t="s">
        <v>4859</v>
      </c>
      <c r="B3735" t="s">
        <v>13</v>
      </c>
      <c r="C3735" t="s">
        <v>1</v>
      </c>
      <c r="D3735" t="s">
        <v>3076</v>
      </c>
      <c r="E3735" t="s">
        <v>3077</v>
      </c>
      <c r="F3735" t="s">
        <v>14</v>
      </c>
      <c r="G3735">
        <v>228</v>
      </c>
      <c r="H3735">
        <v>1</v>
      </c>
      <c r="I3735">
        <v>6</v>
      </c>
      <c r="J3735">
        <v>235</v>
      </c>
      <c r="K3735" s="482">
        <v>0.97</v>
      </c>
      <c r="L3735" s="482">
        <v>4.0000000000000001E-3</v>
      </c>
      <c r="M3735" s="482">
        <v>2.5999999999999999E-2</v>
      </c>
    </row>
    <row r="3736" spans="1:13" x14ac:dyDescent="0.2">
      <c r="A3736" t="s">
        <v>4860</v>
      </c>
      <c r="B3736" t="s">
        <v>13</v>
      </c>
      <c r="C3736" t="s">
        <v>1</v>
      </c>
      <c r="D3736" t="s">
        <v>3079</v>
      </c>
      <c r="E3736" t="s">
        <v>3080</v>
      </c>
      <c r="F3736" t="s">
        <v>14</v>
      </c>
      <c r="G3736">
        <v>60</v>
      </c>
      <c r="H3736">
        <v>1</v>
      </c>
      <c r="I3736">
        <v>2</v>
      </c>
      <c r="J3736">
        <v>63</v>
      </c>
      <c r="K3736" s="482">
        <v>0.95199999999999996</v>
      </c>
      <c r="L3736" s="482">
        <v>1.6E-2</v>
      </c>
      <c r="M3736" s="482">
        <v>3.2000000000000001E-2</v>
      </c>
    </row>
    <row r="3737" spans="1:13" x14ac:dyDescent="0.2">
      <c r="A3737" t="s">
        <v>4861</v>
      </c>
      <c r="B3737" t="s">
        <v>13</v>
      </c>
      <c r="C3737" t="s">
        <v>1</v>
      </c>
      <c r="D3737" t="s">
        <v>3082</v>
      </c>
      <c r="E3737" t="s">
        <v>3083</v>
      </c>
      <c r="F3737" t="s">
        <v>14</v>
      </c>
      <c r="G3737">
        <v>28</v>
      </c>
      <c r="H3737">
        <v>1</v>
      </c>
      <c r="I3737">
        <v>1</v>
      </c>
      <c r="J3737">
        <v>30</v>
      </c>
      <c r="K3737" s="482">
        <v>0.93300000000000005</v>
      </c>
      <c r="L3737" s="482">
        <v>3.3000000000000002E-2</v>
      </c>
      <c r="M3737" s="482">
        <v>3.3000000000000002E-2</v>
      </c>
    </row>
    <row r="3738" spans="1:13" x14ac:dyDescent="0.2">
      <c r="A3738" t="s">
        <v>4862</v>
      </c>
      <c r="B3738" t="s">
        <v>13</v>
      </c>
      <c r="C3738" t="s">
        <v>1</v>
      </c>
      <c r="D3738" t="s">
        <v>3085</v>
      </c>
      <c r="E3738" t="s">
        <v>3086</v>
      </c>
      <c r="F3738" t="s">
        <v>14</v>
      </c>
      <c r="G3738">
        <v>176</v>
      </c>
      <c r="H3738">
        <v>1</v>
      </c>
      <c r="I3738">
        <v>13</v>
      </c>
      <c r="J3738">
        <v>190</v>
      </c>
      <c r="K3738" s="482">
        <v>0.92600000000000005</v>
      </c>
      <c r="L3738" s="482">
        <v>5.0000000000000001E-3</v>
      </c>
      <c r="M3738" s="482">
        <v>6.8000000000000005E-2</v>
      </c>
    </row>
    <row r="3739" spans="1:13" x14ac:dyDescent="0.2">
      <c r="A3739" t="s">
        <v>4865</v>
      </c>
      <c r="B3739" t="s">
        <v>13</v>
      </c>
      <c r="C3739" t="s">
        <v>1</v>
      </c>
      <c r="D3739" t="s">
        <v>3097</v>
      </c>
      <c r="E3739" t="s">
        <v>3098</v>
      </c>
      <c r="F3739" t="s">
        <v>14</v>
      </c>
      <c r="G3739">
        <v>212</v>
      </c>
      <c r="H3739">
        <v>0</v>
      </c>
      <c r="I3739">
        <v>3</v>
      </c>
      <c r="J3739">
        <v>215</v>
      </c>
      <c r="K3739" s="482">
        <v>0.98599999999999999</v>
      </c>
      <c r="L3739" s="482">
        <v>0</v>
      </c>
      <c r="M3739" s="482">
        <v>1.4E-2</v>
      </c>
    </row>
    <row r="3740" spans="1:13" x14ac:dyDescent="0.2">
      <c r="A3740" t="s">
        <v>4864</v>
      </c>
      <c r="B3740" t="s">
        <v>13</v>
      </c>
      <c r="C3740" t="s">
        <v>1</v>
      </c>
      <c r="D3740" t="s">
        <v>3091</v>
      </c>
      <c r="E3740" t="s">
        <v>3092</v>
      </c>
      <c r="F3740" t="s">
        <v>14</v>
      </c>
      <c r="G3740">
        <v>131</v>
      </c>
      <c r="H3740">
        <v>2</v>
      </c>
      <c r="I3740">
        <v>3</v>
      </c>
      <c r="J3740">
        <v>136</v>
      </c>
      <c r="K3740" s="482">
        <v>0.96299999999999997</v>
      </c>
      <c r="L3740" s="482">
        <v>1.4999999999999999E-2</v>
      </c>
      <c r="M3740" s="482">
        <v>2.1999999999999999E-2</v>
      </c>
    </row>
    <row r="3741" spans="1:13" x14ac:dyDescent="0.2">
      <c r="A3741" t="s">
        <v>4866</v>
      </c>
      <c r="B3741" t="s">
        <v>13</v>
      </c>
      <c r="C3741" t="s">
        <v>1</v>
      </c>
      <c r="D3741" t="s">
        <v>3100</v>
      </c>
      <c r="E3741" t="s">
        <v>3101</v>
      </c>
      <c r="F3741" t="s">
        <v>14</v>
      </c>
      <c r="G3741">
        <v>198</v>
      </c>
      <c r="H3741">
        <v>0</v>
      </c>
      <c r="I3741">
        <v>6</v>
      </c>
      <c r="J3741">
        <v>204</v>
      </c>
      <c r="K3741" s="482">
        <v>0.97099999999999997</v>
      </c>
      <c r="L3741" s="482">
        <v>0</v>
      </c>
      <c r="M3741" s="482">
        <v>2.9000000000000001E-2</v>
      </c>
    </row>
    <row r="3742" spans="1:13" x14ac:dyDescent="0.2">
      <c r="A3742" t="s">
        <v>5077</v>
      </c>
      <c r="B3742" t="s">
        <v>13</v>
      </c>
      <c r="C3742" t="s">
        <v>1</v>
      </c>
      <c r="D3742" t="s">
        <v>3742</v>
      </c>
      <c r="E3742" t="s">
        <v>3743</v>
      </c>
      <c r="F3742" t="s">
        <v>14</v>
      </c>
      <c r="G3742">
        <v>388</v>
      </c>
      <c r="H3742">
        <v>1</v>
      </c>
      <c r="I3742">
        <v>12</v>
      </c>
      <c r="J3742">
        <v>401</v>
      </c>
      <c r="K3742" s="482">
        <v>0.96799999999999997</v>
      </c>
      <c r="L3742" s="482">
        <v>2E-3</v>
      </c>
      <c r="M3742" s="482">
        <v>0.03</v>
      </c>
    </row>
    <row r="3743" spans="1:13" x14ac:dyDescent="0.2">
      <c r="A3743" t="s">
        <v>4967</v>
      </c>
      <c r="B3743" t="s">
        <v>13</v>
      </c>
      <c r="C3743" t="s">
        <v>1</v>
      </c>
      <c r="D3743" t="s">
        <v>3382</v>
      </c>
      <c r="E3743" t="s">
        <v>3383</v>
      </c>
      <c r="F3743" t="s">
        <v>14</v>
      </c>
      <c r="G3743">
        <v>212</v>
      </c>
      <c r="H3743">
        <v>0</v>
      </c>
      <c r="I3743">
        <v>11</v>
      </c>
      <c r="J3743">
        <v>223</v>
      </c>
      <c r="K3743" s="482">
        <v>0.95099999999999996</v>
      </c>
      <c r="L3743" s="482">
        <v>0</v>
      </c>
      <c r="M3743" s="482">
        <v>4.9000000000000002E-2</v>
      </c>
    </row>
    <row r="3744" spans="1:13" x14ac:dyDescent="0.2">
      <c r="A3744" t="s">
        <v>5094</v>
      </c>
      <c r="B3744" t="s">
        <v>13</v>
      </c>
      <c r="C3744" t="s">
        <v>1</v>
      </c>
      <c r="D3744" t="s">
        <v>3748</v>
      </c>
      <c r="E3744" t="s">
        <v>3749</v>
      </c>
      <c r="F3744" t="s">
        <v>14</v>
      </c>
      <c r="G3744">
        <v>216</v>
      </c>
      <c r="H3744">
        <v>2</v>
      </c>
      <c r="I3744">
        <v>6</v>
      </c>
      <c r="J3744">
        <v>224</v>
      </c>
      <c r="K3744" s="482">
        <v>0.96399999999999997</v>
      </c>
      <c r="L3744" s="482">
        <v>8.9999999999999993E-3</v>
      </c>
      <c r="M3744" s="482">
        <v>2.7E-2</v>
      </c>
    </row>
    <row r="3745" spans="1:13" x14ac:dyDescent="0.2">
      <c r="A3745" t="s">
        <v>4966</v>
      </c>
      <c r="B3745" t="s">
        <v>13</v>
      </c>
      <c r="C3745" t="s">
        <v>1</v>
      </c>
      <c r="D3745" t="s">
        <v>4480</v>
      </c>
      <c r="E3745" t="s">
        <v>4481</v>
      </c>
      <c r="F3745" t="s">
        <v>14</v>
      </c>
      <c r="G3745">
        <v>439</v>
      </c>
      <c r="H3745">
        <v>1</v>
      </c>
      <c r="I3745">
        <v>14</v>
      </c>
      <c r="J3745">
        <v>454</v>
      </c>
      <c r="K3745" s="482">
        <v>0.96699999999999997</v>
      </c>
      <c r="L3745" s="482">
        <v>2E-3</v>
      </c>
      <c r="M3745" s="482">
        <v>3.1E-2</v>
      </c>
    </row>
    <row r="3746" spans="1:13" x14ac:dyDescent="0.2">
      <c r="A3746" t="s">
        <v>5076</v>
      </c>
      <c r="B3746" t="s">
        <v>13</v>
      </c>
      <c r="C3746" t="s">
        <v>1</v>
      </c>
      <c r="D3746" t="s">
        <v>3703</v>
      </c>
      <c r="E3746" t="s">
        <v>3704</v>
      </c>
      <c r="F3746" t="s">
        <v>14</v>
      </c>
      <c r="G3746">
        <v>6</v>
      </c>
      <c r="H3746">
        <v>0</v>
      </c>
      <c r="I3746">
        <v>0</v>
      </c>
      <c r="J3746">
        <v>6</v>
      </c>
      <c r="K3746" s="482">
        <v>1</v>
      </c>
      <c r="L3746" s="482">
        <v>0</v>
      </c>
      <c r="M3746" s="482">
        <v>0</v>
      </c>
    </row>
    <row r="3747" spans="1:13" x14ac:dyDescent="0.2">
      <c r="A3747" t="s">
        <v>5096</v>
      </c>
      <c r="B3747" t="s">
        <v>13</v>
      </c>
      <c r="C3747" t="s">
        <v>1</v>
      </c>
      <c r="D3747" t="s">
        <v>3754</v>
      </c>
      <c r="E3747" t="s">
        <v>3755</v>
      </c>
      <c r="F3747" t="s">
        <v>14</v>
      </c>
      <c r="G3747">
        <v>161</v>
      </c>
      <c r="H3747">
        <v>1</v>
      </c>
      <c r="I3747">
        <v>5</v>
      </c>
      <c r="J3747">
        <v>167</v>
      </c>
      <c r="K3747" s="482">
        <v>0.96399999999999997</v>
      </c>
      <c r="L3747" s="482">
        <v>6.0000000000000001E-3</v>
      </c>
      <c r="M3747" s="482">
        <v>0.03</v>
      </c>
    </row>
    <row r="3748" spans="1:13" x14ac:dyDescent="0.2">
      <c r="A3748" t="s">
        <v>5090</v>
      </c>
      <c r="B3748" t="s">
        <v>13</v>
      </c>
      <c r="C3748" t="s">
        <v>1</v>
      </c>
      <c r="D3748" t="s">
        <v>3739</v>
      </c>
      <c r="E3748" t="s">
        <v>3740</v>
      </c>
      <c r="F3748" t="s">
        <v>14</v>
      </c>
      <c r="G3748">
        <v>167</v>
      </c>
      <c r="H3748">
        <v>0</v>
      </c>
      <c r="I3748">
        <v>6</v>
      </c>
      <c r="J3748">
        <v>173</v>
      </c>
      <c r="K3748" s="482">
        <v>0.96499999999999997</v>
      </c>
      <c r="L3748" s="482">
        <v>0</v>
      </c>
      <c r="M3748" s="482">
        <v>3.5000000000000003E-2</v>
      </c>
    </row>
    <row r="3749" spans="1:13" x14ac:dyDescent="0.2">
      <c r="A3749" t="s">
        <v>5091</v>
      </c>
      <c r="B3749" t="s">
        <v>13</v>
      </c>
      <c r="C3749" t="s">
        <v>1</v>
      </c>
      <c r="D3749" t="s">
        <v>4496</v>
      </c>
      <c r="E3749" t="s">
        <v>4497</v>
      </c>
      <c r="F3749" t="s">
        <v>14</v>
      </c>
      <c r="G3749">
        <v>797</v>
      </c>
      <c r="H3749">
        <v>8</v>
      </c>
      <c r="I3749">
        <v>22</v>
      </c>
      <c r="J3749">
        <v>827</v>
      </c>
      <c r="K3749" s="482">
        <v>0.96399999999999997</v>
      </c>
      <c r="L3749" s="482">
        <v>0.01</v>
      </c>
      <c r="M3749" s="482">
        <v>2.7E-2</v>
      </c>
    </row>
    <row r="3750" spans="1:13" x14ac:dyDescent="0.2">
      <c r="A3750" t="s">
        <v>4944</v>
      </c>
      <c r="B3750" t="s">
        <v>13</v>
      </c>
      <c r="C3750" t="s">
        <v>1</v>
      </c>
      <c r="D3750" t="s">
        <v>3316</v>
      </c>
      <c r="E3750" t="s">
        <v>3317</v>
      </c>
      <c r="F3750" t="s">
        <v>14</v>
      </c>
      <c r="G3750">
        <v>46</v>
      </c>
      <c r="H3750">
        <v>0</v>
      </c>
      <c r="I3750">
        <v>0</v>
      </c>
      <c r="J3750">
        <v>46</v>
      </c>
      <c r="K3750" s="482">
        <v>1</v>
      </c>
      <c r="L3750" s="482">
        <v>0</v>
      </c>
      <c r="M3750" s="482">
        <v>0</v>
      </c>
    </row>
    <row r="3751" spans="1:13" x14ac:dyDescent="0.2">
      <c r="A3751" t="s">
        <v>4945</v>
      </c>
      <c r="B3751" t="s">
        <v>13</v>
      </c>
      <c r="C3751" t="s">
        <v>1</v>
      </c>
      <c r="D3751" t="s">
        <v>3319</v>
      </c>
      <c r="E3751" t="s">
        <v>3320</v>
      </c>
      <c r="F3751" t="s">
        <v>14</v>
      </c>
      <c r="G3751">
        <v>47</v>
      </c>
      <c r="H3751">
        <v>0</v>
      </c>
      <c r="I3751">
        <v>0</v>
      </c>
      <c r="J3751">
        <v>47</v>
      </c>
      <c r="K3751" s="482">
        <v>1</v>
      </c>
      <c r="L3751" s="482">
        <v>0</v>
      </c>
      <c r="M3751" s="482">
        <v>0</v>
      </c>
    </row>
    <row r="3752" spans="1:13" x14ac:dyDescent="0.2">
      <c r="A3752" t="s">
        <v>5071</v>
      </c>
      <c r="B3752" t="s">
        <v>13</v>
      </c>
      <c r="C3752" t="s">
        <v>1</v>
      </c>
      <c r="D3752" t="s">
        <v>3684</v>
      </c>
      <c r="E3752" t="s">
        <v>3685</v>
      </c>
      <c r="F3752" t="s">
        <v>14</v>
      </c>
      <c r="G3752">
        <v>655</v>
      </c>
      <c r="H3752">
        <v>3</v>
      </c>
      <c r="I3752">
        <v>11</v>
      </c>
      <c r="J3752">
        <v>669</v>
      </c>
      <c r="K3752" s="482">
        <v>0.97899999999999998</v>
      </c>
      <c r="L3752" s="482">
        <v>4.0000000000000001E-3</v>
      </c>
      <c r="M3752" s="482">
        <v>1.6E-2</v>
      </c>
    </row>
    <row r="3753" spans="1:13" x14ac:dyDescent="0.2">
      <c r="A3753" t="s">
        <v>5072</v>
      </c>
      <c r="B3753" t="s">
        <v>13</v>
      </c>
      <c r="C3753" t="s">
        <v>1</v>
      </c>
      <c r="D3753" t="s">
        <v>3687</v>
      </c>
      <c r="E3753" t="s">
        <v>3688</v>
      </c>
      <c r="F3753" t="s">
        <v>14</v>
      </c>
      <c r="G3753">
        <v>428</v>
      </c>
      <c r="H3753">
        <v>4</v>
      </c>
      <c r="I3753">
        <v>6</v>
      </c>
      <c r="J3753">
        <v>438</v>
      </c>
      <c r="K3753" s="482">
        <v>0.97699999999999998</v>
      </c>
      <c r="L3753" s="482">
        <v>8.9999999999999993E-3</v>
      </c>
      <c r="M3753" s="482">
        <v>1.4E-2</v>
      </c>
    </row>
    <row r="3754" spans="1:13" x14ac:dyDescent="0.2">
      <c r="A3754" t="s">
        <v>5073</v>
      </c>
      <c r="B3754" t="s">
        <v>13</v>
      </c>
      <c r="C3754" t="s">
        <v>1</v>
      </c>
      <c r="D3754" t="s">
        <v>3691</v>
      </c>
      <c r="E3754" t="s">
        <v>3692</v>
      </c>
      <c r="F3754" t="s">
        <v>14</v>
      </c>
      <c r="G3754">
        <v>78</v>
      </c>
      <c r="H3754">
        <v>1</v>
      </c>
      <c r="I3754">
        <v>1</v>
      </c>
      <c r="J3754">
        <v>80</v>
      </c>
      <c r="K3754" s="482">
        <v>0.97499999999999998</v>
      </c>
      <c r="L3754" s="482">
        <v>1.2999999999999999E-2</v>
      </c>
      <c r="M3754" s="482">
        <v>1.2999999999999999E-2</v>
      </c>
    </row>
    <row r="3755" spans="1:13" x14ac:dyDescent="0.2">
      <c r="A3755" t="s">
        <v>5074</v>
      </c>
      <c r="B3755" t="s">
        <v>13</v>
      </c>
      <c r="C3755" t="s">
        <v>1</v>
      </c>
      <c r="D3755" t="s">
        <v>3697</v>
      </c>
      <c r="E3755" t="s">
        <v>3698</v>
      </c>
      <c r="F3755" t="s">
        <v>14</v>
      </c>
      <c r="G3755" t="s">
        <v>53</v>
      </c>
      <c r="H3755" t="s">
        <v>53</v>
      </c>
      <c r="I3755">
        <v>0</v>
      </c>
      <c r="J3755" t="s">
        <v>53</v>
      </c>
      <c r="K3755" t="s">
        <v>53</v>
      </c>
      <c r="L3755" t="s">
        <v>53</v>
      </c>
      <c r="M3755" t="s">
        <v>53</v>
      </c>
    </row>
    <row r="3756" spans="1:13" x14ac:dyDescent="0.2">
      <c r="A3756" t="s">
        <v>5075</v>
      </c>
      <c r="B3756" t="s">
        <v>13</v>
      </c>
      <c r="C3756" t="s">
        <v>1</v>
      </c>
      <c r="D3756" t="s">
        <v>3700</v>
      </c>
      <c r="E3756" t="s">
        <v>3701</v>
      </c>
      <c r="F3756" t="s">
        <v>14</v>
      </c>
      <c r="G3756">
        <v>14</v>
      </c>
      <c r="H3756">
        <v>0</v>
      </c>
      <c r="I3756">
        <v>0</v>
      </c>
      <c r="J3756">
        <v>14</v>
      </c>
      <c r="K3756" s="482">
        <v>1</v>
      </c>
      <c r="L3756" s="482">
        <v>0</v>
      </c>
      <c r="M3756" s="482">
        <v>0</v>
      </c>
    </row>
    <row r="3757" spans="1:13" x14ac:dyDescent="0.2">
      <c r="A3757" t="s">
        <v>4947</v>
      </c>
      <c r="B3757" t="s">
        <v>13</v>
      </c>
      <c r="C3757" t="s">
        <v>1</v>
      </c>
      <c r="D3757" t="s">
        <v>4327</v>
      </c>
      <c r="E3757" t="s">
        <v>4328</v>
      </c>
      <c r="F3757" t="s">
        <v>14</v>
      </c>
      <c r="G3757" t="s">
        <v>53</v>
      </c>
      <c r="H3757">
        <v>0</v>
      </c>
      <c r="I3757">
        <v>0</v>
      </c>
      <c r="J3757" t="s">
        <v>53</v>
      </c>
      <c r="K3757" t="s">
        <v>53</v>
      </c>
      <c r="L3757" t="s">
        <v>53</v>
      </c>
      <c r="M3757" t="s">
        <v>53</v>
      </c>
    </row>
    <row r="3758" spans="1:13" x14ac:dyDescent="0.2">
      <c r="A3758" t="s">
        <v>5078</v>
      </c>
      <c r="B3758" t="s">
        <v>13</v>
      </c>
      <c r="C3758" t="s">
        <v>1</v>
      </c>
      <c r="D3758" t="s">
        <v>4477</v>
      </c>
      <c r="E3758" t="s">
        <v>4478</v>
      </c>
      <c r="F3758" t="s">
        <v>14</v>
      </c>
      <c r="G3758">
        <v>32</v>
      </c>
      <c r="H3758">
        <v>0</v>
      </c>
      <c r="I3758">
        <v>1</v>
      </c>
      <c r="J3758">
        <v>33</v>
      </c>
      <c r="K3758" s="482">
        <v>0.97</v>
      </c>
      <c r="L3758" s="482">
        <v>0</v>
      </c>
      <c r="M3758" s="482">
        <v>0.03</v>
      </c>
    </row>
    <row r="3759" spans="1:13" x14ac:dyDescent="0.2">
      <c r="A3759" t="s">
        <v>4934</v>
      </c>
      <c r="B3759" t="s">
        <v>13</v>
      </c>
      <c r="C3759" t="s">
        <v>1</v>
      </c>
      <c r="D3759" t="s">
        <v>3292</v>
      </c>
      <c r="E3759" t="s">
        <v>3293</v>
      </c>
      <c r="F3759" t="s">
        <v>14</v>
      </c>
      <c r="G3759">
        <v>77</v>
      </c>
      <c r="H3759">
        <v>0</v>
      </c>
      <c r="I3759">
        <v>1</v>
      </c>
      <c r="J3759">
        <v>78</v>
      </c>
      <c r="K3759" s="482">
        <v>0.98699999999999999</v>
      </c>
      <c r="L3759" s="482">
        <v>0</v>
      </c>
      <c r="M3759" s="482">
        <v>1.2999999999999999E-2</v>
      </c>
    </row>
    <row r="3760" spans="1:13" x14ac:dyDescent="0.2">
      <c r="A3760" t="s">
        <v>4939</v>
      </c>
      <c r="B3760" t="s">
        <v>13</v>
      </c>
      <c r="C3760" t="s">
        <v>1</v>
      </c>
      <c r="D3760" t="s">
        <v>4776</v>
      </c>
      <c r="E3760" t="s">
        <v>4777</v>
      </c>
      <c r="F3760" t="s">
        <v>14</v>
      </c>
      <c r="G3760">
        <v>7</v>
      </c>
      <c r="H3760">
        <v>0</v>
      </c>
      <c r="I3760">
        <v>0</v>
      </c>
      <c r="J3760">
        <v>7</v>
      </c>
      <c r="K3760" s="482">
        <v>1</v>
      </c>
      <c r="L3760" s="482">
        <v>0</v>
      </c>
      <c r="M3760" s="482">
        <v>0</v>
      </c>
    </row>
    <row r="3761" spans="1:13" x14ac:dyDescent="0.2">
      <c r="A3761" t="s">
        <v>4932</v>
      </c>
      <c r="B3761" t="s">
        <v>13</v>
      </c>
      <c r="C3761" t="s">
        <v>1</v>
      </c>
      <c r="D3761" t="s">
        <v>3286</v>
      </c>
      <c r="E3761" t="s">
        <v>3287</v>
      </c>
      <c r="F3761" t="s">
        <v>14</v>
      </c>
      <c r="G3761">
        <v>34</v>
      </c>
      <c r="H3761">
        <v>0</v>
      </c>
      <c r="I3761">
        <v>1</v>
      </c>
      <c r="J3761">
        <v>35</v>
      </c>
      <c r="K3761" s="482">
        <v>0.97099999999999997</v>
      </c>
      <c r="L3761" s="482">
        <v>0</v>
      </c>
      <c r="M3761" s="482">
        <v>2.9000000000000001E-2</v>
      </c>
    </row>
    <row r="3762" spans="1:13" x14ac:dyDescent="0.2">
      <c r="A3762" t="s">
        <v>4933</v>
      </c>
      <c r="B3762" t="s">
        <v>13</v>
      </c>
      <c r="C3762" t="s">
        <v>1</v>
      </c>
      <c r="D3762" t="s">
        <v>3289</v>
      </c>
      <c r="E3762" t="s">
        <v>3290</v>
      </c>
      <c r="F3762" t="s">
        <v>14</v>
      </c>
      <c r="G3762">
        <v>13</v>
      </c>
      <c r="H3762">
        <v>0</v>
      </c>
      <c r="I3762">
        <v>1</v>
      </c>
      <c r="J3762">
        <v>14</v>
      </c>
      <c r="K3762" s="482">
        <v>0.92900000000000005</v>
      </c>
      <c r="L3762" s="482">
        <v>0</v>
      </c>
      <c r="M3762" s="482">
        <v>7.0999999999999994E-2</v>
      </c>
    </row>
    <row r="3763" spans="1:13" x14ac:dyDescent="0.2">
      <c r="A3763" t="s">
        <v>5049</v>
      </c>
      <c r="B3763" t="s">
        <v>13</v>
      </c>
      <c r="C3763" t="s">
        <v>1</v>
      </c>
      <c r="D3763" t="s">
        <v>3618</v>
      </c>
      <c r="E3763" t="s">
        <v>3619</v>
      </c>
      <c r="F3763" t="s">
        <v>14</v>
      </c>
      <c r="G3763">
        <v>19</v>
      </c>
      <c r="H3763">
        <v>0</v>
      </c>
      <c r="I3763">
        <v>1</v>
      </c>
      <c r="J3763">
        <v>20</v>
      </c>
      <c r="K3763" s="482">
        <v>0.95</v>
      </c>
      <c r="L3763" s="482">
        <v>0</v>
      </c>
      <c r="M3763" s="482">
        <v>0.05</v>
      </c>
    </row>
    <row r="3764" spans="1:13" x14ac:dyDescent="0.2">
      <c r="A3764" t="s">
        <v>5050</v>
      </c>
      <c r="B3764" t="s">
        <v>13</v>
      </c>
      <c r="C3764" t="s">
        <v>1</v>
      </c>
      <c r="D3764" t="s">
        <v>3621</v>
      </c>
      <c r="E3764" t="s">
        <v>3622</v>
      </c>
      <c r="F3764" t="s">
        <v>14</v>
      </c>
      <c r="G3764">
        <v>13</v>
      </c>
      <c r="H3764">
        <v>0</v>
      </c>
      <c r="I3764">
        <v>0</v>
      </c>
      <c r="J3764">
        <v>13</v>
      </c>
      <c r="K3764" s="482">
        <v>1</v>
      </c>
      <c r="L3764" s="482">
        <v>0</v>
      </c>
      <c r="M3764" s="482">
        <v>0</v>
      </c>
    </row>
    <row r="3765" spans="1:13" x14ac:dyDescent="0.2">
      <c r="A3765" t="s">
        <v>4930</v>
      </c>
      <c r="B3765" t="s">
        <v>13</v>
      </c>
      <c r="C3765" t="s">
        <v>1</v>
      </c>
      <c r="D3765" t="s">
        <v>3624</v>
      </c>
      <c r="E3765" t="s">
        <v>3625</v>
      </c>
      <c r="F3765" t="s">
        <v>14</v>
      </c>
      <c r="G3765">
        <v>26</v>
      </c>
      <c r="H3765">
        <v>0</v>
      </c>
      <c r="I3765">
        <v>0</v>
      </c>
      <c r="J3765">
        <v>26</v>
      </c>
      <c r="K3765" s="482">
        <v>1</v>
      </c>
      <c r="L3765" s="482">
        <v>0</v>
      </c>
      <c r="M3765" s="482">
        <v>0</v>
      </c>
    </row>
    <row r="3766" spans="1:13" x14ac:dyDescent="0.2">
      <c r="A3766" t="s">
        <v>4931</v>
      </c>
      <c r="B3766" t="s">
        <v>13</v>
      </c>
      <c r="C3766" t="s">
        <v>1</v>
      </c>
      <c r="D3766" t="s">
        <v>3283</v>
      </c>
      <c r="E3766" t="s">
        <v>3284</v>
      </c>
      <c r="F3766" t="s">
        <v>14</v>
      </c>
      <c r="G3766">
        <v>102</v>
      </c>
      <c r="H3766">
        <v>0</v>
      </c>
      <c r="I3766">
        <v>4</v>
      </c>
      <c r="J3766">
        <v>106</v>
      </c>
      <c r="K3766" s="482">
        <v>0.96199999999999997</v>
      </c>
      <c r="L3766" s="482">
        <v>0</v>
      </c>
      <c r="M3766" s="482">
        <v>3.7999999999999999E-2</v>
      </c>
    </row>
    <row r="3767" spans="1:13" x14ac:dyDescent="0.2">
      <c r="A3767" t="s">
        <v>4935</v>
      </c>
      <c r="B3767" t="s">
        <v>13</v>
      </c>
      <c r="C3767" t="s">
        <v>1</v>
      </c>
      <c r="D3767" t="s">
        <v>3295</v>
      </c>
      <c r="E3767" t="s">
        <v>3296</v>
      </c>
      <c r="F3767" t="s">
        <v>14</v>
      </c>
      <c r="G3767">
        <v>45</v>
      </c>
      <c r="H3767">
        <v>0</v>
      </c>
      <c r="I3767">
        <v>2</v>
      </c>
      <c r="J3767">
        <v>47</v>
      </c>
      <c r="K3767" s="482">
        <v>0.95699999999999996</v>
      </c>
      <c r="L3767" s="482">
        <v>0</v>
      </c>
      <c r="M3767" s="482">
        <v>4.2999999999999997E-2</v>
      </c>
    </row>
    <row r="3768" spans="1:13" x14ac:dyDescent="0.2">
      <c r="A3768" t="s">
        <v>4936</v>
      </c>
      <c r="B3768" t="s">
        <v>13</v>
      </c>
      <c r="C3768" t="s">
        <v>1</v>
      </c>
      <c r="D3768" t="s">
        <v>3298</v>
      </c>
      <c r="E3768" t="s">
        <v>3299</v>
      </c>
      <c r="F3768" t="s">
        <v>14</v>
      </c>
      <c r="G3768">
        <v>126</v>
      </c>
      <c r="H3768">
        <v>0</v>
      </c>
      <c r="I3768">
        <v>0</v>
      </c>
      <c r="J3768">
        <v>126</v>
      </c>
      <c r="K3768" s="482">
        <v>1</v>
      </c>
      <c r="L3768" s="482">
        <v>0</v>
      </c>
      <c r="M3768" s="482">
        <v>0</v>
      </c>
    </row>
    <row r="3769" spans="1:13" x14ac:dyDescent="0.2">
      <c r="A3769" t="s">
        <v>4937</v>
      </c>
      <c r="B3769" t="s">
        <v>13</v>
      </c>
      <c r="C3769" t="s">
        <v>1</v>
      </c>
      <c r="D3769" t="s">
        <v>3301</v>
      </c>
      <c r="E3769" t="s">
        <v>3302</v>
      </c>
      <c r="F3769" t="s">
        <v>14</v>
      </c>
      <c r="G3769">
        <v>41</v>
      </c>
      <c r="H3769">
        <v>0</v>
      </c>
      <c r="I3769">
        <v>2</v>
      </c>
      <c r="J3769">
        <v>43</v>
      </c>
      <c r="K3769" s="482">
        <v>0.95299999999999996</v>
      </c>
      <c r="L3769" s="482">
        <v>0</v>
      </c>
      <c r="M3769" s="482">
        <v>4.7E-2</v>
      </c>
    </row>
    <row r="3770" spans="1:13" x14ac:dyDescent="0.2">
      <c r="A3770" t="s">
        <v>4940</v>
      </c>
      <c r="B3770" t="s">
        <v>13</v>
      </c>
      <c r="C3770" t="s">
        <v>1</v>
      </c>
      <c r="D3770" t="s">
        <v>4318</v>
      </c>
      <c r="E3770" t="s">
        <v>4319</v>
      </c>
      <c r="F3770" t="s">
        <v>14</v>
      </c>
      <c r="G3770">
        <v>38</v>
      </c>
      <c r="H3770">
        <v>0</v>
      </c>
      <c r="I3770">
        <v>0</v>
      </c>
      <c r="J3770">
        <v>38</v>
      </c>
      <c r="K3770" s="482">
        <v>1</v>
      </c>
      <c r="L3770" s="482">
        <v>0</v>
      </c>
      <c r="M3770" s="482">
        <v>0</v>
      </c>
    </row>
    <row r="3771" spans="1:13" x14ac:dyDescent="0.2">
      <c r="A3771" t="s">
        <v>4938</v>
      </c>
      <c r="B3771" t="s">
        <v>13</v>
      </c>
      <c r="C3771" t="s">
        <v>1</v>
      </c>
      <c r="D3771" t="s">
        <v>3304</v>
      </c>
      <c r="E3771" t="s">
        <v>3305</v>
      </c>
      <c r="F3771" t="s">
        <v>14</v>
      </c>
      <c r="G3771">
        <v>20</v>
      </c>
      <c r="H3771">
        <v>0</v>
      </c>
      <c r="I3771">
        <v>0</v>
      </c>
      <c r="J3771">
        <v>20</v>
      </c>
      <c r="K3771" s="482">
        <v>1</v>
      </c>
      <c r="L3771" s="482">
        <v>0</v>
      </c>
      <c r="M3771" s="482">
        <v>0</v>
      </c>
    </row>
    <row r="3772" spans="1:13" x14ac:dyDescent="0.2">
      <c r="A3772" t="s">
        <v>4941</v>
      </c>
      <c r="B3772" t="s">
        <v>13</v>
      </c>
      <c r="C3772" t="s">
        <v>1</v>
      </c>
      <c r="D3772" t="s">
        <v>3307</v>
      </c>
      <c r="E3772" t="s">
        <v>3308</v>
      </c>
      <c r="F3772" t="s">
        <v>14</v>
      </c>
      <c r="G3772">
        <v>35</v>
      </c>
      <c r="H3772">
        <v>0</v>
      </c>
      <c r="I3772">
        <v>0</v>
      </c>
      <c r="J3772">
        <v>35</v>
      </c>
      <c r="K3772" s="482">
        <v>1</v>
      </c>
      <c r="L3772" s="482">
        <v>0</v>
      </c>
      <c r="M3772" s="482">
        <v>0</v>
      </c>
    </row>
    <row r="3773" spans="1:13" x14ac:dyDescent="0.2">
      <c r="A3773" t="s">
        <v>4942</v>
      </c>
      <c r="B3773" t="s">
        <v>13</v>
      </c>
      <c r="C3773" t="s">
        <v>1</v>
      </c>
      <c r="D3773" t="s">
        <v>3310</v>
      </c>
      <c r="E3773" t="s">
        <v>3311</v>
      </c>
      <c r="F3773" t="s">
        <v>14</v>
      </c>
      <c r="G3773">
        <v>45</v>
      </c>
      <c r="H3773">
        <v>0</v>
      </c>
      <c r="I3773">
        <v>1</v>
      </c>
      <c r="J3773">
        <v>46</v>
      </c>
      <c r="K3773" s="482">
        <v>0.97799999999999998</v>
      </c>
      <c r="L3773" s="482">
        <v>0</v>
      </c>
      <c r="M3773" s="482">
        <v>2.1999999999999999E-2</v>
      </c>
    </row>
    <row r="3774" spans="1:13" x14ac:dyDescent="0.2">
      <c r="A3774" t="s">
        <v>4943</v>
      </c>
      <c r="B3774" t="s">
        <v>13</v>
      </c>
      <c r="C3774" t="s">
        <v>1</v>
      </c>
      <c r="D3774" t="s">
        <v>3313</v>
      </c>
      <c r="E3774" t="s">
        <v>3314</v>
      </c>
      <c r="F3774" t="s">
        <v>14</v>
      </c>
      <c r="G3774">
        <v>61</v>
      </c>
      <c r="H3774">
        <v>0</v>
      </c>
      <c r="I3774">
        <v>0</v>
      </c>
      <c r="J3774">
        <v>61</v>
      </c>
      <c r="K3774" s="482">
        <v>1</v>
      </c>
      <c r="L3774" s="482">
        <v>0</v>
      </c>
      <c r="M3774" s="482">
        <v>0</v>
      </c>
    </row>
    <row r="3775" spans="1:13" x14ac:dyDescent="0.2">
      <c r="A3775" t="s">
        <v>5008</v>
      </c>
      <c r="B3775" t="s">
        <v>13</v>
      </c>
      <c r="C3775" t="s">
        <v>1</v>
      </c>
      <c r="D3775" t="s">
        <v>3497</v>
      </c>
      <c r="E3775" t="s">
        <v>3498</v>
      </c>
      <c r="F3775" t="s">
        <v>14</v>
      </c>
      <c r="G3775">
        <v>5</v>
      </c>
      <c r="H3775">
        <v>0</v>
      </c>
      <c r="I3775">
        <v>1</v>
      </c>
      <c r="J3775">
        <v>6</v>
      </c>
      <c r="K3775" s="482">
        <v>0.83299999999999996</v>
      </c>
      <c r="L3775" s="482">
        <v>0</v>
      </c>
      <c r="M3775" s="482">
        <v>0.16700000000000001</v>
      </c>
    </row>
    <row r="3776" spans="1:13" x14ac:dyDescent="0.2">
      <c r="A3776" t="s">
        <v>5028</v>
      </c>
      <c r="B3776" t="s">
        <v>13</v>
      </c>
      <c r="C3776" t="s">
        <v>1</v>
      </c>
      <c r="D3776" t="s">
        <v>3561</v>
      </c>
      <c r="E3776" t="s">
        <v>3562</v>
      </c>
      <c r="F3776" t="s">
        <v>14</v>
      </c>
      <c r="G3776">
        <v>15</v>
      </c>
      <c r="H3776">
        <v>0</v>
      </c>
      <c r="I3776">
        <v>0</v>
      </c>
      <c r="J3776">
        <v>15</v>
      </c>
      <c r="K3776" s="482">
        <v>1</v>
      </c>
      <c r="L3776" s="482">
        <v>0</v>
      </c>
      <c r="M3776" s="482">
        <v>0</v>
      </c>
    </row>
    <row r="3777" spans="1:13" x14ac:dyDescent="0.2">
      <c r="A3777" t="s">
        <v>5005</v>
      </c>
      <c r="B3777" t="s">
        <v>13</v>
      </c>
      <c r="C3777" t="s">
        <v>1</v>
      </c>
      <c r="D3777" t="s">
        <v>3488</v>
      </c>
      <c r="E3777" t="s">
        <v>3489</v>
      </c>
      <c r="F3777" t="s">
        <v>14</v>
      </c>
      <c r="G3777">
        <v>65</v>
      </c>
      <c r="H3777">
        <v>0</v>
      </c>
      <c r="I3777">
        <v>1</v>
      </c>
      <c r="J3777">
        <v>66</v>
      </c>
      <c r="K3777" s="482">
        <v>0.98499999999999999</v>
      </c>
      <c r="L3777" s="482">
        <v>0</v>
      </c>
      <c r="M3777" s="482">
        <v>1.4999999999999999E-2</v>
      </c>
    </row>
    <row r="3778" spans="1:13" x14ac:dyDescent="0.2">
      <c r="A3778" t="s">
        <v>5006</v>
      </c>
      <c r="B3778" t="s">
        <v>13</v>
      </c>
      <c r="C3778" t="s">
        <v>1</v>
      </c>
      <c r="D3778" t="s">
        <v>3491</v>
      </c>
      <c r="E3778" t="s">
        <v>3492</v>
      </c>
      <c r="F3778" t="s">
        <v>14</v>
      </c>
      <c r="G3778">
        <v>17</v>
      </c>
      <c r="H3778">
        <v>0</v>
      </c>
      <c r="I3778">
        <v>1</v>
      </c>
      <c r="J3778">
        <v>18</v>
      </c>
      <c r="K3778" s="482">
        <v>0.94399999999999995</v>
      </c>
      <c r="L3778" s="482">
        <v>0</v>
      </c>
      <c r="M3778" s="482">
        <v>5.6000000000000001E-2</v>
      </c>
    </row>
    <row r="3779" spans="1:13" x14ac:dyDescent="0.2">
      <c r="A3779" t="s">
        <v>5007</v>
      </c>
      <c r="B3779" t="s">
        <v>13</v>
      </c>
      <c r="C3779" t="s">
        <v>1</v>
      </c>
      <c r="D3779" t="s">
        <v>3494</v>
      </c>
      <c r="E3779" t="s">
        <v>3495</v>
      </c>
      <c r="F3779" t="s">
        <v>14</v>
      </c>
      <c r="G3779">
        <v>15</v>
      </c>
      <c r="H3779">
        <v>0</v>
      </c>
      <c r="I3779">
        <v>0</v>
      </c>
      <c r="J3779">
        <v>15</v>
      </c>
      <c r="K3779" s="482">
        <v>1</v>
      </c>
      <c r="L3779" s="482">
        <v>0</v>
      </c>
      <c r="M3779" s="482">
        <v>0</v>
      </c>
    </row>
    <row r="3780" spans="1:13" x14ac:dyDescent="0.2">
      <c r="A3780" t="s">
        <v>5121</v>
      </c>
      <c r="B3780" t="s">
        <v>13</v>
      </c>
      <c r="C3780" t="s">
        <v>1</v>
      </c>
      <c r="D3780" t="s">
        <v>3841</v>
      </c>
      <c r="E3780" t="s">
        <v>3842</v>
      </c>
      <c r="F3780" t="s">
        <v>14</v>
      </c>
      <c r="G3780">
        <v>150</v>
      </c>
      <c r="H3780">
        <v>1</v>
      </c>
      <c r="I3780">
        <v>7</v>
      </c>
      <c r="J3780">
        <v>158</v>
      </c>
      <c r="K3780" s="482">
        <v>0.94899999999999995</v>
      </c>
      <c r="L3780" s="482">
        <v>6.0000000000000001E-3</v>
      </c>
      <c r="M3780" s="482">
        <v>4.3999999999999997E-2</v>
      </c>
    </row>
    <row r="3781" spans="1:13" x14ac:dyDescent="0.2">
      <c r="A3781" t="s">
        <v>5122</v>
      </c>
      <c r="B3781" t="s">
        <v>13</v>
      </c>
      <c r="C3781" t="s">
        <v>1</v>
      </c>
      <c r="D3781" t="s">
        <v>3844</v>
      </c>
      <c r="E3781" t="s">
        <v>345</v>
      </c>
      <c r="F3781" t="s">
        <v>14</v>
      </c>
      <c r="G3781">
        <v>215</v>
      </c>
      <c r="H3781">
        <v>1</v>
      </c>
      <c r="I3781">
        <v>4</v>
      </c>
      <c r="J3781">
        <v>220</v>
      </c>
      <c r="K3781" s="482">
        <v>0.97699999999999998</v>
      </c>
      <c r="L3781" s="482">
        <v>5.0000000000000001E-3</v>
      </c>
      <c r="M3781" s="482">
        <v>1.7999999999999999E-2</v>
      </c>
    </row>
    <row r="3782" spans="1:13" x14ac:dyDescent="0.2">
      <c r="A3782" t="s">
        <v>5123</v>
      </c>
      <c r="B3782" t="s">
        <v>13</v>
      </c>
      <c r="C3782" t="s">
        <v>1</v>
      </c>
      <c r="D3782" t="s">
        <v>3846</v>
      </c>
      <c r="E3782" t="s">
        <v>3847</v>
      </c>
      <c r="F3782" t="s">
        <v>14</v>
      </c>
      <c r="G3782">
        <v>60</v>
      </c>
      <c r="H3782">
        <v>0</v>
      </c>
      <c r="I3782">
        <v>3</v>
      </c>
      <c r="J3782">
        <v>63</v>
      </c>
      <c r="K3782" s="482">
        <v>0.95199999999999996</v>
      </c>
      <c r="L3782" s="482">
        <v>0</v>
      </c>
      <c r="M3782" s="482">
        <v>4.8000000000000001E-2</v>
      </c>
    </row>
    <row r="3783" spans="1:13" x14ac:dyDescent="0.2">
      <c r="A3783" t="s">
        <v>5009</v>
      </c>
      <c r="B3783" t="s">
        <v>13</v>
      </c>
      <c r="C3783" t="s">
        <v>1</v>
      </c>
      <c r="D3783" t="s">
        <v>3500</v>
      </c>
      <c r="E3783" t="s">
        <v>3501</v>
      </c>
      <c r="F3783" t="s">
        <v>14</v>
      </c>
      <c r="G3783">
        <v>74</v>
      </c>
      <c r="H3783">
        <v>0</v>
      </c>
      <c r="I3783">
        <v>0</v>
      </c>
      <c r="J3783">
        <v>74</v>
      </c>
      <c r="K3783" s="482">
        <v>1</v>
      </c>
      <c r="L3783" s="482">
        <v>0</v>
      </c>
      <c r="M3783" s="482">
        <v>0</v>
      </c>
    </row>
    <row r="3784" spans="1:13" x14ac:dyDescent="0.2">
      <c r="A3784" t="s">
        <v>5046</v>
      </c>
      <c r="B3784" t="s">
        <v>13</v>
      </c>
      <c r="C3784" t="s">
        <v>1</v>
      </c>
      <c r="D3784" t="s">
        <v>3609</v>
      </c>
      <c r="E3784" t="s">
        <v>3610</v>
      </c>
      <c r="F3784" t="s">
        <v>14</v>
      </c>
      <c r="G3784">
        <v>25</v>
      </c>
      <c r="H3784">
        <v>0</v>
      </c>
      <c r="I3784">
        <v>0</v>
      </c>
      <c r="J3784">
        <v>25</v>
      </c>
      <c r="K3784" s="482">
        <v>1</v>
      </c>
      <c r="L3784" s="482">
        <v>0</v>
      </c>
      <c r="M3784" s="482">
        <v>0</v>
      </c>
    </row>
    <row r="3785" spans="1:13" x14ac:dyDescent="0.2">
      <c r="A3785" t="s">
        <v>6617</v>
      </c>
      <c r="B3785" t="s">
        <v>13</v>
      </c>
      <c r="C3785" t="s">
        <v>1</v>
      </c>
      <c r="D3785" t="s">
        <v>3612</v>
      </c>
      <c r="E3785" t="s">
        <v>3613</v>
      </c>
      <c r="F3785" t="s">
        <v>14</v>
      </c>
      <c r="G3785" t="s">
        <v>53</v>
      </c>
      <c r="H3785">
        <v>0</v>
      </c>
      <c r="I3785">
        <v>0</v>
      </c>
      <c r="J3785" t="s">
        <v>53</v>
      </c>
      <c r="K3785" t="s">
        <v>53</v>
      </c>
      <c r="L3785" t="s">
        <v>53</v>
      </c>
      <c r="M3785" t="s">
        <v>53</v>
      </c>
    </row>
    <row r="3786" spans="1:13" x14ac:dyDescent="0.2">
      <c r="A3786" t="s">
        <v>5047</v>
      </c>
      <c r="B3786" t="s">
        <v>13</v>
      </c>
      <c r="C3786" t="s">
        <v>1</v>
      </c>
      <c r="D3786" t="s">
        <v>3615</v>
      </c>
      <c r="E3786" t="s">
        <v>3616</v>
      </c>
      <c r="F3786" t="s">
        <v>14</v>
      </c>
      <c r="G3786">
        <v>101</v>
      </c>
      <c r="H3786">
        <v>2</v>
      </c>
      <c r="I3786">
        <v>3</v>
      </c>
      <c r="J3786">
        <v>106</v>
      </c>
      <c r="K3786" s="482">
        <v>0.95299999999999996</v>
      </c>
      <c r="L3786" s="482">
        <v>1.9E-2</v>
      </c>
      <c r="M3786" s="482">
        <v>2.8000000000000001E-2</v>
      </c>
    </row>
    <row r="3787" spans="1:13" x14ac:dyDescent="0.2">
      <c r="A3787" t="s">
        <v>5120</v>
      </c>
      <c r="B3787" t="s">
        <v>13</v>
      </c>
      <c r="C3787" t="s">
        <v>1</v>
      </c>
      <c r="D3787" t="s">
        <v>3838</v>
      </c>
      <c r="E3787" t="s">
        <v>3839</v>
      </c>
      <c r="F3787" t="s">
        <v>14</v>
      </c>
      <c r="G3787">
        <v>133</v>
      </c>
      <c r="H3787">
        <v>0</v>
      </c>
      <c r="I3787">
        <v>6</v>
      </c>
      <c r="J3787">
        <v>139</v>
      </c>
      <c r="K3787" s="482">
        <v>0.95699999999999996</v>
      </c>
      <c r="L3787" s="482">
        <v>0</v>
      </c>
      <c r="M3787" s="482">
        <v>4.2999999999999997E-2</v>
      </c>
    </row>
    <row r="3788" spans="1:13" x14ac:dyDescent="0.2">
      <c r="A3788" t="s">
        <v>5181</v>
      </c>
      <c r="B3788" t="s">
        <v>15</v>
      </c>
      <c r="C3788" t="s">
        <v>1</v>
      </c>
      <c r="D3788" t="s">
        <v>3838</v>
      </c>
      <c r="E3788" t="s">
        <v>3839</v>
      </c>
      <c r="F3788" t="s">
        <v>179</v>
      </c>
      <c r="G3788">
        <v>66</v>
      </c>
      <c r="H3788">
        <v>11</v>
      </c>
      <c r="I3788">
        <v>47</v>
      </c>
      <c r="J3788">
        <v>124</v>
      </c>
      <c r="K3788" s="482">
        <v>0.53200000000000003</v>
      </c>
      <c r="L3788" s="482">
        <v>8.8999999999999996E-2</v>
      </c>
      <c r="M3788" s="482">
        <v>0.379</v>
      </c>
    </row>
    <row r="3789" spans="1:13" x14ac:dyDescent="0.2">
      <c r="A3789" t="s">
        <v>5256</v>
      </c>
      <c r="B3789" t="s">
        <v>15</v>
      </c>
      <c r="C3789" t="s">
        <v>1</v>
      </c>
      <c r="D3789" t="s">
        <v>3615</v>
      </c>
      <c r="E3789" t="s">
        <v>3616</v>
      </c>
      <c r="F3789" t="s">
        <v>179</v>
      </c>
      <c r="G3789">
        <v>52</v>
      </c>
      <c r="H3789">
        <v>22</v>
      </c>
      <c r="I3789">
        <v>62</v>
      </c>
      <c r="J3789">
        <v>136</v>
      </c>
      <c r="K3789" s="482">
        <v>0.38200000000000001</v>
      </c>
      <c r="L3789" s="482">
        <v>0.16200000000000001</v>
      </c>
      <c r="M3789" s="482">
        <v>0.45600000000000002</v>
      </c>
    </row>
    <row r="3790" spans="1:13" x14ac:dyDescent="0.2">
      <c r="A3790" t="s">
        <v>5255</v>
      </c>
      <c r="B3790" t="s">
        <v>15</v>
      </c>
      <c r="C3790" t="s">
        <v>1</v>
      </c>
      <c r="D3790" t="s">
        <v>3612</v>
      </c>
      <c r="E3790" t="s">
        <v>3613</v>
      </c>
      <c r="F3790" t="s">
        <v>179</v>
      </c>
      <c r="G3790">
        <v>9</v>
      </c>
      <c r="H3790">
        <v>6</v>
      </c>
      <c r="I3790">
        <v>3</v>
      </c>
      <c r="J3790">
        <v>18</v>
      </c>
      <c r="K3790" s="482">
        <v>0.5</v>
      </c>
      <c r="L3790" s="482">
        <v>0.33300000000000002</v>
      </c>
      <c r="M3790" s="482">
        <v>0.16700000000000001</v>
      </c>
    </row>
    <row r="3791" spans="1:13" x14ac:dyDescent="0.2">
      <c r="A3791" t="s">
        <v>5257</v>
      </c>
      <c r="B3791" t="s">
        <v>15</v>
      </c>
      <c r="C3791" t="s">
        <v>1</v>
      </c>
      <c r="D3791" t="s">
        <v>3609</v>
      </c>
      <c r="E3791" t="s">
        <v>3610</v>
      </c>
      <c r="F3791" t="s">
        <v>179</v>
      </c>
      <c r="G3791">
        <v>16</v>
      </c>
      <c r="H3791">
        <v>2</v>
      </c>
      <c r="I3791">
        <v>6</v>
      </c>
      <c r="J3791">
        <v>24</v>
      </c>
      <c r="K3791" s="482">
        <v>0.66700000000000004</v>
      </c>
      <c r="L3791" s="482">
        <v>8.3000000000000004E-2</v>
      </c>
      <c r="M3791" s="482">
        <v>0.25</v>
      </c>
    </row>
    <row r="3792" spans="1:13" x14ac:dyDescent="0.2">
      <c r="A3792" t="s">
        <v>5294</v>
      </c>
      <c r="B3792" t="s">
        <v>15</v>
      </c>
      <c r="C3792" t="s">
        <v>1</v>
      </c>
      <c r="D3792" t="s">
        <v>3500</v>
      </c>
      <c r="E3792" t="s">
        <v>3501</v>
      </c>
      <c r="F3792" t="s">
        <v>179</v>
      </c>
      <c r="G3792">
        <v>64</v>
      </c>
      <c r="H3792">
        <v>15</v>
      </c>
      <c r="I3792">
        <v>24</v>
      </c>
      <c r="J3792">
        <v>103</v>
      </c>
      <c r="K3792" s="482">
        <v>0.621</v>
      </c>
      <c r="L3792" s="482">
        <v>0.14599999999999999</v>
      </c>
      <c r="M3792" s="482">
        <v>0.23300000000000001</v>
      </c>
    </row>
    <row r="3793" spans="1:13" x14ac:dyDescent="0.2">
      <c r="A3793" t="s">
        <v>5178</v>
      </c>
      <c r="B3793" t="s">
        <v>15</v>
      </c>
      <c r="C3793" t="s">
        <v>1</v>
      </c>
      <c r="D3793" t="s">
        <v>3846</v>
      </c>
      <c r="E3793" t="s">
        <v>3847</v>
      </c>
      <c r="F3793" t="s">
        <v>179</v>
      </c>
      <c r="G3793">
        <v>34</v>
      </c>
      <c r="H3793">
        <v>14</v>
      </c>
      <c r="I3793">
        <v>15</v>
      </c>
      <c r="J3793">
        <v>63</v>
      </c>
      <c r="K3793" s="482">
        <v>0.54</v>
      </c>
      <c r="L3793" s="482">
        <v>0.222</v>
      </c>
      <c r="M3793" s="482">
        <v>0.23799999999999999</v>
      </c>
    </row>
    <row r="3794" spans="1:13" x14ac:dyDescent="0.2">
      <c r="A3794" t="s">
        <v>5179</v>
      </c>
      <c r="B3794" t="s">
        <v>15</v>
      </c>
      <c r="C3794" t="s">
        <v>1</v>
      </c>
      <c r="D3794" t="s">
        <v>3844</v>
      </c>
      <c r="E3794" t="s">
        <v>345</v>
      </c>
      <c r="F3794" t="s">
        <v>179</v>
      </c>
      <c r="G3794">
        <v>114</v>
      </c>
      <c r="H3794">
        <v>31</v>
      </c>
      <c r="I3794">
        <v>71</v>
      </c>
      <c r="J3794">
        <v>216</v>
      </c>
      <c r="K3794" s="482">
        <v>0.52800000000000002</v>
      </c>
      <c r="L3794" s="482">
        <v>0.14399999999999999</v>
      </c>
      <c r="M3794" s="482">
        <v>0.32900000000000001</v>
      </c>
    </row>
    <row r="3795" spans="1:13" x14ac:dyDescent="0.2">
      <c r="A3795" t="s">
        <v>5180</v>
      </c>
      <c r="B3795" t="s">
        <v>15</v>
      </c>
      <c r="C3795" t="s">
        <v>1</v>
      </c>
      <c r="D3795" t="s">
        <v>3841</v>
      </c>
      <c r="E3795" t="s">
        <v>3842</v>
      </c>
      <c r="F3795" t="s">
        <v>179</v>
      </c>
      <c r="G3795">
        <v>67</v>
      </c>
      <c r="H3795">
        <v>18</v>
      </c>
      <c r="I3795">
        <v>35</v>
      </c>
      <c r="J3795">
        <v>120</v>
      </c>
      <c r="K3795" s="482">
        <v>0.55800000000000005</v>
      </c>
      <c r="L3795" s="482">
        <v>0.15</v>
      </c>
      <c r="M3795" s="482">
        <v>0.29199999999999998</v>
      </c>
    </row>
    <row r="3796" spans="1:13" x14ac:dyDescent="0.2">
      <c r="A3796" t="s">
        <v>5296</v>
      </c>
      <c r="B3796" t="s">
        <v>15</v>
      </c>
      <c r="C3796" t="s">
        <v>1</v>
      </c>
      <c r="D3796" t="s">
        <v>3494</v>
      </c>
      <c r="E3796" t="s">
        <v>3495</v>
      </c>
      <c r="F3796" t="s">
        <v>179</v>
      </c>
      <c r="G3796">
        <v>9</v>
      </c>
      <c r="H3796">
        <v>2</v>
      </c>
      <c r="I3796">
        <v>5</v>
      </c>
      <c r="J3796">
        <v>16</v>
      </c>
      <c r="K3796" s="482">
        <v>0.56299999999999994</v>
      </c>
      <c r="L3796" s="482">
        <v>0.125</v>
      </c>
      <c r="M3796" s="482">
        <v>0.313</v>
      </c>
    </row>
    <row r="3797" spans="1:13" x14ac:dyDescent="0.2">
      <c r="A3797" t="s">
        <v>5297</v>
      </c>
      <c r="B3797" t="s">
        <v>15</v>
      </c>
      <c r="C3797" t="s">
        <v>1</v>
      </c>
      <c r="D3797" t="s">
        <v>3491</v>
      </c>
      <c r="E3797" t="s">
        <v>3492</v>
      </c>
      <c r="F3797" t="s">
        <v>179</v>
      </c>
      <c r="G3797">
        <v>4</v>
      </c>
      <c r="H3797">
        <v>4</v>
      </c>
      <c r="I3797">
        <v>8</v>
      </c>
      <c r="J3797">
        <v>16</v>
      </c>
      <c r="K3797" s="482">
        <v>0.25</v>
      </c>
      <c r="L3797" s="482">
        <v>0.25</v>
      </c>
      <c r="M3797" s="482">
        <v>0.5</v>
      </c>
    </row>
    <row r="3798" spans="1:13" x14ac:dyDescent="0.2">
      <c r="A3798" t="s">
        <v>5298</v>
      </c>
      <c r="B3798" t="s">
        <v>15</v>
      </c>
      <c r="C3798" t="s">
        <v>1</v>
      </c>
      <c r="D3798" t="s">
        <v>3488</v>
      </c>
      <c r="E3798" t="s">
        <v>3489</v>
      </c>
      <c r="F3798" t="s">
        <v>179</v>
      </c>
      <c r="G3798">
        <v>36</v>
      </c>
      <c r="H3798">
        <v>3</v>
      </c>
      <c r="I3798">
        <v>10</v>
      </c>
      <c r="J3798">
        <v>49</v>
      </c>
      <c r="K3798" s="482">
        <v>0.73499999999999999</v>
      </c>
      <c r="L3798" s="482">
        <v>6.0999999999999999E-2</v>
      </c>
      <c r="M3798" s="482">
        <v>0.20399999999999999</v>
      </c>
    </row>
    <row r="3799" spans="1:13" x14ac:dyDescent="0.2">
      <c r="A3799" t="s">
        <v>5275</v>
      </c>
      <c r="B3799" t="s">
        <v>15</v>
      </c>
      <c r="C3799" t="s">
        <v>1</v>
      </c>
      <c r="D3799" t="s">
        <v>3561</v>
      </c>
      <c r="E3799" t="s">
        <v>3562</v>
      </c>
      <c r="F3799" t="s">
        <v>179</v>
      </c>
      <c r="G3799">
        <v>12</v>
      </c>
      <c r="H3799">
        <v>4</v>
      </c>
      <c r="I3799">
        <v>8</v>
      </c>
      <c r="J3799">
        <v>24</v>
      </c>
      <c r="K3799" s="482">
        <v>0.5</v>
      </c>
      <c r="L3799" s="482">
        <v>0.16700000000000001</v>
      </c>
      <c r="M3799" s="482">
        <v>0.33300000000000002</v>
      </c>
    </row>
    <row r="3800" spans="1:13" x14ac:dyDescent="0.2">
      <c r="A3800" t="s">
        <v>5295</v>
      </c>
      <c r="B3800" t="s">
        <v>15</v>
      </c>
      <c r="C3800" t="s">
        <v>1</v>
      </c>
      <c r="D3800" t="s">
        <v>3497</v>
      </c>
      <c r="E3800" t="s">
        <v>3498</v>
      </c>
      <c r="F3800" t="s">
        <v>179</v>
      </c>
      <c r="G3800">
        <v>13</v>
      </c>
      <c r="H3800">
        <v>5</v>
      </c>
      <c r="I3800">
        <v>5</v>
      </c>
      <c r="J3800">
        <v>23</v>
      </c>
      <c r="K3800" s="482">
        <v>0.56499999999999995</v>
      </c>
      <c r="L3800" s="482">
        <v>0.217</v>
      </c>
      <c r="M3800" s="482">
        <v>0.217</v>
      </c>
    </row>
    <row r="3801" spans="1:13" x14ac:dyDescent="0.2">
      <c r="A3801" t="s">
        <v>5361</v>
      </c>
      <c r="B3801" t="s">
        <v>15</v>
      </c>
      <c r="C3801" t="s">
        <v>1</v>
      </c>
      <c r="D3801" t="s">
        <v>3313</v>
      </c>
      <c r="E3801" t="s">
        <v>3314</v>
      </c>
      <c r="F3801" t="s">
        <v>179</v>
      </c>
      <c r="G3801">
        <v>30</v>
      </c>
      <c r="H3801">
        <v>2</v>
      </c>
      <c r="I3801">
        <v>13</v>
      </c>
      <c r="J3801">
        <v>45</v>
      </c>
      <c r="K3801" s="482">
        <v>0.66700000000000004</v>
      </c>
      <c r="L3801" s="482">
        <v>4.3999999999999997E-2</v>
      </c>
      <c r="M3801" s="482">
        <v>0.28899999999999998</v>
      </c>
    </row>
    <row r="3802" spans="1:13" x14ac:dyDescent="0.2">
      <c r="A3802" t="s">
        <v>5362</v>
      </c>
      <c r="B3802" t="s">
        <v>15</v>
      </c>
      <c r="C3802" t="s">
        <v>1</v>
      </c>
      <c r="D3802" t="s">
        <v>3310</v>
      </c>
      <c r="E3802" t="s">
        <v>3311</v>
      </c>
      <c r="F3802" t="s">
        <v>179</v>
      </c>
      <c r="G3802">
        <v>33</v>
      </c>
      <c r="H3802">
        <v>13</v>
      </c>
      <c r="I3802">
        <v>15</v>
      </c>
      <c r="J3802">
        <v>61</v>
      </c>
      <c r="K3802" s="482">
        <v>0.54100000000000004</v>
      </c>
      <c r="L3802" s="482">
        <v>0.21299999999999999</v>
      </c>
      <c r="M3802" s="482">
        <v>0.246</v>
      </c>
    </row>
    <row r="3803" spans="1:13" x14ac:dyDescent="0.2">
      <c r="A3803" t="s">
        <v>5363</v>
      </c>
      <c r="B3803" t="s">
        <v>15</v>
      </c>
      <c r="C3803" t="s">
        <v>1</v>
      </c>
      <c r="D3803" t="s">
        <v>3307</v>
      </c>
      <c r="E3803" t="s">
        <v>3308</v>
      </c>
      <c r="F3803" t="s">
        <v>179</v>
      </c>
      <c r="G3803">
        <v>13</v>
      </c>
      <c r="H3803">
        <v>3</v>
      </c>
      <c r="I3803">
        <v>10</v>
      </c>
      <c r="J3803">
        <v>26</v>
      </c>
      <c r="K3803" s="482">
        <v>0.5</v>
      </c>
      <c r="L3803" s="482">
        <v>0.115</v>
      </c>
      <c r="M3803" s="482">
        <v>0.38500000000000001</v>
      </c>
    </row>
    <row r="3804" spans="1:13" x14ac:dyDescent="0.2">
      <c r="A3804" t="s">
        <v>5366</v>
      </c>
      <c r="B3804" t="s">
        <v>15</v>
      </c>
      <c r="C3804" t="s">
        <v>1</v>
      </c>
      <c r="D3804" t="s">
        <v>3304</v>
      </c>
      <c r="E3804" t="s">
        <v>3305</v>
      </c>
      <c r="F3804" t="s">
        <v>179</v>
      </c>
      <c r="G3804">
        <v>17</v>
      </c>
      <c r="H3804">
        <v>4</v>
      </c>
      <c r="I3804">
        <v>9</v>
      </c>
      <c r="J3804">
        <v>30</v>
      </c>
      <c r="K3804" s="482">
        <v>0.56699999999999995</v>
      </c>
      <c r="L3804" s="482">
        <v>0.13300000000000001</v>
      </c>
      <c r="M3804" s="482">
        <v>0.3</v>
      </c>
    </row>
    <row r="3805" spans="1:13" x14ac:dyDescent="0.2">
      <c r="A3805" t="s">
        <v>5364</v>
      </c>
      <c r="B3805" t="s">
        <v>15</v>
      </c>
      <c r="C3805" t="s">
        <v>1</v>
      </c>
      <c r="D3805" t="s">
        <v>4318</v>
      </c>
      <c r="E3805" t="s">
        <v>4319</v>
      </c>
      <c r="F3805" t="s">
        <v>179</v>
      </c>
      <c r="G3805">
        <v>13</v>
      </c>
      <c r="H3805">
        <v>4</v>
      </c>
      <c r="I3805">
        <v>4</v>
      </c>
      <c r="J3805">
        <v>21</v>
      </c>
      <c r="K3805" s="482">
        <v>0.61899999999999999</v>
      </c>
      <c r="L3805" s="482">
        <v>0.19</v>
      </c>
      <c r="M3805" s="482">
        <v>0.19</v>
      </c>
    </row>
    <row r="3806" spans="1:13" x14ac:dyDescent="0.2">
      <c r="A3806" t="s">
        <v>5367</v>
      </c>
      <c r="B3806" t="s">
        <v>15</v>
      </c>
      <c r="C3806" t="s">
        <v>1</v>
      </c>
      <c r="D3806" t="s">
        <v>3301</v>
      </c>
      <c r="E3806" t="s">
        <v>3302</v>
      </c>
      <c r="F3806" t="s">
        <v>179</v>
      </c>
      <c r="G3806">
        <v>19</v>
      </c>
      <c r="H3806">
        <v>3</v>
      </c>
      <c r="I3806">
        <v>15</v>
      </c>
      <c r="J3806">
        <v>37</v>
      </c>
      <c r="K3806" s="482">
        <v>0.51400000000000001</v>
      </c>
      <c r="L3806" s="482">
        <v>8.1000000000000003E-2</v>
      </c>
      <c r="M3806" s="482">
        <v>0.40500000000000003</v>
      </c>
    </row>
    <row r="3807" spans="1:13" x14ac:dyDescent="0.2">
      <c r="A3807" t="s">
        <v>5368</v>
      </c>
      <c r="B3807" t="s">
        <v>15</v>
      </c>
      <c r="C3807" t="s">
        <v>1</v>
      </c>
      <c r="D3807" t="s">
        <v>3298</v>
      </c>
      <c r="E3807" t="s">
        <v>3299</v>
      </c>
      <c r="F3807" t="s">
        <v>179</v>
      </c>
      <c r="G3807">
        <v>61</v>
      </c>
      <c r="H3807">
        <v>24</v>
      </c>
      <c r="I3807">
        <v>31</v>
      </c>
      <c r="J3807">
        <v>116</v>
      </c>
      <c r="K3807" s="482">
        <v>0.52600000000000002</v>
      </c>
      <c r="L3807" s="482">
        <v>0.20699999999999999</v>
      </c>
      <c r="M3807" s="482">
        <v>0.26700000000000002</v>
      </c>
    </row>
    <row r="3808" spans="1:13" x14ac:dyDescent="0.2">
      <c r="A3808" t="s">
        <v>5369</v>
      </c>
      <c r="B3808" t="s">
        <v>15</v>
      </c>
      <c r="C3808" t="s">
        <v>1</v>
      </c>
      <c r="D3808" t="s">
        <v>3295</v>
      </c>
      <c r="E3808" t="s">
        <v>3296</v>
      </c>
      <c r="F3808" t="s">
        <v>179</v>
      </c>
      <c r="G3808">
        <v>37</v>
      </c>
      <c r="H3808">
        <v>14</v>
      </c>
      <c r="I3808">
        <v>18</v>
      </c>
      <c r="J3808">
        <v>69</v>
      </c>
      <c r="K3808" s="482">
        <v>0.53600000000000003</v>
      </c>
      <c r="L3808" s="482">
        <v>0.20300000000000001</v>
      </c>
      <c r="M3808" s="482">
        <v>0.26100000000000001</v>
      </c>
    </row>
    <row r="3809" spans="1:13" x14ac:dyDescent="0.2">
      <c r="A3809" t="s">
        <v>5373</v>
      </c>
      <c r="B3809" t="s">
        <v>15</v>
      </c>
      <c r="C3809" t="s">
        <v>1</v>
      </c>
      <c r="D3809" t="s">
        <v>3283</v>
      </c>
      <c r="E3809" t="s">
        <v>3284</v>
      </c>
      <c r="F3809" t="s">
        <v>179</v>
      </c>
      <c r="G3809">
        <v>74</v>
      </c>
      <c r="H3809">
        <v>21</v>
      </c>
      <c r="I3809">
        <v>33</v>
      </c>
      <c r="J3809">
        <v>128</v>
      </c>
      <c r="K3809" s="482">
        <v>0.57799999999999996</v>
      </c>
      <c r="L3809" s="482">
        <v>0.16400000000000001</v>
      </c>
      <c r="M3809" s="482">
        <v>0.25800000000000001</v>
      </c>
    </row>
    <row r="3810" spans="1:13" x14ac:dyDescent="0.2">
      <c r="A3810" t="s">
        <v>5374</v>
      </c>
      <c r="B3810" t="s">
        <v>15</v>
      </c>
      <c r="C3810" t="s">
        <v>1</v>
      </c>
      <c r="D3810" t="s">
        <v>3624</v>
      </c>
      <c r="E3810" t="s">
        <v>3625</v>
      </c>
      <c r="F3810" t="s">
        <v>179</v>
      </c>
      <c r="G3810">
        <v>11</v>
      </c>
      <c r="H3810">
        <v>3</v>
      </c>
      <c r="I3810">
        <v>6</v>
      </c>
      <c r="J3810">
        <v>20</v>
      </c>
      <c r="K3810" s="482">
        <v>0.55000000000000004</v>
      </c>
      <c r="L3810" s="482">
        <v>0.15</v>
      </c>
      <c r="M3810" s="482">
        <v>0.3</v>
      </c>
    </row>
    <row r="3811" spans="1:13" x14ac:dyDescent="0.2">
      <c r="A3811" t="s">
        <v>5252</v>
      </c>
      <c r="B3811" t="s">
        <v>15</v>
      </c>
      <c r="C3811" t="s">
        <v>1</v>
      </c>
      <c r="D3811" t="s">
        <v>3621</v>
      </c>
      <c r="E3811" t="s">
        <v>3622</v>
      </c>
      <c r="F3811" t="s">
        <v>179</v>
      </c>
      <c r="G3811">
        <v>6</v>
      </c>
      <c r="H3811">
        <v>1</v>
      </c>
      <c r="I3811">
        <v>1</v>
      </c>
      <c r="J3811">
        <v>8</v>
      </c>
      <c r="K3811" s="482">
        <v>0.75</v>
      </c>
      <c r="L3811" s="482">
        <v>0.125</v>
      </c>
      <c r="M3811" s="482">
        <v>0.125</v>
      </c>
    </row>
    <row r="3812" spans="1:13" x14ac:dyDescent="0.2">
      <c r="A3812" t="s">
        <v>5253</v>
      </c>
      <c r="B3812" t="s">
        <v>15</v>
      </c>
      <c r="C3812" t="s">
        <v>1</v>
      </c>
      <c r="D3812" t="s">
        <v>3618</v>
      </c>
      <c r="E3812" t="s">
        <v>3619</v>
      </c>
      <c r="F3812" t="s">
        <v>179</v>
      </c>
      <c r="G3812">
        <v>17</v>
      </c>
      <c r="H3812">
        <v>1</v>
      </c>
      <c r="I3812">
        <v>5</v>
      </c>
      <c r="J3812">
        <v>23</v>
      </c>
      <c r="K3812" s="482">
        <v>0.73899999999999999</v>
      </c>
      <c r="L3812" s="482">
        <v>4.2999999999999997E-2</v>
      </c>
      <c r="M3812" s="482">
        <v>0.217</v>
      </c>
    </row>
    <row r="3813" spans="1:13" x14ac:dyDescent="0.2">
      <c r="A3813" t="s">
        <v>5371</v>
      </c>
      <c r="B3813" t="s">
        <v>15</v>
      </c>
      <c r="C3813" t="s">
        <v>1</v>
      </c>
      <c r="D3813" t="s">
        <v>3289</v>
      </c>
      <c r="E3813" t="s">
        <v>3290</v>
      </c>
      <c r="F3813" t="s">
        <v>179</v>
      </c>
      <c r="G3813">
        <v>14</v>
      </c>
      <c r="H3813">
        <v>4</v>
      </c>
      <c r="I3813">
        <v>6</v>
      </c>
      <c r="J3813">
        <v>24</v>
      </c>
      <c r="K3813" s="482">
        <v>0.58299999999999996</v>
      </c>
      <c r="L3813" s="482">
        <v>0.16700000000000001</v>
      </c>
      <c r="M3813" s="482">
        <v>0.25</v>
      </c>
    </row>
    <row r="3814" spans="1:13" x14ac:dyDescent="0.2">
      <c r="A3814" t="s">
        <v>5372</v>
      </c>
      <c r="B3814" t="s">
        <v>15</v>
      </c>
      <c r="C3814" t="s">
        <v>1</v>
      </c>
      <c r="D3814" t="s">
        <v>3286</v>
      </c>
      <c r="E3814" t="s">
        <v>3287</v>
      </c>
      <c r="F3814" t="s">
        <v>179</v>
      </c>
      <c r="G3814">
        <v>22</v>
      </c>
      <c r="H3814">
        <v>7</v>
      </c>
      <c r="I3814">
        <v>6</v>
      </c>
      <c r="J3814">
        <v>35</v>
      </c>
      <c r="K3814" s="482">
        <v>0.629</v>
      </c>
      <c r="L3814" s="482">
        <v>0.2</v>
      </c>
      <c r="M3814" s="482">
        <v>0.17100000000000001</v>
      </c>
    </row>
    <row r="3815" spans="1:13" x14ac:dyDescent="0.2">
      <c r="A3815" t="s">
        <v>5365</v>
      </c>
      <c r="B3815" t="s">
        <v>15</v>
      </c>
      <c r="C3815" t="s">
        <v>1</v>
      </c>
      <c r="D3815" t="s">
        <v>4776</v>
      </c>
      <c r="E3815" t="s">
        <v>4777</v>
      </c>
      <c r="F3815" t="s">
        <v>179</v>
      </c>
      <c r="G3815">
        <v>9</v>
      </c>
      <c r="H3815">
        <v>1</v>
      </c>
      <c r="I3815">
        <v>2</v>
      </c>
      <c r="J3815">
        <v>12</v>
      </c>
      <c r="K3815" s="482">
        <v>0.75</v>
      </c>
      <c r="L3815" s="482">
        <v>8.3000000000000004E-2</v>
      </c>
      <c r="M3815" s="482">
        <v>0.16700000000000001</v>
      </c>
    </row>
    <row r="3816" spans="1:13" x14ac:dyDescent="0.2">
      <c r="A3816" t="s">
        <v>5370</v>
      </c>
      <c r="B3816" t="s">
        <v>15</v>
      </c>
      <c r="C3816" t="s">
        <v>1</v>
      </c>
      <c r="D3816" t="s">
        <v>3292</v>
      </c>
      <c r="E3816" t="s">
        <v>3293</v>
      </c>
      <c r="F3816" t="s">
        <v>179</v>
      </c>
      <c r="G3816">
        <v>34</v>
      </c>
      <c r="H3816">
        <v>6</v>
      </c>
      <c r="I3816">
        <v>13</v>
      </c>
      <c r="J3816">
        <v>53</v>
      </c>
      <c r="K3816" s="482">
        <v>0.64200000000000002</v>
      </c>
      <c r="L3816" s="482">
        <v>0.113</v>
      </c>
      <c r="M3816" s="482">
        <v>0.245</v>
      </c>
    </row>
    <row r="3817" spans="1:13" x14ac:dyDescent="0.2">
      <c r="A3817" t="s">
        <v>5222</v>
      </c>
      <c r="B3817" t="s">
        <v>15</v>
      </c>
      <c r="C3817" t="s">
        <v>1</v>
      </c>
      <c r="D3817" t="s">
        <v>4477</v>
      </c>
      <c r="E3817" t="s">
        <v>4478</v>
      </c>
      <c r="F3817" t="s">
        <v>179</v>
      </c>
      <c r="G3817">
        <v>49</v>
      </c>
      <c r="H3817">
        <v>2</v>
      </c>
      <c r="I3817">
        <v>9</v>
      </c>
      <c r="J3817">
        <v>60</v>
      </c>
      <c r="K3817" s="482">
        <v>0.81699999999999995</v>
      </c>
      <c r="L3817" s="482">
        <v>3.3000000000000002E-2</v>
      </c>
      <c r="M3817" s="482">
        <v>0.15</v>
      </c>
    </row>
    <row r="3818" spans="1:13" x14ac:dyDescent="0.2">
      <c r="A3818" t="s">
        <v>5357</v>
      </c>
      <c r="B3818" t="s">
        <v>15</v>
      </c>
      <c r="C3818" t="s">
        <v>1</v>
      </c>
      <c r="D3818" t="s">
        <v>4327</v>
      </c>
      <c r="E3818" t="s">
        <v>4328</v>
      </c>
      <c r="F3818" t="s">
        <v>179</v>
      </c>
      <c r="G3818">
        <v>7</v>
      </c>
      <c r="H3818">
        <v>0</v>
      </c>
      <c r="I3818">
        <v>1</v>
      </c>
      <c r="J3818">
        <v>8</v>
      </c>
      <c r="K3818" s="482">
        <v>0.875</v>
      </c>
      <c r="L3818" s="482">
        <v>0</v>
      </c>
      <c r="M3818" s="482">
        <v>0.125</v>
      </c>
    </row>
    <row r="3819" spans="1:13" x14ac:dyDescent="0.2">
      <c r="A3819" t="s">
        <v>5224</v>
      </c>
      <c r="B3819" t="s">
        <v>15</v>
      </c>
      <c r="C3819" t="s">
        <v>1</v>
      </c>
      <c r="D3819" t="s">
        <v>3700</v>
      </c>
      <c r="E3819" t="s">
        <v>3701</v>
      </c>
      <c r="F3819" t="s">
        <v>179</v>
      </c>
      <c r="G3819">
        <v>10</v>
      </c>
      <c r="H3819">
        <v>0</v>
      </c>
      <c r="I3819">
        <v>7</v>
      </c>
      <c r="J3819">
        <v>17</v>
      </c>
      <c r="K3819" s="482">
        <v>0.58799999999999997</v>
      </c>
      <c r="L3819" s="482">
        <v>0</v>
      </c>
      <c r="M3819" s="482">
        <v>0.41199999999999998</v>
      </c>
    </row>
    <row r="3820" spans="1:13" x14ac:dyDescent="0.2">
      <c r="A3820" t="s">
        <v>5225</v>
      </c>
      <c r="B3820" t="s">
        <v>15</v>
      </c>
      <c r="C3820" t="s">
        <v>1</v>
      </c>
      <c r="D3820" t="s">
        <v>3697</v>
      </c>
      <c r="E3820" t="s">
        <v>3698</v>
      </c>
      <c r="F3820" t="s">
        <v>179</v>
      </c>
      <c r="G3820" t="s">
        <v>53</v>
      </c>
      <c r="H3820">
        <v>0</v>
      </c>
      <c r="I3820">
        <v>0</v>
      </c>
      <c r="J3820" t="s">
        <v>53</v>
      </c>
      <c r="K3820" t="s">
        <v>53</v>
      </c>
      <c r="L3820" t="s">
        <v>53</v>
      </c>
      <c r="M3820" t="s">
        <v>53</v>
      </c>
    </row>
    <row r="3821" spans="1:13" x14ac:dyDescent="0.2">
      <c r="A3821" t="s">
        <v>5229</v>
      </c>
      <c r="B3821" t="s">
        <v>15</v>
      </c>
      <c r="C3821" t="s">
        <v>1</v>
      </c>
      <c r="D3821" t="s">
        <v>3691</v>
      </c>
      <c r="E3821" t="s">
        <v>3692</v>
      </c>
      <c r="F3821" t="s">
        <v>179</v>
      </c>
      <c r="G3821">
        <v>45</v>
      </c>
      <c r="H3821">
        <v>9</v>
      </c>
      <c r="I3821">
        <v>15</v>
      </c>
      <c r="J3821">
        <v>69</v>
      </c>
      <c r="K3821" s="482">
        <v>0.65200000000000002</v>
      </c>
      <c r="L3821" s="482">
        <v>0.13</v>
      </c>
      <c r="M3821" s="482">
        <v>0.217</v>
      </c>
    </row>
    <row r="3822" spans="1:13" x14ac:dyDescent="0.2">
      <c r="A3822" t="s">
        <v>5230</v>
      </c>
      <c r="B3822" t="s">
        <v>15</v>
      </c>
      <c r="C3822" t="s">
        <v>1</v>
      </c>
      <c r="D3822" t="s">
        <v>3687</v>
      </c>
      <c r="E3822" t="s">
        <v>3688</v>
      </c>
      <c r="F3822" t="s">
        <v>179</v>
      </c>
      <c r="G3822">
        <v>231</v>
      </c>
      <c r="H3822">
        <v>48</v>
      </c>
      <c r="I3822">
        <v>148</v>
      </c>
      <c r="J3822">
        <v>427</v>
      </c>
      <c r="K3822" s="482">
        <v>0.54100000000000004</v>
      </c>
      <c r="L3822" s="482">
        <v>0.112</v>
      </c>
      <c r="M3822" s="482">
        <v>0.34699999999999998</v>
      </c>
    </row>
    <row r="3823" spans="1:13" x14ac:dyDescent="0.2">
      <c r="A3823" t="s">
        <v>5231</v>
      </c>
      <c r="B3823" t="s">
        <v>15</v>
      </c>
      <c r="C3823" t="s">
        <v>1</v>
      </c>
      <c r="D3823" t="s">
        <v>3684</v>
      </c>
      <c r="E3823" t="s">
        <v>3685</v>
      </c>
      <c r="F3823" t="s">
        <v>179</v>
      </c>
      <c r="G3823">
        <v>445</v>
      </c>
      <c r="H3823">
        <v>118</v>
      </c>
      <c r="I3823">
        <v>153</v>
      </c>
      <c r="J3823">
        <v>716</v>
      </c>
      <c r="K3823" s="482">
        <v>0.622</v>
      </c>
      <c r="L3823" s="482">
        <v>0.16500000000000001</v>
      </c>
      <c r="M3823" s="482">
        <v>0.214</v>
      </c>
    </row>
    <row r="3824" spans="1:13" x14ac:dyDescent="0.2">
      <c r="A3824" t="s">
        <v>5359</v>
      </c>
      <c r="B3824" t="s">
        <v>15</v>
      </c>
      <c r="C3824" t="s">
        <v>1</v>
      </c>
      <c r="D3824" t="s">
        <v>3319</v>
      </c>
      <c r="E3824" t="s">
        <v>3320</v>
      </c>
      <c r="F3824" t="s">
        <v>179</v>
      </c>
      <c r="G3824">
        <v>43</v>
      </c>
      <c r="H3824">
        <v>5</v>
      </c>
      <c r="I3824">
        <v>10</v>
      </c>
      <c r="J3824">
        <v>58</v>
      </c>
      <c r="K3824" s="482">
        <v>0.74099999999999999</v>
      </c>
      <c r="L3824" s="482">
        <v>8.5999999999999993E-2</v>
      </c>
      <c r="M3824" s="482">
        <v>0.17199999999999999</v>
      </c>
    </row>
    <row r="3825" spans="1:13" x14ac:dyDescent="0.2">
      <c r="A3825" t="s">
        <v>5360</v>
      </c>
      <c r="B3825" t="s">
        <v>15</v>
      </c>
      <c r="C3825" t="s">
        <v>1</v>
      </c>
      <c r="D3825" t="s">
        <v>3316</v>
      </c>
      <c r="E3825" t="s">
        <v>3317</v>
      </c>
      <c r="F3825" t="s">
        <v>179</v>
      </c>
      <c r="G3825">
        <v>29</v>
      </c>
      <c r="H3825">
        <v>6</v>
      </c>
      <c r="I3825">
        <v>14</v>
      </c>
      <c r="J3825">
        <v>49</v>
      </c>
      <c r="K3825" s="482">
        <v>0.59199999999999997</v>
      </c>
      <c r="L3825" s="482">
        <v>0.122</v>
      </c>
      <c r="M3825" s="482">
        <v>0.28599999999999998</v>
      </c>
    </row>
    <row r="3826" spans="1:13" x14ac:dyDescent="0.2">
      <c r="A3826" t="s">
        <v>5209</v>
      </c>
      <c r="B3826" t="s">
        <v>15</v>
      </c>
      <c r="C3826" t="s">
        <v>1</v>
      </c>
      <c r="D3826" t="s">
        <v>4496</v>
      </c>
      <c r="E3826" t="s">
        <v>4497</v>
      </c>
      <c r="F3826" t="s">
        <v>179</v>
      </c>
      <c r="G3826">
        <v>357</v>
      </c>
      <c r="H3826">
        <v>90</v>
      </c>
      <c r="I3826">
        <v>127</v>
      </c>
      <c r="J3826">
        <v>574</v>
      </c>
      <c r="K3826" s="482">
        <v>0.622</v>
      </c>
      <c r="L3826" s="482">
        <v>0.157</v>
      </c>
      <c r="M3826" s="482">
        <v>0.221</v>
      </c>
    </row>
    <row r="3827" spans="1:13" x14ac:dyDescent="0.2">
      <c r="A3827" t="s">
        <v>5205</v>
      </c>
      <c r="B3827" t="s">
        <v>15</v>
      </c>
      <c r="C3827" t="s">
        <v>1</v>
      </c>
      <c r="D3827" t="s">
        <v>3751</v>
      </c>
      <c r="E3827" t="s">
        <v>3752</v>
      </c>
      <c r="F3827" t="s">
        <v>179</v>
      </c>
      <c r="G3827">
        <v>103</v>
      </c>
      <c r="H3827">
        <v>37</v>
      </c>
      <c r="I3827">
        <v>61</v>
      </c>
      <c r="J3827">
        <v>201</v>
      </c>
      <c r="K3827" s="482">
        <v>0.51200000000000001</v>
      </c>
      <c r="L3827" s="482">
        <v>0.184</v>
      </c>
      <c r="M3827" s="482">
        <v>0.30299999999999999</v>
      </c>
    </row>
    <row r="3828" spans="1:13" x14ac:dyDescent="0.2">
      <c r="A3828" t="s">
        <v>5210</v>
      </c>
      <c r="B3828" t="s">
        <v>15</v>
      </c>
      <c r="C3828" t="s">
        <v>1</v>
      </c>
      <c r="D3828" t="s">
        <v>3739</v>
      </c>
      <c r="E3828" t="s">
        <v>3740</v>
      </c>
      <c r="F3828" t="s">
        <v>179</v>
      </c>
      <c r="G3828">
        <v>90</v>
      </c>
      <c r="H3828">
        <v>32</v>
      </c>
      <c r="I3828">
        <v>46</v>
      </c>
      <c r="J3828">
        <v>168</v>
      </c>
      <c r="K3828" s="482">
        <v>0.53600000000000003</v>
      </c>
      <c r="L3828" s="482">
        <v>0.19</v>
      </c>
      <c r="M3828" s="482">
        <v>0.27400000000000002</v>
      </c>
    </row>
    <row r="3829" spans="1:13" x14ac:dyDescent="0.2">
      <c r="A3829" t="s">
        <v>5204</v>
      </c>
      <c r="B3829" t="s">
        <v>15</v>
      </c>
      <c r="C3829" t="s">
        <v>1</v>
      </c>
      <c r="D3829" t="s">
        <v>3754</v>
      </c>
      <c r="E3829" t="s">
        <v>3755</v>
      </c>
      <c r="F3829" t="s">
        <v>179</v>
      </c>
      <c r="G3829">
        <v>75</v>
      </c>
      <c r="H3829">
        <v>23</v>
      </c>
      <c r="I3829">
        <v>57</v>
      </c>
      <c r="J3829">
        <v>155</v>
      </c>
      <c r="K3829" s="482">
        <v>0.48399999999999999</v>
      </c>
      <c r="L3829" s="482">
        <v>0.14799999999999999</v>
      </c>
      <c r="M3829" s="482">
        <v>0.36799999999999999</v>
      </c>
    </row>
    <row r="3830" spans="1:13" x14ac:dyDescent="0.2">
      <c r="A3830" t="s">
        <v>5352</v>
      </c>
      <c r="B3830" t="s">
        <v>15</v>
      </c>
      <c r="C3830" t="s">
        <v>1</v>
      </c>
      <c r="D3830" t="s">
        <v>3703</v>
      </c>
      <c r="E3830" t="s">
        <v>3704</v>
      </c>
      <c r="F3830" t="s">
        <v>179</v>
      </c>
      <c r="G3830">
        <v>1</v>
      </c>
      <c r="H3830">
        <v>4</v>
      </c>
      <c r="I3830">
        <v>1</v>
      </c>
      <c r="J3830">
        <v>6</v>
      </c>
      <c r="K3830" s="482">
        <v>0.16700000000000001</v>
      </c>
      <c r="L3830" s="482">
        <v>0.66700000000000004</v>
      </c>
      <c r="M3830" s="482">
        <v>0.16700000000000001</v>
      </c>
    </row>
    <row r="3831" spans="1:13" x14ac:dyDescent="0.2">
      <c r="A3831" t="s">
        <v>5337</v>
      </c>
      <c r="B3831" t="s">
        <v>15</v>
      </c>
      <c r="C3831" t="s">
        <v>1</v>
      </c>
      <c r="D3831" t="s">
        <v>4480</v>
      </c>
      <c r="E3831" t="s">
        <v>4481</v>
      </c>
      <c r="F3831" t="s">
        <v>179</v>
      </c>
      <c r="G3831">
        <v>114</v>
      </c>
      <c r="H3831">
        <v>17</v>
      </c>
      <c r="I3831">
        <v>66</v>
      </c>
      <c r="J3831">
        <v>197</v>
      </c>
      <c r="K3831" s="482">
        <v>0.57899999999999996</v>
      </c>
      <c r="L3831" s="482">
        <v>8.5999999999999993E-2</v>
      </c>
      <c r="M3831" s="482">
        <v>0.33500000000000002</v>
      </c>
    </row>
    <row r="3832" spans="1:13" x14ac:dyDescent="0.2">
      <c r="A3832" t="s">
        <v>5206</v>
      </c>
      <c r="B3832" t="s">
        <v>15</v>
      </c>
      <c r="C3832" t="s">
        <v>1</v>
      </c>
      <c r="D3832" t="s">
        <v>3748</v>
      </c>
      <c r="E3832" t="s">
        <v>3749</v>
      </c>
      <c r="F3832" t="s">
        <v>179</v>
      </c>
      <c r="G3832">
        <v>139</v>
      </c>
      <c r="H3832">
        <v>38</v>
      </c>
      <c r="I3832">
        <v>78</v>
      </c>
      <c r="J3832">
        <v>255</v>
      </c>
      <c r="K3832" s="482">
        <v>0.54500000000000004</v>
      </c>
      <c r="L3832" s="482">
        <v>0.14899999999999999</v>
      </c>
      <c r="M3832" s="482">
        <v>0.30599999999999999</v>
      </c>
    </row>
    <row r="3833" spans="1:13" x14ac:dyDescent="0.2">
      <c r="A3833" t="s">
        <v>5336</v>
      </c>
      <c r="B3833" t="s">
        <v>15</v>
      </c>
      <c r="C3833" t="s">
        <v>1</v>
      </c>
      <c r="D3833" t="s">
        <v>3382</v>
      </c>
      <c r="E3833" t="s">
        <v>3383</v>
      </c>
      <c r="F3833" t="s">
        <v>179</v>
      </c>
      <c r="G3833">
        <v>164</v>
      </c>
      <c r="H3833">
        <v>37</v>
      </c>
      <c r="I3833">
        <v>118</v>
      </c>
      <c r="J3833">
        <v>319</v>
      </c>
      <c r="K3833" s="482">
        <v>0.51400000000000001</v>
      </c>
      <c r="L3833" s="482">
        <v>0.11600000000000001</v>
      </c>
      <c r="M3833" s="482">
        <v>0.37</v>
      </c>
    </row>
    <row r="3834" spans="1:13" x14ac:dyDescent="0.2">
      <c r="A3834" t="s">
        <v>5223</v>
      </c>
      <c r="B3834" t="s">
        <v>15</v>
      </c>
      <c r="C3834" t="s">
        <v>1</v>
      </c>
      <c r="D3834" t="s">
        <v>3742</v>
      </c>
      <c r="E3834" t="s">
        <v>3743</v>
      </c>
      <c r="F3834" t="s">
        <v>179</v>
      </c>
      <c r="G3834">
        <v>189</v>
      </c>
      <c r="H3834">
        <v>31</v>
      </c>
      <c r="I3834">
        <v>116</v>
      </c>
      <c r="J3834">
        <v>336</v>
      </c>
      <c r="K3834" s="482">
        <v>0.56299999999999994</v>
      </c>
      <c r="L3834" s="482">
        <v>9.1999999999999998E-2</v>
      </c>
      <c r="M3834" s="482">
        <v>0.34499999999999997</v>
      </c>
    </row>
    <row r="3835" spans="1:13" x14ac:dyDescent="0.2">
      <c r="A3835" t="s">
        <v>5437</v>
      </c>
      <c r="B3835" t="s">
        <v>15</v>
      </c>
      <c r="C3835" t="s">
        <v>1</v>
      </c>
      <c r="D3835" t="s">
        <v>3100</v>
      </c>
      <c r="E3835" t="s">
        <v>3101</v>
      </c>
      <c r="F3835" t="s">
        <v>179</v>
      </c>
      <c r="G3835">
        <v>157</v>
      </c>
      <c r="H3835">
        <v>37</v>
      </c>
      <c r="I3835">
        <v>82</v>
      </c>
      <c r="J3835">
        <v>276</v>
      </c>
      <c r="K3835" s="482">
        <v>0.56899999999999995</v>
      </c>
      <c r="L3835" s="482">
        <v>0.13400000000000001</v>
      </c>
      <c r="M3835" s="482">
        <v>0.29699999999999999</v>
      </c>
    </row>
    <row r="3836" spans="1:13" x14ac:dyDescent="0.2">
      <c r="A3836" t="s">
        <v>5440</v>
      </c>
      <c r="B3836" t="s">
        <v>15</v>
      </c>
      <c r="C3836" t="s">
        <v>1</v>
      </c>
      <c r="D3836" t="s">
        <v>3091</v>
      </c>
      <c r="E3836" t="s">
        <v>3092</v>
      </c>
      <c r="F3836" t="s">
        <v>179</v>
      </c>
      <c r="G3836">
        <v>51</v>
      </c>
      <c r="H3836">
        <v>17</v>
      </c>
      <c r="I3836">
        <v>42</v>
      </c>
      <c r="J3836">
        <v>110</v>
      </c>
      <c r="K3836" s="482">
        <v>0.46400000000000002</v>
      </c>
      <c r="L3836" s="482">
        <v>0.155</v>
      </c>
      <c r="M3836" s="482">
        <v>0.38200000000000001</v>
      </c>
    </row>
    <row r="3837" spans="1:13" x14ac:dyDescent="0.2">
      <c r="A3837" t="s">
        <v>5438</v>
      </c>
      <c r="B3837" t="s">
        <v>15</v>
      </c>
      <c r="C3837" t="s">
        <v>1</v>
      </c>
      <c r="D3837" t="s">
        <v>3097</v>
      </c>
      <c r="E3837" t="s">
        <v>3098</v>
      </c>
      <c r="F3837" t="s">
        <v>179</v>
      </c>
      <c r="G3837">
        <v>109</v>
      </c>
      <c r="H3837">
        <v>29</v>
      </c>
      <c r="I3837">
        <v>53</v>
      </c>
      <c r="J3837">
        <v>191</v>
      </c>
      <c r="K3837" s="482">
        <v>0.57099999999999995</v>
      </c>
      <c r="L3837" s="482">
        <v>0.152</v>
      </c>
      <c r="M3837" s="482">
        <v>0.27700000000000002</v>
      </c>
    </row>
    <row r="3838" spans="1:13" x14ac:dyDescent="0.2">
      <c r="A3838" t="s">
        <v>5439</v>
      </c>
      <c r="B3838" t="s">
        <v>15</v>
      </c>
      <c r="C3838" t="s">
        <v>1</v>
      </c>
      <c r="D3838" t="s">
        <v>3094</v>
      </c>
      <c r="E3838" t="s">
        <v>3095</v>
      </c>
      <c r="F3838" t="s">
        <v>179</v>
      </c>
      <c r="G3838" t="s">
        <v>53</v>
      </c>
      <c r="H3838" t="s">
        <v>53</v>
      </c>
      <c r="I3838">
        <v>0</v>
      </c>
      <c r="J3838" t="s">
        <v>53</v>
      </c>
      <c r="K3838" t="s">
        <v>53</v>
      </c>
      <c r="L3838" t="s">
        <v>53</v>
      </c>
      <c r="M3838" t="s">
        <v>53</v>
      </c>
    </row>
    <row r="3839" spans="1:13" x14ac:dyDescent="0.2">
      <c r="A3839" t="s">
        <v>5442</v>
      </c>
      <c r="B3839" t="s">
        <v>15</v>
      </c>
      <c r="C3839" t="s">
        <v>1</v>
      </c>
      <c r="D3839" t="s">
        <v>3085</v>
      </c>
      <c r="E3839" t="s">
        <v>3086</v>
      </c>
      <c r="F3839" t="s">
        <v>179</v>
      </c>
      <c r="G3839">
        <v>123</v>
      </c>
      <c r="H3839">
        <v>35</v>
      </c>
      <c r="I3839">
        <v>72</v>
      </c>
      <c r="J3839">
        <v>230</v>
      </c>
      <c r="K3839" s="482">
        <v>0.53500000000000003</v>
      </c>
      <c r="L3839" s="482">
        <v>0.152</v>
      </c>
      <c r="M3839" s="482">
        <v>0.313</v>
      </c>
    </row>
    <row r="3840" spans="1:13" x14ac:dyDescent="0.2">
      <c r="A3840" t="s">
        <v>5443</v>
      </c>
      <c r="B3840" t="s">
        <v>15</v>
      </c>
      <c r="C3840" t="s">
        <v>1</v>
      </c>
      <c r="D3840" t="s">
        <v>3082</v>
      </c>
      <c r="E3840" t="s">
        <v>3083</v>
      </c>
      <c r="F3840" t="s">
        <v>179</v>
      </c>
      <c r="G3840">
        <v>9</v>
      </c>
      <c r="H3840">
        <v>1</v>
      </c>
      <c r="I3840">
        <v>5</v>
      </c>
      <c r="J3840">
        <v>15</v>
      </c>
      <c r="K3840" s="482">
        <v>0.6</v>
      </c>
      <c r="L3840" s="482">
        <v>6.7000000000000004E-2</v>
      </c>
      <c r="M3840" s="482">
        <v>0.33300000000000002</v>
      </c>
    </row>
    <row r="3841" spans="1:13" x14ac:dyDescent="0.2">
      <c r="A3841" t="s">
        <v>5444</v>
      </c>
      <c r="B3841" t="s">
        <v>15</v>
      </c>
      <c r="C3841" t="s">
        <v>1</v>
      </c>
      <c r="D3841" t="s">
        <v>3079</v>
      </c>
      <c r="E3841" t="s">
        <v>3080</v>
      </c>
      <c r="F3841" t="s">
        <v>179</v>
      </c>
      <c r="G3841">
        <v>36</v>
      </c>
      <c r="H3841">
        <v>8</v>
      </c>
      <c r="I3841">
        <v>33</v>
      </c>
      <c r="J3841">
        <v>77</v>
      </c>
      <c r="K3841" s="482">
        <v>0.46800000000000003</v>
      </c>
      <c r="L3841" s="482">
        <v>0.104</v>
      </c>
      <c r="M3841" s="482">
        <v>0.42899999999999999</v>
      </c>
    </row>
    <row r="3842" spans="1:13" x14ac:dyDescent="0.2">
      <c r="A3842" t="s">
        <v>5445</v>
      </c>
      <c r="B3842" t="s">
        <v>15</v>
      </c>
      <c r="C3842" t="s">
        <v>1</v>
      </c>
      <c r="D3842" t="s">
        <v>3076</v>
      </c>
      <c r="E3842" t="s">
        <v>3077</v>
      </c>
      <c r="F3842" t="s">
        <v>179</v>
      </c>
      <c r="G3842">
        <v>112</v>
      </c>
      <c r="H3842">
        <v>23</v>
      </c>
      <c r="I3842">
        <v>50</v>
      </c>
      <c r="J3842">
        <v>185</v>
      </c>
      <c r="K3842" s="482">
        <v>0.60499999999999998</v>
      </c>
      <c r="L3842" s="482">
        <v>0.124</v>
      </c>
      <c r="M3842" s="482">
        <v>0.27</v>
      </c>
    </row>
    <row r="3843" spans="1:13" x14ac:dyDescent="0.2">
      <c r="A3843" t="s">
        <v>5441</v>
      </c>
      <c r="B3843" t="s">
        <v>15</v>
      </c>
      <c r="C3843" t="s">
        <v>1</v>
      </c>
      <c r="D3843" t="s">
        <v>3379</v>
      </c>
      <c r="E3843" t="s">
        <v>3380</v>
      </c>
      <c r="F3843" t="s">
        <v>179</v>
      </c>
      <c r="G3843">
        <v>137</v>
      </c>
      <c r="H3843">
        <v>30</v>
      </c>
      <c r="I3843">
        <v>68</v>
      </c>
      <c r="J3843">
        <v>235</v>
      </c>
      <c r="K3843" s="482">
        <v>0.58299999999999996</v>
      </c>
      <c r="L3843" s="482">
        <v>0.128</v>
      </c>
      <c r="M3843" s="482">
        <v>0.28899999999999998</v>
      </c>
    </row>
    <row r="3844" spans="1:13" x14ac:dyDescent="0.2">
      <c r="A3844" t="s">
        <v>5338</v>
      </c>
      <c r="B3844" t="s">
        <v>15</v>
      </c>
      <c r="C3844" t="s">
        <v>1</v>
      </c>
      <c r="D3844" t="s">
        <v>3373</v>
      </c>
      <c r="E3844" t="s">
        <v>3374</v>
      </c>
      <c r="F3844" t="s">
        <v>179</v>
      </c>
      <c r="G3844">
        <v>106</v>
      </c>
      <c r="H3844">
        <v>26</v>
      </c>
      <c r="I3844">
        <v>64</v>
      </c>
      <c r="J3844">
        <v>196</v>
      </c>
      <c r="K3844" s="482">
        <v>0.54100000000000004</v>
      </c>
      <c r="L3844" s="482">
        <v>0.13300000000000001</v>
      </c>
      <c r="M3844" s="482">
        <v>0.32700000000000001</v>
      </c>
    </row>
    <row r="3845" spans="1:13" x14ac:dyDescent="0.2">
      <c r="A3845" t="s">
        <v>5339</v>
      </c>
      <c r="B3845" t="s">
        <v>15</v>
      </c>
      <c r="C3845" t="s">
        <v>1</v>
      </c>
      <c r="D3845" t="s">
        <v>3370</v>
      </c>
      <c r="E3845" t="s">
        <v>3371</v>
      </c>
      <c r="F3845" t="s">
        <v>179</v>
      </c>
      <c r="G3845">
        <v>75</v>
      </c>
      <c r="H3845">
        <v>24</v>
      </c>
      <c r="I3845">
        <v>44</v>
      </c>
      <c r="J3845">
        <v>143</v>
      </c>
      <c r="K3845" s="482">
        <v>0.52400000000000002</v>
      </c>
      <c r="L3845" s="482">
        <v>0.16800000000000001</v>
      </c>
      <c r="M3845" s="482">
        <v>0.308</v>
      </c>
    </row>
    <row r="3846" spans="1:13" x14ac:dyDescent="0.2">
      <c r="A3846" t="s">
        <v>5340</v>
      </c>
      <c r="B3846" t="s">
        <v>15</v>
      </c>
      <c r="C3846" t="s">
        <v>1</v>
      </c>
      <c r="D3846" t="s">
        <v>3367</v>
      </c>
      <c r="E3846" t="s">
        <v>3368</v>
      </c>
      <c r="F3846" t="s">
        <v>179</v>
      </c>
      <c r="G3846">
        <v>134</v>
      </c>
      <c r="H3846">
        <v>39</v>
      </c>
      <c r="I3846">
        <v>119</v>
      </c>
      <c r="J3846">
        <v>292</v>
      </c>
      <c r="K3846" s="482">
        <v>0.45900000000000002</v>
      </c>
      <c r="L3846" s="482">
        <v>0.13400000000000001</v>
      </c>
      <c r="M3846" s="482">
        <v>0.40799999999999997</v>
      </c>
    </row>
    <row r="3847" spans="1:13" x14ac:dyDescent="0.2">
      <c r="A3847" t="s">
        <v>5341</v>
      </c>
      <c r="B3847" t="s">
        <v>15</v>
      </c>
      <c r="C3847" t="s">
        <v>1</v>
      </c>
      <c r="D3847" t="s">
        <v>3364</v>
      </c>
      <c r="E3847" t="s">
        <v>3365</v>
      </c>
      <c r="F3847" t="s">
        <v>179</v>
      </c>
      <c r="G3847" t="s">
        <v>53</v>
      </c>
      <c r="H3847">
        <v>0</v>
      </c>
      <c r="I3847">
        <v>0</v>
      </c>
      <c r="J3847" t="s">
        <v>53</v>
      </c>
      <c r="K3847" t="s">
        <v>53</v>
      </c>
      <c r="L3847" t="s">
        <v>53</v>
      </c>
      <c r="M3847" t="s">
        <v>53</v>
      </c>
    </row>
    <row r="3848" spans="1:13" x14ac:dyDescent="0.2">
      <c r="A3848" t="s">
        <v>5342</v>
      </c>
      <c r="B3848" t="s">
        <v>15</v>
      </c>
      <c r="C3848" t="s">
        <v>1</v>
      </c>
      <c r="D3848" t="s">
        <v>3361</v>
      </c>
      <c r="E3848" t="s">
        <v>3362</v>
      </c>
      <c r="F3848" t="s">
        <v>179</v>
      </c>
      <c r="G3848">
        <v>93</v>
      </c>
      <c r="H3848">
        <v>17</v>
      </c>
      <c r="I3848">
        <v>51</v>
      </c>
      <c r="J3848">
        <v>161</v>
      </c>
      <c r="K3848" s="482">
        <v>0.57799999999999996</v>
      </c>
      <c r="L3848" s="482">
        <v>0.106</v>
      </c>
      <c r="M3848" s="482">
        <v>0.317</v>
      </c>
    </row>
    <row r="3849" spans="1:13" x14ac:dyDescent="0.2">
      <c r="A3849" t="s">
        <v>5355</v>
      </c>
      <c r="B3849" t="s">
        <v>15</v>
      </c>
      <c r="C3849" t="s">
        <v>1</v>
      </c>
      <c r="D3849" t="s">
        <v>3331</v>
      </c>
      <c r="E3849" t="s">
        <v>3332</v>
      </c>
      <c r="F3849" t="s">
        <v>179</v>
      </c>
      <c r="G3849">
        <v>20</v>
      </c>
      <c r="H3849">
        <v>6</v>
      </c>
      <c r="I3849">
        <v>7</v>
      </c>
      <c r="J3849">
        <v>33</v>
      </c>
      <c r="K3849" s="482">
        <v>0.60599999999999998</v>
      </c>
      <c r="L3849" s="482">
        <v>0.182</v>
      </c>
      <c r="M3849" s="482">
        <v>0.21199999999999999</v>
      </c>
    </row>
    <row r="3850" spans="1:13" x14ac:dyDescent="0.2">
      <c r="A3850" t="s">
        <v>5343</v>
      </c>
      <c r="B3850" t="s">
        <v>15</v>
      </c>
      <c r="C3850" t="s">
        <v>1</v>
      </c>
      <c r="D3850" t="s">
        <v>3358</v>
      </c>
      <c r="E3850" t="s">
        <v>3359</v>
      </c>
      <c r="F3850" t="s">
        <v>179</v>
      </c>
      <c r="G3850">
        <v>54</v>
      </c>
      <c r="H3850">
        <v>7</v>
      </c>
      <c r="I3850">
        <v>28</v>
      </c>
      <c r="J3850">
        <v>89</v>
      </c>
      <c r="K3850" s="482">
        <v>0.60699999999999998</v>
      </c>
      <c r="L3850" s="482">
        <v>7.9000000000000001E-2</v>
      </c>
      <c r="M3850" s="482">
        <v>0.315</v>
      </c>
    </row>
    <row r="3851" spans="1:13" x14ac:dyDescent="0.2">
      <c r="A3851" t="s">
        <v>5344</v>
      </c>
      <c r="B3851" t="s">
        <v>15</v>
      </c>
      <c r="C3851" t="s">
        <v>1</v>
      </c>
      <c r="D3851" t="s">
        <v>3355</v>
      </c>
      <c r="E3851" t="s">
        <v>3356</v>
      </c>
      <c r="F3851" t="s">
        <v>179</v>
      </c>
      <c r="G3851">
        <v>46</v>
      </c>
      <c r="H3851">
        <v>8</v>
      </c>
      <c r="I3851">
        <v>21</v>
      </c>
      <c r="J3851">
        <v>75</v>
      </c>
      <c r="K3851" s="482">
        <v>0.61299999999999999</v>
      </c>
      <c r="L3851" s="482">
        <v>0.107</v>
      </c>
      <c r="M3851" s="482">
        <v>0.28000000000000003</v>
      </c>
    </row>
    <row r="3852" spans="1:13" x14ac:dyDescent="0.2">
      <c r="A3852" t="s">
        <v>5345</v>
      </c>
      <c r="B3852" t="s">
        <v>15</v>
      </c>
      <c r="C3852" t="s">
        <v>1</v>
      </c>
      <c r="D3852" t="s">
        <v>3352</v>
      </c>
      <c r="E3852" t="s">
        <v>3353</v>
      </c>
      <c r="F3852" t="s">
        <v>179</v>
      </c>
      <c r="G3852">
        <v>74</v>
      </c>
      <c r="H3852">
        <v>15</v>
      </c>
      <c r="I3852">
        <v>9</v>
      </c>
      <c r="J3852">
        <v>98</v>
      </c>
      <c r="K3852" s="482">
        <v>0.755</v>
      </c>
      <c r="L3852" s="482">
        <v>0.153</v>
      </c>
      <c r="M3852" s="482">
        <v>9.1999999999999998E-2</v>
      </c>
    </row>
    <row r="3853" spans="1:13" x14ac:dyDescent="0.2">
      <c r="A3853" t="s">
        <v>5346</v>
      </c>
      <c r="B3853" t="s">
        <v>15</v>
      </c>
      <c r="C3853" t="s">
        <v>1</v>
      </c>
      <c r="D3853" t="s">
        <v>3349</v>
      </c>
      <c r="E3853" t="s">
        <v>3350</v>
      </c>
      <c r="F3853" t="s">
        <v>179</v>
      </c>
      <c r="G3853">
        <v>32</v>
      </c>
      <c r="H3853">
        <v>6</v>
      </c>
      <c r="I3853">
        <v>9</v>
      </c>
      <c r="J3853">
        <v>47</v>
      </c>
      <c r="K3853" s="482">
        <v>0.68100000000000005</v>
      </c>
      <c r="L3853" s="482">
        <v>0.128</v>
      </c>
      <c r="M3853" s="482">
        <v>0.191</v>
      </c>
    </row>
    <row r="3854" spans="1:13" x14ac:dyDescent="0.2">
      <c r="A3854" t="s">
        <v>5347</v>
      </c>
      <c r="B3854" t="s">
        <v>15</v>
      </c>
      <c r="C3854" t="s">
        <v>1</v>
      </c>
      <c r="D3854" t="s">
        <v>3346</v>
      </c>
      <c r="E3854" t="s">
        <v>3347</v>
      </c>
      <c r="F3854" t="s">
        <v>179</v>
      </c>
      <c r="G3854">
        <v>35</v>
      </c>
      <c r="H3854">
        <v>14</v>
      </c>
      <c r="I3854">
        <v>25</v>
      </c>
      <c r="J3854">
        <v>74</v>
      </c>
      <c r="K3854" s="482">
        <v>0.47299999999999998</v>
      </c>
      <c r="L3854" s="482">
        <v>0.189</v>
      </c>
      <c r="M3854" s="482">
        <v>0.33800000000000002</v>
      </c>
    </row>
    <row r="3855" spans="1:13" x14ac:dyDescent="0.2">
      <c r="A3855" t="s">
        <v>5350</v>
      </c>
      <c r="B3855" t="s">
        <v>15</v>
      </c>
      <c r="C3855" t="s">
        <v>1</v>
      </c>
      <c r="D3855" t="s">
        <v>3337</v>
      </c>
      <c r="E3855" t="s">
        <v>3338</v>
      </c>
      <c r="F3855" t="s">
        <v>179</v>
      </c>
      <c r="G3855">
        <v>28</v>
      </c>
      <c r="H3855">
        <v>11</v>
      </c>
      <c r="I3855">
        <v>11</v>
      </c>
      <c r="J3855">
        <v>50</v>
      </c>
      <c r="K3855" s="482">
        <v>0.56000000000000005</v>
      </c>
      <c r="L3855" s="482">
        <v>0.22</v>
      </c>
      <c r="M3855" s="482">
        <v>0.22</v>
      </c>
    </row>
    <row r="3856" spans="1:13" x14ac:dyDescent="0.2">
      <c r="A3856" t="s">
        <v>5354</v>
      </c>
      <c r="B3856" t="s">
        <v>15</v>
      </c>
      <c r="C3856" t="s">
        <v>1</v>
      </c>
      <c r="D3856" t="s">
        <v>3334</v>
      </c>
      <c r="E3856" t="s">
        <v>3335</v>
      </c>
      <c r="F3856" t="s">
        <v>179</v>
      </c>
      <c r="G3856">
        <v>20</v>
      </c>
      <c r="H3856">
        <v>3</v>
      </c>
      <c r="I3856">
        <v>5</v>
      </c>
      <c r="J3856">
        <v>28</v>
      </c>
      <c r="K3856" s="482">
        <v>0.71399999999999997</v>
      </c>
      <c r="L3856" s="482">
        <v>0.107</v>
      </c>
      <c r="M3856" s="482">
        <v>0.17899999999999999</v>
      </c>
    </row>
    <row r="3857" spans="1:13" x14ac:dyDescent="0.2">
      <c r="A3857" t="s">
        <v>5232</v>
      </c>
      <c r="B3857" t="s">
        <v>15</v>
      </c>
      <c r="C3857" t="s">
        <v>1</v>
      </c>
      <c r="D3857" t="s">
        <v>3681</v>
      </c>
      <c r="E3857" t="s">
        <v>3682</v>
      </c>
      <c r="F3857" t="s">
        <v>179</v>
      </c>
      <c r="G3857">
        <v>166</v>
      </c>
      <c r="H3857">
        <v>53</v>
      </c>
      <c r="I3857">
        <v>82</v>
      </c>
      <c r="J3857">
        <v>301</v>
      </c>
      <c r="K3857" s="482">
        <v>0.55100000000000005</v>
      </c>
      <c r="L3857" s="482">
        <v>0.17599999999999999</v>
      </c>
      <c r="M3857" s="482">
        <v>0.27200000000000002</v>
      </c>
    </row>
    <row r="3858" spans="1:13" x14ac:dyDescent="0.2">
      <c r="A3858" t="s">
        <v>5233</v>
      </c>
      <c r="B3858" t="s">
        <v>15</v>
      </c>
      <c r="C3858" t="s">
        <v>1</v>
      </c>
      <c r="D3858" t="s">
        <v>3678</v>
      </c>
      <c r="E3858" t="s">
        <v>3679</v>
      </c>
      <c r="F3858" t="s">
        <v>179</v>
      </c>
      <c r="G3858">
        <v>101</v>
      </c>
      <c r="H3858">
        <v>29</v>
      </c>
      <c r="I3858">
        <v>49</v>
      </c>
      <c r="J3858">
        <v>179</v>
      </c>
      <c r="K3858" s="482">
        <v>0.56399999999999995</v>
      </c>
      <c r="L3858" s="482">
        <v>0.16200000000000001</v>
      </c>
      <c r="M3858" s="482">
        <v>0.27400000000000002</v>
      </c>
    </row>
    <row r="3859" spans="1:13" x14ac:dyDescent="0.2">
      <c r="A3859" t="s">
        <v>5234</v>
      </c>
      <c r="B3859" t="s">
        <v>15</v>
      </c>
      <c r="C3859" t="s">
        <v>1</v>
      </c>
      <c r="D3859" t="s">
        <v>3675</v>
      </c>
      <c r="E3859" t="s">
        <v>3676</v>
      </c>
      <c r="F3859" t="s">
        <v>179</v>
      </c>
      <c r="G3859">
        <v>83</v>
      </c>
      <c r="H3859">
        <v>21</v>
      </c>
      <c r="I3859">
        <v>44</v>
      </c>
      <c r="J3859">
        <v>148</v>
      </c>
      <c r="K3859" s="482">
        <v>0.56100000000000005</v>
      </c>
      <c r="L3859" s="482">
        <v>0.14199999999999999</v>
      </c>
      <c r="M3859" s="482">
        <v>0.29699999999999999</v>
      </c>
    </row>
    <row r="3860" spans="1:13" x14ac:dyDescent="0.2">
      <c r="A3860" t="s">
        <v>5208</v>
      </c>
      <c r="B3860" t="s">
        <v>15</v>
      </c>
      <c r="C3860" t="s">
        <v>1</v>
      </c>
      <c r="D3860" t="s">
        <v>4222</v>
      </c>
      <c r="E3860" t="s">
        <v>4223</v>
      </c>
      <c r="F3860" t="s">
        <v>179</v>
      </c>
      <c r="G3860">
        <v>357</v>
      </c>
      <c r="H3860">
        <v>93</v>
      </c>
      <c r="I3860">
        <v>223</v>
      </c>
      <c r="J3860">
        <v>673</v>
      </c>
      <c r="K3860" s="482">
        <v>0.53</v>
      </c>
      <c r="L3860" s="482">
        <v>0.13800000000000001</v>
      </c>
      <c r="M3860" s="482">
        <v>0.33100000000000002</v>
      </c>
    </row>
    <row r="3861" spans="1:13" x14ac:dyDescent="0.2">
      <c r="A3861" t="s">
        <v>5433</v>
      </c>
      <c r="B3861" t="s">
        <v>15</v>
      </c>
      <c r="C3861" t="s">
        <v>1</v>
      </c>
      <c r="D3861" t="s">
        <v>3115</v>
      </c>
      <c r="E3861" t="s">
        <v>3116</v>
      </c>
      <c r="F3861" t="s">
        <v>179</v>
      </c>
      <c r="G3861">
        <v>82</v>
      </c>
      <c r="H3861">
        <v>34</v>
      </c>
      <c r="I3861">
        <v>60</v>
      </c>
      <c r="J3861">
        <v>176</v>
      </c>
      <c r="K3861" s="482">
        <v>0.46600000000000003</v>
      </c>
      <c r="L3861" s="482">
        <v>0.193</v>
      </c>
      <c r="M3861" s="482">
        <v>0.34100000000000003</v>
      </c>
    </row>
    <row r="3862" spans="1:13" x14ac:dyDescent="0.2">
      <c r="A3862" t="s">
        <v>5431</v>
      </c>
      <c r="B3862" t="s">
        <v>15</v>
      </c>
      <c r="C3862" t="s">
        <v>1</v>
      </c>
      <c r="D3862" t="s">
        <v>3121</v>
      </c>
      <c r="E3862" t="s">
        <v>3122</v>
      </c>
      <c r="F3862" t="s">
        <v>179</v>
      </c>
      <c r="G3862">
        <v>172</v>
      </c>
      <c r="H3862">
        <v>30</v>
      </c>
      <c r="I3862">
        <v>88</v>
      </c>
      <c r="J3862">
        <v>290</v>
      </c>
      <c r="K3862" s="482">
        <v>0.59299999999999997</v>
      </c>
      <c r="L3862" s="482">
        <v>0.10299999999999999</v>
      </c>
      <c r="M3862" s="482">
        <v>0.30299999999999999</v>
      </c>
    </row>
    <row r="3863" spans="1:13" x14ac:dyDescent="0.2">
      <c r="A3863" t="s">
        <v>5432</v>
      </c>
      <c r="B3863" t="s">
        <v>15</v>
      </c>
      <c r="C3863" t="s">
        <v>1</v>
      </c>
      <c r="D3863" t="s">
        <v>3118</v>
      </c>
      <c r="E3863" t="s">
        <v>3119</v>
      </c>
      <c r="F3863" t="s">
        <v>179</v>
      </c>
      <c r="G3863">
        <v>20</v>
      </c>
      <c r="H3863">
        <v>10</v>
      </c>
      <c r="I3863">
        <v>16</v>
      </c>
      <c r="J3863">
        <v>46</v>
      </c>
      <c r="K3863" s="482">
        <v>0.435</v>
      </c>
      <c r="L3863" s="482">
        <v>0.217</v>
      </c>
      <c r="M3863" s="482">
        <v>0.34799999999999998</v>
      </c>
    </row>
    <row r="3864" spans="1:13" x14ac:dyDescent="0.2">
      <c r="A3864" t="s">
        <v>5424</v>
      </c>
      <c r="B3864" t="s">
        <v>15</v>
      </c>
      <c r="C3864" t="s">
        <v>1</v>
      </c>
      <c r="D3864" t="s">
        <v>3151</v>
      </c>
      <c r="E3864" t="s">
        <v>3152</v>
      </c>
      <c r="F3864" t="s">
        <v>179</v>
      </c>
      <c r="G3864">
        <v>33</v>
      </c>
      <c r="H3864">
        <v>14</v>
      </c>
      <c r="I3864">
        <v>9</v>
      </c>
      <c r="J3864">
        <v>56</v>
      </c>
      <c r="K3864" s="482">
        <v>0.58899999999999997</v>
      </c>
      <c r="L3864" s="482">
        <v>0.25</v>
      </c>
      <c r="M3864" s="482">
        <v>0.161</v>
      </c>
    </row>
    <row r="3865" spans="1:13" x14ac:dyDescent="0.2">
      <c r="A3865" t="s">
        <v>5425</v>
      </c>
      <c r="B3865" t="s">
        <v>15</v>
      </c>
      <c r="C3865" t="s">
        <v>1</v>
      </c>
      <c r="D3865" t="s">
        <v>3148</v>
      </c>
      <c r="E3865" t="s">
        <v>3149</v>
      </c>
      <c r="F3865" t="s">
        <v>179</v>
      </c>
      <c r="G3865">
        <v>67</v>
      </c>
      <c r="H3865">
        <v>16</v>
      </c>
      <c r="I3865">
        <v>42</v>
      </c>
      <c r="J3865">
        <v>125</v>
      </c>
      <c r="K3865" s="482">
        <v>0.53600000000000003</v>
      </c>
      <c r="L3865" s="482">
        <v>0.128</v>
      </c>
      <c r="M3865" s="482">
        <v>0.33600000000000002</v>
      </c>
    </row>
    <row r="3866" spans="1:13" x14ac:dyDescent="0.2">
      <c r="A3866" t="s">
        <v>5273</v>
      </c>
      <c r="B3866" t="s">
        <v>15</v>
      </c>
      <c r="C3866" t="s">
        <v>1</v>
      </c>
      <c r="D3866" t="s">
        <v>4428</v>
      </c>
      <c r="E3866" t="s">
        <v>4429</v>
      </c>
      <c r="F3866" t="s">
        <v>179</v>
      </c>
      <c r="G3866">
        <v>53</v>
      </c>
      <c r="H3866">
        <v>16</v>
      </c>
      <c r="I3866">
        <v>31</v>
      </c>
      <c r="J3866">
        <v>100</v>
      </c>
      <c r="K3866" s="482">
        <v>0.53</v>
      </c>
      <c r="L3866" s="482">
        <v>0.16</v>
      </c>
      <c r="M3866" s="482">
        <v>0.31</v>
      </c>
    </row>
    <row r="3867" spans="1:13" x14ac:dyDescent="0.2">
      <c r="A3867" t="s">
        <v>5436</v>
      </c>
      <c r="B3867" t="s">
        <v>15</v>
      </c>
      <c r="C3867" t="s">
        <v>1</v>
      </c>
      <c r="D3867" t="s">
        <v>3103</v>
      </c>
      <c r="E3867" t="s">
        <v>3104</v>
      </c>
      <c r="F3867" t="s">
        <v>179</v>
      </c>
      <c r="G3867">
        <v>33</v>
      </c>
      <c r="H3867">
        <v>6</v>
      </c>
      <c r="I3867">
        <v>13</v>
      </c>
      <c r="J3867">
        <v>52</v>
      </c>
      <c r="K3867" s="482">
        <v>0.63500000000000001</v>
      </c>
      <c r="L3867" s="482">
        <v>0.115</v>
      </c>
      <c r="M3867" s="482">
        <v>0.25</v>
      </c>
    </row>
    <row r="3868" spans="1:13" x14ac:dyDescent="0.2">
      <c r="A3868" t="s">
        <v>5435</v>
      </c>
      <c r="B3868" t="s">
        <v>15</v>
      </c>
      <c r="C3868" t="s">
        <v>1</v>
      </c>
      <c r="D3868" t="s">
        <v>4229</v>
      </c>
      <c r="E3868" t="s">
        <v>4230</v>
      </c>
      <c r="F3868" t="s">
        <v>179</v>
      </c>
      <c r="G3868">
        <v>142</v>
      </c>
      <c r="H3868">
        <v>33</v>
      </c>
      <c r="I3868">
        <v>76</v>
      </c>
      <c r="J3868">
        <v>251</v>
      </c>
      <c r="K3868" s="482">
        <v>0.56599999999999995</v>
      </c>
      <c r="L3868" s="482">
        <v>0.13100000000000001</v>
      </c>
      <c r="M3868" s="482">
        <v>0.30299999999999999</v>
      </c>
    </row>
    <row r="3869" spans="1:13" x14ac:dyDescent="0.2">
      <c r="A3869" t="s">
        <v>5387</v>
      </c>
      <c r="B3869" t="s">
        <v>15</v>
      </c>
      <c r="C3869" t="s">
        <v>1</v>
      </c>
      <c r="D3869" t="s">
        <v>3249</v>
      </c>
      <c r="E3869" t="s">
        <v>3250</v>
      </c>
      <c r="F3869" t="s">
        <v>179</v>
      </c>
      <c r="G3869">
        <v>38</v>
      </c>
      <c r="H3869">
        <v>8</v>
      </c>
      <c r="I3869">
        <v>15</v>
      </c>
      <c r="J3869">
        <v>61</v>
      </c>
      <c r="K3869" s="482">
        <v>0.623</v>
      </c>
      <c r="L3869" s="482">
        <v>0.13100000000000001</v>
      </c>
      <c r="M3869" s="482">
        <v>0.246</v>
      </c>
    </row>
    <row r="3870" spans="1:13" x14ac:dyDescent="0.2">
      <c r="A3870" t="s">
        <v>5388</v>
      </c>
      <c r="B3870" t="s">
        <v>15</v>
      </c>
      <c r="C3870" t="s">
        <v>1</v>
      </c>
      <c r="D3870" t="s">
        <v>3246</v>
      </c>
      <c r="E3870" t="s">
        <v>3247</v>
      </c>
      <c r="F3870" t="s">
        <v>179</v>
      </c>
      <c r="G3870">
        <v>79</v>
      </c>
      <c r="H3870">
        <v>23</v>
      </c>
      <c r="I3870">
        <v>44</v>
      </c>
      <c r="J3870">
        <v>146</v>
      </c>
      <c r="K3870" s="482">
        <v>0.54100000000000004</v>
      </c>
      <c r="L3870" s="482">
        <v>0.158</v>
      </c>
      <c r="M3870" s="482">
        <v>0.30099999999999999</v>
      </c>
    </row>
    <row r="3871" spans="1:13" x14ac:dyDescent="0.2">
      <c r="A3871" t="s">
        <v>5389</v>
      </c>
      <c r="B3871" t="s">
        <v>15</v>
      </c>
      <c r="C3871" t="s">
        <v>1</v>
      </c>
      <c r="D3871" t="s">
        <v>3243</v>
      </c>
      <c r="E3871" t="s">
        <v>3244</v>
      </c>
      <c r="F3871" t="s">
        <v>179</v>
      </c>
      <c r="G3871">
        <v>38</v>
      </c>
      <c r="H3871">
        <v>8</v>
      </c>
      <c r="I3871">
        <v>22</v>
      </c>
      <c r="J3871">
        <v>68</v>
      </c>
      <c r="K3871" s="482">
        <v>0.55900000000000005</v>
      </c>
      <c r="L3871" s="482">
        <v>0.11799999999999999</v>
      </c>
      <c r="M3871" s="482">
        <v>0.32400000000000001</v>
      </c>
    </row>
    <row r="3872" spans="1:13" x14ac:dyDescent="0.2">
      <c r="A3872" t="s">
        <v>5390</v>
      </c>
      <c r="B3872" t="s">
        <v>15</v>
      </c>
      <c r="C3872" t="s">
        <v>1</v>
      </c>
      <c r="D3872" t="s">
        <v>3240</v>
      </c>
      <c r="E3872" t="s">
        <v>3241</v>
      </c>
      <c r="F3872" t="s">
        <v>179</v>
      </c>
      <c r="G3872">
        <v>10</v>
      </c>
      <c r="H3872">
        <v>5</v>
      </c>
      <c r="I3872">
        <v>5</v>
      </c>
      <c r="J3872">
        <v>20</v>
      </c>
      <c r="K3872" s="482">
        <v>0.5</v>
      </c>
      <c r="L3872" s="482">
        <v>0.25</v>
      </c>
      <c r="M3872" s="482">
        <v>0.25</v>
      </c>
    </row>
    <row r="3873" spans="1:13" x14ac:dyDescent="0.2">
      <c r="A3873" t="s">
        <v>5329</v>
      </c>
      <c r="B3873" t="s">
        <v>15</v>
      </c>
      <c r="C3873" t="s">
        <v>1</v>
      </c>
      <c r="D3873" t="s">
        <v>3400</v>
      </c>
      <c r="E3873" t="s">
        <v>3401</v>
      </c>
      <c r="F3873" t="s">
        <v>179</v>
      </c>
      <c r="G3873">
        <v>60</v>
      </c>
      <c r="H3873">
        <v>14</v>
      </c>
      <c r="I3873">
        <v>34</v>
      </c>
      <c r="J3873">
        <v>108</v>
      </c>
      <c r="K3873" s="482">
        <v>0.55600000000000005</v>
      </c>
      <c r="L3873" s="482">
        <v>0.13</v>
      </c>
      <c r="M3873" s="482">
        <v>0.315</v>
      </c>
    </row>
    <row r="3874" spans="1:13" x14ac:dyDescent="0.2">
      <c r="A3874" t="s">
        <v>5330</v>
      </c>
      <c r="B3874" t="s">
        <v>15</v>
      </c>
      <c r="C3874" t="s">
        <v>1</v>
      </c>
      <c r="D3874" t="s">
        <v>3397</v>
      </c>
      <c r="E3874" t="s">
        <v>3398</v>
      </c>
      <c r="F3874" t="s">
        <v>179</v>
      </c>
      <c r="G3874">
        <v>52</v>
      </c>
      <c r="H3874">
        <v>12</v>
      </c>
      <c r="I3874">
        <v>39</v>
      </c>
      <c r="J3874">
        <v>103</v>
      </c>
      <c r="K3874" s="482">
        <v>0.505</v>
      </c>
      <c r="L3874" s="482">
        <v>0.11700000000000001</v>
      </c>
      <c r="M3874" s="482">
        <v>0.379</v>
      </c>
    </row>
    <row r="3875" spans="1:13" x14ac:dyDescent="0.2">
      <c r="A3875" t="s">
        <v>5331</v>
      </c>
      <c r="B3875" t="s">
        <v>15</v>
      </c>
      <c r="C3875" t="s">
        <v>1</v>
      </c>
      <c r="D3875" t="s">
        <v>3394</v>
      </c>
      <c r="E3875" t="s">
        <v>3395</v>
      </c>
      <c r="F3875" t="s">
        <v>179</v>
      </c>
      <c r="G3875">
        <v>95</v>
      </c>
      <c r="H3875">
        <v>26</v>
      </c>
      <c r="I3875">
        <v>52</v>
      </c>
      <c r="J3875">
        <v>173</v>
      </c>
      <c r="K3875" s="482">
        <v>0.54900000000000004</v>
      </c>
      <c r="L3875" s="482">
        <v>0.15</v>
      </c>
      <c r="M3875" s="482">
        <v>0.30099999999999999</v>
      </c>
    </row>
    <row r="3876" spans="1:13" x14ac:dyDescent="0.2">
      <c r="A3876" t="s">
        <v>5332</v>
      </c>
      <c r="B3876" t="s">
        <v>15</v>
      </c>
      <c r="C3876" t="s">
        <v>1</v>
      </c>
      <c r="D3876" t="s">
        <v>3391</v>
      </c>
      <c r="E3876" t="s">
        <v>3392</v>
      </c>
      <c r="F3876" t="s">
        <v>179</v>
      </c>
      <c r="G3876">
        <v>32</v>
      </c>
      <c r="H3876">
        <v>6</v>
      </c>
      <c r="I3876">
        <v>15</v>
      </c>
      <c r="J3876">
        <v>53</v>
      </c>
      <c r="K3876" s="482">
        <v>0.60399999999999998</v>
      </c>
      <c r="L3876" s="482">
        <v>0.113</v>
      </c>
      <c r="M3876" s="482">
        <v>0.28299999999999997</v>
      </c>
    </row>
    <row r="3877" spans="1:13" x14ac:dyDescent="0.2">
      <c r="A3877" t="s">
        <v>5333</v>
      </c>
      <c r="B3877" t="s">
        <v>15</v>
      </c>
      <c r="C3877" t="s">
        <v>1</v>
      </c>
      <c r="D3877" t="s">
        <v>3388</v>
      </c>
      <c r="E3877" t="s">
        <v>3389</v>
      </c>
      <c r="F3877" t="s">
        <v>179</v>
      </c>
      <c r="G3877">
        <v>74</v>
      </c>
      <c r="H3877">
        <v>26</v>
      </c>
      <c r="I3877">
        <v>51</v>
      </c>
      <c r="J3877">
        <v>151</v>
      </c>
      <c r="K3877" s="482">
        <v>0.49</v>
      </c>
      <c r="L3877" s="482">
        <v>0.17199999999999999</v>
      </c>
      <c r="M3877" s="482">
        <v>0.33800000000000002</v>
      </c>
    </row>
    <row r="3878" spans="1:13" x14ac:dyDescent="0.2">
      <c r="A3878" t="s">
        <v>5334</v>
      </c>
      <c r="B3878" t="s">
        <v>15</v>
      </c>
      <c r="C3878" t="s">
        <v>1</v>
      </c>
      <c r="D3878" t="s">
        <v>3385</v>
      </c>
      <c r="E3878" t="s">
        <v>3386</v>
      </c>
      <c r="F3878" t="s">
        <v>179</v>
      </c>
      <c r="G3878">
        <v>49</v>
      </c>
      <c r="H3878">
        <v>17</v>
      </c>
      <c r="I3878">
        <v>31</v>
      </c>
      <c r="J3878">
        <v>97</v>
      </c>
      <c r="K3878" s="482">
        <v>0.505</v>
      </c>
      <c r="L3878" s="482">
        <v>0.17499999999999999</v>
      </c>
      <c r="M3878" s="482">
        <v>0.32</v>
      </c>
    </row>
    <row r="3879" spans="1:13" x14ac:dyDescent="0.2">
      <c r="A3879" t="s">
        <v>5348</v>
      </c>
      <c r="B3879" t="s">
        <v>15</v>
      </c>
      <c r="C3879" t="s">
        <v>1</v>
      </c>
      <c r="D3879" t="s">
        <v>4342</v>
      </c>
      <c r="E3879" t="s">
        <v>4343</v>
      </c>
      <c r="F3879" t="s">
        <v>179</v>
      </c>
      <c r="G3879">
        <v>12</v>
      </c>
      <c r="H3879">
        <v>2</v>
      </c>
      <c r="I3879">
        <v>4</v>
      </c>
      <c r="J3879">
        <v>18</v>
      </c>
      <c r="K3879" s="482">
        <v>0.66700000000000004</v>
      </c>
      <c r="L3879" s="482">
        <v>0.111</v>
      </c>
      <c r="M3879" s="482">
        <v>0.222</v>
      </c>
    </row>
    <row r="3880" spans="1:13" x14ac:dyDescent="0.2">
      <c r="A3880" t="s">
        <v>5349</v>
      </c>
      <c r="B3880" t="s">
        <v>15</v>
      </c>
      <c r="C3880" t="s">
        <v>1</v>
      </c>
      <c r="D3880" t="s">
        <v>4339</v>
      </c>
      <c r="E3880" t="s">
        <v>4340</v>
      </c>
      <c r="F3880" t="s">
        <v>179</v>
      </c>
      <c r="G3880">
        <v>67</v>
      </c>
      <c r="H3880">
        <v>19</v>
      </c>
      <c r="I3880">
        <v>32</v>
      </c>
      <c r="J3880">
        <v>118</v>
      </c>
      <c r="K3880" s="482">
        <v>0.56799999999999995</v>
      </c>
      <c r="L3880" s="482">
        <v>0.161</v>
      </c>
      <c r="M3880" s="482">
        <v>0.27100000000000002</v>
      </c>
    </row>
    <row r="3881" spans="1:13" x14ac:dyDescent="0.2">
      <c r="A3881" t="s">
        <v>5335</v>
      </c>
      <c r="B3881" t="s">
        <v>15</v>
      </c>
      <c r="C3881" t="s">
        <v>1</v>
      </c>
      <c r="D3881" t="s">
        <v>3343</v>
      </c>
      <c r="E3881" t="s">
        <v>3344</v>
      </c>
      <c r="F3881" t="s">
        <v>179</v>
      </c>
      <c r="G3881">
        <v>48</v>
      </c>
      <c r="H3881">
        <v>6</v>
      </c>
      <c r="I3881">
        <v>14</v>
      </c>
      <c r="J3881">
        <v>68</v>
      </c>
      <c r="K3881" s="482">
        <v>0.70599999999999996</v>
      </c>
      <c r="L3881" s="482">
        <v>8.7999999999999995E-2</v>
      </c>
      <c r="M3881" s="482">
        <v>0.20599999999999999</v>
      </c>
    </row>
    <row r="3882" spans="1:13" x14ac:dyDescent="0.2">
      <c r="A3882" t="s">
        <v>5351</v>
      </c>
      <c r="B3882" t="s">
        <v>15</v>
      </c>
      <c r="C3882" t="s">
        <v>1</v>
      </c>
      <c r="D3882" t="s">
        <v>4334</v>
      </c>
      <c r="E3882" t="s">
        <v>4335</v>
      </c>
      <c r="F3882" t="s">
        <v>179</v>
      </c>
      <c r="G3882">
        <v>11</v>
      </c>
      <c r="H3882">
        <v>3</v>
      </c>
      <c r="I3882">
        <v>1</v>
      </c>
      <c r="J3882">
        <v>15</v>
      </c>
      <c r="K3882" s="482">
        <v>0.73299999999999998</v>
      </c>
      <c r="L3882" s="482">
        <v>0.2</v>
      </c>
      <c r="M3882" s="482">
        <v>6.7000000000000004E-2</v>
      </c>
    </row>
    <row r="3883" spans="1:13" x14ac:dyDescent="0.2">
      <c r="A3883" t="s">
        <v>5405</v>
      </c>
      <c r="B3883" t="s">
        <v>15</v>
      </c>
      <c r="C3883" t="s">
        <v>1</v>
      </c>
      <c r="D3883" t="s">
        <v>4267</v>
      </c>
      <c r="E3883" t="s">
        <v>4268</v>
      </c>
      <c r="F3883" t="s">
        <v>179</v>
      </c>
      <c r="G3883">
        <v>33</v>
      </c>
      <c r="H3883">
        <v>3</v>
      </c>
      <c r="I3883">
        <v>13</v>
      </c>
      <c r="J3883">
        <v>49</v>
      </c>
      <c r="K3883" s="482">
        <v>0.67300000000000004</v>
      </c>
      <c r="L3883" s="482">
        <v>6.0999999999999999E-2</v>
      </c>
      <c r="M3883" s="482">
        <v>0.26500000000000001</v>
      </c>
    </row>
    <row r="3884" spans="1:13" x14ac:dyDescent="0.2">
      <c r="A3884" t="s">
        <v>5353</v>
      </c>
      <c r="B3884" t="s">
        <v>15</v>
      </c>
      <c r="C3884" t="s">
        <v>1</v>
      </c>
      <c r="D3884" t="s">
        <v>3340</v>
      </c>
      <c r="E3884" t="s">
        <v>3341</v>
      </c>
      <c r="F3884" t="s">
        <v>179</v>
      </c>
      <c r="G3884">
        <v>111</v>
      </c>
      <c r="H3884">
        <v>29</v>
      </c>
      <c r="I3884">
        <v>52</v>
      </c>
      <c r="J3884">
        <v>192</v>
      </c>
      <c r="K3884" s="482">
        <v>0.57799999999999996</v>
      </c>
      <c r="L3884" s="482">
        <v>0.151</v>
      </c>
      <c r="M3884" s="482">
        <v>0.27100000000000002</v>
      </c>
    </row>
    <row r="3885" spans="1:13" x14ac:dyDescent="0.2">
      <c r="A3885" t="s">
        <v>5406</v>
      </c>
      <c r="B3885" t="s">
        <v>15</v>
      </c>
      <c r="C3885" t="s">
        <v>1</v>
      </c>
      <c r="D3885" t="s">
        <v>3198</v>
      </c>
      <c r="E3885" t="s">
        <v>3199</v>
      </c>
      <c r="F3885" t="s">
        <v>179</v>
      </c>
      <c r="G3885">
        <v>49</v>
      </c>
      <c r="H3885">
        <v>16</v>
      </c>
      <c r="I3885">
        <v>29</v>
      </c>
      <c r="J3885">
        <v>94</v>
      </c>
      <c r="K3885" s="482">
        <v>0.52100000000000002</v>
      </c>
      <c r="L3885" s="482">
        <v>0.17</v>
      </c>
      <c r="M3885" s="482">
        <v>0.309</v>
      </c>
    </row>
    <row r="3886" spans="1:13" x14ac:dyDescent="0.2">
      <c r="A3886" t="s">
        <v>5400</v>
      </c>
      <c r="B3886" t="s">
        <v>15</v>
      </c>
      <c r="C3886" t="s">
        <v>1</v>
      </c>
      <c r="D3886" t="s">
        <v>3213</v>
      </c>
      <c r="E3886" t="s">
        <v>3214</v>
      </c>
      <c r="F3886" t="s">
        <v>179</v>
      </c>
      <c r="G3886">
        <v>162</v>
      </c>
      <c r="H3886">
        <v>32</v>
      </c>
      <c r="I3886">
        <v>80</v>
      </c>
      <c r="J3886">
        <v>274</v>
      </c>
      <c r="K3886" s="482">
        <v>0.59099999999999997</v>
      </c>
      <c r="L3886" s="482">
        <v>0.11700000000000001</v>
      </c>
      <c r="M3886" s="482">
        <v>0.29199999999999998</v>
      </c>
    </row>
    <row r="3887" spans="1:13" x14ac:dyDescent="0.2">
      <c r="A3887" t="s">
        <v>5401</v>
      </c>
      <c r="B3887" t="s">
        <v>15</v>
      </c>
      <c r="C3887" t="s">
        <v>1</v>
      </c>
      <c r="D3887" t="s">
        <v>3210</v>
      </c>
      <c r="E3887" t="s">
        <v>3211</v>
      </c>
      <c r="F3887" t="s">
        <v>179</v>
      </c>
      <c r="G3887">
        <v>7</v>
      </c>
      <c r="H3887">
        <v>4</v>
      </c>
      <c r="I3887">
        <v>2</v>
      </c>
      <c r="J3887">
        <v>13</v>
      </c>
      <c r="K3887" s="482">
        <v>0.53800000000000003</v>
      </c>
      <c r="L3887" s="482">
        <v>0.308</v>
      </c>
      <c r="M3887" s="482">
        <v>0.154</v>
      </c>
    </row>
    <row r="3888" spans="1:13" x14ac:dyDescent="0.2">
      <c r="A3888" t="s">
        <v>5328</v>
      </c>
      <c r="B3888" t="s">
        <v>15</v>
      </c>
      <c r="C3888" t="s">
        <v>1</v>
      </c>
      <c r="D3888" t="s">
        <v>3409</v>
      </c>
      <c r="E3888" t="s">
        <v>3410</v>
      </c>
      <c r="F3888" t="s">
        <v>179</v>
      </c>
      <c r="G3888">
        <v>36</v>
      </c>
      <c r="H3888">
        <v>18</v>
      </c>
      <c r="I3888">
        <v>19</v>
      </c>
      <c r="J3888">
        <v>73</v>
      </c>
      <c r="K3888" s="482">
        <v>0.49299999999999999</v>
      </c>
      <c r="L3888" s="482">
        <v>0.247</v>
      </c>
      <c r="M3888" s="482">
        <v>0.26</v>
      </c>
    </row>
    <row r="3889" spans="1:13" x14ac:dyDescent="0.2">
      <c r="A3889" t="s">
        <v>5157</v>
      </c>
      <c r="B3889" t="s">
        <v>15</v>
      </c>
      <c r="C3889" t="s">
        <v>1</v>
      </c>
      <c r="D3889" t="s">
        <v>4558</v>
      </c>
      <c r="E3889" t="s">
        <v>4559</v>
      </c>
      <c r="F3889" t="s">
        <v>179</v>
      </c>
      <c r="G3889">
        <v>49</v>
      </c>
      <c r="H3889">
        <v>10</v>
      </c>
      <c r="I3889">
        <v>13</v>
      </c>
      <c r="J3889">
        <v>72</v>
      </c>
      <c r="K3889" s="482">
        <v>0.68100000000000005</v>
      </c>
      <c r="L3889" s="482">
        <v>0.13900000000000001</v>
      </c>
      <c r="M3889" s="482">
        <v>0.18099999999999999</v>
      </c>
    </row>
    <row r="3890" spans="1:13" x14ac:dyDescent="0.2">
      <c r="A3890" t="s">
        <v>5160</v>
      </c>
      <c r="B3890" t="s">
        <v>15</v>
      </c>
      <c r="C3890" t="s">
        <v>1</v>
      </c>
      <c r="D3890" t="s">
        <v>4553</v>
      </c>
      <c r="E3890" t="s">
        <v>4554</v>
      </c>
      <c r="F3890" t="s">
        <v>179</v>
      </c>
      <c r="G3890">
        <v>100</v>
      </c>
      <c r="H3890">
        <v>19</v>
      </c>
      <c r="I3890">
        <v>61</v>
      </c>
      <c r="J3890">
        <v>180</v>
      </c>
      <c r="K3890" s="482">
        <v>0.55600000000000005</v>
      </c>
      <c r="L3890" s="482">
        <v>0.106</v>
      </c>
      <c r="M3890" s="482">
        <v>0.33900000000000002</v>
      </c>
    </row>
    <row r="3891" spans="1:13" x14ac:dyDescent="0.2">
      <c r="A3891" t="s">
        <v>5323</v>
      </c>
      <c r="B3891" t="s">
        <v>15</v>
      </c>
      <c r="C3891" t="s">
        <v>1</v>
      </c>
      <c r="D3891" t="s">
        <v>4370</v>
      </c>
      <c r="E3891" t="s">
        <v>4371</v>
      </c>
      <c r="F3891" t="s">
        <v>179</v>
      </c>
      <c r="G3891">
        <v>24</v>
      </c>
      <c r="H3891">
        <v>8</v>
      </c>
      <c r="I3891">
        <v>19</v>
      </c>
      <c r="J3891">
        <v>51</v>
      </c>
      <c r="K3891" s="482">
        <v>0.47099999999999997</v>
      </c>
      <c r="L3891" s="482">
        <v>0.157</v>
      </c>
      <c r="M3891" s="482">
        <v>0.373</v>
      </c>
    </row>
    <row r="3892" spans="1:13" x14ac:dyDescent="0.2">
      <c r="A3892" t="s">
        <v>5159</v>
      </c>
      <c r="B3892" t="s">
        <v>15</v>
      </c>
      <c r="C3892" t="s">
        <v>1</v>
      </c>
      <c r="D3892" t="s">
        <v>3906</v>
      </c>
      <c r="E3892" t="s">
        <v>3907</v>
      </c>
      <c r="F3892" t="s">
        <v>179</v>
      </c>
      <c r="G3892">
        <v>109</v>
      </c>
      <c r="H3892">
        <v>20</v>
      </c>
      <c r="I3892">
        <v>72</v>
      </c>
      <c r="J3892">
        <v>201</v>
      </c>
      <c r="K3892" s="482">
        <v>0.54200000000000004</v>
      </c>
      <c r="L3892" s="482">
        <v>0.1</v>
      </c>
      <c r="M3892" s="482">
        <v>0.35799999999999998</v>
      </c>
    </row>
    <row r="3893" spans="1:13" x14ac:dyDescent="0.2">
      <c r="A3893" t="s">
        <v>5161</v>
      </c>
      <c r="B3893" t="s">
        <v>15</v>
      </c>
      <c r="C3893" t="s">
        <v>1</v>
      </c>
      <c r="D3893" t="s">
        <v>3897</v>
      </c>
      <c r="E3893" t="s">
        <v>3898</v>
      </c>
      <c r="F3893" t="s">
        <v>179</v>
      </c>
      <c r="G3893">
        <v>20</v>
      </c>
      <c r="H3893">
        <v>5</v>
      </c>
      <c r="I3893">
        <v>25</v>
      </c>
      <c r="J3893">
        <v>50</v>
      </c>
      <c r="K3893" s="482">
        <v>0.4</v>
      </c>
      <c r="L3893" s="482">
        <v>0.1</v>
      </c>
      <c r="M3893" s="482">
        <v>0.5</v>
      </c>
    </row>
    <row r="3894" spans="1:13" x14ac:dyDescent="0.2">
      <c r="A3894" t="s">
        <v>5162</v>
      </c>
      <c r="B3894" t="s">
        <v>15</v>
      </c>
      <c r="C3894" t="s">
        <v>1</v>
      </c>
      <c r="D3894" t="s">
        <v>3894</v>
      </c>
      <c r="E3894" t="s">
        <v>3895</v>
      </c>
      <c r="F3894" t="s">
        <v>179</v>
      </c>
      <c r="G3894">
        <v>114</v>
      </c>
      <c r="H3894">
        <v>17</v>
      </c>
      <c r="I3894">
        <v>54</v>
      </c>
      <c r="J3894">
        <v>185</v>
      </c>
      <c r="K3894" s="482">
        <v>0.61599999999999999</v>
      </c>
      <c r="L3894" s="482">
        <v>9.1999999999999998E-2</v>
      </c>
      <c r="M3894" s="482">
        <v>0.29199999999999998</v>
      </c>
    </row>
    <row r="3895" spans="1:13" x14ac:dyDescent="0.2">
      <c r="A3895" t="s">
        <v>5163</v>
      </c>
      <c r="B3895" t="s">
        <v>15</v>
      </c>
      <c r="C3895" t="s">
        <v>1</v>
      </c>
      <c r="D3895" t="s">
        <v>3891</v>
      </c>
      <c r="E3895" t="s">
        <v>3892</v>
      </c>
      <c r="F3895" t="s">
        <v>179</v>
      </c>
      <c r="G3895">
        <v>63</v>
      </c>
      <c r="H3895">
        <v>17</v>
      </c>
      <c r="I3895">
        <v>50</v>
      </c>
      <c r="J3895">
        <v>130</v>
      </c>
      <c r="K3895" s="482">
        <v>0.48499999999999999</v>
      </c>
      <c r="L3895" s="482">
        <v>0.13100000000000001</v>
      </c>
      <c r="M3895" s="482">
        <v>0.38500000000000001</v>
      </c>
    </row>
    <row r="3896" spans="1:13" x14ac:dyDescent="0.2">
      <c r="A3896" t="s">
        <v>5165</v>
      </c>
      <c r="B3896" t="s">
        <v>15</v>
      </c>
      <c r="C3896" t="s">
        <v>1</v>
      </c>
      <c r="D3896" t="s">
        <v>3885</v>
      </c>
      <c r="E3896" t="s">
        <v>3886</v>
      </c>
      <c r="F3896" t="s">
        <v>179</v>
      </c>
      <c r="G3896">
        <v>155</v>
      </c>
      <c r="H3896">
        <v>49</v>
      </c>
      <c r="I3896">
        <v>69</v>
      </c>
      <c r="J3896">
        <v>273</v>
      </c>
      <c r="K3896" s="482">
        <v>0.56799999999999995</v>
      </c>
      <c r="L3896" s="482">
        <v>0.17899999999999999</v>
      </c>
      <c r="M3896" s="482">
        <v>0.253</v>
      </c>
    </row>
    <row r="3897" spans="1:13" x14ac:dyDescent="0.2">
      <c r="A3897" t="s">
        <v>5289</v>
      </c>
      <c r="B3897" t="s">
        <v>15</v>
      </c>
      <c r="C3897" t="s">
        <v>1</v>
      </c>
      <c r="D3897" t="s">
        <v>3515</v>
      </c>
      <c r="E3897" t="s">
        <v>343</v>
      </c>
      <c r="F3897" t="s">
        <v>179</v>
      </c>
      <c r="G3897">
        <v>163</v>
      </c>
      <c r="H3897">
        <v>37</v>
      </c>
      <c r="I3897">
        <v>83</v>
      </c>
      <c r="J3897">
        <v>283</v>
      </c>
      <c r="K3897" s="482">
        <v>0.57599999999999996</v>
      </c>
      <c r="L3897" s="482">
        <v>0.13100000000000001</v>
      </c>
      <c r="M3897" s="482">
        <v>0.29299999999999998</v>
      </c>
    </row>
    <row r="3898" spans="1:13" x14ac:dyDescent="0.2">
      <c r="A3898" t="s">
        <v>5164</v>
      </c>
      <c r="B3898" t="s">
        <v>15</v>
      </c>
      <c r="C3898" t="s">
        <v>1</v>
      </c>
      <c r="D3898" t="s">
        <v>3888</v>
      </c>
      <c r="E3898" t="s">
        <v>3889</v>
      </c>
      <c r="F3898" t="s">
        <v>179</v>
      </c>
      <c r="G3898">
        <v>198</v>
      </c>
      <c r="H3898">
        <v>44</v>
      </c>
      <c r="I3898">
        <v>118</v>
      </c>
      <c r="J3898">
        <v>360</v>
      </c>
      <c r="K3898" s="482">
        <v>0.55000000000000004</v>
      </c>
      <c r="L3898" s="482">
        <v>0.122</v>
      </c>
      <c r="M3898" s="482">
        <v>0.32800000000000001</v>
      </c>
    </row>
    <row r="3899" spans="1:13" x14ac:dyDescent="0.2">
      <c r="A3899" t="s">
        <v>5287</v>
      </c>
      <c r="B3899" t="s">
        <v>15</v>
      </c>
      <c r="C3899" t="s">
        <v>1</v>
      </c>
      <c r="D3899" t="s">
        <v>3520</v>
      </c>
      <c r="E3899" t="s">
        <v>341</v>
      </c>
      <c r="F3899" t="s">
        <v>179</v>
      </c>
      <c r="G3899">
        <v>62</v>
      </c>
      <c r="H3899">
        <v>13</v>
      </c>
      <c r="I3899">
        <v>20</v>
      </c>
      <c r="J3899">
        <v>95</v>
      </c>
      <c r="K3899" s="482">
        <v>0.65300000000000002</v>
      </c>
      <c r="L3899" s="482">
        <v>0.13700000000000001</v>
      </c>
      <c r="M3899" s="482">
        <v>0.21099999999999999</v>
      </c>
    </row>
    <row r="3900" spans="1:13" x14ac:dyDescent="0.2">
      <c r="A3900" t="s">
        <v>5383</v>
      </c>
      <c r="B3900" t="s">
        <v>15</v>
      </c>
      <c r="C3900" t="s">
        <v>1</v>
      </c>
      <c r="D3900" t="s">
        <v>3261</v>
      </c>
      <c r="E3900" t="s">
        <v>3262</v>
      </c>
      <c r="F3900" t="s">
        <v>179</v>
      </c>
      <c r="G3900">
        <v>16</v>
      </c>
      <c r="H3900">
        <v>9</v>
      </c>
      <c r="I3900">
        <v>15</v>
      </c>
      <c r="J3900">
        <v>40</v>
      </c>
      <c r="K3900" s="482">
        <v>0.4</v>
      </c>
      <c r="L3900" s="482">
        <v>0.22500000000000001</v>
      </c>
      <c r="M3900" s="482">
        <v>0.375</v>
      </c>
    </row>
    <row r="3901" spans="1:13" x14ac:dyDescent="0.2">
      <c r="A3901" t="s">
        <v>5384</v>
      </c>
      <c r="B3901" t="s">
        <v>15</v>
      </c>
      <c r="C3901" t="s">
        <v>1</v>
      </c>
      <c r="D3901" t="s">
        <v>3258</v>
      </c>
      <c r="E3901" t="s">
        <v>3259</v>
      </c>
      <c r="F3901" t="s">
        <v>179</v>
      </c>
      <c r="G3901">
        <v>47</v>
      </c>
      <c r="H3901">
        <v>15</v>
      </c>
      <c r="I3901">
        <v>25</v>
      </c>
      <c r="J3901">
        <v>87</v>
      </c>
      <c r="K3901" s="482">
        <v>0.54</v>
      </c>
      <c r="L3901" s="482">
        <v>0.17199999999999999</v>
      </c>
      <c r="M3901" s="482">
        <v>0.28699999999999998</v>
      </c>
    </row>
    <row r="3902" spans="1:13" x14ac:dyDescent="0.2">
      <c r="A3902" t="s">
        <v>5385</v>
      </c>
      <c r="B3902" t="s">
        <v>15</v>
      </c>
      <c r="C3902" t="s">
        <v>1</v>
      </c>
      <c r="D3902" t="s">
        <v>3255</v>
      </c>
      <c r="E3902" t="s">
        <v>3256</v>
      </c>
      <c r="F3902" t="s">
        <v>179</v>
      </c>
      <c r="G3902" t="s">
        <v>53</v>
      </c>
      <c r="H3902">
        <v>0</v>
      </c>
      <c r="I3902" t="s">
        <v>53</v>
      </c>
      <c r="J3902" t="s">
        <v>53</v>
      </c>
      <c r="K3902" t="s">
        <v>53</v>
      </c>
      <c r="L3902" t="s">
        <v>53</v>
      </c>
      <c r="M3902" t="s">
        <v>53</v>
      </c>
    </row>
    <row r="3903" spans="1:13" x14ac:dyDescent="0.2">
      <c r="A3903" t="s">
        <v>5386</v>
      </c>
      <c r="B3903" t="s">
        <v>15</v>
      </c>
      <c r="C3903" t="s">
        <v>1</v>
      </c>
      <c r="D3903" t="s">
        <v>3252</v>
      </c>
      <c r="E3903" t="s">
        <v>3253</v>
      </c>
      <c r="F3903" t="s">
        <v>179</v>
      </c>
      <c r="G3903" t="s">
        <v>53</v>
      </c>
      <c r="H3903" t="s">
        <v>53</v>
      </c>
      <c r="I3903" t="s">
        <v>53</v>
      </c>
      <c r="J3903" t="s">
        <v>53</v>
      </c>
      <c r="K3903" t="s">
        <v>53</v>
      </c>
      <c r="L3903" t="s">
        <v>53</v>
      </c>
      <c r="M3903" t="s">
        <v>53</v>
      </c>
    </row>
    <row r="3904" spans="1:13" x14ac:dyDescent="0.2">
      <c r="A3904" t="s">
        <v>5380</v>
      </c>
      <c r="B3904" t="s">
        <v>15</v>
      </c>
      <c r="C3904" t="s">
        <v>1</v>
      </c>
      <c r="D3904" t="s">
        <v>4302</v>
      </c>
      <c r="E3904" t="s">
        <v>4303</v>
      </c>
      <c r="F3904" t="s">
        <v>179</v>
      </c>
      <c r="G3904">
        <v>15</v>
      </c>
      <c r="H3904">
        <v>4</v>
      </c>
      <c r="I3904">
        <v>6</v>
      </c>
      <c r="J3904">
        <v>25</v>
      </c>
      <c r="K3904" s="482">
        <v>0.6</v>
      </c>
      <c r="L3904" s="482">
        <v>0.16</v>
      </c>
      <c r="M3904" s="482">
        <v>0.24</v>
      </c>
    </row>
    <row r="3905" spans="1:13" x14ac:dyDescent="0.2">
      <c r="A3905" t="s">
        <v>5381</v>
      </c>
      <c r="B3905" t="s">
        <v>15</v>
      </c>
      <c r="C3905" t="s">
        <v>1</v>
      </c>
      <c r="D3905" t="s">
        <v>4299</v>
      </c>
      <c r="E3905" t="s">
        <v>4300</v>
      </c>
      <c r="F3905" t="s">
        <v>179</v>
      </c>
      <c r="G3905">
        <v>107</v>
      </c>
      <c r="H3905">
        <v>15</v>
      </c>
      <c r="I3905">
        <v>32</v>
      </c>
      <c r="J3905">
        <v>154</v>
      </c>
      <c r="K3905" s="482">
        <v>0.69499999999999995</v>
      </c>
      <c r="L3905" s="482">
        <v>9.7000000000000003E-2</v>
      </c>
      <c r="M3905" s="482">
        <v>0.20799999999999999</v>
      </c>
    </row>
    <row r="3906" spans="1:13" x14ac:dyDescent="0.2">
      <c r="A3906" t="s">
        <v>5382</v>
      </c>
      <c r="B3906" t="s">
        <v>15</v>
      </c>
      <c r="C3906" t="s">
        <v>1</v>
      </c>
      <c r="D3906" t="s">
        <v>3264</v>
      </c>
      <c r="E3906" t="s">
        <v>3265</v>
      </c>
      <c r="F3906" t="s">
        <v>179</v>
      </c>
      <c r="G3906">
        <v>38</v>
      </c>
      <c r="H3906">
        <v>20</v>
      </c>
      <c r="I3906">
        <v>30</v>
      </c>
      <c r="J3906">
        <v>88</v>
      </c>
      <c r="K3906" s="482">
        <v>0.432</v>
      </c>
      <c r="L3906" s="482">
        <v>0.22700000000000001</v>
      </c>
      <c r="M3906" s="482">
        <v>0.34100000000000003</v>
      </c>
    </row>
    <row r="3907" spans="1:13" x14ac:dyDescent="0.2">
      <c r="A3907" t="s">
        <v>5358</v>
      </c>
      <c r="B3907" t="s">
        <v>15</v>
      </c>
      <c r="C3907" t="s">
        <v>1</v>
      </c>
      <c r="D3907" t="s">
        <v>3322</v>
      </c>
      <c r="E3907" t="s">
        <v>3323</v>
      </c>
      <c r="F3907" t="s">
        <v>179</v>
      </c>
      <c r="G3907" t="s">
        <v>53</v>
      </c>
      <c r="H3907">
        <v>0</v>
      </c>
      <c r="I3907" t="s">
        <v>53</v>
      </c>
      <c r="J3907" t="s">
        <v>53</v>
      </c>
      <c r="K3907" t="s">
        <v>53</v>
      </c>
      <c r="L3907" t="s">
        <v>53</v>
      </c>
      <c r="M3907" t="s">
        <v>53</v>
      </c>
    </row>
    <row r="3908" spans="1:13" x14ac:dyDescent="0.2">
      <c r="A3908" t="s">
        <v>5356</v>
      </c>
      <c r="B3908" t="s">
        <v>15</v>
      </c>
      <c r="C3908" t="s">
        <v>1</v>
      </c>
      <c r="D3908" t="s">
        <v>3328</v>
      </c>
      <c r="E3908" t="s">
        <v>3329</v>
      </c>
      <c r="F3908" t="s">
        <v>179</v>
      </c>
      <c r="G3908">
        <v>57</v>
      </c>
      <c r="H3908">
        <v>9</v>
      </c>
      <c r="I3908">
        <v>28</v>
      </c>
      <c r="J3908">
        <v>94</v>
      </c>
      <c r="K3908" s="482">
        <v>0.60599999999999998</v>
      </c>
      <c r="L3908" s="482">
        <v>9.6000000000000002E-2</v>
      </c>
      <c r="M3908" s="482">
        <v>0.29799999999999999</v>
      </c>
    </row>
    <row r="3909" spans="1:13" x14ac:dyDescent="0.2">
      <c r="A3909" t="s">
        <v>5312</v>
      </c>
      <c r="B3909" t="s">
        <v>15</v>
      </c>
      <c r="C3909" t="s">
        <v>1</v>
      </c>
      <c r="D3909" t="s">
        <v>3445</v>
      </c>
      <c r="E3909" t="s">
        <v>3446</v>
      </c>
      <c r="F3909" t="s">
        <v>179</v>
      </c>
      <c r="G3909">
        <v>56</v>
      </c>
      <c r="H3909">
        <v>6</v>
      </c>
      <c r="I3909">
        <v>34</v>
      </c>
      <c r="J3909">
        <v>96</v>
      </c>
      <c r="K3909" s="482">
        <v>0.58299999999999996</v>
      </c>
      <c r="L3909" s="482">
        <v>6.3E-2</v>
      </c>
      <c r="M3909" s="482">
        <v>0.35399999999999998</v>
      </c>
    </row>
    <row r="3910" spans="1:13" x14ac:dyDescent="0.2">
      <c r="A3910" t="s">
        <v>5313</v>
      </c>
      <c r="B3910" t="s">
        <v>15</v>
      </c>
      <c r="C3910" t="s">
        <v>1</v>
      </c>
      <c r="D3910" t="s">
        <v>3442</v>
      </c>
      <c r="E3910" t="s">
        <v>3443</v>
      </c>
      <c r="F3910" t="s">
        <v>179</v>
      </c>
      <c r="G3910">
        <v>271</v>
      </c>
      <c r="H3910">
        <v>52</v>
      </c>
      <c r="I3910">
        <v>138</v>
      </c>
      <c r="J3910">
        <v>461</v>
      </c>
      <c r="K3910" s="482">
        <v>0.58799999999999997</v>
      </c>
      <c r="L3910" s="482">
        <v>0.113</v>
      </c>
      <c r="M3910" s="482">
        <v>0.29899999999999999</v>
      </c>
    </row>
    <row r="3911" spans="1:13" x14ac:dyDescent="0.2">
      <c r="A3911" t="s">
        <v>5321</v>
      </c>
      <c r="B3911" t="s">
        <v>15</v>
      </c>
      <c r="C3911" t="s">
        <v>1</v>
      </c>
      <c r="D3911" t="s">
        <v>3424</v>
      </c>
      <c r="E3911" t="s">
        <v>3425</v>
      </c>
      <c r="F3911" t="s">
        <v>179</v>
      </c>
      <c r="G3911">
        <v>43</v>
      </c>
      <c r="H3911">
        <v>21</v>
      </c>
      <c r="I3911">
        <v>44</v>
      </c>
      <c r="J3911">
        <v>108</v>
      </c>
      <c r="K3911" s="482">
        <v>0.39800000000000002</v>
      </c>
      <c r="L3911" s="482">
        <v>0.19400000000000001</v>
      </c>
      <c r="M3911" s="482">
        <v>0.40699999999999997</v>
      </c>
    </row>
    <row r="3912" spans="1:13" x14ac:dyDescent="0.2">
      <c r="A3912" t="s">
        <v>5322</v>
      </c>
      <c r="B3912" t="s">
        <v>15</v>
      </c>
      <c r="C3912" t="s">
        <v>1</v>
      </c>
      <c r="D3912" t="s">
        <v>3421</v>
      </c>
      <c r="E3912" t="s">
        <v>3422</v>
      </c>
      <c r="F3912" t="s">
        <v>179</v>
      </c>
      <c r="G3912">
        <v>180</v>
      </c>
      <c r="H3912">
        <v>27</v>
      </c>
      <c r="I3912">
        <v>96</v>
      </c>
      <c r="J3912">
        <v>303</v>
      </c>
      <c r="K3912" s="482">
        <v>0.59399999999999997</v>
      </c>
      <c r="L3912" s="482">
        <v>8.8999999999999996E-2</v>
      </c>
      <c r="M3912" s="482">
        <v>0.317</v>
      </c>
    </row>
    <row r="3913" spans="1:13" x14ac:dyDescent="0.2">
      <c r="A3913" t="s">
        <v>5299</v>
      </c>
      <c r="B3913" t="s">
        <v>15</v>
      </c>
      <c r="C3913" t="s">
        <v>1</v>
      </c>
      <c r="D3913" t="s">
        <v>3485</v>
      </c>
      <c r="E3913" t="s">
        <v>3486</v>
      </c>
      <c r="F3913" t="s">
        <v>179</v>
      </c>
      <c r="G3913">
        <v>45</v>
      </c>
      <c r="H3913">
        <v>11</v>
      </c>
      <c r="I3913">
        <v>27</v>
      </c>
      <c r="J3913">
        <v>83</v>
      </c>
      <c r="K3913" s="482">
        <v>0.54200000000000004</v>
      </c>
      <c r="L3913" s="482">
        <v>0.13300000000000001</v>
      </c>
      <c r="M3913" s="482">
        <v>0.32500000000000001</v>
      </c>
    </row>
    <row r="3914" spans="1:13" x14ac:dyDescent="0.2">
      <c r="A3914" t="s">
        <v>5300</v>
      </c>
      <c r="B3914" t="s">
        <v>15</v>
      </c>
      <c r="C3914" t="s">
        <v>1</v>
      </c>
      <c r="D3914" t="s">
        <v>3482</v>
      </c>
      <c r="E3914" t="s">
        <v>3483</v>
      </c>
      <c r="F3914" t="s">
        <v>179</v>
      </c>
      <c r="G3914">
        <v>268</v>
      </c>
      <c r="H3914">
        <v>69</v>
      </c>
      <c r="I3914">
        <v>141</v>
      </c>
      <c r="J3914">
        <v>478</v>
      </c>
      <c r="K3914" s="482">
        <v>0.56100000000000005</v>
      </c>
      <c r="L3914" s="482">
        <v>0.14399999999999999</v>
      </c>
      <c r="M3914" s="482">
        <v>0.29499999999999998</v>
      </c>
    </row>
    <row r="3915" spans="1:13" x14ac:dyDescent="0.2">
      <c r="A3915" t="s">
        <v>5301</v>
      </c>
      <c r="B3915" t="s">
        <v>15</v>
      </c>
      <c r="C3915" t="s">
        <v>1</v>
      </c>
      <c r="D3915" t="s">
        <v>3478</v>
      </c>
      <c r="E3915" t="s">
        <v>3479</v>
      </c>
      <c r="F3915" t="s">
        <v>179</v>
      </c>
      <c r="G3915">
        <v>71</v>
      </c>
      <c r="H3915">
        <v>18</v>
      </c>
      <c r="I3915">
        <v>41</v>
      </c>
      <c r="J3915">
        <v>130</v>
      </c>
      <c r="K3915" s="482">
        <v>0.54600000000000004</v>
      </c>
      <c r="L3915" s="482">
        <v>0.13800000000000001</v>
      </c>
      <c r="M3915" s="482">
        <v>0.315</v>
      </c>
    </row>
    <row r="3916" spans="1:13" x14ac:dyDescent="0.2">
      <c r="A3916" t="s">
        <v>5302</v>
      </c>
      <c r="B3916" t="s">
        <v>15</v>
      </c>
      <c r="C3916" t="s">
        <v>1</v>
      </c>
      <c r="D3916" t="s">
        <v>3475</v>
      </c>
      <c r="E3916" t="s">
        <v>3476</v>
      </c>
      <c r="F3916" t="s">
        <v>179</v>
      </c>
      <c r="G3916">
        <v>98</v>
      </c>
      <c r="H3916">
        <v>20</v>
      </c>
      <c r="I3916">
        <v>52</v>
      </c>
      <c r="J3916">
        <v>170</v>
      </c>
      <c r="K3916" s="482">
        <v>0.57599999999999996</v>
      </c>
      <c r="L3916" s="482">
        <v>0.11799999999999999</v>
      </c>
      <c r="M3916" s="482">
        <v>0.30599999999999999</v>
      </c>
    </row>
    <row r="3917" spans="1:13" x14ac:dyDescent="0.2">
      <c r="A3917" t="s">
        <v>5303</v>
      </c>
      <c r="B3917" t="s">
        <v>15</v>
      </c>
      <c r="C3917" t="s">
        <v>1</v>
      </c>
      <c r="D3917" t="s">
        <v>3472</v>
      </c>
      <c r="E3917" t="s">
        <v>3473</v>
      </c>
      <c r="F3917" t="s">
        <v>179</v>
      </c>
      <c r="G3917">
        <v>90</v>
      </c>
      <c r="H3917">
        <v>23</v>
      </c>
      <c r="I3917">
        <v>39</v>
      </c>
      <c r="J3917">
        <v>152</v>
      </c>
      <c r="K3917" s="482">
        <v>0.59199999999999997</v>
      </c>
      <c r="L3917" s="482">
        <v>0.151</v>
      </c>
      <c r="M3917" s="482">
        <v>0.25700000000000001</v>
      </c>
    </row>
    <row r="3918" spans="1:13" x14ac:dyDescent="0.2">
      <c r="A3918" t="s">
        <v>5304</v>
      </c>
      <c r="B3918" t="s">
        <v>15</v>
      </c>
      <c r="C3918" t="s">
        <v>1</v>
      </c>
      <c r="D3918" t="s">
        <v>3469</v>
      </c>
      <c r="E3918" t="s">
        <v>3470</v>
      </c>
      <c r="F3918" t="s">
        <v>179</v>
      </c>
      <c r="G3918" t="s">
        <v>53</v>
      </c>
      <c r="H3918">
        <v>0</v>
      </c>
      <c r="I3918">
        <v>0</v>
      </c>
      <c r="J3918" t="s">
        <v>53</v>
      </c>
      <c r="K3918" t="s">
        <v>53</v>
      </c>
      <c r="L3918" t="s">
        <v>53</v>
      </c>
      <c r="M3918" t="s">
        <v>53</v>
      </c>
    </row>
    <row r="3919" spans="1:13" x14ac:dyDescent="0.2">
      <c r="A3919" t="s">
        <v>5305</v>
      </c>
      <c r="B3919" t="s">
        <v>15</v>
      </c>
      <c r="C3919" t="s">
        <v>1</v>
      </c>
      <c r="D3919" t="s">
        <v>3466</v>
      </c>
      <c r="E3919" t="s">
        <v>3467</v>
      </c>
      <c r="F3919" t="s">
        <v>179</v>
      </c>
      <c r="G3919">
        <v>263</v>
      </c>
      <c r="H3919">
        <v>66</v>
      </c>
      <c r="I3919">
        <v>147</v>
      </c>
      <c r="J3919">
        <v>476</v>
      </c>
      <c r="K3919" s="482">
        <v>0.55300000000000005</v>
      </c>
      <c r="L3919" s="482">
        <v>0.13900000000000001</v>
      </c>
      <c r="M3919" s="482">
        <v>0.309</v>
      </c>
    </row>
    <row r="3920" spans="1:13" x14ac:dyDescent="0.2">
      <c r="A3920" t="s">
        <v>5306</v>
      </c>
      <c r="B3920" t="s">
        <v>15</v>
      </c>
      <c r="C3920" t="s">
        <v>1</v>
      </c>
      <c r="D3920" t="s">
        <v>3463</v>
      </c>
      <c r="E3920" t="s">
        <v>3464</v>
      </c>
      <c r="F3920" t="s">
        <v>179</v>
      </c>
      <c r="G3920">
        <v>85</v>
      </c>
      <c r="H3920">
        <v>20</v>
      </c>
      <c r="I3920">
        <v>50</v>
      </c>
      <c r="J3920">
        <v>155</v>
      </c>
      <c r="K3920" s="482">
        <v>0.54800000000000004</v>
      </c>
      <c r="L3920" s="482">
        <v>0.129</v>
      </c>
      <c r="M3920" s="482">
        <v>0.32300000000000001</v>
      </c>
    </row>
    <row r="3921" spans="1:13" x14ac:dyDescent="0.2">
      <c r="A3921" t="s">
        <v>5307</v>
      </c>
      <c r="B3921" t="s">
        <v>15</v>
      </c>
      <c r="C3921" t="s">
        <v>1</v>
      </c>
      <c r="D3921" t="s">
        <v>3460</v>
      </c>
      <c r="E3921" t="s">
        <v>3461</v>
      </c>
      <c r="F3921" t="s">
        <v>179</v>
      </c>
      <c r="G3921">
        <v>100</v>
      </c>
      <c r="H3921">
        <v>25</v>
      </c>
      <c r="I3921">
        <v>58</v>
      </c>
      <c r="J3921">
        <v>183</v>
      </c>
      <c r="K3921" s="482">
        <v>0.54600000000000004</v>
      </c>
      <c r="L3921" s="482">
        <v>0.13700000000000001</v>
      </c>
      <c r="M3921" s="482">
        <v>0.317</v>
      </c>
    </row>
    <row r="3922" spans="1:13" x14ac:dyDescent="0.2">
      <c r="A3922" t="s">
        <v>5308</v>
      </c>
      <c r="B3922" t="s">
        <v>15</v>
      </c>
      <c r="C3922" t="s">
        <v>1</v>
      </c>
      <c r="D3922" t="s">
        <v>3457</v>
      </c>
      <c r="E3922" t="s">
        <v>3458</v>
      </c>
      <c r="F3922" t="s">
        <v>179</v>
      </c>
      <c r="G3922">
        <v>46</v>
      </c>
      <c r="H3922">
        <v>7</v>
      </c>
      <c r="I3922">
        <v>31</v>
      </c>
      <c r="J3922">
        <v>84</v>
      </c>
      <c r="K3922" s="482">
        <v>0.54800000000000004</v>
      </c>
      <c r="L3922" s="482">
        <v>8.3000000000000004E-2</v>
      </c>
      <c r="M3922" s="482">
        <v>0.36899999999999999</v>
      </c>
    </row>
    <row r="3923" spans="1:13" x14ac:dyDescent="0.2">
      <c r="A3923" t="s">
        <v>5309</v>
      </c>
      <c r="B3923" t="s">
        <v>15</v>
      </c>
      <c r="C3923" t="s">
        <v>1</v>
      </c>
      <c r="D3923" t="s">
        <v>3454</v>
      </c>
      <c r="E3923" t="s">
        <v>3455</v>
      </c>
      <c r="F3923" t="s">
        <v>179</v>
      </c>
      <c r="G3923">
        <v>101</v>
      </c>
      <c r="H3923">
        <v>29</v>
      </c>
      <c r="I3923">
        <v>53</v>
      </c>
      <c r="J3923">
        <v>183</v>
      </c>
      <c r="K3923" s="482">
        <v>0.55200000000000005</v>
      </c>
      <c r="L3923" s="482">
        <v>0.158</v>
      </c>
      <c r="M3923" s="482">
        <v>0.28999999999999998</v>
      </c>
    </row>
    <row r="3924" spans="1:13" x14ac:dyDescent="0.2">
      <c r="A3924" t="s">
        <v>5310</v>
      </c>
      <c r="B3924" t="s">
        <v>15</v>
      </c>
      <c r="C3924" t="s">
        <v>1</v>
      </c>
      <c r="D3924" t="s">
        <v>3451</v>
      </c>
      <c r="E3924" t="s">
        <v>3452</v>
      </c>
      <c r="F3924" t="s">
        <v>179</v>
      </c>
      <c r="G3924">
        <v>73</v>
      </c>
      <c r="H3924">
        <v>11</v>
      </c>
      <c r="I3924">
        <v>30</v>
      </c>
      <c r="J3924">
        <v>114</v>
      </c>
      <c r="K3924" s="482">
        <v>0.64</v>
      </c>
      <c r="L3924" s="482">
        <v>9.6000000000000002E-2</v>
      </c>
      <c r="M3924" s="482">
        <v>0.26300000000000001</v>
      </c>
    </row>
    <row r="3925" spans="1:13" x14ac:dyDescent="0.2">
      <c r="A3925" t="s">
        <v>5317</v>
      </c>
      <c r="B3925" t="s">
        <v>15</v>
      </c>
      <c r="C3925" t="s">
        <v>1</v>
      </c>
      <c r="D3925" t="s">
        <v>4378</v>
      </c>
      <c r="E3925" t="s">
        <v>4379</v>
      </c>
      <c r="F3925" t="s">
        <v>179</v>
      </c>
      <c r="G3925">
        <v>45</v>
      </c>
      <c r="H3925">
        <v>13</v>
      </c>
      <c r="I3925">
        <v>26</v>
      </c>
      <c r="J3925">
        <v>84</v>
      </c>
      <c r="K3925" s="482">
        <v>0.53600000000000003</v>
      </c>
      <c r="L3925" s="482">
        <v>0.155</v>
      </c>
      <c r="M3925" s="482">
        <v>0.31</v>
      </c>
    </row>
    <row r="3926" spans="1:13" x14ac:dyDescent="0.2">
      <c r="A3926" t="s">
        <v>5311</v>
      </c>
      <c r="B3926" t="s">
        <v>15</v>
      </c>
      <c r="C3926" t="s">
        <v>1</v>
      </c>
      <c r="D3926" t="s">
        <v>3448</v>
      </c>
      <c r="E3926" t="s">
        <v>3449</v>
      </c>
      <c r="F3926" t="s">
        <v>179</v>
      </c>
      <c r="G3926">
        <v>68</v>
      </c>
      <c r="H3926">
        <v>17</v>
      </c>
      <c r="I3926">
        <v>55</v>
      </c>
      <c r="J3926">
        <v>140</v>
      </c>
      <c r="K3926" s="482">
        <v>0.48599999999999999</v>
      </c>
      <c r="L3926" s="482">
        <v>0.121</v>
      </c>
      <c r="M3926" s="482">
        <v>0.39300000000000002</v>
      </c>
    </row>
    <row r="3927" spans="1:13" x14ac:dyDescent="0.2">
      <c r="A3927" t="s">
        <v>5325</v>
      </c>
      <c r="B3927" t="s">
        <v>15</v>
      </c>
      <c r="C3927" t="s">
        <v>1</v>
      </c>
      <c r="D3927" t="s">
        <v>3415</v>
      </c>
      <c r="E3927" t="s">
        <v>3416</v>
      </c>
      <c r="F3927" t="s">
        <v>179</v>
      </c>
      <c r="G3927">
        <v>10</v>
      </c>
      <c r="H3927">
        <v>0</v>
      </c>
      <c r="I3927">
        <v>4</v>
      </c>
      <c r="J3927">
        <v>14</v>
      </c>
      <c r="K3927" s="482">
        <v>0.71399999999999997</v>
      </c>
      <c r="L3927" s="482">
        <v>0</v>
      </c>
      <c r="M3927" s="482">
        <v>0.28599999999999998</v>
      </c>
    </row>
    <row r="3928" spans="1:13" x14ac:dyDescent="0.2">
      <c r="A3928" t="s">
        <v>5326</v>
      </c>
      <c r="B3928" t="s">
        <v>15</v>
      </c>
      <c r="C3928" t="s">
        <v>1</v>
      </c>
      <c r="D3928" t="s">
        <v>3412</v>
      </c>
      <c r="E3928" t="s">
        <v>3413</v>
      </c>
      <c r="F3928" t="s">
        <v>179</v>
      </c>
      <c r="G3928">
        <v>26</v>
      </c>
      <c r="H3928">
        <v>4</v>
      </c>
      <c r="I3928">
        <v>12</v>
      </c>
      <c r="J3928">
        <v>42</v>
      </c>
      <c r="K3928" s="482">
        <v>0.61899999999999999</v>
      </c>
      <c r="L3928" s="482">
        <v>9.5000000000000001E-2</v>
      </c>
      <c r="M3928" s="482">
        <v>0.28599999999999998</v>
      </c>
    </row>
    <row r="3929" spans="1:13" x14ac:dyDescent="0.2">
      <c r="A3929" t="s">
        <v>5314</v>
      </c>
      <c r="B3929" t="s">
        <v>15</v>
      </c>
      <c r="C3929" t="s">
        <v>1</v>
      </c>
      <c r="D3929" t="s">
        <v>3439</v>
      </c>
      <c r="E3929" t="s">
        <v>3440</v>
      </c>
      <c r="F3929" t="s">
        <v>179</v>
      </c>
      <c r="G3929">
        <v>49</v>
      </c>
      <c r="H3929">
        <v>10</v>
      </c>
      <c r="I3929">
        <v>18</v>
      </c>
      <c r="J3929">
        <v>77</v>
      </c>
      <c r="K3929" s="482">
        <v>0.63600000000000001</v>
      </c>
      <c r="L3929" s="482">
        <v>0.13</v>
      </c>
      <c r="M3929" s="482">
        <v>0.23400000000000001</v>
      </c>
    </row>
    <row r="3930" spans="1:13" x14ac:dyDescent="0.2">
      <c r="A3930" t="s">
        <v>5315</v>
      </c>
      <c r="B3930" t="s">
        <v>15</v>
      </c>
      <c r="C3930" t="s">
        <v>1</v>
      </c>
      <c r="D3930" t="s">
        <v>3436</v>
      </c>
      <c r="E3930" t="s">
        <v>3437</v>
      </c>
      <c r="F3930" t="s">
        <v>179</v>
      </c>
      <c r="G3930">
        <v>37</v>
      </c>
      <c r="H3930">
        <v>6</v>
      </c>
      <c r="I3930">
        <v>18</v>
      </c>
      <c r="J3930">
        <v>61</v>
      </c>
      <c r="K3930" s="482">
        <v>0.60699999999999998</v>
      </c>
      <c r="L3930" s="482">
        <v>9.8000000000000004E-2</v>
      </c>
      <c r="M3930" s="482">
        <v>0.29499999999999998</v>
      </c>
    </row>
    <row r="3931" spans="1:13" x14ac:dyDescent="0.2">
      <c r="A3931" t="s">
        <v>5327</v>
      </c>
      <c r="B3931" t="s">
        <v>15</v>
      </c>
      <c r="C3931" t="s">
        <v>1</v>
      </c>
      <c r="D3931" t="s">
        <v>4364</v>
      </c>
      <c r="E3931" t="s">
        <v>4365</v>
      </c>
      <c r="F3931" t="s">
        <v>179</v>
      </c>
      <c r="G3931">
        <v>46</v>
      </c>
      <c r="H3931">
        <v>8</v>
      </c>
      <c r="I3931">
        <v>22</v>
      </c>
      <c r="J3931">
        <v>76</v>
      </c>
      <c r="K3931" s="482">
        <v>0.60499999999999998</v>
      </c>
      <c r="L3931" s="482">
        <v>0.105</v>
      </c>
      <c r="M3931" s="482">
        <v>0.28899999999999998</v>
      </c>
    </row>
    <row r="3932" spans="1:13" x14ac:dyDescent="0.2">
      <c r="A3932" t="s">
        <v>5316</v>
      </c>
      <c r="B3932" t="s">
        <v>15</v>
      </c>
      <c r="C3932" t="s">
        <v>1</v>
      </c>
      <c r="D3932" t="s">
        <v>4381</v>
      </c>
      <c r="E3932" t="s">
        <v>4382</v>
      </c>
      <c r="F3932" t="s">
        <v>179</v>
      </c>
      <c r="G3932">
        <v>124</v>
      </c>
      <c r="H3932">
        <v>22</v>
      </c>
      <c r="I3932">
        <v>61</v>
      </c>
      <c r="J3932">
        <v>207</v>
      </c>
      <c r="K3932" s="482">
        <v>0.59899999999999998</v>
      </c>
      <c r="L3932" s="482">
        <v>0.106</v>
      </c>
      <c r="M3932" s="482">
        <v>0.29499999999999998</v>
      </c>
    </row>
    <row r="3933" spans="1:13" x14ac:dyDescent="0.2">
      <c r="A3933" t="s">
        <v>5318</v>
      </c>
      <c r="B3933" t="s">
        <v>15</v>
      </c>
      <c r="C3933" t="s">
        <v>1</v>
      </c>
      <c r="D3933" t="s">
        <v>3433</v>
      </c>
      <c r="E3933" t="s">
        <v>3434</v>
      </c>
      <c r="F3933" t="s">
        <v>179</v>
      </c>
      <c r="G3933">
        <v>27</v>
      </c>
      <c r="H3933">
        <v>10</v>
      </c>
      <c r="I3933">
        <v>15</v>
      </c>
      <c r="J3933">
        <v>52</v>
      </c>
      <c r="K3933" s="482">
        <v>0.51900000000000002</v>
      </c>
      <c r="L3933" s="482">
        <v>0.192</v>
      </c>
      <c r="M3933" s="482">
        <v>0.28799999999999998</v>
      </c>
    </row>
    <row r="3934" spans="1:13" x14ac:dyDescent="0.2">
      <c r="A3934" t="s">
        <v>5319</v>
      </c>
      <c r="B3934" t="s">
        <v>15</v>
      </c>
      <c r="C3934" t="s">
        <v>1</v>
      </c>
      <c r="D3934" t="s">
        <v>3430</v>
      </c>
      <c r="E3934" t="s">
        <v>3431</v>
      </c>
      <c r="F3934" t="s">
        <v>179</v>
      </c>
      <c r="G3934">
        <v>56</v>
      </c>
      <c r="H3934">
        <v>15</v>
      </c>
      <c r="I3934">
        <v>38</v>
      </c>
      <c r="J3934">
        <v>109</v>
      </c>
      <c r="K3934" s="482">
        <v>0.51400000000000001</v>
      </c>
      <c r="L3934" s="482">
        <v>0.13800000000000001</v>
      </c>
      <c r="M3934" s="482">
        <v>0.34899999999999998</v>
      </c>
    </row>
    <row r="3935" spans="1:13" x14ac:dyDescent="0.2">
      <c r="A3935" t="s">
        <v>5320</v>
      </c>
      <c r="B3935" t="s">
        <v>15</v>
      </c>
      <c r="C3935" t="s">
        <v>1</v>
      </c>
      <c r="D3935" t="s">
        <v>3427</v>
      </c>
      <c r="E3935" t="s">
        <v>3428</v>
      </c>
      <c r="F3935" t="s">
        <v>179</v>
      </c>
      <c r="G3935">
        <v>73</v>
      </c>
      <c r="H3935">
        <v>22</v>
      </c>
      <c r="I3935">
        <v>41</v>
      </c>
      <c r="J3935">
        <v>136</v>
      </c>
      <c r="K3935" s="482">
        <v>0.53700000000000003</v>
      </c>
      <c r="L3935" s="482">
        <v>0.16200000000000001</v>
      </c>
      <c r="M3935" s="482">
        <v>0.30099999999999999</v>
      </c>
    </row>
    <row r="3936" spans="1:13" x14ac:dyDescent="0.2">
      <c r="A3936" t="s">
        <v>5324</v>
      </c>
      <c r="B3936" t="s">
        <v>15</v>
      </c>
      <c r="C3936" t="s">
        <v>1</v>
      </c>
      <c r="D3936" t="s">
        <v>3418</v>
      </c>
      <c r="E3936" t="s">
        <v>3419</v>
      </c>
      <c r="F3936" t="s">
        <v>179</v>
      </c>
      <c r="G3936">
        <v>49</v>
      </c>
      <c r="H3936">
        <v>6</v>
      </c>
      <c r="I3936">
        <v>12</v>
      </c>
      <c r="J3936">
        <v>67</v>
      </c>
      <c r="K3936" s="482">
        <v>0.73099999999999998</v>
      </c>
      <c r="L3936" s="482">
        <v>0.09</v>
      </c>
      <c r="M3936" s="482">
        <v>0.17899999999999999</v>
      </c>
    </row>
    <row r="3937" spans="1:13" x14ac:dyDescent="0.2">
      <c r="A3937" t="s">
        <v>5177</v>
      </c>
      <c r="B3937" t="s">
        <v>15</v>
      </c>
      <c r="C3937" t="s">
        <v>1</v>
      </c>
      <c r="D3937" t="s">
        <v>3849</v>
      </c>
      <c r="E3937" t="s">
        <v>3850</v>
      </c>
      <c r="F3937" t="s">
        <v>179</v>
      </c>
      <c r="G3937">
        <v>255</v>
      </c>
      <c r="H3937">
        <v>66</v>
      </c>
      <c r="I3937">
        <v>128</v>
      </c>
      <c r="J3937">
        <v>449</v>
      </c>
      <c r="K3937" s="482">
        <v>0.56799999999999995</v>
      </c>
      <c r="L3937" s="482">
        <v>0.14699999999999999</v>
      </c>
      <c r="M3937" s="482">
        <v>0.28499999999999998</v>
      </c>
    </row>
    <row r="3938" spans="1:13" x14ac:dyDescent="0.2">
      <c r="A3938" t="s">
        <v>5184</v>
      </c>
      <c r="B3938" t="s">
        <v>15</v>
      </c>
      <c r="C3938" t="s">
        <v>1</v>
      </c>
      <c r="D3938" t="s">
        <v>3829</v>
      </c>
      <c r="E3938" t="s">
        <v>3830</v>
      </c>
      <c r="F3938" t="s">
        <v>179</v>
      </c>
      <c r="G3938">
        <v>216</v>
      </c>
      <c r="H3938">
        <v>58</v>
      </c>
      <c r="I3938">
        <v>123</v>
      </c>
      <c r="J3938">
        <v>397</v>
      </c>
      <c r="K3938" s="482">
        <v>0.54400000000000004</v>
      </c>
      <c r="L3938" s="482">
        <v>0.14599999999999999</v>
      </c>
      <c r="M3938" s="482">
        <v>0.31</v>
      </c>
    </row>
    <row r="3939" spans="1:13" x14ac:dyDescent="0.2">
      <c r="A3939" t="s">
        <v>5185</v>
      </c>
      <c r="B3939" t="s">
        <v>15</v>
      </c>
      <c r="C3939" t="s">
        <v>1</v>
      </c>
      <c r="D3939" t="s">
        <v>3826</v>
      </c>
      <c r="E3939" t="s">
        <v>3827</v>
      </c>
      <c r="F3939" t="s">
        <v>179</v>
      </c>
      <c r="G3939">
        <v>161</v>
      </c>
      <c r="H3939">
        <v>35</v>
      </c>
      <c r="I3939">
        <v>90</v>
      </c>
      <c r="J3939">
        <v>286</v>
      </c>
      <c r="K3939" s="482">
        <v>0.56299999999999994</v>
      </c>
      <c r="L3939" s="482">
        <v>0.122</v>
      </c>
      <c r="M3939" s="482">
        <v>0.315</v>
      </c>
    </row>
    <row r="3940" spans="1:13" x14ac:dyDescent="0.2">
      <c r="A3940" t="s">
        <v>5186</v>
      </c>
      <c r="B3940" t="s">
        <v>15</v>
      </c>
      <c r="C3940" t="s">
        <v>1</v>
      </c>
      <c r="D3940" t="s">
        <v>3823</v>
      </c>
      <c r="E3940" t="s">
        <v>3824</v>
      </c>
      <c r="F3940" t="s">
        <v>179</v>
      </c>
      <c r="G3940">
        <v>97</v>
      </c>
      <c r="H3940">
        <v>17</v>
      </c>
      <c r="I3940">
        <v>52</v>
      </c>
      <c r="J3940">
        <v>166</v>
      </c>
      <c r="K3940" s="482">
        <v>0.58399999999999996</v>
      </c>
      <c r="L3940" s="482">
        <v>0.10199999999999999</v>
      </c>
      <c r="M3940" s="482">
        <v>0.313</v>
      </c>
    </row>
    <row r="3941" spans="1:13" x14ac:dyDescent="0.2">
      <c r="A3941" t="s">
        <v>5187</v>
      </c>
      <c r="B3941" t="s">
        <v>15</v>
      </c>
      <c r="C3941" t="s">
        <v>1</v>
      </c>
      <c r="D3941" t="s">
        <v>3820</v>
      </c>
      <c r="E3941" t="s">
        <v>3821</v>
      </c>
      <c r="F3941" t="s">
        <v>179</v>
      </c>
      <c r="G3941">
        <v>174</v>
      </c>
      <c r="H3941">
        <v>61</v>
      </c>
      <c r="I3941">
        <v>152</v>
      </c>
      <c r="J3941">
        <v>387</v>
      </c>
      <c r="K3941" s="482">
        <v>0.45</v>
      </c>
      <c r="L3941" s="482">
        <v>0.158</v>
      </c>
      <c r="M3941" s="482">
        <v>0.39300000000000002</v>
      </c>
    </row>
    <row r="3942" spans="1:13" x14ac:dyDescent="0.2">
      <c r="A3942" t="s">
        <v>5188</v>
      </c>
      <c r="B3942" t="s">
        <v>15</v>
      </c>
      <c r="C3942" t="s">
        <v>1</v>
      </c>
      <c r="D3942" t="s">
        <v>3817</v>
      </c>
      <c r="E3942" t="s">
        <v>3818</v>
      </c>
      <c r="F3942" t="s">
        <v>179</v>
      </c>
      <c r="G3942">
        <v>71</v>
      </c>
      <c r="H3942">
        <v>9</v>
      </c>
      <c r="I3942">
        <v>17</v>
      </c>
      <c r="J3942">
        <v>97</v>
      </c>
      <c r="K3942" s="482">
        <v>0.73199999999999998</v>
      </c>
      <c r="L3942" s="482">
        <v>9.2999999999999999E-2</v>
      </c>
      <c r="M3942" s="482">
        <v>0.17499999999999999</v>
      </c>
    </row>
    <row r="3943" spans="1:13" x14ac:dyDescent="0.2">
      <c r="A3943" t="s">
        <v>5189</v>
      </c>
      <c r="B3943" t="s">
        <v>15</v>
      </c>
      <c r="C3943" t="s">
        <v>1</v>
      </c>
      <c r="D3943" t="s">
        <v>3814</v>
      </c>
      <c r="E3943" t="s">
        <v>3815</v>
      </c>
      <c r="F3943" t="s">
        <v>179</v>
      </c>
      <c r="G3943">
        <v>37</v>
      </c>
      <c r="H3943">
        <v>17</v>
      </c>
      <c r="I3943">
        <v>31</v>
      </c>
      <c r="J3943">
        <v>85</v>
      </c>
      <c r="K3943" s="482">
        <v>0.435</v>
      </c>
      <c r="L3943" s="482">
        <v>0.2</v>
      </c>
      <c r="M3943" s="482">
        <v>0.36499999999999999</v>
      </c>
    </row>
    <row r="3944" spans="1:13" x14ac:dyDescent="0.2">
      <c r="A3944" t="s">
        <v>5182</v>
      </c>
      <c r="B3944" t="s">
        <v>15</v>
      </c>
      <c r="C3944" t="s">
        <v>1</v>
      </c>
      <c r="D3944" t="s">
        <v>3808</v>
      </c>
      <c r="E3944" t="s">
        <v>3809</v>
      </c>
      <c r="F3944" t="s">
        <v>179</v>
      </c>
      <c r="G3944">
        <v>27</v>
      </c>
      <c r="H3944">
        <v>5</v>
      </c>
      <c r="I3944">
        <v>8</v>
      </c>
      <c r="J3944">
        <v>40</v>
      </c>
      <c r="K3944" s="482">
        <v>0.67500000000000004</v>
      </c>
      <c r="L3944" s="482">
        <v>0.125</v>
      </c>
      <c r="M3944" s="482">
        <v>0.2</v>
      </c>
    </row>
    <row r="3945" spans="1:13" x14ac:dyDescent="0.2">
      <c r="A3945" t="s">
        <v>5434</v>
      </c>
      <c r="B3945" t="s">
        <v>15</v>
      </c>
      <c r="C3945" t="s">
        <v>1</v>
      </c>
      <c r="D3945" t="s">
        <v>3109</v>
      </c>
      <c r="E3945" t="s">
        <v>3110</v>
      </c>
      <c r="F3945" t="s">
        <v>179</v>
      </c>
      <c r="G3945">
        <v>124</v>
      </c>
      <c r="H3945">
        <v>27</v>
      </c>
      <c r="I3945">
        <v>43</v>
      </c>
      <c r="J3945">
        <v>194</v>
      </c>
      <c r="K3945" s="482">
        <v>0.63900000000000001</v>
      </c>
      <c r="L3945" s="482">
        <v>0.13900000000000001</v>
      </c>
      <c r="M3945" s="482">
        <v>0.222</v>
      </c>
    </row>
    <row r="3946" spans="1:13" x14ac:dyDescent="0.2">
      <c r="A3946" t="s">
        <v>5391</v>
      </c>
      <c r="B3946" t="s">
        <v>15</v>
      </c>
      <c r="C3946" t="s">
        <v>1</v>
      </c>
      <c r="D3946" t="s">
        <v>3237</v>
      </c>
      <c r="E3946" t="s">
        <v>3238</v>
      </c>
      <c r="F3946" t="s">
        <v>179</v>
      </c>
      <c r="G3946">
        <v>24</v>
      </c>
      <c r="H3946">
        <v>6</v>
      </c>
      <c r="I3946">
        <v>24</v>
      </c>
      <c r="J3946">
        <v>54</v>
      </c>
      <c r="K3946" s="482">
        <v>0.44400000000000001</v>
      </c>
      <c r="L3946" s="482">
        <v>0.111</v>
      </c>
      <c r="M3946" s="482">
        <v>0.44400000000000001</v>
      </c>
    </row>
    <row r="3947" spans="1:13" x14ac:dyDescent="0.2">
      <c r="A3947" t="s">
        <v>5394</v>
      </c>
      <c r="B3947" t="s">
        <v>15</v>
      </c>
      <c r="C3947" t="s">
        <v>1</v>
      </c>
      <c r="D3947" t="s">
        <v>3225</v>
      </c>
      <c r="E3947" t="s">
        <v>3226</v>
      </c>
      <c r="F3947" t="s">
        <v>179</v>
      </c>
      <c r="G3947">
        <v>124</v>
      </c>
      <c r="H3947">
        <v>19</v>
      </c>
      <c r="I3947">
        <v>58</v>
      </c>
      <c r="J3947">
        <v>201</v>
      </c>
      <c r="K3947" s="482">
        <v>0.61699999999999999</v>
      </c>
      <c r="L3947" s="482">
        <v>9.5000000000000001E-2</v>
      </c>
      <c r="M3947" s="482">
        <v>0.28899999999999998</v>
      </c>
    </row>
    <row r="3948" spans="1:13" x14ac:dyDescent="0.2">
      <c r="A3948" t="s">
        <v>5392</v>
      </c>
      <c r="B3948" t="s">
        <v>15</v>
      </c>
      <c r="C3948" t="s">
        <v>1</v>
      </c>
      <c r="D3948" t="s">
        <v>3234</v>
      </c>
      <c r="E3948" t="s">
        <v>3235</v>
      </c>
      <c r="F3948" t="s">
        <v>179</v>
      </c>
      <c r="G3948">
        <v>87</v>
      </c>
      <c r="H3948">
        <v>23</v>
      </c>
      <c r="I3948">
        <v>40</v>
      </c>
      <c r="J3948">
        <v>150</v>
      </c>
      <c r="K3948" s="482">
        <v>0.57999999999999996</v>
      </c>
      <c r="L3948" s="482">
        <v>0.153</v>
      </c>
      <c r="M3948" s="482">
        <v>0.26700000000000002</v>
      </c>
    </row>
    <row r="3949" spans="1:13" x14ac:dyDescent="0.2">
      <c r="A3949" t="s">
        <v>5193</v>
      </c>
      <c r="B3949" t="s">
        <v>15</v>
      </c>
      <c r="C3949" t="s">
        <v>1</v>
      </c>
      <c r="D3949" t="s">
        <v>3790</v>
      </c>
      <c r="E3949" t="s">
        <v>3791</v>
      </c>
      <c r="F3949" t="s">
        <v>179</v>
      </c>
      <c r="G3949">
        <v>242</v>
      </c>
      <c r="H3949">
        <v>63</v>
      </c>
      <c r="I3949">
        <v>146</v>
      </c>
      <c r="J3949">
        <v>451</v>
      </c>
      <c r="K3949" s="482">
        <v>0.53700000000000003</v>
      </c>
      <c r="L3949" s="482">
        <v>0.14000000000000001</v>
      </c>
      <c r="M3949" s="482">
        <v>0.32400000000000001</v>
      </c>
    </row>
    <row r="3950" spans="1:13" x14ac:dyDescent="0.2">
      <c r="A3950" t="s">
        <v>5194</v>
      </c>
      <c r="B3950" t="s">
        <v>15</v>
      </c>
      <c r="C3950" t="s">
        <v>1</v>
      </c>
      <c r="D3950" t="s">
        <v>3787</v>
      </c>
      <c r="E3950" t="s">
        <v>3788</v>
      </c>
      <c r="F3950" t="s">
        <v>179</v>
      </c>
      <c r="G3950">
        <v>100</v>
      </c>
      <c r="H3950">
        <v>28</v>
      </c>
      <c r="I3950">
        <v>62</v>
      </c>
      <c r="J3950">
        <v>190</v>
      </c>
      <c r="K3950" s="482">
        <v>0.52600000000000002</v>
      </c>
      <c r="L3950" s="482">
        <v>0.14699999999999999</v>
      </c>
      <c r="M3950" s="482">
        <v>0.32600000000000001</v>
      </c>
    </row>
    <row r="3951" spans="1:13" x14ac:dyDescent="0.2">
      <c r="A3951" t="s">
        <v>5195</v>
      </c>
      <c r="B3951" t="s">
        <v>15</v>
      </c>
      <c r="C3951" t="s">
        <v>1</v>
      </c>
      <c r="D3951" t="s">
        <v>3784</v>
      </c>
      <c r="E3951" t="s">
        <v>3785</v>
      </c>
      <c r="F3951" t="s">
        <v>179</v>
      </c>
      <c r="G3951">
        <v>163</v>
      </c>
      <c r="H3951">
        <v>37</v>
      </c>
      <c r="I3951">
        <v>99</v>
      </c>
      <c r="J3951">
        <v>299</v>
      </c>
      <c r="K3951" s="482">
        <v>0.54500000000000004</v>
      </c>
      <c r="L3951" s="482">
        <v>0.124</v>
      </c>
      <c r="M3951" s="482">
        <v>0.33100000000000002</v>
      </c>
    </row>
    <row r="3952" spans="1:13" x14ac:dyDescent="0.2">
      <c r="A3952" t="s">
        <v>5196</v>
      </c>
      <c r="B3952" t="s">
        <v>15</v>
      </c>
      <c r="C3952" t="s">
        <v>1</v>
      </c>
      <c r="D3952" t="s">
        <v>3781</v>
      </c>
      <c r="E3952" t="s">
        <v>3782</v>
      </c>
      <c r="F3952" t="s">
        <v>179</v>
      </c>
      <c r="G3952">
        <v>32</v>
      </c>
      <c r="H3952">
        <v>10</v>
      </c>
      <c r="I3952">
        <v>42</v>
      </c>
      <c r="J3952">
        <v>84</v>
      </c>
      <c r="K3952" s="482">
        <v>0.38100000000000001</v>
      </c>
      <c r="L3952" s="482">
        <v>0.11899999999999999</v>
      </c>
      <c r="M3952" s="482">
        <v>0.5</v>
      </c>
    </row>
    <row r="3953" spans="1:13" x14ac:dyDescent="0.2">
      <c r="A3953" t="s">
        <v>5170</v>
      </c>
      <c r="B3953" t="s">
        <v>15</v>
      </c>
      <c r="C3953" t="s">
        <v>1</v>
      </c>
      <c r="D3953" t="s">
        <v>3870</v>
      </c>
      <c r="E3953" t="s">
        <v>3871</v>
      </c>
      <c r="F3953" t="s">
        <v>179</v>
      </c>
      <c r="G3953">
        <v>31</v>
      </c>
      <c r="H3953">
        <v>4</v>
      </c>
      <c r="I3953">
        <v>16</v>
      </c>
      <c r="J3953">
        <v>51</v>
      </c>
      <c r="K3953" s="482">
        <v>0.60799999999999998</v>
      </c>
      <c r="L3953" s="482">
        <v>7.8E-2</v>
      </c>
      <c r="M3953" s="482">
        <v>0.314</v>
      </c>
    </row>
    <row r="3954" spans="1:13" x14ac:dyDescent="0.2">
      <c r="A3954" t="s">
        <v>5171</v>
      </c>
      <c r="B3954" t="s">
        <v>15</v>
      </c>
      <c r="C3954" t="s">
        <v>1</v>
      </c>
      <c r="D3954" t="s">
        <v>3867</v>
      </c>
      <c r="E3954" t="s">
        <v>3868</v>
      </c>
      <c r="F3954" t="s">
        <v>179</v>
      </c>
      <c r="G3954">
        <v>120</v>
      </c>
      <c r="H3954">
        <v>31</v>
      </c>
      <c r="I3954">
        <v>105</v>
      </c>
      <c r="J3954">
        <v>256</v>
      </c>
      <c r="K3954" s="482">
        <v>0.46899999999999997</v>
      </c>
      <c r="L3954" s="482">
        <v>0.121</v>
      </c>
      <c r="M3954" s="482">
        <v>0.41</v>
      </c>
    </row>
    <row r="3955" spans="1:13" x14ac:dyDescent="0.2">
      <c r="A3955" t="s">
        <v>5172</v>
      </c>
      <c r="B3955" t="s">
        <v>15</v>
      </c>
      <c r="C3955" t="s">
        <v>1</v>
      </c>
      <c r="D3955" t="s">
        <v>3864</v>
      </c>
      <c r="E3955" t="s">
        <v>3865</v>
      </c>
      <c r="F3955" t="s">
        <v>179</v>
      </c>
      <c r="G3955">
        <v>115</v>
      </c>
      <c r="H3955">
        <v>33</v>
      </c>
      <c r="I3955">
        <v>64</v>
      </c>
      <c r="J3955">
        <v>212</v>
      </c>
      <c r="K3955" s="482">
        <v>0.54200000000000004</v>
      </c>
      <c r="L3955" s="482">
        <v>0.156</v>
      </c>
      <c r="M3955" s="482">
        <v>0.30199999999999999</v>
      </c>
    </row>
    <row r="3956" spans="1:13" x14ac:dyDescent="0.2">
      <c r="A3956" t="s">
        <v>5173</v>
      </c>
      <c r="B3956" t="s">
        <v>15</v>
      </c>
      <c r="C3956" t="s">
        <v>1</v>
      </c>
      <c r="D3956" t="s">
        <v>3861</v>
      </c>
      <c r="E3956" t="s">
        <v>3862</v>
      </c>
      <c r="F3956" t="s">
        <v>179</v>
      </c>
      <c r="G3956">
        <v>181</v>
      </c>
      <c r="H3956">
        <v>40</v>
      </c>
      <c r="I3956">
        <v>102</v>
      </c>
      <c r="J3956">
        <v>323</v>
      </c>
      <c r="K3956" s="482">
        <v>0.56000000000000005</v>
      </c>
      <c r="L3956" s="482">
        <v>0.124</v>
      </c>
      <c r="M3956" s="482">
        <v>0.316</v>
      </c>
    </row>
    <row r="3957" spans="1:13" x14ac:dyDescent="0.2">
      <c r="A3957" t="s">
        <v>6618</v>
      </c>
      <c r="B3957" t="s">
        <v>15</v>
      </c>
      <c r="C3957" t="s">
        <v>1</v>
      </c>
      <c r="D3957" t="s">
        <v>3900</v>
      </c>
      <c r="E3957" t="s">
        <v>3901</v>
      </c>
      <c r="F3957" t="s">
        <v>179</v>
      </c>
      <c r="G3957" t="s">
        <v>53</v>
      </c>
      <c r="H3957">
        <v>0</v>
      </c>
      <c r="I3957" t="s">
        <v>53</v>
      </c>
      <c r="J3957" t="s">
        <v>53</v>
      </c>
      <c r="K3957" t="s">
        <v>53</v>
      </c>
      <c r="L3957" t="s">
        <v>53</v>
      </c>
      <c r="M3957" t="s">
        <v>53</v>
      </c>
    </row>
    <row r="3958" spans="1:13" x14ac:dyDescent="0.2">
      <c r="A3958" t="s">
        <v>5174</v>
      </c>
      <c r="B3958" t="s">
        <v>15</v>
      </c>
      <c r="C3958" t="s">
        <v>1</v>
      </c>
      <c r="D3958" t="s">
        <v>3858</v>
      </c>
      <c r="E3958" t="s">
        <v>3859</v>
      </c>
      <c r="F3958" t="s">
        <v>179</v>
      </c>
      <c r="G3958">
        <v>114</v>
      </c>
      <c r="H3958">
        <v>36</v>
      </c>
      <c r="I3958">
        <v>84</v>
      </c>
      <c r="J3958">
        <v>234</v>
      </c>
      <c r="K3958" s="482">
        <v>0.48699999999999999</v>
      </c>
      <c r="L3958" s="482">
        <v>0.154</v>
      </c>
      <c r="M3958" s="482">
        <v>0.35899999999999999</v>
      </c>
    </row>
    <row r="3959" spans="1:13" x14ac:dyDescent="0.2">
      <c r="A3959" t="s">
        <v>5175</v>
      </c>
      <c r="B3959" t="s">
        <v>15</v>
      </c>
      <c r="C3959" t="s">
        <v>1</v>
      </c>
      <c r="D3959" t="s">
        <v>3855</v>
      </c>
      <c r="E3959" t="s">
        <v>3856</v>
      </c>
      <c r="F3959" t="s">
        <v>179</v>
      </c>
      <c r="G3959">
        <v>37</v>
      </c>
      <c r="H3959">
        <v>15</v>
      </c>
      <c r="I3959">
        <v>19</v>
      </c>
      <c r="J3959">
        <v>71</v>
      </c>
      <c r="K3959" s="482">
        <v>0.52100000000000002</v>
      </c>
      <c r="L3959" s="482">
        <v>0.21099999999999999</v>
      </c>
      <c r="M3959" s="482">
        <v>0.26800000000000002</v>
      </c>
    </row>
    <row r="3960" spans="1:13" x14ac:dyDescent="0.2">
      <c r="A3960" t="s">
        <v>5176</v>
      </c>
      <c r="B3960" t="s">
        <v>15</v>
      </c>
      <c r="C3960" t="s">
        <v>1</v>
      </c>
      <c r="D3960" t="s">
        <v>3852</v>
      </c>
      <c r="E3960" t="s">
        <v>3853</v>
      </c>
      <c r="F3960" t="s">
        <v>179</v>
      </c>
      <c r="G3960">
        <v>50</v>
      </c>
      <c r="H3960">
        <v>15</v>
      </c>
      <c r="I3960">
        <v>20</v>
      </c>
      <c r="J3960">
        <v>85</v>
      </c>
      <c r="K3960" s="482">
        <v>0.58799999999999997</v>
      </c>
      <c r="L3960" s="482">
        <v>0.17599999999999999</v>
      </c>
      <c r="M3960" s="482">
        <v>0.23499999999999999</v>
      </c>
    </row>
    <row r="3961" spans="1:13" x14ac:dyDescent="0.2">
      <c r="A3961" t="s">
        <v>5166</v>
      </c>
      <c r="B3961" t="s">
        <v>15</v>
      </c>
      <c r="C3961" t="s">
        <v>1</v>
      </c>
      <c r="D3961" t="s">
        <v>3882</v>
      </c>
      <c r="E3961" t="s">
        <v>3883</v>
      </c>
      <c r="F3961" t="s">
        <v>179</v>
      </c>
      <c r="G3961">
        <v>169</v>
      </c>
      <c r="H3961">
        <v>42</v>
      </c>
      <c r="I3961">
        <v>117</v>
      </c>
      <c r="J3961">
        <v>328</v>
      </c>
      <c r="K3961" s="482">
        <v>0.51500000000000001</v>
      </c>
      <c r="L3961" s="482">
        <v>0.128</v>
      </c>
      <c r="M3961" s="482">
        <v>0.35699999999999998</v>
      </c>
    </row>
    <row r="3962" spans="1:13" x14ac:dyDescent="0.2">
      <c r="A3962" t="s">
        <v>5167</v>
      </c>
      <c r="B3962" t="s">
        <v>15</v>
      </c>
      <c r="C3962" t="s">
        <v>1</v>
      </c>
      <c r="D3962" t="s">
        <v>3879</v>
      </c>
      <c r="E3962" t="s">
        <v>3880</v>
      </c>
      <c r="F3962" t="s">
        <v>179</v>
      </c>
      <c r="G3962">
        <v>65</v>
      </c>
      <c r="H3962">
        <v>17</v>
      </c>
      <c r="I3962">
        <v>34</v>
      </c>
      <c r="J3962">
        <v>116</v>
      </c>
      <c r="K3962" s="482">
        <v>0.56000000000000005</v>
      </c>
      <c r="L3962" s="482">
        <v>0.14699999999999999</v>
      </c>
      <c r="M3962" s="482">
        <v>0.29299999999999998</v>
      </c>
    </row>
    <row r="3963" spans="1:13" x14ac:dyDescent="0.2">
      <c r="A3963" t="s">
        <v>5168</v>
      </c>
      <c r="B3963" t="s">
        <v>15</v>
      </c>
      <c r="C3963" t="s">
        <v>1</v>
      </c>
      <c r="D3963" t="s">
        <v>3876</v>
      </c>
      <c r="E3963" t="s">
        <v>3877</v>
      </c>
      <c r="F3963" t="s">
        <v>179</v>
      </c>
      <c r="G3963">
        <v>131</v>
      </c>
      <c r="H3963">
        <v>25</v>
      </c>
      <c r="I3963">
        <v>87</v>
      </c>
      <c r="J3963">
        <v>243</v>
      </c>
      <c r="K3963" s="482">
        <v>0.53900000000000003</v>
      </c>
      <c r="L3963" s="482">
        <v>0.10299999999999999</v>
      </c>
      <c r="M3963" s="482">
        <v>0.35799999999999998</v>
      </c>
    </row>
    <row r="3964" spans="1:13" x14ac:dyDescent="0.2">
      <c r="A3964" t="s">
        <v>5169</v>
      </c>
      <c r="B3964" t="s">
        <v>15</v>
      </c>
      <c r="C3964" t="s">
        <v>1</v>
      </c>
      <c r="D3964" t="s">
        <v>3873</v>
      </c>
      <c r="E3964" t="s">
        <v>3874</v>
      </c>
      <c r="F3964" t="s">
        <v>179</v>
      </c>
      <c r="G3964">
        <v>181</v>
      </c>
      <c r="H3964">
        <v>47</v>
      </c>
      <c r="I3964">
        <v>117</v>
      </c>
      <c r="J3964">
        <v>345</v>
      </c>
      <c r="K3964" s="482">
        <v>0.52500000000000002</v>
      </c>
      <c r="L3964" s="482">
        <v>0.13600000000000001</v>
      </c>
      <c r="M3964" s="482">
        <v>0.33900000000000002</v>
      </c>
    </row>
    <row r="3965" spans="1:13" x14ac:dyDescent="0.2">
      <c r="A3965" t="s">
        <v>5277</v>
      </c>
      <c r="B3965" t="s">
        <v>15</v>
      </c>
      <c r="C3965" t="s">
        <v>1</v>
      </c>
      <c r="D3965" t="s">
        <v>3555</v>
      </c>
      <c r="E3965" t="s">
        <v>3556</v>
      </c>
      <c r="F3965" t="s">
        <v>179</v>
      </c>
      <c r="G3965">
        <v>77</v>
      </c>
      <c r="H3965">
        <v>18</v>
      </c>
      <c r="I3965">
        <v>56</v>
      </c>
      <c r="J3965">
        <v>151</v>
      </c>
      <c r="K3965" s="482">
        <v>0.51</v>
      </c>
      <c r="L3965" s="482">
        <v>0.11899999999999999</v>
      </c>
      <c r="M3965" s="482">
        <v>0.371</v>
      </c>
    </row>
    <row r="3966" spans="1:13" x14ac:dyDescent="0.2">
      <c r="A3966" t="s">
        <v>5278</v>
      </c>
      <c r="B3966" t="s">
        <v>15</v>
      </c>
      <c r="C3966" t="s">
        <v>1</v>
      </c>
      <c r="D3966" t="s">
        <v>3552</v>
      </c>
      <c r="E3966" t="s">
        <v>3553</v>
      </c>
      <c r="F3966" t="s">
        <v>179</v>
      </c>
      <c r="G3966">
        <v>102</v>
      </c>
      <c r="H3966">
        <v>25</v>
      </c>
      <c r="I3966">
        <v>55</v>
      </c>
      <c r="J3966">
        <v>182</v>
      </c>
      <c r="K3966" s="482">
        <v>0.56000000000000005</v>
      </c>
      <c r="L3966" s="482">
        <v>0.13700000000000001</v>
      </c>
      <c r="M3966" s="482">
        <v>0.30199999999999999</v>
      </c>
    </row>
    <row r="3967" spans="1:13" x14ac:dyDescent="0.2">
      <c r="A3967" t="s">
        <v>5279</v>
      </c>
      <c r="B3967" t="s">
        <v>15</v>
      </c>
      <c r="C3967" t="s">
        <v>1</v>
      </c>
      <c r="D3967" t="s">
        <v>3549</v>
      </c>
      <c r="E3967" t="s">
        <v>3550</v>
      </c>
      <c r="F3967" t="s">
        <v>179</v>
      </c>
      <c r="G3967">
        <v>121</v>
      </c>
      <c r="H3967">
        <v>23</v>
      </c>
      <c r="I3967">
        <v>57</v>
      </c>
      <c r="J3967">
        <v>201</v>
      </c>
      <c r="K3967" s="482">
        <v>0.60199999999999998</v>
      </c>
      <c r="L3967" s="482">
        <v>0.114</v>
      </c>
      <c r="M3967" s="482">
        <v>0.28399999999999997</v>
      </c>
    </row>
    <row r="3968" spans="1:13" x14ac:dyDescent="0.2">
      <c r="A3968" t="s">
        <v>5290</v>
      </c>
      <c r="B3968" t="s">
        <v>15</v>
      </c>
      <c r="C3968" t="s">
        <v>1</v>
      </c>
      <c r="D3968" t="s">
        <v>3512</v>
      </c>
      <c r="E3968" t="s">
        <v>3513</v>
      </c>
      <c r="F3968" t="s">
        <v>179</v>
      </c>
      <c r="G3968">
        <v>39</v>
      </c>
      <c r="H3968">
        <v>10</v>
      </c>
      <c r="I3968">
        <v>25</v>
      </c>
      <c r="J3968">
        <v>74</v>
      </c>
      <c r="K3968" s="482">
        <v>0.52700000000000002</v>
      </c>
      <c r="L3968" s="482">
        <v>0.13500000000000001</v>
      </c>
      <c r="M3968" s="482">
        <v>0.33800000000000002</v>
      </c>
    </row>
    <row r="3969" spans="1:13" x14ac:dyDescent="0.2">
      <c r="A3969" t="s">
        <v>5292</v>
      </c>
      <c r="B3969" t="s">
        <v>15</v>
      </c>
      <c r="C3969" t="s">
        <v>1</v>
      </c>
      <c r="D3969" t="s">
        <v>3506</v>
      </c>
      <c r="E3969" t="s">
        <v>3507</v>
      </c>
      <c r="F3969" t="s">
        <v>179</v>
      </c>
      <c r="G3969">
        <v>37</v>
      </c>
      <c r="H3969">
        <v>6</v>
      </c>
      <c r="I3969">
        <v>17</v>
      </c>
      <c r="J3969">
        <v>60</v>
      </c>
      <c r="K3969" s="482">
        <v>0.61699999999999999</v>
      </c>
      <c r="L3969" s="482">
        <v>0.1</v>
      </c>
      <c r="M3969" s="482">
        <v>0.28299999999999997</v>
      </c>
    </row>
    <row r="3970" spans="1:13" x14ac:dyDescent="0.2">
      <c r="A3970" t="s">
        <v>5293</v>
      </c>
      <c r="B3970" t="s">
        <v>15</v>
      </c>
      <c r="C3970" t="s">
        <v>1</v>
      </c>
      <c r="D3970" t="s">
        <v>3503</v>
      </c>
      <c r="E3970" t="s">
        <v>3504</v>
      </c>
      <c r="F3970" t="s">
        <v>179</v>
      </c>
      <c r="G3970">
        <v>12</v>
      </c>
      <c r="H3970">
        <v>4</v>
      </c>
      <c r="I3970">
        <v>6</v>
      </c>
      <c r="J3970">
        <v>22</v>
      </c>
      <c r="K3970" s="482">
        <v>0.54500000000000004</v>
      </c>
      <c r="L3970" s="482">
        <v>0.182</v>
      </c>
      <c r="M3970" s="482">
        <v>0.27300000000000002</v>
      </c>
    </row>
    <row r="3971" spans="1:13" x14ac:dyDescent="0.2">
      <c r="A3971" t="s">
        <v>5274</v>
      </c>
      <c r="B3971" t="s">
        <v>15</v>
      </c>
      <c r="C3971" t="s">
        <v>1</v>
      </c>
      <c r="D3971" t="s">
        <v>4425</v>
      </c>
      <c r="E3971" t="s">
        <v>4426</v>
      </c>
      <c r="F3971" t="s">
        <v>179</v>
      </c>
      <c r="G3971">
        <v>244</v>
      </c>
      <c r="H3971">
        <v>66</v>
      </c>
      <c r="I3971">
        <v>180</v>
      </c>
      <c r="J3971">
        <v>490</v>
      </c>
      <c r="K3971" s="482">
        <v>0.498</v>
      </c>
      <c r="L3971" s="482">
        <v>0.13500000000000001</v>
      </c>
      <c r="M3971" s="482">
        <v>0.36699999999999999</v>
      </c>
    </row>
    <row r="3972" spans="1:13" x14ac:dyDescent="0.2">
      <c r="A3972" t="s">
        <v>5291</v>
      </c>
      <c r="B3972" t="s">
        <v>15</v>
      </c>
      <c r="C3972" t="s">
        <v>1</v>
      </c>
      <c r="D3972" t="s">
        <v>3509</v>
      </c>
      <c r="E3972" t="s">
        <v>3510</v>
      </c>
      <c r="F3972" t="s">
        <v>179</v>
      </c>
      <c r="G3972">
        <v>37</v>
      </c>
      <c r="H3972">
        <v>8</v>
      </c>
      <c r="I3972">
        <v>33</v>
      </c>
      <c r="J3972">
        <v>78</v>
      </c>
      <c r="K3972" s="482">
        <v>0.47399999999999998</v>
      </c>
      <c r="L3972" s="482">
        <v>0.10299999999999999</v>
      </c>
      <c r="M3972" s="482">
        <v>0.42299999999999999</v>
      </c>
    </row>
    <row r="3973" spans="1:13" x14ac:dyDescent="0.2">
      <c r="A3973" t="s">
        <v>5217</v>
      </c>
      <c r="B3973" t="s">
        <v>15</v>
      </c>
      <c r="C3973" t="s">
        <v>1</v>
      </c>
      <c r="D3973" t="s">
        <v>3718</v>
      </c>
      <c r="E3973" t="s">
        <v>3719</v>
      </c>
      <c r="F3973" t="s">
        <v>179</v>
      </c>
      <c r="G3973">
        <v>344</v>
      </c>
      <c r="H3973">
        <v>75</v>
      </c>
      <c r="I3973">
        <v>151</v>
      </c>
      <c r="J3973">
        <v>570</v>
      </c>
      <c r="K3973" s="482">
        <v>0.60399999999999998</v>
      </c>
      <c r="L3973" s="482">
        <v>0.13200000000000001</v>
      </c>
      <c r="M3973" s="482">
        <v>0.26500000000000001</v>
      </c>
    </row>
    <row r="3974" spans="1:13" x14ac:dyDescent="0.2">
      <c r="A3974" t="s">
        <v>5218</v>
      </c>
      <c r="B3974" t="s">
        <v>15</v>
      </c>
      <c r="C3974" t="s">
        <v>1</v>
      </c>
      <c r="D3974" t="s">
        <v>3715</v>
      </c>
      <c r="E3974" t="s">
        <v>3716</v>
      </c>
      <c r="F3974" t="s">
        <v>179</v>
      </c>
      <c r="G3974">
        <v>179</v>
      </c>
      <c r="H3974">
        <v>39</v>
      </c>
      <c r="I3974">
        <v>98</v>
      </c>
      <c r="J3974">
        <v>316</v>
      </c>
      <c r="K3974" s="482">
        <v>0.56599999999999995</v>
      </c>
      <c r="L3974" s="482">
        <v>0.123</v>
      </c>
      <c r="M3974" s="482">
        <v>0.31</v>
      </c>
    </row>
    <row r="3975" spans="1:13" x14ac:dyDescent="0.2">
      <c r="A3975" t="s">
        <v>5197</v>
      </c>
      <c r="B3975" t="s">
        <v>15</v>
      </c>
      <c r="C3975" t="s">
        <v>1</v>
      </c>
      <c r="D3975" t="s">
        <v>3772</v>
      </c>
      <c r="E3975" t="s">
        <v>3773</v>
      </c>
      <c r="F3975" t="s">
        <v>179</v>
      </c>
      <c r="G3975">
        <v>137</v>
      </c>
      <c r="H3975">
        <v>21</v>
      </c>
      <c r="I3975">
        <v>63</v>
      </c>
      <c r="J3975">
        <v>221</v>
      </c>
      <c r="K3975" s="482">
        <v>0.62</v>
      </c>
      <c r="L3975" s="482">
        <v>9.5000000000000001E-2</v>
      </c>
      <c r="M3975" s="482">
        <v>0.28499999999999998</v>
      </c>
    </row>
    <row r="3976" spans="1:13" x14ac:dyDescent="0.2">
      <c r="A3976" t="s">
        <v>5198</v>
      </c>
      <c r="B3976" t="s">
        <v>15</v>
      </c>
      <c r="C3976" t="s">
        <v>1</v>
      </c>
      <c r="D3976" t="s">
        <v>3769</v>
      </c>
      <c r="E3976" t="s">
        <v>3770</v>
      </c>
      <c r="F3976" t="s">
        <v>179</v>
      </c>
      <c r="G3976">
        <v>50</v>
      </c>
      <c r="H3976">
        <v>19</v>
      </c>
      <c r="I3976">
        <v>43</v>
      </c>
      <c r="J3976">
        <v>112</v>
      </c>
      <c r="K3976" s="482">
        <v>0.44600000000000001</v>
      </c>
      <c r="L3976" s="482">
        <v>0.17</v>
      </c>
      <c r="M3976" s="482">
        <v>0.38400000000000001</v>
      </c>
    </row>
    <row r="3977" spans="1:13" x14ac:dyDescent="0.2">
      <c r="A3977" t="s">
        <v>5199</v>
      </c>
      <c r="B3977" t="s">
        <v>15</v>
      </c>
      <c r="C3977" t="s">
        <v>1</v>
      </c>
      <c r="D3977" t="s">
        <v>3766</v>
      </c>
      <c r="E3977" t="s">
        <v>3767</v>
      </c>
      <c r="F3977" t="s">
        <v>179</v>
      </c>
      <c r="G3977">
        <v>42</v>
      </c>
      <c r="H3977">
        <v>9</v>
      </c>
      <c r="I3977">
        <v>24</v>
      </c>
      <c r="J3977">
        <v>75</v>
      </c>
      <c r="K3977" s="482">
        <v>0.56000000000000005</v>
      </c>
      <c r="L3977" s="482">
        <v>0.12</v>
      </c>
      <c r="M3977" s="482">
        <v>0.32</v>
      </c>
    </row>
    <row r="3978" spans="1:13" x14ac:dyDescent="0.2">
      <c r="A3978" t="s">
        <v>5200</v>
      </c>
      <c r="B3978" t="s">
        <v>15</v>
      </c>
      <c r="C3978" t="s">
        <v>1</v>
      </c>
      <c r="D3978" t="s">
        <v>4506</v>
      </c>
      <c r="E3978" t="s">
        <v>4507</v>
      </c>
      <c r="F3978" t="s">
        <v>179</v>
      </c>
      <c r="G3978">
        <v>3</v>
      </c>
      <c r="H3978">
        <v>3</v>
      </c>
      <c r="I3978">
        <v>1</v>
      </c>
      <c r="J3978">
        <v>7</v>
      </c>
      <c r="K3978" s="482">
        <v>0.42899999999999999</v>
      </c>
      <c r="L3978" s="482">
        <v>0.42899999999999999</v>
      </c>
      <c r="M3978" s="482">
        <v>0.14299999999999999</v>
      </c>
    </row>
    <row r="3979" spans="1:13" x14ac:dyDescent="0.2">
      <c r="A3979" t="s">
        <v>5201</v>
      </c>
      <c r="B3979" t="s">
        <v>15</v>
      </c>
      <c r="C3979" t="s">
        <v>1</v>
      </c>
      <c r="D3979" t="s">
        <v>3763</v>
      </c>
      <c r="E3979" t="s">
        <v>3764</v>
      </c>
      <c r="F3979" t="s">
        <v>179</v>
      </c>
      <c r="G3979">
        <v>139</v>
      </c>
      <c r="H3979">
        <v>36</v>
      </c>
      <c r="I3979">
        <v>118</v>
      </c>
      <c r="J3979">
        <v>293</v>
      </c>
      <c r="K3979" s="482">
        <v>0.47399999999999998</v>
      </c>
      <c r="L3979" s="482">
        <v>0.123</v>
      </c>
      <c r="M3979" s="482">
        <v>0.40300000000000002</v>
      </c>
    </row>
    <row r="3980" spans="1:13" x14ac:dyDescent="0.2">
      <c r="A3980" t="s">
        <v>6619</v>
      </c>
      <c r="B3980" t="s">
        <v>15</v>
      </c>
      <c r="C3980" t="s">
        <v>1</v>
      </c>
      <c r="D3980" t="s">
        <v>3480</v>
      </c>
      <c r="E3980" t="s">
        <v>6584</v>
      </c>
      <c r="F3980" t="s">
        <v>179</v>
      </c>
      <c r="G3980">
        <v>126</v>
      </c>
      <c r="H3980">
        <v>27</v>
      </c>
      <c r="I3980">
        <v>65</v>
      </c>
      <c r="J3980">
        <v>218</v>
      </c>
      <c r="K3980" s="482">
        <v>0.57799999999999996</v>
      </c>
      <c r="L3980" s="482">
        <v>0.124</v>
      </c>
      <c r="M3980" s="482">
        <v>0.29799999999999999</v>
      </c>
    </row>
    <row r="3981" spans="1:13" x14ac:dyDescent="0.2">
      <c r="A3981" t="s">
        <v>5202</v>
      </c>
      <c r="B3981" t="s">
        <v>15</v>
      </c>
      <c r="C3981" t="s">
        <v>1</v>
      </c>
      <c r="D3981" t="s">
        <v>3760</v>
      </c>
      <c r="E3981" t="s">
        <v>3761</v>
      </c>
      <c r="F3981" t="s">
        <v>179</v>
      </c>
      <c r="G3981">
        <v>38</v>
      </c>
      <c r="H3981">
        <v>4</v>
      </c>
      <c r="I3981">
        <v>16</v>
      </c>
      <c r="J3981">
        <v>58</v>
      </c>
      <c r="K3981" s="482">
        <v>0.65500000000000003</v>
      </c>
      <c r="L3981" s="482">
        <v>6.9000000000000006E-2</v>
      </c>
      <c r="M3981" s="482">
        <v>0.27600000000000002</v>
      </c>
    </row>
    <row r="3982" spans="1:13" x14ac:dyDescent="0.2">
      <c r="A3982" t="s">
        <v>5203</v>
      </c>
      <c r="B3982" t="s">
        <v>15</v>
      </c>
      <c r="C3982" t="s">
        <v>1</v>
      </c>
      <c r="D3982" t="s">
        <v>3757</v>
      </c>
      <c r="E3982" t="s">
        <v>3758</v>
      </c>
      <c r="F3982" t="s">
        <v>179</v>
      </c>
      <c r="G3982">
        <v>37</v>
      </c>
      <c r="H3982">
        <v>7</v>
      </c>
      <c r="I3982">
        <v>12</v>
      </c>
      <c r="J3982">
        <v>56</v>
      </c>
      <c r="K3982" s="482">
        <v>0.66100000000000003</v>
      </c>
      <c r="L3982" s="482">
        <v>0.125</v>
      </c>
      <c r="M3982" s="482">
        <v>0.214</v>
      </c>
    </row>
    <row r="3983" spans="1:13" x14ac:dyDescent="0.2">
      <c r="A3983" t="s">
        <v>5246</v>
      </c>
      <c r="B3983" t="s">
        <v>15</v>
      </c>
      <c r="C3983" t="s">
        <v>1</v>
      </c>
      <c r="D3983" t="s">
        <v>3638</v>
      </c>
      <c r="E3983" t="s">
        <v>3639</v>
      </c>
      <c r="F3983" t="s">
        <v>179</v>
      </c>
      <c r="G3983">
        <v>71</v>
      </c>
      <c r="H3983">
        <v>20</v>
      </c>
      <c r="I3983">
        <v>53</v>
      </c>
      <c r="J3983">
        <v>144</v>
      </c>
      <c r="K3983" s="482">
        <v>0.49299999999999999</v>
      </c>
      <c r="L3983" s="482">
        <v>0.13900000000000001</v>
      </c>
      <c r="M3983" s="482">
        <v>0.36799999999999999</v>
      </c>
    </row>
    <row r="3984" spans="1:13" x14ac:dyDescent="0.2">
      <c r="A3984" t="s">
        <v>5247</v>
      </c>
      <c r="B3984" t="s">
        <v>15</v>
      </c>
      <c r="C3984" t="s">
        <v>1</v>
      </c>
      <c r="D3984" t="s">
        <v>3635</v>
      </c>
      <c r="E3984" t="s">
        <v>3636</v>
      </c>
      <c r="F3984" t="s">
        <v>179</v>
      </c>
      <c r="G3984">
        <v>92</v>
      </c>
      <c r="H3984">
        <v>19</v>
      </c>
      <c r="I3984">
        <v>72</v>
      </c>
      <c r="J3984">
        <v>183</v>
      </c>
      <c r="K3984" s="482">
        <v>0.503</v>
      </c>
      <c r="L3984" s="482">
        <v>0.104</v>
      </c>
      <c r="M3984" s="482">
        <v>0.39300000000000002</v>
      </c>
    </row>
    <row r="3985" spans="1:13" x14ac:dyDescent="0.2">
      <c r="A3985" t="s">
        <v>5248</v>
      </c>
      <c r="B3985" t="s">
        <v>15</v>
      </c>
      <c r="C3985" t="s">
        <v>1</v>
      </c>
      <c r="D3985" t="s">
        <v>3633</v>
      </c>
      <c r="E3985" t="s">
        <v>342</v>
      </c>
      <c r="F3985" t="s">
        <v>179</v>
      </c>
      <c r="G3985">
        <v>83</v>
      </c>
      <c r="H3985">
        <v>24</v>
      </c>
      <c r="I3985">
        <v>61</v>
      </c>
      <c r="J3985">
        <v>168</v>
      </c>
      <c r="K3985" s="482">
        <v>0.49399999999999999</v>
      </c>
      <c r="L3985" s="482">
        <v>0.14299999999999999</v>
      </c>
      <c r="M3985" s="482">
        <v>0.36299999999999999</v>
      </c>
    </row>
    <row r="3986" spans="1:13" x14ac:dyDescent="0.2">
      <c r="A3986" t="s">
        <v>5249</v>
      </c>
      <c r="B3986" t="s">
        <v>15</v>
      </c>
      <c r="C3986" t="s">
        <v>1</v>
      </c>
      <c r="D3986" t="s">
        <v>3630</v>
      </c>
      <c r="E3986" t="s">
        <v>3631</v>
      </c>
      <c r="F3986" t="s">
        <v>179</v>
      </c>
      <c r="G3986">
        <v>72</v>
      </c>
      <c r="H3986">
        <v>14</v>
      </c>
      <c r="I3986">
        <v>41</v>
      </c>
      <c r="J3986">
        <v>127</v>
      </c>
      <c r="K3986" s="482">
        <v>0.56699999999999995</v>
      </c>
      <c r="L3986" s="482">
        <v>0.11</v>
      </c>
      <c r="M3986" s="482">
        <v>0.32300000000000001</v>
      </c>
    </row>
    <row r="3987" spans="1:13" x14ac:dyDescent="0.2">
      <c r="A3987" t="s">
        <v>5250</v>
      </c>
      <c r="B3987" t="s">
        <v>15</v>
      </c>
      <c r="C3987" t="s">
        <v>1</v>
      </c>
      <c r="D3987" t="s">
        <v>3627</v>
      </c>
      <c r="E3987" t="s">
        <v>3628</v>
      </c>
      <c r="F3987" t="s">
        <v>179</v>
      </c>
      <c r="G3987">
        <v>88</v>
      </c>
      <c r="H3987">
        <v>30</v>
      </c>
      <c r="I3987">
        <v>42</v>
      </c>
      <c r="J3987">
        <v>160</v>
      </c>
      <c r="K3987" s="482">
        <v>0.55000000000000004</v>
      </c>
      <c r="L3987" s="482">
        <v>0.188</v>
      </c>
      <c r="M3987" s="482">
        <v>0.26300000000000001</v>
      </c>
    </row>
    <row r="3988" spans="1:13" x14ac:dyDescent="0.2">
      <c r="A3988" t="s">
        <v>5251</v>
      </c>
      <c r="B3988" t="s">
        <v>15</v>
      </c>
      <c r="C3988" t="s">
        <v>1</v>
      </c>
      <c r="D3988" t="s">
        <v>3528</v>
      </c>
      <c r="E3988" t="s">
        <v>3529</v>
      </c>
      <c r="F3988" t="s">
        <v>179</v>
      </c>
      <c r="G3988">
        <v>109</v>
      </c>
      <c r="H3988">
        <v>14</v>
      </c>
      <c r="I3988">
        <v>54</v>
      </c>
      <c r="J3988">
        <v>177</v>
      </c>
      <c r="K3988" s="482">
        <v>0.61599999999999999</v>
      </c>
      <c r="L3988" s="482">
        <v>7.9000000000000001E-2</v>
      </c>
      <c r="M3988" s="482">
        <v>0.30499999999999999</v>
      </c>
    </row>
    <row r="3989" spans="1:13" x14ac:dyDescent="0.2">
      <c r="A3989" t="s">
        <v>6620</v>
      </c>
      <c r="B3989" t="s">
        <v>15</v>
      </c>
      <c r="C3989" t="s">
        <v>1</v>
      </c>
      <c r="D3989" t="s">
        <v>6515</v>
      </c>
      <c r="E3989" t="s">
        <v>6516</v>
      </c>
      <c r="F3989" t="s">
        <v>179</v>
      </c>
      <c r="G3989" t="s">
        <v>53</v>
      </c>
      <c r="H3989">
        <v>0</v>
      </c>
      <c r="I3989" t="s">
        <v>53</v>
      </c>
      <c r="J3989" t="s">
        <v>53</v>
      </c>
      <c r="K3989" t="s">
        <v>53</v>
      </c>
      <c r="L3989" t="s">
        <v>53</v>
      </c>
      <c r="M3989" t="s">
        <v>53</v>
      </c>
    </row>
    <row r="3990" spans="1:13" x14ac:dyDescent="0.2">
      <c r="A3990" t="s">
        <v>5286</v>
      </c>
      <c r="B3990" t="s">
        <v>15</v>
      </c>
      <c r="C3990" t="s">
        <v>1</v>
      </c>
      <c r="D3990" t="s">
        <v>3522</v>
      </c>
      <c r="E3990" t="s">
        <v>3523</v>
      </c>
      <c r="F3990" t="s">
        <v>179</v>
      </c>
      <c r="G3990">
        <v>49</v>
      </c>
      <c r="H3990">
        <v>13</v>
      </c>
      <c r="I3990">
        <v>32</v>
      </c>
      <c r="J3990">
        <v>94</v>
      </c>
      <c r="K3990" s="482">
        <v>0.52100000000000002</v>
      </c>
      <c r="L3990" s="482">
        <v>0.13800000000000001</v>
      </c>
      <c r="M3990" s="482">
        <v>0.34</v>
      </c>
    </row>
    <row r="3991" spans="1:13" x14ac:dyDescent="0.2">
      <c r="A3991" t="s">
        <v>5152</v>
      </c>
      <c r="B3991" t="s">
        <v>15</v>
      </c>
      <c r="C3991" t="s">
        <v>1</v>
      </c>
      <c r="D3991" t="s">
        <v>3930</v>
      </c>
      <c r="E3991" t="s">
        <v>344</v>
      </c>
      <c r="F3991" t="s">
        <v>179</v>
      </c>
      <c r="G3991">
        <v>123</v>
      </c>
      <c r="H3991">
        <v>43</v>
      </c>
      <c r="I3991">
        <v>84</v>
      </c>
      <c r="J3991">
        <v>250</v>
      </c>
      <c r="K3991" s="482">
        <v>0.49199999999999999</v>
      </c>
      <c r="L3991" s="482">
        <v>0.17199999999999999</v>
      </c>
      <c r="M3991" s="482">
        <v>0.33600000000000002</v>
      </c>
    </row>
    <row r="3992" spans="1:13" x14ac:dyDescent="0.2">
      <c r="A3992" t="s">
        <v>5271</v>
      </c>
      <c r="B3992" t="s">
        <v>15</v>
      </c>
      <c r="C3992" t="s">
        <v>1</v>
      </c>
      <c r="D3992" t="s">
        <v>3567</v>
      </c>
      <c r="E3992" t="s">
        <v>3568</v>
      </c>
      <c r="F3992" t="s">
        <v>179</v>
      </c>
      <c r="G3992">
        <v>122</v>
      </c>
      <c r="H3992">
        <v>39</v>
      </c>
      <c r="I3992">
        <v>69</v>
      </c>
      <c r="J3992">
        <v>230</v>
      </c>
      <c r="K3992" s="482">
        <v>0.53</v>
      </c>
      <c r="L3992" s="482">
        <v>0.17</v>
      </c>
      <c r="M3992" s="482">
        <v>0.3</v>
      </c>
    </row>
    <row r="3993" spans="1:13" x14ac:dyDescent="0.2">
      <c r="A3993" t="s">
        <v>5272</v>
      </c>
      <c r="B3993" t="s">
        <v>15</v>
      </c>
      <c r="C3993" t="s">
        <v>1</v>
      </c>
      <c r="D3993" t="s">
        <v>3924</v>
      </c>
      <c r="E3993" t="s">
        <v>3925</v>
      </c>
      <c r="F3993" t="s">
        <v>179</v>
      </c>
      <c r="G3993">
        <v>70</v>
      </c>
      <c r="H3993">
        <v>15</v>
      </c>
      <c r="I3993">
        <v>46</v>
      </c>
      <c r="J3993">
        <v>131</v>
      </c>
      <c r="K3993" s="482">
        <v>0.53400000000000003</v>
      </c>
      <c r="L3993" s="482">
        <v>0.115</v>
      </c>
      <c r="M3993" s="482">
        <v>0.35099999999999998</v>
      </c>
    </row>
    <row r="3994" spans="1:13" x14ac:dyDescent="0.2">
      <c r="A3994" t="s">
        <v>5154</v>
      </c>
      <c r="B3994" t="s">
        <v>15</v>
      </c>
      <c r="C3994" t="s">
        <v>1</v>
      </c>
      <c r="D3994" t="s">
        <v>3918</v>
      </c>
      <c r="E3994" t="s">
        <v>3919</v>
      </c>
      <c r="F3994" t="s">
        <v>179</v>
      </c>
      <c r="G3994">
        <v>64</v>
      </c>
      <c r="H3994">
        <v>14</v>
      </c>
      <c r="I3994">
        <v>28</v>
      </c>
      <c r="J3994">
        <v>106</v>
      </c>
      <c r="K3994" s="482">
        <v>0.60399999999999998</v>
      </c>
      <c r="L3994" s="482">
        <v>0.13200000000000001</v>
      </c>
      <c r="M3994" s="482">
        <v>0.26400000000000001</v>
      </c>
    </row>
    <row r="3995" spans="1:13" x14ac:dyDescent="0.2">
      <c r="A3995" t="s">
        <v>5155</v>
      </c>
      <c r="B3995" t="s">
        <v>15</v>
      </c>
      <c r="C3995" t="s">
        <v>1</v>
      </c>
      <c r="D3995" t="s">
        <v>3915</v>
      </c>
      <c r="E3995" t="s">
        <v>3916</v>
      </c>
      <c r="F3995" t="s">
        <v>179</v>
      </c>
      <c r="G3995">
        <v>95</v>
      </c>
      <c r="H3995">
        <v>23</v>
      </c>
      <c r="I3995">
        <v>49</v>
      </c>
      <c r="J3995">
        <v>167</v>
      </c>
      <c r="K3995" s="482">
        <v>0.56899999999999995</v>
      </c>
      <c r="L3995" s="482">
        <v>0.13800000000000001</v>
      </c>
      <c r="M3995" s="482">
        <v>0.29299999999999998</v>
      </c>
    </row>
    <row r="3996" spans="1:13" x14ac:dyDescent="0.2">
      <c r="A3996" t="s">
        <v>5156</v>
      </c>
      <c r="B3996" t="s">
        <v>15</v>
      </c>
      <c r="C3996" t="s">
        <v>1</v>
      </c>
      <c r="D3996" t="s">
        <v>3912</v>
      </c>
      <c r="E3996" t="s">
        <v>3913</v>
      </c>
      <c r="F3996" t="s">
        <v>179</v>
      </c>
      <c r="G3996">
        <v>45</v>
      </c>
      <c r="H3996">
        <v>13</v>
      </c>
      <c r="I3996">
        <v>32</v>
      </c>
      <c r="J3996">
        <v>90</v>
      </c>
      <c r="K3996" s="482">
        <v>0.5</v>
      </c>
      <c r="L3996" s="482">
        <v>0.14399999999999999</v>
      </c>
      <c r="M3996" s="482">
        <v>0.35599999999999998</v>
      </c>
    </row>
    <row r="3997" spans="1:13" x14ac:dyDescent="0.2">
      <c r="A3997" t="s">
        <v>5158</v>
      </c>
      <c r="B3997" t="s">
        <v>15</v>
      </c>
      <c r="C3997" t="s">
        <v>1</v>
      </c>
      <c r="D3997" t="s">
        <v>3909</v>
      </c>
      <c r="E3997" t="s">
        <v>3910</v>
      </c>
      <c r="F3997" t="s">
        <v>179</v>
      </c>
      <c r="G3997">
        <v>58</v>
      </c>
      <c r="H3997">
        <v>21</v>
      </c>
      <c r="I3997">
        <v>25</v>
      </c>
      <c r="J3997">
        <v>104</v>
      </c>
      <c r="K3997" s="482">
        <v>0.55800000000000005</v>
      </c>
      <c r="L3997" s="482">
        <v>0.20200000000000001</v>
      </c>
      <c r="M3997" s="482">
        <v>0.24</v>
      </c>
    </row>
    <row r="3998" spans="1:13" x14ac:dyDescent="0.2">
      <c r="A3998" t="s">
        <v>5207</v>
      </c>
      <c r="B3998" t="s">
        <v>15</v>
      </c>
      <c r="C3998" t="s">
        <v>1</v>
      </c>
      <c r="D3998" t="s">
        <v>3745</v>
      </c>
      <c r="E3998" t="s">
        <v>3746</v>
      </c>
      <c r="F3998" t="s">
        <v>179</v>
      </c>
      <c r="G3998">
        <v>145</v>
      </c>
      <c r="H3998">
        <v>35</v>
      </c>
      <c r="I3998">
        <v>71</v>
      </c>
      <c r="J3998">
        <v>251</v>
      </c>
      <c r="K3998" s="482">
        <v>0.57799999999999996</v>
      </c>
      <c r="L3998" s="482">
        <v>0.13900000000000001</v>
      </c>
      <c r="M3998" s="482">
        <v>0.28299999999999997</v>
      </c>
    </row>
    <row r="3999" spans="1:13" x14ac:dyDescent="0.2">
      <c r="A3999" t="s">
        <v>5219</v>
      </c>
      <c r="B3999" t="s">
        <v>15</v>
      </c>
      <c r="C3999" t="s">
        <v>1</v>
      </c>
      <c r="D3999" t="s">
        <v>3712</v>
      </c>
      <c r="E3999" t="s">
        <v>3713</v>
      </c>
      <c r="F3999" t="s">
        <v>179</v>
      </c>
      <c r="G3999">
        <v>116</v>
      </c>
      <c r="H3999">
        <v>23</v>
      </c>
      <c r="I3999">
        <v>57</v>
      </c>
      <c r="J3999">
        <v>196</v>
      </c>
      <c r="K3999" s="482">
        <v>0.59199999999999997</v>
      </c>
      <c r="L3999" s="482">
        <v>0.11700000000000001</v>
      </c>
      <c r="M3999" s="482">
        <v>0.29099999999999998</v>
      </c>
    </row>
    <row r="4000" spans="1:13" x14ac:dyDescent="0.2">
      <c r="A4000" t="s">
        <v>5220</v>
      </c>
      <c r="B4000" t="s">
        <v>15</v>
      </c>
      <c r="C4000" t="s">
        <v>1</v>
      </c>
      <c r="D4000" t="s">
        <v>3709</v>
      </c>
      <c r="E4000" t="s">
        <v>3710</v>
      </c>
      <c r="F4000" t="s">
        <v>179</v>
      </c>
      <c r="G4000">
        <v>32</v>
      </c>
      <c r="H4000">
        <v>7</v>
      </c>
      <c r="I4000">
        <v>16</v>
      </c>
      <c r="J4000">
        <v>55</v>
      </c>
      <c r="K4000" s="482">
        <v>0.58199999999999996</v>
      </c>
      <c r="L4000" s="482">
        <v>0.127</v>
      </c>
      <c r="M4000" s="482">
        <v>0.29099999999999998</v>
      </c>
    </row>
    <row r="4001" spans="1:13" x14ac:dyDescent="0.2">
      <c r="A4001" t="s">
        <v>5211</v>
      </c>
      <c r="B4001" t="s">
        <v>15</v>
      </c>
      <c r="C4001" t="s">
        <v>1</v>
      </c>
      <c r="D4001" t="s">
        <v>3736</v>
      </c>
      <c r="E4001" t="s">
        <v>3737</v>
      </c>
      <c r="F4001" t="s">
        <v>179</v>
      </c>
      <c r="G4001">
        <v>28</v>
      </c>
      <c r="H4001">
        <v>7</v>
      </c>
      <c r="I4001">
        <v>15</v>
      </c>
      <c r="J4001">
        <v>50</v>
      </c>
      <c r="K4001" s="482">
        <v>0.56000000000000005</v>
      </c>
      <c r="L4001" s="482">
        <v>0.14000000000000001</v>
      </c>
      <c r="M4001" s="482">
        <v>0.3</v>
      </c>
    </row>
    <row r="4002" spans="1:13" x14ac:dyDescent="0.2">
      <c r="A4002" t="s">
        <v>5212</v>
      </c>
      <c r="B4002" t="s">
        <v>15</v>
      </c>
      <c r="C4002" t="s">
        <v>1</v>
      </c>
      <c r="D4002" t="s">
        <v>3733</v>
      </c>
      <c r="E4002" t="s">
        <v>3734</v>
      </c>
      <c r="F4002" t="s">
        <v>179</v>
      </c>
      <c r="G4002">
        <v>134</v>
      </c>
      <c r="H4002">
        <v>18</v>
      </c>
      <c r="I4002">
        <v>78</v>
      </c>
      <c r="J4002">
        <v>230</v>
      </c>
      <c r="K4002" s="482">
        <v>0.58299999999999996</v>
      </c>
      <c r="L4002" s="482">
        <v>7.8E-2</v>
      </c>
      <c r="M4002" s="482">
        <v>0.33900000000000002</v>
      </c>
    </row>
    <row r="4003" spans="1:13" x14ac:dyDescent="0.2">
      <c r="A4003" t="s">
        <v>5213</v>
      </c>
      <c r="B4003" t="s">
        <v>15</v>
      </c>
      <c r="C4003" t="s">
        <v>1</v>
      </c>
      <c r="D4003" t="s">
        <v>3730</v>
      </c>
      <c r="E4003" t="s">
        <v>3731</v>
      </c>
      <c r="F4003" t="s">
        <v>179</v>
      </c>
      <c r="G4003">
        <v>147</v>
      </c>
      <c r="H4003">
        <v>33</v>
      </c>
      <c r="I4003">
        <v>65</v>
      </c>
      <c r="J4003">
        <v>245</v>
      </c>
      <c r="K4003" s="482">
        <v>0.6</v>
      </c>
      <c r="L4003" s="482">
        <v>0.13500000000000001</v>
      </c>
      <c r="M4003" s="482">
        <v>0.26500000000000001</v>
      </c>
    </row>
    <row r="4004" spans="1:13" x14ac:dyDescent="0.2">
      <c r="A4004" t="s">
        <v>5214</v>
      </c>
      <c r="B4004" t="s">
        <v>15</v>
      </c>
      <c r="C4004" t="s">
        <v>1</v>
      </c>
      <c r="D4004" t="s">
        <v>3727</v>
      </c>
      <c r="E4004" t="s">
        <v>3728</v>
      </c>
      <c r="F4004" t="s">
        <v>179</v>
      </c>
      <c r="G4004">
        <v>59</v>
      </c>
      <c r="H4004">
        <v>14</v>
      </c>
      <c r="I4004">
        <v>26</v>
      </c>
      <c r="J4004">
        <v>99</v>
      </c>
      <c r="K4004" s="482">
        <v>0.59599999999999997</v>
      </c>
      <c r="L4004" s="482">
        <v>0.14099999999999999</v>
      </c>
      <c r="M4004" s="482">
        <v>0.26300000000000001</v>
      </c>
    </row>
    <row r="4005" spans="1:13" x14ac:dyDescent="0.2">
      <c r="A4005" t="s">
        <v>5215</v>
      </c>
      <c r="B4005" t="s">
        <v>15</v>
      </c>
      <c r="C4005" t="s">
        <v>1</v>
      </c>
      <c r="D4005" t="s">
        <v>3724</v>
      </c>
      <c r="E4005" t="s">
        <v>3725</v>
      </c>
      <c r="F4005" t="s">
        <v>179</v>
      </c>
      <c r="G4005">
        <v>105</v>
      </c>
      <c r="H4005">
        <v>28</v>
      </c>
      <c r="I4005">
        <v>79</v>
      </c>
      <c r="J4005">
        <v>212</v>
      </c>
      <c r="K4005" s="482">
        <v>0.495</v>
      </c>
      <c r="L4005" s="482">
        <v>0.13200000000000001</v>
      </c>
      <c r="M4005" s="482">
        <v>0.373</v>
      </c>
    </row>
    <row r="4006" spans="1:13" x14ac:dyDescent="0.2">
      <c r="A4006" t="s">
        <v>5216</v>
      </c>
      <c r="B4006" t="s">
        <v>15</v>
      </c>
      <c r="C4006" t="s">
        <v>1</v>
      </c>
      <c r="D4006" t="s">
        <v>3721</v>
      </c>
      <c r="E4006" t="s">
        <v>3722</v>
      </c>
      <c r="F4006" t="s">
        <v>179</v>
      </c>
      <c r="G4006">
        <v>154</v>
      </c>
      <c r="H4006">
        <v>51</v>
      </c>
      <c r="I4006">
        <v>129</v>
      </c>
      <c r="J4006">
        <v>334</v>
      </c>
      <c r="K4006" s="482">
        <v>0.46100000000000002</v>
      </c>
      <c r="L4006" s="482">
        <v>0.153</v>
      </c>
      <c r="M4006" s="482">
        <v>0.38600000000000001</v>
      </c>
    </row>
    <row r="4007" spans="1:13" x14ac:dyDescent="0.2">
      <c r="A4007" t="s">
        <v>5284</v>
      </c>
      <c r="B4007" t="s">
        <v>15</v>
      </c>
      <c r="C4007" t="s">
        <v>1</v>
      </c>
      <c r="D4007" t="s">
        <v>3534</v>
      </c>
      <c r="E4007" t="s">
        <v>3535</v>
      </c>
      <c r="F4007" t="s">
        <v>179</v>
      </c>
      <c r="G4007">
        <v>26</v>
      </c>
      <c r="H4007">
        <v>9</v>
      </c>
      <c r="I4007">
        <v>20</v>
      </c>
      <c r="J4007">
        <v>55</v>
      </c>
      <c r="K4007" s="482">
        <v>0.47299999999999998</v>
      </c>
      <c r="L4007" s="482">
        <v>0.16400000000000001</v>
      </c>
      <c r="M4007" s="482">
        <v>0.36399999999999999</v>
      </c>
    </row>
    <row r="4008" spans="1:13" x14ac:dyDescent="0.2">
      <c r="A4008" t="s">
        <v>5285</v>
      </c>
      <c r="B4008" t="s">
        <v>15</v>
      </c>
      <c r="C4008" t="s">
        <v>1</v>
      </c>
      <c r="D4008" t="s">
        <v>3525</v>
      </c>
      <c r="E4008" t="s">
        <v>3526</v>
      </c>
      <c r="F4008" t="s">
        <v>179</v>
      </c>
      <c r="G4008">
        <v>51</v>
      </c>
      <c r="H4008">
        <v>16</v>
      </c>
      <c r="I4008">
        <v>30</v>
      </c>
      <c r="J4008">
        <v>97</v>
      </c>
      <c r="K4008" s="482">
        <v>0.52600000000000002</v>
      </c>
      <c r="L4008" s="482">
        <v>0.16500000000000001</v>
      </c>
      <c r="M4008" s="482">
        <v>0.309</v>
      </c>
    </row>
    <row r="4009" spans="1:13" x14ac:dyDescent="0.2">
      <c r="A4009" t="s">
        <v>5221</v>
      </c>
      <c r="B4009" t="s">
        <v>15</v>
      </c>
      <c r="C4009" t="s">
        <v>1</v>
      </c>
      <c r="D4009" t="s">
        <v>3706</v>
      </c>
      <c r="E4009" t="s">
        <v>3707</v>
      </c>
      <c r="F4009" t="s">
        <v>179</v>
      </c>
      <c r="G4009">
        <v>140</v>
      </c>
      <c r="H4009">
        <v>37</v>
      </c>
      <c r="I4009">
        <v>110</v>
      </c>
      <c r="J4009">
        <v>287</v>
      </c>
      <c r="K4009" s="482">
        <v>0.48799999999999999</v>
      </c>
      <c r="L4009" s="482">
        <v>0.129</v>
      </c>
      <c r="M4009" s="482">
        <v>0.38300000000000001</v>
      </c>
    </row>
    <row r="4010" spans="1:13" x14ac:dyDescent="0.2">
      <c r="A4010" t="s">
        <v>5183</v>
      </c>
      <c r="B4010" t="s">
        <v>15</v>
      </c>
      <c r="C4010" t="s">
        <v>1</v>
      </c>
      <c r="D4010" t="s">
        <v>3832</v>
      </c>
      <c r="E4010" t="s">
        <v>3833</v>
      </c>
      <c r="F4010" t="s">
        <v>179</v>
      </c>
      <c r="G4010">
        <v>71</v>
      </c>
      <c r="H4010">
        <v>22</v>
      </c>
      <c r="I4010">
        <v>35</v>
      </c>
      <c r="J4010">
        <v>128</v>
      </c>
      <c r="K4010" s="482">
        <v>0.55500000000000005</v>
      </c>
      <c r="L4010" s="482">
        <v>0.17199999999999999</v>
      </c>
      <c r="M4010" s="482">
        <v>0.27300000000000002</v>
      </c>
    </row>
    <row r="4011" spans="1:13" x14ac:dyDescent="0.2">
      <c r="A4011" t="s">
        <v>5402</v>
      </c>
      <c r="B4011" t="s">
        <v>15</v>
      </c>
      <c r="C4011" t="s">
        <v>1</v>
      </c>
      <c r="D4011" t="s">
        <v>3207</v>
      </c>
      <c r="E4011" t="s">
        <v>3208</v>
      </c>
      <c r="F4011" t="s">
        <v>179</v>
      </c>
      <c r="G4011">
        <v>24</v>
      </c>
      <c r="H4011">
        <v>7</v>
      </c>
      <c r="I4011">
        <v>16</v>
      </c>
      <c r="J4011">
        <v>47</v>
      </c>
      <c r="K4011" s="482">
        <v>0.51100000000000001</v>
      </c>
      <c r="L4011" s="482">
        <v>0.14899999999999999</v>
      </c>
      <c r="M4011" s="482">
        <v>0.34</v>
      </c>
    </row>
    <row r="4012" spans="1:13" x14ac:dyDescent="0.2">
      <c r="A4012" t="s">
        <v>5403</v>
      </c>
      <c r="B4012" t="s">
        <v>15</v>
      </c>
      <c r="C4012" t="s">
        <v>1</v>
      </c>
      <c r="D4012" t="s">
        <v>3204</v>
      </c>
      <c r="E4012" t="s">
        <v>3205</v>
      </c>
      <c r="F4012" t="s">
        <v>179</v>
      </c>
      <c r="G4012">
        <v>46</v>
      </c>
      <c r="H4012">
        <v>14</v>
      </c>
      <c r="I4012">
        <v>18</v>
      </c>
      <c r="J4012">
        <v>78</v>
      </c>
      <c r="K4012" s="482">
        <v>0.59</v>
      </c>
      <c r="L4012" s="482">
        <v>0.17899999999999999</v>
      </c>
      <c r="M4012" s="482">
        <v>0.23100000000000001</v>
      </c>
    </row>
    <row r="4013" spans="1:13" x14ac:dyDescent="0.2">
      <c r="A4013" t="s">
        <v>5377</v>
      </c>
      <c r="B4013" t="s">
        <v>15</v>
      </c>
      <c r="C4013" t="s">
        <v>1</v>
      </c>
      <c r="D4013" t="s">
        <v>3273</v>
      </c>
      <c r="E4013" t="s">
        <v>3274</v>
      </c>
      <c r="F4013" t="s">
        <v>179</v>
      </c>
      <c r="G4013">
        <v>4</v>
      </c>
      <c r="H4013">
        <v>2</v>
      </c>
      <c r="I4013">
        <v>5</v>
      </c>
      <c r="J4013">
        <v>11</v>
      </c>
      <c r="K4013" s="482">
        <v>0.36399999999999999</v>
      </c>
      <c r="L4013" s="482">
        <v>0.182</v>
      </c>
      <c r="M4013" s="482">
        <v>0.45500000000000002</v>
      </c>
    </row>
    <row r="4014" spans="1:13" x14ac:dyDescent="0.2">
      <c r="A4014" t="s">
        <v>5378</v>
      </c>
      <c r="B4014" t="s">
        <v>15</v>
      </c>
      <c r="C4014" t="s">
        <v>1</v>
      </c>
      <c r="D4014" t="s">
        <v>3270</v>
      </c>
      <c r="E4014" t="s">
        <v>3271</v>
      </c>
      <c r="F4014" t="s">
        <v>179</v>
      </c>
      <c r="G4014">
        <v>91</v>
      </c>
      <c r="H4014">
        <v>18</v>
      </c>
      <c r="I4014">
        <v>46</v>
      </c>
      <c r="J4014">
        <v>155</v>
      </c>
      <c r="K4014" s="482">
        <v>0.58699999999999997</v>
      </c>
      <c r="L4014" s="482">
        <v>0.11600000000000001</v>
      </c>
      <c r="M4014" s="482">
        <v>0.29699999999999999</v>
      </c>
    </row>
    <row r="4015" spans="1:13" x14ac:dyDescent="0.2">
      <c r="A4015" t="s">
        <v>5379</v>
      </c>
      <c r="B4015" t="s">
        <v>15</v>
      </c>
      <c r="C4015" t="s">
        <v>1</v>
      </c>
      <c r="D4015" t="s">
        <v>3267</v>
      </c>
      <c r="E4015" t="s">
        <v>3268</v>
      </c>
      <c r="F4015" t="s">
        <v>179</v>
      </c>
      <c r="G4015">
        <v>49</v>
      </c>
      <c r="H4015">
        <v>14</v>
      </c>
      <c r="I4015">
        <v>56</v>
      </c>
      <c r="J4015">
        <v>119</v>
      </c>
      <c r="K4015" s="482">
        <v>0.41199999999999998</v>
      </c>
      <c r="L4015" s="482">
        <v>0.11799999999999999</v>
      </c>
      <c r="M4015" s="482">
        <v>0.47099999999999997</v>
      </c>
    </row>
    <row r="4016" spans="1:13" x14ac:dyDescent="0.2">
      <c r="A4016" t="s">
        <v>5235</v>
      </c>
      <c r="B4016" t="s">
        <v>15</v>
      </c>
      <c r="C4016" t="s">
        <v>1</v>
      </c>
      <c r="D4016" t="s">
        <v>3672</v>
      </c>
      <c r="E4016" t="s">
        <v>3673</v>
      </c>
      <c r="F4016" t="s">
        <v>179</v>
      </c>
      <c r="G4016">
        <v>69</v>
      </c>
      <c r="H4016">
        <v>17</v>
      </c>
      <c r="I4016">
        <v>46</v>
      </c>
      <c r="J4016">
        <v>132</v>
      </c>
      <c r="K4016" s="482">
        <v>0.52300000000000002</v>
      </c>
      <c r="L4016" s="482">
        <v>0.129</v>
      </c>
      <c r="M4016" s="482">
        <v>0.34799999999999998</v>
      </c>
    </row>
    <row r="4017" spans="1:13" x14ac:dyDescent="0.2">
      <c r="A4017" t="s">
        <v>5236</v>
      </c>
      <c r="B4017" t="s">
        <v>15</v>
      </c>
      <c r="C4017" t="s">
        <v>1</v>
      </c>
      <c r="D4017" t="s">
        <v>3669</v>
      </c>
      <c r="E4017" t="s">
        <v>3670</v>
      </c>
      <c r="F4017" t="s">
        <v>179</v>
      </c>
      <c r="G4017">
        <v>152</v>
      </c>
      <c r="H4017">
        <v>31</v>
      </c>
      <c r="I4017">
        <v>84</v>
      </c>
      <c r="J4017">
        <v>267</v>
      </c>
      <c r="K4017" s="482">
        <v>0.56899999999999995</v>
      </c>
      <c r="L4017" s="482">
        <v>0.11600000000000001</v>
      </c>
      <c r="M4017" s="482">
        <v>0.315</v>
      </c>
    </row>
    <row r="4018" spans="1:13" x14ac:dyDescent="0.2">
      <c r="A4018" t="s">
        <v>5237</v>
      </c>
      <c r="B4018" t="s">
        <v>15</v>
      </c>
      <c r="C4018" t="s">
        <v>1</v>
      </c>
      <c r="D4018" t="s">
        <v>3666</v>
      </c>
      <c r="E4018" t="s">
        <v>3667</v>
      </c>
      <c r="F4018" t="s">
        <v>179</v>
      </c>
      <c r="G4018">
        <v>31</v>
      </c>
      <c r="H4018">
        <v>1</v>
      </c>
      <c r="I4018">
        <v>11</v>
      </c>
      <c r="J4018">
        <v>43</v>
      </c>
      <c r="K4018" s="482">
        <v>0.72099999999999997</v>
      </c>
      <c r="L4018" s="482">
        <v>2.3E-2</v>
      </c>
      <c r="M4018" s="482">
        <v>0.25600000000000001</v>
      </c>
    </row>
    <row r="4019" spans="1:13" x14ac:dyDescent="0.2">
      <c r="A4019" t="s">
        <v>5238</v>
      </c>
      <c r="B4019" t="s">
        <v>15</v>
      </c>
      <c r="C4019" t="s">
        <v>1</v>
      </c>
      <c r="D4019" t="s">
        <v>3663</v>
      </c>
      <c r="E4019" t="s">
        <v>3664</v>
      </c>
      <c r="F4019" t="s">
        <v>179</v>
      </c>
      <c r="G4019">
        <v>50</v>
      </c>
      <c r="H4019">
        <v>13</v>
      </c>
      <c r="I4019">
        <v>33</v>
      </c>
      <c r="J4019">
        <v>96</v>
      </c>
      <c r="K4019" s="482">
        <v>0.52100000000000002</v>
      </c>
      <c r="L4019" s="482">
        <v>0.13500000000000001</v>
      </c>
      <c r="M4019" s="482">
        <v>0.34399999999999997</v>
      </c>
    </row>
    <row r="4020" spans="1:13" x14ac:dyDescent="0.2">
      <c r="A4020" t="s">
        <v>5239</v>
      </c>
      <c r="B4020" t="s">
        <v>15</v>
      </c>
      <c r="C4020" t="s">
        <v>1</v>
      </c>
      <c r="D4020" t="s">
        <v>3660</v>
      </c>
      <c r="E4020" t="s">
        <v>3661</v>
      </c>
      <c r="F4020" t="s">
        <v>179</v>
      </c>
      <c r="G4020">
        <v>33</v>
      </c>
      <c r="H4020">
        <v>9</v>
      </c>
      <c r="I4020">
        <v>21</v>
      </c>
      <c r="J4020">
        <v>63</v>
      </c>
      <c r="K4020" s="482">
        <v>0.52400000000000002</v>
      </c>
      <c r="L4020" s="482">
        <v>0.14299999999999999</v>
      </c>
      <c r="M4020" s="482">
        <v>0.33300000000000002</v>
      </c>
    </row>
    <row r="4021" spans="1:13" x14ac:dyDescent="0.2">
      <c r="A4021" t="s">
        <v>5243</v>
      </c>
      <c r="B4021" t="s">
        <v>15</v>
      </c>
      <c r="C4021" t="s">
        <v>1</v>
      </c>
      <c r="D4021" t="s">
        <v>3648</v>
      </c>
      <c r="E4021" t="s">
        <v>3649</v>
      </c>
      <c r="F4021" t="s">
        <v>179</v>
      </c>
      <c r="G4021">
        <v>71</v>
      </c>
      <c r="H4021">
        <v>20</v>
      </c>
      <c r="I4021">
        <v>32</v>
      </c>
      <c r="J4021">
        <v>123</v>
      </c>
      <c r="K4021" s="482">
        <v>0.57699999999999996</v>
      </c>
      <c r="L4021" s="482">
        <v>0.16300000000000001</v>
      </c>
      <c r="M4021" s="482">
        <v>0.26</v>
      </c>
    </row>
    <row r="4022" spans="1:13" x14ac:dyDescent="0.2">
      <c r="A4022" t="s">
        <v>5244</v>
      </c>
      <c r="B4022" t="s">
        <v>15</v>
      </c>
      <c r="C4022" t="s">
        <v>1</v>
      </c>
      <c r="D4022" t="s">
        <v>3645</v>
      </c>
      <c r="E4022" t="s">
        <v>3646</v>
      </c>
      <c r="F4022" t="s">
        <v>179</v>
      </c>
      <c r="G4022">
        <v>47</v>
      </c>
      <c r="H4022">
        <v>11</v>
      </c>
      <c r="I4022">
        <v>33</v>
      </c>
      <c r="J4022">
        <v>91</v>
      </c>
      <c r="K4022" s="482">
        <v>0.51600000000000001</v>
      </c>
      <c r="L4022" s="482">
        <v>0.121</v>
      </c>
      <c r="M4022" s="482">
        <v>0.36299999999999999</v>
      </c>
    </row>
    <row r="4023" spans="1:13" x14ac:dyDescent="0.2">
      <c r="A4023" t="s">
        <v>6621</v>
      </c>
      <c r="B4023" t="s">
        <v>15</v>
      </c>
      <c r="C4023" t="s">
        <v>1</v>
      </c>
      <c r="D4023" t="s">
        <v>3643</v>
      </c>
      <c r="E4023" t="s">
        <v>6580</v>
      </c>
      <c r="F4023" t="s">
        <v>179</v>
      </c>
      <c r="G4023">
        <v>99</v>
      </c>
      <c r="H4023">
        <v>18</v>
      </c>
      <c r="I4023">
        <v>39</v>
      </c>
      <c r="J4023">
        <v>156</v>
      </c>
      <c r="K4023" s="482">
        <v>0.63500000000000001</v>
      </c>
      <c r="L4023" s="482">
        <v>0.115</v>
      </c>
      <c r="M4023" s="482">
        <v>0.25</v>
      </c>
    </row>
    <row r="4024" spans="1:13" x14ac:dyDescent="0.2">
      <c r="A4024" t="s">
        <v>5245</v>
      </c>
      <c r="B4024" t="s">
        <v>15</v>
      </c>
      <c r="C4024" t="s">
        <v>1</v>
      </c>
      <c r="D4024" t="s">
        <v>3641</v>
      </c>
      <c r="E4024" t="s">
        <v>3642</v>
      </c>
      <c r="F4024" t="s">
        <v>179</v>
      </c>
      <c r="G4024">
        <v>153</v>
      </c>
      <c r="H4024">
        <v>25</v>
      </c>
      <c r="I4024">
        <v>85</v>
      </c>
      <c r="J4024">
        <v>263</v>
      </c>
      <c r="K4024" s="482">
        <v>0.58199999999999996</v>
      </c>
      <c r="L4024" s="482">
        <v>9.5000000000000001E-2</v>
      </c>
      <c r="M4024" s="482">
        <v>0.32300000000000001</v>
      </c>
    </row>
    <row r="4025" spans="1:13" x14ac:dyDescent="0.2">
      <c r="A4025" t="s">
        <v>5240</v>
      </c>
      <c r="B4025" t="s">
        <v>15</v>
      </c>
      <c r="C4025" t="s">
        <v>1</v>
      </c>
      <c r="D4025" t="s">
        <v>3657</v>
      </c>
      <c r="E4025" t="s">
        <v>3658</v>
      </c>
      <c r="F4025" t="s">
        <v>179</v>
      </c>
      <c r="G4025">
        <v>98</v>
      </c>
      <c r="H4025">
        <v>26</v>
      </c>
      <c r="I4025">
        <v>55</v>
      </c>
      <c r="J4025">
        <v>179</v>
      </c>
      <c r="K4025" s="482">
        <v>0.54700000000000004</v>
      </c>
      <c r="L4025" s="482">
        <v>0.14499999999999999</v>
      </c>
      <c r="M4025" s="482">
        <v>0.307</v>
      </c>
    </row>
    <row r="4026" spans="1:13" x14ac:dyDescent="0.2">
      <c r="A4026" t="s">
        <v>5241</v>
      </c>
      <c r="B4026" t="s">
        <v>15</v>
      </c>
      <c r="C4026" t="s">
        <v>1</v>
      </c>
      <c r="D4026" t="s">
        <v>3654</v>
      </c>
      <c r="E4026" t="s">
        <v>3655</v>
      </c>
      <c r="F4026" t="s">
        <v>179</v>
      </c>
      <c r="G4026">
        <v>49</v>
      </c>
      <c r="H4026">
        <v>20</v>
      </c>
      <c r="I4026">
        <v>26</v>
      </c>
      <c r="J4026">
        <v>95</v>
      </c>
      <c r="K4026" s="482">
        <v>0.51600000000000001</v>
      </c>
      <c r="L4026" s="482">
        <v>0.21099999999999999</v>
      </c>
      <c r="M4026" s="482">
        <v>0.27400000000000002</v>
      </c>
    </row>
    <row r="4027" spans="1:13" x14ac:dyDescent="0.2">
      <c r="A4027" t="s">
        <v>5242</v>
      </c>
      <c r="B4027" t="s">
        <v>15</v>
      </c>
      <c r="C4027" t="s">
        <v>1</v>
      </c>
      <c r="D4027" t="s">
        <v>3651</v>
      </c>
      <c r="E4027" t="s">
        <v>3652</v>
      </c>
      <c r="F4027" t="s">
        <v>179</v>
      </c>
      <c r="G4027">
        <v>132</v>
      </c>
      <c r="H4027">
        <v>24</v>
      </c>
      <c r="I4027">
        <v>62</v>
      </c>
      <c r="J4027">
        <v>218</v>
      </c>
      <c r="K4027" s="482">
        <v>0.60599999999999998</v>
      </c>
      <c r="L4027" s="482">
        <v>0.11</v>
      </c>
      <c r="M4027" s="482">
        <v>0.28399999999999997</v>
      </c>
    </row>
    <row r="4028" spans="1:13" x14ac:dyDescent="0.2">
      <c r="A4028" t="s">
        <v>5226</v>
      </c>
      <c r="B4028" t="s">
        <v>15</v>
      </c>
      <c r="C4028" t="s">
        <v>1</v>
      </c>
      <c r="D4028" t="s">
        <v>5227</v>
      </c>
      <c r="E4028" t="s">
        <v>5228</v>
      </c>
      <c r="F4028" t="s">
        <v>179</v>
      </c>
      <c r="G4028" t="s">
        <v>53</v>
      </c>
      <c r="H4028">
        <v>0</v>
      </c>
      <c r="I4028" t="s">
        <v>53</v>
      </c>
      <c r="J4028" t="s">
        <v>53</v>
      </c>
      <c r="K4028" t="s">
        <v>53</v>
      </c>
      <c r="L4028" t="s">
        <v>53</v>
      </c>
      <c r="M4028" t="s">
        <v>53</v>
      </c>
    </row>
    <row r="4029" spans="1:13" x14ac:dyDescent="0.2">
      <c r="A4029" t="s">
        <v>5393</v>
      </c>
      <c r="B4029" t="s">
        <v>15</v>
      </c>
      <c r="C4029" t="s">
        <v>1</v>
      </c>
      <c r="D4029" t="s">
        <v>4285</v>
      </c>
      <c r="E4029" t="s">
        <v>4286</v>
      </c>
      <c r="F4029" t="s">
        <v>179</v>
      </c>
      <c r="G4029">
        <v>116</v>
      </c>
      <c r="H4029">
        <v>40</v>
      </c>
      <c r="I4029">
        <v>79</v>
      </c>
      <c r="J4029">
        <v>235</v>
      </c>
      <c r="K4029" s="482">
        <v>0.49399999999999999</v>
      </c>
      <c r="L4029" s="482">
        <v>0.17</v>
      </c>
      <c r="M4029" s="482">
        <v>0.33600000000000002</v>
      </c>
    </row>
    <row r="4030" spans="1:13" x14ac:dyDescent="0.2">
      <c r="A4030" t="s">
        <v>5395</v>
      </c>
      <c r="B4030" t="s">
        <v>15</v>
      </c>
      <c r="C4030" t="s">
        <v>1</v>
      </c>
      <c r="D4030" t="s">
        <v>3222</v>
      </c>
      <c r="E4030" t="s">
        <v>3223</v>
      </c>
      <c r="F4030" t="s">
        <v>179</v>
      </c>
      <c r="G4030">
        <v>28</v>
      </c>
      <c r="H4030">
        <v>5</v>
      </c>
      <c r="I4030">
        <v>22</v>
      </c>
      <c r="J4030">
        <v>55</v>
      </c>
      <c r="K4030" s="482">
        <v>0.50900000000000001</v>
      </c>
      <c r="L4030" s="482">
        <v>9.0999999999999998E-2</v>
      </c>
      <c r="M4030" s="482">
        <v>0.4</v>
      </c>
    </row>
    <row r="4031" spans="1:13" x14ac:dyDescent="0.2">
      <c r="A4031" t="s">
        <v>5396</v>
      </c>
      <c r="B4031" t="s">
        <v>15</v>
      </c>
      <c r="C4031" t="s">
        <v>1</v>
      </c>
      <c r="D4031" t="s">
        <v>3219</v>
      </c>
      <c r="E4031" t="s">
        <v>3220</v>
      </c>
      <c r="F4031" t="s">
        <v>179</v>
      </c>
      <c r="G4031">
        <v>87</v>
      </c>
      <c r="H4031">
        <v>15</v>
      </c>
      <c r="I4031">
        <v>39</v>
      </c>
      <c r="J4031">
        <v>141</v>
      </c>
      <c r="K4031" s="482">
        <v>0.61699999999999999</v>
      </c>
      <c r="L4031" s="482">
        <v>0.106</v>
      </c>
      <c r="M4031" s="482">
        <v>0.27700000000000002</v>
      </c>
    </row>
    <row r="4032" spans="1:13" x14ac:dyDescent="0.2">
      <c r="A4032" t="s">
        <v>5399</v>
      </c>
      <c r="B4032" t="s">
        <v>15</v>
      </c>
      <c r="C4032" t="s">
        <v>1</v>
      </c>
      <c r="D4032" t="s">
        <v>3216</v>
      </c>
      <c r="E4032" t="s">
        <v>3217</v>
      </c>
      <c r="F4032" t="s">
        <v>179</v>
      </c>
      <c r="G4032">
        <v>89</v>
      </c>
      <c r="H4032">
        <v>24</v>
      </c>
      <c r="I4032">
        <v>59</v>
      </c>
      <c r="J4032">
        <v>172</v>
      </c>
      <c r="K4032" s="482">
        <v>0.51700000000000002</v>
      </c>
      <c r="L4032" s="482">
        <v>0.14000000000000001</v>
      </c>
      <c r="M4032" s="482">
        <v>0.34300000000000003</v>
      </c>
    </row>
    <row r="4033" spans="1:13" x14ac:dyDescent="0.2">
      <c r="A4033" t="s">
        <v>5397</v>
      </c>
      <c r="B4033" t="s">
        <v>15</v>
      </c>
      <c r="C4033" t="s">
        <v>1</v>
      </c>
      <c r="D4033" t="s">
        <v>4279</v>
      </c>
      <c r="E4033" t="s">
        <v>4280</v>
      </c>
      <c r="F4033" t="s">
        <v>179</v>
      </c>
      <c r="G4033">
        <v>0</v>
      </c>
      <c r="H4033">
        <v>0</v>
      </c>
      <c r="I4033" t="s">
        <v>53</v>
      </c>
      <c r="J4033" t="s">
        <v>53</v>
      </c>
      <c r="K4033" t="s">
        <v>53</v>
      </c>
      <c r="L4033" t="s">
        <v>53</v>
      </c>
      <c r="M4033" t="s">
        <v>53</v>
      </c>
    </row>
    <row r="4034" spans="1:13" x14ac:dyDescent="0.2">
      <c r="A4034" t="s">
        <v>5398</v>
      </c>
      <c r="B4034" t="s">
        <v>15</v>
      </c>
      <c r="C4034" t="s">
        <v>1</v>
      </c>
      <c r="D4034" t="s">
        <v>4276</v>
      </c>
      <c r="E4034" t="s">
        <v>4277</v>
      </c>
      <c r="F4034" t="s">
        <v>179</v>
      </c>
      <c r="G4034">
        <v>7</v>
      </c>
      <c r="H4034">
        <v>4</v>
      </c>
      <c r="I4034">
        <v>1</v>
      </c>
      <c r="J4034">
        <v>12</v>
      </c>
      <c r="K4034" s="482">
        <v>0.58299999999999996</v>
      </c>
      <c r="L4034" s="482">
        <v>0.33300000000000002</v>
      </c>
      <c r="M4034" s="482">
        <v>8.3000000000000004E-2</v>
      </c>
    </row>
    <row r="4035" spans="1:13" x14ac:dyDescent="0.2">
      <c r="A4035" t="s">
        <v>5375</v>
      </c>
      <c r="B4035" t="s">
        <v>15</v>
      </c>
      <c r="C4035" t="s">
        <v>1</v>
      </c>
      <c r="D4035" t="s">
        <v>3280</v>
      </c>
      <c r="E4035" t="s">
        <v>3281</v>
      </c>
      <c r="F4035" t="s">
        <v>179</v>
      </c>
      <c r="G4035">
        <v>111</v>
      </c>
      <c r="H4035">
        <v>31</v>
      </c>
      <c r="I4035">
        <v>63</v>
      </c>
      <c r="J4035">
        <v>205</v>
      </c>
      <c r="K4035" s="482">
        <v>0.54100000000000004</v>
      </c>
      <c r="L4035" s="482">
        <v>0.151</v>
      </c>
      <c r="M4035" s="482">
        <v>0.307</v>
      </c>
    </row>
    <row r="4036" spans="1:13" x14ac:dyDescent="0.2">
      <c r="A4036" t="s">
        <v>6622</v>
      </c>
      <c r="B4036" t="s">
        <v>15</v>
      </c>
      <c r="C4036" t="s">
        <v>1</v>
      </c>
      <c r="D4036" t="s">
        <v>3278</v>
      </c>
      <c r="E4036" t="s">
        <v>6578</v>
      </c>
      <c r="F4036" t="s">
        <v>179</v>
      </c>
      <c r="G4036">
        <v>266</v>
      </c>
      <c r="H4036">
        <v>58</v>
      </c>
      <c r="I4036">
        <v>133</v>
      </c>
      <c r="J4036">
        <v>457</v>
      </c>
      <c r="K4036" s="482">
        <v>0.58199999999999996</v>
      </c>
      <c r="L4036" s="482">
        <v>0.127</v>
      </c>
      <c r="M4036" s="482">
        <v>0.29099999999999998</v>
      </c>
    </row>
    <row r="4037" spans="1:13" x14ac:dyDescent="0.2">
      <c r="A4037" t="s">
        <v>5376</v>
      </c>
      <c r="B4037" t="s">
        <v>15</v>
      </c>
      <c r="C4037" t="s">
        <v>1</v>
      </c>
      <c r="D4037" t="s">
        <v>3276</v>
      </c>
      <c r="E4037" t="s">
        <v>3277</v>
      </c>
      <c r="F4037" t="s">
        <v>179</v>
      </c>
      <c r="G4037">
        <v>15</v>
      </c>
      <c r="H4037">
        <v>7</v>
      </c>
      <c r="I4037">
        <v>7</v>
      </c>
      <c r="J4037">
        <v>29</v>
      </c>
      <c r="K4037" s="482">
        <v>0.51700000000000002</v>
      </c>
      <c r="L4037" s="482">
        <v>0.24099999999999999</v>
      </c>
      <c r="M4037" s="482">
        <v>0.24099999999999999</v>
      </c>
    </row>
    <row r="4038" spans="1:13" x14ac:dyDescent="0.2">
      <c r="A4038" t="s">
        <v>5281</v>
      </c>
      <c r="B4038" t="s">
        <v>15</v>
      </c>
      <c r="C4038" t="s">
        <v>1</v>
      </c>
      <c r="D4038" t="s">
        <v>3543</v>
      </c>
      <c r="E4038" t="s">
        <v>3544</v>
      </c>
      <c r="F4038" t="s">
        <v>179</v>
      </c>
      <c r="G4038">
        <v>120</v>
      </c>
      <c r="H4038">
        <v>44</v>
      </c>
      <c r="I4038">
        <v>89</v>
      </c>
      <c r="J4038">
        <v>253</v>
      </c>
      <c r="K4038" s="482">
        <v>0.47399999999999998</v>
      </c>
      <c r="L4038" s="482">
        <v>0.17399999999999999</v>
      </c>
      <c r="M4038" s="482">
        <v>0.35199999999999998</v>
      </c>
    </row>
    <row r="4039" spans="1:13" x14ac:dyDescent="0.2">
      <c r="A4039" t="s">
        <v>6623</v>
      </c>
      <c r="B4039" t="s">
        <v>15</v>
      </c>
      <c r="C4039" t="s">
        <v>1</v>
      </c>
      <c r="D4039" t="s">
        <v>3689</v>
      </c>
      <c r="E4039" t="s">
        <v>6576</v>
      </c>
      <c r="F4039" t="s">
        <v>179</v>
      </c>
      <c r="G4039">
        <v>101</v>
      </c>
      <c r="H4039">
        <v>21</v>
      </c>
      <c r="I4039">
        <v>36</v>
      </c>
      <c r="J4039">
        <v>158</v>
      </c>
      <c r="K4039" s="482">
        <v>0.63900000000000001</v>
      </c>
      <c r="L4039" s="482">
        <v>0.13300000000000001</v>
      </c>
      <c r="M4039" s="482">
        <v>0.22800000000000001</v>
      </c>
    </row>
    <row r="4040" spans="1:13" x14ac:dyDescent="0.2">
      <c r="A4040" t="s">
        <v>5283</v>
      </c>
      <c r="B4040" t="s">
        <v>15</v>
      </c>
      <c r="C4040" t="s">
        <v>1</v>
      </c>
      <c r="D4040" t="s">
        <v>3537</v>
      </c>
      <c r="E4040" t="s">
        <v>3538</v>
      </c>
      <c r="F4040" t="s">
        <v>179</v>
      </c>
      <c r="G4040">
        <v>128</v>
      </c>
      <c r="H4040">
        <v>34</v>
      </c>
      <c r="I4040">
        <v>98</v>
      </c>
      <c r="J4040">
        <v>260</v>
      </c>
      <c r="K4040" s="482">
        <v>0.49199999999999999</v>
      </c>
      <c r="L4040" s="482">
        <v>0.13100000000000001</v>
      </c>
      <c r="M4040" s="482">
        <v>0.377</v>
      </c>
    </row>
    <row r="4041" spans="1:13" x14ac:dyDescent="0.2">
      <c r="A4041" t="s">
        <v>5282</v>
      </c>
      <c r="B4041" t="s">
        <v>15</v>
      </c>
      <c r="C4041" t="s">
        <v>1</v>
      </c>
      <c r="D4041" t="s">
        <v>3540</v>
      </c>
      <c r="E4041" t="s">
        <v>3541</v>
      </c>
      <c r="F4041" t="s">
        <v>179</v>
      </c>
      <c r="G4041">
        <v>110</v>
      </c>
      <c r="H4041">
        <v>17</v>
      </c>
      <c r="I4041">
        <v>31</v>
      </c>
      <c r="J4041">
        <v>158</v>
      </c>
      <c r="K4041" s="482">
        <v>0.69599999999999995</v>
      </c>
      <c r="L4041" s="482">
        <v>0.108</v>
      </c>
      <c r="M4041" s="482">
        <v>0.19600000000000001</v>
      </c>
    </row>
    <row r="4042" spans="1:13" x14ac:dyDescent="0.2">
      <c r="A4042" t="s">
        <v>5288</v>
      </c>
      <c r="B4042" t="s">
        <v>15</v>
      </c>
      <c r="C4042" t="s">
        <v>1</v>
      </c>
      <c r="D4042" t="s">
        <v>3517</v>
      </c>
      <c r="E4042" t="s">
        <v>3518</v>
      </c>
      <c r="F4042" t="s">
        <v>179</v>
      </c>
      <c r="G4042">
        <v>80</v>
      </c>
      <c r="H4042">
        <v>17</v>
      </c>
      <c r="I4042">
        <v>54</v>
      </c>
      <c r="J4042">
        <v>151</v>
      </c>
      <c r="K4042" s="482">
        <v>0.53</v>
      </c>
      <c r="L4042" s="482">
        <v>0.113</v>
      </c>
      <c r="M4042" s="482">
        <v>0.35799999999999998</v>
      </c>
    </row>
    <row r="4043" spans="1:13" x14ac:dyDescent="0.2">
      <c r="A4043" t="s">
        <v>5280</v>
      </c>
      <c r="B4043" t="s">
        <v>15</v>
      </c>
      <c r="C4043" t="s">
        <v>1</v>
      </c>
      <c r="D4043" t="s">
        <v>3546</v>
      </c>
      <c r="E4043" t="s">
        <v>3547</v>
      </c>
      <c r="F4043" t="s">
        <v>179</v>
      </c>
      <c r="G4043">
        <v>126</v>
      </c>
      <c r="H4043">
        <v>35</v>
      </c>
      <c r="I4043">
        <v>83</v>
      </c>
      <c r="J4043">
        <v>244</v>
      </c>
      <c r="K4043" s="482">
        <v>0.51600000000000001</v>
      </c>
      <c r="L4043" s="482">
        <v>0.14299999999999999</v>
      </c>
      <c r="M4043" s="482">
        <v>0.34</v>
      </c>
    </row>
    <row r="4044" spans="1:13" x14ac:dyDescent="0.2">
      <c r="A4044" t="s">
        <v>5276</v>
      </c>
      <c r="B4044" t="s">
        <v>15</v>
      </c>
      <c r="C4044" t="s">
        <v>1</v>
      </c>
      <c r="D4044" t="s">
        <v>3558</v>
      </c>
      <c r="E4044" t="s">
        <v>3559</v>
      </c>
      <c r="F4044" t="s">
        <v>179</v>
      </c>
      <c r="G4044">
        <v>72</v>
      </c>
      <c r="H4044">
        <v>23</v>
      </c>
      <c r="I4044">
        <v>49</v>
      </c>
      <c r="J4044">
        <v>144</v>
      </c>
      <c r="K4044" s="482">
        <v>0.5</v>
      </c>
      <c r="L4044" s="482">
        <v>0.16</v>
      </c>
      <c r="M4044" s="482">
        <v>0.34</v>
      </c>
    </row>
    <row r="4045" spans="1:13" x14ac:dyDescent="0.2">
      <c r="A4045" t="s">
        <v>5264</v>
      </c>
      <c r="B4045" t="s">
        <v>15</v>
      </c>
      <c r="C4045" t="s">
        <v>1</v>
      </c>
      <c r="D4045" t="s">
        <v>3588</v>
      </c>
      <c r="E4045" t="s">
        <v>3589</v>
      </c>
      <c r="F4045" t="s">
        <v>179</v>
      </c>
      <c r="G4045">
        <v>13</v>
      </c>
      <c r="H4045">
        <v>2</v>
      </c>
      <c r="I4045">
        <v>5</v>
      </c>
      <c r="J4045">
        <v>20</v>
      </c>
      <c r="K4045" s="482">
        <v>0.65</v>
      </c>
      <c r="L4045" s="482">
        <v>0.1</v>
      </c>
      <c r="M4045" s="482">
        <v>0.25</v>
      </c>
    </row>
    <row r="4046" spans="1:13" x14ac:dyDescent="0.2">
      <c r="A4046" t="s">
        <v>5265</v>
      </c>
      <c r="B4046" t="s">
        <v>15</v>
      </c>
      <c r="C4046" t="s">
        <v>1</v>
      </c>
      <c r="D4046" t="s">
        <v>3585</v>
      </c>
      <c r="E4046" t="s">
        <v>3586</v>
      </c>
      <c r="F4046" t="s">
        <v>179</v>
      </c>
      <c r="G4046">
        <v>25</v>
      </c>
      <c r="H4046">
        <v>6</v>
      </c>
      <c r="I4046">
        <v>9</v>
      </c>
      <c r="J4046">
        <v>40</v>
      </c>
      <c r="K4046" s="482">
        <v>0.625</v>
      </c>
      <c r="L4046" s="482">
        <v>0.15</v>
      </c>
      <c r="M4046" s="482">
        <v>0.22500000000000001</v>
      </c>
    </row>
    <row r="4047" spans="1:13" x14ac:dyDescent="0.2">
      <c r="A4047" t="s">
        <v>5266</v>
      </c>
      <c r="B4047" t="s">
        <v>15</v>
      </c>
      <c r="C4047" t="s">
        <v>1</v>
      </c>
      <c r="D4047" t="s">
        <v>3582</v>
      </c>
      <c r="E4047" t="s">
        <v>3583</v>
      </c>
      <c r="F4047" t="s">
        <v>179</v>
      </c>
      <c r="G4047">
        <v>28</v>
      </c>
      <c r="H4047">
        <v>10</v>
      </c>
      <c r="I4047">
        <v>9</v>
      </c>
      <c r="J4047">
        <v>47</v>
      </c>
      <c r="K4047" s="482">
        <v>0.59599999999999997</v>
      </c>
      <c r="L4047" s="482">
        <v>0.21299999999999999</v>
      </c>
      <c r="M4047" s="482">
        <v>0.191</v>
      </c>
    </row>
    <row r="4048" spans="1:13" x14ac:dyDescent="0.2">
      <c r="A4048" t="s">
        <v>5267</v>
      </c>
      <c r="B4048" t="s">
        <v>15</v>
      </c>
      <c r="C4048" t="s">
        <v>1</v>
      </c>
      <c r="D4048" t="s">
        <v>3579</v>
      </c>
      <c r="E4048" t="s">
        <v>3580</v>
      </c>
      <c r="F4048" t="s">
        <v>179</v>
      </c>
      <c r="G4048">
        <v>43</v>
      </c>
      <c r="H4048">
        <v>10</v>
      </c>
      <c r="I4048">
        <v>19</v>
      </c>
      <c r="J4048">
        <v>72</v>
      </c>
      <c r="K4048" s="482">
        <v>0.59699999999999998</v>
      </c>
      <c r="L4048" s="482">
        <v>0.13900000000000001</v>
      </c>
      <c r="M4048" s="482">
        <v>0.26400000000000001</v>
      </c>
    </row>
    <row r="4049" spans="1:13" x14ac:dyDescent="0.2">
      <c r="A4049" t="s">
        <v>5268</v>
      </c>
      <c r="B4049" t="s">
        <v>15</v>
      </c>
      <c r="C4049" t="s">
        <v>1</v>
      </c>
      <c r="D4049" t="s">
        <v>3576</v>
      </c>
      <c r="E4049" t="s">
        <v>3577</v>
      </c>
      <c r="F4049" t="s">
        <v>179</v>
      </c>
      <c r="G4049">
        <v>13</v>
      </c>
      <c r="H4049">
        <v>6</v>
      </c>
      <c r="I4049">
        <v>9</v>
      </c>
      <c r="J4049">
        <v>28</v>
      </c>
      <c r="K4049" s="482">
        <v>0.46400000000000002</v>
      </c>
      <c r="L4049" s="482">
        <v>0.214</v>
      </c>
      <c r="M4049" s="482">
        <v>0.32100000000000001</v>
      </c>
    </row>
    <row r="4050" spans="1:13" x14ac:dyDescent="0.2">
      <c r="A4050" t="s">
        <v>5269</v>
      </c>
      <c r="B4050" t="s">
        <v>15</v>
      </c>
      <c r="C4050" t="s">
        <v>1</v>
      </c>
      <c r="D4050" t="s">
        <v>3573</v>
      </c>
      <c r="E4050" t="s">
        <v>3574</v>
      </c>
      <c r="F4050" t="s">
        <v>179</v>
      </c>
      <c r="G4050">
        <v>9</v>
      </c>
      <c r="H4050">
        <v>7</v>
      </c>
      <c r="I4050">
        <v>12</v>
      </c>
      <c r="J4050">
        <v>28</v>
      </c>
      <c r="K4050" s="482">
        <v>0.32100000000000001</v>
      </c>
      <c r="L4050" s="482">
        <v>0.25</v>
      </c>
      <c r="M4050" s="482">
        <v>0.42899999999999999</v>
      </c>
    </row>
    <row r="4051" spans="1:13" x14ac:dyDescent="0.2">
      <c r="A4051" t="s">
        <v>5270</v>
      </c>
      <c r="B4051" t="s">
        <v>15</v>
      </c>
      <c r="C4051" t="s">
        <v>1</v>
      </c>
      <c r="D4051" t="s">
        <v>3570</v>
      </c>
      <c r="E4051" t="s">
        <v>3571</v>
      </c>
      <c r="F4051" t="s">
        <v>179</v>
      </c>
      <c r="G4051" t="s">
        <v>53</v>
      </c>
      <c r="H4051" t="s">
        <v>53</v>
      </c>
      <c r="I4051">
        <v>0</v>
      </c>
      <c r="J4051" t="s">
        <v>53</v>
      </c>
      <c r="K4051" t="s">
        <v>53</v>
      </c>
      <c r="L4051" t="s">
        <v>53</v>
      </c>
      <c r="M4051" t="s">
        <v>53</v>
      </c>
    </row>
    <row r="4052" spans="1:13" x14ac:dyDescent="0.2">
      <c r="A4052" t="s">
        <v>5254</v>
      </c>
      <c r="B4052" t="s">
        <v>15</v>
      </c>
      <c r="C4052" t="s">
        <v>1</v>
      </c>
      <c r="D4052" t="s">
        <v>3403</v>
      </c>
      <c r="E4052" t="s">
        <v>3404</v>
      </c>
      <c r="F4052" t="s">
        <v>179</v>
      </c>
      <c r="G4052">
        <v>63</v>
      </c>
      <c r="H4052">
        <v>15</v>
      </c>
      <c r="I4052">
        <v>50</v>
      </c>
      <c r="J4052">
        <v>128</v>
      </c>
      <c r="K4052" s="482">
        <v>0.49199999999999999</v>
      </c>
      <c r="L4052" s="482">
        <v>0.11700000000000001</v>
      </c>
      <c r="M4052" s="482">
        <v>0.39100000000000001</v>
      </c>
    </row>
    <row r="4053" spans="1:13" x14ac:dyDescent="0.2">
      <c r="A4053" t="s">
        <v>5190</v>
      </c>
      <c r="B4053" t="s">
        <v>15</v>
      </c>
      <c r="C4053" t="s">
        <v>1</v>
      </c>
      <c r="D4053" t="s">
        <v>4518</v>
      </c>
      <c r="E4053" t="s">
        <v>4519</v>
      </c>
      <c r="F4053" t="s">
        <v>179</v>
      </c>
      <c r="G4053">
        <v>150</v>
      </c>
      <c r="H4053">
        <v>36</v>
      </c>
      <c r="I4053">
        <v>73</v>
      </c>
      <c r="J4053">
        <v>259</v>
      </c>
      <c r="K4053" s="482">
        <v>0.57899999999999996</v>
      </c>
      <c r="L4053" s="482">
        <v>0.13900000000000001</v>
      </c>
      <c r="M4053" s="482">
        <v>0.28199999999999997</v>
      </c>
    </row>
    <row r="4054" spans="1:13" x14ac:dyDescent="0.2">
      <c r="A4054" t="s">
        <v>5191</v>
      </c>
      <c r="B4054" t="s">
        <v>15</v>
      </c>
      <c r="C4054" t="s">
        <v>1</v>
      </c>
      <c r="D4054" t="s">
        <v>3802</v>
      </c>
      <c r="E4054" t="s">
        <v>3803</v>
      </c>
      <c r="F4054" t="s">
        <v>179</v>
      </c>
      <c r="G4054">
        <v>91</v>
      </c>
      <c r="H4054">
        <v>22</v>
      </c>
      <c r="I4054">
        <v>62</v>
      </c>
      <c r="J4054">
        <v>175</v>
      </c>
      <c r="K4054" s="482">
        <v>0.52</v>
      </c>
      <c r="L4054" s="482">
        <v>0.126</v>
      </c>
      <c r="M4054" s="482">
        <v>0.35399999999999998</v>
      </c>
    </row>
    <row r="4055" spans="1:13" x14ac:dyDescent="0.2">
      <c r="A4055" t="s">
        <v>5192</v>
      </c>
      <c r="B4055" t="s">
        <v>15</v>
      </c>
      <c r="C4055" t="s">
        <v>1</v>
      </c>
      <c r="D4055" t="s">
        <v>3799</v>
      </c>
      <c r="E4055" t="s">
        <v>3800</v>
      </c>
      <c r="F4055" t="s">
        <v>179</v>
      </c>
      <c r="G4055">
        <v>81</v>
      </c>
      <c r="H4055">
        <v>16</v>
      </c>
      <c r="I4055">
        <v>59</v>
      </c>
      <c r="J4055">
        <v>156</v>
      </c>
      <c r="K4055" s="482">
        <v>0.51900000000000002</v>
      </c>
      <c r="L4055" s="482">
        <v>0.10299999999999999</v>
      </c>
      <c r="M4055" s="482">
        <v>0.378</v>
      </c>
    </row>
    <row r="4056" spans="1:13" x14ac:dyDescent="0.2">
      <c r="A4056" t="s">
        <v>5409</v>
      </c>
      <c r="B4056" t="s">
        <v>15</v>
      </c>
      <c r="C4056" t="s">
        <v>1</v>
      </c>
      <c r="D4056" t="s">
        <v>3189</v>
      </c>
      <c r="E4056" t="s">
        <v>3190</v>
      </c>
      <c r="F4056" t="s">
        <v>179</v>
      </c>
      <c r="G4056">
        <v>33</v>
      </c>
      <c r="H4056">
        <v>13</v>
      </c>
      <c r="I4056">
        <v>35</v>
      </c>
      <c r="J4056">
        <v>81</v>
      </c>
      <c r="K4056" s="482">
        <v>0.40699999999999997</v>
      </c>
      <c r="L4056" s="482">
        <v>0.16</v>
      </c>
      <c r="M4056" s="482">
        <v>0.432</v>
      </c>
    </row>
    <row r="4057" spans="1:13" x14ac:dyDescent="0.2">
      <c r="A4057" t="s">
        <v>5410</v>
      </c>
      <c r="B4057" t="s">
        <v>15</v>
      </c>
      <c r="C4057" t="s">
        <v>1</v>
      </c>
      <c r="D4057" t="s">
        <v>3186</v>
      </c>
      <c r="E4057" t="s">
        <v>3187</v>
      </c>
      <c r="F4057" t="s">
        <v>179</v>
      </c>
      <c r="G4057" t="s">
        <v>53</v>
      </c>
      <c r="H4057">
        <v>0</v>
      </c>
      <c r="I4057" t="s">
        <v>53</v>
      </c>
      <c r="J4057" t="s">
        <v>53</v>
      </c>
      <c r="K4057" t="s">
        <v>53</v>
      </c>
      <c r="L4057" t="s">
        <v>53</v>
      </c>
      <c r="M4057" t="s">
        <v>53</v>
      </c>
    </row>
    <row r="4058" spans="1:13" x14ac:dyDescent="0.2">
      <c r="A4058" t="s">
        <v>5411</v>
      </c>
      <c r="B4058" t="s">
        <v>15</v>
      </c>
      <c r="C4058" t="s">
        <v>1</v>
      </c>
      <c r="D4058" t="s">
        <v>3183</v>
      </c>
      <c r="E4058" t="s">
        <v>3184</v>
      </c>
      <c r="F4058" t="s">
        <v>179</v>
      </c>
      <c r="G4058">
        <v>0</v>
      </c>
      <c r="H4058">
        <v>0</v>
      </c>
      <c r="I4058" t="s">
        <v>53</v>
      </c>
      <c r="J4058" t="s">
        <v>53</v>
      </c>
      <c r="K4058" t="s">
        <v>53</v>
      </c>
      <c r="L4058" t="s">
        <v>53</v>
      </c>
      <c r="M4058" t="s">
        <v>53</v>
      </c>
    </row>
    <row r="4059" spans="1:13" x14ac:dyDescent="0.2">
      <c r="A4059" t="s">
        <v>5412</v>
      </c>
      <c r="B4059" t="s">
        <v>15</v>
      </c>
      <c r="C4059" t="s">
        <v>1</v>
      </c>
      <c r="D4059" t="s">
        <v>3180</v>
      </c>
      <c r="E4059" t="s">
        <v>3181</v>
      </c>
      <c r="F4059" t="s">
        <v>179</v>
      </c>
      <c r="G4059">
        <v>35</v>
      </c>
      <c r="H4059">
        <v>7</v>
      </c>
      <c r="I4059">
        <v>12</v>
      </c>
      <c r="J4059">
        <v>54</v>
      </c>
      <c r="K4059" s="482">
        <v>0.64800000000000002</v>
      </c>
      <c r="L4059" s="482">
        <v>0.13</v>
      </c>
      <c r="M4059" s="482">
        <v>0.222</v>
      </c>
    </row>
    <row r="4060" spans="1:13" x14ac:dyDescent="0.2">
      <c r="A4060" t="s">
        <v>5413</v>
      </c>
      <c r="B4060" t="s">
        <v>15</v>
      </c>
      <c r="C4060" t="s">
        <v>1</v>
      </c>
      <c r="D4060" t="s">
        <v>3177</v>
      </c>
      <c r="E4060" t="s">
        <v>3178</v>
      </c>
      <c r="F4060" t="s">
        <v>179</v>
      </c>
      <c r="G4060">
        <v>8</v>
      </c>
      <c r="H4060">
        <v>6</v>
      </c>
      <c r="I4060">
        <v>4</v>
      </c>
      <c r="J4060">
        <v>18</v>
      </c>
      <c r="K4060" s="482">
        <v>0.44400000000000001</v>
      </c>
      <c r="L4060" s="482">
        <v>0.33300000000000002</v>
      </c>
      <c r="M4060" s="482">
        <v>0.222</v>
      </c>
    </row>
    <row r="4061" spans="1:13" x14ac:dyDescent="0.2">
      <c r="A4061" t="s">
        <v>5414</v>
      </c>
      <c r="B4061" t="s">
        <v>15</v>
      </c>
      <c r="C4061" t="s">
        <v>1</v>
      </c>
      <c r="D4061" t="s">
        <v>3174</v>
      </c>
      <c r="E4061" t="s">
        <v>3175</v>
      </c>
      <c r="F4061" t="s">
        <v>179</v>
      </c>
      <c r="G4061">
        <v>31</v>
      </c>
      <c r="H4061">
        <v>7</v>
      </c>
      <c r="I4061">
        <v>17</v>
      </c>
      <c r="J4061">
        <v>55</v>
      </c>
      <c r="K4061" s="482">
        <v>0.56399999999999995</v>
      </c>
      <c r="L4061" s="482">
        <v>0.127</v>
      </c>
      <c r="M4061" s="482">
        <v>0.309</v>
      </c>
    </row>
    <row r="4062" spans="1:13" x14ac:dyDescent="0.2">
      <c r="A4062" t="s">
        <v>5415</v>
      </c>
      <c r="B4062" t="s">
        <v>15</v>
      </c>
      <c r="C4062" t="s">
        <v>1</v>
      </c>
      <c r="D4062" t="s">
        <v>4254</v>
      </c>
      <c r="E4062" t="s">
        <v>4255</v>
      </c>
      <c r="F4062" t="s">
        <v>179</v>
      </c>
      <c r="G4062">
        <v>17</v>
      </c>
      <c r="H4062">
        <v>7</v>
      </c>
      <c r="I4062">
        <v>13</v>
      </c>
      <c r="J4062">
        <v>37</v>
      </c>
      <c r="K4062" s="482">
        <v>0.45900000000000002</v>
      </c>
      <c r="L4062" s="482">
        <v>0.189</v>
      </c>
      <c r="M4062" s="482">
        <v>0.35099999999999998</v>
      </c>
    </row>
    <row r="4063" spans="1:13" x14ac:dyDescent="0.2">
      <c r="A4063" t="s">
        <v>5416</v>
      </c>
      <c r="B4063" t="s">
        <v>15</v>
      </c>
      <c r="C4063" t="s">
        <v>1</v>
      </c>
      <c r="D4063" t="s">
        <v>4251</v>
      </c>
      <c r="E4063" t="s">
        <v>4252</v>
      </c>
      <c r="F4063" t="s">
        <v>179</v>
      </c>
      <c r="G4063">
        <v>101</v>
      </c>
      <c r="H4063">
        <v>27</v>
      </c>
      <c r="I4063">
        <v>60</v>
      </c>
      <c r="J4063">
        <v>188</v>
      </c>
      <c r="K4063" s="482">
        <v>0.53700000000000003</v>
      </c>
      <c r="L4063" s="482">
        <v>0.14399999999999999</v>
      </c>
      <c r="M4063" s="482">
        <v>0.31900000000000001</v>
      </c>
    </row>
    <row r="4064" spans="1:13" x14ac:dyDescent="0.2">
      <c r="A4064" t="s">
        <v>5417</v>
      </c>
      <c r="B4064" t="s">
        <v>15</v>
      </c>
      <c r="C4064" t="s">
        <v>1</v>
      </c>
      <c r="D4064" t="s">
        <v>3171</v>
      </c>
      <c r="E4064" t="s">
        <v>3172</v>
      </c>
      <c r="F4064" t="s">
        <v>179</v>
      </c>
      <c r="G4064">
        <v>37</v>
      </c>
      <c r="H4064">
        <v>4</v>
      </c>
      <c r="I4064">
        <v>16</v>
      </c>
      <c r="J4064">
        <v>57</v>
      </c>
      <c r="K4064" s="482">
        <v>0.64900000000000002</v>
      </c>
      <c r="L4064" s="482">
        <v>7.0000000000000007E-2</v>
      </c>
      <c r="M4064" s="482">
        <v>0.28100000000000003</v>
      </c>
    </row>
    <row r="4065" spans="1:13" x14ac:dyDescent="0.2">
      <c r="A4065" t="s">
        <v>5429</v>
      </c>
      <c r="B4065" t="s">
        <v>15</v>
      </c>
      <c r="C4065" t="s">
        <v>1</v>
      </c>
      <c r="D4065" t="s">
        <v>3127</v>
      </c>
      <c r="E4065" t="s">
        <v>3128</v>
      </c>
      <c r="F4065" t="s">
        <v>179</v>
      </c>
      <c r="G4065">
        <v>113</v>
      </c>
      <c r="H4065">
        <v>28</v>
      </c>
      <c r="I4065">
        <v>90</v>
      </c>
      <c r="J4065">
        <v>231</v>
      </c>
      <c r="K4065" s="482">
        <v>0.48899999999999999</v>
      </c>
      <c r="L4065" s="482">
        <v>0.121</v>
      </c>
      <c r="M4065" s="482">
        <v>0.39</v>
      </c>
    </row>
    <row r="4066" spans="1:13" x14ac:dyDescent="0.2">
      <c r="A4066" t="s">
        <v>5430</v>
      </c>
      <c r="B4066" t="s">
        <v>15</v>
      </c>
      <c r="C4066" t="s">
        <v>1</v>
      </c>
      <c r="D4066" t="s">
        <v>3124</v>
      </c>
      <c r="E4066" t="s">
        <v>3125</v>
      </c>
      <c r="F4066" t="s">
        <v>179</v>
      </c>
      <c r="G4066">
        <v>5</v>
      </c>
      <c r="H4066">
        <v>2</v>
      </c>
      <c r="I4066">
        <v>2</v>
      </c>
      <c r="J4066">
        <v>9</v>
      </c>
      <c r="K4066" s="482">
        <v>0.55600000000000005</v>
      </c>
      <c r="L4066" s="482">
        <v>0.222</v>
      </c>
      <c r="M4066" s="482">
        <v>0.222</v>
      </c>
    </row>
    <row r="4067" spans="1:13" x14ac:dyDescent="0.2">
      <c r="A4067" t="s">
        <v>5407</v>
      </c>
      <c r="B4067" t="s">
        <v>15</v>
      </c>
      <c r="C4067" t="s">
        <v>1</v>
      </c>
      <c r="D4067" t="s">
        <v>3195</v>
      </c>
      <c r="E4067" t="s">
        <v>3196</v>
      </c>
      <c r="F4067" t="s">
        <v>179</v>
      </c>
      <c r="G4067">
        <v>74</v>
      </c>
      <c r="H4067">
        <v>23</v>
      </c>
      <c r="I4067">
        <v>45</v>
      </c>
      <c r="J4067">
        <v>142</v>
      </c>
      <c r="K4067" s="482">
        <v>0.52100000000000002</v>
      </c>
      <c r="L4067" s="482">
        <v>0.16200000000000001</v>
      </c>
      <c r="M4067" s="482">
        <v>0.317</v>
      </c>
    </row>
    <row r="4068" spans="1:13" x14ac:dyDescent="0.2">
      <c r="A4068" t="s">
        <v>5408</v>
      </c>
      <c r="B4068" t="s">
        <v>15</v>
      </c>
      <c r="C4068" t="s">
        <v>1</v>
      </c>
      <c r="D4068" t="s">
        <v>3192</v>
      </c>
      <c r="E4068" t="s">
        <v>3193</v>
      </c>
      <c r="F4068" t="s">
        <v>179</v>
      </c>
      <c r="G4068">
        <v>81</v>
      </c>
      <c r="H4068">
        <v>21</v>
      </c>
      <c r="I4068">
        <v>53</v>
      </c>
      <c r="J4068">
        <v>155</v>
      </c>
      <c r="K4068" s="482">
        <v>0.52300000000000002</v>
      </c>
      <c r="L4068" s="482">
        <v>0.13500000000000001</v>
      </c>
      <c r="M4068" s="482">
        <v>0.34200000000000003</v>
      </c>
    </row>
    <row r="4069" spans="1:13" x14ac:dyDescent="0.2">
      <c r="A4069" t="s">
        <v>5426</v>
      </c>
      <c r="B4069" t="s">
        <v>15</v>
      </c>
      <c r="C4069" t="s">
        <v>1</v>
      </c>
      <c r="D4069" t="s">
        <v>3145</v>
      </c>
      <c r="E4069" t="s">
        <v>3146</v>
      </c>
      <c r="F4069" t="s">
        <v>179</v>
      </c>
      <c r="G4069">
        <v>69</v>
      </c>
      <c r="H4069">
        <v>16</v>
      </c>
      <c r="I4069">
        <v>32</v>
      </c>
      <c r="J4069">
        <v>117</v>
      </c>
      <c r="K4069" s="482">
        <v>0.59</v>
      </c>
      <c r="L4069" s="482">
        <v>0.13700000000000001</v>
      </c>
      <c r="M4069" s="482">
        <v>0.27400000000000002</v>
      </c>
    </row>
    <row r="4070" spans="1:13" x14ac:dyDescent="0.2">
      <c r="A4070" t="s">
        <v>5427</v>
      </c>
      <c r="B4070" t="s">
        <v>15</v>
      </c>
      <c r="C4070" t="s">
        <v>1</v>
      </c>
      <c r="D4070" t="s">
        <v>3142</v>
      </c>
      <c r="E4070" t="s">
        <v>3143</v>
      </c>
      <c r="F4070" t="s">
        <v>179</v>
      </c>
      <c r="G4070">
        <v>117</v>
      </c>
      <c r="H4070">
        <v>22</v>
      </c>
      <c r="I4070">
        <v>42</v>
      </c>
      <c r="J4070">
        <v>181</v>
      </c>
      <c r="K4070" s="482">
        <v>0.64600000000000002</v>
      </c>
      <c r="L4070" s="482">
        <v>0.122</v>
      </c>
      <c r="M4070" s="482">
        <v>0.23200000000000001</v>
      </c>
    </row>
    <row r="4071" spans="1:13" x14ac:dyDescent="0.2">
      <c r="A4071" t="s">
        <v>5428</v>
      </c>
      <c r="B4071" t="s">
        <v>15</v>
      </c>
      <c r="C4071" t="s">
        <v>1</v>
      </c>
      <c r="D4071" t="s">
        <v>3130</v>
      </c>
      <c r="E4071" t="s">
        <v>3131</v>
      </c>
      <c r="F4071" t="s">
        <v>179</v>
      </c>
      <c r="G4071">
        <v>24</v>
      </c>
      <c r="H4071">
        <v>9</v>
      </c>
      <c r="I4071">
        <v>10</v>
      </c>
      <c r="J4071">
        <v>43</v>
      </c>
      <c r="K4071" s="482">
        <v>0.55800000000000005</v>
      </c>
      <c r="L4071" s="482">
        <v>0.20899999999999999</v>
      </c>
      <c r="M4071" s="482">
        <v>0.23300000000000001</v>
      </c>
    </row>
    <row r="4072" spans="1:13" x14ac:dyDescent="0.2">
      <c r="A4072" t="s">
        <v>5418</v>
      </c>
      <c r="B4072" t="s">
        <v>15</v>
      </c>
      <c r="C4072" t="s">
        <v>1</v>
      </c>
      <c r="D4072" t="s">
        <v>3169</v>
      </c>
      <c r="E4072" t="s">
        <v>340</v>
      </c>
      <c r="F4072" t="s">
        <v>179</v>
      </c>
      <c r="G4072">
        <v>41</v>
      </c>
      <c r="H4072">
        <v>8</v>
      </c>
      <c r="I4072">
        <v>34</v>
      </c>
      <c r="J4072">
        <v>83</v>
      </c>
      <c r="K4072" s="482">
        <v>0.49399999999999999</v>
      </c>
      <c r="L4072" s="482">
        <v>9.6000000000000002E-2</v>
      </c>
      <c r="M4072" s="482">
        <v>0.41</v>
      </c>
    </row>
    <row r="4073" spans="1:13" x14ac:dyDescent="0.2">
      <c r="A4073" t="s">
        <v>5419</v>
      </c>
      <c r="B4073" t="s">
        <v>15</v>
      </c>
      <c r="C4073" t="s">
        <v>1</v>
      </c>
      <c r="D4073" t="s">
        <v>3166</v>
      </c>
      <c r="E4073" t="s">
        <v>3167</v>
      </c>
      <c r="F4073" t="s">
        <v>179</v>
      </c>
      <c r="G4073">
        <v>106</v>
      </c>
      <c r="H4073">
        <v>16</v>
      </c>
      <c r="I4073">
        <v>34</v>
      </c>
      <c r="J4073">
        <v>156</v>
      </c>
      <c r="K4073" s="482">
        <v>0.67900000000000005</v>
      </c>
      <c r="L4073" s="482">
        <v>0.10299999999999999</v>
      </c>
      <c r="M4073" s="482">
        <v>0.218</v>
      </c>
    </row>
    <row r="4074" spans="1:13" x14ac:dyDescent="0.2">
      <c r="A4074" t="s">
        <v>5420</v>
      </c>
      <c r="B4074" t="s">
        <v>15</v>
      </c>
      <c r="C4074" t="s">
        <v>1</v>
      </c>
      <c r="D4074" t="s">
        <v>3163</v>
      </c>
      <c r="E4074" t="s">
        <v>3164</v>
      </c>
      <c r="F4074" t="s">
        <v>179</v>
      </c>
      <c r="G4074">
        <v>43</v>
      </c>
      <c r="H4074">
        <v>14</v>
      </c>
      <c r="I4074">
        <v>29</v>
      </c>
      <c r="J4074">
        <v>86</v>
      </c>
      <c r="K4074" s="482">
        <v>0.5</v>
      </c>
      <c r="L4074" s="482">
        <v>0.16300000000000001</v>
      </c>
      <c r="M4074" s="482">
        <v>0.33700000000000002</v>
      </c>
    </row>
    <row r="4075" spans="1:13" x14ac:dyDescent="0.2">
      <c r="A4075" t="s">
        <v>5421</v>
      </c>
      <c r="B4075" t="s">
        <v>15</v>
      </c>
      <c r="C4075" t="s">
        <v>1</v>
      </c>
      <c r="D4075" t="s">
        <v>3160</v>
      </c>
      <c r="E4075" t="s">
        <v>3161</v>
      </c>
      <c r="F4075" t="s">
        <v>179</v>
      </c>
      <c r="G4075">
        <v>32</v>
      </c>
      <c r="H4075">
        <v>1</v>
      </c>
      <c r="I4075">
        <v>14</v>
      </c>
      <c r="J4075">
        <v>47</v>
      </c>
      <c r="K4075" s="482">
        <v>0.68100000000000005</v>
      </c>
      <c r="L4075" s="482">
        <v>2.1000000000000001E-2</v>
      </c>
      <c r="M4075" s="482">
        <v>0.29799999999999999</v>
      </c>
    </row>
    <row r="4076" spans="1:13" x14ac:dyDescent="0.2">
      <c r="A4076" t="s">
        <v>5422</v>
      </c>
      <c r="B4076" t="s">
        <v>15</v>
      </c>
      <c r="C4076" t="s">
        <v>1</v>
      </c>
      <c r="D4076" t="s">
        <v>3157</v>
      </c>
      <c r="E4076" t="s">
        <v>3158</v>
      </c>
      <c r="F4076" t="s">
        <v>179</v>
      </c>
      <c r="G4076">
        <v>69</v>
      </c>
      <c r="H4076">
        <v>15</v>
      </c>
      <c r="I4076">
        <v>42</v>
      </c>
      <c r="J4076">
        <v>126</v>
      </c>
      <c r="K4076" s="482">
        <v>0.54800000000000004</v>
      </c>
      <c r="L4076" s="482">
        <v>0.11899999999999999</v>
      </c>
      <c r="M4076" s="482">
        <v>0.33300000000000002</v>
      </c>
    </row>
    <row r="4077" spans="1:13" x14ac:dyDescent="0.2">
      <c r="A4077" t="s">
        <v>5423</v>
      </c>
      <c r="B4077" t="s">
        <v>15</v>
      </c>
      <c r="C4077" t="s">
        <v>1</v>
      </c>
      <c r="D4077" t="s">
        <v>3154</v>
      </c>
      <c r="E4077" t="s">
        <v>3155</v>
      </c>
      <c r="F4077" t="s">
        <v>179</v>
      </c>
      <c r="G4077">
        <v>23</v>
      </c>
      <c r="H4077">
        <v>7</v>
      </c>
      <c r="I4077">
        <v>15</v>
      </c>
      <c r="J4077">
        <v>45</v>
      </c>
      <c r="K4077" s="482">
        <v>0.51100000000000001</v>
      </c>
      <c r="L4077" s="482">
        <v>0.156</v>
      </c>
      <c r="M4077" s="482">
        <v>0.33300000000000002</v>
      </c>
    </row>
    <row r="4078" spans="1:13" x14ac:dyDescent="0.2">
      <c r="A4078" t="s">
        <v>5404</v>
      </c>
      <c r="B4078" t="s">
        <v>15</v>
      </c>
      <c r="C4078" t="s">
        <v>1</v>
      </c>
      <c r="D4078" t="s">
        <v>3927</v>
      </c>
      <c r="E4078" t="s">
        <v>3928</v>
      </c>
      <c r="F4078" t="s">
        <v>179</v>
      </c>
      <c r="G4078">
        <v>39</v>
      </c>
      <c r="H4078">
        <v>16</v>
      </c>
      <c r="I4078">
        <v>31</v>
      </c>
      <c r="J4078">
        <v>86</v>
      </c>
      <c r="K4078" s="482">
        <v>0.45300000000000001</v>
      </c>
      <c r="L4078" s="482">
        <v>0.186</v>
      </c>
      <c r="M4078" s="482">
        <v>0.36</v>
      </c>
    </row>
    <row r="4079" spans="1:13" x14ac:dyDescent="0.2">
      <c r="A4079" t="s">
        <v>5153</v>
      </c>
      <c r="B4079" t="s">
        <v>15</v>
      </c>
      <c r="C4079" t="s">
        <v>1</v>
      </c>
      <c r="D4079" t="s">
        <v>3921</v>
      </c>
      <c r="E4079" t="s">
        <v>3922</v>
      </c>
      <c r="F4079" t="s">
        <v>179</v>
      </c>
      <c r="G4079">
        <v>105</v>
      </c>
      <c r="H4079">
        <v>14</v>
      </c>
      <c r="I4079">
        <v>38</v>
      </c>
      <c r="J4079">
        <v>157</v>
      </c>
      <c r="K4079" s="482">
        <v>0.66900000000000004</v>
      </c>
      <c r="L4079" s="482">
        <v>8.8999999999999996E-2</v>
      </c>
      <c r="M4079" s="482">
        <v>0.24199999999999999</v>
      </c>
    </row>
    <row r="4080" spans="1:13" x14ac:dyDescent="0.2">
      <c r="A4080" t="s">
        <v>5260</v>
      </c>
      <c r="B4080" t="s">
        <v>15</v>
      </c>
      <c r="C4080" t="s">
        <v>1</v>
      </c>
      <c r="D4080" t="s">
        <v>3600</v>
      </c>
      <c r="E4080" t="s">
        <v>3601</v>
      </c>
      <c r="F4080" t="s">
        <v>179</v>
      </c>
      <c r="G4080">
        <v>55</v>
      </c>
      <c r="H4080">
        <v>26</v>
      </c>
      <c r="I4080">
        <v>27</v>
      </c>
      <c r="J4080">
        <v>108</v>
      </c>
      <c r="K4080" s="482">
        <v>0.50900000000000001</v>
      </c>
      <c r="L4080" s="482">
        <v>0.24099999999999999</v>
      </c>
      <c r="M4080" s="482">
        <v>0.25</v>
      </c>
    </row>
    <row r="4081" spans="1:13" x14ac:dyDescent="0.2">
      <c r="A4081" t="s">
        <v>5261</v>
      </c>
      <c r="B4081" t="s">
        <v>15</v>
      </c>
      <c r="C4081" t="s">
        <v>1</v>
      </c>
      <c r="D4081" t="s">
        <v>3597</v>
      </c>
      <c r="E4081" t="s">
        <v>3598</v>
      </c>
      <c r="F4081" t="s">
        <v>179</v>
      </c>
      <c r="G4081">
        <v>25</v>
      </c>
      <c r="H4081">
        <v>6</v>
      </c>
      <c r="I4081">
        <v>13</v>
      </c>
      <c r="J4081">
        <v>44</v>
      </c>
      <c r="K4081" s="482">
        <v>0.56799999999999995</v>
      </c>
      <c r="L4081" s="482">
        <v>0.13600000000000001</v>
      </c>
      <c r="M4081" s="482">
        <v>0.29499999999999998</v>
      </c>
    </row>
    <row r="4082" spans="1:13" x14ac:dyDescent="0.2">
      <c r="A4082" t="s">
        <v>5262</v>
      </c>
      <c r="B4082" t="s">
        <v>15</v>
      </c>
      <c r="C4082" t="s">
        <v>1</v>
      </c>
      <c r="D4082" t="s">
        <v>3594</v>
      </c>
      <c r="E4082" t="s">
        <v>3595</v>
      </c>
      <c r="F4082" t="s">
        <v>179</v>
      </c>
      <c r="G4082">
        <v>45</v>
      </c>
      <c r="H4082">
        <v>7</v>
      </c>
      <c r="I4082">
        <v>18</v>
      </c>
      <c r="J4082">
        <v>70</v>
      </c>
      <c r="K4082" s="482">
        <v>0.64300000000000002</v>
      </c>
      <c r="L4082" s="482">
        <v>0.1</v>
      </c>
      <c r="M4082" s="482">
        <v>0.25700000000000001</v>
      </c>
    </row>
    <row r="4083" spans="1:13" x14ac:dyDescent="0.2">
      <c r="A4083" t="s">
        <v>5263</v>
      </c>
      <c r="B4083" t="s">
        <v>15</v>
      </c>
      <c r="C4083" t="s">
        <v>1</v>
      </c>
      <c r="D4083" t="s">
        <v>3591</v>
      </c>
      <c r="E4083" t="s">
        <v>3592</v>
      </c>
      <c r="F4083" t="s">
        <v>179</v>
      </c>
      <c r="G4083">
        <v>7</v>
      </c>
      <c r="H4083">
        <v>1</v>
      </c>
      <c r="I4083">
        <v>1</v>
      </c>
      <c r="J4083">
        <v>9</v>
      </c>
      <c r="K4083" s="482">
        <v>0.77800000000000002</v>
      </c>
      <c r="L4083" s="482">
        <v>0.111</v>
      </c>
      <c r="M4083" s="482">
        <v>0.111</v>
      </c>
    </row>
    <row r="4084" spans="1:13" x14ac:dyDescent="0.2">
      <c r="A4084" t="s">
        <v>5151</v>
      </c>
      <c r="B4084" t="s">
        <v>15</v>
      </c>
      <c r="C4084" t="s">
        <v>1</v>
      </c>
      <c r="D4084" t="s">
        <v>3201</v>
      </c>
      <c r="E4084" t="s">
        <v>3202</v>
      </c>
      <c r="F4084" t="s">
        <v>179</v>
      </c>
      <c r="G4084">
        <v>57</v>
      </c>
      <c r="H4084">
        <v>10</v>
      </c>
      <c r="I4084">
        <v>30</v>
      </c>
      <c r="J4084">
        <v>97</v>
      </c>
      <c r="K4084" s="482">
        <v>0.58799999999999997</v>
      </c>
      <c r="L4084" s="482">
        <v>0.10299999999999999</v>
      </c>
      <c r="M4084" s="482">
        <v>0.309</v>
      </c>
    </row>
    <row r="4085" spans="1:13" x14ac:dyDescent="0.2">
      <c r="A4085" t="s">
        <v>5259</v>
      </c>
      <c r="B4085" t="s">
        <v>15</v>
      </c>
      <c r="C4085" t="s">
        <v>1</v>
      </c>
      <c r="D4085" t="s">
        <v>3603</v>
      </c>
      <c r="E4085" t="s">
        <v>3604</v>
      </c>
      <c r="F4085" t="s">
        <v>179</v>
      </c>
      <c r="G4085" t="s">
        <v>53</v>
      </c>
      <c r="H4085" t="s">
        <v>53</v>
      </c>
      <c r="I4085">
        <v>0</v>
      </c>
      <c r="J4085" t="s">
        <v>53</v>
      </c>
      <c r="K4085" t="s">
        <v>53</v>
      </c>
      <c r="L4085" t="s">
        <v>53</v>
      </c>
      <c r="M4085" t="s">
        <v>53</v>
      </c>
    </row>
    <row r="4086" spans="1:13" x14ac:dyDescent="0.2">
      <c r="A4086" t="s">
        <v>5258</v>
      </c>
      <c r="B4086" t="s">
        <v>15</v>
      </c>
      <c r="C4086" t="s">
        <v>1</v>
      </c>
      <c r="D4086" t="s">
        <v>3606</v>
      </c>
      <c r="E4086" t="s">
        <v>3607</v>
      </c>
      <c r="F4086" t="s">
        <v>179</v>
      </c>
      <c r="G4086" t="s">
        <v>53</v>
      </c>
      <c r="H4086">
        <v>0</v>
      </c>
      <c r="I4086">
        <v>0</v>
      </c>
      <c r="J4086" t="s">
        <v>53</v>
      </c>
      <c r="K4086" t="s">
        <v>53</v>
      </c>
      <c r="L4086" t="s">
        <v>53</v>
      </c>
      <c r="M4086" t="s">
        <v>53</v>
      </c>
    </row>
    <row r="4087" spans="1:13" x14ac:dyDescent="0.2">
      <c r="A4087" t="s">
        <v>5632</v>
      </c>
      <c r="B4087" t="s">
        <v>15</v>
      </c>
      <c r="C4087" t="s">
        <v>1</v>
      </c>
      <c r="D4087" t="s">
        <v>3606</v>
      </c>
      <c r="E4087" t="s">
        <v>3607</v>
      </c>
      <c r="F4087" t="s">
        <v>52</v>
      </c>
      <c r="G4087" t="s">
        <v>53</v>
      </c>
      <c r="H4087">
        <v>0</v>
      </c>
      <c r="I4087">
        <v>0</v>
      </c>
      <c r="J4087" t="s">
        <v>53</v>
      </c>
      <c r="K4087" t="s">
        <v>53</v>
      </c>
      <c r="L4087" t="s">
        <v>53</v>
      </c>
      <c r="M4087" t="s">
        <v>53</v>
      </c>
    </row>
    <row r="4088" spans="1:13" x14ac:dyDescent="0.2">
      <c r="A4088" t="s">
        <v>5631</v>
      </c>
      <c r="B4088" t="s">
        <v>15</v>
      </c>
      <c r="C4088" t="s">
        <v>1</v>
      </c>
      <c r="D4088" t="s">
        <v>3603</v>
      </c>
      <c r="E4088" t="s">
        <v>3604</v>
      </c>
      <c r="F4088" t="s">
        <v>52</v>
      </c>
      <c r="G4088">
        <v>7</v>
      </c>
      <c r="H4088">
        <v>0</v>
      </c>
      <c r="I4088">
        <v>0</v>
      </c>
      <c r="J4088">
        <v>7</v>
      </c>
      <c r="K4088" s="482">
        <v>1</v>
      </c>
      <c r="L4088" s="482">
        <v>0</v>
      </c>
      <c r="M4088" s="482">
        <v>0</v>
      </c>
    </row>
    <row r="4089" spans="1:13" x14ac:dyDescent="0.2">
      <c r="A4089" t="s">
        <v>5738</v>
      </c>
      <c r="B4089" t="s">
        <v>15</v>
      </c>
      <c r="C4089" t="s">
        <v>1</v>
      </c>
      <c r="D4089" t="s">
        <v>3201</v>
      </c>
      <c r="E4089" t="s">
        <v>3202</v>
      </c>
      <c r="F4089" t="s">
        <v>52</v>
      </c>
      <c r="G4089">
        <v>88</v>
      </c>
      <c r="H4089">
        <v>9</v>
      </c>
      <c r="I4089">
        <v>9</v>
      </c>
      <c r="J4089">
        <v>106</v>
      </c>
      <c r="K4089" s="482">
        <v>0.83</v>
      </c>
      <c r="L4089" s="482">
        <v>8.5000000000000006E-2</v>
      </c>
      <c r="M4089" s="482">
        <v>8.5000000000000006E-2</v>
      </c>
    </row>
    <row r="4090" spans="1:13" x14ac:dyDescent="0.2">
      <c r="A4090" t="s">
        <v>5627</v>
      </c>
      <c r="B4090" t="s">
        <v>15</v>
      </c>
      <c r="C4090" t="s">
        <v>1</v>
      </c>
      <c r="D4090" t="s">
        <v>3591</v>
      </c>
      <c r="E4090" t="s">
        <v>3592</v>
      </c>
      <c r="F4090" t="s">
        <v>52</v>
      </c>
      <c r="G4090">
        <v>10</v>
      </c>
      <c r="H4090">
        <v>0</v>
      </c>
      <c r="I4090">
        <v>0</v>
      </c>
      <c r="J4090">
        <v>10</v>
      </c>
      <c r="K4090" s="482">
        <v>1</v>
      </c>
      <c r="L4090" s="482">
        <v>0</v>
      </c>
      <c r="M4090" s="482">
        <v>0</v>
      </c>
    </row>
    <row r="4091" spans="1:13" x14ac:dyDescent="0.2">
      <c r="A4091" t="s">
        <v>5628</v>
      </c>
      <c r="B4091" t="s">
        <v>15</v>
      </c>
      <c r="C4091" t="s">
        <v>1</v>
      </c>
      <c r="D4091" t="s">
        <v>3594</v>
      </c>
      <c r="E4091" t="s">
        <v>3595</v>
      </c>
      <c r="F4091" t="s">
        <v>52</v>
      </c>
      <c r="G4091">
        <v>66</v>
      </c>
      <c r="H4091">
        <v>9</v>
      </c>
      <c r="I4091">
        <v>4</v>
      </c>
      <c r="J4091">
        <v>79</v>
      </c>
      <c r="K4091" s="482">
        <v>0.83499999999999996</v>
      </c>
      <c r="L4091" s="482">
        <v>0.114</v>
      </c>
      <c r="M4091" s="482">
        <v>5.0999999999999997E-2</v>
      </c>
    </row>
    <row r="4092" spans="1:13" x14ac:dyDescent="0.2">
      <c r="A4092" t="s">
        <v>5629</v>
      </c>
      <c r="B4092" t="s">
        <v>15</v>
      </c>
      <c r="C4092" t="s">
        <v>1</v>
      </c>
      <c r="D4092" t="s">
        <v>3597</v>
      </c>
      <c r="E4092" t="s">
        <v>3598</v>
      </c>
      <c r="F4092" t="s">
        <v>52</v>
      </c>
      <c r="G4092">
        <v>41</v>
      </c>
      <c r="H4092">
        <v>4</v>
      </c>
      <c r="I4092">
        <v>3</v>
      </c>
      <c r="J4092">
        <v>48</v>
      </c>
      <c r="K4092" s="482">
        <v>0.85399999999999998</v>
      </c>
      <c r="L4092" s="482">
        <v>8.3000000000000004E-2</v>
      </c>
      <c r="M4092" s="482">
        <v>6.3E-2</v>
      </c>
    </row>
    <row r="4093" spans="1:13" x14ac:dyDescent="0.2">
      <c r="A4093" t="s">
        <v>5630</v>
      </c>
      <c r="B4093" t="s">
        <v>15</v>
      </c>
      <c r="C4093" t="s">
        <v>1</v>
      </c>
      <c r="D4093" t="s">
        <v>3600</v>
      </c>
      <c r="E4093" t="s">
        <v>3601</v>
      </c>
      <c r="F4093" t="s">
        <v>52</v>
      </c>
      <c r="G4093">
        <v>95</v>
      </c>
      <c r="H4093">
        <v>9</v>
      </c>
      <c r="I4093">
        <v>10</v>
      </c>
      <c r="J4093">
        <v>114</v>
      </c>
      <c r="K4093" s="482">
        <v>0.83299999999999996</v>
      </c>
      <c r="L4093" s="482">
        <v>7.9000000000000001E-2</v>
      </c>
      <c r="M4093" s="482">
        <v>8.7999999999999995E-2</v>
      </c>
    </row>
    <row r="4094" spans="1:13" x14ac:dyDescent="0.2">
      <c r="A4094" t="s">
        <v>5736</v>
      </c>
      <c r="B4094" t="s">
        <v>15</v>
      </c>
      <c r="C4094" t="s">
        <v>1</v>
      </c>
      <c r="D4094" t="s">
        <v>3921</v>
      </c>
      <c r="E4094" t="s">
        <v>3922</v>
      </c>
      <c r="F4094" t="s">
        <v>52</v>
      </c>
      <c r="G4094">
        <v>122</v>
      </c>
      <c r="H4094">
        <v>13</v>
      </c>
      <c r="I4094">
        <v>16</v>
      </c>
      <c r="J4094">
        <v>151</v>
      </c>
      <c r="K4094" s="482">
        <v>0.80800000000000005</v>
      </c>
      <c r="L4094" s="482">
        <v>8.5999999999999993E-2</v>
      </c>
      <c r="M4094" s="482">
        <v>0.106</v>
      </c>
    </row>
    <row r="4095" spans="1:13" x14ac:dyDescent="0.2">
      <c r="A4095" t="s">
        <v>5487</v>
      </c>
      <c r="B4095" t="s">
        <v>15</v>
      </c>
      <c r="C4095" t="s">
        <v>1</v>
      </c>
      <c r="D4095" t="s">
        <v>3927</v>
      </c>
      <c r="E4095" t="s">
        <v>3928</v>
      </c>
      <c r="F4095" t="s">
        <v>52</v>
      </c>
      <c r="G4095">
        <v>104</v>
      </c>
      <c r="H4095">
        <v>12</v>
      </c>
      <c r="I4095">
        <v>8</v>
      </c>
      <c r="J4095">
        <v>124</v>
      </c>
      <c r="K4095" s="482">
        <v>0.83899999999999997</v>
      </c>
      <c r="L4095" s="482">
        <v>9.7000000000000003E-2</v>
      </c>
      <c r="M4095" s="482">
        <v>6.5000000000000002E-2</v>
      </c>
    </row>
    <row r="4096" spans="1:13" x14ac:dyDescent="0.2">
      <c r="A4096" t="s">
        <v>5468</v>
      </c>
      <c r="B4096" t="s">
        <v>15</v>
      </c>
      <c r="C4096" t="s">
        <v>1</v>
      </c>
      <c r="D4096" t="s">
        <v>3154</v>
      </c>
      <c r="E4096" t="s">
        <v>3155</v>
      </c>
      <c r="F4096" t="s">
        <v>52</v>
      </c>
      <c r="G4096">
        <v>41</v>
      </c>
      <c r="H4096">
        <v>7</v>
      </c>
      <c r="I4096">
        <v>2</v>
      </c>
      <c r="J4096">
        <v>50</v>
      </c>
      <c r="K4096" s="482">
        <v>0.82</v>
      </c>
      <c r="L4096" s="482">
        <v>0.14000000000000001</v>
      </c>
      <c r="M4096" s="482">
        <v>0.04</v>
      </c>
    </row>
    <row r="4097" spans="1:13" x14ac:dyDescent="0.2">
      <c r="A4097" t="s">
        <v>5469</v>
      </c>
      <c r="B4097" t="s">
        <v>15</v>
      </c>
      <c r="C4097" t="s">
        <v>1</v>
      </c>
      <c r="D4097" t="s">
        <v>3157</v>
      </c>
      <c r="E4097" t="s">
        <v>3158</v>
      </c>
      <c r="F4097" t="s">
        <v>52</v>
      </c>
      <c r="G4097">
        <v>99</v>
      </c>
      <c r="H4097">
        <v>15</v>
      </c>
      <c r="I4097">
        <v>13</v>
      </c>
      <c r="J4097">
        <v>127</v>
      </c>
      <c r="K4097" s="482">
        <v>0.78</v>
      </c>
      <c r="L4097" s="482">
        <v>0.11799999999999999</v>
      </c>
      <c r="M4097" s="482">
        <v>0.10199999999999999</v>
      </c>
    </row>
    <row r="4098" spans="1:13" x14ac:dyDescent="0.2">
      <c r="A4098" t="s">
        <v>5470</v>
      </c>
      <c r="B4098" t="s">
        <v>15</v>
      </c>
      <c r="C4098" t="s">
        <v>1</v>
      </c>
      <c r="D4098" t="s">
        <v>3160</v>
      </c>
      <c r="E4098" t="s">
        <v>3161</v>
      </c>
      <c r="F4098" t="s">
        <v>52</v>
      </c>
      <c r="G4098">
        <v>41</v>
      </c>
      <c r="H4098">
        <v>4</v>
      </c>
      <c r="I4098">
        <v>6</v>
      </c>
      <c r="J4098">
        <v>51</v>
      </c>
      <c r="K4098" s="482">
        <v>0.80400000000000005</v>
      </c>
      <c r="L4098" s="482">
        <v>7.8E-2</v>
      </c>
      <c r="M4098" s="482">
        <v>0.11799999999999999</v>
      </c>
    </row>
    <row r="4099" spans="1:13" x14ac:dyDescent="0.2">
      <c r="A4099" t="s">
        <v>5471</v>
      </c>
      <c r="B4099" t="s">
        <v>15</v>
      </c>
      <c r="C4099" t="s">
        <v>1</v>
      </c>
      <c r="D4099" t="s">
        <v>3163</v>
      </c>
      <c r="E4099" t="s">
        <v>3164</v>
      </c>
      <c r="F4099" t="s">
        <v>52</v>
      </c>
      <c r="G4099">
        <v>78</v>
      </c>
      <c r="H4099">
        <v>3</v>
      </c>
      <c r="I4099">
        <v>10</v>
      </c>
      <c r="J4099">
        <v>91</v>
      </c>
      <c r="K4099" s="482">
        <v>0.85699999999999998</v>
      </c>
      <c r="L4099" s="482">
        <v>3.3000000000000002E-2</v>
      </c>
      <c r="M4099" s="482">
        <v>0.11</v>
      </c>
    </row>
    <row r="4100" spans="1:13" x14ac:dyDescent="0.2">
      <c r="A4100" t="s">
        <v>5472</v>
      </c>
      <c r="B4100" t="s">
        <v>15</v>
      </c>
      <c r="C4100" t="s">
        <v>1</v>
      </c>
      <c r="D4100" t="s">
        <v>3166</v>
      </c>
      <c r="E4100" t="s">
        <v>3167</v>
      </c>
      <c r="F4100" t="s">
        <v>52</v>
      </c>
      <c r="G4100">
        <v>118</v>
      </c>
      <c r="H4100">
        <v>21</v>
      </c>
      <c r="I4100">
        <v>20</v>
      </c>
      <c r="J4100">
        <v>159</v>
      </c>
      <c r="K4100" s="482">
        <v>0.74199999999999999</v>
      </c>
      <c r="L4100" s="482">
        <v>0.13200000000000001</v>
      </c>
      <c r="M4100" s="482">
        <v>0.126</v>
      </c>
    </row>
    <row r="4101" spans="1:13" x14ac:dyDescent="0.2">
      <c r="A4101" t="s">
        <v>5473</v>
      </c>
      <c r="B4101" t="s">
        <v>15</v>
      </c>
      <c r="C4101" t="s">
        <v>1</v>
      </c>
      <c r="D4101" t="s">
        <v>3169</v>
      </c>
      <c r="E4101" t="s">
        <v>340</v>
      </c>
      <c r="F4101" t="s">
        <v>52</v>
      </c>
      <c r="G4101">
        <v>80</v>
      </c>
      <c r="H4101">
        <v>9</v>
      </c>
      <c r="I4101">
        <v>3</v>
      </c>
      <c r="J4101">
        <v>92</v>
      </c>
      <c r="K4101" s="482">
        <v>0.87</v>
      </c>
      <c r="L4101" s="482">
        <v>9.8000000000000004E-2</v>
      </c>
      <c r="M4101" s="482">
        <v>3.3000000000000002E-2</v>
      </c>
    </row>
    <row r="4102" spans="1:13" x14ac:dyDescent="0.2">
      <c r="A4102" t="s">
        <v>5463</v>
      </c>
      <c r="B4102" t="s">
        <v>15</v>
      </c>
      <c r="C4102" t="s">
        <v>1</v>
      </c>
      <c r="D4102" t="s">
        <v>3130</v>
      </c>
      <c r="E4102" t="s">
        <v>3131</v>
      </c>
      <c r="F4102" t="s">
        <v>52</v>
      </c>
      <c r="G4102">
        <v>39</v>
      </c>
      <c r="H4102">
        <v>6</v>
      </c>
      <c r="I4102">
        <v>5</v>
      </c>
      <c r="J4102">
        <v>50</v>
      </c>
      <c r="K4102" s="482">
        <v>0.78</v>
      </c>
      <c r="L4102" s="482">
        <v>0.12</v>
      </c>
      <c r="M4102" s="482">
        <v>0.1</v>
      </c>
    </row>
    <row r="4103" spans="1:13" x14ac:dyDescent="0.2">
      <c r="A4103" t="s">
        <v>5464</v>
      </c>
      <c r="B4103" t="s">
        <v>15</v>
      </c>
      <c r="C4103" t="s">
        <v>1</v>
      </c>
      <c r="D4103" t="s">
        <v>3142</v>
      </c>
      <c r="E4103" t="s">
        <v>3143</v>
      </c>
      <c r="F4103" t="s">
        <v>52</v>
      </c>
      <c r="G4103">
        <v>159</v>
      </c>
      <c r="H4103">
        <v>15</v>
      </c>
      <c r="I4103">
        <v>12</v>
      </c>
      <c r="J4103">
        <v>186</v>
      </c>
      <c r="K4103" s="482">
        <v>0.85499999999999998</v>
      </c>
      <c r="L4103" s="482">
        <v>8.1000000000000003E-2</v>
      </c>
      <c r="M4103" s="482">
        <v>6.5000000000000002E-2</v>
      </c>
    </row>
    <row r="4104" spans="1:13" x14ac:dyDescent="0.2">
      <c r="A4104" t="s">
        <v>5465</v>
      </c>
      <c r="B4104" t="s">
        <v>15</v>
      </c>
      <c r="C4104" t="s">
        <v>1</v>
      </c>
      <c r="D4104" t="s">
        <v>3145</v>
      </c>
      <c r="E4104" t="s">
        <v>3146</v>
      </c>
      <c r="F4104" t="s">
        <v>52</v>
      </c>
      <c r="G4104">
        <v>96</v>
      </c>
      <c r="H4104">
        <v>12</v>
      </c>
      <c r="I4104">
        <v>14</v>
      </c>
      <c r="J4104">
        <v>122</v>
      </c>
      <c r="K4104" s="482">
        <v>0.78700000000000003</v>
      </c>
      <c r="L4104" s="482">
        <v>9.8000000000000004E-2</v>
      </c>
      <c r="M4104" s="482">
        <v>0.115</v>
      </c>
    </row>
    <row r="4105" spans="1:13" x14ac:dyDescent="0.2">
      <c r="A4105" t="s">
        <v>5483</v>
      </c>
      <c r="B4105" t="s">
        <v>15</v>
      </c>
      <c r="C4105" t="s">
        <v>1</v>
      </c>
      <c r="D4105" t="s">
        <v>3192</v>
      </c>
      <c r="E4105" t="s">
        <v>3193</v>
      </c>
      <c r="F4105" t="s">
        <v>52</v>
      </c>
      <c r="G4105">
        <v>128</v>
      </c>
      <c r="H4105">
        <v>15</v>
      </c>
      <c r="I4105">
        <v>10</v>
      </c>
      <c r="J4105">
        <v>153</v>
      </c>
      <c r="K4105" s="482">
        <v>0.83699999999999997</v>
      </c>
      <c r="L4105" s="482">
        <v>9.8000000000000004E-2</v>
      </c>
      <c r="M4105" s="482">
        <v>6.5000000000000002E-2</v>
      </c>
    </row>
    <row r="4106" spans="1:13" x14ac:dyDescent="0.2">
      <c r="A4106" t="s">
        <v>5484</v>
      </c>
      <c r="B4106" t="s">
        <v>15</v>
      </c>
      <c r="C4106" t="s">
        <v>1</v>
      </c>
      <c r="D4106" t="s">
        <v>3195</v>
      </c>
      <c r="E4106" t="s">
        <v>3196</v>
      </c>
      <c r="F4106" t="s">
        <v>52</v>
      </c>
      <c r="G4106">
        <v>121</v>
      </c>
      <c r="H4106">
        <v>11</v>
      </c>
      <c r="I4106">
        <v>17</v>
      </c>
      <c r="J4106">
        <v>149</v>
      </c>
      <c r="K4106" s="482">
        <v>0.81200000000000006</v>
      </c>
      <c r="L4106" s="482">
        <v>7.3999999999999996E-2</v>
      </c>
      <c r="M4106" s="482">
        <v>0.114</v>
      </c>
    </row>
    <row r="4107" spans="1:13" x14ac:dyDescent="0.2">
      <c r="A4107" t="s">
        <v>5461</v>
      </c>
      <c r="B4107" t="s">
        <v>15</v>
      </c>
      <c r="C4107" t="s">
        <v>1</v>
      </c>
      <c r="D4107" t="s">
        <v>3124</v>
      </c>
      <c r="E4107" t="s">
        <v>3125</v>
      </c>
      <c r="F4107" t="s">
        <v>52</v>
      </c>
      <c r="G4107">
        <v>6</v>
      </c>
      <c r="H4107">
        <v>2</v>
      </c>
      <c r="I4107">
        <v>1</v>
      </c>
      <c r="J4107">
        <v>9</v>
      </c>
      <c r="K4107" s="482">
        <v>0.66700000000000004</v>
      </c>
      <c r="L4107" s="482">
        <v>0.222</v>
      </c>
      <c r="M4107" s="482">
        <v>0.111</v>
      </c>
    </row>
    <row r="4108" spans="1:13" x14ac:dyDescent="0.2">
      <c r="A4108" t="s">
        <v>5462</v>
      </c>
      <c r="B4108" t="s">
        <v>15</v>
      </c>
      <c r="C4108" t="s">
        <v>1</v>
      </c>
      <c r="D4108" t="s">
        <v>3127</v>
      </c>
      <c r="E4108" t="s">
        <v>3128</v>
      </c>
      <c r="F4108" t="s">
        <v>52</v>
      </c>
      <c r="G4108">
        <v>184</v>
      </c>
      <c r="H4108">
        <v>41</v>
      </c>
      <c r="I4108">
        <v>31</v>
      </c>
      <c r="J4108">
        <v>256</v>
      </c>
      <c r="K4108" s="482">
        <v>0.71899999999999997</v>
      </c>
      <c r="L4108" s="482">
        <v>0.16</v>
      </c>
      <c r="M4108" s="482">
        <v>0.121</v>
      </c>
    </row>
    <row r="4109" spans="1:13" x14ac:dyDescent="0.2">
      <c r="A4109" t="s">
        <v>5474</v>
      </c>
      <c r="B4109" t="s">
        <v>15</v>
      </c>
      <c r="C4109" t="s">
        <v>1</v>
      </c>
      <c r="D4109" t="s">
        <v>3171</v>
      </c>
      <c r="E4109" t="s">
        <v>3172</v>
      </c>
      <c r="F4109" t="s">
        <v>52</v>
      </c>
      <c r="G4109">
        <v>40</v>
      </c>
      <c r="H4109">
        <v>11</v>
      </c>
      <c r="I4109">
        <v>7</v>
      </c>
      <c r="J4109">
        <v>58</v>
      </c>
      <c r="K4109" s="482">
        <v>0.69</v>
      </c>
      <c r="L4109" s="482">
        <v>0.19</v>
      </c>
      <c r="M4109" s="482">
        <v>0.121</v>
      </c>
    </row>
    <row r="4110" spans="1:13" x14ac:dyDescent="0.2">
      <c r="A4110" t="s">
        <v>5475</v>
      </c>
      <c r="B4110" t="s">
        <v>15</v>
      </c>
      <c r="C4110" t="s">
        <v>1</v>
      </c>
      <c r="D4110" t="s">
        <v>4251</v>
      </c>
      <c r="E4110" t="s">
        <v>4252</v>
      </c>
      <c r="F4110" t="s">
        <v>52</v>
      </c>
      <c r="G4110">
        <v>167</v>
      </c>
      <c r="H4110">
        <v>23</v>
      </c>
      <c r="I4110">
        <v>17</v>
      </c>
      <c r="J4110">
        <v>207</v>
      </c>
      <c r="K4110" s="482">
        <v>0.80700000000000005</v>
      </c>
      <c r="L4110" s="482">
        <v>0.111</v>
      </c>
      <c r="M4110" s="482">
        <v>8.2000000000000003E-2</v>
      </c>
    </row>
    <row r="4111" spans="1:13" x14ac:dyDescent="0.2">
      <c r="A4111" t="s">
        <v>5476</v>
      </c>
      <c r="B4111" t="s">
        <v>15</v>
      </c>
      <c r="C4111" t="s">
        <v>1</v>
      </c>
      <c r="D4111" t="s">
        <v>4254</v>
      </c>
      <c r="E4111" t="s">
        <v>4255</v>
      </c>
      <c r="F4111" t="s">
        <v>52</v>
      </c>
      <c r="G4111">
        <v>21</v>
      </c>
      <c r="H4111">
        <v>6</v>
      </c>
      <c r="I4111">
        <v>6</v>
      </c>
      <c r="J4111">
        <v>33</v>
      </c>
      <c r="K4111" s="482">
        <v>0.63600000000000001</v>
      </c>
      <c r="L4111" s="482">
        <v>0.182</v>
      </c>
      <c r="M4111" s="482">
        <v>0.182</v>
      </c>
    </row>
    <row r="4112" spans="1:13" x14ac:dyDescent="0.2">
      <c r="A4112" t="s">
        <v>5477</v>
      </c>
      <c r="B4112" t="s">
        <v>15</v>
      </c>
      <c r="C4112" t="s">
        <v>1</v>
      </c>
      <c r="D4112" t="s">
        <v>3174</v>
      </c>
      <c r="E4112" t="s">
        <v>3175</v>
      </c>
      <c r="F4112" t="s">
        <v>52</v>
      </c>
      <c r="G4112">
        <v>49</v>
      </c>
      <c r="H4112">
        <v>7</v>
      </c>
      <c r="I4112">
        <v>4</v>
      </c>
      <c r="J4112">
        <v>60</v>
      </c>
      <c r="K4112" s="482">
        <v>0.81699999999999995</v>
      </c>
      <c r="L4112" s="482">
        <v>0.11700000000000001</v>
      </c>
      <c r="M4112" s="482">
        <v>6.7000000000000004E-2</v>
      </c>
    </row>
    <row r="4113" spans="1:13" x14ac:dyDescent="0.2">
      <c r="A4113" t="s">
        <v>5478</v>
      </c>
      <c r="B4113" t="s">
        <v>15</v>
      </c>
      <c r="C4113" t="s">
        <v>1</v>
      </c>
      <c r="D4113" t="s">
        <v>3177</v>
      </c>
      <c r="E4113" t="s">
        <v>3178</v>
      </c>
      <c r="F4113" t="s">
        <v>52</v>
      </c>
      <c r="G4113">
        <v>16</v>
      </c>
      <c r="H4113">
        <v>2</v>
      </c>
      <c r="I4113">
        <v>1</v>
      </c>
      <c r="J4113">
        <v>19</v>
      </c>
      <c r="K4113" s="482">
        <v>0.84199999999999997</v>
      </c>
      <c r="L4113" s="482">
        <v>0.105</v>
      </c>
      <c r="M4113" s="482">
        <v>5.2999999999999999E-2</v>
      </c>
    </row>
    <row r="4114" spans="1:13" x14ac:dyDescent="0.2">
      <c r="A4114" t="s">
        <v>5479</v>
      </c>
      <c r="B4114" t="s">
        <v>15</v>
      </c>
      <c r="C4114" t="s">
        <v>1</v>
      </c>
      <c r="D4114" t="s">
        <v>3180</v>
      </c>
      <c r="E4114" t="s">
        <v>3181</v>
      </c>
      <c r="F4114" t="s">
        <v>52</v>
      </c>
      <c r="G4114">
        <v>51</v>
      </c>
      <c r="H4114">
        <v>2</v>
      </c>
      <c r="I4114">
        <v>5</v>
      </c>
      <c r="J4114">
        <v>58</v>
      </c>
      <c r="K4114" s="482">
        <v>0.879</v>
      </c>
      <c r="L4114" s="482">
        <v>3.4000000000000002E-2</v>
      </c>
      <c r="M4114" s="482">
        <v>8.5999999999999993E-2</v>
      </c>
    </row>
    <row r="4115" spans="1:13" x14ac:dyDescent="0.2">
      <c r="A4115" t="s">
        <v>5480</v>
      </c>
      <c r="B4115" t="s">
        <v>15</v>
      </c>
      <c r="C4115" t="s">
        <v>1</v>
      </c>
      <c r="D4115" t="s">
        <v>3183</v>
      </c>
      <c r="E4115" t="s">
        <v>3184</v>
      </c>
      <c r="F4115" t="s">
        <v>52</v>
      </c>
      <c r="G4115" t="s">
        <v>53</v>
      </c>
      <c r="H4115">
        <v>0</v>
      </c>
      <c r="I4115">
        <v>0</v>
      </c>
      <c r="J4115" t="s">
        <v>53</v>
      </c>
      <c r="K4115" t="s">
        <v>53</v>
      </c>
      <c r="L4115" t="s">
        <v>53</v>
      </c>
      <c r="M4115" t="s">
        <v>53</v>
      </c>
    </row>
    <row r="4116" spans="1:13" x14ac:dyDescent="0.2">
      <c r="A4116" t="s">
        <v>5481</v>
      </c>
      <c r="B4116" t="s">
        <v>15</v>
      </c>
      <c r="C4116" t="s">
        <v>1</v>
      </c>
      <c r="D4116" t="s">
        <v>3186</v>
      </c>
      <c r="E4116" t="s">
        <v>3187</v>
      </c>
      <c r="F4116" t="s">
        <v>52</v>
      </c>
      <c r="G4116" t="s">
        <v>53</v>
      </c>
      <c r="H4116" t="s">
        <v>53</v>
      </c>
      <c r="I4116">
        <v>0</v>
      </c>
      <c r="J4116" t="s">
        <v>53</v>
      </c>
      <c r="K4116" t="s">
        <v>53</v>
      </c>
      <c r="L4116" t="s">
        <v>53</v>
      </c>
      <c r="M4116" t="s">
        <v>53</v>
      </c>
    </row>
    <row r="4117" spans="1:13" x14ac:dyDescent="0.2">
      <c r="A4117" t="s">
        <v>5482</v>
      </c>
      <c r="B4117" t="s">
        <v>15</v>
      </c>
      <c r="C4117" t="s">
        <v>1</v>
      </c>
      <c r="D4117" t="s">
        <v>3189</v>
      </c>
      <c r="E4117" t="s">
        <v>3190</v>
      </c>
      <c r="F4117" t="s">
        <v>52</v>
      </c>
      <c r="G4117">
        <v>68</v>
      </c>
      <c r="H4117">
        <v>7</v>
      </c>
      <c r="I4117">
        <v>7</v>
      </c>
      <c r="J4117">
        <v>82</v>
      </c>
      <c r="K4117" s="482">
        <v>0.82899999999999996</v>
      </c>
      <c r="L4117" s="482">
        <v>8.5000000000000006E-2</v>
      </c>
      <c r="M4117" s="482">
        <v>8.5000000000000006E-2</v>
      </c>
    </row>
    <row r="4118" spans="1:13" x14ac:dyDescent="0.2">
      <c r="A4118" t="s">
        <v>5696</v>
      </c>
      <c r="B4118" t="s">
        <v>15</v>
      </c>
      <c r="C4118" t="s">
        <v>1</v>
      </c>
      <c r="D4118" t="s">
        <v>3799</v>
      </c>
      <c r="E4118" t="s">
        <v>3800</v>
      </c>
      <c r="F4118" t="s">
        <v>52</v>
      </c>
      <c r="G4118">
        <v>123</v>
      </c>
      <c r="H4118">
        <v>21</v>
      </c>
      <c r="I4118">
        <v>22</v>
      </c>
      <c r="J4118">
        <v>166</v>
      </c>
      <c r="K4118" s="482">
        <v>0.74099999999999999</v>
      </c>
      <c r="L4118" s="482">
        <v>0.127</v>
      </c>
      <c r="M4118" s="482">
        <v>0.13300000000000001</v>
      </c>
    </row>
    <row r="4119" spans="1:13" x14ac:dyDescent="0.2">
      <c r="A4119" t="s">
        <v>5697</v>
      </c>
      <c r="B4119" t="s">
        <v>15</v>
      </c>
      <c r="C4119" t="s">
        <v>1</v>
      </c>
      <c r="D4119" t="s">
        <v>3802</v>
      </c>
      <c r="E4119" t="s">
        <v>3803</v>
      </c>
      <c r="F4119" t="s">
        <v>52</v>
      </c>
      <c r="G4119">
        <v>154</v>
      </c>
      <c r="H4119">
        <v>15</v>
      </c>
      <c r="I4119">
        <v>14</v>
      </c>
      <c r="J4119">
        <v>183</v>
      </c>
      <c r="K4119" s="482">
        <v>0.84199999999999997</v>
      </c>
      <c r="L4119" s="482">
        <v>8.2000000000000003E-2</v>
      </c>
      <c r="M4119" s="482">
        <v>7.6999999999999999E-2</v>
      </c>
    </row>
    <row r="4120" spans="1:13" x14ac:dyDescent="0.2">
      <c r="A4120" t="s">
        <v>5698</v>
      </c>
      <c r="B4120" t="s">
        <v>15</v>
      </c>
      <c r="C4120" t="s">
        <v>1</v>
      </c>
      <c r="D4120" t="s">
        <v>4518</v>
      </c>
      <c r="E4120" t="s">
        <v>4519</v>
      </c>
      <c r="F4120" t="s">
        <v>52</v>
      </c>
      <c r="G4120">
        <v>222</v>
      </c>
      <c r="H4120">
        <v>22</v>
      </c>
      <c r="I4120">
        <v>20</v>
      </c>
      <c r="J4120">
        <v>264</v>
      </c>
      <c r="K4120" s="482">
        <v>0.84099999999999997</v>
      </c>
      <c r="L4120" s="482">
        <v>8.3000000000000004E-2</v>
      </c>
      <c r="M4120" s="482">
        <v>7.5999999999999998E-2</v>
      </c>
    </row>
    <row r="4121" spans="1:13" x14ac:dyDescent="0.2">
      <c r="A4121" t="s">
        <v>5636</v>
      </c>
      <c r="B4121" t="s">
        <v>15</v>
      </c>
      <c r="C4121" t="s">
        <v>1</v>
      </c>
      <c r="D4121" t="s">
        <v>3403</v>
      </c>
      <c r="E4121" t="s">
        <v>3404</v>
      </c>
      <c r="F4121" t="s">
        <v>52</v>
      </c>
      <c r="G4121">
        <v>94</v>
      </c>
      <c r="H4121">
        <v>9</v>
      </c>
      <c r="I4121">
        <v>15</v>
      </c>
      <c r="J4121">
        <v>118</v>
      </c>
      <c r="K4121" s="482">
        <v>0.79700000000000004</v>
      </c>
      <c r="L4121" s="482">
        <v>7.5999999999999998E-2</v>
      </c>
      <c r="M4121" s="482">
        <v>0.127</v>
      </c>
    </row>
    <row r="4122" spans="1:13" x14ac:dyDescent="0.2">
      <c r="A4122" t="s">
        <v>5620</v>
      </c>
      <c r="B4122" t="s">
        <v>15</v>
      </c>
      <c r="C4122" t="s">
        <v>1</v>
      </c>
      <c r="D4122" t="s">
        <v>3570</v>
      </c>
      <c r="E4122" t="s">
        <v>3571</v>
      </c>
      <c r="F4122" t="s">
        <v>52</v>
      </c>
      <c r="G4122" t="s">
        <v>53</v>
      </c>
      <c r="H4122">
        <v>0</v>
      </c>
      <c r="I4122">
        <v>0</v>
      </c>
      <c r="J4122" t="s">
        <v>53</v>
      </c>
      <c r="K4122" t="s">
        <v>53</v>
      </c>
      <c r="L4122" t="s">
        <v>53</v>
      </c>
      <c r="M4122" t="s">
        <v>53</v>
      </c>
    </row>
    <row r="4123" spans="1:13" x14ac:dyDescent="0.2">
      <c r="A4123" t="s">
        <v>5621</v>
      </c>
      <c r="B4123" t="s">
        <v>15</v>
      </c>
      <c r="C4123" t="s">
        <v>1</v>
      </c>
      <c r="D4123" t="s">
        <v>3573</v>
      </c>
      <c r="E4123" t="s">
        <v>3574</v>
      </c>
      <c r="F4123" t="s">
        <v>52</v>
      </c>
      <c r="G4123">
        <v>24</v>
      </c>
      <c r="H4123">
        <v>2</v>
      </c>
      <c r="I4123">
        <v>2</v>
      </c>
      <c r="J4123">
        <v>28</v>
      </c>
      <c r="K4123" s="482">
        <v>0.85699999999999998</v>
      </c>
      <c r="L4123" s="482">
        <v>7.0999999999999994E-2</v>
      </c>
      <c r="M4123" s="482">
        <v>7.0999999999999994E-2</v>
      </c>
    </row>
    <row r="4124" spans="1:13" x14ac:dyDescent="0.2">
      <c r="A4124" t="s">
        <v>5622</v>
      </c>
      <c r="B4124" t="s">
        <v>15</v>
      </c>
      <c r="C4124" t="s">
        <v>1</v>
      </c>
      <c r="D4124" t="s">
        <v>3576</v>
      </c>
      <c r="E4124" t="s">
        <v>3577</v>
      </c>
      <c r="F4124" t="s">
        <v>52</v>
      </c>
      <c r="G4124">
        <v>17</v>
      </c>
      <c r="H4124">
        <v>6</v>
      </c>
      <c r="I4124">
        <v>8</v>
      </c>
      <c r="J4124">
        <v>31</v>
      </c>
      <c r="K4124" s="482">
        <v>0.54800000000000004</v>
      </c>
      <c r="L4124" s="482">
        <v>0.19400000000000001</v>
      </c>
      <c r="M4124" s="482">
        <v>0.25800000000000001</v>
      </c>
    </row>
    <row r="4125" spans="1:13" x14ac:dyDescent="0.2">
      <c r="A4125" t="s">
        <v>5623</v>
      </c>
      <c r="B4125" t="s">
        <v>15</v>
      </c>
      <c r="C4125" t="s">
        <v>1</v>
      </c>
      <c r="D4125" t="s">
        <v>3579</v>
      </c>
      <c r="E4125" t="s">
        <v>3580</v>
      </c>
      <c r="F4125" t="s">
        <v>52</v>
      </c>
      <c r="G4125">
        <v>62</v>
      </c>
      <c r="H4125">
        <v>9</v>
      </c>
      <c r="I4125">
        <v>5</v>
      </c>
      <c r="J4125">
        <v>76</v>
      </c>
      <c r="K4125" s="482">
        <v>0.81599999999999995</v>
      </c>
      <c r="L4125" s="482">
        <v>0.11799999999999999</v>
      </c>
      <c r="M4125" s="482">
        <v>6.6000000000000003E-2</v>
      </c>
    </row>
    <row r="4126" spans="1:13" x14ac:dyDescent="0.2">
      <c r="A4126" t="s">
        <v>5624</v>
      </c>
      <c r="B4126" t="s">
        <v>15</v>
      </c>
      <c r="C4126" t="s">
        <v>1</v>
      </c>
      <c r="D4126" t="s">
        <v>3582</v>
      </c>
      <c r="E4126" t="s">
        <v>3583</v>
      </c>
      <c r="F4126" t="s">
        <v>52</v>
      </c>
      <c r="G4126">
        <v>48</v>
      </c>
      <c r="H4126">
        <v>3</v>
      </c>
      <c r="I4126">
        <v>2</v>
      </c>
      <c r="J4126">
        <v>53</v>
      </c>
      <c r="K4126" s="482">
        <v>0.90600000000000003</v>
      </c>
      <c r="L4126" s="482">
        <v>5.7000000000000002E-2</v>
      </c>
      <c r="M4126" s="482">
        <v>3.7999999999999999E-2</v>
      </c>
    </row>
    <row r="4127" spans="1:13" x14ac:dyDescent="0.2">
      <c r="A4127" t="s">
        <v>5625</v>
      </c>
      <c r="B4127" t="s">
        <v>15</v>
      </c>
      <c r="C4127" t="s">
        <v>1</v>
      </c>
      <c r="D4127" t="s">
        <v>3585</v>
      </c>
      <c r="E4127" t="s">
        <v>3586</v>
      </c>
      <c r="F4127" t="s">
        <v>52</v>
      </c>
      <c r="G4127">
        <v>33</v>
      </c>
      <c r="H4127">
        <v>1</v>
      </c>
      <c r="I4127">
        <v>7</v>
      </c>
      <c r="J4127">
        <v>41</v>
      </c>
      <c r="K4127" s="482">
        <v>0.80500000000000005</v>
      </c>
      <c r="L4127" s="482">
        <v>2.4E-2</v>
      </c>
      <c r="M4127" s="482">
        <v>0.17100000000000001</v>
      </c>
    </row>
    <row r="4128" spans="1:13" x14ac:dyDescent="0.2">
      <c r="A4128" t="s">
        <v>5626</v>
      </c>
      <c r="B4128" t="s">
        <v>15</v>
      </c>
      <c r="C4128" t="s">
        <v>1</v>
      </c>
      <c r="D4128" t="s">
        <v>3588</v>
      </c>
      <c r="E4128" t="s">
        <v>3589</v>
      </c>
      <c r="F4128" t="s">
        <v>52</v>
      </c>
      <c r="G4128">
        <v>20</v>
      </c>
      <c r="H4128">
        <v>0</v>
      </c>
      <c r="I4128">
        <v>3</v>
      </c>
      <c r="J4128">
        <v>23</v>
      </c>
      <c r="K4128" s="482">
        <v>0.87</v>
      </c>
      <c r="L4128" s="482">
        <v>0</v>
      </c>
      <c r="M4128" s="482">
        <v>0.13</v>
      </c>
    </row>
    <row r="4129" spans="1:13" x14ac:dyDescent="0.2">
      <c r="A4129" t="s">
        <v>5614</v>
      </c>
      <c r="B4129" t="s">
        <v>15</v>
      </c>
      <c r="C4129" t="s">
        <v>1</v>
      </c>
      <c r="D4129" t="s">
        <v>3558</v>
      </c>
      <c r="E4129" t="s">
        <v>3559</v>
      </c>
      <c r="F4129" t="s">
        <v>52</v>
      </c>
      <c r="G4129">
        <v>114</v>
      </c>
      <c r="H4129">
        <v>16</v>
      </c>
      <c r="I4129">
        <v>20</v>
      </c>
      <c r="J4129">
        <v>150</v>
      </c>
      <c r="K4129" s="482">
        <v>0.76</v>
      </c>
      <c r="L4129" s="482">
        <v>0.107</v>
      </c>
      <c r="M4129" s="482">
        <v>0.13300000000000001</v>
      </c>
    </row>
    <row r="4130" spans="1:13" x14ac:dyDescent="0.2">
      <c r="A4130" t="s">
        <v>5610</v>
      </c>
      <c r="B4130" t="s">
        <v>15</v>
      </c>
      <c r="C4130" t="s">
        <v>1</v>
      </c>
      <c r="D4130" t="s">
        <v>3546</v>
      </c>
      <c r="E4130" t="s">
        <v>3547</v>
      </c>
      <c r="F4130" t="s">
        <v>52</v>
      </c>
      <c r="G4130">
        <v>200</v>
      </c>
      <c r="H4130">
        <v>27</v>
      </c>
      <c r="I4130">
        <v>30</v>
      </c>
      <c r="J4130">
        <v>257</v>
      </c>
      <c r="K4130" s="482">
        <v>0.77800000000000002</v>
      </c>
      <c r="L4130" s="482">
        <v>0.105</v>
      </c>
      <c r="M4130" s="482">
        <v>0.11700000000000001</v>
      </c>
    </row>
    <row r="4131" spans="1:13" x14ac:dyDescent="0.2">
      <c r="A4131" t="s">
        <v>5602</v>
      </c>
      <c r="B4131" t="s">
        <v>15</v>
      </c>
      <c r="C4131" t="s">
        <v>1</v>
      </c>
      <c r="D4131" t="s">
        <v>3517</v>
      </c>
      <c r="E4131" t="s">
        <v>3518</v>
      </c>
      <c r="F4131" t="s">
        <v>52</v>
      </c>
      <c r="G4131">
        <v>121</v>
      </c>
      <c r="H4131">
        <v>15</v>
      </c>
      <c r="I4131">
        <v>25</v>
      </c>
      <c r="J4131">
        <v>161</v>
      </c>
      <c r="K4131" s="482">
        <v>0.752</v>
      </c>
      <c r="L4131" s="482">
        <v>9.2999999999999999E-2</v>
      </c>
      <c r="M4131" s="482">
        <v>0.155</v>
      </c>
    </row>
    <row r="4132" spans="1:13" x14ac:dyDescent="0.2">
      <c r="A4132" t="s">
        <v>5608</v>
      </c>
      <c r="B4132" t="s">
        <v>15</v>
      </c>
      <c r="C4132" t="s">
        <v>1</v>
      </c>
      <c r="D4132" t="s">
        <v>3540</v>
      </c>
      <c r="E4132" t="s">
        <v>3541</v>
      </c>
      <c r="F4132" t="s">
        <v>52</v>
      </c>
      <c r="G4132">
        <v>140</v>
      </c>
      <c r="H4132">
        <v>15</v>
      </c>
      <c r="I4132">
        <v>8</v>
      </c>
      <c r="J4132">
        <v>163</v>
      </c>
      <c r="K4132" s="482">
        <v>0.85899999999999999</v>
      </c>
      <c r="L4132" s="482">
        <v>9.1999999999999998E-2</v>
      </c>
      <c r="M4132" s="482">
        <v>4.9000000000000002E-2</v>
      </c>
    </row>
    <row r="4133" spans="1:13" x14ac:dyDescent="0.2">
      <c r="A4133" t="s">
        <v>5607</v>
      </c>
      <c r="B4133" t="s">
        <v>15</v>
      </c>
      <c r="C4133" t="s">
        <v>1</v>
      </c>
      <c r="D4133" t="s">
        <v>3537</v>
      </c>
      <c r="E4133" t="s">
        <v>3538</v>
      </c>
      <c r="F4133" t="s">
        <v>52</v>
      </c>
      <c r="G4133">
        <v>223</v>
      </c>
      <c r="H4133">
        <v>33</v>
      </c>
      <c r="I4133">
        <v>26</v>
      </c>
      <c r="J4133">
        <v>282</v>
      </c>
      <c r="K4133" s="482">
        <v>0.79100000000000004</v>
      </c>
      <c r="L4133" s="482">
        <v>0.11700000000000001</v>
      </c>
      <c r="M4133" s="482">
        <v>9.1999999999999998E-2</v>
      </c>
    </row>
    <row r="4134" spans="1:13" x14ac:dyDescent="0.2">
      <c r="A4134" t="s">
        <v>6624</v>
      </c>
      <c r="B4134" t="s">
        <v>15</v>
      </c>
      <c r="C4134" t="s">
        <v>1</v>
      </c>
      <c r="D4134" t="s">
        <v>3689</v>
      </c>
      <c r="E4134" t="s">
        <v>6576</v>
      </c>
      <c r="F4134" t="s">
        <v>52</v>
      </c>
      <c r="G4134">
        <v>127</v>
      </c>
      <c r="H4134">
        <v>20</v>
      </c>
      <c r="I4134">
        <v>16</v>
      </c>
      <c r="J4134">
        <v>163</v>
      </c>
      <c r="K4134" s="482">
        <v>0.77900000000000003</v>
      </c>
      <c r="L4134" s="482">
        <v>0.123</v>
      </c>
      <c r="M4134" s="482">
        <v>9.8000000000000004E-2</v>
      </c>
    </row>
    <row r="4135" spans="1:13" x14ac:dyDescent="0.2">
      <c r="A4135" t="s">
        <v>5609</v>
      </c>
      <c r="B4135" t="s">
        <v>15</v>
      </c>
      <c r="C4135" t="s">
        <v>1</v>
      </c>
      <c r="D4135" t="s">
        <v>3543</v>
      </c>
      <c r="E4135" t="s">
        <v>3544</v>
      </c>
      <c r="F4135" t="s">
        <v>52</v>
      </c>
      <c r="G4135">
        <v>210</v>
      </c>
      <c r="H4135">
        <v>26</v>
      </c>
      <c r="I4135">
        <v>26</v>
      </c>
      <c r="J4135">
        <v>262</v>
      </c>
      <c r="K4135" s="482">
        <v>0.80200000000000005</v>
      </c>
      <c r="L4135" s="482">
        <v>9.9000000000000005E-2</v>
      </c>
      <c r="M4135" s="482">
        <v>9.9000000000000005E-2</v>
      </c>
    </row>
    <row r="4136" spans="1:13" x14ac:dyDescent="0.2">
      <c r="A4136" t="s">
        <v>5515</v>
      </c>
      <c r="B4136" t="s">
        <v>15</v>
      </c>
      <c r="C4136" t="s">
        <v>1</v>
      </c>
      <c r="D4136" t="s">
        <v>3276</v>
      </c>
      <c r="E4136" t="s">
        <v>3277</v>
      </c>
      <c r="F4136" t="s">
        <v>52</v>
      </c>
      <c r="G4136">
        <v>26</v>
      </c>
      <c r="H4136">
        <v>1</v>
      </c>
      <c r="I4136">
        <v>2</v>
      </c>
      <c r="J4136">
        <v>29</v>
      </c>
      <c r="K4136" s="482">
        <v>0.89700000000000002</v>
      </c>
      <c r="L4136" s="482">
        <v>3.4000000000000002E-2</v>
      </c>
      <c r="M4136" s="482">
        <v>6.9000000000000006E-2</v>
      </c>
    </row>
    <row r="4137" spans="1:13" x14ac:dyDescent="0.2">
      <c r="A4137" t="s">
        <v>6625</v>
      </c>
      <c r="B4137" t="s">
        <v>15</v>
      </c>
      <c r="C4137" t="s">
        <v>1</v>
      </c>
      <c r="D4137" t="s">
        <v>3278</v>
      </c>
      <c r="E4137" t="s">
        <v>6578</v>
      </c>
      <c r="F4137" t="s">
        <v>52</v>
      </c>
      <c r="G4137">
        <v>372</v>
      </c>
      <c r="H4137">
        <v>53</v>
      </c>
      <c r="I4137">
        <v>38</v>
      </c>
      <c r="J4137">
        <v>463</v>
      </c>
      <c r="K4137" s="482">
        <v>0.80300000000000005</v>
      </c>
      <c r="L4137" s="482">
        <v>0.114</v>
      </c>
      <c r="M4137" s="482">
        <v>8.2000000000000003E-2</v>
      </c>
    </row>
    <row r="4138" spans="1:13" x14ac:dyDescent="0.2">
      <c r="A4138" t="s">
        <v>5516</v>
      </c>
      <c r="B4138" t="s">
        <v>15</v>
      </c>
      <c r="C4138" t="s">
        <v>1</v>
      </c>
      <c r="D4138" t="s">
        <v>3280</v>
      </c>
      <c r="E4138" t="s">
        <v>3281</v>
      </c>
      <c r="F4138" t="s">
        <v>52</v>
      </c>
      <c r="G4138">
        <v>166</v>
      </c>
      <c r="H4138">
        <v>23</v>
      </c>
      <c r="I4138">
        <v>20</v>
      </c>
      <c r="J4138">
        <v>209</v>
      </c>
      <c r="K4138" s="482">
        <v>0.79400000000000004</v>
      </c>
      <c r="L4138" s="482">
        <v>0.11</v>
      </c>
      <c r="M4138" s="482">
        <v>9.6000000000000002E-2</v>
      </c>
    </row>
    <row r="4139" spans="1:13" x14ac:dyDescent="0.2">
      <c r="A4139" t="s">
        <v>5493</v>
      </c>
      <c r="B4139" t="s">
        <v>15</v>
      </c>
      <c r="C4139" t="s">
        <v>1</v>
      </c>
      <c r="D4139" t="s">
        <v>4276</v>
      </c>
      <c r="E4139" t="s">
        <v>4277</v>
      </c>
      <c r="F4139" t="s">
        <v>52</v>
      </c>
      <c r="G4139">
        <v>9</v>
      </c>
      <c r="H4139">
        <v>2</v>
      </c>
      <c r="I4139">
        <v>1</v>
      </c>
      <c r="J4139">
        <v>12</v>
      </c>
      <c r="K4139" s="482">
        <v>0.75</v>
      </c>
      <c r="L4139" s="482">
        <v>0.16700000000000001</v>
      </c>
      <c r="M4139" s="482">
        <v>8.3000000000000004E-2</v>
      </c>
    </row>
    <row r="4140" spans="1:13" x14ac:dyDescent="0.2">
      <c r="A4140" t="s">
        <v>5494</v>
      </c>
      <c r="B4140" t="s">
        <v>15</v>
      </c>
      <c r="C4140" t="s">
        <v>1</v>
      </c>
      <c r="D4140" t="s">
        <v>4279</v>
      </c>
      <c r="E4140" t="s">
        <v>4280</v>
      </c>
      <c r="F4140" t="s">
        <v>52</v>
      </c>
      <c r="G4140" t="s">
        <v>53</v>
      </c>
      <c r="H4140">
        <v>0</v>
      </c>
      <c r="I4140">
        <v>0</v>
      </c>
      <c r="J4140" t="s">
        <v>53</v>
      </c>
      <c r="K4140" t="s">
        <v>53</v>
      </c>
      <c r="L4140" t="s">
        <v>53</v>
      </c>
      <c r="M4140" t="s">
        <v>53</v>
      </c>
    </row>
    <row r="4141" spans="1:13" x14ac:dyDescent="0.2">
      <c r="A4141" t="s">
        <v>5492</v>
      </c>
      <c r="B4141" t="s">
        <v>15</v>
      </c>
      <c r="C4141" t="s">
        <v>1</v>
      </c>
      <c r="D4141" t="s">
        <v>3216</v>
      </c>
      <c r="E4141" t="s">
        <v>3217</v>
      </c>
      <c r="F4141" t="s">
        <v>52</v>
      </c>
      <c r="G4141">
        <v>146</v>
      </c>
      <c r="H4141">
        <v>14</v>
      </c>
      <c r="I4141">
        <v>17</v>
      </c>
      <c r="J4141">
        <v>177</v>
      </c>
      <c r="K4141" s="482">
        <v>0.82499999999999996</v>
      </c>
      <c r="L4141" s="482">
        <v>7.9000000000000001E-2</v>
      </c>
      <c r="M4141" s="482">
        <v>9.6000000000000002E-2</v>
      </c>
    </row>
    <row r="4142" spans="1:13" x14ac:dyDescent="0.2">
      <c r="A4142" t="s">
        <v>5495</v>
      </c>
      <c r="B4142" t="s">
        <v>15</v>
      </c>
      <c r="C4142" t="s">
        <v>1</v>
      </c>
      <c r="D4142" t="s">
        <v>3219</v>
      </c>
      <c r="E4142" t="s">
        <v>3220</v>
      </c>
      <c r="F4142" t="s">
        <v>52</v>
      </c>
      <c r="G4142">
        <v>121</v>
      </c>
      <c r="H4142">
        <v>14</v>
      </c>
      <c r="I4142">
        <v>17</v>
      </c>
      <c r="J4142">
        <v>152</v>
      </c>
      <c r="K4142" s="482">
        <v>0.79600000000000004</v>
      </c>
      <c r="L4142" s="482">
        <v>9.1999999999999998E-2</v>
      </c>
      <c r="M4142" s="482">
        <v>0.112</v>
      </c>
    </row>
    <row r="4143" spans="1:13" x14ac:dyDescent="0.2">
      <c r="A4143" t="s">
        <v>5496</v>
      </c>
      <c r="B4143" t="s">
        <v>15</v>
      </c>
      <c r="C4143" t="s">
        <v>1</v>
      </c>
      <c r="D4143" t="s">
        <v>3222</v>
      </c>
      <c r="E4143" t="s">
        <v>3223</v>
      </c>
      <c r="F4143" t="s">
        <v>52</v>
      </c>
      <c r="G4143">
        <v>42</v>
      </c>
      <c r="H4143">
        <v>10</v>
      </c>
      <c r="I4143">
        <v>6</v>
      </c>
      <c r="J4143">
        <v>58</v>
      </c>
      <c r="K4143" s="482">
        <v>0.72399999999999998</v>
      </c>
      <c r="L4143" s="482">
        <v>0.17199999999999999</v>
      </c>
      <c r="M4143" s="482">
        <v>0.10299999999999999</v>
      </c>
    </row>
    <row r="4144" spans="1:13" x14ac:dyDescent="0.2">
      <c r="A4144" t="s">
        <v>5498</v>
      </c>
      <c r="B4144" t="s">
        <v>15</v>
      </c>
      <c r="C4144" t="s">
        <v>1</v>
      </c>
      <c r="D4144" t="s">
        <v>4285</v>
      </c>
      <c r="E4144" t="s">
        <v>4286</v>
      </c>
      <c r="F4144" t="s">
        <v>52</v>
      </c>
      <c r="G4144">
        <v>196</v>
      </c>
      <c r="H4144">
        <v>21</v>
      </c>
      <c r="I4144">
        <v>29</v>
      </c>
      <c r="J4144">
        <v>246</v>
      </c>
      <c r="K4144" s="482">
        <v>0.79700000000000004</v>
      </c>
      <c r="L4144" s="482">
        <v>8.5000000000000006E-2</v>
      </c>
      <c r="M4144" s="482">
        <v>0.11799999999999999</v>
      </c>
    </row>
    <row r="4145" spans="1:13" x14ac:dyDescent="0.2">
      <c r="A4145" t="s">
        <v>5662</v>
      </c>
      <c r="B4145" t="s">
        <v>15</v>
      </c>
      <c r="C4145" t="s">
        <v>1</v>
      </c>
      <c r="D4145" t="s">
        <v>5227</v>
      </c>
      <c r="E4145" t="s">
        <v>5228</v>
      </c>
      <c r="F4145" t="s">
        <v>52</v>
      </c>
      <c r="G4145" t="s">
        <v>53</v>
      </c>
      <c r="H4145">
        <v>0</v>
      </c>
      <c r="I4145">
        <v>0</v>
      </c>
      <c r="J4145" t="s">
        <v>53</v>
      </c>
      <c r="K4145" t="s">
        <v>53</v>
      </c>
      <c r="L4145" t="s">
        <v>53</v>
      </c>
      <c r="M4145" t="s">
        <v>53</v>
      </c>
    </row>
    <row r="4146" spans="1:13" x14ac:dyDescent="0.2">
      <c r="A4146" t="s">
        <v>5648</v>
      </c>
      <c r="B4146" t="s">
        <v>15</v>
      </c>
      <c r="C4146" t="s">
        <v>1</v>
      </c>
      <c r="D4146" t="s">
        <v>3651</v>
      </c>
      <c r="E4146" t="s">
        <v>3652</v>
      </c>
      <c r="F4146" t="s">
        <v>52</v>
      </c>
      <c r="G4146">
        <v>176</v>
      </c>
      <c r="H4146">
        <v>28</v>
      </c>
      <c r="I4146">
        <v>24</v>
      </c>
      <c r="J4146">
        <v>228</v>
      </c>
      <c r="K4146" s="482">
        <v>0.77200000000000002</v>
      </c>
      <c r="L4146" s="482">
        <v>0.123</v>
      </c>
      <c r="M4146" s="482">
        <v>0.105</v>
      </c>
    </row>
    <row r="4147" spans="1:13" x14ac:dyDescent="0.2">
      <c r="A4147" t="s">
        <v>5649</v>
      </c>
      <c r="B4147" t="s">
        <v>15</v>
      </c>
      <c r="C4147" t="s">
        <v>1</v>
      </c>
      <c r="D4147" t="s">
        <v>3654</v>
      </c>
      <c r="E4147" t="s">
        <v>3655</v>
      </c>
      <c r="F4147" t="s">
        <v>52</v>
      </c>
      <c r="G4147">
        <v>80</v>
      </c>
      <c r="H4147">
        <v>9</v>
      </c>
      <c r="I4147">
        <v>16</v>
      </c>
      <c r="J4147">
        <v>105</v>
      </c>
      <c r="K4147" s="482">
        <v>0.76200000000000001</v>
      </c>
      <c r="L4147" s="482">
        <v>8.5999999999999993E-2</v>
      </c>
      <c r="M4147" s="482">
        <v>0.152</v>
      </c>
    </row>
    <row r="4148" spans="1:13" x14ac:dyDescent="0.2">
      <c r="A4148" t="s">
        <v>5650</v>
      </c>
      <c r="B4148" t="s">
        <v>15</v>
      </c>
      <c r="C4148" t="s">
        <v>1</v>
      </c>
      <c r="D4148" t="s">
        <v>3657</v>
      </c>
      <c r="E4148" t="s">
        <v>3658</v>
      </c>
      <c r="F4148" t="s">
        <v>52</v>
      </c>
      <c r="G4148">
        <v>161</v>
      </c>
      <c r="H4148">
        <v>12</v>
      </c>
      <c r="I4148">
        <v>17</v>
      </c>
      <c r="J4148">
        <v>190</v>
      </c>
      <c r="K4148" s="482">
        <v>0.84699999999999998</v>
      </c>
      <c r="L4148" s="482">
        <v>6.3E-2</v>
      </c>
      <c r="M4148" s="482">
        <v>8.8999999999999996E-2</v>
      </c>
    </row>
    <row r="4149" spans="1:13" x14ac:dyDescent="0.2">
      <c r="A4149" t="s">
        <v>5645</v>
      </c>
      <c r="B4149" t="s">
        <v>15</v>
      </c>
      <c r="C4149" t="s">
        <v>1</v>
      </c>
      <c r="D4149" t="s">
        <v>3641</v>
      </c>
      <c r="E4149" t="s">
        <v>3642</v>
      </c>
      <c r="F4149" t="s">
        <v>52</v>
      </c>
      <c r="G4149">
        <v>233</v>
      </c>
      <c r="H4149">
        <v>29</v>
      </c>
      <c r="I4149">
        <v>32</v>
      </c>
      <c r="J4149">
        <v>294</v>
      </c>
      <c r="K4149" s="482">
        <v>0.79300000000000004</v>
      </c>
      <c r="L4149" s="482">
        <v>9.9000000000000005E-2</v>
      </c>
      <c r="M4149" s="482">
        <v>0.109</v>
      </c>
    </row>
    <row r="4150" spans="1:13" x14ac:dyDescent="0.2">
      <c r="A4150" t="s">
        <v>6626</v>
      </c>
      <c r="B4150" t="s">
        <v>15</v>
      </c>
      <c r="C4150" t="s">
        <v>1</v>
      </c>
      <c r="D4150" t="s">
        <v>3643</v>
      </c>
      <c r="E4150" t="s">
        <v>6580</v>
      </c>
      <c r="F4150" t="s">
        <v>52</v>
      </c>
      <c r="G4150">
        <v>142</v>
      </c>
      <c r="H4150">
        <v>15</v>
      </c>
      <c r="I4150">
        <v>11</v>
      </c>
      <c r="J4150">
        <v>168</v>
      </c>
      <c r="K4150" s="482">
        <v>0.84499999999999997</v>
      </c>
      <c r="L4150" s="482">
        <v>8.8999999999999996E-2</v>
      </c>
      <c r="M4150" s="482">
        <v>6.5000000000000002E-2</v>
      </c>
    </row>
    <row r="4151" spans="1:13" x14ac:dyDescent="0.2">
      <c r="A4151" t="s">
        <v>5646</v>
      </c>
      <c r="B4151" t="s">
        <v>15</v>
      </c>
      <c r="C4151" t="s">
        <v>1</v>
      </c>
      <c r="D4151" t="s">
        <v>3645</v>
      </c>
      <c r="E4151" t="s">
        <v>3646</v>
      </c>
      <c r="F4151" t="s">
        <v>52</v>
      </c>
      <c r="G4151">
        <v>72</v>
      </c>
      <c r="H4151">
        <v>11</v>
      </c>
      <c r="I4151">
        <v>4</v>
      </c>
      <c r="J4151">
        <v>87</v>
      </c>
      <c r="K4151" s="482">
        <v>0.82799999999999996</v>
      </c>
      <c r="L4151" s="482">
        <v>0.126</v>
      </c>
      <c r="M4151" s="482">
        <v>4.5999999999999999E-2</v>
      </c>
    </row>
    <row r="4152" spans="1:13" x14ac:dyDescent="0.2">
      <c r="A4152" t="s">
        <v>5647</v>
      </c>
      <c r="B4152" t="s">
        <v>15</v>
      </c>
      <c r="C4152" t="s">
        <v>1</v>
      </c>
      <c r="D4152" t="s">
        <v>3648</v>
      </c>
      <c r="E4152" t="s">
        <v>3649</v>
      </c>
      <c r="F4152" t="s">
        <v>52</v>
      </c>
      <c r="G4152">
        <v>102</v>
      </c>
      <c r="H4152">
        <v>16</v>
      </c>
      <c r="I4152">
        <v>9</v>
      </c>
      <c r="J4152">
        <v>127</v>
      </c>
      <c r="K4152" s="482">
        <v>0.80300000000000005</v>
      </c>
      <c r="L4152" s="482">
        <v>0.126</v>
      </c>
      <c r="M4152" s="482">
        <v>7.0999999999999994E-2</v>
      </c>
    </row>
    <row r="4153" spans="1:13" x14ac:dyDescent="0.2">
      <c r="A4153" t="s">
        <v>5651</v>
      </c>
      <c r="B4153" t="s">
        <v>15</v>
      </c>
      <c r="C4153" t="s">
        <v>1</v>
      </c>
      <c r="D4153" t="s">
        <v>3660</v>
      </c>
      <c r="E4153" t="s">
        <v>3661</v>
      </c>
      <c r="F4153" t="s">
        <v>52</v>
      </c>
      <c r="G4153">
        <v>53</v>
      </c>
      <c r="H4153">
        <v>11</v>
      </c>
      <c r="I4153">
        <v>4</v>
      </c>
      <c r="J4153">
        <v>68</v>
      </c>
      <c r="K4153" s="482">
        <v>0.77900000000000003</v>
      </c>
      <c r="L4153" s="482">
        <v>0.16200000000000001</v>
      </c>
      <c r="M4153" s="482">
        <v>5.8999999999999997E-2</v>
      </c>
    </row>
    <row r="4154" spans="1:13" x14ac:dyDescent="0.2">
      <c r="A4154" t="s">
        <v>5652</v>
      </c>
      <c r="B4154" t="s">
        <v>15</v>
      </c>
      <c r="C4154" t="s">
        <v>1</v>
      </c>
      <c r="D4154" t="s">
        <v>3663</v>
      </c>
      <c r="E4154" t="s">
        <v>3664</v>
      </c>
      <c r="F4154" t="s">
        <v>52</v>
      </c>
      <c r="G4154">
        <v>87</v>
      </c>
      <c r="H4154">
        <v>8</v>
      </c>
      <c r="I4154">
        <v>11</v>
      </c>
      <c r="J4154">
        <v>106</v>
      </c>
      <c r="K4154" s="482">
        <v>0.82099999999999995</v>
      </c>
      <c r="L4154" s="482">
        <v>7.4999999999999997E-2</v>
      </c>
      <c r="M4154" s="482">
        <v>0.104</v>
      </c>
    </row>
    <row r="4155" spans="1:13" x14ac:dyDescent="0.2">
      <c r="A4155" t="s">
        <v>5653</v>
      </c>
      <c r="B4155" t="s">
        <v>15</v>
      </c>
      <c r="C4155" t="s">
        <v>1</v>
      </c>
      <c r="D4155" t="s">
        <v>3666</v>
      </c>
      <c r="E4155" t="s">
        <v>3667</v>
      </c>
      <c r="F4155" t="s">
        <v>52</v>
      </c>
      <c r="G4155">
        <v>38</v>
      </c>
      <c r="H4155">
        <v>3</v>
      </c>
      <c r="I4155">
        <v>4</v>
      </c>
      <c r="J4155">
        <v>45</v>
      </c>
      <c r="K4155" s="482">
        <v>0.84399999999999997</v>
      </c>
      <c r="L4155" s="482">
        <v>6.7000000000000004E-2</v>
      </c>
      <c r="M4155" s="482">
        <v>8.8999999999999996E-2</v>
      </c>
    </row>
    <row r="4156" spans="1:13" x14ac:dyDescent="0.2">
      <c r="A4156" t="s">
        <v>5654</v>
      </c>
      <c r="B4156" t="s">
        <v>15</v>
      </c>
      <c r="C4156" t="s">
        <v>1</v>
      </c>
      <c r="D4156" t="s">
        <v>3669</v>
      </c>
      <c r="E4156" t="s">
        <v>3670</v>
      </c>
      <c r="F4156" t="s">
        <v>52</v>
      </c>
      <c r="G4156">
        <v>245</v>
      </c>
      <c r="H4156">
        <v>12</v>
      </c>
      <c r="I4156">
        <v>18</v>
      </c>
      <c r="J4156">
        <v>275</v>
      </c>
      <c r="K4156" s="482">
        <v>0.89100000000000001</v>
      </c>
      <c r="L4156" s="482">
        <v>4.3999999999999997E-2</v>
      </c>
      <c r="M4156" s="482">
        <v>6.5000000000000002E-2</v>
      </c>
    </row>
    <row r="4157" spans="1:13" x14ac:dyDescent="0.2">
      <c r="A4157" t="s">
        <v>5655</v>
      </c>
      <c r="B4157" t="s">
        <v>15</v>
      </c>
      <c r="C4157" t="s">
        <v>1</v>
      </c>
      <c r="D4157" t="s">
        <v>3672</v>
      </c>
      <c r="E4157" t="s">
        <v>3673</v>
      </c>
      <c r="F4157" t="s">
        <v>52</v>
      </c>
      <c r="G4157">
        <v>98</v>
      </c>
      <c r="H4157">
        <v>16</v>
      </c>
      <c r="I4157">
        <v>28</v>
      </c>
      <c r="J4157">
        <v>142</v>
      </c>
      <c r="K4157" s="482">
        <v>0.69</v>
      </c>
      <c r="L4157" s="482">
        <v>0.113</v>
      </c>
      <c r="M4157" s="482">
        <v>0.19700000000000001</v>
      </c>
    </row>
    <row r="4158" spans="1:13" x14ac:dyDescent="0.2">
      <c r="A4158" t="s">
        <v>5512</v>
      </c>
      <c r="B4158" t="s">
        <v>15</v>
      </c>
      <c r="C4158" t="s">
        <v>1</v>
      </c>
      <c r="D4158" t="s">
        <v>3267</v>
      </c>
      <c r="E4158" t="s">
        <v>3268</v>
      </c>
      <c r="F4158" t="s">
        <v>52</v>
      </c>
      <c r="G4158">
        <v>101</v>
      </c>
      <c r="H4158">
        <v>12</v>
      </c>
      <c r="I4158">
        <v>13</v>
      </c>
      <c r="J4158">
        <v>126</v>
      </c>
      <c r="K4158" s="482">
        <v>0.80200000000000005</v>
      </c>
      <c r="L4158" s="482">
        <v>9.5000000000000001E-2</v>
      </c>
      <c r="M4158" s="482">
        <v>0.10299999999999999</v>
      </c>
    </row>
    <row r="4159" spans="1:13" x14ac:dyDescent="0.2">
      <c r="A4159" t="s">
        <v>5513</v>
      </c>
      <c r="B4159" t="s">
        <v>15</v>
      </c>
      <c r="C4159" t="s">
        <v>1</v>
      </c>
      <c r="D4159" t="s">
        <v>3270</v>
      </c>
      <c r="E4159" t="s">
        <v>3271</v>
      </c>
      <c r="F4159" t="s">
        <v>52</v>
      </c>
      <c r="G4159">
        <v>133</v>
      </c>
      <c r="H4159">
        <v>16</v>
      </c>
      <c r="I4159">
        <v>16</v>
      </c>
      <c r="J4159">
        <v>165</v>
      </c>
      <c r="K4159" s="482">
        <v>0.80600000000000005</v>
      </c>
      <c r="L4159" s="482">
        <v>9.7000000000000003E-2</v>
      </c>
      <c r="M4159" s="482">
        <v>9.7000000000000003E-2</v>
      </c>
    </row>
    <row r="4160" spans="1:13" x14ac:dyDescent="0.2">
      <c r="A4160" t="s">
        <v>5514</v>
      </c>
      <c r="B4160" t="s">
        <v>15</v>
      </c>
      <c r="C4160" t="s">
        <v>1</v>
      </c>
      <c r="D4160" t="s">
        <v>3273</v>
      </c>
      <c r="E4160" t="s">
        <v>3274</v>
      </c>
      <c r="F4160" t="s">
        <v>52</v>
      </c>
      <c r="G4160">
        <v>9</v>
      </c>
      <c r="H4160">
        <v>2</v>
      </c>
      <c r="I4160">
        <v>0</v>
      </c>
      <c r="J4160">
        <v>11</v>
      </c>
      <c r="K4160" s="482">
        <v>0.81799999999999995</v>
      </c>
      <c r="L4160" s="482">
        <v>0.182</v>
      </c>
      <c r="M4160" s="482">
        <v>0</v>
      </c>
    </row>
    <row r="4161" spans="1:13" x14ac:dyDescent="0.2">
      <c r="A4161" t="s">
        <v>5488</v>
      </c>
      <c r="B4161" t="s">
        <v>15</v>
      </c>
      <c r="C4161" t="s">
        <v>1</v>
      </c>
      <c r="D4161" t="s">
        <v>3204</v>
      </c>
      <c r="E4161" t="s">
        <v>3205</v>
      </c>
      <c r="F4161" t="s">
        <v>52</v>
      </c>
      <c r="G4161">
        <v>72</v>
      </c>
      <c r="H4161">
        <v>7</v>
      </c>
      <c r="I4161">
        <v>5</v>
      </c>
      <c r="J4161">
        <v>84</v>
      </c>
      <c r="K4161" s="482">
        <v>0.85699999999999998</v>
      </c>
      <c r="L4161" s="482">
        <v>8.3000000000000004E-2</v>
      </c>
      <c r="M4161" s="482">
        <v>0.06</v>
      </c>
    </row>
    <row r="4162" spans="1:13" x14ac:dyDescent="0.2">
      <c r="A4162" t="s">
        <v>5705</v>
      </c>
      <c r="B4162" t="s">
        <v>15</v>
      </c>
      <c r="C4162" t="s">
        <v>1</v>
      </c>
      <c r="D4162" t="s">
        <v>3207</v>
      </c>
      <c r="E4162" t="s">
        <v>3208</v>
      </c>
      <c r="F4162" t="s">
        <v>52</v>
      </c>
      <c r="G4162">
        <v>39</v>
      </c>
      <c r="H4162">
        <v>7</v>
      </c>
      <c r="I4162">
        <v>4</v>
      </c>
      <c r="J4162">
        <v>50</v>
      </c>
      <c r="K4162" s="482">
        <v>0.78</v>
      </c>
      <c r="L4162" s="482">
        <v>0.14000000000000001</v>
      </c>
      <c r="M4162" s="482">
        <v>0.08</v>
      </c>
    </row>
    <row r="4163" spans="1:13" x14ac:dyDescent="0.2">
      <c r="A4163" t="s">
        <v>5706</v>
      </c>
      <c r="B4163" t="s">
        <v>15</v>
      </c>
      <c r="C4163" t="s">
        <v>1</v>
      </c>
      <c r="D4163" t="s">
        <v>3832</v>
      </c>
      <c r="E4163" t="s">
        <v>3833</v>
      </c>
      <c r="F4163" t="s">
        <v>52</v>
      </c>
      <c r="G4163">
        <v>111</v>
      </c>
      <c r="H4163">
        <v>16</v>
      </c>
      <c r="I4163">
        <v>22</v>
      </c>
      <c r="J4163">
        <v>149</v>
      </c>
      <c r="K4163" s="482">
        <v>0.745</v>
      </c>
      <c r="L4163" s="482">
        <v>0.107</v>
      </c>
      <c r="M4163" s="482">
        <v>0.14799999999999999</v>
      </c>
    </row>
    <row r="4164" spans="1:13" x14ac:dyDescent="0.2">
      <c r="A4164" t="s">
        <v>5667</v>
      </c>
      <c r="B4164" t="s">
        <v>15</v>
      </c>
      <c r="C4164" t="s">
        <v>1</v>
      </c>
      <c r="D4164" t="s">
        <v>3706</v>
      </c>
      <c r="E4164" t="s">
        <v>3707</v>
      </c>
      <c r="F4164" t="s">
        <v>52</v>
      </c>
      <c r="G4164">
        <v>221</v>
      </c>
      <c r="H4164">
        <v>29</v>
      </c>
      <c r="I4164">
        <v>39</v>
      </c>
      <c r="J4164">
        <v>289</v>
      </c>
      <c r="K4164" s="482">
        <v>0.76500000000000001</v>
      </c>
      <c r="L4164" s="482">
        <v>0.1</v>
      </c>
      <c r="M4164" s="482">
        <v>0.13500000000000001</v>
      </c>
    </row>
    <row r="4165" spans="1:13" x14ac:dyDescent="0.2">
      <c r="A4165" t="s">
        <v>5605</v>
      </c>
      <c r="B4165" t="s">
        <v>15</v>
      </c>
      <c r="C4165" t="s">
        <v>1</v>
      </c>
      <c r="D4165" t="s">
        <v>3525</v>
      </c>
      <c r="E4165" t="s">
        <v>3526</v>
      </c>
      <c r="F4165" t="s">
        <v>52</v>
      </c>
      <c r="G4165">
        <v>83</v>
      </c>
      <c r="H4165">
        <v>10</v>
      </c>
      <c r="I4165">
        <v>10</v>
      </c>
      <c r="J4165">
        <v>103</v>
      </c>
      <c r="K4165" s="482">
        <v>0.80600000000000005</v>
      </c>
      <c r="L4165" s="482">
        <v>9.7000000000000003E-2</v>
      </c>
      <c r="M4165" s="482">
        <v>9.7000000000000003E-2</v>
      </c>
    </row>
    <row r="4166" spans="1:13" x14ac:dyDescent="0.2">
      <c r="A4166" t="s">
        <v>5606</v>
      </c>
      <c r="B4166" t="s">
        <v>15</v>
      </c>
      <c r="C4166" t="s">
        <v>1</v>
      </c>
      <c r="D4166" t="s">
        <v>3534</v>
      </c>
      <c r="E4166" t="s">
        <v>3535</v>
      </c>
      <c r="F4166" t="s">
        <v>52</v>
      </c>
      <c r="G4166">
        <v>48</v>
      </c>
      <c r="H4166">
        <v>4</v>
      </c>
      <c r="I4166">
        <v>6</v>
      </c>
      <c r="J4166">
        <v>58</v>
      </c>
      <c r="K4166" s="482">
        <v>0.82799999999999996</v>
      </c>
      <c r="L4166" s="482">
        <v>6.9000000000000006E-2</v>
      </c>
      <c r="M4166" s="482">
        <v>0.10299999999999999</v>
      </c>
    </row>
    <row r="4167" spans="1:13" x14ac:dyDescent="0.2">
      <c r="A4167" t="s">
        <v>5672</v>
      </c>
      <c r="B4167" t="s">
        <v>15</v>
      </c>
      <c r="C4167" t="s">
        <v>1</v>
      </c>
      <c r="D4167" t="s">
        <v>3721</v>
      </c>
      <c r="E4167" t="s">
        <v>3722</v>
      </c>
      <c r="F4167" t="s">
        <v>52</v>
      </c>
      <c r="G4167">
        <v>274</v>
      </c>
      <c r="H4167">
        <v>33</v>
      </c>
      <c r="I4167">
        <v>41</v>
      </c>
      <c r="J4167">
        <v>348</v>
      </c>
      <c r="K4167" s="482">
        <v>0.78700000000000003</v>
      </c>
      <c r="L4167" s="482">
        <v>9.5000000000000001E-2</v>
      </c>
      <c r="M4167" s="482">
        <v>0.11799999999999999</v>
      </c>
    </row>
    <row r="4168" spans="1:13" x14ac:dyDescent="0.2">
      <c r="A4168" t="s">
        <v>5673</v>
      </c>
      <c r="B4168" t="s">
        <v>15</v>
      </c>
      <c r="C4168" t="s">
        <v>1</v>
      </c>
      <c r="D4168" t="s">
        <v>3724</v>
      </c>
      <c r="E4168" t="s">
        <v>3725</v>
      </c>
      <c r="F4168" t="s">
        <v>52</v>
      </c>
      <c r="G4168">
        <v>193</v>
      </c>
      <c r="H4168">
        <v>22</v>
      </c>
      <c r="I4168">
        <v>18</v>
      </c>
      <c r="J4168">
        <v>233</v>
      </c>
      <c r="K4168" s="482">
        <v>0.82799999999999996</v>
      </c>
      <c r="L4168" s="482">
        <v>9.4E-2</v>
      </c>
      <c r="M4168" s="482">
        <v>7.6999999999999999E-2</v>
      </c>
    </row>
    <row r="4169" spans="1:13" x14ac:dyDescent="0.2">
      <c r="A4169" t="s">
        <v>5674</v>
      </c>
      <c r="B4169" t="s">
        <v>15</v>
      </c>
      <c r="C4169" t="s">
        <v>1</v>
      </c>
      <c r="D4169" t="s">
        <v>3727</v>
      </c>
      <c r="E4169" t="s">
        <v>3728</v>
      </c>
      <c r="F4169" t="s">
        <v>52</v>
      </c>
      <c r="G4169">
        <v>103</v>
      </c>
      <c r="H4169">
        <v>9</v>
      </c>
      <c r="I4169">
        <v>15</v>
      </c>
      <c r="J4169">
        <v>127</v>
      </c>
      <c r="K4169" s="482">
        <v>0.81100000000000005</v>
      </c>
      <c r="L4169" s="482">
        <v>7.0999999999999994E-2</v>
      </c>
      <c r="M4169" s="482">
        <v>0.11799999999999999</v>
      </c>
    </row>
    <row r="4170" spans="1:13" x14ac:dyDescent="0.2">
      <c r="A4170" t="s">
        <v>5675</v>
      </c>
      <c r="B4170" t="s">
        <v>15</v>
      </c>
      <c r="C4170" t="s">
        <v>1</v>
      </c>
      <c r="D4170" t="s">
        <v>3730</v>
      </c>
      <c r="E4170" t="s">
        <v>3731</v>
      </c>
      <c r="F4170" t="s">
        <v>52</v>
      </c>
      <c r="G4170">
        <v>200</v>
      </c>
      <c r="H4170">
        <v>33</v>
      </c>
      <c r="I4170">
        <v>19</v>
      </c>
      <c r="J4170">
        <v>252</v>
      </c>
      <c r="K4170" s="482">
        <v>0.79400000000000004</v>
      </c>
      <c r="L4170" s="482">
        <v>0.13100000000000001</v>
      </c>
      <c r="M4170" s="482">
        <v>7.4999999999999997E-2</v>
      </c>
    </row>
    <row r="4171" spans="1:13" x14ac:dyDescent="0.2">
      <c r="A4171" t="s">
        <v>5676</v>
      </c>
      <c r="B4171" t="s">
        <v>15</v>
      </c>
      <c r="C4171" t="s">
        <v>1</v>
      </c>
      <c r="D4171" t="s">
        <v>3733</v>
      </c>
      <c r="E4171" t="s">
        <v>3734</v>
      </c>
      <c r="F4171" t="s">
        <v>52</v>
      </c>
      <c r="G4171">
        <v>195</v>
      </c>
      <c r="H4171">
        <v>29</v>
      </c>
      <c r="I4171">
        <v>26</v>
      </c>
      <c r="J4171">
        <v>250</v>
      </c>
      <c r="K4171" s="482">
        <v>0.78</v>
      </c>
      <c r="L4171" s="482">
        <v>0.11600000000000001</v>
      </c>
      <c r="M4171" s="482">
        <v>0.104</v>
      </c>
    </row>
    <row r="4172" spans="1:13" x14ac:dyDescent="0.2">
      <c r="A4172" t="s">
        <v>5677</v>
      </c>
      <c r="B4172" t="s">
        <v>15</v>
      </c>
      <c r="C4172" t="s">
        <v>1</v>
      </c>
      <c r="D4172" t="s">
        <v>3736</v>
      </c>
      <c r="E4172" t="s">
        <v>3737</v>
      </c>
      <c r="F4172" t="s">
        <v>52</v>
      </c>
      <c r="G4172">
        <v>48</v>
      </c>
      <c r="H4172">
        <v>2</v>
      </c>
      <c r="I4172">
        <v>3</v>
      </c>
      <c r="J4172">
        <v>53</v>
      </c>
      <c r="K4172" s="482">
        <v>0.90600000000000003</v>
      </c>
      <c r="L4172" s="482">
        <v>3.7999999999999999E-2</v>
      </c>
      <c r="M4172" s="482">
        <v>5.7000000000000002E-2</v>
      </c>
    </row>
    <row r="4173" spans="1:13" x14ac:dyDescent="0.2">
      <c r="A4173" t="s">
        <v>5668</v>
      </c>
      <c r="B4173" t="s">
        <v>15</v>
      </c>
      <c r="C4173" t="s">
        <v>1</v>
      </c>
      <c r="D4173" t="s">
        <v>3709</v>
      </c>
      <c r="E4173" t="s">
        <v>3710</v>
      </c>
      <c r="F4173" t="s">
        <v>52</v>
      </c>
      <c r="G4173">
        <v>60</v>
      </c>
      <c r="H4173">
        <v>3</v>
      </c>
      <c r="I4173">
        <v>0</v>
      </c>
      <c r="J4173">
        <v>63</v>
      </c>
      <c r="K4173" s="482">
        <v>0.95199999999999996</v>
      </c>
      <c r="L4173" s="482">
        <v>4.8000000000000001E-2</v>
      </c>
      <c r="M4173" s="482">
        <v>0</v>
      </c>
    </row>
    <row r="4174" spans="1:13" x14ac:dyDescent="0.2">
      <c r="A4174" t="s">
        <v>5669</v>
      </c>
      <c r="B4174" t="s">
        <v>15</v>
      </c>
      <c r="C4174" t="s">
        <v>1</v>
      </c>
      <c r="D4174" t="s">
        <v>3712</v>
      </c>
      <c r="E4174" t="s">
        <v>3713</v>
      </c>
      <c r="F4174" t="s">
        <v>52</v>
      </c>
      <c r="G4174">
        <v>162</v>
      </c>
      <c r="H4174">
        <v>22</v>
      </c>
      <c r="I4174">
        <v>17</v>
      </c>
      <c r="J4174">
        <v>201</v>
      </c>
      <c r="K4174" s="482">
        <v>0.80600000000000005</v>
      </c>
      <c r="L4174" s="482">
        <v>0.109</v>
      </c>
      <c r="M4174" s="482">
        <v>8.5000000000000006E-2</v>
      </c>
    </row>
    <row r="4175" spans="1:13" x14ac:dyDescent="0.2">
      <c r="A4175" t="s">
        <v>5731</v>
      </c>
      <c r="B4175" t="s">
        <v>15</v>
      </c>
      <c r="C4175" t="s">
        <v>1</v>
      </c>
      <c r="D4175" t="s">
        <v>3909</v>
      </c>
      <c r="E4175" t="s">
        <v>3910</v>
      </c>
      <c r="F4175" t="s">
        <v>52</v>
      </c>
      <c r="G4175">
        <v>94</v>
      </c>
      <c r="H4175">
        <v>6</v>
      </c>
      <c r="I4175">
        <v>4</v>
      </c>
      <c r="J4175">
        <v>104</v>
      </c>
      <c r="K4175" s="482">
        <v>0.90400000000000003</v>
      </c>
      <c r="L4175" s="482">
        <v>5.8000000000000003E-2</v>
      </c>
      <c r="M4175" s="482">
        <v>3.7999999999999999E-2</v>
      </c>
    </row>
    <row r="4176" spans="1:13" x14ac:dyDescent="0.2">
      <c r="A4176" t="s">
        <v>5733</v>
      </c>
      <c r="B4176" t="s">
        <v>15</v>
      </c>
      <c r="C4176" t="s">
        <v>1</v>
      </c>
      <c r="D4176" t="s">
        <v>3912</v>
      </c>
      <c r="E4176" t="s">
        <v>3913</v>
      </c>
      <c r="F4176" t="s">
        <v>52</v>
      </c>
      <c r="G4176">
        <v>77</v>
      </c>
      <c r="H4176">
        <v>5</v>
      </c>
      <c r="I4176">
        <v>13</v>
      </c>
      <c r="J4176">
        <v>95</v>
      </c>
      <c r="K4176" s="482">
        <v>0.81100000000000005</v>
      </c>
      <c r="L4176" s="482">
        <v>5.2999999999999999E-2</v>
      </c>
      <c r="M4176" s="482">
        <v>0.13700000000000001</v>
      </c>
    </row>
    <row r="4177" spans="1:13" x14ac:dyDescent="0.2">
      <c r="A4177" t="s">
        <v>5734</v>
      </c>
      <c r="B4177" t="s">
        <v>15</v>
      </c>
      <c r="C4177" t="s">
        <v>1</v>
      </c>
      <c r="D4177" t="s">
        <v>3915</v>
      </c>
      <c r="E4177" t="s">
        <v>3916</v>
      </c>
      <c r="F4177" t="s">
        <v>52</v>
      </c>
      <c r="G4177">
        <v>139</v>
      </c>
      <c r="H4177">
        <v>20</v>
      </c>
      <c r="I4177">
        <v>14</v>
      </c>
      <c r="J4177">
        <v>173</v>
      </c>
      <c r="K4177" s="482">
        <v>0.80300000000000005</v>
      </c>
      <c r="L4177" s="482">
        <v>0.11600000000000001</v>
      </c>
      <c r="M4177" s="482">
        <v>8.1000000000000003E-2</v>
      </c>
    </row>
    <row r="4178" spans="1:13" x14ac:dyDescent="0.2">
      <c r="A4178" t="s">
        <v>5735</v>
      </c>
      <c r="B4178" t="s">
        <v>15</v>
      </c>
      <c r="C4178" t="s">
        <v>1</v>
      </c>
      <c r="D4178" t="s">
        <v>3918</v>
      </c>
      <c r="E4178" t="s">
        <v>3919</v>
      </c>
      <c r="F4178" t="s">
        <v>52</v>
      </c>
      <c r="G4178">
        <v>89</v>
      </c>
      <c r="H4178">
        <v>11</v>
      </c>
      <c r="I4178">
        <v>9</v>
      </c>
      <c r="J4178">
        <v>109</v>
      </c>
      <c r="K4178" s="482">
        <v>0.81699999999999995</v>
      </c>
      <c r="L4178" s="482">
        <v>0.10100000000000001</v>
      </c>
      <c r="M4178" s="482">
        <v>8.3000000000000004E-2</v>
      </c>
    </row>
    <row r="4179" spans="1:13" x14ac:dyDescent="0.2">
      <c r="A4179" t="s">
        <v>5618</v>
      </c>
      <c r="B4179" t="s">
        <v>15</v>
      </c>
      <c r="C4179" t="s">
        <v>1</v>
      </c>
      <c r="D4179" t="s">
        <v>3924</v>
      </c>
      <c r="E4179" t="s">
        <v>3925</v>
      </c>
      <c r="F4179" t="s">
        <v>52</v>
      </c>
      <c r="G4179">
        <v>113</v>
      </c>
      <c r="H4179">
        <v>11</v>
      </c>
      <c r="I4179">
        <v>14</v>
      </c>
      <c r="J4179">
        <v>138</v>
      </c>
      <c r="K4179" s="482">
        <v>0.81899999999999995</v>
      </c>
      <c r="L4179" s="482">
        <v>0.08</v>
      </c>
      <c r="M4179" s="482">
        <v>0.10100000000000001</v>
      </c>
    </row>
    <row r="4180" spans="1:13" x14ac:dyDescent="0.2">
      <c r="A4180" t="s">
        <v>5619</v>
      </c>
      <c r="B4180" t="s">
        <v>15</v>
      </c>
      <c r="C4180" t="s">
        <v>1</v>
      </c>
      <c r="D4180" t="s">
        <v>3567</v>
      </c>
      <c r="E4180" t="s">
        <v>3568</v>
      </c>
      <c r="F4180" t="s">
        <v>52</v>
      </c>
      <c r="G4180">
        <v>189</v>
      </c>
      <c r="H4180">
        <v>15</v>
      </c>
      <c r="I4180">
        <v>23</v>
      </c>
      <c r="J4180">
        <v>227</v>
      </c>
      <c r="K4180" s="482">
        <v>0.83299999999999996</v>
      </c>
      <c r="L4180" s="482">
        <v>6.6000000000000003E-2</v>
      </c>
      <c r="M4180" s="482">
        <v>0.10100000000000001</v>
      </c>
    </row>
    <row r="4181" spans="1:13" x14ac:dyDescent="0.2">
      <c r="A4181" t="s">
        <v>5737</v>
      </c>
      <c r="B4181" t="s">
        <v>15</v>
      </c>
      <c r="C4181" t="s">
        <v>1</v>
      </c>
      <c r="D4181" t="s">
        <v>3930</v>
      </c>
      <c r="E4181" t="s">
        <v>344</v>
      </c>
      <c r="F4181" t="s">
        <v>52</v>
      </c>
      <c r="G4181">
        <v>213</v>
      </c>
      <c r="H4181">
        <v>31</v>
      </c>
      <c r="I4181">
        <v>26</v>
      </c>
      <c r="J4181">
        <v>270</v>
      </c>
      <c r="K4181" s="482">
        <v>0.78900000000000003</v>
      </c>
      <c r="L4181" s="482">
        <v>0.115</v>
      </c>
      <c r="M4181" s="482">
        <v>9.6000000000000002E-2</v>
      </c>
    </row>
    <row r="4182" spans="1:13" x14ac:dyDescent="0.2">
      <c r="A4182" t="s">
        <v>5604</v>
      </c>
      <c r="B4182" t="s">
        <v>15</v>
      </c>
      <c r="C4182" t="s">
        <v>1</v>
      </c>
      <c r="D4182" t="s">
        <v>3522</v>
      </c>
      <c r="E4182" t="s">
        <v>3523</v>
      </c>
      <c r="F4182" t="s">
        <v>52</v>
      </c>
      <c r="G4182">
        <v>85</v>
      </c>
      <c r="H4182">
        <v>5</v>
      </c>
      <c r="I4182">
        <v>13</v>
      </c>
      <c r="J4182">
        <v>103</v>
      </c>
      <c r="K4182" s="482">
        <v>0.82499999999999996</v>
      </c>
      <c r="L4182" s="482">
        <v>4.9000000000000002E-2</v>
      </c>
      <c r="M4182" s="482">
        <v>0.126</v>
      </c>
    </row>
    <row r="4183" spans="1:13" x14ac:dyDescent="0.2">
      <c r="A4183" t="s">
        <v>6627</v>
      </c>
      <c r="B4183" t="s">
        <v>15</v>
      </c>
      <c r="C4183" t="s">
        <v>1</v>
      </c>
      <c r="D4183" t="s">
        <v>6515</v>
      </c>
      <c r="E4183" t="s">
        <v>6516</v>
      </c>
      <c r="F4183" t="s">
        <v>52</v>
      </c>
      <c r="G4183" t="s">
        <v>53</v>
      </c>
      <c r="H4183">
        <v>0</v>
      </c>
      <c r="I4183">
        <v>0</v>
      </c>
      <c r="J4183" t="s">
        <v>53</v>
      </c>
      <c r="K4183" t="s">
        <v>53</v>
      </c>
      <c r="L4183" t="s">
        <v>53</v>
      </c>
      <c r="M4183" t="s">
        <v>53</v>
      </c>
    </row>
    <row r="4184" spans="1:13" x14ac:dyDescent="0.2">
      <c r="A4184" t="s">
        <v>5639</v>
      </c>
      <c r="B4184" t="s">
        <v>15</v>
      </c>
      <c r="C4184" t="s">
        <v>1</v>
      </c>
      <c r="D4184" t="s">
        <v>3528</v>
      </c>
      <c r="E4184" t="s">
        <v>3529</v>
      </c>
      <c r="F4184" t="s">
        <v>52</v>
      </c>
      <c r="G4184">
        <v>150</v>
      </c>
      <c r="H4184">
        <v>10</v>
      </c>
      <c r="I4184">
        <v>19</v>
      </c>
      <c r="J4184">
        <v>179</v>
      </c>
      <c r="K4184" s="482">
        <v>0.83799999999999997</v>
      </c>
      <c r="L4184" s="482">
        <v>5.6000000000000001E-2</v>
      </c>
      <c r="M4184" s="482">
        <v>0.106</v>
      </c>
    </row>
    <row r="4185" spans="1:13" x14ac:dyDescent="0.2">
      <c r="A4185" t="s">
        <v>5640</v>
      </c>
      <c r="B4185" t="s">
        <v>15</v>
      </c>
      <c r="C4185" t="s">
        <v>1</v>
      </c>
      <c r="D4185" t="s">
        <v>3627</v>
      </c>
      <c r="E4185" t="s">
        <v>3628</v>
      </c>
      <c r="F4185" t="s">
        <v>52</v>
      </c>
      <c r="G4185">
        <v>138</v>
      </c>
      <c r="H4185">
        <v>12</v>
      </c>
      <c r="I4185">
        <v>15</v>
      </c>
      <c r="J4185">
        <v>165</v>
      </c>
      <c r="K4185" s="482">
        <v>0.83599999999999997</v>
      </c>
      <c r="L4185" s="482">
        <v>7.2999999999999995E-2</v>
      </c>
      <c r="M4185" s="482">
        <v>9.0999999999999998E-2</v>
      </c>
    </row>
    <row r="4186" spans="1:13" x14ac:dyDescent="0.2">
      <c r="A4186" t="s">
        <v>5641</v>
      </c>
      <c r="B4186" t="s">
        <v>15</v>
      </c>
      <c r="C4186" t="s">
        <v>1</v>
      </c>
      <c r="D4186" t="s">
        <v>3630</v>
      </c>
      <c r="E4186" t="s">
        <v>3631</v>
      </c>
      <c r="F4186" t="s">
        <v>52</v>
      </c>
      <c r="G4186">
        <v>113</v>
      </c>
      <c r="H4186">
        <v>9</v>
      </c>
      <c r="I4186">
        <v>16</v>
      </c>
      <c r="J4186">
        <v>138</v>
      </c>
      <c r="K4186" s="482">
        <v>0.81899999999999995</v>
      </c>
      <c r="L4186" s="482">
        <v>6.5000000000000002E-2</v>
      </c>
      <c r="M4186" s="482">
        <v>0.11600000000000001</v>
      </c>
    </row>
    <row r="4187" spans="1:13" x14ac:dyDescent="0.2">
      <c r="A4187" t="s">
        <v>5642</v>
      </c>
      <c r="B4187" t="s">
        <v>15</v>
      </c>
      <c r="C4187" t="s">
        <v>1</v>
      </c>
      <c r="D4187" t="s">
        <v>3633</v>
      </c>
      <c r="E4187" t="s">
        <v>342</v>
      </c>
      <c r="F4187" t="s">
        <v>52</v>
      </c>
      <c r="G4187">
        <v>114</v>
      </c>
      <c r="H4187">
        <v>29</v>
      </c>
      <c r="I4187">
        <v>23</v>
      </c>
      <c r="J4187">
        <v>166</v>
      </c>
      <c r="K4187" s="482">
        <v>0.68700000000000006</v>
      </c>
      <c r="L4187" s="482">
        <v>0.17499999999999999</v>
      </c>
      <c r="M4187" s="482">
        <v>0.13900000000000001</v>
      </c>
    </row>
    <row r="4188" spans="1:13" x14ac:dyDescent="0.2">
      <c r="A4188" t="s">
        <v>5643</v>
      </c>
      <c r="B4188" t="s">
        <v>15</v>
      </c>
      <c r="C4188" t="s">
        <v>1</v>
      </c>
      <c r="D4188" t="s">
        <v>3635</v>
      </c>
      <c r="E4188" t="s">
        <v>3636</v>
      </c>
      <c r="F4188" t="s">
        <v>52</v>
      </c>
      <c r="G4188">
        <v>164</v>
      </c>
      <c r="H4188">
        <v>11</v>
      </c>
      <c r="I4188">
        <v>14</v>
      </c>
      <c r="J4188">
        <v>189</v>
      </c>
      <c r="K4188" s="482">
        <v>0.86799999999999999</v>
      </c>
      <c r="L4188" s="482">
        <v>5.8000000000000003E-2</v>
      </c>
      <c r="M4188" s="482">
        <v>7.3999999999999996E-2</v>
      </c>
    </row>
    <row r="4189" spans="1:13" x14ac:dyDescent="0.2">
      <c r="A4189" t="s">
        <v>5644</v>
      </c>
      <c r="B4189" t="s">
        <v>15</v>
      </c>
      <c r="C4189" t="s">
        <v>1</v>
      </c>
      <c r="D4189" t="s">
        <v>3638</v>
      </c>
      <c r="E4189" t="s">
        <v>3639</v>
      </c>
      <c r="F4189" t="s">
        <v>52</v>
      </c>
      <c r="G4189">
        <v>112</v>
      </c>
      <c r="H4189">
        <v>17</v>
      </c>
      <c r="I4189">
        <v>14</v>
      </c>
      <c r="J4189">
        <v>143</v>
      </c>
      <c r="K4189" s="482">
        <v>0.78300000000000003</v>
      </c>
      <c r="L4189" s="482">
        <v>0.11899999999999999</v>
      </c>
      <c r="M4189" s="482">
        <v>9.8000000000000004E-2</v>
      </c>
    </row>
    <row r="4190" spans="1:13" x14ac:dyDescent="0.2">
      <c r="A4190" t="s">
        <v>5685</v>
      </c>
      <c r="B4190" t="s">
        <v>15</v>
      </c>
      <c r="C4190" t="s">
        <v>1</v>
      </c>
      <c r="D4190" t="s">
        <v>3757</v>
      </c>
      <c r="E4190" t="s">
        <v>3758</v>
      </c>
      <c r="F4190" t="s">
        <v>52</v>
      </c>
      <c r="G4190">
        <v>51</v>
      </c>
      <c r="H4190">
        <v>2</v>
      </c>
      <c r="I4190">
        <v>4</v>
      </c>
      <c r="J4190">
        <v>57</v>
      </c>
      <c r="K4190" s="482">
        <v>0.89500000000000002</v>
      </c>
      <c r="L4190" s="482">
        <v>3.5000000000000003E-2</v>
      </c>
      <c r="M4190" s="482">
        <v>7.0000000000000007E-2</v>
      </c>
    </row>
    <row r="4191" spans="1:13" x14ac:dyDescent="0.2">
      <c r="A4191" t="s">
        <v>5686</v>
      </c>
      <c r="B4191" t="s">
        <v>15</v>
      </c>
      <c r="C4191" t="s">
        <v>1</v>
      </c>
      <c r="D4191" t="s">
        <v>3760</v>
      </c>
      <c r="E4191" t="s">
        <v>3761</v>
      </c>
      <c r="F4191" t="s">
        <v>52</v>
      </c>
      <c r="G4191">
        <v>52</v>
      </c>
      <c r="H4191">
        <v>4</v>
      </c>
      <c r="I4191">
        <v>7</v>
      </c>
      <c r="J4191">
        <v>63</v>
      </c>
      <c r="K4191" s="482">
        <v>0.82499999999999996</v>
      </c>
      <c r="L4191" s="482">
        <v>6.3E-2</v>
      </c>
      <c r="M4191" s="482">
        <v>0.111</v>
      </c>
    </row>
    <row r="4192" spans="1:13" x14ac:dyDescent="0.2">
      <c r="A4192" t="s">
        <v>6628</v>
      </c>
      <c r="B4192" t="s">
        <v>15</v>
      </c>
      <c r="C4192" t="s">
        <v>1</v>
      </c>
      <c r="D4192" t="s">
        <v>3480</v>
      </c>
      <c r="E4192" t="s">
        <v>6584</v>
      </c>
      <c r="F4192" t="s">
        <v>52</v>
      </c>
      <c r="G4192">
        <v>168</v>
      </c>
      <c r="H4192">
        <v>32</v>
      </c>
      <c r="I4192">
        <v>17</v>
      </c>
      <c r="J4192">
        <v>217</v>
      </c>
      <c r="K4192" s="482">
        <v>0.77400000000000002</v>
      </c>
      <c r="L4192" s="482">
        <v>0.14699999999999999</v>
      </c>
      <c r="M4192" s="482">
        <v>7.8E-2</v>
      </c>
    </row>
    <row r="4193" spans="1:13" x14ac:dyDescent="0.2">
      <c r="A4193" t="s">
        <v>5687</v>
      </c>
      <c r="B4193" t="s">
        <v>15</v>
      </c>
      <c r="C4193" t="s">
        <v>1</v>
      </c>
      <c r="D4193" t="s">
        <v>3763</v>
      </c>
      <c r="E4193" t="s">
        <v>3764</v>
      </c>
      <c r="F4193" t="s">
        <v>52</v>
      </c>
      <c r="G4193">
        <v>239</v>
      </c>
      <c r="H4193">
        <v>30</v>
      </c>
      <c r="I4193">
        <v>41</v>
      </c>
      <c r="J4193">
        <v>310</v>
      </c>
      <c r="K4193" s="482">
        <v>0.77100000000000002</v>
      </c>
      <c r="L4193" s="482">
        <v>9.7000000000000003E-2</v>
      </c>
      <c r="M4193" s="482">
        <v>0.13200000000000001</v>
      </c>
    </row>
    <row r="4194" spans="1:13" x14ac:dyDescent="0.2">
      <c r="A4194" t="s">
        <v>5688</v>
      </c>
      <c r="B4194" t="s">
        <v>15</v>
      </c>
      <c r="C4194" t="s">
        <v>1</v>
      </c>
      <c r="D4194" t="s">
        <v>4506</v>
      </c>
      <c r="E4194" t="s">
        <v>4507</v>
      </c>
      <c r="F4194" t="s">
        <v>52</v>
      </c>
      <c r="G4194">
        <v>6</v>
      </c>
      <c r="H4194">
        <v>0</v>
      </c>
      <c r="I4194">
        <v>1</v>
      </c>
      <c r="J4194">
        <v>7</v>
      </c>
      <c r="K4194" s="482">
        <v>0.85699999999999998</v>
      </c>
      <c r="L4194" s="482">
        <v>0</v>
      </c>
      <c r="M4194" s="482">
        <v>0.14299999999999999</v>
      </c>
    </row>
    <row r="4195" spans="1:13" x14ac:dyDescent="0.2">
      <c r="A4195" t="s">
        <v>5689</v>
      </c>
      <c r="B4195" t="s">
        <v>15</v>
      </c>
      <c r="C4195" t="s">
        <v>1</v>
      </c>
      <c r="D4195" t="s">
        <v>3766</v>
      </c>
      <c r="E4195" t="s">
        <v>3767</v>
      </c>
      <c r="F4195" t="s">
        <v>52</v>
      </c>
      <c r="G4195">
        <v>56</v>
      </c>
      <c r="H4195">
        <v>11</v>
      </c>
      <c r="I4195">
        <v>13</v>
      </c>
      <c r="J4195">
        <v>80</v>
      </c>
      <c r="K4195" s="482">
        <v>0.7</v>
      </c>
      <c r="L4195" s="482">
        <v>0.13800000000000001</v>
      </c>
      <c r="M4195" s="482">
        <v>0.16300000000000001</v>
      </c>
    </row>
    <row r="4196" spans="1:13" x14ac:dyDescent="0.2">
      <c r="A4196" t="s">
        <v>5690</v>
      </c>
      <c r="B4196" t="s">
        <v>15</v>
      </c>
      <c r="C4196" t="s">
        <v>1</v>
      </c>
      <c r="D4196" t="s">
        <v>3769</v>
      </c>
      <c r="E4196" t="s">
        <v>3770</v>
      </c>
      <c r="F4196" t="s">
        <v>52</v>
      </c>
      <c r="G4196">
        <v>91</v>
      </c>
      <c r="H4196">
        <v>15</v>
      </c>
      <c r="I4196">
        <v>12</v>
      </c>
      <c r="J4196">
        <v>118</v>
      </c>
      <c r="K4196" s="482">
        <v>0.77100000000000002</v>
      </c>
      <c r="L4196" s="482">
        <v>0.127</v>
      </c>
      <c r="M4196" s="482">
        <v>0.10199999999999999</v>
      </c>
    </row>
    <row r="4197" spans="1:13" x14ac:dyDescent="0.2">
      <c r="A4197" t="s">
        <v>5691</v>
      </c>
      <c r="B4197" t="s">
        <v>15</v>
      </c>
      <c r="C4197" t="s">
        <v>1</v>
      </c>
      <c r="D4197" t="s">
        <v>3772</v>
      </c>
      <c r="E4197" t="s">
        <v>3773</v>
      </c>
      <c r="F4197" t="s">
        <v>52</v>
      </c>
      <c r="G4197">
        <v>178</v>
      </c>
      <c r="H4197">
        <v>20</v>
      </c>
      <c r="I4197">
        <v>28</v>
      </c>
      <c r="J4197">
        <v>226</v>
      </c>
      <c r="K4197" s="482">
        <v>0.78800000000000003</v>
      </c>
      <c r="L4197" s="482">
        <v>8.7999999999999995E-2</v>
      </c>
      <c r="M4197" s="482">
        <v>0.124</v>
      </c>
    </row>
    <row r="4198" spans="1:13" x14ac:dyDescent="0.2">
      <c r="A4198" t="s">
        <v>5670</v>
      </c>
      <c r="B4198" t="s">
        <v>15</v>
      </c>
      <c r="C4198" t="s">
        <v>1</v>
      </c>
      <c r="D4198" t="s">
        <v>3715</v>
      </c>
      <c r="E4198" t="s">
        <v>3716</v>
      </c>
      <c r="F4198" t="s">
        <v>52</v>
      </c>
      <c r="G4198">
        <v>265</v>
      </c>
      <c r="H4198">
        <v>40</v>
      </c>
      <c r="I4198">
        <v>37</v>
      </c>
      <c r="J4198">
        <v>342</v>
      </c>
      <c r="K4198" s="482">
        <v>0.77500000000000002</v>
      </c>
      <c r="L4198" s="482">
        <v>0.11700000000000001</v>
      </c>
      <c r="M4198" s="482">
        <v>0.108</v>
      </c>
    </row>
    <row r="4199" spans="1:13" x14ac:dyDescent="0.2">
      <c r="A4199" t="s">
        <v>5671</v>
      </c>
      <c r="B4199" t="s">
        <v>15</v>
      </c>
      <c r="C4199" t="s">
        <v>1</v>
      </c>
      <c r="D4199" t="s">
        <v>3718</v>
      </c>
      <c r="E4199" t="s">
        <v>3719</v>
      </c>
      <c r="F4199" t="s">
        <v>52</v>
      </c>
      <c r="G4199">
        <v>514</v>
      </c>
      <c r="H4199">
        <v>45</v>
      </c>
      <c r="I4199">
        <v>47</v>
      </c>
      <c r="J4199">
        <v>606</v>
      </c>
      <c r="K4199" s="482">
        <v>0.84799999999999998</v>
      </c>
      <c r="L4199" s="482">
        <v>7.3999999999999996E-2</v>
      </c>
      <c r="M4199" s="482">
        <v>7.8E-2</v>
      </c>
    </row>
    <row r="4200" spans="1:13" x14ac:dyDescent="0.2">
      <c r="A4200" t="s">
        <v>5732</v>
      </c>
      <c r="B4200" t="s">
        <v>15</v>
      </c>
      <c r="C4200" t="s">
        <v>1</v>
      </c>
      <c r="D4200" t="s">
        <v>4558</v>
      </c>
      <c r="E4200" t="s">
        <v>4559</v>
      </c>
      <c r="F4200" t="s">
        <v>52</v>
      </c>
      <c r="G4200">
        <v>66</v>
      </c>
      <c r="H4200">
        <v>6</v>
      </c>
      <c r="I4200">
        <v>11</v>
      </c>
      <c r="J4200">
        <v>83</v>
      </c>
      <c r="K4200" s="482">
        <v>0.79500000000000004</v>
      </c>
      <c r="L4200" s="482">
        <v>7.1999999999999995E-2</v>
      </c>
      <c r="M4200" s="482">
        <v>0.13300000000000001</v>
      </c>
    </row>
    <row r="4201" spans="1:13" x14ac:dyDescent="0.2">
      <c r="A4201" t="s">
        <v>5599</v>
      </c>
      <c r="B4201" t="s">
        <v>15</v>
      </c>
      <c r="C4201" t="s">
        <v>1</v>
      </c>
      <c r="D4201" t="s">
        <v>3509</v>
      </c>
      <c r="E4201" t="s">
        <v>3510</v>
      </c>
      <c r="F4201" t="s">
        <v>52</v>
      </c>
      <c r="G4201">
        <v>74</v>
      </c>
      <c r="H4201">
        <v>5</v>
      </c>
      <c r="I4201">
        <v>7</v>
      </c>
      <c r="J4201">
        <v>86</v>
      </c>
      <c r="K4201" s="482">
        <v>0.86</v>
      </c>
      <c r="L4201" s="482">
        <v>5.8000000000000003E-2</v>
      </c>
      <c r="M4201" s="482">
        <v>8.1000000000000003E-2</v>
      </c>
    </row>
    <row r="4202" spans="1:13" x14ac:dyDescent="0.2">
      <c r="A4202" t="s">
        <v>5616</v>
      </c>
      <c r="B4202" t="s">
        <v>15</v>
      </c>
      <c r="C4202" t="s">
        <v>1</v>
      </c>
      <c r="D4202" t="s">
        <v>4425</v>
      </c>
      <c r="E4202" t="s">
        <v>4426</v>
      </c>
      <c r="F4202" t="s">
        <v>52</v>
      </c>
      <c r="G4202">
        <v>437</v>
      </c>
      <c r="H4202">
        <v>46</v>
      </c>
      <c r="I4202">
        <v>52</v>
      </c>
      <c r="J4202">
        <v>535</v>
      </c>
      <c r="K4202" s="482">
        <v>0.81699999999999995</v>
      </c>
      <c r="L4202" s="482">
        <v>8.5999999999999993E-2</v>
      </c>
      <c r="M4202" s="482">
        <v>9.7000000000000003E-2</v>
      </c>
    </row>
    <row r="4203" spans="1:13" x14ac:dyDescent="0.2">
      <c r="A4203" t="s">
        <v>5597</v>
      </c>
      <c r="B4203" t="s">
        <v>15</v>
      </c>
      <c r="C4203" t="s">
        <v>1</v>
      </c>
      <c r="D4203" t="s">
        <v>3503</v>
      </c>
      <c r="E4203" t="s">
        <v>3504</v>
      </c>
      <c r="F4203" t="s">
        <v>52</v>
      </c>
      <c r="G4203">
        <v>20</v>
      </c>
      <c r="H4203">
        <v>2</v>
      </c>
      <c r="I4203">
        <v>4</v>
      </c>
      <c r="J4203">
        <v>26</v>
      </c>
      <c r="K4203" s="482">
        <v>0.76900000000000002</v>
      </c>
      <c r="L4203" s="482">
        <v>7.6999999999999999E-2</v>
      </c>
      <c r="M4203" s="482">
        <v>0.154</v>
      </c>
    </row>
    <row r="4204" spans="1:13" x14ac:dyDescent="0.2">
      <c r="A4204" t="s">
        <v>5598</v>
      </c>
      <c r="B4204" t="s">
        <v>15</v>
      </c>
      <c r="C4204" t="s">
        <v>1</v>
      </c>
      <c r="D4204" t="s">
        <v>3506</v>
      </c>
      <c r="E4204" t="s">
        <v>3507</v>
      </c>
      <c r="F4204" t="s">
        <v>52</v>
      </c>
      <c r="G4204">
        <v>46</v>
      </c>
      <c r="H4204">
        <v>7</v>
      </c>
      <c r="I4204">
        <v>9</v>
      </c>
      <c r="J4204">
        <v>62</v>
      </c>
      <c r="K4204" s="482">
        <v>0.74199999999999999</v>
      </c>
      <c r="L4204" s="482">
        <v>0.113</v>
      </c>
      <c r="M4204" s="482">
        <v>0.14499999999999999</v>
      </c>
    </row>
    <row r="4205" spans="1:13" x14ac:dyDescent="0.2">
      <c r="A4205" t="s">
        <v>5600</v>
      </c>
      <c r="B4205" t="s">
        <v>15</v>
      </c>
      <c r="C4205" t="s">
        <v>1</v>
      </c>
      <c r="D4205" t="s">
        <v>3512</v>
      </c>
      <c r="E4205" t="s">
        <v>3513</v>
      </c>
      <c r="F4205" t="s">
        <v>52</v>
      </c>
      <c r="G4205">
        <v>62</v>
      </c>
      <c r="H4205">
        <v>4</v>
      </c>
      <c r="I4205">
        <v>10</v>
      </c>
      <c r="J4205">
        <v>76</v>
      </c>
      <c r="K4205" s="482">
        <v>0.81599999999999995</v>
      </c>
      <c r="L4205" s="482">
        <v>5.2999999999999999E-2</v>
      </c>
      <c r="M4205" s="482">
        <v>0.13200000000000001</v>
      </c>
    </row>
    <row r="4206" spans="1:13" x14ac:dyDescent="0.2">
      <c r="A4206" t="s">
        <v>5611</v>
      </c>
      <c r="B4206" t="s">
        <v>15</v>
      </c>
      <c r="C4206" t="s">
        <v>1</v>
      </c>
      <c r="D4206" t="s">
        <v>3549</v>
      </c>
      <c r="E4206" t="s">
        <v>3550</v>
      </c>
      <c r="F4206" t="s">
        <v>52</v>
      </c>
      <c r="G4206">
        <v>171</v>
      </c>
      <c r="H4206">
        <v>21</v>
      </c>
      <c r="I4206">
        <v>23</v>
      </c>
      <c r="J4206">
        <v>215</v>
      </c>
      <c r="K4206" s="482">
        <v>0.79500000000000004</v>
      </c>
      <c r="L4206" s="482">
        <v>9.8000000000000004E-2</v>
      </c>
      <c r="M4206" s="482">
        <v>0.107</v>
      </c>
    </row>
    <row r="4207" spans="1:13" x14ac:dyDescent="0.2">
      <c r="A4207" t="s">
        <v>5612</v>
      </c>
      <c r="B4207" t="s">
        <v>15</v>
      </c>
      <c r="C4207" t="s">
        <v>1</v>
      </c>
      <c r="D4207" t="s">
        <v>3552</v>
      </c>
      <c r="E4207" t="s">
        <v>3553</v>
      </c>
      <c r="F4207" t="s">
        <v>52</v>
      </c>
      <c r="G4207">
        <v>152</v>
      </c>
      <c r="H4207">
        <v>22</v>
      </c>
      <c r="I4207">
        <v>22</v>
      </c>
      <c r="J4207">
        <v>196</v>
      </c>
      <c r="K4207" s="482">
        <v>0.77600000000000002</v>
      </c>
      <c r="L4207" s="482">
        <v>0.112</v>
      </c>
      <c r="M4207" s="482">
        <v>0.112</v>
      </c>
    </row>
    <row r="4208" spans="1:13" x14ac:dyDescent="0.2">
      <c r="A4208" t="s">
        <v>5613</v>
      </c>
      <c r="B4208" t="s">
        <v>15</v>
      </c>
      <c r="C4208" t="s">
        <v>1</v>
      </c>
      <c r="D4208" t="s">
        <v>3555</v>
      </c>
      <c r="E4208" t="s">
        <v>3556</v>
      </c>
      <c r="F4208" t="s">
        <v>52</v>
      </c>
      <c r="G4208">
        <v>118</v>
      </c>
      <c r="H4208">
        <v>20</v>
      </c>
      <c r="I4208">
        <v>20</v>
      </c>
      <c r="J4208">
        <v>158</v>
      </c>
      <c r="K4208" s="482">
        <v>0.747</v>
      </c>
      <c r="L4208" s="482">
        <v>0.127</v>
      </c>
      <c r="M4208" s="482">
        <v>0.127</v>
      </c>
    </row>
    <row r="4209" spans="1:13" x14ac:dyDescent="0.2">
      <c r="A4209" t="s">
        <v>5720</v>
      </c>
      <c r="B4209" t="s">
        <v>15</v>
      </c>
      <c r="C4209" t="s">
        <v>1</v>
      </c>
      <c r="D4209" t="s">
        <v>3873</v>
      </c>
      <c r="E4209" t="s">
        <v>3874</v>
      </c>
      <c r="F4209" t="s">
        <v>52</v>
      </c>
      <c r="G4209">
        <v>298</v>
      </c>
      <c r="H4209">
        <v>36</v>
      </c>
      <c r="I4209">
        <v>35</v>
      </c>
      <c r="J4209">
        <v>369</v>
      </c>
      <c r="K4209" s="482">
        <v>0.80800000000000005</v>
      </c>
      <c r="L4209" s="482">
        <v>9.8000000000000004E-2</v>
      </c>
      <c r="M4209" s="482">
        <v>9.5000000000000001E-2</v>
      </c>
    </row>
    <row r="4210" spans="1:13" x14ac:dyDescent="0.2">
      <c r="A4210" t="s">
        <v>5721</v>
      </c>
      <c r="B4210" t="s">
        <v>15</v>
      </c>
      <c r="C4210" t="s">
        <v>1</v>
      </c>
      <c r="D4210" t="s">
        <v>3876</v>
      </c>
      <c r="E4210" t="s">
        <v>3877</v>
      </c>
      <c r="F4210" t="s">
        <v>52</v>
      </c>
      <c r="G4210">
        <v>200</v>
      </c>
      <c r="H4210">
        <v>19</v>
      </c>
      <c r="I4210">
        <v>21</v>
      </c>
      <c r="J4210">
        <v>240</v>
      </c>
      <c r="K4210" s="482">
        <v>0.83299999999999996</v>
      </c>
      <c r="L4210" s="482">
        <v>7.9000000000000001E-2</v>
      </c>
      <c r="M4210" s="482">
        <v>8.7999999999999995E-2</v>
      </c>
    </row>
    <row r="4211" spans="1:13" x14ac:dyDescent="0.2">
      <c r="A4211" t="s">
        <v>5722</v>
      </c>
      <c r="B4211" t="s">
        <v>15</v>
      </c>
      <c r="C4211" t="s">
        <v>1</v>
      </c>
      <c r="D4211" t="s">
        <v>3879</v>
      </c>
      <c r="E4211" t="s">
        <v>3880</v>
      </c>
      <c r="F4211" t="s">
        <v>52</v>
      </c>
      <c r="G4211">
        <v>106</v>
      </c>
      <c r="H4211">
        <v>7</v>
      </c>
      <c r="I4211">
        <v>8</v>
      </c>
      <c r="J4211">
        <v>121</v>
      </c>
      <c r="K4211" s="482">
        <v>0.876</v>
      </c>
      <c r="L4211" s="482">
        <v>5.8000000000000003E-2</v>
      </c>
      <c r="M4211" s="482">
        <v>6.6000000000000003E-2</v>
      </c>
    </row>
    <row r="4212" spans="1:13" x14ac:dyDescent="0.2">
      <c r="A4212" t="s">
        <v>5723</v>
      </c>
      <c r="B4212" t="s">
        <v>15</v>
      </c>
      <c r="C4212" t="s">
        <v>1</v>
      </c>
      <c r="D4212" t="s">
        <v>3882</v>
      </c>
      <c r="E4212" t="s">
        <v>3883</v>
      </c>
      <c r="F4212" t="s">
        <v>52</v>
      </c>
      <c r="G4212">
        <v>275</v>
      </c>
      <c r="H4212">
        <v>33</v>
      </c>
      <c r="I4212">
        <v>40</v>
      </c>
      <c r="J4212">
        <v>348</v>
      </c>
      <c r="K4212" s="482">
        <v>0.79</v>
      </c>
      <c r="L4212" s="482">
        <v>9.5000000000000001E-2</v>
      </c>
      <c r="M4212" s="482">
        <v>0.115</v>
      </c>
    </row>
    <row r="4213" spans="1:13" x14ac:dyDescent="0.2">
      <c r="A4213" t="s">
        <v>5713</v>
      </c>
      <c r="B4213" t="s">
        <v>15</v>
      </c>
      <c r="C4213" t="s">
        <v>1</v>
      </c>
      <c r="D4213" t="s">
        <v>3852</v>
      </c>
      <c r="E4213" t="s">
        <v>3853</v>
      </c>
      <c r="F4213" t="s">
        <v>52</v>
      </c>
      <c r="G4213">
        <v>68</v>
      </c>
      <c r="H4213">
        <v>11</v>
      </c>
      <c r="I4213">
        <v>9</v>
      </c>
      <c r="J4213">
        <v>88</v>
      </c>
      <c r="K4213" s="482">
        <v>0.77300000000000002</v>
      </c>
      <c r="L4213" s="482">
        <v>0.125</v>
      </c>
      <c r="M4213" s="482">
        <v>0.10199999999999999</v>
      </c>
    </row>
    <row r="4214" spans="1:13" x14ac:dyDescent="0.2">
      <c r="A4214" t="s">
        <v>5714</v>
      </c>
      <c r="B4214" t="s">
        <v>15</v>
      </c>
      <c r="C4214" t="s">
        <v>1</v>
      </c>
      <c r="D4214" t="s">
        <v>3855</v>
      </c>
      <c r="E4214" t="s">
        <v>3856</v>
      </c>
      <c r="F4214" t="s">
        <v>52</v>
      </c>
      <c r="G4214">
        <v>65</v>
      </c>
      <c r="H4214">
        <v>2</v>
      </c>
      <c r="I4214">
        <v>9</v>
      </c>
      <c r="J4214">
        <v>76</v>
      </c>
      <c r="K4214" s="482">
        <v>0.85499999999999998</v>
      </c>
      <c r="L4214" s="482">
        <v>2.5999999999999999E-2</v>
      </c>
      <c r="M4214" s="482">
        <v>0.11799999999999999</v>
      </c>
    </row>
    <row r="4215" spans="1:13" x14ac:dyDescent="0.2">
      <c r="A4215" t="s">
        <v>5715</v>
      </c>
      <c r="B4215" t="s">
        <v>15</v>
      </c>
      <c r="C4215" t="s">
        <v>1</v>
      </c>
      <c r="D4215" t="s">
        <v>3858</v>
      </c>
      <c r="E4215" t="s">
        <v>3859</v>
      </c>
      <c r="F4215" t="s">
        <v>52</v>
      </c>
      <c r="G4215">
        <v>192</v>
      </c>
      <c r="H4215">
        <v>32</v>
      </c>
      <c r="I4215">
        <v>28</v>
      </c>
      <c r="J4215">
        <v>252</v>
      </c>
      <c r="K4215" s="482">
        <v>0.76200000000000001</v>
      </c>
      <c r="L4215" s="482">
        <v>0.127</v>
      </c>
      <c r="M4215" s="482">
        <v>0.111</v>
      </c>
    </row>
    <row r="4216" spans="1:13" x14ac:dyDescent="0.2">
      <c r="A4216" t="s">
        <v>6629</v>
      </c>
      <c r="B4216" t="s">
        <v>15</v>
      </c>
      <c r="C4216" t="s">
        <v>1</v>
      </c>
      <c r="D4216" t="s">
        <v>3900</v>
      </c>
      <c r="E4216" t="s">
        <v>3901</v>
      </c>
      <c r="F4216" t="s">
        <v>52</v>
      </c>
      <c r="G4216" t="s">
        <v>53</v>
      </c>
      <c r="H4216">
        <v>0</v>
      </c>
      <c r="I4216">
        <v>0</v>
      </c>
      <c r="J4216" t="s">
        <v>53</v>
      </c>
      <c r="K4216" t="s">
        <v>53</v>
      </c>
      <c r="L4216" t="s">
        <v>53</v>
      </c>
      <c r="M4216" t="s">
        <v>53</v>
      </c>
    </row>
    <row r="4217" spans="1:13" x14ac:dyDescent="0.2">
      <c r="A4217" t="s">
        <v>5716</v>
      </c>
      <c r="B4217" t="s">
        <v>15</v>
      </c>
      <c r="C4217" t="s">
        <v>1</v>
      </c>
      <c r="D4217" t="s">
        <v>3861</v>
      </c>
      <c r="E4217" t="s">
        <v>3862</v>
      </c>
      <c r="F4217" t="s">
        <v>52</v>
      </c>
      <c r="G4217">
        <v>268</v>
      </c>
      <c r="H4217">
        <v>38</v>
      </c>
      <c r="I4217">
        <v>39</v>
      </c>
      <c r="J4217">
        <v>345</v>
      </c>
      <c r="K4217" s="482">
        <v>0.77700000000000002</v>
      </c>
      <c r="L4217" s="482">
        <v>0.11</v>
      </c>
      <c r="M4217" s="482">
        <v>0.113</v>
      </c>
    </row>
    <row r="4218" spans="1:13" x14ac:dyDescent="0.2">
      <c r="A4218" t="s">
        <v>5717</v>
      </c>
      <c r="B4218" t="s">
        <v>15</v>
      </c>
      <c r="C4218" t="s">
        <v>1</v>
      </c>
      <c r="D4218" t="s">
        <v>3864</v>
      </c>
      <c r="E4218" t="s">
        <v>3865</v>
      </c>
      <c r="F4218" t="s">
        <v>52</v>
      </c>
      <c r="G4218">
        <v>173</v>
      </c>
      <c r="H4218">
        <v>27</v>
      </c>
      <c r="I4218">
        <v>19</v>
      </c>
      <c r="J4218">
        <v>219</v>
      </c>
      <c r="K4218" s="482">
        <v>0.79</v>
      </c>
      <c r="L4218" s="482">
        <v>0.123</v>
      </c>
      <c r="M4218" s="482">
        <v>8.6999999999999994E-2</v>
      </c>
    </row>
    <row r="4219" spans="1:13" x14ac:dyDescent="0.2">
      <c r="A4219" t="s">
        <v>5718</v>
      </c>
      <c r="B4219" t="s">
        <v>15</v>
      </c>
      <c r="C4219" t="s">
        <v>1</v>
      </c>
      <c r="D4219" t="s">
        <v>3867</v>
      </c>
      <c r="E4219" t="s">
        <v>3868</v>
      </c>
      <c r="F4219" t="s">
        <v>52</v>
      </c>
      <c r="G4219">
        <v>203</v>
      </c>
      <c r="H4219">
        <v>26</v>
      </c>
      <c r="I4219">
        <v>34</v>
      </c>
      <c r="J4219">
        <v>263</v>
      </c>
      <c r="K4219" s="482">
        <v>0.77200000000000002</v>
      </c>
      <c r="L4219" s="482">
        <v>9.9000000000000005E-2</v>
      </c>
      <c r="M4219" s="482">
        <v>0.129</v>
      </c>
    </row>
    <row r="4220" spans="1:13" x14ac:dyDescent="0.2">
      <c r="A4220" t="s">
        <v>5719</v>
      </c>
      <c r="B4220" t="s">
        <v>15</v>
      </c>
      <c r="C4220" t="s">
        <v>1</v>
      </c>
      <c r="D4220" t="s">
        <v>3870</v>
      </c>
      <c r="E4220" t="s">
        <v>3871</v>
      </c>
      <c r="F4220" t="s">
        <v>52</v>
      </c>
      <c r="G4220">
        <v>49</v>
      </c>
      <c r="H4220">
        <v>7</v>
      </c>
      <c r="I4220">
        <v>5</v>
      </c>
      <c r="J4220">
        <v>61</v>
      </c>
      <c r="K4220" s="482">
        <v>0.80300000000000005</v>
      </c>
      <c r="L4220" s="482">
        <v>0.115</v>
      </c>
      <c r="M4220" s="482">
        <v>8.2000000000000003E-2</v>
      </c>
    </row>
    <row r="4221" spans="1:13" x14ac:dyDescent="0.2">
      <c r="A4221" t="s">
        <v>5692</v>
      </c>
      <c r="B4221" t="s">
        <v>15</v>
      </c>
      <c r="C4221" t="s">
        <v>1</v>
      </c>
      <c r="D4221" t="s">
        <v>3781</v>
      </c>
      <c r="E4221" t="s">
        <v>3782</v>
      </c>
      <c r="F4221" t="s">
        <v>52</v>
      </c>
      <c r="G4221">
        <v>63</v>
      </c>
      <c r="H4221">
        <v>10</v>
      </c>
      <c r="I4221">
        <v>14</v>
      </c>
      <c r="J4221">
        <v>87</v>
      </c>
      <c r="K4221" s="482">
        <v>0.72399999999999998</v>
      </c>
      <c r="L4221" s="482">
        <v>0.115</v>
      </c>
      <c r="M4221" s="482">
        <v>0.161</v>
      </c>
    </row>
    <row r="4222" spans="1:13" x14ac:dyDescent="0.2">
      <c r="A4222" t="s">
        <v>5693</v>
      </c>
      <c r="B4222" t="s">
        <v>15</v>
      </c>
      <c r="C4222" t="s">
        <v>1</v>
      </c>
      <c r="D4222" t="s">
        <v>3784</v>
      </c>
      <c r="E4222" t="s">
        <v>3785</v>
      </c>
      <c r="F4222" t="s">
        <v>52</v>
      </c>
      <c r="G4222">
        <v>249</v>
      </c>
      <c r="H4222">
        <v>33</v>
      </c>
      <c r="I4222">
        <v>32</v>
      </c>
      <c r="J4222">
        <v>314</v>
      </c>
      <c r="K4222" s="482">
        <v>0.79300000000000004</v>
      </c>
      <c r="L4222" s="482">
        <v>0.105</v>
      </c>
      <c r="M4222" s="482">
        <v>0.10199999999999999</v>
      </c>
    </row>
    <row r="4223" spans="1:13" x14ac:dyDescent="0.2">
      <c r="A4223" t="s">
        <v>5694</v>
      </c>
      <c r="B4223" t="s">
        <v>15</v>
      </c>
      <c r="C4223" t="s">
        <v>1</v>
      </c>
      <c r="D4223" t="s">
        <v>3787</v>
      </c>
      <c r="E4223" t="s">
        <v>3788</v>
      </c>
      <c r="F4223" t="s">
        <v>52</v>
      </c>
      <c r="G4223">
        <v>177</v>
      </c>
      <c r="H4223">
        <v>21</v>
      </c>
      <c r="I4223">
        <v>17</v>
      </c>
      <c r="J4223">
        <v>215</v>
      </c>
      <c r="K4223" s="482">
        <v>0.82299999999999995</v>
      </c>
      <c r="L4223" s="482">
        <v>9.8000000000000004E-2</v>
      </c>
      <c r="M4223" s="482">
        <v>7.9000000000000001E-2</v>
      </c>
    </row>
    <row r="4224" spans="1:13" x14ac:dyDescent="0.2">
      <c r="A4224" t="s">
        <v>5695</v>
      </c>
      <c r="B4224" t="s">
        <v>15</v>
      </c>
      <c r="C4224" t="s">
        <v>1</v>
      </c>
      <c r="D4224" t="s">
        <v>3790</v>
      </c>
      <c r="E4224" t="s">
        <v>3791</v>
      </c>
      <c r="F4224" t="s">
        <v>52</v>
      </c>
      <c r="G4224">
        <v>382</v>
      </c>
      <c r="H4224">
        <v>48</v>
      </c>
      <c r="I4224">
        <v>60</v>
      </c>
      <c r="J4224">
        <v>490</v>
      </c>
      <c r="K4224" s="482">
        <v>0.78</v>
      </c>
      <c r="L4224" s="482">
        <v>9.8000000000000004E-2</v>
      </c>
      <c r="M4224" s="482">
        <v>0.122</v>
      </c>
    </row>
    <row r="4225" spans="1:13" x14ac:dyDescent="0.2">
      <c r="A4225" t="s">
        <v>5499</v>
      </c>
      <c r="B4225" t="s">
        <v>15</v>
      </c>
      <c r="C4225" t="s">
        <v>1</v>
      </c>
      <c r="D4225" t="s">
        <v>3234</v>
      </c>
      <c r="E4225" t="s">
        <v>3235</v>
      </c>
      <c r="F4225" t="s">
        <v>52</v>
      </c>
      <c r="G4225">
        <v>139</v>
      </c>
      <c r="H4225">
        <v>11</v>
      </c>
      <c r="I4225">
        <v>11</v>
      </c>
      <c r="J4225">
        <v>161</v>
      </c>
      <c r="K4225" s="482">
        <v>0.86299999999999999</v>
      </c>
      <c r="L4225" s="482">
        <v>6.8000000000000005E-2</v>
      </c>
      <c r="M4225" s="482">
        <v>6.8000000000000005E-2</v>
      </c>
    </row>
    <row r="4226" spans="1:13" x14ac:dyDescent="0.2">
      <c r="A4226" t="s">
        <v>5497</v>
      </c>
      <c r="B4226" t="s">
        <v>15</v>
      </c>
      <c r="C4226" t="s">
        <v>1</v>
      </c>
      <c r="D4226" t="s">
        <v>3225</v>
      </c>
      <c r="E4226" t="s">
        <v>3226</v>
      </c>
      <c r="F4226" t="s">
        <v>52</v>
      </c>
      <c r="G4226">
        <v>167</v>
      </c>
      <c r="H4226">
        <v>16</v>
      </c>
      <c r="I4226">
        <v>21</v>
      </c>
      <c r="J4226">
        <v>204</v>
      </c>
      <c r="K4226" s="482">
        <v>0.81899999999999995</v>
      </c>
      <c r="L4226" s="482">
        <v>7.8E-2</v>
      </c>
      <c r="M4226" s="482">
        <v>0.10299999999999999</v>
      </c>
    </row>
    <row r="4227" spans="1:13" x14ac:dyDescent="0.2">
      <c r="A4227" t="s">
        <v>5500</v>
      </c>
      <c r="B4227" t="s">
        <v>15</v>
      </c>
      <c r="C4227" t="s">
        <v>1</v>
      </c>
      <c r="D4227" t="s">
        <v>3237</v>
      </c>
      <c r="E4227" t="s">
        <v>3238</v>
      </c>
      <c r="F4227" t="s">
        <v>52</v>
      </c>
      <c r="G4227">
        <v>43</v>
      </c>
      <c r="H4227">
        <v>5</v>
      </c>
      <c r="I4227">
        <v>12</v>
      </c>
      <c r="J4227">
        <v>60</v>
      </c>
      <c r="K4227" s="482">
        <v>0.71699999999999997</v>
      </c>
      <c r="L4227" s="482">
        <v>8.3000000000000004E-2</v>
      </c>
      <c r="M4227" s="482">
        <v>0.2</v>
      </c>
    </row>
    <row r="4228" spans="1:13" x14ac:dyDescent="0.2">
      <c r="A4228" t="s">
        <v>5457</v>
      </c>
      <c r="B4228" t="s">
        <v>15</v>
      </c>
      <c r="C4228" t="s">
        <v>1</v>
      </c>
      <c r="D4228" t="s">
        <v>3109</v>
      </c>
      <c r="E4228" t="s">
        <v>3110</v>
      </c>
      <c r="F4228" t="s">
        <v>52</v>
      </c>
      <c r="G4228">
        <v>155</v>
      </c>
      <c r="H4228">
        <v>23</v>
      </c>
      <c r="I4228">
        <v>17</v>
      </c>
      <c r="J4228">
        <v>195</v>
      </c>
      <c r="K4228" s="482">
        <v>0.79500000000000004</v>
      </c>
      <c r="L4228" s="482">
        <v>0.11799999999999999</v>
      </c>
      <c r="M4228" s="482">
        <v>8.6999999999999994E-2</v>
      </c>
    </row>
    <row r="4229" spans="1:13" x14ac:dyDescent="0.2">
      <c r="A4229" t="s">
        <v>5707</v>
      </c>
      <c r="B4229" t="s">
        <v>15</v>
      </c>
      <c r="C4229" t="s">
        <v>1</v>
      </c>
      <c r="D4229" t="s">
        <v>3808</v>
      </c>
      <c r="E4229" t="s">
        <v>3809</v>
      </c>
      <c r="F4229" t="s">
        <v>52</v>
      </c>
      <c r="G4229">
        <v>37</v>
      </c>
      <c r="H4229">
        <v>1</v>
      </c>
      <c r="I4229">
        <v>8</v>
      </c>
      <c r="J4229">
        <v>46</v>
      </c>
      <c r="K4229" s="482">
        <v>0.80400000000000005</v>
      </c>
      <c r="L4229" s="482">
        <v>2.1999999999999999E-2</v>
      </c>
      <c r="M4229" s="482">
        <v>0.17399999999999999</v>
      </c>
    </row>
    <row r="4230" spans="1:13" x14ac:dyDescent="0.2">
      <c r="A4230" t="s">
        <v>5699</v>
      </c>
      <c r="B4230" t="s">
        <v>15</v>
      </c>
      <c r="C4230" t="s">
        <v>1</v>
      </c>
      <c r="D4230" t="s">
        <v>3814</v>
      </c>
      <c r="E4230" t="s">
        <v>3815</v>
      </c>
      <c r="F4230" t="s">
        <v>52</v>
      </c>
      <c r="G4230">
        <v>75</v>
      </c>
      <c r="H4230">
        <v>8</v>
      </c>
      <c r="I4230">
        <v>7</v>
      </c>
      <c r="J4230">
        <v>90</v>
      </c>
      <c r="K4230" s="482">
        <v>0.83299999999999996</v>
      </c>
      <c r="L4230" s="482">
        <v>8.8999999999999996E-2</v>
      </c>
      <c r="M4230" s="482">
        <v>7.8E-2</v>
      </c>
    </row>
    <row r="4231" spans="1:13" x14ac:dyDescent="0.2">
      <c r="A4231" t="s">
        <v>5700</v>
      </c>
      <c r="B4231" t="s">
        <v>15</v>
      </c>
      <c r="C4231" t="s">
        <v>1</v>
      </c>
      <c r="D4231" t="s">
        <v>3817</v>
      </c>
      <c r="E4231" t="s">
        <v>3818</v>
      </c>
      <c r="F4231" t="s">
        <v>52</v>
      </c>
      <c r="G4231">
        <v>80</v>
      </c>
      <c r="H4231">
        <v>5</v>
      </c>
      <c r="I4231">
        <v>7</v>
      </c>
      <c r="J4231">
        <v>92</v>
      </c>
      <c r="K4231" s="482">
        <v>0.87</v>
      </c>
      <c r="L4231" s="482">
        <v>5.3999999999999999E-2</v>
      </c>
      <c r="M4231" s="482">
        <v>7.5999999999999998E-2</v>
      </c>
    </row>
    <row r="4232" spans="1:13" x14ac:dyDescent="0.2">
      <c r="A4232" t="s">
        <v>5701</v>
      </c>
      <c r="B4232" t="s">
        <v>15</v>
      </c>
      <c r="C4232" t="s">
        <v>1</v>
      </c>
      <c r="D4232" t="s">
        <v>3820</v>
      </c>
      <c r="E4232" t="s">
        <v>3821</v>
      </c>
      <c r="F4232" t="s">
        <v>52</v>
      </c>
      <c r="G4232">
        <v>310</v>
      </c>
      <c r="H4232">
        <v>40</v>
      </c>
      <c r="I4232">
        <v>42</v>
      </c>
      <c r="J4232">
        <v>392</v>
      </c>
      <c r="K4232" s="482">
        <v>0.79100000000000004</v>
      </c>
      <c r="L4232" s="482">
        <v>0.10199999999999999</v>
      </c>
      <c r="M4232" s="482">
        <v>0.107</v>
      </c>
    </row>
    <row r="4233" spans="1:13" x14ac:dyDescent="0.2">
      <c r="A4233" t="s">
        <v>5702</v>
      </c>
      <c r="B4233" t="s">
        <v>15</v>
      </c>
      <c r="C4233" t="s">
        <v>1</v>
      </c>
      <c r="D4233" t="s">
        <v>3823</v>
      </c>
      <c r="E4233" t="s">
        <v>3824</v>
      </c>
      <c r="F4233" t="s">
        <v>52</v>
      </c>
      <c r="G4233">
        <v>146</v>
      </c>
      <c r="H4233">
        <v>22</v>
      </c>
      <c r="I4233">
        <v>14</v>
      </c>
      <c r="J4233">
        <v>182</v>
      </c>
      <c r="K4233" s="482">
        <v>0.80200000000000005</v>
      </c>
      <c r="L4233" s="482">
        <v>0.121</v>
      </c>
      <c r="M4233" s="482">
        <v>7.6999999999999999E-2</v>
      </c>
    </row>
    <row r="4234" spans="1:13" x14ac:dyDescent="0.2">
      <c r="A4234" t="s">
        <v>5703</v>
      </c>
      <c r="B4234" t="s">
        <v>15</v>
      </c>
      <c r="C4234" t="s">
        <v>1</v>
      </c>
      <c r="D4234" t="s">
        <v>3826</v>
      </c>
      <c r="E4234" t="s">
        <v>3827</v>
      </c>
      <c r="F4234" t="s">
        <v>52</v>
      </c>
      <c r="G4234">
        <v>267</v>
      </c>
      <c r="H4234">
        <v>26</v>
      </c>
      <c r="I4234">
        <v>30</v>
      </c>
      <c r="J4234">
        <v>323</v>
      </c>
      <c r="K4234" s="482">
        <v>0.82699999999999996</v>
      </c>
      <c r="L4234" s="482">
        <v>0.08</v>
      </c>
      <c r="M4234" s="482">
        <v>9.2999999999999999E-2</v>
      </c>
    </row>
    <row r="4235" spans="1:13" x14ac:dyDescent="0.2">
      <c r="A4235" t="s">
        <v>5704</v>
      </c>
      <c r="B4235" t="s">
        <v>15</v>
      </c>
      <c r="C4235" t="s">
        <v>1</v>
      </c>
      <c r="D4235" t="s">
        <v>3829</v>
      </c>
      <c r="E4235" t="s">
        <v>3830</v>
      </c>
      <c r="F4235" t="s">
        <v>52</v>
      </c>
      <c r="G4235">
        <v>355</v>
      </c>
      <c r="H4235">
        <v>34</v>
      </c>
      <c r="I4235">
        <v>32</v>
      </c>
      <c r="J4235">
        <v>421</v>
      </c>
      <c r="K4235" s="482">
        <v>0.84299999999999997</v>
      </c>
      <c r="L4235" s="482">
        <v>8.1000000000000003E-2</v>
      </c>
      <c r="M4235" s="482">
        <v>7.5999999999999998E-2</v>
      </c>
    </row>
    <row r="4236" spans="1:13" x14ac:dyDescent="0.2">
      <c r="A4236" t="s">
        <v>5712</v>
      </c>
      <c r="B4236" t="s">
        <v>15</v>
      </c>
      <c r="C4236" t="s">
        <v>1</v>
      </c>
      <c r="D4236" t="s">
        <v>3849</v>
      </c>
      <c r="E4236" t="s">
        <v>3850</v>
      </c>
      <c r="F4236" t="s">
        <v>52</v>
      </c>
      <c r="G4236">
        <v>351</v>
      </c>
      <c r="H4236">
        <v>62</v>
      </c>
      <c r="I4236">
        <v>53</v>
      </c>
      <c r="J4236">
        <v>466</v>
      </c>
      <c r="K4236" s="482">
        <v>0.753</v>
      </c>
      <c r="L4236" s="482">
        <v>0.13300000000000001</v>
      </c>
      <c r="M4236" s="482">
        <v>0.114</v>
      </c>
    </row>
    <row r="4237" spans="1:13" x14ac:dyDescent="0.2">
      <c r="A4237" t="s">
        <v>5566</v>
      </c>
      <c r="B4237" t="s">
        <v>15</v>
      </c>
      <c r="C4237" t="s">
        <v>1</v>
      </c>
      <c r="D4237" t="s">
        <v>3418</v>
      </c>
      <c r="E4237" t="s">
        <v>3419</v>
      </c>
      <c r="F4237" t="s">
        <v>52</v>
      </c>
      <c r="G4237">
        <v>64</v>
      </c>
      <c r="H4237">
        <v>5</v>
      </c>
      <c r="I4237">
        <v>4</v>
      </c>
      <c r="J4237">
        <v>73</v>
      </c>
      <c r="K4237" s="482">
        <v>0.877</v>
      </c>
      <c r="L4237" s="482">
        <v>6.8000000000000005E-2</v>
      </c>
      <c r="M4237" s="482">
        <v>5.5E-2</v>
      </c>
    </row>
    <row r="4238" spans="1:13" x14ac:dyDescent="0.2">
      <c r="A4238" t="s">
        <v>5570</v>
      </c>
      <c r="B4238" t="s">
        <v>15</v>
      </c>
      <c r="C4238" t="s">
        <v>1</v>
      </c>
      <c r="D4238" t="s">
        <v>3427</v>
      </c>
      <c r="E4238" t="s">
        <v>3428</v>
      </c>
      <c r="F4238" t="s">
        <v>52</v>
      </c>
      <c r="G4238">
        <v>106</v>
      </c>
      <c r="H4238">
        <v>14</v>
      </c>
      <c r="I4238">
        <v>17</v>
      </c>
      <c r="J4238">
        <v>137</v>
      </c>
      <c r="K4238" s="482">
        <v>0.77400000000000002</v>
      </c>
      <c r="L4238" s="482">
        <v>0.10199999999999999</v>
      </c>
      <c r="M4238" s="482">
        <v>0.124</v>
      </c>
    </row>
    <row r="4239" spans="1:13" x14ac:dyDescent="0.2">
      <c r="A4239" t="s">
        <v>5571</v>
      </c>
      <c r="B4239" t="s">
        <v>15</v>
      </c>
      <c r="C4239" t="s">
        <v>1</v>
      </c>
      <c r="D4239" t="s">
        <v>3430</v>
      </c>
      <c r="E4239" t="s">
        <v>3431</v>
      </c>
      <c r="F4239" t="s">
        <v>52</v>
      </c>
      <c r="G4239">
        <v>89</v>
      </c>
      <c r="H4239">
        <v>11</v>
      </c>
      <c r="I4239">
        <v>11</v>
      </c>
      <c r="J4239">
        <v>111</v>
      </c>
      <c r="K4239" s="482">
        <v>0.80200000000000005</v>
      </c>
      <c r="L4239" s="482">
        <v>9.9000000000000005E-2</v>
      </c>
      <c r="M4239" s="482">
        <v>9.9000000000000005E-2</v>
      </c>
    </row>
    <row r="4240" spans="1:13" x14ac:dyDescent="0.2">
      <c r="A4240" t="s">
        <v>5572</v>
      </c>
      <c r="B4240" t="s">
        <v>15</v>
      </c>
      <c r="C4240" t="s">
        <v>1</v>
      </c>
      <c r="D4240" t="s">
        <v>3433</v>
      </c>
      <c r="E4240" t="s">
        <v>3434</v>
      </c>
      <c r="F4240" t="s">
        <v>52</v>
      </c>
      <c r="G4240">
        <v>53</v>
      </c>
      <c r="H4240">
        <v>3</v>
      </c>
      <c r="I4240">
        <v>5</v>
      </c>
      <c r="J4240">
        <v>61</v>
      </c>
      <c r="K4240" s="482">
        <v>0.86899999999999999</v>
      </c>
      <c r="L4240" s="482">
        <v>4.9000000000000002E-2</v>
      </c>
      <c r="M4240" s="482">
        <v>8.2000000000000003E-2</v>
      </c>
    </row>
    <row r="4241" spans="1:13" x14ac:dyDescent="0.2">
      <c r="A4241" t="s">
        <v>5574</v>
      </c>
      <c r="B4241" t="s">
        <v>15</v>
      </c>
      <c r="C4241" t="s">
        <v>1</v>
      </c>
      <c r="D4241" t="s">
        <v>4381</v>
      </c>
      <c r="E4241" t="s">
        <v>4382</v>
      </c>
      <c r="F4241" t="s">
        <v>52</v>
      </c>
      <c r="G4241">
        <v>178</v>
      </c>
      <c r="H4241">
        <v>19</v>
      </c>
      <c r="I4241">
        <v>13</v>
      </c>
      <c r="J4241">
        <v>210</v>
      </c>
      <c r="K4241" s="482">
        <v>0.84799999999999998</v>
      </c>
      <c r="L4241" s="482">
        <v>0.09</v>
      </c>
      <c r="M4241" s="482">
        <v>6.2E-2</v>
      </c>
    </row>
    <row r="4242" spans="1:13" x14ac:dyDescent="0.2">
      <c r="A4242" t="s">
        <v>5563</v>
      </c>
      <c r="B4242" t="s">
        <v>15</v>
      </c>
      <c r="C4242" t="s">
        <v>1</v>
      </c>
      <c r="D4242" t="s">
        <v>4364</v>
      </c>
      <c r="E4242" t="s">
        <v>4365</v>
      </c>
      <c r="F4242" t="s">
        <v>52</v>
      </c>
      <c r="G4242">
        <v>65</v>
      </c>
      <c r="H4242">
        <v>7</v>
      </c>
      <c r="I4242">
        <v>9</v>
      </c>
      <c r="J4242">
        <v>81</v>
      </c>
      <c r="K4242" s="482">
        <v>0.80200000000000005</v>
      </c>
      <c r="L4242" s="482">
        <v>8.5999999999999993E-2</v>
      </c>
      <c r="M4242" s="482">
        <v>0.111</v>
      </c>
    </row>
    <row r="4243" spans="1:13" x14ac:dyDescent="0.2">
      <c r="A4243" t="s">
        <v>5575</v>
      </c>
      <c r="B4243" t="s">
        <v>15</v>
      </c>
      <c r="C4243" t="s">
        <v>1</v>
      </c>
      <c r="D4243" t="s">
        <v>3436</v>
      </c>
      <c r="E4243" t="s">
        <v>3437</v>
      </c>
      <c r="F4243" t="s">
        <v>52</v>
      </c>
      <c r="G4243">
        <v>54</v>
      </c>
      <c r="H4243">
        <v>5</v>
      </c>
      <c r="I4243">
        <v>3</v>
      </c>
      <c r="J4243">
        <v>62</v>
      </c>
      <c r="K4243" s="482">
        <v>0.871</v>
      </c>
      <c r="L4243" s="482">
        <v>8.1000000000000003E-2</v>
      </c>
      <c r="M4243" s="482">
        <v>4.8000000000000001E-2</v>
      </c>
    </row>
    <row r="4244" spans="1:13" x14ac:dyDescent="0.2">
      <c r="A4244" t="s">
        <v>5576</v>
      </c>
      <c r="B4244" t="s">
        <v>15</v>
      </c>
      <c r="C4244" t="s">
        <v>1</v>
      </c>
      <c r="D4244" t="s">
        <v>3439</v>
      </c>
      <c r="E4244" t="s">
        <v>3440</v>
      </c>
      <c r="F4244" t="s">
        <v>52</v>
      </c>
      <c r="G4244">
        <v>63</v>
      </c>
      <c r="H4244">
        <v>10</v>
      </c>
      <c r="I4244">
        <v>4</v>
      </c>
      <c r="J4244">
        <v>77</v>
      </c>
      <c r="K4244" s="482">
        <v>0.81799999999999995</v>
      </c>
      <c r="L4244" s="482">
        <v>0.13</v>
      </c>
      <c r="M4244" s="482">
        <v>5.1999999999999998E-2</v>
      </c>
    </row>
    <row r="4245" spans="1:13" x14ac:dyDescent="0.2">
      <c r="A4245" t="s">
        <v>5564</v>
      </c>
      <c r="B4245" t="s">
        <v>15</v>
      </c>
      <c r="C4245" t="s">
        <v>1</v>
      </c>
      <c r="D4245" t="s">
        <v>3412</v>
      </c>
      <c r="E4245" t="s">
        <v>3413</v>
      </c>
      <c r="F4245" t="s">
        <v>52</v>
      </c>
      <c r="G4245">
        <v>40</v>
      </c>
      <c r="H4245">
        <v>2</v>
      </c>
      <c r="I4245">
        <v>2</v>
      </c>
      <c r="J4245">
        <v>44</v>
      </c>
      <c r="K4245" s="482">
        <v>0.90900000000000003</v>
      </c>
      <c r="L4245" s="482">
        <v>4.4999999999999998E-2</v>
      </c>
      <c r="M4245" s="482">
        <v>4.4999999999999998E-2</v>
      </c>
    </row>
    <row r="4246" spans="1:13" x14ac:dyDescent="0.2">
      <c r="A4246" t="s">
        <v>5565</v>
      </c>
      <c r="B4246" t="s">
        <v>15</v>
      </c>
      <c r="C4246" t="s">
        <v>1</v>
      </c>
      <c r="D4246" t="s">
        <v>3415</v>
      </c>
      <c r="E4246" t="s">
        <v>3416</v>
      </c>
      <c r="F4246" t="s">
        <v>52</v>
      </c>
      <c r="G4246">
        <v>9</v>
      </c>
      <c r="H4246">
        <v>4</v>
      </c>
      <c r="I4246">
        <v>0</v>
      </c>
      <c r="J4246">
        <v>13</v>
      </c>
      <c r="K4246" s="482">
        <v>0.69199999999999995</v>
      </c>
      <c r="L4246" s="482">
        <v>0.308</v>
      </c>
      <c r="M4246" s="482">
        <v>0</v>
      </c>
    </row>
    <row r="4247" spans="1:13" x14ac:dyDescent="0.2">
      <c r="A4247" t="s">
        <v>5579</v>
      </c>
      <c r="B4247" t="s">
        <v>15</v>
      </c>
      <c r="C4247" t="s">
        <v>1</v>
      </c>
      <c r="D4247" t="s">
        <v>3448</v>
      </c>
      <c r="E4247" t="s">
        <v>3449</v>
      </c>
      <c r="F4247" t="s">
        <v>52</v>
      </c>
      <c r="G4247">
        <v>105</v>
      </c>
      <c r="H4247">
        <v>22</v>
      </c>
      <c r="I4247">
        <v>18</v>
      </c>
      <c r="J4247">
        <v>145</v>
      </c>
      <c r="K4247" s="482">
        <v>0.72399999999999998</v>
      </c>
      <c r="L4247" s="482">
        <v>0.152</v>
      </c>
      <c r="M4247" s="482">
        <v>0.124</v>
      </c>
    </row>
    <row r="4248" spans="1:13" x14ac:dyDescent="0.2">
      <c r="A4248" t="s">
        <v>5573</v>
      </c>
      <c r="B4248" t="s">
        <v>15</v>
      </c>
      <c r="C4248" t="s">
        <v>1</v>
      </c>
      <c r="D4248" t="s">
        <v>4378</v>
      </c>
      <c r="E4248" t="s">
        <v>4379</v>
      </c>
      <c r="F4248" t="s">
        <v>52</v>
      </c>
      <c r="G4248">
        <v>72</v>
      </c>
      <c r="H4248">
        <v>5</v>
      </c>
      <c r="I4248">
        <v>8</v>
      </c>
      <c r="J4248">
        <v>85</v>
      </c>
      <c r="K4248" s="482">
        <v>0.84699999999999998</v>
      </c>
      <c r="L4248" s="482">
        <v>5.8999999999999997E-2</v>
      </c>
      <c r="M4248" s="482">
        <v>9.4E-2</v>
      </c>
    </row>
    <row r="4249" spans="1:13" x14ac:dyDescent="0.2">
      <c r="A4249" t="s">
        <v>5580</v>
      </c>
      <c r="B4249" t="s">
        <v>15</v>
      </c>
      <c r="C4249" t="s">
        <v>1</v>
      </c>
      <c r="D4249" t="s">
        <v>3451</v>
      </c>
      <c r="E4249" t="s">
        <v>3452</v>
      </c>
      <c r="F4249" t="s">
        <v>52</v>
      </c>
      <c r="G4249">
        <v>109</v>
      </c>
      <c r="H4249">
        <v>6</v>
      </c>
      <c r="I4249">
        <v>5</v>
      </c>
      <c r="J4249">
        <v>120</v>
      </c>
      <c r="K4249" s="482">
        <v>0.90800000000000003</v>
      </c>
      <c r="L4249" s="482">
        <v>0.05</v>
      </c>
      <c r="M4249" s="482">
        <v>4.2000000000000003E-2</v>
      </c>
    </row>
    <row r="4250" spans="1:13" x14ac:dyDescent="0.2">
      <c r="A4250" t="s">
        <v>5581</v>
      </c>
      <c r="B4250" t="s">
        <v>15</v>
      </c>
      <c r="C4250" t="s">
        <v>1</v>
      </c>
      <c r="D4250" t="s">
        <v>3454</v>
      </c>
      <c r="E4250" t="s">
        <v>3455</v>
      </c>
      <c r="F4250" t="s">
        <v>52</v>
      </c>
      <c r="G4250">
        <v>154</v>
      </c>
      <c r="H4250">
        <v>23</v>
      </c>
      <c r="I4250">
        <v>15</v>
      </c>
      <c r="J4250">
        <v>192</v>
      </c>
      <c r="K4250" s="482">
        <v>0.80200000000000005</v>
      </c>
      <c r="L4250" s="482">
        <v>0.12</v>
      </c>
      <c r="M4250" s="482">
        <v>7.8E-2</v>
      </c>
    </row>
    <row r="4251" spans="1:13" x14ac:dyDescent="0.2">
      <c r="A4251" t="s">
        <v>5582</v>
      </c>
      <c r="B4251" t="s">
        <v>15</v>
      </c>
      <c r="C4251" t="s">
        <v>1</v>
      </c>
      <c r="D4251" t="s">
        <v>3457</v>
      </c>
      <c r="E4251" t="s">
        <v>3458</v>
      </c>
      <c r="F4251" t="s">
        <v>52</v>
      </c>
      <c r="G4251">
        <v>76</v>
      </c>
      <c r="H4251">
        <v>7</v>
      </c>
      <c r="I4251">
        <v>13</v>
      </c>
      <c r="J4251">
        <v>96</v>
      </c>
      <c r="K4251" s="482">
        <v>0.79200000000000004</v>
      </c>
      <c r="L4251" s="482">
        <v>7.2999999999999995E-2</v>
      </c>
      <c r="M4251" s="482">
        <v>0.13500000000000001</v>
      </c>
    </row>
    <row r="4252" spans="1:13" x14ac:dyDescent="0.2">
      <c r="A4252" t="s">
        <v>5583</v>
      </c>
      <c r="B4252" t="s">
        <v>15</v>
      </c>
      <c r="C4252" t="s">
        <v>1</v>
      </c>
      <c r="D4252" t="s">
        <v>3460</v>
      </c>
      <c r="E4252" t="s">
        <v>3461</v>
      </c>
      <c r="F4252" t="s">
        <v>52</v>
      </c>
      <c r="G4252">
        <v>129</v>
      </c>
      <c r="H4252">
        <v>24</v>
      </c>
      <c r="I4252">
        <v>21</v>
      </c>
      <c r="J4252">
        <v>174</v>
      </c>
      <c r="K4252" s="482">
        <v>0.74099999999999999</v>
      </c>
      <c r="L4252" s="482">
        <v>0.13800000000000001</v>
      </c>
      <c r="M4252" s="482">
        <v>0.121</v>
      </c>
    </row>
    <row r="4253" spans="1:13" x14ac:dyDescent="0.2">
      <c r="A4253" t="s">
        <v>5584</v>
      </c>
      <c r="B4253" t="s">
        <v>15</v>
      </c>
      <c r="C4253" t="s">
        <v>1</v>
      </c>
      <c r="D4253" t="s">
        <v>3463</v>
      </c>
      <c r="E4253" t="s">
        <v>3464</v>
      </c>
      <c r="F4253" t="s">
        <v>52</v>
      </c>
      <c r="G4253">
        <v>142</v>
      </c>
      <c r="H4253">
        <v>28</v>
      </c>
      <c r="I4253">
        <v>16</v>
      </c>
      <c r="J4253">
        <v>186</v>
      </c>
      <c r="K4253" s="482">
        <v>0.76300000000000001</v>
      </c>
      <c r="L4253" s="482">
        <v>0.151</v>
      </c>
      <c r="M4253" s="482">
        <v>8.5999999999999993E-2</v>
      </c>
    </row>
    <row r="4254" spans="1:13" x14ac:dyDescent="0.2">
      <c r="A4254" t="s">
        <v>5585</v>
      </c>
      <c r="B4254" t="s">
        <v>15</v>
      </c>
      <c r="C4254" t="s">
        <v>1</v>
      </c>
      <c r="D4254" t="s">
        <v>3466</v>
      </c>
      <c r="E4254" t="s">
        <v>3467</v>
      </c>
      <c r="F4254" t="s">
        <v>52</v>
      </c>
      <c r="G4254">
        <v>390</v>
      </c>
      <c r="H4254">
        <v>58</v>
      </c>
      <c r="I4254">
        <v>53</v>
      </c>
      <c r="J4254">
        <v>501</v>
      </c>
      <c r="K4254" s="482">
        <v>0.77800000000000002</v>
      </c>
      <c r="L4254" s="482">
        <v>0.11600000000000001</v>
      </c>
      <c r="M4254" s="482">
        <v>0.106</v>
      </c>
    </row>
    <row r="4255" spans="1:13" x14ac:dyDescent="0.2">
      <c r="A4255" t="s">
        <v>5586</v>
      </c>
      <c r="B4255" t="s">
        <v>15</v>
      </c>
      <c r="C4255" t="s">
        <v>1</v>
      </c>
      <c r="D4255" t="s">
        <v>3469</v>
      </c>
      <c r="E4255" t="s">
        <v>3470</v>
      </c>
      <c r="F4255" t="s">
        <v>52</v>
      </c>
      <c r="G4255" t="s">
        <v>53</v>
      </c>
      <c r="H4255">
        <v>0</v>
      </c>
      <c r="I4255">
        <v>0</v>
      </c>
      <c r="J4255" t="s">
        <v>53</v>
      </c>
      <c r="K4255" t="s">
        <v>53</v>
      </c>
      <c r="L4255" t="s">
        <v>53</v>
      </c>
      <c r="M4255" t="s">
        <v>53</v>
      </c>
    </row>
    <row r="4256" spans="1:13" x14ac:dyDescent="0.2">
      <c r="A4256" t="s">
        <v>5587</v>
      </c>
      <c r="B4256" t="s">
        <v>15</v>
      </c>
      <c r="C4256" t="s">
        <v>1</v>
      </c>
      <c r="D4256" t="s">
        <v>3472</v>
      </c>
      <c r="E4256" t="s">
        <v>3473</v>
      </c>
      <c r="F4256" t="s">
        <v>52</v>
      </c>
      <c r="G4256">
        <v>138</v>
      </c>
      <c r="H4256">
        <v>10</v>
      </c>
      <c r="I4256">
        <v>10</v>
      </c>
      <c r="J4256">
        <v>158</v>
      </c>
      <c r="K4256" s="482">
        <v>0.873</v>
      </c>
      <c r="L4256" s="482">
        <v>6.3E-2</v>
      </c>
      <c r="M4256" s="482">
        <v>6.3E-2</v>
      </c>
    </row>
    <row r="4257" spans="1:13" x14ac:dyDescent="0.2">
      <c r="A4257" t="s">
        <v>5588</v>
      </c>
      <c r="B4257" t="s">
        <v>15</v>
      </c>
      <c r="C4257" t="s">
        <v>1</v>
      </c>
      <c r="D4257" t="s">
        <v>3475</v>
      </c>
      <c r="E4257" t="s">
        <v>3476</v>
      </c>
      <c r="F4257" t="s">
        <v>52</v>
      </c>
      <c r="G4257">
        <v>138</v>
      </c>
      <c r="H4257">
        <v>21</v>
      </c>
      <c r="I4257">
        <v>23</v>
      </c>
      <c r="J4257">
        <v>182</v>
      </c>
      <c r="K4257" s="482">
        <v>0.75800000000000001</v>
      </c>
      <c r="L4257" s="482">
        <v>0.115</v>
      </c>
      <c r="M4257" s="482">
        <v>0.126</v>
      </c>
    </row>
    <row r="4258" spans="1:13" x14ac:dyDescent="0.2">
      <c r="A4258" t="s">
        <v>5589</v>
      </c>
      <c r="B4258" t="s">
        <v>15</v>
      </c>
      <c r="C4258" t="s">
        <v>1</v>
      </c>
      <c r="D4258" t="s">
        <v>3478</v>
      </c>
      <c r="E4258" t="s">
        <v>3479</v>
      </c>
      <c r="F4258" t="s">
        <v>52</v>
      </c>
      <c r="G4258">
        <v>109</v>
      </c>
      <c r="H4258">
        <v>11</v>
      </c>
      <c r="I4258">
        <v>16</v>
      </c>
      <c r="J4258">
        <v>136</v>
      </c>
      <c r="K4258" s="482">
        <v>0.80100000000000005</v>
      </c>
      <c r="L4258" s="482">
        <v>8.1000000000000003E-2</v>
      </c>
      <c r="M4258" s="482">
        <v>0.11799999999999999</v>
      </c>
    </row>
    <row r="4259" spans="1:13" x14ac:dyDescent="0.2">
      <c r="A4259" t="s">
        <v>5590</v>
      </c>
      <c r="B4259" t="s">
        <v>15</v>
      </c>
      <c r="C4259" t="s">
        <v>1</v>
      </c>
      <c r="D4259" t="s">
        <v>3482</v>
      </c>
      <c r="E4259" t="s">
        <v>3483</v>
      </c>
      <c r="F4259" t="s">
        <v>52</v>
      </c>
      <c r="G4259">
        <v>441</v>
      </c>
      <c r="H4259">
        <v>51</v>
      </c>
      <c r="I4259">
        <v>41</v>
      </c>
      <c r="J4259">
        <v>533</v>
      </c>
      <c r="K4259" s="482">
        <v>0.82699999999999996</v>
      </c>
      <c r="L4259" s="482">
        <v>9.6000000000000002E-2</v>
      </c>
      <c r="M4259" s="482">
        <v>7.6999999999999999E-2</v>
      </c>
    </row>
    <row r="4260" spans="1:13" x14ac:dyDescent="0.2">
      <c r="A4260" t="s">
        <v>5591</v>
      </c>
      <c r="B4260" t="s">
        <v>15</v>
      </c>
      <c r="C4260" t="s">
        <v>1</v>
      </c>
      <c r="D4260" t="s">
        <v>3485</v>
      </c>
      <c r="E4260" t="s">
        <v>3486</v>
      </c>
      <c r="F4260" t="s">
        <v>52</v>
      </c>
      <c r="G4260">
        <v>57</v>
      </c>
      <c r="H4260">
        <v>12</v>
      </c>
      <c r="I4260">
        <v>14</v>
      </c>
      <c r="J4260">
        <v>83</v>
      </c>
      <c r="K4260" s="482">
        <v>0.68700000000000006</v>
      </c>
      <c r="L4260" s="482">
        <v>0.14499999999999999</v>
      </c>
      <c r="M4260" s="482">
        <v>0.16900000000000001</v>
      </c>
    </row>
    <row r="4261" spans="1:13" x14ac:dyDescent="0.2">
      <c r="A4261" t="s">
        <v>5568</v>
      </c>
      <c r="B4261" t="s">
        <v>15</v>
      </c>
      <c r="C4261" t="s">
        <v>1</v>
      </c>
      <c r="D4261" t="s">
        <v>3421</v>
      </c>
      <c r="E4261" t="s">
        <v>3422</v>
      </c>
      <c r="F4261" t="s">
        <v>52</v>
      </c>
      <c r="G4261">
        <v>244</v>
      </c>
      <c r="H4261">
        <v>30</v>
      </c>
      <c r="I4261">
        <v>27</v>
      </c>
      <c r="J4261">
        <v>301</v>
      </c>
      <c r="K4261" s="482">
        <v>0.81100000000000005</v>
      </c>
      <c r="L4261" s="482">
        <v>0.1</v>
      </c>
      <c r="M4261" s="482">
        <v>0.09</v>
      </c>
    </row>
    <row r="4262" spans="1:13" x14ac:dyDescent="0.2">
      <c r="A4262" t="s">
        <v>5569</v>
      </c>
      <c r="B4262" t="s">
        <v>15</v>
      </c>
      <c r="C4262" t="s">
        <v>1</v>
      </c>
      <c r="D4262" t="s">
        <v>3424</v>
      </c>
      <c r="E4262" t="s">
        <v>3425</v>
      </c>
      <c r="F4262" t="s">
        <v>52</v>
      </c>
      <c r="G4262">
        <v>99</v>
      </c>
      <c r="H4262">
        <v>11</v>
      </c>
      <c r="I4262">
        <v>10</v>
      </c>
      <c r="J4262">
        <v>120</v>
      </c>
      <c r="K4262" s="482">
        <v>0.82499999999999996</v>
      </c>
      <c r="L4262" s="482">
        <v>9.1999999999999998E-2</v>
      </c>
      <c r="M4262" s="482">
        <v>8.3000000000000004E-2</v>
      </c>
    </row>
    <row r="4263" spans="1:13" x14ac:dyDescent="0.2">
      <c r="A4263" t="s">
        <v>5577</v>
      </c>
      <c r="B4263" t="s">
        <v>15</v>
      </c>
      <c r="C4263" t="s">
        <v>1</v>
      </c>
      <c r="D4263" t="s">
        <v>3442</v>
      </c>
      <c r="E4263" t="s">
        <v>3443</v>
      </c>
      <c r="F4263" t="s">
        <v>52</v>
      </c>
      <c r="G4263">
        <v>379</v>
      </c>
      <c r="H4263">
        <v>43</v>
      </c>
      <c r="I4263">
        <v>33</v>
      </c>
      <c r="J4263">
        <v>455</v>
      </c>
      <c r="K4263" s="482">
        <v>0.83299999999999996</v>
      </c>
      <c r="L4263" s="482">
        <v>9.5000000000000001E-2</v>
      </c>
      <c r="M4263" s="482">
        <v>7.2999999999999995E-2</v>
      </c>
    </row>
    <row r="4264" spans="1:13" x14ac:dyDescent="0.2">
      <c r="A4264" t="s">
        <v>5578</v>
      </c>
      <c r="B4264" t="s">
        <v>15</v>
      </c>
      <c r="C4264" t="s">
        <v>1</v>
      </c>
      <c r="D4264" t="s">
        <v>3445</v>
      </c>
      <c r="E4264" t="s">
        <v>3446</v>
      </c>
      <c r="F4264" t="s">
        <v>52</v>
      </c>
      <c r="G4264">
        <v>72</v>
      </c>
      <c r="H4264">
        <v>9</v>
      </c>
      <c r="I4264">
        <v>16</v>
      </c>
      <c r="J4264">
        <v>97</v>
      </c>
      <c r="K4264" s="482">
        <v>0.74199999999999999</v>
      </c>
      <c r="L4264" s="482">
        <v>9.2999999999999999E-2</v>
      </c>
      <c r="M4264" s="482">
        <v>0.16500000000000001</v>
      </c>
    </row>
    <row r="4265" spans="1:13" x14ac:dyDescent="0.2">
      <c r="A4265" t="s">
        <v>5681</v>
      </c>
      <c r="B4265" t="s">
        <v>15</v>
      </c>
      <c r="C4265" t="s">
        <v>1</v>
      </c>
      <c r="D4265" t="s">
        <v>3745</v>
      </c>
      <c r="E4265" t="s">
        <v>3746</v>
      </c>
      <c r="F4265" t="s">
        <v>52</v>
      </c>
      <c r="G4265">
        <v>204</v>
      </c>
      <c r="H4265">
        <v>33</v>
      </c>
      <c r="I4265">
        <v>18</v>
      </c>
      <c r="J4265">
        <v>255</v>
      </c>
      <c r="K4265" s="482">
        <v>0.8</v>
      </c>
      <c r="L4265" s="482">
        <v>0.129</v>
      </c>
      <c r="M4265" s="482">
        <v>7.0999999999999994E-2</v>
      </c>
    </row>
    <row r="4266" spans="1:13" x14ac:dyDescent="0.2">
      <c r="A4266" t="s">
        <v>5535</v>
      </c>
      <c r="B4266" t="s">
        <v>15</v>
      </c>
      <c r="C4266" t="s">
        <v>1</v>
      </c>
      <c r="D4266" t="s">
        <v>3328</v>
      </c>
      <c r="E4266" t="s">
        <v>3329</v>
      </c>
      <c r="F4266" t="s">
        <v>52</v>
      </c>
      <c r="G4266">
        <v>80</v>
      </c>
      <c r="H4266">
        <v>8</v>
      </c>
      <c r="I4266">
        <v>6</v>
      </c>
      <c r="J4266">
        <v>94</v>
      </c>
      <c r="K4266" s="482">
        <v>0.85099999999999998</v>
      </c>
      <c r="L4266" s="482">
        <v>8.5000000000000006E-2</v>
      </c>
      <c r="M4266" s="482">
        <v>6.4000000000000001E-2</v>
      </c>
    </row>
    <row r="4267" spans="1:13" x14ac:dyDescent="0.2">
      <c r="A4267" t="s">
        <v>5533</v>
      </c>
      <c r="B4267" t="s">
        <v>15</v>
      </c>
      <c r="C4267" t="s">
        <v>1</v>
      </c>
      <c r="D4267" t="s">
        <v>3322</v>
      </c>
      <c r="E4267" t="s">
        <v>3323</v>
      </c>
      <c r="F4267" t="s">
        <v>52</v>
      </c>
      <c r="G4267" t="s">
        <v>53</v>
      </c>
      <c r="H4267">
        <v>0</v>
      </c>
      <c r="I4267">
        <v>0</v>
      </c>
      <c r="J4267" t="s">
        <v>53</v>
      </c>
      <c r="K4267" t="s">
        <v>53</v>
      </c>
      <c r="L4267" t="s">
        <v>53</v>
      </c>
      <c r="M4267" t="s">
        <v>53</v>
      </c>
    </row>
    <row r="4268" spans="1:13" x14ac:dyDescent="0.2">
      <c r="A4268" t="s">
        <v>5509</v>
      </c>
      <c r="B4268" t="s">
        <v>15</v>
      </c>
      <c r="C4268" t="s">
        <v>1</v>
      </c>
      <c r="D4268" t="s">
        <v>3264</v>
      </c>
      <c r="E4268" t="s">
        <v>3265</v>
      </c>
      <c r="F4268" t="s">
        <v>52</v>
      </c>
      <c r="G4268">
        <v>82</v>
      </c>
      <c r="H4268">
        <v>6</v>
      </c>
      <c r="I4268">
        <v>5</v>
      </c>
      <c r="J4268">
        <v>93</v>
      </c>
      <c r="K4268" s="482">
        <v>0.88200000000000001</v>
      </c>
      <c r="L4268" s="482">
        <v>6.5000000000000002E-2</v>
      </c>
      <c r="M4268" s="482">
        <v>5.3999999999999999E-2</v>
      </c>
    </row>
    <row r="4269" spans="1:13" x14ac:dyDescent="0.2">
      <c r="A4269" t="s">
        <v>5510</v>
      </c>
      <c r="B4269" t="s">
        <v>15</v>
      </c>
      <c r="C4269" t="s">
        <v>1</v>
      </c>
      <c r="D4269" t="s">
        <v>4299</v>
      </c>
      <c r="E4269" t="s">
        <v>4300</v>
      </c>
      <c r="F4269" t="s">
        <v>52</v>
      </c>
      <c r="G4269">
        <v>139</v>
      </c>
      <c r="H4269">
        <v>8</v>
      </c>
      <c r="I4269">
        <v>11</v>
      </c>
      <c r="J4269">
        <v>158</v>
      </c>
      <c r="K4269" s="482">
        <v>0.88</v>
      </c>
      <c r="L4269" s="482">
        <v>5.0999999999999997E-2</v>
      </c>
      <c r="M4269" s="482">
        <v>7.0000000000000007E-2</v>
      </c>
    </row>
    <row r="4270" spans="1:13" x14ac:dyDescent="0.2">
      <c r="A4270" t="s">
        <v>5511</v>
      </c>
      <c r="B4270" t="s">
        <v>15</v>
      </c>
      <c r="C4270" t="s">
        <v>1</v>
      </c>
      <c r="D4270" t="s">
        <v>4302</v>
      </c>
      <c r="E4270" t="s">
        <v>4303</v>
      </c>
      <c r="F4270" t="s">
        <v>52</v>
      </c>
      <c r="G4270">
        <v>18</v>
      </c>
      <c r="H4270">
        <v>3</v>
      </c>
      <c r="I4270">
        <v>3</v>
      </c>
      <c r="J4270">
        <v>24</v>
      </c>
      <c r="K4270" s="482">
        <v>0.75</v>
      </c>
      <c r="L4270" s="482">
        <v>0.125</v>
      </c>
      <c r="M4270" s="482">
        <v>0.125</v>
      </c>
    </row>
    <row r="4271" spans="1:13" x14ac:dyDescent="0.2">
      <c r="A4271" t="s">
        <v>5505</v>
      </c>
      <c r="B4271" t="s">
        <v>15</v>
      </c>
      <c r="C4271" t="s">
        <v>1</v>
      </c>
      <c r="D4271" t="s">
        <v>3252</v>
      </c>
      <c r="E4271" t="s">
        <v>3253</v>
      </c>
      <c r="F4271" t="s">
        <v>52</v>
      </c>
      <c r="G4271" t="s">
        <v>53</v>
      </c>
      <c r="H4271">
        <v>0</v>
      </c>
      <c r="I4271">
        <v>0</v>
      </c>
      <c r="J4271" t="s">
        <v>53</v>
      </c>
      <c r="K4271" t="s">
        <v>53</v>
      </c>
      <c r="L4271" t="s">
        <v>53</v>
      </c>
      <c r="M4271" t="s">
        <v>53</v>
      </c>
    </row>
    <row r="4272" spans="1:13" x14ac:dyDescent="0.2">
      <c r="A4272" t="s">
        <v>5506</v>
      </c>
      <c r="B4272" t="s">
        <v>15</v>
      </c>
      <c r="C4272" t="s">
        <v>1</v>
      </c>
      <c r="D4272" t="s">
        <v>3255</v>
      </c>
      <c r="E4272" t="s">
        <v>3256</v>
      </c>
      <c r="F4272" t="s">
        <v>52</v>
      </c>
      <c r="G4272" t="s">
        <v>53</v>
      </c>
      <c r="H4272">
        <v>0</v>
      </c>
      <c r="I4272" t="s">
        <v>53</v>
      </c>
      <c r="J4272" t="s">
        <v>53</v>
      </c>
      <c r="K4272" t="s">
        <v>53</v>
      </c>
      <c r="L4272" t="s">
        <v>53</v>
      </c>
      <c r="M4272" t="s">
        <v>53</v>
      </c>
    </row>
    <row r="4273" spans="1:13" x14ac:dyDescent="0.2">
      <c r="A4273" t="s">
        <v>5507</v>
      </c>
      <c r="B4273" t="s">
        <v>15</v>
      </c>
      <c r="C4273" t="s">
        <v>1</v>
      </c>
      <c r="D4273" t="s">
        <v>3258</v>
      </c>
      <c r="E4273" t="s">
        <v>3259</v>
      </c>
      <c r="F4273" t="s">
        <v>52</v>
      </c>
      <c r="G4273">
        <v>76</v>
      </c>
      <c r="H4273">
        <v>8</v>
      </c>
      <c r="I4273">
        <v>6</v>
      </c>
      <c r="J4273">
        <v>90</v>
      </c>
      <c r="K4273" s="482">
        <v>0.84399999999999997</v>
      </c>
      <c r="L4273" s="482">
        <v>8.8999999999999996E-2</v>
      </c>
      <c r="M4273" s="482">
        <v>6.7000000000000004E-2</v>
      </c>
    </row>
    <row r="4274" spans="1:13" x14ac:dyDescent="0.2">
      <c r="A4274" t="s">
        <v>5508</v>
      </c>
      <c r="B4274" t="s">
        <v>15</v>
      </c>
      <c r="C4274" t="s">
        <v>1</v>
      </c>
      <c r="D4274" t="s">
        <v>3261</v>
      </c>
      <c r="E4274" t="s">
        <v>3262</v>
      </c>
      <c r="F4274" t="s">
        <v>52</v>
      </c>
      <c r="G4274">
        <v>32</v>
      </c>
      <c r="H4274">
        <v>4</v>
      </c>
      <c r="I4274">
        <v>3</v>
      </c>
      <c r="J4274">
        <v>39</v>
      </c>
      <c r="K4274" s="482">
        <v>0.82099999999999995</v>
      </c>
      <c r="L4274" s="482">
        <v>0.10299999999999999</v>
      </c>
      <c r="M4274" s="482">
        <v>7.6999999999999999E-2</v>
      </c>
    </row>
    <row r="4275" spans="1:13" x14ac:dyDescent="0.2">
      <c r="A4275" t="s">
        <v>5603</v>
      </c>
      <c r="B4275" t="s">
        <v>15</v>
      </c>
      <c r="C4275" t="s">
        <v>1</v>
      </c>
      <c r="D4275" t="s">
        <v>3520</v>
      </c>
      <c r="E4275" t="s">
        <v>341</v>
      </c>
      <c r="F4275" t="s">
        <v>52</v>
      </c>
      <c r="G4275">
        <v>82</v>
      </c>
      <c r="H4275">
        <v>9</v>
      </c>
      <c r="I4275">
        <v>5</v>
      </c>
      <c r="J4275">
        <v>96</v>
      </c>
      <c r="K4275" s="482">
        <v>0.85399999999999998</v>
      </c>
      <c r="L4275" s="482">
        <v>9.4E-2</v>
      </c>
      <c r="M4275" s="482">
        <v>5.1999999999999998E-2</v>
      </c>
    </row>
    <row r="4276" spans="1:13" x14ac:dyDescent="0.2">
      <c r="A4276" t="s">
        <v>5725</v>
      </c>
      <c r="B4276" t="s">
        <v>15</v>
      </c>
      <c r="C4276" t="s">
        <v>1</v>
      </c>
      <c r="D4276" t="s">
        <v>3888</v>
      </c>
      <c r="E4276" t="s">
        <v>3889</v>
      </c>
      <c r="F4276" t="s">
        <v>52</v>
      </c>
      <c r="G4276">
        <v>309</v>
      </c>
      <c r="H4276">
        <v>33</v>
      </c>
      <c r="I4276">
        <v>48</v>
      </c>
      <c r="J4276">
        <v>390</v>
      </c>
      <c r="K4276" s="482">
        <v>0.79200000000000004</v>
      </c>
      <c r="L4276" s="482">
        <v>8.5000000000000006E-2</v>
      </c>
      <c r="M4276" s="482">
        <v>0.123</v>
      </c>
    </row>
    <row r="4277" spans="1:13" x14ac:dyDescent="0.2">
      <c r="A4277" t="s">
        <v>5601</v>
      </c>
      <c r="B4277" t="s">
        <v>15</v>
      </c>
      <c r="C4277" t="s">
        <v>1</v>
      </c>
      <c r="D4277" t="s">
        <v>3515</v>
      </c>
      <c r="E4277" t="s">
        <v>343</v>
      </c>
      <c r="F4277" t="s">
        <v>52</v>
      </c>
      <c r="G4277">
        <v>230</v>
      </c>
      <c r="H4277">
        <v>34</v>
      </c>
      <c r="I4277">
        <v>32</v>
      </c>
      <c r="J4277">
        <v>296</v>
      </c>
      <c r="K4277" s="482">
        <v>0.77700000000000002</v>
      </c>
      <c r="L4277" s="482">
        <v>0.115</v>
      </c>
      <c r="M4277" s="482">
        <v>0.108</v>
      </c>
    </row>
    <row r="4278" spans="1:13" x14ac:dyDescent="0.2">
      <c r="A4278" t="s">
        <v>5724</v>
      </c>
      <c r="B4278" t="s">
        <v>15</v>
      </c>
      <c r="C4278" t="s">
        <v>1</v>
      </c>
      <c r="D4278" t="s">
        <v>3885</v>
      </c>
      <c r="E4278" t="s">
        <v>3886</v>
      </c>
      <c r="F4278" t="s">
        <v>52</v>
      </c>
      <c r="G4278">
        <v>232</v>
      </c>
      <c r="H4278">
        <v>32</v>
      </c>
      <c r="I4278">
        <v>23</v>
      </c>
      <c r="J4278">
        <v>287</v>
      </c>
      <c r="K4278" s="482">
        <v>0.80800000000000005</v>
      </c>
      <c r="L4278" s="482">
        <v>0.111</v>
      </c>
      <c r="M4278" s="482">
        <v>0.08</v>
      </c>
    </row>
    <row r="4279" spans="1:13" x14ac:dyDescent="0.2">
      <c r="A4279" t="s">
        <v>5726</v>
      </c>
      <c r="B4279" t="s">
        <v>15</v>
      </c>
      <c r="C4279" t="s">
        <v>1</v>
      </c>
      <c r="D4279" t="s">
        <v>3891</v>
      </c>
      <c r="E4279" t="s">
        <v>3892</v>
      </c>
      <c r="F4279" t="s">
        <v>52</v>
      </c>
      <c r="G4279">
        <v>105</v>
      </c>
      <c r="H4279">
        <v>16</v>
      </c>
      <c r="I4279">
        <v>15</v>
      </c>
      <c r="J4279">
        <v>136</v>
      </c>
      <c r="K4279" s="482">
        <v>0.77200000000000002</v>
      </c>
      <c r="L4279" s="482">
        <v>0.11799999999999999</v>
      </c>
      <c r="M4279" s="482">
        <v>0.11</v>
      </c>
    </row>
    <row r="4280" spans="1:13" x14ac:dyDescent="0.2">
      <c r="A4280" t="s">
        <v>5727</v>
      </c>
      <c r="B4280" t="s">
        <v>15</v>
      </c>
      <c r="C4280" t="s">
        <v>1</v>
      </c>
      <c r="D4280" t="s">
        <v>3894</v>
      </c>
      <c r="E4280" t="s">
        <v>3895</v>
      </c>
      <c r="F4280" t="s">
        <v>52</v>
      </c>
      <c r="G4280">
        <v>160</v>
      </c>
      <c r="H4280">
        <v>18</v>
      </c>
      <c r="I4280">
        <v>9</v>
      </c>
      <c r="J4280">
        <v>187</v>
      </c>
      <c r="K4280" s="482">
        <v>0.85599999999999998</v>
      </c>
      <c r="L4280" s="482">
        <v>9.6000000000000002E-2</v>
      </c>
      <c r="M4280" s="482">
        <v>4.8000000000000001E-2</v>
      </c>
    </row>
    <row r="4281" spans="1:13" x14ac:dyDescent="0.2">
      <c r="A4281" t="s">
        <v>5728</v>
      </c>
      <c r="B4281" t="s">
        <v>15</v>
      </c>
      <c r="C4281" t="s">
        <v>1</v>
      </c>
      <c r="D4281" t="s">
        <v>3897</v>
      </c>
      <c r="E4281" t="s">
        <v>3898</v>
      </c>
      <c r="F4281" t="s">
        <v>52</v>
      </c>
      <c r="G4281">
        <v>27</v>
      </c>
      <c r="H4281">
        <v>7</v>
      </c>
      <c r="I4281">
        <v>17</v>
      </c>
      <c r="J4281">
        <v>51</v>
      </c>
      <c r="K4281" s="482">
        <v>0.52900000000000003</v>
      </c>
      <c r="L4281" s="482">
        <v>0.13700000000000001</v>
      </c>
      <c r="M4281" s="482">
        <v>0.33300000000000002</v>
      </c>
    </row>
    <row r="4282" spans="1:13" x14ac:dyDescent="0.2">
      <c r="A4282" t="s">
        <v>5730</v>
      </c>
      <c r="B4282" t="s">
        <v>15</v>
      </c>
      <c r="C4282" t="s">
        <v>1</v>
      </c>
      <c r="D4282" t="s">
        <v>3906</v>
      </c>
      <c r="E4282" t="s">
        <v>3907</v>
      </c>
      <c r="F4282" t="s">
        <v>52</v>
      </c>
      <c r="G4282">
        <v>176</v>
      </c>
      <c r="H4282">
        <v>20</v>
      </c>
      <c r="I4282">
        <v>28</v>
      </c>
      <c r="J4282">
        <v>224</v>
      </c>
      <c r="K4282" s="482">
        <v>0.78600000000000003</v>
      </c>
      <c r="L4282" s="482">
        <v>8.8999999999999996E-2</v>
      </c>
      <c r="M4282" s="482">
        <v>0.125</v>
      </c>
    </row>
    <row r="4283" spans="1:13" x14ac:dyDescent="0.2">
      <c r="A4283" t="s">
        <v>5567</v>
      </c>
      <c r="B4283" t="s">
        <v>15</v>
      </c>
      <c r="C4283" t="s">
        <v>1</v>
      </c>
      <c r="D4283" t="s">
        <v>4370</v>
      </c>
      <c r="E4283" t="s">
        <v>4371</v>
      </c>
      <c r="F4283" t="s">
        <v>52</v>
      </c>
      <c r="G4283">
        <v>38</v>
      </c>
      <c r="H4283">
        <v>9</v>
      </c>
      <c r="I4283">
        <v>5</v>
      </c>
      <c r="J4283">
        <v>52</v>
      </c>
      <c r="K4283" s="482">
        <v>0.73099999999999998</v>
      </c>
      <c r="L4283" s="482">
        <v>0.17299999999999999</v>
      </c>
      <c r="M4283" s="482">
        <v>9.6000000000000002E-2</v>
      </c>
    </row>
    <row r="4284" spans="1:13" x14ac:dyDescent="0.2">
      <c r="A4284" t="s">
        <v>5729</v>
      </c>
      <c r="B4284" t="s">
        <v>15</v>
      </c>
      <c r="C4284" t="s">
        <v>1</v>
      </c>
      <c r="D4284" t="s">
        <v>4553</v>
      </c>
      <c r="E4284" t="s">
        <v>4554</v>
      </c>
      <c r="F4284" t="s">
        <v>52</v>
      </c>
      <c r="G4284">
        <v>156</v>
      </c>
      <c r="H4284">
        <v>18</v>
      </c>
      <c r="I4284">
        <v>16</v>
      </c>
      <c r="J4284">
        <v>190</v>
      </c>
      <c r="K4284" s="482">
        <v>0.82099999999999995</v>
      </c>
      <c r="L4284" s="482">
        <v>9.5000000000000001E-2</v>
      </c>
      <c r="M4284" s="482">
        <v>8.4000000000000005E-2</v>
      </c>
    </row>
    <row r="4285" spans="1:13" x14ac:dyDescent="0.2">
      <c r="A4285" t="s">
        <v>5489</v>
      </c>
      <c r="B4285" t="s">
        <v>15</v>
      </c>
      <c r="C4285" t="s">
        <v>1</v>
      </c>
      <c r="D4285" t="s">
        <v>3409</v>
      </c>
      <c r="E4285" t="s">
        <v>3410</v>
      </c>
      <c r="F4285" t="s">
        <v>52</v>
      </c>
      <c r="G4285">
        <v>60</v>
      </c>
      <c r="H4285">
        <v>6</v>
      </c>
      <c r="I4285">
        <v>10</v>
      </c>
      <c r="J4285">
        <v>76</v>
      </c>
      <c r="K4285" s="482">
        <v>0.78900000000000003</v>
      </c>
      <c r="L4285" s="482">
        <v>7.9000000000000001E-2</v>
      </c>
      <c r="M4285" s="482">
        <v>0.13200000000000001</v>
      </c>
    </row>
    <row r="4286" spans="1:13" x14ac:dyDescent="0.2">
      <c r="A4286" t="s">
        <v>5490</v>
      </c>
      <c r="B4286" t="s">
        <v>15</v>
      </c>
      <c r="C4286" t="s">
        <v>1</v>
      </c>
      <c r="D4286" t="s">
        <v>3210</v>
      </c>
      <c r="E4286" t="s">
        <v>3211</v>
      </c>
      <c r="F4286" t="s">
        <v>52</v>
      </c>
      <c r="G4286">
        <v>14</v>
      </c>
      <c r="H4286">
        <v>0</v>
      </c>
      <c r="I4286">
        <v>0</v>
      </c>
      <c r="J4286">
        <v>14</v>
      </c>
      <c r="K4286" s="482">
        <v>1</v>
      </c>
      <c r="L4286" s="482">
        <v>0</v>
      </c>
      <c r="M4286" s="482">
        <v>0</v>
      </c>
    </row>
    <row r="4287" spans="1:13" x14ac:dyDescent="0.2">
      <c r="A4287" t="s">
        <v>5491</v>
      </c>
      <c r="B4287" t="s">
        <v>15</v>
      </c>
      <c r="C4287" t="s">
        <v>1</v>
      </c>
      <c r="D4287" t="s">
        <v>3213</v>
      </c>
      <c r="E4287" t="s">
        <v>3214</v>
      </c>
      <c r="F4287" t="s">
        <v>52</v>
      </c>
      <c r="G4287">
        <v>218</v>
      </c>
      <c r="H4287">
        <v>28</v>
      </c>
      <c r="I4287">
        <v>26</v>
      </c>
      <c r="J4287">
        <v>272</v>
      </c>
      <c r="K4287" s="482">
        <v>0.80100000000000005</v>
      </c>
      <c r="L4287" s="482">
        <v>0.10299999999999999</v>
      </c>
      <c r="M4287" s="482">
        <v>9.6000000000000002E-2</v>
      </c>
    </row>
    <row r="4288" spans="1:13" x14ac:dyDescent="0.2">
      <c r="A4288" t="s">
        <v>5485</v>
      </c>
      <c r="B4288" t="s">
        <v>15</v>
      </c>
      <c r="C4288" t="s">
        <v>1</v>
      </c>
      <c r="D4288" t="s">
        <v>3198</v>
      </c>
      <c r="E4288" t="s">
        <v>3199</v>
      </c>
      <c r="F4288" t="s">
        <v>52</v>
      </c>
      <c r="G4288">
        <v>85</v>
      </c>
      <c r="H4288">
        <v>11</v>
      </c>
      <c r="I4288">
        <v>8</v>
      </c>
      <c r="J4288">
        <v>104</v>
      </c>
      <c r="K4288" s="482">
        <v>0.81699999999999995</v>
      </c>
      <c r="L4288" s="482">
        <v>0.106</v>
      </c>
      <c r="M4288" s="482">
        <v>7.6999999999999999E-2</v>
      </c>
    </row>
    <row r="4289" spans="1:13" x14ac:dyDescent="0.2">
      <c r="A4289" t="s">
        <v>5538</v>
      </c>
      <c r="B4289" t="s">
        <v>15</v>
      </c>
      <c r="C4289" t="s">
        <v>1</v>
      </c>
      <c r="D4289" t="s">
        <v>3340</v>
      </c>
      <c r="E4289" t="s">
        <v>3341</v>
      </c>
      <c r="F4289" t="s">
        <v>52</v>
      </c>
      <c r="G4289">
        <v>170</v>
      </c>
      <c r="H4289">
        <v>14</v>
      </c>
      <c r="I4289">
        <v>10</v>
      </c>
      <c r="J4289">
        <v>194</v>
      </c>
      <c r="K4289" s="482">
        <v>0.876</v>
      </c>
      <c r="L4289" s="482">
        <v>7.1999999999999995E-2</v>
      </c>
      <c r="M4289" s="482">
        <v>5.1999999999999998E-2</v>
      </c>
    </row>
    <row r="4290" spans="1:13" x14ac:dyDescent="0.2">
      <c r="A4290" t="s">
        <v>5486</v>
      </c>
      <c r="B4290" t="s">
        <v>15</v>
      </c>
      <c r="C4290" t="s">
        <v>1</v>
      </c>
      <c r="D4290" t="s">
        <v>4267</v>
      </c>
      <c r="E4290" t="s">
        <v>4268</v>
      </c>
      <c r="F4290" t="s">
        <v>52</v>
      </c>
      <c r="G4290">
        <v>43</v>
      </c>
      <c r="H4290">
        <v>5</v>
      </c>
      <c r="I4290">
        <v>4</v>
      </c>
      <c r="J4290">
        <v>52</v>
      </c>
      <c r="K4290" s="482">
        <v>0.82699999999999996</v>
      </c>
      <c r="L4290" s="482">
        <v>9.6000000000000002E-2</v>
      </c>
      <c r="M4290" s="482">
        <v>7.6999999999999999E-2</v>
      </c>
    </row>
    <row r="4291" spans="1:13" x14ac:dyDescent="0.2">
      <c r="A4291" t="s">
        <v>5540</v>
      </c>
      <c r="B4291" t="s">
        <v>15</v>
      </c>
      <c r="C4291" t="s">
        <v>1</v>
      </c>
      <c r="D4291" t="s">
        <v>4334</v>
      </c>
      <c r="E4291" t="s">
        <v>4335</v>
      </c>
      <c r="F4291" t="s">
        <v>52</v>
      </c>
      <c r="G4291">
        <v>16</v>
      </c>
      <c r="H4291">
        <v>0</v>
      </c>
      <c r="I4291">
        <v>1</v>
      </c>
      <c r="J4291">
        <v>17</v>
      </c>
      <c r="K4291" s="482">
        <v>0.94099999999999995</v>
      </c>
      <c r="L4291" s="482">
        <v>0</v>
      </c>
      <c r="M4291" s="482">
        <v>5.8999999999999997E-2</v>
      </c>
    </row>
    <row r="4292" spans="1:13" x14ac:dyDescent="0.2">
      <c r="A4292" t="s">
        <v>5556</v>
      </c>
      <c r="B4292" t="s">
        <v>15</v>
      </c>
      <c r="C4292" t="s">
        <v>1</v>
      </c>
      <c r="D4292" t="s">
        <v>3343</v>
      </c>
      <c r="E4292" t="s">
        <v>3344</v>
      </c>
      <c r="F4292" t="s">
        <v>52</v>
      </c>
      <c r="G4292">
        <v>55</v>
      </c>
      <c r="H4292">
        <v>9</v>
      </c>
      <c r="I4292">
        <v>3</v>
      </c>
      <c r="J4292">
        <v>67</v>
      </c>
      <c r="K4292" s="482">
        <v>0.82099999999999995</v>
      </c>
      <c r="L4292" s="482">
        <v>0.13400000000000001</v>
      </c>
      <c r="M4292" s="482">
        <v>4.4999999999999998E-2</v>
      </c>
    </row>
    <row r="4293" spans="1:13" x14ac:dyDescent="0.2">
      <c r="A4293" t="s">
        <v>5542</v>
      </c>
      <c r="B4293" t="s">
        <v>15</v>
      </c>
      <c r="C4293" t="s">
        <v>1</v>
      </c>
      <c r="D4293" t="s">
        <v>4339</v>
      </c>
      <c r="E4293" t="s">
        <v>4340</v>
      </c>
      <c r="F4293" t="s">
        <v>52</v>
      </c>
      <c r="G4293">
        <v>109</v>
      </c>
      <c r="H4293">
        <v>4</v>
      </c>
      <c r="I4293">
        <v>11</v>
      </c>
      <c r="J4293">
        <v>124</v>
      </c>
      <c r="K4293" s="482">
        <v>0.879</v>
      </c>
      <c r="L4293" s="482">
        <v>3.2000000000000001E-2</v>
      </c>
      <c r="M4293" s="482">
        <v>8.8999999999999996E-2</v>
      </c>
    </row>
    <row r="4294" spans="1:13" x14ac:dyDescent="0.2">
      <c r="A4294" t="s">
        <v>5543</v>
      </c>
      <c r="B4294" t="s">
        <v>15</v>
      </c>
      <c r="C4294" t="s">
        <v>1</v>
      </c>
      <c r="D4294" t="s">
        <v>4342</v>
      </c>
      <c r="E4294" t="s">
        <v>4343</v>
      </c>
      <c r="F4294" t="s">
        <v>52</v>
      </c>
      <c r="G4294">
        <v>11</v>
      </c>
      <c r="H4294">
        <v>3</v>
      </c>
      <c r="I4294">
        <v>4</v>
      </c>
      <c r="J4294">
        <v>18</v>
      </c>
      <c r="K4294" s="482">
        <v>0.61099999999999999</v>
      </c>
      <c r="L4294" s="482">
        <v>0.16700000000000001</v>
      </c>
      <c r="M4294" s="482">
        <v>0.222</v>
      </c>
    </row>
    <row r="4295" spans="1:13" x14ac:dyDescent="0.2">
      <c r="A4295" t="s">
        <v>5557</v>
      </c>
      <c r="B4295" t="s">
        <v>15</v>
      </c>
      <c r="C4295" t="s">
        <v>1</v>
      </c>
      <c r="D4295" t="s">
        <v>3385</v>
      </c>
      <c r="E4295" t="s">
        <v>3386</v>
      </c>
      <c r="F4295" t="s">
        <v>52</v>
      </c>
      <c r="G4295">
        <v>90</v>
      </c>
      <c r="H4295">
        <v>0</v>
      </c>
      <c r="I4295">
        <v>7</v>
      </c>
      <c r="J4295">
        <v>97</v>
      </c>
      <c r="K4295" s="482">
        <v>0.92800000000000005</v>
      </c>
      <c r="L4295" s="482">
        <v>0</v>
      </c>
      <c r="M4295" s="482">
        <v>7.1999999999999995E-2</v>
      </c>
    </row>
    <row r="4296" spans="1:13" x14ac:dyDescent="0.2">
      <c r="A4296" t="s">
        <v>5558</v>
      </c>
      <c r="B4296" t="s">
        <v>15</v>
      </c>
      <c r="C4296" t="s">
        <v>1</v>
      </c>
      <c r="D4296" t="s">
        <v>3388</v>
      </c>
      <c r="E4296" t="s">
        <v>3389</v>
      </c>
      <c r="F4296" t="s">
        <v>52</v>
      </c>
      <c r="G4296">
        <v>126</v>
      </c>
      <c r="H4296">
        <v>17</v>
      </c>
      <c r="I4296">
        <v>19</v>
      </c>
      <c r="J4296">
        <v>162</v>
      </c>
      <c r="K4296" s="482">
        <v>0.77800000000000002</v>
      </c>
      <c r="L4296" s="482">
        <v>0.105</v>
      </c>
      <c r="M4296" s="482">
        <v>0.11700000000000001</v>
      </c>
    </row>
    <row r="4297" spans="1:13" x14ac:dyDescent="0.2">
      <c r="A4297" t="s">
        <v>5559</v>
      </c>
      <c r="B4297" t="s">
        <v>15</v>
      </c>
      <c r="C4297" t="s">
        <v>1</v>
      </c>
      <c r="D4297" t="s">
        <v>3391</v>
      </c>
      <c r="E4297" t="s">
        <v>3392</v>
      </c>
      <c r="F4297" t="s">
        <v>52</v>
      </c>
      <c r="G4297">
        <v>47</v>
      </c>
      <c r="H4297">
        <v>6</v>
      </c>
      <c r="I4297">
        <v>3</v>
      </c>
      <c r="J4297">
        <v>56</v>
      </c>
      <c r="K4297" s="482">
        <v>0.83899999999999997</v>
      </c>
      <c r="L4297" s="482">
        <v>0.107</v>
      </c>
      <c r="M4297" s="482">
        <v>5.3999999999999999E-2</v>
      </c>
    </row>
    <row r="4298" spans="1:13" x14ac:dyDescent="0.2">
      <c r="A4298" t="s">
        <v>5560</v>
      </c>
      <c r="B4298" t="s">
        <v>15</v>
      </c>
      <c r="C4298" t="s">
        <v>1</v>
      </c>
      <c r="D4298" t="s">
        <v>3394</v>
      </c>
      <c r="E4298" t="s">
        <v>3395</v>
      </c>
      <c r="F4298" t="s">
        <v>52</v>
      </c>
      <c r="G4298">
        <v>146</v>
      </c>
      <c r="H4298">
        <v>16</v>
      </c>
      <c r="I4298">
        <v>22</v>
      </c>
      <c r="J4298">
        <v>184</v>
      </c>
      <c r="K4298" s="482">
        <v>0.79300000000000004</v>
      </c>
      <c r="L4298" s="482">
        <v>8.6999999999999994E-2</v>
      </c>
      <c r="M4298" s="482">
        <v>0.12</v>
      </c>
    </row>
    <row r="4299" spans="1:13" x14ac:dyDescent="0.2">
      <c r="A4299" t="s">
        <v>5561</v>
      </c>
      <c r="B4299" t="s">
        <v>15</v>
      </c>
      <c r="C4299" t="s">
        <v>1</v>
      </c>
      <c r="D4299" t="s">
        <v>3397</v>
      </c>
      <c r="E4299" t="s">
        <v>3398</v>
      </c>
      <c r="F4299" t="s">
        <v>52</v>
      </c>
      <c r="G4299">
        <v>77</v>
      </c>
      <c r="H4299">
        <v>16</v>
      </c>
      <c r="I4299">
        <v>10</v>
      </c>
      <c r="J4299">
        <v>103</v>
      </c>
      <c r="K4299" s="482">
        <v>0.748</v>
      </c>
      <c r="L4299" s="482">
        <v>0.155</v>
      </c>
      <c r="M4299" s="482">
        <v>9.7000000000000003E-2</v>
      </c>
    </row>
    <row r="4300" spans="1:13" x14ac:dyDescent="0.2">
      <c r="A4300" t="s">
        <v>5562</v>
      </c>
      <c r="B4300" t="s">
        <v>15</v>
      </c>
      <c r="C4300" t="s">
        <v>1</v>
      </c>
      <c r="D4300" t="s">
        <v>3400</v>
      </c>
      <c r="E4300" t="s">
        <v>3401</v>
      </c>
      <c r="F4300" t="s">
        <v>52</v>
      </c>
      <c r="G4300">
        <v>90</v>
      </c>
      <c r="H4300">
        <v>9</v>
      </c>
      <c r="I4300">
        <v>10</v>
      </c>
      <c r="J4300">
        <v>109</v>
      </c>
      <c r="K4300" s="482">
        <v>0.82599999999999996</v>
      </c>
      <c r="L4300" s="482">
        <v>8.3000000000000004E-2</v>
      </c>
      <c r="M4300" s="482">
        <v>9.1999999999999998E-2</v>
      </c>
    </row>
    <row r="4301" spans="1:13" x14ac:dyDescent="0.2">
      <c r="A4301" t="s">
        <v>5501</v>
      </c>
      <c r="B4301" t="s">
        <v>15</v>
      </c>
      <c r="C4301" t="s">
        <v>1</v>
      </c>
      <c r="D4301" t="s">
        <v>3240</v>
      </c>
      <c r="E4301" t="s">
        <v>3241</v>
      </c>
      <c r="F4301" t="s">
        <v>52</v>
      </c>
      <c r="G4301">
        <v>14</v>
      </c>
      <c r="H4301">
        <v>1</v>
      </c>
      <c r="I4301">
        <v>4</v>
      </c>
      <c r="J4301">
        <v>19</v>
      </c>
      <c r="K4301" s="482">
        <v>0.73699999999999999</v>
      </c>
      <c r="L4301" s="482">
        <v>5.2999999999999999E-2</v>
      </c>
      <c r="M4301" s="482">
        <v>0.21099999999999999</v>
      </c>
    </row>
    <row r="4302" spans="1:13" x14ac:dyDescent="0.2">
      <c r="A4302" t="s">
        <v>5502</v>
      </c>
      <c r="B4302" t="s">
        <v>15</v>
      </c>
      <c r="C4302" t="s">
        <v>1</v>
      </c>
      <c r="D4302" t="s">
        <v>3243</v>
      </c>
      <c r="E4302" t="s">
        <v>3244</v>
      </c>
      <c r="F4302" t="s">
        <v>52</v>
      </c>
      <c r="G4302">
        <v>58</v>
      </c>
      <c r="H4302">
        <v>9</v>
      </c>
      <c r="I4302">
        <v>5</v>
      </c>
      <c r="J4302">
        <v>72</v>
      </c>
      <c r="K4302" s="482">
        <v>0.80600000000000005</v>
      </c>
      <c r="L4302" s="482">
        <v>0.125</v>
      </c>
      <c r="M4302" s="482">
        <v>6.9000000000000006E-2</v>
      </c>
    </row>
    <row r="4303" spans="1:13" x14ac:dyDescent="0.2">
      <c r="A4303" t="s">
        <v>5503</v>
      </c>
      <c r="B4303" t="s">
        <v>15</v>
      </c>
      <c r="C4303" t="s">
        <v>1</v>
      </c>
      <c r="D4303" t="s">
        <v>3246</v>
      </c>
      <c r="E4303" t="s">
        <v>3247</v>
      </c>
      <c r="F4303" t="s">
        <v>52</v>
      </c>
      <c r="G4303">
        <v>131</v>
      </c>
      <c r="H4303">
        <v>19</v>
      </c>
      <c r="I4303">
        <v>10</v>
      </c>
      <c r="J4303">
        <v>160</v>
      </c>
      <c r="K4303" s="482">
        <v>0.81899999999999995</v>
      </c>
      <c r="L4303" s="482">
        <v>0.11899999999999999</v>
      </c>
      <c r="M4303" s="482">
        <v>6.3E-2</v>
      </c>
    </row>
    <row r="4304" spans="1:13" x14ac:dyDescent="0.2">
      <c r="A4304" t="s">
        <v>5504</v>
      </c>
      <c r="B4304" t="s">
        <v>15</v>
      </c>
      <c r="C4304" t="s">
        <v>1</v>
      </c>
      <c r="D4304" t="s">
        <v>3249</v>
      </c>
      <c r="E4304" t="s">
        <v>3250</v>
      </c>
      <c r="F4304" t="s">
        <v>52</v>
      </c>
      <c r="G4304">
        <v>55</v>
      </c>
      <c r="H4304">
        <v>5</v>
      </c>
      <c r="I4304">
        <v>5</v>
      </c>
      <c r="J4304">
        <v>65</v>
      </c>
      <c r="K4304" s="482">
        <v>0.84599999999999997</v>
      </c>
      <c r="L4304" s="482">
        <v>7.6999999999999999E-2</v>
      </c>
      <c r="M4304" s="482">
        <v>7.6999999999999999E-2</v>
      </c>
    </row>
    <row r="4305" spans="1:13" x14ac:dyDescent="0.2">
      <c r="A4305" t="s">
        <v>5456</v>
      </c>
      <c r="B4305" t="s">
        <v>15</v>
      </c>
      <c r="C4305" t="s">
        <v>1</v>
      </c>
      <c r="D4305" t="s">
        <v>4229</v>
      </c>
      <c r="E4305" t="s">
        <v>4230</v>
      </c>
      <c r="F4305" t="s">
        <v>52</v>
      </c>
      <c r="G4305">
        <v>217</v>
      </c>
      <c r="H4305">
        <v>25</v>
      </c>
      <c r="I4305">
        <v>21</v>
      </c>
      <c r="J4305">
        <v>263</v>
      </c>
      <c r="K4305" s="482">
        <v>0.82499999999999996</v>
      </c>
      <c r="L4305" s="482">
        <v>9.5000000000000001E-2</v>
      </c>
      <c r="M4305" s="482">
        <v>0.08</v>
      </c>
    </row>
    <row r="4306" spans="1:13" x14ac:dyDescent="0.2">
      <c r="A4306" t="s">
        <v>5455</v>
      </c>
      <c r="B4306" t="s">
        <v>15</v>
      </c>
      <c r="C4306" t="s">
        <v>1</v>
      </c>
      <c r="D4306" t="s">
        <v>3103</v>
      </c>
      <c r="E4306" t="s">
        <v>3104</v>
      </c>
      <c r="F4306" t="s">
        <v>52</v>
      </c>
      <c r="G4306">
        <v>45</v>
      </c>
      <c r="H4306">
        <v>9</v>
      </c>
      <c r="I4306">
        <v>2</v>
      </c>
      <c r="J4306">
        <v>56</v>
      </c>
      <c r="K4306" s="482">
        <v>0.80400000000000005</v>
      </c>
      <c r="L4306" s="482">
        <v>0.161</v>
      </c>
      <c r="M4306" s="482">
        <v>3.5999999999999997E-2</v>
      </c>
    </row>
    <row r="4307" spans="1:13" x14ac:dyDescent="0.2">
      <c r="A4307" t="s">
        <v>5617</v>
      </c>
      <c r="B4307" t="s">
        <v>15</v>
      </c>
      <c r="C4307" t="s">
        <v>1</v>
      </c>
      <c r="D4307" t="s">
        <v>4428</v>
      </c>
      <c r="E4307" t="s">
        <v>4429</v>
      </c>
      <c r="F4307" t="s">
        <v>52</v>
      </c>
      <c r="G4307">
        <v>85</v>
      </c>
      <c r="H4307">
        <v>13</v>
      </c>
      <c r="I4307">
        <v>4</v>
      </c>
      <c r="J4307">
        <v>102</v>
      </c>
      <c r="K4307" s="482">
        <v>0.83299999999999996</v>
      </c>
      <c r="L4307" s="482">
        <v>0.127</v>
      </c>
      <c r="M4307" s="482">
        <v>3.9E-2</v>
      </c>
    </row>
    <row r="4308" spans="1:13" x14ac:dyDescent="0.2">
      <c r="A4308" t="s">
        <v>5466</v>
      </c>
      <c r="B4308" t="s">
        <v>15</v>
      </c>
      <c r="C4308" t="s">
        <v>1</v>
      </c>
      <c r="D4308" t="s">
        <v>3148</v>
      </c>
      <c r="E4308" t="s">
        <v>3149</v>
      </c>
      <c r="F4308" t="s">
        <v>52</v>
      </c>
      <c r="G4308">
        <v>97</v>
      </c>
      <c r="H4308">
        <v>11</v>
      </c>
      <c r="I4308">
        <v>14</v>
      </c>
      <c r="J4308">
        <v>122</v>
      </c>
      <c r="K4308" s="482">
        <v>0.79500000000000004</v>
      </c>
      <c r="L4308" s="482">
        <v>0.09</v>
      </c>
      <c r="M4308" s="482">
        <v>0.115</v>
      </c>
    </row>
    <row r="4309" spans="1:13" x14ac:dyDescent="0.2">
      <c r="A4309" t="s">
        <v>5467</v>
      </c>
      <c r="B4309" t="s">
        <v>15</v>
      </c>
      <c r="C4309" t="s">
        <v>1</v>
      </c>
      <c r="D4309" t="s">
        <v>3151</v>
      </c>
      <c r="E4309" t="s">
        <v>3152</v>
      </c>
      <c r="F4309" t="s">
        <v>52</v>
      </c>
      <c r="G4309">
        <v>56</v>
      </c>
      <c r="H4309">
        <v>7</v>
      </c>
      <c r="I4309">
        <v>2</v>
      </c>
      <c r="J4309">
        <v>65</v>
      </c>
      <c r="K4309" s="482">
        <v>0.86199999999999999</v>
      </c>
      <c r="L4309" s="482">
        <v>0.108</v>
      </c>
      <c r="M4309" s="482">
        <v>3.1E-2</v>
      </c>
    </row>
    <row r="4310" spans="1:13" x14ac:dyDescent="0.2">
      <c r="A4310" t="s">
        <v>5459</v>
      </c>
      <c r="B4310" t="s">
        <v>15</v>
      </c>
      <c r="C4310" t="s">
        <v>1</v>
      </c>
      <c r="D4310" t="s">
        <v>3118</v>
      </c>
      <c r="E4310" t="s">
        <v>3119</v>
      </c>
      <c r="F4310" t="s">
        <v>52</v>
      </c>
      <c r="G4310">
        <v>42</v>
      </c>
      <c r="H4310">
        <v>6</v>
      </c>
      <c r="I4310">
        <v>2</v>
      </c>
      <c r="J4310">
        <v>50</v>
      </c>
      <c r="K4310" s="482">
        <v>0.84</v>
      </c>
      <c r="L4310" s="482">
        <v>0.12</v>
      </c>
      <c r="M4310" s="482">
        <v>0.04</v>
      </c>
    </row>
    <row r="4311" spans="1:13" x14ac:dyDescent="0.2">
      <c r="A4311" t="s">
        <v>5460</v>
      </c>
      <c r="B4311" t="s">
        <v>15</v>
      </c>
      <c r="C4311" t="s">
        <v>1</v>
      </c>
      <c r="D4311" t="s">
        <v>3121</v>
      </c>
      <c r="E4311" t="s">
        <v>3122</v>
      </c>
      <c r="F4311" t="s">
        <v>52</v>
      </c>
      <c r="G4311">
        <v>250</v>
      </c>
      <c r="H4311">
        <v>24</v>
      </c>
      <c r="I4311">
        <v>32</v>
      </c>
      <c r="J4311">
        <v>306</v>
      </c>
      <c r="K4311" s="482">
        <v>0.81699999999999995</v>
      </c>
      <c r="L4311" s="482">
        <v>7.8E-2</v>
      </c>
      <c r="M4311" s="482">
        <v>0.105</v>
      </c>
    </row>
    <row r="4312" spans="1:13" x14ac:dyDescent="0.2">
      <c r="A4312" t="s">
        <v>5458</v>
      </c>
      <c r="B4312" t="s">
        <v>15</v>
      </c>
      <c r="C4312" t="s">
        <v>1</v>
      </c>
      <c r="D4312" t="s">
        <v>3115</v>
      </c>
      <c r="E4312" t="s">
        <v>3116</v>
      </c>
      <c r="F4312" t="s">
        <v>52</v>
      </c>
      <c r="G4312">
        <v>133</v>
      </c>
      <c r="H4312">
        <v>27</v>
      </c>
      <c r="I4312">
        <v>22</v>
      </c>
      <c r="J4312">
        <v>182</v>
      </c>
      <c r="K4312" s="482">
        <v>0.73099999999999998</v>
      </c>
      <c r="L4312" s="482">
        <v>0.14799999999999999</v>
      </c>
      <c r="M4312" s="482">
        <v>0.121</v>
      </c>
    </row>
    <row r="4313" spans="1:13" x14ac:dyDescent="0.2">
      <c r="A4313" t="s">
        <v>5680</v>
      </c>
      <c r="B4313" t="s">
        <v>15</v>
      </c>
      <c r="C4313" t="s">
        <v>1</v>
      </c>
      <c r="D4313" t="s">
        <v>4222</v>
      </c>
      <c r="E4313" t="s">
        <v>4223</v>
      </c>
      <c r="F4313" t="s">
        <v>52</v>
      </c>
      <c r="G4313">
        <v>531</v>
      </c>
      <c r="H4313">
        <v>90</v>
      </c>
      <c r="I4313">
        <v>55</v>
      </c>
      <c r="J4313">
        <v>676</v>
      </c>
      <c r="K4313" s="482">
        <v>0.78600000000000003</v>
      </c>
      <c r="L4313" s="482">
        <v>0.13300000000000001</v>
      </c>
      <c r="M4313" s="482">
        <v>8.1000000000000003E-2</v>
      </c>
    </row>
    <row r="4314" spans="1:13" x14ac:dyDescent="0.2">
      <c r="A4314" t="s">
        <v>5656</v>
      </c>
      <c r="B4314" t="s">
        <v>15</v>
      </c>
      <c r="C4314" t="s">
        <v>1</v>
      </c>
      <c r="D4314" t="s">
        <v>3675</v>
      </c>
      <c r="E4314" t="s">
        <v>3676</v>
      </c>
      <c r="F4314" t="s">
        <v>52</v>
      </c>
      <c r="G4314">
        <v>136</v>
      </c>
      <c r="H4314">
        <v>10</v>
      </c>
      <c r="I4314">
        <v>7</v>
      </c>
      <c r="J4314">
        <v>153</v>
      </c>
      <c r="K4314" s="482">
        <v>0.88900000000000001</v>
      </c>
      <c r="L4314" s="482">
        <v>6.5000000000000002E-2</v>
      </c>
      <c r="M4314" s="482">
        <v>4.5999999999999999E-2</v>
      </c>
    </row>
    <row r="4315" spans="1:13" x14ac:dyDescent="0.2">
      <c r="A4315" t="s">
        <v>5657</v>
      </c>
      <c r="B4315" t="s">
        <v>15</v>
      </c>
      <c r="C4315" t="s">
        <v>1</v>
      </c>
      <c r="D4315" t="s">
        <v>3678</v>
      </c>
      <c r="E4315" t="s">
        <v>3679</v>
      </c>
      <c r="F4315" t="s">
        <v>52</v>
      </c>
      <c r="G4315">
        <v>151</v>
      </c>
      <c r="H4315">
        <v>22</v>
      </c>
      <c r="I4315">
        <v>10</v>
      </c>
      <c r="J4315">
        <v>183</v>
      </c>
      <c r="K4315" s="482">
        <v>0.82499999999999996</v>
      </c>
      <c r="L4315" s="482">
        <v>0.12</v>
      </c>
      <c r="M4315" s="482">
        <v>5.5E-2</v>
      </c>
    </row>
    <row r="4316" spans="1:13" x14ac:dyDescent="0.2">
      <c r="A4316" t="s">
        <v>5658</v>
      </c>
      <c r="B4316" t="s">
        <v>15</v>
      </c>
      <c r="C4316" t="s">
        <v>1</v>
      </c>
      <c r="D4316" t="s">
        <v>3681</v>
      </c>
      <c r="E4316" t="s">
        <v>3682</v>
      </c>
      <c r="F4316" t="s">
        <v>52</v>
      </c>
      <c r="G4316">
        <v>256</v>
      </c>
      <c r="H4316">
        <v>38</v>
      </c>
      <c r="I4316">
        <v>28</v>
      </c>
      <c r="J4316">
        <v>322</v>
      </c>
      <c r="K4316" s="482">
        <v>0.79500000000000004</v>
      </c>
      <c r="L4316" s="482">
        <v>0.11799999999999999</v>
      </c>
      <c r="M4316" s="482">
        <v>8.6999999999999994E-2</v>
      </c>
    </row>
    <row r="4317" spans="1:13" x14ac:dyDescent="0.2">
      <c r="A4317" t="s">
        <v>5537</v>
      </c>
      <c r="B4317" t="s">
        <v>15</v>
      </c>
      <c r="C4317" t="s">
        <v>1</v>
      </c>
      <c r="D4317" t="s">
        <v>3334</v>
      </c>
      <c r="E4317" t="s">
        <v>3335</v>
      </c>
      <c r="F4317" t="s">
        <v>52</v>
      </c>
      <c r="G4317">
        <v>25</v>
      </c>
      <c r="H4317">
        <v>2</v>
      </c>
      <c r="I4317">
        <v>2</v>
      </c>
      <c r="J4317">
        <v>29</v>
      </c>
      <c r="K4317" s="482">
        <v>0.86199999999999999</v>
      </c>
      <c r="L4317" s="482">
        <v>6.9000000000000006E-2</v>
      </c>
      <c r="M4317" s="482">
        <v>6.9000000000000006E-2</v>
      </c>
    </row>
    <row r="4318" spans="1:13" x14ac:dyDescent="0.2">
      <c r="A4318" t="s">
        <v>5541</v>
      </c>
      <c r="B4318" t="s">
        <v>15</v>
      </c>
      <c r="C4318" t="s">
        <v>1</v>
      </c>
      <c r="D4318" t="s">
        <v>3337</v>
      </c>
      <c r="E4318" t="s">
        <v>3338</v>
      </c>
      <c r="F4318" t="s">
        <v>52</v>
      </c>
      <c r="G4318">
        <v>49</v>
      </c>
      <c r="H4318">
        <v>2</v>
      </c>
      <c r="I4318">
        <v>4</v>
      </c>
      <c r="J4318">
        <v>55</v>
      </c>
      <c r="K4318" s="482">
        <v>0.89100000000000001</v>
      </c>
      <c r="L4318" s="482">
        <v>3.5999999999999997E-2</v>
      </c>
      <c r="M4318" s="482">
        <v>7.2999999999999995E-2</v>
      </c>
    </row>
    <row r="4319" spans="1:13" x14ac:dyDescent="0.2">
      <c r="A4319" t="s">
        <v>5544</v>
      </c>
      <c r="B4319" t="s">
        <v>15</v>
      </c>
      <c r="C4319" t="s">
        <v>1</v>
      </c>
      <c r="D4319" t="s">
        <v>3346</v>
      </c>
      <c r="E4319" t="s">
        <v>3347</v>
      </c>
      <c r="F4319" t="s">
        <v>52</v>
      </c>
      <c r="G4319">
        <v>63</v>
      </c>
      <c r="H4319">
        <v>7</v>
      </c>
      <c r="I4319">
        <v>6</v>
      </c>
      <c r="J4319">
        <v>76</v>
      </c>
      <c r="K4319" s="482">
        <v>0.82899999999999996</v>
      </c>
      <c r="L4319" s="482">
        <v>9.1999999999999998E-2</v>
      </c>
      <c r="M4319" s="482">
        <v>7.9000000000000001E-2</v>
      </c>
    </row>
    <row r="4320" spans="1:13" x14ac:dyDescent="0.2">
      <c r="A4320" t="s">
        <v>5545</v>
      </c>
      <c r="B4320" t="s">
        <v>15</v>
      </c>
      <c r="C4320" t="s">
        <v>1</v>
      </c>
      <c r="D4320" t="s">
        <v>3349</v>
      </c>
      <c r="E4320" t="s">
        <v>3350</v>
      </c>
      <c r="F4320" t="s">
        <v>52</v>
      </c>
      <c r="G4320">
        <v>47</v>
      </c>
      <c r="H4320">
        <v>4</v>
      </c>
      <c r="I4320">
        <v>2</v>
      </c>
      <c r="J4320">
        <v>53</v>
      </c>
      <c r="K4320" s="482">
        <v>0.88700000000000001</v>
      </c>
      <c r="L4320" s="482">
        <v>7.4999999999999997E-2</v>
      </c>
      <c r="M4320" s="482">
        <v>3.7999999999999999E-2</v>
      </c>
    </row>
    <row r="4321" spans="1:13" x14ac:dyDescent="0.2">
      <c r="A4321" t="s">
        <v>5546</v>
      </c>
      <c r="B4321" t="s">
        <v>15</v>
      </c>
      <c r="C4321" t="s">
        <v>1</v>
      </c>
      <c r="D4321" t="s">
        <v>3352</v>
      </c>
      <c r="E4321" t="s">
        <v>3353</v>
      </c>
      <c r="F4321" t="s">
        <v>52</v>
      </c>
      <c r="G4321">
        <v>92</v>
      </c>
      <c r="H4321">
        <v>5</v>
      </c>
      <c r="I4321">
        <v>6</v>
      </c>
      <c r="J4321">
        <v>103</v>
      </c>
      <c r="K4321" s="482">
        <v>0.89300000000000002</v>
      </c>
      <c r="L4321" s="482">
        <v>4.9000000000000002E-2</v>
      </c>
      <c r="M4321" s="482">
        <v>5.8000000000000003E-2</v>
      </c>
    </row>
    <row r="4322" spans="1:13" x14ac:dyDescent="0.2">
      <c r="A4322" t="s">
        <v>5547</v>
      </c>
      <c r="B4322" t="s">
        <v>15</v>
      </c>
      <c r="C4322" t="s">
        <v>1</v>
      </c>
      <c r="D4322" t="s">
        <v>3355</v>
      </c>
      <c r="E4322" t="s">
        <v>3356</v>
      </c>
      <c r="F4322" t="s">
        <v>52</v>
      </c>
      <c r="G4322">
        <v>61</v>
      </c>
      <c r="H4322">
        <v>8</v>
      </c>
      <c r="I4322">
        <v>5</v>
      </c>
      <c r="J4322">
        <v>74</v>
      </c>
      <c r="K4322" s="482">
        <v>0.82399999999999995</v>
      </c>
      <c r="L4322" s="482">
        <v>0.108</v>
      </c>
      <c r="M4322" s="482">
        <v>6.8000000000000005E-2</v>
      </c>
    </row>
    <row r="4323" spans="1:13" x14ac:dyDescent="0.2">
      <c r="A4323" t="s">
        <v>5548</v>
      </c>
      <c r="B4323" t="s">
        <v>15</v>
      </c>
      <c r="C4323" t="s">
        <v>1</v>
      </c>
      <c r="D4323" t="s">
        <v>3358</v>
      </c>
      <c r="E4323" t="s">
        <v>3359</v>
      </c>
      <c r="F4323" t="s">
        <v>52</v>
      </c>
      <c r="G4323">
        <v>75</v>
      </c>
      <c r="H4323">
        <v>10</v>
      </c>
      <c r="I4323">
        <v>10</v>
      </c>
      <c r="J4323">
        <v>95</v>
      </c>
      <c r="K4323" s="482">
        <v>0.78900000000000003</v>
      </c>
      <c r="L4323" s="482">
        <v>0.105</v>
      </c>
      <c r="M4323" s="482">
        <v>0.105</v>
      </c>
    </row>
    <row r="4324" spans="1:13" x14ac:dyDescent="0.2">
      <c r="A4324" t="s">
        <v>5536</v>
      </c>
      <c r="B4324" t="s">
        <v>15</v>
      </c>
      <c r="C4324" t="s">
        <v>1</v>
      </c>
      <c r="D4324" t="s">
        <v>3331</v>
      </c>
      <c r="E4324" t="s">
        <v>3332</v>
      </c>
      <c r="F4324" t="s">
        <v>52</v>
      </c>
      <c r="G4324">
        <v>31</v>
      </c>
      <c r="H4324">
        <v>2</v>
      </c>
      <c r="I4324">
        <v>3</v>
      </c>
      <c r="J4324">
        <v>36</v>
      </c>
      <c r="K4324" s="482">
        <v>0.86099999999999999</v>
      </c>
      <c r="L4324" s="482">
        <v>5.6000000000000001E-2</v>
      </c>
      <c r="M4324" s="482">
        <v>8.3000000000000004E-2</v>
      </c>
    </row>
    <row r="4325" spans="1:13" x14ac:dyDescent="0.2">
      <c r="A4325" t="s">
        <v>5549</v>
      </c>
      <c r="B4325" t="s">
        <v>15</v>
      </c>
      <c r="C4325" t="s">
        <v>1</v>
      </c>
      <c r="D4325" t="s">
        <v>3361</v>
      </c>
      <c r="E4325" t="s">
        <v>3362</v>
      </c>
      <c r="F4325" t="s">
        <v>52</v>
      </c>
      <c r="G4325">
        <v>133</v>
      </c>
      <c r="H4325">
        <v>18</v>
      </c>
      <c r="I4325">
        <v>14</v>
      </c>
      <c r="J4325">
        <v>165</v>
      </c>
      <c r="K4325" s="482">
        <v>0.80600000000000005</v>
      </c>
      <c r="L4325" s="482">
        <v>0.109</v>
      </c>
      <c r="M4325" s="482">
        <v>8.5000000000000006E-2</v>
      </c>
    </row>
    <row r="4326" spans="1:13" x14ac:dyDescent="0.2">
      <c r="A4326" t="s">
        <v>5550</v>
      </c>
      <c r="B4326" t="s">
        <v>15</v>
      </c>
      <c r="C4326" t="s">
        <v>1</v>
      </c>
      <c r="D4326" t="s">
        <v>3364</v>
      </c>
      <c r="E4326" t="s">
        <v>3365</v>
      </c>
      <c r="F4326" t="s">
        <v>52</v>
      </c>
      <c r="G4326">
        <v>0</v>
      </c>
      <c r="H4326" t="s">
        <v>53</v>
      </c>
      <c r="I4326">
        <v>0</v>
      </c>
      <c r="J4326" t="s">
        <v>53</v>
      </c>
      <c r="K4326" t="s">
        <v>53</v>
      </c>
      <c r="L4326" t="s">
        <v>53</v>
      </c>
      <c r="M4326" t="s">
        <v>53</v>
      </c>
    </row>
    <row r="4327" spans="1:13" x14ac:dyDescent="0.2">
      <c r="A4327" t="s">
        <v>5551</v>
      </c>
      <c r="B4327" t="s">
        <v>15</v>
      </c>
      <c r="C4327" t="s">
        <v>1</v>
      </c>
      <c r="D4327" t="s">
        <v>3367</v>
      </c>
      <c r="E4327" t="s">
        <v>3368</v>
      </c>
      <c r="F4327" t="s">
        <v>52</v>
      </c>
      <c r="G4327">
        <v>219</v>
      </c>
      <c r="H4327">
        <v>44</v>
      </c>
      <c r="I4327">
        <v>49</v>
      </c>
      <c r="J4327">
        <v>312</v>
      </c>
      <c r="K4327" s="482">
        <v>0.70199999999999996</v>
      </c>
      <c r="L4327" s="482">
        <v>0.14099999999999999</v>
      </c>
      <c r="M4327" s="482">
        <v>0.157</v>
      </c>
    </row>
    <row r="4328" spans="1:13" x14ac:dyDescent="0.2">
      <c r="A4328" t="s">
        <v>5552</v>
      </c>
      <c r="B4328" t="s">
        <v>15</v>
      </c>
      <c r="C4328" t="s">
        <v>1</v>
      </c>
      <c r="D4328" t="s">
        <v>3370</v>
      </c>
      <c r="E4328" t="s">
        <v>3371</v>
      </c>
      <c r="F4328" t="s">
        <v>52</v>
      </c>
      <c r="G4328">
        <v>114</v>
      </c>
      <c r="H4328">
        <v>19</v>
      </c>
      <c r="I4328">
        <v>14</v>
      </c>
      <c r="J4328">
        <v>147</v>
      </c>
      <c r="K4328" s="482">
        <v>0.77600000000000002</v>
      </c>
      <c r="L4328" s="482">
        <v>0.129</v>
      </c>
      <c r="M4328" s="482">
        <v>9.5000000000000001E-2</v>
      </c>
    </row>
    <row r="4329" spans="1:13" x14ac:dyDescent="0.2">
      <c r="A4329" t="s">
        <v>5553</v>
      </c>
      <c r="B4329" t="s">
        <v>15</v>
      </c>
      <c r="C4329" t="s">
        <v>1</v>
      </c>
      <c r="D4329" t="s">
        <v>3373</v>
      </c>
      <c r="E4329" t="s">
        <v>3374</v>
      </c>
      <c r="F4329" t="s">
        <v>52</v>
      </c>
      <c r="G4329">
        <v>165</v>
      </c>
      <c r="H4329">
        <v>29</v>
      </c>
      <c r="I4329">
        <v>19</v>
      </c>
      <c r="J4329">
        <v>213</v>
      </c>
      <c r="K4329" s="482">
        <v>0.77500000000000002</v>
      </c>
      <c r="L4329" s="482">
        <v>0.13600000000000001</v>
      </c>
      <c r="M4329" s="482">
        <v>8.8999999999999996E-2</v>
      </c>
    </row>
    <row r="4330" spans="1:13" x14ac:dyDescent="0.2">
      <c r="A4330" t="s">
        <v>5450</v>
      </c>
      <c r="B4330" t="s">
        <v>15</v>
      </c>
      <c r="C4330" t="s">
        <v>1</v>
      </c>
      <c r="D4330" t="s">
        <v>3379</v>
      </c>
      <c r="E4330" t="s">
        <v>3380</v>
      </c>
      <c r="F4330" t="s">
        <v>52</v>
      </c>
      <c r="G4330">
        <v>212</v>
      </c>
      <c r="H4330">
        <v>27</v>
      </c>
      <c r="I4330">
        <v>15</v>
      </c>
      <c r="J4330">
        <v>254</v>
      </c>
      <c r="K4330" s="482">
        <v>0.83499999999999996</v>
      </c>
      <c r="L4330" s="482">
        <v>0.106</v>
      </c>
      <c r="M4330" s="482">
        <v>5.8999999999999997E-2</v>
      </c>
    </row>
    <row r="4331" spans="1:13" x14ac:dyDescent="0.2">
      <c r="A4331" t="s">
        <v>5446</v>
      </c>
      <c r="B4331" t="s">
        <v>15</v>
      </c>
      <c r="C4331" t="s">
        <v>1</v>
      </c>
      <c r="D4331" t="s">
        <v>3076</v>
      </c>
      <c r="E4331" t="s">
        <v>3077</v>
      </c>
      <c r="F4331" t="s">
        <v>52</v>
      </c>
      <c r="G4331">
        <v>162</v>
      </c>
      <c r="H4331">
        <v>17</v>
      </c>
      <c r="I4331">
        <v>15</v>
      </c>
      <c r="J4331">
        <v>194</v>
      </c>
      <c r="K4331" s="482">
        <v>0.83499999999999996</v>
      </c>
      <c r="L4331" s="482">
        <v>8.7999999999999995E-2</v>
      </c>
      <c r="M4331" s="482">
        <v>7.6999999999999999E-2</v>
      </c>
    </row>
    <row r="4332" spans="1:13" x14ac:dyDescent="0.2">
      <c r="A4332" t="s">
        <v>5447</v>
      </c>
      <c r="B4332" t="s">
        <v>15</v>
      </c>
      <c r="C4332" t="s">
        <v>1</v>
      </c>
      <c r="D4332" t="s">
        <v>3079</v>
      </c>
      <c r="E4332" t="s">
        <v>3080</v>
      </c>
      <c r="F4332" t="s">
        <v>52</v>
      </c>
      <c r="G4332">
        <v>64</v>
      </c>
      <c r="H4332">
        <v>7</v>
      </c>
      <c r="I4332">
        <v>12</v>
      </c>
      <c r="J4332">
        <v>83</v>
      </c>
      <c r="K4332" s="482">
        <v>0.77100000000000002</v>
      </c>
      <c r="L4332" s="482">
        <v>8.4000000000000005E-2</v>
      </c>
      <c r="M4332" s="482">
        <v>0.14499999999999999</v>
      </c>
    </row>
    <row r="4333" spans="1:13" x14ac:dyDescent="0.2">
      <c r="A4333" t="s">
        <v>5448</v>
      </c>
      <c r="B4333" t="s">
        <v>15</v>
      </c>
      <c r="C4333" t="s">
        <v>1</v>
      </c>
      <c r="D4333" t="s">
        <v>3082</v>
      </c>
      <c r="E4333" t="s">
        <v>3083</v>
      </c>
      <c r="F4333" t="s">
        <v>52</v>
      </c>
      <c r="G4333">
        <v>15</v>
      </c>
      <c r="H4333">
        <v>0</v>
      </c>
      <c r="I4333">
        <v>2</v>
      </c>
      <c r="J4333">
        <v>17</v>
      </c>
      <c r="K4333" s="482">
        <v>0.88200000000000001</v>
      </c>
      <c r="L4333" s="482">
        <v>0</v>
      </c>
      <c r="M4333" s="482">
        <v>0.11799999999999999</v>
      </c>
    </row>
    <row r="4334" spans="1:13" x14ac:dyDescent="0.2">
      <c r="A4334" t="s">
        <v>5449</v>
      </c>
      <c r="B4334" t="s">
        <v>15</v>
      </c>
      <c r="C4334" t="s">
        <v>1</v>
      </c>
      <c r="D4334" t="s">
        <v>3085</v>
      </c>
      <c r="E4334" t="s">
        <v>3086</v>
      </c>
      <c r="F4334" t="s">
        <v>52</v>
      </c>
      <c r="G4334">
        <v>194</v>
      </c>
      <c r="H4334">
        <v>24</v>
      </c>
      <c r="I4334">
        <v>23</v>
      </c>
      <c r="J4334">
        <v>241</v>
      </c>
      <c r="K4334" s="482">
        <v>0.80500000000000005</v>
      </c>
      <c r="L4334" s="482">
        <v>0.1</v>
      </c>
      <c r="M4334" s="482">
        <v>9.5000000000000001E-2</v>
      </c>
    </row>
    <row r="4335" spans="1:13" x14ac:dyDescent="0.2">
      <c r="A4335" t="s">
        <v>5452</v>
      </c>
      <c r="B4335" t="s">
        <v>15</v>
      </c>
      <c r="C4335" t="s">
        <v>1</v>
      </c>
      <c r="D4335" t="s">
        <v>3094</v>
      </c>
      <c r="E4335" t="s">
        <v>3095</v>
      </c>
      <c r="F4335" t="s">
        <v>52</v>
      </c>
      <c r="G4335" t="s">
        <v>53</v>
      </c>
      <c r="H4335" t="s">
        <v>53</v>
      </c>
      <c r="I4335">
        <v>0</v>
      </c>
      <c r="J4335" t="s">
        <v>53</v>
      </c>
      <c r="K4335" t="s">
        <v>53</v>
      </c>
      <c r="L4335" t="s">
        <v>53</v>
      </c>
      <c r="M4335" t="s">
        <v>53</v>
      </c>
    </row>
    <row r="4336" spans="1:13" x14ac:dyDescent="0.2">
      <c r="A4336" t="s">
        <v>5453</v>
      </c>
      <c r="B4336" t="s">
        <v>15</v>
      </c>
      <c r="C4336" t="s">
        <v>1</v>
      </c>
      <c r="D4336" t="s">
        <v>3097</v>
      </c>
      <c r="E4336" t="s">
        <v>3098</v>
      </c>
      <c r="F4336" t="s">
        <v>52</v>
      </c>
      <c r="G4336">
        <v>165</v>
      </c>
      <c r="H4336">
        <v>17</v>
      </c>
      <c r="I4336">
        <v>12</v>
      </c>
      <c r="J4336">
        <v>194</v>
      </c>
      <c r="K4336" s="482">
        <v>0.85099999999999998</v>
      </c>
      <c r="L4336" s="482">
        <v>8.7999999999999995E-2</v>
      </c>
      <c r="M4336" s="482">
        <v>6.2E-2</v>
      </c>
    </row>
    <row r="4337" spans="1:13" x14ac:dyDescent="0.2">
      <c r="A4337" t="s">
        <v>5451</v>
      </c>
      <c r="B4337" t="s">
        <v>15</v>
      </c>
      <c r="C4337" t="s">
        <v>1</v>
      </c>
      <c r="D4337" t="s">
        <v>3091</v>
      </c>
      <c r="E4337" t="s">
        <v>3092</v>
      </c>
      <c r="F4337" t="s">
        <v>52</v>
      </c>
      <c r="G4337">
        <v>89</v>
      </c>
      <c r="H4337">
        <v>13</v>
      </c>
      <c r="I4337">
        <v>10</v>
      </c>
      <c r="J4337">
        <v>112</v>
      </c>
      <c r="K4337" s="482">
        <v>0.79500000000000004</v>
      </c>
      <c r="L4337" s="482">
        <v>0.11600000000000001</v>
      </c>
      <c r="M4337" s="482">
        <v>8.8999999999999996E-2</v>
      </c>
    </row>
    <row r="4338" spans="1:13" x14ac:dyDescent="0.2">
      <c r="A4338" t="s">
        <v>5454</v>
      </c>
      <c r="B4338" t="s">
        <v>15</v>
      </c>
      <c r="C4338" t="s">
        <v>1</v>
      </c>
      <c r="D4338" t="s">
        <v>3100</v>
      </c>
      <c r="E4338" t="s">
        <v>3101</v>
      </c>
      <c r="F4338" t="s">
        <v>52</v>
      </c>
      <c r="G4338">
        <v>237</v>
      </c>
      <c r="H4338">
        <v>18</v>
      </c>
      <c r="I4338">
        <v>26</v>
      </c>
      <c r="J4338">
        <v>281</v>
      </c>
      <c r="K4338" s="482">
        <v>0.84299999999999997</v>
      </c>
      <c r="L4338" s="482">
        <v>6.4000000000000001E-2</v>
      </c>
      <c r="M4338" s="482">
        <v>9.2999999999999999E-2</v>
      </c>
    </row>
    <row r="4339" spans="1:13" x14ac:dyDescent="0.2">
      <c r="A4339" t="s">
        <v>5665</v>
      </c>
      <c r="B4339" t="s">
        <v>15</v>
      </c>
      <c r="C4339" t="s">
        <v>1</v>
      </c>
      <c r="D4339" t="s">
        <v>3742</v>
      </c>
      <c r="E4339" t="s">
        <v>3743</v>
      </c>
      <c r="F4339" t="s">
        <v>52</v>
      </c>
      <c r="G4339">
        <v>286</v>
      </c>
      <c r="H4339">
        <v>36</v>
      </c>
      <c r="I4339">
        <v>33</v>
      </c>
      <c r="J4339">
        <v>355</v>
      </c>
      <c r="K4339" s="482">
        <v>0.80600000000000005</v>
      </c>
      <c r="L4339" s="482">
        <v>0.10100000000000001</v>
      </c>
      <c r="M4339" s="482">
        <v>9.2999999999999999E-2</v>
      </c>
    </row>
    <row r="4340" spans="1:13" x14ac:dyDescent="0.2">
      <c r="A4340" t="s">
        <v>5555</v>
      </c>
      <c r="B4340" t="s">
        <v>15</v>
      </c>
      <c r="C4340" t="s">
        <v>1</v>
      </c>
      <c r="D4340" t="s">
        <v>3382</v>
      </c>
      <c r="E4340" t="s">
        <v>3383</v>
      </c>
      <c r="F4340" t="s">
        <v>52</v>
      </c>
      <c r="G4340">
        <v>251</v>
      </c>
      <c r="H4340">
        <v>42</v>
      </c>
      <c r="I4340">
        <v>32</v>
      </c>
      <c r="J4340">
        <v>325</v>
      </c>
      <c r="K4340" s="482">
        <v>0.77200000000000002</v>
      </c>
      <c r="L4340" s="482">
        <v>0.129</v>
      </c>
      <c r="M4340" s="482">
        <v>9.8000000000000004E-2</v>
      </c>
    </row>
    <row r="4341" spans="1:13" x14ac:dyDescent="0.2">
      <c r="A4341" t="s">
        <v>5682</v>
      </c>
      <c r="B4341" t="s">
        <v>15</v>
      </c>
      <c r="C4341" t="s">
        <v>1</v>
      </c>
      <c r="D4341" t="s">
        <v>3748</v>
      </c>
      <c r="E4341" t="s">
        <v>3749</v>
      </c>
      <c r="F4341" t="s">
        <v>52</v>
      </c>
      <c r="G4341">
        <v>211</v>
      </c>
      <c r="H4341">
        <v>26</v>
      </c>
      <c r="I4341">
        <v>20</v>
      </c>
      <c r="J4341">
        <v>257</v>
      </c>
      <c r="K4341" s="482">
        <v>0.82099999999999995</v>
      </c>
      <c r="L4341" s="482">
        <v>0.10100000000000001</v>
      </c>
      <c r="M4341" s="482">
        <v>7.8E-2</v>
      </c>
    </row>
    <row r="4342" spans="1:13" x14ac:dyDescent="0.2">
      <c r="A4342" t="s">
        <v>5554</v>
      </c>
      <c r="B4342" t="s">
        <v>15</v>
      </c>
      <c r="C4342" t="s">
        <v>1</v>
      </c>
      <c r="D4342" t="s">
        <v>4480</v>
      </c>
      <c r="E4342" t="s">
        <v>4481</v>
      </c>
      <c r="F4342" t="s">
        <v>52</v>
      </c>
      <c r="G4342">
        <v>215</v>
      </c>
      <c r="H4342">
        <v>33</v>
      </c>
      <c r="I4342">
        <v>35</v>
      </c>
      <c r="J4342">
        <v>283</v>
      </c>
      <c r="K4342" s="482">
        <v>0.76</v>
      </c>
      <c r="L4342" s="482">
        <v>0.11700000000000001</v>
      </c>
      <c r="M4342" s="482">
        <v>0.124</v>
      </c>
    </row>
    <row r="4343" spans="1:13" x14ac:dyDescent="0.2">
      <c r="A4343" t="s">
        <v>5539</v>
      </c>
      <c r="B4343" t="s">
        <v>15</v>
      </c>
      <c r="C4343" t="s">
        <v>1</v>
      </c>
      <c r="D4343" t="s">
        <v>3703</v>
      </c>
      <c r="E4343" t="s">
        <v>3704</v>
      </c>
      <c r="F4343" t="s">
        <v>52</v>
      </c>
      <c r="G4343">
        <v>6</v>
      </c>
      <c r="H4343">
        <v>0</v>
      </c>
      <c r="I4343">
        <v>1</v>
      </c>
      <c r="J4343">
        <v>7</v>
      </c>
      <c r="K4343" s="482">
        <v>0.85699999999999998</v>
      </c>
      <c r="L4343" s="482">
        <v>0</v>
      </c>
      <c r="M4343" s="482">
        <v>0.14299999999999999</v>
      </c>
    </row>
    <row r="4344" spans="1:13" x14ac:dyDescent="0.2">
      <c r="A4344" t="s">
        <v>5684</v>
      </c>
      <c r="B4344" t="s">
        <v>15</v>
      </c>
      <c r="C4344" t="s">
        <v>1</v>
      </c>
      <c r="D4344" t="s">
        <v>3754</v>
      </c>
      <c r="E4344" t="s">
        <v>3755</v>
      </c>
      <c r="F4344" t="s">
        <v>52</v>
      </c>
      <c r="G4344">
        <v>133</v>
      </c>
      <c r="H4344">
        <v>14</v>
      </c>
      <c r="I4344">
        <v>22</v>
      </c>
      <c r="J4344">
        <v>169</v>
      </c>
      <c r="K4344" s="482">
        <v>0.78700000000000003</v>
      </c>
      <c r="L4344" s="482">
        <v>8.3000000000000004E-2</v>
      </c>
      <c r="M4344" s="482">
        <v>0.13</v>
      </c>
    </row>
    <row r="4345" spans="1:13" x14ac:dyDescent="0.2">
      <c r="A4345" t="s">
        <v>5678</v>
      </c>
      <c r="B4345" t="s">
        <v>15</v>
      </c>
      <c r="C4345" t="s">
        <v>1</v>
      </c>
      <c r="D4345" t="s">
        <v>3739</v>
      </c>
      <c r="E4345" t="s">
        <v>3740</v>
      </c>
      <c r="F4345" t="s">
        <v>52</v>
      </c>
      <c r="G4345">
        <v>149</v>
      </c>
      <c r="H4345">
        <v>16</v>
      </c>
      <c r="I4345">
        <v>20</v>
      </c>
      <c r="J4345">
        <v>185</v>
      </c>
      <c r="K4345" s="482">
        <v>0.80500000000000005</v>
      </c>
      <c r="L4345" s="482">
        <v>8.5999999999999993E-2</v>
      </c>
      <c r="M4345" s="482">
        <v>0.108</v>
      </c>
    </row>
    <row r="4346" spans="1:13" x14ac:dyDescent="0.2">
      <c r="A4346" t="s">
        <v>5683</v>
      </c>
      <c r="B4346" t="s">
        <v>15</v>
      </c>
      <c r="C4346" t="s">
        <v>1</v>
      </c>
      <c r="D4346" t="s">
        <v>3751</v>
      </c>
      <c r="E4346" t="s">
        <v>3752</v>
      </c>
      <c r="F4346" t="s">
        <v>52</v>
      </c>
      <c r="G4346">
        <v>163</v>
      </c>
      <c r="H4346">
        <v>13</v>
      </c>
      <c r="I4346">
        <v>20</v>
      </c>
      <c r="J4346">
        <v>196</v>
      </c>
      <c r="K4346" s="482">
        <v>0.83199999999999996</v>
      </c>
      <c r="L4346" s="482">
        <v>6.6000000000000003E-2</v>
      </c>
      <c r="M4346" s="482">
        <v>0.10199999999999999</v>
      </c>
    </row>
    <row r="4347" spans="1:13" x14ac:dyDescent="0.2">
      <c r="A4347" t="s">
        <v>5679</v>
      </c>
      <c r="B4347" t="s">
        <v>15</v>
      </c>
      <c r="C4347" t="s">
        <v>1</v>
      </c>
      <c r="D4347" t="s">
        <v>4496</v>
      </c>
      <c r="E4347" t="s">
        <v>4497</v>
      </c>
      <c r="F4347" t="s">
        <v>52</v>
      </c>
      <c r="G4347">
        <v>626</v>
      </c>
      <c r="H4347">
        <v>45</v>
      </c>
      <c r="I4347">
        <v>40</v>
      </c>
      <c r="J4347">
        <v>711</v>
      </c>
      <c r="K4347" s="482">
        <v>0.88</v>
      </c>
      <c r="L4347" s="482">
        <v>6.3E-2</v>
      </c>
      <c r="M4347" s="482">
        <v>5.6000000000000001E-2</v>
      </c>
    </row>
    <row r="4348" spans="1:13" x14ac:dyDescent="0.2">
      <c r="A4348" t="s">
        <v>5531</v>
      </c>
      <c r="B4348" t="s">
        <v>15</v>
      </c>
      <c r="C4348" t="s">
        <v>1</v>
      </c>
      <c r="D4348" t="s">
        <v>3316</v>
      </c>
      <c r="E4348" t="s">
        <v>3317</v>
      </c>
      <c r="F4348" t="s">
        <v>52</v>
      </c>
      <c r="G4348">
        <v>42</v>
      </c>
      <c r="H4348">
        <v>4</v>
      </c>
      <c r="I4348">
        <v>5</v>
      </c>
      <c r="J4348">
        <v>51</v>
      </c>
      <c r="K4348" s="482">
        <v>0.82399999999999995</v>
      </c>
      <c r="L4348" s="482">
        <v>7.8E-2</v>
      </c>
      <c r="M4348" s="482">
        <v>9.8000000000000004E-2</v>
      </c>
    </row>
    <row r="4349" spans="1:13" x14ac:dyDescent="0.2">
      <c r="A4349" t="s">
        <v>5532</v>
      </c>
      <c r="B4349" t="s">
        <v>15</v>
      </c>
      <c r="C4349" t="s">
        <v>1</v>
      </c>
      <c r="D4349" t="s">
        <v>3319</v>
      </c>
      <c r="E4349" t="s">
        <v>3320</v>
      </c>
      <c r="F4349" t="s">
        <v>52</v>
      </c>
      <c r="G4349">
        <v>48</v>
      </c>
      <c r="H4349">
        <v>4</v>
      </c>
      <c r="I4349">
        <v>2</v>
      </c>
      <c r="J4349">
        <v>54</v>
      </c>
      <c r="K4349" s="482">
        <v>0.88900000000000001</v>
      </c>
      <c r="L4349" s="482">
        <v>7.3999999999999996E-2</v>
      </c>
      <c r="M4349" s="482">
        <v>3.6999999999999998E-2</v>
      </c>
    </row>
    <row r="4350" spans="1:13" x14ac:dyDescent="0.2">
      <c r="A4350" t="s">
        <v>5659</v>
      </c>
      <c r="B4350" t="s">
        <v>15</v>
      </c>
      <c r="C4350" t="s">
        <v>1</v>
      </c>
      <c r="D4350" t="s">
        <v>3684</v>
      </c>
      <c r="E4350" t="s">
        <v>3685</v>
      </c>
      <c r="F4350" t="s">
        <v>52</v>
      </c>
      <c r="G4350">
        <v>637</v>
      </c>
      <c r="H4350">
        <v>65</v>
      </c>
      <c r="I4350">
        <v>53</v>
      </c>
      <c r="J4350">
        <v>755</v>
      </c>
      <c r="K4350" s="482">
        <v>0.84399999999999997</v>
      </c>
      <c r="L4350" s="482">
        <v>8.5999999999999993E-2</v>
      </c>
      <c r="M4350" s="482">
        <v>7.0000000000000007E-2</v>
      </c>
    </row>
    <row r="4351" spans="1:13" x14ac:dyDescent="0.2">
      <c r="A4351" t="s">
        <v>5660</v>
      </c>
      <c r="B4351" t="s">
        <v>15</v>
      </c>
      <c r="C4351" t="s">
        <v>1</v>
      </c>
      <c r="D4351" t="s">
        <v>3687</v>
      </c>
      <c r="E4351" t="s">
        <v>3688</v>
      </c>
      <c r="F4351" t="s">
        <v>52</v>
      </c>
      <c r="G4351">
        <v>343</v>
      </c>
      <c r="H4351">
        <v>63</v>
      </c>
      <c r="I4351">
        <v>51</v>
      </c>
      <c r="J4351">
        <v>457</v>
      </c>
      <c r="K4351" s="482">
        <v>0.751</v>
      </c>
      <c r="L4351" s="482">
        <v>0.13800000000000001</v>
      </c>
      <c r="M4351" s="482">
        <v>0.112</v>
      </c>
    </row>
    <row r="4352" spans="1:13" x14ac:dyDescent="0.2">
      <c r="A4352" t="s">
        <v>5661</v>
      </c>
      <c r="B4352" t="s">
        <v>15</v>
      </c>
      <c r="C4352" t="s">
        <v>1</v>
      </c>
      <c r="D4352" t="s">
        <v>3691</v>
      </c>
      <c r="E4352" t="s">
        <v>3692</v>
      </c>
      <c r="F4352" t="s">
        <v>52</v>
      </c>
      <c r="G4352">
        <v>67</v>
      </c>
      <c r="H4352">
        <v>5</v>
      </c>
      <c r="I4352">
        <v>6</v>
      </c>
      <c r="J4352">
        <v>78</v>
      </c>
      <c r="K4352" s="482">
        <v>0.85899999999999999</v>
      </c>
      <c r="L4352" s="482">
        <v>6.4000000000000001E-2</v>
      </c>
      <c r="M4352" s="482">
        <v>7.6999999999999999E-2</v>
      </c>
    </row>
    <row r="4353" spans="1:13" x14ac:dyDescent="0.2">
      <c r="A4353" t="s">
        <v>5663</v>
      </c>
      <c r="B4353" t="s">
        <v>15</v>
      </c>
      <c r="C4353" t="s">
        <v>1</v>
      </c>
      <c r="D4353" t="s">
        <v>3697</v>
      </c>
      <c r="E4353" t="s">
        <v>3698</v>
      </c>
      <c r="F4353" t="s">
        <v>52</v>
      </c>
      <c r="G4353" t="s">
        <v>53</v>
      </c>
      <c r="H4353">
        <v>0</v>
      </c>
      <c r="I4353" t="s">
        <v>53</v>
      </c>
      <c r="J4353" t="s">
        <v>53</v>
      </c>
      <c r="K4353" t="s">
        <v>53</v>
      </c>
      <c r="L4353" t="s">
        <v>53</v>
      </c>
      <c r="M4353" t="s">
        <v>53</v>
      </c>
    </row>
    <row r="4354" spans="1:13" x14ac:dyDescent="0.2">
      <c r="A4354" t="s">
        <v>5664</v>
      </c>
      <c r="B4354" t="s">
        <v>15</v>
      </c>
      <c r="C4354" t="s">
        <v>1</v>
      </c>
      <c r="D4354" t="s">
        <v>3700</v>
      </c>
      <c r="E4354" t="s">
        <v>3701</v>
      </c>
      <c r="F4354" t="s">
        <v>52</v>
      </c>
      <c r="G4354">
        <v>13</v>
      </c>
      <c r="H4354">
        <v>1</v>
      </c>
      <c r="I4354">
        <v>2</v>
      </c>
      <c r="J4354">
        <v>16</v>
      </c>
      <c r="K4354" s="482">
        <v>0.81299999999999994</v>
      </c>
      <c r="L4354" s="482">
        <v>6.3E-2</v>
      </c>
      <c r="M4354" s="482">
        <v>0.125</v>
      </c>
    </row>
    <row r="4355" spans="1:13" x14ac:dyDescent="0.2">
      <c r="A4355" t="s">
        <v>5534</v>
      </c>
      <c r="B4355" t="s">
        <v>15</v>
      </c>
      <c r="C4355" t="s">
        <v>1</v>
      </c>
      <c r="D4355" t="s">
        <v>4327</v>
      </c>
      <c r="E4355" t="s">
        <v>4328</v>
      </c>
      <c r="F4355" t="s">
        <v>52</v>
      </c>
      <c r="G4355">
        <v>6</v>
      </c>
      <c r="H4355">
        <v>1</v>
      </c>
      <c r="I4355">
        <v>1</v>
      </c>
      <c r="J4355">
        <v>8</v>
      </c>
      <c r="K4355" s="482">
        <v>0.75</v>
      </c>
      <c r="L4355" s="482">
        <v>0.125</v>
      </c>
      <c r="M4355" s="482">
        <v>0.125</v>
      </c>
    </row>
    <row r="4356" spans="1:13" x14ac:dyDescent="0.2">
      <c r="A4356" t="s">
        <v>5666</v>
      </c>
      <c r="B4356" t="s">
        <v>15</v>
      </c>
      <c r="C4356" t="s">
        <v>1</v>
      </c>
      <c r="D4356" t="s">
        <v>4477</v>
      </c>
      <c r="E4356" t="s">
        <v>4478</v>
      </c>
      <c r="F4356" t="s">
        <v>52</v>
      </c>
      <c r="G4356">
        <v>53</v>
      </c>
      <c r="H4356">
        <v>4</v>
      </c>
      <c r="I4356">
        <v>0</v>
      </c>
      <c r="J4356">
        <v>57</v>
      </c>
      <c r="K4356" s="482">
        <v>0.93</v>
      </c>
      <c r="L4356" s="482">
        <v>7.0000000000000007E-2</v>
      </c>
      <c r="M4356" s="482">
        <v>0</v>
      </c>
    </row>
    <row r="4357" spans="1:13" x14ac:dyDescent="0.2">
      <c r="A4357" t="s">
        <v>5521</v>
      </c>
      <c r="B4357" t="s">
        <v>15</v>
      </c>
      <c r="C4357" t="s">
        <v>1</v>
      </c>
      <c r="D4357" t="s">
        <v>3292</v>
      </c>
      <c r="E4357" t="s">
        <v>3293</v>
      </c>
      <c r="F4357" t="s">
        <v>52</v>
      </c>
      <c r="G4357">
        <v>50</v>
      </c>
      <c r="H4357">
        <v>2</v>
      </c>
      <c r="I4357">
        <v>2</v>
      </c>
      <c r="J4357">
        <v>54</v>
      </c>
      <c r="K4357" s="482">
        <v>0.92600000000000005</v>
      </c>
      <c r="L4357" s="482">
        <v>3.6999999999999998E-2</v>
      </c>
      <c r="M4357" s="482">
        <v>3.6999999999999998E-2</v>
      </c>
    </row>
    <row r="4358" spans="1:13" x14ac:dyDescent="0.2">
      <c r="A4358" t="s">
        <v>5526</v>
      </c>
      <c r="B4358" t="s">
        <v>15</v>
      </c>
      <c r="C4358" t="s">
        <v>1</v>
      </c>
      <c r="D4358" t="s">
        <v>4776</v>
      </c>
      <c r="E4358" t="s">
        <v>4777</v>
      </c>
      <c r="F4358" t="s">
        <v>52</v>
      </c>
      <c r="G4358">
        <v>11</v>
      </c>
      <c r="H4358">
        <v>0</v>
      </c>
      <c r="I4358">
        <v>1</v>
      </c>
      <c r="J4358">
        <v>12</v>
      </c>
      <c r="K4358" s="482">
        <v>0.91700000000000004</v>
      </c>
      <c r="L4358" s="482">
        <v>0</v>
      </c>
      <c r="M4358" s="482">
        <v>8.3000000000000004E-2</v>
      </c>
    </row>
    <row r="4359" spans="1:13" x14ac:dyDescent="0.2">
      <c r="A4359" t="s">
        <v>5519</v>
      </c>
      <c r="B4359" t="s">
        <v>15</v>
      </c>
      <c r="C4359" t="s">
        <v>1</v>
      </c>
      <c r="D4359" t="s">
        <v>3286</v>
      </c>
      <c r="E4359" t="s">
        <v>3287</v>
      </c>
      <c r="F4359" t="s">
        <v>52</v>
      </c>
      <c r="G4359">
        <v>32</v>
      </c>
      <c r="H4359">
        <v>2</v>
      </c>
      <c r="I4359">
        <v>3</v>
      </c>
      <c r="J4359">
        <v>37</v>
      </c>
      <c r="K4359" s="482">
        <v>0.86499999999999999</v>
      </c>
      <c r="L4359" s="482">
        <v>5.3999999999999999E-2</v>
      </c>
      <c r="M4359" s="482">
        <v>8.1000000000000003E-2</v>
      </c>
    </row>
    <row r="4360" spans="1:13" x14ac:dyDescent="0.2">
      <c r="A4360" t="s">
        <v>5520</v>
      </c>
      <c r="B4360" t="s">
        <v>15</v>
      </c>
      <c r="C4360" t="s">
        <v>1</v>
      </c>
      <c r="D4360" t="s">
        <v>3289</v>
      </c>
      <c r="E4360" t="s">
        <v>3290</v>
      </c>
      <c r="F4360" t="s">
        <v>52</v>
      </c>
      <c r="G4360">
        <v>23</v>
      </c>
      <c r="H4360">
        <v>4</v>
      </c>
      <c r="I4360">
        <v>2</v>
      </c>
      <c r="J4360">
        <v>29</v>
      </c>
      <c r="K4360" s="482">
        <v>0.79300000000000004</v>
      </c>
      <c r="L4360" s="482">
        <v>0.13800000000000001</v>
      </c>
      <c r="M4360" s="482">
        <v>6.9000000000000006E-2</v>
      </c>
    </row>
    <row r="4361" spans="1:13" x14ac:dyDescent="0.2">
      <c r="A4361" t="s">
        <v>5637</v>
      </c>
      <c r="B4361" t="s">
        <v>15</v>
      </c>
      <c r="C4361" t="s">
        <v>1</v>
      </c>
      <c r="D4361" t="s">
        <v>3618</v>
      </c>
      <c r="E4361" t="s">
        <v>3619</v>
      </c>
      <c r="F4361" t="s">
        <v>52</v>
      </c>
      <c r="G4361">
        <v>20</v>
      </c>
      <c r="H4361">
        <v>4</v>
      </c>
      <c r="I4361">
        <v>0</v>
      </c>
      <c r="J4361">
        <v>24</v>
      </c>
      <c r="K4361" s="482">
        <v>0.83299999999999996</v>
      </c>
      <c r="L4361" s="482">
        <v>0.16700000000000001</v>
      </c>
      <c r="M4361" s="482">
        <v>0</v>
      </c>
    </row>
    <row r="4362" spans="1:13" x14ac:dyDescent="0.2">
      <c r="A4362" t="s">
        <v>5638</v>
      </c>
      <c r="B4362" t="s">
        <v>15</v>
      </c>
      <c r="C4362" t="s">
        <v>1</v>
      </c>
      <c r="D4362" t="s">
        <v>3621</v>
      </c>
      <c r="E4362" t="s">
        <v>3622</v>
      </c>
      <c r="F4362" t="s">
        <v>52</v>
      </c>
      <c r="G4362">
        <v>10</v>
      </c>
      <c r="H4362">
        <v>1</v>
      </c>
      <c r="I4362">
        <v>1</v>
      </c>
      <c r="J4362">
        <v>12</v>
      </c>
      <c r="K4362" s="482">
        <v>0.83299999999999996</v>
      </c>
      <c r="L4362" s="482">
        <v>8.3000000000000004E-2</v>
      </c>
      <c r="M4362" s="482">
        <v>8.3000000000000004E-2</v>
      </c>
    </row>
    <row r="4363" spans="1:13" x14ac:dyDescent="0.2">
      <c r="A4363" t="s">
        <v>5517</v>
      </c>
      <c r="B4363" t="s">
        <v>15</v>
      </c>
      <c r="C4363" t="s">
        <v>1</v>
      </c>
      <c r="D4363" t="s">
        <v>3624</v>
      </c>
      <c r="E4363" t="s">
        <v>3625</v>
      </c>
      <c r="F4363" t="s">
        <v>52</v>
      </c>
      <c r="G4363">
        <v>17</v>
      </c>
      <c r="H4363">
        <v>2</v>
      </c>
      <c r="I4363">
        <v>1</v>
      </c>
      <c r="J4363">
        <v>20</v>
      </c>
      <c r="K4363" s="482">
        <v>0.85</v>
      </c>
      <c r="L4363" s="482">
        <v>0.1</v>
      </c>
      <c r="M4363" s="482">
        <v>0.05</v>
      </c>
    </row>
    <row r="4364" spans="1:13" x14ac:dyDescent="0.2">
      <c r="A4364" t="s">
        <v>5518</v>
      </c>
      <c r="B4364" t="s">
        <v>15</v>
      </c>
      <c r="C4364" t="s">
        <v>1</v>
      </c>
      <c r="D4364" t="s">
        <v>3283</v>
      </c>
      <c r="E4364" t="s">
        <v>3284</v>
      </c>
      <c r="F4364" t="s">
        <v>52</v>
      </c>
      <c r="G4364">
        <v>107</v>
      </c>
      <c r="H4364">
        <v>18</v>
      </c>
      <c r="I4364">
        <v>14</v>
      </c>
      <c r="J4364">
        <v>139</v>
      </c>
      <c r="K4364" s="482">
        <v>0.77</v>
      </c>
      <c r="L4364" s="482">
        <v>0.129</v>
      </c>
      <c r="M4364" s="482">
        <v>0.10100000000000001</v>
      </c>
    </row>
    <row r="4365" spans="1:13" x14ac:dyDescent="0.2">
      <c r="A4365" t="s">
        <v>5522</v>
      </c>
      <c r="B4365" t="s">
        <v>15</v>
      </c>
      <c r="C4365" t="s">
        <v>1</v>
      </c>
      <c r="D4365" t="s">
        <v>3295</v>
      </c>
      <c r="E4365" t="s">
        <v>3296</v>
      </c>
      <c r="F4365" t="s">
        <v>52</v>
      </c>
      <c r="G4365">
        <v>59</v>
      </c>
      <c r="H4365">
        <v>12</v>
      </c>
      <c r="I4365">
        <v>8</v>
      </c>
      <c r="J4365">
        <v>79</v>
      </c>
      <c r="K4365" s="482">
        <v>0.747</v>
      </c>
      <c r="L4365" s="482">
        <v>0.152</v>
      </c>
      <c r="M4365" s="482">
        <v>0.10100000000000001</v>
      </c>
    </row>
    <row r="4366" spans="1:13" x14ac:dyDescent="0.2">
      <c r="A4366" t="s">
        <v>5523</v>
      </c>
      <c r="B4366" t="s">
        <v>15</v>
      </c>
      <c r="C4366" t="s">
        <v>1</v>
      </c>
      <c r="D4366" t="s">
        <v>3298</v>
      </c>
      <c r="E4366" t="s">
        <v>3299</v>
      </c>
      <c r="F4366" t="s">
        <v>52</v>
      </c>
      <c r="G4366">
        <v>96</v>
      </c>
      <c r="H4366">
        <v>10</v>
      </c>
      <c r="I4366">
        <v>12</v>
      </c>
      <c r="J4366">
        <v>118</v>
      </c>
      <c r="K4366" s="482">
        <v>0.81399999999999995</v>
      </c>
      <c r="L4366" s="482">
        <v>8.5000000000000006E-2</v>
      </c>
      <c r="M4366" s="482">
        <v>0.10199999999999999</v>
      </c>
    </row>
    <row r="4367" spans="1:13" x14ac:dyDescent="0.2">
      <c r="A4367" t="s">
        <v>5524</v>
      </c>
      <c r="B4367" t="s">
        <v>15</v>
      </c>
      <c r="C4367" t="s">
        <v>1</v>
      </c>
      <c r="D4367" t="s">
        <v>3301</v>
      </c>
      <c r="E4367" t="s">
        <v>3302</v>
      </c>
      <c r="F4367" t="s">
        <v>52</v>
      </c>
      <c r="G4367">
        <v>31</v>
      </c>
      <c r="H4367">
        <v>6</v>
      </c>
      <c r="I4367">
        <v>3</v>
      </c>
      <c r="J4367">
        <v>40</v>
      </c>
      <c r="K4367" s="482">
        <v>0.77500000000000002</v>
      </c>
      <c r="L4367" s="482">
        <v>0.15</v>
      </c>
      <c r="M4367" s="482">
        <v>7.4999999999999997E-2</v>
      </c>
    </row>
    <row r="4368" spans="1:13" x14ac:dyDescent="0.2">
      <c r="A4368" t="s">
        <v>5527</v>
      </c>
      <c r="B4368" t="s">
        <v>15</v>
      </c>
      <c r="C4368" t="s">
        <v>1</v>
      </c>
      <c r="D4368" t="s">
        <v>4318</v>
      </c>
      <c r="E4368" t="s">
        <v>4319</v>
      </c>
      <c r="F4368" t="s">
        <v>52</v>
      </c>
      <c r="G4368">
        <v>22</v>
      </c>
      <c r="H4368">
        <v>0</v>
      </c>
      <c r="I4368">
        <v>1</v>
      </c>
      <c r="J4368">
        <v>23</v>
      </c>
      <c r="K4368" s="482">
        <v>0.95699999999999996</v>
      </c>
      <c r="L4368" s="482">
        <v>0</v>
      </c>
      <c r="M4368" s="482">
        <v>4.2999999999999997E-2</v>
      </c>
    </row>
    <row r="4369" spans="1:13" x14ac:dyDescent="0.2">
      <c r="A4369" t="s">
        <v>5525</v>
      </c>
      <c r="B4369" t="s">
        <v>15</v>
      </c>
      <c r="C4369" t="s">
        <v>1</v>
      </c>
      <c r="D4369" t="s">
        <v>3304</v>
      </c>
      <c r="E4369" t="s">
        <v>3305</v>
      </c>
      <c r="F4369" t="s">
        <v>52</v>
      </c>
      <c r="G4369">
        <v>28</v>
      </c>
      <c r="H4369">
        <v>4</v>
      </c>
      <c r="I4369">
        <v>0</v>
      </c>
      <c r="J4369">
        <v>32</v>
      </c>
      <c r="K4369" s="482">
        <v>0.875</v>
      </c>
      <c r="L4369" s="482">
        <v>0.125</v>
      </c>
      <c r="M4369" s="482">
        <v>0</v>
      </c>
    </row>
    <row r="4370" spans="1:13" x14ac:dyDescent="0.2">
      <c r="A4370" t="s">
        <v>5528</v>
      </c>
      <c r="B4370" t="s">
        <v>15</v>
      </c>
      <c r="C4370" t="s">
        <v>1</v>
      </c>
      <c r="D4370" t="s">
        <v>3307</v>
      </c>
      <c r="E4370" t="s">
        <v>3308</v>
      </c>
      <c r="F4370" t="s">
        <v>52</v>
      </c>
      <c r="G4370">
        <v>24</v>
      </c>
      <c r="H4370">
        <v>0</v>
      </c>
      <c r="I4370">
        <v>4</v>
      </c>
      <c r="J4370">
        <v>28</v>
      </c>
      <c r="K4370" s="482">
        <v>0.85699999999999998</v>
      </c>
      <c r="L4370" s="482">
        <v>0</v>
      </c>
      <c r="M4370" s="482">
        <v>0.14299999999999999</v>
      </c>
    </row>
    <row r="4371" spans="1:13" x14ac:dyDescent="0.2">
      <c r="A4371" t="s">
        <v>5529</v>
      </c>
      <c r="B4371" t="s">
        <v>15</v>
      </c>
      <c r="C4371" t="s">
        <v>1</v>
      </c>
      <c r="D4371" t="s">
        <v>3310</v>
      </c>
      <c r="E4371" t="s">
        <v>3311</v>
      </c>
      <c r="F4371" t="s">
        <v>52</v>
      </c>
      <c r="G4371">
        <v>50</v>
      </c>
      <c r="H4371">
        <v>10</v>
      </c>
      <c r="I4371">
        <v>5</v>
      </c>
      <c r="J4371">
        <v>65</v>
      </c>
      <c r="K4371" s="482">
        <v>0.76900000000000002</v>
      </c>
      <c r="L4371" s="482">
        <v>0.154</v>
      </c>
      <c r="M4371" s="482">
        <v>7.6999999999999999E-2</v>
      </c>
    </row>
    <row r="4372" spans="1:13" x14ac:dyDescent="0.2">
      <c r="A4372" t="s">
        <v>5530</v>
      </c>
      <c r="B4372" t="s">
        <v>15</v>
      </c>
      <c r="C4372" t="s">
        <v>1</v>
      </c>
      <c r="D4372" t="s">
        <v>3313</v>
      </c>
      <c r="E4372" t="s">
        <v>3314</v>
      </c>
      <c r="F4372" t="s">
        <v>52</v>
      </c>
      <c r="G4372">
        <v>43</v>
      </c>
      <c r="H4372">
        <v>4</v>
      </c>
      <c r="I4372">
        <v>2</v>
      </c>
      <c r="J4372">
        <v>49</v>
      </c>
      <c r="K4372" s="482">
        <v>0.878</v>
      </c>
      <c r="L4372" s="482">
        <v>8.2000000000000003E-2</v>
      </c>
      <c r="M4372" s="482">
        <v>4.1000000000000002E-2</v>
      </c>
    </row>
    <row r="4373" spans="1:13" x14ac:dyDescent="0.2">
      <c r="A4373" t="s">
        <v>5592</v>
      </c>
      <c r="B4373" t="s">
        <v>15</v>
      </c>
      <c r="C4373" t="s">
        <v>1</v>
      </c>
      <c r="D4373" t="s">
        <v>3497</v>
      </c>
      <c r="E4373" t="s">
        <v>3498</v>
      </c>
      <c r="F4373" t="s">
        <v>52</v>
      </c>
      <c r="G4373">
        <v>24</v>
      </c>
      <c r="H4373">
        <v>0</v>
      </c>
      <c r="I4373">
        <v>3</v>
      </c>
      <c r="J4373">
        <v>27</v>
      </c>
      <c r="K4373" s="482">
        <v>0.88900000000000001</v>
      </c>
      <c r="L4373" s="482">
        <v>0</v>
      </c>
      <c r="M4373" s="482">
        <v>0.111</v>
      </c>
    </row>
    <row r="4374" spans="1:13" x14ac:dyDescent="0.2">
      <c r="A4374" t="s">
        <v>5615</v>
      </c>
      <c r="B4374" t="s">
        <v>15</v>
      </c>
      <c r="C4374" t="s">
        <v>1</v>
      </c>
      <c r="D4374" t="s">
        <v>3561</v>
      </c>
      <c r="E4374" t="s">
        <v>3562</v>
      </c>
      <c r="F4374" t="s">
        <v>52</v>
      </c>
      <c r="G4374">
        <v>19</v>
      </c>
      <c r="H4374">
        <v>2</v>
      </c>
      <c r="I4374">
        <v>4</v>
      </c>
      <c r="J4374">
        <v>25</v>
      </c>
      <c r="K4374" s="482">
        <v>0.76</v>
      </c>
      <c r="L4374" s="482">
        <v>0.08</v>
      </c>
      <c r="M4374" s="482">
        <v>0.16</v>
      </c>
    </row>
    <row r="4375" spans="1:13" x14ac:dyDescent="0.2">
      <c r="A4375" t="s">
        <v>5593</v>
      </c>
      <c r="B4375" t="s">
        <v>15</v>
      </c>
      <c r="C4375" t="s">
        <v>1</v>
      </c>
      <c r="D4375" t="s">
        <v>3488</v>
      </c>
      <c r="E4375" t="s">
        <v>3489</v>
      </c>
      <c r="F4375" t="s">
        <v>52</v>
      </c>
      <c r="G4375">
        <v>43</v>
      </c>
      <c r="H4375">
        <v>7</v>
      </c>
      <c r="I4375">
        <v>1</v>
      </c>
      <c r="J4375">
        <v>51</v>
      </c>
      <c r="K4375" s="482">
        <v>0.84299999999999997</v>
      </c>
      <c r="L4375" s="482">
        <v>0.13700000000000001</v>
      </c>
      <c r="M4375" s="482">
        <v>0.02</v>
      </c>
    </row>
    <row r="4376" spans="1:13" x14ac:dyDescent="0.2">
      <c r="A4376" t="s">
        <v>5594</v>
      </c>
      <c r="B4376" t="s">
        <v>15</v>
      </c>
      <c r="C4376" t="s">
        <v>1</v>
      </c>
      <c r="D4376" t="s">
        <v>3491</v>
      </c>
      <c r="E4376" t="s">
        <v>3492</v>
      </c>
      <c r="F4376" t="s">
        <v>52</v>
      </c>
      <c r="G4376">
        <v>13</v>
      </c>
      <c r="H4376">
        <v>2</v>
      </c>
      <c r="I4376">
        <v>3</v>
      </c>
      <c r="J4376">
        <v>18</v>
      </c>
      <c r="K4376" s="482">
        <v>0.72199999999999998</v>
      </c>
      <c r="L4376" s="482">
        <v>0.111</v>
      </c>
      <c r="M4376" s="482">
        <v>0.16700000000000001</v>
      </c>
    </row>
    <row r="4377" spans="1:13" x14ac:dyDescent="0.2">
      <c r="A4377" t="s">
        <v>5595</v>
      </c>
      <c r="B4377" t="s">
        <v>15</v>
      </c>
      <c r="C4377" t="s">
        <v>1</v>
      </c>
      <c r="D4377" t="s">
        <v>3494</v>
      </c>
      <c r="E4377" t="s">
        <v>3495</v>
      </c>
      <c r="F4377" t="s">
        <v>52</v>
      </c>
      <c r="G4377">
        <v>15</v>
      </c>
      <c r="H4377">
        <v>1</v>
      </c>
      <c r="I4377">
        <v>1</v>
      </c>
      <c r="J4377">
        <v>17</v>
      </c>
      <c r="K4377" s="482">
        <v>0.88200000000000001</v>
      </c>
      <c r="L4377" s="482">
        <v>5.8999999999999997E-2</v>
      </c>
      <c r="M4377" s="482">
        <v>5.8999999999999997E-2</v>
      </c>
    </row>
    <row r="4378" spans="1:13" x14ac:dyDescent="0.2">
      <c r="A4378" t="s">
        <v>5709</v>
      </c>
      <c r="B4378" t="s">
        <v>15</v>
      </c>
      <c r="C4378" t="s">
        <v>1</v>
      </c>
      <c r="D4378" t="s">
        <v>3841</v>
      </c>
      <c r="E4378" t="s">
        <v>3842</v>
      </c>
      <c r="F4378" t="s">
        <v>52</v>
      </c>
      <c r="G4378">
        <v>110</v>
      </c>
      <c r="H4378">
        <v>12</v>
      </c>
      <c r="I4378">
        <v>10</v>
      </c>
      <c r="J4378">
        <v>132</v>
      </c>
      <c r="K4378" s="482">
        <v>0.83299999999999996</v>
      </c>
      <c r="L4378" s="482">
        <v>9.0999999999999998E-2</v>
      </c>
      <c r="M4378" s="482">
        <v>7.5999999999999998E-2</v>
      </c>
    </row>
    <row r="4379" spans="1:13" x14ac:dyDescent="0.2">
      <c r="A4379" t="s">
        <v>5710</v>
      </c>
      <c r="B4379" t="s">
        <v>15</v>
      </c>
      <c r="C4379" t="s">
        <v>1</v>
      </c>
      <c r="D4379" t="s">
        <v>3844</v>
      </c>
      <c r="E4379" t="s">
        <v>345</v>
      </c>
      <c r="F4379" t="s">
        <v>52</v>
      </c>
      <c r="G4379">
        <v>170</v>
      </c>
      <c r="H4379">
        <v>22</v>
      </c>
      <c r="I4379">
        <v>25</v>
      </c>
      <c r="J4379">
        <v>217</v>
      </c>
      <c r="K4379" s="482">
        <v>0.78300000000000003</v>
      </c>
      <c r="L4379" s="482">
        <v>0.10100000000000001</v>
      </c>
      <c r="M4379" s="482">
        <v>0.115</v>
      </c>
    </row>
    <row r="4380" spans="1:13" x14ac:dyDescent="0.2">
      <c r="A4380" t="s">
        <v>5711</v>
      </c>
      <c r="B4380" t="s">
        <v>15</v>
      </c>
      <c r="C4380" t="s">
        <v>1</v>
      </c>
      <c r="D4380" t="s">
        <v>3846</v>
      </c>
      <c r="E4380" t="s">
        <v>3847</v>
      </c>
      <c r="F4380" t="s">
        <v>52</v>
      </c>
      <c r="G4380">
        <v>52</v>
      </c>
      <c r="H4380">
        <v>7</v>
      </c>
      <c r="I4380">
        <v>6</v>
      </c>
      <c r="J4380">
        <v>65</v>
      </c>
      <c r="K4380" s="482">
        <v>0.8</v>
      </c>
      <c r="L4380" s="482">
        <v>0.108</v>
      </c>
      <c r="M4380" s="482">
        <v>9.1999999999999998E-2</v>
      </c>
    </row>
    <row r="4381" spans="1:13" x14ac:dyDescent="0.2">
      <c r="A4381" t="s">
        <v>5596</v>
      </c>
      <c r="B4381" t="s">
        <v>15</v>
      </c>
      <c r="C4381" t="s">
        <v>1</v>
      </c>
      <c r="D4381" t="s">
        <v>3500</v>
      </c>
      <c r="E4381" t="s">
        <v>3501</v>
      </c>
      <c r="F4381" t="s">
        <v>52</v>
      </c>
      <c r="G4381">
        <v>84</v>
      </c>
      <c r="H4381">
        <v>12</v>
      </c>
      <c r="I4381">
        <v>8</v>
      </c>
      <c r="J4381">
        <v>104</v>
      </c>
      <c r="K4381" s="482">
        <v>0.80800000000000005</v>
      </c>
      <c r="L4381" s="482">
        <v>0.115</v>
      </c>
      <c r="M4381" s="482">
        <v>7.6999999999999999E-2</v>
      </c>
    </row>
    <row r="4382" spans="1:13" x14ac:dyDescent="0.2">
      <c r="A4382" t="s">
        <v>5633</v>
      </c>
      <c r="B4382" t="s">
        <v>15</v>
      </c>
      <c r="C4382" t="s">
        <v>1</v>
      </c>
      <c r="D4382" t="s">
        <v>3609</v>
      </c>
      <c r="E4382" t="s">
        <v>3610</v>
      </c>
      <c r="F4382" t="s">
        <v>52</v>
      </c>
      <c r="G4382">
        <v>15</v>
      </c>
      <c r="H4382">
        <v>6</v>
      </c>
      <c r="I4382">
        <v>2</v>
      </c>
      <c r="J4382">
        <v>23</v>
      </c>
      <c r="K4382" s="482">
        <v>0.65200000000000002</v>
      </c>
      <c r="L4382" s="482">
        <v>0.26100000000000001</v>
      </c>
      <c r="M4382" s="482">
        <v>8.6999999999999994E-2</v>
      </c>
    </row>
    <row r="4383" spans="1:13" x14ac:dyDescent="0.2">
      <c r="A4383" t="s">
        <v>5635</v>
      </c>
      <c r="B4383" t="s">
        <v>15</v>
      </c>
      <c r="C4383" t="s">
        <v>1</v>
      </c>
      <c r="D4383" t="s">
        <v>3612</v>
      </c>
      <c r="E4383" t="s">
        <v>3613</v>
      </c>
      <c r="F4383" t="s">
        <v>52</v>
      </c>
      <c r="G4383">
        <v>14</v>
      </c>
      <c r="H4383">
        <v>1</v>
      </c>
      <c r="I4383">
        <v>2</v>
      </c>
      <c r="J4383">
        <v>17</v>
      </c>
      <c r="K4383" s="482">
        <v>0.82399999999999995</v>
      </c>
      <c r="L4383" s="482">
        <v>5.8999999999999997E-2</v>
      </c>
      <c r="M4383" s="482">
        <v>0.11799999999999999</v>
      </c>
    </row>
    <row r="4384" spans="1:13" x14ac:dyDescent="0.2">
      <c r="A4384" t="s">
        <v>5634</v>
      </c>
      <c r="B4384" t="s">
        <v>15</v>
      </c>
      <c r="C4384" t="s">
        <v>1</v>
      </c>
      <c r="D4384" t="s">
        <v>3615</v>
      </c>
      <c r="E4384" t="s">
        <v>3616</v>
      </c>
      <c r="F4384" t="s">
        <v>52</v>
      </c>
      <c r="G4384">
        <v>107</v>
      </c>
      <c r="H4384">
        <v>19</v>
      </c>
      <c r="I4384">
        <v>16</v>
      </c>
      <c r="J4384">
        <v>142</v>
      </c>
      <c r="K4384" s="482">
        <v>0.754</v>
      </c>
      <c r="L4384" s="482">
        <v>0.13400000000000001</v>
      </c>
      <c r="M4384" s="482">
        <v>0.113</v>
      </c>
    </row>
    <row r="4385" spans="1:13" x14ac:dyDescent="0.2">
      <c r="A4385" t="s">
        <v>5708</v>
      </c>
      <c r="B4385" t="s">
        <v>15</v>
      </c>
      <c r="C4385" t="s">
        <v>1</v>
      </c>
      <c r="D4385" t="s">
        <v>3838</v>
      </c>
      <c r="E4385" t="s">
        <v>3839</v>
      </c>
      <c r="F4385" t="s">
        <v>52</v>
      </c>
      <c r="G4385">
        <v>102</v>
      </c>
      <c r="H4385">
        <v>15</v>
      </c>
      <c r="I4385">
        <v>18</v>
      </c>
      <c r="J4385">
        <v>135</v>
      </c>
      <c r="K4385" s="482">
        <v>0.75600000000000001</v>
      </c>
      <c r="L4385" s="482">
        <v>0.111</v>
      </c>
      <c r="M4385" s="482">
        <v>0.13300000000000001</v>
      </c>
    </row>
    <row r="4386" spans="1:13" x14ac:dyDescent="0.2">
      <c r="A4386" t="s">
        <v>5770</v>
      </c>
      <c r="B4386" t="s">
        <v>15</v>
      </c>
      <c r="C4386" t="s">
        <v>1</v>
      </c>
      <c r="D4386" t="s">
        <v>3838</v>
      </c>
      <c r="E4386" t="s">
        <v>3839</v>
      </c>
      <c r="F4386" t="s">
        <v>16</v>
      </c>
      <c r="G4386">
        <v>140</v>
      </c>
      <c r="H4386">
        <v>0</v>
      </c>
      <c r="I4386">
        <v>11</v>
      </c>
      <c r="J4386">
        <v>151</v>
      </c>
      <c r="K4386" s="482">
        <v>0.92700000000000005</v>
      </c>
      <c r="L4386" s="482">
        <v>0</v>
      </c>
      <c r="M4386" s="482">
        <v>7.2999999999999995E-2</v>
      </c>
    </row>
    <row r="4387" spans="1:13" x14ac:dyDescent="0.2">
      <c r="A4387" t="s">
        <v>5844</v>
      </c>
      <c r="B4387" t="s">
        <v>15</v>
      </c>
      <c r="C4387" t="s">
        <v>1</v>
      </c>
      <c r="D4387" t="s">
        <v>3615</v>
      </c>
      <c r="E4387" t="s">
        <v>3616</v>
      </c>
      <c r="F4387" t="s">
        <v>16</v>
      </c>
      <c r="G4387">
        <v>146</v>
      </c>
      <c r="H4387">
        <v>1</v>
      </c>
      <c r="I4387">
        <v>11</v>
      </c>
      <c r="J4387">
        <v>158</v>
      </c>
      <c r="K4387" s="482">
        <v>0.92400000000000004</v>
      </c>
      <c r="L4387" s="482">
        <v>6.0000000000000001E-3</v>
      </c>
      <c r="M4387" s="482">
        <v>7.0000000000000007E-2</v>
      </c>
    </row>
    <row r="4388" spans="1:13" x14ac:dyDescent="0.2">
      <c r="A4388" t="s">
        <v>5843</v>
      </c>
      <c r="B4388" t="s">
        <v>15</v>
      </c>
      <c r="C4388" t="s">
        <v>1</v>
      </c>
      <c r="D4388" t="s">
        <v>3612</v>
      </c>
      <c r="E4388" t="s">
        <v>3613</v>
      </c>
      <c r="F4388" t="s">
        <v>16</v>
      </c>
      <c r="G4388">
        <v>19</v>
      </c>
      <c r="H4388">
        <v>0</v>
      </c>
      <c r="I4388">
        <v>0</v>
      </c>
      <c r="J4388">
        <v>19</v>
      </c>
      <c r="K4388" s="482">
        <v>1</v>
      </c>
      <c r="L4388" s="482">
        <v>0</v>
      </c>
      <c r="M4388" s="482">
        <v>0</v>
      </c>
    </row>
    <row r="4389" spans="1:13" x14ac:dyDescent="0.2">
      <c r="A4389" t="s">
        <v>5845</v>
      </c>
      <c r="B4389" t="s">
        <v>15</v>
      </c>
      <c r="C4389" t="s">
        <v>1</v>
      </c>
      <c r="D4389" t="s">
        <v>3609</v>
      </c>
      <c r="E4389" t="s">
        <v>3610</v>
      </c>
      <c r="F4389" t="s">
        <v>16</v>
      </c>
      <c r="G4389">
        <v>25</v>
      </c>
      <c r="H4389">
        <v>0</v>
      </c>
      <c r="I4389">
        <v>3</v>
      </c>
      <c r="J4389">
        <v>28</v>
      </c>
      <c r="K4389" s="482">
        <v>0.89300000000000002</v>
      </c>
      <c r="L4389" s="482">
        <v>0</v>
      </c>
      <c r="M4389" s="482">
        <v>0.107</v>
      </c>
    </row>
    <row r="4390" spans="1:13" x14ac:dyDescent="0.2">
      <c r="A4390" t="s">
        <v>5846</v>
      </c>
      <c r="B4390" t="s">
        <v>15</v>
      </c>
      <c r="C4390" t="s">
        <v>1</v>
      </c>
      <c r="D4390" t="s">
        <v>3606</v>
      </c>
      <c r="E4390" t="s">
        <v>3607</v>
      </c>
      <c r="F4390" t="s">
        <v>16</v>
      </c>
      <c r="G4390" t="s">
        <v>53</v>
      </c>
      <c r="H4390">
        <v>0</v>
      </c>
      <c r="I4390">
        <v>0</v>
      </c>
      <c r="J4390" t="s">
        <v>53</v>
      </c>
      <c r="K4390" t="s">
        <v>53</v>
      </c>
      <c r="L4390" t="s">
        <v>53</v>
      </c>
      <c r="M4390" t="s">
        <v>53</v>
      </c>
    </row>
    <row r="4391" spans="1:13" x14ac:dyDescent="0.2">
      <c r="A4391" t="s">
        <v>5766</v>
      </c>
      <c r="B4391" t="s">
        <v>15</v>
      </c>
      <c r="C4391" t="s">
        <v>1</v>
      </c>
      <c r="D4391" t="s">
        <v>3846</v>
      </c>
      <c r="E4391" t="s">
        <v>3847</v>
      </c>
      <c r="F4391" t="s">
        <v>16</v>
      </c>
      <c r="G4391">
        <v>71</v>
      </c>
      <c r="H4391">
        <v>0</v>
      </c>
      <c r="I4391">
        <v>1</v>
      </c>
      <c r="J4391">
        <v>72</v>
      </c>
      <c r="K4391" s="482">
        <v>0.98599999999999999</v>
      </c>
      <c r="L4391" s="482">
        <v>0</v>
      </c>
      <c r="M4391" s="482">
        <v>1.4E-2</v>
      </c>
    </row>
    <row r="4392" spans="1:13" x14ac:dyDescent="0.2">
      <c r="A4392" t="s">
        <v>5768</v>
      </c>
      <c r="B4392" t="s">
        <v>15</v>
      </c>
      <c r="C4392" t="s">
        <v>1</v>
      </c>
      <c r="D4392" t="s">
        <v>3844</v>
      </c>
      <c r="E4392" t="s">
        <v>345</v>
      </c>
      <c r="F4392" t="s">
        <v>16</v>
      </c>
      <c r="G4392">
        <v>216</v>
      </c>
      <c r="H4392">
        <v>2</v>
      </c>
      <c r="I4392">
        <v>13</v>
      </c>
      <c r="J4392">
        <v>231</v>
      </c>
      <c r="K4392" s="482">
        <v>0.93500000000000005</v>
      </c>
      <c r="L4392" s="482">
        <v>8.9999999999999993E-3</v>
      </c>
      <c r="M4392" s="482">
        <v>5.6000000000000001E-2</v>
      </c>
    </row>
    <row r="4393" spans="1:13" x14ac:dyDescent="0.2">
      <c r="A4393" t="s">
        <v>5769</v>
      </c>
      <c r="B4393" t="s">
        <v>15</v>
      </c>
      <c r="C4393" t="s">
        <v>1</v>
      </c>
      <c r="D4393" t="s">
        <v>3841</v>
      </c>
      <c r="E4393" t="s">
        <v>3842</v>
      </c>
      <c r="F4393" t="s">
        <v>16</v>
      </c>
      <c r="G4393">
        <v>133</v>
      </c>
      <c r="H4393">
        <v>1</v>
      </c>
      <c r="I4393">
        <v>5</v>
      </c>
      <c r="J4393">
        <v>139</v>
      </c>
      <c r="K4393" s="482">
        <v>0.95699999999999996</v>
      </c>
      <c r="L4393" s="482">
        <v>7.0000000000000001E-3</v>
      </c>
      <c r="M4393" s="482">
        <v>3.5999999999999997E-2</v>
      </c>
    </row>
    <row r="4394" spans="1:13" x14ac:dyDescent="0.2">
      <c r="A4394" t="s">
        <v>5883</v>
      </c>
      <c r="B4394" t="s">
        <v>15</v>
      </c>
      <c r="C4394" t="s">
        <v>1</v>
      </c>
      <c r="D4394" t="s">
        <v>3494</v>
      </c>
      <c r="E4394" t="s">
        <v>3495</v>
      </c>
      <c r="F4394" t="s">
        <v>16</v>
      </c>
      <c r="G4394">
        <v>18</v>
      </c>
      <c r="H4394">
        <v>0</v>
      </c>
      <c r="I4394">
        <v>1</v>
      </c>
      <c r="J4394">
        <v>19</v>
      </c>
      <c r="K4394" s="482">
        <v>0.94699999999999995</v>
      </c>
      <c r="L4394" s="482">
        <v>0</v>
      </c>
      <c r="M4394" s="482">
        <v>5.2999999999999999E-2</v>
      </c>
    </row>
    <row r="4395" spans="1:13" x14ac:dyDescent="0.2">
      <c r="A4395" t="s">
        <v>5884</v>
      </c>
      <c r="B4395" t="s">
        <v>15</v>
      </c>
      <c r="C4395" t="s">
        <v>1</v>
      </c>
      <c r="D4395" t="s">
        <v>3491</v>
      </c>
      <c r="E4395" t="s">
        <v>3492</v>
      </c>
      <c r="F4395" t="s">
        <v>16</v>
      </c>
      <c r="G4395">
        <v>20</v>
      </c>
      <c r="H4395">
        <v>0</v>
      </c>
      <c r="I4395">
        <v>0</v>
      </c>
      <c r="J4395">
        <v>20</v>
      </c>
      <c r="K4395" s="482">
        <v>1</v>
      </c>
      <c r="L4395" s="482">
        <v>0</v>
      </c>
      <c r="M4395" s="482">
        <v>0</v>
      </c>
    </row>
    <row r="4396" spans="1:13" x14ac:dyDescent="0.2">
      <c r="A4396" t="s">
        <v>5885</v>
      </c>
      <c r="B4396" t="s">
        <v>15</v>
      </c>
      <c r="C4396" t="s">
        <v>1</v>
      </c>
      <c r="D4396" t="s">
        <v>3488</v>
      </c>
      <c r="E4396" t="s">
        <v>3489</v>
      </c>
      <c r="F4396" t="s">
        <v>16</v>
      </c>
      <c r="G4396">
        <v>58</v>
      </c>
      <c r="H4396">
        <v>0</v>
      </c>
      <c r="I4396">
        <v>0</v>
      </c>
      <c r="J4396">
        <v>58</v>
      </c>
      <c r="K4396" s="482">
        <v>1</v>
      </c>
      <c r="L4396" s="482">
        <v>0</v>
      </c>
      <c r="M4396" s="482">
        <v>0</v>
      </c>
    </row>
    <row r="4397" spans="1:13" x14ac:dyDescent="0.2">
      <c r="A4397" t="s">
        <v>5863</v>
      </c>
      <c r="B4397" t="s">
        <v>15</v>
      </c>
      <c r="C4397" t="s">
        <v>1</v>
      </c>
      <c r="D4397" t="s">
        <v>3561</v>
      </c>
      <c r="E4397" t="s">
        <v>3562</v>
      </c>
      <c r="F4397" t="s">
        <v>16</v>
      </c>
      <c r="G4397">
        <v>23</v>
      </c>
      <c r="H4397">
        <v>1</v>
      </c>
      <c r="I4397">
        <v>3</v>
      </c>
      <c r="J4397">
        <v>27</v>
      </c>
      <c r="K4397" s="482">
        <v>0.85199999999999998</v>
      </c>
      <c r="L4397" s="482">
        <v>3.6999999999999998E-2</v>
      </c>
      <c r="M4397" s="482">
        <v>0.111</v>
      </c>
    </row>
    <row r="4398" spans="1:13" x14ac:dyDescent="0.2">
      <c r="A4398" t="s">
        <v>5947</v>
      </c>
      <c r="B4398" t="s">
        <v>15</v>
      </c>
      <c r="C4398" t="s">
        <v>1</v>
      </c>
      <c r="D4398" t="s">
        <v>3313</v>
      </c>
      <c r="E4398" t="s">
        <v>3314</v>
      </c>
      <c r="F4398" t="s">
        <v>16</v>
      </c>
      <c r="G4398">
        <v>49</v>
      </c>
      <c r="H4398">
        <v>1</v>
      </c>
      <c r="I4398">
        <v>1</v>
      </c>
      <c r="J4398">
        <v>51</v>
      </c>
      <c r="K4398" s="482">
        <v>0.96099999999999997</v>
      </c>
      <c r="L4398" s="482">
        <v>0.02</v>
      </c>
      <c r="M4398" s="482">
        <v>0.02</v>
      </c>
    </row>
    <row r="4399" spans="1:13" x14ac:dyDescent="0.2">
      <c r="A4399" t="s">
        <v>5948</v>
      </c>
      <c r="B4399" t="s">
        <v>15</v>
      </c>
      <c r="C4399" t="s">
        <v>1</v>
      </c>
      <c r="D4399" t="s">
        <v>3310</v>
      </c>
      <c r="E4399" t="s">
        <v>3311</v>
      </c>
      <c r="F4399" t="s">
        <v>16</v>
      </c>
      <c r="G4399">
        <v>71</v>
      </c>
      <c r="H4399">
        <v>1</v>
      </c>
      <c r="I4399">
        <v>0</v>
      </c>
      <c r="J4399">
        <v>72</v>
      </c>
      <c r="K4399" s="482">
        <v>0.98599999999999999</v>
      </c>
      <c r="L4399" s="482">
        <v>1.4E-2</v>
      </c>
      <c r="M4399" s="482">
        <v>0</v>
      </c>
    </row>
    <row r="4400" spans="1:13" x14ac:dyDescent="0.2">
      <c r="A4400" t="s">
        <v>5949</v>
      </c>
      <c r="B4400" t="s">
        <v>15</v>
      </c>
      <c r="C4400" t="s">
        <v>1</v>
      </c>
      <c r="D4400" t="s">
        <v>3307</v>
      </c>
      <c r="E4400" t="s">
        <v>3308</v>
      </c>
      <c r="F4400" t="s">
        <v>16</v>
      </c>
      <c r="G4400">
        <v>29</v>
      </c>
      <c r="H4400">
        <v>0</v>
      </c>
      <c r="I4400">
        <v>3</v>
      </c>
      <c r="J4400">
        <v>32</v>
      </c>
      <c r="K4400" s="482">
        <v>0.90600000000000003</v>
      </c>
      <c r="L4400" s="482">
        <v>0</v>
      </c>
      <c r="M4400" s="482">
        <v>9.4E-2</v>
      </c>
    </row>
    <row r="4401" spans="1:13" x14ac:dyDescent="0.2">
      <c r="A4401" t="s">
        <v>5952</v>
      </c>
      <c r="B4401" t="s">
        <v>15</v>
      </c>
      <c r="C4401" t="s">
        <v>1</v>
      </c>
      <c r="D4401" t="s">
        <v>3304</v>
      </c>
      <c r="E4401" t="s">
        <v>3305</v>
      </c>
      <c r="F4401" t="s">
        <v>16</v>
      </c>
      <c r="G4401">
        <v>36</v>
      </c>
      <c r="H4401">
        <v>0</v>
      </c>
      <c r="I4401">
        <v>0</v>
      </c>
      <c r="J4401">
        <v>36</v>
      </c>
      <c r="K4401" s="482">
        <v>1</v>
      </c>
      <c r="L4401" s="482">
        <v>0</v>
      </c>
      <c r="M4401" s="482">
        <v>0</v>
      </c>
    </row>
    <row r="4402" spans="1:13" x14ac:dyDescent="0.2">
      <c r="A4402" t="s">
        <v>5950</v>
      </c>
      <c r="B4402" t="s">
        <v>15</v>
      </c>
      <c r="C4402" t="s">
        <v>1</v>
      </c>
      <c r="D4402" t="s">
        <v>4318</v>
      </c>
      <c r="E4402" t="s">
        <v>4319</v>
      </c>
      <c r="F4402" t="s">
        <v>16</v>
      </c>
      <c r="G4402">
        <v>24</v>
      </c>
      <c r="H4402">
        <v>1</v>
      </c>
      <c r="I4402">
        <v>0</v>
      </c>
      <c r="J4402">
        <v>25</v>
      </c>
      <c r="K4402" s="482">
        <v>0.96</v>
      </c>
      <c r="L4402" s="482">
        <v>0.04</v>
      </c>
      <c r="M4402" s="482">
        <v>0</v>
      </c>
    </row>
    <row r="4403" spans="1:13" x14ac:dyDescent="0.2">
      <c r="A4403" t="s">
        <v>5953</v>
      </c>
      <c r="B4403" t="s">
        <v>15</v>
      </c>
      <c r="C4403" t="s">
        <v>1</v>
      </c>
      <c r="D4403" t="s">
        <v>3301</v>
      </c>
      <c r="E4403" t="s">
        <v>3302</v>
      </c>
      <c r="F4403" t="s">
        <v>16</v>
      </c>
      <c r="G4403">
        <v>39</v>
      </c>
      <c r="H4403">
        <v>1</v>
      </c>
      <c r="I4403">
        <v>2</v>
      </c>
      <c r="J4403">
        <v>42</v>
      </c>
      <c r="K4403" s="482">
        <v>0.92900000000000005</v>
      </c>
      <c r="L4403" s="482">
        <v>2.4E-2</v>
      </c>
      <c r="M4403" s="482">
        <v>4.8000000000000001E-2</v>
      </c>
    </row>
    <row r="4404" spans="1:13" x14ac:dyDescent="0.2">
      <c r="A4404" t="s">
        <v>5954</v>
      </c>
      <c r="B4404" t="s">
        <v>15</v>
      </c>
      <c r="C4404" t="s">
        <v>1</v>
      </c>
      <c r="D4404" t="s">
        <v>3298</v>
      </c>
      <c r="E4404" t="s">
        <v>3299</v>
      </c>
      <c r="F4404" t="s">
        <v>16</v>
      </c>
      <c r="G4404">
        <v>121</v>
      </c>
      <c r="H4404">
        <v>1</v>
      </c>
      <c r="I4404">
        <v>8</v>
      </c>
      <c r="J4404">
        <v>130</v>
      </c>
      <c r="K4404" s="482">
        <v>0.93100000000000005</v>
      </c>
      <c r="L4404" s="482">
        <v>8.0000000000000002E-3</v>
      </c>
      <c r="M4404" s="482">
        <v>6.2E-2</v>
      </c>
    </row>
    <row r="4405" spans="1:13" x14ac:dyDescent="0.2">
      <c r="A4405" t="s">
        <v>5955</v>
      </c>
      <c r="B4405" t="s">
        <v>15</v>
      </c>
      <c r="C4405" t="s">
        <v>1</v>
      </c>
      <c r="D4405" t="s">
        <v>3295</v>
      </c>
      <c r="E4405" t="s">
        <v>3296</v>
      </c>
      <c r="F4405" t="s">
        <v>16</v>
      </c>
      <c r="G4405">
        <v>76</v>
      </c>
      <c r="H4405">
        <v>1</v>
      </c>
      <c r="I4405">
        <v>10</v>
      </c>
      <c r="J4405">
        <v>87</v>
      </c>
      <c r="K4405" s="482">
        <v>0.874</v>
      </c>
      <c r="L4405" s="482">
        <v>1.0999999999999999E-2</v>
      </c>
      <c r="M4405" s="482">
        <v>0.115</v>
      </c>
    </row>
    <row r="4406" spans="1:13" x14ac:dyDescent="0.2">
      <c r="A4406" t="s">
        <v>5959</v>
      </c>
      <c r="B4406" t="s">
        <v>15</v>
      </c>
      <c r="C4406" t="s">
        <v>1</v>
      </c>
      <c r="D4406" t="s">
        <v>3283</v>
      </c>
      <c r="E4406" t="s">
        <v>3284</v>
      </c>
      <c r="F4406" t="s">
        <v>16</v>
      </c>
      <c r="G4406">
        <v>143</v>
      </c>
      <c r="H4406">
        <v>2</v>
      </c>
      <c r="I4406">
        <v>12</v>
      </c>
      <c r="J4406">
        <v>157</v>
      </c>
      <c r="K4406" s="482">
        <v>0.91100000000000003</v>
      </c>
      <c r="L4406" s="482">
        <v>1.2999999999999999E-2</v>
      </c>
      <c r="M4406" s="482">
        <v>7.5999999999999998E-2</v>
      </c>
    </row>
    <row r="4407" spans="1:13" x14ac:dyDescent="0.2">
      <c r="A4407" t="s">
        <v>5960</v>
      </c>
      <c r="B4407" t="s">
        <v>15</v>
      </c>
      <c r="C4407" t="s">
        <v>1</v>
      </c>
      <c r="D4407" t="s">
        <v>3624</v>
      </c>
      <c r="E4407" t="s">
        <v>3625</v>
      </c>
      <c r="F4407" t="s">
        <v>16</v>
      </c>
      <c r="G4407">
        <v>19</v>
      </c>
      <c r="H4407">
        <v>0</v>
      </c>
      <c r="I4407">
        <v>1</v>
      </c>
      <c r="J4407">
        <v>20</v>
      </c>
      <c r="K4407" s="482">
        <v>0.95</v>
      </c>
      <c r="L4407" s="482">
        <v>0</v>
      </c>
      <c r="M4407" s="482">
        <v>0.05</v>
      </c>
    </row>
    <row r="4408" spans="1:13" x14ac:dyDescent="0.2">
      <c r="A4408" t="s">
        <v>5840</v>
      </c>
      <c r="B4408" t="s">
        <v>15</v>
      </c>
      <c r="C4408" t="s">
        <v>1</v>
      </c>
      <c r="D4408" t="s">
        <v>3621</v>
      </c>
      <c r="E4408" t="s">
        <v>3622</v>
      </c>
      <c r="F4408" t="s">
        <v>16</v>
      </c>
      <c r="G4408">
        <v>16</v>
      </c>
      <c r="H4408">
        <v>0</v>
      </c>
      <c r="I4408">
        <v>1</v>
      </c>
      <c r="J4408">
        <v>17</v>
      </c>
      <c r="K4408" s="482">
        <v>0.94099999999999995</v>
      </c>
      <c r="L4408" s="482">
        <v>0</v>
      </c>
      <c r="M4408" s="482">
        <v>5.8999999999999997E-2</v>
      </c>
    </row>
    <row r="4409" spans="1:13" x14ac:dyDescent="0.2">
      <c r="A4409" t="s">
        <v>5841</v>
      </c>
      <c r="B4409" t="s">
        <v>15</v>
      </c>
      <c r="C4409" t="s">
        <v>1</v>
      </c>
      <c r="D4409" t="s">
        <v>3618</v>
      </c>
      <c r="E4409" t="s">
        <v>3619</v>
      </c>
      <c r="F4409" t="s">
        <v>16</v>
      </c>
      <c r="G4409">
        <v>25</v>
      </c>
      <c r="H4409">
        <v>0</v>
      </c>
      <c r="I4409">
        <v>1</v>
      </c>
      <c r="J4409">
        <v>26</v>
      </c>
      <c r="K4409" s="482">
        <v>0.96199999999999997</v>
      </c>
      <c r="L4409" s="482">
        <v>0</v>
      </c>
      <c r="M4409" s="482">
        <v>3.7999999999999999E-2</v>
      </c>
    </row>
    <row r="4410" spans="1:13" x14ac:dyDescent="0.2">
      <c r="A4410" t="s">
        <v>5957</v>
      </c>
      <c r="B4410" t="s">
        <v>15</v>
      </c>
      <c r="C4410" t="s">
        <v>1</v>
      </c>
      <c r="D4410" t="s">
        <v>3289</v>
      </c>
      <c r="E4410" t="s">
        <v>3290</v>
      </c>
      <c r="F4410" t="s">
        <v>16</v>
      </c>
      <c r="G4410">
        <v>30</v>
      </c>
      <c r="H4410">
        <v>0</v>
      </c>
      <c r="I4410">
        <v>1</v>
      </c>
      <c r="J4410">
        <v>31</v>
      </c>
      <c r="K4410" s="482">
        <v>0.96799999999999997</v>
      </c>
      <c r="L4410" s="482">
        <v>0</v>
      </c>
      <c r="M4410" s="482">
        <v>3.2000000000000001E-2</v>
      </c>
    </row>
    <row r="4411" spans="1:13" x14ac:dyDescent="0.2">
      <c r="A4411" t="s">
        <v>5958</v>
      </c>
      <c r="B4411" t="s">
        <v>15</v>
      </c>
      <c r="C4411" t="s">
        <v>1</v>
      </c>
      <c r="D4411" t="s">
        <v>3286</v>
      </c>
      <c r="E4411" t="s">
        <v>3287</v>
      </c>
      <c r="F4411" t="s">
        <v>16</v>
      </c>
      <c r="G4411">
        <v>39</v>
      </c>
      <c r="H4411">
        <v>0</v>
      </c>
      <c r="I4411">
        <v>3</v>
      </c>
      <c r="J4411">
        <v>42</v>
      </c>
      <c r="K4411" s="482">
        <v>0.92900000000000005</v>
      </c>
      <c r="L4411" s="482">
        <v>0</v>
      </c>
      <c r="M4411" s="482">
        <v>7.0999999999999994E-2</v>
      </c>
    </row>
    <row r="4412" spans="1:13" x14ac:dyDescent="0.2">
      <c r="A4412" t="s">
        <v>5951</v>
      </c>
      <c r="B4412" t="s">
        <v>15</v>
      </c>
      <c r="C4412" t="s">
        <v>1</v>
      </c>
      <c r="D4412" t="s">
        <v>4776</v>
      </c>
      <c r="E4412" t="s">
        <v>4777</v>
      </c>
      <c r="F4412" t="s">
        <v>16</v>
      </c>
      <c r="G4412">
        <v>13</v>
      </c>
      <c r="H4412">
        <v>0</v>
      </c>
      <c r="I4412">
        <v>0</v>
      </c>
      <c r="J4412">
        <v>13</v>
      </c>
      <c r="K4412" s="482">
        <v>1</v>
      </c>
      <c r="L4412" s="482">
        <v>0</v>
      </c>
      <c r="M4412" s="482">
        <v>0</v>
      </c>
    </row>
    <row r="4413" spans="1:13" x14ac:dyDescent="0.2">
      <c r="A4413" t="s">
        <v>5956</v>
      </c>
      <c r="B4413" t="s">
        <v>15</v>
      </c>
      <c r="C4413" t="s">
        <v>1</v>
      </c>
      <c r="D4413" t="s">
        <v>3292</v>
      </c>
      <c r="E4413" t="s">
        <v>3293</v>
      </c>
      <c r="F4413" t="s">
        <v>16</v>
      </c>
      <c r="G4413">
        <v>54</v>
      </c>
      <c r="H4413">
        <v>0</v>
      </c>
      <c r="I4413">
        <v>2</v>
      </c>
      <c r="J4413">
        <v>56</v>
      </c>
      <c r="K4413" s="482">
        <v>0.96399999999999997</v>
      </c>
      <c r="L4413" s="482">
        <v>0</v>
      </c>
      <c r="M4413" s="482">
        <v>3.5999999999999997E-2</v>
      </c>
    </row>
    <row r="4414" spans="1:13" x14ac:dyDescent="0.2">
      <c r="A4414" t="s">
        <v>5812</v>
      </c>
      <c r="B4414" t="s">
        <v>15</v>
      </c>
      <c r="C4414" t="s">
        <v>1</v>
      </c>
      <c r="D4414" t="s">
        <v>4477</v>
      </c>
      <c r="E4414" t="s">
        <v>4478</v>
      </c>
      <c r="F4414" t="s">
        <v>16</v>
      </c>
      <c r="G4414">
        <v>62</v>
      </c>
      <c r="H4414">
        <v>0</v>
      </c>
      <c r="I4414">
        <v>0</v>
      </c>
      <c r="J4414">
        <v>62</v>
      </c>
      <c r="K4414" s="482">
        <v>1</v>
      </c>
      <c r="L4414" s="482">
        <v>0</v>
      </c>
      <c r="M4414" s="482">
        <v>0</v>
      </c>
    </row>
    <row r="4415" spans="1:13" x14ac:dyDescent="0.2">
      <c r="A4415" t="s">
        <v>5943</v>
      </c>
      <c r="B4415" t="s">
        <v>15</v>
      </c>
      <c r="C4415" t="s">
        <v>1</v>
      </c>
      <c r="D4415" t="s">
        <v>4327</v>
      </c>
      <c r="E4415" t="s">
        <v>4328</v>
      </c>
      <c r="F4415" t="s">
        <v>16</v>
      </c>
      <c r="G4415">
        <v>8</v>
      </c>
      <c r="H4415">
        <v>0</v>
      </c>
      <c r="I4415">
        <v>2</v>
      </c>
      <c r="J4415">
        <v>10</v>
      </c>
      <c r="K4415" s="482">
        <v>0.8</v>
      </c>
      <c r="L4415" s="482">
        <v>0</v>
      </c>
      <c r="M4415" s="482">
        <v>0.2</v>
      </c>
    </row>
    <row r="4416" spans="1:13" x14ac:dyDescent="0.2">
      <c r="A4416" t="s">
        <v>5814</v>
      </c>
      <c r="B4416" t="s">
        <v>15</v>
      </c>
      <c r="C4416" t="s">
        <v>1</v>
      </c>
      <c r="D4416" t="s">
        <v>3700</v>
      </c>
      <c r="E4416" t="s">
        <v>3701</v>
      </c>
      <c r="F4416" t="s">
        <v>16</v>
      </c>
      <c r="G4416">
        <v>16</v>
      </c>
      <c r="H4416">
        <v>0</v>
      </c>
      <c r="I4416">
        <v>1</v>
      </c>
      <c r="J4416">
        <v>17</v>
      </c>
      <c r="K4416" s="482">
        <v>0.94099999999999995</v>
      </c>
      <c r="L4416" s="482">
        <v>0</v>
      </c>
      <c r="M4416" s="482">
        <v>5.8999999999999997E-2</v>
      </c>
    </row>
    <row r="4417" spans="1:13" x14ac:dyDescent="0.2">
      <c r="A4417" t="s">
        <v>5815</v>
      </c>
      <c r="B4417" t="s">
        <v>15</v>
      </c>
      <c r="C4417" t="s">
        <v>1</v>
      </c>
      <c r="D4417" t="s">
        <v>3697</v>
      </c>
      <c r="E4417" t="s">
        <v>3698</v>
      </c>
      <c r="F4417" t="s">
        <v>16</v>
      </c>
      <c r="G4417" t="s">
        <v>53</v>
      </c>
      <c r="H4417">
        <v>0</v>
      </c>
      <c r="I4417" t="s">
        <v>53</v>
      </c>
      <c r="J4417" t="s">
        <v>53</v>
      </c>
      <c r="K4417" t="s">
        <v>53</v>
      </c>
      <c r="L4417" t="s">
        <v>53</v>
      </c>
      <c r="M4417" t="s">
        <v>53</v>
      </c>
    </row>
    <row r="4418" spans="1:13" x14ac:dyDescent="0.2">
      <c r="A4418" t="s">
        <v>5817</v>
      </c>
      <c r="B4418" t="s">
        <v>15</v>
      </c>
      <c r="C4418" t="s">
        <v>1</v>
      </c>
      <c r="D4418" t="s">
        <v>3691</v>
      </c>
      <c r="E4418" t="s">
        <v>3692</v>
      </c>
      <c r="F4418" t="s">
        <v>16</v>
      </c>
      <c r="G4418">
        <v>79</v>
      </c>
      <c r="H4418">
        <v>0</v>
      </c>
      <c r="I4418">
        <v>2</v>
      </c>
      <c r="J4418">
        <v>81</v>
      </c>
      <c r="K4418" s="482">
        <v>0.97499999999999998</v>
      </c>
      <c r="L4418" s="482">
        <v>0</v>
      </c>
      <c r="M4418" s="482">
        <v>2.5000000000000001E-2</v>
      </c>
    </row>
    <row r="4419" spans="1:13" x14ac:dyDescent="0.2">
      <c r="A4419" t="s">
        <v>5818</v>
      </c>
      <c r="B4419" t="s">
        <v>15</v>
      </c>
      <c r="C4419" t="s">
        <v>1</v>
      </c>
      <c r="D4419" t="s">
        <v>3687</v>
      </c>
      <c r="E4419" t="s">
        <v>3688</v>
      </c>
      <c r="F4419" t="s">
        <v>16</v>
      </c>
      <c r="G4419">
        <v>455</v>
      </c>
      <c r="H4419">
        <v>8</v>
      </c>
      <c r="I4419">
        <v>29</v>
      </c>
      <c r="J4419">
        <v>492</v>
      </c>
      <c r="K4419" s="482">
        <v>0.92500000000000004</v>
      </c>
      <c r="L4419" s="482">
        <v>1.6E-2</v>
      </c>
      <c r="M4419" s="482">
        <v>5.8999999999999997E-2</v>
      </c>
    </row>
    <row r="4420" spans="1:13" x14ac:dyDescent="0.2">
      <c r="A4420" t="s">
        <v>5819</v>
      </c>
      <c r="B4420" t="s">
        <v>15</v>
      </c>
      <c r="C4420" t="s">
        <v>1</v>
      </c>
      <c r="D4420" t="s">
        <v>3684</v>
      </c>
      <c r="E4420" t="s">
        <v>3685</v>
      </c>
      <c r="F4420" t="s">
        <v>16</v>
      </c>
      <c r="G4420">
        <v>765</v>
      </c>
      <c r="H4420">
        <v>8</v>
      </c>
      <c r="I4420">
        <v>33</v>
      </c>
      <c r="J4420">
        <v>806</v>
      </c>
      <c r="K4420" s="482">
        <v>0.94899999999999995</v>
      </c>
      <c r="L4420" s="482">
        <v>0.01</v>
      </c>
      <c r="M4420" s="482">
        <v>4.1000000000000002E-2</v>
      </c>
    </row>
    <row r="4421" spans="1:13" x14ac:dyDescent="0.2">
      <c r="A4421" t="s">
        <v>5945</v>
      </c>
      <c r="B4421" t="s">
        <v>15</v>
      </c>
      <c r="C4421" t="s">
        <v>1</v>
      </c>
      <c r="D4421" t="s">
        <v>3319</v>
      </c>
      <c r="E4421" t="s">
        <v>3320</v>
      </c>
      <c r="F4421" t="s">
        <v>16</v>
      </c>
      <c r="G4421">
        <v>64</v>
      </c>
      <c r="H4421">
        <v>0</v>
      </c>
      <c r="I4421">
        <v>3</v>
      </c>
      <c r="J4421">
        <v>67</v>
      </c>
      <c r="K4421" s="482">
        <v>0.95499999999999996</v>
      </c>
      <c r="L4421" s="482">
        <v>0</v>
      </c>
      <c r="M4421" s="482">
        <v>4.4999999999999998E-2</v>
      </c>
    </row>
    <row r="4422" spans="1:13" x14ac:dyDescent="0.2">
      <c r="A4422" t="s">
        <v>5946</v>
      </c>
      <c r="B4422" t="s">
        <v>15</v>
      </c>
      <c r="C4422" t="s">
        <v>1</v>
      </c>
      <c r="D4422" t="s">
        <v>3316</v>
      </c>
      <c r="E4422" t="s">
        <v>3317</v>
      </c>
      <c r="F4422" t="s">
        <v>16</v>
      </c>
      <c r="G4422">
        <v>51</v>
      </c>
      <c r="H4422">
        <v>0</v>
      </c>
      <c r="I4422">
        <v>3</v>
      </c>
      <c r="J4422">
        <v>54</v>
      </c>
      <c r="K4422" s="482">
        <v>0.94399999999999995</v>
      </c>
      <c r="L4422" s="482">
        <v>0</v>
      </c>
      <c r="M4422" s="482">
        <v>5.6000000000000001E-2</v>
      </c>
    </row>
    <row r="4423" spans="1:13" x14ac:dyDescent="0.2">
      <c r="A4423" t="s">
        <v>5798</v>
      </c>
      <c r="B4423" t="s">
        <v>15</v>
      </c>
      <c r="C4423" t="s">
        <v>1</v>
      </c>
      <c r="D4423" t="s">
        <v>4496</v>
      </c>
      <c r="E4423" t="s">
        <v>4497</v>
      </c>
      <c r="F4423" t="s">
        <v>16</v>
      </c>
      <c r="G4423">
        <v>805</v>
      </c>
      <c r="H4423">
        <v>4</v>
      </c>
      <c r="I4423">
        <v>27</v>
      </c>
      <c r="J4423">
        <v>836</v>
      </c>
      <c r="K4423" s="482">
        <v>0.96299999999999997</v>
      </c>
      <c r="L4423" s="482">
        <v>5.0000000000000001E-3</v>
      </c>
      <c r="M4423" s="482">
        <v>3.2000000000000001E-2</v>
      </c>
    </row>
    <row r="4424" spans="1:13" x14ac:dyDescent="0.2">
      <c r="A4424" t="s">
        <v>5795</v>
      </c>
      <c r="B4424" t="s">
        <v>15</v>
      </c>
      <c r="C4424" t="s">
        <v>1</v>
      </c>
      <c r="D4424" t="s">
        <v>3751</v>
      </c>
      <c r="E4424" t="s">
        <v>3752</v>
      </c>
      <c r="F4424" t="s">
        <v>16</v>
      </c>
      <c r="G4424">
        <v>195</v>
      </c>
      <c r="H4424">
        <v>2</v>
      </c>
      <c r="I4424">
        <v>13</v>
      </c>
      <c r="J4424">
        <v>210</v>
      </c>
      <c r="K4424" s="482">
        <v>0.92900000000000005</v>
      </c>
      <c r="L4424" s="482">
        <v>0.01</v>
      </c>
      <c r="M4424" s="482">
        <v>6.2E-2</v>
      </c>
    </row>
    <row r="4425" spans="1:13" x14ac:dyDescent="0.2">
      <c r="A4425" t="s">
        <v>5799</v>
      </c>
      <c r="B4425" t="s">
        <v>15</v>
      </c>
      <c r="C4425" t="s">
        <v>1</v>
      </c>
      <c r="D4425" t="s">
        <v>3739</v>
      </c>
      <c r="E4425" t="s">
        <v>3740</v>
      </c>
      <c r="F4425" t="s">
        <v>16</v>
      </c>
      <c r="G4425">
        <v>178</v>
      </c>
      <c r="H4425">
        <v>3</v>
      </c>
      <c r="I4425">
        <v>10</v>
      </c>
      <c r="J4425">
        <v>191</v>
      </c>
      <c r="K4425" s="482">
        <v>0.93200000000000005</v>
      </c>
      <c r="L4425" s="482">
        <v>1.6E-2</v>
      </c>
      <c r="M4425" s="482">
        <v>5.1999999999999998E-2</v>
      </c>
    </row>
    <row r="4426" spans="1:13" x14ac:dyDescent="0.2">
      <c r="A4426" t="s">
        <v>5794</v>
      </c>
      <c r="B4426" t="s">
        <v>15</v>
      </c>
      <c r="C4426" t="s">
        <v>1</v>
      </c>
      <c r="D4426" t="s">
        <v>3754</v>
      </c>
      <c r="E4426" t="s">
        <v>3755</v>
      </c>
      <c r="F4426" t="s">
        <v>16</v>
      </c>
      <c r="G4426">
        <v>170</v>
      </c>
      <c r="H4426">
        <v>2</v>
      </c>
      <c r="I4426">
        <v>13</v>
      </c>
      <c r="J4426">
        <v>185</v>
      </c>
      <c r="K4426" s="482">
        <v>0.91900000000000004</v>
      </c>
      <c r="L4426" s="482">
        <v>1.0999999999999999E-2</v>
      </c>
      <c r="M4426" s="482">
        <v>7.0000000000000007E-2</v>
      </c>
    </row>
    <row r="4427" spans="1:13" x14ac:dyDescent="0.2">
      <c r="A4427" t="s">
        <v>5938</v>
      </c>
      <c r="B4427" t="s">
        <v>15</v>
      </c>
      <c r="C4427" t="s">
        <v>1</v>
      </c>
      <c r="D4427" t="s">
        <v>3703</v>
      </c>
      <c r="E4427" t="s">
        <v>3704</v>
      </c>
      <c r="F4427" t="s">
        <v>16</v>
      </c>
      <c r="G4427">
        <v>6</v>
      </c>
      <c r="H4427">
        <v>0</v>
      </c>
      <c r="I4427">
        <v>1</v>
      </c>
      <c r="J4427">
        <v>7</v>
      </c>
      <c r="K4427" s="482">
        <v>0.85699999999999998</v>
      </c>
      <c r="L4427" s="482">
        <v>0</v>
      </c>
      <c r="M4427" s="482">
        <v>0.14299999999999999</v>
      </c>
    </row>
    <row r="4428" spans="1:13" x14ac:dyDescent="0.2">
      <c r="A4428" t="s">
        <v>5923</v>
      </c>
      <c r="B4428" t="s">
        <v>15</v>
      </c>
      <c r="C4428" t="s">
        <v>1</v>
      </c>
      <c r="D4428" t="s">
        <v>4480</v>
      </c>
      <c r="E4428" t="s">
        <v>4481</v>
      </c>
      <c r="F4428" t="s">
        <v>16</v>
      </c>
      <c r="G4428">
        <v>279</v>
      </c>
      <c r="H4428">
        <v>4</v>
      </c>
      <c r="I4428">
        <v>18</v>
      </c>
      <c r="J4428">
        <v>301</v>
      </c>
      <c r="K4428" s="482">
        <v>0.92700000000000005</v>
      </c>
      <c r="L4428" s="482">
        <v>1.2999999999999999E-2</v>
      </c>
      <c r="M4428" s="482">
        <v>0.06</v>
      </c>
    </row>
    <row r="4429" spans="1:13" x14ac:dyDescent="0.2">
      <c r="A4429" t="s">
        <v>5800</v>
      </c>
      <c r="B4429" t="s">
        <v>15</v>
      </c>
      <c r="C4429" t="s">
        <v>1</v>
      </c>
      <c r="D4429" t="s">
        <v>3382</v>
      </c>
      <c r="E4429" t="s">
        <v>3383</v>
      </c>
      <c r="F4429" t="s">
        <v>16</v>
      </c>
      <c r="G4429">
        <v>322</v>
      </c>
      <c r="H4429">
        <v>5</v>
      </c>
      <c r="I4429">
        <v>15</v>
      </c>
      <c r="J4429">
        <v>342</v>
      </c>
      <c r="K4429" s="482">
        <v>0.94199999999999995</v>
      </c>
      <c r="L4429" s="482">
        <v>1.4999999999999999E-2</v>
      </c>
      <c r="M4429" s="482">
        <v>4.3999999999999997E-2</v>
      </c>
    </row>
    <row r="4430" spans="1:13" x14ac:dyDescent="0.2">
      <c r="A4430" t="s">
        <v>5813</v>
      </c>
      <c r="B4430" t="s">
        <v>15</v>
      </c>
      <c r="C4430" t="s">
        <v>1</v>
      </c>
      <c r="D4430" t="s">
        <v>3742</v>
      </c>
      <c r="E4430" t="s">
        <v>3743</v>
      </c>
      <c r="F4430" t="s">
        <v>16</v>
      </c>
      <c r="G4430">
        <v>349</v>
      </c>
      <c r="H4430">
        <v>4</v>
      </c>
      <c r="I4430">
        <v>24</v>
      </c>
      <c r="J4430">
        <v>377</v>
      </c>
      <c r="K4430" s="482">
        <v>0.92600000000000005</v>
      </c>
      <c r="L4430" s="482">
        <v>1.0999999999999999E-2</v>
      </c>
      <c r="M4430" s="482">
        <v>6.4000000000000001E-2</v>
      </c>
    </row>
    <row r="4431" spans="1:13" x14ac:dyDescent="0.2">
      <c r="A4431" t="s">
        <v>6023</v>
      </c>
      <c r="B4431" t="s">
        <v>15</v>
      </c>
      <c r="C4431" t="s">
        <v>1</v>
      </c>
      <c r="D4431" t="s">
        <v>3100</v>
      </c>
      <c r="E4431" t="s">
        <v>3101</v>
      </c>
      <c r="F4431" t="s">
        <v>16</v>
      </c>
      <c r="G4431">
        <v>282</v>
      </c>
      <c r="H4431">
        <v>2</v>
      </c>
      <c r="I4431">
        <v>21</v>
      </c>
      <c r="J4431">
        <v>305</v>
      </c>
      <c r="K4431" s="482">
        <v>0.92500000000000004</v>
      </c>
      <c r="L4431" s="482">
        <v>7.0000000000000001E-3</v>
      </c>
      <c r="M4431" s="482">
        <v>6.9000000000000006E-2</v>
      </c>
    </row>
    <row r="4432" spans="1:13" x14ac:dyDescent="0.2">
      <c r="A4432" t="s">
        <v>6026</v>
      </c>
      <c r="B4432" t="s">
        <v>15</v>
      </c>
      <c r="C4432" t="s">
        <v>1</v>
      </c>
      <c r="D4432" t="s">
        <v>3091</v>
      </c>
      <c r="E4432" t="s">
        <v>3092</v>
      </c>
      <c r="F4432" t="s">
        <v>16</v>
      </c>
      <c r="G4432">
        <v>115</v>
      </c>
      <c r="H4432">
        <v>1</v>
      </c>
      <c r="I4432">
        <v>5</v>
      </c>
      <c r="J4432">
        <v>121</v>
      </c>
      <c r="K4432" s="482">
        <v>0.95</v>
      </c>
      <c r="L4432" s="482">
        <v>8.0000000000000002E-3</v>
      </c>
      <c r="M4432" s="482">
        <v>4.1000000000000002E-2</v>
      </c>
    </row>
    <row r="4433" spans="1:13" x14ac:dyDescent="0.2">
      <c r="A4433" t="s">
        <v>6024</v>
      </c>
      <c r="B4433" t="s">
        <v>15</v>
      </c>
      <c r="C4433" t="s">
        <v>1</v>
      </c>
      <c r="D4433" t="s">
        <v>3097</v>
      </c>
      <c r="E4433" t="s">
        <v>3098</v>
      </c>
      <c r="F4433" t="s">
        <v>16</v>
      </c>
      <c r="G4433">
        <v>194</v>
      </c>
      <c r="H4433">
        <v>1</v>
      </c>
      <c r="I4433">
        <v>13</v>
      </c>
      <c r="J4433">
        <v>208</v>
      </c>
      <c r="K4433" s="482">
        <v>0.93300000000000005</v>
      </c>
      <c r="L4433" s="482">
        <v>5.0000000000000001E-3</v>
      </c>
      <c r="M4433" s="482">
        <v>6.3E-2</v>
      </c>
    </row>
    <row r="4434" spans="1:13" x14ac:dyDescent="0.2">
      <c r="A4434" t="s">
        <v>6025</v>
      </c>
      <c r="B4434" t="s">
        <v>15</v>
      </c>
      <c r="C4434" t="s">
        <v>1</v>
      </c>
      <c r="D4434" t="s">
        <v>3094</v>
      </c>
      <c r="E4434" t="s">
        <v>3095</v>
      </c>
      <c r="F4434" t="s">
        <v>16</v>
      </c>
      <c r="G4434" t="s">
        <v>53</v>
      </c>
      <c r="H4434">
        <v>0</v>
      </c>
      <c r="I4434" t="s">
        <v>53</v>
      </c>
      <c r="J4434" t="s">
        <v>53</v>
      </c>
      <c r="K4434" t="s">
        <v>53</v>
      </c>
      <c r="L4434" t="s">
        <v>53</v>
      </c>
      <c r="M4434" t="s">
        <v>53</v>
      </c>
    </row>
    <row r="4435" spans="1:13" x14ac:dyDescent="0.2">
      <c r="A4435" t="s">
        <v>6028</v>
      </c>
      <c r="B4435" t="s">
        <v>15</v>
      </c>
      <c r="C4435" t="s">
        <v>1</v>
      </c>
      <c r="D4435" t="s">
        <v>3085</v>
      </c>
      <c r="E4435" t="s">
        <v>3086</v>
      </c>
      <c r="F4435" t="s">
        <v>16</v>
      </c>
      <c r="G4435">
        <v>237</v>
      </c>
      <c r="H4435">
        <v>3</v>
      </c>
      <c r="I4435">
        <v>16</v>
      </c>
      <c r="J4435">
        <v>256</v>
      </c>
      <c r="K4435" s="482">
        <v>0.92600000000000005</v>
      </c>
      <c r="L4435" s="482">
        <v>1.2E-2</v>
      </c>
      <c r="M4435" s="482">
        <v>6.3E-2</v>
      </c>
    </row>
    <row r="4436" spans="1:13" x14ac:dyDescent="0.2">
      <c r="A4436" t="s">
        <v>6029</v>
      </c>
      <c r="B4436" t="s">
        <v>15</v>
      </c>
      <c r="C4436" t="s">
        <v>1</v>
      </c>
      <c r="D4436" t="s">
        <v>3082</v>
      </c>
      <c r="E4436" t="s">
        <v>3083</v>
      </c>
      <c r="F4436" t="s">
        <v>16</v>
      </c>
      <c r="G4436">
        <v>16</v>
      </c>
      <c r="H4436">
        <v>0</v>
      </c>
      <c r="I4436">
        <v>2</v>
      </c>
      <c r="J4436">
        <v>18</v>
      </c>
      <c r="K4436" s="482">
        <v>0.88900000000000001</v>
      </c>
      <c r="L4436" s="482">
        <v>0</v>
      </c>
      <c r="M4436" s="482">
        <v>0.111</v>
      </c>
    </row>
    <row r="4437" spans="1:13" x14ac:dyDescent="0.2">
      <c r="A4437" t="s">
        <v>6030</v>
      </c>
      <c r="B4437" t="s">
        <v>15</v>
      </c>
      <c r="C4437" t="s">
        <v>1</v>
      </c>
      <c r="D4437" t="s">
        <v>3079</v>
      </c>
      <c r="E4437" t="s">
        <v>3080</v>
      </c>
      <c r="F4437" t="s">
        <v>16</v>
      </c>
      <c r="G4437">
        <v>83</v>
      </c>
      <c r="H4437">
        <v>1</v>
      </c>
      <c r="I4437">
        <v>3</v>
      </c>
      <c r="J4437">
        <v>87</v>
      </c>
      <c r="K4437" s="482">
        <v>0.95399999999999996</v>
      </c>
      <c r="L4437" s="482">
        <v>1.0999999999999999E-2</v>
      </c>
      <c r="M4437" s="482">
        <v>3.4000000000000002E-2</v>
      </c>
    </row>
    <row r="4438" spans="1:13" x14ac:dyDescent="0.2">
      <c r="A4438" t="s">
        <v>6031</v>
      </c>
      <c r="B4438" t="s">
        <v>15</v>
      </c>
      <c r="C4438" t="s">
        <v>1</v>
      </c>
      <c r="D4438" t="s">
        <v>3076</v>
      </c>
      <c r="E4438" t="s">
        <v>3077</v>
      </c>
      <c r="F4438" t="s">
        <v>16</v>
      </c>
      <c r="G4438">
        <v>208</v>
      </c>
      <c r="H4438">
        <v>2</v>
      </c>
      <c r="I4438">
        <v>7</v>
      </c>
      <c r="J4438">
        <v>217</v>
      </c>
      <c r="K4438" s="482">
        <v>0.95899999999999996</v>
      </c>
      <c r="L4438" s="482">
        <v>8.9999999999999993E-3</v>
      </c>
      <c r="M4438" s="482">
        <v>3.2000000000000001E-2</v>
      </c>
    </row>
    <row r="4439" spans="1:13" x14ac:dyDescent="0.2">
      <c r="A4439" t="s">
        <v>6027</v>
      </c>
      <c r="B4439" t="s">
        <v>15</v>
      </c>
      <c r="C4439" t="s">
        <v>1</v>
      </c>
      <c r="D4439" t="s">
        <v>3379</v>
      </c>
      <c r="E4439" t="s">
        <v>3380</v>
      </c>
      <c r="F4439" t="s">
        <v>16</v>
      </c>
      <c r="G4439">
        <v>265</v>
      </c>
      <c r="H4439">
        <v>2</v>
      </c>
      <c r="I4439">
        <v>11</v>
      </c>
      <c r="J4439">
        <v>278</v>
      </c>
      <c r="K4439" s="482">
        <v>0.95299999999999996</v>
      </c>
      <c r="L4439" s="482">
        <v>7.0000000000000001E-3</v>
      </c>
      <c r="M4439" s="482">
        <v>0.04</v>
      </c>
    </row>
    <row r="4440" spans="1:13" x14ac:dyDescent="0.2">
      <c r="A4440" t="s">
        <v>5924</v>
      </c>
      <c r="B4440" t="s">
        <v>15</v>
      </c>
      <c r="C4440" t="s">
        <v>1</v>
      </c>
      <c r="D4440" t="s">
        <v>3373</v>
      </c>
      <c r="E4440" t="s">
        <v>3374</v>
      </c>
      <c r="F4440" t="s">
        <v>16</v>
      </c>
      <c r="G4440">
        <v>209</v>
      </c>
      <c r="H4440">
        <v>2</v>
      </c>
      <c r="I4440">
        <v>7</v>
      </c>
      <c r="J4440">
        <v>218</v>
      </c>
      <c r="K4440" s="482">
        <v>0.95899999999999996</v>
      </c>
      <c r="L4440" s="482">
        <v>8.9999999999999993E-3</v>
      </c>
      <c r="M4440" s="482">
        <v>3.2000000000000001E-2</v>
      </c>
    </row>
    <row r="4441" spans="1:13" x14ac:dyDescent="0.2">
      <c r="A4441" t="s">
        <v>5925</v>
      </c>
      <c r="B4441" t="s">
        <v>15</v>
      </c>
      <c r="C4441" t="s">
        <v>1</v>
      </c>
      <c r="D4441" t="s">
        <v>3370</v>
      </c>
      <c r="E4441" t="s">
        <v>3371</v>
      </c>
      <c r="F4441" t="s">
        <v>16</v>
      </c>
      <c r="G4441">
        <v>147</v>
      </c>
      <c r="H4441">
        <v>3</v>
      </c>
      <c r="I4441">
        <v>4</v>
      </c>
      <c r="J4441">
        <v>154</v>
      </c>
      <c r="K4441" s="482">
        <v>0.95499999999999996</v>
      </c>
      <c r="L4441" s="482">
        <v>1.9E-2</v>
      </c>
      <c r="M4441" s="482">
        <v>2.5999999999999999E-2</v>
      </c>
    </row>
    <row r="4442" spans="1:13" x14ac:dyDescent="0.2">
      <c r="A4442" t="s">
        <v>5926</v>
      </c>
      <c r="B4442" t="s">
        <v>15</v>
      </c>
      <c r="C4442" t="s">
        <v>1</v>
      </c>
      <c r="D4442" t="s">
        <v>3367</v>
      </c>
      <c r="E4442" t="s">
        <v>3368</v>
      </c>
      <c r="F4442" t="s">
        <v>16</v>
      </c>
      <c r="G4442">
        <v>298</v>
      </c>
      <c r="H4442">
        <v>8</v>
      </c>
      <c r="I4442">
        <v>35</v>
      </c>
      <c r="J4442">
        <v>341</v>
      </c>
      <c r="K4442" s="482">
        <v>0.874</v>
      </c>
      <c r="L4442" s="482">
        <v>2.3E-2</v>
      </c>
      <c r="M4442" s="482">
        <v>0.10299999999999999</v>
      </c>
    </row>
    <row r="4443" spans="1:13" x14ac:dyDescent="0.2">
      <c r="A4443" t="s">
        <v>5927</v>
      </c>
      <c r="B4443" t="s">
        <v>15</v>
      </c>
      <c r="C4443" t="s">
        <v>1</v>
      </c>
      <c r="D4443" t="s">
        <v>3364</v>
      </c>
      <c r="E4443" t="s">
        <v>3365</v>
      </c>
      <c r="F4443" t="s">
        <v>16</v>
      </c>
      <c r="G4443" t="s">
        <v>53</v>
      </c>
      <c r="H4443">
        <v>0</v>
      </c>
      <c r="I4443">
        <v>0</v>
      </c>
      <c r="J4443" t="s">
        <v>53</v>
      </c>
      <c r="K4443" t="s">
        <v>53</v>
      </c>
      <c r="L4443" t="s">
        <v>53</v>
      </c>
      <c r="M4443" t="s">
        <v>53</v>
      </c>
    </row>
    <row r="4444" spans="1:13" x14ac:dyDescent="0.2">
      <c r="A4444" t="s">
        <v>5928</v>
      </c>
      <c r="B4444" t="s">
        <v>15</v>
      </c>
      <c r="C4444" t="s">
        <v>1</v>
      </c>
      <c r="D4444" t="s">
        <v>3361</v>
      </c>
      <c r="E4444" t="s">
        <v>3362</v>
      </c>
      <c r="F4444" t="s">
        <v>16</v>
      </c>
      <c r="G4444">
        <v>165</v>
      </c>
      <c r="H4444">
        <v>0</v>
      </c>
      <c r="I4444">
        <v>16</v>
      </c>
      <c r="J4444">
        <v>181</v>
      </c>
      <c r="K4444" s="482">
        <v>0.91200000000000003</v>
      </c>
      <c r="L4444" s="482">
        <v>0</v>
      </c>
      <c r="M4444" s="482">
        <v>8.7999999999999995E-2</v>
      </c>
    </row>
    <row r="4445" spans="1:13" x14ac:dyDescent="0.2">
      <c r="A4445" t="s">
        <v>5941</v>
      </c>
      <c r="B4445" t="s">
        <v>15</v>
      </c>
      <c r="C4445" t="s">
        <v>1</v>
      </c>
      <c r="D4445" t="s">
        <v>3331</v>
      </c>
      <c r="E4445" t="s">
        <v>3332</v>
      </c>
      <c r="F4445" t="s">
        <v>16</v>
      </c>
      <c r="G4445">
        <v>34</v>
      </c>
      <c r="H4445">
        <v>0</v>
      </c>
      <c r="I4445">
        <v>5</v>
      </c>
      <c r="J4445">
        <v>39</v>
      </c>
      <c r="K4445" s="482">
        <v>0.872</v>
      </c>
      <c r="L4445" s="482">
        <v>0</v>
      </c>
      <c r="M4445" s="482">
        <v>0.128</v>
      </c>
    </row>
    <row r="4446" spans="1:13" x14ac:dyDescent="0.2">
      <c r="A4446" t="s">
        <v>5929</v>
      </c>
      <c r="B4446" t="s">
        <v>15</v>
      </c>
      <c r="C4446" t="s">
        <v>1</v>
      </c>
      <c r="D4446" t="s">
        <v>3358</v>
      </c>
      <c r="E4446" t="s">
        <v>3359</v>
      </c>
      <c r="F4446" t="s">
        <v>16</v>
      </c>
      <c r="G4446">
        <v>97</v>
      </c>
      <c r="H4446">
        <v>2</v>
      </c>
      <c r="I4446">
        <v>4</v>
      </c>
      <c r="J4446">
        <v>103</v>
      </c>
      <c r="K4446" s="482">
        <v>0.94199999999999995</v>
      </c>
      <c r="L4446" s="482">
        <v>1.9E-2</v>
      </c>
      <c r="M4446" s="482">
        <v>3.9E-2</v>
      </c>
    </row>
    <row r="4447" spans="1:13" x14ac:dyDescent="0.2">
      <c r="A4447" t="s">
        <v>5930</v>
      </c>
      <c r="B4447" t="s">
        <v>15</v>
      </c>
      <c r="C4447" t="s">
        <v>1</v>
      </c>
      <c r="D4447" t="s">
        <v>3355</v>
      </c>
      <c r="E4447" t="s">
        <v>3356</v>
      </c>
      <c r="F4447" t="s">
        <v>16</v>
      </c>
      <c r="G4447">
        <v>84</v>
      </c>
      <c r="H4447">
        <v>0</v>
      </c>
      <c r="I4447">
        <v>0</v>
      </c>
      <c r="J4447">
        <v>84</v>
      </c>
      <c r="K4447" s="482">
        <v>1</v>
      </c>
      <c r="L4447" s="482">
        <v>0</v>
      </c>
      <c r="M4447" s="482">
        <v>0</v>
      </c>
    </row>
    <row r="4448" spans="1:13" x14ac:dyDescent="0.2">
      <c r="A4448" t="s">
        <v>5931</v>
      </c>
      <c r="B4448" t="s">
        <v>15</v>
      </c>
      <c r="C4448" t="s">
        <v>1</v>
      </c>
      <c r="D4448" t="s">
        <v>3352</v>
      </c>
      <c r="E4448" t="s">
        <v>3353</v>
      </c>
      <c r="F4448" t="s">
        <v>16</v>
      </c>
      <c r="G4448">
        <v>107</v>
      </c>
      <c r="H4448">
        <v>1</v>
      </c>
      <c r="I4448">
        <v>7</v>
      </c>
      <c r="J4448">
        <v>115</v>
      </c>
      <c r="K4448" s="482">
        <v>0.93</v>
      </c>
      <c r="L4448" s="482">
        <v>8.9999999999999993E-3</v>
      </c>
      <c r="M4448" s="482">
        <v>6.0999999999999999E-2</v>
      </c>
    </row>
    <row r="4449" spans="1:13" x14ac:dyDescent="0.2">
      <c r="A4449" t="s">
        <v>5932</v>
      </c>
      <c r="B4449" t="s">
        <v>15</v>
      </c>
      <c r="C4449" t="s">
        <v>1</v>
      </c>
      <c r="D4449" t="s">
        <v>3349</v>
      </c>
      <c r="E4449" t="s">
        <v>3350</v>
      </c>
      <c r="F4449" t="s">
        <v>16</v>
      </c>
      <c r="G4449">
        <v>55</v>
      </c>
      <c r="H4449">
        <v>0</v>
      </c>
      <c r="I4449">
        <v>3</v>
      </c>
      <c r="J4449">
        <v>58</v>
      </c>
      <c r="K4449" s="482">
        <v>0.94799999999999995</v>
      </c>
      <c r="L4449" s="482">
        <v>0</v>
      </c>
      <c r="M4449" s="482">
        <v>5.1999999999999998E-2</v>
      </c>
    </row>
    <row r="4450" spans="1:13" x14ac:dyDescent="0.2">
      <c r="A4450" t="s">
        <v>5933</v>
      </c>
      <c r="B4450" t="s">
        <v>15</v>
      </c>
      <c r="C4450" t="s">
        <v>1</v>
      </c>
      <c r="D4450" t="s">
        <v>3346</v>
      </c>
      <c r="E4450" t="s">
        <v>3347</v>
      </c>
      <c r="F4450" t="s">
        <v>16</v>
      </c>
      <c r="G4450">
        <v>75</v>
      </c>
      <c r="H4450">
        <v>0</v>
      </c>
      <c r="I4450">
        <v>6</v>
      </c>
      <c r="J4450">
        <v>81</v>
      </c>
      <c r="K4450" s="482">
        <v>0.92600000000000005</v>
      </c>
      <c r="L4450" s="482">
        <v>0</v>
      </c>
      <c r="M4450" s="482">
        <v>7.3999999999999996E-2</v>
      </c>
    </row>
    <row r="4451" spans="1:13" x14ac:dyDescent="0.2">
      <c r="A4451" t="s">
        <v>5936</v>
      </c>
      <c r="B4451" t="s">
        <v>15</v>
      </c>
      <c r="C4451" t="s">
        <v>1</v>
      </c>
      <c r="D4451" t="s">
        <v>3337</v>
      </c>
      <c r="E4451" t="s">
        <v>3338</v>
      </c>
      <c r="F4451" t="s">
        <v>16</v>
      </c>
      <c r="G4451">
        <v>55</v>
      </c>
      <c r="H4451">
        <v>0</v>
      </c>
      <c r="I4451">
        <v>1</v>
      </c>
      <c r="J4451">
        <v>56</v>
      </c>
      <c r="K4451" s="482">
        <v>0.98199999999999998</v>
      </c>
      <c r="L4451" s="482">
        <v>0</v>
      </c>
      <c r="M4451" s="482">
        <v>1.7999999999999999E-2</v>
      </c>
    </row>
    <row r="4452" spans="1:13" x14ac:dyDescent="0.2">
      <c r="A4452" t="s">
        <v>5940</v>
      </c>
      <c r="B4452" t="s">
        <v>15</v>
      </c>
      <c r="C4452" t="s">
        <v>1</v>
      </c>
      <c r="D4452" t="s">
        <v>3334</v>
      </c>
      <c r="E4452" t="s">
        <v>3335</v>
      </c>
      <c r="F4452" t="s">
        <v>16</v>
      </c>
      <c r="G4452">
        <v>26</v>
      </c>
      <c r="H4452">
        <v>0</v>
      </c>
      <c r="I4452">
        <v>1</v>
      </c>
      <c r="J4452">
        <v>27</v>
      </c>
      <c r="K4452" s="482">
        <v>0.96299999999999997</v>
      </c>
      <c r="L4452" s="482">
        <v>0</v>
      </c>
      <c r="M4452" s="482">
        <v>3.6999999999999998E-2</v>
      </c>
    </row>
    <row r="4453" spans="1:13" x14ac:dyDescent="0.2">
      <c r="A4453" t="s">
        <v>5820</v>
      </c>
      <c r="B4453" t="s">
        <v>15</v>
      </c>
      <c r="C4453" t="s">
        <v>1</v>
      </c>
      <c r="D4453" t="s">
        <v>3681</v>
      </c>
      <c r="E4453" t="s">
        <v>3682</v>
      </c>
      <c r="F4453" t="s">
        <v>16</v>
      </c>
      <c r="G4453">
        <v>317</v>
      </c>
      <c r="H4453">
        <v>5</v>
      </c>
      <c r="I4453">
        <v>21</v>
      </c>
      <c r="J4453">
        <v>343</v>
      </c>
      <c r="K4453" s="482">
        <v>0.92400000000000004</v>
      </c>
      <c r="L4453" s="482">
        <v>1.4999999999999999E-2</v>
      </c>
      <c r="M4453" s="482">
        <v>6.0999999999999999E-2</v>
      </c>
    </row>
    <row r="4454" spans="1:13" x14ac:dyDescent="0.2">
      <c r="A4454" t="s">
        <v>5796</v>
      </c>
      <c r="B4454" t="s">
        <v>15</v>
      </c>
      <c r="C4454" t="s">
        <v>1</v>
      </c>
      <c r="D4454" t="s">
        <v>3748</v>
      </c>
      <c r="E4454" t="s">
        <v>3749</v>
      </c>
      <c r="F4454" t="s">
        <v>16</v>
      </c>
      <c r="G4454">
        <v>263</v>
      </c>
      <c r="H4454">
        <v>3</v>
      </c>
      <c r="I4454">
        <v>19</v>
      </c>
      <c r="J4454">
        <v>285</v>
      </c>
      <c r="K4454" s="482">
        <v>0.92300000000000004</v>
      </c>
      <c r="L4454" s="482">
        <v>1.0999999999999999E-2</v>
      </c>
      <c r="M4454" s="482">
        <v>6.7000000000000004E-2</v>
      </c>
    </row>
    <row r="4455" spans="1:13" x14ac:dyDescent="0.2">
      <c r="A4455" t="s">
        <v>5821</v>
      </c>
      <c r="B4455" t="s">
        <v>15</v>
      </c>
      <c r="C4455" t="s">
        <v>1</v>
      </c>
      <c r="D4455" t="s">
        <v>3678</v>
      </c>
      <c r="E4455" t="s">
        <v>3679</v>
      </c>
      <c r="F4455" t="s">
        <v>16</v>
      </c>
      <c r="G4455">
        <v>184</v>
      </c>
      <c r="H4455">
        <v>4</v>
      </c>
      <c r="I4455">
        <v>4</v>
      </c>
      <c r="J4455">
        <v>192</v>
      </c>
      <c r="K4455" s="482">
        <v>0.95799999999999996</v>
      </c>
      <c r="L4455" s="482">
        <v>2.1000000000000001E-2</v>
      </c>
      <c r="M4455" s="482">
        <v>2.1000000000000001E-2</v>
      </c>
    </row>
    <row r="4456" spans="1:13" x14ac:dyDescent="0.2">
      <c r="A4456" t="s">
        <v>5822</v>
      </c>
      <c r="B4456" t="s">
        <v>15</v>
      </c>
      <c r="C4456" t="s">
        <v>1</v>
      </c>
      <c r="D4456" t="s">
        <v>3675</v>
      </c>
      <c r="E4456" t="s">
        <v>3676</v>
      </c>
      <c r="F4456" t="s">
        <v>16</v>
      </c>
      <c r="G4456">
        <v>152</v>
      </c>
      <c r="H4456">
        <v>2</v>
      </c>
      <c r="I4456">
        <v>3</v>
      </c>
      <c r="J4456">
        <v>157</v>
      </c>
      <c r="K4456" s="482">
        <v>0.96799999999999997</v>
      </c>
      <c r="L4456" s="482">
        <v>1.2999999999999999E-2</v>
      </c>
      <c r="M4456" s="482">
        <v>1.9E-2</v>
      </c>
    </row>
    <row r="4457" spans="1:13" x14ac:dyDescent="0.2">
      <c r="A4457" t="s">
        <v>5797</v>
      </c>
      <c r="B4457" t="s">
        <v>15</v>
      </c>
      <c r="C4457" t="s">
        <v>1</v>
      </c>
      <c r="D4457" t="s">
        <v>4222</v>
      </c>
      <c r="E4457" t="s">
        <v>4223</v>
      </c>
      <c r="F4457" t="s">
        <v>16</v>
      </c>
      <c r="G4457">
        <v>675</v>
      </c>
      <c r="H4457">
        <v>10</v>
      </c>
      <c r="I4457">
        <v>29</v>
      </c>
      <c r="J4457">
        <v>714</v>
      </c>
      <c r="K4457" s="482">
        <v>0.94499999999999995</v>
      </c>
      <c r="L4457" s="482">
        <v>1.4E-2</v>
      </c>
      <c r="M4457" s="482">
        <v>4.1000000000000002E-2</v>
      </c>
    </row>
    <row r="4458" spans="1:13" x14ac:dyDescent="0.2">
      <c r="A4458" t="s">
        <v>6019</v>
      </c>
      <c r="B4458" t="s">
        <v>15</v>
      </c>
      <c r="C4458" t="s">
        <v>1</v>
      </c>
      <c r="D4458" t="s">
        <v>3115</v>
      </c>
      <c r="E4458" t="s">
        <v>3116</v>
      </c>
      <c r="F4458" t="s">
        <v>16</v>
      </c>
      <c r="G4458">
        <v>186</v>
      </c>
      <c r="H4458">
        <v>3</v>
      </c>
      <c r="I4458">
        <v>15</v>
      </c>
      <c r="J4458">
        <v>204</v>
      </c>
      <c r="K4458" s="482">
        <v>0.91200000000000003</v>
      </c>
      <c r="L4458" s="482">
        <v>1.4999999999999999E-2</v>
      </c>
      <c r="M4458" s="482">
        <v>7.3999999999999996E-2</v>
      </c>
    </row>
    <row r="4459" spans="1:13" x14ac:dyDescent="0.2">
      <c r="A4459" t="s">
        <v>6017</v>
      </c>
      <c r="B4459" t="s">
        <v>15</v>
      </c>
      <c r="C4459" t="s">
        <v>1</v>
      </c>
      <c r="D4459" t="s">
        <v>3121</v>
      </c>
      <c r="E4459" t="s">
        <v>3122</v>
      </c>
      <c r="F4459" t="s">
        <v>16</v>
      </c>
      <c r="G4459">
        <v>321</v>
      </c>
      <c r="H4459">
        <v>4</v>
      </c>
      <c r="I4459">
        <v>13</v>
      </c>
      <c r="J4459">
        <v>338</v>
      </c>
      <c r="K4459" s="482">
        <v>0.95</v>
      </c>
      <c r="L4459" s="482">
        <v>1.2E-2</v>
      </c>
      <c r="M4459" s="482">
        <v>3.7999999999999999E-2</v>
      </c>
    </row>
    <row r="4460" spans="1:13" x14ac:dyDescent="0.2">
      <c r="A4460" t="s">
        <v>6018</v>
      </c>
      <c r="B4460" t="s">
        <v>15</v>
      </c>
      <c r="C4460" t="s">
        <v>1</v>
      </c>
      <c r="D4460" t="s">
        <v>3118</v>
      </c>
      <c r="E4460" t="s">
        <v>3119</v>
      </c>
      <c r="F4460" t="s">
        <v>16</v>
      </c>
      <c r="G4460">
        <v>53</v>
      </c>
      <c r="H4460">
        <v>0</v>
      </c>
      <c r="I4460">
        <v>1</v>
      </c>
      <c r="J4460">
        <v>54</v>
      </c>
      <c r="K4460" s="482">
        <v>0.98099999999999998</v>
      </c>
      <c r="L4460" s="482">
        <v>0</v>
      </c>
      <c r="M4460" s="482">
        <v>1.9E-2</v>
      </c>
    </row>
    <row r="4461" spans="1:13" x14ac:dyDescent="0.2">
      <c r="A4461" t="s">
        <v>6010</v>
      </c>
      <c r="B4461" t="s">
        <v>15</v>
      </c>
      <c r="C4461" t="s">
        <v>1</v>
      </c>
      <c r="D4461" t="s">
        <v>3151</v>
      </c>
      <c r="E4461" t="s">
        <v>3152</v>
      </c>
      <c r="F4461" t="s">
        <v>16</v>
      </c>
      <c r="G4461">
        <v>69</v>
      </c>
      <c r="H4461">
        <v>1</v>
      </c>
      <c r="I4461">
        <v>0</v>
      </c>
      <c r="J4461">
        <v>70</v>
      </c>
      <c r="K4461" s="482">
        <v>0.98599999999999999</v>
      </c>
      <c r="L4461" s="482">
        <v>1.4E-2</v>
      </c>
      <c r="M4461" s="482">
        <v>0</v>
      </c>
    </row>
    <row r="4462" spans="1:13" x14ac:dyDescent="0.2">
      <c r="A4462" t="s">
        <v>6011</v>
      </c>
      <c r="B4462" t="s">
        <v>15</v>
      </c>
      <c r="C4462" t="s">
        <v>1</v>
      </c>
      <c r="D4462" t="s">
        <v>3148</v>
      </c>
      <c r="E4462" t="s">
        <v>3149</v>
      </c>
      <c r="F4462" t="s">
        <v>16</v>
      </c>
      <c r="G4462">
        <v>125</v>
      </c>
      <c r="H4462">
        <v>3</v>
      </c>
      <c r="I4462">
        <v>6</v>
      </c>
      <c r="J4462">
        <v>134</v>
      </c>
      <c r="K4462" s="482">
        <v>0.93300000000000005</v>
      </c>
      <c r="L4462" s="482">
        <v>2.1999999999999999E-2</v>
      </c>
      <c r="M4462" s="482">
        <v>4.4999999999999998E-2</v>
      </c>
    </row>
    <row r="4463" spans="1:13" x14ac:dyDescent="0.2">
      <c r="A4463" t="s">
        <v>5861</v>
      </c>
      <c r="B4463" t="s">
        <v>15</v>
      </c>
      <c r="C4463" t="s">
        <v>1</v>
      </c>
      <c r="D4463" t="s">
        <v>4428</v>
      </c>
      <c r="E4463" t="s">
        <v>4429</v>
      </c>
      <c r="F4463" t="s">
        <v>16</v>
      </c>
      <c r="G4463">
        <v>102</v>
      </c>
      <c r="H4463">
        <v>0</v>
      </c>
      <c r="I4463">
        <v>1</v>
      </c>
      <c r="J4463">
        <v>103</v>
      </c>
      <c r="K4463" s="482">
        <v>0.99</v>
      </c>
      <c r="L4463" s="482">
        <v>0</v>
      </c>
      <c r="M4463" s="482">
        <v>0.01</v>
      </c>
    </row>
    <row r="4464" spans="1:13" x14ac:dyDescent="0.2">
      <c r="A4464" t="s">
        <v>6022</v>
      </c>
      <c r="B4464" t="s">
        <v>15</v>
      </c>
      <c r="C4464" t="s">
        <v>1</v>
      </c>
      <c r="D4464" t="s">
        <v>3103</v>
      </c>
      <c r="E4464" t="s">
        <v>3104</v>
      </c>
      <c r="F4464" t="s">
        <v>16</v>
      </c>
      <c r="G4464">
        <v>56</v>
      </c>
      <c r="H4464">
        <v>1</v>
      </c>
      <c r="I4464">
        <v>2</v>
      </c>
      <c r="J4464">
        <v>59</v>
      </c>
      <c r="K4464" s="482">
        <v>0.94899999999999995</v>
      </c>
      <c r="L4464" s="482">
        <v>1.7000000000000001E-2</v>
      </c>
      <c r="M4464" s="482">
        <v>3.4000000000000002E-2</v>
      </c>
    </row>
    <row r="4465" spans="1:13" x14ac:dyDescent="0.2">
      <c r="A4465" t="s">
        <v>6021</v>
      </c>
      <c r="B4465" t="s">
        <v>15</v>
      </c>
      <c r="C4465" t="s">
        <v>1</v>
      </c>
      <c r="D4465" t="s">
        <v>4229</v>
      </c>
      <c r="E4465" t="s">
        <v>4230</v>
      </c>
      <c r="F4465" t="s">
        <v>16</v>
      </c>
      <c r="G4465">
        <v>270</v>
      </c>
      <c r="H4465">
        <v>4</v>
      </c>
      <c r="I4465">
        <v>14</v>
      </c>
      <c r="J4465">
        <v>288</v>
      </c>
      <c r="K4465" s="482">
        <v>0.93799999999999994</v>
      </c>
      <c r="L4465" s="482">
        <v>1.4E-2</v>
      </c>
      <c r="M4465" s="482">
        <v>4.9000000000000002E-2</v>
      </c>
    </row>
    <row r="4466" spans="1:13" x14ac:dyDescent="0.2">
      <c r="A4466" t="s">
        <v>5973</v>
      </c>
      <c r="B4466" t="s">
        <v>15</v>
      </c>
      <c r="C4466" t="s">
        <v>1</v>
      </c>
      <c r="D4466" t="s">
        <v>3249</v>
      </c>
      <c r="E4466" t="s">
        <v>3250</v>
      </c>
      <c r="F4466" t="s">
        <v>16</v>
      </c>
      <c r="G4466">
        <v>66</v>
      </c>
      <c r="H4466">
        <v>0</v>
      </c>
      <c r="I4466">
        <v>4</v>
      </c>
      <c r="J4466">
        <v>70</v>
      </c>
      <c r="K4466" s="482">
        <v>0.94299999999999995</v>
      </c>
      <c r="L4466" s="482">
        <v>0</v>
      </c>
      <c r="M4466" s="482">
        <v>5.7000000000000002E-2</v>
      </c>
    </row>
    <row r="4467" spans="1:13" x14ac:dyDescent="0.2">
      <c r="A4467" t="s">
        <v>5974</v>
      </c>
      <c r="B4467" t="s">
        <v>15</v>
      </c>
      <c r="C4467" t="s">
        <v>1</v>
      </c>
      <c r="D4467" t="s">
        <v>3246</v>
      </c>
      <c r="E4467" t="s">
        <v>3247</v>
      </c>
      <c r="F4467" t="s">
        <v>16</v>
      </c>
      <c r="G4467">
        <v>186</v>
      </c>
      <c r="H4467">
        <v>0</v>
      </c>
      <c r="I4467">
        <v>5</v>
      </c>
      <c r="J4467">
        <v>191</v>
      </c>
      <c r="K4467" s="482">
        <v>0.97399999999999998</v>
      </c>
      <c r="L4467" s="482">
        <v>0</v>
      </c>
      <c r="M4467" s="482">
        <v>2.5999999999999999E-2</v>
      </c>
    </row>
    <row r="4468" spans="1:13" x14ac:dyDescent="0.2">
      <c r="A4468" t="s">
        <v>5975</v>
      </c>
      <c r="B4468" t="s">
        <v>15</v>
      </c>
      <c r="C4468" t="s">
        <v>1</v>
      </c>
      <c r="D4468" t="s">
        <v>3243</v>
      </c>
      <c r="E4468" t="s">
        <v>3244</v>
      </c>
      <c r="F4468" t="s">
        <v>16</v>
      </c>
      <c r="G4468">
        <v>74</v>
      </c>
      <c r="H4468">
        <v>1</v>
      </c>
      <c r="I4468">
        <v>2</v>
      </c>
      <c r="J4468">
        <v>77</v>
      </c>
      <c r="K4468" s="482">
        <v>0.96099999999999997</v>
      </c>
      <c r="L4468" s="482">
        <v>1.2999999999999999E-2</v>
      </c>
      <c r="M4468" s="482">
        <v>2.5999999999999999E-2</v>
      </c>
    </row>
    <row r="4469" spans="1:13" x14ac:dyDescent="0.2">
      <c r="A4469" t="s">
        <v>5976</v>
      </c>
      <c r="B4469" t="s">
        <v>15</v>
      </c>
      <c r="C4469" t="s">
        <v>1</v>
      </c>
      <c r="D4469" t="s">
        <v>3240</v>
      </c>
      <c r="E4469" t="s">
        <v>3241</v>
      </c>
      <c r="F4469" t="s">
        <v>16</v>
      </c>
      <c r="G4469">
        <v>19</v>
      </c>
      <c r="H4469">
        <v>0</v>
      </c>
      <c r="I4469">
        <v>1</v>
      </c>
      <c r="J4469">
        <v>20</v>
      </c>
      <c r="K4469" s="482">
        <v>0.95</v>
      </c>
      <c r="L4469" s="482">
        <v>0</v>
      </c>
      <c r="M4469" s="482">
        <v>0.05</v>
      </c>
    </row>
    <row r="4470" spans="1:13" x14ac:dyDescent="0.2">
      <c r="A4470" t="s">
        <v>5916</v>
      </c>
      <c r="B4470" t="s">
        <v>15</v>
      </c>
      <c r="C4470" t="s">
        <v>1</v>
      </c>
      <c r="D4470" t="s">
        <v>3400</v>
      </c>
      <c r="E4470" t="s">
        <v>3401</v>
      </c>
      <c r="F4470" t="s">
        <v>16</v>
      </c>
      <c r="G4470">
        <v>116</v>
      </c>
      <c r="H4470">
        <v>3</v>
      </c>
      <c r="I4470">
        <v>2</v>
      </c>
      <c r="J4470">
        <v>121</v>
      </c>
      <c r="K4470" s="482">
        <v>0.95899999999999996</v>
      </c>
      <c r="L4470" s="482">
        <v>2.5000000000000001E-2</v>
      </c>
      <c r="M4470" s="482">
        <v>1.7000000000000001E-2</v>
      </c>
    </row>
    <row r="4471" spans="1:13" x14ac:dyDescent="0.2">
      <c r="A4471" t="s">
        <v>5917</v>
      </c>
      <c r="B4471" t="s">
        <v>15</v>
      </c>
      <c r="C4471" t="s">
        <v>1</v>
      </c>
      <c r="D4471" t="s">
        <v>3397</v>
      </c>
      <c r="E4471" t="s">
        <v>3398</v>
      </c>
      <c r="F4471" t="s">
        <v>16</v>
      </c>
      <c r="G4471">
        <v>97</v>
      </c>
      <c r="H4471">
        <v>3</v>
      </c>
      <c r="I4471">
        <v>9</v>
      </c>
      <c r="J4471">
        <v>109</v>
      </c>
      <c r="K4471" s="482">
        <v>0.89</v>
      </c>
      <c r="L4471" s="482">
        <v>2.8000000000000001E-2</v>
      </c>
      <c r="M4471" s="482">
        <v>8.3000000000000004E-2</v>
      </c>
    </row>
    <row r="4472" spans="1:13" x14ac:dyDescent="0.2">
      <c r="A4472" t="s">
        <v>5918</v>
      </c>
      <c r="B4472" t="s">
        <v>15</v>
      </c>
      <c r="C4472" t="s">
        <v>1</v>
      </c>
      <c r="D4472" t="s">
        <v>3394</v>
      </c>
      <c r="E4472" t="s">
        <v>3395</v>
      </c>
      <c r="F4472" t="s">
        <v>16</v>
      </c>
      <c r="G4472">
        <v>183</v>
      </c>
      <c r="H4472">
        <v>2</v>
      </c>
      <c r="I4472">
        <v>11</v>
      </c>
      <c r="J4472">
        <v>196</v>
      </c>
      <c r="K4472" s="482">
        <v>0.93400000000000005</v>
      </c>
      <c r="L4472" s="482">
        <v>0.01</v>
      </c>
      <c r="M4472" s="482">
        <v>5.6000000000000001E-2</v>
      </c>
    </row>
    <row r="4473" spans="1:13" x14ac:dyDescent="0.2">
      <c r="A4473" t="s">
        <v>5919</v>
      </c>
      <c r="B4473" t="s">
        <v>15</v>
      </c>
      <c r="C4473" t="s">
        <v>1</v>
      </c>
      <c r="D4473" t="s">
        <v>3391</v>
      </c>
      <c r="E4473" t="s">
        <v>3392</v>
      </c>
      <c r="F4473" t="s">
        <v>16</v>
      </c>
      <c r="G4473">
        <v>54</v>
      </c>
      <c r="H4473">
        <v>1</v>
      </c>
      <c r="I4473">
        <v>5</v>
      </c>
      <c r="J4473">
        <v>60</v>
      </c>
      <c r="K4473" s="482">
        <v>0.9</v>
      </c>
      <c r="L4473" s="482">
        <v>1.7000000000000001E-2</v>
      </c>
      <c r="M4473" s="482">
        <v>8.3000000000000004E-2</v>
      </c>
    </row>
    <row r="4474" spans="1:13" x14ac:dyDescent="0.2">
      <c r="A4474" t="s">
        <v>5920</v>
      </c>
      <c r="B4474" t="s">
        <v>15</v>
      </c>
      <c r="C4474" t="s">
        <v>1</v>
      </c>
      <c r="D4474" t="s">
        <v>3388</v>
      </c>
      <c r="E4474" t="s">
        <v>3389</v>
      </c>
      <c r="F4474" t="s">
        <v>16</v>
      </c>
      <c r="G4474">
        <v>166</v>
      </c>
      <c r="H4474">
        <v>4</v>
      </c>
      <c r="I4474">
        <v>9</v>
      </c>
      <c r="J4474">
        <v>179</v>
      </c>
      <c r="K4474" s="482">
        <v>0.92700000000000005</v>
      </c>
      <c r="L4474" s="482">
        <v>2.1999999999999999E-2</v>
      </c>
      <c r="M4474" s="482">
        <v>0.05</v>
      </c>
    </row>
    <row r="4475" spans="1:13" x14ac:dyDescent="0.2">
      <c r="A4475" t="s">
        <v>5921</v>
      </c>
      <c r="B4475" t="s">
        <v>15</v>
      </c>
      <c r="C4475" t="s">
        <v>1</v>
      </c>
      <c r="D4475" t="s">
        <v>3385</v>
      </c>
      <c r="E4475" t="s">
        <v>3386</v>
      </c>
      <c r="F4475" t="s">
        <v>16</v>
      </c>
      <c r="G4475">
        <v>105</v>
      </c>
      <c r="H4475">
        <v>0</v>
      </c>
      <c r="I4475">
        <v>1</v>
      </c>
      <c r="J4475">
        <v>106</v>
      </c>
      <c r="K4475" s="482">
        <v>0.99099999999999999</v>
      </c>
      <c r="L4475" s="482">
        <v>0</v>
      </c>
      <c r="M4475" s="482">
        <v>8.9999999999999993E-3</v>
      </c>
    </row>
    <row r="4476" spans="1:13" x14ac:dyDescent="0.2">
      <c r="A4476" t="s">
        <v>5934</v>
      </c>
      <c r="B4476" t="s">
        <v>15</v>
      </c>
      <c r="C4476" t="s">
        <v>1</v>
      </c>
      <c r="D4476" t="s">
        <v>4342</v>
      </c>
      <c r="E4476" t="s">
        <v>4343</v>
      </c>
      <c r="F4476" t="s">
        <v>16</v>
      </c>
      <c r="G4476">
        <v>18</v>
      </c>
      <c r="H4476">
        <v>0</v>
      </c>
      <c r="I4476">
        <v>0</v>
      </c>
      <c r="J4476">
        <v>18</v>
      </c>
      <c r="K4476" s="482">
        <v>1</v>
      </c>
      <c r="L4476" s="482">
        <v>0</v>
      </c>
      <c r="M4476" s="482">
        <v>0</v>
      </c>
    </row>
    <row r="4477" spans="1:13" x14ac:dyDescent="0.2">
      <c r="A4477" t="s">
        <v>5935</v>
      </c>
      <c r="B4477" t="s">
        <v>15</v>
      </c>
      <c r="C4477" t="s">
        <v>1</v>
      </c>
      <c r="D4477" t="s">
        <v>4339</v>
      </c>
      <c r="E4477" t="s">
        <v>4340</v>
      </c>
      <c r="F4477" t="s">
        <v>16</v>
      </c>
      <c r="G4477">
        <v>139</v>
      </c>
      <c r="H4477">
        <v>1</v>
      </c>
      <c r="I4477">
        <v>5</v>
      </c>
      <c r="J4477">
        <v>145</v>
      </c>
      <c r="K4477" s="482">
        <v>0.95899999999999996</v>
      </c>
      <c r="L4477" s="482">
        <v>7.0000000000000001E-3</v>
      </c>
      <c r="M4477" s="482">
        <v>3.4000000000000002E-2</v>
      </c>
    </row>
    <row r="4478" spans="1:13" x14ac:dyDescent="0.2">
      <c r="A4478" t="s">
        <v>5922</v>
      </c>
      <c r="B4478" t="s">
        <v>15</v>
      </c>
      <c r="C4478" t="s">
        <v>1</v>
      </c>
      <c r="D4478" t="s">
        <v>3343</v>
      </c>
      <c r="E4478" t="s">
        <v>3344</v>
      </c>
      <c r="F4478" t="s">
        <v>16</v>
      </c>
      <c r="G4478">
        <v>67</v>
      </c>
      <c r="H4478">
        <v>2</v>
      </c>
      <c r="I4478">
        <v>1</v>
      </c>
      <c r="J4478">
        <v>70</v>
      </c>
      <c r="K4478" s="482">
        <v>0.95699999999999996</v>
      </c>
      <c r="L4478" s="482">
        <v>2.9000000000000001E-2</v>
      </c>
      <c r="M4478" s="482">
        <v>1.4E-2</v>
      </c>
    </row>
    <row r="4479" spans="1:13" x14ac:dyDescent="0.2">
      <c r="A4479" t="s">
        <v>5937</v>
      </c>
      <c r="B4479" t="s">
        <v>15</v>
      </c>
      <c r="C4479" t="s">
        <v>1</v>
      </c>
      <c r="D4479" t="s">
        <v>4334</v>
      </c>
      <c r="E4479" t="s">
        <v>4335</v>
      </c>
      <c r="F4479" t="s">
        <v>16</v>
      </c>
      <c r="G4479">
        <v>17</v>
      </c>
      <c r="H4479">
        <v>0</v>
      </c>
      <c r="I4479">
        <v>0</v>
      </c>
      <c r="J4479">
        <v>17</v>
      </c>
      <c r="K4479" s="482">
        <v>1</v>
      </c>
      <c r="L4479" s="482">
        <v>0</v>
      </c>
      <c r="M4479" s="482">
        <v>0</v>
      </c>
    </row>
    <row r="4480" spans="1:13" x14ac:dyDescent="0.2">
      <c r="A4480" t="s">
        <v>5991</v>
      </c>
      <c r="B4480" t="s">
        <v>15</v>
      </c>
      <c r="C4480" t="s">
        <v>1</v>
      </c>
      <c r="D4480" t="s">
        <v>4267</v>
      </c>
      <c r="E4480" t="s">
        <v>4268</v>
      </c>
      <c r="F4480" t="s">
        <v>16</v>
      </c>
      <c r="G4480">
        <v>50</v>
      </c>
      <c r="H4480">
        <v>1</v>
      </c>
      <c r="I4480">
        <v>5</v>
      </c>
      <c r="J4480">
        <v>56</v>
      </c>
      <c r="K4480" s="482">
        <v>0.89300000000000002</v>
      </c>
      <c r="L4480" s="482">
        <v>1.7999999999999999E-2</v>
      </c>
      <c r="M4480" s="482">
        <v>8.8999999999999996E-2</v>
      </c>
    </row>
    <row r="4481" spans="1:13" x14ac:dyDescent="0.2">
      <c r="A4481" t="s">
        <v>5939</v>
      </c>
      <c r="B4481" t="s">
        <v>15</v>
      </c>
      <c r="C4481" t="s">
        <v>1</v>
      </c>
      <c r="D4481" t="s">
        <v>3340</v>
      </c>
      <c r="E4481" t="s">
        <v>3341</v>
      </c>
      <c r="F4481" t="s">
        <v>16</v>
      </c>
      <c r="G4481">
        <v>209</v>
      </c>
      <c r="H4481">
        <v>2</v>
      </c>
      <c r="I4481">
        <v>6</v>
      </c>
      <c r="J4481">
        <v>217</v>
      </c>
      <c r="K4481" s="482">
        <v>0.96299999999999997</v>
      </c>
      <c r="L4481" s="482">
        <v>8.9999999999999993E-3</v>
      </c>
      <c r="M4481" s="482">
        <v>2.8000000000000001E-2</v>
      </c>
    </row>
    <row r="4482" spans="1:13" x14ac:dyDescent="0.2">
      <c r="A4482" t="s">
        <v>5992</v>
      </c>
      <c r="B4482" t="s">
        <v>15</v>
      </c>
      <c r="C4482" t="s">
        <v>1</v>
      </c>
      <c r="D4482" t="s">
        <v>3198</v>
      </c>
      <c r="E4482" t="s">
        <v>3199</v>
      </c>
      <c r="F4482" t="s">
        <v>16</v>
      </c>
      <c r="G4482">
        <v>100</v>
      </c>
      <c r="H4482">
        <v>1</v>
      </c>
      <c r="I4482">
        <v>7</v>
      </c>
      <c r="J4482">
        <v>108</v>
      </c>
      <c r="K4482" s="482">
        <v>0.92600000000000005</v>
      </c>
      <c r="L4482" s="482">
        <v>8.9999999999999993E-3</v>
      </c>
      <c r="M4482" s="482">
        <v>6.5000000000000002E-2</v>
      </c>
    </row>
    <row r="4483" spans="1:13" x14ac:dyDescent="0.2">
      <c r="A4483" t="s">
        <v>5986</v>
      </c>
      <c r="B4483" t="s">
        <v>15</v>
      </c>
      <c r="C4483" t="s">
        <v>1</v>
      </c>
      <c r="D4483" t="s">
        <v>3213</v>
      </c>
      <c r="E4483" t="s">
        <v>3214</v>
      </c>
      <c r="F4483" t="s">
        <v>16</v>
      </c>
      <c r="G4483">
        <v>266</v>
      </c>
      <c r="H4483">
        <v>3</v>
      </c>
      <c r="I4483">
        <v>29</v>
      </c>
      <c r="J4483">
        <v>298</v>
      </c>
      <c r="K4483" s="482">
        <v>0.89300000000000002</v>
      </c>
      <c r="L4483" s="482">
        <v>0.01</v>
      </c>
      <c r="M4483" s="482">
        <v>9.7000000000000003E-2</v>
      </c>
    </row>
    <row r="4484" spans="1:13" x14ac:dyDescent="0.2">
      <c r="A4484" t="s">
        <v>5987</v>
      </c>
      <c r="B4484" t="s">
        <v>15</v>
      </c>
      <c r="C4484" t="s">
        <v>1</v>
      </c>
      <c r="D4484" t="s">
        <v>3210</v>
      </c>
      <c r="E4484" t="s">
        <v>3211</v>
      </c>
      <c r="F4484" t="s">
        <v>16</v>
      </c>
      <c r="G4484">
        <v>13</v>
      </c>
      <c r="H4484">
        <v>1</v>
      </c>
      <c r="I4484">
        <v>0</v>
      </c>
      <c r="J4484">
        <v>14</v>
      </c>
      <c r="K4484" s="482">
        <v>0.92900000000000005</v>
      </c>
      <c r="L4484" s="482">
        <v>7.0999999999999994E-2</v>
      </c>
      <c r="M4484" s="482">
        <v>0</v>
      </c>
    </row>
    <row r="4485" spans="1:13" x14ac:dyDescent="0.2">
      <c r="A4485" t="s">
        <v>5988</v>
      </c>
      <c r="B4485" t="s">
        <v>15</v>
      </c>
      <c r="C4485" t="s">
        <v>1</v>
      </c>
      <c r="D4485" t="s">
        <v>3409</v>
      </c>
      <c r="E4485" t="s">
        <v>3410</v>
      </c>
      <c r="F4485" t="s">
        <v>16</v>
      </c>
      <c r="G4485">
        <v>74</v>
      </c>
      <c r="H4485">
        <v>1</v>
      </c>
      <c r="I4485">
        <v>3</v>
      </c>
      <c r="J4485">
        <v>78</v>
      </c>
      <c r="K4485" s="482">
        <v>0.94899999999999995</v>
      </c>
      <c r="L4485" s="482">
        <v>1.2999999999999999E-2</v>
      </c>
      <c r="M4485" s="482">
        <v>3.7999999999999999E-2</v>
      </c>
    </row>
    <row r="4486" spans="1:13" x14ac:dyDescent="0.2">
      <c r="A4486" t="s">
        <v>5748</v>
      </c>
      <c r="B4486" t="s">
        <v>15</v>
      </c>
      <c r="C4486" t="s">
        <v>1</v>
      </c>
      <c r="D4486" t="s">
        <v>4553</v>
      </c>
      <c r="E4486" t="s">
        <v>4554</v>
      </c>
      <c r="F4486" t="s">
        <v>16</v>
      </c>
      <c r="G4486">
        <v>193</v>
      </c>
      <c r="H4486">
        <v>4</v>
      </c>
      <c r="I4486">
        <v>7</v>
      </c>
      <c r="J4486">
        <v>204</v>
      </c>
      <c r="K4486" s="482">
        <v>0.94599999999999995</v>
      </c>
      <c r="L4486" s="482">
        <v>0.02</v>
      </c>
      <c r="M4486" s="482">
        <v>3.4000000000000002E-2</v>
      </c>
    </row>
    <row r="4487" spans="1:13" x14ac:dyDescent="0.2">
      <c r="A4487" t="s">
        <v>5911</v>
      </c>
      <c r="B4487" t="s">
        <v>15</v>
      </c>
      <c r="C4487" t="s">
        <v>1</v>
      </c>
      <c r="D4487" t="s">
        <v>4370</v>
      </c>
      <c r="E4487" t="s">
        <v>4371</v>
      </c>
      <c r="F4487" t="s">
        <v>16</v>
      </c>
      <c r="G4487">
        <v>54</v>
      </c>
      <c r="H4487">
        <v>0</v>
      </c>
      <c r="I4487">
        <v>5</v>
      </c>
      <c r="J4487">
        <v>59</v>
      </c>
      <c r="K4487" s="482">
        <v>0.91500000000000004</v>
      </c>
      <c r="L4487" s="482">
        <v>0</v>
      </c>
      <c r="M4487" s="482">
        <v>8.5000000000000006E-2</v>
      </c>
    </row>
    <row r="4488" spans="1:13" x14ac:dyDescent="0.2">
      <c r="A4488" t="s">
        <v>5747</v>
      </c>
      <c r="B4488" t="s">
        <v>15</v>
      </c>
      <c r="C4488" t="s">
        <v>1</v>
      </c>
      <c r="D4488" t="s">
        <v>3906</v>
      </c>
      <c r="E4488" t="s">
        <v>3907</v>
      </c>
      <c r="F4488" t="s">
        <v>16</v>
      </c>
      <c r="G4488">
        <v>226</v>
      </c>
      <c r="H4488">
        <v>4</v>
      </c>
      <c r="I4488">
        <v>19</v>
      </c>
      <c r="J4488">
        <v>249</v>
      </c>
      <c r="K4488" s="482">
        <v>0.90800000000000003</v>
      </c>
      <c r="L4488" s="482">
        <v>1.6E-2</v>
      </c>
      <c r="M4488" s="482">
        <v>7.5999999999999998E-2</v>
      </c>
    </row>
    <row r="4489" spans="1:13" x14ac:dyDescent="0.2">
      <c r="A4489" t="s">
        <v>5749</v>
      </c>
      <c r="B4489" t="s">
        <v>15</v>
      </c>
      <c r="C4489" t="s">
        <v>1</v>
      </c>
      <c r="D4489" t="s">
        <v>3897</v>
      </c>
      <c r="E4489" t="s">
        <v>3898</v>
      </c>
      <c r="F4489" t="s">
        <v>16</v>
      </c>
      <c r="G4489">
        <v>41</v>
      </c>
      <c r="H4489">
        <v>2</v>
      </c>
      <c r="I4489">
        <v>11</v>
      </c>
      <c r="J4489">
        <v>54</v>
      </c>
      <c r="K4489" s="482">
        <v>0.75900000000000001</v>
      </c>
      <c r="L4489" s="482">
        <v>3.6999999999999998E-2</v>
      </c>
      <c r="M4489" s="482">
        <v>0.20399999999999999</v>
      </c>
    </row>
    <row r="4490" spans="1:13" x14ac:dyDescent="0.2">
      <c r="A4490" t="s">
        <v>5750</v>
      </c>
      <c r="B4490" t="s">
        <v>15</v>
      </c>
      <c r="C4490" t="s">
        <v>1</v>
      </c>
      <c r="D4490" t="s">
        <v>3894</v>
      </c>
      <c r="E4490" t="s">
        <v>3895</v>
      </c>
      <c r="F4490" t="s">
        <v>16</v>
      </c>
      <c r="G4490">
        <v>207</v>
      </c>
      <c r="H4490">
        <v>1</v>
      </c>
      <c r="I4490">
        <v>5</v>
      </c>
      <c r="J4490">
        <v>213</v>
      </c>
      <c r="K4490" s="482">
        <v>0.97199999999999998</v>
      </c>
      <c r="L4490" s="482">
        <v>5.0000000000000001E-3</v>
      </c>
      <c r="M4490" s="482">
        <v>2.3E-2</v>
      </c>
    </row>
    <row r="4491" spans="1:13" x14ac:dyDescent="0.2">
      <c r="A4491" t="s">
        <v>5751</v>
      </c>
      <c r="B4491" t="s">
        <v>15</v>
      </c>
      <c r="C4491" t="s">
        <v>1</v>
      </c>
      <c r="D4491" t="s">
        <v>3891</v>
      </c>
      <c r="E4491" t="s">
        <v>3892</v>
      </c>
      <c r="F4491" t="s">
        <v>16</v>
      </c>
      <c r="G4491">
        <v>135</v>
      </c>
      <c r="H4491">
        <v>3</v>
      </c>
      <c r="I4491">
        <v>12</v>
      </c>
      <c r="J4491">
        <v>150</v>
      </c>
      <c r="K4491" s="482">
        <v>0.9</v>
      </c>
      <c r="L4491" s="482">
        <v>0.02</v>
      </c>
      <c r="M4491" s="482">
        <v>0.08</v>
      </c>
    </row>
    <row r="4492" spans="1:13" x14ac:dyDescent="0.2">
      <c r="A4492" t="s">
        <v>5753</v>
      </c>
      <c r="B4492" t="s">
        <v>15</v>
      </c>
      <c r="C4492" t="s">
        <v>1</v>
      </c>
      <c r="D4492" t="s">
        <v>3885</v>
      </c>
      <c r="E4492" t="s">
        <v>3886</v>
      </c>
      <c r="F4492" t="s">
        <v>16</v>
      </c>
      <c r="G4492">
        <v>299</v>
      </c>
      <c r="H4492">
        <v>4</v>
      </c>
      <c r="I4492">
        <v>17</v>
      </c>
      <c r="J4492">
        <v>320</v>
      </c>
      <c r="K4492" s="482">
        <v>0.93400000000000005</v>
      </c>
      <c r="L4492" s="482">
        <v>1.2999999999999999E-2</v>
      </c>
      <c r="M4492" s="482">
        <v>5.2999999999999999E-2</v>
      </c>
    </row>
    <row r="4493" spans="1:13" x14ac:dyDescent="0.2">
      <c r="A4493" t="s">
        <v>5877</v>
      </c>
      <c r="B4493" t="s">
        <v>15</v>
      </c>
      <c r="C4493" t="s">
        <v>1</v>
      </c>
      <c r="D4493" t="s">
        <v>3515</v>
      </c>
      <c r="E4493" t="s">
        <v>343</v>
      </c>
      <c r="F4493" t="s">
        <v>16</v>
      </c>
      <c r="G4493">
        <v>302</v>
      </c>
      <c r="H4493">
        <v>2</v>
      </c>
      <c r="I4493">
        <v>20</v>
      </c>
      <c r="J4493">
        <v>324</v>
      </c>
      <c r="K4493" s="482">
        <v>0.93200000000000005</v>
      </c>
      <c r="L4493" s="482">
        <v>6.0000000000000001E-3</v>
      </c>
      <c r="M4493" s="482">
        <v>6.2E-2</v>
      </c>
    </row>
    <row r="4494" spans="1:13" x14ac:dyDescent="0.2">
      <c r="A4494" t="s">
        <v>5752</v>
      </c>
      <c r="B4494" t="s">
        <v>15</v>
      </c>
      <c r="C4494" t="s">
        <v>1</v>
      </c>
      <c r="D4494" t="s">
        <v>3888</v>
      </c>
      <c r="E4494" t="s">
        <v>3889</v>
      </c>
      <c r="F4494" t="s">
        <v>16</v>
      </c>
      <c r="G4494">
        <v>367</v>
      </c>
      <c r="H4494">
        <v>9</v>
      </c>
      <c r="I4494">
        <v>38</v>
      </c>
      <c r="J4494">
        <v>414</v>
      </c>
      <c r="K4494" s="482">
        <v>0.88600000000000001</v>
      </c>
      <c r="L4494" s="482">
        <v>2.1999999999999999E-2</v>
      </c>
      <c r="M4494" s="482">
        <v>9.1999999999999998E-2</v>
      </c>
    </row>
    <row r="4495" spans="1:13" x14ac:dyDescent="0.2">
      <c r="A4495" t="s">
        <v>5875</v>
      </c>
      <c r="B4495" t="s">
        <v>15</v>
      </c>
      <c r="C4495" t="s">
        <v>1</v>
      </c>
      <c r="D4495" t="s">
        <v>3520</v>
      </c>
      <c r="E4495" t="s">
        <v>341</v>
      </c>
      <c r="F4495" t="s">
        <v>16</v>
      </c>
      <c r="G4495">
        <v>104</v>
      </c>
      <c r="H4495">
        <v>1</v>
      </c>
      <c r="I4495">
        <v>7</v>
      </c>
      <c r="J4495">
        <v>112</v>
      </c>
      <c r="K4495" s="482">
        <v>0.92900000000000005</v>
      </c>
      <c r="L4495" s="482">
        <v>8.9999999999999993E-3</v>
      </c>
      <c r="M4495" s="482">
        <v>6.3E-2</v>
      </c>
    </row>
    <row r="4496" spans="1:13" x14ac:dyDescent="0.2">
      <c r="A4496" t="s">
        <v>5969</v>
      </c>
      <c r="B4496" t="s">
        <v>15</v>
      </c>
      <c r="C4496" t="s">
        <v>1</v>
      </c>
      <c r="D4496" t="s">
        <v>3261</v>
      </c>
      <c r="E4496" t="s">
        <v>3262</v>
      </c>
      <c r="F4496" t="s">
        <v>16</v>
      </c>
      <c r="G4496">
        <v>39</v>
      </c>
      <c r="H4496">
        <v>0</v>
      </c>
      <c r="I4496">
        <v>3</v>
      </c>
      <c r="J4496">
        <v>42</v>
      </c>
      <c r="K4496" s="482">
        <v>0.92900000000000005</v>
      </c>
      <c r="L4496" s="482">
        <v>0</v>
      </c>
      <c r="M4496" s="482">
        <v>7.0999999999999994E-2</v>
      </c>
    </row>
    <row r="4497" spans="1:13" x14ac:dyDescent="0.2">
      <c r="A4497" t="s">
        <v>5970</v>
      </c>
      <c r="B4497" t="s">
        <v>15</v>
      </c>
      <c r="C4497" t="s">
        <v>1</v>
      </c>
      <c r="D4497" t="s">
        <v>3258</v>
      </c>
      <c r="E4497" t="s">
        <v>3259</v>
      </c>
      <c r="F4497" t="s">
        <v>16</v>
      </c>
      <c r="G4497">
        <v>93</v>
      </c>
      <c r="H4497">
        <v>0</v>
      </c>
      <c r="I4497">
        <v>2</v>
      </c>
      <c r="J4497">
        <v>95</v>
      </c>
      <c r="K4497" s="482">
        <v>0.97899999999999998</v>
      </c>
      <c r="L4497" s="482">
        <v>0</v>
      </c>
      <c r="M4497" s="482">
        <v>2.1000000000000001E-2</v>
      </c>
    </row>
    <row r="4498" spans="1:13" x14ac:dyDescent="0.2">
      <c r="A4498" t="s">
        <v>5971</v>
      </c>
      <c r="B4498" t="s">
        <v>15</v>
      </c>
      <c r="C4498" t="s">
        <v>1</v>
      </c>
      <c r="D4498" t="s">
        <v>3255</v>
      </c>
      <c r="E4498" t="s">
        <v>3256</v>
      </c>
      <c r="F4498" t="s">
        <v>16</v>
      </c>
      <c r="G4498" t="s">
        <v>53</v>
      </c>
      <c r="H4498">
        <v>0</v>
      </c>
      <c r="I4498" t="s">
        <v>53</v>
      </c>
      <c r="J4498" t="s">
        <v>53</v>
      </c>
      <c r="K4498" t="s">
        <v>53</v>
      </c>
      <c r="L4498" t="s">
        <v>53</v>
      </c>
      <c r="M4498" t="s">
        <v>53</v>
      </c>
    </row>
    <row r="4499" spans="1:13" x14ac:dyDescent="0.2">
      <c r="A4499" t="s">
        <v>5972</v>
      </c>
      <c r="B4499" t="s">
        <v>15</v>
      </c>
      <c r="C4499" t="s">
        <v>1</v>
      </c>
      <c r="D4499" t="s">
        <v>3252</v>
      </c>
      <c r="E4499" t="s">
        <v>3253</v>
      </c>
      <c r="F4499" t="s">
        <v>16</v>
      </c>
      <c r="G4499">
        <v>6</v>
      </c>
      <c r="H4499">
        <v>0</v>
      </c>
      <c r="I4499">
        <v>0</v>
      </c>
      <c r="J4499">
        <v>6</v>
      </c>
      <c r="K4499" s="482">
        <v>1</v>
      </c>
      <c r="L4499" s="482">
        <v>0</v>
      </c>
      <c r="M4499" s="482">
        <v>0</v>
      </c>
    </row>
    <row r="4500" spans="1:13" x14ac:dyDescent="0.2">
      <c r="A4500" t="s">
        <v>5966</v>
      </c>
      <c r="B4500" t="s">
        <v>15</v>
      </c>
      <c r="C4500" t="s">
        <v>1</v>
      </c>
      <c r="D4500" t="s">
        <v>4302</v>
      </c>
      <c r="E4500" t="s">
        <v>4303</v>
      </c>
      <c r="F4500" t="s">
        <v>16</v>
      </c>
      <c r="G4500">
        <v>30</v>
      </c>
      <c r="H4500">
        <v>0</v>
      </c>
      <c r="I4500">
        <v>0</v>
      </c>
      <c r="J4500">
        <v>30</v>
      </c>
      <c r="K4500" s="482">
        <v>1</v>
      </c>
      <c r="L4500" s="482">
        <v>0</v>
      </c>
      <c r="M4500" s="482">
        <v>0</v>
      </c>
    </row>
    <row r="4501" spans="1:13" x14ac:dyDescent="0.2">
      <c r="A4501" t="s">
        <v>5967</v>
      </c>
      <c r="B4501" t="s">
        <v>15</v>
      </c>
      <c r="C4501" t="s">
        <v>1</v>
      </c>
      <c r="D4501" t="s">
        <v>4299</v>
      </c>
      <c r="E4501" t="s">
        <v>4300</v>
      </c>
      <c r="F4501" t="s">
        <v>16</v>
      </c>
      <c r="G4501">
        <v>164</v>
      </c>
      <c r="H4501">
        <v>1</v>
      </c>
      <c r="I4501">
        <v>2</v>
      </c>
      <c r="J4501">
        <v>167</v>
      </c>
      <c r="K4501" s="482">
        <v>0.98199999999999998</v>
      </c>
      <c r="L4501" s="482">
        <v>6.0000000000000001E-3</v>
      </c>
      <c r="M4501" s="482">
        <v>1.2E-2</v>
      </c>
    </row>
    <row r="4502" spans="1:13" x14ac:dyDescent="0.2">
      <c r="A4502" t="s">
        <v>5968</v>
      </c>
      <c r="B4502" t="s">
        <v>15</v>
      </c>
      <c r="C4502" t="s">
        <v>1</v>
      </c>
      <c r="D4502" t="s">
        <v>3264</v>
      </c>
      <c r="E4502" t="s">
        <v>3265</v>
      </c>
      <c r="F4502" t="s">
        <v>16</v>
      </c>
      <c r="G4502">
        <v>96</v>
      </c>
      <c r="H4502">
        <v>0</v>
      </c>
      <c r="I4502">
        <v>4</v>
      </c>
      <c r="J4502">
        <v>100</v>
      </c>
      <c r="K4502" s="482">
        <v>0.96</v>
      </c>
      <c r="L4502" s="482">
        <v>0</v>
      </c>
      <c r="M4502" s="482">
        <v>0.04</v>
      </c>
    </row>
    <row r="4503" spans="1:13" x14ac:dyDescent="0.2">
      <c r="A4503" t="s">
        <v>5944</v>
      </c>
      <c r="B4503" t="s">
        <v>15</v>
      </c>
      <c r="C4503" t="s">
        <v>1</v>
      </c>
      <c r="D4503" t="s">
        <v>3322</v>
      </c>
      <c r="E4503" t="s">
        <v>3323</v>
      </c>
      <c r="F4503" t="s">
        <v>16</v>
      </c>
      <c r="G4503" t="s">
        <v>53</v>
      </c>
      <c r="H4503" t="s">
        <v>53</v>
      </c>
      <c r="I4503">
        <v>0</v>
      </c>
      <c r="J4503" t="s">
        <v>53</v>
      </c>
      <c r="K4503" t="s">
        <v>53</v>
      </c>
      <c r="L4503" t="s">
        <v>53</v>
      </c>
      <c r="M4503" t="s">
        <v>53</v>
      </c>
    </row>
    <row r="4504" spans="1:13" x14ac:dyDescent="0.2">
      <c r="A4504" t="s">
        <v>5942</v>
      </c>
      <c r="B4504" t="s">
        <v>15</v>
      </c>
      <c r="C4504" t="s">
        <v>1</v>
      </c>
      <c r="D4504" t="s">
        <v>3328</v>
      </c>
      <c r="E4504" t="s">
        <v>3329</v>
      </c>
      <c r="F4504" t="s">
        <v>16</v>
      </c>
      <c r="G4504">
        <v>91</v>
      </c>
      <c r="H4504">
        <v>0</v>
      </c>
      <c r="I4504">
        <v>5</v>
      </c>
      <c r="J4504">
        <v>96</v>
      </c>
      <c r="K4504" s="482">
        <v>0.94799999999999995</v>
      </c>
      <c r="L4504" s="482">
        <v>0</v>
      </c>
      <c r="M4504" s="482">
        <v>5.1999999999999998E-2</v>
      </c>
    </row>
    <row r="4505" spans="1:13" x14ac:dyDescent="0.2">
      <c r="A4505" t="s">
        <v>5779</v>
      </c>
      <c r="B4505" t="s">
        <v>15</v>
      </c>
      <c r="C4505" t="s">
        <v>1</v>
      </c>
      <c r="D4505" t="s">
        <v>3745</v>
      </c>
      <c r="E4505" t="s">
        <v>3746</v>
      </c>
      <c r="F4505" t="s">
        <v>16</v>
      </c>
      <c r="G4505">
        <v>262</v>
      </c>
      <c r="H4505">
        <v>1</v>
      </c>
      <c r="I4505">
        <v>12</v>
      </c>
      <c r="J4505">
        <v>275</v>
      </c>
      <c r="K4505" s="482">
        <v>0.95299999999999996</v>
      </c>
      <c r="L4505" s="482">
        <v>4.0000000000000001E-3</v>
      </c>
      <c r="M4505" s="482">
        <v>4.3999999999999997E-2</v>
      </c>
    </row>
    <row r="4506" spans="1:13" x14ac:dyDescent="0.2">
      <c r="A4506" t="s">
        <v>5900</v>
      </c>
      <c r="B4506" t="s">
        <v>15</v>
      </c>
      <c r="C4506" t="s">
        <v>1</v>
      </c>
      <c r="D4506" t="s">
        <v>3445</v>
      </c>
      <c r="E4506" t="s">
        <v>3446</v>
      </c>
      <c r="F4506" t="s">
        <v>16</v>
      </c>
      <c r="G4506">
        <v>93</v>
      </c>
      <c r="H4506">
        <v>2</v>
      </c>
      <c r="I4506">
        <v>12</v>
      </c>
      <c r="J4506">
        <v>107</v>
      </c>
      <c r="K4506" s="482">
        <v>0.86899999999999999</v>
      </c>
      <c r="L4506" s="482">
        <v>1.9E-2</v>
      </c>
      <c r="M4506" s="482">
        <v>0.112</v>
      </c>
    </row>
    <row r="4507" spans="1:13" x14ac:dyDescent="0.2">
      <c r="A4507" t="s">
        <v>5901</v>
      </c>
      <c r="B4507" t="s">
        <v>15</v>
      </c>
      <c r="C4507" t="s">
        <v>1</v>
      </c>
      <c r="D4507" t="s">
        <v>3442</v>
      </c>
      <c r="E4507" t="s">
        <v>3443</v>
      </c>
      <c r="F4507" t="s">
        <v>16</v>
      </c>
      <c r="G4507">
        <v>462</v>
      </c>
      <c r="H4507">
        <v>4</v>
      </c>
      <c r="I4507">
        <v>15</v>
      </c>
      <c r="J4507">
        <v>481</v>
      </c>
      <c r="K4507" s="482">
        <v>0.96</v>
      </c>
      <c r="L4507" s="482">
        <v>8.0000000000000002E-3</v>
      </c>
      <c r="M4507" s="482">
        <v>3.1E-2</v>
      </c>
    </row>
    <row r="4508" spans="1:13" x14ac:dyDescent="0.2">
      <c r="A4508" t="s">
        <v>5909</v>
      </c>
      <c r="B4508" t="s">
        <v>15</v>
      </c>
      <c r="C4508" t="s">
        <v>1</v>
      </c>
      <c r="D4508" t="s">
        <v>3424</v>
      </c>
      <c r="E4508" t="s">
        <v>3425</v>
      </c>
      <c r="F4508" t="s">
        <v>16</v>
      </c>
      <c r="G4508">
        <v>126</v>
      </c>
      <c r="H4508">
        <v>1</v>
      </c>
      <c r="I4508">
        <v>4</v>
      </c>
      <c r="J4508">
        <v>131</v>
      </c>
      <c r="K4508" s="482">
        <v>0.96199999999999997</v>
      </c>
      <c r="L4508" s="482">
        <v>8.0000000000000002E-3</v>
      </c>
      <c r="M4508" s="482">
        <v>3.1E-2</v>
      </c>
    </row>
    <row r="4509" spans="1:13" x14ac:dyDescent="0.2">
      <c r="A4509" t="s">
        <v>5910</v>
      </c>
      <c r="B4509" t="s">
        <v>15</v>
      </c>
      <c r="C4509" t="s">
        <v>1</v>
      </c>
      <c r="D4509" t="s">
        <v>3421</v>
      </c>
      <c r="E4509" t="s">
        <v>3422</v>
      </c>
      <c r="F4509" t="s">
        <v>16</v>
      </c>
      <c r="G4509">
        <v>295</v>
      </c>
      <c r="H4509">
        <v>4</v>
      </c>
      <c r="I4509">
        <v>21</v>
      </c>
      <c r="J4509">
        <v>320</v>
      </c>
      <c r="K4509" s="482">
        <v>0.92200000000000004</v>
      </c>
      <c r="L4509" s="482">
        <v>1.2999999999999999E-2</v>
      </c>
      <c r="M4509" s="482">
        <v>6.6000000000000003E-2</v>
      </c>
    </row>
    <row r="4510" spans="1:13" x14ac:dyDescent="0.2">
      <c r="A4510" t="s">
        <v>5887</v>
      </c>
      <c r="B4510" t="s">
        <v>15</v>
      </c>
      <c r="C4510" t="s">
        <v>1</v>
      </c>
      <c r="D4510" t="s">
        <v>3485</v>
      </c>
      <c r="E4510" t="s">
        <v>3486</v>
      </c>
      <c r="F4510" t="s">
        <v>16</v>
      </c>
      <c r="G4510">
        <v>72</v>
      </c>
      <c r="H4510">
        <v>0</v>
      </c>
      <c r="I4510">
        <v>12</v>
      </c>
      <c r="J4510">
        <v>84</v>
      </c>
      <c r="K4510" s="482">
        <v>0.85699999999999998</v>
      </c>
      <c r="L4510" s="482">
        <v>0</v>
      </c>
      <c r="M4510" s="482">
        <v>0.14299999999999999</v>
      </c>
    </row>
    <row r="4511" spans="1:13" x14ac:dyDescent="0.2">
      <c r="A4511" t="s">
        <v>5888</v>
      </c>
      <c r="B4511" t="s">
        <v>15</v>
      </c>
      <c r="C4511" t="s">
        <v>1</v>
      </c>
      <c r="D4511" t="s">
        <v>3482</v>
      </c>
      <c r="E4511" t="s">
        <v>3483</v>
      </c>
      <c r="F4511" t="s">
        <v>16</v>
      </c>
      <c r="G4511">
        <v>540</v>
      </c>
      <c r="H4511">
        <v>8</v>
      </c>
      <c r="I4511">
        <v>21</v>
      </c>
      <c r="J4511">
        <v>569</v>
      </c>
      <c r="K4511" s="482">
        <v>0.94899999999999995</v>
      </c>
      <c r="L4511" s="482">
        <v>1.4E-2</v>
      </c>
      <c r="M4511" s="482">
        <v>3.6999999999999998E-2</v>
      </c>
    </row>
    <row r="4512" spans="1:13" x14ac:dyDescent="0.2">
      <c r="A4512" t="s">
        <v>5889</v>
      </c>
      <c r="B4512" t="s">
        <v>15</v>
      </c>
      <c r="C4512" t="s">
        <v>1</v>
      </c>
      <c r="D4512" t="s">
        <v>3478</v>
      </c>
      <c r="E4512" t="s">
        <v>3479</v>
      </c>
      <c r="F4512" t="s">
        <v>16</v>
      </c>
      <c r="G4512">
        <v>143</v>
      </c>
      <c r="H4512">
        <v>1</v>
      </c>
      <c r="I4512">
        <v>5</v>
      </c>
      <c r="J4512">
        <v>149</v>
      </c>
      <c r="K4512" s="482">
        <v>0.96</v>
      </c>
      <c r="L4512" s="482">
        <v>7.0000000000000001E-3</v>
      </c>
      <c r="M4512" s="482">
        <v>3.4000000000000002E-2</v>
      </c>
    </row>
    <row r="4513" spans="1:13" x14ac:dyDescent="0.2">
      <c r="A4513" t="s">
        <v>5890</v>
      </c>
      <c r="B4513" t="s">
        <v>15</v>
      </c>
      <c r="C4513" t="s">
        <v>1</v>
      </c>
      <c r="D4513" t="s">
        <v>3475</v>
      </c>
      <c r="E4513" t="s">
        <v>3476</v>
      </c>
      <c r="F4513" t="s">
        <v>16</v>
      </c>
      <c r="G4513">
        <v>175</v>
      </c>
      <c r="H4513">
        <v>2</v>
      </c>
      <c r="I4513">
        <v>17</v>
      </c>
      <c r="J4513">
        <v>194</v>
      </c>
      <c r="K4513" s="482">
        <v>0.90200000000000002</v>
      </c>
      <c r="L4513" s="482">
        <v>0.01</v>
      </c>
      <c r="M4513" s="482">
        <v>8.7999999999999995E-2</v>
      </c>
    </row>
    <row r="4514" spans="1:13" x14ac:dyDescent="0.2">
      <c r="A4514" t="s">
        <v>5891</v>
      </c>
      <c r="B4514" t="s">
        <v>15</v>
      </c>
      <c r="C4514" t="s">
        <v>1</v>
      </c>
      <c r="D4514" t="s">
        <v>3472</v>
      </c>
      <c r="E4514" t="s">
        <v>3473</v>
      </c>
      <c r="F4514" t="s">
        <v>16</v>
      </c>
      <c r="G4514">
        <v>170</v>
      </c>
      <c r="H4514">
        <v>1</v>
      </c>
      <c r="I4514">
        <v>6</v>
      </c>
      <c r="J4514">
        <v>177</v>
      </c>
      <c r="K4514" s="482">
        <v>0.96</v>
      </c>
      <c r="L4514" s="482">
        <v>6.0000000000000001E-3</v>
      </c>
      <c r="M4514" s="482">
        <v>3.4000000000000002E-2</v>
      </c>
    </row>
    <row r="4515" spans="1:13" x14ac:dyDescent="0.2">
      <c r="A4515" t="s">
        <v>5892</v>
      </c>
      <c r="B4515" t="s">
        <v>15</v>
      </c>
      <c r="C4515" t="s">
        <v>1</v>
      </c>
      <c r="D4515" t="s">
        <v>3469</v>
      </c>
      <c r="E4515" t="s">
        <v>3470</v>
      </c>
      <c r="F4515" t="s">
        <v>16</v>
      </c>
      <c r="G4515" t="s">
        <v>53</v>
      </c>
      <c r="H4515">
        <v>0</v>
      </c>
      <c r="I4515">
        <v>0</v>
      </c>
      <c r="J4515" t="s">
        <v>53</v>
      </c>
      <c r="K4515" t="s">
        <v>53</v>
      </c>
      <c r="L4515" t="s">
        <v>53</v>
      </c>
      <c r="M4515" t="s">
        <v>53</v>
      </c>
    </row>
    <row r="4516" spans="1:13" x14ac:dyDescent="0.2">
      <c r="A4516" t="s">
        <v>5893</v>
      </c>
      <c r="B4516" t="s">
        <v>15</v>
      </c>
      <c r="C4516" t="s">
        <v>1</v>
      </c>
      <c r="D4516" t="s">
        <v>3466</v>
      </c>
      <c r="E4516" t="s">
        <v>3467</v>
      </c>
      <c r="F4516" t="s">
        <v>16</v>
      </c>
      <c r="G4516">
        <v>511</v>
      </c>
      <c r="H4516">
        <v>5</v>
      </c>
      <c r="I4516">
        <v>23</v>
      </c>
      <c r="J4516">
        <v>539</v>
      </c>
      <c r="K4516" s="482">
        <v>0.94799999999999995</v>
      </c>
      <c r="L4516" s="482">
        <v>8.9999999999999993E-3</v>
      </c>
      <c r="M4516" s="482">
        <v>4.2999999999999997E-2</v>
      </c>
    </row>
    <row r="4517" spans="1:13" x14ac:dyDescent="0.2">
      <c r="A4517" t="s">
        <v>5894</v>
      </c>
      <c r="B4517" t="s">
        <v>15</v>
      </c>
      <c r="C4517" t="s">
        <v>1</v>
      </c>
      <c r="D4517" t="s">
        <v>3463</v>
      </c>
      <c r="E4517" t="s">
        <v>3464</v>
      </c>
      <c r="F4517" t="s">
        <v>16</v>
      </c>
      <c r="G4517">
        <v>194</v>
      </c>
      <c r="H4517">
        <v>3</v>
      </c>
      <c r="I4517">
        <v>13</v>
      </c>
      <c r="J4517">
        <v>210</v>
      </c>
      <c r="K4517" s="482">
        <v>0.92400000000000004</v>
      </c>
      <c r="L4517" s="482">
        <v>1.4E-2</v>
      </c>
      <c r="M4517" s="482">
        <v>6.2E-2</v>
      </c>
    </row>
    <row r="4518" spans="1:13" x14ac:dyDescent="0.2">
      <c r="A4518" t="s">
        <v>5895</v>
      </c>
      <c r="B4518" t="s">
        <v>15</v>
      </c>
      <c r="C4518" t="s">
        <v>1</v>
      </c>
      <c r="D4518" t="s">
        <v>3460</v>
      </c>
      <c r="E4518" t="s">
        <v>3461</v>
      </c>
      <c r="F4518" t="s">
        <v>16</v>
      </c>
      <c r="G4518">
        <v>169</v>
      </c>
      <c r="H4518">
        <v>3</v>
      </c>
      <c r="I4518">
        <v>21</v>
      </c>
      <c r="J4518">
        <v>193</v>
      </c>
      <c r="K4518" s="482">
        <v>0.876</v>
      </c>
      <c r="L4518" s="482">
        <v>1.6E-2</v>
      </c>
      <c r="M4518" s="482">
        <v>0.109</v>
      </c>
    </row>
    <row r="4519" spans="1:13" x14ac:dyDescent="0.2">
      <c r="A4519" t="s">
        <v>5896</v>
      </c>
      <c r="B4519" t="s">
        <v>15</v>
      </c>
      <c r="C4519" t="s">
        <v>1</v>
      </c>
      <c r="D4519" t="s">
        <v>3457</v>
      </c>
      <c r="E4519" t="s">
        <v>3458</v>
      </c>
      <c r="F4519" t="s">
        <v>16</v>
      </c>
      <c r="G4519">
        <v>93</v>
      </c>
      <c r="H4519">
        <v>1</v>
      </c>
      <c r="I4519">
        <v>9</v>
      </c>
      <c r="J4519">
        <v>103</v>
      </c>
      <c r="K4519" s="482">
        <v>0.90300000000000002</v>
      </c>
      <c r="L4519" s="482">
        <v>0.01</v>
      </c>
      <c r="M4519" s="482">
        <v>8.6999999999999994E-2</v>
      </c>
    </row>
    <row r="4520" spans="1:13" x14ac:dyDescent="0.2">
      <c r="A4520" t="s">
        <v>5897</v>
      </c>
      <c r="B4520" t="s">
        <v>15</v>
      </c>
      <c r="C4520" t="s">
        <v>1</v>
      </c>
      <c r="D4520" t="s">
        <v>3454</v>
      </c>
      <c r="E4520" t="s">
        <v>3455</v>
      </c>
      <c r="F4520" t="s">
        <v>16</v>
      </c>
      <c r="G4520">
        <v>195</v>
      </c>
      <c r="H4520">
        <v>3</v>
      </c>
      <c r="I4520">
        <v>10</v>
      </c>
      <c r="J4520">
        <v>208</v>
      </c>
      <c r="K4520" s="482">
        <v>0.93799999999999994</v>
      </c>
      <c r="L4520" s="482">
        <v>1.4E-2</v>
      </c>
      <c r="M4520" s="482">
        <v>4.8000000000000001E-2</v>
      </c>
    </row>
    <row r="4521" spans="1:13" x14ac:dyDescent="0.2">
      <c r="A4521" t="s">
        <v>5898</v>
      </c>
      <c r="B4521" t="s">
        <v>15</v>
      </c>
      <c r="C4521" t="s">
        <v>1</v>
      </c>
      <c r="D4521" t="s">
        <v>3451</v>
      </c>
      <c r="E4521" t="s">
        <v>3452</v>
      </c>
      <c r="F4521" t="s">
        <v>16</v>
      </c>
      <c r="G4521">
        <v>128</v>
      </c>
      <c r="H4521">
        <v>2</v>
      </c>
      <c r="I4521">
        <v>4</v>
      </c>
      <c r="J4521">
        <v>134</v>
      </c>
      <c r="K4521" s="482">
        <v>0.95499999999999996</v>
      </c>
      <c r="L4521" s="482">
        <v>1.4999999999999999E-2</v>
      </c>
      <c r="M4521" s="482">
        <v>0.03</v>
      </c>
    </row>
    <row r="4522" spans="1:13" x14ac:dyDescent="0.2">
      <c r="A4522" t="s">
        <v>5905</v>
      </c>
      <c r="B4522" t="s">
        <v>15</v>
      </c>
      <c r="C4522" t="s">
        <v>1</v>
      </c>
      <c r="D4522" t="s">
        <v>4378</v>
      </c>
      <c r="E4522" t="s">
        <v>4379</v>
      </c>
      <c r="F4522" t="s">
        <v>16</v>
      </c>
      <c r="G4522">
        <v>87</v>
      </c>
      <c r="H4522">
        <v>2</v>
      </c>
      <c r="I4522">
        <v>7</v>
      </c>
      <c r="J4522">
        <v>96</v>
      </c>
      <c r="K4522" s="482">
        <v>0.90600000000000003</v>
      </c>
      <c r="L4522" s="482">
        <v>2.1000000000000001E-2</v>
      </c>
      <c r="M4522" s="482">
        <v>7.2999999999999995E-2</v>
      </c>
    </row>
    <row r="4523" spans="1:13" x14ac:dyDescent="0.2">
      <c r="A4523" t="s">
        <v>5899</v>
      </c>
      <c r="B4523" t="s">
        <v>15</v>
      </c>
      <c r="C4523" t="s">
        <v>1</v>
      </c>
      <c r="D4523" t="s">
        <v>3448</v>
      </c>
      <c r="E4523" t="s">
        <v>3449</v>
      </c>
      <c r="F4523" t="s">
        <v>16</v>
      </c>
      <c r="G4523">
        <v>142</v>
      </c>
      <c r="H4523">
        <v>1</v>
      </c>
      <c r="I4523">
        <v>10</v>
      </c>
      <c r="J4523">
        <v>153</v>
      </c>
      <c r="K4523" s="482">
        <v>0.92800000000000005</v>
      </c>
      <c r="L4523" s="482">
        <v>7.0000000000000001E-3</v>
      </c>
      <c r="M4523" s="482">
        <v>6.5000000000000002E-2</v>
      </c>
    </row>
    <row r="4524" spans="1:13" x14ac:dyDescent="0.2">
      <c r="A4524" t="s">
        <v>5913</v>
      </c>
      <c r="B4524" t="s">
        <v>15</v>
      </c>
      <c r="C4524" t="s">
        <v>1</v>
      </c>
      <c r="D4524" t="s">
        <v>3415</v>
      </c>
      <c r="E4524" t="s">
        <v>3416</v>
      </c>
      <c r="F4524" t="s">
        <v>16</v>
      </c>
      <c r="G4524">
        <v>10</v>
      </c>
      <c r="H4524" t="s">
        <v>53</v>
      </c>
      <c r="I4524">
        <v>2</v>
      </c>
      <c r="J4524" t="s">
        <v>53</v>
      </c>
      <c r="K4524" t="s">
        <v>53</v>
      </c>
      <c r="L4524" t="s">
        <v>53</v>
      </c>
      <c r="M4524" t="s">
        <v>53</v>
      </c>
    </row>
    <row r="4525" spans="1:13" x14ac:dyDescent="0.2">
      <c r="A4525" t="s">
        <v>5914</v>
      </c>
      <c r="B4525" t="s">
        <v>15</v>
      </c>
      <c r="C4525" t="s">
        <v>1</v>
      </c>
      <c r="D4525" t="s">
        <v>3412</v>
      </c>
      <c r="E4525" t="s">
        <v>3413</v>
      </c>
      <c r="F4525" t="s">
        <v>16</v>
      </c>
      <c r="G4525">
        <v>43</v>
      </c>
      <c r="H4525">
        <v>0</v>
      </c>
      <c r="I4525">
        <v>4</v>
      </c>
      <c r="J4525">
        <v>47</v>
      </c>
      <c r="K4525" s="482">
        <v>0.91500000000000004</v>
      </c>
      <c r="L4525" s="482">
        <v>0</v>
      </c>
      <c r="M4525" s="482">
        <v>8.5000000000000006E-2</v>
      </c>
    </row>
    <row r="4526" spans="1:13" x14ac:dyDescent="0.2">
      <c r="A4526" t="s">
        <v>5902</v>
      </c>
      <c r="B4526" t="s">
        <v>15</v>
      </c>
      <c r="C4526" t="s">
        <v>1</v>
      </c>
      <c r="D4526" t="s">
        <v>3439</v>
      </c>
      <c r="E4526" t="s">
        <v>3440</v>
      </c>
      <c r="F4526" t="s">
        <v>16</v>
      </c>
      <c r="G4526">
        <v>79</v>
      </c>
      <c r="H4526">
        <v>1</v>
      </c>
      <c r="I4526">
        <v>1</v>
      </c>
      <c r="J4526">
        <v>81</v>
      </c>
      <c r="K4526" s="482">
        <v>0.97499999999999998</v>
      </c>
      <c r="L4526" s="482">
        <v>1.2E-2</v>
      </c>
      <c r="M4526" s="482">
        <v>1.2E-2</v>
      </c>
    </row>
    <row r="4527" spans="1:13" x14ac:dyDescent="0.2">
      <c r="A4527" t="s">
        <v>5903</v>
      </c>
      <c r="B4527" t="s">
        <v>15</v>
      </c>
      <c r="C4527" t="s">
        <v>1</v>
      </c>
      <c r="D4527" t="s">
        <v>3436</v>
      </c>
      <c r="E4527" t="s">
        <v>3437</v>
      </c>
      <c r="F4527" t="s">
        <v>16</v>
      </c>
      <c r="G4527">
        <v>64</v>
      </c>
      <c r="H4527">
        <v>0</v>
      </c>
      <c r="I4527">
        <v>2</v>
      </c>
      <c r="J4527">
        <v>66</v>
      </c>
      <c r="K4527" s="482">
        <v>0.97</v>
      </c>
      <c r="L4527" s="482">
        <v>0</v>
      </c>
      <c r="M4527" s="482">
        <v>0.03</v>
      </c>
    </row>
    <row r="4528" spans="1:13" x14ac:dyDescent="0.2">
      <c r="A4528" t="s">
        <v>5915</v>
      </c>
      <c r="B4528" t="s">
        <v>15</v>
      </c>
      <c r="C4528" t="s">
        <v>1</v>
      </c>
      <c r="D4528" t="s">
        <v>4364</v>
      </c>
      <c r="E4528" t="s">
        <v>4365</v>
      </c>
      <c r="F4528" t="s">
        <v>16</v>
      </c>
      <c r="G4528">
        <v>75</v>
      </c>
      <c r="H4528">
        <v>0</v>
      </c>
      <c r="I4528">
        <v>7</v>
      </c>
      <c r="J4528">
        <v>82</v>
      </c>
      <c r="K4528" s="482">
        <v>0.91500000000000004</v>
      </c>
      <c r="L4528" s="482">
        <v>0</v>
      </c>
      <c r="M4528" s="482">
        <v>8.5000000000000006E-2</v>
      </c>
    </row>
    <row r="4529" spans="1:13" x14ac:dyDescent="0.2">
      <c r="A4529" t="s">
        <v>5904</v>
      </c>
      <c r="B4529" t="s">
        <v>15</v>
      </c>
      <c r="C4529" t="s">
        <v>1</v>
      </c>
      <c r="D4529" t="s">
        <v>4381</v>
      </c>
      <c r="E4529" t="s">
        <v>4382</v>
      </c>
      <c r="F4529" t="s">
        <v>16</v>
      </c>
      <c r="G4529">
        <v>219</v>
      </c>
      <c r="H4529">
        <v>1</v>
      </c>
      <c r="I4529">
        <v>6</v>
      </c>
      <c r="J4529">
        <v>226</v>
      </c>
      <c r="K4529" s="482">
        <v>0.96899999999999997</v>
      </c>
      <c r="L4529" s="482">
        <v>4.0000000000000001E-3</v>
      </c>
      <c r="M4529" s="482">
        <v>2.7E-2</v>
      </c>
    </row>
    <row r="4530" spans="1:13" x14ac:dyDescent="0.2">
      <c r="A4530" t="s">
        <v>5906</v>
      </c>
      <c r="B4530" t="s">
        <v>15</v>
      </c>
      <c r="C4530" t="s">
        <v>1</v>
      </c>
      <c r="D4530" t="s">
        <v>3433</v>
      </c>
      <c r="E4530" t="s">
        <v>3434</v>
      </c>
      <c r="F4530" t="s">
        <v>16</v>
      </c>
      <c r="G4530">
        <v>60</v>
      </c>
      <c r="H4530">
        <v>1</v>
      </c>
      <c r="I4530">
        <v>4</v>
      </c>
      <c r="J4530">
        <v>65</v>
      </c>
      <c r="K4530" s="482">
        <v>0.92300000000000004</v>
      </c>
      <c r="L4530" s="482">
        <v>1.4999999999999999E-2</v>
      </c>
      <c r="M4530" s="482">
        <v>6.2E-2</v>
      </c>
    </row>
    <row r="4531" spans="1:13" x14ac:dyDescent="0.2">
      <c r="A4531" t="s">
        <v>5907</v>
      </c>
      <c r="B4531" t="s">
        <v>15</v>
      </c>
      <c r="C4531" t="s">
        <v>1</v>
      </c>
      <c r="D4531" t="s">
        <v>3430</v>
      </c>
      <c r="E4531" t="s">
        <v>3431</v>
      </c>
      <c r="F4531" t="s">
        <v>16</v>
      </c>
      <c r="G4531">
        <v>111</v>
      </c>
      <c r="H4531">
        <v>0</v>
      </c>
      <c r="I4531">
        <v>8</v>
      </c>
      <c r="J4531">
        <v>119</v>
      </c>
      <c r="K4531" s="482">
        <v>0.93300000000000005</v>
      </c>
      <c r="L4531" s="482">
        <v>0</v>
      </c>
      <c r="M4531" s="482">
        <v>6.7000000000000004E-2</v>
      </c>
    </row>
    <row r="4532" spans="1:13" x14ac:dyDescent="0.2">
      <c r="A4532" t="s">
        <v>5908</v>
      </c>
      <c r="B4532" t="s">
        <v>15</v>
      </c>
      <c r="C4532" t="s">
        <v>1</v>
      </c>
      <c r="D4532" t="s">
        <v>3427</v>
      </c>
      <c r="E4532" t="s">
        <v>3428</v>
      </c>
      <c r="F4532" t="s">
        <v>16</v>
      </c>
      <c r="G4532">
        <v>128</v>
      </c>
      <c r="H4532">
        <v>1</v>
      </c>
      <c r="I4532">
        <v>15</v>
      </c>
      <c r="J4532">
        <v>144</v>
      </c>
      <c r="K4532" s="482">
        <v>0.88900000000000001</v>
      </c>
      <c r="L4532" s="482">
        <v>7.0000000000000001E-3</v>
      </c>
      <c r="M4532" s="482">
        <v>0.104</v>
      </c>
    </row>
    <row r="4533" spans="1:13" x14ac:dyDescent="0.2">
      <c r="A4533" t="s">
        <v>5912</v>
      </c>
      <c r="B4533" t="s">
        <v>15</v>
      </c>
      <c r="C4533" t="s">
        <v>1</v>
      </c>
      <c r="D4533" t="s">
        <v>3418</v>
      </c>
      <c r="E4533" t="s">
        <v>3419</v>
      </c>
      <c r="F4533" t="s">
        <v>16</v>
      </c>
      <c r="G4533">
        <v>72</v>
      </c>
      <c r="H4533">
        <v>0</v>
      </c>
      <c r="I4533">
        <v>1</v>
      </c>
      <c r="J4533">
        <v>73</v>
      </c>
      <c r="K4533" s="482">
        <v>0.98599999999999999</v>
      </c>
      <c r="L4533" s="482">
        <v>0</v>
      </c>
      <c r="M4533" s="482">
        <v>1.4E-2</v>
      </c>
    </row>
    <row r="4534" spans="1:13" x14ac:dyDescent="0.2">
      <c r="A4534" t="s">
        <v>5765</v>
      </c>
      <c r="B4534" t="s">
        <v>15</v>
      </c>
      <c r="C4534" t="s">
        <v>1</v>
      </c>
      <c r="D4534" t="s">
        <v>3849</v>
      </c>
      <c r="E4534" t="s">
        <v>3850</v>
      </c>
      <c r="F4534" t="s">
        <v>16</v>
      </c>
      <c r="G4534">
        <v>448</v>
      </c>
      <c r="H4534">
        <v>8</v>
      </c>
      <c r="I4534">
        <v>37</v>
      </c>
      <c r="J4534">
        <v>493</v>
      </c>
      <c r="K4534" s="482">
        <v>0.90900000000000003</v>
      </c>
      <c r="L4534" s="482">
        <v>1.6E-2</v>
      </c>
      <c r="M4534" s="482">
        <v>7.4999999999999997E-2</v>
      </c>
    </row>
    <row r="4535" spans="1:13" x14ac:dyDescent="0.2">
      <c r="A4535" t="s">
        <v>5767</v>
      </c>
      <c r="B4535" t="s">
        <v>15</v>
      </c>
      <c r="C4535" t="s">
        <v>1</v>
      </c>
      <c r="D4535" t="s">
        <v>3829</v>
      </c>
      <c r="E4535" t="s">
        <v>3830</v>
      </c>
      <c r="F4535" t="s">
        <v>16</v>
      </c>
      <c r="G4535">
        <v>435</v>
      </c>
      <c r="H4535">
        <v>7</v>
      </c>
      <c r="I4535">
        <v>11</v>
      </c>
      <c r="J4535">
        <v>453</v>
      </c>
      <c r="K4535" s="482">
        <v>0.96</v>
      </c>
      <c r="L4535" s="482">
        <v>1.4999999999999999E-2</v>
      </c>
      <c r="M4535" s="482">
        <v>2.4E-2</v>
      </c>
    </row>
    <row r="4536" spans="1:13" x14ac:dyDescent="0.2">
      <c r="A4536" t="s">
        <v>5774</v>
      </c>
      <c r="B4536" t="s">
        <v>15</v>
      </c>
      <c r="C4536" t="s">
        <v>1</v>
      </c>
      <c r="D4536" t="s">
        <v>3826</v>
      </c>
      <c r="E4536" t="s">
        <v>3827</v>
      </c>
      <c r="F4536" t="s">
        <v>16</v>
      </c>
      <c r="G4536">
        <v>319</v>
      </c>
      <c r="H4536">
        <v>1</v>
      </c>
      <c r="I4536">
        <v>25</v>
      </c>
      <c r="J4536">
        <v>345</v>
      </c>
      <c r="K4536" s="482">
        <v>0.92500000000000004</v>
      </c>
      <c r="L4536" s="482">
        <v>3.0000000000000001E-3</v>
      </c>
      <c r="M4536" s="482">
        <v>7.1999999999999995E-2</v>
      </c>
    </row>
    <row r="4537" spans="1:13" x14ac:dyDescent="0.2">
      <c r="A4537" t="s">
        <v>5775</v>
      </c>
      <c r="B4537" t="s">
        <v>15</v>
      </c>
      <c r="C4537" t="s">
        <v>1</v>
      </c>
      <c r="D4537" t="s">
        <v>3823</v>
      </c>
      <c r="E4537" t="s">
        <v>3824</v>
      </c>
      <c r="F4537" t="s">
        <v>16</v>
      </c>
      <c r="G4537">
        <v>186</v>
      </c>
      <c r="H4537">
        <v>2</v>
      </c>
      <c r="I4537">
        <v>9</v>
      </c>
      <c r="J4537">
        <v>197</v>
      </c>
      <c r="K4537" s="482">
        <v>0.94399999999999995</v>
      </c>
      <c r="L4537" s="482">
        <v>0.01</v>
      </c>
      <c r="M4537" s="482">
        <v>4.5999999999999999E-2</v>
      </c>
    </row>
    <row r="4538" spans="1:13" x14ac:dyDescent="0.2">
      <c r="A4538" t="s">
        <v>5776</v>
      </c>
      <c r="B4538" t="s">
        <v>15</v>
      </c>
      <c r="C4538" t="s">
        <v>1</v>
      </c>
      <c r="D4538" t="s">
        <v>3820</v>
      </c>
      <c r="E4538" t="s">
        <v>3821</v>
      </c>
      <c r="F4538" t="s">
        <v>16</v>
      </c>
      <c r="G4538">
        <v>388</v>
      </c>
      <c r="H4538">
        <v>8</v>
      </c>
      <c r="I4538">
        <v>26</v>
      </c>
      <c r="J4538">
        <v>422</v>
      </c>
      <c r="K4538" s="482">
        <v>0.91900000000000004</v>
      </c>
      <c r="L4538" s="482">
        <v>1.9E-2</v>
      </c>
      <c r="M4538" s="482">
        <v>6.2E-2</v>
      </c>
    </row>
    <row r="4539" spans="1:13" x14ac:dyDescent="0.2">
      <c r="A4539" t="s">
        <v>5777</v>
      </c>
      <c r="B4539" t="s">
        <v>15</v>
      </c>
      <c r="C4539" t="s">
        <v>1</v>
      </c>
      <c r="D4539" t="s">
        <v>3817</v>
      </c>
      <c r="E4539" t="s">
        <v>3818</v>
      </c>
      <c r="F4539" t="s">
        <v>16</v>
      </c>
      <c r="G4539">
        <v>99</v>
      </c>
      <c r="H4539">
        <v>0</v>
      </c>
      <c r="I4539">
        <v>5</v>
      </c>
      <c r="J4539">
        <v>104</v>
      </c>
      <c r="K4539" s="482">
        <v>0.95199999999999996</v>
      </c>
      <c r="L4539" s="482">
        <v>0</v>
      </c>
      <c r="M4539" s="482">
        <v>4.8000000000000001E-2</v>
      </c>
    </row>
    <row r="4540" spans="1:13" x14ac:dyDescent="0.2">
      <c r="A4540" t="s">
        <v>5778</v>
      </c>
      <c r="B4540" t="s">
        <v>15</v>
      </c>
      <c r="C4540" t="s">
        <v>1</v>
      </c>
      <c r="D4540" t="s">
        <v>3814</v>
      </c>
      <c r="E4540" t="s">
        <v>3815</v>
      </c>
      <c r="F4540" t="s">
        <v>16</v>
      </c>
      <c r="G4540">
        <v>87</v>
      </c>
      <c r="H4540">
        <v>1</v>
      </c>
      <c r="I4540">
        <v>6</v>
      </c>
      <c r="J4540">
        <v>94</v>
      </c>
      <c r="K4540" s="482">
        <v>0.92600000000000005</v>
      </c>
      <c r="L4540" s="482">
        <v>1.0999999999999999E-2</v>
      </c>
      <c r="M4540" s="482">
        <v>6.4000000000000001E-2</v>
      </c>
    </row>
    <row r="4541" spans="1:13" x14ac:dyDescent="0.2">
      <c r="A4541" t="s">
        <v>5771</v>
      </c>
      <c r="B4541" t="s">
        <v>15</v>
      </c>
      <c r="C4541" t="s">
        <v>1</v>
      </c>
      <c r="D4541" t="s">
        <v>3808</v>
      </c>
      <c r="E4541" t="s">
        <v>3809</v>
      </c>
      <c r="F4541" t="s">
        <v>16</v>
      </c>
      <c r="G4541">
        <v>40</v>
      </c>
      <c r="H4541">
        <v>0</v>
      </c>
      <c r="I4541">
        <v>10</v>
      </c>
      <c r="J4541">
        <v>50</v>
      </c>
      <c r="K4541" s="482">
        <v>0.8</v>
      </c>
      <c r="L4541" s="482">
        <v>0</v>
      </c>
      <c r="M4541" s="482">
        <v>0.2</v>
      </c>
    </row>
    <row r="4542" spans="1:13" x14ac:dyDescent="0.2">
      <c r="A4542" t="s">
        <v>6020</v>
      </c>
      <c r="B4542" t="s">
        <v>15</v>
      </c>
      <c r="C4542" t="s">
        <v>1</v>
      </c>
      <c r="D4542" t="s">
        <v>3109</v>
      </c>
      <c r="E4542" t="s">
        <v>3110</v>
      </c>
      <c r="F4542" t="s">
        <v>16</v>
      </c>
      <c r="G4542">
        <v>193</v>
      </c>
      <c r="H4542">
        <v>1</v>
      </c>
      <c r="I4542">
        <v>12</v>
      </c>
      <c r="J4542">
        <v>206</v>
      </c>
      <c r="K4542" s="482">
        <v>0.93700000000000006</v>
      </c>
      <c r="L4542" s="482">
        <v>5.0000000000000001E-3</v>
      </c>
      <c r="M4542" s="482">
        <v>5.8000000000000003E-2</v>
      </c>
    </row>
    <row r="4543" spans="1:13" x14ac:dyDescent="0.2">
      <c r="A4543" t="s">
        <v>5977</v>
      </c>
      <c r="B4543" t="s">
        <v>15</v>
      </c>
      <c r="C4543" t="s">
        <v>1</v>
      </c>
      <c r="D4543" t="s">
        <v>3237</v>
      </c>
      <c r="E4543" t="s">
        <v>3238</v>
      </c>
      <c r="F4543" t="s">
        <v>16</v>
      </c>
      <c r="G4543">
        <v>56</v>
      </c>
      <c r="H4543">
        <v>1</v>
      </c>
      <c r="I4543">
        <v>6</v>
      </c>
      <c r="J4543">
        <v>63</v>
      </c>
      <c r="K4543" s="482">
        <v>0.88900000000000001</v>
      </c>
      <c r="L4543" s="482">
        <v>1.6E-2</v>
      </c>
      <c r="M4543" s="482">
        <v>9.5000000000000001E-2</v>
      </c>
    </row>
    <row r="4544" spans="1:13" x14ac:dyDescent="0.2">
      <c r="A4544" t="s">
        <v>5980</v>
      </c>
      <c r="B4544" t="s">
        <v>15</v>
      </c>
      <c r="C4544" t="s">
        <v>1</v>
      </c>
      <c r="D4544" t="s">
        <v>3225</v>
      </c>
      <c r="E4544" t="s">
        <v>3226</v>
      </c>
      <c r="F4544" t="s">
        <v>16</v>
      </c>
      <c r="G4544">
        <v>199</v>
      </c>
      <c r="H4544">
        <v>4</v>
      </c>
      <c r="I4544">
        <v>10</v>
      </c>
      <c r="J4544">
        <v>213</v>
      </c>
      <c r="K4544" s="482">
        <v>0.93400000000000005</v>
      </c>
      <c r="L4544" s="482">
        <v>1.9E-2</v>
      </c>
      <c r="M4544" s="482">
        <v>4.7E-2</v>
      </c>
    </row>
    <row r="4545" spans="1:13" x14ac:dyDescent="0.2">
      <c r="A4545" t="s">
        <v>5978</v>
      </c>
      <c r="B4545" t="s">
        <v>15</v>
      </c>
      <c r="C4545" t="s">
        <v>1</v>
      </c>
      <c r="D4545" t="s">
        <v>3234</v>
      </c>
      <c r="E4545" t="s">
        <v>3235</v>
      </c>
      <c r="F4545" t="s">
        <v>16</v>
      </c>
      <c r="G4545">
        <v>163</v>
      </c>
      <c r="H4545">
        <v>0</v>
      </c>
      <c r="I4545">
        <v>5</v>
      </c>
      <c r="J4545">
        <v>168</v>
      </c>
      <c r="K4545" s="482">
        <v>0.97</v>
      </c>
      <c r="L4545" s="482">
        <v>0</v>
      </c>
      <c r="M4545" s="482">
        <v>0.03</v>
      </c>
    </row>
    <row r="4546" spans="1:13" x14ac:dyDescent="0.2">
      <c r="A4546" t="s">
        <v>5783</v>
      </c>
      <c r="B4546" t="s">
        <v>15</v>
      </c>
      <c r="C4546" t="s">
        <v>1</v>
      </c>
      <c r="D4546" t="s">
        <v>3790</v>
      </c>
      <c r="E4546" t="s">
        <v>3791</v>
      </c>
      <c r="F4546" t="s">
        <v>16</v>
      </c>
      <c r="G4546">
        <v>493</v>
      </c>
      <c r="H4546">
        <v>5</v>
      </c>
      <c r="I4546">
        <v>22</v>
      </c>
      <c r="J4546">
        <v>520</v>
      </c>
      <c r="K4546" s="482">
        <v>0.94799999999999995</v>
      </c>
      <c r="L4546" s="482">
        <v>0.01</v>
      </c>
      <c r="M4546" s="482">
        <v>4.2000000000000003E-2</v>
      </c>
    </row>
    <row r="4547" spans="1:13" x14ac:dyDescent="0.2">
      <c r="A4547" t="s">
        <v>5784</v>
      </c>
      <c r="B4547" t="s">
        <v>15</v>
      </c>
      <c r="C4547" t="s">
        <v>1</v>
      </c>
      <c r="D4547" t="s">
        <v>3787</v>
      </c>
      <c r="E4547" t="s">
        <v>3788</v>
      </c>
      <c r="F4547" t="s">
        <v>16</v>
      </c>
      <c r="G4547">
        <v>212</v>
      </c>
      <c r="H4547">
        <v>0</v>
      </c>
      <c r="I4547">
        <v>11</v>
      </c>
      <c r="J4547">
        <v>223</v>
      </c>
      <c r="K4547" s="482">
        <v>0.95099999999999996</v>
      </c>
      <c r="L4547" s="482">
        <v>0</v>
      </c>
      <c r="M4547" s="482">
        <v>4.9000000000000002E-2</v>
      </c>
    </row>
    <row r="4548" spans="1:13" x14ac:dyDescent="0.2">
      <c r="A4548" t="s">
        <v>5785</v>
      </c>
      <c r="B4548" t="s">
        <v>15</v>
      </c>
      <c r="C4548" t="s">
        <v>1</v>
      </c>
      <c r="D4548" t="s">
        <v>3784</v>
      </c>
      <c r="E4548" t="s">
        <v>3785</v>
      </c>
      <c r="F4548" t="s">
        <v>16</v>
      </c>
      <c r="G4548">
        <v>312</v>
      </c>
      <c r="H4548">
        <v>2</v>
      </c>
      <c r="I4548">
        <v>19</v>
      </c>
      <c r="J4548">
        <v>333</v>
      </c>
      <c r="K4548" s="482">
        <v>0.93700000000000006</v>
      </c>
      <c r="L4548" s="482">
        <v>6.0000000000000001E-3</v>
      </c>
      <c r="M4548" s="482">
        <v>5.7000000000000002E-2</v>
      </c>
    </row>
    <row r="4549" spans="1:13" x14ac:dyDescent="0.2">
      <c r="A4549" t="s">
        <v>5786</v>
      </c>
      <c r="B4549" t="s">
        <v>15</v>
      </c>
      <c r="C4549" t="s">
        <v>1</v>
      </c>
      <c r="D4549" t="s">
        <v>3781</v>
      </c>
      <c r="E4549" t="s">
        <v>3782</v>
      </c>
      <c r="F4549" t="s">
        <v>16</v>
      </c>
      <c r="G4549">
        <v>76</v>
      </c>
      <c r="H4549">
        <v>4</v>
      </c>
      <c r="I4549">
        <v>8</v>
      </c>
      <c r="J4549">
        <v>88</v>
      </c>
      <c r="K4549" s="482">
        <v>0.86399999999999999</v>
      </c>
      <c r="L4549" s="482">
        <v>4.4999999999999998E-2</v>
      </c>
      <c r="M4549" s="482">
        <v>9.0999999999999998E-2</v>
      </c>
    </row>
    <row r="4550" spans="1:13" x14ac:dyDescent="0.2">
      <c r="A4550" t="s">
        <v>5758</v>
      </c>
      <c r="B4550" t="s">
        <v>15</v>
      </c>
      <c r="C4550" t="s">
        <v>1</v>
      </c>
      <c r="D4550" t="s">
        <v>3870</v>
      </c>
      <c r="E4550" t="s">
        <v>3871</v>
      </c>
      <c r="F4550" t="s">
        <v>16</v>
      </c>
      <c r="G4550">
        <v>64</v>
      </c>
      <c r="H4550">
        <v>1</v>
      </c>
      <c r="I4550">
        <v>1</v>
      </c>
      <c r="J4550">
        <v>66</v>
      </c>
      <c r="K4550" s="482">
        <v>0.97</v>
      </c>
      <c r="L4550" s="482">
        <v>1.4999999999999999E-2</v>
      </c>
      <c r="M4550" s="482">
        <v>1.4999999999999999E-2</v>
      </c>
    </row>
    <row r="4551" spans="1:13" x14ac:dyDescent="0.2">
      <c r="A4551" t="s">
        <v>5759</v>
      </c>
      <c r="B4551" t="s">
        <v>15</v>
      </c>
      <c r="C4551" t="s">
        <v>1</v>
      </c>
      <c r="D4551" t="s">
        <v>3867</v>
      </c>
      <c r="E4551" t="s">
        <v>3868</v>
      </c>
      <c r="F4551" t="s">
        <v>16</v>
      </c>
      <c r="G4551">
        <v>258</v>
      </c>
      <c r="H4551">
        <v>3</v>
      </c>
      <c r="I4551">
        <v>16</v>
      </c>
      <c r="J4551">
        <v>277</v>
      </c>
      <c r="K4551" s="482">
        <v>0.93100000000000005</v>
      </c>
      <c r="L4551" s="482">
        <v>1.0999999999999999E-2</v>
      </c>
      <c r="M4551" s="482">
        <v>5.8000000000000003E-2</v>
      </c>
    </row>
    <row r="4552" spans="1:13" x14ac:dyDescent="0.2">
      <c r="A4552" t="s">
        <v>5760</v>
      </c>
      <c r="B4552" t="s">
        <v>15</v>
      </c>
      <c r="C4552" t="s">
        <v>1</v>
      </c>
      <c r="D4552" t="s">
        <v>3864</v>
      </c>
      <c r="E4552" t="s">
        <v>3865</v>
      </c>
      <c r="F4552" t="s">
        <v>16</v>
      </c>
      <c r="G4552">
        <v>213</v>
      </c>
      <c r="H4552">
        <v>3</v>
      </c>
      <c r="I4552">
        <v>10</v>
      </c>
      <c r="J4552">
        <v>226</v>
      </c>
      <c r="K4552" s="482">
        <v>0.94199999999999995</v>
      </c>
      <c r="L4552" s="482">
        <v>1.2999999999999999E-2</v>
      </c>
      <c r="M4552" s="482">
        <v>4.3999999999999997E-2</v>
      </c>
    </row>
    <row r="4553" spans="1:13" x14ac:dyDescent="0.2">
      <c r="A4553" t="s">
        <v>5761</v>
      </c>
      <c r="B4553" t="s">
        <v>15</v>
      </c>
      <c r="C4553" t="s">
        <v>1</v>
      </c>
      <c r="D4553" t="s">
        <v>3861</v>
      </c>
      <c r="E4553" t="s">
        <v>3862</v>
      </c>
      <c r="F4553" t="s">
        <v>16</v>
      </c>
      <c r="G4553">
        <v>345</v>
      </c>
      <c r="H4553">
        <v>1</v>
      </c>
      <c r="I4553">
        <v>21</v>
      </c>
      <c r="J4553">
        <v>367</v>
      </c>
      <c r="K4553" s="482">
        <v>0.94</v>
      </c>
      <c r="L4553" s="482">
        <v>3.0000000000000001E-3</v>
      </c>
      <c r="M4553" s="482">
        <v>5.7000000000000002E-2</v>
      </c>
    </row>
    <row r="4554" spans="1:13" x14ac:dyDescent="0.2">
      <c r="A4554" t="s">
        <v>6630</v>
      </c>
      <c r="B4554" t="s">
        <v>15</v>
      </c>
      <c r="C4554" t="s">
        <v>1</v>
      </c>
      <c r="D4554" t="s">
        <v>3900</v>
      </c>
      <c r="E4554" t="s">
        <v>3901</v>
      </c>
      <c r="F4554" t="s">
        <v>16</v>
      </c>
      <c r="G4554" t="s">
        <v>53</v>
      </c>
      <c r="H4554">
        <v>0</v>
      </c>
      <c r="I4554">
        <v>0</v>
      </c>
      <c r="J4554" t="s">
        <v>53</v>
      </c>
      <c r="K4554" t="s">
        <v>53</v>
      </c>
      <c r="L4554" t="s">
        <v>53</v>
      </c>
      <c r="M4554" t="s">
        <v>53</v>
      </c>
    </row>
    <row r="4555" spans="1:13" x14ac:dyDescent="0.2">
      <c r="A4555" t="s">
        <v>5762</v>
      </c>
      <c r="B4555" t="s">
        <v>15</v>
      </c>
      <c r="C4555" t="s">
        <v>1</v>
      </c>
      <c r="D4555" t="s">
        <v>3858</v>
      </c>
      <c r="E4555" t="s">
        <v>3859</v>
      </c>
      <c r="F4555" t="s">
        <v>16</v>
      </c>
      <c r="G4555">
        <v>244</v>
      </c>
      <c r="H4555">
        <v>3</v>
      </c>
      <c r="I4555">
        <v>21</v>
      </c>
      <c r="J4555">
        <v>268</v>
      </c>
      <c r="K4555" s="482">
        <v>0.91</v>
      </c>
      <c r="L4555" s="482">
        <v>1.0999999999999999E-2</v>
      </c>
      <c r="M4555" s="482">
        <v>7.8E-2</v>
      </c>
    </row>
    <row r="4556" spans="1:13" x14ac:dyDescent="0.2">
      <c r="A4556" t="s">
        <v>5763</v>
      </c>
      <c r="B4556" t="s">
        <v>15</v>
      </c>
      <c r="C4556" t="s">
        <v>1</v>
      </c>
      <c r="D4556" t="s">
        <v>3855</v>
      </c>
      <c r="E4556" t="s">
        <v>3856</v>
      </c>
      <c r="F4556" t="s">
        <v>16</v>
      </c>
      <c r="G4556">
        <v>82</v>
      </c>
      <c r="H4556">
        <v>1</v>
      </c>
      <c r="I4556">
        <v>4</v>
      </c>
      <c r="J4556">
        <v>87</v>
      </c>
      <c r="K4556" s="482">
        <v>0.94299999999999995</v>
      </c>
      <c r="L4556" s="482">
        <v>1.0999999999999999E-2</v>
      </c>
      <c r="M4556" s="482">
        <v>4.5999999999999999E-2</v>
      </c>
    </row>
    <row r="4557" spans="1:13" x14ac:dyDescent="0.2">
      <c r="A4557" t="s">
        <v>5764</v>
      </c>
      <c r="B4557" t="s">
        <v>15</v>
      </c>
      <c r="C4557" t="s">
        <v>1</v>
      </c>
      <c r="D4557" t="s">
        <v>3852</v>
      </c>
      <c r="E4557" t="s">
        <v>3853</v>
      </c>
      <c r="F4557" t="s">
        <v>16</v>
      </c>
      <c r="G4557">
        <v>85</v>
      </c>
      <c r="H4557">
        <v>1</v>
      </c>
      <c r="I4557">
        <v>8</v>
      </c>
      <c r="J4557">
        <v>94</v>
      </c>
      <c r="K4557" s="482">
        <v>0.90400000000000003</v>
      </c>
      <c r="L4557" s="482">
        <v>1.0999999999999999E-2</v>
      </c>
      <c r="M4557" s="482">
        <v>8.5000000000000006E-2</v>
      </c>
    </row>
    <row r="4558" spans="1:13" x14ac:dyDescent="0.2">
      <c r="A4558" t="s">
        <v>5754</v>
      </c>
      <c r="B4558" t="s">
        <v>15</v>
      </c>
      <c r="C4558" t="s">
        <v>1</v>
      </c>
      <c r="D4558" t="s">
        <v>3882</v>
      </c>
      <c r="E4558" t="s">
        <v>3883</v>
      </c>
      <c r="F4558" t="s">
        <v>16</v>
      </c>
      <c r="G4558">
        <v>352</v>
      </c>
      <c r="H4558">
        <v>1</v>
      </c>
      <c r="I4558">
        <v>25</v>
      </c>
      <c r="J4558">
        <v>378</v>
      </c>
      <c r="K4558" s="482">
        <v>0.93100000000000005</v>
      </c>
      <c r="L4558" s="482">
        <v>3.0000000000000001E-3</v>
      </c>
      <c r="M4558" s="482">
        <v>6.6000000000000003E-2</v>
      </c>
    </row>
    <row r="4559" spans="1:13" x14ac:dyDescent="0.2">
      <c r="A4559" t="s">
        <v>5755</v>
      </c>
      <c r="B4559" t="s">
        <v>15</v>
      </c>
      <c r="C4559" t="s">
        <v>1</v>
      </c>
      <c r="D4559" t="s">
        <v>3879</v>
      </c>
      <c r="E4559" t="s">
        <v>3880</v>
      </c>
      <c r="F4559" t="s">
        <v>16</v>
      </c>
      <c r="G4559">
        <v>117</v>
      </c>
      <c r="H4559">
        <v>3</v>
      </c>
      <c r="I4559">
        <v>8</v>
      </c>
      <c r="J4559">
        <v>128</v>
      </c>
      <c r="K4559" s="482">
        <v>0.91400000000000003</v>
      </c>
      <c r="L4559" s="482">
        <v>2.3E-2</v>
      </c>
      <c r="M4559" s="482">
        <v>6.3E-2</v>
      </c>
    </row>
    <row r="4560" spans="1:13" x14ac:dyDescent="0.2">
      <c r="A4560" t="s">
        <v>5756</v>
      </c>
      <c r="B4560" t="s">
        <v>15</v>
      </c>
      <c r="C4560" t="s">
        <v>1</v>
      </c>
      <c r="D4560" t="s">
        <v>3876</v>
      </c>
      <c r="E4560" t="s">
        <v>3877</v>
      </c>
      <c r="F4560" t="s">
        <v>16</v>
      </c>
      <c r="G4560">
        <v>239</v>
      </c>
      <c r="H4560">
        <v>3</v>
      </c>
      <c r="I4560">
        <v>11</v>
      </c>
      <c r="J4560">
        <v>253</v>
      </c>
      <c r="K4560" s="482">
        <v>0.94499999999999995</v>
      </c>
      <c r="L4560" s="482">
        <v>1.2E-2</v>
      </c>
      <c r="M4560" s="482">
        <v>4.2999999999999997E-2</v>
      </c>
    </row>
    <row r="4561" spans="1:13" x14ac:dyDescent="0.2">
      <c r="A4561" t="s">
        <v>5757</v>
      </c>
      <c r="B4561" t="s">
        <v>15</v>
      </c>
      <c r="C4561" t="s">
        <v>1</v>
      </c>
      <c r="D4561" t="s">
        <v>3873</v>
      </c>
      <c r="E4561" t="s">
        <v>3874</v>
      </c>
      <c r="F4561" t="s">
        <v>16</v>
      </c>
      <c r="G4561">
        <v>380</v>
      </c>
      <c r="H4561">
        <v>3</v>
      </c>
      <c r="I4561">
        <v>21</v>
      </c>
      <c r="J4561">
        <v>404</v>
      </c>
      <c r="K4561" s="482">
        <v>0.94099999999999995</v>
      </c>
      <c r="L4561" s="482">
        <v>7.0000000000000001E-3</v>
      </c>
      <c r="M4561" s="482">
        <v>5.1999999999999998E-2</v>
      </c>
    </row>
    <row r="4562" spans="1:13" x14ac:dyDescent="0.2">
      <c r="A4562" t="s">
        <v>5865</v>
      </c>
      <c r="B4562" t="s">
        <v>15</v>
      </c>
      <c r="C4562" t="s">
        <v>1</v>
      </c>
      <c r="D4562" t="s">
        <v>3555</v>
      </c>
      <c r="E4562" t="s">
        <v>3556</v>
      </c>
      <c r="F4562" t="s">
        <v>16</v>
      </c>
      <c r="G4562">
        <v>154</v>
      </c>
      <c r="H4562">
        <v>5</v>
      </c>
      <c r="I4562">
        <v>10</v>
      </c>
      <c r="J4562">
        <v>169</v>
      </c>
      <c r="K4562" s="482">
        <v>0.91100000000000003</v>
      </c>
      <c r="L4562" s="482">
        <v>0.03</v>
      </c>
      <c r="M4562" s="482">
        <v>5.8999999999999997E-2</v>
      </c>
    </row>
    <row r="4563" spans="1:13" x14ac:dyDescent="0.2">
      <c r="A4563" t="s">
        <v>5866</v>
      </c>
      <c r="B4563" t="s">
        <v>15</v>
      </c>
      <c r="C4563" t="s">
        <v>1</v>
      </c>
      <c r="D4563" t="s">
        <v>3552</v>
      </c>
      <c r="E4563" t="s">
        <v>3553</v>
      </c>
      <c r="F4563" t="s">
        <v>16</v>
      </c>
      <c r="G4563">
        <v>194</v>
      </c>
      <c r="H4563">
        <v>2</v>
      </c>
      <c r="I4563">
        <v>19</v>
      </c>
      <c r="J4563">
        <v>215</v>
      </c>
      <c r="K4563" s="482">
        <v>0.90200000000000002</v>
      </c>
      <c r="L4563" s="482">
        <v>8.9999999999999993E-3</v>
      </c>
      <c r="M4563" s="482">
        <v>8.7999999999999995E-2</v>
      </c>
    </row>
    <row r="4564" spans="1:13" x14ac:dyDescent="0.2">
      <c r="A4564" t="s">
        <v>5867</v>
      </c>
      <c r="B4564" t="s">
        <v>15</v>
      </c>
      <c r="C4564" t="s">
        <v>1</v>
      </c>
      <c r="D4564" t="s">
        <v>3549</v>
      </c>
      <c r="E4564" t="s">
        <v>3550</v>
      </c>
      <c r="F4564" t="s">
        <v>16</v>
      </c>
      <c r="G4564">
        <v>199</v>
      </c>
      <c r="H4564">
        <v>2</v>
      </c>
      <c r="I4564">
        <v>15</v>
      </c>
      <c r="J4564">
        <v>216</v>
      </c>
      <c r="K4564" s="482">
        <v>0.92100000000000004</v>
      </c>
      <c r="L4564" s="482">
        <v>8.9999999999999993E-3</v>
      </c>
      <c r="M4564" s="482">
        <v>6.9000000000000006E-2</v>
      </c>
    </row>
    <row r="4565" spans="1:13" x14ac:dyDescent="0.2">
      <c r="A4565" t="s">
        <v>5878</v>
      </c>
      <c r="B4565" t="s">
        <v>15</v>
      </c>
      <c r="C4565" t="s">
        <v>1</v>
      </c>
      <c r="D4565" t="s">
        <v>3512</v>
      </c>
      <c r="E4565" t="s">
        <v>3513</v>
      </c>
      <c r="F4565" t="s">
        <v>16</v>
      </c>
      <c r="G4565">
        <v>78</v>
      </c>
      <c r="H4565">
        <v>0</v>
      </c>
      <c r="I4565">
        <v>9</v>
      </c>
      <c r="J4565">
        <v>87</v>
      </c>
      <c r="K4565" s="482">
        <v>0.89700000000000002</v>
      </c>
      <c r="L4565" s="482">
        <v>0</v>
      </c>
      <c r="M4565" s="482">
        <v>0.10299999999999999</v>
      </c>
    </row>
    <row r="4566" spans="1:13" x14ac:dyDescent="0.2">
      <c r="A4566" t="s">
        <v>5880</v>
      </c>
      <c r="B4566" t="s">
        <v>15</v>
      </c>
      <c r="C4566" t="s">
        <v>1</v>
      </c>
      <c r="D4566" t="s">
        <v>3506</v>
      </c>
      <c r="E4566" t="s">
        <v>3507</v>
      </c>
      <c r="F4566" t="s">
        <v>16</v>
      </c>
      <c r="G4566">
        <v>63</v>
      </c>
      <c r="H4566">
        <v>0</v>
      </c>
      <c r="I4566">
        <v>6</v>
      </c>
      <c r="J4566">
        <v>69</v>
      </c>
      <c r="K4566" s="482">
        <v>0.91300000000000003</v>
      </c>
      <c r="L4566" s="482">
        <v>0</v>
      </c>
      <c r="M4566" s="482">
        <v>8.6999999999999994E-2</v>
      </c>
    </row>
    <row r="4567" spans="1:13" x14ac:dyDescent="0.2">
      <c r="A4567" t="s">
        <v>5881</v>
      </c>
      <c r="B4567" t="s">
        <v>15</v>
      </c>
      <c r="C4567" t="s">
        <v>1</v>
      </c>
      <c r="D4567" t="s">
        <v>3503</v>
      </c>
      <c r="E4567" t="s">
        <v>3504</v>
      </c>
      <c r="F4567" t="s">
        <v>16</v>
      </c>
      <c r="G4567">
        <v>23</v>
      </c>
      <c r="H4567">
        <v>1</v>
      </c>
      <c r="I4567">
        <v>3</v>
      </c>
      <c r="J4567">
        <v>27</v>
      </c>
      <c r="K4567" s="482">
        <v>0.85199999999999998</v>
      </c>
      <c r="L4567" s="482">
        <v>3.6999999999999998E-2</v>
      </c>
      <c r="M4567" s="482">
        <v>0.111</v>
      </c>
    </row>
    <row r="4568" spans="1:13" x14ac:dyDescent="0.2">
      <c r="A4568" t="s">
        <v>5862</v>
      </c>
      <c r="B4568" t="s">
        <v>15</v>
      </c>
      <c r="C4568" t="s">
        <v>1</v>
      </c>
      <c r="D4568" t="s">
        <v>4425</v>
      </c>
      <c r="E4568" t="s">
        <v>4426</v>
      </c>
      <c r="F4568" t="s">
        <v>16</v>
      </c>
      <c r="G4568">
        <v>550</v>
      </c>
      <c r="H4568">
        <v>3</v>
      </c>
      <c r="I4568">
        <v>27</v>
      </c>
      <c r="J4568">
        <v>580</v>
      </c>
      <c r="K4568" s="482">
        <v>0.94799999999999995</v>
      </c>
      <c r="L4568" s="482">
        <v>5.0000000000000001E-3</v>
      </c>
      <c r="M4568" s="482">
        <v>4.7E-2</v>
      </c>
    </row>
    <row r="4569" spans="1:13" x14ac:dyDescent="0.2">
      <c r="A4569" t="s">
        <v>5879</v>
      </c>
      <c r="B4569" t="s">
        <v>15</v>
      </c>
      <c r="C4569" t="s">
        <v>1</v>
      </c>
      <c r="D4569" t="s">
        <v>3509</v>
      </c>
      <c r="E4569" t="s">
        <v>3510</v>
      </c>
      <c r="F4569" t="s">
        <v>16</v>
      </c>
      <c r="G4569">
        <v>86</v>
      </c>
      <c r="H4569">
        <v>2</v>
      </c>
      <c r="I4569">
        <v>5</v>
      </c>
      <c r="J4569">
        <v>93</v>
      </c>
      <c r="K4569" s="482">
        <v>0.92500000000000004</v>
      </c>
      <c r="L4569" s="482">
        <v>2.1999999999999999E-2</v>
      </c>
      <c r="M4569" s="482">
        <v>5.3999999999999999E-2</v>
      </c>
    </row>
    <row r="4570" spans="1:13" x14ac:dyDescent="0.2">
      <c r="A4570" t="s">
        <v>5882</v>
      </c>
      <c r="B4570" t="s">
        <v>15</v>
      </c>
      <c r="C4570" t="s">
        <v>1</v>
      </c>
      <c r="D4570" t="s">
        <v>3500</v>
      </c>
      <c r="E4570" t="s">
        <v>3501</v>
      </c>
      <c r="F4570" t="s">
        <v>16</v>
      </c>
      <c r="G4570">
        <v>106</v>
      </c>
      <c r="H4570">
        <v>0</v>
      </c>
      <c r="I4570">
        <v>7</v>
      </c>
      <c r="J4570">
        <v>113</v>
      </c>
      <c r="K4570" s="482">
        <v>0.93799999999999994</v>
      </c>
      <c r="L4570" s="482">
        <v>0</v>
      </c>
      <c r="M4570" s="482">
        <v>6.2E-2</v>
      </c>
    </row>
    <row r="4571" spans="1:13" x14ac:dyDescent="0.2">
      <c r="A4571" t="s">
        <v>5745</v>
      </c>
      <c r="B4571" t="s">
        <v>15</v>
      </c>
      <c r="C4571" t="s">
        <v>1</v>
      </c>
      <c r="D4571" t="s">
        <v>4558</v>
      </c>
      <c r="E4571" t="s">
        <v>4559</v>
      </c>
      <c r="F4571" t="s">
        <v>16</v>
      </c>
      <c r="G4571">
        <v>82</v>
      </c>
      <c r="H4571">
        <v>2</v>
      </c>
      <c r="I4571">
        <v>9</v>
      </c>
      <c r="J4571">
        <v>93</v>
      </c>
      <c r="K4571" s="482">
        <v>0.88200000000000001</v>
      </c>
      <c r="L4571" s="482">
        <v>2.1999999999999999E-2</v>
      </c>
      <c r="M4571" s="482">
        <v>9.7000000000000003E-2</v>
      </c>
    </row>
    <row r="4572" spans="1:13" x14ac:dyDescent="0.2">
      <c r="A4572" t="s">
        <v>5807</v>
      </c>
      <c r="B4572" t="s">
        <v>15</v>
      </c>
      <c r="C4572" t="s">
        <v>1</v>
      </c>
      <c r="D4572" t="s">
        <v>3718</v>
      </c>
      <c r="E4572" t="s">
        <v>3719</v>
      </c>
      <c r="F4572" t="s">
        <v>16</v>
      </c>
      <c r="G4572">
        <v>647</v>
      </c>
      <c r="H4572">
        <v>8</v>
      </c>
      <c r="I4572">
        <v>26</v>
      </c>
      <c r="J4572">
        <v>681</v>
      </c>
      <c r="K4572" s="482">
        <v>0.95</v>
      </c>
      <c r="L4572" s="482">
        <v>1.2E-2</v>
      </c>
      <c r="M4572" s="482">
        <v>3.7999999999999999E-2</v>
      </c>
    </row>
    <row r="4573" spans="1:13" x14ac:dyDescent="0.2">
      <c r="A4573" t="s">
        <v>5808</v>
      </c>
      <c r="B4573" t="s">
        <v>15</v>
      </c>
      <c r="C4573" t="s">
        <v>1</v>
      </c>
      <c r="D4573" t="s">
        <v>3715</v>
      </c>
      <c r="E4573" t="s">
        <v>3716</v>
      </c>
      <c r="F4573" t="s">
        <v>16</v>
      </c>
      <c r="G4573">
        <v>325</v>
      </c>
      <c r="H4573">
        <v>5</v>
      </c>
      <c r="I4573">
        <v>29</v>
      </c>
      <c r="J4573">
        <v>359</v>
      </c>
      <c r="K4573" s="482">
        <v>0.90500000000000003</v>
      </c>
      <c r="L4573" s="482">
        <v>1.4E-2</v>
      </c>
      <c r="M4573" s="482">
        <v>8.1000000000000003E-2</v>
      </c>
    </row>
    <row r="4574" spans="1:13" x14ac:dyDescent="0.2">
      <c r="A4574" t="s">
        <v>5787</v>
      </c>
      <c r="B4574" t="s">
        <v>15</v>
      </c>
      <c r="C4574" t="s">
        <v>1</v>
      </c>
      <c r="D4574" t="s">
        <v>3772</v>
      </c>
      <c r="E4574" t="s">
        <v>3773</v>
      </c>
      <c r="F4574" t="s">
        <v>16</v>
      </c>
      <c r="G4574">
        <v>226</v>
      </c>
      <c r="H4574">
        <v>4</v>
      </c>
      <c r="I4574">
        <v>19</v>
      </c>
      <c r="J4574">
        <v>249</v>
      </c>
      <c r="K4574" s="482">
        <v>0.90800000000000003</v>
      </c>
      <c r="L4574" s="482">
        <v>1.6E-2</v>
      </c>
      <c r="M4574" s="482">
        <v>7.5999999999999998E-2</v>
      </c>
    </row>
    <row r="4575" spans="1:13" x14ac:dyDescent="0.2">
      <c r="A4575" t="s">
        <v>5788</v>
      </c>
      <c r="B4575" t="s">
        <v>15</v>
      </c>
      <c r="C4575" t="s">
        <v>1</v>
      </c>
      <c r="D4575" t="s">
        <v>3769</v>
      </c>
      <c r="E4575" t="s">
        <v>3770</v>
      </c>
      <c r="F4575" t="s">
        <v>16</v>
      </c>
      <c r="G4575">
        <v>120</v>
      </c>
      <c r="H4575">
        <v>0</v>
      </c>
      <c r="I4575">
        <v>9</v>
      </c>
      <c r="J4575">
        <v>129</v>
      </c>
      <c r="K4575" s="482">
        <v>0.93</v>
      </c>
      <c r="L4575" s="482">
        <v>0</v>
      </c>
      <c r="M4575" s="482">
        <v>7.0000000000000007E-2</v>
      </c>
    </row>
    <row r="4576" spans="1:13" x14ac:dyDescent="0.2">
      <c r="A4576" t="s">
        <v>5789</v>
      </c>
      <c r="B4576" t="s">
        <v>15</v>
      </c>
      <c r="C4576" t="s">
        <v>1</v>
      </c>
      <c r="D4576" t="s">
        <v>3766</v>
      </c>
      <c r="E4576" t="s">
        <v>3767</v>
      </c>
      <c r="F4576" t="s">
        <v>16</v>
      </c>
      <c r="G4576">
        <v>68</v>
      </c>
      <c r="H4576">
        <v>1</v>
      </c>
      <c r="I4576">
        <v>13</v>
      </c>
      <c r="J4576">
        <v>82</v>
      </c>
      <c r="K4576" s="482">
        <v>0.82899999999999996</v>
      </c>
      <c r="L4576" s="482">
        <v>1.2E-2</v>
      </c>
      <c r="M4576" s="482">
        <v>0.159</v>
      </c>
    </row>
    <row r="4577" spans="1:13" x14ac:dyDescent="0.2">
      <c r="A4577" t="s">
        <v>5790</v>
      </c>
      <c r="B4577" t="s">
        <v>15</v>
      </c>
      <c r="C4577" t="s">
        <v>1</v>
      </c>
      <c r="D4577" t="s">
        <v>4506</v>
      </c>
      <c r="E4577" t="s">
        <v>4507</v>
      </c>
      <c r="F4577" t="s">
        <v>16</v>
      </c>
      <c r="G4577">
        <v>8</v>
      </c>
      <c r="H4577">
        <v>0</v>
      </c>
      <c r="I4577">
        <v>0</v>
      </c>
      <c r="J4577">
        <v>8</v>
      </c>
      <c r="K4577" s="482">
        <v>1</v>
      </c>
      <c r="L4577" s="482">
        <v>0</v>
      </c>
      <c r="M4577" s="482">
        <v>0</v>
      </c>
    </row>
    <row r="4578" spans="1:13" x14ac:dyDescent="0.2">
      <c r="A4578" t="s">
        <v>5791</v>
      </c>
      <c r="B4578" t="s">
        <v>15</v>
      </c>
      <c r="C4578" t="s">
        <v>1</v>
      </c>
      <c r="D4578" t="s">
        <v>3763</v>
      </c>
      <c r="E4578" t="s">
        <v>3764</v>
      </c>
      <c r="F4578" t="s">
        <v>16</v>
      </c>
      <c r="G4578">
        <v>294</v>
      </c>
      <c r="H4578">
        <v>10</v>
      </c>
      <c r="I4578">
        <v>25</v>
      </c>
      <c r="J4578">
        <v>329</v>
      </c>
      <c r="K4578" s="482">
        <v>0.89400000000000002</v>
      </c>
      <c r="L4578" s="482">
        <v>0.03</v>
      </c>
      <c r="M4578" s="482">
        <v>7.5999999999999998E-2</v>
      </c>
    </row>
    <row r="4579" spans="1:13" x14ac:dyDescent="0.2">
      <c r="A4579" t="s">
        <v>6631</v>
      </c>
      <c r="B4579" t="s">
        <v>15</v>
      </c>
      <c r="C4579" t="s">
        <v>1</v>
      </c>
      <c r="D4579" t="s">
        <v>3480</v>
      </c>
      <c r="E4579" t="s">
        <v>6584</v>
      </c>
      <c r="F4579" t="s">
        <v>16</v>
      </c>
      <c r="G4579">
        <v>226</v>
      </c>
      <c r="H4579">
        <v>2</v>
      </c>
      <c r="I4579">
        <v>10</v>
      </c>
      <c r="J4579">
        <v>238</v>
      </c>
      <c r="K4579" s="482">
        <v>0.95</v>
      </c>
      <c r="L4579" s="482">
        <v>8.0000000000000002E-3</v>
      </c>
      <c r="M4579" s="482">
        <v>4.2000000000000003E-2</v>
      </c>
    </row>
    <row r="4580" spans="1:13" x14ac:dyDescent="0.2">
      <c r="A4580" t="s">
        <v>5792</v>
      </c>
      <c r="B4580" t="s">
        <v>15</v>
      </c>
      <c r="C4580" t="s">
        <v>1</v>
      </c>
      <c r="D4580" t="s">
        <v>3760</v>
      </c>
      <c r="E4580" t="s">
        <v>3761</v>
      </c>
      <c r="F4580" t="s">
        <v>16</v>
      </c>
      <c r="G4580">
        <v>66</v>
      </c>
      <c r="H4580">
        <v>1</v>
      </c>
      <c r="I4580">
        <v>6</v>
      </c>
      <c r="J4580">
        <v>73</v>
      </c>
      <c r="K4580" s="482">
        <v>0.90400000000000003</v>
      </c>
      <c r="L4580" s="482">
        <v>1.4E-2</v>
      </c>
      <c r="M4580" s="482">
        <v>8.2000000000000003E-2</v>
      </c>
    </row>
    <row r="4581" spans="1:13" x14ac:dyDescent="0.2">
      <c r="A4581" t="s">
        <v>5793</v>
      </c>
      <c r="B4581" t="s">
        <v>15</v>
      </c>
      <c r="C4581" t="s">
        <v>1</v>
      </c>
      <c r="D4581" t="s">
        <v>3757</v>
      </c>
      <c r="E4581" t="s">
        <v>3758</v>
      </c>
      <c r="F4581" t="s">
        <v>16</v>
      </c>
      <c r="G4581">
        <v>63</v>
      </c>
      <c r="H4581">
        <v>1</v>
      </c>
      <c r="I4581">
        <v>4</v>
      </c>
      <c r="J4581">
        <v>68</v>
      </c>
      <c r="K4581" s="482">
        <v>0.92600000000000005</v>
      </c>
      <c r="L4581" s="482">
        <v>1.4999999999999999E-2</v>
      </c>
      <c r="M4581" s="482">
        <v>5.8999999999999997E-2</v>
      </c>
    </row>
    <row r="4582" spans="1:13" x14ac:dyDescent="0.2">
      <c r="A4582" t="s">
        <v>5834</v>
      </c>
      <c r="B4582" t="s">
        <v>15</v>
      </c>
      <c r="C4582" t="s">
        <v>1</v>
      </c>
      <c r="D4582" t="s">
        <v>3638</v>
      </c>
      <c r="E4582" t="s">
        <v>3639</v>
      </c>
      <c r="F4582" t="s">
        <v>16</v>
      </c>
      <c r="G4582">
        <v>140</v>
      </c>
      <c r="H4582">
        <v>1</v>
      </c>
      <c r="I4582">
        <v>14</v>
      </c>
      <c r="J4582">
        <v>155</v>
      </c>
      <c r="K4582" s="482">
        <v>0.90300000000000002</v>
      </c>
      <c r="L4582" s="482">
        <v>6.0000000000000001E-3</v>
      </c>
      <c r="M4582" s="482">
        <v>0.09</v>
      </c>
    </row>
    <row r="4583" spans="1:13" x14ac:dyDescent="0.2">
      <c r="A4583" t="s">
        <v>5835</v>
      </c>
      <c r="B4583" t="s">
        <v>15</v>
      </c>
      <c r="C4583" t="s">
        <v>1</v>
      </c>
      <c r="D4583" t="s">
        <v>3635</v>
      </c>
      <c r="E4583" t="s">
        <v>3636</v>
      </c>
      <c r="F4583" t="s">
        <v>16</v>
      </c>
      <c r="G4583">
        <v>198</v>
      </c>
      <c r="H4583">
        <v>5</v>
      </c>
      <c r="I4583">
        <v>9</v>
      </c>
      <c r="J4583">
        <v>212</v>
      </c>
      <c r="K4583" s="482">
        <v>0.93400000000000005</v>
      </c>
      <c r="L4583" s="482">
        <v>2.4E-2</v>
      </c>
      <c r="M4583" s="482">
        <v>4.2000000000000003E-2</v>
      </c>
    </row>
    <row r="4584" spans="1:13" x14ac:dyDescent="0.2">
      <c r="A4584" t="s">
        <v>5836</v>
      </c>
      <c r="B4584" t="s">
        <v>15</v>
      </c>
      <c r="C4584" t="s">
        <v>1</v>
      </c>
      <c r="D4584" t="s">
        <v>3633</v>
      </c>
      <c r="E4584" t="s">
        <v>342</v>
      </c>
      <c r="F4584" t="s">
        <v>16</v>
      </c>
      <c r="G4584">
        <v>154</v>
      </c>
      <c r="H4584">
        <v>2</v>
      </c>
      <c r="I4584">
        <v>20</v>
      </c>
      <c r="J4584">
        <v>176</v>
      </c>
      <c r="K4584" s="482">
        <v>0.875</v>
      </c>
      <c r="L4584" s="482">
        <v>1.0999999999999999E-2</v>
      </c>
      <c r="M4584" s="482">
        <v>0.114</v>
      </c>
    </row>
    <row r="4585" spans="1:13" x14ac:dyDescent="0.2">
      <c r="A4585" t="s">
        <v>5837</v>
      </c>
      <c r="B4585" t="s">
        <v>15</v>
      </c>
      <c r="C4585" t="s">
        <v>1</v>
      </c>
      <c r="D4585" t="s">
        <v>3630</v>
      </c>
      <c r="E4585" t="s">
        <v>3631</v>
      </c>
      <c r="F4585" t="s">
        <v>16</v>
      </c>
      <c r="G4585">
        <v>137</v>
      </c>
      <c r="H4585">
        <v>2</v>
      </c>
      <c r="I4585">
        <v>15</v>
      </c>
      <c r="J4585">
        <v>154</v>
      </c>
      <c r="K4585" s="482">
        <v>0.89</v>
      </c>
      <c r="L4585" s="482">
        <v>1.2999999999999999E-2</v>
      </c>
      <c r="M4585" s="482">
        <v>9.7000000000000003E-2</v>
      </c>
    </row>
    <row r="4586" spans="1:13" x14ac:dyDescent="0.2">
      <c r="A4586" t="s">
        <v>5838</v>
      </c>
      <c r="B4586" t="s">
        <v>15</v>
      </c>
      <c r="C4586" t="s">
        <v>1</v>
      </c>
      <c r="D4586" t="s">
        <v>3627</v>
      </c>
      <c r="E4586" t="s">
        <v>3628</v>
      </c>
      <c r="F4586" t="s">
        <v>16</v>
      </c>
      <c r="G4586">
        <v>165</v>
      </c>
      <c r="H4586">
        <v>4</v>
      </c>
      <c r="I4586">
        <v>9</v>
      </c>
      <c r="J4586">
        <v>178</v>
      </c>
      <c r="K4586" s="482">
        <v>0.92700000000000005</v>
      </c>
      <c r="L4586" s="482">
        <v>2.1999999999999999E-2</v>
      </c>
      <c r="M4586" s="482">
        <v>5.0999999999999997E-2</v>
      </c>
    </row>
    <row r="4587" spans="1:13" x14ac:dyDescent="0.2">
      <c r="A4587" t="s">
        <v>5839</v>
      </c>
      <c r="B4587" t="s">
        <v>15</v>
      </c>
      <c r="C4587" t="s">
        <v>1</v>
      </c>
      <c r="D4587" t="s">
        <v>3528</v>
      </c>
      <c r="E4587" t="s">
        <v>3529</v>
      </c>
      <c r="F4587" t="s">
        <v>16</v>
      </c>
      <c r="G4587">
        <v>178</v>
      </c>
      <c r="H4587">
        <v>3</v>
      </c>
      <c r="I4587">
        <v>6</v>
      </c>
      <c r="J4587">
        <v>187</v>
      </c>
      <c r="K4587" s="482">
        <v>0.95199999999999996</v>
      </c>
      <c r="L4587" s="482">
        <v>1.6E-2</v>
      </c>
      <c r="M4587" s="482">
        <v>3.2000000000000001E-2</v>
      </c>
    </row>
    <row r="4588" spans="1:13" x14ac:dyDescent="0.2">
      <c r="A4588" t="s">
        <v>6632</v>
      </c>
      <c r="B4588" t="s">
        <v>15</v>
      </c>
      <c r="C4588" t="s">
        <v>1</v>
      </c>
      <c r="D4588" t="s">
        <v>6515</v>
      </c>
      <c r="E4588" t="s">
        <v>6516</v>
      </c>
      <c r="F4588" t="s">
        <v>16</v>
      </c>
      <c r="G4588" t="s">
        <v>53</v>
      </c>
      <c r="H4588">
        <v>0</v>
      </c>
      <c r="I4588">
        <v>0</v>
      </c>
      <c r="J4588" t="s">
        <v>53</v>
      </c>
      <c r="K4588" t="s">
        <v>53</v>
      </c>
      <c r="L4588" t="s">
        <v>53</v>
      </c>
      <c r="M4588" t="s">
        <v>53</v>
      </c>
    </row>
    <row r="4589" spans="1:13" x14ac:dyDescent="0.2">
      <c r="A4589" t="s">
        <v>5874</v>
      </c>
      <c r="B4589" t="s">
        <v>15</v>
      </c>
      <c r="C4589" t="s">
        <v>1</v>
      </c>
      <c r="D4589" t="s">
        <v>3522</v>
      </c>
      <c r="E4589" t="s">
        <v>3523</v>
      </c>
      <c r="F4589" t="s">
        <v>16</v>
      </c>
      <c r="G4589">
        <v>97</v>
      </c>
      <c r="H4589">
        <v>0</v>
      </c>
      <c r="I4589">
        <v>16</v>
      </c>
      <c r="J4589">
        <v>113</v>
      </c>
      <c r="K4589" s="482">
        <v>0.85799999999999998</v>
      </c>
      <c r="L4589" s="482">
        <v>0</v>
      </c>
      <c r="M4589" s="482">
        <v>0.14199999999999999</v>
      </c>
    </row>
    <row r="4590" spans="1:13" x14ac:dyDescent="0.2">
      <c r="A4590" t="s">
        <v>5740</v>
      </c>
      <c r="B4590" t="s">
        <v>15</v>
      </c>
      <c r="C4590" t="s">
        <v>1</v>
      </c>
      <c r="D4590" t="s">
        <v>3930</v>
      </c>
      <c r="E4590" t="s">
        <v>344</v>
      </c>
      <c r="F4590" t="s">
        <v>16</v>
      </c>
      <c r="G4590">
        <v>273</v>
      </c>
      <c r="H4590">
        <v>2</v>
      </c>
      <c r="I4590">
        <v>11</v>
      </c>
      <c r="J4590">
        <v>286</v>
      </c>
      <c r="K4590" s="482">
        <v>0.95499999999999996</v>
      </c>
      <c r="L4590" s="482">
        <v>7.0000000000000001E-3</v>
      </c>
      <c r="M4590" s="482">
        <v>3.7999999999999999E-2</v>
      </c>
    </row>
    <row r="4591" spans="1:13" x14ac:dyDescent="0.2">
      <c r="A4591" t="s">
        <v>5859</v>
      </c>
      <c r="B4591" t="s">
        <v>15</v>
      </c>
      <c r="C4591" t="s">
        <v>1</v>
      </c>
      <c r="D4591" t="s">
        <v>3567</v>
      </c>
      <c r="E4591" t="s">
        <v>3568</v>
      </c>
      <c r="F4591" t="s">
        <v>16</v>
      </c>
      <c r="G4591">
        <v>233</v>
      </c>
      <c r="H4591">
        <v>0</v>
      </c>
      <c r="I4591">
        <v>16</v>
      </c>
      <c r="J4591">
        <v>249</v>
      </c>
      <c r="K4591" s="482">
        <v>0.93600000000000005</v>
      </c>
      <c r="L4591" s="482">
        <v>0</v>
      </c>
      <c r="M4591" s="482">
        <v>6.4000000000000001E-2</v>
      </c>
    </row>
    <row r="4592" spans="1:13" x14ac:dyDescent="0.2">
      <c r="A4592" t="s">
        <v>5860</v>
      </c>
      <c r="B4592" t="s">
        <v>15</v>
      </c>
      <c r="C4592" t="s">
        <v>1</v>
      </c>
      <c r="D4592" t="s">
        <v>3924</v>
      </c>
      <c r="E4592" t="s">
        <v>3925</v>
      </c>
      <c r="F4592" t="s">
        <v>16</v>
      </c>
      <c r="G4592">
        <v>138</v>
      </c>
      <c r="H4592">
        <v>1</v>
      </c>
      <c r="I4592">
        <v>8</v>
      </c>
      <c r="J4592">
        <v>147</v>
      </c>
      <c r="K4592" s="482">
        <v>0.93899999999999995</v>
      </c>
      <c r="L4592" s="482">
        <v>7.0000000000000001E-3</v>
      </c>
      <c r="M4592" s="482">
        <v>5.3999999999999999E-2</v>
      </c>
    </row>
    <row r="4593" spans="1:13" x14ac:dyDescent="0.2">
      <c r="A4593" t="s">
        <v>5742</v>
      </c>
      <c r="B4593" t="s">
        <v>15</v>
      </c>
      <c r="C4593" t="s">
        <v>1</v>
      </c>
      <c r="D4593" t="s">
        <v>3918</v>
      </c>
      <c r="E4593" t="s">
        <v>3919</v>
      </c>
      <c r="F4593" t="s">
        <v>16</v>
      </c>
      <c r="G4593">
        <v>108</v>
      </c>
      <c r="H4593">
        <v>1</v>
      </c>
      <c r="I4593">
        <v>5</v>
      </c>
      <c r="J4593">
        <v>114</v>
      </c>
      <c r="K4593" s="482">
        <v>0.94699999999999995</v>
      </c>
      <c r="L4593" s="482">
        <v>8.9999999999999993E-3</v>
      </c>
      <c r="M4593" s="482">
        <v>4.3999999999999997E-2</v>
      </c>
    </row>
    <row r="4594" spans="1:13" x14ac:dyDescent="0.2">
      <c r="A4594" t="s">
        <v>5743</v>
      </c>
      <c r="B4594" t="s">
        <v>15</v>
      </c>
      <c r="C4594" t="s">
        <v>1</v>
      </c>
      <c r="D4594" t="s">
        <v>3915</v>
      </c>
      <c r="E4594" t="s">
        <v>3916</v>
      </c>
      <c r="F4594" t="s">
        <v>16</v>
      </c>
      <c r="G4594">
        <v>159</v>
      </c>
      <c r="H4594">
        <v>6</v>
      </c>
      <c r="I4594">
        <v>5</v>
      </c>
      <c r="J4594">
        <v>170</v>
      </c>
      <c r="K4594" s="482">
        <v>0.93500000000000005</v>
      </c>
      <c r="L4594" s="482">
        <v>3.5000000000000003E-2</v>
      </c>
      <c r="M4594" s="482">
        <v>2.9000000000000001E-2</v>
      </c>
    </row>
    <row r="4595" spans="1:13" x14ac:dyDescent="0.2">
      <c r="A4595" t="s">
        <v>5744</v>
      </c>
      <c r="B4595" t="s">
        <v>15</v>
      </c>
      <c r="C4595" t="s">
        <v>1</v>
      </c>
      <c r="D4595" t="s">
        <v>3912</v>
      </c>
      <c r="E4595" t="s">
        <v>3913</v>
      </c>
      <c r="F4595" t="s">
        <v>16</v>
      </c>
      <c r="G4595">
        <v>100</v>
      </c>
      <c r="H4595">
        <v>0</v>
      </c>
      <c r="I4595">
        <v>5</v>
      </c>
      <c r="J4595">
        <v>105</v>
      </c>
      <c r="K4595" s="482">
        <v>0.95199999999999996</v>
      </c>
      <c r="L4595" s="482">
        <v>0</v>
      </c>
      <c r="M4595" s="482">
        <v>4.8000000000000001E-2</v>
      </c>
    </row>
    <row r="4596" spans="1:13" x14ac:dyDescent="0.2">
      <c r="A4596" t="s">
        <v>5746</v>
      </c>
      <c r="B4596" t="s">
        <v>15</v>
      </c>
      <c r="C4596" t="s">
        <v>1</v>
      </c>
      <c r="D4596" t="s">
        <v>3909</v>
      </c>
      <c r="E4596" t="s">
        <v>3910</v>
      </c>
      <c r="F4596" t="s">
        <v>16</v>
      </c>
      <c r="G4596">
        <v>108</v>
      </c>
      <c r="H4596">
        <v>2</v>
      </c>
      <c r="I4596">
        <v>1</v>
      </c>
      <c r="J4596">
        <v>111</v>
      </c>
      <c r="K4596" s="482">
        <v>0.97299999999999998</v>
      </c>
      <c r="L4596" s="482">
        <v>1.7999999999999999E-2</v>
      </c>
      <c r="M4596" s="482">
        <v>8.9999999999999993E-3</v>
      </c>
    </row>
    <row r="4597" spans="1:13" x14ac:dyDescent="0.2">
      <c r="A4597" t="s">
        <v>5809</v>
      </c>
      <c r="B4597" t="s">
        <v>15</v>
      </c>
      <c r="C4597" t="s">
        <v>1</v>
      </c>
      <c r="D4597" t="s">
        <v>3712</v>
      </c>
      <c r="E4597" t="s">
        <v>3713</v>
      </c>
      <c r="F4597" t="s">
        <v>16</v>
      </c>
      <c r="G4597">
        <v>206</v>
      </c>
      <c r="H4597">
        <v>3</v>
      </c>
      <c r="I4597">
        <v>11</v>
      </c>
      <c r="J4597">
        <v>220</v>
      </c>
      <c r="K4597" s="482">
        <v>0.93600000000000005</v>
      </c>
      <c r="L4597" s="482">
        <v>1.4E-2</v>
      </c>
      <c r="M4597" s="482">
        <v>0.05</v>
      </c>
    </row>
    <row r="4598" spans="1:13" x14ac:dyDescent="0.2">
      <c r="A4598" t="s">
        <v>5810</v>
      </c>
      <c r="B4598" t="s">
        <v>15</v>
      </c>
      <c r="C4598" t="s">
        <v>1</v>
      </c>
      <c r="D4598" t="s">
        <v>3709</v>
      </c>
      <c r="E4598" t="s">
        <v>3710</v>
      </c>
      <c r="F4598" t="s">
        <v>16</v>
      </c>
      <c r="G4598">
        <v>66</v>
      </c>
      <c r="H4598">
        <v>2</v>
      </c>
      <c r="I4598">
        <v>0</v>
      </c>
      <c r="J4598">
        <v>68</v>
      </c>
      <c r="K4598" s="482">
        <v>0.97099999999999997</v>
      </c>
      <c r="L4598" s="482">
        <v>2.9000000000000001E-2</v>
      </c>
      <c r="M4598" s="482">
        <v>0</v>
      </c>
    </row>
    <row r="4599" spans="1:13" x14ac:dyDescent="0.2">
      <c r="A4599" t="s">
        <v>5801</v>
      </c>
      <c r="B4599" t="s">
        <v>15</v>
      </c>
      <c r="C4599" t="s">
        <v>1</v>
      </c>
      <c r="D4599" t="s">
        <v>3736</v>
      </c>
      <c r="E4599" t="s">
        <v>3737</v>
      </c>
      <c r="F4599" t="s">
        <v>16</v>
      </c>
      <c r="G4599">
        <v>61</v>
      </c>
      <c r="H4599">
        <v>0</v>
      </c>
      <c r="I4599">
        <v>5</v>
      </c>
      <c r="J4599">
        <v>66</v>
      </c>
      <c r="K4599" s="482">
        <v>0.92400000000000004</v>
      </c>
      <c r="L4599" s="482">
        <v>0</v>
      </c>
      <c r="M4599" s="482">
        <v>7.5999999999999998E-2</v>
      </c>
    </row>
    <row r="4600" spans="1:13" x14ac:dyDescent="0.2">
      <c r="A4600" t="s">
        <v>5802</v>
      </c>
      <c r="B4600" t="s">
        <v>15</v>
      </c>
      <c r="C4600" t="s">
        <v>1</v>
      </c>
      <c r="D4600" t="s">
        <v>3733</v>
      </c>
      <c r="E4600" t="s">
        <v>3734</v>
      </c>
      <c r="F4600" t="s">
        <v>16</v>
      </c>
      <c r="G4600">
        <v>233</v>
      </c>
      <c r="H4600">
        <v>7</v>
      </c>
      <c r="I4600">
        <v>23</v>
      </c>
      <c r="J4600">
        <v>263</v>
      </c>
      <c r="K4600" s="482">
        <v>0.88600000000000001</v>
      </c>
      <c r="L4600" s="482">
        <v>2.7E-2</v>
      </c>
      <c r="M4600" s="482">
        <v>8.6999999999999994E-2</v>
      </c>
    </row>
    <row r="4601" spans="1:13" x14ac:dyDescent="0.2">
      <c r="A4601" t="s">
        <v>5803</v>
      </c>
      <c r="B4601" t="s">
        <v>15</v>
      </c>
      <c r="C4601" t="s">
        <v>1</v>
      </c>
      <c r="D4601" t="s">
        <v>3730</v>
      </c>
      <c r="E4601" t="s">
        <v>3731</v>
      </c>
      <c r="F4601" t="s">
        <v>16</v>
      </c>
      <c r="G4601">
        <v>247</v>
      </c>
      <c r="H4601">
        <v>6</v>
      </c>
      <c r="I4601">
        <v>7</v>
      </c>
      <c r="J4601">
        <v>260</v>
      </c>
      <c r="K4601" s="482">
        <v>0.95</v>
      </c>
      <c r="L4601" s="482">
        <v>2.3E-2</v>
      </c>
      <c r="M4601" s="482">
        <v>2.7E-2</v>
      </c>
    </row>
    <row r="4602" spans="1:13" x14ac:dyDescent="0.2">
      <c r="A4602" t="s">
        <v>5804</v>
      </c>
      <c r="B4602" t="s">
        <v>15</v>
      </c>
      <c r="C4602" t="s">
        <v>1</v>
      </c>
      <c r="D4602" t="s">
        <v>3727</v>
      </c>
      <c r="E4602" t="s">
        <v>3728</v>
      </c>
      <c r="F4602" t="s">
        <v>16</v>
      </c>
      <c r="G4602">
        <v>122</v>
      </c>
      <c r="H4602">
        <v>3</v>
      </c>
      <c r="I4602">
        <v>9</v>
      </c>
      <c r="J4602">
        <v>134</v>
      </c>
      <c r="K4602" s="482">
        <v>0.91</v>
      </c>
      <c r="L4602" s="482">
        <v>2.1999999999999999E-2</v>
      </c>
      <c r="M4602" s="482">
        <v>6.7000000000000004E-2</v>
      </c>
    </row>
    <row r="4603" spans="1:13" x14ac:dyDescent="0.2">
      <c r="A4603" t="s">
        <v>5805</v>
      </c>
      <c r="B4603" t="s">
        <v>15</v>
      </c>
      <c r="C4603" t="s">
        <v>1</v>
      </c>
      <c r="D4603" t="s">
        <v>3724</v>
      </c>
      <c r="E4603" t="s">
        <v>3725</v>
      </c>
      <c r="F4603" t="s">
        <v>16</v>
      </c>
      <c r="G4603">
        <v>234</v>
      </c>
      <c r="H4603">
        <v>1</v>
      </c>
      <c r="I4603">
        <v>15</v>
      </c>
      <c r="J4603">
        <v>250</v>
      </c>
      <c r="K4603" s="482">
        <v>0.93600000000000005</v>
      </c>
      <c r="L4603" s="482">
        <v>4.0000000000000001E-3</v>
      </c>
      <c r="M4603" s="482">
        <v>0.06</v>
      </c>
    </row>
    <row r="4604" spans="1:13" x14ac:dyDescent="0.2">
      <c r="A4604" t="s">
        <v>5806</v>
      </c>
      <c r="B4604" t="s">
        <v>15</v>
      </c>
      <c r="C4604" t="s">
        <v>1</v>
      </c>
      <c r="D4604" t="s">
        <v>3721</v>
      </c>
      <c r="E4604" t="s">
        <v>3722</v>
      </c>
      <c r="F4604" t="s">
        <v>16</v>
      </c>
      <c r="G4604">
        <v>360</v>
      </c>
      <c r="H4604">
        <v>2</v>
      </c>
      <c r="I4604">
        <v>25</v>
      </c>
      <c r="J4604">
        <v>387</v>
      </c>
      <c r="K4604" s="482">
        <v>0.93</v>
      </c>
      <c r="L4604" s="482">
        <v>5.0000000000000001E-3</v>
      </c>
      <c r="M4604" s="482">
        <v>6.5000000000000002E-2</v>
      </c>
    </row>
    <row r="4605" spans="1:13" x14ac:dyDescent="0.2">
      <c r="A4605" t="s">
        <v>5872</v>
      </c>
      <c r="B4605" t="s">
        <v>15</v>
      </c>
      <c r="C4605" t="s">
        <v>1</v>
      </c>
      <c r="D4605" t="s">
        <v>3534</v>
      </c>
      <c r="E4605" t="s">
        <v>3535</v>
      </c>
      <c r="F4605" t="s">
        <v>16</v>
      </c>
      <c r="G4605">
        <v>64</v>
      </c>
      <c r="H4605">
        <v>1</v>
      </c>
      <c r="I4605">
        <v>2</v>
      </c>
      <c r="J4605">
        <v>67</v>
      </c>
      <c r="K4605" s="482">
        <v>0.95499999999999996</v>
      </c>
      <c r="L4605" s="482">
        <v>1.4999999999999999E-2</v>
      </c>
      <c r="M4605" s="482">
        <v>0.03</v>
      </c>
    </row>
    <row r="4606" spans="1:13" x14ac:dyDescent="0.2">
      <c r="A4606" t="s">
        <v>5873</v>
      </c>
      <c r="B4606" t="s">
        <v>15</v>
      </c>
      <c r="C4606" t="s">
        <v>1</v>
      </c>
      <c r="D4606" t="s">
        <v>3525</v>
      </c>
      <c r="E4606" t="s">
        <v>3526</v>
      </c>
      <c r="F4606" t="s">
        <v>16</v>
      </c>
      <c r="G4606">
        <v>110</v>
      </c>
      <c r="H4606">
        <v>0</v>
      </c>
      <c r="I4606">
        <v>6</v>
      </c>
      <c r="J4606">
        <v>116</v>
      </c>
      <c r="K4606" s="482">
        <v>0.94799999999999995</v>
      </c>
      <c r="L4606" s="482">
        <v>0</v>
      </c>
      <c r="M4606" s="482">
        <v>5.1999999999999998E-2</v>
      </c>
    </row>
    <row r="4607" spans="1:13" x14ac:dyDescent="0.2">
      <c r="A4607" t="s">
        <v>5811</v>
      </c>
      <c r="B4607" t="s">
        <v>15</v>
      </c>
      <c r="C4607" t="s">
        <v>1</v>
      </c>
      <c r="D4607" t="s">
        <v>3706</v>
      </c>
      <c r="E4607" t="s">
        <v>3707</v>
      </c>
      <c r="F4607" t="s">
        <v>16</v>
      </c>
      <c r="G4607">
        <v>281</v>
      </c>
      <c r="H4607">
        <v>4</v>
      </c>
      <c r="I4607">
        <v>23</v>
      </c>
      <c r="J4607">
        <v>308</v>
      </c>
      <c r="K4607" s="482">
        <v>0.91200000000000003</v>
      </c>
      <c r="L4607" s="482">
        <v>1.2999999999999999E-2</v>
      </c>
      <c r="M4607" s="482">
        <v>7.4999999999999997E-2</v>
      </c>
    </row>
    <row r="4608" spans="1:13" x14ac:dyDescent="0.2">
      <c r="A4608" t="s">
        <v>5772</v>
      </c>
      <c r="B4608" t="s">
        <v>15</v>
      </c>
      <c r="C4608" t="s">
        <v>1</v>
      </c>
      <c r="D4608" t="s">
        <v>3832</v>
      </c>
      <c r="E4608" t="s">
        <v>3833</v>
      </c>
      <c r="F4608" t="s">
        <v>16</v>
      </c>
      <c r="G4608">
        <v>144</v>
      </c>
      <c r="H4608">
        <v>2</v>
      </c>
      <c r="I4608">
        <v>15</v>
      </c>
      <c r="J4608">
        <v>161</v>
      </c>
      <c r="K4608" s="482">
        <v>0.89400000000000002</v>
      </c>
      <c r="L4608" s="482">
        <v>1.2E-2</v>
      </c>
      <c r="M4608" s="482">
        <v>9.2999999999999999E-2</v>
      </c>
    </row>
    <row r="4609" spans="1:13" x14ac:dyDescent="0.2">
      <c r="A4609" t="s">
        <v>5773</v>
      </c>
      <c r="B4609" t="s">
        <v>15</v>
      </c>
      <c r="C4609" t="s">
        <v>1</v>
      </c>
      <c r="D4609" t="s">
        <v>3207</v>
      </c>
      <c r="E4609" t="s">
        <v>3208</v>
      </c>
      <c r="F4609" t="s">
        <v>16</v>
      </c>
      <c r="G4609">
        <v>50</v>
      </c>
      <c r="H4609">
        <v>1</v>
      </c>
      <c r="I4609">
        <v>3</v>
      </c>
      <c r="J4609">
        <v>54</v>
      </c>
      <c r="K4609" s="482">
        <v>0.92600000000000005</v>
      </c>
      <c r="L4609" s="482">
        <v>1.9E-2</v>
      </c>
      <c r="M4609" s="482">
        <v>5.6000000000000001E-2</v>
      </c>
    </row>
    <row r="4610" spans="1:13" x14ac:dyDescent="0.2">
      <c r="A4610" t="s">
        <v>5989</v>
      </c>
      <c r="B4610" t="s">
        <v>15</v>
      </c>
      <c r="C4610" t="s">
        <v>1</v>
      </c>
      <c r="D4610" t="s">
        <v>3204</v>
      </c>
      <c r="E4610" t="s">
        <v>3205</v>
      </c>
      <c r="F4610" t="s">
        <v>16</v>
      </c>
      <c r="G4610">
        <v>90</v>
      </c>
      <c r="H4610">
        <v>0</v>
      </c>
      <c r="I4610">
        <v>1</v>
      </c>
      <c r="J4610">
        <v>91</v>
      </c>
      <c r="K4610" s="482">
        <v>0.98899999999999999</v>
      </c>
      <c r="L4610" s="482">
        <v>0</v>
      </c>
      <c r="M4610" s="482">
        <v>1.0999999999999999E-2</v>
      </c>
    </row>
    <row r="4611" spans="1:13" x14ac:dyDescent="0.2">
      <c r="A4611" t="s">
        <v>5963</v>
      </c>
      <c r="B4611" t="s">
        <v>15</v>
      </c>
      <c r="C4611" t="s">
        <v>1</v>
      </c>
      <c r="D4611" t="s">
        <v>3273</v>
      </c>
      <c r="E4611" t="s">
        <v>3274</v>
      </c>
      <c r="F4611" t="s">
        <v>16</v>
      </c>
      <c r="G4611">
        <v>14</v>
      </c>
      <c r="H4611">
        <v>0</v>
      </c>
      <c r="I4611">
        <v>0</v>
      </c>
      <c r="J4611">
        <v>14</v>
      </c>
      <c r="K4611" s="482">
        <v>1</v>
      </c>
      <c r="L4611" s="482">
        <v>0</v>
      </c>
      <c r="M4611" s="482">
        <v>0</v>
      </c>
    </row>
    <row r="4612" spans="1:13" x14ac:dyDescent="0.2">
      <c r="A4612" t="s">
        <v>5964</v>
      </c>
      <c r="B4612" t="s">
        <v>15</v>
      </c>
      <c r="C4612" t="s">
        <v>1</v>
      </c>
      <c r="D4612" t="s">
        <v>3270</v>
      </c>
      <c r="E4612" t="s">
        <v>3271</v>
      </c>
      <c r="F4612" t="s">
        <v>16</v>
      </c>
      <c r="G4612">
        <v>161</v>
      </c>
      <c r="H4612">
        <v>4</v>
      </c>
      <c r="I4612">
        <v>8</v>
      </c>
      <c r="J4612">
        <v>173</v>
      </c>
      <c r="K4612" s="482">
        <v>0.93100000000000005</v>
      </c>
      <c r="L4612" s="482">
        <v>2.3E-2</v>
      </c>
      <c r="M4612" s="482">
        <v>4.5999999999999999E-2</v>
      </c>
    </row>
    <row r="4613" spans="1:13" x14ac:dyDescent="0.2">
      <c r="A4613" t="s">
        <v>5965</v>
      </c>
      <c r="B4613" t="s">
        <v>15</v>
      </c>
      <c r="C4613" t="s">
        <v>1</v>
      </c>
      <c r="D4613" t="s">
        <v>3267</v>
      </c>
      <c r="E4613" t="s">
        <v>3268</v>
      </c>
      <c r="F4613" t="s">
        <v>16</v>
      </c>
      <c r="G4613">
        <v>114</v>
      </c>
      <c r="H4613">
        <v>2</v>
      </c>
      <c r="I4613">
        <v>15</v>
      </c>
      <c r="J4613">
        <v>131</v>
      </c>
      <c r="K4613" s="482">
        <v>0.87</v>
      </c>
      <c r="L4613" s="482">
        <v>1.4999999999999999E-2</v>
      </c>
      <c r="M4613" s="482">
        <v>0.115</v>
      </c>
    </row>
    <row r="4614" spans="1:13" x14ac:dyDescent="0.2">
      <c r="A4614" t="s">
        <v>5823</v>
      </c>
      <c r="B4614" t="s">
        <v>15</v>
      </c>
      <c r="C4614" t="s">
        <v>1</v>
      </c>
      <c r="D4614" t="s">
        <v>3672</v>
      </c>
      <c r="E4614" t="s">
        <v>3673</v>
      </c>
      <c r="F4614" t="s">
        <v>16</v>
      </c>
      <c r="G4614">
        <v>135</v>
      </c>
      <c r="H4614">
        <v>3</v>
      </c>
      <c r="I4614">
        <v>20</v>
      </c>
      <c r="J4614">
        <v>158</v>
      </c>
      <c r="K4614" s="482">
        <v>0.85399999999999998</v>
      </c>
      <c r="L4614" s="482">
        <v>1.9E-2</v>
      </c>
      <c r="M4614" s="482">
        <v>0.127</v>
      </c>
    </row>
    <row r="4615" spans="1:13" x14ac:dyDescent="0.2">
      <c r="A4615" t="s">
        <v>5824</v>
      </c>
      <c r="B4615" t="s">
        <v>15</v>
      </c>
      <c r="C4615" t="s">
        <v>1</v>
      </c>
      <c r="D4615" t="s">
        <v>3669</v>
      </c>
      <c r="E4615" t="s">
        <v>3670</v>
      </c>
      <c r="F4615" t="s">
        <v>16</v>
      </c>
      <c r="G4615">
        <v>269</v>
      </c>
      <c r="H4615">
        <v>5</v>
      </c>
      <c r="I4615">
        <v>16</v>
      </c>
      <c r="J4615">
        <v>290</v>
      </c>
      <c r="K4615" s="482">
        <v>0.92800000000000005</v>
      </c>
      <c r="L4615" s="482">
        <v>1.7000000000000001E-2</v>
      </c>
      <c r="M4615" s="482">
        <v>5.5E-2</v>
      </c>
    </row>
    <row r="4616" spans="1:13" x14ac:dyDescent="0.2">
      <c r="A4616" t="s">
        <v>5825</v>
      </c>
      <c r="B4616" t="s">
        <v>15</v>
      </c>
      <c r="C4616" t="s">
        <v>1</v>
      </c>
      <c r="D4616" t="s">
        <v>3666</v>
      </c>
      <c r="E4616" t="s">
        <v>3667</v>
      </c>
      <c r="F4616" t="s">
        <v>16</v>
      </c>
      <c r="G4616">
        <v>44</v>
      </c>
      <c r="H4616">
        <v>1</v>
      </c>
      <c r="I4616">
        <v>4</v>
      </c>
      <c r="J4616">
        <v>49</v>
      </c>
      <c r="K4616" s="482">
        <v>0.89800000000000002</v>
      </c>
      <c r="L4616" s="482">
        <v>0.02</v>
      </c>
      <c r="M4616" s="482">
        <v>8.2000000000000003E-2</v>
      </c>
    </row>
    <row r="4617" spans="1:13" x14ac:dyDescent="0.2">
      <c r="A4617" t="s">
        <v>5826</v>
      </c>
      <c r="B4617" t="s">
        <v>15</v>
      </c>
      <c r="C4617" t="s">
        <v>1</v>
      </c>
      <c r="D4617" t="s">
        <v>3663</v>
      </c>
      <c r="E4617" t="s">
        <v>3664</v>
      </c>
      <c r="F4617" t="s">
        <v>16</v>
      </c>
      <c r="G4617">
        <v>104</v>
      </c>
      <c r="H4617">
        <v>3</v>
      </c>
      <c r="I4617">
        <v>8</v>
      </c>
      <c r="J4617">
        <v>115</v>
      </c>
      <c r="K4617" s="482">
        <v>0.90400000000000003</v>
      </c>
      <c r="L4617" s="482">
        <v>2.5999999999999999E-2</v>
      </c>
      <c r="M4617" s="482">
        <v>7.0000000000000007E-2</v>
      </c>
    </row>
    <row r="4618" spans="1:13" x14ac:dyDescent="0.2">
      <c r="A4618" t="s">
        <v>5827</v>
      </c>
      <c r="B4618" t="s">
        <v>15</v>
      </c>
      <c r="C4618" t="s">
        <v>1</v>
      </c>
      <c r="D4618" t="s">
        <v>3660</v>
      </c>
      <c r="E4618" t="s">
        <v>3661</v>
      </c>
      <c r="F4618" t="s">
        <v>16</v>
      </c>
      <c r="G4618">
        <v>66</v>
      </c>
      <c r="H4618">
        <v>1</v>
      </c>
      <c r="I4618">
        <v>5</v>
      </c>
      <c r="J4618">
        <v>72</v>
      </c>
      <c r="K4618" s="482">
        <v>0.91700000000000004</v>
      </c>
      <c r="L4618" s="482">
        <v>1.4E-2</v>
      </c>
      <c r="M4618" s="482">
        <v>6.9000000000000006E-2</v>
      </c>
    </row>
    <row r="4619" spans="1:13" x14ac:dyDescent="0.2">
      <c r="A4619" t="s">
        <v>5831</v>
      </c>
      <c r="B4619" t="s">
        <v>15</v>
      </c>
      <c r="C4619" t="s">
        <v>1</v>
      </c>
      <c r="D4619" t="s">
        <v>3648</v>
      </c>
      <c r="E4619" t="s">
        <v>3649</v>
      </c>
      <c r="F4619" t="s">
        <v>16</v>
      </c>
      <c r="G4619">
        <v>128</v>
      </c>
      <c r="H4619">
        <v>1</v>
      </c>
      <c r="I4619">
        <v>9</v>
      </c>
      <c r="J4619">
        <v>138</v>
      </c>
      <c r="K4619" s="482">
        <v>0.92800000000000005</v>
      </c>
      <c r="L4619" s="482">
        <v>7.0000000000000001E-3</v>
      </c>
      <c r="M4619" s="482">
        <v>6.5000000000000002E-2</v>
      </c>
    </row>
    <row r="4620" spans="1:13" x14ac:dyDescent="0.2">
      <c r="A4620" t="s">
        <v>5832</v>
      </c>
      <c r="B4620" t="s">
        <v>15</v>
      </c>
      <c r="C4620" t="s">
        <v>1</v>
      </c>
      <c r="D4620" t="s">
        <v>3645</v>
      </c>
      <c r="E4620" t="s">
        <v>3646</v>
      </c>
      <c r="F4620" t="s">
        <v>16</v>
      </c>
      <c r="G4620">
        <v>84</v>
      </c>
      <c r="H4620">
        <v>2</v>
      </c>
      <c r="I4620">
        <v>7</v>
      </c>
      <c r="J4620">
        <v>93</v>
      </c>
      <c r="K4620" s="482">
        <v>0.90300000000000002</v>
      </c>
      <c r="L4620" s="482">
        <v>2.1999999999999999E-2</v>
      </c>
      <c r="M4620" s="482">
        <v>7.4999999999999997E-2</v>
      </c>
    </row>
    <row r="4621" spans="1:13" x14ac:dyDescent="0.2">
      <c r="A4621" t="s">
        <v>6633</v>
      </c>
      <c r="B4621" t="s">
        <v>15</v>
      </c>
      <c r="C4621" t="s">
        <v>1</v>
      </c>
      <c r="D4621" t="s">
        <v>3643</v>
      </c>
      <c r="E4621" t="s">
        <v>6580</v>
      </c>
      <c r="F4621" t="s">
        <v>16</v>
      </c>
      <c r="G4621">
        <v>172</v>
      </c>
      <c r="H4621">
        <v>0</v>
      </c>
      <c r="I4621">
        <v>5</v>
      </c>
      <c r="J4621">
        <v>177</v>
      </c>
      <c r="K4621" s="482">
        <v>0.97199999999999998</v>
      </c>
      <c r="L4621" s="482">
        <v>0</v>
      </c>
      <c r="M4621" s="482">
        <v>2.8000000000000001E-2</v>
      </c>
    </row>
    <row r="4622" spans="1:13" x14ac:dyDescent="0.2">
      <c r="A4622" t="s">
        <v>5833</v>
      </c>
      <c r="B4622" t="s">
        <v>15</v>
      </c>
      <c r="C4622" t="s">
        <v>1</v>
      </c>
      <c r="D4622" t="s">
        <v>3641</v>
      </c>
      <c r="E4622" t="s">
        <v>3642</v>
      </c>
      <c r="F4622" t="s">
        <v>16</v>
      </c>
      <c r="G4622">
        <v>293</v>
      </c>
      <c r="H4622">
        <v>8</v>
      </c>
      <c r="I4622">
        <v>25</v>
      </c>
      <c r="J4622">
        <v>326</v>
      </c>
      <c r="K4622" s="482">
        <v>0.89900000000000002</v>
      </c>
      <c r="L4622" s="482">
        <v>2.5000000000000001E-2</v>
      </c>
      <c r="M4622" s="482">
        <v>7.6999999999999999E-2</v>
      </c>
    </row>
    <row r="4623" spans="1:13" x14ac:dyDescent="0.2">
      <c r="A4623" t="s">
        <v>5828</v>
      </c>
      <c r="B4623" t="s">
        <v>15</v>
      </c>
      <c r="C4623" t="s">
        <v>1</v>
      </c>
      <c r="D4623" t="s">
        <v>3657</v>
      </c>
      <c r="E4623" t="s">
        <v>3658</v>
      </c>
      <c r="F4623" t="s">
        <v>16</v>
      </c>
      <c r="G4623">
        <v>207</v>
      </c>
      <c r="H4623">
        <v>1</v>
      </c>
      <c r="I4623">
        <v>9</v>
      </c>
      <c r="J4623">
        <v>217</v>
      </c>
      <c r="K4623" s="482">
        <v>0.95399999999999996</v>
      </c>
      <c r="L4623" s="482">
        <v>5.0000000000000001E-3</v>
      </c>
      <c r="M4623" s="482">
        <v>4.1000000000000002E-2</v>
      </c>
    </row>
    <row r="4624" spans="1:13" x14ac:dyDescent="0.2">
      <c r="A4624" t="s">
        <v>5829</v>
      </c>
      <c r="B4624" t="s">
        <v>15</v>
      </c>
      <c r="C4624" t="s">
        <v>1</v>
      </c>
      <c r="D4624" t="s">
        <v>3654</v>
      </c>
      <c r="E4624" t="s">
        <v>3655</v>
      </c>
      <c r="F4624" t="s">
        <v>16</v>
      </c>
      <c r="G4624">
        <v>106</v>
      </c>
      <c r="H4624">
        <v>3</v>
      </c>
      <c r="I4624">
        <v>5</v>
      </c>
      <c r="J4624">
        <v>114</v>
      </c>
      <c r="K4624" s="482">
        <v>0.93</v>
      </c>
      <c r="L4624" s="482">
        <v>2.5999999999999999E-2</v>
      </c>
      <c r="M4624" s="482">
        <v>4.3999999999999997E-2</v>
      </c>
    </row>
    <row r="4625" spans="1:13" x14ac:dyDescent="0.2">
      <c r="A4625" t="s">
        <v>5830</v>
      </c>
      <c r="B4625" t="s">
        <v>15</v>
      </c>
      <c r="C4625" t="s">
        <v>1</v>
      </c>
      <c r="D4625" t="s">
        <v>3651</v>
      </c>
      <c r="E4625" t="s">
        <v>3652</v>
      </c>
      <c r="F4625" t="s">
        <v>16</v>
      </c>
      <c r="G4625">
        <v>210</v>
      </c>
      <c r="H4625">
        <v>4</v>
      </c>
      <c r="I4625">
        <v>22</v>
      </c>
      <c r="J4625">
        <v>236</v>
      </c>
      <c r="K4625" s="482">
        <v>0.89</v>
      </c>
      <c r="L4625" s="482">
        <v>1.7000000000000001E-2</v>
      </c>
      <c r="M4625" s="482">
        <v>9.2999999999999999E-2</v>
      </c>
    </row>
    <row r="4626" spans="1:13" x14ac:dyDescent="0.2">
      <c r="A4626" t="s">
        <v>5816</v>
      </c>
      <c r="B4626" t="s">
        <v>15</v>
      </c>
      <c r="C4626" t="s">
        <v>1</v>
      </c>
      <c r="D4626" t="s">
        <v>5227</v>
      </c>
      <c r="E4626" t="s">
        <v>5228</v>
      </c>
      <c r="F4626" t="s">
        <v>16</v>
      </c>
      <c r="G4626" t="s">
        <v>53</v>
      </c>
      <c r="H4626">
        <v>0</v>
      </c>
      <c r="I4626">
        <v>0</v>
      </c>
      <c r="J4626" t="s">
        <v>53</v>
      </c>
      <c r="K4626" t="s">
        <v>53</v>
      </c>
      <c r="L4626" t="s">
        <v>53</v>
      </c>
      <c r="M4626" t="s">
        <v>53</v>
      </c>
    </row>
    <row r="4627" spans="1:13" x14ac:dyDescent="0.2">
      <c r="A4627" t="s">
        <v>5979</v>
      </c>
      <c r="B4627" t="s">
        <v>15</v>
      </c>
      <c r="C4627" t="s">
        <v>1</v>
      </c>
      <c r="D4627" t="s">
        <v>4285</v>
      </c>
      <c r="E4627" t="s">
        <v>4286</v>
      </c>
      <c r="F4627" t="s">
        <v>16</v>
      </c>
      <c r="G4627">
        <v>250</v>
      </c>
      <c r="H4627">
        <v>3</v>
      </c>
      <c r="I4627">
        <v>17</v>
      </c>
      <c r="J4627">
        <v>270</v>
      </c>
      <c r="K4627" s="482">
        <v>0.92600000000000005</v>
      </c>
      <c r="L4627" s="482">
        <v>1.0999999999999999E-2</v>
      </c>
      <c r="M4627" s="482">
        <v>6.3E-2</v>
      </c>
    </row>
    <row r="4628" spans="1:13" x14ac:dyDescent="0.2">
      <c r="A4628" t="s">
        <v>5981</v>
      </c>
      <c r="B4628" t="s">
        <v>15</v>
      </c>
      <c r="C4628" t="s">
        <v>1</v>
      </c>
      <c r="D4628" t="s">
        <v>3222</v>
      </c>
      <c r="E4628" t="s">
        <v>3223</v>
      </c>
      <c r="F4628" t="s">
        <v>16</v>
      </c>
      <c r="G4628">
        <v>56</v>
      </c>
      <c r="H4628">
        <v>0</v>
      </c>
      <c r="I4628">
        <v>5</v>
      </c>
      <c r="J4628">
        <v>61</v>
      </c>
      <c r="K4628" s="482">
        <v>0.91800000000000004</v>
      </c>
      <c r="L4628" s="482">
        <v>0</v>
      </c>
      <c r="M4628" s="482">
        <v>8.2000000000000003E-2</v>
      </c>
    </row>
    <row r="4629" spans="1:13" x14ac:dyDescent="0.2">
      <c r="A4629" t="s">
        <v>5982</v>
      </c>
      <c r="B4629" t="s">
        <v>15</v>
      </c>
      <c r="C4629" t="s">
        <v>1</v>
      </c>
      <c r="D4629" t="s">
        <v>3219</v>
      </c>
      <c r="E4629" t="s">
        <v>3220</v>
      </c>
      <c r="F4629" t="s">
        <v>16</v>
      </c>
      <c r="G4629">
        <v>151</v>
      </c>
      <c r="H4629">
        <v>1</v>
      </c>
      <c r="I4629">
        <v>13</v>
      </c>
      <c r="J4629">
        <v>165</v>
      </c>
      <c r="K4629" s="482">
        <v>0.91500000000000004</v>
      </c>
      <c r="L4629" s="482">
        <v>6.0000000000000001E-3</v>
      </c>
      <c r="M4629" s="482">
        <v>7.9000000000000001E-2</v>
      </c>
    </row>
    <row r="4630" spans="1:13" x14ac:dyDescent="0.2">
      <c r="A4630" t="s">
        <v>5985</v>
      </c>
      <c r="B4630" t="s">
        <v>15</v>
      </c>
      <c r="C4630" t="s">
        <v>1</v>
      </c>
      <c r="D4630" t="s">
        <v>3216</v>
      </c>
      <c r="E4630" t="s">
        <v>3217</v>
      </c>
      <c r="F4630" t="s">
        <v>16</v>
      </c>
      <c r="G4630">
        <v>184</v>
      </c>
      <c r="H4630">
        <v>1</v>
      </c>
      <c r="I4630">
        <v>12</v>
      </c>
      <c r="J4630">
        <v>197</v>
      </c>
      <c r="K4630" s="482">
        <v>0.93400000000000005</v>
      </c>
      <c r="L4630" s="482">
        <v>5.0000000000000001E-3</v>
      </c>
      <c r="M4630" s="482">
        <v>6.0999999999999999E-2</v>
      </c>
    </row>
    <row r="4631" spans="1:13" x14ac:dyDescent="0.2">
      <c r="A4631" t="s">
        <v>5983</v>
      </c>
      <c r="B4631" t="s">
        <v>15</v>
      </c>
      <c r="C4631" t="s">
        <v>1</v>
      </c>
      <c r="D4631" t="s">
        <v>4279</v>
      </c>
      <c r="E4631" t="s">
        <v>4280</v>
      </c>
      <c r="F4631" t="s">
        <v>16</v>
      </c>
      <c r="G4631" t="s">
        <v>53</v>
      </c>
      <c r="H4631">
        <v>0</v>
      </c>
      <c r="I4631">
        <v>0</v>
      </c>
      <c r="J4631" t="s">
        <v>53</v>
      </c>
      <c r="K4631" t="s">
        <v>53</v>
      </c>
      <c r="L4631" t="s">
        <v>53</v>
      </c>
      <c r="M4631" t="s">
        <v>53</v>
      </c>
    </row>
    <row r="4632" spans="1:13" x14ac:dyDescent="0.2">
      <c r="A4632" t="s">
        <v>5984</v>
      </c>
      <c r="B4632" t="s">
        <v>15</v>
      </c>
      <c r="C4632" t="s">
        <v>1</v>
      </c>
      <c r="D4632" t="s">
        <v>4276</v>
      </c>
      <c r="E4632" t="s">
        <v>4277</v>
      </c>
      <c r="F4632" t="s">
        <v>16</v>
      </c>
      <c r="G4632">
        <v>11</v>
      </c>
      <c r="H4632">
        <v>0</v>
      </c>
      <c r="I4632">
        <v>1</v>
      </c>
      <c r="J4632">
        <v>12</v>
      </c>
      <c r="K4632" s="482">
        <v>0.91700000000000004</v>
      </c>
      <c r="L4632" s="482">
        <v>0</v>
      </c>
      <c r="M4632" s="482">
        <v>8.3000000000000004E-2</v>
      </c>
    </row>
    <row r="4633" spans="1:13" x14ac:dyDescent="0.2">
      <c r="A4633" t="s">
        <v>5961</v>
      </c>
      <c r="B4633" t="s">
        <v>15</v>
      </c>
      <c r="C4633" t="s">
        <v>1</v>
      </c>
      <c r="D4633" t="s">
        <v>3280</v>
      </c>
      <c r="E4633" t="s">
        <v>3281</v>
      </c>
      <c r="F4633" t="s">
        <v>16</v>
      </c>
      <c r="G4633">
        <v>215</v>
      </c>
      <c r="H4633">
        <v>2</v>
      </c>
      <c r="I4633">
        <v>10</v>
      </c>
      <c r="J4633">
        <v>227</v>
      </c>
      <c r="K4633" s="482">
        <v>0.94699999999999995</v>
      </c>
      <c r="L4633" s="482">
        <v>8.9999999999999993E-3</v>
      </c>
      <c r="M4633" s="482">
        <v>4.3999999999999997E-2</v>
      </c>
    </row>
    <row r="4634" spans="1:13" x14ac:dyDescent="0.2">
      <c r="A4634" t="s">
        <v>6634</v>
      </c>
      <c r="B4634" t="s">
        <v>15</v>
      </c>
      <c r="C4634" t="s">
        <v>1</v>
      </c>
      <c r="D4634" t="s">
        <v>3278</v>
      </c>
      <c r="E4634" t="s">
        <v>6578</v>
      </c>
      <c r="F4634" t="s">
        <v>16</v>
      </c>
      <c r="G4634">
        <v>468</v>
      </c>
      <c r="H4634">
        <v>5</v>
      </c>
      <c r="I4634">
        <v>29</v>
      </c>
      <c r="J4634">
        <v>502</v>
      </c>
      <c r="K4634" s="482">
        <v>0.93200000000000005</v>
      </c>
      <c r="L4634" s="482">
        <v>0.01</v>
      </c>
      <c r="M4634" s="482">
        <v>5.8000000000000003E-2</v>
      </c>
    </row>
    <row r="4635" spans="1:13" x14ac:dyDescent="0.2">
      <c r="A4635" t="s">
        <v>5962</v>
      </c>
      <c r="B4635" t="s">
        <v>15</v>
      </c>
      <c r="C4635" t="s">
        <v>1</v>
      </c>
      <c r="D4635" t="s">
        <v>3276</v>
      </c>
      <c r="E4635" t="s">
        <v>3277</v>
      </c>
      <c r="F4635" t="s">
        <v>16</v>
      </c>
      <c r="G4635">
        <v>26</v>
      </c>
      <c r="H4635">
        <v>1</v>
      </c>
      <c r="I4635">
        <v>3</v>
      </c>
      <c r="J4635">
        <v>30</v>
      </c>
      <c r="K4635" s="482">
        <v>0.86699999999999999</v>
      </c>
      <c r="L4635" s="482">
        <v>3.3000000000000002E-2</v>
      </c>
      <c r="M4635" s="482">
        <v>0.1</v>
      </c>
    </row>
    <row r="4636" spans="1:13" x14ac:dyDescent="0.2">
      <c r="A4636" t="s">
        <v>5869</v>
      </c>
      <c r="B4636" t="s">
        <v>15</v>
      </c>
      <c r="C4636" t="s">
        <v>1</v>
      </c>
      <c r="D4636" t="s">
        <v>3543</v>
      </c>
      <c r="E4636" t="s">
        <v>3544</v>
      </c>
      <c r="F4636" t="s">
        <v>16</v>
      </c>
      <c r="G4636">
        <v>260</v>
      </c>
      <c r="H4636">
        <v>5</v>
      </c>
      <c r="I4636">
        <v>13</v>
      </c>
      <c r="J4636">
        <v>278</v>
      </c>
      <c r="K4636" s="482">
        <v>0.93500000000000005</v>
      </c>
      <c r="L4636" s="482">
        <v>1.7999999999999999E-2</v>
      </c>
      <c r="M4636" s="482">
        <v>4.7E-2</v>
      </c>
    </row>
    <row r="4637" spans="1:13" x14ac:dyDescent="0.2">
      <c r="A4637" t="s">
        <v>6635</v>
      </c>
      <c r="B4637" t="s">
        <v>15</v>
      </c>
      <c r="C4637" t="s">
        <v>1</v>
      </c>
      <c r="D4637" t="s">
        <v>3689</v>
      </c>
      <c r="E4637" t="s">
        <v>6576</v>
      </c>
      <c r="F4637" t="s">
        <v>16</v>
      </c>
      <c r="G4637">
        <v>160</v>
      </c>
      <c r="H4637">
        <v>2</v>
      </c>
      <c r="I4637">
        <v>11</v>
      </c>
      <c r="J4637">
        <v>173</v>
      </c>
      <c r="K4637" s="482">
        <v>0.92500000000000004</v>
      </c>
      <c r="L4637" s="482">
        <v>1.2E-2</v>
      </c>
      <c r="M4637" s="482">
        <v>6.4000000000000001E-2</v>
      </c>
    </row>
    <row r="4638" spans="1:13" x14ac:dyDescent="0.2">
      <c r="A4638" t="s">
        <v>5871</v>
      </c>
      <c r="B4638" t="s">
        <v>15</v>
      </c>
      <c r="C4638" t="s">
        <v>1</v>
      </c>
      <c r="D4638" t="s">
        <v>3537</v>
      </c>
      <c r="E4638" t="s">
        <v>3538</v>
      </c>
      <c r="F4638" t="s">
        <v>16</v>
      </c>
      <c r="G4638">
        <v>280</v>
      </c>
      <c r="H4638">
        <v>1</v>
      </c>
      <c r="I4638">
        <v>18</v>
      </c>
      <c r="J4638">
        <v>299</v>
      </c>
      <c r="K4638" s="482">
        <v>0.93600000000000005</v>
      </c>
      <c r="L4638" s="482">
        <v>3.0000000000000001E-3</v>
      </c>
      <c r="M4638" s="482">
        <v>0.06</v>
      </c>
    </row>
    <row r="4639" spans="1:13" x14ac:dyDescent="0.2">
      <c r="A4639" t="s">
        <v>5870</v>
      </c>
      <c r="B4639" t="s">
        <v>15</v>
      </c>
      <c r="C4639" t="s">
        <v>1</v>
      </c>
      <c r="D4639" t="s">
        <v>3540</v>
      </c>
      <c r="E4639" t="s">
        <v>3541</v>
      </c>
      <c r="F4639" t="s">
        <v>16</v>
      </c>
      <c r="G4639">
        <v>167</v>
      </c>
      <c r="H4639">
        <v>2</v>
      </c>
      <c r="I4639">
        <v>6</v>
      </c>
      <c r="J4639">
        <v>175</v>
      </c>
      <c r="K4639" s="482">
        <v>0.95399999999999996</v>
      </c>
      <c r="L4639" s="482">
        <v>1.0999999999999999E-2</v>
      </c>
      <c r="M4639" s="482">
        <v>3.4000000000000002E-2</v>
      </c>
    </row>
    <row r="4640" spans="1:13" x14ac:dyDescent="0.2">
      <c r="A4640" t="s">
        <v>5876</v>
      </c>
      <c r="B4640" t="s">
        <v>15</v>
      </c>
      <c r="C4640" t="s">
        <v>1</v>
      </c>
      <c r="D4640" t="s">
        <v>3517</v>
      </c>
      <c r="E4640" t="s">
        <v>3518</v>
      </c>
      <c r="F4640" t="s">
        <v>16</v>
      </c>
      <c r="G4640">
        <v>155</v>
      </c>
      <c r="H4640">
        <v>3</v>
      </c>
      <c r="I4640">
        <v>11</v>
      </c>
      <c r="J4640">
        <v>169</v>
      </c>
      <c r="K4640" s="482">
        <v>0.91700000000000004</v>
      </c>
      <c r="L4640" s="482">
        <v>1.7999999999999999E-2</v>
      </c>
      <c r="M4640" s="482">
        <v>6.5000000000000002E-2</v>
      </c>
    </row>
    <row r="4641" spans="1:13" x14ac:dyDescent="0.2">
      <c r="A4641" t="s">
        <v>5868</v>
      </c>
      <c r="B4641" t="s">
        <v>15</v>
      </c>
      <c r="C4641" t="s">
        <v>1</v>
      </c>
      <c r="D4641" t="s">
        <v>3546</v>
      </c>
      <c r="E4641" t="s">
        <v>3547</v>
      </c>
      <c r="F4641" t="s">
        <v>16</v>
      </c>
      <c r="G4641">
        <v>269</v>
      </c>
      <c r="H4641">
        <v>3</v>
      </c>
      <c r="I4641">
        <v>12</v>
      </c>
      <c r="J4641">
        <v>284</v>
      </c>
      <c r="K4641" s="482">
        <v>0.94699999999999995</v>
      </c>
      <c r="L4641" s="482">
        <v>1.0999999999999999E-2</v>
      </c>
      <c r="M4641" s="482">
        <v>4.2000000000000003E-2</v>
      </c>
    </row>
    <row r="4642" spans="1:13" x14ac:dyDescent="0.2">
      <c r="A4642" t="s">
        <v>5864</v>
      </c>
      <c r="B4642" t="s">
        <v>15</v>
      </c>
      <c r="C4642" t="s">
        <v>1</v>
      </c>
      <c r="D4642" t="s">
        <v>3558</v>
      </c>
      <c r="E4642" t="s">
        <v>3559</v>
      </c>
      <c r="F4642" t="s">
        <v>16</v>
      </c>
      <c r="G4642">
        <v>143</v>
      </c>
      <c r="H4642">
        <v>4</v>
      </c>
      <c r="I4642">
        <v>11</v>
      </c>
      <c r="J4642">
        <v>158</v>
      </c>
      <c r="K4642" s="482">
        <v>0.90500000000000003</v>
      </c>
      <c r="L4642" s="482">
        <v>2.5000000000000001E-2</v>
      </c>
      <c r="M4642" s="482">
        <v>7.0000000000000007E-2</v>
      </c>
    </row>
    <row r="4643" spans="1:13" x14ac:dyDescent="0.2">
      <c r="A4643" t="s">
        <v>5852</v>
      </c>
      <c r="B4643" t="s">
        <v>15</v>
      </c>
      <c r="C4643" t="s">
        <v>1</v>
      </c>
      <c r="D4643" t="s">
        <v>3588</v>
      </c>
      <c r="E4643" t="s">
        <v>3589</v>
      </c>
      <c r="F4643" t="s">
        <v>16</v>
      </c>
      <c r="G4643">
        <v>20</v>
      </c>
      <c r="H4643">
        <v>0</v>
      </c>
      <c r="I4643">
        <v>3</v>
      </c>
      <c r="J4643">
        <v>23</v>
      </c>
      <c r="K4643" s="482">
        <v>0.87</v>
      </c>
      <c r="L4643" s="482">
        <v>0</v>
      </c>
      <c r="M4643" s="482">
        <v>0.13</v>
      </c>
    </row>
    <row r="4644" spans="1:13" x14ac:dyDescent="0.2">
      <c r="A4644" t="s">
        <v>5853</v>
      </c>
      <c r="B4644" t="s">
        <v>15</v>
      </c>
      <c r="C4644" t="s">
        <v>1</v>
      </c>
      <c r="D4644" t="s">
        <v>3585</v>
      </c>
      <c r="E4644" t="s">
        <v>3586</v>
      </c>
      <c r="F4644" t="s">
        <v>16</v>
      </c>
      <c r="G4644">
        <v>38</v>
      </c>
      <c r="H4644">
        <v>0</v>
      </c>
      <c r="I4644">
        <v>4</v>
      </c>
      <c r="J4644">
        <v>42</v>
      </c>
      <c r="K4644" s="482">
        <v>0.90500000000000003</v>
      </c>
      <c r="L4644" s="482">
        <v>0</v>
      </c>
      <c r="M4644" s="482">
        <v>9.5000000000000001E-2</v>
      </c>
    </row>
    <row r="4645" spans="1:13" x14ac:dyDescent="0.2">
      <c r="A4645" t="s">
        <v>5854</v>
      </c>
      <c r="B4645" t="s">
        <v>15</v>
      </c>
      <c r="C4645" t="s">
        <v>1</v>
      </c>
      <c r="D4645" t="s">
        <v>3582</v>
      </c>
      <c r="E4645" t="s">
        <v>3583</v>
      </c>
      <c r="F4645" t="s">
        <v>16</v>
      </c>
      <c r="G4645">
        <v>58</v>
      </c>
      <c r="H4645">
        <v>0</v>
      </c>
      <c r="I4645">
        <v>2</v>
      </c>
      <c r="J4645">
        <v>60</v>
      </c>
      <c r="K4645" s="482">
        <v>0.96699999999999997</v>
      </c>
      <c r="L4645" s="482">
        <v>0</v>
      </c>
      <c r="M4645" s="482">
        <v>3.3000000000000002E-2</v>
      </c>
    </row>
    <row r="4646" spans="1:13" x14ac:dyDescent="0.2">
      <c r="A4646" t="s">
        <v>5855</v>
      </c>
      <c r="B4646" t="s">
        <v>15</v>
      </c>
      <c r="C4646" t="s">
        <v>1</v>
      </c>
      <c r="D4646" t="s">
        <v>3579</v>
      </c>
      <c r="E4646" t="s">
        <v>3580</v>
      </c>
      <c r="F4646" t="s">
        <v>16</v>
      </c>
      <c r="G4646">
        <v>76</v>
      </c>
      <c r="H4646">
        <v>1</v>
      </c>
      <c r="I4646">
        <v>2</v>
      </c>
      <c r="J4646">
        <v>79</v>
      </c>
      <c r="K4646" s="482">
        <v>0.96199999999999997</v>
      </c>
      <c r="L4646" s="482">
        <v>1.2999999999999999E-2</v>
      </c>
      <c r="M4646" s="482">
        <v>2.5000000000000001E-2</v>
      </c>
    </row>
    <row r="4647" spans="1:13" x14ac:dyDescent="0.2">
      <c r="A4647" t="s">
        <v>5856</v>
      </c>
      <c r="B4647" t="s">
        <v>15</v>
      </c>
      <c r="C4647" t="s">
        <v>1</v>
      </c>
      <c r="D4647" t="s">
        <v>3576</v>
      </c>
      <c r="E4647" t="s">
        <v>3577</v>
      </c>
      <c r="F4647" t="s">
        <v>16</v>
      </c>
      <c r="G4647">
        <v>27</v>
      </c>
      <c r="H4647">
        <v>0</v>
      </c>
      <c r="I4647">
        <v>2</v>
      </c>
      <c r="J4647">
        <v>29</v>
      </c>
      <c r="K4647" s="482">
        <v>0.93100000000000005</v>
      </c>
      <c r="L4647" s="482">
        <v>0</v>
      </c>
      <c r="M4647" s="482">
        <v>6.9000000000000006E-2</v>
      </c>
    </row>
    <row r="4648" spans="1:13" x14ac:dyDescent="0.2">
      <c r="A4648" t="s">
        <v>5857</v>
      </c>
      <c r="B4648" t="s">
        <v>15</v>
      </c>
      <c r="C4648" t="s">
        <v>1</v>
      </c>
      <c r="D4648" t="s">
        <v>3573</v>
      </c>
      <c r="E4648" t="s">
        <v>3574</v>
      </c>
      <c r="F4648" t="s">
        <v>16</v>
      </c>
      <c r="G4648">
        <v>28</v>
      </c>
      <c r="H4648">
        <v>0</v>
      </c>
      <c r="I4648">
        <v>3</v>
      </c>
      <c r="J4648">
        <v>31</v>
      </c>
      <c r="K4648" s="482">
        <v>0.90300000000000002</v>
      </c>
      <c r="L4648" s="482">
        <v>0</v>
      </c>
      <c r="M4648" s="482">
        <v>9.7000000000000003E-2</v>
      </c>
    </row>
    <row r="4649" spans="1:13" x14ac:dyDescent="0.2">
      <c r="A4649" t="s">
        <v>5858</v>
      </c>
      <c r="B4649" t="s">
        <v>15</v>
      </c>
      <c r="C4649" t="s">
        <v>1</v>
      </c>
      <c r="D4649" t="s">
        <v>3570</v>
      </c>
      <c r="E4649" t="s">
        <v>3571</v>
      </c>
      <c r="F4649" t="s">
        <v>16</v>
      </c>
      <c r="G4649" t="s">
        <v>53</v>
      </c>
      <c r="H4649">
        <v>0</v>
      </c>
      <c r="I4649">
        <v>0</v>
      </c>
      <c r="J4649" t="s">
        <v>53</v>
      </c>
      <c r="K4649" t="s">
        <v>53</v>
      </c>
      <c r="L4649" t="s">
        <v>53</v>
      </c>
      <c r="M4649" t="s">
        <v>53</v>
      </c>
    </row>
    <row r="4650" spans="1:13" x14ac:dyDescent="0.2">
      <c r="A4650" t="s">
        <v>5842</v>
      </c>
      <c r="B4650" t="s">
        <v>15</v>
      </c>
      <c r="C4650" t="s">
        <v>1</v>
      </c>
      <c r="D4650" t="s">
        <v>3403</v>
      </c>
      <c r="E4650" t="s">
        <v>3404</v>
      </c>
      <c r="F4650" t="s">
        <v>16</v>
      </c>
      <c r="G4650">
        <v>119</v>
      </c>
      <c r="H4650">
        <v>1</v>
      </c>
      <c r="I4650">
        <v>12</v>
      </c>
      <c r="J4650">
        <v>132</v>
      </c>
      <c r="K4650" s="482">
        <v>0.90200000000000002</v>
      </c>
      <c r="L4650" s="482">
        <v>8.0000000000000002E-3</v>
      </c>
      <c r="M4650" s="482">
        <v>9.0999999999999998E-2</v>
      </c>
    </row>
    <row r="4651" spans="1:13" x14ac:dyDescent="0.2">
      <c r="A4651" t="s">
        <v>5780</v>
      </c>
      <c r="B4651" t="s">
        <v>15</v>
      </c>
      <c r="C4651" t="s">
        <v>1</v>
      </c>
      <c r="D4651" t="s">
        <v>4518</v>
      </c>
      <c r="E4651" t="s">
        <v>4519</v>
      </c>
      <c r="F4651" t="s">
        <v>16</v>
      </c>
      <c r="G4651">
        <v>267</v>
      </c>
      <c r="H4651">
        <v>3</v>
      </c>
      <c r="I4651">
        <v>11</v>
      </c>
      <c r="J4651">
        <v>281</v>
      </c>
      <c r="K4651" s="482">
        <v>0.95</v>
      </c>
      <c r="L4651" s="482">
        <v>1.0999999999999999E-2</v>
      </c>
      <c r="M4651" s="482">
        <v>3.9E-2</v>
      </c>
    </row>
    <row r="4652" spans="1:13" x14ac:dyDescent="0.2">
      <c r="A4652" t="s">
        <v>5886</v>
      </c>
      <c r="B4652" t="s">
        <v>15</v>
      </c>
      <c r="C4652" t="s">
        <v>1</v>
      </c>
      <c r="D4652" t="s">
        <v>3497</v>
      </c>
      <c r="E4652" t="s">
        <v>3498</v>
      </c>
      <c r="F4652" t="s">
        <v>16</v>
      </c>
      <c r="G4652">
        <v>30</v>
      </c>
      <c r="H4652">
        <v>0</v>
      </c>
      <c r="I4652">
        <v>1</v>
      </c>
      <c r="J4652">
        <v>31</v>
      </c>
      <c r="K4652" s="482">
        <v>0.96799999999999997</v>
      </c>
      <c r="L4652" s="482">
        <v>0</v>
      </c>
      <c r="M4652" s="482">
        <v>3.2000000000000001E-2</v>
      </c>
    </row>
    <row r="4653" spans="1:13" x14ac:dyDescent="0.2">
      <c r="A4653" t="s">
        <v>5781</v>
      </c>
      <c r="B4653" t="s">
        <v>15</v>
      </c>
      <c r="C4653" t="s">
        <v>1</v>
      </c>
      <c r="D4653" t="s">
        <v>3802</v>
      </c>
      <c r="E4653" t="s">
        <v>3803</v>
      </c>
      <c r="F4653" t="s">
        <v>16</v>
      </c>
      <c r="G4653">
        <v>182</v>
      </c>
      <c r="H4653">
        <v>5</v>
      </c>
      <c r="I4653">
        <v>10</v>
      </c>
      <c r="J4653">
        <v>197</v>
      </c>
      <c r="K4653" s="482">
        <v>0.92400000000000004</v>
      </c>
      <c r="L4653" s="482">
        <v>2.5000000000000001E-2</v>
      </c>
      <c r="M4653" s="482">
        <v>5.0999999999999997E-2</v>
      </c>
    </row>
    <row r="4654" spans="1:13" x14ac:dyDescent="0.2">
      <c r="A4654" t="s">
        <v>5782</v>
      </c>
      <c r="B4654" t="s">
        <v>15</v>
      </c>
      <c r="C4654" t="s">
        <v>1</v>
      </c>
      <c r="D4654" t="s">
        <v>3799</v>
      </c>
      <c r="E4654" t="s">
        <v>3800</v>
      </c>
      <c r="F4654" t="s">
        <v>16</v>
      </c>
      <c r="G4654">
        <v>164</v>
      </c>
      <c r="H4654">
        <v>2</v>
      </c>
      <c r="I4654">
        <v>16</v>
      </c>
      <c r="J4654">
        <v>182</v>
      </c>
      <c r="K4654" s="482">
        <v>0.90100000000000002</v>
      </c>
      <c r="L4654" s="482">
        <v>1.0999999999999999E-2</v>
      </c>
      <c r="M4654" s="482">
        <v>8.7999999999999995E-2</v>
      </c>
    </row>
    <row r="4655" spans="1:13" x14ac:dyDescent="0.2">
      <c r="A4655" t="s">
        <v>5995</v>
      </c>
      <c r="B4655" t="s">
        <v>15</v>
      </c>
      <c r="C4655" t="s">
        <v>1</v>
      </c>
      <c r="D4655" t="s">
        <v>3189</v>
      </c>
      <c r="E4655" t="s">
        <v>3190</v>
      </c>
      <c r="F4655" t="s">
        <v>16</v>
      </c>
      <c r="G4655">
        <v>84</v>
      </c>
      <c r="H4655">
        <v>2</v>
      </c>
      <c r="I4655">
        <v>2</v>
      </c>
      <c r="J4655">
        <v>88</v>
      </c>
      <c r="K4655" s="482">
        <v>0.95499999999999996</v>
      </c>
      <c r="L4655" s="482">
        <v>2.3E-2</v>
      </c>
      <c r="M4655" s="482">
        <v>2.3E-2</v>
      </c>
    </row>
    <row r="4656" spans="1:13" x14ac:dyDescent="0.2">
      <c r="A4656" t="s">
        <v>5996</v>
      </c>
      <c r="B4656" t="s">
        <v>15</v>
      </c>
      <c r="C4656" t="s">
        <v>1</v>
      </c>
      <c r="D4656" t="s">
        <v>3186</v>
      </c>
      <c r="E4656" t="s">
        <v>3187</v>
      </c>
      <c r="F4656" t="s">
        <v>16</v>
      </c>
      <c r="G4656" t="s">
        <v>53</v>
      </c>
      <c r="H4656">
        <v>0</v>
      </c>
      <c r="I4656">
        <v>0</v>
      </c>
      <c r="J4656" t="s">
        <v>53</v>
      </c>
      <c r="K4656" t="s">
        <v>53</v>
      </c>
      <c r="L4656" t="s">
        <v>53</v>
      </c>
      <c r="M4656" t="s">
        <v>53</v>
      </c>
    </row>
    <row r="4657" spans="1:13" x14ac:dyDescent="0.2">
      <c r="A4657" t="s">
        <v>5997</v>
      </c>
      <c r="B4657" t="s">
        <v>15</v>
      </c>
      <c r="C4657" t="s">
        <v>1</v>
      </c>
      <c r="D4657" t="s">
        <v>3183</v>
      </c>
      <c r="E4657" t="s">
        <v>3184</v>
      </c>
      <c r="F4657" t="s">
        <v>16</v>
      </c>
      <c r="G4657" t="s">
        <v>53</v>
      </c>
      <c r="H4657">
        <v>0</v>
      </c>
      <c r="I4657">
        <v>0</v>
      </c>
      <c r="J4657" t="s">
        <v>53</v>
      </c>
      <c r="K4657" t="s">
        <v>53</v>
      </c>
      <c r="L4657" t="s">
        <v>53</v>
      </c>
      <c r="M4657" t="s">
        <v>53</v>
      </c>
    </row>
    <row r="4658" spans="1:13" x14ac:dyDescent="0.2">
      <c r="A4658" t="s">
        <v>5998</v>
      </c>
      <c r="B4658" t="s">
        <v>15</v>
      </c>
      <c r="C4658" t="s">
        <v>1</v>
      </c>
      <c r="D4658" t="s">
        <v>3180</v>
      </c>
      <c r="E4658" t="s">
        <v>3181</v>
      </c>
      <c r="F4658" t="s">
        <v>16</v>
      </c>
      <c r="G4658">
        <v>57</v>
      </c>
      <c r="H4658">
        <v>0</v>
      </c>
      <c r="I4658">
        <v>3</v>
      </c>
      <c r="J4658">
        <v>60</v>
      </c>
      <c r="K4658" s="482">
        <v>0.95</v>
      </c>
      <c r="L4658" s="482">
        <v>0</v>
      </c>
      <c r="M4658" s="482">
        <v>0.05</v>
      </c>
    </row>
    <row r="4659" spans="1:13" x14ac:dyDescent="0.2">
      <c r="A4659" t="s">
        <v>5999</v>
      </c>
      <c r="B4659" t="s">
        <v>15</v>
      </c>
      <c r="C4659" t="s">
        <v>1</v>
      </c>
      <c r="D4659" t="s">
        <v>3177</v>
      </c>
      <c r="E4659" t="s">
        <v>3178</v>
      </c>
      <c r="F4659" t="s">
        <v>16</v>
      </c>
      <c r="G4659">
        <v>19</v>
      </c>
      <c r="H4659">
        <v>0</v>
      </c>
      <c r="I4659">
        <v>1</v>
      </c>
      <c r="J4659">
        <v>20</v>
      </c>
      <c r="K4659" s="482">
        <v>0.95</v>
      </c>
      <c r="L4659" s="482">
        <v>0</v>
      </c>
      <c r="M4659" s="482">
        <v>0.05</v>
      </c>
    </row>
    <row r="4660" spans="1:13" x14ac:dyDescent="0.2">
      <c r="A4660" t="s">
        <v>6000</v>
      </c>
      <c r="B4660" t="s">
        <v>15</v>
      </c>
      <c r="C4660" t="s">
        <v>1</v>
      </c>
      <c r="D4660" t="s">
        <v>3174</v>
      </c>
      <c r="E4660" t="s">
        <v>3175</v>
      </c>
      <c r="F4660" t="s">
        <v>16</v>
      </c>
      <c r="G4660">
        <v>62</v>
      </c>
      <c r="H4660">
        <v>2</v>
      </c>
      <c r="I4660">
        <v>2</v>
      </c>
      <c r="J4660">
        <v>66</v>
      </c>
      <c r="K4660" s="482">
        <v>0.93899999999999995</v>
      </c>
      <c r="L4660" s="482">
        <v>0.03</v>
      </c>
      <c r="M4660" s="482">
        <v>0.03</v>
      </c>
    </row>
    <row r="4661" spans="1:13" x14ac:dyDescent="0.2">
      <c r="A4661" t="s">
        <v>6001</v>
      </c>
      <c r="B4661" t="s">
        <v>15</v>
      </c>
      <c r="C4661" t="s">
        <v>1</v>
      </c>
      <c r="D4661" t="s">
        <v>4254</v>
      </c>
      <c r="E4661" t="s">
        <v>4255</v>
      </c>
      <c r="F4661" t="s">
        <v>16</v>
      </c>
      <c r="G4661">
        <v>35</v>
      </c>
      <c r="H4661">
        <v>0</v>
      </c>
      <c r="I4661">
        <v>3</v>
      </c>
      <c r="J4661">
        <v>38</v>
      </c>
      <c r="K4661" s="482">
        <v>0.92100000000000004</v>
      </c>
      <c r="L4661" s="482">
        <v>0</v>
      </c>
      <c r="M4661" s="482">
        <v>7.9000000000000001E-2</v>
      </c>
    </row>
    <row r="4662" spans="1:13" x14ac:dyDescent="0.2">
      <c r="A4662" t="s">
        <v>6002</v>
      </c>
      <c r="B4662" t="s">
        <v>15</v>
      </c>
      <c r="C4662" t="s">
        <v>1</v>
      </c>
      <c r="D4662" t="s">
        <v>4251</v>
      </c>
      <c r="E4662" t="s">
        <v>4252</v>
      </c>
      <c r="F4662" t="s">
        <v>16</v>
      </c>
      <c r="G4662">
        <v>207</v>
      </c>
      <c r="H4662">
        <v>6</v>
      </c>
      <c r="I4662">
        <v>12</v>
      </c>
      <c r="J4662">
        <v>225</v>
      </c>
      <c r="K4662" s="482">
        <v>0.92</v>
      </c>
      <c r="L4662" s="482">
        <v>2.7E-2</v>
      </c>
      <c r="M4662" s="482">
        <v>5.2999999999999999E-2</v>
      </c>
    </row>
    <row r="4663" spans="1:13" x14ac:dyDescent="0.2">
      <c r="A4663" t="s">
        <v>6003</v>
      </c>
      <c r="B4663" t="s">
        <v>15</v>
      </c>
      <c r="C4663" t="s">
        <v>1</v>
      </c>
      <c r="D4663" t="s">
        <v>3171</v>
      </c>
      <c r="E4663" t="s">
        <v>3172</v>
      </c>
      <c r="F4663" t="s">
        <v>16</v>
      </c>
      <c r="G4663">
        <v>57</v>
      </c>
      <c r="H4663">
        <v>0</v>
      </c>
      <c r="I4663">
        <v>4</v>
      </c>
      <c r="J4663">
        <v>61</v>
      </c>
      <c r="K4663" s="482">
        <v>0.93400000000000005</v>
      </c>
      <c r="L4663" s="482">
        <v>0</v>
      </c>
      <c r="M4663" s="482">
        <v>6.6000000000000003E-2</v>
      </c>
    </row>
    <row r="4664" spans="1:13" x14ac:dyDescent="0.2">
      <c r="A4664" t="s">
        <v>6015</v>
      </c>
      <c r="B4664" t="s">
        <v>15</v>
      </c>
      <c r="C4664" t="s">
        <v>1</v>
      </c>
      <c r="D4664" t="s">
        <v>3127</v>
      </c>
      <c r="E4664" t="s">
        <v>3128</v>
      </c>
      <c r="F4664" t="s">
        <v>16</v>
      </c>
      <c r="G4664">
        <v>254</v>
      </c>
      <c r="H4664">
        <v>2</v>
      </c>
      <c r="I4664">
        <v>32</v>
      </c>
      <c r="J4664">
        <v>288</v>
      </c>
      <c r="K4664" s="482">
        <v>0.88200000000000001</v>
      </c>
      <c r="L4664" s="482">
        <v>7.0000000000000001E-3</v>
      </c>
      <c r="M4664" s="482">
        <v>0.111</v>
      </c>
    </row>
    <row r="4665" spans="1:13" x14ac:dyDescent="0.2">
      <c r="A4665" t="s">
        <v>6016</v>
      </c>
      <c r="B4665" t="s">
        <v>15</v>
      </c>
      <c r="C4665" t="s">
        <v>1</v>
      </c>
      <c r="D4665" t="s">
        <v>3124</v>
      </c>
      <c r="E4665" t="s">
        <v>3125</v>
      </c>
      <c r="F4665" t="s">
        <v>16</v>
      </c>
      <c r="G4665">
        <v>9</v>
      </c>
      <c r="H4665">
        <v>0</v>
      </c>
      <c r="I4665">
        <v>1</v>
      </c>
      <c r="J4665">
        <v>10</v>
      </c>
      <c r="K4665" s="482">
        <v>0.9</v>
      </c>
      <c r="L4665" s="482">
        <v>0</v>
      </c>
      <c r="M4665" s="482">
        <v>0.1</v>
      </c>
    </row>
    <row r="4666" spans="1:13" x14ac:dyDescent="0.2">
      <c r="A4666" t="s">
        <v>5993</v>
      </c>
      <c r="B4666" t="s">
        <v>15</v>
      </c>
      <c r="C4666" t="s">
        <v>1</v>
      </c>
      <c r="D4666" t="s">
        <v>3195</v>
      </c>
      <c r="E4666" t="s">
        <v>3196</v>
      </c>
      <c r="F4666" t="s">
        <v>16</v>
      </c>
      <c r="G4666">
        <v>150</v>
      </c>
      <c r="H4666">
        <v>4</v>
      </c>
      <c r="I4666">
        <v>9</v>
      </c>
      <c r="J4666">
        <v>163</v>
      </c>
      <c r="K4666" s="482">
        <v>0.92</v>
      </c>
      <c r="L4666" s="482">
        <v>2.5000000000000001E-2</v>
      </c>
      <c r="M4666" s="482">
        <v>5.5E-2</v>
      </c>
    </row>
    <row r="4667" spans="1:13" x14ac:dyDescent="0.2">
      <c r="A4667" t="s">
        <v>5994</v>
      </c>
      <c r="B4667" t="s">
        <v>15</v>
      </c>
      <c r="C4667" t="s">
        <v>1</v>
      </c>
      <c r="D4667" t="s">
        <v>3192</v>
      </c>
      <c r="E4667" t="s">
        <v>3193</v>
      </c>
      <c r="F4667" t="s">
        <v>16</v>
      </c>
      <c r="G4667">
        <v>154</v>
      </c>
      <c r="H4667">
        <v>2</v>
      </c>
      <c r="I4667">
        <v>7</v>
      </c>
      <c r="J4667">
        <v>163</v>
      </c>
      <c r="K4667" s="482">
        <v>0.94499999999999995</v>
      </c>
      <c r="L4667" s="482">
        <v>1.2E-2</v>
      </c>
      <c r="M4667" s="482">
        <v>4.2999999999999997E-2</v>
      </c>
    </row>
    <row r="4668" spans="1:13" x14ac:dyDescent="0.2">
      <c r="A4668" t="s">
        <v>6012</v>
      </c>
      <c r="B4668" t="s">
        <v>15</v>
      </c>
      <c r="C4668" t="s">
        <v>1</v>
      </c>
      <c r="D4668" t="s">
        <v>3145</v>
      </c>
      <c r="E4668" t="s">
        <v>3146</v>
      </c>
      <c r="F4668" t="s">
        <v>16</v>
      </c>
      <c r="G4668">
        <v>116</v>
      </c>
      <c r="H4668">
        <v>3</v>
      </c>
      <c r="I4668">
        <v>15</v>
      </c>
      <c r="J4668">
        <v>134</v>
      </c>
      <c r="K4668" s="482">
        <v>0.86599999999999999</v>
      </c>
      <c r="L4668" s="482">
        <v>2.1999999999999999E-2</v>
      </c>
      <c r="M4668" s="482">
        <v>0.112</v>
      </c>
    </row>
    <row r="4669" spans="1:13" x14ac:dyDescent="0.2">
      <c r="A4669" t="s">
        <v>6013</v>
      </c>
      <c r="B4669" t="s">
        <v>15</v>
      </c>
      <c r="C4669" t="s">
        <v>1</v>
      </c>
      <c r="D4669" t="s">
        <v>3142</v>
      </c>
      <c r="E4669" t="s">
        <v>3143</v>
      </c>
      <c r="F4669" t="s">
        <v>16</v>
      </c>
      <c r="G4669">
        <v>197</v>
      </c>
      <c r="H4669">
        <v>2</v>
      </c>
      <c r="I4669">
        <v>6</v>
      </c>
      <c r="J4669">
        <v>205</v>
      </c>
      <c r="K4669" s="482">
        <v>0.96099999999999997</v>
      </c>
      <c r="L4669" s="482">
        <v>0.01</v>
      </c>
      <c r="M4669" s="482">
        <v>2.9000000000000001E-2</v>
      </c>
    </row>
    <row r="4670" spans="1:13" x14ac:dyDescent="0.2">
      <c r="A4670" t="s">
        <v>6014</v>
      </c>
      <c r="B4670" t="s">
        <v>15</v>
      </c>
      <c r="C4670" t="s">
        <v>1</v>
      </c>
      <c r="D4670" t="s">
        <v>3130</v>
      </c>
      <c r="E4670" t="s">
        <v>3131</v>
      </c>
      <c r="F4670" t="s">
        <v>16</v>
      </c>
      <c r="G4670">
        <v>51</v>
      </c>
      <c r="H4670">
        <v>1</v>
      </c>
      <c r="I4670">
        <v>0</v>
      </c>
      <c r="J4670">
        <v>52</v>
      </c>
      <c r="K4670" s="482">
        <v>0.98099999999999998</v>
      </c>
      <c r="L4670" s="482">
        <v>1.9E-2</v>
      </c>
      <c r="M4670" s="482">
        <v>0</v>
      </c>
    </row>
    <row r="4671" spans="1:13" x14ac:dyDescent="0.2">
      <c r="A4671" t="s">
        <v>6004</v>
      </c>
      <c r="B4671" t="s">
        <v>15</v>
      </c>
      <c r="C4671" t="s">
        <v>1</v>
      </c>
      <c r="D4671" t="s">
        <v>3169</v>
      </c>
      <c r="E4671" t="s">
        <v>340</v>
      </c>
      <c r="F4671" t="s">
        <v>16</v>
      </c>
      <c r="G4671">
        <v>97</v>
      </c>
      <c r="H4671">
        <v>0</v>
      </c>
      <c r="I4671">
        <v>3</v>
      </c>
      <c r="J4671">
        <v>100</v>
      </c>
      <c r="K4671" s="482">
        <v>0.97</v>
      </c>
      <c r="L4671" s="482">
        <v>0</v>
      </c>
      <c r="M4671" s="482">
        <v>0.03</v>
      </c>
    </row>
    <row r="4672" spans="1:13" x14ac:dyDescent="0.2">
      <c r="A4672" t="s">
        <v>6005</v>
      </c>
      <c r="B4672" t="s">
        <v>15</v>
      </c>
      <c r="C4672" t="s">
        <v>1</v>
      </c>
      <c r="D4672" t="s">
        <v>3166</v>
      </c>
      <c r="E4672" t="s">
        <v>3167</v>
      </c>
      <c r="F4672" t="s">
        <v>16</v>
      </c>
      <c r="G4672">
        <v>155</v>
      </c>
      <c r="H4672">
        <v>2</v>
      </c>
      <c r="I4672">
        <v>10</v>
      </c>
      <c r="J4672">
        <v>167</v>
      </c>
      <c r="K4672" s="482">
        <v>0.92800000000000005</v>
      </c>
      <c r="L4672" s="482">
        <v>1.2E-2</v>
      </c>
      <c r="M4672" s="482">
        <v>0.06</v>
      </c>
    </row>
    <row r="4673" spans="1:13" x14ac:dyDescent="0.2">
      <c r="A4673" t="s">
        <v>6006</v>
      </c>
      <c r="B4673" t="s">
        <v>15</v>
      </c>
      <c r="C4673" t="s">
        <v>1</v>
      </c>
      <c r="D4673" t="s">
        <v>3163</v>
      </c>
      <c r="E4673" t="s">
        <v>3164</v>
      </c>
      <c r="F4673" t="s">
        <v>16</v>
      </c>
      <c r="G4673">
        <v>88</v>
      </c>
      <c r="H4673">
        <v>1</v>
      </c>
      <c r="I4673">
        <v>8</v>
      </c>
      <c r="J4673">
        <v>97</v>
      </c>
      <c r="K4673" s="482">
        <v>0.90700000000000003</v>
      </c>
      <c r="L4673" s="482">
        <v>0.01</v>
      </c>
      <c r="M4673" s="482">
        <v>8.2000000000000003E-2</v>
      </c>
    </row>
    <row r="4674" spans="1:13" x14ac:dyDescent="0.2">
      <c r="A4674" t="s">
        <v>6007</v>
      </c>
      <c r="B4674" t="s">
        <v>15</v>
      </c>
      <c r="C4674" t="s">
        <v>1</v>
      </c>
      <c r="D4674" t="s">
        <v>3160</v>
      </c>
      <c r="E4674" t="s">
        <v>3161</v>
      </c>
      <c r="F4674" t="s">
        <v>16</v>
      </c>
      <c r="G4674">
        <v>50</v>
      </c>
      <c r="H4674">
        <v>1</v>
      </c>
      <c r="I4674">
        <v>2</v>
      </c>
      <c r="J4674">
        <v>53</v>
      </c>
      <c r="K4674" s="482">
        <v>0.94299999999999995</v>
      </c>
      <c r="L4674" s="482">
        <v>1.9E-2</v>
      </c>
      <c r="M4674" s="482">
        <v>3.7999999999999999E-2</v>
      </c>
    </row>
    <row r="4675" spans="1:13" x14ac:dyDescent="0.2">
      <c r="A4675" t="s">
        <v>6008</v>
      </c>
      <c r="B4675" t="s">
        <v>15</v>
      </c>
      <c r="C4675" t="s">
        <v>1</v>
      </c>
      <c r="D4675" t="s">
        <v>3157</v>
      </c>
      <c r="E4675" t="s">
        <v>3158</v>
      </c>
      <c r="F4675" t="s">
        <v>16</v>
      </c>
      <c r="G4675">
        <v>124</v>
      </c>
      <c r="H4675">
        <v>2</v>
      </c>
      <c r="I4675">
        <v>9</v>
      </c>
      <c r="J4675">
        <v>135</v>
      </c>
      <c r="K4675" s="482">
        <v>0.91900000000000004</v>
      </c>
      <c r="L4675" s="482">
        <v>1.4999999999999999E-2</v>
      </c>
      <c r="M4675" s="482">
        <v>6.7000000000000004E-2</v>
      </c>
    </row>
    <row r="4676" spans="1:13" x14ac:dyDescent="0.2">
      <c r="A4676" t="s">
        <v>6009</v>
      </c>
      <c r="B4676" t="s">
        <v>15</v>
      </c>
      <c r="C4676" t="s">
        <v>1</v>
      </c>
      <c r="D4676" t="s">
        <v>3154</v>
      </c>
      <c r="E4676" t="s">
        <v>3155</v>
      </c>
      <c r="F4676" t="s">
        <v>16</v>
      </c>
      <c r="G4676">
        <v>52</v>
      </c>
      <c r="H4676">
        <v>0</v>
      </c>
      <c r="I4676">
        <v>2</v>
      </c>
      <c r="J4676">
        <v>54</v>
      </c>
      <c r="K4676" s="482">
        <v>0.96299999999999997</v>
      </c>
      <c r="L4676" s="482">
        <v>0</v>
      </c>
      <c r="M4676" s="482">
        <v>3.6999999999999998E-2</v>
      </c>
    </row>
    <row r="4677" spans="1:13" x14ac:dyDescent="0.2">
      <c r="A4677" t="s">
        <v>5990</v>
      </c>
      <c r="B4677" t="s">
        <v>15</v>
      </c>
      <c r="C4677" t="s">
        <v>1</v>
      </c>
      <c r="D4677" t="s">
        <v>3927</v>
      </c>
      <c r="E4677" t="s">
        <v>3928</v>
      </c>
      <c r="F4677" t="s">
        <v>16</v>
      </c>
      <c r="G4677">
        <v>130</v>
      </c>
      <c r="H4677">
        <v>1</v>
      </c>
      <c r="I4677">
        <v>3</v>
      </c>
      <c r="J4677">
        <v>134</v>
      </c>
      <c r="K4677" s="482">
        <v>0.97</v>
      </c>
      <c r="L4677" s="482">
        <v>7.0000000000000001E-3</v>
      </c>
      <c r="M4677" s="482">
        <v>2.1999999999999999E-2</v>
      </c>
    </row>
    <row r="4678" spans="1:13" x14ac:dyDescent="0.2">
      <c r="A4678" t="s">
        <v>5741</v>
      </c>
      <c r="B4678" t="s">
        <v>15</v>
      </c>
      <c r="C4678" t="s">
        <v>1</v>
      </c>
      <c r="D4678" t="s">
        <v>3921</v>
      </c>
      <c r="E4678" t="s">
        <v>3922</v>
      </c>
      <c r="F4678" t="s">
        <v>16</v>
      </c>
      <c r="G4678">
        <v>148</v>
      </c>
      <c r="H4678">
        <v>1</v>
      </c>
      <c r="I4678">
        <v>9</v>
      </c>
      <c r="J4678">
        <v>158</v>
      </c>
      <c r="K4678" s="482">
        <v>0.93700000000000006</v>
      </c>
      <c r="L4678" s="482">
        <v>6.0000000000000001E-3</v>
      </c>
      <c r="M4678" s="482">
        <v>5.7000000000000002E-2</v>
      </c>
    </row>
    <row r="4679" spans="1:13" x14ac:dyDescent="0.2">
      <c r="A4679" t="s">
        <v>5848</v>
      </c>
      <c r="B4679" t="s">
        <v>15</v>
      </c>
      <c r="C4679" t="s">
        <v>1</v>
      </c>
      <c r="D4679" t="s">
        <v>3600</v>
      </c>
      <c r="E4679" t="s">
        <v>3601</v>
      </c>
      <c r="F4679" t="s">
        <v>16</v>
      </c>
      <c r="G4679">
        <v>117</v>
      </c>
      <c r="H4679">
        <v>1</v>
      </c>
      <c r="I4679">
        <v>2</v>
      </c>
      <c r="J4679">
        <v>120</v>
      </c>
      <c r="K4679" s="482">
        <v>0.97499999999999998</v>
      </c>
      <c r="L4679" s="482">
        <v>8.0000000000000002E-3</v>
      </c>
      <c r="M4679" s="482">
        <v>1.7000000000000001E-2</v>
      </c>
    </row>
    <row r="4680" spans="1:13" x14ac:dyDescent="0.2">
      <c r="A4680" t="s">
        <v>5849</v>
      </c>
      <c r="B4680" t="s">
        <v>15</v>
      </c>
      <c r="C4680" t="s">
        <v>1</v>
      </c>
      <c r="D4680" t="s">
        <v>3597</v>
      </c>
      <c r="E4680" t="s">
        <v>3598</v>
      </c>
      <c r="F4680" t="s">
        <v>16</v>
      </c>
      <c r="G4680">
        <v>50</v>
      </c>
      <c r="H4680">
        <v>0</v>
      </c>
      <c r="I4680">
        <v>2</v>
      </c>
      <c r="J4680">
        <v>52</v>
      </c>
      <c r="K4680" s="482">
        <v>0.96199999999999997</v>
      </c>
      <c r="L4680" s="482">
        <v>0</v>
      </c>
      <c r="M4680" s="482">
        <v>3.7999999999999999E-2</v>
      </c>
    </row>
    <row r="4681" spans="1:13" x14ac:dyDescent="0.2">
      <c r="A4681" t="s">
        <v>5850</v>
      </c>
      <c r="B4681" t="s">
        <v>15</v>
      </c>
      <c r="C4681" t="s">
        <v>1</v>
      </c>
      <c r="D4681" t="s">
        <v>3594</v>
      </c>
      <c r="E4681" t="s">
        <v>3595</v>
      </c>
      <c r="F4681" t="s">
        <v>16</v>
      </c>
      <c r="G4681">
        <v>78</v>
      </c>
      <c r="H4681">
        <v>1</v>
      </c>
      <c r="I4681">
        <v>1</v>
      </c>
      <c r="J4681">
        <v>80</v>
      </c>
      <c r="K4681" s="482">
        <v>0.97499999999999998</v>
      </c>
      <c r="L4681" s="482">
        <v>1.2999999999999999E-2</v>
      </c>
      <c r="M4681" s="482">
        <v>1.2999999999999999E-2</v>
      </c>
    </row>
    <row r="4682" spans="1:13" x14ac:dyDescent="0.2">
      <c r="A4682" t="s">
        <v>5851</v>
      </c>
      <c r="B4682" t="s">
        <v>15</v>
      </c>
      <c r="C4682" t="s">
        <v>1</v>
      </c>
      <c r="D4682" t="s">
        <v>3591</v>
      </c>
      <c r="E4682" t="s">
        <v>3592</v>
      </c>
      <c r="F4682" t="s">
        <v>16</v>
      </c>
      <c r="G4682">
        <v>10</v>
      </c>
      <c r="H4682">
        <v>0</v>
      </c>
      <c r="I4682">
        <v>0</v>
      </c>
      <c r="J4682">
        <v>10</v>
      </c>
      <c r="K4682" s="482">
        <v>1</v>
      </c>
      <c r="L4682" s="482">
        <v>0</v>
      </c>
      <c r="M4682" s="482">
        <v>0</v>
      </c>
    </row>
    <row r="4683" spans="1:13" x14ac:dyDescent="0.2">
      <c r="A4683" t="s">
        <v>5739</v>
      </c>
      <c r="B4683" t="s">
        <v>15</v>
      </c>
      <c r="C4683" t="s">
        <v>1</v>
      </c>
      <c r="D4683" t="s">
        <v>3201</v>
      </c>
      <c r="E4683" t="s">
        <v>3202</v>
      </c>
      <c r="F4683" t="s">
        <v>16</v>
      </c>
      <c r="G4683">
        <v>110</v>
      </c>
      <c r="H4683">
        <v>1</v>
      </c>
      <c r="I4683">
        <v>2</v>
      </c>
      <c r="J4683">
        <v>113</v>
      </c>
      <c r="K4683" s="482">
        <v>0.97299999999999998</v>
      </c>
      <c r="L4683" s="482">
        <v>8.9999999999999993E-3</v>
      </c>
      <c r="M4683" s="482">
        <v>1.7999999999999999E-2</v>
      </c>
    </row>
    <row r="4684" spans="1:13" x14ac:dyDescent="0.2">
      <c r="A4684" t="s">
        <v>5847</v>
      </c>
      <c r="B4684" t="s">
        <v>15</v>
      </c>
      <c r="C4684" t="s">
        <v>1</v>
      </c>
      <c r="D4684" t="s">
        <v>3603</v>
      </c>
      <c r="E4684" t="s">
        <v>3604</v>
      </c>
      <c r="F4684" t="s">
        <v>16</v>
      </c>
      <c r="G4684">
        <v>7</v>
      </c>
      <c r="H4684">
        <v>0</v>
      </c>
      <c r="I4684">
        <v>0</v>
      </c>
      <c r="J4684">
        <v>7</v>
      </c>
      <c r="K4684" s="482">
        <v>1</v>
      </c>
      <c r="L4684" s="482">
        <v>0</v>
      </c>
      <c r="M4684" s="482">
        <v>0</v>
      </c>
    </row>
    <row r="4685" spans="1:13" x14ac:dyDescent="0.2">
      <c r="A4685" t="s">
        <v>6107</v>
      </c>
      <c r="B4685" t="s">
        <v>17</v>
      </c>
      <c r="C4685" t="s">
        <v>1</v>
      </c>
      <c r="D4685" t="s">
        <v>3600</v>
      </c>
      <c r="E4685" t="s">
        <v>3601</v>
      </c>
      <c r="F4685" t="s">
        <v>0</v>
      </c>
      <c r="G4685" t="s">
        <v>53</v>
      </c>
      <c r="H4685">
        <v>0</v>
      </c>
      <c r="I4685">
        <v>0</v>
      </c>
      <c r="J4685" t="s">
        <v>53</v>
      </c>
      <c r="K4685" t="s">
        <v>53</v>
      </c>
      <c r="L4685" t="s">
        <v>53</v>
      </c>
      <c r="M4685" t="s">
        <v>53</v>
      </c>
    </row>
    <row r="4686" spans="1:13" x14ac:dyDescent="0.2">
      <c r="A4686" t="s">
        <v>6056</v>
      </c>
      <c r="B4686" t="s">
        <v>17</v>
      </c>
      <c r="C4686" t="s">
        <v>1</v>
      </c>
      <c r="D4686" t="s">
        <v>3927</v>
      </c>
      <c r="E4686" t="s">
        <v>3928</v>
      </c>
      <c r="F4686" t="s">
        <v>0</v>
      </c>
      <c r="G4686">
        <v>4</v>
      </c>
      <c r="H4686">
        <v>0</v>
      </c>
      <c r="I4686">
        <v>2</v>
      </c>
      <c r="J4686">
        <v>6</v>
      </c>
      <c r="K4686" s="482">
        <v>0.66700000000000004</v>
      </c>
      <c r="L4686" s="482">
        <v>0</v>
      </c>
      <c r="M4686" s="482">
        <v>0.33300000000000002</v>
      </c>
    </row>
    <row r="4687" spans="1:13" x14ac:dyDescent="0.2">
      <c r="A4687" t="s">
        <v>6052</v>
      </c>
      <c r="B4687" t="s">
        <v>17</v>
      </c>
      <c r="C4687" t="s">
        <v>1</v>
      </c>
      <c r="D4687" t="s">
        <v>3157</v>
      </c>
      <c r="E4687" t="s">
        <v>3158</v>
      </c>
      <c r="F4687" t="s">
        <v>0</v>
      </c>
      <c r="G4687">
        <v>21</v>
      </c>
      <c r="H4687">
        <v>0</v>
      </c>
      <c r="I4687">
        <v>3</v>
      </c>
      <c r="J4687">
        <v>24</v>
      </c>
      <c r="K4687" s="482">
        <v>0.875</v>
      </c>
      <c r="L4687" s="482">
        <v>0</v>
      </c>
      <c r="M4687" s="482">
        <v>0.125</v>
      </c>
    </row>
    <row r="4688" spans="1:13" x14ac:dyDescent="0.2">
      <c r="A4688" t="s">
        <v>6053</v>
      </c>
      <c r="B4688" t="s">
        <v>17</v>
      </c>
      <c r="C4688" t="s">
        <v>1</v>
      </c>
      <c r="D4688" t="s">
        <v>3160</v>
      </c>
      <c r="E4688" t="s">
        <v>3161</v>
      </c>
      <c r="F4688" t="s">
        <v>0</v>
      </c>
      <c r="G4688" t="s">
        <v>53</v>
      </c>
      <c r="H4688">
        <v>0</v>
      </c>
      <c r="I4688">
        <v>0</v>
      </c>
      <c r="J4688" t="s">
        <v>53</v>
      </c>
      <c r="K4688" t="s">
        <v>53</v>
      </c>
      <c r="L4688" t="s">
        <v>53</v>
      </c>
      <c r="M4688" t="s">
        <v>53</v>
      </c>
    </row>
    <row r="4689" spans="1:13" x14ac:dyDescent="0.2">
      <c r="A4689" t="s">
        <v>6054</v>
      </c>
      <c r="B4689" t="s">
        <v>17</v>
      </c>
      <c r="C4689" t="s">
        <v>1</v>
      </c>
      <c r="D4689" t="s">
        <v>3163</v>
      </c>
      <c r="E4689" t="s">
        <v>3164</v>
      </c>
      <c r="F4689" t="s">
        <v>0</v>
      </c>
      <c r="G4689">
        <v>16</v>
      </c>
      <c r="H4689">
        <v>0</v>
      </c>
      <c r="I4689">
        <v>0</v>
      </c>
      <c r="J4689">
        <v>16</v>
      </c>
      <c r="K4689" s="482">
        <v>1</v>
      </c>
      <c r="L4689" s="482">
        <v>0</v>
      </c>
      <c r="M4689" s="482">
        <v>0</v>
      </c>
    </row>
    <row r="4690" spans="1:13" x14ac:dyDescent="0.2">
      <c r="A4690" t="s">
        <v>6049</v>
      </c>
      <c r="B4690" t="s">
        <v>17</v>
      </c>
      <c r="C4690" t="s">
        <v>1</v>
      </c>
      <c r="D4690" t="s">
        <v>3145</v>
      </c>
      <c r="E4690" t="s">
        <v>3146</v>
      </c>
      <c r="F4690" t="s">
        <v>0</v>
      </c>
      <c r="G4690">
        <v>39</v>
      </c>
      <c r="H4690">
        <v>0</v>
      </c>
      <c r="I4690">
        <v>14</v>
      </c>
      <c r="J4690">
        <v>53</v>
      </c>
      <c r="K4690" s="482">
        <v>0.73599999999999999</v>
      </c>
      <c r="L4690" s="482">
        <v>0</v>
      </c>
      <c r="M4690" s="482">
        <v>0.26400000000000001</v>
      </c>
    </row>
    <row r="4691" spans="1:13" x14ac:dyDescent="0.2">
      <c r="A4691" t="s">
        <v>6047</v>
      </c>
      <c r="B4691" t="s">
        <v>17</v>
      </c>
      <c r="C4691" t="s">
        <v>1</v>
      </c>
      <c r="D4691" t="s">
        <v>3124</v>
      </c>
      <c r="E4691" t="s">
        <v>3125</v>
      </c>
      <c r="F4691" t="s">
        <v>0</v>
      </c>
      <c r="G4691">
        <v>25</v>
      </c>
      <c r="H4691">
        <v>0</v>
      </c>
      <c r="I4691">
        <v>9</v>
      </c>
      <c r="J4691">
        <v>34</v>
      </c>
      <c r="K4691" s="482">
        <v>0.73499999999999999</v>
      </c>
      <c r="L4691" s="482">
        <v>0</v>
      </c>
      <c r="M4691" s="482">
        <v>0.26500000000000001</v>
      </c>
    </row>
    <row r="4692" spans="1:13" x14ac:dyDescent="0.2">
      <c r="A4692" t="s">
        <v>6048</v>
      </c>
      <c r="B4692" t="s">
        <v>17</v>
      </c>
      <c r="C4692" t="s">
        <v>1</v>
      </c>
      <c r="D4692" t="s">
        <v>3127</v>
      </c>
      <c r="E4692" t="s">
        <v>3128</v>
      </c>
      <c r="F4692" t="s">
        <v>0</v>
      </c>
      <c r="G4692">
        <v>20</v>
      </c>
      <c r="H4692">
        <v>0</v>
      </c>
      <c r="I4692">
        <v>12</v>
      </c>
      <c r="J4692">
        <v>32</v>
      </c>
      <c r="K4692" s="482">
        <v>0.625</v>
      </c>
      <c r="L4692" s="482">
        <v>0</v>
      </c>
      <c r="M4692" s="482">
        <v>0.375</v>
      </c>
    </row>
    <row r="4693" spans="1:13" x14ac:dyDescent="0.2">
      <c r="A4693" t="s">
        <v>6055</v>
      </c>
      <c r="B4693" t="s">
        <v>17</v>
      </c>
      <c r="C4693" t="s">
        <v>1</v>
      </c>
      <c r="D4693" t="s">
        <v>3189</v>
      </c>
      <c r="E4693" t="s">
        <v>3190</v>
      </c>
      <c r="F4693" t="s">
        <v>0</v>
      </c>
      <c r="G4693">
        <v>26</v>
      </c>
      <c r="H4693">
        <v>0</v>
      </c>
      <c r="I4693">
        <v>3</v>
      </c>
      <c r="J4693">
        <v>29</v>
      </c>
      <c r="K4693" s="482">
        <v>0.89700000000000002</v>
      </c>
      <c r="L4693" s="482">
        <v>0</v>
      </c>
      <c r="M4693" s="482">
        <v>0.10299999999999999</v>
      </c>
    </row>
    <row r="4694" spans="1:13" x14ac:dyDescent="0.2">
      <c r="A4694" t="s">
        <v>6148</v>
      </c>
      <c r="B4694" t="s">
        <v>17</v>
      </c>
      <c r="C4694" t="s">
        <v>1</v>
      </c>
      <c r="D4694" t="s">
        <v>3799</v>
      </c>
      <c r="E4694" t="s">
        <v>3800</v>
      </c>
      <c r="F4694" t="s">
        <v>0</v>
      </c>
      <c r="G4694">
        <v>28</v>
      </c>
      <c r="H4694">
        <v>0</v>
      </c>
      <c r="I4694">
        <v>6</v>
      </c>
      <c r="J4694">
        <v>34</v>
      </c>
      <c r="K4694" s="482">
        <v>0.82399999999999995</v>
      </c>
      <c r="L4694" s="482">
        <v>0</v>
      </c>
      <c r="M4694" s="482">
        <v>0.17599999999999999</v>
      </c>
    </row>
    <row r="4695" spans="1:13" x14ac:dyDescent="0.2">
      <c r="A4695" t="s">
        <v>6150</v>
      </c>
      <c r="B4695" t="s">
        <v>17</v>
      </c>
      <c r="C4695" t="s">
        <v>1</v>
      </c>
      <c r="D4695" t="s">
        <v>3796</v>
      </c>
      <c r="E4695" t="s">
        <v>3797</v>
      </c>
      <c r="F4695" t="s">
        <v>0</v>
      </c>
      <c r="G4695">
        <v>15</v>
      </c>
      <c r="H4695">
        <v>0</v>
      </c>
      <c r="I4695">
        <v>2</v>
      </c>
      <c r="J4695">
        <v>17</v>
      </c>
      <c r="K4695" s="482">
        <v>0.88200000000000001</v>
      </c>
      <c r="L4695" s="482">
        <v>0</v>
      </c>
      <c r="M4695" s="482">
        <v>0.11799999999999999</v>
      </c>
    </row>
    <row r="4696" spans="1:13" x14ac:dyDescent="0.2">
      <c r="A4696" t="s">
        <v>6151</v>
      </c>
      <c r="B4696" t="s">
        <v>17</v>
      </c>
      <c r="C4696" t="s">
        <v>1</v>
      </c>
      <c r="D4696" t="s">
        <v>3802</v>
      </c>
      <c r="E4696" t="s">
        <v>3803</v>
      </c>
      <c r="F4696" t="s">
        <v>0</v>
      </c>
      <c r="G4696">
        <v>25</v>
      </c>
      <c r="H4696">
        <v>0</v>
      </c>
      <c r="I4696">
        <v>7</v>
      </c>
      <c r="J4696">
        <v>32</v>
      </c>
      <c r="K4696" s="482">
        <v>0.78100000000000003</v>
      </c>
      <c r="L4696" s="482">
        <v>0</v>
      </c>
      <c r="M4696" s="482">
        <v>0.219</v>
      </c>
    </row>
    <row r="4697" spans="1:13" x14ac:dyDescent="0.2">
      <c r="A4697" t="s">
        <v>6104</v>
      </c>
      <c r="B4697" t="s">
        <v>17</v>
      </c>
      <c r="C4697" t="s">
        <v>1</v>
      </c>
      <c r="D4697" t="s">
        <v>3570</v>
      </c>
      <c r="E4697" t="s">
        <v>3571</v>
      </c>
      <c r="F4697" t="s">
        <v>0</v>
      </c>
      <c r="G4697" t="s">
        <v>53</v>
      </c>
      <c r="H4697">
        <v>0</v>
      </c>
      <c r="I4697">
        <v>0</v>
      </c>
      <c r="J4697" t="s">
        <v>53</v>
      </c>
      <c r="K4697" t="s">
        <v>53</v>
      </c>
      <c r="L4697" t="s">
        <v>53</v>
      </c>
      <c r="M4697" t="s">
        <v>53</v>
      </c>
    </row>
    <row r="4698" spans="1:13" x14ac:dyDescent="0.2">
      <c r="A4698" t="s">
        <v>6105</v>
      </c>
      <c r="B4698" t="s">
        <v>17</v>
      </c>
      <c r="C4698" t="s">
        <v>1</v>
      </c>
      <c r="D4698" t="s">
        <v>3576</v>
      </c>
      <c r="E4698" t="s">
        <v>3577</v>
      </c>
      <c r="F4698" t="s">
        <v>0</v>
      </c>
      <c r="G4698" t="s">
        <v>53</v>
      </c>
      <c r="H4698">
        <v>0</v>
      </c>
      <c r="I4698" t="s">
        <v>53</v>
      </c>
      <c r="J4698" t="s">
        <v>53</v>
      </c>
      <c r="K4698" t="s">
        <v>53</v>
      </c>
      <c r="L4698" t="s">
        <v>53</v>
      </c>
      <c r="M4698" t="s">
        <v>53</v>
      </c>
    </row>
    <row r="4699" spans="1:13" x14ac:dyDescent="0.2">
      <c r="A4699" t="s">
        <v>6106</v>
      </c>
      <c r="B4699" t="s">
        <v>17</v>
      </c>
      <c r="C4699" t="s">
        <v>1</v>
      </c>
      <c r="D4699" t="s">
        <v>3588</v>
      </c>
      <c r="E4699" t="s">
        <v>3589</v>
      </c>
      <c r="F4699" t="s">
        <v>0</v>
      </c>
      <c r="G4699">
        <v>27</v>
      </c>
      <c r="H4699">
        <v>0</v>
      </c>
      <c r="I4699">
        <v>12</v>
      </c>
      <c r="J4699">
        <v>39</v>
      </c>
      <c r="K4699" s="482">
        <v>0.69199999999999995</v>
      </c>
      <c r="L4699" s="482">
        <v>0</v>
      </c>
      <c r="M4699" s="482">
        <v>0.308</v>
      </c>
    </row>
    <row r="4700" spans="1:13" x14ac:dyDescent="0.2">
      <c r="A4700" t="s">
        <v>6101</v>
      </c>
      <c r="B4700" t="s">
        <v>17</v>
      </c>
      <c r="C4700" t="s">
        <v>1</v>
      </c>
      <c r="D4700" t="s">
        <v>3558</v>
      </c>
      <c r="E4700" t="s">
        <v>3559</v>
      </c>
      <c r="F4700" t="s">
        <v>0</v>
      </c>
      <c r="G4700">
        <v>27</v>
      </c>
      <c r="H4700">
        <v>0</v>
      </c>
      <c r="I4700">
        <v>6</v>
      </c>
      <c r="J4700">
        <v>33</v>
      </c>
      <c r="K4700" s="482">
        <v>0.81799999999999995</v>
      </c>
      <c r="L4700" s="482">
        <v>0</v>
      </c>
      <c r="M4700" s="482">
        <v>0.182</v>
      </c>
    </row>
    <row r="4701" spans="1:13" x14ac:dyDescent="0.2">
      <c r="A4701" t="s">
        <v>6097</v>
      </c>
      <c r="B4701" t="s">
        <v>17</v>
      </c>
      <c r="C4701" t="s">
        <v>1</v>
      </c>
      <c r="D4701" t="s">
        <v>3546</v>
      </c>
      <c r="E4701" t="s">
        <v>3547</v>
      </c>
      <c r="F4701" t="s">
        <v>0</v>
      </c>
      <c r="G4701" t="s">
        <v>53</v>
      </c>
      <c r="H4701">
        <v>0</v>
      </c>
      <c r="I4701">
        <v>0</v>
      </c>
      <c r="J4701" t="s">
        <v>53</v>
      </c>
      <c r="K4701" t="s">
        <v>53</v>
      </c>
      <c r="L4701" t="s">
        <v>53</v>
      </c>
      <c r="M4701" t="s">
        <v>53</v>
      </c>
    </row>
    <row r="4702" spans="1:13" x14ac:dyDescent="0.2">
      <c r="A4702" t="s">
        <v>6092</v>
      </c>
      <c r="B4702" t="s">
        <v>17</v>
      </c>
      <c r="C4702" t="s">
        <v>1</v>
      </c>
      <c r="D4702" t="s">
        <v>3517</v>
      </c>
      <c r="E4702" t="s">
        <v>3518</v>
      </c>
      <c r="F4702" t="s">
        <v>0</v>
      </c>
      <c r="G4702">
        <v>59</v>
      </c>
      <c r="H4702">
        <v>0</v>
      </c>
      <c r="I4702">
        <v>14</v>
      </c>
      <c r="J4702">
        <v>73</v>
      </c>
      <c r="K4702" s="482">
        <v>0.80800000000000005</v>
      </c>
      <c r="L4702" s="482">
        <v>0</v>
      </c>
      <c r="M4702" s="482">
        <v>0.192</v>
      </c>
    </row>
    <row r="4703" spans="1:13" x14ac:dyDescent="0.2">
      <c r="A4703" t="s">
        <v>6096</v>
      </c>
      <c r="B4703" t="s">
        <v>17</v>
      </c>
      <c r="C4703" t="s">
        <v>1</v>
      </c>
      <c r="D4703" t="s">
        <v>3537</v>
      </c>
      <c r="E4703" t="s">
        <v>3538</v>
      </c>
      <c r="F4703" t="s">
        <v>0</v>
      </c>
      <c r="G4703">
        <v>40</v>
      </c>
      <c r="H4703">
        <v>0</v>
      </c>
      <c r="I4703">
        <v>5</v>
      </c>
      <c r="J4703">
        <v>45</v>
      </c>
      <c r="K4703" s="482">
        <v>0.88900000000000001</v>
      </c>
      <c r="L4703" s="482">
        <v>0</v>
      </c>
      <c r="M4703" s="482">
        <v>0.111</v>
      </c>
    </row>
    <row r="4704" spans="1:13" x14ac:dyDescent="0.2">
      <c r="A4704" t="s">
        <v>6636</v>
      </c>
      <c r="B4704" t="s">
        <v>17</v>
      </c>
      <c r="C4704" t="s">
        <v>1</v>
      </c>
      <c r="D4704" t="s">
        <v>3543</v>
      </c>
      <c r="E4704" t="s">
        <v>3544</v>
      </c>
      <c r="F4704" t="s">
        <v>0</v>
      </c>
      <c r="G4704">
        <v>16</v>
      </c>
      <c r="H4704">
        <v>0</v>
      </c>
      <c r="I4704">
        <v>6</v>
      </c>
      <c r="J4704">
        <v>22</v>
      </c>
      <c r="K4704" s="482">
        <v>0.72699999999999998</v>
      </c>
      <c r="L4704" s="482">
        <v>0</v>
      </c>
      <c r="M4704" s="482">
        <v>0.27300000000000002</v>
      </c>
    </row>
    <row r="4705" spans="1:13" x14ac:dyDescent="0.2">
      <c r="A4705" t="s">
        <v>6637</v>
      </c>
      <c r="B4705" t="s">
        <v>17</v>
      </c>
      <c r="C4705" t="s">
        <v>1</v>
      </c>
      <c r="D4705" t="s">
        <v>3278</v>
      </c>
      <c r="E4705" t="s">
        <v>6578</v>
      </c>
      <c r="F4705" t="s">
        <v>0</v>
      </c>
      <c r="G4705">
        <v>35</v>
      </c>
      <c r="H4705">
        <v>0</v>
      </c>
      <c r="I4705">
        <v>7</v>
      </c>
      <c r="J4705">
        <v>42</v>
      </c>
      <c r="K4705" s="482">
        <v>0.83299999999999996</v>
      </c>
      <c r="L4705" s="482">
        <v>0</v>
      </c>
      <c r="M4705" s="482">
        <v>0.16700000000000001</v>
      </c>
    </row>
    <row r="4706" spans="1:13" x14ac:dyDescent="0.2">
      <c r="A4706" t="s">
        <v>6057</v>
      </c>
      <c r="B4706" t="s">
        <v>17</v>
      </c>
      <c r="C4706" t="s">
        <v>1</v>
      </c>
      <c r="D4706" t="s">
        <v>3216</v>
      </c>
      <c r="E4706" t="s">
        <v>3217</v>
      </c>
      <c r="F4706" t="s">
        <v>0</v>
      </c>
      <c r="G4706">
        <v>12</v>
      </c>
      <c r="H4706">
        <v>0</v>
      </c>
      <c r="I4706">
        <v>1</v>
      </c>
      <c r="J4706">
        <v>13</v>
      </c>
      <c r="K4706" s="482">
        <v>0.92300000000000004</v>
      </c>
      <c r="L4706" s="482">
        <v>0</v>
      </c>
      <c r="M4706" s="482">
        <v>7.6999999999999999E-2</v>
      </c>
    </row>
    <row r="4707" spans="1:13" x14ac:dyDescent="0.2">
      <c r="A4707" t="s">
        <v>6058</v>
      </c>
      <c r="B4707" t="s">
        <v>17</v>
      </c>
      <c r="C4707" t="s">
        <v>1</v>
      </c>
      <c r="D4707" t="s">
        <v>3219</v>
      </c>
      <c r="E4707" t="s">
        <v>3220</v>
      </c>
      <c r="F4707" t="s">
        <v>0</v>
      </c>
      <c r="G4707">
        <v>15</v>
      </c>
      <c r="H4707">
        <v>0</v>
      </c>
      <c r="I4707">
        <v>3</v>
      </c>
      <c r="J4707">
        <v>18</v>
      </c>
      <c r="K4707" s="482">
        <v>0.83299999999999996</v>
      </c>
      <c r="L4707" s="482">
        <v>0</v>
      </c>
      <c r="M4707" s="482">
        <v>0.16700000000000001</v>
      </c>
    </row>
    <row r="4708" spans="1:13" x14ac:dyDescent="0.2">
      <c r="A4708" t="s">
        <v>6059</v>
      </c>
      <c r="B4708" t="s">
        <v>17</v>
      </c>
      <c r="C4708" t="s">
        <v>1</v>
      </c>
      <c r="D4708" t="s">
        <v>3222</v>
      </c>
      <c r="E4708" t="s">
        <v>3223</v>
      </c>
      <c r="F4708" t="s">
        <v>0</v>
      </c>
      <c r="G4708">
        <v>0</v>
      </c>
      <c r="H4708">
        <v>0</v>
      </c>
      <c r="I4708" t="s">
        <v>53</v>
      </c>
      <c r="J4708" t="s">
        <v>53</v>
      </c>
      <c r="K4708" t="s">
        <v>53</v>
      </c>
      <c r="L4708" t="s">
        <v>53</v>
      </c>
      <c r="M4708" t="s">
        <v>53</v>
      </c>
    </row>
    <row r="4709" spans="1:13" x14ac:dyDescent="0.2">
      <c r="A4709" t="s">
        <v>6116</v>
      </c>
      <c r="B4709" t="s">
        <v>17</v>
      </c>
      <c r="C4709" t="s">
        <v>1</v>
      </c>
      <c r="D4709" t="s">
        <v>3651</v>
      </c>
      <c r="E4709" t="s">
        <v>3652</v>
      </c>
      <c r="F4709" t="s">
        <v>0</v>
      </c>
      <c r="G4709">
        <v>147</v>
      </c>
      <c r="H4709">
        <v>0</v>
      </c>
      <c r="I4709">
        <v>21</v>
      </c>
      <c r="J4709">
        <v>168</v>
      </c>
      <c r="K4709" s="482">
        <v>0.875</v>
      </c>
      <c r="L4709" s="482">
        <v>0</v>
      </c>
      <c r="M4709" s="482">
        <v>0.125</v>
      </c>
    </row>
    <row r="4710" spans="1:13" x14ac:dyDescent="0.2">
      <c r="A4710" t="s">
        <v>6117</v>
      </c>
      <c r="B4710" t="s">
        <v>17</v>
      </c>
      <c r="C4710" t="s">
        <v>1</v>
      </c>
      <c r="D4710" t="s">
        <v>3657</v>
      </c>
      <c r="E4710" t="s">
        <v>3658</v>
      </c>
      <c r="F4710" t="s">
        <v>0</v>
      </c>
      <c r="G4710">
        <v>32</v>
      </c>
      <c r="H4710">
        <v>0</v>
      </c>
      <c r="I4710">
        <v>2</v>
      </c>
      <c r="J4710">
        <v>34</v>
      </c>
      <c r="K4710" s="482">
        <v>0.94099999999999995</v>
      </c>
      <c r="L4710" s="482">
        <v>0</v>
      </c>
      <c r="M4710" s="482">
        <v>5.8999999999999997E-2</v>
      </c>
    </row>
    <row r="4711" spans="1:13" x14ac:dyDescent="0.2">
      <c r="A4711" t="s">
        <v>6115</v>
      </c>
      <c r="B4711" t="s">
        <v>17</v>
      </c>
      <c r="C4711" t="s">
        <v>1</v>
      </c>
      <c r="D4711" t="s">
        <v>3641</v>
      </c>
      <c r="E4711" t="s">
        <v>3642</v>
      </c>
      <c r="F4711" t="s">
        <v>0</v>
      </c>
      <c r="G4711">
        <v>65</v>
      </c>
      <c r="H4711">
        <v>0</v>
      </c>
      <c r="I4711">
        <v>10</v>
      </c>
      <c r="J4711">
        <v>75</v>
      </c>
      <c r="K4711" s="482">
        <v>0.86699999999999999</v>
      </c>
      <c r="L4711" s="482">
        <v>0</v>
      </c>
      <c r="M4711" s="482">
        <v>0.13300000000000001</v>
      </c>
    </row>
    <row r="4712" spans="1:13" x14ac:dyDescent="0.2">
      <c r="A4712" t="s">
        <v>6638</v>
      </c>
      <c r="B4712" t="s">
        <v>17</v>
      </c>
      <c r="C4712" t="s">
        <v>1</v>
      </c>
      <c r="D4712" t="s">
        <v>3643</v>
      </c>
      <c r="E4712" t="s">
        <v>6580</v>
      </c>
      <c r="F4712" t="s">
        <v>0</v>
      </c>
      <c r="G4712">
        <v>20</v>
      </c>
      <c r="H4712">
        <v>0</v>
      </c>
      <c r="I4712">
        <v>2</v>
      </c>
      <c r="J4712">
        <v>22</v>
      </c>
      <c r="K4712" s="482">
        <v>0.90900000000000003</v>
      </c>
      <c r="L4712" s="482">
        <v>0</v>
      </c>
      <c r="M4712" s="482">
        <v>9.0999999999999998E-2</v>
      </c>
    </row>
    <row r="4713" spans="1:13" x14ac:dyDescent="0.2">
      <c r="A4713" t="s">
        <v>6118</v>
      </c>
      <c r="B4713" t="s">
        <v>17</v>
      </c>
      <c r="C4713" t="s">
        <v>1</v>
      </c>
      <c r="D4713" t="s">
        <v>3660</v>
      </c>
      <c r="E4713" t="s">
        <v>3661</v>
      </c>
      <c r="F4713" t="s">
        <v>0</v>
      </c>
      <c r="G4713" t="s">
        <v>53</v>
      </c>
      <c r="H4713">
        <v>0</v>
      </c>
      <c r="I4713">
        <v>0</v>
      </c>
      <c r="J4713" t="s">
        <v>53</v>
      </c>
      <c r="K4713" t="s">
        <v>53</v>
      </c>
      <c r="L4713" t="s">
        <v>53</v>
      </c>
      <c r="M4713" t="s">
        <v>53</v>
      </c>
    </row>
    <row r="4714" spans="1:13" x14ac:dyDescent="0.2">
      <c r="A4714" t="s">
        <v>6119</v>
      </c>
      <c r="B4714" t="s">
        <v>17</v>
      </c>
      <c r="C4714" t="s">
        <v>1</v>
      </c>
      <c r="D4714" t="s">
        <v>3663</v>
      </c>
      <c r="E4714" t="s">
        <v>3664</v>
      </c>
      <c r="F4714" t="s">
        <v>0</v>
      </c>
      <c r="G4714">
        <v>17</v>
      </c>
      <c r="H4714">
        <v>0</v>
      </c>
      <c r="I4714">
        <v>7</v>
      </c>
      <c r="J4714">
        <v>24</v>
      </c>
      <c r="K4714" s="482">
        <v>0.70799999999999996</v>
      </c>
      <c r="L4714" s="482">
        <v>0</v>
      </c>
      <c r="M4714" s="482">
        <v>0.29199999999999998</v>
      </c>
    </row>
    <row r="4715" spans="1:13" x14ac:dyDescent="0.2">
      <c r="A4715" t="s">
        <v>6120</v>
      </c>
      <c r="B4715" t="s">
        <v>17</v>
      </c>
      <c r="C4715" t="s">
        <v>1</v>
      </c>
      <c r="D4715" t="s">
        <v>3669</v>
      </c>
      <c r="E4715" t="s">
        <v>3670</v>
      </c>
      <c r="F4715" t="s">
        <v>0</v>
      </c>
      <c r="G4715">
        <v>49</v>
      </c>
      <c r="H4715">
        <v>0</v>
      </c>
      <c r="I4715">
        <v>12</v>
      </c>
      <c r="J4715">
        <v>61</v>
      </c>
      <c r="K4715" s="482">
        <v>0.80300000000000005</v>
      </c>
      <c r="L4715" s="482">
        <v>0</v>
      </c>
      <c r="M4715" s="482">
        <v>0.19700000000000001</v>
      </c>
    </row>
    <row r="4716" spans="1:13" x14ac:dyDescent="0.2">
      <c r="A4716" t="s">
        <v>6121</v>
      </c>
      <c r="B4716" t="s">
        <v>17</v>
      </c>
      <c r="C4716" t="s">
        <v>1</v>
      </c>
      <c r="D4716" t="s">
        <v>3672</v>
      </c>
      <c r="E4716" t="s">
        <v>3673</v>
      </c>
      <c r="F4716" t="s">
        <v>0</v>
      </c>
      <c r="G4716">
        <v>26</v>
      </c>
      <c r="H4716">
        <v>0</v>
      </c>
      <c r="I4716">
        <v>19</v>
      </c>
      <c r="J4716">
        <v>45</v>
      </c>
      <c r="K4716" s="482">
        <v>0.57799999999999996</v>
      </c>
      <c r="L4716" s="482">
        <v>0</v>
      </c>
      <c r="M4716" s="482">
        <v>0.42199999999999999</v>
      </c>
    </row>
    <row r="4717" spans="1:13" x14ac:dyDescent="0.2">
      <c r="A4717" t="s">
        <v>6062</v>
      </c>
      <c r="B4717" t="s">
        <v>17</v>
      </c>
      <c r="C4717" t="s">
        <v>1</v>
      </c>
      <c r="D4717" t="s">
        <v>3270</v>
      </c>
      <c r="E4717" t="s">
        <v>3271</v>
      </c>
      <c r="F4717" t="s">
        <v>0</v>
      </c>
      <c r="G4717" t="s">
        <v>53</v>
      </c>
      <c r="H4717">
        <v>0</v>
      </c>
      <c r="I4717">
        <v>0</v>
      </c>
      <c r="J4717" t="s">
        <v>53</v>
      </c>
      <c r="K4717" t="s">
        <v>53</v>
      </c>
      <c r="L4717" t="s">
        <v>53</v>
      </c>
      <c r="M4717" t="s">
        <v>53</v>
      </c>
    </row>
    <row r="4718" spans="1:13" x14ac:dyDescent="0.2">
      <c r="A4718" t="s">
        <v>6159</v>
      </c>
      <c r="B4718" t="s">
        <v>17</v>
      </c>
      <c r="C4718" t="s">
        <v>1</v>
      </c>
      <c r="D4718" t="s">
        <v>3832</v>
      </c>
      <c r="E4718" t="s">
        <v>3833</v>
      </c>
      <c r="F4718" t="s">
        <v>0</v>
      </c>
      <c r="G4718">
        <v>6</v>
      </c>
      <c r="H4718">
        <v>0</v>
      </c>
      <c r="I4718">
        <v>0</v>
      </c>
      <c r="J4718">
        <v>6</v>
      </c>
      <c r="K4718" s="482">
        <v>1</v>
      </c>
      <c r="L4718" s="482">
        <v>0</v>
      </c>
      <c r="M4718" s="482">
        <v>0</v>
      </c>
    </row>
    <row r="4719" spans="1:13" x14ac:dyDescent="0.2">
      <c r="A4719" t="s">
        <v>6094</v>
      </c>
      <c r="B4719" t="s">
        <v>17</v>
      </c>
      <c r="C4719" t="s">
        <v>1</v>
      </c>
      <c r="D4719" t="s">
        <v>3706</v>
      </c>
      <c r="E4719" t="s">
        <v>3707</v>
      </c>
      <c r="F4719" t="s">
        <v>0</v>
      </c>
      <c r="G4719">
        <v>11</v>
      </c>
      <c r="H4719">
        <v>0</v>
      </c>
      <c r="I4719">
        <v>2</v>
      </c>
      <c r="J4719">
        <v>13</v>
      </c>
      <c r="K4719" s="482">
        <v>0.84599999999999997</v>
      </c>
      <c r="L4719" s="482">
        <v>0</v>
      </c>
      <c r="M4719" s="482">
        <v>0.154</v>
      </c>
    </row>
    <row r="4720" spans="1:13" x14ac:dyDescent="0.2">
      <c r="A4720" t="s">
        <v>6095</v>
      </c>
      <c r="B4720" t="s">
        <v>17</v>
      </c>
      <c r="C4720" t="s">
        <v>1</v>
      </c>
      <c r="D4720" t="s">
        <v>3531</v>
      </c>
      <c r="E4720" t="s">
        <v>3532</v>
      </c>
      <c r="F4720" t="s">
        <v>0</v>
      </c>
      <c r="G4720">
        <v>7</v>
      </c>
      <c r="H4720">
        <v>0</v>
      </c>
      <c r="I4720">
        <v>7</v>
      </c>
      <c r="J4720">
        <v>14</v>
      </c>
      <c r="K4720" s="482">
        <v>0.5</v>
      </c>
      <c r="L4720" s="482">
        <v>0</v>
      </c>
      <c r="M4720" s="482">
        <v>0.5</v>
      </c>
    </row>
    <row r="4721" spans="1:13" x14ac:dyDescent="0.2">
      <c r="A4721" t="s">
        <v>6129</v>
      </c>
      <c r="B4721" t="s">
        <v>17</v>
      </c>
      <c r="C4721" t="s">
        <v>1</v>
      </c>
      <c r="D4721" t="s">
        <v>3721</v>
      </c>
      <c r="E4721" t="s">
        <v>3722</v>
      </c>
      <c r="F4721" t="s">
        <v>0</v>
      </c>
      <c r="G4721">
        <v>29</v>
      </c>
      <c r="H4721">
        <v>0</v>
      </c>
      <c r="I4721">
        <v>3</v>
      </c>
      <c r="J4721">
        <v>32</v>
      </c>
      <c r="K4721" s="482">
        <v>0.90600000000000003</v>
      </c>
      <c r="L4721" s="482">
        <v>0</v>
      </c>
      <c r="M4721" s="482">
        <v>9.4E-2</v>
      </c>
    </row>
    <row r="4722" spans="1:13" x14ac:dyDescent="0.2">
      <c r="A4722" t="s">
        <v>6130</v>
      </c>
      <c r="B4722" t="s">
        <v>17</v>
      </c>
      <c r="C4722" t="s">
        <v>1</v>
      </c>
      <c r="D4722" t="s">
        <v>3724</v>
      </c>
      <c r="E4722" t="s">
        <v>3725</v>
      </c>
      <c r="F4722" t="s">
        <v>0</v>
      </c>
      <c r="G4722">
        <v>8</v>
      </c>
      <c r="H4722">
        <v>0</v>
      </c>
      <c r="I4722">
        <v>1</v>
      </c>
      <c r="J4722">
        <v>9</v>
      </c>
      <c r="K4722" s="482">
        <v>0.88900000000000001</v>
      </c>
      <c r="L4722" s="482">
        <v>0</v>
      </c>
      <c r="M4722" s="482">
        <v>0.111</v>
      </c>
    </row>
    <row r="4723" spans="1:13" x14ac:dyDescent="0.2">
      <c r="A4723" t="s">
        <v>6131</v>
      </c>
      <c r="B4723" t="s">
        <v>17</v>
      </c>
      <c r="C4723" t="s">
        <v>1</v>
      </c>
      <c r="D4723" t="s">
        <v>3727</v>
      </c>
      <c r="E4723" t="s">
        <v>3728</v>
      </c>
      <c r="F4723" t="s">
        <v>0</v>
      </c>
      <c r="G4723">
        <v>18</v>
      </c>
      <c r="H4723">
        <v>0</v>
      </c>
      <c r="I4723">
        <v>3</v>
      </c>
      <c r="J4723">
        <v>21</v>
      </c>
      <c r="K4723" s="482">
        <v>0.85699999999999998</v>
      </c>
      <c r="L4723" s="482">
        <v>0</v>
      </c>
      <c r="M4723" s="482">
        <v>0.14299999999999999</v>
      </c>
    </row>
    <row r="4724" spans="1:13" x14ac:dyDescent="0.2">
      <c r="A4724" t="s">
        <v>6132</v>
      </c>
      <c r="B4724" t="s">
        <v>17</v>
      </c>
      <c r="C4724" t="s">
        <v>1</v>
      </c>
      <c r="D4724" t="s">
        <v>3730</v>
      </c>
      <c r="E4724" t="s">
        <v>3731</v>
      </c>
      <c r="F4724" t="s">
        <v>0</v>
      </c>
      <c r="G4724">
        <v>12</v>
      </c>
      <c r="H4724">
        <v>0</v>
      </c>
      <c r="I4724">
        <v>3</v>
      </c>
      <c r="J4724">
        <v>15</v>
      </c>
      <c r="K4724" s="482">
        <v>0.8</v>
      </c>
      <c r="L4724" s="482">
        <v>0</v>
      </c>
      <c r="M4724" s="482">
        <v>0.2</v>
      </c>
    </row>
    <row r="4725" spans="1:13" x14ac:dyDescent="0.2">
      <c r="A4725" t="s">
        <v>6133</v>
      </c>
      <c r="B4725" t="s">
        <v>17</v>
      </c>
      <c r="C4725" t="s">
        <v>1</v>
      </c>
      <c r="D4725" t="s">
        <v>3733</v>
      </c>
      <c r="E4725" t="s">
        <v>3734</v>
      </c>
      <c r="F4725" t="s">
        <v>0</v>
      </c>
      <c r="G4725">
        <v>98</v>
      </c>
      <c r="H4725">
        <v>0</v>
      </c>
      <c r="I4725">
        <v>19</v>
      </c>
      <c r="J4725">
        <v>117</v>
      </c>
      <c r="K4725" s="482">
        <v>0.83799999999999997</v>
      </c>
      <c r="L4725" s="482">
        <v>0</v>
      </c>
      <c r="M4725" s="482">
        <v>0.16200000000000001</v>
      </c>
    </row>
    <row r="4726" spans="1:13" x14ac:dyDescent="0.2">
      <c r="A4726" t="s">
        <v>6126</v>
      </c>
      <c r="B4726" t="s">
        <v>17</v>
      </c>
      <c r="C4726" t="s">
        <v>1</v>
      </c>
      <c r="D4726" t="s">
        <v>3712</v>
      </c>
      <c r="E4726" t="s">
        <v>3713</v>
      </c>
      <c r="F4726" t="s">
        <v>0</v>
      </c>
      <c r="G4726">
        <v>24</v>
      </c>
      <c r="H4726">
        <v>0</v>
      </c>
      <c r="I4726">
        <v>2</v>
      </c>
      <c r="J4726">
        <v>26</v>
      </c>
      <c r="K4726" s="482">
        <v>0.92300000000000004</v>
      </c>
      <c r="L4726" s="482">
        <v>0</v>
      </c>
      <c r="M4726" s="482">
        <v>7.6999999999999999E-2</v>
      </c>
    </row>
    <row r="4727" spans="1:13" x14ac:dyDescent="0.2">
      <c r="A4727" t="s">
        <v>6179</v>
      </c>
      <c r="B4727" t="s">
        <v>17</v>
      </c>
      <c r="C4727" t="s">
        <v>1</v>
      </c>
      <c r="D4727" t="s">
        <v>3909</v>
      </c>
      <c r="E4727" t="s">
        <v>3910</v>
      </c>
      <c r="F4727" t="s">
        <v>0</v>
      </c>
      <c r="G4727">
        <v>86</v>
      </c>
      <c r="H4727">
        <v>0</v>
      </c>
      <c r="I4727">
        <v>15</v>
      </c>
      <c r="J4727">
        <v>101</v>
      </c>
      <c r="K4727" s="482">
        <v>0.85099999999999998</v>
      </c>
      <c r="L4727" s="482">
        <v>0</v>
      </c>
      <c r="M4727" s="482">
        <v>0.14899999999999999</v>
      </c>
    </row>
    <row r="4728" spans="1:13" x14ac:dyDescent="0.2">
      <c r="A4728" t="s">
        <v>6181</v>
      </c>
      <c r="B4728" t="s">
        <v>17</v>
      </c>
      <c r="C4728" t="s">
        <v>1</v>
      </c>
      <c r="D4728" t="s">
        <v>3915</v>
      </c>
      <c r="E4728" t="s">
        <v>3916</v>
      </c>
      <c r="F4728" t="s">
        <v>0</v>
      </c>
      <c r="G4728">
        <v>21</v>
      </c>
      <c r="H4728">
        <v>0</v>
      </c>
      <c r="I4728">
        <v>3</v>
      </c>
      <c r="J4728">
        <v>24</v>
      </c>
      <c r="K4728" s="482">
        <v>0.875</v>
      </c>
      <c r="L4728" s="482">
        <v>0</v>
      </c>
      <c r="M4728" s="482">
        <v>0.125</v>
      </c>
    </row>
    <row r="4729" spans="1:13" x14ac:dyDescent="0.2">
      <c r="A4729" t="s">
        <v>6182</v>
      </c>
      <c r="B4729" t="s">
        <v>17</v>
      </c>
      <c r="C4729" t="s">
        <v>1</v>
      </c>
      <c r="D4729" t="s">
        <v>3918</v>
      </c>
      <c r="E4729" t="s">
        <v>3919</v>
      </c>
      <c r="F4729" t="s">
        <v>0</v>
      </c>
      <c r="G4729" t="s">
        <v>53</v>
      </c>
      <c r="H4729">
        <v>0</v>
      </c>
      <c r="I4729">
        <v>0</v>
      </c>
      <c r="J4729" t="s">
        <v>53</v>
      </c>
      <c r="K4729" t="s">
        <v>53</v>
      </c>
      <c r="L4729" t="s">
        <v>53</v>
      </c>
      <c r="M4729" t="s">
        <v>53</v>
      </c>
    </row>
    <row r="4730" spans="1:13" x14ac:dyDescent="0.2">
      <c r="A4730" t="s">
        <v>6103</v>
      </c>
      <c r="B4730" t="s">
        <v>17</v>
      </c>
      <c r="C4730" t="s">
        <v>1</v>
      </c>
      <c r="D4730" t="s">
        <v>3924</v>
      </c>
      <c r="E4730" t="s">
        <v>3925</v>
      </c>
      <c r="F4730" t="s">
        <v>0</v>
      </c>
      <c r="G4730">
        <v>40</v>
      </c>
      <c r="H4730">
        <v>0</v>
      </c>
      <c r="I4730">
        <v>8</v>
      </c>
      <c r="J4730">
        <v>48</v>
      </c>
      <c r="K4730" s="482">
        <v>0.83299999999999996</v>
      </c>
      <c r="L4730" s="482">
        <v>0</v>
      </c>
      <c r="M4730" s="482">
        <v>0.16700000000000001</v>
      </c>
    </row>
    <row r="4731" spans="1:13" x14ac:dyDescent="0.2">
      <c r="A4731" t="s">
        <v>6184</v>
      </c>
      <c r="B4731" t="s">
        <v>17</v>
      </c>
      <c r="C4731" t="s">
        <v>1</v>
      </c>
      <c r="D4731" t="s">
        <v>3567</v>
      </c>
      <c r="E4731" t="s">
        <v>3568</v>
      </c>
      <c r="F4731" t="s">
        <v>0</v>
      </c>
      <c r="G4731">
        <v>13</v>
      </c>
      <c r="H4731">
        <v>0</v>
      </c>
      <c r="I4731">
        <v>1</v>
      </c>
      <c r="J4731">
        <v>14</v>
      </c>
      <c r="K4731" s="482">
        <v>0.92900000000000005</v>
      </c>
      <c r="L4731" s="482">
        <v>0</v>
      </c>
      <c r="M4731" s="482">
        <v>7.0999999999999994E-2</v>
      </c>
    </row>
    <row r="4732" spans="1:13" x14ac:dyDescent="0.2">
      <c r="A4732" t="s">
        <v>6183</v>
      </c>
      <c r="B4732" t="s">
        <v>17</v>
      </c>
      <c r="C4732" t="s">
        <v>1</v>
      </c>
      <c r="D4732" t="s">
        <v>3930</v>
      </c>
      <c r="E4732" t="s">
        <v>344</v>
      </c>
      <c r="F4732" t="s">
        <v>0</v>
      </c>
      <c r="G4732">
        <v>197</v>
      </c>
      <c r="H4732">
        <v>0</v>
      </c>
      <c r="I4732">
        <v>41</v>
      </c>
      <c r="J4732">
        <v>238</v>
      </c>
      <c r="K4732" s="482">
        <v>0.82799999999999996</v>
      </c>
      <c r="L4732" s="482">
        <v>0</v>
      </c>
      <c r="M4732" s="482">
        <v>0.17199999999999999</v>
      </c>
    </row>
    <row r="4733" spans="1:13" x14ac:dyDescent="0.2">
      <c r="A4733" t="s">
        <v>6093</v>
      </c>
      <c r="B4733" t="s">
        <v>17</v>
      </c>
      <c r="C4733" t="s">
        <v>1</v>
      </c>
      <c r="D4733" t="s">
        <v>3522</v>
      </c>
      <c r="E4733" t="s">
        <v>3523</v>
      </c>
      <c r="F4733" t="s">
        <v>0</v>
      </c>
      <c r="G4733">
        <v>64</v>
      </c>
      <c r="H4733">
        <v>0</v>
      </c>
      <c r="I4733">
        <v>26</v>
      </c>
      <c r="J4733">
        <v>90</v>
      </c>
      <c r="K4733" s="482">
        <v>0.71099999999999997</v>
      </c>
      <c r="L4733" s="482">
        <v>0</v>
      </c>
      <c r="M4733" s="482">
        <v>0.28899999999999998</v>
      </c>
    </row>
    <row r="4734" spans="1:13" x14ac:dyDescent="0.2">
      <c r="A4734" t="s">
        <v>6109</v>
      </c>
      <c r="B4734" t="s">
        <v>17</v>
      </c>
      <c r="C4734" t="s">
        <v>1</v>
      </c>
      <c r="D4734" t="s">
        <v>3528</v>
      </c>
      <c r="E4734" t="s">
        <v>3529</v>
      </c>
      <c r="F4734" t="s">
        <v>0</v>
      </c>
      <c r="G4734">
        <v>10</v>
      </c>
      <c r="H4734">
        <v>0</v>
      </c>
      <c r="I4734">
        <v>3</v>
      </c>
      <c r="J4734">
        <v>13</v>
      </c>
      <c r="K4734" s="482">
        <v>0.76900000000000002</v>
      </c>
      <c r="L4734" s="482">
        <v>0</v>
      </c>
      <c r="M4734" s="482">
        <v>0.23100000000000001</v>
      </c>
    </row>
    <row r="4735" spans="1:13" x14ac:dyDescent="0.2">
      <c r="A4735" t="s">
        <v>6110</v>
      </c>
      <c r="B4735" t="s">
        <v>17</v>
      </c>
      <c r="C4735" t="s">
        <v>1</v>
      </c>
      <c r="D4735" t="s">
        <v>3627</v>
      </c>
      <c r="E4735" t="s">
        <v>3628</v>
      </c>
      <c r="F4735" t="s">
        <v>0</v>
      </c>
      <c r="G4735">
        <v>5</v>
      </c>
      <c r="H4735">
        <v>0</v>
      </c>
      <c r="I4735">
        <v>2</v>
      </c>
      <c r="J4735">
        <v>7</v>
      </c>
      <c r="K4735" s="482">
        <v>0.71399999999999997</v>
      </c>
      <c r="L4735" s="482">
        <v>0</v>
      </c>
      <c r="M4735" s="482">
        <v>0.28599999999999998</v>
      </c>
    </row>
    <row r="4736" spans="1:13" x14ac:dyDescent="0.2">
      <c r="A4736" t="s">
        <v>6111</v>
      </c>
      <c r="B4736" t="s">
        <v>17</v>
      </c>
      <c r="C4736" t="s">
        <v>1</v>
      </c>
      <c r="D4736" t="s">
        <v>3630</v>
      </c>
      <c r="E4736" t="s">
        <v>3631</v>
      </c>
      <c r="F4736" t="s">
        <v>0</v>
      </c>
      <c r="G4736">
        <v>6</v>
      </c>
      <c r="H4736">
        <v>0</v>
      </c>
      <c r="I4736">
        <v>0</v>
      </c>
      <c r="J4736">
        <v>6</v>
      </c>
      <c r="K4736" s="482">
        <v>1</v>
      </c>
      <c r="L4736" s="482">
        <v>0</v>
      </c>
      <c r="M4736" s="482">
        <v>0</v>
      </c>
    </row>
    <row r="4737" spans="1:13" x14ac:dyDescent="0.2">
      <c r="A4737" t="s">
        <v>6112</v>
      </c>
      <c r="B4737" t="s">
        <v>17</v>
      </c>
      <c r="C4737" t="s">
        <v>1</v>
      </c>
      <c r="D4737" t="s">
        <v>3633</v>
      </c>
      <c r="E4737" t="s">
        <v>342</v>
      </c>
      <c r="F4737" t="s">
        <v>0</v>
      </c>
      <c r="G4737">
        <v>17</v>
      </c>
      <c r="H4737">
        <v>0</v>
      </c>
      <c r="I4737">
        <v>0</v>
      </c>
      <c r="J4737">
        <v>17</v>
      </c>
      <c r="K4737" s="482">
        <v>1</v>
      </c>
      <c r="L4737" s="482">
        <v>0</v>
      </c>
      <c r="M4737" s="482">
        <v>0</v>
      </c>
    </row>
    <row r="4738" spans="1:13" x14ac:dyDescent="0.2">
      <c r="A4738" t="s">
        <v>6113</v>
      </c>
      <c r="B4738" t="s">
        <v>17</v>
      </c>
      <c r="C4738" t="s">
        <v>1</v>
      </c>
      <c r="D4738" t="s">
        <v>3635</v>
      </c>
      <c r="E4738" t="s">
        <v>3636</v>
      </c>
      <c r="F4738" t="s">
        <v>0</v>
      </c>
      <c r="G4738">
        <v>25</v>
      </c>
      <c r="H4738">
        <v>0</v>
      </c>
      <c r="I4738">
        <v>6</v>
      </c>
      <c r="J4738">
        <v>31</v>
      </c>
      <c r="K4738" s="482">
        <v>0.80600000000000005</v>
      </c>
      <c r="L4738" s="482">
        <v>0</v>
      </c>
      <c r="M4738" s="482">
        <v>0.19400000000000001</v>
      </c>
    </row>
    <row r="4739" spans="1:13" x14ac:dyDescent="0.2">
      <c r="A4739" t="s">
        <v>6114</v>
      </c>
      <c r="B4739" t="s">
        <v>17</v>
      </c>
      <c r="C4739" t="s">
        <v>1</v>
      </c>
      <c r="D4739" t="s">
        <v>3638</v>
      </c>
      <c r="E4739" t="s">
        <v>3639</v>
      </c>
      <c r="F4739" t="s">
        <v>0</v>
      </c>
      <c r="G4739">
        <v>6</v>
      </c>
      <c r="H4739">
        <v>0</v>
      </c>
      <c r="I4739">
        <v>1</v>
      </c>
      <c r="J4739">
        <v>7</v>
      </c>
      <c r="K4739" s="482">
        <v>0.85699999999999998</v>
      </c>
      <c r="L4739" s="482">
        <v>0</v>
      </c>
      <c r="M4739" s="482">
        <v>0.14299999999999999</v>
      </c>
    </row>
    <row r="4740" spans="1:13" x14ac:dyDescent="0.2">
      <c r="A4740" t="s">
        <v>6639</v>
      </c>
      <c r="B4740" t="s">
        <v>17</v>
      </c>
      <c r="C4740" t="s">
        <v>1</v>
      </c>
      <c r="D4740" t="s">
        <v>3480</v>
      </c>
      <c r="E4740" t="s">
        <v>6584</v>
      </c>
      <c r="F4740" t="s">
        <v>0</v>
      </c>
      <c r="G4740" t="s">
        <v>53</v>
      </c>
      <c r="H4740">
        <v>0</v>
      </c>
      <c r="I4740">
        <v>0</v>
      </c>
      <c r="J4740" t="s">
        <v>53</v>
      </c>
      <c r="K4740" t="s">
        <v>53</v>
      </c>
      <c r="L4740" t="s">
        <v>53</v>
      </c>
      <c r="M4740" t="s">
        <v>53</v>
      </c>
    </row>
    <row r="4741" spans="1:13" x14ac:dyDescent="0.2">
      <c r="A4741" t="s">
        <v>6139</v>
      </c>
      <c r="B4741" t="s">
        <v>17</v>
      </c>
      <c r="C4741" t="s">
        <v>1</v>
      </c>
      <c r="D4741" t="s">
        <v>3763</v>
      </c>
      <c r="E4741" t="s">
        <v>3764</v>
      </c>
      <c r="F4741" t="s">
        <v>0</v>
      </c>
      <c r="G4741">
        <v>37</v>
      </c>
      <c r="H4741">
        <v>0</v>
      </c>
      <c r="I4741">
        <v>8</v>
      </c>
      <c r="J4741">
        <v>45</v>
      </c>
      <c r="K4741" s="482">
        <v>0.82199999999999995</v>
      </c>
      <c r="L4741" s="482">
        <v>0</v>
      </c>
      <c r="M4741" s="482">
        <v>0.17799999999999999</v>
      </c>
    </row>
    <row r="4742" spans="1:13" x14ac:dyDescent="0.2">
      <c r="A4742" t="s">
        <v>6140</v>
      </c>
      <c r="B4742" t="s">
        <v>17</v>
      </c>
      <c r="C4742" t="s">
        <v>1</v>
      </c>
      <c r="D4742" t="s">
        <v>4506</v>
      </c>
      <c r="E4742" t="s">
        <v>4507</v>
      </c>
      <c r="F4742" t="s">
        <v>0</v>
      </c>
      <c r="G4742" t="s">
        <v>53</v>
      </c>
      <c r="H4742">
        <v>0</v>
      </c>
      <c r="I4742" t="s">
        <v>53</v>
      </c>
      <c r="J4742" t="s">
        <v>53</v>
      </c>
      <c r="K4742" t="s">
        <v>53</v>
      </c>
      <c r="L4742" t="s">
        <v>53</v>
      </c>
      <c r="M4742" t="s">
        <v>53</v>
      </c>
    </row>
    <row r="4743" spans="1:13" x14ac:dyDescent="0.2">
      <c r="A4743" t="s">
        <v>6141</v>
      </c>
      <c r="B4743" t="s">
        <v>17</v>
      </c>
      <c r="C4743" t="s">
        <v>1</v>
      </c>
      <c r="D4743" t="s">
        <v>3766</v>
      </c>
      <c r="E4743" t="s">
        <v>3767</v>
      </c>
      <c r="F4743" t="s">
        <v>0</v>
      </c>
      <c r="G4743">
        <v>57</v>
      </c>
      <c r="H4743">
        <v>0</v>
      </c>
      <c r="I4743">
        <v>12</v>
      </c>
      <c r="J4743">
        <v>69</v>
      </c>
      <c r="K4743" s="482">
        <v>0.82599999999999996</v>
      </c>
      <c r="L4743" s="482">
        <v>0</v>
      </c>
      <c r="M4743" s="482">
        <v>0.17399999999999999</v>
      </c>
    </row>
    <row r="4744" spans="1:13" x14ac:dyDescent="0.2">
      <c r="A4744" t="s">
        <v>6142</v>
      </c>
      <c r="B4744" t="s">
        <v>17</v>
      </c>
      <c r="C4744" t="s">
        <v>1</v>
      </c>
      <c r="D4744" t="s">
        <v>3769</v>
      </c>
      <c r="E4744" t="s">
        <v>3770</v>
      </c>
      <c r="F4744" t="s">
        <v>0</v>
      </c>
      <c r="G4744">
        <v>102</v>
      </c>
      <c r="H4744">
        <v>0</v>
      </c>
      <c r="I4744">
        <v>16</v>
      </c>
      <c r="J4744">
        <v>118</v>
      </c>
      <c r="K4744" s="482">
        <v>0.86399999999999999</v>
      </c>
      <c r="L4744" s="482">
        <v>0</v>
      </c>
      <c r="M4744" s="482">
        <v>0.13600000000000001</v>
      </c>
    </row>
    <row r="4745" spans="1:13" x14ac:dyDescent="0.2">
      <c r="A4745" t="s">
        <v>6143</v>
      </c>
      <c r="B4745" t="s">
        <v>17</v>
      </c>
      <c r="C4745" t="s">
        <v>1</v>
      </c>
      <c r="D4745" t="s">
        <v>3775</v>
      </c>
      <c r="E4745" t="s">
        <v>3776</v>
      </c>
      <c r="F4745" t="s">
        <v>0</v>
      </c>
      <c r="G4745" t="s">
        <v>53</v>
      </c>
      <c r="H4745">
        <v>0</v>
      </c>
      <c r="I4745">
        <v>0</v>
      </c>
      <c r="J4745" t="s">
        <v>53</v>
      </c>
      <c r="K4745" t="s">
        <v>53</v>
      </c>
      <c r="L4745" t="s">
        <v>53</v>
      </c>
      <c r="M4745" t="s">
        <v>53</v>
      </c>
    </row>
    <row r="4746" spans="1:13" x14ac:dyDescent="0.2">
      <c r="A4746" t="s">
        <v>6144</v>
      </c>
      <c r="B4746" t="s">
        <v>17</v>
      </c>
      <c r="C4746" t="s">
        <v>1</v>
      </c>
      <c r="D4746" t="s">
        <v>3778</v>
      </c>
      <c r="E4746" t="s">
        <v>3779</v>
      </c>
      <c r="F4746" t="s">
        <v>0</v>
      </c>
      <c r="G4746">
        <v>16</v>
      </c>
      <c r="H4746">
        <v>0</v>
      </c>
      <c r="I4746">
        <v>4</v>
      </c>
      <c r="J4746">
        <v>20</v>
      </c>
      <c r="K4746" s="482">
        <v>0.8</v>
      </c>
      <c r="L4746" s="482">
        <v>0</v>
      </c>
      <c r="M4746" s="482">
        <v>0.2</v>
      </c>
    </row>
    <row r="4747" spans="1:13" x14ac:dyDescent="0.2">
      <c r="A4747" t="s">
        <v>6127</v>
      </c>
      <c r="B4747" t="s">
        <v>17</v>
      </c>
      <c r="C4747" t="s">
        <v>1</v>
      </c>
      <c r="D4747" t="s">
        <v>3715</v>
      </c>
      <c r="E4747" t="s">
        <v>3716</v>
      </c>
      <c r="F4747" t="s">
        <v>0</v>
      </c>
      <c r="G4747">
        <v>13</v>
      </c>
      <c r="H4747">
        <v>0</v>
      </c>
      <c r="I4747">
        <v>1</v>
      </c>
      <c r="J4747">
        <v>14</v>
      </c>
      <c r="K4747" s="482">
        <v>0.92900000000000005</v>
      </c>
      <c r="L4747" s="482">
        <v>0</v>
      </c>
      <c r="M4747" s="482">
        <v>7.0999999999999994E-2</v>
      </c>
    </row>
    <row r="4748" spans="1:13" x14ac:dyDescent="0.2">
      <c r="A4748" t="s">
        <v>6128</v>
      </c>
      <c r="B4748" t="s">
        <v>17</v>
      </c>
      <c r="C4748" t="s">
        <v>1</v>
      </c>
      <c r="D4748" t="s">
        <v>3718</v>
      </c>
      <c r="E4748" t="s">
        <v>3719</v>
      </c>
      <c r="F4748" t="s">
        <v>0</v>
      </c>
      <c r="G4748">
        <v>57</v>
      </c>
      <c r="H4748">
        <v>0</v>
      </c>
      <c r="I4748">
        <v>17</v>
      </c>
      <c r="J4748">
        <v>74</v>
      </c>
      <c r="K4748" s="482">
        <v>0.77</v>
      </c>
      <c r="L4748" s="482">
        <v>0</v>
      </c>
      <c r="M4748" s="482">
        <v>0.23</v>
      </c>
    </row>
    <row r="4749" spans="1:13" x14ac:dyDescent="0.2">
      <c r="A4749" t="s">
        <v>6180</v>
      </c>
      <c r="B4749" t="s">
        <v>17</v>
      </c>
      <c r="C4749" t="s">
        <v>1</v>
      </c>
      <c r="D4749" t="s">
        <v>4558</v>
      </c>
      <c r="E4749" t="s">
        <v>4559</v>
      </c>
      <c r="F4749" t="s">
        <v>0</v>
      </c>
      <c r="G4749">
        <v>139</v>
      </c>
      <c r="H4749">
        <v>0</v>
      </c>
      <c r="I4749">
        <v>64</v>
      </c>
      <c r="J4749">
        <v>203</v>
      </c>
      <c r="K4749" s="482">
        <v>0.68500000000000005</v>
      </c>
      <c r="L4749" s="482">
        <v>0</v>
      </c>
      <c r="M4749" s="482">
        <v>0.315</v>
      </c>
    </row>
    <row r="4750" spans="1:13" x14ac:dyDescent="0.2">
      <c r="A4750" t="s">
        <v>6089</v>
      </c>
      <c r="B4750" t="s">
        <v>17</v>
      </c>
      <c r="C4750" t="s">
        <v>1</v>
      </c>
      <c r="D4750" t="s">
        <v>3509</v>
      </c>
      <c r="E4750" t="s">
        <v>3510</v>
      </c>
      <c r="F4750" t="s">
        <v>0</v>
      </c>
      <c r="G4750">
        <v>23</v>
      </c>
      <c r="H4750">
        <v>0</v>
      </c>
      <c r="I4750">
        <v>7</v>
      </c>
      <c r="J4750">
        <v>30</v>
      </c>
      <c r="K4750" s="482">
        <v>0.76700000000000002</v>
      </c>
      <c r="L4750" s="482">
        <v>0</v>
      </c>
      <c r="M4750" s="482">
        <v>0.23300000000000001</v>
      </c>
    </row>
    <row r="4751" spans="1:13" x14ac:dyDescent="0.2">
      <c r="A4751" t="s">
        <v>6088</v>
      </c>
      <c r="B4751" t="s">
        <v>17</v>
      </c>
      <c r="C4751" t="s">
        <v>1</v>
      </c>
      <c r="D4751" t="s">
        <v>3503</v>
      </c>
      <c r="E4751" t="s">
        <v>3504</v>
      </c>
      <c r="F4751" t="s">
        <v>0</v>
      </c>
      <c r="G4751" t="s">
        <v>53</v>
      </c>
      <c r="H4751">
        <v>0</v>
      </c>
      <c r="I4751">
        <v>0</v>
      </c>
      <c r="J4751" t="s">
        <v>53</v>
      </c>
      <c r="K4751" t="s">
        <v>53</v>
      </c>
      <c r="L4751" t="s">
        <v>53</v>
      </c>
      <c r="M4751" t="s">
        <v>53</v>
      </c>
    </row>
    <row r="4752" spans="1:13" x14ac:dyDescent="0.2">
      <c r="A4752" t="s">
        <v>6090</v>
      </c>
      <c r="B4752" t="s">
        <v>17</v>
      </c>
      <c r="C4752" t="s">
        <v>1</v>
      </c>
      <c r="D4752" t="s">
        <v>3512</v>
      </c>
      <c r="E4752" t="s">
        <v>3513</v>
      </c>
      <c r="F4752" t="s">
        <v>0</v>
      </c>
      <c r="G4752" t="s">
        <v>53</v>
      </c>
      <c r="H4752">
        <v>0</v>
      </c>
      <c r="I4752">
        <v>0</v>
      </c>
      <c r="J4752" t="s">
        <v>53</v>
      </c>
      <c r="K4752" t="s">
        <v>53</v>
      </c>
      <c r="L4752" t="s">
        <v>53</v>
      </c>
      <c r="M4752" t="s">
        <v>53</v>
      </c>
    </row>
    <row r="4753" spans="1:13" x14ac:dyDescent="0.2">
      <c r="A4753" t="s">
        <v>6098</v>
      </c>
      <c r="B4753" t="s">
        <v>17</v>
      </c>
      <c r="C4753" t="s">
        <v>1</v>
      </c>
      <c r="D4753" t="s">
        <v>3549</v>
      </c>
      <c r="E4753" t="s">
        <v>3550</v>
      </c>
      <c r="F4753" t="s">
        <v>0</v>
      </c>
      <c r="G4753">
        <v>12</v>
      </c>
      <c r="H4753">
        <v>0</v>
      </c>
      <c r="I4753">
        <v>3</v>
      </c>
      <c r="J4753">
        <v>15</v>
      </c>
      <c r="K4753" s="482">
        <v>0.8</v>
      </c>
      <c r="L4753" s="482">
        <v>0</v>
      </c>
      <c r="M4753" s="482">
        <v>0.2</v>
      </c>
    </row>
    <row r="4754" spans="1:13" x14ac:dyDescent="0.2">
      <c r="A4754" t="s">
        <v>6099</v>
      </c>
      <c r="B4754" t="s">
        <v>17</v>
      </c>
      <c r="C4754" t="s">
        <v>1</v>
      </c>
      <c r="D4754" t="s">
        <v>3552</v>
      </c>
      <c r="E4754" t="s">
        <v>3553</v>
      </c>
      <c r="F4754" t="s">
        <v>0</v>
      </c>
      <c r="G4754">
        <v>50</v>
      </c>
      <c r="H4754">
        <v>0</v>
      </c>
      <c r="I4754">
        <v>14</v>
      </c>
      <c r="J4754">
        <v>64</v>
      </c>
      <c r="K4754" s="482">
        <v>0.78100000000000003</v>
      </c>
      <c r="L4754" s="482">
        <v>0</v>
      </c>
      <c r="M4754" s="482">
        <v>0.219</v>
      </c>
    </row>
    <row r="4755" spans="1:13" x14ac:dyDescent="0.2">
      <c r="A4755" t="s">
        <v>6100</v>
      </c>
      <c r="B4755" t="s">
        <v>17</v>
      </c>
      <c r="C4755" t="s">
        <v>1</v>
      </c>
      <c r="D4755" t="s">
        <v>3555</v>
      </c>
      <c r="E4755" t="s">
        <v>3556</v>
      </c>
      <c r="F4755" t="s">
        <v>0</v>
      </c>
      <c r="G4755" t="s">
        <v>53</v>
      </c>
      <c r="H4755">
        <v>0</v>
      </c>
      <c r="I4755">
        <v>0</v>
      </c>
      <c r="J4755" t="s">
        <v>53</v>
      </c>
      <c r="K4755" t="s">
        <v>53</v>
      </c>
      <c r="L4755" t="s">
        <v>53</v>
      </c>
      <c r="M4755" t="s">
        <v>53</v>
      </c>
    </row>
    <row r="4756" spans="1:13" x14ac:dyDescent="0.2">
      <c r="A4756" t="s">
        <v>6171</v>
      </c>
      <c r="B4756" t="s">
        <v>17</v>
      </c>
      <c r="C4756" t="s">
        <v>1</v>
      </c>
      <c r="D4756" t="s">
        <v>3873</v>
      </c>
      <c r="E4756" t="s">
        <v>3874</v>
      </c>
      <c r="F4756" t="s">
        <v>0</v>
      </c>
      <c r="G4756">
        <v>46</v>
      </c>
      <c r="H4756">
        <v>0</v>
      </c>
      <c r="I4756">
        <v>4</v>
      </c>
      <c r="J4756">
        <v>50</v>
      </c>
      <c r="K4756" s="482">
        <v>0.92</v>
      </c>
      <c r="L4756" s="482">
        <v>0</v>
      </c>
      <c r="M4756" s="482">
        <v>0.08</v>
      </c>
    </row>
    <row r="4757" spans="1:13" x14ac:dyDescent="0.2">
      <c r="A4757" t="s">
        <v>6172</v>
      </c>
      <c r="B4757" t="s">
        <v>17</v>
      </c>
      <c r="C4757" t="s">
        <v>1</v>
      </c>
      <c r="D4757" t="s">
        <v>3876</v>
      </c>
      <c r="E4757" t="s">
        <v>3877</v>
      </c>
      <c r="F4757" t="s">
        <v>0</v>
      </c>
      <c r="G4757">
        <v>18</v>
      </c>
      <c r="H4757">
        <v>0</v>
      </c>
      <c r="I4757">
        <v>3</v>
      </c>
      <c r="J4757">
        <v>21</v>
      </c>
      <c r="K4757" s="482">
        <v>0.85699999999999998</v>
      </c>
      <c r="L4757" s="482">
        <v>0</v>
      </c>
      <c r="M4757" s="482">
        <v>0.14299999999999999</v>
      </c>
    </row>
    <row r="4758" spans="1:13" x14ac:dyDescent="0.2">
      <c r="A4758" t="s">
        <v>6173</v>
      </c>
      <c r="B4758" t="s">
        <v>17</v>
      </c>
      <c r="C4758" t="s">
        <v>1</v>
      </c>
      <c r="D4758" t="s">
        <v>3879</v>
      </c>
      <c r="E4758" t="s">
        <v>3880</v>
      </c>
      <c r="F4758" t="s">
        <v>0</v>
      </c>
      <c r="G4758">
        <v>61</v>
      </c>
      <c r="H4758">
        <v>0</v>
      </c>
      <c r="I4758">
        <v>29</v>
      </c>
      <c r="J4758">
        <v>90</v>
      </c>
      <c r="K4758" s="482">
        <v>0.67800000000000005</v>
      </c>
      <c r="L4758" s="482">
        <v>0</v>
      </c>
      <c r="M4758" s="482">
        <v>0.32200000000000001</v>
      </c>
    </row>
    <row r="4759" spans="1:13" x14ac:dyDescent="0.2">
      <c r="A4759" t="s">
        <v>6165</v>
      </c>
      <c r="B4759" t="s">
        <v>17</v>
      </c>
      <c r="C4759" t="s">
        <v>1</v>
      </c>
      <c r="D4759" t="s">
        <v>3852</v>
      </c>
      <c r="E4759" t="s">
        <v>3853</v>
      </c>
      <c r="F4759" t="s">
        <v>0</v>
      </c>
      <c r="G4759" t="s">
        <v>53</v>
      </c>
      <c r="H4759">
        <v>0</v>
      </c>
      <c r="I4759" t="s">
        <v>53</v>
      </c>
      <c r="J4759" t="s">
        <v>53</v>
      </c>
      <c r="K4759" t="s">
        <v>53</v>
      </c>
      <c r="L4759" t="s">
        <v>53</v>
      </c>
      <c r="M4759" t="s">
        <v>53</v>
      </c>
    </row>
    <row r="4760" spans="1:13" x14ac:dyDescent="0.2">
      <c r="A4760" t="s">
        <v>6166</v>
      </c>
      <c r="B4760" t="s">
        <v>17</v>
      </c>
      <c r="C4760" t="s">
        <v>1</v>
      </c>
      <c r="D4760" t="s">
        <v>3855</v>
      </c>
      <c r="E4760" t="s">
        <v>3856</v>
      </c>
      <c r="F4760" t="s">
        <v>0</v>
      </c>
      <c r="G4760">
        <v>57</v>
      </c>
      <c r="H4760">
        <v>0</v>
      </c>
      <c r="I4760">
        <v>2</v>
      </c>
      <c r="J4760">
        <v>59</v>
      </c>
      <c r="K4760" s="482">
        <v>0.96599999999999997</v>
      </c>
      <c r="L4760" s="482">
        <v>0</v>
      </c>
      <c r="M4760" s="482">
        <v>3.4000000000000002E-2</v>
      </c>
    </row>
    <row r="4761" spans="1:13" x14ac:dyDescent="0.2">
      <c r="A4761" t="s">
        <v>6167</v>
      </c>
      <c r="B4761" t="s">
        <v>17</v>
      </c>
      <c r="C4761" t="s">
        <v>1</v>
      </c>
      <c r="D4761" t="s">
        <v>3861</v>
      </c>
      <c r="E4761" t="s">
        <v>3862</v>
      </c>
      <c r="F4761" t="s">
        <v>0</v>
      </c>
      <c r="G4761">
        <v>26</v>
      </c>
      <c r="H4761">
        <v>0</v>
      </c>
      <c r="I4761">
        <v>3</v>
      </c>
      <c r="J4761">
        <v>29</v>
      </c>
      <c r="K4761" s="482">
        <v>0.89700000000000002</v>
      </c>
      <c r="L4761" s="482">
        <v>0</v>
      </c>
      <c r="M4761" s="482">
        <v>0.10299999999999999</v>
      </c>
    </row>
    <row r="4762" spans="1:13" x14ac:dyDescent="0.2">
      <c r="A4762" t="s">
        <v>6168</v>
      </c>
      <c r="B4762" t="s">
        <v>17</v>
      </c>
      <c r="C4762" t="s">
        <v>1</v>
      </c>
      <c r="D4762" t="s">
        <v>3864</v>
      </c>
      <c r="E4762" t="s">
        <v>3865</v>
      </c>
      <c r="F4762" t="s">
        <v>0</v>
      </c>
      <c r="G4762">
        <v>42</v>
      </c>
      <c r="H4762">
        <v>0</v>
      </c>
      <c r="I4762">
        <v>12</v>
      </c>
      <c r="J4762">
        <v>54</v>
      </c>
      <c r="K4762" s="482">
        <v>0.77800000000000002</v>
      </c>
      <c r="L4762" s="482">
        <v>0</v>
      </c>
      <c r="M4762" s="482">
        <v>0.222</v>
      </c>
    </row>
    <row r="4763" spans="1:13" x14ac:dyDescent="0.2">
      <c r="A4763" t="s">
        <v>6169</v>
      </c>
      <c r="B4763" t="s">
        <v>17</v>
      </c>
      <c r="C4763" t="s">
        <v>1</v>
      </c>
      <c r="D4763" t="s">
        <v>3867</v>
      </c>
      <c r="E4763" t="s">
        <v>3868</v>
      </c>
      <c r="F4763" t="s">
        <v>0</v>
      </c>
      <c r="G4763">
        <v>61</v>
      </c>
      <c r="H4763">
        <v>0</v>
      </c>
      <c r="I4763">
        <v>19</v>
      </c>
      <c r="J4763">
        <v>80</v>
      </c>
      <c r="K4763" s="482">
        <v>0.76300000000000001</v>
      </c>
      <c r="L4763" s="482">
        <v>0</v>
      </c>
      <c r="M4763" s="482">
        <v>0.23799999999999999</v>
      </c>
    </row>
    <row r="4764" spans="1:13" x14ac:dyDescent="0.2">
      <c r="A4764" t="s">
        <v>6170</v>
      </c>
      <c r="B4764" t="s">
        <v>17</v>
      </c>
      <c r="C4764" t="s">
        <v>1</v>
      </c>
      <c r="D4764" t="s">
        <v>3870</v>
      </c>
      <c r="E4764" t="s">
        <v>3871</v>
      </c>
      <c r="F4764" t="s">
        <v>0</v>
      </c>
      <c r="G4764" t="s">
        <v>53</v>
      </c>
      <c r="H4764">
        <v>0</v>
      </c>
      <c r="I4764">
        <v>0</v>
      </c>
      <c r="J4764" t="s">
        <v>53</v>
      </c>
      <c r="K4764" t="s">
        <v>53</v>
      </c>
      <c r="L4764" t="s">
        <v>53</v>
      </c>
      <c r="M4764" t="s">
        <v>53</v>
      </c>
    </row>
    <row r="4765" spans="1:13" x14ac:dyDescent="0.2">
      <c r="A4765" t="s">
        <v>6145</v>
      </c>
      <c r="B4765" t="s">
        <v>17</v>
      </c>
      <c r="C4765" t="s">
        <v>1</v>
      </c>
      <c r="D4765" t="s">
        <v>3781</v>
      </c>
      <c r="E4765" t="s">
        <v>3782</v>
      </c>
      <c r="F4765" t="s">
        <v>0</v>
      </c>
      <c r="G4765">
        <v>19</v>
      </c>
      <c r="H4765">
        <v>0</v>
      </c>
      <c r="I4765">
        <v>0</v>
      </c>
      <c r="J4765">
        <v>19</v>
      </c>
      <c r="K4765" s="482">
        <v>1</v>
      </c>
      <c r="L4765" s="482">
        <v>0</v>
      </c>
      <c r="M4765" s="482">
        <v>0</v>
      </c>
    </row>
    <row r="4766" spans="1:13" x14ac:dyDescent="0.2">
      <c r="A4766" t="s">
        <v>6146</v>
      </c>
      <c r="B4766" t="s">
        <v>17</v>
      </c>
      <c r="C4766" t="s">
        <v>1</v>
      </c>
      <c r="D4766" t="s">
        <v>3784</v>
      </c>
      <c r="E4766" t="s">
        <v>3785</v>
      </c>
      <c r="F4766" t="s">
        <v>0</v>
      </c>
      <c r="G4766">
        <v>16</v>
      </c>
      <c r="H4766">
        <v>0</v>
      </c>
      <c r="I4766">
        <v>1</v>
      </c>
      <c r="J4766">
        <v>17</v>
      </c>
      <c r="K4766" s="482">
        <v>0.94099999999999995</v>
      </c>
      <c r="L4766" s="482">
        <v>0</v>
      </c>
      <c r="M4766" s="482">
        <v>5.8999999999999997E-2</v>
      </c>
    </row>
    <row r="4767" spans="1:13" x14ac:dyDescent="0.2">
      <c r="A4767" t="s">
        <v>6640</v>
      </c>
      <c r="B4767" t="s">
        <v>17</v>
      </c>
      <c r="C4767" t="s">
        <v>1</v>
      </c>
      <c r="D4767" t="s">
        <v>3787</v>
      </c>
      <c r="E4767" t="s">
        <v>3788</v>
      </c>
      <c r="F4767" t="s">
        <v>0</v>
      </c>
      <c r="G4767" t="s">
        <v>53</v>
      </c>
      <c r="H4767">
        <v>0</v>
      </c>
      <c r="I4767">
        <v>0</v>
      </c>
      <c r="J4767" t="s">
        <v>53</v>
      </c>
      <c r="K4767" t="s">
        <v>53</v>
      </c>
      <c r="L4767" t="s">
        <v>53</v>
      </c>
      <c r="M4767" t="s">
        <v>53</v>
      </c>
    </row>
    <row r="4768" spans="1:13" x14ac:dyDescent="0.2">
      <c r="A4768" t="s">
        <v>6147</v>
      </c>
      <c r="B4768" t="s">
        <v>17</v>
      </c>
      <c r="C4768" t="s">
        <v>1</v>
      </c>
      <c r="D4768" t="s">
        <v>3790</v>
      </c>
      <c r="E4768" t="s">
        <v>3791</v>
      </c>
      <c r="F4768" t="s">
        <v>0</v>
      </c>
      <c r="G4768">
        <v>19</v>
      </c>
      <c r="H4768">
        <v>0</v>
      </c>
      <c r="I4768">
        <v>5</v>
      </c>
      <c r="J4768">
        <v>24</v>
      </c>
      <c r="K4768" s="482">
        <v>0.79200000000000004</v>
      </c>
      <c r="L4768" s="482">
        <v>0</v>
      </c>
      <c r="M4768" s="482">
        <v>0.20799999999999999</v>
      </c>
    </row>
    <row r="4769" spans="1:13" x14ac:dyDescent="0.2">
      <c r="A4769" t="s">
        <v>6061</v>
      </c>
      <c r="B4769" t="s">
        <v>17</v>
      </c>
      <c r="C4769" t="s">
        <v>1</v>
      </c>
      <c r="D4769" t="s">
        <v>3234</v>
      </c>
      <c r="E4769" t="s">
        <v>3235</v>
      </c>
      <c r="F4769" t="s">
        <v>0</v>
      </c>
      <c r="G4769" t="s">
        <v>53</v>
      </c>
      <c r="H4769">
        <v>0</v>
      </c>
      <c r="I4769" t="s">
        <v>53</v>
      </c>
      <c r="J4769" t="s">
        <v>53</v>
      </c>
      <c r="K4769" t="s">
        <v>53</v>
      </c>
      <c r="L4769" t="s">
        <v>53</v>
      </c>
      <c r="M4769" t="s">
        <v>53</v>
      </c>
    </row>
    <row r="4770" spans="1:13" x14ac:dyDescent="0.2">
      <c r="A4770" t="s">
        <v>6060</v>
      </c>
      <c r="B4770" t="s">
        <v>17</v>
      </c>
      <c r="C4770" t="s">
        <v>1</v>
      </c>
      <c r="D4770" t="s">
        <v>3225</v>
      </c>
      <c r="E4770" t="s">
        <v>3226</v>
      </c>
      <c r="F4770" t="s">
        <v>0</v>
      </c>
      <c r="G4770">
        <v>59</v>
      </c>
      <c r="H4770">
        <v>0</v>
      </c>
      <c r="I4770">
        <v>11</v>
      </c>
      <c r="J4770">
        <v>70</v>
      </c>
      <c r="K4770" s="482">
        <v>0.84299999999999997</v>
      </c>
      <c r="L4770" s="482">
        <v>0</v>
      </c>
      <c r="M4770" s="482">
        <v>0.157</v>
      </c>
    </row>
    <row r="4771" spans="1:13" x14ac:dyDescent="0.2">
      <c r="A4771" t="s">
        <v>6043</v>
      </c>
      <c r="B4771" t="s">
        <v>17</v>
      </c>
      <c r="C4771" t="s">
        <v>1</v>
      </c>
      <c r="D4771" t="s">
        <v>3109</v>
      </c>
      <c r="E4771" t="s">
        <v>3110</v>
      </c>
      <c r="F4771" t="s">
        <v>0</v>
      </c>
      <c r="G4771">
        <v>13</v>
      </c>
      <c r="H4771">
        <v>0</v>
      </c>
      <c r="I4771">
        <v>4</v>
      </c>
      <c r="J4771">
        <v>17</v>
      </c>
      <c r="K4771" s="482">
        <v>0.76500000000000001</v>
      </c>
      <c r="L4771" s="482">
        <v>0</v>
      </c>
      <c r="M4771" s="482">
        <v>0.23499999999999999</v>
      </c>
    </row>
    <row r="4772" spans="1:13" x14ac:dyDescent="0.2">
      <c r="A4772" t="s">
        <v>6153</v>
      </c>
      <c r="B4772" t="s">
        <v>17</v>
      </c>
      <c r="C4772" t="s">
        <v>1</v>
      </c>
      <c r="D4772" t="s">
        <v>3808</v>
      </c>
      <c r="E4772" t="s">
        <v>3809</v>
      </c>
      <c r="F4772" t="s">
        <v>0</v>
      </c>
      <c r="G4772">
        <v>6</v>
      </c>
      <c r="H4772">
        <v>0</v>
      </c>
      <c r="I4772">
        <v>0</v>
      </c>
      <c r="J4772">
        <v>6</v>
      </c>
      <c r="K4772" s="482">
        <v>1</v>
      </c>
      <c r="L4772" s="482">
        <v>0</v>
      </c>
      <c r="M4772" s="482">
        <v>0</v>
      </c>
    </row>
    <row r="4773" spans="1:13" x14ac:dyDescent="0.2">
      <c r="A4773" t="s">
        <v>6154</v>
      </c>
      <c r="B4773" t="s">
        <v>17</v>
      </c>
      <c r="C4773" t="s">
        <v>1</v>
      </c>
      <c r="D4773" t="s">
        <v>3814</v>
      </c>
      <c r="E4773" t="s">
        <v>3815</v>
      </c>
      <c r="F4773" t="s">
        <v>0</v>
      </c>
      <c r="G4773">
        <v>19</v>
      </c>
      <c r="H4773">
        <v>0</v>
      </c>
      <c r="I4773">
        <v>2</v>
      </c>
      <c r="J4773">
        <v>21</v>
      </c>
      <c r="K4773" s="482">
        <v>0.90500000000000003</v>
      </c>
      <c r="L4773" s="482">
        <v>0</v>
      </c>
      <c r="M4773" s="482">
        <v>9.5000000000000001E-2</v>
      </c>
    </row>
    <row r="4774" spans="1:13" x14ac:dyDescent="0.2">
      <c r="A4774" t="s">
        <v>6155</v>
      </c>
      <c r="B4774" t="s">
        <v>17</v>
      </c>
      <c r="C4774" t="s">
        <v>1</v>
      </c>
      <c r="D4774" t="s">
        <v>3817</v>
      </c>
      <c r="E4774" t="s">
        <v>3818</v>
      </c>
      <c r="F4774" t="s">
        <v>0</v>
      </c>
      <c r="G4774" t="s">
        <v>53</v>
      </c>
      <c r="H4774">
        <v>0</v>
      </c>
      <c r="I4774" t="s">
        <v>53</v>
      </c>
      <c r="J4774" t="s">
        <v>53</v>
      </c>
      <c r="K4774" t="s">
        <v>53</v>
      </c>
      <c r="L4774" t="s">
        <v>53</v>
      </c>
      <c r="M4774" t="s">
        <v>53</v>
      </c>
    </row>
    <row r="4775" spans="1:13" x14ac:dyDescent="0.2">
      <c r="A4775" t="s">
        <v>6156</v>
      </c>
      <c r="B4775" t="s">
        <v>17</v>
      </c>
      <c r="C4775" t="s">
        <v>1</v>
      </c>
      <c r="D4775" t="s">
        <v>3820</v>
      </c>
      <c r="E4775" t="s">
        <v>3821</v>
      </c>
      <c r="F4775" t="s">
        <v>0</v>
      </c>
      <c r="G4775" t="s">
        <v>53</v>
      </c>
      <c r="H4775">
        <v>0</v>
      </c>
      <c r="I4775">
        <v>0</v>
      </c>
      <c r="J4775" t="s">
        <v>53</v>
      </c>
      <c r="K4775" t="s">
        <v>53</v>
      </c>
      <c r="L4775" t="s">
        <v>53</v>
      </c>
      <c r="M4775" t="s">
        <v>53</v>
      </c>
    </row>
    <row r="4776" spans="1:13" x14ac:dyDescent="0.2">
      <c r="A4776" t="s">
        <v>6157</v>
      </c>
      <c r="B4776" t="s">
        <v>17</v>
      </c>
      <c r="C4776" t="s">
        <v>1</v>
      </c>
      <c r="D4776" t="s">
        <v>3823</v>
      </c>
      <c r="E4776" t="s">
        <v>3824</v>
      </c>
      <c r="F4776" t="s">
        <v>0</v>
      </c>
      <c r="G4776">
        <v>100</v>
      </c>
      <c r="H4776">
        <v>1</v>
      </c>
      <c r="I4776">
        <v>16</v>
      </c>
      <c r="J4776">
        <v>117</v>
      </c>
      <c r="K4776" s="482">
        <v>0.85499999999999998</v>
      </c>
      <c r="L4776" s="482">
        <v>8.9999999999999993E-3</v>
      </c>
      <c r="M4776" s="482">
        <v>0.13700000000000001</v>
      </c>
    </row>
    <row r="4777" spans="1:13" x14ac:dyDescent="0.2">
      <c r="A4777" t="s">
        <v>6158</v>
      </c>
      <c r="B4777" t="s">
        <v>17</v>
      </c>
      <c r="C4777" t="s">
        <v>1</v>
      </c>
      <c r="D4777" t="s">
        <v>3826</v>
      </c>
      <c r="E4777" t="s">
        <v>3827</v>
      </c>
      <c r="F4777" t="s">
        <v>0</v>
      </c>
      <c r="G4777">
        <v>8</v>
      </c>
      <c r="H4777">
        <v>0</v>
      </c>
      <c r="I4777">
        <v>1</v>
      </c>
      <c r="J4777">
        <v>9</v>
      </c>
      <c r="K4777" s="482">
        <v>0.88900000000000001</v>
      </c>
      <c r="L4777" s="482">
        <v>0</v>
      </c>
      <c r="M4777" s="482">
        <v>0.111</v>
      </c>
    </row>
    <row r="4778" spans="1:13" x14ac:dyDescent="0.2">
      <c r="A4778" t="s">
        <v>6163</v>
      </c>
      <c r="B4778" t="s">
        <v>17</v>
      </c>
      <c r="C4778" t="s">
        <v>1</v>
      </c>
      <c r="D4778" t="s">
        <v>3829</v>
      </c>
      <c r="E4778" t="s">
        <v>3830</v>
      </c>
      <c r="F4778" t="s">
        <v>0</v>
      </c>
      <c r="G4778">
        <v>51</v>
      </c>
      <c r="H4778">
        <v>1</v>
      </c>
      <c r="I4778">
        <v>10</v>
      </c>
      <c r="J4778">
        <v>62</v>
      </c>
      <c r="K4778" s="482">
        <v>0.82299999999999995</v>
      </c>
      <c r="L4778" s="482">
        <v>1.6E-2</v>
      </c>
      <c r="M4778" s="482">
        <v>0.161</v>
      </c>
    </row>
    <row r="4779" spans="1:13" x14ac:dyDescent="0.2">
      <c r="A4779" t="s">
        <v>6164</v>
      </c>
      <c r="B4779" t="s">
        <v>17</v>
      </c>
      <c r="C4779" t="s">
        <v>1</v>
      </c>
      <c r="D4779" t="s">
        <v>3849</v>
      </c>
      <c r="E4779" t="s">
        <v>3850</v>
      </c>
      <c r="F4779" t="s">
        <v>0</v>
      </c>
      <c r="G4779">
        <v>28</v>
      </c>
      <c r="H4779">
        <v>0</v>
      </c>
      <c r="I4779">
        <v>1</v>
      </c>
      <c r="J4779">
        <v>29</v>
      </c>
      <c r="K4779" s="482">
        <v>0.96599999999999997</v>
      </c>
      <c r="L4779" s="482">
        <v>0</v>
      </c>
      <c r="M4779" s="482">
        <v>3.4000000000000002E-2</v>
      </c>
    </row>
    <row r="4780" spans="1:13" x14ac:dyDescent="0.2">
      <c r="A4780" t="s">
        <v>6075</v>
      </c>
      <c r="B4780" t="s">
        <v>17</v>
      </c>
      <c r="C4780" t="s">
        <v>1</v>
      </c>
      <c r="D4780" t="s">
        <v>3427</v>
      </c>
      <c r="E4780" t="s">
        <v>3428</v>
      </c>
      <c r="F4780" t="s">
        <v>0</v>
      </c>
      <c r="G4780" t="s">
        <v>53</v>
      </c>
      <c r="H4780">
        <v>0</v>
      </c>
      <c r="I4780" t="s">
        <v>53</v>
      </c>
      <c r="J4780" t="s">
        <v>53</v>
      </c>
      <c r="K4780" t="s">
        <v>53</v>
      </c>
      <c r="L4780" t="s">
        <v>53</v>
      </c>
      <c r="M4780" t="s">
        <v>53</v>
      </c>
    </row>
    <row r="4781" spans="1:13" x14ac:dyDescent="0.2">
      <c r="A4781" t="s">
        <v>6076</v>
      </c>
      <c r="B4781" t="s">
        <v>17</v>
      </c>
      <c r="C4781" t="s">
        <v>1</v>
      </c>
      <c r="D4781" t="s">
        <v>3430</v>
      </c>
      <c r="E4781" t="s">
        <v>3431</v>
      </c>
      <c r="F4781" t="s">
        <v>0</v>
      </c>
      <c r="G4781">
        <v>54</v>
      </c>
      <c r="H4781">
        <v>0</v>
      </c>
      <c r="I4781">
        <v>12</v>
      </c>
      <c r="J4781">
        <v>66</v>
      </c>
      <c r="K4781" s="482">
        <v>0.81799999999999995</v>
      </c>
      <c r="L4781" s="482">
        <v>0</v>
      </c>
      <c r="M4781" s="482">
        <v>0.182</v>
      </c>
    </row>
    <row r="4782" spans="1:13" x14ac:dyDescent="0.2">
      <c r="A4782" t="s">
        <v>6077</v>
      </c>
      <c r="B4782" t="s">
        <v>17</v>
      </c>
      <c r="C4782" t="s">
        <v>1</v>
      </c>
      <c r="D4782" t="s">
        <v>3439</v>
      </c>
      <c r="E4782" t="s">
        <v>3440</v>
      </c>
      <c r="F4782" t="s">
        <v>0</v>
      </c>
      <c r="G4782">
        <v>6</v>
      </c>
      <c r="H4782">
        <v>0</v>
      </c>
      <c r="I4782">
        <v>0</v>
      </c>
      <c r="J4782">
        <v>6</v>
      </c>
      <c r="K4782" s="482">
        <v>1</v>
      </c>
      <c r="L4782" s="482">
        <v>0</v>
      </c>
      <c r="M4782" s="482">
        <v>0</v>
      </c>
    </row>
    <row r="4783" spans="1:13" x14ac:dyDescent="0.2">
      <c r="A4783" t="s">
        <v>6080</v>
      </c>
      <c r="B4783" t="s">
        <v>17</v>
      </c>
      <c r="C4783" t="s">
        <v>1</v>
      </c>
      <c r="D4783" t="s">
        <v>3454</v>
      </c>
      <c r="E4783" t="s">
        <v>3455</v>
      </c>
      <c r="F4783" t="s">
        <v>0</v>
      </c>
      <c r="G4783">
        <v>21</v>
      </c>
      <c r="H4783">
        <v>0</v>
      </c>
      <c r="I4783">
        <v>3</v>
      </c>
      <c r="J4783">
        <v>24</v>
      </c>
      <c r="K4783" s="482">
        <v>0.875</v>
      </c>
      <c r="L4783" s="482">
        <v>0</v>
      </c>
      <c r="M4783" s="482">
        <v>0.125</v>
      </c>
    </row>
    <row r="4784" spans="1:13" x14ac:dyDescent="0.2">
      <c r="A4784" t="s">
        <v>6081</v>
      </c>
      <c r="B4784" t="s">
        <v>17</v>
      </c>
      <c r="C4784" t="s">
        <v>1</v>
      </c>
      <c r="D4784" t="s">
        <v>3460</v>
      </c>
      <c r="E4784" t="s">
        <v>3461</v>
      </c>
      <c r="F4784" t="s">
        <v>0</v>
      </c>
      <c r="G4784">
        <v>35</v>
      </c>
      <c r="H4784">
        <v>0</v>
      </c>
      <c r="I4784">
        <v>8</v>
      </c>
      <c r="J4784">
        <v>43</v>
      </c>
      <c r="K4784" s="482">
        <v>0.81399999999999995</v>
      </c>
      <c r="L4784" s="482">
        <v>0</v>
      </c>
      <c r="M4784" s="482">
        <v>0.186</v>
      </c>
    </row>
    <row r="4785" spans="1:13" x14ac:dyDescent="0.2">
      <c r="A4785" t="s">
        <v>6082</v>
      </c>
      <c r="B4785" t="s">
        <v>17</v>
      </c>
      <c r="C4785" t="s">
        <v>1</v>
      </c>
      <c r="D4785" t="s">
        <v>3463</v>
      </c>
      <c r="E4785" t="s">
        <v>3464</v>
      </c>
      <c r="F4785" t="s">
        <v>0</v>
      </c>
      <c r="G4785">
        <v>90</v>
      </c>
      <c r="H4785">
        <v>0</v>
      </c>
      <c r="I4785">
        <v>27</v>
      </c>
      <c r="J4785">
        <v>117</v>
      </c>
      <c r="K4785" s="482">
        <v>0.76900000000000002</v>
      </c>
      <c r="L4785" s="482">
        <v>0</v>
      </c>
      <c r="M4785" s="482">
        <v>0.23100000000000001</v>
      </c>
    </row>
    <row r="4786" spans="1:13" x14ac:dyDescent="0.2">
      <c r="A4786" t="s">
        <v>6083</v>
      </c>
      <c r="B4786" t="s">
        <v>17</v>
      </c>
      <c r="C4786" t="s">
        <v>1</v>
      </c>
      <c r="D4786" t="s">
        <v>3466</v>
      </c>
      <c r="E4786" t="s">
        <v>3467</v>
      </c>
      <c r="F4786" t="s">
        <v>0</v>
      </c>
      <c r="G4786">
        <v>124</v>
      </c>
      <c r="H4786">
        <v>0</v>
      </c>
      <c r="I4786">
        <v>40</v>
      </c>
      <c r="J4786">
        <v>164</v>
      </c>
      <c r="K4786" s="482">
        <v>0.75600000000000001</v>
      </c>
      <c r="L4786" s="482">
        <v>0</v>
      </c>
      <c r="M4786" s="482">
        <v>0.24399999999999999</v>
      </c>
    </row>
    <row r="4787" spans="1:13" x14ac:dyDescent="0.2">
      <c r="A4787" t="s">
        <v>6084</v>
      </c>
      <c r="B4787" t="s">
        <v>17</v>
      </c>
      <c r="C4787" t="s">
        <v>1</v>
      </c>
      <c r="D4787" t="s">
        <v>3475</v>
      </c>
      <c r="E4787" t="s">
        <v>3476</v>
      </c>
      <c r="F4787" t="s">
        <v>0</v>
      </c>
      <c r="G4787">
        <v>69</v>
      </c>
      <c r="H4787">
        <v>0</v>
      </c>
      <c r="I4787">
        <v>9</v>
      </c>
      <c r="J4787">
        <v>78</v>
      </c>
      <c r="K4787" s="482">
        <v>0.88500000000000001</v>
      </c>
      <c r="L4787" s="482">
        <v>0</v>
      </c>
      <c r="M4787" s="482">
        <v>0.115</v>
      </c>
    </row>
    <row r="4788" spans="1:13" x14ac:dyDescent="0.2">
      <c r="A4788" t="s">
        <v>6085</v>
      </c>
      <c r="B4788" t="s">
        <v>17</v>
      </c>
      <c r="C4788" t="s">
        <v>1</v>
      </c>
      <c r="D4788" t="s">
        <v>3478</v>
      </c>
      <c r="E4788" t="s">
        <v>3479</v>
      </c>
      <c r="F4788" t="s">
        <v>0</v>
      </c>
      <c r="G4788">
        <v>53</v>
      </c>
      <c r="H4788">
        <v>0</v>
      </c>
      <c r="I4788">
        <v>4</v>
      </c>
      <c r="J4788">
        <v>57</v>
      </c>
      <c r="K4788" s="482">
        <v>0.93</v>
      </c>
      <c r="L4788" s="482">
        <v>0</v>
      </c>
      <c r="M4788" s="482">
        <v>7.0000000000000007E-2</v>
      </c>
    </row>
    <row r="4789" spans="1:13" x14ac:dyDescent="0.2">
      <c r="A4789" t="s">
        <v>6086</v>
      </c>
      <c r="B4789" t="s">
        <v>17</v>
      </c>
      <c r="C4789" t="s">
        <v>1</v>
      </c>
      <c r="D4789" t="s">
        <v>3482</v>
      </c>
      <c r="E4789" t="s">
        <v>3483</v>
      </c>
      <c r="F4789" t="s">
        <v>0</v>
      </c>
      <c r="G4789">
        <v>24</v>
      </c>
      <c r="H4789">
        <v>0</v>
      </c>
      <c r="I4789">
        <v>5</v>
      </c>
      <c r="J4789">
        <v>29</v>
      </c>
      <c r="K4789" s="482">
        <v>0.82799999999999996</v>
      </c>
      <c r="L4789" s="482">
        <v>0</v>
      </c>
      <c r="M4789" s="482">
        <v>0.17199999999999999</v>
      </c>
    </row>
    <row r="4790" spans="1:13" x14ac:dyDescent="0.2">
      <c r="A4790" t="s">
        <v>6073</v>
      </c>
      <c r="B4790" t="s">
        <v>17</v>
      </c>
      <c r="C4790" t="s">
        <v>1</v>
      </c>
      <c r="D4790" t="s">
        <v>3421</v>
      </c>
      <c r="E4790" t="s">
        <v>3422</v>
      </c>
      <c r="F4790" t="s">
        <v>0</v>
      </c>
      <c r="G4790">
        <v>29</v>
      </c>
      <c r="H4790">
        <v>0</v>
      </c>
      <c r="I4790">
        <v>9</v>
      </c>
      <c r="J4790">
        <v>38</v>
      </c>
      <c r="K4790" s="482">
        <v>0.76300000000000001</v>
      </c>
      <c r="L4790" s="482">
        <v>0</v>
      </c>
      <c r="M4790" s="482">
        <v>0.23699999999999999</v>
      </c>
    </row>
    <row r="4791" spans="1:13" x14ac:dyDescent="0.2">
      <c r="A4791" t="s">
        <v>6074</v>
      </c>
      <c r="B4791" t="s">
        <v>17</v>
      </c>
      <c r="C4791" t="s">
        <v>1</v>
      </c>
      <c r="D4791" t="s">
        <v>3424</v>
      </c>
      <c r="E4791" t="s">
        <v>3425</v>
      </c>
      <c r="F4791" t="s">
        <v>0</v>
      </c>
      <c r="G4791">
        <v>12</v>
      </c>
      <c r="H4791">
        <v>0</v>
      </c>
      <c r="I4791">
        <v>6</v>
      </c>
      <c r="J4791">
        <v>18</v>
      </c>
      <c r="K4791" s="482">
        <v>0.66700000000000004</v>
      </c>
      <c r="L4791" s="482">
        <v>0</v>
      </c>
      <c r="M4791" s="482">
        <v>0.33300000000000002</v>
      </c>
    </row>
    <row r="4792" spans="1:13" x14ac:dyDescent="0.2">
      <c r="A4792" t="s">
        <v>6078</v>
      </c>
      <c r="B4792" t="s">
        <v>17</v>
      </c>
      <c r="C4792" t="s">
        <v>1</v>
      </c>
      <c r="D4792" t="s">
        <v>3442</v>
      </c>
      <c r="E4792" t="s">
        <v>3443</v>
      </c>
      <c r="F4792" t="s">
        <v>0</v>
      </c>
      <c r="G4792">
        <v>54</v>
      </c>
      <c r="H4792">
        <v>0</v>
      </c>
      <c r="I4792">
        <v>4</v>
      </c>
      <c r="J4792">
        <v>58</v>
      </c>
      <c r="K4792" s="482">
        <v>0.93100000000000005</v>
      </c>
      <c r="L4792" s="482">
        <v>0</v>
      </c>
      <c r="M4792" s="482">
        <v>6.9000000000000006E-2</v>
      </c>
    </row>
    <row r="4793" spans="1:13" x14ac:dyDescent="0.2">
      <c r="A4793" t="s">
        <v>6079</v>
      </c>
      <c r="B4793" t="s">
        <v>17</v>
      </c>
      <c r="C4793" t="s">
        <v>1</v>
      </c>
      <c r="D4793" t="s">
        <v>3445</v>
      </c>
      <c r="E4793" t="s">
        <v>3446</v>
      </c>
      <c r="F4793" t="s">
        <v>0</v>
      </c>
      <c r="G4793">
        <v>27</v>
      </c>
      <c r="H4793">
        <v>0</v>
      </c>
      <c r="I4793">
        <v>6</v>
      </c>
      <c r="J4793">
        <v>33</v>
      </c>
      <c r="K4793" s="482">
        <v>0.81799999999999995</v>
      </c>
      <c r="L4793" s="482">
        <v>0</v>
      </c>
      <c r="M4793" s="482">
        <v>0.182</v>
      </c>
    </row>
    <row r="4794" spans="1:13" x14ac:dyDescent="0.2">
      <c r="A4794" t="s">
        <v>6152</v>
      </c>
      <c r="B4794" t="s">
        <v>17</v>
      </c>
      <c r="C4794" t="s">
        <v>1</v>
      </c>
      <c r="D4794" t="s">
        <v>3745</v>
      </c>
      <c r="E4794" t="s">
        <v>3746</v>
      </c>
      <c r="F4794" t="s">
        <v>0</v>
      </c>
      <c r="G4794">
        <v>75</v>
      </c>
      <c r="H4794">
        <v>0</v>
      </c>
      <c r="I4794">
        <v>16</v>
      </c>
      <c r="J4794">
        <v>91</v>
      </c>
      <c r="K4794" s="482">
        <v>0.82399999999999995</v>
      </c>
      <c r="L4794" s="482">
        <v>0</v>
      </c>
      <c r="M4794" s="482">
        <v>0.17599999999999999</v>
      </c>
    </row>
    <row r="4795" spans="1:13" x14ac:dyDescent="0.2">
      <c r="A4795" t="s">
        <v>6064</v>
      </c>
      <c r="B4795" t="s">
        <v>17</v>
      </c>
      <c r="C4795" t="s">
        <v>1</v>
      </c>
      <c r="D4795" t="s">
        <v>3325</v>
      </c>
      <c r="E4795" t="s">
        <v>3326</v>
      </c>
      <c r="F4795" t="s">
        <v>0</v>
      </c>
      <c r="G4795" t="s">
        <v>53</v>
      </c>
      <c r="H4795">
        <v>0</v>
      </c>
      <c r="I4795">
        <v>0</v>
      </c>
      <c r="J4795" t="s">
        <v>53</v>
      </c>
      <c r="K4795" t="s">
        <v>53</v>
      </c>
      <c r="L4795" t="s">
        <v>53</v>
      </c>
      <c r="M4795" t="s">
        <v>53</v>
      </c>
    </row>
    <row r="4796" spans="1:13" x14ac:dyDescent="0.2">
      <c r="A4796" t="s">
        <v>6176</v>
      </c>
      <c r="B4796" t="s">
        <v>17</v>
      </c>
      <c r="C4796" t="s">
        <v>1</v>
      </c>
      <c r="D4796" t="s">
        <v>3888</v>
      </c>
      <c r="E4796" t="s">
        <v>3889</v>
      </c>
      <c r="F4796" t="s">
        <v>0</v>
      </c>
      <c r="G4796">
        <v>128</v>
      </c>
      <c r="H4796">
        <v>0</v>
      </c>
      <c r="I4796">
        <v>28</v>
      </c>
      <c r="J4796">
        <v>156</v>
      </c>
      <c r="K4796" s="482">
        <v>0.82099999999999995</v>
      </c>
      <c r="L4796" s="482">
        <v>0</v>
      </c>
      <c r="M4796" s="482">
        <v>0.17899999999999999</v>
      </c>
    </row>
    <row r="4797" spans="1:13" x14ac:dyDescent="0.2">
      <c r="A4797" t="s">
        <v>6174</v>
      </c>
      <c r="B4797" t="s">
        <v>17</v>
      </c>
      <c r="C4797" t="s">
        <v>1</v>
      </c>
      <c r="D4797" t="s">
        <v>3882</v>
      </c>
      <c r="E4797" t="s">
        <v>3883</v>
      </c>
      <c r="F4797" t="s">
        <v>0</v>
      </c>
      <c r="G4797" t="s">
        <v>53</v>
      </c>
      <c r="H4797">
        <v>0</v>
      </c>
      <c r="I4797">
        <v>0</v>
      </c>
      <c r="J4797" t="s">
        <v>53</v>
      </c>
      <c r="K4797" t="s">
        <v>53</v>
      </c>
      <c r="L4797" t="s">
        <v>53</v>
      </c>
      <c r="M4797" t="s">
        <v>53</v>
      </c>
    </row>
    <row r="4798" spans="1:13" x14ac:dyDescent="0.2">
      <c r="A4798" t="s">
        <v>6091</v>
      </c>
      <c r="B4798" t="s">
        <v>17</v>
      </c>
      <c r="C4798" t="s">
        <v>1</v>
      </c>
      <c r="D4798" t="s">
        <v>3515</v>
      </c>
      <c r="E4798" t="s">
        <v>343</v>
      </c>
      <c r="F4798" t="s">
        <v>0</v>
      </c>
      <c r="G4798">
        <v>81</v>
      </c>
      <c r="H4798">
        <v>0</v>
      </c>
      <c r="I4798">
        <v>12</v>
      </c>
      <c r="J4798">
        <v>93</v>
      </c>
      <c r="K4798" s="482">
        <v>0.871</v>
      </c>
      <c r="L4798" s="482">
        <v>0</v>
      </c>
      <c r="M4798" s="482">
        <v>0.129</v>
      </c>
    </row>
    <row r="4799" spans="1:13" x14ac:dyDescent="0.2">
      <c r="A4799" t="s">
        <v>6175</v>
      </c>
      <c r="B4799" t="s">
        <v>17</v>
      </c>
      <c r="C4799" t="s">
        <v>1</v>
      </c>
      <c r="D4799" t="s">
        <v>3885</v>
      </c>
      <c r="E4799" t="s">
        <v>3886</v>
      </c>
      <c r="F4799" t="s">
        <v>0</v>
      </c>
      <c r="G4799" t="s">
        <v>53</v>
      </c>
      <c r="H4799">
        <v>0</v>
      </c>
      <c r="I4799">
        <v>0</v>
      </c>
      <c r="J4799" t="s">
        <v>53</v>
      </c>
      <c r="K4799" t="s">
        <v>53</v>
      </c>
      <c r="L4799" t="s">
        <v>53</v>
      </c>
      <c r="M4799" t="s">
        <v>53</v>
      </c>
    </row>
    <row r="4800" spans="1:13" x14ac:dyDescent="0.2">
      <c r="A4800" t="s">
        <v>6177</v>
      </c>
      <c r="B4800" t="s">
        <v>17</v>
      </c>
      <c r="C4800" t="s">
        <v>1</v>
      </c>
      <c r="D4800" t="s">
        <v>3894</v>
      </c>
      <c r="E4800" t="s">
        <v>3895</v>
      </c>
      <c r="F4800" t="s">
        <v>0</v>
      </c>
      <c r="G4800">
        <v>7</v>
      </c>
      <c r="H4800">
        <v>0</v>
      </c>
      <c r="I4800">
        <v>0</v>
      </c>
      <c r="J4800">
        <v>7</v>
      </c>
      <c r="K4800" s="482">
        <v>1</v>
      </c>
      <c r="L4800" s="482">
        <v>0</v>
      </c>
      <c r="M4800" s="482">
        <v>0</v>
      </c>
    </row>
    <row r="4801" spans="1:13" x14ac:dyDescent="0.2">
      <c r="A4801" t="s">
        <v>6178</v>
      </c>
      <c r="B4801" t="s">
        <v>17</v>
      </c>
      <c r="C4801" t="s">
        <v>1</v>
      </c>
      <c r="D4801" t="s">
        <v>3906</v>
      </c>
      <c r="E4801" t="s">
        <v>3907</v>
      </c>
      <c r="F4801" t="s">
        <v>0</v>
      </c>
      <c r="G4801">
        <v>91</v>
      </c>
      <c r="H4801">
        <v>0</v>
      </c>
      <c r="I4801">
        <v>14</v>
      </c>
      <c r="J4801">
        <v>105</v>
      </c>
      <c r="K4801" s="482">
        <v>0.86699999999999999</v>
      </c>
      <c r="L4801" s="482">
        <v>0</v>
      </c>
      <c r="M4801" s="482">
        <v>0.13300000000000001</v>
      </c>
    </row>
    <row r="4802" spans="1:13" x14ac:dyDescent="0.2">
      <c r="A4802" t="s">
        <v>6072</v>
      </c>
      <c r="B4802" t="s">
        <v>17</v>
      </c>
      <c r="C4802" t="s">
        <v>1</v>
      </c>
      <c r="D4802" t="s">
        <v>4370</v>
      </c>
      <c r="E4802" t="s">
        <v>4371</v>
      </c>
      <c r="F4802" t="s">
        <v>0</v>
      </c>
      <c r="G4802">
        <v>7</v>
      </c>
      <c r="H4802">
        <v>0</v>
      </c>
      <c r="I4802">
        <v>1</v>
      </c>
      <c r="J4802">
        <v>8</v>
      </c>
      <c r="K4802" s="482">
        <v>0.875</v>
      </c>
      <c r="L4802" s="482">
        <v>0</v>
      </c>
      <c r="M4802" s="482">
        <v>0.125</v>
      </c>
    </row>
    <row r="4803" spans="1:13" x14ac:dyDescent="0.2">
      <c r="A4803" t="s">
        <v>6071</v>
      </c>
      <c r="B4803" t="s">
        <v>17</v>
      </c>
      <c r="C4803" t="s">
        <v>1</v>
      </c>
      <c r="D4803" t="s">
        <v>3418</v>
      </c>
      <c r="E4803" t="s">
        <v>3419</v>
      </c>
      <c r="F4803" t="s">
        <v>0</v>
      </c>
      <c r="G4803">
        <v>15</v>
      </c>
      <c r="H4803">
        <v>0</v>
      </c>
      <c r="I4803">
        <v>0</v>
      </c>
      <c r="J4803">
        <v>15</v>
      </c>
      <c r="K4803" s="482">
        <v>1</v>
      </c>
      <c r="L4803" s="482">
        <v>0</v>
      </c>
      <c r="M4803" s="482">
        <v>0</v>
      </c>
    </row>
    <row r="4804" spans="1:13" x14ac:dyDescent="0.2">
      <c r="A4804" t="s">
        <v>6037</v>
      </c>
      <c r="B4804" t="s">
        <v>17</v>
      </c>
      <c r="C4804" t="s">
        <v>1</v>
      </c>
      <c r="D4804" t="s">
        <v>3088</v>
      </c>
      <c r="E4804" t="s">
        <v>3089</v>
      </c>
      <c r="F4804" t="s">
        <v>0</v>
      </c>
      <c r="G4804">
        <v>31</v>
      </c>
      <c r="H4804">
        <v>0</v>
      </c>
      <c r="I4804">
        <v>5</v>
      </c>
      <c r="J4804">
        <v>36</v>
      </c>
      <c r="K4804" s="482">
        <v>0.86099999999999999</v>
      </c>
      <c r="L4804" s="482">
        <v>0</v>
      </c>
      <c r="M4804" s="482">
        <v>0.13900000000000001</v>
      </c>
    </row>
    <row r="4805" spans="1:13" x14ac:dyDescent="0.2">
      <c r="A4805" t="s">
        <v>6041</v>
      </c>
      <c r="B4805" t="s">
        <v>17</v>
      </c>
      <c r="C4805" t="s">
        <v>1</v>
      </c>
      <c r="D4805" t="s">
        <v>3103</v>
      </c>
      <c r="E4805" t="s">
        <v>3104</v>
      </c>
      <c r="F4805" t="s">
        <v>0</v>
      </c>
      <c r="G4805">
        <v>6</v>
      </c>
      <c r="H4805">
        <v>0</v>
      </c>
      <c r="I4805">
        <v>0</v>
      </c>
      <c r="J4805">
        <v>6</v>
      </c>
      <c r="K4805" s="482">
        <v>1</v>
      </c>
      <c r="L4805" s="482">
        <v>0</v>
      </c>
      <c r="M4805" s="482">
        <v>0</v>
      </c>
    </row>
    <row r="4806" spans="1:13" x14ac:dyDescent="0.2">
      <c r="A4806" t="s">
        <v>6042</v>
      </c>
      <c r="B4806" t="s">
        <v>17</v>
      </c>
      <c r="C4806" t="s">
        <v>1</v>
      </c>
      <c r="D4806" t="s">
        <v>3106</v>
      </c>
      <c r="E4806" t="s">
        <v>3107</v>
      </c>
      <c r="F4806" t="s">
        <v>0</v>
      </c>
      <c r="G4806">
        <v>20</v>
      </c>
      <c r="H4806">
        <v>0</v>
      </c>
      <c r="I4806">
        <v>1</v>
      </c>
      <c r="J4806">
        <v>21</v>
      </c>
      <c r="K4806" s="482">
        <v>0.95199999999999996</v>
      </c>
      <c r="L4806" s="482">
        <v>0</v>
      </c>
      <c r="M4806" s="482">
        <v>4.8000000000000001E-2</v>
      </c>
    </row>
    <row r="4807" spans="1:13" x14ac:dyDescent="0.2">
      <c r="A4807" t="s">
        <v>6149</v>
      </c>
      <c r="B4807" t="s">
        <v>17</v>
      </c>
      <c r="C4807" t="s">
        <v>1</v>
      </c>
      <c r="D4807" t="s">
        <v>3793</v>
      </c>
      <c r="E4807" t="s">
        <v>3794</v>
      </c>
      <c r="F4807" t="s">
        <v>0</v>
      </c>
      <c r="G4807" t="s">
        <v>53</v>
      </c>
      <c r="H4807">
        <v>0</v>
      </c>
      <c r="I4807">
        <v>0</v>
      </c>
      <c r="J4807" t="s">
        <v>53</v>
      </c>
      <c r="K4807" t="s">
        <v>53</v>
      </c>
      <c r="L4807" t="s">
        <v>53</v>
      </c>
      <c r="M4807" t="s">
        <v>53</v>
      </c>
    </row>
    <row r="4808" spans="1:13" x14ac:dyDescent="0.2">
      <c r="A4808" t="s">
        <v>6050</v>
      </c>
      <c r="B4808" t="s">
        <v>17</v>
      </c>
      <c r="C4808" t="s">
        <v>1</v>
      </c>
      <c r="D4808" t="s">
        <v>3148</v>
      </c>
      <c r="E4808" t="s">
        <v>3149</v>
      </c>
      <c r="F4808" t="s">
        <v>0</v>
      </c>
      <c r="G4808">
        <v>17</v>
      </c>
      <c r="H4808">
        <v>1</v>
      </c>
      <c r="I4808">
        <v>11</v>
      </c>
      <c r="J4808">
        <v>29</v>
      </c>
      <c r="K4808" s="482">
        <v>0.58599999999999997</v>
      </c>
      <c r="L4808" s="482">
        <v>3.4000000000000002E-2</v>
      </c>
      <c r="M4808" s="482">
        <v>0.379</v>
      </c>
    </row>
    <row r="4809" spans="1:13" x14ac:dyDescent="0.2">
      <c r="A4809" t="s">
        <v>6051</v>
      </c>
      <c r="B4809" t="s">
        <v>17</v>
      </c>
      <c r="C4809" t="s">
        <v>1</v>
      </c>
      <c r="D4809" t="s">
        <v>3151</v>
      </c>
      <c r="E4809" t="s">
        <v>3152</v>
      </c>
      <c r="F4809" t="s">
        <v>0</v>
      </c>
      <c r="G4809">
        <v>71</v>
      </c>
      <c r="H4809">
        <v>1</v>
      </c>
      <c r="I4809">
        <v>14</v>
      </c>
      <c r="J4809">
        <v>86</v>
      </c>
      <c r="K4809" s="482">
        <v>0.82599999999999996</v>
      </c>
      <c r="L4809" s="482">
        <v>1.2E-2</v>
      </c>
      <c r="M4809" s="482">
        <v>0.16300000000000001</v>
      </c>
    </row>
    <row r="4810" spans="1:13" x14ac:dyDescent="0.2">
      <c r="A4810" t="s">
        <v>6046</v>
      </c>
      <c r="B4810" t="s">
        <v>17</v>
      </c>
      <c r="C4810" t="s">
        <v>1</v>
      </c>
      <c r="D4810" t="s">
        <v>3121</v>
      </c>
      <c r="E4810" t="s">
        <v>3122</v>
      </c>
      <c r="F4810" t="s">
        <v>0</v>
      </c>
      <c r="G4810">
        <v>115</v>
      </c>
      <c r="H4810">
        <v>0</v>
      </c>
      <c r="I4810">
        <v>25</v>
      </c>
      <c r="J4810">
        <v>140</v>
      </c>
      <c r="K4810" s="482">
        <v>0.82099999999999995</v>
      </c>
      <c r="L4810" s="482">
        <v>0</v>
      </c>
      <c r="M4810" s="482">
        <v>0.17899999999999999</v>
      </c>
    </row>
    <row r="4811" spans="1:13" x14ac:dyDescent="0.2">
      <c r="A4811" t="s">
        <v>6045</v>
      </c>
      <c r="B4811" t="s">
        <v>17</v>
      </c>
      <c r="C4811" t="s">
        <v>1</v>
      </c>
      <c r="D4811" t="s">
        <v>3115</v>
      </c>
      <c r="E4811" t="s">
        <v>3116</v>
      </c>
      <c r="F4811" t="s">
        <v>0</v>
      </c>
      <c r="G4811">
        <v>16</v>
      </c>
      <c r="H4811">
        <v>0</v>
      </c>
      <c r="I4811">
        <v>5</v>
      </c>
      <c r="J4811">
        <v>21</v>
      </c>
      <c r="K4811" s="482">
        <v>0.76200000000000001</v>
      </c>
      <c r="L4811" s="482">
        <v>0</v>
      </c>
      <c r="M4811" s="482">
        <v>0.23799999999999999</v>
      </c>
    </row>
    <row r="4812" spans="1:13" x14ac:dyDescent="0.2">
      <c r="A4812" t="s">
        <v>6044</v>
      </c>
      <c r="B4812" t="s">
        <v>17</v>
      </c>
      <c r="C4812" t="s">
        <v>1</v>
      </c>
      <c r="D4812" t="s">
        <v>3112</v>
      </c>
      <c r="E4812" t="s">
        <v>3113</v>
      </c>
      <c r="F4812" t="s">
        <v>0</v>
      </c>
      <c r="G4812">
        <v>10</v>
      </c>
      <c r="H4812">
        <v>0</v>
      </c>
      <c r="I4812">
        <v>3</v>
      </c>
      <c r="J4812">
        <v>13</v>
      </c>
      <c r="K4812" s="482">
        <v>0.76900000000000002</v>
      </c>
      <c r="L4812" s="482">
        <v>0</v>
      </c>
      <c r="M4812" s="482">
        <v>0.23100000000000001</v>
      </c>
    </row>
    <row r="4813" spans="1:13" x14ac:dyDescent="0.2">
      <c r="A4813" t="s">
        <v>6122</v>
      </c>
      <c r="B4813" t="s">
        <v>17</v>
      </c>
      <c r="C4813" t="s">
        <v>1</v>
      </c>
      <c r="D4813" t="s">
        <v>3675</v>
      </c>
      <c r="E4813" t="s">
        <v>3676</v>
      </c>
      <c r="F4813" t="s">
        <v>0</v>
      </c>
      <c r="G4813">
        <v>28</v>
      </c>
      <c r="H4813">
        <v>0</v>
      </c>
      <c r="I4813">
        <v>7</v>
      </c>
      <c r="J4813">
        <v>35</v>
      </c>
      <c r="K4813" s="482">
        <v>0.8</v>
      </c>
      <c r="L4813" s="482">
        <v>0</v>
      </c>
      <c r="M4813" s="482">
        <v>0.2</v>
      </c>
    </row>
    <row r="4814" spans="1:13" x14ac:dyDescent="0.2">
      <c r="A4814" t="s">
        <v>6123</v>
      </c>
      <c r="B4814" t="s">
        <v>17</v>
      </c>
      <c r="C4814" t="s">
        <v>1</v>
      </c>
      <c r="D4814" t="s">
        <v>3678</v>
      </c>
      <c r="E4814" t="s">
        <v>3679</v>
      </c>
      <c r="F4814" t="s">
        <v>0</v>
      </c>
      <c r="G4814">
        <v>10</v>
      </c>
      <c r="H4814">
        <v>0</v>
      </c>
      <c r="I4814">
        <v>1</v>
      </c>
      <c r="J4814">
        <v>11</v>
      </c>
      <c r="K4814" s="482">
        <v>0.90900000000000003</v>
      </c>
      <c r="L4814" s="482">
        <v>0</v>
      </c>
      <c r="M4814" s="482">
        <v>9.0999999999999998E-2</v>
      </c>
    </row>
    <row r="4815" spans="1:13" x14ac:dyDescent="0.2">
      <c r="A4815" t="s">
        <v>6136</v>
      </c>
      <c r="B4815" t="s">
        <v>17</v>
      </c>
      <c r="C4815" t="s">
        <v>1</v>
      </c>
      <c r="D4815" t="s">
        <v>3748</v>
      </c>
      <c r="E4815" t="s">
        <v>3749</v>
      </c>
      <c r="F4815" t="s">
        <v>0</v>
      </c>
      <c r="G4815">
        <v>168</v>
      </c>
      <c r="H4815">
        <v>0</v>
      </c>
      <c r="I4815">
        <v>32</v>
      </c>
      <c r="J4815">
        <v>200</v>
      </c>
      <c r="K4815" s="482">
        <v>0.84</v>
      </c>
      <c r="L4815" s="482">
        <v>0</v>
      </c>
      <c r="M4815" s="482">
        <v>0.16</v>
      </c>
    </row>
    <row r="4816" spans="1:13" x14ac:dyDescent="0.2">
      <c r="A4816" t="s">
        <v>6124</v>
      </c>
      <c r="B4816" t="s">
        <v>17</v>
      </c>
      <c r="C4816" t="s">
        <v>1</v>
      </c>
      <c r="D4816" t="s">
        <v>3681</v>
      </c>
      <c r="E4816" t="s">
        <v>3682</v>
      </c>
      <c r="F4816" t="s">
        <v>0</v>
      </c>
      <c r="G4816">
        <v>5</v>
      </c>
      <c r="H4816">
        <v>0</v>
      </c>
      <c r="I4816">
        <v>1</v>
      </c>
      <c r="J4816">
        <v>6</v>
      </c>
      <c r="K4816" s="482">
        <v>0.83299999999999996</v>
      </c>
      <c r="L4816" s="482">
        <v>0</v>
      </c>
      <c r="M4816" s="482">
        <v>0.16700000000000001</v>
      </c>
    </row>
    <row r="4817" spans="1:13" x14ac:dyDescent="0.2">
      <c r="A4817" t="s">
        <v>6065</v>
      </c>
      <c r="B4817" t="s">
        <v>17</v>
      </c>
      <c r="C4817" t="s">
        <v>1</v>
      </c>
      <c r="D4817" t="s">
        <v>3358</v>
      </c>
      <c r="E4817" t="s">
        <v>3359</v>
      </c>
      <c r="F4817" t="s">
        <v>0</v>
      </c>
      <c r="G4817">
        <v>49</v>
      </c>
      <c r="H4817">
        <v>0</v>
      </c>
      <c r="I4817">
        <v>5</v>
      </c>
      <c r="J4817">
        <v>54</v>
      </c>
      <c r="K4817" s="482">
        <v>0.90700000000000003</v>
      </c>
      <c r="L4817" s="482">
        <v>0</v>
      </c>
      <c r="M4817" s="482">
        <v>9.2999999999999999E-2</v>
      </c>
    </row>
    <row r="4818" spans="1:13" x14ac:dyDescent="0.2">
      <c r="A4818" t="s">
        <v>6070</v>
      </c>
      <c r="B4818" t="s">
        <v>17</v>
      </c>
      <c r="C4818" t="s">
        <v>1</v>
      </c>
      <c r="D4818" t="s">
        <v>3376</v>
      </c>
      <c r="E4818" t="s">
        <v>3377</v>
      </c>
      <c r="F4818" t="s">
        <v>0</v>
      </c>
      <c r="G4818">
        <v>19</v>
      </c>
      <c r="H4818">
        <v>0</v>
      </c>
      <c r="I4818">
        <v>0</v>
      </c>
      <c r="J4818">
        <v>19</v>
      </c>
      <c r="K4818" s="482">
        <v>1</v>
      </c>
      <c r="L4818" s="482">
        <v>0</v>
      </c>
      <c r="M4818" s="482">
        <v>0</v>
      </c>
    </row>
    <row r="4819" spans="1:13" x14ac:dyDescent="0.2">
      <c r="A4819" t="s">
        <v>6066</v>
      </c>
      <c r="B4819" t="s">
        <v>17</v>
      </c>
      <c r="C4819" t="s">
        <v>1</v>
      </c>
      <c r="D4819" t="s">
        <v>3361</v>
      </c>
      <c r="E4819" t="s">
        <v>3362</v>
      </c>
      <c r="F4819" t="s">
        <v>0</v>
      </c>
      <c r="G4819">
        <v>35</v>
      </c>
      <c r="H4819">
        <v>0</v>
      </c>
      <c r="I4819">
        <v>8</v>
      </c>
      <c r="J4819">
        <v>43</v>
      </c>
      <c r="K4819" s="482">
        <v>0.81399999999999995</v>
      </c>
      <c r="L4819" s="482">
        <v>0</v>
      </c>
      <c r="M4819" s="482">
        <v>0.186</v>
      </c>
    </row>
    <row r="4820" spans="1:13" x14ac:dyDescent="0.2">
      <c r="A4820" t="s">
        <v>6067</v>
      </c>
      <c r="B4820" t="s">
        <v>17</v>
      </c>
      <c r="C4820" t="s">
        <v>1</v>
      </c>
      <c r="D4820" t="s">
        <v>3367</v>
      </c>
      <c r="E4820" t="s">
        <v>3368</v>
      </c>
      <c r="F4820" t="s">
        <v>0</v>
      </c>
      <c r="G4820">
        <v>49</v>
      </c>
      <c r="H4820">
        <v>0</v>
      </c>
      <c r="I4820">
        <v>8</v>
      </c>
      <c r="J4820">
        <v>57</v>
      </c>
      <c r="K4820" s="482">
        <v>0.86</v>
      </c>
      <c r="L4820" s="482">
        <v>0</v>
      </c>
      <c r="M4820" s="482">
        <v>0.14000000000000001</v>
      </c>
    </row>
    <row r="4821" spans="1:13" x14ac:dyDescent="0.2">
      <c r="A4821" t="s">
        <v>6068</v>
      </c>
      <c r="B4821" t="s">
        <v>17</v>
      </c>
      <c r="C4821" t="s">
        <v>1</v>
      </c>
      <c r="D4821" t="s">
        <v>3370</v>
      </c>
      <c r="E4821" t="s">
        <v>3371</v>
      </c>
      <c r="F4821" t="s">
        <v>0</v>
      </c>
      <c r="G4821">
        <v>30</v>
      </c>
      <c r="H4821">
        <v>0</v>
      </c>
      <c r="I4821">
        <v>6</v>
      </c>
      <c r="J4821">
        <v>36</v>
      </c>
      <c r="K4821" s="482">
        <v>0.83299999999999996</v>
      </c>
      <c r="L4821" s="482">
        <v>0</v>
      </c>
      <c r="M4821" s="482">
        <v>0.16700000000000001</v>
      </c>
    </row>
    <row r="4822" spans="1:13" x14ac:dyDescent="0.2">
      <c r="A4822" t="s">
        <v>6069</v>
      </c>
      <c r="B4822" t="s">
        <v>17</v>
      </c>
      <c r="C4822" t="s">
        <v>1</v>
      </c>
      <c r="D4822" t="s">
        <v>3373</v>
      </c>
      <c r="E4822" t="s">
        <v>3374</v>
      </c>
      <c r="F4822" t="s">
        <v>0</v>
      </c>
      <c r="G4822">
        <v>13</v>
      </c>
      <c r="H4822">
        <v>0</v>
      </c>
      <c r="I4822">
        <v>1</v>
      </c>
      <c r="J4822">
        <v>14</v>
      </c>
      <c r="K4822" s="482">
        <v>0.92900000000000005</v>
      </c>
      <c r="L4822" s="482">
        <v>0</v>
      </c>
      <c r="M4822" s="482">
        <v>7.0999999999999994E-2</v>
      </c>
    </row>
    <row r="4823" spans="1:13" x14ac:dyDescent="0.2">
      <c r="A4823" t="s">
        <v>6036</v>
      </c>
      <c r="B4823" t="s">
        <v>17</v>
      </c>
      <c r="C4823" t="s">
        <v>1</v>
      </c>
      <c r="D4823" t="s">
        <v>3379</v>
      </c>
      <c r="E4823" t="s">
        <v>3380</v>
      </c>
      <c r="F4823" t="s">
        <v>0</v>
      </c>
      <c r="G4823">
        <v>97</v>
      </c>
      <c r="H4823">
        <v>0</v>
      </c>
      <c r="I4823">
        <v>12</v>
      </c>
      <c r="J4823">
        <v>109</v>
      </c>
      <c r="K4823" s="482">
        <v>0.89</v>
      </c>
      <c r="L4823" s="482">
        <v>0</v>
      </c>
      <c r="M4823" s="482">
        <v>0.11</v>
      </c>
    </row>
    <row r="4824" spans="1:13" x14ac:dyDescent="0.2">
      <c r="A4824" t="s">
        <v>6032</v>
      </c>
      <c r="B4824" t="s">
        <v>17</v>
      </c>
      <c r="C4824" t="s">
        <v>1</v>
      </c>
      <c r="D4824" t="s">
        <v>3076</v>
      </c>
      <c r="E4824" t="s">
        <v>3077</v>
      </c>
      <c r="F4824" t="s">
        <v>0</v>
      </c>
      <c r="G4824">
        <v>65</v>
      </c>
      <c r="H4824">
        <v>0</v>
      </c>
      <c r="I4824">
        <v>7</v>
      </c>
      <c r="J4824">
        <v>72</v>
      </c>
      <c r="K4824" s="482">
        <v>0.90300000000000002</v>
      </c>
      <c r="L4824" s="482">
        <v>0</v>
      </c>
      <c r="M4824" s="482">
        <v>9.7000000000000003E-2</v>
      </c>
    </row>
    <row r="4825" spans="1:13" x14ac:dyDescent="0.2">
      <c r="A4825" t="s">
        <v>6033</v>
      </c>
      <c r="B4825" t="s">
        <v>17</v>
      </c>
      <c r="C4825" t="s">
        <v>1</v>
      </c>
      <c r="D4825" t="s">
        <v>3079</v>
      </c>
      <c r="E4825" t="s">
        <v>3080</v>
      </c>
      <c r="F4825" t="s">
        <v>0</v>
      </c>
      <c r="G4825">
        <v>10</v>
      </c>
      <c r="H4825">
        <v>0</v>
      </c>
      <c r="I4825">
        <v>1</v>
      </c>
      <c r="J4825">
        <v>11</v>
      </c>
      <c r="K4825" s="482">
        <v>0.90900000000000003</v>
      </c>
      <c r="L4825" s="482">
        <v>0</v>
      </c>
      <c r="M4825" s="482">
        <v>9.0999999999999998E-2</v>
      </c>
    </row>
    <row r="4826" spans="1:13" x14ac:dyDescent="0.2">
      <c r="A4826" t="s">
        <v>6034</v>
      </c>
      <c r="B4826" t="s">
        <v>17</v>
      </c>
      <c r="C4826" t="s">
        <v>1</v>
      </c>
      <c r="D4826" t="s">
        <v>3082</v>
      </c>
      <c r="E4826" t="s">
        <v>3083</v>
      </c>
      <c r="F4826" t="s">
        <v>0</v>
      </c>
      <c r="G4826">
        <v>18</v>
      </c>
      <c r="H4826">
        <v>0</v>
      </c>
      <c r="I4826">
        <v>4</v>
      </c>
      <c r="J4826">
        <v>22</v>
      </c>
      <c r="K4826" s="482">
        <v>0.81799999999999995</v>
      </c>
      <c r="L4826" s="482">
        <v>0</v>
      </c>
      <c r="M4826" s="482">
        <v>0.182</v>
      </c>
    </row>
    <row r="4827" spans="1:13" x14ac:dyDescent="0.2">
      <c r="A4827" t="s">
        <v>6035</v>
      </c>
      <c r="B4827" t="s">
        <v>17</v>
      </c>
      <c r="C4827" t="s">
        <v>1</v>
      </c>
      <c r="D4827" t="s">
        <v>3085</v>
      </c>
      <c r="E4827" t="s">
        <v>3086</v>
      </c>
      <c r="F4827" t="s">
        <v>0</v>
      </c>
      <c r="G4827">
        <v>24</v>
      </c>
      <c r="H4827">
        <v>0</v>
      </c>
      <c r="I4827">
        <v>1</v>
      </c>
      <c r="J4827">
        <v>25</v>
      </c>
      <c r="K4827" s="482">
        <v>0.96</v>
      </c>
      <c r="L4827" s="482">
        <v>0</v>
      </c>
      <c r="M4827" s="482">
        <v>0.04</v>
      </c>
    </row>
    <row r="4828" spans="1:13" x14ac:dyDescent="0.2">
      <c r="A4828" t="s">
        <v>6038</v>
      </c>
      <c r="B4828" t="s">
        <v>17</v>
      </c>
      <c r="C4828" t="s">
        <v>1</v>
      </c>
      <c r="D4828" t="s">
        <v>3094</v>
      </c>
      <c r="E4828" t="s">
        <v>3095</v>
      </c>
      <c r="F4828" t="s">
        <v>0</v>
      </c>
      <c r="G4828">
        <v>144</v>
      </c>
      <c r="H4828">
        <v>0</v>
      </c>
      <c r="I4828">
        <v>40</v>
      </c>
      <c r="J4828">
        <v>184</v>
      </c>
      <c r="K4828" s="482">
        <v>0.78300000000000003</v>
      </c>
      <c r="L4828" s="482">
        <v>0</v>
      </c>
      <c r="M4828" s="482">
        <v>0.217</v>
      </c>
    </row>
    <row r="4829" spans="1:13" x14ac:dyDescent="0.2">
      <c r="A4829" t="s">
        <v>6039</v>
      </c>
      <c r="B4829" t="s">
        <v>17</v>
      </c>
      <c r="C4829" t="s">
        <v>1</v>
      </c>
      <c r="D4829" t="s">
        <v>3097</v>
      </c>
      <c r="E4829" t="s">
        <v>3098</v>
      </c>
      <c r="F4829" t="s">
        <v>0</v>
      </c>
      <c r="G4829">
        <v>19</v>
      </c>
      <c r="H4829">
        <v>0</v>
      </c>
      <c r="I4829">
        <v>2</v>
      </c>
      <c r="J4829">
        <v>21</v>
      </c>
      <c r="K4829" s="482">
        <v>0.90500000000000003</v>
      </c>
      <c r="L4829" s="482">
        <v>0</v>
      </c>
      <c r="M4829" s="482">
        <v>9.5000000000000001E-2</v>
      </c>
    </row>
    <row r="4830" spans="1:13" x14ac:dyDescent="0.2">
      <c r="A4830" t="s">
        <v>6040</v>
      </c>
      <c r="B4830" t="s">
        <v>17</v>
      </c>
      <c r="C4830" t="s">
        <v>1</v>
      </c>
      <c r="D4830" t="s">
        <v>3100</v>
      </c>
      <c r="E4830" t="s">
        <v>3101</v>
      </c>
      <c r="F4830" t="s">
        <v>0</v>
      </c>
      <c r="G4830">
        <v>194</v>
      </c>
      <c r="H4830">
        <v>1</v>
      </c>
      <c r="I4830">
        <v>50</v>
      </c>
      <c r="J4830">
        <v>245</v>
      </c>
      <c r="K4830" s="482">
        <v>0.79200000000000004</v>
      </c>
      <c r="L4830" s="482">
        <v>4.0000000000000001E-3</v>
      </c>
      <c r="M4830" s="482">
        <v>0.20399999999999999</v>
      </c>
    </row>
    <row r="4831" spans="1:13" x14ac:dyDescent="0.2">
      <c r="A4831" t="s">
        <v>6125</v>
      </c>
      <c r="B4831" t="s">
        <v>17</v>
      </c>
      <c r="C4831" t="s">
        <v>1</v>
      </c>
      <c r="D4831" t="s">
        <v>3742</v>
      </c>
      <c r="E4831" t="s">
        <v>3743</v>
      </c>
      <c r="F4831" t="s">
        <v>0</v>
      </c>
      <c r="G4831" t="s">
        <v>53</v>
      </c>
      <c r="H4831">
        <v>0</v>
      </c>
      <c r="I4831">
        <v>0</v>
      </c>
      <c r="J4831" t="s">
        <v>53</v>
      </c>
      <c r="K4831" t="s">
        <v>53</v>
      </c>
      <c r="L4831" t="s">
        <v>53</v>
      </c>
      <c r="M4831" t="s">
        <v>53</v>
      </c>
    </row>
    <row r="4832" spans="1:13" x14ac:dyDescent="0.2">
      <c r="A4832" t="s">
        <v>6134</v>
      </c>
      <c r="B4832" t="s">
        <v>17</v>
      </c>
      <c r="C4832" t="s">
        <v>1</v>
      </c>
      <c r="D4832" t="s">
        <v>3382</v>
      </c>
      <c r="E4832" t="s">
        <v>3383</v>
      </c>
      <c r="F4832" t="s">
        <v>0</v>
      </c>
      <c r="G4832">
        <v>54</v>
      </c>
      <c r="H4832">
        <v>0</v>
      </c>
      <c r="I4832">
        <v>17</v>
      </c>
      <c r="J4832">
        <v>71</v>
      </c>
      <c r="K4832" s="482">
        <v>0.76100000000000001</v>
      </c>
      <c r="L4832" s="482">
        <v>0</v>
      </c>
      <c r="M4832" s="482">
        <v>0.23899999999999999</v>
      </c>
    </row>
    <row r="4833" spans="1:13" x14ac:dyDescent="0.2">
      <c r="A4833" t="s">
        <v>6138</v>
      </c>
      <c r="B4833" t="s">
        <v>17</v>
      </c>
      <c r="C4833" t="s">
        <v>1</v>
      </c>
      <c r="D4833" t="s">
        <v>3754</v>
      </c>
      <c r="E4833" t="s">
        <v>3755</v>
      </c>
      <c r="F4833" t="s">
        <v>0</v>
      </c>
      <c r="G4833">
        <v>20</v>
      </c>
      <c r="H4833">
        <v>0</v>
      </c>
      <c r="I4833">
        <v>8</v>
      </c>
      <c r="J4833">
        <v>28</v>
      </c>
      <c r="K4833" s="482">
        <v>0.71399999999999997</v>
      </c>
      <c r="L4833" s="482">
        <v>0</v>
      </c>
      <c r="M4833" s="482">
        <v>0.28599999999999998</v>
      </c>
    </row>
    <row r="4834" spans="1:13" x14ac:dyDescent="0.2">
      <c r="A4834" t="s">
        <v>6135</v>
      </c>
      <c r="B4834" t="s">
        <v>17</v>
      </c>
      <c r="C4834" t="s">
        <v>1</v>
      </c>
      <c r="D4834" t="s">
        <v>3739</v>
      </c>
      <c r="E4834" t="s">
        <v>3740</v>
      </c>
      <c r="F4834" t="s">
        <v>0</v>
      </c>
      <c r="G4834">
        <v>6</v>
      </c>
      <c r="H4834">
        <v>0</v>
      </c>
      <c r="I4834">
        <v>1</v>
      </c>
      <c r="J4834">
        <v>7</v>
      </c>
      <c r="K4834" s="482">
        <v>0.85699999999999998</v>
      </c>
      <c r="L4834" s="482">
        <v>0</v>
      </c>
      <c r="M4834" s="482">
        <v>0.14299999999999999</v>
      </c>
    </row>
    <row r="4835" spans="1:13" x14ac:dyDescent="0.2">
      <c r="A4835" t="s">
        <v>6137</v>
      </c>
      <c r="B4835" t="s">
        <v>17</v>
      </c>
      <c r="C4835" t="s">
        <v>1</v>
      </c>
      <c r="D4835" t="s">
        <v>3751</v>
      </c>
      <c r="E4835" t="s">
        <v>3752</v>
      </c>
      <c r="F4835" t="s">
        <v>0</v>
      </c>
      <c r="G4835">
        <v>25</v>
      </c>
      <c r="H4835">
        <v>0</v>
      </c>
      <c r="I4835">
        <v>1</v>
      </c>
      <c r="J4835">
        <v>26</v>
      </c>
      <c r="K4835" s="482">
        <v>0.96199999999999997</v>
      </c>
      <c r="L4835" s="482">
        <v>0</v>
      </c>
      <c r="M4835" s="482">
        <v>3.7999999999999999E-2</v>
      </c>
    </row>
    <row r="4836" spans="1:13" x14ac:dyDescent="0.2">
      <c r="A4836" t="s">
        <v>6108</v>
      </c>
      <c r="B4836" t="s">
        <v>17</v>
      </c>
      <c r="C4836" t="s">
        <v>1</v>
      </c>
      <c r="D4836" t="s">
        <v>3618</v>
      </c>
      <c r="E4836" t="s">
        <v>3619</v>
      </c>
      <c r="F4836" t="s">
        <v>0</v>
      </c>
      <c r="G4836" t="s">
        <v>53</v>
      </c>
      <c r="H4836">
        <v>0</v>
      </c>
      <c r="I4836">
        <v>0</v>
      </c>
      <c r="J4836" t="s">
        <v>53</v>
      </c>
      <c r="K4836" t="s">
        <v>53</v>
      </c>
      <c r="L4836" t="s">
        <v>53</v>
      </c>
      <c r="M4836" t="s">
        <v>53</v>
      </c>
    </row>
    <row r="4837" spans="1:13" x14ac:dyDescent="0.2">
      <c r="A4837" t="s">
        <v>6063</v>
      </c>
      <c r="B4837" t="s">
        <v>17</v>
      </c>
      <c r="C4837" t="s">
        <v>1</v>
      </c>
      <c r="D4837" t="s">
        <v>3307</v>
      </c>
      <c r="E4837" t="s">
        <v>3308</v>
      </c>
      <c r="F4837" t="s">
        <v>0</v>
      </c>
      <c r="G4837" t="s">
        <v>53</v>
      </c>
      <c r="H4837">
        <v>0</v>
      </c>
      <c r="I4837">
        <v>0</v>
      </c>
      <c r="J4837" t="s">
        <v>53</v>
      </c>
      <c r="K4837" t="s">
        <v>53</v>
      </c>
      <c r="L4837" t="s">
        <v>53</v>
      </c>
      <c r="M4837" t="s">
        <v>53</v>
      </c>
    </row>
    <row r="4838" spans="1:13" x14ac:dyDescent="0.2">
      <c r="A4838" t="s">
        <v>6102</v>
      </c>
      <c r="B4838" t="s">
        <v>17</v>
      </c>
      <c r="C4838" t="s">
        <v>1</v>
      </c>
      <c r="D4838" t="s">
        <v>3561</v>
      </c>
      <c r="E4838" t="s">
        <v>3562</v>
      </c>
      <c r="F4838" t="s">
        <v>0</v>
      </c>
      <c r="G4838">
        <v>10</v>
      </c>
      <c r="H4838">
        <v>0</v>
      </c>
      <c r="I4838">
        <v>0</v>
      </c>
      <c r="J4838">
        <v>10</v>
      </c>
      <c r="K4838" s="482">
        <v>1</v>
      </c>
      <c r="L4838" s="482">
        <v>0</v>
      </c>
      <c r="M4838" s="482">
        <v>0</v>
      </c>
    </row>
    <row r="4839" spans="1:13" x14ac:dyDescent="0.2">
      <c r="A4839" t="s">
        <v>6161</v>
      </c>
      <c r="B4839" t="s">
        <v>17</v>
      </c>
      <c r="C4839" t="s">
        <v>1</v>
      </c>
      <c r="D4839" t="s">
        <v>3841</v>
      </c>
      <c r="E4839" t="s">
        <v>3842</v>
      </c>
      <c r="F4839" t="s">
        <v>0</v>
      </c>
      <c r="G4839">
        <v>54</v>
      </c>
      <c r="H4839">
        <v>0</v>
      </c>
      <c r="I4839">
        <v>12</v>
      </c>
      <c r="J4839">
        <v>66</v>
      </c>
      <c r="K4839" s="482">
        <v>0.81799999999999995</v>
      </c>
      <c r="L4839" s="482">
        <v>0</v>
      </c>
      <c r="M4839" s="482">
        <v>0.182</v>
      </c>
    </row>
    <row r="4840" spans="1:13" x14ac:dyDescent="0.2">
      <c r="A4840" t="s">
        <v>6162</v>
      </c>
      <c r="B4840" t="s">
        <v>17</v>
      </c>
      <c r="C4840" t="s">
        <v>1</v>
      </c>
      <c r="D4840" t="s">
        <v>3844</v>
      </c>
      <c r="E4840" t="s">
        <v>345</v>
      </c>
      <c r="F4840" t="s">
        <v>0</v>
      </c>
      <c r="G4840">
        <v>16</v>
      </c>
      <c r="H4840">
        <v>0</v>
      </c>
      <c r="I4840">
        <v>5</v>
      </c>
      <c r="J4840">
        <v>21</v>
      </c>
      <c r="K4840" s="482">
        <v>0.76200000000000001</v>
      </c>
      <c r="L4840" s="482">
        <v>0</v>
      </c>
      <c r="M4840" s="482">
        <v>0.23799999999999999</v>
      </c>
    </row>
    <row r="4841" spans="1:13" x14ac:dyDescent="0.2">
      <c r="A4841" t="s">
        <v>6087</v>
      </c>
      <c r="B4841" t="s">
        <v>17</v>
      </c>
      <c r="C4841" t="s">
        <v>1</v>
      </c>
      <c r="D4841" t="s">
        <v>3846</v>
      </c>
      <c r="E4841" t="s">
        <v>3847</v>
      </c>
      <c r="F4841" t="s">
        <v>0</v>
      </c>
      <c r="G4841">
        <v>15</v>
      </c>
      <c r="H4841">
        <v>0</v>
      </c>
      <c r="I4841">
        <v>1</v>
      </c>
      <c r="J4841">
        <v>16</v>
      </c>
      <c r="K4841" s="482">
        <v>0.93799999999999994</v>
      </c>
      <c r="L4841" s="482">
        <v>0</v>
      </c>
      <c r="M4841" s="482">
        <v>6.3E-2</v>
      </c>
    </row>
    <row r="4842" spans="1:13" x14ac:dyDescent="0.2">
      <c r="A4842" t="s">
        <v>6160</v>
      </c>
      <c r="B4842" t="s">
        <v>17</v>
      </c>
      <c r="C4842" t="s">
        <v>1</v>
      </c>
      <c r="D4842" t="s">
        <v>3838</v>
      </c>
      <c r="E4842" t="s">
        <v>3839</v>
      </c>
      <c r="F4842" t="s">
        <v>0</v>
      </c>
      <c r="G4842">
        <v>18</v>
      </c>
      <c r="H4842">
        <v>0</v>
      </c>
      <c r="I4842">
        <v>4</v>
      </c>
      <c r="J4842">
        <v>22</v>
      </c>
      <c r="K4842" s="482">
        <v>0.81799999999999995</v>
      </c>
      <c r="L4842" s="482">
        <v>0</v>
      </c>
      <c r="M4842" s="482">
        <v>0.182</v>
      </c>
    </row>
    <row r="4843" spans="1:13" x14ac:dyDescent="0.2">
      <c r="A4843" t="s">
        <v>6208</v>
      </c>
      <c r="B4843" t="s">
        <v>17</v>
      </c>
      <c r="C4843" t="s">
        <v>1</v>
      </c>
      <c r="D4843" t="s">
        <v>3838</v>
      </c>
      <c r="E4843" t="s">
        <v>3839</v>
      </c>
      <c r="F4843" t="s">
        <v>179</v>
      </c>
      <c r="G4843">
        <v>9</v>
      </c>
      <c r="H4843">
        <v>3</v>
      </c>
      <c r="I4843">
        <v>13</v>
      </c>
      <c r="J4843">
        <v>25</v>
      </c>
      <c r="K4843" s="482">
        <v>0.36</v>
      </c>
      <c r="L4843" s="482">
        <v>0.12</v>
      </c>
      <c r="M4843" s="482">
        <v>0.52</v>
      </c>
    </row>
    <row r="4844" spans="1:13" x14ac:dyDescent="0.2">
      <c r="A4844" t="s">
        <v>6281</v>
      </c>
      <c r="B4844" t="s">
        <v>17</v>
      </c>
      <c r="C4844" t="s">
        <v>1</v>
      </c>
      <c r="D4844" t="s">
        <v>3846</v>
      </c>
      <c r="E4844" t="s">
        <v>3847</v>
      </c>
      <c r="F4844" t="s">
        <v>179</v>
      </c>
      <c r="G4844">
        <v>9</v>
      </c>
      <c r="H4844">
        <v>0</v>
      </c>
      <c r="I4844">
        <v>6</v>
      </c>
      <c r="J4844">
        <v>15</v>
      </c>
      <c r="K4844" s="482">
        <v>0.6</v>
      </c>
      <c r="L4844" s="482">
        <v>0</v>
      </c>
      <c r="M4844" s="482">
        <v>0.4</v>
      </c>
    </row>
    <row r="4845" spans="1:13" x14ac:dyDescent="0.2">
      <c r="A4845" t="s">
        <v>6206</v>
      </c>
      <c r="B4845" t="s">
        <v>17</v>
      </c>
      <c r="C4845" t="s">
        <v>1</v>
      </c>
      <c r="D4845" t="s">
        <v>3844</v>
      </c>
      <c r="E4845" t="s">
        <v>345</v>
      </c>
      <c r="F4845" t="s">
        <v>179</v>
      </c>
      <c r="G4845">
        <v>7</v>
      </c>
      <c r="H4845">
        <v>5</v>
      </c>
      <c r="I4845">
        <v>9</v>
      </c>
      <c r="J4845">
        <v>21</v>
      </c>
      <c r="K4845" s="482">
        <v>0.33300000000000002</v>
      </c>
      <c r="L4845" s="482">
        <v>0.23799999999999999</v>
      </c>
      <c r="M4845" s="482">
        <v>0.42899999999999999</v>
      </c>
    </row>
    <row r="4846" spans="1:13" x14ac:dyDescent="0.2">
      <c r="A4846" t="s">
        <v>6207</v>
      </c>
      <c r="B4846" t="s">
        <v>17</v>
      </c>
      <c r="C4846" t="s">
        <v>1</v>
      </c>
      <c r="D4846" t="s">
        <v>3841</v>
      </c>
      <c r="E4846" t="s">
        <v>3842</v>
      </c>
      <c r="F4846" t="s">
        <v>179</v>
      </c>
      <c r="G4846">
        <v>21</v>
      </c>
      <c r="H4846">
        <v>9</v>
      </c>
      <c r="I4846">
        <v>32</v>
      </c>
      <c r="J4846">
        <v>62</v>
      </c>
      <c r="K4846" s="482">
        <v>0.33900000000000002</v>
      </c>
      <c r="L4846" s="482">
        <v>0.14499999999999999</v>
      </c>
      <c r="M4846" s="482">
        <v>0.51600000000000001</v>
      </c>
    </row>
    <row r="4847" spans="1:13" x14ac:dyDescent="0.2">
      <c r="A4847" t="s">
        <v>6266</v>
      </c>
      <c r="B4847" t="s">
        <v>17</v>
      </c>
      <c r="C4847" t="s">
        <v>1</v>
      </c>
      <c r="D4847" t="s">
        <v>3561</v>
      </c>
      <c r="E4847" t="s">
        <v>3562</v>
      </c>
      <c r="F4847" t="s">
        <v>179</v>
      </c>
      <c r="G4847">
        <v>4</v>
      </c>
      <c r="H4847">
        <v>1</v>
      </c>
      <c r="I4847">
        <v>3</v>
      </c>
      <c r="J4847">
        <v>8</v>
      </c>
      <c r="K4847" s="482">
        <v>0.5</v>
      </c>
      <c r="L4847" s="482">
        <v>0.125</v>
      </c>
      <c r="M4847" s="482">
        <v>0.375</v>
      </c>
    </row>
    <row r="4848" spans="1:13" x14ac:dyDescent="0.2">
      <c r="A4848" t="s">
        <v>6260</v>
      </c>
      <c r="B4848" t="s">
        <v>17</v>
      </c>
      <c r="C4848" t="s">
        <v>1</v>
      </c>
      <c r="D4848" t="s">
        <v>3618</v>
      </c>
      <c r="E4848" t="s">
        <v>3619</v>
      </c>
      <c r="F4848" t="s">
        <v>179</v>
      </c>
      <c r="G4848" t="s">
        <v>53</v>
      </c>
      <c r="H4848">
        <v>0</v>
      </c>
      <c r="I4848">
        <v>0</v>
      </c>
      <c r="J4848" t="s">
        <v>53</v>
      </c>
      <c r="K4848" t="s">
        <v>53</v>
      </c>
      <c r="L4848" t="s">
        <v>53</v>
      </c>
      <c r="M4848" t="s">
        <v>53</v>
      </c>
    </row>
    <row r="4849" spans="1:13" x14ac:dyDescent="0.2">
      <c r="A4849" t="s">
        <v>6231</v>
      </c>
      <c r="B4849" t="s">
        <v>17</v>
      </c>
      <c r="C4849" t="s">
        <v>1</v>
      </c>
      <c r="D4849" t="s">
        <v>3751</v>
      </c>
      <c r="E4849" t="s">
        <v>3752</v>
      </c>
      <c r="F4849" t="s">
        <v>179</v>
      </c>
      <c r="G4849">
        <v>10</v>
      </c>
      <c r="H4849">
        <v>5</v>
      </c>
      <c r="I4849">
        <v>11</v>
      </c>
      <c r="J4849">
        <v>26</v>
      </c>
      <c r="K4849" s="482">
        <v>0.38500000000000001</v>
      </c>
      <c r="L4849" s="482">
        <v>0.192</v>
      </c>
      <c r="M4849" s="482">
        <v>0.42299999999999999</v>
      </c>
    </row>
    <row r="4850" spans="1:13" x14ac:dyDescent="0.2">
      <c r="A4850" t="s">
        <v>6233</v>
      </c>
      <c r="B4850" t="s">
        <v>17</v>
      </c>
      <c r="C4850" t="s">
        <v>1</v>
      </c>
      <c r="D4850" t="s">
        <v>3739</v>
      </c>
      <c r="E4850" t="s">
        <v>3740</v>
      </c>
      <c r="F4850" t="s">
        <v>179</v>
      </c>
      <c r="G4850">
        <v>2</v>
      </c>
      <c r="H4850">
        <v>3</v>
      </c>
      <c r="I4850">
        <v>2</v>
      </c>
      <c r="J4850">
        <v>7</v>
      </c>
      <c r="K4850" s="482">
        <v>0.28599999999999998</v>
      </c>
      <c r="L4850" s="482">
        <v>0.42899999999999999</v>
      </c>
      <c r="M4850" s="482">
        <v>0.28599999999999998</v>
      </c>
    </row>
    <row r="4851" spans="1:13" x14ac:dyDescent="0.2">
      <c r="A4851" t="s">
        <v>6230</v>
      </c>
      <c r="B4851" t="s">
        <v>17</v>
      </c>
      <c r="C4851" t="s">
        <v>1</v>
      </c>
      <c r="D4851" t="s">
        <v>3754</v>
      </c>
      <c r="E4851" t="s">
        <v>3755</v>
      </c>
      <c r="F4851" t="s">
        <v>179</v>
      </c>
      <c r="G4851">
        <v>10</v>
      </c>
      <c r="H4851">
        <v>6</v>
      </c>
      <c r="I4851">
        <v>9</v>
      </c>
      <c r="J4851">
        <v>25</v>
      </c>
      <c r="K4851" s="482">
        <v>0.4</v>
      </c>
      <c r="L4851" s="482">
        <v>0.24</v>
      </c>
      <c r="M4851" s="482">
        <v>0.36</v>
      </c>
    </row>
    <row r="4852" spans="1:13" x14ac:dyDescent="0.2">
      <c r="A4852" t="s">
        <v>6234</v>
      </c>
      <c r="B4852" t="s">
        <v>17</v>
      </c>
      <c r="C4852" t="s">
        <v>1</v>
      </c>
      <c r="D4852" t="s">
        <v>3382</v>
      </c>
      <c r="E4852" t="s">
        <v>3383</v>
      </c>
      <c r="F4852" t="s">
        <v>179</v>
      </c>
      <c r="G4852">
        <v>39</v>
      </c>
      <c r="H4852">
        <v>10</v>
      </c>
      <c r="I4852">
        <v>22</v>
      </c>
      <c r="J4852">
        <v>71</v>
      </c>
      <c r="K4852" s="482">
        <v>0.54900000000000004</v>
      </c>
      <c r="L4852" s="482">
        <v>0.14099999999999999</v>
      </c>
      <c r="M4852" s="482">
        <v>0.31</v>
      </c>
    </row>
    <row r="4853" spans="1:13" x14ac:dyDescent="0.2">
      <c r="A4853" t="s">
        <v>6243</v>
      </c>
      <c r="B4853" t="s">
        <v>17</v>
      </c>
      <c r="C4853" t="s">
        <v>1</v>
      </c>
      <c r="D4853" t="s">
        <v>3742</v>
      </c>
      <c r="E4853" t="s">
        <v>3743</v>
      </c>
      <c r="F4853" t="s">
        <v>179</v>
      </c>
      <c r="G4853" t="s">
        <v>53</v>
      </c>
      <c r="H4853">
        <v>0</v>
      </c>
      <c r="I4853">
        <v>0</v>
      </c>
      <c r="J4853" t="s">
        <v>53</v>
      </c>
      <c r="K4853" t="s">
        <v>53</v>
      </c>
      <c r="L4853" t="s">
        <v>53</v>
      </c>
      <c r="M4853" t="s">
        <v>53</v>
      </c>
    </row>
    <row r="4854" spans="1:13" x14ac:dyDescent="0.2">
      <c r="A4854" t="s">
        <v>6327</v>
      </c>
      <c r="B4854" t="s">
        <v>17</v>
      </c>
      <c r="C4854" t="s">
        <v>1</v>
      </c>
      <c r="D4854" t="s">
        <v>3100</v>
      </c>
      <c r="E4854" t="s">
        <v>3101</v>
      </c>
      <c r="F4854" t="s">
        <v>179</v>
      </c>
      <c r="G4854">
        <v>73</v>
      </c>
      <c r="H4854">
        <v>42</v>
      </c>
      <c r="I4854">
        <v>106</v>
      </c>
      <c r="J4854">
        <v>221</v>
      </c>
      <c r="K4854" s="482">
        <v>0.33</v>
      </c>
      <c r="L4854" s="482">
        <v>0.19</v>
      </c>
      <c r="M4854" s="482">
        <v>0.48</v>
      </c>
    </row>
    <row r="4855" spans="1:13" x14ac:dyDescent="0.2">
      <c r="A4855" t="s">
        <v>6328</v>
      </c>
      <c r="B4855" t="s">
        <v>17</v>
      </c>
      <c r="C4855" t="s">
        <v>1</v>
      </c>
      <c r="D4855" t="s">
        <v>3097</v>
      </c>
      <c r="E4855" t="s">
        <v>3098</v>
      </c>
      <c r="F4855" t="s">
        <v>179</v>
      </c>
      <c r="G4855">
        <v>4</v>
      </c>
      <c r="H4855">
        <v>5</v>
      </c>
      <c r="I4855">
        <v>9</v>
      </c>
      <c r="J4855">
        <v>18</v>
      </c>
      <c r="K4855" s="482">
        <v>0.222</v>
      </c>
      <c r="L4855" s="482">
        <v>0.27800000000000002</v>
      </c>
      <c r="M4855" s="482">
        <v>0.5</v>
      </c>
    </row>
    <row r="4856" spans="1:13" x14ac:dyDescent="0.2">
      <c r="A4856" t="s">
        <v>6329</v>
      </c>
      <c r="B4856" t="s">
        <v>17</v>
      </c>
      <c r="C4856" t="s">
        <v>1</v>
      </c>
      <c r="D4856" t="s">
        <v>3094</v>
      </c>
      <c r="E4856" t="s">
        <v>3095</v>
      </c>
      <c r="F4856" t="s">
        <v>179</v>
      </c>
      <c r="G4856">
        <v>72</v>
      </c>
      <c r="H4856">
        <v>36</v>
      </c>
      <c r="I4856">
        <v>70</v>
      </c>
      <c r="J4856">
        <v>178</v>
      </c>
      <c r="K4856" s="482">
        <v>0.40400000000000003</v>
      </c>
      <c r="L4856" s="482">
        <v>0.20200000000000001</v>
      </c>
      <c r="M4856" s="482">
        <v>0.39300000000000002</v>
      </c>
    </row>
    <row r="4857" spans="1:13" x14ac:dyDescent="0.2">
      <c r="A4857" t="s">
        <v>6332</v>
      </c>
      <c r="B4857" t="s">
        <v>17</v>
      </c>
      <c r="C4857" t="s">
        <v>1</v>
      </c>
      <c r="D4857" t="s">
        <v>3085</v>
      </c>
      <c r="E4857" t="s">
        <v>3086</v>
      </c>
      <c r="F4857" t="s">
        <v>179</v>
      </c>
      <c r="G4857">
        <v>8</v>
      </c>
      <c r="H4857">
        <v>7</v>
      </c>
      <c r="I4857">
        <v>10</v>
      </c>
      <c r="J4857">
        <v>25</v>
      </c>
      <c r="K4857" s="482">
        <v>0.32</v>
      </c>
      <c r="L4857" s="482">
        <v>0.28000000000000003</v>
      </c>
      <c r="M4857" s="482">
        <v>0.4</v>
      </c>
    </row>
    <row r="4858" spans="1:13" x14ac:dyDescent="0.2">
      <c r="A4858" t="s">
        <v>6333</v>
      </c>
      <c r="B4858" t="s">
        <v>17</v>
      </c>
      <c r="C4858" t="s">
        <v>1</v>
      </c>
      <c r="D4858" t="s">
        <v>3082</v>
      </c>
      <c r="E4858" t="s">
        <v>3083</v>
      </c>
      <c r="F4858" t="s">
        <v>179</v>
      </c>
      <c r="G4858">
        <v>8</v>
      </c>
      <c r="H4858">
        <v>6</v>
      </c>
      <c r="I4858">
        <v>7</v>
      </c>
      <c r="J4858">
        <v>21</v>
      </c>
      <c r="K4858" s="482">
        <v>0.38100000000000001</v>
      </c>
      <c r="L4858" s="482">
        <v>0.28599999999999998</v>
      </c>
      <c r="M4858" s="482">
        <v>0.33300000000000002</v>
      </c>
    </row>
    <row r="4859" spans="1:13" x14ac:dyDescent="0.2">
      <c r="A4859" t="s">
        <v>6334</v>
      </c>
      <c r="B4859" t="s">
        <v>17</v>
      </c>
      <c r="C4859" t="s">
        <v>1</v>
      </c>
      <c r="D4859" t="s">
        <v>3079</v>
      </c>
      <c r="E4859" t="s">
        <v>3080</v>
      </c>
      <c r="F4859" t="s">
        <v>179</v>
      </c>
      <c r="G4859">
        <v>5</v>
      </c>
      <c r="H4859">
        <v>0</v>
      </c>
      <c r="I4859">
        <v>5</v>
      </c>
      <c r="J4859">
        <v>10</v>
      </c>
      <c r="K4859" s="482">
        <v>0.5</v>
      </c>
      <c r="L4859" s="482">
        <v>0</v>
      </c>
      <c r="M4859" s="482">
        <v>0.5</v>
      </c>
    </row>
    <row r="4860" spans="1:13" x14ac:dyDescent="0.2">
      <c r="A4860" t="s">
        <v>6335</v>
      </c>
      <c r="B4860" t="s">
        <v>17</v>
      </c>
      <c r="C4860" t="s">
        <v>1</v>
      </c>
      <c r="D4860" t="s">
        <v>3076</v>
      </c>
      <c r="E4860" t="s">
        <v>3077</v>
      </c>
      <c r="F4860" t="s">
        <v>179</v>
      </c>
      <c r="G4860">
        <v>36</v>
      </c>
      <c r="H4860">
        <v>10</v>
      </c>
      <c r="I4860">
        <v>26</v>
      </c>
      <c r="J4860">
        <v>72</v>
      </c>
      <c r="K4860" s="482">
        <v>0.5</v>
      </c>
      <c r="L4860" s="482">
        <v>0.13900000000000001</v>
      </c>
      <c r="M4860" s="482">
        <v>0.36099999999999999</v>
      </c>
    </row>
    <row r="4861" spans="1:13" x14ac:dyDescent="0.2">
      <c r="A4861" t="s">
        <v>6331</v>
      </c>
      <c r="B4861" t="s">
        <v>17</v>
      </c>
      <c r="C4861" t="s">
        <v>1</v>
      </c>
      <c r="D4861" t="s">
        <v>3379</v>
      </c>
      <c r="E4861" t="s">
        <v>3380</v>
      </c>
      <c r="F4861" t="s">
        <v>179</v>
      </c>
      <c r="G4861">
        <v>33</v>
      </c>
      <c r="H4861">
        <v>24</v>
      </c>
      <c r="I4861">
        <v>46</v>
      </c>
      <c r="J4861">
        <v>103</v>
      </c>
      <c r="K4861" s="482">
        <v>0.32</v>
      </c>
      <c r="L4861" s="482">
        <v>0.23300000000000001</v>
      </c>
      <c r="M4861" s="482">
        <v>0.44700000000000001</v>
      </c>
    </row>
    <row r="4862" spans="1:13" x14ac:dyDescent="0.2">
      <c r="A4862" t="s">
        <v>6299</v>
      </c>
      <c r="B4862" t="s">
        <v>17</v>
      </c>
      <c r="C4862" t="s">
        <v>1</v>
      </c>
      <c r="D4862" t="s">
        <v>3373</v>
      </c>
      <c r="E4862" t="s">
        <v>3374</v>
      </c>
      <c r="F4862" t="s">
        <v>179</v>
      </c>
      <c r="G4862">
        <v>6</v>
      </c>
      <c r="H4862">
        <v>0</v>
      </c>
      <c r="I4862">
        <v>9</v>
      </c>
      <c r="J4862">
        <v>15</v>
      </c>
      <c r="K4862" s="482">
        <v>0.4</v>
      </c>
      <c r="L4862" s="482">
        <v>0</v>
      </c>
      <c r="M4862" s="482">
        <v>0.6</v>
      </c>
    </row>
    <row r="4863" spans="1:13" x14ac:dyDescent="0.2">
      <c r="A4863" t="s">
        <v>6300</v>
      </c>
      <c r="B4863" t="s">
        <v>17</v>
      </c>
      <c r="C4863" t="s">
        <v>1</v>
      </c>
      <c r="D4863" t="s">
        <v>3370</v>
      </c>
      <c r="E4863" t="s">
        <v>3371</v>
      </c>
      <c r="F4863" t="s">
        <v>179</v>
      </c>
      <c r="G4863">
        <v>20</v>
      </c>
      <c r="H4863">
        <v>5</v>
      </c>
      <c r="I4863">
        <v>12</v>
      </c>
      <c r="J4863">
        <v>37</v>
      </c>
      <c r="K4863" s="482">
        <v>0.54100000000000004</v>
      </c>
      <c r="L4863" s="482">
        <v>0.13500000000000001</v>
      </c>
      <c r="M4863" s="482">
        <v>0.32400000000000001</v>
      </c>
    </row>
    <row r="4864" spans="1:13" x14ac:dyDescent="0.2">
      <c r="A4864" t="s">
        <v>6301</v>
      </c>
      <c r="B4864" t="s">
        <v>17</v>
      </c>
      <c r="C4864" t="s">
        <v>1</v>
      </c>
      <c r="D4864" t="s">
        <v>3367</v>
      </c>
      <c r="E4864" t="s">
        <v>3368</v>
      </c>
      <c r="F4864" t="s">
        <v>179</v>
      </c>
      <c r="G4864">
        <v>25</v>
      </c>
      <c r="H4864">
        <v>11</v>
      </c>
      <c r="I4864">
        <v>22</v>
      </c>
      <c r="J4864">
        <v>58</v>
      </c>
      <c r="K4864" s="482">
        <v>0.43099999999999999</v>
      </c>
      <c r="L4864" s="482">
        <v>0.19</v>
      </c>
      <c r="M4864" s="482">
        <v>0.379</v>
      </c>
    </row>
    <row r="4865" spans="1:13" x14ac:dyDescent="0.2">
      <c r="A4865" t="s">
        <v>6302</v>
      </c>
      <c r="B4865" t="s">
        <v>17</v>
      </c>
      <c r="C4865" t="s">
        <v>1</v>
      </c>
      <c r="D4865" t="s">
        <v>3361</v>
      </c>
      <c r="E4865" t="s">
        <v>3362</v>
      </c>
      <c r="F4865" t="s">
        <v>179</v>
      </c>
      <c r="G4865">
        <v>12</v>
      </c>
      <c r="H4865">
        <v>8</v>
      </c>
      <c r="I4865">
        <v>19</v>
      </c>
      <c r="J4865">
        <v>39</v>
      </c>
      <c r="K4865" s="482">
        <v>0.308</v>
      </c>
      <c r="L4865" s="482">
        <v>0.20499999999999999</v>
      </c>
      <c r="M4865" s="482">
        <v>0.48699999999999999</v>
      </c>
    </row>
    <row r="4866" spans="1:13" x14ac:dyDescent="0.2">
      <c r="A4866" t="s">
        <v>6298</v>
      </c>
      <c r="B4866" t="s">
        <v>17</v>
      </c>
      <c r="C4866" t="s">
        <v>1</v>
      </c>
      <c r="D4866" t="s">
        <v>3376</v>
      </c>
      <c r="E4866" t="s">
        <v>3377</v>
      </c>
      <c r="F4866" t="s">
        <v>179</v>
      </c>
      <c r="G4866">
        <v>7</v>
      </c>
      <c r="H4866">
        <v>2</v>
      </c>
      <c r="I4866">
        <v>8</v>
      </c>
      <c r="J4866">
        <v>17</v>
      </c>
      <c r="K4866" s="482">
        <v>0.41199999999999998</v>
      </c>
      <c r="L4866" s="482">
        <v>0.11799999999999999</v>
      </c>
      <c r="M4866" s="482">
        <v>0.47099999999999997</v>
      </c>
    </row>
    <row r="4867" spans="1:13" x14ac:dyDescent="0.2">
      <c r="A4867" t="s">
        <v>6303</v>
      </c>
      <c r="B4867" t="s">
        <v>17</v>
      </c>
      <c r="C4867" t="s">
        <v>1</v>
      </c>
      <c r="D4867" t="s">
        <v>3358</v>
      </c>
      <c r="E4867" t="s">
        <v>3359</v>
      </c>
      <c r="F4867" t="s">
        <v>179</v>
      </c>
      <c r="G4867">
        <v>20</v>
      </c>
      <c r="H4867">
        <v>13</v>
      </c>
      <c r="I4867">
        <v>21</v>
      </c>
      <c r="J4867">
        <v>54</v>
      </c>
      <c r="K4867" s="482">
        <v>0.37</v>
      </c>
      <c r="L4867" s="482">
        <v>0.24099999999999999</v>
      </c>
      <c r="M4867" s="482">
        <v>0.38900000000000001</v>
      </c>
    </row>
    <row r="4868" spans="1:13" x14ac:dyDescent="0.2">
      <c r="A4868" t="s">
        <v>6244</v>
      </c>
      <c r="B4868" t="s">
        <v>17</v>
      </c>
      <c r="C4868" t="s">
        <v>1</v>
      </c>
      <c r="D4868" t="s">
        <v>3681</v>
      </c>
      <c r="E4868" t="s">
        <v>3682</v>
      </c>
      <c r="F4868" t="s">
        <v>179</v>
      </c>
      <c r="G4868">
        <v>3</v>
      </c>
      <c r="H4868">
        <v>1</v>
      </c>
      <c r="I4868">
        <v>2</v>
      </c>
      <c r="J4868">
        <v>6</v>
      </c>
      <c r="K4868" s="482">
        <v>0.5</v>
      </c>
      <c r="L4868" s="482">
        <v>0.16700000000000001</v>
      </c>
      <c r="M4868" s="482">
        <v>0.33300000000000002</v>
      </c>
    </row>
    <row r="4869" spans="1:13" x14ac:dyDescent="0.2">
      <c r="A4869" t="s">
        <v>6232</v>
      </c>
      <c r="B4869" t="s">
        <v>17</v>
      </c>
      <c r="C4869" t="s">
        <v>1</v>
      </c>
      <c r="D4869" t="s">
        <v>3748</v>
      </c>
      <c r="E4869" t="s">
        <v>3749</v>
      </c>
      <c r="F4869" t="s">
        <v>179</v>
      </c>
      <c r="G4869">
        <v>60</v>
      </c>
      <c r="H4869">
        <v>43</v>
      </c>
      <c r="I4869">
        <v>86</v>
      </c>
      <c r="J4869">
        <v>189</v>
      </c>
      <c r="K4869" s="482">
        <v>0.317</v>
      </c>
      <c r="L4869" s="482">
        <v>0.22800000000000001</v>
      </c>
      <c r="M4869" s="482">
        <v>0.45500000000000002</v>
      </c>
    </row>
    <row r="4870" spans="1:13" x14ac:dyDescent="0.2">
      <c r="A4870" t="s">
        <v>6245</v>
      </c>
      <c r="B4870" t="s">
        <v>17</v>
      </c>
      <c r="C4870" t="s">
        <v>1</v>
      </c>
      <c r="D4870" t="s">
        <v>3678</v>
      </c>
      <c r="E4870" t="s">
        <v>3679</v>
      </c>
      <c r="F4870" t="s">
        <v>179</v>
      </c>
      <c r="G4870">
        <v>4</v>
      </c>
      <c r="H4870">
        <v>1</v>
      </c>
      <c r="I4870">
        <v>5</v>
      </c>
      <c r="J4870">
        <v>10</v>
      </c>
      <c r="K4870" s="482">
        <v>0.4</v>
      </c>
      <c r="L4870" s="482">
        <v>0.1</v>
      </c>
      <c r="M4870" s="482">
        <v>0.5</v>
      </c>
    </row>
    <row r="4871" spans="1:13" x14ac:dyDescent="0.2">
      <c r="A4871" t="s">
        <v>6246</v>
      </c>
      <c r="B4871" t="s">
        <v>17</v>
      </c>
      <c r="C4871" t="s">
        <v>1</v>
      </c>
      <c r="D4871" t="s">
        <v>3675</v>
      </c>
      <c r="E4871" t="s">
        <v>3676</v>
      </c>
      <c r="F4871" t="s">
        <v>179</v>
      </c>
      <c r="G4871">
        <v>13</v>
      </c>
      <c r="H4871">
        <v>7</v>
      </c>
      <c r="I4871">
        <v>12</v>
      </c>
      <c r="J4871">
        <v>32</v>
      </c>
      <c r="K4871" s="482">
        <v>0.40600000000000003</v>
      </c>
      <c r="L4871" s="482">
        <v>0.219</v>
      </c>
      <c r="M4871" s="482">
        <v>0.375</v>
      </c>
    </row>
    <row r="4872" spans="1:13" x14ac:dyDescent="0.2">
      <c r="A4872" t="s">
        <v>6323</v>
      </c>
      <c r="B4872" t="s">
        <v>17</v>
      </c>
      <c r="C4872" t="s">
        <v>1</v>
      </c>
      <c r="D4872" t="s">
        <v>3112</v>
      </c>
      <c r="E4872" t="s">
        <v>3113</v>
      </c>
      <c r="F4872" t="s">
        <v>179</v>
      </c>
      <c r="G4872">
        <v>6</v>
      </c>
      <c r="H4872">
        <v>5</v>
      </c>
      <c r="I4872">
        <v>1</v>
      </c>
      <c r="J4872">
        <v>12</v>
      </c>
      <c r="K4872" s="482">
        <v>0.5</v>
      </c>
      <c r="L4872" s="482">
        <v>0.41699999999999998</v>
      </c>
      <c r="M4872" s="482">
        <v>8.3000000000000004E-2</v>
      </c>
    </row>
    <row r="4873" spans="1:13" x14ac:dyDescent="0.2">
      <c r="A4873" t="s">
        <v>6322</v>
      </c>
      <c r="B4873" t="s">
        <v>17</v>
      </c>
      <c r="C4873" t="s">
        <v>1</v>
      </c>
      <c r="D4873" t="s">
        <v>3115</v>
      </c>
      <c r="E4873" t="s">
        <v>3116</v>
      </c>
      <c r="F4873" t="s">
        <v>179</v>
      </c>
      <c r="G4873">
        <v>7</v>
      </c>
      <c r="H4873">
        <v>3</v>
      </c>
      <c r="I4873">
        <v>9</v>
      </c>
      <c r="J4873">
        <v>19</v>
      </c>
      <c r="K4873" s="482">
        <v>0.36799999999999999</v>
      </c>
      <c r="L4873" s="482">
        <v>0.158</v>
      </c>
      <c r="M4873" s="482">
        <v>0.47399999999999998</v>
      </c>
    </row>
    <row r="4874" spans="1:13" x14ac:dyDescent="0.2">
      <c r="A4874" t="s">
        <v>6321</v>
      </c>
      <c r="B4874" t="s">
        <v>17</v>
      </c>
      <c r="C4874" t="s">
        <v>1</v>
      </c>
      <c r="D4874" t="s">
        <v>3121</v>
      </c>
      <c r="E4874" t="s">
        <v>3122</v>
      </c>
      <c r="F4874" t="s">
        <v>179</v>
      </c>
      <c r="G4874">
        <v>42</v>
      </c>
      <c r="H4874">
        <v>28</v>
      </c>
      <c r="I4874">
        <v>67</v>
      </c>
      <c r="J4874">
        <v>137</v>
      </c>
      <c r="K4874" s="482">
        <v>0.307</v>
      </c>
      <c r="L4874" s="482">
        <v>0.20399999999999999</v>
      </c>
      <c r="M4874" s="482">
        <v>0.48899999999999999</v>
      </c>
    </row>
    <row r="4875" spans="1:13" x14ac:dyDescent="0.2">
      <c r="A4875" t="s">
        <v>6316</v>
      </c>
      <c r="B4875" t="s">
        <v>17</v>
      </c>
      <c r="C4875" t="s">
        <v>1</v>
      </c>
      <c r="D4875" t="s">
        <v>3151</v>
      </c>
      <c r="E4875" t="s">
        <v>3152</v>
      </c>
      <c r="F4875" t="s">
        <v>179</v>
      </c>
      <c r="G4875">
        <v>35</v>
      </c>
      <c r="H4875">
        <v>18</v>
      </c>
      <c r="I4875">
        <v>31</v>
      </c>
      <c r="J4875">
        <v>84</v>
      </c>
      <c r="K4875" s="482">
        <v>0.41699999999999998</v>
      </c>
      <c r="L4875" s="482">
        <v>0.214</v>
      </c>
      <c r="M4875" s="482">
        <v>0.36899999999999999</v>
      </c>
    </row>
    <row r="4876" spans="1:13" x14ac:dyDescent="0.2">
      <c r="A4876" t="s">
        <v>6317</v>
      </c>
      <c r="B4876" t="s">
        <v>17</v>
      </c>
      <c r="C4876" t="s">
        <v>1</v>
      </c>
      <c r="D4876" t="s">
        <v>3148</v>
      </c>
      <c r="E4876" t="s">
        <v>3149</v>
      </c>
      <c r="F4876" t="s">
        <v>179</v>
      </c>
      <c r="G4876">
        <v>9</v>
      </c>
      <c r="H4876">
        <v>4</v>
      </c>
      <c r="I4876">
        <v>14</v>
      </c>
      <c r="J4876">
        <v>27</v>
      </c>
      <c r="K4876" s="482">
        <v>0.33300000000000002</v>
      </c>
      <c r="L4876" s="482">
        <v>0.14799999999999999</v>
      </c>
      <c r="M4876" s="482">
        <v>0.51900000000000002</v>
      </c>
    </row>
    <row r="4877" spans="1:13" x14ac:dyDescent="0.2">
      <c r="A4877" t="s">
        <v>6219</v>
      </c>
      <c r="B4877" t="s">
        <v>17</v>
      </c>
      <c r="C4877" t="s">
        <v>1</v>
      </c>
      <c r="D4877" t="s">
        <v>3793</v>
      </c>
      <c r="E4877" t="s">
        <v>3794</v>
      </c>
      <c r="F4877" t="s">
        <v>179</v>
      </c>
      <c r="G4877">
        <v>0</v>
      </c>
      <c r="H4877">
        <v>0</v>
      </c>
      <c r="I4877" t="s">
        <v>53</v>
      </c>
      <c r="J4877" t="s">
        <v>53</v>
      </c>
      <c r="K4877" t="s">
        <v>53</v>
      </c>
      <c r="L4877" t="s">
        <v>53</v>
      </c>
      <c r="M4877" t="s">
        <v>53</v>
      </c>
    </row>
    <row r="4878" spans="1:13" x14ac:dyDescent="0.2">
      <c r="A4878" t="s">
        <v>6325</v>
      </c>
      <c r="B4878" t="s">
        <v>17</v>
      </c>
      <c r="C4878" t="s">
        <v>1</v>
      </c>
      <c r="D4878" t="s">
        <v>3106</v>
      </c>
      <c r="E4878" t="s">
        <v>3107</v>
      </c>
      <c r="F4878" t="s">
        <v>179</v>
      </c>
      <c r="G4878">
        <v>5</v>
      </c>
      <c r="H4878">
        <v>5</v>
      </c>
      <c r="I4878">
        <v>11</v>
      </c>
      <c r="J4878">
        <v>21</v>
      </c>
      <c r="K4878" s="482">
        <v>0.23799999999999999</v>
      </c>
      <c r="L4878" s="482">
        <v>0.23799999999999999</v>
      </c>
      <c r="M4878" s="482">
        <v>0.52400000000000002</v>
      </c>
    </row>
    <row r="4879" spans="1:13" x14ac:dyDescent="0.2">
      <c r="A4879" t="s">
        <v>6326</v>
      </c>
      <c r="B4879" t="s">
        <v>17</v>
      </c>
      <c r="C4879" t="s">
        <v>1</v>
      </c>
      <c r="D4879" t="s">
        <v>3103</v>
      </c>
      <c r="E4879" t="s">
        <v>3104</v>
      </c>
      <c r="F4879" t="s">
        <v>179</v>
      </c>
      <c r="G4879">
        <v>2</v>
      </c>
      <c r="H4879">
        <v>0</v>
      </c>
      <c r="I4879">
        <v>4</v>
      </c>
      <c r="J4879">
        <v>6</v>
      </c>
      <c r="K4879" s="482">
        <v>0.33300000000000002</v>
      </c>
      <c r="L4879" s="482">
        <v>0</v>
      </c>
      <c r="M4879" s="482">
        <v>0.66700000000000004</v>
      </c>
    </row>
    <row r="4880" spans="1:13" x14ac:dyDescent="0.2">
      <c r="A4880" t="s">
        <v>6330</v>
      </c>
      <c r="B4880" t="s">
        <v>17</v>
      </c>
      <c r="C4880" t="s">
        <v>1</v>
      </c>
      <c r="D4880" t="s">
        <v>3088</v>
      </c>
      <c r="E4880" t="s">
        <v>3089</v>
      </c>
      <c r="F4880" t="s">
        <v>179</v>
      </c>
      <c r="G4880">
        <v>10</v>
      </c>
      <c r="H4880">
        <v>12</v>
      </c>
      <c r="I4880">
        <v>12</v>
      </c>
      <c r="J4880">
        <v>34</v>
      </c>
      <c r="K4880" s="482">
        <v>0.29399999999999998</v>
      </c>
      <c r="L4880" s="482">
        <v>0.35299999999999998</v>
      </c>
      <c r="M4880" s="482">
        <v>0.35299999999999998</v>
      </c>
    </row>
    <row r="4881" spans="1:13" x14ac:dyDescent="0.2">
      <c r="A4881" t="s">
        <v>6297</v>
      </c>
      <c r="B4881" t="s">
        <v>17</v>
      </c>
      <c r="C4881" t="s">
        <v>1</v>
      </c>
      <c r="D4881" t="s">
        <v>3418</v>
      </c>
      <c r="E4881" t="s">
        <v>3419</v>
      </c>
      <c r="F4881" t="s">
        <v>179</v>
      </c>
      <c r="G4881">
        <v>3</v>
      </c>
      <c r="H4881">
        <v>5</v>
      </c>
      <c r="I4881">
        <v>5</v>
      </c>
      <c r="J4881">
        <v>13</v>
      </c>
      <c r="K4881" s="482">
        <v>0.23100000000000001</v>
      </c>
      <c r="L4881" s="482">
        <v>0.38500000000000001</v>
      </c>
      <c r="M4881" s="482">
        <v>0.38500000000000001</v>
      </c>
    </row>
    <row r="4882" spans="1:13" x14ac:dyDescent="0.2">
      <c r="A4882" t="s">
        <v>6296</v>
      </c>
      <c r="B4882" t="s">
        <v>17</v>
      </c>
      <c r="C4882" t="s">
        <v>1</v>
      </c>
      <c r="D4882" t="s">
        <v>4370</v>
      </c>
      <c r="E4882" t="s">
        <v>4371</v>
      </c>
      <c r="F4882" t="s">
        <v>179</v>
      </c>
      <c r="G4882">
        <v>2</v>
      </c>
      <c r="H4882">
        <v>1</v>
      </c>
      <c r="I4882">
        <v>5</v>
      </c>
      <c r="J4882">
        <v>8</v>
      </c>
      <c r="K4882" s="482">
        <v>0.25</v>
      </c>
      <c r="L4882" s="482">
        <v>0.125</v>
      </c>
      <c r="M4882" s="482">
        <v>0.625</v>
      </c>
    </row>
    <row r="4883" spans="1:13" x14ac:dyDescent="0.2">
      <c r="A4883" t="s">
        <v>6190</v>
      </c>
      <c r="B4883" t="s">
        <v>17</v>
      </c>
      <c r="C4883" t="s">
        <v>1</v>
      </c>
      <c r="D4883" t="s">
        <v>3906</v>
      </c>
      <c r="E4883" t="s">
        <v>3907</v>
      </c>
      <c r="F4883" t="s">
        <v>179</v>
      </c>
      <c r="G4883">
        <v>42</v>
      </c>
      <c r="H4883">
        <v>21</v>
      </c>
      <c r="I4883">
        <v>40</v>
      </c>
      <c r="J4883">
        <v>103</v>
      </c>
      <c r="K4883" s="482">
        <v>0.40799999999999997</v>
      </c>
      <c r="L4883" s="482">
        <v>0.20399999999999999</v>
      </c>
      <c r="M4883" s="482">
        <v>0.38800000000000001</v>
      </c>
    </row>
    <row r="4884" spans="1:13" x14ac:dyDescent="0.2">
      <c r="A4884" t="s">
        <v>6191</v>
      </c>
      <c r="B4884" t="s">
        <v>17</v>
      </c>
      <c r="C4884" t="s">
        <v>1</v>
      </c>
      <c r="D4884" t="s">
        <v>3894</v>
      </c>
      <c r="E4884" t="s">
        <v>3895</v>
      </c>
      <c r="F4884" t="s">
        <v>179</v>
      </c>
      <c r="G4884">
        <v>3</v>
      </c>
      <c r="H4884">
        <v>0</v>
      </c>
      <c r="I4884">
        <v>4</v>
      </c>
      <c r="J4884">
        <v>7</v>
      </c>
      <c r="K4884" s="482">
        <v>0.42899999999999999</v>
      </c>
      <c r="L4884" s="482">
        <v>0</v>
      </c>
      <c r="M4884" s="482">
        <v>0.57099999999999995</v>
      </c>
    </row>
    <row r="4885" spans="1:13" x14ac:dyDescent="0.2">
      <c r="A4885" t="s">
        <v>6193</v>
      </c>
      <c r="B4885" t="s">
        <v>17</v>
      </c>
      <c r="C4885" t="s">
        <v>1</v>
      </c>
      <c r="D4885" t="s">
        <v>3885</v>
      </c>
      <c r="E4885" t="s">
        <v>3886</v>
      </c>
      <c r="F4885" t="s">
        <v>179</v>
      </c>
      <c r="G4885">
        <v>0</v>
      </c>
      <c r="H4885" t="s">
        <v>53</v>
      </c>
      <c r="I4885">
        <v>0</v>
      </c>
      <c r="J4885" t="s">
        <v>53</v>
      </c>
      <c r="K4885" t="s">
        <v>53</v>
      </c>
      <c r="L4885" t="s">
        <v>53</v>
      </c>
      <c r="M4885" t="s">
        <v>53</v>
      </c>
    </row>
    <row r="4886" spans="1:13" x14ac:dyDescent="0.2">
      <c r="A4886" t="s">
        <v>6277</v>
      </c>
      <c r="B4886" t="s">
        <v>17</v>
      </c>
      <c r="C4886" t="s">
        <v>1</v>
      </c>
      <c r="D4886" t="s">
        <v>3515</v>
      </c>
      <c r="E4886" t="s">
        <v>343</v>
      </c>
      <c r="F4886" t="s">
        <v>179</v>
      </c>
      <c r="G4886">
        <v>40</v>
      </c>
      <c r="H4886">
        <v>18</v>
      </c>
      <c r="I4886">
        <v>36</v>
      </c>
      <c r="J4886">
        <v>94</v>
      </c>
      <c r="K4886" s="482">
        <v>0.42599999999999999</v>
      </c>
      <c r="L4886" s="482">
        <v>0.191</v>
      </c>
      <c r="M4886" s="482">
        <v>0.38300000000000001</v>
      </c>
    </row>
    <row r="4887" spans="1:13" x14ac:dyDescent="0.2">
      <c r="A4887" t="s">
        <v>6194</v>
      </c>
      <c r="B4887" t="s">
        <v>17</v>
      </c>
      <c r="C4887" t="s">
        <v>1</v>
      </c>
      <c r="D4887" t="s">
        <v>3882</v>
      </c>
      <c r="E4887" t="s">
        <v>3883</v>
      </c>
      <c r="F4887" t="s">
        <v>179</v>
      </c>
      <c r="G4887" t="s">
        <v>53</v>
      </c>
      <c r="H4887" t="s">
        <v>53</v>
      </c>
      <c r="I4887" t="s">
        <v>53</v>
      </c>
      <c r="J4887" t="s">
        <v>53</v>
      </c>
      <c r="K4887" t="s">
        <v>53</v>
      </c>
      <c r="L4887" t="s">
        <v>53</v>
      </c>
      <c r="M4887" t="s">
        <v>53</v>
      </c>
    </row>
    <row r="4888" spans="1:13" x14ac:dyDescent="0.2">
      <c r="A4888" t="s">
        <v>6192</v>
      </c>
      <c r="B4888" t="s">
        <v>17</v>
      </c>
      <c r="C4888" t="s">
        <v>1</v>
      </c>
      <c r="D4888" t="s">
        <v>3888</v>
      </c>
      <c r="E4888" t="s">
        <v>3889</v>
      </c>
      <c r="F4888" t="s">
        <v>179</v>
      </c>
      <c r="G4888">
        <v>79</v>
      </c>
      <c r="H4888">
        <v>27</v>
      </c>
      <c r="I4888">
        <v>46</v>
      </c>
      <c r="J4888">
        <v>152</v>
      </c>
      <c r="K4888" s="482">
        <v>0.52</v>
      </c>
      <c r="L4888" s="482">
        <v>0.17799999999999999</v>
      </c>
      <c r="M4888" s="482">
        <v>0.30299999999999999</v>
      </c>
    </row>
    <row r="4889" spans="1:13" x14ac:dyDescent="0.2">
      <c r="A4889" t="s">
        <v>6304</v>
      </c>
      <c r="B4889" t="s">
        <v>17</v>
      </c>
      <c r="C4889" t="s">
        <v>1</v>
      </c>
      <c r="D4889" t="s">
        <v>3325</v>
      </c>
      <c r="E4889" t="s">
        <v>3326</v>
      </c>
      <c r="F4889" t="s">
        <v>179</v>
      </c>
      <c r="G4889" t="s">
        <v>53</v>
      </c>
      <c r="H4889">
        <v>0</v>
      </c>
      <c r="I4889" t="s">
        <v>53</v>
      </c>
      <c r="J4889" t="s">
        <v>53</v>
      </c>
      <c r="K4889" t="s">
        <v>53</v>
      </c>
      <c r="L4889" t="s">
        <v>53</v>
      </c>
      <c r="M4889" t="s">
        <v>53</v>
      </c>
    </row>
    <row r="4890" spans="1:13" x14ac:dyDescent="0.2">
      <c r="A4890" t="s">
        <v>6216</v>
      </c>
      <c r="B4890" t="s">
        <v>17</v>
      </c>
      <c r="C4890" t="s">
        <v>1</v>
      </c>
      <c r="D4890" t="s">
        <v>3745</v>
      </c>
      <c r="E4890" t="s">
        <v>3746</v>
      </c>
      <c r="F4890" t="s">
        <v>179</v>
      </c>
      <c r="G4890">
        <v>34</v>
      </c>
      <c r="H4890">
        <v>13</v>
      </c>
      <c r="I4890">
        <v>41</v>
      </c>
      <c r="J4890">
        <v>88</v>
      </c>
      <c r="K4890" s="482">
        <v>0.38600000000000001</v>
      </c>
      <c r="L4890" s="482">
        <v>0.14799999999999999</v>
      </c>
      <c r="M4890" s="482">
        <v>0.46600000000000003</v>
      </c>
    </row>
    <row r="4891" spans="1:13" x14ac:dyDescent="0.2">
      <c r="A4891" t="s">
        <v>6289</v>
      </c>
      <c r="B4891" t="s">
        <v>17</v>
      </c>
      <c r="C4891" t="s">
        <v>1</v>
      </c>
      <c r="D4891" t="s">
        <v>3445</v>
      </c>
      <c r="E4891" t="s">
        <v>3446</v>
      </c>
      <c r="F4891" t="s">
        <v>179</v>
      </c>
      <c r="G4891">
        <v>11</v>
      </c>
      <c r="H4891">
        <v>3</v>
      </c>
      <c r="I4891">
        <v>17</v>
      </c>
      <c r="J4891">
        <v>31</v>
      </c>
      <c r="K4891" s="482">
        <v>0.35499999999999998</v>
      </c>
      <c r="L4891" s="482">
        <v>9.7000000000000003E-2</v>
      </c>
      <c r="M4891" s="482">
        <v>0.54800000000000004</v>
      </c>
    </row>
    <row r="4892" spans="1:13" x14ac:dyDescent="0.2">
      <c r="A4892" t="s">
        <v>6290</v>
      </c>
      <c r="B4892" t="s">
        <v>17</v>
      </c>
      <c r="C4892" t="s">
        <v>1</v>
      </c>
      <c r="D4892" t="s">
        <v>3442</v>
      </c>
      <c r="E4892" t="s">
        <v>3443</v>
      </c>
      <c r="F4892" t="s">
        <v>179</v>
      </c>
      <c r="G4892">
        <v>27</v>
      </c>
      <c r="H4892">
        <v>12</v>
      </c>
      <c r="I4892">
        <v>19</v>
      </c>
      <c r="J4892">
        <v>58</v>
      </c>
      <c r="K4892" s="482">
        <v>0.46600000000000003</v>
      </c>
      <c r="L4892" s="482">
        <v>0.20699999999999999</v>
      </c>
      <c r="M4892" s="482">
        <v>0.32800000000000001</v>
      </c>
    </row>
    <row r="4893" spans="1:13" x14ac:dyDescent="0.2">
      <c r="A4893" t="s">
        <v>6294</v>
      </c>
      <c r="B4893" t="s">
        <v>17</v>
      </c>
      <c r="C4893" t="s">
        <v>1</v>
      </c>
      <c r="D4893" t="s">
        <v>3424</v>
      </c>
      <c r="E4893" t="s">
        <v>3425</v>
      </c>
      <c r="F4893" t="s">
        <v>179</v>
      </c>
      <c r="G4893">
        <v>5</v>
      </c>
      <c r="H4893">
        <v>6</v>
      </c>
      <c r="I4893">
        <v>5</v>
      </c>
      <c r="J4893">
        <v>16</v>
      </c>
      <c r="K4893" s="482">
        <v>0.313</v>
      </c>
      <c r="L4893" s="482">
        <v>0.375</v>
      </c>
      <c r="M4893" s="482">
        <v>0.313</v>
      </c>
    </row>
    <row r="4894" spans="1:13" x14ac:dyDescent="0.2">
      <c r="A4894" t="s">
        <v>6295</v>
      </c>
      <c r="B4894" t="s">
        <v>17</v>
      </c>
      <c r="C4894" t="s">
        <v>1</v>
      </c>
      <c r="D4894" t="s">
        <v>3421</v>
      </c>
      <c r="E4894" t="s">
        <v>3422</v>
      </c>
      <c r="F4894" t="s">
        <v>179</v>
      </c>
      <c r="G4894">
        <v>17</v>
      </c>
      <c r="H4894">
        <v>8</v>
      </c>
      <c r="I4894">
        <v>13</v>
      </c>
      <c r="J4894">
        <v>38</v>
      </c>
      <c r="K4894" s="482">
        <v>0.44700000000000001</v>
      </c>
      <c r="L4894" s="482">
        <v>0.21099999999999999</v>
      </c>
      <c r="M4894" s="482">
        <v>0.34200000000000003</v>
      </c>
    </row>
    <row r="4895" spans="1:13" x14ac:dyDescent="0.2">
      <c r="A4895" t="s">
        <v>6282</v>
      </c>
      <c r="B4895" t="s">
        <v>17</v>
      </c>
      <c r="C4895" t="s">
        <v>1</v>
      </c>
      <c r="D4895" t="s">
        <v>3482</v>
      </c>
      <c r="E4895" t="s">
        <v>3483</v>
      </c>
      <c r="F4895" t="s">
        <v>179</v>
      </c>
      <c r="G4895">
        <v>12</v>
      </c>
      <c r="H4895">
        <v>4</v>
      </c>
      <c r="I4895">
        <v>11</v>
      </c>
      <c r="J4895">
        <v>27</v>
      </c>
      <c r="K4895" s="482">
        <v>0.44400000000000001</v>
      </c>
      <c r="L4895" s="482">
        <v>0.14799999999999999</v>
      </c>
      <c r="M4895" s="482">
        <v>0.40699999999999997</v>
      </c>
    </row>
    <row r="4896" spans="1:13" x14ac:dyDescent="0.2">
      <c r="A4896" t="s">
        <v>6283</v>
      </c>
      <c r="B4896" t="s">
        <v>17</v>
      </c>
      <c r="C4896" t="s">
        <v>1</v>
      </c>
      <c r="D4896" t="s">
        <v>3478</v>
      </c>
      <c r="E4896" t="s">
        <v>3479</v>
      </c>
      <c r="F4896" t="s">
        <v>179</v>
      </c>
      <c r="G4896">
        <v>23</v>
      </c>
      <c r="H4896">
        <v>10</v>
      </c>
      <c r="I4896">
        <v>25</v>
      </c>
      <c r="J4896">
        <v>58</v>
      </c>
      <c r="K4896" s="482">
        <v>0.39700000000000002</v>
      </c>
      <c r="L4896" s="482">
        <v>0.17199999999999999</v>
      </c>
      <c r="M4896" s="482">
        <v>0.43099999999999999</v>
      </c>
    </row>
    <row r="4897" spans="1:13" x14ac:dyDescent="0.2">
      <c r="A4897" t="s">
        <v>6284</v>
      </c>
      <c r="B4897" t="s">
        <v>17</v>
      </c>
      <c r="C4897" t="s">
        <v>1</v>
      </c>
      <c r="D4897" t="s">
        <v>3475</v>
      </c>
      <c r="E4897" t="s">
        <v>3476</v>
      </c>
      <c r="F4897" t="s">
        <v>179</v>
      </c>
      <c r="G4897">
        <v>27</v>
      </c>
      <c r="H4897">
        <v>16</v>
      </c>
      <c r="I4897">
        <v>29</v>
      </c>
      <c r="J4897">
        <v>72</v>
      </c>
      <c r="K4897" s="482">
        <v>0.375</v>
      </c>
      <c r="L4897" s="482">
        <v>0.222</v>
      </c>
      <c r="M4897" s="482">
        <v>0.40300000000000002</v>
      </c>
    </row>
    <row r="4898" spans="1:13" x14ac:dyDescent="0.2">
      <c r="A4898" t="s">
        <v>6285</v>
      </c>
      <c r="B4898" t="s">
        <v>17</v>
      </c>
      <c r="C4898" t="s">
        <v>1</v>
      </c>
      <c r="D4898" t="s">
        <v>3466</v>
      </c>
      <c r="E4898" t="s">
        <v>3467</v>
      </c>
      <c r="F4898" t="s">
        <v>179</v>
      </c>
      <c r="G4898">
        <v>52</v>
      </c>
      <c r="H4898">
        <v>41</v>
      </c>
      <c r="I4898">
        <v>68</v>
      </c>
      <c r="J4898">
        <v>161</v>
      </c>
      <c r="K4898" s="482">
        <v>0.32300000000000001</v>
      </c>
      <c r="L4898" s="482">
        <v>0.255</v>
      </c>
      <c r="M4898" s="482">
        <v>0.42199999999999999</v>
      </c>
    </row>
    <row r="4899" spans="1:13" x14ac:dyDescent="0.2">
      <c r="A4899" t="s">
        <v>6286</v>
      </c>
      <c r="B4899" t="s">
        <v>17</v>
      </c>
      <c r="C4899" t="s">
        <v>1</v>
      </c>
      <c r="D4899" t="s">
        <v>3463</v>
      </c>
      <c r="E4899" t="s">
        <v>3464</v>
      </c>
      <c r="F4899" t="s">
        <v>179</v>
      </c>
      <c r="G4899">
        <v>47</v>
      </c>
      <c r="H4899">
        <v>15</v>
      </c>
      <c r="I4899">
        <v>51</v>
      </c>
      <c r="J4899">
        <v>113</v>
      </c>
      <c r="K4899" s="482">
        <v>0.41599999999999998</v>
      </c>
      <c r="L4899" s="482">
        <v>0.13300000000000001</v>
      </c>
      <c r="M4899" s="482">
        <v>0.45100000000000001</v>
      </c>
    </row>
    <row r="4900" spans="1:13" x14ac:dyDescent="0.2">
      <c r="A4900" t="s">
        <v>6287</v>
      </c>
      <c r="B4900" t="s">
        <v>17</v>
      </c>
      <c r="C4900" t="s">
        <v>1</v>
      </c>
      <c r="D4900" t="s">
        <v>3460</v>
      </c>
      <c r="E4900" t="s">
        <v>3461</v>
      </c>
      <c r="F4900" t="s">
        <v>179</v>
      </c>
      <c r="G4900">
        <v>15</v>
      </c>
      <c r="H4900">
        <v>11</v>
      </c>
      <c r="I4900">
        <v>17</v>
      </c>
      <c r="J4900">
        <v>43</v>
      </c>
      <c r="K4900" s="482">
        <v>0.34899999999999998</v>
      </c>
      <c r="L4900" s="482">
        <v>0.25600000000000001</v>
      </c>
      <c r="M4900" s="482">
        <v>0.39500000000000002</v>
      </c>
    </row>
    <row r="4901" spans="1:13" x14ac:dyDescent="0.2">
      <c r="A4901" t="s">
        <v>6288</v>
      </c>
      <c r="B4901" t="s">
        <v>17</v>
      </c>
      <c r="C4901" t="s">
        <v>1</v>
      </c>
      <c r="D4901" t="s">
        <v>3454</v>
      </c>
      <c r="E4901" t="s">
        <v>3455</v>
      </c>
      <c r="F4901" t="s">
        <v>179</v>
      </c>
      <c r="G4901">
        <v>4</v>
      </c>
      <c r="H4901">
        <v>6</v>
      </c>
      <c r="I4901">
        <v>12</v>
      </c>
      <c r="J4901">
        <v>22</v>
      </c>
      <c r="K4901" s="482">
        <v>0.182</v>
      </c>
      <c r="L4901" s="482">
        <v>0.27300000000000002</v>
      </c>
      <c r="M4901" s="482">
        <v>0.54500000000000004</v>
      </c>
    </row>
    <row r="4902" spans="1:13" x14ac:dyDescent="0.2">
      <c r="A4902" t="s">
        <v>6291</v>
      </c>
      <c r="B4902" t="s">
        <v>17</v>
      </c>
      <c r="C4902" t="s">
        <v>1</v>
      </c>
      <c r="D4902" t="s">
        <v>3439</v>
      </c>
      <c r="E4902" t="s">
        <v>3440</v>
      </c>
      <c r="F4902" t="s">
        <v>179</v>
      </c>
      <c r="G4902" t="s">
        <v>53</v>
      </c>
      <c r="H4902">
        <v>0</v>
      </c>
      <c r="I4902" t="s">
        <v>53</v>
      </c>
      <c r="J4902" t="s">
        <v>53</v>
      </c>
      <c r="K4902" t="s">
        <v>53</v>
      </c>
      <c r="L4902" t="s">
        <v>53</v>
      </c>
      <c r="M4902" t="s">
        <v>53</v>
      </c>
    </row>
    <row r="4903" spans="1:13" x14ac:dyDescent="0.2">
      <c r="A4903" t="s">
        <v>6292</v>
      </c>
      <c r="B4903" t="s">
        <v>17</v>
      </c>
      <c r="C4903" t="s">
        <v>1</v>
      </c>
      <c r="D4903" t="s">
        <v>3430</v>
      </c>
      <c r="E4903" t="s">
        <v>3431</v>
      </c>
      <c r="F4903" t="s">
        <v>179</v>
      </c>
      <c r="G4903">
        <v>21</v>
      </c>
      <c r="H4903">
        <v>13</v>
      </c>
      <c r="I4903">
        <v>30</v>
      </c>
      <c r="J4903">
        <v>64</v>
      </c>
      <c r="K4903" s="482">
        <v>0.32800000000000001</v>
      </c>
      <c r="L4903" s="482">
        <v>0.20300000000000001</v>
      </c>
      <c r="M4903" s="482">
        <v>0.46899999999999997</v>
      </c>
    </row>
    <row r="4904" spans="1:13" x14ac:dyDescent="0.2">
      <c r="A4904" t="s">
        <v>6293</v>
      </c>
      <c r="B4904" t="s">
        <v>17</v>
      </c>
      <c r="C4904" t="s">
        <v>1</v>
      </c>
      <c r="D4904" t="s">
        <v>3427</v>
      </c>
      <c r="E4904" t="s">
        <v>3428</v>
      </c>
      <c r="F4904" t="s">
        <v>179</v>
      </c>
      <c r="G4904" t="s">
        <v>53</v>
      </c>
      <c r="H4904">
        <v>0</v>
      </c>
      <c r="I4904">
        <v>0</v>
      </c>
      <c r="J4904" t="s">
        <v>53</v>
      </c>
      <c r="K4904" t="s">
        <v>53</v>
      </c>
      <c r="L4904" t="s">
        <v>53</v>
      </c>
      <c r="M4904" t="s">
        <v>53</v>
      </c>
    </row>
    <row r="4905" spans="1:13" x14ac:dyDescent="0.2">
      <c r="A4905" t="s">
        <v>6204</v>
      </c>
      <c r="B4905" t="s">
        <v>17</v>
      </c>
      <c r="C4905" t="s">
        <v>1</v>
      </c>
      <c r="D4905" t="s">
        <v>3849</v>
      </c>
      <c r="E4905" t="s">
        <v>3850</v>
      </c>
      <c r="F4905" t="s">
        <v>179</v>
      </c>
      <c r="G4905">
        <v>12</v>
      </c>
      <c r="H4905">
        <v>4</v>
      </c>
      <c r="I4905">
        <v>14</v>
      </c>
      <c r="J4905">
        <v>30</v>
      </c>
      <c r="K4905" s="482">
        <v>0.4</v>
      </c>
      <c r="L4905" s="482">
        <v>0.13300000000000001</v>
      </c>
      <c r="M4905" s="482">
        <v>0.46700000000000003</v>
      </c>
    </row>
    <row r="4906" spans="1:13" x14ac:dyDescent="0.2">
      <c r="A4906" t="s">
        <v>6205</v>
      </c>
      <c r="B4906" t="s">
        <v>17</v>
      </c>
      <c r="C4906" t="s">
        <v>1</v>
      </c>
      <c r="D4906" t="s">
        <v>3829</v>
      </c>
      <c r="E4906" t="s">
        <v>3830</v>
      </c>
      <c r="F4906" t="s">
        <v>179</v>
      </c>
      <c r="G4906">
        <v>22</v>
      </c>
      <c r="H4906">
        <v>13</v>
      </c>
      <c r="I4906">
        <v>27</v>
      </c>
      <c r="J4906">
        <v>62</v>
      </c>
      <c r="K4906" s="482">
        <v>0.35499999999999998</v>
      </c>
      <c r="L4906" s="482">
        <v>0.21</v>
      </c>
      <c r="M4906" s="482">
        <v>0.435</v>
      </c>
    </row>
    <row r="4907" spans="1:13" x14ac:dyDescent="0.2">
      <c r="A4907" t="s">
        <v>6210</v>
      </c>
      <c r="B4907" t="s">
        <v>17</v>
      </c>
      <c r="C4907" t="s">
        <v>1</v>
      </c>
      <c r="D4907" t="s">
        <v>3826</v>
      </c>
      <c r="E4907" t="s">
        <v>3827</v>
      </c>
      <c r="F4907" t="s">
        <v>179</v>
      </c>
      <c r="G4907">
        <v>5</v>
      </c>
      <c r="H4907">
        <v>1</v>
      </c>
      <c r="I4907">
        <v>3</v>
      </c>
      <c r="J4907">
        <v>9</v>
      </c>
      <c r="K4907" s="482">
        <v>0.55600000000000005</v>
      </c>
      <c r="L4907" s="482">
        <v>0.111</v>
      </c>
      <c r="M4907" s="482">
        <v>0.33300000000000002</v>
      </c>
    </row>
    <row r="4908" spans="1:13" x14ac:dyDescent="0.2">
      <c r="A4908" t="s">
        <v>6211</v>
      </c>
      <c r="B4908" t="s">
        <v>17</v>
      </c>
      <c r="C4908" t="s">
        <v>1</v>
      </c>
      <c r="D4908" t="s">
        <v>3823</v>
      </c>
      <c r="E4908" t="s">
        <v>3824</v>
      </c>
      <c r="F4908" t="s">
        <v>179</v>
      </c>
      <c r="G4908">
        <v>48</v>
      </c>
      <c r="H4908">
        <v>29</v>
      </c>
      <c r="I4908">
        <v>41</v>
      </c>
      <c r="J4908">
        <v>118</v>
      </c>
      <c r="K4908" s="482">
        <v>0.40699999999999997</v>
      </c>
      <c r="L4908" s="482">
        <v>0.246</v>
      </c>
      <c r="M4908" s="482">
        <v>0.34699999999999998</v>
      </c>
    </row>
    <row r="4909" spans="1:13" x14ac:dyDescent="0.2">
      <c r="A4909" t="s">
        <v>6212</v>
      </c>
      <c r="B4909" t="s">
        <v>17</v>
      </c>
      <c r="C4909" t="s">
        <v>1</v>
      </c>
      <c r="D4909" t="s">
        <v>3820</v>
      </c>
      <c r="E4909" t="s">
        <v>3821</v>
      </c>
      <c r="F4909" t="s">
        <v>179</v>
      </c>
      <c r="G4909">
        <v>0</v>
      </c>
      <c r="H4909" t="s">
        <v>53</v>
      </c>
      <c r="I4909">
        <v>0</v>
      </c>
      <c r="J4909" t="s">
        <v>53</v>
      </c>
      <c r="K4909" t="s">
        <v>53</v>
      </c>
      <c r="L4909" t="s">
        <v>53</v>
      </c>
      <c r="M4909" t="s">
        <v>53</v>
      </c>
    </row>
    <row r="4910" spans="1:13" x14ac:dyDescent="0.2">
      <c r="A4910" t="s">
        <v>6213</v>
      </c>
      <c r="B4910" t="s">
        <v>17</v>
      </c>
      <c r="C4910" t="s">
        <v>1</v>
      </c>
      <c r="D4910" t="s">
        <v>3817</v>
      </c>
      <c r="E4910" t="s">
        <v>3818</v>
      </c>
      <c r="F4910" t="s">
        <v>179</v>
      </c>
      <c r="G4910" t="s">
        <v>53</v>
      </c>
      <c r="H4910" t="s">
        <v>53</v>
      </c>
      <c r="I4910">
        <v>0</v>
      </c>
      <c r="J4910" t="s">
        <v>53</v>
      </c>
      <c r="K4910" t="s">
        <v>53</v>
      </c>
      <c r="L4910" t="s">
        <v>53</v>
      </c>
      <c r="M4910" t="s">
        <v>53</v>
      </c>
    </row>
    <row r="4911" spans="1:13" x14ac:dyDescent="0.2">
      <c r="A4911" t="s">
        <v>6214</v>
      </c>
      <c r="B4911" t="s">
        <v>17</v>
      </c>
      <c r="C4911" t="s">
        <v>1</v>
      </c>
      <c r="D4911" t="s">
        <v>3814</v>
      </c>
      <c r="E4911" t="s">
        <v>3815</v>
      </c>
      <c r="F4911" t="s">
        <v>179</v>
      </c>
      <c r="G4911">
        <v>11</v>
      </c>
      <c r="H4911">
        <v>2</v>
      </c>
      <c r="I4911">
        <v>6</v>
      </c>
      <c r="J4911">
        <v>19</v>
      </c>
      <c r="K4911" s="482">
        <v>0.57899999999999996</v>
      </c>
      <c r="L4911" s="482">
        <v>0.105</v>
      </c>
      <c r="M4911" s="482">
        <v>0.316</v>
      </c>
    </row>
    <row r="4912" spans="1:13" x14ac:dyDescent="0.2">
      <c r="A4912" t="s">
        <v>6215</v>
      </c>
      <c r="B4912" t="s">
        <v>17</v>
      </c>
      <c r="C4912" t="s">
        <v>1</v>
      </c>
      <c r="D4912" t="s">
        <v>3808</v>
      </c>
      <c r="E4912" t="s">
        <v>3809</v>
      </c>
      <c r="F4912" t="s">
        <v>179</v>
      </c>
      <c r="G4912">
        <v>3</v>
      </c>
      <c r="H4912">
        <v>1</v>
      </c>
      <c r="I4912">
        <v>2</v>
      </c>
      <c r="J4912">
        <v>6</v>
      </c>
      <c r="K4912" s="482">
        <v>0.5</v>
      </c>
      <c r="L4912" s="482">
        <v>0.16700000000000001</v>
      </c>
      <c r="M4912" s="482">
        <v>0.33300000000000002</v>
      </c>
    </row>
    <row r="4913" spans="1:13" x14ac:dyDescent="0.2">
      <c r="A4913" t="s">
        <v>6324</v>
      </c>
      <c r="B4913" t="s">
        <v>17</v>
      </c>
      <c r="C4913" t="s">
        <v>1</v>
      </c>
      <c r="D4913" t="s">
        <v>3109</v>
      </c>
      <c r="E4913" t="s">
        <v>3110</v>
      </c>
      <c r="F4913" t="s">
        <v>179</v>
      </c>
      <c r="G4913">
        <v>3</v>
      </c>
      <c r="H4913">
        <v>2</v>
      </c>
      <c r="I4913">
        <v>9</v>
      </c>
      <c r="J4913">
        <v>14</v>
      </c>
      <c r="K4913" s="482">
        <v>0.214</v>
      </c>
      <c r="L4913" s="482">
        <v>0.14299999999999999</v>
      </c>
      <c r="M4913" s="482">
        <v>0.64300000000000002</v>
      </c>
    </row>
    <row r="4914" spans="1:13" x14ac:dyDescent="0.2">
      <c r="A4914" t="s">
        <v>6307</v>
      </c>
      <c r="B4914" t="s">
        <v>17</v>
      </c>
      <c r="C4914" t="s">
        <v>1</v>
      </c>
      <c r="D4914" t="s">
        <v>3225</v>
      </c>
      <c r="E4914" t="s">
        <v>3226</v>
      </c>
      <c r="F4914" t="s">
        <v>179</v>
      </c>
      <c r="G4914">
        <v>25</v>
      </c>
      <c r="H4914">
        <v>13</v>
      </c>
      <c r="I4914">
        <v>31</v>
      </c>
      <c r="J4914">
        <v>69</v>
      </c>
      <c r="K4914" s="482">
        <v>0.36199999999999999</v>
      </c>
      <c r="L4914" s="482">
        <v>0.188</v>
      </c>
      <c r="M4914" s="482">
        <v>0.44900000000000001</v>
      </c>
    </row>
    <row r="4915" spans="1:13" x14ac:dyDescent="0.2">
      <c r="A4915" t="s">
        <v>6306</v>
      </c>
      <c r="B4915" t="s">
        <v>17</v>
      </c>
      <c r="C4915" t="s">
        <v>1</v>
      </c>
      <c r="D4915" t="s">
        <v>3234</v>
      </c>
      <c r="E4915" t="s">
        <v>3235</v>
      </c>
      <c r="F4915" t="s">
        <v>179</v>
      </c>
      <c r="G4915" t="s">
        <v>53</v>
      </c>
      <c r="H4915" t="s">
        <v>53</v>
      </c>
      <c r="I4915" t="s">
        <v>53</v>
      </c>
      <c r="J4915" t="s">
        <v>53</v>
      </c>
      <c r="K4915" t="s">
        <v>53</v>
      </c>
      <c r="L4915" t="s">
        <v>53</v>
      </c>
      <c r="M4915" t="s">
        <v>53</v>
      </c>
    </row>
    <row r="4916" spans="1:13" x14ac:dyDescent="0.2">
      <c r="A4916" t="s">
        <v>6221</v>
      </c>
      <c r="B4916" t="s">
        <v>17</v>
      </c>
      <c r="C4916" t="s">
        <v>1</v>
      </c>
      <c r="D4916" t="s">
        <v>3790</v>
      </c>
      <c r="E4916" t="s">
        <v>3791</v>
      </c>
      <c r="F4916" t="s">
        <v>179</v>
      </c>
      <c r="G4916">
        <v>6</v>
      </c>
      <c r="H4916">
        <v>5</v>
      </c>
      <c r="I4916">
        <v>11</v>
      </c>
      <c r="J4916">
        <v>22</v>
      </c>
      <c r="K4916" s="482">
        <v>0.27300000000000002</v>
      </c>
      <c r="L4916" s="482">
        <v>0.22700000000000001</v>
      </c>
      <c r="M4916" s="482">
        <v>0.5</v>
      </c>
    </row>
    <row r="4917" spans="1:13" x14ac:dyDescent="0.2">
      <c r="A4917" t="s">
        <v>6641</v>
      </c>
      <c r="B4917" t="s">
        <v>17</v>
      </c>
      <c r="C4917" t="s">
        <v>1</v>
      </c>
      <c r="D4917" t="s">
        <v>3787</v>
      </c>
      <c r="E4917" t="s">
        <v>3788</v>
      </c>
      <c r="F4917" t="s">
        <v>179</v>
      </c>
      <c r="G4917" t="s">
        <v>53</v>
      </c>
      <c r="H4917">
        <v>0</v>
      </c>
      <c r="I4917">
        <v>0</v>
      </c>
      <c r="J4917" t="s">
        <v>53</v>
      </c>
      <c r="K4917" t="s">
        <v>53</v>
      </c>
      <c r="L4917" t="s">
        <v>53</v>
      </c>
      <c r="M4917" t="s">
        <v>53</v>
      </c>
    </row>
    <row r="4918" spans="1:13" x14ac:dyDescent="0.2">
      <c r="A4918" t="s">
        <v>6222</v>
      </c>
      <c r="B4918" t="s">
        <v>17</v>
      </c>
      <c r="C4918" t="s">
        <v>1</v>
      </c>
      <c r="D4918" t="s">
        <v>3784</v>
      </c>
      <c r="E4918" t="s">
        <v>3785</v>
      </c>
      <c r="F4918" t="s">
        <v>179</v>
      </c>
      <c r="G4918">
        <v>7</v>
      </c>
      <c r="H4918">
        <v>1</v>
      </c>
      <c r="I4918">
        <v>8</v>
      </c>
      <c r="J4918">
        <v>16</v>
      </c>
      <c r="K4918" s="482">
        <v>0.438</v>
      </c>
      <c r="L4918" s="482">
        <v>6.3E-2</v>
      </c>
      <c r="M4918" s="482">
        <v>0.5</v>
      </c>
    </row>
    <row r="4919" spans="1:13" x14ac:dyDescent="0.2">
      <c r="A4919" t="s">
        <v>6223</v>
      </c>
      <c r="B4919" t="s">
        <v>17</v>
      </c>
      <c r="C4919" t="s">
        <v>1</v>
      </c>
      <c r="D4919" t="s">
        <v>3781</v>
      </c>
      <c r="E4919" t="s">
        <v>3782</v>
      </c>
      <c r="F4919" t="s">
        <v>179</v>
      </c>
      <c r="G4919">
        <v>2</v>
      </c>
      <c r="H4919">
        <v>8</v>
      </c>
      <c r="I4919">
        <v>7</v>
      </c>
      <c r="J4919">
        <v>17</v>
      </c>
      <c r="K4919" s="482">
        <v>0.11799999999999999</v>
      </c>
      <c r="L4919" s="482">
        <v>0.47099999999999997</v>
      </c>
      <c r="M4919" s="482">
        <v>0.41199999999999998</v>
      </c>
    </row>
    <row r="4920" spans="1:13" x14ac:dyDescent="0.2">
      <c r="A4920" t="s">
        <v>6198</v>
      </c>
      <c r="B4920" t="s">
        <v>17</v>
      </c>
      <c r="C4920" t="s">
        <v>1</v>
      </c>
      <c r="D4920" t="s">
        <v>3870</v>
      </c>
      <c r="E4920" t="s">
        <v>3871</v>
      </c>
      <c r="F4920" t="s">
        <v>179</v>
      </c>
      <c r="G4920">
        <v>0</v>
      </c>
      <c r="H4920" t="s">
        <v>53</v>
      </c>
      <c r="I4920" t="s">
        <v>53</v>
      </c>
      <c r="J4920" t="s">
        <v>53</v>
      </c>
      <c r="K4920" t="s">
        <v>53</v>
      </c>
      <c r="L4920" t="s">
        <v>53</v>
      </c>
      <c r="M4920" t="s">
        <v>53</v>
      </c>
    </row>
    <row r="4921" spans="1:13" x14ac:dyDescent="0.2">
      <c r="A4921" t="s">
        <v>6199</v>
      </c>
      <c r="B4921" t="s">
        <v>17</v>
      </c>
      <c r="C4921" t="s">
        <v>1</v>
      </c>
      <c r="D4921" t="s">
        <v>3867</v>
      </c>
      <c r="E4921" t="s">
        <v>3868</v>
      </c>
      <c r="F4921" t="s">
        <v>179</v>
      </c>
      <c r="G4921">
        <v>24</v>
      </c>
      <c r="H4921">
        <v>10</v>
      </c>
      <c r="I4921">
        <v>40</v>
      </c>
      <c r="J4921">
        <v>74</v>
      </c>
      <c r="K4921" s="482">
        <v>0.32400000000000001</v>
      </c>
      <c r="L4921" s="482">
        <v>0.13500000000000001</v>
      </c>
      <c r="M4921" s="482">
        <v>0.54100000000000004</v>
      </c>
    </row>
    <row r="4922" spans="1:13" x14ac:dyDescent="0.2">
      <c r="A4922" t="s">
        <v>6200</v>
      </c>
      <c r="B4922" t="s">
        <v>17</v>
      </c>
      <c r="C4922" t="s">
        <v>1</v>
      </c>
      <c r="D4922" t="s">
        <v>3864</v>
      </c>
      <c r="E4922" t="s">
        <v>3865</v>
      </c>
      <c r="F4922" t="s">
        <v>179</v>
      </c>
      <c r="G4922">
        <v>19</v>
      </c>
      <c r="H4922">
        <v>12</v>
      </c>
      <c r="I4922">
        <v>22</v>
      </c>
      <c r="J4922">
        <v>53</v>
      </c>
      <c r="K4922" s="482">
        <v>0.35799999999999998</v>
      </c>
      <c r="L4922" s="482">
        <v>0.22600000000000001</v>
      </c>
      <c r="M4922" s="482">
        <v>0.41499999999999998</v>
      </c>
    </row>
    <row r="4923" spans="1:13" x14ac:dyDescent="0.2">
      <c r="A4923" t="s">
        <v>6201</v>
      </c>
      <c r="B4923" t="s">
        <v>17</v>
      </c>
      <c r="C4923" t="s">
        <v>1</v>
      </c>
      <c r="D4923" t="s">
        <v>3861</v>
      </c>
      <c r="E4923" t="s">
        <v>3862</v>
      </c>
      <c r="F4923" t="s">
        <v>179</v>
      </c>
      <c r="G4923">
        <v>14</v>
      </c>
      <c r="H4923">
        <v>5</v>
      </c>
      <c r="I4923">
        <v>8</v>
      </c>
      <c r="J4923">
        <v>27</v>
      </c>
      <c r="K4923" s="482">
        <v>0.51900000000000002</v>
      </c>
      <c r="L4923" s="482">
        <v>0.185</v>
      </c>
      <c r="M4923" s="482">
        <v>0.29599999999999999</v>
      </c>
    </row>
    <row r="4924" spans="1:13" x14ac:dyDescent="0.2">
      <c r="A4924" t="s">
        <v>6202</v>
      </c>
      <c r="B4924" t="s">
        <v>17</v>
      </c>
      <c r="C4924" t="s">
        <v>1</v>
      </c>
      <c r="D4924" t="s">
        <v>3855</v>
      </c>
      <c r="E4924" t="s">
        <v>3856</v>
      </c>
      <c r="F4924" t="s">
        <v>179</v>
      </c>
      <c r="G4924">
        <v>20</v>
      </c>
      <c r="H4924">
        <v>12</v>
      </c>
      <c r="I4924">
        <v>24</v>
      </c>
      <c r="J4924">
        <v>56</v>
      </c>
      <c r="K4924" s="482">
        <v>0.35699999999999998</v>
      </c>
      <c r="L4924" s="482">
        <v>0.214</v>
      </c>
      <c r="M4924" s="482">
        <v>0.42899999999999999</v>
      </c>
    </row>
    <row r="4925" spans="1:13" x14ac:dyDescent="0.2">
      <c r="A4925" t="s">
        <v>6203</v>
      </c>
      <c r="B4925" t="s">
        <v>17</v>
      </c>
      <c r="C4925" t="s">
        <v>1</v>
      </c>
      <c r="D4925" t="s">
        <v>3852</v>
      </c>
      <c r="E4925" t="s">
        <v>3853</v>
      </c>
      <c r="F4925" t="s">
        <v>179</v>
      </c>
      <c r="G4925" t="s">
        <v>53</v>
      </c>
      <c r="H4925" t="s">
        <v>53</v>
      </c>
      <c r="I4925" t="s">
        <v>53</v>
      </c>
      <c r="J4925" t="s">
        <v>53</v>
      </c>
      <c r="K4925" t="s">
        <v>53</v>
      </c>
      <c r="L4925" t="s">
        <v>53</v>
      </c>
      <c r="M4925" t="s">
        <v>53</v>
      </c>
    </row>
    <row r="4926" spans="1:13" x14ac:dyDescent="0.2">
      <c r="A4926" t="s">
        <v>6195</v>
      </c>
      <c r="B4926" t="s">
        <v>17</v>
      </c>
      <c r="C4926" t="s">
        <v>1</v>
      </c>
      <c r="D4926" t="s">
        <v>3879</v>
      </c>
      <c r="E4926" t="s">
        <v>3880</v>
      </c>
      <c r="F4926" t="s">
        <v>179</v>
      </c>
      <c r="G4926">
        <v>30</v>
      </c>
      <c r="H4926">
        <v>15</v>
      </c>
      <c r="I4926">
        <v>41</v>
      </c>
      <c r="J4926">
        <v>86</v>
      </c>
      <c r="K4926" s="482">
        <v>0.34899999999999998</v>
      </c>
      <c r="L4926" s="482">
        <v>0.17399999999999999</v>
      </c>
      <c r="M4926" s="482">
        <v>0.47699999999999998</v>
      </c>
    </row>
    <row r="4927" spans="1:13" x14ac:dyDescent="0.2">
      <c r="A4927" t="s">
        <v>6196</v>
      </c>
      <c r="B4927" t="s">
        <v>17</v>
      </c>
      <c r="C4927" t="s">
        <v>1</v>
      </c>
      <c r="D4927" t="s">
        <v>3876</v>
      </c>
      <c r="E4927" t="s">
        <v>3877</v>
      </c>
      <c r="F4927" t="s">
        <v>179</v>
      </c>
      <c r="G4927">
        <v>8</v>
      </c>
      <c r="H4927">
        <v>4</v>
      </c>
      <c r="I4927">
        <v>9</v>
      </c>
      <c r="J4927">
        <v>21</v>
      </c>
      <c r="K4927" s="482">
        <v>0.38100000000000001</v>
      </c>
      <c r="L4927" s="482">
        <v>0.19</v>
      </c>
      <c r="M4927" s="482">
        <v>0.42899999999999999</v>
      </c>
    </row>
    <row r="4928" spans="1:13" x14ac:dyDescent="0.2">
      <c r="A4928" t="s">
        <v>6197</v>
      </c>
      <c r="B4928" t="s">
        <v>17</v>
      </c>
      <c r="C4928" t="s">
        <v>1</v>
      </c>
      <c r="D4928" t="s">
        <v>3873</v>
      </c>
      <c r="E4928" t="s">
        <v>3874</v>
      </c>
      <c r="F4928" t="s">
        <v>179</v>
      </c>
      <c r="G4928">
        <v>21</v>
      </c>
      <c r="H4928">
        <v>13</v>
      </c>
      <c r="I4928">
        <v>13</v>
      </c>
      <c r="J4928">
        <v>47</v>
      </c>
      <c r="K4928" s="482">
        <v>0.44700000000000001</v>
      </c>
      <c r="L4928" s="482">
        <v>0.27700000000000002</v>
      </c>
      <c r="M4928" s="482">
        <v>0.27700000000000002</v>
      </c>
    </row>
    <row r="4929" spans="1:13" x14ac:dyDescent="0.2">
      <c r="A4929" t="s">
        <v>6268</v>
      </c>
      <c r="B4929" t="s">
        <v>17</v>
      </c>
      <c r="C4929" t="s">
        <v>1</v>
      </c>
      <c r="D4929" t="s">
        <v>3555</v>
      </c>
      <c r="E4929" t="s">
        <v>3556</v>
      </c>
      <c r="F4929" t="s">
        <v>179</v>
      </c>
      <c r="G4929" t="s">
        <v>53</v>
      </c>
      <c r="H4929">
        <v>0</v>
      </c>
      <c r="I4929" t="s">
        <v>53</v>
      </c>
      <c r="J4929" t="s">
        <v>53</v>
      </c>
      <c r="K4929" t="s">
        <v>53</v>
      </c>
      <c r="L4929" t="s">
        <v>53</v>
      </c>
      <c r="M4929" t="s">
        <v>53</v>
      </c>
    </row>
    <row r="4930" spans="1:13" x14ac:dyDescent="0.2">
      <c r="A4930" t="s">
        <v>6269</v>
      </c>
      <c r="B4930" t="s">
        <v>17</v>
      </c>
      <c r="C4930" t="s">
        <v>1</v>
      </c>
      <c r="D4930" t="s">
        <v>3552</v>
      </c>
      <c r="E4930" t="s">
        <v>3553</v>
      </c>
      <c r="F4930" t="s">
        <v>179</v>
      </c>
      <c r="G4930">
        <v>27</v>
      </c>
      <c r="H4930">
        <v>10</v>
      </c>
      <c r="I4930">
        <v>21</v>
      </c>
      <c r="J4930">
        <v>58</v>
      </c>
      <c r="K4930" s="482">
        <v>0.46600000000000003</v>
      </c>
      <c r="L4930" s="482">
        <v>0.17199999999999999</v>
      </c>
      <c r="M4930" s="482">
        <v>0.36199999999999999</v>
      </c>
    </row>
    <row r="4931" spans="1:13" x14ac:dyDescent="0.2">
      <c r="A4931" t="s">
        <v>6270</v>
      </c>
      <c r="B4931" t="s">
        <v>17</v>
      </c>
      <c r="C4931" t="s">
        <v>1</v>
      </c>
      <c r="D4931" t="s">
        <v>3549</v>
      </c>
      <c r="E4931" t="s">
        <v>3550</v>
      </c>
      <c r="F4931" t="s">
        <v>179</v>
      </c>
      <c r="G4931">
        <v>6</v>
      </c>
      <c r="H4931">
        <v>3</v>
      </c>
      <c r="I4931">
        <v>6</v>
      </c>
      <c r="J4931">
        <v>15</v>
      </c>
      <c r="K4931" s="482">
        <v>0.4</v>
      </c>
      <c r="L4931" s="482">
        <v>0.2</v>
      </c>
      <c r="M4931" s="482">
        <v>0.4</v>
      </c>
    </row>
    <row r="4932" spans="1:13" x14ac:dyDescent="0.2">
      <c r="A4932" t="s">
        <v>6278</v>
      </c>
      <c r="B4932" t="s">
        <v>17</v>
      </c>
      <c r="C4932" t="s">
        <v>1</v>
      </c>
      <c r="D4932" t="s">
        <v>3512</v>
      </c>
      <c r="E4932" t="s">
        <v>3513</v>
      </c>
      <c r="F4932" t="s">
        <v>179</v>
      </c>
      <c r="G4932">
        <v>0</v>
      </c>
      <c r="H4932">
        <v>0</v>
      </c>
      <c r="I4932" t="s">
        <v>53</v>
      </c>
      <c r="J4932" t="s">
        <v>53</v>
      </c>
      <c r="K4932" t="s">
        <v>53</v>
      </c>
      <c r="L4932" t="s">
        <v>53</v>
      </c>
      <c r="M4932" t="s">
        <v>53</v>
      </c>
    </row>
    <row r="4933" spans="1:13" x14ac:dyDescent="0.2">
      <c r="A4933" t="s">
        <v>6280</v>
      </c>
      <c r="B4933" t="s">
        <v>17</v>
      </c>
      <c r="C4933" t="s">
        <v>1</v>
      </c>
      <c r="D4933" t="s">
        <v>3503</v>
      </c>
      <c r="E4933" t="s">
        <v>3504</v>
      </c>
      <c r="F4933" t="s">
        <v>179</v>
      </c>
      <c r="G4933" t="s">
        <v>53</v>
      </c>
      <c r="H4933">
        <v>0</v>
      </c>
      <c r="I4933" t="s">
        <v>53</v>
      </c>
      <c r="J4933" t="s">
        <v>53</v>
      </c>
      <c r="K4933" t="s">
        <v>53</v>
      </c>
      <c r="L4933" t="s">
        <v>53</v>
      </c>
      <c r="M4933" t="s">
        <v>53</v>
      </c>
    </row>
    <row r="4934" spans="1:13" x14ac:dyDescent="0.2">
      <c r="A4934" t="s">
        <v>6279</v>
      </c>
      <c r="B4934" t="s">
        <v>17</v>
      </c>
      <c r="C4934" t="s">
        <v>1</v>
      </c>
      <c r="D4934" t="s">
        <v>3509</v>
      </c>
      <c r="E4934" t="s">
        <v>3510</v>
      </c>
      <c r="F4934" t="s">
        <v>179</v>
      </c>
      <c r="G4934">
        <v>13</v>
      </c>
      <c r="H4934">
        <v>8</v>
      </c>
      <c r="I4934">
        <v>11</v>
      </c>
      <c r="J4934">
        <v>32</v>
      </c>
      <c r="K4934" s="482">
        <v>0.40600000000000003</v>
      </c>
      <c r="L4934" s="482">
        <v>0.25</v>
      </c>
      <c r="M4934" s="482">
        <v>0.34399999999999997</v>
      </c>
    </row>
    <row r="4935" spans="1:13" x14ac:dyDescent="0.2">
      <c r="A4935" t="s">
        <v>6240</v>
      </c>
      <c r="B4935" t="s">
        <v>17</v>
      </c>
      <c r="C4935" t="s">
        <v>1</v>
      </c>
      <c r="D4935" t="s">
        <v>3718</v>
      </c>
      <c r="E4935" t="s">
        <v>3719</v>
      </c>
      <c r="F4935" t="s">
        <v>179</v>
      </c>
      <c r="G4935">
        <v>26</v>
      </c>
      <c r="H4935">
        <v>14</v>
      </c>
      <c r="I4935">
        <v>34</v>
      </c>
      <c r="J4935">
        <v>74</v>
      </c>
      <c r="K4935" s="482">
        <v>0.35099999999999998</v>
      </c>
      <c r="L4935" s="482">
        <v>0.189</v>
      </c>
      <c r="M4935" s="482">
        <v>0.45900000000000002</v>
      </c>
    </row>
    <row r="4936" spans="1:13" x14ac:dyDescent="0.2">
      <c r="A4936" t="s">
        <v>6241</v>
      </c>
      <c r="B4936" t="s">
        <v>17</v>
      </c>
      <c r="C4936" t="s">
        <v>1</v>
      </c>
      <c r="D4936" t="s">
        <v>3715</v>
      </c>
      <c r="E4936" t="s">
        <v>3716</v>
      </c>
      <c r="F4936" t="s">
        <v>179</v>
      </c>
      <c r="G4936">
        <v>0</v>
      </c>
      <c r="H4936">
        <v>4</v>
      </c>
      <c r="I4936">
        <v>6</v>
      </c>
      <c r="J4936">
        <v>10</v>
      </c>
      <c r="K4936" s="482">
        <v>0</v>
      </c>
      <c r="L4936" s="482">
        <v>0.4</v>
      </c>
      <c r="M4936" s="482">
        <v>0.6</v>
      </c>
    </row>
    <row r="4937" spans="1:13" x14ac:dyDescent="0.2">
      <c r="A4937" t="s">
        <v>6224</v>
      </c>
      <c r="B4937" t="s">
        <v>17</v>
      </c>
      <c r="C4937" t="s">
        <v>1</v>
      </c>
      <c r="D4937" t="s">
        <v>3778</v>
      </c>
      <c r="E4937" t="s">
        <v>3779</v>
      </c>
      <c r="F4937" t="s">
        <v>179</v>
      </c>
      <c r="G4937">
        <v>9</v>
      </c>
      <c r="H4937">
        <v>2</v>
      </c>
      <c r="I4937">
        <v>10</v>
      </c>
      <c r="J4937">
        <v>21</v>
      </c>
      <c r="K4937" s="482">
        <v>0.42899999999999999</v>
      </c>
      <c r="L4937" s="482">
        <v>9.5000000000000001E-2</v>
      </c>
      <c r="M4937" s="482">
        <v>0.47599999999999998</v>
      </c>
    </row>
    <row r="4938" spans="1:13" x14ac:dyDescent="0.2">
      <c r="A4938" t="s">
        <v>6225</v>
      </c>
      <c r="B4938" t="s">
        <v>17</v>
      </c>
      <c r="C4938" t="s">
        <v>1</v>
      </c>
      <c r="D4938" t="s">
        <v>3775</v>
      </c>
      <c r="E4938" t="s">
        <v>3776</v>
      </c>
      <c r="F4938" t="s">
        <v>179</v>
      </c>
      <c r="G4938" t="s">
        <v>53</v>
      </c>
      <c r="H4938">
        <v>0</v>
      </c>
      <c r="I4938" t="s">
        <v>53</v>
      </c>
      <c r="J4938" t="s">
        <v>53</v>
      </c>
      <c r="K4938" t="s">
        <v>53</v>
      </c>
      <c r="L4938" t="s">
        <v>53</v>
      </c>
      <c r="M4938" t="s">
        <v>53</v>
      </c>
    </row>
    <row r="4939" spans="1:13" x14ac:dyDescent="0.2">
      <c r="A4939" t="s">
        <v>6226</v>
      </c>
      <c r="B4939" t="s">
        <v>17</v>
      </c>
      <c r="C4939" t="s">
        <v>1</v>
      </c>
      <c r="D4939" t="s">
        <v>3769</v>
      </c>
      <c r="E4939" t="s">
        <v>3770</v>
      </c>
      <c r="F4939" t="s">
        <v>179</v>
      </c>
      <c r="G4939">
        <v>52</v>
      </c>
      <c r="H4939">
        <v>20</v>
      </c>
      <c r="I4939">
        <v>44</v>
      </c>
      <c r="J4939">
        <v>116</v>
      </c>
      <c r="K4939" s="482">
        <v>0.44800000000000001</v>
      </c>
      <c r="L4939" s="482">
        <v>0.17199999999999999</v>
      </c>
      <c r="M4939" s="482">
        <v>0.379</v>
      </c>
    </row>
    <row r="4940" spans="1:13" x14ac:dyDescent="0.2">
      <c r="A4940" t="s">
        <v>6227</v>
      </c>
      <c r="B4940" t="s">
        <v>17</v>
      </c>
      <c r="C4940" t="s">
        <v>1</v>
      </c>
      <c r="D4940" t="s">
        <v>3766</v>
      </c>
      <c r="E4940" t="s">
        <v>3767</v>
      </c>
      <c r="F4940" t="s">
        <v>179</v>
      </c>
      <c r="G4940">
        <v>24</v>
      </c>
      <c r="H4940">
        <v>12</v>
      </c>
      <c r="I4940">
        <v>27</v>
      </c>
      <c r="J4940">
        <v>63</v>
      </c>
      <c r="K4940" s="482">
        <v>0.38100000000000001</v>
      </c>
      <c r="L4940" s="482">
        <v>0.19</v>
      </c>
      <c r="M4940" s="482">
        <v>0.42899999999999999</v>
      </c>
    </row>
    <row r="4941" spans="1:13" x14ac:dyDescent="0.2">
      <c r="A4941" t="s">
        <v>6228</v>
      </c>
      <c r="B4941" t="s">
        <v>17</v>
      </c>
      <c r="C4941" t="s">
        <v>1</v>
      </c>
      <c r="D4941" t="s">
        <v>4506</v>
      </c>
      <c r="E4941" t="s">
        <v>4507</v>
      </c>
      <c r="F4941" t="s">
        <v>179</v>
      </c>
      <c r="G4941">
        <v>0</v>
      </c>
      <c r="H4941">
        <v>0</v>
      </c>
      <c r="I4941" t="s">
        <v>53</v>
      </c>
      <c r="J4941" t="s">
        <v>53</v>
      </c>
      <c r="K4941" t="s">
        <v>53</v>
      </c>
      <c r="L4941" t="s">
        <v>53</v>
      </c>
      <c r="M4941" t="s">
        <v>53</v>
      </c>
    </row>
    <row r="4942" spans="1:13" x14ac:dyDescent="0.2">
      <c r="A4942" t="s">
        <v>6229</v>
      </c>
      <c r="B4942" t="s">
        <v>17</v>
      </c>
      <c r="C4942" t="s">
        <v>1</v>
      </c>
      <c r="D4942" t="s">
        <v>3763</v>
      </c>
      <c r="E4942" t="s">
        <v>3764</v>
      </c>
      <c r="F4942" t="s">
        <v>179</v>
      </c>
      <c r="G4942">
        <v>15</v>
      </c>
      <c r="H4942">
        <v>9</v>
      </c>
      <c r="I4942">
        <v>18</v>
      </c>
      <c r="J4942">
        <v>42</v>
      </c>
      <c r="K4942" s="482">
        <v>0.35699999999999998</v>
      </c>
      <c r="L4942" s="482">
        <v>0.214</v>
      </c>
      <c r="M4942" s="482">
        <v>0.42899999999999999</v>
      </c>
    </row>
    <row r="4943" spans="1:13" x14ac:dyDescent="0.2">
      <c r="A4943" t="s">
        <v>6642</v>
      </c>
      <c r="B4943" t="s">
        <v>17</v>
      </c>
      <c r="C4943" t="s">
        <v>1</v>
      </c>
      <c r="D4943" t="s">
        <v>3480</v>
      </c>
      <c r="E4943" t="s">
        <v>6584</v>
      </c>
      <c r="F4943" t="s">
        <v>179</v>
      </c>
      <c r="G4943" t="s">
        <v>53</v>
      </c>
      <c r="H4943">
        <v>0</v>
      </c>
      <c r="I4943" t="s">
        <v>53</v>
      </c>
      <c r="J4943" t="s">
        <v>53</v>
      </c>
      <c r="K4943" t="s">
        <v>53</v>
      </c>
      <c r="L4943" t="s">
        <v>53</v>
      </c>
      <c r="M4943" t="s">
        <v>53</v>
      </c>
    </row>
    <row r="4944" spans="1:13" x14ac:dyDescent="0.2">
      <c r="A4944" t="s">
        <v>6254</v>
      </c>
      <c r="B4944" t="s">
        <v>17</v>
      </c>
      <c r="C4944" t="s">
        <v>1</v>
      </c>
      <c r="D4944" t="s">
        <v>3638</v>
      </c>
      <c r="E4944" t="s">
        <v>3639</v>
      </c>
      <c r="F4944" t="s">
        <v>179</v>
      </c>
      <c r="G4944">
        <v>4</v>
      </c>
      <c r="H4944">
        <v>0</v>
      </c>
      <c r="I4944">
        <v>3</v>
      </c>
      <c r="J4944">
        <v>7</v>
      </c>
      <c r="K4944" s="482">
        <v>0.57099999999999995</v>
      </c>
      <c r="L4944" s="482">
        <v>0</v>
      </c>
      <c r="M4944" s="482">
        <v>0.42899999999999999</v>
      </c>
    </row>
    <row r="4945" spans="1:13" x14ac:dyDescent="0.2">
      <c r="A4945" t="s">
        <v>6255</v>
      </c>
      <c r="B4945" t="s">
        <v>17</v>
      </c>
      <c r="C4945" t="s">
        <v>1</v>
      </c>
      <c r="D4945" t="s">
        <v>3635</v>
      </c>
      <c r="E4945" t="s">
        <v>3636</v>
      </c>
      <c r="F4945" t="s">
        <v>179</v>
      </c>
      <c r="G4945">
        <v>16</v>
      </c>
      <c r="H4945">
        <v>2</v>
      </c>
      <c r="I4945">
        <v>15</v>
      </c>
      <c r="J4945">
        <v>33</v>
      </c>
      <c r="K4945" s="482">
        <v>0.48499999999999999</v>
      </c>
      <c r="L4945" s="482">
        <v>6.0999999999999999E-2</v>
      </c>
      <c r="M4945" s="482">
        <v>0.45500000000000002</v>
      </c>
    </row>
    <row r="4946" spans="1:13" x14ac:dyDescent="0.2">
      <c r="A4946" t="s">
        <v>6256</v>
      </c>
      <c r="B4946" t="s">
        <v>17</v>
      </c>
      <c r="C4946" t="s">
        <v>1</v>
      </c>
      <c r="D4946" t="s">
        <v>3633</v>
      </c>
      <c r="E4946" t="s">
        <v>342</v>
      </c>
      <c r="F4946" t="s">
        <v>179</v>
      </c>
      <c r="G4946">
        <v>8</v>
      </c>
      <c r="H4946">
        <v>4</v>
      </c>
      <c r="I4946">
        <v>5</v>
      </c>
      <c r="J4946">
        <v>17</v>
      </c>
      <c r="K4946" s="482">
        <v>0.47099999999999997</v>
      </c>
      <c r="L4946" s="482">
        <v>0.23499999999999999</v>
      </c>
      <c r="M4946" s="482">
        <v>0.29399999999999998</v>
      </c>
    </row>
    <row r="4947" spans="1:13" x14ac:dyDescent="0.2">
      <c r="A4947" t="s">
        <v>6257</v>
      </c>
      <c r="B4947" t="s">
        <v>17</v>
      </c>
      <c r="C4947" t="s">
        <v>1</v>
      </c>
      <c r="D4947" t="s">
        <v>3630</v>
      </c>
      <c r="E4947" t="s">
        <v>3631</v>
      </c>
      <c r="F4947" t="s">
        <v>179</v>
      </c>
      <c r="G4947" t="s">
        <v>53</v>
      </c>
      <c r="H4947">
        <v>0</v>
      </c>
      <c r="I4947" t="s">
        <v>53</v>
      </c>
      <c r="J4947" t="s">
        <v>53</v>
      </c>
      <c r="K4947" t="s">
        <v>53</v>
      </c>
      <c r="L4947" t="s">
        <v>53</v>
      </c>
      <c r="M4947" t="s">
        <v>53</v>
      </c>
    </row>
    <row r="4948" spans="1:13" x14ac:dyDescent="0.2">
      <c r="A4948" t="s">
        <v>6258</v>
      </c>
      <c r="B4948" t="s">
        <v>17</v>
      </c>
      <c r="C4948" t="s">
        <v>1</v>
      </c>
      <c r="D4948" t="s">
        <v>3627</v>
      </c>
      <c r="E4948" t="s">
        <v>3628</v>
      </c>
      <c r="F4948" t="s">
        <v>179</v>
      </c>
      <c r="G4948">
        <v>5</v>
      </c>
      <c r="H4948">
        <v>2</v>
      </c>
      <c r="I4948">
        <v>1</v>
      </c>
      <c r="J4948">
        <v>8</v>
      </c>
      <c r="K4948" s="482">
        <v>0.625</v>
      </c>
      <c r="L4948" s="482">
        <v>0.25</v>
      </c>
      <c r="M4948" s="482">
        <v>0.125</v>
      </c>
    </row>
    <row r="4949" spans="1:13" x14ac:dyDescent="0.2">
      <c r="A4949" t="s">
        <v>6259</v>
      </c>
      <c r="B4949" t="s">
        <v>17</v>
      </c>
      <c r="C4949" t="s">
        <v>1</v>
      </c>
      <c r="D4949" t="s">
        <v>3528</v>
      </c>
      <c r="E4949" t="s">
        <v>3529</v>
      </c>
      <c r="F4949" t="s">
        <v>179</v>
      </c>
      <c r="G4949">
        <v>6</v>
      </c>
      <c r="H4949">
        <v>2</v>
      </c>
      <c r="I4949">
        <v>5</v>
      </c>
      <c r="J4949">
        <v>13</v>
      </c>
      <c r="K4949" s="482">
        <v>0.46200000000000002</v>
      </c>
      <c r="L4949" s="482">
        <v>0.154</v>
      </c>
      <c r="M4949" s="482">
        <v>0.38500000000000001</v>
      </c>
    </row>
    <row r="4950" spans="1:13" x14ac:dyDescent="0.2">
      <c r="A4950" t="s">
        <v>6275</v>
      </c>
      <c r="B4950" t="s">
        <v>17</v>
      </c>
      <c r="C4950" t="s">
        <v>1</v>
      </c>
      <c r="D4950" t="s">
        <v>3522</v>
      </c>
      <c r="E4950" t="s">
        <v>3523</v>
      </c>
      <c r="F4950" t="s">
        <v>179</v>
      </c>
      <c r="G4950">
        <v>37</v>
      </c>
      <c r="H4950">
        <v>22</v>
      </c>
      <c r="I4950">
        <v>30</v>
      </c>
      <c r="J4950">
        <v>89</v>
      </c>
      <c r="K4950" s="482">
        <v>0.41599999999999998</v>
      </c>
      <c r="L4950" s="482">
        <v>0.247</v>
      </c>
      <c r="M4950" s="482">
        <v>0.33700000000000002</v>
      </c>
    </row>
    <row r="4951" spans="1:13" x14ac:dyDescent="0.2">
      <c r="A4951" t="s">
        <v>6186</v>
      </c>
      <c r="B4951" t="s">
        <v>17</v>
      </c>
      <c r="C4951" t="s">
        <v>1</v>
      </c>
      <c r="D4951" t="s">
        <v>3930</v>
      </c>
      <c r="E4951" t="s">
        <v>344</v>
      </c>
      <c r="F4951" t="s">
        <v>179</v>
      </c>
      <c r="G4951">
        <v>81</v>
      </c>
      <c r="H4951">
        <v>48</v>
      </c>
      <c r="I4951">
        <v>99</v>
      </c>
      <c r="J4951">
        <v>228</v>
      </c>
      <c r="K4951" s="482">
        <v>0.35499999999999998</v>
      </c>
      <c r="L4951" s="482">
        <v>0.21099999999999999</v>
      </c>
      <c r="M4951" s="482">
        <v>0.434</v>
      </c>
    </row>
    <row r="4952" spans="1:13" x14ac:dyDescent="0.2">
      <c r="A4952" t="s">
        <v>6185</v>
      </c>
      <c r="B4952" t="s">
        <v>17</v>
      </c>
      <c r="C4952" t="s">
        <v>1</v>
      </c>
      <c r="D4952" t="s">
        <v>3567</v>
      </c>
      <c r="E4952" t="s">
        <v>3568</v>
      </c>
      <c r="F4952" t="s">
        <v>179</v>
      </c>
      <c r="G4952">
        <v>3</v>
      </c>
      <c r="H4952">
        <v>4</v>
      </c>
      <c r="I4952">
        <v>5</v>
      </c>
      <c r="J4952">
        <v>12</v>
      </c>
      <c r="K4952" s="482">
        <v>0.25</v>
      </c>
      <c r="L4952" s="482">
        <v>0.33300000000000002</v>
      </c>
      <c r="M4952" s="482">
        <v>0.41699999999999998</v>
      </c>
    </row>
    <row r="4953" spans="1:13" x14ac:dyDescent="0.2">
      <c r="A4953" t="s">
        <v>6265</v>
      </c>
      <c r="B4953" t="s">
        <v>17</v>
      </c>
      <c r="C4953" t="s">
        <v>1</v>
      </c>
      <c r="D4953" t="s">
        <v>3924</v>
      </c>
      <c r="E4953" t="s">
        <v>3925</v>
      </c>
      <c r="F4953" t="s">
        <v>179</v>
      </c>
      <c r="G4953">
        <v>17</v>
      </c>
      <c r="H4953">
        <v>7</v>
      </c>
      <c r="I4953">
        <v>19</v>
      </c>
      <c r="J4953">
        <v>43</v>
      </c>
      <c r="K4953" s="482">
        <v>0.39500000000000002</v>
      </c>
      <c r="L4953" s="482">
        <v>0.16300000000000001</v>
      </c>
      <c r="M4953" s="482">
        <v>0.442</v>
      </c>
    </row>
    <row r="4954" spans="1:13" x14ac:dyDescent="0.2">
      <c r="A4954" t="s">
        <v>6643</v>
      </c>
      <c r="B4954" t="s">
        <v>17</v>
      </c>
      <c r="C4954" t="s">
        <v>1</v>
      </c>
      <c r="D4954" t="s">
        <v>3918</v>
      </c>
      <c r="E4954" t="s">
        <v>3919</v>
      </c>
      <c r="F4954" t="s">
        <v>179</v>
      </c>
      <c r="G4954" t="s">
        <v>53</v>
      </c>
      <c r="H4954">
        <v>0</v>
      </c>
      <c r="I4954">
        <v>0</v>
      </c>
      <c r="J4954" t="s">
        <v>53</v>
      </c>
      <c r="K4954" t="s">
        <v>53</v>
      </c>
      <c r="L4954" t="s">
        <v>53</v>
      </c>
      <c r="M4954" t="s">
        <v>53</v>
      </c>
    </row>
    <row r="4955" spans="1:13" x14ac:dyDescent="0.2">
      <c r="A4955" t="s">
        <v>6187</v>
      </c>
      <c r="B4955" t="s">
        <v>17</v>
      </c>
      <c r="C4955" t="s">
        <v>1</v>
      </c>
      <c r="D4955" t="s">
        <v>3915</v>
      </c>
      <c r="E4955" t="s">
        <v>3916</v>
      </c>
      <c r="F4955" t="s">
        <v>179</v>
      </c>
      <c r="G4955">
        <v>10</v>
      </c>
      <c r="H4955">
        <v>5</v>
      </c>
      <c r="I4955">
        <v>6</v>
      </c>
      <c r="J4955">
        <v>21</v>
      </c>
      <c r="K4955" s="482">
        <v>0.47599999999999998</v>
      </c>
      <c r="L4955" s="482">
        <v>0.23799999999999999</v>
      </c>
      <c r="M4955" s="482">
        <v>0.28599999999999998</v>
      </c>
    </row>
    <row r="4956" spans="1:13" x14ac:dyDescent="0.2">
      <c r="A4956" t="s">
        <v>6189</v>
      </c>
      <c r="B4956" t="s">
        <v>17</v>
      </c>
      <c r="C4956" t="s">
        <v>1</v>
      </c>
      <c r="D4956" t="s">
        <v>3909</v>
      </c>
      <c r="E4956" t="s">
        <v>3910</v>
      </c>
      <c r="F4956" t="s">
        <v>179</v>
      </c>
      <c r="G4956">
        <v>39</v>
      </c>
      <c r="H4956">
        <v>16</v>
      </c>
      <c r="I4956">
        <v>42</v>
      </c>
      <c r="J4956">
        <v>97</v>
      </c>
      <c r="K4956" s="482">
        <v>0.40200000000000002</v>
      </c>
      <c r="L4956" s="482">
        <v>0.16500000000000001</v>
      </c>
      <c r="M4956" s="482">
        <v>0.433</v>
      </c>
    </row>
    <row r="4957" spans="1:13" x14ac:dyDescent="0.2">
      <c r="A4957" t="s">
        <v>6188</v>
      </c>
      <c r="B4957" t="s">
        <v>17</v>
      </c>
      <c r="C4957" t="s">
        <v>1</v>
      </c>
      <c r="D4957" t="s">
        <v>4558</v>
      </c>
      <c r="E4957" t="s">
        <v>4559</v>
      </c>
      <c r="F4957" t="s">
        <v>179</v>
      </c>
      <c r="G4957">
        <v>75</v>
      </c>
      <c r="H4957">
        <v>38</v>
      </c>
      <c r="I4957">
        <v>79</v>
      </c>
      <c r="J4957">
        <v>192</v>
      </c>
      <c r="K4957" s="482">
        <v>0.39100000000000001</v>
      </c>
      <c r="L4957" s="482">
        <v>0.19800000000000001</v>
      </c>
      <c r="M4957" s="482">
        <v>0.41099999999999998</v>
      </c>
    </row>
    <row r="4958" spans="1:13" x14ac:dyDescent="0.2">
      <c r="A4958" t="s">
        <v>6242</v>
      </c>
      <c r="B4958" t="s">
        <v>17</v>
      </c>
      <c r="C4958" t="s">
        <v>1</v>
      </c>
      <c r="D4958" t="s">
        <v>3712</v>
      </c>
      <c r="E4958" t="s">
        <v>3713</v>
      </c>
      <c r="F4958" t="s">
        <v>179</v>
      </c>
      <c r="G4958">
        <v>12</v>
      </c>
      <c r="H4958">
        <v>7</v>
      </c>
      <c r="I4958">
        <v>7</v>
      </c>
      <c r="J4958">
        <v>26</v>
      </c>
      <c r="K4958" s="482">
        <v>0.46200000000000002</v>
      </c>
      <c r="L4958" s="482">
        <v>0.26900000000000002</v>
      </c>
      <c r="M4958" s="482">
        <v>0.26900000000000002</v>
      </c>
    </row>
    <row r="4959" spans="1:13" x14ac:dyDescent="0.2">
      <c r="A4959" t="s">
        <v>6235</v>
      </c>
      <c r="B4959" t="s">
        <v>17</v>
      </c>
      <c r="C4959" t="s">
        <v>1</v>
      </c>
      <c r="D4959" t="s">
        <v>3733</v>
      </c>
      <c r="E4959" t="s">
        <v>3734</v>
      </c>
      <c r="F4959" t="s">
        <v>179</v>
      </c>
      <c r="G4959">
        <v>52</v>
      </c>
      <c r="H4959">
        <v>21</v>
      </c>
      <c r="I4959">
        <v>41</v>
      </c>
      <c r="J4959">
        <v>114</v>
      </c>
      <c r="K4959" s="482">
        <v>0.45600000000000002</v>
      </c>
      <c r="L4959" s="482">
        <v>0.184</v>
      </c>
      <c r="M4959" s="482">
        <v>0.36</v>
      </c>
    </row>
    <row r="4960" spans="1:13" x14ac:dyDescent="0.2">
      <c r="A4960" t="s">
        <v>6236</v>
      </c>
      <c r="B4960" t="s">
        <v>17</v>
      </c>
      <c r="C4960" t="s">
        <v>1</v>
      </c>
      <c r="D4960" t="s">
        <v>3730</v>
      </c>
      <c r="E4960" t="s">
        <v>3731</v>
      </c>
      <c r="F4960" t="s">
        <v>179</v>
      </c>
      <c r="G4960">
        <v>6</v>
      </c>
      <c r="H4960">
        <v>2</v>
      </c>
      <c r="I4960">
        <v>5</v>
      </c>
      <c r="J4960">
        <v>13</v>
      </c>
      <c r="K4960" s="482">
        <v>0.46200000000000002</v>
      </c>
      <c r="L4960" s="482">
        <v>0.154</v>
      </c>
      <c r="M4960" s="482">
        <v>0.38500000000000001</v>
      </c>
    </row>
    <row r="4961" spans="1:13" x14ac:dyDescent="0.2">
      <c r="A4961" t="s">
        <v>6237</v>
      </c>
      <c r="B4961" t="s">
        <v>17</v>
      </c>
      <c r="C4961" t="s">
        <v>1</v>
      </c>
      <c r="D4961" t="s">
        <v>3727</v>
      </c>
      <c r="E4961" t="s">
        <v>3728</v>
      </c>
      <c r="F4961" t="s">
        <v>179</v>
      </c>
      <c r="G4961">
        <v>10</v>
      </c>
      <c r="H4961">
        <v>6</v>
      </c>
      <c r="I4961">
        <v>7</v>
      </c>
      <c r="J4961">
        <v>23</v>
      </c>
      <c r="K4961" s="482">
        <v>0.435</v>
      </c>
      <c r="L4961" s="482">
        <v>0.26100000000000001</v>
      </c>
      <c r="M4961" s="482">
        <v>0.30399999999999999</v>
      </c>
    </row>
    <row r="4962" spans="1:13" x14ac:dyDescent="0.2">
      <c r="A4962" t="s">
        <v>6238</v>
      </c>
      <c r="B4962" t="s">
        <v>17</v>
      </c>
      <c r="C4962" t="s">
        <v>1</v>
      </c>
      <c r="D4962" t="s">
        <v>3724</v>
      </c>
      <c r="E4962" t="s">
        <v>3725</v>
      </c>
      <c r="F4962" t="s">
        <v>179</v>
      </c>
      <c r="G4962">
        <v>3</v>
      </c>
      <c r="H4962">
        <v>1</v>
      </c>
      <c r="I4962">
        <v>5</v>
      </c>
      <c r="J4962">
        <v>9</v>
      </c>
      <c r="K4962" s="482">
        <v>0.33300000000000002</v>
      </c>
      <c r="L4962" s="482">
        <v>0.111</v>
      </c>
      <c r="M4962" s="482">
        <v>0.55600000000000005</v>
      </c>
    </row>
    <row r="4963" spans="1:13" x14ac:dyDescent="0.2">
      <c r="A4963" t="s">
        <v>6239</v>
      </c>
      <c r="B4963" t="s">
        <v>17</v>
      </c>
      <c r="C4963" t="s">
        <v>1</v>
      </c>
      <c r="D4963" t="s">
        <v>3721</v>
      </c>
      <c r="E4963" t="s">
        <v>3722</v>
      </c>
      <c r="F4963" t="s">
        <v>179</v>
      </c>
      <c r="G4963">
        <v>10</v>
      </c>
      <c r="H4963">
        <v>4</v>
      </c>
      <c r="I4963">
        <v>13</v>
      </c>
      <c r="J4963">
        <v>27</v>
      </c>
      <c r="K4963" s="482">
        <v>0.37</v>
      </c>
      <c r="L4963" s="482">
        <v>0.14799999999999999</v>
      </c>
      <c r="M4963" s="482">
        <v>0.48099999999999998</v>
      </c>
    </row>
    <row r="4964" spans="1:13" x14ac:dyDescent="0.2">
      <c r="A4964" t="s">
        <v>6273</v>
      </c>
      <c r="B4964" t="s">
        <v>17</v>
      </c>
      <c r="C4964" t="s">
        <v>1</v>
      </c>
      <c r="D4964" t="s">
        <v>3531</v>
      </c>
      <c r="E4964" t="s">
        <v>3532</v>
      </c>
      <c r="F4964" t="s">
        <v>179</v>
      </c>
      <c r="G4964">
        <v>4</v>
      </c>
      <c r="H4964">
        <v>2</v>
      </c>
      <c r="I4964">
        <v>7</v>
      </c>
      <c r="J4964">
        <v>13</v>
      </c>
      <c r="K4964" s="482">
        <v>0.308</v>
      </c>
      <c r="L4964" s="482">
        <v>0.154</v>
      </c>
      <c r="M4964" s="482">
        <v>0.53800000000000003</v>
      </c>
    </row>
    <row r="4965" spans="1:13" x14ac:dyDescent="0.2">
      <c r="A4965" t="s">
        <v>6274</v>
      </c>
      <c r="B4965" t="s">
        <v>17</v>
      </c>
      <c r="C4965" t="s">
        <v>1</v>
      </c>
      <c r="D4965" t="s">
        <v>3706</v>
      </c>
      <c r="E4965" t="s">
        <v>3707</v>
      </c>
      <c r="F4965" t="s">
        <v>179</v>
      </c>
      <c r="G4965">
        <v>6</v>
      </c>
      <c r="H4965">
        <v>2</v>
      </c>
      <c r="I4965">
        <v>3</v>
      </c>
      <c r="J4965">
        <v>11</v>
      </c>
      <c r="K4965" s="482">
        <v>0.54500000000000004</v>
      </c>
      <c r="L4965" s="482">
        <v>0.182</v>
      </c>
      <c r="M4965" s="482">
        <v>0.27300000000000002</v>
      </c>
    </row>
    <row r="4966" spans="1:13" x14ac:dyDescent="0.2">
      <c r="A4966" t="s">
        <v>6209</v>
      </c>
      <c r="B4966" t="s">
        <v>17</v>
      </c>
      <c r="C4966" t="s">
        <v>1</v>
      </c>
      <c r="D4966" t="s">
        <v>3832</v>
      </c>
      <c r="E4966" t="s">
        <v>3833</v>
      </c>
      <c r="F4966" t="s">
        <v>179</v>
      </c>
      <c r="G4966">
        <v>3</v>
      </c>
      <c r="H4966">
        <v>0</v>
      </c>
      <c r="I4966">
        <v>3</v>
      </c>
      <c r="J4966">
        <v>6</v>
      </c>
      <c r="K4966" s="482">
        <v>0.5</v>
      </c>
      <c r="L4966" s="482">
        <v>0</v>
      </c>
      <c r="M4966" s="482">
        <v>0.5</v>
      </c>
    </row>
    <row r="4967" spans="1:13" x14ac:dyDescent="0.2">
      <c r="A4967" t="s">
        <v>6305</v>
      </c>
      <c r="B4967" t="s">
        <v>17</v>
      </c>
      <c r="C4967" t="s">
        <v>1</v>
      </c>
      <c r="D4967" t="s">
        <v>3270</v>
      </c>
      <c r="E4967" t="s">
        <v>3271</v>
      </c>
      <c r="F4967" t="s">
        <v>179</v>
      </c>
      <c r="G4967" t="s">
        <v>53</v>
      </c>
      <c r="H4967" t="s">
        <v>53</v>
      </c>
      <c r="I4967" t="s">
        <v>53</v>
      </c>
      <c r="J4967" t="s">
        <v>53</v>
      </c>
      <c r="K4967" t="s">
        <v>53</v>
      </c>
      <c r="L4967" t="s">
        <v>53</v>
      </c>
      <c r="M4967" t="s">
        <v>53</v>
      </c>
    </row>
    <row r="4968" spans="1:13" x14ac:dyDescent="0.2">
      <c r="A4968" t="s">
        <v>6247</v>
      </c>
      <c r="B4968" t="s">
        <v>17</v>
      </c>
      <c r="C4968" t="s">
        <v>1</v>
      </c>
      <c r="D4968" t="s">
        <v>3672</v>
      </c>
      <c r="E4968" t="s">
        <v>3673</v>
      </c>
      <c r="F4968" t="s">
        <v>179</v>
      </c>
      <c r="G4968">
        <v>15</v>
      </c>
      <c r="H4968">
        <v>6</v>
      </c>
      <c r="I4968">
        <v>17</v>
      </c>
      <c r="J4968">
        <v>38</v>
      </c>
      <c r="K4968" s="482">
        <v>0.39500000000000002</v>
      </c>
      <c r="L4968" s="482">
        <v>0.158</v>
      </c>
      <c r="M4968" s="482">
        <v>0.44700000000000001</v>
      </c>
    </row>
    <row r="4969" spans="1:13" x14ac:dyDescent="0.2">
      <c r="A4969" t="s">
        <v>6248</v>
      </c>
      <c r="B4969" t="s">
        <v>17</v>
      </c>
      <c r="C4969" t="s">
        <v>1</v>
      </c>
      <c r="D4969" t="s">
        <v>3669</v>
      </c>
      <c r="E4969" t="s">
        <v>3670</v>
      </c>
      <c r="F4969" t="s">
        <v>179</v>
      </c>
      <c r="G4969">
        <v>27</v>
      </c>
      <c r="H4969">
        <v>12</v>
      </c>
      <c r="I4969">
        <v>21</v>
      </c>
      <c r="J4969">
        <v>60</v>
      </c>
      <c r="K4969" s="482">
        <v>0.45</v>
      </c>
      <c r="L4969" s="482">
        <v>0.2</v>
      </c>
      <c r="M4969" s="482">
        <v>0.35</v>
      </c>
    </row>
    <row r="4970" spans="1:13" x14ac:dyDescent="0.2">
      <c r="A4970" t="s">
        <v>6249</v>
      </c>
      <c r="B4970" t="s">
        <v>17</v>
      </c>
      <c r="C4970" t="s">
        <v>1</v>
      </c>
      <c r="D4970" t="s">
        <v>3663</v>
      </c>
      <c r="E4970" t="s">
        <v>3664</v>
      </c>
      <c r="F4970" t="s">
        <v>179</v>
      </c>
      <c r="G4970">
        <v>7</v>
      </c>
      <c r="H4970">
        <v>6</v>
      </c>
      <c r="I4970">
        <v>10</v>
      </c>
      <c r="J4970">
        <v>23</v>
      </c>
      <c r="K4970" s="482">
        <v>0.30399999999999999</v>
      </c>
      <c r="L4970" s="482">
        <v>0.26100000000000001</v>
      </c>
      <c r="M4970" s="482">
        <v>0.435</v>
      </c>
    </row>
    <row r="4971" spans="1:13" x14ac:dyDescent="0.2">
      <c r="A4971" t="s">
        <v>6250</v>
      </c>
      <c r="B4971" t="s">
        <v>17</v>
      </c>
      <c r="C4971" t="s">
        <v>1</v>
      </c>
      <c r="D4971" t="s">
        <v>3660</v>
      </c>
      <c r="E4971" t="s">
        <v>3661</v>
      </c>
      <c r="F4971" t="s">
        <v>179</v>
      </c>
      <c r="G4971" t="s">
        <v>53</v>
      </c>
      <c r="H4971">
        <v>0</v>
      </c>
      <c r="I4971" t="s">
        <v>53</v>
      </c>
      <c r="J4971" t="s">
        <v>53</v>
      </c>
      <c r="K4971" t="s">
        <v>53</v>
      </c>
      <c r="L4971" t="s">
        <v>53</v>
      </c>
      <c r="M4971" t="s">
        <v>53</v>
      </c>
    </row>
    <row r="4972" spans="1:13" x14ac:dyDescent="0.2">
      <c r="A4972" t="s">
        <v>6644</v>
      </c>
      <c r="B4972" t="s">
        <v>17</v>
      </c>
      <c r="C4972" t="s">
        <v>1</v>
      </c>
      <c r="D4972" t="s">
        <v>3643</v>
      </c>
      <c r="E4972" t="s">
        <v>6580</v>
      </c>
      <c r="F4972" t="s">
        <v>179</v>
      </c>
      <c r="G4972">
        <v>10</v>
      </c>
      <c r="H4972">
        <v>2</v>
      </c>
      <c r="I4972">
        <v>7</v>
      </c>
      <c r="J4972">
        <v>19</v>
      </c>
      <c r="K4972" s="482">
        <v>0.52600000000000002</v>
      </c>
      <c r="L4972" s="482">
        <v>0.105</v>
      </c>
      <c r="M4972" s="482">
        <v>0.36799999999999999</v>
      </c>
    </row>
    <row r="4973" spans="1:13" x14ac:dyDescent="0.2">
      <c r="A4973" t="s">
        <v>6253</v>
      </c>
      <c r="B4973" t="s">
        <v>17</v>
      </c>
      <c r="C4973" t="s">
        <v>1</v>
      </c>
      <c r="D4973" t="s">
        <v>3641</v>
      </c>
      <c r="E4973" t="s">
        <v>3642</v>
      </c>
      <c r="F4973" t="s">
        <v>179</v>
      </c>
      <c r="G4973">
        <v>21</v>
      </c>
      <c r="H4973">
        <v>11</v>
      </c>
      <c r="I4973">
        <v>36</v>
      </c>
      <c r="J4973">
        <v>68</v>
      </c>
      <c r="K4973" s="482">
        <v>0.309</v>
      </c>
      <c r="L4973" s="482">
        <v>0.16200000000000001</v>
      </c>
      <c r="M4973" s="482">
        <v>0.52900000000000003</v>
      </c>
    </row>
    <row r="4974" spans="1:13" x14ac:dyDescent="0.2">
      <c r="A4974" t="s">
        <v>6251</v>
      </c>
      <c r="B4974" t="s">
        <v>17</v>
      </c>
      <c r="C4974" t="s">
        <v>1</v>
      </c>
      <c r="D4974" t="s">
        <v>3657</v>
      </c>
      <c r="E4974" t="s">
        <v>3658</v>
      </c>
      <c r="F4974" t="s">
        <v>179</v>
      </c>
      <c r="G4974">
        <v>13</v>
      </c>
      <c r="H4974">
        <v>9</v>
      </c>
      <c r="I4974">
        <v>12</v>
      </c>
      <c r="J4974">
        <v>34</v>
      </c>
      <c r="K4974" s="482">
        <v>0.38200000000000001</v>
      </c>
      <c r="L4974" s="482">
        <v>0.26500000000000001</v>
      </c>
      <c r="M4974" s="482">
        <v>0.35299999999999998</v>
      </c>
    </row>
    <row r="4975" spans="1:13" x14ac:dyDescent="0.2">
      <c r="A4975" t="s">
        <v>6252</v>
      </c>
      <c r="B4975" t="s">
        <v>17</v>
      </c>
      <c r="C4975" t="s">
        <v>1</v>
      </c>
      <c r="D4975" t="s">
        <v>3651</v>
      </c>
      <c r="E4975" t="s">
        <v>3652</v>
      </c>
      <c r="F4975" t="s">
        <v>179</v>
      </c>
      <c r="G4975">
        <v>67</v>
      </c>
      <c r="H4975">
        <v>32</v>
      </c>
      <c r="I4975">
        <v>61</v>
      </c>
      <c r="J4975">
        <v>160</v>
      </c>
      <c r="K4975" s="482">
        <v>0.41899999999999998</v>
      </c>
      <c r="L4975" s="482">
        <v>0.2</v>
      </c>
      <c r="M4975" s="482">
        <v>0.38100000000000001</v>
      </c>
    </row>
    <row r="4976" spans="1:13" x14ac:dyDescent="0.2">
      <c r="A4976" t="s">
        <v>6308</v>
      </c>
      <c r="B4976" t="s">
        <v>17</v>
      </c>
      <c r="C4976" t="s">
        <v>1</v>
      </c>
      <c r="D4976" t="s">
        <v>3222</v>
      </c>
      <c r="E4976" t="s">
        <v>3223</v>
      </c>
      <c r="F4976" t="s">
        <v>179</v>
      </c>
      <c r="G4976">
        <v>0</v>
      </c>
      <c r="H4976">
        <v>0</v>
      </c>
      <c r="I4976" t="s">
        <v>53</v>
      </c>
      <c r="J4976" t="s">
        <v>53</v>
      </c>
      <c r="K4976" t="s">
        <v>53</v>
      </c>
      <c r="L4976" t="s">
        <v>53</v>
      </c>
      <c r="M4976" t="s">
        <v>53</v>
      </c>
    </row>
    <row r="4977" spans="1:13" x14ac:dyDescent="0.2">
      <c r="A4977" t="s">
        <v>6309</v>
      </c>
      <c r="B4977" t="s">
        <v>17</v>
      </c>
      <c r="C4977" t="s">
        <v>1</v>
      </c>
      <c r="D4977" t="s">
        <v>3219</v>
      </c>
      <c r="E4977" t="s">
        <v>3220</v>
      </c>
      <c r="F4977" t="s">
        <v>179</v>
      </c>
      <c r="G4977">
        <v>10</v>
      </c>
      <c r="H4977">
        <v>5</v>
      </c>
      <c r="I4977">
        <v>3</v>
      </c>
      <c r="J4977">
        <v>18</v>
      </c>
      <c r="K4977" s="482">
        <v>0.55600000000000005</v>
      </c>
      <c r="L4977" s="482">
        <v>0.27800000000000002</v>
      </c>
      <c r="M4977" s="482">
        <v>0.16700000000000001</v>
      </c>
    </row>
    <row r="4978" spans="1:13" x14ac:dyDescent="0.2">
      <c r="A4978" t="s">
        <v>6310</v>
      </c>
      <c r="B4978" t="s">
        <v>17</v>
      </c>
      <c r="C4978" t="s">
        <v>1</v>
      </c>
      <c r="D4978" t="s">
        <v>3216</v>
      </c>
      <c r="E4978" t="s">
        <v>3217</v>
      </c>
      <c r="F4978" t="s">
        <v>179</v>
      </c>
      <c r="G4978">
        <v>6</v>
      </c>
      <c r="H4978">
        <v>1</v>
      </c>
      <c r="I4978">
        <v>7</v>
      </c>
      <c r="J4978">
        <v>14</v>
      </c>
      <c r="K4978" s="482">
        <v>0.42899999999999999</v>
      </c>
      <c r="L4978" s="482">
        <v>7.0999999999999994E-2</v>
      </c>
      <c r="M4978" s="482">
        <v>0.5</v>
      </c>
    </row>
    <row r="4979" spans="1:13" x14ac:dyDescent="0.2">
      <c r="A4979" t="s">
        <v>6645</v>
      </c>
      <c r="B4979" t="s">
        <v>17</v>
      </c>
      <c r="C4979" t="s">
        <v>1</v>
      </c>
      <c r="D4979" t="s">
        <v>3278</v>
      </c>
      <c r="E4979" t="s">
        <v>6578</v>
      </c>
      <c r="F4979" t="s">
        <v>179</v>
      </c>
      <c r="G4979">
        <v>15</v>
      </c>
      <c r="H4979">
        <v>12</v>
      </c>
      <c r="I4979">
        <v>15</v>
      </c>
      <c r="J4979">
        <v>42</v>
      </c>
      <c r="K4979" s="482">
        <v>0.35699999999999998</v>
      </c>
      <c r="L4979" s="482">
        <v>0.28599999999999998</v>
      </c>
      <c r="M4979" s="482">
        <v>0.35699999999999998</v>
      </c>
    </row>
    <row r="4980" spans="1:13" x14ac:dyDescent="0.2">
      <c r="A4980" t="s">
        <v>6646</v>
      </c>
      <c r="B4980" t="s">
        <v>17</v>
      </c>
      <c r="C4980" t="s">
        <v>1</v>
      </c>
      <c r="D4980" t="s">
        <v>3543</v>
      </c>
      <c r="E4980" t="s">
        <v>3544</v>
      </c>
      <c r="F4980" t="s">
        <v>179</v>
      </c>
      <c r="G4980">
        <v>6</v>
      </c>
      <c r="H4980">
        <v>4</v>
      </c>
      <c r="I4980">
        <v>11</v>
      </c>
      <c r="J4980">
        <v>21</v>
      </c>
      <c r="K4980" s="482">
        <v>0.28599999999999998</v>
      </c>
      <c r="L4980" s="482">
        <v>0.19</v>
      </c>
      <c r="M4980" s="482">
        <v>0.52400000000000002</v>
      </c>
    </row>
    <row r="4981" spans="1:13" x14ac:dyDescent="0.2">
      <c r="A4981" t="s">
        <v>6272</v>
      </c>
      <c r="B4981" t="s">
        <v>17</v>
      </c>
      <c r="C4981" t="s">
        <v>1</v>
      </c>
      <c r="D4981" t="s">
        <v>3537</v>
      </c>
      <c r="E4981" t="s">
        <v>3538</v>
      </c>
      <c r="F4981" t="s">
        <v>179</v>
      </c>
      <c r="G4981">
        <v>17</v>
      </c>
      <c r="H4981">
        <v>9</v>
      </c>
      <c r="I4981">
        <v>19</v>
      </c>
      <c r="J4981">
        <v>45</v>
      </c>
      <c r="K4981" s="482">
        <v>0.378</v>
      </c>
      <c r="L4981" s="482">
        <v>0.2</v>
      </c>
      <c r="M4981" s="482">
        <v>0.42199999999999999</v>
      </c>
    </row>
    <row r="4982" spans="1:13" x14ac:dyDescent="0.2">
      <c r="A4982" t="s">
        <v>6276</v>
      </c>
      <c r="B4982" t="s">
        <v>17</v>
      </c>
      <c r="C4982" t="s">
        <v>1</v>
      </c>
      <c r="D4982" t="s">
        <v>3517</v>
      </c>
      <c r="E4982" t="s">
        <v>3518</v>
      </c>
      <c r="F4982" t="s">
        <v>179</v>
      </c>
      <c r="G4982">
        <v>27</v>
      </c>
      <c r="H4982">
        <v>10</v>
      </c>
      <c r="I4982">
        <v>25</v>
      </c>
      <c r="J4982">
        <v>62</v>
      </c>
      <c r="K4982" s="482">
        <v>0.435</v>
      </c>
      <c r="L4982" s="482">
        <v>0.161</v>
      </c>
      <c r="M4982" s="482">
        <v>0.40300000000000002</v>
      </c>
    </row>
    <row r="4983" spans="1:13" x14ac:dyDescent="0.2">
      <c r="A4983" t="s">
        <v>6271</v>
      </c>
      <c r="B4983" t="s">
        <v>17</v>
      </c>
      <c r="C4983" t="s">
        <v>1</v>
      </c>
      <c r="D4983" t="s">
        <v>3546</v>
      </c>
      <c r="E4983" t="s">
        <v>3547</v>
      </c>
      <c r="F4983" t="s">
        <v>179</v>
      </c>
      <c r="G4983" t="s">
        <v>53</v>
      </c>
      <c r="H4983" t="s">
        <v>53</v>
      </c>
      <c r="I4983">
        <v>0</v>
      </c>
      <c r="J4983" t="s">
        <v>53</v>
      </c>
      <c r="K4983" t="s">
        <v>53</v>
      </c>
      <c r="L4983" t="s">
        <v>53</v>
      </c>
      <c r="M4983" t="s">
        <v>53</v>
      </c>
    </row>
    <row r="4984" spans="1:13" x14ac:dyDescent="0.2">
      <c r="A4984" t="s">
        <v>6267</v>
      </c>
      <c r="B4984" t="s">
        <v>17</v>
      </c>
      <c r="C4984" t="s">
        <v>1</v>
      </c>
      <c r="D4984" t="s">
        <v>3558</v>
      </c>
      <c r="E4984" t="s">
        <v>3559</v>
      </c>
      <c r="F4984" t="s">
        <v>179</v>
      </c>
      <c r="G4984">
        <v>14</v>
      </c>
      <c r="H4984">
        <v>8</v>
      </c>
      <c r="I4984">
        <v>9</v>
      </c>
      <c r="J4984">
        <v>31</v>
      </c>
      <c r="K4984" s="482">
        <v>0.45200000000000001</v>
      </c>
      <c r="L4984" s="482">
        <v>0.25800000000000001</v>
      </c>
      <c r="M4984" s="482">
        <v>0.28999999999999998</v>
      </c>
    </row>
    <row r="4985" spans="1:13" x14ac:dyDescent="0.2">
      <c r="A4985" t="s">
        <v>6262</v>
      </c>
      <c r="B4985" t="s">
        <v>17</v>
      </c>
      <c r="C4985" t="s">
        <v>1</v>
      </c>
      <c r="D4985" t="s">
        <v>3588</v>
      </c>
      <c r="E4985" t="s">
        <v>3589</v>
      </c>
      <c r="F4985" t="s">
        <v>179</v>
      </c>
      <c r="G4985">
        <v>12</v>
      </c>
      <c r="H4985">
        <v>5</v>
      </c>
      <c r="I4985">
        <v>18</v>
      </c>
      <c r="J4985">
        <v>35</v>
      </c>
      <c r="K4985" s="482">
        <v>0.34300000000000003</v>
      </c>
      <c r="L4985" s="482">
        <v>0.14299999999999999</v>
      </c>
      <c r="M4985" s="482">
        <v>0.51400000000000001</v>
      </c>
    </row>
    <row r="4986" spans="1:13" x14ac:dyDescent="0.2">
      <c r="A4986" t="s">
        <v>6263</v>
      </c>
      <c r="B4986" t="s">
        <v>17</v>
      </c>
      <c r="C4986" t="s">
        <v>1</v>
      </c>
      <c r="D4986" t="s">
        <v>3576</v>
      </c>
      <c r="E4986" t="s">
        <v>3577</v>
      </c>
      <c r="F4986" t="s">
        <v>179</v>
      </c>
      <c r="G4986" t="s">
        <v>53</v>
      </c>
      <c r="H4986" t="s">
        <v>53</v>
      </c>
      <c r="I4986" t="s">
        <v>53</v>
      </c>
      <c r="J4986" t="s">
        <v>53</v>
      </c>
      <c r="K4986" t="s">
        <v>53</v>
      </c>
      <c r="L4986" t="s">
        <v>53</v>
      </c>
      <c r="M4986" t="s">
        <v>53</v>
      </c>
    </row>
    <row r="4987" spans="1:13" x14ac:dyDescent="0.2">
      <c r="A4987" t="s">
        <v>6264</v>
      </c>
      <c r="B4987" t="s">
        <v>17</v>
      </c>
      <c r="C4987" t="s">
        <v>1</v>
      </c>
      <c r="D4987" t="s">
        <v>3570</v>
      </c>
      <c r="E4987" t="s">
        <v>3571</v>
      </c>
      <c r="F4987" t="s">
        <v>179</v>
      </c>
      <c r="G4987" t="s">
        <v>53</v>
      </c>
      <c r="H4987">
        <v>0</v>
      </c>
      <c r="I4987">
        <v>0</v>
      </c>
      <c r="J4987" t="s">
        <v>53</v>
      </c>
      <c r="K4987" t="s">
        <v>53</v>
      </c>
      <c r="L4987" t="s">
        <v>53</v>
      </c>
      <c r="M4987" t="s">
        <v>53</v>
      </c>
    </row>
    <row r="4988" spans="1:13" x14ac:dyDescent="0.2">
      <c r="A4988" t="s">
        <v>6217</v>
      </c>
      <c r="B4988" t="s">
        <v>17</v>
      </c>
      <c r="C4988" t="s">
        <v>1</v>
      </c>
      <c r="D4988" t="s">
        <v>3802</v>
      </c>
      <c r="E4988" t="s">
        <v>3803</v>
      </c>
      <c r="F4988" t="s">
        <v>179</v>
      </c>
      <c r="G4988">
        <v>11</v>
      </c>
      <c r="H4988">
        <v>3</v>
      </c>
      <c r="I4988">
        <v>20</v>
      </c>
      <c r="J4988">
        <v>34</v>
      </c>
      <c r="K4988" s="482">
        <v>0.32400000000000001</v>
      </c>
      <c r="L4988" s="482">
        <v>8.7999999999999995E-2</v>
      </c>
      <c r="M4988" s="482">
        <v>0.58799999999999997</v>
      </c>
    </row>
    <row r="4989" spans="1:13" x14ac:dyDescent="0.2">
      <c r="A4989" t="s">
        <v>6218</v>
      </c>
      <c r="B4989" t="s">
        <v>17</v>
      </c>
      <c r="C4989" t="s">
        <v>1</v>
      </c>
      <c r="D4989" t="s">
        <v>3796</v>
      </c>
      <c r="E4989" t="s">
        <v>3797</v>
      </c>
      <c r="F4989" t="s">
        <v>179</v>
      </c>
      <c r="G4989">
        <v>10</v>
      </c>
      <c r="H4989">
        <v>3</v>
      </c>
      <c r="I4989">
        <v>3</v>
      </c>
      <c r="J4989">
        <v>16</v>
      </c>
      <c r="K4989" s="482">
        <v>0.625</v>
      </c>
      <c r="L4989" s="482">
        <v>0.188</v>
      </c>
      <c r="M4989" s="482">
        <v>0.188</v>
      </c>
    </row>
    <row r="4990" spans="1:13" x14ac:dyDescent="0.2">
      <c r="A4990" t="s">
        <v>6220</v>
      </c>
      <c r="B4990" t="s">
        <v>17</v>
      </c>
      <c r="C4990" t="s">
        <v>1</v>
      </c>
      <c r="D4990" t="s">
        <v>3799</v>
      </c>
      <c r="E4990" t="s">
        <v>3800</v>
      </c>
      <c r="F4990" t="s">
        <v>179</v>
      </c>
      <c r="G4990">
        <v>12</v>
      </c>
      <c r="H4990">
        <v>7</v>
      </c>
      <c r="I4990">
        <v>12</v>
      </c>
      <c r="J4990">
        <v>31</v>
      </c>
      <c r="K4990" s="482">
        <v>0.38700000000000001</v>
      </c>
      <c r="L4990" s="482">
        <v>0.22600000000000001</v>
      </c>
      <c r="M4990" s="482">
        <v>0.38700000000000001</v>
      </c>
    </row>
    <row r="4991" spans="1:13" x14ac:dyDescent="0.2">
      <c r="A4991" t="s">
        <v>6312</v>
      </c>
      <c r="B4991" t="s">
        <v>17</v>
      </c>
      <c r="C4991" t="s">
        <v>1</v>
      </c>
      <c r="D4991" t="s">
        <v>3189</v>
      </c>
      <c r="E4991" t="s">
        <v>3190</v>
      </c>
      <c r="F4991" t="s">
        <v>179</v>
      </c>
      <c r="G4991">
        <v>4</v>
      </c>
      <c r="H4991">
        <v>9</v>
      </c>
      <c r="I4991">
        <v>14</v>
      </c>
      <c r="J4991">
        <v>27</v>
      </c>
      <c r="K4991" s="482">
        <v>0.14799999999999999</v>
      </c>
      <c r="L4991" s="482">
        <v>0.33300000000000002</v>
      </c>
      <c r="M4991" s="482">
        <v>0.51900000000000002</v>
      </c>
    </row>
    <row r="4992" spans="1:13" x14ac:dyDescent="0.2">
      <c r="A4992" t="s">
        <v>6319</v>
      </c>
      <c r="B4992" t="s">
        <v>17</v>
      </c>
      <c r="C4992" t="s">
        <v>1</v>
      </c>
      <c r="D4992" t="s">
        <v>3127</v>
      </c>
      <c r="E4992" t="s">
        <v>3128</v>
      </c>
      <c r="F4992" t="s">
        <v>179</v>
      </c>
      <c r="G4992">
        <v>9</v>
      </c>
      <c r="H4992">
        <v>8</v>
      </c>
      <c r="I4992">
        <v>12</v>
      </c>
      <c r="J4992">
        <v>29</v>
      </c>
      <c r="K4992" s="482">
        <v>0.31</v>
      </c>
      <c r="L4992" s="482">
        <v>0.27600000000000002</v>
      </c>
      <c r="M4992" s="482">
        <v>0.41399999999999998</v>
      </c>
    </row>
    <row r="4993" spans="1:13" x14ac:dyDescent="0.2">
      <c r="A4993" t="s">
        <v>6320</v>
      </c>
      <c r="B4993" t="s">
        <v>17</v>
      </c>
      <c r="C4993" t="s">
        <v>1</v>
      </c>
      <c r="D4993" t="s">
        <v>3124</v>
      </c>
      <c r="E4993" t="s">
        <v>3125</v>
      </c>
      <c r="F4993" t="s">
        <v>179</v>
      </c>
      <c r="G4993">
        <v>14</v>
      </c>
      <c r="H4993">
        <v>8</v>
      </c>
      <c r="I4993">
        <v>15</v>
      </c>
      <c r="J4993">
        <v>37</v>
      </c>
      <c r="K4993" s="482">
        <v>0.378</v>
      </c>
      <c r="L4993" s="482">
        <v>0.216</v>
      </c>
      <c r="M4993" s="482">
        <v>0.40500000000000003</v>
      </c>
    </row>
    <row r="4994" spans="1:13" x14ac:dyDescent="0.2">
      <c r="A4994" t="s">
        <v>6318</v>
      </c>
      <c r="B4994" t="s">
        <v>17</v>
      </c>
      <c r="C4994" t="s">
        <v>1</v>
      </c>
      <c r="D4994" t="s">
        <v>3145</v>
      </c>
      <c r="E4994" t="s">
        <v>3146</v>
      </c>
      <c r="F4994" t="s">
        <v>179</v>
      </c>
      <c r="G4994">
        <v>23</v>
      </c>
      <c r="H4994">
        <v>8</v>
      </c>
      <c r="I4994">
        <v>18</v>
      </c>
      <c r="J4994">
        <v>49</v>
      </c>
      <c r="K4994" s="482">
        <v>0.46899999999999997</v>
      </c>
      <c r="L4994" s="482">
        <v>0.16300000000000001</v>
      </c>
      <c r="M4994" s="482">
        <v>0.36699999999999999</v>
      </c>
    </row>
    <row r="4995" spans="1:13" x14ac:dyDescent="0.2">
      <c r="A4995" t="s">
        <v>6313</v>
      </c>
      <c r="B4995" t="s">
        <v>17</v>
      </c>
      <c r="C4995" t="s">
        <v>1</v>
      </c>
      <c r="D4995" t="s">
        <v>3163</v>
      </c>
      <c r="E4995" t="s">
        <v>3164</v>
      </c>
      <c r="F4995" t="s">
        <v>179</v>
      </c>
      <c r="G4995">
        <v>6</v>
      </c>
      <c r="H4995">
        <v>6</v>
      </c>
      <c r="I4995">
        <v>3</v>
      </c>
      <c r="J4995">
        <v>15</v>
      </c>
      <c r="K4995" s="482">
        <v>0.4</v>
      </c>
      <c r="L4995" s="482">
        <v>0.4</v>
      </c>
      <c r="M4995" s="482">
        <v>0.2</v>
      </c>
    </row>
    <row r="4996" spans="1:13" x14ac:dyDescent="0.2">
      <c r="A4996" t="s">
        <v>6314</v>
      </c>
      <c r="B4996" t="s">
        <v>17</v>
      </c>
      <c r="C4996" t="s">
        <v>1</v>
      </c>
      <c r="D4996" t="s">
        <v>3160</v>
      </c>
      <c r="E4996" t="s">
        <v>3161</v>
      </c>
      <c r="F4996" t="s">
        <v>179</v>
      </c>
      <c r="G4996" t="s">
        <v>53</v>
      </c>
      <c r="H4996">
        <v>0</v>
      </c>
      <c r="I4996">
        <v>0</v>
      </c>
      <c r="J4996" t="s">
        <v>53</v>
      </c>
      <c r="K4996" t="s">
        <v>53</v>
      </c>
      <c r="L4996" t="s">
        <v>53</v>
      </c>
      <c r="M4996" t="s">
        <v>53</v>
      </c>
    </row>
    <row r="4997" spans="1:13" x14ac:dyDescent="0.2">
      <c r="A4997" t="s">
        <v>6315</v>
      </c>
      <c r="B4997" t="s">
        <v>17</v>
      </c>
      <c r="C4997" t="s">
        <v>1</v>
      </c>
      <c r="D4997" t="s">
        <v>3157</v>
      </c>
      <c r="E4997" t="s">
        <v>3158</v>
      </c>
      <c r="F4997" t="s">
        <v>179</v>
      </c>
      <c r="G4997">
        <v>12</v>
      </c>
      <c r="H4997">
        <v>6</v>
      </c>
      <c r="I4997">
        <v>6</v>
      </c>
      <c r="J4997">
        <v>24</v>
      </c>
      <c r="K4997" s="482">
        <v>0.5</v>
      </c>
      <c r="L4997" s="482">
        <v>0.25</v>
      </c>
      <c r="M4997" s="482">
        <v>0.25</v>
      </c>
    </row>
    <row r="4998" spans="1:13" x14ac:dyDescent="0.2">
      <c r="A4998" t="s">
        <v>6311</v>
      </c>
      <c r="B4998" t="s">
        <v>17</v>
      </c>
      <c r="C4998" t="s">
        <v>1</v>
      </c>
      <c r="D4998" t="s">
        <v>3927</v>
      </c>
      <c r="E4998" t="s">
        <v>3928</v>
      </c>
      <c r="F4998" t="s">
        <v>179</v>
      </c>
      <c r="G4998" t="s">
        <v>53</v>
      </c>
      <c r="H4998" t="s">
        <v>53</v>
      </c>
      <c r="I4998" t="s">
        <v>53</v>
      </c>
      <c r="J4998" t="s">
        <v>53</v>
      </c>
      <c r="K4998" t="s">
        <v>53</v>
      </c>
      <c r="L4998" t="s">
        <v>53</v>
      </c>
      <c r="M4998" t="s">
        <v>53</v>
      </c>
    </row>
    <row r="4999" spans="1:13" x14ac:dyDescent="0.2">
      <c r="A4999" t="s">
        <v>6261</v>
      </c>
      <c r="B4999" t="s">
        <v>17</v>
      </c>
      <c r="C4999" t="s">
        <v>1</v>
      </c>
      <c r="D4999" t="s">
        <v>3600</v>
      </c>
      <c r="E4999" t="s">
        <v>3601</v>
      </c>
      <c r="F4999" t="s">
        <v>179</v>
      </c>
      <c r="G4999" t="s">
        <v>53</v>
      </c>
      <c r="H4999">
        <v>0</v>
      </c>
      <c r="I4999">
        <v>0</v>
      </c>
      <c r="J4999" t="s">
        <v>53</v>
      </c>
      <c r="K4999" t="s">
        <v>53</v>
      </c>
      <c r="L4999" t="s">
        <v>53</v>
      </c>
      <c r="M4999" t="s">
        <v>53</v>
      </c>
    </row>
    <row r="5000" spans="1:13" x14ac:dyDescent="0.2">
      <c r="A5000" t="s">
        <v>6413</v>
      </c>
      <c r="B5000" t="s">
        <v>17</v>
      </c>
      <c r="C5000" t="s">
        <v>1</v>
      </c>
      <c r="D5000" t="s">
        <v>3600</v>
      </c>
      <c r="E5000" t="s">
        <v>3601</v>
      </c>
      <c r="F5000" t="s">
        <v>52</v>
      </c>
      <c r="G5000">
        <v>0</v>
      </c>
      <c r="H5000" t="s">
        <v>53</v>
      </c>
      <c r="I5000">
        <v>0</v>
      </c>
      <c r="J5000" t="s">
        <v>53</v>
      </c>
      <c r="K5000" t="s">
        <v>53</v>
      </c>
      <c r="L5000" t="s">
        <v>53</v>
      </c>
      <c r="M5000" t="s">
        <v>53</v>
      </c>
    </row>
    <row r="5001" spans="1:13" x14ac:dyDescent="0.2">
      <c r="A5001" t="s">
        <v>6361</v>
      </c>
      <c r="B5001" t="s">
        <v>17</v>
      </c>
      <c r="C5001" t="s">
        <v>1</v>
      </c>
      <c r="D5001" t="s">
        <v>3927</v>
      </c>
      <c r="E5001" t="s">
        <v>3928</v>
      </c>
      <c r="F5001" t="s">
        <v>52</v>
      </c>
      <c r="G5001" t="s">
        <v>53</v>
      </c>
      <c r="H5001">
        <v>0</v>
      </c>
      <c r="I5001" t="s">
        <v>53</v>
      </c>
      <c r="J5001" t="s">
        <v>53</v>
      </c>
      <c r="K5001" t="s">
        <v>53</v>
      </c>
      <c r="L5001" t="s">
        <v>53</v>
      </c>
      <c r="M5001" t="s">
        <v>53</v>
      </c>
    </row>
    <row r="5002" spans="1:13" x14ac:dyDescent="0.2">
      <c r="A5002" t="s">
        <v>6357</v>
      </c>
      <c r="B5002" t="s">
        <v>17</v>
      </c>
      <c r="C5002" t="s">
        <v>1</v>
      </c>
      <c r="D5002" t="s">
        <v>3157</v>
      </c>
      <c r="E5002" t="s">
        <v>3158</v>
      </c>
      <c r="F5002" t="s">
        <v>52</v>
      </c>
      <c r="G5002">
        <v>14</v>
      </c>
      <c r="H5002">
        <v>9</v>
      </c>
      <c r="I5002">
        <v>1</v>
      </c>
      <c r="J5002">
        <v>24</v>
      </c>
      <c r="K5002" s="482">
        <v>0.58299999999999996</v>
      </c>
      <c r="L5002" s="482">
        <v>0.375</v>
      </c>
      <c r="M5002" s="482">
        <v>4.2000000000000003E-2</v>
      </c>
    </row>
    <row r="5003" spans="1:13" x14ac:dyDescent="0.2">
      <c r="A5003" t="s">
        <v>6358</v>
      </c>
      <c r="B5003" t="s">
        <v>17</v>
      </c>
      <c r="C5003" t="s">
        <v>1</v>
      </c>
      <c r="D5003" t="s">
        <v>3160</v>
      </c>
      <c r="E5003" t="s">
        <v>3161</v>
      </c>
      <c r="F5003" t="s">
        <v>52</v>
      </c>
      <c r="G5003">
        <v>0</v>
      </c>
      <c r="H5003" t="s">
        <v>53</v>
      </c>
      <c r="I5003">
        <v>0</v>
      </c>
      <c r="J5003" t="s">
        <v>53</v>
      </c>
      <c r="K5003" t="s">
        <v>53</v>
      </c>
      <c r="L5003" t="s">
        <v>53</v>
      </c>
      <c r="M5003" t="s">
        <v>53</v>
      </c>
    </row>
    <row r="5004" spans="1:13" x14ac:dyDescent="0.2">
      <c r="A5004" t="s">
        <v>6359</v>
      </c>
      <c r="B5004" t="s">
        <v>17</v>
      </c>
      <c r="C5004" t="s">
        <v>1</v>
      </c>
      <c r="D5004" t="s">
        <v>3163</v>
      </c>
      <c r="E5004" t="s">
        <v>3164</v>
      </c>
      <c r="F5004" t="s">
        <v>52</v>
      </c>
      <c r="G5004">
        <v>12</v>
      </c>
      <c r="H5004">
        <v>3</v>
      </c>
      <c r="I5004">
        <v>0</v>
      </c>
      <c r="J5004">
        <v>15</v>
      </c>
      <c r="K5004" s="482">
        <v>0.8</v>
      </c>
      <c r="L5004" s="482">
        <v>0.2</v>
      </c>
      <c r="M5004" s="482">
        <v>0</v>
      </c>
    </row>
    <row r="5005" spans="1:13" x14ac:dyDescent="0.2">
      <c r="A5005" t="s">
        <v>6354</v>
      </c>
      <c r="B5005" t="s">
        <v>17</v>
      </c>
      <c r="C5005" t="s">
        <v>1</v>
      </c>
      <c r="D5005" t="s">
        <v>3145</v>
      </c>
      <c r="E5005" t="s">
        <v>3146</v>
      </c>
      <c r="F5005" t="s">
        <v>52</v>
      </c>
      <c r="G5005">
        <v>27</v>
      </c>
      <c r="H5005">
        <v>17</v>
      </c>
      <c r="I5005">
        <v>10</v>
      </c>
      <c r="J5005">
        <v>54</v>
      </c>
      <c r="K5005" s="482">
        <v>0.5</v>
      </c>
      <c r="L5005" s="482">
        <v>0.315</v>
      </c>
      <c r="M5005" s="482">
        <v>0.185</v>
      </c>
    </row>
    <row r="5006" spans="1:13" x14ac:dyDescent="0.2">
      <c r="A5006" t="s">
        <v>6352</v>
      </c>
      <c r="B5006" t="s">
        <v>17</v>
      </c>
      <c r="C5006" t="s">
        <v>1</v>
      </c>
      <c r="D5006" t="s">
        <v>3124</v>
      </c>
      <c r="E5006" t="s">
        <v>3125</v>
      </c>
      <c r="F5006" t="s">
        <v>52</v>
      </c>
      <c r="G5006">
        <v>11</v>
      </c>
      <c r="H5006">
        <v>16</v>
      </c>
      <c r="I5006">
        <v>9</v>
      </c>
      <c r="J5006">
        <v>36</v>
      </c>
      <c r="K5006" s="482">
        <v>0.30599999999999999</v>
      </c>
      <c r="L5006" s="482">
        <v>0.44400000000000001</v>
      </c>
      <c r="M5006" s="482">
        <v>0.25</v>
      </c>
    </row>
    <row r="5007" spans="1:13" x14ac:dyDescent="0.2">
      <c r="A5007" t="s">
        <v>6353</v>
      </c>
      <c r="B5007" t="s">
        <v>17</v>
      </c>
      <c r="C5007" t="s">
        <v>1</v>
      </c>
      <c r="D5007" t="s">
        <v>3127</v>
      </c>
      <c r="E5007" t="s">
        <v>3128</v>
      </c>
      <c r="F5007" t="s">
        <v>52</v>
      </c>
      <c r="G5007">
        <v>14</v>
      </c>
      <c r="H5007">
        <v>12</v>
      </c>
      <c r="I5007">
        <v>4</v>
      </c>
      <c r="J5007">
        <v>30</v>
      </c>
      <c r="K5007" s="482">
        <v>0.46700000000000003</v>
      </c>
      <c r="L5007" s="482">
        <v>0.4</v>
      </c>
      <c r="M5007" s="482">
        <v>0.13300000000000001</v>
      </c>
    </row>
    <row r="5008" spans="1:13" x14ac:dyDescent="0.2">
      <c r="A5008" t="s">
        <v>6360</v>
      </c>
      <c r="B5008" t="s">
        <v>17</v>
      </c>
      <c r="C5008" t="s">
        <v>1</v>
      </c>
      <c r="D5008" t="s">
        <v>3189</v>
      </c>
      <c r="E5008" t="s">
        <v>3190</v>
      </c>
      <c r="F5008" t="s">
        <v>52</v>
      </c>
      <c r="G5008">
        <v>15</v>
      </c>
      <c r="H5008">
        <v>7</v>
      </c>
      <c r="I5008">
        <v>6</v>
      </c>
      <c r="J5008">
        <v>28</v>
      </c>
      <c r="K5008" s="482">
        <v>0.53600000000000003</v>
      </c>
      <c r="L5008" s="482">
        <v>0.25</v>
      </c>
      <c r="M5008" s="482">
        <v>0.214</v>
      </c>
    </row>
    <row r="5009" spans="1:13" x14ac:dyDescent="0.2">
      <c r="A5009" t="s">
        <v>6454</v>
      </c>
      <c r="B5009" t="s">
        <v>17</v>
      </c>
      <c r="C5009" t="s">
        <v>1</v>
      </c>
      <c r="D5009" t="s">
        <v>3799</v>
      </c>
      <c r="E5009" t="s">
        <v>3800</v>
      </c>
      <c r="F5009" t="s">
        <v>52</v>
      </c>
      <c r="G5009">
        <v>16</v>
      </c>
      <c r="H5009">
        <v>11</v>
      </c>
      <c r="I5009">
        <v>3</v>
      </c>
      <c r="J5009">
        <v>30</v>
      </c>
      <c r="K5009" s="482">
        <v>0.53300000000000003</v>
      </c>
      <c r="L5009" s="482">
        <v>0.36699999999999999</v>
      </c>
      <c r="M5009" s="482">
        <v>0.1</v>
      </c>
    </row>
    <row r="5010" spans="1:13" x14ac:dyDescent="0.2">
      <c r="A5010" t="s">
        <v>6456</v>
      </c>
      <c r="B5010" t="s">
        <v>17</v>
      </c>
      <c r="C5010" t="s">
        <v>1</v>
      </c>
      <c r="D5010" t="s">
        <v>3796</v>
      </c>
      <c r="E5010" t="s">
        <v>3797</v>
      </c>
      <c r="F5010" t="s">
        <v>52</v>
      </c>
      <c r="G5010">
        <v>10</v>
      </c>
      <c r="H5010">
        <v>3</v>
      </c>
      <c r="I5010">
        <v>2</v>
      </c>
      <c r="J5010">
        <v>15</v>
      </c>
      <c r="K5010" s="482">
        <v>0.66700000000000004</v>
      </c>
      <c r="L5010" s="482">
        <v>0.2</v>
      </c>
      <c r="M5010" s="482">
        <v>0.13300000000000001</v>
      </c>
    </row>
    <row r="5011" spans="1:13" x14ac:dyDescent="0.2">
      <c r="A5011" t="s">
        <v>6457</v>
      </c>
      <c r="B5011" t="s">
        <v>17</v>
      </c>
      <c r="C5011" t="s">
        <v>1</v>
      </c>
      <c r="D5011" t="s">
        <v>3802</v>
      </c>
      <c r="E5011" t="s">
        <v>3803</v>
      </c>
      <c r="F5011" t="s">
        <v>52</v>
      </c>
      <c r="G5011">
        <v>17</v>
      </c>
      <c r="H5011">
        <v>7</v>
      </c>
      <c r="I5011">
        <v>12</v>
      </c>
      <c r="J5011">
        <v>36</v>
      </c>
      <c r="K5011" s="482">
        <v>0.47199999999999998</v>
      </c>
      <c r="L5011" s="482">
        <v>0.19400000000000001</v>
      </c>
      <c r="M5011" s="482">
        <v>0.33300000000000002</v>
      </c>
    </row>
    <row r="5012" spans="1:13" x14ac:dyDescent="0.2">
      <c r="A5012" t="s">
        <v>6459</v>
      </c>
      <c r="B5012" t="s">
        <v>17</v>
      </c>
      <c r="C5012" t="s">
        <v>1</v>
      </c>
      <c r="D5012" t="s">
        <v>6460</v>
      </c>
      <c r="E5012" t="s">
        <v>6461</v>
      </c>
      <c r="F5012" t="s">
        <v>52</v>
      </c>
      <c r="G5012" t="s">
        <v>53</v>
      </c>
      <c r="H5012">
        <v>0</v>
      </c>
      <c r="I5012">
        <v>0</v>
      </c>
      <c r="J5012" t="s">
        <v>53</v>
      </c>
      <c r="K5012" t="s">
        <v>53</v>
      </c>
      <c r="L5012" t="s">
        <v>53</v>
      </c>
      <c r="M5012" t="s">
        <v>53</v>
      </c>
    </row>
    <row r="5013" spans="1:13" x14ac:dyDescent="0.2">
      <c r="A5013" t="s">
        <v>6410</v>
      </c>
      <c r="B5013" t="s">
        <v>17</v>
      </c>
      <c r="C5013" t="s">
        <v>1</v>
      </c>
      <c r="D5013" t="s">
        <v>3570</v>
      </c>
      <c r="E5013" t="s">
        <v>3571</v>
      </c>
      <c r="F5013" t="s">
        <v>52</v>
      </c>
      <c r="G5013" t="s">
        <v>53</v>
      </c>
      <c r="H5013">
        <v>0</v>
      </c>
      <c r="I5013">
        <v>0</v>
      </c>
      <c r="J5013" t="s">
        <v>53</v>
      </c>
      <c r="K5013" t="s">
        <v>53</v>
      </c>
      <c r="L5013" t="s">
        <v>53</v>
      </c>
      <c r="M5013" t="s">
        <v>53</v>
      </c>
    </row>
    <row r="5014" spans="1:13" x14ac:dyDescent="0.2">
      <c r="A5014" t="s">
        <v>6411</v>
      </c>
      <c r="B5014" t="s">
        <v>17</v>
      </c>
      <c r="C5014" t="s">
        <v>1</v>
      </c>
      <c r="D5014" t="s">
        <v>3576</v>
      </c>
      <c r="E5014" t="s">
        <v>3577</v>
      </c>
      <c r="F5014" t="s">
        <v>52</v>
      </c>
      <c r="G5014" t="s">
        <v>53</v>
      </c>
      <c r="H5014" t="s">
        <v>53</v>
      </c>
      <c r="I5014">
        <v>0</v>
      </c>
      <c r="J5014" t="s">
        <v>53</v>
      </c>
      <c r="K5014" t="s">
        <v>53</v>
      </c>
      <c r="L5014" t="s">
        <v>53</v>
      </c>
      <c r="M5014" t="s">
        <v>53</v>
      </c>
    </row>
    <row r="5015" spans="1:13" x14ac:dyDescent="0.2">
      <c r="A5015" t="s">
        <v>6412</v>
      </c>
      <c r="B5015" t="s">
        <v>17</v>
      </c>
      <c r="C5015" t="s">
        <v>1</v>
      </c>
      <c r="D5015" t="s">
        <v>3588</v>
      </c>
      <c r="E5015" t="s">
        <v>3589</v>
      </c>
      <c r="F5015" t="s">
        <v>52</v>
      </c>
      <c r="G5015">
        <v>16</v>
      </c>
      <c r="H5015">
        <v>7</v>
      </c>
      <c r="I5015">
        <v>13</v>
      </c>
      <c r="J5015">
        <v>36</v>
      </c>
      <c r="K5015" s="482">
        <v>0.44400000000000001</v>
      </c>
      <c r="L5015" s="482">
        <v>0.19400000000000001</v>
      </c>
      <c r="M5015" s="482">
        <v>0.36099999999999999</v>
      </c>
    </row>
    <row r="5016" spans="1:13" x14ac:dyDescent="0.2">
      <c r="A5016" t="s">
        <v>6407</v>
      </c>
      <c r="B5016" t="s">
        <v>17</v>
      </c>
      <c r="C5016" t="s">
        <v>1</v>
      </c>
      <c r="D5016" t="s">
        <v>3558</v>
      </c>
      <c r="E5016" t="s">
        <v>3559</v>
      </c>
      <c r="F5016" t="s">
        <v>52</v>
      </c>
      <c r="G5016">
        <v>16</v>
      </c>
      <c r="H5016">
        <v>11</v>
      </c>
      <c r="I5016">
        <v>3</v>
      </c>
      <c r="J5016">
        <v>30</v>
      </c>
      <c r="K5016" s="482">
        <v>0.53300000000000003</v>
      </c>
      <c r="L5016" s="482">
        <v>0.36699999999999999</v>
      </c>
      <c r="M5016" s="482">
        <v>0.1</v>
      </c>
    </row>
    <row r="5017" spans="1:13" x14ac:dyDescent="0.2">
      <c r="A5017" t="s">
        <v>6403</v>
      </c>
      <c r="B5017" t="s">
        <v>17</v>
      </c>
      <c r="C5017" t="s">
        <v>1</v>
      </c>
      <c r="D5017" t="s">
        <v>3546</v>
      </c>
      <c r="E5017" t="s">
        <v>3547</v>
      </c>
      <c r="F5017" t="s">
        <v>52</v>
      </c>
      <c r="G5017" t="s">
        <v>53</v>
      </c>
      <c r="H5017">
        <v>0</v>
      </c>
      <c r="I5017" t="s">
        <v>53</v>
      </c>
      <c r="J5017" t="s">
        <v>53</v>
      </c>
      <c r="K5017" t="s">
        <v>53</v>
      </c>
      <c r="L5017" t="s">
        <v>53</v>
      </c>
      <c r="M5017" t="s">
        <v>53</v>
      </c>
    </row>
    <row r="5018" spans="1:13" x14ac:dyDescent="0.2">
      <c r="A5018" t="s">
        <v>6398</v>
      </c>
      <c r="B5018" t="s">
        <v>17</v>
      </c>
      <c r="C5018" t="s">
        <v>1</v>
      </c>
      <c r="D5018" t="s">
        <v>3517</v>
      </c>
      <c r="E5018" t="s">
        <v>3518</v>
      </c>
      <c r="F5018" t="s">
        <v>52</v>
      </c>
      <c r="G5018">
        <v>43</v>
      </c>
      <c r="H5018">
        <v>16</v>
      </c>
      <c r="I5018">
        <v>5</v>
      </c>
      <c r="J5018">
        <v>64</v>
      </c>
      <c r="K5018" s="482">
        <v>0.67200000000000004</v>
      </c>
      <c r="L5018" s="482">
        <v>0.25</v>
      </c>
      <c r="M5018" s="482">
        <v>7.8E-2</v>
      </c>
    </row>
    <row r="5019" spans="1:13" x14ac:dyDescent="0.2">
      <c r="A5019" t="s">
        <v>6402</v>
      </c>
      <c r="B5019" t="s">
        <v>17</v>
      </c>
      <c r="C5019" t="s">
        <v>1</v>
      </c>
      <c r="D5019" t="s">
        <v>3537</v>
      </c>
      <c r="E5019" t="s">
        <v>3538</v>
      </c>
      <c r="F5019" t="s">
        <v>52</v>
      </c>
      <c r="G5019">
        <v>18</v>
      </c>
      <c r="H5019">
        <v>18</v>
      </c>
      <c r="I5019">
        <v>7</v>
      </c>
      <c r="J5019">
        <v>43</v>
      </c>
      <c r="K5019" s="482">
        <v>0.41899999999999998</v>
      </c>
      <c r="L5019" s="482">
        <v>0.41899999999999998</v>
      </c>
      <c r="M5019" s="482">
        <v>0.16300000000000001</v>
      </c>
    </row>
    <row r="5020" spans="1:13" x14ac:dyDescent="0.2">
      <c r="A5020" t="s">
        <v>6647</v>
      </c>
      <c r="B5020" t="s">
        <v>17</v>
      </c>
      <c r="C5020" t="s">
        <v>1</v>
      </c>
      <c r="D5020" t="s">
        <v>3543</v>
      </c>
      <c r="E5020" t="s">
        <v>3544</v>
      </c>
      <c r="F5020" t="s">
        <v>52</v>
      </c>
      <c r="G5020">
        <v>5</v>
      </c>
      <c r="H5020">
        <v>9</v>
      </c>
      <c r="I5020">
        <v>7</v>
      </c>
      <c r="J5020">
        <v>21</v>
      </c>
      <c r="K5020" s="482">
        <v>0.23799999999999999</v>
      </c>
      <c r="L5020" s="482">
        <v>0.42899999999999999</v>
      </c>
      <c r="M5020" s="482">
        <v>0.33300000000000002</v>
      </c>
    </row>
    <row r="5021" spans="1:13" x14ac:dyDescent="0.2">
      <c r="A5021" t="s">
        <v>6648</v>
      </c>
      <c r="B5021" t="s">
        <v>17</v>
      </c>
      <c r="C5021" t="s">
        <v>1</v>
      </c>
      <c r="D5021" t="s">
        <v>3278</v>
      </c>
      <c r="E5021" t="s">
        <v>6578</v>
      </c>
      <c r="F5021" t="s">
        <v>52</v>
      </c>
      <c r="G5021">
        <v>18</v>
      </c>
      <c r="H5021">
        <v>14</v>
      </c>
      <c r="I5021">
        <v>7</v>
      </c>
      <c r="J5021">
        <v>39</v>
      </c>
      <c r="K5021" s="482">
        <v>0.46200000000000002</v>
      </c>
      <c r="L5021" s="482">
        <v>0.35899999999999999</v>
      </c>
      <c r="M5021" s="482">
        <v>0.17899999999999999</v>
      </c>
    </row>
    <row r="5022" spans="1:13" x14ac:dyDescent="0.2">
      <c r="A5022" t="s">
        <v>6362</v>
      </c>
      <c r="B5022" t="s">
        <v>17</v>
      </c>
      <c r="C5022" t="s">
        <v>1</v>
      </c>
      <c r="D5022" t="s">
        <v>3216</v>
      </c>
      <c r="E5022" t="s">
        <v>3217</v>
      </c>
      <c r="F5022" t="s">
        <v>52</v>
      </c>
      <c r="G5022">
        <v>10</v>
      </c>
      <c r="H5022">
        <v>0</v>
      </c>
      <c r="I5022">
        <v>4</v>
      </c>
      <c r="J5022">
        <v>14</v>
      </c>
      <c r="K5022" s="482">
        <v>0.71399999999999997</v>
      </c>
      <c r="L5022" s="482">
        <v>0</v>
      </c>
      <c r="M5022" s="482">
        <v>0.28599999999999998</v>
      </c>
    </row>
    <row r="5023" spans="1:13" x14ac:dyDescent="0.2">
      <c r="A5023" t="s">
        <v>6363</v>
      </c>
      <c r="B5023" t="s">
        <v>17</v>
      </c>
      <c r="C5023" t="s">
        <v>1</v>
      </c>
      <c r="D5023" t="s">
        <v>3219</v>
      </c>
      <c r="E5023" t="s">
        <v>3220</v>
      </c>
      <c r="F5023" t="s">
        <v>52</v>
      </c>
      <c r="G5023">
        <v>11</v>
      </c>
      <c r="H5023">
        <v>4</v>
      </c>
      <c r="I5023">
        <v>2</v>
      </c>
      <c r="J5023">
        <v>17</v>
      </c>
      <c r="K5023" s="482">
        <v>0.64700000000000002</v>
      </c>
      <c r="L5023" s="482">
        <v>0.23499999999999999</v>
      </c>
      <c r="M5023" s="482">
        <v>0.11799999999999999</v>
      </c>
    </row>
    <row r="5024" spans="1:13" x14ac:dyDescent="0.2">
      <c r="A5024" t="s">
        <v>6364</v>
      </c>
      <c r="B5024" t="s">
        <v>17</v>
      </c>
      <c r="C5024" t="s">
        <v>1</v>
      </c>
      <c r="D5024" t="s">
        <v>3222</v>
      </c>
      <c r="E5024" t="s">
        <v>3223</v>
      </c>
      <c r="F5024" t="s">
        <v>52</v>
      </c>
      <c r="G5024" t="s">
        <v>53</v>
      </c>
      <c r="H5024">
        <v>0</v>
      </c>
      <c r="I5024">
        <v>0</v>
      </c>
      <c r="J5024" t="s">
        <v>53</v>
      </c>
      <c r="K5024" t="s">
        <v>53</v>
      </c>
      <c r="L5024" t="s">
        <v>53</v>
      </c>
      <c r="M5024" t="s">
        <v>53</v>
      </c>
    </row>
    <row r="5025" spans="1:13" x14ac:dyDescent="0.2">
      <c r="A5025" t="s">
        <v>6422</v>
      </c>
      <c r="B5025" t="s">
        <v>17</v>
      </c>
      <c r="C5025" t="s">
        <v>1</v>
      </c>
      <c r="D5025" t="s">
        <v>3651</v>
      </c>
      <c r="E5025" t="s">
        <v>3652</v>
      </c>
      <c r="F5025" t="s">
        <v>52</v>
      </c>
      <c r="G5025">
        <v>93</v>
      </c>
      <c r="H5025">
        <v>59</v>
      </c>
      <c r="I5025">
        <v>10</v>
      </c>
      <c r="J5025">
        <v>162</v>
      </c>
      <c r="K5025" s="482">
        <v>0.57399999999999995</v>
      </c>
      <c r="L5025" s="482">
        <v>0.36399999999999999</v>
      </c>
      <c r="M5025" s="482">
        <v>6.2E-2</v>
      </c>
    </row>
    <row r="5026" spans="1:13" x14ac:dyDescent="0.2">
      <c r="A5026" t="s">
        <v>6423</v>
      </c>
      <c r="B5026" t="s">
        <v>17</v>
      </c>
      <c r="C5026" t="s">
        <v>1</v>
      </c>
      <c r="D5026" t="s">
        <v>3657</v>
      </c>
      <c r="E5026" t="s">
        <v>3658</v>
      </c>
      <c r="F5026" t="s">
        <v>52</v>
      </c>
      <c r="G5026">
        <v>22</v>
      </c>
      <c r="H5026">
        <v>9</v>
      </c>
      <c r="I5026">
        <v>5</v>
      </c>
      <c r="J5026">
        <v>36</v>
      </c>
      <c r="K5026" s="482">
        <v>0.61099999999999999</v>
      </c>
      <c r="L5026" s="482">
        <v>0.25</v>
      </c>
      <c r="M5026" s="482">
        <v>0.13900000000000001</v>
      </c>
    </row>
    <row r="5027" spans="1:13" x14ac:dyDescent="0.2">
      <c r="A5027" t="s">
        <v>6421</v>
      </c>
      <c r="B5027" t="s">
        <v>17</v>
      </c>
      <c r="C5027" t="s">
        <v>1</v>
      </c>
      <c r="D5027" t="s">
        <v>3641</v>
      </c>
      <c r="E5027" t="s">
        <v>3642</v>
      </c>
      <c r="F5027" t="s">
        <v>52</v>
      </c>
      <c r="G5027">
        <v>37</v>
      </c>
      <c r="H5027">
        <v>21</v>
      </c>
      <c r="I5027">
        <v>13</v>
      </c>
      <c r="J5027">
        <v>71</v>
      </c>
      <c r="K5027" s="482">
        <v>0.52100000000000002</v>
      </c>
      <c r="L5027" s="482">
        <v>0.29599999999999999</v>
      </c>
      <c r="M5027" s="482">
        <v>0.183</v>
      </c>
    </row>
    <row r="5028" spans="1:13" x14ac:dyDescent="0.2">
      <c r="A5028" t="s">
        <v>6649</v>
      </c>
      <c r="B5028" t="s">
        <v>17</v>
      </c>
      <c r="C5028" t="s">
        <v>1</v>
      </c>
      <c r="D5028" t="s">
        <v>3643</v>
      </c>
      <c r="E5028" t="s">
        <v>6580</v>
      </c>
      <c r="F5028" t="s">
        <v>52</v>
      </c>
      <c r="G5028">
        <v>8</v>
      </c>
      <c r="H5028">
        <v>7</v>
      </c>
      <c r="I5028">
        <v>6</v>
      </c>
      <c r="J5028">
        <v>21</v>
      </c>
      <c r="K5028" s="482">
        <v>0.38100000000000001</v>
      </c>
      <c r="L5028" s="482">
        <v>0.33300000000000002</v>
      </c>
      <c r="M5028" s="482">
        <v>0.28599999999999998</v>
      </c>
    </row>
    <row r="5029" spans="1:13" x14ac:dyDescent="0.2">
      <c r="A5029" t="s">
        <v>6424</v>
      </c>
      <c r="B5029" t="s">
        <v>17</v>
      </c>
      <c r="C5029" t="s">
        <v>1</v>
      </c>
      <c r="D5029" t="s">
        <v>3660</v>
      </c>
      <c r="E5029" t="s">
        <v>3661</v>
      </c>
      <c r="F5029" t="s">
        <v>52</v>
      </c>
      <c r="G5029" t="s">
        <v>53</v>
      </c>
      <c r="H5029" t="s">
        <v>53</v>
      </c>
      <c r="I5029">
        <v>0</v>
      </c>
      <c r="J5029" t="s">
        <v>53</v>
      </c>
      <c r="K5029" t="s">
        <v>53</v>
      </c>
      <c r="L5029" t="s">
        <v>53</v>
      </c>
      <c r="M5029" t="s">
        <v>53</v>
      </c>
    </row>
    <row r="5030" spans="1:13" x14ac:dyDescent="0.2">
      <c r="A5030" t="s">
        <v>6425</v>
      </c>
      <c r="B5030" t="s">
        <v>17</v>
      </c>
      <c r="C5030" t="s">
        <v>1</v>
      </c>
      <c r="D5030" t="s">
        <v>3663</v>
      </c>
      <c r="E5030" t="s">
        <v>3664</v>
      </c>
      <c r="F5030" t="s">
        <v>52</v>
      </c>
      <c r="G5030">
        <v>11</v>
      </c>
      <c r="H5030">
        <v>4</v>
      </c>
      <c r="I5030">
        <v>8</v>
      </c>
      <c r="J5030">
        <v>23</v>
      </c>
      <c r="K5030" s="482">
        <v>0.47799999999999998</v>
      </c>
      <c r="L5030" s="482">
        <v>0.17399999999999999</v>
      </c>
      <c r="M5030" s="482">
        <v>0.34799999999999998</v>
      </c>
    </row>
    <row r="5031" spans="1:13" x14ac:dyDescent="0.2">
      <c r="A5031" t="s">
        <v>6426</v>
      </c>
      <c r="B5031" t="s">
        <v>17</v>
      </c>
      <c r="C5031" t="s">
        <v>1</v>
      </c>
      <c r="D5031" t="s">
        <v>3669</v>
      </c>
      <c r="E5031" t="s">
        <v>3670</v>
      </c>
      <c r="F5031" t="s">
        <v>52</v>
      </c>
      <c r="G5031">
        <v>32</v>
      </c>
      <c r="H5031">
        <v>15</v>
      </c>
      <c r="I5031">
        <v>9</v>
      </c>
      <c r="J5031">
        <v>56</v>
      </c>
      <c r="K5031" s="482">
        <v>0.57099999999999995</v>
      </c>
      <c r="L5031" s="482">
        <v>0.26800000000000002</v>
      </c>
      <c r="M5031" s="482">
        <v>0.161</v>
      </c>
    </row>
    <row r="5032" spans="1:13" x14ac:dyDescent="0.2">
      <c r="A5032" t="s">
        <v>6427</v>
      </c>
      <c r="B5032" t="s">
        <v>17</v>
      </c>
      <c r="C5032" t="s">
        <v>1</v>
      </c>
      <c r="D5032" t="s">
        <v>3672</v>
      </c>
      <c r="E5032" t="s">
        <v>3673</v>
      </c>
      <c r="F5032" t="s">
        <v>52</v>
      </c>
      <c r="G5032">
        <v>23</v>
      </c>
      <c r="H5032">
        <v>12</v>
      </c>
      <c r="I5032">
        <v>8</v>
      </c>
      <c r="J5032">
        <v>43</v>
      </c>
      <c r="K5032" s="482">
        <v>0.53500000000000003</v>
      </c>
      <c r="L5032" s="482">
        <v>0.27900000000000003</v>
      </c>
      <c r="M5032" s="482">
        <v>0.186</v>
      </c>
    </row>
    <row r="5033" spans="1:13" x14ac:dyDescent="0.2">
      <c r="A5033" t="s">
        <v>6367</v>
      </c>
      <c r="B5033" t="s">
        <v>17</v>
      </c>
      <c r="C5033" t="s">
        <v>1</v>
      </c>
      <c r="D5033" t="s">
        <v>3270</v>
      </c>
      <c r="E5033" t="s">
        <v>3271</v>
      </c>
      <c r="F5033" t="s">
        <v>52</v>
      </c>
      <c r="G5033" t="s">
        <v>53</v>
      </c>
      <c r="H5033">
        <v>0</v>
      </c>
      <c r="I5033">
        <v>0</v>
      </c>
      <c r="J5033" t="s">
        <v>53</v>
      </c>
      <c r="K5033" t="s">
        <v>53</v>
      </c>
      <c r="L5033" t="s">
        <v>53</v>
      </c>
      <c r="M5033" t="s">
        <v>53</v>
      </c>
    </row>
    <row r="5034" spans="1:13" x14ac:dyDescent="0.2">
      <c r="A5034" t="s">
        <v>6467</v>
      </c>
      <c r="B5034" t="s">
        <v>17</v>
      </c>
      <c r="C5034" t="s">
        <v>1</v>
      </c>
      <c r="D5034" t="s">
        <v>3832</v>
      </c>
      <c r="E5034" t="s">
        <v>3833</v>
      </c>
      <c r="F5034" t="s">
        <v>52</v>
      </c>
      <c r="G5034">
        <v>1</v>
      </c>
      <c r="H5034">
        <v>1</v>
      </c>
      <c r="I5034">
        <v>4</v>
      </c>
      <c r="J5034">
        <v>6</v>
      </c>
      <c r="K5034" s="482">
        <v>0.16700000000000001</v>
      </c>
      <c r="L5034" s="482">
        <v>0.16700000000000001</v>
      </c>
      <c r="M5034" s="482">
        <v>0.66700000000000004</v>
      </c>
    </row>
    <row r="5035" spans="1:13" x14ac:dyDescent="0.2">
      <c r="A5035" t="s">
        <v>6400</v>
      </c>
      <c r="B5035" t="s">
        <v>17</v>
      </c>
      <c r="C5035" t="s">
        <v>1</v>
      </c>
      <c r="D5035" t="s">
        <v>3706</v>
      </c>
      <c r="E5035" t="s">
        <v>3707</v>
      </c>
      <c r="F5035" t="s">
        <v>52</v>
      </c>
      <c r="G5035">
        <v>7</v>
      </c>
      <c r="H5035">
        <v>3</v>
      </c>
      <c r="I5035">
        <v>2</v>
      </c>
      <c r="J5035">
        <v>12</v>
      </c>
      <c r="K5035" s="482">
        <v>0.58299999999999996</v>
      </c>
      <c r="L5035" s="482">
        <v>0.25</v>
      </c>
      <c r="M5035" s="482">
        <v>0.16700000000000001</v>
      </c>
    </row>
    <row r="5036" spans="1:13" x14ac:dyDescent="0.2">
      <c r="A5036" t="s">
        <v>6401</v>
      </c>
      <c r="B5036" t="s">
        <v>17</v>
      </c>
      <c r="C5036" t="s">
        <v>1</v>
      </c>
      <c r="D5036" t="s">
        <v>3531</v>
      </c>
      <c r="E5036" t="s">
        <v>3532</v>
      </c>
      <c r="F5036" t="s">
        <v>52</v>
      </c>
      <c r="G5036">
        <v>6</v>
      </c>
      <c r="H5036">
        <v>4</v>
      </c>
      <c r="I5036">
        <v>5</v>
      </c>
      <c r="J5036">
        <v>15</v>
      </c>
      <c r="K5036" s="482">
        <v>0.4</v>
      </c>
      <c r="L5036" s="482">
        <v>0.26700000000000002</v>
      </c>
      <c r="M5036" s="482">
        <v>0.33300000000000002</v>
      </c>
    </row>
    <row r="5037" spans="1:13" x14ac:dyDescent="0.2">
      <c r="A5037" t="s">
        <v>6435</v>
      </c>
      <c r="B5037" t="s">
        <v>17</v>
      </c>
      <c r="C5037" t="s">
        <v>1</v>
      </c>
      <c r="D5037" t="s">
        <v>3721</v>
      </c>
      <c r="E5037" t="s">
        <v>3722</v>
      </c>
      <c r="F5037" t="s">
        <v>52</v>
      </c>
      <c r="G5037">
        <v>11</v>
      </c>
      <c r="H5037">
        <v>13</v>
      </c>
      <c r="I5037">
        <v>2</v>
      </c>
      <c r="J5037">
        <v>26</v>
      </c>
      <c r="K5037" s="482">
        <v>0.42299999999999999</v>
      </c>
      <c r="L5037" s="482">
        <v>0.5</v>
      </c>
      <c r="M5037" s="482">
        <v>7.6999999999999999E-2</v>
      </c>
    </row>
    <row r="5038" spans="1:13" x14ac:dyDescent="0.2">
      <c r="A5038" t="s">
        <v>6436</v>
      </c>
      <c r="B5038" t="s">
        <v>17</v>
      </c>
      <c r="C5038" t="s">
        <v>1</v>
      </c>
      <c r="D5038" t="s">
        <v>3724</v>
      </c>
      <c r="E5038" t="s">
        <v>3725</v>
      </c>
      <c r="F5038" t="s">
        <v>52</v>
      </c>
      <c r="G5038">
        <v>3</v>
      </c>
      <c r="H5038">
        <v>2</v>
      </c>
      <c r="I5038">
        <v>2</v>
      </c>
      <c r="J5038">
        <v>7</v>
      </c>
      <c r="K5038" s="482">
        <v>0.42899999999999999</v>
      </c>
      <c r="L5038" s="482">
        <v>0.28599999999999998</v>
      </c>
      <c r="M5038" s="482">
        <v>0.28599999999999998</v>
      </c>
    </row>
    <row r="5039" spans="1:13" x14ac:dyDescent="0.2">
      <c r="A5039" t="s">
        <v>6437</v>
      </c>
      <c r="B5039" t="s">
        <v>17</v>
      </c>
      <c r="C5039" t="s">
        <v>1</v>
      </c>
      <c r="D5039" t="s">
        <v>3727</v>
      </c>
      <c r="E5039" t="s">
        <v>3728</v>
      </c>
      <c r="F5039" t="s">
        <v>52</v>
      </c>
      <c r="G5039">
        <v>13</v>
      </c>
      <c r="H5039">
        <v>6</v>
      </c>
      <c r="I5039">
        <v>5</v>
      </c>
      <c r="J5039">
        <v>24</v>
      </c>
      <c r="K5039" s="482">
        <v>0.54200000000000004</v>
      </c>
      <c r="L5039" s="482">
        <v>0.25</v>
      </c>
      <c r="M5039" s="482">
        <v>0.20799999999999999</v>
      </c>
    </row>
    <row r="5040" spans="1:13" x14ac:dyDescent="0.2">
      <c r="A5040" t="s">
        <v>6438</v>
      </c>
      <c r="B5040" t="s">
        <v>17</v>
      </c>
      <c r="C5040" t="s">
        <v>1</v>
      </c>
      <c r="D5040" t="s">
        <v>3730</v>
      </c>
      <c r="E5040" t="s">
        <v>3731</v>
      </c>
      <c r="F5040" t="s">
        <v>52</v>
      </c>
      <c r="G5040">
        <v>5</v>
      </c>
      <c r="H5040">
        <v>4</v>
      </c>
      <c r="I5040">
        <v>4</v>
      </c>
      <c r="J5040">
        <v>13</v>
      </c>
      <c r="K5040" s="482">
        <v>0.38500000000000001</v>
      </c>
      <c r="L5040" s="482">
        <v>0.308</v>
      </c>
      <c r="M5040" s="482">
        <v>0.308</v>
      </c>
    </row>
    <row r="5041" spans="1:13" x14ac:dyDescent="0.2">
      <c r="A5041" t="s">
        <v>6439</v>
      </c>
      <c r="B5041" t="s">
        <v>17</v>
      </c>
      <c r="C5041" t="s">
        <v>1</v>
      </c>
      <c r="D5041" t="s">
        <v>3733</v>
      </c>
      <c r="E5041" t="s">
        <v>3734</v>
      </c>
      <c r="F5041" t="s">
        <v>52</v>
      </c>
      <c r="G5041">
        <v>64</v>
      </c>
      <c r="H5041">
        <v>32</v>
      </c>
      <c r="I5041">
        <v>22</v>
      </c>
      <c r="J5041">
        <v>118</v>
      </c>
      <c r="K5041" s="482">
        <v>0.54200000000000004</v>
      </c>
      <c r="L5041" s="482">
        <v>0.27100000000000002</v>
      </c>
      <c r="M5041" s="482">
        <v>0.186</v>
      </c>
    </row>
    <row r="5042" spans="1:13" x14ac:dyDescent="0.2">
      <c r="A5042" t="s">
        <v>6432</v>
      </c>
      <c r="B5042" t="s">
        <v>17</v>
      </c>
      <c r="C5042" t="s">
        <v>1</v>
      </c>
      <c r="D5042" t="s">
        <v>3712</v>
      </c>
      <c r="E5042" t="s">
        <v>3713</v>
      </c>
      <c r="F5042" t="s">
        <v>52</v>
      </c>
      <c r="G5042">
        <v>11</v>
      </c>
      <c r="H5042">
        <v>11</v>
      </c>
      <c r="I5042">
        <v>4</v>
      </c>
      <c r="J5042">
        <v>26</v>
      </c>
      <c r="K5042" s="482">
        <v>0.42299999999999999</v>
      </c>
      <c r="L5042" s="482">
        <v>0.42299999999999999</v>
      </c>
      <c r="M5042" s="482">
        <v>0.154</v>
      </c>
    </row>
    <row r="5043" spans="1:13" x14ac:dyDescent="0.2">
      <c r="A5043" t="s">
        <v>6488</v>
      </c>
      <c r="B5043" t="s">
        <v>17</v>
      </c>
      <c r="C5043" t="s">
        <v>1</v>
      </c>
      <c r="D5043" t="s">
        <v>4558</v>
      </c>
      <c r="E5043" t="s">
        <v>4559</v>
      </c>
      <c r="F5043" t="s">
        <v>52</v>
      </c>
      <c r="G5043">
        <v>92</v>
      </c>
      <c r="H5043">
        <v>50</v>
      </c>
      <c r="I5043">
        <v>48</v>
      </c>
      <c r="J5043">
        <v>190</v>
      </c>
      <c r="K5043" s="482">
        <v>0.48399999999999999</v>
      </c>
      <c r="L5043" s="482">
        <v>0.26300000000000001</v>
      </c>
      <c r="M5043" s="482">
        <v>0.253</v>
      </c>
    </row>
    <row r="5044" spans="1:13" x14ac:dyDescent="0.2">
      <c r="A5044" t="s">
        <v>6487</v>
      </c>
      <c r="B5044" t="s">
        <v>17</v>
      </c>
      <c r="C5044" t="s">
        <v>1</v>
      </c>
      <c r="D5044" t="s">
        <v>3909</v>
      </c>
      <c r="E5044" t="s">
        <v>3910</v>
      </c>
      <c r="F5044" t="s">
        <v>52</v>
      </c>
      <c r="G5044">
        <v>55</v>
      </c>
      <c r="H5044">
        <v>25</v>
      </c>
      <c r="I5044">
        <v>18</v>
      </c>
      <c r="J5044">
        <v>98</v>
      </c>
      <c r="K5044" s="482">
        <v>0.56100000000000005</v>
      </c>
      <c r="L5044" s="482">
        <v>0.255</v>
      </c>
      <c r="M5044" s="482">
        <v>0.184</v>
      </c>
    </row>
    <row r="5045" spans="1:13" x14ac:dyDescent="0.2">
      <c r="A5045" t="s">
        <v>6489</v>
      </c>
      <c r="B5045" t="s">
        <v>17</v>
      </c>
      <c r="C5045" t="s">
        <v>1</v>
      </c>
      <c r="D5045" t="s">
        <v>3915</v>
      </c>
      <c r="E5045" t="s">
        <v>3916</v>
      </c>
      <c r="F5045" t="s">
        <v>52</v>
      </c>
      <c r="G5045">
        <v>11</v>
      </c>
      <c r="H5045">
        <v>9</v>
      </c>
      <c r="I5045">
        <v>4</v>
      </c>
      <c r="J5045">
        <v>24</v>
      </c>
      <c r="K5045" s="482">
        <v>0.45800000000000002</v>
      </c>
      <c r="L5045" s="482">
        <v>0.375</v>
      </c>
      <c r="M5045" s="482">
        <v>0.16700000000000001</v>
      </c>
    </row>
    <row r="5046" spans="1:13" x14ac:dyDescent="0.2">
      <c r="A5046" t="s">
        <v>6492</v>
      </c>
      <c r="B5046" t="s">
        <v>17</v>
      </c>
      <c r="C5046" t="s">
        <v>1</v>
      </c>
      <c r="D5046" t="s">
        <v>3918</v>
      </c>
      <c r="E5046" t="s">
        <v>3919</v>
      </c>
      <c r="F5046" t="s">
        <v>52</v>
      </c>
      <c r="G5046" t="s">
        <v>53</v>
      </c>
      <c r="H5046" t="s">
        <v>53</v>
      </c>
      <c r="I5046">
        <v>0</v>
      </c>
      <c r="J5046" t="s">
        <v>53</v>
      </c>
      <c r="K5046" t="s">
        <v>53</v>
      </c>
      <c r="L5046" t="s">
        <v>53</v>
      </c>
      <c r="M5046" t="s">
        <v>53</v>
      </c>
    </row>
    <row r="5047" spans="1:13" x14ac:dyDescent="0.2">
      <c r="A5047" t="s">
        <v>6409</v>
      </c>
      <c r="B5047" t="s">
        <v>17</v>
      </c>
      <c r="C5047" t="s">
        <v>1</v>
      </c>
      <c r="D5047" t="s">
        <v>3924</v>
      </c>
      <c r="E5047" t="s">
        <v>3925</v>
      </c>
      <c r="F5047" t="s">
        <v>52</v>
      </c>
      <c r="G5047">
        <v>16</v>
      </c>
      <c r="H5047">
        <v>23</v>
      </c>
      <c r="I5047">
        <v>7</v>
      </c>
      <c r="J5047">
        <v>46</v>
      </c>
      <c r="K5047" s="482">
        <v>0.34799999999999998</v>
      </c>
      <c r="L5047" s="482">
        <v>0.5</v>
      </c>
      <c r="M5047" s="482">
        <v>0.152</v>
      </c>
    </row>
    <row r="5048" spans="1:13" x14ac:dyDescent="0.2">
      <c r="A5048" t="s">
        <v>6491</v>
      </c>
      <c r="B5048" t="s">
        <v>17</v>
      </c>
      <c r="C5048" t="s">
        <v>1</v>
      </c>
      <c r="D5048" t="s">
        <v>3567</v>
      </c>
      <c r="E5048" t="s">
        <v>3568</v>
      </c>
      <c r="F5048" t="s">
        <v>52</v>
      </c>
      <c r="G5048">
        <v>4</v>
      </c>
      <c r="H5048">
        <v>6</v>
      </c>
      <c r="I5048">
        <v>1</v>
      </c>
      <c r="J5048">
        <v>11</v>
      </c>
      <c r="K5048" s="482">
        <v>0.36399999999999999</v>
      </c>
      <c r="L5048" s="482">
        <v>0.54500000000000004</v>
      </c>
      <c r="M5048" s="482">
        <v>9.0999999999999998E-2</v>
      </c>
    </row>
    <row r="5049" spans="1:13" x14ac:dyDescent="0.2">
      <c r="A5049" t="s">
        <v>6490</v>
      </c>
      <c r="B5049" t="s">
        <v>17</v>
      </c>
      <c r="C5049" t="s">
        <v>1</v>
      </c>
      <c r="D5049" t="s">
        <v>3930</v>
      </c>
      <c r="E5049" t="s">
        <v>344</v>
      </c>
      <c r="F5049" t="s">
        <v>52</v>
      </c>
      <c r="G5049">
        <v>122</v>
      </c>
      <c r="H5049">
        <v>71</v>
      </c>
      <c r="I5049">
        <v>38</v>
      </c>
      <c r="J5049">
        <v>231</v>
      </c>
      <c r="K5049" s="482">
        <v>0.52800000000000002</v>
      </c>
      <c r="L5049" s="482">
        <v>0.307</v>
      </c>
      <c r="M5049" s="482">
        <v>0.16500000000000001</v>
      </c>
    </row>
    <row r="5050" spans="1:13" x14ac:dyDescent="0.2">
      <c r="A5050" t="s">
        <v>6399</v>
      </c>
      <c r="B5050" t="s">
        <v>17</v>
      </c>
      <c r="C5050" t="s">
        <v>1</v>
      </c>
      <c r="D5050" t="s">
        <v>3522</v>
      </c>
      <c r="E5050" t="s">
        <v>3523</v>
      </c>
      <c r="F5050" t="s">
        <v>52</v>
      </c>
      <c r="G5050">
        <v>46</v>
      </c>
      <c r="H5050">
        <v>28</v>
      </c>
      <c r="I5050">
        <v>15</v>
      </c>
      <c r="J5050">
        <v>89</v>
      </c>
      <c r="K5050" s="482">
        <v>0.51700000000000002</v>
      </c>
      <c r="L5050" s="482">
        <v>0.315</v>
      </c>
      <c r="M5050" s="482">
        <v>0.16900000000000001</v>
      </c>
    </row>
    <row r="5051" spans="1:13" x14ac:dyDescent="0.2">
      <c r="A5051" t="s">
        <v>6415</v>
      </c>
      <c r="B5051" t="s">
        <v>17</v>
      </c>
      <c r="C5051" t="s">
        <v>1</v>
      </c>
      <c r="D5051" t="s">
        <v>3528</v>
      </c>
      <c r="E5051" t="s">
        <v>3529</v>
      </c>
      <c r="F5051" t="s">
        <v>52</v>
      </c>
      <c r="G5051">
        <v>10</v>
      </c>
      <c r="H5051">
        <v>2</v>
      </c>
      <c r="I5051">
        <v>1</v>
      </c>
      <c r="J5051">
        <v>13</v>
      </c>
      <c r="K5051" s="482">
        <v>0.76900000000000002</v>
      </c>
      <c r="L5051" s="482">
        <v>0.154</v>
      </c>
      <c r="M5051" s="482">
        <v>7.6999999999999999E-2</v>
      </c>
    </row>
    <row r="5052" spans="1:13" x14ac:dyDescent="0.2">
      <c r="A5052" t="s">
        <v>6416</v>
      </c>
      <c r="B5052" t="s">
        <v>17</v>
      </c>
      <c r="C5052" t="s">
        <v>1</v>
      </c>
      <c r="D5052" t="s">
        <v>3627</v>
      </c>
      <c r="E5052" t="s">
        <v>3628</v>
      </c>
      <c r="F5052" t="s">
        <v>52</v>
      </c>
      <c r="G5052">
        <v>5</v>
      </c>
      <c r="H5052">
        <v>2</v>
      </c>
      <c r="I5052">
        <v>1</v>
      </c>
      <c r="J5052">
        <v>8</v>
      </c>
      <c r="K5052" s="482">
        <v>0.625</v>
      </c>
      <c r="L5052" s="482">
        <v>0.25</v>
      </c>
      <c r="M5052" s="482">
        <v>0.125</v>
      </c>
    </row>
    <row r="5053" spans="1:13" x14ac:dyDescent="0.2">
      <c r="A5053" t="s">
        <v>6417</v>
      </c>
      <c r="B5053" t="s">
        <v>17</v>
      </c>
      <c r="C5053" t="s">
        <v>1</v>
      </c>
      <c r="D5053" t="s">
        <v>3630</v>
      </c>
      <c r="E5053" t="s">
        <v>3631</v>
      </c>
      <c r="F5053" t="s">
        <v>52</v>
      </c>
      <c r="G5053">
        <v>1</v>
      </c>
      <c r="H5053">
        <v>4</v>
      </c>
      <c r="I5053">
        <v>1</v>
      </c>
      <c r="J5053">
        <v>6</v>
      </c>
      <c r="K5053" s="482">
        <v>0.16700000000000001</v>
      </c>
      <c r="L5053" s="482">
        <v>0.66700000000000004</v>
      </c>
      <c r="M5053" s="482">
        <v>0.16700000000000001</v>
      </c>
    </row>
    <row r="5054" spans="1:13" x14ac:dyDescent="0.2">
      <c r="A5054" t="s">
        <v>6418</v>
      </c>
      <c r="B5054" t="s">
        <v>17</v>
      </c>
      <c r="C5054" t="s">
        <v>1</v>
      </c>
      <c r="D5054" t="s">
        <v>3633</v>
      </c>
      <c r="E5054" t="s">
        <v>342</v>
      </c>
      <c r="F5054" t="s">
        <v>52</v>
      </c>
      <c r="G5054">
        <v>9</v>
      </c>
      <c r="H5054">
        <v>4</v>
      </c>
      <c r="I5054">
        <v>4</v>
      </c>
      <c r="J5054">
        <v>17</v>
      </c>
      <c r="K5054" s="482">
        <v>0.52900000000000003</v>
      </c>
      <c r="L5054" s="482">
        <v>0.23499999999999999</v>
      </c>
      <c r="M5054" s="482">
        <v>0.23499999999999999</v>
      </c>
    </row>
    <row r="5055" spans="1:13" x14ac:dyDescent="0.2">
      <c r="A5055" t="s">
        <v>6419</v>
      </c>
      <c r="B5055" t="s">
        <v>17</v>
      </c>
      <c r="C5055" t="s">
        <v>1</v>
      </c>
      <c r="D5055" t="s">
        <v>3635</v>
      </c>
      <c r="E5055" t="s">
        <v>3636</v>
      </c>
      <c r="F5055" t="s">
        <v>52</v>
      </c>
      <c r="G5055">
        <v>17</v>
      </c>
      <c r="H5055">
        <v>7</v>
      </c>
      <c r="I5055">
        <v>9</v>
      </c>
      <c r="J5055">
        <v>33</v>
      </c>
      <c r="K5055" s="482">
        <v>0.51500000000000001</v>
      </c>
      <c r="L5055" s="482">
        <v>0.21199999999999999</v>
      </c>
      <c r="M5055" s="482">
        <v>0.27300000000000002</v>
      </c>
    </row>
    <row r="5056" spans="1:13" x14ac:dyDescent="0.2">
      <c r="A5056" t="s">
        <v>6420</v>
      </c>
      <c r="B5056" t="s">
        <v>17</v>
      </c>
      <c r="C5056" t="s">
        <v>1</v>
      </c>
      <c r="D5056" t="s">
        <v>3638</v>
      </c>
      <c r="E5056" t="s">
        <v>3639</v>
      </c>
      <c r="F5056" t="s">
        <v>52</v>
      </c>
      <c r="G5056">
        <v>2</v>
      </c>
      <c r="H5056">
        <v>2</v>
      </c>
      <c r="I5056">
        <v>3</v>
      </c>
      <c r="J5056">
        <v>7</v>
      </c>
      <c r="K5056" s="482">
        <v>0.28599999999999998</v>
      </c>
      <c r="L5056" s="482">
        <v>0.28599999999999998</v>
      </c>
      <c r="M5056" s="482">
        <v>0.42899999999999999</v>
      </c>
    </row>
    <row r="5057" spans="1:13" x14ac:dyDescent="0.2">
      <c r="A5057" t="s">
        <v>6650</v>
      </c>
      <c r="B5057" t="s">
        <v>17</v>
      </c>
      <c r="C5057" t="s">
        <v>1</v>
      </c>
      <c r="D5057" t="s">
        <v>3480</v>
      </c>
      <c r="E5057" t="s">
        <v>6584</v>
      </c>
      <c r="F5057" t="s">
        <v>52</v>
      </c>
      <c r="G5057" t="s">
        <v>53</v>
      </c>
      <c r="H5057" t="s">
        <v>53</v>
      </c>
      <c r="I5057">
        <v>0</v>
      </c>
      <c r="J5057" t="s">
        <v>53</v>
      </c>
      <c r="K5057" t="s">
        <v>53</v>
      </c>
      <c r="L5057" t="s">
        <v>53</v>
      </c>
      <c r="M5057" t="s">
        <v>53</v>
      </c>
    </row>
    <row r="5058" spans="1:13" x14ac:dyDescent="0.2">
      <c r="A5058" t="s">
        <v>6445</v>
      </c>
      <c r="B5058" t="s">
        <v>17</v>
      </c>
      <c r="C5058" t="s">
        <v>1</v>
      </c>
      <c r="D5058" t="s">
        <v>3763</v>
      </c>
      <c r="E5058" t="s">
        <v>3764</v>
      </c>
      <c r="F5058" t="s">
        <v>52</v>
      </c>
      <c r="G5058">
        <v>21</v>
      </c>
      <c r="H5058">
        <v>14</v>
      </c>
      <c r="I5058">
        <v>7</v>
      </c>
      <c r="J5058">
        <v>42</v>
      </c>
      <c r="K5058" s="482">
        <v>0.5</v>
      </c>
      <c r="L5058" s="482">
        <v>0.33300000000000002</v>
      </c>
      <c r="M5058" s="482">
        <v>0.16700000000000001</v>
      </c>
    </row>
    <row r="5059" spans="1:13" x14ac:dyDescent="0.2">
      <c r="A5059" t="s">
        <v>6446</v>
      </c>
      <c r="B5059" t="s">
        <v>17</v>
      </c>
      <c r="C5059" t="s">
        <v>1</v>
      </c>
      <c r="D5059" t="s">
        <v>4506</v>
      </c>
      <c r="E5059" t="s">
        <v>4507</v>
      </c>
      <c r="F5059" t="s">
        <v>52</v>
      </c>
      <c r="G5059" t="s">
        <v>53</v>
      </c>
      <c r="H5059" t="s">
        <v>53</v>
      </c>
      <c r="I5059">
        <v>0</v>
      </c>
      <c r="J5059" t="s">
        <v>53</v>
      </c>
      <c r="K5059" t="s">
        <v>53</v>
      </c>
      <c r="L5059" t="s">
        <v>53</v>
      </c>
      <c r="M5059" t="s">
        <v>53</v>
      </c>
    </row>
    <row r="5060" spans="1:13" x14ac:dyDescent="0.2">
      <c r="A5060" t="s">
        <v>6447</v>
      </c>
      <c r="B5060" t="s">
        <v>17</v>
      </c>
      <c r="C5060" t="s">
        <v>1</v>
      </c>
      <c r="D5060" t="s">
        <v>3766</v>
      </c>
      <c r="E5060" t="s">
        <v>3767</v>
      </c>
      <c r="F5060" t="s">
        <v>52</v>
      </c>
      <c r="G5060">
        <v>36</v>
      </c>
      <c r="H5060">
        <v>19</v>
      </c>
      <c r="I5060">
        <v>11</v>
      </c>
      <c r="J5060">
        <v>66</v>
      </c>
      <c r="K5060" s="482">
        <v>0.54500000000000004</v>
      </c>
      <c r="L5060" s="482">
        <v>0.28799999999999998</v>
      </c>
      <c r="M5060" s="482">
        <v>0.16700000000000001</v>
      </c>
    </row>
    <row r="5061" spans="1:13" x14ac:dyDescent="0.2">
      <c r="A5061" t="s">
        <v>6448</v>
      </c>
      <c r="B5061" t="s">
        <v>17</v>
      </c>
      <c r="C5061" t="s">
        <v>1</v>
      </c>
      <c r="D5061" t="s">
        <v>3769</v>
      </c>
      <c r="E5061" t="s">
        <v>3770</v>
      </c>
      <c r="F5061" t="s">
        <v>52</v>
      </c>
      <c r="G5061">
        <v>64</v>
      </c>
      <c r="H5061">
        <v>39</v>
      </c>
      <c r="I5061">
        <v>15</v>
      </c>
      <c r="J5061">
        <v>118</v>
      </c>
      <c r="K5061" s="482">
        <v>0.54200000000000004</v>
      </c>
      <c r="L5061" s="482">
        <v>0.33100000000000002</v>
      </c>
      <c r="M5061" s="482">
        <v>0.127</v>
      </c>
    </row>
    <row r="5062" spans="1:13" x14ac:dyDescent="0.2">
      <c r="A5062" t="s">
        <v>6449</v>
      </c>
      <c r="B5062" t="s">
        <v>17</v>
      </c>
      <c r="C5062" t="s">
        <v>1</v>
      </c>
      <c r="D5062" t="s">
        <v>3775</v>
      </c>
      <c r="E5062" t="s">
        <v>3776</v>
      </c>
      <c r="F5062" t="s">
        <v>52</v>
      </c>
      <c r="G5062" t="s">
        <v>53</v>
      </c>
      <c r="H5062">
        <v>0</v>
      </c>
      <c r="I5062" t="s">
        <v>53</v>
      </c>
      <c r="J5062" t="s">
        <v>53</v>
      </c>
      <c r="K5062" t="s">
        <v>53</v>
      </c>
      <c r="L5062" t="s">
        <v>53</v>
      </c>
      <c r="M5062" t="s">
        <v>53</v>
      </c>
    </row>
    <row r="5063" spans="1:13" x14ac:dyDescent="0.2">
      <c r="A5063" t="s">
        <v>6450</v>
      </c>
      <c r="B5063" t="s">
        <v>17</v>
      </c>
      <c r="C5063" t="s">
        <v>1</v>
      </c>
      <c r="D5063" t="s">
        <v>3778</v>
      </c>
      <c r="E5063" t="s">
        <v>3779</v>
      </c>
      <c r="F5063" t="s">
        <v>52</v>
      </c>
      <c r="G5063">
        <v>10</v>
      </c>
      <c r="H5063">
        <v>6</v>
      </c>
      <c r="I5063">
        <v>3</v>
      </c>
      <c r="J5063">
        <v>19</v>
      </c>
      <c r="K5063" s="482">
        <v>0.52600000000000002</v>
      </c>
      <c r="L5063" s="482">
        <v>0.316</v>
      </c>
      <c r="M5063" s="482">
        <v>0.158</v>
      </c>
    </row>
    <row r="5064" spans="1:13" x14ac:dyDescent="0.2">
      <c r="A5064" t="s">
        <v>6433</v>
      </c>
      <c r="B5064" t="s">
        <v>17</v>
      </c>
      <c r="C5064" t="s">
        <v>1</v>
      </c>
      <c r="D5064" t="s">
        <v>3715</v>
      </c>
      <c r="E5064" t="s">
        <v>3716</v>
      </c>
      <c r="F5064" t="s">
        <v>52</v>
      </c>
      <c r="G5064">
        <v>7</v>
      </c>
      <c r="H5064">
        <v>6</v>
      </c>
      <c r="I5064">
        <v>0</v>
      </c>
      <c r="J5064">
        <v>13</v>
      </c>
      <c r="K5064" s="482">
        <v>0.53800000000000003</v>
      </c>
      <c r="L5064" s="482">
        <v>0.46200000000000002</v>
      </c>
      <c r="M5064" s="482">
        <v>0</v>
      </c>
    </row>
    <row r="5065" spans="1:13" x14ac:dyDescent="0.2">
      <c r="A5065" t="s">
        <v>6434</v>
      </c>
      <c r="B5065" t="s">
        <v>17</v>
      </c>
      <c r="C5065" t="s">
        <v>1</v>
      </c>
      <c r="D5065" t="s">
        <v>3718</v>
      </c>
      <c r="E5065" t="s">
        <v>3719</v>
      </c>
      <c r="F5065" t="s">
        <v>52</v>
      </c>
      <c r="G5065">
        <v>36</v>
      </c>
      <c r="H5065">
        <v>13</v>
      </c>
      <c r="I5065">
        <v>21</v>
      </c>
      <c r="J5065">
        <v>70</v>
      </c>
      <c r="K5065" s="482">
        <v>0.51400000000000001</v>
      </c>
      <c r="L5065" s="482">
        <v>0.186</v>
      </c>
      <c r="M5065" s="482">
        <v>0.3</v>
      </c>
    </row>
    <row r="5066" spans="1:13" x14ac:dyDescent="0.2">
      <c r="A5066" t="s">
        <v>6395</v>
      </c>
      <c r="B5066" t="s">
        <v>17</v>
      </c>
      <c r="C5066" t="s">
        <v>1</v>
      </c>
      <c r="D5066" t="s">
        <v>3509</v>
      </c>
      <c r="E5066" t="s">
        <v>3510</v>
      </c>
      <c r="F5066" t="s">
        <v>52</v>
      </c>
      <c r="G5066">
        <v>18</v>
      </c>
      <c r="H5066">
        <v>9</v>
      </c>
      <c r="I5066">
        <v>3</v>
      </c>
      <c r="J5066">
        <v>30</v>
      </c>
      <c r="K5066" s="482">
        <v>0.6</v>
      </c>
      <c r="L5066" s="482">
        <v>0.3</v>
      </c>
      <c r="M5066" s="482">
        <v>0.1</v>
      </c>
    </row>
    <row r="5067" spans="1:13" x14ac:dyDescent="0.2">
      <c r="A5067" t="s">
        <v>6394</v>
      </c>
      <c r="B5067" t="s">
        <v>17</v>
      </c>
      <c r="C5067" t="s">
        <v>1</v>
      </c>
      <c r="D5067" t="s">
        <v>3503</v>
      </c>
      <c r="E5067" t="s">
        <v>3504</v>
      </c>
      <c r="F5067" t="s">
        <v>52</v>
      </c>
      <c r="G5067" t="s">
        <v>53</v>
      </c>
      <c r="H5067" t="s">
        <v>53</v>
      </c>
      <c r="I5067" t="s">
        <v>53</v>
      </c>
      <c r="J5067" t="s">
        <v>53</v>
      </c>
      <c r="K5067" t="s">
        <v>53</v>
      </c>
      <c r="L5067" t="s">
        <v>53</v>
      </c>
      <c r="M5067" t="s">
        <v>53</v>
      </c>
    </row>
    <row r="5068" spans="1:13" x14ac:dyDescent="0.2">
      <c r="A5068" t="s">
        <v>6396</v>
      </c>
      <c r="B5068" t="s">
        <v>17</v>
      </c>
      <c r="C5068" t="s">
        <v>1</v>
      </c>
      <c r="D5068" t="s">
        <v>3512</v>
      </c>
      <c r="E5068" t="s">
        <v>3513</v>
      </c>
      <c r="F5068" t="s">
        <v>52</v>
      </c>
      <c r="G5068">
        <v>0</v>
      </c>
      <c r="H5068" t="s">
        <v>53</v>
      </c>
      <c r="I5068">
        <v>0</v>
      </c>
      <c r="J5068" t="s">
        <v>53</v>
      </c>
      <c r="K5068" t="s">
        <v>53</v>
      </c>
      <c r="L5068" t="s">
        <v>53</v>
      </c>
      <c r="M5068" t="s">
        <v>53</v>
      </c>
    </row>
    <row r="5069" spans="1:13" x14ac:dyDescent="0.2">
      <c r="A5069" t="s">
        <v>6404</v>
      </c>
      <c r="B5069" t="s">
        <v>17</v>
      </c>
      <c r="C5069" t="s">
        <v>1</v>
      </c>
      <c r="D5069" t="s">
        <v>3549</v>
      </c>
      <c r="E5069" t="s">
        <v>3550</v>
      </c>
      <c r="F5069" t="s">
        <v>52</v>
      </c>
      <c r="G5069">
        <v>8</v>
      </c>
      <c r="H5069">
        <v>5</v>
      </c>
      <c r="I5069">
        <v>2</v>
      </c>
      <c r="J5069">
        <v>15</v>
      </c>
      <c r="K5069" s="482">
        <v>0.53300000000000003</v>
      </c>
      <c r="L5069" s="482">
        <v>0.33300000000000002</v>
      </c>
      <c r="M5069" s="482">
        <v>0.13300000000000001</v>
      </c>
    </row>
    <row r="5070" spans="1:13" x14ac:dyDescent="0.2">
      <c r="A5070" t="s">
        <v>6405</v>
      </c>
      <c r="B5070" t="s">
        <v>17</v>
      </c>
      <c r="C5070" t="s">
        <v>1</v>
      </c>
      <c r="D5070" t="s">
        <v>3552</v>
      </c>
      <c r="E5070" t="s">
        <v>3553</v>
      </c>
      <c r="F5070" t="s">
        <v>52</v>
      </c>
      <c r="G5070">
        <v>32</v>
      </c>
      <c r="H5070">
        <v>15</v>
      </c>
      <c r="I5070">
        <v>12</v>
      </c>
      <c r="J5070">
        <v>59</v>
      </c>
      <c r="K5070" s="482">
        <v>0.54200000000000004</v>
      </c>
      <c r="L5070" s="482">
        <v>0.254</v>
      </c>
      <c r="M5070" s="482">
        <v>0.20300000000000001</v>
      </c>
    </row>
    <row r="5071" spans="1:13" x14ac:dyDescent="0.2">
      <c r="A5071" t="s">
        <v>6406</v>
      </c>
      <c r="B5071" t="s">
        <v>17</v>
      </c>
      <c r="C5071" t="s">
        <v>1</v>
      </c>
      <c r="D5071" t="s">
        <v>3555</v>
      </c>
      <c r="E5071" t="s">
        <v>3556</v>
      </c>
      <c r="F5071" t="s">
        <v>52</v>
      </c>
      <c r="G5071" t="s">
        <v>53</v>
      </c>
      <c r="H5071" t="s">
        <v>53</v>
      </c>
      <c r="I5071">
        <v>0</v>
      </c>
      <c r="J5071" t="s">
        <v>53</v>
      </c>
      <c r="K5071" t="s">
        <v>53</v>
      </c>
      <c r="L5071" t="s">
        <v>53</v>
      </c>
      <c r="M5071" t="s">
        <v>53</v>
      </c>
    </row>
    <row r="5072" spans="1:13" x14ac:dyDescent="0.2">
      <c r="A5072" t="s">
        <v>6479</v>
      </c>
      <c r="B5072" t="s">
        <v>17</v>
      </c>
      <c r="C5072" t="s">
        <v>1</v>
      </c>
      <c r="D5072" t="s">
        <v>3873</v>
      </c>
      <c r="E5072" t="s">
        <v>3874</v>
      </c>
      <c r="F5072" t="s">
        <v>52</v>
      </c>
      <c r="G5072">
        <v>31</v>
      </c>
      <c r="H5072">
        <v>15</v>
      </c>
      <c r="I5072">
        <v>1</v>
      </c>
      <c r="J5072">
        <v>47</v>
      </c>
      <c r="K5072" s="482">
        <v>0.66</v>
      </c>
      <c r="L5072" s="482">
        <v>0.31900000000000001</v>
      </c>
      <c r="M5072" s="482">
        <v>2.1000000000000001E-2</v>
      </c>
    </row>
    <row r="5073" spans="1:13" x14ac:dyDescent="0.2">
      <c r="A5073" t="s">
        <v>6480</v>
      </c>
      <c r="B5073" t="s">
        <v>17</v>
      </c>
      <c r="C5073" t="s">
        <v>1</v>
      </c>
      <c r="D5073" t="s">
        <v>3876</v>
      </c>
      <c r="E5073" t="s">
        <v>3877</v>
      </c>
      <c r="F5073" t="s">
        <v>52</v>
      </c>
      <c r="G5073">
        <v>11</v>
      </c>
      <c r="H5073">
        <v>8</v>
      </c>
      <c r="I5073">
        <v>0</v>
      </c>
      <c r="J5073">
        <v>19</v>
      </c>
      <c r="K5073" s="482">
        <v>0.57899999999999996</v>
      </c>
      <c r="L5073" s="482">
        <v>0.42099999999999999</v>
      </c>
      <c r="M5073" s="482">
        <v>0</v>
      </c>
    </row>
    <row r="5074" spans="1:13" x14ac:dyDescent="0.2">
      <c r="A5074" t="s">
        <v>6481</v>
      </c>
      <c r="B5074" t="s">
        <v>17</v>
      </c>
      <c r="C5074" t="s">
        <v>1</v>
      </c>
      <c r="D5074" t="s">
        <v>3879</v>
      </c>
      <c r="E5074" t="s">
        <v>3880</v>
      </c>
      <c r="F5074" t="s">
        <v>52</v>
      </c>
      <c r="G5074">
        <v>42</v>
      </c>
      <c r="H5074">
        <v>28</v>
      </c>
      <c r="I5074">
        <v>19</v>
      </c>
      <c r="J5074">
        <v>89</v>
      </c>
      <c r="K5074" s="482">
        <v>0.47199999999999998</v>
      </c>
      <c r="L5074" s="482">
        <v>0.315</v>
      </c>
      <c r="M5074" s="482">
        <v>0.21299999999999999</v>
      </c>
    </row>
    <row r="5075" spans="1:13" x14ac:dyDescent="0.2">
      <c r="A5075" t="s">
        <v>6473</v>
      </c>
      <c r="B5075" t="s">
        <v>17</v>
      </c>
      <c r="C5075" t="s">
        <v>1</v>
      </c>
      <c r="D5075" t="s">
        <v>3852</v>
      </c>
      <c r="E5075" t="s">
        <v>3853</v>
      </c>
      <c r="F5075" t="s">
        <v>52</v>
      </c>
      <c r="G5075" t="s">
        <v>53</v>
      </c>
      <c r="H5075" t="s">
        <v>53</v>
      </c>
      <c r="I5075">
        <v>0</v>
      </c>
      <c r="J5075" t="s">
        <v>53</v>
      </c>
      <c r="K5075" t="s">
        <v>53</v>
      </c>
      <c r="L5075" t="s">
        <v>53</v>
      </c>
      <c r="M5075" t="s">
        <v>53</v>
      </c>
    </row>
    <row r="5076" spans="1:13" x14ac:dyDescent="0.2">
      <c r="A5076" t="s">
        <v>6474</v>
      </c>
      <c r="B5076" t="s">
        <v>17</v>
      </c>
      <c r="C5076" t="s">
        <v>1</v>
      </c>
      <c r="D5076" t="s">
        <v>3855</v>
      </c>
      <c r="E5076" t="s">
        <v>3856</v>
      </c>
      <c r="F5076" t="s">
        <v>52</v>
      </c>
      <c r="G5076">
        <v>41</v>
      </c>
      <c r="H5076">
        <v>12</v>
      </c>
      <c r="I5076">
        <v>4</v>
      </c>
      <c r="J5076">
        <v>57</v>
      </c>
      <c r="K5076" s="482">
        <v>0.71899999999999997</v>
      </c>
      <c r="L5076" s="482">
        <v>0.21099999999999999</v>
      </c>
      <c r="M5076" s="482">
        <v>7.0000000000000007E-2</v>
      </c>
    </row>
    <row r="5077" spans="1:13" x14ac:dyDescent="0.2">
      <c r="A5077" t="s">
        <v>6475</v>
      </c>
      <c r="B5077" t="s">
        <v>17</v>
      </c>
      <c r="C5077" t="s">
        <v>1</v>
      </c>
      <c r="D5077" t="s">
        <v>3861</v>
      </c>
      <c r="E5077" t="s">
        <v>3862</v>
      </c>
      <c r="F5077" t="s">
        <v>52</v>
      </c>
      <c r="G5077">
        <v>17</v>
      </c>
      <c r="H5077">
        <v>6</v>
      </c>
      <c r="I5077">
        <v>5</v>
      </c>
      <c r="J5077">
        <v>28</v>
      </c>
      <c r="K5077" s="482">
        <v>0.60699999999999998</v>
      </c>
      <c r="L5077" s="482">
        <v>0.214</v>
      </c>
      <c r="M5077" s="482">
        <v>0.17899999999999999</v>
      </c>
    </row>
    <row r="5078" spans="1:13" x14ac:dyDescent="0.2">
      <c r="A5078" t="s">
        <v>6476</v>
      </c>
      <c r="B5078" t="s">
        <v>17</v>
      </c>
      <c r="C5078" t="s">
        <v>1</v>
      </c>
      <c r="D5078" t="s">
        <v>3864</v>
      </c>
      <c r="E5078" t="s">
        <v>3865</v>
      </c>
      <c r="F5078" t="s">
        <v>52</v>
      </c>
      <c r="G5078">
        <v>25</v>
      </c>
      <c r="H5078">
        <v>21</v>
      </c>
      <c r="I5078">
        <v>8</v>
      </c>
      <c r="J5078">
        <v>54</v>
      </c>
      <c r="K5078" s="482">
        <v>0.46300000000000002</v>
      </c>
      <c r="L5078" s="482">
        <v>0.38900000000000001</v>
      </c>
      <c r="M5078" s="482">
        <v>0.14799999999999999</v>
      </c>
    </row>
    <row r="5079" spans="1:13" x14ac:dyDescent="0.2">
      <c r="A5079" t="s">
        <v>6477</v>
      </c>
      <c r="B5079" t="s">
        <v>17</v>
      </c>
      <c r="C5079" t="s">
        <v>1</v>
      </c>
      <c r="D5079" t="s">
        <v>3867</v>
      </c>
      <c r="E5079" t="s">
        <v>3868</v>
      </c>
      <c r="F5079" t="s">
        <v>52</v>
      </c>
      <c r="G5079">
        <v>36</v>
      </c>
      <c r="H5079">
        <v>22</v>
      </c>
      <c r="I5079">
        <v>14</v>
      </c>
      <c r="J5079">
        <v>72</v>
      </c>
      <c r="K5079" s="482">
        <v>0.5</v>
      </c>
      <c r="L5079" s="482">
        <v>0.30599999999999999</v>
      </c>
      <c r="M5079" s="482">
        <v>0.19400000000000001</v>
      </c>
    </row>
    <row r="5080" spans="1:13" x14ac:dyDescent="0.2">
      <c r="A5080" t="s">
        <v>6478</v>
      </c>
      <c r="B5080" t="s">
        <v>17</v>
      </c>
      <c r="C5080" t="s">
        <v>1</v>
      </c>
      <c r="D5080" t="s">
        <v>3870</v>
      </c>
      <c r="E5080" t="s">
        <v>3871</v>
      </c>
      <c r="F5080" t="s">
        <v>52</v>
      </c>
      <c r="G5080" t="s">
        <v>53</v>
      </c>
      <c r="H5080" t="s">
        <v>53</v>
      </c>
      <c r="I5080">
        <v>0</v>
      </c>
      <c r="J5080" t="s">
        <v>53</v>
      </c>
      <c r="K5080" t="s">
        <v>53</v>
      </c>
      <c r="L5080" t="s">
        <v>53</v>
      </c>
      <c r="M5080" t="s">
        <v>53</v>
      </c>
    </row>
    <row r="5081" spans="1:13" x14ac:dyDescent="0.2">
      <c r="A5081" t="s">
        <v>6451</v>
      </c>
      <c r="B5081" t="s">
        <v>17</v>
      </c>
      <c r="C5081" t="s">
        <v>1</v>
      </c>
      <c r="D5081" t="s">
        <v>3781</v>
      </c>
      <c r="E5081" t="s">
        <v>3782</v>
      </c>
      <c r="F5081" t="s">
        <v>52</v>
      </c>
      <c r="G5081">
        <v>9</v>
      </c>
      <c r="H5081">
        <v>7</v>
      </c>
      <c r="I5081">
        <v>2</v>
      </c>
      <c r="J5081">
        <v>18</v>
      </c>
      <c r="K5081" s="482">
        <v>0.5</v>
      </c>
      <c r="L5081" s="482">
        <v>0.38900000000000001</v>
      </c>
      <c r="M5081" s="482">
        <v>0.111</v>
      </c>
    </row>
    <row r="5082" spans="1:13" x14ac:dyDescent="0.2">
      <c r="A5082" t="s">
        <v>6452</v>
      </c>
      <c r="B5082" t="s">
        <v>17</v>
      </c>
      <c r="C5082" t="s">
        <v>1</v>
      </c>
      <c r="D5082" t="s">
        <v>3784</v>
      </c>
      <c r="E5082" t="s">
        <v>3785</v>
      </c>
      <c r="F5082" t="s">
        <v>52</v>
      </c>
      <c r="G5082">
        <v>9</v>
      </c>
      <c r="H5082">
        <v>5</v>
      </c>
      <c r="I5082">
        <v>2</v>
      </c>
      <c r="J5082">
        <v>16</v>
      </c>
      <c r="K5082" s="482">
        <v>0.56299999999999994</v>
      </c>
      <c r="L5082" s="482">
        <v>0.313</v>
      </c>
      <c r="M5082" s="482">
        <v>0.125</v>
      </c>
    </row>
    <row r="5083" spans="1:13" x14ac:dyDescent="0.2">
      <c r="A5083" t="s">
        <v>6651</v>
      </c>
      <c r="B5083" t="s">
        <v>17</v>
      </c>
      <c r="C5083" t="s">
        <v>1</v>
      </c>
      <c r="D5083" t="s">
        <v>3787</v>
      </c>
      <c r="E5083" t="s">
        <v>3788</v>
      </c>
      <c r="F5083" t="s">
        <v>52</v>
      </c>
      <c r="G5083">
        <v>0</v>
      </c>
      <c r="H5083" t="s">
        <v>53</v>
      </c>
      <c r="I5083">
        <v>0</v>
      </c>
      <c r="J5083" t="s">
        <v>53</v>
      </c>
      <c r="K5083" t="s">
        <v>53</v>
      </c>
      <c r="L5083" t="s">
        <v>53</v>
      </c>
      <c r="M5083" t="s">
        <v>53</v>
      </c>
    </row>
    <row r="5084" spans="1:13" x14ac:dyDescent="0.2">
      <c r="A5084" t="s">
        <v>6453</v>
      </c>
      <c r="B5084" t="s">
        <v>17</v>
      </c>
      <c r="C5084" t="s">
        <v>1</v>
      </c>
      <c r="D5084" t="s">
        <v>3790</v>
      </c>
      <c r="E5084" t="s">
        <v>3791</v>
      </c>
      <c r="F5084" t="s">
        <v>52</v>
      </c>
      <c r="G5084">
        <v>8</v>
      </c>
      <c r="H5084">
        <v>10</v>
      </c>
      <c r="I5084">
        <v>5</v>
      </c>
      <c r="J5084">
        <v>23</v>
      </c>
      <c r="K5084" s="482">
        <v>0.34799999999999998</v>
      </c>
      <c r="L5084" s="482">
        <v>0.435</v>
      </c>
      <c r="M5084" s="482">
        <v>0.217</v>
      </c>
    </row>
    <row r="5085" spans="1:13" x14ac:dyDescent="0.2">
      <c r="A5085" t="s">
        <v>6366</v>
      </c>
      <c r="B5085" t="s">
        <v>17</v>
      </c>
      <c r="C5085" t="s">
        <v>1</v>
      </c>
      <c r="D5085" t="s">
        <v>3234</v>
      </c>
      <c r="E5085" t="s">
        <v>3235</v>
      </c>
      <c r="F5085" t="s">
        <v>52</v>
      </c>
      <c r="G5085" t="s">
        <v>53</v>
      </c>
      <c r="H5085">
        <v>0</v>
      </c>
      <c r="I5085" t="s">
        <v>53</v>
      </c>
      <c r="J5085" t="s">
        <v>53</v>
      </c>
      <c r="K5085" t="s">
        <v>53</v>
      </c>
      <c r="L5085" t="s">
        <v>53</v>
      </c>
      <c r="M5085" t="s">
        <v>53</v>
      </c>
    </row>
    <row r="5086" spans="1:13" x14ac:dyDescent="0.2">
      <c r="A5086" t="s">
        <v>6365</v>
      </c>
      <c r="B5086" t="s">
        <v>17</v>
      </c>
      <c r="C5086" t="s">
        <v>1</v>
      </c>
      <c r="D5086" t="s">
        <v>3225</v>
      </c>
      <c r="E5086" t="s">
        <v>3226</v>
      </c>
      <c r="F5086" t="s">
        <v>52</v>
      </c>
      <c r="G5086">
        <v>31</v>
      </c>
      <c r="H5086">
        <v>24</v>
      </c>
      <c r="I5086">
        <v>14</v>
      </c>
      <c r="J5086">
        <v>69</v>
      </c>
      <c r="K5086" s="482">
        <v>0.44900000000000001</v>
      </c>
      <c r="L5086" s="482">
        <v>0.34799999999999998</v>
      </c>
      <c r="M5086" s="482">
        <v>0.20300000000000001</v>
      </c>
    </row>
    <row r="5087" spans="1:13" x14ac:dyDescent="0.2">
      <c r="A5087" t="s">
        <v>6348</v>
      </c>
      <c r="B5087" t="s">
        <v>17</v>
      </c>
      <c r="C5087" t="s">
        <v>1</v>
      </c>
      <c r="D5087" t="s">
        <v>3109</v>
      </c>
      <c r="E5087" t="s">
        <v>3110</v>
      </c>
      <c r="F5087" t="s">
        <v>52</v>
      </c>
      <c r="G5087">
        <v>6</v>
      </c>
      <c r="H5087">
        <v>4</v>
      </c>
      <c r="I5087">
        <v>4</v>
      </c>
      <c r="J5087">
        <v>14</v>
      </c>
      <c r="K5087" s="482">
        <v>0.42899999999999999</v>
      </c>
      <c r="L5087" s="482">
        <v>0.28599999999999998</v>
      </c>
      <c r="M5087" s="482">
        <v>0.28599999999999998</v>
      </c>
    </row>
    <row r="5088" spans="1:13" x14ac:dyDescent="0.2">
      <c r="A5088" t="s">
        <v>6458</v>
      </c>
      <c r="B5088" t="s">
        <v>17</v>
      </c>
      <c r="C5088" t="s">
        <v>1</v>
      </c>
      <c r="D5088" t="s">
        <v>3808</v>
      </c>
      <c r="E5088" t="s">
        <v>3809</v>
      </c>
      <c r="F5088" t="s">
        <v>52</v>
      </c>
      <c r="G5088">
        <v>2</v>
      </c>
      <c r="H5088">
        <v>4</v>
      </c>
      <c r="I5088">
        <v>0</v>
      </c>
      <c r="J5088">
        <v>6</v>
      </c>
      <c r="K5088" s="482">
        <v>0.33300000000000002</v>
      </c>
      <c r="L5088" s="482">
        <v>0.66700000000000004</v>
      </c>
      <c r="M5088" s="482">
        <v>0</v>
      </c>
    </row>
    <row r="5089" spans="1:13" x14ac:dyDescent="0.2">
      <c r="A5089" t="s">
        <v>6462</v>
      </c>
      <c r="B5089" t="s">
        <v>17</v>
      </c>
      <c r="C5089" t="s">
        <v>1</v>
      </c>
      <c r="D5089" t="s">
        <v>3814</v>
      </c>
      <c r="E5089" t="s">
        <v>3815</v>
      </c>
      <c r="F5089" t="s">
        <v>52</v>
      </c>
      <c r="G5089">
        <v>14</v>
      </c>
      <c r="H5089">
        <v>5</v>
      </c>
      <c r="I5089">
        <v>2</v>
      </c>
      <c r="J5089">
        <v>21</v>
      </c>
      <c r="K5089" s="482">
        <v>0.66700000000000004</v>
      </c>
      <c r="L5089" s="482">
        <v>0.23799999999999999</v>
      </c>
      <c r="M5089" s="482">
        <v>9.5000000000000001E-2</v>
      </c>
    </row>
    <row r="5090" spans="1:13" x14ac:dyDescent="0.2">
      <c r="A5090" t="s">
        <v>6463</v>
      </c>
      <c r="B5090" t="s">
        <v>17</v>
      </c>
      <c r="C5090" t="s">
        <v>1</v>
      </c>
      <c r="D5090" t="s">
        <v>3817</v>
      </c>
      <c r="E5090" t="s">
        <v>3818</v>
      </c>
      <c r="F5090" t="s">
        <v>52</v>
      </c>
      <c r="G5090" t="s">
        <v>53</v>
      </c>
      <c r="H5090" t="s">
        <v>53</v>
      </c>
      <c r="I5090">
        <v>0</v>
      </c>
      <c r="J5090" t="s">
        <v>53</v>
      </c>
      <c r="K5090" t="s">
        <v>53</v>
      </c>
      <c r="L5090" t="s">
        <v>53</v>
      </c>
      <c r="M5090" t="s">
        <v>53</v>
      </c>
    </row>
    <row r="5091" spans="1:13" x14ac:dyDescent="0.2">
      <c r="A5091" t="s">
        <v>6464</v>
      </c>
      <c r="B5091" t="s">
        <v>17</v>
      </c>
      <c r="C5091" t="s">
        <v>1</v>
      </c>
      <c r="D5091" t="s">
        <v>3820</v>
      </c>
      <c r="E5091" t="s">
        <v>3821</v>
      </c>
      <c r="F5091" t="s">
        <v>52</v>
      </c>
      <c r="G5091">
        <v>0</v>
      </c>
      <c r="H5091">
        <v>0</v>
      </c>
      <c r="I5091" t="s">
        <v>53</v>
      </c>
      <c r="J5091" t="s">
        <v>53</v>
      </c>
      <c r="K5091" t="s">
        <v>53</v>
      </c>
      <c r="L5091" t="s">
        <v>53</v>
      </c>
      <c r="M5091" t="s">
        <v>53</v>
      </c>
    </row>
    <row r="5092" spans="1:13" x14ac:dyDescent="0.2">
      <c r="A5092" t="s">
        <v>6465</v>
      </c>
      <c r="B5092" t="s">
        <v>17</v>
      </c>
      <c r="C5092" t="s">
        <v>1</v>
      </c>
      <c r="D5092" t="s">
        <v>3823</v>
      </c>
      <c r="E5092" t="s">
        <v>3824</v>
      </c>
      <c r="F5092" t="s">
        <v>52</v>
      </c>
      <c r="G5092">
        <v>59</v>
      </c>
      <c r="H5092">
        <v>37</v>
      </c>
      <c r="I5092">
        <v>21</v>
      </c>
      <c r="J5092">
        <v>117</v>
      </c>
      <c r="K5092" s="482">
        <v>0.504</v>
      </c>
      <c r="L5092" s="482">
        <v>0.316</v>
      </c>
      <c r="M5092" s="482">
        <v>0.17899999999999999</v>
      </c>
    </row>
    <row r="5093" spans="1:13" x14ac:dyDescent="0.2">
      <c r="A5093" t="s">
        <v>6466</v>
      </c>
      <c r="B5093" t="s">
        <v>17</v>
      </c>
      <c r="C5093" t="s">
        <v>1</v>
      </c>
      <c r="D5093" t="s">
        <v>3826</v>
      </c>
      <c r="E5093" t="s">
        <v>3827</v>
      </c>
      <c r="F5093" t="s">
        <v>52</v>
      </c>
      <c r="G5093">
        <v>5</v>
      </c>
      <c r="H5093">
        <v>3</v>
      </c>
      <c r="I5093">
        <v>1</v>
      </c>
      <c r="J5093">
        <v>9</v>
      </c>
      <c r="K5093" s="482">
        <v>0.55600000000000005</v>
      </c>
      <c r="L5093" s="482">
        <v>0.33300000000000002</v>
      </c>
      <c r="M5093" s="482">
        <v>0.111</v>
      </c>
    </row>
    <row r="5094" spans="1:13" x14ac:dyDescent="0.2">
      <c r="A5094" t="s">
        <v>6471</v>
      </c>
      <c r="B5094" t="s">
        <v>17</v>
      </c>
      <c r="C5094" t="s">
        <v>1</v>
      </c>
      <c r="D5094" t="s">
        <v>3829</v>
      </c>
      <c r="E5094" t="s">
        <v>3830</v>
      </c>
      <c r="F5094" t="s">
        <v>52</v>
      </c>
      <c r="G5094">
        <v>34</v>
      </c>
      <c r="H5094">
        <v>27</v>
      </c>
      <c r="I5094">
        <v>3</v>
      </c>
      <c r="J5094">
        <v>64</v>
      </c>
      <c r="K5094" s="482">
        <v>0.53100000000000003</v>
      </c>
      <c r="L5094" s="482">
        <v>0.42199999999999999</v>
      </c>
      <c r="M5094" s="482">
        <v>4.7E-2</v>
      </c>
    </row>
    <row r="5095" spans="1:13" x14ac:dyDescent="0.2">
      <c r="A5095" t="s">
        <v>6472</v>
      </c>
      <c r="B5095" t="s">
        <v>17</v>
      </c>
      <c r="C5095" t="s">
        <v>1</v>
      </c>
      <c r="D5095" t="s">
        <v>3849</v>
      </c>
      <c r="E5095" t="s">
        <v>3850</v>
      </c>
      <c r="F5095" t="s">
        <v>52</v>
      </c>
      <c r="G5095">
        <v>19</v>
      </c>
      <c r="H5095">
        <v>8</v>
      </c>
      <c r="I5095">
        <v>3</v>
      </c>
      <c r="J5095">
        <v>30</v>
      </c>
      <c r="K5095" s="482">
        <v>0.63300000000000001</v>
      </c>
      <c r="L5095" s="482">
        <v>0.26700000000000002</v>
      </c>
      <c r="M5095" s="482">
        <v>0.1</v>
      </c>
    </row>
    <row r="5096" spans="1:13" x14ac:dyDescent="0.2">
      <c r="A5096" t="s">
        <v>6381</v>
      </c>
      <c r="B5096" t="s">
        <v>17</v>
      </c>
      <c r="C5096" t="s">
        <v>1</v>
      </c>
      <c r="D5096" t="s">
        <v>3427</v>
      </c>
      <c r="E5096" t="s">
        <v>3428</v>
      </c>
      <c r="F5096" t="s">
        <v>52</v>
      </c>
      <c r="G5096" t="s">
        <v>53</v>
      </c>
      <c r="H5096">
        <v>0</v>
      </c>
      <c r="I5096" t="s">
        <v>53</v>
      </c>
      <c r="J5096" t="s">
        <v>53</v>
      </c>
      <c r="K5096" t="s">
        <v>53</v>
      </c>
      <c r="L5096" t="s">
        <v>53</v>
      </c>
      <c r="M5096" t="s">
        <v>53</v>
      </c>
    </row>
    <row r="5097" spans="1:13" x14ac:dyDescent="0.2">
      <c r="A5097" t="s">
        <v>6382</v>
      </c>
      <c r="B5097" t="s">
        <v>17</v>
      </c>
      <c r="C5097" t="s">
        <v>1</v>
      </c>
      <c r="D5097" t="s">
        <v>3430</v>
      </c>
      <c r="E5097" t="s">
        <v>3431</v>
      </c>
      <c r="F5097" t="s">
        <v>52</v>
      </c>
      <c r="G5097">
        <v>23</v>
      </c>
      <c r="H5097">
        <v>24</v>
      </c>
      <c r="I5097">
        <v>18</v>
      </c>
      <c r="J5097">
        <v>65</v>
      </c>
      <c r="K5097" s="482">
        <v>0.35399999999999998</v>
      </c>
      <c r="L5097" s="482">
        <v>0.36899999999999999</v>
      </c>
      <c r="M5097" s="482">
        <v>0.27700000000000002</v>
      </c>
    </row>
    <row r="5098" spans="1:13" x14ac:dyDescent="0.2">
      <c r="A5098" t="s">
        <v>6383</v>
      </c>
      <c r="B5098" t="s">
        <v>17</v>
      </c>
      <c r="C5098" t="s">
        <v>1</v>
      </c>
      <c r="D5098" t="s">
        <v>3439</v>
      </c>
      <c r="E5098" t="s">
        <v>3440</v>
      </c>
      <c r="F5098" t="s">
        <v>52</v>
      </c>
      <c r="G5098">
        <v>1</v>
      </c>
      <c r="H5098">
        <v>4</v>
      </c>
      <c r="I5098">
        <v>1</v>
      </c>
      <c r="J5098">
        <v>6</v>
      </c>
      <c r="K5098" s="482">
        <v>0.16700000000000001</v>
      </c>
      <c r="L5098" s="482">
        <v>0.66700000000000004</v>
      </c>
      <c r="M5098" s="482">
        <v>0.16700000000000001</v>
      </c>
    </row>
    <row r="5099" spans="1:13" x14ac:dyDescent="0.2">
      <c r="A5099" t="s">
        <v>6386</v>
      </c>
      <c r="B5099" t="s">
        <v>17</v>
      </c>
      <c r="C5099" t="s">
        <v>1</v>
      </c>
      <c r="D5099" t="s">
        <v>3454</v>
      </c>
      <c r="E5099" t="s">
        <v>3455</v>
      </c>
      <c r="F5099" t="s">
        <v>52</v>
      </c>
      <c r="G5099">
        <v>14</v>
      </c>
      <c r="H5099">
        <v>8</v>
      </c>
      <c r="I5099">
        <v>1</v>
      </c>
      <c r="J5099">
        <v>23</v>
      </c>
      <c r="K5099" s="482">
        <v>0.60899999999999999</v>
      </c>
      <c r="L5099" s="482">
        <v>0.34799999999999998</v>
      </c>
      <c r="M5099" s="482">
        <v>4.2999999999999997E-2</v>
      </c>
    </row>
    <row r="5100" spans="1:13" x14ac:dyDescent="0.2">
      <c r="A5100" t="s">
        <v>6387</v>
      </c>
      <c r="B5100" t="s">
        <v>17</v>
      </c>
      <c r="C5100" t="s">
        <v>1</v>
      </c>
      <c r="D5100" t="s">
        <v>3460</v>
      </c>
      <c r="E5100" t="s">
        <v>3461</v>
      </c>
      <c r="F5100" t="s">
        <v>52</v>
      </c>
      <c r="G5100">
        <v>19</v>
      </c>
      <c r="H5100">
        <v>15</v>
      </c>
      <c r="I5100">
        <v>5</v>
      </c>
      <c r="J5100">
        <v>39</v>
      </c>
      <c r="K5100" s="482">
        <v>0.48699999999999999</v>
      </c>
      <c r="L5100" s="482">
        <v>0.38500000000000001</v>
      </c>
      <c r="M5100" s="482">
        <v>0.128</v>
      </c>
    </row>
    <row r="5101" spans="1:13" x14ac:dyDescent="0.2">
      <c r="A5101" t="s">
        <v>6388</v>
      </c>
      <c r="B5101" t="s">
        <v>17</v>
      </c>
      <c r="C5101" t="s">
        <v>1</v>
      </c>
      <c r="D5101" t="s">
        <v>3463</v>
      </c>
      <c r="E5101" t="s">
        <v>3464</v>
      </c>
      <c r="F5101" t="s">
        <v>52</v>
      </c>
      <c r="G5101">
        <v>56</v>
      </c>
      <c r="H5101">
        <v>37</v>
      </c>
      <c r="I5101">
        <v>29</v>
      </c>
      <c r="J5101">
        <v>122</v>
      </c>
      <c r="K5101" s="482">
        <v>0.45900000000000002</v>
      </c>
      <c r="L5101" s="482">
        <v>0.30299999999999999</v>
      </c>
      <c r="M5101" s="482">
        <v>0.23799999999999999</v>
      </c>
    </row>
    <row r="5102" spans="1:13" x14ac:dyDescent="0.2">
      <c r="A5102" t="s">
        <v>6389</v>
      </c>
      <c r="B5102" t="s">
        <v>17</v>
      </c>
      <c r="C5102" t="s">
        <v>1</v>
      </c>
      <c r="D5102" t="s">
        <v>3466</v>
      </c>
      <c r="E5102" t="s">
        <v>3467</v>
      </c>
      <c r="F5102" t="s">
        <v>52</v>
      </c>
      <c r="G5102">
        <v>73</v>
      </c>
      <c r="H5102">
        <v>48</v>
      </c>
      <c r="I5102">
        <v>35</v>
      </c>
      <c r="J5102">
        <v>156</v>
      </c>
      <c r="K5102" s="482">
        <v>0.46800000000000003</v>
      </c>
      <c r="L5102" s="482">
        <v>0.308</v>
      </c>
      <c r="M5102" s="482">
        <v>0.224</v>
      </c>
    </row>
    <row r="5103" spans="1:13" x14ac:dyDescent="0.2">
      <c r="A5103" t="s">
        <v>6390</v>
      </c>
      <c r="B5103" t="s">
        <v>17</v>
      </c>
      <c r="C5103" t="s">
        <v>1</v>
      </c>
      <c r="D5103" t="s">
        <v>3475</v>
      </c>
      <c r="E5103" t="s">
        <v>3476</v>
      </c>
      <c r="F5103" t="s">
        <v>52</v>
      </c>
      <c r="G5103">
        <v>35</v>
      </c>
      <c r="H5103">
        <v>22</v>
      </c>
      <c r="I5103">
        <v>14</v>
      </c>
      <c r="J5103">
        <v>71</v>
      </c>
      <c r="K5103" s="482">
        <v>0.49299999999999999</v>
      </c>
      <c r="L5103" s="482">
        <v>0.31</v>
      </c>
      <c r="M5103" s="482">
        <v>0.19700000000000001</v>
      </c>
    </row>
    <row r="5104" spans="1:13" x14ac:dyDescent="0.2">
      <c r="A5104" t="s">
        <v>6391</v>
      </c>
      <c r="B5104" t="s">
        <v>17</v>
      </c>
      <c r="C5104" t="s">
        <v>1</v>
      </c>
      <c r="D5104" t="s">
        <v>3478</v>
      </c>
      <c r="E5104" t="s">
        <v>3479</v>
      </c>
      <c r="F5104" t="s">
        <v>52</v>
      </c>
      <c r="G5104">
        <v>26</v>
      </c>
      <c r="H5104">
        <v>20</v>
      </c>
      <c r="I5104">
        <v>9</v>
      </c>
      <c r="J5104">
        <v>55</v>
      </c>
      <c r="K5104" s="482">
        <v>0.47299999999999998</v>
      </c>
      <c r="L5104" s="482">
        <v>0.36399999999999999</v>
      </c>
      <c r="M5104" s="482">
        <v>0.16400000000000001</v>
      </c>
    </row>
    <row r="5105" spans="1:13" x14ac:dyDescent="0.2">
      <c r="A5105" t="s">
        <v>6392</v>
      </c>
      <c r="B5105" t="s">
        <v>17</v>
      </c>
      <c r="C5105" t="s">
        <v>1</v>
      </c>
      <c r="D5105" t="s">
        <v>3482</v>
      </c>
      <c r="E5105" t="s">
        <v>3483</v>
      </c>
      <c r="F5105" t="s">
        <v>52</v>
      </c>
      <c r="G5105">
        <v>11</v>
      </c>
      <c r="H5105">
        <v>11</v>
      </c>
      <c r="I5105">
        <v>6</v>
      </c>
      <c r="J5105">
        <v>28</v>
      </c>
      <c r="K5105" s="482">
        <v>0.39300000000000002</v>
      </c>
      <c r="L5105" s="482">
        <v>0.39300000000000002</v>
      </c>
      <c r="M5105" s="482">
        <v>0.214</v>
      </c>
    </row>
    <row r="5106" spans="1:13" x14ac:dyDescent="0.2">
      <c r="A5106" t="s">
        <v>6379</v>
      </c>
      <c r="B5106" t="s">
        <v>17</v>
      </c>
      <c r="C5106" t="s">
        <v>1</v>
      </c>
      <c r="D5106" t="s">
        <v>3421</v>
      </c>
      <c r="E5106" t="s">
        <v>3422</v>
      </c>
      <c r="F5106" t="s">
        <v>52</v>
      </c>
      <c r="G5106">
        <v>24</v>
      </c>
      <c r="H5106">
        <v>13</v>
      </c>
      <c r="I5106">
        <v>0</v>
      </c>
      <c r="J5106">
        <v>37</v>
      </c>
      <c r="K5106" s="482">
        <v>0.64900000000000002</v>
      </c>
      <c r="L5106" s="482">
        <v>0.35099999999999998</v>
      </c>
      <c r="M5106" s="482">
        <v>0</v>
      </c>
    </row>
    <row r="5107" spans="1:13" x14ac:dyDescent="0.2">
      <c r="A5107" t="s">
        <v>6380</v>
      </c>
      <c r="B5107" t="s">
        <v>17</v>
      </c>
      <c r="C5107" t="s">
        <v>1</v>
      </c>
      <c r="D5107" t="s">
        <v>3424</v>
      </c>
      <c r="E5107" t="s">
        <v>3425</v>
      </c>
      <c r="F5107" t="s">
        <v>52</v>
      </c>
      <c r="G5107">
        <v>8</v>
      </c>
      <c r="H5107">
        <v>5</v>
      </c>
      <c r="I5107">
        <v>3</v>
      </c>
      <c r="J5107">
        <v>16</v>
      </c>
      <c r="K5107" s="482">
        <v>0.5</v>
      </c>
      <c r="L5107" s="482">
        <v>0.313</v>
      </c>
      <c r="M5107" s="482">
        <v>0.188</v>
      </c>
    </row>
    <row r="5108" spans="1:13" x14ac:dyDescent="0.2">
      <c r="A5108" t="s">
        <v>6384</v>
      </c>
      <c r="B5108" t="s">
        <v>17</v>
      </c>
      <c r="C5108" t="s">
        <v>1</v>
      </c>
      <c r="D5108" t="s">
        <v>3442</v>
      </c>
      <c r="E5108" t="s">
        <v>3443</v>
      </c>
      <c r="F5108" t="s">
        <v>52</v>
      </c>
      <c r="G5108">
        <v>31</v>
      </c>
      <c r="H5108">
        <v>18</v>
      </c>
      <c r="I5108">
        <v>9</v>
      </c>
      <c r="J5108">
        <v>58</v>
      </c>
      <c r="K5108" s="482">
        <v>0.53400000000000003</v>
      </c>
      <c r="L5108" s="482">
        <v>0.31</v>
      </c>
      <c r="M5108" s="482">
        <v>0.155</v>
      </c>
    </row>
    <row r="5109" spans="1:13" x14ac:dyDescent="0.2">
      <c r="A5109" t="s">
        <v>6385</v>
      </c>
      <c r="B5109" t="s">
        <v>17</v>
      </c>
      <c r="C5109" t="s">
        <v>1</v>
      </c>
      <c r="D5109" t="s">
        <v>3445</v>
      </c>
      <c r="E5109" t="s">
        <v>3446</v>
      </c>
      <c r="F5109" t="s">
        <v>52</v>
      </c>
      <c r="G5109">
        <v>17</v>
      </c>
      <c r="H5109">
        <v>8</v>
      </c>
      <c r="I5109">
        <v>6</v>
      </c>
      <c r="J5109">
        <v>31</v>
      </c>
      <c r="K5109" s="482">
        <v>0.54800000000000004</v>
      </c>
      <c r="L5109" s="482">
        <v>0.25800000000000001</v>
      </c>
      <c r="M5109" s="482">
        <v>0.19400000000000001</v>
      </c>
    </row>
    <row r="5110" spans="1:13" x14ac:dyDescent="0.2">
      <c r="A5110" t="s">
        <v>6342</v>
      </c>
      <c r="B5110" t="s">
        <v>17</v>
      </c>
      <c r="C5110" t="s">
        <v>1</v>
      </c>
      <c r="D5110" t="s">
        <v>3745</v>
      </c>
      <c r="E5110" t="s">
        <v>3746</v>
      </c>
      <c r="F5110" t="s">
        <v>52</v>
      </c>
      <c r="G5110">
        <v>37</v>
      </c>
      <c r="H5110">
        <v>36</v>
      </c>
      <c r="I5110">
        <v>17</v>
      </c>
      <c r="J5110">
        <v>90</v>
      </c>
      <c r="K5110" s="482">
        <v>0.41099999999999998</v>
      </c>
      <c r="L5110" s="482">
        <v>0.4</v>
      </c>
      <c r="M5110" s="482">
        <v>0.189</v>
      </c>
    </row>
    <row r="5111" spans="1:13" x14ac:dyDescent="0.2">
      <c r="A5111" t="s">
        <v>6368</v>
      </c>
      <c r="B5111" t="s">
        <v>17</v>
      </c>
      <c r="C5111" t="s">
        <v>1</v>
      </c>
      <c r="D5111" t="s">
        <v>3325</v>
      </c>
      <c r="E5111" t="s">
        <v>3326</v>
      </c>
      <c r="F5111" t="s">
        <v>52</v>
      </c>
      <c r="G5111" t="s">
        <v>53</v>
      </c>
      <c r="H5111" t="s">
        <v>53</v>
      </c>
      <c r="I5111">
        <v>0</v>
      </c>
      <c r="J5111" t="s">
        <v>53</v>
      </c>
      <c r="K5111" t="s">
        <v>53</v>
      </c>
      <c r="L5111" t="s">
        <v>53</v>
      </c>
      <c r="M5111" t="s">
        <v>53</v>
      </c>
    </row>
    <row r="5112" spans="1:13" x14ac:dyDescent="0.2">
      <c r="A5112" t="s">
        <v>6484</v>
      </c>
      <c r="B5112" t="s">
        <v>17</v>
      </c>
      <c r="C5112" t="s">
        <v>1</v>
      </c>
      <c r="D5112" t="s">
        <v>3888</v>
      </c>
      <c r="E5112" t="s">
        <v>3889</v>
      </c>
      <c r="F5112" t="s">
        <v>52</v>
      </c>
      <c r="G5112">
        <v>89</v>
      </c>
      <c r="H5112">
        <v>41</v>
      </c>
      <c r="I5112">
        <v>18</v>
      </c>
      <c r="J5112">
        <v>148</v>
      </c>
      <c r="K5112" s="482">
        <v>0.60099999999999998</v>
      </c>
      <c r="L5112" s="482">
        <v>0.27700000000000002</v>
      </c>
      <c r="M5112" s="482">
        <v>0.122</v>
      </c>
    </row>
    <row r="5113" spans="1:13" x14ac:dyDescent="0.2">
      <c r="A5113" t="s">
        <v>6482</v>
      </c>
      <c r="B5113" t="s">
        <v>17</v>
      </c>
      <c r="C5113" t="s">
        <v>1</v>
      </c>
      <c r="D5113" t="s">
        <v>3882</v>
      </c>
      <c r="E5113" t="s">
        <v>3883</v>
      </c>
      <c r="F5113" t="s">
        <v>52</v>
      </c>
      <c r="G5113" t="s">
        <v>53</v>
      </c>
      <c r="H5113" t="s">
        <v>53</v>
      </c>
      <c r="I5113">
        <v>0</v>
      </c>
      <c r="J5113" t="s">
        <v>53</v>
      </c>
      <c r="K5113" t="s">
        <v>53</v>
      </c>
      <c r="L5113" t="s">
        <v>53</v>
      </c>
      <c r="M5113" t="s">
        <v>53</v>
      </c>
    </row>
    <row r="5114" spans="1:13" x14ac:dyDescent="0.2">
      <c r="A5114" t="s">
        <v>6397</v>
      </c>
      <c r="B5114" t="s">
        <v>17</v>
      </c>
      <c r="C5114" t="s">
        <v>1</v>
      </c>
      <c r="D5114" t="s">
        <v>3515</v>
      </c>
      <c r="E5114" t="s">
        <v>343</v>
      </c>
      <c r="F5114" t="s">
        <v>52</v>
      </c>
      <c r="G5114">
        <v>60</v>
      </c>
      <c r="H5114">
        <v>29</v>
      </c>
      <c r="I5114">
        <v>7</v>
      </c>
      <c r="J5114">
        <v>96</v>
      </c>
      <c r="K5114" s="482">
        <v>0.625</v>
      </c>
      <c r="L5114" s="482">
        <v>0.30199999999999999</v>
      </c>
      <c r="M5114" s="482">
        <v>7.2999999999999995E-2</v>
      </c>
    </row>
    <row r="5115" spans="1:13" x14ac:dyDescent="0.2">
      <c r="A5115" t="s">
        <v>6483</v>
      </c>
      <c r="B5115" t="s">
        <v>17</v>
      </c>
      <c r="C5115" t="s">
        <v>1</v>
      </c>
      <c r="D5115" t="s">
        <v>3885</v>
      </c>
      <c r="E5115" t="s">
        <v>3886</v>
      </c>
      <c r="F5115" t="s">
        <v>52</v>
      </c>
      <c r="G5115">
        <v>0</v>
      </c>
      <c r="H5115" t="s">
        <v>53</v>
      </c>
      <c r="I5115">
        <v>0</v>
      </c>
      <c r="J5115" t="s">
        <v>53</v>
      </c>
      <c r="K5115" t="s">
        <v>53</v>
      </c>
      <c r="L5115" t="s">
        <v>53</v>
      </c>
      <c r="M5115" t="s">
        <v>53</v>
      </c>
    </row>
    <row r="5116" spans="1:13" x14ac:dyDescent="0.2">
      <c r="A5116" t="s">
        <v>6485</v>
      </c>
      <c r="B5116" t="s">
        <v>17</v>
      </c>
      <c r="C5116" t="s">
        <v>1</v>
      </c>
      <c r="D5116" t="s">
        <v>3894</v>
      </c>
      <c r="E5116" t="s">
        <v>3895</v>
      </c>
      <c r="F5116" t="s">
        <v>52</v>
      </c>
      <c r="G5116">
        <v>5</v>
      </c>
      <c r="H5116">
        <v>2</v>
      </c>
      <c r="I5116">
        <v>0</v>
      </c>
      <c r="J5116">
        <v>7</v>
      </c>
      <c r="K5116" s="482">
        <v>0.71399999999999997</v>
      </c>
      <c r="L5116" s="482">
        <v>0.28599999999999998</v>
      </c>
      <c r="M5116" s="482">
        <v>0</v>
      </c>
    </row>
    <row r="5117" spans="1:13" x14ac:dyDescent="0.2">
      <c r="A5117" t="s">
        <v>6486</v>
      </c>
      <c r="B5117" t="s">
        <v>17</v>
      </c>
      <c r="C5117" t="s">
        <v>1</v>
      </c>
      <c r="D5117" t="s">
        <v>3906</v>
      </c>
      <c r="E5117" t="s">
        <v>3907</v>
      </c>
      <c r="F5117" t="s">
        <v>52</v>
      </c>
      <c r="G5117">
        <v>74</v>
      </c>
      <c r="H5117">
        <v>25</v>
      </c>
      <c r="I5117">
        <v>10</v>
      </c>
      <c r="J5117">
        <v>109</v>
      </c>
      <c r="K5117" s="482">
        <v>0.67900000000000005</v>
      </c>
      <c r="L5117" s="482">
        <v>0.22900000000000001</v>
      </c>
      <c r="M5117" s="482">
        <v>9.1999999999999998E-2</v>
      </c>
    </row>
    <row r="5118" spans="1:13" x14ac:dyDescent="0.2">
      <c r="A5118" t="s">
        <v>6378</v>
      </c>
      <c r="B5118" t="s">
        <v>17</v>
      </c>
      <c r="C5118" t="s">
        <v>1</v>
      </c>
      <c r="D5118" t="s">
        <v>4370</v>
      </c>
      <c r="E5118" t="s">
        <v>4371</v>
      </c>
      <c r="F5118" t="s">
        <v>52</v>
      </c>
      <c r="G5118">
        <v>3</v>
      </c>
      <c r="H5118">
        <v>4</v>
      </c>
      <c r="I5118">
        <v>0</v>
      </c>
      <c r="J5118">
        <v>7</v>
      </c>
      <c r="K5118" s="482">
        <v>0.42899999999999999</v>
      </c>
      <c r="L5118" s="482">
        <v>0.57099999999999995</v>
      </c>
      <c r="M5118" s="482">
        <v>0</v>
      </c>
    </row>
    <row r="5119" spans="1:13" x14ac:dyDescent="0.2">
      <c r="A5119" t="s">
        <v>6377</v>
      </c>
      <c r="B5119" t="s">
        <v>17</v>
      </c>
      <c r="C5119" t="s">
        <v>1</v>
      </c>
      <c r="D5119" t="s">
        <v>3418</v>
      </c>
      <c r="E5119" t="s">
        <v>3419</v>
      </c>
      <c r="F5119" t="s">
        <v>52</v>
      </c>
      <c r="G5119">
        <v>5</v>
      </c>
      <c r="H5119">
        <v>8</v>
      </c>
      <c r="I5119">
        <v>1</v>
      </c>
      <c r="J5119">
        <v>14</v>
      </c>
      <c r="K5119" s="482">
        <v>0.35699999999999998</v>
      </c>
      <c r="L5119" s="482">
        <v>0.57099999999999995</v>
      </c>
      <c r="M5119" s="482">
        <v>7.0999999999999994E-2</v>
      </c>
    </row>
    <row r="5120" spans="1:13" x14ac:dyDescent="0.2">
      <c r="A5120" t="s">
        <v>6376</v>
      </c>
      <c r="B5120" t="s">
        <v>17</v>
      </c>
      <c r="C5120" t="s">
        <v>1</v>
      </c>
      <c r="D5120" t="s">
        <v>3343</v>
      </c>
      <c r="E5120" t="s">
        <v>3344</v>
      </c>
      <c r="F5120" t="s">
        <v>52</v>
      </c>
      <c r="G5120" t="s">
        <v>53</v>
      </c>
      <c r="H5120">
        <v>0</v>
      </c>
      <c r="I5120">
        <v>0</v>
      </c>
      <c r="J5120" t="s">
        <v>53</v>
      </c>
      <c r="K5120" t="s">
        <v>53</v>
      </c>
      <c r="L5120" t="s">
        <v>53</v>
      </c>
      <c r="M5120" t="s">
        <v>53</v>
      </c>
    </row>
    <row r="5121" spans="1:13" x14ac:dyDescent="0.2">
      <c r="A5121" t="s">
        <v>6341</v>
      </c>
      <c r="B5121" t="s">
        <v>17</v>
      </c>
      <c r="C5121" t="s">
        <v>1</v>
      </c>
      <c r="D5121" t="s">
        <v>3088</v>
      </c>
      <c r="E5121" t="s">
        <v>3089</v>
      </c>
      <c r="F5121" t="s">
        <v>52</v>
      </c>
      <c r="G5121">
        <v>15</v>
      </c>
      <c r="H5121">
        <v>15</v>
      </c>
      <c r="I5121">
        <v>5</v>
      </c>
      <c r="J5121">
        <v>35</v>
      </c>
      <c r="K5121" s="482">
        <v>0.42899999999999999</v>
      </c>
      <c r="L5121" s="482">
        <v>0.42899999999999999</v>
      </c>
      <c r="M5121" s="482">
        <v>0.14299999999999999</v>
      </c>
    </row>
    <row r="5122" spans="1:13" x14ac:dyDescent="0.2">
      <c r="A5122" t="s">
        <v>6346</v>
      </c>
      <c r="B5122" t="s">
        <v>17</v>
      </c>
      <c r="C5122" t="s">
        <v>1</v>
      </c>
      <c r="D5122" t="s">
        <v>3103</v>
      </c>
      <c r="E5122" t="s">
        <v>3104</v>
      </c>
      <c r="F5122" t="s">
        <v>52</v>
      </c>
      <c r="G5122">
        <v>5</v>
      </c>
      <c r="H5122">
        <v>1</v>
      </c>
      <c r="I5122">
        <v>0</v>
      </c>
      <c r="J5122">
        <v>6</v>
      </c>
      <c r="K5122" s="482">
        <v>0.83299999999999996</v>
      </c>
      <c r="L5122" s="482">
        <v>0.16700000000000001</v>
      </c>
      <c r="M5122" s="482">
        <v>0</v>
      </c>
    </row>
    <row r="5123" spans="1:13" x14ac:dyDescent="0.2">
      <c r="A5123" t="s">
        <v>6347</v>
      </c>
      <c r="B5123" t="s">
        <v>17</v>
      </c>
      <c r="C5123" t="s">
        <v>1</v>
      </c>
      <c r="D5123" t="s">
        <v>3106</v>
      </c>
      <c r="E5123" t="s">
        <v>3107</v>
      </c>
      <c r="F5123" t="s">
        <v>52</v>
      </c>
      <c r="G5123">
        <v>15</v>
      </c>
      <c r="H5123">
        <v>7</v>
      </c>
      <c r="I5123">
        <v>1</v>
      </c>
      <c r="J5123">
        <v>23</v>
      </c>
      <c r="K5123" s="482">
        <v>0.65200000000000002</v>
      </c>
      <c r="L5123" s="482">
        <v>0.30399999999999999</v>
      </c>
      <c r="M5123" s="482">
        <v>4.2999999999999997E-2</v>
      </c>
    </row>
    <row r="5124" spans="1:13" x14ac:dyDescent="0.2">
      <c r="A5124" t="s">
        <v>6455</v>
      </c>
      <c r="B5124" t="s">
        <v>17</v>
      </c>
      <c r="C5124" t="s">
        <v>1</v>
      </c>
      <c r="D5124" t="s">
        <v>3793</v>
      </c>
      <c r="E5124" t="s">
        <v>3794</v>
      </c>
      <c r="F5124" t="s">
        <v>52</v>
      </c>
      <c r="G5124" t="s">
        <v>53</v>
      </c>
      <c r="H5124">
        <v>0</v>
      </c>
      <c r="I5124">
        <v>0</v>
      </c>
      <c r="J5124" t="s">
        <v>53</v>
      </c>
      <c r="K5124" t="s">
        <v>53</v>
      </c>
      <c r="L5124" t="s">
        <v>53</v>
      </c>
      <c r="M5124" t="s">
        <v>53</v>
      </c>
    </row>
    <row r="5125" spans="1:13" x14ac:dyDescent="0.2">
      <c r="A5125" t="s">
        <v>6355</v>
      </c>
      <c r="B5125" t="s">
        <v>17</v>
      </c>
      <c r="C5125" t="s">
        <v>1</v>
      </c>
      <c r="D5125" t="s">
        <v>3148</v>
      </c>
      <c r="E5125" t="s">
        <v>3149</v>
      </c>
      <c r="F5125" t="s">
        <v>52</v>
      </c>
      <c r="G5125">
        <v>7</v>
      </c>
      <c r="H5125">
        <v>12</v>
      </c>
      <c r="I5125">
        <v>7</v>
      </c>
      <c r="J5125">
        <v>26</v>
      </c>
      <c r="K5125" s="482">
        <v>0.26900000000000002</v>
      </c>
      <c r="L5125" s="482">
        <v>0.46200000000000002</v>
      </c>
      <c r="M5125" s="482">
        <v>0.26900000000000002</v>
      </c>
    </row>
    <row r="5126" spans="1:13" x14ac:dyDescent="0.2">
      <c r="A5126" t="s">
        <v>6356</v>
      </c>
      <c r="B5126" t="s">
        <v>17</v>
      </c>
      <c r="C5126" t="s">
        <v>1</v>
      </c>
      <c r="D5126" t="s">
        <v>3151</v>
      </c>
      <c r="E5126" t="s">
        <v>3152</v>
      </c>
      <c r="F5126" t="s">
        <v>52</v>
      </c>
      <c r="G5126">
        <v>48</v>
      </c>
      <c r="H5126">
        <v>21</v>
      </c>
      <c r="I5126">
        <v>14</v>
      </c>
      <c r="J5126">
        <v>83</v>
      </c>
      <c r="K5126" s="482">
        <v>0.57799999999999996</v>
      </c>
      <c r="L5126" s="482">
        <v>0.253</v>
      </c>
      <c r="M5126" s="482">
        <v>0.16900000000000001</v>
      </c>
    </row>
    <row r="5127" spans="1:13" x14ac:dyDescent="0.2">
      <c r="A5127" t="s">
        <v>6351</v>
      </c>
      <c r="B5127" t="s">
        <v>17</v>
      </c>
      <c r="C5127" t="s">
        <v>1</v>
      </c>
      <c r="D5127" t="s">
        <v>3121</v>
      </c>
      <c r="E5127" t="s">
        <v>3122</v>
      </c>
      <c r="F5127" t="s">
        <v>52</v>
      </c>
      <c r="G5127">
        <v>71</v>
      </c>
      <c r="H5127">
        <v>47</v>
      </c>
      <c r="I5127">
        <v>20</v>
      </c>
      <c r="J5127">
        <v>138</v>
      </c>
      <c r="K5127" s="482">
        <v>0.51400000000000001</v>
      </c>
      <c r="L5127" s="482">
        <v>0.34100000000000003</v>
      </c>
      <c r="M5127" s="482">
        <v>0.14499999999999999</v>
      </c>
    </row>
    <row r="5128" spans="1:13" x14ac:dyDescent="0.2">
      <c r="A5128" t="s">
        <v>6350</v>
      </c>
      <c r="B5128" t="s">
        <v>17</v>
      </c>
      <c r="C5128" t="s">
        <v>1</v>
      </c>
      <c r="D5128" t="s">
        <v>3115</v>
      </c>
      <c r="E5128" t="s">
        <v>3116</v>
      </c>
      <c r="F5128" t="s">
        <v>52</v>
      </c>
      <c r="G5128">
        <v>9</v>
      </c>
      <c r="H5128">
        <v>7</v>
      </c>
      <c r="I5128">
        <v>3</v>
      </c>
      <c r="J5128">
        <v>19</v>
      </c>
      <c r="K5128" s="482">
        <v>0.47399999999999998</v>
      </c>
      <c r="L5128" s="482">
        <v>0.36799999999999999</v>
      </c>
      <c r="M5128" s="482">
        <v>0.158</v>
      </c>
    </row>
    <row r="5129" spans="1:13" x14ac:dyDescent="0.2">
      <c r="A5129" t="s">
        <v>6349</v>
      </c>
      <c r="B5129" t="s">
        <v>17</v>
      </c>
      <c r="C5129" t="s">
        <v>1</v>
      </c>
      <c r="D5129" t="s">
        <v>3112</v>
      </c>
      <c r="E5129" t="s">
        <v>3113</v>
      </c>
      <c r="F5129" t="s">
        <v>52</v>
      </c>
      <c r="G5129">
        <v>8</v>
      </c>
      <c r="H5129">
        <v>4</v>
      </c>
      <c r="I5129">
        <v>1</v>
      </c>
      <c r="J5129">
        <v>13</v>
      </c>
      <c r="K5129" s="482">
        <v>0.61499999999999999</v>
      </c>
      <c r="L5129" s="482">
        <v>0.308</v>
      </c>
      <c r="M5129" s="482">
        <v>7.6999999999999999E-2</v>
      </c>
    </row>
    <row r="5130" spans="1:13" x14ac:dyDescent="0.2">
      <c r="A5130" t="s">
        <v>6428</v>
      </c>
      <c r="B5130" t="s">
        <v>17</v>
      </c>
      <c r="C5130" t="s">
        <v>1</v>
      </c>
      <c r="D5130" t="s">
        <v>3675</v>
      </c>
      <c r="E5130" t="s">
        <v>3676</v>
      </c>
      <c r="F5130" t="s">
        <v>52</v>
      </c>
      <c r="G5130">
        <v>19</v>
      </c>
      <c r="H5130">
        <v>8</v>
      </c>
      <c r="I5130">
        <v>7</v>
      </c>
      <c r="J5130">
        <v>34</v>
      </c>
      <c r="K5130" s="482">
        <v>0.55900000000000005</v>
      </c>
      <c r="L5130" s="482">
        <v>0.23499999999999999</v>
      </c>
      <c r="M5130" s="482">
        <v>0.20599999999999999</v>
      </c>
    </row>
    <row r="5131" spans="1:13" x14ac:dyDescent="0.2">
      <c r="A5131" t="s">
        <v>6429</v>
      </c>
      <c r="B5131" t="s">
        <v>17</v>
      </c>
      <c r="C5131" t="s">
        <v>1</v>
      </c>
      <c r="D5131" t="s">
        <v>3678</v>
      </c>
      <c r="E5131" t="s">
        <v>3679</v>
      </c>
      <c r="F5131" t="s">
        <v>52</v>
      </c>
      <c r="G5131">
        <v>8</v>
      </c>
      <c r="H5131">
        <v>2</v>
      </c>
      <c r="I5131">
        <v>0</v>
      </c>
      <c r="J5131">
        <v>10</v>
      </c>
      <c r="K5131" s="482">
        <v>0.8</v>
      </c>
      <c r="L5131" s="482">
        <v>0.2</v>
      </c>
      <c r="M5131" s="482">
        <v>0</v>
      </c>
    </row>
    <row r="5132" spans="1:13" x14ac:dyDescent="0.2">
      <c r="A5132" t="s">
        <v>6442</v>
      </c>
      <c r="B5132" t="s">
        <v>17</v>
      </c>
      <c r="C5132" t="s">
        <v>1</v>
      </c>
      <c r="D5132" t="s">
        <v>3748</v>
      </c>
      <c r="E5132" t="s">
        <v>3749</v>
      </c>
      <c r="F5132" t="s">
        <v>52</v>
      </c>
      <c r="G5132">
        <v>100</v>
      </c>
      <c r="H5132">
        <v>58</v>
      </c>
      <c r="I5132">
        <v>35</v>
      </c>
      <c r="J5132">
        <v>193</v>
      </c>
      <c r="K5132" s="482">
        <v>0.51800000000000002</v>
      </c>
      <c r="L5132" s="482">
        <v>0.30099999999999999</v>
      </c>
      <c r="M5132" s="482">
        <v>0.18099999999999999</v>
      </c>
    </row>
    <row r="5133" spans="1:13" x14ac:dyDescent="0.2">
      <c r="A5133" t="s">
        <v>6370</v>
      </c>
      <c r="B5133" t="s">
        <v>17</v>
      </c>
      <c r="C5133" t="s">
        <v>1</v>
      </c>
      <c r="D5133" t="s">
        <v>3358</v>
      </c>
      <c r="E5133" t="s">
        <v>3359</v>
      </c>
      <c r="F5133" t="s">
        <v>52</v>
      </c>
      <c r="G5133">
        <v>24</v>
      </c>
      <c r="H5133">
        <v>18</v>
      </c>
      <c r="I5133">
        <v>13</v>
      </c>
      <c r="J5133">
        <v>55</v>
      </c>
      <c r="K5133" s="482">
        <v>0.436</v>
      </c>
      <c r="L5133" s="482">
        <v>0.32700000000000001</v>
      </c>
      <c r="M5133" s="482">
        <v>0.23599999999999999</v>
      </c>
    </row>
    <row r="5134" spans="1:13" x14ac:dyDescent="0.2">
      <c r="A5134" t="s">
        <v>6375</v>
      </c>
      <c r="B5134" t="s">
        <v>17</v>
      </c>
      <c r="C5134" t="s">
        <v>1</v>
      </c>
      <c r="D5134" t="s">
        <v>3376</v>
      </c>
      <c r="E5134" t="s">
        <v>3377</v>
      </c>
      <c r="F5134" t="s">
        <v>52</v>
      </c>
      <c r="G5134">
        <v>13</v>
      </c>
      <c r="H5134">
        <v>4</v>
      </c>
      <c r="I5134">
        <v>1</v>
      </c>
      <c r="J5134">
        <v>18</v>
      </c>
      <c r="K5134" s="482">
        <v>0.72199999999999998</v>
      </c>
      <c r="L5134" s="482">
        <v>0.222</v>
      </c>
      <c r="M5134" s="482">
        <v>5.6000000000000001E-2</v>
      </c>
    </row>
    <row r="5135" spans="1:13" x14ac:dyDescent="0.2">
      <c r="A5135" t="s">
        <v>6371</v>
      </c>
      <c r="B5135" t="s">
        <v>17</v>
      </c>
      <c r="C5135" t="s">
        <v>1</v>
      </c>
      <c r="D5135" t="s">
        <v>3361</v>
      </c>
      <c r="E5135" t="s">
        <v>3362</v>
      </c>
      <c r="F5135" t="s">
        <v>52</v>
      </c>
      <c r="G5135">
        <v>15</v>
      </c>
      <c r="H5135">
        <v>14</v>
      </c>
      <c r="I5135">
        <v>9</v>
      </c>
      <c r="J5135">
        <v>38</v>
      </c>
      <c r="K5135" s="482">
        <v>0.39500000000000002</v>
      </c>
      <c r="L5135" s="482">
        <v>0.36799999999999999</v>
      </c>
      <c r="M5135" s="482">
        <v>0.23699999999999999</v>
      </c>
    </row>
    <row r="5136" spans="1:13" x14ac:dyDescent="0.2">
      <c r="A5136" t="s">
        <v>6372</v>
      </c>
      <c r="B5136" t="s">
        <v>17</v>
      </c>
      <c r="C5136" t="s">
        <v>1</v>
      </c>
      <c r="D5136" t="s">
        <v>3367</v>
      </c>
      <c r="E5136" t="s">
        <v>3368</v>
      </c>
      <c r="F5136" t="s">
        <v>52</v>
      </c>
      <c r="G5136">
        <v>30</v>
      </c>
      <c r="H5136">
        <v>17</v>
      </c>
      <c r="I5136">
        <v>7</v>
      </c>
      <c r="J5136">
        <v>54</v>
      </c>
      <c r="K5136" s="482">
        <v>0.55600000000000005</v>
      </c>
      <c r="L5136" s="482">
        <v>0.315</v>
      </c>
      <c r="M5136" s="482">
        <v>0.13</v>
      </c>
    </row>
    <row r="5137" spans="1:13" x14ac:dyDescent="0.2">
      <c r="A5137" t="s">
        <v>6373</v>
      </c>
      <c r="B5137" t="s">
        <v>17</v>
      </c>
      <c r="C5137" t="s">
        <v>1</v>
      </c>
      <c r="D5137" t="s">
        <v>3370</v>
      </c>
      <c r="E5137" t="s">
        <v>3371</v>
      </c>
      <c r="F5137" t="s">
        <v>52</v>
      </c>
      <c r="G5137">
        <v>24</v>
      </c>
      <c r="H5137">
        <v>5</v>
      </c>
      <c r="I5137">
        <v>6</v>
      </c>
      <c r="J5137">
        <v>35</v>
      </c>
      <c r="K5137" s="482">
        <v>0.68600000000000005</v>
      </c>
      <c r="L5137" s="482">
        <v>0.14299999999999999</v>
      </c>
      <c r="M5137" s="482">
        <v>0.17100000000000001</v>
      </c>
    </row>
    <row r="5138" spans="1:13" x14ac:dyDescent="0.2">
      <c r="A5138" t="s">
        <v>6374</v>
      </c>
      <c r="B5138" t="s">
        <v>17</v>
      </c>
      <c r="C5138" t="s">
        <v>1</v>
      </c>
      <c r="D5138" t="s">
        <v>3373</v>
      </c>
      <c r="E5138" t="s">
        <v>3374</v>
      </c>
      <c r="F5138" t="s">
        <v>52</v>
      </c>
      <c r="G5138">
        <v>8</v>
      </c>
      <c r="H5138">
        <v>5</v>
      </c>
      <c r="I5138">
        <v>1</v>
      </c>
      <c r="J5138">
        <v>14</v>
      </c>
      <c r="K5138" s="482">
        <v>0.57099999999999995</v>
      </c>
      <c r="L5138" s="482">
        <v>0.35699999999999998</v>
      </c>
      <c r="M5138" s="482">
        <v>7.0999999999999994E-2</v>
      </c>
    </row>
    <row r="5139" spans="1:13" x14ac:dyDescent="0.2">
      <c r="A5139" t="s">
        <v>6340</v>
      </c>
      <c r="B5139" t="s">
        <v>17</v>
      </c>
      <c r="C5139" t="s">
        <v>1</v>
      </c>
      <c r="D5139" t="s">
        <v>3379</v>
      </c>
      <c r="E5139" t="s">
        <v>3380</v>
      </c>
      <c r="F5139" t="s">
        <v>52</v>
      </c>
      <c r="G5139">
        <v>55</v>
      </c>
      <c r="H5139">
        <v>36</v>
      </c>
      <c r="I5139">
        <v>14</v>
      </c>
      <c r="J5139">
        <v>105</v>
      </c>
      <c r="K5139" s="482">
        <v>0.52400000000000002</v>
      </c>
      <c r="L5139" s="482">
        <v>0.34300000000000003</v>
      </c>
      <c r="M5139" s="482">
        <v>0.13300000000000001</v>
      </c>
    </row>
    <row r="5140" spans="1:13" x14ac:dyDescent="0.2">
      <c r="A5140" t="s">
        <v>6336</v>
      </c>
      <c r="B5140" t="s">
        <v>17</v>
      </c>
      <c r="C5140" t="s">
        <v>1</v>
      </c>
      <c r="D5140" t="s">
        <v>3076</v>
      </c>
      <c r="E5140" t="s">
        <v>3077</v>
      </c>
      <c r="F5140" t="s">
        <v>52</v>
      </c>
      <c r="G5140">
        <v>40</v>
      </c>
      <c r="H5140">
        <v>26</v>
      </c>
      <c r="I5140">
        <v>5</v>
      </c>
      <c r="J5140">
        <v>71</v>
      </c>
      <c r="K5140" s="482">
        <v>0.56299999999999994</v>
      </c>
      <c r="L5140" s="482">
        <v>0.36599999999999999</v>
      </c>
      <c r="M5140" s="482">
        <v>7.0000000000000007E-2</v>
      </c>
    </row>
    <row r="5141" spans="1:13" x14ac:dyDescent="0.2">
      <c r="A5141" t="s">
        <v>6337</v>
      </c>
      <c r="B5141" t="s">
        <v>17</v>
      </c>
      <c r="C5141" t="s">
        <v>1</v>
      </c>
      <c r="D5141" t="s">
        <v>3079</v>
      </c>
      <c r="E5141" t="s">
        <v>3080</v>
      </c>
      <c r="F5141" t="s">
        <v>52</v>
      </c>
      <c r="G5141">
        <v>5</v>
      </c>
      <c r="H5141">
        <v>3</v>
      </c>
      <c r="I5141">
        <v>3</v>
      </c>
      <c r="J5141">
        <v>11</v>
      </c>
      <c r="K5141" s="482">
        <v>0.45500000000000002</v>
      </c>
      <c r="L5141" s="482">
        <v>0.27300000000000002</v>
      </c>
      <c r="M5141" s="482">
        <v>0.27300000000000002</v>
      </c>
    </row>
    <row r="5142" spans="1:13" x14ac:dyDescent="0.2">
      <c r="A5142" t="s">
        <v>6338</v>
      </c>
      <c r="B5142" t="s">
        <v>17</v>
      </c>
      <c r="C5142" t="s">
        <v>1</v>
      </c>
      <c r="D5142" t="s">
        <v>3082</v>
      </c>
      <c r="E5142" t="s">
        <v>3083</v>
      </c>
      <c r="F5142" t="s">
        <v>52</v>
      </c>
      <c r="G5142">
        <v>17</v>
      </c>
      <c r="H5142">
        <v>3</v>
      </c>
      <c r="I5142">
        <v>2</v>
      </c>
      <c r="J5142">
        <v>22</v>
      </c>
      <c r="K5142" s="482">
        <v>0.77300000000000002</v>
      </c>
      <c r="L5142" s="482">
        <v>0.13600000000000001</v>
      </c>
      <c r="M5142" s="482">
        <v>9.0999999999999998E-2</v>
      </c>
    </row>
    <row r="5143" spans="1:13" x14ac:dyDescent="0.2">
      <c r="A5143" t="s">
        <v>6339</v>
      </c>
      <c r="B5143" t="s">
        <v>17</v>
      </c>
      <c r="C5143" t="s">
        <v>1</v>
      </c>
      <c r="D5143" t="s">
        <v>3085</v>
      </c>
      <c r="E5143" t="s">
        <v>3086</v>
      </c>
      <c r="F5143" t="s">
        <v>52</v>
      </c>
      <c r="G5143">
        <v>8</v>
      </c>
      <c r="H5143">
        <v>15</v>
      </c>
      <c r="I5143">
        <v>1</v>
      </c>
      <c r="J5143">
        <v>24</v>
      </c>
      <c r="K5143" s="482">
        <v>0.33300000000000002</v>
      </c>
      <c r="L5143" s="482">
        <v>0.625</v>
      </c>
      <c r="M5143" s="482">
        <v>4.2000000000000003E-2</v>
      </c>
    </row>
    <row r="5144" spans="1:13" x14ac:dyDescent="0.2">
      <c r="A5144" t="s">
        <v>6343</v>
      </c>
      <c r="B5144" t="s">
        <v>17</v>
      </c>
      <c r="C5144" t="s">
        <v>1</v>
      </c>
      <c r="D5144" t="s">
        <v>3094</v>
      </c>
      <c r="E5144" t="s">
        <v>3095</v>
      </c>
      <c r="F5144" t="s">
        <v>52</v>
      </c>
      <c r="G5144">
        <v>77</v>
      </c>
      <c r="H5144">
        <v>70</v>
      </c>
      <c r="I5144">
        <v>29</v>
      </c>
      <c r="J5144">
        <v>176</v>
      </c>
      <c r="K5144" s="482">
        <v>0.438</v>
      </c>
      <c r="L5144" s="482">
        <v>0.39800000000000002</v>
      </c>
      <c r="M5144" s="482">
        <v>0.16500000000000001</v>
      </c>
    </row>
    <row r="5145" spans="1:13" x14ac:dyDescent="0.2">
      <c r="A5145" t="s">
        <v>6344</v>
      </c>
      <c r="B5145" t="s">
        <v>17</v>
      </c>
      <c r="C5145" t="s">
        <v>1</v>
      </c>
      <c r="D5145" t="s">
        <v>3097</v>
      </c>
      <c r="E5145" t="s">
        <v>3098</v>
      </c>
      <c r="F5145" t="s">
        <v>52</v>
      </c>
      <c r="G5145">
        <v>6</v>
      </c>
      <c r="H5145">
        <v>10</v>
      </c>
      <c r="I5145">
        <v>5</v>
      </c>
      <c r="J5145">
        <v>21</v>
      </c>
      <c r="K5145" s="482">
        <v>0.28599999999999998</v>
      </c>
      <c r="L5145" s="482">
        <v>0.47599999999999998</v>
      </c>
      <c r="M5145" s="482">
        <v>0.23799999999999999</v>
      </c>
    </row>
    <row r="5146" spans="1:13" x14ac:dyDescent="0.2">
      <c r="A5146" t="s">
        <v>6345</v>
      </c>
      <c r="B5146" t="s">
        <v>17</v>
      </c>
      <c r="C5146" t="s">
        <v>1</v>
      </c>
      <c r="D5146" t="s">
        <v>3100</v>
      </c>
      <c r="E5146" t="s">
        <v>3101</v>
      </c>
      <c r="F5146" t="s">
        <v>52</v>
      </c>
      <c r="G5146">
        <v>105</v>
      </c>
      <c r="H5146">
        <v>79</v>
      </c>
      <c r="I5146">
        <v>53</v>
      </c>
      <c r="J5146">
        <v>237</v>
      </c>
      <c r="K5146" s="482">
        <v>0.443</v>
      </c>
      <c r="L5146" s="482">
        <v>0.33300000000000002</v>
      </c>
      <c r="M5146" s="482">
        <v>0.224</v>
      </c>
    </row>
    <row r="5147" spans="1:13" x14ac:dyDescent="0.2">
      <c r="A5147" t="s">
        <v>6431</v>
      </c>
      <c r="B5147" t="s">
        <v>17</v>
      </c>
      <c r="C5147" t="s">
        <v>1</v>
      </c>
      <c r="D5147" t="s">
        <v>3742</v>
      </c>
      <c r="E5147" t="s">
        <v>3743</v>
      </c>
      <c r="F5147" t="s">
        <v>52</v>
      </c>
      <c r="G5147" t="s">
        <v>53</v>
      </c>
      <c r="H5147" t="s">
        <v>53</v>
      </c>
      <c r="I5147">
        <v>0</v>
      </c>
      <c r="J5147" t="s">
        <v>53</v>
      </c>
      <c r="K5147" t="s">
        <v>53</v>
      </c>
      <c r="L5147" t="s">
        <v>53</v>
      </c>
      <c r="M5147" t="s">
        <v>53</v>
      </c>
    </row>
    <row r="5148" spans="1:13" x14ac:dyDescent="0.2">
      <c r="A5148" t="s">
        <v>6440</v>
      </c>
      <c r="B5148" t="s">
        <v>17</v>
      </c>
      <c r="C5148" t="s">
        <v>1</v>
      </c>
      <c r="D5148" t="s">
        <v>3382</v>
      </c>
      <c r="E5148" t="s">
        <v>3383</v>
      </c>
      <c r="F5148" t="s">
        <v>52</v>
      </c>
      <c r="G5148">
        <v>41</v>
      </c>
      <c r="H5148">
        <v>19</v>
      </c>
      <c r="I5148">
        <v>10</v>
      </c>
      <c r="J5148">
        <v>70</v>
      </c>
      <c r="K5148" s="482">
        <v>0.58599999999999997</v>
      </c>
      <c r="L5148" s="482">
        <v>0.27100000000000002</v>
      </c>
      <c r="M5148" s="482">
        <v>0.14299999999999999</v>
      </c>
    </row>
    <row r="5149" spans="1:13" x14ac:dyDescent="0.2">
      <c r="A5149" t="s">
        <v>6444</v>
      </c>
      <c r="B5149" t="s">
        <v>17</v>
      </c>
      <c r="C5149" t="s">
        <v>1</v>
      </c>
      <c r="D5149" t="s">
        <v>3754</v>
      </c>
      <c r="E5149" t="s">
        <v>3755</v>
      </c>
      <c r="F5149" t="s">
        <v>52</v>
      </c>
      <c r="G5149">
        <v>14</v>
      </c>
      <c r="H5149">
        <v>7</v>
      </c>
      <c r="I5149">
        <v>5</v>
      </c>
      <c r="J5149">
        <v>26</v>
      </c>
      <c r="K5149" s="482">
        <v>0.53800000000000003</v>
      </c>
      <c r="L5149" s="482">
        <v>0.26900000000000002</v>
      </c>
      <c r="M5149" s="482">
        <v>0.192</v>
      </c>
    </row>
    <row r="5150" spans="1:13" x14ac:dyDescent="0.2">
      <c r="A5150" t="s">
        <v>6441</v>
      </c>
      <c r="B5150" t="s">
        <v>17</v>
      </c>
      <c r="C5150" t="s">
        <v>1</v>
      </c>
      <c r="D5150" t="s">
        <v>3739</v>
      </c>
      <c r="E5150" t="s">
        <v>3740</v>
      </c>
      <c r="F5150" t="s">
        <v>52</v>
      </c>
      <c r="G5150">
        <v>4</v>
      </c>
      <c r="H5150">
        <v>3</v>
      </c>
      <c r="I5150">
        <v>0</v>
      </c>
      <c r="J5150">
        <v>7</v>
      </c>
      <c r="K5150" s="482">
        <v>0.57099999999999995</v>
      </c>
      <c r="L5150" s="482">
        <v>0.42899999999999999</v>
      </c>
      <c r="M5150" s="482">
        <v>0</v>
      </c>
    </row>
    <row r="5151" spans="1:13" x14ac:dyDescent="0.2">
      <c r="A5151" t="s">
        <v>6443</v>
      </c>
      <c r="B5151" t="s">
        <v>17</v>
      </c>
      <c r="C5151" t="s">
        <v>1</v>
      </c>
      <c r="D5151" t="s">
        <v>3751</v>
      </c>
      <c r="E5151" t="s">
        <v>3752</v>
      </c>
      <c r="F5151" t="s">
        <v>52</v>
      </c>
      <c r="G5151">
        <v>14</v>
      </c>
      <c r="H5151">
        <v>8</v>
      </c>
      <c r="I5151">
        <v>4</v>
      </c>
      <c r="J5151">
        <v>26</v>
      </c>
      <c r="K5151" s="482">
        <v>0.53800000000000003</v>
      </c>
      <c r="L5151" s="482">
        <v>0.308</v>
      </c>
      <c r="M5151" s="482">
        <v>0.154</v>
      </c>
    </row>
    <row r="5152" spans="1:13" x14ac:dyDescent="0.2">
      <c r="A5152" t="s">
        <v>6430</v>
      </c>
      <c r="B5152" t="s">
        <v>17</v>
      </c>
      <c r="C5152" t="s">
        <v>1</v>
      </c>
      <c r="D5152" t="s">
        <v>3681</v>
      </c>
      <c r="E5152" t="s">
        <v>3682</v>
      </c>
      <c r="F5152" t="s">
        <v>52</v>
      </c>
      <c r="G5152">
        <v>3</v>
      </c>
      <c r="H5152">
        <v>2</v>
      </c>
      <c r="I5152">
        <v>1</v>
      </c>
      <c r="J5152">
        <v>6</v>
      </c>
      <c r="K5152" s="482">
        <v>0.5</v>
      </c>
      <c r="L5152" s="482">
        <v>0.33300000000000002</v>
      </c>
      <c r="M5152" s="482">
        <v>0.16700000000000001</v>
      </c>
    </row>
    <row r="5153" spans="1:13" x14ac:dyDescent="0.2">
      <c r="A5153" t="s">
        <v>6414</v>
      </c>
      <c r="B5153" t="s">
        <v>17</v>
      </c>
      <c r="C5153" t="s">
        <v>1</v>
      </c>
      <c r="D5153" t="s">
        <v>3618</v>
      </c>
      <c r="E5153" t="s">
        <v>3619</v>
      </c>
      <c r="F5153" t="s">
        <v>52</v>
      </c>
      <c r="G5153" t="s">
        <v>53</v>
      </c>
      <c r="H5153">
        <v>0</v>
      </c>
      <c r="I5153">
        <v>0</v>
      </c>
      <c r="J5153" t="s">
        <v>53</v>
      </c>
      <c r="K5153" t="s">
        <v>53</v>
      </c>
      <c r="L5153" t="s">
        <v>53</v>
      </c>
      <c r="M5153" t="s">
        <v>53</v>
      </c>
    </row>
    <row r="5154" spans="1:13" x14ac:dyDescent="0.2">
      <c r="A5154" t="s">
        <v>6369</v>
      </c>
      <c r="B5154" t="s">
        <v>17</v>
      </c>
      <c r="C5154" t="s">
        <v>1</v>
      </c>
      <c r="D5154" t="s">
        <v>3307</v>
      </c>
      <c r="E5154" t="s">
        <v>3308</v>
      </c>
      <c r="F5154" t="s">
        <v>52</v>
      </c>
      <c r="G5154" t="s">
        <v>53</v>
      </c>
      <c r="H5154">
        <v>0</v>
      </c>
      <c r="I5154">
        <v>0</v>
      </c>
      <c r="J5154" t="s">
        <v>53</v>
      </c>
      <c r="K5154" t="s">
        <v>53</v>
      </c>
      <c r="L5154" t="s">
        <v>53</v>
      </c>
      <c r="M5154" t="s">
        <v>53</v>
      </c>
    </row>
    <row r="5155" spans="1:13" x14ac:dyDescent="0.2">
      <c r="A5155" t="s">
        <v>6408</v>
      </c>
      <c r="B5155" t="s">
        <v>17</v>
      </c>
      <c r="C5155" t="s">
        <v>1</v>
      </c>
      <c r="D5155" t="s">
        <v>3561</v>
      </c>
      <c r="E5155" t="s">
        <v>3562</v>
      </c>
      <c r="F5155" t="s">
        <v>52</v>
      </c>
      <c r="G5155">
        <v>7</v>
      </c>
      <c r="H5155">
        <v>2</v>
      </c>
      <c r="I5155">
        <v>0</v>
      </c>
      <c r="J5155">
        <v>9</v>
      </c>
      <c r="K5155" s="482">
        <v>0.77800000000000002</v>
      </c>
      <c r="L5155" s="482">
        <v>0.222</v>
      </c>
      <c r="M5155" s="482">
        <v>0</v>
      </c>
    </row>
    <row r="5156" spans="1:13" x14ac:dyDescent="0.2">
      <c r="A5156" t="s">
        <v>6469</v>
      </c>
      <c r="B5156" t="s">
        <v>17</v>
      </c>
      <c r="C5156" t="s">
        <v>1</v>
      </c>
      <c r="D5156" t="s">
        <v>3841</v>
      </c>
      <c r="E5156" t="s">
        <v>3842</v>
      </c>
      <c r="F5156" t="s">
        <v>52</v>
      </c>
      <c r="G5156">
        <v>38</v>
      </c>
      <c r="H5156">
        <v>22</v>
      </c>
      <c r="I5156">
        <v>5</v>
      </c>
      <c r="J5156">
        <v>65</v>
      </c>
      <c r="K5156" s="482">
        <v>0.58499999999999996</v>
      </c>
      <c r="L5156" s="482">
        <v>0.33800000000000002</v>
      </c>
      <c r="M5156" s="482">
        <v>7.6999999999999999E-2</v>
      </c>
    </row>
    <row r="5157" spans="1:13" x14ac:dyDescent="0.2">
      <c r="A5157" t="s">
        <v>6470</v>
      </c>
      <c r="B5157" t="s">
        <v>17</v>
      </c>
      <c r="C5157" t="s">
        <v>1</v>
      </c>
      <c r="D5157" t="s">
        <v>3844</v>
      </c>
      <c r="E5157" t="s">
        <v>345</v>
      </c>
      <c r="F5157" t="s">
        <v>52</v>
      </c>
      <c r="G5157">
        <v>13</v>
      </c>
      <c r="H5157">
        <v>3</v>
      </c>
      <c r="I5157">
        <v>5</v>
      </c>
      <c r="J5157">
        <v>21</v>
      </c>
      <c r="K5157" s="482">
        <v>0.61899999999999999</v>
      </c>
      <c r="L5157" s="482">
        <v>0.14299999999999999</v>
      </c>
      <c r="M5157" s="482">
        <v>0.23799999999999999</v>
      </c>
    </row>
    <row r="5158" spans="1:13" x14ac:dyDescent="0.2">
      <c r="A5158" t="s">
        <v>6393</v>
      </c>
      <c r="B5158" t="s">
        <v>17</v>
      </c>
      <c r="C5158" t="s">
        <v>1</v>
      </c>
      <c r="D5158" t="s">
        <v>3846</v>
      </c>
      <c r="E5158" t="s">
        <v>3847</v>
      </c>
      <c r="F5158" t="s">
        <v>52</v>
      </c>
      <c r="G5158">
        <v>8</v>
      </c>
      <c r="H5158">
        <v>5</v>
      </c>
      <c r="I5158">
        <v>2</v>
      </c>
      <c r="J5158">
        <v>15</v>
      </c>
      <c r="K5158" s="482">
        <v>0.53300000000000003</v>
      </c>
      <c r="L5158" s="482">
        <v>0.33300000000000002</v>
      </c>
      <c r="M5158" s="482">
        <v>0.13300000000000001</v>
      </c>
    </row>
    <row r="5159" spans="1:13" x14ac:dyDescent="0.2">
      <c r="A5159" t="s">
        <v>6468</v>
      </c>
      <c r="B5159" t="s">
        <v>17</v>
      </c>
      <c r="C5159" t="s">
        <v>1</v>
      </c>
      <c r="D5159" t="s">
        <v>3838</v>
      </c>
      <c r="E5159" t="s">
        <v>3839</v>
      </c>
      <c r="F5159" t="s">
        <v>52</v>
      </c>
      <c r="G5159">
        <v>11</v>
      </c>
      <c r="H5159">
        <v>3</v>
      </c>
      <c r="I5159">
        <v>7</v>
      </c>
      <c r="J5159">
        <v>21</v>
      </c>
      <c r="K5159" s="482">
        <v>0.52400000000000002</v>
      </c>
      <c r="L5159" s="482">
        <v>0.14299999999999999</v>
      </c>
      <c r="M5159" s="482">
        <v>0.33300000000000002</v>
      </c>
    </row>
    <row r="5160" spans="1:13" x14ac:dyDescent="0.2">
      <c r="A5160" s="32"/>
      <c r="G5160" s="145"/>
      <c r="H5160" s="145"/>
      <c r="I5160" s="145"/>
      <c r="J5160" s="145"/>
      <c r="K5160" s="481"/>
      <c r="L5160" s="481"/>
      <c r="M5160" s="481"/>
    </row>
    <row r="5161" spans="1:13" x14ac:dyDescent="0.2">
      <c r="A5161" s="32"/>
      <c r="G5161" s="145"/>
      <c r="H5161" s="145"/>
      <c r="I5161" s="145"/>
      <c r="J5161" s="145"/>
      <c r="K5161" s="481"/>
      <c r="L5161" s="481"/>
      <c r="M5161" s="481"/>
    </row>
    <row r="5162" spans="1:13" x14ac:dyDescent="0.2">
      <c r="A5162" s="32"/>
      <c r="G5162" s="145"/>
      <c r="H5162" s="145"/>
      <c r="I5162" s="145"/>
      <c r="J5162" s="145"/>
      <c r="K5162" s="481"/>
      <c r="L5162" s="481"/>
      <c r="M5162" s="481"/>
    </row>
    <row r="5163" spans="1:13" x14ac:dyDescent="0.2">
      <c r="A5163" s="32"/>
      <c r="G5163" s="145"/>
      <c r="H5163" s="145"/>
      <c r="I5163" s="145"/>
      <c r="J5163" s="145"/>
      <c r="K5163" s="481"/>
      <c r="L5163" s="481"/>
      <c r="M5163" s="481"/>
    </row>
    <row r="5164" spans="1:13" x14ac:dyDescent="0.2">
      <c r="A5164" s="32"/>
      <c r="G5164" s="145"/>
      <c r="H5164" s="145"/>
      <c r="I5164" s="145"/>
      <c r="J5164" s="145"/>
      <c r="K5164" s="481"/>
      <c r="L5164" s="481"/>
      <c r="M5164" s="481"/>
    </row>
    <row r="5165" spans="1:13" x14ac:dyDescent="0.2">
      <c r="A5165" s="32"/>
      <c r="G5165" s="145"/>
      <c r="H5165" s="145"/>
      <c r="I5165" s="145"/>
      <c r="J5165" s="145"/>
      <c r="K5165" s="481"/>
      <c r="L5165" s="481"/>
      <c r="M5165" s="481"/>
    </row>
    <row r="5166" spans="1:13" x14ac:dyDescent="0.2">
      <c r="A5166" s="32"/>
      <c r="G5166" s="145"/>
      <c r="H5166" s="145"/>
      <c r="I5166" s="145"/>
      <c r="J5166" s="145"/>
      <c r="K5166" s="481"/>
      <c r="L5166" s="481"/>
      <c r="M5166" s="481"/>
    </row>
    <row r="5167" spans="1:13" x14ac:dyDescent="0.2">
      <c r="A5167" s="32"/>
      <c r="G5167" s="145"/>
      <c r="H5167" s="145"/>
      <c r="I5167" s="145"/>
      <c r="J5167" s="145"/>
      <c r="K5167" s="481"/>
      <c r="L5167" s="481"/>
      <c r="M5167" s="481"/>
    </row>
    <row r="5168" spans="1:13" x14ac:dyDescent="0.2">
      <c r="A5168" s="32"/>
      <c r="G5168" s="145"/>
      <c r="H5168" s="145"/>
      <c r="I5168" s="145"/>
      <c r="J5168" s="145"/>
      <c r="K5168" s="481"/>
      <c r="L5168" s="481"/>
      <c r="M5168" s="481"/>
    </row>
    <row r="5169" spans="1:13" x14ac:dyDescent="0.2">
      <c r="A5169" s="32"/>
      <c r="G5169" s="145"/>
      <c r="H5169" s="145"/>
      <c r="I5169" s="145"/>
      <c r="J5169" s="145"/>
      <c r="K5169" s="481"/>
      <c r="L5169" s="481"/>
      <c r="M5169" s="481"/>
    </row>
    <row r="5170" spans="1:13" x14ac:dyDescent="0.2">
      <c r="A5170" s="32"/>
      <c r="G5170" s="145"/>
      <c r="H5170" s="145"/>
      <c r="I5170" s="145"/>
      <c r="J5170" s="145"/>
      <c r="K5170" s="481"/>
      <c r="L5170" s="481"/>
      <c r="M5170" s="481"/>
    </row>
    <row r="5171" spans="1:13" x14ac:dyDescent="0.2">
      <c r="A5171" s="32"/>
      <c r="G5171" s="145"/>
      <c r="H5171" s="145"/>
      <c r="I5171" s="145"/>
      <c r="J5171" s="145"/>
      <c r="K5171" s="481"/>
      <c r="L5171" s="481"/>
      <c r="M5171" s="481"/>
    </row>
    <row r="5172" spans="1:13" x14ac:dyDescent="0.2">
      <c r="A5172" s="32"/>
      <c r="G5172" s="145"/>
      <c r="H5172" s="145"/>
      <c r="I5172" s="145"/>
      <c r="J5172" s="145"/>
      <c r="K5172" s="481"/>
      <c r="L5172" s="481"/>
      <c r="M5172" s="481"/>
    </row>
    <row r="5173" spans="1:13" x14ac:dyDescent="0.2">
      <c r="A5173" s="32"/>
      <c r="G5173" s="145"/>
      <c r="H5173" s="145"/>
      <c r="I5173" s="145"/>
      <c r="J5173" s="145"/>
      <c r="K5173" s="481"/>
      <c r="L5173" s="481"/>
      <c r="M5173" s="481"/>
    </row>
    <row r="5174" spans="1:13" x14ac:dyDescent="0.2">
      <c r="A5174" s="32"/>
      <c r="G5174" s="145"/>
      <c r="H5174" s="145"/>
      <c r="I5174" s="145"/>
      <c r="J5174" s="145"/>
      <c r="K5174" s="481"/>
      <c r="L5174" s="481"/>
      <c r="M5174" s="481"/>
    </row>
    <row r="5175" spans="1:13" x14ac:dyDescent="0.2">
      <c r="A5175" s="32"/>
      <c r="G5175" s="145"/>
      <c r="H5175" s="145"/>
      <c r="I5175" s="145"/>
      <c r="J5175" s="145"/>
      <c r="K5175" s="481"/>
      <c r="L5175" s="481"/>
      <c r="M5175" s="481"/>
    </row>
    <row r="5176" spans="1:13" x14ac:dyDescent="0.2">
      <c r="A5176" s="32"/>
      <c r="G5176" s="145"/>
      <c r="H5176" s="145"/>
      <c r="I5176" s="145"/>
      <c r="J5176" s="145"/>
      <c r="K5176" s="481"/>
      <c r="L5176" s="481"/>
      <c r="M5176" s="481"/>
    </row>
    <row r="5177" spans="1:13" x14ac:dyDescent="0.2">
      <c r="A5177" s="32"/>
      <c r="G5177" s="145"/>
      <c r="H5177" s="145"/>
      <c r="I5177" s="145"/>
      <c r="J5177" s="145"/>
      <c r="K5177" s="481"/>
      <c r="L5177" s="481"/>
      <c r="M5177" s="481"/>
    </row>
    <row r="5178" spans="1:13" x14ac:dyDescent="0.2">
      <c r="A5178" s="32"/>
      <c r="G5178" s="145"/>
      <c r="H5178" s="145"/>
      <c r="I5178" s="145"/>
      <c r="J5178" s="145"/>
      <c r="K5178" s="481"/>
      <c r="L5178" s="481"/>
      <c r="M5178" s="481"/>
    </row>
    <row r="5179" spans="1:13" x14ac:dyDescent="0.2">
      <c r="A5179" s="32"/>
      <c r="G5179" s="145"/>
      <c r="H5179" s="145"/>
      <c r="I5179" s="145"/>
      <c r="J5179" s="145"/>
      <c r="K5179" s="481"/>
      <c r="L5179" s="481"/>
      <c r="M5179" s="481"/>
    </row>
    <row r="5180" spans="1:13" x14ac:dyDescent="0.2">
      <c r="A5180" s="32"/>
      <c r="G5180" s="145"/>
      <c r="H5180" s="145"/>
      <c r="I5180" s="145"/>
      <c r="J5180" s="145"/>
      <c r="K5180" s="481"/>
      <c r="L5180" s="481"/>
      <c r="M5180" s="481"/>
    </row>
    <row r="5181" spans="1:13" x14ac:dyDescent="0.2">
      <c r="A5181" s="32"/>
      <c r="G5181" s="145"/>
      <c r="H5181" s="145"/>
      <c r="I5181" s="145"/>
      <c r="J5181" s="145"/>
      <c r="K5181" s="481"/>
      <c r="L5181" s="481"/>
      <c r="M5181" s="481"/>
    </row>
    <row r="5182" spans="1:13" x14ac:dyDescent="0.2">
      <c r="A5182" s="32"/>
      <c r="G5182" s="145"/>
      <c r="H5182" s="145"/>
      <c r="I5182" s="145"/>
      <c r="J5182" s="145"/>
      <c r="K5182" s="481"/>
      <c r="L5182" s="481"/>
      <c r="M5182" s="481"/>
    </row>
    <row r="5183" spans="1:13" x14ac:dyDescent="0.2">
      <c r="A5183" s="32"/>
      <c r="G5183" s="145"/>
      <c r="H5183" s="145"/>
      <c r="I5183" s="145"/>
      <c r="J5183" s="145"/>
      <c r="K5183" s="481"/>
      <c r="L5183" s="481"/>
      <c r="M5183" s="481"/>
    </row>
    <row r="5184" spans="1:13" x14ac:dyDescent="0.2">
      <c r="A5184" s="32"/>
      <c r="G5184" s="145"/>
      <c r="H5184" s="145"/>
      <c r="I5184" s="145"/>
      <c r="J5184" s="145"/>
      <c r="K5184" s="481"/>
      <c r="L5184" s="481"/>
      <c r="M5184" s="481"/>
    </row>
    <row r="5185" spans="1:13" x14ac:dyDescent="0.2">
      <c r="A5185" s="32"/>
      <c r="G5185" s="145"/>
      <c r="H5185" s="145"/>
      <c r="I5185" s="145"/>
      <c r="J5185" s="145"/>
      <c r="K5185" s="481"/>
      <c r="L5185" s="481"/>
      <c r="M5185" s="481"/>
    </row>
    <row r="5186" spans="1:13" x14ac:dyDescent="0.2">
      <c r="A5186" s="32"/>
      <c r="G5186" s="145"/>
      <c r="H5186" s="145"/>
      <c r="I5186" s="145"/>
      <c r="J5186" s="145"/>
      <c r="K5186" s="481"/>
      <c r="L5186" s="481"/>
      <c r="M5186" s="481"/>
    </row>
    <row r="5187" spans="1:13" x14ac:dyDescent="0.2">
      <c r="A5187" s="32"/>
      <c r="G5187" s="145"/>
      <c r="H5187" s="145"/>
      <c r="I5187" s="145"/>
      <c r="J5187" s="145"/>
      <c r="K5187" s="481"/>
      <c r="L5187" s="481"/>
      <c r="M5187" s="481"/>
    </row>
    <row r="5188" spans="1:13" x14ac:dyDescent="0.2">
      <c r="A5188" s="32"/>
      <c r="G5188" s="145"/>
      <c r="H5188" s="145"/>
      <c r="I5188" s="145"/>
      <c r="J5188" s="145"/>
      <c r="K5188" s="481"/>
      <c r="L5188" s="481"/>
      <c r="M5188" s="481"/>
    </row>
    <row r="5189" spans="1:13" x14ac:dyDescent="0.2">
      <c r="A5189" s="32"/>
      <c r="G5189" s="145"/>
      <c r="H5189" s="145"/>
      <c r="I5189" s="145"/>
      <c r="J5189" s="145"/>
      <c r="K5189" s="481"/>
      <c r="L5189" s="481"/>
      <c r="M5189" s="481"/>
    </row>
    <row r="5190" spans="1:13" x14ac:dyDescent="0.2">
      <c r="A5190" s="32"/>
      <c r="G5190" s="145"/>
      <c r="H5190" s="145"/>
      <c r="I5190" s="145"/>
      <c r="J5190" s="145"/>
      <c r="K5190" s="481"/>
      <c r="L5190" s="481"/>
      <c r="M5190" s="481"/>
    </row>
    <row r="5191" spans="1:13" x14ac:dyDescent="0.2">
      <c r="A5191" s="32"/>
      <c r="G5191" s="145"/>
      <c r="H5191" s="145"/>
      <c r="I5191" s="145"/>
      <c r="J5191" s="145"/>
      <c r="K5191" s="481"/>
      <c r="L5191" s="481"/>
      <c r="M5191" s="481"/>
    </row>
    <row r="5192" spans="1:13" x14ac:dyDescent="0.2">
      <c r="A5192" s="32"/>
      <c r="G5192" s="145"/>
      <c r="H5192" s="145"/>
      <c r="I5192" s="145"/>
      <c r="J5192" s="145"/>
      <c r="K5192" s="481"/>
      <c r="L5192" s="481"/>
      <c r="M5192" s="481"/>
    </row>
    <row r="5193" spans="1:13" x14ac:dyDescent="0.2">
      <c r="A5193" s="32"/>
      <c r="G5193" s="145"/>
      <c r="H5193" s="145"/>
      <c r="I5193" s="145"/>
      <c r="J5193" s="145"/>
      <c r="K5193" s="481"/>
      <c r="L5193" s="481"/>
      <c r="M5193" s="481"/>
    </row>
    <row r="5194" spans="1:13" x14ac:dyDescent="0.2">
      <c r="A5194" s="32"/>
      <c r="G5194" s="145"/>
      <c r="H5194" s="145"/>
      <c r="I5194" s="145"/>
      <c r="J5194" s="145"/>
      <c r="K5194" s="481"/>
      <c r="L5194" s="481"/>
      <c r="M5194" s="481"/>
    </row>
    <row r="5195" spans="1:13" x14ac:dyDescent="0.2">
      <c r="A5195" s="32"/>
      <c r="G5195" s="145"/>
      <c r="H5195" s="145"/>
      <c r="I5195" s="145"/>
      <c r="J5195" s="145"/>
      <c r="K5195" s="481"/>
      <c r="L5195" s="481"/>
      <c r="M5195" s="481"/>
    </row>
    <row r="5196" spans="1:13" x14ac:dyDescent="0.2">
      <c r="A5196" s="32"/>
      <c r="G5196" s="145"/>
      <c r="H5196" s="145"/>
      <c r="I5196" s="145"/>
      <c r="J5196" s="145"/>
      <c r="K5196" s="481"/>
      <c r="L5196" s="481"/>
      <c r="M5196" s="481"/>
    </row>
    <row r="5197" spans="1:13" x14ac:dyDescent="0.2">
      <c r="A5197" s="32"/>
      <c r="G5197" s="145"/>
      <c r="H5197" s="145"/>
      <c r="I5197" s="145"/>
      <c r="J5197" s="145"/>
      <c r="K5197" s="481"/>
      <c r="L5197" s="481"/>
      <c r="M5197" s="481"/>
    </row>
    <row r="5198" spans="1:13" x14ac:dyDescent="0.2">
      <c r="A5198" s="32"/>
      <c r="G5198" s="145"/>
      <c r="H5198" s="145"/>
      <c r="I5198" s="145"/>
      <c r="J5198" s="145"/>
      <c r="K5198" s="481"/>
      <c r="L5198" s="481"/>
      <c r="M5198" s="481"/>
    </row>
    <row r="5199" spans="1:13" x14ac:dyDescent="0.2">
      <c r="A5199" s="32"/>
      <c r="G5199" s="145"/>
      <c r="H5199" s="145"/>
      <c r="I5199" s="145"/>
      <c r="J5199" s="145"/>
      <c r="K5199" s="481"/>
      <c r="L5199" s="481"/>
      <c r="M5199" s="481"/>
    </row>
    <row r="5200" spans="1:13" x14ac:dyDescent="0.2">
      <c r="A5200" s="32"/>
      <c r="G5200" s="145"/>
      <c r="H5200" s="145"/>
      <c r="I5200" s="145"/>
      <c r="J5200" s="145"/>
      <c r="K5200" s="481"/>
      <c r="L5200" s="481"/>
      <c r="M5200" s="481"/>
    </row>
    <row r="5201" spans="1:13" x14ac:dyDescent="0.2">
      <c r="A5201" s="32"/>
      <c r="G5201" s="145"/>
      <c r="H5201" s="145"/>
      <c r="I5201" s="145"/>
      <c r="J5201" s="145"/>
      <c r="K5201" s="481"/>
      <c r="L5201" s="481"/>
      <c r="M5201" s="481"/>
    </row>
    <row r="5202" spans="1:13" x14ac:dyDescent="0.2">
      <c r="A5202" s="32"/>
      <c r="G5202" s="145"/>
      <c r="H5202" s="145"/>
      <c r="I5202" s="145"/>
      <c r="J5202" s="145"/>
      <c r="K5202" s="481"/>
      <c r="L5202" s="481"/>
      <c r="M5202" s="481"/>
    </row>
    <row r="5203" spans="1:13" x14ac:dyDescent="0.2">
      <c r="A5203" s="32"/>
      <c r="G5203" s="145"/>
      <c r="H5203" s="145"/>
      <c r="I5203" s="145"/>
      <c r="J5203" s="145"/>
      <c r="K5203" s="481"/>
      <c r="L5203" s="481"/>
      <c r="M5203" s="481"/>
    </row>
    <row r="5204" spans="1:13" x14ac:dyDescent="0.2">
      <c r="A5204" s="32"/>
      <c r="G5204" s="145"/>
      <c r="H5204" s="145"/>
      <c r="I5204" s="145"/>
      <c r="J5204" s="145"/>
      <c r="K5204" s="481"/>
      <c r="L5204" s="481"/>
      <c r="M5204" s="481"/>
    </row>
    <row r="5205" spans="1:13" x14ac:dyDescent="0.2">
      <c r="A5205" s="32"/>
      <c r="G5205" s="145"/>
      <c r="H5205" s="145"/>
      <c r="I5205" s="145"/>
      <c r="J5205" s="145"/>
      <c r="K5205" s="481"/>
      <c r="L5205" s="481"/>
      <c r="M5205" s="481"/>
    </row>
    <row r="5206" spans="1:13" x14ac:dyDescent="0.2">
      <c r="A5206" s="32"/>
      <c r="G5206" s="145"/>
      <c r="H5206" s="145"/>
      <c r="I5206" s="145"/>
      <c r="J5206" s="145"/>
      <c r="K5206" s="481"/>
      <c r="L5206" s="481"/>
      <c r="M5206" s="481"/>
    </row>
    <row r="5207" spans="1:13" x14ac:dyDescent="0.2">
      <c r="A5207" s="32"/>
      <c r="G5207" s="145"/>
      <c r="H5207" s="145"/>
      <c r="I5207" s="145"/>
      <c r="J5207" s="145"/>
      <c r="K5207" s="481"/>
      <c r="L5207" s="481"/>
      <c r="M5207" s="481"/>
    </row>
    <row r="5208" spans="1:13" x14ac:dyDescent="0.2">
      <c r="A5208" s="32"/>
      <c r="G5208" s="145"/>
      <c r="H5208" s="145"/>
      <c r="I5208" s="145"/>
      <c r="J5208" s="145"/>
      <c r="K5208" s="481"/>
      <c r="L5208" s="481"/>
      <c r="M5208" s="481"/>
    </row>
    <row r="5209" spans="1:13" x14ac:dyDescent="0.2">
      <c r="A5209" s="32"/>
      <c r="G5209" s="145"/>
      <c r="H5209" s="145"/>
      <c r="I5209" s="145"/>
      <c r="J5209" s="145"/>
      <c r="K5209" s="481"/>
      <c r="L5209" s="481"/>
      <c r="M5209" s="481"/>
    </row>
    <row r="5210" spans="1:13" x14ac:dyDescent="0.2">
      <c r="A5210" s="32"/>
      <c r="G5210" s="145"/>
      <c r="H5210" s="145"/>
      <c r="I5210" s="145"/>
      <c r="J5210" s="145"/>
      <c r="K5210" s="481"/>
      <c r="L5210" s="481"/>
      <c r="M5210" s="481"/>
    </row>
    <row r="5211" spans="1:13" x14ac:dyDescent="0.2">
      <c r="A5211" s="32"/>
      <c r="G5211" s="145"/>
      <c r="H5211" s="145"/>
      <c r="I5211" s="145"/>
      <c r="J5211" s="145"/>
      <c r="K5211" s="481"/>
      <c r="L5211" s="481"/>
      <c r="M5211" s="481"/>
    </row>
    <row r="5212" spans="1:13" x14ac:dyDescent="0.2">
      <c r="A5212" s="32"/>
      <c r="G5212" s="145"/>
      <c r="H5212" s="145"/>
      <c r="I5212" s="145"/>
      <c r="J5212" s="145"/>
      <c r="K5212" s="481"/>
      <c r="L5212" s="481"/>
      <c r="M5212" s="481"/>
    </row>
    <row r="5213" spans="1:13" x14ac:dyDescent="0.2">
      <c r="A5213" s="32"/>
      <c r="G5213" s="145"/>
      <c r="H5213" s="145"/>
      <c r="I5213" s="145"/>
      <c r="J5213" s="145"/>
      <c r="K5213" s="481"/>
      <c r="L5213" s="481"/>
      <c r="M5213" s="481"/>
    </row>
    <row r="5214" spans="1:13" x14ac:dyDescent="0.2">
      <c r="A5214" s="32"/>
      <c r="G5214" s="145"/>
      <c r="H5214" s="145"/>
      <c r="I5214" s="145"/>
      <c r="J5214" s="145"/>
      <c r="K5214" s="481"/>
      <c r="L5214" s="481"/>
      <c r="M5214" s="481"/>
    </row>
    <row r="5215" spans="1:13" x14ac:dyDescent="0.2">
      <c r="A5215" s="32"/>
      <c r="G5215" s="145"/>
      <c r="H5215" s="145"/>
      <c r="I5215" s="145"/>
      <c r="J5215" s="145"/>
      <c r="K5215" s="481"/>
      <c r="L5215" s="481"/>
      <c r="M5215" s="481"/>
    </row>
    <row r="5216" spans="1:13" x14ac:dyDescent="0.2">
      <c r="A5216" s="32"/>
      <c r="G5216" s="145"/>
      <c r="H5216" s="145"/>
      <c r="I5216" s="145"/>
      <c r="J5216" s="145"/>
      <c r="K5216" s="481"/>
      <c r="L5216" s="481"/>
      <c r="M5216" s="481"/>
    </row>
    <row r="5217" spans="1:13" x14ac:dyDescent="0.2">
      <c r="A5217" s="32"/>
      <c r="G5217" s="145"/>
      <c r="H5217" s="145"/>
      <c r="I5217" s="145"/>
      <c r="J5217" s="145"/>
      <c r="K5217" s="481"/>
      <c r="L5217" s="481"/>
      <c r="M5217" s="481"/>
    </row>
    <row r="5218" spans="1:13" x14ac:dyDescent="0.2">
      <c r="A5218" s="32"/>
      <c r="G5218" s="145"/>
      <c r="H5218" s="145"/>
      <c r="I5218" s="145"/>
      <c r="J5218" s="145"/>
      <c r="K5218" s="481"/>
      <c r="L5218" s="481"/>
      <c r="M5218" s="481"/>
    </row>
    <row r="5219" spans="1:13" x14ac:dyDescent="0.2">
      <c r="A5219" s="32"/>
      <c r="G5219" s="145"/>
      <c r="H5219" s="145"/>
      <c r="I5219" s="145"/>
      <c r="J5219" s="145"/>
      <c r="K5219" s="481"/>
      <c r="L5219" s="481"/>
      <c r="M5219" s="481"/>
    </row>
    <row r="5220" spans="1:13" x14ac:dyDescent="0.2">
      <c r="A5220" s="32"/>
      <c r="G5220" s="145"/>
      <c r="H5220" s="145"/>
      <c r="I5220" s="145"/>
      <c r="J5220" s="145"/>
      <c r="K5220" s="481"/>
      <c r="L5220" s="481"/>
      <c r="M5220" s="481"/>
    </row>
    <row r="5221" spans="1:13" x14ac:dyDescent="0.2">
      <c r="A5221" s="32"/>
      <c r="G5221" s="145"/>
      <c r="H5221" s="145"/>
      <c r="I5221" s="145"/>
      <c r="J5221" s="145"/>
      <c r="K5221" s="481"/>
      <c r="L5221" s="481"/>
      <c r="M5221" s="481"/>
    </row>
    <row r="5222" spans="1:13" x14ac:dyDescent="0.2">
      <c r="A5222" s="32"/>
      <c r="G5222" s="145"/>
      <c r="H5222" s="145"/>
      <c r="I5222" s="145"/>
      <c r="J5222" s="145"/>
      <c r="K5222" s="481"/>
      <c r="L5222" s="481"/>
      <c r="M5222" s="481"/>
    </row>
    <row r="5223" spans="1:13" x14ac:dyDescent="0.2">
      <c r="A5223" s="32"/>
      <c r="G5223" s="145"/>
      <c r="H5223" s="145"/>
      <c r="I5223" s="145"/>
      <c r="J5223" s="145"/>
      <c r="K5223" s="481"/>
      <c r="L5223" s="481"/>
      <c r="M5223" s="481"/>
    </row>
    <row r="5224" spans="1:13" x14ac:dyDescent="0.2">
      <c r="A5224" s="32"/>
      <c r="G5224" s="145"/>
      <c r="H5224" s="145"/>
      <c r="I5224" s="145"/>
      <c r="J5224" s="145"/>
      <c r="K5224" s="481"/>
      <c r="L5224" s="481"/>
      <c r="M5224" s="481"/>
    </row>
    <row r="5225" spans="1:13" x14ac:dyDescent="0.2">
      <c r="A5225" s="32"/>
      <c r="G5225" s="145"/>
      <c r="H5225" s="145"/>
      <c r="I5225" s="145"/>
      <c r="J5225" s="145"/>
      <c r="K5225" s="481"/>
      <c r="L5225" s="481"/>
      <c r="M5225" s="481"/>
    </row>
    <row r="5226" spans="1:13" x14ac:dyDescent="0.2">
      <c r="A5226" s="32"/>
      <c r="G5226" s="145"/>
      <c r="H5226" s="145"/>
      <c r="I5226" s="145"/>
      <c r="J5226" s="145"/>
      <c r="K5226" s="481"/>
      <c r="L5226" s="481"/>
      <c r="M5226" s="481"/>
    </row>
    <row r="5227" spans="1:13" x14ac:dyDescent="0.2">
      <c r="A5227" s="32"/>
      <c r="G5227" s="145"/>
      <c r="H5227" s="145"/>
      <c r="I5227" s="145"/>
      <c r="J5227" s="145"/>
      <c r="K5227" s="481"/>
      <c r="L5227" s="481"/>
      <c r="M5227" s="481"/>
    </row>
    <row r="5228" spans="1:13" x14ac:dyDescent="0.2">
      <c r="A5228" s="32"/>
      <c r="G5228" s="145"/>
      <c r="H5228" s="145"/>
      <c r="I5228" s="145"/>
      <c r="J5228" s="145"/>
      <c r="K5228" s="481"/>
      <c r="L5228" s="481"/>
      <c r="M5228" s="481"/>
    </row>
    <row r="5229" spans="1:13" x14ac:dyDescent="0.2">
      <c r="A5229" s="32"/>
      <c r="G5229" s="145"/>
      <c r="H5229" s="145"/>
      <c r="I5229" s="145"/>
      <c r="J5229" s="145"/>
      <c r="K5229" s="481"/>
      <c r="L5229" s="481"/>
      <c r="M5229" s="481"/>
    </row>
    <row r="5230" spans="1:13" x14ac:dyDescent="0.2">
      <c r="A5230" s="32"/>
      <c r="G5230" s="145"/>
      <c r="H5230" s="145"/>
      <c r="I5230" s="145"/>
      <c r="J5230" s="145"/>
      <c r="K5230" s="481"/>
      <c r="L5230" s="481"/>
      <c r="M5230" s="481"/>
    </row>
    <row r="5231" spans="1:13" x14ac:dyDescent="0.2">
      <c r="A5231" s="32"/>
      <c r="G5231" s="145"/>
      <c r="H5231" s="145"/>
      <c r="I5231" s="145"/>
      <c r="J5231" s="145"/>
      <c r="K5231" s="481"/>
      <c r="L5231" s="481"/>
      <c r="M5231" s="481"/>
    </row>
    <row r="5232" spans="1:13" x14ac:dyDescent="0.2">
      <c r="A5232" s="32"/>
      <c r="G5232" s="145"/>
      <c r="H5232" s="145"/>
      <c r="I5232" s="145"/>
      <c r="J5232" s="145"/>
      <c r="K5232" s="481"/>
      <c r="L5232" s="481"/>
      <c r="M5232" s="481"/>
    </row>
    <row r="5233" spans="1:13" x14ac:dyDescent="0.2">
      <c r="A5233" s="32"/>
      <c r="G5233" s="145"/>
      <c r="H5233" s="145"/>
      <c r="I5233" s="145"/>
      <c r="J5233" s="145"/>
      <c r="K5233" s="481"/>
      <c r="L5233" s="481"/>
      <c r="M5233" s="481"/>
    </row>
    <row r="5234" spans="1:13" x14ac:dyDescent="0.2">
      <c r="A5234" s="32"/>
      <c r="G5234" s="145"/>
      <c r="H5234" s="145"/>
      <c r="I5234" s="145"/>
      <c r="J5234" s="145"/>
      <c r="K5234" s="481"/>
      <c r="L5234" s="481"/>
      <c r="M5234" s="481"/>
    </row>
    <row r="5235" spans="1:13" x14ac:dyDescent="0.2">
      <c r="A5235" s="32"/>
      <c r="G5235" s="145"/>
      <c r="H5235" s="145"/>
      <c r="I5235" s="145"/>
      <c r="J5235" s="145"/>
      <c r="K5235" s="481"/>
      <c r="L5235" s="481"/>
      <c r="M5235" s="481"/>
    </row>
    <row r="5236" spans="1:13" x14ac:dyDescent="0.2">
      <c r="A5236" s="32"/>
      <c r="G5236" s="145"/>
      <c r="H5236" s="145"/>
      <c r="I5236" s="145"/>
      <c r="J5236" s="145"/>
      <c r="K5236" s="481"/>
      <c r="L5236" s="481"/>
      <c r="M5236" s="481"/>
    </row>
    <row r="5237" spans="1:13" x14ac:dyDescent="0.2">
      <c r="A5237" s="32"/>
      <c r="G5237" s="145"/>
      <c r="H5237" s="145"/>
      <c r="I5237" s="145"/>
      <c r="J5237" s="145"/>
      <c r="K5237" s="481"/>
      <c r="L5237" s="481"/>
      <c r="M5237" s="481"/>
    </row>
    <row r="5238" spans="1:13" x14ac:dyDescent="0.2">
      <c r="A5238" s="32"/>
      <c r="G5238" s="145"/>
      <c r="H5238" s="145"/>
      <c r="I5238" s="145"/>
      <c r="J5238" s="145"/>
      <c r="K5238" s="481"/>
      <c r="L5238" s="481"/>
      <c r="M5238" s="481"/>
    </row>
    <row r="5239" spans="1:13" x14ac:dyDescent="0.2">
      <c r="A5239" s="32"/>
      <c r="G5239" s="145"/>
      <c r="H5239" s="145"/>
      <c r="I5239" s="145"/>
      <c r="J5239" s="145"/>
      <c r="K5239" s="481"/>
      <c r="L5239" s="481"/>
      <c r="M5239" s="481"/>
    </row>
    <row r="5240" spans="1:13" x14ac:dyDescent="0.2">
      <c r="A5240" s="32"/>
      <c r="G5240" s="145"/>
      <c r="H5240" s="145"/>
      <c r="I5240" s="145"/>
      <c r="J5240" s="145"/>
      <c r="K5240" s="481"/>
      <c r="L5240" s="481"/>
      <c r="M5240" s="481"/>
    </row>
    <row r="5241" spans="1:13" x14ac:dyDescent="0.2">
      <c r="A5241" s="32"/>
      <c r="G5241" s="145"/>
      <c r="H5241" s="145"/>
      <c r="I5241" s="145"/>
      <c r="J5241" s="145"/>
      <c r="K5241" s="481"/>
      <c r="L5241" s="481"/>
      <c r="M5241" s="481"/>
    </row>
    <row r="5242" spans="1:13" x14ac:dyDescent="0.2">
      <c r="A5242" s="32"/>
      <c r="G5242" s="145"/>
      <c r="H5242" s="145"/>
      <c r="I5242" s="145"/>
      <c r="J5242" s="145"/>
      <c r="K5242" s="481"/>
      <c r="L5242" s="481"/>
      <c r="M5242" s="481"/>
    </row>
    <row r="5243" spans="1:13" x14ac:dyDescent="0.2">
      <c r="A5243" s="32"/>
      <c r="G5243" s="145"/>
      <c r="H5243" s="145"/>
      <c r="I5243" s="145"/>
      <c r="J5243" s="145"/>
      <c r="K5243" s="481"/>
      <c r="L5243" s="481"/>
      <c r="M5243" s="481"/>
    </row>
    <row r="5244" spans="1:13" x14ac:dyDescent="0.2">
      <c r="A5244" s="32"/>
      <c r="G5244" s="145"/>
      <c r="H5244" s="145"/>
      <c r="I5244" s="145"/>
      <c r="J5244" s="145"/>
      <c r="K5244" s="481"/>
      <c r="L5244" s="481"/>
      <c r="M5244" s="481"/>
    </row>
    <row r="5245" spans="1:13" x14ac:dyDescent="0.2">
      <c r="A5245" s="32"/>
      <c r="G5245" s="145"/>
      <c r="H5245" s="145"/>
      <c r="I5245" s="145"/>
      <c r="J5245" s="145"/>
      <c r="K5245" s="481"/>
      <c r="L5245" s="481"/>
      <c r="M5245" s="481"/>
    </row>
    <row r="5246" spans="1:13" x14ac:dyDescent="0.2">
      <c r="A5246" s="32"/>
      <c r="G5246" s="145"/>
      <c r="H5246" s="145"/>
      <c r="I5246" s="145"/>
      <c r="J5246" s="145"/>
      <c r="K5246" s="481"/>
      <c r="L5246" s="481"/>
      <c r="M5246" s="481"/>
    </row>
    <row r="5247" spans="1:13" x14ac:dyDescent="0.2">
      <c r="A5247" s="32"/>
      <c r="G5247" s="145"/>
      <c r="H5247" s="145"/>
      <c r="I5247" s="145"/>
      <c r="J5247" s="145"/>
      <c r="K5247" s="481"/>
      <c r="L5247" s="481"/>
      <c r="M5247" s="481"/>
    </row>
    <row r="5248" spans="1:13" x14ac:dyDescent="0.2">
      <c r="A5248" s="32"/>
      <c r="G5248" s="145"/>
      <c r="H5248" s="145"/>
      <c r="I5248" s="145"/>
      <c r="J5248" s="145"/>
      <c r="K5248" s="481"/>
      <c r="L5248" s="481"/>
      <c r="M5248" s="481"/>
    </row>
    <row r="5249" spans="1:13" x14ac:dyDescent="0.2">
      <c r="A5249" s="32"/>
      <c r="G5249" s="145"/>
      <c r="H5249" s="145"/>
      <c r="I5249" s="145"/>
      <c r="J5249" s="145"/>
      <c r="K5249" s="481"/>
      <c r="L5249" s="481"/>
      <c r="M5249" s="481"/>
    </row>
    <row r="5250" spans="1:13" x14ac:dyDescent="0.2">
      <c r="A5250" s="32"/>
      <c r="G5250" s="145"/>
      <c r="H5250" s="145"/>
      <c r="I5250" s="145"/>
      <c r="J5250" s="145"/>
      <c r="K5250" s="481"/>
      <c r="L5250" s="481"/>
      <c r="M5250" s="481"/>
    </row>
    <row r="5251" spans="1:13" x14ac:dyDescent="0.2">
      <c r="A5251" s="32"/>
      <c r="G5251" s="145"/>
      <c r="H5251" s="145"/>
      <c r="I5251" s="145"/>
      <c r="J5251" s="145"/>
      <c r="K5251" s="481"/>
      <c r="L5251" s="481"/>
      <c r="M5251" s="481"/>
    </row>
    <row r="5252" spans="1:13" x14ac:dyDescent="0.2">
      <c r="A5252" s="32"/>
      <c r="G5252" s="145"/>
      <c r="H5252" s="145"/>
      <c r="I5252" s="145"/>
      <c r="J5252" s="145"/>
      <c r="K5252" s="481"/>
      <c r="L5252" s="481"/>
      <c r="M5252" s="481"/>
    </row>
    <row r="5253" spans="1:13" x14ac:dyDescent="0.2">
      <c r="A5253" s="32"/>
      <c r="G5253" s="145"/>
      <c r="H5253" s="145"/>
      <c r="I5253" s="145"/>
      <c r="J5253" s="145"/>
      <c r="K5253" s="481"/>
      <c r="L5253" s="481"/>
      <c r="M5253" s="481"/>
    </row>
    <row r="5254" spans="1:13" x14ac:dyDescent="0.2">
      <c r="A5254" s="32"/>
      <c r="G5254" s="145"/>
      <c r="H5254" s="145"/>
      <c r="I5254" s="145"/>
      <c r="J5254" s="145"/>
      <c r="K5254" s="481"/>
      <c r="L5254" s="481"/>
      <c r="M5254" s="481"/>
    </row>
    <row r="5255" spans="1:13" x14ac:dyDescent="0.2">
      <c r="A5255" s="32"/>
      <c r="G5255" s="145"/>
      <c r="H5255" s="145"/>
      <c r="I5255" s="145"/>
      <c r="J5255" s="145"/>
      <c r="K5255" s="481"/>
      <c r="L5255" s="481"/>
      <c r="M5255" s="481"/>
    </row>
    <row r="5256" spans="1:13" x14ac:dyDescent="0.2">
      <c r="A5256" s="32"/>
      <c r="G5256" s="145"/>
      <c r="H5256" s="145"/>
      <c r="I5256" s="145"/>
      <c r="J5256" s="145"/>
      <c r="K5256" s="481"/>
      <c r="L5256" s="481"/>
      <c r="M5256" s="481"/>
    </row>
    <row r="5257" spans="1:13" x14ac:dyDescent="0.2">
      <c r="A5257" s="32"/>
      <c r="G5257" s="145"/>
      <c r="H5257" s="145"/>
      <c r="I5257" s="145"/>
      <c r="J5257" s="145"/>
      <c r="K5257" s="481"/>
      <c r="L5257" s="481"/>
      <c r="M5257" s="481"/>
    </row>
    <row r="5258" spans="1:13" x14ac:dyDescent="0.2">
      <c r="A5258" s="32"/>
      <c r="G5258" s="145"/>
      <c r="H5258" s="145"/>
      <c r="I5258" s="145"/>
      <c r="J5258" s="145"/>
      <c r="K5258" s="481"/>
      <c r="L5258" s="481"/>
      <c r="M5258" s="481"/>
    </row>
    <row r="5259" spans="1:13" x14ac:dyDescent="0.2">
      <c r="A5259" s="32"/>
      <c r="G5259" s="145"/>
      <c r="H5259" s="145"/>
      <c r="I5259" s="145"/>
      <c r="J5259" s="145"/>
      <c r="K5259" s="481"/>
      <c r="L5259" s="481"/>
      <c r="M5259" s="481"/>
    </row>
    <row r="5260" spans="1:13" x14ac:dyDescent="0.2">
      <c r="A5260" s="32"/>
      <c r="G5260" s="145"/>
      <c r="H5260" s="145"/>
      <c r="I5260" s="145"/>
      <c r="J5260" s="145"/>
      <c r="K5260" s="481"/>
      <c r="L5260" s="481"/>
      <c r="M5260" s="481"/>
    </row>
    <row r="5261" spans="1:13" x14ac:dyDescent="0.2">
      <c r="A5261" s="32"/>
      <c r="G5261" s="145"/>
      <c r="H5261" s="145"/>
      <c r="I5261" s="145"/>
      <c r="J5261" s="145"/>
      <c r="K5261" s="481"/>
      <c r="L5261" s="481"/>
      <c r="M5261" s="481"/>
    </row>
    <row r="5262" spans="1:13" x14ac:dyDescent="0.2">
      <c r="A5262" s="32"/>
      <c r="G5262" s="145"/>
      <c r="H5262" s="145"/>
      <c r="I5262" s="145"/>
      <c r="J5262" s="145"/>
      <c r="K5262" s="481"/>
      <c r="L5262" s="481"/>
      <c r="M5262" s="481"/>
    </row>
    <row r="5263" spans="1:13" x14ac:dyDescent="0.2">
      <c r="A5263" s="32"/>
      <c r="G5263" s="145"/>
      <c r="H5263" s="145"/>
      <c r="I5263" s="145"/>
      <c r="J5263" s="145"/>
      <c r="K5263" s="481"/>
      <c r="L5263" s="481"/>
      <c r="M5263" s="481"/>
    </row>
    <row r="5264" spans="1:13" x14ac:dyDescent="0.2">
      <c r="A5264" s="32"/>
      <c r="G5264" s="145"/>
      <c r="H5264" s="145"/>
      <c r="I5264" s="145"/>
      <c r="J5264" s="145"/>
      <c r="K5264" s="481"/>
      <c r="L5264" s="481"/>
      <c r="M5264" s="481"/>
    </row>
    <row r="5265" spans="1:13" x14ac:dyDescent="0.2">
      <c r="A5265" s="32"/>
      <c r="G5265" s="145"/>
      <c r="H5265" s="145"/>
      <c r="I5265" s="145"/>
      <c r="J5265" s="145"/>
      <c r="K5265" s="481"/>
      <c r="L5265" s="481"/>
      <c r="M5265" s="481"/>
    </row>
    <row r="5266" spans="1:13" x14ac:dyDescent="0.2">
      <c r="A5266" s="32"/>
      <c r="G5266" s="145"/>
      <c r="H5266" s="145"/>
      <c r="I5266" s="145"/>
      <c r="J5266" s="145"/>
      <c r="K5266" s="481"/>
      <c r="L5266" s="481"/>
      <c r="M5266" s="481"/>
    </row>
    <row r="5267" spans="1:13" x14ac:dyDescent="0.2">
      <c r="A5267" s="32"/>
      <c r="G5267" s="145"/>
      <c r="H5267" s="145"/>
      <c r="I5267" s="145"/>
      <c r="J5267" s="145"/>
      <c r="K5267" s="481"/>
      <c r="L5267" s="481"/>
      <c r="M5267" s="481"/>
    </row>
    <row r="5268" spans="1:13" x14ac:dyDescent="0.2">
      <c r="A5268" s="32"/>
      <c r="G5268" s="145"/>
      <c r="H5268" s="145"/>
      <c r="I5268" s="145"/>
      <c r="J5268" s="145"/>
      <c r="K5268" s="481"/>
      <c r="L5268" s="481"/>
      <c r="M5268" s="481"/>
    </row>
    <row r="5269" spans="1:13" x14ac:dyDescent="0.2">
      <c r="A5269" s="32"/>
      <c r="G5269" s="145"/>
      <c r="H5269" s="145"/>
      <c r="I5269" s="145"/>
      <c r="J5269" s="145"/>
      <c r="K5269" s="481"/>
      <c r="L5269" s="481"/>
      <c r="M5269" s="481"/>
    </row>
    <row r="5270" spans="1:13" x14ac:dyDescent="0.2">
      <c r="A5270" s="32"/>
      <c r="G5270" s="145"/>
      <c r="H5270" s="145"/>
      <c r="I5270" s="145"/>
      <c r="J5270" s="145"/>
      <c r="K5270" s="481"/>
      <c r="L5270" s="481"/>
      <c r="M5270" s="481"/>
    </row>
    <row r="5271" spans="1:13" x14ac:dyDescent="0.2">
      <c r="A5271" s="32"/>
      <c r="G5271" s="145"/>
      <c r="H5271" s="145"/>
      <c r="I5271" s="145"/>
      <c r="J5271" s="145"/>
      <c r="K5271" s="481"/>
      <c r="L5271" s="481"/>
      <c r="M5271" s="481"/>
    </row>
    <row r="5272" spans="1:13" x14ac:dyDescent="0.2">
      <c r="A5272" s="32"/>
      <c r="G5272" s="145"/>
      <c r="H5272" s="145"/>
      <c r="I5272" s="145"/>
      <c r="J5272" s="145"/>
      <c r="K5272" s="481"/>
      <c r="L5272" s="481"/>
      <c r="M5272" s="481"/>
    </row>
    <row r="5273" spans="1:13" x14ac:dyDescent="0.2">
      <c r="A5273" s="32"/>
      <c r="G5273" s="145"/>
      <c r="H5273" s="145"/>
      <c r="I5273" s="145"/>
      <c r="J5273" s="145"/>
      <c r="K5273" s="481"/>
      <c r="L5273" s="481"/>
      <c r="M5273" s="481"/>
    </row>
    <row r="5274" spans="1:13" x14ac:dyDescent="0.2">
      <c r="A5274" s="32"/>
      <c r="G5274" s="145"/>
      <c r="H5274" s="145"/>
      <c r="I5274" s="145"/>
      <c r="J5274" s="145"/>
      <c r="K5274" s="481"/>
      <c r="L5274" s="481"/>
      <c r="M5274" s="481"/>
    </row>
    <row r="5275" spans="1:13" x14ac:dyDescent="0.2">
      <c r="A5275" s="32"/>
      <c r="G5275" s="145"/>
      <c r="H5275" s="145"/>
      <c r="I5275" s="145"/>
      <c r="J5275" s="145"/>
      <c r="K5275" s="481"/>
      <c r="L5275" s="481"/>
      <c r="M5275" s="481"/>
    </row>
    <row r="5276" spans="1:13" x14ac:dyDescent="0.2">
      <c r="A5276" s="32"/>
      <c r="G5276" s="145"/>
      <c r="H5276" s="145"/>
      <c r="I5276" s="145"/>
      <c r="J5276" s="145"/>
      <c r="K5276" s="481"/>
      <c r="L5276" s="481"/>
      <c r="M5276" s="481"/>
    </row>
    <row r="5277" spans="1:13" x14ac:dyDescent="0.2">
      <c r="A5277" s="32"/>
      <c r="G5277" s="145"/>
      <c r="H5277" s="145"/>
      <c r="I5277" s="145"/>
      <c r="J5277" s="145"/>
      <c r="K5277" s="481"/>
      <c r="L5277" s="481"/>
      <c r="M5277" s="481"/>
    </row>
    <row r="5278" spans="1:13" x14ac:dyDescent="0.2">
      <c r="A5278" s="32"/>
      <c r="G5278" s="145"/>
      <c r="H5278" s="145"/>
      <c r="I5278" s="145"/>
      <c r="J5278" s="145"/>
      <c r="K5278" s="481"/>
      <c r="L5278" s="481"/>
      <c r="M5278" s="481"/>
    </row>
    <row r="5279" spans="1:13" x14ac:dyDescent="0.2">
      <c r="A5279" s="32"/>
      <c r="G5279" s="145"/>
      <c r="H5279" s="145"/>
      <c r="I5279" s="145"/>
      <c r="J5279" s="145"/>
      <c r="K5279" s="481"/>
      <c r="L5279" s="481"/>
      <c r="M5279" s="481"/>
    </row>
    <row r="5280" spans="1:13" x14ac:dyDescent="0.2">
      <c r="A5280" s="32"/>
      <c r="G5280" s="145"/>
      <c r="H5280" s="145"/>
      <c r="I5280" s="145"/>
      <c r="J5280" s="145"/>
      <c r="K5280" s="481"/>
      <c r="L5280" s="481"/>
      <c r="M5280" s="481"/>
    </row>
    <row r="5281" spans="1:13" x14ac:dyDescent="0.2">
      <c r="A5281" s="32"/>
      <c r="G5281" s="145"/>
      <c r="H5281" s="145"/>
      <c r="I5281" s="145"/>
      <c r="J5281" s="145"/>
      <c r="K5281" s="481"/>
      <c r="L5281" s="481"/>
      <c r="M5281" s="481"/>
    </row>
    <row r="5282" spans="1:13" x14ac:dyDescent="0.2">
      <c r="A5282" s="32"/>
      <c r="G5282" s="145"/>
      <c r="H5282" s="145"/>
      <c r="I5282" s="145"/>
      <c r="J5282" s="145"/>
      <c r="K5282" s="481"/>
      <c r="L5282" s="481"/>
      <c r="M5282" s="481"/>
    </row>
    <row r="5283" spans="1:13" x14ac:dyDescent="0.2">
      <c r="A5283" s="32"/>
      <c r="G5283" s="145"/>
      <c r="H5283" s="145"/>
      <c r="I5283" s="145"/>
      <c r="J5283" s="145"/>
      <c r="K5283" s="481"/>
      <c r="L5283" s="481"/>
      <c r="M5283" s="481"/>
    </row>
    <row r="5284" spans="1:13" x14ac:dyDescent="0.2">
      <c r="A5284" s="32"/>
      <c r="G5284" s="145"/>
      <c r="H5284" s="145"/>
      <c r="I5284" s="145"/>
      <c r="J5284" s="145"/>
      <c r="K5284" s="481"/>
      <c r="L5284" s="481"/>
      <c r="M5284" s="481"/>
    </row>
    <row r="5285" spans="1:13" x14ac:dyDescent="0.2">
      <c r="A5285" s="32"/>
      <c r="G5285" s="145"/>
      <c r="H5285" s="145"/>
      <c r="I5285" s="145"/>
      <c r="J5285" s="145"/>
      <c r="K5285" s="481"/>
      <c r="L5285" s="481"/>
      <c r="M5285" s="481"/>
    </row>
    <row r="5286" spans="1:13" x14ac:dyDescent="0.2">
      <c r="A5286" s="32"/>
      <c r="G5286" s="145"/>
      <c r="H5286" s="145"/>
      <c r="I5286" s="145"/>
      <c r="J5286" s="145"/>
      <c r="K5286" s="481"/>
      <c r="L5286" s="481"/>
      <c r="M5286" s="481"/>
    </row>
    <row r="5287" spans="1:13" x14ac:dyDescent="0.2">
      <c r="A5287" s="32"/>
      <c r="G5287" s="145"/>
      <c r="H5287" s="145"/>
      <c r="I5287" s="145"/>
      <c r="J5287" s="145"/>
      <c r="K5287" s="481"/>
      <c r="L5287" s="481"/>
      <c r="M5287" s="481"/>
    </row>
    <row r="5288" spans="1:13" x14ac:dyDescent="0.2">
      <c r="A5288" s="32"/>
      <c r="G5288" s="145"/>
      <c r="H5288" s="145"/>
      <c r="I5288" s="145"/>
      <c r="J5288" s="145"/>
      <c r="K5288" s="481"/>
      <c r="L5288" s="481"/>
      <c r="M5288" s="481"/>
    </row>
    <row r="5289" spans="1:13" x14ac:dyDescent="0.2">
      <c r="A5289" s="32"/>
      <c r="G5289" s="145"/>
      <c r="H5289" s="145"/>
      <c r="I5289" s="145"/>
      <c r="J5289" s="145"/>
      <c r="K5289" s="481"/>
      <c r="L5289" s="481"/>
      <c r="M5289" s="481"/>
    </row>
    <row r="5290" spans="1:13" x14ac:dyDescent="0.2">
      <c r="A5290" s="32"/>
      <c r="G5290" s="145"/>
      <c r="H5290" s="145"/>
      <c r="I5290" s="145"/>
      <c r="J5290" s="145"/>
      <c r="K5290" s="481"/>
      <c r="L5290" s="481"/>
      <c r="M5290" s="481"/>
    </row>
    <row r="5291" spans="1:13" x14ac:dyDescent="0.2">
      <c r="A5291" s="32"/>
      <c r="G5291" s="145"/>
      <c r="H5291" s="145"/>
      <c r="I5291" s="145"/>
      <c r="J5291" s="145"/>
      <c r="K5291" s="481"/>
      <c r="L5291" s="481"/>
      <c r="M5291" s="481"/>
    </row>
    <row r="5292" spans="1:13" x14ac:dyDescent="0.2">
      <c r="A5292" s="32"/>
      <c r="G5292" s="145"/>
      <c r="H5292" s="145"/>
      <c r="I5292" s="145"/>
      <c r="J5292" s="145"/>
      <c r="K5292" s="481"/>
      <c r="L5292" s="481"/>
      <c r="M5292" s="481"/>
    </row>
    <row r="5293" spans="1:13" x14ac:dyDescent="0.2">
      <c r="A5293" s="32"/>
      <c r="G5293" s="145"/>
      <c r="H5293" s="145"/>
      <c r="I5293" s="145"/>
      <c r="J5293" s="145"/>
      <c r="K5293" s="481"/>
      <c r="L5293" s="481"/>
      <c r="M5293" s="481"/>
    </row>
    <row r="5294" spans="1:13" x14ac:dyDescent="0.2">
      <c r="A5294" s="32"/>
      <c r="G5294" s="145"/>
      <c r="H5294" s="145"/>
      <c r="I5294" s="145"/>
      <c r="J5294" s="145"/>
      <c r="K5294" s="481"/>
      <c r="L5294" s="481"/>
      <c r="M5294" s="481"/>
    </row>
    <row r="5295" spans="1:13" x14ac:dyDescent="0.2">
      <c r="A5295" s="32"/>
      <c r="G5295" s="145"/>
      <c r="H5295" s="145"/>
      <c r="I5295" s="145"/>
      <c r="J5295" s="145"/>
      <c r="K5295" s="481"/>
      <c r="L5295" s="481"/>
      <c r="M5295" s="481"/>
    </row>
    <row r="5296" spans="1:13" x14ac:dyDescent="0.2">
      <c r="A5296" s="32"/>
      <c r="G5296" s="145"/>
      <c r="H5296" s="145"/>
      <c r="I5296" s="145"/>
      <c r="J5296" s="145"/>
      <c r="K5296" s="481"/>
      <c r="L5296" s="481"/>
      <c r="M5296" s="481"/>
    </row>
    <row r="5297" spans="1:13" x14ac:dyDescent="0.2">
      <c r="A5297" s="32"/>
      <c r="G5297" s="145"/>
      <c r="H5297" s="145"/>
      <c r="I5297" s="145"/>
      <c r="J5297" s="145"/>
      <c r="K5297" s="481"/>
      <c r="L5297" s="481"/>
      <c r="M5297" s="481"/>
    </row>
    <row r="5298" spans="1:13" x14ac:dyDescent="0.2">
      <c r="A5298" s="32"/>
      <c r="G5298" s="145"/>
      <c r="H5298" s="145"/>
      <c r="I5298" s="145"/>
      <c r="J5298" s="145"/>
      <c r="K5298" s="481"/>
      <c r="L5298" s="481"/>
      <c r="M5298" s="481"/>
    </row>
    <row r="5299" spans="1:13" x14ac:dyDescent="0.2">
      <c r="A5299" s="32"/>
      <c r="G5299" s="145"/>
      <c r="H5299" s="145"/>
      <c r="I5299" s="145"/>
      <c r="J5299" s="145"/>
      <c r="K5299" s="481"/>
      <c r="L5299" s="481"/>
      <c r="M5299" s="481"/>
    </row>
    <row r="5300" spans="1:13" x14ac:dyDescent="0.2">
      <c r="A5300" s="32"/>
      <c r="G5300" s="145"/>
      <c r="H5300" s="145"/>
      <c r="I5300" s="145"/>
      <c r="J5300" s="145"/>
      <c r="K5300" s="481"/>
      <c r="L5300" s="481"/>
      <c r="M5300" s="481"/>
    </row>
    <row r="5301" spans="1:13" x14ac:dyDescent="0.2">
      <c r="A5301" s="32"/>
      <c r="G5301" s="145"/>
      <c r="H5301" s="145"/>
      <c r="I5301" s="145"/>
      <c r="J5301" s="145"/>
      <c r="K5301" s="481"/>
      <c r="L5301" s="481"/>
      <c r="M5301" s="481"/>
    </row>
    <row r="5302" spans="1:13" x14ac:dyDescent="0.2">
      <c r="A5302" s="32"/>
      <c r="G5302" s="145"/>
      <c r="H5302" s="145"/>
      <c r="I5302" s="145"/>
      <c r="J5302" s="145"/>
      <c r="K5302" s="481"/>
      <c r="L5302" s="481"/>
      <c r="M5302" s="481"/>
    </row>
    <row r="5303" spans="1:13" x14ac:dyDescent="0.2">
      <c r="A5303" s="32"/>
      <c r="G5303" s="145"/>
      <c r="H5303" s="145"/>
      <c r="I5303" s="145"/>
      <c r="J5303" s="145"/>
      <c r="K5303" s="481"/>
      <c r="L5303" s="481"/>
      <c r="M5303" s="481"/>
    </row>
    <row r="5304" spans="1:13" x14ac:dyDescent="0.2">
      <c r="A5304" s="32"/>
      <c r="G5304" s="145"/>
      <c r="H5304" s="145"/>
      <c r="I5304" s="145"/>
      <c r="J5304" s="145"/>
      <c r="K5304" s="481"/>
      <c r="L5304" s="481"/>
      <c r="M5304" s="481"/>
    </row>
    <row r="5305" spans="1:13" x14ac:dyDescent="0.2">
      <c r="A5305" s="32"/>
      <c r="G5305" s="145"/>
      <c r="H5305" s="145"/>
      <c r="I5305" s="145"/>
      <c r="J5305" s="145"/>
      <c r="K5305" s="481"/>
      <c r="L5305" s="481"/>
      <c r="M5305" s="481"/>
    </row>
    <row r="5306" spans="1:13" x14ac:dyDescent="0.2">
      <c r="A5306" s="32"/>
      <c r="G5306" s="145"/>
      <c r="H5306" s="145"/>
      <c r="I5306" s="145"/>
      <c r="J5306" s="145"/>
      <c r="K5306" s="481"/>
      <c r="L5306" s="481"/>
      <c r="M5306" s="481"/>
    </row>
    <row r="5307" spans="1:13" x14ac:dyDescent="0.2">
      <c r="A5307" s="32"/>
      <c r="G5307" s="145"/>
      <c r="H5307" s="145"/>
      <c r="I5307" s="145"/>
      <c r="J5307" s="145"/>
      <c r="K5307" s="481"/>
      <c r="L5307" s="481"/>
      <c r="M5307" s="481"/>
    </row>
    <row r="5308" spans="1:13" x14ac:dyDescent="0.2">
      <c r="A5308" s="32"/>
      <c r="G5308" s="145"/>
      <c r="H5308" s="145"/>
      <c r="I5308" s="145"/>
      <c r="J5308" s="145"/>
      <c r="K5308" s="481"/>
      <c r="L5308" s="481"/>
      <c r="M5308" s="481"/>
    </row>
    <row r="5309" spans="1:13" x14ac:dyDescent="0.2">
      <c r="A5309" s="32"/>
      <c r="G5309" s="145"/>
      <c r="H5309" s="145"/>
      <c r="I5309" s="145"/>
      <c r="J5309" s="145"/>
      <c r="K5309" s="481"/>
      <c r="L5309" s="481"/>
      <c r="M5309" s="481"/>
    </row>
    <row r="5310" spans="1:13" x14ac:dyDescent="0.2">
      <c r="A5310" s="32"/>
      <c r="G5310" s="145"/>
      <c r="H5310" s="145"/>
      <c r="I5310" s="145"/>
      <c r="J5310" s="145"/>
      <c r="K5310" s="481"/>
      <c r="L5310" s="481"/>
      <c r="M5310" s="481"/>
    </row>
    <row r="5311" spans="1:13" x14ac:dyDescent="0.2">
      <c r="A5311" s="32"/>
      <c r="G5311" s="145"/>
      <c r="H5311" s="145"/>
      <c r="I5311" s="145"/>
      <c r="J5311" s="145"/>
      <c r="K5311" s="481"/>
      <c r="L5311" s="481"/>
      <c r="M5311" s="481"/>
    </row>
    <row r="5312" spans="1:13" x14ac:dyDescent="0.2">
      <c r="A5312" s="32"/>
      <c r="G5312" s="145"/>
      <c r="H5312" s="145"/>
      <c r="I5312" s="145"/>
      <c r="J5312" s="145"/>
      <c r="K5312" s="481"/>
      <c r="L5312" s="481"/>
      <c r="M5312" s="481"/>
    </row>
    <row r="5313" spans="1:13" x14ac:dyDescent="0.2">
      <c r="A5313" s="32"/>
      <c r="G5313" s="145"/>
      <c r="H5313" s="145"/>
      <c r="I5313" s="145"/>
      <c r="J5313" s="145"/>
      <c r="K5313" s="481"/>
      <c r="L5313" s="481"/>
      <c r="M5313" s="481"/>
    </row>
    <row r="5314" spans="1:13" x14ac:dyDescent="0.2">
      <c r="A5314" s="32"/>
      <c r="G5314" s="145"/>
      <c r="H5314" s="145"/>
      <c r="I5314" s="145"/>
      <c r="J5314" s="145"/>
      <c r="K5314" s="481"/>
      <c r="L5314" s="481"/>
      <c r="M5314" s="481"/>
    </row>
    <row r="5315" spans="1:13" x14ac:dyDescent="0.2">
      <c r="A5315" s="32"/>
      <c r="G5315" s="145"/>
      <c r="H5315" s="145"/>
      <c r="I5315" s="145"/>
      <c r="J5315" s="145"/>
      <c r="K5315" s="481"/>
      <c r="L5315" s="481"/>
      <c r="M5315" s="481"/>
    </row>
    <row r="5316" spans="1:13" x14ac:dyDescent="0.2">
      <c r="A5316" s="32"/>
      <c r="G5316" s="145"/>
      <c r="H5316" s="145"/>
      <c r="I5316" s="145"/>
      <c r="J5316" s="145"/>
      <c r="K5316" s="481"/>
      <c r="L5316" s="481"/>
      <c r="M5316" s="481"/>
    </row>
    <row r="5317" spans="1:13" x14ac:dyDescent="0.2">
      <c r="A5317" s="32"/>
      <c r="G5317" s="145"/>
      <c r="H5317" s="145"/>
      <c r="I5317" s="145"/>
      <c r="J5317" s="145"/>
      <c r="K5317" s="481"/>
      <c r="L5317" s="481"/>
      <c r="M5317" s="481"/>
    </row>
    <row r="5318" spans="1:13" x14ac:dyDescent="0.2">
      <c r="A5318" s="32"/>
      <c r="G5318" s="145"/>
      <c r="H5318" s="145"/>
      <c r="I5318" s="145"/>
      <c r="J5318" s="145"/>
      <c r="K5318" s="481"/>
      <c r="L5318" s="481"/>
      <c r="M5318" s="481"/>
    </row>
    <row r="5319" spans="1:13" x14ac:dyDescent="0.2">
      <c r="A5319" s="32"/>
      <c r="G5319" s="145"/>
      <c r="H5319" s="145"/>
      <c r="I5319" s="145"/>
      <c r="J5319" s="145"/>
      <c r="K5319" s="481"/>
      <c r="L5319" s="481"/>
      <c r="M5319" s="481"/>
    </row>
    <row r="5320" spans="1:13" x14ac:dyDescent="0.2">
      <c r="A5320" s="32"/>
      <c r="G5320" s="145"/>
      <c r="H5320" s="145"/>
      <c r="I5320" s="145"/>
      <c r="J5320" s="145"/>
      <c r="K5320" s="481"/>
      <c r="L5320" s="481"/>
      <c r="M5320" s="481"/>
    </row>
    <row r="5321" spans="1:13" x14ac:dyDescent="0.2">
      <c r="A5321" s="32"/>
      <c r="G5321" s="145"/>
      <c r="H5321" s="145"/>
      <c r="I5321" s="145"/>
      <c r="J5321" s="145"/>
      <c r="K5321" s="481"/>
      <c r="L5321" s="481"/>
      <c r="M5321" s="481"/>
    </row>
    <row r="5322" spans="1:13" x14ac:dyDescent="0.2">
      <c r="A5322" s="32"/>
      <c r="G5322" s="145"/>
      <c r="H5322" s="145"/>
      <c r="I5322" s="145"/>
      <c r="J5322" s="145"/>
      <c r="K5322" s="481"/>
      <c r="L5322" s="481"/>
      <c r="M5322" s="481"/>
    </row>
    <row r="5323" spans="1:13" x14ac:dyDescent="0.2">
      <c r="A5323" s="32"/>
      <c r="G5323" s="145"/>
      <c r="H5323" s="145"/>
      <c r="I5323" s="145"/>
      <c r="J5323" s="145"/>
      <c r="K5323" s="481"/>
      <c r="L5323" s="481"/>
      <c r="M5323" s="481"/>
    </row>
    <row r="5324" spans="1:13" x14ac:dyDescent="0.2">
      <c r="A5324" s="32"/>
      <c r="G5324" s="145"/>
      <c r="H5324" s="145"/>
      <c r="I5324" s="145"/>
      <c r="J5324" s="145"/>
      <c r="K5324" s="481"/>
      <c r="L5324" s="481"/>
      <c r="M5324" s="481"/>
    </row>
    <row r="5325" spans="1:13" x14ac:dyDescent="0.2">
      <c r="A5325" s="32"/>
      <c r="G5325" s="145"/>
      <c r="H5325" s="145"/>
      <c r="I5325" s="145"/>
      <c r="J5325" s="145"/>
      <c r="K5325" s="481"/>
      <c r="L5325" s="481"/>
      <c r="M5325" s="481"/>
    </row>
    <row r="5326" spans="1:13" x14ac:dyDescent="0.2">
      <c r="A5326" s="32"/>
      <c r="G5326" s="145"/>
      <c r="H5326" s="145"/>
      <c r="I5326" s="145"/>
      <c r="J5326" s="145"/>
      <c r="K5326" s="481"/>
      <c r="L5326" s="481"/>
      <c r="M5326" s="481"/>
    </row>
    <row r="5327" spans="1:13" x14ac:dyDescent="0.2">
      <c r="A5327" s="32"/>
      <c r="G5327" s="145"/>
      <c r="H5327" s="145"/>
      <c r="I5327" s="145"/>
      <c r="J5327" s="145"/>
      <c r="K5327" s="481"/>
      <c r="L5327" s="481"/>
      <c r="M5327" s="481"/>
    </row>
    <row r="5328" spans="1:13" x14ac:dyDescent="0.2">
      <c r="A5328" s="32"/>
      <c r="G5328" s="145"/>
      <c r="H5328" s="145"/>
      <c r="I5328" s="145"/>
      <c r="J5328" s="145"/>
      <c r="K5328" s="481"/>
      <c r="L5328" s="481"/>
      <c r="M5328" s="481"/>
    </row>
    <row r="5329" spans="1:13" x14ac:dyDescent="0.2">
      <c r="A5329" s="32"/>
      <c r="G5329" s="145"/>
      <c r="H5329" s="145"/>
      <c r="I5329" s="145"/>
      <c r="J5329" s="145"/>
      <c r="K5329" s="481"/>
      <c r="L5329" s="481"/>
      <c r="M5329" s="481"/>
    </row>
    <row r="5330" spans="1:13" x14ac:dyDescent="0.2">
      <c r="A5330" s="32"/>
      <c r="G5330" s="145"/>
      <c r="H5330" s="145"/>
      <c r="I5330" s="145"/>
      <c r="J5330" s="145"/>
      <c r="K5330" s="481"/>
      <c r="L5330" s="481"/>
      <c r="M5330" s="481"/>
    </row>
    <row r="5331" spans="1:13" x14ac:dyDescent="0.2">
      <c r="A5331" s="32"/>
      <c r="G5331" s="145"/>
      <c r="H5331" s="145"/>
      <c r="I5331" s="145"/>
      <c r="J5331" s="145"/>
      <c r="K5331" s="481"/>
      <c r="L5331" s="481"/>
      <c r="M5331" s="481"/>
    </row>
    <row r="5332" spans="1:13" x14ac:dyDescent="0.2">
      <c r="A5332" s="32"/>
      <c r="G5332" s="145"/>
      <c r="H5332" s="145"/>
      <c r="I5332" s="145"/>
      <c r="J5332" s="145"/>
      <c r="K5332" s="481"/>
      <c r="L5332" s="481"/>
      <c r="M5332" s="481"/>
    </row>
    <row r="5333" spans="1:13" x14ac:dyDescent="0.2">
      <c r="A5333" s="32"/>
      <c r="G5333" s="145"/>
      <c r="H5333" s="145"/>
      <c r="I5333" s="145"/>
      <c r="J5333" s="145"/>
      <c r="K5333" s="481"/>
      <c r="L5333" s="481"/>
      <c r="M5333" s="481"/>
    </row>
    <row r="5334" spans="1:13" x14ac:dyDescent="0.2">
      <c r="A5334" s="32"/>
      <c r="G5334" s="145"/>
      <c r="H5334" s="145"/>
      <c r="I5334" s="145"/>
      <c r="J5334" s="145"/>
      <c r="K5334" s="481"/>
      <c r="L5334" s="481"/>
      <c r="M5334" s="481"/>
    </row>
    <row r="5335" spans="1:13" x14ac:dyDescent="0.2">
      <c r="A5335" s="32"/>
      <c r="G5335" s="145"/>
      <c r="H5335" s="145"/>
      <c r="I5335" s="145"/>
      <c r="J5335" s="145"/>
      <c r="K5335" s="481"/>
      <c r="L5335" s="481"/>
      <c r="M5335" s="481"/>
    </row>
    <row r="5336" spans="1:13" x14ac:dyDescent="0.2">
      <c r="A5336" s="32"/>
      <c r="G5336" s="145"/>
      <c r="H5336" s="145"/>
      <c r="I5336" s="145"/>
      <c r="J5336" s="145"/>
      <c r="K5336" s="481"/>
      <c r="L5336" s="481"/>
      <c r="M5336" s="481"/>
    </row>
    <row r="5337" spans="1:13" x14ac:dyDescent="0.2">
      <c r="A5337" s="32"/>
      <c r="G5337" s="145"/>
      <c r="H5337" s="145"/>
      <c r="I5337" s="145"/>
      <c r="J5337" s="145"/>
      <c r="K5337" s="481"/>
      <c r="L5337" s="481"/>
      <c r="M5337" s="481"/>
    </row>
    <row r="5338" spans="1:13" x14ac:dyDescent="0.2">
      <c r="A5338" s="32"/>
      <c r="G5338" s="145"/>
      <c r="H5338" s="145"/>
      <c r="I5338" s="145"/>
      <c r="J5338" s="145"/>
      <c r="K5338" s="481"/>
      <c r="L5338" s="481"/>
      <c r="M5338" s="481"/>
    </row>
    <row r="5339" spans="1:13" x14ac:dyDescent="0.2">
      <c r="A5339" s="32"/>
      <c r="G5339" s="145"/>
      <c r="H5339" s="145"/>
      <c r="I5339" s="145"/>
      <c r="J5339" s="145"/>
      <c r="K5339" s="481"/>
      <c r="L5339" s="481"/>
      <c r="M5339" s="481"/>
    </row>
    <row r="5340" spans="1:13" x14ac:dyDescent="0.2">
      <c r="A5340" s="32"/>
      <c r="G5340" s="145"/>
      <c r="H5340" s="145"/>
      <c r="I5340" s="145"/>
      <c r="J5340" s="145"/>
      <c r="K5340" s="481"/>
      <c r="L5340" s="481"/>
      <c r="M5340" s="481"/>
    </row>
    <row r="5341" spans="1:13" x14ac:dyDescent="0.2">
      <c r="A5341" s="32"/>
      <c r="G5341" s="145"/>
      <c r="H5341" s="145"/>
      <c r="I5341" s="145"/>
      <c r="J5341" s="145"/>
      <c r="K5341" s="481"/>
      <c r="L5341" s="481"/>
      <c r="M5341" s="481"/>
    </row>
    <row r="5342" spans="1:13" x14ac:dyDescent="0.2">
      <c r="A5342" s="32"/>
      <c r="G5342" s="145"/>
      <c r="H5342" s="145"/>
      <c r="I5342" s="145"/>
      <c r="J5342" s="145"/>
      <c r="K5342" s="481"/>
      <c r="L5342" s="481"/>
      <c r="M5342" s="481"/>
    </row>
    <row r="5343" spans="1:13" x14ac:dyDescent="0.2">
      <c r="A5343" s="32"/>
      <c r="G5343" s="145"/>
      <c r="H5343" s="145"/>
      <c r="I5343" s="145"/>
      <c r="J5343" s="145"/>
      <c r="K5343" s="481"/>
      <c r="L5343" s="481"/>
      <c r="M5343" s="481"/>
    </row>
    <row r="5344" spans="1:13" x14ac:dyDescent="0.2">
      <c r="A5344" s="32"/>
      <c r="G5344" s="145"/>
      <c r="H5344" s="145"/>
      <c r="I5344" s="145"/>
      <c r="J5344" s="145"/>
      <c r="K5344" s="481"/>
      <c r="L5344" s="481"/>
      <c r="M5344" s="481"/>
    </row>
    <row r="5345" spans="1:13" x14ac:dyDescent="0.2">
      <c r="A5345" s="32"/>
      <c r="G5345" s="145"/>
      <c r="H5345" s="145"/>
      <c r="I5345" s="145"/>
      <c r="J5345" s="145"/>
      <c r="K5345" s="481"/>
      <c r="L5345" s="481"/>
      <c r="M5345" s="481"/>
    </row>
    <row r="5346" spans="1:13" x14ac:dyDescent="0.2">
      <c r="A5346" s="32"/>
      <c r="G5346" s="145"/>
      <c r="H5346" s="145"/>
      <c r="I5346" s="145"/>
      <c r="J5346" s="145"/>
      <c r="K5346" s="481"/>
      <c r="L5346" s="481"/>
      <c r="M5346" s="481"/>
    </row>
    <row r="5347" spans="1:13" x14ac:dyDescent="0.2">
      <c r="A5347" s="32"/>
      <c r="G5347" s="145"/>
      <c r="H5347" s="145"/>
      <c r="I5347" s="145"/>
      <c r="J5347" s="145"/>
      <c r="K5347" s="481"/>
      <c r="L5347" s="481"/>
      <c r="M5347" s="481"/>
    </row>
    <row r="5348" spans="1:13" x14ac:dyDescent="0.2">
      <c r="A5348" s="32"/>
      <c r="G5348" s="145"/>
      <c r="H5348" s="145"/>
      <c r="I5348" s="145"/>
      <c r="J5348" s="145"/>
      <c r="K5348" s="481"/>
      <c r="L5348" s="481"/>
      <c r="M5348" s="481"/>
    </row>
    <row r="5349" spans="1:13" x14ac:dyDescent="0.2">
      <c r="A5349" s="32"/>
      <c r="G5349" s="145"/>
      <c r="H5349" s="145"/>
      <c r="I5349" s="145"/>
      <c r="J5349" s="145"/>
      <c r="K5349" s="481"/>
      <c r="L5349" s="481"/>
      <c r="M5349" s="481"/>
    </row>
    <row r="5350" spans="1:13" x14ac:dyDescent="0.2">
      <c r="A5350" s="32"/>
      <c r="G5350" s="145"/>
      <c r="H5350" s="145"/>
      <c r="I5350" s="145"/>
      <c r="J5350" s="145"/>
      <c r="K5350" s="481"/>
      <c r="L5350" s="481"/>
      <c r="M5350" s="481"/>
    </row>
    <row r="5351" spans="1:13" x14ac:dyDescent="0.2">
      <c r="A5351" s="32"/>
      <c r="G5351" s="145"/>
      <c r="H5351" s="145"/>
      <c r="I5351" s="145"/>
      <c r="J5351" s="145"/>
      <c r="K5351" s="481"/>
      <c r="L5351" s="481"/>
      <c r="M5351" s="481"/>
    </row>
    <row r="5352" spans="1:13" x14ac:dyDescent="0.2">
      <c r="A5352" s="32"/>
      <c r="G5352" s="145"/>
      <c r="H5352" s="145"/>
      <c r="I5352" s="145"/>
      <c r="J5352" s="145"/>
      <c r="K5352" s="481"/>
      <c r="L5352" s="481"/>
      <c r="M5352" s="481"/>
    </row>
    <row r="5353" spans="1:13" x14ac:dyDescent="0.2">
      <c r="A5353" s="32"/>
      <c r="G5353" s="145"/>
      <c r="H5353" s="145"/>
      <c r="I5353" s="145"/>
      <c r="J5353" s="145"/>
      <c r="K5353" s="481"/>
      <c r="L5353" s="481"/>
      <c r="M5353" s="481"/>
    </row>
    <row r="5354" spans="1:13" x14ac:dyDescent="0.2">
      <c r="A5354" s="32"/>
      <c r="G5354" s="145"/>
      <c r="H5354" s="145"/>
      <c r="I5354" s="145"/>
      <c r="J5354" s="145"/>
      <c r="K5354" s="481"/>
      <c r="L5354" s="481"/>
      <c r="M5354" s="481"/>
    </row>
    <row r="5355" spans="1:13" x14ac:dyDescent="0.2">
      <c r="A5355" s="32"/>
      <c r="G5355" s="145"/>
      <c r="H5355" s="145"/>
      <c r="I5355" s="145"/>
      <c r="J5355" s="145"/>
      <c r="K5355" s="481"/>
      <c r="L5355" s="481"/>
      <c r="M5355" s="481"/>
    </row>
    <row r="5356" spans="1:13" x14ac:dyDescent="0.2">
      <c r="A5356" s="32"/>
      <c r="G5356" s="145"/>
      <c r="H5356" s="145"/>
      <c r="I5356" s="145"/>
      <c r="J5356" s="145"/>
      <c r="K5356" s="481"/>
      <c r="L5356" s="481"/>
      <c r="M5356" s="481"/>
    </row>
    <row r="5357" spans="1:13" x14ac:dyDescent="0.2">
      <c r="A5357" s="32"/>
      <c r="G5357" s="145"/>
      <c r="H5357" s="145"/>
      <c r="I5357" s="145"/>
      <c r="J5357" s="145"/>
      <c r="K5357" s="481"/>
      <c r="L5357" s="481"/>
      <c r="M5357" s="481"/>
    </row>
    <row r="5358" spans="1:13" x14ac:dyDescent="0.2">
      <c r="A5358" s="32"/>
      <c r="G5358" s="145"/>
      <c r="H5358" s="145"/>
      <c r="I5358" s="145"/>
      <c r="J5358" s="145"/>
      <c r="K5358" s="481"/>
      <c r="L5358" s="481"/>
      <c r="M5358" s="481"/>
    </row>
    <row r="5359" spans="1:13" x14ac:dyDescent="0.2">
      <c r="A5359" s="32"/>
      <c r="G5359" s="145"/>
      <c r="H5359" s="145"/>
      <c r="I5359" s="145"/>
      <c r="J5359" s="145"/>
      <c r="K5359" s="481"/>
      <c r="L5359" s="481"/>
      <c r="M5359" s="481"/>
    </row>
    <row r="5360" spans="1:13" x14ac:dyDescent="0.2">
      <c r="A5360" s="32"/>
      <c r="G5360" s="145"/>
      <c r="H5360" s="145"/>
      <c r="I5360" s="145"/>
      <c r="J5360" s="145"/>
      <c r="K5360" s="481"/>
      <c r="L5360" s="481"/>
      <c r="M5360" s="481"/>
    </row>
    <row r="5361" spans="1:13" x14ac:dyDescent="0.2">
      <c r="A5361" s="32"/>
      <c r="G5361" s="145"/>
      <c r="H5361" s="145"/>
      <c r="I5361" s="145"/>
      <c r="J5361" s="145"/>
      <c r="K5361" s="481"/>
      <c r="L5361" s="481"/>
      <c r="M5361" s="481"/>
    </row>
    <row r="5362" spans="1:13" x14ac:dyDescent="0.2">
      <c r="A5362" s="32"/>
      <c r="G5362" s="145"/>
      <c r="H5362" s="145"/>
      <c r="I5362" s="145"/>
      <c r="J5362" s="145"/>
      <c r="K5362" s="481"/>
      <c r="L5362" s="481"/>
      <c r="M5362" s="481"/>
    </row>
    <row r="5363" spans="1:13" x14ac:dyDescent="0.2">
      <c r="A5363" s="32"/>
      <c r="G5363" s="145"/>
      <c r="H5363" s="145"/>
      <c r="I5363" s="145"/>
      <c r="J5363" s="145"/>
      <c r="K5363" s="481"/>
      <c r="L5363" s="481"/>
      <c r="M5363" s="481"/>
    </row>
    <row r="5364" spans="1:13" x14ac:dyDescent="0.2">
      <c r="A5364" s="32"/>
      <c r="G5364" s="145"/>
      <c r="H5364" s="145"/>
      <c r="I5364" s="145"/>
      <c r="J5364" s="145"/>
      <c r="K5364" s="481"/>
      <c r="L5364" s="481"/>
      <c r="M5364" s="481"/>
    </row>
    <row r="5365" spans="1:13" x14ac:dyDescent="0.2">
      <c r="A5365" s="32"/>
      <c r="G5365" s="145"/>
      <c r="H5365" s="145"/>
      <c r="I5365" s="145"/>
      <c r="J5365" s="145"/>
      <c r="K5365" s="481"/>
      <c r="L5365" s="481"/>
      <c r="M5365" s="481"/>
    </row>
    <row r="5366" spans="1:13" x14ac:dyDescent="0.2">
      <c r="A5366" s="32"/>
      <c r="G5366" s="145"/>
      <c r="H5366" s="145"/>
      <c r="I5366" s="145"/>
      <c r="J5366" s="145"/>
      <c r="K5366" s="481"/>
      <c r="L5366" s="481"/>
      <c r="M5366" s="481"/>
    </row>
    <row r="5367" spans="1:13" x14ac:dyDescent="0.2">
      <c r="A5367" s="32"/>
      <c r="G5367" s="145"/>
      <c r="H5367" s="145"/>
      <c r="I5367" s="145"/>
      <c r="J5367" s="145"/>
      <c r="K5367" s="481"/>
      <c r="L5367" s="481"/>
      <c r="M5367" s="481"/>
    </row>
    <row r="5368" spans="1:13" x14ac:dyDescent="0.2">
      <c r="A5368" s="32"/>
      <c r="G5368" s="145"/>
      <c r="H5368" s="145"/>
      <c r="I5368" s="145"/>
      <c r="J5368" s="145"/>
      <c r="K5368" s="481"/>
      <c r="L5368" s="481"/>
      <c r="M5368" s="481"/>
    </row>
    <row r="5369" spans="1:13" x14ac:dyDescent="0.2">
      <c r="A5369" s="32"/>
      <c r="G5369" s="145"/>
      <c r="H5369" s="145"/>
      <c r="I5369" s="145"/>
      <c r="J5369" s="145"/>
      <c r="K5369" s="481"/>
      <c r="L5369" s="481"/>
      <c r="M5369" s="481"/>
    </row>
    <row r="5370" spans="1:13" x14ac:dyDescent="0.2">
      <c r="A5370" s="32"/>
      <c r="G5370" s="145"/>
      <c r="H5370" s="145"/>
      <c r="I5370" s="145"/>
      <c r="J5370" s="145"/>
      <c r="K5370" s="481"/>
      <c r="L5370" s="481"/>
      <c r="M5370" s="481"/>
    </row>
    <row r="5371" spans="1:13" x14ac:dyDescent="0.2">
      <c r="A5371" s="32"/>
      <c r="G5371" s="145"/>
      <c r="H5371" s="145"/>
      <c r="I5371" s="145"/>
      <c r="J5371" s="145"/>
      <c r="K5371" s="481"/>
      <c r="L5371" s="481"/>
      <c r="M5371" s="481"/>
    </row>
    <row r="5372" spans="1:13" x14ac:dyDescent="0.2">
      <c r="A5372" s="32"/>
      <c r="G5372" s="145"/>
      <c r="H5372" s="145"/>
      <c r="I5372" s="145"/>
      <c r="J5372" s="145"/>
      <c r="K5372" s="481"/>
      <c r="L5372" s="481"/>
      <c r="M5372" s="481"/>
    </row>
    <row r="5373" spans="1:13" x14ac:dyDescent="0.2">
      <c r="A5373" s="32"/>
      <c r="G5373" s="145"/>
      <c r="H5373" s="145"/>
      <c r="I5373" s="145"/>
      <c r="J5373" s="145"/>
      <c r="K5373" s="481"/>
      <c r="L5373" s="481"/>
      <c r="M5373" s="481"/>
    </row>
    <row r="5374" spans="1:13" x14ac:dyDescent="0.2">
      <c r="A5374" s="32"/>
      <c r="G5374" s="145"/>
      <c r="H5374" s="145"/>
      <c r="I5374" s="145"/>
      <c r="J5374" s="145"/>
      <c r="K5374" s="481"/>
      <c r="L5374" s="481"/>
      <c r="M5374" s="481"/>
    </row>
    <row r="5375" spans="1:13" x14ac:dyDescent="0.2">
      <c r="A5375" s="32"/>
      <c r="G5375" s="145"/>
      <c r="H5375" s="145"/>
      <c r="I5375" s="145"/>
      <c r="J5375" s="145"/>
      <c r="K5375" s="481"/>
      <c r="L5375" s="481"/>
      <c r="M5375" s="481"/>
    </row>
    <row r="5376" spans="1:13" x14ac:dyDescent="0.2">
      <c r="A5376" s="32"/>
      <c r="G5376" s="145"/>
      <c r="H5376" s="145"/>
      <c r="I5376" s="145"/>
      <c r="J5376" s="145"/>
      <c r="K5376" s="481"/>
      <c r="L5376" s="481"/>
      <c r="M5376" s="481"/>
    </row>
    <row r="5377" spans="1:13" x14ac:dyDescent="0.2">
      <c r="A5377" s="32"/>
      <c r="G5377" s="145"/>
      <c r="H5377" s="145"/>
      <c r="I5377" s="145"/>
      <c r="J5377" s="145"/>
      <c r="K5377" s="481"/>
      <c r="L5377" s="481"/>
      <c r="M5377" s="481"/>
    </row>
    <row r="5378" spans="1:13" x14ac:dyDescent="0.2">
      <c r="A5378" s="32"/>
      <c r="G5378" s="145"/>
      <c r="H5378" s="145"/>
      <c r="I5378" s="145"/>
      <c r="J5378" s="145"/>
      <c r="K5378" s="481"/>
      <c r="L5378" s="481"/>
      <c r="M5378" s="481"/>
    </row>
    <row r="5379" spans="1:13" x14ac:dyDescent="0.2">
      <c r="A5379" s="32"/>
      <c r="G5379" s="145"/>
      <c r="H5379" s="145"/>
      <c r="I5379" s="145"/>
      <c r="J5379" s="145"/>
      <c r="K5379" s="481"/>
      <c r="L5379" s="481"/>
      <c r="M5379" s="481"/>
    </row>
    <row r="5380" spans="1:13" x14ac:dyDescent="0.2">
      <c r="A5380" s="32"/>
      <c r="G5380" s="145"/>
      <c r="H5380" s="145"/>
      <c r="I5380" s="145"/>
      <c r="J5380" s="145"/>
      <c r="K5380" s="481"/>
      <c r="L5380" s="481"/>
      <c r="M5380" s="481"/>
    </row>
    <row r="5381" spans="1:13" x14ac:dyDescent="0.2">
      <c r="A5381" s="32"/>
      <c r="G5381" s="145"/>
      <c r="H5381" s="145"/>
      <c r="I5381" s="145"/>
      <c r="J5381" s="145"/>
      <c r="K5381" s="481"/>
      <c r="L5381" s="481"/>
      <c r="M5381" s="481"/>
    </row>
    <row r="5382" spans="1:13" x14ac:dyDescent="0.2">
      <c r="A5382" s="32"/>
      <c r="G5382" s="145"/>
      <c r="H5382" s="145"/>
      <c r="I5382" s="145"/>
      <c r="J5382" s="145"/>
      <c r="K5382" s="481"/>
      <c r="L5382" s="481"/>
      <c r="M5382" s="481"/>
    </row>
    <row r="5383" spans="1:13" x14ac:dyDescent="0.2">
      <c r="A5383" s="32"/>
      <c r="G5383" s="145"/>
      <c r="H5383" s="145"/>
      <c r="I5383" s="145"/>
      <c r="J5383" s="145"/>
      <c r="K5383" s="481"/>
      <c r="L5383" s="481"/>
      <c r="M5383" s="481"/>
    </row>
    <row r="5384" spans="1:13" x14ac:dyDescent="0.2">
      <c r="A5384" s="32"/>
      <c r="G5384" s="145"/>
      <c r="H5384" s="145"/>
      <c r="I5384" s="145"/>
      <c r="J5384" s="145"/>
      <c r="K5384" s="481"/>
      <c r="L5384" s="481"/>
      <c r="M5384" s="481"/>
    </row>
    <row r="5385" spans="1:13" x14ac:dyDescent="0.2">
      <c r="A5385" s="32"/>
      <c r="G5385" s="145"/>
      <c r="H5385" s="145"/>
      <c r="I5385" s="145"/>
      <c r="J5385" s="145"/>
      <c r="K5385" s="481"/>
      <c r="L5385" s="481"/>
      <c r="M5385" s="481"/>
    </row>
    <row r="5386" spans="1:13" x14ac:dyDescent="0.2">
      <c r="A5386" s="32"/>
      <c r="G5386" s="145"/>
      <c r="H5386" s="145"/>
      <c r="I5386" s="145"/>
      <c r="J5386" s="145"/>
      <c r="K5386" s="481"/>
      <c r="L5386" s="481"/>
      <c r="M5386" s="481"/>
    </row>
    <row r="5387" spans="1:13" x14ac:dyDescent="0.2">
      <c r="A5387" s="32"/>
      <c r="G5387" s="145"/>
      <c r="H5387" s="145"/>
      <c r="I5387" s="145"/>
      <c r="J5387" s="145"/>
      <c r="K5387" s="481"/>
      <c r="L5387" s="481"/>
      <c r="M5387" s="481"/>
    </row>
    <row r="5388" spans="1:13" x14ac:dyDescent="0.2">
      <c r="A5388" s="32"/>
      <c r="G5388" s="145"/>
      <c r="H5388" s="145"/>
      <c r="I5388" s="145"/>
      <c r="J5388" s="145"/>
      <c r="K5388" s="481"/>
      <c r="L5388" s="481"/>
      <c r="M5388" s="481"/>
    </row>
    <row r="5389" spans="1:13" x14ac:dyDescent="0.2">
      <c r="A5389" s="32"/>
      <c r="G5389" s="145"/>
      <c r="H5389" s="145"/>
      <c r="I5389" s="145"/>
      <c r="J5389" s="145"/>
      <c r="K5389" s="481"/>
      <c r="L5389" s="481"/>
      <c r="M5389" s="481"/>
    </row>
    <row r="5390" spans="1:13" x14ac:dyDescent="0.2">
      <c r="A5390" s="32"/>
      <c r="G5390" s="145"/>
      <c r="H5390" s="145"/>
      <c r="I5390" s="145"/>
      <c r="J5390" s="145"/>
      <c r="K5390" s="481"/>
      <c r="L5390" s="481"/>
      <c r="M5390" s="481"/>
    </row>
    <row r="5391" spans="1:13" x14ac:dyDescent="0.2">
      <c r="A5391" s="32"/>
      <c r="G5391" s="145"/>
      <c r="H5391" s="145"/>
      <c r="I5391" s="145"/>
      <c r="J5391" s="145"/>
      <c r="K5391" s="481"/>
      <c r="L5391" s="481"/>
      <c r="M5391" s="481"/>
    </row>
    <row r="5392" spans="1:13" x14ac:dyDescent="0.2">
      <c r="A5392" s="32"/>
      <c r="G5392" s="145"/>
      <c r="H5392" s="145"/>
      <c r="I5392" s="145"/>
      <c r="J5392" s="145"/>
      <c r="K5392" s="481"/>
      <c r="L5392" s="481"/>
      <c r="M5392" s="481"/>
    </row>
    <row r="5393" spans="1:13" x14ac:dyDescent="0.2">
      <c r="A5393" s="32"/>
      <c r="G5393" s="145"/>
      <c r="H5393" s="145"/>
      <c r="I5393" s="145"/>
      <c r="J5393" s="145"/>
      <c r="K5393" s="481"/>
      <c r="L5393" s="481"/>
      <c r="M5393" s="481"/>
    </row>
    <row r="5394" spans="1:13" x14ac:dyDescent="0.2">
      <c r="A5394" s="32"/>
      <c r="G5394" s="145"/>
      <c r="H5394" s="145"/>
      <c r="I5394" s="145"/>
      <c r="J5394" s="145"/>
      <c r="K5394" s="481"/>
      <c r="L5394" s="481"/>
      <c r="M5394" s="481"/>
    </row>
    <row r="5395" spans="1:13" x14ac:dyDescent="0.2">
      <c r="A5395" s="32"/>
      <c r="G5395" s="145"/>
      <c r="H5395" s="145"/>
      <c r="I5395" s="145"/>
      <c r="J5395" s="145"/>
      <c r="K5395" s="481"/>
      <c r="L5395" s="481"/>
      <c r="M5395" s="481"/>
    </row>
    <row r="5396" spans="1:13" x14ac:dyDescent="0.2">
      <c r="A5396" s="32"/>
      <c r="G5396" s="145"/>
      <c r="H5396" s="145"/>
      <c r="I5396" s="145"/>
      <c r="J5396" s="145"/>
      <c r="K5396" s="481"/>
      <c r="L5396" s="481"/>
      <c r="M5396" s="481"/>
    </row>
    <row r="5397" spans="1:13" x14ac:dyDescent="0.2">
      <c r="A5397" s="32"/>
      <c r="G5397" s="145"/>
      <c r="H5397" s="145"/>
      <c r="I5397" s="145"/>
      <c r="J5397" s="145"/>
      <c r="K5397" s="481"/>
      <c r="L5397" s="481"/>
      <c r="M5397" s="481"/>
    </row>
    <row r="5398" spans="1:13" x14ac:dyDescent="0.2">
      <c r="A5398" s="32"/>
      <c r="G5398" s="145"/>
      <c r="H5398" s="145"/>
      <c r="I5398" s="145"/>
      <c r="J5398" s="145"/>
      <c r="K5398" s="481"/>
      <c r="L5398" s="481"/>
      <c r="M5398" s="481"/>
    </row>
    <row r="5399" spans="1:13" x14ac:dyDescent="0.2">
      <c r="A5399" s="32"/>
      <c r="G5399" s="145"/>
      <c r="H5399" s="145"/>
      <c r="I5399" s="145"/>
      <c r="J5399" s="145"/>
      <c r="K5399" s="481"/>
      <c r="L5399" s="481"/>
      <c r="M5399" s="481"/>
    </row>
    <row r="5400" spans="1:13" x14ac:dyDescent="0.2">
      <c r="A5400" s="32"/>
      <c r="G5400" s="145"/>
      <c r="H5400" s="145"/>
      <c r="I5400" s="145"/>
      <c r="J5400" s="145"/>
      <c r="K5400" s="481"/>
      <c r="L5400" s="481"/>
      <c r="M5400" s="481"/>
    </row>
    <row r="5401" spans="1:13" x14ac:dyDescent="0.2">
      <c r="A5401" s="32"/>
      <c r="G5401" s="145"/>
      <c r="H5401" s="145"/>
      <c r="I5401" s="145"/>
      <c r="J5401" s="145"/>
      <c r="K5401" s="481"/>
      <c r="L5401" s="481"/>
      <c r="M5401" s="481"/>
    </row>
    <row r="5402" spans="1:13" x14ac:dyDescent="0.2">
      <c r="A5402" s="32"/>
      <c r="G5402" s="145"/>
      <c r="H5402" s="145"/>
      <c r="I5402" s="145"/>
      <c r="J5402" s="145"/>
      <c r="K5402" s="481"/>
      <c r="L5402" s="481"/>
      <c r="M5402" s="481"/>
    </row>
    <row r="5403" spans="1:13" x14ac:dyDescent="0.2">
      <c r="A5403" s="32"/>
      <c r="G5403" s="145"/>
      <c r="H5403" s="145"/>
      <c r="I5403" s="145"/>
      <c r="J5403" s="145"/>
      <c r="K5403" s="481"/>
      <c r="L5403" s="481"/>
      <c r="M5403" s="481"/>
    </row>
    <row r="5404" spans="1:13" x14ac:dyDescent="0.2">
      <c r="A5404" s="32"/>
      <c r="G5404" s="145"/>
      <c r="H5404" s="145"/>
      <c r="I5404" s="145"/>
      <c r="J5404" s="145"/>
      <c r="K5404" s="481"/>
      <c r="L5404" s="481"/>
      <c r="M5404" s="481"/>
    </row>
    <row r="5405" spans="1:13" x14ac:dyDescent="0.2">
      <c r="A5405" s="32"/>
      <c r="G5405" s="145"/>
      <c r="H5405" s="145"/>
      <c r="I5405" s="145"/>
      <c r="J5405" s="145"/>
      <c r="K5405" s="481"/>
      <c r="L5405" s="481"/>
      <c r="M5405" s="481"/>
    </row>
    <row r="5406" spans="1:13" x14ac:dyDescent="0.2">
      <c r="A5406" s="32"/>
      <c r="G5406" s="145"/>
      <c r="H5406" s="145"/>
      <c r="I5406" s="145"/>
      <c r="J5406" s="145"/>
      <c r="K5406" s="481"/>
      <c r="L5406" s="481"/>
      <c r="M5406" s="481"/>
    </row>
    <row r="5407" spans="1:13" x14ac:dyDescent="0.2">
      <c r="A5407" s="32"/>
      <c r="G5407" s="145"/>
      <c r="H5407" s="145"/>
      <c r="I5407" s="145"/>
      <c r="J5407" s="145"/>
      <c r="K5407" s="481"/>
      <c r="L5407" s="481"/>
      <c r="M5407" s="481"/>
    </row>
    <row r="5408" spans="1:13" x14ac:dyDescent="0.2">
      <c r="A5408" s="32"/>
      <c r="G5408" s="145"/>
      <c r="H5408" s="145"/>
      <c r="I5408" s="145"/>
      <c r="J5408" s="145"/>
      <c r="K5408" s="481"/>
      <c r="L5408" s="481"/>
      <c r="M5408" s="481"/>
    </row>
    <row r="5409" spans="1:13" x14ac:dyDescent="0.2">
      <c r="A5409" s="32"/>
      <c r="G5409" s="145"/>
      <c r="H5409" s="145"/>
      <c r="I5409" s="145"/>
      <c r="J5409" s="145"/>
      <c r="K5409" s="481"/>
      <c r="L5409" s="481"/>
      <c r="M5409" s="481"/>
    </row>
    <row r="5410" spans="1:13" x14ac:dyDescent="0.2">
      <c r="A5410" s="32"/>
      <c r="G5410" s="145"/>
      <c r="H5410" s="145"/>
      <c r="I5410" s="145"/>
      <c r="J5410" s="145"/>
      <c r="K5410" s="481"/>
      <c r="L5410" s="481"/>
      <c r="M5410" s="481"/>
    </row>
    <row r="5411" spans="1:13" x14ac:dyDescent="0.2">
      <c r="A5411" s="32"/>
      <c r="G5411" s="145"/>
      <c r="H5411" s="145"/>
      <c r="I5411" s="145"/>
      <c r="J5411" s="145"/>
      <c r="K5411" s="481"/>
      <c r="L5411" s="481"/>
      <c r="M5411" s="481"/>
    </row>
    <row r="5412" spans="1:13" x14ac:dyDescent="0.2">
      <c r="A5412" s="32"/>
      <c r="G5412" s="145"/>
      <c r="H5412" s="145"/>
      <c r="I5412" s="145"/>
      <c r="J5412" s="145"/>
      <c r="K5412" s="481"/>
      <c r="L5412" s="481"/>
      <c r="M5412" s="481"/>
    </row>
    <row r="5413" spans="1:13" x14ac:dyDescent="0.2">
      <c r="A5413" s="32"/>
      <c r="G5413" s="145"/>
      <c r="H5413" s="145"/>
      <c r="I5413" s="145"/>
      <c r="J5413" s="145"/>
      <c r="K5413" s="481"/>
      <c r="L5413" s="481"/>
      <c r="M5413" s="481"/>
    </row>
    <row r="5414" spans="1:13" x14ac:dyDescent="0.2">
      <c r="A5414" s="32"/>
      <c r="G5414" s="145"/>
      <c r="H5414" s="145"/>
      <c r="I5414" s="145"/>
      <c r="J5414" s="145"/>
      <c r="K5414" s="481"/>
      <c r="L5414" s="481"/>
      <c r="M5414" s="481"/>
    </row>
    <row r="5415" spans="1:13" x14ac:dyDescent="0.2">
      <c r="A5415" s="32"/>
      <c r="G5415" s="145"/>
      <c r="H5415" s="145"/>
      <c r="I5415" s="145"/>
      <c r="J5415" s="145"/>
      <c r="K5415" s="481"/>
      <c r="L5415" s="481"/>
      <c r="M5415" s="481"/>
    </row>
    <row r="5416" spans="1:13" x14ac:dyDescent="0.2">
      <c r="A5416" s="32"/>
      <c r="G5416" s="145"/>
      <c r="H5416" s="145"/>
      <c r="I5416" s="145"/>
      <c r="J5416" s="145"/>
      <c r="K5416" s="481"/>
      <c r="L5416" s="481"/>
      <c r="M5416" s="481"/>
    </row>
    <row r="5417" spans="1:13" x14ac:dyDescent="0.2">
      <c r="A5417" s="32"/>
      <c r="G5417" s="145"/>
      <c r="H5417" s="145"/>
      <c r="I5417" s="145"/>
      <c r="J5417" s="145"/>
      <c r="K5417" s="481"/>
      <c r="L5417" s="481"/>
      <c r="M5417" s="481"/>
    </row>
    <row r="5418" spans="1:13" x14ac:dyDescent="0.2">
      <c r="A5418" s="32"/>
      <c r="G5418" s="145"/>
      <c r="H5418" s="145"/>
      <c r="I5418" s="145"/>
      <c r="J5418" s="145"/>
      <c r="K5418" s="481"/>
      <c r="L5418" s="481"/>
      <c r="M5418" s="481"/>
    </row>
    <row r="5419" spans="1:13" x14ac:dyDescent="0.2">
      <c r="A5419" s="32"/>
      <c r="G5419" s="145"/>
      <c r="H5419" s="145"/>
      <c r="I5419" s="145"/>
      <c r="J5419" s="145"/>
      <c r="K5419" s="481"/>
      <c r="L5419" s="481"/>
      <c r="M5419" s="481"/>
    </row>
    <row r="5420" spans="1:13" x14ac:dyDescent="0.2">
      <c r="A5420" s="32"/>
      <c r="G5420" s="145"/>
      <c r="H5420" s="145"/>
      <c r="I5420" s="145"/>
      <c r="J5420" s="145"/>
      <c r="K5420" s="481"/>
      <c r="L5420" s="481"/>
      <c r="M5420" s="481"/>
    </row>
    <row r="5421" spans="1:13" x14ac:dyDescent="0.2">
      <c r="A5421" s="32"/>
      <c r="G5421" s="145"/>
      <c r="H5421" s="145"/>
      <c r="I5421" s="145"/>
      <c r="J5421" s="145"/>
      <c r="K5421" s="481"/>
      <c r="L5421" s="481"/>
      <c r="M5421" s="481"/>
    </row>
    <row r="5422" spans="1:13" x14ac:dyDescent="0.2">
      <c r="A5422" s="32"/>
      <c r="G5422" s="145"/>
      <c r="H5422" s="145"/>
      <c r="I5422" s="145"/>
      <c r="J5422" s="145"/>
      <c r="K5422" s="481"/>
      <c r="L5422" s="481"/>
      <c r="M5422" s="481"/>
    </row>
    <row r="5423" spans="1:13" x14ac:dyDescent="0.2">
      <c r="A5423" s="32"/>
      <c r="G5423" s="145"/>
      <c r="H5423" s="145"/>
      <c r="I5423" s="145"/>
      <c r="J5423" s="145"/>
      <c r="K5423" s="481"/>
      <c r="L5423" s="481"/>
      <c r="M5423" s="481"/>
    </row>
    <row r="5424" spans="1:13" x14ac:dyDescent="0.2">
      <c r="A5424" s="32"/>
      <c r="G5424" s="145"/>
      <c r="H5424" s="145"/>
      <c r="I5424" s="145"/>
      <c r="J5424" s="145"/>
      <c r="K5424" s="481"/>
      <c r="L5424" s="481"/>
      <c r="M5424" s="481"/>
    </row>
    <row r="5425" spans="1:13" x14ac:dyDescent="0.2">
      <c r="A5425" s="32"/>
      <c r="G5425" s="145"/>
      <c r="H5425" s="145"/>
      <c r="I5425" s="145"/>
      <c r="J5425" s="145"/>
      <c r="K5425" s="481"/>
      <c r="L5425" s="481"/>
      <c r="M5425" s="481"/>
    </row>
    <row r="5426" spans="1:13" x14ac:dyDescent="0.2">
      <c r="A5426" s="32"/>
      <c r="G5426" s="145"/>
      <c r="H5426" s="145"/>
      <c r="I5426" s="145"/>
      <c r="J5426" s="145"/>
      <c r="K5426" s="481"/>
      <c r="L5426" s="481"/>
      <c r="M5426" s="481"/>
    </row>
    <row r="5427" spans="1:13" x14ac:dyDescent="0.2">
      <c r="A5427" s="32"/>
      <c r="G5427" s="145"/>
      <c r="H5427" s="145"/>
      <c r="I5427" s="145"/>
      <c r="J5427" s="145"/>
      <c r="K5427" s="481"/>
      <c r="L5427" s="481"/>
      <c r="M5427" s="481"/>
    </row>
    <row r="5428" spans="1:13" x14ac:dyDescent="0.2">
      <c r="A5428" s="32"/>
      <c r="G5428" s="145"/>
      <c r="H5428" s="145"/>
      <c r="I5428" s="145"/>
      <c r="J5428" s="145"/>
      <c r="K5428" s="481"/>
      <c r="L5428" s="481"/>
      <c r="M5428" s="481"/>
    </row>
    <row r="5429" spans="1:13" x14ac:dyDescent="0.2">
      <c r="A5429" s="32"/>
      <c r="G5429" s="145"/>
      <c r="H5429" s="145"/>
      <c r="I5429" s="145"/>
      <c r="J5429" s="145"/>
      <c r="K5429" s="481"/>
      <c r="L5429" s="481"/>
      <c r="M5429" s="481"/>
    </row>
    <row r="5430" spans="1:13" x14ac:dyDescent="0.2">
      <c r="A5430" s="32"/>
      <c r="G5430" s="145"/>
      <c r="H5430" s="145"/>
      <c r="I5430" s="145"/>
      <c r="J5430" s="145"/>
      <c r="K5430" s="481"/>
      <c r="L5430" s="481"/>
      <c r="M5430" s="481"/>
    </row>
    <row r="5431" spans="1:13" x14ac:dyDescent="0.2">
      <c r="A5431" s="32"/>
      <c r="G5431" s="145"/>
      <c r="H5431" s="145"/>
      <c r="I5431" s="145"/>
      <c r="J5431" s="145"/>
      <c r="K5431" s="481"/>
      <c r="L5431" s="481"/>
      <c r="M5431" s="481"/>
    </row>
    <row r="5432" spans="1:13" x14ac:dyDescent="0.2">
      <c r="A5432" s="32"/>
      <c r="G5432" s="145"/>
      <c r="H5432" s="145"/>
      <c r="I5432" s="145"/>
      <c r="J5432" s="145"/>
      <c r="K5432" s="481"/>
      <c r="L5432" s="481"/>
      <c r="M5432" s="481"/>
    </row>
    <row r="5433" spans="1:13" x14ac:dyDescent="0.2">
      <c r="A5433" s="32"/>
      <c r="G5433" s="145"/>
      <c r="H5433" s="145"/>
      <c r="I5433" s="145"/>
      <c r="J5433" s="145"/>
      <c r="K5433" s="481"/>
      <c r="L5433" s="481"/>
      <c r="M5433" s="481"/>
    </row>
    <row r="5434" spans="1:13" x14ac:dyDescent="0.2">
      <c r="A5434" s="32"/>
      <c r="G5434" s="145"/>
      <c r="H5434" s="145"/>
      <c r="I5434" s="145"/>
      <c r="J5434" s="145"/>
      <c r="K5434" s="481"/>
      <c r="L5434" s="481"/>
      <c r="M5434" s="481"/>
    </row>
    <row r="5435" spans="1:13" x14ac:dyDescent="0.2">
      <c r="A5435" s="32"/>
      <c r="G5435" s="145"/>
      <c r="H5435" s="145"/>
      <c r="I5435" s="145"/>
      <c r="J5435" s="145"/>
      <c r="K5435" s="481"/>
      <c r="L5435" s="481"/>
      <c r="M5435" s="481"/>
    </row>
    <row r="5436" spans="1:13" x14ac:dyDescent="0.2">
      <c r="A5436" s="32"/>
      <c r="G5436" s="145"/>
      <c r="H5436" s="145"/>
      <c r="I5436" s="145"/>
      <c r="J5436" s="145"/>
      <c r="K5436" s="481"/>
      <c r="L5436" s="481"/>
      <c r="M5436" s="481"/>
    </row>
    <row r="5437" spans="1:13" x14ac:dyDescent="0.2">
      <c r="A5437" s="32"/>
      <c r="G5437" s="145"/>
      <c r="H5437" s="145"/>
      <c r="I5437" s="145"/>
      <c r="J5437" s="145"/>
      <c r="K5437" s="481"/>
      <c r="L5437" s="481"/>
      <c r="M5437" s="481"/>
    </row>
    <row r="5438" spans="1:13" x14ac:dyDescent="0.2">
      <c r="A5438" s="32"/>
      <c r="G5438" s="145"/>
      <c r="H5438" s="145"/>
      <c r="I5438" s="145"/>
      <c r="J5438" s="145"/>
      <c r="K5438" s="481"/>
      <c r="L5438" s="481"/>
      <c r="M5438" s="481"/>
    </row>
    <row r="5439" spans="1:13" x14ac:dyDescent="0.2">
      <c r="A5439" s="32"/>
      <c r="G5439" s="145"/>
      <c r="H5439" s="145"/>
      <c r="I5439" s="145"/>
      <c r="J5439" s="145"/>
      <c r="K5439" s="481"/>
      <c r="L5439" s="481"/>
      <c r="M5439" s="481"/>
    </row>
    <row r="5440" spans="1:13" x14ac:dyDescent="0.2">
      <c r="A5440" s="32"/>
      <c r="G5440" s="145"/>
      <c r="H5440" s="145"/>
      <c r="I5440" s="145"/>
      <c r="J5440" s="145"/>
      <c r="K5440" s="481"/>
      <c r="L5440" s="481"/>
      <c r="M5440" s="481"/>
    </row>
    <row r="5441" spans="1:13" x14ac:dyDescent="0.2">
      <c r="A5441" s="32"/>
      <c r="G5441" s="145"/>
      <c r="H5441" s="145"/>
      <c r="I5441" s="145"/>
      <c r="J5441" s="145"/>
      <c r="K5441" s="481"/>
      <c r="L5441" s="481"/>
      <c r="M5441" s="481"/>
    </row>
    <row r="5442" spans="1:13" x14ac:dyDescent="0.2">
      <c r="A5442" s="32"/>
      <c r="G5442" s="145"/>
      <c r="H5442" s="145"/>
      <c r="I5442" s="145"/>
      <c r="J5442" s="145"/>
      <c r="K5442" s="481"/>
      <c r="L5442" s="481"/>
      <c r="M5442" s="481"/>
    </row>
    <row r="5443" spans="1:13" x14ac:dyDescent="0.2">
      <c r="A5443" s="32"/>
      <c r="G5443" s="145"/>
      <c r="H5443" s="145"/>
      <c r="I5443" s="145"/>
      <c r="J5443" s="145"/>
      <c r="K5443" s="481"/>
      <c r="L5443" s="481"/>
      <c r="M5443" s="481"/>
    </row>
    <row r="5444" spans="1:13" x14ac:dyDescent="0.2">
      <c r="A5444" s="32"/>
      <c r="G5444" s="145"/>
      <c r="H5444" s="145"/>
      <c r="I5444" s="145"/>
      <c r="J5444" s="145"/>
      <c r="K5444" s="481"/>
      <c r="L5444" s="481"/>
      <c r="M5444" s="481"/>
    </row>
    <row r="5445" spans="1:13" x14ac:dyDescent="0.2">
      <c r="A5445" s="32"/>
      <c r="G5445" s="145"/>
      <c r="H5445" s="145"/>
      <c r="I5445" s="145"/>
      <c r="J5445" s="145"/>
      <c r="K5445" s="481"/>
      <c r="L5445" s="481"/>
      <c r="M5445" s="481"/>
    </row>
    <row r="5446" spans="1:13" x14ac:dyDescent="0.2">
      <c r="A5446" s="32"/>
      <c r="G5446" s="145"/>
      <c r="H5446" s="145"/>
      <c r="I5446" s="145"/>
      <c r="J5446" s="145"/>
      <c r="K5446" s="481"/>
      <c r="L5446" s="481"/>
      <c r="M5446" s="481"/>
    </row>
    <row r="5447" spans="1:13" x14ac:dyDescent="0.2">
      <c r="A5447" s="32"/>
      <c r="G5447" s="145"/>
      <c r="H5447" s="145"/>
      <c r="I5447" s="145"/>
      <c r="J5447" s="145"/>
      <c r="K5447" s="481"/>
      <c r="L5447" s="481"/>
      <c r="M5447" s="481"/>
    </row>
    <row r="5448" spans="1:13" x14ac:dyDescent="0.2">
      <c r="A5448" s="32"/>
      <c r="G5448" s="145"/>
      <c r="H5448" s="145"/>
      <c r="I5448" s="145"/>
      <c r="J5448" s="145"/>
      <c r="K5448" s="481"/>
      <c r="L5448" s="481"/>
      <c r="M5448" s="481"/>
    </row>
    <row r="5449" spans="1:13" x14ac:dyDescent="0.2">
      <c r="A5449" s="32"/>
      <c r="G5449" s="145"/>
      <c r="H5449" s="145"/>
      <c r="I5449" s="145"/>
      <c r="J5449" s="145"/>
      <c r="K5449" s="481"/>
      <c r="L5449" s="481"/>
      <c r="M5449" s="481"/>
    </row>
    <row r="5450" spans="1:13" x14ac:dyDescent="0.2">
      <c r="A5450" s="32"/>
      <c r="G5450" s="145"/>
      <c r="H5450" s="145"/>
      <c r="I5450" s="145"/>
      <c r="J5450" s="145"/>
      <c r="K5450" s="481"/>
      <c r="L5450" s="481"/>
      <c r="M5450" s="481"/>
    </row>
    <row r="5451" spans="1:13" x14ac:dyDescent="0.2">
      <c r="A5451" s="32"/>
      <c r="G5451" s="145"/>
      <c r="H5451" s="145"/>
      <c r="I5451" s="145"/>
      <c r="J5451" s="145"/>
      <c r="K5451" s="481"/>
      <c r="L5451" s="481"/>
      <c r="M5451" s="481"/>
    </row>
    <row r="5452" spans="1:13" x14ac:dyDescent="0.2">
      <c r="A5452" s="32"/>
      <c r="G5452" s="145"/>
      <c r="H5452" s="145"/>
      <c r="I5452" s="145"/>
      <c r="J5452" s="145"/>
      <c r="K5452" s="481"/>
      <c r="L5452" s="481"/>
      <c r="M5452" s="481"/>
    </row>
    <row r="5453" spans="1:13" x14ac:dyDescent="0.2">
      <c r="A5453" s="32"/>
      <c r="G5453" s="145"/>
      <c r="H5453" s="145"/>
      <c r="I5453" s="145"/>
      <c r="J5453" s="145"/>
      <c r="K5453" s="481"/>
      <c r="L5453" s="481"/>
      <c r="M5453" s="481"/>
    </row>
    <row r="5454" spans="1:13" x14ac:dyDescent="0.2">
      <c r="A5454" s="32"/>
      <c r="G5454" s="145"/>
      <c r="H5454" s="145"/>
      <c r="I5454" s="145"/>
      <c r="J5454" s="145"/>
      <c r="K5454" s="481"/>
      <c r="L5454" s="481"/>
      <c r="M5454" s="481"/>
    </row>
    <row r="5455" spans="1:13" x14ac:dyDescent="0.2">
      <c r="A5455" s="32"/>
      <c r="G5455" s="145"/>
      <c r="H5455" s="145"/>
      <c r="I5455" s="145"/>
      <c r="J5455" s="145"/>
      <c r="K5455" s="481"/>
      <c r="L5455" s="481"/>
      <c r="M5455" s="481"/>
    </row>
    <row r="5456" spans="1:13" x14ac:dyDescent="0.2">
      <c r="A5456" s="32"/>
      <c r="G5456" s="145"/>
      <c r="H5456" s="145"/>
      <c r="I5456" s="145"/>
      <c r="J5456" s="145"/>
      <c r="K5456" s="481"/>
      <c r="L5456" s="481"/>
      <c r="M5456" s="481"/>
    </row>
    <row r="5457" spans="1:13" x14ac:dyDescent="0.2">
      <c r="A5457" s="32"/>
      <c r="G5457" s="145"/>
      <c r="H5457" s="145"/>
      <c r="I5457" s="145"/>
      <c r="J5457" s="145"/>
      <c r="K5457" s="481"/>
      <c r="L5457" s="481"/>
      <c r="M5457" s="481"/>
    </row>
    <row r="5458" spans="1:13" x14ac:dyDescent="0.2">
      <c r="A5458" s="32"/>
      <c r="G5458" s="145"/>
      <c r="H5458" s="145"/>
      <c r="I5458" s="145"/>
      <c r="J5458" s="145"/>
      <c r="K5458" s="481"/>
      <c r="L5458" s="481"/>
      <c r="M5458" s="481"/>
    </row>
    <row r="5459" spans="1:13" x14ac:dyDescent="0.2">
      <c r="A5459" s="32"/>
      <c r="G5459" s="145"/>
      <c r="H5459" s="145"/>
      <c r="I5459" s="145"/>
      <c r="J5459" s="145"/>
      <c r="K5459" s="481"/>
      <c r="L5459" s="481"/>
      <c r="M5459" s="481"/>
    </row>
    <row r="5460" spans="1:13" x14ac:dyDescent="0.2">
      <c r="A5460" s="32"/>
      <c r="G5460" s="145"/>
      <c r="H5460" s="145"/>
      <c r="I5460" s="145"/>
      <c r="J5460" s="145"/>
      <c r="K5460" s="481"/>
      <c r="L5460" s="481"/>
      <c r="M5460" s="481"/>
    </row>
    <row r="5461" spans="1:13" x14ac:dyDescent="0.2">
      <c r="A5461" s="32"/>
      <c r="G5461" s="145"/>
      <c r="H5461" s="145"/>
      <c r="I5461" s="145"/>
      <c r="J5461" s="145"/>
      <c r="K5461" s="481"/>
      <c r="L5461" s="481"/>
      <c r="M5461" s="481"/>
    </row>
    <row r="5462" spans="1:13" x14ac:dyDescent="0.2">
      <c r="A5462" s="32"/>
      <c r="G5462" s="145"/>
      <c r="H5462" s="145"/>
      <c r="I5462" s="145"/>
      <c r="J5462" s="145"/>
      <c r="K5462" s="481"/>
      <c r="L5462" s="481"/>
      <c r="M5462" s="481"/>
    </row>
    <row r="5463" spans="1:13" x14ac:dyDescent="0.2">
      <c r="A5463" s="32"/>
      <c r="G5463" s="145"/>
      <c r="H5463" s="145"/>
      <c r="I5463" s="145"/>
      <c r="J5463" s="145"/>
      <c r="K5463" s="481"/>
      <c r="L5463" s="481"/>
      <c r="M5463" s="481"/>
    </row>
    <row r="5464" spans="1:13" x14ac:dyDescent="0.2">
      <c r="A5464" s="32"/>
      <c r="G5464" s="145"/>
      <c r="H5464" s="145"/>
      <c r="I5464" s="145"/>
      <c r="J5464" s="145"/>
      <c r="K5464" s="481"/>
      <c r="L5464" s="481"/>
      <c r="M5464" s="481"/>
    </row>
    <row r="5465" spans="1:13" x14ac:dyDescent="0.2">
      <c r="A5465" s="32"/>
      <c r="G5465" s="145"/>
      <c r="H5465" s="145"/>
      <c r="I5465" s="145"/>
      <c r="J5465" s="145"/>
      <c r="K5465" s="481"/>
      <c r="L5465" s="481"/>
      <c r="M5465" s="481"/>
    </row>
    <row r="5466" spans="1:13" x14ac:dyDescent="0.2">
      <c r="A5466" s="32"/>
      <c r="G5466" s="145"/>
      <c r="H5466" s="145"/>
      <c r="I5466" s="145"/>
      <c r="J5466" s="145"/>
      <c r="K5466" s="481"/>
      <c r="L5466" s="481"/>
      <c r="M5466" s="481"/>
    </row>
    <row r="5467" spans="1:13" x14ac:dyDescent="0.2">
      <c r="A5467" s="32"/>
      <c r="G5467" s="145"/>
      <c r="H5467" s="145"/>
      <c r="I5467" s="145"/>
      <c r="J5467" s="145"/>
      <c r="K5467" s="481"/>
      <c r="L5467" s="481"/>
      <c r="M5467" s="481"/>
    </row>
    <row r="5468" spans="1:13" x14ac:dyDescent="0.2">
      <c r="A5468" s="32"/>
      <c r="G5468" s="145"/>
      <c r="H5468" s="145"/>
      <c r="I5468" s="145"/>
      <c r="J5468" s="145"/>
      <c r="K5468" s="481"/>
      <c r="L5468" s="481"/>
      <c r="M5468" s="481"/>
    </row>
    <row r="5469" spans="1:13" x14ac:dyDescent="0.2">
      <c r="A5469" s="32"/>
      <c r="G5469" s="145"/>
      <c r="H5469" s="145"/>
      <c r="I5469" s="145"/>
      <c r="J5469" s="145"/>
      <c r="K5469" s="481"/>
      <c r="L5469" s="481"/>
      <c r="M5469" s="481"/>
    </row>
    <row r="5470" spans="1:13" x14ac:dyDescent="0.2">
      <c r="A5470" s="32"/>
      <c r="G5470" s="145"/>
      <c r="H5470" s="145"/>
      <c r="I5470" s="145"/>
      <c r="J5470" s="145"/>
      <c r="K5470" s="481"/>
      <c r="L5470" s="481"/>
      <c r="M5470" s="481"/>
    </row>
    <row r="5471" spans="1:13" x14ac:dyDescent="0.2">
      <c r="A5471" s="32"/>
      <c r="G5471" s="145"/>
      <c r="H5471" s="145"/>
      <c r="I5471" s="145"/>
      <c r="J5471" s="145"/>
      <c r="K5471" s="481"/>
      <c r="L5471" s="481"/>
      <c r="M5471" s="481"/>
    </row>
    <row r="5472" spans="1:13" x14ac:dyDescent="0.2">
      <c r="A5472" s="32"/>
      <c r="G5472" s="145"/>
      <c r="H5472" s="145"/>
      <c r="I5472" s="145"/>
      <c r="J5472" s="145"/>
      <c r="K5472" s="481"/>
      <c r="L5472" s="481"/>
      <c r="M5472" s="481"/>
    </row>
    <row r="5473" spans="1:13" x14ac:dyDescent="0.2">
      <c r="A5473" s="32"/>
      <c r="G5473" s="145"/>
      <c r="H5473" s="145"/>
      <c r="I5473" s="145"/>
      <c r="J5473" s="145"/>
      <c r="K5473" s="481"/>
      <c r="L5473" s="481"/>
      <c r="M5473" s="481"/>
    </row>
    <row r="5474" spans="1:13" x14ac:dyDescent="0.2">
      <c r="A5474" s="32"/>
      <c r="G5474" s="145"/>
      <c r="H5474" s="145"/>
      <c r="I5474" s="145"/>
      <c r="J5474" s="145"/>
      <c r="K5474" s="481"/>
      <c r="L5474" s="481"/>
      <c r="M5474" s="481"/>
    </row>
    <row r="5475" spans="1:13" x14ac:dyDescent="0.2">
      <c r="A5475" s="32"/>
      <c r="G5475" s="145"/>
      <c r="H5475" s="145"/>
      <c r="I5475" s="145"/>
      <c r="J5475" s="145"/>
      <c r="K5475" s="481"/>
      <c r="L5475" s="481"/>
      <c r="M5475" s="481"/>
    </row>
    <row r="5476" spans="1:13" x14ac:dyDescent="0.2">
      <c r="A5476" s="32"/>
      <c r="G5476" s="145"/>
      <c r="H5476" s="145"/>
      <c r="I5476" s="145"/>
      <c r="J5476" s="145"/>
      <c r="K5476" s="481"/>
      <c r="L5476" s="481"/>
      <c r="M5476" s="481"/>
    </row>
    <row r="5477" spans="1:13" x14ac:dyDescent="0.2">
      <c r="A5477" s="32"/>
      <c r="G5477" s="145"/>
      <c r="H5477" s="145"/>
      <c r="I5477" s="145"/>
      <c r="J5477" s="145"/>
      <c r="K5477" s="481"/>
      <c r="L5477" s="481"/>
      <c r="M5477" s="481"/>
    </row>
    <row r="5478" spans="1:13" x14ac:dyDescent="0.2">
      <c r="A5478" s="32"/>
      <c r="G5478" s="145"/>
      <c r="H5478" s="145"/>
      <c r="I5478" s="145"/>
      <c r="J5478" s="145"/>
      <c r="K5478" s="481"/>
      <c r="L5478" s="481"/>
      <c r="M5478" s="481"/>
    </row>
    <row r="5479" spans="1:13" x14ac:dyDescent="0.2">
      <c r="A5479" s="32"/>
      <c r="G5479" s="145"/>
      <c r="H5479" s="145"/>
      <c r="I5479" s="145"/>
      <c r="J5479" s="145"/>
      <c r="K5479" s="481"/>
      <c r="L5479" s="481"/>
      <c r="M5479" s="481"/>
    </row>
    <row r="5480" spans="1:13" x14ac:dyDescent="0.2">
      <c r="A5480" s="32"/>
      <c r="G5480" s="145"/>
      <c r="H5480" s="145"/>
      <c r="I5480" s="145"/>
      <c r="J5480" s="145"/>
      <c r="K5480" s="481"/>
      <c r="L5480" s="481"/>
      <c r="M5480" s="481"/>
    </row>
    <row r="5481" spans="1:13" x14ac:dyDescent="0.2">
      <c r="A5481" s="32"/>
      <c r="G5481" s="145"/>
      <c r="H5481" s="145"/>
      <c r="I5481" s="145"/>
      <c r="J5481" s="145"/>
      <c r="K5481" s="481"/>
      <c r="L5481" s="481"/>
      <c r="M5481" s="481"/>
    </row>
    <row r="5482" spans="1:13" x14ac:dyDescent="0.2">
      <c r="A5482" s="32"/>
      <c r="G5482" s="145"/>
      <c r="H5482" s="145"/>
      <c r="I5482" s="145"/>
      <c r="J5482" s="145"/>
      <c r="K5482" s="481"/>
      <c r="L5482" s="481"/>
      <c r="M5482" s="481"/>
    </row>
    <row r="5483" spans="1:13" x14ac:dyDescent="0.2">
      <c r="A5483" s="32"/>
      <c r="G5483" s="145"/>
      <c r="H5483" s="145"/>
      <c r="I5483" s="145"/>
      <c r="J5483" s="145"/>
      <c r="K5483" s="481"/>
      <c r="L5483" s="481"/>
      <c r="M5483" s="481"/>
    </row>
    <row r="5484" spans="1:13" x14ac:dyDescent="0.2">
      <c r="A5484" s="32"/>
      <c r="G5484" s="145"/>
      <c r="H5484" s="145"/>
      <c r="I5484" s="145"/>
      <c r="J5484" s="145"/>
      <c r="K5484" s="481"/>
      <c r="L5484" s="481"/>
      <c r="M5484" s="481"/>
    </row>
    <row r="5485" spans="1:13" x14ac:dyDescent="0.2">
      <c r="A5485" s="32"/>
      <c r="G5485" s="145"/>
      <c r="H5485" s="145"/>
      <c r="I5485" s="145"/>
      <c r="J5485" s="145"/>
      <c r="K5485" s="481"/>
      <c r="L5485" s="481"/>
      <c r="M5485" s="481"/>
    </row>
    <row r="5486" spans="1:13" x14ac:dyDescent="0.2">
      <c r="A5486" s="32"/>
      <c r="G5486" s="145"/>
      <c r="H5486" s="145"/>
      <c r="I5486" s="145"/>
      <c r="J5486" s="145"/>
      <c r="K5486" s="481"/>
      <c r="L5486" s="481"/>
      <c r="M5486" s="481"/>
    </row>
    <row r="5487" spans="1:13" x14ac:dyDescent="0.2">
      <c r="A5487" s="32"/>
      <c r="G5487" s="145"/>
      <c r="H5487" s="145"/>
      <c r="I5487" s="145"/>
      <c r="J5487" s="145"/>
      <c r="K5487" s="481"/>
      <c r="L5487" s="481"/>
      <c r="M5487" s="481"/>
    </row>
    <row r="5488" spans="1:13" x14ac:dyDescent="0.2">
      <c r="A5488" s="32"/>
      <c r="G5488" s="145"/>
      <c r="H5488" s="145"/>
      <c r="I5488" s="145"/>
      <c r="J5488" s="145"/>
      <c r="K5488" s="481"/>
      <c r="L5488" s="481"/>
      <c r="M5488" s="481"/>
    </row>
    <row r="5489" spans="1:13" x14ac:dyDescent="0.2">
      <c r="A5489" s="32"/>
      <c r="G5489" s="145"/>
      <c r="H5489" s="145"/>
      <c r="I5489" s="145"/>
      <c r="J5489" s="145"/>
      <c r="K5489" s="481"/>
      <c r="L5489" s="481"/>
      <c r="M5489" s="481"/>
    </row>
    <row r="5490" spans="1:13" x14ac:dyDescent="0.2">
      <c r="A5490" s="32"/>
      <c r="G5490" s="145"/>
      <c r="H5490" s="145"/>
      <c r="I5490" s="145"/>
      <c r="J5490" s="145"/>
      <c r="K5490" s="481"/>
      <c r="L5490" s="481"/>
      <c r="M5490" s="481"/>
    </row>
    <row r="5491" spans="1:13" x14ac:dyDescent="0.2">
      <c r="A5491" s="32"/>
      <c r="G5491" s="145"/>
      <c r="H5491" s="145"/>
      <c r="I5491" s="145"/>
      <c r="J5491" s="145"/>
      <c r="K5491" s="481"/>
      <c r="L5491" s="481"/>
      <c r="M5491" s="481"/>
    </row>
    <row r="5492" spans="1:13" x14ac:dyDescent="0.2">
      <c r="A5492" s="32"/>
      <c r="G5492" s="145"/>
      <c r="H5492" s="145"/>
      <c r="I5492" s="145"/>
      <c r="J5492" s="145"/>
      <c r="K5492" s="481"/>
      <c r="L5492" s="481"/>
      <c r="M5492" s="481"/>
    </row>
    <row r="5493" spans="1:13" x14ac:dyDescent="0.2">
      <c r="A5493" s="32"/>
      <c r="G5493" s="145"/>
      <c r="H5493" s="145"/>
      <c r="I5493" s="145"/>
      <c r="J5493" s="145"/>
      <c r="K5493" s="481"/>
      <c r="L5493" s="481"/>
      <c r="M5493" s="481"/>
    </row>
    <row r="5494" spans="1:13" x14ac:dyDescent="0.2">
      <c r="A5494" s="32"/>
      <c r="G5494" s="145"/>
      <c r="H5494" s="145"/>
      <c r="I5494" s="145"/>
      <c r="J5494" s="145"/>
      <c r="K5494" s="481"/>
      <c r="L5494" s="481"/>
      <c r="M5494" s="481"/>
    </row>
    <row r="5495" spans="1:13" x14ac:dyDescent="0.2">
      <c r="A5495" s="32"/>
      <c r="G5495" s="145"/>
      <c r="H5495" s="145"/>
      <c r="I5495" s="145"/>
      <c r="J5495" s="145"/>
      <c r="K5495" s="481"/>
      <c r="L5495" s="481"/>
      <c r="M5495" s="481"/>
    </row>
    <row r="5496" spans="1:13" x14ac:dyDescent="0.2">
      <c r="A5496" s="32"/>
      <c r="G5496" s="145"/>
      <c r="H5496" s="145"/>
      <c r="I5496" s="145"/>
      <c r="J5496" s="145"/>
      <c r="K5496" s="481"/>
      <c r="L5496" s="481"/>
      <c r="M5496" s="481"/>
    </row>
    <row r="5497" spans="1:13" x14ac:dyDescent="0.2">
      <c r="A5497" s="32"/>
      <c r="G5497" s="145"/>
      <c r="H5497" s="145"/>
      <c r="I5497" s="145"/>
      <c r="J5497" s="145"/>
      <c r="K5497" s="481"/>
      <c r="L5497" s="481"/>
      <c r="M5497" s="481"/>
    </row>
    <row r="5498" spans="1:13" x14ac:dyDescent="0.2">
      <c r="A5498" s="32"/>
      <c r="G5498" s="145"/>
      <c r="H5498" s="145"/>
      <c r="I5498" s="145"/>
      <c r="J5498" s="145"/>
      <c r="K5498" s="481"/>
      <c r="L5498" s="481"/>
      <c r="M5498" s="481"/>
    </row>
    <row r="5499" spans="1:13" x14ac:dyDescent="0.2">
      <c r="A5499" s="32"/>
      <c r="G5499" s="145"/>
      <c r="H5499" s="145"/>
      <c r="I5499" s="145"/>
      <c r="J5499" s="145"/>
      <c r="K5499" s="481"/>
      <c r="L5499" s="481"/>
      <c r="M5499" s="481"/>
    </row>
    <row r="5500" spans="1:13" x14ac:dyDescent="0.2">
      <c r="A5500" s="32"/>
      <c r="G5500" s="145"/>
      <c r="H5500" s="145"/>
      <c r="I5500" s="145"/>
      <c r="J5500" s="145"/>
      <c r="K5500" s="481"/>
      <c r="L5500" s="481"/>
      <c r="M5500" s="481"/>
    </row>
    <row r="5501" spans="1:13" x14ac:dyDescent="0.2">
      <c r="A5501" s="32"/>
      <c r="G5501" s="145"/>
      <c r="H5501" s="145"/>
      <c r="I5501" s="145"/>
      <c r="J5501" s="145"/>
      <c r="K5501" s="481"/>
      <c r="L5501" s="481"/>
      <c r="M5501" s="481"/>
    </row>
    <row r="5502" spans="1:13" x14ac:dyDescent="0.2">
      <c r="A5502" s="32"/>
      <c r="G5502" s="145"/>
      <c r="H5502" s="145"/>
      <c r="I5502" s="145"/>
      <c r="J5502" s="145"/>
      <c r="K5502" s="481"/>
      <c r="L5502" s="481"/>
      <c r="M5502" s="481"/>
    </row>
    <row r="5503" spans="1:13" x14ac:dyDescent="0.2">
      <c r="A5503" s="32"/>
      <c r="G5503" s="145"/>
      <c r="H5503" s="145"/>
      <c r="I5503" s="145"/>
      <c r="J5503" s="145"/>
      <c r="K5503" s="481"/>
      <c r="L5503" s="481"/>
      <c r="M5503" s="481"/>
    </row>
    <row r="5504" spans="1:13" x14ac:dyDescent="0.2">
      <c r="A5504" s="32"/>
      <c r="G5504" s="145"/>
      <c r="H5504" s="145"/>
      <c r="I5504" s="145"/>
      <c r="J5504" s="145"/>
      <c r="K5504" s="481"/>
      <c r="L5504" s="481"/>
      <c r="M5504" s="481"/>
    </row>
    <row r="5505" spans="1:13" x14ac:dyDescent="0.2">
      <c r="A5505" s="32"/>
      <c r="G5505" s="145"/>
      <c r="H5505" s="145"/>
      <c r="I5505" s="145"/>
      <c r="J5505" s="145"/>
      <c r="K5505" s="481"/>
      <c r="L5505" s="481"/>
      <c r="M5505" s="481"/>
    </row>
    <row r="5506" spans="1:13" x14ac:dyDescent="0.2">
      <c r="A5506" s="32"/>
      <c r="G5506" s="145"/>
      <c r="H5506" s="145"/>
      <c r="I5506" s="145"/>
      <c r="J5506" s="145"/>
      <c r="K5506" s="481"/>
      <c r="L5506" s="481"/>
      <c r="M5506" s="481"/>
    </row>
    <row r="5507" spans="1:13" x14ac:dyDescent="0.2">
      <c r="A5507" s="32"/>
      <c r="G5507" s="145"/>
      <c r="H5507" s="145"/>
      <c r="I5507" s="145"/>
      <c r="J5507" s="145"/>
      <c r="K5507" s="481"/>
      <c r="L5507" s="481"/>
      <c r="M5507" s="481"/>
    </row>
    <row r="5508" spans="1:13" x14ac:dyDescent="0.2">
      <c r="A5508" s="32"/>
      <c r="G5508" s="145"/>
      <c r="H5508" s="145"/>
      <c r="I5508" s="145"/>
      <c r="J5508" s="145"/>
      <c r="K5508" s="481"/>
      <c r="L5508" s="481"/>
      <c r="M5508" s="481"/>
    </row>
    <row r="5509" spans="1:13" x14ac:dyDescent="0.2">
      <c r="A5509" s="32"/>
      <c r="G5509" s="145"/>
      <c r="H5509" s="145"/>
      <c r="I5509" s="145"/>
      <c r="J5509" s="145"/>
      <c r="K5509" s="481"/>
      <c r="L5509" s="481"/>
      <c r="M5509" s="481"/>
    </row>
    <row r="5510" spans="1:13" x14ac:dyDescent="0.2">
      <c r="A5510" s="32"/>
      <c r="G5510" s="145"/>
      <c r="H5510" s="145"/>
      <c r="I5510" s="145"/>
      <c r="J5510" s="145"/>
      <c r="K5510" s="481"/>
      <c r="L5510" s="481"/>
      <c r="M5510" s="481"/>
    </row>
    <row r="5511" spans="1:13" x14ac:dyDescent="0.2">
      <c r="A5511" s="32"/>
      <c r="G5511" s="145"/>
      <c r="H5511" s="145"/>
      <c r="I5511" s="145"/>
      <c r="J5511" s="145"/>
      <c r="K5511" s="481"/>
      <c r="L5511" s="481"/>
      <c r="M5511" s="481"/>
    </row>
    <row r="5512" spans="1:13" x14ac:dyDescent="0.2">
      <c r="A5512" s="32"/>
      <c r="G5512" s="145"/>
      <c r="H5512" s="145"/>
      <c r="I5512" s="145"/>
      <c r="J5512" s="145"/>
      <c r="K5512" s="481"/>
      <c r="L5512" s="481"/>
      <c r="M5512" s="481"/>
    </row>
    <row r="5513" spans="1:13" x14ac:dyDescent="0.2">
      <c r="A5513" s="32"/>
      <c r="G5513" s="145"/>
      <c r="H5513" s="145"/>
      <c r="I5513" s="145"/>
      <c r="J5513" s="145"/>
      <c r="K5513" s="481"/>
      <c r="L5513" s="481"/>
      <c r="M5513" s="481"/>
    </row>
    <row r="5514" spans="1:13" x14ac:dyDescent="0.2">
      <c r="A5514" s="32"/>
      <c r="G5514" s="145"/>
      <c r="H5514" s="145"/>
      <c r="I5514" s="145"/>
      <c r="J5514" s="145"/>
      <c r="K5514" s="481"/>
      <c r="L5514" s="481"/>
      <c r="M5514" s="481"/>
    </row>
    <row r="5515" spans="1:13" x14ac:dyDescent="0.2">
      <c r="A5515" s="32"/>
      <c r="G5515" s="145"/>
      <c r="H5515" s="145"/>
      <c r="I5515" s="145"/>
      <c r="J5515" s="145"/>
      <c r="K5515" s="481"/>
      <c r="L5515" s="481"/>
      <c r="M5515" s="481"/>
    </row>
    <row r="5516" spans="1:13" x14ac:dyDescent="0.2">
      <c r="A5516" s="32"/>
      <c r="G5516" s="145"/>
      <c r="H5516" s="145"/>
      <c r="I5516" s="145"/>
      <c r="J5516" s="145"/>
      <c r="K5516" s="481"/>
      <c r="L5516" s="481"/>
      <c r="M5516" s="481"/>
    </row>
    <row r="5517" spans="1:13" x14ac:dyDescent="0.2">
      <c r="A5517" s="32"/>
      <c r="G5517" s="145"/>
      <c r="H5517" s="145"/>
      <c r="I5517" s="145"/>
      <c r="J5517" s="145"/>
      <c r="K5517" s="481"/>
      <c r="L5517" s="481"/>
      <c r="M5517" s="481"/>
    </row>
    <row r="5518" spans="1:13" x14ac:dyDescent="0.2">
      <c r="A5518" s="32"/>
      <c r="G5518" s="145"/>
      <c r="H5518" s="145"/>
      <c r="I5518" s="145"/>
      <c r="J5518" s="145"/>
      <c r="K5518" s="481"/>
      <c r="L5518" s="481"/>
      <c r="M5518" s="481"/>
    </row>
    <row r="5519" spans="1:13" x14ac:dyDescent="0.2">
      <c r="A5519" s="32"/>
      <c r="G5519" s="145"/>
      <c r="H5519" s="145"/>
      <c r="I5519" s="145"/>
      <c r="J5519" s="145"/>
      <c r="K5519" s="481"/>
      <c r="L5519" s="481"/>
      <c r="M5519" s="481"/>
    </row>
    <row r="5520" spans="1:13" x14ac:dyDescent="0.2">
      <c r="A5520" s="32"/>
      <c r="G5520" s="145"/>
      <c r="H5520" s="145"/>
      <c r="I5520" s="145"/>
      <c r="J5520" s="145"/>
      <c r="K5520" s="481"/>
      <c r="L5520" s="481"/>
      <c r="M5520" s="481"/>
    </row>
    <row r="5521" spans="1:13" x14ac:dyDescent="0.2">
      <c r="A5521" s="32"/>
      <c r="G5521" s="145"/>
      <c r="H5521" s="145"/>
      <c r="I5521" s="145"/>
      <c r="J5521" s="145"/>
      <c r="K5521" s="481"/>
      <c r="L5521" s="481"/>
      <c r="M5521" s="481"/>
    </row>
    <row r="5522" spans="1:13" x14ac:dyDescent="0.2">
      <c r="A5522" s="32"/>
      <c r="G5522" s="145"/>
      <c r="H5522" s="145"/>
      <c r="I5522" s="145"/>
      <c r="J5522" s="145"/>
      <c r="K5522" s="481"/>
      <c r="L5522" s="481"/>
      <c r="M5522" s="481"/>
    </row>
    <row r="5523" spans="1:13" x14ac:dyDescent="0.2">
      <c r="A5523" s="32"/>
      <c r="G5523" s="145"/>
      <c r="H5523" s="145"/>
      <c r="I5523" s="145"/>
      <c r="J5523" s="145"/>
      <c r="K5523" s="481"/>
      <c r="L5523" s="481"/>
      <c r="M5523" s="481"/>
    </row>
    <row r="5524" spans="1:13" x14ac:dyDescent="0.2">
      <c r="A5524" s="32"/>
      <c r="G5524" s="145"/>
      <c r="H5524" s="145"/>
      <c r="I5524" s="145"/>
      <c r="J5524" s="145"/>
      <c r="K5524" s="481"/>
      <c r="L5524" s="481"/>
      <c r="M5524" s="481"/>
    </row>
    <row r="5525" spans="1:13" x14ac:dyDescent="0.2">
      <c r="A5525" s="32"/>
      <c r="G5525" s="145"/>
      <c r="H5525" s="145"/>
      <c r="I5525" s="145"/>
      <c r="J5525" s="145"/>
      <c r="K5525" s="481"/>
      <c r="L5525" s="481"/>
      <c r="M5525" s="481"/>
    </row>
    <row r="5526" spans="1:13" x14ac:dyDescent="0.2">
      <c r="A5526" s="32"/>
      <c r="G5526" s="145"/>
      <c r="H5526" s="145"/>
      <c r="I5526" s="145"/>
      <c r="J5526" s="145"/>
      <c r="K5526" s="481"/>
      <c r="L5526" s="481"/>
      <c r="M5526" s="481"/>
    </row>
    <row r="5527" spans="1:13" x14ac:dyDescent="0.2">
      <c r="A5527" s="32"/>
      <c r="G5527" s="145"/>
      <c r="H5527" s="145"/>
      <c r="I5527" s="145"/>
      <c r="J5527" s="145"/>
      <c r="K5527" s="481"/>
      <c r="L5527" s="481"/>
      <c r="M5527" s="481"/>
    </row>
    <row r="5528" spans="1:13" x14ac:dyDescent="0.2">
      <c r="A5528" s="32"/>
      <c r="G5528" s="145"/>
      <c r="H5528" s="145"/>
      <c r="I5528" s="145"/>
      <c r="J5528" s="145"/>
      <c r="K5528" s="481"/>
      <c r="L5528" s="481"/>
      <c r="M5528" s="481"/>
    </row>
    <row r="5529" spans="1:13" x14ac:dyDescent="0.2">
      <c r="A5529" s="32"/>
      <c r="G5529" s="145"/>
      <c r="H5529" s="145"/>
      <c r="I5529" s="145"/>
      <c r="J5529" s="145"/>
      <c r="K5529" s="481"/>
      <c r="L5529" s="481"/>
      <c r="M5529" s="481"/>
    </row>
    <row r="5530" spans="1:13" x14ac:dyDescent="0.2">
      <c r="A5530" s="32"/>
      <c r="G5530" s="145"/>
      <c r="H5530" s="145"/>
      <c r="I5530" s="145"/>
      <c r="J5530" s="145"/>
      <c r="K5530" s="481"/>
      <c r="L5530" s="481"/>
      <c r="M5530" s="481"/>
    </row>
    <row r="5531" spans="1:13" x14ac:dyDescent="0.2">
      <c r="A5531" s="32"/>
      <c r="G5531" s="145"/>
      <c r="H5531" s="145"/>
      <c r="I5531" s="145"/>
      <c r="J5531" s="145"/>
      <c r="K5531" s="481"/>
      <c r="L5531" s="481"/>
      <c r="M5531" s="481"/>
    </row>
    <row r="5532" spans="1:13" x14ac:dyDescent="0.2">
      <c r="A5532" s="32"/>
      <c r="G5532" s="145"/>
      <c r="H5532" s="145"/>
      <c r="I5532" s="145"/>
      <c r="J5532" s="145"/>
      <c r="K5532" s="481"/>
      <c r="L5532" s="481"/>
      <c r="M5532" s="481"/>
    </row>
    <row r="5533" spans="1:13" x14ac:dyDescent="0.2">
      <c r="A5533" s="32"/>
      <c r="G5533" s="145"/>
      <c r="H5533" s="145"/>
      <c r="I5533" s="145"/>
      <c r="J5533" s="145"/>
      <c r="K5533" s="481"/>
      <c r="L5533" s="481"/>
      <c r="M5533" s="481"/>
    </row>
    <row r="5534" spans="1:13" x14ac:dyDescent="0.2">
      <c r="A5534" s="32"/>
      <c r="G5534" s="145"/>
      <c r="H5534" s="145"/>
      <c r="I5534" s="145"/>
      <c r="J5534" s="145"/>
      <c r="K5534" s="481"/>
      <c r="L5534" s="481"/>
      <c r="M5534" s="481"/>
    </row>
    <row r="5535" spans="1:13" x14ac:dyDescent="0.2">
      <c r="A5535" s="32"/>
      <c r="G5535" s="145"/>
      <c r="H5535" s="145"/>
      <c r="I5535" s="145"/>
      <c r="J5535" s="145"/>
      <c r="K5535" s="481"/>
      <c r="L5535" s="481"/>
      <c r="M5535" s="481"/>
    </row>
    <row r="5536" spans="1:13" x14ac:dyDescent="0.2">
      <c r="A5536" s="32"/>
      <c r="G5536" s="145"/>
      <c r="H5536" s="145"/>
      <c r="I5536" s="145"/>
      <c r="J5536" s="145"/>
      <c r="K5536" s="481"/>
      <c r="L5536" s="481"/>
      <c r="M5536" s="481"/>
    </row>
    <row r="5537" spans="1:13" x14ac:dyDescent="0.2">
      <c r="A5537" s="32"/>
      <c r="G5537" s="145"/>
      <c r="H5537" s="145"/>
      <c r="I5537" s="145"/>
      <c r="J5537" s="145"/>
      <c r="K5537" s="481"/>
      <c r="L5537" s="481"/>
      <c r="M5537" s="481"/>
    </row>
    <row r="5538" spans="1:13" x14ac:dyDescent="0.2">
      <c r="A5538" s="32"/>
      <c r="G5538" s="145"/>
      <c r="H5538" s="145"/>
      <c r="I5538" s="145"/>
      <c r="J5538" s="145"/>
      <c r="K5538" s="481"/>
      <c r="L5538" s="481"/>
      <c r="M5538" s="481"/>
    </row>
    <row r="5539" spans="1:13" x14ac:dyDescent="0.2">
      <c r="A5539" s="32"/>
      <c r="G5539" s="145"/>
      <c r="H5539" s="145"/>
      <c r="I5539" s="145"/>
      <c r="J5539" s="145"/>
      <c r="K5539" s="481"/>
      <c r="L5539" s="481"/>
      <c r="M5539" s="481"/>
    </row>
    <row r="5540" spans="1:13" x14ac:dyDescent="0.2">
      <c r="A5540" s="32"/>
      <c r="G5540" s="145"/>
      <c r="H5540" s="145"/>
      <c r="I5540" s="145"/>
      <c r="J5540" s="145"/>
      <c r="K5540" s="481"/>
      <c r="L5540" s="481"/>
      <c r="M5540" s="481"/>
    </row>
    <row r="5541" spans="1:13" x14ac:dyDescent="0.2">
      <c r="A5541" s="32"/>
      <c r="G5541" s="145"/>
      <c r="H5541" s="145"/>
      <c r="I5541" s="145"/>
      <c r="J5541" s="145"/>
      <c r="K5541" s="481"/>
      <c r="L5541" s="481"/>
      <c r="M5541" s="481"/>
    </row>
    <row r="5542" spans="1:13" x14ac:dyDescent="0.2">
      <c r="A5542" s="32"/>
      <c r="G5542" s="145"/>
      <c r="H5542" s="145"/>
      <c r="I5542" s="145"/>
      <c r="J5542" s="145"/>
      <c r="K5542" s="481"/>
      <c r="L5542" s="481"/>
      <c r="M5542" s="481"/>
    </row>
    <row r="5543" spans="1:13" x14ac:dyDescent="0.2">
      <c r="A5543" s="32"/>
      <c r="G5543" s="145"/>
      <c r="H5543" s="145"/>
      <c r="I5543" s="145"/>
      <c r="J5543" s="145"/>
      <c r="K5543" s="481"/>
      <c r="L5543" s="481"/>
      <c r="M5543" s="481"/>
    </row>
    <row r="5544" spans="1:13" x14ac:dyDescent="0.2">
      <c r="A5544" s="32"/>
      <c r="G5544" s="145"/>
      <c r="H5544" s="145"/>
      <c r="I5544" s="145"/>
      <c r="J5544" s="145"/>
      <c r="K5544" s="481"/>
      <c r="L5544" s="481"/>
      <c r="M5544" s="481"/>
    </row>
    <row r="5545" spans="1:13" x14ac:dyDescent="0.2">
      <c r="A5545" s="32"/>
      <c r="G5545" s="145"/>
      <c r="H5545" s="145"/>
      <c r="I5545" s="145"/>
      <c r="J5545" s="145"/>
      <c r="K5545" s="481"/>
      <c r="L5545" s="481"/>
      <c r="M5545" s="481"/>
    </row>
    <row r="5546" spans="1:13" x14ac:dyDescent="0.2">
      <c r="A5546" s="32"/>
      <c r="G5546" s="145"/>
      <c r="H5546" s="145"/>
      <c r="I5546" s="145"/>
      <c r="J5546" s="145"/>
      <c r="K5546" s="481"/>
      <c r="L5546" s="481"/>
      <c r="M5546" s="481"/>
    </row>
    <row r="5547" spans="1:13" x14ac:dyDescent="0.2">
      <c r="A5547" s="32"/>
      <c r="G5547" s="145"/>
      <c r="H5547" s="145"/>
      <c r="I5547" s="145"/>
      <c r="J5547" s="145"/>
      <c r="K5547" s="481"/>
      <c r="L5547" s="481"/>
      <c r="M5547" s="481"/>
    </row>
    <row r="5548" spans="1:13" x14ac:dyDescent="0.2">
      <c r="A5548" s="32"/>
      <c r="G5548" s="145"/>
      <c r="H5548" s="145"/>
      <c r="I5548" s="145"/>
      <c r="J5548" s="145"/>
      <c r="K5548" s="481"/>
      <c r="L5548" s="481"/>
      <c r="M5548" s="481"/>
    </row>
    <row r="5549" spans="1:13" x14ac:dyDescent="0.2">
      <c r="A5549" s="32"/>
      <c r="G5549" s="145"/>
      <c r="H5549" s="145"/>
      <c r="I5549" s="145"/>
      <c r="J5549" s="145"/>
      <c r="K5549" s="481"/>
      <c r="L5549" s="481"/>
      <c r="M5549" s="481"/>
    </row>
    <row r="5550" spans="1:13" x14ac:dyDescent="0.2">
      <c r="A5550" s="32"/>
      <c r="G5550" s="145"/>
      <c r="H5550" s="145"/>
      <c r="I5550" s="145"/>
      <c r="J5550" s="145"/>
      <c r="K5550" s="481"/>
      <c r="L5550" s="481"/>
      <c r="M5550" s="481"/>
    </row>
    <row r="5551" spans="1:13" x14ac:dyDescent="0.2">
      <c r="A5551" s="32"/>
      <c r="G5551" s="145"/>
      <c r="H5551" s="145"/>
      <c r="I5551" s="145"/>
      <c r="J5551" s="145"/>
      <c r="K5551" s="481"/>
      <c r="L5551" s="481"/>
      <c r="M5551" s="481"/>
    </row>
    <row r="5552" spans="1:13" x14ac:dyDescent="0.2">
      <c r="A5552" s="32"/>
      <c r="G5552" s="145"/>
      <c r="H5552" s="145"/>
      <c r="I5552" s="145"/>
      <c r="J5552" s="145"/>
      <c r="K5552" s="481"/>
      <c r="L5552" s="481"/>
      <c r="M5552" s="481"/>
    </row>
    <row r="5553" spans="1:13" x14ac:dyDescent="0.2">
      <c r="A5553" s="32"/>
      <c r="G5553" s="145"/>
      <c r="H5553" s="145"/>
      <c r="I5553" s="145"/>
      <c r="J5553" s="145"/>
      <c r="K5553" s="481"/>
      <c r="L5553" s="481"/>
      <c r="M5553" s="481"/>
    </row>
    <row r="5554" spans="1:13" x14ac:dyDescent="0.2">
      <c r="A5554" s="32"/>
      <c r="G5554" s="145"/>
      <c r="H5554" s="145"/>
      <c r="I5554" s="145"/>
      <c r="J5554" s="145"/>
      <c r="K5554" s="481"/>
      <c r="L5554" s="481"/>
      <c r="M5554" s="481"/>
    </row>
    <row r="5555" spans="1:13" x14ac:dyDescent="0.2">
      <c r="A5555" s="32"/>
      <c r="G5555" s="145"/>
      <c r="H5555" s="145"/>
      <c r="I5555" s="145"/>
      <c r="J5555" s="145"/>
      <c r="K5555" s="481"/>
      <c r="L5555" s="481"/>
      <c r="M5555" s="481"/>
    </row>
    <row r="5556" spans="1:13" x14ac:dyDescent="0.2">
      <c r="A5556" s="32"/>
      <c r="G5556" s="145"/>
      <c r="H5556" s="145"/>
      <c r="I5556" s="145"/>
      <c r="J5556" s="145"/>
      <c r="K5556" s="481"/>
      <c r="L5556" s="481"/>
      <c r="M5556" s="481"/>
    </row>
    <row r="5557" spans="1:13" x14ac:dyDescent="0.2">
      <c r="A5557" s="32"/>
      <c r="G5557" s="145"/>
      <c r="H5557" s="145"/>
      <c r="I5557" s="145"/>
      <c r="J5557" s="145"/>
      <c r="K5557" s="481"/>
      <c r="L5557" s="481"/>
      <c r="M5557" s="481"/>
    </row>
    <row r="5558" spans="1:13" x14ac:dyDescent="0.2">
      <c r="A5558" s="32"/>
      <c r="G5558" s="145"/>
      <c r="H5558" s="145"/>
      <c r="I5558" s="145"/>
      <c r="J5558" s="145"/>
      <c r="K5558" s="481"/>
      <c r="L5558" s="481"/>
      <c r="M5558" s="481"/>
    </row>
    <row r="5559" spans="1:13" x14ac:dyDescent="0.2">
      <c r="A5559" s="32"/>
      <c r="G5559" s="145"/>
      <c r="H5559" s="145"/>
      <c r="I5559" s="145"/>
      <c r="J5559" s="145"/>
      <c r="K5559" s="481"/>
      <c r="L5559" s="481"/>
      <c r="M5559" s="481"/>
    </row>
    <row r="5560" spans="1:13" x14ac:dyDescent="0.2">
      <c r="A5560" s="32"/>
      <c r="G5560" s="145"/>
      <c r="H5560" s="145"/>
      <c r="I5560" s="145"/>
      <c r="J5560" s="145"/>
      <c r="K5560" s="481"/>
      <c r="L5560" s="481"/>
      <c r="M5560" s="481"/>
    </row>
    <row r="5561" spans="1:13" x14ac:dyDescent="0.2">
      <c r="A5561" s="32"/>
      <c r="G5561" s="145"/>
      <c r="H5561" s="145"/>
      <c r="I5561" s="145"/>
      <c r="J5561" s="145"/>
      <c r="K5561" s="481"/>
      <c r="L5561" s="481"/>
      <c r="M5561" s="481"/>
    </row>
    <row r="5562" spans="1:13" x14ac:dyDescent="0.2">
      <c r="A5562" s="32"/>
      <c r="G5562" s="145"/>
      <c r="H5562" s="145"/>
      <c r="I5562" s="145"/>
      <c r="J5562" s="145"/>
      <c r="K5562" s="481"/>
      <c r="L5562" s="481"/>
      <c r="M5562" s="481"/>
    </row>
    <row r="5563" spans="1:13" x14ac:dyDescent="0.2">
      <c r="A5563" s="32"/>
      <c r="G5563" s="145"/>
      <c r="H5563" s="145"/>
      <c r="I5563" s="145"/>
      <c r="J5563" s="145"/>
      <c r="K5563" s="481"/>
      <c r="L5563" s="481"/>
      <c r="M5563" s="481"/>
    </row>
    <row r="5564" spans="1:13" x14ac:dyDescent="0.2">
      <c r="A5564" s="32"/>
      <c r="G5564" s="145"/>
      <c r="H5564" s="145"/>
      <c r="I5564" s="145"/>
      <c r="J5564" s="145"/>
      <c r="K5564" s="481"/>
      <c r="L5564" s="481"/>
      <c r="M5564" s="481"/>
    </row>
    <row r="5565" spans="1:13" x14ac:dyDescent="0.2">
      <c r="A5565" s="32"/>
      <c r="G5565" s="145"/>
      <c r="H5565" s="145"/>
      <c r="I5565" s="145"/>
      <c r="J5565" s="145"/>
      <c r="K5565" s="481"/>
      <c r="L5565" s="481"/>
      <c r="M5565" s="481"/>
    </row>
    <row r="5566" spans="1:13" x14ac:dyDescent="0.2">
      <c r="A5566" s="32"/>
      <c r="G5566" s="145"/>
      <c r="H5566" s="145"/>
      <c r="I5566" s="145"/>
      <c r="J5566" s="145"/>
      <c r="K5566" s="481"/>
      <c r="L5566" s="481"/>
      <c r="M5566" s="481"/>
    </row>
    <row r="5567" spans="1:13" x14ac:dyDescent="0.2">
      <c r="A5567" s="32"/>
      <c r="G5567" s="145"/>
      <c r="H5567" s="145"/>
      <c r="I5567" s="145"/>
      <c r="J5567" s="145"/>
      <c r="K5567" s="481"/>
      <c r="L5567" s="481"/>
      <c r="M5567" s="481"/>
    </row>
    <row r="5568" spans="1:13" x14ac:dyDescent="0.2">
      <c r="A5568" s="32"/>
      <c r="G5568" s="145"/>
      <c r="H5568" s="145"/>
      <c r="I5568" s="145"/>
      <c r="J5568" s="145"/>
      <c r="K5568" s="481"/>
      <c r="L5568" s="481"/>
      <c r="M5568" s="481"/>
    </row>
    <row r="5569" spans="1:13" x14ac:dyDescent="0.2">
      <c r="A5569" s="32"/>
      <c r="G5569" s="145"/>
      <c r="H5569" s="145"/>
      <c r="I5569" s="145"/>
      <c r="J5569" s="145"/>
      <c r="K5569" s="481"/>
      <c r="L5569" s="481"/>
      <c r="M5569" s="481"/>
    </row>
    <row r="5570" spans="1:13" x14ac:dyDescent="0.2">
      <c r="A5570" s="32"/>
      <c r="G5570" s="145"/>
      <c r="H5570" s="145"/>
      <c r="I5570" s="145"/>
      <c r="J5570" s="145"/>
      <c r="K5570" s="481"/>
      <c r="L5570" s="481"/>
      <c r="M5570" s="481"/>
    </row>
    <row r="5571" spans="1:13" x14ac:dyDescent="0.2">
      <c r="A5571" s="32"/>
      <c r="G5571" s="145"/>
      <c r="H5571" s="145"/>
      <c r="I5571" s="145"/>
      <c r="J5571" s="145"/>
      <c r="K5571" s="481"/>
      <c r="L5571" s="481"/>
      <c r="M5571" s="481"/>
    </row>
    <row r="5572" spans="1:13" x14ac:dyDescent="0.2">
      <c r="A5572" s="32"/>
      <c r="G5572" s="145"/>
      <c r="H5572" s="145"/>
      <c r="I5572" s="145"/>
      <c r="J5572" s="145"/>
      <c r="K5572" s="481"/>
      <c r="L5572" s="481"/>
      <c r="M5572" s="481"/>
    </row>
    <row r="5573" spans="1:13" x14ac:dyDescent="0.2">
      <c r="A5573" s="32"/>
      <c r="G5573" s="145"/>
      <c r="H5573" s="145"/>
      <c r="I5573" s="145"/>
      <c r="J5573" s="145"/>
      <c r="K5573" s="481"/>
      <c r="L5573" s="481"/>
      <c r="M5573" s="481"/>
    </row>
    <row r="5574" spans="1:13" x14ac:dyDescent="0.2">
      <c r="A5574" s="32"/>
      <c r="G5574" s="145"/>
      <c r="H5574" s="145"/>
      <c r="I5574" s="145"/>
      <c r="J5574" s="145"/>
      <c r="K5574" s="481"/>
      <c r="L5574" s="481"/>
      <c r="M5574" s="481"/>
    </row>
    <row r="5575" spans="1:13" x14ac:dyDescent="0.2">
      <c r="A5575" s="32"/>
      <c r="G5575" s="145"/>
      <c r="H5575" s="145"/>
      <c r="I5575" s="145"/>
      <c r="J5575" s="145"/>
      <c r="K5575" s="481"/>
      <c r="L5575" s="481"/>
      <c r="M5575" s="481"/>
    </row>
    <row r="5576" spans="1:13" x14ac:dyDescent="0.2">
      <c r="A5576" s="32"/>
      <c r="G5576" s="145"/>
      <c r="H5576" s="145"/>
      <c r="I5576" s="145"/>
      <c r="J5576" s="145"/>
      <c r="K5576" s="481"/>
      <c r="L5576" s="481"/>
      <c r="M5576" s="481"/>
    </row>
    <row r="5577" spans="1:13" x14ac:dyDescent="0.2">
      <c r="A5577" s="32"/>
      <c r="G5577" s="145"/>
      <c r="H5577" s="145"/>
      <c r="I5577" s="145"/>
      <c r="J5577" s="145"/>
      <c r="K5577" s="481"/>
      <c r="L5577" s="481"/>
      <c r="M5577" s="481"/>
    </row>
    <row r="5578" spans="1:13" x14ac:dyDescent="0.2">
      <c r="A5578" s="32"/>
      <c r="G5578" s="145"/>
      <c r="H5578" s="145"/>
      <c r="I5578" s="145"/>
      <c r="J5578" s="145"/>
      <c r="K5578" s="481"/>
      <c r="L5578" s="481"/>
      <c r="M5578" s="481"/>
    </row>
    <row r="5579" spans="1:13" x14ac:dyDescent="0.2">
      <c r="A5579" s="32"/>
      <c r="G5579" s="145"/>
      <c r="H5579" s="145"/>
      <c r="I5579" s="145"/>
      <c r="J5579" s="145"/>
      <c r="K5579" s="481"/>
      <c r="L5579" s="481"/>
      <c r="M5579" s="481"/>
    </row>
    <row r="5580" spans="1:13" x14ac:dyDescent="0.2">
      <c r="A5580" s="32"/>
      <c r="G5580" s="145"/>
      <c r="H5580" s="145"/>
      <c r="I5580" s="145"/>
      <c r="J5580" s="145"/>
      <c r="K5580" s="481"/>
      <c r="L5580" s="481"/>
      <c r="M5580" s="481"/>
    </row>
    <row r="5581" spans="1:13" x14ac:dyDescent="0.2">
      <c r="A5581" s="32"/>
      <c r="G5581" s="145"/>
      <c r="H5581" s="145"/>
      <c r="I5581" s="145"/>
      <c r="J5581" s="145"/>
      <c r="K5581" s="481"/>
      <c r="L5581" s="481"/>
      <c r="M5581" s="481"/>
    </row>
    <row r="5582" spans="1:13" x14ac:dyDescent="0.2">
      <c r="A5582" s="32"/>
      <c r="G5582" s="145"/>
      <c r="H5582" s="145"/>
      <c r="I5582" s="145"/>
      <c r="J5582" s="145"/>
      <c r="K5582" s="481"/>
      <c r="L5582" s="481"/>
      <c r="M5582" s="481"/>
    </row>
    <row r="5583" spans="1:13" x14ac:dyDescent="0.2">
      <c r="A5583" s="32"/>
      <c r="G5583" s="145"/>
      <c r="H5583" s="145"/>
      <c r="I5583" s="145"/>
      <c r="J5583" s="145"/>
      <c r="K5583" s="481"/>
      <c r="L5583" s="481"/>
      <c r="M5583" s="481"/>
    </row>
    <row r="5584" spans="1:13" x14ac:dyDescent="0.2">
      <c r="A5584" s="32"/>
      <c r="G5584" s="145"/>
      <c r="H5584" s="145"/>
      <c r="I5584" s="145"/>
      <c r="J5584" s="145"/>
      <c r="K5584" s="481"/>
      <c r="L5584" s="481"/>
      <c r="M5584" s="481"/>
    </row>
    <row r="5585" spans="1:13" x14ac:dyDescent="0.2">
      <c r="A5585" s="32"/>
      <c r="G5585" s="145"/>
      <c r="H5585" s="145"/>
      <c r="I5585" s="145"/>
      <c r="J5585" s="145"/>
      <c r="K5585" s="481"/>
      <c r="L5585" s="481"/>
      <c r="M5585" s="481"/>
    </row>
    <row r="5586" spans="1:13" x14ac:dyDescent="0.2">
      <c r="A5586" s="32"/>
      <c r="G5586" s="145"/>
      <c r="H5586" s="145"/>
      <c r="I5586" s="145"/>
      <c r="J5586" s="145"/>
      <c r="K5586" s="481"/>
      <c r="L5586" s="481"/>
      <c r="M5586" s="481"/>
    </row>
    <row r="5587" spans="1:13" x14ac:dyDescent="0.2">
      <c r="A5587" s="32"/>
      <c r="G5587" s="145"/>
      <c r="H5587" s="145"/>
      <c r="I5587" s="145"/>
      <c r="J5587" s="145"/>
      <c r="K5587" s="481"/>
      <c r="L5587" s="481"/>
      <c r="M5587" s="481"/>
    </row>
    <row r="5588" spans="1:13" x14ac:dyDescent="0.2">
      <c r="A5588" s="32"/>
      <c r="G5588" s="145"/>
      <c r="H5588" s="145"/>
      <c r="I5588" s="145"/>
      <c r="J5588" s="145"/>
      <c r="K5588" s="481"/>
      <c r="L5588" s="481"/>
      <c r="M5588" s="481"/>
    </row>
    <row r="5589" spans="1:13" x14ac:dyDescent="0.2">
      <c r="A5589" s="32"/>
      <c r="G5589" s="145"/>
      <c r="H5589" s="145"/>
      <c r="I5589" s="145"/>
      <c r="J5589" s="145"/>
      <c r="K5589" s="481"/>
      <c r="L5589" s="481"/>
      <c r="M5589" s="481"/>
    </row>
    <row r="5590" spans="1:13" x14ac:dyDescent="0.2">
      <c r="A5590" s="32"/>
      <c r="G5590" s="145"/>
      <c r="H5590" s="145"/>
      <c r="I5590" s="145"/>
      <c r="J5590" s="145"/>
      <c r="K5590" s="481"/>
      <c r="L5590" s="481"/>
      <c r="M5590" s="481"/>
    </row>
    <row r="5591" spans="1:13" x14ac:dyDescent="0.2">
      <c r="A5591" s="32"/>
      <c r="G5591" s="145"/>
      <c r="H5591" s="145"/>
      <c r="I5591" s="145"/>
      <c r="J5591" s="145"/>
      <c r="K5591" s="481"/>
      <c r="L5591" s="481"/>
      <c r="M5591" s="481"/>
    </row>
    <row r="5592" spans="1:13" x14ac:dyDescent="0.2">
      <c r="A5592" s="32"/>
      <c r="G5592" s="145"/>
      <c r="H5592" s="145"/>
      <c r="I5592" s="145"/>
      <c r="J5592" s="145"/>
      <c r="K5592" s="481"/>
      <c r="L5592" s="481"/>
      <c r="M5592" s="481"/>
    </row>
    <row r="5593" spans="1:13" x14ac:dyDescent="0.2">
      <c r="A5593" s="32"/>
      <c r="G5593" s="145"/>
      <c r="H5593" s="145"/>
      <c r="I5593" s="145"/>
      <c r="J5593" s="145"/>
      <c r="K5593" s="481"/>
      <c r="L5593" s="481"/>
      <c r="M5593" s="481"/>
    </row>
    <row r="5594" spans="1:13" x14ac:dyDescent="0.2">
      <c r="A5594" s="32"/>
      <c r="G5594" s="145"/>
      <c r="H5594" s="145"/>
      <c r="I5594" s="145"/>
      <c r="J5594" s="145"/>
      <c r="K5594" s="481"/>
      <c r="L5594" s="481"/>
      <c r="M5594" s="481"/>
    </row>
    <row r="5595" spans="1:13" x14ac:dyDescent="0.2">
      <c r="A5595" s="32"/>
      <c r="G5595" s="145"/>
      <c r="H5595" s="145"/>
      <c r="I5595" s="145"/>
      <c r="J5595" s="145"/>
      <c r="K5595" s="481"/>
      <c r="L5595" s="481"/>
      <c r="M5595" s="481"/>
    </row>
    <row r="5596" spans="1:13" x14ac:dyDescent="0.2">
      <c r="A5596" s="32"/>
      <c r="G5596" s="145"/>
      <c r="H5596" s="145"/>
      <c r="I5596" s="145"/>
      <c r="J5596" s="145"/>
      <c r="K5596" s="481"/>
      <c r="L5596" s="481"/>
      <c r="M5596" s="481"/>
    </row>
    <row r="5597" spans="1:13" x14ac:dyDescent="0.2">
      <c r="A5597" s="32"/>
      <c r="G5597" s="145"/>
      <c r="H5597" s="145"/>
      <c r="I5597" s="145"/>
      <c r="J5597" s="145"/>
      <c r="K5597" s="481"/>
      <c r="L5597" s="481"/>
      <c r="M5597" s="481"/>
    </row>
    <row r="5598" spans="1:13" x14ac:dyDescent="0.2">
      <c r="A5598" s="32"/>
      <c r="G5598" s="145"/>
      <c r="H5598" s="145"/>
      <c r="I5598" s="145"/>
      <c r="J5598" s="145"/>
      <c r="K5598" s="481"/>
      <c r="L5598" s="481"/>
      <c r="M5598" s="481"/>
    </row>
    <row r="5599" spans="1:13" x14ac:dyDescent="0.2">
      <c r="A5599" s="32"/>
      <c r="G5599" s="145"/>
      <c r="H5599" s="145"/>
      <c r="I5599" s="145"/>
      <c r="J5599" s="145"/>
      <c r="K5599" s="481"/>
      <c r="L5599" s="481"/>
      <c r="M5599" s="481"/>
    </row>
    <row r="5600" spans="1:13" x14ac:dyDescent="0.2">
      <c r="A5600" s="32"/>
      <c r="G5600" s="145"/>
      <c r="H5600" s="145"/>
      <c r="I5600" s="145"/>
      <c r="J5600" s="145"/>
      <c r="K5600" s="481"/>
      <c r="L5600" s="481"/>
      <c r="M5600" s="481"/>
    </row>
    <row r="5601" spans="1:13" x14ac:dyDescent="0.2">
      <c r="A5601" s="32"/>
      <c r="G5601" s="145"/>
      <c r="H5601" s="145"/>
      <c r="I5601" s="145"/>
      <c r="J5601" s="145"/>
      <c r="K5601" s="481"/>
      <c r="L5601" s="481"/>
      <c r="M5601" s="481"/>
    </row>
    <row r="5602" spans="1:13" x14ac:dyDescent="0.2">
      <c r="A5602" s="32"/>
      <c r="G5602" s="145"/>
      <c r="H5602" s="145"/>
      <c r="I5602" s="145"/>
      <c r="J5602" s="145"/>
      <c r="K5602" s="481"/>
      <c r="L5602" s="481"/>
      <c r="M5602" s="481"/>
    </row>
    <row r="5603" spans="1:13" x14ac:dyDescent="0.2">
      <c r="A5603" s="32"/>
      <c r="G5603" s="145"/>
      <c r="H5603" s="145"/>
      <c r="I5603" s="145"/>
      <c r="J5603" s="145"/>
      <c r="K5603" s="481"/>
      <c r="L5603" s="481"/>
      <c r="M5603" s="481"/>
    </row>
    <row r="5604" spans="1:13" x14ac:dyDescent="0.2">
      <c r="A5604" s="32"/>
      <c r="G5604" s="145"/>
      <c r="H5604" s="145"/>
      <c r="I5604" s="145"/>
      <c r="J5604" s="145"/>
      <c r="K5604" s="481"/>
      <c r="L5604" s="481"/>
      <c r="M5604" s="481"/>
    </row>
    <row r="5605" spans="1:13" x14ac:dyDescent="0.2">
      <c r="A5605" s="32"/>
      <c r="G5605" s="145"/>
      <c r="H5605" s="145"/>
      <c r="I5605" s="145"/>
      <c r="J5605" s="145"/>
      <c r="K5605" s="481"/>
      <c r="L5605" s="481"/>
      <c r="M5605" s="481"/>
    </row>
    <row r="5606" spans="1:13" x14ac:dyDescent="0.2">
      <c r="A5606" s="32"/>
      <c r="G5606" s="145"/>
      <c r="H5606" s="145"/>
      <c r="I5606" s="145"/>
      <c r="J5606" s="145"/>
      <c r="K5606" s="481"/>
      <c r="L5606" s="481"/>
      <c r="M5606" s="481"/>
    </row>
    <row r="5607" spans="1:13" x14ac:dyDescent="0.2">
      <c r="A5607" s="32"/>
      <c r="G5607" s="145"/>
      <c r="H5607" s="145"/>
      <c r="I5607" s="145"/>
      <c r="J5607" s="145"/>
      <c r="K5607" s="481"/>
      <c r="L5607" s="481"/>
      <c r="M5607" s="481"/>
    </row>
    <row r="5608" spans="1:13" x14ac:dyDescent="0.2">
      <c r="A5608" s="32"/>
      <c r="G5608" s="145"/>
      <c r="H5608" s="145"/>
      <c r="I5608" s="145"/>
      <c r="J5608" s="145"/>
      <c r="K5608" s="481"/>
      <c r="L5608" s="481"/>
      <c r="M5608" s="481"/>
    </row>
    <row r="5609" spans="1:13" x14ac:dyDescent="0.2">
      <c r="A5609" s="32"/>
      <c r="G5609" s="145"/>
      <c r="H5609" s="145"/>
      <c r="I5609" s="145"/>
      <c r="J5609" s="145"/>
      <c r="K5609" s="481"/>
      <c r="L5609" s="481"/>
      <c r="M5609" s="481"/>
    </row>
    <row r="5610" spans="1:13" x14ac:dyDescent="0.2">
      <c r="A5610" s="32"/>
      <c r="G5610" s="145"/>
      <c r="H5610" s="145"/>
      <c r="I5610" s="145"/>
      <c r="J5610" s="145"/>
      <c r="K5610" s="481"/>
      <c r="L5610" s="481"/>
      <c r="M5610" s="481"/>
    </row>
    <row r="5611" spans="1:13" x14ac:dyDescent="0.2">
      <c r="A5611" s="32"/>
      <c r="G5611" s="145"/>
      <c r="H5611" s="145"/>
      <c r="I5611" s="145"/>
      <c r="J5611" s="145"/>
      <c r="K5611" s="481"/>
      <c r="L5611" s="481"/>
      <c r="M5611" s="481"/>
    </row>
    <row r="5612" spans="1:13" x14ac:dyDescent="0.2">
      <c r="A5612" s="32"/>
      <c r="G5612" s="145"/>
      <c r="H5612" s="145"/>
      <c r="I5612" s="145"/>
      <c r="J5612" s="145"/>
      <c r="K5612" s="481"/>
      <c r="L5612" s="481"/>
      <c r="M5612" s="481"/>
    </row>
    <row r="5613" spans="1:13" x14ac:dyDescent="0.2">
      <c r="A5613" s="32"/>
      <c r="G5613" s="145"/>
      <c r="H5613" s="145"/>
      <c r="I5613" s="145"/>
      <c r="J5613" s="145"/>
      <c r="K5613" s="481"/>
      <c r="L5613" s="481"/>
      <c r="M5613" s="481"/>
    </row>
    <row r="5614" spans="1:13" x14ac:dyDescent="0.2">
      <c r="A5614" s="32"/>
      <c r="G5614" s="145"/>
      <c r="H5614" s="145"/>
      <c r="I5614" s="145"/>
      <c r="J5614" s="145"/>
      <c r="K5614" s="481"/>
      <c r="L5614" s="481"/>
      <c r="M5614" s="481"/>
    </row>
    <row r="5615" spans="1:13" x14ac:dyDescent="0.2">
      <c r="A5615" s="32"/>
      <c r="G5615" s="145"/>
      <c r="H5615" s="145"/>
      <c r="I5615" s="145"/>
      <c r="J5615" s="145"/>
      <c r="K5615" s="481"/>
      <c r="L5615" s="481"/>
      <c r="M5615" s="481"/>
    </row>
    <row r="5616" spans="1:13" x14ac:dyDescent="0.2">
      <c r="A5616" s="32"/>
      <c r="G5616" s="145"/>
      <c r="H5616" s="145"/>
      <c r="I5616" s="145"/>
      <c r="J5616" s="145"/>
      <c r="K5616" s="481"/>
      <c r="L5616" s="481"/>
      <c r="M5616" s="481"/>
    </row>
    <row r="5617" spans="1:13" x14ac:dyDescent="0.2">
      <c r="A5617" s="32"/>
      <c r="G5617" s="145"/>
      <c r="H5617" s="145"/>
      <c r="I5617" s="145"/>
      <c r="J5617" s="145"/>
      <c r="K5617" s="481"/>
      <c r="L5617" s="481"/>
      <c r="M5617" s="481"/>
    </row>
    <row r="5618" spans="1:13" x14ac:dyDescent="0.2">
      <c r="A5618" s="32"/>
      <c r="G5618" s="145"/>
      <c r="H5618" s="145"/>
      <c r="I5618" s="145"/>
      <c r="J5618" s="145"/>
      <c r="K5618" s="481"/>
      <c r="L5618" s="481"/>
      <c r="M5618" s="481"/>
    </row>
    <row r="5619" spans="1:13" x14ac:dyDescent="0.2">
      <c r="A5619" s="32"/>
      <c r="G5619" s="145"/>
      <c r="H5619" s="145"/>
      <c r="I5619" s="145"/>
      <c r="J5619" s="145"/>
      <c r="K5619" s="481"/>
      <c r="L5619" s="481"/>
      <c r="M5619" s="481"/>
    </row>
    <row r="5620" spans="1:13" x14ac:dyDescent="0.2">
      <c r="A5620" s="32"/>
      <c r="G5620" s="145"/>
      <c r="H5620" s="145"/>
      <c r="I5620" s="145"/>
      <c r="J5620" s="145"/>
      <c r="K5620" s="481"/>
      <c r="L5620" s="481"/>
      <c r="M5620" s="481"/>
    </row>
    <row r="5621" spans="1:13" x14ac:dyDescent="0.2">
      <c r="A5621" s="32"/>
      <c r="G5621" s="145"/>
      <c r="H5621" s="145"/>
      <c r="I5621" s="145"/>
      <c r="J5621" s="145"/>
      <c r="K5621" s="481"/>
      <c r="L5621" s="481"/>
      <c r="M5621" s="481"/>
    </row>
    <row r="5622" spans="1:13" x14ac:dyDescent="0.2">
      <c r="A5622" s="32"/>
      <c r="G5622" s="145"/>
      <c r="H5622" s="145"/>
      <c r="I5622" s="145"/>
      <c r="J5622" s="145"/>
      <c r="K5622" s="481"/>
      <c r="L5622" s="481"/>
      <c r="M5622" s="481"/>
    </row>
    <row r="5623" spans="1:13" x14ac:dyDescent="0.2">
      <c r="A5623" s="32"/>
      <c r="G5623" s="145"/>
      <c r="H5623" s="145"/>
      <c r="I5623" s="145"/>
      <c r="J5623" s="145"/>
      <c r="K5623" s="481"/>
      <c r="L5623" s="481"/>
      <c r="M5623" s="481"/>
    </row>
    <row r="5624" spans="1:13" x14ac:dyDescent="0.2">
      <c r="A5624" s="32"/>
      <c r="G5624" s="145"/>
      <c r="H5624" s="145"/>
      <c r="I5624" s="145"/>
      <c r="J5624" s="145"/>
      <c r="K5624" s="481"/>
      <c r="L5624" s="481"/>
      <c r="M5624" s="481"/>
    </row>
    <row r="5625" spans="1:13" x14ac:dyDescent="0.2">
      <c r="A5625" s="32"/>
      <c r="G5625" s="145"/>
      <c r="H5625" s="145"/>
      <c r="I5625" s="145"/>
      <c r="J5625" s="145"/>
      <c r="K5625" s="481"/>
      <c r="L5625" s="481"/>
      <c r="M5625" s="481"/>
    </row>
    <row r="5626" spans="1:13" x14ac:dyDescent="0.2">
      <c r="A5626" s="32"/>
      <c r="G5626" s="145"/>
      <c r="H5626" s="145"/>
      <c r="I5626" s="145"/>
      <c r="J5626" s="145"/>
      <c r="K5626" s="481"/>
      <c r="L5626" s="481"/>
      <c r="M5626" s="481"/>
    </row>
  </sheetData>
  <phoneticPr fontId="1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34"/>
  </sheetPr>
  <dimension ref="A1:AU369"/>
  <sheetViews>
    <sheetView workbookViewId="0">
      <pane ySplit="1" topLeftCell="A2" activePane="bottomLeft" state="frozen"/>
      <selection activeCell="E31" sqref="E31"/>
      <selection pane="bottomLeft" activeCell="E31" sqref="E31"/>
    </sheetView>
  </sheetViews>
  <sheetFormatPr defaultRowHeight="12.75" x14ac:dyDescent="0.2"/>
  <cols>
    <col min="1" max="1" width="8.7109375" bestFit="1" customWidth="1"/>
    <col min="2" max="2" width="90.85546875" bestFit="1" customWidth="1"/>
    <col min="3" max="45" width="13.5703125" customWidth="1"/>
    <col min="46" max="46" width="15.7109375" customWidth="1"/>
    <col min="47" max="47" width="13.5703125" customWidth="1"/>
  </cols>
  <sheetData>
    <row r="1" spans="1:47" s="146" customFormat="1" ht="39" customHeight="1" x14ac:dyDescent="0.2">
      <c r="A1" s="371" t="s">
        <v>258</v>
      </c>
      <c r="B1" s="371" t="s">
        <v>259</v>
      </c>
      <c r="C1" s="371" t="s">
        <v>239</v>
      </c>
      <c r="D1" s="371" t="s">
        <v>264</v>
      </c>
      <c r="E1" s="371" t="s">
        <v>268</v>
      </c>
      <c r="F1" s="371" t="s">
        <v>73</v>
      </c>
      <c r="G1" s="371" t="s">
        <v>269</v>
      </c>
      <c r="H1" s="371" t="s">
        <v>288</v>
      </c>
      <c r="I1" s="371" t="s">
        <v>270</v>
      </c>
      <c r="J1" s="371" t="s">
        <v>289</v>
      </c>
      <c r="K1" s="371" t="s">
        <v>271</v>
      </c>
      <c r="L1" s="371" t="s">
        <v>240</v>
      </c>
      <c r="M1" s="371" t="s">
        <v>263</v>
      </c>
      <c r="N1" s="371" t="s">
        <v>272</v>
      </c>
      <c r="O1" s="371" t="s">
        <v>54</v>
      </c>
      <c r="P1" s="371" t="s">
        <v>273</v>
      </c>
      <c r="Q1" s="371" t="s">
        <v>290</v>
      </c>
      <c r="R1" s="371" t="s">
        <v>274</v>
      </c>
      <c r="S1" s="371" t="s">
        <v>291</v>
      </c>
      <c r="T1" s="371" t="s">
        <v>275</v>
      </c>
      <c r="U1" s="371" t="s">
        <v>241</v>
      </c>
      <c r="V1" s="371" t="s">
        <v>262</v>
      </c>
      <c r="W1" s="371" t="s">
        <v>276</v>
      </c>
      <c r="X1" s="371" t="s">
        <v>26</v>
      </c>
      <c r="Y1" s="371" t="s">
        <v>277</v>
      </c>
      <c r="Z1" s="371" t="s">
        <v>292</v>
      </c>
      <c r="AA1" s="371" t="s">
        <v>278</v>
      </c>
      <c r="AB1" s="371" t="s">
        <v>293</v>
      </c>
      <c r="AC1" s="371" t="s">
        <v>279</v>
      </c>
      <c r="AD1" s="371" t="s">
        <v>242</v>
      </c>
      <c r="AE1" s="371" t="s">
        <v>261</v>
      </c>
      <c r="AF1" s="371" t="s">
        <v>280</v>
      </c>
      <c r="AG1" s="371" t="s">
        <v>27</v>
      </c>
      <c r="AH1" s="371" t="s">
        <v>281</v>
      </c>
      <c r="AI1" s="371" t="s">
        <v>294</v>
      </c>
      <c r="AJ1" s="371" t="s">
        <v>282</v>
      </c>
      <c r="AK1" s="371" t="s">
        <v>295</v>
      </c>
      <c r="AL1" s="371" t="s">
        <v>283</v>
      </c>
      <c r="AM1" s="371" t="s">
        <v>243</v>
      </c>
      <c r="AN1" s="371" t="s">
        <v>260</v>
      </c>
      <c r="AO1" s="371" t="s">
        <v>284</v>
      </c>
      <c r="AP1" s="371" t="s">
        <v>28</v>
      </c>
      <c r="AQ1" s="371" t="s">
        <v>285</v>
      </c>
      <c r="AR1" s="371" t="s">
        <v>296</v>
      </c>
      <c r="AS1" s="371" t="s">
        <v>286</v>
      </c>
      <c r="AT1" s="371" t="s">
        <v>297</v>
      </c>
      <c r="AU1" s="371" t="s">
        <v>287</v>
      </c>
    </row>
    <row r="2" spans="1:47" x14ac:dyDescent="0.2">
      <c r="A2" t="s">
        <v>163</v>
      </c>
      <c r="B2" t="s">
        <v>102</v>
      </c>
      <c r="C2">
        <v>266604</v>
      </c>
      <c r="D2">
        <v>201086</v>
      </c>
      <c r="E2">
        <v>0.754</v>
      </c>
      <c r="F2">
        <v>157903</v>
      </c>
      <c r="G2">
        <v>0.78500000000000003</v>
      </c>
      <c r="H2">
        <v>180943</v>
      </c>
      <c r="I2">
        <v>0.9</v>
      </c>
      <c r="J2">
        <v>122388</v>
      </c>
      <c r="K2">
        <v>0.67600000000000005</v>
      </c>
      <c r="L2">
        <v>72597</v>
      </c>
      <c r="M2">
        <v>42374</v>
      </c>
      <c r="N2">
        <v>0.58399999999999996</v>
      </c>
      <c r="O2">
        <v>31680</v>
      </c>
      <c r="P2">
        <v>0.748</v>
      </c>
      <c r="Q2">
        <v>41521</v>
      </c>
      <c r="R2">
        <v>0.98</v>
      </c>
      <c r="S2">
        <v>25898</v>
      </c>
      <c r="T2">
        <v>0.624</v>
      </c>
      <c r="U2">
        <v>78085</v>
      </c>
      <c r="V2">
        <v>66844</v>
      </c>
      <c r="W2">
        <v>0.85599999999999998</v>
      </c>
      <c r="X2">
        <v>56186</v>
      </c>
      <c r="Y2">
        <v>0.84099999999999997</v>
      </c>
      <c r="Z2">
        <v>59091</v>
      </c>
      <c r="AA2">
        <v>0.88400000000000001</v>
      </c>
      <c r="AB2">
        <v>42570</v>
      </c>
      <c r="AC2">
        <v>0.72</v>
      </c>
      <c r="AD2">
        <v>83323</v>
      </c>
      <c r="AE2">
        <v>79026</v>
      </c>
      <c r="AF2">
        <v>0.94799999999999995</v>
      </c>
      <c r="AG2">
        <v>59360</v>
      </c>
      <c r="AH2">
        <v>0.751</v>
      </c>
      <c r="AI2">
        <v>67878</v>
      </c>
      <c r="AJ2">
        <v>0.85899999999999999</v>
      </c>
      <c r="AK2">
        <v>47269</v>
      </c>
      <c r="AL2">
        <v>0.69599999999999995</v>
      </c>
      <c r="AM2">
        <v>32599</v>
      </c>
      <c r="AN2">
        <v>12842</v>
      </c>
      <c r="AO2">
        <v>0.39400000000000002</v>
      </c>
      <c r="AP2">
        <v>10677</v>
      </c>
      <c r="AQ2">
        <v>0.83099999999999996</v>
      </c>
      <c r="AR2">
        <v>12453</v>
      </c>
      <c r="AS2">
        <v>0.97</v>
      </c>
      <c r="AT2">
        <v>6651</v>
      </c>
      <c r="AU2">
        <v>0.53400000000000003</v>
      </c>
    </row>
    <row r="3" spans="1:47" x14ac:dyDescent="0.2">
      <c r="A3" t="s">
        <v>3838</v>
      </c>
      <c r="B3" t="s">
        <v>3839</v>
      </c>
      <c r="C3">
        <v>1209</v>
      </c>
      <c r="D3">
        <v>877</v>
      </c>
      <c r="E3">
        <v>0.72499999999999998</v>
      </c>
      <c r="F3">
        <v>680</v>
      </c>
      <c r="G3">
        <v>0.77500000000000002</v>
      </c>
      <c r="H3">
        <v>821</v>
      </c>
      <c r="I3">
        <v>0.93600000000000005</v>
      </c>
      <c r="J3">
        <v>450</v>
      </c>
      <c r="K3">
        <v>0.54800000000000004</v>
      </c>
      <c r="L3">
        <v>347</v>
      </c>
      <c r="M3">
        <v>265</v>
      </c>
      <c r="N3">
        <v>0.76400000000000001</v>
      </c>
      <c r="O3">
        <v>178</v>
      </c>
      <c r="P3">
        <v>0.67200000000000004</v>
      </c>
      <c r="Q3">
        <v>265</v>
      </c>
      <c r="R3">
        <v>1</v>
      </c>
      <c r="S3">
        <v>126</v>
      </c>
      <c r="T3">
        <v>0.47499999999999998</v>
      </c>
      <c r="U3">
        <v>294</v>
      </c>
      <c r="V3">
        <v>261</v>
      </c>
      <c r="W3">
        <v>0.88800000000000001</v>
      </c>
      <c r="X3">
        <v>219</v>
      </c>
      <c r="Y3">
        <v>0.83899999999999997</v>
      </c>
      <c r="Z3">
        <v>235</v>
      </c>
      <c r="AA3">
        <v>0.9</v>
      </c>
      <c r="AB3">
        <v>145</v>
      </c>
      <c r="AC3">
        <v>0.61699999999999999</v>
      </c>
      <c r="AD3">
        <v>355</v>
      </c>
      <c r="AE3">
        <v>305</v>
      </c>
      <c r="AF3">
        <v>0.85899999999999999</v>
      </c>
      <c r="AG3">
        <v>239</v>
      </c>
      <c r="AH3">
        <v>0.78400000000000003</v>
      </c>
      <c r="AI3">
        <v>275</v>
      </c>
      <c r="AJ3">
        <v>0.90200000000000002</v>
      </c>
      <c r="AK3">
        <v>154</v>
      </c>
      <c r="AL3">
        <v>0.56000000000000005</v>
      </c>
      <c r="AM3">
        <v>213</v>
      </c>
      <c r="AN3">
        <v>46</v>
      </c>
      <c r="AO3">
        <v>0.216</v>
      </c>
      <c r="AP3">
        <v>44</v>
      </c>
      <c r="AQ3">
        <v>0.95699999999999996</v>
      </c>
      <c r="AR3">
        <v>46</v>
      </c>
      <c r="AS3">
        <v>1</v>
      </c>
      <c r="AT3">
        <v>25</v>
      </c>
      <c r="AU3">
        <v>0.54300000000000004</v>
      </c>
    </row>
    <row r="4" spans="1:47" x14ac:dyDescent="0.2">
      <c r="A4" t="s">
        <v>3841</v>
      </c>
      <c r="B4" t="s">
        <v>3842</v>
      </c>
      <c r="C4">
        <v>837</v>
      </c>
      <c r="D4">
        <v>736</v>
      </c>
      <c r="E4">
        <v>0.879</v>
      </c>
      <c r="F4">
        <v>666</v>
      </c>
      <c r="G4">
        <v>0.90500000000000003</v>
      </c>
      <c r="H4">
        <v>709</v>
      </c>
      <c r="I4">
        <v>0.96299999999999997</v>
      </c>
      <c r="J4">
        <v>500</v>
      </c>
      <c r="K4">
        <v>0.70499999999999996</v>
      </c>
      <c r="L4">
        <v>211</v>
      </c>
      <c r="M4">
        <v>172</v>
      </c>
      <c r="N4">
        <v>0.81499999999999995</v>
      </c>
      <c r="O4">
        <v>155</v>
      </c>
      <c r="P4">
        <v>0.90100000000000002</v>
      </c>
      <c r="Q4">
        <v>172</v>
      </c>
      <c r="R4">
        <v>1</v>
      </c>
      <c r="S4">
        <v>125</v>
      </c>
      <c r="T4">
        <v>0.72699999999999998</v>
      </c>
      <c r="U4">
        <v>234</v>
      </c>
      <c r="V4">
        <v>235</v>
      </c>
      <c r="W4">
        <v>1.004</v>
      </c>
      <c r="X4">
        <v>217</v>
      </c>
      <c r="Y4">
        <v>0.92300000000000004</v>
      </c>
      <c r="Z4">
        <v>221</v>
      </c>
      <c r="AA4">
        <v>0.94</v>
      </c>
      <c r="AB4">
        <v>160</v>
      </c>
      <c r="AC4">
        <v>0.72399999999999998</v>
      </c>
      <c r="AD4">
        <v>219</v>
      </c>
      <c r="AE4">
        <v>210</v>
      </c>
      <c r="AF4">
        <v>0.95899999999999996</v>
      </c>
      <c r="AG4">
        <v>182</v>
      </c>
      <c r="AH4">
        <v>0.86699999999999999</v>
      </c>
      <c r="AI4">
        <v>197</v>
      </c>
      <c r="AJ4">
        <v>0.93799999999999994</v>
      </c>
      <c r="AK4">
        <v>146</v>
      </c>
      <c r="AL4">
        <v>0.74099999999999999</v>
      </c>
      <c r="AM4">
        <v>173</v>
      </c>
      <c r="AN4">
        <v>119</v>
      </c>
      <c r="AO4">
        <v>0.68799999999999994</v>
      </c>
      <c r="AP4">
        <v>112</v>
      </c>
      <c r="AQ4">
        <v>0.94099999999999995</v>
      </c>
      <c r="AR4">
        <v>119</v>
      </c>
      <c r="AS4">
        <v>1</v>
      </c>
      <c r="AT4">
        <v>69</v>
      </c>
      <c r="AU4">
        <v>0.57999999999999996</v>
      </c>
    </row>
    <row r="5" spans="1:47" x14ac:dyDescent="0.2">
      <c r="A5" t="s">
        <v>6519</v>
      </c>
      <c r="B5" t="s">
        <v>6520</v>
      </c>
      <c r="C5">
        <v>12</v>
      </c>
      <c r="D5">
        <v>0</v>
      </c>
      <c r="E5">
        <v>0</v>
      </c>
      <c r="F5">
        <v>0</v>
      </c>
      <c r="H5">
        <v>0</v>
      </c>
      <c r="J5">
        <v>0</v>
      </c>
      <c r="L5">
        <v>12</v>
      </c>
      <c r="M5">
        <v>0</v>
      </c>
      <c r="N5">
        <v>0</v>
      </c>
      <c r="O5">
        <v>0</v>
      </c>
      <c r="Q5">
        <v>0</v>
      </c>
      <c r="S5">
        <v>0</v>
      </c>
      <c r="U5">
        <v>0</v>
      </c>
      <c r="V5">
        <v>0</v>
      </c>
      <c r="X5">
        <v>0</v>
      </c>
      <c r="Z5">
        <v>0</v>
      </c>
      <c r="AB5">
        <v>0</v>
      </c>
      <c r="AD5">
        <v>0</v>
      </c>
      <c r="AE5">
        <v>0</v>
      </c>
      <c r="AG5">
        <v>0</v>
      </c>
      <c r="AI5">
        <v>0</v>
      </c>
      <c r="AK5">
        <v>0</v>
      </c>
      <c r="AM5">
        <v>0</v>
      </c>
      <c r="AN5">
        <v>0</v>
      </c>
      <c r="AP5">
        <v>0</v>
      </c>
      <c r="AR5">
        <v>0</v>
      </c>
      <c r="AT5">
        <v>0</v>
      </c>
    </row>
    <row r="6" spans="1:47" x14ac:dyDescent="0.2">
      <c r="A6" t="s">
        <v>3844</v>
      </c>
      <c r="B6" t="s">
        <v>345</v>
      </c>
      <c r="C6">
        <v>1806</v>
      </c>
      <c r="D6">
        <v>1269</v>
      </c>
      <c r="E6">
        <v>0.70299999999999996</v>
      </c>
      <c r="F6">
        <v>935</v>
      </c>
      <c r="G6">
        <v>0.73699999999999999</v>
      </c>
      <c r="H6">
        <v>836</v>
      </c>
      <c r="I6">
        <v>0.65900000000000003</v>
      </c>
      <c r="J6">
        <v>559</v>
      </c>
      <c r="K6">
        <v>0.66900000000000004</v>
      </c>
      <c r="L6">
        <v>382</v>
      </c>
      <c r="M6">
        <v>135</v>
      </c>
      <c r="N6">
        <v>0.35299999999999998</v>
      </c>
      <c r="O6">
        <v>83</v>
      </c>
      <c r="P6">
        <v>0.61499999999999999</v>
      </c>
      <c r="Q6">
        <v>90</v>
      </c>
      <c r="R6">
        <v>0.66700000000000004</v>
      </c>
      <c r="S6">
        <v>57</v>
      </c>
      <c r="T6">
        <v>0.63300000000000001</v>
      </c>
      <c r="U6">
        <v>484</v>
      </c>
      <c r="V6">
        <v>435</v>
      </c>
      <c r="W6">
        <v>0.89900000000000002</v>
      </c>
      <c r="X6">
        <v>364</v>
      </c>
      <c r="Y6">
        <v>0.83699999999999997</v>
      </c>
      <c r="Z6">
        <v>304</v>
      </c>
      <c r="AA6">
        <v>0.69899999999999995</v>
      </c>
      <c r="AB6">
        <v>231</v>
      </c>
      <c r="AC6">
        <v>0.76</v>
      </c>
      <c r="AD6">
        <v>604</v>
      </c>
      <c r="AE6">
        <v>635</v>
      </c>
      <c r="AF6">
        <v>1.0509999999999999</v>
      </c>
      <c r="AG6">
        <v>448</v>
      </c>
      <c r="AH6">
        <v>0.70599999999999996</v>
      </c>
      <c r="AI6">
        <v>402</v>
      </c>
      <c r="AJ6">
        <v>0.63300000000000001</v>
      </c>
      <c r="AK6">
        <v>248</v>
      </c>
      <c r="AL6">
        <v>0.61699999999999999</v>
      </c>
      <c r="AM6">
        <v>336</v>
      </c>
      <c r="AN6">
        <v>64</v>
      </c>
      <c r="AO6">
        <v>0.19</v>
      </c>
      <c r="AP6">
        <v>40</v>
      </c>
      <c r="AQ6">
        <v>0.625</v>
      </c>
      <c r="AR6">
        <v>40</v>
      </c>
      <c r="AS6">
        <v>0.625</v>
      </c>
      <c r="AT6">
        <v>23</v>
      </c>
      <c r="AU6">
        <v>0.57499999999999996</v>
      </c>
    </row>
    <row r="7" spans="1:47" x14ac:dyDescent="0.2">
      <c r="A7" t="s">
        <v>3846</v>
      </c>
      <c r="B7" t="s">
        <v>3847</v>
      </c>
      <c r="C7">
        <v>340</v>
      </c>
      <c r="D7">
        <v>283</v>
      </c>
      <c r="E7">
        <v>0.83199999999999996</v>
      </c>
      <c r="F7">
        <v>250</v>
      </c>
      <c r="G7">
        <v>0.88300000000000001</v>
      </c>
      <c r="H7">
        <v>266</v>
      </c>
      <c r="I7">
        <v>0.94</v>
      </c>
      <c r="J7">
        <v>204</v>
      </c>
      <c r="K7">
        <v>0.76700000000000002</v>
      </c>
      <c r="L7">
        <v>102</v>
      </c>
      <c r="M7">
        <v>64</v>
      </c>
      <c r="N7">
        <v>0.627</v>
      </c>
      <c r="O7">
        <v>63</v>
      </c>
      <c r="P7">
        <v>0.98399999999999999</v>
      </c>
      <c r="Q7">
        <v>64</v>
      </c>
      <c r="R7">
        <v>1</v>
      </c>
      <c r="S7">
        <v>51</v>
      </c>
      <c r="T7">
        <v>0.79700000000000004</v>
      </c>
      <c r="U7">
        <v>106</v>
      </c>
      <c r="V7">
        <v>94</v>
      </c>
      <c r="W7">
        <v>0.88700000000000001</v>
      </c>
      <c r="X7">
        <v>89</v>
      </c>
      <c r="Y7">
        <v>0.94699999999999995</v>
      </c>
      <c r="Z7">
        <v>90</v>
      </c>
      <c r="AA7">
        <v>0.95699999999999996</v>
      </c>
      <c r="AB7">
        <v>65</v>
      </c>
      <c r="AC7">
        <v>0.72199999999999998</v>
      </c>
      <c r="AD7">
        <v>78</v>
      </c>
      <c r="AE7">
        <v>98</v>
      </c>
      <c r="AF7">
        <v>1.256</v>
      </c>
      <c r="AG7">
        <v>71</v>
      </c>
      <c r="AH7">
        <v>0.72399999999999998</v>
      </c>
      <c r="AI7">
        <v>85</v>
      </c>
      <c r="AJ7">
        <v>0.86699999999999999</v>
      </c>
      <c r="AK7">
        <v>72</v>
      </c>
      <c r="AL7">
        <v>0.84699999999999998</v>
      </c>
      <c r="AM7">
        <v>54</v>
      </c>
      <c r="AN7">
        <v>27</v>
      </c>
      <c r="AO7">
        <v>0.5</v>
      </c>
      <c r="AP7">
        <v>27</v>
      </c>
      <c r="AQ7">
        <v>1</v>
      </c>
      <c r="AR7">
        <v>27</v>
      </c>
      <c r="AS7">
        <v>1</v>
      </c>
      <c r="AT7">
        <v>16</v>
      </c>
      <c r="AU7">
        <v>0.59299999999999997</v>
      </c>
    </row>
    <row r="8" spans="1:47" x14ac:dyDescent="0.2">
      <c r="A8" t="s">
        <v>3500</v>
      </c>
      <c r="B8" t="s">
        <v>3501</v>
      </c>
      <c r="C8">
        <v>581</v>
      </c>
      <c r="D8">
        <v>256</v>
      </c>
      <c r="E8">
        <v>0.441</v>
      </c>
      <c r="F8">
        <v>182</v>
      </c>
      <c r="G8">
        <v>0.71099999999999997</v>
      </c>
      <c r="H8">
        <v>242</v>
      </c>
      <c r="I8">
        <v>0.94499999999999995</v>
      </c>
      <c r="J8">
        <v>195</v>
      </c>
      <c r="K8">
        <v>0.80600000000000005</v>
      </c>
      <c r="L8">
        <v>169</v>
      </c>
      <c r="M8">
        <v>7</v>
      </c>
      <c r="N8">
        <v>4.1000000000000002E-2</v>
      </c>
      <c r="O8" t="s">
        <v>53</v>
      </c>
      <c r="P8" t="s">
        <v>53</v>
      </c>
      <c r="Q8">
        <v>7</v>
      </c>
      <c r="R8">
        <v>1</v>
      </c>
      <c r="S8">
        <v>7</v>
      </c>
      <c r="T8">
        <v>1</v>
      </c>
      <c r="U8">
        <v>191</v>
      </c>
      <c r="V8">
        <v>106</v>
      </c>
      <c r="W8">
        <v>0.55500000000000005</v>
      </c>
      <c r="X8" t="s">
        <v>53</v>
      </c>
      <c r="Y8" t="s">
        <v>53</v>
      </c>
      <c r="Z8">
        <v>98</v>
      </c>
      <c r="AA8">
        <v>0.92500000000000004</v>
      </c>
      <c r="AB8">
        <v>75</v>
      </c>
      <c r="AC8">
        <v>0.76500000000000001</v>
      </c>
      <c r="AD8">
        <v>221</v>
      </c>
      <c r="AE8">
        <v>143</v>
      </c>
      <c r="AF8">
        <v>0.64700000000000002</v>
      </c>
      <c r="AG8">
        <v>92</v>
      </c>
      <c r="AH8">
        <v>0.64300000000000002</v>
      </c>
      <c r="AI8">
        <v>137</v>
      </c>
      <c r="AJ8">
        <v>0.95799999999999996</v>
      </c>
      <c r="AK8">
        <v>113</v>
      </c>
      <c r="AL8">
        <v>0.82499999999999996</v>
      </c>
      <c r="AM8">
        <v>0</v>
      </c>
      <c r="AN8">
        <v>0</v>
      </c>
      <c r="AP8">
        <v>0</v>
      </c>
      <c r="AR8">
        <v>0</v>
      </c>
      <c r="AT8">
        <v>0</v>
      </c>
    </row>
    <row r="9" spans="1:47" x14ac:dyDescent="0.2">
      <c r="A9" t="s">
        <v>3503</v>
      </c>
      <c r="B9" t="s">
        <v>3504</v>
      </c>
      <c r="C9">
        <v>34</v>
      </c>
      <c r="D9">
        <v>113</v>
      </c>
      <c r="E9">
        <v>3.3239999999999998</v>
      </c>
      <c r="F9">
        <v>8</v>
      </c>
      <c r="G9">
        <v>7.0999999999999994E-2</v>
      </c>
      <c r="H9">
        <v>100</v>
      </c>
      <c r="I9">
        <v>0.88500000000000001</v>
      </c>
      <c r="J9">
        <v>66</v>
      </c>
      <c r="K9">
        <v>0.66</v>
      </c>
      <c r="L9">
        <v>25</v>
      </c>
      <c r="M9">
        <v>36</v>
      </c>
      <c r="N9">
        <v>1.44</v>
      </c>
      <c r="O9">
        <v>6</v>
      </c>
      <c r="P9">
        <v>0.16700000000000001</v>
      </c>
      <c r="Q9">
        <v>36</v>
      </c>
      <c r="R9">
        <v>1</v>
      </c>
      <c r="S9">
        <v>23</v>
      </c>
      <c r="T9">
        <v>0.63900000000000001</v>
      </c>
      <c r="U9" t="s">
        <v>53</v>
      </c>
      <c r="V9">
        <v>19</v>
      </c>
      <c r="W9" t="s">
        <v>53</v>
      </c>
      <c r="X9" t="s">
        <v>53</v>
      </c>
      <c r="Y9" t="s">
        <v>53</v>
      </c>
      <c r="Z9">
        <v>15</v>
      </c>
      <c r="AA9">
        <v>0.78900000000000003</v>
      </c>
      <c r="AB9" t="s">
        <v>53</v>
      </c>
      <c r="AC9" t="s">
        <v>53</v>
      </c>
      <c r="AD9" t="s">
        <v>53</v>
      </c>
      <c r="AE9">
        <v>51</v>
      </c>
      <c r="AF9" t="s">
        <v>53</v>
      </c>
      <c r="AG9" t="s">
        <v>53</v>
      </c>
      <c r="AH9" t="s">
        <v>53</v>
      </c>
      <c r="AI9">
        <v>42</v>
      </c>
      <c r="AJ9">
        <v>0.82399999999999995</v>
      </c>
      <c r="AK9">
        <v>28</v>
      </c>
      <c r="AL9">
        <v>0.66700000000000004</v>
      </c>
      <c r="AM9" t="s">
        <v>53</v>
      </c>
      <c r="AN9">
        <v>7</v>
      </c>
      <c r="AO9" t="s">
        <v>53</v>
      </c>
      <c r="AP9">
        <v>0</v>
      </c>
      <c r="AQ9">
        <v>0</v>
      </c>
      <c r="AR9">
        <v>7</v>
      </c>
      <c r="AS9">
        <v>1</v>
      </c>
      <c r="AT9" t="s">
        <v>53</v>
      </c>
      <c r="AU9" t="s">
        <v>53</v>
      </c>
    </row>
    <row r="10" spans="1:47" x14ac:dyDescent="0.2">
      <c r="A10" t="s">
        <v>3506</v>
      </c>
      <c r="B10" t="s">
        <v>3507</v>
      </c>
      <c r="C10">
        <v>176</v>
      </c>
      <c r="D10">
        <v>233</v>
      </c>
      <c r="E10">
        <v>1.3240000000000001</v>
      </c>
      <c r="F10">
        <v>139</v>
      </c>
      <c r="G10">
        <v>0.59699999999999998</v>
      </c>
      <c r="H10">
        <v>200</v>
      </c>
      <c r="I10">
        <v>0.85799999999999998</v>
      </c>
      <c r="J10">
        <v>134</v>
      </c>
      <c r="K10">
        <v>0.67</v>
      </c>
      <c r="L10">
        <v>80</v>
      </c>
      <c r="M10">
        <v>18</v>
      </c>
      <c r="N10">
        <v>0.22500000000000001</v>
      </c>
      <c r="O10">
        <v>8</v>
      </c>
      <c r="P10">
        <v>0.44400000000000001</v>
      </c>
      <c r="Q10">
        <v>18</v>
      </c>
      <c r="R10">
        <v>1</v>
      </c>
      <c r="S10">
        <v>7</v>
      </c>
      <c r="T10">
        <v>0.38900000000000001</v>
      </c>
      <c r="U10">
        <v>36</v>
      </c>
      <c r="V10">
        <v>86</v>
      </c>
      <c r="W10">
        <v>2.3889999999999998</v>
      </c>
      <c r="X10">
        <v>53</v>
      </c>
      <c r="Y10">
        <v>0.61599999999999999</v>
      </c>
      <c r="Z10">
        <v>74</v>
      </c>
      <c r="AA10">
        <v>0.86</v>
      </c>
      <c r="AB10">
        <v>56</v>
      </c>
      <c r="AC10">
        <v>0.75700000000000001</v>
      </c>
      <c r="AD10">
        <v>60</v>
      </c>
      <c r="AE10">
        <v>129</v>
      </c>
      <c r="AF10">
        <v>2.15</v>
      </c>
      <c r="AG10">
        <v>78</v>
      </c>
      <c r="AH10">
        <v>0.60499999999999998</v>
      </c>
      <c r="AI10">
        <v>108</v>
      </c>
      <c r="AJ10">
        <v>0.83699999999999997</v>
      </c>
      <c r="AK10">
        <v>71</v>
      </c>
      <c r="AL10">
        <v>0.65700000000000003</v>
      </c>
      <c r="AM10">
        <v>0</v>
      </c>
      <c r="AN10">
        <v>0</v>
      </c>
      <c r="AP10">
        <v>0</v>
      </c>
      <c r="AR10">
        <v>0</v>
      </c>
      <c r="AT10">
        <v>0</v>
      </c>
    </row>
    <row r="11" spans="1:47" x14ac:dyDescent="0.2">
      <c r="A11" t="s">
        <v>6513</v>
      </c>
      <c r="B11" t="s">
        <v>6514</v>
      </c>
      <c r="C11">
        <v>7</v>
      </c>
      <c r="D11">
        <v>0</v>
      </c>
      <c r="E11">
        <v>0</v>
      </c>
      <c r="F11">
        <v>0</v>
      </c>
      <c r="H11">
        <v>0</v>
      </c>
      <c r="J11">
        <v>0</v>
      </c>
      <c r="L11" t="s">
        <v>53</v>
      </c>
      <c r="M11">
        <v>0</v>
      </c>
      <c r="N11" t="s">
        <v>53</v>
      </c>
      <c r="O11">
        <v>0</v>
      </c>
      <c r="Q11">
        <v>0</v>
      </c>
      <c r="S11">
        <v>0</v>
      </c>
      <c r="U11" t="s">
        <v>53</v>
      </c>
      <c r="V11">
        <v>0</v>
      </c>
      <c r="W11" t="s">
        <v>53</v>
      </c>
      <c r="X11">
        <v>0</v>
      </c>
      <c r="Z11">
        <v>0</v>
      </c>
      <c r="AB11">
        <v>0</v>
      </c>
      <c r="AD11" t="s">
        <v>53</v>
      </c>
      <c r="AE11">
        <v>0</v>
      </c>
      <c r="AF11" t="s">
        <v>53</v>
      </c>
      <c r="AG11">
        <v>0</v>
      </c>
      <c r="AI11">
        <v>0</v>
      </c>
      <c r="AK11">
        <v>0</v>
      </c>
      <c r="AM11">
        <v>0</v>
      </c>
      <c r="AN11">
        <v>0</v>
      </c>
      <c r="AP11">
        <v>0</v>
      </c>
      <c r="AR11">
        <v>0</v>
      </c>
      <c r="AT11">
        <v>0</v>
      </c>
    </row>
    <row r="12" spans="1:47" x14ac:dyDescent="0.2">
      <c r="A12" t="s">
        <v>3509</v>
      </c>
      <c r="B12" t="s">
        <v>3510</v>
      </c>
      <c r="C12">
        <v>1194</v>
      </c>
      <c r="D12">
        <v>610</v>
      </c>
      <c r="E12">
        <v>0.51100000000000001</v>
      </c>
      <c r="F12">
        <v>391</v>
      </c>
      <c r="G12">
        <v>0.64100000000000001</v>
      </c>
      <c r="H12">
        <v>385</v>
      </c>
      <c r="I12">
        <v>0.63100000000000001</v>
      </c>
      <c r="J12">
        <v>255</v>
      </c>
      <c r="K12">
        <v>0.66200000000000003</v>
      </c>
      <c r="L12">
        <v>390</v>
      </c>
      <c r="M12">
        <v>99</v>
      </c>
      <c r="N12">
        <v>0.254</v>
      </c>
      <c r="O12">
        <v>74</v>
      </c>
      <c r="P12">
        <v>0.747</v>
      </c>
      <c r="Q12">
        <v>78</v>
      </c>
      <c r="R12">
        <v>0.78800000000000003</v>
      </c>
      <c r="S12">
        <v>50</v>
      </c>
      <c r="T12">
        <v>0.64100000000000001</v>
      </c>
      <c r="U12">
        <v>286</v>
      </c>
      <c r="V12">
        <v>169</v>
      </c>
      <c r="W12">
        <v>0.59099999999999997</v>
      </c>
      <c r="X12">
        <v>108</v>
      </c>
      <c r="Y12">
        <v>0.63900000000000001</v>
      </c>
      <c r="Z12">
        <v>102</v>
      </c>
      <c r="AA12">
        <v>0.60399999999999998</v>
      </c>
      <c r="AB12">
        <v>71</v>
      </c>
      <c r="AC12">
        <v>0.69599999999999995</v>
      </c>
      <c r="AD12">
        <v>392</v>
      </c>
      <c r="AE12">
        <v>278</v>
      </c>
      <c r="AF12">
        <v>0.70899999999999996</v>
      </c>
      <c r="AG12">
        <v>165</v>
      </c>
      <c r="AH12">
        <v>0.59399999999999997</v>
      </c>
      <c r="AI12">
        <v>151</v>
      </c>
      <c r="AJ12">
        <v>0.54300000000000004</v>
      </c>
      <c r="AK12">
        <v>100</v>
      </c>
      <c r="AL12">
        <v>0.66200000000000003</v>
      </c>
      <c r="AM12">
        <v>126</v>
      </c>
      <c r="AN12">
        <v>64</v>
      </c>
      <c r="AO12">
        <v>0.50800000000000001</v>
      </c>
      <c r="AP12">
        <v>44</v>
      </c>
      <c r="AQ12">
        <v>0.68799999999999994</v>
      </c>
      <c r="AR12">
        <v>54</v>
      </c>
      <c r="AS12">
        <v>0.84399999999999997</v>
      </c>
      <c r="AT12">
        <v>34</v>
      </c>
      <c r="AU12">
        <v>0.63</v>
      </c>
    </row>
    <row r="13" spans="1:47" x14ac:dyDescent="0.2">
      <c r="A13" t="s">
        <v>4425</v>
      </c>
      <c r="B13" t="s">
        <v>4426</v>
      </c>
      <c r="C13">
        <v>1132</v>
      </c>
      <c r="D13">
        <v>1446</v>
      </c>
      <c r="E13">
        <v>1.2769999999999999</v>
      </c>
      <c r="F13">
        <v>1115</v>
      </c>
      <c r="G13">
        <v>0.77100000000000002</v>
      </c>
      <c r="H13">
        <v>1329</v>
      </c>
      <c r="I13">
        <v>0.91900000000000004</v>
      </c>
      <c r="J13">
        <v>1071</v>
      </c>
      <c r="K13">
        <v>0.80600000000000005</v>
      </c>
      <c r="L13">
        <v>0</v>
      </c>
      <c r="M13">
        <v>0</v>
      </c>
      <c r="O13">
        <v>0</v>
      </c>
      <c r="Q13">
        <v>0</v>
      </c>
      <c r="S13">
        <v>0</v>
      </c>
      <c r="U13">
        <v>528</v>
      </c>
      <c r="V13">
        <v>625</v>
      </c>
      <c r="W13">
        <v>1.1839999999999999</v>
      </c>
      <c r="X13">
        <v>519</v>
      </c>
      <c r="Y13">
        <v>0.83</v>
      </c>
      <c r="Z13">
        <v>586</v>
      </c>
      <c r="AA13">
        <v>0.93799999999999994</v>
      </c>
      <c r="AB13">
        <v>476</v>
      </c>
      <c r="AC13">
        <v>0.81200000000000006</v>
      </c>
      <c r="AD13">
        <v>604</v>
      </c>
      <c r="AE13">
        <v>821</v>
      </c>
      <c r="AF13">
        <v>1.359</v>
      </c>
      <c r="AG13">
        <v>596</v>
      </c>
      <c r="AH13">
        <v>0.72599999999999998</v>
      </c>
      <c r="AI13">
        <v>743</v>
      </c>
      <c r="AJ13">
        <v>0.90500000000000003</v>
      </c>
      <c r="AK13">
        <v>595</v>
      </c>
      <c r="AL13">
        <v>0.80100000000000005</v>
      </c>
      <c r="AM13">
        <v>0</v>
      </c>
      <c r="AN13">
        <v>0</v>
      </c>
      <c r="AP13">
        <v>0</v>
      </c>
      <c r="AR13">
        <v>0</v>
      </c>
      <c r="AT13">
        <v>0</v>
      </c>
    </row>
    <row r="14" spans="1:47" x14ac:dyDescent="0.2">
      <c r="A14" t="s">
        <v>3512</v>
      </c>
      <c r="B14" t="s">
        <v>3513</v>
      </c>
      <c r="C14">
        <v>0</v>
      </c>
      <c r="D14">
        <v>187</v>
      </c>
      <c r="F14">
        <v>152</v>
      </c>
      <c r="G14">
        <v>0.81299999999999994</v>
      </c>
      <c r="H14">
        <v>174</v>
      </c>
      <c r="I14">
        <v>0.93</v>
      </c>
      <c r="J14">
        <v>163</v>
      </c>
      <c r="K14">
        <v>0.93700000000000006</v>
      </c>
      <c r="L14">
        <v>0</v>
      </c>
      <c r="M14" t="s">
        <v>53</v>
      </c>
      <c r="N14" t="s">
        <v>53</v>
      </c>
      <c r="O14" t="s">
        <v>53</v>
      </c>
      <c r="P14" t="s">
        <v>53</v>
      </c>
      <c r="Q14" t="s">
        <v>53</v>
      </c>
      <c r="R14" t="s">
        <v>53</v>
      </c>
      <c r="S14" t="s">
        <v>53</v>
      </c>
      <c r="T14" t="s">
        <v>53</v>
      </c>
      <c r="U14">
        <v>0</v>
      </c>
      <c r="V14">
        <v>74</v>
      </c>
      <c r="X14">
        <v>62</v>
      </c>
      <c r="Y14">
        <v>0.83799999999999997</v>
      </c>
      <c r="Z14">
        <v>67</v>
      </c>
      <c r="AA14">
        <v>0.90500000000000003</v>
      </c>
      <c r="AB14">
        <v>65</v>
      </c>
      <c r="AC14">
        <v>0.97</v>
      </c>
      <c r="AD14">
        <v>0</v>
      </c>
      <c r="AE14">
        <v>104</v>
      </c>
      <c r="AG14">
        <v>83</v>
      </c>
      <c r="AH14">
        <v>0.79800000000000004</v>
      </c>
      <c r="AI14">
        <v>98</v>
      </c>
      <c r="AJ14">
        <v>0.94199999999999995</v>
      </c>
      <c r="AK14">
        <v>92</v>
      </c>
      <c r="AL14">
        <v>0.93899999999999995</v>
      </c>
      <c r="AM14">
        <v>0</v>
      </c>
      <c r="AN14" t="s">
        <v>53</v>
      </c>
      <c r="AO14" t="s">
        <v>53</v>
      </c>
      <c r="AP14" t="s">
        <v>53</v>
      </c>
      <c r="AQ14" t="s">
        <v>53</v>
      </c>
      <c r="AR14" t="s">
        <v>53</v>
      </c>
      <c r="AS14" t="s">
        <v>53</v>
      </c>
      <c r="AT14" t="s">
        <v>53</v>
      </c>
      <c r="AU14" t="s">
        <v>53</v>
      </c>
    </row>
    <row r="15" spans="1:47" x14ac:dyDescent="0.2">
      <c r="A15" t="s">
        <v>3549</v>
      </c>
      <c r="B15" t="s">
        <v>3550</v>
      </c>
      <c r="C15">
        <v>918</v>
      </c>
      <c r="D15">
        <v>730</v>
      </c>
      <c r="E15">
        <v>0.79500000000000004</v>
      </c>
      <c r="F15">
        <v>622</v>
      </c>
      <c r="G15">
        <v>0.85199999999999998</v>
      </c>
      <c r="H15">
        <v>691</v>
      </c>
      <c r="I15">
        <v>0.94699999999999995</v>
      </c>
      <c r="J15">
        <v>471</v>
      </c>
      <c r="K15">
        <v>0.68200000000000005</v>
      </c>
      <c r="L15">
        <v>253</v>
      </c>
      <c r="M15">
        <v>177</v>
      </c>
      <c r="N15">
        <v>0.7</v>
      </c>
      <c r="O15">
        <v>143</v>
      </c>
      <c r="P15">
        <v>0.80800000000000005</v>
      </c>
      <c r="Q15">
        <v>177</v>
      </c>
      <c r="R15">
        <v>1</v>
      </c>
      <c r="S15">
        <v>115</v>
      </c>
      <c r="T15">
        <v>0.65</v>
      </c>
      <c r="U15">
        <v>208</v>
      </c>
      <c r="V15">
        <v>199</v>
      </c>
      <c r="W15">
        <v>0.95699999999999996</v>
      </c>
      <c r="X15">
        <v>171</v>
      </c>
      <c r="Y15">
        <v>0.85899999999999999</v>
      </c>
      <c r="Z15">
        <v>183</v>
      </c>
      <c r="AA15">
        <v>0.92</v>
      </c>
      <c r="AB15">
        <v>118</v>
      </c>
      <c r="AC15">
        <v>0.64500000000000002</v>
      </c>
      <c r="AD15">
        <v>363</v>
      </c>
      <c r="AE15">
        <v>326</v>
      </c>
      <c r="AF15">
        <v>0.89800000000000002</v>
      </c>
      <c r="AG15">
        <v>287</v>
      </c>
      <c r="AH15">
        <v>0.88</v>
      </c>
      <c r="AI15">
        <v>303</v>
      </c>
      <c r="AJ15">
        <v>0.92900000000000005</v>
      </c>
      <c r="AK15">
        <v>223</v>
      </c>
      <c r="AL15">
        <v>0.73599999999999999</v>
      </c>
      <c r="AM15">
        <v>94</v>
      </c>
      <c r="AN15">
        <v>28</v>
      </c>
      <c r="AO15">
        <v>0.29799999999999999</v>
      </c>
      <c r="AP15">
        <v>21</v>
      </c>
      <c r="AQ15">
        <v>0.75</v>
      </c>
      <c r="AR15">
        <v>28</v>
      </c>
      <c r="AS15">
        <v>1</v>
      </c>
      <c r="AT15">
        <v>15</v>
      </c>
      <c r="AU15">
        <v>0.53600000000000003</v>
      </c>
    </row>
    <row r="16" spans="1:47" x14ac:dyDescent="0.2">
      <c r="A16" t="s">
        <v>3552</v>
      </c>
      <c r="B16" t="s">
        <v>3553</v>
      </c>
      <c r="C16">
        <v>2087</v>
      </c>
      <c r="D16">
        <v>1057</v>
      </c>
      <c r="E16">
        <v>0.50600000000000001</v>
      </c>
      <c r="F16">
        <v>852</v>
      </c>
      <c r="G16">
        <v>0.80600000000000005</v>
      </c>
      <c r="H16">
        <v>988</v>
      </c>
      <c r="I16">
        <v>0.93500000000000005</v>
      </c>
      <c r="J16">
        <v>508</v>
      </c>
      <c r="K16">
        <v>0.51400000000000001</v>
      </c>
      <c r="L16">
        <v>559</v>
      </c>
      <c r="M16">
        <v>158</v>
      </c>
      <c r="N16">
        <v>0.28299999999999997</v>
      </c>
      <c r="O16">
        <v>136</v>
      </c>
      <c r="P16">
        <v>0.86099999999999999</v>
      </c>
      <c r="Q16">
        <v>158</v>
      </c>
      <c r="R16">
        <v>1</v>
      </c>
      <c r="S16">
        <v>73</v>
      </c>
      <c r="T16">
        <v>0.46200000000000002</v>
      </c>
      <c r="U16">
        <v>399</v>
      </c>
      <c r="V16">
        <v>281</v>
      </c>
      <c r="W16">
        <v>0.70399999999999996</v>
      </c>
      <c r="X16">
        <v>233</v>
      </c>
      <c r="Y16">
        <v>0.82899999999999996</v>
      </c>
      <c r="Z16">
        <v>253</v>
      </c>
      <c r="AA16">
        <v>0.9</v>
      </c>
      <c r="AB16">
        <v>140</v>
      </c>
      <c r="AC16">
        <v>0.55300000000000005</v>
      </c>
      <c r="AD16">
        <v>569</v>
      </c>
      <c r="AE16">
        <v>439</v>
      </c>
      <c r="AF16">
        <v>0.77200000000000002</v>
      </c>
      <c r="AG16">
        <v>348</v>
      </c>
      <c r="AH16">
        <v>0.79300000000000004</v>
      </c>
      <c r="AI16">
        <v>399</v>
      </c>
      <c r="AJ16">
        <v>0.90900000000000003</v>
      </c>
      <c r="AK16">
        <v>229</v>
      </c>
      <c r="AL16">
        <v>0.57399999999999995</v>
      </c>
      <c r="AM16">
        <v>560</v>
      </c>
      <c r="AN16">
        <v>179</v>
      </c>
      <c r="AO16">
        <v>0.32</v>
      </c>
      <c r="AP16">
        <v>135</v>
      </c>
      <c r="AQ16">
        <v>0.754</v>
      </c>
      <c r="AR16">
        <v>178</v>
      </c>
      <c r="AS16">
        <v>0.99399999999999999</v>
      </c>
      <c r="AT16">
        <v>66</v>
      </c>
      <c r="AU16">
        <v>0.371</v>
      </c>
    </row>
    <row r="17" spans="1:47" x14ac:dyDescent="0.2">
      <c r="A17" t="s">
        <v>3555</v>
      </c>
      <c r="B17" t="s">
        <v>3556</v>
      </c>
      <c r="C17">
        <v>903</v>
      </c>
      <c r="D17">
        <v>652</v>
      </c>
      <c r="E17">
        <v>0.72199999999999998</v>
      </c>
      <c r="F17">
        <v>523</v>
      </c>
      <c r="G17">
        <v>0.80200000000000005</v>
      </c>
      <c r="H17">
        <v>612</v>
      </c>
      <c r="I17">
        <v>0.93899999999999995</v>
      </c>
      <c r="J17">
        <v>404</v>
      </c>
      <c r="K17">
        <v>0.66</v>
      </c>
      <c r="L17">
        <v>325</v>
      </c>
      <c r="M17">
        <v>145</v>
      </c>
      <c r="N17">
        <v>0.44600000000000001</v>
      </c>
      <c r="O17">
        <v>107</v>
      </c>
      <c r="P17">
        <v>0.73799999999999999</v>
      </c>
      <c r="Q17">
        <v>142</v>
      </c>
      <c r="R17">
        <v>0.97899999999999998</v>
      </c>
      <c r="S17" t="s">
        <v>53</v>
      </c>
      <c r="T17" t="s">
        <v>53</v>
      </c>
      <c r="U17">
        <v>228</v>
      </c>
      <c r="V17">
        <v>200</v>
      </c>
      <c r="W17">
        <v>0.877</v>
      </c>
      <c r="X17">
        <v>167</v>
      </c>
      <c r="Y17">
        <v>0.83499999999999996</v>
      </c>
      <c r="Z17">
        <v>185</v>
      </c>
      <c r="AA17">
        <v>0.92500000000000004</v>
      </c>
      <c r="AB17">
        <v>127</v>
      </c>
      <c r="AC17">
        <v>0.68600000000000005</v>
      </c>
      <c r="AD17">
        <v>301</v>
      </c>
      <c r="AE17">
        <v>293</v>
      </c>
      <c r="AF17">
        <v>0.97299999999999998</v>
      </c>
      <c r="AG17">
        <v>235</v>
      </c>
      <c r="AH17">
        <v>0.80200000000000005</v>
      </c>
      <c r="AI17">
        <v>271</v>
      </c>
      <c r="AJ17">
        <v>0.92500000000000004</v>
      </c>
      <c r="AK17">
        <v>177</v>
      </c>
      <c r="AL17">
        <v>0.65300000000000002</v>
      </c>
      <c r="AM17">
        <v>49</v>
      </c>
      <c r="AN17">
        <v>14</v>
      </c>
      <c r="AO17">
        <v>0.28599999999999998</v>
      </c>
      <c r="AP17">
        <v>14</v>
      </c>
      <c r="AQ17">
        <v>1</v>
      </c>
      <c r="AR17">
        <v>14</v>
      </c>
      <c r="AS17">
        <v>1</v>
      </c>
      <c r="AT17" t="s">
        <v>53</v>
      </c>
      <c r="AU17" t="s">
        <v>53</v>
      </c>
    </row>
    <row r="18" spans="1:47" x14ac:dyDescent="0.2">
      <c r="A18" t="s">
        <v>3558</v>
      </c>
      <c r="B18" t="s">
        <v>3559</v>
      </c>
      <c r="C18">
        <v>857</v>
      </c>
      <c r="D18">
        <v>732</v>
      </c>
      <c r="E18">
        <v>0.85399999999999998</v>
      </c>
      <c r="F18">
        <v>562</v>
      </c>
      <c r="G18">
        <v>0.76800000000000002</v>
      </c>
      <c r="H18">
        <v>669</v>
      </c>
      <c r="I18">
        <v>0.91400000000000003</v>
      </c>
      <c r="J18">
        <v>448</v>
      </c>
      <c r="K18">
        <v>0.67</v>
      </c>
      <c r="L18">
        <v>223</v>
      </c>
      <c r="M18">
        <v>177</v>
      </c>
      <c r="N18">
        <v>0.79400000000000004</v>
      </c>
      <c r="O18">
        <v>122</v>
      </c>
      <c r="P18">
        <v>0.68899999999999995</v>
      </c>
      <c r="Q18">
        <v>177</v>
      </c>
      <c r="R18">
        <v>1</v>
      </c>
      <c r="S18">
        <v>104</v>
      </c>
      <c r="T18">
        <v>0.58799999999999997</v>
      </c>
      <c r="U18">
        <v>223</v>
      </c>
      <c r="V18">
        <v>237</v>
      </c>
      <c r="W18">
        <v>1.0629999999999999</v>
      </c>
      <c r="X18">
        <v>187</v>
      </c>
      <c r="Y18">
        <v>0.78900000000000003</v>
      </c>
      <c r="Z18">
        <v>198</v>
      </c>
      <c r="AA18">
        <v>0.83499999999999996</v>
      </c>
      <c r="AB18">
        <v>147</v>
      </c>
      <c r="AC18">
        <v>0.74199999999999999</v>
      </c>
      <c r="AD18">
        <v>275</v>
      </c>
      <c r="AE18">
        <v>254</v>
      </c>
      <c r="AF18">
        <v>0.92400000000000004</v>
      </c>
      <c r="AG18">
        <v>193</v>
      </c>
      <c r="AH18">
        <v>0.76</v>
      </c>
      <c r="AI18">
        <v>230</v>
      </c>
      <c r="AJ18">
        <v>0.90600000000000003</v>
      </c>
      <c r="AK18">
        <v>162</v>
      </c>
      <c r="AL18">
        <v>0.70399999999999996</v>
      </c>
      <c r="AM18">
        <v>136</v>
      </c>
      <c r="AN18">
        <v>64</v>
      </c>
      <c r="AO18">
        <v>0.47099999999999997</v>
      </c>
      <c r="AP18">
        <v>60</v>
      </c>
      <c r="AQ18">
        <v>0.93799999999999994</v>
      </c>
      <c r="AR18">
        <v>64</v>
      </c>
      <c r="AS18">
        <v>1</v>
      </c>
      <c r="AT18">
        <v>35</v>
      </c>
      <c r="AU18">
        <v>0.54700000000000004</v>
      </c>
    </row>
    <row r="19" spans="1:47" x14ac:dyDescent="0.2">
      <c r="A19" t="s">
        <v>4428</v>
      </c>
      <c r="B19" t="s">
        <v>4429</v>
      </c>
      <c r="C19">
        <v>111</v>
      </c>
      <c r="D19">
        <v>370</v>
      </c>
      <c r="E19">
        <v>3.3330000000000002</v>
      </c>
      <c r="F19">
        <v>87</v>
      </c>
      <c r="G19">
        <v>0.23499999999999999</v>
      </c>
      <c r="H19">
        <v>269</v>
      </c>
      <c r="I19">
        <v>0.72699999999999998</v>
      </c>
      <c r="J19">
        <v>192</v>
      </c>
      <c r="K19">
        <v>0.71399999999999997</v>
      </c>
      <c r="L19">
        <v>11</v>
      </c>
      <c r="M19">
        <v>0</v>
      </c>
      <c r="N19">
        <v>0</v>
      </c>
      <c r="O19">
        <v>0</v>
      </c>
      <c r="Q19">
        <v>0</v>
      </c>
      <c r="S19">
        <v>0</v>
      </c>
      <c r="U19">
        <v>41</v>
      </c>
      <c r="V19">
        <v>165</v>
      </c>
      <c r="W19">
        <v>4.024</v>
      </c>
      <c r="X19">
        <v>39</v>
      </c>
      <c r="Y19">
        <v>0.23599999999999999</v>
      </c>
      <c r="Z19">
        <v>119</v>
      </c>
      <c r="AA19">
        <v>0.72099999999999997</v>
      </c>
      <c r="AB19">
        <v>84</v>
      </c>
      <c r="AC19">
        <v>0.70599999999999996</v>
      </c>
      <c r="AD19">
        <v>59</v>
      </c>
      <c r="AE19">
        <v>205</v>
      </c>
      <c r="AF19">
        <v>3.4750000000000001</v>
      </c>
      <c r="AG19">
        <v>48</v>
      </c>
      <c r="AH19">
        <v>0.23400000000000001</v>
      </c>
      <c r="AI19">
        <v>150</v>
      </c>
      <c r="AJ19">
        <v>0.73199999999999998</v>
      </c>
      <c r="AK19">
        <v>108</v>
      </c>
      <c r="AL19">
        <v>0.72</v>
      </c>
      <c r="AM19">
        <v>0</v>
      </c>
      <c r="AN19">
        <v>0</v>
      </c>
      <c r="AP19">
        <v>0</v>
      </c>
      <c r="AR19">
        <v>0</v>
      </c>
      <c r="AT19">
        <v>0</v>
      </c>
    </row>
    <row r="20" spans="1:47" x14ac:dyDescent="0.2">
      <c r="A20" t="s">
        <v>6537</v>
      </c>
      <c r="B20" t="s">
        <v>6538</v>
      </c>
      <c r="C20">
        <v>9</v>
      </c>
      <c r="D20">
        <v>0</v>
      </c>
      <c r="E20">
        <v>0</v>
      </c>
      <c r="F20">
        <v>0</v>
      </c>
      <c r="H20">
        <v>0</v>
      </c>
      <c r="J20">
        <v>0</v>
      </c>
      <c r="L20">
        <v>9</v>
      </c>
      <c r="M20">
        <v>0</v>
      </c>
      <c r="N20">
        <v>0</v>
      </c>
      <c r="O20">
        <v>0</v>
      </c>
      <c r="Q20">
        <v>0</v>
      </c>
      <c r="S20">
        <v>0</v>
      </c>
      <c r="U20">
        <v>0</v>
      </c>
      <c r="V20">
        <v>0</v>
      </c>
      <c r="X20">
        <v>0</v>
      </c>
      <c r="Z20">
        <v>0</v>
      </c>
      <c r="AB20">
        <v>0</v>
      </c>
      <c r="AD20">
        <v>0</v>
      </c>
      <c r="AE20">
        <v>0</v>
      </c>
      <c r="AG20">
        <v>0</v>
      </c>
      <c r="AI20">
        <v>0</v>
      </c>
      <c r="AK20">
        <v>0</v>
      </c>
      <c r="AM20">
        <v>0</v>
      </c>
      <c r="AN20">
        <v>0</v>
      </c>
      <c r="AP20">
        <v>0</v>
      </c>
      <c r="AR20">
        <v>0</v>
      </c>
      <c r="AT20">
        <v>0</v>
      </c>
    </row>
    <row r="21" spans="1:47" x14ac:dyDescent="0.2">
      <c r="A21" t="s">
        <v>3561</v>
      </c>
      <c r="B21" t="s">
        <v>3562</v>
      </c>
      <c r="C21">
        <v>1354</v>
      </c>
      <c r="D21">
        <v>286</v>
      </c>
      <c r="E21">
        <v>0.21099999999999999</v>
      </c>
      <c r="F21">
        <v>233</v>
      </c>
      <c r="G21">
        <v>0.81499999999999995</v>
      </c>
      <c r="H21">
        <v>125</v>
      </c>
      <c r="I21">
        <v>0.437</v>
      </c>
      <c r="J21">
        <v>104</v>
      </c>
      <c r="K21">
        <v>0.83199999999999996</v>
      </c>
      <c r="L21">
        <v>316</v>
      </c>
      <c r="M21">
        <v>126</v>
      </c>
      <c r="N21">
        <v>0.39900000000000002</v>
      </c>
      <c r="O21">
        <v>106</v>
      </c>
      <c r="P21">
        <v>0.84099999999999997</v>
      </c>
      <c r="Q21">
        <v>59</v>
      </c>
      <c r="R21">
        <v>0.46800000000000003</v>
      </c>
      <c r="S21">
        <v>49</v>
      </c>
      <c r="T21">
        <v>0.83099999999999996</v>
      </c>
      <c r="U21">
        <v>311</v>
      </c>
      <c r="V21">
        <v>47</v>
      </c>
      <c r="W21">
        <v>0.151</v>
      </c>
      <c r="X21">
        <v>35</v>
      </c>
      <c r="Y21">
        <v>0.745</v>
      </c>
      <c r="Z21">
        <v>16</v>
      </c>
      <c r="AA21">
        <v>0.34</v>
      </c>
      <c r="AB21">
        <v>15</v>
      </c>
      <c r="AC21">
        <v>0.93799999999999994</v>
      </c>
      <c r="AD21">
        <v>377</v>
      </c>
      <c r="AE21">
        <v>73</v>
      </c>
      <c r="AF21">
        <v>0.19400000000000001</v>
      </c>
      <c r="AG21">
        <v>59</v>
      </c>
      <c r="AH21">
        <v>0.80800000000000005</v>
      </c>
      <c r="AI21">
        <v>36</v>
      </c>
      <c r="AJ21">
        <v>0.49299999999999999</v>
      </c>
      <c r="AK21">
        <v>30</v>
      </c>
      <c r="AL21">
        <v>0.83299999999999996</v>
      </c>
      <c r="AM21">
        <v>350</v>
      </c>
      <c r="AN21">
        <v>40</v>
      </c>
      <c r="AO21">
        <v>0.114</v>
      </c>
      <c r="AP21">
        <v>33</v>
      </c>
      <c r="AQ21">
        <v>0.82499999999999996</v>
      </c>
      <c r="AR21">
        <v>14</v>
      </c>
      <c r="AS21">
        <v>0.35</v>
      </c>
      <c r="AT21">
        <v>10</v>
      </c>
      <c r="AU21">
        <v>0.71399999999999997</v>
      </c>
    </row>
    <row r="22" spans="1:47" x14ac:dyDescent="0.2">
      <c r="A22" t="s">
        <v>3564</v>
      </c>
      <c r="B22" t="s">
        <v>3565</v>
      </c>
      <c r="C22">
        <v>54</v>
      </c>
      <c r="D22">
        <v>50</v>
      </c>
      <c r="E22">
        <v>0.92600000000000005</v>
      </c>
      <c r="F22">
        <v>42</v>
      </c>
      <c r="G22">
        <v>0.84</v>
      </c>
      <c r="H22">
        <v>50</v>
      </c>
      <c r="I22">
        <v>1</v>
      </c>
      <c r="J22">
        <v>31</v>
      </c>
      <c r="K22">
        <v>0.62</v>
      </c>
      <c r="L22">
        <v>54</v>
      </c>
      <c r="M22">
        <v>50</v>
      </c>
      <c r="N22">
        <v>0.92600000000000005</v>
      </c>
      <c r="O22">
        <v>42</v>
      </c>
      <c r="P22">
        <v>0.84</v>
      </c>
      <c r="Q22">
        <v>50</v>
      </c>
      <c r="R22">
        <v>1</v>
      </c>
      <c r="S22">
        <v>31</v>
      </c>
      <c r="T22">
        <v>0.62</v>
      </c>
      <c r="U22">
        <v>0</v>
      </c>
      <c r="V22">
        <v>0</v>
      </c>
      <c r="X22">
        <v>0</v>
      </c>
      <c r="Z22">
        <v>0</v>
      </c>
      <c r="AB22">
        <v>0</v>
      </c>
      <c r="AD22">
        <v>0</v>
      </c>
      <c r="AE22">
        <v>0</v>
      </c>
      <c r="AG22">
        <v>0</v>
      </c>
      <c r="AI22">
        <v>0</v>
      </c>
      <c r="AK22">
        <v>0</v>
      </c>
      <c r="AM22">
        <v>0</v>
      </c>
      <c r="AN22">
        <v>0</v>
      </c>
      <c r="AP22">
        <v>0</v>
      </c>
      <c r="AR22">
        <v>0</v>
      </c>
      <c r="AT22">
        <v>0</v>
      </c>
    </row>
    <row r="23" spans="1:47" x14ac:dyDescent="0.2">
      <c r="A23" t="s">
        <v>3488</v>
      </c>
      <c r="B23" t="s">
        <v>3489</v>
      </c>
      <c r="C23">
        <v>294</v>
      </c>
      <c r="D23">
        <v>169</v>
      </c>
      <c r="E23">
        <v>0.57499999999999996</v>
      </c>
      <c r="F23">
        <v>158</v>
      </c>
      <c r="G23">
        <v>0.93500000000000005</v>
      </c>
      <c r="H23">
        <v>169</v>
      </c>
      <c r="I23">
        <v>1</v>
      </c>
      <c r="J23">
        <v>135</v>
      </c>
      <c r="K23">
        <v>0.79900000000000004</v>
      </c>
      <c r="L23">
        <v>83</v>
      </c>
      <c r="M23">
        <v>16</v>
      </c>
      <c r="N23">
        <v>0.193</v>
      </c>
      <c r="O23">
        <v>16</v>
      </c>
      <c r="P23">
        <v>1</v>
      </c>
      <c r="Q23">
        <v>16</v>
      </c>
      <c r="R23">
        <v>1</v>
      </c>
      <c r="S23">
        <v>8</v>
      </c>
      <c r="T23">
        <v>0.5</v>
      </c>
      <c r="U23">
        <v>121</v>
      </c>
      <c r="V23">
        <v>86</v>
      </c>
      <c r="W23">
        <v>0.71099999999999997</v>
      </c>
      <c r="X23">
        <v>82</v>
      </c>
      <c r="Y23">
        <v>0.95299999999999996</v>
      </c>
      <c r="Z23">
        <v>86</v>
      </c>
      <c r="AA23">
        <v>1</v>
      </c>
      <c r="AB23">
        <v>68</v>
      </c>
      <c r="AC23">
        <v>0.79100000000000004</v>
      </c>
      <c r="AD23">
        <v>90</v>
      </c>
      <c r="AE23">
        <v>67</v>
      </c>
      <c r="AF23">
        <v>0.74399999999999999</v>
      </c>
      <c r="AG23">
        <v>60</v>
      </c>
      <c r="AH23">
        <v>0.89600000000000002</v>
      </c>
      <c r="AI23">
        <v>67</v>
      </c>
      <c r="AJ23">
        <v>1</v>
      </c>
      <c r="AK23">
        <v>59</v>
      </c>
      <c r="AL23">
        <v>0.88100000000000001</v>
      </c>
      <c r="AM23">
        <v>0</v>
      </c>
      <c r="AN23">
        <v>0</v>
      </c>
      <c r="AP23">
        <v>0</v>
      </c>
      <c r="AR23">
        <v>0</v>
      </c>
      <c r="AT23">
        <v>0</v>
      </c>
    </row>
    <row r="24" spans="1:47" x14ac:dyDescent="0.2">
      <c r="A24" t="s">
        <v>3491</v>
      </c>
      <c r="B24" t="s">
        <v>3492</v>
      </c>
      <c r="C24">
        <v>181</v>
      </c>
      <c r="D24">
        <v>93</v>
      </c>
      <c r="E24">
        <v>0.51400000000000001</v>
      </c>
      <c r="F24">
        <v>68</v>
      </c>
      <c r="G24">
        <v>0.73099999999999998</v>
      </c>
      <c r="H24">
        <v>93</v>
      </c>
      <c r="I24">
        <v>1</v>
      </c>
      <c r="J24">
        <v>60</v>
      </c>
      <c r="K24">
        <v>0.64500000000000002</v>
      </c>
      <c r="L24">
        <v>76</v>
      </c>
      <c r="M24">
        <v>40</v>
      </c>
      <c r="N24">
        <v>0.52600000000000002</v>
      </c>
      <c r="O24">
        <v>23</v>
      </c>
      <c r="P24">
        <v>0.57499999999999996</v>
      </c>
      <c r="Q24">
        <v>40</v>
      </c>
      <c r="R24">
        <v>1</v>
      </c>
      <c r="S24">
        <v>22</v>
      </c>
      <c r="T24">
        <v>0.55000000000000004</v>
      </c>
      <c r="U24">
        <v>54</v>
      </c>
      <c r="V24">
        <v>24</v>
      </c>
      <c r="W24">
        <v>0.44400000000000001</v>
      </c>
      <c r="X24">
        <v>23</v>
      </c>
      <c r="Y24">
        <v>0.95799999999999996</v>
      </c>
      <c r="Z24">
        <v>24</v>
      </c>
      <c r="AA24">
        <v>1</v>
      </c>
      <c r="AB24">
        <v>18</v>
      </c>
      <c r="AC24">
        <v>0.75</v>
      </c>
      <c r="AD24">
        <v>51</v>
      </c>
      <c r="AE24">
        <v>29</v>
      </c>
      <c r="AF24">
        <v>0.56899999999999995</v>
      </c>
      <c r="AG24">
        <v>22</v>
      </c>
      <c r="AH24">
        <v>0.75900000000000001</v>
      </c>
      <c r="AI24">
        <v>29</v>
      </c>
      <c r="AJ24">
        <v>1</v>
      </c>
      <c r="AK24">
        <v>20</v>
      </c>
      <c r="AL24">
        <v>0.69</v>
      </c>
      <c r="AM24">
        <v>0</v>
      </c>
      <c r="AN24">
        <v>0</v>
      </c>
      <c r="AP24">
        <v>0</v>
      </c>
      <c r="AR24">
        <v>0</v>
      </c>
      <c r="AT24">
        <v>0</v>
      </c>
    </row>
    <row r="25" spans="1:47" x14ac:dyDescent="0.2">
      <c r="A25" t="s">
        <v>3494</v>
      </c>
      <c r="B25" t="s">
        <v>3495</v>
      </c>
      <c r="C25">
        <v>78</v>
      </c>
      <c r="D25">
        <v>57</v>
      </c>
      <c r="E25">
        <v>0.73099999999999998</v>
      </c>
      <c r="F25">
        <v>39</v>
      </c>
      <c r="G25">
        <v>0.68400000000000005</v>
      </c>
      <c r="H25">
        <v>51</v>
      </c>
      <c r="I25">
        <v>0.89500000000000002</v>
      </c>
      <c r="J25">
        <v>38</v>
      </c>
      <c r="K25">
        <v>0.745</v>
      </c>
      <c r="L25">
        <v>12</v>
      </c>
      <c r="M25" t="s">
        <v>53</v>
      </c>
      <c r="N25" t="s">
        <v>53</v>
      </c>
      <c r="O25" t="s">
        <v>53</v>
      </c>
      <c r="P25" t="s">
        <v>53</v>
      </c>
      <c r="Q25" t="s">
        <v>53</v>
      </c>
      <c r="R25" t="s">
        <v>53</v>
      </c>
      <c r="S25" t="s">
        <v>53</v>
      </c>
      <c r="T25" t="s">
        <v>53</v>
      </c>
      <c r="U25">
        <v>26</v>
      </c>
      <c r="V25" t="s">
        <v>53</v>
      </c>
      <c r="W25" t="s">
        <v>53</v>
      </c>
      <c r="X25" t="s">
        <v>53</v>
      </c>
      <c r="Y25" t="s">
        <v>53</v>
      </c>
      <c r="Z25" t="s">
        <v>53</v>
      </c>
      <c r="AA25" t="s">
        <v>53</v>
      </c>
      <c r="AB25" t="s">
        <v>53</v>
      </c>
      <c r="AC25" t="s">
        <v>53</v>
      </c>
      <c r="AD25">
        <v>40</v>
      </c>
      <c r="AE25">
        <v>31</v>
      </c>
      <c r="AF25">
        <v>0.77500000000000002</v>
      </c>
      <c r="AG25">
        <v>20</v>
      </c>
      <c r="AH25">
        <v>0.64500000000000002</v>
      </c>
      <c r="AI25">
        <v>27</v>
      </c>
      <c r="AJ25">
        <v>0.871</v>
      </c>
      <c r="AK25">
        <v>20</v>
      </c>
      <c r="AL25">
        <v>0.74099999999999999</v>
      </c>
      <c r="AM25">
        <v>0</v>
      </c>
      <c r="AN25">
        <v>0</v>
      </c>
      <c r="AP25">
        <v>0</v>
      </c>
      <c r="AR25">
        <v>0</v>
      </c>
      <c r="AT25">
        <v>0</v>
      </c>
    </row>
    <row r="26" spans="1:47" x14ac:dyDescent="0.2">
      <c r="A26" t="s">
        <v>3497</v>
      </c>
      <c r="B26" t="s">
        <v>3498</v>
      </c>
      <c r="C26">
        <v>123</v>
      </c>
      <c r="D26">
        <v>82</v>
      </c>
      <c r="E26">
        <v>0.66700000000000004</v>
      </c>
      <c r="F26">
        <v>80</v>
      </c>
      <c r="G26">
        <v>0.97599999999999998</v>
      </c>
      <c r="H26">
        <v>82</v>
      </c>
      <c r="I26">
        <v>1</v>
      </c>
      <c r="J26">
        <v>61</v>
      </c>
      <c r="K26">
        <v>0.74399999999999999</v>
      </c>
      <c r="L26">
        <v>50</v>
      </c>
      <c r="M26">
        <v>36</v>
      </c>
      <c r="N26">
        <v>0.72</v>
      </c>
      <c r="O26">
        <v>35</v>
      </c>
      <c r="P26">
        <v>0.97199999999999998</v>
      </c>
      <c r="Q26">
        <v>36</v>
      </c>
      <c r="R26">
        <v>1</v>
      </c>
      <c r="S26">
        <v>23</v>
      </c>
      <c r="T26">
        <v>0.63900000000000001</v>
      </c>
      <c r="U26">
        <v>20</v>
      </c>
      <c r="V26">
        <v>8</v>
      </c>
      <c r="W26">
        <v>0.4</v>
      </c>
      <c r="X26">
        <v>8</v>
      </c>
      <c r="Y26">
        <v>1</v>
      </c>
      <c r="Z26">
        <v>8</v>
      </c>
      <c r="AA26">
        <v>1</v>
      </c>
      <c r="AB26">
        <v>6</v>
      </c>
      <c r="AC26">
        <v>0.75</v>
      </c>
      <c r="AD26">
        <v>53</v>
      </c>
      <c r="AE26">
        <v>38</v>
      </c>
      <c r="AF26">
        <v>0.71699999999999997</v>
      </c>
      <c r="AG26">
        <v>37</v>
      </c>
      <c r="AH26">
        <v>0.97399999999999998</v>
      </c>
      <c r="AI26">
        <v>38</v>
      </c>
      <c r="AJ26">
        <v>1</v>
      </c>
      <c r="AK26">
        <v>32</v>
      </c>
      <c r="AL26">
        <v>0.84199999999999997</v>
      </c>
      <c r="AM26">
        <v>0</v>
      </c>
      <c r="AN26">
        <v>0</v>
      </c>
      <c r="AP26">
        <v>0</v>
      </c>
      <c r="AR26">
        <v>0</v>
      </c>
      <c r="AT26">
        <v>0</v>
      </c>
    </row>
    <row r="27" spans="1:47" x14ac:dyDescent="0.2">
      <c r="A27" t="s">
        <v>3403</v>
      </c>
      <c r="B27" t="s">
        <v>3404</v>
      </c>
      <c r="C27">
        <v>453</v>
      </c>
      <c r="D27">
        <v>479</v>
      </c>
      <c r="E27">
        <v>1.0569999999999999</v>
      </c>
      <c r="F27">
        <v>378</v>
      </c>
      <c r="G27">
        <v>0.78900000000000003</v>
      </c>
      <c r="H27">
        <v>443</v>
      </c>
      <c r="I27">
        <v>0.92500000000000004</v>
      </c>
      <c r="J27">
        <v>341</v>
      </c>
      <c r="K27">
        <v>0.77</v>
      </c>
      <c r="L27">
        <v>78</v>
      </c>
      <c r="M27">
        <v>50</v>
      </c>
      <c r="N27">
        <v>0.64100000000000001</v>
      </c>
      <c r="O27">
        <v>43</v>
      </c>
      <c r="P27">
        <v>0.86</v>
      </c>
      <c r="Q27">
        <v>50</v>
      </c>
      <c r="R27">
        <v>1</v>
      </c>
      <c r="S27">
        <v>35</v>
      </c>
      <c r="T27">
        <v>0.7</v>
      </c>
      <c r="U27">
        <v>215</v>
      </c>
      <c r="V27">
        <v>223</v>
      </c>
      <c r="W27">
        <v>1.0369999999999999</v>
      </c>
      <c r="X27">
        <v>200</v>
      </c>
      <c r="Y27">
        <v>0.89700000000000002</v>
      </c>
      <c r="Z27">
        <v>211</v>
      </c>
      <c r="AA27">
        <v>0.94599999999999995</v>
      </c>
      <c r="AB27">
        <v>170</v>
      </c>
      <c r="AC27">
        <v>0.80600000000000005</v>
      </c>
      <c r="AD27">
        <v>160</v>
      </c>
      <c r="AE27">
        <v>206</v>
      </c>
      <c r="AF27">
        <v>1.288</v>
      </c>
      <c r="AG27">
        <v>135</v>
      </c>
      <c r="AH27">
        <v>0.65500000000000003</v>
      </c>
      <c r="AI27">
        <v>182</v>
      </c>
      <c r="AJ27">
        <v>0.88300000000000001</v>
      </c>
      <c r="AK27">
        <v>136</v>
      </c>
      <c r="AL27">
        <v>0.747</v>
      </c>
      <c r="AM27">
        <v>0</v>
      </c>
      <c r="AN27">
        <v>0</v>
      </c>
      <c r="AP27">
        <v>0</v>
      </c>
      <c r="AR27">
        <v>0</v>
      </c>
      <c r="AT27">
        <v>0</v>
      </c>
    </row>
    <row r="28" spans="1:47" x14ac:dyDescent="0.2">
      <c r="A28" t="s">
        <v>3570</v>
      </c>
      <c r="B28" t="s">
        <v>3571</v>
      </c>
      <c r="C28">
        <v>35</v>
      </c>
      <c r="D28">
        <v>16</v>
      </c>
      <c r="E28">
        <v>0.45700000000000002</v>
      </c>
      <c r="F28">
        <v>10</v>
      </c>
      <c r="G28">
        <v>0.625</v>
      </c>
      <c r="H28">
        <v>15</v>
      </c>
      <c r="I28">
        <v>0.93799999999999994</v>
      </c>
      <c r="J28">
        <v>11</v>
      </c>
      <c r="K28">
        <v>0.73299999999999998</v>
      </c>
      <c r="L28">
        <v>11</v>
      </c>
      <c r="M28" t="s">
        <v>53</v>
      </c>
      <c r="N28" t="s">
        <v>53</v>
      </c>
      <c r="O28">
        <v>0</v>
      </c>
      <c r="P28" t="s">
        <v>53</v>
      </c>
      <c r="Q28" t="s">
        <v>53</v>
      </c>
      <c r="R28" t="s">
        <v>53</v>
      </c>
      <c r="S28" t="s">
        <v>53</v>
      </c>
      <c r="T28" t="s">
        <v>53</v>
      </c>
      <c r="U28" t="s">
        <v>53</v>
      </c>
      <c r="V28">
        <v>6</v>
      </c>
      <c r="W28" t="s">
        <v>53</v>
      </c>
      <c r="X28" t="s">
        <v>53</v>
      </c>
      <c r="Y28" t="s">
        <v>53</v>
      </c>
      <c r="Z28">
        <v>6</v>
      </c>
      <c r="AA28">
        <v>1</v>
      </c>
      <c r="AB28" t="s">
        <v>53</v>
      </c>
      <c r="AC28" t="s">
        <v>53</v>
      </c>
      <c r="AD28">
        <v>14</v>
      </c>
      <c r="AE28">
        <v>7</v>
      </c>
      <c r="AF28">
        <v>0.5</v>
      </c>
      <c r="AG28" t="s">
        <v>53</v>
      </c>
      <c r="AH28" t="s">
        <v>53</v>
      </c>
      <c r="AI28">
        <v>6</v>
      </c>
      <c r="AJ28">
        <v>0.85699999999999998</v>
      </c>
      <c r="AK28" t="s">
        <v>53</v>
      </c>
      <c r="AL28" t="s">
        <v>53</v>
      </c>
      <c r="AM28" t="s">
        <v>53</v>
      </c>
      <c r="AN28" t="s">
        <v>53</v>
      </c>
      <c r="AO28" t="s">
        <v>53</v>
      </c>
      <c r="AP28" t="s">
        <v>53</v>
      </c>
      <c r="AQ28" t="s">
        <v>53</v>
      </c>
      <c r="AR28" t="s">
        <v>53</v>
      </c>
      <c r="AS28" t="s">
        <v>53</v>
      </c>
      <c r="AT28" t="s">
        <v>53</v>
      </c>
      <c r="AU28" t="s">
        <v>53</v>
      </c>
    </row>
    <row r="29" spans="1:47" x14ac:dyDescent="0.2">
      <c r="A29" t="s">
        <v>3573</v>
      </c>
      <c r="B29" t="s">
        <v>3574</v>
      </c>
      <c r="C29">
        <v>158</v>
      </c>
      <c r="D29">
        <v>117</v>
      </c>
      <c r="E29">
        <v>0.74099999999999999</v>
      </c>
      <c r="F29">
        <v>101</v>
      </c>
      <c r="G29">
        <v>0.86299999999999999</v>
      </c>
      <c r="H29">
        <v>106</v>
      </c>
      <c r="I29">
        <v>0.90600000000000003</v>
      </c>
      <c r="J29">
        <v>84</v>
      </c>
      <c r="K29">
        <v>0.79200000000000004</v>
      </c>
      <c r="L29">
        <v>23</v>
      </c>
      <c r="M29">
        <v>11</v>
      </c>
      <c r="N29">
        <v>0.47799999999999998</v>
      </c>
      <c r="O29">
        <v>10</v>
      </c>
      <c r="P29">
        <v>0.90900000000000003</v>
      </c>
      <c r="Q29">
        <v>11</v>
      </c>
      <c r="R29">
        <v>1</v>
      </c>
      <c r="S29">
        <v>8</v>
      </c>
      <c r="T29">
        <v>0.72699999999999998</v>
      </c>
      <c r="U29">
        <v>81</v>
      </c>
      <c r="V29">
        <v>58</v>
      </c>
      <c r="W29">
        <v>0.71599999999999997</v>
      </c>
      <c r="X29">
        <v>56</v>
      </c>
      <c r="Y29">
        <v>0.96599999999999997</v>
      </c>
      <c r="Z29">
        <v>53</v>
      </c>
      <c r="AA29">
        <v>0.91400000000000003</v>
      </c>
      <c r="AB29">
        <v>44</v>
      </c>
      <c r="AC29">
        <v>0.83</v>
      </c>
      <c r="AD29">
        <v>54</v>
      </c>
      <c r="AE29">
        <v>48</v>
      </c>
      <c r="AF29">
        <v>0.88900000000000001</v>
      </c>
      <c r="AG29">
        <v>35</v>
      </c>
      <c r="AH29">
        <v>0.72899999999999998</v>
      </c>
      <c r="AI29">
        <v>42</v>
      </c>
      <c r="AJ29">
        <v>0.875</v>
      </c>
      <c r="AK29">
        <v>32</v>
      </c>
      <c r="AL29">
        <v>0.76200000000000001</v>
      </c>
      <c r="AM29">
        <v>0</v>
      </c>
      <c r="AN29">
        <v>0</v>
      </c>
      <c r="AP29">
        <v>0</v>
      </c>
      <c r="AR29">
        <v>0</v>
      </c>
      <c r="AT29">
        <v>0</v>
      </c>
    </row>
    <row r="30" spans="1:47" x14ac:dyDescent="0.2">
      <c r="A30" t="s">
        <v>3576</v>
      </c>
      <c r="B30" t="s">
        <v>3577</v>
      </c>
      <c r="C30">
        <v>125</v>
      </c>
      <c r="D30">
        <v>145</v>
      </c>
      <c r="E30">
        <v>1.1599999999999999</v>
      </c>
      <c r="F30">
        <v>65</v>
      </c>
      <c r="G30">
        <v>0.44800000000000001</v>
      </c>
      <c r="H30">
        <v>120</v>
      </c>
      <c r="I30">
        <v>0.82799999999999996</v>
      </c>
      <c r="J30">
        <v>64</v>
      </c>
      <c r="K30">
        <v>0.53300000000000003</v>
      </c>
      <c r="L30">
        <v>47</v>
      </c>
      <c r="M30">
        <v>35</v>
      </c>
      <c r="N30">
        <v>0.745</v>
      </c>
      <c r="O30">
        <v>26</v>
      </c>
      <c r="P30">
        <v>0.74299999999999999</v>
      </c>
      <c r="Q30">
        <v>35</v>
      </c>
      <c r="R30">
        <v>1</v>
      </c>
      <c r="S30">
        <v>18</v>
      </c>
      <c r="T30">
        <v>0.51400000000000001</v>
      </c>
      <c r="U30">
        <v>22</v>
      </c>
      <c r="V30" t="s">
        <v>53</v>
      </c>
      <c r="W30" t="s">
        <v>53</v>
      </c>
      <c r="X30" t="s">
        <v>53</v>
      </c>
      <c r="Y30" t="s">
        <v>53</v>
      </c>
      <c r="Z30" t="s">
        <v>53</v>
      </c>
      <c r="AA30" t="s">
        <v>53</v>
      </c>
      <c r="AB30" t="s">
        <v>53</v>
      </c>
      <c r="AC30" t="s">
        <v>53</v>
      </c>
      <c r="AD30">
        <v>37</v>
      </c>
      <c r="AE30">
        <v>82</v>
      </c>
      <c r="AF30">
        <v>2.2160000000000002</v>
      </c>
      <c r="AG30">
        <v>24</v>
      </c>
      <c r="AH30">
        <v>0.29299999999999998</v>
      </c>
      <c r="AI30">
        <v>64</v>
      </c>
      <c r="AJ30">
        <v>0.78</v>
      </c>
      <c r="AK30">
        <v>32</v>
      </c>
      <c r="AL30">
        <v>0.5</v>
      </c>
      <c r="AM30">
        <v>19</v>
      </c>
      <c r="AN30" t="s">
        <v>53</v>
      </c>
      <c r="AO30" t="s">
        <v>53</v>
      </c>
      <c r="AP30" t="s">
        <v>53</v>
      </c>
      <c r="AQ30" t="s">
        <v>53</v>
      </c>
      <c r="AR30" t="s">
        <v>53</v>
      </c>
      <c r="AS30" t="s">
        <v>53</v>
      </c>
      <c r="AT30" t="s">
        <v>53</v>
      </c>
      <c r="AU30" t="s">
        <v>53</v>
      </c>
    </row>
    <row r="31" spans="1:47" x14ac:dyDescent="0.2">
      <c r="A31" t="s">
        <v>3579</v>
      </c>
      <c r="B31" t="s">
        <v>3580</v>
      </c>
      <c r="C31">
        <v>673</v>
      </c>
      <c r="D31">
        <v>296</v>
      </c>
      <c r="E31">
        <v>0.44</v>
      </c>
      <c r="F31">
        <v>246</v>
      </c>
      <c r="G31">
        <v>0.83099999999999996</v>
      </c>
      <c r="H31">
        <v>283</v>
      </c>
      <c r="I31">
        <v>0.95599999999999996</v>
      </c>
      <c r="J31">
        <v>183</v>
      </c>
      <c r="K31">
        <v>0.64700000000000002</v>
      </c>
      <c r="L31">
        <v>267</v>
      </c>
      <c r="M31">
        <v>54</v>
      </c>
      <c r="N31">
        <v>0.20200000000000001</v>
      </c>
      <c r="O31">
        <v>36</v>
      </c>
      <c r="P31">
        <v>0.66700000000000004</v>
      </c>
      <c r="Q31">
        <v>54</v>
      </c>
      <c r="R31">
        <v>1</v>
      </c>
      <c r="S31">
        <v>24</v>
      </c>
      <c r="T31">
        <v>0.44400000000000001</v>
      </c>
      <c r="U31">
        <v>186</v>
      </c>
      <c r="V31">
        <v>113</v>
      </c>
      <c r="W31">
        <v>0.60799999999999998</v>
      </c>
      <c r="X31">
        <v>100</v>
      </c>
      <c r="Y31">
        <v>0.88500000000000001</v>
      </c>
      <c r="Z31">
        <v>107</v>
      </c>
      <c r="AA31">
        <v>0.94699999999999995</v>
      </c>
      <c r="AB31">
        <v>74</v>
      </c>
      <c r="AC31">
        <v>0.69199999999999995</v>
      </c>
      <c r="AD31">
        <v>220</v>
      </c>
      <c r="AE31">
        <v>129</v>
      </c>
      <c r="AF31">
        <v>0.58599999999999997</v>
      </c>
      <c r="AG31">
        <v>110</v>
      </c>
      <c r="AH31">
        <v>0.85299999999999998</v>
      </c>
      <c r="AI31">
        <v>122</v>
      </c>
      <c r="AJ31">
        <v>0.94599999999999995</v>
      </c>
      <c r="AK31">
        <v>85</v>
      </c>
      <c r="AL31">
        <v>0.69699999999999995</v>
      </c>
      <c r="AM31">
        <v>0</v>
      </c>
      <c r="AN31">
        <v>0</v>
      </c>
      <c r="AP31">
        <v>0</v>
      </c>
      <c r="AR31">
        <v>0</v>
      </c>
      <c r="AT31">
        <v>0</v>
      </c>
    </row>
    <row r="32" spans="1:47" x14ac:dyDescent="0.2">
      <c r="A32" t="s">
        <v>3582</v>
      </c>
      <c r="B32" t="s">
        <v>3583</v>
      </c>
      <c r="C32">
        <v>230</v>
      </c>
      <c r="D32">
        <v>224</v>
      </c>
      <c r="E32">
        <v>0.97399999999999998</v>
      </c>
      <c r="F32">
        <v>180</v>
      </c>
      <c r="G32">
        <v>0.80400000000000005</v>
      </c>
      <c r="H32">
        <v>223</v>
      </c>
      <c r="I32">
        <v>0.996</v>
      </c>
      <c r="J32">
        <v>169</v>
      </c>
      <c r="K32">
        <v>0.75800000000000001</v>
      </c>
      <c r="L32">
        <v>85</v>
      </c>
      <c r="M32">
        <v>86</v>
      </c>
      <c r="N32">
        <v>1.012</v>
      </c>
      <c r="O32">
        <v>59</v>
      </c>
      <c r="P32">
        <v>0.68600000000000005</v>
      </c>
      <c r="Q32">
        <v>86</v>
      </c>
      <c r="R32">
        <v>1</v>
      </c>
      <c r="S32">
        <v>57</v>
      </c>
      <c r="T32">
        <v>0.66300000000000003</v>
      </c>
      <c r="U32">
        <v>68</v>
      </c>
      <c r="V32">
        <v>64</v>
      </c>
      <c r="W32">
        <v>0.94099999999999995</v>
      </c>
      <c r="X32">
        <v>55</v>
      </c>
      <c r="Y32">
        <v>0.85899999999999999</v>
      </c>
      <c r="Z32">
        <v>63</v>
      </c>
      <c r="AA32">
        <v>0.98399999999999999</v>
      </c>
      <c r="AB32">
        <v>50</v>
      </c>
      <c r="AC32">
        <v>0.79400000000000004</v>
      </c>
      <c r="AD32">
        <v>77</v>
      </c>
      <c r="AE32">
        <v>74</v>
      </c>
      <c r="AF32">
        <v>0.96099999999999997</v>
      </c>
      <c r="AG32">
        <v>66</v>
      </c>
      <c r="AH32">
        <v>0.89200000000000002</v>
      </c>
      <c r="AI32">
        <v>74</v>
      </c>
      <c r="AJ32">
        <v>1</v>
      </c>
      <c r="AK32">
        <v>62</v>
      </c>
      <c r="AL32">
        <v>0.83799999999999997</v>
      </c>
      <c r="AM32">
        <v>0</v>
      </c>
      <c r="AN32">
        <v>0</v>
      </c>
      <c r="AP32">
        <v>0</v>
      </c>
      <c r="AR32">
        <v>0</v>
      </c>
      <c r="AT32">
        <v>0</v>
      </c>
    </row>
    <row r="33" spans="1:47" x14ac:dyDescent="0.2">
      <c r="A33" t="s">
        <v>3585</v>
      </c>
      <c r="B33" t="s">
        <v>3586</v>
      </c>
      <c r="C33">
        <v>286</v>
      </c>
      <c r="D33">
        <v>250</v>
      </c>
      <c r="E33">
        <v>0.874</v>
      </c>
      <c r="F33">
        <v>225</v>
      </c>
      <c r="G33">
        <v>0.9</v>
      </c>
      <c r="H33">
        <v>240</v>
      </c>
      <c r="I33">
        <v>0.96</v>
      </c>
      <c r="J33">
        <v>171</v>
      </c>
      <c r="K33">
        <v>0.71299999999999997</v>
      </c>
      <c r="L33">
        <v>167</v>
      </c>
      <c r="M33">
        <v>123</v>
      </c>
      <c r="N33">
        <v>0.73699999999999999</v>
      </c>
      <c r="O33">
        <v>112</v>
      </c>
      <c r="P33">
        <v>0.91100000000000003</v>
      </c>
      <c r="Q33">
        <v>123</v>
      </c>
      <c r="R33">
        <v>1</v>
      </c>
      <c r="S33">
        <v>91</v>
      </c>
      <c r="T33">
        <v>0.74</v>
      </c>
      <c r="U33">
        <v>53</v>
      </c>
      <c r="V33">
        <v>58</v>
      </c>
      <c r="W33">
        <v>1.0940000000000001</v>
      </c>
      <c r="X33">
        <v>56</v>
      </c>
      <c r="Y33">
        <v>0.96599999999999997</v>
      </c>
      <c r="Z33">
        <v>54</v>
      </c>
      <c r="AA33">
        <v>0.93100000000000005</v>
      </c>
      <c r="AB33">
        <v>37</v>
      </c>
      <c r="AC33">
        <v>0.68500000000000005</v>
      </c>
      <c r="AD33">
        <v>66</v>
      </c>
      <c r="AE33">
        <v>69</v>
      </c>
      <c r="AF33">
        <v>1.0449999999999999</v>
      </c>
      <c r="AG33">
        <v>57</v>
      </c>
      <c r="AH33">
        <v>0.82599999999999996</v>
      </c>
      <c r="AI33">
        <v>63</v>
      </c>
      <c r="AJ33">
        <v>0.91300000000000003</v>
      </c>
      <c r="AK33">
        <v>43</v>
      </c>
      <c r="AL33">
        <v>0.68300000000000005</v>
      </c>
      <c r="AM33">
        <v>0</v>
      </c>
      <c r="AN33">
        <v>0</v>
      </c>
      <c r="AP33">
        <v>0</v>
      </c>
      <c r="AR33">
        <v>0</v>
      </c>
      <c r="AT33">
        <v>0</v>
      </c>
    </row>
    <row r="34" spans="1:47" x14ac:dyDescent="0.2">
      <c r="A34" t="s">
        <v>3588</v>
      </c>
      <c r="B34" t="s">
        <v>3589</v>
      </c>
      <c r="C34">
        <v>80</v>
      </c>
      <c r="D34">
        <v>152</v>
      </c>
      <c r="E34">
        <v>1.9</v>
      </c>
      <c r="F34">
        <v>47</v>
      </c>
      <c r="G34">
        <v>0.309</v>
      </c>
      <c r="H34">
        <v>145</v>
      </c>
      <c r="I34">
        <v>0.95399999999999996</v>
      </c>
      <c r="J34">
        <v>85</v>
      </c>
      <c r="K34">
        <v>0.58599999999999997</v>
      </c>
      <c r="L34">
        <v>36</v>
      </c>
      <c r="M34">
        <v>17</v>
      </c>
      <c r="N34">
        <v>0.47199999999999998</v>
      </c>
      <c r="O34">
        <v>15</v>
      </c>
      <c r="P34">
        <v>0.88200000000000001</v>
      </c>
      <c r="Q34">
        <v>17</v>
      </c>
      <c r="R34">
        <v>1</v>
      </c>
      <c r="S34">
        <v>9</v>
      </c>
      <c r="T34">
        <v>0.52900000000000003</v>
      </c>
      <c r="U34">
        <v>18</v>
      </c>
      <c r="V34">
        <v>19</v>
      </c>
      <c r="W34">
        <v>1.056</v>
      </c>
      <c r="X34">
        <v>9</v>
      </c>
      <c r="Y34">
        <v>0.47399999999999998</v>
      </c>
      <c r="Z34">
        <v>14</v>
      </c>
      <c r="AA34">
        <v>0.73699999999999999</v>
      </c>
      <c r="AB34">
        <v>12</v>
      </c>
      <c r="AC34">
        <v>0.85699999999999998</v>
      </c>
      <c r="AD34">
        <v>26</v>
      </c>
      <c r="AE34">
        <v>39</v>
      </c>
      <c r="AF34">
        <v>1.5</v>
      </c>
      <c r="AG34">
        <v>23</v>
      </c>
      <c r="AH34">
        <v>0.59</v>
      </c>
      <c r="AI34">
        <v>37</v>
      </c>
      <c r="AJ34">
        <v>0.94899999999999995</v>
      </c>
      <c r="AK34">
        <v>24</v>
      </c>
      <c r="AL34">
        <v>0.64900000000000002</v>
      </c>
      <c r="AM34">
        <v>0</v>
      </c>
      <c r="AN34">
        <v>77</v>
      </c>
      <c r="AP34">
        <v>0</v>
      </c>
      <c r="AQ34">
        <v>0</v>
      </c>
      <c r="AR34">
        <v>77</v>
      </c>
      <c r="AS34">
        <v>1</v>
      </c>
      <c r="AT34">
        <v>40</v>
      </c>
      <c r="AU34">
        <v>0.51900000000000002</v>
      </c>
    </row>
    <row r="35" spans="1:47" x14ac:dyDescent="0.2">
      <c r="A35" t="s">
        <v>3591</v>
      </c>
      <c r="B35" t="s">
        <v>3592</v>
      </c>
      <c r="C35">
        <v>127</v>
      </c>
      <c r="D35">
        <v>83</v>
      </c>
      <c r="E35">
        <v>0.65400000000000003</v>
      </c>
      <c r="F35">
        <v>66</v>
      </c>
      <c r="G35">
        <v>0.79500000000000004</v>
      </c>
      <c r="H35">
        <v>80</v>
      </c>
      <c r="I35">
        <v>0.96399999999999997</v>
      </c>
      <c r="J35">
        <v>57</v>
      </c>
      <c r="K35">
        <v>0.71299999999999997</v>
      </c>
      <c r="L35">
        <v>90</v>
      </c>
      <c r="M35">
        <v>44</v>
      </c>
      <c r="N35">
        <v>0.48899999999999999</v>
      </c>
      <c r="O35">
        <v>33</v>
      </c>
      <c r="P35">
        <v>0.75</v>
      </c>
      <c r="Q35">
        <v>44</v>
      </c>
      <c r="R35">
        <v>1</v>
      </c>
      <c r="S35">
        <v>31</v>
      </c>
      <c r="T35">
        <v>0.70499999999999996</v>
      </c>
      <c r="U35">
        <v>19</v>
      </c>
      <c r="V35">
        <v>24</v>
      </c>
      <c r="W35">
        <v>1.2629999999999999</v>
      </c>
      <c r="X35">
        <v>18</v>
      </c>
      <c r="Y35">
        <v>0.75</v>
      </c>
      <c r="Z35">
        <v>21</v>
      </c>
      <c r="AA35">
        <v>0.875</v>
      </c>
      <c r="AB35">
        <v>16</v>
      </c>
      <c r="AC35">
        <v>0.76200000000000001</v>
      </c>
      <c r="AD35">
        <v>18</v>
      </c>
      <c r="AE35">
        <v>15</v>
      </c>
      <c r="AF35">
        <v>0.83299999999999996</v>
      </c>
      <c r="AG35">
        <v>15</v>
      </c>
      <c r="AH35">
        <v>1</v>
      </c>
      <c r="AI35">
        <v>15</v>
      </c>
      <c r="AJ35">
        <v>1</v>
      </c>
      <c r="AK35">
        <v>10</v>
      </c>
      <c r="AL35">
        <v>0.66700000000000004</v>
      </c>
      <c r="AM35">
        <v>0</v>
      </c>
      <c r="AN35">
        <v>0</v>
      </c>
      <c r="AP35">
        <v>0</v>
      </c>
      <c r="AR35">
        <v>0</v>
      </c>
      <c r="AT35">
        <v>0</v>
      </c>
    </row>
    <row r="36" spans="1:47" x14ac:dyDescent="0.2">
      <c r="A36" t="s">
        <v>3594</v>
      </c>
      <c r="B36" t="s">
        <v>3595</v>
      </c>
      <c r="C36">
        <v>432</v>
      </c>
      <c r="D36">
        <v>277</v>
      </c>
      <c r="E36">
        <v>0.64100000000000001</v>
      </c>
      <c r="F36">
        <v>229</v>
      </c>
      <c r="G36">
        <v>0.82699999999999996</v>
      </c>
      <c r="H36">
        <v>264</v>
      </c>
      <c r="I36">
        <v>0.95299999999999996</v>
      </c>
      <c r="J36">
        <v>198</v>
      </c>
      <c r="K36">
        <v>0.75</v>
      </c>
      <c r="L36">
        <v>170</v>
      </c>
      <c r="M36">
        <v>88</v>
      </c>
      <c r="N36">
        <v>0.51800000000000002</v>
      </c>
      <c r="O36">
        <v>67</v>
      </c>
      <c r="P36">
        <v>0.76100000000000001</v>
      </c>
      <c r="Q36">
        <v>87</v>
      </c>
      <c r="R36">
        <v>0.98899999999999999</v>
      </c>
      <c r="S36">
        <v>66</v>
      </c>
      <c r="T36">
        <v>0.75900000000000001</v>
      </c>
      <c r="U36" t="s">
        <v>53</v>
      </c>
      <c r="V36">
        <v>66</v>
      </c>
      <c r="W36" t="s">
        <v>53</v>
      </c>
      <c r="X36">
        <v>58</v>
      </c>
      <c r="Y36">
        <v>0.879</v>
      </c>
      <c r="Z36">
        <v>62</v>
      </c>
      <c r="AA36">
        <v>0.93899999999999995</v>
      </c>
      <c r="AB36">
        <v>46</v>
      </c>
      <c r="AC36">
        <v>0.74199999999999999</v>
      </c>
      <c r="AD36">
        <v>162</v>
      </c>
      <c r="AE36">
        <v>123</v>
      </c>
      <c r="AF36">
        <v>0.75900000000000001</v>
      </c>
      <c r="AG36">
        <v>104</v>
      </c>
      <c r="AH36">
        <v>0.84599999999999997</v>
      </c>
      <c r="AI36">
        <v>115</v>
      </c>
      <c r="AJ36">
        <v>0.93500000000000005</v>
      </c>
      <c r="AK36">
        <v>86</v>
      </c>
      <c r="AL36">
        <v>0.748</v>
      </c>
      <c r="AM36" t="s">
        <v>53</v>
      </c>
      <c r="AN36">
        <v>0</v>
      </c>
      <c r="AO36" t="s">
        <v>53</v>
      </c>
      <c r="AP36">
        <v>0</v>
      </c>
      <c r="AR36">
        <v>0</v>
      </c>
      <c r="AT36">
        <v>0</v>
      </c>
    </row>
    <row r="37" spans="1:47" x14ac:dyDescent="0.2">
      <c r="A37" t="s">
        <v>3597</v>
      </c>
      <c r="B37" t="s">
        <v>3598</v>
      </c>
      <c r="C37">
        <v>214</v>
      </c>
      <c r="D37">
        <v>150</v>
      </c>
      <c r="E37">
        <v>0.70099999999999996</v>
      </c>
      <c r="F37">
        <v>110</v>
      </c>
      <c r="G37">
        <v>0.73299999999999998</v>
      </c>
      <c r="H37">
        <v>143</v>
      </c>
      <c r="I37">
        <v>0.95299999999999996</v>
      </c>
      <c r="J37">
        <v>87</v>
      </c>
      <c r="K37">
        <v>0.60799999999999998</v>
      </c>
      <c r="L37">
        <v>74</v>
      </c>
      <c r="M37">
        <v>31</v>
      </c>
      <c r="N37">
        <v>0.41899999999999998</v>
      </c>
      <c r="O37">
        <v>25</v>
      </c>
      <c r="P37">
        <v>0.80600000000000005</v>
      </c>
      <c r="Q37">
        <v>31</v>
      </c>
      <c r="R37">
        <v>1</v>
      </c>
      <c r="S37">
        <v>14</v>
      </c>
      <c r="T37">
        <v>0.45200000000000001</v>
      </c>
      <c r="U37" t="s">
        <v>53</v>
      </c>
      <c r="V37">
        <v>28</v>
      </c>
      <c r="W37" t="s">
        <v>53</v>
      </c>
      <c r="X37">
        <v>21</v>
      </c>
      <c r="Y37">
        <v>0.75</v>
      </c>
      <c r="Z37">
        <v>27</v>
      </c>
      <c r="AA37">
        <v>0.96399999999999997</v>
      </c>
      <c r="AB37">
        <v>18</v>
      </c>
      <c r="AC37">
        <v>0.66700000000000004</v>
      </c>
      <c r="AD37">
        <v>94</v>
      </c>
      <c r="AE37">
        <v>91</v>
      </c>
      <c r="AF37">
        <v>0.96799999999999997</v>
      </c>
      <c r="AG37">
        <v>64</v>
      </c>
      <c r="AH37">
        <v>0.70299999999999996</v>
      </c>
      <c r="AI37">
        <v>85</v>
      </c>
      <c r="AJ37">
        <v>0.93400000000000005</v>
      </c>
      <c r="AK37">
        <v>55</v>
      </c>
      <c r="AL37">
        <v>0.64700000000000002</v>
      </c>
      <c r="AM37" t="s">
        <v>53</v>
      </c>
      <c r="AN37">
        <v>0</v>
      </c>
      <c r="AO37" t="s">
        <v>53</v>
      </c>
      <c r="AP37">
        <v>0</v>
      </c>
      <c r="AR37">
        <v>0</v>
      </c>
      <c r="AT37">
        <v>0</v>
      </c>
    </row>
    <row r="38" spans="1:47" x14ac:dyDescent="0.2">
      <c r="A38" t="s">
        <v>3600</v>
      </c>
      <c r="B38" t="s">
        <v>3601</v>
      </c>
      <c r="C38">
        <v>382</v>
      </c>
      <c r="D38">
        <v>477</v>
      </c>
      <c r="E38">
        <v>1.2490000000000001</v>
      </c>
      <c r="F38">
        <v>324</v>
      </c>
      <c r="G38">
        <v>0.67900000000000005</v>
      </c>
      <c r="H38">
        <v>415</v>
      </c>
      <c r="I38">
        <v>0.87</v>
      </c>
      <c r="J38">
        <v>294</v>
      </c>
      <c r="K38">
        <v>0.70799999999999996</v>
      </c>
      <c r="L38">
        <v>121</v>
      </c>
      <c r="M38" t="s">
        <v>53</v>
      </c>
      <c r="N38" t="s">
        <v>53</v>
      </c>
      <c r="O38">
        <v>98</v>
      </c>
      <c r="P38" t="s">
        <v>53</v>
      </c>
      <c r="Q38" t="s">
        <v>53</v>
      </c>
      <c r="R38" t="s">
        <v>53</v>
      </c>
      <c r="S38" t="s">
        <v>53</v>
      </c>
      <c r="T38" t="s">
        <v>53</v>
      </c>
      <c r="U38">
        <v>90</v>
      </c>
      <c r="V38">
        <v>151</v>
      </c>
      <c r="W38">
        <v>1.6779999999999999</v>
      </c>
      <c r="X38" t="s">
        <v>53</v>
      </c>
      <c r="Y38" t="s">
        <v>53</v>
      </c>
      <c r="Z38">
        <v>130</v>
      </c>
      <c r="AA38">
        <v>0.86099999999999999</v>
      </c>
      <c r="AB38">
        <v>98</v>
      </c>
      <c r="AC38">
        <v>0.754</v>
      </c>
      <c r="AD38">
        <v>142</v>
      </c>
      <c r="AE38">
        <v>218</v>
      </c>
      <c r="AF38">
        <v>1.5349999999999999</v>
      </c>
      <c r="AG38">
        <v>137</v>
      </c>
      <c r="AH38">
        <v>0.628</v>
      </c>
      <c r="AI38">
        <v>177</v>
      </c>
      <c r="AJ38">
        <v>0.81200000000000006</v>
      </c>
      <c r="AK38">
        <v>129</v>
      </c>
      <c r="AL38">
        <v>0.72899999999999998</v>
      </c>
      <c r="AM38">
        <v>29</v>
      </c>
      <c r="AN38" t="s">
        <v>53</v>
      </c>
      <c r="AO38" t="s">
        <v>53</v>
      </c>
      <c r="AP38" t="s">
        <v>53</v>
      </c>
      <c r="AQ38" t="s">
        <v>53</v>
      </c>
      <c r="AR38" t="s">
        <v>53</v>
      </c>
      <c r="AS38" t="s">
        <v>53</v>
      </c>
      <c r="AT38" t="s">
        <v>53</v>
      </c>
      <c r="AU38" t="s">
        <v>53</v>
      </c>
    </row>
    <row r="39" spans="1:47" x14ac:dyDescent="0.2">
      <c r="A39" t="s">
        <v>3603</v>
      </c>
      <c r="B39" t="s">
        <v>3604</v>
      </c>
      <c r="C39">
        <v>83</v>
      </c>
      <c r="D39">
        <v>54</v>
      </c>
      <c r="E39">
        <v>0.65100000000000002</v>
      </c>
      <c r="F39">
        <v>45</v>
      </c>
      <c r="G39">
        <v>0.83299999999999996</v>
      </c>
      <c r="H39">
        <v>54</v>
      </c>
      <c r="I39">
        <v>1</v>
      </c>
      <c r="J39">
        <v>31</v>
      </c>
      <c r="K39">
        <v>0.57399999999999995</v>
      </c>
      <c r="L39">
        <v>53</v>
      </c>
      <c r="M39">
        <v>31</v>
      </c>
      <c r="N39">
        <v>0.58499999999999996</v>
      </c>
      <c r="O39">
        <v>23</v>
      </c>
      <c r="P39">
        <v>0.74199999999999999</v>
      </c>
      <c r="Q39">
        <v>31</v>
      </c>
      <c r="R39">
        <v>1</v>
      </c>
      <c r="S39">
        <v>16</v>
      </c>
      <c r="T39">
        <v>0.51600000000000001</v>
      </c>
      <c r="U39">
        <v>15</v>
      </c>
      <c r="V39">
        <v>14</v>
      </c>
      <c r="W39">
        <v>0.93300000000000005</v>
      </c>
      <c r="X39">
        <v>14</v>
      </c>
      <c r="Y39">
        <v>1</v>
      </c>
      <c r="Z39">
        <v>14</v>
      </c>
      <c r="AA39">
        <v>1</v>
      </c>
      <c r="AB39">
        <v>8</v>
      </c>
      <c r="AC39">
        <v>0.57099999999999995</v>
      </c>
      <c r="AD39">
        <v>15</v>
      </c>
      <c r="AE39">
        <v>9</v>
      </c>
      <c r="AF39">
        <v>0.6</v>
      </c>
      <c r="AG39">
        <v>8</v>
      </c>
      <c r="AH39">
        <v>0.88900000000000001</v>
      </c>
      <c r="AI39">
        <v>9</v>
      </c>
      <c r="AJ39">
        <v>1</v>
      </c>
      <c r="AK39">
        <v>7</v>
      </c>
      <c r="AL39">
        <v>0.77800000000000002</v>
      </c>
      <c r="AM39">
        <v>0</v>
      </c>
      <c r="AN39">
        <v>0</v>
      </c>
      <c r="AP39">
        <v>0</v>
      </c>
      <c r="AR39">
        <v>0</v>
      </c>
      <c r="AT39">
        <v>0</v>
      </c>
    </row>
    <row r="40" spans="1:47" x14ac:dyDescent="0.2">
      <c r="A40" t="s">
        <v>3606</v>
      </c>
      <c r="B40" t="s">
        <v>3607</v>
      </c>
      <c r="C40">
        <v>0</v>
      </c>
      <c r="D40">
        <v>68</v>
      </c>
      <c r="F40">
        <v>0</v>
      </c>
      <c r="G40">
        <v>0</v>
      </c>
      <c r="H40">
        <v>68</v>
      </c>
      <c r="I40">
        <v>1</v>
      </c>
      <c r="J40">
        <v>50</v>
      </c>
      <c r="K40">
        <v>0.73499999999999999</v>
      </c>
      <c r="L40">
        <v>0</v>
      </c>
      <c r="M40">
        <v>53</v>
      </c>
      <c r="O40">
        <v>0</v>
      </c>
      <c r="P40">
        <v>0</v>
      </c>
      <c r="Q40">
        <v>53</v>
      </c>
      <c r="R40">
        <v>1</v>
      </c>
      <c r="S40">
        <v>38</v>
      </c>
      <c r="T40">
        <v>0.71699999999999997</v>
      </c>
      <c r="U40">
        <v>0</v>
      </c>
      <c r="V40" t="s">
        <v>53</v>
      </c>
      <c r="W40" t="s">
        <v>53</v>
      </c>
      <c r="X40">
        <v>0</v>
      </c>
      <c r="Y40" t="s">
        <v>53</v>
      </c>
      <c r="Z40" t="s">
        <v>53</v>
      </c>
      <c r="AA40" t="s">
        <v>53</v>
      </c>
      <c r="AB40" t="s">
        <v>53</v>
      </c>
      <c r="AC40" t="s">
        <v>53</v>
      </c>
      <c r="AD40">
        <v>0</v>
      </c>
      <c r="AE40" t="s">
        <v>53</v>
      </c>
      <c r="AF40" t="s">
        <v>53</v>
      </c>
      <c r="AG40">
        <v>0</v>
      </c>
      <c r="AH40" t="s">
        <v>53</v>
      </c>
      <c r="AI40" t="s">
        <v>53</v>
      </c>
      <c r="AJ40" t="s">
        <v>53</v>
      </c>
      <c r="AK40" t="s">
        <v>53</v>
      </c>
      <c r="AL40" t="s">
        <v>53</v>
      </c>
      <c r="AM40">
        <v>0</v>
      </c>
      <c r="AN40">
        <v>0</v>
      </c>
      <c r="AP40">
        <v>0</v>
      </c>
      <c r="AR40">
        <v>0</v>
      </c>
      <c r="AT40">
        <v>0</v>
      </c>
    </row>
    <row r="41" spans="1:47" x14ac:dyDescent="0.2">
      <c r="A41" t="s">
        <v>3609</v>
      </c>
      <c r="B41" t="s">
        <v>3610</v>
      </c>
      <c r="C41">
        <v>161</v>
      </c>
      <c r="D41">
        <v>130</v>
      </c>
      <c r="E41">
        <v>0.80700000000000005</v>
      </c>
      <c r="F41">
        <v>95</v>
      </c>
      <c r="G41">
        <v>0.73099999999999998</v>
      </c>
      <c r="H41">
        <v>116</v>
      </c>
      <c r="I41">
        <v>0.89200000000000002</v>
      </c>
      <c r="J41">
        <v>79</v>
      </c>
      <c r="K41">
        <v>0.68100000000000005</v>
      </c>
      <c r="L41">
        <v>69</v>
      </c>
      <c r="M41">
        <v>42</v>
      </c>
      <c r="N41">
        <v>0.60899999999999999</v>
      </c>
      <c r="O41">
        <v>29</v>
      </c>
      <c r="P41">
        <v>0.69</v>
      </c>
      <c r="Q41">
        <v>42</v>
      </c>
      <c r="R41">
        <v>1</v>
      </c>
      <c r="S41">
        <v>25</v>
      </c>
      <c r="T41">
        <v>0.59499999999999997</v>
      </c>
      <c r="U41">
        <v>48</v>
      </c>
      <c r="V41">
        <v>39</v>
      </c>
      <c r="W41">
        <v>0.81299999999999994</v>
      </c>
      <c r="X41">
        <v>35</v>
      </c>
      <c r="Y41">
        <v>0.89700000000000002</v>
      </c>
      <c r="Z41">
        <v>36</v>
      </c>
      <c r="AA41">
        <v>0.92300000000000004</v>
      </c>
      <c r="AB41">
        <v>26</v>
      </c>
      <c r="AC41">
        <v>0.72199999999999998</v>
      </c>
      <c r="AD41">
        <v>44</v>
      </c>
      <c r="AE41">
        <v>49</v>
      </c>
      <c r="AF41">
        <v>1.1140000000000001</v>
      </c>
      <c r="AG41">
        <v>31</v>
      </c>
      <c r="AH41">
        <v>0.63300000000000001</v>
      </c>
      <c r="AI41">
        <v>38</v>
      </c>
      <c r="AJ41">
        <v>0.77600000000000002</v>
      </c>
      <c r="AK41">
        <v>28</v>
      </c>
      <c r="AL41">
        <v>0.73699999999999999</v>
      </c>
      <c r="AM41">
        <v>0</v>
      </c>
      <c r="AN41">
        <v>0</v>
      </c>
      <c r="AP41">
        <v>0</v>
      </c>
      <c r="AR41">
        <v>0</v>
      </c>
      <c r="AT41">
        <v>0</v>
      </c>
    </row>
    <row r="42" spans="1:47" x14ac:dyDescent="0.2">
      <c r="A42" t="s">
        <v>3612</v>
      </c>
      <c r="B42" t="s">
        <v>3613</v>
      </c>
      <c r="C42">
        <v>246</v>
      </c>
      <c r="D42">
        <v>191</v>
      </c>
      <c r="E42">
        <v>0.77600000000000002</v>
      </c>
      <c r="F42">
        <v>170</v>
      </c>
      <c r="G42">
        <v>0.89</v>
      </c>
      <c r="H42">
        <v>184</v>
      </c>
      <c r="I42">
        <v>0.96299999999999997</v>
      </c>
      <c r="J42">
        <v>120</v>
      </c>
      <c r="K42">
        <v>0.65200000000000002</v>
      </c>
      <c r="L42">
        <v>209</v>
      </c>
      <c r="M42">
        <v>155</v>
      </c>
      <c r="N42">
        <v>0.74199999999999999</v>
      </c>
      <c r="O42">
        <v>139</v>
      </c>
      <c r="P42">
        <v>0.89700000000000002</v>
      </c>
      <c r="Q42">
        <v>150</v>
      </c>
      <c r="R42">
        <v>0.96799999999999997</v>
      </c>
      <c r="S42">
        <v>97</v>
      </c>
      <c r="T42">
        <v>0.64700000000000002</v>
      </c>
      <c r="U42">
        <v>7</v>
      </c>
      <c r="V42">
        <v>8</v>
      </c>
      <c r="W42">
        <v>1.143</v>
      </c>
      <c r="X42">
        <v>8</v>
      </c>
      <c r="Y42">
        <v>1</v>
      </c>
      <c r="Z42">
        <v>8</v>
      </c>
      <c r="AA42">
        <v>1</v>
      </c>
      <c r="AB42" t="s">
        <v>53</v>
      </c>
      <c r="AC42" t="s">
        <v>53</v>
      </c>
      <c r="AD42">
        <v>30</v>
      </c>
      <c r="AE42">
        <v>28</v>
      </c>
      <c r="AF42">
        <v>0.93300000000000005</v>
      </c>
      <c r="AG42">
        <v>23</v>
      </c>
      <c r="AH42">
        <v>0.82099999999999995</v>
      </c>
      <c r="AI42">
        <v>26</v>
      </c>
      <c r="AJ42">
        <v>0.92900000000000005</v>
      </c>
      <c r="AK42" t="s">
        <v>53</v>
      </c>
      <c r="AL42" t="s">
        <v>53</v>
      </c>
      <c r="AM42">
        <v>0</v>
      </c>
      <c r="AN42">
        <v>0</v>
      </c>
      <c r="AP42">
        <v>0</v>
      </c>
      <c r="AR42">
        <v>0</v>
      </c>
      <c r="AT42">
        <v>0</v>
      </c>
    </row>
    <row r="43" spans="1:47" x14ac:dyDescent="0.2">
      <c r="A43" t="s">
        <v>3615</v>
      </c>
      <c r="B43" t="s">
        <v>3616</v>
      </c>
      <c r="C43">
        <v>585</v>
      </c>
      <c r="D43">
        <v>441</v>
      </c>
      <c r="E43">
        <v>0.754</v>
      </c>
      <c r="F43">
        <v>370</v>
      </c>
      <c r="G43">
        <v>0.83899999999999997</v>
      </c>
      <c r="H43">
        <v>425</v>
      </c>
      <c r="I43">
        <v>0.96399999999999997</v>
      </c>
      <c r="J43">
        <v>300</v>
      </c>
      <c r="K43">
        <v>0.70599999999999996</v>
      </c>
      <c r="L43">
        <v>166</v>
      </c>
      <c r="M43">
        <v>49</v>
      </c>
      <c r="N43">
        <v>0.29499999999999998</v>
      </c>
      <c r="O43">
        <v>33</v>
      </c>
      <c r="P43">
        <v>0.67300000000000004</v>
      </c>
      <c r="Q43">
        <v>48</v>
      </c>
      <c r="R43">
        <v>0.98</v>
      </c>
      <c r="S43">
        <v>31</v>
      </c>
      <c r="T43">
        <v>0.64600000000000002</v>
      </c>
      <c r="U43">
        <v>157</v>
      </c>
      <c r="V43">
        <v>150</v>
      </c>
      <c r="W43">
        <v>0.95499999999999996</v>
      </c>
      <c r="X43">
        <v>138</v>
      </c>
      <c r="Y43">
        <v>0.92</v>
      </c>
      <c r="Z43">
        <v>148</v>
      </c>
      <c r="AA43">
        <v>0.98699999999999999</v>
      </c>
      <c r="AB43">
        <v>108</v>
      </c>
      <c r="AC43">
        <v>0.73</v>
      </c>
      <c r="AD43">
        <v>262</v>
      </c>
      <c r="AE43">
        <v>242</v>
      </c>
      <c r="AF43">
        <v>0.92400000000000004</v>
      </c>
      <c r="AG43">
        <v>199</v>
      </c>
      <c r="AH43">
        <v>0.82199999999999995</v>
      </c>
      <c r="AI43">
        <v>229</v>
      </c>
      <c r="AJ43">
        <v>0.94599999999999995</v>
      </c>
      <c r="AK43">
        <v>161</v>
      </c>
      <c r="AL43">
        <v>0.70299999999999996</v>
      </c>
      <c r="AM43">
        <v>0</v>
      </c>
      <c r="AN43">
        <v>0</v>
      </c>
      <c r="AP43">
        <v>0</v>
      </c>
      <c r="AR43">
        <v>0</v>
      </c>
      <c r="AT43">
        <v>0</v>
      </c>
    </row>
    <row r="44" spans="1:47" x14ac:dyDescent="0.2">
      <c r="A44" t="s">
        <v>3618</v>
      </c>
      <c r="B44" t="s">
        <v>3619</v>
      </c>
      <c r="C44">
        <v>99</v>
      </c>
      <c r="D44">
        <v>99</v>
      </c>
      <c r="E44">
        <v>1</v>
      </c>
      <c r="F44">
        <v>62</v>
      </c>
      <c r="G44">
        <v>0.626</v>
      </c>
      <c r="H44">
        <v>93</v>
      </c>
      <c r="I44">
        <v>0.93899999999999995</v>
      </c>
      <c r="J44">
        <v>60</v>
      </c>
      <c r="K44">
        <v>0.64500000000000002</v>
      </c>
      <c r="L44">
        <v>32</v>
      </c>
      <c r="M44">
        <v>29</v>
      </c>
      <c r="N44">
        <v>0.90600000000000003</v>
      </c>
      <c r="O44">
        <v>17</v>
      </c>
      <c r="P44">
        <v>0.58599999999999997</v>
      </c>
      <c r="Q44">
        <v>29</v>
      </c>
      <c r="R44">
        <v>1</v>
      </c>
      <c r="S44" t="s">
        <v>53</v>
      </c>
      <c r="T44" t="s">
        <v>53</v>
      </c>
      <c r="U44">
        <v>25</v>
      </c>
      <c r="V44" t="s">
        <v>53</v>
      </c>
      <c r="W44" t="s">
        <v>53</v>
      </c>
      <c r="X44">
        <v>18</v>
      </c>
      <c r="Y44" t="s">
        <v>53</v>
      </c>
      <c r="Z44" t="s">
        <v>53</v>
      </c>
      <c r="AA44" t="s">
        <v>53</v>
      </c>
      <c r="AB44">
        <v>20</v>
      </c>
      <c r="AC44" t="s">
        <v>53</v>
      </c>
      <c r="AD44">
        <v>42</v>
      </c>
      <c r="AE44">
        <v>41</v>
      </c>
      <c r="AF44">
        <v>0.97599999999999998</v>
      </c>
      <c r="AG44">
        <v>27</v>
      </c>
      <c r="AH44">
        <v>0.65900000000000003</v>
      </c>
      <c r="AI44">
        <v>38</v>
      </c>
      <c r="AJ44">
        <v>0.92700000000000005</v>
      </c>
      <c r="AK44">
        <v>26</v>
      </c>
      <c r="AL44">
        <v>0.68400000000000005</v>
      </c>
      <c r="AM44">
        <v>0</v>
      </c>
      <c r="AN44" t="s">
        <v>53</v>
      </c>
      <c r="AO44" t="s">
        <v>53</v>
      </c>
      <c r="AP44">
        <v>0</v>
      </c>
      <c r="AQ44" t="s">
        <v>53</v>
      </c>
      <c r="AR44" t="s">
        <v>53</v>
      </c>
      <c r="AS44" t="s">
        <v>53</v>
      </c>
      <c r="AT44" t="s">
        <v>53</v>
      </c>
      <c r="AU44" t="s">
        <v>53</v>
      </c>
    </row>
    <row r="45" spans="1:47" x14ac:dyDescent="0.2">
      <c r="A45" t="s">
        <v>3621</v>
      </c>
      <c r="B45" t="s">
        <v>3622</v>
      </c>
      <c r="C45">
        <v>127</v>
      </c>
      <c r="D45">
        <v>192</v>
      </c>
      <c r="E45">
        <v>1.512</v>
      </c>
      <c r="F45">
        <v>74</v>
      </c>
      <c r="G45">
        <v>0.38500000000000001</v>
      </c>
      <c r="H45">
        <v>171</v>
      </c>
      <c r="I45">
        <v>0.89100000000000001</v>
      </c>
      <c r="J45">
        <v>72</v>
      </c>
      <c r="K45">
        <v>0.42099999999999999</v>
      </c>
      <c r="L45">
        <v>84</v>
      </c>
      <c r="M45">
        <v>106</v>
      </c>
      <c r="N45">
        <v>1.262</v>
      </c>
      <c r="O45">
        <v>44</v>
      </c>
      <c r="P45">
        <v>0.41499999999999998</v>
      </c>
      <c r="Q45">
        <v>106</v>
      </c>
      <c r="R45">
        <v>1</v>
      </c>
      <c r="S45">
        <v>41</v>
      </c>
      <c r="T45">
        <v>0.38700000000000001</v>
      </c>
      <c r="U45">
        <v>19</v>
      </c>
      <c r="V45">
        <v>36</v>
      </c>
      <c r="W45">
        <v>1.895</v>
      </c>
      <c r="X45">
        <v>14</v>
      </c>
      <c r="Y45">
        <v>0.38900000000000001</v>
      </c>
      <c r="Z45">
        <v>24</v>
      </c>
      <c r="AA45">
        <v>0.66700000000000004</v>
      </c>
      <c r="AB45">
        <v>13</v>
      </c>
      <c r="AC45">
        <v>0.54200000000000004</v>
      </c>
      <c r="AD45">
        <v>24</v>
      </c>
      <c r="AE45">
        <v>50</v>
      </c>
      <c r="AF45">
        <v>2.0830000000000002</v>
      </c>
      <c r="AG45">
        <v>16</v>
      </c>
      <c r="AH45">
        <v>0.32</v>
      </c>
      <c r="AI45">
        <v>41</v>
      </c>
      <c r="AJ45">
        <v>0.82</v>
      </c>
      <c r="AK45">
        <v>18</v>
      </c>
      <c r="AL45">
        <v>0.439</v>
      </c>
      <c r="AM45">
        <v>0</v>
      </c>
      <c r="AN45">
        <v>0</v>
      </c>
      <c r="AP45">
        <v>0</v>
      </c>
      <c r="AR45">
        <v>0</v>
      </c>
      <c r="AT45">
        <v>0</v>
      </c>
    </row>
    <row r="46" spans="1:47" x14ac:dyDescent="0.2">
      <c r="A46" t="s">
        <v>3624</v>
      </c>
      <c r="B46" t="s">
        <v>3625</v>
      </c>
      <c r="C46">
        <v>132</v>
      </c>
      <c r="D46">
        <v>108</v>
      </c>
      <c r="E46">
        <v>0.81799999999999995</v>
      </c>
      <c r="F46">
        <v>96</v>
      </c>
      <c r="G46">
        <v>0.88900000000000001</v>
      </c>
      <c r="H46">
        <v>102</v>
      </c>
      <c r="I46">
        <v>0.94399999999999995</v>
      </c>
      <c r="J46">
        <v>76</v>
      </c>
      <c r="K46">
        <v>0.745</v>
      </c>
      <c r="L46">
        <v>53</v>
      </c>
      <c r="M46">
        <v>42</v>
      </c>
      <c r="N46">
        <v>0.79200000000000004</v>
      </c>
      <c r="O46">
        <v>36</v>
      </c>
      <c r="P46">
        <v>0.85699999999999998</v>
      </c>
      <c r="Q46">
        <v>38</v>
      </c>
      <c r="R46">
        <v>0.90500000000000003</v>
      </c>
      <c r="S46">
        <v>27</v>
      </c>
      <c r="T46">
        <v>0.71099999999999997</v>
      </c>
      <c r="U46" t="s">
        <v>53</v>
      </c>
      <c r="V46">
        <v>32</v>
      </c>
      <c r="W46" t="s">
        <v>53</v>
      </c>
      <c r="X46">
        <v>30</v>
      </c>
      <c r="Y46">
        <v>0.93799999999999994</v>
      </c>
      <c r="Z46">
        <v>31</v>
      </c>
      <c r="AA46">
        <v>0.96899999999999997</v>
      </c>
      <c r="AB46">
        <v>28</v>
      </c>
      <c r="AC46">
        <v>0.90300000000000002</v>
      </c>
      <c r="AD46">
        <v>40</v>
      </c>
      <c r="AE46">
        <v>34</v>
      </c>
      <c r="AF46">
        <v>0.85</v>
      </c>
      <c r="AG46">
        <v>30</v>
      </c>
      <c r="AH46">
        <v>0.88200000000000001</v>
      </c>
      <c r="AI46">
        <v>33</v>
      </c>
      <c r="AJ46">
        <v>0.97099999999999997</v>
      </c>
      <c r="AK46">
        <v>21</v>
      </c>
      <c r="AL46">
        <v>0.63600000000000001</v>
      </c>
      <c r="AM46" t="s">
        <v>53</v>
      </c>
      <c r="AN46">
        <v>0</v>
      </c>
      <c r="AO46" t="s">
        <v>53</v>
      </c>
      <c r="AP46">
        <v>0</v>
      </c>
      <c r="AR46">
        <v>0</v>
      </c>
      <c r="AT46">
        <v>0</v>
      </c>
    </row>
    <row r="47" spans="1:47" x14ac:dyDescent="0.2">
      <c r="A47" t="s">
        <v>3283</v>
      </c>
      <c r="B47" t="s">
        <v>3284</v>
      </c>
      <c r="C47">
        <v>332</v>
      </c>
      <c r="D47">
        <v>521</v>
      </c>
      <c r="E47">
        <v>1.569</v>
      </c>
      <c r="F47">
        <v>388</v>
      </c>
      <c r="G47">
        <v>0.745</v>
      </c>
      <c r="H47">
        <v>474</v>
      </c>
      <c r="I47">
        <v>0.91</v>
      </c>
      <c r="J47">
        <v>306</v>
      </c>
      <c r="K47">
        <v>0.64600000000000002</v>
      </c>
      <c r="L47">
        <v>67</v>
      </c>
      <c r="M47">
        <v>63</v>
      </c>
      <c r="N47">
        <v>0.94</v>
      </c>
      <c r="O47">
        <v>51</v>
      </c>
      <c r="P47">
        <v>0.81</v>
      </c>
      <c r="Q47">
        <v>63</v>
      </c>
      <c r="R47">
        <v>1</v>
      </c>
      <c r="S47">
        <v>41</v>
      </c>
      <c r="T47">
        <v>0.65100000000000002</v>
      </c>
      <c r="U47">
        <v>121</v>
      </c>
      <c r="V47">
        <v>166</v>
      </c>
      <c r="W47">
        <v>1.3720000000000001</v>
      </c>
      <c r="X47">
        <v>143</v>
      </c>
      <c r="Y47">
        <v>0.86099999999999999</v>
      </c>
      <c r="Z47">
        <v>154</v>
      </c>
      <c r="AA47">
        <v>0.92800000000000005</v>
      </c>
      <c r="AB47">
        <v>106</v>
      </c>
      <c r="AC47">
        <v>0.68799999999999994</v>
      </c>
      <c r="AD47">
        <v>144</v>
      </c>
      <c r="AE47">
        <v>292</v>
      </c>
      <c r="AF47">
        <v>2.028</v>
      </c>
      <c r="AG47">
        <v>194</v>
      </c>
      <c r="AH47">
        <v>0.66400000000000003</v>
      </c>
      <c r="AI47">
        <v>257</v>
      </c>
      <c r="AJ47">
        <v>0.88</v>
      </c>
      <c r="AK47">
        <v>159</v>
      </c>
      <c r="AL47">
        <v>0.61899999999999999</v>
      </c>
      <c r="AM47">
        <v>0</v>
      </c>
      <c r="AN47">
        <v>0</v>
      </c>
      <c r="AP47">
        <v>0</v>
      </c>
      <c r="AR47">
        <v>0</v>
      </c>
      <c r="AT47">
        <v>0</v>
      </c>
    </row>
    <row r="48" spans="1:47" x14ac:dyDescent="0.2">
      <c r="A48" t="s">
        <v>3286</v>
      </c>
      <c r="B48" t="s">
        <v>3287</v>
      </c>
      <c r="C48">
        <v>344</v>
      </c>
      <c r="D48">
        <v>140</v>
      </c>
      <c r="E48">
        <v>0.40699999999999997</v>
      </c>
      <c r="F48">
        <v>117</v>
      </c>
      <c r="G48">
        <v>0.83599999999999997</v>
      </c>
      <c r="H48">
        <v>127</v>
      </c>
      <c r="I48">
        <v>0.90700000000000003</v>
      </c>
      <c r="J48">
        <v>88</v>
      </c>
      <c r="K48">
        <v>0.69299999999999995</v>
      </c>
      <c r="L48">
        <v>80</v>
      </c>
      <c r="M48">
        <v>6</v>
      </c>
      <c r="N48">
        <v>7.4999999999999997E-2</v>
      </c>
      <c r="O48" t="s">
        <v>53</v>
      </c>
      <c r="P48" t="s">
        <v>53</v>
      </c>
      <c r="Q48">
        <v>6</v>
      </c>
      <c r="R48">
        <v>1</v>
      </c>
      <c r="S48" t="s">
        <v>53</v>
      </c>
      <c r="T48" t="s">
        <v>53</v>
      </c>
      <c r="U48">
        <v>123</v>
      </c>
      <c r="V48">
        <v>58</v>
      </c>
      <c r="W48">
        <v>0.47199999999999998</v>
      </c>
      <c r="X48" t="s">
        <v>53</v>
      </c>
      <c r="Y48" t="s">
        <v>53</v>
      </c>
      <c r="Z48">
        <v>52</v>
      </c>
      <c r="AA48">
        <v>0.89700000000000002</v>
      </c>
      <c r="AB48" t="s">
        <v>53</v>
      </c>
      <c r="AC48" t="s">
        <v>53</v>
      </c>
      <c r="AD48">
        <v>141</v>
      </c>
      <c r="AE48">
        <v>76</v>
      </c>
      <c r="AF48">
        <v>0.53900000000000003</v>
      </c>
      <c r="AG48">
        <v>62</v>
      </c>
      <c r="AH48">
        <v>0.81599999999999995</v>
      </c>
      <c r="AI48">
        <v>69</v>
      </c>
      <c r="AJ48">
        <v>0.90800000000000003</v>
      </c>
      <c r="AK48">
        <v>45</v>
      </c>
      <c r="AL48">
        <v>0.65200000000000002</v>
      </c>
      <c r="AM48">
        <v>0</v>
      </c>
      <c r="AN48">
        <v>0</v>
      </c>
      <c r="AP48">
        <v>0</v>
      </c>
      <c r="AR48">
        <v>0</v>
      </c>
      <c r="AT48">
        <v>0</v>
      </c>
    </row>
    <row r="49" spans="1:47" x14ac:dyDescent="0.2">
      <c r="A49" t="s">
        <v>3289</v>
      </c>
      <c r="B49" t="s">
        <v>3290</v>
      </c>
      <c r="C49">
        <v>87</v>
      </c>
      <c r="D49">
        <v>111</v>
      </c>
      <c r="E49">
        <v>1.276</v>
      </c>
      <c r="F49">
        <v>64</v>
      </c>
      <c r="G49">
        <v>0.57699999999999996</v>
      </c>
      <c r="H49">
        <v>111</v>
      </c>
      <c r="I49">
        <v>1</v>
      </c>
      <c r="J49">
        <v>57</v>
      </c>
      <c r="K49">
        <v>0.51400000000000001</v>
      </c>
      <c r="L49">
        <v>37</v>
      </c>
      <c r="M49">
        <v>35</v>
      </c>
      <c r="N49">
        <v>0.94599999999999995</v>
      </c>
      <c r="O49">
        <v>25</v>
      </c>
      <c r="P49">
        <v>0.71399999999999997</v>
      </c>
      <c r="Q49">
        <v>35</v>
      </c>
      <c r="R49">
        <v>1</v>
      </c>
      <c r="S49">
        <v>12</v>
      </c>
      <c r="T49">
        <v>0.34300000000000003</v>
      </c>
      <c r="U49">
        <v>21</v>
      </c>
      <c r="V49">
        <v>24</v>
      </c>
      <c r="W49">
        <v>1.143</v>
      </c>
      <c r="X49">
        <v>16</v>
      </c>
      <c r="Y49">
        <v>0.66700000000000004</v>
      </c>
      <c r="Z49">
        <v>24</v>
      </c>
      <c r="AA49">
        <v>1</v>
      </c>
      <c r="AB49">
        <v>14</v>
      </c>
      <c r="AC49">
        <v>0.58299999999999996</v>
      </c>
      <c r="AD49">
        <v>29</v>
      </c>
      <c r="AE49">
        <v>52</v>
      </c>
      <c r="AF49">
        <v>1.7929999999999999</v>
      </c>
      <c r="AG49">
        <v>23</v>
      </c>
      <c r="AH49">
        <v>0.442</v>
      </c>
      <c r="AI49">
        <v>52</v>
      </c>
      <c r="AJ49">
        <v>1</v>
      </c>
      <c r="AK49">
        <v>31</v>
      </c>
      <c r="AL49">
        <v>0.59599999999999997</v>
      </c>
      <c r="AM49">
        <v>0</v>
      </c>
      <c r="AN49">
        <v>0</v>
      </c>
      <c r="AP49">
        <v>0</v>
      </c>
      <c r="AR49">
        <v>0</v>
      </c>
      <c r="AT49">
        <v>0</v>
      </c>
    </row>
    <row r="50" spans="1:47" x14ac:dyDescent="0.2">
      <c r="A50" t="s">
        <v>4776</v>
      </c>
      <c r="B50" t="s">
        <v>4777</v>
      </c>
      <c r="C50">
        <v>29</v>
      </c>
      <c r="D50">
        <v>38</v>
      </c>
      <c r="E50">
        <v>1.31</v>
      </c>
      <c r="F50">
        <v>17</v>
      </c>
      <c r="G50">
        <v>0.44700000000000001</v>
      </c>
      <c r="H50">
        <v>30</v>
      </c>
      <c r="I50">
        <v>0.78900000000000003</v>
      </c>
      <c r="J50">
        <v>21</v>
      </c>
      <c r="K50">
        <v>0.7</v>
      </c>
      <c r="L50">
        <v>6</v>
      </c>
      <c r="M50">
        <v>0</v>
      </c>
      <c r="N50">
        <v>0</v>
      </c>
      <c r="O50">
        <v>0</v>
      </c>
      <c r="Q50">
        <v>0</v>
      </c>
      <c r="S50">
        <v>0</v>
      </c>
      <c r="U50">
        <v>8</v>
      </c>
      <c r="V50">
        <v>10</v>
      </c>
      <c r="W50">
        <v>1.25</v>
      </c>
      <c r="X50">
        <v>7</v>
      </c>
      <c r="Y50">
        <v>0.7</v>
      </c>
      <c r="Z50">
        <v>8</v>
      </c>
      <c r="AA50">
        <v>0.8</v>
      </c>
      <c r="AB50">
        <v>7</v>
      </c>
      <c r="AC50">
        <v>0.875</v>
      </c>
      <c r="AD50">
        <v>15</v>
      </c>
      <c r="AE50">
        <v>28</v>
      </c>
      <c r="AF50">
        <v>1.867</v>
      </c>
      <c r="AG50">
        <v>10</v>
      </c>
      <c r="AH50">
        <v>0.35699999999999998</v>
      </c>
      <c r="AI50">
        <v>22</v>
      </c>
      <c r="AJ50">
        <v>0.78600000000000003</v>
      </c>
      <c r="AK50">
        <v>14</v>
      </c>
      <c r="AL50">
        <v>0.63600000000000001</v>
      </c>
      <c r="AM50">
        <v>0</v>
      </c>
      <c r="AN50">
        <v>0</v>
      </c>
      <c r="AP50">
        <v>0</v>
      </c>
      <c r="AR50">
        <v>0</v>
      </c>
      <c r="AT50">
        <v>0</v>
      </c>
    </row>
    <row r="51" spans="1:47" x14ac:dyDescent="0.2">
      <c r="A51" t="s">
        <v>3292</v>
      </c>
      <c r="B51" t="s">
        <v>3293</v>
      </c>
      <c r="C51">
        <v>388</v>
      </c>
      <c r="D51">
        <v>320</v>
      </c>
      <c r="E51">
        <v>0.82499999999999996</v>
      </c>
      <c r="F51">
        <v>244</v>
      </c>
      <c r="G51">
        <v>0.76300000000000001</v>
      </c>
      <c r="H51">
        <v>288</v>
      </c>
      <c r="I51">
        <v>0.9</v>
      </c>
      <c r="J51">
        <v>192</v>
      </c>
      <c r="K51">
        <v>0.66700000000000004</v>
      </c>
      <c r="L51">
        <v>145</v>
      </c>
      <c r="M51">
        <v>89</v>
      </c>
      <c r="N51">
        <v>0.61399999999999999</v>
      </c>
      <c r="O51">
        <v>63</v>
      </c>
      <c r="P51">
        <v>0.70799999999999996</v>
      </c>
      <c r="Q51">
        <v>89</v>
      </c>
      <c r="R51">
        <v>1</v>
      </c>
      <c r="S51">
        <v>50</v>
      </c>
      <c r="T51">
        <v>0.56200000000000006</v>
      </c>
      <c r="U51">
        <v>150</v>
      </c>
      <c r="V51">
        <v>127</v>
      </c>
      <c r="W51">
        <v>0.84699999999999998</v>
      </c>
      <c r="X51">
        <v>112</v>
      </c>
      <c r="Y51">
        <v>0.88200000000000001</v>
      </c>
      <c r="Z51">
        <v>109</v>
      </c>
      <c r="AA51">
        <v>0.85799999999999998</v>
      </c>
      <c r="AB51">
        <v>82</v>
      </c>
      <c r="AC51">
        <v>0.752</v>
      </c>
      <c r="AD51">
        <v>93</v>
      </c>
      <c r="AE51">
        <v>104</v>
      </c>
      <c r="AF51">
        <v>1.1180000000000001</v>
      </c>
      <c r="AG51">
        <v>69</v>
      </c>
      <c r="AH51">
        <v>0.66300000000000003</v>
      </c>
      <c r="AI51">
        <v>90</v>
      </c>
      <c r="AJ51">
        <v>0.86499999999999999</v>
      </c>
      <c r="AK51">
        <v>60</v>
      </c>
      <c r="AL51">
        <v>0.66700000000000004</v>
      </c>
      <c r="AM51">
        <v>0</v>
      </c>
      <c r="AN51">
        <v>0</v>
      </c>
      <c r="AP51">
        <v>0</v>
      </c>
      <c r="AR51">
        <v>0</v>
      </c>
      <c r="AT51">
        <v>0</v>
      </c>
    </row>
    <row r="52" spans="1:47" x14ac:dyDescent="0.2">
      <c r="A52" t="s">
        <v>3295</v>
      </c>
      <c r="B52" t="s">
        <v>3296</v>
      </c>
      <c r="C52">
        <v>121</v>
      </c>
      <c r="D52">
        <v>216</v>
      </c>
      <c r="E52">
        <v>1.7849999999999999</v>
      </c>
      <c r="F52">
        <v>185</v>
      </c>
      <c r="G52">
        <v>0.85599999999999998</v>
      </c>
      <c r="H52">
        <v>212</v>
      </c>
      <c r="I52">
        <v>0.98099999999999998</v>
      </c>
      <c r="J52">
        <v>153</v>
      </c>
      <c r="K52">
        <v>0.72199999999999998</v>
      </c>
      <c r="L52">
        <v>42</v>
      </c>
      <c r="M52" t="s">
        <v>53</v>
      </c>
      <c r="N52" t="s">
        <v>53</v>
      </c>
      <c r="O52" t="s">
        <v>53</v>
      </c>
      <c r="P52" t="s">
        <v>53</v>
      </c>
      <c r="Q52" t="s">
        <v>53</v>
      </c>
      <c r="R52" t="s">
        <v>53</v>
      </c>
      <c r="S52">
        <v>17</v>
      </c>
      <c r="T52" t="s">
        <v>53</v>
      </c>
      <c r="U52">
        <v>28</v>
      </c>
      <c r="V52">
        <v>62</v>
      </c>
      <c r="W52">
        <v>2.214</v>
      </c>
      <c r="X52">
        <v>59</v>
      </c>
      <c r="Y52">
        <v>0.95199999999999996</v>
      </c>
      <c r="Z52">
        <v>62</v>
      </c>
      <c r="AA52">
        <v>1</v>
      </c>
      <c r="AB52">
        <v>47</v>
      </c>
      <c r="AC52">
        <v>0.75800000000000001</v>
      </c>
      <c r="AD52">
        <v>51</v>
      </c>
      <c r="AE52">
        <v>120</v>
      </c>
      <c r="AF52">
        <v>2.3530000000000002</v>
      </c>
      <c r="AG52">
        <v>96</v>
      </c>
      <c r="AH52">
        <v>0.8</v>
      </c>
      <c r="AI52">
        <v>116</v>
      </c>
      <c r="AJ52">
        <v>0.96699999999999997</v>
      </c>
      <c r="AK52">
        <v>89</v>
      </c>
      <c r="AL52">
        <v>0.76700000000000002</v>
      </c>
      <c r="AM52">
        <v>0</v>
      </c>
      <c r="AN52" t="s">
        <v>53</v>
      </c>
      <c r="AO52" t="s">
        <v>53</v>
      </c>
      <c r="AP52" t="s">
        <v>53</v>
      </c>
      <c r="AQ52" t="s">
        <v>53</v>
      </c>
      <c r="AR52" t="s">
        <v>53</v>
      </c>
      <c r="AS52" t="s">
        <v>53</v>
      </c>
      <c r="AT52">
        <v>0</v>
      </c>
      <c r="AU52" t="s">
        <v>53</v>
      </c>
    </row>
    <row r="53" spans="1:47" x14ac:dyDescent="0.2">
      <c r="A53" t="s">
        <v>3298</v>
      </c>
      <c r="B53" t="s">
        <v>3299</v>
      </c>
      <c r="C53">
        <v>380</v>
      </c>
      <c r="D53">
        <v>438</v>
      </c>
      <c r="E53">
        <v>1.153</v>
      </c>
      <c r="F53">
        <v>355</v>
      </c>
      <c r="G53">
        <v>0.81100000000000005</v>
      </c>
      <c r="H53">
        <v>408</v>
      </c>
      <c r="I53">
        <v>0.93200000000000005</v>
      </c>
      <c r="J53">
        <v>309</v>
      </c>
      <c r="K53">
        <v>0.75700000000000001</v>
      </c>
      <c r="L53">
        <v>67</v>
      </c>
      <c r="M53">
        <v>77</v>
      </c>
      <c r="N53">
        <v>1.149</v>
      </c>
      <c r="O53">
        <v>57</v>
      </c>
      <c r="P53">
        <v>0.74</v>
      </c>
      <c r="Q53">
        <v>77</v>
      </c>
      <c r="R53">
        <v>1</v>
      </c>
      <c r="S53">
        <v>51</v>
      </c>
      <c r="T53">
        <v>0.66200000000000003</v>
      </c>
      <c r="U53">
        <v>171</v>
      </c>
      <c r="V53">
        <v>176</v>
      </c>
      <c r="W53">
        <v>1.0289999999999999</v>
      </c>
      <c r="X53">
        <v>168</v>
      </c>
      <c r="Y53">
        <v>0.95499999999999996</v>
      </c>
      <c r="Z53">
        <v>169</v>
      </c>
      <c r="AA53">
        <v>0.96</v>
      </c>
      <c r="AB53">
        <v>128</v>
      </c>
      <c r="AC53">
        <v>0.75700000000000001</v>
      </c>
      <c r="AD53">
        <v>142</v>
      </c>
      <c r="AE53">
        <v>185</v>
      </c>
      <c r="AF53">
        <v>1.3029999999999999</v>
      </c>
      <c r="AG53">
        <v>130</v>
      </c>
      <c r="AH53">
        <v>0.70299999999999996</v>
      </c>
      <c r="AI53">
        <v>162</v>
      </c>
      <c r="AJ53">
        <v>0.876</v>
      </c>
      <c r="AK53">
        <v>130</v>
      </c>
      <c r="AL53">
        <v>0.80200000000000005</v>
      </c>
      <c r="AM53">
        <v>0</v>
      </c>
      <c r="AN53">
        <v>0</v>
      </c>
      <c r="AP53">
        <v>0</v>
      </c>
      <c r="AR53">
        <v>0</v>
      </c>
      <c r="AT53">
        <v>0</v>
      </c>
    </row>
    <row r="54" spans="1:47" x14ac:dyDescent="0.2">
      <c r="A54" t="s">
        <v>3301</v>
      </c>
      <c r="B54" t="s">
        <v>3302</v>
      </c>
      <c r="C54">
        <v>206</v>
      </c>
      <c r="D54">
        <v>192</v>
      </c>
      <c r="E54">
        <v>0.93200000000000005</v>
      </c>
      <c r="F54">
        <v>154</v>
      </c>
      <c r="G54">
        <v>0.80200000000000005</v>
      </c>
      <c r="H54">
        <v>184</v>
      </c>
      <c r="I54">
        <v>0.95799999999999996</v>
      </c>
      <c r="J54">
        <v>130</v>
      </c>
      <c r="K54">
        <v>0.70699999999999996</v>
      </c>
      <c r="L54">
        <v>93</v>
      </c>
      <c r="M54">
        <v>60</v>
      </c>
      <c r="N54">
        <v>0.64500000000000002</v>
      </c>
      <c r="O54">
        <v>53</v>
      </c>
      <c r="P54">
        <v>0.88300000000000001</v>
      </c>
      <c r="Q54">
        <v>60</v>
      </c>
      <c r="R54">
        <v>1</v>
      </c>
      <c r="S54">
        <v>42</v>
      </c>
      <c r="T54">
        <v>0.7</v>
      </c>
      <c r="U54">
        <v>57</v>
      </c>
      <c r="V54">
        <v>58</v>
      </c>
      <c r="W54">
        <v>1.018</v>
      </c>
      <c r="X54">
        <v>49</v>
      </c>
      <c r="Y54">
        <v>0.84499999999999997</v>
      </c>
      <c r="Z54">
        <v>54</v>
      </c>
      <c r="AA54">
        <v>0.93100000000000005</v>
      </c>
      <c r="AB54">
        <v>43</v>
      </c>
      <c r="AC54">
        <v>0.79600000000000004</v>
      </c>
      <c r="AD54">
        <v>56</v>
      </c>
      <c r="AE54">
        <v>74</v>
      </c>
      <c r="AF54">
        <v>1.321</v>
      </c>
      <c r="AG54">
        <v>52</v>
      </c>
      <c r="AH54">
        <v>0.70299999999999996</v>
      </c>
      <c r="AI54">
        <v>70</v>
      </c>
      <c r="AJ54">
        <v>0.94599999999999995</v>
      </c>
      <c r="AK54">
        <v>45</v>
      </c>
      <c r="AL54">
        <v>0.64300000000000002</v>
      </c>
      <c r="AM54">
        <v>0</v>
      </c>
      <c r="AN54">
        <v>0</v>
      </c>
      <c r="AP54">
        <v>0</v>
      </c>
      <c r="AR54">
        <v>0</v>
      </c>
      <c r="AT54">
        <v>0</v>
      </c>
    </row>
    <row r="55" spans="1:47" x14ac:dyDescent="0.2">
      <c r="A55" t="s">
        <v>4318</v>
      </c>
      <c r="B55" t="s">
        <v>4319</v>
      </c>
      <c r="C55">
        <v>134</v>
      </c>
      <c r="D55">
        <v>95</v>
      </c>
      <c r="E55">
        <v>0.70899999999999996</v>
      </c>
      <c r="F55">
        <v>78</v>
      </c>
      <c r="G55">
        <v>0.82099999999999995</v>
      </c>
      <c r="H55">
        <v>90</v>
      </c>
      <c r="I55">
        <v>0.94699999999999995</v>
      </c>
      <c r="J55">
        <v>66</v>
      </c>
      <c r="K55">
        <v>0.73299999999999998</v>
      </c>
      <c r="L55">
        <v>12</v>
      </c>
      <c r="M55">
        <v>6</v>
      </c>
      <c r="N55">
        <v>0.5</v>
      </c>
      <c r="O55" t="s">
        <v>53</v>
      </c>
      <c r="P55" t="s">
        <v>53</v>
      </c>
      <c r="Q55">
        <v>6</v>
      </c>
      <c r="R55">
        <v>1</v>
      </c>
      <c r="S55" t="s">
        <v>53</v>
      </c>
      <c r="T55" t="s">
        <v>53</v>
      </c>
      <c r="U55">
        <v>70</v>
      </c>
      <c r="V55">
        <v>52</v>
      </c>
      <c r="W55">
        <v>0.74299999999999999</v>
      </c>
      <c r="X55">
        <v>45</v>
      </c>
      <c r="Y55">
        <v>0.86499999999999999</v>
      </c>
      <c r="Z55">
        <v>49</v>
      </c>
      <c r="AA55">
        <v>0.94199999999999995</v>
      </c>
      <c r="AB55">
        <v>38</v>
      </c>
      <c r="AC55">
        <v>0.77600000000000002</v>
      </c>
      <c r="AD55">
        <v>45</v>
      </c>
      <c r="AE55">
        <v>37</v>
      </c>
      <c r="AF55">
        <v>0.82199999999999995</v>
      </c>
      <c r="AG55" t="s">
        <v>53</v>
      </c>
      <c r="AH55" t="s">
        <v>53</v>
      </c>
      <c r="AI55">
        <v>35</v>
      </c>
      <c r="AJ55">
        <v>0.94599999999999995</v>
      </c>
      <c r="AK55" t="s">
        <v>53</v>
      </c>
      <c r="AL55" t="s">
        <v>53</v>
      </c>
      <c r="AM55">
        <v>7</v>
      </c>
      <c r="AN55">
        <v>0</v>
      </c>
      <c r="AO55">
        <v>0</v>
      </c>
      <c r="AP55">
        <v>0</v>
      </c>
      <c r="AR55">
        <v>0</v>
      </c>
      <c r="AT55">
        <v>0</v>
      </c>
    </row>
    <row r="56" spans="1:47" x14ac:dyDescent="0.2">
      <c r="A56" t="s">
        <v>4327</v>
      </c>
      <c r="B56" t="s">
        <v>4328</v>
      </c>
      <c r="C56">
        <v>20</v>
      </c>
      <c r="D56">
        <v>32</v>
      </c>
      <c r="E56">
        <v>1.6</v>
      </c>
      <c r="F56">
        <v>17</v>
      </c>
      <c r="G56">
        <v>0.53100000000000003</v>
      </c>
      <c r="H56">
        <v>19</v>
      </c>
      <c r="I56">
        <v>0.59399999999999997</v>
      </c>
      <c r="J56">
        <v>14</v>
      </c>
      <c r="K56">
        <v>0.73699999999999999</v>
      </c>
      <c r="L56">
        <v>0</v>
      </c>
      <c r="M56">
        <v>0</v>
      </c>
      <c r="O56">
        <v>0</v>
      </c>
      <c r="Q56">
        <v>0</v>
      </c>
      <c r="S56">
        <v>0</v>
      </c>
      <c r="U56">
        <v>7</v>
      </c>
      <c r="V56">
        <v>13</v>
      </c>
      <c r="W56">
        <v>1.857</v>
      </c>
      <c r="X56" t="s">
        <v>53</v>
      </c>
      <c r="Y56" t="s">
        <v>53</v>
      </c>
      <c r="Z56">
        <v>6</v>
      </c>
      <c r="AA56">
        <v>0.46200000000000002</v>
      </c>
      <c r="AB56" t="s">
        <v>53</v>
      </c>
      <c r="AC56" t="s">
        <v>53</v>
      </c>
      <c r="AD56">
        <v>13</v>
      </c>
      <c r="AE56">
        <v>19</v>
      </c>
      <c r="AF56">
        <v>1.462</v>
      </c>
      <c r="AG56" t="s">
        <v>53</v>
      </c>
      <c r="AH56" t="s">
        <v>53</v>
      </c>
      <c r="AI56">
        <v>13</v>
      </c>
      <c r="AJ56">
        <v>0.68400000000000005</v>
      </c>
      <c r="AK56" t="s">
        <v>53</v>
      </c>
      <c r="AL56" t="s">
        <v>53</v>
      </c>
      <c r="AM56">
        <v>0</v>
      </c>
      <c r="AN56">
        <v>0</v>
      </c>
      <c r="AP56">
        <v>0</v>
      </c>
      <c r="AR56">
        <v>0</v>
      </c>
      <c r="AT56">
        <v>0</v>
      </c>
    </row>
    <row r="57" spans="1:47" x14ac:dyDescent="0.2">
      <c r="A57" t="s">
        <v>3304</v>
      </c>
      <c r="B57" t="s">
        <v>3305</v>
      </c>
      <c r="C57">
        <v>154</v>
      </c>
      <c r="D57">
        <v>187</v>
      </c>
      <c r="E57">
        <v>1.214</v>
      </c>
      <c r="F57">
        <v>133</v>
      </c>
      <c r="G57">
        <v>0.71099999999999997</v>
      </c>
      <c r="H57">
        <v>177</v>
      </c>
      <c r="I57">
        <v>0.94699999999999995</v>
      </c>
      <c r="J57">
        <v>105</v>
      </c>
      <c r="K57">
        <v>0.59299999999999997</v>
      </c>
      <c r="L57">
        <v>79</v>
      </c>
      <c r="M57">
        <v>91</v>
      </c>
      <c r="N57">
        <v>1.1519999999999999</v>
      </c>
      <c r="O57">
        <v>57</v>
      </c>
      <c r="P57">
        <v>0.626</v>
      </c>
      <c r="Q57">
        <v>90</v>
      </c>
      <c r="R57">
        <v>0.98899999999999999</v>
      </c>
      <c r="S57">
        <v>48</v>
      </c>
      <c r="T57">
        <v>0.53300000000000003</v>
      </c>
      <c r="U57">
        <v>34</v>
      </c>
      <c r="V57">
        <v>39</v>
      </c>
      <c r="W57">
        <v>1.147</v>
      </c>
      <c r="X57">
        <v>32</v>
      </c>
      <c r="Y57">
        <v>0.82099999999999995</v>
      </c>
      <c r="Z57">
        <v>36</v>
      </c>
      <c r="AA57">
        <v>0.92300000000000004</v>
      </c>
      <c r="AB57">
        <v>20</v>
      </c>
      <c r="AC57">
        <v>0.55600000000000005</v>
      </c>
      <c r="AD57">
        <v>41</v>
      </c>
      <c r="AE57">
        <v>57</v>
      </c>
      <c r="AF57">
        <v>1.39</v>
      </c>
      <c r="AG57">
        <v>44</v>
      </c>
      <c r="AH57">
        <v>0.77200000000000002</v>
      </c>
      <c r="AI57">
        <v>51</v>
      </c>
      <c r="AJ57">
        <v>0.89500000000000002</v>
      </c>
      <c r="AK57">
        <v>37</v>
      </c>
      <c r="AL57">
        <v>0.72499999999999998</v>
      </c>
      <c r="AM57">
        <v>0</v>
      </c>
      <c r="AN57">
        <v>0</v>
      </c>
      <c r="AP57">
        <v>0</v>
      </c>
      <c r="AR57">
        <v>0</v>
      </c>
      <c r="AT57">
        <v>0</v>
      </c>
    </row>
    <row r="58" spans="1:47" x14ac:dyDescent="0.2">
      <c r="A58" t="s">
        <v>3307</v>
      </c>
      <c r="B58" t="s">
        <v>3308</v>
      </c>
      <c r="C58">
        <v>239</v>
      </c>
      <c r="D58">
        <v>174</v>
      </c>
      <c r="E58">
        <v>0.72799999999999998</v>
      </c>
      <c r="F58">
        <v>145</v>
      </c>
      <c r="G58">
        <v>0.83299999999999996</v>
      </c>
      <c r="H58">
        <v>169</v>
      </c>
      <c r="I58">
        <v>0.97099999999999997</v>
      </c>
      <c r="J58">
        <v>122</v>
      </c>
      <c r="K58">
        <v>0.72199999999999998</v>
      </c>
      <c r="L58">
        <v>119</v>
      </c>
      <c r="M58">
        <v>80</v>
      </c>
      <c r="N58">
        <v>0.67200000000000004</v>
      </c>
      <c r="O58">
        <v>58</v>
      </c>
      <c r="P58">
        <v>0.72499999999999998</v>
      </c>
      <c r="Q58">
        <v>80</v>
      </c>
      <c r="R58">
        <v>1</v>
      </c>
      <c r="S58">
        <v>51</v>
      </c>
      <c r="T58">
        <v>0.63800000000000001</v>
      </c>
      <c r="U58">
        <v>52</v>
      </c>
      <c r="V58" t="s">
        <v>53</v>
      </c>
      <c r="W58" t="s">
        <v>53</v>
      </c>
      <c r="X58" t="s">
        <v>53</v>
      </c>
      <c r="Y58" t="s">
        <v>53</v>
      </c>
      <c r="Z58" t="s">
        <v>53</v>
      </c>
      <c r="AA58" t="s">
        <v>53</v>
      </c>
      <c r="AB58">
        <v>37</v>
      </c>
      <c r="AC58" t="s">
        <v>53</v>
      </c>
      <c r="AD58">
        <v>47</v>
      </c>
      <c r="AE58">
        <v>46</v>
      </c>
      <c r="AF58">
        <v>0.97899999999999998</v>
      </c>
      <c r="AG58">
        <v>43</v>
      </c>
      <c r="AH58">
        <v>0.93500000000000005</v>
      </c>
      <c r="AI58">
        <v>44</v>
      </c>
      <c r="AJ58">
        <v>0.95699999999999996</v>
      </c>
      <c r="AK58" t="s">
        <v>53</v>
      </c>
      <c r="AL58" t="s">
        <v>53</v>
      </c>
      <c r="AM58">
        <v>21</v>
      </c>
      <c r="AN58" t="s">
        <v>53</v>
      </c>
      <c r="AO58" t="s">
        <v>53</v>
      </c>
      <c r="AP58" t="s">
        <v>53</v>
      </c>
      <c r="AQ58" t="s">
        <v>53</v>
      </c>
      <c r="AR58" t="s">
        <v>53</v>
      </c>
      <c r="AS58" t="s">
        <v>53</v>
      </c>
      <c r="AT58" t="s">
        <v>53</v>
      </c>
      <c r="AU58" t="s">
        <v>53</v>
      </c>
    </row>
    <row r="59" spans="1:47" x14ac:dyDescent="0.2">
      <c r="A59" t="s">
        <v>3310</v>
      </c>
      <c r="B59" t="s">
        <v>3311</v>
      </c>
      <c r="C59">
        <v>415</v>
      </c>
      <c r="D59">
        <v>254</v>
      </c>
      <c r="E59">
        <v>0.61199999999999999</v>
      </c>
      <c r="F59">
        <v>186</v>
      </c>
      <c r="G59">
        <v>0.73199999999999998</v>
      </c>
      <c r="H59">
        <v>235</v>
      </c>
      <c r="I59">
        <v>0.92500000000000004</v>
      </c>
      <c r="J59">
        <v>158</v>
      </c>
      <c r="K59">
        <v>0.67200000000000004</v>
      </c>
      <c r="L59">
        <v>181</v>
      </c>
      <c r="M59">
        <v>56</v>
      </c>
      <c r="N59">
        <v>0.309</v>
      </c>
      <c r="O59">
        <v>45</v>
      </c>
      <c r="P59">
        <v>0.80400000000000005</v>
      </c>
      <c r="Q59">
        <v>55</v>
      </c>
      <c r="R59">
        <v>0.98199999999999998</v>
      </c>
      <c r="S59">
        <v>38</v>
      </c>
      <c r="T59">
        <v>0.69099999999999995</v>
      </c>
      <c r="U59">
        <v>104</v>
      </c>
      <c r="V59">
        <v>72</v>
      </c>
      <c r="W59">
        <v>0.69199999999999995</v>
      </c>
      <c r="X59">
        <v>63</v>
      </c>
      <c r="Y59">
        <v>0.875</v>
      </c>
      <c r="Z59">
        <v>66</v>
      </c>
      <c r="AA59">
        <v>0.91700000000000004</v>
      </c>
      <c r="AB59">
        <v>47</v>
      </c>
      <c r="AC59">
        <v>0.71199999999999997</v>
      </c>
      <c r="AD59">
        <v>130</v>
      </c>
      <c r="AE59">
        <v>126</v>
      </c>
      <c r="AF59">
        <v>0.96899999999999997</v>
      </c>
      <c r="AG59">
        <v>78</v>
      </c>
      <c r="AH59">
        <v>0.61899999999999999</v>
      </c>
      <c r="AI59">
        <v>114</v>
      </c>
      <c r="AJ59">
        <v>0.90500000000000003</v>
      </c>
      <c r="AK59">
        <v>73</v>
      </c>
      <c r="AL59">
        <v>0.64</v>
      </c>
      <c r="AM59">
        <v>0</v>
      </c>
      <c r="AN59">
        <v>0</v>
      </c>
      <c r="AP59">
        <v>0</v>
      </c>
      <c r="AR59">
        <v>0</v>
      </c>
      <c r="AT59">
        <v>0</v>
      </c>
    </row>
    <row r="60" spans="1:47" x14ac:dyDescent="0.2">
      <c r="A60" t="s">
        <v>3313</v>
      </c>
      <c r="B60" t="s">
        <v>3314</v>
      </c>
      <c r="C60">
        <v>277</v>
      </c>
      <c r="D60">
        <v>193</v>
      </c>
      <c r="E60">
        <v>0.69699999999999995</v>
      </c>
      <c r="F60">
        <v>153</v>
      </c>
      <c r="G60">
        <v>0.79300000000000004</v>
      </c>
      <c r="H60">
        <v>180</v>
      </c>
      <c r="I60">
        <v>0.93300000000000005</v>
      </c>
      <c r="J60">
        <v>132</v>
      </c>
      <c r="K60">
        <v>0.73299999999999998</v>
      </c>
      <c r="L60">
        <v>38</v>
      </c>
      <c r="M60">
        <v>23</v>
      </c>
      <c r="N60">
        <v>0.60499999999999998</v>
      </c>
      <c r="O60">
        <v>20</v>
      </c>
      <c r="P60">
        <v>0.87</v>
      </c>
      <c r="Q60">
        <v>22</v>
      </c>
      <c r="R60">
        <v>0.95699999999999996</v>
      </c>
      <c r="S60">
        <v>16</v>
      </c>
      <c r="T60">
        <v>0.72699999999999998</v>
      </c>
      <c r="U60">
        <v>127</v>
      </c>
      <c r="V60">
        <v>85</v>
      </c>
      <c r="W60">
        <v>0.66900000000000004</v>
      </c>
      <c r="X60">
        <v>71</v>
      </c>
      <c r="Y60">
        <v>0.83499999999999996</v>
      </c>
      <c r="Z60">
        <v>79</v>
      </c>
      <c r="AA60">
        <v>0.92900000000000005</v>
      </c>
      <c r="AB60">
        <v>63</v>
      </c>
      <c r="AC60">
        <v>0.79700000000000004</v>
      </c>
      <c r="AD60">
        <v>112</v>
      </c>
      <c r="AE60">
        <v>85</v>
      </c>
      <c r="AF60">
        <v>0.75900000000000001</v>
      </c>
      <c r="AG60">
        <v>62</v>
      </c>
      <c r="AH60">
        <v>0.72899999999999998</v>
      </c>
      <c r="AI60">
        <v>79</v>
      </c>
      <c r="AJ60">
        <v>0.92900000000000005</v>
      </c>
      <c r="AK60">
        <v>53</v>
      </c>
      <c r="AL60">
        <v>0.67100000000000004</v>
      </c>
      <c r="AM60">
        <v>0</v>
      </c>
      <c r="AN60">
        <v>0</v>
      </c>
      <c r="AP60">
        <v>0</v>
      </c>
      <c r="AR60">
        <v>0</v>
      </c>
      <c r="AT60">
        <v>0</v>
      </c>
    </row>
    <row r="61" spans="1:47" x14ac:dyDescent="0.2">
      <c r="A61" t="s">
        <v>3316</v>
      </c>
      <c r="B61" t="s">
        <v>3317</v>
      </c>
      <c r="C61">
        <v>522</v>
      </c>
      <c r="D61">
        <v>183</v>
      </c>
      <c r="E61">
        <v>0.35099999999999998</v>
      </c>
      <c r="F61">
        <v>149</v>
      </c>
      <c r="G61">
        <v>0.81399999999999995</v>
      </c>
      <c r="H61">
        <v>180</v>
      </c>
      <c r="I61">
        <v>0.98399999999999999</v>
      </c>
      <c r="J61">
        <v>132</v>
      </c>
      <c r="K61">
        <v>0.73299999999999998</v>
      </c>
      <c r="L61">
        <v>213</v>
      </c>
      <c r="M61">
        <v>45</v>
      </c>
      <c r="N61">
        <v>0.21099999999999999</v>
      </c>
      <c r="O61">
        <v>31</v>
      </c>
      <c r="P61">
        <v>0.68899999999999995</v>
      </c>
      <c r="Q61">
        <v>45</v>
      </c>
      <c r="R61">
        <v>1</v>
      </c>
      <c r="S61">
        <v>32</v>
      </c>
      <c r="T61">
        <v>0.71099999999999997</v>
      </c>
      <c r="U61">
        <v>167</v>
      </c>
      <c r="V61">
        <v>63</v>
      </c>
      <c r="W61">
        <v>0.377</v>
      </c>
      <c r="X61">
        <v>54</v>
      </c>
      <c r="Y61">
        <v>0.85699999999999998</v>
      </c>
      <c r="Z61">
        <v>61</v>
      </c>
      <c r="AA61">
        <v>0.96799999999999997</v>
      </c>
      <c r="AB61">
        <v>46</v>
      </c>
      <c r="AC61">
        <v>0.754</v>
      </c>
      <c r="AD61">
        <v>142</v>
      </c>
      <c r="AE61">
        <v>75</v>
      </c>
      <c r="AF61">
        <v>0.52800000000000002</v>
      </c>
      <c r="AG61">
        <v>64</v>
      </c>
      <c r="AH61">
        <v>0.85299999999999998</v>
      </c>
      <c r="AI61">
        <v>74</v>
      </c>
      <c r="AJ61">
        <v>0.98699999999999999</v>
      </c>
      <c r="AK61">
        <v>54</v>
      </c>
      <c r="AL61">
        <v>0.73</v>
      </c>
      <c r="AM61">
        <v>0</v>
      </c>
      <c r="AN61">
        <v>0</v>
      </c>
      <c r="AP61">
        <v>0</v>
      </c>
      <c r="AR61">
        <v>0</v>
      </c>
      <c r="AT61">
        <v>0</v>
      </c>
    </row>
    <row r="62" spans="1:47" x14ac:dyDescent="0.2">
      <c r="A62" t="s">
        <v>3319</v>
      </c>
      <c r="B62" t="s">
        <v>3320</v>
      </c>
      <c r="C62">
        <v>262</v>
      </c>
      <c r="D62">
        <v>229</v>
      </c>
      <c r="E62">
        <v>0.874</v>
      </c>
      <c r="F62">
        <v>195</v>
      </c>
      <c r="G62">
        <v>0.85199999999999998</v>
      </c>
      <c r="H62">
        <v>216</v>
      </c>
      <c r="I62">
        <v>0.94299999999999995</v>
      </c>
      <c r="J62">
        <v>162</v>
      </c>
      <c r="K62">
        <v>0.75</v>
      </c>
      <c r="L62">
        <v>101</v>
      </c>
      <c r="M62">
        <v>65</v>
      </c>
      <c r="N62">
        <v>0.64400000000000002</v>
      </c>
      <c r="O62">
        <v>54</v>
      </c>
      <c r="P62">
        <v>0.83099999999999996</v>
      </c>
      <c r="Q62">
        <v>65</v>
      </c>
      <c r="R62">
        <v>1</v>
      </c>
      <c r="S62">
        <v>45</v>
      </c>
      <c r="T62">
        <v>0.69199999999999995</v>
      </c>
      <c r="U62">
        <v>67</v>
      </c>
      <c r="V62">
        <v>66</v>
      </c>
      <c r="W62">
        <v>0.98499999999999999</v>
      </c>
      <c r="X62">
        <v>59</v>
      </c>
      <c r="Y62">
        <v>0.89400000000000002</v>
      </c>
      <c r="Z62">
        <v>64</v>
      </c>
      <c r="AA62">
        <v>0.97</v>
      </c>
      <c r="AB62">
        <v>49</v>
      </c>
      <c r="AC62">
        <v>0.76600000000000001</v>
      </c>
      <c r="AD62">
        <v>94</v>
      </c>
      <c r="AE62">
        <v>98</v>
      </c>
      <c r="AF62">
        <v>1.0429999999999999</v>
      </c>
      <c r="AG62">
        <v>82</v>
      </c>
      <c r="AH62">
        <v>0.83699999999999997</v>
      </c>
      <c r="AI62">
        <v>87</v>
      </c>
      <c r="AJ62">
        <v>0.88800000000000001</v>
      </c>
      <c r="AK62">
        <v>68</v>
      </c>
      <c r="AL62">
        <v>0.78200000000000003</v>
      </c>
      <c r="AM62">
        <v>0</v>
      </c>
      <c r="AN62">
        <v>0</v>
      </c>
      <c r="AP62">
        <v>0</v>
      </c>
      <c r="AR62">
        <v>0</v>
      </c>
      <c r="AT62">
        <v>0</v>
      </c>
    </row>
    <row r="63" spans="1:47" x14ac:dyDescent="0.2">
      <c r="A63" t="s">
        <v>3322</v>
      </c>
      <c r="B63" t="s">
        <v>3323</v>
      </c>
      <c r="C63">
        <v>27</v>
      </c>
      <c r="D63">
        <v>88</v>
      </c>
      <c r="E63">
        <v>3.2589999999999999</v>
      </c>
      <c r="F63">
        <v>24</v>
      </c>
      <c r="G63">
        <v>0.27300000000000002</v>
      </c>
      <c r="H63">
        <v>58</v>
      </c>
      <c r="I63">
        <v>0.65900000000000003</v>
      </c>
      <c r="J63">
        <v>32</v>
      </c>
      <c r="K63">
        <v>0.55200000000000005</v>
      </c>
      <c r="L63">
        <v>16</v>
      </c>
      <c r="M63">
        <v>34</v>
      </c>
      <c r="N63">
        <v>2.125</v>
      </c>
      <c r="O63">
        <v>13</v>
      </c>
      <c r="P63">
        <v>0.38200000000000001</v>
      </c>
      <c r="Q63">
        <v>34</v>
      </c>
      <c r="R63">
        <v>1</v>
      </c>
      <c r="S63">
        <v>18</v>
      </c>
      <c r="T63">
        <v>0.52900000000000003</v>
      </c>
      <c r="U63">
        <v>11</v>
      </c>
      <c r="V63">
        <v>20</v>
      </c>
      <c r="W63">
        <v>1.8180000000000001</v>
      </c>
      <c r="X63">
        <v>11</v>
      </c>
      <c r="Y63">
        <v>0.55000000000000004</v>
      </c>
      <c r="Z63">
        <v>15</v>
      </c>
      <c r="AA63">
        <v>0.75</v>
      </c>
      <c r="AB63" t="s">
        <v>53</v>
      </c>
      <c r="AC63" t="s">
        <v>53</v>
      </c>
      <c r="AD63">
        <v>0</v>
      </c>
      <c r="AE63">
        <v>34</v>
      </c>
      <c r="AG63">
        <v>0</v>
      </c>
      <c r="AH63">
        <v>0</v>
      </c>
      <c r="AI63">
        <v>9</v>
      </c>
      <c r="AJ63">
        <v>0.26500000000000001</v>
      </c>
      <c r="AK63" t="s">
        <v>53</v>
      </c>
      <c r="AL63" t="s">
        <v>53</v>
      </c>
      <c r="AM63">
        <v>0</v>
      </c>
      <c r="AN63">
        <v>0</v>
      </c>
      <c r="AP63">
        <v>0</v>
      </c>
      <c r="AR63">
        <v>0</v>
      </c>
      <c r="AT63">
        <v>0</v>
      </c>
    </row>
    <row r="64" spans="1:47" x14ac:dyDescent="0.2">
      <c r="A64" t="s">
        <v>3325</v>
      </c>
      <c r="B64" t="s">
        <v>3326</v>
      </c>
      <c r="C64">
        <v>18</v>
      </c>
      <c r="D64">
        <v>11</v>
      </c>
      <c r="E64">
        <v>0.61099999999999999</v>
      </c>
      <c r="F64">
        <v>8</v>
      </c>
      <c r="G64">
        <v>0.72699999999999998</v>
      </c>
      <c r="H64">
        <v>10</v>
      </c>
      <c r="I64">
        <v>0.90900000000000003</v>
      </c>
      <c r="J64" t="s">
        <v>53</v>
      </c>
      <c r="K64" t="s">
        <v>53</v>
      </c>
      <c r="L64">
        <v>7</v>
      </c>
      <c r="M64" t="s">
        <v>53</v>
      </c>
      <c r="N64" t="s">
        <v>53</v>
      </c>
      <c r="O64" t="s">
        <v>53</v>
      </c>
      <c r="P64" t="s">
        <v>53</v>
      </c>
      <c r="Q64" t="s">
        <v>53</v>
      </c>
      <c r="R64" t="s">
        <v>53</v>
      </c>
      <c r="S64" t="s">
        <v>53</v>
      </c>
      <c r="T64" t="s">
        <v>53</v>
      </c>
      <c r="U64">
        <v>0</v>
      </c>
      <c r="V64">
        <v>0</v>
      </c>
      <c r="X64">
        <v>0</v>
      </c>
      <c r="Z64">
        <v>0</v>
      </c>
      <c r="AB64">
        <v>0</v>
      </c>
      <c r="AD64">
        <v>0</v>
      </c>
      <c r="AE64">
        <v>0</v>
      </c>
      <c r="AG64">
        <v>0</v>
      </c>
      <c r="AI64">
        <v>0</v>
      </c>
      <c r="AK64">
        <v>0</v>
      </c>
      <c r="AM64">
        <v>11</v>
      </c>
      <c r="AN64" t="s">
        <v>53</v>
      </c>
      <c r="AO64" t="s">
        <v>53</v>
      </c>
      <c r="AP64" t="s">
        <v>53</v>
      </c>
      <c r="AQ64" t="s">
        <v>53</v>
      </c>
      <c r="AR64" t="s">
        <v>53</v>
      </c>
      <c r="AS64" t="s">
        <v>53</v>
      </c>
      <c r="AT64" t="s">
        <v>53</v>
      </c>
      <c r="AU64" t="s">
        <v>53</v>
      </c>
    </row>
    <row r="65" spans="1:47" x14ac:dyDescent="0.2">
      <c r="A65" t="s">
        <v>3328</v>
      </c>
      <c r="B65" t="s">
        <v>3329</v>
      </c>
      <c r="C65">
        <v>295</v>
      </c>
      <c r="D65">
        <v>278</v>
      </c>
      <c r="E65">
        <v>0.94199999999999995</v>
      </c>
      <c r="F65">
        <v>215</v>
      </c>
      <c r="G65">
        <v>0.77300000000000002</v>
      </c>
      <c r="H65">
        <v>262</v>
      </c>
      <c r="I65">
        <v>0.94199999999999995</v>
      </c>
      <c r="J65">
        <v>201</v>
      </c>
      <c r="K65">
        <v>0.76700000000000002</v>
      </c>
      <c r="L65">
        <v>64</v>
      </c>
      <c r="M65">
        <v>23</v>
      </c>
      <c r="N65">
        <v>0.35899999999999999</v>
      </c>
      <c r="O65">
        <v>17</v>
      </c>
      <c r="P65">
        <v>0.73899999999999999</v>
      </c>
      <c r="Q65">
        <v>23</v>
      </c>
      <c r="R65">
        <v>1</v>
      </c>
      <c r="S65">
        <v>13</v>
      </c>
      <c r="T65">
        <v>0.56499999999999995</v>
      </c>
      <c r="U65">
        <v>128</v>
      </c>
      <c r="V65">
        <v>121</v>
      </c>
      <c r="W65">
        <v>0.94499999999999995</v>
      </c>
      <c r="X65">
        <v>110</v>
      </c>
      <c r="Y65">
        <v>0.90900000000000003</v>
      </c>
      <c r="Z65">
        <v>116</v>
      </c>
      <c r="AA65">
        <v>0.95899999999999996</v>
      </c>
      <c r="AB65">
        <v>89</v>
      </c>
      <c r="AC65">
        <v>0.76700000000000002</v>
      </c>
      <c r="AD65">
        <v>103</v>
      </c>
      <c r="AE65">
        <v>134</v>
      </c>
      <c r="AF65">
        <v>1.3009999999999999</v>
      </c>
      <c r="AG65">
        <v>88</v>
      </c>
      <c r="AH65">
        <v>0.65700000000000003</v>
      </c>
      <c r="AI65">
        <v>123</v>
      </c>
      <c r="AJ65">
        <v>0.91800000000000004</v>
      </c>
      <c r="AK65">
        <v>99</v>
      </c>
      <c r="AL65">
        <v>0.80500000000000005</v>
      </c>
      <c r="AM65">
        <v>0</v>
      </c>
      <c r="AN65">
        <v>0</v>
      </c>
      <c r="AP65">
        <v>0</v>
      </c>
      <c r="AR65">
        <v>0</v>
      </c>
      <c r="AT65">
        <v>0</v>
      </c>
    </row>
    <row r="66" spans="1:47" x14ac:dyDescent="0.2">
      <c r="A66" t="s">
        <v>3331</v>
      </c>
      <c r="B66" t="s">
        <v>3332</v>
      </c>
      <c r="C66">
        <v>275</v>
      </c>
      <c r="D66">
        <v>132</v>
      </c>
      <c r="E66">
        <v>0.48</v>
      </c>
      <c r="F66">
        <v>95</v>
      </c>
      <c r="G66">
        <v>0.72</v>
      </c>
      <c r="H66">
        <v>116</v>
      </c>
      <c r="I66">
        <v>0.879</v>
      </c>
      <c r="J66">
        <v>83</v>
      </c>
      <c r="K66">
        <v>0.71599999999999997</v>
      </c>
      <c r="L66">
        <v>84</v>
      </c>
      <c r="M66">
        <v>11</v>
      </c>
      <c r="N66">
        <v>0.13100000000000001</v>
      </c>
      <c r="O66">
        <v>8</v>
      </c>
      <c r="P66">
        <v>0.72699999999999998</v>
      </c>
      <c r="Q66">
        <v>10</v>
      </c>
      <c r="R66">
        <v>0.90900000000000003</v>
      </c>
      <c r="S66">
        <v>8</v>
      </c>
      <c r="T66">
        <v>0.8</v>
      </c>
      <c r="U66">
        <v>86</v>
      </c>
      <c r="V66">
        <v>55</v>
      </c>
      <c r="W66">
        <v>0.64</v>
      </c>
      <c r="X66">
        <v>41</v>
      </c>
      <c r="Y66">
        <v>0.745</v>
      </c>
      <c r="Z66">
        <v>47</v>
      </c>
      <c r="AA66">
        <v>0.85499999999999998</v>
      </c>
      <c r="AB66">
        <v>36</v>
      </c>
      <c r="AC66">
        <v>0.76600000000000001</v>
      </c>
      <c r="AD66">
        <v>105</v>
      </c>
      <c r="AE66">
        <v>66</v>
      </c>
      <c r="AF66">
        <v>0.629</v>
      </c>
      <c r="AG66">
        <v>46</v>
      </c>
      <c r="AH66">
        <v>0.69699999999999995</v>
      </c>
      <c r="AI66">
        <v>59</v>
      </c>
      <c r="AJ66">
        <v>0.89400000000000002</v>
      </c>
      <c r="AK66">
        <v>39</v>
      </c>
      <c r="AL66">
        <v>0.66100000000000003</v>
      </c>
      <c r="AM66">
        <v>0</v>
      </c>
      <c r="AN66">
        <v>0</v>
      </c>
      <c r="AP66">
        <v>0</v>
      </c>
      <c r="AR66">
        <v>0</v>
      </c>
      <c r="AT66">
        <v>0</v>
      </c>
    </row>
    <row r="67" spans="1:47" x14ac:dyDescent="0.2">
      <c r="A67" t="s">
        <v>3334</v>
      </c>
      <c r="B67" t="s">
        <v>3335</v>
      </c>
      <c r="C67">
        <v>95</v>
      </c>
      <c r="D67">
        <v>98</v>
      </c>
      <c r="E67">
        <v>1.032</v>
      </c>
      <c r="F67">
        <v>84</v>
      </c>
      <c r="G67">
        <v>0.85699999999999998</v>
      </c>
      <c r="H67">
        <v>98</v>
      </c>
      <c r="I67">
        <v>1</v>
      </c>
      <c r="J67">
        <v>71</v>
      </c>
      <c r="K67">
        <v>0.72399999999999998</v>
      </c>
      <c r="L67">
        <v>36</v>
      </c>
      <c r="M67">
        <v>32</v>
      </c>
      <c r="N67">
        <v>0.88900000000000001</v>
      </c>
      <c r="O67">
        <v>30</v>
      </c>
      <c r="P67">
        <v>0.93799999999999994</v>
      </c>
      <c r="Q67">
        <v>32</v>
      </c>
      <c r="R67">
        <v>1</v>
      </c>
      <c r="S67">
        <v>24</v>
      </c>
      <c r="T67">
        <v>0.75</v>
      </c>
      <c r="U67">
        <v>23</v>
      </c>
      <c r="V67">
        <v>22</v>
      </c>
      <c r="W67">
        <v>0.95699999999999996</v>
      </c>
      <c r="X67">
        <v>21</v>
      </c>
      <c r="Y67">
        <v>0.95499999999999996</v>
      </c>
      <c r="Z67">
        <v>22</v>
      </c>
      <c r="AA67">
        <v>1</v>
      </c>
      <c r="AB67">
        <v>17</v>
      </c>
      <c r="AC67">
        <v>0.77300000000000002</v>
      </c>
      <c r="AD67">
        <v>36</v>
      </c>
      <c r="AE67">
        <v>44</v>
      </c>
      <c r="AF67">
        <v>1.222</v>
      </c>
      <c r="AG67">
        <v>33</v>
      </c>
      <c r="AH67">
        <v>0.75</v>
      </c>
      <c r="AI67">
        <v>44</v>
      </c>
      <c r="AJ67">
        <v>1</v>
      </c>
      <c r="AK67">
        <v>30</v>
      </c>
      <c r="AL67">
        <v>0.68200000000000005</v>
      </c>
      <c r="AM67">
        <v>0</v>
      </c>
      <c r="AN67">
        <v>0</v>
      </c>
      <c r="AP67">
        <v>0</v>
      </c>
      <c r="AR67">
        <v>0</v>
      </c>
      <c r="AT67">
        <v>0</v>
      </c>
    </row>
    <row r="68" spans="1:47" x14ac:dyDescent="0.2">
      <c r="A68" t="s">
        <v>3337</v>
      </c>
      <c r="B68" t="s">
        <v>3338</v>
      </c>
      <c r="C68">
        <v>216</v>
      </c>
      <c r="D68">
        <v>264</v>
      </c>
      <c r="E68">
        <v>1.222</v>
      </c>
      <c r="F68">
        <v>164</v>
      </c>
      <c r="G68">
        <v>0.621</v>
      </c>
      <c r="H68">
        <v>231</v>
      </c>
      <c r="I68">
        <v>0.875</v>
      </c>
      <c r="J68">
        <v>134</v>
      </c>
      <c r="K68">
        <v>0.57999999999999996</v>
      </c>
      <c r="L68">
        <v>60</v>
      </c>
      <c r="M68">
        <v>82</v>
      </c>
      <c r="N68">
        <v>1.367</v>
      </c>
      <c r="O68">
        <v>45</v>
      </c>
      <c r="P68">
        <v>0.54900000000000004</v>
      </c>
      <c r="Q68">
        <v>82</v>
      </c>
      <c r="R68">
        <v>1</v>
      </c>
      <c r="S68">
        <v>43</v>
      </c>
      <c r="T68">
        <v>0.52400000000000002</v>
      </c>
      <c r="U68">
        <v>64</v>
      </c>
      <c r="V68">
        <v>73</v>
      </c>
      <c r="W68">
        <v>1.141</v>
      </c>
      <c r="X68">
        <v>48</v>
      </c>
      <c r="Y68">
        <v>0.65800000000000003</v>
      </c>
      <c r="Z68">
        <v>49</v>
      </c>
      <c r="AA68">
        <v>0.67100000000000004</v>
      </c>
      <c r="AB68">
        <v>32</v>
      </c>
      <c r="AC68">
        <v>0.65300000000000002</v>
      </c>
      <c r="AD68">
        <v>92</v>
      </c>
      <c r="AE68">
        <v>109</v>
      </c>
      <c r="AF68">
        <v>1.1850000000000001</v>
      </c>
      <c r="AG68">
        <v>71</v>
      </c>
      <c r="AH68">
        <v>0.65100000000000002</v>
      </c>
      <c r="AI68">
        <v>100</v>
      </c>
      <c r="AJ68">
        <v>0.91700000000000004</v>
      </c>
      <c r="AK68">
        <v>59</v>
      </c>
      <c r="AL68">
        <v>0.59</v>
      </c>
      <c r="AM68">
        <v>0</v>
      </c>
      <c r="AN68">
        <v>0</v>
      </c>
      <c r="AP68">
        <v>0</v>
      </c>
      <c r="AR68">
        <v>0</v>
      </c>
      <c r="AT68">
        <v>0</v>
      </c>
    </row>
    <row r="69" spans="1:47" x14ac:dyDescent="0.2">
      <c r="A69" t="s">
        <v>3346</v>
      </c>
      <c r="B69" t="s">
        <v>3347</v>
      </c>
      <c r="C69">
        <v>454</v>
      </c>
      <c r="D69">
        <v>324</v>
      </c>
      <c r="E69">
        <v>0.71399999999999997</v>
      </c>
      <c r="F69">
        <v>253</v>
      </c>
      <c r="G69">
        <v>0.78100000000000003</v>
      </c>
      <c r="H69">
        <v>315</v>
      </c>
      <c r="I69">
        <v>0.97199999999999998</v>
      </c>
      <c r="J69">
        <v>220</v>
      </c>
      <c r="K69">
        <v>0.69799999999999995</v>
      </c>
      <c r="L69">
        <v>184</v>
      </c>
      <c r="M69">
        <v>144</v>
      </c>
      <c r="N69">
        <v>0.78300000000000003</v>
      </c>
      <c r="O69">
        <v>107</v>
      </c>
      <c r="P69">
        <v>0.74299999999999999</v>
      </c>
      <c r="Q69">
        <v>144</v>
      </c>
      <c r="R69">
        <v>1</v>
      </c>
      <c r="S69">
        <v>88</v>
      </c>
      <c r="T69">
        <v>0.61099999999999999</v>
      </c>
      <c r="U69">
        <v>92</v>
      </c>
      <c r="V69">
        <v>64</v>
      </c>
      <c r="W69">
        <v>0.69599999999999995</v>
      </c>
      <c r="X69">
        <v>57</v>
      </c>
      <c r="Y69">
        <v>0.89100000000000001</v>
      </c>
      <c r="Z69">
        <v>59</v>
      </c>
      <c r="AA69">
        <v>0.92200000000000004</v>
      </c>
      <c r="AB69">
        <v>48</v>
      </c>
      <c r="AC69">
        <v>0.81399999999999995</v>
      </c>
      <c r="AD69">
        <v>178</v>
      </c>
      <c r="AE69">
        <v>116</v>
      </c>
      <c r="AF69">
        <v>0.65200000000000002</v>
      </c>
      <c r="AG69">
        <v>89</v>
      </c>
      <c r="AH69">
        <v>0.76700000000000002</v>
      </c>
      <c r="AI69">
        <v>112</v>
      </c>
      <c r="AJ69">
        <v>0.96599999999999997</v>
      </c>
      <c r="AK69">
        <v>84</v>
      </c>
      <c r="AL69">
        <v>0.75</v>
      </c>
      <c r="AM69">
        <v>0</v>
      </c>
      <c r="AN69">
        <v>0</v>
      </c>
      <c r="AP69">
        <v>0</v>
      </c>
      <c r="AR69">
        <v>0</v>
      </c>
      <c r="AT69">
        <v>0</v>
      </c>
    </row>
    <row r="70" spans="1:47" x14ac:dyDescent="0.2">
      <c r="A70" t="s">
        <v>3349</v>
      </c>
      <c r="B70" t="s">
        <v>3350</v>
      </c>
      <c r="C70">
        <v>182</v>
      </c>
      <c r="D70">
        <v>165</v>
      </c>
      <c r="E70">
        <v>0.90700000000000003</v>
      </c>
      <c r="F70">
        <v>138</v>
      </c>
      <c r="G70">
        <v>0.83599999999999997</v>
      </c>
      <c r="H70">
        <v>152</v>
      </c>
      <c r="I70">
        <v>0.92100000000000004</v>
      </c>
      <c r="J70">
        <v>113</v>
      </c>
      <c r="K70">
        <v>0.74299999999999999</v>
      </c>
      <c r="L70">
        <v>31</v>
      </c>
      <c r="M70">
        <v>21</v>
      </c>
      <c r="N70">
        <v>0.67700000000000005</v>
      </c>
      <c r="O70">
        <v>11</v>
      </c>
      <c r="P70">
        <v>0.52400000000000002</v>
      </c>
      <c r="Q70">
        <v>21</v>
      </c>
      <c r="R70">
        <v>1</v>
      </c>
      <c r="S70">
        <v>12</v>
      </c>
      <c r="T70">
        <v>0.57099999999999995</v>
      </c>
      <c r="U70">
        <v>66</v>
      </c>
      <c r="V70">
        <v>67</v>
      </c>
      <c r="W70">
        <v>1.0149999999999999</v>
      </c>
      <c r="X70">
        <v>58</v>
      </c>
      <c r="Y70">
        <v>0.86599999999999999</v>
      </c>
      <c r="Z70">
        <v>59</v>
      </c>
      <c r="AA70">
        <v>0.88100000000000001</v>
      </c>
      <c r="AB70">
        <v>42</v>
      </c>
      <c r="AC70">
        <v>0.71199999999999997</v>
      </c>
      <c r="AD70">
        <v>85</v>
      </c>
      <c r="AE70">
        <v>77</v>
      </c>
      <c r="AF70">
        <v>0.90600000000000003</v>
      </c>
      <c r="AG70">
        <v>69</v>
      </c>
      <c r="AH70">
        <v>0.89600000000000002</v>
      </c>
      <c r="AI70">
        <v>72</v>
      </c>
      <c r="AJ70">
        <v>0.93500000000000005</v>
      </c>
      <c r="AK70">
        <v>59</v>
      </c>
      <c r="AL70">
        <v>0.81899999999999995</v>
      </c>
      <c r="AM70">
        <v>0</v>
      </c>
      <c r="AN70">
        <v>0</v>
      </c>
      <c r="AP70">
        <v>0</v>
      </c>
      <c r="AR70">
        <v>0</v>
      </c>
      <c r="AT70">
        <v>0</v>
      </c>
    </row>
    <row r="71" spans="1:47" x14ac:dyDescent="0.2">
      <c r="A71" t="s">
        <v>3352</v>
      </c>
      <c r="B71" t="s">
        <v>3353</v>
      </c>
      <c r="C71">
        <v>338</v>
      </c>
      <c r="D71">
        <v>350</v>
      </c>
      <c r="E71">
        <v>1.036</v>
      </c>
      <c r="F71">
        <v>294</v>
      </c>
      <c r="G71">
        <v>0.84</v>
      </c>
      <c r="H71">
        <v>339</v>
      </c>
      <c r="I71">
        <v>0.96899999999999997</v>
      </c>
      <c r="J71">
        <v>246</v>
      </c>
      <c r="K71">
        <v>0.72599999999999998</v>
      </c>
      <c r="L71">
        <v>85</v>
      </c>
      <c r="M71">
        <v>56</v>
      </c>
      <c r="N71">
        <v>0.65900000000000003</v>
      </c>
      <c r="O71">
        <v>50</v>
      </c>
      <c r="P71">
        <v>0.89300000000000002</v>
      </c>
      <c r="Q71">
        <v>56</v>
      </c>
      <c r="R71">
        <v>1</v>
      </c>
      <c r="S71">
        <v>41</v>
      </c>
      <c r="T71">
        <v>0.73199999999999998</v>
      </c>
      <c r="U71">
        <v>115</v>
      </c>
      <c r="V71">
        <v>117</v>
      </c>
      <c r="W71">
        <v>1.0169999999999999</v>
      </c>
      <c r="X71">
        <v>110</v>
      </c>
      <c r="Y71">
        <v>0.94</v>
      </c>
      <c r="Z71">
        <v>114</v>
      </c>
      <c r="AA71">
        <v>0.97399999999999998</v>
      </c>
      <c r="AB71">
        <v>84</v>
      </c>
      <c r="AC71">
        <v>0.73699999999999999</v>
      </c>
      <c r="AD71">
        <v>138</v>
      </c>
      <c r="AE71">
        <v>177</v>
      </c>
      <c r="AF71">
        <v>1.2829999999999999</v>
      </c>
      <c r="AG71">
        <v>134</v>
      </c>
      <c r="AH71">
        <v>0.75700000000000001</v>
      </c>
      <c r="AI71">
        <v>169</v>
      </c>
      <c r="AJ71">
        <v>0.95499999999999996</v>
      </c>
      <c r="AK71">
        <v>121</v>
      </c>
      <c r="AL71">
        <v>0.71599999999999997</v>
      </c>
      <c r="AM71">
        <v>0</v>
      </c>
      <c r="AN71">
        <v>0</v>
      </c>
      <c r="AP71">
        <v>0</v>
      </c>
      <c r="AR71">
        <v>0</v>
      </c>
      <c r="AT71">
        <v>0</v>
      </c>
    </row>
    <row r="72" spans="1:47" x14ac:dyDescent="0.2">
      <c r="A72" t="s">
        <v>3355</v>
      </c>
      <c r="B72" t="s">
        <v>3356</v>
      </c>
      <c r="C72">
        <v>505</v>
      </c>
      <c r="D72">
        <v>325</v>
      </c>
      <c r="E72">
        <v>0.64400000000000002</v>
      </c>
      <c r="F72">
        <v>253</v>
      </c>
      <c r="G72">
        <v>0.77800000000000002</v>
      </c>
      <c r="H72">
        <v>271</v>
      </c>
      <c r="I72">
        <v>0.83399999999999996</v>
      </c>
      <c r="J72">
        <v>203</v>
      </c>
      <c r="K72">
        <v>0.749</v>
      </c>
      <c r="L72">
        <v>122</v>
      </c>
      <c r="M72">
        <v>54</v>
      </c>
      <c r="N72">
        <v>0.443</v>
      </c>
      <c r="O72">
        <v>39</v>
      </c>
      <c r="P72">
        <v>0.72199999999999998</v>
      </c>
      <c r="Q72">
        <v>54</v>
      </c>
      <c r="R72">
        <v>1</v>
      </c>
      <c r="S72">
        <v>41</v>
      </c>
      <c r="T72">
        <v>0.75900000000000001</v>
      </c>
      <c r="U72">
        <v>185</v>
      </c>
      <c r="V72">
        <v>122</v>
      </c>
      <c r="W72">
        <v>0.65900000000000003</v>
      </c>
      <c r="X72">
        <v>99</v>
      </c>
      <c r="Y72">
        <v>0.81100000000000005</v>
      </c>
      <c r="Z72">
        <v>101</v>
      </c>
      <c r="AA72">
        <v>0.82799999999999996</v>
      </c>
      <c r="AB72">
        <v>76</v>
      </c>
      <c r="AC72">
        <v>0.752</v>
      </c>
      <c r="AD72">
        <v>198</v>
      </c>
      <c r="AE72">
        <v>149</v>
      </c>
      <c r="AF72">
        <v>0.753</v>
      </c>
      <c r="AG72">
        <v>115</v>
      </c>
      <c r="AH72">
        <v>0.77200000000000002</v>
      </c>
      <c r="AI72">
        <v>116</v>
      </c>
      <c r="AJ72">
        <v>0.77900000000000003</v>
      </c>
      <c r="AK72">
        <v>86</v>
      </c>
      <c r="AL72">
        <v>0.74099999999999999</v>
      </c>
      <c r="AM72">
        <v>0</v>
      </c>
      <c r="AN72">
        <v>0</v>
      </c>
      <c r="AP72">
        <v>0</v>
      </c>
      <c r="AR72">
        <v>0</v>
      </c>
      <c r="AT72">
        <v>0</v>
      </c>
    </row>
    <row r="73" spans="1:47" x14ac:dyDescent="0.2">
      <c r="A73" t="s">
        <v>3228</v>
      </c>
      <c r="B73" t="s">
        <v>3229</v>
      </c>
      <c r="C73">
        <v>246</v>
      </c>
      <c r="D73">
        <v>134</v>
      </c>
      <c r="E73">
        <v>0.54500000000000004</v>
      </c>
      <c r="F73">
        <v>97</v>
      </c>
      <c r="G73">
        <v>0.72399999999999998</v>
      </c>
      <c r="H73">
        <v>134</v>
      </c>
      <c r="I73">
        <v>1</v>
      </c>
      <c r="J73">
        <v>68</v>
      </c>
      <c r="K73">
        <v>0.50700000000000001</v>
      </c>
      <c r="L73">
        <v>246</v>
      </c>
      <c r="M73">
        <v>134</v>
      </c>
      <c r="N73">
        <v>0.54500000000000004</v>
      </c>
      <c r="O73">
        <v>97</v>
      </c>
      <c r="P73">
        <v>0.72399999999999998</v>
      </c>
      <c r="Q73">
        <v>134</v>
      </c>
      <c r="R73">
        <v>1</v>
      </c>
      <c r="S73">
        <v>68</v>
      </c>
      <c r="T73">
        <v>0.50700000000000001</v>
      </c>
      <c r="U73">
        <v>0</v>
      </c>
      <c r="V73">
        <v>0</v>
      </c>
      <c r="X73">
        <v>0</v>
      </c>
      <c r="Z73">
        <v>0</v>
      </c>
      <c r="AB73">
        <v>0</v>
      </c>
      <c r="AD73">
        <v>0</v>
      </c>
      <c r="AE73">
        <v>0</v>
      </c>
      <c r="AG73">
        <v>0</v>
      </c>
      <c r="AI73">
        <v>0</v>
      </c>
      <c r="AK73">
        <v>0</v>
      </c>
      <c r="AM73">
        <v>0</v>
      </c>
      <c r="AN73">
        <v>0</v>
      </c>
      <c r="AP73">
        <v>0</v>
      </c>
      <c r="AR73">
        <v>0</v>
      </c>
      <c r="AT73">
        <v>0</v>
      </c>
    </row>
    <row r="74" spans="1:47" x14ac:dyDescent="0.2">
      <c r="A74" t="s">
        <v>3358</v>
      </c>
      <c r="B74" t="s">
        <v>3359</v>
      </c>
      <c r="C74">
        <v>1019</v>
      </c>
      <c r="D74">
        <v>631</v>
      </c>
      <c r="E74">
        <v>0.61899999999999999</v>
      </c>
      <c r="F74">
        <v>507</v>
      </c>
      <c r="G74">
        <v>0.80300000000000005</v>
      </c>
      <c r="H74">
        <v>610</v>
      </c>
      <c r="I74">
        <v>0.96699999999999997</v>
      </c>
      <c r="J74">
        <v>385</v>
      </c>
      <c r="K74">
        <v>0.63100000000000001</v>
      </c>
      <c r="L74">
        <v>299</v>
      </c>
      <c r="M74">
        <v>236</v>
      </c>
      <c r="N74">
        <v>0.78900000000000003</v>
      </c>
      <c r="O74">
        <v>160</v>
      </c>
      <c r="P74">
        <v>0.67800000000000005</v>
      </c>
      <c r="Q74">
        <v>234</v>
      </c>
      <c r="R74">
        <v>0.99199999999999999</v>
      </c>
      <c r="S74">
        <v>133</v>
      </c>
      <c r="T74">
        <v>0.56799999999999995</v>
      </c>
      <c r="U74">
        <v>247</v>
      </c>
      <c r="V74">
        <v>138</v>
      </c>
      <c r="W74">
        <v>0.55900000000000005</v>
      </c>
      <c r="X74">
        <v>118</v>
      </c>
      <c r="Y74">
        <v>0.85499999999999998</v>
      </c>
      <c r="Z74">
        <v>129</v>
      </c>
      <c r="AA74">
        <v>0.93500000000000005</v>
      </c>
      <c r="AB74">
        <v>93</v>
      </c>
      <c r="AC74">
        <v>0.72099999999999997</v>
      </c>
      <c r="AD74">
        <v>242</v>
      </c>
      <c r="AE74">
        <v>160</v>
      </c>
      <c r="AF74">
        <v>0.66100000000000003</v>
      </c>
      <c r="AG74">
        <v>134</v>
      </c>
      <c r="AH74">
        <v>0.83799999999999997</v>
      </c>
      <c r="AI74">
        <v>150</v>
      </c>
      <c r="AJ74">
        <v>0.93799999999999994</v>
      </c>
      <c r="AK74">
        <v>104</v>
      </c>
      <c r="AL74">
        <v>0.69299999999999995</v>
      </c>
      <c r="AM74">
        <v>231</v>
      </c>
      <c r="AN74">
        <v>97</v>
      </c>
      <c r="AO74">
        <v>0.42</v>
      </c>
      <c r="AP74">
        <v>95</v>
      </c>
      <c r="AQ74">
        <v>0.97899999999999998</v>
      </c>
      <c r="AR74">
        <v>97</v>
      </c>
      <c r="AS74">
        <v>1</v>
      </c>
      <c r="AT74">
        <v>55</v>
      </c>
      <c r="AU74">
        <v>0.56699999999999995</v>
      </c>
    </row>
    <row r="75" spans="1:47" x14ac:dyDescent="0.2">
      <c r="A75" t="s">
        <v>3376</v>
      </c>
      <c r="B75" t="s">
        <v>3377</v>
      </c>
      <c r="C75">
        <v>111</v>
      </c>
      <c r="D75">
        <v>92</v>
      </c>
      <c r="E75">
        <v>0.82899999999999996</v>
      </c>
      <c r="F75">
        <v>68</v>
      </c>
      <c r="G75">
        <v>0.73899999999999999</v>
      </c>
      <c r="H75">
        <v>92</v>
      </c>
      <c r="I75">
        <v>1</v>
      </c>
      <c r="J75">
        <v>56</v>
      </c>
      <c r="K75">
        <v>0.60899999999999999</v>
      </c>
      <c r="L75">
        <v>56</v>
      </c>
      <c r="M75">
        <v>62</v>
      </c>
      <c r="N75">
        <v>1.107</v>
      </c>
      <c r="O75">
        <v>40</v>
      </c>
      <c r="P75">
        <v>0.64500000000000002</v>
      </c>
      <c r="Q75">
        <v>62</v>
      </c>
      <c r="R75">
        <v>1</v>
      </c>
      <c r="S75">
        <v>37</v>
      </c>
      <c r="T75">
        <v>0.59699999999999998</v>
      </c>
      <c r="U75">
        <v>0</v>
      </c>
      <c r="V75">
        <v>0</v>
      </c>
      <c r="X75">
        <v>0</v>
      </c>
      <c r="Z75">
        <v>0</v>
      </c>
      <c r="AB75">
        <v>0</v>
      </c>
      <c r="AD75">
        <v>0</v>
      </c>
      <c r="AE75">
        <v>0</v>
      </c>
      <c r="AG75">
        <v>0</v>
      </c>
      <c r="AI75">
        <v>0</v>
      </c>
      <c r="AK75">
        <v>0</v>
      </c>
      <c r="AM75">
        <v>55</v>
      </c>
      <c r="AN75">
        <v>30</v>
      </c>
      <c r="AO75">
        <v>0.54500000000000004</v>
      </c>
      <c r="AP75">
        <v>28</v>
      </c>
      <c r="AQ75">
        <v>0.93300000000000005</v>
      </c>
      <c r="AR75">
        <v>30</v>
      </c>
      <c r="AS75">
        <v>1</v>
      </c>
      <c r="AT75">
        <v>19</v>
      </c>
      <c r="AU75">
        <v>0.63300000000000001</v>
      </c>
    </row>
    <row r="76" spans="1:47" x14ac:dyDescent="0.2">
      <c r="A76" t="s">
        <v>3361</v>
      </c>
      <c r="B76" t="s">
        <v>3362</v>
      </c>
      <c r="C76">
        <v>1176</v>
      </c>
      <c r="D76">
        <v>709</v>
      </c>
      <c r="E76">
        <v>0.60299999999999998</v>
      </c>
      <c r="F76">
        <v>590</v>
      </c>
      <c r="G76">
        <v>0.83199999999999996</v>
      </c>
      <c r="H76">
        <v>680</v>
      </c>
      <c r="I76">
        <v>0.95899999999999996</v>
      </c>
      <c r="J76">
        <v>398</v>
      </c>
      <c r="K76">
        <v>0.58499999999999996</v>
      </c>
      <c r="L76">
        <v>246</v>
      </c>
      <c r="M76">
        <v>134</v>
      </c>
      <c r="N76">
        <v>0.54500000000000004</v>
      </c>
      <c r="O76">
        <v>114</v>
      </c>
      <c r="P76">
        <v>0.85099999999999998</v>
      </c>
      <c r="Q76">
        <v>134</v>
      </c>
      <c r="R76">
        <v>1</v>
      </c>
      <c r="S76">
        <v>76</v>
      </c>
      <c r="T76">
        <v>0.56699999999999995</v>
      </c>
      <c r="U76">
        <v>223</v>
      </c>
      <c r="V76">
        <v>157</v>
      </c>
      <c r="W76">
        <v>0.70399999999999996</v>
      </c>
      <c r="X76">
        <v>138</v>
      </c>
      <c r="Y76">
        <v>0.879</v>
      </c>
      <c r="Z76">
        <v>146</v>
      </c>
      <c r="AA76">
        <v>0.93</v>
      </c>
      <c r="AB76">
        <v>91</v>
      </c>
      <c r="AC76">
        <v>0.623</v>
      </c>
      <c r="AD76">
        <v>353</v>
      </c>
      <c r="AE76">
        <v>317</v>
      </c>
      <c r="AF76">
        <v>0.89800000000000002</v>
      </c>
      <c r="AG76">
        <v>239</v>
      </c>
      <c r="AH76">
        <v>0.754</v>
      </c>
      <c r="AI76">
        <v>299</v>
      </c>
      <c r="AJ76">
        <v>0.94299999999999995</v>
      </c>
      <c r="AK76">
        <v>187</v>
      </c>
      <c r="AL76">
        <v>0.625</v>
      </c>
      <c r="AM76">
        <v>354</v>
      </c>
      <c r="AN76">
        <v>101</v>
      </c>
      <c r="AO76">
        <v>0.28499999999999998</v>
      </c>
      <c r="AP76">
        <v>99</v>
      </c>
      <c r="AQ76">
        <v>0.98</v>
      </c>
      <c r="AR76">
        <v>101</v>
      </c>
      <c r="AS76">
        <v>1</v>
      </c>
      <c r="AT76">
        <v>44</v>
      </c>
      <c r="AU76">
        <v>0.436</v>
      </c>
    </row>
    <row r="77" spans="1:47" x14ac:dyDescent="0.2">
      <c r="A77" t="s">
        <v>3364</v>
      </c>
      <c r="B77" t="s">
        <v>3365</v>
      </c>
      <c r="C77">
        <v>12</v>
      </c>
      <c r="D77">
        <v>38</v>
      </c>
      <c r="E77">
        <v>3.1669999999999998</v>
      </c>
      <c r="F77">
        <v>0</v>
      </c>
      <c r="G77">
        <v>0</v>
      </c>
      <c r="H77">
        <v>38</v>
      </c>
      <c r="I77">
        <v>1</v>
      </c>
      <c r="J77">
        <v>24</v>
      </c>
      <c r="K77">
        <v>0.63200000000000001</v>
      </c>
      <c r="L77">
        <v>12</v>
      </c>
      <c r="M77">
        <v>28</v>
      </c>
      <c r="N77">
        <v>2.3330000000000002</v>
      </c>
      <c r="O77">
        <v>0</v>
      </c>
      <c r="P77">
        <v>0</v>
      </c>
      <c r="Q77">
        <v>28</v>
      </c>
      <c r="R77">
        <v>1</v>
      </c>
      <c r="S77">
        <v>19</v>
      </c>
      <c r="T77">
        <v>0.67900000000000005</v>
      </c>
      <c r="U77">
        <v>0</v>
      </c>
      <c r="V77" t="s">
        <v>53</v>
      </c>
      <c r="W77" t="s">
        <v>53</v>
      </c>
      <c r="X77">
        <v>0</v>
      </c>
      <c r="Y77" t="s">
        <v>53</v>
      </c>
      <c r="Z77" t="s">
        <v>53</v>
      </c>
      <c r="AA77" t="s">
        <v>53</v>
      </c>
      <c r="AB77" t="s">
        <v>53</v>
      </c>
      <c r="AC77" t="s">
        <v>53</v>
      </c>
      <c r="AD77">
        <v>0</v>
      </c>
      <c r="AE77" t="s">
        <v>53</v>
      </c>
      <c r="AF77" t="s">
        <v>53</v>
      </c>
      <c r="AG77">
        <v>0</v>
      </c>
      <c r="AH77" t="s">
        <v>53</v>
      </c>
      <c r="AI77" t="s">
        <v>53</v>
      </c>
      <c r="AJ77" t="s">
        <v>53</v>
      </c>
      <c r="AK77" t="s">
        <v>53</v>
      </c>
      <c r="AL77" t="s">
        <v>53</v>
      </c>
      <c r="AM77">
        <v>0</v>
      </c>
      <c r="AN77">
        <v>0</v>
      </c>
      <c r="AP77">
        <v>0</v>
      </c>
      <c r="AR77">
        <v>0</v>
      </c>
      <c r="AT77">
        <v>0</v>
      </c>
    </row>
    <row r="78" spans="1:47" x14ac:dyDescent="0.2">
      <c r="A78" t="s">
        <v>3367</v>
      </c>
      <c r="B78" t="s">
        <v>3368</v>
      </c>
      <c r="C78">
        <v>1767</v>
      </c>
      <c r="D78">
        <v>1540</v>
      </c>
      <c r="E78">
        <v>0.872</v>
      </c>
      <c r="F78">
        <v>1240</v>
      </c>
      <c r="G78">
        <v>0.80500000000000005</v>
      </c>
      <c r="H78">
        <v>1401</v>
      </c>
      <c r="I78">
        <v>0.91</v>
      </c>
      <c r="J78">
        <v>935</v>
      </c>
      <c r="K78">
        <v>0.66700000000000004</v>
      </c>
      <c r="L78">
        <v>557</v>
      </c>
      <c r="M78">
        <v>411</v>
      </c>
      <c r="N78">
        <v>0.73799999999999999</v>
      </c>
      <c r="O78">
        <v>371</v>
      </c>
      <c r="P78">
        <v>0.90300000000000002</v>
      </c>
      <c r="Q78">
        <v>411</v>
      </c>
      <c r="R78">
        <v>1</v>
      </c>
      <c r="S78">
        <v>282</v>
      </c>
      <c r="T78">
        <v>0.68600000000000005</v>
      </c>
      <c r="U78">
        <v>460</v>
      </c>
      <c r="V78">
        <v>403</v>
      </c>
      <c r="W78">
        <v>0.876</v>
      </c>
      <c r="X78">
        <v>328</v>
      </c>
      <c r="Y78">
        <v>0.81399999999999995</v>
      </c>
      <c r="Z78">
        <v>353</v>
      </c>
      <c r="AA78">
        <v>0.876</v>
      </c>
      <c r="AB78">
        <v>243</v>
      </c>
      <c r="AC78">
        <v>0.68799999999999994</v>
      </c>
      <c r="AD78">
        <v>583</v>
      </c>
      <c r="AE78">
        <v>615</v>
      </c>
      <c r="AF78">
        <v>1.0549999999999999</v>
      </c>
      <c r="AG78">
        <v>454</v>
      </c>
      <c r="AH78">
        <v>0.73799999999999999</v>
      </c>
      <c r="AI78">
        <v>526</v>
      </c>
      <c r="AJ78">
        <v>0.85499999999999998</v>
      </c>
      <c r="AK78">
        <v>351</v>
      </c>
      <c r="AL78">
        <v>0.66700000000000004</v>
      </c>
      <c r="AM78">
        <v>167</v>
      </c>
      <c r="AN78">
        <v>111</v>
      </c>
      <c r="AO78">
        <v>0.66500000000000004</v>
      </c>
      <c r="AP78">
        <v>87</v>
      </c>
      <c r="AQ78">
        <v>0.78400000000000003</v>
      </c>
      <c r="AR78">
        <v>111</v>
      </c>
      <c r="AS78">
        <v>1</v>
      </c>
      <c r="AT78">
        <v>59</v>
      </c>
      <c r="AU78">
        <v>0.53200000000000003</v>
      </c>
    </row>
    <row r="79" spans="1:47" x14ac:dyDescent="0.2">
      <c r="A79" t="s">
        <v>3370</v>
      </c>
      <c r="B79" t="s">
        <v>3371</v>
      </c>
      <c r="C79">
        <v>1546</v>
      </c>
      <c r="D79">
        <v>879</v>
      </c>
      <c r="E79">
        <v>0.56899999999999995</v>
      </c>
      <c r="F79">
        <v>659</v>
      </c>
      <c r="G79">
        <v>0.75</v>
      </c>
      <c r="H79">
        <v>814</v>
      </c>
      <c r="I79">
        <v>0.92600000000000005</v>
      </c>
      <c r="J79">
        <v>550</v>
      </c>
      <c r="K79">
        <v>0.67600000000000005</v>
      </c>
      <c r="L79">
        <v>456</v>
      </c>
      <c r="M79">
        <v>273</v>
      </c>
      <c r="N79">
        <v>0.59899999999999998</v>
      </c>
      <c r="O79">
        <v>208</v>
      </c>
      <c r="P79">
        <v>0.76200000000000001</v>
      </c>
      <c r="Q79">
        <v>273</v>
      </c>
      <c r="R79">
        <v>1</v>
      </c>
      <c r="S79">
        <v>190</v>
      </c>
      <c r="T79">
        <v>0.69599999999999995</v>
      </c>
      <c r="U79">
        <v>421</v>
      </c>
      <c r="V79">
        <v>264</v>
      </c>
      <c r="W79">
        <v>0.627</v>
      </c>
      <c r="X79">
        <v>200</v>
      </c>
      <c r="Y79">
        <v>0.75800000000000001</v>
      </c>
      <c r="Z79">
        <v>234</v>
      </c>
      <c r="AA79">
        <v>0.88600000000000001</v>
      </c>
      <c r="AB79">
        <v>161</v>
      </c>
      <c r="AC79">
        <v>0.68799999999999994</v>
      </c>
      <c r="AD79">
        <v>424</v>
      </c>
      <c r="AE79">
        <v>268</v>
      </c>
      <c r="AF79">
        <v>0.63200000000000001</v>
      </c>
      <c r="AG79">
        <v>192</v>
      </c>
      <c r="AH79">
        <v>0.71599999999999997</v>
      </c>
      <c r="AI79">
        <v>233</v>
      </c>
      <c r="AJ79">
        <v>0.86899999999999999</v>
      </c>
      <c r="AK79">
        <v>159</v>
      </c>
      <c r="AL79">
        <v>0.68200000000000005</v>
      </c>
      <c r="AM79">
        <v>245</v>
      </c>
      <c r="AN79">
        <v>74</v>
      </c>
      <c r="AO79">
        <v>0.30199999999999999</v>
      </c>
      <c r="AP79">
        <v>59</v>
      </c>
      <c r="AQ79">
        <v>0.79700000000000004</v>
      </c>
      <c r="AR79">
        <v>74</v>
      </c>
      <c r="AS79">
        <v>1</v>
      </c>
      <c r="AT79">
        <v>40</v>
      </c>
      <c r="AU79">
        <v>0.54100000000000004</v>
      </c>
    </row>
    <row r="80" spans="1:47" x14ac:dyDescent="0.2">
      <c r="A80" t="s">
        <v>3373</v>
      </c>
      <c r="B80" t="s">
        <v>3374</v>
      </c>
      <c r="C80">
        <v>1272</v>
      </c>
      <c r="D80">
        <v>989</v>
      </c>
      <c r="E80">
        <v>0.77800000000000002</v>
      </c>
      <c r="F80">
        <v>787</v>
      </c>
      <c r="G80">
        <v>0.79600000000000004</v>
      </c>
      <c r="H80">
        <v>886</v>
      </c>
      <c r="I80">
        <v>0.89600000000000002</v>
      </c>
      <c r="J80">
        <v>614</v>
      </c>
      <c r="K80">
        <v>0.69299999999999995</v>
      </c>
      <c r="L80">
        <v>470</v>
      </c>
      <c r="M80">
        <v>312</v>
      </c>
      <c r="N80">
        <v>0.66400000000000003</v>
      </c>
      <c r="O80">
        <v>248</v>
      </c>
      <c r="P80">
        <v>0.79500000000000004</v>
      </c>
      <c r="Q80">
        <v>311</v>
      </c>
      <c r="R80">
        <v>0.997</v>
      </c>
      <c r="S80">
        <v>193</v>
      </c>
      <c r="T80">
        <v>0.621</v>
      </c>
      <c r="U80">
        <v>324</v>
      </c>
      <c r="V80">
        <v>295</v>
      </c>
      <c r="W80">
        <v>0.91</v>
      </c>
      <c r="X80">
        <v>255</v>
      </c>
      <c r="Y80">
        <v>0.86399999999999999</v>
      </c>
      <c r="Z80">
        <v>253</v>
      </c>
      <c r="AA80">
        <v>0.85799999999999998</v>
      </c>
      <c r="AB80">
        <v>179</v>
      </c>
      <c r="AC80">
        <v>0.70799999999999996</v>
      </c>
      <c r="AD80">
        <v>378</v>
      </c>
      <c r="AE80">
        <v>364</v>
      </c>
      <c r="AF80">
        <v>0.96299999999999997</v>
      </c>
      <c r="AG80">
        <v>267</v>
      </c>
      <c r="AH80">
        <v>0.73399999999999999</v>
      </c>
      <c r="AI80">
        <v>304</v>
      </c>
      <c r="AJ80">
        <v>0.83499999999999996</v>
      </c>
      <c r="AK80">
        <v>227</v>
      </c>
      <c r="AL80">
        <v>0.747</v>
      </c>
      <c r="AM80">
        <v>100</v>
      </c>
      <c r="AN80">
        <v>18</v>
      </c>
      <c r="AO80">
        <v>0.18</v>
      </c>
      <c r="AP80">
        <v>17</v>
      </c>
      <c r="AQ80">
        <v>0.94399999999999995</v>
      </c>
      <c r="AR80">
        <v>18</v>
      </c>
      <c r="AS80">
        <v>1</v>
      </c>
      <c r="AT80">
        <v>15</v>
      </c>
      <c r="AU80">
        <v>0.83299999999999996</v>
      </c>
    </row>
    <row r="81" spans="1:47" x14ac:dyDescent="0.2">
      <c r="A81" t="s">
        <v>3379</v>
      </c>
      <c r="B81" t="s">
        <v>3380</v>
      </c>
      <c r="C81">
        <v>1567</v>
      </c>
      <c r="D81">
        <v>1354</v>
      </c>
      <c r="E81">
        <v>0.86399999999999999</v>
      </c>
      <c r="F81">
        <v>1154</v>
      </c>
      <c r="G81">
        <v>0.85199999999999998</v>
      </c>
      <c r="H81">
        <v>1248</v>
      </c>
      <c r="I81">
        <v>0.92200000000000004</v>
      </c>
      <c r="J81">
        <v>874</v>
      </c>
      <c r="K81">
        <v>0.7</v>
      </c>
      <c r="L81">
        <v>341</v>
      </c>
      <c r="M81">
        <v>255</v>
      </c>
      <c r="N81">
        <v>0.748</v>
      </c>
      <c r="O81">
        <v>216</v>
      </c>
      <c r="P81">
        <v>0.84699999999999998</v>
      </c>
      <c r="Q81">
        <v>248</v>
      </c>
      <c r="R81">
        <v>0.97299999999999998</v>
      </c>
      <c r="S81">
        <v>170</v>
      </c>
      <c r="T81">
        <v>0.68500000000000005</v>
      </c>
      <c r="U81">
        <v>504</v>
      </c>
      <c r="V81">
        <v>464</v>
      </c>
      <c r="W81">
        <v>0.92100000000000004</v>
      </c>
      <c r="X81">
        <v>408</v>
      </c>
      <c r="Y81">
        <v>0.879</v>
      </c>
      <c r="Z81">
        <v>411</v>
      </c>
      <c r="AA81">
        <v>0.88600000000000001</v>
      </c>
      <c r="AB81">
        <v>308</v>
      </c>
      <c r="AC81">
        <v>0.749</v>
      </c>
      <c r="AD81">
        <v>435</v>
      </c>
      <c r="AE81">
        <v>425</v>
      </c>
      <c r="AF81">
        <v>0.97699999999999998</v>
      </c>
      <c r="AG81">
        <v>335</v>
      </c>
      <c r="AH81">
        <v>0.78800000000000003</v>
      </c>
      <c r="AI81">
        <v>381</v>
      </c>
      <c r="AJ81">
        <v>0.89600000000000002</v>
      </c>
      <c r="AK81">
        <v>283</v>
      </c>
      <c r="AL81">
        <v>0.74299999999999999</v>
      </c>
      <c r="AM81">
        <v>287</v>
      </c>
      <c r="AN81">
        <v>210</v>
      </c>
      <c r="AO81">
        <v>0.73199999999999998</v>
      </c>
      <c r="AP81">
        <v>195</v>
      </c>
      <c r="AQ81">
        <v>0.92900000000000005</v>
      </c>
      <c r="AR81">
        <v>208</v>
      </c>
      <c r="AS81">
        <v>0.99</v>
      </c>
      <c r="AT81">
        <v>113</v>
      </c>
      <c r="AU81">
        <v>0.54300000000000004</v>
      </c>
    </row>
    <row r="82" spans="1:47" x14ac:dyDescent="0.2">
      <c r="A82" t="s">
        <v>3076</v>
      </c>
      <c r="B82" t="s">
        <v>3077</v>
      </c>
      <c r="C82">
        <v>1366</v>
      </c>
      <c r="D82">
        <v>1234</v>
      </c>
      <c r="E82">
        <v>0.90300000000000002</v>
      </c>
      <c r="F82">
        <v>949</v>
      </c>
      <c r="G82">
        <v>0.76900000000000002</v>
      </c>
      <c r="H82">
        <v>1193</v>
      </c>
      <c r="I82">
        <v>0.96699999999999997</v>
      </c>
      <c r="J82">
        <v>760</v>
      </c>
      <c r="K82">
        <v>0.63700000000000001</v>
      </c>
      <c r="L82">
        <v>481</v>
      </c>
      <c r="M82">
        <v>376</v>
      </c>
      <c r="N82">
        <v>0.78200000000000003</v>
      </c>
      <c r="O82">
        <v>321</v>
      </c>
      <c r="P82">
        <v>0.85399999999999998</v>
      </c>
      <c r="Q82">
        <v>375</v>
      </c>
      <c r="R82">
        <v>0.997</v>
      </c>
      <c r="S82">
        <v>222</v>
      </c>
      <c r="T82">
        <v>0.59199999999999997</v>
      </c>
      <c r="U82">
        <v>456</v>
      </c>
      <c r="V82">
        <v>399</v>
      </c>
      <c r="W82">
        <v>0.875</v>
      </c>
      <c r="X82">
        <v>319</v>
      </c>
      <c r="Y82">
        <v>0.79900000000000004</v>
      </c>
      <c r="Z82">
        <v>375</v>
      </c>
      <c r="AA82">
        <v>0.94</v>
      </c>
      <c r="AB82">
        <v>246</v>
      </c>
      <c r="AC82">
        <v>0.65600000000000003</v>
      </c>
      <c r="AD82">
        <v>356</v>
      </c>
      <c r="AE82">
        <v>333</v>
      </c>
      <c r="AF82">
        <v>0.93500000000000005</v>
      </c>
      <c r="AG82">
        <v>258</v>
      </c>
      <c r="AH82">
        <v>0.77500000000000002</v>
      </c>
      <c r="AI82">
        <v>318</v>
      </c>
      <c r="AJ82">
        <v>0.95499999999999996</v>
      </c>
      <c r="AK82">
        <v>220</v>
      </c>
      <c r="AL82">
        <v>0.69199999999999995</v>
      </c>
      <c r="AM82">
        <v>73</v>
      </c>
      <c r="AN82">
        <v>126</v>
      </c>
      <c r="AO82">
        <v>1.726</v>
      </c>
      <c r="AP82">
        <v>51</v>
      </c>
      <c r="AQ82">
        <v>0.40500000000000003</v>
      </c>
      <c r="AR82">
        <v>125</v>
      </c>
      <c r="AS82">
        <v>0.99199999999999999</v>
      </c>
      <c r="AT82">
        <v>72</v>
      </c>
      <c r="AU82">
        <v>0.57599999999999996</v>
      </c>
    </row>
    <row r="83" spans="1:47" x14ac:dyDescent="0.2">
      <c r="A83" t="s">
        <v>6539</v>
      </c>
      <c r="B83" t="s">
        <v>6540</v>
      </c>
      <c r="C83" t="s">
        <v>53</v>
      </c>
      <c r="D83">
        <v>0</v>
      </c>
      <c r="E83" t="s">
        <v>53</v>
      </c>
      <c r="F83">
        <v>0</v>
      </c>
      <c r="H83">
        <v>0</v>
      </c>
      <c r="J83">
        <v>0</v>
      </c>
      <c r="L83">
        <v>0</v>
      </c>
      <c r="M83">
        <v>0</v>
      </c>
      <c r="O83">
        <v>0</v>
      </c>
      <c r="Q83">
        <v>0</v>
      </c>
      <c r="S83">
        <v>0</v>
      </c>
      <c r="U83">
        <v>0</v>
      </c>
      <c r="V83">
        <v>0</v>
      </c>
      <c r="X83">
        <v>0</v>
      </c>
      <c r="Z83">
        <v>0</v>
      </c>
      <c r="AB83">
        <v>0</v>
      </c>
      <c r="AD83" t="s">
        <v>53</v>
      </c>
      <c r="AE83">
        <v>0</v>
      </c>
      <c r="AF83" t="s">
        <v>53</v>
      </c>
      <c r="AG83">
        <v>0</v>
      </c>
      <c r="AI83">
        <v>0</v>
      </c>
      <c r="AK83">
        <v>0</v>
      </c>
      <c r="AM83">
        <v>0</v>
      </c>
      <c r="AN83">
        <v>0</v>
      </c>
      <c r="AP83">
        <v>0</v>
      </c>
      <c r="AR83">
        <v>0</v>
      </c>
      <c r="AT83">
        <v>0</v>
      </c>
    </row>
    <row r="84" spans="1:47" x14ac:dyDescent="0.2">
      <c r="A84" t="s">
        <v>3079</v>
      </c>
      <c r="B84" t="s">
        <v>3080</v>
      </c>
      <c r="C84">
        <v>1341</v>
      </c>
      <c r="D84">
        <v>522</v>
      </c>
      <c r="E84">
        <v>0.38900000000000001</v>
      </c>
      <c r="F84">
        <v>251</v>
      </c>
      <c r="G84">
        <v>0.48099999999999998</v>
      </c>
      <c r="H84">
        <v>429</v>
      </c>
      <c r="I84">
        <v>0.82199999999999995</v>
      </c>
      <c r="J84">
        <v>226</v>
      </c>
      <c r="K84">
        <v>0.52700000000000002</v>
      </c>
      <c r="L84">
        <v>325</v>
      </c>
      <c r="M84">
        <v>161</v>
      </c>
      <c r="N84">
        <v>0.495</v>
      </c>
      <c r="O84">
        <v>83</v>
      </c>
      <c r="P84">
        <v>0.51600000000000001</v>
      </c>
      <c r="Q84">
        <v>160</v>
      </c>
      <c r="R84">
        <v>0.99399999999999999</v>
      </c>
      <c r="S84">
        <v>63</v>
      </c>
      <c r="T84">
        <v>0.39400000000000002</v>
      </c>
      <c r="U84">
        <v>294</v>
      </c>
      <c r="V84">
        <v>125</v>
      </c>
      <c r="W84">
        <v>0.42499999999999999</v>
      </c>
      <c r="X84">
        <v>66</v>
      </c>
      <c r="Y84">
        <v>0.52800000000000002</v>
      </c>
      <c r="Z84">
        <v>109</v>
      </c>
      <c r="AA84">
        <v>0.872</v>
      </c>
      <c r="AB84">
        <v>64</v>
      </c>
      <c r="AC84">
        <v>0.58699999999999997</v>
      </c>
      <c r="AD84">
        <v>427</v>
      </c>
      <c r="AE84">
        <v>219</v>
      </c>
      <c r="AF84">
        <v>0.51300000000000001</v>
      </c>
      <c r="AG84">
        <v>90</v>
      </c>
      <c r="AH84">
        <v>0.41099999999999998</v>
      </c>
      <c r="AI84">
        <v>143</v>
      </c>
      <c r="AJ84">
        <v>0.65300000000000002</v>
      </c>
      <c r="AK84">
        <v>88</v>
      </c>
      <c r="AL84">
        <v>0.61499999999999999</v>
      </c>
      <c r="AM84">
        <v>295</v>
      </c>
      <c r="AN84">
        <v>17</v>
      </c>
      <c r="AO84">
        <v>5.8000000000000003E-2</v>
      </c>
      <c r="AP84">
        <v>12</v>
      </c>
      <c r="AQ84">
        <v>0.70599999999999996</v>
      </c>
      <c r="AR84">
        <v>17</v>
      </c>
      <c r="AS84">
        <v>1</v>
      </c>
      <c r="AT84">
        <v>11</v>
      </c>
      <c r="AU84">
        <v>0.64700000000000002</v>
      </c>
    </row>
    <row r="85" spans="1:47" x14ac:dyDescent="0.2">
      <c r="A85" t="s">
        <v>3082</v>
      </c>
      <c r="B85" t="s">
        <v>3083</v>
      </c>
      <c r="C85">
        <v>708</v>
      </c>
      <c r="D85">
        <v>240</v>
      </c>
      <c r="E85">
        <v>0.33900000000000002</v>
      </c>
      <c r="F85">
        <v>167</v>
      </c>
      <c r="G85">
        <v>0.69599999999999995</v>
      </c>
      <c r="H85">
        <v>216</v>
      </c>
      <c r="I85">
        <v>0.9</v>
      </c>
      <c r="J85">
        <v>103</v>
      </c>
      <c r="K85">
        <v>0.47699999999999998</v>
      </c>
      <c r="L85">
        <v>263</v>
      </c>
      <c r="M85">
        <v>73</v>
      </c>
      <c r="N85">
        <v>0.27800000000000002</v>
      </c>
      <c r="O85">
        <v>44</v>
      </c>
      <c r="P85">
        <v>0.60299999999999998</v>
      </c>
      <c r="Q85">
        <v>72</v>
      </c>
      <c r="R85">
        <v>0.98599999999999999</v>
      </c>
      <c r="S85">
        <v>30</v>
      </c>
      <c r="T85">
        <v>0.41699999999999998</v>
      </c>
      <c r="U85">
        <v>177</v>
      </c>
      <c r="V85">
        <v>61</v>
      </c>
      <c r="W85">
        <v>0.34499999999999997</v>
      </c>
      <c r="X85">
        <v>45</v>
      </c>
      <c r="Y85">
        <v>0.73799999999999999</v>
      </c>
      <c r="Z85">
        <v>51</v>
      </c>
      <c r="AA85">
        <v>0.83599999999999997</v>
      </c>
      <c r="AB85">
        <v>31</v>
      </c>
      <c r="AC85">
        <v>0.60799999999999998</v>
      </c>
      <c r="AD85">
        <v>147</v>
      </c>
      <c r="AE85">
        <v>53</v>
      </c>
      <c r="AF85">
        <v>0.36099999999999999</v>
      </c>
      <c r="AG85">
        <v>28</v>
      </c>
      <c r="AH85">
        <v>0.52800000000000002</v>
      </c>
      <c r="AI85">
        <v>40</v>
      </c>
      <c r="AJ85">
        <v>0.755</v>
      </c>
      <c r="AK85">
        <v>19</v>
      </c>
      <c r="AL85">
        <v>0.47499999999999998</v>
      </c>
      <c r="AM85">
        <v>121</v>
      </c>
      <c r="AN85">
        <v>53</v>
      </c>
      <c r="AO85">
        <v>0.438</v>
      </c>
      <c r="AP85">
        <v>50</v>
      </c>
      <c r="AQ85">
        <v>0.94299999999999995</v>
      </c>
      <c r="AR85">
        <v>53</v>
      </c>
      <c r="AS85">
        <v>1</v>
      </c>
      <c r="AT85">
        <v>23</v>
      </c>
      <c r="AU85">
        <v>0.434</v>
      </c>
    </row>
    <row r="86" spans="1:47" x14ac:dyDescent="0.2">
      <c r="A86" t="s">
        <v>3085</v>
      </c>
      <c r="B86" t="s">
        <v>3086</v>
      </c>
      <c r="C86">
        <v>1035</v>
      </c>
      <c r="D86">
        <v>971</v>
      </c>
      <c r="E86">
        <v>0.93799999999999994</v>
      </c>
      <c r="F86">
        <v>848</v>
      </c>
      <c r="G86">
        <v>0.873</v>
      </c>
      <c r="H86">
        <v>900</v>
      </c>
      <c r="I86">
        <v>0.92700000000000005</v>
      </c>
      <c r="J86">
        <v>643</v>
      </c>
      <c r="K86">
        <v>0.71399999999999997</v>
      </c>
      <c r="L86">
        <v>298</v>
      </c>
      <c r="M86">
        <v>218</v>
      </c>
      <c r="N86">
        <v>0.73199999999999998</v>
      </c>
      <c r="O86">
        <v>202</v>
      </c>
      <c r="P86">
        <v>0.92700000000000005</v>
      </c>
      <c r="Q86">
        <v>218</v>
      </c>
      <c r="R86">
        <v>1</v>
      </c>
      <c r="S86">
        <v>160</v>
      </c>
      <c r="T86">
        <v>0.73399999999999999</v>
      </c>
      <c r="U86">
        <v>280</v>
      </c>
      <c r="V86">
        <v>276</v>
      </c>
      <c r="W86">
        <v>0.98599999999999999</v>
      </c>
      <c r="X86">
        <v>245</v>
      </c>
      <c r="Y86">
        <v>0.88800000000000001</v>
      </c>
      <c r="Z86">
        <v>261</v>
      </c>
      <c r="AA86">
        <v>0.94599999999999995</v>
      </c>
      <c r="AB86">
        <v>193</v>
      </c>
      <c r="AC86">
        <v>0.73899999999999999</v>
      </c>
      <c r="AD86">
        <v>381</v>
      </c>
      <c r="AE86">
        <v>422</v>
      </c>
      <c r="AF86">
        <v>1.1080000000000001</v>
      </c>
      <c r="AG86">
        <v>352</v>
      </c>
      <c r="AH86">
        <v>0.83399999999999996</v>
      </c>
      <c r="AI86">
        <v>366</v>
      </c>
      <c r="AJ86">
        <v>0.86699999999999999</v>
      </c>
      <c r="AK86">
        <v>264</v>
      </c>
      <c r="AL86">
        <v>0.72099999999999997</v>
      </c>
      <c r="AM86">
        <v>76</v>
      </c>
      <c r="AN86">
        <v>55</v>
      </c>
      <c r="AO86">
        <v>0.72399999999999998</v>
      </c>
      <c r="AP86">
        <v>49</v>
      </c>
      <c r="AQ86">
        <v>0.89100000000000001</v>
      </c>
      <c r="AR86">
        <v>55</v>
      </c>
      <c r="AS86">
        <v>1</v>
      </c>
      <c r="AT86">
        <v>26</v>
      </c>
      <c r="AU86">
        <v>0.47299999999999998</v>
      </c>
    </row>
    <row r="87" spans="1:47" x14ac:dyDescent="0.2">
      <c r="A87" t="s">
        <v>3094</v>
      </c>
      <c r="B87" t="s">
        <v>3095</v>
      </c>
      <c r="C87">
        <v>869</v>
      </c>
      <c r="D87">
        <v>763</v>
      </c>
      <c r="E87">
        <v>0.878</v>
      </c>
      <c r="F87">
        <v>611</v>
      </c>
      <c r="G87">
        <v>0.80100000000000005</v>
      </c>
      <c r="H87">
        <v>761</v>
      </c>
      <c r="I87">
        <v>0.997</v>
      </c>
      <c r="J87">
        <v>453</v>
      </c>
      <c r="K87">
        <v>0.59499999999999997</v>
      </c>
      <c r="L87">
        <v>415</v>
      </c>
      <c r="M87">
        <v>384</v>
      </c>
      <c r="N87">
        <v>0.92500000000000004</v>
      </c>
      <c r="O87">
        <v>272</v>
      </c>
      <c r="P87">
        <v>0.70799999999999996</v>
      </c>
      <c r="Q87">
        <v>384</v>
      </c>
      <c r="R87">
        <v>1</v>
      </c>
      <c r="S87">
        <v>249</v>
      </c>
      <c r="T87">
        <v>0.64800000000000002</v>
      </c>
      <c r="U87" t="s">
        <v>53</v>
      </c>
      <c r="V87" t="s">
        <v>53</v>
      </c>
      <c r="W87" t="s">
        <v>53</v>
      </c>
      <c r="X87" t="s">
        <v>53</v>
      </c>
      <c r="Y87" t="s">
        <v>53</v>
      </c>
      <c r="Z87" t="s">
        <v>53</v>
      </c>
      <c r="AA87" t="s">
        <v>53</v>
      </c>
      <c r="AB87">
        <v>0</v>
      </c>
      <c r="AC87" t="s">
        <v>53</v>
      </c>
      <c r="AD87" t="s">
        <v>53</v>
      </c>
      <c r="AE87" t="s">
        <v>53</v>
      </c>
      <c r="AF87" t="s">
        <v>53</v>
      </c>
      <c r="AG87" t="s">
        <v>53</v>
      </c>
      <c r="AH87" t="s">
        <v>53</v>
      </c>
      <c r="AI87" t="s">
        <v>53</v>
      </c>
      <c r="AJ87" t="s">
        <v>53</v>
      </c>
      <c r="AK87" t="s">
        <v>53</v>
      </c>
      <c r="AL87" t="s">
        <v>53</v>
      </c>
      <c r="AM87">
        <v>409</v>
      </c>
      <c r="AN87">
        <v>366</v>
      </c>
      <c r="AO87">
        <v>0.89500000000000002</v>
      </c>
      <c r="AP87">
        <v>329</v>
      </c>
      <c r="AQ87">
        <v>0.89900000000000002</v>
      </c>
      <c r="AR87">
        <v>365</v>
      </c>
      <c r="AS87">
        <v>0.997</v>
      </c>
      <c r="AT87" t="s">
        <v>53</v>
      </c>
      <c r="AU87" t="s">
        <v>53</v>
      </c>
    </row>
    <row r="88" spans="1:47" x14ac:dyDescent="0.2">
      <c r="A88" t="s">
        <v>3097</v>
      </c>
      <c r="B88" t="s">
        <v>3098</v>
      </c>
      <c r="C88">
        <v>724</v>
      </c>
      <c r="D88">
        <v>707</v>
      </c>
      <c r="E88">
        <v>0.97699999999999998</v>
      </c>
      <c r="F88">
        <v>521</v>
      </c>
      <c r="G88">
        <v>0.73699999999999999</v>
      </c>
      <c r="H88">
        <v>633</v>
      </c>
      <c r="I88">
        <v>0.89500000000000002</v>
      </c>
      <c r="J88">
        <v>502</v>
      </c>
      <c r="K88">
        <v>0.79300000000000004</v>
      </c>
      <c r="L88">
        <v>134</v>
      </c>
      <c r="M88">
        <v>76</v>
      </c>
      <c r="N88">
        <v>0.56699999999999995</v>
      </c>
      <c r="O88">
        <v>57</v>
      </c>
      <c r="P88">
        <v>0.75</v>
      </c>
      <c r="Q88">
        <v>76</v>
      </c>
      <c r="R88">
        <v>1</v>
      </c>
      <c r="S88">
        <v>53</v>
      </c>
      <c r="T88">
        <v>0.69699999999999995</v>
      </c>
      <c r="U88">
        <v>311</v>
      </c>
      <c r="V88">
        <v>292</v>
      </c>
      <c r="W88">
        <v>0.93899999999999995</v>
      </c>
      <c r="X88">
        <v>260</v>
      </c>
      <c r="Y88">
        <v>0.89</v>
      </c>
      <c r="Z88">
        <v>261</v>
      </c>
      <c r="AA88">
        <v>0.89400000000000002</v>
      </c>
      <c r="AB88">
        <v>216</v>
      </c>
      <c r="AC88">
        <v>0.82799999999999996</v>
      </c>
      <c r="AD88">
        <v>219</v>
      </c>
      <c r="AE88">
        <v>306</v>
      </c>
      <c r="AF88">
        <v>1.397</v>
      </c>
      <c r="AG88">
        <v>180</v>
      </c>
      <c r="AH88">
        <v>0.58799999999999997</v>
      </c>
      <c r="AI88">
        <v>263</v>
      </c>
      <c r="AJ88">
        <v>0.85899999999999999</v>
      </c>
      <c r="AK88">
        <v>212</v>
      </c>
      <c r="AL88">
        <v>0.80600000000000005</v>
      </c>
      <c r="AM88">
        <v>60</v>
      </c>
      <c r="AN88">
        <v>33</v>
      </c>
      <c r="AO88">
        <v>0.55000000000000004</v>
      </c>
      <c r="AP88">
        <v>24</v>
      </c>
      <c r="AQ88">
        <v>0.72699999999999998</v>
      </c>
      <c r="AR88">
        <v>33</v>
      </c>
      <c r="AS88">
        <v>1</v>
      </c>
      <c r="AT88">
        <v>21</v>
      </c>
      <c r="AU88">
        <v>0.63600000000000001</v>
      </c>
    </row>
    <row r="89" spans="1:47" x14ac:dyDescent="0.2">
      <c r="A89" t="s">
        <v>3091</v>
      </c>
      <c r="B89" t="s">
        <v>3092</v>
      </c>
      <c r="C89">
        <v>444</v>
      </c>
      <c r="D89">
        <v>408</v>
      </c>
      <c r="E89">
        <v>0.91900000000000004</v>
      </c>
      <c r="F89">
        <v>310</v>
      </c>
      <c r="G89">
        <v>0.76</v>
      </c>
      <c r="H89">
        <v>387</v>
      </c>
      <c r="I89">
        <v>0.94899999999999995</v>
      </c>
      <c r="J89">
        <v>301</v>
      </c>
      <c r="K89">
        <v>0.77800000000000002</v>
      </c>
      <c r="L89">
        <v>117</v>
      </c>
      <c r="M89">
        <v>64</v>
      </c>
      <c r="N89">
        <v>0.54700000000000004</v>
      </c>
      <c r="O89">
        <v>46</v>
      </c>
      <c r="P89">
        <v>0.71899999999999997</v>
      </c>
      <c r="Q89">
        <v>64</v>
      </c>
      <c r="R89">
        <v>1</v>
      </c>
      <c r="S89">
        <v>41</v>
      </c>
      <c r="T89">
        <v>0.64100000000000001</v>
      </c>
      <c r="U89">
        <v>169</v>
      </c>
      <c r="V89">
        <v>172</v>
      </c>
      <c r="W89">
        <v>1.018</v>
      </c>
      <c r="X89">
        <v>133</v>
      </c>
      <c r="Y89">
        <v>0.77300000000000002</v>
      </c>
      <c r="Z89">
        <v>166</v>
      </c>
      <c r="AA89">
        <v>0.96499999999999997</v>
      </c>
      <c r="AB89">
        <v>138</v>
      </c>
      <c r="AC89">
        <v>0.83099999999999996</v>
      </c>
      <c r="AD89">
        <v>158</v>
      </c>
      <c r="AE89">
        <v>172</v>
      </c>
      <c r="AF89">
        <v>1.089</v>
      </c>
      <c r="AG89">
        <v>131</v>
      </c>
      <c r="AH89">
        <v>0.76200000000000001</v>
      </c>
      <c r="AI89">
        <v>157</v>
      </c>
      <c r="AJ89">
        <v>0.91300000000000003</v>
      </c>
      <c r="AK89">
        <v>122</v>
      </c>
      <c r="AL89">
        <v>0.77700000000000002</v>
      </c>
      <c r="AM89">
        <v>0</v>
      </c>
      <c r="AN89">
        <v>0</v>
      </c>
      <c r="AP89">
        <v>0</v>
      </c>
      <c r="AR89">
        <v>0</v>
      </c>
      <c r="AT89">
        <v>0</v>
      </c>
    </row>
    <row r="90" spans="1:47" x14ac:dyDescent="0.2">
      <c r="A90" t="s">
        <v>6503</v>
      </c>
      <c r="B90" t="s">
        <v>6504</v>
      </c>
      <c r="C90">
        <v>0</v>
      </c>
      <c r="D90" t="s">
        <v>53</v>
      </c>
      <c r="E90" t="s">
        <v>53</v>
      </c>
      <c r="F90" t="s">
        <v>53</v>
      </c>
      <c r="G90" t="s">
        <v>53</v>
      </c>
      <c r="H90" t="s">
        <v>53</v>
      </c>
      <c r="I90" t="s">
        <v>53</v>
      </c>
      <c r="J90">
        <v>0</v>
      </c>
      <c r="K90" t="s">
        <v>53</v>
      </c>
      <c r="L90">
        <v>0</v>
      </c>
      <c r="M90">
        <v>0</v>
      </c>
      <c r="O90">
        <v>0</v>
      </c>
      <c r="Q90">
        <v>0</v>
      </c>
      <c r="S90">
        <v>0</v>
      </c>
      <c r="U90">
        <v>0</v>
      </c>
      <c r="V90">
        <v>0</v>
      </c>
      <c r="X90">
        <v>0</v>
      </c>
      <c r="Z90">
        <v>0</v>
      </c>
      <c r="AB90">
        <v>0</v>
      </c>
      <c r="AD90">
        <v>0</v>
      </c>
      <c r="AE90">
        <v>0</v>
      </c>
      <c r="AG90">
        <v>0</v>
      </c>
      <c r="AI90">
        <v>0</v>
      </c>
      <c r="AK90">
        <v>0</v>
      </c>
      <c r="AM90">
        <v>0</v>
      </c>
      <c r="AN90" t="s">
        <v>53</v>
      </c>
      <c r="AO90" t="s">
        <v>53</v>
      </c>
      <c r="AP90" t="s">
        <v>53</v>
      </c>
      <c r="AQ90" t="s">
        <v>53</v>
      </c>
      <c r="AR90" t="s">
        <v>53</v>
      </c>
      <c r="AS90" t="s">
        <v>53</v>
      </c>
      <c r="AT90">
        <v>0</v>
      </c>
      <c r="AU90" t="s">
        <v>53</v>
      </c>
    </row>
    <row r="91" spans="1:47" x14ac:dyDescent="0.2">
      <c r="A91" t="s">
        <v>3088</v>
      </c>
      <c r="B91" t="s">
        <v>3089</v>
      </c>
      <c r="C91">
        <v>186</v>
      </c>
      <c r="D91">
        <v>166</v>
      </c>
      <c r="E91">
        <v>0.89200000000000002</v>
      </c>
      <c r="F91">
        <v>162</v>
      </c>
      <c r="G91">
        <v>0.97599999999999998</v>
      </c>
      <c r="H91">
        <v>166</v>
      </c>
      <c r="I91">
        <v>1</v>
      </c>
      <c r="J91">
        <v>110</v>
      </c>
      <c r="K91">
        <v>0.66300000000000003</v>
      </c>
      <c r="L91">
        <v>124</v>
      </c>
      <c r="M91">
        <v>109</v>
      </c>
      <c r="N91">
        <v>0.879</v>
      </c>
      <c r="O91">
        <v>106</v>
      </c>
      <c r="P91">
        <v>0.97199999999999998</v>
      </c>
      <c r="Q91">
        <v>109</v>
      </c>
      <c r="R91">
        <v>1</v>
      </c>
      <c r="S91">
        <v>74</v>
      </c>
      <c r="T91">
        <v>0.67900000000000005</v>
      </c>
      <c r="U91">
        <v>0</v>
      </c>
      <c r="V91">
        <v>0</v>
      </c>
      <c r="X91">
        <v>0</v>
      </c>
      <c r="Z91">
        <v>0</v>
      </c>
      <c r="AB91">
        <v>0</v>
      </c>
      <c r="AD91">
        <v>0</v>
      </c>
      <c r="AE91">
        <v>0</v>
      </c>
      <c r="AG91">
        <v>0</v>
      </c>
      <c r="AI91">
        <v>0</v>
      </c>
      <c r="AK91">
        <v>0</v>
      </c>
      <c r="AM91">
        <v>62</v>
      </c>
      <c r="AN91">
        <v>57</v>
      </c>
      <c r="AO91">
        <v>0.91900000000000004</v>
      </c>
      <c r="AP91">
        <v>56</v>
      </c>
      <c r="AQ91">
        <v>0.98199999999999998</v>
      </c>
      <c r="AR91">
        <v>57</v>
      </c>
      <c r="AS91">
        <v>1</v>
      </c>
      <c r="AT91">
        <v>36</v>
      </c>
      <c r="AU91">
        <v>0.63200000000000001</v>
      </c>
    </row>
    <row r="92" spans="1:47" x14ac:dyDescent="0.2">
      <c r="A92" t="s">
        <v>3100</v>
      </c>
      <c r="B92" t="s">
        <v>3101</v>
      </c>
      <c r="C92">
        <v>2216</v>
      </c>
      <c r="D92">
        <v>1689</v>
      </c>
      <c r="E92">
        <v>0.76200000000000001</v>
      </c>
      <c r="F92">
        <v>1378</v>
      </c>
      <c r="G92">
        <v>0.81599999999999995</v>
      </c>
      <c r="H92">
        <v>1630</v>
      </c>
      <c r="I92">
        <v>0.96499999999999997</v>
      </c>
      <c r="J92">
        <v>984</v>
      </c>
      <c r="K92">
        <v>0.60399999999999998</v>
      </c>
      <c r="L92">
        <v>367</v>
      </c>
      <c r="M92">
        <v>409</v>
      </c>
      <c r="N92">
        <v>1.1140000000000001</v>
      </c>
      <c r="O92">
        <v>223</v>
      </c>
      <c r="P92">
        <v>0.54500000000000004</v>
      </c>
      <c r="Q92">
        <v>406</v>
      </c>
      <c r="R92">
        <v>0.99299999999999999</v>
      </c>
      <c r="S92">
        <v>203</v>
      </c>
      <c r="T92">
        <v>0.5</v>
      </c>
      <c r="U92">
        <v>350</v>
      </c>
      <c r="V92">
        <v>305</v>
      </c>
      <c r="W92">
        <v>0.871</v>
      </c>
      <c r="X92">
        <v>273</v>
      </c>
      <c r="Y92">
        <v>0.89500000000000002</v>
      </c>
      <c r="Z92">
        <v>288</v>
      </c>
      <c r="AA92">
        <v>0.94399999999999995</v>
      </c>
      <c r="AB92">
        <v>207</v>
      </c>
      <c r="AC92">
        <v>0.71899999999999997</v>
      </c>
      <c r="AD92">
        <v>578</v>
      </c>
      <c r="AE92">
        <v>524</v>
      </c>
      <c r="AF92">
        <v>0.90700000000000003</v>
      </c>
      <c r="AG92">
        <v>441</v>
      </c>
      <c r="AH92">
        <v>0.84199999999999997</v>
      </c>
      <c r="AI92">
        <v>485</v>
      </c>
      <c r="AJ92">
        <v>0.92600000000000005</v>
      </c>
      <c r="AK92">
        <v>313</v>
      </c>
      <c r="AL92">
        <v>0.64500000000000002</v>
      </c>
      <c r="AM92">
        <v>921</v>
      </c>
      <c r="AN92">
        <v>451</v>
      </c>
      <c r="AO92">
        <v>0.49</v>
      </c>
      <c r="AP92">
        <v>441</v>
      </c>
      <c r="AQ92">
        <v>0.97799999999999998</v>
      </c>
      <c r="AR92">
        <v>451</v>
      </c>
      <c r="AS92">
        <v>1</v>
      </c>
      <c r="AT92">
        <v>261</v>
      </c>
      <c r="AU92">
        <v>0.57899999999999996</v>
      </c>
    </row>
    <row r="93" spans="1:47" x14ac:dyDescent="0.2">
      <c r="A93" t="s">
        <v>4229</v>
      </c>
      <c r="B93" t="s">
        <v>4230</v>
      </c>
      <c r="C93">
        <v>778</v>
      </c>
      <c r="D93">
        <v>775</v>
      </c>
      <c r="E93">
        <v>0.996</v>
      </c>
      <c r="F93">
        <v>650</v>
      </c>
      <c r="G93">
        <v>0.83899999999999997</v>
      </c>
      <c r="H93">
        <v>743</v>
      </c>
      <c r="I93">
        <v>0.95899999999999996</v>
      </c>
      <c r="J93">
        <v>585</v>
      </c>
      <c r="K93">
        <v>0.78700000000000003</v>
      </c>
      <c r="L93">
        <v>0</v>
      </c>
      <c r="M93">
        <v>0</v>
      </c>
      <c r="O93">
        <v>0</v>
      </c>
      <c r="Q93">
        <v>0</v>
      </c>
      <c r="S93">
        <v>0</v>
      </c>
      <c r="U93">
        <v>435</v>
      </c>
      <c r="V93">
        <v>383</v>
      </c>
      <c r="W93">
        <v>0.88</v>
      </c>
      <c r="X93">
        <v>366</v>
      </c>
      <c r="Y93">
        <v>0.95599999999999996</v>
      </c>
      <c r="Z93">
        <v>374</v>
      </c>
      <c r="AA93">
        <v>0.97699999999999998</v>
      </c>
      <c r="AB93">
        <v>290</v>
      </c>
      <c r="AC93">
        <v>0.77500000000000002</v>
      </c>
      <c r="AD93">
        <v>343</v>
      </c>
      <c r="AE93">
        <v>392</v>
      </c>
      <c r="AF93">
        <v>1.143</v>
      </c>
      <c r="AG93">
        <v>284</v>
      </c>
      <c r="AH93">
        <v>0.72399999999999998</v>
      </c>
      <c r="AI93">
        <v>369</v>
      </c>
      <c r="AJ93">
        <v>0.94099999999999995</v>
      </c>
      <c r="AK93">
        <v>295</v>
      </c>
      <c r="AL93">
        <v>0.79900000000000004</v>
      </c>
      <c r="AM93">
        <v>0</v>
      </c>
      <c r="AN93">
        <v>0</v>
      </c>
      <c r="AP93">
        <v>0</v>
      </c>
      <c r="AR93">
        <v>0</v>
      </c>
      <c r="AT93">
        <v>0</v>
      </c>
    </row>
    <row r="94" spans="1:47" x14ac:dyDescent="0.2">
      <c r="A94" t="s">
        <v>3103</v>
      </c>
      <c r="B94" t="s">
        <v>3104</v>
      </c>
      <c r="C94">
        <v>0</v>
      </c>
      <c r="D94">
        <v>200</v>
      </c>
      <c r="F94">
        <v>176</v>
      </c>
      <c r="G94">
        <v>0.88</v>
      </c>
      <c r="H94">
        <v>199</v>
      </c>
      <c r="I94">
        <v>0.995</v>
      </c>
      <c r="J94">
        <v>154</v>
      </c>
      <c r="K94">
        <v>0.77400000000000002</v>
      </c>
      <c r="L94">
        <v>0</v>
      </c>
      <c r="M94">
        <v>33</v>
      </c>
      <c r="O94">
        <v>29</v>
      </c>
      <c r="P94">
        <v>0.879</v>
      </c>
      <c r="Q94">
        <v>33</v>
      </c>
      <c r="R94">
        <v>1</v>
      </c>
      <c r="S94">
        <v>25</v>
      </c>
      <c r="T94">
        <v>0.75800000000000001</v>
      </c>
      <c r="U94">
        <v>0</v>
      </c>
      <c r="V94">
        <v>84</v>
      </c>
      <c r="X94">
        <v>73</v>
      </c>
      <c r="Y94">
        <v>0.86899999999999999</v>
      </c>
      <c r="Z94">
        <v>83</v>
      </c>
      <c r="AA94">
        <v>0.98799999999999999</v>
      </c>
      <c r="AB94">
        <v>64</v>
      </c>
      <c r="AC94">
        <v>0.77100000000000002</v>
      </c>
      <c r="AD94">
        <v>0</v>
      </c>
      <c r="AE94">
        <v>75</v>
      </c>
      <c r="AG94">
        <v>67</v>
      </c>
      <c r="AH94">
        <v>0.89300000000000002</v>
      </c>
      <c r="AI94">
        <v>75</v>
      </c>
      <c r="AJ94">
        <v>1</v>
      </c>
      <c r="AK94">
        <v>59</v>
      </c>
      <c r="AL94">
        <v>0.78700000000000003</v>
      </c>
      <c r="AM94">
        <v>0</v>
      </c>
      <c r="AN94">
        <v>8</v>
      </c>
      <c r="AP94">
        <v>7</v>
      </c>
      <c r="AQ94">
        <v>0.875</v>
      </c>
      <c r="AR94">
        <v>8</v>
      </c>
      <c r="AS94">
        <v>1</v>
      </c>
      <c r="AT94">
        <v>6</v>
      </c>
      <c r="AU94">
        <v>0.75</v>
      </c>
    </row>
    <row r="95" spans="1:47" x14ac:dyDescent="0.2">
      <c r="A95" t="s">
        <v>3106</v>
      </c>
      <c r="B95" t="s">
        <v>3107</v>
      </c>
      <c r="C95">
        <v>161</v>
      </c>
      <c r="D95">
        <v>143</v>
      </c>
      <c r="E95">
        <v>0.88800000000000001</v>
      </c>
      <c r="F95">
        <v>129</v>
      </c>
      <c r="G95">
        <v>0.90200000000000002</v>
      </c>
      <c r="H95">
        <v>143</v>
      </c>
      <c r="I95">
        <v>1</v>
      </c>
      <c r="J95">
        <v>85</v>
      </c>
      <c r="K95">
        <v>0.59399999999999997</v>
      </c>
      <c r="L95">
        <v>88</v>
      </c>
      <c r="M95">
        <v>84</v>
      </c>
      <c r="N95">
        <v>0.95499999999999996</v>
      </c>
      <c r="O95">
        <v>73</v>
      </c>
      <c r="P95">
        <v>0.86899999999999999</v>
      </c>
      <c r="Q95">
        <v>84</v>
      </c>
      <c r="R95">
        <v>1</v>
      </c>
      <c r="S95">
        <v>62</v>
      </c>
      <c r="T95">
        <v>0.73799999999999999</v>
      </c>
      <c r="U95">
        <v>0</v>
      </c>
      <c r="V95">
        <v>0</v>
      </c>
      <c r="X95">
        <v>0</v>
      </c>
      <c r="Z95">
        <v>0</v>
      </c>
      <c r="AB95">
        <v>0</v>
      </c>
      <c r="AD95">
        <v>0</v>
      </c>
      <c r="AE95">
        <v>0</v>
      </c>
      <c r="AG95">
        <v>0</v>
      </c>
      <c r="AI95">
        <v>0</v>
      </c>
      <c r="AK95">
        <v>0</v>
      </c>
      <c r="AM95">
        <v>73</v>
      </c>
      <c r="AN95">
        <v>59</v>
      </c>
      <c r="AO95">
        <v>0.80800000000000005</v>
      </c>
      <c r="AP95">
        <v>56</v>
      </c>
      <c r="AQ95">
        <v>0.94899999999999995</v>
      </c>
      <c r="AR95">
        <v>59</v>
      </c>
      <c r="AS95">
        <v>1</v>
      </c>
      <c r="AT95">
        <v>23</v>
      </c>
      <c r="AU95">
        <v>0.39</v>
      </c>
    </row>
    <row r="96" spans="1:47" x14ac:dyDescent="0.2">
      <c r="A96" t="s">
        <v>3793</v>
      </c>
      <c r="B96" t="s">
        <v>3794</v>
      </c>
      <c r="C96" t="s">
        <v>53</v>
      </c>
      <c r="D96" t="s">
        <v>53</v>
      </c>
      <c r="E96" t="s">
        <v>53</v>
      </c>
      <c r="F96">
        <v>0</v>
      </c>
      <c r="G96" t="s">
        <v>53</v>
      </c>
      <c r="H96" t="s">
        <v>53</v>
      </c>
      <c r="I96" t="s">
        <v>53</v>
      </c>
      <c r="J96" t="s">
        <v>53</v>
      </c>
      <c r="K96" t="s">
        <v>53</v>
      </c>
      <c r="L96" t="s">
        <v>53</v>
      </c>
      <c r="M96" t="s">
        <v>53</v>
      </c>
      <c r="N96" t="s">
        <v>53</v>
      </c>
      <c r="O96">
        <v>0</v>
      </c>
      <c r="P96" t="s">
        <v>53</v>
      </c>
      <c r="Q96" t="s">
        <v>53</v>
      </c>
      <c r="R96" t="s">
        <v>53</v>
      </c>
      <c r="S96" t="s">
        <v>53</v>
      </c>
      <c r="T96" t="s">
        <v>53</v>
      </c>
      <c r="U96">
        <v>0</v>
      </c>
      <c r="V96">
        <v>0</v>
      </c>
      <c r="X96">
        <v>0</v>
      </c>
      <c r="Z96">
        <v>0</v>
      </c>
      <c r="AB96">
        <v>0</v>
      </c>
      <c r="AD96">
        <v>0</v>
      </c>
      <c r="AE96">
        <v>0</v>
      </c>
      <c r="AG96">
        <v>0</v>
      </c>
      <c r="AI96">
        <v>0</v>
      </c>
      <c r="AK96">
        <v>0</v>
      </c>
      <c r="AM96">
        <v>0</v>
      </c>
      <c r="AN96" t="s">
        <v>53</v>
      </c>
      <c r="AO96" t="s">
        <v>53</v>
      </c>
      <c r="AP96">
        <v>0</v>
      </c>
      <c r="AQ96" t="s">
        <v>53</v>
      </c>
      <c r="AR96" t="s">
        <v>53</v>
      </c>
      <c r="AS96" t="s">
        <v>53</v>
      </c>
      <c r="AT96" t="s">
        <v>53</v>
      </c>
      <c r="AU96" t="s">
        <v>53</v>
      </c>
    </row>
    <row r="97" spans="1:47" x14ac:dyDescent="0.2">
      <c r="A97" t="s">
        <v>3109</v>
      </c>
      <c r="B97" t="s">
        <v>3110</v>
      </c>
      <c r="C97">
        <v>1173</v>
      </c>
      <c r="D97">
        <v>1075</v>
      </c>
      <c r="E97">
        <v>0.91600000000000004</v>
      </c>
      <c r="F97">
        <v>786</v>
      </c>
      <c r="G97">
        <v>0.73099999999999998</v>
      </c>
      <c r="H97">
        <v>1034</v>
      </c>
      <c r="I97">
        <v>0.96199999999999997</v>
      </c>
      <c r="J97">
        <v>648</v>
      </c>
      <c r="K97">
        <v>0.627</v>
      </c>
      <c r="L97">
        <v>330</v>
      </c>
      <c r="M97">
        <v>405</v>
      </c>
      <c r="N97">
        <v>1.2270000000000001</v>
      </c>
      <c r="O97">
        <v>248</v>
      </c>
      <c r="P97">
        <v>0.61199999999999999</v>
      </c>
      <c r="Q97">
        <v>402</v>
      </c>
      <c r="R97">
        <v>0.99299999999999999</v>
      </c>
      <c r="S97">
        <v>231</v>
      </c>
      <c r="T97">
        <v>0.57499999999999996</v>
      </c>
      <c r="U97">
        <v>358</v>
      </c>
      <c r="V97">
        <v>310</v>
      </c>
      <c r="W97">
        <v>0.86599999999999999</v>
      </c>
      <c r="X97">
        <v>253</v>
      </c>
      <c r="Y97">
        <v>0.81599999999999995</v>
      </c>
      <c r="Z97">
        <v>295</v>
      </c>
      <c r="AA97">
        <v>0.95199999999999996</v>
      </c>
      <c r="AB97">
        <v>192</v>
      </c>
      <c r="AC97">
        <v>0.65100000000000002</v>
      </c>
      <c r="AD97">
        <v>333</v>
      </c>
      <c r="AE97">
        <v>336</v>
      </c>
      <c r="AF97">
        <v>1.0089999999999999</v>
      </c>
      <c r="AG97">
        <v>261</v>
      </c>
      <c r="AH97">
        <v>0.77700000000000002</v>
      </c>
      <c r="AI97">
        <v>313</v>
      </c>
      <c r="AJ97">
        <v>0.93200000000000005</v>
      </c>
      <c r="AK97">
        <v>208</v>
      </c>
      <c r="AL97">
        <v>0.66500000000000004</v>
      </c>
      <c r="AM97">
        <v>152</v>
      </c>
      <c r="AN97">
        <v>24</v>
      </c>
      <c r="AO97">
        <v>0.158</v>
      </c>
      <c r="AP97">
        <v>24</v>
      </c>
      <c r="AQ97">
        <v>1</v>
      </c>
      <c r="AR97">
        <v>24</v>
      </c>
      <c r="AS97">
        <v>1</v>
      </c>
      <c r="AT97">
        <v>17</v>
      </c>
      <c r="AU97">
        <v>0.70799999999999996</v>
      </c>
    </row>
    <row r="98" spans="1:47" x14ac:dyDescent="0.2">
      <c r="A98" t="s">
        <v>3781</v>
      </c>
      <c r="B98" t="s">
        <v>3782</v>
      </c>
      <c r="C98">
        <v>634</v>
      </c>
      <c r="D98">
        <v>466</v>
      </c>
      <c r="E98">
        <v>0.73499999999999999</v>
      </c>
      <c r="F98">
        <v>418</v>
      </c>
      <c r="G98">
        <v>0.89700000000000002</v>
      </c>
      <c r="H98">
        <v>428</v>
      </c>
      <c r="I98">
        <v>0.91800000000000004</v>
      </c>
      <c r="J98">
        <v>299</v>
      </c>
      <c r="K98">
        <v>0.69899999999999995</v>
      </c>
      <c r="L98">
        <v>271</v>
      </c>
      <c r="M98">
        <v>156</v>
      </c>
      <c r="N98">
        <v>0.57599999999999996</v>
      </c>
      <c r="O98">
        <v>136</v>
      </c>
      <c r="P98">
        <v>0.872</v>
      </c>
      <c r="Q98">
        <v>149</v>
      </c>
      <c r="R98">
        <v>0.95499999999999996</v>
      </c>
      <c r="S98">
        <v>103</v>
      </c>
      <c r="T98">
        <v>0.69099999999999995</v>
      </c>
      <c r="U98">
        <v>147</v>
      </c>
      <c r="V98">
        <v>127</v>
      </c>
      <c r="W98">
        <v>0.86399999999999999</v>
      </c>
      <c r="X98">
        <v>116</v>
      </c>
      <c r="Y98">
        <v>0.91300000000000003</v>
      </c>
      <c r="Z98">
        <v>115</v>
      </c>
      <c r="AA98">
        <v>0.90600000000000003</v>
      </c>
      <c r="AB98">
        <v>87</v>
      </c>
      <c r="AC98">
        <v>0.75700000000000001</v>
      </c>
      <c r="AD98">
        <v>145</v>
      </c>
      <c r="AE98">
        <v>143</v>
      </c>
      <c r="AF98">
        <v>0.98599999999999999</v>
      </c>
      <c r="AG98">
        <v>128</v>
      </c>
      <c r="AH98">
        <v>0.89500000000000002</v>
      </c>
      <c r="AI98">
        <v>124</v>
      </c>
      <c r="AJ98">
        <v>0.86699999999999999</v>
      </c>
      <c r="AK98">
        <v>90</v>
      </c>
      <c r="AL98">
        <v>0.72599999999999998</v>
      </c>
      <c r="AM98">
        <v>71</v>
      </c>
      <c r="AN98">
        <v>40</v>
      </c>
      <c r="AO98">
        <v>0.56299999999999994</v>
      </c>
      <c r="AP98">
        <v>38</v>
      </c>
      <c r="AQ98">
        <v>0.95</v>
      </c>
      <c r="AR98">
        <v>40</v>
      </c>
      <c r="AS98">
        <v>1</v>
      </c>
      <c r="AT98">
        <v>19</v>
      </c>
      <c r="AU98">
        <v>0.47499999999999998</v>
      </c>
    </row>
    <row r="99" spans="1:47" x14ac:dyDescent="0.2">
      <c r="A99" t="s">
        <v>3784</v>
      </c>
      <c r="B99" t="s">
        <v>3785</v>
      </c>
      <c r="C99">
        <v>2281</v>
      </c>
      <c r="D99">
        <v>1387</v>
      </c>
      <c r="E99">
        <v>0.60799999999999998</v>
      </c>
      <c r="F99">
        <v>1089</v>
      </c>
      <c r="G99">
        <v>0.78500000000000003</v>
      </c>
      <c r="H99">
        <v>1286</v>
      </c>
      <c r="I99">
        <v>0.92700000000000005</v>
      </c>
      <c r="J99">
        <v>848</v>
      </c>
      <c r="K99">
        <v>0.65900000000000003</v>
      </c>
      <c r="L99">
        <v>668</v>
      </c>
      <c r="M99">
        <v>340</v>
      </c>
      <c r="N99">
        <v>0.50900000000000001</v>
      </c>
      <c r="O99">
        <v>252</v>
      </c>
      <c r="P99">
        <v>0.74099999999999999</v>
      </c>
      <c r="Q99">
        <v>339</v>
      </c>
      <c r="R99">
        <v>0.997</v>
      </c>
      <c r="S99">
        <v>212</v>
      </c>
      <c r="T99">
        <v>0.625</v>
      </c>
      <c r="U99">
        <v>628</v>
      </c>
      <c r="V99">
        <v>457</v>
      </c>
      <c r="W99">
        <v>0.72799999999999998</v>
      </c>
      <c r="X99">
        <v>369</v>
      </c>
      <c r="Y99">
        <v>0.80700000000000005</v>
      </c>
      <c r="Z99">
        <v>413</v>
      </c>
      <c r="AA99">
        <v>0.90400000000000003</v>
      </c>
      <c r="AB99">
        <v>279</v>
      </c>
      <c r="AC99">
        <v>0.67600000000000005</v>
      </c>
      <c r="AD99">
        <v>727</v>
      </c>
      <c r="AE99">
        <v>556</v>
      </c>
      <c r="AF99">
        <v>0.76500000000000001</v>
      </c>
      <c r="AG99">
        <v>443</v>
      </c>
      <c r="AH99">
        <v>0.79700000000000004</v>
      </c>
      <c r="AI99">
        <v>501</v>
      </c>
      <c r="AJ99">
        <v>0.90100000000000002</v>
      </c>
      <c r="AK99">
        <v>339</v>
      </c>
      <c r="AL99">
        <v>0.67700000000000005</v>
      </c>
      <c r="AM99">
        <v>258</v>
      </c>
      <c r="AN99">
        <v>34</v>
      </c>
      <c r="AO99">
        <v>0.13200000000000001</v>
      </c>
      <c r="AP99">
        <v>25</v>
      </c>
      <c r="AQ99">
        <v>0.73499999999999999</v>
      </c>
      <c r="AR99">
        <v>33</v>
      </c>
      <c r="AS99">
        <v>0.97099999999999997</v>
      </c>
      <c r="AT99">
        <v>18</v>
      </c>
      <c r="AU99">
        <v>0.54500000000000004</v>
      </c>
    </row>
    <row r="100" spans="1:47" x14ac:dyDescent="0.2">
      <c r="A100" t="s">
        <v>6527</v>
      </c>
      <c r="B100" t="s">
        <v>6528</v>
      </c>
      <c r="C100">
        <v>391</v>
      </c>
      <c r="D100">
        <v>0</v>
      </c>
      <c r="E100">
        <v>0</v>
      </c>
      <c r="F100">
        <v>0</v>
      </c>
      <c r="H100">
        <v>0</v>
      </c>
      <c r="J100">
        <v>0</v>
      </c>
      <c r="L100">
        <v>305</v>
      </c>
      <c r="M100">
        <v>0</v>
      </c>
      <c r="N100">
        <v>0</v>
      </c>
      <c r="O100">
        <v>0</v>
      </c>
      <c r="Q100">
        <v>0</v>
      </c>
      <c r="S100">
        <v>0</v>
      </c>
      <c r="U100">
        <v>0</v>
      </c>
      <c r="V100">
        <v>0</v>
      </c>
      <c r="X100">
        <v>0</v>
      </c>
      <c r="Z100">
        <v>0</v>
      </c>
      <c r="AB100">
        <v>0</v>
      </c>
      <c r="AD100" t="s">
        <v>53</v>
      </c>
      <c r="AE100">
        <v>0</v>
      </c>
      <c r="AF100" t="s">
        <v>53</v>
      </c>
      <c r="AG100">
        <v>0</v>
      </c>
      <c r="AI100">
        <v>0</v>
      </c>
      <c r="AK100">
        <v>0</v>
      </c>
      <c r="AM100" t="s">
        <v>53</v>
      </c>
      <c r="AN100">
        <v>0</v>
      </c>
      <c r="AO100" t="s">
        <v>53</v>
      </c>
      <c r="AP100">
        <v>0</v>
      </c>
      <c r="AR100">
        <v>0</v>
      </c>
      <c r="AT100">
        <v>0</v>
      </c>
    </row>
    <row r="101" spans="1:47" x14ac:dyDescent="0.2">
      <c r="A101" t="s">
        <v>3787</v>
      </c>
      <c r="B101" t="s">
        <v>3788</v>
      </c>
      <c r="C101">
        <v>1628</v>
      </c>
      <c r="D101">
        <v>1425</v>
      </c>
      <c r="E101">
        <v>0.875</v>
      </c>
      <c r="F101">
        <v>948</v>
      </c>
      <c r="G101">
        <v>0.66500000000000004</v>
      </c>
      <c r="H101">
        <v>958</v>
      </c>
      <c r="I101">
        <v>0.67200000000000004</v>
      </c>
      <c r="J101">
        <v>638</v>
      </c>
      <c r="K101">
        <v>0.66600000000000004</v>
      </c>
      <c r="L101">
        <v>559</v>
      </c>
      <c r="M101">
        <v>470</v>
      </c>
      <c r="N101">
        <v>0.84099999999999997</v>
      </c>
      <c r="O101">
        <v>326</v>
      </c>
      <c r="P101">
        <v>0.69399999999999995</v>
      </c>
      <c r="Q101">
        <v>392</v>
      </c>
      <c r="R101">
        <v>0.83399999999999996</v>
      </c>
      <c r="S101">
        <v>245</v>
      </c>
      <c r="T101">
        <v>0.625</v>
      </c>
      <c r="U101">
        <v>352</v>
      </c>
      <c r="V101">
        <v>359</v>
      </c>
      <c r="W101">
        <v>1.02</v>
      </c>
      <c r="X101">
        <v>252</v>
      </c>
      <c r="Y101">
        <v>0.70199999999999996</v>
      </c>
      <c r="Z101" t="s">
        <v>53</v>
      </c>
      <c r="AA101" t="s">
        <v>53</v>
      </c>
      <c r="AB101" t="s">
        <v>53</v>
      </c>
      <c r="AC101" t="s">
        <v>53</v>
      </c>
      <c r="AD101">
        <v>561</v>
      </c>
      <c r="AE101">
        <v>587</v>
      </c>
      <c r="AF101">
        <v>1.046</v>
      </c>
      <c r="AG101">
        <v>364</v>
      </c>
      <c r="AH101">
        <v>0.62</v>
      </c>
      <c r="AI101">
        <v>342</v>
      </c>
      <c r="AJ101">
        <v>0.58299999999999996</v>
      </c>
      <c r="AK101">
        <v>239</v>
      </c>
      <c r="AL101">
        <v>0.69899999999999995</v>
      </c>
      <c r="AM101">
        <v>156</v>
      </c>
      <c r="AN101">
        <v>9</v>
      </c>
      <c r="AO101">
        <v>5.8000000000000003E-2</v>
      </c>
      <c r="AP101">
        <v>6</v>
      </c>
      <c r="AQ101">
        <v>0.66700000000000004</v>
      </c>
      <c r="AR101" t="s">
        <v>53</v>
      </c>
      <c r="AS101" t="s">
        <v>53</v>
      </c>
      <c r="AT101" t="s">
        <v>53</v>
      </c>
      <c r="AU101" t="s">
        <v>53</v>
      </c>
    </row>
    <row r="102" spans="1:47" x14ac:dyDescent="0.2">
      <c r="A102" t="s">
        <v>3790</v>
      </c>
      <c r="B102" t="s">
        <v>3791</v>
      </c>
      <c r="C102">
        <v>2586</v>
      </c>
      <c r="D102">
        <v>1817</v>
      </c>
      <c r="E102">
        <v>0.70299999999999996</v>
      </c>
      <c r="F102">
        <v>1474</v>
      </c>
      <c r="G102">
        <v>0.81100000000000005</v>
      </c>
      <c r="H102">
        <v>1693</v>
      </c>
      <c r="I102">
        <v>0.93200000000000005</v>
      </c>
      <c r="J102">
        <v>1218</v>
      </c>
      <c r="K102">
        <v>0.71899999999999997</v>
      </c>
      <c r="L102">
        <v>715</v>
      </c>
      <c r="M102">
        <v>263</v>
      </c>
      <c r="N102">
        <v>0.36799999999999999</v>
      </c>
      <c r="O102">
        <v>233</v>
      </c>
      <c r="P102">
        <v>0.88600000000000001</v>
      </c>
      <c r="Q102">
        <v>262</v>
      </c>
      <c r="R102">
        <v>0.996</v>
      </c>
      <c r="S102">
        <v>179</v>
      </c>
      <c r="T102">
        <v>0.68300000000000005</v>
      </c>
      <c r="U102">
        <v>779</v>
      </c>
      <c r="V102">
        <v>678</v>
      </c>
      <c r="W102">
        <v>0.87</v>
      </c>
      <c r="X102">
        <v>583</v>
      </c>
      <c r="Y102">
        <v>0.86</v>
      </c>
      <c r="Z102">
        <v>637</v>
      </c>
      <c r="AA102">
        <v>0.94</v>
      </c>
      <c r="AB102">
        <v>478</v>
      </c>
      <c r="AC102">
        <v>0.75</v>
      </c>
      <c r="AD102">
        <v>832</v>
      </c>
      <c r="AE102">
        <v>838</v>
      </c>
      <c r="AF102">
        <v>1.0069999999999999</v>
      </c>
      <c r="AG102">
        <v>623</v>
      </c>
      <c r="AH102">
        <v>0.74299999999999999</v>
      </c>
      <c r="AI102">
        <v>756</v>
      </c>
      <c r="AJ102">
        <v>0.90200000000000002</v>
      </c>
      <c r="AK102">
        <v>537</v>
      </c>
      <c r="AL102">
        <v>0.71</v>
      </c>
      <c r="AM102">
        <v>260</v>
      </c>
      <c r="AN102">
        <v>38</v>
      </c>
      <c r="AO102">
        <v>0.14599999999999999</v>
      </c>
      <c r="AP102">
        <v>35</v>
      </c>
      <c r="AQ102">
        <v>0.92100000000000004</v>
      </c>
      <c r="AR102">
        <v>38</v>
      </c>
      <c r="AS102">
        <v>1</v>
      </c>
      <c r="AT102">
        <v>24</v>
      </c>
      <c r="AU102">
        <v>0.63200000000000001</v>
      </c>
    </row>
    <row r="103" spans="1:47" x14ac:dyDescent="0.2">
      <c r="A103" t="s">
        <v>3811</v>
      </c>
      <c r="B103" t="s">
        <v>3812</v>
      </c>
      <c r="C103">
        <v>86</v>
      </c>
      <c r="D103">
        <v>18</v>
      </c>
      <c r="E103">
        <v>0.20899999999999999</v>
      </c>
      <c r="F103">
        <v>12</v>
      </c>
      <c r="G103">
        <v>0.66700000000000004</v>
      </c>
      <c r="H103">
        <v>18</v>
      </c>
      <c r="I103">
        <v>1</v>
      </c>
      <c r="J103">
        <v>13</v>
      </c>
      <c r="K103">
        <v>0.72199999999999998</v>
      </c>
      <c r="L103">
        <v>68</v>
      </c>
      <c r="M103" t="s">
        <v>53</v>
      </c>
      <c r="N103" t="s">
        <v>53</v>
      </c>
      <c r="O103" t="s">
        <v>53</v>
      </c>
      <c r="P103" t="s">
        <v>53</v>
      </c>
      <c r="Q103" t="s">
        <v>53</v>
      </c>
      <c r="R103" t="s">
        <v>53</v>
      </c>
      <c r="S103">
        <v>13</v>
      </c>
      <c r="T103" t="s">
        <v>53</v>
      </c>
      <c r="U103">
        <v>0</v>
      </c>
      <c r="V103">
        <v>0</v>
      </c>
      <c r="X103">
        <v>0</v>
      </c>
      <c r="Z103">
        <v>0</v>
      </c>
      <c r="AB103">
        <v>0</v>
      </c>
      <c r="AD103">
        <v>0</v>
      </c>
      <c r="AE103">
        <v>0</v>
      </c>
      <c r="AG103">
        <v>0</v>
      </c>
      <c r="AI103">
        <v>0</v>
      </c>
      <c r="AK103">
        <v>0</v>
      </c>
      <c r="AM103">
        <v>18</v>
      </c>
      <c r="AN103" t="s">
        <v>53</v>
      </c>
      <c r="AO103" t="s">
        <v>53</v>
      </c>
      <c r="AP103" t="s">
        <v>53</v>
      </c>
      <c r="AQ103" t="s">
        <v>53</v>
      </c>
      <c r="AR103" t="s">
        <v>53</v>
      </c>
      <c r="AS103" t="s">
        <v>53</v>
      </c>
      <c r="AT103">
        <v>0</v>
      </c>
      <c r="AU103" t="s">
        <v>53</v>
      </c>
    </row>
    <row r="104" spans="1:47" x14ac:dyDescent="0.2">
      <c r="A104" t="s">
        <v>6460</v>
      </c>
      <c r="B104" t="s">
        <v>6461</v>
      </c>
      <c r="C104">
        <v>0</v>
      </c>
      <c r="D104" t="s">
        <v>53</v>
      </c>
      <c r="E104" t="s">
        <v>53</v>
      </c>
      <c r="F104" t="s">
        <v>53</v>
      </c>
      <c r="G104" t="s">
        <v>53</v>
      </c>
      <c r="H104" t="s">
        <v>53</v>
      </c>
      <c r="I104" t="s">
        <v>53</v>
      </c>
      <c r="J104" t="s">
        <v>53</v>
      </c>
      <c r="K104" t="s">
        <v>53</v>
      </c>
      <c r="L104">
        <v>0</v>
      </c>
      <c r="M104">
        <v>0</v>
      </c>
      <c r="O104">
        <v>0</v>
      </c>
      <c r="Q104">
        <v>0</v>
      </c>
      <c r="S104">
        <v>0</v>
      </c>
      <c r="U104">
        <v>0</v>
      </c>
      <c r="V104">
        <v>0</v>
      </c>
      <c r="X104">
        <v>0</v>
      </c>
      <c r="Z104">
        <v>0</v>
      </c>
      <c r="AB104">
        <v>0</v>
      </c>
      <c r="AD104">
        <v>0</v>
      </c>
      <c r="AE104">
        <v>0</v>
      </c>
      <c r="AG104">
        <v>0</v>
      </c>
      <c r="AI104">
        <v>0</v>
      </c>
      <c r="AK104">
        <v>0</v>
      </c>
      <c r="AM104">
        <v>0</v>
      </c>
      <c r="AN104" t="s">
        <v>53</v>
      </c>
      <c r="AO104" t="s">
        <v>53</v>
      </c>
      <c r="AP104" t="s">
        <v>53</v>
      </c>
      <c r="AQ104" t="s">
        <v>53</v>
      </c>
      <c r="AR104" t="s">
        <v>53</v>
      </c>
      <c r="AS104" t="s">
        <v>53</v>
      </c>
      <c r="AT104" t="s">
        <v>53</v>
      </c>
      <c r="AU104" t="s">
        <v>53</v>
      </c>
    </row>
    <row r="105" spans="1:47" x14ac:dyDescent="0.2">
      <c r="A105" t="s">
        <v>3796</v>
      </c>
      <c r="B105" t="s">
        <v>3797</v>
      </c>
      <c r="C105">
        <v>187</v>
      </c>
      <c r="D105">
        <v>176</v>
      </c>
      <c r="E105">
        <v>0.94099999999999995</v>
      </c>
      <c r="F105">
        <v>170</v>
      </c>
      <c r="G105">
        <v>0.96599999999999997</v>
      </c>
      <c r="H105">
        <v>174</v>
      </c>
      <c r="I105">
        <v>0.98899999999999999</v>
      </c>
      <c r="J105">
        <v>120</v>
      </c>
      <c r="K105">
        <v>0.69</v>
      </c>
      <c r="L105">
        <v>146</v>
      </c>
      <c r="M105">
        <v>143</v>
      </c>
      <c r="N105">
        <v>0.97899999999999998</v>
      </c>
      <c r="O105">
        <v>137</v>
      </c>
      <c r="P105">
        <v>0.95799999999999996</v>
      </c>
      <c r="Q105">
        <v>141</v>
      </c>
      <c r="R105">
        <v>0.98599999999999999</v>
      </c>
      <c r="S105">
        <v>103</v>
      </c>
      <c r="T105">
        <v>0.73</v>
      </c>
      <c r="U105">
        <v>0</v>
      </c>
      <c r="V105">
        <v>0</v>
      </c>
      <c r="X105">
        <v>0</v>
      </c>
      <c r="Z105">
        <v>0</v>
      </c>
      <c r="AB105">
        <v>0</v>
      </c>
      <c r="AD105">
        <v>0</v>
      </c>
      <c r="AE105">
        <v>0</v>
      </c>
      <c r="AG105">
        <v>0</v>
      </c>
      <c r="AI105">
        <v>0</v>
      </c>
      <c r="AK105">
        <v>0</v>
      </c>
      <c r="AM105">
        <v>41</v>
      </c>
      <c r="AN105">
        <v>33</v>
      </c>
      <c r="AO105">
        <v>0.80500000000000005</v>
      </c>
      <c r="AP105">
        <v>33</v>
      </c>
      <c r="AQ105">
        <v>1</v>
      </c>
      <c r="AR105">
        <v>33</v>
      </c>
      <c r="AS105">
        <v>1</v>
      </c>
      <c r="AT105">
        <v>17</v>
      </c>
      <c r="AU105">
        <v>0.51500000000000001</v>
      </c>
    </row>
    <row r="106" spans="1:47" x14ac:dyDescent="0.2">
      <c r="A106" t="s">
        <v>3799</v>
      </c>
      <c r="B106" t="s">
        <v>3800</v>
      </c>
      <c r="C106">
        <v>2115</v>
      </c>
      <c r="D106">
        <v>1031</v>
      </c>
      <c r="E106">
        <v>0.48699999999999999</v>
      </c>
      <c r="F106">
        <v>886</v>
      </c>
      <c r="G106">
        <v>0.85899999999999999</v>
      </c>
      <c r="H106">
        <v>984</v>
      </c>
      <c r="I106">
        <v>0.95399999999999996</v>
      </c>
      <c r="J106">
        <v>615</v>
      </c>
      <c r="K106">
        <v>0.625</v>
      </c>
      <c r="L106">
        <v>769</v>
      </c>
      <c r="M106">
        <v>396</v>
      </c>
      <c r="N106">
        <v>0.51500000000000001</v>
      </c>
      <c r="O106">
        <v>352</v>
      </c>
      <c r="P106">
        <v>0.88900000000000001</v>
      </c>
      <c r="Q106">
        <v>394</v>
      </c>
      <c r="R106">
        <v>0.995</v>
      </c>
      <c r="S106">
        <v>250</v>
      </c>
      <c r="T106">
        <v>0.63500000000000001</v>
      </c>
      <c r="U106">
        <v>538</v>
      </c>
      <c r="V106">
        <v>247</v>
      </c>
      <c r="W106">
        <v>0.45900000000000002</v>
      </c>
      <c r="X106">
        <v>208</v>
      </c>
      <c r="Y106">
        <v>0.84199999999999997</v>
      </c>
      <c r="Z106">
        <v>222</v>
      </c>
      <c r="AA106">
        <v>0.89900000000000002</v>
      </c>
      <c r="AB106">
        <v>145</v>
      </c>
      <c r="AC106">
        <v>0.65300000000000002</v>
      </c>
      <c r="AD106">
        <v>671</v>
      </c>
      <c r="AE106">
        <v>310</v>
      </c>
      <c r="AF106">
        <v>0.46200000000000002</v>
      </c>
      <c r="AG106">
        <v>254</v>
      </c>
      <c r="AH106">
        <v>0.81899999999999995</v>
      </c>
      <c r="AI106">
        <v>291</v>
      </c>
      <c r="AJ106">
        <v>0.93899999999999995</v>
      </c>
      <c r="AK106">
        <v>184</v>
      </c>
      <c r="AL106">
        <v>0.63200000000000001</v>
      </c>
      <c r="AM106">
        <v>137</v>
      </c>
      <c r="AN106">
        <v>78</v>
      </c>
      <c r="AO106">
        <v>0.56899999999999995</v>
      </c>
      <c r="AP106">
        <v>72</v>
      </c>
      <c r="AQ106">
        <v>0.92300000000000004</v>
      </c>
      <c r="AR106">
        <v>77</v>
      </c>
      <c r="AS106">
        <v>0.98699999999999999</v>
      </c>
      <c r="AT106">
        <v>36</v>
      </c>
      <c r="AU106">
        <v>0.46800000000000003</v>
      </c>
    </row>
    <row r="107" spans="1:47" x14ac:dyDescent="0.2">
      <c r="A107" t="s">
        <v>6499</v>
      </c>
      <c r="B107" t="s">
        <v>6500</v>
      </c>
      <c r="C107">
        <v>34</v>
      </c>
      <c r="D107">
        <v>0</v>
      </c>
      <c r="E107">
        <v>0</v>
      </c>
      <c r="F107">
        <v>0</v>
      </c>
      <c r="H107">
        <v>0</v>
      </c>
      <c r="J107">
        <v>0</v>
      </c>
      <c r="L107">
        <v>13</v>
      </c>
      <c r="M107">
        <v>0</v>
      </c>
      <c r="N107">
        <v>0</v>
      </c>
      <c r="O107">
        <v>0</v>
      </c>
      <c r="Q107">
        <v>0</v>
      </c>
      <c r="S107">
        <v>0</v>
      </c>
      <c r="U107">
        <v>0</v>
      </c>
      <c r="V107">
        <v>0</v>
      </c>
      <c r="X107">
        <v>0</v>
      </c>
      <c r="Z107">
        <v>0</v>
      </c>
      <c r="AB107">
        <v>0</v>
      </c>
      <c r="AD107">
        <v>21</v>
      </c>
      <c r="AE107">
        <v>0</v>
      </c>
      <c r="AF107">
        <v>0</v>
      </c>
      <c r="AG107">
        <v>0</v>
      </c>
      <c r="AI107">
        <v>0</v>
      </c>
      <c r="AK107">
        <v>0</v>
      </c>
      <c r="AM107">
        <v>0</v>
      </c>
      <c r="AN107">
        <v>0</v>
      </c>
      <c r="AP107">
        <v>0</v>
      </c>
      <c r="AR107">
        <v>0</v>
      </c>
      <c r="AT107">
        <v>0</v>
      </c>
    </row>
    <row r="108" spans="1:47" x14ac:dyDescent="0.2">
      <c r="A108" t="s">
        <v>3802</v>
      </c>
      <c r="B108" t="s">
        <v>3803</v>
      </c>
      <c r="C108">
        <v>1027</v>
      </c>
      <c r="D108">
        <v>731</v>
      </c>
      <c r="E108">
        <v>0.71199999999999997</v>
      </c>
      <c r="F108">
        <v>656</v>
      </c>
      <c r="G108">
        <v>0.89700000000000002</v>
      </c>
      <c r="H108">
        <v>695</v>
      </c>
      <c r="I108">
        <v>0.95099999999999996</v>
      </c>
      <c r="J108">
        <v>537</v>
      </c>
      <c r="K108">
        <v>0.77300000000000002</v>
      </c>
      <c r="L108">
        <v>224</v>
      </c>
      <c r="M108">
        <v>92</v>
      </c>
      <c r="N108">
        <v>0.41099999999999998</v>
      </c>
      <c r="O108">
        <v>74</v>
      </c>
      <c r="P108">
        <v>0.80400000000000005</v>
      </c>
      <c r="Q108">
        <v>89</v>
      </c>
      <c r="R108">
        <v>0.96699999999999997</v>
      </c>
      <c r="S108">
        <v>70</v>
      </c>
      <c r="T108">
        <v>0.78700000000000003</v>
      </c>
      <c r="U108">
        <v>373</v>
      </c>
      <c r="V108">
        <v>303</v>
      </c>
      <c r="W108">
        <v>0.81200000000000006</v>
      </c>
      <c r="X108">
        <v>281</v>
      </c>
      <c r="Y108">
        <v>0.92700000000000005</v>
      </c>
      <c r="Z108">
        <v>291</v>
      </c>
      <c r="AA108">
        <v>0.96</v>
      </c>
      <c r="AB108">
        <v>231</v>
      </c>
      <c r="AC108">
        <v>0.79400000000000004</v>
      </c>
      <c r="AD108">
        <v>329</v>
      </c>
      <c r="AE108">
        <v>278</v>
      </c>
      <c r="AF108">
        <v>0.84499999999999997</v>
      </c>
      <c r="AG108">
        <v>245</v>
      </c>
      <c r="AH108">
        <v>0.88100000000000001</v>
      </c>
      <c r="AI108">
        <v>257</v>
      </c>
      <c r="AJ108">
        <v>0.92400000000000004</v>
      </c>
      <c r="AK108">
        <v>200</v>
      </c>
      <c r="AL108">
        <v>0.77800000000000002</v>
      </c>
      <c r="AM108">
        <v>101</v>
      </c>
      <c r="AN108">
        <v>58</v>
      </c>
      <c r="AO108">
        <v>0.57399999999999995</v>
      </c>
      <c r="AP108">
        <v>56</v>
      </c>
      <c r="AQ108">
        <v>0.96599999999999997</v>
      </c>
      <c r="AR108">
        <v>58</v>
      </c>
      <c r="AS108">
        <v>1</v>
      </c>
      <c r="AT108">
        <v>36</v>
      </c>
      <c r="AU108">
        <v>0.621</v>
      </c>
    </row>
    <row r="109" spans="1:47" x14ac:dyDescent="0.2">
      <c r="A109" t="s">
        <v>3805</v>
      </c>
      <c r="B109" t="s">
        <v>3806</v>
      </c>
      <c r="C109">
        <v>168</v>
      </c>
      <c r="D109">
        <v>121</v>
      </c>
      <c r="E109">
        <v>0.72</v>
      </c>
      <c r="F109">
        <v>115</v>
      </c>
      <c r="G109">
        <v>0.95</v>
      </c>
      <c r="H109">
        <v>121</v>
      </c>
      <c r="I109">
        <v>1</v>
      </c>
      <c r="J109">
        <v>96</v>
      </c>
      <c r="K109">
        <v>0.79300000000000004</v>
      </c>
      <c r="L109">
        <v>163</v>
      </c>
      <c r="M109">
        <v>121</v>
      </c>
      <c r="N109">
        <v>0.74199999999999999</v>
      </c>
      <c r="O109">
        <v>115</v>
      </c>
      <c r="P109">
        <v>0.95</v>
      </c>
      <c r="Q109">
        <v>121</v>
      </c>
      <c r="R109">
        <v>1</v>
      </c>
      <c r="S109">
        <v>96</v>
      </c>
      <c r="T109">
        <v>0.79300000000000004</v>
      </c>
      <c r="U109" t="s">
        <v>53</v>
      </c>
      <c r="V109">
        <v>0</v>
      </c>
      <c r="W109" t="s">
        <v>53</v>
      </c>
      <c r="X109">
        <v>0</v>
      </c>
      <c r="Z109">
        <v>0</v>
      </c>
      <c r="AB109">
        <v>0</v>
      </c>
      <c r="AD109" t="s">
        <v>53</v>
      </c>
      <c r="AE109">
        <v>0</v>
      </c>
      <c r="AF109" t="s">
        <v>53</v>
      </c>
      <c r="AG109">
        <v>0</v>
      </c>
      <c r="AI109">
        <v>0</v>
      </c>
      <c r="AK109">
        <v>0</v>
      </c>
      <c r="AM109">
        <v>0</v>
      </c>
      <c r="AN109">
        <v>0</v>
      </c>
      <c r="AP109">
        <v>0</v>
      </c>
      <c r="AR109">
        <v>0</v>
      </c>
      <c r="AT109">
        <v>0</v>
      </c>
    </row>
    <row r="110" spans="1:47" x14ac:dyDescent="0.2">
      <c r="A110" t="s">
        <v>4518</v>
      </c>
      <c r="B110" t="s">
        <v>4519</v>
      </c>
      <c r="C110">
        <v>926</v>
      </c>
      <c r="D110">
        <v>918</v>
      </c>
      <c r="E110">
        <v>0.99099999999999999</v>
      </c>
      <c r="F110">
        <v>778</v>
      </c>
      <c r="G110">
        <v>0.84699999999999998</v>
      </c>
      <c r="H110">
        <v>854</v>
      </c>
      <c r="I110">
        <v>0.93</v>
      </c>
      <c r="J110">
        <v>652</v>
      </c>
      <c r="K110">
        <v>0.76300000000000001</v>
      </c>
      <c r="L110" t="s">
        <v>53</v>
      </c>
      <c r="M110">
        <v>0</v>
      </c>
      <c r="N110" t="s">
        <v>53</v>
      </c>
      <c r="O110">
        <v>0</v>
      </c>
      <c r="Q110">
        <v>0</v>
      </c>
      <c r="S110">
        <v>0</v>
      </c>
      <c r="U110">
        <v>511</v>
      </c>
      <c r="V110">
        <v>488</v>
      </c>
      <c r="W110">
        <v>0.95499999999999996</v>
      </c>
      <c r="X110">
        <v>470</v>
      </c>
      <c r="Y110">
        <v>0.96299999999999997</v>
      </c>
      <c r="Z110">
        <v>473</v>
      </c>
      <c r="AA110">
        <v>0.96899999999999997</v>
      </c>
      <c r="AB110">
        <v>362</v>
      </c>
      <c r="AC110">
        <v>0.76500000000000001</v>
      </c>
      <c r="AD110">
        <v>336</v>
      </c>
      <c r="AE110">
        <v>430</v>
      </c>
      <c r="AF110">
        <v>1.28</v>
      </c>
      <c r="AG110">
        <v>308</v>
      </c>
      <c r="AH110">
        <v>0.71599999999999997</v>
      </c>
      <c r="AI110">
        <v>381</v>
      </c>
      <c r="AJ110">
        <v>0.88600000000000001</v>
      </c>
      <c r="AK110">
        <v>290</v>
      </c>
      <c r="AL110">
        <v>0.76100000000000001</v>
      </c>
      <c r="AM110" t="s">
        <v>53</v>
      </c>
      <c r="AN110">
        <v>0</v>
      </c>
      <c r="AO110" t="s">
        <v>53</v>
      </c>
      <c r="AP110">
        <v>0</v>
      </c>
      <c r="AR110">
        <v>0</v>
      </c>
      <c r="AT110">
        <v>0</v>
      </c>
    </row>
    <row r="111" spans="1:47" x14ac:dyDescent="0.2">
      <c r="A111" t="s">
        <v>3808</v>
      </c>
      <c r="B111" t="s">
        <v>3809</v>
      </c>
      <c r="C111">
        <v>0</v>
      </c>
      <c r="D111">
        <v>236</v>
      </c>
      <c r="F111">
        <v>148</v>
      </c>
      <c r="G111">
        <v>0.627</v>
      </c>
      <c r="H111">
        <v>211</v>
      </c>
      <c r="I111">
        <v>0.89400000000000002</v>
      </c>
      <c r="J111">
        <v>137</v>
      </c>
      <c r="K111">
        <v>0.64900000000000002</v>
      </c>
      <c r="L111">
        <v>0</v>
      </c>
      <c r="M111">
        <v>93</v>
      </c>
      <c r="O111">
        <v>45</v>
      </c>
      <c r="P111">
        <v>0.48399999999999999</v>
      </c>
      <c r="Q111">
        <v>81</v>
      </c>
      <c r="R111">
        <v>0.871</v>
      </c>
      <c r="S111">
        <v>49</v>
      </c>
      <c r="T111">
        <v>0.60499999999999998</v>
      </c>
      <c r="U111">
        <v>0</v>
      </c>
      <c r="V111">
        <v>41</v>
      </c>
      <c r="X111">
        <v>34</v>
      </c>
      <c r="Y111">
        <v>0.82899999999999996</v>
      </c>
      <c r="Z111">
        <v>36</v>
      </c>
      <c r="AA111">
        <v>0.878</v>
      </c>
      <c r="AB111">
        <v>29</v>
      </c>
      <c r="AC111">
        <v>0.80600000000000005</v>
      </c>
      <c r="AD111">
        <v>0</v>
      </c>
      <c r="AE111">
        <v>83</v>
      </c>
      <c r="AG111">
        <v>58</v>
      </c>
      <c r="AH111">
        <v>0.69899999999999995</v>
      </c>
      <c r="AI111">
        <v>76</v>
      </c>
      <c r="AJ111">
        <v>0.91600000000000004</v>
      </c>
      <c r="AK111">
        <v>52</v>
      </c>
      <c r="AL111">
        <v>0.68400000000000005</v>
      </c>
      <c r="AM111">
        <v>0</v>
      </c>
      <c r="AN111">
        <v>19</v>
      </c>
      <c r="AP111">
        <v>11</v>
      </c>
      <c r="AQ111">
        <v>0.57899999999999996</v>
      </c>
      <c r="AR111">
        <v>18</v>
      </c>
      <c r="AS111">
        <v>0.94699999999999995</v>
      </c>
      <c r="AT111">
        <v>7</v>
      </c>
      <c r="AU111">
        <v>0.38900000000000001</v>
      </c>
    </row>
    <row r="112" spans="1:47" x14ac:dyDescent="0.2">
      <c r="A112" t="s">
        <v>3814</v>
      </c>
      <c r="B112" t="s">
        <v>3815</v>
      </c>
      <c r="C112">
        <v>1201</v>
      </c>
      <c r="D112">
        <v>531</v>
      </c>
      <c r="E112">
        <v>0.442</v>
      </c>
      <c r="F112">
        <v>411</v>
      </c>
      <c r="G112">
        <v>0.77400000000000002</v>
      </c>
      <c r="H112">
        <v>477</v>
      </c>
      <c r="I112">
        <v>0.89800000000000002</v>
      </c>
      <c r="J112">
        <v>296</v>
      </c>
      <c r="K112">
        <v>0.621</v>
      </c>
      <c r="L112">
        <v>379</v>
      </c>
      <c r="M112">
        <v>113</v>
      </c>
      <c r="N112">
        <v>0.29799999999999999</v>
      </c>
      <c r="O112">
        <v>71</v>
      </c>
      <c r="P112">
        <v>0.628</v>
      </c>
      <c r="Q112">
        <v>108</v>
      </c>
      <c r="R112">
        <v>0.95599999999999996</v>
      </c>
      <c r="S112">
        <v>60</v>
      </c>
      <c r="T112">
        <v>0.55600000000000005</v>
      </c>
      <c r="U112">
        <v>361</v>
      </c>
      <c r="V112">
        <v>201</v>
      </c>
      <c r="W112">
        <v>0.55700000000000005</v>
      </c>
      <c r="X112">
        <v>179</v>
      </c>
      <c r="Y112">
        <v>0.89100000000000001</v>
      </c>
      <c r="Z112">
        <v>173</v>
      </c>
      <c r="AA112">
        <v>0.86099999999999999</v>
      </c>
      <c r="AB112">
        <v>115</v>
      </c>
      <c r="AC112">
        <v>0.66500000000000004</v>
      </c>
      <c r="AD112">
        <v>269</v>
      </c>
      <c r="AE112">
        <v>177</v>
      </c>
      <c r="AF112">
        <v>0.65800000000000003</v>
      </c>
      <c r="AG112">
        <v>124</v>
      </c>
      <c r="AH112">
        <v>0.70099999999999996</v>
      </c>
      <c r="AI112">
        <v>156</v>
      </c>
      <c r="AJ112">
        <v>0.88100000000000001</v>
      </c>
      <c r="AK112">
        <v>99</v>
      </c>
      <c r="AL112">
        <v>0.63500000000000001</v>
      </c>
      <c r="AM112">
        <v>192</v>
      </c>
      <c r="AN112">
        <v>40</v>
      </c>
      <c r="AO112">
        <v>0.20799999999999999</v>
      </c>
      <c r="AP112">
        <v>37</v>
      </c>
      <c r="AQ112">
        <v>0.92500000000000004</v>
      </c>
      <c r="AR112">
        <v>40</v>
      </c>
      <c r="AS112">
        <v>1</v>
      </c>
      <c r="AT112">
        <v>22</v>
      </c>
      <c r="AU112">
        <v>0.55000000000000004</v>
      </c>
    </row>
    <row r="113" spans="1:47" x14ac:dyDescent="0.2">
      <c r="A113" t="s">
        <v>3817</v>
      </c>
      <c r="B113" t="s">
        <v>3818</v>
      </c>
      <c r="C113">
        <v>655</v>
      </c>
      <c r="D113">
        <v>549</v>
      </c>
      <c r="E113">
        <v>0.83799999999999997</v>
      </c>
      <c r="F113">
        <v>310</v>
      </c>
      <c r="G113">
        <v>0.56499999999999995</v>
      </c>
      <c r="H113">
        <v>474</v>
      </c>
      <c r="I113">
        <v>0.86299999999999999</v>
      </c>
      <c r="J113">
        <v>321</v>
      </c>
      <c r="K113">
        <v>0.67700000000000005</v>
      </c>
      <c r="L113">
        <v>241</v>
      </c>
      <c r="M113">
        <v>147</v>
      </c>
      <c r="N113">
        <v>0.61</v>
      </c>
      <c r="O113">
        <v>104</v>
      </c>
      <c r="P113">
        <v>0.70699999999999996</v>
      </c>
      <c r="Q113">
        <v>147</v>
      </c>
      <c r="R113">
        <v>1</v>
      </c>
      <c r="S113" t="s">
        <v>53</v>
      </c>
      <c r="T113" t="s">
        <v>53</v>
      </c>
      <c r="U113">
        <v>196</v>
      </c>
      <c r="V113">
        <v>199</v>
      </c>
      <c r="W113">
        <v>1.0149999999999999</v>
      </c>
      <c r="X113" t="s">
        <v>53</v>
      </c>
      <c r="Y113" t="s">
        <v>53</v>
      </c>
      <c r="Z113">
        <v>160</v>
      </c>
      <c r="AA113">
        <v>0.80400000000000005</v>
      </c>
      <c r="AB113">
        <v>108</v>
      </c>
      <c r="AC113">
        <v>0.67500000000000004</v>
      </c>
      <c r="AD113">
        <v>209</v>
      </c>
      <c r="AE113">
        <v>196</v>
      </c>
      <c r="AF113">
        <v>0.93799999999999994</v>
      </c>
      <c r="AG113">
        <v>103</v>
      </c>
      <c r="AH113">
        <v>0.52600000000000002</v>
      </c>
      <c r="AI113">
        <v>160</v>
      </c>
      <c r="AJ113">
        <v>0.81599999999999995</v>
      </c>
      <c r="AK113">
        <v>107</v>
      </c>
      <c r="AL113">
        <v>0.66900000000000004</v>
      </c>
      <c r="AM113">
        <v>9</v>
      </c>
      <c r="AN113">
        <v>7</v>
      </c>
      <c r="AO113">
        <v>0.77800000000000002</v>
      </c>
      <c r="AP113" t="s">
        <v>53</v>
      </c>
      <c r="AQ113" t="s">
        <v>53</v>
      </c>
      <c r="AR113">
        <v>7</v>
      </c>
      <c r="AS113">
        <v>1</v>
      </c>
      <c r="AT113" t="s">
        <v>53</v>
      </c>
      <c r="AU113" t="s">
        <v>53</v>
      </c>
    </row>
    <row r="114" spans="1:47" x14ac:dyDescent="0.2">
      <c r="A114" t="s">
        <v>3820</v>
      </c>
      <c r="B114" t="s">
        <v>3821</v>
      </c>
      <c r="C114">
        <v>2398</v>
      </c>
      <c r="D114">
        <v>1664</v>
      </c>
      <c r="E114">
        <v>0.69399999999999995</v>
      </c>
      <c r="F114">
        <v>1367</v>
      </c>
      <c r="G114">
        <v>0.82199999999999995</v>
      </c>
      <c r="H114">
        <v>1545</v>
      </c>
      <c r="I114">
        <v>0.92800000000000005</v>
      </c>
      <c r="J114">
        <v>994</v>
      </c>
      <c r="K114">
        <v>0.64300000000000002</v>
      </c>
      <c r="L114">
        <v>590</v>
      </c>
      <c r="M114" t="s">
        <v>53</v>
      </c>
      <c r="N114" t="s">
        <v>53</v>
      </c>
      <c r="O114" t="s">
        <v>53</v>
      </c>
      <c r="P114" t="s">
        <v>53</v>
      </c>
      <c r="Q114" t="s">
        <v>53</v>
      </c>
      <c r="R114" t="s">
        <v>53</v>
      </c>
      <c r="S114" t="s">
        <v>53</v>
      </c>
      <c r="T114" t="s">
        <v>53</v>
      </c>
      <c r="U114">
        <v>776</v>
      </c>
      <c r="V114">
        <v>609</v>
      </c>
      <c r="W114">
        <v>0.78500000000000003</v>
      </c>
      <c r="X114">
        <v>528</v>
      </c>
      <c r="Y114">
        <v>0.86699999999999999</v>
      </c>
      <c r="Z114">
        <v>563</v>
      </c>
      <c r="AA114">
        <v>0.92400000000000004</v>
      </c>
      <c r="AB114">
        <v>366</v>
      </c>
      <c r="AC114">
        <v>0.65</v>
      </c>
      <c r="AD114">
        <v>903</v>
      </c>
      <c r="AE114">
        <v>735</v>
      </c>
      <c r="AF114">
        <v>0.81399999999999995</v>
      </c>
      <c r="AG114">
        <v>581</v>
      </c>
      <c r="AH114">
        <v>0.79</v>
      </c>
      <c r="AI114">
        <v>663</v>
      </c>
      <c r="AJ114">
        <v>0.90200000000000002</v>
      </c>
      <c r="AK114">
        <v>431</v>
      </c>
      <c r="AL114">
        <v>0.65</v>
      </c>
      <c r="AM114">
        <v>129</v>
      </c>
      <c r="AN114" t="s">
        <v>53</v>
      </c>
      <c r="AO114" t="s">
        <v>53</v>
      </c>
      <c r="AP114" t="s">
        <v>53</v>
      </c>
      <c r="AQ114" t="s">
        <v>53</v>
      </c>
      <c r="AR114" t="s">
        <v>53</v>
      </c>
      <c r="AS114" t="s">
        <v>53</v>
      </c>
      <c r="AT114" t="s">
        <v>53</v>
      </c>
      <c r="AU114" t="s">
        <v>53</v>
      </c>
    </row>
    <row r="115" spans="1:47" x14ac:dyDescent="0.2">
      <c r="A115" t="s">
        <v>3823</v>
      </c>
      <c r="B115" t="s">
        <v>3824</v>
      </c>
      <c r="C115">
        <v>1800</v>
      </c>
      <c r="D115">
        <v>1549</v>
      </c>
      <c r="E115">
        <v>0.86099999999999999</v>
      </c>
      <c r="F115">
        <v>1100</v>
      </c>
      <c r="G115">
        <v>0.71</v>
      </c>
      <c r="H115">
        <v>1399</v>
      </c>
      <c r="I115">
        <v>0.90300000000000002</v>
      </c>
      <c r="J115">
        <v>747</v>
      </c>
      <c r="K115">
        <v>0.53400000000000003</v>
      </c>
      <c r="L115">
        <v>433</v>
      </c>
      <c r="M115">
        <v>410</v>
      </c>
      <c r="N115">
        <v>0.94699999999999995</v>
      </c>
      <c r="O115">
        <v>304</v>
      </c>
      <c r="P115">
        <v>0.74099999999999999</v>
      </c>
      <c r="Q115">
        <v>408</v>
      </c>
      <c r="R115">
        <v>0.995</v>
      </c>
      <c r="S115">
        <v>226</v>
      </c>
      <c r="T115">
        <v>0.55400000000000005</v>
      </c>
      <c r="U115">
        <v>398</v>
      </c>
      <c r="V115">
        <v>393</v>
      </c>
      <c r="W115">
        <v>0.98699999999999999</v>
      </c>
      <c r="X115">
        <v>267</v>
      </c>
      <c r="Y115">
        <v>0.67900000000000005</v>
      </c>
      <c r="Z115">
        <v>324</v>
      </c>
      <c r="AA115">
        <v>0.82399999999999995</v>
      </c>
      <c r="AB115">
        <v>191</v>
      </c>
      <c r="AC115">
        <v>0.59</v>
      </c>
      <c r="AD115">
        <v>383</v>
      </c>
      <c r="AE115">
        <v>429</v>
      </c>
      <c r="AF115">
        <v>1.1200000000000001</v>
      </c>
      <c r="AG115">
        <v>265</v>
      </c>
      <c r="AH115">
        <v>0.61799999999999999</v>
      </c>
      <c r="AI115">
        <v>355</v>
      </c>
      <c r="AJ115">
        <v>0.82799999999999996</v>
      </c>
      <c r="AK115">
        <v>204</v>
      </c>
      <c r="AL115">
        <v>0.57499999999999996</v>
      </c>
      <c r="AM115">
        <v>586</v>
      </c>
      <c r="AN115">
        <v>317</v>
      </c>
      <c r="AO115">
        <v>0.54100000000000004</v>
      </c>
      <c r="AP115">
        <v>264</v>
      </c>
      <c r="AQ115">
        <v>0.83299999999999996</v>
      </c>
      <c r="AR115">
        <v>312</v>
      </c>
      <c r="AS115">
        <v>0.98399999999999999</v>
      </c>
      <c r="AT115">
        <v>126</v>
      </c>
      <c r="AU115">
        <v>0.40400000000000003</v>
      </c>
    </row>
    <row r="116" spans="1:47" x14ac:dyDescent="0.2">
      <c r="A116" t="s">
        <v>3826</v>
      </c>
      <c r="B116" t="s">
        <v>3827</v>
      </c>
      <c r="C116">
        <v>1807</v>
      </c>
      <c r="D116">
        <v>1168</v>
      </c>
      <c r="E116">
        <v>0.64600000000000002</v>
      </c>
      <c r="F116">
        <v>968</v>
      </c>
      <c r="G116">
        <v>0.82899999999999996</v>
      </c>
      <c r="H116">
        <v>1099</v>
      </c>
      <c r="I116">
        <v>0.94099999999999995</v>
      </c>
      <c r="J116">
        <v>767</v>
      </c>
      <c r="K116">
        <v>0.69799999999999995</v>
      </c>
      <c r="L116">
        <v>492</v>
      </c>
      <c r="M116">
        <v>249</v>
      </c>
      <c r="N116">
        <v>0.50600000000000001</v>
      </c>
      <c r="O116">
        <v>180</v>
      </c>
      <c r="P116">
        <v>0.72299999999999998</v>
      </c>
      <c r="Q116">
        <v>249</v>
      </c>
      <c r="R116">
        <v>1</v>
      </c>
      <c r="S116">
        <v>153</v>
      </c>
      <c r="T116">
        <v>0.61399999999999999</v>
      </c>
      <c r="U116">
        <v>513</v>
      </c>
      <c r="V116">
        <v>384</v>
      </c>
      <c r="W116">
        <v>0.749</v>
      </c>
      <c r="X116">
        <v>353</v>
      </c>
      <c r="Y116">
        <v>0.91900000000000004</v>
      </c>
      <c r="Z116">
        <v>353</v>
      </c>
      <c r="AA116">
        <v>0.91900000000000004</v>
      </c>
      <c r="AB116">
        <v>252</v>
      </c>
      <c r="AC116">
        <v>0.71399999999999997</v>
      </c>
      <c r="AD116">
        <v>758</v>
      </c>
      <c r="AE116">
        <v>523</v>
      </c>
      <c r="AF116">
        <v>0.69</v>
      </c>
      <c r="AG116">
        <v>425</v>
      </c>
      <c r="AH116">
        <v>0.81299999999999994</v>
      </c>
      <c r="AI116">
        <v>485</v>
      </c>
      <c r="AJ116">
        <v>0.92700000000000005</v>
      </c>
      <c r="AK116">
        <v>353</v>
      </c>
      <c r="AL116">
        <v>0.72799999999999998</v>
      </c>
      <c r="AM116">
        <v>44</v>
      </c>
      <c r="AN116">
        <v>12</v>
      </c>
      <c r="AO116">
        <v>0.27300000000000002</v>
      </c>
      <c r="AP116">
        <v>10</v>
      </c>
      <c r="AQ116">
        <v>0.83299999999999996</v>
      </c>
      <c r="AR116">
        <v>12</v>
      </c>
      <c r="AS116">
        <v>1</v>
      </c>
      <c r="AT116">
        <v>9</v>
      </c>
      <c r="AU116">
        <v>0.75</v>
      </c>
    </row>
    <row r="117" spans="1:47" x14ac:dyDescent="0.2">
      <c r="A117" t="s">
        <v>6505</v>
      </c>
      <c r="B117" t="s">
        <v>6506</v>
      </c>
      <c r="C117" t="s">
        <v>53</v>
      </c>
      <c r="D117">
        <v>0</v>
      </c>
      <c r="E117" t="s">
        <v>53</v>
      </c>
      <c r="F117">
        <v>0</v>
      </c>
      <c r="H117">
        <v>0</v>
      </c>
      <c r="J117">
        <v>0</v>
      </c>
      <c r="L117" t="s">
        <v>53</v>
      </c>
      <c r="M117">
        <v>0</v>
      </c>
      <c r="N117" t="s">
        <v>53</v>
      </c>
      <c r="O117">
        <v>0</v>
      </c>
      <c r="Q117">
        <v>0</v>
      </c>
      <c r="S117">
        <v>0</v>
      </c>
      <c r="U117">
        <v>0</v>
      </c>
      <c r="V117">
        <v>0</v>
      </c>
      <c r="X117">
        <v>0</v>
      </c>
      <c r="Z117">
        <v>0</v>
      </c>
      <c r="AB117">
        <v>0</v>
      </c>
      <c r="AD117">
        <v>0</v>
      </c>
      <c r="AE117">
        <v>0</v>
      </c>
      <c r="AG117">
        <v>0</v>
      </c>
      <c r="AI117">
        <v>0</v>
      </c>
      <c r="AK117">
        <v>0</v>
      </c>
      <c r="AM117">
        <v>0</v>
      </c>
      <c r="AN117">
        <v>0</v>
      </c>
      <c r="AP117">
        <v>0</v>
      </c>
      <c r="AR117">
        <v>0</v>
      </c>
      <c r="AT117">
        <v>0</v>
      </c>
    </row>
    <row r="118" spans="1:47" x14ac:dyDescent="0.2">
      <c r="A118" t="s">
        <v>4529</v>
      </c>
      <c r="B118" t="s">
        <v>4530</v>
      </c>
      <c r="C118" t="s">
        <v>53</v>
      </c>
      <c r="D118" t="s">
        <v>53</v>
      </c>
      <c r="E118" t="s">
        <v>53</v>
      </c>
      <c r="F118" t="s">
        <v>53</v>
      </c>
      <c r="G118" t="s">
        <v>53</v>
      </c>
      <c r="H118" t="s">
        <v>53</v>
      </c>
      <c r="I118" t="s">
        <v>53</v>
      </c>
      <c r="J118" t="s">
        <v>53</v>
      </c>
      <c r="K118" t="s">
        <v>53</v>
      </c>
      <c r="L118" t="s">
        <v>53</v>
      </c>
      <c r="M118">
        <v>0</v>
      </c>
      <c r="N118" t="s">
        <v>53</v>
      </c>
      <c r="O118">
        <v>0</v>
      </c>
      <c r="Q118">
        <v>0</v>
      </c>
      <c r="S118">
        <v>0</v>
      </c>
      <c r="U118">
        <v>0</v>
      </c>
      <c r="V118" t="s">
        <v>53</v>
      </c>
      <c r="W118" t="s">
        <v>53</v>
      </c>
      <c r="X118" t="s">
        <v>53</v>
      </c>
      <c r="Y118" t="s">
        <v>53</v>
      </c>
      <c r="Z118" t="s">
        <v>53</v>
      </c>
      <c r="AA118" t="s">
        <v>53</v>
      </c>
      <c r="AB118" t="s">
        <v>53</v>
      </c>
      <c r="AC118" t="s">
        <v>53</v>
      </c>
      <c r="AD118">
        <v>0</v>
      </c>
      <c r="AE118" t="s">
        <v>53</v>
      </c>
      <c r="AF118" t="s">
        <v>53</v>
      </c>
      <c r="AG118" t="s">
        <v>53</v>
      </c>
      <c r="AH118" t="s">
        <v>53</v>
      </c>
      <c r="AI118" t="s">
        <v>53</v>
      </c>
      <c r="AJ118" t="s">
        <v>53</v>
      </c>
      <c r="AK118">
        <v>0</v>
      </c>
      <c r="AL118" t="s">
        <v>53</v>
      </c>
      <c r="AM118">
        <v>0</v>
      </c>
      <c r="AN118">
        <v>0</v>
      </c>
      <c r="AP118">
        <v>0</v>
      </c>
      <c r="AR118">
        <v>0</v>
      </c>
      <c r="AT118">
        <v>0</v>
      </c>
    </row>
    <row r="119" spans="1:47" x14ac:dyDescent="0.2">
      <c r="A119" t="s">
        <v>3829</v>
      </c>
      <c r="B119" t="s">
        <v>3830</v>
      </c>
      <c r="C119">
        <v>1493</v>
      </c>
      <c r="D119">
        <v>1734</v>
      </c>
      <c r="E119">
        <v>1.161</v>
      </c>
      <c r="F119">
        <v>1449</v>
      </c>
      <c r="G119">
        <v>0.83599999999999997</v>
      </c>
      <c r="H119">
        <v>1601</v>
      </c>
      <c r="I119">
        <v>0.92300000000000004</v>
      </c>
      <c r="J119">
        <v>1232</v>
      </c>
      <c r="K119">
        <v>0.77</v>
      </c>
      <c r="L119">
        <v>376</v>
      </c>
      <c r="M119">
        <v>394</v>
      </c>
      <c r="N119">
        <v>1.048</v>
      </c>
      <c r="O119">
        <v>362</v>
      </c>
      <c r="P119">
        <v>0.91900000000000004</v>
      </c>
      <c r="Q119">
        <v>394</v>
      </c>
      <c r="R119">
        <v>1</v>
      </c>
      <c r="S119">
        <v>273</v>
      </c>
      <c r="T119">
        <v>0.69299999999999995</v>
      </c>
      <c r="U119">
        <v>520</v>
      </c>
      <c r="V119">
        <v>574</v>
      </c>
      <c r="W119">
        <v>1.1040000000000001</v>
      </c>
      <c r="X119">
        <v>508</v>
      </c>
      <c r="Y119">
        <v>0.88500000000000001</v>
      </c>
      <c r="Z119">
        <v>526</v>
      </c>
      <c r="AA119">
        <v>0.91600000000000004</v>
      </c>
      <c r="AB119">
        <v>430</v>
      </c>
      <c r="AC119">
        <v>0.81699999999999995</v>
      </c>
      <c r="AD119">
        <v>487</v>
      </c>
      <c r="AE119">
        <v>659</v>
      </c>
      <c r="AF119">
        <v>1.353</v>
      </c>
      <c r="AG119">
        <v>475</v>
      </c>
      <c r="AH119">
        <v>0.72099999999999997</v>
      </c>
      <c r="AI119">
        <v>574</v>
      </c>
      <c r="AJ119">
        <v>0.871</v>
      </c>
      <c r="AK119">
        <v>462</v>
      </c>
      <c r="AL119">
        <v>0.80500000000000005</v>
      </c>
      <c r="AM119">
        <v>110</v>
      </c>
      <c r="AN119">
        <v>107</v>
      </c>
      <c r="AO119">
        <v>0.97299999999999998</v>
      </c>
      <c r="AP119">
        <v>104</v>
      </c>
      <c r="AQ119">
        <v>0.97199999999999998</v>
      </c>
      <c r="AR119">
        <v>107</v>
      </c>
      <c r="AS119">
        <v>1</v>
      </c>
      <c r="AT119">
        <v>67</v>
      </c>
      <c r="AU119">
        <v>0.626</v>
      </c>
    </row>
    <row r="120" spans="1:47" x14ac:dyDescent="0.2">
      <c r="A120" t="s">
        <v>3849</v>
      </c>
      <c r="B120" t="s">
        <v>3850</v>
      </c>
      <c r="C120">
        <v>3446</v>
      </c>
      <c r="D120">
        <v>3354</v>
      </c>
      <c r="E120">
        <v>0.97299999999999998</v>
      </c>
      <c r="F120">
        <v>2483</v>
      </c>
      <c r="G120">
        <v>0.74</v>
      </c>
      <c r="H120">
        <v>2124</v>
      </c>
      <c r="I120">
        <v>0.63300000000000001</v>
      </c>
      <c r="J120">
        <v>1388</v>
      </c>
      <c r="K120">
        <v>0.65300000000000002</v>
      </c>
      <c r="L120">
        <v>400</v>
      </c>
      <c r="M120">
        <v>222</v>
      </c>
      <c r="N120">
        <v>0.55500000000000005</v>
      </c>
      <c r="O120">
        <v>171</v>
      </c>
      <c r="P120">
        <v>0.77</v>
      </c>
      <c r="Q120">
        <v>183</v>
      </c>
      <c r="R120">
        <v>0.82399999999999995</v>
      </c>
      <c r="S120">
        <v>128</v>
      </c>
      <c r="T120">
        <v>0.69899999999999995</v>
      </c>
      <c r="U120">
        <v>1401</v>
      </c>
      <c r="V120">
        <v>1312</v>
      </c>
      <c r="W120">
        <v>0.93600000000000005</v>
      </c>
      <c r="X120">
        <v>1059</v>
      </c>
      <c r="Y120">
        <v>0.80700000000000005</v>
      </c>
      <c r="Z120">
        <v>937</v>
      </c>
      <c r="AA120">
        <v>0.71399999999999997</v>
      </c>
      <c r="AB120">
        <v>709</v>
      </c>
      <c r="AC120">
        <v>0.75700000000000001</v>
      </c>
      <c r="AD120">
        <v>1505</v>
      </c>
      <c r="AE120">
        <v>1759</v>
      </c>
      <c r="AF120">
        <v>1.169</v>
      </c>
      <c r="AG120">
        <v>1209</v>
      </c>
      <c r="AH120">
        <v>0.68700000000000006</v>
      </c>
      <c r="AI120">
        <v>956</v>
      </c>
      <c r="AJ120">
        <v>0.54300000000000004</v>
      </c>
      <c r="AK120">
        <v>519</v>
      </c>
      <c r="AL120">
        <v>0.54300000000000004</v>
      </c>
      <c r="AM120">
        <v>140</v>
      </c>
      <c r="AN120">
        <v>61</v>
      </c>
      <c r="AO120">
        <v>0.436</v>
      </c>
      <c r="AP120">
        <v>44</v>
      </c>
      <c r="AQ120">
        <v>0.72099999999999997</v>
      </c>
      <c r="AR120">
        <v>48</v>
      </c>
      <c r="AS120">
        <v>0.78700000000000003</v>
      </c>
      <c r="AT120">
        <v>32</v>
      </c>
      <c r="AU120">
        <v>0.66700000000000004</v>
      </c>
    </row>
    <row r="121" spans="1:47" x14ac:dyDescent="0.2">
      <c r="A121" t="s">
        <v>6509</v>
      </c>
      <c r="B121" t="s">
        <v>6510</v>
      </c>
      <c r="C121" t="s">
        <v>53</v>
      </c>
      <c r="D121">
        <v>0</v>
      </c>
      <c r="E121" t="s">
        <v>53</v>
      </c>
      <c r="F121">
        <v>0</v>
      </c>
      <c r="H121">
        <v>0</v>
      </c>
      <c r="J121">
        <v>0</v>
      </c>
      <c r="L121" t="s">
        <v>53</v>
      </c>
      <c r="M121">
        <v>0</v>
      </c>
      <c r="N121" t="s">
        <v>53</v>
      </c>
      <c r="O121">
        <v>0</v>
      </c>
      <c r="Q121">
        <v>0</v>
      </c>
      <c r="S121">
        <v>0</v>
      </c>
      <c r="U121">
        <v>0</v>
      </c>
      <c r="V121">
        <v>0</v>
      </c>
      <c r="X121">
        <v>0</v>
      </c>
      <c r="Z121">
        <v>0</v>
      </c>
      <c r="AB121">
        <v>0</v>
      </c>
      <c r="AD121">
        <v>0</v>
      </c>
      <c r="AE121">
        <v>0</v>
      </c>
      <c r="AG121">
        <v>0</v>
      </c>
      <c r="AI121">
        <v>0</v>
      </c>
      <c r="AK121">
        <v>0</v>
      </c>
      <c r="AM121">
        <v>0</v>
      </c>
      <c r="AN121">
        <v>0</v>
      </c>
      <c r="AP121">
        <v>0</v>
      </c>
      <c r="AR121">
        <v>0</v>
      </c>
      <c r="AT121">
        <v>0</v>
      </c>
    </row>
    <row r="122" spans="1:47" x14ac:dyDescent="0.2">
      <c r="A122" t="s">
        <v>3852</v>
      </c>
      <c r="B122" t="s">
        <v>3853</v>
      </c>
      <c r="C122">
        <v>517</v>
      </c>
      <c r="D122">
        <v>452</v>
      </c>
      <c r="E122">
        <v>0.874</v>
      </c>
      <c r="F122">
        <v>399</v>
      </c>
      <c r="G122">
        <v>0.88300000000000001</v>
      </c>
      <c r="H122">
        <v>443</v>
      </c>
      <c r="I122">
        <v>0.98</v>
      </c>
      <c r="J122">
        <v>299</v>
      </c>
      <c r="K122">
        <v>0.67500000000000004</v>
      </c>
      <c r="L122">
        <v>251</v>
      </c>
      <c r="M122">
        <v>212</v>
      </c>
      <c r="N122">
        <v>0.84499999999999997</v>
      </c>
      <c r="O122">
        <v>180</v>
      </c>
      <c r="P122">
        <v>0.84899999999999998</v>
      </c>
      <c r="Q122">
        <v>210</v>
      </c>
      <c r="R122">
        <v>0.99099999999999999</v>
      </c>
      <c r="S122">
        <v>128</v>
      </c>
      <c r="T122">
        <v>0.61</v>
      </c>
      <c r="U122">
        <v>105</v>
      </c>
      <c r="V122">
        <v>99</v>
      </c>
      <c r="W122">
        <v>0.94299999999999995</v>
      </c>
      <c r="X122">
        <v>95</v>
      </c>
      <c r="Y122">
        <v>0.96</v>
      </c>
      <c r="Z122">
        <v>97</v>
      </c>
      <c r="AA122">
        <v>0.98</v>
      </c>
      <c r="AB122" t="s">
        <v>53</v>
      </c>
      <c r="AC122" t="s">
        <v>53</v>
      </c>
      <c r="AD122">
        <v>141</v>
      </c>
      <c r="AE122">
        <v>135</v>
      </c>
      <c r="AF122">
        <v>0.95699999999999996</v>
      </c>
      <c r="AG122">
        <v>118</v>
      </c>
      <c r="AH122">
        <v>0.874</v>
      </c>
      <c r="AI122">
        <v>130</v>
      </c>
      <c r="AJ122">
        <v>0.96299999999999997</v>
      </c>
      <c r="AK122">
        <v>94</v>
      </c>
      <c r="AL122">
        <v>0.72299999999999998</v>
      </c>
      <c r="AM122">
        <v>20</v>
      </c>
      <c r="AN122">
        <v>6</v>
      </c>
      <c r="AO122">
        <v>0.3</v>
      </c>
      <c r="AP122">
        <v>6</v>
      </c>
      <c r="AQ122">
        <v>1</v>
      </c>
      <c r="AR122">
        <v>6</v>
      </c>
      <c r="AS122">
        <v>1</v>
      </c>
      <c r="AT122" t="s">
        <v>53</v>
      </c>
      <c r="AU122" t="s">
        <v>53</v>
      </c>
    </row>
    <row r="123" spans="1:47" x14ac:dyDescent="0.2">
      <c r="A123" t="s">
        <v>3855</v>
      </c>
      <c r="B123" t="s">
        <v>3856</v>
      </c>
      <c r="C123">
        <v>551</v>
      </c>
      <c r="D123">
        <v>408</v>
      </c>
      <c r="E123">
        <v>0.74</v>
      </c>
      <c r="F123">
        <v>294</v>
      </c>
      <c r="G123">
        <v>0.72099999999999997</v>
      </c>
      <c r="H123">
        <v>387</v>
      </c>
      <c r="I123">
        <v>0.94899999999999995</v>
      </c>
      <c r="J123">
        <v>221</v>
      </c>
      <c r="K123">
        <v>0.57099999999999995</v>
      </c>
      <c r="L123">
        <v>153</v>
      </c>
      <c r="M123">
        <v>27</v>
      </c>
      <c r="N123">
        <v>0.17599999999999999</v>
      </c>
      <c r="O123">
        <v>9</v>
      </c>
      <c r="P123">
        <v>0.33300000000000002</v>
      </c>
      <c r="Q123">
        <v>27</v>
      </c>
      <c r="R123">
        <v>1</v>
      </c>
      <c r="S123">
        <v>6</v>
      </c>
      <c r="T123">
        <v>0.222</v>
      </c>
      <c r="U123">
        <v>103</v>
      </c>
      <c r="V123">
        <v>105</v>
      </c>
      <c r="W123">
        <v>1.0189999999999999</v>
      </c>
      <c r="X123">
        <v>98</v>
      </c>
      <c r="Y123">
        <v>0.93300000000000005</v>
      </c>
      <c r="Z123">
        <v>97</v>
      </c>
      <c r="AA123">
        <v>0.92400000000000004</v>
      </c>
      <c r="AB123">
        <v>66</v>
      </c>
      <c r="AC123">
        <v>0.68</v>
      </c>
      <c r="AD123">
        <v>121</v>
      </c>
      <c r="AE123">
        <v>142</v>
      </c>
      <c r="AF123">
        <v>1.1739999999999999</v>
      </c>
      <c r="AG123">
        <v>111</v>
      </c>
      <c r="AH123">
        <v>0.78200000000000003</v>
      </c>
      <c r="AI123">
        <v>131</v>
      </c>
      <c r="AJ123">
        <v>0.92300000000000004</v>
      </c>
      <c r="AK123">
        <v>88</v>
      </c>
      <c r="AL123">
        <v>0.67200000000000004</v>
      </c>
      <c r="AM123">
        <v>174</v>
      </c>
      <c r="AN123">
        <v>134</v>
      </c>
      <c r="AO123">
        <v>0.77</v>
      </c>
      <c r="AP123">
        <v>76</v>
      </c>
      <c r="AQ123">
        <v>0.56699999999999995</v>
      </c>
      <c r="AR123">
        <v>132</v>
      </c>
      <c r="AS123">
        <v>0.98499999999999999</v>
      </c>
      <c r="AT123">
        <v>61</v>
      </c>
      <c r="AU123">
        <v>0.46200000000000002</v>
      </c>
    </row>
    <row r="124" spans="1:47" x14ac:dyDescent="0.2">
      <c r="A124" t="s">
        <v>3858</v>
      </c>
      <c r="B124" t="s">
        <v>3859</v>
      </c>
      <c r="C124">
        <v>572</v>
      </c>
      <c r="D124">
        <v>892</v>
      </c>
      <c r="E124">
        <v>1.5589999999999999</v>
      </c>
      <c r="F124">
        <v>672</v>
      </c>
      <c r="G124">
        <v>0.753</v>
      </c>
      <c r="H124">
        <v>844</v>
      </c>
      <c r="I124">
        <v>0.94599999999999995</v>
      </c>
      <c r="J124">
        <v>569</v>
      </c>
      <c r="K124">
        <v>0.67400000000000004</v>
      </c>
      <c r="L124" t="s">
        <v>53</v>
      </c>
      <c r="M124">
        <v>130</v>
      </c>
      <c r="N124" t="s">
        <v>53</v>
      </c>
      <c r="O124">
        <v>72</v>
      </c>
      <c r="P124">
        <v>0.55400000000000005</v>
      </c>
      <c r="Q124">
        <v>129</v>
      </c>
      <c r="R124">
        <v>0.99199999999999999</v>
      </c>
      <c r="S124">
        <v>79</v>
      </c>
      <c r="T124">
        <v>0.61199999999999999</v>
      </c>
      <c r="U124">
        <v>210</v>
      </c>
      <c r="V124">
        <v>326</v>
      </c>
      <c r="W124">
        <v>1.552</v>
      </c>
      <c r="X124">
        <v>271</v>
      </c>
      <c r="Y124">
        <v>0.83099999999999996</v>
      </c>
      <c r="Z124">
        <v>312</v>
      </c>
      <c r="AA124">
        <v>0.95699999999999996</v>
      </c>
      <c r="AB124">
        <v>212</v>
      </c>
      <c r="AC124">
        <v>0.67900000000000005</v>
      </c>
      <c r="AD124">
        <v>223</v>
      </c>
      <c r="AE124">
        <v>436</v>
      </c>
      <c r="AF124">
        <v>1.9550000000000001</v>
      </c>
      <c r="AG124">
        <v>329</v>
      </c>
      <c r="AH124">
        <v>0.755</v>
      </c>
      <c r="AI124">
        <v>403</v>
      </c>
      <c r="AJ124">
        <v>0.92400000000000004</v>
      </c>
      <c r="AK124">
        <v>278</v>
      </c>
      <c r="AL124">
        <v>0.69</v>
      </c>
      <c r="AM124" t="s">
        <v>53</v>
      </c>
      <c r="AN124">
        <v>0</v>
      </c>
      <c r="AO124" t="s">
        <v>53</v>
      </c>
      <c r="AP124">
        <v>0</v>
      </c>
      <c r="AR124">
        <v>0</v>
      </c>
      <c r="AT124">
        <v>0</v>
      </c>
    </row>
    <row r="125" spans="1:47" x14ac:dyDescent="0.2">
      <c r="A125" t="s">
        <v>3900</v>
      </c>
      <c r="B125" t="s">
        <v>3901</v>
      </c>
      <c r="C125">
        <v>77</v>
      </c>
      <c r="D125">
        <v>77</v>
      </c>
      <c r="E125">
        <v>1</v>
      </c>
      <c r="F125">
        <v>69</v>
      </c>
      <c r="G125">
        <v>0.89600000000000002</v>
      </c>
      <c r="H125">
        <v>74</v>
      </c>
      <c r="I125">
        <v>0.96099999999999997</v>
      </c>
      <c r="J125">
        <v>47</v>
      </c>
      <c r="K125">
        <v>0.63500000000000001</v>
      </c>
      <c r="L125">
        <v>61</v>
      </c>
      <c r="M125">
        <v>59</v>
      </c>
      <c r="N125">
        <v>0.96699999999999997</v>
      </c>
      <c r="O125">
        <v>54</v>
      </c>
      <c r="P125">
        <v>0.91500000000000004</v>
      </c>
      <c r="Q125">
        <v>59</v>
      </c>
      <c r="R125">
        <v>1</v>
      </c>
      <c r="S125">
        <v>37</v>
      </c>
      <c r="T125">
        <v>0.627</v>
      </c>
      <c r="U125" t="s">
        <v>53</v>
      </c>
      <c r="V125" t="s">
        <v>53</v>
      </c>
      <c r="W125" t="s">
        <v>53</v>
      </c>
      <c r="X125" t="s">
        <v>53</v>
      </c>
      <c r="Y125" t="s">
        <v>53</v>
      </c>
      <c r="Z125" t="s">
        <v>53</v>
      </c>
      <c r="AA125" t="s">
        <v>53</v>
      </c>
      <c r="AB125" t="s">
        <v>53</v>
      </c>
      <c r="AC125" t="s">
        <v>53</v>
      </c>
      <c r="AD125" t="s">
        <v>53</v>
      </c>
      <c r="AE125" t="s">
        <v>53</v>
      </c>
      <c r="AF125" t="s">
        <v>53</v>
      </c>
      <c r="AG125" t="s">
        <v>53</v>
      </c>
      <c r="AH125" t="s">
        <v>53</v>
      </c>
      <c r="AI125" t="s">
        <v>53</v>
      </c>
      <c r="AJ125" t="s">
        <v>53</v>
      </c>
      <c r="AK125" t="s">
        <v>53</v>
      </c>
      <c r="AL125" t="s">
        <v>53</v>
      </c>
      <c r="AM125">
        <v>0</v>
      </c>
      <c r="AN125">
        <v>0</v>
      </c>
      <c r="AP125">
        <v>0</v>
      </c>
      <c r="AR125">
        <v>0</v>
      </c>
      <c r="AT125">
        <v>0</v>
      </c>
    </row>
    <row r="126" spans="1:47" x14ac:dyDescent="0.2">
      <c r="A126" t="s">
        <v>3861</v>
      </c>
      <c r="B126" t="s">
        <v>3862</v>
      </c>
      <c r="C126">
        <v>2990</v>
      </c>
      <c r="D126">
        <v>1875</v>
      </c>
      <c r="E126">
        <v>0.627</v>
      </c>
      <c r="F126">
        <v>1569</v>
      </c>
      <c r="G126">
        <v>0.83699999999999997</v>
      </c>
      <c r="H126">
        <v>1645</v>
      </c>
      <c r="I126">
        <v>0.877</v>
      </c>
      <c r="J126">
        <v>1098</v>
      </c>
      <c r="K126">
        <v>0.66700000000000004</v>
      </c>
      <c r="L126">
        <v>769</v>
      </c>
      <c r="M126">
        <v>422</v>
      </c>
      <c r="N126">
        <v>0.54900000000000004</v>
      </c>
      <c r="O126">
        <v>368</v>
      </c>
      <c r="P126">
        <v>0.872</v>
      </c>
      <c r="Q126">
        <v>419</v>
      </c>
      <c r="R126">
        <v>0.99299999999999999</v>
      </c>
      <c r="S126">
        <v>286</v>
      </c>
      <c r="T126">
        <v>0.68300000000000005</v>
      </c>
      <c r="U126">
        <v>916</v>
      </c>
      <c r="V126">
        <v>662</v>
      </c>
      <c r="W126">
        <v>0.72299999999999998</v>
      </c>
      <c r="X126">
        <v>589</v>
      </c>
      <c r="Y126">
        <v>0.89</v>
      </c>
      <c r="Z126">
        <v>580</v>
      </c>
      <c r="AA126">
        <v>0.876</v>
      </c>
      <c r="AB126">
        <v>409</v>
      </c>
      <c r="AC126">
        <v>0.70499999999999996</v>
      </c>
      <c r="AD126">
        <v>961</v>
      </c>
      <c r="AE126">
        <v>734</v>
      </c>
      <c r="AF126">
        <v>0.76400000000000001</v>
      </c>
      <c r="AG126">
        <v>556</v>
      </c>
      <c r="AH126">
        <v>0.75700000000000001</v>
      </c>
      <c r="AI126">
        <v>589</v>
      </c>
      <c r="AJ126">
        <v>0.80200000000000005</v>
      </c>
      <c r="AK126">
        <v>373</v>
      </c>
      <c r="AL126">
        <v>0.63300000000000001</v>
      </c>
      <c r="AM126">
        <v>344</v>
      </c>
      <c r="AN126">
        <v>57</v>
      </c>
      <c r="AO126">
        <v>0.16600000000000001</v>
      </c>
      <c r="AP126">
        <v>56</v>
      </c>
      <c r="AQ126">
        <v>0.98199999999999998</v>
      </c>
      <c r="AR126">
        <v>57</v>
      </c>
      <c r="AS126">
        <v>1</v>
      </c>
      <c r="AT126">
        <v>30</v>
      </c>
      <c r="AU126">
        <v>0.52600000000000002</v>
      </c>
    </row>
    <row r="127" spans="1:47" x14ac:dyDescent="0.2">
      <c r="A127" t="s">
        <v>3864</v>
      </c>
      <c r="B127" t="s">
        <v>3865</v>
      </c>
      <c r="C127">
        <v>1047</v>
      </c>
      <c r="D127">
        <v>954</v>
      </c>
      <c r="E127">
        <v>0.91100000000000003</v>
      </c>
      <c r="F127">
        <v>826</v>
      </c>
      <c r="G127">
        <v>0.86599999999999999</v>
      </c>
      <c r="H127">
        <v>921</v>
      </c>
      <c r="I127">
        <v>0.96499999999999997</v>
      </c>
      <c r="J127">
        <v>644</v>
      </c>
      <c r="K127">
        <v>0.69899999999999995</v>
      </c>
      <c r="L127">
        <v>272</v>
      </c>
      <c r="M127">
        <v>244</v>
      </c>
      <c r="N127">
        <v>0.89700000000000002</v>
      </c>
      <c r="O127">
        <v>167</v>
      </c>
      <c r="P127">
        <v>0.68400000000000005</v>
      </c>
      <c r="Q127">
        <v>244</v>
      </c>
      <c r="R127">
        <v>1</v>
      </c>
      <c r="S127">
        <v>164</v>
      </c>
      <c r="T127">
        <v>0.67200000000000004</v>
      </c>
      <c r="U127">
        <v>235</v>
      </c>
      <c r="V127">
        <v>259</v>
      </c>
      <c r="W127">
        <v>1.1020000000000001</v>
      </c>
      <c r="X127">
        <v>239</v>
      </c>
      <c r="Y127">
        <v>0.92300000000000004</v>
      </c>
      <c r="Z127">
        <v>245</v>
      </c>
      <c r="AA127">
        <v>0.94599999999999995</v>
      </c>
      <c r="AB127">
        <v>194</v>
      </c>
      <c r="AC127">
        <v>0.79200000000000004</v>
      </c>
      <c r="AD127">
        <v>319</v>
      </c>
      <c r="AE127">
        <v>338</v>
      </c>
      <c r="AF127">
        <v>1.06</v>
      </c>
      <c r="AG127">
        <v>312</v>
      </c>
      <c r="AH127">
        <v>0.92300000000000004</v>
      </c>
      <c r="AI127">
        <v>319</v>
      </c>
      <c r="AJ127">
        <v>0.94399999999999995</v>
      </c>
      <c r="AK127">
        <v>230</v>
      </c>
      <c r="AL127">
        <v>0.72099999999999997</v>
      </c>
      <c r="AM127">
        <v>221</v>
      </c>
      <c r="AN127">
        <v>113</v>
      </c>
      <c r="AO127">
        <v>0.51100000000000001</v>
      </c>
      <c r="AP127">
        <v>108</v>
      </c>
      <c r="AQ127">
        <v>0.95599999999999996</v>
      </c>
      <c r="AR127">
        <v>113</v>
      </c>
      <c r="AS127">
        <v>1</v>
      </c>
      <c r="AT127">
        <v>56</v>
      </c>
      <c r="AU127">
        <v>0.496</v>
      </c>
    </row>
    <row r="128" spans="1:47" x14ac:dyDescent="0.2">
      <c r="A128" t="s">
        <v>3867</v>
      </c>
      <c r="B128" t="s">
        <v>3868</v>
      </c>
      <c r="C128">
        <v>1435</v>
      </c>
      <c r="D128">
        <v>1120</v>
      </c>
      <c r="E128">
        <v>0.78</v>
      </c>
      <c r="F128">
        <v>1034</v>
      </c>
      <c r="G128">
        <v>0.92300000000000004</v>
      </c>
      <c r="H128">
        <v>1023</v>
      </c>
      <c r="I128">
        <v>0.91300000000000003</v>
      </c>
      <c r="J128">
        <v>715</v>
      </c>
      <c r="K128">
        <v>0.69899999999999995</v>
      </c>
      <c r="L128">
        <v>349</v>
      </c>
      <c r="M128">
        <v>246</v>
      </c>
      <c r="N128">
        <v>0.70499999999999996</v>
      </c>
      <c r="O128">
        <v>240</v>
      </c>
      <c r="P128">
        <v>0.97599999999999998</v>
      </c>
      <c r="Q128">
        <v>246</v>
      </c>
      <c r="R128">
        <v>1</v>
      </c>
      <c r="S128">
        <v>150</v>
      </c>
      <c r="T128">
        <v>0.61</v>
      </c>
      <c r="U128">
        <v>367</v>
      </c>
      <c r="V128">
        <v>300</v>
      </c>
      <c r="W128">
        <v>0.81699999999999995</v>
      </c>
      <c r="X128">
        <v>285</v>
      </c>
      <c r="Y128">
        <v>0.95</v>
      </c>
      <c r="Z128">
        <v>261</v>
      </c>
      <c r="AA128">
        <v>0.87</v>
      </c>
      <c r="AB128">
        <v>199</v>
      </c>
      <c r="AC128">
        <v>0.76200000000000001</v>
      </c>
      <c r="AD128">
        <v>508</v>
      </c>
      <c r="AE128">
        <v>438</v>
      </c>
      <c r="AF128">
        <v>0.86199999999999999</v>
      </c>
      <c r="AG128">
        <v>376</v>
      </c>
      <c r="AH128">
        <v>0.85799999999999998</v>
      </c>
      <c r="AI128">
        <v>380</v>
      </c>
      <c r="AJ128">
        <v>0.86799999999999999</v>
      </c>
      <c r="AK128">
        <v>285</v>
      </c>
      <c r="AL128">
        <v>0.75</v>
      </c>
      <c r="AM128">
        <v>211</v>
      </c>
      <c r="AN128">
        <v>136</v>
      </c>
      <c r="AO128">
        <v>0.64500000000000002</v>
      </c>
      <c r="AP128">
        <v>133</v>
      </c>
      <c r="AQ128">
        <v>0.97799999999999998</v>
      </c>
      <c r="AR128">
        <v>136</v>
      </c>
      <c r="AS128">
        <v>1</v>
      </c>
      <c r="AT128">
        <v>81</v>
      </c>
      <c r="AU128">
        <v>0.59599999999999997</v>
      </c>
    </row>
    <row r="129" spans="1:47" x14ac:dyDescent="0.2">
      <c r="A129" t="s">
        <v>3870</v>
      </c>
      <c r="B129" t="s">
        <v>3871</v>
      </c>
      <c r="C129">
        <v>761</v>
      </c>
      <c r="D129">
        <v>301</v>
      </c>
      <c r="E129">
        <v>0.39600000000000002</v>
      </c>
      <c r="F129">
        <v>244</v>
      </c>
      <c r="G129">
        <v>0.81100000000000005</v>
      </c>
      <c r="H129">
        <v>275</v>
      </c>
      <c r="I129">
        <v>0.91400000000000003</v>
      </c>
      <c r="J129">
        <v>178</v>
      </c>
      <c r="K129">
        <v>0.64700000000000002</v>
      </c>
      <c r="L129">
        <v>227</v>
      </c>
      <c r="M129" t="s">
        <v>53</v>
      </c>
      <c r="N129" t="s">
        <v>53</v>
      </c>
      <c r="O129" t="s">
        <v>53</v>
      </c>
      <c r="P129" t="s">
        <v>53</v>
      </c>
      <c r="Q129" t="s">
        <v>53</v>
      </c>
      <c r="R129" t="s">
        <v>53</v>
      </c>
      <c r="S129" t="s">
        <v>53</v>
      </c>
      <c r="T129" t="s">
        <v>53</v>
      </c>
      <c r="U129">
        <v>244</v>
      </c>
      <c r="V129">
        <v>102</v>
      </c>
      <c r="W129">
        <v>0.41799999999999998</v>
      </c>
      <c r="X129">
        <v>86</v>
      </c>
      <c r="Y129">
        <v>0.84299999999999997</v>
      </c>
      <c r="Z129">
        <v>91</v>
      </c>
      <c r="AA129">
        <v>0.89200000000000002</v>
      </c>
      <c r="AB129">
        <v>63</v>
      </c>
      <c r="AC129">
        <v>0.69199999999999995</v>
      </c>
      <c r="AD129">
        <v>276</v>
      </c>
      <c r="AE129">
        <v>119</v>
      </c>
      <c r="AF129">
        <v>0.43099999999999999</v>
      </c>
      <c r="AG129">
        <v>91</v>
      </c>
      <c r="AH129">
        <v>0.76500000000000001</v>
      </c>
      <c r="AI129">
        <v>104</v>
      </c>
      <c r="AJ129">
        <v>0.874</v>
      </c>
      <c r="AK129">
        <v>66</v>
      </c>
      <c r="AL129">
        <v>0.63500000000000001</v>
      </c>
      <c r="AM129">
        <v>14</v>
      </c>
      <c r="AN129" t="s">
        <v>53</v>
      </c>
      <c r="AO129" t="s">
        <v>53</v>
      </c>
      <c r="AP129" t="s">
        <v>53</v>
      </c>
      <c r="AQ129" t="s">
        <v>53</v>
      </c>
      <c r="AR129" t="s">
        <v>53</v>
      </c>
      <c r="AS129" t="s">
        <v>53</v>
      </c>
      <c r="AT129" t="s">
        <v>53</v>
      </c>
      <c r="AU129" t="s">
        <v>53</v>
      </c>
    </row>
    <row r="130" spans="1:47" x14ac:dyDescent="0.2">
      <c r="A130" t="s">
        <v>3873</v>
      </c>
      <c r="B130" t="s">
        <v>3874</v>
      </c>
      <c r="C130">
        <v>2402</v>
      </c>
      <c r="D130">
        <v>1507</v>
      </c>
      <c r="E130">
        <v>0.627</v>
      </c>
      <c r="F130">
        <v>1364</v>
      </c>
      <c r="G130">
        <v>0.90500000000000003</v>
      </c>
      <c r="H130">
        <v>1473</v>
      </c>
      <c r="I130">
        <v>0.97699999999999998</v>
      </c>
      <c r="J130">
        <v>1130</v>
      </c>
      <c r="K130">
        <v>0.76700000000000002</v>
      </c>
      <c r="L130">
        <v>647</v>
      </c>
      <c r="M130">
        <v>297</v>
      </c>
      <c r="N130">
        <v>0.45900000000000002</v>
      </c>
      <c r="O130">
        <v>262</v>
      </c>
      <c r="P130">
        <v>0.88200000000000001</v>
      </c>
      <c r="Q130">
        <v>296</v>
      </c>
      <c r="R130">
        <v>0.997</v>
      </c>
      <c r="S130">
        <v>204</v>
      </c>
      <c r="T130">
        <v>0.68899999999999995</v>
      </c>
      <c r="U130">
        <v>897</v>
      </c>
      <c r="V130">
        <v>592</v>
      </c>
      <c r="W130">
        <v>0.66</v>
      </c>
      <c r="X130">
        <v>570</v>
      </c>
      <c r="Y130">
        <v>0.96299999999999997</v>
      </c>
      <c r="Z130">
        <v>586</v>
      </c>
      <c r="AA130">
        <v>0.99</v>
      </c>
      <c r="AB130">
        <v>460</v>
      </c>
      <c r="AC130">
        <v>0.78500000000000003</v>
      </c>
      <c r="AD130">
        <v>713</v>
      </c>
      <c r="AE130">
        <v>541</v>
      </c>
      <c r="AF130">
        <v>0.75900000000000001</v>
      </c>
      <c r="AG130">
        <v>459</v>
      </c>
      <c r="AH130">
        <v>0.84799999999999998</v>
      </c>
      <c r="AI130">
        <v>514</v>
      </c>
      <c r="AJ130">
        <v>0.95</v>
      </c>
      <c r="AK130">
        <v>415</v>
      </c>
      <c r="AL130">
        <v>0.80700000000000005</v>
      </c>
      <c r="AM130">
        <v>145</v>
      </c>
      <c r="AN130">
        <v>77</v>
      </c>
      <c r="AO130">
        <v>0.53100000000000003</v>
      </c>
      <c r="AP130">
        <v>73</v>
      </c>
      <c r="AQ130">
        <v>0.94799999999999995</v>
      </c>
      <c r="AR130">
        <v>77</v>
      </c>
      <c r="AS130">
        <v>1</v>
      </c>
      <c r="AT130">
        <v>51</v>
      </c>
      <c r="AU130">
        <v>0.66200000000000003</v>
      </c>
    </row>
    <row r="131" spans="1:47" x14ac:dyDescent="0.2">
      <c r="A131" t="s">
        <v>6531</v>
      </c>
      <c r="B131" t="s">
        <v>6532</v>
      </c>
      <c r="C131" t="s">
        <v>53</v>
      </c>
      <c r="D131">
        <v>0</v>
      </c>
      <c r="E131" t="s">
        <v>53</v>
      </c>
      <c r="F131">
        <v>0</v>
      </c>
      <c r="H131">
        <v>0</v>
      </c>
      <c r="J131">
        <v>0</v>
      </c>
      <c r="L131" t="s">
        <v>53</v>
      </c>
      <c r="M131">
        <v>0</v>
      </c>
      <c r="N131" t="s">
        <v>53</v>
      </c>
      <c r="O131">
        <v>0</v>
      </c>
      <c r="Q131">
        <v>0</v>
      </c>
      <c r="S131">
        <v>0</v>
      </c>
      <c r="U131">
        <v>0</v>
      </c>
      <c r="V131">
        <v>0</v>
      </c>
      <c r="X131">
        <v>0</v>
      </c>
      <c r="Z131">
        <v>0</v>
      </c>
      <c r="AB131">
        <v>0</v>
      </c>
      <c r="AD131">
        <v>0</v>
      </c>
      <c r="AE131">
        <v>0</v>
      </c>
      <c r="AG131">
        <v>0</v>
      </c>
      <c r="AI131">
        <v>0</v>
      </c>
      <c r="AK131">
        <v>0</v>
      </c>
      <c r="AM131">
        <v>0</v>
      </c>
      <c r="AN131">
        <v>0</v>
      </c>
      <c r="AP131">
        <v>0</v>
      </c>
      <c r="AR131">
        <v>0</v>
      </c>
      <c r="AT131">
        <v>0</v>
      </c>
    </row>
    <row r="132" spans="1:47" x14ac:dyDescent="0.2">
      <c r="A132" t="s">
        <v>6511</v>
      </c>
      <c r="B132" t="s">
        <v>6512</v>
      </c>
      <c r="C132" t="s">
        <v>53</v>
      </c>
      <c r="D132">
        <v>0</v>
      </c>
      <c r="E132" t="s">
        <v>53</v>
      </c>
      <c r="F132">
        <v>0</v>
      </c>
      <c r="H132">
        <v>0</v>
      </c>
      <c r="J132">
        <v>0</v>
      </c>
      <c r="L132" t="s">
        <v>53</v>
      </c>
      <c r="M132">
        <v>0</v>
      </c>
      <c r="N132" t="s">
        <v>53</v>
      </c>
      <c r="O132">
        <v>0</v>
      </c>
      <c r="Q132">
        <v>0</v>
      </c>
      <c r="S132">
        <v>0</v>
      </c>
      <c r="U132">
        <v>0</v>
      </c>
      <c r="V132">
        <v>0</v>
      </c>
      <c r="X132">
        <v>0</v>
      </c>
      <c r="Z132">
        <v>0</v>
      </c>
      <c r="AB132">
        <v>0</v>
      </c>
      <c r="AD132">
        <v>0</v>
      </c>
      <c r="AE132">
        <v>0</v>
      </c>
      <c r="AG132">
        <v>0</v>
      </c>
      <c r="AI132">
        <v>0</v>
      </c>
      <c r="AK132">
        <v>0</v>
      </c>
      <c r="AM132">
        <v>0</v>
      </c>
      <c r="AN132">
        <v>0</v>
      </c>
      <c r="AP132">
        <v>0</v>
      </c>
      <c r="AR132">
        <v>0</v>
      </c>
      <c r="AT132">
        <v>0</v>
      </c>
    </row>
    <row r="133" spans="1:47" x14ac:dyDescent="0.2">
      <c r="A133" t="s">
        <v>3876</v>
      </c>
      <c r="B133" t="s">
        <v>3877</v>
      </c>
      <c r="C133">
        <v>1166</v>
      </c>
      <c r="D133">
        <v>1049</v>
      </c>
      <c r="E133">
        <v>0.9</v>
      </c>
      <c r="F133">
        <v>727</v>
      </c>
      <c r="G133">
        <v>0.69299999999999995</v>
      </c>
      <c r="H133">
        <v>932</v>
      </c>
      <c r="I133">
        <v>0.88800000000000001</v>
      </c>
      <c r="J133">
        <v>600</v>
      </c>
      <c r="K133">
        <v>0.64400000000000002</v>
      </c>
      <c r="L133">
        <v>258</v>
      </c>
      <c r="M133">
        <v>120</v>
      </c>
      <c r="N133">
        <v>0.46500000000000002</v>
      </c>
      <c r="O133">
        <v>80</v>
      </c>
      <c r="P133">
        <v>0.66700000000000004</v>
      </c>
      <c r="Q133">
        <v>120</v>
      </c>
      <c r="R133">
        <v>1</v>
      </c>
      <c r="S133">
        <v>72</v>
      </c>
      <c r="T133">
        <v>0.6</v>
      </c>
      <c r="U133">
        <v>412</v>
      </c>
      <c r="V133">
        <v>408</v>
      </c>
      <c r="W133">
        <v>0.99</v>
      </c>
      <c r="X133">
        <v>320</v>
      </c>
      <c r="Y133">
        <v>0.78400000000000003</v>
      </c>
      <c r="Z133">
        <v>361</v>
      </c>
      <c r="AA133">
        <v>0.88500000000000001</v>
      </c>
      <c r="AB133">
        <v>246</v>
      </c>
      <c r="AC133">
        <v>0.68100000000000005</v>
      </c>
      <c r="AD133">
        <v>413</v>
      </c>
      <c r="AE133">
        <v>485</v>
      </c>
      <c r="AF133">
        <v>1.1739999999999999</v>
      </c>
      <c r="AG133">
        <v>294</v>
      </c>
      <c r="AH133">
        <v>0.60599999999999998</v>
      </c>
      <c r="AI133">
        <v>415</v>
      </c>
      <c r="AJ133">
        <v>0.85599999999999998</v>
      </c>
      <c r="AK133">
        <v>260</v>
      </c>
      <c r="AL133">
        <v>0.627</v>
      </c>
      <c r="AM133">
        <v>83</v>
      </c>
      <c r="AN133">
        <v>36</v>
      </c>
      <c r="AO133">
        <v>0.434</v>
      </c>
      <c r="AP133">
        <v>33</v>
      </c>
      <c r="AQ133">
        <v>0.91700000000000004</v>
      </c>
      <c r="AR133">
        <v>36</v>
      </c>
      <c r="AS133">
        <v>1</v>
      </c>
      <c r="AT133">
        <v>22</v>
      </c>
      <c r="AU133">
        <v>0.61099999999999999</v>
      </c>
    </row>
    <row r="134" spans="1:47" x14ac:dyDescent="0.2">
      <c r="A134" t="s">
        <v>3879</v>
      </c>
      <c r="B134" t="s">
        <v>3880</v>
      </c>
      <c r="C134">
        <v>1638</v>
      </c>
      <c r="D134">
        <v>1026</v>
      </c>
      <c r="E134">
        <v>0.626</v>
      </c>
      <c r="F134">
        <v>685</v>
      </c>
      <c r="G134">
        <v>0.66800000000000004</v>
      </c>
      <c r="H134">
        <v>758</v>
      </c>
      <c r="I134">
        <v>0.73899999999999999</v>
      </c>
      <c r="J134">
        <v>462</v>
      </c>
      <c r="K134">
        <v>0.60899999999999999</v>
      </c>
      <c r="L134">
        <v>398</v>
      </c>
      <c r="M134">
        <v>159</v>
      </c>
      <c r="N134">
        <v>0.39900000000000002</v>
      </c>
      <c r="O134">
        <v>75</v>
      </c>
      <c r="P134">
        <v>0.47199999999999998</v>
      </c>
      <c r="Q134">
        <v>130</v>
      </c>
      <c r="R134">
        <v>0.81799999999999995</v>
      </c>
      <c r="S134">
        <v>67</v>
      </c>
      <c r="T134">
        <v>0.51500000000000001</v>
      </c>
      <c r="U134">
        <v>354</v>
      </c>
      <c r="V134">
        <v>303</v>
      </c>
      <c r="W134">
        <v>0.85599999999999998</v>
      </c>
      <c r="X134">
        <v>220</v>
      </c>
      <c r="Y134">
        <v>0.72599999999999998</v>
      </c>
      <c r="Z134">
        <v>215</v>
      </c>
      <c r="AA134">
        <v>0.71</v>
      </c>
      <c r="AB134">
        <v>163</v>
      </c>
      <c r="AC134">
        <v>0.75800000000000001</v>
      </c>
      <c r="AD134">
        <v>382</v>
      </c>
      <c r="AE134">
        <v>295</v>
      </c>
      <c r="AF134">
        <v>0.77200000000000002</v>
      </c>
      <c r="AG134">
        <v>204</v>
      </c>
      <c r="AH134">
        <v>0.69199999999999995</v>
      </c>
      <c r="AI134">
        <v>197</v>
      </c>
      <c r="AJ134">
        <v>0.66800000000000004</v>
      </c>
      <c r="AK134">
        <v>131</v>
      </c>
      <c r="AL134">
        <v>0.66500000000000004</v>
      </c>
      <c r="AM134">
        <v>504</v>
      </c>
      <c r="AN134">
        <v>269</v>
      </c>
      <c r="AO134">
        <v>0.53400000000000003</v>
      </c>
      <c r="AP134">
        <v>186</v>
      </c>
      <c r="AQ134">
        <v>0.69099999999999995</v>
      </c>
      <c r="AR134">
        <v>216</v>
      </c>
      <c r="AS134">
        <v>0.80300000000000005</v>
      </c>
      <c r="AT134">
        <v>101</v>
      </c>
      <c r="AU134">
        <v>0.46800000000000003</v>
      </c>
    </row>
    <row r="135" spans="1:47" x14ac:dyDescent="0.2">
      <c r="A135" t="s">
        <v>3882</v>
      </c>
      <c r="B135" t="s">
        <v>3883</v>
      </c>
      <c r="C135">
        <v>1664</v>
      </c>
      <c r="D135">
        <v>1264</v>
      </c>
      <c r="E135">
        <v>0.76</v>
      </c>
      <c r="F135">
        <v>941</v>
      </c>
      <c r="G135">
        <v>0.74399999999999999</v>
      </c>
      <c r="H135">
        <v>1189</v>
      </c>
      <c r="I135">
        <v>0.94099999999999995</v>
      </c>
      <c r="J135">
        <v>893</v>
      </c>
      <c r="K135">
        <v>0.751</v>
      </c>
      <c r="L135">
        <v>501</v>
      </c>
      <c r="M135" t="s">
        <v>53</v>
      </c>
      <c r="N135" t="s">
        <v>53</v>
      </c>
      <c r="O135" t="s">
        <v>53</v>
      </c>
      <c r="P135" t="s">
        <v>53</v>
      </c>
      <c r="Q135" t="s">
        <v>53</v>
      </c>
      <c r="R135" t="s">
        <v>53</v>
      </c>
      <c r="S135" t="s">
        <v>53</v>
      </c>
      <c r="T135" t="s">
        <v>53</v>
      </c>
      <c r="U135">
        <v>576</v>
      </c>
      <c r="V135">
        <v>519</v>
      </c>
      <c r="W135">
        <v>0.90100000000000002</v>
      </c>
      <c r="X135">
        <v>433</v>
      </c>
      <c r="Y135">
        <v>0.83399999999999996</v>
      </c>
      <c r="Z135">
        <v>494</v>
      </c>
      <c r="AA135">
        <v>0.95199999999999996</v>
      </c>
      <c r="AB135">
        <v>381</v>
      </c>
      <c r="AC135">
        <v>0.77100000000000002</v>
      </c>
      <c r="AD135">
        <v>546</v>
      </c>
      <c r="AE135">
        <v>558</v>
      </c>
      <c r="AF135">
        <v>1.022</v>
      </c>
      <c r="AG135">
        <v>385</v>
      </c>
      <c r="AH135">
        <v>0.69</v>
      </c>
      <c r="AI135">
        <v>511</v>
      </c>
      <c r="AJ135">
        <v>0.91600000000000004</v>
      </c>
      <c r="AK135">
        <v>385</v>
      </c>
      <c r="AL135">
        <v>0.753</v>
      </c>
      <c r="AM135">
        <v>41</v>
      </c>
      <c r="AN135" t="s">
        <v>53</v>
      </c>
      <c r="AO135" t="s">
        <v>53</v>
      </c>
      <c r="AP135" t="s">
        <v>53</v>
      </c>
      <c r="AQ135" t="s">
        <v>53</v>
      </c>
      <c r="AR135" t="s">
        <v>53</v>
      </c>
      <c r="AS135" t="s">
        <v>53</v>
      </c>
      <c r="AT135" t="s">
        <v>53</v>
      </c>
      <c r="AU135" t="s">
        <v>53</v>
      </c>
    </row>
    <row r="136" spans="1:47" x14ac:dyDescent="0.2">
      <c r="A136" t="s">
        <v>3885</v>
      </c>
      <c r="B136" t="s">
        <v>3886</v>
      </c>
      <c r="C136">
        <v>1067</v>
      </c>
      <c r="D136">
        <v>1216</v>
      </c>
      <c r="E136">
        <v>1.1399999999999999</v>
      </c>
      <c r="F136">
        <v>947</v>
      </c>
      <c r="G136">
        <v>0.77900000000000003</v>
      </c>
      <c r="H136">
        <v>1133</v>
      </c>
      <c r="I136">
        <v>0.93200000000000005</v>
      </c>
      <c r="J136">
        <v>838</v>
      </c>
      <c r="K136">
        <v>0.74</v>
      </c>
      <c r="L136" t="s">
        <v>53</v>
      </c>
      <c r="M136" t="s">
        <v>53</v>
      </c>
      <c r="N136" t="s">
        <v>53</v>
      </c>
      <c r="O136" t="s">
        <v>53</v>
      </c>
      <c r="P136" t="s">
        <v>53</v>
      </c>
      <c r="Q136" t="s">
        <v>53</v>
      </c>
      <c r="R136" t="s">
        <v>53</v>
      </c>
      <c r="S136" t="s">
        <v>53</v>
      </c>
      <c r="T136" t="s">
        <v>53</v>
      </c>
      <c r="U136">
        <v>412</v>
      </c>
      <c r="V136">
        <v>445</v>
      </c>
      <c r="W136">
        <v>1.08</v>
      </c>
      <c r="X136">
        <v>380</v>
      </c>
      <c r="Y136">
        <v>0.85399999999999998</v>
      </c>
      <c r="Z136">
        <v>413</v>
      </c>
      <c r="AA136">
        <v>0.92800000000000005</v>
      </c>
      <c r="AB136">
        <v>304</v>
      </c>
      <c r="AC136">
        <v>0.73599999999999999</v>
      </c>
      <c r="AD136">
        <v>356</v>
      </c>
      <c r="AE136">
        <v>492</v>
      </c>
      <c r="AF136">
        <v>1.3819999999999999</v>
      </c>
      <c r="AG136">
        <v>315</v>
      </c>
      <c r="AH136">
        <v>0.64</v>
      </c>
      <c r="AI136">
        <v>441</v>
      </c>
      <c r="AJ136">
        <v>0.89600000000000002</v>
      </c>
      <c r="AK136">
        <v>331</v>
      </c>
      <c r="AL136">
        <v>0.751</v>
      </c>
      <c r="AM136" t="s">
        <v>53</v>
      </c>
      <c r="AN136" t="s">
        <v>53</v>
      </c>
      <c r="AO136" t="s">
        <v>53</v>
      </c>
      <c r="AP136" t="s">
        <v>53</v>
      </c>
      <c r="AQ136" t="s">
        <v>53</v>
      </c>
      <c r="AR136" t="s">
        <v>53</v>
      </c>
      <c r="AS136" t="s">
        <v>53</v>
      </c>
      <c r="AT136" t="s">
        <v>53</v>
      </c>
      <c r="AU136" t="s">
        <v>53</v>
      </c>
    </row>
    <row r="137" spans="1:47" x14ac:dyDescent="0.2">
      <c r="A137" t="s">
        <v>3903</v>
      </c>
      <c r="B137" t="s">
        <v>3904</v>
      </c>
      <c r="C137">
        <v>28</v>
      </c>
      <c r="D137">
        <v>176</v>
      </c>
      <c r="E137">
        <v>6.2859999999999996</v>
      </c>
      <c r="F137">
        <v>25</v>
      </c>
      <c r="G137">
        <v>0.14199999999999999</v>
      </c>
      <c r="H137">
        <v>176</v>
      </c>
      <c r="I137">
        <v>1</v>
      </c>
      <c r="J137">
        <v>105</v>
      </c>
      <c r="K137">
        <v>0.59699999999999998</v>
      </c>
      <c r="L137">
        <v>28</v>
      </c>
      <c r="M137">
        <v>176</v>
      </c>
      <c r="N137">
        <v>6.2859999999999996</v>
      </c>
      <c r="O137">
        <v>25</v>
      </c>
      <c r="P137">
        <v>0.14199999999999999</v>
      </c>
      <c r="Q137">
        <v>176</v>
      </c>
      <c r="R137">
        <v>1</v>
      </c>
      <c r="S137">
        <v>105</v>
      </c>
      <c r="T137">
        <v>0.59699999999999998</v>
      </c>
      <c r="U137">
        <v>0</v>
      </c>
      <c r="V137">
        <v>0</v>
      </c>
      <c r="X137">
        <v>0</v>
      </c>
      <c r="Z137">
        <v>0</v>
      </c>
      <c r="AB137">
        <v>0</v>
      </c>
      <c r="AD137">
        <v>0</v>
      </c>
      <c r="AE137">
        <v>0</v>
      </c>
      <c r="AG137">
        <v>0</v>
      </c>
      <c r="AI137">
        <v>0</v>
      </c>
      <c r="AK137">
        <v>0</v>
      </c>
      <c r="AM137">
        <v>0</v>
      </c>
      <c r="AN137">
        <v>0</v>
      </c>
      <c r="AP137">
        <v>0</v>
      </c>
      <c r="AR137">
        <v>0</v>
      </c>
      <c r="AT137">
        <v>0</v>
      </c>
    </row>
    <row r="138" spans="1:47" x14ac:dyDescent="0.2">
      <c r="A138" t="s">
        <v>3888</v>
      </c>
      <c r="B138" t="s">
        <v>3889</v>
      </c>
      <c r="C138">
        <v>3564</v>
      </c>
      <c r="D138">
        <v>3112</v>
      </c>
      <c r="E138">
        <v>0.873</v>
      </c>
      <c r="F138">
        <v>1978</v>
      </c>
      <c r="G138">
        <v>0.63600000000000001</v>
      </c>
      <c r="H138">
        <v>2780</v>
      </c>
      <c r="I138">
        <v>0.89300000000000002</v>
      </c>
      <c r="J138">
        <v>1311</v>
      </c>
      <c r="K138">
        <v>0.47199999999999998</v>
      </c>
      <c r="L138">
        <v>737</v>
      </c>
      <c r="M138">
        <v>918</v>
      </c>
      <c r="N138">
        <v>1.246</v>
      </c>
      <c r="O138">
        <v>532</v>
      </c>
      <c r="P138">
        <v>0.57999999999999996</v>
      </c>
      <c r="Q138">
        <v>885</v>
      </c>
      <c r="R138">
        <v>0.96399999999999997</v>
      </c>
      <c r="S138">
        <v>380</v>
      </c>
      <c r="T138">
        <v>0.42899999999999999</v>
      </c>
      <c r="U138">
        <v>803</v>
      </c>
      <c r="V138">
        <v>662</v>
      </c>
      <c r="W138">
        <v>0.82399999999999995</v>
      </c>
      <c r="X138">
        <v>488</v>
      </c>
      <c r="Y138">
        <v>0.73699999999999999</v>
      </c>
      <c r="Z138">
        <v>571</v>
      </c>
      <c r="AA138">
        <v>0.86299999999999999</v>
      </c>
      <c r="AB138">
        <v>342</v>
      </c>
      <c r="AC138">
        <v>0.59899999999999998</v>
      </c>
      <c r="AD138">
        <v>1152</v>
      </c>
      <c r="AE138">
        <v>997</v>
      </c>
      <c r="AF138">
        <v>0.86499999999999999</v>
      </c>
      <c r="AG138">
        <v>692</v>
      </c>
      <c r="AH138">
        <v>0.69399999999999995</v>
      </c>
      <c r="AI138">
        <v>808</v>
      </c>
      <c r="AJ138">
        <v>0.81</v>
      </c>
      <c r="AK138">
        <v>423</v>
      </c>
      <c r="AL138">
        <v>0.52400000000000002</v>
      </c>
      <c r="AM138">
        <v>872</v>
      </c>
      <c r="AN138">
        <v>535</v>
      </c>
      <c r="AO138">
        <v>0.61399999999999999</v>
      </c>
      <c r="AP138">
        <v>266</v>
      </c>
      <c r="AQ138">
        <v>0.497</v>
      </c>
      <c r="AR138">
        <v>516</v>
      </c>
      <c r="AS138">
        <v>0.96399999999999997</v>
      </c>
      <c r="AT138">
        <v>166</v>
      </c>
      <c r="AU138">
        <v>0.32200000000000001</v>
      </c>
    </row>
    <row r="139" spans="1:47" x14ac:dyDescent="0.2">
      <c r="A139" t="s">
        <v>3891</v>
      </c>
      <c r="B139" t="s">
        <v>3892</v>
      </c>
      <c r="C139">
        <v>0</v>
      </c>
      <c r="D139">
        <v>518</v>
      </c>
      <c r="F139">
        <v>413</v>
      </c>
      <c r="G139">
        <v>0.79700000000000004</v>
      </c>
      <c r="H139">
        <v>460</v>
      </c>
      <c r="I139">
        <v>0.88800000000000001</v>
      </c>
      <c r="J139">
        <v>348</v>
      </c>
      <c r="K139">
        <v>0.75700000000000001</v>
      </c>
      <c r="L139">
        <v>0</v>
      </c>
      <c r="M139">
        <v>81</v>
      </c>
      <c r="O139">
        <v>67</v>
      </c>
      <c r="P139">
        <v>0.82699999999999996</v>
      </c>
      <c r="Q139">
        <v>77</v>
      </c>
      <c r="R139">
        <v>0.95099999999999996</v>
      </c>
      <c r="S139">
        <v>49</v>
      </c>
      <c r="T139">
        <v>0.63600000000000001</v>
      </c>
      <c r="U139">
        <v>0</v>
      </c>
      <c r="V139">
        <v>179</v>
      </c>
      <c r="X139">
        <v>155</v>
      </c>
      <c r="Y139">
        <v>0.86599999999999999</v>
      </c>
      <c r="Z139">
        <v>165</v>
      </c>
      <c r="AA139">
        <v>0.92200000000000004</v>
      </c>
      <c r="AB139">
        <v>137</v>
      </c>
      <c r="AC139">
        <v>0.83</v>
      </c>
      <c r="AD139">
        <v>0</v>
      </c>
      <c r="AE139">
        <v>258</v>
      </c>
      <c r="AG139">
        <v>191</v>
      </c>
      <c r="AH139">
        <v>0.74</v>
      </c>
      <c r="AI139">
        <v>218</v>
      </c>
      <c r="AJ139">
        <v>0.84499999999999997</v>
      </c>
      <c r="AK139">
        <v>162</v>
      </c>
      <c r="AL139">
        <v>0.74299999999999999</v>
      </c>
      <c r="AM139">
        <v>0</v>
      </c>
      <c r="AN139">
        <v>0</v>
      </c>
      <c r="AP139">
        <v>0</v>
      </c>
      <c r="AR139">
        <v>0</v>
      </c>
      <c r="AT139">
        <v>0</v>
      </c>
    </row>
    <row r="140" spans="1:47" x14ac:dyDescent="0.2">
      <c r="A140" t="s">
        <v>3894</v>
      </c>
      <c r="B140" t="s">
        <v>3895</v>
      </c>
      <c r="C140">
        <v>1108</v>
      </c>
      <c r="D140">
        <v>958</v>
      </c>
      <c r="E140">
        <v>0.86499999999999999</v>
      </c>
      <c r="F140">
        <v>737</v>
      </c>
      <c r="G140">
        <v>0.76900000000000002</v>
      </c>
      <c r="H140">
        <v>880</v>
      </c>
      <c r="I140">
        <v>0.91900000000000004</v>
      </c>
      <c r="J140">
        <v>606</v>
      </c>
      <c r="K140">
        <v>0.68899999999999995</v>
      </c>
      <c r="L140">
        <v>283</v>
      </c>
      <c r="M140">
        <v>223</v>
      </c>
      <c r="N140">
        <v>0.78800000000000003</v>
      </c>
      <c r="O140">
        <v>143</v>
      </c>
      <c r="P140">
        <v>0.64100000000000001</v>
      </c>
      <c r="Q140">
        <v>221</v>
      </c>
      <c r="R140">
        <v>0.99099999999999999</v>
      </c>
      <c r="S140">
        <v>133</v>
      </c>
      <c r="T140">
        <v>0.60199999999999998</v>
      </c>
      <c r="U140">
        <v>375</v>
      </c>
      <c r="V140">
        <v>357</v>
      </c>
      <c r="W140">
        <v>0.95199999999999996</v>
      </c>
      <c r="X140">
        <v>296</v>
      </c>
      <c r="Y140">
        <v>0.82899999999999996</v>
      </c>
      <c r="Z140">
        <v>328</v>
      </c>
      <c r="AA140">
        <v>0.91900000000000004</v>
      </c>
      <c r="AB140">
        <v>245</v>
      </c>
      <c r="AC140">
        <v>0.747</v>
      </c>
      <c r="AD140">
        <v>365</v>
      </c>
      <c r="AE140">
        <v>365</v>
      </c>
      <c r="AF140">
        <v>1</v>
      </c>
      <c r="AG140">
        <v>288</v>
      </c>
      <c r="AH140">
        <v>0.78900000000000003</v>
      </c>
      <c r="AI140">
        <v>318</v>
      </c>
      <c r="AJ140">
        <v>0.871</v>
      </c>
      <c r="AK140">
        <v>221</v>
      </c>
      <c r="AL140">
        <v>0.69499999999999995</v>
      </c>
      <c r="AM140">
        <v>85</v>
      </c>
      <c r="AN140">
        <v>13</v>
      </c>
      <c r="AO140">
        <v>0.153</v>
      </c>
      <c r="AP140">
        <v>10</v>
      </c>
      <c r="AQ140">
        <v>0.76900000000000002</v>
      </c>
      <c r="AR140">
        <v>13</v>
      </c>
      <c r="AS140">
        <v>1</v>
      </c>
      <c r="AT140">
        <v>7</v>
      </c>
      <c r="AU140">
        <v>0.53800000000000003</v>
      </c>
    </row>
    <row r="141" spans="1:47" x14ac:dyDescent="0.2">
      <c r="A141" t="s">
        <v>3897</v>
      </c>
      <c r="B141" t="s">
        <v>3898</v>
      </c>
      <c r="C141">
        <v>404</v>
      </c>
      <c r="D141">
        <v>320</v>
      </c>
      <c r="E141">
        <v>0.79200000000000004</v>
      </c>
      <c r="F141">
        <v>232</v>
      </c>
      <c r="G141">
        <v>0.72499999999999998</v>
      </c>
      <c r="H141">
        <v>298</v>
      </c>
      <c r="I141">
        <v>0.93100000000000005</v>
      </c>
      <c r="J141">
        <v>132</v>
      </c>
      <c r="K141">
        <v>0.443</v>
      </c>
      <c r="L141">
        <v>205</v>
      </c>
      <c r="M141">
        <v>132</v>
      </c>
      <c r="N141">
        <v>0.64400000000000002</v>
      </c>
      <c r="O141">
        <v>75</v>
      </c>
      <c r="P141">
        <v>0.56799999999999995</v>
      </c>
      <c r="Q141">
        <v>130</v>
      </c>
      <c r="R141">
        <v>0.98499999999999999</v>
      </c>
      <c r="S141">
        <v>47</v>
      </c>
      <c r="T141">
        <v>0.36199999999999999</v>
      </c>
      <c r="U141">
        <v>81</v>
      </c>
      <c r="V141">
        <v>70</v>
      </c>
      <c r="W141">
        <v>0.86399999999999999</v>
      </c>
      <c r="X141">
        <v>62</v>
      </c>
      <c r="Y141">
        <v>0.88600000000000001</v>
      </c>
      <c r="Z141">
        <v>64</v>
      </c>
      <c r="AA141">
        <v>0.91400000000000003</v>
      </c>
      <c r="AB141">
        <v>31</v>
      </c>
      <c r="AC141">
        <v>0.48399999999999999</v>
      </c>
      <c r="AD141">
        <v>118</v>
      </c>
      <c r="AE141">
        <v>118</v>
      </c>
      <c r="AF141">
        <v>1</v>
      </c>
      <c r="AG141">
        <v>95</v>
      </c>
      <c r="AH141">
        <v>0.80500000000000005</v>
      </c>
      <c r="AI141">
        <v>104</v>
      </c>
      <c r="AJ141">
        <v>0.88100000000000001</v>
      </c>
      <c r="AK141">
        <v>54</v>
      </c>
      <c r="AL141">
        <v>0.51900000000000002</v>
      </c>
      <c r="AM141">
        <v>0</v>
      </c>
      <c r="AN141">
        <v>0</v>
      </c>
      <c r="AP141">
        <v>0</v>
      </c>
      <c r="AR141">
        <v>0</v>
      </c>
      <c r="AT141">
        <v>0</v>
      </c>
    </row>
    <row r="142" spans="1:47" x14ac:dyDescent="0.2">
      <c r="A142" t="s">
        <v>4553</v>
      </c>
      <c r="B142" t="s">
        <v>4554</v>
      </c>
      <c r="C142">
        <v>806</v>
      </c>
      <c r="D142">
        <v>557</v>
      </c>
      <c r="E142">
        <v>0.69099999999999995</v>
      </c>
      <c r="F142">
        <v>438</v>
      </c>
      <c r="G142">
        <v>0.78600000000000003</v>
      </c>
      <c r="H142">
        <v>522</v>
      </c>
      <c r="I142">
        <v>0.93700000000000006</v>
      </c>
      <c r="J142">
        <v>417</v>
      </c>
      <c r="K142">
        <v>0.79900000000000004</v>
      </c>
      <c r="L142">
        <v>0</v>
      </c>
      <c r="M142">
        <v>0</v>
      </c>
      <c r="O142">
        <v>0</v>
      </c>
      <c r="Q142">
        <v>0</v>
      </c>
      <c r="S142">
        <v>0</v>
      </c>
      <c r="U142">
        <v>413</v>
      </c>
      <c r="V142">
        <v>270</v>
      </c>
      <c r="W142">
        <v>0.65400000000000003</v>
      </c>
      <c r="X142">
        <v>236</v>
      </c>
      <c r="Y142">
        <v>0.874</v>
      </c>
      <c r="Z142">
        <v>264</v>
      </c>
      <c r="AA142">
        <v>0.97799999999999998</v>
      </c>
      <c r="AB142">
        <v>211</v>
      </c>
      <c r="AC142">
        <v>0.79900000000000004</v>
      </c>
      <c r="AD142" t="s">
        <v>53</v>
      </c>
      <c r="AE142">
        <v>287</v>
      </c>
      <c r="AF142" t="s">
        <v>53</v>
      </c>
      <c r="AG142">
        <v>202</v>
      </c>
      <c r="AH142">
        <v>0.70399999999999996</v>
      </c>
      <c r="AI142">
        <v>258</v>
      </c>
      <c r="AJ142">
        <v>0.89900000000000002</v>
      </c>
      <c r="AK142">
        <v>206</v>
      </c>
      <c r="AL142">
        <v>0.79800000000000004</v>
      </c>
      <c r="AM142" t="s">
        <v>53</v>
      </c>
      <c r="AN142">
        <v>0</v>
      </c>
      <c r="AO142" t="s">
        <v>53</v>
      </c>
      <c r="AP142">
        <v>0</v>
      </c>
      <c r="AR142">
        <v>0</v>
      </c>
      <c r="AT142">
        <v>0</v>
      </c>
    </row>
    <row r="143" spans="1:47" x14ac:dyDescent="0.2">
      <c r="A143" t="s">
        <v>3906</v>
      </c>
      <c r="B143" t="s">
        <v>3907</v>
      </c>
      <c r="C143">
        <v>2224</v>
      </c>
      <c r="D143">
        <v>1533</v>
      </c>
      <c r="E143">
        <v>0.68899999999999995</v>
      </c>
      <c r="F143">
        <v>1283</v>
      </c>
      <c r="G143">
        <v>0.83699999999999997</v>
      </c>
      <c r="H143">
        <v>1438</v>
      </c>
      <c r="I143">
        <v>0.93799999999999994</v>
      </c>
      <c r="J143">
        <v>914</v>
      </c>
      <c r="K143">
        <v>0.63600000000000001</v>
      </c>
      <c r="L143">
        <v>580</v>
      </c>
      <c r="M143">
        <v>487</v>
      </c>
      <c r="N143">
        <v>0.84</v>
      </c>
      <c r="O143">
        <v>414</v>
      </c>
      <c r="P143">
        <v>0.85</v>
      </c>
      <c r="Q143">
        <v>486</v>
      </c>
      <c r="R143">
        <v>0.998</v>
      </c>
      <c r="S143">
        <v>305</v>
      </c>
      <c r="T143">
        <v>0.628</v>
      </c>
      <c r="U143">
        <v>522</v>
      </c>
      <c r="V143">
        <v>393</v>
      </c>
      <c r="W143">
        <v>0.753</v>
      </c>
      <c r="X143">
        <v>343</v>
      </c>
      <c r="Y143">
        <v>0.873</v>
      </c>
      <c r="Z143">
        <v>345</v>
      </c>
      <c r="AA143">
        <v>0.878</v>
      </c>
      <c r="AB143">
        <v>242</v>
      </c>
      <c r="AC143">
        <v>0.70099999999999996</v>
      </c>
      <c r="AD143">
        <v>546</v>
      </c>
      <c r="AE143">
        <v>435</v>
      </c>
      <c r="AF143">
        <v>0.79700000000000004</v>
      </c>
      <c r="AG143">
        <v>336</v>
      </c>
      <c r="AH143">
        <v>0.77200000000000002</v>
      </c>
      <c r="AI143">
        <v>389</v>
      </c>
      <c r="AJ143">
        <v>0.89400000000000002</v>
      </c>
      <c r="AK143">
        <v>255</v>
      </c>
      <c r="AL143">
        <v>0.65600000000000003</v>
      </c>
      <c r="AM143">
        <v>576</v>
      </c>
      <c r="AN143">
        <v>218</v>
      </c>
      <c r="AO143">
        <v>0.378</v>
      </c>
      <c r="AP143">
        <v>190</v>
      </c>
      <c r="AQ143">
        <v>0.872</v>
      </c>
      <c r="AR143">
        <v>218</v>
      </c>
      <c r="AS143">
        <v>1</v>
      </c>
      <c r="AT143">
        <v>112</v>
      </c>
      <c r="AU143">
        <v>0.51400000000000001</v>
      </c>
    </row>
    <row r="144" spans="1:47" x14ac:dyDescent="0.2">
      <c r="A144" t="s">
        <v>4558</v>
      </c>
      <c r="B144" t="s">
        <v>4559</v>
      </c>
      <c r="C144">
        <v>1897</v>
      </c>
      <c r="D144">
        <v>753</v>
      </c>
      <c r="E144">
        <v>0.39700000000000002</v>
      </c>
      <c r="F144">
        <v>599</v>
      </c>
      <c r="G144">
        <v>0.79500000000000004</v>
      </c>
      <c r="H144">
        <v>656</v>
      </c>
      <c r="I144">
        <v>0.871</v>
      </c>
      <c r="J144">
        <v>407</v>
      </c>
      <c r="K144">
        <v>0.62</v>
      </c>
      <c r="L144">
        <v>493</v>
      </c>
      <c r="M144">
        <v>0</v>
      </c>
      <c r="N144">
        <v>0</v>
      </c>
      <c r="O144">
        <v>0</v>
      </c>
      <c r="Q144">
        <v>0</v>
      </c>
      <c r="S144">
        <v>0</v>
      </c>
      <c r="U144">
        <v>241</v>
      </c>
      <c r="V144">
        <v>167</v>
      </c>
      <c r="W144">
        <v>0.69299999999999995</v>
      </c>
      <c r="X144">
        <v>125</v>
      </c>
      <c r="Y144">
        <v>0.749</v>
      </c>
      <c r="Z144">
        <v>132</v>
      </c>
      <c r="AA144">
        <v>0.79</v>
      </c>
      <c r="AB144">
        <v>92</v>
      </c>
      <c r="AC144">
        <v>0.69699999999999995</v>
      </c>
      <c r="AD144">
        <v>232</v>
      </c>
      <c r="AE144">
        <v>168</v>
      </c>
      <c r="AF144">
        <v>0.72399999999999998</v>
      </c>
      <c r="AG144">
        <v>112</v>
      </c>
      <c r="AH144">
        <v>0.66700000000000004</v>
      </c>
      <c r="AI144">
        <v>144</v>
      </c>
      <c r="AJ144">
        <v>0.85699999999999998</v>
      </c>
      <c r="AK144">
        <v>98</v>
      </c>
      <c r="AL144">
        <v>0.68100000000000005</v>
      </c>
      <c r="AM144">
        <v>931</v>
      </c>
      <c r="AN144">
        <v>418</v>
      </c>
      <c r="AO144">
        <v>0.44900000000000001</v>
      </c>
      <c r="AP144">
        <v>362</v>
      </c>
      <c r="AQ144">
        <v>0.86599999999999999</v>
      </c>
      <c r="AR144">
        <v>380</v>
      </c>
      <c r="AS144">
        <v>0.90900000000000003</v>
      </c>
      <c r="AT144">
        <v>217</v>
      </c>
      <c r="AU144">
        <v>0.57099999999999995</v>
      </c>
    </row>
    <row r="145" spans="1:47" x14ac:dyDescent="0.2">
      <c r="A145" t="s">
        <v>3909</v>
      </c>
      <c r="B145" t="s">
        <v>3910</v>
      </c>
      <c r="C145">
        <v>1468</v>
      </c>
      <c r="D145">
        <v>776</v>
      </c>
      <c r="E145">
        <v>0.52900000000000003</v>
      </c>
      <c r="F145">
        <v>690</v>
      </c>
      <c r="G145">
        <v>0.88900000000000001</v>
      </c>
      <c r="H145">
        <v>770</v>
      </c>
      <c r="I145">
        <v>0.99199999999999999</v>
      </c>
      <c r="J145">
        <v>537</v>
      </c>
      <c r="K145">
        <v>0.69699999999999995</v>
      </c>
      <c r="L145">
        <v>483</v>
      </c>
      <c r="M145">
        <v>278</v>
      </c>
      <c r="N145">
        <v>0.57599999999999996</v>
      </c>
      <c r="O145">
        <v>237</v>
      </c>
      <c r="P145">
        <v>0.85299999999999998</v>
      </c>
      <c r="Q145">
        <v>278</v>
      </c>
      <c r="R145">
        <v>1</v>
      </c>
      <c r="S145">
        <v>189</v>
      </c>
      <c r="T145">
        <v>0.68</v>
      </c>
      <c r="U145">
        <v>341</v>
      </c>
      <c r="V145">
        <v>172</v>
      </c>
      <c r="W145">
        <v>0.504</v>
      </c>
      <c r="X145">
        <v>160</v>
      </c>
      <c r="Y145">
        <v>0.93</v>
      </c>
      <c r="Z145">
        <v>167</v>
      </c>
      <c r="AA145">
        <v>0.97099999999999997</v>
      </c>
      <c r="AB145">
        <v>124</v>
      </c>
      <c r="AC145">
        <v>0.74299999999999999</v>
      </c>
      <c r="AD145">
        <v>322</v>
      </c>
      <c r="AE145">
        <v>152</v>
      </c>
      <c r="AF145">
        <v>0.47199999999999998</v>
      </c>
      <c r="AG145">
        <v>138</v>
      </c>
      <c r="AH145">
        <v>0.90800000000000003</v>
      </c>
      <c r="AI145">
        <v>151</v>
      </c>
      <c r="AJ145">
        <v>0.99299999999999999</v>
      </c>
      <c r="AK145">
        <v>118</v>
      </c>
      <c r="AL145">
        <v>0.78100000000000003</v>
      </c>
      <c r="AM145">
        <v>322</v>
      </c>
      <c r="AN145">
        <v>174</v>
      </c>
      <c r="AO145">
        <v>0.54</v>
      </c>
      <c r="AP145">
        <v>155</v>
      </c>
      <c r="AQ145">
        <v>0.89100000000000001</v>
      </c>
      <c r="AR145">
        <v>174</v>
      </c>
      <c r="AS145">
        <v>1</v>
      </c>
      <c r="AT145">
        <v>106</v>
      </c>
      <c r="AU145">
        <v>0.60899999999999999</v>
      </c>
    </row>
    <row r="146" spans="1:47" x14ac:dyDescent="0.2">
      <c r="A146" t="s">
        <v>3912</v>
      </c>
      <c r="B146" t="s">
        <v>3913</v>
      </c>
      <c r="C146">
        <v>667</v>
      </c>
      <c r="D146">
        <v>411</v>
      </c>
      <c r="E146">
        <v>0.61599999999999999</v>
      </c>
      <c r="F146">
        <v>322</v>
      </c>
      <c r="G146">
        <v>0.78300000000000003</v>
      </c>
      <c r="H146">
        <v>353</v>
      </c>
      <c r="I146">
        <v>0.85899999999999999</v>
      </c>
      <c r="J146">
        <v>248</v>
      </c>
      <c r="K146">
        <v>0.70299999999999996</v>
      </c>
      <c r="L146" t="s">
        <v>53</v>
      </c>
      <c r="M146">
        <v>71</v>
      </c>
      <c r="N146" t="s">
        <v>53</v>
      </c>
      <c r="O146">
        <v>62</v>
      </c>
      <c r="P146">
        <v>0.873</v>
      </c>
      <c r="Q146">
        <v>71</v>
      </c>
      <c r="R146">
        <v>1</v>
      </c>
      <c r="S146">
        <v>45</v>
      </c>
      <c r="T146">
        <v>0.63400000000000001</v>
      </c>
      <c r="U146">
        <v>213</v>
      </c>
      <c r="V146">
        <v>166</v>
      </c>
      <c r="W146">
        <v>0.77900000000000003</v>
      </c>
      <c r="X146">
        <v>129</v>
      </c>
      <c r="Y146">
        <v>0.77700000000000002</v>
      </c>
      <c r="Z146">
        <v>138</v>
      </c>
      <c r="AA146">
        <v>0.83099999999999996</v>
      </c>
      <c r="AB146">
        <v>93</v>
      </c>
      <c r="AC146">
        <v>0.67400000000000004</v>
      </c>
      <c r="AD146">
        <v>245</v>
      </c>
      <c r="AE146">
        <v>174</v>
      </c>
      <c r="AF146">
        <v>0.71</v>
      </c>
      <c r="AG146">
        <v>131</v>
      </c>
      <c r="AH146">
        <v>0.753</v>
      </c>
      <c r="AI146">
        <v>144</v>
      </c>
      <c r="AJ146">
        <v>0.82799999999999996</v>
      </c>
      <c r="AK146">
        <v>110</v>
      </c>
      <c r="AL146">
        <v>0.76400000000000001</v>
      </c>
      <c r="AM146" t="s">
        <v>53</v>
      </c>
      <c r="AN146">
        <v>0</v>
      </c>
      <c r="AO146" t="s">
        <v>53</v>
      </c>
      <c r="AP146">
        <v>0</v>
      </c>
      <c r="AR146">
        <v>0</v>
      </c>
      <c r="AT146">
        <v>0</v>
      </c>
    </row>
    <row r="147" spans="1:47" x14ac:dyDescent="0.2">
      <c r="A147" t="s">
        <v>3915</v>
      </c>
      <c r="B147" t="s">
        <v>3916</v>
      </c>
      <c r="C147">
        <v>1035</v>
      </c>
      <c r="D147">
        <v>677</v>
      </c>
      <c r="E147">
        <v>0.65400000000000003</v>
      </c>
      <c r="F147">
        <v>561</v>
      </c>
      <c r="G147">
        <v>0.82899999999999996</v>
      </c>
      <c r="H147">
        <v>661</v>
      </c>
      <c r="I147">
        <v>0.97599999999999998</v>
      </c>
      <c r="J147">
        <v>485</v>
      </c>
      <c r="K147">
        <v>0.73399999999999999</v>
      </c>
      <c r="L147">
        <v>375</v>
      </c>
      <c r="M147">
        <v>203</v>
      </c>
      <c r="N147">
        <v>0.54100000000000004</v>
      </c>
      <c r="O147">
        <v>132</v>
      </c>
      <c r="P147">
        <v>0.65</v>
      </c>
      <c r="Q147">
        <v>203</v>
      </c>
      <c r="R147">
        <v>1</v>
      </c>
      <c r="S147">
        <v>126</v>
      </c>
      <c r="T147">
        <v>0.621</v>
      </c>
      <c r="U147">
        <v>278</v>
      </c>
      <c r="V147">
        <v>196</v>
      </c>
      <c r="W147">
        <v>0.70499999999999996</v>
      </c>
      <c r="X147">
        <v>186</v>
      </c>
      <c r="Y147">
        <v>0.94899999999999995</v>
      </c>
      <c r="Z147">
        <v>191</v>
      </c>
      <c r="AA147">
        <v>0.97399999999999998</v>
      </c>
      <c r="AB147">
        <v>155</v>
      </c>
      <c r="AC147">
        <v>0.81200000000000006</v>
      </c>
      <c r="AD147">
        <v>321</v>
      </c>
      <c r="AE147">
        <v>243</v>
      </c>
      <c r="AF147">
        <v>0.75700000000000001</v>
      </c>
      <c r="AG147">
        <v>208</v>
      </c>
      <c r="AH147">
        <v>0.85599999999999998</v>
      </c>
      <c r="AI147">
        <v>232</v>
      </c>
      <c r="AJ147">
        <v>0.95499999999999996</v>
      </c>
      <c r="AK147">
        <v>180</v>
      </c>
      <c r="AL147">
        <v>0.77600000000000002</v>
      </c>
      <c r="AM147">
        <v>61</v>
      </c>
      <c r="AN147">
        <v>35</v>
      </c>
      <c r="AO147">
        <v>0.57399999999999995</v>
      </c>
      <c r="AP147">
        <v>35</v>
      </c>
      <c r="AQ147">
        <v>1</v>
      </c>
      <c r="AR147">
        <v>35</v>
      </c>
      <c r="AS147">
        <v>1</v>
      </c>
      <c r="AT147">
        <v>24</v>
      </c>
      <c r="AU147">
        <v>0.68600000000000005</v>
      </c>
    </row>
    <row r="148" spans="1:47" x14ac:dyDescent="0.2">
      <c r="A148" t="s">
        <v>3918</v>
      </c>
      <c r="B148" t="s">
        <v>3919</v>
      </c>
      <c r="C148">
        <v>674</v>
      </c>
      <c r="D148">
        <v>503</v>
      </c>
      <c r="E148">
        <v>0.746</v>
      </c>
      <c r="F148">
        <v>323</v>
      </c>
      <c r="G148">
        <v>0.64200000000000002</v>
      </c>
      <c r="H148">
        <v>475</v>
      </c>
      <c r="I148">
        <v>0.94399999999999995</v>
      </c>
      <c r="J148">
        <v>287</v>
      </c>
      <c r="K148">
        <v>0.60399999999999998</v>
      </c>
      <c r="L148">
        <v>216</v>
      </c>
      <c r="M148" t="s">
        <v>53</v>
      </c>
      <c r="N148" t="s">
        <v>53</v>
      </c>
      <c r="O148" t="s">
        <v>53</v>
      </c>
      <c r="P148" t="s">
        <v>53</v>
      </c>
      <c r="Q148" t="s">
        <v>53</v>
      </c>
      <c r="R148" t="s">
        <v>53</v>
      </c>
      <c r="S148" t="s">
        <v>53</v>
      </c>
      <c r="T148" t="s">
        <v>53</v>
      </c>
      <c r="U148">
        <v>203</v>
      </c>
      <c r="V148">
        <v>160</v>
      </c>
      <c r="W148">
        <v>0.78800000000000003</v>
      </c>
      <c r="X148">
        <v>115</v>
      </c>
      <c r="Y148">
        <v>0.71899999999999997</v>
      </c>
      <c r="Z148">
        <v>147</v>
      </c>
      <c r="AA148">
        <v>0.91900000000000004</v>
      </c>
      <c r="AB148">
        <v>91</v>
      </c>
      <c r="AC148">
        <v>0.61899999999999999</v>
      </c>
      <c r="AD148">
        <v>229</v>
      </c>
      <c r="AE148">
        <v>202</v>
      </c>
      <c r="AF148">
        <v>0.88200000000000001</v>
      </c>
      <c r="AG148">
        <v>128</v>
      </c>
      <c r="AH148">
        <v>0.63400000000000001</v>
      </c>
      <c r="AI148">
        <v>188</v>
      </c>
      <c r="AJ148">
        <v>0.93100000000000005</v>
      </c>
      <c r="AK148">
        <v>116</v>
      </c>
      <c r="AL148">
        <v>0.61699999999999999</v>
      </c>
      <c r="AM148">
        <v>26</v>
      </c>
      <c r="AN148" t="s">
        <v>53</v>
      </c>
      <c r="AO148" t="s">
        <v>53</v>
      </c>
      <c r="AP148" t="s">
        <v>53</v>
      </c>
      <c r="AQ148" t="s">
        <v>53</v>
      </c>
      <c r="AR148" t="s">
        <v>53</v>
      </c>
      <c r="AS148" t="s">
        <v>53</v>
      </c>
      <c r="AT148" t="s">
        <v>53</v>
      </c>
      <c r="AU148" t="s">
        <v>53</v>
      </c>
    </row>
    <row r="149" spans="1:47" x14ac:dyDescent="0.2">
      <c r="A149" t="s">
        <v>3924</v>
      </c>
      <c r="B149" t="s">
        <v>3925</v>
      </c>
      <c r="C149">
        <v>2149</v>
      </c>
      <c r="D149">
        <v>1478</v>
      </c>
      <c r="E149">
        <v>0.68799999999999994</v>
      </c>
      <c r="F149">
        <v>951</v>
      </c>
      <c r="G149">
        <v>0.64300000000000002</v>
      </c>
      <c r="H149">
        <v>871</v>
      </c>
      <c r="I149">
        <v>0.58899999999999997</v>
      </c>
      <c r="J149">
        <v>492</v>
      </c>
      <c r="K149">
        <v>0.56499999999999995</v>
      </c>
      <c r="L149">
        <v>687</v>
      </c>
      <c r="M149">
        <v>136</v>
      </c>
      <c r="N149">
        <v>0.19800000000000001</v>
      </c>
      <c r="O149">
        <v>85</v>
      </c>
      <c r="P149">
        <v>0.625</v>
      </c>
      <c r="Q149">
        <v>111</v>
      </c>
      <c r="R149">
        <v>0.81599999999999995</v>
      </c>
      <c r="S149">
        <v>69</v>
      </c>
      <c r="T149">
        <v>0.622</v>
      </c>
      <c r="U149">
        <v>524</v>
      </c>
      <c r="V149">
        <v>473</v>
      </c>
      <c r="W149">
        <v>0.90300000000000002</v>
      </c>
      <c r="X149">
        <v>349</v>
      </c>
      <c r="Y149">
        <v>0.73799999999999999</v>
      </c>
      <c r="Z149">
        <v>304</v>
      </c>
      <c r="AA149">
        <v>0.64300000000000002</v>
      </c>
      <c r="AB149">
        <v>215</v>
      </c>
      <c r="AC149">
        <v>0.70699999999999996</v>
      </c>
      <c r="AD149">
        <v>659</v>
      </c>
      <c r="AE149">
        <v>661</v>
      </c>
      <c r="AF149">
        <v>1.0029999999999999</v>
      </c>
      <c r="AG149">
        <v>463</v>
      </c>
      <c r="AH149">
        <v>0.7</v>
      </c>
      <c r="AI149">
        <v>326</v>
      </c>
      <c r="AJ149">
        <v>0.49299999999999999</v>
      </c>
      <c r="AK149">
        <v>156</v>
      </c>
      <c r="AL149">
        <v>0.47899999999999998</v>
      </c>
      <c r="AM149">
        <v>279</v>
      </c>
      <c r="AN149">
        <v>208</v>
      </c>
      <c r="AO149">
        <v>0.746</v>
      </c>
      <c r="AP149">
        <v>54</v>
      </c>
      <c r="AQ149">
        <v>0.26</v>
      </c>
      <c r="AR149">
        <v>130</v>
      </c>
      <c r="AS149">
        <v>0.625</v>
      </c>
      <c r="AT149">
        <v>52</v>
      </c>
      <c r="AU149">
        <v>0.4</v>
      </c>
    </row>
    <row r="150" spans="1:47" x14ac:dyDescent="0.2">
      <c r="A150" t="s">
        <v>6517</v>
      </c>
      <c r="B150" t="s">
        <v>6518</v>
      </c>
      <c r="C150">
        <v>497</v>
      </c>
      <c r="D150">
        <v>0</v>
      </c>
      <c r="E150">
        <v>0</v>
      </c>
      <c r="F150">
        <v>0</v>
      </c>
      <c r="H150">
        <v>0</v>
      </c>
      <c r="J150">
        <v>0</v>
      </c>
      <c r="L150">
        <v>431</v>
      </c>
      <c r="M150">
        <v>0</v>
      </c>
      <c r="N150">
        <v>0</v>
      </c>
      <c r="O150">
        <v>0</v>
      </c>
      <c r="Q150">
        <v>0</v>
      </c>
      <c r="S150">
        <v>0</v>
      </c>
      <c r="U150" t="s">
        <v>53</v>
      </c>
      <c r="V150">
        <v>0</v>
      </c>
      <c r="W150" t="s">
        <v>53</v>
      </c>
      <c r="X150">
        <v>0</v>
      </c>
      <c r="Z150">
        <v>0</v>
      </c>
      <c r="AB150">
        <v>0</v>
      </c>
      <c r="AD150" t="s">
        <v>53</v>
      </c>
      <c r="AE150">
        <v>0</v>
      </c>
      <c r="AF150" t="s">
        <v>53</v>
      </c>
      <c r="AG150">
        <v>0</v>
      </c>
      <c r="AI150">
        <v>0</v>
      </c>
      <c r="AK150">
        <v>0</v>
      </c>
      <c r="AM150">
        <v>63</v>
      </c>
      <c r="AN150">
        <v>0</v>
      </c>
      <c r="AO150">
        <v>0</v>
      </c>
      <c r="AP150">
        <v>0</v>
      </c>
      <c r="AR150">
        <v>0</v>
      </c>
      <c r="AT150">
        <v>0</v>
      </c>
    </row>
    <row r="151" spans="1:47" x14ac:dyDescent="0.2">
      <c r="A151" t="s">
        <v>3567</v>
      </c>
      <c r="B151" t="s">
        <v>3568</v>
      </c>
      <c r="C151">
        <v>1205</v>
      </c>
      <c r="D151">
        <v>921</v>
      </c>
      <c r="E151">
        <v>0.76400000000000001</v>
      </c>
      <c r="F151">
        <v>761</v>
      </c>
      <c r="G151">
        <v>0.82599999999999996</v>
      </c>
      <c r="H151">
        <v>834</v>
      </c>
      <c r="I151">
        <v>0.90600000000000003</v>
      </c>
      <c r="J151">
        <v>552</v>
      </c>
      <c r="K151">
        <v>0.66200000000000003</v>
      </c>
      <c r="L151">
        <v>219</v>
      </c>
      <c r="M151">
        <v>103</v>
      </c>
      <c r="N151">
        <v>0.47</v>
      </c>
      <c r="O151">
        <v>91</v>
      </c>
      <c r="P151">
        <v>0.88300000000000001</v>
      </c>
      <c r="Q151">
        <v>103</v>
      </c>
      <c r="R151">
        <v>1</v>
      </c>
      <c r="S151">
        <v>59</v>
      </c>
      <c r="T151">
        <v>0.57299999999999995</v>
      </c>
      <c r="U151">
        <v>327</v>
      </c>
      <c r="V151">
        <v>364</v>
      </c>
      <c r="W151">
        <v>1.113</v>
      </c>
      <c r="X151">
        <v>309</v>
      </c>
      <c r="Y151">
        <v>0.84899999999999998</v>
      </c>
      <c r="Z151">
        <v>328</v>
      </c>
      <c r="AA151">
        <v>0.90100000000000002</v>
      </c>
      <c r="AB151">
        <v>225</v>
      </c>
      <c r="AC151">
        <v>0.68600000000000005</v>
      </c>
      <c r="AD151">
        <v>352</v>
      </c>
      <c r="AE151">
        <v>420</v>
      </c>
      <c r="AF151">
        <v>1.1930000000000001</v>
      </c>
      <c r="AG151">
        <v>328</v>
      </c>
      <c r="AH151">
        <v>0.78100000000000003</v>
      </c>
      <c r="AI151">
        <v>369</v>
      </c>
      <c r="AJ151">
        <v>0.879</v>
      </c>
      <c r="AK151">
        <v>254</v>
      </c>
      <c r="AL151">
        <v>0.68799999999999994</v>
      </c>
      <c r="AM151">
        <v>307</v>
      </c>
      <c r="AN151">
        <v>34</v>
      </c>
      <c r="AO151">
        <v>0.111</v>
      </c>
      <c r="AP151">
        <v>33</v>
      </c>
      <c r="AQ151">
        <v>0.97099999999999997</v>
      </c>
      <c r="AR151">
        <v>34</v>
      </c>
      <c r="AS151">
        <v>1</v>
      </c>
      <c r="AT151">
        <v>14</v>
      </c>
      <c r="AU151">
        <v>0.41199999999999998</v>
      </c>
    </row>
    <row r="152" spans="1:47" x14ac:dyDescent="0.2">
      <c r="A152" t="s">
        <v>3930</v>
      </c>
      <c r="B152" t="s">
        <v>344</v>
      </c>
      <c r="C152">
        <v>2306</v>
      </c>
      <c r="D152">
        <v>1699</v>
      </c>
      <c r="E152">
        <v>0.73699999999999999</v>
      </c>
      <c r="F152">
        <v>1285</v>
      </c>
      <c r="G152">
        <v>0.75600000000000001</v>
      </c>
      <c r="H152">
        <v>1568</v>
      </c>
      <c r="I152">
        <v>0.92300000000000004</v>
      </c>
      <c r="J152">
        <v>917</v>
      </c>
      <c r="K152">
        <v>0.58499999999999996</v>
      </c>
      <c r="L152">
        <v>550</v>
      </c>
      <c r="M152">
        <v>232</v>
      </c>
      <c r="N152">
        <v>0.42199999999999999</v>
      </c>
      <c r="O152">
        <v>135</v>
      </c>
      <c r="P152">
        <v>0.58199999999999996</v>
      </c>
      <c r="Q152">
        <v>232</v>
      </c>
      <c r="R152">
        <v>1</v>
      </c>
      <c r="S152">
        <v>128</v>
      </c>
      <c r="T152">
        <v>0.55200000000000005</v>
      </c>
      <c r="U152">
        <v>536</v>
      </c>
      <c r="V152">
        <v>447</v>
      </c>
      <c r="W152">
        <v>0.83399999999999996</v>
      </c>
      <c r="X152">
        <v>341</v>
      </c>
      <c r="Y152">
        <v>0.76300000000000001</v>
      </c>
      <c r="Z152">
        <v>389</v>
      </c>
      <c r="AA152">
        <v>0.87</v>
      </c>
      <c r="AB152">
        <v>242</v>
      </c>
      <c r="AC152">
        <v>0.622</v>
      </c>
      <c r="AD152">
        <v>527</v>
      </c>
      <c r="AE152">
        <v>508</v>
      </c>
      <c r="AF152">
        <v>0.96399999999999997</v>
      </c>
      <c r="AG152">
        <v>366</v>
      </c>
      <c r="AH152">
        <v>0.72</v>
      </c>
      <c r="AI152">
        <v>435</v>
      </c>
      <c r="AJ152">
        <v>0.85599999999999998</v>
      </c>
      <c r="AK152">
        <v>295</v>
      </c>
      <c r="AL152">
        <v>0.67800000000000005</v>
      </c>
      <c r="AM152">
        <v>693</v>
      </c>
      <c r="AN152">
        <v>512</v>
      </c>
      <c r="AO152">
        <v>0.73899999999999999</v>
      </c>
      <c r="AP152">
        <v>443</v>
      </c>
      <c r="AQ152">
        <v>0.86499999999999999</v>
      </c>
      <c r="AR152">
        <v>512</v>
      </c>
      <c r="AS152">
        <v>1</v>
      </c>
      <c r="AT152">
        <v>252</v>
      </c>
      <c r="AU152">
        <v>0.49199999999999999</v>
      </c>
    </row>
    <row r="153" spans="1:47" x14ac:dyDescent="0.2">
      <c r="A153" t="s">
        <v>3522</v>
      </c>
      <c r="B153" t="s">
        <v>3523</v>
      </c>
      <c r="C153">
        <v>1380</v>
      </c>
      <c r="D153">
        <v>1049</v>
      </c>
      <c r="E153">
        <v>0.76</v>
      </c>
      <c r="F153">
        <v>815</v>
      </c>
      <c r="G153">
        <v>0.77700000000000002</v>
      </c>
      <c r="H153">
        <v>806</v>
      </c>
      <c r="I153">
        <v>0.76800000000000002</v>
      </c>
      <c r="J153">
        <v>467</v>
      </c>
      <c r="K153">
        <v>0.57899999999999996</v>
      </c>
      <c r="L153">
        <v>445</v>
      </c>
      <c r="M153">
        <v>341</v>
      </c>
      <c r="N153">
        <v>0.76600000000000001</v>
      </c>
      <c r="O153">
        <v>287</v>
      </c>
      <c r="P153">
        <v>0.84199999999999997</v>
      </c>
      <c r="Q153">
        <v>298</v>
      </c>
      <c r="R153">
        <v>0.874</v>
      </c>
      <c r="S153">
        <v>172</v>
      </c>
      <c r="T153">
        <v>0.57699999999999996</v>
      </c>
      <c r="U153">
        <v>204</v>
      </c>
      <c r="V153">
        <v>184</v>
      </c>
      <c r="W153">
        <v>0.90200000000000002</v>
      </c>
      <c r="X153">
        <v>133</v>
      </c>
      <c r="Y153">
        <v>0.72299999999999998</v>
      </c>
      <c r="Z153">
        <v>129</v>
      </c>
      <c r="AA153">
        <v>0.70099999999999996</v>
      </c>
      <c r="AB153">
        <v>81</v>
      </c>
      <c r="AC153">
        <v>0.628</v>
      </c>
      <c r="AD153">
        <v>310</v>
      </c>
      <c r="AE153">
        <v>321</v>
      </c>
      <c r="AF153">
        <v>1.0349999999999999</v>
      </c>
      <c r="AG153">
        <v>213</v>
      </c>
      <c r="AH153">
        <v>0.66400000000000003</v>
      </c>
      <c r="AI153">
        <v>201</v>
      </c>
      <c r="AJ153">
        <v>0.626</v>
      </c>
      <c r="AK153">
        <v>116</v>
      </c>
      <c r="AL153">
        <v>0.57699999999999996</v>
      </c>
      <c r="AM153">
        <v>421</v>
      </c>
      <c r="AN153">
        <v>203</v>
      </c>
      <c r="AO153">
        <v>0.48199999999999998</v>
      </c>
      <c r="AP153">
        <v>182</v>
      </c>
      <c r="AQ153">
        <v>0.89700000000000002</v>
      </c>
      <c r="AR153">
        <v>178</v>
      </c>
      <c r="AS153">
        <v>0.877</v>
      </c>
      <c r="AT153">
        <v>98</v>
      </c>
      <c r="AU153">
        <v>0.55100000000000005</v>
      </c>
    </row>
    <row r="154" spans="1:47" x14ac:dyDescent="0.2">
      <c r="A154" t="s">
        <v>6515</v>
      </c>
      <c r="B154" t="s">
        <v>6516</v>
      </c>
      <c r="C154">
        <v>2039</v>
      </c>
      <c r="D154">
        <v>335</v>
      </c>
      <c r="E154">
        <v>0.16400000000000001</v>
      </c>
      <c r="F154">
        <v>186</v>
      </c>
      <c r="G154">
        <v>0.55500000000000005</v>
      </c>
      <c r="H154">
        <v>132</v>
      </c>
      <c r="I154">
        <v>0.39400000000000002</v>
      </c>
      <c r="J154">
        <v>11</v>
      </c>
      <c r="K154">
        <v>8.3000000000000004E-2</v>
      </c>
      <c r="L154">
        <v>561</v>
      </c>
      <c r="M154">
        <v>79</v>
      </c>
      <c r="N154">
        <v>0.14099999999999999</v>
      </c>
      <c r="O154">
        <v>31</v>
      </c>
      <c r="P154">
        <v>0.39200000000000002</v>
      </c>
      <c r="Q154">
        <v>45</v>
      </c>
      <c r="R154">
        <v>0.56999999999999995</v>
      </c>
      <c r="S154" t="s">
        <v>53</v>
      </c>
      <c r="T154" t="s">
        <v>53</v>
      </c>
      <c r="U154">
        <v>272</v>
      </c>
      <c r="V154">
        <v>74</v>
      </c>
      <c r="W154">
        <v>0.27200000000000002</v>
      </c>
      <c r="X154">
        <v>46</v>
      </c>
      <c r="Y154">
        <v>0.622</v>
      </c>
      <c r="Z154">
        <v>27</v>
      </c>
      <c r="AA154">
        <v>0.36499999999999999</v>
      </c>
      <c r="AB154">
        <v>8</v>
      </c>
      <c r="AC154">
        <v>0.29599999999999999</v>
      </c>
      <c r="AD154">
        <v>516</v>
      </c>
      <c r="AE154">
        <v>155</v>
      </c>
      <c r="AF154">
        <v>0.3</v>
      </c>
      <c r="AG154">
        <v>92</v>
      </c>
      <c r="AH154">
        <v>0.59399999999999997</v>
      </c>
      <c r="AI154">
        <v>42</v>
      </c>
      <c r="AJ154">
        <v>0.27100000000000002</v>
      </c>
      <c r="AK154" t="s">
        <v>53</v>
      </c>
      <c r="AL154" t="s">
        <v>53</v>
      </c>
      <c r="AM154">
        <v>690</v>
      </c>
      <c r="AN154">
        <v>27</v>
      </c>
      <c r="AO154">
        <v>3.9E-2</v>
      </c>
      <c r="AP154">
        <v>17</v>
      </c>
      <c r="AQ154">
        <v>0.63</v>
      </c>
      <c r="AR154">
        <v>18</v>
      </c>
      <c r="AS154">
        <v>0.66700000000000004</v>
      </c>
      <c r="AT154">
        <v>0</v>
      </c>
      <c r="AU154">
        <v>0</v>
      </c>
    </row>
    <row r="155" spans="1:47" x14ac:dyDescent="0.2">
      <c r="A155" t="s">
        <v>3528</v>
      </c>
      <c r="B155" t="s">
        <v>3529</v>
      </c>
      <c r="C155">
        <v>998</v>
      </c>
      <c r="D155">
        <v>815</v>
      </c>
      <c r="E155">
        <v>0.81699999999999995</v>
      </c>
      <c r="F155">
        <v>700</v>
      </c>
      <c r="G155">
        <v>0.85899999999999999</v>
      </c>
      <c r="H155">
        <v>774</v>
      </c>
      <c r="I155">
        <v>0.95</v>
      </c>
      <c r="J155">
        <v>497</v>
      </c>
      <c r="K155">
        <v>0.64200000000000002</v>
      </c>
      <c r="L155">
        <v>356</v>
      </c>
      <c r="M155">
        <v>236</v>
      </c>
      <c r="N155">
        <v>0.66300000000000003</v>
      </c>
      <c r="O155">
        <v>210</v>
      </c>
      <c r="P155">
        <v>0.89</v>
      </c>
      <c r="Q155">
        <v>234</v>
      </c>
      <c r="R155">
        <v>0.99199999999999999</v>
      </c>
      <c r="S155">
        <v>135</v>
      </c>
      <c r="T155">
        <v>0.57699999999999996</v>
      </c>
      <c r="U155">
        <v>248</v>
      </c>
      <c r="V155">
        <v>244</v>
      </c>
      <c r="W155">
        <v>0.98399999999999999</v>
      </c>
      <c r="X155">
        <v>214</v>
      </c>
      <c r="Y155">
        <v>0.877</v>
      </c>
      <c r="Z155">
        <v>226</v>
      </c>
      <c r="AA155">
        <v>0.92600000000000005</v>
      </c>
      <c r="AB155">
        <v>161</v>
      </c>
      <c r="AC155">
        <v>0.71199999999999997</v>
      </c>
      <c r="AD155">
        <v>295</v>
      </c>
      <c r="AE155">
        <v>310</v>
      </c>
      <c r="AF155">
        <v>1.0509999999999999</v>
      </c>
      <c r="AG155">
        <v>254</v>
      </c>
      <c r="AH155">
        <v>0.81899999999999995</v>
      </c>
      <c r="AI155">
        <v>290</v>
      </c>
      <c r="AJ155">
        <v>0.93500000000000005</v>
      </c>
      <c r="AK155">
        <v>188</v>
      </c>
      <c r="AL155">
        <v>0.64800000000000002</v>
      </c>
      <c r="AM155">
        <v>99</v>
      </c>
      <c r="AN155">
        <v>25</v>
      </c>
      <c r="AO155">
        <v>0.253</v>
      </c>
      <c r="AP155">
        <v>22</v>
      </c>
      <c r="AQ155">
        <v>0.88</v>
      </c>
      <c r="AR155">
        <v>24</v>
      </c>
      <c r="AS155">
        <v>0.96</v>
      </c>
      <c r="AT155">
        <v>13</v>
      </c>
      <c r="AU155">
        <v>0.54200000000000004</v>
      </c>
    </row>
    <row r="156" spans="1:47" x14ac:dyDescent="0.2">
      <c r="A156" t="s">
        <v>3627</v>
      </c>
      <c r="B156" t="s">
        <v>3628</v>
      </c>
      <c r="C156">
        <v>1601</v>
      </c>
      <c r="D156">
        <v>1046</v>
      </c>
      <c r="E156">
        <v>0.65300000000000002</v>
      </c>
      <c r="F156">
        <v>722</v>
      </c>
      <c r="G156">
        <v>0.69</v>
      </c>
      <c r="H156">
        <v>690</v>
      </c>
      <c r="I156">
        <v>0.66</v>
      </c>
      <c r="J156">
        <v>521</v>
      </c>
      <c r="K156">
        <v>0.755</v>
      </c>
      <c r="L156">
        <v>538</v>
      </c>
      <c r="M156">
        <v>234</v>
      </c>
      <c r="N156">
        <v>0.435</v>
      </c>
      <c r="O156">
        <v>167</v>
      </c>
      <c r="P156">
        <v>0.71399999999999997</v>
      </c>
      <c r="Q156">
        <v>199</v>
      </c>
      <c r="R156">
        <v>0.85</v>
      </c>
      <c r="S156">
        <v>130</v>
      </c>
      <c r="T156">
        <v>0.65300000000000002</v>
      </c>
      <c r="U156">
        <v>466</v>
      </c>
      <c r="V156">
        <v>399</v>
      </c>
      <c r="W156">
        <v>0.85599999999999998</v>
      </c>
      <c r="X156">
        <v>290</v>
      </c>
      <c r="Y156">
        <v>0.72699999999999998</v>
      </c>
      <c r="Z156">
        <v>243</v>
      </c>
      <c r="AA156">
        <v>0.60899999999999999</v>
      </c>
      <c r="AB156">
        <v>197</v>
      </c>
      <c r="AC156">
        <v>0.81100000000000005</v>
      </c>
      <c r="AD156">
        <v>459</v>
      </c>
      <c r="AE156">
        <v>400</v>
      </c>
      <c r="AF156">
        <v>0.871</v>
      </c>
      <c r="AG156">
        <v>253</v>
      </c>
      <c r="AH156">
        <v>0.63300000000000001</v>
      </c>
      <c r="AI156">
        <v>235</v>
      </c>
      <c r="AJ156">
        <v>0.58799999999999997</v>
      </c>
      <c r="AK156">
        <v>186</v>
      </c>
      <c r="AL156">
        <v>0.79100000000000004</v>
      </c>
      <c r="AM156">
        <v>138</v>
      </c>
      <c r="AN156">
        <v>13</v>
      </c>
      <c r="AO156">
        <v>9.4E-2</v>
      </c>
      <c r="AP156">
        <v>12</v>
      </c>
      <c r="AQ156">
        <v>0.92300000000000004</v>
      </c>
      <c r="AR156">
        <v>13</v>
      </c>
      <c r="AS156">
        <v>1</v>
      </c>
      <c r="AT156">
        <v>8</v>
      </c>
      <c r="AU156">
        <v>0.61499999999999999</v>
      </c>
    </row>
    <row r="157" spans="1:47" x14ac:dyDescent="0.2">
      <c r="A157" t="s">
        <v>3630</v>
      </c>
      <c r="B157" t="s">
        <v>3631</v>
      </c>
      <c r="C157">
        <v>938</v>
      </c>
      <c r="D157">
        <v>734</v>
      </c>
      <c r="E157">
        <v>0.78300000000000003</v>
      </c>
      <c r="F157">
        <v>519</v>
      </c>
      <c r="G157">
        <v>0.70699999999999996</v>
      </c>
      <c r="H157">
        <v>673</v>
      </c>
      <c r="I157">
        <v>0.91700000000000004</v>
      </c>
      <c r="J157">
        <v>406</v>
      </c>
      <c r="K157">
        <v>0.60299999999999998</v>
      </c>
      <c r="L157">
        <v>248</v>
      </c>
      <c r="M157">
        <v>148</v>
      </c>
      <c r="N157">
        <v>0.59699999999999998</v>
      </c>
      <c r="O157">
        <v>82</v>
      </c>
      <c r="P157">
        <v>0.55400000000000005</v>
      </c>
      <c r="Q157">
        <v>148</v>
      </c>
      <c r="R157">
        <v>1</v>
      </c>
      <c r="S157">
        <v>75</v>
      </c>
      <c r="T157">
        <v>0.50700000000000001</v>
      </c>
      <c r="U157">
        <v>295</v>
      </c>
      <c r="V157">
        <v>288</v>
      </c>
      <c r="W157">
        <v>0.97599999999999998</v>
      </c>
      <c r="X157">
        <v>230</v>
      </c>
      <c r="Y157">
        <v>0.79900000000000004</v>
      </c>
      <c r="Z157">
        <v>259</v>
      </c>
      <c r="AA157">
        <v>0.89900000000000002</v>
      </c>
      <c r="AB157">
        <v>167</v>
      </c>
      <c r="AC157">
        <v>0.64500000000000002</v>
      </c>
      <c r="AD157">
        <v>247</v>
      </c>
      <c r="AE157">
        <v>289</v>
      </c>
      <c r="AF157">
        <v>1.17</v>
      </c>
      <c r="AG157">
        <v>198</v>
      </c>
      <c r="AH157">
        <v>0.68500000000000005</v>
      </c>
      <c r="AI157">
        <v>257</v>
      </c>
      <c r="AJ157">
        <v>0.88900000000000001</v>
      </c>
      <c r="AK157">
        <v>158</v>
      </c>
      <c r="AL157">
        <v>0.61499999999999999</v>
      </c>
      <c r="AM157">
        <v>148</v>
      </c>
      <c r="AN157">
        <v>9</v>
      </c>
      <c r="AO157">
        <v>6.0999999999999999E-2</v>
      </c>
      <c r="AP157">
        <v>9</v>
      </c>
      <c r="AQ157">
        <v>1</v>
      </c>
      <c r="AR157">
        <v>9</v>
      </c>
      <c r="AS157">
        <v>1</v>
      </c>
      <c r="AT157">
        <v>6</v>
      </c>
      <c r="AU157">
        <v>0.66700000000000004</v>
      </c>
    </row>
    <row r="158" spans="1:47" x14ac:dyDescent="0.2">
      <c r="A158" t="s">
        <v>3633</v>
      </c>
      <c r="B158" t="s">
        <v>342</v>
      </c>
      <c r="C158">
        <v>964</v>
      </c>
      <c r="D158">
        <v>792</v>
      </c>
      <c r="E158">
        <v>0.82199999999999995</v>
      </c>
      <c r="F158">
        <v>723</v>
      </c>
      <c r="G158">
        <v>0.91300000000000003</v>
      </c>
      <c r="H158">
        <v>775</v>
      </c>
      <c r="I158">
        <v>0.97899999999999998</v>
      </c>
      <c r="J158">
        <v>545</v>
      </c>
      <c r="K158">
        <v>0.70299999999999996</v>
      </c>
      <c r="L158">
        <v>364</v>
      </c>
      <c r="M158">
        <v>279</v>
      </c>
      <c r="N158">
        <v>0.76600000000000001</v>
      </c>
      <c r="O158">
        <v>248</v>
      </c>
      <c r="P158">
        <v>0.88900000000000001</v>
      </c>
      <c r="Q158">
        <v>278</v>
      </c>
      <c r="R158">
        <v>0.996</v>
      </c>
      <c r="S158">
        <v>178</v>
      </c>
      <c r="T158">
        <v>0.64</v>
      </c>
      <c r="U158">
        <v>280</v>
      </c>
      <c r="V158">
        <v>234</v>
      </c>
      <c r="W158">
        <v>0.83599999999999997</v>
      </c>
      <c r="X158">
        <v>222</v>
      </c>
      <c r="Y158">
        <v>0.94899999999999995</v>
      </c>
      <c r="Z158">
        <v>229</v>
      </c>
      <c r="AA158">
        <v>0.97899999999999998</v>
      </c>
      <c r="AB158">
        <v>172</v>
      </c>
      <c r="AC158">
        <v>0.751</v>
      </c>
      <c r="AD158">
        <v>263</v>
      </c>
      <c r="AE158">
        <v>240</v>
      </c>
      <c r="AF158">
        <v>0.91300000000000003</v>
      </c>
      <c r="AG158">
        <v>224</v>
      </c>
      <c r="AH158">
        <v>0.93300000000000005</v>
      </c>
      <c r="AI158">
        <v>231</v>
      </c>
      <c r="AJ158">
        <v>0.96299999999999997</v>
      </c>
      <c r="AK158">
        <v>177</v>
      </c>
      <c r="AL158">
        <v>0.76600000000000001</v>
      </c>
      <c r="AM158">
        <v>57</v>
      </c>
      <c r="AN158">
        <v>39</v>
      </c>
      <c r="AO158">
        <v>0.68400000000000005</v>
      </c>
      <c r="AP158">
        <v>29</v>
      </c>
      <c r="AQ158">
        <v>0.74399999999999999</v>
      </c>
      <c r="AR158">
        <v>37</v>
      </c>
      <c r="AS158">
        <v>0.94899999999999995</v>
      </c>
      <c r="AT158">
        <v>18</v>
      </c>
      <c r="AU158">
        <v>0.48599999999999999</v>
      </c>
    </row>
    <row r="159" spans="1:47" x14ac:dyDescent="0.2">
      <c r="A159" t="s">
        <v>3635</v>
      </c>
      <c r="B159" t="s">
        <v>3636</v>
      </c>
      <c r="C159">
        <v>1002</v>
      </c>
      <c r="D159">
        <v>901</v>
      </c>
      <c r="E159">
        <v>0.89900000000000002</v>
      </c>
      <c r="F159">
        <v>621</v>
      </c>
      <c r="G159">
        <v>0.68899999999999995</v>
      </c>
      <c r="H159">
        <v>801</v>
      </c>
      <c r="I159">
        <v>0.88900000000000001</v>
      </c>
      <c r="J159">
        <v>527</v>
      </c>
      <c r="K159">
        <v>0.65800000000000003</v>
      </c>
      <c r="L159">
        <v>277</v>
      </c>
      <c r="M159">
        <v>143</v>
      </c>
      <c r="N159">
        <v>0.51600000000000001</v>
      </c>
      <c r="O159">
        <v>95</v>
      </c>
      <c r="P159">
        <v>0.66400000000000003</v>
      </c>
      <c r="Q159">
        <v>143</v>
      </c>
      <c r="R159">
        <v>1</v>
      </c>
      <c r="S159">
        <v>84</v>
      </c>
      <c r="T159">
        <v>0.58699999999999997</v>
      </c>
      <c r="U159">
        <v>306</v>
      </c>
      <c r="V159">
        <v>326</v>
      </c>
      <c r="W159">
        <v>1.0649999999999999</v>
      </c>
      <c r="X159">
        <v>250</v>
      </c>
      <c r="Y159">
        <v>0.76700000000000002</v>
      </c>
      <c r="Z159">
        <v>274</v>
      </c>
      <c r="AA159">
        <v>0.84</v>
      </c>
      <c r="AB159">
        <v>195</v>
      </c>
      <c r="AC159">
        <v>0.71199999999999997</v>
      </c>
      <c r="AD159">
        <v>312</v>
      </c>
      <c r="AE159">
        <v>366</v>
      </c>
      <c r="AF159">
        <v>1.173</v>
      </c>
      <c r="AG159">
        <v>231</v>
      </c>
      <c r="AH159">
        <v>0.63100000000000001</v>
      </c>
      <c r="AI159">
        <v>318</v>
      </c>
      <c r="AJ159">
        <v>0.86899999999999999</v>
      </c>
      <c r="AK159">
        <v>214</v>
      </c>
      <c r="AL159">
        <v>0.67300000000000004</v>
      </c>
      <c r="AM159">
        <v>107</v>
      </c>
      <c r="AN159">
        <v>66</v>
      </c>
      <c r="AO159">
        <v>0.61699999999999999</v>
      </c>
      <c r="AP159">
        <v>45</v>
      </c>
      <c r="AQ159">
        <v>0.68200000000000005</v>
      </c>
      <c r="AR159">
        <v>66</v>
      </c>
      <c r="AS159">
        <v>1</v>
      </c>
      <c r="AT159">
        <v>34</v>
      </c>
      <c r="AU159">
        <v>0.51500000000000001</v>
      </c>
    </row>
    <row r="160" spans="1:47" x14ac:dyDescent="0.2">
      <c r="A160" t="s">
        <v>3638</v>
      </c>
      <c r="B160" t="s">
        <v>3639</v>
      </c>
      <c r="C160">
        <v>670</v>
      </c>
      <c r="D160">
        <v>559</v>
      </c>
      <c r="E160">
        <v>0.83399999999999996</v>
      </c>
      <c r="F160">
        <v>458</v>
      </c>
      <c r="G160">
        <v>0.81899999999999995</v>
      </c>
      <c r="H160">
        <v>559</v>
      </c>
      <c r="I160">
        <v>1</v>
      </c>
      <c r="J160">
        <v>418</v>
      </c>
      <c r="K160">
        <v>0.748</v>
      </c>
      <c r="L160">
        <v>167</v>
      </c>
      <c r="M160">
        <v>142</v>
      </c>
      <c r="N160">
        <v>0.85</v>
      </c>
      <c r="O160">
        <v>90</v>
      </c>
      <c r="P160">
        <v>0.63400000000000001</v>
      </c>
      <c r="Q160">
        <v>142</v>
      </c>
      <c r="R160">
        <v>1</v>
      </c>
      <c r="S160">
        <v>98</v>
      </c>
      <c r="T160">
        <v>0.69</v>
      </c>
      <c r="U160">
        <v>214</v>
      </c>
      <c r="V160">
        <v>192</v>
      </c>
      <c r="W160">
        <v>0.89700000000000002</v>
      </c>
      <c r="X160">
        <v>184</v>
      </c>
      <c r="Y160">
        <v>0.95799999999999996</v>
      </c>
      <c r="Z160">
        <v>192</v>
      </c>
      <c r="AA160">
        <v>1</v>
      </c>
      <c r="AB160">
        <v>153</v>
      </c>
      <c r="AC160">
        <v>0.79700000000000004</v>
      </c>
      <c r="AD160">
        <v>207</v>
      </c>
      <c r="AE160">
        <v>210</v>
      </c>
      <c r="AF160">
        <v>1.014</v>
      </c>
      <c r="AG160">
        <v>171</v>
      </c>
      <c r="AH160">
        <v>0.81399999999999995</v>
      </c>
      <c r="AI160">
        <v>210</v>
      </c>
      <c r="AJ160">
        <v>1</v>
      </c>
      <c r="AK160">
        <v>160</v>
      </c>
      <c r="AL160">
        <v>0.76200000000000001</v>
      </c>
      <c r="AM160">
        <v>82</v>
      </c>
      <c r="AN160">
        <v>15</v>
      </c>
      <c r="AO160">
        <v>0.183</v>
      </c>
      <c r="AP160">
        <v>13</v>
      </c>
      <c r="AQ160">
        <v>0.86699999999999999</v>
      </c>
      <c r="AR160">
        <v>15</v>
      </c>
      <c r="AS160">
        <v>1</v>
      </c>
      <c r="AT160">
        <v>7</v>
      </c>
      <c r="AU160">
        <v>0.46700000000000003</v>
      </c>
    </row>
    <row r="161" spans="1:47" x14ac:dyDescent="0.2">
      <c r="A161" t="s">
        <v>3641</v>
      </c>
      <c r="B161" t="s">
        <v>3642</v>
      </c>
      <c r="C161">
        <v>2262</v>
      </c>
      <c r="D161">
        <v>1357</v>
      </c>
      <c r="E161">
        <v>0.6</v>
      </c>
      <c r="F161">
        <v>1177</v>
      </c>
      <c r="G161">
        <v>0.86699999999999999</v>
      </c>
      <c r="H161">
        <v>1300</v>
      </c>
      <c r="I161">
        <v>0.95799999999999996</v>
      </c>
      <c r="J161">
        <v>864</v>
      </c>
      <c r="K161">
        <v>0.66500000000000004</v>
      </c>
      <c r="L161">
        <v>641</v>
      </c>
      <c r="M161">
        <v>349</v>
      </c>
      <c r="N161">
        <v>0.54400000000000004</v>
      </c>
      <c r="O161">
        <v>253</v>
      </c>
      <c r="P161">
        <v>0.72499999999999998</v>
      </c>
      <c r="Q161">
        <v>348</v>
      </c>
      <c r="R161">
        <v>0.997</v>
      </c>
      <c r="S161">
        <v>211</v>
      </c>
      <c r="T161">
        <v>0.60599999999999998</v>
      </c>
      <c r="U161">
        <v>467</v>
      </c>
      <c r="V161">
        <v>353</v>
      </c>
      <c r="W161">
        <v>0.75600000000000001</v>
      </c>
      <c r="X161">
        <v>334</v>
      </c>
      <c r="Y161">
        <v>0.94599999999999995</v>
      </c>
      <c r="Z161">
        <v>337</v>
      </c>
      <c r="AA161">
        <v>0.95499999999999996</v>
      </c>
      <c r="AB161">
        <v>245</v>
      </c>
      <c r="AC161">
        <v>0.72699999999999998</v>
      </c>
      <c r="AD161">
        <v>631</v>
      </c>
      <c r="AE161">
        <v>506</v>
      </c>
      <c r="AF161">
        <v>0.80200000000000005</v>
      </c>
      <c r="AG161">
        <v>441</v>
      </c>
      <c r="AH161">
        <v>0.872</v>
      </c>
      <c r="AI161">
        <v>466</v>
      </c>
      <c r="AJ161">
        <v>0.92100000000000004</v>
      </c>
      <c r="AK161">
        <v>331</v>
      </c>
      <c r="AL161">
        <v>0.71</v>
      </c>
      <c r="AM161">
        <v>523</v>
      </c>
      <c r="AN161">
        <v>149</v>
      </c>
      <c r="AO161">
        <v>0.28499999999999998</v>
      </c>
      <c r="AP161">
        <v>149</v>
      </c>
      <c r="AQ161">
        <v>1</v>
      </c>
      <c r="AR161">
        <v>149</v>
      </c>
      <c r="AS161">
        <v>1</v>
      </c>
      <c r="AT161">
        <v>77</v>
      </c>
      <c r="AU161">
        <v>0.51700000000000002</v>
      </c>
    </row>
    <row r="162" spans="1:47" x14ac:dyDescent="0.2">
      <c r="A162" t="s">
        <v>3643</v>
      </c>
      <c r="B162" t="s">
        <v>6580</v>
      </c>
      <c r="C162">
        <v>721</v>
      </c>
      <c r="D162">
        <v>677</v>
      </c>
      <c r="E162">
        <v>0.93899999999999995</v>
      </c>
      <c r="F162">
        <v>562</v>
      </c>
      <c r="G162">
        <v>0.83</v>
      </c>
      <c r="H162">
        <v>629</v>
      </c>
      <c r="I162">
        <v>0.92900000000000005</v>
      </c>
      <c r="J162">
        <v>435</v>
      </c>
      <c r="K162">
        <v>0.69199999999999995</v>
      </c>
      <c r="L162">
        <v>159</v>
      </c>
      <c r="M162">
        <v>86</v>
      </c>
      <c r="N162">
        <v>0.54100000000000004</v>
      </c>
      <c r="O162">
        <v>81</v>
      </c>
      <c r="P162">
        <v>0.94199999999999995</v>
      </c>
      <c r="Q162">
        <v>86</v>
      </c>
      <c r="R162">
        <v>1</v>
      </c>
      <c r="S162">
        <v>60</v>
      </c>
      <c r="T162">
        <v>0.69799999999999995</v>
      </c>
      <c r="U162">
        <v>265</v>
      </c>
      <c r="V162">
        <v>260</v>
      </c>
      <c r="W162">
        <v>0.98099999999999998</v>
      </c>
      <c r="X162">
        <v>233</v>
      </c>
      <c r="Y162">
        <v>0.89600000000000002</v>
      </c>
      <c r="Z162">
        <v>241</v>
      </c>
      <c r="AA162">
        <v>0.92700000000000005</v>
      </c>
      <c r="AB162">
        <v>173</v>
      </c>
      <c r="AC162">
        <v>0.71799999999999997</v>
      </c>
      <c r="AD162">
        <v>238</v>
      </c>
      <c r="AE162">
        <v>293</v>
      </c>
      <c r="AF162">
        <v>1.2310000000000001</v>
      </c>
      <c r="AG162">
        <v>212</v>
      </c>
      <c r="AH162">
        <v>0.72399999999999998</v>
      </c>
      <c r="AI162">
        <v>264</v>
      </c>
      <c r="AJ162">
        <v>0.90100000000000002</v>
      </c>
      <c r="AK162">
        <v>180</v>
      </c>
      <c r="AL162">
        <v>0.68200000000000005</v>
      </c>
      <c r="AM162">
        <v>59</v>
      </c>
      <c r="AN162">
        <v>38</v>
      </c>
      <c r="AO162">
        <v>0.64400000000000002</v>
      </c>
      <c r="AP162">
        <v>36</v>
      </c>
      <c r="AQ162">
        <v>0.94699999999999995</v>
      </c>
      <c r="AR162">
        <v>38</v>
      </c>
      <c r="AS162">
        <v>1</v>
      </c>
      <c r="AT162">
        <v>22</v>
      </c>
      <c r="AU162">
        <v>0.57899999999999996</v>
      </c>
    </row>
    <row r="163" spans="1:47" x14ac:dyDescent="0.2">
      <c r="A163" t="s">
        <v>3645</v>
      </c>
      <c r="B163" t="s">
        <v>3646</v>
      </c>
      <c r="C163">
        <v>667</v>
      </c>
      <c r="D163">
        <v>557</v>
      </c>
      <c r="E163">
        <v>0.83499999999999996</v>
      </c>
      <c r="F163">
        <v>463</v>
      </c>
      <c r="G163">
        <v>0.83099999999999996</v>
      </c>
      <c r="H163">
        <v>550</v>
      </c>
      <c r="I163">
        <v>0.98699999999999999</v>
      </c>
      <c r="J163">
        <v>398</v>
      </c>
      <c r="K163">
        <v>0.72399999999999998</v>
      </c>
      <c r="L163">
        <v>261</v>
      </c>
      <c r="M163">
        <v>225</v>
      </c>
      <c r="N163">
        <v>0.86199999999999999</v>
      </c>
      <c r="O163">
        <v>164</v>
      </c>
      <c r="P163">
        <v>0.72899999999999998</v>
      </c>
      <c r="Q163">
        <v>225</v>
      </c>
      <c r="R163">
        <v>1</v>
      </c>
      <c r="S163">
        <v>158</v>
      </c>
      <c r="T163">
        <v>0.70199999999999996</v>
      </c>
      <c r="U163">
        <v>260</v>
      </c>
      <c r="V163">
        <v>198</v>
      </c>
      <c r="W163">
        <v>0.76200000000000001</v>
      </c>
      <c r="X163">
        <v>189</v>
      </c>
      <c r="Y163">
        <v>0.95499999999999996</v>
      </c>
      <c r="Z163">
        <v>194</v>
      </c>
      <c r="AA163">
        <v>0.98</v>
      </c>
      <c r="AB163">
        <v>145</v>
      </c>
      <c r="AC163">
        <v>0.747</v>
      </c>
      <c r="AD163">
        <v>146</v>
      </c>
      <c r="AE163">
        <v>134</v>
      </c>
      <c r="AF163">
        <v>0.91800000000000004</v>
      </c>
      <c r="AG163">
        <v>110</v>
      </c>
      <c r="AH163">
        <v>0.82099999999999995</v>
      </c>
      <c r="AI163">
        <v>131</v>
      </c>
      <c r="AJ163">
        <v>0.97799999999999998</v>
      </c>
      <c r="AK163">
        <v>95</v>
      </c>
      <c r="AL163">
        <v>0.72499999999999998</v>
      </c>
      <c r="AM163">
        <v>0</v>
      </c>
      <c r="AN163">
        <v>0</v>
      </c>
      <c r="AP163">
        <v>0</v>
      </c>
      <c r="AR163">
        <v>0</v>
      </c>
      <c r="AT163">
        <v>0</v>
      </c>
    </row>
    <row r="164" spans="1:47" x14ac:dyDescent="0.2">
      <c r="A164" t="s">
        <v>3648</v>
      </c>
      <c r="B164" t="s">
        <v>3649</v>
      </c>
      <c r="C164">
        <v>410</v>
      </c>
      <c r="D164">
        <v>422</v>
      </c>
      <c r="E164">
        <v>1.0289999999999999</v>
      </c>
      <c r="F164">
        <v>381</v>
      </c>
      <c r="G164">
        <v>0.90300000000000002</v>
      </c>
      <c r="H164">
        <v>383</v>
      </c>
      <c r="I164">
        <v>0.90800000000000003</v>
      </c>
      <c r="J164">
        <v>282</v>
      </c>
      <c r="K164">
        <v>0.73599999999999999</v>
      </c>
      <c r="L164">
        <v>36</v>
      </c>
      <c r="M164">
        <v>26</v>
      </c>
      <c r="N164">
        <v>0.72199999999999998</v>
      </c>
      <c r="O164">
        <v>19</v>
      </c>
      <c r="P164">
        <v>0.73099999999999998</v>
      </c>
      <c r="Q164">
        <v>26</v>
      </c>
      <c r="R164">
        <v>1</v>
      </c>
      <c r="S164">
        <v>16</v>
      </c>
      <c r="T164">
        <v>0.61499999999999999</v>
      </c>
      <c r="U164">
        <v>179</v>
      </c>
      <c r="V164">
        <v>190</v>
      </c>
      <c r="W164">
        <v>1.0609999999999999</v>
      </c>
      <c r="X164">
        <v>179</v>
      </c>
      <c r="Y164">
        <v>0.94199999999999995</v>
      </c>
      <c r="Z164">
        <v>170</v>
      </c>
      <c r="AA164">
        <v>0.89500000000000002</v>
      </c>
      <c r="AB164">
        <v>124</v>
      </c>
      <c r="AC164">
        <v>0.72899999999999998</v>
      </c>
      <c r="AD164">
        <v>195</v>
      </c>
      <c r="AE164">
        <v>206</v>
      </c>
      <c r="AF164">
        <v>1.056</v>
      </c>
      <c r="AG164">
        <v>183</v>
      </c>
      <c r="AH164">
        <v>0.88800000000000001</v>
      </c>
      <c r="AI164">
        <v>187</v>
      </c>
      <c r="AJ164">
        <v>0.90800000000000003</v>
      </c>
      <c r="AK164">
        <v>142</v>
      </c>
      <c r="AL164">
        <v>0.75900000000000001</v>
      </c>
      <c r="AM164">
        <v>0</v>
      </c>
      <c r="AN164">
        <v>0</v>
      </c>
      <c r="AP164">
        <v>0</v>
      </c>
      <c r="AR164">
        <v>0</v>
      </c>
      <c r="AT164">
        <v>0</v>
      </c>
    </row>
    <row r="165" spans="1:47" x14ac:dyDescent="0.2">
      <c r="A165" t="s">
        <v>5227</v>
      </c>
      <c r="B165" t="s">
        <v>5228</v>
      </c>
      <c r="C165">
        <v>0</v>
      </c>
      <c r="D165" t="s">
        <v>53</v>
      </c>
      <c r="E165" t="s">
        <v>53</v>
      </c>
      <c r="F165" t="s">
        <v>53</v>
      </c>
      <c r="G165" t="s">
        <v>53</v>
      </c>
      <c r="H165" t="s">
        <v>53</v>
      </c>
      <c r="I165" t="s">
        <v>53</v>
      </c>
      <c r="J165" t="s">
        <v>53</v>
      </c>
      <c r="K165" t="s">
        <v>53</v>
      </c>
      <c r="L165">
        <v>0</v>
      </c>
      <c r="M165">
        <v>0</v>
      </c>
      <c r="O165">
        <v>0</v>
      </c>
      <c r="Q165">
        <v>0</v>
      </c>
      <c r="S165">
        <v>0</v>
      </c>
      <c r="U165">
        <v>0</v>
      </c>
      <c r="V165">
        <v>0</v>
      </c>
      <c r="X165">
        <v>0</v>
      </c>
      <c r="Z165">
        <v>0</v>
      </c>
      <c r="AB165">
        <v>0</v>
      </c>
      <c r="AD165">
        <v>0</v>
      </c>
      <c r="AE165" t="s">
        <v>53</v>
      </c>
      <c r="AF165" t="s">
        <v>53</v>
      </c>
      <c r="AG165" t="s">
        <v>53</v>
      </c>
      <c r="AH165" t="s">
        <v>53</v>
      </c>
      <c r="AI165" t="s">
        <v>53</v>
      </c>
      <c r="AJ165" t="s">
        <v>53</v>
      </c>
      <c r="AK165" t="s">
        <v>53</v>
      </c>
      <c r="AL165" t="s">
        <v>53</v>
      </c>
      <c r="AM165">
        <v>0</v>
      </c>
      <c r="AN165">
        <v>0</v>
      </c>
      <c r="AP165">
        <v>0</v>
      </c>
      <c r="AR165">
        <v>0</v>
      </c>
      <c r="AT165">
        <v>0</v>
      </c>
    </row>
    <row r="166" spans="1:47" x14ac:dyDescent="0.2">
      <c r="A166" t="s">
        <v>3651</v>
      </c>
      <c r="B166" t="s">
        <v>3652</v>
      </c>
      <c r="C166">
        <v>2233</v>
      </c>
      <c r="D166">
        <v>1901</v>
      </c>
      <c r="E166">
        <v>0.85099999999999998</v>
      </c>
      <c r="F166">
        <v>1641</v>
      </c>
      <c r="G166">
        <v>0.86299999999999999</v>
      </c>
      <c r="H166">
        <v>1546</v>
      </c>
      <c r="I166">
        <v>0.81299999999999994</v>
      </c>
      <c r="J166">
        <v>1138</v>
      </c>
      <c r="K166">
        <v>0.73599999999999999</v>
      </c>
      <c r="L166">
        <v>818</v>
      </c>
      <c r="M166">
        <v>590</v>
      </c>
      <c r="N166">
        <v>0.72099999999999997</v>
      </c>
      <c r="O166">
        <v>526</v>
      </c>
      <c r="P166">
        <v>0.89200000000000002</v>
      </c>
      <c r="Q166">
        <v>529</v>
      </c>
      <c r="R166">
        <v>0.89700000000000002</v>
      </c>
      <c r="S166">
        <v>405</v>
      </c>
      <c r="T166">
        <v>0.76600000000000001</v>
      </c>
      <c r="U166">
        <v>530</v>
      </c>
      <c r="V166">
        <v>570</v>
      </c>
      <c r="W166">
        <v>1.075</v>
      </c>
      <c r="X166">
        <v>480</v>
      </c>
      <c r="Y166">
        <v>0.84199999999999997</v>
      </c>
      <c r="Z166">
        <v>430</v>
      </c>
      <c r="AA166">
        <v>0.754</v>
      </c>
      <c r="AB166">
        <v>313</v>
      </c>
      <c r="AC166">
        <v>0.72799999999999998</v>
      </c>
      <c r="AD166">
        <v>401</v>
      </c>
      <c r="AE166">
        <v>487</v>
      </c>
      <c r="AF166">
        <v>1.214</v>
      </c>
      <c r="AG166">
        <v>398</v>
      </c>
      <c r="AH166">
        <v>0.81699999999999995</v>
      </c>
      <c r="AI166">
        <v>343</v>
      </c>
      <c r="AJ166">
        <v>0.70399999999999996</v>
      </c>
      <c r="AK166">
        <v>246</v>
      </c>
      <c r="AL166">
        <v>0.71699999999999997</v>
      </c>
      <c r="AM166">
        <v>484</v>
      </c>
      <c r="AN166">
        <v>254</v>
      </c>
      <c r="AO166">
        <v>0.52500000000000002</v>
      </c>
      <c r="AP166">
        <v>237</v>
      </c>
      <c r="AQ166">
        <v>0.93300000000000005</v>
      </c>
      <c r="AR166">
        <v>244</v>
      </c>
      <c r="AS166">
        <v>0.96099999999999997</v>
      </c>
      <c r="AT166">
        <v>174</v>
      </c>
      <c r="AU166">
        <v>0.71299999999999997</v>
      </c>
    </row>
    <row r="167" spans="1:47" x14ac:dyDescent="0.2">
      <c r="A167" t="s">
        <v>3654</v>
      </c>
      <c r="B167" t="s">
        <v>3655</v>
      </c>
      <c r="C167">
        <v>1960</v>
      </c>
      <c r="D167">
        <v>350</v>
      </c>
      <c r="E167">
        <v>0.17899999999999999</v>
      </c>
      <c r="F167">
        <v>272</v>
      </c>
      <c r="G167">
        <v>0.77700000000000002</v>
      </c>
      <c r="H167">
        <v>344</v>
      </c>
      <c r="I167">
        <v>0.98299999999999998</v>
      </c>
      <c r="J167">
        <v>240</v>
      </c>
      <c r="K167">
        <v>0.69799999999999995</v>
      </c>
      <c r="L167">
        <v>398</v>
      </c>
      <c r="M167">
        <v>22</v>
      </c>
      <c r="N167">
        <v>5.5E-2</v>
      </c>
      <c r="O167">
        <v>15</v>
      </c>
      <c r="P167">
        <v>0.68200000000000005</v>
      </c>
      <c r="Q167">
        <v>22</v>
      </c>
      <c r="R167">
        <v>1</v>
      </c>
      <c r="S167">
        <v>12</v>
      </c>
      <c r="T167">
        <v>0.54500000000000004</v>
      </c>
      <c r="U167">
        <v>742</v>
      </c>
      <c r="V167">
        <v>152</v>
      </c>
      <c r="W167">
        <v>0.20499999999999999</v>
      </c>
      <c r="X167">
        <v>120</v>
      </c>
      <c r="Y167">
        <v>0.78900000000000003</v>
      </c>
      <c r="Z167">
        <v>150</v>
      </c>
      <c r="AA167">
        <v>0.98699999999999999</v>
      </c>
      <c r="AB167">
        <v>111</v>
      </c>
      <c r="AC167">
        <v>0.74</v>
      </c>
      <c r="AD167">
        <v>738</v>
      </c>
      <c r="AE167">
        <v>176</v>
      </c>
      <c r="AF167">
        <v>0.23799999999999999</v>
      </c>
      <c r="AG167">
        <v>137</v>
      </c>
      <c r="AH167">
        <v>0.77800000000000002</v>
      </c>
      <c r="AI167">
        <v>172</v>
      </c>
      <c r="AJ167">
        <v>0.97699999999999998</v>
      </c>
      <c r="AK167">
        <v>117</v>
      </c>
      <c r="AL167">
        <v>0.68</v>
      </c>
      <c r="AM167">
        <v>82</v>
      </c>
      <c r="AN167">
        <v>0</v>
      </c>
      <c r="AO167">
        <v>0</v>
      </c>
      <c r="AP167">
        <v>0</v>
      </c>
      <c r="AR167">
        <v>0</v>
      </c>
      <c r="AT167">
        <v>0</v>
      </c>
    </row>
    <row r="168" spans="1:47" x14ac:dyDescent="0.2">
      <c r="A168" t="s">
        <v>3657</v>
      </c>
      <c r="B168" t="s">
        <v>3658</v>
      </c>
      <c r="C168">
        <v>1183</v>
      </c>
      <c r="D168">
        <v>975</v>
      </c>
      <c r="E168">
        <v>0.82399999999999995</v>
      </c>
      <c r="F168">
        <v>710</v>
      </c>
      <c r="G168">
        <v>0.72799999999999998</v>
      </c>
      <c r="H168">
        <v>882</v>
      </c>
      <c r="I168">
        <v>0.90500000000000003</v>
      </c>
      <c r="J168">
        <v>544</v>
      </c>
      <c r="K168">
        <v>0.61699999999999999</v>
      </c>
      <c r="L168">
        <v>312</v>
      </c>
      <c r="M168">
        <v>214</v>
      </c>
      <c r="N168">
        <v>0.68600000000000005</v>
      </c>
      <c r="O168">
        <v>135</v>
      </c>
      <c r="P168">
        <v>0.63100000000000001</v>
      </c>
      <c r="Q168">
        <v>204</v>
      </c>
      <c r="R168">
        <v>0.95299999999999996</v>
      </c>
      <c r="S168">
        <v>118</v>
      </c>
      <c r="T168">
        <v>0.57799999999999996</v>
      </c>
      <c r="U168">
        <v>254</v>
      </c>
      <c r="V168">
        <v>291</v>
      </c>
      <c r="W168">
        <v>1.1459999999999999</v>
      </c>
      <c r="X168">
        <v>224</v>
      </c>
      <c r="Y168">
        <v>0.77</v>
      </c>
      <c r="Z168">
        <v>247</v>
      </c>
      <c r="AA168">
        <v>0.84899999999999998</v>
      </c>
      <c r="AB168">
        <v>165</v>
      </c>
      <c r="AC168">
        <v>0.66800000000000004</v>
      </c>
      <c r="AD168">
        <v>344</v>
      </c>
      <c r="AE168">
        <v>401</v>
      </c>
      <c r="AF168">
        <v>1.1659999999999999</v>
      </c>
      <c r="AG168">
        <v>285</v>
      </c>
      <c r="AH168">
        <v>0.71099999999999997</v>
      </c>
      <c r="AI168">
        <v>362</v>
      </c>
      <c r="AJ168">
        <v>0.90300000000000002</v>
      </c>
      <c r="AK168">
        <v>223</v>
      </c>
      <c r="AL168">
        <v>0.61599999999999999</v>
      </c>
      <c r="AM168">
        <v>273</v>
      </c>
      <c r="AN168">
        <v>69</v>
      </c>
      <c r="AO168">
        <v>0.253</v>
      </c>
      <c r="AP168">
        <v>66</v>
      </c>
      <c r="AQ168">
        <v>0.95699999999999996</v>
      </c>
      <c r="AR168">
        <v>69</v>
      </c>
      <c r="AS168">
        <v>1</v>
      </c>
      <c r="AT168">
        <v>38</v>
      </c>
      <c r="AU168">
        <v>0.55100000000000005</v>
      </c>
    </row>
    <row r="169" spans="1:47" x14ac:dyDescent="0.2">
      <c r="A169" t="s">
        <v>3660</v>
      </c>
      <c r="B169" t="s">
        <v>3661</v>
      </c>
      <c r="C169">
        <v>266</v>
      </c>
      <c r="D169">
        <v>379</v>
      </c>
      <c r="E169">
        <v>1.425</v>
      </c>
      <c r="F169">
        <v>280</v>
      </c>
      <c r="G169">
        <v>0.73899999999999999</v>
      </c>
      <c r="H169">
        <v>351</v>
      </c>
      <c r="I169">
        <v>0.92600000000000005</v>
      </c>
      <c r="J169">
        <v>224</v>
      </c>
      <c r="K169">
        <v>0.63800000000000001</v>
      </c>
      <c r="L169">
        <v>75</v>
      </c>
      <c r="M169" t="s">
        <v>53</v>
      </c>
      <c r="N169" t="s">
        <v>53</v>
      </c>
      <c r="O169" t="s">
        <v>53</v>
      </c>
      <c r="P169" t="s">
        <v>53</v>
      </c>
      <c r="Q169" t="s">
        <v>53</v>
      </c>
      <c r="R169" t="s">
        <v>53</v>
      </c>
      <c r="S169" t="s">
        <v>53</v>
      </c>
      <c r="T169" t="s">
        <v>53</v>
      </c>
      <c r="U169">
        <v>112</v>
      </c>
      <c r="V169">
        <v>145</v>
      </c>
      <c r="W169">
        <v>1.2949999999999999</v>
      </c>
      <c r="X169">
        <v>133</v>
      </c>
      <c r="Y169">
        <v>0.91700000000000004</v>
      </c>
      <c r="Z169">
        <v>137</v>
      </c>
      <c r="AA169">
        <v>0.94499999999999995</v>
      </c>
      <c r="AB169">
        <v>88</v>
      </c>
      <c r="AC169">
        <v>0.64200000000000002</v>
      </c>
      <c r="AD169">
        <v>70</v>
      </c>
      <c r="AE169">
        <v>123</v>
      </c>
      <c r="AF169">
        <v>1.7569999999999999</v>
      </c>
      <c r="AG169">
        <v>81</v>
      </c>
      <c r="AH169">
        <v>0.65900000000000003</v>
      </c>
      <c r="AI169">
        <v>105</v>
      </c>
      <c r="AJ169">
        <v>0.85399999999999998</v>
      </c>
      <c r="AK169">
        <v>73</v>
      </c>
      <c r="AL169">
        <v>0.69499999999999995</v>
      </c>
      <c r="AM169">
        <v>9</v>
      </c>
      <c r="AN169" t="s">
        <v>53</v>
      </c>
      <c r="AO169" t="s">
        <v>53</v>
      </c>
      <c r="AP169" t="s">
        <v>53</v>
      </c>
      <c r="AQ169" t="s">
        <v>53</v>
      </c>
      <c r="AR169" t="s">
        <v>53</v>
      </c>
      <c r="AS169" t="s">
        <v>53</v>
      </c>
      <c r="AT169" t="s">
        <v>53</v>
      </c>
      <c r="AU169" t="s">
        <v>53</v>
      </c>
    </row>
    <row r="170" spans="1:47" x14ac:dyDescent="0.2">
      <c r="A170" t="s">
        <v>3663</v>
      </c>
      <c r="B170" t="s">
        <v>3664</v>
      </c>
      <c r="C170">
        <v>859</v>
      </c>
      <c r="D170">
        <v>763</v>
      </c>
      <c r="E170">
        <v>0.88800000000000001</v>
      </c>
      <c r="F170">
        <v>463</v>
      </c>
      <c r="G170">
        <v>0.60699999999999998</v>
      </c>
      <c r="H170">
        <v>648</v>
      </c>
      <c r="I170">
        <v>0.84899999999999998</v>
      </c>
      <c r="J170">
        <v>375</v>
      </c>
      <c r="K170">
        <v>0.57899999999999996</v>
      </c>
      <c r="L170">
        <v>252</v>
      </c>
      <c r="M170">
        <v>254</v>
      </c>
      <c r="N170">
        <v>1.008</v>
      </c>
      <c r="O170">
        <v>140</v>
      </c>
      <c r="P170">
        <v>0.55100000000000005</v>
      </c>
      <c r="Q170">
        <v>251</v>
      </c>
      <c r="R170">
        <v>0.98799999999999999</v>
      </c>
      <c r="S170">
        <v>131</v>
      </c>
      <c r="T170">
        <v>0.52200000000000002</v>
      </c>
      <c r="U170">
        <v>209</v>
      </c>
      <c r="V170">
        <v>189</v>
      </c>
      <c r="W170">
        <v>0.90400000000000003</v>
      </c>
      <c r="X170">
        <v>129</v>
      </c>
      <c r="Y170">
        <v>0.68300000000000005</v>
      </c>
      <c r="Z170">
        <v>157</v>
      </c>
      <c r="AA170">
        <v>0.83099999999999996</v>
      </c>
      <c r="AB170">
        <v>103</v>
      </c>
      <c r="AC170">
        <v>0.65600000000000003</v>
      </c>
      <c r="AD170">
        <v>279</v>
      </c>
      <c r="AE170">
        <v>276</v>
      </c>
      <c r="AF170">
        <v>0.98899999999999999</v>
      </c>
      <c r="AG170">
        <v>154</v>
      </c>
      <c r="AH170">
        <v>0.55800000000000005</v>
      </c>
      <c r="AI170">
        <v>196</v>
      </c>
      <c r="AJ170">
        <v>0.71</v>
      </c>
      <c r="AK170">
        <v>116</v>
      </c>
      <c r="AL170">
        <v>0.59199999999999997</v>
      </c>
      <c r="AM170">
        <v>119</v>
      </c>
      <c r="AN170">
        <v>44</v>
      </c>
      <c r="AO170">
        <v>0.37</v>
      </c>
      <c r="AP170">
        <v>40</v>
      </c>
      <c r="AQ170">
        <v>0.90900000000000003</v>
      </c>
      <c r="AR170">
        <v>44</v>
      </c>
      <c r="AS170">
        <v>1</v>
      </c>
      <c r="AT170">
        <v>25</v>
      </c>
      <c r="AU170">
        <v>0.56799999999999995</v>
      </c>
    </row>
    <row r="171" spans="1:47" x14ac:dyDescent="0.2">
      <c r="A171" t="s">
        <v>3666</v>
      </c>
      <c r="B171" t="s">
        <v>3667</v>
      </c>
      <c r="C171">
        <v>478</v>
      </c>
      <c r="D171">
        <v>318</v>
      </c>
      <c r="E171">
        <v>0.66500000000000004</v>
      </c>
      <c r="F171">
        <v>218</v>
      </c>
      <c r="G171">
        <v>0.68600000000000005</v>
      </c>
      <c r="H171">
        <v>282</v>
      </c>
      <c r="I171">
        <v>0.88700000000000001</v>
      </c>
      <c r="J171">
        <v>129</v>
      </c>
      <c r="K171">
        <v>0.45700000000000002</v>
      </c>
      <c r="L171">
        <v>224</v>
      </c>
      <c r="M171">
        <v>103</v>
      </c>
      <c r="N171">
        <v>0.46</v>
      </c>
      <c r="O171">
        <v>72</v>
      </c>
      <c r="P171">
        <v>0.69899999999999995</v>
      </c>
      <c r="Q171">
        <v>103</v>
      </c>
      <c r="R171">
        <v>1</v>
      </c>
      <c r="S171">
        <v>42</v>
      </c>
      <c r="T171">
        <v>0.40799999999999997</v>
      </c>
      <c r="U171">
        <v>108</v>
      </c>
      <c r="V171">
        <v>81</v>
      </c>
      <c r="W171">
        <v>0.75</v>
      </c>
      <c r="X171">
        <v>62</v>
      </c>
      <c r="Y171">
        <v>0.76500000000000001</v>
      </c>
      <c r="Z171">
        <v>68</v>
      </c>
      <c r="AA171">
        <v>0.84</v>
      </c>
      <c r="AB171">
        <v>37</v>
      </c>
      <c r="AC171">
        <v>0.54400000000000004</v>
      </c>
      <c r="AD171">
        <v>146</v>
      </c>
      <c r="AE171">
        <v>134</v>
      </c>
      <c r="AF171">
        <v>0.91800000000000004</v>
      </c>
      <c r="AG171">
        <v>84</v>
      </c>
      <c r="AH171">
        <v>0.627</v>
      </c>
      <c r="AI171">
        <v>111</v>
      </c>
      <c r="AJ171">
        <v>0.82799999999999996</v>
      </c>
      <c r="AK171">
        <v>50</v>
      </c>
      <c r="AL171">
        <v>0.45</v>
      </c>
      <c r="AM171">
        <v>0</v>
      </c>
      <c r="AN171">
        <v>0</v>
      </c>
      <c r="AP171">
        <v>0</v>
      </c>
      <c r="AR171">
        <v>0</v>
      </c>
      <c r="AT171">
        <v>0</v>
      </c>
    </row>
    <row r="172" spans="1:47" x14ac:dyDescent="0.2">
      <c r="A172" t="s">
        <v>3669</v>
      </c>
      <c r="B172" t="s">
        <v>3670</v>
      </c>
      <c r="C172">
        <v>1248</v>
      </c>
      <c r="D172">
        <v>1094</v>
      </c>
      <c r="E172">
        <v>0.877</v>
      </c>
      <c r="F172">
        <v>973</v>
      </c>
      <c r="G172">
        <v>0.88900000000000001</v>
      </c>
      <c r="H172">
        <v>1051</v>
      </c>
      <c r="I172">
        <v>0.96099999999999997</v>
      </c>
      <c r="J172">
        <v>733</v>
      </c>
      <c r="K172">
        <v>0.69699999999999995</v>
      </c>
      <c r="L172">
        <v>319</v>
      </c>
      <c r="M172">
        <v>202</v>
      </c>
      <c r="N172">
        <v>0.63300000000000001</v>
      </c>
      <c r="O172">
        <v>161</v>
      </c>
      <c r="P172">
        <v>0.79700000000000004</v>
      </c>
      <c r="Q172">
        <v>202</v>
      </c>
      <c r="R172">
        <v>1</v>
      </c>
      <c r="S172">
        <v>137</v>
      </c>
      <c r="T172">
        <v>0.67800000000000005</v>
      </c>
      <c r="U172">
        <v>320</v>
      </c>
      <c r="V172">
        <v>354</v>
      </c>
      <c r="W172">
        <v>1.1060000000000001</v>
      </c>
      <c r="X172">
        <v>327</v>
      </c>
      <c r="Y172">
        <v>0.92400000000000004</v>
      </c>
      <c r="Z172">
        <v>335</v>
      </c>
      <c r="AA172">
        <v>0.94599999999999995</v>
      </c>
      <c r="AB172">
        <v>238</v>
      </c>
      <c r="AC172">
        <v>0.71</v>
      </c>
      <c r="AD172">
        <v>395</v>
      </c>
      <c r="AE172">
        <v>433</v>
      </c>
      <c r="AF172">
        <v>1.0960000000000001</v>
      </c>
      <c r="AG172">
        <v>381</v>
      </c>
      <c r="AH172">
        <v>0.88</v>
      </c>
      <c r="AI172">
        <v>409</v>
      </c>
      <c r="AJ172">
        <v>0.94499999999999995</v>
      </c>
      <c r="AK172">
        <v>294</v>
      </c>
      <c r="AL172">
        <v>0.71899999999999997</v>
      </c>
      <c r="AM172">
        <v>214</v>
      </c>
      <c r="AN172">
        <v>105</v>
      </c>
      <c r="AO172">
        <v>0.49099999999999999</v>
      </c>
      <c r="AP172">
        <v>104</v>
      </c>
      <c r="AQ172">
        <v>0.99</v>
      </c>
      <c r="AR172">
        <v>105</v>
      </c>
      <c r="AS172">
        <v>1</v>
      </c>
      <c r="AT172">
        <v>64</v>
      </c>
      <c r="AU172">
        <v>0.61</v>
      </c>
    </row>
    <row r="173" spans="1:47" x14ac:dyDescent="0.2">
      <c r="A173" t="s">
        <v>3672</v>
      </c>
      <c r="B173" t="s">
        <v>3673</v>
      </c>
      <c r="C173">
        <v>0</v>
      </c>
      <c r="D173">
        <v>654</v>
      </c>
      <c r="F173">
        <v>448</v>
      </c>
      <c r="G173">
        <v>0.68500000000000005</v>
      </c>
      <c r="H173">
        <v>552</v>
      </c>
      <c r="I173">
        <v>0.84399999999999997</v>
      </c>
      <c r="J173">
        <v>386</v>
      </c>
      <c r="K173">
        <v>0.69899999999999995</v>
      </c>
      <c r="L173">
        <v>0</v>
      </c>
      <c r="M173">
        <v>165</v>
      </c>
      <c r="O173">
        <v>93</v>
      </c>
      <c r="P173">
        <v>0.56399999999999995</v>
      </c>
      <c r="Q173">
        <v>138</v>
      </c>
      <c r="R173">
        <v>0.83599999999999997</v>
      </c>
      <c r="S173">
        <v>88</v>
      </c>
      <c r="T173">
        <v>0.63800000000000001</v>
      </c>
      <c r="U173">
        <v>0</v>
      </c>
      <c r="V173">
        <v>128</v>
      </c>
      <c r="X173">
        <v>93</v>
      </c>
      <c r="Y173">
        <v>0.72699999999999998</v>
      </c>
      <c r="Z173">
        <v>108</v>
      </c>
      <c r="AA173">
        <v>0.84399999999999997</v>
      </c>
      <c r="AB173">
        <v>81</v>
      </c>
      <c r="AC173">
        <v>0.75</v>
      </c>
      <c r="AD173">
        <v>0</v>
      </c>
      <c r="AE173">
        <v>283</v>
      </c>
      <c r="AG173">
        <v>197</v>
      </c>
      <c r="AH173">
        <v>0.69599999999999995</v>
      </c>
      <c r="AI173">
        <v>234</v>
      </c>
      <c r="AJ173">
        <v>0.82699999999999996</v>
      </c>
      <c r="AK173">
        <v>169</v>
      </c>
      <c r="AL173">
        <v>0.72199999999999998</v>
      </c>
      <c r="AM173">
        <v>0</v>
      </c>
      <c r="AN173">
        <v>78</v>
      </c>
      <c r="AP173">
        <v>65</v>
      </c>
      <c r="AQ173">
        <v>0.83299999999999996</v>
      </c>
      <c r="AR173">
        <v>72</v>
      </c>
      <c r="AS173">
        <v>0.92300000000000004</v>
      </c>
      <c r="AT173">
        <v>48</v>
      </c>
      <c r="AU173">
        <v>0.66700000000000004</v>
      </c>
    </row>
    <row r="174" spans="1:47" x14ac:dyDescent="0.2">
      <c r="A174" t="s">
        <v>3675</v>
      </c>
      <c r="B174" t="s">
        <v>3676</v>
      </c>
      <c r="C174">
        <v>861</v>
      </c>
      <c r="D174">
        <v>747</v>
      </c>
      <c r="E174">
        <v>0.86799999999999999</v>
      </c>
      <c r="F174">
        <v>640</v>
      </c>
      <c r="G174">
        <v>0.85699999999999998</v>
      </c>
      <c r="H174">
        <v>728</v>
      </c>
      <c r="I174">
        <v>0.97499999999999998</v>
      </c>
      <c r="J174">
        <v>500</v>
      </c>
      <c r="K174">
        <v>0.68700000000000006</v>
      </c>
      <c r="L174">
        <v>240</v>
      </c>
      <c r="M174">
        <v>188</v>
      </c>
      <c r="N174">
        <v>0.78300000000000003</v>
      </c>
      <c r="O174">
        <v>142</v>
      </c>
      <c r="P174">
        <v>0.755</v>
      </c>
      <c r="Q174">
        <v>187</v>
      </c>
      <c r="R174">
        <v>0.995</v>
      </c>
      <c r="S174">
        <v>107</v>
      </c>
      <c r="T174">
        <v>0.57199999999999995</v>
      </c>
      <c r="U174">
        <v>279</v>
      </c>
      <c r="V174">
        <v>253</v>
      </c>
      <c r="W174">
        <v>0.90700000000000003</v>
      </c>
      <c r="X174">
        <v>240</v>
      </c>
      <c r="Y174">
        <v>0.94899999999999995</v>
      </c>
      <c r="Z174">
        <v>245</v>
      </c>
      <c r="AA174">
        <v>0.96799999999999997</v>
      </c>
      <c r="AB174">
        <v>197</v>
      </c>
      <c r="AC174">
        <v>0.80400000000000005</v>
      </c>
      <c r="AD174">
        <v>253</v>
      </c>
      <c r="AE174">
        <v>243</v>
      </c>
      <c r="AF174">
        <v>0.96</v>
      </c>
      <c r="AG174">
        <v>214</v>
      </c>
      <c r="AH174">
        <v>0.88100000000000001</v>
      </c>
      <c r="AI174">
        <v>233</v>
      </c>
      <c r="AJ174">
        <v>0.95899999999999996</v>
      </c>
      <c r="AK174">
        <v>161</v>
      </c>
      <c r="AL174">
        <v>0.69099999999999995</v>
      </c>
      <c r="AM174">
        <v>89</v>
      </c>
      <c r="AN174">
        <v>63</v>
      </c>
      <c r="AO174">
        <v>0.70799999999999996</v>
      </c>
      <c r="AP174">
        <v>44</v>
      </c>
      <c r="AQ174">
        <v>0.69799999999999995</v>
      </c>
      <c r="AR174">
        <v>63</v>
      </c>
      <c r="AS174">
        <v>1</v>
      </c>
      <c r="AT174">
        <v>35</v>
      </c>
      <c r="AU174">
        <v>0.55600000000000005</v>
      </c>
    </row>
    <row r="175" spans="1:47" x14ac:dyDescent="0.2">
      <c r="A175" t="s">
        <v>3678</v>
      </c>
      <c r="B175" t="s">
        <v>3679</v>
      </c>
      <c r="C175">
        <v>1207</v>
      </c>
      <c r="D175">
        <v>1060</v>
      </c>
      <c r="E175">
        <v>0.878</v>
      </c>
      <c r="F175">
        <v>887</v>
      </c>
      <c r="G175">
        <v>0.83699999999999997</v>
      </c>
      <c r="H175">
        <v>985</v>
      </c>
      <c r="I175">
        <v>0.92900000000000005</v>
      </c>
      <c r="J175">
        <v>709</v>
      </c>
      <c r="K175">
        <v>0.72</v>
      </c>
      <c r="L175">
        <v>325</v>
      </c>
      <c r="M175">
        <v>306</v>
      </c>
      <c r="N175">
        <v>0.94199999999999995</v>
      </c>
      <c r="O175">
        <v>262</v>
      </c>
      <c r="P175">
        <v>0.85599999999999998</v>
      </c>
      <c r="Q175">
        <v>306</v>
      </c>
      <c r="R175">
        <v>1</v>
      </c>
      <c r="S175">
        <v>208</v>
      </c>
      <c r="T175">
        <v>0.68</v>
      </c>
      <c r="U175">
        <v>409</v>
      </c>
      <c r="V175">
        <v>441</v>
      </c>
      <c r="W175">
        <v>1.0780000000000001</v>
      </c>
      <c r="X175">
        <v>362</v>
      </c>
      <c r="Y175">
        <v>0.82099999999999995</v>
      </c>
      <c r="Z175">
        <v>389</v>
      </c>
      <c r="AA175">
        <v>0.88200000000000001</v>
      </c>
      <c r="AB175">
        <v>289</v>
      </c>
      <c r="AC175">
        <v>0.74299999999999999</v>
      </c>
      <c r="AD175">
        <v>296</v>
      </c>
      <c r="AE175">
        <v>298</v>
      </c>
      <c r="AF175">
        <v>1.0069999999999999</v>
      </c>
      <c r="AG175">
        <v>250</v>
      </c>
      <c r="AH175">
        <v>0.83899999999999997</v>
      </c>
      <c r="AI175">
        <v>275</v>
      </c>
      <c r="AJ175">
        <v>0.92300000000000004</v>
      </c>
      <c r="AK175">
        <v>201</v>
      </c>
      <c r="AL175">
        <v>0.73099999999999998</v>
      </c>
      <c r="AM175">
        <v>177</v>
      </c>
      <c r="AN175">
        <v>15</v>
      </c>
      <c r="AO175">
        <v>8.5000000000000006E-2</v>
      </c>
      <c r="AP175">
        <v>13</v>
      </c>
      <c r="AQ175">
        <v>0.86699999999999999</v>
      </c>
      <c r="AR175">
        <v>15</v>
      </c>
      <c r="AS175">
        <v>1</v>
      </c>
      <c r="AT175">
        <v>11</v>
      </c>
      <c r="AU175">
        <v>0.73299999999999998</v>
      </c>
    </row>
    <row r="176" spans="1:47" x14ac:dyDescent="0.2">
      <c r="A176" t="s">
        <v>3681</v>
      </c>
      <c r="B176" t="s">
        <v>3682</v>
      </c>
      <c r="C176">
        <v>1236</v>
      </c>
      <c r="D176">
        <v>1215</v>
      </c>
      <c r="E176">
        <v>0.98299999999999998</v>
      </c>
      <c r="F176">
        <v>977</v>
      </c>
      <c r="G176">
        <v>0.80400000000000005</v>
      </c>
      <c r="H176">
        <v>1126</v>
      </c>
      <c r="I176">
        <v>0.92700000000000005</v>
      </c>
      <c r="J176">
        <v>776</v>
      </c>
      <c r="K176">
        <v>0.68899999999999995</v>
      </c>
      <c r="L176">
        <v>345</v>
      </c>
      <c r="M176">
        <v>230</v>
      </c>
      <c r="N176">
        <v>0.66700000000000004</v>
      </c>
      <c r="O176">
        <v>202</v>
      </c>
      <c r="P176">
        <v>0.878</v>
      </c>
      <c r="Q176">
        <v>229</v>
      </c>
      <c r="R176">
        <v>0.996</v>
      </c>
      <c r="S176">
        <v>155</v>
      </c>
      <c r="T176">
        <v>0.67700000000000005</v>
      </c>
      <c r="U176">
        <v>406</v>
      </c>
      <c r="V176">
        <v>413</v>
      </c>
      <c r="W176">
        <v>1.0169999999999999</v>
      </c>
      <c r="X176">
        <v>350</v>
      </c>
      <c r="Y176">
        <v>0.84699999999999998</v>
      </c>
      <c r="Z176">
        <v>377</v>
      </c>
      <c r="AA176">
        <v>0.91300000000000003</v>
      </c>
      <c r="AB176">
        <v>265</v>
      </c>
      <c r="AC176">
        <v>0.70299999999999996</v>
      </c>
      <c r="AD176">
        <v>475</v>
      </c>
      <c r="AE176">
        <v>561</v>
      </c>
      <c r="AF176">
        <v>1.181</v>
      </c>
      <c r="AG176">
        <v>415</v>
      </c>
      <c r="AH176">
        <v>0.74</v>
      </c>
      <c r="AI176">
        <v>509</v>
      </c>
      <c r="AJ176">
        <v>0.90700000000000003</v>
      </c>
      <c r="AK176">
        <v>350</v>
      </c>
      <c r="AL176">
        <v>0.68799999999999994</v>
      </c>
      <c r="AM176">
        <v>10</v>
      </c>
      <c r="AN176">
        <v>11</v>
      </c>
      <c r="AO176">
        <v>1.1000000000000001</v>
      </c>
      <c r="AP176">
        <v>10</v>
      </c>
      <c r="AQ176">
        <v>0.90900000000000003</v>
      </c>
      <c r="AR176">
        <v>11</v>
      </c>
      <c r="AS176">
        <v>1</v>
      </c>
      <c r="AT176">
        <v>6</v>
      </c>
      <c r="AU176">
        <v>0.54500000000000004</v>
      </c>
    </row>
    <row r="177" spans="1:47" x14ac:dyDescent="0.2">
      <c r="A177" t="s">
        <v>3684</v>
      </c>
      <c r="B177" t="s">
        <v>3685</v>
      </c>
      <c r="C177">
        <v>3306</v>
      </c>
      <c r="D177">
        <v>2567</v>
      </c>
      <c r="E177">
        <v>0.77600000000000002</v>
      </c>
      <c r="F177">
        <v>2338</v>
      </c>
      <c r="G177">
        <v>0.91100000000000003</v>
      </c>
      <c r="H177">
        <v>2460</v>
      </c>
      <c r="I177">
        <v>0.95799999999999996</v>
      </c>
      <c r="J177">
        <v>1840</v>
      </c>
      <c r="K177">
        <v>0.748</v>
      </c>
      <c r="L177">
        <v>769</v>
      </c>
      <c r="M177">
        <v>502</v>
      </c>
      <c r="N177">
        <v>0.65300000000000002</v>
      </c>
      <c r="O177">
        <v>436</v>
      </c>
      <c r="P177">
        <v>0.86899999999999999</v>
      </c>
      <c r="Q177">
        <v>499</v>
      </c>
      <c r="R177">
        <v>0.99399999999999999</v>
      </c>
      <c r="S177">
        <v>344</v>
      </c>
      <c r="T177">
        <v>0.68899999999999995</v>
      </c>
      <c r="U177">
        <v>1145</v>
      </c>
      <c r="V177">
        <v>905</v>
      </c>
      <c r="W177">
        <v>0.79</v>
      </c>
      <c r="X177">
        <v>841</v>
      </c>
      <c r="Y177">
        <v>0.92900000000000005</v>
      </c>
      <c r="Z177">
        <v>860</v>
      </c>
      <c r="AA177">
        <v>0.95</v>
      </c>
      <c r="AB177">
        <v>674</v>
      </c>
      <c r="AC177">
        <v>0.78400000000000003</v>
      </c>
      <c r="AD177">
        <v>1392</v>
      </c>
      <c r="AE177">
        <v>1160</v>
      </c>
      <c r="AF177">
        <v>0.83299999999999996</v>
      </c>
      <c r="AG177">
        <v>1061</v>
      </c>
      <c r="AH177">
        <v>0.91500000000000004</v>
      </c>
      <c r="AI177">
        <v>1101</v>
      </c>
      <c r="AJ177">
        <v>0.94899999999999995</v>
      </c>
      <c r="AK177">
        <v>822</v>
      </c>
      <c r="AL177">
        <v>0.747</v>
      </c>
      <c r="AM177">
        <v>0</v>
      </c>
      <c r="AN177">
        <v>0</v>
      </c>
      <c r="AP177">
        <v>0</v>
      </c>
      <c r="AR177">
        <v>0</v>
      </c>
      <c r="AT177">
        <v>0</v>
      </c>
    </row>
    <row r="178" spans="1:47" x14ac:dyDescent="0.2">
      <c r="A178" t="s">
        <v>3687</v>
      </c>
      <c r="B178" t="s">
        <v>3688</v>
      </c>
      <c r="C178">
        <v>1996</v>
      </c>
      <c r="D178">
        <v>1490</v>
      </c>
      <c r="E178">
        <v>0.746</v>
      </c>
      <c r="F178">
        <v>1295</v>
      </c>
      <c r="G178">
        <v>0.86899999999999999</v>
      </c>
      <c r="H178">
        <v>1331</v>
      </c>
      <c r="I178">
        <v>0.89300000000000002</v>
      </c>
      <c r="J178">
        <v>953</v>
      </c>
      <c r="K178">
        <v>0.71599999999999997</v>
      </c>
      <c r="L178" t="s">
        <v>53</v>
      </c>
      <c r="M178">
        <v>10</v>
      </c>
      <c r="N178" t="s">
        <v>53</v>
      </c>
      <c r="O178">
        <v>7</v>
      </c>
      <c r="P178">
        <v>0.7</v>
      </c>
      <c r="Q178">
        <v>10</v>
      </c>
      <c r="R178">
        <v>1</v>
      </c>
      <c r="S178">
        <v>6</v>
      </c>
      <c r="T178">
        <v>0.6</v>
      </c>
      <c r="U178">
        <v>742</v>
      </c>
      <c r="V178">
        <v>698</v>
      </c>
      <c r="W178">
        <v>0.94099999999999995</v>
      </c>
      <c r="X178">
        <v>611</v>
      </c>
      <c r="Y178">
        <v>0.875</v>
      </c>
      <c r="Z178">
        <v>625</v>
      </c>
      <c r="AA178">
        <v>0.89500000000000002</v>
      </c>
      <c r="AB178">
        <v>445</v>
      </c>
      <c r="AC178">
        <v>0.71199999999999997</v>
      </c>
      <c r="AD178">
        <v>779</v>
      </c>
      <c r="AE178">
        <v>782</v>
      </c>
      <c r="AF178">
        <v>1.004</v>
      </c>
      <c r="AG178">
        <v>677</v>
      </c>
      <c r="AH178">
        <v>0.86599999999999999</v>
      </c>
      <c r="AI178">
        <v>696</v>
      </c>
      <c r="AJ178">
        <v>0.89</v>
      </c>
      <c r="AK178">
        <v>502</v>
      </c>
      <c r="AL178">
        <v>0.72099999999999997</v>
      </c>
      <c r="AM178" t="s">
        <v>53</v>
      </c>
      <c r="AN178">
        <v>0</v>
      </c>
      <c r="AO178" t="s">
        <v>53</v>
      </c>
      <c r="AP178">
        <v>0</v>
      </c>
      <c r="AR178">
        <v>0</v>
      </c>
      <c r="AT178">
        <v>0</v>
      </c>
    </row>
    <row r="179" spans="1:47" x14ac:dyDescent="0.2">
      <c r="A179" t="s">
        <v>6501</v>
      </c>
      <c r="B179" t="s">
        <v>6502</v>
      </c>
      <c r="C179">
        <v>92</v>
      </c>
      <c r="D179" t="s">
        <v>53</v>
      </c>
      <c r="E179" t="s">
        <v>53</v>
      </c>
      <c r="F179">
        <v>0</v>
      </c>
      <c r="G179" t="s">
        <v>53</v>
      </c>
      <c r="H179">
        <v>0</v>
      </c>
      <c r="I179" t="s">
        <v>53</v>
      </c>
      <c r="J179">
        <v>0</v>
      </c>
      <c r="L179">
        <v>70</v>
      </c>
      <c r="M179" t="s">
        <v>53</v>
      </c>
      <c r="N179" t="s">
        <v>53</v>
      </c>
      <c r="O179">
        <v>0</v>
      </c>
      <c r="P179" t="s">
        <v>53</v>
      </c>
      <c r="Q179">
        <v>0</v>
      </c>
      <c r="R179" t="s">
        <v>53</v>
      </c>
      <c r="S179">
        <v>0</v>
      </c>
      <c r="U179">
        <v>9</v>
      </c>
      <c r="V179">
        <v>0</v>
      </c>
      <c r="W179">
        <v>0</v>
      </c>
      <c r="X179">
        <v>0</v>
      </c>
      <c r="Z179">
        <v>0</v>
      </c>
      <c r="AB179">
        <v>0</v>
      </c>
      <c r="AD179">
        <v>13</v>
      </c>
      <c r="AE179">
        <v>0</v>
      </c>
      <c r="AF179">
        <v>0</v>
      </c>
      <c r="AG179">
        <v>0</v>
      </c>
      <c r="AI179">
        <v>0</v>
      </c>
      <c r="AK179">
        <v>0</v>
      </c>
      <c r="AM179">
        <v>0</v>
      </c>
      <c r="AN179">
        <v>0</v>
      </c>
      <c r="AP179">
        <v>0</v>
      </c>
      <c r="AR179">
        <v>0</v>
      </c>
      <c r="AT179">
        <v>0</v>
      </c>
    </row>
    <row r="180" spans="1:47" x14ac:dyDescent="0.2">
      <c r="A180" t="s">
        <v>3691</v>
      </c>
      <c r="B180" t="s">
        <v>3692</v>
      </c>
      <c r="C180">
        <v>290</v>
      </c>
      <c r="D180">
        <v>242</v>
      </c>
      <c r="E180">
        <v>0.83399999999999996</v>
      </c>
      <c r="F180">
        <v>227</v>
      </c>
      <c r="G180">
        <v>0.93799999999999994</v>
      </c>
      <c r="H180">
        <v>238</v>
      </c>
      <c r="I180">
        <v>0.98299999999999998</v>
      </c>
      <c r="J180">
        <v>174</v>
      </c>
      <c r="K180">
        <v>0.73099999999999998</v>
      </c>
      <c r="L180">
        <v>68</v>
      </c>
      <c r="M180">
        <v>13</v>
      </c>
      <c r="N180">
        <v>0.191</v>
      </c>
      <c r="O180">
        <v>10</v>
      </c>
      <c r="P180">
        <v>0.76900000000000002</v>
      </c>
      <c r="Q180">
        <v>13</v>
      </c>
      <c r="R180">
        <v>1</v>
      </c>
      <c r="S180">
        <v>6</v>
      </c>
      <c r="T180">
        <v>0.46200000000000002</v>
      </c>
      <c r="U180">
        <v>100</v>
      </c>
      <c r="V180">
        <v>105</v>
      </c>
      <c r="W180">
        <v>1.05</v>
      </c>
      <c r="X180">
        <v>103</v>
      </c>
      <c r="Y180">
        <v>0.98099999999999998</v>
      </c>
      <c r="Z180">
        <v>103</v>
      </c>
      <c r="AA180">
        <v>0.98099999999999998</v>
      </c>
      <c r="AB180">
        <v>81</v>
      </c>
      <c r="AC180">
        <v>0.78600000000000003</v>
      </c>
      <c r="AD180">
        <v>122</v>
      </c>
      <c r="AE180">
        <v>124</v>
      </c>
      <c r="AF180">
        <v>1.016</v>
      </c>
      <c r="AG180">
        <v>114</v>
      </c>
      <c r="AH180">
        <v>0.91900000000000004</v>
      </c>
      <c r="AI180">
        <v>122</v>
      </c>
      <c r="AJ180">
        <v>0.98399999999999999</v>
      </c>
      <c r="AK180">
        <v>87</v>
      </c>
      <c r="AL180">
        <v>0.71299999999999997</v>
      </c>
      <c r="AM180">
        <v>0</v>
      </c>
      <c r="AN180">
        <v>0</v>
      </c>
      <c r="AP180">
        <v>0</v>
      </c>
      <c r="AR180">
        <v>0</v>
      </c>
      <c r="AT180">
        <v>0</v>
      </c>
    </row>
    <row r="181" spans="1:47" x14ac:dyDescent="0.2">
      <c r="A181" t="s">
        <v>3697</v>
      </c>
      <c r="B181" t="s">
        <v>3698</v>
      </c>
      <c r="C181">
        <v>19</v>
      </c>
      <c r="D181">
        <v>18</v>
      </c>
      <c r="E181">
        <v>0.94699999999999995</v>
      </c>
      <c r="F181">
        <v>14</v>
      </c>
      <c r="G181">
        <v>0.77800000000000002</v>
      </c>
      <c r="H181">
        <v>18</v>
      </c>
      <c r="I181">
        <v>1</v>
      </c>
      <c r="J181">
        <v>12</v>
      </c>
      <c r="K181">
        <v>0.66700000000000004</v>
      </c>
      <c r="L181">
        <v>0</v>
      </c>
      <c r="M181" t="s">
        <v>53</v>
      </c>
      <c r="N181" t="s">
        <v>53</v>
      </c>
      <c r="O181">
        <v>0</v>
      </c>
      <c r="P181" t="s">
        <v>53</v>
      </c>
      <c r="Q181" t="s">
        <v>53</v>
      </c>
      <c r="R181" t="s">
        <v>53</v>
      </c>
      <c r="S181" t="s">
        <v>53</v>
      </c>
      <c r="T181" t="s">
        <v>53</v>
      </c>
      <c r="U181">
        <v>7</v>
      </c>
      <c r="V181" t="s">
        <v>53</v>
      </c>
      <c r="W181" t="s">
        <v>53</v>
      </c>
      <c r="X181">
        <v>6</v>
      </c>
      <c r="Y181" t="s">
        <v>53</v>
      </c>
      <c r="Z181" t="s">
        <v>53</v>
      </c>
      <c r="AA181" t="s">
        <v>53</v>
      </c>
      <c r="AB181" t="s">
        <v>53</v>
      </c>
      <c r="AC181" t="s">
        <v>53</v>
      </c>
      <c r="AD181">
        <v>12</v>
      </c>
      <c r="AE181">
        <v>8</v>
      </c>
      <c r="AF181">
        <v>0.66700000000000004</v>
      </c>
      <c r="AG181">
        <v>8</v>
      </c>
      <c r="AH181">
        <v>1</v>
      </c>
      <c r="AI181">
        <v>8</v>
      </c>
      <c r="AJ181">
        <v>1</v>
      </c>
      <c r="AK181" t="s">
        <v>53</v>
      </c>
      <c r="AL181" t="s">
        <v>53</v>
      </c>
      <c r="AM181">
        <v>0</v>
      </c>
      <c r="AN181">
        <v>0</v>
      </c>
      <c r="AP181">
        <v>0</v>
      </c>
      <c r="AR181">
        <v>0</v>
      </c>
      <c r="AT181">
        <v>0</v>
      </c>
    </row>
    <row r="182" spans="1:47" x14ac:dyDescent="0.2">
      <c r="A182" t="s">
        <v>3700</v>
      </c>
      <c r="B182" t="s">
        <v>3701</v>
      </c>
      <c r="C182">
        <v>45</v>
      </c>
      <c r="D182">
        <v>59</v>
      </c>
      <c r="E182">
        <v>1.3109999999999999</v>
      </c>
      <c r="F182">
        <v>43</v>
      </c>
      <c r="G182">
        <v>0.72899999999999998</v>
      </c>
      <c r="H182">
        <v>55</v>
      </c>
      <c r="I182">
        <v>0.93200000000000005</v>
      </c>
      <c r="J182">
        <v>45</v>
      </c>
      <c r="K182">
        <v>0.81799999999999995</v>
      </c>
      <c r="L182">
        <v>11</v>
      </c>
      <c r="M182">
        <v>18</v>
      </c>
      <c r="N182">
        <v>1.6359999999999999</v>
      </c>
      <c r="O182">
        <v>12</v>
      </c>
      <c r="P182">
        <v>0.66700000000000004</v>
      </c>
      <c r="Q182">
        <v>17</v>
      </c>
      <c r="R182">
        <v>0.94399999999999995</v>
      </c>
      <c r="S182">
        <v>12</v>
      </c>
      <c r="T182">
        <v>0.70599999999999996</v>
      </c>
      <c r="U182">
        <v>15</v>
      </c>
      <c r="V182">
        <v>16</v>
      </c>
      <c r="W182">
        <v>1.0669999999999999</v>
      </c>
      <c r="X182">
        <v>14</v>
      </c>
      <c r="Y182">
        <v>0.875</v>
      </c>
      <c r="Z182">
        <v>16</v>
      </c>
      <c r="AA182">
        <v>1</v>
      </c>
      <c r="AB182">
        <v>14</v>
      </c>
      <c r="AC182">
        <v>0.875</v>
      </c>
      <c r="AD182">
        <v>19</v>
      </c>
      <c r="AE182">
        <v>25</v>
      </c>
      <c r="AF182">
        <v>1.3160000000000001</v>
      </c>
      <c r="AG182">
        <v>17</v>
      </c>
      <c r="AH182">
        <v>0.68</v>
      </c>
      <c r="AI182">
        <v>22</v>
      </c>
      <c r="AJ182">
        <v>0.88</v>
      </c>
      <c r="AK182">
        <v>19</v>
      </c>
      <c r="AL182">
        <v>0.86399999999999999</v>
      </c>
      <c r="AM182">
        <v>0</v>
      </c>
      <c r="AN182">
        <v>0</v>
      </c>
      <c r="AP182">
        <v>0</v>
      </c>
      <c r="AR182">
        <v>0</v>
      </c>
      <c r="AT182">
        <v>0</v>
      </c>
    </row>
    <row r="183" spans="1:47" x14ac:dyDescent="0.2">
      <c r="A183" t="s">
        <v>4477</v>
      </c>
      <c r="B183" t="s">
        <v>4478</v>
      </c>
      <c r="C183">
        <v>144</v>
      </c>
      <c r="D183">
        <v>157</v>
      </c>
      <c r="E183">
        <v>1.0900000000000001</v>
      </c>
      <c r="F183">
        <v>141</v>
      </c>
      <c r="G183">
        <v>0.89800000000000002</v>
      </c>
      <c r="H183">
        <v>141</v>
      </c>
      <c r="I183">
        <v>0.89800000000000002</v>
      </c>
      <c r="J183">
        <v>95</v>
      </c>
      <c r="K183">
        <v>0.67400000000000004</v>
      </c>
      <c r="L183">
        <v>58</v>
      </c>
      <c r="M183">
        <v>0</v>
      </c>
      <c r="N183">
        <v>0</v>
      </c>
      <c r="O183">
        <v>0</v>
      </c>
      <c r="Q183">
        <v>0</v>
      </c>
      <c r="S183">
        <v>0</v>
      </c>
      <c r="U183">
        <v>43</v>
      </c>
      <c r="V183">
        <v>70</v>
      </c>
      <c r="W183">
        <v>1.6279999999999999</v>
      </c>
      <c r="X183">
        <v>63</v>
      </c>
      <c r="Y183">
        <v>0.9</v>
      </c>
      <c r="Z183">
        <v>62</v>
      </c>
      <c r="AA183">
        <v>0.88600000000000001</v>
      </c>
      <c r="AB183">
        <v>33</v>
      </c>
      <c r="AC183">
        <v>0.53200000000000003</v>
      </c>
      <c r="AD183">
        <v>43</v>
      </c>
      <c r="AE183">
        <v>87</v>
      </c>
      <c r="AF183">
        <v>2.0230000000000001</v>
      </c>
      <c r="AG183">
        <v>78</v>
      </c>
      <c r="AH183">
        <v>0.89700000000000002</v>
      </c>
      <c r="AI183">
        <v>79</v>
      </c>
      <c r="AJ183">
        <v>0.90800000000000003</v>
      </c>
      <c r="AK183">
        <v>62</v>
      </c>
      <c r="AL183">
        <v>0.78500000000000003</v>
      </c>
      <c r="AM183">
        <v>0</v>
      </c>
      <c r="AN183">
        <v>0</v>
      </c>
      <c r="AP183">
        <v>0</v>
      </c>
      <c r="AR183">
        <v>0</v>
      </c>
      <c r="AT183">
        <v>0</v>
      </c>
    </row>
    <row r="184" spans="1:47" x14ac:dyDescent="0.2">
      <c r="A184" t="s">
        <v>3703</v>
      </c>
      <c r="B184" t="s">
        <v>3704</v>
      </c>
      <c r="C184">
        <v>42</v>
      </c>
      <c r="D184">
        <v>29</v>
      </c>
      <c r="E184">
        <v>0.69</v>
      </c>
      <c r="F184">
        <v>25</v>
      </c>
      <c r="G184">
        <v>0.86199999999999999</v>
      </c>
      <c r="H184">
        <v>29</v>
      </c>
      <c r="I184">
        <v>1</v>
      </c>
      <c r="J184">
        <v>24</v>
      </c>
      <c r="K184">
        <v>0.82799999999999996</v>
      </c>
      <c r="L184">
        <v>22</v>
      </c>
      <c r="M184">
        <v>15</v>
      </c>
      <c r="N184">
        <v>0.68200000000000005</v>
      </c>
      <c r="O184">
        <v>12</v>
      </c>
      <c r="P184">
        <v>0.8</v>
      </c>
      <c r="Q184">
        <v>15</v>
      </c>
      <c r="R184">
        <v>1</v>
      </c>
      <c r="S184">
        <v>10</v>
      </c>
      <c r="T184">
        <v>0.66700000000000004</v>
      </c>
      <c r="U184">
        <v>11</v>
      </c>
      <c r="V184">
        <v>7</v>
      </c>
      <c r="W184">
        <v>0.63600000000000001</v>
      </c>
      <c r="X184">
        <v>7</v>
      </c>
      <c r="Y184">
        <v>1</v>
      </c>
      <c r="Z184">
        <v>7</v>
      </c>
      <c r="AA184">
        <v>1</v>
      </c>
      <c r="AB184">
        <v>7</v>
      </c>
      <c r="AC184">
        <v>1</v>
      </c>
      <c r="AD184">
        <v>9</v>
      </c>
      <c r="AE184">
        <v>7</v>
      </c>
      <c r="AF184">
        <v>0.77800000000000002</v>
      </c>
      <c r="AG184">
        <v>6</v>
      </c>
      <c r="AH184">
        <v>0.85699999999999998</v>
      </c>
      <c r="AI184">
        <v>7</v>
      </c>
      <c r="AJ184">
        <v>1</v>
      </c>
      <c r="AK184">
        <v>7</v>
      </c>
      <c r="AL184">
        <v>1</v>
      </c>
      <c r="AM184">
        <v>0</v>
      </c>
      <c r="AN184">
        <v>0</v>
      </c>
      <c r="AP184">
        <v>0</v>
      </c>
      <c r="AR184">
        <v>0</v>
      </c>
      <c r="AT184">
        <v>0</v>
      </c>
    </row>
    <row r="185" spans="1:47" x14ac:dyDescent="0.2">
      <c r="A185" t="s">
        <v>4334</v>
      </c>
      <c r="B185" t="s">
        <v>4335</v>
      </c>
      <c r="C185">
        <v>148</v>
      </c>
      <c r="D185">
        <v>65</v>
      </c>
      <c r="E185">
        <v>0.439</v>
      </c>
      <c r="F185">
        <v>28</v>
      </c>
      <c r="G185">
        <v>0.43099999999999999</v>
      </c>
      <c r="H185">
        <v>65</v>
      </c>
      <c r="I185">
        <v>1</v>
      </c>
      <c r="J185">
        <v>59</v>
      </c>
      <c r="K185">
        <v>0.90800000000000003</v>
      </c>
      <c r="L185">
        <v>18</v>
      </c>
      <c r="M185">
        <v>0</v>
      </c>
      <c r="N185">
        <v>0</v>
      </c>
      <c r="O185">
        <v>0</v>
      </c>
      <c r="Q185">
        <v>0</v>
      </c>
      <c r="S185">
        <v>0</v>
      </c>
      <c r="U185">
        <v>77</v>
      </c>
      <c r="V185">
        <v>45</v>
      </c>
      <c r="W185">
        <v>0.58399999999999996</v>
      </c>
      <c r="X185">
        <v>14</v>
      </c>
      <c r="Y185">
        <v>0.311</v>
      </c>
      <c r="Z185">
        <v>45</v>
      </c>
      <c r="AA185">
        <v>1</v>
      </c>
      <c r="AB185">
        <v>42</v>
      </c>
      <c r="AC185">
        <v>0.93300000000000005</v>
      </c>
      <c r="AD185">
        <v>53</v>
      </c>
      <c r="AE185">
        <v>20</v>
      </c>
      <c r="AF185">
        <v>0.377</v>
      </c>
      <c r="AG185">
        <v>14</v>
      </c>
      <c r="AH185">
        <v>0.7</v>
      </c>
      <c r="AI185">
        <v>20</v>
      </c>
      <c r="AJ185">
        <v>1</v>
      </c>
      <c r="AK185">
        <v>17</v>
      </c>
      <c r="AL185">
        <v>0.85</v>
      </c>
      <c r="AM185">
        <v>0</v>
      </c>
      <c r="AN185">
        <v>0</v>
      </c>
      <c r="AP185">
        <v>0</v>
      </c>
      <c r="AR185">
        <v>0</v>
      </c>
      <c r="AT185">
        <v>0</v>
      </c>
    </row>
    <row r="186" spans="1:47" x14ac:dyDescent="0.2">
      <c r="A186" t="s">
        <v>3340</v>
      </c>
      <c r="B186" t="s">
        <v>3341</v>
      </c>
      <c r="C186">
        <v>537</v>
      </c>
      <c r="D186">
        <v>595</v>
      </c>
      <c r="E186">
        <v>1.1080000000000001</v>
      </c>
      <c r="F186">
        <v>418</v>
      </c>
      <c r="G186">
        <v>0.70299999999999996</v>
      </c>
      <c r="H186">
        <v>532</v>
      </c>
      <c r="I186">
        <v>0.89400000000000002</v>
      </c>
      <c r="J186">
        <v>417</v>
      </c>
      <c r="K186">
        <v>0.78400000000000003</v>
      </c>
      <c r="L186">
        <v>28</v>
      </c>
      <c r="M186">
        <v>11</v>
      </c>
      <c r="N186">
        <v>0.39300000000000002</v>
      </c>
      <c r="O186">
        <v>9</v>
      </c>
      <c r="P186">
        <v>0.81799999999999995</v>
      </c>
      <c r="Q186">
        <v>11</v>
      </c>
      <c r="R186">
        <v>1</v>
      </c>
      <c r="S186">
        <v>11</v>
      </c>
      <c r="T186">
        <v>1</v>
      </c>
      <c r="U186">
        <v>240</v>
      </c>
      <c r="V186">
        <v>249</v>
      </c>
      <c r="W186">
        <v>1.038</v>
      </c>
      <c r="X186">
        <v>195</v>
      </c>
      <c r="Y186">
        <v>0.78300000000000003</v>
      </c>
      <c r="Z186">
        <v>230</v>
      </c>
      <c r="AA186">
        <v>0.92400000000000004</v>
      </c>
      <c r="AB186">
        <v>187</v>
      </c>
      <c r="AC186">
        <v>0.81299999999999994</v>
      </c>
      <c r="AD186">
        <v>269</v>
      </c>
      <c r="AE186">
        <v>335</v>
      </c>
      <c r="AF186">
        <v>1.2450000000000001</v>
      </c>
      <c r="AG186">
        <v>214</v>
      </c>
      <c r="AH186">
        <v>0.63900000000000001</v>
      </c>
      <c r="AI186">
        <v>291</v>
      </c>
      <c r="AJ186">
        <v>0.86899999999999999</v>
      </c>
      <c r="AK186">
        <v>219</v>
      </c>
      <c r="AL186">
        <v>0.753</v>
      </c>
      <c r="AM186">
        <v>0</v>
      </c>
      <c r="AN186">
        <v>0</v>
      </c>
      <c r="AP186">
        <v>0</v>
      </c>
      <c r="AR186">
        <v>0</v>
      </c>
      <c r="AT186">
        <v>0</v>
      </c>
    </row>
    <row r="187" spans="1:47" x14ac:dyDescent="0.2">
      <c r="A187" t="s">
        <v>4339</v>
      </c>
      <c r="B187" t="s">
        <v>4340</v>
      </c>
      <c r="C187">
        <v>260</v>
      </c>
      <c r="D187">
        <v>238</v>
      </c>
      <c r="E187">
        <v>0.91500000000000004</v>
      </c>
      <c r="F187">
        <v>211</v>
      </c>
      <c r="G187">
        <v>0.88700000000000001</v>
      </c>
      <c r="H187">
        <v>231</v>
      </c>
      <c r="I187">
        <v>0.97099999999999997</v>
      </c>
      <c r="J187">
        <v>185</v>
      </c>
      <c r="K187">
        <v>0.80100000000000005</v>
      </c>
      <c r="L187">
        <v>0</v>
      </c>
      <c r="M187">
        <v>0</v>
      </c>
      <c r="O187">
        <v>0</v>
      </c>
      <c r="Q187">
        <v>0</v>
      </c>
      <c r="S187">
        <v>0</v>
      </c>
      <c r="U187">
        <v>65</v>
      </c>
      <c r="V187">
        <v>54</v>
      </c>
      <c r="W187">
        <v>0.83099999999999996</v>
      </c>
      <c r="X187">
        <v>52</v>
      </c>
      <c r="Y187">
        <v>0.96299999999999997</v>
      </c>
      <c r="Z187">
        <v>52</v>
      </c>
      <c r="AA187">
        <v>0.96299999999999997</v>
      </c>
      <c r="AB187">
        <v>40</v>
      </c>
      <c r="AC187">
        <v>0.76900000000000002</v>
      </c>
      <c r="AD187">
        <v>195</v>
      </c>
      <c r="AE187">
        <v>184</v>
      </c>
      <c r="AF187">
        <v>0.94399999999999995</v>
      </c>
      <c r="AG187">
        <v>159</v>
      </c>
      <c r="AH187">
        <v>0.86399999999999999</v>
      </c>
      <c r="AI187">
        <v>179</v>
      </c>
      <c r="AJ187">
        <v>0.97299999999999998</v>
      </c>
      <c r="AK187">
        <v>145</v>
      </c>
      <c r="AL187">
        <v>0.81</v>
      </c>
      <c r="AM187">
        <v>0</v>
      </c>
      <c r="AN187">
        <v>0</v>
      </c>
      <c r="AP187">
        <v>0</v>
      </c>
      <c r="AR187">
        <v>0</v>
      </c>
      <c r="AT187">
        <v>0</v>
      </c>
    </row>
    <row r="188" spans="1:47" x14ac:dyDescent="0.2">
      <c r="A188" t="s">
        <v>4342</v>
      </c>
      <c r="B188" t="s">
        <v>4343</v>
      </c>
      <c r="C188">
        <v>89</v>
      </c>
      <c r="D188">
        <v>63</v>
      </c>
      <c r="E188">
        <v>0.70799999999999996</v>
      </c>
      <c r="F188">
        <v>59</v>
      </c>
      <c r="G188">
        <v>0.93700000000000006</v>
      </c>
      <c r="H188">
        <v>61</v>
      </c>
      <c r="I188">
        <v>0.96799999999999997</v>
      </c>
      <c r="J188">
        <v>47</v>
      </c>
      <c r="K188">
        <v>0.77</v>
      </c>
      <c r="L188" t="s">
        <v>53</v>
      </c>
      <c r="M188">
        <v>0</v>
      </c>
      <c r="N188" t="s">
        <v>53</v>
      </c>
      <c r="O188">
        <v>0</v>
      </c>
      <c r="Q188">
        <v>0</v>
      </c>
      <c r="S188">
        <v>0</v>
      </c>
      <c r="U188">
        <v>57</v>
      </c>
      <c r="V188">
        <v>37</v>
      </c>
      <c r="W188">
        <v>0.64900000000000002</v>
      </c>
      <c r="X188">
        <v>35</v>
      </c>
      <c r="Y188">
        <v>0.94599999999999995</v>
      </c>
      <c r="Z188">
        <v>36</v>
      </c>
      <c r="AA188">
        <v>0.97299999999999998</v>
      </c>
      <c r="AB188">
        <v>28</v>
      </c>
      <c r="AC188">
        <v>0.77800000000000002</v>
      </c>
      <c r="AD188" t="s">
        <v>53</v>
      </c>
      <c r="AE188">
        <v>26</v>
      </c>
      <c r="AF188" t="s">
        <v>53</v>
      </c>
      <c r="AG188">
        <v>24</v>
      </c>
      <c r="AH188">
        <v>0.92300000000000004</v>
      </c>
      <c r="AI188">
        <v>25</v>
      </c>
      <c r="AJ188">
        <v>0.96199999999999997</v>
      </c>
      <c r="AK188">
        <v>19</v>
      </c>
      <c r="AL188">
        <v>0.76</v>
      </c>
      <c r="AM188">
        <v>0</v>
      </c>
      <c r="AN188">
        <v>0</v>
      </c>
      <c r="AP188">
        <v>0</v>
      </c>
      <c r="AR188">
        <v>0</v>
      </c>
      <c r="AT188">
        <v>0</v>
      </c>
    </row>
    <row r="189" spans="1:47" x14ac:dyDescent="0.2">
      <c r="A189" t="s">
        <v>3343</v>
      </c>
      <c r="B189" t="s">
        <v>3344</v>
      </c>
      <c r="C189">
        <v>282</v>
      </c>
      <c r="D189">
        <v>304</v>
      </c>
      <c r="E189">
        <v>1.0780000000000001</v>
      </c>
      <c r="F189">
        <v>282</v>
      </c>
      <c r="G189">
        <v>0.92800000000000005</v>
      </c>
      <c r="H189">
        <v>295</v>
      </c>
      <c r="I189">
        <v>0.97</v>
      </c>
      <c r="J189">
        <v>214</v>
      </c>
      <c r="K189">
        <v>0.72499999999999998</v>
      </c>
      <c r="L189">
        <v>98</v>
      </c>
      <c r="M189">
        <v>101</v>
      </c>
      <c r="N189">
        <v>1.0309999999999999</v>
      </c>
      <c r="O189">
        <v>97</v>
      </c>
      <c r="P189">
        <v>0.96</v>
      </c>
      <c r="Q189">
        <v>101</v>
      </c>
      <c r="R189">
        <v>1</v>
      </c>
      <c r="S189">
        <v>72</v>
      </c>
      <c r="T189">
        <v>0.71299999999999997</v>
      </c>
      <c r="U189">
        <v>96</v>
      </c>
      <c r="V189" t="s">
        <v>53</v>
      </c>
      <c r="W189" t="s">
        <v>53</v>
      </c>
      <c r="X189">
        <v>93</v>
      </c>
      <c r="Y189" t="s">
        <v>53</v>
      </c>
      <c r="Z189">
        <v>96</v>
      </c>
      <c r="AA189" t="s">
        <v>53</v>
      </c>
      <c r="AB189">
        <v>71</v>
      </c>
      <c r="AC189">
        <v>0.74</v>
      </c>
      <c r="AD189">
        <v>88</v>
      </c>
      <c r="AE189">
        <v>103</v>
      </c>
      <c r="AF189">
        <v>1.17</v>
      </c>
      <c r="AG189" t="s">
        <v>53</v>
      </c>
      <c r="AH189" t="s">
        <v>53</v>
      </c>
      <c r="AI189" t="s">
        <v>53</v>
      </c>
      <c r="AJ189" t="s">
        <v>53</v>
      </c>
      <c r="AK189" t="s">
        <v>53</v>
      </c>
      <c r="AL189" t="s">
        <v>53</v>
      </c>
      <c r="AM189">
        <v>0</v>
      </c>
      <c r="AN189" t="s">
        <v>53</v>
      </c>
      <c r="AO189" t="s">
        <v>53</v>
      </c>
      <c r="AP189" t="s">
        <v>53</v>
      </c>
      <c r="AQ189" t="s">
        <v>53</v>
      </c>
      <c r="AR189" t="s">
        <v>53</v>
      </c>
      <c r="AS189" t="s">
        <v>53</v>
      </c>
      <c r="AT189" t="s">
        <v>53</v>
      </c>
      <c r="AU189" t="s">
        <v>53</v>
      </c>
    </row>
    <row r="190" spans="1:47" x14ac:dyDescent="0.2">
      <c r="A190" t="s">
        <v>3385</v>
      </c>
      <c r="B190" t="s">
        <v>3386</v>
      </c>
      <c r="C190">
        <v>351</v>
      </c>
      <c r="D190">
        <v>372</v>
      </c>
      <c r="E190">
        <v>1.06</v>
      </c>
      <c r="F190">
        <v>327</v>
      </c>
      <c r="G190">
        <v>0.879</v>
      </c>
      <c r="H190">
        <v>347</v>
      </c>
      <c r="I190">
        <v>0.93300000000000005</v>
      </c>
      <c r="J190">
        <v>282</v>
      </c>
      <c r="K190">
        <v>0.81299999999999994</v>
      </c>
      <c r="L190">
        <v>55</v>
      </c>
      <c r="M190">
        <v>55</v>
      </c>
      <c r="N190">
        <v>1</v>
      </c>
      <c r="O190">
        <v>42</v>
      </c>
      <c r="P190">
        <v>0.76400000000000001</v>
      </c>
      <c r="Q190">
        <v>55</v>
      </c>
      <c r="R190">
        <v>1</v>
      </c>
      <c r="S190">
        <v>35</v>
      </c>
      <c r="T190">
        <v>0.63600000000000001</v>
      </c>
      <c r="U190">
        <v>178</v>
      </c>
      <c r="V190">
        <v>179</v>
      </c>
      <c r="W190">
        <v>1.006</v>
      </c>
      <c r="X190">
        <v>160</v>
      </c>
      <c r="Y190">
        <v>0.89400000000000002</v>
      </c>
      <c r="Z190">
        <v>165</v>
      </c>
      <c r="AA190">
        <v>0.92200000000000004</v>
      </c>
      <c r="AB190">
        <v>141</v>
      </c>
      <c r="AC190">
        <v>0.85499999999999998</v>
      </c>
      <c r="AD190">
        <v>118</v>
      </c>
      <c r="AE190">
        <v>138</v>
      </c>
      <c r="AF190">
        <v>1.169</v>
      </c>
      <c r="AG190">
        <v>125</v>
      </c>
      <c r="AH190">
        <v>0.90600000000000003</v>
      </c>
      <c r="AI190">
        <v>127</v>
      </c>
      <c r="AJ190">
        <v>0.92</v>
      </c>
      <c r="AK190">
        <v>106</v>
      </c>
      <c r="AL190">
        <v>0.83499999999999996</v>
      </c>
      <c r="AM190">
        <v>0</v>
      </c>
      <c r="AN190">
        <v>0</v>
      </c>
      <c r="AP190">
        <v>0</v>
      </c>
      <c r="AR190">
        <v>0</v>
      </c>
      <c r="AT190">
        <v>0</v>
      </c>
    </row>
    <row r="191" spans="1:47" x14ac:dyDescent="0.2">
      <c r="A191" t="s">
        <v>3388</v>
      </c>
      <c r="B191" t="s">
        <v>3389</v>
      </c>
      <c r="C191">
        <v>607</v>
      </c>
      <c r="D191">
        <v>536</v>
      </c>
      <c r="E191">
        <v>0.88300000000000001</v>
      </c>
      <c r="F191">
        <v>423</v>
      </c>
      <c r="G191">
        <v>0.78900000000000003</v>
      </c>
      <c r="H191">
        <v>507</v>
      </c>
      <c r="I191">
        <v>0.94599999999999995</v>
      </c>
      <c r="J191">
        <v>358</v>
      </c>
      <c r="K191">
        <v>0.70599999999999996</v>
      </c>
      <c r="L191">
        <v>167</v>
      </c>
      <c r="M191">
        <v>71</v>
      </c>
      <c r="N191">
        <v>0.42499999999999999</v>
      </c>
      <c r="O191">
        <v>45</v>
      </c>
      <c r="P191">
        <v>0.63400000000000001</v>
      </c>
      <c r="Q191">
        <v>69</v>
      </c>
      <c r="R191">
        <v>0.97199999999999998</v>
      </c>
      <c r="S191">
        <v>41</v>
      </c>
      <c r="T191">
        <v>0.59399999999999997</v>
      </c>
      <c r="U191">
        <v>194</v>
      </c>
      <c r="V191">
        <v>188</v>
      </c>
      <c r="W191">
        <v>0.96899999999999997</v>
      </c>
      <c r="X191">
        <v>168</v>
      </c>
      <c r="Y191">
        <v>0.89400000000000002</v>
      </c>
      <c r="Z191">
        <v>182</v>
      </c>
      <c r="AA191">
        <v>0.96799999999999997</v>
      </c>
      <c r="AB191">
        <v>135</v>
      </c>
      <c r="AC191">
        <v>0.74199999999999999</v>
      </c>
      <c r="AD191">
        <v>246</v>
      </c>
      <c r="AE191">
        <v>277</v>
      </c>
      <c r="AF191">
        <v>1.1259999999999999</v>
      </c>
      <c r="AG191">
        <v>210</v>
      </c>
      <c r="AH191">
        <v>0.75800000000000001</v>
      </c>
      <c r="AI191">
        <v>256</v>
      </c>
      <c r="AJ191">
        <v>0.92400000000000004</v>
      </c>
      <c r="AK191">
        <v>182</v>
      </c>
      <c r="AL191">
        <v>0.71099999999999997</v>
      </c>
      <c r="AM191">
        <v>0</v>
      </c>
      <c r="AN191">
        <v>0</v>
      </c>
      <c r="AP191">
        <v>0</v>
      </c>
      <c r="AR191">
        <v>0</v>
      </c>
      <c r="AT191">
        <v>0</v>
      </c>
    </row>
    <row r="192" spans="1:47" x14ac:dyDescent="0.2">
      <c r="A192" t="s">
        <v>3391</v>
      </c>
      <c r="B192" t="s">
        <v>3392</v>
      </c>
      <c r="C192">
        <v>358</v>
      </c>
      <c r="D192">
        <v>198</v>
      </c>
      <c r="E192">
        <v>0.55300000000000005</v>
      </c>
      <c r="F192">
        <v>180</v>
      </c>
      <c r="G192">
        <v>0.90900000000000003</v>
      </c>
      <c r="H192">
        <v>193</v>
      </c>
      <c r="I192">
        <v>0.97499999999999998</v>
      </c>
      <c r="J192">
        <v>142</v>
      </c>
      <c r="K192">
        <v>0.73599999999999999</v>
      </c>
      <c r="L192">
        <v>178</v>
      </c>
      <c r="M192">
        <v>69</v>
      </c>
      <c r="N192">
        <v>0.38800000000000001</v>
      </c>
      <c r="O192">
        <v>64</v>
      </c>
      <c r="P192">
        <v>0.92800000000000005</v>
      </c>
      <c r="Q192">
        <v>69</v>
      </c>
      <c r="R192">
        <v>1</v>
      </c>
      <c r="S192">
        <v>47</v>
      </c>
      <c r="T192">
        <v>0.68100000000000005</v>
      </c>
      <c r="U192">
        <v>64</v>
      </c>
      <c r="V192">
        <v>44</v>
      </c>
      <c r="W192">
        <v>0.68799999999999994</v>
      </c>
      <c r="X192">
        <v>40</v>
      </c>
      <c r="Y192">
        <v>0.90900000000000003</v>
      </c>
      <c r="Z192">
        <v>43</v>
      </c>
      <c r="AA192">
        <v>0.97699999999999998</v>
      </c>
      <c r="AB192">
        <v>34</v>
      </c>
      <c r="AC192">
        <v>0.79100000000000004</v>
      </c>
      <c r="AD192">
        <v>116</v>
      </c>
      <c r="AE192">
        <v>85</v>
      </c>
      <c r="AF192">
        <v>0.73299999999999998</v>
      </c>
      <c r="AG192">
        <v>76</v>
      </c>
      <c r="AH192">
        <v>0.89400000000000002</v>
      </c>
      <c r="AI192">
        <v>81</v>
      </c>
      <c r="AJ192">
        <v>0.95299999999999996</v>
      </c>
      <c r="AK192">
        <v>61</v>
      </c>
      <c r="AL192">
        <v>0.753</v>
      </c>
      <c r="AM192">
        <v>0</v>
      </c>
      <c r="AN192">
        <v>0</v>
      </c>
      <c r="AP192">
        <v>0</v>
      </c>
      <c r="AR192">
        <v>0</v>
      </c>
      <c r="AT192">
        <v>0</v>
      </c>
    </row>
    <row r="193" spans="1:47" x14ac:dyDescent="0.2">
      <c r="A193" t="s">
        <v>3394</v>
      </c>
      <c r="B193" t="s">
        <v>3395</v>
      </c>
      <c r="C193">
        <v>220</v>
      </c>
      <c r="D193">
        <v>638</v>
      </c>
      <c r="E193">
        <v>2.9</v>
      </c>
      <c r="F193">
        <v>586</v>
      </c>
      <c r="G193">
        <v>0.91800000000000004</v>
      </c>
      <c r="H193">
        <v>595</v>
      </c>
      <c r="I193">
        <v>0.93300000000000005</v>
      </c>
      <c r="J193">
        <v>425</v>
      </c>
      <c r="K193">
        <v>0.71399999999999997</v>
      </c>
      <c r="L193">
        <v>107</v>
      </c>
      <c r="M193">
        <v>92</v>
      </c>
      <c r="N193">
        <v>0.86</v>
      </c>
      <c r="O193">
        <v>85</v>
      </c>
      <c r="P193">
        <v>0.92400000000000004</v>
      </c>
      <c r="Q193">
        <v>92</v>
      </c>
      <c r="R193">
        <v>1</v>
      </c>
      <c r="S193">
        <v>60</v>
      </c>
      <c r="T193">
        <v>0.65200000000000002</v>
      </c>
      <c r="U193">
        <v>52</v>
      </c>
      <c r="V193">
        <v>244</v>
      </c>
      <c r="W193">
        <v>4.6920000000000002</v>
      </c>
      <c r="X193">
        <v>229</v>
      </c>
      <c r="Y193">
        <v>0.93899999999999995</v>
      </c>
      <c r="Z193">
        <v>228</v>
      </c>
      <c r="AA193">
        <v>0.93400000000000005</v>
      </c>
      <c r="AB193">
        <v>165</v>
      </c>
      <c r="AC193">
        <v>0.72399999999999998</v>
      </c>
      <c r="AD193">
        <v>61</v>
      </c>
      <c r="AE193">
        <v>302</v>
      </c>
      <c r="AF193">
        <v>4.9509999999999996</v>
      </c>
      <c r="AG193">
        <v>272</v>
      </c>
      <c r="AH193">
        <v>0.90100000000000002</v>
      </c>
      <c r="AI193">
        <v>275</v>
      </c>
      <c r="AJ193">
        <v>0.91100000000000003</v>
      </c>
      <c r="AK193">
        <v>200</v>
      </c>
      <c r="AL193">
        <v>0.72699999999999998</v>
      </c>
      <c r="AM193">
        <v>0</v>
      </c>
      <c r="AN193">
        <v>0</v>
      </c>
      <c r="AP193">
        <v>0</v>
      </c>
      <c r="AR193">
        <v>0</v>
      </c>
      <c r="AT193">
        <v>0</v>
      </c>
    </row>
    <row r="194" spans="1:47" x14ac:dyDescent="0.2">
      <c r="A194" t="s">
        <v>3397</v>
      </c>
      <c r="B194" t="s">
        <v>3398</v>
      </c>
      <c r="C194">
        <v>596</v>
      </c>
      <c r="D194">
        <v>385</v>
      </c>
      <c r="E194">
        <v>0.64600000000000002</v>
      </c>
      <c r="F194">
        <v>349</v>
      </c>
      <c r="G194">
        <v>0.90600000000000003</v>
      </c>
      <c r="H194">
        <v>362</v>
      </c>
      <c r="I194">
        <v>0.94</v>
      </c>
      <c r="J194">
        <v>276</v>
      </c>
      <c r="K194">
        <v>0.76200000000000001</v>
      </c>
      <c r="L194">
        <v>256</v>
      </c>
      <c r="M194">
        <v>51</v>
      </c>
      <c r="N194">
        <v>0.19900000000000001</v>
      </c>
      <c r="O194">
        <v>42</v>
      </c>
      <c r="P194">
        <v>0.82399999999999995</v>
      </c>
      <c r="Q194">
        <v>50</v>
      </c>
      <c r="R194">
        <v>0.98</v>
      </c>
      <c r="S194">
        <v>31</v>
      </c>
      <c r="T194">
        <v>0.62</v>
      </c>
      <c r="U194">
        <v>189</v>
      </c>
      <c r="V194">
        <v>182</v>
      </c>
      <c r="W194">
        <v>0.96299999999999997</v>
      </c>
      <c r="X194">
        <v>175</v>
      </c>
      <c r="Y194">
        <v>0.96199999999999997</v>
      </c>
      <c r="Z194">
        <v>173</v>
      </c>
      <c r="AA194">
        <v>0.95099999999999996</v>
      </c>
      <c r="AB194">
        <v>135</v>
      </c>
      <c r="AC194">
        <v>0.78</v>
      </c>
      <c r="AD194">
        <v>151</v>
      </c>
      <c r="AE194">
        <v>152</v>
      </c>
      <c r="AF194">
        <v>1.0069999999999999</v>
      </c>
      <c r="AG194">
        <v>132</v>
      </c>
      <c r="AH194">
        <v>0.86799999999999999</v>
      </c>
      <c r="AI194">
        <v>139</v>
      </c>
      <c r="AJ194">
        <v>0.91400000000000003</v>
      </c>
      <c r="AK194">
        <v>110</v>
      </c>
      <c r="AL194">
        <v>0.79100000000000004</v>
      </c>
      <c r="AM194">
        <v>0</v>
      </c>
      <c r="AN194">
        <v>0</v>
      </c>
      <c r="AP194">
        <v>0</v>
      </c>
      <c r="AR194">
        <v>0</v>
      </c>
      <c r="AT194">
        <v>0</v>
      </c>
    </row>
    <row r="195" spans="1:47" x14ac:dyDescent="0.2">
      <c r="A195" t="s">
        <v>3400</v>
      </c>
      <c r="B195" t="s">
        <v>3401</v>
      </c>
      <c r="C195">
        <v>879</v>
      </c>
      <c r="D195">
        <v>621</v>
      </c>
      <c r="E195">
        <v>0.70599999999999996</v>
      </c>
      <c r="F195">
        <v>590</v>
      </c>
      <c r="G195">
        <v>0.95</v>
      </c>
      <c r="H195">
        <v>613</v>
      </c>
      <c r="I195">
        <v>0.98699999999999999</v>
      </c>
      <c r="J195">
        <v>437</v>
      </c>
      <c r="K195">
        <v>0.71299999999999997</v>
      </c>
      <c r="L195">
        <v>361</v>
      </c>
      <c r="M195">
        <v>344</v>
      </c>
      <c r="N195">
        <v>0.95299999999999996</v>
      </c>
      <c r="O195">
        <v>334</v>
      </c>
      <c r="P195">
        <v>0.97099999999999997</v>
      </c>
      <c r="Q195">
        <v>344</v>
      </c>
      <c r="R195">
        <v>1</v>
      </c>
      <c r="S195">
        <v>225</v>
      </c>
      <c r="T195">
        <v>0.65400000000000003</v>
      </c>
      <c r="U195">
        <v>127</v>
      </c>
      <c r="V195" t="s">
        <v>53</v>
      </c>
      <c r="W195" t="s">
        <v>53</v>
      </c>
      <c r="X195" t="s">
        <v>53</v>
      </c>
      <c r="Y195" t="s">
        <v>53</v>
      </c>
      <c r="Z195">
        <v>124</v>
      </c>
      <c r="AA195" t="s">
        <v>53</v>
      </c>
      <c r="AB195">
        <v>90</v>
      </c>
      <c r="AC195">
        <v>0.72599999999999998</v>
      </c>
      <c r="AD195">
        <v>140</v>
      </c>
      <c r="AE195">
        <v>150</v>
      </c>
      <c r="AF195">
        <v>1.071</v>
      </c>
      <c r="AG195">
        <v>134</v>
      </c>
      <c r="AH195">
        <v>0.89300000000000002</v>
      </c>
      <c r="AI195">
        <v>145</v>
      </c>
      <c r="AJ195">
        <v>0.96699999999999997</v>
      </c>
      <c r="AK195">
        <v>122</v>
      </c>
      <c r="AL195">
        <v>0.84099999999999997</v>
      </c>
      <c r="AM195">
        <v>251</v>
      </c>
      <c r="AN195" t="s">
        <v>53</v>
      </c>
      <c r="AO195" t="s">
        <v>53</v>
      </c>
      <c r="AP195" t="s">
        <v>53</v>
      </c>
      <c r="AQ195" t="s">
        <v>53</v>
      </c>
      <c r="AR195">
        <v>0</v>
      </c>
      <c r="AS195" t="s">
        <v>53</v>
      </c>
      <c r="AT195">
        <v>0</v>
      </c>
    </row>
    <row r="196" spans="1:47" x14ac:dyDescent="0.2">
      <c r="A196" t="s">
        <v>3240</v>
      </c>
      <c r="B196" t="s">
        <v>3241</v>
      </c>
      <c r="C196">
        <v>94</v>
      </c>
      <c r="D196">
        <v>139</v>
      </c>
      <c r="E196">
        <v>1.4790000000000001</v>
      </c>
      <c r="F196">
        <v>108</v>
      </c>
      <c r="G196">
        <v>0.77700000000000002</v>
      </c>
      <c r="H196">
        <v>129</v>
      </c>
      <c r="I196">
        <v>0.92800000000000005</v>
      </c>
      <c r="J196">
        <v>90</v>
      </c>
      <c r="K196">
        <v>0.69799999999999995</v>
      </c>
      <c r="L196">
        <v>76</v>
      </c>
      <c r="M196">
        <v>87</v>
      </c>
      <c r="N196">
        <v>1.145</v>
      </c>
      <c r="O196">
        <v>82</v>
      </c>
      <c r="P196">
        <v>0.94299999999999995</v>
      </c>
      <c r="Q196">
        <v>87</v>
      </c>
      <c r="R196">
        <v>1</v>
      </c>
      <c r="S196">
        <v>63</v>
      </c>
      <c r="T196">
        <v>0.72399999999999998</v>
      </c>
      <c r="U196">
        <v>10</v>
      </c>
      <c r="V196">
        <v>13</v>
      </c>
      <c r="W196">
        <v>1.3</v>
      </c>
      <c r="X196">
        <v>7</v>
      </c>
      <c r="Y196">
        <v>0.53800000000000003</v>
      </c>
      <c r="Z196">
        <v>12</v>
      </c>
      <c r="AA196">
        <v>0.92300000000000004</v>
      </c>
      <c r="AB196">
        <v>7</v>
      </c>
      <c r="AC196">
        <v>0.58299999999999996</v>
      </c>
      <c r="AD196">
        <v>8</v>
      </c>
      <c r="AE196">
        <v>39</v>
      </c>
      <c r="AF196">
        <v>4.875</v>
      </c>
      <c r="AG196">
        <v>19</v>
      </c>
      <c r="AH196">
        <v>0.48699999999999999</v>
      </c>
      <c r="AI196">
        <v>30</v>
      </c>
      <c r="AJ196">
        <v>0.76900000000000002</v>
      </c>
      <c r="AK196">
        <v>20</v>
      </c>
      <c r="AL196">
        <v>0.66700000000000004</v>
      </c>
      <c r="AM196">
        <v>0</v>
      </c>
      <c r="AN196">
        <v>0</v>
      </c>
      <c r="AP196">
        <v>0</v>
      </c>
      <c r="AR196">
        <v>0</v>
      </c>
      <c r="AT196">
        <v>0</v>
      </c>
    </row>
    <row r="197" spans="1:47" x14ac:dyDescent="0.2">
      <c r="A197" t="s">
        <v>3243</v>
      </c>
      <c r="B197" t="s">
        <v>3244</v>
      </c>
      <c r="C197">
        <v>300</v>
      </c>
      <c r="D197">
        <v>307</v>
      </c>
      <c r="E197">
        <v>1.0229999999999999</v>
      </c>
      <c r="F197">
        <v>298</v>
      </c>
      <c r="G197">
        <v>0.97099999999999997</v>
      </c>
      <c r="H197">
        <v>304</v>
      </c>
      <c r="I197">
        <v>0.99</v>
      </c>
      <c r="J197">
        <v>237</v>
      </c>
      <c r="K197">
        <v>0.78</v>
      </c>
      <c r="L197">
        <v>90</v>
      </c>
      <c r="M197">
        <v>98</v>
      </c>
      <c r="N197">
        <v>1.089</v>
      </c>
      <c r="O197">
        <v>92</v>
      </c>
      <c r="P197">
        <v>0.93899999999999995</v>
      </c>
      <c r="Q197">
        <v>98</v>
      </c>
      <c r="R197">
        <v>1</v>
      </c>
      <c r="S197">
        <v>73</v>
      </c>
      <c r="T197">
        <v>0.745</v>
      </c>
      <c r="U197">
        <v>113</v>
      </c>
      <c r="V197">
        <v>115</v>
      </c>
      <c r="W197">
        <v>1.018</v>
      </c>
      <c r="X197">
        <v>115</v>
      </c>
      <c r="Y197">
        <v>1</v>
      </c>
      <c r="Z197">
        <v>114</v>
      </c>
      <c r="AA197">
        <v>0.99099999999999999</v>
      </c>
      <c r="AB197">
        <v>86</v>
      </c>
      <c r="AC197">
        <v>0.754</v>
      </c>
      <c r="AD197">
        <v>97</v>
      </c>
      <c r="AE197">
        <v>94</v>
      </c>
      <c r="AF197">
        <v>0.96899999999999997</v>
      </c>
      <c r="AG197">
        <v>91</v>
      </c>
      <c r="AH197">
        <v>0.96799999999999997</v>
      </c>
      <c r="AI197">
        <v>92</v>
      </c>
      <c r="AJ197">
        <v>0.97899999999999998</v>
      </c>
      <c r="AK197">
        <v>78</v>
      </c>
      <c r="AL197">
        <v>0.84799999999999998</v>
      </c>
      <c r="AM197">
        <v>0</v>
      </c>
      <c r="AN197">
        <v>0</v>
      </c>
      <c r="AP197">
        <v>0</v>
      </c>
      <c r="AR197">
        <v>0</v>
      </c>
      <c r="AT197">
        <v>0</v>
      </c>
    </row>
    <row r="198" spans="1:47" x14ac:dyDescent="0.2">
      <c r="A198" t="s">
        <v>3246</v>
      </c>
      <c r="B198" t="s">
        <v>3247</v>
      </c>
      <c r="C198">
        <v>682</v>
      </c>
      <c r="D198">
        <v>641</v>
      </c>
      <c r="E198">
        <v>0.94</v>
      </c>
      <c r="F198">
        <v>544</v>
      </c>
      <c r="G198">
        <v>0.84899999999999998</v>
      </c>
      <c r="H198">
        <v>621</v>
      </c>
      <c r="I198">
        <v>0.96899999999999997</v>
      </c>
      <c r="J198">
        <v>436</v>
      </c>
      <c r="K198">
        <v>0.70199999999999996</v>
      </c>
      <c r="L198">
        <v>193</v>
      </c>
      <c r="M198">
        <v>179</v>
      </c>
      <c r="N198">
        <v>0.92700000000000005</v>
      </c>
      <c r="O198">
        <v>140</v>
      </c>
      <c r="P198">
        <v>0.78200000000000003</v>
      </c>
      <c r="Q198">
        <v>179</v>
      </c>
      <c r="R198">
        <v>1</v>
      </c>
      <c r="S198">
        <v>116</v>
      </c>
      <c r="T198">
        <v>0.64800000000000002</v>
      </c>
      <c r="U198">
        <v>195</v>
      </c>
      <c r="V198">
        <v>165</v>
      </c>
      <c r="W198">
        <v>0.84599999999999997</v>
      </c>
      <c r="X198">
        <v>155</v>
      </c>
      <c r="Y198">
        <v>0.93899999999999995</v>
      </c>
      <c r="Z198">
        <v>161</v>
      </c>
      <c r="AA198">
        <v>0.97599999999999998</v>
      </c>
      <c r="AB198">
        <v>125</v>
      </c>
      <c r="AC198">
        <v>0.77600000000000002</v>
      </c>
      <c r="AD198">
        <v>294</v>
      </c>
      <c r="AE198">
        <v>297</v>
      </c>
      <c r="AF198">
        <v>1.01</v>
      </c>
      <c r="AG198">
        <v>249</v>
      </c>
      <c r="AH198">
        <v>0.83799999999999997</v>
      </c>
      <c r="AI198">
        <v>281</v>
      </c>
      <c r="AJ198">
        <v>0.94599999999999995</v>
      </c>
      <c r="AK198">
        <v>195</v>
      </c>
      <c r="AL198">
        <v>0.69399999999999995</v>
      </c>
      <c r="AM198">
        <v>0</v>
      </c>
      <c r="AN198">
        <v>0</v>
      </c>
      <c r="AP198">
        <v>0</v>
      </c>
      <c r="AR198">
        <v>0</v>
      </c>
      <c r="AT198">
        <v>0</v>
      </c>
    </row>
    <row r="199" spans="1:47" x14ac:dyDescent="0.2">
      <c r="A199" t="s">
        <v>3249</v>
      </c>
      <c r="B199" t="s">
        <v>3250</v>
      </c>
      <c r="C199">
        <v>237</v>
      </c>
      <c r="D199">
        <v>190</v>
      </c>
      <c r="E199">
        <v>0.80200000000000005</v>
      </c>
      <c r="F199">
        <v>184</v>
      </c>
      <c r="G199">
        <v>0.96799999999999997</v>
      </c>
      <c r="H199">
        <v>188</v>
      </c>
      <c r="I199">
        <v>0.98899999999999999</v>
      </c>
      <c r="J199">
        <v>147</v>
      </c>
      <c r="K199">
        <v>0.78200000000000003</v>
      </c>
      <c r="L199">
        <v>0</v>
      </c>
      <c r="M199">
        <v>14</v>
      </c>
      <c r="O199">
        <v>12</v>
      </c>
      <c r="P199">
        <v>0.85699999999999998</v>
      </c>
      <c r="Q199">
        <v>14</v>
      </c>
      <c r="R199">
        <v>1</v>
      </c>
      <c r="S199">
        <v>12</v>
      </c>
      <c r="T199">
        <v>0.85699999999999998</v>
      </c>
      <c r="U199">
        <v>111</v>
      </c>
      <c r="V199">
        <v>83</v>
      </c>
      <c r="W199">
        <v>0.748</v>
      </c>
      <c r="X199">
        <v>82</v>
      </c>
      <c r="Y199">
        <v>0.98799999999999999</v>
      </c>
      <c r="Z199">
        <v>83</v>
      </c>
      <c r="AA199">
        <v>1</v>
      </c>
      <c r="AB199">
        <v>65</v>
      </c>
      <c r="AC199">
        <v>0.78300000000000003</v>
      </c>
      <c r="AD199">
        <v>126</v>
      </c>
      <c r="AE199">
        <v>93</v>
      </c>
      <c r="AF199">
        <v>0.73799999999999999</v>
      </c>
      <c r="AG199">
        <v>90</v>
      </c>
      <c r="AH199">
        <v>0.96799999999999997</v>
      </c>
      <c r="AI199">
        <v>91</v>
      </c>
      <c r="AJ199">
        <v>0.97799999999999998</v>
      </c>
      <c r="AK199">
        <v>70</v>
      </c>
      <c r="AL199">
        <v>0.76900000000000002</v>
      </c>
      <c r="AM199">
        <v>0</v>
      </c>
      <c r="AN199">
        <v>0</v>
      </c>
      <c r="AP199">
        <v>0</v>
      </c>
      <c r="AR199">
        <v>0</v>
      </c>
      <c r="AT199">
        <v>0</v>
      </c>
    </row>
    <row r="200" spans="1:47" x14ac:dyDescent="0.2">
      <c r="A200" t="s">
        <v>3252</v>
      </c>
      <c r="B200" t="s">
        <v>3253</v>
      </c>
      <c r="C200">
        <v>47</v>
      </c>
      <c r="D200">
        <v>59</v>
      </c>
      <c r="E200">
        <v>1.2549999999999999</v>
      </c>
      <c r="F200">
        <v>50</v>
      </c>
      <c r="G200">
        <v>0.84699999999999998</v>
      </c>
      <c r="H200">
        <v>57</v>
      </c>
      <c r="I200">
        <v>0.96599999999999997</v>
      </c>
      <c r="J200">
        <v>40</v>
      </c>
      <c r="K200">
        <v>0.70199999999999996</v>
      </c>
      <c r="L200">
        <v>36</v>
      </c>
      <c r="M200">
        <v>34</v>
      </c>
      <c r="N200">
        <v>0.94399999999999995</v>
      </c>
      <c r="O200">
        <v>27</v>
      </c>
      <c r="P200">
        <v>0.79400000000000004</v>
      </c>
      <c r="Q200">
        <v>32</v>
      </c>
      <c r="R200">
        <v>0.94099999999999995</v>
      </c>
      <c r="S200">
        <v>22</v>
      </c>
      <c r="T200">
        <v>0.68799999999999994</v>
      </c>
      <c r="U200" t="s">
        <v>53</v>
      </c>
      <c r="V200">
        <v>17</v>
      </c>
      <c r="W200" t="s">
        <v>53</v>
      </c>
      <c r="X200">
        <v>16</v>
      </c>
      <c r="Y200">
        <v>0.94099999999999995</v>
      </c>
      <c r="Z200">
        <v>17</v>
      </c>
      <c r="AA200">
        <v>1</v>
      </c>
      <c r="AB200">
        <v>12</v>
      </c>
      <c r="AC200">
        <v>0.70599999999999996</v>
      </c>
      <c r="AD200" t="s">
        <v>53</v>
      </c>
      <c r="AE200">
        <v>8</v>
      </c>
      <c r="AF200" t="s">
        <v>53</v>
      </c>
      <c r="AG200">
        <v>7</v>
      </c>
      <c r="AH200">
        <v>0.875</v>
      </c>
      <c r="AI200">
        <v>8</v>
      </c>
      <c r="AJ200">
        <v>1</v>
      </c>
      <c r="AK200">
        <v>6</v>
      </c>
      <c r="AL200">
        <v>0.75</v>
      </c>
      <c r="AM200">
        <v>0</v>
      </c>
      <c r="AN200">
        <v>0</v>
      </c>
      <c r="AP200">
        <v>0</v>
      </c>
      <c r="AR200">
        <v>0</v>
      </c>
      <c r="AT200">
        <v>0</v>
      </c>
    </row>
    <row r="201" spans="1:47" x14ac:dyDescent="0.2">
      <c r="A201" t="s">
        <v>3255</v>
      </c>
      <c r="B201" t="s">
        <v>3256</v>
      </c>
      <c r="C201">
        <v>45</v>
      </c>
      <c r="D201">
        <v>32</v>
      </c>
      <c r="E201">
        <v>0.71099999999999997</v>
      </c>
      <c r="F201">
        <v>20</v>
      </c>
      <c r="G201">
        <v>0.625</v>
      </c>
      <c r="H201">
        <v>31</v>
      </c>
      <c r="I201">
        <v>0.96899999999999997</v>
      </c>
      <c r="J201">
        <v>19</v>
      </c>
      <c r="K201">
        <v>0.61299999999999999</v>
      </c>
      <c r="L201">
        <v>0</v>
      </c>
      <c r="M201">
        <v>6</v>
      </c>
      <c r="O201">
        <v>0</v>
      </c>
      <c r="P201">
        <v>0</v>
      </c>
      <c r="Q201">
        <v>6</v>
      </c>
      <c r="R201">
        <v>1</v>
      </c>
      <c r="S201" t="s">
        <v>53</v>
      </c>
      <c r="T201" t="s">
        <v>53</v>
      </c>
      <c r="U201">
        <v>22</v>
      </c>
      <c r="V201">
        <v>14</v>
      </c>
      <c r="W201">
        <v>0.63600000000000001</v>
      </c>
      <c r="X201">
        <v>13</v>
      </c>
      <c r="Y201">
        <v>0.92900000000000005</v>
      </c>
      <c r="Z201">
        <v>14</v>
      </c>
      <c r="AA201">
        <v>1</v>
      </c>
      <c r="AB201">
        <v>11</v>
      </c>
      <c r="AC201">
        <v>0.78600000000000003</v>
      </c>
      <c r="AD201">
        <v>23</v>
      </c>
      <c r="AE201">
        <v>12</v>
      </c>
      <c r="AF201">
        <v>0.52200000000000002</v>
      </c>
      <c r="AG201">
        <v>7</v>
      </c>
      <c r="AH201">
        <v>0.58299999999999996</v>
      </c>
      <c r="AI201">
        <v>11</v>
      </c>
      <c r="AJ201">
        <v>0.91700000000000004</v>
      </c>
      <c r="AK201" t="s">
        <v>53</v>
      </c>
      <c r="AL201" t="s">
        <v>53</v>
      </c>
      <c r="AM201">
        <v>0</v>
      </c>
      <c r="AN201">
        <v>0</v>
      </c>
      <c r="AP201">
        <v>0</v>
      </c>
      <c r="AR201">
        <v>0</v>
      </c>
      <c r="AT201">
        <v>0</v>
      </c>
    </row>
    <row r="202" spans="1:47" x14ac:dyDescent="0.2">
      <c r="A202" t="s">
        <v>3258</v>
      </c>
      <c r="B202" t="s">
        <v>3259</v>
      </c>
      <c r="C202">
        <v>155</v>
      </c>
      <c r="D202">
        <v>285</v>
      </c>
      <c r="E202">
        <v>1.839</v>
      </c>
      <c r="F202">
        <v>213</v>
      </c>
      <c r="G202">
        <v>0.747</v>
      </c>
      <c r="H202">
        <v>253</v>
      </c>
      <c r="I202">
        <v>0.88800000000000001</v>
      </c>
      <c r="J202">
        <v>187</v>
      </c>
      <c r="K202">
        <v>0.73899999999999999</v>
      </c>
      <c r="L202">
        <v>33</v>
      </c>
      <c r="M202">
        <v>20</v>
      </c>
      <c r="N202">
        <v>0.60599999999999998</v>
      </c>
      <c r="O202">
        <v>17</v>
      </c>
      <c r="P202">
        <v>0.85</v>
      </c>
      <c r="Q202">
        <v>20</v>
      </c>
      <c r="R202">
        <v>1</v>
      </c>
      <c r="S202">
        <v>14</v>
      </c>
      <c r="T202">
        <v>0.7</v>
      </c>
      <c r="U202">
        <v>51</v>
      </c>
      <c r="V202">
        <v>107</v>
      </c>
      <c r="W202">
        <v>2.0979999999999999</v>
      </c>
      <c r="X202">
        <v>92</v>
      </c>
      <c r="Y202">
        <v>0.86</v>
      </c>
      <c r="Z202">
        <v>100</v>
      </c>
      <c r="AA202">
        <v>0.93500000000000005</v>
      </c>
      <c r="AB202">
        <v>77</v>
      </c>
      <c r="AC202">
        <v>0.77</v>
      </c>
      <c r="AD202">
        <v>71</v>
      </c>
      <c r="AE202">
        <v>158</v>
      </c>
      <c r="AF202">
        <v>2.2250000000000001</v>
      </c>
      <c r="AG202">
        <v>104</v>
      </c>
      <c r="AH202">
        <v>0.65800000000000003</v>
      </c>
      <c r="AI202">
        <v>133</v>
      </c>
      <c r="AJ202">
        <v>0.84199999999999997</v>
      </c>
      <c r="AK202">
        <v>96</v>
      </c>
      <c r="AL202">
        <v>0.72199999999999998</v>
      </c>
      <c r="AM202">
        <v>0</v>
      </c>
      <c r="AN202">
        <v>0</v>
      </c>
      <c r="AP202">
        <v>0</v>
      </c>
      <c r="AR202">
        <v>0</v>
      </c>
      <c r="AT202">
        <v>0</v>
      </c>
    </row>
    <row r="203" spans="1:47" x14ac:dyDescent="0.2">
      <c r="A203" t="s">
        <v>3261</v>
      </c>
      <c r="B203" t="s">
        <v>3262</v>
      </c>
      <c r="C203">
        <v>65</v>
      </c>
      <c r="D203">
        <v>126</v>
      </c>
      <c r="E203">
        <v>1.9379999999999999</v>
      </c>
      <c r="F203">
        <v>45</v>
      </c>
      <c r="G203">
        <v>0.35699999999999998</v>
      </c>
      <c r="H203">
        <v>115</v>
      </c>
      <c r="I203">
        <v>0.91300000000000003</v>
      </c>
      <c r="J203">
        <v>78</v>
      </c>
      <c r="K203">
        <v>0.67800000000000005</v>
      </c>
      <c r="L203">
        <v>22</v>
      </c>
      <c r="M203">
        <v>20</v>
      </c>
      <c r="N203">
        <v>0.90900000000000003</v>
      </c>
      <c r="O203">
        <v>12</v>
      </c>
      <c r="P203">
        <v>0.6</v>
      </c>
      <c r="Q203">
        <v>18</v>
      </c>
      <c r="R203">
        <v>0.9</v>
      </c>
      <c r="S203">
        <v>13</v>
      </c>
      <c r="T203">
        <v>0.72199999999999998</v>
      </c>
      <c r="U203">
        <v>12</v>
      </c>
      <c r="V203">
        <v>35</v>
      </c>
      <c r="W203">
        <v>2.9169999999999998</v>
      </c>
      <c r="X203">
        <v>10</v>
      </c>
      <c r="Y203">
        <v>0.28599999999999998</v>
      </c>
      <c r="Z203">
        <v>32</v>
      </c>
      <c r="AA203">
        <v>0.91400000000000003</v>
      </c>
      <c r="AB203">
        <v>23</v>
      </c>
      <c r="AC203">
        <v>0.71899999999999997</v>
      </c>
      <c r="AD203">
        <v>31</v>
      </c>
      <c r="AE203">
        <v>71</v>
      </c>
      <c r="AF203">
        <v>2.29</v>
      </c>
      <c r="AG203">
        <v>23</v>
      </c>
      <c r="AH203">
        <v>0.32400000000000001</v>
      </c>
      <c r="AI203">
        <v>65</v>
      </c>
      <c r="AJ203">
        <v>0.91500000000000004</v>
      </c>
      <c r="AK203">
        <v>42</v>
      </c>
      <c r="AL203">
        <v>0.64600000000000002</v>
      </c>
      <c r="AM203">
        <v>0</v>
      </c>
      <c r="AN203">
        <v>0</v>
      </c>
      <c r="AP203">
        <v>0</v>
      </c>
      <c r="AR203">
        <v>0</v>
      </c>
      <c r="AT203">
        <v>0</v>
      </c>
    </row>
    <row r="204" spans="1:47" x14ac:dyDescent="0.2">
      <c r="A204" t="s">
        <v>3264</v>
      </c>
      <c r="B204" t="s">
        <v>3265</v>
      </c>
      <c r="C204">
        <v>325</v>
      </c>
      <c r="D204">
        <v>307</v>
      </c>
      <c r="E204">
        <v>0.94499999999999995</v>
      </c>
      <c r="F204">
        <v>266</v>
      </c>
      <c r="G204">
        <v>0.86599999999999999</v>
      </c>
      <c r="H204">
        <v>302</v>
      </c>
      <c r="I204">
        <v>0.98399999999999999</v>
      </c>
      <c r="J204">
        <v>215</v>
      </c>
      <c r="K204">
        <v>0.71199999999999997</v>
      </c>
      <c r="L204">
        <v>70</v>
      </c>
      <c r="M204">
        <v>53</v>
      </c>
      <c r="N204">
        <v>0.75700000000000001</v>
      </c>
      <c r="O204">
        <v>40</v>
      </c>
      <c r="P204">
        <v>0.755</v>
      </c>
      <c r="Q204">
        <v>53</v>
      </c>
      <c r="R204">
        <v>1</v>
      </c>
      <c r="S204">
        <v>30</v>
      </c>
      <c r="T204">
        <v>0.56599999999999995</v>
      </c>
      <c r="U204">
        <v>122</v>
      </c>
      <c r="V204">
        <v>110</v>
      </c>
      <c r="W204">
        <v>0.90200000000000002</v>
      </c>
      <c r="X204">
        <v>106</v>
      </c>
      <c r="Y204">
        <v>0.96399999999999997</v>
      </c>
      <c r="Z204">
        <v>109</v>
      </c>
      <c r="AA204">
        <v>0.99099999999999999</v>
      </c>
      <c r="AB204">
        <v>84</v>
      </c>
      <c r="AC204">
        <v>0.77100000000000002</v>
      </c>
      <c r="AD204">
        <v>133</v>
      </c>
      <c r="AE204">
        <v>144</v>
      </c>
      <c r="AF204">
        <v>1.083</v>
      </c>
      <c r="AG204">
        <v>120</v>
      </c>
      <c r="AH204">
        <v>0.83299999999999996</v>
      </c>
      <c r="AI204">
        <v>140</v>
      </c>
      <c r="AJ204">
        <v>0.97199999999999998</v>
      </c>
      <c r="AK204">
        <v>101</v>
      </c>
      <c r="AL204">
        <v>0.72099999999999997</v>
      </c>
      <c r="AM204">
        <v>0</v>
      </c>
      <c r="AN204">
        <v>0</v>
      </c>
      <c r="AP204">
        <v>0</v>
      </c>
      <c r="AR204">
        <v>0</v>
      </c>
      <c r="AT204">
        <v>0</v>
      </c>
    </row>
    <row r="205" spans="1:47" x14ac:dyDescent="0.2">
      <c r="A205" t="s">
        <v>4299</v>
      </c>
      <c r="B205" t="s">
        <v>4300</v>
      </c>
      <c r="C205">
        <v>346</v>
      </c>
      <c r="D205">
        <v>365</v>
      </c>
      <c r="E205">
        <v>1.0549999999999999</v>
      </c>
      <c r="F205">
        <v>305</v>
      </c>
      <c r="G205">
        <v>0.83599999999999997</v>
      </c>
      <c r="H205">
        <v>345</v>
      </c>
      <c r="I205">
        <v>0.94499999999999995</v>
      </c>
      <c r="J205">
        <v>277</v>
      </c>
      <c r="K205">
        <v>0.80300000000000005</v>
      </c>
      <c r="L205">
        <v>0</v>
      </c>
      <c r="M205">
        <v>0</v>
      </c>
      <c r="O205">
        <v>0</v>
      </c>
      <c r="Q205">
        <v>0</v>
      </c>
      <c r="S205">
        <v>0</v>
      </c>
      <c r="U205" t="s">
        <v>53</v>
      </c>
      <c r="V205">
        <v>146</v>
      </c>
      <c r="W205" t="s">
        <v>53</v>
      </c>
      <c r="X205">
        <v>138</v>
      </c>
      <c r="Y205">
        <v>0.94499999999999995</v>
      </c>
      <c r="Z205">
        <v>140</v>
      </c>
      <c r="AA205">
        <v>0.95899999999999996</v>
      </c>
      <c r="AB205">
        <v>109</v>
      </c>
      <c r="AC205">
        <v>0.77900000000000003</v>
      </c>
      <c r="AD205">
        <v>183</v>
      </c>
      <c r="AE205">
        <v>219</v>
      </c>
      <c r="AF205">
        <v>1.1970000000000001</v>
      </c>
      <c r="AG205">
        <v>167</v>
      </c>
      <c r="AH205">
        <v>0.76300000000000001</v>
      </c>
      <c r="AI205">
        <v>205</v>
      </c>
      <c r="AJ205">
        <v>0.93600000000000005</v>
      </c>
      <c r="AK205">
        <v>168</v>
      </c>
      <c r="AL205">
        <v>0.82</v>
      </c>
      <c r="AM205" t="s">
        <v>53</v>
      </c>
      <c r="AN205">
        <v>0</v>
      </c>
      <c r="AO205" t="s">
        <v>53</v>
      </c>
      <c r="AP205">
        <v>0</v>
      </c>
      <c r="AR205">
        <v>0</v>
      </c>
      <c r="AT205">
        <v>0</v>
      </c>
    </row>
    <row r="206" spans="1:47" x14ac:dyDescent="0.2">
      <c r="A206" t="s">
        <v>4302</v>
      </c>
      <c r="B206" t="s">
        <v>4303</v>
      </c>
      <c r="C206">
        <v>78</v>
      </c>
      <c r="D206">
        <v>187</v>
      </c>
      <c r="E206">
        <v>2.3969999999999998</v>
      </c>
      <c r="F206">
        <v>64</v>
      </c>
      <c r="G206">
        <v>0.34200000000000003</v>
      </c>
      <c r="H206">
        <v>162</v>
      </c>
      <c r="I206">
        <v>0.86599999999999999</v>
      </c>
      <c r="J206">
        <v>112</v>
      </c>
      <c r="K206">
        <v>0.69099999999999995</v>
      </c>
      <c r="L206">
        <v>0</v>
      </c>
      <c r="M206">
        <v>0</v>
      </c>
      <c r="O206">
        <v>0</v>
      </c>
      <c r="Q206">
        <v>0</v>
      </c>
      <c r="S206">
        <v>0</v>
      </c>
      <c r="U206">
        <v>54</v>
      </c>
      <c r="V206">
        <v>122</v>
      </c>
      <c r="W206">
        <v>2.2589999999999999</v>
      </c>
      <c r="X206">
        <v>43</v>
      </c>
      <c r="Y206">
        <v>0.35199999999999998</v>
      </c>
      <c r="Z206">
        <v>106</v>
      </c>
      <c r="AA206">
        <v>0.86899999999999999</v>
      </c>
      <c r="AB206">
        <v>81</v>
      </c>
      <c r="AC206">
        <v>0.76400000000000001</v>
      </c>
      <c r="AD206">
        <v>24</v>
      </c>
      <c r="AE206">
        <v>65</v>
      </c>
      <c r="AF206">
        <v>2.7080000000000002</v>
      </c>
      <c r="AG206">
        <v>21</v>
      </c>
      <c r="AH206">
        <v>0.32300000000000001</v>
      </c>
      <c r="AI206">
        <v>56</v>
      </c>
      <c r="AJ206">
        <v>0.86199999999999999</v>
      </c>
      <c r="AK206">
        <v>31</v>
      </c>
      <c r="AL206">
        <v>0.55400000000000005</v>
      </c>
      <c r="AM206">
        <v>0</v>
      </c>
      <c r="AN206">
        <v>0</v>
      </c>
      <c r="AP206">
        <v>0</v>
      </c>
      <c r="AR206">
        <v>0</v>
      </c>
      <c r="AT206">
        <v>0</v>
      </c>
    </row>
    <row r="207" spans="1:47" x14ac:dyDescent="0.2">
      <c r="A207" t="s">
        <v>3267</v>
      </c>
      <c r="B207" t="s">
        <v>3268</v>
      </c>
      <c r="C207">
        <v>396</v>
      </c>
      <c r="D207">
        <v>433</v>
      </c>
      <c r="E207">
        <v>1.093</v>
      </c>
      <c r="F207">
        <v>365</v>
      </c>
      <c r="G207">
        <v>0.84299999999999997</v>
      </c>
      <c r="H207">
        <v>396</v>
      </c>
      <c r="I207">
        <v>0.91500000000000004</v>
      </c>
      <c r="J207">
        <v>211</v>
      </c>
      <c r="K207">
        <v>0.53300000000000003</v>
      </c>
      <c r="L207">
        <v>79</v>
      </c>
      <c r="M207">
        <v>73</v>
      </c>
      <c r="N207">
        <v>0.92400000000000004</v>
      </c>
      <c r="O207">
        <v>66</v>
      </c>
      <c r="P207">
        <v>0.90400000000000003</v>
      </c>
      <c r="Q207">
        <v>73</v>
      </c>
      <c r="R207">
        <v>1</v>
      </c>
      <c r="S207">
        <v>31</v>
      </c>
      <c r="T207">
        <v>0.42499999999999999</v>
      </c>
      <c r="U207">
        <v>96</v>
      </c>
      <c r="V207">
        <v>95</v>
      </c>
      <c r="W207">
        <v>0.99</v>
      </c>
      <c r="X207">
        <v>86</v>
      </c>
      <c r="Y207">
        <v>0.90500000000000003</v>
      </c>
      <c r="Z207">
        <v>88</v>
      </c>
      <c r="AA207">
        <v>0.92600000000000005</v>
      </c>
      <c r="AB207">
        <v>47</v>
      </c>
      <c r="AC207">
        <v>0.53400000000000003</v>
      </c>
      <c r="AD207">
        <v>221</v>
      </c>
      <c r="AE207">
        <v>265</v>
      </c>
      <c r="AF207">
        <v>1.1990000000000001</v>
      </c>
      <c r="AG207">
        <v>213</v>
      </c>
      <c r="AH207">
        <v>0.80400000000000005</v>
      </c>
      <c r="AI207">
        <v>235</v>
      </c>
      <c r="AJ207">
        <v>0.88700000000000001</v>
      </c>
      <c r="AK207">
        <v>133</v>
      </c>
      <c r="AL207">
        <v>0.56599999999999995</v>
      </c>
      <c r="AM207">
        <v>0</v>
      </c>
      <c r="AN207">
        <v>0</v>
      </c>
      <c r="AP207">
        <v>0</v>
      </c>
      <c r="AR207">
        <v>0</v>
      </c>
      <c r="AT207">
        <v>0</v>
      </c>
    </row>
    <row r="208" spans="1:47" x14ac:dyDescent="0.2">
      <c r="A208" t="s">
        <v>3270</v>
      </c>
      <c r="B208" t="s">
        <v>3271</v>
      </c>
      <c r="C208">
        <v>850</v>
      </c>
      <c r="D208">
        <v>687</v>
      </c>
      <c r="E208">
        <v>0.80800000000000005</v>
      </c>
      <c r="F208">
        <v>511</v>
      </c>
      <c r="G208">
        <v>0.74399999999999999</v>
      </c>
      <c r="H208">
        <v>636</v>
      </c>
      <c r="I208">
        <v>0.92600000000000005</v>
      </c>
      <c r="J208">
        <v>427</v>
      </c>
      <c r="K208">
        <v>0.67100000000000004</v>
      </c>
      <c r="L208">
        <v>261</v>
      </c>
      <c r="M208">
        <v>151</v>
      </c>
      <c r="N208">
        <v>0.57899999999999996</v>
      </c>
      <c r="O208" t="s">
        <v>53</v>
      </c>
      <c r="P208" t="s">
        <v>53</v>
      </c>
      <c r="Q208">
        <v>151</v>
      </c>
      <c r="R208">
        <v>1</v>
      </c>
      <c r="S208" t="s">
        <v>53</v>
      </c>
      <c r="T208" t="s">
        <v>53</v>
      </c>
      <c r="U208">
        <v>186</v>
      </c>
      <c r="V208">
        <v>235</v>
      </c>
      <c r="W208">
        <v>1.2629999999999999</v>
      </c>
      <c r="X208">
        <v>170</v>
      </c>
      <c r="Y208">
        <v>0.72299999999999998</v>
      </c>
      <c r="Z208">
        <v>214</v>
      </c>
      <c r="AA208">
        <v>0.91100000000000003</v>
      </c>
      <c r="AB208">
        <v>137</v>
      </c>
      <c r="AC208">
        <v>0.64</v>
      </c>
      <c r="AD208">
        <v>256</v>
      </c>
      <c r="AE208">
        <v>295</v>
      </c>
      <c r="AF208">
        <v>1.1519999999999999</v>
      </c>
      <c r="AG208">
        <v>228</v>
      </c>
      <c r="AH208">
        <v>0.77300000000000002</v>
      </c>
      <c r="AI208">
        <v>265</v>
      </c>
      <c r="AJ208">
        <v>0.89800000000000002</v>
      </c>
      <c r="AK208">
        <v>178</v>
      </c>
      <c r="AL208">
        <v>0.67200000000000004</v>
      </c>
      <c r="AM208">
        <v>147</v>
      </c>
      <c r="AN208">
        <v>6</v>
      </c>
      <c r="AO208">
        <v>4.1000000000000002E-2</v>
      </c>
      <c r="AP208" t="s">
        <v>53</v>
      </c>
      <c r="AQ208" t="s">
        <v>53</v>
      </c>
      <c r="AR208">
        <v>6</v>
      </c>
      <c r="AS208">
        <v>1</v>
      </c>
      <c r="AT208" t="s">
        <v>53</v>
      </c>
      <c r="AU208" t="s">
        <v>53</v>
      </c>
    </row>
    <row r="209" spans="1:47" x14ac:dyDescent="0.2">
      <c r="A209" t="s">
        <v>3273</v>
      </c>
      <c r="B209" t="s">
        <v>3274</v>
      </c>
      <c r="C209">
        <v>0</v>
      </c>
      <c r="D209">
        <v>61</v>
      </c>
      <c r="F209">
        <v>36</v>
      </c>
      <c r="G209">
        <v>0.59</v>
      </c>
      <c r="H209">
        <v>39</v>
      </c>
      <c r="I209">
        <v>0.63900000000000001</v>
      </c>
      <c r="J209">
        <v>27</v>
      </c>
      <c r="K209">
        <v>0.69199999999999995</v>
      </c>
      <c r="L209">
        <v>0</v>
      </c>
      <c r="M209" t="s">
        <v>53</v>
      </c>
      <c r="N209" t="s">
        <v>53</v>
      </c>
      <c r="O209" t="s">
        <v>53</v>
      </c>
      <c r="P209" t="s">
        <v>53</v>
      </c>
      <c r="Q209" t="s">
        <v>53</v>
      </c>
      <c r="R209" t="s">
        <v>53</v>
      </c>
      <c r="S209" t="s">
        <v>53</v>
      </c>
      <c r="T209" t="s">
        <v>53</v>
      </c>
      <c r="U209">
        <v>0</v>
      </c>
      <c r="V209" t="s">
        <v>53</v>
      </c>
      <c r="W209" t="s">
        <v>53</v>
      </c>
      <c r="X209" t="s">
        <v>53</v>
      </c>
      <c r="Y209" t="s">
        <v>53</v>
      </c>
      <c r="Z209" t="s">
        <v>53</v>
      </c>
      <c r="AA209" t="s">
        <v>53</v>
      </c>
      <c r="AB209" t="s">
        <v>53</v>
      </c>
      <c r="AC209" t="s">
        <v>53</v>
      </c>
      <c r="AD209">
        <v>0</v>
      </c>
      <c r="AE209">
        <v>37</v>
      </c>
      <c r="AG209">
        <v>22</v>
      </c>
      <c r="AH209">
        <v>0.59499999999999997</v>
      </c>
      <c r="AI209">
        <v>21</v>
      </c>
      <c r="AJ209">
        <v>0.56799999999999995</v>
      </c>
      <c r="AK209">
        <v>14</v>
      </c>
      <c r="AL209">
        <v>0.66700000000000004</v>
      </c>
      <c r="AM209">
        <v>0</v>
      </c>
      <c r="AN209">
        <v>0</v>
      </c>
      <c r="AP209">
        <v>0</v>
      </c>
      <c r="AR209">
        <v>0</v>
      </c>
      <c r="AT209">
        <v>0</v>
      </c>
    </row>
    <row r="210" spans="1:47" x14ac:dyDescent="0.2">
      <c r="A210" t="s">
        <v>3276</v>
      </c>
      <c r="B210" t="s">
        <v>3277</v>
      </c>
      <c r="C210">
        <v>0</v>
      </c>
      <c r="D210">
        <v>191</v>
      </c>
      <c r="F210">
        <v>165</v>
      </c>
      <c r="G210">
        <v>0.86399999999999999</v>
      </c>
      <c r="H210">
        <v>166</v>
      </c>
      <c r="I210">
        <v>0.86899999999999999</v>
      </c>
      <c r="J210">
        <v>98</v>
      </c>
      <c r="K210">
        <v>0.59</v>
      </c>
      <c r="L210">
        <v>0</v>
      </c>
      <c r="M210">
        <v>69</v>
      </c>
      <c r="O210">
        <v>53</v>
      </c>
      <c r="P210">
        <v>0.76800000000000002</v>
      </c>
      <c r="Q210">
        <v>69</v>
      </c>
      <c r="R210">
        <v>1</v>
      </c>
      <c r="S210">
        <v>35</v>
      </c>
      <c r="T210">
        <v>0.50700000000000001</v>
      </c>
      <c r="U210">
        <v>0</v>
      </c>
      <c r="V210">
        <v>54</v>
      </c>
      <c r="X210">
        <v>47</v>
      </c>
      <c r="Y210">
        <v>0.87</v>
      </c>
      <c r="Z210">
        <v>42</v>
      </c>
      <c r="AA210">
        <v>0.77800000000000002</v>
      </c>
      <c r="AB210">
        <v>31</v>
      </c>
      <c r="AC210">
        <v>0.73799999999999999</v>
      </c>
      <c r="AD210">
        <v>0</v>
      </c>
      <c r="AE210">
        <v>68</v>
      </c>
      <c r="AG210">
        <v>65</v>
      </c>
      <c r="AH210">
        <v>0.95599999999999996</v>
      </c>
      <c r="AI210">
        <v>55</v>
      </c>
      <c r="AJ210">
        <v>0.80900000000000005</v>
      </c>
      <c r="AK210">
        <v>32</v>
      </c>
      <c r="AL210">
        <v>0.58199999999999996</v>
      </c>
      <c r="AM210">
        <v>0</v>
      </c>
      <c r="AN210">
        <v>0</v>
      </c>
      <c r="AP210">
        <v>0</v>
      </c>
      <c r="AR210">
        <v>0</v>
      </c>
      <c r="AT210">
        <v>0</v>
      </c>
    </row>
    <row r="211" spans="1:47" x14ac:dyDescent="0.2">
      <c r="A211" t="s">
        <v>6507</v>
      </c>
      <c r="B211" t="s">
        <v>6508</v>
      </c>
      <c r="C211">
        <v>543</v>
      </c>
      <c r="D211">
        <v>0</v>
      </c>
      <c r="E211">
        <v>0</v>
      </c>
      <c r="F211">
        <v>0</v>
      </c>
      <c r="H211">
        <v>0</v>
      </c>
      <c r="J211">
        <v>0</v>
      </c>
      <c r="L211">
        <v>245</v>
      </c>
      <c r="M211">
        <v>0</v>
      </c>
      <c r="N211">
        <v>0</v>
      </c>
      <c r="O211">
        <v>0</v>
      </c>
      <c r="Q211">
        <v>0</v>
      </c>
      <c r="S211">
        <v>0</v>
      </c>
      <c r="U211">
        <v>118</v>
      </c>
      <c r="V211">
        <v>0</v>
      </c>
      <c r="W211">
        <v>0</v>
      </c>
      <c r="X211">
        <v>0</v>
      </c>
      <c r="Z211">
        <v>0</v>
      </c>
      <c r="AB211">
        <v>0</v>
      </c>
      <c r="AD211">
        <v>180</v>
      </c>
      <c r="AE211">
        <v>0</v>
      </c>
      <c r="AF211">
        <v>0</v>
      </c>
      <c r="AG211">
        <v>0</v>
      </c>
      <c r="AI211">
        <v>0</v>
      </c>
      <c r="AK211">
        <v>0</v>
      </c>
      <c r="AM211">
        <v>0</v>
      </c>
      <c r="AN211">
        <v>0</v>
      </c>
      <c r="AP211">
        <v>0</v>
      </c>
      <c r="AR211">
        <v>0</v>
      </c>
      <c r="AT211">
        <v>0</v>
      </c>
    </row>
    <row r="212" spans="1:47" x14ac:dyDescent="0.2">
      <c r="A212" t="s">
        <v>4276</v>
      </c>
      <c r="B212" t="s">
        <v>4277</v>
      </c>
      <c r="C212">
        <v>0</v>
      </c>
      <c r="D212">
        <v>46</v>
      </c>
      <c r="F212">
        <v>0</v>
      </c>
      <c r="G212">
        <v>0</v>
      </c>
      <c r="H212">
        <v>38</v>
      </c>
      <c r="I212">
        <v>0.82599999999999996</v>
      </c>
      <c r="J212">
        <v>25</v>
      </c>
      <c r="K212">
        <v>0.65800000000000003</v>
      </c>
      <c r="L212">
        <v>0</v>
      </c>
      <c r="M212">
        <v>0</v>
      </c>
      <c r="O212">
        <v>0</v>
      </c>
      <c r="Q212">
        <v>0</v>
      </c>
      <c r="S212">
        <v>0</v>
      </c>
      <c r="U212">
        <v>0</v>
      </c>
      <c r="V212">
        <v>29</v>
      </c>
      <c r="X212">
        <v>0</v>
      </c>
      <c r="Y212">
        <v>0</v>
      </c>
      <c r="Z212">
        <v>22</v>
      </c>
      <c r="AA212">
        <v>0.75900000000000001</v>
      </c>
      <c r="AB212">
        <v>13</v>
      </c>
      <c r="AC212">
        <v>0.59099999999999997</v>
      </c>
      <c r="AD212">
        <v>0</v>
      </c>
      <c r="AE212">
        <v>17</v>
      </c>
      <c r="AG212">
        <v>0</v>
      </c>
      <c r="AH212">
        <v>0</v>
      </c>
      <c r="AI212">
        <v>16</v>
      </c>
      <c r="AJ212">
        <v>0.94099999999999995</v>
      </c>
      <c r="AK212">
        <v>12</v>
      </c>
      <c r="AL212">
        <v>0.75</v>
      </c>
      <c r="AM212">
        <v>0</v>
      </c>
      <c r="AN212">
        <v>0</v>
      </c>
      <c r="AP212">
        <v>0</v>
      </c>
      <c r="AR212">
        <v>0</v>
      </c>
      <c r="AT212">
        <v>0</v>
      </c>
    </row>
    <row r="213" spans="1:47" x14ac:dyDescent="0.2">
      <c r="A213" t="s">
        <v>3278</v>
      </c>
      <c r="B213" t="s">
        <v>6578</v>
      </c>
      <c r="C213">
        <v>2218</v>
      </c>
      <c r="D213">
        <v>2342</v>
      </c>
      <c r="E213">
        <v>1.056</v>
      </c>
      <c r="F213">
        <v>1532</v>
      </c>
      <c r="G213">
        <v>0.65400000000000003</v>
      </c>
      <c r="H213">
        <v>2044</v>
      </c>
      <c r="I213">
        <v>0.873</v>
      </c>
      <c r="J213">
        <v>1409</v>
      </c>
      <c r="K213">
        <v>0.68899999999999995</v>
      </c>
      <c r="L213">
        <v>431</v>
      </c>
      <c r="M213">
        <v>301</v>
      </c>
      <c r="N213">
        <v>0.69799999999999995</v>
      </c>
      <c r="O213">
        <v>239</v>
      </c>
      <c r="P213">
        <v>0.79400000000000004</v>
      </c>
      <c r="Q213">
        <v>300</v>
      </c>
      <c r="R213">
        <v>0.997</v>
      </c>
      <c r="S213">
        <v>208</v>
      </c>
      <c r="T213">
        <v>0.69299999999999995</v>
      </c>
      <c r="U213">
        <v>1072</v>
      </c>
      <c r="V213">
        <v>982</v>
      </c>
      <c r="W213">
        <v>0.91600000000000004</v>
      </c>
      <c r="X213">
        <v>814</v>
      </c>
      <c r="Y213">
        <v>0.82899999999999996</v>
      </c>
      <c r="Z213">
        <v>897</v>
      </c>
      <c r="AA213">
        <v>0.91300000000000003</v>
      </c>
      <c r="AB213">
        <v>630</v>
      </c>
      <c r="AC213">
        <v>0.70199999999999996</v>
      </c>
      <c r="AD213">
        <v>551</v>
      </c>
      <c r="AE213">
        <v>990</v>
      </c>
      <c r="AF213">
        <v>1.7969999999999999</v>
      </c>
      <c r="AG213">
        <v>419</v>
      </c>
      <c r="AH213">
        <v>0.42299999999999999</v>
      </c>
      <c r="AI213">
        <v>778</v>
      </c>
      <c r="AJ213">
        <v>0.78600000000000003</v>
      </c>
      <c r="AK213">
        <v>526</v>
      </c>
      <c r="AL213">
        <v>0.67600000000000005</v>
      </c>
      <c r="AM213">
        <v>164</v>
      </c>
      <c r="AN213">
        <v>69</v>
      </c>
      <c r="AO213">
        <v>0.42099999999999999</v>
      </c>
      <c r="AP213">
        <v>60</v>
      </c>
      <c r="AQ213">
        <v>0.87</v>
      </c>
      <c r="AR213">
        <v>69</v>
      </c>
      <c r="AS213">
        <v>1</v>
      </c>
      <c r="AT213">
        <v>45</v>
      </c>
      <c r="AU213">
        <v>0.65200000000000002</v>
      </c>
    </row>
    <row r="214" spans="1:47" x14ac:dyDescent="0.2">
      <c r="A214" t="s">
        <v>6525</v>
      </c>
      <c r="B214" t="s">
        <v>6526</v>
      </c>
      <c r="C214" t="s">
        <v>53</v>
      </c>
      <c r="D214">
        <v>0</v>
      </c>
      <c r="E214" t="s">
        <v>53</v>
      </c>
      <c r="F214">
        <v>0</v>
      </c>
      <c r="H214">
        <v>0</v>
      </c>
      <c r="J214">
        <v>0</v>
      </c>
      <c r="L214" t="s">
        <v>53</v>
      </c>
      <c r="M214">
        <v>0</v>
      </c>
      <c r="N214" t="s">
        <v>53</v>
      </c>
      <c r="O214">
        <v>0</v>
      </c>
      <c r="Q214">
        <v>0</v>
      </c>
      <c r="S214">
        <v>0</v>
      </c>
      <c r="U214">
        <v>0</v>
      </c>
      <c r="V214">
        <v>0</v>
      </c>
      <c r="X214">
        <v>0</v>
      </c>
      <c r="Z214">
        <v>0</v>
      </c>
      <c r="AB214">
        <v>0</v>
      </c>
      <c r="AD214">
        <v>0</v>
      </c>
      <c r="AE214">
        <v>0</v>
      </c>
      <c r="AG214">
        <v>0</v>
      </c>
      <c r="AI214">
        <v>0</v>
      </c>
      <c r="AK214">
        <v>0</v>
      </c>
      <c r="AM214">
        <v>0</v>
      </c>
      <c r="AN214">
        <v>0</v>
      </c>
      <c r="AP214">
        <v>0</v>
      </c>
      <c r="AR214">
        <v>0</v>
      </c>
      <c r="AT214">
        <v>0</v>
      </c>
    </row>
    <row r="215" spans="1:47" x14ac:dyDescent="0.2">
      <c r="A215" t="s">
        <v>3280</v>
      </c>
      <c r="B215" t="s">
        <v>3281</v>
      </c>
      <c r="C215">
        <v>84</v>
      </c>
      <c r="D215">
        <v>739</v>
      </c>
      <c r="E215">
        <v>8.798</v>
      </c>
      <c r="F215">
        <v>607</v>
      </c>
      <c r="G215">
        <v>0.82099999999999995</v>
      </c>
      <c r="H215">
        <v>705</v>
      </c>
      <c r="I215">
        <v>0.95399999999999996</v>
      </c>
      <c r="J215">
        <v>474</v>
      </c>
      <c r="K215">
        <v>0.67200000000000004</v>
      </c>
      <c r="L215" t="s">
        <v>53</v>
      </c>
      <c r="M215">
        <v>68</v>
      </c>
      <c r="N215" t="s">
        <v>53</v>
      </c>
      <c r="O215">
        <v>37</v>
      </c>
      <c r="P215">
        <v>0.54400000000000004</v>
      </c>
      <c r="Q215">
        <v>67</v>
      </c>
      <c r="R215">
        <v>0.98499999999999999</v>
      </c>
      <c r="S215">
        <v>41</v>
      </c>
      <c r="T215">
        <v>0.61199999999999999</v>
      </c>
      <c r="U215" t="s">
        <v>53</v>
      </c>
      <c r="V215">
        <v>284</v>
      </c>
      <c r="W215" t="s">
        <v>53</v>
      </c>
      <c r="X215">
        <v>248</v>
      </c>
      <c r="Y215">
        <v>0.873</v>
      </c>
      <c r="Z215">
        <v>272</v>
      </c>
      <c r="AA215">
        <v>0.95799999999999996</v>
      </c>
      <c r="AB215">
        <v>193</v>
      </c>
      <c r="AC215">
        <v>0.71</v>
      </c>
      <c r="AD215">
        <v>49</v>
      </c>
      <c r="AE215">
        <v>387</v>
      </c>
      <c r="AF215">
        <v>7.8979999999999997</v>
      </c>
      <c r="AG215">
        <v>322</v>
      </c>
      <c r="AH215">
        <v>0.83199999999999996</v>
      </c>
      <c r="AI215">
        <v>366</v>
      </c>
      <c r="AJ215">
        <v>0.94599999999999995</v>
      </c>
      <c r="AK215">
        <v>240</v>
      </c>
      <c r="AL215">
        <v>0.65600000000000003</v>
      </c>
      <c r="AM215">
        <v>0</v>
      </c>
      <c r="AN215">
        <v>0</v>
      </c>
      <c r="AP215">
        <v>0</v>
      </c>
      <c r="AR215">
        <v>0</v>
      </c>
      <c r="AT215">
        <v>0</v>
      </c>
    </row>
    <row r="216" spans="1:47" x14ac:dyDescent="0.2">
      <c r="A216" t="s">
        <v>4279</v>
      </c>
      <c r="B216" t="s">
        <v>4280</v>
      </c>
      <c r="C216">
        <v>0</v>
      </c>
      <c r="D216" t="s">
        <v>53</v>
      </c>
      <c r="E216" t="s">
        <v>53</v>
      </c>
      <c r="F216" t="s">
        <v>53</v>
      </c>
      <c r="G216" t="s">
        <v>53</v>
      </c>
      <c r="H216" t="s">
        <v>53</v>
      </c>
      <c r="I216" t="s">
        <v>53</v>
      </c>
      <c r="J216" t="s">
        <v>53</v>
      </c>
      <c r="K216" t="s">
        <v>53</v>
      </c>
      <c r="L216">
        <v>0</v>
      </c>
      <c r="M216">
        <v>0</v>
      </c>
      <c r="O216">
        <v>0</v>
      </c>
      <c r="Q216">
        <v>0</v>
      </c>
      <c r="S216">
        <v>0</v>
      </c>
      <c r="U216">
        <v>0</v>
      </c>
      <c r="V216" t="s">
        <v>53</v>
      </c>
      <c r="W216" t="s">
        <v>53</v>
      </c>
      <c r="X216" t="s">
        <v>53</v>
      </c>
      <c r="Y216" t="s">
        <v>53</v>
      </c>
      <c r="Z216" t="s">
        <v>53</v>
      </c>
      <c r="AA216" t="s">
        <v>53</v>
      </c>
      <c r="AB216" t="s">
        <v>53</v>
      </c>
      <c r="AC216" t="s">
        <v>53</v>
      </c>
      <c r="AD216">
        <v>0</v>
      </c>
      <c r="AE216" t="s">
        <v>53</v>
      </c>
      <c r="AF216" t="s">
        <v>53</v>
      </c>
      <c r="AG216">
        <v>0</v>
      </c>
      <c r="AH216" t="s">
        <v>53</v>
      </c>
      <c r="AI216" t="s">
        <v>53</v>
      </c>
      <c r="AJ216" t="s">
        <v>53</v>
      </c>
      <c r="AK216" t="s">
        <v>53</v>
      </c>
      <c r="AL216" t="s">
        <v>53</v>
      </c>
      <c r="AM216">
        <v>0</v>
      </c>
      <c r="AN216">
        <v>0</v>
      </c>
      <c r="AP216">
        <v>0</v>
      </c>
      <c r="AR216">
        <v>0</v>
      </c>
      <c r="AT216">
        <v>0</v>
      </c>
    </row>
    <row r="217" spans="1:47" x14ac:dyDescent="0.2">
      <c r="A217" t="s">
        <v>4285</v>
      </c>
      <c r="B217" t="s">
        <v>4286</v>
      </c>
      <c r="C217">
        <v>767</v>
      </c>
      <c r="D217">
        <v>634</v>
      </c>
      <c r="E217">
        <v>0.82699999999999996</v>
      </c>
      <c r="F217">
        <v>585</v>
      </c>
      <c r="G217">
        <v>0.92300000000000004</v>
      </c>
      <c r="H217">
        <v>613</v>
      </c>
      <c r="I217">
        <v>0.96699999999999997</v>
      </c>
      <c r="J217">
        <v>502</v>
      </c>
      <c r="K217">
        <v>0.81899999999999995</v>
      </c>
      <c r="L217">
        <v>0</v>
      </c>
      <c r="M217">
        <v>0</v>
      </c>
      <c r="O217">
        <v>0</v>
      </c>
      <c r="Q217">
        <v>0</v>
      </c>
      <c r="S217">
        <v>0</v>
      </c>
      <c r="U217">
        <v>382</v>
      </c>
      <c r="V217">
        <v>286</v>
      </c>
      <c r="W217">
        <v>0.749</v>
      </c>
      <c r="X217">
        <v>273</v>
      </c>
      <c r="Y217">
        <v>0.95499999999999996</v>
      </c>
      <c r="Z217">
        <v>281</v>
      </c>
      <c r="AA217">
        <v>0.98299999999999998</v>
      </c>
      <c r="AB217">
        <v>226</v>
      </c>
      <c r="AC217">
        <v>0.80400000000000005</v>
      </c>
      <c r="AD217">
        <v>385</v>
      </c>
      <c r="AE217">
        <v>348</v>
      </c>
      <c r="AF217">
        <v>0.90400000000000003</v>
      </c>
      <c r="AG217">
        <v>312</v>
      </c>
      <c r="AH217">
        <v>0.89700000000000002</v>
      </c>
      <c r="AI217">
        <v>332</v>
      </c>
      <c r="AJ217">
        <v>0.95399999999999996</v>
      </c>
      <c r="AK217">
        <v>276</v>
      </c>
      <c r="AL217">
        <v>0.83099999999999996</v>
      </c>
      <c r="AM217">
        <v>0</v>
      </c>
      <c r="AN217">
        <v>0</v>
      </c>
      <c r="AP217">
        <v>0</v>
      </c>
      <c r="AR217">
        <v>0</v>
      </c>
      <c r="AT217">
        <v>0</v>
      </c>
    </row>
    <row r="218" spans="1:47" x14ac:dyDescent="0.2">
      <c r="A218" t="s">
        <v>3216</v>
      </c>
      <c r="B218" t="s">
        <v>3217</v>
      </c>
      <c r="C218">
        <v>2229</v>
      </c>
      <c r="D218">
        <v>803</v>
      </c>
      <c r="E218">
        <v>0.36</v>
      </c>
      <c r="F218">
        <v>637</v>
      </c>
      <c r="G218">
        <v>0.79300000000000004</v>
      </c>
      <c r="H218">
        <v>772</v>
      </c>
      <c r="I218">
        <v>0.96099999999999997</v>
      </c>
      <c r="J218">
        <v>477</v>
      </c>
      <c r="K218">
        <v>0.61799999999999999</v>
      </c>
      <c r="L218">
        <v>491</v>
      </c>
      <c r="M218">
        <v>183</v>
      </c>
      <c r="N218">
        <v>0.373</v>
      </c>
      <c r="O218">
        <v>100</v>
      </c>
      <c r="P218">
        <v>0.54600000000000004</v>
      </c>
      <c r="Q218">
        <v>178</v>
      </c>
      <c r="R218">
        <v>0.97299999999999998</v>
      </c>
      <c r="S218">
        <v>90</v>
      </c>
      <c r="T218">
        <v>0.50600000000000001</v>
      </c>
      <c r="U218">
        <v>619</v>
      </c>
      <c r="V218">
        <v>266</v>
      </c>
      <c r="W218">
        <v>0.43</v>
      </c>
      <c r="X218">
        <v>237</v>
      </c>
      <c r="Y218">
        <v>0.89100000000000001</v>
      </c>
      <c r="Z218">
        <v>259</v>
      </c>
      <c r="AA218">
        <v>0.97399999999999998</v>
      </c>
      <c r="AB218">
        <v>170</v>
      </c>
      <c r="AC218">
        <v>0.65600000000000003</v>
      </c>
      <c r="AD218">
        <v>763</v>
      </c>
      <c r="AE218">
        <v>329</v>
      </c>
      <c r="AF218">
        <v>0.43099999999999999</v>
      </c>
      <c r="AG218">
        <v>278</v>
      </c>
      <c r="AH218">
        <v>0.84499999999999997</v>
      </c>
      <c r="AI218">
        <v>312</v>
      </c>
      <c r="AJ218">
        <v>0.94799999999999995</v>
      </c>
      <c r="AK218">
        <v>203</v>
      </c>
      <c r="AL218">
        <v>0.65100000000000002</v>
      </c>
      <c r="AM218">
        <v>356</v>
      </c>
      <c r="AN218">
        <v>25</v>
      </c>
      <c r="AO218">
        <v>7.0000000000000007E-2</v>
      </c>
      <c r="AP218">
        <v>22</v>
      </c>
      <c r="AQ218">
        <v>0.88</v>
      </c>
      <c r="AR218">
        <v>23</v>
      </c>
      <c r="AS218">
        <v>0.92</v>
      </c>
      <c r="AT218">
        <v>14</v>
      </c>
      <c r="AU218">
        <v>0.60899999999999999</v>
      </c>
    </row>
    <row r="219" spans="1:47" x14ac:dyDescent="0.2">
      <c r="A219" t="s">
        <v>3219</v>
      </c>
      <c r="B219" t="s">
        <v>3220</v>
      </c>
      <c r="C219">
        <v>1396</v>
      </c>
      <c r="D219">
        <v>699</v>
      </c>
      <c r="E219">
        <v>0.501</v>
      </c>
      <c r="F219">
        <v>623</v>
      </c>
      <c r="G219">
        <v>0.89100000000000001</v>
      </c>
      <c r="H219">
        <v>677</v>
      </c>
      <c r="I219">
        <v>0.96899999999999997</v>
      </c>
      <c r="J219">
        <v>485</v>
      </c>
      <c r="K219">
        <v>0.71599999999999997</v>
      </c>
      <c r="L219">
        <v>480</v>
      </c>
      <c r="M219">
        <v>220</v>
      </c>
      <c r="N219">
        <v>0.45800000000000002</v>
      </c>
      <c r="O219">
        <v>208</v>
      </c>
      <c r="P219">
        <v>0.94499999999999995</v>
      </c>
      <c r="Q219">
        <v>220</v>
      </c>
      <c r="R219">
        <v>1</v>
      </c>
      <c r="S219">
        <v>157</v>
      </c>
      <c r="T219">
        <v>0.71399999999999997</v>
      </c>
      <c r="U219">
        <v>400</v>
      </c>
      <c r="V219">
        <v>219</v>
      </c>
      <c r="W219">
        <v>0.54800000000000004</v>
      </c>
      <c r="X219">
        <v>193</v>
      </c>
      <c r="Y219">
        <v>0.88100000000000001</v>
      </c>
      <c r="Z219">
        <v>208</v>
      </c>
      <c r="AA219">
        <v>0.95</v>
      </c>
      <c r="AB219">
        <v>145</v>
      </c>
      <c r="AC219">
        <v>0.69699999999999995</v>
      </c>
      <c r="AD219">
        <v>447</v>
      </c>
      <c r="AE219">
        <v>240</v>
      </c>
      <c r="AF219">
        <v>0.53700000000000003</v>
      </c>
      <c r="AG219">
        <v>205</v>
      </c>
      <c r="AH219">
        <v>0.85399999999999998</v>
      </c>
      <c r="AI219">
        <v>229</v>
      </c>
      <c r="AJ219">
        <v>0.95399999999999996</v>
      </c>
      <c r="AK219">
        <v>165</v>
      </c>
      <c r="AL219">
        <v>0.72099999999999997</v>
      </c>
      <c r="AM219">
        <v>69</v>
      </c>
      <c r="AN219">
        <v>20</v>
      </c>
      <c r="AO219">
        <v>0.28999999999999998</v>
      </c>
      <c r="AP219">
        <v>17</v>
      </c>
      <c r="AQ219">
        <v>0.85</v>
      </c>
      <c r="AR219">
        <v>20</v>
      </c>
      <c r="AS219">
        <v>1</v>
      </c>
      <c r="AT219">
        <v>18</v>
      </c>
      <c r="AU219">
        <v>0.9</v>
      </c>
    </row>
    <row r="220" spans="1:47" x14ac:dyDescent="0.2">
      <c r="A220" t="s">
        <v>6493</v>
      </c>
      <c r="B220" t="s">
        <v>6494</v>
      </c>
      <c r="C220">
        <v>24</v>
      </c>
      <c r="D220">
        <v>0</v>
      </c>
      <c r="E220">
        <v>0</v>
      </c>
      <c r="F220">
        <v>0</v>
      </c>
      <c r="H220">
        <v>0</v>
      </c>
      <c r="J220">
        <v>0</v>
      </c>
      <c r="L220">
        <v>9</v>
      </c>
      <c r="M220">
        <v>0</v>
      </c>
      <c r="N220">
        <v>0</v>
      </c>
      <c r="O220">
        <v>0</v>
      </c>
      <c r="Q220">
        <v>0</v>
      </c>
      <c r="S220">
        <v>0</v>
      </c>
      <c r="U220">
        <v>0</v>
      </c>
      <c r="V220">
        <v>0</v>
      </c>
      <c r="X220">
        <v>0</v>
      </c>
      <c r="Z220">
        <v>0</v>
      </c>
      <c r="AB220">
        <v>0</v>
      </c>
      <c r="AD220">
        <v>0</v>
      </c>
      <c r="AE220">
        <v>0</v>
      </c>
      <c r="AG220">
        <v>0</v>
      </c>
      <c r="AI220">
        <v>0</v>
      </c>
      <c r="AK220">
        <v>0</v>
      </c>
      <c r="AM220">
        <v>15</v>
      </c>
      <c r="AN220">
        <v>0</v>
      </c>
      <c r="AO220">
        <v>0</v>
      </c>
      <c r="AP220">
        <v>0</v>
      </c>
      <c r="AR220">
        <v>0</v>
      </c>
      <c r="AT220">
        <v>0</v>
      </c>
    </row>
    <row r="221" spans="1:47" x14ac:dyDescent="0.2">
      <c r="A221" t="s">
        <v>3222</v>
      </c>
      <c r="B221" t="s">
        <v>3223</v>
      </c>
      <c r="C221">
        <v>384</v>
      </c>
      <c r="D221">
        <v>287</v>
      </c>
      <c r="E221">
        <v>0.747</v>
      </c>
      <c r="F221">
        <v>216</v>
      </c>
      <c r="G221">
        <v>0.753</v>
      </c>
      <c r="H221">
        <v>258</v>
      </c>
      <c r="I221">
        <v>0.89900000000000002</v>
      </c>
      <c r="J221">
        <v>185</v>
      </c>
      <c r="K221">
        <v>0.71699999999999997</v>
      </c>
      <c r="L221">
        <v>138</v>
      </c>
      <c r="M221">
        <v>56</v>
      </c>
      <c r="N221">
        <v>0.40600000000000003</v>
      </c>
      <c r="O221">
        <v>54</v>
      </c>
      <c r="P221">
        <v>0.96399999999999997</v>
      </c>
      <c r="Q221">
        <v>56</v>
      </c>
      <c r="R221">
        <v>1</v>
      </c>
      <c r="S221" t="s">
        <v>53</v>
      </c>
      <c r="T221" t="s">
        <v>53</v>
      </c>
      <c r="U221">
        <v>146</v>
      </c>
      <c r="V221">
        <v>113</v>
      </c>
      <c r="W221">
        <v>0.77400000000000002</v>
      </c>
      <c r="X221">
        <v>110</v>
      </c>
      <c r="Y221">
        <v>0.97299999999999998</v>
      </c>
      <c r="Z221">
        <v>111</v>
      </c>
      <c r="AA221">
        <v>0.98199999999999998</v>
      </c>
      <c r="AB221">
        <v>86</v>
      </c>
      <c r="AC221">
        <v>0.77500000000000002</v>
      </c>
      <c r="AD221">
        <v>70</v>
      </c>
      <c r="AE221">
        <v>111</v>
      </c>
      <c r="AF221">
        <v>1.5860000000000001</v>
      </c>
      <c r="AG221">
        <v>45</v>
      </c>
      <c r="AH221">
        <v>0.40500000000000003</v>
      </c>
      <c r="AI221">
        <v>84</v>
      </c>
      <c r="AJ221">
        <v>0.75700000000000001</v>
      </c>
      <c r="AK221">
        <v>62</v>
      </c>
      <c r="AL221">
        <v>0.73799999999999999</v>
      </c>
      <c r="AM221">
        <v>30</v>
      </c>
      <c r="AN221">
        <v>7</v>
      </c>
      <c r="AO221">
        <v>0.23300000000000001</v>
      </c>
      <c r="AP221">
        <v>7</v>
      </c>
      <c r="AQ221">
        <v>1</v>
      </c>
      <c r="AR221">
        <v>7</v>
      </c>
      <c r="AS221">
        <v>1</v>
      </c>
      <c r="AT221" t="s">
        <v>53</v>
      </c>
      <c r="AU221" t="s">
        <v>53</v>
      </c>
    </row>
    <row r="222" spans="1:47" x14ac:dyDescent="0.2">
      <c r="A222" t="s">
        <v>3225</v>
      </c>
      <c r="B222" t="s">
        <v>3226</v>
      </c>
      <c r="C222">
        <v>1496</v>
      </c>
      <c r="D222">
        <v>960</v>
      </c>
      <c r="E222">
        <v>0.64200000000000002</v>
      </c>
      <c r="F222">
        <v>740</v>
      </c>
      <c r="G222">
        <v>0.77100000000000002</v>
      </c>
      <c r="H222">
        <v>877</v>
      </c>
      <c r="I222">
        <v>0.91400000000000003</v>
      </c>
      <c r="J222">
        <v>626</v>
      </c>
      <c r="K222">
        <v>0.71399999999999997</v>
      </c>
      <c r="L222">
        <v>494</v>
      </c>
      <c r="M222">
        <v>141</v>
      </c>
      <c r="N222">
        <v>0.28499999999999998</v>
      </c>
      <c r="O222">
        <v>72</v>
      </c>
      <c r="P222">
        <v>0.51100000000000001</v>
      </c>
      <c r="Q222">
        <v>140</v>
      </c>
      <c r="R222">
        <v>0.99299999999999999</v>
      </c>
      <c r="S222">
        <v>87</v>
      </c>
      <c r="T222">
        <v>0.621</v>
      </c>
      <c r="U222">
        <v>353</v>
      </c>
      <c r="V222">
        <v>362</v>
      </c>
      <c r="W222">
        <v>1.0249999999999999</v>
      </c>
      <c r="X222">
        <v>300</v>
      </c>
      <c r="Y222">
        <v>0.82899999999999996</v>
      </c>
      <c r="Z222">
        <v>322</v>
      </c>
      <c r="AA222">
        <v>0.89</v>
      </c>
      <c r="AB222">
        <v>242</v>
      </c>
      <c r="AC222">
        <v>0.752</v>
      </c>
      <c r="AD222">
        <v>339</v>
      </c>
      <c r="AE222">
        <v>354</v>
      </c>
      <c r="AF222">
        <v>1.044</v>
      </c>
      <c r="AG222">
        <v>285</v>
      </c>
      <c r="AH222">
        <v>0.80500000000000005</v>
      </c>
      <c r="AI222">
        <v>312</v>
      </c>
      <c r="AJ222">
        <v>0.88100000000000001</v>
      </c>
      <c r="AK222">
        <v>223</v>
      </c>
      <c r="AL222">
        <v>0.71499999999999997</v>
      </c>
      <c r="AM222">
        <v>310</v>
      </c>
      <c r="AN222">
        <v>103</v>
      </c>
      <c r="AO222">
        <v>0.33200000000000002</v>
      </c>
      <c r="AP222">
        <v>83</v>
      </c>
      <c r="AQ222">
        <v>0.80600000000000005</v>
      </c>
      <c r="AR222">
        <v>103</v>
      </c>
      <c r="AS222">
        <v>1</v>
      </c>
      <c r="AT222">
        <v>74</v>
      </c>
      <c r="AU222">
        <v>0.71799999999999997</v>
      </c>
    </row>
    <row r="223" spans="1:47" x14ac:dyDescent="0.2">
      <c r="A223" t="s">
        <v>3231</v>
      </c>
      <c r="B223" t="s">
        <v>3232</v>
      </c>
      <c r="C223">
        <v>193</v>
      </c>
      <c r="D223">
        <v>100</v>
      </c>
      <c r="E223">
        <v>0.51800000000000002</v>
      </c>
      <c r="F223">
        <v>70</v>
      </c>
      <c r="G223">
        <v>0.7</v>
      </c>
      <c r="H223">
        <v>98</v>
      </c>
      <c r="I223">
        <v>0.98</v>
      </c>
      <c r="J223">
        <v>54</v>
      </c>
      <c r="K223">
        <v>0.55100000000000005</v>
      </c>
      <c r="L223" t="s">
        <v>53</v>
      </c>
      <c r="M223">
        <v>100</v>
      </c>
      <c r="N223" t="s">
        <v>53</v>
      </c>
      <c r="O223">
        <v>70</v>
      </c>
      <c r="P223">
        <v>0.7</v>
      </c>
      <c r="Q223">
        <v>98</v>
      </c>
      <c r="R223">
        <v>0.98</v>
      </c>
      <c r="S223">
        <v>54</v>
      </c>
      <c r="T223">
        <v>0.55100000000000005</v>
      </c>
      <c r="U223" t="s">
        <v>53</v>
      </c>
      <c r="V223">
        <v>0</v>
      </c>
      <c r="W223" t="s">
        <v>53</v>
      </c>
      <c r="X223">
        <v>0</v>
      </c>
      <c r="Z223">
        <v>0</v>
      </c>
      <c r="AB223">
        <v>0</v>
      </c>
      <c r="AD223">
        <v>0</v>
      </c>
      <c r="AE223">
        <v>0</v>
      </c>
      <c r="AG223">
        <v>0</v>
      </c>
      <c r="AI223">
        <v>0</v>
      </c>
      <c r="AK223">
        <v>0</v>
      </c>
      <c r="AM223">
        <v>0</v>
      </c>
      <c r="AN223">
        <v>0</v>
      </c>
      <c r="AP223">
        <v>0</v>
      </c>
      <c r="AR223">
        <v>0</v>
      </c>
      <c r="AT223">
        <v>0</v>
      </c>
    </row>
    <row r="224" spans="1:47" x14ac:dyDescent="0.2">
      <c r="A224" t="s">
        <v>3234</v>
      </c>
      <c r="B224" t="s">
        <v>3235</v>
      </c>
      <c r="C224">
        <v>2041</v>
      </c>
      <c r="D224">
        <v>640</v>
      </c>
      <c r="E224">
        <v>0.314</v>
      </c>
      <c r="F224">
        <v>529</v>
      </c>
      <c r="G224">
        <v>0.82699999999999996</v>
      </c>
      <c r="H224">
        <v>620</v>
      </c>
      <c r="I224">
        <v>0.96899999999999997</v>
      </c>
      <c r="J224">
        <v>461</v>
      </c>
      <c r="K224">
        <v>0.74399999999999999</v>
      </c>
      <c r="L224">
        <v>623</v>
      </c>
      <c r="M224">
        <v>132</v>
      </c>
      <c r="N224">
        <v>0.21199999999999999</v>
      </c>
      <c r="O224">
        <v>103</v>
      </c>
      <c r="P224">
        <v>0.78</v>
      </c>
      <c r="Q224">
        <v>131</v>
      </c>
      <c r="R224">
        <v>0.99199999999999999</v>
      </c>
      <c r="S224" t="s">
        <v>53</v>
      </c>
      <c r="T224" t="s">
        <v>53</v>
      </c>
      <c r="U224">
        <v>708</v>
      </c>
      <c r="V224">
        <v>247</v>
      </c>
      <c r="W224">
        <v>0.34899999999999998</v>
      </c>
      <c r="X224">
        <v>228</v>
      </c>
      <c r="Y224">
        <v>0.92300000000000004</v>
      </c>
      <c r="Z224">
        <v>244</v>
      </c>
      <c r="AA224">
        <v>0.98799999999999999</v>
      </c>
      <c r="AB224">
        <v>194</v>
      </c>
      <c r="AC224">
        <v>0.79500000000000004</v>
      </c>
      <c r="AD224">
        <v>662</v>
      </c>
      <c r="AE224">
        <v>254</v>
      </c>
      <c r="AF224">
        <v>0.38400000000000001</v>
      </c>
      <c r="AG224">
        <v>191</v>
      </c>
      <c r="AH224">
        <v>0.752</v>
      </c>
      <c r="AI224">
        <v>238</v>
      </c>
      <c r="AJ224">
        <v>0.93700000000000006</v>
      </c>
      <c r="AK224">
        <v>172</v>
      </c>
      <c r="AL224">
        <v>0.72299999999999998</v>
      </c>
      <c r="AM224">
        <v>48</v>
      </c>
      <c r="AN224">
        <v>7</v>
      </c>
      <c r="AO224">
        <v>0.14599999999999999</v>
      </c>
      <c r="AP224">
        <v>7</v>
      </c>
      <c r="AQ224">
        <v>1</v>
      </c>
      <c r="AR224">
        <v>7</v>
      </c>
      <c r="AS224">
        <v>1</v>
      </c>
      <c r="AT224" t="s">
        <v>53</v>
      </c>
      <c r="AU224" t="s">
        <v>53</v>
      </c>
    </row>
    <row r="225" spans="1:47" x14ac:dyDescent="0.2">
      <c r="A225" t="s">
        <v>3136</v>
      </c>
      <c r="B225" t="s">
        <v>3137</v>
      </c>
      <c r="C225">
        <v>0</v>
      </c>
      <c r="D225">
        <v>39</v>
      </c>
      <c r="F225">
        <v>0</v>
      </c>
      <c r="G225">
        <v>0</v>
      </c>
      <c r="H225">
        <v>38</v>
      </c>
      <c r="I225">
        <v>0.97399999999999998</v>
      </c>
      <c r="J225">
        <v>28</v>
      </c>
      <c r="K225">
        <v>0.73699999999999999</v>
      </c>
      <c r="L225">
        <v>0</v>
      </c>
      <c r="M225">
        <v>39</v>
      </c>
      <c r="O225">
        <v>0</v>
      </c>
      <c r="P225">
        <v>0</v>
      </c>
      <c r="Q225">
        <v>38</v>
      </c>
      <c r="R225">
        <v>0.97399999999999998</v>
      </c>
      <c r="S225">
        <v>28</v>
      </c>
      <c r="T225">
        <v>0.73699999999999999</v>
      </c>
      <c r="U225">
        <v>0</v>
      </c>
      <c r="V225">
        <v>0</v>
      </c>
      <c r="X225">
        <v>0</v>
      </c>
      <c r="Z225">
        <v>0</v>
      </c>
      <c r="AB225">
        <v>0</v>
      </c>
      <c r="AD225">
        <v>0</v>
      </c>
      <c r="AE225">
        <v>0</v>
      </c>
      <c r="AG225">
        <v>0</v>
      </c>
      <c r="AI225">
        <v>0</v>
      </c>
      <c r="AK225">
        <v>0</v>
      </c>
      <c r="AM225">
        <v>0</v>
      </c>
      <c r="AN225">
        <v>0</v>
      </c>
      <c r="AP225">
        <v>0</v>
      </c>
      <c r="AR225">
        <v>0</v>
      </c>
      <c r="AT225">
        <v>0</v>
      </c>
    </row>
    <row r="226" spans="1:47" x14ac:dyDescent="0.2">
      <c r="A226" t="s">
        <v>6533</v>
      </c>
      <c r="B226" t="s">
        <v>6534</v>
      </c>
      <c r="C226" t="s">
        <v>53</v>
      </c>
      <c r="D226">
        <v>0</v>
      </c>
      <c r="E226" t="s">
        <v>53</v>
      </c>
      <c r="F226">
        <v>0</v>
      </c>
      <c r="H226">
        <v>0</v>
      </c>
      <c r="J226">
        <v>0</v>
      </c>
      <c r="L226" t="s">
        <v>53</v>
      </c>
      <c r="M226">
        <v>0</v>
      </c>
      <c r="N226" t="s">
        <v>53</v>
      </c>
      <c r="O226">
        <v>0</v>
      </c>
      <c r="Q226">
        <v>0</v>
      </c>
      <c r="S226">
        <v>0</v>
      </c>
      <c r="U226">
        <v>0</v>
      </c>
      <c r="V226">
        <v>0</v>
      </c>
      <c r="X226">
        <v>0</v>
      </c>
      <c r="Z226">
        <v>0</v>
      </c>
      <c r="AB226">
        <v>0</v>
      </c>
      <c r="AD226">
        <v>0</v>
      </c>
      <c r="AE226">
        <v>0</v>
      </c>
      <c r="AG226">
        <v>0</v>
      </c>
      <c r="AI226">
        <v>0</v>
      </c>
      <c r="AK226">
        <v>0</v>
      </c>
      <c r="AM226" t="s">
        <v>53</v>
      </c>
      <c r="AN226">
        <v>0</v>
      </c>
      <c r="AO226" t="s">
        <v>53</v>
      </c>
      <c r="AP226">
        <v>0</v>
      </c>
      <c r="AR226">
        <v>0</v>
      </c>
      <c r="AT226">
        <v>0</v>
      </c>
    </row>
    <row r="227" spans="1:47" x14ac:dyDescent="0.2">
      <c r="A227" t="s">
        <v>3237</v>
      </c>
      <c r="B227" t="s">
        <v>3238</v>
      </c>
      <c r="C227">
        <v>337</v>
      </c>
      <c r="D227">
        <v>345</v>
      </c>
      <c r="E227">
        <v>1.024</v>
      </c>
      <c r="F227">
        <v>273</v>
      </c>
      <c r="G227">
        <v>0.79100000000000004</v>
      </c>
      <c r="H227">
        <v>335</v>
      </c>
      <c r="I227">
        <v>0.97099999999999997</v>
      </c>
      <c r="J227">
        <v>225</v>
      </c>
      <c r="K227">
        <v>0.67200000000000004</v>
      </c>
      <c r="L227">
        <v>157</v>
      </c>
      <c r="M227">
        <v>159</v>
      </c>
      <c r="N227">
        <v>1.0129999999999999</v>
      </c>
      <c r="O227">
        <v>112</v>
      </c>
      <c r="P227">
        <v>0.70399999999999996</v>
      </c>
      <c r="Q227">
        <v>159</v>
      </c>
      <c r="R227">
        <v>1</v>
      </c>
      <c r="S227">
        <v>108</v>
      </c>
      <c r="T227">
        <v>0.67900000000000005</v>
      </c>
      <c r="U227">
        <v>79</v>
      </c>
      <c r="V227">
        <v>83</v>
      </c>
      <c r="W227">
        <v>1.0509999999999999</v>
      </c>
      <c r="X227">
        <v>73</v>
      </c>
      <c r="Y227">
        <v>0.88</v>
      </c>
      <c r="Z227">
        <v>79</v>
      </c>
      <c r="AA227">
        <v>0.95199999999999996</v>
      </c>
      <c r="AB227">
        <v>53</v>
      </c>
      <c r="AC227">
        <v>0.67100000000000004</v>
      </c>
      <c r="AD227">
        <v>101</v>
      </c>
      <c r="AE227">
        <v>103</v>
      </c>
      <c r="AF227">
        <v>1.02</v>
      </c>
      <c r="AG227">
        <v>88</v>
      </c>
      <c r="AH227">
        <v>0.85399999999999998</v>
      </c>
      <c r="AI227">
        <v>97</v>
      </c>
      <c r="AJ227">
        <v>0.94199999999999995</v>
      </c>
      <c r="AK227">
        <v>64</v>
      </c>
      <c r="AL227">
        <v>0.66</v>
      </c>
      <c r="AM227">
        <v>0</v>
      </c>
      <c r="AN227">
        <v>0</v>
      </c>
      <c r="AP227">
        <v>0</v>
      </c>
      <c r="AR227">
        <v>0</v>
      </c>
      <c r="AT227">
        <v>0</v>
      </c>
    </row>
    <row r="228" spans="1:47" x14ac:dyDescent="0.2">
      <c r="A228" t="s">
        <v>3204</v>
      </c>
      <c r="B228" t="s">
        <v>3205</v>
      </c>
      <c r="C228">
        <v>616</v>
      </c>
      <c r="D228">
        <v>401</v>
      </c>
      <c r="E228">
        <v>0.65100000000000002</v>
      </c>
      <c r="F228">
        <v>375</v>
      </c>
      <c r="G228">
        <v>0.93500000000000005</v>
      </c>
      <c r="H228">
        <v>396</v>
      </c>
      <c r="I228">
        <v>0.98799999999999999</v>
      </c>
      <c r="J228">
        <v>304</v>
      </c>
      <c r="K228">
        <v>0.76800000000000002</v>
      </c>
      <c r="L228">
        <v>274</v>
      </c>
      <c r="M228">
        <v>164</v>
      </c>
      <c r="N228">
        <v>0.59899999999999998</v>
      </c>
      <c r="O228">
        <v>151</v>
      </c>
      <c r="P228">
        <v>0.92100000000000004</v>
      </c>
      <c r="Q228">
        <v>164</v>
      </c>
      <c r="R228">
        <v>1</v>
      </c>
      <c r="S228">
        <v>123</v>
      </c>
      <c r="T228">
        <v>0.75</v>
      </c>
      <c r="U228">
        <v>165</v>
      </c>
      <c r="V228">
        <v>110</v>
      </c>
      <c r="W228">
        <v>0.66700000000000004</v>
      </c>
      <c r="X228">
        <v>108</v>
      </c>
      <c r="Y228">
        <v>0.98199999999999998</v>
      </c>
      <c r="Z228">
        <v>109</v>
      </c>
      <c r="AA228">
        <v>0.99099999999999999</v>
      </c>
      <c r="AB228">
        <v>85</v>
      </c>
      <c r="AC228">
        <v>0.78</v>
      </c>
      <c r="AD228">
        <v>177</v>
      </c>
      <c r="AE228">
        <v>127</v>
      </c>
      <c r="AF228">
        <v>0.71799999999999997</v>
      </c>
      <c r="AG228">
        <v>116</v>
      </c>
      <c r="AH228">
        <v>0.91300000000000003</v>
      </c>
      <c r="AI228">
        <v>123</v>
      </c>
      <c r="AJ228">
        <v>0.96899999999999997</v>
      </c>
      <c r="AK228">
        <v>96</v>
      </c>
      <c r="AL228">
        <v>0.78</v>
      </c>
      <c r="AM228">
        <v>0</v>
      </c>
      <c r="AN228">
        <v>0</v>
      </c>
      <c r="AP228">
        <v>0</v>
      </c>
      <c r="AR228">
        <v>0</v>
      </c>
      <c r="AT228">
        <v>0</v>
      </c>
    </row>
    <row r="229" spans="1:47" x14ac:dyDescent="0.2">
      <c r="A229" t="s">
        <v>3207</v>
      </c>
      <c r="B229" t="s">
        <v>3208</v>
      </c>
      <c r="C229">
        <v>322</v>
      </c>
      <c r="D229">
        <v>304</v>
      </c>
      <c r="E229">
        <v>0.94399999999999995</v>
      </c>
      <c r="F229">
        <v>235</v>
      </c>
      <c r="G229">
        <v>0.77300000000000002</v>
      </c>
      <c r="H229">
        <v>258</v>
      </c>
      <c r="I229">
        <v>0.84899999999999998</v>
      </c>
      <c r="J229">
        <v>193</v>
      </c>
      <c r="K229">
        <v>0.748</v>
      </c>
      <c r="L229">
        <v>88</v>
      </c>
      <c r="M229">
        <v>56</v>
      </c>
      <c r="N229">
        <v>0.63600000000000001</v>
      </c>
      <c r="O229">
        <v>34</v>
      </c>
      <c r="P229">
        <v>0.60699999999999998</v>
      </c>
      <c r="Q229">
        <v>56</v>
      </c>
      <c r="R229">
        <v>1</v>
      </c>
      <c r="S229">
        <v>39</v>
      </c>
      <c r="T229">
        <v>0.69599999999999995</v>
      </c>
      <c r="U229">
        <v>152</v>
      </c>
      <c r="V229">
        <v>147</v>
      </c>
      <c r="W229">
        <v>0.96699999999999997</v>
      </c>
      <c r="X229">
        <v>132</v>
      </c>
      <c r="Y229">
        <v>0.89800000000000002</v>
      </c>
      <c r="Z229">
        <v>125</v>
      </c>
      <c r="AA229">
        <v>0.85</v>
      </c>
      <c r="AB229">
        <v>98</v>
      </c>
      <c r="AC229">
        <v>0.78400000000000003</v>
      </c>
      <c r="AD229">
        <v>82</v>
      </c>
      <c r="AE229">
        <v>101</v>
      </c>
      <c r="AF229">
        <v>1.232</v>
      </c>
      <c r="AG229">
        <v>69</v>
      </c>
      <c r="AH229">
        <v>0.68300000000000005</v>
      </c>
      <c r="AI229">
        <v>77</v>
      </c>
      <c r="AJ229">
        <v>0.76200000000000001</v>
      </c>
      <c r="AK229">
        <v>56</v>
      </c>
      <c r="AL229">
        <v>0.72699999999999998</v>
      </c>
      <c r="AM229">
        <v>0</v>
      </c>
      <c r="AN229">
        <v>0</v>
      </c>
      <c r="AP229">
        <v>0</v>
      </c>
      <c r="AR229">
        <v>0</v>
      </c>
      <c r="AT229">
        <v>0</v>
      </c>
    </row>
    <row r="230" spans="1:47" x14ac:dyDescent="0.2">
      <c r="A230" t="s">
        <v>3832</v>
      </c>
      <c r="B230" t="s">
        <v>3833</v>
      </c>
      <c r="C230">
        <v>1343</v>
      </c>
      <c r="D230">
        <v>685</v>
      </c>
      <c r="E230">
        <v>0.51</v>
      </c>
      <c r="F230">
        <v>533</v>
      </c>
      <c r="G230">
        <v>0.77800000000000002</v>
      </c>
      <c r="H230">
        <v>655</v>
      </c>
      <c r="I230">
        <v>0.95599999999999996</v>
      </c>
      <c r="J230">
        <v>438</v>
      </c>
      <c r="K230">
        <v>0.66900000000000004</v>
      </c>
      <c r="L230">
        <v>446</v>
      </c>
      <c r="M230">
        <v>173</v>
      </c>
      <c r="N230">
        <v>0.38800000000000001</v>
      </c>
      <c r="O230">
        <v>102</v>
      </c>
      <c r="P230">
        <v>0.59</v>
      </c>
      <c r="Q230">
        <v>172</v>
      </c>
      <c r="R230">
        <v>0.99399999999999999</v>
      </c>
      <c r="S230">
        <v>104</v>
      </c>
      <c r="T230">
        <v>0.60499999999999998</v>
      </c>
      <c r="U230">
        <v>473</v>
      </c>
      <c r="V230">
        <v>247</v>
      </c>
      <c r="W230">
        <v>0.52200000000000002</v>
      </c>
      <c r="X230">
        <v>225</v>
      </c>
      <c r="Y230">
        <v>0.91100000000000003</v>
      </c>
      <c r="Z230">
        <v>235</v>
      </c>
      <c r="AA230">
        <v>0.95099999999999996</v>
      </c>
      <c r="AB230">
        <v>163</v>
      </c>
      <c r="AC230">
        <v>0.69399999999999995</v>
      </c>
      <c r="AD230">
        <v>397</v>
      </c>
      <c r="AE230">
        <v>252</v>
      </c>
      <c r="AF230">
        <v>0.63500000000000001</v>
      </c>
      <c r="AG230">
        <v>195</v>
      </c>
      <c r="AH230">
        <v>0.77400000000000002</v>
      </c>
      <c r="AI230">
        <v>235</v>
      </c>
      <c r="AJ230">
        <v>0.93300000000000005</v>
      </c>
      <c r="AK230">
        <v>165</v>
      </c>
      <c r="AL230">
        <v>0.70199999999999996</v>
      </c>
      <c r="AM230">
        <v>27</v>
      </c>
      <c r="AN230">
        <v>13</v>
      </c>
      <c r="AO230">
        <v>0.48099999999999998</v>
      </c>
      <c r="AP230">
        <v>11</v>
      </c>
      <c r="AQ230">
        <v>0.84599999999999997</v>
      </c>
      <c r="AR230">
        <v>13</v>
      </c>
      <c r="AS230">
        <v>1</v>
      </c>
      <c r="AT230">
        <v>6</v>
      </c>
      <c r="AU230">
        <v>0.46200000000000002</v>
      </c>
    </row>
    <row r="231" spans="1:47" x14ac:dyDescent="0.2">
      <c r="A231" t="s">
        <v>3745</v>
      </c>
      <c r="B231" t="s">
        <v>3746</v>
      </c>
      <c r="C231">
        <v>1931</v>
      </c>
      <c r="D231">
        <v>1465</v>
      </c>
      <c r="E231">
        <v>0.75900000000000001</v>
      </c>
      <c r="F231">
        <v>1086</v>
      </c>
      <c r="G231">
        <v>0.74099999999999999</v>
      </c>
      <c r="H231">
        <v>1281</v>
      </c>
      <c r="I231">
        <v>0.874</v>
      </c>
      <c r="J231">
        <v>840</v>
      </c>
      <c r="K231">
        <v>0.65600000000000003</v>
      </c>
      <c r="L231">
        <v>515</v>
      </c>
      <c r="M231">
        <v>205</v>
      </c>
      <c r="N231">
        <v>0.39800000000000002</v>
      </c>
      <c r="O231">
        <v>163</v>
      </c>
      <c r="P231">
        <v>0.79500000000000004</v>
      </c>
      <c r="Q231">
        <v>203</v>
      </c>
      <c r="R231">
        <v>0.99</v>
      </c>
      <c r="S231">
        <v>137</v>
      </c>
      <c r="T231">
        <v>0.67500000000000004</v>
      </c>
      <c r="U231">
        <v>587</v>
      </c>
      <c r="V231">
        <v>582</v>
      </c>
      <c r="W231">
        <v>0.99099999999999999</v>
      </c>
      <c r="X231">
        <v>443</v>
      </c>
      <c r="Y231">
        <v>0.76100000000000001</v>
      </c>
      <c r="Z231">
        <v>491</v>
      </c>
      <c r="AA231">
        <v>0.84399999999999997</v>
      </c>
      <c r="AB231">
        <v>323</v>
      </c>
      <c r="AC231">
        <v>0.65800000000000003</v>
      </c>
      <c r="AD231">
        <v>448</v>
      </c>
      <c r="AE231">
        <v>540</v>
      </c>
      <c r="AF231">
        <v>1.2050000000000001</v>
      </c>
      <c r="AG231">
        <v>353</v>
      </c>
      <c r="AH231">
        <v>0.65400000000000003</v>
      </c>
      <c r="AI231">
        <v>449</v>
      </c>
      <c r="AJ231">
        <v>0.83099999999999996</v>
      </c>
      <c r="AK231">
        <v>283</v>
      </c>
      <c r="AL231">
        <v>0.63</v>
      </c>
      <c r="AM231">
        <v>381</v>
      </c>
      <c r="AN231">
        <v>138</v>
      </c>
      <c r="AO231">
        <v>0.36199999999999999</v>
      </c>
      <c r="AP231">
        <v>127</v>
      </c>
      <c r="AQ231">
        <v>0.92</v>
      </c>
      <c r="AR231">
        <v>138</v>
      </c>
      <c r="AS231">
        <v>1</v>
      </c>
      <c r="AT231">
        <v>97</v>
      </c>
      <c r="AU231">
        <v>0.70299999999999996</v>
      </c>
    </row>
    <row r="232" spans="1:47" x14ac:dyDescent="0.2">
      <c r="A232" t="s">
        <v>3442</v>
      </c>
      <c r="B232" t="s">
        <v>3443</v>
      </c>
      <c r="C232">
        <v>2374</v>
      </c>
      <c r="D232">
        <v>1981</v>
      </c>
      <c r="E232">
        <v>0.83399999999999996</v>
      </c>
      <c r="F232">
        <v>1631</v>
      </c>
      <c r="G232">
        <v>0.82299999999999995</v>
      </c>
      <c r="H232">
        <v>1857</v>
      </c>
      <c r="I232">
        <v>0.93700000000000006</v>
      </c>
      <c r="J232">
        <v>1408</v>
      </c>
      <c r="K232">
        <v>0.75800000000000001</v>
      </c>
      <c r="L232">
        <v>741</v>
      </c>
      <c r="M232">
        <v>386</v>
      </c>
      <c r="N232">
        <v>0.52100000000000002</v>
      </c>
      <c r="O232">
        <v>275</v>
      </c>
      <c r="P232">
        <v>0.71199999999999997</v>
      </c>
      <c r="Q232">
        <v>383</v>
      </c>
      <c r="R232">
        <v>0.99199999999999999</v>
      </c>
      <c r="S232">
        <v>264</v>
      </c>
      <c r="T232">
        <v>0.68899999999999995</v>
      </c>
      <c r="U232">
        <v>747</v>
      </c>
      <c r="V232">
        <v>800</v>
      </c>
      <c r="W232">
        <v>1.071</v>
      </c>
      <c r="X232">
        <v>704</v>
      </c>
      <c r="Y232">
        <v>0.88</v>
      </c>
      <c r="Z232">
        <v>755</v>
      </c>
      <c r="AA232">
        <v>0.94399999999999995</v>
      </c>
      <c r="AB232">
        <v>589</v>
      </c>
      <c r="AC232">
        <v>0.78</v>
      </c>
      <c r="AD232">
        <v>607</v>
      </c>
      <c r="AE232">
        <v>701</v>
      </c>
      <c r="AF232">
        <v>1.155</v>
      </c>
      <c r="AG232">
        <v>577</v>
      </c>
      <c r="AH232">
        <v>0.82299999999999995</v>
      </c>
      <c r="AI232">
        <v>625</v>
      </c>
      <c r="AJ232">
        <v>0.89200000000000002</v>
      </c>
      <c r="AK232">
        <v>492</v>
      </c>
      <c r="AL232">
        <v>0.78700000000000003</v>
      </c>
      <c r="AM232">
        <v>279</v>
      </c>
      <c r="AN232">
        <v>94</v>
      </c>
      <c r="AO232">
        <v>0.33700000000000002</v>
      </c>
      <c r="AP232">
        <v>75</v>
      </c>
      <c r="AQ232">
        <v>0.79800000000000004</v>
      </c>
      <c r="AR232">
        <v>94</v>
      </c>
      <c r="AS232">
        <v>1</v>
      </c>
      <c r="AT232">
        <v>63</v>
      </c>
      <c r="AU232">
        <v>0.67</v>
      </c>
    </row>
    <row r="233" spans="1:47" x14ac:dyDescent="0.2">
      <c r="A233" t="s">
        <v>3445</v>
      </c>
      <c r="B233" t="s">
        <v>3446</v>
      </c>
      <c r="C233">
        <v>2494</v>
      </c>
      <c r="D233">
        <v>727</v>
      </c>
      <c r="E233">
        <v>0.29099999999999998</v>
      </c>
      <c r="F233">
        <v>520</v>
      </c>
      <c r="G233">
        <v>0.71499999999999997</v>
      </c>
      <c r="H233">
        <v>487</v>
      </c>
      <c r="I233">
        <v>0.67</v>
      </c>
      <c r="J233">
        <v>284</v>
      </c>
      <c r="K233">
        <v>0.58299999999999996</v>
      </c>
      <c r="L233">
        <v>892</v>
      </c>
      <c r="M233">
        <v>104</v>
      </c>
      <c r="N233">
        <v>0.11700000000000001</v>
      </c>
      <c r="O233">
        <v>76</v>
      </c>
      <c r="P233">
        <v>0.73099999999999998</v>
      </c>
      <c r="Q233">
        <v>91</v>
      </c>
      <c r="R233">
        <v>0.875</v>
      </c>
      <c r="S233">
        <v>53</v>
      </c>
      <c r="T233">
        <v>0.58199999999999996</v>
      </c>
      <c r="U233">
        <v>458</v>
      </c>
      <c r="V233">
        <v>219</v>
      </c>
      <c r="W233">
        <v>0.47799999999999998</v>
      </c>
      <c r="X233">
        <v>162</v>
      </c>
      <c r="Y233">
        <v>0.74</v>
      </c>
      <c r="Z233">
        <v>136</v>
      </c>
      <c r="AA233">
        <v>0.621</v>
      </c>
      <c r="AB233">
        <v>81</v>
      </c>
      <c r="AC233">
        <v>0.59599999999999997</v>
      </c>
      <c r="AD233">
        <v>604</v>
      </c>
      <c r="AE233">
        <v>321</v>
      </c>
      <c r="AF233">
        <v>0.53100000000000003</v>
      </c>
      <c r="AG233">
        <v>223</v>
      </c>
      <c r="AH233">
        <v>0.69499999999999995</v>
      </c>
      <c r="AI233">
        <v>189</v>
      </c>
      <c r="AJ233">
        <v>0.58899999999999997</v>
      </c>
      <c r="AK233">
        <v>115</v>
      </c>
      <c r="AL233">
        <v>0.60799999999999998</v>
      </c>
      <c r="AM233">
        <v>540</v>
      </c>
      <c r="AN233">
        <v>83</v>
      </c>
      <c r="AO233">
        <v>0.154</v>
      </c>
      <c r="AP233">
        <v>59</v>
      </c>
      <c r="AQ233">
        <v>0.71099999999999997</v>
      </c>
      <c r="AR233">
        <v>71</v>
      </c>
      <c r="AS233">
        <v>0.85499999999999998</v>
      </c>
      <c r="AT233">
        <v>35</v>
      </c>
      <c r="AU233">
        <v>0.49299999999999999</v>
      </c>
    </row>
    <row r="234" spans="1:47" x14ac:dyDescent="0.2">
      <c r="A234" t="s">
        <v>3448</v>
      </c>
      <c r="B234" t="s">
        <v>3449</v>
      </c>
      <c r="C234">
        <v>999</v>
      </c>
      <c r="D234">
        <v>756</v>
      </c>
      <c r="E234">
        <v>0.75700000000000001</v>
      </c>
      <c r="F234">
        <v>560</v>
      </c>
      <c r="G234">
        <v>0.74099999999999999</v>
      </c>
      <c r="H234">
        <v>662</v>
      </c>
      <c r="I234">
        <v>0.876</v>
      </c>
      <c r="J234">
        <v>391</v>
      </c>
      <c r="K234">
        <v>0.59099999999999997</v>
      </c>
      <c r="L234">
        <v>321</v>
      </c>
      <c r="M234">
        <v>195</v>
      </c>
      <c r="N234">
        <v>0.60699999999999998</v>
      </c>
      <c r="O234">
        <v>127</v>
      </c>
      <c r="P234">
        <v>0.65100000000000002</v>
      </c>
      <c r="Q234">
        <v>192</v>
      </c>
      <c r="R234">
        <v>0.98499999999999999</v>
      </c>
      <c r="S234">
        <v>102</v>
      </c>
      <c r="T234">
        <v>0.53100000000000003</v>
      </c>
      <c r="U234">
        <v>327</v>
      </c>
      <c r="V234">
        <v>252</v>
      </c>
      <c r="W234">
        <v>0.77100000000000002</v>
      </c>
      <c r="X234">
        <v>197</v>
      </c>
      <c r="Y234">
        <v>0.78200000000000003</v>
      </c>
      <c r="Z234">
        <v>205</v>
      </c>
      <c r="AA234">
        <v>0.81299999999999994</v>
      </c>
      <c r="AB234">
        <v>129</v>
      </c>
      <c r="AC234">
        <v>0.629</v>
      </c>
      <c r="AD234">
        <v>345</v>
      </c>
      <c r="AE234">
        <v>309</v>
      </c>
      <c r="AF234">
        <v>0.89600000000000002</v>
      </c>
      <c r="AG234">
        <v>236</v>
      </c>
      <c r="AH234">
        <v>0.76400000000000001</v>
      </c>
      <c r="AI234">
        <v>265</v>
      </c>
      <c r="AJ234">
        <v>0.85799999999999998</v>
      </c>
      <c r="AK234">
        <v>160</v>
      </c>
      <c r="AL234">
        <v>0.60399999999999998</v>
      </c>
      <c r="AM234">
        <v>6</v>
      </c>
      <c r="AN234">
        <v>0</v>
      </c>
      <c r="AO234">
        <v>0</v>
      </c>
      <c r="AP234">
        <v>0</v>
      </c>
      <c r="AR234">
        <v>0</v>
      </c>
      <c r="AT234">
        <v>0</v>
      </c>
    </row>
    <row r="235" spans="1:47" x14ac:dyDescent="0.2">
      <c r="A235" t="s">
        <v>4378</v>
      </c>
      <c r="B235" t="s">
        <v>4379</v>
      </c>
      <c r="C235">
        <v>956</v>
      </c>
      <c r="D235">
        <v>621</v>
      </c>
      <c r="E235">
        <v>0.65</v>
      </c>
      <c r="F235">
        <v>397</v>
      </c>
      <c r="G235">
        <v>0.63900000000000001</v>
      </c>
      <c r="H235">
        <v>375</v>
      </c>
      <c r="I235">
        <v>0.60399999999999998</v>
      </c>
      <c r="J235">
        <v>249</v>
      </c>
      <c r="K235">
        <v>0.66400000000000003</v>
      </c>
      <c r="L235" t="s">
        <v>53</v>
      </c>
      <c r="M235">
        <v>0</v>
      </c>
      <c r="N235" t="s">
        <v>53</v>
      </c>
      <c r="O235">
        <v>0</v>
      </c>
      <c r="Q235">
        <v>0</v>
      </c>
      <c r="S235">
        <v>0</v>
      </c>
      <c r="U235">
        <v>487</v>
      </c>
      <c r="V235">
        <v>325</v>
      </c>
      <c r="W235">
        <v>0.66700000000000004</v>
      </c>
      <c r="X235">
        <v>219</v>
      </c>
      <c r="Y235">
        <v>0.67400000000000004</v>
      </c>
      <c r="Z235">
        <v>206</v>
      </c>
      <c r="AA235">
        <v>0.63400000000000001</v>
      </c>
      <c r="AB235">
        <v>149</v>
      </c>
      <c r="AC235">
        <v>0.72299999999999998</v>
      </c>
      <c r="AD235" t="s">
        <v>53</v>
      </c>
      <c r="AE235">
        <v>296</v>
      </c>
      <c r="AF235" t="s">
        <v>53</v>
      </c>
      <c r="AG235">
        <v>178</v>
      </c>
      <c r="AH235">
        <v>0.60099999999999998</v>
      </c>
      <c r="AI235">
        <v>169</v>
      </c>
      <c r="AJ235">
        <v>0.57099999999999995</v>
      </c>
      <c r="AK235">
        <v>100</v>
      </c>
      <c r="AL235">
        <v>0.59199999999999997</v>
      </c>
      <c r="AM235">
        <v>0</v>
      </c>
      <c r="AN235">
        <v>0</v>
      </c>
      <c r="AP235">
        <v>0</v>
      </c>
      <c r="AR235">
        <v>0</v>
      </c>
      <c r="AT235">
        <v>0</v>
      </c>
    </row>
    <row r="236" spans="1:47" x14ac:dyDescent="0.2">
      <c r="A236" t="s">
        <v>3451</v>
      </c>
      <c r="B236" t="s">
        <v>3452</v>
      </c>
      <c r="C236">
        <v>1062</v>
      </c>
      <c r="D236">
        <v>854</v>
      </c>
      <c r="E236">
        <v>0.80400000000000005</v>
      </c>
      <c r="F236">
        <v>604</v>
      </c>
      <c r="G236">
        <v>0.70699999999999996</v>
      </c>
      <c r="H236">
        <v>782</v>
      </c>
      <c r="I236">
        <v>0.91600000000000004</v>
      </c>
      <c r="J236">
        <v>510</v>
      </c>
      <c r="K236">
        <v>0.65200000000000002</v>
      </c>
      <c r="L236">
        <v>347</v>
      </c>
      <c r="M236">
        <v>392</v>
      </c>
      <c r="N236">
        <v>1.1299999999999999</v>
      </c>
      <c r="O236">
        <v>227</v>
      </c>
      <c r="P236">
        <v>0.57899999999999996</v>
      </c>
      <c r="Q236">
        <v>378</v>
      </c>
      <c r="R236">
        <v>0.96399999999999997</v>
      </c>
      <c r="S236">
        <v>224</v>
      </c>
      <c r="T236">
        <v>0.59299999999999997</v>
      </c>
      <c r="U236">
        <v>384</v>
      </c>
      <c r="V236">
        <v>244</v>
      </c>
      <c r="W236">
        <v>0.63500000000000001</v>
      </c>
      <c r="X236">
        <v>211</v>
      </c>
      <c r="Y236">
        <v>0.86499999999999999</v>
      </c>
      <c r="Z236">
        <v>208</v>
      </c>
      <c r="AA236">
        <v>0.85199999999999998</v>
      </c>
      <c r="AB236">
        <v>149</v>
      </c>
      <c r="AC236">
        <v>0.71599999999999997</v>
      </c>
      <c r="AD236">
        <v>331</v>
      </c>
      <c r="AE236">
        <v>218</v>
      </c>
      <c r="AF236">
        <v>0.65900000000000003</v>
      </c>
      <c r="AG236">
        <v>166</v>
      </c>
      <c r="AH236">
        <v>0.76100000000000001</v>
      </c>
      <c r="AI236">
        <v>196</v>
      </c>
      <c r="AJ236">
        <v>0.89900000000000002</v>
      </c>
      <c r="AK236">
        <v>137</v>
      </c>
      <c r="AL236">
        <v>0.69899999999999995</v>
      </c>
      <c r="AM236">
        <v>0</v>
      </c>
      <c r="AN236">
        <v>0</v>
      </c>
      <c r="AP236">
        <v>0</v>
      </c>
      <c r="AR236">
        <v>0</v>
      </c>
      <c r="AT236">
        <v>0</v>
      </c>
    </row>
    <row r="237" spans="1:47" x14ac:dyDescent="0.2">
      <c r="A237" t="s">
        <v>3454</v>
      </c>
      <c r="B237" t="s">
        <v>3455</v>
      </c>
      <c r="C237">
        <v>827</v>
      </c>
      <c r="D237">
        <v>1059</v>
      </c>
      <c r="E237">
        <v>1.2809999999999999</v>
      </c>
      <c r="F237">
        <v>733</v>
      </c>
      <c r="G237">
        <v>0.69199999999999995</v>
      </c>
      <c r="H237">
        <v>934</v>
      </c>
      <c r="I237">
        <v>0.88200000000000001</v>
      </c>
      <c r="J237">
        <v>619</v>
      </c>
      <c r="K237">
        <v>0.66300000000000003</v>
      </c>
      <c r="L237">
        <v>212</v>
      </c>
      <c r="M237">
        <v>237</v>
      </c>
      <c r="N237">
        <v>1.1180000000000001</v>
      </c>
      <c r="O237">
        <v>151</v>
      </c>
      <c r="P237">
        <v>0.63700000000000001</v>
      </c>
      <c r="Q237">
        <v>236</v>
      </c>
      <c r="R237">
        <v>0.996</v>
      </c>
      <c r="S237">
        <v>153</v>
      </c>
      <c r="T237">
        <v>0.64800000000000002</v>
      </c>
      <c r="U237">
        <v>305</v>
      </c>
      <c r="V237">
        <v>406</v>
      </c>
      <c r="W237">
        <v>1.331</v>
      </c>
      <c r="X237">
        <v>304</v>
      </c>
      <c r="Y237">
        <v>0.749</v>
      </c>
      <c r="Z237">
        <v>343</v>
      </c>
      <c r="AA237">
        <v>0.84499999999999997</v>
      </c>
      <c r="AB237">
        <v>223</v>
      </c>
      <c r="AC237">
        <v>0.65</v>
      </c>
      <c r="AD237">
        <v>261</v>
      </c>
      <c r="AE237">
        <v>364</v>
      </c>
      <c r="AF237">
        <v>1.395</v>
      </c>
      <c r="AG237">
        <v>245</v>
      </c>
      <c r="AH237">
        <v>0.67300000000000004</v>
      </c>
      <c r="AI237">
        <v>303</v>
      </c>
      <c r="AJ237">
        <v>0.83199999999999996</v>
      </c>
      <c r="AK237">
        <v>219</v>
      </c>
      <c r="AL237">
        <v>0.72299999999999998</v>
      </c>
      <c r="AM237">
        <v>49</v>
      </c>
      <c r="AN237">
        <v>52</v>
      </c>
      <c r="AO237">
        <v>1.0609999999999999</v>
      </c>
      <c r="AP237">
        <v>33</v>
      </c>
      <c r="AQ237">
        <v>0.63500000000000001</v>
      </c>
      <c r="AR237">
        <v>52</v>
      </c>
      <c r="AS237">
        <v>1</v>
      </c>
      <c r="AT237">
        <v>24</v>
      </c>
      <c r="AU237">
        <v>0.46200000000000002</v>
      </c>
    </row>
    <row r="238" spans="1:47" x14ac:dyDescent="0.2">
      <c r="A238" t="s">
        <v>3457</v>
      </c>
      <c r="B238" t="s">
        <v>3458</v>
      </c>
      <c r="C238">
        <v>765</v>
      </c>
      <c r="D238">
        <v>482</v>
      </c>
      <c r="E238">
        <v>0.63</v>
      </c>
      <c r="F238">
        <v>330</v>
      </c>
      <c r="G238">
        <v>0.68500000000000005</v>
      </c>
      <c r="H238">
        <v>425</v>
      </c>
      <c r="I238">
        <v>0.88200000000000001</v>
      </c>
      <c r="J238">
        <v>231</v>
      </c>
      <c r="K238">
        <v>0.54400000000000004</v>
      </c>
      <c r="L238">
        <v>256</v>
      </c>
      <c r="M238">
        <v>70</v>
      </c>
      <c r="N238">
        <v>0.27300000000000002</v>
      </c>
      <c r="O238">
        <v>52</v>
      </c>
      <c r="P238">
        <v>0.74299999999999999</v>
      </c>
      <c r="Q238">
        <v>70</v>
      </c>
      <c r="R238">
        <v>1</v>
      </c>
      <c r="S238">
        <v>39</v>
      </c>
      <c r="T238">
        <v>0.55700000000000005</v>
      </c>
      <c r="U238">
        <v>234</v>
      </c>
      <c r="V238">
        <v>194</v>
      </c>
      <c r="W238">
        <v>0.82899999999999996</v>
      </c>
      <c r="X238">
        <v>128</v>
      </c>
      <c r="Y238">
        <v>0.66</v>
      </c>
      <c r="Z238">
        <v>164</v>
      </c>
      <c r="AA238">
        <v>0.84499999999999997</v>
      </c>
      <c r="AB238">
        <v>85</v>
      </c>
      <c r="AC238">
        <v>0.51800000000000002</v>
      </c>
      <c r="AD238">
        <v>275</v>
      </c>
      <c r="AE238">
        <v>218</v>
      </c>
      <c r="AF238">
        <v>0.79300000000000004</v>
      </c>
      <c r="AG238">
        <v>150</v>
      </c>
      <c r="AH238">
        <v>0.68799999999999994</v>
      </c>
      <c r="AI238">
        <v>191</v>
      </c>
      <c r="AJ238">
        <v>0.876</v>
      </c>
      <c r="AK238">
        <v>107</v>
      </c>
      <c r="AL238">
        <v>0.56000000000000005</v>
      </c>
      <c r="AM238">
        <v>0</v>
      </c>
      <c r="AN238">
        <v>0</v>
      </c>
      <c r="AP238">
        <v>0</v>
      </c>
      <c r="AR238">
        <v>0</v>
      </c>
      <c r="AT238">
        <v>0</v>
      </c>
    </row>
    <row r="239" spans="1:47" x14ac:dyDescent="0.2">
      <c r="A239" t="s">
        <v>3460</v>
      </c>
      <c r="B239" t="s">
        <v>3461</v>
      </c>
      <c r="C239">
        <v>1101</v>
      </c>
      <c r="D239">
        <v>899</v>
      </c>
      <c r="E239">
        <v>0.81699999999999995</v>
      </c>
      <c r="F239">
        <v>614</v>
      </c>
      <c r="G239">
        <v>0.68300000000000005</v>
      </c>
      <c r="H239">
        <v>813</v>
      </c>
      <c r="I239">
        <v>0.90400000000000003</v>
      </c>
      <c r="J239">
        <v>537</v>
      </c>
      <c r="K239">
        <v>0.66100000000000003</v>
      </c>
      <c r="L239">
        <v>337</v>
      </c>
      <c r="M239">
        <v>169</v>
      </c>
      <c r="N239">
        <v>0.501</v>
      </c>
      <c r="O239">
        <v>75</v>
      </c>
      <c r="P239">
        <v>0.44400000000000001</v>
      </c>
      <c r="Q239">
        <v>168</v>
      </c>
      <c r="R239">
        <v>0.99399999999999999</v>
      </c>
      <c r="S239">
        <v>109</v>
      </c>
      <c r="T239">
        <v>0.64900000000000002</v>
      </c>
      <c r="U239">
        <v>331</v>
      </c>
      <c r="V239">
        <v>319</v>
      </c>
      <c r="W239">
        <v>0.96399999999999997</v>
      </c>
      <c r="X239">
        <v>227</v>
      </c>
      <c r="Y239">
        <v>0.71199999999999997</v>
      </c>
      <c r="Z239">
        <v>278</v>
      </c>
      <c r="AA239">
        <v>0.871</v>
      </c>
      <c r="AB239">
        <v>189</v>
      </c>
      <c r="AC239">
        <v>0.68</v>
      </c>
      <c r="AD239">
        <v>325</v>
      </c>
      <c r="AE239">
        <v>326</v>
      </c>
      <c r="AF239">
        <v>1.0029999999999999</v>
      </c>
      <c r="AG239">
        <v>230</v>
      </c>
      <c r="AH239">
        <v>0.70599999999999996</v>
      </c>
      <c r="AI239">
        <v>282</v>
      </c>
      <c r="AJ239">
        <v>0.86499999999999999</v>
      </c>
      <c r="AK239">
        <v>196</v>
      </c>
      <c r="AL239">
        <v>0.69499999999999995</v>
      </c>
      <c r="AM239">
        <v>108</v>
      </c>
      <c r="AN239">
        <v>85</v>
      </c>
      <c r="AO239">
        <v>0.78700000000000003</v>
      </c>
      <c r="AP239">
        <v>82</v>
      </c>
      <c r="AQ239">
        <v>0.96499999999999997</v>
      </c>
      <c r="AR239">
        <v>85</v>
      </c>
      <c r="AS239">
        <v>1</v>
      </c>
      <c r="AT239">
        <v>43</v>
      </c>
      <c r="AU239">
        <v>0.50600000000000001</v>
      </c>
    </row>
    <row r="240" spans="1:47" x14ac:dyDescent="0.2">
      <c r="A240" t="s">
        <v>3463</v>
      </c>
      <c r="B240" t="s">
        <v>3464</v>
      </c>
      <c r="C240">
        <v>1404</v>
      </c>
      <c r="D240">
        <v>1077</v>
      </c>
      <c r="E240">
        <v>0.76700000000000002</v>
      </c>
      <c r="F240">
        <v>1039</v>
      </c>
      <c r="G240">
        <v>0.96499999999999997</v>
      </c>
      <c r="H240">
        <v>1066</v>
      </c>
      <c r="I240">
        <v>0.99</v>
      </c>
      <c r="J240">
        <v>683</v>
      </c>
      <c r="K240">
        <v>0.64100000000000001</v>
      </c>
      <c r="L240">
        <v>415</v>
      </c>
      <c r="M240">
        <v>305</v>
      </c>
      <c r="N240">
        <v>0.73499999999999999</v>
      </c>
      <c r="O240">
        <v>291</v>
      </c>
      <c r="P240">
        <v>0.95399999999999996</v>
      </c>
      <c r="Q240">
        <v>304</v>
      </c>
      <c r="R240">
        <v>0.997</v>
      </c>
      <c r="S240">
        <v>179</v>
      </c>
      <c r="T240">
        <v>0.58899999999999997</v>
      </c>
      <c r="U240">
        <v>298</v>
      </c>
      <c r="V240">
        <v>227</v>
      </c>
      <c r="W240">
        <v>0.76200000000000001</v>
      </c>
      <c r="X240">
        <v>226</v>
      </c>
      <c r="Y240">
        <v>0.996</v>
      </c>
      <c r="Z240">
        <v>224</v>
      </c>
      <c r="AA240">
        <v>0.98699999999999999</v>
      </c>
      <c r="AB240">
        <v>165</v>
      </c>
      <c r="AC240">
        <v>0.73699999999999999</v>
      </c>
      <c r="AD240">
        <v>403</v>
      </c>
      <c r="AE240">
        <v>300</v>
      </c>
      <c r="AF240">
        <v>0.74399999999999999</v>
      </c>
      <c r="AG240">
        <v>285</v>
      </c>
      <c r="AH240">
        <v>0.95</v>
      </c>
      <c r="AI240">
        <v>294</v>
      </c>
      <c r="AJ240">
        <v>0.98</v>
      </c>
      <c r="AK240">
        <v>211</v>
      </c>
      <c r="AL240">
        <v>0.71799999999999997</v>
      </c>
      <c r="AM240">
        <v>288</v>
      </c>
      <c r="AN240">
        <v>245</v>
      </c>
      <c r="AO240">
        <v>0.85099999999999998</v>
      </c>
      <c r="AP240">
        <v>237</v>
      </c>
      <c r="AQ240">
        <v>0.96699999999999997</v>
      </c>
      <c r="AR240">
        <v>244</v>
      </c>
      <c r="AS240">
        <v>0.996</v>
      </c>
      <c r="AT240">
        <v>128</v>
      </c>
      <c r="AU240">
        <v>0.52500000000000002</v>
      </c>
    </row>
    <row r="241" spans="1:47" x14ac:dyDescent="0.2">
      <c r="A241" t="s">
        <v>6523</v>
      </c>
      <c r="B241" t="s">
        <v>6524</v>
      </c>
      <c r="C241">
        <v>11</v>
      </c>
      <c r="D241">
        <v>0</v>
      </c>
      <c r="E241">
        <v>0</v>
      </c>
      <c r="F241">
        <v>0</v>
      </c>
      <c r="H241">
        <v>0</v>
      </c>
      <c r="J241">
        <v>0</v>
      </c>
      <c r="L241">
        <v>11</v>
      </c>
      <c r="M241">
        <v>0</v>
      </c>
      <c r="N241">
        <v>0</v>
      </c>
      <c r="O241">
        <v>0</v>
      </c>
      <c r="Q241">
        <v>0</v>
      </c>
      <c r="S241">
        <v>0</v>
      </c>
      <c r="U241">
        <v>0</v>
      </c>
      <c r="V241">
        <v>0</v>
      </c>
      <c r="X241">
        <v>0</v>
      </c>
      <c r="Z241">
        <v>0</v>
      </c>
      <c r="AB241">
        <v>0</v>
      </c>
      <c r="AD241">
        <v>0</v>
      </c>
      <c r="AE241">
        <v>0</v>
      </c>
      <c r="AG241">
        <v>0</v>
      </c>
      <c r="AI241">
        <v>0</v>
      </c>
      <c r="AK241">
        <v>0</v>
      </c>
      <c r="AM241">
        <v>0</v>
      </c>
      <c r="AN241">
        <v>0</v>
      </c>
      <c r="AP241">
        <v>0</v>
      </c>
      <c r="AR241">
        <v>0</v>
      </c>
      <c r="AT241">
        <v>0</v>
      </c>
    </row>
    <row r="242" spans="1:47" x14ac:dyDescent="0.2">
      <c r="A242" t="s">
        <v>3466</v>
      </c>
      <c r="B242" t="s">
        <v>3467</v>
      </c>
      <c r="C242">
        <v>2829</v>
      </c>
      <c r="D242">
        <v>2030</v>
      </c>
      <c r="E242">
        <v>0.71799999999999997</v>
      </c>
      <c r="F242">
        <v>1675</v>
      </c>
      <c r="G242">
        <v>0.82499999999999996</v>
      </c>
      <c r="H242">
        <v>1909</v>
      </c>
      <c r="I242">
        <v>0.94</v>
      </c>
      <c r="J242">
        <v>1303</v>
      </c>
      <c r="K242">
        <v>0.68300000000000005</v>
      </c>
      <c r="L242">
        <v>663</v>
      </c>
      <c r="M242">
        <v>324</v>
      </c>
      <c r="N242">
        <v>0.48899999999999999</v>
      </c>
      <c r="O242">
        <v>241</v>
      </c>
      <c r="P242">
        <v>0.74399999999999999</v>
      </c>
      <c r="Q242">
        <v>322</v>
      </c>
      <c r="R242">
        <v>0.99399999999999999</v>
      </c>
      <c r="S242">
        <v>206</v>
      </c>
      <c r="T242">
        <v>0.64</v>
      </c>
      <c r="U242">
        <v>744</v>
      </c>
      <c r="V242">
        <v>588</v>
      </c>
      <c r="W242">
        <v>0.79</v>
      </c>
      <c r="X242">
        <v>487</v>
      </c>
      <c r="Y242">
        <v>0.82799999999999996</v>
      </c>
      <c r="Z242">
        <v>536</v>
      </c>
      <c r="AA242">
        <v>0.91200000000000003</v>
      </c>
      <c r="AB242">
        <v>376</v>
      </c>
      <c r="AC242">
        <v>0.70099999999999996</v>
      </c>
      <c r="AD242">
        <v>995</v>
      </c>
      <c r="AE242">
        <v>820</v>
      </c>
      <c r="AF242">
        <v>0.82399999999999995</v>
      </c>
      <c r="AG242">
        <v>672</v>
      </c>
      <c r="AH242">
        <v>0.82</v>
      </c>
      <c r="AI242">
        <v>754</v>
      </c>
      <c r="AJ242">
        <v>0.92</v>
      </c>
      <c r="AK242">
        <v>552</v>
      </c>
      <c r="AL242">
        <v>0.73199999999999998</v>
      </c>
      <c r="AM242">
        <v>427</v>
      </c>
      <c r="AN242">
        <v>298</v>
      </c>
      <c r="AO242">
        <v>0.69799999999999995</v>
      </c>
      <c r="AP242">
        <v>275</v>
      </c>
      <c r="AQ242">
        <v>0.92300000000000004</v>
      </c>
      <c r="AR242">
        <v>297</v>
      </c>
      <c r="AS242">
        <v>0.997</v>
      </c>
      <c r="AT242">
        <v>169</v>
      </c>
      <c r="AU242">
        <v>0.56899999999999995</v>
      </c>
    </row>
    <row r="243" spans="1:47" x14ac:dyDescent="0.2">
      <c r="A243" t="s">
        <v>3469</v>
      </c>
      <c r="B243" t="s">
        <v>3470</v>
      </c>
      <c r="C243">
        <v>0</v>
      </c>
      <c r="D243">
        <v>8</v>
      </c>
      <c r="F243" t="s">
        <v>53</v>
      </c>
      <c r="G243" t="s">
        <v>53</v>
      </c>
      <c r="H243">
        <v>8</v>
      </c>
      <c r="I243">
        <v>1</v>
      </c>
      <c r="J243">
        <v>7</v>
      </c>
      <c r="K243">
        <v>0.875</v>
      </c>
      <c r="L243">
        <v>0</v>
      </c>
      <c r="M243" t="s">
        <v>53</v>
      </c>
      <c r="N243" t="s">
        <v>53</v>
      </c>
      <c r="O243">
        <v>0</v>
      </c>
      <c r="P243" t="s">
        <v>53</v>
      </c>
      <c r="Q243" t="s">
        <v>53</v>
      </c>
      <c r="R243" t="s">
        <v>53</v>
      </c>
      <c r="S243" t="s">
        <v>53</v>
      </c>
      <c r="T243" t="s">
        <v>53</v>
      </c>
      <c r="U243">
        <v>0</v>
      </c>
      <c r="V243" t="s">
        <v>53</v>
      </c>
      <c r="W243" t="s">
        <v>53</v>
      </c>
      <c r="X243" t="s">
        <v>53</v>
      </c>
      <c r="Y243" t="s">
        <v>53</v>
      </c>
      <c r="Z243" t="s">
        <v>53</v>
      </c>
      <c r="AA243" t="s">
        <v>53</v>
      </c>
      <c r="AB243" t="s">
        <v>53</v>
      </c>
      <c r="AC243" t="s">
        <v>53</v>
      </c>
      <c r="AD243">
        <v>0</v>
      </c>
      <c r="AE243" t="s">
        <v>53</v>
      </c>
      <c r="AF243" t="s">
        <v>53</v>
      </c>
      <c r="AG243" t="s">
        <v>53</v>
      </c>
      <c r="AH243" t="s">
        <v>53</v>
      </c>
      <c r="AI243" t="s">
        <v>53</v>
      </c>
      <c r="AJ243" t="s">
        <v>53</v>
      </c>
      <c r="AK243" t="s">
        <v>53</v>
      </c>
      <c r="AL243" t="s">
        <v>53</v>
      </c>
      <c r="AM243">
        <v>0</v>
      </c>
      <c r="AN243">
        <v>0</v>
      </c>
      <c r="AP243">
        <v>0</v>
      </c>
      <c r="AR243">
        <v>0</v>
      </c>
      <c r="AT243">
        <v>0</v>
      </c>
    </row>
    <row r="244" spans="1:47" x14ac:dyDescent="0.2">
      <c r="A244" t="s">
        <v>3472</v>
      </c>
      <c r="B244" t="s">
        <v>3473</v>
      </c>
      <c r="C244">
        <v>908</v>
      </c>
      <c r="D244">
        <v>897</v>
      </c>
      <c r="E244">
        <v>0.98799999999999999</v>
      </c>
      <c r="F244">
        <v>831</v>
      </c>
      <c r="G244">
        <v>0.92600000000000005</v>
      </c>
      <c r="H244">
        <v>803</v>
      </c>
      <c r="I244">
        <v>0.89500000000000002</v>
      </c>
      <c r="J244">
        <v>626</v>
      </c>
      <c r="K244">
        <v>0.78</v>
      </c>
      <c r="L244">
        <v>300</v>
      </c>
      <c r="M244">
        <v>282</v>
      </c>
      <c r="N244">
        <v>0.94</v>
      </c>
      <c r="O244">
        <v>275</v>
      </c>
      <c r="P244">
        <v>0.97499999999999998</v>
      </c>
      <c r="Q244">
        <v>277</v>
      </c>
      <c r="R244">
        <v>0.98199999999999998</v>
      </c>
      <c r="S244">
        <v>199</v>
      </c>
      <c r="T244">
        <v>0.71799999999999997</v>
      </c>
      <c r="U244">
        <v>360</v>
      </c>
      <c r="V244">
        <v>349</v>
      </c>
      <c r="W244">
        <v>0.96899999999999997</v>
      </c>
      <c r="X244">
        <v>329</v>
      </c>
      <c r="Y244">
        <v>0.94299999999999995</v>
      </c>
      <c r="Z244">
        <v>306</v>
      </c>
      <c r="AA244">
        <v>0.877</v>
      </c>
      <c r="AB244">
        <v>245</v>
      </c>
      <c r="AC244">
        <v>0.80100000000000005</v>
      </c>
      <c r="AD244">
        <v>248</v>
      </c>
      <c r="AE244">
        <v>266</v>
      </c>
      <c r="AF244">
        <v>1.073</v>
      </c>
      <c r="AG244">
        <v>227</v>
      </c>
      <c r="AH244">
        <v>0.85299999999999998</v>
      </c>
      <c r="AI244">
        <v>220</v>
      </c>
      <c r="AJ244">
        <v>0.82699999999999996</v>
      </c>
      <c r="AK244">
        <v>182</v>
      </c>
      <c r="AL244">
        <v>0.82699999999999996</v>
      </c>
      <c r="AM244">
        <v>0</v>
      </c>
      <c r="AN244">
        <v>0</v>
      </c>
      <c r="AP244">
        <v>0</v>
      </c>
      <c r="AR244">
        <v>0</v>
      </c>
      <c r="AT244">
        <v>0</v>
      </c>
    </row>
    <row r="245" spans="1:47" x14ac:dyDescent="0.2">
      <c r="A245" t="s">
        <v>3475</v>
      </c>
      <c r="B245" t="s">
        <v>3476</v>
      </c>
      <c r="C245">
        <v>1372</v>
      </c>
      <c r="D245">
        <v>1279</v>
      </c>
      <c r="E245">
        <v>0.93200000000000005</v>
      </c>
      <c r="F245">
        <v>964</v>
      </c>
      <c r="G245">
        <v>0.754</v>
      </c>
      <c r="H245">
        <v>1224</v>
      </c>
      <c r="I245">
        <v>0.95699999999999996</v>
      </c>
      <c r="J245">
        <v>735</v>
      </c>
      <c r="K245">
        <v>0.6</v>
      </c>
      <c r="L245">
        <v>506</v>
      </c>
      <c r="M245">
        <v>474</v>
      </c>
      <c r="N245">
        <v>0.93700000000000006</v>
      </c>
      <c r="O245">
        <v>364</v>
      </c>
      <c r="P245">
        <v>0.76800000000000002</v>
      </c>
      <c r="Q245">
        <v>470</v>
      </c>
      <c r="R245">
        <v>0.99199999999999999</v>
      </c>
      <c r="S245">
        <v>286</v>
      </c>
      <c r="T245">
        <v>0.60899999999999999</v>
      </c>
      <c r="U245">
        <v>312</v>
      </c>
      <c r="V245">
        <v>287</v>
      </c>
      <c r="W245">
        <v>0.92</v>
      </c>
      <c r="X245">
        <v>219</v>
      </c>
      <c r="Y245">
        <v>0.76300000000000001</v>
      </c>
      <c r="Z245">
        <v>269</v>
      </c>
      <c r="AA245">
        <v>0.93700000000000006</v>
      </c>
      <c r="AB245">
        <v>169</v>
      </c>
      <c r="AC245">
        <v>0.628</v>
      </c>
      <c r="AD245">
        <v>369</v>
      </c>
      <c r="AE245">
        <v>376</v>
      </c>
      <c r="AF245">
        <v>1.0189999999999999</v>
      </c>
      <c r="AG245">
        <v>257</v>
      </c>
      <c r="AH245">
        <v>0.68400000000000005</v>
      </c>
      <c r="AI245">
        <v>344</v>
      </c>
      <c r="AJ245">
        <v>0.91500000000000004</v>
      </c>
      <c r="AK245">
        <v>202</v>
      </c>
      <c r="AL245">
        <v>0.58699999999999997</v>
      </c>
      <c r="AM245">
        <v>185</v>
      </c>
      <c r="AN245">
        <v>142</v>
      </c>
      <c r="AO245">
        <v>0.76800000000000002</v>
      </c>
      <c r="AP245">
        <v>124</v>
      </c>
      <c r="AQ245">
        <v>0.873</v>
      </c>
      <c r="AR245">
        <v>141</v>
      </c>
      <c r="AS245">
        <v>0.99299999999999999</v>
      </c>
      <c r="AT245">
        <v>78</v>
      </c>
      <c r="AU245">
        <v>0.55300000000000005</v>
      </c>
    </row>
    <row r="246" spans="1:47" x14ac:dyDescent="0.2">
      <c r="A246" t="s">
        <v>3478</v>
      </c>
      <c r="B246" t="s">
        <v>3479</v>
      </c>
      <c r="C246">
        <v>1163</v>
      </c>
      <c r="D246">
        <v>1148</v>
      </c>
      <c r="E246">
        <v>0.98699999999999999</v>
      </c>
      <c r="F246">
        <v>892</v>
      </c>
      <c r="G246">
        <v>0.77700000000000002</v>
      </c>
      <c r="H246">
        <v>1066</v>
      </c>
      <c r="I246">
        <v>0.92900000000000005</v>
      </c>
      <c r="J246">
        <v>685</v>
      </c>
      <c r="K246">
        <v>0.64300000000000002</v>
      </c>
      <c r="L246">
        <v>444</v>
      </c>
      <c r="M246">
        <v>455</v>
      </c>
      <c r="N246">
        <v>1.0249999999999999</v>
      </c>
      <c r="O246">
        <v>348</v>
      </c>
      <c r="P246">
        <v>0.76500000000000001</v>
      </c>
      <c r="Q246">
        <v>455</v>
      </c>
      <c r="R246">
        <v>1</v>
      </c>
      <c r="S246">
        <v>292</v>
      </c>
      <c r="T246">
        <v>0.64200000000000002</v>
      </c>
      <c r="U246">
        <v>252</v>
      </c>
      <c r="V246">
        <v>293</v>
      </c>
      <c r="W246">
        <v>1.163</v>
      </c>
      <c r="X246">
        <v>244</v>
      </c>
      <c r="Y246">
        <v>0.83299999999999996</v>
      </c>
      <c r="Z246">
        <v>254</v>
      </c>
      <c r="AA246">
        <v>0.86699999999999999</v>
      </c>
      <c r="AB246">
        <v>176</v>
      </c>
      <c r="AC246">
        <v>0.69299999999999995</v>
      </c>
      <c r="AD246">
        <v>241</v>
      </c>
      <c r="AE246">
        <v>278</v>
      </c>
      <c r="AF246">
        <v>1.1539999999999999</v>
      </c>
      <c r="AG246">
        <v>206</v>
      </c>
      <c r="AH246">
        <v>0.74099999999999999</v>
      </c>
      <c r="AI246">
        <v>236</v>
      </c>
      <c r="AJ246">
        <v>0.84899999999999998</v>
      </c>
      <c r="AK246">
        <v>154</v>
      </c>
      <c r="AL246">
        <v>0.65300000000000002</v>
      </c>
      <c r="AM246">
        <v>226</v>
      </c>
      <c r="AN246">
        <v>122</v>
      </c>
      <c r="AO246">
        <v>0.54</v>
      </c>
      <c r="AP246">
        <v>94</v>
      </c>
      <c r="AQ246">
        <v>0.77</v>
      </c>
      <c r="AR246">
        <v>121</v>
      </c>
      <c r="AS246">
        <v>0.99199999999999999</v>
      </c>
      <c r="AT246">
        <v>63</v>
      </c>
      <c r="AU246">
        <v>0.52100000000000002</v>
      </c>
    </row>
    <row r="247" spans="1:47" x14ac:dyDescent="0.2">
      <c r="A247" t="s">
        <v>6495</v>
      </c>
      <c r="B247" t="s">
        <v>6496</v>
      </c>
      <c r="C247">
        <v>24</v>
      </c>
      <c r="D247">
        <v>0</v>
      </c>
      <c r="E247">
        <v>0</v>
      </c>
      <c r="F247">
        <v>0</v>
      </c>
      <c r="H247">
        <v>0</v>
      </c>
      <c r="J247">
        <v>0</v>
      </c>
      <c r="L247">
        <v>0</v>
      </c>
      <c r="M247">
        <v>0</v>
      </c>
      <c r="O247">
        <v>0</v>
      </c>
      <c r="Q247">
        <v>0</v>
      </c>
      <c r="S247">
        <v>0</v>
      </c>
      <c r="U247">
        <v>17</v>
      </c>
      <c r="V247">
        <v>0</v>
      </c>
      <c r="W247">
        <v>0</v>
      </c>
      <c r="X247">
        <v>0</v>
      </c>
      <c r="Z247">
        <v>0</v>
      </c>
      <c r="AB247">
        <v>0</v>
      </c>
      <c r="AD247">
        <v>7</v>
      </c>
      <c r="AE247">
        <v>0</v>
      </c>
      <c r="AF247">
        <v>0</v>
      </c>
      <c r="AG247">
        <v>0</v>
      </c>
      <c r="AI247">
        <v>0</v>
      </c>
      <c r="AK247">
        <v>0</v>
      </c>
      <c r="AM247">
        <v>0</v>
      </c>
      <c r="AN247">
        <v>0</v>
      </c>
      <c r="AP247">
        <v>0</v>
      </c>
      <c r="AR247">
        <v>0</v>
      </c>
      <c r="AT247">
        <v>0</v>
      </c>
    </row>
    <row r="248" spans="1:47" x14ac:dyDescent="0.2">
      <c r="A248" t="s">
        <v>3482</v>
      </c>
      <c r="B248" t="s">
        <v>3483</v>
      </c>
      <c r="C248">
        <v>2331</v>
      </c>
      <c r="D248">
        <v>1885</v>
      </c>
      <c r="E248">
        <v>0.80900000000000005</v>
      </c>
      <c r="F248">
        <v>1628</v>
      </c>
      <c r="G248">
        <v>0.86399999999999999</v>
      </c>
      <c r="H248">
        <v>1745</v>
      </c>
      <c r="I248">
        <v>0.92600000000000005</v>
      </c>
      <c r="J248">
        <v>1236</v>
      </c>
      <c r="K248">
        <v>0.70799999999999996</v>
      </c>
      <c r="L248">
        <v>459</v>
      </c>
      <c r="M248">
        <v>181</v>
      </c>
      <c r="N248">
        <v>0.39400000000000002</v>
      </c>
      <c r="O248">
        <v>146</v>
      </c>
      <c r="P248">
        <v>0.80700000000000005</v>
      </c>
      <c r="Q248">
        <v>179</v>
      </c>
      <c r="R248">
        <v>0.98899999999999999</v>
      </c>
      <c r="S248">
        <v>130</v>
      </c>
      <c r="T248">
        <v>0.72599999999999998</v>
      </c>
      <c r="U248">
        <v>761</v>
      </c>
      <c r="V248">
        <v>731</v>
      </c>
      <c r="W248">
        <v>0.96099999999999997</v>
      </c>
      <c r="X248">
        <v>642</v>
      </c>
      <c r="Y248">
        <v>0.878</v>
      </c>
      <c r="Z248">
        <v>662</v>
      </c>
      <c r="AA248">
        <v>0.90600000000000003</v>
      </c>
      <c r="AB248">
        <v>488</v>
      </c>
      <c r="AC248">
        <v>0.73699999999999999</v>
      </c>
      <c r="AD248">
        <v>934</v>
      </c>
      <c r="AE248">
        <v>910</v>
      </c>
      <c r="AF248">
        <v>0.97399999999999998</v>
      </c>
      <c r="AG248">
        <v>790</v>
      </c>
      <c r="AH248">
        <v>0.86799999999999999</v>
      </c>
      <c r="AI248">
        <v>841</v>
      </c>
      <c r="AJ248">
        <v>0.92400000000000004</v>
      </c>
      <c r="AK248">
        <v>588</v>
      </c>
      <c r="AL248">
        <v>0.69899999999999995</v>
      </c>
      <c r="AM248">
        <v>177</v>
      </c>
      <c r="AN248">
        <v>63</v>
      </c>
      <c r="AO248">
        <v>0.35599999999999998</v>
      </c>
      <c r="AP248">
        <v>50</v>
      </c>
      <c r="AQ248">
        <v>0.79400000000000004</v>
      </c>
      <c r="AR248">
        <v>63</v>
      </c>
      <c r="AS248">
        <v>1</v>
      </c>
      <c r="AT248">
        <v>30</v>
      </c>
      <c r="AU248">
        <v>0.47599999999999998</v>
      </c>
    </row>
    <row r="249" spans="1:47" x14ac:dyDescent="0.2">
      <c r="A249" t="s">
        <v>3485</v>
      </c>
      <c r="B249" t="s">
        <v>3486</v>
      </c>
      <c r="C249">
        <v>352</v>
      </c>
      <c r="D249">
        <v>317</v>
      </c>
      <c r="E249">
        <v>0.90100000000000002</v>
      </c>
      <c r="F249">
        <v>252</v>
      </c>
      <c r="G249">
        <v>0.79500000000000004</v>
      </c>
      <c r="H249">
        <v>300</v>
      </c>
      <c r="I249">
        <v>0.94599999999999995</v>
      </c>
      <c r="J249">
        <v>204</v>
      </c>
      <c r="K249">
        <v>0.68</v>
      </c>
      <c r="L249">
        <v>132</v>
      </c>
      <c r="M249">
        <v>117</v>
      </c>
      <c r="N249">
        <v>0.88600000000000001</v>
      </c>
      <c r="O249">
        <v>95</v>
      </c>
      <c r="P249">
        <v>0.81200000000000006</v>
      </c>
      <c r="Q249">
        <v>117</v>
      </c>
      <c r="R249">
        <v>1</v>
      </c>
      <c r="S249">
        <v>73</v>
      </c>
      <c r="T249">
        <v>0.624</v>
      </c>
      <c r="U249" t="s">
        <v>53</v>
      </c>
      <c r="V249">
        <v>76</v>
      </c>
      <c r="W249" t="s">
        <v>53</v>
      </c>
      <c r="X249">
        <v>65</v>
      </c>
      <c r="Y249">
        <v>0.85499999999999998</v>
      </c>
      <c r="Z249">
        <v>70</v>
      </c>
      <c r="AA249">
        <v>0.92100000000000004</v>
      </c>
      <c r="AB249">
        <v>46</v>
      </c>
      <c r="AC249">
        <v>0.65700000000000003</v>
      </c>
      <c r="AD249">
        <v>125</v>
      </c>
      <c r="AE249">
        <v>124</v>
      </c>
      <c r="AF249">
        <v>0.99199999999999999</v>
      </c>
      <c r="AG249">
        <v>92</v>
      </c>
      <c r="AH249">
        <v>0.74199999999999999</v>
      </c>
      <c r="AI249">
        <v>113</v>
      </c>
      <c r="AJ249">
        <v>0.91100000000000003</v>
      </c>
      <c r="AK249">
        <v>85</v>
      </c>
      <c r="AL249">
        <v>0.752</v>
      </c>
      <c r="AM249" t="s">
        <v>53</v>
      </c>
      <c r="AN249">
        <v>0</v>
      </c>
      <c r="AO249" t="s">
        <v>53</v>
      </c>
      <c r="AP249">
        <v>0</v>
      </c>
      <c r="AR249">
        <v>0</v>
      </c>
      <c r="AT249">
        <v>0</v>
      </c>
    </row>
    <row r="250" spans="1:47" x14ac:dyDescent="0.2">
      <c r="A250" t="s">
        <v>3421</v>
      </c>
      <c r="B250" t="s">
        <v>3422</v>
      </c>
      <c r="C250">
        <v>1289</v>
      </c>
      <c r="D250">
        <v>1250</v>
      </c>
      <c r="E250">
        <v>0.97</v>
      </c>
      <c r="F250">
        <v>1047</v>
      </c>
      <c r="G250">
        <v>0.83799999999999997</v>
      </c>
      <c r="H250">
        <v>1178</v>
      </c>
      <c r="I250">
        <v>0.94199999999999995</v>
      </c>
      <c r="J250">
        <v>876</v>
      </c>
      <c r="K250">
        <v>0.74399999999999999</v>
      </c>
      <c r="L250">
        <v>354</v>
      </c>
      <c r="M250">
        <v>279</v>
      </c>
      <c r="N250">
        <v>0.78800000000000003</v>
      </c>
      <c r="O250">
        <v>259</v>
      </c>
      <c r="P250">
        <v>0.92800000000000005</v>
      </c>
      <c r="Q250">
        <v>279</v>
      </c>
      <c r="R250">
        <v>1</v>
      </c>
      <c r="S250">
        <v>222</v>
      </c>
      <c r="T250">
        <v>0.79600000000000004</v>
      </c>
      <c r="U250">
        <v>426</v>
      </c>
      <c r="V250">
        <v>410</v>
      </c>
      <c r="W250">
        <v>0.96199999999999997</v>
      </c>
      <c r="X250">
        <v>377</v>
      </c>
      <c r="Y250">
        <v>0.92</v>
      </c>
      <c r="Z250">
        <v>387</v>
      </c>
      <c r="AA250">
        <v>0.94399999999999995</v>
      </c>
      <c r="AB250">
        <v>290</v>
      </c>
      <c r="AC250">
        <v>0.749</v>
      </c>
      <c r="AD250">
        <v>409</v>
      </c>
      <c r="AE250">
        <v>484</v>
      </c>
      <c r="AF250">
        <v>1.1830000000000001</v>
      </c>
      <c r="AG250">
        <v>355</v>
      </c>
      <c r="AH250">
        <v>0.73299999999999998</v>
      </c>
      <c r="AI250">
        <v>436</v>
      </c>
      <c r="AJ250">
        <v>0.90100000000000002</v>
      </c>
      <c r="AK250">
        <v>323</v>
      </c>
      <c r="AL250">
        <v>0.74099999999999999</v>
      </c>
      <c r="AM250">
        <v>100</v>
      </c>
      <c r="AN250">
        <v>77</v>
      </c>
      <c r="AO250">
        <v>0.77</v>
      </c>
      <c r="AP250">
        <v>56</v>
      </c>
      <c r="AQ250">
        <v>0.72699999999999998</v>
      </c>
      <c r="AR250">
        <v>76</v>
      </c>
      <c r="AS250">
        <v>0.98699999999999999</v>
      </c>
      <c r="AT250">
        <v>41</v>
      </c>
      <c r="AU250">
        <v>0.53900000000000003</v>
      </c>
    </row>
    <row r="251" spans="1:47" x14ac:dyDescent="0.2">
      <c r="A251" t="s">
        <v>3424</v>
      </c>
      <c r="B251" t="s">
        <v>3425</v>
      </c>
      <c r="C251">
        <v>837</v>
      </c>
      <c r="D251">
        <v>674</v>
      </c>
      <c r="E251">
        <v>0.80500000000000005</v>
      </c>
      <c r="F251">
        <v>525</v>
      </c>
      <c r="G251">
        <v>0.77900000000000003</v>
      </c>
      <c r="H251">
        <v>648</v>
      </c>
      <c r="I251">
        <v>0.96099999999999997</v>
      </c>
      <c r="J251">
        <v>422</v>
      </c>
      <c r="K251">
        <v>0.65100000000000002</v>
      </c>
      <c r="L251">
        <v>391</v>
      </c>
      <c r="M251">
        <v>285</v>
      </c>
      <c r="N251">
        <v>0.72899999999999998</v>
      </c>
      <c r="O251">
        <v>206</v>
      </c>
      <c r="P251">
        <v>0.72299999999999998</v>
      </c>
      <c r="Q251">
        <v>285</v>
      </c>
      <c r="R251">
        <v>1</v>
      </c>
      <c r="S251">
        <v>169</v>
      </c>
      <c r="T251">
        <v>0.59299999999999997</v>
      </c>
      <c r="U251">
        <v>156</v>
      </c>
      <c r="V251">
        <v>147</v>
      </c>
      <c r="W251">
        <v>0.94199999999999995</v>
      </c>
      <c r="X251">
        <v>124</v>
      </c>
      <c r="Y251">
        <v>0.84399999999999997</v>
      </c>
      <c r="Z251">
        <v>131</v>
      </c>
      <c r="AA251">
        <v>0.89100000000000001</v>
      </c>
      <c r="AB251">
        <v>98</v>
      </c>
      <c r="AC251">
        <v>0.748</v>
      </c>
      <c r="AD251">
        <v>220</v>
      </c>
      <c r="AE251">
        <v>203</v>
      </c>
      <c r="AF251">
        <v>0.92300000000000004</v>
      </c>
      <c r="AG251">
        <v>163</v>
      </c>
      <c r="AH251">
        <v>0.80300000000000005</v>
      </c>
      <c r="AI251">
        <v>193</v>
      </c>
      <c r="AJ251">
        <v>0.95099999999999996</v>
      </c>
      <c r="AK251">
        <v>136</v>
      </c>
      <c r="AL251">
        <v>0.70499999999999996</v>
      </c>
      <c r="AM251">
        <v>70</v>
      </c>
      <c r="AN251">
        <v>39</v>
      </c>
      <c r="AO251">
        <v>0.55700000000000005</v>
      </c>
      <c r="AP251">
        <v>32</v>
      </c>
      <c r="AQ251">
        <v>0.82099999999999995</v>
      </c>
      <c r="AR251">
        <v>39</v>
      </c>
      <c r="AS251">
        <v>1</v>
      </c>
      <c r="AT251">
        <v>19</v>
      </c>
      <c r="AU251">
        <v>0.48699999999999999</v>
      </c>
    </row>
    <row r="252" spans="1:47" x14ac:dyDescent="0.2">
      <c r="A252" t="s">
        <v>3427</v>
      </c>
      <c r="B252" t="s">
        <v>3428</v>
      </c>
      <c r="C252">
        <v>1477</v>
      </c>
      <c r="D252">
        <v>738</v>
      </c>
      <c r="E252">
        <v>0.5</v>
      </c>
      <c r="F252">
        <v>506</v>
      </c>
      <c r="G252">
        <v>0.68600000000000005</v>
      </c>
      <c r="H252">
        <v>599</v>
      </c>
      <c r="I252">
        <v>0.81200000000000006</v>
      </c>
      <c r="J252">
        <v>376</v>
      </c>
      <c r="K252">
        <v>0.628</v>
      </c>
      <c r="L252">
        <v>383</v>
      </c>
      <c r="M252" t="s">
        <v>53</v>
      </c>
      <c r="N252" t="s">
        <v>53</v>
      </c>
      <c r="O252" t="s">
        <v>53</v>
      </c>
      <c r="P252" t="s">
        <v>53</v>
      </c>
      <c r="Q252" t="s">
        <v>53</v>
      </c>
      <c r="R252" t="s">
        <v>53</v>
      </c>
      <c r="S252" t="s">
        <v>53</v>
      </c>
      <c r="T252" t="s">
        <v>53</v>
      </c>
      <c r="U252">
        <v>398</v>
      </c>
      <c r="V252">
        <v>307</v>
      </c>
      <c r="W252">
        <v>0.77100000000000002</v>
      </c>
      <c r="X252">
        <v>205</v>
      </c>
      <c r="Y252">
        <v>0.66800000000000004</v>
      </c>
      <c r="Z252">
        <v>239</v>
      </c>
      <c r="AA252">
        <v>0.77900000000000003</v>
      </c>
      <c r="AB252">
        <v>147</v>
      </c>
      <c r="AC252">
        <v>0.61499999999999999</v>
      </c>
      <c r="AD252">
        <v>418</v>
      </c>
      <c r="AE252">
        <v>322</v>
      </c>
      <c r="AF252">
        <v>0.77</v>
      </c>
      <c r="AG252">
        <v>199</v>
      </c>
      <c r="AH252">
        <v>0.61799999999999999</v>
      </c>
      <c r="AI252">
        <v>251</v>
      </c>
      <c r="AJ252">
        <v>0.78</v>
      </c>
      <c r="AK252">
        <v>150</v>
      </c>
      <c r="AL252">
        <v>0.59799999999999998</v>
      </c>
      <c r="AM252">
        <v>278</v>
      </c>
      <c r="AN252" t="s">
        <v>53</v>
      </c>
      <c r="AO252" t="s">
        <v>53</v>
      </c>
      <c r="AP252" t="s">
        <v>53</v>
      </c>
      <c r="AQ252" t="s">
        <v>53</v>
      </c>
      <c r="AR252" t="s">
        <v>53</v>
      </c>
      <c r="AS252" t="s">
        <v>53</v>
      </c>
      <c r="AT252" t="s">
        <v>53</v>
      </c>
      <c r="AU252" t="s">
        <v>53</v>
      </c>
    </row>
    <row r="253" spans="1:47" x14ac:dyDescent="0.2">
      <c r="A253" t="s">
        <v>3406</v>
      </c>
      <c r="B253" t="s">
        <v>3407</v>
      </c>
      <c r="C253">
        <v>168</v>
      </c>
      <c r="D253">
        <v>95</v>
      </c>
      <c r="E253">
        <v>0.56499999999999995</v>
      </c>
      <c r="F253">
        <v>89</v>
      </c>
      <c r="G253">
        <v>0.93700000000000006</v>
      </c>
      <c r="H253">
        <v>95</v>
      </c>
      <c r="I253">
        <v>1</v>
      </c>
      <c r="J253">
        <v>72</v>
      </c>
      <c r="K253">
        <v>0.75800000000000001</v>
      </c>
      <c r="L253">
        <v>168</v>
      </c>
      <c r="M253">
        <v>95</v>
      </c>
      <c r="N253">
        <v>0.56499999999999995</v>
      </c>
      <c r="O253">
        <v>89</v>
      </c>
      <c r="P253">
        <v>0.93700000000000006</v>
      </c>
      <c r="Q253">
        <v>95</v>
      </c>
      <c r="R253">
        <v>1</v>
      </c>
      <c r="S253">
        <v>72</v>
      </c>
      <c r="T253">
        <v>0.75800000000000001</v>
      </c>
      <c r="U253">
        <v>0</v>
      </c>
      <c r="V253">
        <v>0</v>
      </c>
      <c r="X253">
        <v>0</v>
      </c>
      <c r="Z253">
        <v>0</v>
      </c>
      <c r="AB253">
        <v>0</v>
      </c>
      <c r="AD253">
        <v>0</v>
      </c>
      <c r="AE253">
        <v>0</v>
      </c>
      <c r="AG253">
        <v>0</v>
      </c>
      <c r="AI253">
        <v>0</v>
      </c>
      <c r="AK253">
        <v>0</v>
      </c>
      <c r="AM253">
        <v>0</v>
      </c>
      <c r="AN253">
        <v>0</v>
      </c>
      <c r="AP253">
        <v>0</v>
      </c>
      <c r="AR253">
        <v>0</v>
      </c>
      <c r="AT253">
        <v>0</v>
      </c>
    </row>
    <row r="254" spans="1:47" x14ac:dyDescent="0.2">
      <c r="A254" t="s">
        <v>3430</v>
      </c>
      <c r="B254" t="s">
        <v>3431</v>
      </c>
      <c r="C254">
        <v>870</v>
      </c>
      <c r="D254">
        <v>727</v>
      </c>
      <c r="E254">
        <v>0.83599999999999997</v>
      </c>
      <c r="F254">
        <v>516</v>
      </c>
      <c r="G254">
        <v>0.71</v>
      </c>
      <c r="H254">
        <v>664</v>
      </c>
      <c r="I254">
        <v>0.91300000000000003</v>
      </c>
      <c r="J254">
        <v>443</v>
      </c>
      <c r="K254">
        <v>0.66700000000000004</v>
      </c>
      <c r="L254">
        <v>256</v>
      </c>
      <c r="M254">
        <v>219</v>
      </c>
      <c r="N254">
        <v>0.85499999999999998</v>
      </c>
      <c r="O254">
        <v>167</v>
      </c>
      <c r="P254">
        <v>0.76300000000000001</v>
      </c>
      <c r="Q254">
        <v>219</v>
      </c>
      <c r="R254">
        <v>1</v>
      </c>
      <c r="S254">
        <v>143</v>
      </c>
      <c r="T254">
        <v>0.65300000000000002</v>
      </c>
      <c r="U254">
        <v>197</v>
      </c>
      <c r="V254">
        <v>182</v>
      </c>
      <c r="W254">
        <v>0.92400000000000004</v>
      </c>
      <c r="X254">
        <v>123</v>
      </c>
      <c r="Y254">
        <v>0.67600000000000005</v>
      </c>
      <c r="Z254">
        <v>150</v>
      </c>
      <c r="AA254">
        <v>0.82399999999999995</v>
      </c>
      <c r="AB254">
        <v>109</v>
      </c>
      <c r="AC254">
        <v>0.72699999999999998</v>
      </c>
      <c r="AD254">
        <v>219</v>
      </c>
      <c r="AE254">
        <v>219</v>
      </c>
      <c r="AF254">
        <v>1</v>
      </c>
      <c r="AG254">
        <v>124</v>
      </c>
      <c r="AH254">
        <v>0.56599999999999995</v>
      </c>
      <c r="AI254">
        <v>188</v>
      </c>
      <c r="AJ254">
        <v>0.85799999999999998</v>
      </c>
      <c r="AK254">
        <v>121</v>
      </c>
      <c r="AL254">
        <v>0.64400000000000002</v>
      </c>
      <c r="AM254">
        <v>198</v>
      </c>
      <c r="AN254">
        <v>107</v>
      </c>
      <c r="AO254">
        <v>0.54</v>
      </c>
      <c r="AP254">
        <v>102</v>
      </c>
      <c r="AQ254">
        <v>0.95299999999999996</v>
      </c>
      <c r="AR254">
        <v>107</v>
      </c>
      <c r="AS254">
        <v>1</v>
      </c>
      <c r="AT254">
        <v>70</v>
      </c>
      <c r="AU254">
        <v>0.65400000000000003</v>
      </c>
    </row>
    <row r="255" spans="1:47" x14ac:dyDescent="0.2">
      <c r="A255" t="s">
        <v>3433</v>
      </c>
      <c r="B255" t="s">
        <v>3434</v>
      </c>
      <c r="C255">
        <v>232</v>
      </c>
      <c r="D255">
        <v>194</v>
      </c>
      <c r="E255">
        <v>0.83599999999999997</v>
      </c>
      <c r="F255">
        <v>168</v>
      </c>
      <c r="G255">
        <v>0.86599999999999999</v>
      </c>
      <c r="H255">
        <v>192</v>
      </c>
      <c r="I255">
        <v>0.99</v>
      </c>
      <c r="J255">
        <v>128</v>
      </c>
      <c r="K255">
        <v>0.66700000000000004</v>
      </c>
      <c r="L255">
        <v>53</v>
      </c>
      <c r="M255">
        <v>42</v>
      </c>
      <c r="N255">
        <v>0.79200000000000004</v>
      </c>
      <c r="O255">
        <v>26</v>
      </c>
      <c r="P255">
        <v>0.61899999999999999</v>
      </c>
      <c r="Q255">
        <v>42</v>
      </c>
      <c r="R255">
        <v>1</v>
      </c>
      <c r="S255">
        <v>22</v>
      </c>
      <c r="T255">
        <v>0.52400000000000002</v>
      </c>
      <c r="U255">
        <v>62</v>
      </c>
      <c r="V255">
        <v>56</v>
      </c>
      <c r="W255">
        <v>0.90300000000000002</v>
      </c>
      <c r="X255">
        <v>53</v>
      </c>
      <c r="Y255">
        <v>0.94599999999999995</v>
      </c>
      <c r="Z255">
        <v>56</v>
      </c>
      <c r="AA255">
        <v>1</v>
      </c>
      <c r="AB255">
        <v>41</v>
      </c>
      <c r="AC255">
        <v>0.73199999999999998</v>
      </c>
      <c r="AD255">
        <v>117</v>
      </c>
      <c r="AE255">
        <v>96</v>
      </c>
      <c r="AF255">
        <v>0.82099999999999995</v>
      </c>
      <c r="AG255">
        <v>89</v>
      </c>
      <c r="AH255">
        <v>0.92700000000000005</v>
      </c>
      <c r="AI255">
        <v>94</v>
      </c>
      <c r="AJ255">
        <v>0.97899999999999998</v>
      </c>
      <c r="AK255">
        <v>65</v>
      </c>
      <c r="AL255">
        <v>0.69099999999999995</v>
      </c>
      <c r="AM255">
        <v>0</v>
      </c>
      <c r="AN255">
        <v>0</v>
      </c>
      <c r="AP255">
        <v>0</v>
      </c>
      <c r="AR255">
        <v>0</v>
      </c>
      <c r="AT255">
        <v>0</v>
      </c>
    </row>
    <row r="256" spans="1:47" x14ac:dyDescent="0.2">
      <c r="A256" t="s">
        <v>4381</v>
      </c>
      <c r="B256" t="s">
        <v>4382</v>
      </c>
      <c r="C256">
        <v>247</v>
      </c>
      <c r="D256">
        <v>601</v>
      </c>
      <c r="E256">
        <v>2.4329999999999998</v>
      </c>
      <c r="F256">
        <v>493</v>
      </c>
      <c r="G256">
        <v>0.82</v>
      </c>
      <c r="H256">
        <v>563</v>
      </c>
      <c r="I256">
        <v>0.93700000000000006</v>
      </c>
      <c r="J256">
        <v>433</v>
      </c>
      <c r="K256">
        <v>0.76900000000000002</v>
      </c>
      <c r="L256">
        <v>0</v>
      </c>
      <c r="M256">
        <v>0</v>
      </c>
      <c r="O256">
        <v>0</v>
      </c>
      <c r="Q256">
        <v>0</v>
      </c>
      <c r="S256">
        <v>0</v>
      </c>
      <c r="U256">
        <v>132</v>
      </c>
      <c r="V256">
        <v>261</v>
      </c>
      <c r="W256">
        <v>1.9770000000000001</v>
      </c>
      <c r="X256">
        <v>244</v>
      </c>
      <c r="Y256">
        <v>0.93500000000000005</v>
      </c>
      <c r="Z256">
        <v>253</v>
      </c>
      <c r="AA256">
        <v>0.96899999999999997</v>
      </c>
      <c r="AB256">
        <v>201</v>
      </c>
      <c r="AC256">
        <v>0.79400000000000004</v>
      </c>
      <c r="AD256" t="s">
        <v>53</v>
      </c>
      <c r="AE256">
        <v>340</v>
      </c>
      <c r="AF256" t="s">
        <v>53</v>
      </c>
      <c r="AG256">
        <v>249</v>
      </c>
      <c r="AH256">
        <v>0.73199999999999998</v>
      </c>
      <c r="AI256">
        <v>310</v>
      </c>
      <c r="AJ256">
        <v>0.91200000000000003</v>
      </c>
      <c r="AK256">
        <v>232</v>
      </c>
      <c r="AL256">
        <v>0.748</v>
      </c>
      <c r="AM256" t="s">
        <v>53</v>
      </c>
      <c r="AN256">
        <v>0</v>
      </c>
      <c r="AO256" t="s">
        <v>53</v>
      </c>
      <c r="AP256">
        <v>0</v>
      </c>
      <c r="AR256">
        <v>0</v>
      </c>
      <c r="AT256">
        <v>0</v>
      </c>
    </row>
    <row r="257" spans="1:47" x14ac:dyDescent="0.2">
      <c r="A257" t="s">
        <v>4364</v>
      </c>
      <c r="B257" t="s">
        <v>4365</v>
      </c>
      <c r="C257">
        <v>90</v>
      </c>
      <c r="D257">
        <v>259</v>
      </c>
      <c r="E257">
        <v>2.8780000000000001</v>
      </c>
      <c r="F257">
        <v>195</v>
      </c>
      <c r="G257">
        <v>0.753</v>
      </c>
      <c r="H257">
        <v>245</v>
      </c>
      <c r="I257">
        <v>0.94599999999999995</v>
      </c>
      <c r="J257">
        <v>166</v>
      </c>
      <c r="K257">
        <v>0.67800000000000005</v>
      </c>
      <c r="L257">
        <v>30</v>
      </c>
      <c r="M257">
        <v>0</v>
      </c>
      <c r="N257">
        <v>0</v>
      </c>
      <c r="O257">
        <v>0</v>
      </c>
      <c r="Q257">
        <v>0</v>
      </c>
      <c r="S257">
        <v>0</v>
      </c>
      <c r="U257">
        <v>27</v>
      </c>
      <c r="V257">
        <v>118</v>
      </c>
      <c r="W257">
        <v>4.37</v>
      </c>
      <c r="X257">
        <v>97</v>
      </c>
      <c r="Y257">
        <v>0.82199999999999995</v>
      </c>
      <c r="Z257">
        <v>112</v>
      </c>
      <c r="AA257">
        <v>0.94899999999999995</v>
      </c>
      <c r="AB257">
        <v>81</v>
      </c>
      <c r="AC257">
        <v>0.72299999999999998</v>
      </c>
      <c r="AD257">
        <v>33</v>
      </c>
      <c r="AE257">
        <v>141</v>
      </c>
      <c r="AF257">
        <v>4.2729999999999997</v>
      </c>
      <c r="AG257">
        <v>98</v>
      </c>
      <c r="AH257">
        <v>0.69499999999999995</v>
      </c>
      <c r="AI257">
        <v>133</v>
      </c>
      <c r="AJ257">
        <v>0.94299999999999995</v>
      </c>
      <c r="AK257">
        <v>85</v>
      </c>
      <c r="AL257">
        <v>0.63900000000000001</v>
      </c>
      <c r="AM257">
        <v>0</v>
      </c>
      <c r="AN257">
        <v>0</v>
      </c>
      <c r="AP257">
        <v>0</v>
      </c>
      <c r="AR257">
        <v>0</v>
      </c>
      <c r="AT257">
        <v>0</v>
      </c>
    </row>
    <row r="258" spans="1:47" x14ac:dyDescent="0.2">
      <c r="A258" t="s">
        <v>3436</v>
      </c>
      <c r="B258" t="s">
        <v>3437</v>
      </c>
      <c r="C258">
        <v>205</v>
      </c>
      <c r="D258">
        <v>206</v>
      </c>
      <c r="E258">
        <v>1.0049999999999999</v>
      </c>
      <c r="F258">
        <v>195</v>
      </c>
      <c r="G258">
        <v>0.94699999999999995</v>
      </c>
      <c r="H258">
        <v>204</v>
      </c>
      <c r="I258">
        <v>0.99</v>
      </c>
      <c r="J258">
        <v>152</v>
      </c>
      <c r="K258">
        <v>0.745</v>
      </c>
      <c r="L258">
        <v>29</v>
      </c>
      <c r="M258">
        <v>32</v>
      </c>
      <c r="N258">
        <v>1.103</v>
      </c>
      <c r="O258">
        <v>28</v>
      </c>
      <c r="P258">
        <v>0.875</v>
      </c>
      <c r="Q258">
        <v>32</v>
      </c>
      <c r="R258">
        <v>1</v>
      </c>
      <c r="S258">
        <v>22</v>
      </c>
      <c r="T258">
        <v>0.68799999999999994</v>
      </c>
      <c r="U258">
        <v>83</v>
      </c>
      <c r="V258">
        <v>83</v>
      </c>
      <c r="W258">
        <v>1</v>
      </c>
      <c r="X258">
        <v>81</v>
      </c>
      <c r="Y258">
        <v>0.97599999999999998</v>
      </c>
      <c r="Z258">
        <v>82</v>
      </c>
      <c r="AA258">
        <v>0.98799999999999999</v>
      </c>
      <c r="AB258">
        <v>62</v>
      </c>
      <c r="AC258">
        <v>0.75600000000000001</v>
      </c>
      <c r="AD258">
        <v>93</v>
      </c>
      <c r="AE258">
        <v>91</v>
      </c>
      <c r="AF258">
        <v>0.97799999999999998</v>
      </c>
      <c r="AG258">
        <v>86</v>
      </c>
      <c r="AH258">
        <v>0.94499999999999995</v>
      </c>
      <c r="AI258">
        <v>90</v>
      </c>
      <c r="AJ258">
        <v>0.98899999999999999</v>
      </c>
      <c r="AK258">
        <v>68</v>
      </c>
      <c r="AL258">
        <v>0.75600000000000001</v>
      </c>
      <c r="AM258">
        <v>0</v>
      </c>
      <c r="AN258">
        <v>0</v>
      </c>
      <c r="AP258">
        <v>0</v>
      </c>
      <c r="AR258">
        <v>0</v>
      </c>
      <c r="AT258">
        <v>0</v>
      </c>
    </row>
    <row r="259" spans="1:47" x14ac:dyDescent="0.2">
      <c r="A259" t="s">
        <v>3439</v>
      </c>
      <c r="B259" t="s">
        <v>3440</v>
      </c>
      <c r="C259">
        <v>418</v>
      </c>
      <c r="D259">
        <v>291</v>
      </c>
      <c r="E259">
        <v>0.69599999999999995</v>
      </c>
      <c r="F259">
        <v>266</v>
      </c>
      <c r="G259">
        <v>0.91400000000000003</v>
      </c>
      <c r="H259">
        <v>276</v>
      </c>
      <c r="I259">
        <v>0.94799999999999995</v>
      </c>
      <c r="J259">
        <v>189</v>
      </c>
      <c r="K259">
        <v>0.68500000000000005</v>
      </c>
      <c r="L259">
        <v>90</v>
      </c>
      <c r="M259">
        <v>52</v>
      </c>
      <c r="N259">
        <v>0.57799999999999996</v>
      </c>
      <c r="O259">
        <v>48</v>
      </c>
      <c r="P259">
        <v>0.92300000000000004</v>
      </c>
      <c r="Q259">
        <v>52</v>
      </c>
      <c r="R259">
        <v>1</v>
      </c>
      <c r="S259">
        <v>30</v>
      </c>
      <c r="T259">
        <v>0.57699999999999996</v>
      </c>
      <c r="U259">
        <v>116</v>
      </c>
      <c r="V259">
        <v>97</v>
      </c>
      <c r="W259">
        <v>0.83599999999999997</v>
      </c>
      <c r="X259">
        <v>92</v>
      </c>
      <c r="Y259">
        <v>0.94799999999999995</v>
      </c>
      <c r="Z259">
        <v>93</v>
      </c>
      <c r="AA259">
        <v>0.95899999999999996</v>
      </c>
      <c r="AB259">
        <v>70</v>
      </c>
      <c r="AC259">
        <v>0.753</v>
      </c>
      <c r="AD259">
        <v>145</v>
      </c>
      <c r="AE259">
        <v>131</v>
      </c>
      <c r="AF259">
        <v>0.90300000000000002</v>
      </c>
      <c r="AG259">
        <v>115</v>
      </c>
      <c r="AH259">
        <v>0.878</v>
      </c>
      <c r="AI259">
        <v>120</v>
      </c>
      <c r="AJ259">
        <v>0.91600000000000004</v>
      </c>
      <c r="AK259">
        <v>83</v>
      </c>
      <c r="AL259">
        <v>0.69199999999999995</v>
      </c>
      <c r="AM259">
        <v>67</v>
      </c>
      <c r="AN259">
        <v>11</v>
      </c>
      <c r="AO259">
        <v>0.16400000000000001</v>
      </c>
      <c r="AP259">
        <v>11</v>
      </c>
      <c r="AQ259">
        <v>1</v>
      </c>
      <c r="AR259">
        <v>11</v>
      </c>
      <c r="AS259">
        <v>1</v>
      </c>
      <c r="AT259">
        <v>6</v>
      </c>
      <c r="AU259">
        <v>0.54500000000000004</v>
      </c>
    </row>
    <row r="260" spans="1:47" x14ac:dyDescent="0.2">
      <c r="A260" t="s">
        <v>3412</v>
      </c>
      <c r="B260" t="s">
        <v>3413</v>
      </c>
      <c r="C260">
        <v>140</v>
      </c>
      <c r="D260">
        <v>145</v>
      </c>
      <c r="E260">
        <v>1.036</v>
      </c>
      <c r="F260">
        <v>107</v>
      </c>
      <c r="G260">
        <v>0.73799999999999999</v>
      </c>
      <c r="H260">
        <v>128</v>
      </c>
      <c r="I260">
        <v>0.88300000000000001</v>
      </c>
      <c r="J260">
        <v>99</v>
      </c>
      <c r="K260">
        <v>0.77300000000000002</v>
      </c>
      <c r="L260">
        <v>27</v>
      </c>
      <c r="M260" t="s">
        <v>53</v>
      </c>
      <c r="N260" t="s">
        <v>53</v>
      </c>
      <c r="O260" t="s">
        <v>53</v>
      </c>
      <c r="P260" t="s">
        <v>53</v>
      </c>
      <c r="Q260" t="s">
        <v>53</v>
      </c>
      <c r="R260" t="s">
        <v>53</v>
      </c>
      <c r="S260" t="s">
        <v>53</v>
      </c>
      <c r="T260" t="s">
        <v>53</v>
      </c>
      <c r="U260">
        <v>58</v>
      </c>
      <c r="V260" t="s">
        <v>53</v>
      </c>
      <c r="W260" t="s">
        <v>53</v>
      </c>
      <c r="X260">
        <v>54</v>
      </c>
      <c r="Y260" t="s">
        <v>53</v>
      </c>
      <c r="Z260" t="s">
        <v>53</v>
      </c>
      <c r="AA260" t="s">
        <v>53</v>
      </c>
      <c r="AB260" t="s">
        <v>53</v>
      </c>
      <c r="AC260" t="s">
        <v>53</v>
      </c>
      <c r="AD260">
        <v>55</v>
      </c>
      <c r="AE260">
        <v>79</v>
      </c>
      <c r="AF260">
        <v>1.4359999999999999</v>
      </c>
      <c r="AG260" t="s">
        <v>53</v>
      </c>
      <c r="AH260" t="s">
        <v>53</v>
      </c>
      <c r="AI260">
        <v>65</v>
      </c>
      <c r="AJ260">
        <v>0.82299999999999995</v>
      </c>
      <c r="AK260">
        <v>52</v>
      </c>
      <c r="AL260">
        <v>0.8</v>
      </c>
      <c r="AM260">
        <v>0</v>
      </c>
      <c r="AN260">
        <v>0</v>
      </c>
      <c r="AP260">
        <v>0</v>
      </c>
      <c r="AR260">
        <v>0</v>
      </c>
      <c r="AT260">
        <v>0</v>
      </c>
    </row>
    <row r="261" spans="1:47" x14ac:dyDescent="0.2">
      <c r="A261" t="s">
        <v>3415</v>
      </c>
      <c r="B261" t="s">
        <v>3416</v>
      </c>
      <c r="C261">
        <v>93</v>
      </c>
      <c r="D261">
        <v>86</v>
      </c>
      <c r="E261">
        <v>0.92500000000000004</v>
      </c>
      <c r="F261">
        <v>79</v>
      </c>
      <c r="G261">
        <v>0.91900000000000004</v>
      </c>
      <c r="H261">
        <v>86</v>
      </c>
      <c r="I261">
        <v>1</v>
      </c>
      <c r="J261">
        <v>67</v>
      </c>
      <c r="K261">
        <v>0.77900000000000003</v>
      </c>
      <c r="L261">
        <v>51</v>
      </c>
      <c r="M261">
        <v>40</v>
      </c>
      <c r="N261">
        <v>0.78400000000000003</v>
      </c>
      <c r="O261">
        <v>39</v>
      </c>
      <c r="P261">
        <v>0.97499999999999998</v>
      </c>
      <c r="Q261">
        <v>40</v>
      </c>
      <c r="R261">
        <v>1</v>
      </c>
      <c r="S261">
        <v>34</v>
      </c>
      <c r="T261">
        <v>0.85</v>
      </c>
      <c r="U261">
        <v>26</v>
      </c>
      <c r="V261">
        <v>28</v>
      </c>
      <c r="W261">
        <v>1.077</v>
      </c>
      <c r="X261">
        <v>24</v>
      </c>
      <c r="Y261">
        <v>0.85699999999999998</v>
      </c>
      <c r="Z261">
        <v>28</v>
      </c>
      <c r="AA261">
        <v>1</v>
      </c>
      <c r="AB261">
        <v>19</v>
      </c>
      <c r="AC261">
        <v>0.67900000000000005</v>
      </c>
      <c r="AD261">
        <v>16</v>
      </c>
      <c r="AE261">
        <v>18</v>
      </c>
      <c r="AF261">
        <v>1.125</v>
      </c>
      <c r="AG261">
        <v>16</v>
      </c>
      <c r="AH261">
        <v>0.88900000000000001</v>
      </c>
      <c r="AI261">
        <v>18</v>
      </c>
      <c r="AJ261">
        <v>1</v>
      </c>
      <c r="AK261">
        <v>14</v>
      </c>
      <c r="AL261">
        <v>0.77800000000000002</v>
      </c>
      <c r="AM261">
        <v>0</v>
      </c>
      <c r="AN261">
        <v>0</v>
      </c>
      <c r="AP261">
        <v>0</v>
      </c>
      <c r="AR261">
        <v>0</v>
      </c>
      <c r="AT261">
        <v>0</v>
      </c>
    </row>
    <row r="262" spans="1:47" x14ac:dyDescent="0.2">
      <c r="A262" t="s">
        <v>3418</v>
      </c>
      <c r="B262" t="s">
        <v>3419</v>
      </c>
      <c r="C262">
        <v>554</v>
      </c>
      <c r="D262">
        <v>302</v>
      </c>
      <c r="E262">
        <v>0.54500000000000004</v>
      </c>
      <c r="F262">
        <v>252</v>
      </c>
      <c r="G262">
        <v>0.83399999999999996</v>
      </c>
      <c r="H262">
        <v>295</v>
      </c>
      <c r="I262">
        <v>0.97699999999999998</v>
      </c>
      <c r="J262">
        <v>211</v>
      </c>
      <c r="K262">
        <v>0.71499999999999997</v>
      </c>
      <c r="L262">
        <v>135</v>
      </c>
      <c r="M262">
        <v>97</v>
      </c>
      <c r="N262">
        <v>0.71899999999999997</v>
      </c>
      <c r="O262">
        <v>68</v>
      </c>
      <c r="P262">
        <v>0.70099999999999996</v>
      </c>
      <c r="Q262">
        <v>97</v>
      </c>
      <c r="R262">
        <v>1</v>
      </c>
      <c r="S262">
        <v>59</v>
      </c>
      <c r="T262">
        <v>0.60799999999999998</v>
      </c>
      <c r="U262">
        <v>147</v>
      </c>
      <c r="V262">
        <v>78</v>
      </c>
      <c r="W262">
        <v>0.53100000000000003</v>
      </c>
      <c r="X262">
        <v>74</v>
      </c>
      <c r="Y262">
        <v>0.94899999999999995</v>
      </c>
      <c r="Z262">
        <v>75</v>
      </c>
      <c r="AA262">
        <v>0.96199999999999997</v>
      </c>
      <c r="AB262">
        <v>59</v>
      </c>
      <c r="AC262">
        <v>0.78700000000000003</v>
      </c>
      <c r="AD262">
        <v>178</v>
      </c>
      <c r="AE262">
        <v>96</v>
      </c>
      <c r="AF262">
        <v>0.53900000000000003</v>
      </c>
      <c r="AG262">
        <v>82</v>
      </c>
      <c r="AH262">
        <v>0.85399999999999998</v>
      </c>
      <c r="AI262">
        <v>92</v>
      </c>
      <c r="AJ262">
        <v>0.95799999999999996</v>
      </c>
      <c r="AK262">
        <v>77</v>
      </c>
      <c r="AL262">
        <v>0.83699999999999997</v>
      </c>
      <c r="AM262">
        <v>94</v>
      </c>
      <c r="AN262">
        <v>31</v>
      </c>
      <c r="AO262">
        <v>0.33</v>
      </c>
      <c r="AP262">
        <v>28</v>
      </c>
      <c r="AQ262">
        <v>0.90300000000000002</v>
      </c>
      <c r="AR262">
        <v>31</v>
      </c>
      <c r="AS262">
        <v>1</v>
      </c>
      <c r="AT262">
        <v>16</v>
      </c>
      <c r="AU262">
        <v>0.51600000000000001</v>
      </c>
    </row>
    <row r="263" spans="1:47" x14ac:dyDescent="0.2">
      <c r="A263" t="s">
        <v>4370</v>
      </c>
      <c r="B263" t="s">
        <v>4371</v>
      </c>
      <c r="C263">
        <v>509</v>
      </c>
      <c r="D263">
        <v>271</v>
      </c>
      <c r="E263">
        <v>0.53200000000000003</v>
      </c>
      <c r="F263">
        <v>162</v>
      </c>
      <c r="G263">
        <v>0.59799999999999998</v>
      </c>
      <c r="H263">
        <v>224</v>
      </c>
      <c r="I263">
        <v>0.82699999999999996</v>
      </c>
      <c r="J263">
        <v>168</v>
      </c>
      <c r="K263">
        <v>0.75</v>
      </c>
      <c r="L263">
        <v>158</v>
      </c>
      <c r="M263">
        <v>7</v>
      </c>
      <c r="N263">
        <v>4.3999999999999997E-2</v>
      </c>
      <c r="O263" t="s">
        <v>53</v>
      </c>
      <c r="P263" t="s">
        <v>53</v>
      </c>
      <c r="Q263" t="s">
        <v>53</v>
      </c>
      <c r="R263" t="s">
        <v>53</v>
      </c>
      <c r="S263" t="s">
        <v>53</v>
      </c>
      <c r="T263" t="s">
        <v>53</v>
      </c>
      <c r="U263">
        <v>138</v>
      </c>
      <c r="V263">
        <v>140</v>
      </c>
      <c r="W263">
        <v>1.014</v>
      </c>
      <c r="X263">
        <v>93</v>
      </c>
      <c r="Y263">
        <v>0.66400000000000003</v>
      </c>
      <c r="Z263">
        <v>125</v>
      </c>
      <c r="AA263">
        <v>0.89300000000000002</v>
      </c>
      <c r="AB263">
        <v>97</v>
      </c>
      <c r="AC263">
        <v>0.77600000000000002</v>
      </c>
      <c r="AD263">
        <v>106</v>
      </c>
      <c r="AE263">
        <v>112</v>
      </c>
      <c r="AF263">
        <v>1.0569999999999999</v>
      </c>
      <c r="AG263">
        <v>55</v>
      </c>
      <c r="AH263">
        <v>0.49099999999999999</v>
      </c>
      <c r="AI263">
        <v>84</v>
      </c>
      <c r="AJ263">
        <v>0.75</v>
      </c>
      <c r="AK263">
        <v>61</v>
      </c>
      <c r="AL263">
        <v>0.72599999999999998</v>
      </c>
      <c r="AM263">
        <v>107</v>
      </c>
      <c r="AN263">
        <v>12</v>
      </c>
      <c r="AO263">
        <v>0.112</v>
      </c>
      <c r="AP263" t="s">
        <v>53</v>
      </c>
      <c r="AQ263" t="s">
        <v>53</v>
      </c>
      <c r="AR263" t="s">
        <v>53</v>
      </c>
      <c r="AS263" t="s">
        <v>53</v>
      </c>
      <c r="AT263" t="s">
        <v>53</v>
      </c>
      <c r="AU263" t="s">
        <v>53</v>
      </c>
    </row>
    <row r="264" spans="1:47" x14ac:dyDescent="0.2">
      <c r="A264" t="s">
        <v>3409</v>
      </c>
      <c r="B264" t="s">
        <v>3410</v>
      </c>
      <c r="C264">
        <v>314</v>
      </c>
      <c r="D264">
        <v>390</v>
      </c>
      <c r="E264">
        <v>1.242</v>
      </c>
      <c r="F264">
        <v>253</v>
      </c>
      <c r="G264">
        <v>0.64900000000000002</v>
      </c>
      <c r="H264">
        <v>363</v>
      </c>
      <c r="I264">
        <v>0.93100000000000005</v>
      </c>
      <c r="J264">
        <v>254</v>
      </c>
      <c r="K264">
        <v>0.7</v>
      </c>
      <c r="L264">
        <v>57</v>
      </c>
      <c r="M264">
        <v>79</v>
      </c>
      <c r="N264">
        <v>1.3859999999999999</v>
      </c>
      <c r="O264">
        <v>43</v>
      </c>
      <c r="P264">
        <v>0.54400000000000004</v>
      </c>
      <c r="Q264">
        <v>79</v>
      </c>
      <c r="R264">
        <v>1</v>
      </c>
      <c r="S264">
        <v>51</v>
      </c>
      <c r="T264">
        <v>0.64600000000000002</v>
      </c>
      <c r="U264">
        <v>159</v>
      </c>
      <c r="V264">
        <v>183</v>
      </c>
      <c r="W264">
        <v>1.151</v>
      </c>
      <c r="X264">
        <v>136</v>
      </c>
      <c r="Y264">
        <v>0.74299999999999999</v>
      </c>
      <c r="Z264">
        <v>177</v>
      </c>
      <c r="AA264">
        <v>0.96699999999999997</v>
      </c>
      <c r="AB264">
        <v>121</v>
      </c>
      <c r="AC264">
        <v>0.68400000000000005</v>
      </c>
      <c r="AD264">
        <v>98</v>
      </c>
      <c r="AE264">
        <v>128</v>
      </c>
      <c r="AF264">
        <v>1.306</v>
      </c>
      <c r="AG264">
        <v>74</v>
      </c>
      <c r="AH264">
        <v>0.57799999999999996</v>
      </c>
      <c r="AI264">
        <v>107</v>
      </c>
      <c r="AJ264">
        <v>0.83599999999999997</v>
      </c>
      <c r="AK264">
        <v>82</v>
      </c>
      <c r="AL264">
        <v>0.76600000000000001</v>
      </c>
      <c r="AM264">
        <v>0</v>
      </c>
      <c r="AN264">
        <v>0</v>
      </c>
      <c r="AP264">
        <v>0</v>
      </c>
      <c r="AR264">
        <v>0</v>
      </c>
      <c r="AT264">
        <v>0</v>
      </c>
    </row>
    <row r="265" spans="1:47" x14ac:dyDescent="0.2">
      <c r="A265" t="s">
        <v>4267</v>
      </c>
      <c r="B265" t="s">
        <v>4268</v>
      </c>
      <c r="C265">
        <v>300</v>
      </c>
      <c r="D265">
        <v>213</v>
      </c>
      <c r="E265">
        <v>0.71</v>
      </c>
      <c r="F265">
        <v>169</v>
      </c>
      <c r="G265">
        <v>0.79300000000000004</v>
      </c>
      <c r="H265">
        <v>204</v>
      </c>
      <c r="I265">
        <v>0.95799999999999996</v>
      </c>
      <c r="J265">
        <v>137</v>
      </c>
      <c r="K265">
        <v>0.67200000000000004</v>
      </c>
      <c r="L265">
        <v>55</v>
      </c>
      <c r="M265">
        <v>0</v>
      </c>
      <c r="N265">
        <v>0</v>
      </c>
      <c r="O265">
        <v>0</v>
      </c>
      <c r="Q265">
        <v>0</v>
      </c>
      <c r="S265">
        <v>0</v>
      </c>
      <c r="U265">
        <v>137</v>
      </c>
      <c r="V265">
        <v>115</v>
      </c>
      <c r="W265">
        <v>0.83899999999999997</v>
      </c>
      <c r="X265">
        <v>98</v>
      </c>
      <c r="Y265">
        <v>0.85199999999999998</v>
      </c>
      <c r="Z265">
        <v>113</v>
      </c>
      <c r="AA265">
        <v>0.98299999999999998</v>
      </c>
      <c r="AB265">
        <v>78</v>
      </c>
      <c r="AC265">
        <v>0.69</v>
      </c>
      <c r="AD265">
        <v>108</v>
      </c>
      <c r="AE265">
        <v>98</v>
      </c>
      <c r="AF265">
        <v>0.90700000000000003</v>
      </c>
      <c r="AG265">
        <v>71</v>
      </c>
      <c r="AH265">
        <v>0.72399999999999998</v>
      </c>
      <c r="AI265">
        <v>91</v>
      </c>
      <c r="AJ265">
        <v>0.92900000000000005</v>
      </c>
      <c r="AK265">
        <v>59</v>
      </c>
      <c r="AL265">
        <v>0.64800000000000002</v>
      </c>
      <c r="AM265">
        <v>0</v>
      </c>
      <c r="AN265">
        <v>0</v>
      </c>
      <c r="AP265">
        <v>0</v>
      </c>
      <c r="AR265">
        <v>0</v>
      </c>
      <c r="AT265">
        <v>0</v>
      </c>
    </row>
    <row r="266" spans="1:47" x14ac:dyDescent="0.2">
      <c r="A266" t="s">
        <v>3210</v>
      </c>
      <c r="B266" t="s">
        <v>3211</v>
      </c>
      <c r="C266">
        <v>239</v>
      </c>
      <c r="D266">
        <v>79</v>
      </c>
      <c r="E266">
        <v>0.33100000000000002</v>
      </c>
      <c r="F266">
        <v>60</v>
      </c>
      <c r="G266">
        <v>0.75900000000000001</v>
      </c>
      <c r="H266">
        <v>70</v>
      </c>
      <c r="I266">
        <v>0.88600000000000001</v>
      </c>
      <c r="J266">
        <v>45</v>
      </c>
      <c r="K266">
        <v>0.64300000000000002</v>
      </c>
      <c r="L266">
        <v>84</v>
      </c>
      <c r="M266">
        <v>29</v>
      </c>
      <c r="N266">
        <v>0.34499999999999997</v>
      </c>
      <c r="O266">
        <v>22</v>
      </c>
      <c r="P266">
        <v>0.75900000000000001</v>
      </c>
      <c r="Q266">
        <v>29</v>
      </c>
      <c r="R266">
        <v>1</v>
      </c>
      <c r="S266">
        <v>19</v>
      </c>
      <c r="T266">
        <v>0.65500000000000003</v>
      </c>
      <c r="U266">
        <v>68</v>
      </c>
      <c r="V266">
        <v>23</v>
      </c>
      <c r="W266">
        <v>0.33800000000000002</v>
      </c>
      <c r="X266">
        <v>19</v>
      </c>
      <c r="Y266">
        <v>0.82599999999999996</v>
      </c>
      <c r="Z266">
        <v>20</v>
      </c>
      <c r="AA266">
        <v>0.87</v>
      </c>
      <c r="AB266">
        <v>11</v>
      </c>
      <c r="AC266">
        <v>0.55000000000000004</v>
      </c>
      <c r="AD266">
        <v>87</v>
      </c>
      <c r="AE266">
        <v>27</v>
      </c>
      <c r="AF266">
        <v>0.31</v>
      </c>
      <c r="AG266">
        <v>19</v>
      </c>
      <c r="AH266">
        <v>0.70399999999999996</v>
      </c>
      <c r="AI266">
        <v>21</v>
      </c>
      <c r="AJ266">
        <v>0.77800000000000002</v>
      </c>
      <c r="AK266">
        <v>15</v>
      </c>
      <c r="AL266">
        <v>0.71399999999999997</v>
      </c>
      <c r="AM266">
        <v>0</v>
      </c>
      <c r="AN266">
        <v>0</v>
      </c>
      <c r="AP266">
        <v>0</v>
      </c>
      <c r="AR266">
        <v>0</v>
      </c>
      <c r="AT266">
        <v>0</v>
      </c>
    </row>
    <row r="267" spans="1:47" x14ac:dyDescent="0.2">
      <c r="A267" t="s">
        <v>3213</v>
      </c>
      <c r="B267" t="s">
        <v>3214</v>
      </c>
      <c r="C267">
        <v>831</v>
      </c>
      <c r="D267">
        <v>926</v>
      </c>
      <c r="E267">
        <v>1.1140000000000001</v>
      </c>
      <c r="F267">
        <v>856</v>
      </c>
      <c r="G267">
        <v>0.92400000000000004</v>
      </c>
      <c r="H267">
        <v>878</v>
      </c>
      <c r="I267">
        <v>0.94799999999999995</v>
      </c>
      <c r="J267">
        <v>636</v>
      </c>
      <c r="K267">
        <v>0.72399999999999998</v>
      </c>
      <c r="L267">
        <v>218</v>
      </c>
      <c r="M267">
        <v>170</v>
      </c>
      <c r="N267">
        <v>0.78</v>
      </c>
      <c r="O267">
        <v>158</v>
      </c>
      <c r="P267">
        <v>0.92900000000000005</v>
      </c>
      <c r="Q267">
        <v>170</v>
      </c>
      <c r="R267">
        <v>1</v>
      </c>
      <c r="S267">
        <v>109</v>
      </c>
      <c r="T267">
        <v>0.64100000000000001</v>
      </c>
      <c r="U267">
        <v>271</v>
      </c>
      <c r="V267">
        <v>328</v>
      </c>
      <c r="W267">
        <v>1.21</v>
      </c>
      <c r="X267">
        <v>314</v>
      </c>
      <c r="Y267">
        <v>0.95699999999999996</v>
      </c>
      <c r="Z267">
        <v>306</v>
      </c>
      <c r="AA267">
        <v>0.93300000000000005</v>
      </c>
      <c r="AB267">
        <v>223</v>
      </c>
      <c r="AC267">
        <v>0.72899999999999998</v>
      </c>
      <c r="AD267">
        <v>342</v>
      </c>
      <c r="AE267">
        <v>428</v>
      </c>
      <c r="AF267">
        <v>1.2509999999999999</v>
      </c>
      <c r="AG267">
        <v>384</v>
      </c>
      <c r="AH267">
        <v>0.89700000000000002</v>
      </c>
      <c r="AI267">
        <v>402</v>
      </c>
      <c r="AJ267">
        <v>0.93899999999999995</v>
      </c>
      <c r="AK267">
        <v>304</v>
      </c>
      <c r="AL267">
        <v>0.75600000000000001</v>
      </c>
      <c r="AM267">
        <v>0</v>
      </c>
      <c r="AN267">
        <v>0</v>
      </c>
      <c r="AP267">
        <v>0</v>
      </c>
      <c r="AR267">
        <v>0</v>
      </c>
      <c r="AT267">
        <v>0</v>
      </c>
    </row>
    <row r="268" spans="1:47" x14ac:dyDescent="0.2">
      <c r="A268" t="s">
        <v>3198</v>
      </c>
      <c r="B268" t="s">
        <v>3199</v>
      </c>
      <c r="C268">
        <v>426</v>
      </c>
      <c r="D268">
        <v>456</v>
      </c>
      <c r="E268">
        <v>1.07</v>
      </c>
      <c r="F268">
        <v>354</v>
      </c>
      <c r="G268">
        <v>0.77600000000000002</v>
      </c>
      <c r="H268">
        <v>449</v>
      </c>
      <c r="I268">
        <v>0.98499999999999999</v>
      </c>
      <c r="J268">
        <v>297</v>
      </c>
      <c r="K268">
        <v>0.66100000000000003</v>
      </c>
      <c r="L268">
        <v>169</v>
      </c>
      <c r="M268">
        <v>201</v>
      </c>
      <c r="N268">
        <v>1.1890000000000001</v>
      </c>
      <c r="O268">
        <v>131</v>
      </c>
      <c r="P268">
        <v>0.65200000000000002</v>
      </c>
      <c r="Q268">
        <v>201</v>
      </c>
      <c r="R268">
        <v>1</v>
      </c>
      <c r="S268">
        <v>109</v>
      </c>
      <c r="T268">
        <v>0.54200000000000004</v>
      </c>
      <c r="U268">
        <v>101</v>
      </c>
      <c r="V268">
        <v>99</v>
      </c>
      <c r="W268">
        <v>0.98</v>
      </c>
      <c r="X268">
        <v>93</v>
      </c>
      <c r="Y268">
        <v>0.93899999999999995</v>
      </c>
      <c r="Z268">
        <v>97</v>
      </c>
      <c r="AA268">
        <v>0.98</v>
      </c>
      <c r="AB268">
        <v>76</v>
      </c>
      <c r="AC268">
        <v>0.78400000000000003</v>
      </c>
      <c r="AD268">
        <v>156</v>
      </c>
      <c r="AE268">
        <v>156</v>
      </c>
      <c r="AF268">
        <v>1</v>
      </c>
      <c r="AG268">
        <v>130</v>
      </c>
      <c r="AH268">
        <v>0.83299999999999996</v>
      </c>
      <c r="AI268">
        <v>151</v>
      </c>
      <c r="AJ268">
        <v>0.96799999999999997</v>
      </c>
      <c r="AK268">
        <v>112</v>
      </c>
      <c r="AL268">
        <v>0.74199999999999999</v>
      </c>
      <c r="AM268">
        <v>0</v>
      </c>
      <c r="AN268">
        <v>0</v>
      </c>
      <c r="AP268">
        <v>0</v>
      </c>
      <c r="AR268">
        <v>0</v>
      </c>
      <c r="AT268">
        <v>0</v>
      </c>
    </row>
    <row r="269" spans="1:47" x14ac:dyDescent="0.2">
      <c r="A269" t="s">
        <v>3201</v>
      </c>
      <c r="B269" t="s">
        <v>3202</v>
      </c>
      <c r="C269">
        <v>442</v>
      </c>
      <c r="D269">
        <v>445</v>
      </c>
      <c r="E269">
        <v>1.0069999999999999</v>
      </c>
      <c r="F269">
        <v>410</v>
      </c>
      <c r="G269">
        <v>0.92100000000000004</v>
      </c>
      <c r="H269">
        <v>425</v>
      </c>
      <c r="I269">
        <v>0.95499999999999996</v>
      </c>
      <c r="J269">
        <v>299</v>
      </c>
      <c r="K269">
        <v>0.70399999999999996</v>
      </c>
      <c r="L269">
        <v>172</v>
      </c>
      <c r="M269">
        <v>144</v>
      </c>
      <c r="N269">
        <v>0.83699999999999997</v>
      </c>
      <c r="O269">
        <v>128</v>
      </c>
      <c r="P269">
        <v>0.88900000000000001</v>
      </c>
      <c r="Q269">
        <v>144</v>
      </c>
      <c r="R269">
        <v>1</v>
      </c>
      <c r="S269">
        <v>95</v>
      </c>
      <c r="T269">
        <v>0.66</v>
      </c>
      <c r="U269">
        <v>119</v>
      </c>
      <c r="V269">
        <v>128</v>
      </c>
      <c r="W269">
        <v>1.0760000000000001</v>
      </c>
      <c r="X269">
        <v>126</v>
      </c>
      <c r="Y269">
        <v>0.98399999999999999</v>
      </c>
      <c r="Z269">
        <v>123</v>
      </c>
      <c r="AA269">
        <v>0.96099999999999997</v>
      </c>
      <c r="AB269">
        <v>90</v>
      </c>
      <c r="AC269">
        <v>0.73199999999999998</v>
      </c>
      <c r="AD269">
        <v>151</v>
      </c>
      <c r="AE269">
        <v>173</v>
      </c>
      <c r="AF269">
        <v>1.1459999999999999</v>
      </c>
      <c r="AG269">
        <v>156</v>
      </c>
      <c r="AH269">
        <v>0.90200000000000002</v>
      </c>
      <c r="AI269">
        <v>158</v>
      </c>
      <c r="AJ269">
        <v>0.91300000000000003</v>
      </c>
      <c r="AK269">
        <v>114</v>
      </c>
      <c r="AL269">
        <v>0.72199999999999998</v>
      </c>
      <c r="AM269">
        <v>0</v>
      </c>
      <c r="AN269">
        <v>0</v>
      </c>
      <c r="AP269">
        <v>0</v>
      </c>
      <c r="AR269">
        <v>0</v>
      </c>
      <c r="AT269">
        <v>0</v>
      </c>
    </row>
    <row r="270" spans="1:47" x14ac:dyDescent="0.2">
      <c r="A270" t="s">
        <v>3921</v>
      </c>
      <c r="B270" t="s">
        <v>3922</v>
      </c>
      <c r="C270">
        <v>359</v>
      </c>
      <c r="D270">
        <v>546</v>
      </c>
      <c r="E270">
        <v>1.5209999999999999</v>
      </c>
      <c r="F270">
        <v>487</v>
      </c>
      <c r="G270">
        <v>0.89200000000000002</v>
      </c>
      <c r="H270">
        <v>525</v>
      </c>
      <c r="I270">
        <v>0.96199999999999997</v>
      </c>
      <c r="J270">
        <v>350</v>
      </c>
      <c r="K270">
        <v>0.66700000000000004</v>
      </c>
      <c r="L270">
        <v>86</v>
      </c>
      <c r="M270">
        <v>139</v>
      </c>
      <c r="N270">
        <v>1.6160000000000001</v>
      </c>
      <c r="O270">
        <v>119</v>
      </c>
      <c r="P270">
        <v>0.85599999999999998</v>
      </c>
      <c r="Q270">
        <v>138</v>
      </c>
      <c r="R270">
        <v>0.99299999999999999</v>
      </c>
      <c r="S270">
        <v>85</v>
      </c>
      <c r="T270">
        <v>0.61599999999999999</v>
      </c>
      <c r="U270">
        <v>113</v>
      </c>
      <c r="V270">
        <v>149</v>
      </c>
      <c r="W270">
        <v>1.319</v>
      </c>
      <c r="X270">
        <v>139</v>
      </c>
      <c r="Y270">
        <v>0.93300000000000005</v>
      </c>
      <c r="Z270">
        <v>147</v>
      </c>
      <c r="AA270">
        <v>0.98699999999999999</v>
      </c>
      <c r="AB270">
        <v>103</v>
      </c>
      <c r="AC270">
        <v>0.70099999999999996</v>
      </c>
      <c r="AD270">
        <v>160</v>
      </c>
      <c r="AE270">
        <v>258</v>
      </c>
      <c r="AF270">
        <v>1.613</v>
      </c>
      <c r="AG270">
        <v>229</v>
      </c>
      <c r="AH270">
        <v>0.88800000000000001</v>
      </c>
      <c r="AI270">
        <v>240</v>
      </c>
      <c r="AJ270">
        <v>0.93</v>
      </c>
      <c r="AK270">
        <v>162</v>
      </c>
      <c r="AL270">
        <v>0.67500000000000004</v>
      </c>
      <c r="AM270">
        <v>0</v>
      </c>
      <c r="AN270">
        <v>0</v>
      </c>
      <c r="AP270">
        <v>0</v>
      </c>
      <c r="AR270">
        <v>0</v>
      </c>
      <c r="AT270">
        <v>0</v>
      </c>
    </row>
    <row r="271" spans="1:47" x14ac:dyDescent="0.2">
      <c r="A271" t="s">
        <v>3927</v>
      </c>
      <c r="B271" t="s">
        <v>3928</v>
      </c>
      <c r="C271">
        <v>616</v>
      </c>
      <c r="D271">
        <v>317</v>
      </c>
      <c r="E271">
        <v>0.51500000000000001</v>
      </c>
      <c r="F271">
        <v>288</v>
      </c>
      <c r="G271">
        <v>0.90900000000000003</v>
      </c>
      <c r="H271">
        <v>308</v>
      </c>
      <c r="I271">
        <v>0.97199999999999998</v>
      </c>
      <c r="J271">
        <v>218</v>
      </c>
      <c r="K271">
        <v>0.70799999999999996</v>
      </c>
      <c r="L271">
        <v>169</v>
      </c>
      <c r="M271">
        <v>7</v>
      </c>
      <c r="N271">
        <v>4.1000000000000002E-2</v>
      </c>
      <c r="O271">
        <v>7</v>
      </c>
      <c r="P271">
        <v>1</v>
      </c>
      <c r="Q271">
        <v>7</v>
      </c>
      <c r="R271">
        <v>1</v>
      </c>
      <c r="S271" t="s">
        <v>53</v>
      </c>
      <c r="T271" t="s">
        <v>53</v>
      </c>
      <c r="U271">
        <v>154</v>
      </c>
      <c r="V271">
        <v>105</v>
      </c>
      <c r="W271">
        <v>0.68200000000000005</v>
      </c>
      <c r="X271">
        <v>94</v>
      </c>
      <c r="Y271">
        <v>0.89500000000000002</v>
      </c>
      <c r="Z271">
        <v>100</v>
      </c>
      <c r="AA271">
        <v>0.95199999999999996</v>
      </c>
      <c r="AB271">
        <v>76</v>
      </c>
      <c r="AC271">
        <v>0.76</v>
      </c>
      <c r="AD271">
        <v>268</v>
      </c>
      <c r="AE271">
        <v>192</v>
      </c>
      <c r="AF271">
        <v>0.71599999999999997</v>
      </c>
      <c r="AG271">
        <v>176</v>
      </c>
      <c r="AH271">
        <v>0.91700000000000004</v>
      </c>
      <c r="AI271">
        <v>188</v>
      </c>
      <c r="AJ271">
        <v>0.97899999999999998</v>
      </c>
      <c r="AK271">
        <v>134</v>
      </c>
      <c r="AL271">
        <v>0.71299999999999997</v>
      </c>
      <c r="AM271">
        <v>25</v>
      </c>
      <c r="AN271">
        <v>13</v>
      </c>
      <c r="AO271">
        <v>0.52</v>
      </c>
      <c r="AP271">
        <v>11</v>
      </c>
      <c r="AQ271">
        <v>0.84599999999999997</v>
      </c>
      <c r="AR271">
        <v>13</v>
      </c>
      <c r="AS271">
        <v>1</v>
      </c>
      <c r="AT271" t="s">
        <v>53</v>
      </c>
      <c r="AU271" t="s">
        <v>53</v>
      </c>
    </row>
    <row r="272" spans="1:47" x14ac:dyDescent="0.2">
      <c r="A272" t="s">
        <v>3154</v>
      </c>
      <c r="B272" t="s">
        <v>3155</v>
      </c>
      <c r="C272">
        <v>221</v>
      </c>
      <c r="D272">
        <v>137</v>
      </c>
      <c r="E272">
        <v>0.62</v>
      </c>
      <c r="F272">
        <v>99</v>
      </c>
      <c r="G272">
        <v>0.72299999999999998</v>
      </c>
      <c r="H272">
        <v>122</v>
      </c>
      <c r="I272">
        <v>0.89100000000000001</v>
      </c>
      <c r="J272">
        <v>82</v>
      </c>
      <c r="K272">
        <v>0.67200000000000004</v>
      </c>
      <c r="L272">
        <v>54</v>
      </c>
      <c r="M272">
        <v>10</v>
      </c>
      <c r="N272">
        <v>0.185</v>
      </c>
      <c r="O272">
        <v>8</v>
      </c>
      <c r="P272">
        <v>0.8</v>
      </c>
      <c r="Q272">
        <v>10</v>
      </c>
      <c r="R272">
        <v>1</v>
      </c>
      <c r="S272">
        <v>7</v>
      </c>
      <c r="T272">
        <v>0.7</v>
      </c>
      <c r="U272">
        <v>34</v>
      </c>
      <c r="V272">
        <v>46</v>
      </c>
      <c r="W272">
        <v>1.353</v>
      </c>
      <c r="X272">
        <v>29</v>
      </c>
      <c r="Y272">
        <v>0.63</v>
      </c>
      <c r="Z272">
        <v>41</v>
      </c>
      <c r="AA272">
        <v>0.89100000000000001</v>
      </c>
      <c r="AB272">
        <v>21</v>
      </c>
      <c r="AC272">
        <v>0.51200000000000001</v>
      </c>
      <c r="AD272">
        <v>70</v>
      </c>
      <c r="AE272">
        <v>81</v>
      </c>
      <c r="AF272">
        <v>1.157</v>
      </c>
      <c r="AG272">
        <v>62</v>
      </c>
      <c r="AH272">
        <v>0.76500000000000001</v>
      </c>
      <c r="AI272">
        <v>71</v>
      </c>
      <c r="AJ272">
        <v>0.877</v>
      </c>
      <c r="AK272">
        <v>54</v>
      </c>
      <c r="AL272">
        <v>0.76100000000000001</v>
      </c>
      <c r="AM272">
        <v>63</v>
      </c>
      <c r="AN272">
        <v>0</v>
      </c>
      <c r="AO272">
        <v>0</v>
      </c>
      <c r="AP272">
        <v>0</v>
      </c>
      <c r="AR272">
        <v>0</v>
      </c>
      <c r="AT272">
        <v>0</v>
      </c>
    </row>
    <row r="273" spans="1:47" x14ac:dyDescent="0.2">
      <c r="A273" t="s">
        <v>3157</v>
      </c>
      <c r="B273" t="s">
        <v>3158</v>
      </c>
      <c r="C273">
        <v>642</v>
      </c>
      <c r="D273">
        <v>496</v>
      </c>
      <c r="E273">
        <v>0.77300000000000002</v>
      </c>
      <c r="F273">
        <v>433</v>
      </c>
      <c r="G273">
        <v>0.873</v>
      </c>
      <c r="H273">
        <v>468</v>
      </c>
      <c r="I273">
        <v>0.94399999999999995</v>
      </c>
      <c r="J273">
        <v>320</v>
      </c>
      <c r="K273">
        <v>0.68400000000000005</v>
      </c>
      <c r="L273">
        <v>176</v>
      </c>
      <c r="M273">
        <v>138</v>
      </c>
      <c r="N273">
        <v>0.78400000000000003</v>
      </c>
      <c r="O273">
        <v>125</v>
      </c>
      <c r="P273">
        <v>0.90600000000000003</v>
      </c>
      <c r="Q273">
        <v>138</v>
      </c>
      <c r="R273">
        <v>1</v>
      </c>
      <c r="S273">
        <v>97</v>
      </c>
      <c r="T273">
        <v>0.70299999999999996</v>
      </c>
      <c r="U273">
        <v>113</v>
      </c>
      <c r="V273">
        <v>93</v>
      </c>
      <c r="W273">
        <v>0.82299999999999995</v>
      </c>
      <c r="X273">
        <v>86</v>
      </c>
      <c r="Y273">
        <v>0.92500000000000004</v>
      </c>
      <c r="Z273">
        <v>86</v>
      </c>
      <c r="AA273">
        <v>0.92500000000000004</v>
      </c>
      <c r="AB273">
        <v>61</v>
      </c>
      <c r="AC273">
        <v>0.70899999999999996</v>
      </c>
      <c r="AD273">
        <v>243</v>
      </c>
      <c r="AE273">
        <v>216</v>
      </c>
      <c r="AF273">
        <v>0.88900000000000001</v>
      </c>
      <c r="AG273">
        <v>176</v>
      </c>
      <c r="AH273">
        <v>0.81499999999999995</v>
      </c>
      <c r="AI273">
        <v>195</v>
      </c>
      <c r="AJ273">
        <v>0.90300000000000002</v>
      </c>
      <c r="AK273">
        <v>137</v>
      </c>
      <c r="AL273">
        <v>0.70299999999999996</v>
      </c>
      <c r="AM273">
        <v>110</v>
      </c>
      <c r="AN273">
        <v>49</v>
      </c>
      <c r="AO273">
        <v>0.44500000000000001</v>
      </c>
      <c r="AP273">
        <v>46</v>
      </c>
      <c r="AQ273">
        <v>0.93899999999999995</v>
      </c>
      <c r="AR273">
        <v>49</v>
      </c>
      <c r="AS273">
        <v>1</v>
      </c>
      <c r="AT273">
        <v>25</v>
      </c>
      <c r="AU273">
        <v>0.51</v>
      </c>
    </row>
    <row r="274" spans="1:47" x14ac:dyDescent="0.2">
      <c r="A274" t="s">
        <v>3160</v>
      </c>
      <c r="B274" t="s">
        <v>3161</v>
      </c>
      <c r="C274">
        <v>184</v>
      </c>
      <c r="D274">
        <v>169</v>
      </c>
      <c r="E274">
        <v>0.91800000000000004</v>
      </c>
      <c r="F274">
        <v>127</v>
      </c>
      <c r="G274">
        <v>0.751</v>
      </c>
      <c r="H274">
        <v>161</v>
      </c>
      <c r="I274">
        <v>0.95299999999999996</v>
      </c>
      <c r="J274">
        <v>120</v>
      </c>
      <c r="K274">
        <v>0.745</v>
      </c>
      <c r="L274">
        <v>0</v>
      </c>
      <c r="M274" t="s">
        <v>53</v>
      </c>
      <c r="N274" t="s">
        <v>53</v>
      </c>
      <c r="O274">
        <v>0</v>
      </c>
      <c r="P274" t="s">
        <v>53</v>
      </c>
      <c r="Q274" t="s">
        <v>53</v>
      </c>
      <c r="R274" t="s">
        <v>53</v>
      </c>
      <c r="S274" t="s">
        <v>53</v>
      </c>
      <c r="T274" t="s">
        <v>53</v>
      </c>
      <c r="U274">
        <v>102</v>
      </c>
      <c r="V274">
        <v>87</v>
      </c>
      <c r="W274">
        <v>0.85299999999999998</v>
      </c>
      <c r="X274">
        <v>78</v>
      </c>
      <c r="Y274">
        <v>0.89700000000000002</v>
      </c>
      <c r="Z274">
        <v>84</v>
      </c>
      <c r="AA274">
        <v>0.96599999999999997</v>
      </c>
      <c r="AB274">
        <v>63</v>
      </c>
      <c r="AC274">
        <v>0.75</v>
      </c>
      <c r="AD274">
        <v>82</v>
      </c>
      <c r="AE274">
        <v>76</v>
      </c>
      <c r="AF274">
        <v>0.92700000000000005</v>
      </c>
      <c r="AG274">
        <v>49</v>
      </c>
      <c r="AH274">
        <v>0.64500000000000002</v>
      </c>
      <c r="AI274">
        <v>71</v>
      </c>
      <c r="AJ274">
        <v>0.93400000000000005</v>
      </c>
      <c r="AK274">
        <v>54</v>
      </c>
      <c r="AL274">
        <v>0.76100000000000001</v>
      </c>
      <c r="AM274">
        <v>0</v>
      </c>
      <c r="AN274" t="s">
        <v>53</v>
      </c>
      <c r="AO274" t="s">
        <v>53</v>
      </c>
      <c r="AP274">
        <v>0</v>
      </c>
      <c r="AQ274" t="s">
        <v>53</v>
      </c>
      <c r="AR274" t="s">
        <v>53</v>
      </c>
      <c r="AS274" t="s">
        <v>53</v>
      </c>
      <c r="AT274" t="s">
        <v>53</v>
      </c>
      <c r="AU274" t="s">
        <v>53</v>
      </c>
    </row>
    <row r="275" spans="1:47" x14ac:dyDescent="0.2">
      <c r="A275" t="s">
        <v>3163</v>
      </c>
      <c r="B275" t="s">
        <v>3164</v>
      </c>
      <c r="C275">
        <v>394</v>
      </c>
      <c r="D275">
        <v>370</v>
      </c>
      <c r="E275">
        <v>0.93899999999999995</v>
      </c>
      <c r="F275">
        <v>305</v>
      </c>
      <c r="G275">
        <v>0.82399999999999995</v>
      </c>
      <c r="H275">
        <v>360</v>
      </c>
      <c r="I275">
        <v>0.97299999999999998</v>
      </c>
      <c r="J275">
        <v>248</v>
      </c>
      <c r="K275">
        <v>0.68899999999999995</v>
      </c>
      <c r="L275">
        <v>115</v>
      </c>
      <c r="M275">
        <v>117</v>
      </c>
      <c r="N275">
        <v>1.0169999999999999</v>
      </c>
      <c r="O275">
        <v>74</v>
      </c>
      <c r="P275">
        <v>0.63200000000000001</v>
      </c>
      <c r="Q275">
        <v>117</v>
      </c>
      <c r="R275">
        <v>1</v>
      </c>
      <c r="S275">
        <v>68</v>
      </c>
      <c r="T275">
        <v>0.58099999999999996</v>
      </c>
      <c r="U275">
        <v>89</v>
      </c>
      <c r="V275">
        <v>90</v>
      </c>
      <c r="W275">
        <v>1.0109999999999999</v>
      </c>
      <c r="X275">
        <v>86</v>
      </c>
      <c r="Y275">
        <v>0.95599999999999996</v>
      </c>
      <c r="Z275">
        <v>87</v>
      </c>
      <c r="AA275">
        <v>0.96699999999999997</v>
      </c>
      <c r="AB275">
        <v>66</v>
      </c>
      <c r="AC275">
        <v>0.75900000000000001</v>
      </c>
      <c r="AD275">
        <v>129</v>
      </c>
      <c r="AE275">
        <v>142</v>
      </c>
      <c r="AF275">
        <v>1.101</v>
      </c>
      <c r="AG275">
        <v>125</v>
      </c>
      <c r="AH275">
        <v>0.88</v>
      </c>
      <c r="AI275">
        <v>135</v>
      </c>
      <c r="AJ275">
        <v>0.95099999999999996</v>
      </c>
      <c r="AK275">
        <v>98</v>
      </c>
      <c r="AL275">
        <v>0.72599999999999998</v>
      </c>
      <c r="AM275">
        <v>61</v>
      </c>
      <c r="AN275">
        <v>21</v>
      </c>
      <c r="AO275">
        <v>0.34399999999999997</v>
      </c>
      <c r="AP275">
        <v>20</v>
      </c>
      <c r="AQ275">
        <v>0.95199999999999996</v>
      </c>
      <c r="AR275">
        <v>21</v>
      </c>
      <c r="AS275">
        <v>1</v>
      </c>
      <c r="AT275">
        <v>16</v>
      </c>
      <c r="AU275">
        <v>0.76200000000000001</v>
      </c>
    </row>
    <row r="276" spans="1:47" x14ac:dyDescent="0.2">
      <c r="A276" t="s">
        <v>4251</v>
      </c>
      <c r="B276" t="s">
        <v>4252</v>
      </c>
      <c r="C276">
        <v>621</v>
      </c>
      <c r="D276">
        <v>632</v>
      </c>
      <c r="E276">
        <v>1.018</v>
      </c>
      <c r="F276">
        <v>587</v>
      </c>
      <c r="G276">
        <v>0.92900000000000005</v>
      </c>
      <c r="H276">
        <v>605</v>
      </c>
      <c r="I276">
        <v>0.95699999999999996</v>
      </c>
      <c r="J276">
        <v>481</v>
      </c>
      <c r="K276">
        <v>0.79500000000000004</v>
      </c>
      <c r="L276">
        <v>0</v>
      </c>
      <c r="M276">
        <v>0</v>
      </c>
      <c r="O276">
        <v>0</v>
      </c>
      <c r="Q276">
        <v>0</v>
      </c>
      <c r="S276">
        <v>0</v>
      </c>
      <c r="U276">
        <v>345</v>
      </c>
      <c r="V276">
        <v>339</v>
      </c>
      <c r="W276">
        <v>0.98299999999999998</v>
      </c>
      <c r="X276">
        <v>321</v>
      </c>
      <c r="Y276">
        <v>0.94699999999999995</v>
      </c>
      <c r="Z276">
        <v>327</v>
      </c>
      <c r="AA276">
        <v>0.96499999999999997</v>
      </c>
      <c r="AB276">
        <v>253</v>
      </c>
      <c r="AC276">
        <v>0.77400000000000002</v>
      </c>
      <c r="AD276">
        <v>276</v>
      </c>
      <c r="AE276">
        <v>293</v>
      </c>
      <c r="AF276">
        <v>1.0620000000000001</v>
      </c>
      <c r="AG276">
        <v>266</v>
      </c>
      <c r="AH276">
        <v>0.90800000000000003</v>
      </c>
      <c r="AI276">
        <v>278</v>
      </c>
      <c r="AJ276">
        <v>0.94899999999999995</v>
      </c>
      <c r="AK276">
        <v>228</v>
      </c>
      <c r="AL276">
        <v>0.82</v>
      </c>
      <c r="AM276">
        <v>0</v>
      </c>
      <c r="AN276">
        <v>0</v>
      </c>
      <c r="AP276">
        <v>0</v>
      </c>
      <c r="AR276">
        <v>0</v>
      </c>
      <c r="AT276">
        <v>0</v>
      </c>
    </row>
    <row r="277" spans="1:47" x14ac:dyDescent="0.2">
      <c r="A277" t="s">
        <v>3166</v>
      </c>
      <c r="B277" t="s">
        <v>3167</v>
      </c>
      <c r="C277">
        <v>327</v>
      </c>
      <c r="D277">
        <v>494</v>
      </c>
      <c r="E277">
        <v>1.5109999999999999</v>
      </c>
      <c r="F277">
        <v>471</v>
      </c>
      <c r="G277">
        <v>0.95299999999999996</v>
      </c>
      <c r="H277">
        <v>482</v>
      </c>
      <c r="I277">
        <v>0.97599999999999998</v>
      </c>
      <c r="J277">
        <v>335</v>
      </c>
      <c r="K277">
        <v>0.69499999999999995</v>
      </c>
      <c r="L277">
        <v>61</v>
      </c>
      <c r="M277">
        <v>29</v>
      </c>
      <c r="N277">
        <v>0.47499999999999998</v>
      </c>
      <c r="O277">
        <v>22</v>
      </c>
      <c r="P277">
        <v>0.75900000000000001</v>
      </c>
      <c r="Q277">
        <v>29</v>
      </c>
      <c r="R277">
        <v>1</v>
      </c>
      <c r="S277">
        <v>18</v>
      </c>
      <c r="T277">
        <v>0.621</v>
      </c>
      <c r="U277">
        <v>122</v>
      </c>
      <c r="V277">
        <v>213</v>
      </c>
      <c r="W277">
        <v>1.746</v>
      </c>
      <c r="X277">
        <v>208</v>
      </c>
      <c r="Y277">
        <v>0.97699999999999998</v>
      </c>
      <c r="Z277">
        <v>208</v>
      </c>
      <c r="AA277">
        <v>0.97699999999999998</v>
      </c>
      <c r="AB277">
        <v>144</v>
      </c>
      <c r="AC277">
        <v>0.69199999999999995</v>
      </c>
      <c r="AD277">
        <v>144</v>
      </c>
      <c r="AE277">
        <v>252</v>
      </c>
      <c r="AF277">
        <v>1.75</v>
      </c>
      <c r="AG277">
        <v>241</v>
      </c>
      <c r="AH277">
        <v>0.95599999999999996</v>
      </c>
      <c r="AI277">
        <v>245</v>
      </c>
      <c r="AJ277">
        <v>0.97199999999999998</v>
      </c>
      <c r="AK277">
        <v>173</v>
      </c>
      <c r="AL277">
        <v>0.70599999999999996</v>
      </c>
      <c r="AM277">
        <v>0</v>
      </c>
      <c r="AN277">
        <v>0</v>
      </c>
      <c r="AP277">
        <v>0</v>
      </c>
      <c r="AR277">
        <v>0</v>
      </c>
      <c r="AT277">
        <v>0</v>
      </c>
    </row>
    <row r="278" spans="1:47" x14ac:dyDescent="0.2">
      <c r="A278" t="s">
        <v>3169</v>
      </c>
      <c r="B278" t="s">
        <v>340</v>
      </c>
      <c r="C278">
        <v>368</v>
      </c>
      <c r="D278">
        <v>313</v>
      </c>
      <c r="E278">
        <v>0.85099999999999998</v>
      </c>
      <c r="F278">
        <v>247</v>
      </c>
      <c r="G278">
        <v>0.78900000000000003</v>
      </c>
      <c r="H278">
        <v>255</v>
      </c>
      <c r="I278">
        <v>0.81499999999999995</v>
      </c>
      <c r="J278">
        <v>214</v>
      </c>
      <c r="K278">
        <v>0.83899999999999997</v>
      </c>
      <c r="L278">
        <v>28</v>
      </c>
      <c r="M278">
        <v>8</v>
      </c>
      <c r="N278">
        <v>0.28599999999999998</v>
      </c>
      <c r="O278">
        <v>7</v>
      </c>
      <c r="P278">
        <v>0.875</v>
      </c>
      <c r="Q278">
        <v>8</v>
      </c>
      <c r="R278">
        <v>1</v>
      </c>
      <c r="S278">
        <v>8</v>
      </c>
      <c r="T278">
        <v>1</v>
      </c>
      <c r="U278">
        <v>172</v>
      </c>
      <c r="V278">
        <v>145</v>
      </c>
      <c r="W278">
        <v>0.84299999999999997</v>
      </c>
      <c r="X278">
        <v>123</v>
      </c>
      <c r="Y278">
        <v>0.84799999999999998</v>
      </c>
      <c r="Z278">
        <v>121</v>
      </c>
      <c r="AA278">
        <v>0.83399999999999996</v>
      </c>
      <c r="AB278">
        <v>104</v>
      </c>
      <c r="AC278">
        <v>0.86</v>
      </c>
      <c r="AD278">
        <v>168</v>
      </c>
      <c r="AE278">
        <v>160</v>
      </c>
      <c r="AF278">
        <v>0.95199999999999996</v>
      </c>
      <c r="AG278">
        <v>117</v>
      </c>
      <c r="AH278">
        <v>0.73099999999999998</v>
      </c>
      <c r="AI278">
        <v>126</v>
      </c>
      <c r="AJ278">
        <v>0.78800000000000003</v>
      </c>
      <c r="AK278">
        <v>102</v>
      </c>
      <c r="AL278">
        <v>0.81</v>
      </c>
      <c r="AM278">
        <v>0</v>
      </c>
      <c r="AN278">
        <v>0</v>
      </c>
      <c r="AP278">
        <v>0</v>
      </c>
      <c r="AR278">
        <v>0</v>
      </c>
      <c r="AT278">
        <v>0</v>
      </c>
    </row>
    <row r="279" spans="1:47" x14ac:dyDescent="0.2">
      <c r="A279" t="s">
        <v>3171</v>
      </c>
      <c r="B279" t="s">
        <v>3172</v>
      </c>
      <c r="C279">
        <v>237</v>
      </c>
      <c r="D279">
        <v>247</v>
      </c>
      <c r="E279">
        <v>1.042</v>
      </c>
      <c r="F279">
        <v>196</v>
      </c>
      <c r="G279">
        <v>0.79400000000000004</v>
      </c>
      <c r="H279">
        <v>244</v>
      </c>
      <c r="I279">
        <v>0.98799999999999999</v>
      </c>
      <c r="J279">
        <v>175</v>
      </c>
      <c r="K279">
        <v>0.71699999999999997</v>
      </c>
      <c r="L279">
        <v>101</v>
      </c>
      <c r="M279">
        <v>67</v>
      </c>
      <c r="N279">
        <v>0.66300000000000003</v>
      </c>
      <c r="O279">
        <v>47</v>
      </c>
      <c r="P279">
        <v>0.70099999999999996</v>
      </c>
      <c r="Q279">
        <v>67</v>
      </c>
      <c r="R279">
        <v>1</v>
      </c>
      <c r="S279">
        <v>44</v>
      </c>
      <c r="T279">
        <v>0.65700000000000003</v>
      </c>
      <c r="U279">
        <v>61</v>
      </c>
      <c r="V279">
        <v>84</v>
      </c>
      <c r="W279">
        <v>1.377</v>
      </c>
      <c r="X279">
        <v>71</v>
      </c>
      <c r="Y279">
        <v>0.84499999999999997</v>
      </c>
      <c r="Z279">
        <v>84</v>
      </c>
      <c r="AA279">
        <v>1</v>
      </c>
      <c r="AB279">
        <v>68</v>
      </c>
      <c r="AC279">
        <v>0.81</v>
      </c>
      <c r="AD279">
        <v>75</v>
      </c>
      <c r="AE279">
        <v>96</v>
      </c>
      <c r="AF279">
        <v>1.28</v>
      </c>
      <c r="AG279">
        <v>78</v>
      </c>
      <c r="AH279">
        <v>0.81299999999999994</v>
      </c>
      <c r="AI279">
        <v>93</v>
      </c>
      <c r="AJ279">
        <v>0.96899999999999997</v>
      </c>
      <c r="AK279">
        <v>63</v>
      </c>
      <c r="AL279">
        <v>0.67700000000000005</v>
      </c>
      <c r="AM279">
        <v>0</v>
      </c>
      <c r="AN279">
        <v>0</v>
      </c>
      <c r="AP279">
        <v>0</v>
      </c>
      <c r="AR279">
        <v>0</v>
      </c>
      <c r="AT279">
        <v>0</v>
      </c>
    </row>
    <row r="280" spans="1:47" x14ac:dyDescent="0.2">
      <c r="A280" t="s">
        <v>4254</v>
      </c>
      <c r="B280" t="s">
        <v>4255</v>
      </c>
      <c r="C280">
        <v>175</v>
      </c>
      <c r="D280">
        <v>110</v>
      </c>
      <c r="E280">
        <v>0.629</v>
      </c>
      <c r="F280">
        <v>92</v>
      </c>
      <c r="G280">
        <v>0.83599999999999997</v>
      </c>
      <c r="H280">
        <v>104</v>
      </c>
      <c r="I280">
        <v>0.94499999999999995</v>
      </c>
      <c r="J280">
        <v>64</v>
      </c>
      <c r="K280">
        <v>0.61499999999999999</v>
      </c>
      <c r="L280">
        <v>82</v>
      </c>
      <c r="M280">
        <v>0</v>
      </c>
      <c r="N280">
        <v>0</v>
      </c>
      <c r="O280">
        <v>0</v>
      </c>
      <c r="Q280">
        <v>0</v>
      </c>
      <c r="S280">
        <v>0</v>
      </c>
      <c r="U280">
        <v>26</v>
      </c>
      <c r="V280">
        <v>41</v>
      </c>
      <c r="W280">
        <v>1.577</v>
      </c>
      <c r="X280">
        <v>34</v>
      </c>
      <c r="Y280">
        <v>0.82899999999999996</v>
      </c>
      <c r="Z280">
        <v>40</v>
      </c>
      <c r="AA280">
        <v>0.97599999999999998</v>
      </c>
      <c r="AB280">
        <v>23</v>
      </c>
      <c r="AC280">
        <v>0.57499999999999996</v>
      </c>
      <c r="AD280">
        <v>67</v>
      </c>
      <c r="AE280">
        <v>69</v>
      </c>
      <c r="AF280">
        <v>1.03</v>
      </c>
      <c r="AG280">
        <v>58</v>
      </c>
      <c r="AH280">
        <v>0.84099999999999997</v>
      </c>
      <c r="AI280">
        <v>64</v>
      </c>
      <c r="AJ280">
        <v>0.92800000000000005</v>
      </c>
      <c r="AK280">
        <v>41</v>
      </c>
      <c r="AL280">
        <v>0.64100000000000001</v>
      </c>
      <c r="AM280">
        <v>0</v>
      </c>
      <c r="AN280">
        <v>0</v>
      </c>
      <c r="AP280">
        <v>0</v>
      </c>
      <c r="AR280">
        <v>0</v>
      </c>
      <c r="AT280">
        <v>0</v>
      </c>
    </row>
    <row r="281" spans="1:47" x14ac:dyDescent="0.2">
      <c r="A281" t="s">
        <v>3174</v>
      </c>
      <c r="B281" t="s">
        <v>3175</v>
      </c>
      <c r="C281">
        <v>287</v>
      </c>
      <c r="D281">
        <v>303</v>
      </c>
      <c r="E281">
        <v>1.056</v>
      </c>
      <c r="F281">
        <v>213</v>
      </c>
      <c r="G281">
        <v>0.70299999999999996</v>
      </c>
      <c r="H281">
        <v>285</v>
      </c>
      <c r="I281">
        <v>0.94099999999999995</v>
      </c>
      <c r="J281">
        <v>193</v>
      </c>
      <c r="K281">
        <v>0.67700000000000005</v>
      </c>
      <c r="L281">
        <v>131</v>
      </c>
      <c r="M281">
        <v>140</v>
      </c>
      <c r="N281">
        <v>1.069</v>
      </c>
      <c r="O281">
        <v>106</v>
      </c>
      <c r="P281">
        <v>0.75700000000000001</v>
      </c>
      <c r="Q281">
        <v>140</v>
      </c>
      <c r="R281">
        <v>1</v>
      </c>
      <c r="S281">
        <v>84</v>
      </c>
      <c r="T281">
        <v>0.6</v>
      </c>
      <c r="U281">
        <v>57</v>
      </c>
      <c r="V281">
        <v>77</v>
      </c>
      <c r="W281">
        <v>1.351</v>
      </c>
      <c r="X281">
        <v>47</v>
      </c>
      <c r="Y281">
        <v>0.61</v>
      </c>
      <c r="Z281">
        <v>65</v>
      </c>
      <c r="AA281">
        <v>0.84399999999999997</v>
      </c>
      <c r="AB281">
        <v>43</v>
      </c>
      <c r="AC281">
        <v>0.66200000000000003</v>
      </c>
      <c r="AD281">
        <v>70</v>
      </c>
      <c r="AE281">
        <v>86</v>
      </c>
      <c r="AF281">
        <v>1.2290000000000001</v>
      </c>
      <c r="AG281">
        <v>60</v>
      </c>
      <c r="AH281">
        <v>0.69799999999999995</v>
      </c>
      <c r="AI281">
        <v>80</v>
      </c>
      <c r="AJ281">
        <v>0.93</v>
      </c>
      <c r="AK281">
        <v>66</v>
      </c>
      <c r="AL281">
        <v>0.82499999999999996</v>
      </c>
      <c r="AM281">
        <v>29</v>
      </c>
      <c r="AN281">
        <v>0</v>
      </c>
      <c r="AO281">
        <v>0</v>
      </c>
      <c r="AP281">
        <v>0</v>
      </c>
      <c r="AR281">
        <v>0</v>
      </c>
      <c r="AT281">
        <v>0</v>
      </c>
    </row>
    <row r="282" spans="1:47" x14ac:dyDescent="0.2">
      <c r="A282" t="s">
        <v>3133</v>
      </c>
      <c r="B282" t="s">
        <v>3134</v>
      </c>
      <c r="C282">
        <v>380</v>
      </c>
      <c r="D282">
        <v>10</v>
      </c>
      <c r="E282">
        <v>2.5999999999999999E-2</v>
      </c>
      <c r="F282">
        <v>7</v>
      </c>
      <c r="G282">
        <v>0.7</v>
      </c>
      <c r="H282">
        <v>10</v>
      </c>
      <c r="I282">
        <v>1</v>
      </c>
      <c r="J282" t="s">
        <v>53</v>
      </c>
      <c r="K282" t="s">
        <v>53</v>
      </c>
      <c r="L282">
        <v>117</v>
      </c>
      <c r="M282">
        <v>7</v>
      </c>
      <c r="N282">
        <v>0.06</v>
      </c>
      <c r="O282" t="s">
        <v>53</v>
      </c>
      <c r="P282" t="s">
        <v>53</v>
      </c>
      <c r="Q282">
        <v>7</v>
      </c>
      <c r="R282">
        <v>1</v>
      </c>
      <c r="S282" t="s">
        <v>53</v>
      </c>
      <c r="T282" t="s">
        <v>53</v>
      </c>
      <c r="U282">
        <v>135</v>
      </c>
      <c r="V282" t="s">
        <v>53</v>
      </c>
      <c r="W282" t="s">
        <v>53</v>
      </c>
      <c r="X282" t="s">
        <v>53</v>
      </c>
      <c r="Y282" t="s">
        <v>53</v>
      </c>
      <c r="Z282" t="s">
        <v>53</v>
      </c>
      <c r="AA282" t="s">
        <v>53</v>
      </c>
      <c r="AB282" t="s">
        <v>53</v>
      </c>
      <c r="AC282" t="s">
        <v>53</v>
      </c>
      <c r="AD282">
        <v>128</v>
      </c>
      <c r="AE282" t="s">
        <v>53</v>
      </c>
      <c r="AF282" t="s">
        <v>53</v>
      </c>
      <c r="AG282" t="s">
        <v>53</v>
      </c>
      <c r="AH282" t="s">
        <v>53</v>
      </c>
      <c r="AI282" t="s">
        <v>53</v>
      </c>
      <c r="AJ282" t="s">
        <v>53</v>
      </c>
      <c r="AK282">
        <v>0</v>
      </c>
      <c r="AL282" t="s">
        <v>53</v>
      </c>
      <c r="AM282">
        <v>0</v>
      </c>
      <c r="AN282">
        <v>0</v>
      </c>
      <c r="AP282">
        <v>0</v>
      </c>
      <c r="AR282">
        <v>0</v>
      </c>
      <c r="AT282">
        <v>0</v>
      </c>
    </row>
    <row r="283" spans="1:47" x14ac:dyDescent="0.2">
      <c r="A283" t="s">
        <v>3177</v>
      </c>
      <c r="B283" t="s">
        <v>3178</v>
      </c>
      <c r="C283">
        <v>258</v>
      </c>
      <c r="D283">
        <v>83</v>
      </c>
      <c r="E283">
        <v>0.32200000000000001</v>
      </c>
      <c r="F283">
        <v>67</v>
      </c>
      <c r="G283">
        <v>0.80700000000000005</v>
      </c>
      <c r="H283">
        <v>79</v>
      </c>
      <c r="I283">
        <v>0.95199999999999996</v>
      </c>
      <c r="J283">
        <v>63</v>
      </c>
      <c r="K283">
        <v>0.79700000000000004</v>
      </c>
      <c r="L283">
        <v>63</v>
      </c>
      <c r="M283">
        <v>26</v>
      </c>
      <c r="N283">
        <v>0.41299999999999998</v>
      </c>
      <c r="O283">
        <v>16</v>
      </c>
      <c r="P283">
        <v>0.61499999999999999</v>
      </c>
      <c r="Q283">
        <v>25</v>
      </c>
      <c r="R283">
        <v>0.96199999999999997</v>
      </c>
      <c r="S283">
        <v>17</v>
      </c>
      <c r="T283">
        <v>0.68</v>
      </c>
      <c r="U283">
        <v>93</v>
      </c>
      <c r="V283">
        <v>30</v>
      </c>
      <c r="W283">
        <v>0.32300000000000001</v>
      </c>
      <c r="X283">
        <v>29</v>
      </c>
      <c r="Y283">
        <v>0.96699999999999997</v>
      </c>
      <c r="Z283">
        <v>29</v>
      </c>
      <c r="AA283">
        <v>0.96699999999999997</v>
      </c>
      <c r="AB283">
        <v>26</v>
      </c>
      <c r="AC283">
        <v>0.89700000000000002</v>
      </c>
      <c r="AD283">
        <v>102</v>
      </c>
      <c r="AE283">
        <v>27</v>
      </c>
      <c r="AF283">
        <v>0.26500000000000001</v>
      </c>
      <c r="AG283">
        <v>22</v>
      </c>
      <c r="AH283">
        <v>0.81499999999999995</v>
      </c>
      <c r="AI283">
        <v>25</v>
      </c>
      <c r="AJ283">
        <v>0.92600000000000005</v>
      </c>
      <c r="AK283">
        <v>20</v>
      </c>
      <c r="AL283">
        <v>0.8</v>
      </c>
      <c r="AM283">
        <v>0</v>
      </c>
      <c r="AN283">
        <v>0</v>
      </c>
      <c r="AP283">
        <v>0</v>
      </c>
      <c r="AR283">
        <v>0</v>
      </c>
      <c r="AT283">
        <v>0</v>
      </c>
    </row>
    <row r="284" spans="1:47" x14ac:dyDescent="0.2">
      <c r="A284" t="s">
        <v>3180</v>
      </c>
      <c r="B284" t="s">
        <v>3181</v>
      </c>
      <c r="C284">
        <v>131</v>
      </c>
      <c r="D284">
        <v>175</v>
      </c>
      <c r="E284">
        <v>1.3360000000000001</v>
      </c>
      <c r="F284">
        <v>153</v>
      </c>
      <c r="G284">
        <v>0.874</v>
      </c>
      <c r="H284">
        <v>168</v>
      </c>
      <c r="I284">
        <v>0.96</v>
      </c>
      <c r="J284">
        <v>120</v>
      </c>
      <c r="K284">
        <v>0.71399999999999997</v>
      </c>
      <c r="L284">
        <v>22</v>
      </c>
      <c r="M284">
        <v>25</v>
      </c>
      <c r="N284">
        <v>1.1359999999999999</v>
      </c>
      <c r="O284">
        <v>20</v>
      </c>
      <c r="P284">
        <v>0.8</v>
      </c>
      <c r="Q284">
        <v>25</v>
      </c>
      <c r="R284">
        <v>1</v>
      </c>
      <c r="S284">
        <v>19</v>
      </c>
      <c r="T284">
        <v>0.76</v>
      </c>
      <c r="U284">
        <v>48</v>
      </c>
      <c r="V284">
        <v>59</v>
      </c>
      <c r="W284">
        <v>1.2290000000000001</v>
      </c>
      <c r="X284">
        <v>57</v>
      </c>
      <c r="Y284">
        <v>0.96599999999999997</v>
      </c>
      <c r="Z284">
        <v>58</v>
      </c>
      <c r="AA284">
        <v>0.98299999999999998</v>
      </c>
      <c r="AB284">
        <v>40</v>
      </c>
      <c r="AC284">
        <v>0.69</v>
      </c>
      <c r="AD284">
        <v>61</v>
      </c>
      <c r="AE284">
        <v>91</v>
      </c>
      <c r="AF284">
        <v>1.492</v>
      </c>
      <c r="AG284">
        <v>76</v>
      </c>
      <c r="AH284">
        <v>0.83499999999999996</v>
      </c>
      <c r="AI284">
        <v>85</v>
      </c>
      <c r="AJ284">
        <v>0.93400000000000005</v>
      </c>
      <c r="AK284">
        <v>61</v>
      </c>
      <c r="AL284">
        <v>0.71799999999999997</v>
      </c>
      <c r="AM284">
        <v>0</v>
      </c>
      <c r="AN284">
        <v>0</v>
      </c>
      <c r="AP284">
        <v>0</v>
      </c>
      <c r="AR284">
        <v>0</v>
      </c>
      <c r="AT284">
        <v>0</v>
      </c>
    </row>
    <row r="285" spans="1:47" x14ac:dyDescent="0.2">
      <c r="A285" t="s">
        <v>3183</v>
      </c>
      <c r="B285" t="s">
        <v>3184</v>
      </c>
      <c r="C285">
        <v>40</v>
      </c>
      <c r="D285">
        <v>12</v>
      </c>
      <c r="E285">
        <v>0.3</v>
      </c>
      <c r="F285">
        <v>11</v>
      </c>
      <c r="G285">
        <v>0.91700000000000004</v>
      </c>
      <c r="H285">
        <v>12</v>
      </c>
      <c r="I285">
        <v>1</v>
      </c>
      <c r="J285">
        <v>10</v>
      </c>
      <c r="K285">
        <v>0.83299999999999996</v>
      </c>
      <c r="L285">
        <v>14</v>
      </c>
      <c r="M285" t="s">
        <v>53</v>
      </c>
      <c r="N285" t="s">
        <v>53</v>
      </c>
      <c r="O285">
        <v>0</v>
      </c>
      <c r="P285" t="s">
        <v>53</v>
      </c>
      <c r="Q285" t="s">
        <v>53</v>
      </c>
      <c r="R285" t="s">
        <v>53</v>
      </c>
      <c r="S285" t="s">
        <v>53</v>
      </c>
      <c r="T285" t="s">
        <v>53</v>
      </c>
      <c r="U285">
        <v>15</v>
      </c>
      <c r="V285">
        <v>7</v>
      </c>
      <c r="W285">
        <v>0.46700000000000003</v>
      </c>
      <c r="X285" t="s">
        <v>53</v>
      </c>
      <c r="Y285" t="s">
        <v>53</v>
      </c>
      <c r="Z285">
        <v>7</v>
      </c>
      <c r="AA285">
        <v>1</v>
      </c>
      <c r="AB285">
        <v>7</v>
      </c>
      <c r="AC285">
        <v>1</v>
      </c>
      <c r="AD285">
        <v>11</v>
      </c>
      <c r="AE285" t="s">
        <v>53</v>
      </c>
      <c r="AF285" t="s">
        <v>53</v>
      </c>
      <c r="AG285" t="s">
        <v>53</v>
      </c>
      <c r="AH285" t="s">
        <v>53</v>
      </c>
      <c r="AI285" t="s">
        <v>53</v>
      </c>
      <c r="AJ285" t="s">
        <v>53</v>
      </c>
      <c r="AK285" t="s">
        <v>53</v>
      </c>
      <c r="AL285" t="s">
        <v>53</v>
      </c>
      <c r="AM285">
        <v>0</v>
      </c>
      <c r="AN285">
        <v>0</v>
      </c>
      <c r="AP285">
        <v>0</v>
      </c>
      <c r="AR285">
        <v>0</v>
      </c>
      <c r="AT285">
        <v>0</v>
      </c>
    </row>
    <row r="286" spans="1:47" x14ac:dyDescent="0.2">
      <c r="A286" t="s">
        <v>3186</v>
      </c>
      <c r="B286" t="s">
        <v>3187</v>
      </c>
      <c r="C286">
        <v>47</v>
      </c>
      <c r="D286">
        <v>30</v>
      </c>
      <c r="E286">
        <v>0.63800000000000001</v>
      </c>
      <c r="F286">
        <v>19</v>
      </c>
      <c r="G286">
        <v>0.63300000000000001</v>
      </c>
      <c r="H286">
        <v>25</v>
      </c>
      <c r="I286">
        <v>0.83299999999999996</v>
      </c>
      <c r="J286">
        <v>23</v>
      </c>
      <c r="K286">
        <v>0.92</v>
      </c>
      <c r="L286">
        <v>33</v>
      </c>
      <c r="M286">
        <v>17</v>
      </c>
      <c r="N286">
        <v>0.51500000000000001</v>
      </c>
      <c r="O286">
        <v>15</v>
      </c>
      <c r="P286">
        <v>0.88200000000000001</v>
      </c>
      <c r="Q286">
        <v>17</v>
      </c>
      <c r="R286">
        <v>1</v>
      </c>
      <c r="S286">
        <v>15</v>
      </c>
      <c r="T286">
        <v>0.88200000000000001</v>
      </c>
      <c r="U286">
        <v>6</v>
      </c>
      <c r="V286" t="s">
        <v>53</v>
      </c>
      <c r="W286" t="s">
        <v>53</v>
      </c>
      <c r="X286" t="s">
        <v>53</v>
      </c>
      <c r="Y286" t="s">
        <v>53</v>
      </c>
      <c r="Z286" t="s">
        <v>53</v>
      </c>
      <c r="AA286" t="s">
        <v>53</v>
      </c>
      <c r="AB286" t="s">
        <v>53</v>
      </c>
      <c r="AC286" t="s">
        <v>53</v>
      </c>
      <c r="AD286">
        <v>8</v>
      </c>
      <c r="AE286" t="s">
        <v>53</v>
      </c>
      <c r="AF286" t="s">
        <v>53</v>
      </c>
      <c r="AG286" t="s">
        <v>53</v>
      </c>
      <c r="AH286" t="s">
        <v>53</v>
      </c>
      <c r="AI286" t="s">
        <v>53</v>
      </c>
      <c r="AJ286" t="s">
        <v>53</v>
      </c>
      <c r="AK286" t="s">
        <v>53</v>
      </c>
      <c r="AL286" t="s">
        <v>53</v>
      </c>
      <c r="AM286">
        <v>0</v>
      </c>
      <c r="AN286">
        <v>0</v>
      </c>
      <c r="AP286">
        <v>0</v>
      </c>
      <c r="AR286">
        <v>0</v>
      </c>
      <c r="AT286">
        <v>0</v>
      </c>
    </row>
    <row r="287" spans="1:47" x14ac:dyDescent="0.2">
      <c r="A287" t="s">
        <v>3189</v>
      </c>
      <c r="B287" t="s">
        <v>3190</v>
      </c>
      <c r="C287">
        <v>911</v>
      </c>
      <c r="D287">
        <v>309</v>
      </c>
      <c r="E287">
        <v>0.33900000000000002</v>
      </c>
      <c r="F287">
        <v>245</v>
      </c>
      <c r="G287">
        <v>0.79300000000000004</v>
      </c>
      <c r="H287">
        <v>305</v>
      </c>
      <c r="I287">
        <v>0.98699999999999999</v>
      </c>
      <c r="J287">
        <v>226</v>
      </c>
      <c r="K287">
        <v>0.74099999999999999</v>
      </c>
      <c r="L287">
        <v>121</v>
      </c>
      <c r="M287">
        <v>65</v>
      </c>
      <c r="N287">
        <v>0.53700000000000003</v>
      </c>
      <c r="O287">
        <v>28</v>
      </c>
      <c r="P287">
        <v>0.43099999999999999</v>
      </c>
      <c r="Q287">
        <v>64</v>
      </c>
      <c r="R287">
        <v>0.98499999999999999</v>
      </c>
      <c r="S287">
        <v>38</v>
      </c>
      <c r="T287">
        <v>0.59399999999999997</v>
      </c>
      <c r="U287">
        <v>214</v>
      </c>
      <c r="V287">
        <v>76</v>
      </c>
      <c r="W287">
        <v>0.35499999999999998</v>
      </c>
      <c r="X287">
        <v>71</v>
      </c>
      <c r="Y287">
        <v>0.93400000000000005</v>
      </c>
      <c r="Z287">
        <v>74</v>
      </c>
      <c r="AA287">
        <v>0.97399999999999998</v>
      </c>
      <c r="AB287">
        <v>66</v>
      </c>
      <c r="AC287">
        <v>0.89200000000000002</v>
      </c>
      <c r="AD287">
        <v>269</v>
      </c>
      <c r="AE287">
        <v>107</v>
      </c>
      <c r="AF287">
        <v>0.39800000000000002</v>
      </c>
      <c r="AG287">
        <v>93</v>
      </c>
      <c r="AH287">
        <v>0.86899999999999999</v>
      </c>
      <c r="AI287">
        <v>107</v>
      </c>
      <c r="AJ287">
        <v>1</v>
      </c>
      <c r="AK287">
        <v>92</v>
      </c>
      <c r="AL287">
        <v>0.86</v>
      </c>
      <c r="AM287">
        <v>307</v>
      </c>
      <c r="AN287">
        <v>61</v>
      </c>
      <c r="AO287">
        <v>0.19900000000000001</v>
      </c>
      <c r="AP287">
        <v>53</v>
      </c>
      <c r="AQ287">
        <v>0.86899999999999999</v>
      </c>
      <c r="AR287">
        <v>60</v>
      </c>
      <c r="AS287">
        <v>0.98399999999999999</v>
      </c>
      <c r="AT287">
        <v>30</v>
      </c>
      <c r="AU287">
        <v>0.5</v>
      </c>
    </row>
    <row r="288" spans="1:47" x14ac:dyDescent="0.2">
      <c r="A288" t="s">
        <v>3192</v>
      </c>
      <c r="B288" t="s">
        <v>3193</v>
      </c>
      <c r="C288">
        <v>362</v>
      </c>
      <c r="D288">
        <v>497</v>
      </c>
      <c r="E288">
        <v>1.373</v>
      </c>
      <c r="F288">
        <v>474</v>
      </c>
      <c r="G288">
        <v>0.95399999999999996</v>
      </c>
      <c r="H288">
        <v>493</v>
      </c>
      <c r="I288">
        <v>0.99199999999999999</v>
      </c>
      <c r="J288">
        <v>363</v>
      </c>
      <c r="K288">
        <v>0.73599999999999999</v>
      </c>
      <c r="L288">
        <v>103</v>
      </c>
      <c r="M288">
        <v>130</v>
      </c>
      <c r="N288">
        <v>1.262</v>
      </c>
      <c r="O288">
        <v>119</v>
      </c>
      <c r="P288">
        <v>0.91500000000000004</v>
      </c>
      <c r="Q288">
        <v>130</v>
      </c>
      <c r="R288">
        <v>1</v>
      </c>
      <c r="S288">
        <v>84</v>
      </c>
      <c r="T288">
        <v>0.64600000000000002</v>
      </c>
      <c r="U288">
        <v>119</v>
      </c>
      <c r="V288">
        <v>148</v>
      </c>
      <c r="W288">
        <v>1.244</v>
      </c>
      <c r="X288">
        <v>145</v>
      </c>
      <c r="Y288">
        <v>0.98</v>
      </c>
      <c r="Z288">
        <v>148</v>
      </c>
      <c r="AA288">
        <v>1</v>
      </c>
      <c r="AB288">
        <v>114</v>
      </c>
      <c r="AC288">
        <v>0.77</v>
      </c>
      <c r="AD288">
        <v>140</v>
      </c>
      <c r="AE288">
        <v>219</v>
      </c>
      <c r="AF288">
        <v>1.5640000000000001</v>
      </c>
      <c r="AG288">
        <v>210</v>
      </c>
      <c r="AH288">
        <v>0.95899999999999996</v>
      </c>
      <c r="AI288">
        <v>215</v>
      </c>
      <c r="AJ288">
        <v>0.98199999999999998</v>
      </c>
      <c r="AK288">
        <v>165</v>
      </c>
      <c r="AL288">
        <v>0.76700000000000002</v>
      </c>
      <c r="AM288">
        <v>0</v>
      </c>
      <c r="AN288">
        <v>0</v>
      </c>
      <c r="AP288">
        <v>0</v>
      </c>
      <c r="AR288">
        <v>0</v>
      </c>
      <c r="AT288">
        <v>0</v>
      </c>
    </row>
    <row r="289" spans="1:47" x14ac:dyDescent="0.2">
      <c r="A289" t="s">
        <v>3195</v>
      </c>
      <c r="B289" t="s">
        <v>3196</v>
      </c>
      <c r="C289">
        <v>736</v>
      </c>
      <c r="D289">
        <v>704</v>
      </c>
      <c r="E289">
        <v>0.95699999999999996</v>
      </c>
      <c r="F289">
        <v>540</v>
      </c>
      <c r="G289">
        <v>0.76700000000000002</v>
      </c>
      <c r="H289">
        <v>670</v>
      </c>
      <c r="I289">
        <v>0.95199999999999996</v>
      </c>
      <c r="J289">
        <v>472</v>
      </c>
      <c r="K289">
        <v>0.70399999999999996</v>
      </c>
      <c r="L289">
        <v>305</v>
      </c>
      <c r="M289">
        <v>191</v>
      </c>
      <c r="N289">
        <v>0.626</v>
      </c>
      <c r="O289">
        <v>148</v>
      </c>
      <c r="P289">
        <v>0.77500000000000002</v>
      </c>
      <c r="Q289">
        <v>191</v>
      </c>
      <c r="R289">
        <v>1</v>
      </c>
      <c r="S289">
        <v>131</v>
      </c>
      <c r="T289">
        <v>0.68600000000000005</v>
      </c>
      <c r="U289">
        <v>242</v>
      </c>
      <c r="V289">
        <v>236</v>
      </c>
      <c r="W289">
        <v>0.97499999999999998</v>
      </c>
      <c r="X289">
        <v>224</v>
      </c>
      <c r="Y289">
        <v>0.94899999999999995</v>
      </c>
      <c r="Z289">
        <v>233</v>
      </c>
      <c r="AA289">
        <v>0.98699999999999999</v>
      </c>
      <c r="AB289">
        <v>177</v>
      </c>
      <c r="AC289">
        <v>0.76</v>
      </c>
      <c r="AD289">
        <v>189</v>
      </c>
      <c r="AE289">
        <v>277</v>
      </c>
      <c r="AF289">
        <v>1.466</v>
      </c>
      <c r="AG289">
        <v>168</v>
      </c>
      <c r="AH289">
        <v>0.60599999999999998</v>
      </c>
      <c r="AI289">
        <v>246</v>
      </c>
      <c r="AJ289">
        <v>0.88800000000000001</v>
      </c>
      <c r="AK289">
        <v>164</v>
      </c>
      <c r="AL289">
        <v>0.66700000000000004</v>
      </c>
      <c r="AM289">
        <v>0</v>
      </c>
      <c r="AN289">
        <v>0</v>
      </c>
      <c r="AP289">
        <v>0</v>
      </c>
      <c r="AR289">
        <v>0</v>
      </c>
      <c r="AT289">
        <v>0</v>
      </c>
    </row>
    <row r="290" spans="1:47" x14ac:dyDescent="0.2">
      <c r="A290" t="s">
        <v>3124</v>
      </c>
      <c r="B290" t="s">
        <v>3125</v>
      </c>
      <c r="C290">
        <v>735</v>
      </c>
      <c r="D290">
        <v>345</v>
      </c>
      <c r="E290">
        <v>0.46899999999999997</v>
      </c>
      <c r="F290">
        <v>199</v>
      </c>
      <c r="G290">
        <v>0.57699999999999996</v>
      </c>
      <c r="H290">
        <v>285</v>
      </c>
      <c r="I290">
        <v>0.82599999999999996</v>
      </c>
      <c r="J290">
        <v>146</v>
      </c>
      <c r="K290">
        <v>0.51200000000000001</v>
      </c>
      <c r="L290">
        <v>359</v>
      </c>
      <c r="M290">
        <v>197</v>
      </c>
      <c r="N290">
        <v>0.54900000000000004</v>
      </c>
      <c r="O290">
        <v>95</v>
      </c>
      <c r="P290">
        <v>0.48199999999999998</v>
      </c>
      <c r="Q290">
        <v>165</v>
      </c>
      <c r="R290">
        <v>0.83799999999999997</v>
      </c>
      <c r="S290">
        <v>87</v>
      </c>
      <c r="T290">
        <v>0.52700000000000002</v>
      </c>
      <c r="U290">
        <v>33</v>
      </c>
      <c r="V290">
        <v>27</v>
      </c>
      <c r="W290">
        <v>0.81799999999999995</v>
      </c>
      <c r="X290">
        <v>17</v>
      </c>
      <c r="Y290">
        <v>0.63</v>
      </c>
      <c r="Z290">
        <v>14</v>
      </c>
      <c r="AA290">
        <v>0.51900000000000002</v>
      </c>
      <c r="AB290">
        <v>7</v>
      </c>
      <c r="AC290">
        <v>0.5</v>
      </c>
      <c r="AD290">
        <v>19</v>
      </c>
      <c r="AE290">
        <v>24</v>
      </c>
      <c r="AF290">
        <v>1.2629999999999999</v>
      </c>
      <c r="AG290">
        <v>8</v>
      </c>
      <c r="AH290">
        <v>0.33300000000000002</v>
      </c>
      <c r="AI290">
        <v>17</v>
      </c>
      <c r="AJ290">
        <v>0.70799999999999996</v>
      </c>
      <c r="AK290">
        <v>10</v>
      </c>
      <c r="AL290">
        <v>0.58799999999999997</v>
      </c>
      <c r="AM290">
        <v>324</v>
      </c>
      <c r="AN290">
        <v>97</v>
      </c>
      <c r="AO290">
        <v>0.29899999999999999</v>
      </c>
      <c r="AP290">
        <v>79</v>
      </c>
      <c r="AQ290">
        <v>0.81399999999999995</v>
      </c>
      <c r="AR290">
        <v>89</v>
      </c>
      <c r="AS290">
        <v>0.91800000000000004</v>
      </c>
      <c r="AT290">
        <v>42</v>
      </c>
      <c r="AU290">
        <v>0.47199999999999998</v>
      </c>
    </row>
    <row r="291" spans="1:47" x14ac:dyDescent="0.2">
      <c r="A291" t="s">
        <v>3127</v>
      </c>
      <c r="B291" t="s">
        <v>3128</v>
      </c>
      <c r="C291">
        <v>1259</v>
      </c>
      <c r="D291">
        <v>1017</v>
      </c>
      <c r="E291">
        <v>0.80800000000000005</v>
      </c>
      <c r="F291">
        <v>965</v>
      </c>
      <c r="G291">
        <v>0.94899999999999995</v>
      </c>
      <c r="H291">
        <v>1008</v>
      </c>
      <c r="I291">
        <v>0.99099999999999999</v>
      </c>
      <c r="J291">
        <v>680</v>
      </c>
      <c r="K291">
        <v>0.67500000000000004</v>
      </c>
      <c r="L291">
        <v>386</v>
      </c>
      <c r="M291">
        <v>290</v>
      </c>
      <c r="N291">
        <v>0.751</v>
      </c>
      <c r="O291">
        <v>256</v>
      </c>
      <c r="P291">
        <v>0.88300000000000001</v>
      </c>
      <c r="Q291">
        <v>289</v>
      </c>
      <c r="R291">
        <v>0.997</v>
      </c>
      <c r="S291">
        <v>181</v>
      </c>
      <c r="T291">
        <v>0.626</v>
      </c>
      <c r="U291">
        <v>284</v>
      </c>
      <c r="V291">
        <v>250</v>
      </c>
      <c r="W291">
        <v>0.88</v>
      </c>
      <c r="X291">
        <v>245</v>
      </c>
      <c r="Y291">
        <v>0.98</v>
      </c>
      <c r="Z291">
        <v>248</v>
      </c>
      <c r="AA291">
        <v>0.99199999999999999</v>
      </c>
      <c r="AB291">
        <v>172</v>
      </c>
      <c r="AC291">
        <v>0.69399999999999995</v>
      </c>
      <c r="AD291">
        <v>441</v>
      </c>
      <c r="AE291">
        <v>402</v>
      </c>
      <c r="AF291">
        <v>0.91200000000000003</v>
      </c>
      <c r="AG291">
        <v>390</v>
      </c>
      <c r="AH291">
        <v>0.97</v>
      </c>
      <c r="AI291">
        <v>396</v>
      </c>
      <c r="AJ291">
        <v>0.98499999999999999</v>
      </c>
      <c r="AK291">
        <v>294</v>
      </c>
      <c r="AL291">
        <v>0.74199999999999999</v>
      </c>
      <c r="AM291">
        <v>148</v>
      </c>
      <c r="AN291">
        <v>75</v>
      </c>
      <c r="AO291">
        <v>0.50700000000000001</v>
      </c>
      <c r="AP291">
        <v>74</v>
      </c>
      <c r="AQ291">
        <v>0.98699999999999999</v>
      </c>
      <c r="AR291">
        <v>75</v>
      </c>
      <c r="AS291">
        <v>1</v>
      </c>
      <c r="AT291">
        <v>33</v>
      </c>
      <c r="AU291">
        <v>0.44</v>
      </c>
    </row>
    <row r="292" spans="1:47" x14ac:dyDescent="0.2">
      <c r="A292" t="s">
        <v>3130</v>
      </c>
      <c r="B292" t="s">
        <v>3131</v>
      </c>
      <c r="C292">
        <v>592</v>
      </c>
      <c r="D292">
        <v>177</v>
      </c>
      <c r="E292">
        <v>0.29899999999999999</v>
      </c>
      <c r="F292">
        <v>157</v>
      </c>
      <c r="G292">
        <v>0.88700000000000001</v>
      </c>
      <c r="H292">
        <v>177</v>
      </c>
      <c r="I292">
        <v>1</v>
      </c>
      <c r="J292">
        <v>135</v>
      </c>
      <c r="K292">
        <v>0.76300000000000001</v>
      </c>
      <c r="L292" t="s">
        <v>53</v>
      </c>
      <c r="M292">
        <v>50</v>
      </c>
      <c r="N292" t="s">
        <v>53</v>
      </c>
      <c r="O292">
        <v>37</v>
      </c>
      <c r="P292">
        <v>0.74</v>
      </c>
      <c r="Q292">
        <v>50</v>
      </c>
      <c r="R292">
        <v>1</v>
      </c>
      <c r="S292">
        <v>36</v>
      </c>
      <c r="T292">
        <v>0.72</v>
      </c>
      <c r="U292">
        <v>187</v>
      </c>
      <c r="V292">
        <v>61</v>
      </c>
      <c r="W292">
        <v>0.32600000000000001</v>
      </c>
      <c r="X292">
        <v>57</v>
      </c>
      <c r="Y292">
        <v>0.93400000000000005</v>
      </c>
      <c r="Z292">
        <v>61</v>
      </c>
      <c r="AA292">
        <v>1</v>
      </c>
      <c r="AB292">
        <v>47</v>
      </c>
      <c r="AC292">
        <v>0.77</v>
      </c>
      <c r="AD292">
        <v>242</v>
      </c>
      <c r="AE292">
        <v>66</v>
      </c>
      <c r="AF292">
        <v>0.27300000000000002</v>
      </c>
      <c r="AG292">
        <v>63</v>
      </c>
      <c r="AH292">
        <v>0.95499999999999996</v>
      </c>
      <c r="AI292">
        <v>66</v>
      </c>
      <c r="AJ292">
        <v>1</v>
      </c>
      <c r="AK292">
        <v>52</v>
      </c>
      <c r="AL292">
        <v>0.78800000000000003</v>
      </c>
      <c r="AM292" t="s">
        <v>53</v>
      </c>
      <c r="AN292">
        <v>0</v>
      </c>
      <c r="AO292" t="s">
        <v>53</v>
      </c>
      <c r="AP292">
        <v>0</v>
      </c>
      <c r="AR292">
        <v>0</v>
      </c>
      <c r="AT292">
        <v>0</v>
      </c>
    </row>
    <row r="293" spans="1:47" x14ac:dyDescent="0.2">
      <c r="A293" t="s">
        <v>3139</v>
      </c>
      <c r="B293" t="s">
        <v>3140</v>
      </c>
      <c r="C293">
        <v>249</v>
      </c>
      <c r="D293">
        <v>231</v>
      </c>
      <c r="E293">
        <v>0.92800000000000005</v>
      </c>
      <c r="F293">
        <v>225</v>
      </c>
      <c r="G293">
        <v>0.97399999999999998</v>
      </c>
      <c r="H293">
        <v>228</v>
      </c>
      <c r="I293">
        <v>0.98699999999999999</v>
      </c>
      <c r="J293">
        <v>159</v>
      </c>
      <c r="K293">
        <v>0.69699999999999995</v>
      </c>
      <c r="L293">
        <v>249</v>
      </c>
      <c r="M293">
        <v>231</v>
      </c>
      <c r="N293">
        <v>0.92800000000000005</v>
      </c>
      <c r="O293">
        <v>225</v>
      </c>
      <c r="P293">
        <v>0.97399999999999998</v>
      </c>
      <c r="Q293">
        <v>228</v>
      </c>
      <c r="R293">
        <v>0.98699999999999999</v>
      </c>
      <c r="S293">
        <v>159</v>
      </c>
      <c r="T293">
        <v>0.69699999999999995</v>
      </c>
      <c r="U293">
        <v>0</v>
      </c>
      <c r="V293">
        <v>0</v>
      </c>
      <c r="X293">
        <v>0</v>
      </c>
      <c r="Z293">
        <v>0</v>
      </c>
      <c r="AB293">
        <v>0</v>
      </c>
      <c r="AD293">
        <v>0</v>
      </c>
      <c r="AE293">
        <v>0</v>
      </c>
      <c r="AG293">
        <v>0</v>
      </c>
      <c r="AI293">
        <v>0</v>
      </c>
      <c r="AK293">
        <v>0</v>
      </c>
      <c r="AM293">
        <v>0</v>
      </c>
      <c r="AN293">
        <v>0</v>
      </c>
      <c r="AP293">
        <v>0</v>
      </c>
      <c r="AR293">
        <v>0</v>
      </c>
      <c r="AT293">
        <v>0</v>
      </c>
    </row>
    <row r="294" spans="1:47" x14ac:dyDescent="0.2">
      <c r="A294" t="s">
        <v>3142</v>
      </c>
      <c r="B294" t="s">
        <v>3143</v>
      </c>
      <c r="C294">
        <v>1143</v>
      </c>
      <c r="D294">
        <v>1095</v>
      </c>
      <c r="E294">
        <v>0.95799999999999996</v>
      </c>
      <c r="F294">
        <v>809</v>
      </c>
      <c r="G294">
        <v>0.73899999999999999</v>
      </c>
      <c r="H294">
        <v>913</v>
      </c>
      <c r="I294">
        <v>0.83399999999999996</v>
      </c>
      <c r="J294">
        <v>598</v>
      </c>
      <c r="K294">
        <v>0.65500000000000003</v>
      </c>
      <c r="L294">
        <v>348</v>
      </c>
      <c r="M294">
        <v>241</v>
      </c>
      <c r="N294">
        <v>0.69299999999999995</v>
      </c>
      <c r="O294">
        <v>195</v>
      </c>
      <c r="P294">
        <v>0.80900000000000005</v>
      </c>
      <c r="Q294">
        <v>239</v>
      </c>
      <c r="R294">
        <v>0.99199999999999999</v>
      </c>
      <c r="S294">
        <v>156</v>
      </c>
      <c r="T294">
        <v>0.65300000000000002</v>
      </c>
      <c r="U294">
        <v>430</v>
      </c>
      <c r="V294">
        <v>441</v>
      </c>
      <c r="W294">
        <v>1.026</v>
      </c>
      <c r="X294">
        <v>322</v>
      </c>
      <c r="Y294">
        <v>0.73</v>
      </c>
      <c r="Z294">
        <v>346</v>
      </c>
      <c r="AA294">
        <v>0.78500000000000003</v>
      </c>
      <c r="AB294">
        <v>232</v>
      </c>
      <c r="AC294">
        <v>0.67100000000000004</v>
      </c>
      <c r="AD294">
        <v>365</v>
      </c>
      <c r="AE294">
        <v>413</v>
      </c>
      <c r="AF294">
        <v>1.1319999999999999</v>
      </c>
      <c r="AG294">
        <v>292</v>
      </c>
      <c r="AH294">
        <v>0.70699999999999996</v>
      </c>
      <c r="AI294">
        <v>328</v>
      </c>
      <c r="AJ294">
        <v>0.79400000000000004</v>
      </c>
      <c r="AK294">
        <v>210</v>
      </c>
      <c r="AL294">
        <v>0.64</v>
      </c>
      <c r="AM294">
        <v>0</v>
      </c>
      <c r="AN294">
        <v>0</v>
      </c>
      <c r="AP294">
        <v>0</v>
      </c>
      <c r="AR294">
        <v>0</v>
      </c>
      <c r="AT294">
        <v>0</v>
      </c>
    </row>
    <row r="295" spans="1:47" x14ac:dyDescent="0.2">
      <c r="A295" t="s">
        <v>3145</v>
      </c>
      <c r="B295" t="s">
        <v>3146</v>
      </c>
      <c r="C295">
        <v>1006</v>
      </c>
      <c r="D295">
        <v>1172</v>
      </c>
      <c r="E295">
        <v>1.165</v>
      </c>
      <c r="F295">
        <v>617</v>
      </c>
      <c r="G295">
        <v>0.52600000000000002</v>
      </c>
      <c r="H295">
        <v>1045</v>
      </c>
      <c r="I295">
        <v>0.89200000000000002</v>
      </c>
      <c r="J295">
        <v>563</v>
      </c>
      <c r="K295">
        <v>0.53900000000000003</v>
      </c>
      <c r="L295">
        <v>385</v>
      </c>
      <c r="M295">
        <v>531</v>
      </c>
      <c r="N295">
        <v>1.379</v>
      </c>
      <c r="O295">
        <v>231</v>
      </c>
      <c r="P295">
        <v>0.435</v>
      </c>
      <c r="Q295">
        <v>525</v>
      </c>
      <c r="R295">
        <v>0.98899999999999999</v>
      </c>
      <c r="S295">
        <v>260</v>
      </c>
      <c r="T295">
        <v>0.495</v>
      </c>
      <c r="U295">
        <v>228</v>
      </c>
      <c r="V295">
        <v>229</v>
      </c>
      <c r="W295">
        <v>1.004</v>
      </c>
      <c r="X295">
        <v>124</v>
      </c>
      <c r="Y295">
        <v>0.54100000000000004</v>
      </c>
      <c r="Z295">
        <v>184</v>
      </c>
      <c r="AA295">
        <v>0.80300000000000005</v>
      </c>
      <c r="AB295">
        <v>108</v>
      </c>
      <c r="AC295">
        <v>0.58699999999999997</v>
      </c>
      <c r="AD295">
        <v>245</v>
      </c>
      <c r="AE295">
        <v>318</v>
      </c>
      <c r="AF295">
        <v>1.298</v>
      </c>
      <c r="AG295">
        <v>180</v>
      </c>
      <c r="AH295">
        <v>0.56599999999999995</v>
      </c>
      <c r="AI295">
        <v>243</v>
      </c>
      <c r="AJ295">
        <v>0.76400000000000001</v>
      </c>
      <c r="AK295">
        <v>138</v>
      </c>
      <c r="AL295">
        <v>0.56799999999999995</v>
      </c>
      <c r="AM295">
        <v>148</v>
      </c>
      <c r="AN295">
        <v>94</v>
      </c>
      <c r="AO295">
        <v>0.63500000000000001</v>
      </c>
      <c r="AP295">
        <v>82</v>
      </c>
      <c r="AQ295">
        <v>0.872</v>
      </c>
      <c r="AR295">
        <v>93</v>
      </c>
      <c r="AS295">
        <v>0.98899999999999999</v>
      </c>
      <c r="AT295">
        <v>57</v>
      </c>
      <c r="AU295">
        <v>0.61299999999999999</v>
      </c>
    </row>
    <row r="296" spans="1:47" x14ac:dyDescent="0.2">
      <c r="A296" t="s">
        <v>6652</v>
      </c>
      <c r="B296" t="s">
        <v>6653</v>
      </c>
      <c r="C296" t="s">
        <v>53</v>
      </c>
      <c r="D296">
        <v>0</v>
      </c>
      <c r="E296" t="s">
        <v>53</v>
      </c>
      <c r="F296">
        <v>0</v>
      </c>
      <c r="H296">
        <v>0</v>
      </c>
      <c r="J296">
        <v>0</v>
      </c>
      <c r="L296">
        <v>0</v>
      </c>
      <c r="M296">
        <v>0</v>
      </c>
      <c r="O296">
        <v>0</v>
      </c>
      <c r="Q296">
        <v>0</v>
      </c>
      <c r="S296">
        <v>0</v>
      </c>
      <c r="U296">
        <v>0</v>
      </c>
      <c r="V296">
        <v>0</v>
      </c>
      <c r="X296">
        <v>0</v>
      </c>
      <c r="Z296">
        <v>0</v>
      </c>
      <c r="AB296">
        <v>0</v>
      </c>
      <c r="AD296" t="s">
        <v>53</v>
      </c>
      <c r="AE296">
        <v>0</v>
      </c>
      <c r="AF296" t="s">
        <v>53</v>
      </c>
      <c r="AG296">
        <v>0</v>
      </c>
      <c r="AI296">
        <v>0</v>
      </c>
      <c r="AK296">
        <v>0</v>
      </c>
      <c r="AM296">
        <v>0</v>
      </c>
      <c r="AN296">
        <v>0</v>
      </c>
      <c r="AP296">
        <v>0</v>
      </c>
      <c r="AR296">
        <v>0</v>
      </c>
      <c r="AT296">
        <v>0</v>
      </c>
    </row>
    <row r="297" spans="1:47" x14ac:dyDescent="0.2">
      <c r="A297" t="s">
        <v>3148</v>
      </c>
      <c r="B297" t="s">
        <v>3149</v>
      </c>
      <c r="C297">
        <v>866</v>
      </c>
      <c r="D297">
        <v>548</v>
      </c>
      <c r="E297">
        <v>0.63300000000000001</v>
      </c>
      <c r="F297">
        <v>456</v>
      </c>
      <c r="G297">
        <v>0.83199999999999996</v>
      </c>
      <c r="H297">
        <v>520</v>
      </c>
      <c r="I297">
        <v>0.94899999999999995</v>
      </c>
      <c r="J297">
        <v>314</v>
      </c>
      <c r="K297">
        <v>0.60399999999999998</v>
      </c>
      <c r="L297">
        <v>294</v>
      </c>
      <c r="M297">
        <v>111</v>
      </c>
      <c r="N297">
        <v>0.378</v>
      </c>
      <c r="O297">
        <v>68</v>
      </c>
      <c r="P297">
        <v>0.61299999999999999</v>
      </c>
      <c r="Q297">
        <v>111</v>
      </c>
      <c r="R297">
        <v>1</v>
      </c>
      <c r="S297">
        <v>56</v>
      </c>
      <c r="T297">
        <v>0.505</v>
      </c>
      <c r="U297">
        <v>167</v>
      </c>
      <c r="V297">
        <v>147</v>
      </c>
      <c r="W297">
        <v>0.88</v>
      </c>
      <c r="X297">
        <v>130</v>
      </c>
      <c r="Y297">
        <v>0.88400000000000001</v>
      </c>
      <c r="Z297">
        <v>138</v>
      </c>
      <c r="AA297">
        <v>0.93899999999999995</v>
      </c>
      <c r="AB297">
        <v>91</v>
      </c>
      <c r="AC297">
        <v>0.65900000000000003</v>
      </c>
      <c r="AD297">
        <v>237</v>
      </c>
      <c r="AE297">
        <v>229</v>
      </c>
      <c r="AF297">
        <v>0.96599999999999997</v>
      </c>
      <c r="AG297">
        <v>198</v>
      </c>
      <c r="AH297">
        <v>0.86499999999999999</v>
      </c>
      <c r="AI297">
        <v>210</v>
      </c>
      <c r="AJ297">
        <v>0.91700000000000004</v>
      </c>
      <c r="AK297">
        <v>138</v>
      </c>
      <c r="AL297">
        <v>0.65700000000000003</v>
      </c>
      <c r="AM297">
        <v>168</v>
      </c>
      <c r="AN297">
        <v>61</v>
      </c>
      <c r="AO297">
        <v>0.36299999999999999</v>
      </c>
      <c r="AP297">
        <v>60</v>
      </c>
      <c r="AQ297">
        <v>0.98399999999999999</v>
      </c>
      <c r="AR297">
        <v>61</v>
      </c>
      <c r="AS297">
        <v>1</v>
      </c>
      <c r="AT297">
        <v>29</v>
      </c>
      <c r="AU297">
        <v>0.47499999999999998</v>
      </c>
    </row>
    <row r="298" spans="1:47" x14ac:dyDescent="0.2">
      <c r="A298" t="s">
        <v>3151</v>
      </c>
      <c r="B298" t="s">
        <v>3152</v>
      </c>
      <c r="C298">
        <v>1334</v>
      </c>
      <c r="D298">
        <v>635</v>
      </c>
      <c r="E298">
        <v>0.47599999999999998</v>
      </c>
      <c r="F298">
        <v>502</v>
      </c>
      <c r="G298">
        <v>0.79100000000000004</v>
      </c>
      <c r="H298">
        <v>617</v>
      </c>
      <c r="I298">
        <v>0.97199999999999998</v>
      </c>
      <c r="J298">
        <v>394</v>
      </c>
      <c r="K298">
        <v>0.63900000000000001</v>
      </c>
      <c r="L298">
        <v>407</v>
      </c>
      <c r="M298">
        <v>228</v>
      </c>
      <c r="N298">
        <v>0.56000000000000005</v>
      </c>
      <c r="O298">
        <v>165</v>
      </c>
      <c r="P298">
        <v>0.72399999999999998</v>
      </c>
      <c r="Q298">
        <v>228</v>
      </c>
      <c r="R298">
        <v>1</v>
      </c>
      <c r="S298">
        <v>150</v>
      </c>
      <c r="T298">
        <v>0.65800000000000003</v>
      </c>
      <c r="U298">
        <v>355</v>
      </c>
      <c r="V298">
        <v>149</v>
      </c>
      <c r="W298">
        <v>0.42</v>
      </c>
      <c r="X298">
        <v>115</v>
      </c>
      <c r="Y298">
        <v>0.77200000000000002</v>
      </c>
      <c r="Z298">
        <v>136</v>
      </c>
      <c r="AA298">
        <v>0.91300000000000003</v>
      </c>
      <c r="AB298">
        <v>81</v>
      </c>
      <c r="AC298">
        <v>0.59599999999999997</v>
      </c>
      <c r="AD298">
        <v>277</v>
      </c>
      <c r="AE298">
        <v>119</v>
      </c>
      <c r="AF298">
        <v>0.43</v>
      </c>
      <c r="AG298">
        <v>92</v>
      </c>
      <c r="AH298">
        <v>0.77300000000000002</v>
      </c>
      <c r="AI298">
        <v>114</v>
      </c>
      <c r="AJ298">
        <v>0.95799999999999996</v>
      </c>
      <c r="AK298">
        <v>73</v>
      </c>
      <c r="AL298">
        <v>0.64</v>
      </c>
      <c r="AM298">
        <v>295</v>
      </c>
      <c r="AN298">
        <v>139</v>
      </c>
      <c r="AO298">
        <v>0.47099999999999997</v>
      </c>
      <c r="AP298">
        <v>130</v>
      </c>
      <c r="AQ298">
        <v>0.93500000000000005</v>
      </c>
      <c r="AR298">
        <v>139</v>
      </c>
      <c r="AS298">
        <v>1</v>
      </c>
      <c r="AT298">
        <v>90</v>
      </c>
      <c r="AU298">
        <v>0.64700000000000002</v>
      </c>
    </row>
    <row r="299" spans="1:47" x14ac:dyDescent="0.2">
      <c r="A299" t="s">
        <v>3112</v>
      </c>
      <c r="B299" t="s">
        <v>3113</v>
      </c>
      <c r="C299">
        <v>204</v>
      </c>
      <c r="D299">
        <v>125</v>
      </c>
      <c r="E299">
        <v>0.61299999999999999</v>
      </c>
      <c r="F299">
        <v>108</v>
      </c>
      <c r="G299">
        <v>0.86399999999999999</v>
      </c>
      <c r="H299">
        <v>125</v>
      </c>
      <c r="I299">
        <v>1</v>
      </c>
      <c r="J299">
        <v>78</v>
      </c>
      <c r="K299">
        <v>0.624</v>
      </c>
      <c r="L299">
        <v>167</v>
      </c>
      <c r="M299">
        <v>105</v>
      </c>
      <c r="N299">
        <v>0.629</v>
      </c>
      <c r="O299">
        <v>89</v>
      </c>
      <c r="P299">
        <v>0.84799999999999998</v>
      </c>
      <c r="Q299">
        <v>105</v>
      </c>
      <c r="R299">
        <v>1</v>
      </c>
      <c r="S299">
        <v>64</v>
      </c>
      <c r="T299">
        <v>0.61</v>
      </c>
      <c r="U299">
        <v>0</v>
      </c>
      <c r="V299">
        <v>0</v>
      </c>
      <c r="X299">
        <v>0</v>
      </c>
      <c r="Z299">
        <v>0</v>
      </c>
      <c r="AB299">
        <v>0</v>
      </c>
      <c r="AD299">
        <v>0</v>
      </c>
      <c r="AE299">
        <v>0</v>
      </c>
      <c r="AG299">
        <v>0</v>
      </c>
      <c r="AI299">
        <v>0</v>
      </c>
      <c r="AK299">
        <v>0</v>
      </c>
      <c r="AM299">
        <v>37</v>
      </c>
      <c r="AN299">
        <v>20</v>
      </c>
      <c r="AO299">
        <v>0.54100000000000004</v>
      </c>
      <c r="AP299">
        <v>19</v>
      </c>
      <c r="AQ299">
        <v>0.95</v>
      </c>
      <c r="AR299">
        <v>20</v>
      </c>
      <c r="AS299">
        <v>1</v>
      </c>
      <c r="AT299">
        <v>14</v>
      </c>
      <c r="AU299">
        <v>0.7</v>
      </c>
    </row>
    <row r="300" spans="1:47" x14ac:dyDescent="0.2">
      <c r="A300" t="s">
        <v>3118</v>
      </c>
      <c r="B300" t="s">
        <v>3119</v>
      </c>
      <c r="C300">
        <v>245</v>
      </c>
      <c r="D300">
        <v>177</v>
      </c>
      <c r="E300">
        <v>0.72199999999999998</v>
      </c>
      <c r="F300">
        <v>157</v>
      </c>
      <c r="G300">
        <v>0.88700000000000001</v>
      </c>
      <c r="H300">
        <v>174</v>
      </c>
      <c r="I300">
        <v>0.98299999999999998</v>
      </c>
      <c r="J300">
        <v>126</v>
      </c>
      <c r="K300">
        <v>0.72399999999999998</v>
      </c>
      <c r="L300">
        <v>84</v>
      </c>
      <c r="M300">
        <v>58</v>
      </c>
      <c r="N300">
        <v>0.69</v>
      </c>
      <c r="O300">
        <v>54</v>
      </c>
      <c r="P300">
        <v>0.93100000000000005</v>
      </c>
      <c r="Q300">
        <v>58</v>
      </c>
      <c r="R300">
        <v>1</v>
      </c>
      <c r="S300">
        <v>42</v>
      </c>
      <c r="T300">
        <v>0.72399999999999998</v>
      </c>
      <c r="U300">
        <v>59</v>
      </c>
      <c r="V300">
        <v>39</v>
      </c>
      <c r="W300">
        <v>0.66100000000000003</v>
      </c>
      <c r="X300">
        <v>38</v>
      </c>
      <c r="Y300">
        <v>0.97399999999999998</v>
      </c>
      <c r="Z300">
        <v>39</v>
      </c>
      <c r="AA300">
        <v>1</v>
      </c>
      <c r="AB300">
        <v>30</v>
      </c>
      <c r="AC300">
        <v>0.76900000000000002</v>
      </c>
      <c r="AD300">
        <v>102</v>
      </c>
      <c r="AE300">
        <v>80</v>
      </c>
      <c r="AF300">
        <v>0.78400000000000003</v>
      </c>
      <c r="AG300">
        <v>65</v>
      </c>
      <c r="AH300">
        <v>0.81299999999999994</v>
      </c>
      <c r="AI300">
        <v>77</v>
      </c>
      <c r="AJ300">
        <v>0.96299999999999997</v>
      </c>
      <c r="AK300">
        <v>54</v>
      </c>
      <c r="AL300">
        <v>0.70099999999999996</v>
      </c>
      <c r="AM300">
        <v>0</v>
      </c>
      <c r="AN300">
        <v>0</v>
      </c>
      <c r="AP300">
        <v>0</v>
      </c>
      <c r="AR300">
        <v>0</v>
      </c>
      <c r="AT300">
        <v>0</v>
      </c>
    </row>
    <row r="301" spans="1:47" x14ac:dyDescent="0.2">
      <c r="A301" t="s">
        <v>6521</v>
      </c>
      <c r="B301" t="s">
        <v>6522</v>
      </c>
      <c r="C301" t="s">
        <v>53</v>
      </c>
      <c r="D301">
        <v>0</v>
      </c>
      <c r="E301" t="s">
        <v>53</v>
      </c>
      <c r="F301">
        <v>0</v>
      </c>
      <c r="H301">
        <v>0</v>
      </c>
      <c r="J301">
        <v>0</v>
      </c>
      <c r="L301" t="s">
        <v>53</v>
      </c>
      <c r="M301">
        <v>0</v>
      </c>
      <c r="N301" t="s">
        <v>53</v>
      </c>
      <c r="O301">
        <v>0</v>
      </c>
      <c r="Q301">
        <v>0</v>
      </c>
      <c r="S301">
        <v>0</v>
      </c>
      <c r="U301">
        <v>0</v>
      </c>
      <c r="V301">
        <v>0</v>
      </c>
      <c r="X301">
        <v>0</v>
      </c>
      <c r="Z301">
        <v>0</v>
      </c>
      <c r="AB301">
        <v>0</v>
      </c>
      <c r="AD301">
        <v>0</v>
      </c>
      <c r="AE301">
        <v>0</v>
      </c>
      <c r="AG301">
        <v>0</v>
      </c>
      <c r="AI301">
        <v>0</v>
      </c>
      <c r="AK301">
        <v>0</v>
      </c>
      <c r="AM301">
        <v>0</v>
      </c>
      <c r="AN301">
        <v>0</v>
      </c>
      <c r="AP301">
        <v>0</v>
      </c>
      <c r="AR301">
        <v>0</v>
      </c>
      <c r="AT301">
        <v>0</v>
      </c>
    </row>
    <row r="302" spans="1:47" x14ac:dyDescent="0.2">
      <c r="A302" t="s">
        <v>3121</v>
      </c>
      <c r="B302" t="s">
        <v>3122</v>
      </c>
      <c r="C302">
        <v>1593</v>
      </c>
      <c r="D302">
        <v>1549</v>
      </c>
      <c r="E302">
        <v>0.97199999999999998</v>
      </c>
      <c r="F302">
        <v>1274</v>
      </c>
      <c r="G302">
        <v>0.82199999999999995</v>
      </c>
      <c r="H302">
        <v>1500</v>
      </c>
      <c r="I302">
        <v>0.96799999999999997</v>
      </c>
      <c r="J302">
        <v>956</v>
      </c>
      <c r="K302">
        <v>0.63700000000000001</v>
      </c>
      <c r="L302">
        <v>404</v>
      </c>
      <c r="M302">
        <v>364</v>
      </c>
      <c r="N302">
        <v>0.90100000000000002</v>
      </c>
      <c r="O302">
        <v>243</v>
      </c>
      <c r="P302">
        <v>0.66800000000000004</v>
      </c>
      <c r="Q302">
        <v>364</v>
      </c>
      <c r="R302">
        <v>1</v>
      </c>
      <c r="S302">
        <v>209</v>
      </c>
      <c r="T302">
        <v>0.57399999999999995</v>
      </c>
      <c r="U302">
        <v>377</v>
      </c>
      <c r="V302">
        <v>396</v>
      </c>
      <c r="W302">
        <v>1.05</v>
      </c>
      <c r="X302">
        <v>349</v>
      </c>
      <c r="Y302">
        <v>0.88100000000000001</v>
      </c>
      <c r="Z302">
        <v>378</v>
      </c>
      <c r="AA302">
        <v>0.95499999999999996</v>
      </c>
      <c r="AB302">
        <v>255</v>
      </c>
      <c r="AC302">
        <v>0.67500000000000004</v>
      </c>
      <c r="AD302">
        <v>473</v>
      </c>
      <c r="AE302">
        <v>548</v>
      </c>
      <c r="AF302">
        <v>1.159</v>
      </c>
      <c r="AG302">
        <v>448</v>
      </c>
      <c r="AH302">
        <v>0.81799999999999995</v>
      </c>
      <c r="AI302">
        <v>518</v>
      </c>
      <c r="AJ302">
        <v>0.94499999999999995</v>
      </c>
      <c r="AK302">
        <v>344</v>
      </c>
      <c r="AL302">
        <v>0.66400000000000003</v>
      </c>
      <c r="AM302">
        <v>339</v>
      </c>
      <c r="AN302">
        <v>241</v>
      </c>
      <c r="AO302">
        <v>0.71099999999999997</v>
      </c>
      <c r="AP302">
        <v>234</v>
      </c>
      <c r="AQ302">
        <v>0.97099999999999997</v>
      </c>
      <c r="AR302">
        <v>240</v>
      </c>
      <c r="AS302">
        <v>0.996</v>
      </c>
      <c r="AT302">
        <v>148</v>
      </c>
      <c r="AU302">
        <v>0.61699999999999999</v>
      </c>
    </row>
    <row r="303" spans="1:47" x14ac:dyDescent="0.2">
      <c r="A303" t="s">
        <v>3115</v>
      </c>
      <c r="B303" t="s">
        <v>3116</v>
      </c>
      <c r="C303">
        <v>1190</v>
      </c>
      <c r="D303">
        <v>813</v>
      </c>
      <c r="E303">
        <v>0.68300000000000005</v>
      </c>
      <c r="F303">
        <v>587</v>
      </c>
      <c r="G303">
        <v>0.72199999999999998</v>
      </c>
      <c r="H303">
        <v>759</v>
      </c>
      <c r="I303">
        <v>0.93400000000000005</v>
      </c>
      <c r="J303">
        <v>476</v>
      </c>
      <c r="K303">
        <v>0.627</v>
      </c>
      <c r="L303">
        <v>355</v>
      </c>
      <c r="M303">
        <v>127</v>
      </c>
      <c r="N303">
        <v>0.35799999999999998</v>
      </c>
      <c r="O303">
        <v>78</v>
      </c>
      <c r="P303">
        <v>0.61399999999999999</v>
      </c>
      <c r="Q303">
        <v>126</v>
      </c>
      <c r="R303">
        <v>0.99199999999999999</v>
      </c>
      <c r="S303">
        <v>62</v>
      </c>
      <c r="T303">
        <v>0.49199999999999999</v>
      </c>
      <c r="U303">
        <v>325</v>
      </c>
      <c r="V303">
        <v>259</v>
      </c>
      <c r="W303">
        <v>0.79700000000000004</v>
      </c>
      <c r="X303">
        <v>228</v>
      </c>
      <c r="Y303">
        <v>0.88</v>
      </c>
      <c r="Z303">
        <v>245</v>
      </c>
      <c r="AA303">
        <v>0.94599999999999995</v>
      </c>
      <c r="AB303">
        <v>183</v>
      </c>
      <c r="AC303">
        <v>0.747</v>
      </c>
      <c r="AD303">
        <v>369</v>
      </c>
      <c r="AE303">
        <v>375</v>
      </c>
      <c r="AF303">
        <v>1.016</v>
      </c>
      <c r="AG303">
        <v>258</v>
      </c>
      <c r="AH303">
        <v>0.68799999999999994</v>
      </c>
      <c r="AI303">
        <v>336</v>
      </c>
      <c r="AJ303">
        <v>0.89600000000000002</v>
      </c>
      <c r="AK303">
        <v>208</v>
      </c>
      <c r="AL303">
        <v>0.61899999999999999</v>
      </c>
      <c r="AM303">
        <v>141</v>
      </c>
      <c r="AN303">
        <v>52</v>
      </c>
      <c r="AO303">
        <v>0.36899999999999999</v>
      </c>
      <c r="AP303">
        <v>23</v>
      </c>
      <c r="AQ303">
        <v>0.442</v>
      </c>
      <c r="AR303">
        <v>52</v>
      </c>
      <c r="AS303">
        <v>1</v>
      </c>
      <c r="AT303">
        <v>23</v>
      </c>
      <c r="AU303">
        <v>0.442</v>
      </c>
    </row>
    <row r="304" spans="1:47" x14ac:dyDescent="0.2">
      <c r="A304" t="s">
        <v>4222</v>
      </c>
      <c r="B304" t="s">
        <v>4223</v>
      </c>
      <c r="C304">
        <v>1758</v>
      </c>
      <c r="D304">
        <v>1969</v>
      </c>
      <c r="E304">
        <v>1.1200000000000001</v>
      </c>
      <c r="F304">
        <v>1752</v>
      </c>
      <c r="G304">
        <v>0.89</v>
      </c>
      <c r="H304">
        <v>1851</v>
      </c>
      <c r="I304">
        <v>0.94</v>
      </c>
      <c r="J304">
        <v>1407</v>
      </c>
      <c r="K304">
        <v>0.76</v>
      </c>
      <c r="L304">
        <v>0</v>
      </c>
      <c r="M304">
        <v>0</v>
      </c>
      <c r="O304">
        <v>0</v>
      </c>
      <c r="Q304">
        <v>0</v>
      </c>
      <c r="S304">
        <v>0</v>
      </c>
      <c r="U304">
        <v>894</v>
      </c>
      <c r="V304">
        <v>955</v>
      </c>
      <c r="W304">
        <v>1.0680000000000001</v>
      </c>
      <c r="X304">
        <v>886</v>
      </c>
      <c r="Y304">
        <v>0.92800000000000005</v>
      </c>
      <c r="Z304">
        <v>905</v>
      </c>
      <c r="AA304">
        <v>0.94799999999999995</v>
      </c>
      <c r="AB304">
        <v>684</v>
      </c>
      <c r="AC304">
        <v>0.75600000000000001</v>
      </c>
      <c r="AD304">
        <v>864</v>
      </c>
      <c r="AE304">
        <v>1014</v>
      </c>
      <c r="AF304">
        <v>1.1739999999999999</v>
      </c>
      <c r="AG304">
        <v>866</v>
      </c>
      <c r="AH304">
        <v>0.85399999999999998</v>
      </c>
      <c r="AI304">
        <v>946</v>
      </c>
      <c r="AJ304">
        <v>0.93300000000000005</v>
      </c>
      <c r="AK304">
        <v>723</v>
      </c>
      <c r="AL304">
        <v>0.76400000000000001</v>
      </c>
      <c r="AM304">
        <v>0</v>
      </c>
      <c r="AN304">
        <v>0</v>
      </c>
      <c r="AP304">
        <v>0</v>
      </c>
      <c r="AR304">
        <v>0</v>
      </c>
      <c r="AT304">
        <v>0</v>
      </c>
    </row>
    <row r="305" spans="1:47" x14ac:dyDescent="0.2">
      <c r="A305" t="s">
        <v>3748</v>
      </c>
      <c r="B305" t="s">
        <v>3749</v>
      </c>
      <c r="C305">
        <v>2936</v>
      </c>
      <c r="D305">
        <v>1468</v>
      </c>
      <c r="E305">
        <v>0.5</v>
      </c>
      <c r="F305">
        <v>1129</v>
      </c>
      <c r="G305">
        <v>0.76900000000000002</v>
      </c>
      <c r="H305">
        <v>1316</v>
      </c>
      <c r="I305">
        <v>0.89600000000000002</v>
      </c>
      <c r="J305">
        <v>776</v>
      </c>
      <c r="K305">
        <v>0.59</v>
      </c>
      <c r="L305">
        <v>414</v>
      </c>
      <c r="M305">
        <v>90</v>
      </c>
      <c r="N305">
        <v>0.217</v>
      </c>
      <c r="O305">
        <v>53</v>
      </c>
      <c r="P305">
        <v>0.58899999999999997</v>
      </c>
      <c r="Q305">
        <v>90</v>
      </c>
      <c r="R305">
        <v>1</v>
      </c>
      <c r="S305">
        <v>47</v>
      </c>
      <c r="T305">
        <v>0.52200000000000002</v>
      </c>
      <c r="U305">
        <v>737</v>
      </c>
      <c r="V305">
        <v>395</v>
      </c>
      <c r="W305">
        <v>0.53600000000000003</v>
      </c>
      <c r="X305">
        <v>315</v>
      </c>
      <c r="Y305">
        <v>0.79700000000000004</v>
      </c>
      <c r="Z305">
        <v>348</v>
      </c>
      <c r="AA305">
        <v>0.88100000000000001</v>
      </c>
      <c r="AB305">
        <v>229</v>
      </c>
      <c r="AC305">
        <v>0.65800000000000003</v>
      </c>
      <c r="AD305">
        <v>963</v>
      </c>
      <c r="AE305">
        <v>580</v>
      </c>
      <c r="AF305">
        <v>0.60199999999999998</v>
      </c>
      <c r="AG305">
        <v>425</v>
      </c>
      <c r="AH305">
        <v>0.73299999999999998</v>
      </c>
      <c r="AI305">
        <v>475</v>
      </c>
      <c r="AJ305">
        <v>0.81899999999999995</v>
      </c>
      <c r="AK305">
        <v>295</v>
      </c>
      <c r="AL305">
        <v>0.621</v>
      </c>
      <c r="AM305">
        <v>822</v>
      </c>
      <c r="AN305">
        <v>403</v>
      </c>
      <c r="AO305">
        <v>0.49</v>
      </c>
      <c r="AP305">
        <v>336</v>
      </c>
      <c r="AQ305">
        <v>0.83399999999999996</v>
      </c>
      <c r="AR305">
        <v>403</v>
      </c>
      <c r="AS305">
        <v>1</v>
      </c>
      <c r="AT305">
        <v>205</v>
      </c>
      <c r="AU305">
        <v>0.50900000000000001</v>
      </c>
    </row>
    <row r="306" spans="1:47" x14ac:dyDescent="0.2">
      <c r="A306" t="s">
        <v>3751</v>
      </c>
      <c r="B306" t="s">
        <v>3752</v>
      </c>
      <c r="C306">
        <v>929</v>
      </c>
      <c r="D306">
        <v>713</v>
      </c>
      <c r="E306">
        <v>0.76700000000000002</v>
      </c>
      <c r="F306">
        <v>643</v>
      </c>
      <c r="G306">
        <v>0.90200000000000002</v>
      </c>
      <c r="H306">
        <v>686</v>
      </c>
      <c r="I306">
        <v>0.96199999999999997</v>
      </c>
      <c r="J306">
        <v>500</v>
      </c>
      <c r="K306">
        <v>0.72899999999999998</v>
      </c>
      <c r="L306">
        <v>196</v>
      </c>
      <c r="M306">
        <v>100</v>
      </c>
      <c r="N306">
        <v>0.51</v>
      </c>
      <c r="O306">
        <v>91</v>
      </c>
      <c r="P306">
        <v>0.91</v>
      </c>
      <c r="Q306">
        <v>100</v>
      </c>
      <c r="R306">
        <v>1</v>
      </c>
      <c r="S306">
        <v>64</v>
      </c>
      <c r="T306">
        <v>0.64</v>
      </c>
      <c r="U306">
        <v>313</v>
      </c>
      <c r="V306">
        <v>269</v>
      </c>
      <c r="W306">
        <v>0.85899999999999999</v>
      </c>
      <c r="X306">
        <v>244</v>
      </c>
      <c r="Y306">
        <v>0.90700000000000003</v>
      </c>
      <c r="Z306">
        <v>257</v>
      </c>
      <c r="AA306">
        <v>0.95499999999999996</v>
      </c>
      <c r="AB306">
        <v>198</v>
      </c>
      <c r="AC306">
        <v>0.77</v>
      </c>
      <c r="AD306">
        <v>334</v>
      </c>
      <c r="AE306">
        <v>298</v>
      </c>
      <c r="AF306">
        <v>0.89200000000000002</v>
      </c>
      <c r="AG306">
        <v>264</v>
      </c>
      <c r="AH306">
        <v>0.88600000000000001</v>
      </c>
      <c r="AI306">
        <v>283</v>
      </c>
      <c r="AJ306">
        <v>0.95</v>
      </c>
      <c r="AK306">
        <v>211</v>
      </c>
      <c r="AL306">
        <v>0.746</v>
      </c>
      <c r="AM306">
        <v>86</v>
      </c>
      <c r="AN306">
        <v>46</v>
      </c>
      <c r="AO306">
        <v>0.53500000000000003</v>
      </c>
      <c r="AP306">
        <v>44</v>
      </c>
      <c r="AQ306">
        <v>0.95699999999999996</v>
      </c>
      <c r="AR306">
        <v>46</v>
      </c>
      <c r="AS306">
        <v>1</v>
      </c>
      <c r="AT306">
        <v>27</v>
      </c>
      <c r="AU306">
        <v>0.58699999999999997</v>
      </c>
    </row>
    <row r="307" spans="1:47" x14ac:dyDescent="0.2">
      <c r="A307" t="s">
        <v>3754</v>
      </c>
      <c r="B307" t="s">
        <v>3755</v>
      </c>
      <c r="C307">
        <v>1077</v>
      </c>
      <c r="D307">
        <v>654</v>
      </c>
      <c r="E307">
        <v>0.60699999999999998</v>
      </c>
      <c r="F307">
        <v>506</v>
      </c>
      <c r="G307">
        <v>0.77400000000000002</v>
      </c>
      <c r="H307">
        <v>612</v>
      </c>
      <c r="I307">
        <v>0.93600000000000005</v>
      </c>
      <c r="J307">
        <v>459</v>
      </c>
      <c r="K307">
        <v>0.75</v>
      </c>
      <c r="L307">
        <v>354</v>
      </c>
      <c r="M307">
        <v>101</v>
      </c>
      <c r="N307">
        <v>0.28499999999999998</v>
      </c>
      <c r="O307">
        <v>75</v>
      </c>
      <c r="P307">
        <v>0.74299999999999999</v>
      </c>
      <c r="Q307">
        <v>101</v>
      </c>
      <c r="R307">
        <v>1</v>
      </c>
      <c r="S307">
        <v>71</v>
      </c>
      <c r="T307">
        <v>0.70299999999999996</v>
      </c>
      <c r="U307">
        <v>303</v>
      </c>
      <c r="V307">
        <v>226</v>
      </c>
      <c r="W307">
        <v>0.746</v>
      </c>
      <c r="X307">
        <v>204</v>
      </c>
      <c r="Y307">
        <v>0.90300000000000002</v>
      </c>
      <c r="Z307">
        <v>213</v>
      </c>
      <c r="AA307">
        <v>0.94199999999999995</v>
      </c>
      <c r="AB307">
        <v>172</v>
      </c>
      <c r="AC307">
        <v>0.80800000000000005</v>
      </c>
      <c r="AD307">
        <v>283</v>
      </c>
      <c r="AE307">
        <v>271</v>
      </c>
      <c r="AF307">
        <v>0.95799999999999996</v>
      </c>
      <c r="AG307">
        <v>197</v>
      </c>
      <c r="AH307">
        <v>0.72699999999999998</v>
      </c>
      <c r="AI307">
        <v>242</v>
      </c>
      <c r="AJ307">
        <v>0.89300000000000002</v>
      </c>
      <c r="AK307">
        <v>188</v>
      </c>
      <c r="AL307">
        <v>0.77700000000000002</v>
      </c>
      <c r="AM307">
        <v>137</v>
      </c>
      <c r="AN307">
        <v>56</v>
      </c>
      <c r="AO307">
        <v>0.40899999999999997</v>
      </c>
      <c r="AP307">
        <v>30</v>
      </c>
      <c r="AQ307">
        <v>0.53600000000000003</v>
      </c>
      <c r="AR307">
        <v>56</v>
      </c>
      <c r="AS307">
        <v>1</v>
      </c>
      <c r="AT307">
        <v>28</v>
      </c>
      <c r="AU307">
        <v>0.5</v>
      </c>
    </row>
    <row r="308" spans="1:47" x14ac:dyDescent="0.2">
      <c r="A308" t="s">
        <v>4496</v>
      </c>
      <c r="B308" t="s">
        <v>4497</v>
      </c>
      <c r="C308">
        <v>2658</v>
      </c>
      <c r="D308">
        <v>2454</v>
      </c>
      <c r="E308">
        <v>0.92300000000000004</v>
      </c>
      <c r="F308">
        <v>2157</v>
      </c>
      <c r="G308">
        <v>0.879</v>
      </c>
      <c r="H308">
        <v>2205</v>
      </c>
      <c r="I308">
        <v>0.89900000000000002</v>
      </c>
      <c r="J308">
        <v>1695</v>
      </c>
      <c r="K308">
        <v>0.76900000000000002</v>
      </c>
      <c r="L308">
        <v>0</v>
      </c>
      <c r="M308">
        <v>0</v>
      </c>
      <c r="O308">
        <v>0</v>
      </c>
      <c r="Q308">
        <v>0</v>
      </c>
      <c r="S308">
        <v>0</v>
      </c>
      <c r="U308">
        <v>1406</v>
      </c>
      <c r="V308">
        <v>1193</v>
      </c>
      <c r="W308">
        <v>0.84899999999999998</v>
      </c>
      <c r="X308">
        <v>1119</v>
      </c>
      <c r="Y308">
        <v>0.93799999999999994</v>
      </c>
      <c r="Z308">
        <v>1086</v>
      </c>
      <c r="AA308">
        <v>0.91</v>
      </c>
      <c r="AB308">
        <v>840</v>
      </c>
      <c r="AC308">
        <v>0.77300000000000002</v>
      </c>
      <c r="AD308">
        <v>1252</v>
      </c>
      <c r="AE308">
        <v>1261</v>
      </c>
      <c r="AF308">
        <v>1.0069999999999999</v>
      </c>
      <c r="AG308">
        <v>1038</v>
      </c>
      <c r="AH308">
        <v>0.82299999999999995</v>
      </c>
      <c r="AI308">
        <v>1119</v>
      </c>
      <c r="AJ308">
        <v>0.88700000000000001</v>
      </c>
      <c r="AK308">
        <v>855</v>
      </c>
      <c r="AL308">
        <v>0.76400000000000001</v>
      </c>
      <c r="AM308">
        <v>0</v>
      </c>
      <c r="AN308">
        <v>0</v>
      </c>
      <c r="AP308">
        <v>0</v>
      </c>
      <c r="AR308">
        <v>0</v>
      </c>
      <c r="AT308">
        <v>0</v>
      </c>
    </row>
    <row r="309" spans="1:47" x14ac:dyDescent="0.2">
      <c r="A309" t="s">
        <v>3739</v>
      </c>
      <c r="B309" t="s">
        <v>3740</v>
      </c>
      <c r="C309">
        <v>1069</v>
      </c>
      <c r="D309">
        <v>838</v>
      </c>
      <c r="E309">
        <v>0.78400000000000003</v>
      </c>
      <c r="F309">
        <v>616</v>
      </c>
      <c r="G309">
        <v>0.73499999999999999</v>
      </c>
      <c r="H309">
        <v>764</v>
      </c>
      <c r="I309">
        <v>0.91200000000000003</v>
      </c>
      <c r="J309">
        <v>481</v>
      </c>
      <c r="K309">
        <v>0.63</v>
      </c>
      <c r="L309">
        <v>332</v>
      </c>
      <c r="M309">
        <v>186</v>
      </c>
      <c r="N309">
        <v>0.56000000000000005</v>
      </c>
      <c r="O309">
        <v>114</v>
      </c>
      <c r="P309">
        <v>0.61299999999999999</v>
      </c>
      <c r="Q309">
        <v>185</v>
      </c>
      <c r="R309">
        <v>0.995</v>
      </c>
      <c r="S309">
        <v>96</v>
      </c>
      <c r="T309">
        <v>0.51900000000000002</v>
      </c>
      <c r="U309">
        <v>296</v>
      </c>
      <c r="V309">
        <v>306</v>
      </c>
      <c r="W309">
        <v>1.034</v>
      </c>
      <c r="X309">
        <v>241</v>
      </c>
      <c r="Y309">
        <v>0.78800000000000003</v>
      </c>
      <c r="Z309">
        <v>265</v>
      </c>
      <c r="AA309">
        <v>0.86599999999999999</v>
      </c>
      <c r="AB309">
        <v>178</v>
      </c>
      <c r="AC309">
        <v>0.67200000000000004</v>
      </c>
      <c r="AD309">
        <v>397</v>
      </c>
      <c r="AE309">
        <v>332</v>
      </c>
      <c r="AF309">
        <v>0.83599999999999997</v>
      </c>
      <c r="AG309">
        <v>249</v>
      </c>
      <c r="AH309">
        <v>0.75</v>
      </c>
      <c r="AI309">
        <v>300</v>
      </c>
      <c r="AJ309">
        <v>0.90400000000000003</v>
      </c>
      <c r="AK309">
        <v>200</v>
      </c>
      <c r="AL309">
        <v>0.66700000000000004</v>
      </c>
      <c r="AM309">
        <v>44</v>
      </c>
      <c r="AN309">
        <v>14</v>
      </c>
      <c r="AO309">
        <v>0.318</v>
      </c>
      <c r="AP309">
        <v>12</v>
      </c>
      <c r="AQ309">
        <v>0.85699999999999998</v>
      </c>
      <c r="AR309">
        <v>14</v>
      </c>
      <c r="AS309">
        <v>1</v>
      </c>
      <c r="AT309">
        <v>7</v>
      </c>
      <c r="AU309">
        <v>0.5</v>
      </c>
    </row>
    <row r="310" spans="1:47" x14ac:dyDescent="0.2">
      <c r="A310" t="s">
        <v>3742</v>
      </c>
      <c r="B310" t="s">
        <v>3743</v>
      </c>
      <c r="C310">
        <v>2528</v>
      </c>
      <c r="D310">
        <v>1108</v>
      </c>
      <c r="E310">
        <v>0.438</v>
      </c>
      <c r="F310">
        <v>935</v>
      </c>
      <c r="G310">
        <v>0.84399999999999997</v>
      </c>
      <c r="H310">
        <v>1074</v>
      </c>
      <c r="I310">
        <v>0.96899999999999997</v>
      </c>
      <c r="J310">
        <v>840</v>
      </c>
      <c r="K310">
        <v>0.78200000000000003</v>
      </c>
      <c r="L310">
        <v>454</v>
      </c>
      <c r="M310" t="s">
        <v>53</v>
      </c>
      <c r="N310" t="s">
        <v>53</v>
      </c>
      <c r="O310" t="s">
        <v>53</v>
      </c>
      <c r="P310" t="s">
        <v>53</v>
      </c>
      <c r="Q310" t="s">
        <v>53</v>
      </c>
      <c r="R310" t="s">
        <v>53</v>
      </c>
      <c r="S310" t="s">
        <v>53</v>
      </c>
      <c r="T310" t="s">
        <v>53</v>
      </c>
      <c r="U310">
        <v>988</v>
      </c>
      <c r="V310">
        <v>544</v>
      </c>
      <c r="W310">
        <v>0.55100000000000005</v>
      </c>
      <c r="X310">
        <v>483</v>
      </c>
      <c r="Y310">
        <v>0.88800000000000001</v>
      </c>
      <c r="Z310">
        <v>528</v>
      </c>
      <c r="AA310">
        <v>0.97099999999999997</v>
      </c>
      <c r="AB310">
        <v>413</v>
      </c>
      <c r="AC310">
        <v>0.78200000000000003</v>
      </c>
      <c r="AD310">
        <v>867</v>
      </c>
      <c r="AE310">
        <v>503</v>
      </c>
      <c r="AF310">
        <v>0.57999999999999996</v>
      </c>
      <c r="AG310">
        <v>407</v>
      </c>
      <c r="AH310">
        <v>0.80900000000000005</v>
      </c>
      <c r="AI310">
        <v>485</v>
      </c>
      <c r="AJ310">
        <v>0.96399999999999997</v>
      </c>
      <c r="AK310">
        <v>385</v>
      </c>
      <c r="AL310">
        <v>0.79400000000000004</v>
      </c>
      <c r="AM310">
        <v>219</v>
      </c>
      <c r="AN310" t="s">
        <v>53</v>
      </c>
      <c r="AO310" t="s">
        <v>53</v>
      </c>
      <c r="AP310" t="s">
        <v>53</v>
      </c>
      <c r="AQ310" t="s">
        <v>53</v>
      </c>
      <c r="AR310" t="s">
        <v>53</v>
      </c>
      <c r="AS310" t="s">
        <v>53</v>
      </c>
      <c r="AT310" t="s">
        <v>53</v>
      </c>
      <c r="AU310" t="s">
        <v>53</v>
      </c>
    </row>
    <row r="311" spans="1:47" x14ac:dyDescent="0.2">
      <c r="A311" t="s">
        <v>6535</v>
      </c>
      <c r="B311" t="s">
        <v>6536</v>
      </c>
      <c r="C311">
        <v>6</v>
      </c>
      <c r="D311">
        <v>0</v>
      </c>
      <c r="E311">
        <v>0</v>
      </c>
      <c r="F311">
        <v>0</v>
      </c>
      <c r="H311">
        <v>0</v>
      </c>
      <c r="J311">
        <v>0</v>
      </c>
      <c r="L311">
        <v>6</v>
      </c>
      <c r="M311">
        <v>0</v>
      </c>
      <c r="N311">
        <v>0</v>
      </c>
      <c r="O311">
        <v>0</v>
      </c>
      <c r="Q311">
        <v>0</v>
      </c>
      <c r="S311">
        <v>0</v>
      </c>
      <c r="U311">
        <v>0</v>
      </c>
      <c r="V311">
        <v>0</v>
      </c>
      <c r="X311">
        <v>0</v>
      </c>
      <c r="Z311">
        <v>0</v>
      </c>
      <c r="AB311">
        <v>0</v>
      </c>
      <c r="AD311">
        <v>0</v>
      </c>
      <c r="AE311">
        <v>0</v>
      </c>
      <c r="AG311">
        <v>0</v>
      </c>
      <c r="AI311">
        <v>0</v>
      </c>
      <c r="AK311">
        <v>0</v>
      </c>
      <c r="AM311">
        <v>0</v>
      </c>
      <c r="AN311">
        <v>0</v>
      </c>
      <c r="AP311">
        <v>0</v>
      </c>
      <c r="AR311">
        <v>0</v>
      </c>
      <c r="AT311">
        <v>0</v>
      </c>
    </row>
    <row r="312" spans="1:47" x14ac:dyDescent="0.2">
      <c r="A312" t="s">
        <v>4480</v>
      </c>
      <c r="B312" t="s">
        <v>4481</v>
      </c>
      <c r="C312">
        <v>2185</v>
      </c>
      <c r="D312">
        <v>2293</v>
      </c>
      <c r="E312">
        <v>1.0489999999999999</v>
      </c>
      <c r="F312">
        <v>2080</v>
      </c>
      <c r="G312">
        <v>0.90700000000000003</v>
      </c>
      <c r="H312">
        <v>761</v>
      </c>
      <c r="I312">
        <v>0.33200000000000002</v>
      </c>
      <c r="J312">
        <v>761</v>
      </c>
      <c r="K312">
        <v>1</v>
      </c>
      <c r="L312">
        <v>0</v>
      </c>
      <c r="M312">
        <v>0</v>
      </c>
      <c r="O312">
        <v>0</v>
      </c>
      <c r="Q312">
        <v>0</v>
      </c>
      <c r="S312">
        <v>0</v>
      </c>
      <c r="U312">
        <v>1321</v>
      </c>
      <c r="V312">
        <v>1269</v>
      </c>
      <c r="W312">
        <v>0.96099999999999997</v>
      </c>
      <c r="X312">
        <v>1201</v>
      </c>
      <c r="Y312">
        <v>0.94599999999999995</v>
      </c>
      <c r="Z312">
        <v>458</v>
      </c>
      <c r="AA312">
        <v>0.36099999999999999</v>
      </c>
      <c r="AB312">
        <v>458</v>
      </c>
      <c r="AC312">
        <v>1</v>
      </c>
      <c r="AD312">
        <v>864</v>
      </c>
      <c r="AE312">
        <v>1024</v>
      </c>
      <c r="AF312">
        <v>1.1850000000000001</v>
      </c>
      <c r="AG312">
        <v>879</v>
      </c>
      <c r="AH312">
        <v>0.85799999999999998</v>
      </c>
      <c r="AI312">
        <v>303</v>
      </c>
      <c r="AJ312">
        <v>0.29599999999999999</v>
      </c>
      <c r="AK312">
        <v>303</v>
      </c>
      <c r="AL312">
        <v>1</v>
      </c>
      <c r="AM312">
        <v>0</v>
      </c>
      <c r="AN312">
        <v>0</v>
      </c>
      <c r="AP312">
        <v>0</v>
      </c>
      <c r="AR312">
        <v>0</v>
      </c>
      <c r="AT312">
        <v>0</v>
      </c>
    </row>
    <row r="313" spans="1:47" x14ac:dyDescent="0.2">
      <c r="A313" t="s">
        <v>3382</v>
      </c>
      <c r="B313" t="s">
        <v>3383</v>
      </c>
      <c r="C313">
        <v>1681</v>
      </c>
      <c r="D313">
        <v>1400</v>
      </c>
      <c r="E313">
        <v>0.83299999999999996</v>
      </c>
      <c r="F313">
        <v>1169</v>
      </c>
      <c r="G313">
        <v>0.83499999999999996</v>
      </c>
      <c r="H313">
        <v>1326</v>
      </c>
      <c r="I313">
        <v>0.94699999999999995</v>
      </c>
      <c r="J313">
        <v>808</v>
      </c>
      <c r="K313">
        <v>0.60899999999999999</v>
      </c>
      <c r="L313">
        <v>291</v>
      </c>
      <c r="M313">
        <v>278</v>
      </c>
      <c r="N313">
        <v>0.95499999999999996</v>
      </c>
      <c r="O313">
        <v>219</v>
      </c>
      <c r="P313">
        <v>0.78800000000000003</v>
      </c>
      <c r="Q313">
        <v>276</v>
      </c>
      <c r="R313">
        <v>0.99299999999999999</v>
      </c>
      <c r="S313">
        <v>156</v>
      </c>
      <c r="T313">
        <v>0.56499999999999995</v>
      </c>
      <c r="U313">
        <v>449</v>
      </c>
      <c r="V313">
        <v>372</v>
      </c>
      <c r="W313">
        <v>0.82899999999999996</v>
      </c>
      <c r="X313">
        <v>326</v>
      </c>
      <c r="Y313">
        <v>0.876</v>
      </c>
      <c r="Z313">
        <v>354</v>
      </c>
      <c r="AA313">
        <v>0.95199999999999996</v>
      </c>
      <c r="AB313">
        <v>227</v>
      </c>
      <c r="AC313">
        <v>0.64100000000000001</v>
      </c>
      <c r="AD313">
        <v>637</v>
      </c>
      <c r="AE313">
        <v>587</v>
      </c>
      <c r="AF313">
        <v>0.92200000000000004</v>
      </c>
      <c r="AG313">
        <v>482</v>
      </c>
      <c r="AH313">
        <v>0.82099999999999995</v>
      </c>
      <c r="AI313">
        <v>536</v>
      </c>
      <c r="AJ313">
        <v>0.91300000000000003</v>
      </c>
      <c r="AK313">
        <v>352</v>
      </c>
      <c r="AL313">
        <v>0.65700000000000003</v>
      </c>
      <c r="AM313">
        <v>304</v>
      </c>
      <c r="AN313">
        <v>163</v>
      </c>
      <c r="AO313">
        <v>0.53600000000000003</v>
      </c>
      <c r="AP313">
        <v>142</v>
      </c>
      <c r="AQ313">
        <v>0.871</v>
      </c>
      <c r="AR313">
        <v>160</v>
      </c>
      <c r="AS313">
        <v>0.98199999999999998</v>
      </c>
      <c r="AT313">
        <v>73</v>
      </c>
      <c r="AU313">
        <v>0.45600000000000002</v>
      </c>
    </row>
    <row r="314" spans="1:47" x14ac:dyDescent="0.2">
      <c r="A314" t="s">
        <v>3757</v>
      </c>
      <c r="B314" t="s">
        <v>3758</v>
      </c>
      <c r="C314">
        <v>74</v>
      </c>
      <c r="D314">
        <v>268</v>
      </c>
      <c r="E314">
        <v>3.6219999999999999</v>
      </c>
      <c r="F314">
        <v>50</v>
      </c>
      <c r="G314">
        <v>0.187</v>
      </c>
      <c r="H314">
        <v>230</v>
      </c>
      <c r="I314">
        <v>0.85799999999999998</v>
      </c>
      <c r="J314">
        <v>161</v>
      </c>
      <c r="K314">
        <v>0.7</v>
      </c>
      <c r="L314">
        <v>7</v>
      </c>
      <c r="M314">
        <v>54</v>
      </c>
      <c r="N314">
        <v>7.7140000000000004</v>
      </c>
      <c r="O314" t="s">
        <v>53</v>
      </c>
      <c r="P314" t="s">
        <v>53</v>
      </c>
      <c r="Q314">
        <v>54</v>
      </c>
      <c r="R314">
        <v>1</v>
      </c>
      <c r="S314">
        <v>31</v>
      </c>
      <c r="T314">
        <v>0.57399999999999995</v>
      </c>
      <c r="U314">
        <v>27</v>
      </c>
      <c r="V314">
        <v>102</v>
      </c>
      <c r="W314">
        <v>3.778</v>
      </c>
      <c r="X314" t="s">
        <v>53</v>
      </c>
      <c r="Y314" t="s">
        <v>53</v>
      </c>
      <c r="Z314">
        <v>84</v>
      </c>
      <c r="AA314">
        <v>0.82399999999999995</v>
      </c>
      <c r="AB314">
        <v>60</v>
      </c>
      <c r="AC314">
        <v>0.71399999999999997</v>
      </c>
      <c r="AD314">
        <v>40</v>
      </c>
      <c r="AE314">
        <v>112</v>
      </c>
      <c r="AF314">
        <v>2.8</v>
      </c>
      <c r="AG314">
        <v>28</v>
      </c>
      <c r="AH314">
        <v>0.25</v>
      </c>
      <c r="AI314">
        <v>92</v>
      </c>
      <c r="AJ314">
        <v>0.82099999999999995</v>
      </c>
      <c r="AK314">
        <v>70</v>
      </c>
      <c r="AL314">
        <v>0.76100000000000001</v>
      </c>
      <c r="AM314">
        <v>0</v>
      </c>
      <c r="AN314">
        <v>0</v>
      </c>
      <c r="AP314">
        <v>0</v>
      </c>
      <c r="AR314">
        <v>0</v>
      </c>
      <c r="AT314">
        <v>0</v>
      </c>
    </row>
    <row r="315" spans="1:47" x14ac:dyDescent="0.2">
      <c r="A315" t="s">
        <v>3775</v>
      </c>
      <c r="B315" t="s">
        <v>3776</v>
      </c>
      <c r="C315">
        <v>15</v>
      </c>
      <c r="D315">
        <v>7</v>
      </c>
      <c r="E315">
        <v>0.46700000000000003</v>
      </c>
      <c r="F315">
        <v>7</v>
      </c>
      <c r="G315">
        <v>1</v>
      </c>
      <c r="H315">
        <v>7</v>
      </c>
      <c r="I315">
        <v>1</v>
      </c>
      <c r="J315" t="s">
        <v>53</v>
      </c>
      <c r="K315" t="s">
        <v>53</v>
      </c>
      <c r="L315" t="s">
        <v>53</v>
      </c>
      <c r="M315" t="s">
        <v>53</v>
      </c>
      <c r="N315" t="s">
        <v>53</v>
      </c>
      <c r="O315" t="s">
        <v>53</v>
      </c>
      <c r="P315" t="s">
        <v>53</v>
      </c>
      <c r="Q315" t="s">
        <v>53</v>
      </c>
      <c r="R315" t="s">
        <v>53</v>
      </c>
      <c r="S315" t="s">
        <v>53</v>
      </c>
      <c r="T315" t="s">
        <v>53</v>
      </c>
      <c r="U315">
        <v>0</v>
      </c>
      <c r="V315">
        <v>0</v>
      </c>
      <c r="X315">
        <v>0</v>
      </c>
      <c r="Z315">
        <v>0</v>
      </c>
      <c r="AB315">
        <v>0</v>
      </c>
      <c r="AD315">
        <v>0</v>
      </c>
      <c r="AE315">
        <v>0</v>
      </c>
      <c r="AG315">
        <v>0</v>
      </c>
      <c r="AI315">
        <v>0</v>
      </c>
      <c r="AK315">
        <v>0</v>
      </c>
      <c r="AM315" t="s">
        <v>53</v>
      </c>
      <c r="AN315" t="s">
        <v>53</v>
      </c>
      <c r="AO315" t="s">
        <v>53</v>
      </c>
      <c r="AP315" t="s">
        <v>53</v>
      </c>
      <c r="AQ315" t="s">
        <v>53</v>
      </c>
      <c r="AR315" t="s">
        <v>53</v>
      </c>
      <c r="AS315" t="s">
        <v>53</v>
      </c>
      <c r="AT315" t="s">
        <v>53</v>
      </c>
      <c r="AU315" t="s">
        <v>53</v>
      </c>
    </row>
    <row r="316" spans="1:47" x14ac:dyDescent="0.2">
      <c r="A316" t="s">
        <v>6529</v>
      </c>
      <c r="B316" t="s">
        <v>6530</v>
      </c>
      <c r="C316">
        <v>597</v>
      </c>
      <c r="D316">
        <v>56</v>
      </c>
      <c r="E316">
        <v>9.4E-2</v>
      </c>
      <c r="F316">
        <v>39</v>
      </c>
      <c r="G316">
        <v>0.69599999999999995</v>
      </c>
      <c r="H316" t="s">
        <v>53</v>
      </c>
      <c r="I316" t="s">
        <v>53</v>
      </c>
      <c r="J316" t="s">
        <v>53</v>
      </c>
      <c r="K316" t="s">
        <v>53</v>
      </c>
      <c r="L316">
        <v>279</v>
      </c>
      <c r="M316">
        <v>10</v>
      </c>
      <c r="N316">
        <v>3.5999999999999997E-2</v>
      </c>
      <c r="O316" t="s">
        <v>53</v>
      </c>
      <c r="P316" t="s">
        <v>53</v>
      </c>
      <c r="Q316" t="s">
        <v>53</v>
      </c>
      <c r="R316" t="s">
        <v>53</v>
      </c>
      <c r="S316" t="s">
        <v>53</v>
      </c>
      <c r="T316" t="s">
        <v>53</v>
      </c>
      <c r="U316">
        <v>151</v>
      </c>
      <c r="V316">
        <v>21</v>
      </c>
      <c r="W316">
        <v>0.13900000000000001</v>
      </c>
      <c r="X316" t="s">
        <v>53</v>
      </c>
      <c r="Y316" t="s">
        <v>53</v>
      </c>
      <c r="Z316">
        <v>0</v>
      </c>
      <c r="AA316">
        <v>0</v>
      </c>
      <c r="AB316">
        <v>0</v>
      </c>
      <c r="AD316">
        <v>158</v>
      </c>
      <c r="AE316">
        <v>25</v>
      </c>
      <c r="AF316">
        <v>0.158</v>
      </c>
      <c r="AG316">
        <v>18</v>
      </c>
      <c r="AH316">
        <v>0.72</v>
      </c>
      <c r="AI316">
        <v>0</v>
      </c>
      <c r="AJ316">
        <v>0</v>
      </c>
      <c r="AK316">
        <v>0</v>
      </c>
      <c r="AM316">
        <v>9</v>
      </c>
      <c r="AN316">
        <v>0</v>
      </c>
      <c r="AO316">
        <v>0</v>
      </c>
      <c r="AP316">
        <v>0</v>
      </c>
      <c r="AR316">
        <v>0</v>
      </c>
      <c r="AT316">
        <v>0</v>
      </c>
    </row>
    <row r="317" spans="1:47" x14ac:dyDescent="0.2">
      <c r="A317" t="s">
        <v>3760</v>
      </c>
      <c r="B317" t="s">
        <v>3761</v>
      </c>
      <c r="C317">
        <v>901</v>
      </c>
      <c r="D317">
        <v>250</v>
      </c>
      <c r="E317">
        <v>0.27700000000000002</v>
      </c>
      <c r="F317">
        <v>219</v>
      </c>
      <c r="G317">
        <v>0.876</v>
      </c>
      <c r="H317">
        <v>248</v>
      </c>
      <c r="I317">
        <v>0.99199999999999999</v>
      </c>
      <c r="J317">
        <v>188</v>
      </c>
      <c r="K317">
        <v>0.75800000000000001</v>
      </c>
      <c r="L317">
        <v>360</v>
      </c>
      <c r="M317">
        <v>66</v>
      </c>
      <c r="N317">
        <v>0.183</v>
      </c>
      <c r="O317">
        <v>51</v>
      </c>
      <c r="P317">
        <v>0.77300000000000002</v>
      </c>
      <c r="Q317">
        <v>66</v>
      </c>
      <c r="R317">
        <v>1</v>
      </c>
      <c r="S317">
        <v>36</v>
      </c>
      <c r="T317">
        <v>0.54500000000000004</v>
      </c>
      <c r="U317">
        <v>236</v>
      </c>
      <c r="V317">
        <v>96</v>
      </c>
      <c r="W317">
        <v>0.40699999999999997</v>
      </c>
      <c r="X317">
        <v>93</v>
      </c>
      <c r="Y317">
        <v>0.96899999999999997</v>
      </c>
      <c r="Z317">
        <v>96</v>
      </c>
      <c r="AA317">
        <v>1</v>
      </c>
      <c r="AB317">
        <v>79</v>
      </c>
      <c r="AC317">
        <v>0.82299999999999995</v>
      </c>
      <c r="AD317">
        <v>299</v>
      </c>
      <c r="AE317">
        <v>88</v>
      </c>
      <c r="AF317">
        <v>0.29399999999999998</v>
      </c>
      <c r="AG317">
        <v>75</v>
      </c>
      <c r="AH317">
        <v>0.85199999999999998</v>
      </c>
      <c r="AI317">
        <v>86</v>
      </c>
      <c r="AJ317">
        <v>0.97699999999999998</v>
      </c>
      <c r="AK317">
        <v>73</v>
      </c>
      <c r="AL317">
        <v>0.84899999999999998</v>
      </c>
      <c r="AM317">
        <v>6</v>
      </c>
      <c r="AN317">
        <v>0</v>
      </c>
      <c r="AO317">
        <v>0</v>
      </c>
      <c r="AP317">
        <v>0</v>
      </c>
      <c r="AR317">
        <v>0</v>
      </c>
      <c r="AT317">
        <v>0</v>
      </c>
    </row>
    <row r="318" spans="1:47" x14ac:dyDescent="0.2">
      <c r="A318" t="s">
        <v>3480</v>
      </c>
      <c r="B318" t="s">
        <v>6584</v>
      </c>
      <c r="C318">
        <v>1138</v>
      </c>
      <c r="D318">
        <v>960</v>
      </c>
      <c r="E318">
        <v>0.84399999999999997</v>
      </c>
      <c r="F318">
        <v>652</v>
      </c>
      <c r="G318">
        <v>0.67900000000000005</v>
      </c>
      <c r="H318">
        <v>791</v>
      </c>
      <c r="I318">
        <v>0.82399999999999995</v>
      </c>
      <c r="J318">
        <v>531</v>
      </c>
      <c r="K318">
        <v>0.67100000000000004</v>
      </c>
      <c r="L318">
        <v>296</v>
      </c>
      <c r="M318">
        <v>84</v>
      </c>
      <c r="N318">
        <v>0.28399999999999997</v>
      </c>
      <c r="O318">
        <v>38</v>
      </c>
      <c r="P318">
        <v>0.45200000000000001</v>
      </c>
      <c r="Q318">
        <v>61</v>
      </c>
      <c r="R318">
        <v>0.72599999999999998</v>
      </c>
      <c r="S318" t="s">
        <v>53</v>
      </c>
      <c r="T318" t="s">
        <v>53</v>
      </c>
      <c r="U318">
        <v>373</v>
      </c>
      <c r="V318">
        <v>421</v>
      </c>
      <c r="W318">
        <v>1.129</v>
      </c>
      <c r="X318">
        <v>314</v>
      </c>
      <c r="Y318">
        <v>0.746</v>
      </c>
      <c r="Z318">
        <v>352</v>
      </c>
      <c r="AA318">
        <v>0.83599999999999997</v>
      </c>
      <c r="AB318">
        <v>238</v>
      </c>
      <c r="AC318">
        <v>0.67600000000000005</v>
      </c>
      <c r="AD318">
        <v>360</v>
      </c>
      <c r="AE318">
        <v>441</v>
      </c>
      <c r="AF318">
        <v>1.2250000000000001</v>
      </c>
      <c r="AG318">
        <v>290</v>
      </c>
      <c r="AH318">
        <v>0.65800000000000003</v>
      </c>
      <c r="AI318">
        <v>366</v>
      </c>
      <c r="AJ318">
        <v>0.83</v>
      </c>
      <c r="AK318">
        <v>249</v>
      </c>
      <c r="AL318">
        <v>0.68</v>
      </c>
      <c r="AM318">
        <v>109</v>
      </c>
      <c r="AN318">
        <v>14</v>
      </c>
      <c r="AO318">
        <v>0.128</v>
      </c>
      <c r="AP318">
        <v>10</v>
      </c>
      <c r="AQ318">
        <v>0.71399999999999997</v>
      </c>
      <c r="AR318">
        <v>12</v>
      </c>
      <c r="AS318">
        <v>0.85699999999999998</v>
      </c>
      <c r="AT318" t="s">
        <v>53</v>
      </c>
      <c r="AU318" t="s">
        <v>53</v>
      </c>
    </row>
    <row r="319" spans="1:47" x14ac:dyDescent="0.2">
      <c r="A319" t="s">
        <v>6497</v>
      </c>
      <c r="B319" t="s">
        <v>6498</v>
      </c>
      <c r="C319">
        <v>61</v>
      </c>
      <c r="D319">
        <v>0</v>
      </c>
      <c r="E319">
        <v>0</v>
      </c>
      <c r="F319">
        <v>0</v>
      </c>
      <c r="H319">
        <v>0</v>
      </c>
      <c r="J319">
        <v>0</v>
      </c>
      <c r="L319">
        <v>16</v>
      </c>
      <c r="M319">
        <v>0</v>
      </c>
      <c r="N319">
        <v>0</v>
      </c>
      <c r="O319">
        <v>0</v>
      </c>
      <c r="Q319">
        <v>0</v>
      </c>
      <c r="S319">
        <v>0</v>
      </c>
      <c r="U319">
        <v>24</v>
      </c>
      <c r="V319">
        <v>0</v>
      </c>
      <c r="W319">
        <v>0</v>
      </c>
      <c r="X319">
        <v>0</v>
      </c>
      <c r="Z319">
        <v>0</v>
      </c>
      <c r="AB319">
        <v>0</v>
      </c>
      <c r="AD319">
        <v>21</v>
      </c>
      <c r="AE319">
        <v>0</v>
      </c>
      <c r="AF319">
        <v>0</v>
      </c>
      <c r="AG319">
        <v>0</v>
      </c>
      <c r="AI319">
        <v>0</v>
      </c>
      <c r="AK319">
        <v>0</v>
      </c>
      <c r="AM319">
        <v>0</v>
      </c>
      <c r="AN319">
        <v>0</v>
      </c>
      <c r="AP319">
        <v>0</v>
      </c>
      <c r="AR319">
        <v>0</v>
      </c>
      <c r="AT319">
        <v>0</v>
      </c>
    </row>
    <row r="320" spans="1:47" x14ac:dyDescent="0.2">
      <c r="A320" t="s">
        <v>4506</v>
      </c>
      <c r="B320" t="s">
        <v>4507</v>
      </c>
      <c r="C320">
        <v>105</v>
      </c>
      <c r="D320">
        <v>31</v>
      </c>
      <c r="E320">
        <v>0.29499999999999998</v>
      </c>
      <c r="F320">
        <v>26</v>
      </c>
      <c r="G320">
        <v>0.83899999999999997</v>
      </c>
      <c r="H320">
        <v>27</v>
      </c>
      <c r="I320">
        <v>0.871</v>
      </c>
      <c r="J320">
        <v>20</v>
      </c>
      <c r="K320">
        <v>0.74099999999999999</v>
      </c>
      <c r="L320">
        <v>21</v>
      </c>
      <c r="M320">
        <v>0</v>
      </c>
      <c r="N320">
        <v>0</v>
      </c>
      <c r="O320">
        <v>0</v>
      </c>
      <c r="Q320">
        <v>0</v>
      </c>
      <c r="S320">
        <v>0</v>
      </c>
      <c r="U320">
        <v>41</v>
      </c>
      <c r="V320">
        <v>17</v>
      </c>
      <c r="W320">
        <v>0.41499999999999998</v>
      </c>
      <c r="X320">
        <v>13</v>
      </c>
      <c r="Y320">
        <v>0.76500000000000001</v>
      </c>
      <c r="Z320">
        <v>14</v>
      </c>
      <c r="AA320">
        <v>0.82399999999999995</v>
      </c>
      <c r="AB320">
        <v>10</v>
      </c>
      <c r="AC320">
        <v>0.71399999999999997</v>
      </c>
      <c r="AD320">
        <v>30</v>
      </c>
      <c r="AE320" t="s">
        <v>53</v>
      </c>
      <c r="AF320" t="s">
        <v>53</v>
      </c>
      <c r="AG320" t="s">
        <v>53</v>
      </c>
      <c r="AH320" t="s">
        <v>53</v>
      </c>
      <c r="AI320" t="s">
        <v>53</v>
      </c>
      <c r="AJ320" t="s">
        <v>53</v>
      </c>
      <c r="AK320" t="s">
        <v>53</v>
      </c>
      <c r="AL320" t="s">
        <v>53</v>
      </c>
      <c r="AM320">
        <v>13</v>
      </c>
      <c r="AN320" t="s">
        <v>53</v>
      </c>
      <c r="AO320" t="s">
        <v>53</v>
      </c>
      <c r="AP320" t="s">
        <v>53</v>
      </c>
      <c r="AQ320" t="s">
        <v>53</v>
      </c>
      <c r="AR320" t="s">
        <v>53</v>
      </c>
      <c r="AS320" t="s">
        <v>53</v>
      </c>
      <c r="AT320" t="s">
        <v>53</v>
      </c>
      <c r="AU320" t="s">
        <v>53</v>
      </c>
    </row>
    <row r="321" spans="1:47" x14ac:dyDescent="0.2">
      <c r="A321" t="s">
        <v>3763</v>
      </c>
      <c r="B321" t="s">
        <v>3764</v>
      </c>
      <c r="C321">
        <v>1904</v>
      </c>
      <c r="D321">
        <v>1266</v>
      </c>
      <c r="E321">
        <v>0.66500000000000004</v>
      </c>
      <c r="F321">
        <v>980</v>
      </c>
      <c r="G321">
        <v>0.77400000000000002</v>
      </c>
      <c r="H321">
        <v>1206</v>
      </c>
      <c r="I321">
        <v>0.95299999999999996</v>
      </c>
      <c r="J321">
        <v>833</v>
      </c>
      <c r="K321">
        <v>0.69099999999999995</v>
      </c>
      <c r="L321">
        <v>478</v>
      </c>
      <c r="M321">
        <v>229</v>
      </c>
      <c r="N321">
        <v>0.47899999999999998</v>
      </c>
      <c r="O321">
        <v>179</v>
      </c>
      <c r="P321">
        <v>0.78200000000000003</v>
      </c>
      <c r="Q321">
        <v>227</v>
      </c>
      <c r="R321">
        <v>0.99099999999999999</v>
      </c>
      <c r="S321">
        <v>157</v>
      </c>
      <c r="T321">
        <v>0.69199999999999995</v>
      </c>
      <c r="U321">
        <v>602</v>
      </c>
      <c r="V321">
        <v>473</v>
      </c>
      <c r="W321">
        <v>0.78600000000000003</v>
      </c>
      <c r="X321">
        <v>380</v>
      </c>
      <c r="Y321">
        <v>0.80300000000000005</v>
      </c>
      <c r="Z321">
        <v>442</v>
      </c>
      <c r="AA321">
        <v>0.93400000000000005</v>
      </c>
      <c r="AB321">
        <v>295</v>
      </c>
      <c r="AC321">
        <v>0.66700000000000004</v>
      </c>
      <c r="AD321">
        <v>623</v>
      </c>
      <c r="AE321">
        <v>491</v>
      </c>
      <c r="AF321">
        <v>0.78800000000000003</v>
      </c>
      <c r="AG321">
        <v>355</v>
      </c>
      <c r="AH321">
        <v>0.72299999999999998</v>
      </c>
      <c r="AI321">
        <v>464</v>
      </c>
      <c r="AJ321">
        <v>0.94499999999999995</v>
      </c>
      <c r="AK321">
        <v>336</v>
      </c>
      <c r="AL321">
        <v>0.72399999999999998</v>
      </c>
      <c r="AM321">
        <v>201</v>
      </c>
      <c r="AN321">
        <v>73</v>
      </c>
      <c r="AO321">
        <v>0.36299999999999999</v>
      </c>
      <c r="AP321">
        <v>66</v>
      </c>
      <c r="AQ321">
        <v>0.90400000000000003</v>
      </c>
      <c r="AR321">
        <v>73</v>
      </c>
      <c r="AS321">
        <v>1</v>
      </c>
      <c r="AT321">
        <v>45</v>
      </c>
      <c r="AU321">
        <v>0.61599999999999999</v>
      </c>
    </row>
    <row r="322" spans="1:47" x14ac:dyDescent="0.2">
      <c r="A322" t="s">
        <v>3766</v>
      </c>
      <c r="B322" t="s">
        <v>3767</v>
      </c>
      <c r="C322">
        <v>1055</v>
      </c>
      <c r="D322">
        <v>860</v>
      </c>
      <c r="E322">
        <v>0.81499999999999995</v>
      </c>
      <c r="F322">
        <v>731</v>
      </c>
      <c r="G322">
        <v>0.85</v>
      </c>
      <c r="H322">
        <v>697</v>
      </c>
      <c r="I322">
        <v>0.81</v>
      </c>
      <c r="J322">
        <v>380</v>
      </c>
      <c r="K322">
        <v>0.54500000000000004</v>
      </c>
      <c r="L322">
        <v>220</v>
      </c>
      <c r="M322">
        <v>173</v>
      </c>
      <c r="N322">
        <v>0.78600000000000003</v>
      </c>
      <c r="O322">
        <v>144</v>
      </c>
      <c r="P322">
        <v>0.83199999999999996</v>
      </c>
      <c r="Q322">
        <v>157</v>
      </c>
      <c r="R322">
        <v>0.90800000000000003</v>
      </c>
      <c r="S322">
        <v>78</v>
      </c>
      <c r="T322">
        <v>0.497</v>
      </c>
      <c r="U322">
        <v>304</v>
      </c>
      <c r="V322">
        <v>264</v>
      </c>
      <c r="W322">
        <v>0.86799999999999999</v>
      </c>
      <c r="X322">
        <v>234</v>
      </c>
      <c r="Y322">
        <v>0.88600000000000001</v>
      </c>
      <c r="Z322">
        <v>210</v>
      </c>
      <c r="AA322">
        <v>0.79500000000000004</v>
      </c>
      <c r="AB322">
        <v>141</v>
      </c>
      <c r="AC322">
        <v>0.67100000000000004</v>
      </c>
      <c r="AD322">
        <v>238</v>
      </c>
      <c r="AE322">
        <v>236</v>
      </c>
      <c r="AF322">
        <v>0.99199999999999999</v>
      </c>
      <c r="AG322">
        <v>182</v>
      </c>
      <c r="AH322">
        <v>0.77100000000000002</v>
      </c>
      <c r="AI322">
        <v>158</v>
      </c>
      <c r="AJ322">
        <v>0.66900000000000004</v>
      </c>
      <c r="AK322">
        <v>89</v>
      </c>
      <c r="AL322">
        <v>0.56299999999999994</v>
      </c>
      <c r="AM322">
        <v>293</v>
      </c>
      <c r="AN322">
        <v>187</v>
      </c>
      <c r="AO322">
        <v>0.63800000000000001</v>
      </c>
      <c r="AP322">
        <v>171</v>
      </c>
      <c r="AQ322">
        <v>0.91400000000000003</v>
      </c>
      <c r="AR322">
        <v>172</v>
      </c>
      <c r="AS322">
        <v>0.92</v>
      </c>
      <c r="AT322">
        <v>72</v>
      </c>
      <c r="AU322">
        <v>0.41899999999999998</v>
      </c>
    </row>
    <row r="323" spans="1:47" x14ac:dyDescent="0.2">
      <c r="A323" t="s">
        <v>3769</v>
      </c>
      <c r="B323" t="s">
        <v>3770</v>
      </c>
      <c r="C323">
        <v>1016</v>
      </c>
      <c r="D323">
        <v>826</v>
      </c>
      <c r="E323">
        <v>0.81299999999999994</v>
      </c>
      <c r="F323">
        <v>657</v>
      </c>
      <c r="G323">
        <v>0.79500000000000004</v>
      </c>
      <c r="H323">
        <v>787</v>
      </c>
      <c r="I323">
        <v>0.95299999999999996</v>
      </c>
      <c r="J323">
        <v>479</v>
      </c>
      <c r="K323">
        <v>0.60899999999999999</v>
      </c>
      <c r="L323">
        <v>190</v>
      </c>
      <c r="M323">
        <v>194</v>
      </c>
      <c r="N323">
        <v>1.0209999999999999</v>
      </c>
      <c r="O323">
        <v>117</v>
      </c>
      <c r="P323">
        <v>0.60299999999999998</v>
      </c>
      <c r="Q323">
        <v>193</v>
      </c>
      <c r="R323">
        <v>0.995</v>
      </c>
      <c r="S323">
        <v>106</v>
      </c>
      <c r="T323">
        <v>0.54900000000000004</v>
      </c>
      <c r="U323">
        <v>221</v>
      </c>
      <c r="V323">
        <v>198</v>
      </c>
      <c r="W323">
        <v>0.89600000000000002</v>
      </c>
      <c r="X323">
        <v>177</v>
      </c>
      <c r="Y323">
        <v>0.89400000000000002</v>
      </c>
      <c r="Z323">
        <v>181</v>
      </c>
      <c r="AA323">
        <v>0.91400000000000003</v>
      </c>
      <c r="AB323">
        <v>117</v>
      </c>
      <c r="AC323">
        <v>0.64600000000000002</v>
      </c>
      <c r="AD323">
        <v>231</v>
      </c>
      <c r="AE323">
        <v>226</v>
      </c>
      <c r="AF323">
        <v>0.97799999999999998</v>
      </c>
      <c r="AG323">
        <v>177</v>
      </c>
      <c r="AH323">
        <v>0.78300000000000003</v>
      </c>
      <c r="AI323">
        <v>205</v>
      </c>
      <c r="AJ323">
        <v>0.90700000000000003</v>
      </c>
      <c r="AK323">
        <v>133</v>
      </c>
      <c r="AL323">
        <v>0.64900000000000002</v>
      </c>
      <c r="AM323">
        <v>374</v>
      </c>
      <c r="AN323">
        <v>208</v>
      </c>
      <c r="AO323">
        <v>0.55600000000000005</v>
      </c>
      <c r="AP323">
        <v>186</v>
      </c>
      <c r="AQ323">
        <v>0.89400000000000002</v>
      </c>
      <c r="AR323">
        <v>208</v>
      </c>
      <c r="AS323">
        <v>1</v>
      </c>
      <c r="AT323">
        <v>123</v>
      </c>
      <c r="AU323">
        <v>0.59099999999999997</v>
      </c>
    </row>
    <row r="324" spans="1:47" x14ac:dyDescent="0.2">
      <c r="A324" t="s">
        <v>3772</v>
      </c>
      <c r="B324" t="s">
        <v>3773</v>
      </c>
      <c r="C324">
        <v>1033</v>
      </c>
      <c r="D324">
        <v>886</v>
      </c>
      <c r="E324">
        <v>0.85799999999999998</v>
      </c>
      <c r="F324">
        <v>606</v>
      </c>
      <c r="G324">
        <v>0.68400000000000005</v>
      </c>
      <c r="H324">
        <v>799</v>
      </c>
      <c r="I324">
        <v>0.90200000000000002</v>
      </c>
      <c r="J324">
        <v>465</v>
      </c>
      <c r="K324">
        <v>0.58199999999999996</v>
      </c>
      <c r="L324">
        <v>68</v>
      </c>
      <c r="M324">
        <v>51</v>
      </c>
      <c r="N324">
        <v>0.75</v>
      </c>
      <c r="O324">
        <v>34</v>
      </c>
      <c r="P324">
        <v>0.66700000000000004</v>
      </c>
      <c r="Q324">
        <v>49</v>
      </c>
      <c r="R324">
        <v>0.96099999999999997</v>
      </c>
      <c r="S324">
        <v>25</v>
      </c>
      <c r="T324">
        <v>0.51</v>
      </c>
      <c r="U324">
        <v>478</v>
      </c>
      <c r="V324">
        <v>353</v>
      </c>
      <c r="W324">
        <v>0.73799999999999999</v>
      </c>
      <c r="X324">
        <v>273</v>
      </c>
      <c r="Y324">
        <v>0.77300000000000002</v>
      </c>
      <c r="Z324">
        <v>326</v>
      </c>
      <c r="AA324">
        <v>0.92400000000000004</v>
      </c>
      <c r="AB324">
        <v>185</v>
      </c>
      <c r="AC324">
        <v>0.56699999999999995</v>
      </c>
      <c r="AD324">
        <v>460</v>
      </c>
      <c r="AE324">
        <v>482</v>
      </c>
      <c r="AF324">
        <v>1.048</v>
      </c>
      <c r="AG324">
        <v>299</v>
      </c>
      <c r="AH324">
        <v>0.62</v>
      </c>
      <c r="AI324">
        <v>424</v>
      </c>
      <c r="AJ324">
        <v>0.88</v>
      </c>
      <c r="AK324">
        <v>255</v>
      </c>
      <c r="AL324">
        <v>0.60099999999999998</v>
      </c>
      <c r="AM324">
        <v>27</v>
      </c>
      <c r="AN324">
        <v>0</v>
      </c>
      <c r="AO324">
        <v>0</v>
      </c>
      <c r="AP324">
        <v>0</v>
      </c>
      <c r="AR324">
        <v>0</v>
      </c>
      <c r="AT324">
        <v>0</v>
      </c>
    </row>
    <row r="325" spans="1:47" x14ac:dyDescent="0.2">
      <c r="A325" t="s">
        <v>3778</v>
      </c>
      <c r="B325" t="s">
        <v>3779</v>
      </c>
      <c r="C325">
        <v>1193</v>
      </c>
      <c r="D325">
        <v>265</v>
      </c>
      <c r="E325">
        <v>0.222</v>
      </c>
      <c r="F325">
        <v>195</v>
      </c>
      <c r="G325">
        <v>0.73599999999999999</v>
      </c>
      <c r="H325">
        <v>264</v>
      </c>
      <c r="I325">
        <v>0.996</v>
      </c>
      <c r="J325">
        <v>154</v>
      </c>
      <c r="K325">
        <v>0.58299999999999996</v>
      </c>
      <c r="L325">
        <v>487</v>
      </c>
      <c r="M325">
        <v>205</v>
      </c>
      <c r="N325">
        <v>0.42099999999999999</v>
      </c>
      <c r="O325">
        <v>165</v>
      </c>
      <c r="P325">
        <v>0.80500000000000005</v>
      </c>
      <c r="Q325">
        <v>205</v>
      </c>
      <c r="R325">
        <v>1</v>
      </c>
      <c r="S325">
        <v>132</v>
      </c>
      <c r="T325">
        <v>0.64400000000000002</v>
      </c>
      <c r="U325" t="s">
        <v>53</v>
      </c>
      <c r="V325">
        <v>0</v>
      </c>
      <c r="W325" t="s">
        <v>53</v>
      </c>
      <c r="X325">
        <v>0</v>
      </c>
      <c r="Z325">
        <v>0</v>
      </c>
      <c r="AB325">
        <v>0</v>
      </c>
      <c r="AD325" t="s">
        <v>53</v>
      </c>
      <c r="AE325">
        <v>0</v>
      </c>
      <c r="AF325" t="s">
        <v>53</v>
      </c>
      <c r="AG325">
        <v>0</v>
      </c>
      <c r="AI325">
        <v>0</v>
      </c>
      <c r="AK325">
        <v>0</v>
      </c>
      <c r="AM325">
        <v>694</v>
      </c>
      <c r="AN325">
        <v>60</v>
      </c>
      <c r="AO325">
        <v>8.5999999999999993E-2</v>
      </c>
      <c r="AP325">
        <v>30</v>
      </c>
      <c r="AQ325">
        <v>0.5</v>
      </c>
      <c r="AR325">
        <v>59</v>
      </c>
      <c r="AS325">
        <v>0.98299999999999998</v>
      </c>
      <c r="AT325">
        <v>22</v>
      </c>
      <c r="AU325">
        <v>0.373</v>
      </c>
    </row>
    <row r="326" spans="1:47" x14ac:dyDescent="0.2">
      <c r="A326" t="s">
        <v>3835</v>
      </c>
      <c r="B326" t="s">
        <v>3836</v>
      </c>
      <c r="C326">
        <v>182</v>
      </c>
      <c r="D326">
        <v>116</v>
      </c>
      <c r="E326">
        <v>0.63700000000000001</v>
      </c>
      <c r="F326">
        <v>45</v>
      </c>
      <c r="G326">
        <v>0.38800000000000001</v>
      </c>
      <c r="H326">
        <v>116</v>
      </c>
      <c r="I326">
        <v>1</v>
      </c>
      <c r="J326">
        <v>53</v>
      </c>
      <c r="K326">
        <v>0.45700000000000002</v>
      </c>
      <c r="L326">
        <v>152</v>
      </c>
      <c r="M326" t="s">
        <v>53</v>
      </c>
      <c r="N326" t="s">
        <v>53</v>
      </c>
      <c r="O326" t="s">
        <v>53</v>
      </c>
      <c r="P326" t="s">
        <v>53</v>
      </c>
      <c r="Q326" t="s">
        <v>53</v>
      </c>
      <c r="R326" t="s">
        <v>53</v>
      </c>
      <c r="S326">
        <v>53</v>
      </c>
      <c r="T326" t="s">
        <v>53</v>
      </c>
      <c r="U326" t="s">
        <v>53</v>
      </c>
      <c r="V326">
        <v>0</v>
      </c>
      <c r="W326" t="s">
        <v>53</v>
      </c>
      <c r="X326">
        <v>0</v>
      </c>
      <c r="Z326">
        <v>0</v>
      </c>
      <c r="AB326">
        <v>0</v>
      </c>
      <c r="AD326">
        <v>0</v>
      </c>
      <c r="AE326">
        <v>0</v>
      </c>
      <c r="AG326">
        <v>0</v>
      </c>
      <c r="AI326">
        <v>0</v>
      </c>
      <c r="AK326">
        <v>0</v>
      </c>
      <c r="AM326" t="s">
        <v>53</v>
      </c>
      <c r="AN326" t="s">
        <v>53</v>
      </c>
      <c r="AO326" t="s">
        <v>53</v>
      </c>
      <c r="AP326" t="s">
        <v>53</v>
      </c>
      <c r="AQ326" t="s">
        <v>53</v>
      </c>
      <c r="AR326" t="s">
        <v>53</v>
      </c>
      <c r="AS326" t="s">
        <v>53</v>
      </c>
      <c r="AT326">
        <v>0</v>
      </c>
      <c r="AU326" t="s">
        <v>53</v>
      </c>
    </row>
    <row r="327" spans="1:47" x14ac:dyDescent="0.2">
      <c r="A327" t="s">
        <v>3715</v>
      </c>
      <c r="B327" t="s">
        <v>3716</v>
      </c>
      <c r="C327">
        <v>2185</v>
      </c>
      <c r="D327">
        <v>1328</v>
      </c>
      <c r="E327">
        <v>0.60799999999999998</v>
      </c>
      <c r="F327">
        <v>767</v>
      </c>
      <c r="G327">
        <v>0.57799999999999996</v>
      </c>
      <c r="H327">
        <v>1087</v>
      </c>
      <c r="I327">
        <v>0.81899999999999995</v>
      </c>
      <c r="J327">
        <v>667</v>
      </c>
      <c r="K327">
        <v>0.61399999999999999</v>
      </c>
      <c r="L327">
        <v>444</v>
      </c>
      <c r="M327">
        <v>77</v>
      </c>
      <c r="N327">
        <v>0.17299999999999999</v>
      </c>
      <c r="O327">
        <v>50</v>
      </c>
      <c r="P327">
        <v>0.64900000000000002</v>
      </c>
      <c r="Q327">
        <v>67</v>
      </c>
      <c r="R327">
        <v>0.87</v>
      </c>
      <c r="S327">
        <v>45</v>
      </c>
      <c r="T327">
        <v>0.67200000000000004</v>
      </c>
      <c r="U327">
        <v>640</v>
      </c>
      <c r="V327">
        <v>481</v>
      </c>
      <c r="W327">
        <v>0.752</v>
      </c>
      <c r="X327">
        <v>311</v>
      </c>
      <c r="Y327">
        <v>0.64700000000000002</v>
      </c>
      <c r="Z327">
        <v>391</v>
      </c>
      <c r="AA327">
        <v>0.81299999999999994</v>
      </c>
      <c r="AB327">
        <v>235</v>
      </c>
      <c r="AC327">
        <v>0.60099999999999998</v>
      </c>
      <c r="AD327">
        <v>922</v>
      </c>
      <c r="AE327">
        <v>753</v>
      </c>
      <c r="AF327">
        <v>0.81699999999999995</v>
      </c>
      <c r="AG327">
        <v>389</v>
      </c>
      <c r="AH327">
        <v>0.51700000000000002</v>
      </c>
      <c r="AI327">
        <v>612</v>
      </c>
      <c r="AJ327">
        <v>0.81299999999999994</v>
      </c>
      <c r="AK327">
        <v>373</v>
      </c>
      <c r="AL327">
        <v>0.60899999999999999</v>
      </c>
      <c r="AM327">
        <v>179</v>
      </c>
      <c r="AN327">
        <v>17</v>
      </c>
      <c r="AO327">
        <v>9.5000000000000001E-2</v>
      </c>
      <c r="AP327">
        <v>17</v>
      </c>
      <c r="AQ327">
        <v>1</v>
      </c>
      <c r="AR327">
        <v>17</v>
      </c>
      <c r="AS327">
        <v>1</v>
      </c>
      <c r="AT327">
        <v>14</v>
      </c>
      <c r="AU327">
        <v>0.82399999999999995</v>
      </c>
    </row>
    <row r="328" spans="1:47" x14ac:dyDescent="0.2">
      <c r="A328" t="s">
        <v>3718</v>
      </c>
      <c r="B328" t="s">
        <v>3719</v>
      </c>
      <c r="C328">
        <v>3327</v>
      </c>
      <c r="D328">
        <v>2507</v>
      </c>
      <c r="E328">
        <v>0.754</v>
      </c>
      <c r="F328">
        <v>2038</v>
      </c>
      <c r="G328">
        <v>0.81299999999999994</v>
      </c>
      <c r="H328">
        <v>2348</v>
      </c>
      <c r="I328">
        <v>0.93700000000000006</v>
      </c>
      <c r="J328">
        <v>1629</v>
      </c>
      <c r="K328">
        <v>0.69399999999999995</v>
      </c>
      <c r="L328">
        <v>1121</v>
      </c>
      <c r="M328">
        <v>477</v>
      </c>
      <c r="N328">
        <v>0.42599999999999999</v>
      </c>
      <c r="O328">
        <v>349</v>
      </c>
      <c r="P328">
        <v>0.73199999999999998</v>
      </c>
      <c r="Q328">
        <v>477</v>
      </c>
      <c r="R328">
        <v>1</v>
      </c>
      <c r="S328">
        <v>298</v>
      </c>
      <c r="T328">
        <v>0.625</v>
      </c>
      <c r="U328">
        <v>886</v>
      </c>
      <c r="V328">
        <v>829</v>
      </c>
      <c r="W328">
        <v>0.93600000000000005</v>
      </c>
      <c r="X328">
        <v>713</v>
      </c>
      <c r="Y328">
        <v>0.86</v>
      </c>
      <c r="Z328">
        <v>766</v>
      </c>
      <c r="AA328">
        <v>0.92400000000000004</v>
      </c>
      <c r="AB328">
        <v>558</v>
      </c>
      <c r="AC328">
        <v>0.72799999999999998</v>
      </c>
      <c r="AD328">
        <v>1143</v>
      </c>
      <c r="AE328">
        <v>1074</v>
      </c>
      <c r="AF328">
        <v>0.94</v>
      </c>
      <c r="AG328">
        <v>897</v>
      </c>
      <c r="AH328">
        <v>0.83499999999999996</v>
      </c>
      <c r="AI328">
        <v>978</v>
      </c>
      <c r="AJ328">
        <v>0.91100000000000003</v>
      </c>
      <c r="AK328">
        <v>697</v>
      </c>
      <c r="AL328">
        <v>0.71299999999999997</v>
      </c>
      <c r="AM328">
        <v>177</v>
      </c>
      <c r="AN328">
        <v>127</v>
      </c>
      <c r="AO328">
        <v>0.71799999999999997</v>
      </c>
      <c r="AP328">
        <v>79</v>
      </c>
      <c r="AQ328">
        <v>0.622</v>
      </c>
      <c r="AR328">
        <v>127</v>
      </c>
      <c r="AS328">
        <v>1</v>
      </c>
      <c r="AT328">
        <v>76</v>
      </c>
      <c r="AU328">
        <v>0.59799999999999998</v>
      </c>
    </row>
    <row r="329" spans="1:47" x14ac:dyDescent="0.2">
      <c r="A329" t="s">
        <v>3721</v>
      </c>
      <c r="B329" t="s">
        <v>3722</v>
      </c>
      <c r="C329">
        <v>2339</v>
      </c>
      <c r="D329">
        <v>1695</v>
      </c>
      <c r="E329">
        <v>0.72499999999999998</v>
      </c>
      <c r="F329">
        <v>1286</v>
      </c>
      <c r="G329">
        <v>0.75900000000000001</v>
      </c>
      <c r="H329">
        <v>1528</v>
      </c>
      <c r="I329">
        <v>0.90100000000000002</v>
      </c>
      <c r="J329">
        <v>1014</v>
      </c>
      <c r="K329">
        <v>0.66400000000000003</v>
      </c>
      <c r="L329">
        <v>623</v>
      </c>
      <c r="M329">
        <v>414</v>
      </c>
      <c r="N329">
        <v>0.66500000000000004</v>
      </c>
      <c r="O329">
        <v>296</v>
      </c>
      <c r="P329">
        <v>0.71499999999999997</v>
      </c>
      <c r="Q329">
        <v>413</v>
      </c>
      <c r="R329">
        <v>0.998</v>
      </c>
      <c r="S329">
        <v>268</v>
      </c>
      <c r="T329">
        <v>0.64900000000000002</v>
      </c>
      <c r="U329">
        <v>592</v>
      </c>
      <c r="V329">
        <v>531</v>
      </c>
      <c r="W329">
        <v>0.89700000000000002</v>
      </c>
      <c r="X329">
        <v>429</v>
      </c>
      <c r="Y329">
        <v>0.80800000000000005</v>
      </c>
      <c r="Z329">
        <v>466</v>
      </c>
      <c r="AA329">
        <v>0.878</v>
      </c>
      <c r="AB329">
        <v>311</v>
      </c>
      <c r="AC329">
        <v>0.66700000000000004</v>
      </c>
      <c r="AD329">
        <v>689</v>
      </c>
      <c r="AE329">
        <v>697</v>
      </c>
      <c r="AF329">
        <v>1.012</v>
      </c>
      <c r="AG329">
        <v>516</v>
      </c>
      <c r="AH329">
        <v>0.74</v>
      </c>
      <c r="AI329">
        <v>596</v>
      </c>
      <c r="AJ329">
        <v>0.85499999999999998</v>
      </c>
      <c r="AK329">
        <v>401</v>
      </c>
      <c r="AL329">
        <v>0.67300000000000004</v>
      </c>
      <c r="AM329">
        <v>435</v>
      </c>
      <c r="AN329">
        <v>53</v>
      </c>
      <c r="AO329">
        <v>0.122</v>
      </c>
      <c r="AP329">
        <v>45</v>
      </c>
      <c r="AQ329">
        <v>0.84899999999999998</v>
      </c>
      <c r="AR329">
        <v>53</v>
      </c>
      <c r="AS329">
        <v>1</v>
      </c>
      <c r="AT329">
        <v>34</v>
      </c>
      <c r="AU329">
        <v>0.64200000000000002</v>
      </c>
    </row>
    <row r="330" spans="1:47" x14ac:dyDescent="0.2">
      <c r="A330" t="s">
        <v>3724</v>
      </c>
      <c r="B330" t="s">
        <v>3725</v>
      </c>
      <c r="C330">
        <v>1604</v>
      </c>
      <c r="D330">
        <v>1081</v>
      </c>
      <c r="E330">
        <v>0.67400000000000004</v>
      </c>
      <c r="F330">
        <v>776</v>
      </c>
      <c r="G330">
        <v>0.71799999999999997</v>
      </c>
      <c r="H330">
        <v>975</v>
      </c>
      <c r="I330">
        <v>0.90200000000000002</v>
      </c>
      <c r="J330">
        <v>589</v>
      </c>
      <c r="K330">
        <v>0.60399999999999998</v>
      </c>
      <c r="L330">
        <v>391</v>
      </c>
      <c r="M330">
        <v>146</v>
      </c>
      <c r="N330">
        <v>0.373</v>
      </c>
      <c r="O330">
        <v>101</v>
      </c>
      <c r="P330">
        <v>0.69199999999999995</v>
      </c>
      <c r="Q330">
        <v>146</v>
      </c>
      <c r="R330">
        <v>1</v>
      </c>
      <c r="S330">
        <v>88</v>
      </c>
      <c r="T330">
        <v>0.60299999999999998</v>
      </c>
      <c r="U330">
        <v>413</v>
      </c>
      <c r="V330">
        <v>438</v>
      </c>
      <c r="W330">
        <v>1.0609999999999999</v>
      </c>
      <c r="X330">
        <v>318</v>
      </c>
      <c r="Y330">
        <v>0.72599999999999998</v>
      </c>
      <c r="Z330">
        <v>393</v>
      </c>
      <c r="AA330">
        <v>0.89700000000000002</v>
      </c>
      <c r="AB330">
        <v>234</v>
      </c>
      <c r="AC330">
        <v>0.59499999999999997</v>
      </c>
      <c r="AD330">
        <v>418</v>
      </c>
      <c r="AE330">
        <v>481</v>
      </c>
      <c r="AF330">
        <v>1.151</v>
      </c>
      <c r="AG330">
        <v>342</v>
      </c>
      <c r="AH330">
        <v>0.71099999999999997</v>
      </c>
      <c r="AI330">
        <v>420</v>
      </c>
      <c r="AJ330">
        <v>0.873</v>
      </c>
      <c r="AK330">
        <v>258</v>
      </c>
      <c r="AL330">
        <v>0.61399999999999999</v>
      </c>
      <c r="AM330">
        <v>382</v>
      </c>
      <c r="AN330">
        <v>16</v>
      </c>
      <c r="AO330">
        <v>4.2000000000000003E-2</v>
      </c>
      <c r="AP330">
        <v>15</v>
      </c>
      <c r="AQ330">
        <v>0.93799999999999994</v>
      </c>
      <c r="AR330">
        <v>16</v>
      </c>
      <c r="AS330">
        <v>1</v>
      </c>
      <c r="AT330">
        <v>9</v>
      </c>
      <c r="AU330">
        <v>0.56299999999999994</v>
      </c>
    </row>
    <row r="331" spans="1:47" x14ac:dyDescent="0.2">
      <c r="A331" t="s">
        <v>3727</v>
      </c>
      <c r="B331" t="s">
        <v>3728</v>
      </c>
      <c r="C331">
        <v>822</v>
      </c>
      <c r="D331">
        <v>565</v>
      </c>
      <c r="E331">
        <v>0.68700000000000006</v>
      </c>
      <c r="F331">
        <v>483</v>
      </c>
      <c r="G331">
        <v>0.85499999999999998</v>
      </c>
      <c r="H331">
        <v>552</v>
      </c>
      <c r="I331">
        <v>0.97699999999999998</v>
      </c>
      <c r="J331">
        <v>342</v>
      </c>
      <c r="K331">
        <v>0.62</v>
      </c>
      <c r="L331">
        <v>231</v>
      </c>
      <c r="M331">
        <v>104</v>
      </c>
      <c r="N331">
        <v>0.45</v>
      </c>
      <c r="O331">
        <v>100</v>
      </c>
      <c r="P331">
        <v>0.96199999999999997</v>
      </c>
      <c r="Q331">
        <v>104</v>
      </c>
      <c r="R331">
        <v>1</v>
      </c>
      <c r="S331">
        <v>65</v>
      </c>
      <c r="T331">
        <v>0.625</v>
      </c>
      <c r="U331">
        <v>208</v>
      </c>
      <c r="V331">
        <v>162</v>
      </c>
      <c r="W331">
        <v>0.77900000000000003</v>
      </c>
      <c r="X331">
        <v>145</v>
      </c>
      <c r="Y331">
        <v>0.89500000000000002</v>
      </c>
      <c r="Z331">
        <v>160</v>
      </c>
      <c r="AA331">
        <v>0.98799999999999999</v>
      </c>
      <c r="AB331">
        <v>113</v>
      </c>
      <c r="AC331">
        <v>0.70599999999999996</v>
      </c>
      <c r="AD331">
        <v>303</v>
      </c>
      <c r="AE331">
        <v>247</v>
      </c>
      <c r="AF331">
        <v>0.81499999999999995</v>
      </c>
      <c r="AG331">
        <v>188</v>
      </c>
      <c r="AH331">
        <v>0.76100000000000001</v>
      </c>
      <c r="AI331">
        <v>236</v>
      </c>
      <c r="AJ331">
        <v>0.95499999999999996</v>
      </c>
      <c r="AK331">
        <v>139</v>
      </c>
      <c r="AL331">
        <v>0.58899999999999997</v>
      </c>
      <c r="AM331">
        <v>80</v>
      </c>
      <c r="AN331">
        <v>52</v>
      </c>
      <c r="AO331">
        <v>0.65</v>
      </c>
      <c r="AP331">
        <v>50</v>
      </c>
      <c r="AQ331">
        <v>0.96199999999999997</v>
      </c>
      <c r="AR331">
        <v>52</v>
      </c>
      <c r="AS331">
        <v>1</v>
      </c>
      <c r="AT331">
        <v>25</v>
      </c>
      <c r="AU331">
        <v>0.48099999999999998</v>
      </c>
    </row>
    <row r="332" spans="1:47" x14ac:dyDescent="0.2">
      <c r="A332" t="s">
        <v>3730</v>
      </c>
      <c r="B332" t="s">
        <v>3731</v>
      </c>
      <c r="C332">
        <v>1515</v>
      </c>
      <c r="D332">
        <v>937</v>
      </c>
      <c r="E332">
        <v>0.61799999999999999</v>
      </c>
      <c r="F332">
        <v>794</v>
      </c>
      <c r="G332">
        <v>0.84699999999999998</v>
      </c>
      <c r="H332">
        <v>877</v>
      </c>
      <c r="I332">
        <v>0.93600000000000005</v>
      </c>
      <c r="J332">
        <v>577</v>
      </c>
      <c r="K332">
        <v>0.65800000000000003</v>
      </c>
      <c r="L332">
        <v>339</v>
      </c>
      <c r="M332">
        <v>218</v>
      </c>
      <c r="N332">
        <v>0.64300000000000002</v>
      </c>
      <c r="O332">
        <v>136</v>
      </c>
      <c r="P332">
        <v>0.624</v>
      </c>
      <c r="Q332">
        <v>218</v>
      </c>
      <c r="R332">
        <v>1</v>
      </c>
      <c r="S332">
        <v>115</v>
      </c>
      <c r="T332">
        <v>0.52800000000000002</v>
      </c>
      <c r="U332">
        <v>327</v>
      </c>
      <c r="V332">
        <v>276</v>
      </c>
      <c r="W332">
        <v>0.84399999999999997</v>
      </c>
      <c r="X332">
        <v>255</v>
      </c>
      <c r="Y332">
        <v>0.92400000000000004</v>
      </c>
      <c r="Z332">
        <v>250</v>
      </c>
      <c r="AA332">
        <v>0.90600000000000003</v>
      </c>
      <c r="AB332">
        <v>175</v>
      </c>
      <c r="AC332">
        <v>0.7</v>
      </c>
      <c r="AD332">
        <v>477</v>
      </c>
      <c r="AE332">
        <v>402</v>
      </c>
      <c r="AF332">
        <v>0.84299999999999997</v>
      </c>
      <c r="AG332">
        <v>365</v>
      </c>
      <c r="AH332">
        <v>0.90800000000000003</v>
      </c>
      <c r="AI332">
        <v>368</v>
      </c>
      <c r="AJ332">
        <v>0.91500000000000004</v>
      </c>
      <c r="AK332">
        <v>271</v>
      </c>
      <c r="AL332">
        <v>0.73599999999999999</v>
      </c>
      <c r="AM332">
        <v>372</v>
      </c>
      <c r="AN332">
        <v>41</v>
      </c>
      <c r="AO332">
        <v>0.11</v>
      </c>
      <c r="AP332">
        <v>38</v>
      </c>
      <c r="AQ332">
        <v>0.92700000000000005</v>
      </c>
      <c r="AR332">
        <v>41</v>
      </c>
      <c r="AS332">
        <v>1</v>
      </c>
      <c r="AT332">
        <v>16</v>
      </c>
      <c r="AU332">
        <v>0.39</v>
      </c>
    </row>
    <row r="333" spans="1:47" x14ac:dyDescent="0.2">
      <c r="A333" t="s">
        <v>3733</v>
      </c>
      <c r="B333" t="s">
        <v>3734</v>
      </c>
      <c r="C333">
        <v>1767</v>
      </c>
      <c r="D333">
        <v>1557</v>
      </c>
      <c r="E333">
        <v>0.88100000000000001</v>
      </c>
      <c r="F333">
        <v>1125</v>
      </c>
      <c r="G333">
        <v>0.72299999999999998</v>
      </c>
      <c r="H333">
        <v>1445</v>
      </c>
      <c r="I333">
        <v>0.92800000000000005</v>
      </c>
      <c r="J333">
        <v>849</v>
      </c>
      <c r="K333">
        <v>0.58799999999999997</v>
      </c>
      <c r="L333">
        <v>505</v>
      </c>
      <c r="M333">
        <v>418</v>
      </c>
      <c r="N333">
        <v>0.82799999999999996</v>
      </c>
      <c r="O333">
        <v>330</v>
      </c>
      <c r="P333">
        <v>0.78900000000000003</v>
      </c>
      <c r="Q333">
        <v>417</v>
      </c>
      <c r="R333">
        <v>0.998</v>
      </c>
      <c r="S333">
        <v>254</v>
      </c>
      <c r="T333">
        <v>0.60899999999999999</v>
      </c>
      <c r="U333">
        <v>438</v>
      </c>
      <c r="V333">
        <v>378</v>
      </c>
      <c r="W333">
        <v>0.86299999999999999</v>
      </c>
      <c r="X333">
        <v>287</v>
      </c>
      <c r="Y333">
        <v>0.75900000000000001</v>
      </c>
      <c r="Z333">
        <v>326</v>
      </c>
      <c r="AA333">
        <v>0.86199999999999999</v>
      </c>
      <c r="AB333">
        <v>199</v>
      </c>
      <c r="AC333">
        <v>0.61</v>
      </c>
      <c r="AD333">
        <v>547</v>
      </c>
      <c r="AE333">
        <v>513</v>
      </c>
      <c r="AF333">
        <v>0.93799999999999994</v>
      </c>
      <c r="AG333">
        <v>335</v>
      </c>
      <c r="AH333">
        <v>0.65300000000000002</v>
      </c>
      <c r="AI333">
        <v>454</v>
      </c>
      <c r="AJ333">
        <v>0.88500000000000001</v>
      </c>
      <c r="AK333">
        <v>275</v>
      </c>
      <c r="AL333">
        <v>0.60599999999999998</v>
      </c>
      <c r="AM333">
        <v>277</v>
      </c>
      <c r="AN333">
        <v>248</v>
      </c>
      <c r="AO333">
        <v>0.89500000000000002</v>
      </c>
      <c r="AP333">
        <v>173</v>
      </c>
      <c r="AQ333">
        <v>0.69799999999999995</v>
      </c>
      <c r="AR333">
        <v>248</v>
      </c>
      <c r="AS333">
        <v>1</v>
      </c>
      <c r="AT333">
        <v>121</v>
      </c>
      <c r="AU333">
        <v>0.48799999999999999</v>
      </c>
    </row>
    <row r="334" spans="1:47" x14ac:dyDescent="0.2">
      <c r="A334" t="s">
        <v>3736</v>
      </c>
      <c r="B334" t="s">
        <v>3737</v>
      </c>
      <c r="C334">
        <v>635</v>
      </c>
      <c r="D334">
        <v>382</v>
      </c>
      <c r="E334">
        <v>0.60199999999999998</v>
      </c>
      <c r="F334">
        <v>284</v>
      </c>
      <c r="G334">
        <v>0.74299999999999999</v>
      </c>
      <c r="H334">
        <v>285</v>
      </c>
      <c r="I334">
        <v>0.746</v>
      </c>
      <c r="J334">
        <v>179</v>
      </c>
      <c r="K334">
        <v>0.628</v>
      </c>
      <c r="L334">
        <v>301</v>
      </c>
      <c r="M334">
        <v>65</v>
      </c>
      <c r="N334">
        <v>0.216</v>
      </c>
      <c r="O334">
        <v>51</v>
      </c>
      <c r="P334">
        <v>0.78500000000000003</v>
      </c>
      <c r="Q334">
        <v>61</v>
      </c>
      <c r="R334">
        <v>0.93799999999999994</v>
      </c>
      <c r="S334">
        <v>36</v>
      </c>
      <c r="T334">
        <v>0.59</v>
      </c>
      <c r="U334">
        <v>134</v>
      </c>
      <c r="V334">
        <v>113</v>
      </c>
      <c r="W334">
        <v>0.84299999999999997</v>
      </c>
      <c r="X334">
        <v>94</v>
      </c>
      <c r="Y334">
        <v>0.83199999999999996</v>
      </c>
      <c r="Z334">
        <v>92</v>
      </c>
      <c r="AA334">
        <v>0.81399999999999995</v>
      </c>
      <c r="AB334">
        <v>71</v>
      </c>
      <c r="AC334">
        <v>0.77200000000000002</v>
      </c>
      <c r="AD334">
        <v>200</v>
      </c>
      <c r="AE334">
        <v>204</v>
      </c>
      <c r="AF334">
        <v>1.02</v>
      </c>
      <c r="AG334">
        <v>139</v>
      </c>
      <c r="AH334">
        <v>0.68100000000000005</v>
      </c>
      <c r="AI334">
        <v>132</v>
      </c>
      <c r="AJ334">
        <v>0.64700000000000002</v>
      </c>
      <c r="AK334">
        <v>72</v>
      </c>
      <c r="AL334">
        <v>0.54500000000000004</v>
      </c>
      <c r="AM334">
        <v>0</v>
      </c>
      <c r="AN334">
        <v>0</v>
      </c>
      <c r="AP334">
        <v>0</v>
      </c>
      <c r="AR334">
        <v>0</v>
      </c>
      <c r="AT334">
        <v>0</v>
      </c>
    </row>
    <row r="335" spans="1:47" x14ac:dyDescent="0.2">
      <c r="A335" t="s">
        <v>3709</v>
      </c>
      <c r="B335" t="s">
        <v>3710</v>
      </c>
      <c r="C335">
        <v>411</v>
      </c>
      <c r="D335">
        <v>289</v>
      </c>
      <c r="E335">
        <v>0.70299999999999996</v>
      </c>
      <c r="F335">
        <v>242</v>
      </c>
      <c r="G335">
        <v>0.83699999999999997</v>
      </c>
      <c r="H335">
        <v>275</v>
      </c>
      <c r="I335">
        <v>0.95199999999999996</v>
      </c>
      <c r="J335">
        <v>212</v>
      </c>
      <c r="K335">
        <v>0.77100000000000002</v>
      </c>
      <c r="L335">
        <v>171</v>
      </c>
      <c r="M335">
        <v>82</v>
      </c>
      <c r="N335">
        <v>0.48</v>
      </c>
      <c r="O335">
        <v>58</v>
      </c>
      <c r="P335">
        <v>0.70699999999999996</v>
      </c>
      <c r="Q335">
        <v>80</v>
      </c>
      <c r="R335">
        <v>0.97599999999999998</v>
      </c>
      <c r="S335">
        <v>54</v>
      </c>
      <c r="T335">
        <v>0.67500000000000004</v>
      </c>
      <c r="U335">
        <v>137</v>
      </c>
      <c r="V335">
        <v>113</v>
      </c>
      <c r="W335">
        <v>0.82499999999999996</v>
      </c>
      <c r="X335">
        <v>107</v>
      </c>
      <c r="Y335">
        <v>0.94699999999999995</v>
      </c>
      <c r="Z335">
        <v>110</v>
      </c>
      <c r="AA335">
        <v>0.97299999999999998</v>
      </c>
      <c r="AB335">
        <v>89</v>
      </c>
      <c r="AC335">
        <v>0.80900000000000005</v>
      </c>
      <c r="AD335">
        <v>103</v>
      </c>
      <c r="AE335">
        <v>94</v>
      </c>
      <c r="AF335">
        <v>0.91300000000000003</v>
      </c>
      <c r="AG335">
        <v>77</v>
      </c>
      <c r="AH335">
        <v>0.81899999999999995</v>
      </c>
      <c r="AI335">
        <v>85</v>
      </c>
      <c r="AJ335">
        <v>0.90400000000000003</v>
      </c>
      <c r="AK335">
        <v>69</v>
      </c>
      <c r="AL335">
        <v>0.81200000000000006</v>
      </c>
      <c r="AM335">
        <v>0</v>
      </c>
      <c r="AN335">
        <v>0</v>
      </c>
      <c r="AP335">
        <v>0</v>
      </c>
      <c r="AR335">
        <v>0</v>
      </c>
      <c r="AT335">
        <v>0</v>
      </c>
    </row>
    <row r="336" spans="1:47" x14ac:dyDescent="0.2">
      <c r="A336" t="s">
        <v>3712</v>
      </c>
      <c r="B336" t="s">
        <v>3713</v>
      </c>
      <c r="C336">
        <v>1446</v>
      </c>
      <c r="D336">
        <v>1010</v>
      </c>
      <c r="E336">
        <v>0.69799999999999995</v>
      </c>
      <c r="F336">
        <v>824</v>
      </c>
      <c r="G336">
        <v>0.81599999999999995</v>
      </c>
      <c r="H336">
        <v>954</v>
      </c>
      <c r="I336">
        <v>0.94499999999999995</v>
      </c>
      <c r="J336">
        <v>699</v>
      </c>
      <c r="K336">
        <v>0.73299999999999998</v>
      </c>
      <c r="L336">
        <v>384</v>
      </c>
      <c r="M336">
        <v>257</v>
      </c>
      <c r="N336">
        <v>0.66900000000000004</v>
      </c>
      <c r="O336">
        <v>219</v>
      </c>
      <c r="P336">
        <v>0.85199999999999998</v>
      </c>
      <c r="Q336">
        <v>257</v>
      </c>
      <c r="R336">
        <v>1</v>
      </c>
      <c r="S336">
        <v>188</v>
      </c>
      <c r="T336">
        <v>0.73199999999999998</v>
      </c>
      <c r="U336">
        <v>389</v>
      </c>
      <c r="V336">
        <v>372</v>
      </c>
      <c r="W336">
        <v>0.95599999999999996</v>
      </c>
      <c r="X336">
        <v>325</v>
      </c>
      <c r="Y336">
        <v>0.874</v>
      </c>
      <c r="Z336">
        <v>342</v>
      </c>
      <c r="AA336">
        <v>0.91900000000000004</v>
      </c>
      <c r="AB336">
        <v>255</v>
      </c>
      <c r="AC336">
        <v>0.746</v>
      </c>
      <c r="AD336">
        <v>296</v>
      </c>
      <c r="AE336">
        <v>339</v>
      </c>
      <c r="AF336">
        <v>1.145</v>
      </c>
      <c r="AG336">
        <v>239</v>
      </c>
      <c r="AH336">
        <v>0.70499999999999996</v>
      </c>
      <c r="AI336">
        <v>313</v>
      </c>
      <c r="AJ336">
        <v>0.92300000000000004</v>
      </c>
      <c r="AK336">
        <v>230</v>
      </c>
      <c r="AL336">
        <v>0.73499999999999999</v>
      </c>
      <c r="AM336">
        <v>377</v>
      </c>
      <c r="AN336">
        <v>42</v>
      </c>
      <c r="AO336">
        <v>0.111</v>
      </c>
      <c r="AP336">
        <v>41</v>
      </c>
      <c r="AQ336">
        <v>0.97599999999999998</v>
      </c>
      <c r="AR336">
        <v>42</v>
      </c>
      <c r="AS336">
        <v>1</v>
      </c>
      <c r="AT336">
        <v>26</v>
      </c>
      <c r="AU336">
        <v>0.61899999999999999</v>
      </c>
    </row>
    <row r="337" spans="1:47" x14ac:dyDescent="0.2">
      <c r="A337" t="s">
        <v>3706</v>
      </c>
      <c r="B337" t="s">
        <v>3707</v>
      </c>
      <c r="C337">
        <v>2045</v>
      </c>
      <c r="D337">
        <v>1304</v>
      </c>
      <c r="E337">
        <v>0.63800000000000001</v>
      </c>
      <c r="F337">
        <v>1091</v>
      </c>
      <c r="G337">
        <v>0.83699999999999997</v>
      </c>
      <c r="H337">
        <v>1180</v>
      </c>
      <c r="I337">
        <v>0.90500000000000003</v>
      </c>
      <c r="J337">
        <v>827</v>
      </c>
      <c r="K337">
        <v>0.70099999999999996</v>
      </c>
      <c r="L337">
        <v>734</v>
      </c>
      <c r="M337">
        <v>202</v>
      </c>
      <c r="N337">
        <v>0.27500000000000002</v>
      </c>
      <c r="O337">
        <v>150</v>
      </c>
      <c r="P337">
        <v>0.74299999999999999</v>
      </c>
      <c r="Q337">
        <v>199</v>
      </c>
      <c r="R337">
        <v>0.98499999999999999</v>
      </c>
      <c r="S337">
        <v>135</v>
      </c>
      <c r="T337">
        <v>0.67800000000000005</v>
      </c>
      <c r="U337">
        <v>643</v>
      </c>
      <c r="V337">
        <v>565</v>
      </c>
      <c r="W337">
        <v>0.879</v>
      </c>
      <c r="X337">
        <v>517</v>
      </c>
      <c r="Y337">
        <v>0.91500000000000004</v>
      </c>
      <c r="Z337">
        <v>513</v>
      </c>
      <c r="AA337">
        <v>0.90800000000000003</v>
      </c>
      <c r="AB337">
        <v>368</v>
      </c>
      <c r="AC337">
        <v>0.71699999999999997</v>
      </c>
      <c r="AD337">
        <v>534</v>
      </c>
      <c r="AE337">
        <v>516</v>
      </c>
      <c r="AF337">
        <v>0.96599999999999997</v>
      </c>
      <c r="AG337">
        <v>408</v>
      </c>
      <c r="AH337">
        <v>0.79100000000000004</v>
      </c>
      <c r="AI337">
        <v>447</v>
      </c>
      <c r="AJ337">
        <v>0.86599999999999999</v>
      </c>
      <c r="AK337">
        <v>311</v>
      </c>
      <c r="AL337">
        <v>0.69599999999999995</v>
      </c>
      <c r="AM337">
        <v>134</v>
      </c>
      <c r="AN337">
        <v>21</v>
      </c>
      <c r="AO337">
        <v>0.157</v>
      </c>
      <c r="AP337">
        <v>16</v>
      </c>
      <c r="AQ337">
        <v>0.76200000000000001</v>
      </c>
      <c r="AR337">
        <v>21</v>
      </c>
      <c r="AS337">
        <v>1</v>
      </c>
      <c r="AT337">
        <v>13</v>
      </c>
      <c r="AU337">
        <v>0.61899999999999999</v>
      </c>
    </row>
    <row r="338" spans="1:47" x14ac:dyDescent="0.2">
      <c r="A338" t="s">
        <v>3525</v>
      </c>
      <c r="B338" t="s">
        <v>3526</v>
      </c>
      <c r="C338">
        <v>451</v>
      </c>
      <c r="D338">
        <v>399</v>
      </c>
      <c r="E338">
        <v>0.88500000000000001</v>
      </c>
      <c r="F338">
        <v>279</v>
      </c>
      <c r="G338">
        <v>0.69899999999999995</v>
      </c>
      <c r="H338">
        <v>341</v>
      </c>
      <c r="I338">
        <v>0.85499999999999998</v>
      </c>
      <c r="J338">
        <v>256</v>
      </c>
      <c r="K338">
        <v>0.751</v>
      </c>
      <c r="L338">
        <v>81</v>
      </c>
      <c r="M338">
        <v>24</v>
      </c>
      <c r="N338">
        <v>0.29599999999999999</v>
      </c>
      <c r="O338">
        <v>23</v>
      </c>
      <c r="P338">
        <v>0.95799999999999996</v>
      </c>
      <c r="Q338">
        <v>24</v>
      </c>
      <c r="R338">
        <v>1</v>
      </c>
      <c r="S338">
        <v>19</v>
      </c>
      <c r="T338">
        <v>0.79200000000000004</v>
      </c>
      <c r="U338">
        <v>188</v>
      </c>
      <c r="V338">
        <v>181</v>
      </c>
      <c r="W338">
        <v>0.96299999999999997</v>
      </c>
      <c r="X338">
        <v>139</v>
      </c>
      <c r="Y338">
        <v>0.76800000000000002</v>
      </c>
      <c r="Z338">
        <v>157</v>
      </c>
      <c r="AA338">
        <v>0.86699999999999999</v>
      </c>
      <c r="AB338">
        <v>119</v>
      </c>
      <c r="AC338">
        <v>0.75800000000000001</v>
      </c>
      <c r="AD338">
        <v>182</v>
      </c>
      <c r="AE338">
        <v>194</v>
      </c>
      <c r="AF338">
        <v>1.0660000000000001</v>
      </c>
      <c r="AG338">
        <v>117</v>
      </c>
      <c r="AH338">
        <v>0.60299999999999998</v>
      </c>
      <c r="AI338">
        <v>160</v>
      </c>
      <c r="AJ338">
        <v>0.82499999999999996</v>
      </c>
      <c r="AK338">
        <v>118</v>
      </c>
      <c r="AL338">
        <v>0.73799999999999999</v>
      </c>
      <c r="AM338">
        <v>0</v>
      </c>
      <c r="AN338">
        <v>0</v>
      </c>
      <c r="AP338">
        <v>0</v>
      </c>
      <c r="AR338">
        <v>0</v>
      </c>
      <c r="AT338">
        <v>0</v>
      </c>
    </row>
    <row r="339" spans="1:47" x14ac:dyDescent="0.2">
      <c r="A339" t="s">
        <v>3694</v>
      </c>
      <c r="B339" t="s">
        <v>3695</v>
      </c>
      <c r="C339">
        <v>11</v>
      </c>
      <c r="D339">
        <v>53</v>
      </c>
      <c r="E339">
        <v>4.8179999999999996</v>
      </c>
      <c r="F339">
        <v>9</v>
      </c>
      <c r="G339">
        <v>0.17</v>
      </c>
      <c r="H339">
        <v>53</v>
      </c>
      <c r="I339">
        <v>1</v>
      </c>
      <c r="J339">
        <v>31</v>
      </c>
      <c r="K339">
        <v>0.58499999999999996</v>
      </c>
      <c r="L339">
        <v>11</v>
      </c>
      <c r="M339">
        <v>53</v>
      </c>
      <c r="N339">
        <v>4.8179999999999996</v>
      </c>
      <c r="O339">
        <v>9</v>
      </c>
      <c r="P339">
        <v>0.17</v>
      </c>
      <c r="Q339">
        <v>53</v>
      </c>
      <c r="R339">
        <v>1</v>
      </c>
      <c r="S339">
        <v>31</v>
      </c>
      <c r="T339">
        <v>0.58499999999999996</v>
      </c>
      <c r="U339">
        <v>0</v>
      </c>
      <c r="V339">
        <v>0</v>
      </c>
      <c r="X339">
        <v>0</v>
      </c>
      <c r="Z339">
        <v>0</v>
      </c>
      <c r="AB339">
        <v>0</v>
      </c>
      <c r="AD339">
        <v>0</v>
      </c>
      <c r="AE339">
        <v>0</v>
      </c>
      <c r="AG339">
        <v>0</v>
      </c>
      <c r="AI339">
        <v>0</v>
      </c>
      <c r="AK339">
        <v>0</v>
      </c>
      <c r="AM339">
        <v>0</v>
      </c>
      <c r="AN339">
        <v>0</v>
      </c>
      <c r="AP339">
        <v>0</v>
      </c>
      <c r="AR339">
        <v>0</v>
      </c>
      <c r="AT339">
        <v>0</v>
      </c>
    </row>
    <row r="340" spans="1:47" x14ac:dyDescent="0.2">
      <c r="A340" t="s">
        <v>3531</v>
      </c>
      <c r="B340" t="s">
        <v>3532</v>
      </c>
      <c r="C340">
        <v>152</v>
      </c>
      <c r="D340">
        <v>99</v>
      </c>
      <c r="E340">
        <v>0.65100000000000002</v>
      </c>
      <c r="F340">
        <v>94</v>
      </c>
      <c r="G340">
        <v>0.94899999999999995</v>
      </c>
      <c r="H340">
        <v>99</v>
      </c>
      <c r="I340">
        <v>1</v>
      </c>
      <c r="J340">
        <v>63</v>
      </c>
      <c r="K340">
        <v>0.63600000000000001</v>
      </c>
      <c r="L340">
        <v>111</v>
      </c>
      <c r="M340">
        <v>71</v>
      </c>
      <c r="N340">
        <v>0.64</v>
      </c>
      <c r="O340">
        <v>66</v>
      </c>
      <c r="P340">
        <v>0.93</v>
      </c>
      <c r="Q340">
        <v>71</v>
      </c>
      <c r="R340">
        <v>1</v>
      </c>
      <c r="S340">
        <v>48</v>
      </c>
      <c r="T340">
        <v>0.67600000000000005</v>
      </c>
      <c r="U340">
        <v>0</v>
      </c>
      <c r="V340">
        <v>0</v>
      </c>
      <c r="X340">
        <v>0</v>
      </c>
      <c r="Z340">
        <v>0</v>
      </c>
      <c r="AB340">
        <v>0</v>
      </c>
      <c r="AD340">
        <v>0</v>
      </c>
      <c r="AE340">
        <v>0</v>
      </c>
      <c r="AG340">
        <v>0</v>
      </c>
      <c r="AI340">
        <v>0</v>
      </c>
      <c r="AK340">
        <v>0</v>
      </c>
      <c r="AM340">
        <v>41</v>
      </c>
      <c r="AN340">
        <v>28</v>
      </c>
      <c r="AO340">
        <v>0.68300000000000005</v>
      </c>
      <c r="AP340">
        <v>28</v>
      </c>
      <c r="AQ340">
        <v>1</v>
      </c>
      <c r="AR340">
        <v>28</v>
      </c>
      <c r="AS340">
        <v>1</v>
      </c>
      <c r="AT340">
        <v>15</v>
      </c>
      <c r="AU340">
        <v>0.53600000000000003</v>
      </c>
    </row>
    <row r="341" spans="1:47" x14ac:dyDescent="0.2">
      <c r="A341" t="s">
        <v>3534</v>
      </c>
      <c r="B341" t="s">
        <v>3535</v>
      </c>
      <c r="C341">
        <v>314</v>
      </c>
      <c r="D341">
        <v>261</v>
      </c>
      <c r="E341">
        <v>0.83099999999999996</v>
      </c>
      <c r="F341">
        <v>202</v>
      </c>
      <c r="G341">
        <v>0.77400000000000002</v>
      </c>
      <c r="H341">
        <v>248</v>
      </c>
      <c r="I341">
        <v>0.95</v>
      </c>
      <c r="J341">
        <v>197</v>
      </c>
      <c r="K341">
        <v>0.79400000000000004</v>
      </c>
      <c r="L341">
        <v>100</v>
      </c>
      <c r="M341">
        <v>64</v>
      </c>
      <c r="N341">
        <v>0.64</v>
      </c>
      <c r="O341">
        <v>42</v>
      </c>
      <c r="P341">
        <v>0.65600000000000003</v>
      </c>
      <c r="Q341">
        <v>63</v>
      </c>
      <c r="R341">
        <v>0.98399999999999999</v>
      </c>
      <c r="S341">
        <v>41</v>
      </c>
      <c r="T341">
        <v>0.65100000000000002</v>
      </c>
      <c r="U341">
        <v>135</v>
      </c>
      <c r="V341">
        <v>106</v>
      </c>
      <c r="W341">
        <v>0.78500000000000003</v>
      </c>
      <c r="X341">
        <v>98</v>
      </c>
      <c r="Y341">
        <v>0.92500000000000004</v>
      </c>
      <c r="Z341">
        <v>103</v>
      </c>
      <c r="AA341">
        <v>0.97199999999999998</v>
      </c>
      <c r="AB341">
        <v>89</v>
      </c>
      <c r="AC341">
        <v>0.86399999999999999</v>
      </c>
      <c r="AD341">
        <v>79</v>
      </c>
      <c r="AE341">
        <v>91</v>
      </c>
      <c r="AF341">
        <v>1.1519999999999999</v>
      </c>
      <c r="AG341">
        <v>62</v>
      </c>
      <c r="AH341">
        <v>0.68100000000000005</v>
      </c>
      <c r="AI341">
        <v>82</v>
      </c>
      <c r="AJ341">
        <v>0.90100000000000002</v>
      </c>
      <c r="AK341">
        <v>67</v>
      </c>
      <c r="AL341">
        <v>0.81699999999999995</v>
      </c>
      <c r="AM341">
        <v>0</v>
      </c>
      <c r="AN341">
        <v>0</v>
      </c>
      <c r="AP341">
        <v>0</v>
      </c>
      <c r="AR341">
        <v>0</v>
      </c>
      <c r="AT341">
        <v>0</v>
      </c>
    </row>
    <row r="342" spans="1:47" x14ac:dyDescent="0.2">
      <c r="A342" t="s">
        <v>3537</v>
      </c>
      <c r="B342" t="s">
        <v>3538</v>
      </c>
      <c r="C342">
        <v>1699</v>
      </c>
      <c r="D342">
        <v>1407</v>
      </c>
      <c r="E342">
        <v>0.82799999999999996</v>
      </c>
      <c r="F342">
        <v>1091</v>
      </c>
      <c r="G342">
        <v>0.77500000000000002</v>
      </c>
      <c r="H342">
        <v>1192</v>
      </c>
      <c r="I342">
        <v>0.84699999999999998</v>
      </c>
      <c r="J342">
        <v>722</v>
      </c>
      <c r="K342">
        <v>0.60599999999999998</v>
      </c>
      <c r="L342">
        <v>457</v>
      </c>
      <c r="M342">
        <v>166</v>
      </c>
      <c r="N342">
        <v>0.36299999999999999</v>
      </c>
      <c r="O342">
        <v>141</v>
      </c>
      <c r="P342">
        <v>0.84899999999999998</v>
      </c>
      <c r="Q342">
        <v>166</v>
      </c>
      <c r="R342">
        <v>1</v>
      </c>
      <c r="S342">
        <v>103</v>
      </c>
      <c r="T342">
        <v>0.62</v>
      </c>
      <c r="U342">
        <v>510</v>
      </c>
      <c r="V342">
        <v>521</v>
      </c>
      <c r="W342">
        <v>1.022</v>
      </c>
      <c r="X342">
        <v>421</v>
      </c>
      <c r="Y342">
        <v>0.80800000000000005</v>
      </c>
      <c r="Z342">
        <v>425</v>
      </c>
      <c r="AA342">
        <v>0.81599999999999995</v>
      </c>
      <c r="AB342">
        <v>262</v>
      </c>
      <c r="AC342">
        <v>0.61599999999999999</v>
      </c>
      <c r="AD342">
        <v>501</v>
      </c>
      <c r="AE342">
        <v>605</v>
      </c>
      <c r="AF342">
        <v>1.208</v>
      </c>
      <c r="AG342">
        <v>416</v>
      </c>
      <c r="AH342">
        <v>0.68799999999999994</v>
      </c>
      <c r="AI342">
        <v>486</v>
      </c>
      <c r="AJ342">
        <v>0.80300000000000005</v>
      </c>
      <c r="AK342">
        <v>310</v>
      </c>
      <c r="AL342">
        <v>0.63800000000000001</v>
      </c>
      <c r="AM342">
        <v>231</v>
      </c>
      <c r="AN342">
        <v>115</v>
      </c>
      <c r="AO342">
        <v>0.498</v>
      </c>
      <c r="AP342">
        <v>113</v>
      </c>
      <c r="AQ342">
        <v>0.98299999999999998</v>
      </c>
      <c r="AR342">
        <v>115</v>
      </c>
      <c r="AS342">
        <v>1</v>
      </c>
      <c r="AT342">
        <v>47</v>
      </c>
      <c r="AU342">
        <v>0.40899999999999997</v>
      </c>
    </row>
    <row r="343" spans="1:47" x14ac:dyDescent="0.2">
      <c r="A343" t="s">
        <v>3540</v>
      </c>
      <c r="B343" t="s">
        <v>3541</v>
      </c>
      <c r="C343">
        <v>677</v>
      </c>
      <c r="D343">
        <v>565</v>
      </c>
      <c r="E343">
        <v>0.83499999999999996</v>
      </c>
      <c r="F343">
        <v>475</v>
      </c>
      <c r="G343">
        <v>0.84099999999999997</v>
      </c>
      <c r="H343">
        <v>540</v>
      </c>
      <c r="I343">
        <v>0.95599999999999996</v>
      </c>
      <c r="J343">
        <v>383</v>
      </c>
      <c r="K343">
        <v>0.70899999999999996</v>
      </c>
      <c r="L343">
        <v>154</v>
      </c>
      <c r="M343">
        <v>92</v>
      </c>
      <c r="N343">
        <v>0.59699999999999998</v>
      </c>
      <c r="O343">
        <v>73</v>
      </c>
      <c r="P343">
        <v>0.79300000000000004</v>
      </c>
      <c r="Q343">
        <v>92</v>
      </c>
      <c r="R343">
        <v>1</v>
      </c>
      <c r="S343">
        <v>66</v>
      </c>
      <c r="T343">
        <v>0.71699999999999997</v>
      </c>
      <c r="U343">
        <v>243</v>
      </c>
      <c r="V343">
        <v>201</v>
      </c>
      <c r="W343">
        <v>0.82699999999999996</v>
      </c>
      <c r="X343">
        <v>182</v>
      </c>
      <c r="Y343">
        <v>0.90500000000000003</v>
      </c>
      <c r="Z343">
        <v>190</v>
      </c>
      <c r="AA343">
        <v>0.94499999999999995</v>
      </c>
      <c r="AB343">
        <v>139</v>
      </c>
      <c r="AC343">
        <v>0.73199999999999998</v>
      </c>
      <c r="AD343">
        <v>280</v>
      </c>
      <c r="AE343">
        <v>272</v>
      </c>
      <c r="AF343">
        <v>0.97099999999999997</v>
      </c>
      <c r="AG343">
        <v>220</v>
      </c>
      <c r="AH343">
        <v>0.80900000000000005</v>
      </c>
      <c r="AI343">
        <v>258</v>
      </c>
      <c r="AJ343">
        <v>0.94899999999999995</v>
      </c>
      <c r="AK343">
        <v>178</v>
      </c>
      <c r="AL343">
        <v>0.69</v>
      </c>
      <c r="AM343">
        <v>0</v>
      </c>
      <c r="AN343">
        <v>0</v>
      </c>
      <c r="AP343">
        <v>0</v>
      </c>
      <c r="AR343">
        <v>0</v>
      </c>
      <c r="AT343">
        <v>0</v>
      </c>
    </row>
    <row r="344" spans="1:47" x14ac:dyDescent="0.2">
      <c r="A344" t="s">
        <v>3689</v>
      </c>
      <c r="B344" t="s">
        <v>6576</v>
      </c>
      <c r="C344">
        <v>888</v>
      </c>
      <c r="D344">
        <v>537</v>
      </c>
      <c r="E344">
        <v>0.60499999999999998</v>
      </c>
      <c r="F344">
        <v>473</v>
      </c>
      <c r="G344">
        <v>0.88100000000000001</v>
      </c>
      <c r="H344">
        <v>503</v>
      </c>
      <c r="I344">
        <v>0.93700000000000006</v>
      </c>
      <c r="J344">
        <v>395</v>
      </c>
      <c r="K344">
        <v>0.78500000000000003</v>
      </c>
      <c r="L344">
        <v>143</v>
      </c>
      <c r="M344">
        <v>71</v>
      </c>
      <c r="N344">
        <v>0.497</v>
      </c>
      <c r="O344">
        <v>56</v>
      </c>
      <c r="P344">
        <v>0.78900000000000003</v>
      </c>
      <c r="Q344">
        <v>70</v>
      </c>
      <c r="R344">
        <v>0.98599999999999999</v>
      </c>
      <c r="S344">
        <v>53</v>
      </c>
      <c r="T344">
        <v>0.75700000000000001</v>
      </c>
      <c r="U344">
        <v>326</v>
      </c>
      <c r="V344">
        <v>214</v>
      </c>
      <c r="W344">
        <v>0.65600000000000003</v>
      </c>
      <c r="X344">
        <v>198</v>
      </c>
      <c r="Y344">
        <v>0.92500000000000004</v>
      </c>
      <c r="Z344">
        <v>201</v>
      </c>
      <c r="AA344">
        <v>0.93899999999999995</v>
      </c>
      <c r="AB344">
        <v>164</v>
      </c>
      <c r="AC344">
        <v>0.81599999999999995</v>
      </c>
      <c r="AD344">
        <v>419</v>
      </c>
      <c r="AE344">
        <v>252</v>
      </c>
      <c r="AF344">
        <v>0.60099999999999998</v>
      </c>
      <c r="AG344">
        <v>219</v>
      </c>
      <c r="AH344">
        <v>0.86899999999999999</v>
      </c>
      <c r="AI344">
        <v>232</v>
      </c>
      <c r="AJ344">
        <v>0.92100000000000004</v>
      </c>
      <c r="AK344">
        <v>178</v>
      </c>
      <c r="AL344">
        <v>0.76700000000000002</v>
      </c>
      <c r="AM344">
        <v>0</v>
      </c>
      <c r="AN344">
        <v>0</v>
      </c>
      <c r="AP344">
        <v>0</v>
      </c>
      <c r="AR344">
        <v>0</v>
      </c>
      <c r="AT344">
        <v>0</v>
      </c>
    </row>
    <row r="345" spans="1:47" x14ac:dyDescent="0.2">
      <c r="A345" t="s">
        <v>3543</v>
      </c>
      <c r="B345" t="s">
        <v>3544</v>
      </c>
      <c r="C345">
        <v>2312</v>
      </c>
      <c r="D345">
        <v>1506</v>
      </c>
      <c r="E345">
        <v>0.65100000000000002</v>
      </c>
      <c r="F345">
        <v>1001</v>
      </c>
      <c r="G345">
        <v>0.66500000000000004</v>
      </c>
      <c r="H345">
        <v>1340</v>
      </c>
      <c r="I345">
        <v>0.89</v>
      </c>
      <c r="J345">
        <v>869</v>
      </c>
      <c r="K345">
        <v>0.64900000000000002</v>
      </c>
      <c r="L345">
        <v>645</v>
      </c>
      <c r="M345">
        <v>305</v>
      </c>
      <c r="N345">
        <v>0.47299999999999998</v>
      </c>
      <c r="O345">
        <v>248</v>
      </c>
      <c r="P345">
        <v>0.81299999999999994</v>
      </c>
      <c r="Q345">
        <v>305</v>
      </c>
      <c r="R345">
        <v>1</v>
      </c>
      <c r="S345">
        <v>198</v>
      </c>
      <c r="T345">
        <v>0.64900000000000002</v>
      </c>
      <c r="U345">
        <v>661</v>
      </c>
      <c r="V345">
        <v>599</v>
      </c>
      <c r="W345">
        <v>0.90600000000000003</v>
      </c>
      <c r="X345">
        <v>391</v>
      </c>
      <c r="Y345">
        <v>0.65300000000000002</v>
      </c>
      <c r="Z345">
        <v>507</v>
      </c>
      <c r="AA345">
        <v>0.84599999999999997</v>
      </c>
      <c r="AB345">
        <v>358</v>
      </c>
      <c r="AC345">
        <v>0.70599999999999996</v>
      </c>
      <c r="AD345">
        <v>565</v>
      </c>
      <c r="AE345">
        <v>563</v>
      </c>
      <c r="AF345">
        <v>0.996</v>
      </c>
      <c r="AG345">
        <v>329</v>
      </c>
      <c r="AH345">
        <v>0.58399999999999996</v>
      </c>
      <c r="AI345">
        <v>491</v>
      </c>
      <c r="AJ345">
        <v>0.872</v>
      </c>
      <c r="AK345">
        <v>291</v>
      </c>
      <c r="AL345">
        <v>0.59299999999999997</v>
      </c>
      <c r="AM345">
        <v>441</v>
      </c>
      <c r="AN345">
        <v>39</v>
      </c>
      <c r="AO345">
        <v>8.7999999999999995E-2</v>
      </c>
      <c r="AP345">
        <v>33</v>
      </c>
      <c r="AQ345">
        <v>0.84599999999999997</v>
      </c>
      <c r="AR345">
        <v>37</v>
      </c>
      <c r="AS345">
        <v>0.94899999999999995</v>
      </c>
      <c r="AT345">
        <v>22</v>
      </c>
      <c r="AU345">
        <v>0.59499999999999997</v>
      </c>
    </row>
    <row r="346" spans="1:47" x14ac:dyDescent="0.2">
      <c r="A346" t="s">
        <v>3546</v>
      </c>
      <c r="B346" t="s">
        <v>3547</v>
      </c>
      <c r="C346">
        <v>2903</v>
      </c>
      <c r="D346">
        <v>1251</v>
      </c>
      <c r="E346">
        <v>0.43099999999999999</v>
      </c>
      <c r="F346">
        <v>1020</v>
      </c>
      <c r="G346">
        <v>0.81499999999999995</v>
      </c>
      <c r="H346">
        <v>1131</v>
      </c>
      <c r="I346">
        <v>0.90400000000000003</v>
      </c>
      <c r="J346">
        <v>716</v>
      </c>
      <c r="K346">
        <v>0.63300000000000001</v>
      </c>
      <c r="L346">
        <v>284</v>
      </c>
      <c r="M346">
        <v>214</v>
      </c>
      <c r="N346">
        <v>0.754</v>
      </c>
      <c r="O346" t="s">
        <v>53</v>
      </c>
      <c r="P346" t="s">
        <v>53</v>
      </c>
      <c r="Q346">
        <v>214</v>
      </c>
      <c r="R346">
        <v>1</v>
      </c>
      <c r="S346" t="s">
        <v>53</v>
      </c>
      <c r="T346" t="s">
        <v>53</v>
      </c>
      <c r="U346">
        <v>1354</v>
      </c>
      <c r="V346">
        <v>529</v>
      </c>
      <c r="W346">
        <v>0.39100000000000001</v>
      </c>
      <c r="X346">
        <v>439</v>
      </c>
      <c r="Y346">
        <v>0.83</v>
      </c>
      <c r="Z346">
        <v>473</v>
      </c>
      <c r="AA346">
        <v>0.89400000000000002</v>
      </c>
      <c r="AB346">
        <v>296</v>
      </c>
      <c r="AC346">
        <v>0.626</v>
      </c>
      <c r="AD346">
        <v>1096</v>
      </c>
      <c r="AE346">
        <v>502</v>
      </c>
      <c r="AF346">
        <v>0.45800000000000002</v>
      </c>
      <c r="AG346">
        <v>398</v>
      </c>
      <c r="AH346">
        <v>0.79300000000000004</v>
      </c>
      <c r="AI346">
        <v>438</v>
      </c>
      <c r="AJ346">
        <v>0.873</v>
      </c>
      <c r="AK346">
        <v>289</v>
      </c>
      <c r="AL346">
        <v>0.66</v>
      </c>
      <c r="AM346">
        <v>169</v>
      </c>
      <c r="AN346">
        <v>6</v>
      </c>
      <c r="AO346">
        <v>3.5999999999999997E-2</v>
      </c>
      <c r="AP346" t="s">
        <v>53</v>
      </c>
      <c r="AQ346" t="s">
        <v>53</v>
      </c>
      <c r="AR346">
        <v>6</v>
      </c>
      <c r="AS346">
        <v>1</v>
      </c>
      <c r="AT346" t="s">
        <v>53</v>
      </c>
      <c r="AU346" t="s">
        <v>53</v>
      </c>
    </row>
    <row r="347" spans="1:47" x14ac:dyDescent="0.2">
      <c r="A347" t="s">
        <v>3517</v>
      </c>
      <c r="B347" t="s">
        <v>3518</v>
      </c>
      <c r="C347">
        <v>901</v>
      </c>
      <c r="D347">
        <v>1097</v>
      </c>
      <c r="E347">
        <v>1.218</v>
      </c>
      <c r="F347">
        <v>607</v>
      </c>
      <c r="G347">
        <v>0.55300000000000005</v>
      </c>
      <c r="H347">
        <v>941</v>
      </c>
      <c r="I347">
        <v>0.85799999999999998</v>
      </c>
      <c r="J347">
        <v>567</v>
      </c>
      <c r="K347">
        <v>0.60299999999999998</v>
      </c>
      <c r="L347">
        <v>210</v>
      </c>
      <c r="M347">
        <v>256</v>
      </c>
      <c r="N347">
        <v>1.2190000000000001</v>
      </c>
      <c r="O347">
        <v>133</v>
      </c>
      <c r="P347">
        <v>0.52</v>
      </c>
      <c r="Q347">
        <v>256</v>
      </c>
      <c r="R347">
        <v>1</v>
      </c>
      <c r="S347">
        <v>139</v>
      </c>
      <c r="T347">
        <v>0.54300000000000004</v>
      </c>
      <c r="U347">
        <v>291</v>
      </c>
      <c r="V347">
        <v>323</v>
      </c>
      <c r="W347">
        <v>1.1100000000000001</v>
      </c>
      <c r="X347">
        <v>189</v>
      </c>
      <c r="Y347">
        <v>0.58499999999999996</v>
      </c>
      <c r="Z347">
        <v>262</v>
      </c>
      <c r="AA347">
        <v>0.81100000000000005</v>
      </c>
      <c r="AB347">
        <v>174</v>
      </c>
      <c r="AC347">
        <v>0.66400000000000003</v>
      </c>
      <c r="AD347">
        <v>272</v>
      </c>
      <c r="AE347">
        <v>370</v>
      </c>
      <c r="AF347">
        <v>1.36</v>
      </c>
      <c r="AG347">
        <v>190</v>
      </c>
      <c r="AH347">
        <v>0.51400000000000001</v>
      </c>
      <c r="AI347">
        <v>275</v>
      </c>
      <c r="AJ347">
        <v>0.74299999999999999</v>
      </c>
      <c r="AK347">
        <v>181</v>
      </c>
      <c r="AL347">
        <v>0.65800000000000003</v>
      </c>
      <c r="AM347">
        <v>128</v>
      </c>
      <c r="AN347">
        <v>148</v>
      </c>
      <c r="AO347">
        <v>1.1559999999999999</v>
      </c>
      <c r="AP347">
        <v>95</v>
      </c>
      <c r="AQ347">
        <v>0.64200000000000002</v>
      </c>
      <c r="AR347">
        <v>148</v>
      </c>
      <c r="AS347">
        <v>1</v>
      </c>
      <c r="AT347">
        <v>73</v>
      </c>
      <c r="AU347">
        <v>0.49299999999999999</v>
      </c>
    </row>
    <row r="348" spans="1:47" x14ac:dyDescent="0.2">
      <c r="A348" t="s">
        <v>3520</v>
      </c>
      <c r="B348" t="s">
        <v>341</v>
      </c>
      <c r="C348">
        <v>539</v>
      </c>
      <c r="D348">
        <v>454</v>
      </c>
      <c r="E348">
        <v>0.84199999999999997</v>
      </c>
      <c r="F348">
        <v>208</v>
      </c>
      <c r="G348">
        <v>0.45800000000000002</v>
      </c>
      <c r="H348">
        <v>372</v>
      </c>
      <c r="I348">
        <v>0.81899999999999995</v>
      </c>
      <c r="J348">
        <v>241</v>
      </c>
      <c r="K348">
        <v>0.64800000000000002</v>
      </c>
      <c r="L348">
        <v>168</v>
      </c>
      <c r="M348">
        <v>43</v>
      </c>
      <c r="N348">
        <v>0.25600000000000001</v>
      </c>
      <c r="O348">
        <v>33</v>
      </c>
      <c r="P348">
        <v>0.76700000000000002</v>
      </c>
      <c r="Q348">
        <v>43</v>
      </c>
      <c r="R348">
        <v>1</v>
      </c>
      <c r="S348">
        <v>31</v>
      </c>
      <c r="T348">
        <v>0.72099999999999997</v>
      </c>
      <c r="U348">
        <v>188</v>
      </c>
      <c r="V348">
        <v>193</v>
      </c>
      <c r="W348">
        <v>1.0269999999999999</v>
      </c>
      <c r="X348">
        <v>94</v>
      </c>
      <c r="Y348">
        <v>0.48699999999999999</v>
      </c>
      <c r="Z348">
        <v>159</v>
      </c>
      <c r="AA348">
        <v>0.82399999999999995</v>
      </c>
      <c r="AB348">
        <v>96</v>
      </c>
      <c r="AC348">
        <v>0.60399999999999998</v>
      </c>
      <c r="AD348">
        <v>183</v>
      </c>
      <c r="AE348">
        <v>218</v>
      </c>
      <c r="AF348">
        <v>1.1910000000000001</v>
      </c>
      <c r="AG348">
        <v>81</v>
      </c>
      <c r="AH348">
        <v>0.372</v>
      </c>
      <c r="AI348">
        <v>170</v>
      </c>
      <c r="AJ348">
        <v>0.78</v>
      </c>
      <c r="AK348">
        <v>114</v>
      </c>
      <c r="AL348">
        <v>0.67100000000000004</v>
      </c>
      <c r="AM348">
        <v>0</v>
      </c>
      <c r="AN348">
        <v>0</v>
      </c>
      <c r="AP348">
        <v>0</v>
      </c>
      <c r="AR348">
        <v>0</v>
      </c>
      <c r="AT348">
        <v>0</v>
      </c>
    </row>
    <row r="349" spans="1:47" x14ac:dyDescent="0.2">
      <c r="A349" t="s">
        <v>3515</v>
      </c>
      <c r="B349" t="s">
        <v>343</v>
      </c>
      <c r="C349">
        <v>2448</v>
      </c>
      <c r="D349">
        <v>1850</v>
      </c>
      <c r="E349">
        <v>0.75600000000000001</v>
      </c>
      <c r="F349">
        <v>1473</v>
      </c>
      <c r="G349">
        <v>0.79600000000000004</v>
      </c>
      <c r="H349">
        <v>1743</v>
      </c>
      <c r="I349">
        <v>0.94199999999999995</v>
      </c>
      <c r="J349">
        <v>1168</v>
      </c>
      <c r="K349">
        <v>0.67</v>
      </c>
      <c r="L349">
        <v>756</v>
      </c>
      <c r="M349">
        <v>619</v>
      </c>
      <c r="N349">
        <v>0.81899999999999995</v>
      </c>
      <c r="O349">
        <v>444</v>
      </c>
      <c r="P349">
        <v>0.71699999999999997</v>
      </c>
      <c r="Q349">
        <v>619</v>
      </c>
      <c r="R349">
        <v>1</v>
      </c>
      <c r="S349">
        <v>382</v>
      </c>
      <c r="T349">
        <v>0.61699999999999999</v>
      </c>
      <c r="U349">
        <v>621</v>
      </c>
      <c r="V349">
        <v>531</v>
      </c>
      <c r="W349">
        <v>0.85499999999999998</v>
      </c>
      <c r="X349">
        <v>476</v>
      </c>
      <c r="Y349">
        <v>0.89600000000000002</v>
      </c>
      <c r="Z349">
        <v>483</v>
      </c>
      <c r="AA349">
        <v>0.91</v>
      </c>
      <c r="AB349">
        <v>357</v>
      </c>
      <c r="AC349">
        <v>0.73899999999999999</v>
      </c>
      <c r="AD349">
        <v>516</v>
      </c>
      <c r="AE349">
        <v>543</v>
      </c>
      <c r="AF349">
        <v>1.052</v>
      </c>
      <c r="AG349">
        <v>403</v>
      </c>
      <c r="AH349">
        <v>0.74199999999999999</v>
      </c>
      <c r="AI349">
        <v>484</v>
      </c>
      <c r="AJ349">
        <v>0.89100000000000001</v>
      </c>
      <c r="AK349">
        <v>330</v>
      </c>
      <c r="AL349">
        <v>0.68200000000000005</v>
      </c>
      <c r="AM349">
        <v>555</v>
      </c>
      <c r="AN349">
        <v>157</v>
      </c>
      <c r="AO349">
        <v>0.28299999999999997</v>
      </c>
      <c r="AP349">
        <v>150</v>
      </c>
      <c r="AQ349">
        <v>0.95499999999999996</v>
      </c>
      <c r="AR349">
        <v>157</v>
      </c>
      <c r="AS349">
        <v>1</v>
      </c>
      <c r="AT349">
        <v>99</v>
      </c>
      <c r="AU349">
        <v>0.63100000000000001</v>
      </c>
    </row>
    <row r="366" spans="1:47" x14ac:dyDescent="0.2">
      <c r="A366" s="369"/>
      <c r="B366" s="369"/>
      <c r="C366" s="369"/>
      <c r="D366" s="369"/>
      <c r="E366" s="370"/>
      <c r="F366" s="369"/>
      <c r="G366" s="370"/>
      <c r="H366" s="369"/>
      <c r="I366" s="370"/>
      <c r="J366" s="369"/>
      <c r="K366" s="370"/>
      <c r="L366" s="369"/>
      <c r="M366" s="369"/>
      <c r="N366" s="370"/>
      <c r="O366" s="369"/>
      <c r="P366" s="370"/>
      <c r="Q366" s="369"/>
      <c r="R366" s="370"/>
      <c r="S366" s="369"/>
      <c r="T366" s="370"/>
      <c r="U366" s="369"/>
      <c r="V366" s="369"/>
      <c r="W366" s="370"/>
      <c r="X366" s="369"/>
      <c r="Y366" s="370"/>
      <c r="Z366" s="369"/>
      <c r="AA366" s="370"/>
      <c r="AB366" s="369"/>
      <c r="AC366" s="370"/>
      <c r="AD366" s="369"/>
      <c r="AE366" s="369"/>
      <c r="AF366" s="370"/>
      <c r="AG366" s="369"/>
      <c r="AH366" s="370"/>
      <c r="AI366" s="369"/>
      <c r="AJ366" s="370"/>
      <c r="AK366" s="369"/>
      <c r="AL366" s="370"/>
      <c r="AM366" s="369"/>
      <c r="AN366" s="369"/>
      <c r="AO366" s="370"/>
      <c r="AP366" s="369"/>
      <c r="AQ366" s="370"/>
      <c r="AR366" s="369"/>
      <c r="AS366" s="370"/>
      <c r="AT366" s="369"/>
      <c r="AU366" s="370"/>
    </row>
    <row r="367" spans="1:47" x14ac:dyDescent="0.2">
      <c r="A367" s="369"/>
      <c r="B367" s="369"/>
      <c r="C367" s="369"/>
      <c r="D367" s="369"/>
      <c r="E367" s="370"/>
      <c r="F367" s="369"/>
      <c r="G367" s="370"/>
      <c r="H367" s="369"/>
      <c r="I367" s="370"/>
      <c r="J367" s="369"/>
      <c r="K367" s="370"/>
      <c r="L367" s="369"/>
      <c r="M367" s="369"/>
      <c r="N367" s="370"/>
      <c r="O367" s="369"/>
      <c r="P367" s="370"/>
      <c r="Q367" s="369"/>
      <c r="R367" s="370"/>
      <c r="S367" s="369"/>
      <c r="T367" s="370"/>
      <c r="U367" s="369"/>
      <c r="V367" s="369"/>
      <c r="W367" s="370"/>
      <c r="X367" s="369"/>
      <c r="Y367" s="370"/>
      <c r="Z367" s="369"/>
      <c r="AA367" s="370"/>
      <c r="AB367" s="369"/>
      <c r="AC367" s="370"/>
      <c r="AD367" s="369"/>
      <c r="AE367" s="369"/>
      <c r="AF367" s="370"/>
      <c r="AG367" s="369"/>
      <c r="AH367" s="370"/>
      <c r="AI367" s="369"/>
      <c r="AJ367" s="370"/>
      <c r="AK367" s="369"/>
      <c r="AL367" s="370"/>
      <c r="AM367" s="369"/>
      <c r="AN367" s="369"/>
      <c r="AO367" s="370"/>
      <c r="AP367" s="369"/>
      <c r="AQ367" s="370"/>
      <c r="AR367" s="369"/>
      <c r="AS367" s="370"/>
      <c r="AT367" s="369"/>
      <c r="AU367" s="370"/>
    </row>
    <row r="368" spans="1:47" x14ac:dyDescent="0.2">
      <c r="A368" s="369"/>
      <c r="B368" s="369"/>
      <c r="C368" s="369"/>
      <c r="D368" s="369"/>
      <c r="E368" s="370"/>
      <c r="F368" s="369"/>
      <c r="G368" s="370"/>
      <c r="H368" s="369"/>
      <c r="I368" s="370"/>
      <c r="J368" s="369"/>
      <c r="K368" s="370"/>
      <c r="L368" s="369"/>
      <c r="M368" s="369"/>
      <c r="N368" s="370"/>
      <c r="O368" s="369"/>
      <c r="P368" s="370"/>
      <c r="Q368" s="369"/>
      <c r="R368" s="370"/>
      <c r="S368" s="369"/>
      <c r="T368" s="369"/>
      <c r="U368" s="369"/>
      <c r="V368" s="369"/>
      <c r="W368" s="370"/>
      <c r="X368" s="369"/>
      <c r="Y368" s="370"/>
      <c r="Z368" s="369"/>
      <c r="AA368" s="370"/>
      <c r="AB368" s="369"/>
      <c r="AC368" s="370"/>
      <c r="AD368" s="369"/>
      <c r="AE368" s="369"/>
      <c r="AF368" s="370"/>
      <c r="AG368" s="369"/>
      <c r="AH368" s="370"/>
      <c r="AI368" s="369"/>
      <c r="AJ368" s="370"/>
      <c r="AK368" s="369"/>
      <c r="AL368" s="370"/>
      <c r="AM368" s="369"/>
      <c r="AN368" s="369"/>
      <c r="AO368" s="370"/>
      <c r="AP368" s="369"/>
      <c r="AQ368" s="370"/>
      <c r="AR368" s="369"/>
      <c r="AS368" s="370"/>
      <c r="AT368" s="369"/>
      <c r="AU368" s="369"/>
    </row>
    <row r="369" spans="1:47" x14ac:dyDescent="0.2">
      <c r="A369" s="369"/>
      <c r="B369" s="369"/>
      <c r="C369" s="369"/>
      <c r="D369" s="369"/>
      <c r="E369" s="370"/>
      <c r="F369" s="369"/>
      <c r="G369" s="370"/>
      <c r="H369" s="369"/>
      <c r="I369" s="370"/>
      <c r="J369" s="369"/>
      <c r="K369" s="370"/>
      <c r="L369" s="369"/>
      <c r="M369" s="369"/>
      <c r="N369" s="370"/>
      <c r="O369" s="369"/>
      <c r="P369" s="370"/>
      <c r="Q369" s="369"/>
      <c r="R369" s="370"/>
      <c r="S369" s="369"/>
      <c r="T369" s="370"/>
      <c r="U369" s="369"/>
      <c r="V369" s="369"/>
      <c r="W369" s="370"/>
      <c r="X369" s="369"/>
      <c r="Y369" s="370"/>
      <c r="Z369" s="369"/>
      <c r="AA369" s="370"/>
      <c r="AB369" s="369"/>
      <c r="AC369" s="370"/>
      <c r="AD369" s="369"/>
      <c r="AE369" s="369"/>
      <c r="AF369" s="370"/>
      <c r="AG369" s="369"/>
      <c r="AH369" s="370"/>
      <c r="AI369" s="369"/>
      <c r="AJ369" s="370"/>
      <c r="AK369" s="369"/>
      <c r="AL369" s="370"/>
      <c r="AM369" s="369"/>
      <c r="AN369" s="369"/>
      <c r="AO369" s="370"/>
      <c r="AP369" s="369"/>
      <c r="AQ369" s="370"/>
      <c r="AR369" s="369"/>
      <c r="AS369" s="370"/>
      <c r="AT369" s="369"/>
      <c r="AU369" s="370"/>
    </row>
  </sheetData>
  <phoneticPr fontId="10"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34"/>
  </sheetPr>
  <dimension ref="A1:Q7501"/>
  <sheetViews>
    <sheetView zoomScale="85" workbookViewId="0">
      <pane ySplit="1" topLeftCell="A2" activePane="bottomLeft" state="frozen"/>
      <selection activeCell="E31" sqref="E31"/>
      <selection pane="bottomLeft" activeCell="E31" sqref="E31"/>
    </sheetView>
  </sheetViews>
  <sheetFormatPr defaultRowHeight="12.75" x14ac:dyDescent="0.2"/>
  <cols>
    <col min="1" max="1" width="10.7109375" style="30" customWidth="1"/>
    <col min="2" max="2" width="62" style="30" customWidth="1"/>
    <col min="3" max="3" width="31.140625" customWidth="1"/>
    <col min="4" max="4" width="19.28515625" bestFit="1" customWidth="1"/>
    <col min="5" max="5" width="13.5703125" style="144" customWidth="1"/>
    <col min="6" max="6" width="56.42578125" customWidth="1"/>
    <col min="7" max="7" width="15.7109375" customWidth="1"/>
    <col min="8" max="8" width="10" customWidth="1"/>
    <col min="11" max="11" width="14.5703125" customWidth="1"/>
    <col min="12" max="12" width="10.28515625" customWidth="1"/>
    <col min="13" max="13" width="11.140625" customWidth="1"/>
    <col min="14" max="14" width="10.42578125" customWidth="1"/>
    <col min="15" max="15" width="11.140625" customWidth="1"/>
    <col min="16" max="16" width="15" customWidth="1"/>
    <col min="17" max="17" width="10.28515625" customWidth="1"/>
  </cols>
  <sheetData>
    <row r="1" spans="1:17" ht="47.25" customHeight="1" x14ac:dyDescent="0.2">
      <c r="A1" s="182" t="s">
        <v>190</v>
      </c>
      <c r="B1" s="30" t="s">
        <v>75</v>
      </c>
      <c r="C1" s="147" t="s">
        <v>35</v>
      </c>
      <c r="D1" s="147" t="s">
        <v>60</v>
      </c>
      <c r="E1" s="147" t="s">
        <v>61</v>
      </c>
      <c r="F1" s="147" t="s">
        <v>62</v>
      </c>
      <c r="G1" s="147" t="s">
        <v>63</v>
      </c>
      <c r="H1" s="147" t="s">
        <v>85</v>
      </c>
      <c r="I1" s="147" t="s">
        <v>265</v>
      </c>
      <c r="J1" s="147" t="s">
        <v>266</v>
      </c>
      <c r="K1" s="147" t="s">
        <v>251</v>
      </c>
      <c r="L1" s="147" t="s">
        <v>72</v>
      </c>
      <c r="M1" s="147" t="s">
        <v>207</v>
      </c>
      <c r="N1" s="147" t="s">
        <v>208</v>
      </c>
      <c r="O1" s="147" t="s">
        <v>252</v>
      </c>
      <c r="P1" s="147" t="s">
        <v>86</v>
      </c>
      <c r="Q1" s="148" t="s">
        <v>2</v>
      </c>
    </row>
    <row r="2" spans="1:17" x14ac:dyDescent="0.2">
      <c r="A2" s="30" t="str">
        <f>IF(C2&amp;G2&amp;D2&lt;&gt;'Funnel setup'!$K$3&amp;'Funnel setup'!$K$4&amp;'Funnel setup'!$K$5,".",IF(A1=".",1,A1+1))</f>
        <v>.</v>
      </c>
      <c r="B2" s="431" t="str">
        <f>C2&amp;D2&amp;F2&amp;G2</f>
        <v>Groin HerniaCCG of GP PracticeEAST COMMISSIONING HUB (14E)EQ VAS</v>
      </c>
      <c r="C2" t="s">
        <v>50</v>
      </c>
      <c r="D2" t="s">
        <v>87</v>
      </c>
      <c r="E2" t="s">
        <v>6551</v>
      </c>
      <c r="F2" t="s">
        <v>6542</v>
      </c>
      <c r="G2" t="s">
        <v>179</v>
      </c>
      <c r="H2" t="s">
        <v>53</v>
      </c>
      <c r="I2" t="s">
        <v>53</v>
      </c>
      <c r="J2" t="s">
        <v>53</v>
      </c>
      <c r="K2" t="s">
        <v>53</v>
      </c>
      <c r="L2" t="s">
        <v>53</v>
      </c>
      <c r="M2" t="s">
        <v>53</v>
      </c>
      <c r="N2" t="s">
        <v>53</v>
      </c>
      <c r="O2" t="s">
        <v>53</v>
      </c>
      <c r="P2" t="s">
        <v>53</v>
      </c>
      <c r="Q2" t="s">
        <v>53</v>
      </c>
    </row>
    <row r="3" spans="1:17" s="30" customFormat="1" x14ac:dyDescent="0.2">
      <c r="A3" s="30" t="str">
        <f>IF(C3&amp;G3&amp;D3&lt;&gt;'Funnel setup'!$K$3&amp;'Funnel setup'!$K$4&amp;'Funnel setup'!$K$5,".",IF(A2=".",1,A2+1))</f>
        <v>.</v>
      </c>
      <c r="B3" s="431" t="str">
        <f t="shared" ref="B3:B66" si="0">C3&amp;D3&amp;F3&amp;G3</f>
        <v>Groin HerniaCCG of GP PracticeNATIONAL COMMISSIONING HUB 1 (13Q)EQ VAS</v>
      </c>
      <c r="C3" t="s">
        <v>50</v>
      </c>
      <c r="D3" t="s">
        <v>87</v>
      </c>
      <c r="E3" t="s">
        <v>563</v>
      </c>
      <c r="F3" t="s">
        <v>564</v>
      </c>
      <c r="G3" t="s">
        <v>179</v>
      </c>
      <c r="H3">
        <v>32</v>
      </c>
      <c r="I3">
        <v>83</v>
      </c>
      <c r="J3">
        <v>87.156000000000006</v>
      </c>
      <c r="K3">
        <v>4.1559999999999997</v>
      </c>
      <c r="L3">
        <v>18</v>
      </c>
      <c r="M3">
        <v>8</v>
      </c>
      <c r="N3">
        <v>6</v>
      </c>
      <c r="O3">
        <v>83.546000000000006</v>
      </c>
      <c r="P3">
        <v>2.9004378150000001</v>
      </c>
      <c r="Q3">
        <v>7.9290000000000003</v>
      </c>
    </row>
    <row r="4" spans="1:17" s="30" customFormat="1" x14ac:dyDescent="0.2">
      <c r="A4" s="30" t="str">
        <f>IF(C4&amp;G4&amp;D4&lt;&gt;'Funnel setup'!$K$3&amp;'Funnel setup'!$K$4&amp;'Funnel setup'!$K$5,".",IF(A3=".",1,A3+1))</f>
        <v>.</v>
      </c>
      <c r="B4" s="431" t="str">
        <f t="shared" si="0"/>
        <v>Groin HerniaCCG of GP PracticeNHS AIREDALE, WHARFEDALE AND CRAVEN CCG (02N)EQ VAS</v>
      </c>
      <c r="C4" t="s">
        <v>50</v>
      </c>
      <c r="D4" t="s">
        <v>87</v>
      </c>
      <c r="E4" t="s">
        <v>566</v>
      </c>
      <c r="F4" t="s">
        <v>567</v>
      </c>
      <c r="G4" t="s">
        <v>179</v>
      </c>
      <c r="H4">
        <v>103</v>
      </c>
      <c r="I4">
        <v>78.34</v>
      </c>
      <c r="J4">
        <v>80.251999999999995</v>
      </c>
      <c r="K4">
        <v>1.913</v>
      </c>
      <c r="L4">
        <v>49</v>
      </c>
      <c r="M4">
        <v>21</v>
      </c>
      <c r="N4">
        <v>33</v>
      </c>
      <c r="O4">
        <v>81.881</v>
      </c>
      <c r="P4">
        <v>1.2359991269999999</v>
      </c>
      <c r="Q4">
        <v>10.923999999999999</v>
      </c>
    </row>
    <row r="5" spans="1:17" s="30" customFormat="1" x14ac:dyDescent="0.2">
      <c r="A5" s="30" t="str">
        <f>IF(C5&amp;G5&amp;D5&lt;&gt;'Funnel setup'!$K$3&amp;'Funnel setup'!$K$4&amp;'Funnel setup'!$K$5,".",IF(A4=".",1,A4+1))</f>
        <v>.</v>
      </c>
      <c r="B5" s="431" t="str">
        <f t="shared" si="0"/>
        <v>Groin HerniaCCG of GP PracticeNHS ASHFORD CCG (09C)EQ VAS</v>
      </c>
      <c r="C5" t="s">
        <v>50</v>
      </c>
      <c r="D5" t="s">
        <v>87</v>
      </c>
      <c r="E5" t="s">
        <v>569</v>
      </c>
      <c r="F5" t="s">
        <v>339</v>
      </c>
      <c r="G5" t="s">
        <v>179</v>
      </c>
      <c r="H5">
        <v>33</v>
      </c>
      <c r="I5">
        <v>81.152000000000001</v>
      </c>
      <c r="J5">
        <v>78.03</v>
      </c>
      <c r="K5">
        <v>-3.121</v>
      </c>
      <c r="L5">
        <v>14</v>
      </c>
      <c r="M5">
        <v>3</v>
      </c>
      <c r="N5">
        <v>16</v>
      </c>
      <c r="O5">
        <v>77.685000000000002</v>
      </c>
      <c r="P5">
        <v>-2.9600529760000001</v>
      </c>
      <c r="Q5">
        <v>16.605</v>
      </c>
    </row>
    <row r="6" spans="1:17" s="30" customFormat="1" x14ac:dyDescent="0.2">
      <c r="A6" s="30" t="str">
        <f>IF(C6&amp;G6&amp;D6&lt;&gt;'Funnel setup'!$K$3&amp;'Funnel setup'!$K$4&amp;'Funnel setup'!$K$5,".",IF(A5=".",1,A5+1))</f>
        <v>.</v>
      </c>
      <c r="B6" s="431" t="str">
        <f t="shared" si="0"/>
        <v>Groin HerniaCCG of GP PracticeNHS AYLESBURY VALE CCG (10Y)EQ VAS</v>
      </c>
      <c r="C6" t="s">
        <v>50</v>
      </c>
      <c r="D6" t="s">
        <v>87</v>
      </c>
      <c r="E6" t="s">
        <v>571</v>
      </c>
      <c r="F6" t="s">
        <v>572</v>
      </c>
      <c r="G6" t="s">
        <v>179</v>
      </c>
      <c r="H6">
        <v>82</v>
      </c>
      <c r="I6">
        <v>83.146000000000001</v>
      </c>
      <c r="J6">
        <v>83.537000000000006</v>
      </c>
      <c r="K6">
        <v>0.39</v>
      </c>
      <c r="L6">
        <v>34</v>
      </c>
      <c r="M6">
        <v>14</v>
      </c>
      <c r="N6">
        <v>34</v>
      </c>
      <c r="O6">
        <v>81.361000000000004</v>
      </c>
      <c r="P6">
        <v>0.71567321100000003</v>
      </c>
      <c r="Q6">
        <v>9.7590000000000003</v>
      </c>
    </row>
    <row r="7" spans="1:17" s="30" customFormat="1" x14ac:dyDescent="0.2">
      <c r="A7" s="30" t="str">
        <f>IF(C7&amp;G7&amp;D7&lt;&gt;'Funnel setup'!$K$3&amp;'Funnel setup'!$K$4&amp;'Funnel setup'!$K$5,".",IF(A6=".",1,A6+1))</f>
        <v>.</v>
      </c>
      <c r="B7" s="431" t="str">
        <f t="shared" si="0"/>
        <v>Groin HerniaCCG of GP PracticeNHS BARKING AND DAGENHAM CCG (07L)EQ VAS</v>
      </c>
      <c r="C7" t="s">
        <v>50</v>
      </c>
      <c r="D7" t="s">
        <v>87</v>
      </c>
      <c r="E7" t="s">
        <v>574</v>
      </c>
      <c r="F7" t="s">
        <v>575</v>
      </c>
      <c r="G7" t="s">
        <v>179</v>
      </c>
      <c r="H7">
        <v>33</v>
      </c>
      <c r="I7">
        <v>76.242000000000004</v>
      </c>
      <c r="J7">
        <v>79.394000000000005</v>
      </c>
      <c r="K7">
        <v>3.1520000000000001</v>
      </c>
      <c r="L7">
        <v>15</v>
      </c>
      <c r="M7">
        <v>4</v>
      </c>
      <c r="N7">
        <v>14</v>
      </c>
      <c r="O7">
        <v>81.701999999999998</v>
      </c>
      <c r="P7">
        <v>1.0568278310000001</v>
      </c>
      <c r="Q7">
        <v>10.492000000000001</v>
      </c>
    </row>
    <row r="8" spans="1:17" s="30" customFormat="1" x14ac:dyDescent="0.2">
      <c r="A8" s="30" t="str">
        <f>IF(C8&amp;G8&amp;D8&lt;&gt;'Funnel setup'!$K$3&amp;'Funnel setup'!$K$4&amp;'Funnel setup'!$K$5,".",IF(A7=".",1,A7+1))</f>
        <v>.</v>
      </c>
      <c r="B8" s="431" t="str">
        <f t="shared" si="0"/>
        <v>Groin HerniaCCG of GP PracticeNHS BARNET CCG (07M)EQ VAS</v>
      </c>
      <c r="C8" t="s">
        <v>50</v>
      </c>
      <c r="D8" t="s">
        <v>87</v>
      </c>
      <c r="E8" t="s">
        <v>577</v>
      </c>
      <c r="F8" t="s">
        <v>578</v>
      </c>
      <c r="G8" t="s">
        <v>179</v>
      </c>
      <c r="H8">
        <v>31</v>
      </c>
      <c r="I8">
        <v>80</v>
      </c>
      <c r="J8">
        <v>78.709999999999994</v>
      </c>
      <c r="K8">
        <v>-1.29</v>
      </c>
      <c r="L8">
        <v>11</v>
      </c>
      <c r="M8">
        <v>8</v>
      </c>
      <c r="N8">
        <v>12</v>
      </c>
      <c r="O8">
        <v>79.141000000000005</v>
      </c>
      <c r="P8">
        <v>-1.5048427879999999</v>
      </c>
      <c r="Q8">
        <v>13.61</v>
      </c>
    </row>
    <row r="9" spans="1:17" s="30" customFormat="1" x14ac:dyDescent="0.2">
      <c r="A9" s="30" t="str">
        <f>IF(C9&amp;G9&amp;D9&lt;&gt;'Funnel setup'!$K$3&amp;'Funnel setup'!$K$4&amp;'Funnel setup'!$K$5,".",IF(A8=".",1,A8+1))</f>
        <v>.</v>
      </c>
      <c r="B9" s="431" t="str">
        <f t="shared" si="0"/>
        <v>Groin HerniaCCG of GP PracticeNHS BARNSLEY CCG (02P)EQ VAS</v>
      </c>
      <c r="C9" t="s">
        <v>50</v>
      </c>
      <c r="D9" t="s">
        <v>87</v>
      </c>
      <c r="E9" t="s">
        <v>580</v>
      </c>
      <c r="F9" t="s">
        <v>581</v>
      </c>
      <c r="G9" t="s">
        <v>179</v>
      </c>
      <c r="H9">
        <v>126</v>
      </c>
      <c r="I9">
        <v>82.094999999999999</v>
      </c>
      <c r="J9">
        <v>80.302000000000007</v>
      </c>
      <c r="K9">
        <v>-1.794</v>
      </c>
      <c r="L9">
        <v>38</v>
      </c>
      <c r="M9">
        <v>28</v>
      </c>
      <c r="N9">
        <v>60</v>
      </c>
      <c r="O9">
        <v>79.551000000000002</v>
      </c>
      <c r="P9">
        <v>-1.0948682700000001</v>
      </c>
      <c r="Q9">
        <v>14.284000000000001</v>
      </c>
    </row>
    <row r="10" spans="1:17" s="30" customFormat="1" x14ac:dyDescent="0.2">
      <c r="A10" s="30" t="str">
        <f>IF(C10&amp;G10&amp;D10&lt;&gt;'Funnel setup'!$K$3&amp;'Funnel setup'!$K$4&amp;'Funnel setup'!$K$5,".",IF(A9=".",1,A9+1))</f>
        <v>.</v>
      </c>
      <c r="B10" s="431" t="str">
        <f t="shared" si="0"/>
        <v>Groin HerniaCCG of GP PracticeNHS BASILDON AND BRENTWOOD CCG (99E)EQ VAS</v>
      </c>
      <c r="C10" t="s">
        <v>50</v>
      </c>
      <c r="D10" t="s">
        <v>87</v>
      </c>
      <c r="E10" t="s">
        <v>583</v>
      </c>
      <c r="F10" t="s">
        <v>584</v>
      </c>
      <c r="G10" t="s">
        <v>179</v>
      </c>
      <c r="H10">
        <v>66</v>
      </c>
      <c r="I10">
        <v>78.47</v>
      </c>
      <c r="J10">
        <v>77.802999999999997</v>
      </c>
      <c r="K10">
        <v>-0.66700000000000004</v>
      </c>
      <c r="L10">
        <v>27</v>
      </c>
      <c r="M10">
        <v>10</v>
      </c>
      <c r="N10">
        <v>29</v>
      </c>
      <c r="O10">
        <v>79.305000000000007</v>
      </c>
      <c r="P10">
        <v>-1.3408863390000001</v>
      </c>
      <c r="Q10">
        <v>13.298999999999999</v>
      </c>
    </row>
    <row r="11" spans="1:17" s="30" customFormat="1" x14ac:dyDescent="0.2">
      <c r="A11" s="30" t="str">
        <f>IF(C11&amp;G11&amp;D11&lt;&gt;'Funnel setup'!$K$3&amp;'Funnel setup'!$K$4&amp;'Funnel setup'!$K$5,".",IF(A10=".",1,A10+1))</f>
        <v>.</v>
      </c>
      <c r="B11" s="431" t="str">
        <f t="shared" si="0"/>
        <v>Groin HerniaCCG of GP PracticeNHS BASSETLAW CCG (02Q)EQ VAS</v>
      </c>
      <c r="C11" t="s">
        <v>50</v>
      </c>
      <c r="D11" t="s">
        <v>87</v>
      </c>
      <c r="E11" t="s">
        <v>586</v>
      </c>
      <c r="F11" t="s">
        <v>587</v>
      </c>
      <c r="G11" t="s">
        <v>179</v>
      </c>
      <c r="H11">
        <v>92</v>
      </c>
      <c r="I11">
        <v>78.716999999999999</v>
      </c>
      <c r="J11">
        <v>77.412999999999997</v>
      </c>
      <c r="K11">
        <v>-1.304</v>
      </c>
      <c r="L11">
        <v>31</v>
      </c>
      <c r="M11">
        <v>19</v>
      </c>
      <c r="N11">
        <v>42</v>
      </c>
      <c r="O11">
        <v>79.290999999999997</v>
      </c>
      <c r="P11">
        <v>-1.3545873989999999</v>
      </c>
      <c r="Q11">
        <v>13.568</v>
      </c>
    </row>
    <row r="12" spans="1:17" s="30" customFormat="1" x14ac:dyDescent="0.2">
      <c r="A12" s="30" t="str">
        <f>IF(C12&amp;G12&amp;D12&lt;&gt;'Funnel setup'!$K$3&amp;'Funnel setup'!$K$4&amp;'Funnel setup'!$K$5,".",IF(A11=".",1,A11+1))</f>
        <v>.</v>
      </c>
      <c r="B12" s="431" t="str">
        <f t="shared" si="0"/>
        <v>Groin HerniaCCG of GP PracticeNHS BATH AND NORTH EAST SOMERSET CCG (11E)EQ VAS</v>
      </c>
      <c r="C12" t="s">
        <v>50</v>
      </c>
      <c r="D12" t="s">
        <v>87</v>
      </c>
      <c r="E12" t="s">
        <v>589</v>
      </c>
      <c r="F12" t="s">
        <v>590</v>
      </c>
      <c r="G12" t="s">
        <v>179</v>
      </c>
      <c r="H12">
        <v>96</v>
      </c>
      <c r="I12">
        <v>85.063000000000002</v>
      </c>
      <c r="J12">
        <v>83.521000000000001</v>
      </c>
      <c r="K12">
        <v>-1.542</v>
      </c>
      <c r="L12">
        <v>25</v>
      </c>
      <c r="M12">
        <v>22</v>
      </c>
      <c r="N12">
        <v>49</v>
      </c>
      <c r="O12">
        <v>79.83</v>
      </c>
      <c r="P12">
        <v>-0.81559567899999996</v>
      </c>
      <c r="Q12">
        <v>10.946</v>
      </c>
    </row>
    <row r="13" spans="1:17" s="30" customFormat="1" x14ac:dyDescent="0.2">
      <c r="A13" s="30" t="str">
        <f>IF(C13&amp;G13&amp;D13&lt;&gt;'Funnel setup'!$K$3&amp;'Funnel setup'!$K$4&amp;'Funnel setup'!$K$5,".",IF(A12=".",1,A12+1))</f>
        <v>.</v>
      </c>
      <c r="B13" s="431" t="str">
        <f t="shared" si="0"/>
        <v>Groin HerniaCCG of GP PracticeNHS BEDFORDSHIRE CCG (06F)EQ VAS</v>
      </c>
      <c r="C13" t="s">
        <v>50</v>
      </c>
      <c r="D13" t="s">
        <v>87</v>
      </c>
      <c r="E13" t="s">
        <v>592</v>
      </c>
      <c r="F13" t="s">
        <v>593</v>
      </c>
      <c r="G13" t="s">
        <v>179</v>
      </c>
      <c r="H13">
        <v>181</v>
      </c>
      <c r="I13">
        <v>81.376000000000005</v>
      </c>
      <c r="J13">
        <v>82.043999999999997</v>
      </c>
      <c r="K13">
        <v>0.66900000000000004</v>
      </c>
      <c r="L13">
        <v>75</v>
      </c>
      <c r="M13">
        <v>40</v>
      </c>
      <c r="N13">
        <v>66</v>
      </c>
      <c r="O13">
        <v>81.287999999999997</v>
      </c>
      <c r="P13">
        <v>0.64306335100000001</v>
      </c>
      <c r="Q13">
        <v>10.804</v>
      </c>
    </row>
    <row r="14" spans="1:17" s="30" customFormat="1" x14ac:dyDescent="0.2">
      <c r="A14" s="30" t="str">
        <f>IF(C14&amp;G14&amp;D14&lt;&gt;'Funnel setup'!$K$3&amp;'Funnel setup'!$K$4&amp;'Funnel setup'!$K$5,".",IF(A13=".",1,A13+1))</f>
        <v>.</v>
      </c>
      <c r="B14" s="431" t="str">
        <f t="shared" si="0"/>
        <v>Groin HerniaCCG of GP PracticeNHS BEXLEY CCG (07N)EQ VAS</v>
      </c>
      <c r="C14" t="s">
        <v>50</v>
      </c>
      <c r="D14" t="s">
        <v>87</v>
      </c>
      <c r="E14" t="s">
        <v>595</v>
      </c>
      <c r="F14" t="s">
        <v>596</v>
      </c>
      <c r="G14" t="s">
        <v>179</v>
      </c>
      <c r="H14">
        <v>106</v>
      </c>
      <c r="I14">
        <v>80.207999999999998</v>
      </c>
      <c r="J14">
        <v>78.566000000000003</v>
      </c>
      <c r="K14">
        <v>-1.6419999999999999</v>
      </c>
      <c r="L14">
        <v>35</v>
      </c>
      <c r="M14">
        <v>23</v>
      </c>
      <c r="N14">
        <v>48</v>
      </c>
      <c r="O14">
        <v>79.58</v>
      </c>
      <c r="P14">
        <v>-1.065676319</v>
      </c>
      <c r="Q14">
        <v>12.83</v>
      </c>
    </row>
    <row r="15" spans="1:17" s="30" customFormat="1" x14ac:dyDescent="0.2">
      <c r="A15" s="30" t="str">
        <f>IF(C15&amp;G15&amp;D15&lt;&gt;'Funnel setup'!$K$3&amp;'Funnel setup'!$K$4&amp;'Funnel setup'!$K$5,".",IF(A14=".",1,A14+1))</f>
        <v>.</v>
      </c>
      <c r="B15" s="431" t="str">
        <f t="shared" si="0"/>
        <v>Groin HerniaCCG of GP PracticeNHS BIRMINGHAM CROSSCITY CCG (13P)EQ VAS</v>
      </c>
      <c r="C15" t="s">
        <v>50</v>
      </c>
      <c r="D15" t="s">
        <v>87</v>
      </c>
      <c r="E15" t="s">
        <v>598</v>
      </c>
      <c r="F15" t="s">
        <v>599</v>
      </c>
      <c r="G15" t="s">
        <v>179</v>
      </c>
      <c r="H15">
        <v>285</v>
      </c>
      <c r="I15">
        <v>80.512</v>
      </c>
      <c r="J15">
        <v>79.712000000000003</v>
      </c>
      <c r="K15">
        <v>-0.8</v>
      </c>
      <c r="L15">
        <v>105</v>
      </c>
      <c r="M15">
        <v>52</v>
      </c>
      <c r="N15">
        <v>128</v>
      </c>
      <c r="O15">
        <v>80.47</v>
      </c>
      <c r="P15">
        <v>-0.17585740399999999</v>
      </c>
      <c r="Q15">
        <v>12.523999999999999</v>
      </c>
    </row>
    <row r="16" spans="1:17" s="30" customFormat="1" x14ac:dyDescent="0.2">
      <c r="A16" s="30" t="str">
        <f>IF(C16&amp;G16&amp;D16&lt;&gt;'Funnel setup'!$K$3&amp;'Funnel setup'!$K$4&amp;'Funnel setup'!$K$5,".",IF(A15=".",1,A15+1))</f>
        <v>.</v>
      </c>
      <c r="B16" s="431" t="str">
        <f t="shared" si="0"/>
        <v>Groin HerniaCCG of GP PracticeNHS BIRMINGHAM SOUTH AND CENTRAL CCG (04X)EQ VAS</v>
      </c>
      <c r="C16" t="s">
        <v>50</v>
      </c>
      <c r="D16" t="s">
        <v>87</v>
      </c>
      <c r="E16" t="s">
        <v>601</v>
      </c>
      <c r="F16" t="s">
        <v>602</v>
      </c>
      <c r="G16" t="s">
        <v>179</v>
      </c>
      <c r="H16">
        <v>60</v>
      </c>
      <c r="I16">
        <v>79.466999999999999</v>
      </c>
      <c r="J16">
        <v>80.966999999999999</v>
      </c>
      <c r="K16">
        <v>1.5</v>
      </c>
      <c r="L16">
        <v>25</v>
      </c>
      <c r="M16">
        <v>11</v>
      </c>
      <c r="N16">
        <v>24</v>
      </c>
      <c r="O16">
        <v>82.683999999999997</v>
      </c>
      <c r="P16">
        <v>2.0389610560000002</v>
      </c>
      <c r="Q16">
        <v>11.247999999999999</v>
      </c>
    </row>
    <row r="17" spans="1:17" s="30" customFormat="1" x14ac:dyDescent="0.2">
      <c r="A17" s="30" t="str">
        <f>IF(C17&amp;G17&amp;D17&lt;&gt;'Funnel setup'!$K$3&amp;'Funnel setup'!$K$4&amp;'Funnel setup'!$K$5,".",IF(A16=".",1,A16+1))</f>
        <v>.</v>
      </c>
      <c r="B17" s="431" t="str">
        <f t="shared" si="0"/>
        <v>Groin HerniaCCG of GP PracticeNHS BLACKBURN WITH DARWEN CCG (00Q)EQ VAS</v>
      </c>
      <c r="C17" t="s">
        <v>50</v>
      </c>
      <c r="D17" t="s">
        <v>87</v>
      </c>
      <c r="E17" t="s">
        <v>604</v>
      </c>
      <c r="F17" t="s">
        <v>605</v>
      </c>
      <c r="G17" t="s">
        <v>179</v>
      </c>
      <c r="H17">
        <v>67</v>
      </c>
      <c r="I17">
        <v>77.134</v>
      </c>
      <c r="J17">
        <v>77.269000000000005</v>
      </c>
      <c r="K17">
        <v>0.13400000000000001</v>
      </c>
      <c r="L17">
        <v>24</v>
      </c>
      <c r="M17">
        <v>9</v>
      </c>
      <c r="N17">
        <v>34</v>
      </c>
      <c r="O17">
        <v>79.838999999999999</v>
      </c>
      <c r="P17">
        <v>-0.80685695400000002</v>
      </c>
      <c r="Q17">
        <v>13.494</v>
      </c>
    </row>
    <row r="18" spans="1:17" s="30" customFormat="1" x14ac:dyDescent="0.2">
      <c r="A18" s="30" t="str">
        <f>IF(C18&amp;G18&amp;D18&lt;&gt;'Funnel setup'!$K$3&amp;'Funnel setup'!$K$4&amp;'Funnel setup'!$K$5,".",IF(A17=".",1,A17+1))</f>
        <v>.</v>
      </c>
      <c r="B18" s="431" t="str">
        <f t="shared" si="0"/>
        <v>Groin HerniaCCG of GP PracticeNHS BLACKPOOL CCG (00R)EQ VAS</v>
      </c>
      <c r="C18" t="s">
        <v>50</v>
      </c>
      <c r="D18" t="s">
        <v>87</v>
      </c>
      <c r="E18" t="s">
        <v>607</v>
      </c>
      <c r="F18" t="s">
        <v>608</v>
      </c>
      <c r="G18" t="s">
        <v>179</v>
      </c>
      <c r="H18">
        <v>25</v>
      </c>
      <c r="I18">
        <v>81.84</v>
      </c>
      <c r="J18">
        <v>75.599999999999994</v>
      </c>
      <c r="K18">
        <v>-6.24</v>
      </c>
      <c r="L18">
        <v>8</v>
      </c>
      <c r="M18">
        <v>5</v>
      </c>
      <c r="N18">
        <v>12</v>
      </c>
      <c r="O18" t="s">
        <v>53</v>
      </c>
      <c r="P18" t="s">
        <v>53</v>
      </c>
      <c r="Q18" t="s">
        <v>53</v>
      </c>
    </row>
    <row r="19" spans="1:17" s="30" customFormat="1" x14ac:dyDescent="0.2">
      <c r="A19" s="30" t="str">
        <f>IF(C19&amp;G19&amp;D19&lt;&gt;'Funnel setup'!$K$3&amp;'Funnel setup'!$K$4&amp;'Funnel setup'!$K$5,".",IF(A18=".",1,A18+1))</f>
        <v>.</v>
      </c>
      <c r="B19" s="431" t="str">
        <f t="shared" si="0"/>
        <v>Groin HerniaCCG of GP PracticeNHS BOLTON CCG (00T)EQ VAS</v>
      </c>
      <c r="C19" t="s">
        <v>50</v>
      </c>
      <c r="D19" t="s">
        <v>87</v>
      </c>
      <c r="E19" t="s">
        <v>683</v>
      </c>
      <c r="F19" t="s">
        <v>684</v>
      </c>
      <c r="G19" t="s">
        <v>179</v>
      </c>
      <c r="H19">
        <v>148</v>
      </c>
      <c r="I19">
        <v>82.182000000000002</v>
      </c>
      <c r="J19">
        <v>81.094999999999999</v>
      </c>
      <c r="K19">
        <v>-1.0880000000000001</v>
      </c>
      <c r="L19">
        <v>55</v>
      </c>
      <c r="M19">
        <v>28</v>
      </c>
      <c r="N19">
        <v>65</v>
      </c>
      <c r="O19">
        <v>80.766999999999996</v>
      </c>
      <c r="P19">
        <v>0.121513628</v>
      </c>
      <c r="Q19">
        <v>11.676</v>
      </c>
    </row>
    <row r="20" spans="1:17" s="30" customFormat="1" x14ac:dyDescent="0.2">
      <c r="A20" s="30" t="str">
        <f>IF(C20&amp;G20&amp;D20&lt;&gt;'Funnel setup'!$K$3&amp;'Funnel setup'!$K$4&amp;'Funnel setup'!$K$5,".",IF(A19=".",1,A19+1))</f>
        <v>.</v>
      </c>
      <c r="B20" s="431" t="str">
        <f t="shared" si="0"/>
        <v>Groin HerniaCCG of GP PracticeNHS BRACKNELL AND ASCOT CCG (10G)EQ VAS</v>
      </c>
      <c r="C20" t="s">
        <v>50</v>
      </c>
      <c r="D20" t="s">
        <v>87</v>
      </c>
      <c r="E20" t="s">
        <v>686</v>
      </c>
      <c r="F20" t="s">
        <v>687</v>
      </c>
      <c r="G20" t="s">
        <v>179</v>
      </c>
      <c r="H20">
        <v>47</v>
      </c>
      <c r="I20">
        <v>78.83</v>
      </c>
      <c r="J20">
        <v>75.66</v>
      </c>
      <c r="K20">
        <v>-3.17</v>
      </c>
      <c r="L20">
        <v>16</v>
      </c>
      <c r="M20">
        <v>8</v>
      </c>
      <c r="N20">
        <v>23</v>
      </c>
      <c r="O20">
        <v>76.195999999999998</v>
      </c>
      <c r="P20">
        <v>-4.4495540580000004</v>
      </c>
      <c r="Q20">
        <v>12.839</v>
      </c>
    </row>
    <row r="21" spans="1:17" s="30" customFormat="1" x14ac:dyDescent="0.2">
      <c r="A21" s="30" t="str">
        <f>IF(C21&amp;G21&amp;D21&lt;&gt;'Funnel setup'!$K$3&amp;'Funnel setup'!$K$4&amp;'Funnel setup'!$K$5,".",IF(A20=".",1,A20+1))</f>
        <v>.</v>
      </c>
      <c r="B21" s="431" t="str">
        <f t="shared" si="0"/>
        <v>Groin HerniaCCG of GP PracticeNHS BRADFORD CITY CCG (02W)EQ VAS</v>
      </c>
      <c r="C21" t="s">
        <v>50</v>
      </c>
      <c r="D21" t="s">
        <v>87</v>
      </c>
      <c r="E21" t="s">
        <v>689</v>
      </c>
      <c r="F21" t="s">
        <v>690</v>
      </c>
      <c r="G21" t="s">
        <v>179</v>
      </c>
      <c r="H21">
        <v>10</v>
      </c>
      <c r="I21">
        <v>72</v>
      </c>
      <c r="J21">
        <v>73.7</v>
      </c>
      <c r="K21">
        <v>1.7</v>
      </c>
      <c r="L21">
        <v>3</v>
      </c>
      <c r="M21">
        <v>5</v>
      </c>
      <c r="N21">
        <v>2</v>
      </c>
      <c r="O21" t="s">
        <v>53</v>
      </c>
      <c r="P21" t="s">
        <v>53</v>
      </c>
      <c r="Q21" t="s">
        <v>53</v>
      </c>
    </row>
    <row r="22" spans="1:17" s="30" customFormat="1" x14ac:dyDescent="0.2">
      <c r="A22" s="30" t="str">
        <f>IF(C22&amp;G22&amp;D22&lt;&gt;'Funnel setup'!$K$3&amp;'Funnel setup'!$K$4&amp;'Funnel setup'!$K$5,".",IF(A21=".",1,A21+1))</f>
        <v>.</v>
      </c>
      <c r="B22" s="431" t="str">
        <f t="shared" si="0"/>
        <v>Groin HerniaCCG of GP PracticeNHS BRADFORD DISTRICTS CCG (02R)EQ VAS</v>
      </c>
      <c r="C22" t="s">
        <v>50</v>
      </c>
      <c r="D22" t="s">
        <v>87</v>
      </c>
      <c r="E22" t="s">
        <v>692</v>
      </c>
      <c r="F22" t="s">
        <v>693</v>
      </c>
      <c r="G22" t="s">
        <v>179</v>
      </c>
      <c r="H22">
        <v>90</v>
      </c>
      <c r="I22">
        <v>77.944000000000003</v>
      </c>
      <c r="J22">
        <v>77.921999999999997</v>
      </c>
      <c r="K22">
        <v>-2.1999999999999999E-2</v>
      </c>
      <c r="L22">
        <v>32</v>
      </c>
      <c r="M22">
        <v>18</v>
      </c>
      <c r="N22">
        <v>40</v>
      </c>
      <c r="O22">
        <v>80.337999999999994</v>
      </c>
      <c r="P22">
        <v>-0.30698723900000002</v>
      </c>
      <c r="Q22">
        <v>14.202</v>
      </c>
    </row>
    <row r="23" spans="1:17" s="30" customFormat="1" x14ac:dyDescent="0.2">
      <c r="A23" s="30" t="str">
        <f>IF(C23&amp;G23&amp;D23&lt;&gt;'Funnel setup'!$K$3&amp;'Funnel setup'!$K$4&amp;'Funnel setup'!$K$5,".",IF(A22=".",1,A22+1))</f>
        <v>.</v>
      </c>
      <c r="B23" s="431" t="str">
        <f t="shared" si="0"/>
        <v>Groin HerniaCCG of GP PracticeNHS BRENT CCG (07P)EQ VAS</v>
      </c>
      <c r="C23" t="s">
        <v>50</v>
      </c>
      <c r="D23" t="s">
        <v>87</v>
      </c>
      <c r="E23" t="s">
        <v>695</v>
      </c>
      <c r="F23" t="s">
        <v>696</v>
      </c>
      <c r="G23" t="s">
        <v>179</v>
      </c>
      <c r="H23">
        <v>24</v>
      </c>
      <c r="I23">
        <v>80.207999999999998</v>
      </c>
      <c r="J23">
        <v>78.5</v>
      </c>
      <c r="K23">
        <v>-1.708</v>
      </c>
      <c r="L23">
        <v>9</v>
      </c>
      <c r="M23">
        <v>6</v>
      </c>
      <c r="N23">
        <v>9</v>
      </c>
      <c r="O23" t="s">
        <v>53</v>
      </c>
      <c r="P23" t="s">
        <v>53</v>
      </c>
      <c r="Q23" t="s">
        <v>53</v>
      </c>
    </row>
    <row r="24" spans="1:17" s="30" customFormat="1" x14ac:dyDescent="0.2">
      <c r="A24" s="30" t="str">
        <f>IF(C24&amp;G24&amp;D24&lt;&gt;'Funnel setup'!$K$3&amp;'Funnel setup'!$K$4&amp;'Funnel setup'!$K$5,".",IF(A23=".",1,A23+1))</f>
        <v>.</v>
      </c>
      <c r="B24" s="431" t="str">
        <f t="shared" si="0"/>
        <v>Groin HerniaCCG of GP PracticeNHS BRIGHTON AND HOVE CCG (09D)EQ VAS</v>
      </c>
      <c r="C24" t="s">
        <v>50</v>
      </c>
      <c r="D24" t="s">
        <v>87</v>
      </c>
      <c r="E24" t="s">
        <v>698</v>
      </c>
      <c r="F24" t="s">
        <v>699</v>
      </c>
      <c r="G24" t="s">
        <v>179</v>
      </c>
      <c r="H24">
        <v>125</v>
      </c>
      <c r="I24">
        <v>80.56</v>
      </c>
      <c r="J24">
        <v>79.656000000000006</v>
      </c>
      <c r="K24">
        <v>-0.90400000000000003</v>
      </c>
      <c r="L24">
        <v>45</v>
      </c>
      <c r="M24">
        <v>20</v>
      </c>
      <c r="N24">
        <v>60</v>
      </c>
      <c r="O24">
        <v>79.766999999999996</v>
      </c>
      <c r="P24">
        <v>-0.87826233799999998</v>
      </c>
      <c r="Q24">
        <v>10.326000000000001</v>
      </c>
    </row>
    <row r="25" spans="1:17" s="30" customFormat="1" x14ac:dyDescent="0.2">
      <c r="A25" s="30" t="str">
        <f>IF(C25&amp;G25&amp;D25&lt;&gt;'Funnel setup'!$K$3&amp;'Funnel setup'!$K$4&amp;'Funnel setup'!$K$5,".",IF(A24=".",1,A24+1))</f>
        <v>.</v>
      </c>
      <c r="B25" s="431" t="str">
        <f t="shared" si="0"/>
        <v>Groin HerniaCCG of GP PracticeNHS BRISTOL CCG (11H)EQ VAS</v>
      </c>
      <c r="C25" t="s">
        <v>50</v>
      </c>
      <c r="D25" t="s">
        <v>87</v>
      </c>
      <c r="E25" t="s">
        <v>701</v>
      </c>
      <c r="F25" t="s">
        <v>702</v>
      </c>
      <c r="G25" t="s">
        <v>179</v>
      </c>
      <c r="H25">
        <v>89</v>
      </c>
      <c r="I25">
        <v>78.572999999999993</v>
      </c>
      <c r="J25">
        <v>78.763999999999996</v>
      </c>
      <c r="K25">
        <v>0.191</v>
      </c>
      <c r="L25">
        <v>37</v>
      </c>
      <c r="M25">
        <v>18</v>
      </c>
      <c r="N25">
        <v>34</v>
      </c>
      <c r="O25">
        <v>79.817999999999998</v>
      </c>
      <c r="P25">
        <v>-0.82693922399999997</v>
      </c>
      <c r="Q25">
        <v>12.468</v>
      </c>
    </row>
    <row r="26" spans="1:17" s="30" customFormat="1" x14ac:dyDescent="0.2">
      <c r="A26" s="30" t="str">
        <f>IF(C26&amp;G26&amp;D26&lt;&gt;'Funnel setup'!$K$3&amp;'Funnel setup'!$K$4&amp;'Funnel setup'!$K$5,".",IF(A25=".",1,A25+1))</f>
        <v>.</v>
      </c>
      <c r="B26" s="431" t="str">
        <f t="shared" si="0"/>
        <v>Groin HerniaCCG of GP PracticeNHS BROMLEY CCG (07Q)EQ VAS</v>
      </c>
      <c r="C26" t="s">
        <v>50</v>
      </c>
      <c r="D26" t="s">
        <v>87</v>
      </c>
      <c r="E26" t="s">
        <v>704</v>
      </c>
      <c r="F26" t="s">
        <v>705</v>
      </c>
      <c r="G26" t="s">
        <v>179</v>
      </c>
      <c r="H26">
        <v>52</v>
      </c>
      <c r="I26">
        <v>81.153999999999996</v>
      </c>
      <c r="J26">
        <v>79.058000000000007</v>
      </c>
      <c r="K26">
        <v>-2.0960000000000001</v>
      </c>
      <c r="L26">
        <v>12</v>
      </c>
      <c r="M26">
        <v>16</v>
      </c>
      <c r="N26">
        <v>24</v>
      </c>
      <c r="O26">
        <v>79.998000000000005</v>
      </c>
      <c r="P26">
        <v>-0.64743887600000005</v>
      </c>
      <c r="Q26">
        <v>11.286</v>
      </c>
    </row>
    <row r="27" spans="1:17" s="30" customFormat="1" x14ac:dyDescent="0.2">
      <c r="A27" s="30" t="str">
        <f>IF(C27&amp;G27&amp;D27&lt;&gt;'Funnel setup'!$K$3&amp;'Funnel setup'!$K$4&amp;'Funnel setup'!$K$5,".",IF(A26=".",1,A26+1))</f>
        <v>.</v>
      </c>
      <c r="B27" s="431" t="str">
        <f t="shared" si="0"/>
        <v>Groin HerniaCCG of GP PracticeNHS BURY CCG (00V)EQ VAS</v>
      </c>
      <c r="C27" t="s">
        <v>50</v>
      </c>
      <c r="D27" t="s">
        <v>87</v>
      </c>
      <c r="E27" t="s">
        <v>707</v>
      </c>
      <c r="F27" t="s">
        <v>708</v>
      </c>
      <c r="G27" t="s">
        <v>179</v>
      </c>
      <c r="H27">
        <v>48</v>
      </c>
      <c r="I27">
        <v>82.146000000000001</v>
      </c>
      <c r="J27">
        <v>80.332999999999998</v>
      </c>
      <c r="K27">
        <v>-1.8129999999999999</v>
      </c>
      <c r="L27">
        <v>16</v>
      </c>
      <c r="M27">
        <v>12</v>
      </c>
      <c r="N27">
        <v>20</v>
      </c>
      <c r="O27">
        <v>80.320999999999998</v>
      </c>
      <c r="P27">
        <v>-0.32423798799999998</v>
      </c>
      <c r="Q27">
        <v>11.666</v>
      </c>
    </row>
    <row r="28" spans="1:17" s="30" customFormat="1" x14ac:dyDescent="0.2">
      <c r="A28" s="30" t="str">
        <f>IF(C28&amp;G28&amp;D28&lt;&gt;'Funnel setup'!$K$3&amp;'Funnel setup'!$K$4&amp;'Funnel setup'!$K$5,".",IF(A27=".",1,A27+1))</f>
        <v>.</v>
      </c>
      <c r="B28" s="431" t="str">
        <f t="shared" si="0"/>
        <v>Groin HerniaCCG of GP PracticeNHS CALDERDALE CCG (02T)EQ VAS</v>
      </c>
      <c r="C28" t="s">
        <v>50</v>
      </c>
      <c r="D28" t="s">
        <v>87</v>
      </c>
      <c r="E28" t="s">
        <v>710</v>
      </c>
      <c r="F28" t="s">
        <v>711</v>
      </c>
      <c r="G28" t="s">
        <v>179</v>
      </c>
      <c r="H28">
        <v>106</v>
      </c>
      <c r="I28">
        <v>82.406000000000006</v>
      </c>
      <c r="J28">
        <v>83.442999999999998</v>
      </c>
      <c r="K28">
        <v>1.038</v>
      </c>
      <c r="L28">
        <v>45</v>
      </c>
      <c r="M28">
        <v>20</v>
      </c>
      <c r="N28">
        <v>41</v>
      </c>
      <c r="O28">
        <v>81.838999999999999</v>
      </c>
      <c r="P28">
        <v>1.193477315</v>
      </c>
      <c r="Q28">
        <v>12.537000000000001</v>
      </c>
    </row>
    <row r="29" spans="1:17" s="30" customFormat="1" x14ac:dyDescent="0.2">
      <c r="A29" s="30" t="str">
        <f>IF(C29&amp;G29&amp;D29&lt;&gt;'Funnel setup'!$K$3&amp;'Funnel setup'!$K$4&amp;'Funnel setup'!$K$5,".",IF(A28=".",1,A28+1))</f>
        <v>.</v>
      </c>
      <c r="B29" s="431" t="str">
        <f t="shared" si="0"/>
        <v>Groin HerniaCCG of GP PracticeNHS CAMBRIDGESHIRE AND PETERBOROUGH CCG (06H)EQ VAS</v>
      </c>
      <c r="C29" t="s">
        <v>50</v>
      </c>
      <c r="D29" t="s">
        <v>87</v>
      </c>
      <c r="E29" t="s">
        <v>713</v>
      </c>
      <c r="F29" t="s">
        <v>714</v>
      </c>
      <c r="G29" t="s">
        <v>179</v>
      </c>
      <c r="H29">
        <v>372</v>
      </c>
      <c r="I29">
        <v>80.909000000000006</v>
      </c>
      <c r="J29">
        <v>80.254999999999995</v>
      </c>
      <c r="K29">
        <v>-0.65300000000000002</v>
      </c>
      <c r="L29">
        <v>135</v>
      </c>
      <c r="M29">
        <v>72</v>
      </c>
      <c r="N29">
        <v>165</v>
      </c>
      <c r="O29">
        <v>79.799000000000007</v>
      </c>
      <c r="P29">
        <v>-0.84639953400000001</v>
      </c>
      <c r="Q29">
        <v>12.823</v>
      </c>
    </row>
    <row r="30" spans="1:17" s="30" customFormat="1" x14ac:dyDescent="0.2">
      <c r="A30" s="30" t="str">
        <f>IF(C30&amp;G30&amp;D30&lt;&gt;'Funnel setup'!$K$3&amp;'Funnel setup'!$K$4&amp;'Funnel setup'!$K$5,".",IF(A29=".",1,A29+1))</f>
        <v>.</v>
      </c>
      <c r="B30" s="431" t="str">
        <f t="shared" si="0"/>
        <v>Groin HerniaCCG of GP PracticeNHS CAMDEN CCG (07R)EQ VAS</v>
      </c>
      <c r="C30" t="s">
        <v>50</v>
      </c>
      <c r="D30" t="s">
        <v>87</v>
      </c>
      <c r="E30" t="s">
        <v>716</v>
      </c>
      <c r="F30" t="s">
        <v>717</v>
      </c>
      <c r="G30" t="s">
        <v>179</v>
      </c>
      <c r="H30">
        <v>20</v>
      </c>
      <c r="I30">
        <v>82.8</v>
      </c>
      <c r="J30">
        <v>82.1</v>
      </c>
      <c r="K30">
        <v>-0.7</v>
      </c>
      <c r="L30">
        <v>8</v>
      </c>
      <c r="M30">
        <v>4</v>
      </c>
      <c r="N30">
        <v>8</v>
      </c>
      <c r="O30" t="s">
        <v>53</v>
      </c>
      <c r="P30" t="s">
        <v>53</v>
      </c>
      <c r="Q30" t="s">
        <v>53</v>
      </c>
    </row>
    <row r="31" spans="1:17" s="30" customFormat="1" x14ac:dyDescent="0.2">
      <c r="A31" s="30" t="str">
        <f>IF(C31&amp;G31&amp;D31&lt;&gt;'Funnel setup'!$K$3&amp;'Funnel setup'!$K$4&amp;'Funnel setup'!$K$5,".",IF(A30=".",1,A30+1))</f>
        <v>.</v>
      </c>
      <c r="B31" s="431" t="str">
        <f t="shared" si="0"/>
        <v>Groin HerniaCCG of GP PracticeNHS CANNOCK CHASE CCG (04Y)EQ VAS</v>
      </c>
      <c r="C31" t="s">
        <v>50</v>
      </c>
      <c r="D31" t="s">
        <v>87</v>
      </c>
      <c r="E31" t="s">
        <v>719</v>
      </c>
      <c r="F31" t="s">
        <v>720</v>
      </c>
      <c r="G31" t="s">
        <v>179</v>
      </c>
      <c r="H31">
        <v>66</v>
      </c>
      <c r="I31">
        <v>81.197000000000003</v>
      </c>
      <c r="J31">
        <v>79.438999999999993</v>
      </c>
      <c r="K31">
        <v>-1.758</v>
      </c>
      <c r="L31">
        <v>20</v>
      </c>
      <c r="M31">
        <v>14</v>
      </c>
      <c r="N31">
        <v>32</v>
      </c>
      <c r="O31">
        <v>78.331999999999994</v>
      </c>
      <c r="P31">
        <v>-2.3134796639999999</v>
      </c>
      <c r="Q31">
        <v>13.589</v>
      </c>
    </row>
    <row r="32" spans="1:17" s="30" customFormat="1" x14ac:dyDescent="0.2">
      <c r="A32" s="30" t="str">
        <f>IF(C32&amp;G32&amp;D32&lt;&gt;'Funnel setup'!$K$3&amp;'Funnel setup'!$K$4&amp;'Funnel setup'!$K$5,".",IF(A31=".",1,A31+1))</f>
        <v>.</v>
      </c>
      <c r="B32" s="431" t="str">
        <f t="shared" si="0"/>
        <v>Groin HerniaCCG of GP PracticeNHS CANTERBURY AND COASTAL CCG (09E)EQ VAS</v>
      </c>
      <c r="C32" t="s">
        <v>50</v>
      </c>
      <c r="D32" t="s">
        <v>87</v>
      </c>
      <c r="E32" t="s">
        <v>722</v>
      </c>
      <c r="F32" t="s">
        <v>723</v>
      </c>
      <c r="G32" t="s">
        <v>179</v>
      </c>
      <c r="H32">
        <v>56</v>
      </c>
      <c r="I32">
        <v>79.106999999999999</v>
      </c>
      <c r="J32">
        <v>82.088999999999999</v>
      </c>
      <c r="K32">
        <v>2.9820000000000002</v>
      </c>
      <c r="L32">
        <v>30</v>
      </c>
      <c r="M32">
        <v>5</v>
      </c>
      <c r="N32">
        <v>21</v>
      </c>
      <c r="O32">
        <v>83.007000000000005</v>
      </c>
      <c r="P32">
        <v>2.3613473030000001</v>
      </c>
      <c r="Q32">
        <v>11.577</v>
      </c>
    </row>
    <row r="33" spans="1:17" s="30" customFormat="1" x14ac:dyDescent="0.2">
      <c r="A33" s="30" t="str">
        <f>IF(C33&amp;G33&amp;D33&lt;&gt;'Funnel setup'!$K$3&amp;'Funnel setup'!$K$4&amp;'Funnel setup'!$K$5,".",IF(A32=".",1,A32+1))</f>
        <v>.</v>
      </c>
      <c r="B33" s="431" t="str">
        <f t="shared" si="0"/>
        <v>Groin HerniaCCG of GP PracticeNHS CASTLE POINT AND ROCHFORD CCG (99F)EQ VAS</v>
      </c>
      <c r="C33" t="s">
        <v>50</v>
      </c>
      <c r="D33" t="s">
        <v>87</v>
      </c>
      <c r="E33" t="s">
        <v>725</v>
      </c>
      <c r="F33" t="s">
        <v>726</v>
      </c>
      <c r="G33" t="s">
        <v>179</v>
      </c>
      <c r="H33">
        <v>93</v>
      </c>
      <c r="I33">
        <v>81.236999999999995</v>
      </c>
      <c r="J33">
        <v>81.86</v>
      </c>
      <c r="K33">
        <v>0.624</v>
      </c>
      <c r="L33">
        <v>40</v>
      </c>
      <c r="M33">
        <v>17</v>
      </c>
      <c r="N33">
        <v>36</v>
      </c>
      <c r="O33">
        <v>81.637</v>
      </c>
      <c r="P33">
        <v>0.99116756100000003</v>
      </c>
      <c r="Q33">
        <v>11.473000000000001</v>
      </c>
    </row>
    <row r="34" spans="1:17" s="30" customFormat="1" x14ac:dyDescent="0.2">
      <c r="A34" s="30" t="str">
        <f>IF(C34&amp;G34&amp;D34&lt;&gt;'Funnel setup'!$K$3&amp;'Funnel setup'!$K$4&amp;'Funnel setup'!$K$5,".",IF(A33=".",1,A33+1))</f>
        <v>.</v>
      </c>
      <c r="B34" s="431" t="str">
        <f t="shared" si="0"/>
        <v>Groin HerniaCCG of GP PracticeNHS CENTRAL LONDON (WESTMINSTER) CCG (09A)EQ VAS</v>
      </c>
      <c r="C34" t="s">
        <v>50</v>
      </c>
      <c r="D34" t="s">
        <v>87</v>
      </c>
      <c r="E34" t="s">
        <v>728</v>
      </c>
      <c r="F34" t="s">
        <v>729</v>
      </c>
      <c r="G34" t="s">
        <v>179</v>
      </c>
      <c r="H34">
        <v>16</v>
      </c>
      <c r="I34">
        <v>79.688000000000002</v>
      </c>
      <c r="J34">
        <v>78.125</v>
      </c>
      <c r="K34">
        <v>-1.5629999999999999</v>
      </c>
      <c r="L34">
        <v>5</v>
      </c>
      <c r="M34">
        <v>3</v>
      </c>
      <c r="N34">
        <v>8</v>
      </c>
      <c r="O34" t="s">
        <v>53</v>
      </c>
      <c r="P34" t="s">
        <v>53</v>
      </c>
      <c r="Q34" t="s">
        <v>53</v>
      </c>
    </row>
    <row r="35" spans="1:17" s="30" customFormat="1" x14ac:dyDescent="0.2">
      <c r="A35" s="30" t="str">
        <f>IF(C35&amp;G35&amp;D35&lt;&gt;'Funnel setup'!$K$3&amp;'Funnel setup'!$K$4&amp;'Funnel setup'!$K$5,".",IF(A34=".",1,A34+1))</f>
        <v>.</v>
      </c>
      <c r="B35" s="431" t="str">
        <f t="shared" si="0"/>
        <v>Groin HerniaCCG of GP PracticeNHS CENTRAL MANCHESTER CCG (00W)EQ VAS</v>
      </c>
      <c r="C35" t="s">
        <v>50</v>
      </c>
      <c r="D35" t="s">
        <v>87</v>
      </c>
      <c r="E35" t="s">
        <v>731</v>
      </c>
      <c r="F35" t="s">
        <v>732</v>
      </c>
      <c r="G35" t="s">
        <v>179</v>
      </c>
      <c r="H35">
        <v>16</v>
      </c>
      <c r="I35">
        <v>73.438000000000002</v>
      </c>
      <c r="J35">
        <v>75.625</v>
      </c>
      <c r="K35">
        <v>2.1880000000000002</v>
      </c>
      <c r="L35">
        <v>9</v>
      </c>
      <c r="M35">
        <v>2</v>
      </c>
      <c r="N35">
        <v>5</v>
      </c>
      <c r="O35" t="s">
        <v>53</v>
      </c>
      <c r="P35" t="s">
        <v>53</v>
      </c>
      <c r="Q35" t="s">
        <v>53</v>
      </c>
    </row>
    <row r="36" spans="1:17" s="30" customFormat="1" x14ac:dyDescent="0.2">
      <c r="A36" s="30" t="str">
        <f>IF(C36&amp;G36&amp;D36&lt;&gt;'Funnel setup'!$K$3&amp;'Funnel setup'!$K$4&amp;'Funnel setup'!$K$5,".",IF(A35=".",1,A35+1))</f>
        <v>.</v>
      </c>
      <c r="B36" s="431" t="str">
        <f t="shared" si="0"/>
        <v>Groin HerniaCCG of GP PracticeNHS CHILTERN CCG (10H)EQ VAS</v>
      </c>
      <c r="C36" t="s">
        <v>50</v>
      </c>
      <c r="D36" t="s">
        <v>87</v>
      </c>
      <c r="E36" t="s">
        <v>734</v>
      </c>
      <c r="F36" t="s">
        <v>735</v>
      </c>
      <c r="G36" t="s">
        <v>179</v>
      </c>
      <c r="H36">
        <v>112</v>
      </c>
      <c r="I36">
        <v>79.08</v>
      </c>
      <c r="J36">
        <v>81.83</v>
      </c>
      <c r="K36">
        <v>2.75</v>
      </c>
      <c r="L36">
        <v>50</v>
      </c>
      <c r="M36">
        <v>23</v>
      </c>
      <c r="N36">
        <v>39</v>
      </c>
      <c r="O36">
        <v>82.332999999999998</v>
      </c>
      <c r="P36">
        <v>1.6879366099999999</v>
      </c>
      <c r="Q36">
        <v>11.46</v>
      </c>
    </row>
    <row r="37" spans="1:17" s="30" customFormat="1" x14ac:dyDescent="0.2">
      <c r="A37" s="30" t="str">
        <f>IF(C37&amp;G37&amp;D37&lt;&gt;'Funnel setup'!$K$3&amp;'Funnel setup'!$K$4&amp;'Funnel setup'!$K$5,".",IF(A36=".",1,A36+1))</f>
        <v>.</v>
      </c>
      <c r="B37" s="431" t="str">
        <f t="shared" si="0"/>
        <v>Groin HerniaCCG of GP PracticeNHS CHORLEY AND SOUTH RIBBLE CCG (00X)EQ VAS</v>
      </c>
      <c r="C37" t="s">
        <v>50</v>
      </c>
      <c r="D37" t="s">
        <v>87</v>
      </c>
      <c r="E37" t="s">
        <v>737</v>
      </c>
      <c r="F37" t="s">
        <v>738</v>
      </c>
      <c r="G37" t="s">
        <v>179</v>
      </c>
      <c r="H37">
        <v>117</v>
      </c>
      <c r="I37">
        <v>79.700999999999993</v>
      </c>
      <c r="J37">
        <v>80.41</v>
      </c>
      <c r="K37">
        <v>0.70899999999999996</v>
      </c>
      <c r="L37">
        <v>49</v>
      </c>
      <c r="M37">
        <v>24</v>
      </c>
      <c r="N37">
        <v>44</v>
      </c>
      <c r="O37">
        <v>81.165999999999997</v>
      </c>
      <c r="P37">
        <v>0.52078257699999997</v>
      </c>
      <c r="Q37">
        <v>13.849</v>
      </c>
    </row>
    <row r="38" spans="1:17" s="30" customFormat="1" x14ac:dyDescent="0.2">
      <c r="A38" s="30" t="str">
        <f>IF(C38&amp;G38&amp;D38&lt;&gt;'Funnel setup'!$K$3&amp;'Funnel setup'!$K$4&amp;'Funnel setup'!$K$5,".",IF(A37=".",1,A37+1))</f>
        <v>.</v>
      </c>
      <c r="B38" s="431" t="str">
        <f t="shared" si="0"/>
        <v>Groin HerniaCCG of GP PracticeNHS CITY AND HACKNEY CCG (07T)EQ VAS</v>
      </c>
      <c r="C38" t="s">
        <v>50</v>
      </c>
      <c r="D38" t="s">
        <v>87</v>
      </c>
      <c r="E38" t="s">
        <v>740</v>
      </c>
      <c r="F38" t="s">
        <v>741</v>
      </c>
      <c r="G38" t="s">
        <v>179</v>
      </c>
      <c r="H38">
        <v>23</v>
      </c>
      <c r="I38">
        <v>77.435000000000002</v>
      </c>
      <c r="J38">
        <v>80.391000000000005</v>
      </c>
      <c r="K38">
        <v>2.9569999999999999</v>
      </c>
      <c r="L38">
        <v>10</v>
      </c>
      <c r="M38">
        <v>7</v>
      </c>
      <c r="N38">
        <v>6</v>
      </c>
      <c r="O38" t="s">
        <v>53</v>
      </c>
      <c r="P38" t="s">
        <v>53</v>
      </c>
      <c r="Q38" t="s">
        <v>53</v>
      </c>
    </row>
    <row r="39" spans="1:17" s="30" customFormat="1" x14ac:dyDescent="0.2">
      <c r="A39" s="30" t="str">
        <f>IF(C39&amp;G39&amp;D39&lt;&gt;'Funnel setup'!$K$3&amp;'Funnel setup'!$K$4&amp;'Funnel setup'!$K$5,".",IF(A38=".",1,A38+1))</f>
        <v>.</v>
      </c>
      <c r="B39" s="431" t="str">
        <f t="shared" si="0"/>
        <v>Groin HerniaCCG of GP PracticeNHS COASTAL WEST SUSSEX CCG (09G)EQ VAS</v>
      </c>
      <c r="C39" t="s">
        <v>50</v>
      </c>
      <c r="D39" t="s">
        <v>87</v>
      </c>
      <c r="E39" t="s">
        <v>743</v>
      </c>
      <c r="F39" t="s">
        <v>744</v>
      </c>
      <c r="G39" t="s">
        <v>179</v>
      </c>
      <c r="H39">
        <v>146</v>
      </c>
      <c r="I39">
        <v>78.602999999999994</v>
      </c>
      <c r="J39">
        <v>76.87</v>
      </c>
      <c r="K39">
        <v>-1.7330000000000001</v>
      </c>
      <c r="L39">
        <v>51</v>
      </c>
      <c r="M39">
        <v>26</v>
      </c>
      <c r="N39">
        <v>69</v>
      </c>
      <c r="O39">
        <v>77.522999999999996</v>
      </c>
      <c r="P39">
        <v>-3.1228731139999999</v>
      </c>
      <c r="Q39">
        <v>13.422000000000001</v>
      </c>
    </row>
    <row r="40" spans="1:17" s="30" customFormat="1" x14ac:dyDescent="0.2">
      <c r="A40" s="30" t="str">
        <f>IF(C40&amp;G40&amp;D40&lt;&gt;'Funnel setup'!$K$3&amp;'Funnel setup'!$K$4&amp;'Funnel setup'!$K$5,".",IF(A39=".",1,A39+1))</f>
        <v>.</v>
      </c>
      <c r="B40" s="431" t="str">
        <f t="shared" si="0"/>
        <v>Groin HerniaCCG of GP PracticeNHS CORBY CCG (03V)EQ VAS</v>
      </c>
      <c r="C40" t="s">
        <v>50</v>
      </c>
      <c r="D40" t="s">
        <v>87</v>
      </c>
      <c r="E40" t="s">
        <v>746</v>
      </c>
      <c r="F40" t="s">
        <v>747</v>
      </c>
      <c r="G40" t="s">
        <v>179</v>
      </c>
      <c r="H40">
        <v>16</v>
      </c>
      <c r="I40">
        <v>82.063000000000002</v>
      </c>
      <c r="J40">
        <v>73.625</v>
      </c>
      <c r="K40">
        <v>-8.4380000000000006</v>
      </c>
      <c r="L40">
        <v>5</v>
      </c>
      <c r="M40">
        <v>1</v>
      </c>
      <c r="N40">
        <v>10</v>
      </c>
      <c r="O40" t="s">
        <v>53</v>
      </c>
      <c r="P40" t="s">
        <v>53</v>
      </c>
      <c r="Q40" t="s">
        <v>53</v>
      </c>
    </row>
    <row r="41" spans="1:17" s="30" customFormat="1" x14ac:dyDescent="0.2">
      <c r="A41" s="30" t="str">
        <f>IF(C41&amp;G41&amp;D41&lt;&gt;'Funnel setup'!$K$3&amp;'Funnel setup'!$K$4&amp;'Funnel setup'!$K$5,".",IF(A40=".",1,A40+1))</f>
        <v>.</v>
      </c>
      <c r="B41" s="431" t="str">
        <f t="shared" si="0"/>
        <v>Groin HerniaCCG of GP PracticeNHS COVENTRY AND RUGBY CCG (05A)EQ VAS</v>
      </c>
      <c r="C41" t="s">
        <v>50</v>
      </c>
      <c r="D41" t="s">
        <v>87</v>
      </c>
      <c r="E41" t="s">
        <v>749</v>
      </c>
      <c r="F41" t="s">
        <v>750</v>
      </c>
      <c r="G41" t="s">
        <v>179</v>
      </c>
      <c r="H41">
        <v>53</v>
      </c>
      <c r="I41">
        <v>78.093999999999994</v>
      </c>
      <c r="J41">
        <v>79.509</v>
      </c>
      <c r="K41">
        <v>1.415</v>
      </c>
      <c r="L41">
        <v>26</v>
      </c>
      <c r="M41">
        <v>9</v>
      </c>
      <c r="N41">
        <v>18</v>
      </c>
      <c r="O41">
        <v>80.757000000000005</v>
      </c>
      <c r="P41">
        <v>0.111670375</v>
      </c>
      <c r="Q41">
        <v>12.391</v>
      </c>
    </row>
    <row r="42" spans="1:17" s="30" customFormat="1" x14ac:dyDescent="0.2">
      <c r="A42" s="30" t="str">
        <f>IF(C42&amp;G42&amp;D42&lt;&gt;'Funnel setup'!$K$3&amp;'Funnel setup'!$K$4&amp;'Funnel setup'!$K$5,".",IF(A41=".",1,A41+1))</f>
        <v>.</v>
      </c>
      <c r="B42" s="431" t="str">
        <f t="shared" si="0"/>
        <v>Groin HerniaCCG of GP PracticeNHS CRAWLEY CCG (09H)EQ VAS</v>
      </c>
      <c r="C42" t="s">
        <v>50</v>
      </c>
      <c r="D42" t="s">
        <v>87</v>
      </c>
      <c r="E42" t="s">
        <v>752</v>
      </c>
      <c r="F42" t="s">
        <v>753</v>
      </c>
      <c r="G42" t="s">
        <v>179</v>
      </c>
      <c r="H42">
        <v>50</v>
      </c>
      <c r="I42">
        <v>80.599999999999994</v>
      </c>
      <c r="J42">
        <v>81.94</v>
      </c>
      <c r="K42">
        <v>1.34</v>
      </c>
      <c r="L42">
        <v>23</v>
      </c>
      <c r="M42">
        <v>9</v>
      </c>
      <c r="N42">
        <v>18</v>
      </c>
      <c r="O42">
        <v>80.811000000000007</v>
      </c>
      <c r="P42">
        <v>0.16599360199999999</v>
      </c>
      <c r="Q42">
        <v>12.686</v>
      </c>
    </row>
    <row r="43" spans="1:17" s="30" customFormat="1" x14ac:dyDescent="0.2">
      <c r="A43" s="30" t="str">
        <f>IF(C43&amp;G43&amp;D43&lt;&gt;'Funnel setup'!$K$3&amp;'Funnel setup'!$K$4&amp;'Funnel setup'!$K$5,".",IF(A42=".",1,A42+1))</f>
        <v>.</v>
      </c>
      <c r="B43" s="431" t="str">
        <f t="shared" si="0"/>
        <v>Groin HerniaCCG of GP PracticeNHS CROYDON CCG (07V)EQ VAS</v>
      </c>
      <c r="C43" t="s">
        <v>50</v>
      </c>
      <c r="D43" t="s">
        <v>87</v>
      </c>
      <c r="E43" t="s">
        <v>755</v>
      </c>
      <c r="F43" t="s">
        <v>756</v>
      </c>
      <c r="G43" t="s">
        <v>179</v>
      </c>
      <c r="H43">
        <v>29</v>
      </c>
      <c r="I43">
        <v>77.034000000000006</v>
      </c>
      <c r="J43">
        <v>79.344999999999999</v>
      </c>
      <c r="K43">
        <v>2.31</v>
      </c>
      <c r="L43">
        <v>14</v>
      </c>
      <c r="M43">
        <v>5</v>
      </c>
      <c r="N43">
        <v>10</v>
      </c>
      <c r="O43" t="s">
        <v>53</v>
      </c>
      <c r="P43" t="s">
        <v>53</v>
      </c>
      <c r="Q43" t="s">
        <v>53</v>
      </c>
    </row>
    <row r="44" spans="1:17" s="30" customFormat="1" x14ac:dyDescent="0.2">
      <c r="A44" s="30" t="str">
        <f>IF(C44&amp;G44&amp;D44&lt;&gt;'Funnel setup'!$K$3&amp;'Funnel setup'!$K$4&amp;'Funnel setup'!$K$5,".",IF(A43=".",1,A43+1))</f>
        <v>.</v>
      </c>
      <c r="B44" s="431" t="str">
        <f t="shared" si="0"/>
        <v>Groin HerniaCCG of GP PracticeNHS CUMBRIA CCG (01H)EQ VAS</v>
      </c>
      <c r="C44" t="s">
        <v>50</v>
      </c>
      <c r="D44" t="s">
        <v>87</v>
      </c>
      <c r="E44" t="s">
        <v>758</v>
      </c>
      <c r="F44" t="s">
        <v>759</v>
      </c>
      <c r="G44" t="s">
        <v>179</v>
      </c>
      <c r="H44">
        <v>247</v>
      </c>
      <c r="I44">
        <v>83.052999999999997</v>
      </c>
      <c r="J44">
        <v>78.760999999999996</v>
      </c>
      <c r="K44">
        <v>-4.2910000000000004</v>
      </c>
      <c r="L44">
        <v>74</v>
      </c>
      <c r="M44">
        <v>47</v>
      </c>
      <c r="N44">
        <v>126</v>
      </c>
      <c r="O44">
        <v>77.795000000000002</v>
      </c>
      <c r="P44">
        <v>-2.8508013540000001</v>
      </c>
      <c r="Q44">
        <v>14.728999999999999</v>
      </c>
    </row>
    <row r="45" spans="1:17" s="30" customFormat="1" x14ac:dyDescent="0.2">
      <c r="A45" s="30" t="str">
        <f>IF(C45&amp;G45&amp;D45&lt;&gt;'Funnel setup'!$K$3&amp;'Funnel setup'!$K$4&amp;'Funnel setup'!$K$5,".",IF(A44=".",1,A44+1))</f>
        <v>.</v>
      </c>
      <c r="B45" s="431" t="str">
        <f t="shared" si="0"/>
        <v>Groin HerniaCCG of GP PracticeNHS DARLINGTON CCG (00C)EQ VAS</v>
      </c>
      <c r="C45" t="s">
        <v>50</v>
      </c>
      <c r="D45" t="s">
        <v>87</v>
      </c>
      <c r="E45" t="s">
        <v>761</v>
      </c>
      <c r="F45" t="s">
        <v>762</v>
      </c>
      <c r="G45" t="s">
        <v>179</v>
      </c>
      <c r="H45">
        <v>32</v>
      </c>
      <c r="I45">
        <v>81.438000000000002</v>
      </c>
      <c r="J45">
        <v>79.938000000000002</v>
      </c>
      <c r="K45">
        <v>-1.5</v>
      </c>
      <c r="L45">
        <v>14</v>
      </c>
      <c r="M45">
        <v>4</v>
      </c>
      <c r="N45">
        <v>14</v>
      </c>
      <c r="O45">
        <v>80.876000000000005</v>
      </c>
      <c r="P45">
        <v>0.23039103999999999</v>
      </c>
      <c r="Q45">
        <v>13.048</v>
      </c>
    </row>
    <row r="46" spans="1:17" s="30" customFormat="1" x14ac:dyDescent="0.2">
      <c r="A46" s="30" t="str">
        <f>IF(C46&amp;G46&amp;D46&lt;&gt;'Funnel setup'!$K$3&amp;'Funnel setup'!$K$4&amp;'Funnel setup'!$K$5,".",IF(A45=".",1,A45+1))</f>
        <v>.</v>
      </c>
      <c r="B46" s="431" t="str">
        <f t="shared" si="0"/>
        <v>Groin HerniaCCG of GP PracticeNHS DARTFORD, GRAVESHAM AND SWANLEY CCG (09J)EQ VAS</v>
      </c>
      <c r="C46" t="s">
        <v>50</v>
      </c>
      <c r="D46" t="s">
        <v>87</v>
      </c>
      <c r="E46" t="s">
        <v>764</v>
      </c>
      <c r="F46" t="s">
        <v>765</v>
      </c>
      <c r="G46" t="s">
        <v>179</v>
      </c>
      <c r="H46">
        <v>101</v>
      </c>
      <c r="I46">
        <v>81.762</v>
      </c>
      <c r="J46">
        <v>81.149000000000001</v>
      </c>
      <c r="K46">
        <v>-0.61399999999999999</v>
      </c>
      <c r="L46">
        <v>34</v>
      </c>
      <c r="M46">
        <v>23</v>
      </c>
      <c r="N46">
        <v>44</v>
      </c>
      <c r="O46">
        <v>80.876999999999995</v>
      </c>
      <c r="P46">
        <v>0.23159591900000001</v>
      </c>
      <c r="Q46">
        <v>11.612</v>
      </c>
    </row>
    <row r="47" spans="1:17" s="30" customFormat="1" x14ac:dyDescent="0.2">
      <c r="A47" s="30" t="str">
        <f>IF(C47&amp;G47&amp;D47&lt;&gt;'Funnel setup'!$K$3&amp;'Funnel setup'!$K$4&amp;'Funnel setup'!$K$5,".",IF(A46=".",1,A46+1))</f>
        <v>.</v>
      </c>
      <c r="B47" s="431" t="str">
        <f t="shared" si="0"/>
        <v>Groin HerniaCCG of GP PracticeNHS DONCASTER CCG (02X)EQ VAS</v>
      </c>
      <c r="C47" t="s">
        <v>50</v>
      </c>
      <c r="D47" t="s">
        <v>87</v>
      </c>
      <c r="E47" t="s">
        <v>767</v>
      </c>
      <c r="F47" t="s">
        <v>768</v>
      </c>
      <c r="G47" t="s">
        <v>179</v>
      </c>
      <c r="H47">
        <v>139</v>
      </c>
      <c r="I47">
        <v>80.403000000000006</v>
      </c>
      <c r="J47">
        <v>78.236999999999995</v>
      </c>
      <c r="K47">
        <v>-2.165</v>
      </c>
      <c r="L47">
        <v>45</v>
      </c>
      <c r="M47">
        <v>30</v>
      </c>
      <c r="N47">
        <v>64</v>
      </c>
      <c r="O47">
        <v>78.929000000000002</v>
      </c>
      <c r="P47">
        <v>-1.716780556</v>
      </c>
      <c r="Q47">
        <v>11.88</v>
      </c>
    </row>
    <row r="48" spans="1:17" s="30" customFormat="1" x14ac:dyDescent="0.2">
      <c r="A48" s="30" t="str">
        <f>IF(C48&amp;G48&amp;D48&lt;&gt;'Funnel setup'!$K$3&amp;'Funnel setup'!$K$4&amp;'Funnel setup'!$K$5,".",IF(A47=".",1,A47+1))</f>
        <v>.</v>
      </c>
      <c r="B48" s="431" t="str">
        <f t="shared" si="0"/>
        <v>Groin HerniaCCG of GP PracticeNHS DORSET CCG (11J)EQ VAS</v>
      </c>
      <c r="C48" t="s">
        <v>50</v>
      </c>
      <c r="D48" t="s">
        <v>87</v>
      </c>
      <c r="E48" t="s">
        <v>854</v>
      </c>
      <c r="F48" t="s">
        <v>855</v>
      </c>
      <c r="G48" t="s">
        <v>179</v>
      </c>
      <c r="H48">
        <v>385</v>
      </c>
      <c r="I48">
        <v>80.795000000000002</v>
      </c>
      <c r="J48">
        <v>80.965999999999994</v>
      </c>
      <c r="K48">
        <v>0.17100000000000001</v>
      </c>
      <c r="L48">
        <v>143</v>
      </c>
      <c r="M48">
        <v>88</v>
      </c>
      <c r="N48">
        <v>154</v>
      </c>
      <c r="O48">
        <v>80.3</v>
      </c>
      <c r="P48">
        <v>-0.34556804800000002</v>
      </c>
      <c r="Q48">
        <v>11.766999999999999</v>
      </c>
    </row>
    <row r="49" spans="1:17" s="30" customFormat="1" x14ac:dyDescent="0.2">
      <c r="A49" s="30" t="str">
        <f>IF(C49&amp;G49&amp;D49&lt;&gt;'Funnel setup'!$K$3&amp;'Funnel setup'!$K$4&amp;'Funnel setup'!$K$5,".",IF(A48=".",1,A48+1))</f>
        <v>.</v>
      </c>
      <c r="B49" s="431" t="str">
        <f t="shared" si="0"/>
        <v>Groin HerniaCCG of GP PracticeNHS DUDLEY CCG (05C)EQ VAS</v>
      </c>
      <c r="C49" t="s">
        <v>50</v>
      </c>
      <c r="D49" t="s">
        <v>87</v>
      </c>
      <c r="E49" t="s">
        <v>857</v>
      </c>
      <c r="F49" t="s">
        <v>858</v>
      </c>
      <c r="G49" t="s">
        <v>179</v>
      </c>
      <c r="H49">
        <v>147</v>
      </c>
      <c r="I49">
        <v>82.305999999999997</v>
      </c>
      <c r="J49">
        <v>79.230999999999995</v>
      </c>
      <c r="K49">
        <v>-3.0750000000000002</v>
      </c>
      <c r="L49">
        <v>44</v>
      </c>
      <c r="M49">
        <v>25</v>
      </c>
      <c r="N49">
        <v>78</v>
      </c>
      <c r="O49">
        <v>78.230999999999995</v>
      </c>
      <c r="P49">
        <v>-2.4141884899999999</v>
      </c>
      <c r="Q49">
        <v>11.548</v>
      </c>
    </row>
    <row r="50" spans="1:17" s="30" customFormat="1" x14ac:dyDescent="0.2">
      <c r="A50" s="30" t="str">
        <f>IF(C50&amp;G50&amp;D50&lt;&gt;'Funnel setup'!$K$3&amp;'Funnel setup'!$K$4&amp;'Funnel setup'!$K$5,".",IF(A49=".",1,A49+1))</f>
        <v>.</v>
      </c>
      <c r="B50" s="431" t="str">
        <f t="shared" si="0"/>
        <v>Groin HerniaCCG of GP PracticeNHS DURHAM DALES, EASINGTON AND SEDGEFIELD CCG (00D)EQ VAS</v>
      </c>
      <c r="C50" t="s">
        <v>50</v>
      </c>
      <c r="D50" t="s">
        <v>87</v>
      </c>
      <c r="E50" t="s">
        <v>860</v>
      </c>
      <c r="F50" t="s">
        <v>861</v>
      </c>
      <c r="G50" t="s">
        <v>179</v>
      </c>
      <c r="H50">
        <v>109</v>
      </c>
      <c r="I50">
        <v>81.908000000000001</v>
      </c>
      <c r="J50">
        <v>77.018000000000001</v>
      </c>
      <c r="K50">
        <v>-4.8899999999999997</v>
      </c>
      <c r="L50">
        <v>29</v>
      </c>
      <c r="M50">
        <v>23</v>
      </c>
      <c r="N50">
        <v>57</v>
      </c>
      <c r="O50">
        <v>77.706999999999994</v>
      </c>
      <c r="P50">
        <v>-2.9386709830000002</v>
      </c>
      <c r="Q50">
        <v>13.448</v>
      </c>
    </row>
    <row r="51" spans="1:17" s="30" customFormat="1" x14ac:dyDescent="0.2">
      <c r="A51" s="30" t="str">
        <f>IF(C51&amp;G51&amp;D51&lt;&gt;'Funnel setup'!$K$3&amp;'Funnel setup'!$K$4&amp;'Funnel setup'!$K$5,".",IF(A50=".",1,A50+1))</f>
        <v>.</v>
      </c>
      <c r="B51" s="431" t="str">
        <f t="shared" si="0"/>
        <v>Groin HerniaCCG of GP PracticeNHS EALING CCG (07W)EQ VAS</v>
      </c>
      <c r="C51" t="s">
        <v>50</v>
      </c>
      <c r="D51" t="s">
        <v>87</v>
      </c>
      <c r="E51" t="s">
        <v>863</v>
      </c>
      <c r="F51" t="s">
        <v>864</v>
      </c>
      <c r="G51" t="s">
        <v>179</v>
      </c>
      <c r="H51">
        <v>32</v>
      </c>
      <c r="I51">
        <v>75.593999999999994</v>
      </c>
      <c r="J51">
        <v>75</v>
      </c>
      <c r="K51">
        <v>-0.59399999999999997</v>
      </c>
      <c r="L51">
        <v>13</v>
      </c>
      <c r="M51">
        <v>5</v>
      </c>
      <c r="N51">
        <v>14</v>
      </c>
      <c r="O51">
        <v>78.647999999999996</v>
      </c>
      <c r="P51">
        <v>-1.99738189</v>
      </c>
      <c r="Q51">
        <v>14.875999999999999</v>
      </c>
    </row>
    <row r="52" spans="1:17" s="30" customFormat="1" x14ac:dyDescent="0.2">
      <c r="A52" s="30" t="str">
        <f>IF(C52&amp;G52&amp;D52&lt;&gt;'Funnel setup'!$K$3&amp;'Funnel setup'!$K$4&amp;'Funnel setup'!$K$5,".",IF(A51=".",1,A51+1))</f>
        <v>.</v>
      </c>
      <c r="B52" s="431" t="str">
        <f t="shared" si="0"/>
        <v>Groin HerniaCCG of GP PracticeNHS EAST AND NORTH HERTFORDSHIRE CCG (06K)EQ VAS</v>
      </c>
      <c r="C52" t="s">
        <v>50</v>
      </c>
      <c r="D52" t="s">
        <v>87</v>
      </c>
      <c r="E52" t="s">
        <v>866</v>
      </c>
      <c r="F52" t="s">
        <v>867</v>
      </c>
      <c r="G52" t="s">
        <v>179</v>
      </c>
      <c r="H52">
        <v>187</v>
      </c>
      <c r="I52">
        <v>81.341999999999999</v>
      </c>
      <c r="J52">
        <v>80.706000000000003</v>
      </c>
      <c r="K52">
        <v>-0.63600000000000001</v>
      </c>
      <c r="L52">
        <v>68</v>
      </c>
      <c r="M52">
        <v>40</v>
      </c>
      <c r="N52">
        <v>79</v>
      </c>
      <c r="O52">
        <v>79.680000000000007</v>
      </c>
      <c r="P52">
        <v>-0.965716884</v>
      </c>
      <c r="Q52">
        <v>11.743</v>
      </c>
    </row>
    <row r="53" spans="1:17" s="30" customFormat="1" x14ac:dyDescent="0.2">
      <c r="A53" s="30" t="str">
        <f>IF(C53&amp;G53&amp;D53&lt;&gt;'Funnel setup'!$K$3&amp;'Funnel setup'!$K$4&amp;'Funnel setup'!$K$5,".",IF(A52=".",1,A52+1))</f>
        <v>.</v>
      </c>
      <c r="B53" s="431" t="str">
        <f t="shared" si="0"/>
        <v>Groin HerniaCCG of GP PracticeNHS EAST LANCASHIRE CCG (01A)EQ VAS</v>
      </c>
      <c r="C53" t="s">
        <v>50</v>
      </c>
      <c r="D53" t="s">
        <v>87</v>
      </c>
      <c r="E53" t="s">
        <v>869</v>
      </c>
      <c r="F53" t="s">
        <v>870</v>
      </c>
      <c r="G53" t="s">
        <v>179</v>
      </c>
      <c r="H53">
        <v>198</v>
      </c>
      <c r="I53">
        <v>79.864000000000004</v>
      </c>
      <c r="J53">
        <v>79.763000000000005</v>
      </c>
      <c r="K53">
        <v>-0.10100000000000001</v>
      </c>
      <c r="L53">
        <v>75</v>
      </c>
      <c r="M53">
        <v>53</v>
      </c>
      <c r="N53">
        <v>70</v>
      </c>
      <c r="O53">
        <v>81.272000000000006</v>
      </c>
      <c r="P53">
        <v>0.62686636100000004</v>
      </c>
      <c r="Q53">
        <v>11.79</v>
      </c>
    </row>
    <row r="54" spans="1:17" s="30" customFormat="1" x14ac:dyDescent="0.2">
      <c r="A54" s="30" t="str">
        <f>IF(C54&amp;G54&amp;D54&lt;&gt;'Funnel setup'!$K$3&amp;'Funnel setup'!$K$4&amp;'Funnel setup'!$K$5,".",IF(A53=".",1,A53+1))</f>
        <v>.</v>
      </c>
      <c r="B54" s="431" t="str">
        <f t="shared" si="0"/>
        <v>Groin HerniaCCG of GP PracticeNHS EAST LEICESTERSHIRE AND RUTLAND CCG (03W)EQ VAS</v>
      </c>
      <c r="C54" t="s">
        <v>50</v>
      </c>
      <c r="D54" t="s">
        <v>87</v>
      </c>
      <c r="E54" t="s">
        <v>872</v>
      </c>
      <c r="F54" t="s">
        <v>873</v>
      </c>
      <c r="G54" t="s">
        <v>179</v>
      </c>
      <c r="H54">
        <v>149</v>
      </c>
      <c r="I54">
        <v>82.066999999999993</v>
      </c>
      <c r="J54">
        <v>81.314999999999998</v>
      </c>
      <c r="K54">
        <v>-0.752</v>
      </c>
      <c r="L54">
        <v>54</v>
      </c>
      <c r="M54">
        <v>32</v>
      </c>
      <c r="N54">
        <v>63</v>
      </c>
      <c r="O54">
        <v>80.141999999999996</v>
      </c>
      <c r="P54">
        <v>-0.50317251299999999</v>
      </c>
      <c r="Q54">
        <v>11.256</v>
      </c>
    </row>
    <row r="55" spans="1:17" s="30" customFormat="1" x14ac:dyDescent="0.2">
      <c r="A55" s="30" t="str">
        <f>IF(C55&amp;G55&amp;D55&lt;&gt;'Funnel setup'!$K$3&amp;'Funnel setup'!$K$4&amp;'Funnel setup'!$K$5,".",IF(A54=".",1,A54+1))</f>
        <v>.</v>
      </c>
      <c r="B55" s="431" t="str">
        <f t="shared" si="0"/>
        <v>Groin HerniaCCG of GP PracticeNHS EAST RIDING OF YORKSHIRE CCG (02Y)EQ VAS</v>
      </c>
      <c r="C55" t="s">
        <v>50</v>
      </c>
      <c r="D55" t="s">
        <v>87</v>
      </c>
      <c r="E55" t="s">
        <v>875</v>
      </c>
      <c r="F55" t="s">
        <v>876</v>
      </c>
      <c r="G55" t="s">
        <v>179</v>
      </c>
      <c r="H55">
        <v>238</v>
      </c>
      <c r="I55">
        <v>79.798000000000002</v>
      </c>
      <c r="J55">
        <v>79.272999999999996</v>
      </c>
      <c r="K55">
        <v>-0.52500000000000002</v>
      </c>
      <c r="L55">
        <v>97</v>
      </c>
      <c r="M55">
        <v>47</v>
      </c>
      <c r="N55">
        <v>94</v>
      </c>
      <c r="O55">
        <v>79.694000000000003</v>
      </c>
      <c r="P55">
        <v>-0.95139267100000002</v>
      </c>
      <c r="Q55">
        <v>12.845000000000001</v>
      </c>
    </row>
    <row r="56" spans="1:17" s="30" customFormat="1" x14ac:dyDescent="0.2">
      <c r="A56" s="30" t="str">
        <f>IF(C56&amp;G56&amp;D56&lt;&gt;'Funnel setup'!$K$3&amp;'Funnel setup'!$K$4&amp;'Funnel setup'!$K$5,".",IF(A55=".",1,A55+1))</f>
        <v>.</v>
      </c>
      <c r="B56" s="431" t="str">
        <f t="shared" si="0"/>
        <v>Groin HerniaCCG of GP PracticeNHS EAST STAFFORDSHIRE CCG (05D)EQ VAS</v>
      </c>
      <c r="C56" t="s">
        <v>50</v>
      </c>
      <c r="D56" t="s">
        <v>87</v>
      </c>
      <c r="E56" t="s">
        <v>878</v>
      </c>
      <c r="F56" t="s">
        <v>879</v>
      </c>
      <c r="G56" t="s">
        <v>179</v>
      </c>
      <c r="H56">
        <v>71</v>
      </c>
      <c r="I56">
        <v>84.760999999999996</v>
      </c>
      <c r="J56">
        <v>82.576999999999998</v>
      </c>
      <c r="K56">
        <v>-2.1829999999999998</v>
      </c>
      <c r="L56">
        <v>24</v>
      </c>
      <c r="M56">
        <v>19</v>
      </c>
      <c r="N56">
        <v>28</v>
      </c>
      <c r="O56">
        <v>79.558000000000007</v>
      </c>
      <c r="P56">
        <v>-1.087746589</v>
      </c>
      <c r="Q56">
        <v>15.891999999999999</v>
      </c>
    </row>
    <row r="57" spans="1:17" s="30" customFormat="1" x14ac:dyDescent="0.2">
      <c r="A57" s="30" t="str">
        <f>IF(C57&amp;G57&amp;D57&lt;&gt;'Funnel setup'!$K$3&amp;'Funnel setup'!$K$4&amp;'Funnel setup'!$K$5,".",IF(A56=".",1,A56+1))</f>
        <v>.</v>
      </c>
      <c r="B57" s="431" t="str">
        <f t="shared" si="0"/>
        <v>Groin HerniaCCG of GP PracticeNHS EAST SURREY CCG (09L)EQ VAS</v>
      </c>
      <c r="C57" t="s">
        <v>50</v>
      </c>
      <c r="D57" t="s">
        <v>87</v>
      </c>
      <c r="E57" t="s">
        <v>881</v>
      </c>
      <c r="F57" t="s">
        <v>882</v>
      </c>
      <c r="G57" t="s">
        <v>179</v>
      </c>
      <c r="H57">
        <v>76</v>
      </c>
      <c r="I57">
        <v>82.421000000000006</v>
      </c>
      <c r="J57">
        <v>80.632000000000005</v>
      </c>
      <c r="K57">
        <v>-1.7889999999999999</v>
      </c>
      <c r="L57">
        <v>23</v>
      </c>
      <c r="M57">
        <v>15</v>
      </c>
      <c r="N57">
        <v>38</v>
      </c>
      <c r="O57">
        <v>78.620999999999995</v>
      </c>
      <c r="P57">
        <v>-2.024305891</v>
      </c>
      <c r="Q57">
        <v>11.554</v>
      </c>
    </row>
    <row r="58" spans="1:17" s="30" customFormat="1" x14ac:dyDescent="0.2">
      <c r="A58" s="30" t="str">
        <f>IF(C58&amp;G58&amp;D58&lt;&gt;'Funnel setup'!$K$3&amp;'Funnel setup'!$K$4&amp;'Funnel setup'!$K$5,".",IF(A57=".",1,A57+1))</f>
        <v>.</v>
      </c>
      <c r="B58" s="431" t="str">
        <f t="shared" si="0"/>
        <v>Groin HerniaCCG of GP PracticeNHS EASTBOURNE, HAILSHAM AND SEAFORD CCG (09F)EQ VAS</v>
      </c>
      <c r="C58" t="s">
        <v>50</v>
      </c>
      <c r="D58" t="s">
        <v>87</v>
      </c>
      <c r="E58" t="s">
        <v>884</v>
      </c>
      <c r="F58" t="s">
        <v>885</v>
      </c>
      <c r="G58" t="s">
        <v>179</v>
      </c>
      <c r="H58">
        <v>50</v>
      </c>
      <c r="I58">
        <v>79.14</v>
      </c>
      <c r="J58">
        <v>78.84</v>
      </c>
      <c r="K58">
        <v>-0.3</v>
      </c>
      <c r="L58">
        <v>23</v>
      </c>
      <c r="M58">
        <v>10</v>
      </c>
      <c r="N58">
        <v>17</v>
      </c>
      <c r="O58">
        <v>80.326999999999998</v>
      </c>
      <c r="P58">
        <v>-0.318388693</v>
      </c>
      <c r="Q58">
        <v>13.234</v>
      </c>
    </row>
    <row r="59" spans="1:17" s="30" customFormat="1" x14ac:dyDescent="0.2">
      <c r="A59" s="30" t="str">
        <f>IF(C59&amp;G59&amp;D59&lt;&gt;'Funnel setup'!$K$3&amp;'Funnel setup'!$K$4&amp;'Funnel setup'!$K$5,".",IF(A58=".",1,A58+1))</f>
        <v>.</v>
      </c>
      <c r="B59" s="431" t="str">
        <f t="shared" si="0"/>
        <v>Groin HerniaCCG of GP PracticeNHS EASTERN CHESHIRE CCG (01C)EQ VAS</v>
      </c>
      <c r="C59" t="s">
        <v>50</v>
      </c>
      <c r="D59" t="s">
        <v>87</v>
      </c>
      <c r="E59" t="s">
        <v>887</v>
      </c>
      <c r="F59" t="s">
        <v>888</v>
      </c>
      <c r="G59" t="s">
        <v>179</v>
      </c>
      <c r="H59">
        <v>95</v>
      </c>
      <c r="I59">
        <v>78.084000000000003</v>
      </c>
      <c r="J59">
        <v>78.337000000000003</v>
      </c>
      <c r="K59">
        <v>0.253</v>
      </c>
      <c r="L59">
        <v>43</v>
      </c>
      <c r="M59">
        <v>19</v>
      </c>
      <c r="N59">
        <v>33</v>
      </c>
      <c r="O59">
        <v>80.260000000000005</v>
      </c>
      <c r="P59">
        <v>-0.38568697299999999</v>
      </c>
      <c r="Q59">
        <v>11.968999999999999</v>
      </c>
    </row>
    <row r="60" spans="1:17" s="30" customFormat="1" x14ac:dyDescent="0.2">
      <c r="A60" s="30" t="str">
        <f>IF(C60&amp;G60&amp;D60&lt;&gt;'Funnel setup'!$K$3&amp;'Funnel setup'!$K$4&amp;'Funnel setup'!$K$5,".",IF(A59=".",1,A59+1))</f>
        <v>.</v>
      </c>
      <c r="B60" s="431" t="str">
        <f t="shared" si="0"/>
        <v>Groin HerniaCCG of GP PracticeNHS ENFIELD CCG (07X)EQ VAS</v>
      </c>
      <c r="C60" t="s">
        <v>50</v>
      </c>
      <c r="D60" t="s">
        <v>87</v>
      </c>
      <c r="E60" t="s">
        <v>890</v>
      </c>
      <c r="F60" t="s">
        <v>891</v>
      </c>
      <c r="G60" t="s">
        <v>179</v>
      </c>
      <c r="H60">
        <v>36</v>
      </c>
      <c r="I60">
        <v>79.111000000000004</v>
      </c>
      <c r="J60">
        <v>77.667000000000002</v>
      </c>
      <c r="K60">
        <v>-1.444</v>
      </c>
      <c r="L60">
        <v>12</v>
      </c>
      <c r="M60">
        <v>5</v>
      </c>
      <c r="N60">
        <v>19</v>
      </c>
      <c r="O60">
        <v>78.819999999999993</v>
      </c>
      <c r="P60">
        <v>-1.8252328870000001</v>
      </c>
      <c r="Q60">
        <v>13.12</v>
      </c>
    </row>
    <row r="61" spans="1:17" s="30" customFormat="1" x14ac:dyDescent="0.2">
      <c r="A61" s="30" t="str">
        <f>IF(C61&amp;G61&amp;D61&lt;&gt;'Funnel setup'!$K$3&amp;'Funnel setup'!$K$4&amp;'Funnel setup'!$K$5,".",IF(A60=".",1,A60+1))</f>
        <v>.</v>
      </c>
      <c r="B61" s="431" t="str">
        <f t="shared" si="0"/>
        <v>Groin HerniaCCG of GP PracticeNHS EREWASH CCG (03X)EQ VAS</v>
      </c>
      <c r="C61" t="s">
        <v>50</v>
      </c>
      <c r="D61" t="s">
        <v>87</v>
      </c>
      <c r="E61" t="s">
        <v>893</v>
      </c>
      <c r="F61" t="s">
        <v>894</v>
      </c>
      <c r="G61" t="s">
        <v>179</v>
      </c>
      <c r="H61">
        <v>32</v>
      </c>
      <c r="I61">
        <v>83.25</v>
      </c>
      <c r="J61">
        <v>79.281000000000006</v>
      </c>
      <c r="K61">
        <v>-3.9689999999999999</v>
      </c>
      <c r="L61">
        <v>10</v>
      </c>
      <c r="M61">
        <v>11</v>
      </c>
      <c r="N61">
        <v>11</v>
      </c>
      <c r="O61">
        <v>78.215999999999994</v>
      </c>
      <c r="P61">
        <v>-2.4290606709999998</v>
      </c>
      <c r="Q61">
        <v>13.586</v>
      </c>
    </row>
    <row r="62" spans="1:17" s="30" customFormat="1" x14ac:dyDescent="0.2">
      <c r="A62" s="30" t="str">
        <f>IF(C62&amp;G62&amp;D62&lt;&gt;'Funnel setup'!$K$3&amp;'Funnel setup'!$K$4&amp;'Funnel setup'!$K$5,".",IF(A61=".",1,A61+1))</f>
        <v>.</v>
      </c>
      <c r="B62" s="431" t="str">
        <f t="shared" si="0"/>
        <v>Groin HerniaCCG of GP PracticeNHS FAREHAM AND GOSPORT CCG (10K)EQ VAS</v>
      </c>
      <c r="C62" t="s">
        <v>50</v>
      </c>
      <c r="D62" t="s">
        <v>87</v>
      </c>
      <c r="E62" t="s">
        <v>896</v>
      </c>
      <c r="F62" t="s">
        <v>897</v>
      </c>
      <c r="G62" t="s">
        <v>179</v>
      </c>
      <c r="H62">
        <v>82</v>
      </c>
      <c r="I62">
        <v>83.756</v>
      </c>
      <c r="J62">
        <v>84.097999999999999</v>
      </c>
      <c r="K62">
        <v>0.34100000000000003</v>
      </c>
      <c r="L62">
        <v>26</v>
      </c>
      <c r="M62">
        <v>23</v>
      </c>
      <c r="N62">
        <v>33</v>
      </c>
      <c r="O62">
        <v>80.457999999999998</v>
      </c>
      <c r="P62">
        <v>-0.187561535</v>
      </c>
      <c r="Q62">
        <v>8.8219999999999992</v>
      </c>
    </row>
    <row r="63" spans="1:17" s="30" customFormat="1" x14ac:dyDescent="0.2">
      <c r="A63" s="30" t="str">
        <f>IF(C63&amp;G63&amp;D63&lt;&gt;'Funnel setup'!$K$3&amp;'Funnel setup'!$K$4&amp;'Funnel setup'!$K$5,".",IF(A62=".",1,A62+1))</f>
        <v>.</v>
      </c>
      <c r="B63" s="431" t="str">
        <f t="shared" si="0"/>
        <v>Groin HerniaCCG of GP PracticeNHS FYLDE &amp; WYRE CCG (02M)EQ VAS</v>
      </c>
      <c r="C63" t="s">
        <v>50</v>
      </c>
      <c r="D63" t="s">
        <v>87</v>
      </c>
      <c r="E63" t="s">
        <v>899</v>
      </c>
      <c r="F63" t="s">
        <v>900</v>
      </c>
      <c r="G63" t="s">
        <v>179</v>
      </c>
      <c r="H63">
        <v>32</v>
      </c>
      <c r="I63">
        <v>75.968999999999994</v>
      </c>
      <c r="J63">
        <v>78.313000000000002</v>
      </c>
      <c r="K63">
        <v>2.3439999999999999</v>
      </c>
      <c r="L63">
        <v>13</v>
      </c>
      <c r="M63">
        <v>7</v>
      </c>
      <c r="N63">
        <v>12</v>
      </c>
      <c r="O63">
        <v>80.801000000000002</v>
      </c>
      <c r="P63">
        <v>0.15555297400000001</v>
      </c>
      <c r="Q63">
        <v>11.813000000000001</v>
      </c>
    </row>
    <row r="64" spans="1:17" s="30" customFormat="1" ht="15" customHeight="1" x14ac:dyDescent="0.2">
      <c r="A64" s="30" t="str">
        <f>IF(C64&amp;G64&amp;D64&lt;&gt;'Funnel setup'!$K$3&amp;'Funnel setup'!$K$4&amp;'Funnel setup'!$K$5,".",IF(A63=".",1,A63+1))</f>
        <v>.</v>
      </c>
      <c r="B64" s="431" t="str">
        <f t="shared" si="0"/>
        <v>Groin HerniaCCG of GP PracticeNHS GLOUCESTERSHIRE CCG (11M)EQ VAS</v>
      </c>
      <c r="C64" t="s">
        <v>50</v>
      </c>
      <c r="D64" t="s">
        <v>87</v>
      </c>
      <c r="E64" t="s">
        <v>902</v>
      </c>
      <c r="F64" t="s">
        <v>903</v>
      </c>
      <c r="G64" t="s">
        <v>179</v>
      </c>
      <c r="H64">
        <v>293</v>
      </c>
      <c r="I64">
        <v>83.048000000000002</v>
      </c>
      <c r="J64">
        <v>82.948999999999998</v>
      </c>
      <c r="K64">
        <v>-9.9000000000000005E-2</v>
      </c>
      <c r="L64">
        <v>123</v>
      </c>
      <c r="M64">
        <v>51</v>
      </c>
      <c r="N64">
        <v>119</v>
      </c>
      <c r="O64">
        <v>80.837999999999994</v>
      </c>
      <c r="P64">
        <v>0.19253888199999999</v>
      </c>
      <c r="Q64">
        <v>10.676</v>
      </c>
    </row>
    <row r="65" spans="1:17" s="30" customFormat="1" ht="15" customHeight="1" x14ac:dyDescent="0.2">
      <c r="A65" s="30" t="str">
        <f>IF(C65&amp;G65&amp;D65&lt;&gt;'Funnel setup'!$K$3&amp;'Funnel setup'!$K$4&amp;'Funnel setup'!$K$5,".",IF(A64=".",1,A64+1))</f>
        <v>.</v>
      </c>
      <c r="B65" s="431" t="str">
        <f t="shared" si="0"/>
        <v>Groin HerniaCCG of GP PracticeNHS GREAT YARMOUTH AND WAVENEY CCG (06M)EQ VAS</v>
      </c>
      <c r="C65" t="s">
        <v>50</v>
      </c>
      <c r="D65" t="s">
        <v>87</v>
      </c>
      <c r="E65" t="s">
        <v>905</v>
      </c>
      <c r="F65" t="s">
        <v>906</v>
      </c>
      <c r="G65" t="s">
        <v>179</v>
      </c>
      <c r="H65">
        <v>120</v>
      </c>
      <c r="I65">
        <v>78.7</v>
      </c>
      <c r="J65">
        <v>77.849999999999994</v>
      </c>
      <c r="K65">
        <v>-0.85</v>
      </c>
      <c r="L65">
        <v>43</v>
      </c>
      <c r="M65">
        <v>20</v>
      </c>
      <c r="N65">
        <v>57</v>
      </c>
      <c r="O65">
        <v>78.680000000000007</v>
      </c>
      <c r="P65">
        <v>-1.9654143070000001</v>
      </c>
      <c r="Q65">
        <v>11.814</v>
      </c>
    </row>
    <row r="66" spans="1:17" s="30" customFormat="1" ht="15" customHeight="1" x14ac:dyDescent="0.2">
      <c r="A66" s="30" t="str">
        <f>IF(C66&amp;G66&amp;D66&lt;&gt;'Funnel setup'!$K$3&amp;'Funnel setup'!$K$4&amp;'Funnel setup'!$K$5,".",IF(A65=".",1,A65+1))</f>
        <v>.</v>
      </c>
      <c r="B66" s="431" t="str">
        <f t="shared" si="0"/>
        <v>Groin HerniaCCG of GP PracticeNHS GREATER HUDDERSFIELD CCG (03A)EQ VAS</v>
      </c>
      <c r="C66" t="s">
        <v>50</v>
      </c>
      <c r="D66" t="s">
        <v>87</v>
      </c>
      <c r="E66" t="s">
        <v>908</v>
      </c>
      <c r="F66" t="s">
        <v>909</v>
      </c>
      <c r="G66" t="s">
        <v>179</v>
      </c>
      <c r="H66">
        <v>141</v>
      </c>
      <c r="I66">
        <v>82.063999999999993</v>
      </c>
      <c r="J66">
        <v>80.070999999999998</v>
      </c>
      <c r="K66">
        <v>-1.9930000000000001</v>
      </c>
      <c r="L66">
        <v>49</v>
      </c>
      <c r="M66">
        <v>33</v>
      </c>
      <c r="N66">
        <v>59</v>
      </c>
      <c r="O66">
        <v>78.77</v>
      </c>
      <c r="P66">
        <v>-1.8752272299999999</v>
      </c>
      <c r="Q66">
        <v>13.116</v>
      </c>
    </row>
    <row r="67" spans="1:17" s="30" customFormat="1" ht="15" customHeight="1" x14ac:dyDescent="0.2">
      <c r="A67" s="30" t="str">
        <f>IF(C67&amp;G67&amp;D67&lt;&gt;'Funnel setup'!$K$3&amp;'Funnel setup'!$K$4&amp;'Funnel setup'!$K$5,".",IF(A66=".",1,A66+1))</f>
        <v>.</v>
      </c>
      <c r="B67" s="431" t="str">
        <f t="shared" ref="B67:B130" si="1">C67&amp;D67&amp;F67&amp;G67</f>
        <v>Groin HerniaCCG of GP PracticeNHS GREATER PRESTON CCG (01E)EQ VAS</v>
      </c>
      <c r="C67" t="s">
        <v>50</v>
      </c>
      <c r="D67" t="s">
        <v>87</v>
      </c>
      <c r="E67" t="s">
        <v>486</v>
      </c>
      <c r="F67" t="s">
        <v>487</v>
      </c>
      <c r="G67" t="s">
        <v>179</v>
      </c>
      <c r="H67">
        <v>122</v>
      </c>
      <c r="I67">
        <v>81.057000000000002</v>
      </c>
      <c r="J67">
        <v>80.704999999999998</v>
      </c>
      <c r="K67">
        <v>-0.35199999999999998</v>
      </c>
      <c r="L67">
        <v>51</v>
      </c>
      <c r="M67">
        <v>20</v>
      </c>
      <c r="N67">
        <v>51</v>
      </c>
      <c r="O67">
        <v>79.831000000000003</v>
      </c>
      <c r="P67">
        <v>-0.81455531699999995</v>
      </c>
      <c r="Q67">
        <v>12.547000000000001</v>
      </c>
    </row>
    <row r="68" spans="1:17" s="30" customFormat="1" ht="15" customHeight="1" x14ac:dyDescent="0.2">
      <c r="A68" s="30" t="str">
        <f>IF(C68&amp;G68&amp;D68&lt;&gt;'Funnel setup'!$K$3&amp;'Funnel setup'!$K$4&amp;'Funnel setup'!$K$5,".",IF(A67=".",1,A67+1))</f>
        <v>.</v>
      </c>
      <c r="B68" s="431" t="str">
        <f t="shared" si="1"/>
        <v>Groin HerniaCCG of GP PracticeNHS GREENWICH CCG (08A)EQ VAS</v>
      </c>
      <c r="C68" t="s">
        <v>50</v>
      </c>
      <c r="D68" t="s">
        <v>87</v>
      </c>
      <c r="E68" t="s">
        <v>489</v>
      </c>
      <c r="F68" t="s">
        <v>490</v>
      </c>
      <c r="G68" t="s">
        <v>179</v>
      </c>
      <c r="H68">
        <v>63</v>
      </c>
      <c r="I68">
        <v>78.73</v>
      </c>
      <c r="J68">
        <v>77.81</v>
      </c>
      <c r="K68">
        <v>-0.92100000000000004</v>
      </c>
      <c r="L68">
        <v>24</v>
      </c>
      <c r="M68">
        <v>8</v>
      </c>
      <c r="N68">
        <v>31</v>
      </c>
      <c r="O68">
        <v>79.658000000000001</v>
      </c>
      <c r="P68">
        <v>-0.98747487</v>
      </c>
      <c r="Q68">
        <v>11.292999999999999</v>
      </c>
    </row>
    <row r="69" spans="1:17" s="30" customFormat="1" ht="15" customHeight="1" x14ac:dyDescent="0.2">
      <c r="A69" s="30" t="str">
        <f>IF(C69&amp;G69&amp;D69&lt;&gt;'Funnel setup'!$K$3&amp;'Funnel setup'!$K$4&amp;'Funnel setup'!$K$5,".",IF(A68=".",1,A68+1))</f>
        <v>.</v>
      </c>
      <c r="B69" s="431" t="str">
        <f t="shared" si="1"/>
        <v>Groin HerniaCCG of GP PracticeNHS GUILDFORD AND WAVERLEY CCG (09N)EQ VAS</v>
      </c>
      <c r="C69" t="s">
        <v>50</v>
      </c>
      <c r="D69" t="s">
        <v>87</v>
      </c>
      <c r="E69" t="s">
        <v>911</v>
      </c>
      <c r="F69" t="s">
        <v>912</v>
      </c>
      <c r="G69" t="s">
        <v>179</v>
      </c>
      <c r="H69">
        <v>131</v>
      </c>
      <c r="I69">
        <v>80.823999999999998</v>
      </c>
      <c r="J69">
        <v>83.786000000000001</v>
      </c>
      <c r="K69">
        <v>2.9620000000000002</v>
      </c>
      <c r="L69">
        <v>62</v>
      </c>
      <c r="M69">
        <v>22</v>
      </c>
      <c r="N69">
        <v>47</v>
      </c>
      <c r="O69">
        <v>82.828000000000003</v>
      </c>
      <c r="P69">
        <v>2.1821963059999998</v>
      </c>
      <c r="Q69">
        <v>9.6389999999999993</v>
      </c>
    </row>
    <row r="70" spans="1:17" s="30" customFormat="1" ht="15" customHeight="1" x14ac:dyDescent="0.2">
      <c r="A70" s="30" t="str">
        <f>IF(C70&amp;G70&amp;D70&lt;&gt;'Funnel setup'!$K$3&amp;'Funnel setup'!$K$4&amp;'Funnel setup'!$K$5,".",IF(A69=".",1,A69+1))</f>
        <v>.</v>
      </c>
      <c r="B70" s="431" t="str">
        <f t="shared" si="1"/>
        <v>Groin HerniaCCG of GP PracticeNHS HALTON CCG (01F)EQ VAS</v>
      </c>
      <c r="C70" t="s">
        <v>50</v>
      </c>
      <c r="D70" t="s">
        <v>87</v>
      </c>
      <c r="E70" t="s">
        <v>914</v>
      </c>
      <c r="F70" t="s">
        <v>915</v>
      </c>
      <c r="G70" t="s">
        <v>179</v>
      </c>
      <c r="H70">
        <v>51</v>
      </c>
      <c r="I70">
        <v>80.784000000000006</v>
      </c>
      <c r="J70">
        <v>78.254999999999995</v>
      </c>
      <c r="K70">
        <v>-2.5289999999999999</v>
      </c>
      <c r="L70">
        <v>17</v>
      </c>
      <c r="M70">
        <v>7</v>
      </c>
      <c r="N70">
        <v>27</v>
      </c>
      <c r="O70">
        <v>78.787999999999997</v>
      </c>
      <c r="P70">
        <v>-1.8569420679999999</v>
      </c>
      <c r="Q70">
        <v>10.324999999999999</v>
      </c>
    </row>
    <row r="71" spans="1:17" s="30" customFormat="1" ht="15" customHeight="1" x14ac:dyDescent="0.2">
      <c r="A71" s="30" t="str">
        <f>IF(C71&amp;G71&amp;D71&lt;&gt;'Funnel setup'!$K$3&amp;'Funnel setup'!$K$4&amp;'Funnel setup'!$K$5,".",IF(A70=".",1,A70+1))</f>
        <v>.</v>
      </c>
      <c r="B71" s="431" t="str">
        <f t="shared" si="1"/>
        <v>Groin HerniaCCG of GP PracticeNHS HAMBLETON, RICHMONDSHIRE AND WHITBY CCG (03D)EQ VAS</v>
      </c>
      <c r="C71" t="s">
        <v>50</v>
      </c>
      <c r="D71" t="s">
        <v>87</v>
      </c>
      <c r="E71" t="s">
        <v>917</v>
      </c>
      <c r="F71" t="s">
        <v>918</v>
      </c>
      <c r="G71" t="s">
        <v>179</v>
      </c>
      <c r="H71">
        <v>69</v>
      </c>
      <c r="I71">
        <v>82.564999999999998</v>
      </c>
      <c r="J71">
        <v>83</v>
      </c>
      <c r="K71">
        <v>0.435</v>
      </c>
      <c r="L71">
        <v>25</v>
      </c>
      <c r="M71">
        <v>19</v>
      </c>
      <c r="N71">
        <v>25</v>
      </c>
      <c r="O71">
        <v>80.894999999999996</v>
      </c>
      <c r="P71">
        <v>0.249794506</v>
      </c>
      <c r="Q71">
        <v>11.073</v>
      </c>
    </row>
    <row r="72" spans="1:17" s="30" customFormat="1" ht="15" customHeight="1" x14ac:dyDescent="0.2">
      <c r="A72" s="30" t="str">
        <f>IF(C72&amp;G72&amp;D72&lt;&gt;'Funnel setup'!$K$3&amp;'Funnel setup'!$K$4&amp;'Funnel setup'!$K$5,".",IF(A71=".",1,A71+1))</f>
        <v>.</v>
      </c>
      <c r="B72" s="431" t="str">
        <f t="shared" si="1"/>
        <v>Groin HerniaCCG of GP PracticeNHS HAMMERSMITH AND FULHAM CCG (08C)EQ VAS</v>
      </c>
      <c r="C72" t="s">
        <v>50</v>
      </c>
      <c r="D72" t="s">
        <v>87</v>
      </c>
      <c r="E72" t="s">
        <v>920</v>
      </c>
      <c r="F72" t="s">
        <v>921</v>
      </c>
      <c r="G72" t="s">
        <v>179</v>
      </c>
      <c r="H72" t="s">
        <v>53</v>
      </c>
      <c r="I72" t="s">
        <v>53</v>
      </c>
      <c r="J72" t="s">
        <v>53</v>
      </c>
      <c r="K72" t="s">
        <v>53</v>
      </c>
      <c r="L72" t="s">
        <v>53</v>
      </c>
      <c r="M72" t="s">
        <v>53</v>
      </c>
      <c r="N72" t="s">
        <v>53</v>
      </c>
      <c r="O72" t="s">
        <v>53</v>
      </c>
      <c r="P72" t="s">
        <v>53</v>
      </c>
      <c r="Q72" t="s">
        <v>53</v>
      </c>
    </row>
    <row r="73" spans="1:17" s="30" customFormat="1" ht="15" customHeight="1" x14ac:dyDescent="0.2">
      <c r="A73" s="30" t="str">
        <f>IF(C73&amp;G73&amp;D73&lt;&gt;'Funnel setup'!$K$3&amp;'Funnel setup'!$K$4&amp;'Funnel setup'!$K$5,".",IF(A72=".",1,A72+1))</f>
        <v>.</v>
      </c>
      <c r="B73" s="431" t="str">
        <f t="shared" si="1"/>
        <v>Groin HerniaCCG of GP PracticeNHS HARDWICK CCG (03Y)EQ VAS</v>
      </c>
      <c r="C73" t="s">
        <v>50</v>
      </c>
      <c r="D73" t="s">
        <v>87</v>
      </c>
      <c r="E73" t="s">
        <v>923</v>
      </c>
      <c r="F73" t="s">
        <v>924</v>
      </c>
      <c r="G73" t="s">
        <v>179</v>
      </c>
      <c r="H73">
        <v>76</v>
      </c>
      <c r="I73">
        <v>77.513000000000005</v>
      </c>
      <c r="J73">
        <v>75.605000000000004</v>
      </c>
      <c r="K73">
        <v>-1.9079999999999999</v>
      </c>
      <c r="L73">
        <v>34</v>
      </c>
      <c r="M73">
        <v>15</v>
      </c>
      <c r="N73">
        <v>27</v>
      </c>
      <c r="O73">
        <v>78.411000000000001</v>
      </c>
      <c r="P73">
        <v>-2.2340396870000001</v>
      </c>
      <c r="Q73">
        <v>14.946999999999999</v>
      </c>
    </row>
    <row r="74" spans="1:17" s="30" customFormat="1" ht="15" customHeight="1" x14ac:dyDescent="0.2">
      <c r="A74" s="30" t="str">
        <f>IF(C74&amp;G74&amp;D74&lt;&gt;'Funnel setup'!$K$3&amp;'Funnel setup'!$K$4&amp;'Funnel setup'!$K$5,".",IF(A73=".",1,A73+1))</f>
        <v>.</v>
      </c>
      <c r="B74" s="431" t="str">
        <f t="shared" si="1"/>
        <v>Groin HerniaCCG of GP PracticeNHS HARINGEY CCG (08D)EQ VAS</v>
      </c>
      <c r="C74" t="s">
        <v>50</v>
      </c>
      <c r="D74" t="s">
        <v>87</v>
      </c>
      <c r="E74" t="s">
        <v>926</v>
      </c>
      <c r="F74" t="s">
        <v>927</v>
      </c>
      <c r="G74" t="s">
        <v>179</v>
      </c>
      <c r="H74">
        <v>27</v>
      </c>
      <c r="I74">
        <v>77.519000000000005</v>
      </c>
      <c r="J74">
        <v>74.778000000000006</v>
      </c>
      <c r="K74">
        <v>-2.7410000000000001</v>
      </c>
      <c r="L74">
        <v>14</v>
      </c>
      <c r="M74">
        <v>2</v>
      </c>
      <c r="N74">
        <v>11</v>
      </c>
      <c r="O74" t="s">
        <v>53</v>
      </c>
      <c r="P74" t="s">
        <v>53</v>
      </c>
      <c r="Q74" t="s">
        <v>53</v>
      </c>
    </row>
    <row r="75" spans="1:17" s="30" customFormat="1" ht="15" customHeight="1" x14ac:dyDescent="0.2">
      <c r="A75" s="30" t="str">
        <f>IF(C75&amp;G75&amp;D75&lt;&gt;'Funnel setup'!$K$3&amp;'Funnel setup'!$K$4&amp;'Funnel setup'!$K$5,".",IF(A74=".",1,A74+1))</f>
        <v>.</v>
      </c>
      <c r="B75" s="431" t="str">
        <f t="shared" si="1"/>
        <v>Groin HerniaCCG of GP PracticeNHS HARROGATE AND RURAL DISTRICT CCG (03E)EQ VAS</v>
      </c>
      <c r="C75" t="s">
        <v>50</v>
      </c>
      <c r="D75" t="s">
        <v>87</v>
      </c>
      <c r="E75" t="s">
        <v>929</v>
      </c>
      <c r="F75" t="s">
        <v>930</v>
      </c>
      <c r="G75" t="s">
        <v>179</v>
      </c>
      <c r="H75">
        <v>151</v>
      </c>
      <c r="I75">
        <v>81.649000000000001</v>
      </c>
      <c r="J75">
        <v>80.53</v>
      </c>
      <c r="K75">
        <v>-1.119</v>
      </c>
      <c r="L75">
        <v>57</v>
      </c>
      <c r="M75">
        <v>29</v>
      </c>
      <c r="N75">
        <v>65</v>
      </c>
      <c r="O75">
        <v>80.144999999999996</v>
      </c>
      <c r="P75">
        <v>-0.50049780399999999</v>
      </c>
      <c r="Q75">
        <v>11.519</v>
      </c>
    </row>
    <row r="76" spans="1:17" s="30" customFormat="1" ht="15" customHeight="1" x14ac:dyDescent="0.2">
      <c r="A76" s="30" t="str">
        <f>IF(C76&amp;G76&amp;D76&lt;&gt;'Funnel setup'!$K$3&amp;'Funnel setup'!$K$4&amp;'Funnel setup'!$K$5,".",IF(A75=".",1,A75+1))</f>
        <v>.</v>
      </c>
      <c r="B76" s="431" t="str">
        <f t="shared" si="1"/>
        <v>Groin HerniaCCG of GP PracticeNHS HARROW CCG (08E)EQ VAS</v>
      </c>
      <c r="C76" t="s">
        <v>50</v>
      </c>
      <c r="D76" t="s">
        <v>87</v>
      </c>
      <c r="E76" t="s">
        <v>492</v>
      </c>
      <c r="F76" t="s">
        <v>493</v>
      </c>
      <c r="G76" t="s">
        <v>179</v>
      </c>
      <c r="H76">
        <v>51</v>
      </c>
      <c r="I76">
        <v>76.647000000000006</v>
      </c>
      <c r="J76">
        <v>77.626999999999995</v>
      </c>
      <c r="K76">
        <v>0.98</v>
      </c>
      <c r="L76">
        <v>22</v>
      </c>
      <c r="M76">
        <v>11</v>
      </c>
      <c r="N76">
        <v>18</v>
      </c>
      <c r="O76">
        <v>80.938999999999993</v>
      </c>
      <c r="P76">
        <v>0.29344445000000002</v>
      </c>
      <c r="Q76">
        <v>12.401999999999999</v>
      </c>
    </row>
    <row r="77" spans="1:17" s="30" customFormat="1" ht="15" customHeight="1" x14ac:dyDescent="0.2">
      <c r="A77" s="30" t="str">
        <f>IF(C77&amp;G77&amp;D77&lt;&gt;'Funnel setup'!$K$3&amp;'Funnel setup'!$K$4&amp;'Funnel setup'!$K$5,".",IF(A76=".",1,A76+1))</f>
        <v>.</v>
      </c>
      <c r="B77" s="431" t="str">
        <f t="shared" si="1"/>
        <v>Groin HerniaCCG of GP PracticeNHS HARTLEPOOL AND STOCKTON-ON-TEES CCG (00K)EQ VAS</v>
      </c>
      <c r="C77" t="s">
        <v>50</v>
      </c>
      <c r="D77" t="s">
        <v>87</v>
      </c>
      <c r="E77" t="s">
        <v>495</v>
      </c>
      <c r="F77" t="s">
        <v>496</v>
      </c>
      <c r="G77" t="s">
        <v>179</v>
      </c>
      <c r="H77">
        <v>162</v>
      </c>
      <c r="I77">
        <v>82.037000000000006</v>
      </c>
      <c r="J77">
        <v>81.488</v>
      </c>
      <c r="K77">
        <v>-0.54900000000000004</v>
      </c>
      <c r="L77">
        <v>62</v>
      </c>
      <c r="M77">
        <v>28</v>
      </c>
      <c r="N77">
        <v>72</v>
      </c>
      <c r="O77">
        <v>80.807000000000002</v>
      </c>
      <c r="P77">
        <v>0.16116112099999999</v>
      </c>
      <c r="Q77">
        <v>11.412000000000001</v>
      </c>
    </row>
    <row r="78" spans="1:17" s="30" customFormat="1" ht="15" customHeight="1" x14ac:dyDescent="0.2">
      <c r="A78" s="30" t="str">
        <f>IF(C78&amp;G78&amp;D78&lt;&gt;'Funnel setup'!$K$3&amp;'Funnel setup'!$K$4&amp;'Funnel setup'!$K$5,".",IF(A77=".",1,A77+1))</f>
        <v>.</v>
      </c>
      <c r="B78" s="431" t="str">
        <f t="shared" si="1"/>
        <v>Groin HerniaCCG of GP PracticeNHS HASTINGS AND ROTHER CCG (09P)EQ VAS</v>
      </c>
      <c r="C78" t="s">
        <v>50</v>
      </c>
      <c r="D78" t="s">
        <v>87</v>
      </c>
      <c r="E78" t="s">
        <v>498</v>
      </c>
      <c r="F78" t="s">
        <v>499</v>
      </c>
      <c r="G78" t="s">
        <v>179</v>
      </c>
      <c r="H78">
        <v>89</v>
      </c>
      <c r="I78">
        <v>77.382000000000005</v>
      </c>
      <c r="J78">
        <v>78.921000000000006</v>
      </c>
      <c r="K78">
        <v>1.5389999999999999</v>
      </c>
      <c r="L78">
        <v>44</v>
      </c>
      <c r="M78">
        <v>11</v>
      </c>
      <c r="N78">
        <v>34</v>
      </c>
      <c r="O78">
        <v>80.278000000000006</v>
      </c>
      <c r="P78">
        <v>-0.36708292199999998</v>
      </c>
      <c r="Q78">
        <v>14.391999999999999</v>
      </c>
    </row>
    <row r="79" spans="1:17" s="30" customFormat="1" ht="15" customHeight="1" x14ac:dyDescent="0.2">
      <c r="A79" s="30" t="str">
        <f>IF(C79&amp;G79&amp;D79&lt;&gt;'Funnel setup'!$K$3&amp;'Funnel setup'!$K$4&amp;'Funnel setup'!$K$5,".",IF(A78=".",1,A78+1))</f>
        <v>.</v>
      </c>
      <c r="B79" s="431" t="str">
        <f t="shared" si="1"/>
        <v>Groin HerniaCCG of GP PracticeNHS HAVERING CCG (08F)EQ VAS</v>
      </c>
      <c r="C79" t="s">
        <v>50</v>
      </c>
      <c r="D79" t="s">
        <v>87</v>
      </c>
      <c r="E79" t="s">
        <v>501</v>
      </c>
      <c r="F79" t="s">
        <v>502</v>
      </c>
      <c r="G79" t="s">
        <v>179</v>
      </c>
      <c r="H79">
        <v>94</v>
      </c>
      <c r="I79">
        <v>82.266000000000005</v>
      </c>
      <c r="J79">
        <v>78.350999999999999</v>
      </c>
      <c r="K79">
        <v>-3.915</v>
      </c>
      <c r="L79">
        <v>31</v>
      </c>
      <c r="M79">
        <v>20</v>
      </c>
      <c r="N79">
        <v>43</v>
      </c>
      <c r="O79">
        <v>78.424999999999997</v>
      </c>
      <c r="P79">
        <v>-2.2204542790000001</v>
      </c>
      <c r="Q79">
        <v>14.25</v>
      </c>
    </row>
    <row r="80" spans="1:17" s="30" customFormat="1" ht="15" customHeight="1" x14ac:dyDescent="0.2">
      <c r="A80" s="30" t="str">
        <f>IF(C80&amp;G80&amp;D80&lt;&gt;'Funnel setup'!$K$3&amp;'Funnel setup'!$K$4&amp;'Funnel setup'!$K$5,".",IF(A79=".",1,A79+1))</f>
        <v>.</v>
      </c>
      <c r="B80" s="431" t="str">
        <f t="shared" si="1"/>
        <v>Groin HerniaCCG of GP PracticeNHS HEREFORDSHIRE CCG (05F)EQ VAS</v>
      </c>
      <c r="C80" t="s">
        <v>50</v>
      </c>
      <c r="D80" t="s">
        <v>87</v>
      </c>
      <c r="E80" t="s">
        <v>504</v>
      </c>
      <c r="F80" t="s">
        <v>505</v>
      </c>
      <c r="G80" t="s">
        <v>179</v>
      </c>
      <c r="H80">
        <v>147</v>
      </c>
      <c r="I80">
        <v>79.122</v>
      </c>
      <c r="J80">
        <v>80.945999999999998</v>
      </c>
      <c r="K80">
        <v>1.823</v>
      </c>
      <c r="L80">
        <v>62</v>
      </c>
      <c r="M80">
        <v>28</v>
      </c>
      <c r="N80">
        <v>57</v>
      </c>
      <c r="O80">
        <v>81.701999999999998</v>
      </c>
      <c r="P80">
        <v>1.0565344109999999</v>
      </c>
      <c r="Q80">
        <v>11.298</v>
      </c>
    </row>
    <row r="81" spans="1:17" s="30" customFormat="1" ht="15" customHeight="1" x14ac:dyDescent="0.2">
      <c r="A81" s="30" t="str">
        <f>IF(C81&amp;G81&amp;D81&lt;&gt;'Funnel setup'!$K$3&amp;'Funnel setup'!$K$4&amp;'Funnel setup'!$K$5,".",IF(A80=".",1,A80+1))</f>
        <v>.</v>
      </c>
      <c r="B81" s="431" t="str">
        <f t="shared" si="1"/>
        <v>Groin HerniaCCG of GP PracticeNHS HERTS VALLEYS CCG (06N)EQ VAS</v>
      </c>
      <c r="C81" t="s">
        <v>50</v>
      </c>
      <c r="D81" t="s">
        <v>87</v>
      </c>
      <c r="E81" t="s">
        <v>507</v>
      </c>
      <c r="F81" t="s">
        <v>508</v>
      </c>
      <c r="G81" t="s">
        <v>179</v>
      </c>
      <c r="H81">
        <v>254</v>
      </c>
      <c r="I81">
        <v>81.528000000000006</v>
      </c>
      <c r="J81">
        <v>80.971999999999994</v>
      </c>
      <c r="K81">
        <v>-0.55500000000000005</v>
      </c>
      <c r="L81">
        <v>100</v>
      </c>
      <c r="M81">
        <v>55</v>
      </c>
      <c r="N81">
        <v>99</v>
      </c>
      <c r="O81">
        <v>79.959999999999994</v>
      </c>
      <c r="P81">
        <v>-0.68557610899999999</v>
      </c>
      <c r="Q81">
        <v>12.755000000000001</v>
      </c>
    </row>
    <row r="82" spans="1:17" s="30" customFormat="1" ht="15" customHeight="1" x14ac:dyDescent="0.2">
      <c r="A82" s="30" t="str">
        <f>IF(C82&amp;G82&amp;D82&lt;&gt;'Funnel setup'!$K$3&amp;'Funnel setup'!$K$4&amp;'Funnel setup'!$K$5,".",IF(A81=".",1,A81+1))</f>
        <v>.</v>
      </c>
      <c r="B82" s="431" t="str">
        <f t="shared" si="1"/>
        <v>Groin HerniaCCG of GP PracticeNHS HEYWOOD, MIDDLETON AND ROCHDALE CCG (01D)EQ VAS</v>
      </c>
      <c r="C82" t="s">
        <v>50</v>
      </c>
      <c r="D82" t="s">
        <v>87</v>
      </c>
      <c r="E82" t="s">
        <v>510</v>
      </c>
      <c r="F82" t="s">
        <v>511</v>
      </c>
      <c r="G82" t="s">
        <v>179</v>
      </c>
      <c r="H82">
        <v>35</v>
      </c>
      <c r="I82">
        <v>74.686000000000007</v>
      </c>
      <c r="J82">
        <v>73.171000000000006</v>
      </c>
      <c r="K82">
        <v>-1.514</v>
      </c>
      <c r="L82">
        <v>13</v>
      </c>
      <c r="M82">
        <v>5</v>
      </c>
      <c r="N82">
        <v>17</v>
      </c>
      <c r="O82">
        <v>76.341999999999999</v>
      </c>
      <c r="P82">
        <v>-4.3039292979999999</v>
      </c>
      <c r="Q82">
        <v>16.626999999999999</v>
      </c>
    </row>
    <row r="83" spans="1:17" s="30" customFormat="1" ht="15" customHeight="1" x14ac:dyDescent="0.2">
      <c r="A83" s="30" t="str">
        <f>IF(C83&amp;G83&amp;D83&lt;&gt;'Funnel setup'!$K$3&amp;'Funnel setup'!$K$4&amp;'Funnel setup'!$K$5,".",IF(A82=".",1,A82+1))</f>
        <v>.</v>
      </c>
      <c r="B83" s="431" t="str">
        <f t="shared" si="1"/>
        <v>Groin HerniaCCG of GP PracticeNHS HIGH WEALD LEWES HAVENS CCG (99K)EQ VAS</v>
      </c>
      <c r="C83" t="s">
        <v>50</v>
      </c>
      <c r="D83" t="s">
        <v>87</v>
      </c>
      <c r="E83" t="s">
        <v>513</v>
      </c>
      <c r="F83" t="s">
        <v>514</v>
      </c>
      <c r="G83" t="s">
        <v>179</v>
      </c>
      <c r="H83">
        <v>82</v>
      </c>
      <c r="I83">
        <v>80.683000000000007</v>
      </c>
      <c r="J83">
        <v>77.524000000000001</v>
      </c>
      <c r="K83">
        <v>-3.1589999999999998</v>
      </c>
      <c r="L83">
        <v>27</v>
      </c>
      <c r="M83">
        <v>16</v>
      </c>
      <c r="N83">
        <v>39</v>
      </c>
      <c r="O83">
        <v>77.471000000000004</v>
      </c>
      <c r="P83">
        <v>-3.1745137950000002</v>
      </c>
      <c r="Q83">
        <v>14.914999999999999</v>
      </c>
    </row>
    <row r="84" spans="1:17" s="30" customFormat="1" ht="25.5" customHeight="1" x14ac:dyDescent="0.2">
      <c r="A84" s="30" t="str">
        <f>IF(C84&amp;G84&amp;D84&lt;&gt;'Funnel setup'!$K$3&amp;'Funnel setup'!$K$4&amp;'Funnel setup'!$K$5,".",IF(A83=".",1,A83+1))</f>
        <v>.</v>
      </c>
      <c r="B84" s="431" t="str">
        <f t="shared" si="1"/>
        <v>Groin HerniaCCG of GP PracticeNHS HILLINGDON CCG (08G)EQ VAS</v>
      </c>
      <c r="C84" t="s">
        <v>50</v>
      </c>
      <c r="D84" t="s">
        <v>87</v>
      </c>
      <c r="E84" t="s">
        <v>516</v>
      </c>
      <c r="F84" t="s">
        <v>517</v>
      </c>
      <c r="G84" t="s">
        <v>179</v>
      </c>
      <c r="H84">
        <v>47</v>
      </c>
      <c r="I84">
        <v>79.638000000000005</v>
      </c>
      <c r="J84">
        <v>78.850999999999999</v>
      </c>
      <c r="K84">
        <v>-0.78700000000000003</v>
      </c>
      <c r="L84">
        <v>18</v>
      </c>
      <c r="M84">
        <v>10</v>
      </c>
      <c r="N84">
        <v>19</v>
      </c>
      <c r="O84">
        <v>79.924000000000007</v>
      </c>
      <c r="P84">
        <v>-0.72175831300000004</v>
      </c>
      <c r="Q84">
        <v>13.236000000000001</v>
      </c>
    </row>
    <row r="85" spans="1:17" s="30" customFormat="1" x14ac:dyDescent="0.2">
      <c r="A85" s="30" t="str">
        <f>IF(C85&amp;G85&amp;D85&lt;&gt;'Funnel setup'!$K$3&amp;'Funnel setup'!$K$4&amp;'Funnel setup'!$K$5,".",IF(A84=".",1,A84+1))</f>
        <v>.</v>
      </c>
      <c r="B85" s="431" t="str">
        <f t="shared" si="1"/>
        <v>Groin HerniaCCG of GP PracticeNHS HORSHAM AND MID SUSSEX CCG (09X)EQ VAS</v>
      </c>
      <c r="C85" t="s">
        <v>50</v>
      </c>
      <c r="D85" t="s">
        <v>87</v>
      </c>
      <c r="E85" t="s">
        <v>519</v>
      </c>
      <c r="F85" t="s">
        <v>520</v>
      </c>
      <c r="G85" t="s">
        <v>179</v>
      </c>
      <c r="H85">
        <v>133</v>
      </c>
      <c r="I85">
        <v>83.585999999999999</v>
      </c>
      <c r="J85">
        <v>82.263000000000005</v>
      </c>
      <c r="K85">
        <v>-1.323</v>
      </c>
      <c r="L85">
        <v>44</v>
      </c>
      <c r="M85">
        <v>35</v>
      </c>
      <c r="N85">
        <v>54</v>
      </c>
      <c r="O85">
        <v>80.445999999999998</v>
      </c>
      <c r="P85">
        <v>-0.19929638599999999</v>
      </c>
      <c r="Q85">
        <v>10.516999999999999</v>
      </c>
    </row>
    <row r="86" spans="1:17" s="30" customFormat="1" x14ac:dyDescent="0.2">
      <c r="A86" s="30" t="str">
        <f>IF(C86&amp;G86&amp;D86&lt;&gt;'Funnel setup'!$K$3&amp;'Funnel setup'!$K$4&amp;'Funnel setup'!$K$5,".",IF(A85=".",1,A85+1))</f>
        <v>.</v>
      </c>
      <c r="B86" s="431" t="str">
        <f t="shared" si="1"/>
        <v>Groin HerniaCCG of GP PracticeNHS HOUNSLOW CCG (07Y)EQ VAS</v>
      </c>
      <c r="C86" t="s">
        <v>50</v>
      </c>
      <c r="D86" t="s">
        <v>87</v>
      </c>
      <c r="E86" t="s">
        <v>522</v>
      </c>
      <c r="F86" t="s">
        <v>523</v>
      </c>
      <c r="G86" t="s">
        <v>179</v>
      </c>
      <c r="H86">
        <v>22</v>
      </c>
      <c r="I86">
        <v>76.317999999999998</v>
      </c>
      <c r="J86">
        <v>71.135999999999996</v>
      </c>
      <c r="K86">
        <v>-5.1820000000000004</v>
      </c>
      <c r="L86">
        <v>5</v>
      </c>
      <c r="M86">
        <v>9</v>
      </c>
      <c r="N86">
        <v>8</v>
      </c>
      <c r="O86" t="s">
        <v>53</v>
      </c>
      <c r="P86" t="s">
        <v>53</v>
      </c>
      <c r="Q86" t="s">
        <v>53</v>
      </c>
    </row>
    <row r="87" spans="1:17" s="30" customFormat="1" x14ac:dyDescent="0.2">
      <c r="A87" s="30" t="str">
        <f>IF(C87&amp;G87&amp;D87&lt;&gt;'Funnel setup'!$K$3&amp;'Funnel setup'!$K$4&amp;'Funnel setup'!$K$5,".",IF(A86=".",1,A86+1))</f>
        <v>.</v>
      </c>
      <c r="B87" s="431" t="str">
        <f t="shared" si="1"/>
        <v>Groin HerniaCCG of GP PracticeNHS HULL CCG (03F)EQ VAS</v>
      </c>
      <c r="C87" t="s">
        <v>50</v>
      </c>
      <c r="D87" t="s">
        <v>87</v>
      </c>
      <c r="E87" t="s">
        <v>525</v>
      </c>
      <c r="F87" t="s">
        <v>526</v>
      </c>
      <c r="G87" t="s">
        <v>179</v>
      </c>
      <c r="H87">
        <v>191</v>
      </c>
      <c r="I87">
        <v>79.89</v>
      </c>
      <c r="J87">
        <v>77.775000000000006</v>
      </c>
      <c r="K87">
        <v>-2.1150000000000002</v>
      </c>
      <c r="L87">
        <v>75</v>
      </c>
      <c r="M87">
        <v>35</v>
      </c>
      <c r="N87">
        <v>81</v>
      </c>
      <c r="O87">
        <v>78.905000000000001</v>
      </c>
      <c r="P87">
        <v>-1.7402120139999999</v>
      </c>
      <c r="Q87">
        <v>13.852</v>
      </c>
    </row>
    <row r="88" spans="1:17" s="30" customFormat="1" x14ac:dyDescent="0.2">
      <c r="A88" s="30" t="str">
        <f>IF(C88&amp;G88&amp;D88&lt;&gt;'Funnel setup'!$K$3&amp;'Funnel setup'!$K$4&amp;'Funnel setup'!$K$5,".",IF(A87=".",1,A87+1))</f>
        <v>.</v>
      </c>
      <c r="B88" s="431" t="str">
        <f t="shared" si="1"/>
        <v>Groin HerniaCCG of GP PracticeNHS IPSWICH AND EAST SUFFOLK CCG (06L)EQ VAS</v>
      </c>
      <c r="C88" t="s">
        <v>50</v>
      </c>
      <c r="D88" t="s">
        <v>87</v>
      </c>
      <c r="E88" t="s">
        <v>528</v>
      </c>
      <c r="F88" t="s">
        <v>529</v>
      </c>
      <c r="G88" t="s">
        <v>179</v>
      </c>
      <c r="H88">
        <v>233</v>
      </c>
      <c r="I88">
        <v>78.566999999999993</v>
      </c>
      <c r="J88">
        <v>80.884</v>
      </c>
      <c r="K88">
        <v>2.3180000000000001</v>
      </c>
      <c r="L88">
        <v>102</v>
      </c>
      <c r="M88">
        <v>55</v>
      </c>
      <c r="N88">
        <v>76</v>
      </c>
      <c r="O88">
        <v>81.988</v>
      </c>
      <c r="P88">
        <v>1.3429693810000001</v>
      </c>
      <c r="Q88">
        <v>12.195</v>
      </c>
    </row>
    <row r="89" spans="1:17" s="30" customFormat="1" x14ac:dyDescent="0.2">
      <c r="A89" s="30" t="str">
        <f>IF(C89&amp;G89&amp;D89&lt;&gt;'Funnel setup'!$K$3&amp;'Funnel setup'!$K$4&amp;'Funnel setup'!$K$5,".",IF(A88=".",1,A88+1))</f>
        <v>.</v>
      </c>
      <c r="B89" s="431" t="str">
        <f t="shared" si="1"/>
        <v>Groin HerniaCCG of GP PracticeNHS ISLE OF WIGHT CCG (10L)EQ VAS</v>
      </c>
      <c r="C89" t="s">
        <v>50</v>
      </c>
      <c r="D89" t="s">
        <v>87</v>
      </c>
      <c r="E89" t="s">
        <v>531</v>
      </c>
      <c r="F89" t="s">
        <v>532</v>
      </c>
      <c r="G89" t="s">
        <v>179</v>
      </c>
      <c r="H89">
        <v>49</v>
      </c>
      <c r="I89">
        <v>79.98</v>
      </c>
      <c r="J89">
        <v>76.388000000000005</v>
      </c>
      <c r="K89">
        <v>-3.5920000000000001</v>
      </c>
      <c r="L89">
        <v>16</v>
      </c>
      <c r="M89">
        <v>13</v>
      </c>
      <c r="N89">
        <v>20</v>
      </c>
      <c r="O89">
        <v>78.266999999999996</v>
      </c>
      <c r="P89">
        <v>-2.3780819449999999</v>
      </c>
      <c r="Q89">
        <v>13.07</v>
      </c>
    </row>
    <row r="90" spans="1:17" s="30" customFormat="1" x14ac:dyDescent="0.2">
      <c r="A90" s="30" t="str">
        <f>IF(C90&amp;G90&amp;D90&lt;&gt;'Funnel setup'!$K$3&amp;'Funnel setup'!$K$4&amp;'Funnel setup'!$K$5,".",IF(A89=".",1,A89+1))</f>
        <v>.</v>
      </c>
      <c r="B90" s="431" t="str">
        <f t="shared" si="1"/>
        <v>Groin HerniaCCG of GP PracticeNHS ISLINGTON CCG (08H)EQ VAS</v>
      </c>
      <c r="C90" t="s">
        <v>50</v>
      </c>
      <c r="D90" t="s">
        <v>87</v>
      </c>
      <c r="E90" t="s">
        <v>534</v>
      </c>
      <c r="F90" t="s">
        <v>535</v>
      </c>
      <c r="G90" t="s">
        <v>179</v>
      </c>
      <c r="H90">
        <v>26</v>
      </c>
      <c r="I90">
        <v>78.191999999999993</v>
      </c>
      <c r="J90">
        <v>74.076999999999998</v>
      </c>
      <c r="K90">
        <v>-4.1150000000000002</v>
      </c>
      <c r="L90">
        <v>8</v>
      </c>
      <c r="M90">
        <v>6</v>
      </c>
      <c r="N90">
        <v>12</v>
      </c>
      <c r="O90" t="s">
        <v>53</v>
      </c>
      <c r="P90" t="s">
        <v>53</v>
      </c>
      <c r="Q90" t="s">
        <v>53</v>
      </c>
    </row>
    <row r="91" spans="1:17" s="30" customFormat="1" x14ac:dyDescent="0.2">
      <c r="A91" s="30" t="str">
        <f>IF(C91&amp;G91&amp;D91&lt;&gt;'Funnel setup'!$K$3&amp;'Funnel setup'!$K$4&amp;'Funnel setup'!$K$5,".",IF(A90=".",1,A90+1))</f>
        <v>.</v>
      </c>
      <c r="B91" s="431" t="str">
        <f t="shared" si="1"/>
        <v>Groin HerniaCCG of GP PracticeNHS KERNOW CCG (11N)EQ VAS</v>
      </c>
      <c r="C91" t="s">
        <v>50</v>
      </c>
      <c r="D91" t="s">
        <v>87</v>
      </c>
      <c r="E91" t="s">
        <v>537</v>
      </c>
      <c r="F91" t="s">
        <v>538</v>
      </c>
      <c r="G91" t="s">
        <v>179</v>
      </c>
      <c r="H91">
        <v>223</v>
      </c>
      <c r="I91">
        <v>81.686000000000007</v>
      </c>
      <c r="J91">
        <v>81.888000000000005</v>
      </c>
      <c r="K91">
        <v>0.20200000000000001</v>
      </c>
      <c r="L91">
        <v>94</v>
      </c>
      <c r="M91">
        <v>44</v>
      </c>
      <c r="N91">
        <v>85</v>
      </c>
      <c r="O91">
        <v>81.159000000000006</v>
      </c>
      <c r="P91">
        <v>0.51320098800000002</v>
      </c>
      <c r="Q91">
        <v>12.141</v>
      </c>
    </row>
    <row r="92" spans="1:17" s="30" customFormat="1" x14ac:dyDescent="0.2">
      <c r="A92" s="30" t="str">
        <f>IF(C92&amp;G92&amp;D92&lt;&gt;'Funnel setup'!$K$3&amp;'Funnel setup'!$K$4&amp;'Funnel setup'!$K$5,".",IF(A91=".",1,A91+1))</f>
        <v>.</v>
      </c>
      <c r="B92" s="431" t="str">
        <f t="shared" si="1"/>
        <v>Groin HerniaCCG of GP PracticeNHS KINGSTON CCG (08J)EQ VAS</v>
      </c>
      <c r="C92" t="s">
        <v>50</v>
      </c>
      <c r="D92" t="s">
        <v>87</v>
      </c>
      <c r="E92" t="s">
        <v>540</v>
      </c>
      <c r="F92" t="s">
        <v>541</v>
      </c>
      <c r="G92" t="s">
        <v>179</v>
      </c>
      <c r="H92">
        <v>6</v>
      </c>
      <c r="I92">
        <v>81.832999999999998</v>
      </c>
      <c r="J92">
        <v>75.5</v>
      </c>
      <c r="K92">
        <v>-6.3330000000000002</v>
      </c>
      <c r="L92">
        <v>2</v>
      </c>
      <c r="M92">
        <v>2</v>
      </c>
      <c r="N92">
        <v>2</v>
      </c>
      <c r="O92" t="s">
        <v>53</v>
      </c>
      <c r="P92" t="s">
        <v>53</v>
      </c>
      <c r="Q92" t="s">
        <v>53</v>
      </c>
    </row>
    <row r="93" spans="1:17" s="30" customFormat="1" x14ac:dyDescent="0.2">
      <c r="A93" s="30" t="str">
        <f>IF(C93&amp;G93&amp;D93&lt;&gt;'Funnel setup'!$K$3&amp;'Funnel setup'!$K$4&amp;'Funnel setup'!$K$5,".",IF(A92=".",1,A92+1))</f>
        <v>.</v>
      </c>
      <c r="B93" s="431" t="str">
        <f t="shared" si="1"/>
        <v>Groin HerniaCCG of GP PracticeNHS KNOWSLEY CCG (01J)EQ VAS</v>
      </c>
      <c r="C93" t="s">
        <v>50</v>
      </c>
      <c r="D93" t="s">
        <v>87</v>
      </c>
      <c r="E93" t="s">
        <v>543</v>
      </c>
      <c r="F93" t="s">
        <v>544</v>
      </c>
      <c r="G93" t="s">
        <v>179</v>
      </c>
      <c r="H93">
        <v>39</v>
      </c>
      <c r="I93">
        <v>77.076999999999998</v>
      </c>
      <c r="J93">
        <v>76.974000000000004</v>
      </c>
      <c r="K93">
        <v>-0.10299999999999999</v>
      </c>
      <c r="L93">
        <v>16</v>
      </c>
      <c r="M93">
        <v>6</v>
      </c>
      <c r="N93">
        <v>17</v>
      </c>
      <c r="O93">
        <v>80.703000000000003</v>
      </c>
      <c r="P93">
        <v>5.7945578999999997E-2</v>
      </c>
      <c r="Q93">
        <v>14.051</v>
      </c>
    </row>
    <row r="94" spans="1:17" s="30" customFormat="1" x14ac:dyDescent="0.2">
      <c r="A94" s="30" t="str">
        <f>IF(C94&amp;G94&amp;D94&lt;&gt;'Funnel setup'!$K$3&amp;'Funnel setup'!$K$4&amp;'Funnel setup'!$K$5,".",IF(A93=".",1,A93+1))</f>
        <v>.</v>
      </c>
      <c r="B94" s="431" t="str">
        <f t="shared" si="1"/>
        <v>Groin HerniaCCG of GP PracticeNHS LAMBETH CCG (08K)EQ VAS</v>
      </c>
      <c r="C94" t="s">
        <v>50</v>
      </c>
      <c r="D94" t="s">
        <v>87</v>
      </c>
      <c r="E94" t="s">
        <v>546</v>
      </c>
      <c r="F94" t="s">
        <v>547</v>
      </c>
      <c r="G94" t="s">
        <v>179</v>
      </c>
      <c r="H94">
        <v>19</v>
      </c>
      <c r="I94">
        <v>78.894999999999996</v>
      </c>
      <c r="J94">
        <v>80.683999999999997</v>
      </c>
      <c r="K94">
        <v>1.7889999999999999</v>
      </c>
      <c r="L94">
        <v>10</v>
      </c>
      <c r="M94">
        <v>0</v>
      </c>
      <c r="N94">
        <v>9</v>
      </c>
      <c r="O94" t="s">
        <v>53</v>
      </c>
      <c r="P94" t="s">
        <v>53</v>
      </c>
      <c r="Q94" t="s">
        <v>53</v>
      </c>
    </row>
    <row r="95" spans="1:17" s="30" customFormat="1" x14ac:dyDescent="0.2">
      <c r="A95" s="30" t="str">
        <f>IF(C95&amp;G95&amp;D95&lt;&gt;'Funnel setup'!$K$3&amp;'Funnel setup'!$K$4&amp;'Funnel setup'!$K$5,".",IF(A94=".",1,A94+1))</f>
        <v>.</v>
      </c>
      <c r="B95" s="431" t="str">
        <f t="shared" si="1"/>
        <v>Groin HerniaCCG of GP PracticeNHS LANCASHIRE NORTH CCG (01K)EQ VAS</v>
      </c>
      <c r="C95" t="s">
        <v>50</v>
      </c>
      <c r="D95" t="s">
        <v>87</v>
      </c>
      <c r="E95" t="s">
        <v>549</v>
      </c>
      <c r="F95" t="s">
        <v>550</v>
      </c>
      <c r="G95" t="s">
        <v>179</v>
      </c>
      <c r="H95">
        <v>75</v>
      </c>
      <c r="I95">
        <v>78.760000000000005</v>
      </c>
      <c r="J95">
        <v>82.28</v>
      </c>
      <c r="K95">
        <v>3.52</v>
      </c>
      <c r="L95">
        <v>34</v>
      </c>
      <c r="M95">
        <v>14</v>
      </c>
      <c r="N95">
        <v>27</v>
      </c>
      <c r="O95">
        <v>82.206000000000003</v>
      </c>
      <c r="P95">
        <v>1.5601126750000001</v>
      </c>
      <c r="Q95">
        <v>11.537000000000001</v>
      </c>
    </row>
    <row r="96" spans="1:17" s="30" customFormat="1" x14ac:dyDescent="0.2">
      <c r="A96" s="30" t="str">
        <f>IF(C96&amp;G96&amp;D96&lt;&gt;'Funnel setup'!$K$3&amp;'Funnel setup'!$K$4&amp;'Funnel setup'!$K$5,".",IF(A95=".",1,A95+1))</f>
        <v>.</v>
      </c>
      <c r="B96" s="431" t="str">
        <f t="shared" si="1"/>
        <v>Groin HerniaCCG of GP PracticeNHS LEEDS NORTH CCG (02V)EQ VAS</v>
      </c>
      <c r="C96" t="s">
        <v>50</v>
      </c>
      <c r="D96" t="s">
        <v>87</v>
      </c>
      <c r="E96" t="s">
        <v>552</v>
      </c>
      <c r="F96" t="s">
        <v>337</v>
      </c>
      <c r="G96" t="s">
        <v>179</v>
      </c>
      <c r="H96">
        <v>109</v>
      </c>
      <c r="I96">
        <v>80.522999999999996</v>
      </c>
      <c r="J96">
        <v>80.210999999999999</v>
      </c>
      <c r="K96">
        <v>-0.312</v>
      </c>
      <c r="L96">
        <v>40</v>
      </c>
      <c r="M96">
        <v>24</v>
      </c>
      <c r="N96">
        <v>45</v>
      </c>
      <c r="O96">
        <v>80.320999999999998</v>
      </c>
      <c r="P96">
        <v>-0.32399546200000001</v>
      </c>
      <c r="Q96">
        <v>10.754</v>
      </c>
    </row>
    <row r="97" spans="1:17" s="30" customFormat="1" x14ac:dyDescent="0.2">
      <c r="A97" s="30" t="str">
        <f>IF(C97&amp;G97&amp;D97&lt;&gt;'Funnel setup'!$K$3&amp;'Funnel setup'!$K$4&amp;'Funnel setup'!$K$5,".",IF(A96=".",1,A96+1))</f>
        <v>.</v>
      </c>
      <c r="B97" s="431" t="str">
        <f t="shared" si="1"/>
        <v>Groin HerniaCCG of GP PracticeNHS LEEDS SOUTH AND EAST CCG (03G)EQ VAS</v>
      </c>
      <c r="C97" t="s">
        <v>50</v>
      </c>
      <c r="D97" t="s">
        <v>87</v>
      </c>
      <c r="E97" t="s">
        <v>396</v>
      </c>
      <c r="F97" t="s">
        <v>397</v>
      </c>
      <c r="G97" t="s">
        <v>179</v>
      </c>
      <c r="H97">
        <v>70</v>
      </c>
      <c r="I97">
        <v>81.171000000000006</v>
      </c>
      <c r="J97">
        <v>82.370999999999995</v>
      </c>
      <c r="K97">
        <v>1.2</v>
      </c>
      <c r="L97">
        <v>30</v>
      </c>
      <c r="M97">
        <v>16</v>
      </c>
      <c r="N97">
        <v>24</v>
      </c>
      <c r="O97">
        <v>81.242000000000004</v>
      </c>
      <c r="P97">
        <v>0.59664980700000003</v>
      </c>
      <c r="Q97">
        <v>13.19</v>
      </c>
    </row>
    <row r="98" spans="1:17" s="30" customFormat="1" x14ac:dyDescent="0.2">
      <c r="A98" s="30" t="str">
        <f>IF(C98&amp;G98&amp;D98&lt;&gt;'Funnel setup'!$K$3&amp;'Funnel setup'!$K$4&amp;'Funnel setup'!$K$5,".",IF(A97=".",1,A97+1))</f>
        <v>.</v>
      </c>
      <c r="B98" s="431" t="str">
        <f t="shared" si="1"/>
        <v>Groin HerniaCCG of GP PracticeNHS LEEDS WEST CCG (03C)EQ VAS</v>
      </c>
      <c r="C98" t="s">
        <v>50</v>
      </c>
      <c r="D98" t="s">
        <v>87</v>
      </c>
      <c r="E98" t="s">
        <v>399</v>
      </c>
      <c r="F98" t="s">
        <v>400</v>
      </c>
      <c r="G98" t="s">
        <v>179</v>
      </c>
      <c r="H98">
        <v>109</v>
      </c>
      <c r="I98">
        <v>78.742999999999995</v>
      </c>
      <c r="J98">
        <v>81.587000000000003</v>
      </c>
      <c r="K98">
        <v>2.8439999999999999</v>
      </c>
      <c r="L98">
        <v>50</v>
      </c>
      <c r="M98">
        <v>20</v>
      </c>
      <c r="N98">
        <v>39</v>
      </c>
      <c r="O98">
        <v>81.906000000000006</v>
      </c>
      <c r="P98">
        <v>1.260186595</v>
      </c>
      <c r="Q98">
        <v>9.9369999999999994</v>
      </c>
    </row>
    <row r="99" spans="1:17" s="30" customFormat="1" x14ac:dyDescent="0.2">
      <c r="A99" s="30" t="str">
        <f>IF(C99&amp;G99&amp;D99&lt;&gt;'Funnel setup'!$K$3&amp;'Funnel setup'!$K$4&amp;'Funnel setup'!$K$5,".",IF(A98=".",1,A98+1))</f>
        <v>.</v>
      </c>
      <c r="B99" s="431" t="str">
        <f t="shared" si="1"/>
        <v>Groin HerniaCCG of GP PracticeNHS LEICESTER CITY CCG (04C)EQ VAS</v>
      </c>
      <c r="C99" t="s">
        <v>50</v>
      </c>
      <c r="D99" t="s">
        <v>87</v>
      </c>
      <c r="E99" t="s">
        <v>554</v>
      </c>
      <c r="F99" t="s">
        <v>555</v>
      </c>
      <c r="G99" t="s">
        <v>179</v>
      </c>
      <c r="H99">
        <v>92</v>
      </c>
      <c r="I99">
        <v>77.522000000000006</v>
      </c>
      <c r="J99">
        <v>78.533000000000001</v>
      </c>
      <c r="K99">
        <v>1.0109999999999999</v>
      </c>
      <c r="L99">
        <v>39</v>
      </c>
      <c r="M99">
        <v>12</v>
      </c>
      <c r="N99">
        <v>41</v>
      </c>
      <c r="O99">
        <v>81.37</v>
      </c>
      <c r="P99">
        <v>0.724813806</v>
      </c>
      <c r="Q99">
        <v>12.734</v>
      </c>
    </row>
    <row r="100" spans="1:17" s="30" customFormat="1" x14ac:dyDescent="0.2">
      <c r="A100" s="30" t="str">
        <f>IF(C100&amp;G100&amp;D100&lt;&gt;'Funnel setup'!$K$3&amp;'Funnel setup'!$K$4&amp;'Funnel setup'!$K$5,".",IF(A99=".",1,A99+1))</f>
        <v>.</v>
      </c>
      <c r="B100" s="431" t="str">
        <f t="shared" si="1"/>
        <v>Groin HerniaCCG of GP PracticeNHS LEWISHAM CCG (08L)EQ VAS</v>
      </c>
      <c r="C100" t="s">
        <v>50</v>
      </c>
      <c r="D100" t="s">
        <v>87</v>
      </c>
      <c r="E100" t="s">
        <v>557</v>
      </c>
      <c r="F100" t="s">
        <v>558</v>
      </c>
      <c r="G100" t="s">
        <v>179</v>
      </c>
      <c r="H100">
        <v>101</v>
      </c>
      <c r="I100">
        <v>78.653000000000006</v>
      </c>
      <c r="J100">
        <v>79.911000000000001</v>
      </c>
      <c r="K100">
        <v>1.2569999999999999</v>
      </c>
      <c r="L100">
        <v>42</v>
      </c>
      <c r="M100">
        <v>17</v>
      </c>
      <c r="N100">
        <v>42</v>
      </c>
      <c r="O100">
        <v>81.281000000000006</v>
      </c>
      <c r="P100">
        <v>0.63603279300000004</v>
      </c>
      <c r="Q100">
        <v>12.176</v>
      </c>
    </row>
    <row r="101" spans="1:17" s="30" customFormat="1" x14ac:dyDescent="0.2">
      <c r="A101" s="30" t="str">
        <f>IF(C101&amp;G101&amp;D101&lt;&gt;'Funnel setup'!$K$3&amp;'Funnel setup'!$K$4&amp;'Funnel setup'!$K$5,".",IF(A100=".",1,A100+1))</f>
        <v>.</v>
      </c>
      <c r="B101" s="431" t="str">
        <f t="shared" si="1"/>
        <v>Groin HerniaCCG of GP PracticeNHS LINCOLNSHIRE EAST CCG (03T)EQ VAS</v>
      </c>
      <c r="C101" t="s">
        <v>50</v>
      </c>
      <c r="D101" t="s">
        <v>87</v>
      </c>
      <c r="E101" t="s">
        <v>560</v>
      </c>
      <c r="F101" t="s">
        <v>561</v>
      </c>
      <c r="G101" t="s">
        <v>179</v>
      </c>
      <c r="H101">
        <v>124</v>
      </c>
      <c r="I101">
        <v>80.677000000000007</v>
      </c>
      <c r="J101">
        <v>82.694000000000003</v>
      </c>
      <c r="K101">
        <v>2.016</v>
      </c>
      <c r="L101">
        <v>62</v>
      </c>
      <c r="M101">
        <v>16</v>
      </c>
      <c r="N101">
        <v>46</v>
      </c>
      <c r="O101">
        <v>83.063000000000002</v>
      </c>
      <c r="P101">
        <v>2.417303768</v>
      </c>
      <c r="Q101">
        <v>12.141999999999999</v>
      </c>
    </row>
    <row r="102" spans="1:17" s="30" customFormat="1" x14ac:dyDescent="0.2">
      <c r="A102" s="30" t="str">
        <f>IF(C102&amp;G102&amp;D102&lt;&gt;'Funnel setup'!$K$3&amp;'Funnel setup'!$K$4&amp;'Funnel setup'!$K$5,".",IF(A101=".",1,A101+1))</f>
        <v>.</v>
      </c>
      <c r="B102" s="431" t="str">
        <f t="shared" si="1"/>
        <v>Groin HerniaCCG of GP PracticeNHS LINCOLNSHIRE WEST CCG (04D)EQ VAS</v>
      </c>
      <c r="C102" t="s">
        <v>50</v>
      </c>
      <c r="D102" t="s">
        <v>87</v>
      </c>
      <c r="E102" t="s">
        <v>408</v>
      </c>
      <c r="F102" t="s">
        <v>409</v>
      </c>
      <c r="G102" t="s">
        <v>179</v>
      </c>
      <c r="H102">
        <v>56</v>
      </c>
      <c r="I102">
        <v>79.445999999999998</v>
      </c>
      <c r="J102">
        <v>77.804000000000002</v>
      </c>
      <c r="K102">
        <v>-1.643</v>
      </c>
      <c r="L102">
        <v>18</v>
      </c>
      <c r="M102">
        <v>12</v>
      </c>
      <c r="N102">
        <v>26</v>
      </c>
      <c r="O102">
        <v>79.278999999999996</v>
      </c>
      <c r="P102">
        <v>-1.3664090120000001</v>
      </c>
      <c r="Q102">
        <v>10.613</v>
      </c>
    </row>
    <row r="103" spans="1:17" s="30" customFormat="1" x14ac:dyDescent="0.2">
      <c r="A103" s="30" t="str">
        <f>IF(C103&amp;G103&amp;D103&lt;&gt;'Funnel setup'!$K$3&amp;'Funnel setup'!$K$4&amp;'Funnel setup'!$K$5,".",IF(A102=".",1,A102+1))</f>
        <v>.</v>
      </c>
      <c r="B103" s="431" t="str">
        <f t="shared" si="1"/>
        <v>Groin HerniaCCG of GP PracticeNHS LIVERPOOL CCG (99A)EQ VAS</v>
      </c>
      <c r="C103" t="s">
        <v>50</v>
      </c>
      <c r="D103" t="s">
        <v>87</v>
      </c>
      <c r="E103" t="s">
        <v>411</v>
      </c>
      <c r="F103" t="s">
        <v>412</v>
      </c>
      <c r="G103" t="s">
        <v>179</v>
      </c>
      <c r="H103">
        <v>106</v>
      </c>
      <c r="I103">
        <v>79.613</v>
      </c>
      <c r="J103">
        <v>78.406000000000006</v>
      </c>
      <c r="K103">
        <v>-1.208</v>
      </c>
      <c r="L103">
        <v>42</v>
      </c>
      <c r="M103">
        <v>16</v>
      </c>
      <c r="N103">
        <v>48</v>
      </c>
      <c r="O103">
        <v>80.876000000000005</v>
      </c>
      <c r="P103">
        <v>0.23056875199999999</v>
      </c>
      <c r="Q103">
        <v>12.180999999999999</v>
      </c>
    </row>
    <row r="104" spans="1:17" s="30" customFormat="1" x14ac:dyDescent="0.2">
      <c r="A104" s="30" t="str">
        <f>IF(C104&amp;G104&amp;D104&lt;&gt;'Funnel setup'!$K$3&amp;'Funnel setup'!$K$4&amp;'Funnel setup'!$K$5,".",IF(A103=".",1,A103+1))</f>
        <v>.</v>
      </c>
      <c r="B104" s="431" t="str">
        <f t="shared" si="1"/>
        <v>Groin HerniaCCG of GP PracticeNHS LUTON CCG (06P)EQ VAS</v>
      </c>
      <c r="C104" t="s">
        <v>50</v>
      </c>
      <c r="D104" t="s">
        <v>87</v>
      </c>
      <c r="E104" t="s">
        <v>414</v>
      </c>
      <c r="F104" t="s">
        <v>415</v>
      </c>
      <c r="G104" t="s">
        <v>179</v>
      </c>
      <c r="H104">
        <v>72</v>
      </c>
      <c r="I104">
        <v>75.444000000000003</v>
      </c>
      <c r="J104">
        <v>79.138999999999996</v>
      </c>
      <c r="K104">
        <v>3.694</v>
      </c>
      <c r="L104">
        <v>36</v>
      </c>
      <c r="M104">
        <v>12</v>
      </c>
      <c r="N104">
        <v>24</v>
      </c>
      <c r="O104">
        <v>82.634</v>
      </c>
      <c r="P104">
        <v>1.9888673670000001</v>
      </c>
      <c r="Q104">
        <v>12.451000000000001</v>
      </c>
    </row>
    <row r="105" spans="1:17" s="30" customFormat="1" x14ac:dyDescent="0.2">
      <c r="A105" s="30" t="str">
        <f>IF(C105&amp;G105&amp;D105&lt;&gt;'Funnel setup'!$K$3&amp;'Funnel setup'!$K$4&amp;'Funnel setup'!$K$5,".",IF(A104=".",1,A104+1))</f>
        <v>.</v>
      </c>
      <c r="B105" s="431" t="str">
        <f t="shared" si="1"/>
        <v>Groin HerniaCCG of GP PracticeNHS MANSFIELD AND ASHFIELD CCG (04E)EQ VAS</v>
      </c>
      <c r="C105" t="s">
        <v>50</v>
      </c>
      <c r="D105" t="s">
        <v>87</v>
      </c>
      <c r="E105" t="s">
        <v>417</v>
      </c>
      <c r="F105" t="s">
        <v>418</v>
      </c>
      <c r="G105" t="s">
        <v>179</v>
      </c>
      <c r="H105">
        <v>112</v>
      </c>
      <c r="I105">
        <v>79.018000000000001</v>
      </c>
      <c r="J105">
        <v>78.106999999999999</v>
      </c>
      <c r="K105">
        <v>-0.91100000000000003</v>
      </c>
      <c r="L105">
        <v>45</v>
      </c>
      <c r="M105">
        <v>25</v>
      </c>
      <c r="N105">
        <v>42</v>
      </c>
      <c r="O105">
        <v>80.191000000000003</v>
      </c>
      <c r="P105">
        <v>-0.45467765399999999</v>
      </c>
      <c r="Q105">
        <v>11.257999999999999</v>
      </c>
    </row>
    <row r="106" spans="1:17" s="30" customFormat="1" x14ac:dyDescent="0.2">
      <c r="A106" s="30" t="str">
        <f>IF(C106&amp;G106&amp;D106&lt;&gt;'Funnel setup'!$K$3&amp;'Funnel setup'!$K$4&amp;'Funnel setup'!$K$5,".",IF(A105=".",1,A105+1))</f>
        <v>.</v>
      </c>
      <c r="B106" s="431" t="str">
        <f t="shared" si="1"/>
        <v>Groin HerniaCCG of GP PracticeNHS MEDWAY CCG (09W)EQ VAS</v>
      </c>
      <c r="C106" t="s">
        <v>50</v>
      </c>
      <c r="D106" t="s">
        <v>87</v>
      </c>
      <c r="E106" t="s">
        <v>610</v>
      </c>
      <c r="F106" t="s">
        <v>611</v>
      </c>
      <c r="G106" t="s">
        <v>179</v>
      </c>
      <c r="H106">
        <v>84</v>
      </c>
      <c r="I106">
        <v>81.512</v>
      </c>
      <c r="J106">
        <v>81.036000000000001</v>
      </c>
      <c r="K106">
        <v>-0.47599999999999998</v>
      </c>
      <c r="L106">
        <v>34</v>
      </c>
      <c r="M106">
        <v>22</v>
      </c>
      <c r="N106">
        <v>28</v>
      </c>
      <c r="O106">
        <v>81.009</v>
      </c>
      <c r="P106">
        <v>0.36366873</v>
      </c>
      <c r="Q106">
        <v>11.476000000000001</v>
      </c>
    </row>
    <row r="107" spans="1:17" s="30" customFormat="1" x14ac:dyDescent="0.2">
      <c r="A107" s="30" t="str">
        <f>IF(C107&amp;G107&amp;D107&lt;&gt;'Funnel setup'!$K$3&amp;'Funnel setup'!$K$4&amp;'Funnel setup'!$K$5,".",IF(A106=".",1,A106+1))</f>
        <v>.</v>
      </c>
      <c r="B107" s="431" t="str">
        <f t="shared" si="1"/>
        <v>Groin HerniaCCG of GP PracticeNHS MERTON CCG (08R)EQ VAS</v>
      </c>
      <c r="C107" t="s">
        <v>50</v>
      </c>
      <c r="D107" t="s">
        <v>87</v>
      </c>
      <c r="E107" t="s">
        <v>613</v>
      </c>
      <c r="F107" t="s">
        <v>614</v>
      </c>
      <c r="G107" t="s">
        <v>179</v>
      </c>
      <c r="H107">
        <v>29</v>
      </c>
      <c r="I107">
        <v>82.620999999999995</v>
      </c>
      <c r="J107">
        <v>80.483000000000004</v>
      </c>
      <c r="K107">
        <v>-2.1379999999999999</v>
      </c>
      <c r="L107">
        <v>8</v>
      </c>
      <c r="M107">
        <v>6</v>
      </c>
      <c r="N107">
        <v>15</v>
      </c>
      <c r="O107" t="s">
        <v>53</v>
      </c>
      <c r="P107" t="s">
        <v>53</v>
      </c>
      <c r="Q107" t="s">
        <v>53</v>
      </c>
    </row>
    <row r="108" spans="1:17" s="30" customFormat="1" x14ac:dyDescent="0.2">
      <c r="A108" s="30" t="str">
        <f>IF(C108&amp;G108&amp;D108&lt;&gt;'Funnel setup'!$K$3&amp;'Funnel setup'!$K$4&amp;'Funnel setup'!$K$5,".",IF(A107=".",1,A107+1))</f>
        <v>.</v>
      </c>
      <c r="B108" s="431" t="str">
        <f t="shared" si="1"/>
        <v>Groin HerniaCCG of GP PracticeNHS MID ESSEX CCG (06Q)EQ VAS</v>
      </c>
      <c r="C108" t="s">
        <v>50</v>
      </c>
      <c r="D108" t="s">
        <v>87</v>
      </c>
      <c r="E108" t="s">
        <v>616</v>
      </c>
      <c r="F108" t="s">
        <v>617</v>
      </c>
      <c r="G108" t="s">
        <v>179</v>
      </c>
      <c r="H108">
        <v>154</v>
      </c>
      <c r="I108">
        <v>80.480999999999995</v>
      </c>
      <c r="J108">
        <v>80.649000000000001</v>
      </c>
      <c r="K108">
        <v>0.16900000000000001</v>
      </c>
      <c r="L108">
        <v>59</v>
      </c>
      <c r="M108">
        <v>37</v>
      </c>
      <c r="N108">
        <v>58</v>
      </c>
      <c r="O108">
        <v>80.656000000000006</v>
      </c>
      <c r="P108">
        <v>1.1024767E-2</v>
      </c>
      <c r="Q108">
        <v>10.779</v>
      </c>
    </row>
    <row r="109" spans="1:17" s="30" customFormat="1" x14ac:dyDescent="0.2">
      <c r="A109" s="30" t="str">
        <f>IF(C109&amp;G109&amp;D109&lt;&gt;'Funnel setup'!$K$3&amp;'Funnel setup'!$K$4&amp;'Funnel setup'!$K$5,".",IF(A108=".",1,A108+1))</f>
        <v>.</v>
      </c>
      <c r="B109" s="431" t="str">
        <f t="shared" si="1"/>
        <v>Groin HerniaCCG of GP PracticeNHS MILTON KEYNES CCG (04F)EQ VAS</v>
      </c>
      <c r="C109" t="s">
        <v>50</v>
      </c>
      <c r="D109" t="s">
        <v>87</v>
      </c>
      <c r="E109" t="s">
        <v>619</v>
      </c>
      <c r="F109" t="s">
        <v>338</v>
      </c>
      <c r="G109" t="s">
        <v>179</v>
      </c>
      <c r="H109">
        <v>93</v>
      </c>
      <c r="I109">
        <v>79.075000000000003</v>
      </c>
      <c r="J109">
        <v>78.257999999999996</v>
      </c>
      <c r="K109">
        <v>-0.81699999999999995</v>
      </c>
      <c r="L109">
        <v>38</v>
      </c>
      <c r="M109">
        <v>16</v>
      </c>
      <c r="N109">
        <v>39</v>
      </c>
      <c r="O109">
        <v>78.718999999999994</v>
      </c>
      <c r="P109">
        <v>-1.9260127810000001</v>
      </c>
      <c r="Q109">
        <v>11.616</v>
      </c>
    </row>
    <row r="110" spans="1:17" s="30" customFormat="1" x14ac:dyDescent="0.2">
      <c r="A110" s="30" t="str">
        <f>IF(C110&amp;G110&amp;D110&lt;&gt;'Funnel setup'!$K$3&amp;'Funnel setup'!$K$4&amp;'Funnel setup'!$K$5,".",IF(A109=".",1,A109+1))</f>
        <v>.</v>
      </c>
      <c r="B110" s="431" t="str">
        <f t="shared" si="1"/>
        <v>Groin HerniaCCG of GP PracticeNHS NENE CCG (04G)EQ VAS</v>
      </c>
      <c r="C110" t="s">
        <v>50</v>
      </c>
      <c r="D110" t="s">
        <v>87</v>
      </c>
      <c r="E110" t="s">
        <v>621</v>
      </c>
      <c r="F110" t="s">
        <v>622</v>
      </c>
      <c r="G110" t="s">
        <v>179</v>
      </c>
      <c r="H110">
        <v>210</v>
      </c>
      <c r="I110">
        <v>77.513999999999996</v>
      </c>
      <c r="J110">
        <v>81.566999999999993</v>
      </c>
      <c r="K110">
        <v>4.0519999999999996</v>
      </c>
      <c r="L110">
        <v>94</v>
      </c>
      <c r="M110">
        <v>39</v>
      </c>
      <c r="N110">
        <v>77</v>
      </c>
      <c r="O110">
        <v>82.472999999999999</v>
      </c>
      <c r="P110">
        <v>1.827679925</v>
      </c>
      <c r="Q110">
        <v>13.166</v>
      </c>
    </row>
    <row r="111" spans="1:17" s="30" customFormat="1" x14ac:dyDescent="0.2">
      <c r="A111" s="30" t="str">
        <f>IF(C111&amp;G111&amp;D111&lt;&gt;'Funnel setup'!$K$3&amp;'Funnel setup'!$K$4&amp;'Funnel setup'!$K$5,".",IF(A110=".",1,A110+1))</f>
        <v>.</v>
      </c>
      <c r="B111" s="431" t="str">
        <f t="shared" si="1"/>
        <v>Groin HerniaCCG of GP PracticeNHS NEWARK &amp; SHERWOOD CCG (04H)EQ VAS</v>
      </c>
      <c r="C111" t="s">
        <v>50</v>
      </c>
      <c r="D111" t="s">
        <v>87</v>
      </c>
      <c r="E111" t="s">
        <v>624</v>
      </c>
      <c r="F111" t="s">
        <v>625</v>
      </c>
      <c r="G111" t="s">
        <v>179</v>
      </c>
      <c r="H111">
        <v>93</v>
      </c>
      <c r="I111">
        <v>77.730999999999995</v>
      </c>
      <c r="J111">
        <v>79.796000000000006</v>
      </c>
      <c r="K111">
        <v>2.0649999999999999</v>
      </c>
      <c r="L111">
        <v>42</v>
      </c>
      <c r="M111">
        <v>18</v>
      </c>
      <c r="N111">
        <v>33</v>
      </c>
      <c r="O111">
        <v>81.564999999999998</v>
      </c>
      <c r="P111">
        <v>0.91975530400000005</v>
      </c>
      <c r="Q111">
        <v>13.119</v>
      </c>
    </row>
    <row r="112" spans="1:17" s="30" customFormat="1" x14ac:dyDescent="0.2">
      <c r="A112" s="30" t="str">
        <f>IF(C112&amp;G112&amp;D112&lt;&gt;'Funnel setup'!$K$3&amp;'Funnel setup'!$K$4&amp;'Funnel setup'!$K$5,".",IF(A111=".",1,A111+1))</f>
        <v>.</v>
      </c>
      <c r="B112" s="431" t="str">
        <f t="shared" si="1"/>
        <v>Groin HerniaCCG of GP PracticeNHS NEWBURY AND DISTRICT CCG (10M)EQ VAS</v>
      </c>
      <c r="C112" t="s">
        <v>50</v>
      </c>
      <c r="D112" t="s">
        <v>87</v>
      </c>
      <c r="E112" t="s">
        <v>627</v>
      </c>
      <c r="F112" t="s">
        <v>628</v>
      </c>
      <c r="G112" t="s">
        <v>179</v>
      </c>
      <c r="H112">
        <v>23</v>
      </c>
      <c r="I112">
        <v>85.522000000000006</v>
      </c>
      <c r="J112">
        <v>84.391000000000005</v>
      </c>
      <c r="K112">
        <v>-1.1299999999999999</v>
      </c>
      <c r="L112">
        <v>9</v>
      </c>
      <c r="M112">
        <v>6</v>
      </c>
      <c r="N112">
        <v>8</v>
      </c>
      <c r="O112" t="s">
        <v>53</v>
      </c>
      <c r="P112" t="s">
        <v>53</v>
      </c>
      <c r="Q112" t="s">
        <v>53</v>
      </c>
    </row>
    <row r="113" spans="1:17" s="30" customFormat="1" x14ac:dyDescent="0.2">
      <c r="A113" s="30" t="str">
        <f>IF(C113&amp;G113&amp;D113&lt;&gt;'Funnel setup'!$K$3&amp;'Funnel setup'!$K$4&amp;'Funnel setup'!$K$5,".",IF(A112=".",1,A112+1))</f>
        <v>.</v>
      </c>
      <c r="B113" s="431" t="str">
        <f t="shared" si="1"/>
        <v>Groin HerniaCCG of GP PracticeNHS NEWCASTLE GATESHEAD CCG (13T)EQ VAS</v>
      </c>
      <c r="C113" t="s">
        <v>50</v>
      </c>
      <c r="D113" t="s">
        <v>87</v>
      </c>
      <c r="E113" t="s">
        <v>6553</v>
      </c>
      <c r="F113" t="s">
        <v>6543</v>
      </c>
      <c r="G113" t="s">
        <v>179</v>
      </c>
      <c r="H113">
        <v>178</v>
      </c>
      <c r="I113">
        <v>81.960999999999999</v>
      </c>
      <c r="J113">
        <v>79.551000000000002</v>
      </c>
      <c r="K113">
        <v>-2.41</v>
      </c>
      <c r="L113">
        <v>56</v>
      </c>
      <c r="M113">
        <v>38</v>
      </c>
      <c r="N113">
        <v>84</v>
      </c>
      <c r="O113">
        <v>78.927999999999997</v>
      </c>
      <c r="P113">
        <v>-1.717823514</v>
      </c>
      <c r="Q113">
        <v>12.8</v>
      </c>
    </row>
    <row r="114" spans="1:17" s="30" customFormat="1" x14ac:dyDescent="0.2">
      <c r="A114" s="30" t="str">
        <f>IF(C114&amp;G114&amp;D114&lt;&gt;'Funnel setup'!$K$3&amp;'Funnel setup'!$K$4&amp;'Funnel setup'!$K$5,".",IF(A113=".",1,A113+1))</f>
        <v>.</v>
      </c>
      <c r="B114" s="431" t="str">
        <f t="shared" si="1"/>
        <v>Groin HerniaCCG of GP PracticeNHS NEWHAM CCG (08M)EQ VAS</v>
      </c>
      <c r="C114" t="s">
        <v>50</v>
      </c>
      <c r="D114" t="s">
        <v>87</v>
      </c>
      <c r="E114" t="s">
        <v>630</v>
      </c>
      <c r="F114" t="s">
        <v>631</v>
      </c>
      <c r="G114" t="s">
        <v>179</v>
      </c>
      <c r="H114">
        <v>49</v>
      </c>
      <c r="I114">
        <v>80.183999999999997</v>
      </c>
      <c r="J114">
        <v>73.408000000000001</v>
      </c>
      <c r="K114">
        <v>-6.7759999999999998</v>
      </c>
      <c r="L114">
        <v>13</v>
      </c>
      <c r="M114">
        <v>8</v>
      </c>
      <c r="N114">
        <v>28</v>
      </c>
      <c r="O114">
        <v>75.926000000000002</v>
      </c>
      <c r="P114">
        <v>-4.7189693869999996</v>
      </c>
      <c r="Q114">
        <v>18.032</v>
      </c>
    </row>
    <row r="115" spans="1:17" s="30" customFormat="1" x14ac:dyDescent="0.2">
      <c r="A115" s="30" t="str">
        <f>IF(C115&amp;G115&amp;D115&lt;&gt;'Funnel setup'!$K$3&amp;'Funnel setup'!$K$4&amp;'Funnel setup'!$K$5,".",IF(A114=".",1,A114+1))</f>
        <v>.</v>
      </c>
      <c r="B115" s="431" t="str">
        <f t="shared" si="1"/>
        <v>Groin HerniaCCG of GP PracticeNHS NORTH &amp; WEST READING CCG (10N)EQ VAS</v>
      </c>
      <c r="C115" t="s">
        <v>50</v>
      </c>
      <c r="D115" t="s">
        <v>87</v>
      </c>
      <c r="E115" t="s">
        <v>633</v>
      </c>
      <c r="F115" t="s">
        <v>634</v>
      </c>
      <c r="G115" t="s">
        <v>179</v>
      </c>
      <c r="H115">
        <v>33</v>
      </c>
      <c r="I115">
        <v>82.727000000000004</v>
      </c>
      <c r="J115">
        <v>82.635999999999996</v>
      </c>
      <c r="K115">
        <v>-9.0999999999999998E-2</v>
      </c>
      <c r="L115">
        <v>12</v>
      </c>
      <c r="M115">
        <v>7</v>
      </c>
      <c r="N115">
        <v>14</v>
      </c>
      <c r="O115">
        <v>81.266999999999996</v>
      </c>
      <c r="P115">
        <v>0.62128750099999996</v>
      </c>
      <c r="Q115">
        <v>9.234</v>
      </c>
    </row>
    <row r="116" spans="1:17" s="30" customFormat="1" x14ac:dyDescent="0.2">
      <c r="A116" s="30" t="str">
        <f>IF(C116&amp;G116&amp;D116&lt;&gt;'Funnel setup'!$K$3&amp;'Funnel setup'!$K$4&amp;'Funnel setup'!$K$5,".",IF(A115=".",1,A115+1))</f>
        <v>.</v>
      </c>
      <c r="B116" s="431" t="str">
        <f t="shared" si="1"/>
        <v>Groin HerniaCCG of GP PracticeNHS NORTH DERBYSHIRE CCG (04J)EQ VAS</v>
      </c>
      <c r="C116" t="s">
        <v>50</v>
      </c>
      <c r="D116" t="s">
        <v>87</v>
      </c>
      <c r="E116" t="s">
        <v>636</v>
      </c>
      <c r="F116" t="s">
        <v>637</v>
      </c>
      <c r="G116" t="s">
        <v>179</v>
      </c>
      <c r="H116">
        <v>148</v>
      </c>
      <c r="I116">
        <v>82.290999999999997</v>
      </c>
      <c r="J116">
        <v>80.77</v>
      </c>
      <c r="K116">
        <v>-1.52</v>
      </c>
      <c r="L116">
        <v>53</v>
      </c>
      <c r="M116">
        <v>28</v>
      </c>
      <c r="N116">
        <v>67</v>
      </c>
      <c r="O116">
        <v>80.254999999999995</v>
      </c>
      <c r="P116">
        <v>-0.389948868</v>
      </c>
      <c r="Q116">
        <v>9.8780000000000001</v>
      </c>
    </row>
    <row r="117" spans="1:17" s="30" customFormat="1" x14ac:dyDescent="0.2">
      <c r="A117" s="30" t="str">
        <f>IF(C117&amp;G117&amp;D117&lt;&gt;'Funnel setup'!$K$3&amp;'Funnel setup'!$K$4&amp;'Funnel setup'!$K$5,".",IF(A116=".",1,A116+1))</f>
        <v>.</v>
      </c>
      <c r="B117" s="431" t="str">
        <f t="shared" si="1"/>
        <v>Groin HerniaCCG of GP PracticeNHS NORTH DURHAM CCG (00J)EQ VAS</v>
      </c>
      <c r="C117" t="s">
        <v>50</v>
      </c>
      <c r="D117" t="s">
        <v>87</v>
      </c>
      <c r="E117" t="s">
        <v>639</v>
      </c>
      <c r="F117" t="s">
        <v>640</v>
      </c>
      <c r="G117" t="s">
        <v>179</v>
      </c>
      <c r="H117">
        <v>137</v>
      </c>
      <c r="I117">
        <v>80.307000000000002</v>
      </c>
      <c r="J117">
        <v>77.584000000000003</v>
      </c>
      <c r="K117">
        <v>-2.7229999999999999</v>
      </c>
      <c r="L117">
        <v>42</v>
      </c>
      <c r="M117">
        <v>28</v>
      </c>
      <c r="N117">
        <v>67</v>
      </c>
      <c r="O117">
        <v>77.867000000000004</v>
      </c>
      <c r="P117">
        <v>-2.778040861</v>
      </c>
      <c r="Q117">
        <v>12.298</v>
      </c>
    </row>
    <row r="118" spans="1:17" s="30" customFormat="1" x14ac:dyDescent="0.2">
      <c r="A118" s="30" t="str">
        <f>IF(C118&amp;G118&amp;D118&lt;&gt;'Funnel setup'!$K$3&amp;'Funnel setup'!$K$4&amp;'Funnel setup'!$K$5,".",IF(A117=".",1,A117+1))</f>
        <v>.</v>
      </c>
      <c r="B118" s="431" t="str">
        <f t="shared" si="1"/>
        <v>Groin HerniaCCG of GP PracticeNHS NORTH EAST ESSEX CCG (06T)EQ VAS</v>
      </c>
      <c r="C118" t="s">
        <v>50</v>
      </c>
      <c r="D118" t="s">
        <v>87</v>
      </c>
      <c r="E118" t="s">
        <v>642</v>
      </c>
      <c r="F118" t="s">
        <v>643</v>
      </c>
      <c r="G118" t="s">
        <v>179</v>
      </c>
      <c r="H118">
        <v>204</v>
      </c>
      <c r="I118">
        <v>77.77</v>
      </c>
      <c r="J118">
        <v>77.789000000000001</v>
      </c>
      <c r="K118">
        <v>0.02</v>
      </c>
      <c r="L118">
        <v>75</v>
      </c>
      <c r="M118">
        <v>44</v>
      </c>
      <c r="N118">
        <v>85</v>
      </c>
      <c r="O118">
        <v>79.938000000000002</v>
      </c>
      <c r="P118">
        <v>-0.70712476000000002</v>
      </c>
      <c r="Q118">
        <v>12.183999999999999</v>
      </c>
    </row>
    <row r="119" spans="1:17" s="30" customFormat="1" x14ac:dyDescent="0.2">
      <c r="A119" s="30" t="str">
        <f>IF(C119&amp;G119&amp;D119&lt;&gt;'Funnel setup'!$K$3&amp;'Funnel setup'!$K$4&amp;'Funnel setup'!$K$5,".",IF(A118=".",1,A118+1))</f>
        <v>.</v>
      </c>
      <c r="B119" s="431" t="str">
        <f t="shared" si="1"/>
        <v>Groin HerniaCCG of GP PracticeNHS NORTH EAST HAMPSHIRE AND FARNHAM CCG (99M)EQ VAS</v>
      </c>
      <c r="C119" t="s">
        <v>50</v>
      </c>
      <c r="D119" t="s">
        <v>87</v>
      </c>
      <c r="E119" t="s">
        <v>645</v>
      </c>
      <c r="F119" t="s">
        <v>646</v>
      </c>
      <c r="G119" t="s">
        <v>179</v>
      </c>
      <c r="H119">
        <v>118</v>
      </c>
      <c r="I119">
        <v>80.016999999999996</v>
      </c>
      <c r="J119">
        <v>78.974999999999994</v>
      </c>
      <c r="K119">
        <v>-1.042</v>
      </c>
      <c r="L119">
        <v>40</v>
      </c>
      <c r="M119">
        <v>28</v>
      </c>
      <c r="N119">
        <v>50</v>
      </c>
      <c r="O119">
        <v>78.36</v>
      </c>
      <c r="P119">
        <v>-2.2850924969999999</v>
      </c>
      <c r="Q119">
        <v>13.355</v>
      </c>
    </row>
    <row r="120" spans="1:17" s="30" customFormat="1" x14ac:dyDescent="0.2">
      <c r="A120" s="30" t="str">
        <f>IF(C120&amp;G120&amp;D120&lt;&gt;'Funnel setup'!$K$3&amp;'Funnel setup'!$K$4&amp;'Funnel setup'!$K$5,".",IF(A119=".",1,A119+1))</f>
        <v>.</v>
      </c>
      <c r="B120" s="431" t="str">
        <f t="shared" si="1"/>
        <v>Groin HerniaCCG of GP PracticeNHS NORTH EAST LINCOLNSHIRE CCG (03H)EQ VAS</v>
      </c>
      <c r="C120" t="s">
        <v>50</v>
      </c>
      <c r="D120" t="s">
        <v>87</v>
      </c>
      <c r="E120" t="s">
        <v>648</v>
      </c>
      <c r="F120" t="s">
        <v>649</v>
      </c>
      <c r="G120" t="s">
        <v>179</v>
      </c>
      <c r="H120">
        <v>63</v>
      </c>
      <c r="I120">
        <v>77.683000000000007</v>
      </c>
      <c r="J120">
        <v>77.016000000000005</v>
      </c>
      <c r="K120">
        <v>-0.66700000000000004</v>
      </c>
      <c r="L120">
        <v>24</v>
      </c>
      <c r="M120">
        <v>10</v>
      </c>
      <c r="N120">
        <v>29</v>
      </c>
      <c r="O120">
        <v>79.302000000000007</v>
      </c>
      <c r="P120">
        <v>-1.343150056</v>
      </c>
      <c r="Q120">
        <v>13.266</v>
      </c>
    </row>
    <row r="121" spans="1:17" s="30" customFormat="1" x14ac:dyDescent="0.2">
      <c r="A121" s="30" t="str">
        <f>IF(C121&amp;G121&amp;D121&lt;&gt;'Funnel setup'!$K$3&amp;'Funnel setup'!$K$4&amp;'Funnel setup'!$K$5,".",IF(A120=".",1,A120+1))</f>
        <v>.</v>
      </c>
      <c r="B121" s="431" t="str">
        <f t="shared" si="1"/>
        <v>Groin HerniaCCG of GP PracticeNHS NORTH HAMPSHIRE CCG (10J)EQ VAS</v>
      </c>
      <c r="C121" t="s">
        <v>50</v>
      </c>
      <c r="D121" t="s">
        <v>87</v>
      </c>
      <c r="E121" t="s">
        <v>651</v>
      </c>
      <c r="F121" t="s">
        <v>652</v>
      </c>
      <c r="G121" t="s">
        <v>179</v>
      </c>
      <c r="H121">
        <v>47</v>
      </c>
      <c r="I121">
        <v>85.489000000000004</v>
      </c>
      <c r="J121">
        <v>80.34</v>
      </c>
      <c r="K121">
        <v>-5.149</v>
      </c>
      <c r="L121">
        <v>14</v>
      </c>
      <c r="M121">
        <v>11</v>
      </c>
      <c r="N121">
        <v>22</v>
      </c>
      <c r="O121">
        <v>77.084000000000003</v>
      </c>
      <c r="P121">
        <v>-3.5613105389999999</v>
      </c>
      <c r="Q121">
        <v>14.647</v>
      </c>
    </row>
    <row r="122" spans="1:17" s="30" customFormat="1" x14ac:dyDescent="0.2">
      <c r="A122" s="30" t="str">
        <f>IF(C122&amp;G122&amp;D122&lt;&gt;'Funnel setup'!$K$3&amp;'Funnel setup'!$K$4&amp;'Funnel setup'!$K$5,".",IF(A121=".",1,A121+1))</f>
        <v>.</v>
      </c>
      <c r="B122" s="431" t="str">
        <f t="shared" si="1"/>
        <v>Groin HerniaCCG of GP PracticeNHS NORTH KIRKLEES CCG (03J)EQ VAS</v>
      </c>
      <c r="C122" t="s">
        <v>50</v>
      </c>
      <c r="D122" t="s">
        <v>87</v>
      </c>
      <c r="E122" t="s">
        <v>654</v>
      </c>
      <c r="F122" t="s">
        <v>655</v>
      </c>
      <c r="G122" t="s">
        <v>179</v>
      </c>
      <c r="H122">
        <v>47</v>
      </c>
      <c r="I122">
        <v>83.212999999999994</v>
      </c>
      <c r="J122">
        <v>81.850999999999999</v>
      </c>
      <c r="K122">
        <v>-1.3620000000000001</v>
      </c>
      <c r="L122">
        <v>18</v>
      </c>
      <c r="M122">
        <v>5</v>
      </c>
      <c r="N122">
        <v>24</v>
      </c>
      <c r="O122">
        <v>80.647000000000006</v>
      </c>
      <c r="P122">
        <v>1.3959090000000001E-3</v>
      </c>
      <c r="Q122">
        <v>10.866</v>
      </c>
    </row>
    <row r="123" spans="1:17" s="30" customFormat="1" x14ac:dyDescent="0.2">
      <c r="A123" s="30" t="str">
        <f>IF(C123&amp;G123&amp;D123&lt;&gt;'Funnel setup'!$K$3&amp;'Funnel setup'!$K$4&amp;'Funnel setup'!$K$5,".",IF(A122=".",1,A122+1))</f>
        <v>.</v>
      </c>
      <c r="B123" s="431" t="str">
        <f t="shared" si="1"/>
        <v>Groin HerniaCCG of GP PracticeNHS NORTH LINCOLNSHIRE CCG (03K)EQ VAS</v>
      </c>
      <c r="C123" t="s">
        <v>50</v>
      </c>
      <c r="D123" t="s">
        <v>87</v>
      </c>
      <c r="E123" t="s">
        <v>657</v>
      </c>
      <c r="F123" t="s">
        <v>658</v>
      </c>
      <c r="G123" t="s">
        <v>179</v>
      </c>
      <c r="H123">
        <v>49</v>
      </c>
      <c r="I123">
        <v>74.98</v>
      </c>
      <c r="J123">
        <v>76.061000000000007</v>
      </c>
      <c r="K123">
        <v>1.0820000000000001</v>
      </c>
      <c r="L123">
        <v>19</v>
      </c>
      <c r="M123">
        <v>13</v>
      </c>
      <c r="N123">
        <v>17</v>
      </c>
      <c r="O123">
        <v>78.852000000000004</v>
      </c>
      <c r="P123">
        <v>-1.7935779329999999</v>
      </c>
      <c r="Q123">
        <v>13.909000000000001</v>
      </c>
    </row>
    <row r="124" spans="1:17" s="30" customFormat="1" x14ac:dyDescent="0.2">
      <c r="A124" s="30" t="str">
        <f>IF(C124&amp;G124&amp;D124&lt;&gt;'Funnel setup'!$K$3&amp;'Funnel setup'!$K$4&amp;'Funnel setup'!$K$5,".",IF(A123=".",1,A123+1))</f>
        <v>.</v>
      </c>
      <c r="B124" s="431" t="str">
        <f t="shared" si="1"/>
        <v>Groin HerniaCCG of GP PracticeNHS NORTH MANCHESTER CCG (01M)EQ VAS</v>
      </c>
      <c r="C124" t="s">
        <v>50</v>
      </c>
      <c r="D124" t="s">
        <v>87</v>
      </c>
      <c r="E124" t="s">
        <v>660</v>
      </c>
      <c r="F124" t="s">
        <v>661</v>
      </c>
      <c r="G124" t="s">
        <v>179</v>
      </c>
      <c r="H124">
        <v>18</v>
      </c>
      <c r="I124">
        <v>74.667000000000002</v>
      </c>
      <c r="J124">
        <v>75.667000000000002</v>
      </c>
      <c r="K124">
        <v>1</v>
      </c>
      <c r="L124">
        <v>6</v>
      </c>
      <c r="M124">
        <v>2</v>
      </c>
      <c r="N124">
        <v>10</v>
      </c>
      <c r="O124" t="s">
        <v>53</v>
      </c>
      <c r="P124" t="s">
        <v>53</v>
      </c>
      <c r="Q124" t="s">
        <v>53</v>
      </c>
    </row>
    <row r="125" spans="1:17" s="30" customFormat="1" x14ac:dyDescent="0.2">
      <c r="A125" s="30" t="str">
        <f>IF(C125&amp;G125&amp;D125&lt;&gt;'Funnel setup'!$K$3&amp;'Funnel setup'!$K$4&amp;'Funnel setup'!$K$5,".",IF(A124=".",1,A124+1))</f>
        <v>.</v>
      </c>
      <c r="B125" s="431" t="str">
        <f t="shared" si="1"/>
        <v>Groin HerniaCCG of GP PracticeNHS NORTH NORFOLK CCG (06V)EQ VAS</v>
      </c>
      <c r="C125" t="s">
        <v>50</v>
      </c>
      <c r="D125" t="s">
        <v>87</v>
      </c>
      <c r="E125" t="s">
        <v>663</v>
      </c>
      <c r="F125" t="s">
        <v>664</v>
      </c>
      <c r="G125" t="s">
        <v>179</v>
      </c>
      <c r="H125">
        <v>114</v>
      </c>
      <c r="I125">
        <v>80.561000000000007</v>
      </c>
      <c r="J125">
        <v>83.93</v>
      </c>
      <c r="K125">
        <v>3.3679999999999999</v>
      </c>
      <c r="L125">
        <v>53</v>
      </c>
      <c r="M125">
        <v>22</v>
      </c>
      <c r="N125">
        <v>39</v>
      </c>
      <c r="O125">
        <v>82.948999999999998</v>
      </c>
      <c r="P125">
        <v>2.303533684</v>
      </c>
      <c r="Q125">
        <v>10.459</v>
      </c>
    </row>
    <row r="126" spans="1:17" s="30" customFormat="1" x14ac:dyDescent="0.2">
      <c r="A126" s="30" t="str">
        <f>IF(C126&amp;G126&amp;D126&lt;&gt;'Funnel setup'!$K$3&amp;'Funnel setup'!$K$4&amp;'Funnel setup'!$K$5,".",IF(A125=".",1,A125+1))</f>
        <v>.</v>
      </c>
      <c r="B126" s="431" t="str">
        <f t="shared" si="1"/>
        <v>Groin HerniaCCG of GP PracticeNHS NORTH SOMERSET CCG (11T)EQ VAS</v>
      </c>
      <c r="C126" t="s">
        <v>50</v>
      </c>
      <c r="D126" t="s">
        <v>87</v>
      </c>
      <c r="E126" t="s">
        <v>666</v>
      </c>
      <c r="F126" t="s">
        <v>667</v>
      </c>
      <c r="G126" t="s">
        <v>179</v>
      </c>
      <c r="H126">
        <v>77</v>
      </c>
      <c r="I126">
        <v>81.272999999999996</v>
      </c>
      <c r="J126">
        <v>79.700999999999993</v>
      </c>
      <c r="K126">
        <v>-1.571</v>
      </c>
      <c r="L126">
        <v>35</v>
      </c>
      <c r="M126">
        <v>12</v>
      </c>
      <c r="N126">
        <v>30</v>
      </c>
      <c r="O126">
        <v>79.093999999999994</v>
      </c>
      <c r="P126">
        <v>-1.5509858729999999</v>
      </c>
      <c r="Q126">
        <v>17.608000000000001</v>
      </c>
    </row>
    <row r="127" spans="1:17" s="30" customFormat="1" x14ac:dyDescent="0.2">
      <c r="A127" s="30" t="str">
        <f>IF(C127&amp;G127&amp;D127&lt;&gt;'Funnel setup'!$K$3&amp;'Funnel setup'!$K$4&amp;'Funnel setup'!$K$5,".",IF(A126=".",1,A126+1))</f>
        <v>.</v>
      </c>
      <c r="B127" s="431" t="str">
        <f t="shared" si="1"/>
        <v>Groin HerniaCCG of GP PracticeNHS NORTH STAFFORDSHIRE CCG (05G)EQ VAS</v>
      </c>
      <c r="C127" t="s">
        <v>50</v>
      </c>
      <c r="D127" t="s">
        <v>87</v>
      </c>
      <c r="E127" t="s">
        <v>669</v>
      </c>
      <c r="F127" t="s">
        <v>670</v>
      </c>
      <c r="G127" t="s">
        <v>179</v>
      </c>
      <c r="H127">
        <v>70</v>
      </c>
      <c r="I127">
        <v>82.914000000000001</v>
      </c>
      <c r="J127">
        <v>84.585999999999999</v>
      </c>
      <c r="K127">
        <v>1.671</v>
      </c>
      <c r="L127">
        <v>29</v>
      </c>
      <c r="M127">
        <v>17</v>
      </c>
      <c r="N127">
        <v>24</v>
      </c>
      <c r="O127">
        <v>83.299000000000007</v>
      </c>
      <c r="P127">
        <v>2.6533266270000002</v>
      </c>
      <c r="Q127">
        <v>8.2279999999999998</v>
      </c>
    </row>
    <row r="128" spans="1:17" s="30" customFormat="1" x14ac:dyDescent="0.2">
      <c r="A128" s="30" t="str">
        <f>IF(C128&amp;G128&amp;D128&lt;&gt;'Funnel setup'!$K$3&amp;'Funnel setup'!$K$4&amp;'Funnel setup'!$K$5,".",IF(A127=".",1,A127+1))</f>
        <v>.</v>
      </c>
      <c r="B128" s="431" t="str">
        <f t="shared" si="1"/>
        <v>Groin HerniaCCG of GP PracticeNHS NORTH TYNESIDE CCG (99C)EQ VAS</v>
      </c>
      <c r="C128" t="s">
        <v>50</v>
      </c>
      <c r="D128" t="s">
        <v>87</v>
      </c>
      <c r="E128" t="s">
        <v>672</v>
      </c>
      <c r="F128" t="s">
        <v>673</v>
      </c>
      <c r="G128" t="s">
        <v>179</v>
      </c>
      <c r="H128">
        <v>147</v>
      </c>
      <c r="I128">
        <v>80.265000000000001</v>
      </c>
      <c r="J128">
        <v>79.162999999999997</v>
      </c>
      <c r="K128">
        <v>-1.1020000000000001</v>
      </c>
      <c r="L128">
        <v>53</v>
      </c>
      <c r="M128">
        <v>33</v>
      </c>
      <c r="N128">
        <v>61</v>
      </c>
      <c r="O128">
        <v>79.474999999999994</v>
      </c>
      <c r="P128">
        <v>-1.1702586349999999</v>
      </c>
      <c r="Q128">
        <v>12.726000000000001</v>
      </c>
    </row>
    <row r="129" spans="1:17" s="30" customFormat="1" x14ac:dyDescent="0.2">
      <c r="A129" s="30" t="str">
        <f>IF(C129&amp;G129&amp;D129&lt;&gt;'Funnel setup'!$K$3&amp;'Funnel setup'!$K$4&amp;'Funnel setup'!$K$5,".",IF(A128=".",1,A128+1))</f>
        <v>.</v>
      </c>
      <c r="B129" s="431" t="str">
        <f t="shared" si="1"/>
        <v>Groin HerniaCCG of GP PracticeNHS NORTH WEST SURREY CCG (09Y)EQ VAS</v>
      </c>
      <c r="C129" t="s">
        <v>50</v>
      </c>
      <c r="D129" t="s">
        <v>87</v>
      </c>
      <c r="E129" t="s">
        <v>675</v>
      </c>
      <c r="F129" t="s">
        <v>676</v>
      </c>
      <c r="G129" t="s">
        <v>179</v>
      </c>
      <c r="H129">
        <v>84</v>
      </c>
      <c r="I129">
        <v>81.774000000000001</v>
      </c>
      <c r="J129">
        <v>81.344999999999999</v>
      </c>
      <c r="K129">
        <v>-0.42899999999999999</v>
      </c>
      <c r="L129">
        <v>31</v>
      </c>
      <c r="M129">
        <v>20</v>
      </c>
      <c r="N129">
        <v>33</v>
      </c>
      <c r="O129">
        <v>79.694000000000003</v>
      </c>
      <c r="P129">
        <v>-0.95176478499999995</v>
      </c>
      <c r="Q129">
        <v>12.756</v>
      </c>
    </row>
    <row r="130" spans="1:17" s="30" customFormat="1" x14ac:dyDescent="0.2">
      <c r="A130" s="30" t="str">
        <f>IF(C130&amp;G130&amp;D130&lt;&gt;'Funnel setup'!$K$3&amp;'Funnel setup'!$K$4&amp;'Funnel setup'!$K$5,".",IF(A129=".",1,A129+1))</f>
        <v>.</v>
      </c>
      <c r="B130" s="431" t="str">
        <f t="shared" si="1"/>
        <v>Groin HerniaCCG of GP PracticeNHS NORTHERN, EASTERN AND WESTERN DEVON CCG (99P)EQ VAS</v>
      </c>
      <c r="C130" t="s">
        <v>50</v>
      </c>
      <c r="D130" t="s">
        <v>87</v>
      </c>
      <c r="E130" t="s">
        <v>678</v>
      </c>
      <c r="F130" t="s">
        <v>679</v>
      </c>
      <c r="G130" t="s">
        <v>179</v>
      </c>
      <c r="H130">
        <v>599</v>
      </c>
      <c r="I130">
        <v>80.695999999999998</v>
      </c>
      <c r="J130">
        <v>81.123999999999995</v>
      </c>
      <c r="K130">
        <v>0.42699999999999999</v>
      </c>
      <c r="L130">
        <v>242</v>
      </c>
      <c r="M130">
        <v>125</v>
      </c>
      <c r="N130">
        <v>232</v>
      </c>
      <c r="O130">
        <v>80.724999999999994</v>
      </c>
      <c r="P130">
        <v>7.9100634000000003E-2</v>
      </c>
      <c r="Q130">
        <v>11.407999999999999</v>
      </c>
    </row>
    <row r="131" spans="1:17" s="30" customFormat="1" x14ac:dyDescent="0.2">
      <c r="A131" s="30" t="str">
        <f>IF(C131&amp;G131&amp;D131&lt;&gt;'Funnel setup'!$K$3&amp;'Funnel setup'!$K$4&amp;'Funnel setup'!$K$5,".",IF(A130=".",1,A130+1))</f>
        <v>.</v>
      </c>
      <c r="B131" s="431" t="str">
        <f t="shared" ref="B131:B194" si="2">C131&amp;D131&amp;F131&amp;G131</f>
        <v>Groin HerniaCCG of GP PracticeNHS NORTHUMBERLAND CCG (00L)EQ VAS</v>
      </c>
      <c r="C131" t="s">
        <v>50</v>
      </c>
      <c r="D131" t="s">
        <v>87</v>
      </c>
      <c r="E131" t="s">
        <v>681</v>
      </c>
      <c r="F131" t="s">
        <v>336</v>
      </c>
      <c r="G131" t="s">
        <v>179</v>
      </c>
      <c r="H131">
        <v>203</v>
      </c>
      <c r="I131">
        <v>78.822999999999993</v>
      </c>
      <c r="J131">
        <v>78.828000000000003</v>
      </c>
      <c r="K131">
        <v>5.0000000000000001E-3</v>
      </c>
      <c r="L131">
        <v>77</v>
      </c>
      <c r="M131">
        <v>43</v>
      </c>
      <c r="N131">
        <v>83</v>
      </c>
      <c r="O131">
        <v>80.418999999999997</v>
      </c>
      <c r="P131">
        <v>-0.226095143</v>
      </c>
      <c r="Q131">
        <v>12.875999999999999</v>
      </c>
    </row>
    <row r="132" spans="1:17" s="30" customFormat="1" x14ac:dyDescent="0.2">
      <c r="A132" s="30" t="str">
        <f>IF(C132&amp;G132&amp;D132&lt;&gt;'Funnel setup'!$K$3&amp;'Funnel setup'!$K$4&amp;'Funnel setup'!$K$5,".",IF(A131=".",1,A131+1))</f>
        <v>.</v>
      </c>
      <c r="B132" s="431" t="str">
        <f t="shared" si="2"/>
        <v>Groin HerniaCCG of GP PracticeNHS NORWICH CCG (06W)EQ VAS</v>
      </c>
      <c r="C132" t="s">
        <v>50</v>
      </c>
      <c r="D132" t="s">
        <v>87</v>
      </c>
      <c r="E132" t="s">
        <v>770</v>
      </c>
      <c r="F132" t="s">
        <v>771</v>
      </c>
      <c r="G132" t="s">
        <v>179</v>
      </c>
      <c r="H132">
        <v>101</v>
      </c>
      <c r="I132">
        <v>78.841999999999999</v>
      </c>
      <c r="J132">
        <v>81.177999999999997</v>
      </c>
      <c r="K132">
        <v>2.3370000000000002</v>
      </c>
      <c r="L132">
        <v>42</v>
      </c>
      <c r="M132">
        <v>24</v>
      </c>
      <c r="N132">
        <v>35</v>
      </c>
      <c r="O132">
        <v>81.524000000000001</v>
      </c>
      <c r="P132">
        <v>0.87825401800000003</v>
      </c>
      <c r="Q132">
        <v>9.7929999999999993</v>
      </c>
    </row>
    <row r="133" spans="1:17" s="30" customFormat="1" x14ac:dyDescent="0.2">
      <c r="A133" s="30" t="str">
        <f>IF(C133&amp;G133&amp;D133&lt;&gt;'Funnel setup'!$K$3&amp;'Funnel setup'!$K$4&amp;'Funnel setup'!$K$5,".",IF(A132=".",1,A132+1))</f>
        <v>.</v>
      </c>
      <c r="B133" s="431" t="str">
        <f t="shared" si="2"/>
        <v>Groin HerniaCCG of GP PracticeNHS NOTTINGHAM CITY CCG (04K)EQ VAS</v>
      </c>
      <c r="C133" t="s">
        <v>50</v>
      </c>
      <c r="D133" t="s">
        <v>87</v>
      </c>
      <c r="E133" t="s">
        <v>773</v>
      </c>
      <c r="F133" t="s">
        <v>774</v>
      </c>
      <c r="G133" t="s">
        <v>179</v>
      </c>
      <c r="H133">
        <v>50</v>
      </c>
      <c r="I133">
        <v>83.48</v>
      </c>
      <c r="J133">
        <v>75.2</v>
      </c>
      <c r="K133">
        <v>-8.2799999999999994</v>
      </c>
      <c r="L133">
        <v>12</v>
      </c>
      <c r="M133">
        <v>6</v>
      </c>
      <c r="N133">
        <v>32</v>
      </c>
      <c r="O133">
        <v>74.037999999999997</v>
      </c>
      <c r="P133">
        <v>-6.6077873839999999</v>
      </c>
      <c r="Q133">
        <v>14.113</v>
      </c>
    </row>
    <row r="134" spans="1:17" s="30" customFormat="1" x14ac:dyDescent="0.2">
      <c r="A134" s="30" t="str">
        <f>IF(C134&amp;G134&amp;D134&lt;&gt;'Funnel setup'!$K$3&amp;'Funnel setup'!$K$4&amp;'Funnel setup'!$K$5,".",IF(A133=".",1,A133+1))</f>
        <v>.</v>
      </c>
      <c r="B134" s="431" t="str">
        <f t="shared" si="2"/>
        <v>Groin HerniaCCG of GP PracticeNHS NOTTINGHAM NORTH AND EAST CCG (04L)EQ VAS</v>
      </c>
      <c r="C134" t="s">
        <v>50</v>
      </c>
      <c r="D134" t="s">
        <v>87</v>
      </c>
      <c r="E134" t="s">
        <v>776</v>
      </c>
      <c r="F134" t="s">
        <v>777</v>
      </c>
      <c r="G134" t="s">
        <v>179</v>
      </c>
      <c r="H134">
        <v>17</v>
      </c>
      <c r="I134">
        <v>80.234999999999999</v>
      </c>
      <c r="J134">
        <v>82.234999999999999</v>
      </c>
      <c r="K134">
        <v>2</v>
      </c>
      <c r="L134">
        <v>7</v>
      </c>
      <c r="M134">
        <v>3</v>
      </c>
      <c r="N134">
        <v>7</v>
      </c>
      <c r="O134" t="s">
        <v>53</v>
      </c>
      <c r="P134" t="s">
        <v>53</v>
      </c>
      <c r="Q134" t="s">
        <v>53</v>
      </c>
    </row>
    <row r="135" spans="1:17" s="30" customFormat="1" x14ac:dyDescent="0.2">
      <c r="A135" s="30" t="str">
        <f>IF(C135&amp;G135&amp;D135&lt;&gt;'Funnel setup'!$K$3&amp;'Funnel setup'!$K$4&amp;'Funnel setup'!$K$5,".",IF(A134=".",1,A134+1))</f>
        <v>.</v>
      </c>
      <c r="B135" s="431" t="str">
        <f t="shared" si="2"/>
        <v>Groin HerniaCCG of GP PracticeNHS NOTTINGHAM WEST CCG (04M)EQ VAS</v>
      </c>
      <c r="C135" t="s">
        <v>50</v>
      </c>
      <c r="D135" t="s">
        <v>87</v>
      </c>
      <c r="E135" t="s">
        <v>779</v>
      </c>
      <c r="F135" t="s">
        <v>780</v>
      </c>
      <c r="G135" t="s">
        <v>179</v>
      </c>
      <c r="H135">
        <v>35</v>
      </c>
      <c r="I135">
        <v>82.629000000000005</v>
      </c>
      <c r="J135">
        <v>86.656999999999996</v>
      </c>
      <c r="K135">
        <v>4.0289999999999999</v>
      </c>
      <c r="L135">
        <v>19</v>
      </c>
      <c r="M135">
        <v>7</v>
      </c>
      <c r="N135">
        <v>9</v>
      </c>
      <c r="O135">
        <v>83.855999999999995</v>
      </c>
      <c r="P135">
        <v>3.2105373149999998</v>
      </c>
      <c r="Q135">
        <v>9.8160000000000007</v>
      </c>
    </row>
    <row r="136" spans="1:17" s="30" customFormat="1" x14ac:dyDescent="0.2">
      <c r="A136" s="30" t="str">
        <f>IF(C136&amp;G136&amp;D136&lt;&gt;'Funnel setup'!$K$3&amp;'Funnel setup'!$K$4&amp;'Funnel setup'!$K$5,".",IF(A135=".",1,A135+1))</f>
        <v>.</v>
      </c>
      <c r="B136" s="431" t="str">
        <f t="shared" si="2"/>
        <v>Groin HerniaCCG of GP PracticeNHS OLDHAM CCG (00Y)EQ VAS</v>
      </c>
      <c r="C136" t="s">
        <v>50</v>
      </c>
      <c r="D136" t="s">
        <v>87</v>
      </c>
      <c r="E136" t="s">
        <v>782</v>
      </c>
      <c r="F136" t="s">
        <v>783</v>
      </c>
      <c r="G136" t="s">
        <v>179</v>
      </c>
      <c r="H136">
        <v>21</v>
      </c>
      <c r="I136">
        <v>79.332999999999998</v>
      </c>
      <c r="J136">
        <v>79.238</v>
      </c>
      <c r="K136">
        <v>-9.5000000000000001E-2</v>
      </c>
      <c r="L136">
        <v>8</v>
      </c>
      <c r="M136">
        <v>6</v>
      </c>
      <c r="N136">
        <v>7</v>
      </c>
      <c r="O136" t="s">
        <v>53</v>
      </c>
      <c r="P136" t="s">
        <v>53</v>
      </c>
      <c r="Q136" t="s">
        <v>53</v>
      </c>
    </row>
    <row r="137" spans="1:17" s="30" customFormat="1" x14ac:dyDescent="0.2">
      <c r="A137" s="30" t="str">
        <f>IF(C137&amp;G137&amp;D137&lt;&gt;'Funnel setup'!$K$3&amp;'Funnel setup'!$K$4&amp;'Funnel setup'!$K$5,".",IF(A136=".",1,A136+1))</f>
        <v>.</v>
      </c>
      <c r="B137" s="431" t="str">
        <f t="shared" si="2"/>
        <v>Groin HerniaCCG of GP PracticeNHS OXFORDSHIRE CCG (10Q)EQ VAS</v>
      </c>
      <c r="C137" t="s">
        <v>50</v>
      </c>
      <c r="D137" t="s">
        <v>87</v>
      </c>
      <c r="E137" t="s">
        <v>785</v>
      </c>
      <c r="F137" t="s">
        <v>786</v>
      </c>
      <c r="G137" t="s">
        <v>179</v>
      </c>
      <c r="H137">
        <v>250</v>
      </c>
      <c r="I137">
        <v>82.272000000000006</v>
      </c>
      <c r="J137">
        <v>81.347999999999999</v>
      </c>
      <c r="K137">
        <v>-0.92400000000000004</v>
      </c>
      <c r="L137">
        <v>95</v>
      </c>
      <c r="M137">
        <v>46</v>
      </c>
      <c r="N137">
        <v>109</v>
      </c>
      <c r="O137">
        <v>80.037999999999997</v>
      </c>
      <c r="P137">
        <v>-0.60763204000000004</v>
      </c>
      <c r="Q137">
        <v>11.609</v>
      </c>
    </row>
    <row r="138" spans="1:17" s="30" customFormat="1" x14ac:dyDescent="0.2">
      <c r="A138" s="30" t="str">
        <f>IF(C138&amp;G138&amp;D138&lt;&gt;'Funnel setup'!$K$3&amp;'Funnel setup'!$K$4&amp;'Funnel setup'!$K$5,".",IF(A137=".",1,A137+1))</f>
        <v>.</v>
      </c>
      <c r="B138" s="431" t="str">
        <f t="shared" si="2"/>
        <v>Groin HerniaCCG of GP PracticeNHS PORTSMOUTH CCG (10R)EQ VAS</v>
      </c>
      <c r="C138" t="s">
        <v>50</v>
      </c>
      <c r="D138" t="s">
        <v>87</v>
      </c>
      <c r="E138" t="s">
        <v>788</v>
      </c>
      <c r="F138" t="s">
        <v>789</v>
      </c>
      <c r="G138" t="s">
        <v>179</v>
      </c>
      <c r="H138">
        <v>70</v>
      </c>
      <c r="I138">
        <v>84.856999999999999</v>
      </c>
      <c r="J138">
        <v>82.070999999999998</v>
      </c>
      <c r="K138">
        <v>-2.786</v>
      </c>
      <c r="L138">
        <v>21</v>
      </c>
      <c r="M138">
        <v>19</v>
      </c>
      <c r="N138">
        <v>30</v>
      </c>
      <c r="O138">
        <v>79.088999999999999</v>
      </c>
      <c r="P138">
        <v>-1.5566406530000001</v>
      </c>
      <c r="Q138">
        <v>12.337999999999999</v>
      </c>
    </row>
    <row r="139" spans="1:17" s="30" customFormat="1" x14ac:dyDescent="0.2">
      <c r="A139" s="30" t="str">
        <f>IF(C139&amp;G139&amp;D139&lt;&gt;'Funnel setup'!$K$3&amp;'Funnel setup'!$K$4&amp;'Funnel setup'!$K$5,".",IF(A138=".",1,A138+1))</f>
        <v>.</v>
      </c>
      <c r="B139" s="431" t="str">
        <f t="shared" si="2"/>
        <v>Groin HerniaCCG of GP PracticeNHS REDBRIDGE CCG (08N)EQ VAS</v>
      </c>
      <c r="C139" t="s">
        <v>50</v>
      </c>
      <c r="D139" t="s">
        <v>87</v>
      </c>
      <c r="E139" t="s">
        <v>791</v>
      </c>
      <c r="F139" t="s">
        <v>792</v>
      </c>
      <c r="G139" t="s">
        <v>179</v>
      </c>
      <c r="H139">
        <v>19</v>
      </c>
      <c r="I139">
        <v>80.316000000000003</v>
      </c>
      <c r="J139">
        <v>76.052999999999997</v>
      </c>
      <c r="K139">
        <v>-4.2629999999999999</v>
      </c>
      <c r="L139">
        <v>5</v>
      </c>
      <c r="M139">
        <v>4</v>
      </c>
      <c r="N139">
        <v>10</v>
      </c>
      <c r="O139" t="s">
        <v>53</v>
      </c>
      <c r="P139" t="s">
        <v>53</v>
      </c>
      <c r="Q139" t="s">
        <v>53</v>
      </c>
    </row>
    <row r="140" spans="1:17" s="30" customFormat="1" x14ac:dyDescent="0.2">
      <c r="A140" s="30" t="str">
        <f>IF(C140&amp;G140&amp;D140&lt;&gt;'Funnel setup'!$K$3&amp;'Funnel setup'!$K$4&amp;'Funnel setup'!$K$5,".",IF(A139=".",1,A139+1))</f>
        <v>.</v>
      </c>
      <c r="B140" s="431" t="str">
        <f t="shared" si="2"/>
        <v>Groin HerniaCCG of GP PracticeNHS REDDITCH AND BROMSGROVE CCG (05J)EQ VAS</v>
      </c>
      <c r="C140" t="s">
        <v>50</v>
      </c>
      <c r="D140" t="s">
        <v>87</v>
      </c>
      <c r="E140" t="s">
        <v>794</v>
      </c>
      <c r="F140" t="s">
        <v>795</v>
      </c>
      <c r="G140" t="s">
        <v>179</v>
      </c>
      <c r="H140">
        <v>82</v>
      </c>
      <c r="I140">
        <v>82.072999999999993</v>
      </c>
      <c r="J140">
        <v>79.328999999999994</v>
      </c>
      <c r="K140">
        <v>-2.7440000000000002</v>
      </c>
      <c r="L140">
        <v>26</v>
      </c>
      <c r="M140">
        <v>22</v>
      </c>
      <c r="N140">
        <v>34</v>
      </c>
      <c r="O140">
        <v>79.382999999999996</v>
      </c>
      <c r="P140">
        <v>-1.262178824</v>
      </c>
      <c r="Q140">
        <v>11.901999999999999</v>
      </c>
    </row>
    <row r="141" spans="1:17" s="30" customFormat="1" x14ac:dyDescent="0.2">
      <c r="A141" s="30" t="str">
        <f>IF(C141&amp;G141&amp;D141&lt;&gt;'Funnel setup'!$K$3&amp;'Funnel setup'!$K$4&amp;'Funnel setup'!$K$5,".",IF(A140=".",1,A140+1))</f>
        <v>.</v>
      </c>
      <c r="B141" s="431" t="str">
        <f t="shared" si="2"/>
        <v>Groin HerniaCCG of GP PracticeNHS RICHMOND CCG (08P)EQ VAS</v>
      </c>
      <c r="C141" t="s">
        <v>50</v>
      </c>
      <c r="D141" t="s">
        <v>87</v>
      </c>
      <c r="E141" t="s">
        <v>797</v>
      </c>
      <c r="F141" t="s">
        <v>798</v>
      </c>
      <c r="G141" t="s">
        <v>179</v>
      </c>
      <c r="H141">
        <v>9</v>
      </c>
      <c r="I141">
        <v>88.332999999999998</v>
      </c>
      <c r="J141">
        <v>81.667000000000002</v>
      </c>
      <c r="K141">
        <v>-6.6669999999999998</v>
      </c>
      <c r="L141">
        <v>2</v>
      </c>
      <c r="M141">
        <v>1</v>
      </c>
      <c r="N141">
        <v>6</v>
      </c>
      <c r="O141" t="s">
        <v>53</v>
      </c>
      <c r="P141" t="s">
        <v>53</v>
      </c>
      <c r="Q141" t="s">
        <v>53</v>
      </c>
    </row>
    <row r="142" spans="1:17" s="30" customFormat="1" x14ac:dyDescent="0.2">
      <c r="A142" s="30" t="str">
        <f>IF(C142&amp;G142&amp;D142&lt;&gt;'Funnel setup'!$K$3&amp;'Funnel setup'!$K$4&amp;'Funnel setup'!$K$5,".",IF(A141=".",1,A141+1))</f>
        <v>.</v>
      </c>
      <c r="B142" s="431" t="str">
        <f t="shared" si="2"/>
        <v>Groin HerniaCCG of GP PracticeNHS ROTHERHAM CCG (03L)EQ VAS</v>
      </c>
      <c r="C142" t="s">
        <v>50</v>
      </c>
      <c r="D142" t="s">
        <v>87</v>
      </c>
      <c r="E142" t="s">
        <v>800</v>
      </c>
      <c r="F142" t="s">
        <v>801</v>
      </c>
      <c r="G142" t="s">
        <v>179</v>
      </c>
      <c r="H142">
        <v>78</v>
      </c>
      <c r="I142">
        <v>77.667000000000002</v>
      </c>
      <c r="J142">
        <v>78.885000000000005</v>
      </c>
      <c r="K142">
        <v>1.218</v>
      </c>
      <c r="L142">
        <v>29</v>
      </c>
      <c r="M142">
        <v>19</v>
      </c>
      <c r="N142">
        <v>30</v>
      </c>
      <c r="O142">
        <v>81.819000000000003</v>
      </c>
      <c r="P142">
        <v>1.1740393339999999</v>
      </c>
      <c r="Q142">
        <v>10.715999999999999</v>
      </c>
    </row>
    <row r="143" spans="1:17" s="30" customFormat="1" x14ac:dyDescent="0.2">
      <c r="A143" s="30" t="str">
        <f>IF(C143&amp;G143&amp;D143&lt;&gt;'Funnel setup'!$K$3&amp;'Funnel setup'!$K$4&amp;'Funnel setup'!$K$5,".",IF(A142=".",1,A142+1))</f>
        <v>.</v>
      </c>
      <c r="B143" s="431" t="str">
        <f t="shared" si="2"/>
        <v>Groin HerniaCCG of GP PracticeNHS RUSHCLIFFE CCG (04N)EQ VAS</v>
      </c>
      <c r="C143" t="s">
        <v>50</v>
      </c>
      <c r="D143" t="s">
        <v>87</v>
      </c>
      <c r="E143" t="s">
        <v>803</v>
      </c>
      <c r="F143" t="s">
        <v>804</v>
      </c>
      <c r="G143" t="s">
        <v>179</v>
      </c>
      <c r="H143">
        <v>75</v>
      </c>
      <c r="I143">
        <v>83.293000000000006</v>
      </c>
      <c r="J143">
        <v>82.24</v>
      </c>
      <c r="K143">
        <v>-1.0529999999999999</v>
      </c>
      <c r="L143">
        <v>31</v>
      </c>
      <c r="M143">
        <v>12</v>
      </c>
      <c r="N143">
        <v>32</v>
      </c>
      <c r="O143">
        <v>79.869</v>
      </c>
      <c r="P143">
        <v>-0.77647536100000003</v>
      </c>
      <c r="Q143">
        <v>11.548999999999999</v>
      </c>
    </row>
    <row r="144" spans="1:17" s="30" customFormat="1" x14ac:dyDescent="0.2">
      <c r="A144" s="30" t="str">
        <f>IF(C144&amp;G144&amp;D144&lt;&gt;'Funnel setup'!$K$3&amp;'Funnel setup'!$K$4&amp;'Funnel setup'!$K$5,".",IF(A143=".",1,A143+1))</f>
        <v>.</v>
      </c>
      <c r="B144" s="431" t="str">
        <f t="shared" si="2"/>
        <v>Groin HerniaCCG of GP PracticeNHS SALFORD CCG (01G)EQ VAS</v>
      </c>
      <c r="C144" t="s">
        <v>50</v>
      </c>
      <c r="D144" t="s">
        <v>87</v>
      </c>
      <c r="E144" t="s">
        <v>806</v>
      </c>
      <c r="F144" t="s">
        <v>807</v>
      </c>
      <c r="G144" t="s">
        <v>179</v>
      </c>
      <c r="H144">
        <v>63</v>
      </c>
      <c r="I144">
        <v>81.316999999999993</v>
      </c>
      <c r="J144">
        <v>77.983999999999995</v>
      </c>
      <c r="K144">
        <v>-3.3330000000000002</v>
      </c>
      <c r="L144">
        <v>20</v>
      </c>
      <c r="M144">
        <v>16</v>
      </c>
      <c r="N144">
        <v>27</v>
      </c>
      <c r="O144">
        <v>78.197999999999993</v>
      </c>
      <c r="P144">
        <v>-2.4477330610000001</v>
      </c>
      <c r="Q144">
        <v>13.586</v>
      </c>
    </row>
    <row r="145" spans="1:17" s="30" customFormat="1" x14ac:dyDescent="0.2">
      <c r="A145" s="30" t="str">
        <f>IF(C145&amp;G145&amp;D145&lt;&gt;'Funnel setup'!$K$3&amp;'Funnel setup'!$K$4&amp;'Funnel setup'!$K$5,".",IF(A144=".",1,A144+1))</f>
        <v>.</v>
      </c>
      <c r="B145" s="431" t="str">
        <f t="shared" si="2"/>
        <v>Groin HerniaCCG of GP PracticeNHS SANDWELL AND WEST BIRMINGHAM CCG (05L)EQ VAS</v>
      </c>
      <c r="C145" t="s">
        <v>50</v>
      </c>
      <c r="D145" t="s">
        <v>87</v>
      </c>
      <c r="E145" t="s">
        <v>809</v>
      </c>
      <c r="F145" t="s">
        <v>810</v>
      </c>
      <c r="G145" t="s">
        <v>179</v>
      </c>
      <c r="H145">
        <v>165</v>
      </c>
      <c r="I145">
        <v>81.569999999999993</v>
      </c>
      <c r="J145">
        <v>78.667000000000002</v>
      </c>
      <c r="K145">
        <v>-2.903</v>
      </c>
      <c r="L145">
        <v>52</v>
      </c>
      <c r="M145">
        <v>36</v>
      </c>
      <c r="N145">
        <v>77</v>
      </c>
      <c r="O145">
        <v>79.138999999999996</v>
      </c>
      <c r="P145">
        <v>-1.5067200030000001</v>
      </c>
      <c r="Q145">
        <v>13.381</v>
      </c>
    </row>
    <row r="146" spans="1:17" s="30" customFormat="1" x14ac:dyDescent="0.2">
      <c r="A146" s="30" t="str">
        <f>IF(C146&amp;G146&amp;D146&lt;&gt;'Funnel setup'!$K$3&amp;'Funnel setup'!$K$4&amp;'Funnel setup'!$K$5,".",IF(A145=".",1,A145+1))</f>
        <v>.</v>
      </c>
      <c r="B146" s="431" t="str">
        <f t="shared" si="2"/>
        <v>Groin HerniaCCG of GP PracticeNHS SCARBOROUGH AND RYEDALE CCG (03M)EQ VAS</v>
      </c>
      <c r="C146" t="s">
        <v>50</v>
      </c>
      <c r="D146" t="s">
        <v>87</v>
      </c>
      <c r="E146" t="s">
        <v>812</v>
      </c>
      <c r="F146" t="s">
        <v>813</v>
      </c>
      <c r="G146" t="s">
        <v>179</v>
      </c>
      <c r="H146">
        <v>84</v>
      </c>
      <c r="I146">
        <v>79.798000000000002</v>
      </c>
      <c r="J146">
        <v>78.856999999999999</v>
      </c>
      <c r="K146">
        <v>-0.94</v>
      </c>
      <c r="L146">
        <v>27</v>
      </c>
      <c r="M146">
        <v>16</v>
      </c>
      <c r="N146">
        <v>41</v>
      </c>
      <c r="O146">
        <v>79.763999999999996</v>
      </c>
      <c r="P146">
        <v>-0.88176841399999994</v>
      </c>
      <c r="Q146">
        <v>12.849</v>
      </c>
    </row>
    <row r="147" spans="1:17" s="30" customFormat="1" x14ac:dyDescent="0.2">
      <c r="A147" s="30" t="str">
        <f>IF(C147&amp;G147&amp;D147&lt;&gt;'Funnel setup'!$K$3&amp;'Funnel setup'!$K$4&amp;'Funnel setup'!$K$5,".",IF(A146=".",1,A146+1))</f>
        <v>.</v>
      </c>
      <c r="B147" s="431" t="str">
        <f t="shared" si="2"/>
        <v>Groin HerniaCCG of GP PracticeNHS SHEFFIELD CCG (03N)EQ VAS</v>
      </c>
      <c r="C147" t="s">
        <v>50</v>
      </c>
      <c r="D147" t="s">
        <v>87</v>
      </c>
      <c r="E147" t="s">
        <v>815</v>
      </c>
      <c r="F147" t="s">
        <v>816</v>
      </c>
      <c r="G147" t="s">
        <v>179</v>
      </c>
      <c r="H147">
        <v>193</v>
      </c>
      <c r="I147">
        <v>78.325999999999993</v>
      </c>
      <c r="J147">
        <v>77.704999999999998</v>
      </c>
      <c r="K147">
        <v>-0.622</v>
      </c>
      <c r="L147">
        <v>78</v>
      </c>
      <c r="M147">
        <v>35</v>
      </c>
      <c r="N147">
        <v>80</v>
      </c>
      <c r="O147">
        <v>80.438999999999993</v>
      </c>
      <c r="P147">
        <v>-0.206344851</v>
      </c>
      <c r="Q147">
        <v>13.202999999999999</v>
      </c>
    </row>
    <row r="148" spans="1:17" s="30" customFormat="1" x14ac:dyDescent="0.2">
      <c r="A148" s="30" t="str">
        <f>IF(C148&amp;G148&amp;D148&lt;&gt;'Funnel setup'!$K$3&amp;'Funnel setup'!$K$4&amp;'Funnel setup'!$K$5,".",IF(A147=".",1,A147+1))</f>
        <v>.</v>
      </c>
      <c r="B148" s="431" t="str">
        <f t="shared" si="2"/>
        <v>Groin HerniaCCG of GP PracticeNHS SHROPSHIRE CCG (05N)EQ VAS</v>
      </c>
      <c r="C148" t="s">
        <v>50</v>
      </c>
      <c r="D148" t="s">
        <v>87</v>
      </c>
      <c r="E148" t="s">
        <v>818</v>
      </c>
      <c r="F148" t="s">
        <v>819</v>
      </c>
      <c r="G148" t="s">
        <v>179</v>
      </c>
      <c r="H148">
        <v>177</v>
      </c>
      <c r="I148">
        <v>79.977000000000004</v>
      </c>
      <c r="J148">
        <v>81.52</v>
      </c>
      <c r="K148">
        <v>1.542</v>
      </c>
      <c r="L148">
        <v>76</v>
      </c>
      <c r="M148">
        <v>41</v>
      </c>
      <c r="N148">
        <v>60</v>
      </c>
      <c r="O148">
        <v>80.974000000000004</v>
      </c>
      <c r="P148">
        <v>0.32899706299999998</v>
      </c>
      <c r="Q148">
        <v>11.420999999999999</v>
      </c>
    </row>
    <row r="149" spans="1:17" s="30" customFormat="1" x14ac:dyDescent="0.2">
      <c r="A149" s="30" t="str">
        <f>IF(C149&amp;G149&amp;D149&lt;&gt;'Funnel setup'!$K$3&amp;'Funnel setup'!$K$4&amp;'Funnel setup'!$K$5,".",IF(A148=".",1,A148+1))</f>
        <v>.</v>
      </c>
      <c r="B149" s="431" t="str">
        <f t="shared" si="2"/>
        <v>Groin HerniaCCG of GP PracticeNHS SLOUGH CCG (10T)EQ VAS</v>
      </c>
      <c r="C149" t="s">
        <v>50</v>
      </c>
      <c r="D149" t="s">
        <v>87</v>
      </c>
      <c r="E149" t="s">
        <v>821</v>
      </c>
      <c r="F149" t="s">
        <v>822</v>
      </c>
      <c r="G149" t="s">
        <v>179</v>
      </c>
      <c r="H149">
        <v>15</v>
      </c>
      <c r="I149">
        <v>75.533000000000001</v>
      </c>
      <c r="J149">
        <v>80.332999999999998</v>
      </c>
      <c r="K149">
        <v>4.8</v>
      </c>
      <c r="L149">
        <v>9</v>
      </c>
      <c r="M149">
        <v>2</v>
      </c>
      <c r="N149">
        <v>4</v>
      </c>
      <c r="O149" t="s">
        <v>53</v>
      </c>
      <c r="P149" t="s">
        <v>53</v>
      </c>
      <c r="Q149" t="s">
        <v>53</v>
      </c>
    </row>
    <row r="150" spans="1:17" s="30" customFormat="1" x14ac:dyDescent="0.2">
      <c r="A150" s="30" t="str">
        <f>IF(C150&amp;G150&amp;D150&lt;&gt;'Funnel setup'!$K$3&amp;'Funnel setup'!$K$4&amp;'Funnel setup'!$K$5,".",IF(A149=".",1,A149+1))</f>
        <v>.</v>
      </c>
      <c r="B150" s="431" t="str">
        <f t="shared" si="2"/>
        <v>Groin HerniaCCG of GP PracticeNHS SOLIHULL CCG (05P)EQ VAS</v>
      </c>
      <c r="C150" t="s">
        <v>50</v>
      </c>
      <c r="D150" t="s">
        <v>87</v>
      </c>
      <c r="E150" t="s">
        <v>824</v>
      </c>
      <c r="F150" t="s">
        <v>825</v>
      </c>
      <c r="G150" t="s">
        <v>179</v>
      </c>
      <c r="H150">
        <v>100</v>
      </c>
      <c r="I150">
        <v>79.72</v>
      </c>
      <c r="J150">
        <v>77.83</v>
      </c>
      <c r="K150">
        <v>-1.89</v>
      </c>
      <c r="L150">
        <v>29</v>
      </c>
      <c r="M150">
        <v>28</v>
      </c>
      <c r="N150">
        <v>43</v>
      </c>
      <c r="O150">
        <v>78.286000000000001</v>
      </c>
      <c r="P150">
        <v>-2.359732079</v>
      </c>
      <c r="Q150">
        <v>13.465</v>
      </c>
    </row>
    <row r="151" spans="1:17" s="30" customFormat="1" x14ac:dyDescent="0.2">
      <c r="A151" s="30" t="str">
        <f>IF(C151&amp;G151&amp;D151&lt;&gt;'Funnel setup'!$K$3&amp;'Funnel setup'!$K$4&amp;'Funnel setup'!$K$5,".",IF(A150=".",1,A150+1))</f>
        <v>.</v>
      </c>
      <c r="B151" s="431" t="str">
        <f t="shared" si="2"/>
        <v>Groin HerniaCCG of GP PracticeNHS SOMERSET CCG (11X)EQ VAS</v>
      </c>
      <c r="C151" t="s">
        <v>50</v>
      </c>
      <c r="D151" t="s">
        <v>87</v>
      </c>
      <c r="E151" t="s">
        <v>827</v>
      </c>
      <c r="F151" t="s">
        <v>828</v>
      </c>
      <c r="G151" t="s">
        <v>179</v>
      </c>
      <c r="H151">
        <v>394</v>
      </c>
      <c r="I151">
        <v>83.814999999999998</v>
      </c>
      <c r="J151">
        <v>83.540999999999997</v>
      </c>
      <c r="K151">
        <v>-0.27400000000000002</v>
      </c>
      <c r="L151">
        <v>151</v>
      </c>
      <c r="M151">
        <v>84</v>
      </c>
      <c r="N151">
        <v>159</v>
      </c>
      <c r="O151">
        <v>81.093999999999994</v>
      </c>
      <c r="P151">
        <v>0.44859787200000001</v>
      </c>
      <c r="Q151">
        <v>10.201000000000001</v>
      </c>
    </row>
    <row r="152" spans="1:17" s="30" customFormat="1" x14ac:dyDescent="0.2">
      <c r="A152" s="30" t="str">
        <f>IF(C152&amp;G152&amp;D152&lt;&gt;'Funnel setup'!$K$3&amp;'Funnel setup'!$K$4&amp;'Funnel setup'!$K$5,".",IF(A151=".",1,A151+1))</f>
        <v>.</v>
      </c>
      <c r="B152" s="431" t="str">
        <f t="shared" si="2"/>
        <v>Groin HerniaCCG of GP PracticeNHS SOUTH CHESHIRE CCG (01R)EQ VAS</v>
      </c>
      <c r="C152" t="s">
        <v>50</v>
      </c>
      <c r="D152" t="s">
        <v>87</v>
      </c>
      <c r="E152" t="s">
        <v>830</v>
      </c>
      <c r="F152" t="s">
        <v>831</v>
      </c>
      <c r="G152" t="s">
        <v>179</v>
      </c>
      <c r="H152">
        <v>116</v>
      </c>
      <c r="I152">
        <v>81.147000000000006</v>
      </c>
      <c r="J152">
        <v>80.861999999999995</v>
      </c>
      <c r="K152">
        <v>-0.28399999999999997</v>
      </c>
      <c r="L152">
        <v>47</v>
      </c>
      <c r="M152">
        <v>24</v>
      </c>
      <c r="N152">
        <v>45</v>
      </c>
      <c r="O152">
        <v>80.018000000000001</v>
      </c>
      <c r="P152">
        <v>-0.62754769399999999</v>
      </c>
      <c r="Q152">
        <v>12.272</v>
      </c>
    </row>
    <row r="153" spans="1:17" s="30" customFormat="1" x14ac:dyDescent="0.2">
      <c r="A153" s="30" t="str">
        <f>IF(C153&amp;G153&amp;D153&lt;&gt;'Funnel setup'!$K$3&amp;'Funnel setup'!$K$4&amp;'Funnel setup'!$K$5,".",IF(A152=".",1,A152+1))</f>
        <v>.</v>
      </c>
      <c r="B153" s="431" t="str">
        <f t="shared" si="2"/>
        <v>Groin HerniaCCG of GP PracticeNHS SOUTH DEVON AND TORBAY CCG (99Q)EQ VAS</v>
      </c>
      <c r="C153" t="s">
        <v>50</v>
      </c>
      <c r="D153" t="s">
        <v>87</v>
      </c>
      <c r="E153" t="s">
        <v>833</v>
      </c>
      <c r="F153" t="s">
        <v>834</v>
      </c>
      <c r="G153" t="s">
        <v>179</v>
      </c>
      <c r="H153">
        <v>147</v>
      </c>
      <c r="I153">
        <v>84.66</v>
      </c>
      <c r="J153">
        <v>81.448999999999998</v>
      </c>
      <c r="K153">
        <v>-3.2109999999999999</v>
      </c>
      <c r="L153">
        <v>44</v>
      </c>
      <c r="M153">
        <v>30</v>
      </c>
      <c r="N153">
        <v>73</v>
      </c>
      <c r="O153">
        <v>78.39</v>
      </c>
      <c r="P153">
        <v>-2.2555881430000002</v>
      </c>
      <c r="Q153">
        <v>13.66</v>
      </c>
    </row>
    <row r="154" spans="1:17" s="30" customFormat="1" x14ac:dyDescent="0.2">
      <c r="A154" s="30" t="str">
        <f>IF(C154&amp;G154&amp;D154&lt;&gt;'Funnel setup'!$K$3&amp;'Funnel setup'!$K$4&amp;'Funnel setup'!$K$5,".",IF(A153=".",1,A153+1))</f>
        <v>.</v>
      </c>
      <c r="B154" s="431" t="str">
        <f t="shared" si="2"/>
        <v>Groin HerniaCCG of GP PracticeNHS SOUTH EAST STAFFORDSHIRE AND SEISDON PENINSULA CCG (05Q)EQ VAS</v>
      </c>
      <c r="C154" t="s">
        <v>50</v>
      </c>
      <c r="D154" t="s">
        <v>87</v>
      </c>
      <c r="E154" t="s">
        <v>836</v>
      </c>
      <c r="F154" t="s">
        <v>837</v>
      </c>
      <c r="G154" t="s">
        <v>179</v>
      </c>
      <c r="H154">
        <v>136</v>
      </c>
      <c r="I154">
        <v>81.903999999999996</v>
      </c>
      <c r="J154">
        <v>81.566000000000003</v>
      </c>
      <c r="K154">
        <v>-0.33800000000000002</v>
      </c>
      <c r="L154">
        <v>56</v>
      </c>
      <c r="M154">
        <v>20</v>
      </c>
      <c r="N154">
        <v>60</v>
      </c>
      <c r="O154">
        <v>80.822000000000003</v>
      </c>
      <c r="P154">
        <v>0.17663493699999999</v>
      </c>
      <c r="Q154">
        <v>11.491</v>
      </c>
    </row>
    <row r="155" spans="1:17" s="30" customFormat="1" x14ac:dyDescent="0.2">
      <c r="A155" s="30" t="str">
        <f>IF(C155&amp;G155&amp;D155&lt;&gt;'Funnel setup'!$K$3&amp;'Funnel setup'!$K$4&amp;'Funnel setup'!$K$5,".",IF(A154=".",1,A154+1))</f>
        <v>.</v>
      </c>
      <c r="B155" s="431" t="str">
        <f t="shared" si="2"/>
        <v>Groin HerniaCCG of GP PracticeNHS SOUTH EASTERN HAMPSHIRE CCG (10V)EQ VAS</v>
      </c>
      <c r="C155" t="s">
        <v>50</v>
      </c>
      <c r="D155" t="s">
        <v>87</v>
      </c>
      <c r="E155" t="s">
        <v>839</v>
      </c>
      <c r="F155" t="s">
        <v>840</v>
      </c>
      <c r="G155" t="s">
        <v>179</v>
      </c>
      <c r="H155">
        <v>80</v>
      </c>
      <c r="I155">
        <v>79.2</v>
      </c>
      <c r="J155">
        <v>83.1</v>
      </c>
      <c r="K155">
        <v>3.9</v>
      </c>
      <c r="L155">
        <v>35</v>
      </c>
      <c r="M155">
        <v>20</v>
      </c>
      <c r="N155">
        <v>25</v>
      </c>
      <c r="O155">
        <v>82.043999999999997</v>
      </c>
      <c r="P155">
        <v>1.3989531909999999</v>
      </c>
      <c r="Q155">
        <v>11.602</v>
      </c>
    </row>
    <row r="156" spans="1:17" s="30" customFormat="1" x14ac:dyDescent="0.2">
      <c r="A156" s="30" t="str">
        <f>IF(C156&amp;G156&amp;D156&lt;&gt;'Funnel setup'!$K$3&amp;'Funnel setup'!$K$4&amp;'Funnel setup'!$K$5,".",IF(A155=".",1,A155+1))</f>
        <v>.</v>
      </c>
      <c r="B156" s="431" t="str">
        <f t="shared" si="2"/>
        <v>Groin HerniaCCG of GP PracticeNHS SOUTH GLOUCESTERSHIRE CCG (12A)EQ VAS</v>
      </c>
      <c r="C156" t="s">
        <v>50</v>
      </c>
      <c r="D156" t="s">
        <v>87</v>
      </c>
      <c r="E156" t="s">
        <v>842</v>
      </c>
      <c r="F156" t="s">
        <v>843</v>
      </c>
      <c r="G156" t="s">
        <v>179</v>
      </c>
      <c r="H156">
        <v>68</v>
      </c>
      <c r="I156">
        <v>82</v>
      </c>
      <c r="J156">
        <v>82.941000000000003</v>
      </c>
      <c r="K156">
        <v>0.94099999999999995</v>
      </c>
      <c r="L156">
        <v>31</v>
      </c>
      <c r="M156">
        <v>15</v>
      </c>
      <c r="N156">
        <v>22</v>
      </c>
      <c r="O156">
        <v>81.308000000000007</v>
      </c>
      <c r="P156">
        <v>0.66220763999999999</v>
      </c>
      <c r="Q156">
        <v>10.859</v>
      </c>
    </row>
    <row r="157" spans="1:17" s="30" customFormat="1" x14ac:dyDescent="0.2">
      <c r="A157" s="30" t="str">
        <f>IF(C157&amp;G157&amp;D157&lt;&gt;'Funnel setup'!$K$3&amp;'Funnel setup'!$K$4&amp;'Funnel setup'!$K$5,".",IF(A156=".",1,A156+1))</f>
        <v>.</v>
      </c>
      <c r="B157" s="431" t="str">
        <f t="shared" si="2"/>
        <v>Groin HerniaCCG of GP PracticeNHS SOUTH KENT COAST CCG (10A)EQ VAS</v>
      </c>
      <c r="C157" t="s">
        <v>50</v>
      </c>
      <c r="D157" t="s">
        <v>87</v>
      </c>
      <c r="E157" t="s">
        <v>845</v>
      </c>
      <c r="F157" t="s">
        <v>846</v>
      </c>
      <c r="G157" t="s">
        <v>179</v>
      </c>
      <c r="H157">
        <v>80</v>
      </c>
      <c r="I157">
        <v>80.8</v>
      </c>
      <c r="J157">
        <v>80.625</v>
      </c>
      <c r="K157">
        <v>-0.17499999999999999</v>
      </c>
      <c r="L157">
        <v>30</v>
      </c>
      <c r="M157">
        <v>21</v>
      </c>
      <c r="N157">
        <v>29</v>
      </c>
      <c r="O157">
        <v>80.293999999999997</v>
      </c>
      <c r="P157">
        <v>-0.35157706900000002</v>
      </c>
      <c r="Q157">
        <v>11.978</v>
      </c>
    </row>
    <row r="158" spans="1:17" s="30" customFormat="1" x14ac:dyDescent="0.2">
      <c r="A158" s="30" t="str">
        <f>IF(C158&amp;G158&amp;D158&lt;&gt;'Funnel setup'!$K$3&amp;'Funnel setup'!$K$4&amp;'Funnel setup'!$K$5,".",IF(A157=".",1,A157+1))</f>
        <v>.</v>
      </c>
      <c r="B158" s="431" t="str">
        <f t="shared" si="2"/>
        <v>Groin HerniaCCG of GP PracticeNHS SOUTH LINCOLNSHIRE CCG (99D)EQ VAS</v>
      </c>
      <c r="C158" t="s">
        <v>50</v>
      </c>
      <c r="D158" t="s">
        <v>87</v>
      </c>
      <c r="E158" t="s">
        <v>848</v>
      </c>
      <c r="F158" t="s">
        <v>849</v>
      </c>
      <c r="G158" t="s">
        <v>179</v>
      </c>
      <c r="H158">
        <v>100</v>
      </c>
      <c r="I158">
        <v>83.58</v>
      </c>
      <c r="J158">
        <v>81.2</v>
      </c>
      <c r="K158">
        <v>-2.38</v>
      </c>
      <c r="L158">
        <v>37</v>
      </c>
      <c r="M158">
        <v>15</v>
      </c>
      <c r="N158">
        <v>48</v>
      </c>
      <c r="O158">
        <v>79.783000000000001</v>
      </c>
      <c r="P158">
        <v>-0.86271419299999996</v>
      </c>
      <c r="Q158">
        <v>11.435</v>
      </c>
    </row>
    <row r="159" spans="1:17" s="30" customFormat="1" x14ac:dyDescent="0.2">
      <c r="A159" s="30" t="str">
        <f>IF(C159&amp;G159&amp;D159&lt;&gt;'Funnel setup'!$K$3&amp;'Funnel setup'!$K$4&amp;'Funnel setup'!$K$5,".",IF(A158=".",1,A158+1))</f>
        <v>.</v>
      </c>
      <c r="B159" s="431" t="str">
        <f t="shared" si="2"/>
        <v>Groin HerniaCCG of GP PracticeNHS SOUTH MANCHESTER CCG (01N)EQ VAS</v>
      </c>
      <c r="C159" t="s">
        <v>50</v>
      </c>
      <c r="D159" t="s">
        <v>87</v>
      </c>
      <c r="E159" t="s">
        <v>851</v>
      </c>
      <c r="F159" t="s">
        <v>852</v>
      </c>
      <c r="G159" t="s">
        <v>179</v>
      </c>
      <c r="H159">
        <v>20</v>
      </c>
      <c r="I159">
        <v>73.95</v>
      </c>
      <c r="J159">
        <v>71.05</v>
      </c>
      <c r="K159">
        <v>-2.9</v>
      </c>
      <c r="L159">
        <v>6</v>
      </c>
      <c r="M159">
        <v>4</v>
      </c>
      <c r="N159">
        <v>10</v>
      </c>
      <c r="O159" t="s">
        <v>53</v>
      </c>
      <c r="P159" t="s">
        <v>53</v>
      </c>
      <c r="Q159" t="s">
        <v>53</v>
      </c>
    </row>
    <row r="160" spans="1:17" s="30" customFormat="1" x14ac:dyDescent="0.2">
      <c r="A160" s="30" t="str">
        <f>IF(C160&amp;G160&amp;D160&lt;&gt;'Funnel setup'!$K$3&amp;'Funnel setup'!$K$4&amp;'Funnel setup'!$K$5,".",IF(A159=".",1,A159+1))</f>
        <v>.</v>
      </c>
      <c r="B160" s="431" t="str">
        <f t="shared" si="2"/>
        <v>Groin HerniaCCG of GP PracticeNHS SOUTH NORFOLK CCG (06Y)EQ VAS</v>
      </c>
      <c r="C160" t="s">
        <v>50</v>
      </c>
      <c r="D160" t="s">
        <v>87</v>
      </c>
      <c r="E160" t="s">
        <v>932</v>
      </c>
      <c r="F160" t="s">
        <v>933</v>
      </c>
      <c r="G160" t="s">
        <v>179</v>
      </c>
      <c r="H160">
        <v>161</v>
      </c>
      <c r="I160">
        <v>80.025000000000006</v>
      </c>
      <c r="J160">
        <v>81.117999999999995</v>
      </c>
      <c r="K160">
        <v>1.093</v>
      </c>
      <c r="L160">
        <v>70</v>
      </c>
      <c r="M160">
        <v>35</v>
      </c>
      <c r="N160">
        <v>56</v>
      </c>
      <c r="O160">
        <v>80.989000000000004</v>
      </c>
      <c r="P160">
        <v>0.34376434900000002</v>
      </c>
      <c r="Q160">
        <v>10.942</v>
      </c>
    </row>
    <row r="161" spans="1:17" s="30" customFormat="1" x14ac:dyDescent="0.2">
      <c r="A161" s="30" t="str">
        <f>IF(C161&amp;G161&amp;D161&lt;&gt;'Funnel setup'!$K$3&amp;'Funnel setup'!$K$4&amp;'Funnel setup'!$K$5,".",IF(A160=".",1,A160+1))</f>
        <v>.</v>
      </c>
      <c r="B161" s="431" t="str">
        <f t="shared" si="2"/>
        <v>Groin HerniaCCG of GP PracticeNHS SOUTH READING CCG (10W)EQ VAS</v>
      </c>
      <c r="C161" t="s">
        <v>50</v>
      </c>
      <c r="D161" t="s">
        <v>87</v>
      </c>
      <c r="E161" t="s">
        <v>935</v>
      </c>
      <c r="F161" t="s">
        <v>936</v>
      </c>
      <c r="G161" t="s">
        <v>179</v>
      </c>
      <c r="H161">
        <v>29</v>
      </c>
      <c r="I161">
        <v>82.620999999999995</v>
      </c>
      <c r="J161">
        <v>83.552000000000007</v>
      </c>
      <c r="K161">
        <v>0.93100000000000005</v>
      </c>
      <c r="L161">
        <v>12</v>
      </c>
      <c r="M161">
        <v>8</v>
      </c>
      <c r="N161">
        <v>9</v>
      </c>
      <c r="O161" t="s">
        <v>53</v>
      </c>
      <c r="P161" t="s">
        <v>53</v>
      </c>
      <c r="Q161" t="s">
        <v>53</v>
      </c>
    </row>
    <row r="162" spans="1:17" s="30" customFormat="1" x14ac:dyDescent="0.2">
      <c r="A162" s="30" t="str">
        <f>IF(C162&amp;G162&amp;D162&lt;&gt;'Funnel setup'!$K$3&amp;'Funnel setup'!$K$4&amp;'Funnel setup'!$K$5,".",IF(A161=".",1,A161+1))</f>
        <v>.</v>
      </c>
      <c r="B162" s="431" t="str">
        <f t="shared" si="2"/>
        <v>Groin HerniaCCG of GP PracticeNHS SOUTH SEFTON CCG (01T)EQ VAS</v>
      </c>
      <c r="C162" t="s">
        <v>50</v>
      </c>
      <c r="D162" t="s">
        <v>87</v>
      </c>
      <c r="E162" t="s">
        <v>938</v>
      </c>
      <c r="F162" t="s">
        <v>939</v>
      </c>
      <c r="G162" t="s">
        <v>179</v>
      </c>
      <c r="H162">
        <v>71</v>
      </c>
      <c r="I162">
        <v>75.605999999999995</v>
      </c>
      <c r="J162">
        <v>78.423000000000002</v>
      </c>
      <c r="K162">
        <v>2.8170000000000002</v>
      </c>
      <c r="L162">
        <v>30</v>
      </c>
      <c r="M162">
        <v>15</v>
      </c>
      <c r="N162">
        <v>26</v>
      </c>
      <c r="O162">
        <v>80.436000000000007</v>
      </c>
      <c r="P162">
        <v>-0.209014166</v>
      </c>
      <c r="Q162">
        <v>14.7</v>
      </c>
    </row>
    <row r="163" spans="1:17" s="30" customFormat="1" x14ac:dyDescent="0.2">
      <c r="A163" s="30" t="str">
        <f>IF(C163&amp;G163&amp;D163&lt;&gt;'Funnel setup'!$K$3&amp;'Funnel setup'!$K$4&amp;'Funnel setup'!$K$5,".",IF(A162=".",1,A162+1))</f>
        <v>.</v>
      </c>
      <c r="B163" s="431" t="str">
        <f t="shared" si="2"/>
        <v>Groin HerniaCCG of GP PracticeNHS SOUTH TEES CCG (00M)EQ VAS</v>
      </c>
      <c r="C163" t="s">
        <v>50</v>
      </c>
      <c r="D163" t="s">
        <v>87</v>
      </c>
      <c r="E163" t="s">
        <v>941</v>
      </c>
      <c r="F163" t="s">
        <v>942</v>
      </c>
      <c r="G163" t="s">
        <v>179</v>
      </c>
      <c r="H163">
        <v>118</v>
      </c>
      <c r="I163">
        <v>78.212000000000003</v>
      </c>
      <c r="J163">
        <v>78.653000000000006</v>
      </c>
      <c r="K163">
        <v>0.441</v>
      </c>
      <c r="L163">
        <v>45</v>
      </c>
      <c r="M163">
        <v>22</v>
      </c>
      <c r="N163">
        <v>51</v>
      </c>
      <c r="O163">
        <v>80.239999999999995</v>
      </c>
      <c r="P163">
        <v>-0.405820395</v>
      </c>
      <c r="Q163">
        <v>13.445</v>
      </c>
    </row>
    <row r="164" spans="1:17" s="30" customFormat="1" x14ac:dyDescent="0.2">
      <c r="A164" s="30" t="str">
        <f>IF(C164&amp;G164&amp;D164&lt;&gt;'Funnel setup'!$K$3&amp;'Funnel setup'!$K$4&amp;'Funnel setup'!$K$5,".",IF(A163=".",1,A163+1))</f>
        <v>.</v>
      </c>
      <c r="B164" s="431" t="str">
        <f t="shared" si="2"/>
        <v>Groin HerniaCCG of GP PracticeNHS SOUTH TYNESIDE CCG (00N)EQ VAS</v>
      </c>
      <c r="C164" t="s">
        <v>50</v>
      </c>
      <c r="D164" t="s">
        <v>87</v>
      </c>
      <c r="E164" t="s">
        <v>1016</v>
      </c>
      <c r="F164" t="s">
        <v>1017</v>
      </c>
      <c r="G164" t="s">
        <v>179</v>
      </c>
      <c r="H164">
        <v>86</v>
      </c>
      <c r="I164">
        <v>78.894999999999996</v>
      </c>
      <c r="J164">
        <v>76.522999999999996</v>
      </c>
      <c r="K164">
        <v>-2.3719999999999999</v>
      </c>
      <c r="L164">
        <v>32</v>
      </c>
      <c r="M164">
        <v>19</v>
      </c>
      <c r="N164">
        <v>35</v>
      </c>
      <c r="O164">
        <v>77.466999999999999</v>
      </c>
      <c r="P164">
        <v>-3.1785205009999999</v>
      </c>
      <c r="Q164">
        <v>14.083</v>
      </c>
    </row>
    <row r="165" spans="1:17" s="30" customFormat="1" x14ac:dyDescent="0.2">
      <c r="A165" s="30" t="str">
        <f>IF(C165&amp;G165&amp;D165&lt;&gt;'Funnel setup'!$K$3&amp;'Funnel setup'!$K$4&amp;'Funnel setup'!$K$5,".",IF(A164=".",1,A164+1))</f>
        <v>.</v>
      </c>
      <c r="B165" s="431" t="str">
        <f t="shared" si="2"/>
        <v>Groin HerniaCCG of GP PracticeNHS SOUTH WARWICKSHIRE CCG (05R)EQ VAS</v>
      </c>
      <c r="C165" t="s">
        <v>50</v>
      </c>
      <c r="D165" t="s">
        <v>87</v>
      </c>
      <c r="E165" t="s">
        <v>944</v>
      </c>
      <c r="F165" t="s">
        <v>945</v>
      </c>
      <c r="G165" t="s">
        <v>179</v>
      </c>
      <c r="H165">
        <v>221</v>
      </c>
      <c r="I165">
        <v>80.700999999999993</v>
      </c>
      <c r="J165">
        <v>80.370999999999995</v>
      </c>
      <c r="K165">
        <v>-0.33</v>
      </c>
      <c r="L165">
        <v>96</v>
      </c>
      <c r="M165">
        <v>41</v>
      </c>
      <c r="N165">
        <v>84</v>
      </c>
      <c r="O165">
        <v>80.710999999999999</v>
      </c>
      <c r="P165">
        <v>6.5315709999999999E-2</v>
      </c>
      <c r="Q165">
        <v>11.49</v>
      </c>
    </row>
    <row r="166" spans="1:17" s="30" customFormat="1" x14ac:dyDescent="0.2">
      <c r="A166" s="30" t="str">
        <f>IF(C166&amp;G166&amp;D166&lt;&gt;'Funnel setup'!$K$3&amp;'Funnel setup'!$K$4&amp;'Funnel setup'!$K$5,".",IF(A165=".",1,A165+1))</f>
        <v>.</v>
      </c>
      <c r="B166" s="431" t="str">
        <f t="shared" si="2"/>
        <v>Groin HerniaCCG of GP PracticeNHS SOUTH WEST LINCOLNSHIRE CCG (04Q)EQ VAS</v>
      </c>
      <c r="C166" t="s">
        <v>50</v>
      </c>
      <c r="D166" t="s">
        <v>87</v>
      </c>
      <c r="E166" t="s">
        <v>947</v>
      </c>
      <c r="F166" t="s">
        <v>948</v>
      </c>
      <c r="G166" t="s">
        <v>179</v>
      </c>
      <c r="H166">
        <v>56</v>
      </c>
      <c r="I166">
        <v>83.463999999999999</v>
      </c>
      <c r="J166">
        <v>79.445999999999998</v>
      </c>
      <c r="K166">
        <v>-4.0179999999999998</v>
      </c>
      <c r="L166">
        <v>17</v>
      </c>
      <c r="M166">
        <v>8</v>
      </c>
      <c r="N166">
        <v>31</v>
      </c>
      <c r="O166">
        <v>77.709000000000003</v>
      </c>
      <c r="P166">
        <v>-2.9362573919999999</v>
      </c>
      <c r="Q166">
        <v>11.106</v>
      </c>
    </row>
    <row r="167" spans="1:17" s="30" customFormat="1" x14ac:dyDescent="0.2">
      <c r="A167" s="30" t="str">
        <f>IF(C167&amp;G167&amp;D167&lt;&gt;'Funnel setup'!$K$3&amp;'Funnel setup'!$K$4&amp;'Funnel setup'!$K$5,".",IF(A166=".",1,A166+1))</f>
        <v>.</v>
      </c>
      <c r="B167" s="431" t="str">
        <f t="shared" si="2"/>
        <v>Groin HerniaCCG of GP PracticeNHS SOUTH WORCESTERSHIRE CCG (05T)EQ VAS</v>
      </c>
      <c r="C167" t="s">
        <v>50</v>
      </c>
      <c r="D167" t="s">
        <v>87</v>
      </c>
      <c r="E167" t="s">
        <v>950</v>
      </c>
      <c r="F167" t="s">
        <v>951</v>
      </c>
      <c r="G167" t="s">
        <v>179</v>
      </c>
      <c r="H167">
        <v>138</v>
      </c>
      <c r="I167">
        <v>81.855000000000004</v>
      </c>
      <c r="J167">
        <v>82.064999999999998</v>
      </c>
      <c r="K167">
        <v>0.21</v>
      </c>
      <c r="L167">
        <v>59</v>
      </c>
      <c r="M167">
        <v>26</v>
      </c>
      <c r="N167">
        <v>53</v>
      </c>
      <c r="O167">
        <v>81.308000000000007</v>
      </c>
      <c r="P167">
        <v>0.66268699200000003</v>
      </c>
      <c r="Q167">
        <v>11.193</v>
      </c>
    </row>
    <row r="168" spans="1:17" s="30" customFormat="1" x14ac:dyDescent="0.2">
      <c r="A168" s="30" t="str">
        <f>IF(C168&amp;G168&amp;D168&lt;&gt;'Funnel setup'!$K$3&amp;'Funnel setup'!$K$4&amp;'Funnel setup'!$K$5,".",IF(A167=".",1,A167+1))</f>
        <v>.</v>
      </c>
      <c r="B168" s="431" t="str">
        <f t="shared" si="2"/>
        <v>Groin HerniaCCG of GP PracticeNHS SOUTHAMPTON CCG (10X)EQ VAS</v>
      </c>
      <c r="C168" t="s">
        <v>50</v>
      </c>
      <c r="D168" t="s">
        <v>87</v>
      </c>
      <c r="E168" t="s">
        <v>953</v>
      </c>
      <c r="F168" t="s">
        <v>954</v>
      </c>
      <c r="G168" t="s">
        <v>179</v>
      </c>
      <c r="H168">
        <v>89</v>
      </c>
      <c r="I168">
        <v>81.09</v>
      </c>
      <c r="J168">
        <v>78.662999999999997</v>
      </c>
      <c r="K168">
        <v>-2.427</v>
      </c>
      <c r="L168">
        <v>30</v>
      </c>
      <c r="M168">
        <v>17</v>
      </c>
      <c r="N168">
        <v>42</v>
      </c>
      <c r="O168">
        <v>78.721000000000004</v>
      </c>
      <c r="P168">
        <v>-1.9244750340000001</v>
      </c>
      <c r="Q168">
        <v>12.99</v>
      </c>
    </row>
    <row r="169" spans="1:17" s="30" customFormat="1" x14ac:dyDescent="0.2">
      <c r="A169" s="30" t="str">
        <f>IF(C169&amp;G169&amp;D169&lt;&gt;'Funnel setup'!$K$3&amp;'Funnel setup'!$K$4&amp;'Funnel setup'!$K$5,".",IF(A168=".",1,A168+1))</f>
        <v>.</v>
      </c>
      <c r="B169" s="431" t="str">
        <f t="shared" si="2"/>
        <v>Groin HerniaCCG of GP PracticeNHS SOUTHEND CCG (99G)EQ VAS</v>
      </c>
      <c r="C169" t="s">
        <v>50</v>
      </c>
      <c r="D169" t="s">
        <v>87</v>
      </c>
      <c r="E169" t="s">
        <v>956</v>
      </c>
      <c r="F169" t="s">
        <v>957</v>
      </c>
      <c r="G169" t="s">
        <v>179</v>
      </c>
      <c r="H169">
        <v>50</v>
      </c>
      <c r="I169">
        <v>82</v>
      </c>
      <c r="J169">
        <v>77.02</v>
      </c>
      <c r="K169">
        <v>-4.9800000000000004</v>
      </c>
      <c r="L169">
        <v>14</v>
      </c>
      <c r="M169">
        <v>9</v>
      </c>
      <c r="N169">
        <v>27</v>
      </c>
      <c r="O169">
        <v>77.552999999999997</v>
      </c>
      <c r="P169">
        <v>-3.092072398</v>
      </c>
      <c r="Q169">
        <v>10.941000000000001</v>
      </c>
    </row>
    <row r="170" spans="1:17" s="30" customFormat="1" x14ac:dyDescent="0.2">
      <c r="A170" s="30" t="str">
        <f>IF(C170&amp;G170&amp;D170&lt;&gt;'Funnel setup'!$K$3&amp;'Funnel setup'!$K$4&amp;'Funnel setup'!$K$5,".",IF(A169=".",1,A169+1))</f>
        <v>.</v>
      </c>
      <c r="B170" s="431" t="str">
        <f t="shared" si="2"/>
        <v>Groin HerniaCCG of GP PracticeNHS SOUTHERN DERBYSHIRE CCG (04R)EQ VAS</v>
      </c>
      <c r="C170" t="s">
        <v>50</v>
      </c>
      <c r="D170" t="s">
        <v>87</v>
      </c>
      <c r="E170" t="s">
        <v>959</v>
      </c>
      <c r="F170" t="s">
        <v>960</v>
      </c>
      <c r="G170" t="s">
        <v>179</v>
      </c>
      <c r="H170">
        <v>147</v>
      </c>
      <c r="I170">
        <v>80.796000000000006</v>
      </c>
      <c r="J170">
        <v>78.543999999999997</v>
      </c>
      <c r="K170">
        <v>-2.2519999999999998</v>
      </c>
      <c r="L170">
        <v>55</v>
      </c>
      <c r="M170">
        <v>28</v>
      </c>
      <c r="N170">
        <v>64</v>
      </c>
      <c r="O170">
        <v>78.709000000000003</v>
      </c>
      <c r="P170">
        <v>-1.9360891140000001</v>
      </c>
      <c r="Q170">
        <v>13.327999999999999</v>
      </c>
    </row>
    <row r="171" spans="1:17" s="30" customFormat="1" x14ac:dyDescent="0.2">
      <c r="A171" s="30" t="str">
        <f>IF(C171&amp;G171&amp;D171&lt;&gt;'Funnel setup'!$K$3&amp;'Funnel setup'!$K$4&amp;'Funnel setup'!$K$5,".",IF(A170=".",1,A170+1))</f>
        <v>.</v>
      </c>
      <c r="B171" s="431" t="str">
        <f t="shared" si="2"/>
        <v>Groin HerniaCCG of GP PracticeNHS SOUTHPORT AND FORMBY CCG (01V)EQ VAS</v>
      </c>
      <c r="C171" t="s">
        <v>50</v>
      </c>
      <c r="D171" t="s">
        <v>87</v>
      </c>
      <c r="E171" t="s">
        <v>962</v>
      </c>
      <c r="F171" t="s">
        <v>963</v>
      </c>
      <c r="G171" t="s">
        <v>179</v>
      </c>
      <c r="H171">
        <v>104</v>
      </c>
      <c r="I171">
        <v>80.864999999999995</v>
      </c>
      <c r="J171">
        <v>79.576999999999998</v>
      </c>
      <c r="K171">
        <v>-1.288</v>
      </c>
      <c r="L171">
        <v>33</v>
      </c>
      <c r="M171">
        <v>27</v>
      </c>
      <c r="N171">
        <v>44</v>
      </c>
      <c r="O171">
        <v>79.436000000000007</v>
      </c>
      <c r="P171">
        <v>-1.2092183649999999</v>
      </c>
      <c r="Q171">
        <v>12.56</v>
      </c>
    </row>
    <row r="172" spans="1:17" s="30" customFormat="1" x14ac:dyDescent="0.2">
      <c r="A172" s="30" t="str">
        <f>IF(C172&amp;G172&amp;D172&lt;&gt;'Funnel setup'!$K$3&amp;'Funnel setup'!$K$4&amp;'Funnel setup'!$K$5,".",IF(A171=".",1,A171+1))</f>
        <v>.</v>
      </c>
      <c r="B172" s="431" t="str">
        <f t="shared" si="2"/>
        <v>Groin HerniaCCG of GP PracticeNHS SOUTHWARK CCG (08Q)EQ VAS</v>
      </c>
      <c r="C172" t="s">
        <v>50</v>
      </c>
      <c r="D172" t="s">
        <v>87</v>
      </c>
      <c r="E172" t="s">
        <v>965</v>
      </c>
      <c r="F172" t="s">
        <v>966</v>
      </c>
      <c r="G172" t="s">
        <v>179</v>
      </c>
      <c r="H172">
        <v>22</v>
      </c>
      <c r="I172">
        <v>84.864000000000004</v>
      </c>
      <c r="J172">
        <v>84.364000000000004</v>
      </c>
      <c r="K172">
        <v>-0.5</v>
      </c>
      <c r="L172">
        <v>7</v>
      </c>
      <c r="M172">
        <v>6</v>
      </c>
      <c r="N172">
        <v>9</v>
      </c>
      <c r="O172" t="s">
        <v>53</v>
      </c>
      <c r="P172" t="s">
        <v>53</v>
      </c>
      <c r="Q172" t="s">
        <v>53</v>
      </c>
    </row>
    <row r="173" spans="1:17" s="30" customFormat="1" x14ac:dyDescent="0.2">
      <c r="A173" s="30" t="str">
        <f>IF(C173&amp;G173&amp;D173&lt;&gt;'Funnel setup'!$K$3&amp;'Funnel setup'!$K$4&amp;'Funnel setup'!$K$5,".",IF(A172=".",1,A172+1))</f>
        <v>.</v>
      </c>
      <c r="B173" s="431" t="str">
        <f t="shared" si="2"/>
        <v>Groin HerniaCCG of GP PracticeNHS ST HELENS CCG (01X)EQ VAS</v>
      </c>
      <c r="C173" t="s">
        <v>50</v>
      </c>
      <c r="D173" t="s">
        <v>87</v>
      </c>
      <c r="E173" t="s">
        <v>968</v>
      </c>
      <c r="F173" t="s">
        <v>969</v>
      </c>
      <c r="G173" t="s">
        <v>179</v>
      </c>
      <c r="H173">
        <v>91</v>
      </c>
      <c r="I173">
        <v>85.143000000000001</v>
      </c>
      <c r="J173">
        <v>83.022000000000006</v>
      </c>
      <c r="K173">
        <v>-2.121</v>
      </c>
      <c r="L173">
        <v>28</v>
      </c>
      <c r="M173">
        <v>18</v>
      </c>
      <c r="N173">
        <v>45</v>
      </c>
      <c r="O173">
        <v>81.474000000000004</v>
      </c>
      <c r="P173">
        <v>0.82833120100000002</v>
      </c>
      <c r="Q173">
        <v>10.851000000000001</v>
      </c>
    </row>
    <row r="174" spans="1:17" s="30" customFormat="1" x14ac:dyDescent="0.2">
      <c r="A174" s="30" t="str">
        <f>IF(C174&amp;G174&amp;D174&lt;&gt;'Funnel setup'!$K$3&amp;'Funnel setup'!$K$4&amp;'Funnel setup'!$K$5,".",IF(A173=".",1,A173+1))</f>
        <v>.</v>
      </c>
      <c r="B174" s="431" t="str">
        <f t="shared" si="2"/>
        <v>Groin HerniaCCG of GP PracticeNHS STAFFORD AND SURROUNDS CCG (05V)EQ VAS</v>
      </c>
      <c r="C174" t="s">
        <v>50</v>
      </c>
      <c r="D174" t="s">
        <v>87</v>
      </c>
      <c r="E174" t="s">
        <v>971</v>
      </c>
      <c r="F174" t="s">
        <v>972</v>
      </c>
      <c r="G174" t="s">
        <v>179</v>
      </c>
      <c r="H174">
        <v>107</v>
      </c>
      <c r="I174">
        <v>82.215000000000003</v>
      </c>
      <c r="J174">
        <v>81.606999999999999</v>
      </c>
      <c r="K174">
        <v>-0.60699999999999998</v>
      </c>
      <c r="L174">
        <v>35</v>
      </c>
      <c r="M174">
        <v>30</v>
      </c>
      <c r="N174">
        <v>42</v>
      </c>
      <c r="O174">
        <v>80.864000000000004</v>
      </c>
      <c r="P174">
        <v>0.21827553699999999</v>
      </c>
      <c r="Q174">
        <v>9.5609999999999999</v>
      </c>
    </row>
    <row r="175" spans="1:17" s="30" customFormat="1" x14ac:dyDescent="0.2">
      <c r="A175" s="30" t="str">
        <f>IF(C175&amp;G175&amp;D175&lt;&gt;'Funnel setup'!$K$3&amp;'Funnel setup'!$K$4&amp;'Funnel setup'!$K$5,".",IF(A174=".",1,A174+1))</f>
        <v>.</v>
      </c>
      <c r="B175" s="431" t="str">
        <f t="shared" si="2"/>
        <v>Groin HerniaCCG of GP PracticeNHS STOCKPORT CCG (01W)EQ VAS</v>
      </c>
      <c r="C175" t="s">
        <v>50</v>
      </c>
      <c r="D175" t="s">
        <v>87</v>
      </c>
      <c r="E175" t="s">
        <v>974</v>
      </c>
      <c r="F175" t="s">
        <v>975</v>
      </c>
      <c r="G175" t="s">
        <v>179</v>
      </c>
      <c r="H175">
        <v>123</v>
      </c>
      <c r="I175">
        <v>80.935000000000002</v>
      </c>
      <c r="J175">
        <v>80.584999999999994</v>
      </c>
      <c r="K175">
        <v>-0.35</v>
      </c>
      <c r="L175">
        <v>49</v>
      </c>
      <c r="M175">
        <v>26</v>
      </c>
      <c r="N175">
        <v>48</v>
      </c>
      <c r="O175">
        <v>79.903000000000006</v>
      </c>
      <c r="P175">
        <v>-0.74272740999999998</v>
      </c>
      <c r="Q175">
        <v>14.547000000000001</v>
      </c>
    </row>
    <row r="176" spans="1:17" s="30" customFormat="1" x14ac:dyDescent="0.2">
      <c r="A176" s="30" t="str">
        <f>IF(C176&amp;G176&amp;D176&lt;&gt;'Funnel setup'!$K$3&amp;'Funnel setup'!$K$4&amp;'Funnel setup'!$K$5,".",IF(A175=".",1,A175+1))</f>
        <v>.</v>
      </c>
      <c r="B176" s="431" t="str">
        <f t="shared" si="2"/>
        <v>Groin HerniaCCG of GP PracticeNHS STOKE ON TRENT CCG (05W)EQ VAS</v>
      </c>
      <c r="C176" t="s">
        <v>50</v>
      </c>
      <c r="D176" t="s">
        <v>87</v>
      </c>
      <c r="E176" t="s">
        <v>977</v>
      </c>
      <c r="F176" t="s">
        <v>978</v>
      </c>
      <c r="G176" t="s">
        <v>179</v>
      </c>
      <c r="H176">
        <v>50</v>
      </c>
      <c r="I176">
        <v>79.62</v>
      </c>
      <c r="J176">
        <v>81.760000000000005</v>
      </c>
      <c r="K176">
        <v>2.14</v>
      </c>
      <c r="L176">
        <v>22</v>
      </c>
      <c r="M176">
        <v>16</v>
      </c>
      <c r="N176">
        <v>12</v>
      </c>
      <c r="O176">
        <v>83.131</v>
      </c>
      <c r="P176">
        <v>2.4855107059999999</v>
      </c>
      <c r="Q176">
        <v>12.301</v>
      </c>
    </row>
    <row r="177" spans="1:17" s="30" customFormat="1" x14ac:dyDescent="0.2">
      <c r="A177" s="30" t="str">
        <f>IF(C177&amp;G177&amp;D177&lt;&gt;'Funnel setup'!$K$3&amp;'Funnel setup'!$K$4&amp;'Funnel setup'!$K$5,".",IF(A176=".",1,A176+1))</f>
        <v>.</v>
      </c>
      <c r="B177" s="431" t="str">
        <f t="shared" si="2"/>
        <v>Groin HerniaCCG of GP PracticeNHS SUNDERLAND CCG (00P)EQ VAS</v>
      </c>
      <c r="C177" t="s">
        <v>50</v>
      </c>
      <c r="D177" t="s">
        <v>87</v>
      </c>
      <c r="E177" t="s">
        <v>980</v>
      </c>
      <c r="F177" t="s">
        <v>981</v>
      </c>
      <c r="G177" t="s">
        <v>179</v>
      </c>
      <c r="H177">
        <v>140</v>
      </c>
      <c r="I177">
        <v>74.778999999999996</v>
      </c>
      <c r="J177">
        <v>73.429000000000002</v>
      </c>
      <c r="K177">
        <v>-1.35</v>
      </c>
      <c r="L177">
        <v>52</v>
      </c>
      <c r="M177">
        <v>28</v>
      </c>
      <c r="N177">
        <v>60</v>
      </c>
      <c r="O177">
        <v>79.03</v>
      </c>
      <c r="P177">
        <v>-1.615704722</v>
      </c>
      <c r="Q177">
        <v>15.234</v>
      </c>
    </row>
    <row r="178" spans="1:17" s="30" customFormat="1" x14ac:dyDescent="0.2">
      <c r="A178" s="30" t="str">
        <f>IF(C178&amp;G178&amp;D178&lt;&gt;'Funnel setup'!$K$3&amp;'Funnel setup'!$K$4&amp;'Funnel setup'!$K$5,".",IF(A177=".",1,A177+1))</f>
        <v>.</v>
      </c>
      <c r="B178" s="431" t="str">
        <f t="shared" si="2"/>
        <v>Groin HerniaCCG of GP PracticeNHS SURREY DOWNS CCG (99H)EQ VAS</v>
      </c>
      <c r="C178" t="s">
        <v>50</v>
      </c>
      <c r="D178" t="s">
        <v>87</v>
      </c>
      <c r="E178" t="s">
        <v>983</v>
      </c>
      <c r="F178" t="s">
        <v>984</v>
      </c>
      <c r="G178" t="s">
        <v>179</v>
      </c>
      <c r="H178">
        <v>111</v>
      </c>
      <c r="I178">
        <v>81.045000000000002</v>
      </c>
      <c r="J178">
        <v>80.45</v>
      </c>
      <c r="K178">
        <v>-0.59499999999999997</v>
      </c>
      <c r="L178">
        <v>38</v>
      </c>
      <c r="M178">
        <v>27</v>
      </c>
      <c r="N178">
        <v>46</v>
      </c>
      <c r="O178">
        <v>79.927000000000007</v>
      </c>
      <c r="P178">
        <v>-0.71796038699999998</v>
      </c>
      <c r="Q178">
        <v>11.164999999999999</v>
      </c>
    </row>
    <row r="179" spans="1:17" s="30" customFormat="1" x14ac:dyDescent="0.2">
      <c r="A179" s="30" t="str">
        <f>IF(C179&amp;G179&amp;D179&lt;&gt;'Funnel setup'!$K$3&amp;'Funnel setup'!$K$4&amp;'Funnel setup'!$K$5,".",IF(A178=".",1,A178+1))</f>
        <v>.</v>
      </c>
      <c r="B179" s="431" t="str">
        <f t="shared" si="2"/>
        <v>Groin HerniaCCG of GP PracticeNHS SURREY HEATH CCG (10C)EQ VAS</v>
      </c>
      <c r="C179" t="s">
        <v>50</v>
      </c>
      <c r="D179" t="s">
        <v>87</v>
      </c>
      <c r="E179" t="s">
        <v>986</v>
      </c>
      <c r="F179" t="s">
        <v>987</v>
      </c>
      <c r="G179" t="s">
        <v>179</v>
      </c>
      <c r="H179">
        <v>59</v>
      </c>
      <c r="I179">
        <v>78.135999999999996</v>
      </c>
      <c r="J179">
        <v>79.745999999999995</v>
      </c>
      <c r="K179">
        <v>1.61</v>
      </c>
      <c r="L179">
        <v>26</v>
      </c>
      <c r="M179">
        <v>8</v>
      </c>
      <c r="N179">
        <v>25</v>
      </c>
      <c r="O179">
        <v>80.363</v>
      </c>
      <c r="P179">
        <v>-0.28260179600000002</v>
      </c>
      <c r="Q179">
        <v>10.993</v>
      </c>
    </row>
    <row r="180" spans="1:17" s="30" customFormat="1" x14ac:dyDescent="0.2">
      <c r="A180" s="30" t="str">
        <f>IF(C180&amp;G180&amp;D180&lt;&gt;'Funnel setup'!$K$3&amp;'Funnel setup'!$K$4&amp;'Funnel setup'!$K$5,".",IF(A179=".",1,A179+1))</f>
        <v>.</v>
      </c>
      <c r="B180" s="431" t="str">
        <f t="shared" si="2"/>
        <v>Groin HerniaCCG of GP PracticeNHS SUTTON CCG (08T)EQ VAS</v>
      </c>
      <c r="C180" t="s">
        <v>50</v>
      </c>
      <c r="D180" t="s">
        <v>87</v>
      </c>
      <c r="E180" t="s">
        <v>989</v>
      </c>
      <c r="F180" t="s">
        <v>990</v>
      </c>
      <c r="G180" t="s">
        <v>179</v>
      </c>
      <c r="H180">
        <v>49</v>
      </c>
      <c r="I180">
        <v>81.265000000000001</v>
      </c>
      <c r="J180">
        <v>80.468999999999994</v>
      </c>
      <c r="K180">
        <v>-0.79600000000000004</v>
      </c>
      <c r="L180">
        <v>19</v>
      </c>
      <c r="M180">
        <v>10</v>
      </c>
      <c r="N180">
        <v>20</v>
      </c>
      <c r="O180">
        <v>79.658000000000001</v>
      </c>
      <c r="P180">
        <v>-0.98782797099999997</v>
      </c>
      <c r="Q180">
        <v>12.071999999999999</v>
      </c>
    </row>
    <row r="181" spans="1:17" s="30" customFormat="1" x14ac:dyDescent="0.2">
      <c r="A181" s="30" t="str">
        <f>IF(C181&amp;G181&amp;D181&lt;&gt;'Funnel setup'!$K$3&amp;'Funnel setup'!$K$4&amp;'Funnel setup'!$K$5,".",IF(A180=".",1,A180+1))</f>
        <v>.</v>
      </c>
      <c r="B181" s="431" t="str">
        <f t="shared" si="2"/>
        <v>Groin HerniaCCG of GP PracticeNHS SWALE CCG (10D)EQ VAS</v>
      </c>
      <c r="C181" t="s">
        <v>50</v>
      </c>
      <c r="D181" t="s">
        <v>87</v>
      </c>
      <c r="E181" t="s">
        <v>992</v>
      </c>
      <c r="F181" t="s">
        <v>993</v>
      </c>
      <c r="G181" t="s">
        <v>179</v>
      </c>
      <c r="H181">
        <v>40</v>
      </c>
      <c r="I181">
        <v>81.424999999999997</v>
      </c>
      <c r="J181">
        <v>81.625</v>
      </c>
      <c r="K181">
        <v>0.2</v>
      </c>
      <c r="L181">
        <v>20</v>
      </c>
      <c r="M181">
        <v>4</v>
      </c>
      <c r="N181">
        <v>16</v>
      </c>
      <c r="O181">
        <v>81.772999999999996</v>
      </c>
      <c r="P181">
        <v>1.1278903760000001</v>
      </c>
      <c r="Q181">
        <v>12.558</v>
      </c>
    </row>
    <row r="182" spans="1:17" s="30" customFormat="1" x14ac:dyDescent="0.2">
      <c r="A182" s="30" t="str">
        <f>IF(C182&amp;G182&amp;D182&lt;&gt;'Funnel setup'!$K$3&amp;'Funnel setup'!$K$4&amp;'Funnel setup'!$K$5,".",IF(A181=".",1,A181+1))</f>
        <v>.</v>
      </c>
      <c r="B182" s="431" t="str">
        <f t="shared" si="2"/>
        <v>Groin HerniaCCG of GP PracticeNHS SWINDON CCG (12D)EQ VAS</v>
      </c>
      <c r="C182" t="s">
        <v>50</v>
      </c>
      <c r="D182" t="s">
        <v>87</v>
      </c>
      <c r="E182" t="s">
        <v>995</v>
      </c>
      <c r="F182" t="s">
        <v>996</v>
      </c>
      <c r="G182" t="s">
        <v>179</v>
      </c>
      <c r="H182">
        <v>73</v>
      </c>
      <c r="I182">
        <v>82.849000000000004</v>
      </c>
      <c r="J182">
        <v>85.137</v>
      </c>
      <c r="K182">
        <v>2.2879999999999998</v>
      </c>
      <c r="L182">
        <v>34</v>
      </c>
      <c r="M182">
        <v>12</v>
      </c>
      <c r="N182">
        <v>27</v>
      </c>
      <c r="O182">
        <v>81.831999999999994</v>
      </c>
      <c r="P182">
        <v>1.1866449750000001</v>
      </c>
      <c r="Q182">
        <v>8.9760000000000009</v>
      </c>
    </row>
    <row r="183" spans="1:17" s="30" customFormat="1" x14ac:dyDescent="0.2">
      <c r="A183" s="30" t="str">
        <f>IF(C183&amp;G183&amp;D183&lt;&gt;'Funnel setup'!$K$3&amp;'Funnel setup'!$K$4&amp;'Funnel setup'!$K$5,".",IF(A182=".",1,A182+1))</f>
        <v>.</v>
      </c>
      <c r="B183" s="431" t="str">
        <f t="shared" si="2"/>
        <v>Groin HerniaCCG of GP PracticeNHS TAMESIDE AND GLOSSOP CCG (01Y)EQ VAS</v>
      </c>
      <c r="C183" t="s">
        <v>50</v>
      </c>
      <c r="D183" t="s">
        <v>87</v>
      </c>
      <c r="E183" t="s">
        <v>998</v>
      </c>
      <c r="F183" t="s">
        <v>999</v>
      </c>
      <c r="G183" t="s">
        <v>179</v>
      </c>
      <c r="H183">
        <v>45</v>
      </c>
      <c r="I183">
        <v>77.911000000000001</v>
      </c>
      <c r="J183">
        <v>80.599999999999994</v>
      </c>
      <c r="K183">
        <v>2.6890000000000001</v>
      </c>
      <c r="L183">
        <v>20</v>
      </c>
      <c r="M183">
        <v>8</v>
      </c>
      <c r="N183">
        <v>17</v>
      </c>
      <c r="O183">
        <v>81.647999999999996</v>
      </c>
      <c r="P183">
        <v>1.0024062229999999</v>
      </c>
      <c r="Q183">
        <v>11.372</v>
      </c>
    </row>
    <row r="184" spans="1:17" s="30" customFormat="1" x14ac:dyDescent="0.2">
      <c r="A184" s="30" t="str">
        <f>IF(C184&amp;G184&amp;D184&lt;&gt;'Funnel setup'!$K$3&amp;'Funnel setup'!$K$4&amp;'Funnel setup'!$K$5,".",IF(A183=".",1,A183+1))</f>
        <v>.</v>
      </c>
      <c r="B184" s="431" t="str">
        <f t="shared" si="2"/>
        <v>Groin HerniaCCG of GP PracticeNHS TELFORD AND WREKIN CCG (05X)EQ VAS</v>
      </c>
      <c r="C184" t="s">
        <v>50</v>
      </c>
      <c r="D184" t="s">
        <v>87</v>
      </c>
      <c r="E184" t="s">
        <v>1001</v>
      </c>
      <c r="F184" t="s">
        <v>1002</v>
      </c>
      <c r="G184" t="s">
        <v>179</v>
      </c>
      <c r="H184">
        <v>62</v>
      </c>
      <c r="I184">
        <v>75.968000000000004</v>
      </c>
      <c r="J184">
        <v>79.370999999999995</v>
      </c>
      <c r="K184">
        <v>3.403</v>
      </c>
      <c r="L184">
        <v>26</v>
      </c>
      <c r="M184">
        <v>16</v>
      </c>
      <c r="N184">
        <v>20</v>
      </c>
      <c r="O184">
        <v>81.804000000000002</v>
      </c>
      <c r="P184">
        <v>1.1581179429999999</v>
      </c>
      <c r="Q184">
        <v>12.736000000000001</v>
      </c>
    </row>
    <row r="185" spans="1:17" s="30" customFormat="1" x14ac:dyDescent="0.2">
      <c r="A185" s="30" t="str">
        <f>IF(C185&amp;G185&amp;D185&lt;&gt;'Funnel setup'!$K$3&amp;'Funnel setup'!$K$4&amp;'Funnel setup'!$K$5,".",IF(A184=".",1,A184+1))</f>
        <v>.</v>
      </c>
      <c r="B185" s="431" t="str">
        <f t="shared" si="2"/>
        <v>Groin HerniaCCG of GP PracticeNHS THANET CCG (10E)EQ VAS</v>
      </c>
      <c r="C185" t="s">
        <v>50</v>
      </c>
      <c r="D185" t="s">
        <v>87</v>
      </c>
      <c r="E185" t="s">
        <v>1004</v>
      </c>
      <c r="F185" t="s">
        <v>1005</v>
      </c>
      <c r="G185" t="s">
        <v>179</v>
      </c>
      <c r="H185">
        <v>41</v>
      </c>
      <c r="I185">
        <v>75.828999999999994</v>
      </c>
      <c r="J185">
        <v>77.097999999999999</v>
      </c>
      <c r="K185">
        <v>1.268</v>
      </c>
      <c r="L185">
        <v>16</v>
      </c>
      <c r="M185">
        <v>8</v>
      </c>
      <c r="N185">
        <v>17</v>
      </c>
      <c r="O185">
        <v>81.096000000000004</v>
      </c>
      <c r="P185">
        <v>0.45072783399999999</v>
      </c>
      <c r="Q185">
        <v>13.416</v>
      </c>
    </row>
    <row r="186" spans="1:17" s="30" customFormat="1" x14ac:dyDescent="0.2">
      <c r="A186" s="30" t="str">
        <f>IF(C186&amp;G186&amp;D186&lt;&gt;'Funnel setup'!$K$3&amp;'Funnel setup'!$K$4&amp;'Funnel setup'!$K$5,".",IF(A185=".",1,A185+1))</f>
        <v>.</v>
      </c>
      <c r="B186" s="431" t="str">
        <f t="shared" si="2"/>
        <v>Groin HerniaCCG of GP PracticeNHS THURROCK CCG (07G)EQ VAS</v>
      </c>
      <c r="C186" t="s">
        <v>50</v>
      </c>
      <c r="D186" t="s">
        <v>87</v>
      </c>
      <c r="E186" t="s">
        <v>1007</v>
      </c>
      <c r="F186" t="s">
        <v>1008</v>
      </c>
      <c r="G186" t="s">
        <v>179</v>
      </c>
      <c r="H186">
        <v>33</v>
      </c>
      <c r="I186">
        <v>78.364000000000004</v>
      </c>
      <c r="J186">
        <v>79.847999999999999</v>
      </c>
      <c r="K186">
        <v>1.4850000000000001</v>
      </c>
      <c r="L186">
        <v>14</v>
      </c>
      <c r="M186">
        <v>5</v>
      </c>
      <c r="N186">
        <v>14</v>
      </c>
      <c r="O186">
        <v>80.762</v>
      </c>
      <c r="P186">
        <v>0.11659887300000001</v>
      </c>
      <c r="Q186">
        <v>13.327999999999999</v>
      </c>
    </row>
    <row r="187" spans="1:17" s="30" customFormat="1" x14ac:dyDescent="0.2">
      <c r="A187" s="30" t="str">
        <f>IF(C187&amp;G187&amp;D187&lt;&gt;'Funnel setup'!$K$3&amp;'Funnel setup'!$K$4&amp;'Funnel setup'!$K$5,".",IF(A186=".",1,A186+1))</f>
        <v>.</v>
      </c>
      <c r="B187" s="431" t="str">
        <f t="shared" si="2"/>
        <v>Groin HerniaCCG of GP PracticeNHS TOWER HAMLETS CCG (08V)EQ VAS</v>
      </c>
      <c r="C187" t="s">
        <v>50</v>
      </c>
      <c r="D187" t="s">
        <v>87</v>
      </c>
      <c r="E187" t="s">
        <v>1010</v>
      </c>
      <c r="F187" t="s">
        <v>1011</v>
      </c>
      <c r="G187" t="s">
        <v>179</v>
      </c>
      <c r="H187">
        <v>20</v>
      </c>
      <c r="I187">
        <v>79.55</v>
      </c>
      <c r="J187">
        <v>79.150000000000006</v>
      </c>
      <c r="K187">
        <v>-0.4</v>
      </c>
      <c r="L187">
        <v>6</v>
      </c>
      <c r="M187">
        <v>5</v>
      </c>
      <c r="N187">
        <v>9</v>
      </c>
      <c r="O187" t="s">
        <v>53</v>
      </c>
      <c r="P187" t="s">
        <v>53</v>
      </c>
      <c r="Q187" t="s">
        <v>53</v>
      </c>
    </row>
    <row r="188" spans="1:17" s="30" customFormat="1" x14ac:dyDescent="0.2">
      <c r="A188" s="30" t="str">
        <f>IF(C188&amp;G188&amp;D188&lt;&gt;'Funnel setup'!$K$3&amp;'Funnel setup'!$K$4&amp;'Funnel setup'!$K$5,".",IF(A187=".",1,A187+1))</f>
        <v>.</v>
      </c>
      <c r="B188" s="431" t="str">
        <f t="shared" si="2"/>
        <v>Groin HerniaCCG of GP PracticeNHS TRAFFORD CCG (02A)EQ VAS</v>
      </c>
      <c r="C188" t="s">
        <v>50</v>
      </c>
      <c r="D188" t="s">
        <v>87</v>
      </c>
      <c r="E188" t="s">
        <v>1013</v>
      </c>
      <c r="F188" t="s">
        <v>1014</v>
      </c>
      <c r="G188" t="s">
        <v>179</v>
      </c>
      <c r="H188">
        <v>69</v>
      </c>
      <c r="I188">
        <v>82.754000000000005</v>
      </c>
      <c r="J188">
        <v>82.463999999999999</v>
      </c>
      <c r="K188">
        <v>-0.28999999999999998</v>
      </c>
      <c r="L188">
        <v>23</v>
      </c>
      <c r="M188">
        <v>16</v>
      </c>
      <c r="N188">
        <v>30</v>
      </c>
      <c r="O188">
        <v>81.834000000000003</v>
      </c>
      <c r="P188">
        <v>1.18895401</v>
      </c>
      <c r="Q188">
        <v>12.007</v>
      </c>
    </row>
    <row r="189" spans="1:17" s="30" customFormat="1" x14ac:dyDescent="0.2">
      <c r="A189" s="30" t="str">
        <f>IF(C189&amp;G189&amp;D189&lt;&gt;'Funnel setup'!$K$3&amp;'Funnel setup'!$K$4&amp;'Funnel setup'!$K$5,".",IF(A188=".",1,A188+1))</f>
        <v>.</v>
      </c>
      <c r="B189" s="431" t="str">
        <f t="shared" si="2"/>
        <v>Groin HerniaCCG of GP PracticeNHS VALE OF YORK CCG (03Q)EQ VAS</v>
      </c>
      <c r="C189" t="s">
        <v>50</v>
      </c>
      <c r="D189" t="s">
        <v>87</v>
      </c>
      <c r="E189" t="s">
        <v>420</v>
      </c>
      <c r="F189" t="s">
        <v>421</v>
      </c>
      <c r="G189" t="s">
        <v>179</v>
      </c>
      <c r="H189">
        <v>164</v>
      </c>
      <c r="I189">
        <v>81.805000000000007</v>
      </c>
      <c r="J189">
        <v>80.64</v>
      </c>
      <c r="K189">
        <v>-1.165</v>
      </c>
      <c r="L189">
        <v>60</v>
      </c>
      <c r="M189">
        <v>34</v>
      </c>
      <c r="N189">
        <v>70</v>
      </c>
      <c r="O189">
        <v>79.188999999999993</v>
      </c>
      <c r="P189">
        <v>-1.455989631</v>
      </c>
      <c r="Q189">
        <v>13.1</v>
      </c>
    </row>
    <row r="190" spans="1:17" s="30" customFormat="1" x14ac:dyDescent="0.2">
      <c r="A190" s="30" t="str">
        <f>IF(C190&amp;G190&amp;D190&lt;&gt;'Funnel setup'!$K$3&amp;'Funnel setup'!$K$4&amp;'Funnel setup'!$K$5,".",IF(A189=".",1,A189+1))</f>
        <v>.</v>
      </c>
      <c r="B190" s="431" t="str">
        <f t="shared" si="2"/>
        <v>Groin HerniaCCG of GP PracticeNHS VALE ROYAL CCG (02D)EQ VAS</v>
      </c>
      <c r="C190" t="s">
        <v>50</v>
      </c>
      <c r="D190" t="s">
        <v>87</v>
      </c>
      <c r="E190" t="s">
        <v>423</v>
      </c>
      <c r="F190" t="s">
        <v>424</v>
      </c>
      <c r="G190" t="s">
        <v>179</v>
      </c>
      <c r="H190">
        <v>71</v>
      </c>
      <c r="I190">
        <v>82.013999999999996</v>
      </c>
      <c r="J190">
        <v>82.366</v>
      </c>
      <c r="K190">
        <v>0.35199999999999998</v>
      </c>
      <c r="L190">
        <v>23</v>
      </c>
      <c r="M190">
        <v>18</v>
      </c>
      <c r="N190">
        <v>30</v>
      </c>
      <c r="O190">
        <v>80.748000000000005</v>
      </c>
      <c r="P190">
        <v>0.10290074</v>
      </c>
      <c r="Q190">
        <v>10.210000000000001</v>
      </c>
    </row>
    <row r="191" spans="1:17" s="30" customFormat="1" x14ac:dyDescent="0.2">
      <c r="A191" s="30" t="str">
        <f>IF(C191&amp;G191&amp;D191&lt;&gt;'Funnel setup'!$K$3&amp;'Funnel setup'!$K$4&amp;'Funnel setup'!$K$5,".",IF(A190=".",1,A190+1))</f>
        <v>.</v>
      </c>
      <c r="B191" s="431" t="str">
        <f t="shared" si="2"/>
        <v>Groin HerniaCCG of GP PracticeNHS WAKEFIELD CCG (03R)EQ VAS</v>
      </c>
      <c r="C191" t="s">
        <v>50</v>
      </c>
      <c r="D191" t="s">
        <v>87</v>
      </c>
      <c r="E191" t="s">
        <v>426</v>
      </c>
      <c r="F191" t="s">
        <v>427</v>
      </c>
      <c r="G191" t="s">
        <v>179</v>
      </c>
      <c r="H191">
        <v>184</v>
      </c>
      <c r="I191">
        <v>82.245000000000005</v>
      </c>
      <c r="J191">
        <v>78.158000000000001</v>
      </c>
      <c r="K191">
        <v>-4.0869999999999997</v>
      </c>
      <c r="L191">
        <v>55</v>
      </c>
      <c r="M191">
        <v>40</v>
      </c>
      <c r="N191">
        <v>89</v>
      </c>
      <c r="O191">
        <v>78.126999999999995</v>
      </c>
      <c r="P191">
        <v>-2.5187839350000001</v>
      </c>
      <c r="Q191">
        <v>13.909000000000001</v>
      </c>
    </row>
    <row r="192" spans="1:17" s="30" customFormat="1" x14ac:dyDescent="0.2">
      <c r="A192" s="30" t="str">
        <f>IF(C192&amp;G192&amp;D192&lt;&gt;'Funnel setup'!$K$3&amp;'Funnel setup'!$K$4&amp;'Funnel setup'!$K$5,".",IF(A191=".",1,A191+1))</f>
        <v>.</v>
      </c>
      <c r="B192" s="431" t="str">
        <f t="shared" si="2"/>
        <v>Groin HerniaCCG of GP PracticeNHS WALSALL CCG (05Y)EQ VAS</v>
      </c>
      <c r="C192" t="s">
        <v>50</v>
      </c>
      <c r="D192" t="s">
        <v>87</v>
      </c>
      <c r="E192" t="s">
        <v>429</v>
      </c>
      <c r="F192" t="s">
        <v>430</v>
      </c>
      <c r="G192" t="s">
        <v>179</v>
      </c>
      <c r="H192">
        <v>90</v>
      </c>
      <c r="I192">
        <v>80.378</v>
      </c>
      <c r="J192">
        <v>79.522000000000006</v>
      </c>
      <c r="K192">
        <v>-0.85599999999999998</v>
      </c>
      <c r="L192">
        <v>35</v>
      </c>
      <c r="M192">
        <v>21</v>
      </c>
      <c r="N192">
        <v>34</v>
      </c>
      <c r="O192">
        <v>80.531000000000006</v>
      </c>
      <c r="P192">
        <v>-0.114611486</v>
      </c>
      <c r="Q192">
        <v>12.321</v>
      </c>
    </row>
    <row r="193" spans="1:17" s="30" customFormat="1" x14ac:dyDescent="0.2">
      <c r="A193" s="30" t="str">
        <f>IF(C193&amp;G193&amp;D193&lt;&gt;'Funnel setup'!$K$3&amp;'Funnel setup'!$K$4&amp;'Funnel setup'!$K$5,".",IF(A192=".",1,A192+1))</f>
        <v>.</v>
      </c>
      <c r="B193" s="431" t="str">
        <f t="shared" si="2"/>
        <v>Groin HerniaCCG of GP PracticeNHS WALTHAM FOREST CCG (08W)EQ VAS</v>
      </c>
      <c r="C193" t="s">
        <v>50</v>
      </c>
      <c r="D193" t="s">
        <v>87</v>
      </c>
      <c r="E193" t="s">
        <v>432</v>
      </c>
      <c r="F193" t="s">
        <v>433</v>
      </c>
      <c r="G193" t="s">
        <v>179</v>
      </c>
      <c r="H193">
        <v>7</v>
      </c>
      <c r="I193">
        <v>74.143000000000001</v>
      </c>
      <c r="J193">
        <v>65</v>
      </c>
      <c r="K193">
        <v>-9.1430000000000007</v>
      </c>
      <c r="L193">
        <v>1</v>
      </c>
      <c r="M193">
        <v>2</v>
      </c>
      <c r="N193">
        <v>4</v>
      </c>
      <c r="O193" t="s">
        <v>53</v>
      </c>
      <c r="P193" t="s">
        <v>53</v>
      </c>
      <c r="Q193" t="s">
        <v>53</v>
      </c>
    </row>
    <row r="194" spans="1:17" s="30" customFormat="1" x14ac:dyDescent="0.2">
      <c r="A194" s="30" t="str">
        <f>IF(C194&amp;G194&amp;D194&lt;&gt;'Funnel setup'!$K$3&amp;'Funnel setup'!$K$4&amp;'Funnel setup'!$K$5,".",IF(A193=".",1,A193+1))</f>
        <v>.</v>
      </c>
      <c r="B194" s="431" t="str">
        <f t="shared" si="2"/>
        <v>Groin HerniaCCG of GP PracticeNHS WANDSWORTH CCG (08X)EQ VAS</v>
      </c>
      <c r="C194" t="s">
        <v>50</v>
      </c>
      <c r="D194" t="s">
        <v>87</v>
      </c>
      <c r="E194" t="s">
        <v>435</v>
      </c>
      <c r="F194" t="s">
        <v>436</v>
      </c>
      <c r="G194" t="s">
        <v>179</v>
      </c>
      <c r="H194">
        <v>30</v>
      </c>
      <c r="I194">
        <v>78.832999999999998</v>
      </c>
      <c r="J194">
        <v>76.832999999999998</v>
      </c>
      <c r="K194">
        <v>-2</v>
      </c>
      <c r="L194">
        <v>8</v>
      </c>
      <c r="M194">
        <v>5</v>
      </c>
      <c r="N194">
        <v>17</v>
      </c>
      <c r="O194">
        <v>78.549000000000007</v>
      </c>
      <c r="P194">
        <v>-2.0960581129999998</v>
      </c>
      <c r="Q194">
        <v>10.968</v>
      </c>
    </row>
    <row r="195" spans="1:17" s="30" customFormat="1" x14ac:dyDescent="0.2">
      <c r="A195" s="30" t="str">
        <f>IF(C195&amp;G195&amp;D195&lt;&gt;'Funnel setup'!$K$3&amp;'Funnel setup'!$K$4&amp;'Funnel setup'!$K$5,".",IF(A194=".",1,A194+1))</f>
        <v>.</v>
      </c>
      <c r="B195" s="431" t="str">
        <f t="shared" ref="B195:B258" si="3">C195&amp;D195&amp;F195&amp;G195</f>
        <v>Groin HerniaCCG of GP PracticeNHS WARRINGTON CCG (02E)EQ VAS</v>
      </c>
      <c r="C195" t="s">
        <v>50</v>
      </c>
      <c r="D195" t="s">
        <v>87</v>
      </c>
      <c r="E195" t="s">
        <v>441</v>
      </c>
      <c r="F195" t="s">
        <v>442</v>
      </c>
      <c r="G195" t="s">
        <v>179</v>
      </c>
      <c r="H195">
        <v>79</v>
      </c>
      <c r="I195">
        <v>82.126999999999995</v>
      </c>
      <c r="J195">
        <v>80.721999999999994</v>
      </c>
      <c r="K195">
        <v>-1.405</v>
      </c>
      <c r="L195">
        <v>27</v>
      </c>
      <c r="M195">
        <v>16</v>
      </c>
      <c r="N195">
        <v>36</v>
      </c>
      <c r="O195">
        <v>79.534000000000006</v>
      </c>
      <c r="P195">
        <v>-1.111140493</v>
      </c>
      <c r="Q195">
        <v>10.965999999999999</v>
      </c>
    </row>
    <row r="196" spans="1:17" s="30" customFormat="1" x14ac:dyDescent="0.2">
      <c r="A196" s="30" t="str">
        <f>IF(C196&amp;G196&amp;D196&lt;&gt;'Funnel setup'!$K$3&amp;'Funnel setup'!$K$4&amp;'Funnel setup'!$K$5,".",IF(A195=".",1,A195+1))</f>
        <v>.</v>
      </c>
      <c r="B196" s="431" t="str">
        <f t="shared" si="3"/>
        <v>Groin HerniaCCG of GP PracticeNHS WARWICKSHIRE NORTH CCG (05H)EQ VAS</v>
      </c>
      <c r="C196" t="s">
        <v>50</v>
      </c>
      <c r="D196" t="s">
        <v>87</v>
      </c>
      <c r="E196" t="s">
        <v>438</v>
      </c>
      <c r="F196" t="s">
        <v>439</v>
      </c>
      <c r="G196" t="s">
        <v>179</v>
      </c>
      <c r="H196">
        <v>43</v>
      </c>
      <c r="I196">
        <v>83.256</v>
      </c>
      <c r="J196">
        <v>83.046999999999997</v>
      </c>
      <c r="K196">
        <v>-0.20899999999999999</v>
      </c>
      <c r="L196">
        <v>16</v>
      </c>
      <c r="M196">
        <v>11</v>
      </c>
      <c r="N196">
        <v>16</v>
      </c>
      <c r="O196">
        <v>81.227000000000004</v>
      </c>
      <c r="P196">
        <v>0.58205025099999996</v>
      </c>
      <c r="Q196">
        <v>11.019</v>
      </c>
    </row>
    <row r="197" spans="1:17" s="30" customFormat="1" x14ac:dyDescent="0.2">
      <c r="A197" s="30" t="str">
        <f>IF(C197&amp;G197&amp;D197&lt;&gt;'Funnel setup'!$K$3&amp;'Funnel setup'!$K$4&amp;'Funnel setup'!$K$5,".",IF(A196=".",1,A196+1))</f>
        <v>.</v>
      </c>
      <c r="B197" s="431" t="str">
        <f t="shared" si="3"/>
        <v>Groin HerniaCCG of GP PracticeNHS WEST CHESHIRE CCG (02F)EQ VAS</v>
      </c>
      <c r="C197" t="s">
        <v>50</v>
      </c>
      <c r="D197" t="s">
        <v>87</v>
      </c>
      <c r="E197" t="s">
        <v>402</v>
      </c>
      <c r="F197" t="s">
        <v>403</v>
      </c>
      <c r="G197" t="s">
        <v>179</v>
      </c>
      <c r="H197">
        <v>122</v>
      </c>
      <c r="I197">
        <v>80.557000000000002</v>
      </c>
      <c r="J197">
        <v>81.704999999999998</v>
      </c>
      <c r="K197">
        <v>1.1479999999999999</v>
      </c>
      <c r="L197">
        <v>56</v>
      </c>
      <c r="M197">
        <v>20</v>
      </c>
      <c r="N197">
        <v>46</v>
      </c>
      <c r="O197">
        <v>81.347999999999999</v>
      </c>
      <c r="P197">
        <v>0.70277514399999996</v>
      </c>
      <c r="Q197">
        <v>12.237</v>
      </c>
    </row>
    <row r="198" spans="1:17" s="30" customFormat="1" x14ac:dyDescent="0.2">
      <c r="A198" s="30" t="str">
        <f>IF(C198&amp;G198&amp;D198&lt;&gt;'Funnel setup'!$K$3&amp;'Funnel setup'!$K$4&amp;'Funnel setup'!$K$5,".",IF(A197=".",1,A197+1))</f>
        <v>.</v>
      </c>
      <c r="B198" s="431" t="str">
        <f t="shared" si="3"/>
        <v>Groin HerniaCCG of GP PracticeNHS WEST ESSEX CCG (07H)EQ VAS</v>
      </c>
      <c r="C198" t="s">
        <v>50</v>
      </c>
      <c r="D198" t="s">
        <v>87</v>
      </c>
      <c r="E198" t="s">
        <v>405</v>
      </c>
      <c r="F198" t="s">
        <v>406</v>
      </c>
      <c r="G198" t="s">
        <v>179</v>
      </c>
      <c r="H198">
        <v>108</v>
      </c>
      <c r="I198">
        <v>78.25</v>
      </c>
      <c r="J198">
        <v>79.906999999999996</v>
      </c>
      <c r="K198">
        <v>1.657</v>
      </c>
      <c r="L198">
        <v>45</v>
      </c>
      <c r="M198">
        <v>22</v>
      </c>
      <c r="N198">
        <v>41</v>
      </c>
      <c r="O198">
        <v>80.555000000000007</v>
      </c>
      <c r="P198">
        <v>-9.0046375999999997E-2</v>
      </c>
      <c r="Q198">
        <v>11.653</v>
      </c>
    </row>
    <row r="199" spans="1:17" s="30" customFormat="1" x14ac:dyDescent="0.2">
      <c r="A199" s="30" t="str">
        <f>IF(C199&amp;G199&amp;D199&lt;&gt;'Funnel setup'!$K$3&amp;'Funnel setup'!$K$4&amp;'Funnel setup'!$K$5,".",IF(A198=".",1,A198+1))</f>
        <v>.</v>
      </c>
      <c r="B199" s="431" t="str">
        <f t="shared" si="3"/>
        <v>Groin HerniaCCG of GP PracticeNHS WEST HAMPSHIRE CCG (11A)EQ VAS</v>
      </c>
      <c r="C199" t="s">
        <v>50</v>
      </c>
      <c r="D199" t="s">
        <v>87</v>
      </c>
      <c r="E199" t="s">
        <v>444</v>
      </c>
      <c r="F199" t="s">
        <v>445</v>
      </c>
      <c r="G199" t="s">
        <v>179</v>
      </c>
      <c r="H199">
        <v>229</v>
      </c>
      <c r="I199">
        <v>81.262</v>
      </c>
      <c r="J199">
        <v>81.724999999999994</v>
      </c>
      <c r="K199">
        <v>0.46300000000000002</v>
      </c>
      <c r="L199">
        <v>93</v>
      </c>
      <c r="M199">
        <v>46</v>
      </c>
      <c r="N199">
        <v>90</v>
      </c>
      <c r="O199">
        <v>80.981999999999999</v>
      </c>
      <c r="P199">
        <v>0.337026557</v>
      </c>
      <c r="Q199">
        <v>11.41</v>
      </c>
    </row>
    <row r="200" spans="1:17" s="30" customFormat="1" x14ac:dyDescent="0.2">
      <c r="A200" s="30" t="str">
        <f>IF(C200&amp;G200&amp;D200&lt;&gt;'Funnel setup'!$K$3&amp;'Funnel setup'!$K$4&amp;'Funnel setup'!$K$5,".",IF(A199=".",1,A199+1))</f>
        <v>.</v>
      </c>
      <c r="B200" s="431" t="str">
        <f t="shared" si="3"/>
        <v>Groin HerniaCCG of GP PracticeNHS WEST KENT CCG (99J)EQ VAS</v>
      </c>
      <c r="C200" t="s">
        <v>50</v>
      </c>
      <c r="D200" t="s">
        <v>87</v>
      </c>
      <c r="E200" t="s">
        <v>447</v>
      </c>
      <c r="F200" t="s">
        <v>448</v>
      </c>
      <c r="G200" t="s">
        <v>179</v>
      </c>
      <c r="H200">
        <v>145</v>
      </c>
      <c r="I200">
        <v>82.986000000000004</v>
      </c>
      <c r="J200">
        <v>83.31</v>
      </c>
      <c r="K200">
        <v>0.32400000000000001</v>
      </c>
      <c r="L200">
        <v>60</v>
      </c>
      <c r="M200">
        <v>27</v>
      </c>
      <c r="N200">
        <v>58</v>
      </c>
      <c r="O200">
        <v>81.650999999999996</v>
      </c>
      <c r="P200">
        <v>1.0060007820000001</v>
      </c>
      <c r="Q200">
        <v>11.747</v>
      </c>
    </row>
    <row r="201" spans="1:17" s="30" customFormat="1" x14ac:dyDescent="0.2">
      <c r="A201" s="30" t="str">
        <f>IF(C201&amp;G201&amp;D201&lt;&gt;'Funnel setup'!$K$3&amp;'Funnel setup'!$K$4&amp;'Funnel setup'!$K$5,".",IF(A200=".",1,A200+1))</f>
        <v>.</v>
      </c>
      <c r="B201" s="431" t="str">
        <f t="shared" si="3"/>
        <v>Groin HerniaCCG of GP PracticeNHS WEST LANCASHIRE CCG (02G)EQ VAS</v>
      </c>
      <c r="C201" t="s">
        <v>50</v>
      </c>
      <c r="D201" t="s">
        <v>87</v>
      </c>
      <c r="E201" t="s">
        <v>450</v>
      </c>
      <c r="F201" t="s">
        <v>451</v>
      </c>
      <c r="G201" t="s">
        <v>179</v>
      </c>
      <c r="H201">
        <v>91</v>
      </c>
      <c r="I201">
        <v>80.614999999999995</v>
      </c>
      <c r="J201">
        <v>77.242000000000004</v>
      </c>
      <c r="K201">
        <v>-3.3740000000000001</v>
      </c>
      <c r="L201">
        <v>30</v>
      </c>
      <c r="M201">
        <v>13</v>
      </c>
      <c r="N201">
        <v>48</v>
      </c>
      <c r="O201">
        <v>78.287000000000006</v>
      </c>
      <c r="P201">
        <v>-2.3582585570000001</v>
      </c>
      <c r="Q201">
        <v>15.263999999999999</v>
      </c>
    </row>
    <row r="202" spans="1:17" s="30" customFormat="1" x14ac:dyDescent="0.2">
      <c r="A202" s="30" t="str">
        <f>IF(C202&amp;G202&amp;D202&lt;&gt;'Funnel setup'!$K$3&amp;'Funnel setup'!$K$4&amp;'Funnel setup'!$K$5,".",IF(A201=".",1,A201+1))</f>
        <v>.</v>
      </c>
      <c r="B202" s="431" t="str">
        <f t="shared" si="3"/>
        <v>Groin HerniaCCG of GP PracticeNHS WEST LEICESTERSHIRE CCG (04V)EQ VAS</v>
      </c>
      <c r="C202" t="s">
        <v>50</v>
      </c>
      <c r="D202" t="s">
        <v>87</v>
      </c>
      <c r="E202" t="s">
        <v>453</v>
      </c>
      <c r="F202" t="s">
        <v>454</v>
      </c>
      <c r="G202" t="s">
        <v>179</v>
      </c>
      <c r="H202">
        <v>175</v>
      </c>
      <c r="I202">
        <v>81.2</v>
      </c>
      <c r="J202">
        <v>80.850999999999999</v>
      </c>
      <c r="K202">
        <v>-0.34899999999999998</v>
      </c>
      <c r="L202">
        <v>75</v>
      </c>
      <c r="M202">
        <v>37</v>
      </c>
      <c r="N202">
        <v>63</v>
      </c>
      <c r="O202">
        <v>80.622</v>
      </c>
      <c r="P202">
        <v>-2.3534557000000001E-2</v>
      </c>
      <c r="Q202">
        <v>12.398</v>
      </c>
    </row>
    <row r="203" spans="1:17" s="30" customFormat="1" x14ac:dyDescent="0.2">
      <c r="A203" s="30" t="str">
        <f>IF(C203&amp;G203&amp;D203&lt;&gt;'Funnel setup'!$K$3&amp;'Funnel setup'!$K$4&amp;'Funnel setup'!$K$5,".",IF(A202=".",1,A202+1))</f>
        <v>.</v>
      </c>
      <c r="B203" s="431" t="str">
        <f t="shared" si="3"/>
        <v>Groin HerniaCCG of GP PracticeNHS WEST LONDON CCG (08Y)EQ VAS</v>
      </c>
      <c r="C203" t="s">
        <v>50</v>
      </c>
      <c r="D203" t="s">
        <v>87</v>
      </c>
      <c r="E203" t="s">
        <v>456</v>
      </c>
      <c r="F203" t="s">
        <v>457</v>
      </c>
      <c r="G203" t="s">
        <v>179</v>
      </c>
      <c r="H203">
        <v>8</v>
      </c>
      <c r="I203">
        <v>81.75</v>
      </c>
      <c r="J203">
        <v>84.75</v>
      </c>
      <c r="K203">
        <v>3</v>
      </c>
      <c r="L203">
        <v>4</v>
      </c>
      <c r="M203">
        <v>0</v>
      </c>
      <c r="N203">
        <v>4</v>
      </c>
      <c r="O203" t="s">
        <v>53</v>
      </c>
      <c r="P203" t="s">
        <v>53</v>
      </c>
      <c r="Q203" t="s">
        <v>53</v>
      </c>
    </row>
    <row r="204" spans="1:17" s="30" customFormat="1" x14ac:dyDescent="0.2">
      <c r="A204" s="30" t="str">
        <f>IF(C204&amp;G204&amp;D204&lt;&gt;'Funnel setup'!$K$3&amp;'Funnel setup'!$K$4&amp;'Funnel setup'!$K$5,".",IF(A203=".",1,A203+1))</f>
        <v>.</v>
      </c>
      <c r="B204" s="431" t="str">
        <f t="shared" si="3"/>
        <v>Groin HerniaCCG of GP PracticeNHS WEST NORFOLK CCG (07J)EQ VAS</v>
      </c>
      <c r="C204" t="s">
        <v>50</v>
      </c>
      <c r="D204" t="s">
        <v>87</v>
      </c>
      <c r="E204" t="s">
        <v>459</v>
      </c>
      <c r="F204" t="s">
        <v>460</v>
      </c>
      <c r="G204" t="s">
        <v>179</v>
      </c>
      <c r="H204">
        <v>68</v>
      </c>
      <c r="I204">
        <v>82.191000000000003</v>
      </c>
      <c r="J204">
        <v>80.162000000000006</v>
      </c>
      <c r="K204">
        <v>-2.0289999999999999</v>
      </c>
      <c r="L204">
        <v>22</v>
      </c>
      <c r="M204">
        <v>16</v>
      </c>
      <c r="N204">
        <v>30</v>
      </c>
      <c r="O204">
        <v>79.869</v>
      </c>
      <c r="P204">
        <v>-0.77632600100000004</v>
      </c>
      <c r="Q204">
        <v>10.295</v>
      </c>
    </row>
    <row r="205" spans="1:17" s="30" customFormat="1" x14ac:dyDescent="0.2">
      <c r="A205" s="30" t="str">
        <f>IF(C205&amp;G205&amp;D205&lt;&gt;'Funnel setup'!$K$3&amp;'Funnel setup'!$K$4&amp;'Funnel setup'!$K$5,".",IF(A204=".",1,A204+1))</f>
        <v>.</v>
      </c>
      <c r="B205" s="431" t="str">
        <f t="shared" si="3"/>
        <v>Groin HerniaCCG of GP PracticeNHS WEST SUFFOLK CCG (07K)EQ VAS</v>
      </c>
      <c r="C205" t="s">
        <v>50</v>
      </c>
      <c r="D205" t="s">
        <v>87</v>
      </c>
      <c r="E205" t="s">
        <v>462</v>
      </c>
      <c r="F205" t="s">
        <v>463</v>
      </c>
      <c r="G205" t="s">
        <v>179</v>
      </c>
      <c r="H205">
        <v>138</v>
      </c>
      <c r="I205">
        <v>79.268000000000001</v>
      </c>
      <c r="J205">
        <v>78.593999999999994</v>
      </c>
      <c r="K205">
        <v>-0.67400000000000004</v>
      </c>
      <c r="L205">
        <v>54</v>
      </c>
      <c r="M205">
        <v>25</v>
      </c>
      <c r="N205">
        <v>59</v>
      </c>
      <c r="O205">
        <v>79.707999999999998</v>
      </c>
      <c r="P205">
        <v>-0.93766560099999996</v>
      </c>
      <c r="Q205">
        <v>15.406000000000001</v>
      </c>
    </row>
    <row r="206" spans="1:17" s="30" customFormat="1" x14ac:dyDescent="0.2">
      <c r="A206" s="30" t="str">
        <f>IF(C206&amp;G206&amp;D206&lt;&gt;'Funnel setup'!$K$3&amp;'Funnel setup'!$K$4&amp;'Funnel setup'!$K$5,".",IF(A205=".",1,A205+1))</f>
        <v>.</v>
      </c>
      <c r="B206" s="431" t="str">
        <f t="shared" si="3"/>
        <v>Groin HerniaCCG of GP PracticeNHS WIGAN BOROUGH CCG (02H)EQ VAS</v>
      </c>
      <c r="C206" t="s">
        <v>50</v>
      </c>
      <c r="D206" t="s">
        <v>87</v>
      </c>
      <c r="E206" t="s">
        <v>465</v>
      </c>
      <c r="F206" t="s">
        <v>466</v>
      </c>
      <c r="G206" t="s">
        <v>179</v>
      </c>
      <c r="H206">
        <v>150</v>
      </c>
      <c r="I206">
        <v>79.692999999999998</v>
      </c>
      <c r="J206">
        <v>77.753</v>
      </c>
      <c r="K206">
        <v>-1.94</v>
      </c>
      <c r="L206">
        <v>49</v>
      </c>
      <c r="M206">
        <v>31</v>
      </c>
      <c r="N206">
        <v>70</v>
      </c>
      <c r="O206">
        <v>78.864999999999995</v>
      </c>
      <c r="P206">
        <v>-1.7802265070000001</v>
      </c>
      <c r="Q206">
        <v>13.029</v>
      </c>
    </row>
    <row r="207" spans="1:17" s="30" customFormat="1" x14ac:dyDescent="0.2">
      <c r="A207" s="30" t="str">
        <f>IF(C207&amp;G207&amp;D207&lt;&gt;'Funnel setup'!$K$3&amp;'Funnel setup'!$K$4&amp;'Funnel setup'!$K$5,".",IF(A206=".",1,A206+1))</f>
        <v>.</v>
      </c>
      <c r="B207" s="431" t="str">
        <f t="shared" si="3"/>
        <v>Groin HerniaCCG of GP PracticeNHS WILTSHIRE CCG (99N)EQ VAS</v>
      </c>
      <c r="C207" t="s">
        <v>50</v>
      </c>
      <c r="D207" t="s">
        <v>87</v>
      </c>
      <c r="E207" t="s">
        <v>468</v>
      </c>
      <c r="F207" t="s">
        <v>469</v>
      </c>
      <c r="G207" t="s">
        <v>179</v>
      </c>
      <c r="H207">
        <v>259</v>
      </c>
      <c r="I207">
        <v>82.656000000000006</v>
      </c>
      <c r="J207">
        <v>82.378</v>
      </c>
      <c r="K207">
        <v>-0.27800000000000002</v>
      </c>
      <c r="L207">
        <v>99</v>
      </c>
      <c r="M207">
        <v>45</v>
      </c>
      <c r="N207">
        <v>115</v>
      </c>
      <c r="O207">
        <v>80.769000000000005</v>
      </c>
      <c r="P207">
        <v>0.12340812399999999</v>
      </c>
      <c r="Q207">
        <v>10.44</v>
      </c>
    </row>
    <row r="208" spans="1:17" s="30" customFormat="1" x14ac:dyDescent="0.2">
      <c r="A208" s="30" t="str">
        <f>IF(C208&amp;G208&amp;D208&lt;&gt;'Funnel setup'!$K$3&amp;'Funnel setup'!$K$4&amp;'Funnel setup'!$K$5,".",IF(A207=".",1,A207+1))</f>
        <v>.</v>
      </c>
      <c r="B208" s="431" t="str">
        <f t="shared" si="3"/>
        <v>Groin HerniaCCG of GP PracticeNHS WINDSOR, ASCOT AND MAIDENHEAD CCG (11C)EQ VAS</v>
      </c>
      <c r="C208" t="s">
        <v>50</v>
      </c>
      <c r="D208" t="s">
        <v>87</v>
      </c>
      <c r="E208" t="s">
        <v>471</v>
      </c>
      <c r="F208" t="s">
        <v>472</v>
      </c>
      <c r="G208" t="s">
        <v>179</v>
      </c>
      <c r="H208">
        <v>42</v>
      </c>
      <c r="I208">
        <v>81.929000000000002</v>
      </c>
      <c r="J208">
        <v>80.951999999999998</v>
      </c>
      <c r="K208">
        <v>-0.97599999999999998</v>
      </c>
      <c r="L208">
        <v>12</v>
      </c>
      <c r="M208">
        <v>11</v>
      </c>
      <c r="N208">
        <v>19</v>
      </c>
      <c r="O208">
        <v>80.510999999999996</v>
      </c>
      <c r="P208">
        <v>-0.13444384400000001</v>
      </c>
      <c r="Q208">
        <v>11.621</v>
      </c>
    </row>
    <row r="209" spans="1:17" s="30" customFormat="1" x14ac:dyDescent="0.2">
      <c r="A209" s="30" t="str">
        <f>IF(C209&amp;G209&amp;D209&lt;&gt;'Funnel setup'!$K$3&amp;'Funnel setup'!$K$4&amp;'Funnel setup'!$K$5,".",IF(A208=".",1,A208+1))</f>
        <v>.</v>
      </c>
      <c r="B209" s="431" t="str">
        <f t="shared" si="3"/>
        <v>Groin HerniaCCG of GP PracticeNHS WIRRAL CCG (12F)EQ VAS</v>
      </c>
      <c r="C209" t="s">
        <v>50</v>
      </c>
      <c r="D209" t="s">
        <v>87</v>
      </c>
      <c r="E209" t="s">
        <v>474</v>
      </c>
      <c r="F209" t="s">
        <v>475</v>
      </c>
      <c r="G209" t="s">
        <v>179</v>
      </c>
      <c r="H209">
        <v>123</v>
      </c>
      <c r="I209">
        <v>79.397999999999996</v>
      </c>
      <c r="J209">
        <v>76.650000000000006</v>
      </c>
      <c r="K209">
        <v>-2.7480000000000002</v>
      </c>
      <c r="L209">
        <v>40</v>
      </c>
      <c r="M209">
        <v>25</v>
      </c>
      <c r="N209">
        <v>58</v>
      </c>
      <c r="O209">
        <v>78.070999999999998</v>
      </c>
      <c r="P209">
        <v>-2.574585774</v>
      </c>
      <c r="Q209">
        <v>15.566000000000001</v>
      </c>
    </row>
    <row r="210" spans="1:17" s="30" customFormat="1" x14ac:dyDescent="0.2">
      <c r="A210" s="30" t="str">
        <f>IF(C210&amp;G210&amp;D210&lt;&gt;'Funnel setup'!$K$3&amp;'Funnel setup'!$K$4&amp;'Funnel setup'!$K$5,".",IF(A209=".",1,A209+1))</f>
        <v>.</v>
      </c>
      <c r="B210" s="431" t="str">
        <f t="shared" si="3"/>
        <v>Groin HerniaCCG of GP PracticeNHS WOKINGHAM CCG (11D)EQ VAS</v>
      </c>
      <c r="C210" t="s">
        <v>50</v>
      </c>
      <c r="D210" t="s">
        <v>87</v>
      </c>
      <c r="E210" t="s">
        <v>477</v>
      </c>
      <c r="F210" t="s">
        <v>478</v>
      </c>
      <c r="G210" t="s">
        <v>179</v>
      </c>
      <c r="H210">
        <v>54</v>
      </c>
      <c r="I210">
        <v>84.111000000000004</v>
      </c>
      <c r="J210">
        <v>79.406999999999996</v>
      </c>
      <c r="K210">
        <v>-4.7039999999999997</v>
      </c>
      <c r="L210">
        <v>17</v>
      </c>
      <c r="M210">
        <v>11</v>
      </c>
      <c r="N210">
        <v>26</v>
      </c>
      <c r="O210">
        <v>77.266000000000005</v>
      </c>
      <c r="P210">
        <v>-3.3795442499999999</v>
      </c>
      <c r="Q210">
        <v>12.012</v>
      </c>
    </row>
    <row r="211" spans="1:17" s="30" customFormat="1" x14ac:dyDescent="0.2">
      <c r="A211" s="30" t="str">
        <f>IF(C211&amp;G211&amp;D211&lt;&gt;'Funnel setup'!$K$3&amp;'Funnel setup'!$K$4&amp;'Funnel setup'!$K$5,".",IF(A210=".",1,A210+1))</f>
        <v>.</v>
      </c>
      <c r="B211" s="431" t="str">
        <f t="shared" si="3"/>
        <v>Groin HerniaCCG of GP PracticeNHS WOLVERHAMPTON CCG (06A)EQ VAS</v>
      </c>
      <c r="C211" t="s">
        <v>50</v>
      </c>
      <c r="D211" t="s">
        <v>87</v>
      </c>
      <c r="E211" t="s">
        <v>480</v>
      </c>
      <c r="F211" t="s">
        <v>481</v>
      </c>
      <c r="G211" t="s">
        <v>179</v>
      </c>
      <c r="H211">
        <v>105</v>
      </c>
      <c r="I211">
        <v>79.180999999999997</v>
      </c>
      <c r="J211">
        <v>77.951999999999998</v>
      </c>
      <c r="K211">
        <v>-1.2290000000000001</v>
      </c>
      <c r="L211">
        <v>34</v>
      </c>
      <c r="M211">
        <v>22</v>
      </c>
      <c r="N211">
        <v>49</v>
      </c>
      <c r="O211">
        <v>79.052000000000007</v>
      </c>
      <c r="P211">
        <v>-1.5939207209999999</v>
      </c>
      <c r="Q211">
        <v>13.548</v>
      </c>
    </row>
    <row r="212" spans="1:17" s="30" customFormat="1" x14ac:dyDescent="0.2">
      <c r="A212" s="30" t="str">
        <f>IF(C212&amp;G212&amp;D212&lt;&gt;'Funnel setup'!$K$3&amp;'Funnel setup'!$K$4&amp;'Funnel setup'!$K$5,".",IF(A211=".",1,A211+1))</f>
        <v>.</v>
      </c>
      <c r="B212" s="431" t="str">
        <f t="shared" si="3"/>
        <v>Groin HerniaCCG of GP PracticeNHS WYRE FOREST CCG (06D)EQ VAS</v>
      </c>
      <c r="C212" t="s">
        <v>50</v>
      </c>
      <c r="D212" t="s">
        <v>87</v>
      </c>
      <c r="E212" t="s">
        <v>483</v>
      </c>
      <c r="F212" t="s">
        <v>484</v>
      </c>
      <c r="G212" t="s">
        <v>179</v>
      </c>
      <c r="H212">
        <v>82</v>
      </c>
      <c r="I212">
        <v>81.840999999999994</v>
      </c>
      <c r="J212">
        <v>81.427000000000007</v>
      </c>
      <c r="K212">
        <v>-0.41499999999999998</v>
      </c>
      <c r="L212">
        <v>30</v>
      </c>
      <c r="M212">
        <v>18</v>
      </c>
      <c r="N212">
        <v>34</v>
      </c>
      <c r="O212">
        <v>81.471999999999994</v>
      </c>
      <c r="P212">
        <v>0.82621986400000003</v>
      </c>
      <c r="Q212">
        <v>10.541</v>
      </c>
    </row>
    <row r="213" spans="1:17" s="30" customFormat="1" x14ac:dyDescent="0.2">
      <c r="A213" s="30" t="str">
        <f>IF(C213&amp;G213&amp;D213&lt;&gt;'Funnel setup'!$K$3&amp;'Funnel setup'!$K$4&amp;'Funnel setup'!$K$5,".",IF(A212=".",1,A212+1))</f>
        <v>.</v>
      </c>
      <c r="B213" s="431" t="str">
        <f t="shared" si="3"/>
        <v>Groin HerniaCCG of GP PracticeSOUTH CENTRAL COMMISSIONING HUB (14H)EQ VAS</v>
      </c>
      <c r="C213" t="s">
        <v>50</v>
      </c>
      <c r="D213" t="s">
        <v>87</v>
      </c>
      <c r="E213" t="s">
        <v>6547</v>
      </c>
      <c r="F213" t="s">
        <v>6544</v>
      </c>
      <c r="G213" t="s">
        <v>179</v>
      </c>
      <c r="H213" t="s">
        <v>53</v>
      </c>
      <c r="I213" t="s">
        <v>53</v>
      </c>
      <c r="J213" t="s">
        <v>53</v>
      </c>
      <c r="K213" t="s">
        <v>53</v>
      </c>
      <c r="L213" t="s">
        <v>53</v>
      </c>
      <c r="M213" t="s">
        <v>53</v>
      </c>
      <c r="N213" t="s">
        <v>53</v>
      </c>
      <c r="O213" t="s">
        <v>53</v>
      </c>
      <c r="P213" t="s">
        <v>53</v>
      </c>
      <c r="Q213" t="s">
        <v>53</v>
      </c>
    </row>
    <row r="214" spans="1:17" s="30" customFormat="1" x14ac:dyDescent="0.2">
      <c r="A214" s="30" t="str">
        <f>IF(C214&amp;G214&amp;D214&lt;&gt;'Funnel setup'!$K$3&amp;'Funnel setup'!$K$4&amp;'Funnel setup'!$K$5,".",IF(A213=".",1,A213+1))</f>
        <v>.</v>
      </c>
      <c r="B214" s="431" t="str">
        <f t="shared" si="3"/>
        <v>Groin HerniaCCG of GP PracticeSOUTH EAST COMMISSIONING HUB (14G)EQ VAS</v>
      </c>
      <c r="C214" t="s">
        <v>50</v>
      </c>
      <c r="D214" t="s">
        <v>87</v>
      </c>
      <c r="E214" t="s">
        <v>6549</v>
      </c>
      <c r="F214" t="s">
        <v>6545</v>
      </c>
      <c r="G214" t="s">
        <v>179</v>
      </c>
      <c r="H214" t="s">
        <v>53</v>
      </c>
      <c r="I214" t="s">
        <v>53</v>
      </c>
      <c r="J214" t="s">
        <v>53</v>
      </c>
      <c r="K214" t="s">
        <v>53</v>
      </c>
      <c r="L214" t="s">
        <v>53</v>
      </c>
      <c r="M214" t="s">
        <v>53</v>
      </c>
      <c r="N214" t="s">
        <v>53</v>
      </c>
      <c r="O214" t="s">
        <v>53</v>
      </c>
      <c r="P214" t="s">
        <v>53</v>
      </c>
      <c r="Q214" t="s">
        <v>53</v>
      </c>
    </row>
    <row r="215" spans="1:17" s="30" customFormat="1" x14ac:dyDescent="0.2">
      <c r="A215" s="30" t="str">
        <f>IF(C215&amp;G215&amp;D215&lt;&gt;'Funnel setup'!$K$3&amp;'Funnel setup'!$K$4&amp;'Funnel setup'!$K$5,".",IF(A214=".",1,A214+1))</f>
        <v>.</v>
      </c>
      <c r="B215" s="431" t="str">
        <f t="shared" si="3"/>
        <v>Groin HerniaCCG of GP PracticeEAST COMMISSIONING HUB (14E)EQ-5D Index</v>
      </c>
      <c r="C215" t="s">
        <v>50</v>
      </c>
      <c r="D215" t="s">
        <v>87</v>
      </c>
      <c r="E215" t="s">
        <v>6551</v>
      </c>
      <c r="F215" t="s">
        <v>6542</v>
      </c>
      <c r="G215" t="s">
        <v>52</v>
      </c>
      <c r="H215" t="s">
        <v>53</v>
      </c>
      <c r="I215" t="s">
        <v>53</v>
      </c>
      <c r="J215" t="s">
        <v>53</v>
      </c>
      <c r="K215" t="s">
        <v>53</v>
      </c>
      <c r="L215" t="s">
        <v>53</v>
      </c>
      <c r="M215" t="s">
        <v>53</v>
      </c>
      <c r="N215" t="s">
        <v>53</v>
      </c>
      <c r="O215" t="s">
        <v>53</v>
      </c>
      <c r="P215" t="s">
        <v>53</v>
      </c>
      <c r="Q215" t="s">
        <v>53</v>
      </c>
    </row>
    <row r="216" spans="1:17" s="30" customFormat="1" x14ac:dyDescent="0.2">
      <c r="A216" s="30" t="str">
        <f>IF(C216&amp;G216&amp;D216&lt;&gt;'Funnel setup'!$K$3&amp;'Funnel setup'!$K$4&amp;'Funnel setup'!$K$5,".",IF(A215=".",1,A215+1))</f>
        <v>.</v>
      </c>
      <c r="B216" s="431" t="str">
        <f t="shared" si="3"/>
        <v>Groin HerniaCCG of GP PracticeNATIONAL COMMISSIONING HUB 1 (13Q)EQ-5D Index</v>
      </c>
      <c r="C216" t="s">
        <v>50</v>
      </c>
      <c r="D216" t="s">
        <v>87</v>
      </c>
      <c r="E216" t="s">
        <v>563</v>
      </c>
      <c r="F216" t="s">
        <v>564</v>
      </c>
      <c r="G216" t="s">
        <v>52</v>
      </c>
      <c r="H216">
        <v>32</v>
      </c>
      <c r="I216">
        <v>0.81599999999999995</v>
      </c>
      <c r="J216">
        <v>0.93500000000000005</v>
      </c>
      <c r="K216">
        <v>0.11899999999999999</v>
      </c>
      <c r="L216">
        <v>19</v>
      </c>
      <c r="M216">
        <v>11</v>
      </c>
      <c r="N216">
        <v>2</v>
      </c>
      <c r="O216">
        <v>0.91400000000000003</v>
      </c>
      <c r="P216">
        <v>0.120729472</v>
      </c>
      <c r="Q216">
        <v>0.125</v>
      </c>
    </row>
    <row r="217" spans="1:17" s="30" customFormat="1" x14ac:dyDescent="0.2">
      <c r="A217" s="30" t="str">
        <f>IF(C217&amp;G217&amp;D217&lt;&gt;'Funnel setup'!$K$3&amp;'Funnel setup'!$K$4&amp;'Funnel setup'!$K$5,".",IF(A216=".",1,A216+1))</f>
        <v>.</v>
      </c>
      <c r="B217" s="431" t="str">
        <f t="shared" si="3"/>
        <v>Groin HerniaCCG of GP PracticeNHS AIREDALE, WHARFEDALE AND CRAVEN CCG (02N)EQ-5D Index</v>
      </c>
      <c r="C217" t="s">
        <v>50</v>
      </c>
      <c r="D217" t="s">
        <v>87</v>
      </c>
      <c r="E217" t="s">
        <v>566</v>
      </c>
      <c r="F217" t="s">
        <v>567</v>
      </c>
      <c r="G217" t="s">
        <v>52</v>
      </c>
      <c r="H217">
        <v>106</v>
      </c>
      <c r="I217">
        <v>0.84699999999999998</v>
      </c>
      <c r="J217">
        <v>0.90700000000000003</v>
      </c>
      <c r="K217">
        <v>0.06</v>
      </c>
      <c r="L217">
        <v>46</v>
      </c>
      <c r="M217">
        <v>39</v>
      </c>
      <c r="N217">
        <v>21</v>
      </c>
      <c r="O217">
        <v>0.89400000000000002</v>
      </c>
      <c r="P217">
        <v>0.100423871</v>
      </c>
      <c r="Q217">
        <v>0.128</v>
      </c>
    </row>
    <row r="218" spans="1:17" s="30" customFormat="1" x14ac:dyDescent="0.2">
      <c r="A218" s="30" t="str">
        <f>IF(C218&amp;G218&amp;D218&lt;&gt;'Funnel setup'!$K$3&amp;'Funnel setup'!$K$4&amp;'Funnel setup'!$K$5,".",IF(A217=".",1,A217+1))</f>
        <v>.</v>
      </c>
      <c r="B218" s="431" t="str">
        <f t="shared" si="3"/>
        <v>Groin HerniaCCG of GP PracticeNHS ASHFORD CCG (09C)EQ-5D Index</v>
      </c>
      <c r="C218" t="s">
        <v>50</v>
      </c>
      <c r="D218" t="s">
        <v>87</v>
      </c>
      <c r="E218" t="s">
        <v>569</v>
      </c>
      <c r="F218" t="s">
        <v>339</v>
      </c>
      <c r="G218" t="s">
        <v>52</v>
      </c>
      <c r="H218">
        <v>33</v>
      </c>
      <c r="I218">
        <v>0.80300000000000005</v>
      </c>
      <c r="J218">
        <v>0.89400000000000002</v>
      </c>
      <c r="K218">
        <v>9.0999999999999998E-2</v>
      </c>
      <c r="L218">
        <v>15</v>
      </c>
      <c r="M218">
        <v>10</v>
      </c>
      <c r="N218">
        <v>8</v>
      </c>
      <c r="O218">
        <v>0.88500000000000001</v>
      </c>
      <c r="P218">
        <v>9.1904218999999995E-2</v>
      </c>
      <c r="Q218">
        <v>0.11799999999999999</v>
      </c>
    </row>
    <row r="219" spans="1:17" s="30" customFormat="1" x14ac:dyDescent="0.2">
      <c r="A219" s="30" t="str">
        <f>IF(C219&amp;G219&amp;D219&lt;&gt;'Funnel setup'!$K$3&amp;'Funnel setup'!$K$4&amp;'Funnel setup'!$K$5,".",IF(A218=".",1,A218+1))</f>
        <v>.</v>
      </c>
      <c r="B219" s="431" t="str">
        <f t="shared" si="3"/>
        <v>Groin HerniaCCG of GP PracticeNHS AYLESBURY VALE CCG (10Y)EQ-5D Index</v>
      </c>
      <c r="C219" t="s">
        <v>50</v>
      </c>
      <c r="D219" t="s">
        <v>87</v>
      </c>
      <c r="E219" t="s">
        <v>571</v>
      </c>
      <c r="F219" t="s">
        <v>572</v>
      </c>
      <c r="G219" t="s">
        <v>52</v>
      </c>
      <c r="H219">
        <v>87</v>
      </c>
      <c r="I219">
        <v>0.77100000000000002</v>
      </c>
      <c r="J219">
        <v>0.92900000000000005</v>
      </c>
      <c r="K219">
        <v>0.158</v>
      </c>
      <c r="L219">
        <v>55</v>
      </c>
      <c r="M219">
        <v>27</v>
      </c>
      <c r="N219">
        <v>5</v>
      </c>
      <c r="O219">
        <v>0.92200000000000004</v>
      </c>
      <c r="P219">
        <v>0.12823146499999999</v>
      </c>
      <c r="Q219">
        <v>0.107</v>
      </c>
    </row>
    <row r="220" spans="1:17" s="30" customFormat="1" x14ac:dyDescent="0.2">
      <c r="A220" s="30" t="str">
        <f>IF(C220&amp;G220&amp;D220&lt;&gt;'Funnel setup'!$K$3&amp;'Funnel setup'!$K$4&amp;'Funnel setup'!$K$5,".",IF(A219=".",1,A219+1))</f>
        <v>.</v>
      </c>
      <c r="B220" s="431" t="str">
        <f t="shared" si="3"/>
        <v>Groin HerniaCCG of GP PracticeNHS BARKING AND DAGENHAM CCG (07L)EQ-5D Index</v>
      </c>
      <c r="C220" t="s">
        <v>50</v>
      </c>
      <c r="D220" t="s">
        <v>87</v>
      </c>
      <c r="E220" t="s">
        <v>574</v>
      </c>
      <c r="F220" t="s">
        <v>575</v>
      </c>
      <c r="G220" t="s">
        <v>52</v>
      </c>
      <c r="H220">
        <v>27</v>
      </c>
      <c r="I220">
        <v>0.82</v>
      </c>
      <c r="J220">
        <v>0.80300000000000005</v>
      </c>
      <c r="K220">
        <v>-1.7000000000000001E-2</v>
      </c>
      <c r="L220">
        <v>8</v>
      </c>
      <c r="M220">
        <v>10</v>
      </c>
      <c r="N220">
        <v>9</v>
      </c>
      <c r="O220" t="s">
        <v>53</v>
      </c>
      <c r="P220" t="s">
        <v>53</v>
      </c>
      <c r="Q220" t="s">
        <v>53</v>
      </c>
    </row>
    <row r="221" spans="1:17" s="30" customFormat="1" x14ac:dyDescent="0.2">
      <c r="A221" s="30" t="str">
        <f>IF(C221&amp;G221&amp;D221&lt;&gt;'Funnel setup'!$K$3&amp;'Funnel setup'!$K$4&amp;'Funnel setup'!$K$5,".",IF(A220=".",1,A220+1))</f>
        <v>.</v>
      </c>
      <c r="B221" s="431" t="str">
        <f t="shared" si="3"/>
        <v>Groin HerniaCCG of GP PracticeNHS BARNET CCG (07M)EQ-5D Index</v>
      </c>
      <c r="C221" t="s">
        <v>50</v>
      </c>
      <c r="D221" t="s">
        <v>87</v>
      </c>
      <c r="E221" t="s">
        <v>577</v>
      </c>
      <c r="F221" t="s">
        <v>578</v>
      </c>
      <c r="G221" t="s">
        <v>52</v>
      </c>
      <c r="H221">
        <v>16</v>
      </c>
      <c r="I221">
        <v>0.71199999999999997</v>
      </c>
      <c r="J221">
        <v>0.755</v>
      </c>
      <c r="K221">
        <v>4.2999999999999997E-2</v>
      </c>
      <c r="L221">
        <v>7</v>
      </c>
      <c r="M221">
        <v>5</v>
      </c>
      <c r="N221">
        <v>4</v>
      </c>
      <c r="O221" t="s">
        <v>53</v>
      </c>
      <c r="P221" t="s">
        <v>53</v>
      </c>
      <c r="Q221" t="s">
        <v>53</v>
      </c>
    </row>
    <row r="222" spans="1:17" s="30" customFormat="1" x14ac:dyDescent="0.2">
      <c r="A222" s="30" t="str">
        <f>IF(C222&amp;G222&amp;D222&lt;&gt;'Funnel setup'!$K$3&amp;'Funnel setup'!$K$4&amp;'Funnel setup'!$K$5,".",IF(A221=".",1,A221+1))</f>
        <v>.</v>
      </c>
      <c r="B222" s="431" t="str">
        <f t="shared" si="3"/>
        <v>Groin HerniaCCG of GP PracticeNHS BARNSLEY CCG (02P)EQ-5D Index</v>
      </c>
      <c r="C222" t="s">
        <v>50</v>
      </c>
      <c r="D222" t="s">
        <v>87</v>
      </c>
      <c r="E222" t="s">
        <v>580</v>
      </c>
      <c r="F222" t="s">
        <v>581</v>
      </c>
      <c r="G222" t="s">
        <v>52</v>
      </c>
      <c r="H222">
        <v>120</v>
      </c>
      <c r="I222">
        <v>0.79100000000000004</v>
      </c>
      <c r="J222">
        <v>0.89100000000000001</v>
      </c>
      <c r="K222">
        <v>0.10100000000000001</v>
      </c>
      <c r="L222">
        <v>66</v>
      </c>
      <c r="M222">
        <v>35</v>
      </c>
      <c r="N222">
        <v>19</v>
      </c>
      <c r="O222">
        <v>0.88600000000000001</v>
      </c>
      <c r="P222">
        <v>9.2642664E-2</v>
      </c>
      <c r="Q222">
        <v>0.153</v>
      </c>
    </row>
    <row r="223" spans="1:17" s="30" customFormat="1" x14ac:dyDescent="0.2">
      <c r="A223" s="30" t="str">
        <f>IF(C223&amp;G223&amp;D223&lt;&gt;'Funnel setup'!$K$3&amp;'Funnel setup'!$K$4&amp;'Funnel setup'!$K$5,".",IF(A222=".",1,A222+1))</f>
        <v>.</v>
      </c>
      <c r="B223" s="431" t="str">
        <f t="shared" si="3"/>
        <v>Groin HerniaCCG of GP PracticeNHS BASILDON AND BRENTWOOD CCG (99E)EQ-5D Index</v>
      </c>
      <c r="C223" t="s">
        <v>50</v>
      </c>
      <c r="D223" t="s">
        <v>87</v>
      </c>
      <c r="E223" t="s">
        <v>583</v>
      </c>
      <c r="F223" t="s">
        <v>584</v>
      </c>
      <c r="G223" t="s">
        <v>52</v>
      </c>
      <c r="H223">
        <v>65</v>
      </c>
      <c r="I223">
        <v>0.745</v>
      </c>
      <c r="J223">
        <v>0.86899999999999999</v>
      </c>
      <c r="K223">
        <v>0.123</v>
      </c>
      <c r="L223">
        <v>40</v>
      </c>
      <c r="M223">
        <v>19</v>
      </c>
      <c r="N223">
        <v>6</v>
      </c>
      <c r="O223">
        <v>0.90100000000000002</v>
      </c>
      <c r="P223">
        <v>0.10749057400000001</v>
      </c>
      <c r="Q223">
        <v>0.14899999999999999</v>
      </c>
    </row>
    <row r="224" spans="1:17" s="30" customFormat="1" x14ac:dyDescent="0.2">
      <c r="A224" s="30" t="str">
        <f>IF(C224&amp;G224&amp;D224&lt;&gt;'Funnel setup'!$K$3&amp;'Funnel setup'!$K$4&amp;'Funnel setup'!$K$5,".",IF(A223=".",1,A223+1))</f>
        <v>.</v>
      </c>
      <c r="B224" s="431" t="str">
        <f t="shared" si="3"/>
        <v>Groin HerniaCCG of GP PracticeNHS BASSETLAW CCG (02Q)EQ-5D Index</v>
      </c>
      <c r="C224" t="s">
        <v>50</v>
      </c>
      <c r="D224" t="s">
        <v>87</v>
      </c>
      <c r="E224" t="s">
        <v>586</v>
      </c>
      <c r="F224" t="s">
        <v>587</v>
      </c>
      <c r="G224" t="s">
        <v>52</v>
      </c>
      <c r="H224">
        <v>97</v>
      </c>
      <c r="I224">
        <v>0.79</v>
      </c>
      <c r="J224">
        <v>0.82799999999999996</v>
      </c>
      <c r="K224">
        <v>3.6999999999999998E-2</v>
      </c>
      <c r="L224">
        <v>40</v>
      </c>
      <c r="M224">
        <v>29</v>
      </c>
      <c r="N224">
        <v>28</v>
      </c>
      <c r="O224">
        <v>0.84399999999999997</v>
      </c>
      <c r="P224">
        <v>5.0606579999999998E-2</v>
      </c>
      <c r="Q224">
        <v>0.20300000000000001</v>
      </c>
    </row>
    <row r="225" spans="1:17" s="30" customFormat="1" x14ac:dyDescent="0.2">
      <c r="A225" s="30" t="str">
        <f>IF(C225&amp;G225&amp;D225&lt;&gt;'Funnel setup'!$K$3&amp;'Funnel setup'!$K$4&amp;'Funnel setup'!$K$5,".",IF(A224=".",1,A224+1))</f>
        <v>.</v>
      </c>
      <c r="B225" s="431" t="str">
        <f t="shared" si="3"/>
        <v>Groin HerniaCCG of GP PracticeNHS BATH AND NORTH EAST SOMERSET CCG (11E)EQ-5D Index</v>
      </c>
      <c r="C225" t="s">
        <v>50</v>
      </c>
      <c r="D225" t="s">
        <v>87</v>
      </c>
      <c r="E225" t="s">
        <v>589</v>
      </c>
      <c r="F225" t="s">
        <v>590</v>
      </c>
      <c r="G225" t="s">
        <v>52</v>
      </c>
      <c r="H225">
        <v>100</v>
      </c>
      <c r="I225">
        <v>0.85199999999999998</v>
      </c>
      <c r="J225">
        <v>0.89800000000000002</v>
      </c>
      <c r="K225">
        <v>4.5999999999999999E-2</v>
      </c>
      <c r="L225">
        <v>38</v>
      </c>
      <c r="M225">
        <v>42</v>
      </c>
      <c r="N225">
        <v>20</v>
      </c>
      <c r="O225">
        <v>0.86499999999999999</v>
      </c>
      <c r="P225">
        <v>7.1379165999999994E-2</v>
      </c>
      <c r="Q225">
        <v>0.14699999999999999</v>
      </c>
    </row>
    <row r="226" spans="1:17" s="30" customFormat="1" x14ac:dyDescent="0.2">
      <c r="A226" s="30" t="str">
        <f>IF(C226&amp;G226&amp;D226&lt;&gt;'Funnel setup'!$K$3&amp;'Funnel setup'!$K$4&amp;'Funnel setup'!$K$5,".",IF(A225=".",1,A225+1))</f>
        <v>.</v>
      </c>
      <c r="B226" s="431" t="str">
        <f t="shared" si="3"/>
        <v>Groin HerniaCCG of GP PracticeNHS BEDFORDSHIRE CCG (06F)EQ-5D Index</v>
      </c>
      <c r="C226" t="s">
        <v>50</v>
      </c>
      <c r="D226" t="s">
        <v>87</v>
      </c>
      <c r="E226" t="s">
        <v>592</v>
      </c>
      <c r="F226" t="s">
        <v>593</v>
      </c>
      <c r="G226" t="s">
        <v>52</v>
      </c>
      <c r="H226">
        <v>182</v>
      </c>
      <c r="I226">
        <v>0.78800000000000003</v>
      </c>
      <c r="J226">
        <v>0.88400000000000001</v>
      </c>
      <c r="K226">
        <v>9.5000000000000001E-2</v>
      </c>
      <c r="L226">
        <v>95</v>
      </c>
      <c r="M226">
        <v>56</v>
      </c>
      <c r="N226">
        <v>31</v>
      </c>
      <c r="O226">
        <v>0.876</v>
      </c>
      <c r="P226">
        <v>8.3027221999999998E-2</v>
      </c>
      <c r="Q226">
        <v>0.14099999999999999</v>
      </c>
    </row>
    <row r="227" spans="1:17" s="30" customFormat="1" x14ac:dyDescent="0.2">
      <c r="A227" s="30" t="str">
        <f>IF(C227&amp;G227&amp;D227&lt;&gt;'Funnel setup'!$K$3&amp;'Funnel setup'!$K$4&amp;'Funnel setup'!$K$5,".",IF(A226=".",1,A226+1))</f>
        <v>.</v>
      </c>
      <c r="B227" s="431" t="str">
        <f t="shared" si="3"/>
        <v>Groin HerniaCCG of GP PracticeNHS BEXLEY CCG (07N)EQ-5D Index</v>
      </c>
      <c r="C227" t="s">
        <v>50</v>
      </c>
      <c r="D227" t="s">
        <v>87</v>
      </c>
      <c r="E227" t="s">
        <v>595</v>
      </c>
      <c r="F227" t="s">
        <v>596</v>
      </c>
      <c r="G227" t="s">
        <v>52</v>
      </c>
      <c r="H227">
        <v>30</v>
      </c>
      <c r="I227">
        <v>0.76300000000000001</v>
      </c>
      <c r="J227">
        <v>0.78800000000000003</v>
      </c>
      <c r="K227">
        <v>2.5999999999999999E-2</v>
      </c>
      <c r="L227">
        <v>11</v>
      </c>
      <c r="M227">
        <v>14</v>
      </c>
      <c r="N227">
        <v>5</v>
      </c>
      <c r="O227">
        <v>0.84199999999999997</v>
      </c>
      <c r="P227">
        <v>4.8313939E-2</v>
      </c>
      <c r="Q227">
        <v>0.184</v>
      </c>
    </row>
    <row r="228" spans="1:17" s="30" customFormat="1" x14ac:dyDescent="0.2">
      <c r="A228" s="30" t="str">
        <f>IF(C228&amp;G228&amp;D228&lt;&gt;'Funnel setup'!$K$3&amp;'Funnel setup'!$K$4&amp;'Funnel setup'!$K$5,".",IF(A227=".",1,A227+1))</f>
        <v>.</v>
      </c>
      <c r="B228" s="431" t="str">
        <f t="shared" si="3"/>
        <v>Groin HerniaCCG of GP PracticeNHS BIRMINGHAM CROSSCITY CCG (13P)EQ-5D Index</v>
      </c>
      <c r="C228" t="s">
        <v>50</v>
      </c>
      <c r="D228" t="s">
        <v>87</v>
      </c>
      <c r="E228" t="s">
        <v>598</v>
      </c>
      <c r="F228" t="s">
        <v>599</v>
      </c>
      <c r="G228" t="s">
        <v>52</v>
      </c>
      <c r="H228">
        <v>279</v>
      </c>
      <c r="I228">
        <v>0.78500000000000003</v>
      </c>
      <c r="J228">
        <v>0.873</v>
      </c>
      <c r="K228">
        <v>8.7999999999999995E-2</v>
      </c>
      <c r="L228">
        <v>147</v>
      </c>
      <c r="M228">
        <v>85</v>
      </c>
      <c r="N228">
        <v>47</v>
      </c>
      <c r="O228">
        <v>0.88700000000000001</v>
      </c>
      <c r="P228">
        <v>9.3421049000000006E-2</v>
      </c>
      <c r="Q228">
        <v>0.14799999999999999</v>
      </c>
    </row>
    <row r="229" spans="1:17" s="30" customFormat="1" x14ac:dyDescent="0.2">
      <c r="A229" s="30" t="str">
        <f>IF(C229&amp;G229&amp;D229&lt;&gt;'Funnel setup'!$K$3&amp;'Funnel setup'!$K$4&amp;'Funnel setup'!$K$5,".",IF(A228=".",1,A228+1))</f>
        <v>.</v>
      </c>
      <c r="B229" s="431" t="str">
        <f t="shared" si="3"/>
        <v>Groin HerniaCCG of GP PracticeNHS BIRMINGHAM SOUTH AND CENTRAL CCG (04X)EQ-5D Index</v>
      </c>
      <c r="C229" t="s">
        <v>50</v>
      </c>
      <c r="D229" t="s">
        <v>87</v>
      </c>
      <c r="E229" t="s">
        <v>601</v>
      </c>
      <c r="F229" t="s">
        <v>602</v>
      </c>
      <c r="G229" t="s">
        <v>52</v>
      </c>
      <c r="H229">
        <v>58</v>
      </c>
      <c r="I229">
        <v>0.79200000000000004</v>
      </c>
      <c r="J229">
        <v>0.83899999999999997</v>
      </c>
      <c r="K229">
        <v>4.7E-2</v>
      </c>
      <c r="L229">
        <v>26</v>
      </c>
      <c r="M229">
        <v>18</v>
      </c>
      <c r="N229">
        <v>14</v>
      </c>
      <c r="O229">
        <v>0.86</v>
      </c>
      <c r="P229">
        <v>6.6514719999999999E-2</v>
      </c>
      <c r="Q229">
        <v>0.187</v>
      </c>
    </row>
    <row r="230" spans="1:17" s="30" customFormat="1" x14ac:dyDescent="0.2">
      <c r="A230" s="30" t="str">
        <f>IF(C230&amp;G230&amp;D230&lt;&gt;'Funnel setup'!$K$3&amp;'Funnel setup'!$K$4&amp;'Funnel setup'!$K$5,".",IF(A229=".",1,A229+1))</f>
        <v>.</v>
      </c>
      <c r="B230" s="431" t="str">
        <f t="shared" si="3"/>
        <v>Groin HerniaCCG of GP PracticeNHS BLACKBURN WITH DARWEN CCG (00Q)EQ-5D Index</v>
      </c>
      <c r="C230" t="s">
        <v>50</v>
      </c>
      <c r="D230" t="s">
        <v>87</v>
      </c>
      <c r="E230" t="s">
        <v>604</v>
      </c>
      <c r="F230" t="s">
        <v>605</v>
      </c>
      <c r="G230" t="s">
        <v>52</v>
      </c>
      <c r="H230">
        <v>76</v>
      </c>
      <c r="I230">
        <v>0.69399999999999995</v>
      </c>
      <c r="J230">
        <v>0.84599999999999997</v>
      </c>
      <c r="K230">
        <v>0.152</v>
      </c>
      <c r="L230">
        <v>39</v>
      </c>
      <c r="M230">
        <v>21</v>
      </c>
      <c r="N230">
        <v>16</v>
      </c>
      <c r="O230">
        <v>0.90200000000000002</v>
      </c>
      <c r="P230">
        <v>0.108178393</v>
      </c>
      <c r="Q230">
        <v>0.17799999999999999</v>
      </c>
    </row>
    <row r="231" spans="1:17" s="30" customFormat="1" x14ac:dyDescent="0.2">
      <c r="A231" s="30" t="str">
        <f>IF(C231&amp;G231&amp;D231&lt;&gt;'Funnel setup'!$K$3&amp;'Funnel setup'!$K$4&amp;'Funnel setup'!$K$5,".",IF(A230=".",1,A230+1))</f>
        <v>.</v>
      </c>
      <c r="B231" s="431" t="str">
        <f t="shared" si="3"/>
        <v>Groin HerniaCCG of GP PracticeNHS BLACKPOOL CCG (00R)EQ-5D Index</v>
      </c>
      <c r="C231" t="s">
        <v>50</v>
      </c>
      <c r="D231" t="s">
        <v>87</v>
      </c>
      <c r="E231" t="s">
        <v>607</v>
      </c>
      <c r="F231" t="s">
        <v>608</v>
      </c>
      <c r="G231" t="s">
        <v>52</v>
      </c>
      <c r="H231">
        <v>18</v>
      </c>
      <c r="I231">
        <v>0.77500000000000002</v>
      </c>
      <c r="J231">
        <v>0.77600000000000002</v>
      </c>
      <c r="K231">
        <v>2E-3</v>
      </c>
      <c r="L231">
        <v>10</v>
      </c>
      <c r="M231">
        <v>4</v>
      </c>
      <c r="N231">
        <v>4</v>
      </c>
      <c r="O231" t="s">
        <v>53</v>
      </c>
      <c r="P231" t="s">
        <v>53</v>
      </c>
      <c r="Q231" t="s">
        <v>53</v>
      </c>
    </row>
    <row r="232" spans="1:17" s="30" customFormat="1" x14ac:dyDescent="0.2">
      <c r="A232" s="30" t="str">
        <f>IF(C232&amp;G232&amp;D232&lt;&gt;'Funnel setup'!$K$3&amp;'Funnel setup'!$K$4&amp;'Funnel setup'!$K$5,".",IF(A231=".",1,A231+1))</f>
        <v>.</v>
      </c>
      <c r="B232" s="431" t="str">
        <f t="shared" si="3"/>
        <v>Groin HerniaCCG of GP PracticeNHS BOLTON CCG (00T)EQ-5D Index</v>
      </c>
      <c r="C232" t="s">
        <v>50</v>
      </c>
      <c r="D232" t="s">
        <v>87</v>
      </c>
      <c r="E232" t="s">
        <v>683</v>
      </c>
      <c r="F232" t="s">
        <v>684</v>
      </c>
      <c r="G232" t="s">
        <v>52</v>
      </c>
      <c r="H232">
        <v>143</v>
      </c>
      <c r="I232">
        <v>0.82699999999999996</v>
      </c>
      <c r="J232">
        <v>0.88900000000000001</v>
      </c>
      <c r="K232">
        <v>6.2E-2</v>
      </c>
      <c r="L232">
        <v>64</v>
      </c>
      <c r="M232">
        <v>56</v>
      </c>
      <c r="N232">
        <v>23</v>
      </c>
      <c r="O232">
        <v>0.88100000000000001</v>
      </c>
      <c r="P232">
        <v>8.7344862999999995E-2</v>
      </c>
      <c r="Q232">
        <v>0.16700000000000001</v>
      </c>
    </row>
    <row r="233" spans="1:17" s="30" customFormat="1" x14ac:dyDescent="0.2">
      <c r="A233" s="30" t="str">
        <f>IF(C233&amp;G233&amp;D233&lt;&gt;'Funnel setup'!$K$3&amp;'Funnel setup'!$K$4&amp;'Funnel setup'!$K$5,".",IF(A232=".",1,A232+1))</f>
        <v>.</v>
      </c>
      <c r="B233" s="431" t="str">
        <f t="shared" si="3"/>
        <v>Groin HerniaCCG of GP PracticeNHS BRACKNELL AND ASCOT CCG (10G)EQ-5D Index</v>
      </c>
      <c r="C233" t="s">
        <v>50</v>
      </c>
      <c r="D233" t="s">
        <v>87</v>
      </c>
      <c r="E233" t="s">
        <v>686</v>
      </c>
      <c r="F233" t="s">
        <v>687</v>
      </c>
      <c r="G233" t="s">
        <v>52</v>
      </c>
      <c r="H233">
        <v>41</v>
      </c>
      <c r="I233">
        <v>0.754</v>
      </c>
      <c r="J233">
        <v>0.78200000000000003</v>
      </c>
      <c r="K233">
        <v>2.8000000000000001E-2</v>
      </c>
      <c r="L233">
        <v>17</v>
      </c>
      <c r="M233">
        <v>12</v>
      </c>
      <c r="N233">
        <v>12</v>
      </c>
      <c r="O233">
        <v>0.78800000000000003</v>
      </c>
      <c r="P233">
        <v>-5.2348860000000002E-3</v>
      </c>
      <c r="Q233">
        <v>0.224</v>
      </c>
    </row>
    <row r="234" spans="1:17" s="30" customFormat="1" x14ac:dyDescent="0.2">
      <c r="A234" s="30" t="str">
        <f>IF(C234&amp;G234&amp;D234&lt;&gt;'Funnel setup'!$K$3&amp;'Funnel setup'!$K$4&amp;'Funnel setup'!$K$5,".",IF(A233=".",1,A233+1))</f>
        <v>.</v>
      </c>
      <c r="B234" s="431" t="str">
        <f t="shared" si="3"/>
        <v>Groin HerniaCCG of GP PracticeNHS BRADFORD CITY CCG (02W)EQ-5D Index</v>
      </c>
      <c r="C234" t="s">
        <v>50</v>
      </c>
      <c r="D234" t="s">
        <v>87</v>
      </c>
      <c r="E234" t="s">
        <v>689</v>
      </c>
      <c r="F234" t="s">
        <v>690</v>
      </c>
      <c r="G234" t="s">
        <v>52</v>
      </c>
      <c r="H234">
        <v>11</v>
      </c>
      <c r="I234">
        <v>0.7</v>
      </c>
      <c r="J234">
        <v>0.81599999999999995</v>
      </c>
      <c r="K234">
        <v>0.11700000000000001</v>
      </c>
      <c r="L234">
        <v>7</v>
      </c>
      <c r="M234">
        <v>1</v>
      </c>
      <c r="N234">
        <v>3</v>
      </c>
      <c r="O234" t="s">
        <v>53</v>
      </c>
      <c r="P234" t="s">
        <v>53</v>
      </c>
      <c r="Q234" t="s">
        <v>53</v>
      </c>
    </row>
    <row r="235" spans="1:17" s="30" customFormat="1" x14ac:dyDescent="0.2">
      <c r="A235" s="30" t="str">
        <f>IF(C235&amp;G235&amp;D235&lt;&gt;'Funnel setup'!$K$3&amp;'Funnel setup'!$K$4&amp;'Funnel setup'!$K$5,".",IF(A234=".",1,A234+1))</f>
        <v>.</v>
      </c>
      <c r="B235" s="431" t="str">
        <f t="shared" si="3"/>
        <v>Groin HerniaCCG of GP PracticeNHS BRADFORD DISTRICTS CCG (02R)EQ-5D Index</v>
      </c>
      <c r="C235" t="s">
        <v>50</v>
      </c>
      <c r="D235" t="s">
        <v>87</v>
      </c>
      <c r="E235" t="s">
        <v>692</v>
      </c>
      <c r="F235" t="s">
        <v>693</v>
      </c>
      <c r="G235" t="s">
        <v>52</v>
      </c>
      <c r="H235">
        <v>91</v>
      </c>
      <c r="I235">
        <v>0.78200000000000003</v>
      </c>
      <c r="J235">
        <v>0.85099999999999998</v>
      </c>
      <c r="K235">
        <v>6.9000000000000006E-2</v>
      </c>
      <c r="L235">
        <v>41</v>
      </c>
      <c r="M235">
        <v>27</v>
      </c>
      <c r="N235">
        <v>23</v>
      </c>
      <c r="O235">
        <v>0.877</v>
      </c>
      <c r="P235">
        <v>8.3327996000000001E-2</v>
      </c>
      <c r="Q235">
        <v>0.186</v>
      </c>
    </row>
    <row r="236" spans="1:17" s="30" customFormat="1" x14ac:dyDescent="0.2">
      <c r="A236" s="30" t="str">
        <f>IF(C236&amp;G236&amp;D236&lt;&gt;'Funnel setup'!$K$3&amp;'Funnel setup'!$K$4&amp;'Funnel setup'!$K$5,".",IF(A235=".",1,A235+1))</f>
        <v>.</v>
      </c>
      <c r="B236" s="431" t="str">
        <f t="shared" si="3"/>
        <v>Groin HerniaCCG of GP PracticeNHS BRENT CCG (07P)EQ-5D Index</v>
      </c>
      <c r="C236" t="s">
        <v>50</v>
      </c>
      <c r="D236" t="s">
        <v>87</v>
      </c>
      <c r="E236" t="s">
        <v>695</v>
      </c>
      <c r="F236" t="s">
        <v>696</v>
      </c>
      <c r="G236" t="s">
        <v>52</v>
      </c>
      <c r="H236">
        <v>17</v>
      </c>
      <c r="I236">
        <v>0.69699999999999995</v>
      </c>
      <c r="J236">
        <v>0.76600000000000001</v>
      </c>
      <c r="K236">
        <v>6.9000000000000006E-2</v>
      </c>
      <c r="L236">
        <v>5</v>
      </c>
      <c r="M236">
        <v>5</v>
      </c>
      <c r="N236">
        <v>7</v>
      </c>
      <c r="O236" t="s">
        <v>53</v>
      </c>
      <c r="P236" t="s">
        <v>53</v>
      </c>
      <c r="Q236" t="s">
        <v>53</v>
      </c>
    </row>
    <row r="237" spans="1:17" s="30" customFormat="1" x14ac:dyDescent="0.2">
      <c r="A237" s="30" t="str">
        <f>IF(C237&amp;G237&amp;D237&lt;&gt;'Funnel setup'!$K$3&amp;'Funnel setup'!$K$4&amp;'Funnel setup'!$K$5,".",IF(A236=".",1,A236+1))</f>
        <v>.</v>
      </c>
      <c r="B237" s="431" t="str">
        <f t="shared" si="3"/>
        <v>Groin HerniaCCG of GP PracticeNHS BRIGHTON AND HOVE CCG (09D)EQ-5D Index</v>
      </c>
      <c r="C237" t="s">
        <v>50</v>
      </c>
      <c r="D237" t="s">
        <v>87</v>
      </c>
      <c r="E237" t="s">
        <v>698</v>
      </c>
      <c r="F237" t="s">
        <v>699</v>
      </c>
      <c r="G237" t="s">
        <v>52</v>
      </c>
      <c r="H237">
        <v>126</v>
      </c>
      <c r="I237">
        <v>0.79700000000000004</v>
      </c>
      <c r="J237">
        <v>0.88900000000000001</v>
      </c>
      <c r="K237">
        <v>9.1999999999999998E-2</v>
      </c>
      <c r="L237">
        <v>60</v>
      </c>
      <c r="M237">
        <v>44</v>
      </c>
      <c r="N237">
        <v>22</v>
      </c>
      <c r="O237">
        <v>0.89100000000000001</v>
      </c>
      <c r="P237">
        <v>9.7528135000000002E-2</v>
      </c>
      <c r="Q237">
        <v>0.13500000000000001</v>
      </c>
    </row>
    <row r="238" spans="1:17" s="30" customFormat="1" x14ac:dyDescent="0.2">
      <c r="A238" s="30" t="str">
        <f>IF(C238&amp;G238&amp;D238&lt;&gt;'Funnel setup'!$K$3&amp;'Funnel setup'!$K$4&amp;'Funnel setup'!$K$5,".",IF(A237=".",1,A237+1))</f>
        <v>.</v>
      </c>
      <c r="B238" s="431" t="str">
        <f t="shared" si="3"/>
        <v>Groin HerniaCCG of GP PracticeNHS BRISTOL CCG (11H)EQ-5D Index</v>
      </c>
      <c r="C238" t="s">
        <v>50</v>
      </c>
      <c r="D238" t="s">
        <v>87</v>
      </c>
      <c r="E238" t="s">
        <v>701</v>
      </c>
      <c r="F238" t="s">
        <v>702</v>
      </c>
      <c r="G238" t="s">
        <v>52</v>
      </c>
      <c r="H238">
        <v>88</v>
      </c>
      <c r="I238">
        <v>0.76700000000000002</v>
      </c>
      <c r="J238">
        <v>0.90100000000000002</v>
      </c>
      <c r="K238">
        <v>0.13300000000000001</v>
      </c>
      <c r="L238">
        <v>55</v>
      </c>
      <c r="M238">
        <v>22</v>
      </c>
      <c r="N238">
        <v>11</v>
      </c>
      <c r="O238">
        <v>0.91200000000000003</v>
      </c>
      <c r="P238">
        <v>0.11863839700000001</v>
      </c>
      <c r="Q238">
        <v>0.13700000000000001</v>
      </c>
    </row>
    <row r="239" spans="1:17" s="30" customFormat="1" x14ac:dyDescent="0.2">
      <c r="A239" s="30" t="str">
        <f>IF(C239&amp;G239&amp;D239&lt;&gt;'Funnel setup'!$K$3&amp;'Funnel setup'!$K$4&amp;'Funnel setup'!$K$5,".",IF(A238=".",1,A238+1))</f>
        <v>.</v>
      </c>
      <c r="B239" s="431" t="str">
        <f t="shared" si="3"/>
        <v>Groin HerniaCCG of GP PracticeNHS BROMLEY CCG (07Q)EQ-5D Index</v>
      </c>
      <c r="C239" t="s">
        <v>50</v>
      </c>
      <c r="D239" t="s">
        <v>87</v>
      </c>
      <c r="E239" t="s">
        <v>704</v>
      </c>
      <c r="F239" t="s">
        <v>705</v>
      </c>
      <c r="G239" t="s">
        <v>52</v>
      </c>
      <c r="H239">
        <v>15</v>
      </c>
      <c r="I239">
        <v>0.76300000000000001</v>
      </c>
      <c r="J239">
        <v>0.872</v>
      </c>
      <c r="K239">
        <v>0.11</v>
      </c>
      <c r="L239">
        <v>7</v>
      </c>
      <c r="M239">
        <v>7</v>
      </c>
      <c r="N239">
        <v>1</v>
      </c>
      <c r="O239" t="s">
        <v>53</v>
      </c>
      <c r="P239" t="s">
        <v>53</v>
      </c>
      <c r="Q239" t="s">
        <v>53</v>
      </c>
    </row>
    <row r="240" spans="1:17" s="30" customFormat="1" x14ac:dyDescent="0.2">
      <c r="A240" s="30" t="str">
        <f>IF(C240&amp;G240&amp;D240&lt;&gt;'Funnel setup'!$K$3&amp;'Funnel setup'!$K$4&amp;'Funnel setup'!$K$5,".",IF(A239=".",1,A239+1))</f>
        <v>.</v>
      </c>
      <c r="B240" s="431" t="str">
        <f t="shared" si="3"/>
        <v>Groin HerniaCCG of GP PracticeNHS BURY CCG (00V)EQ-5D Index</v>
      </c>
      <c r="C240" t="s">
        <v>50</v>
      </c>
      <c r="D240" t="s">
        <v>87</v>
      </c>
      <c r="E240" t="s">
        <v>707</v>
      </c>
      <c r="F240" t="s">
        <v>708</v>
      </c>
      <c r="G240" t="s">
        <v>52</v>
      </c>
      <c r="H240">
        <v>50</v>
      </c>
      <c r="I240">
        <v>0.78700000000000003</v>
      </c>
      <c r="J240">
        <v>0.89100000000000001</v>
      </c>
      <c r="K240">
        <v>0.104</v>
      </c>
      <c r="L240">
        <v>32</v>
      </c>
      <c r="M240">
        <v>10</v>
      </c>
      <c r="N240">
        <v>8</v>
      </c>
      <c r="O240">
        <v>0.90300000000000002</v>
      </c>
      <c r="P240">
        <v>0.10944693899999999</v>
      </c>
      <c r="Q240">
        <v>0.151</v>
      </c>
    </row>
    <row r="241" spans="1:17" s="30" customFormat="1" x14ac:dyDescent="0.2">
      <c r="A241" s="30" t="str">
        <f>IF(C241&amp;G241&amp;D241&lt;&gt;'Funnel setup'!$K$3&amp;'Funnel setup'!$K$4&amp;'Funnel setup'!$K$5,".",IF(A240=".",1,A240+1))</f>
        <v>.</v>
      </c>
      <c r="B241" s="431" t="str">
        <f t="shared" si="3"/>
        <v>Groin HerniaCCG of GP PracticeNHS CALDERDALE CCG (02T)EQ-5D Index</v>
      </c>
      <c r="C241" t="s">
        <v>50</v>
      </c>
      <c r="D241" t="s">
        <v>87</v>
      </c>
      <c r="E241" t="s">
        <v>710</v>
      </c>
      <c r="F241" t="s">
        <v>711</v>
      </c>
      <c r="G241" t="s">
        <v>52</v>
      </c>
      <c r="H241">
        <v>108</v>
      </c>
      <c r="I241">
        <v>0.79400000000000004</v>
      </c>
      <c r="J241">
        <v>0.92</v>
      </c>
      <c r="K241">
        <v>0.127</v>
      </c>
      <c r="L241">
        <v>65</v>
      </c>
      <c r="M241">
        <v>28</v>
      </c>
      <c r="N241">
        <v>15</v>
      </c>
      <c r="O241">
        <v>0.90900000000000003</v>
      </c>
      <c r="P241">
        <v>0.11598871299999999</v>
      </c>
      <c r="Q241">
        <v>0.124</v>
      </c>
    </row>
    <row r="242" spans="1:17" s="30" customFormat="1" x14ac:dyDescent="0.2">
      <c r="A242" s="30" t="str">
        <f>IF(C242&amp;G242&amp;D242&lt;&gt;'Funnel setup'!$K$3&amp;'Funnel setup'!$K$4&amp;'Funnel setup'!$K$5,".",IF(A241=".",1,A241+1))</f>
        <v>.</v>
      </c>
      <c r="B242" s="431" t="str">
        <f t="shared" si="3"/>
        <v>Groin HerniaCCG of GP PracticeNHS CAMBRIDGESHIRE AND PETERBOROUGH CCG (06H)EQ-5D Index</v>
      </c>
      <c r="C242" t="s">
        <v>50</v>
      </c>
      <c r="D242" t="s">
        <v>87</v>
      </c>
      <c r="E242" t="s">
        <v>713</v>
      </c>
      <c r="F242" t="s">
        <v>714</v>
      </c>
      <c r="G242" t="s">
        <v>52</v>
      </c>
      <c r="H242">
        <v>371</v>
      </c>
      <c r="I242">
        <v>0.77500000000000002</v>
      </c>
      <c r="J242">
        <v>0.89800000000000002</v>
      </c>
      <c r="K242">
        <v>0.123</v>
      </c>
      <c r="L242">
        <v>228</v>
      </c>
      <c r="M242">
        <v>90</v>
      </c>
      <c r="N242">
        <v>53</v>
      </c>
      <c r="O242">
        <v>0.89800000000000002</v>
      </c>
      <c r="P242">
        <v>0.10470443</v>
      </c>
      <c r="Q242">
        <v>0.13900000000000001</v>
      </c>
    </row>
    <row r="243" spans="1:17" s="30" customFormat="1" x14ac:dyDescent="0.2">
      <c r="A243" s="30" t="str">
        <f>IF(C243&amp;G243&amp;D243&lt;&gt;'Funnel setup'!$K$3&amp;'Funnel setup'!$K$4&amp;'Funnel setup'!$K$5,".",IF(A242=".",1,A242+1))</f>
        <v>.</v>
      </c>
      <c r="B243" s="431" t="str">
        <f t="shared" si="3"/>
        <v>Groin HerniaCCG of GP PracticeNHS CAMDEN CCG (07R)EQ-5D Index</v>
      </c>
      <c r="C243" t="s">
        <v>50</v>
      </c>
      <c r="D243" t="s">
        <v>87</v>
      </c>
      <c r="E243" t="s">
        <v>716</v>
      </c>
      <c r="F243" t="s">
        <v>717</v>
      </c>
      <c r="G243" t="s">
        <v>52</v>
      </c>
      <c r="H243">
        <v>8</v>
      </c>
      <c r="I243">
        <v>0.76900000000000002</v>
      </c>
      <c r="J243">
        <v>0.92100000000000004</v>
      </c>
      <c r="K243">
        <v>0.152</v>
      </c>
      <c r="L243">
        <v>6</v>
      </c>
      <c r="M243">
        <v>1</v>
      </c>
      <c r="N243">
        <v>1</v>
      </c>
      <c r="O243" t="s">
        <v>53</v>
      </c>
      <c r="P243" t="s">
        <v>53</v>
      </c>
      <c r="Q243" t="s">
        <v>53</v>
      </c>
    </row>
    <row r="244" spans="1:17" s="30" customFormat="1" x14ac:dyDescent="0.2">
      <c r="A244" s="30" t="str">
        <f>IF(C244&amp;G244&amp;D244&lt;&gt;'Funnel setup'!$K$3&amp;'Funnel setup'!$K$4&amp;'Funnel setup'!$K$5,".",IF(A243=".",1,A243+1))</f>
        <v>.</v>
      </c>
      <c r="B244" s="431" t="str">
        <f t="shared" si="3"/>
        <v>Groin HerniaCCG of GP PracticeNHS CANNOCK CHASE CCG (04Y)EQ-5D Index</v>
      </c>
      <c r="C244" t="s">
        <v>50</v>
      </c>
      <c r="D244" t="s">
        <v>87</v>
      </c>
      <c r="E244" t="s">
        <v>719</v>
      </c>
      <c r="F244" t="s">
        <v>720</v>
      </c>
      <c r="G244" t="s">
        <v>52</v>
      </c>
      <c r="H244">
        <v>64</v>
      </c>
      <c r="I244">
        <v>0.82499999999999996</v>
      </c>
      <c r="J244">
        <v>0.88300000000000001</v>
      </c>
      <c r="K244">
        <v>5.8999999999999997E-2</v>
      </c>
      <c r="L244">
        <v>31</v>
      </c>
      <c r="M244">
        <v>23</v>
      </c>
      <c r="N244">
        <v>10</v>
      </c>
      <c r="O244">
        <v>0.87</v>
      </c>
      <c r="P244">
        <v>7.6321275999999993E-2</v>
      </c>
      <c r="Q244">
        <v>0.21099999999999999</v>
      </c>
    </row>
    <row r="245" spans="1:17" s="30" customFormat="1" x14ac:dyDescent="0.2">
      <c r="A245" s="30" t="str">
        <f>IF(C245&amp;G245&amp;D245&lt;&gt;'Funnel setup'!$K$3&amp;'Funnel setup'!$K$4&amp;'Funnel setup'!$K$5,".",IF(A244=".",1,A244+1))</f>
        <v>.</v>
      </c>
      <c r="B245" s="431" t="str">
        <f t="shared" si="3"/>
        <v>Groin HerniaCCG of GP PracticeNHS CANTERBURY AND COASTAL CCG (09E)EQ-5D Index</v>
      </c>
      <c r="C245" t="s">
        <v>50</v>
      </c>
      <c r="D245" t="s">
        <v>87</v>
      </c>
      <c r="E245" t="s">
        <v>722</v>
      </c>
      <c r="F245" t="s">
        <v>723</v>
      </c>
      <c r="G245" t="s">
        <v>52</v>
      </c>
      <c r="H245">
        <v>54</v>
      </c>
      <c r="I245">
        <v>0.81100000000000005</v>
      </c>
      <c r="J245">
        <v>0.91</v>
      </c>
      <c r="K245">
        <v>9.8000000000000004E-2</v>
      </c>
      <c r="L245">
        <v>29</v>
      </c>
      <c r="M245">
        <v>18</v>
      </c>
      <c r="N245">
        <v>7</v>
      </c>
      <c r="O245">
        <v>0.89400000000000002</v>
      </c>
      <c r="P245">
        <v>0.100703285</v>
      </c>
      <c r="Q245">
        <v>0.13600000000000001</v>
      </c>
    </row>
    <row r="246" spans="1:17" s="30" customFormat="1" x14ac:dyDescent="0.2">
      <c r="A246" s="30" t="str">
        <f>IF(C246&amp;G246&amp;D246&lt;&gt;'Funnel setup'!$K$3&amp;'Funnel setup'!$K$4&amp;'Funnel setup'!$K$5,".",IF(A245=".",1,A245+1))</f>
        <v>.</v>
      </c>
      <c r="B246" s="431" t="str">
        <f t="shared" si="3"/>
        <v>Groin HerniaCCG of GP PracticeNHS CASTLE POINT AND ROCHFORD CCG (99F)EQ-5D Index</v>
      </c>
      <c r="C246" t="s">
        <v>50</v>
      </c>
      <c r="D246" t="s">
        <v>87</v>
      </c>
      <c r="E246" t="s">
        <v>725</v>
      </c>
      <c r="F246" t="s">
        <v>726</v>
      </c>
      <c r="G246" t="s">
        <v>52</v>
      </c>
      <c r="H246">
        <v>89</v>
      </c>
      <c r="I246">
        <v>0.82299999999999995</v>
      </c>
      <c r="J246">
        <v>0.90700000000000003</v>
      </c>
      <c r="K246">
        <v>8.4000000000000005E-2</v>
      </c>
      <c r="L246">
        <v>45</v>
      </c>
      <c r="M246">
        <v>28</v>
      </c>
      <c r="N246">
        <v>16</v>
      </c>
      <c r="O246">
        <v>0.88800000000000001</v>
      </c>
      <c r="P246">
        <v>9.4846176000000004E-2</v>
      </c>
      <c r="Q246">
        <v>0.114</v>
      </c>
    </row>
    <row r="247" spans="1:17" s="30" customFormat="1" x14ac:dyDescent="0.2">
      <c r="A247" s="30" t="str">
        <f>IF(C247&amp;G247&amp;D247&lt;&gt;'Funnel setup'!$K$3&amp;'Funnel setup'!$K$4&amp;'Funnel setup'!$K$5,".",IF(A246=".",1,A246+1))</f>
        <v>.</v>
      </c>
      <c r="B247" s="431" t="str">
        <f t="shared" si="3"/>
        <v>Groin HerniaCCG of GP PracticeNHS CENTRAL LONDON (WESTMINSTER) CCG (09A)EQ-5D Index</v>
      </c>
      <c r="C247" t="s">
        <v>50</v>
      </c>
      <c r="D247" t="s">
        <v>87</v>
      </c>
      <c r="E247" t="s">
        <v>728</v>
      </c>
      <c r="F247" t="s">
        <v>729</v>
      </c>
      <c r="G247" t="s">
        <v>52</v>
      </c>
      <c r="H247">
        <v>10</v>
      </c>
      <c r="I247">
        <v>0.81299999999999994</v>
      </c>
      <c r="J247">
        <v>0.85899999999999999</v>
      </c>
      <c r="K247">
        <v>4.5999999999999999E-2</v>
      </c>
      <c r="L247">
        <v>3</v>
      </c>
      <c r="M247">
        <v>4</v>
      </c>
      <c r="N247">
        <v>3</v>
      </c>
      <c r="O247" t="s">
        <v>53</v>
      </c>
      <c r="P247" t="s">
        <v>53</v>
      </c>
      <c r="Q247" t="s">
        <v>53</v>
      </c>
    </row>
    <row r="248" spans="1:17" s="30" customFormat="1" x14ac:dyDescent="0.2">
      <c r="A248" s="30" t="str">
        <f>IF(C248&amp;G248&amp;D248&lt;&gt;'Funnel setup'!$K$3&amp;'Funnel setup'!$K$4&amp;'Funnel setup'!$K$5,".",IF(A247=".",1,A247+1))</f>
        <v>.</v>
      </c>
      <c r="B248" s="431" t="str">
        <f t="shared" si="3"/>
        <v>Groin HerniaCCG of GP PracticeNHS CENTRAL MANCHESTER CCG (00W)EQ-5D Index</v>
      </c>
      <c r="C248" t="s">
        <v>50</v>
      </c>
      <c r="D248" t="s">
        <v>87</v>
      </c>
      <c r="E248" t="s">
        <v>731</v>
      </c>
      <c r="F248" t="s">
        <v>732</v>
      </c>
      <c r="G248" t="s">
        <v>52</v>
      </c>
      <c r="H248">
        <v>17</v>
      </c>
      <c r="I248">
        <v>0.68899999999999995</v>
      </c>
      <c r="J248">
        <v>0.80800000000000005</v>
      </c>
      <c r="K248">
        <v>0.11899999999999999</v>
      </c>
      <c r="L248">
        <v>11</v>
      </c>
      <c r="M248">
        <v>1</v>
      </c>
      <c r="N248">
        <v>5</v>
      </c>
      <c r="O248" t="s">
        <v>53</v>
      </c>
      <c r="P248" t="s">
        <v>53</v>
      </c>
      <c r="Q248" t="s">
        <v>53</v>
      </c>
    </row>
    <row r="249" spans="1:17" s="30" customFormat="1" x14ac:dyDescent="0.2">
      <c r="A249" s="30" t="str">
        <f>IF(C249&amp;G249&amp;D249&lt;&gt;'Funnel setup'!$K$3&amp;'Funnel setup'!$K$4&amp;'Funnel setup'!$K$5,".",IF(A248=".",1,A248+1))</f>
        <v>.</v>
      </c>
      <c r="B249" s="431" t="str">
        <f t="shared" si="3"/>
        <v>Groin HerniaCCG of GP PracticeNHS CHILTERN CCG (10H)EQ-5D Index</v>
      </c>
      <c r="C249" t="s">
        <v>50</v>
      </c>
      <c r="D249" t="s">
        <v>87</v>
      </c>
      <c r="E249" t="s">
        <v>734</v>
      </c>
      <c r="F249" t="s">
        <v>735</v>
      </c>
      <c r="G249" t="s">
        <v>52</v>
      </c>
      <c r="H249">
        <v>101</v>
      </c>
      <c r="I249">
        <v>0.76200000000000001</v>
      </c>
      <c r="J249">
        <v>0.876</v>
      </c>
      <c r="K249">
        <v>0.114</v>
      </c>
      <c r="L249">
        <v>58</v>
      </c>
      <c r="M249">
        <v>29</v>
      </c>
      <c r="N249">
        <v>14</v>
      </c>
      <c r="O249">
        <v>0.88</v>
      </c>
      <c r="P249">
        <v>8.6406559999999993E-2</v>
      </c>
      <c r="Q249">
        <v>0.157</v>
      </c>
    </row>
    <row r="250" spans="1:17" s="30" customFormat="1" x14ac:dyDescent="0.2">
      <c r="A250" s="30" t="str">
        <f>IF(C250&amp;G250&amp;D250&lt;&gt;'Funnel setup'!$K$3&amp;'Funnel setup'!$K$4&amp;'Funnel setup'!$K$5,".",IF(A249=".",1,A249+1))</f>
        <v>.</v>
      </c>
      <c r="B250" s="431" t="str">
        <f t="shared" si="3"/>
        <v>Groin HerniaCCG of GP PracticeNHS CHORLEY AND SOUTH RIBBLE CCG (00X)EQ-5D Index</v>
      </c>
      <c r="C250" t="s">
        <v>50</v>
      </c>
      <c r="D250" t="s">
        <v>87</v>
      </c>
      <c r="E250" t="s">
        <v>737</v>
      </c>
      <c r="F250" t="s">
        <v>738</v>
      </c>
      <c r="G250" t="s">
        <v>52</v>
      </c>
      <c r="H250">
        <v>122</v>
      </c>
      <c r="I250">
        <v>0.78800000000000003</v>
      </c>
      <c r="J250">
        <v>0.87</v>
      </c>
      <c r="K250">
        <v>8.1000000000000003E-2</v>
      </c>
      <c r="L250">
        <v>61</v>
      </c>
      <c r="M250">
        <v>37</v>
      </c>
      <c r="N250">
        <v>24</v>
      </c>
      <c r="O250">
        <v>0.874</v>
      </c>
      <c r="P250">
        <v>8.0191283000000002E-2</v>
      </c>
      <c r="Q250">
        <v>0.16200000000000001</v>
      </c>
    </row>
    <row r="251" spans="1:17" s="30" customFormat="1" x14ac:dyDescent="0.2">
      <c r="A251" s="30" t="str">
        <f>IF(C251&amp;G251&amp;D251&lt;&gt;'Funnel setup'!$K$3&amp;'Funnel setup'!$K$4&amp;'Funnel setup'!$K$5,".",IF(A250=".",1,A250+1))</f>
        <v>.</v>
      </c>
      <c r="B251" s="431" t="str">
        <f t="shared" si="3"/>
        <v>Groin HerniaCCG of GP PracticeNHS CITY AND HACKNEY CCG (07T)EQ-5D Index</v>
      </c>
      <c r="C251" t="s">
        <v>50</v>
      </c>
      <c r="D251" t="s">
        <v>87</v>
      </c>
      <c r="E251" t="s">
        <v>740</v>
      </c>
      <c r="F251" t="s">
        <v>741</v>
      </c>
      <c r="G251" t="s">
        <v>52</v>
      </c>
      <c r="H251">
        <v>21</v>
      </c>
      <c r="I251">
        <v>0.73899999999999999</v>
      </c>
      <c r="J251">
        <v>0.89500000000000002</v>
      </c>
      <c r="K251">
        <v>0.156</v>
      </c>
      <c r="L251">
        <v>11</v>
      </c>
      <c r="M251">
        <v>6</v>
      </c>
      <c r="N251">
        <v>4</v>
      </c>
      <c r="O251" t="s">
        <v>53</v>
      </c>
      <c r="P251" t="s">
        <v>53</v>
      </c>
      <c r="Q251" t="s">
        <v>53</v>
      </c>
    </row>
    <row r="252" spans="1:17" s="30" customFormat="1" x14ac:dyDescent="0.2">
      <c r="A252" s="30" t="str">
        <f>IF(C252&amp;G252&amp;D252&lt;&gt;'Funnel setup'!$K$3&amp;'Funnel setup'!$K$4&amp;'Funnel setup'!$K$5,".",IF(A251=".",1,A251+1))</f>
        <v>.</v>
      </c>
      <c r="B252" s="431" t="str">
        <f t="shared" si="3"/>
        <v>Groin HerniaCCG of GP PracticeNHS COASTAL WEST SUSSEX CCG (09G)EQ-5D Index</v>
      </c>
      <c r="C252" t="s">
        <v>50</v>
      </c>
      <c r="D252" t="s">
        <v>87</v>
      </c>
      <c r="E252" t="s">
        <v>743</v>
      </c>
      <c r="F252" t="s">
        <v>744</v>
      </c>
      <c r="G252" t="s">
        <v>52</v>
      </c>
      <c r="H252">
        <v>147</v>
      </c>
      <c r="I252">
        <v>0.79200000000000004</v>
      </c>
      <c r="J252">
        <v>0.877</v>
      </c>
      <c r="K252">
        <v>8.5000000000000006E-2</v>
      </c>
      <c r="L252">
        <v>70</v>
      </c>
      <c r="M252">
        <v>53</v>
      </c>
      <c r="N252">
        <v>24</v>
      </c>
      <c r="O252">
        <v>0.871</v>
      </c>
      <c r="P252">
        <v>7.7397065000000001E-2</v>
      </c>
      <c r="Q252">
        <v>0.156</v>
      </c>
    </row>
    <row r="253" spans="1:17" s="30" customFormat="1" x14ac:dyDescent="0.2">
      <c r="A253" s="30" t="str">
        <f>IF(C253&amp;G253&amp;D253&lt;&gt;'Funnel setup'!$K$3&amp;'Funnel setup'!$K$4&amp;'Funnel setup'!$K$5,".",IF(A252=".",1,A252+1))</f>
        <v>.</v>
      </c>
      <c r="B253" s="431" t="str">
        <f t="shared" si="3"/>
        <v>Groin HerniaCCG of GP PracticeNHS CORBY CCG (03V)EQ-5D Index</v>
      </c>
      <c r="C253" t="s">
        <v>50</v>
      </c>
      <c r="D253" t="s">
        <v>87</v>
      </c>
      <c r="E253" t="s">
        <v>746</v>
      </c>
      <c r="F253" t="s">
        <v>747</v>
      </c>
      <c r="G253" t="s">
        <v>52</v>
      </c>
      <c r="H253">
        <v>17</v>
      </c>
      <c r="I253">
        <v>0.79300000000000004</v>
      </c>
      <c r="J253">
        <v>0.81699999999999995</v>
      </c>
      <c r="K253">
        <v>2.4E-2</v>
      </c>
      <c r="L253">
        <v>7</v>
      </c>
      <c r="M253">
        <v>6</v>
      </c>
      <c r="N253">
        <v>4</v>
      </c>
      <c r="O253" t="s">
        <v>53</v>
      </c>
      <c r="P253" t="s">
        <v>53</v>
      </c>
      <c r="Q253" t="s">
        <v>53</v>
      </c>
    </row>
    <row r="254" spans="1:17" s="30" customFormat="1" x14ac:dyDescent="0.2">
      <c r="A254" s="30" t="str">
        <f>IF(C254&amp;G254&amp;D254&lt;&gt;'Funnel setup'!$K$3&amp;'Funnel setup'!$K$4&amp;'Funnel setup'!$K$5,".",IF(A253=".",1,A253+1))</f>
        <v>.</v>
      </c>
      <c r="B254" s="431" t="str">
        <f t="shared" si="3"/>
        <v>Groin HerniaCCG of GP PracticeNHS COVENTRY AND RUGBY CCG (05A)EQ-5D Index</v>
      </c>
      <c r="C254" t="s">
        <v>50</v>
      </c>
      <c r="D254" t="s">
        <v>87</v>
      </c>
      <c r="E254" t="s">
        <v>749</v>
      </c>
      <c r="F254" t="s">
        <v>750</v>
      </c>
      <c r="G254" t="s">
        <v>52</v>
      </c>
      <c r="H254">
        <v>54</v>
      </c>
      <c r="I254">
        <v>0.71699999999999997</v>
      </c>
      <c r="J254">
        <v>0.85699999999999998</v>
      </c>
      <c r="K254">
        <v>0.14000000000000001</v>
      </c>
      <c r="L254">
        <v>34</v>
      </c>
      <c r="M254">
        <v>10</v>
      </c>
      <c r="N254">
        <v>10</v>
      </c>
      <c r="O254">
        <v>0.88400000000000001</v>
      </c>
      <c r="P254">
        <v>9.0230369000000005E-2</v>
      </c>
      <c r="Q254">
        <v>0.22700000000000001</v>
      </c>
    </row>
    <row r="255" spans="1:17" s="30" customFormat="1" x14ac:dyDescent="0.2">
      <c r="A255" s="30" t="str">
        <f>IF(C255&amp;G255&amp;D255&lt;&gt;'Funnel setup'!$K$3&amp;'Funnel setup'!$K$4&amp;'Funnel setup'!$K$5,".",IF(A254=".",1,A254+1))</f>
        <v>.</v>
      </c>
      <c r="B255" s="431" t="str">
        <f t="shared" si="3"/>
        <v>Groin HerniaCCG of GP PracticeNHS CRAWLEY CCG (09H)EQ-5D Index</v>
      </c>
      <c r="C255" t="s">
        <v>50</v>
      </c>
      <c r="D255" t="s">
        <v>87</v>
      </c>
      <c r="E255" t="s">
        <v>752</v>
      </c>
      <c r="F255" t="s">
        <v>753</v>
      </c>
      <c r="G255" t="s">
        <v>52</v>
      </c>
      <c r="H255">
        <v>52</v>
      </c>
      <c r="I255">
        <v>0.81499999999999995</v>
      </c>
      <c r="J255">
        <v>0.88500000000000001</v>
      </c>
      <c r="K255">
        <v>7.0000000000000007E-2</v>
      </c>
      <c r="L255">
        <v>31</v>
      </c>
      <c r="M255">
        <v>12</v>
      </c>
      <c r="N255">
        <v>9</v>
      </c>
      <c r="O255">
        <v>0.86899999999999999</v>
      </c>
      <c r="P255">
        <v>7.5992162000000002E-2</v>
      </c>
      <c r="Q255">
        <v>0.14599999999999999</v>
      </c>
    </row>
    <row r="256" spans="1:17" s="30" customFormat="1" x14ac:dyDescent="0.2">
      <c r="A256" s="30" t="str">
        <f>IF(C256&amp;G256&amp;D256&lt;&gt;'Funnel setup'!$K$3&amp;'Funnel setup'!$K$4&amp;'Funnel setup'!$K$5,".",IF(A255=".",1,A255+1))</f>
        <v>.</v>
      </c>
      <c r="B256" s="431" t="str">
        <f t="shared" si="3"/>
        <v>Groin HerniaCCG of GP PracticeNHS CROYDON CCG (07V)EQ-5D Index</v>
      </c>
      <c r="C256" t="s">
        <v>50</v>
      </c>
      <c r="D256" t="s">
        <v>87</v>
      </c>
      <c r="E256" t="s">
        <v>755</v>
      </c>
      <c r="F256" t="s">
        <v>756</v>
      </c>
      <c r="G256" t="s">
        <v>52</v>
      </c>
      <c r="H256">
        <v>21</v>
      </c>
      <c r="I256">
        <v>0.84099999999999997</v>
      </c>
      <c r="J256">
        <v>0.76400000000000001</v>
      </c>
      <c r="K256">
        <v>-7.6999999999999999E-2</v>
      </c>
      <c r="L256">
        <v>6</v>
      </c>
      <c r="M256">
        <v>8</v>
      </c>
      <c r="N256">
        <v>7</v>
      </c>
      <c r="O256" t="s">
        <v>53</v>
      </c>
      <c r="P256" t="s">
        <v>53</v>
      </c>
      <c r="Q256" t="s">
        <v>53</v>
      </c>
    </row>
    <row r="257" spans="1:17" s="30" customFormat="1" x14ac:dyDescent="0.2">
      <c r="A257" s="30" t="str">
        <f>IF(C257&amp;G257&amp;D257&lt;&gt;'Funnel setup'!$K$3&amp;'Funnel setup'!$K$4&amp;'Funnel setup'!$K$5,".",IF(A256=".",1,A256+1))</f>
        <v>.</v>
      </c>
      <c r="B257" s="431" t="str">
        <f t="shared" si="3"/>
        <v>Groin HerniaCCG of GP PracticeNHS CUMBRIA CCG (01H)EQ-5D Index</v>
      </c>
      <c r="C257" t="s">
        <v>50</v>
      </c>
      <c r="D257" t="s">
        <v>87</v>
      </c>
      <c r="E257" t="s">
        <v>758</v>
      </c>
      <c r="F257" t="s">
        <v>759</v>
      </c>
      <c r="G257" t="s">
        <v>52</v>
      </c>
      <c r="H257">
        <v>243</v>
      </c>
      <c r="I257">
        <v>0.81499999999999995</v>
      </c>
      <c r="J257">
        <v>0.875</v>
      </c>
      <c r="K257">
        <v>0.06</v>
      </c>
      <c r="L257">
        <v>109</v>
      </c>
      <c r="M257">
        <v>86</v>
      </c>
      <c r="N257">
        <v>48</v>
      </c>
      <c r="O257">
        <v>0.86499999999999999</v>
      </c>
      <c r="P257">
        <v>7.1796009999999993E-2</v>
      </c>
      <c r="Q257">
        <v>0.17299999999999999</v>
      </c>
    </row>
    <row r="258" spans="1:17" s="30" customFormat="1" x14ac:dyDescent="0.2">
      <c r="A258" s="30" t="str">
        <f>IF(C258&amp;G258&amp;D258&lt;&gt;'Funnel setup'!$K$3&amp;'Funnel setup'!$K$4&amp;'Funnel setup'!$K$5,".",IF(A257=".",1,A257+1))</f>
        <v>.</v>
      </c>
      <c r="B258" s="431" t="str">
        <f t="shared" si="3"/>
        <v>Groin HerniaCCG of GP PracticeNHS DARLINGTON CCG (00C)EQ-5D Index</v>
      </c>
      <c r="C258" t="s">
        <v>50</v>
      </c>
      <c r="D258" t="s">
        <v>87</v>
      </c>
      <c r="E258" t="s">
        <v>761</v>
      </c>
      <c r="F258" t="s">
        <v>762</v>
      </c>
      <c r="G258" t="s">
        <v>52</v>
      </c>
      <c r="H258">
        <v>32</v>
      </c>
      <c r="I258">
        <v>0.79400000000000004</v>
      </c>
      <c r="J258">
        <v>0.875</v>
      </c>
      <c r="K258">
        <v>8.2000000000000003E-2</v>
      </c>
      <c r="L258">
        <v>18</v>
      </c>
      <c r="M258">
        <v>7</v>
      </c>
      <c r="N258">
        <v>7</v>
      </c>
      <c r="O258">
        <v>0.88</v>
      </c>
      <c r="P258">
        <v>8.6878939000000002E-2</v>
      </c>
      <c r="Q258">
        <v>0.17100000000000001</v>
      </c>
    </row>
    <row r="259" spans="1:17" s="30" customFormat="1" x14ac:dyDescent="0.2">
      <c r="A259" s="30" t="str">
        <f>IF(C259&amp;G259&amp;D259&lt;&gt;'Funnel setup'!$K$3&amp;'Funnel setup'!$K$4&amp;'Funnel setup'!$K$5,".",IF(A258=".",1,A258+1))</f>
        <v>.</v>
      </c>
      <c r="B259" s="431" t="str">
        <f t="shared" ref="B259:B322" si="4">C259&amp;D259&amp;F259&amp;G259</f>
        <v>Groin HerniaCCG of GP PracticeNHS DARTFORD, GRAVESHAM AND SWANLEY CCG (09J)EQ-5D Index</v>
      </c>
      <c r="C259" t="s">
        <v>50</v>
      </c>
      <c r="D259" t="s">
        <v>87</v>
      </c>
      <c r="E259" t="s">
        <v>764</v>
      </c>
      <c r="F259" t="s">
        <v>765</v>
      </c>
      <c r="G259" t="s">
        <v>52</v>
      </c>
      <c r="H259">
        <v>48</v>
      </c>
      <c r="I259">
        <v>0.81599999999999995</v>
      </c>
      <c r="J259">
        <v>0.90400000000000003</v>
      </c>
      <c r="K259">
        <v>8.8999999999999996E-2</v>
      </c>
      <c r="L259">
        <v>25</v>
      </c>
      <c r="M259">
        <v>16</v>
      </c>
      <c r="N259">
        <v>7</v>
      </c>
      <c r="O259">
        <v>0.90500000000000003</v>
      </c>
      <c r="P259">
        <v>0.111582547</v>
      </c>
      <c r="Q259">
        <v>0.123</v>
      </c>
    </row>
    <row r="260" spans="1:17" s="30" customFormat="1" x14ac:dyDescent="0.2">
      <c r="A260" s="30" t="str">
        <f>IF(C260&amp;G260&amp;D260&lt;&gt;'Funnel setup'!$K$3&amp;'Funnel setup'!$K$4&amp;'Funnel setup'!$K$5,".",IF(A259=".",1,A259+1))</f>
        <v>.</v>
      </c>
      <c r="B260" s="431" t="str">
        <f t="shared" si="4"/>
        <v>Groin HerniaCCG of GP PracticeNHS DONCASTER CCG (02X)EQ-5D Index</v>
      </c>
      <c r="C260" t="s">
        <v>50</v>
      </c>
      <c r="D260" t="s">
        <v>87</v>
      </c>
      <c r="E260" t="s">
        <v>767</v>
      </c>
      <c r="F260" t="s">
        <v>768</v>
      </c>
      <c r="G260" t="s">
        <v>52</v>
      </c>
      <c r="H260">
        <v>143</v>
      </c>
      <c r="I260">
        <v>0.753</v>
      </c>
      <c r="J260">
        <v>0.83099999999999996</v>
      </c>
      <c r="K260">
        <v>7.9000000000000001E-2</v>
      </c>
      <c r="L260">
        <v>78</v>
      </c>
      <c r="M260">
        <v>35</v>
      </c>
      <c r="N260">
        <v>30</v>
      </c>
      <c r="O260">
        <v>0.85399999999999998</v>
      </c>
      <c r="P260">
        <v>6.0429126E-2</v>
      </c>
      <c r="Q260">
        <v>0.182</v>
      </c>
    </row>
    <row r="261" spans="1:17" s="30" customFormat="1" x14ac:dyDescent="0.2">
      <c r="A261" s="30" t="str">
        <f>IF(C261&amp;G261&amp;D261&lt;&gt;'Funnel setup'!$K$3&amp;'Funnel setup'!$K$4&amp;'Funnel setup'!$K$5,".",IF(A260=".",1,A260+1))</f>
        <v>.</v>
      </c>
      <c r="B261" s="431" t="str">
        <f t="shared" si="4"/>
        <v>Groin HerniaCCG of GP PracticeNHS DORSET CCG (11J)EQ-5D Index</v>
      </c>
      <c r="C261" t="s">
        <v>50</v>
      </c>
      <c r="D261" t="s">
        <v>87</v>
      </c>
      <c r="E261" t="s">
        <v>854</v>
      </c>
      <c r="F261" t="s">
        <v>855</v>
      </c>
      <c r="G261" t="s">
        <v>52</v>
      </c>
      <c r="H261">
        <v>386</v>
      </c>
      <c r="I261">
        <v>0.81399999999999995</v>
      </c>
      <c r="J261">
        <v>0.90500000000000003</v>
      </c>
      <c r="K261">
        <v>9.0999999999999998E-2</v>
      </c>
      <c r="L261">
        <v>186</v>
      </c>
      <c r="M261">
        <v>136</v>
      </c>
      <c r="N261">
        <v>64</v>
      </c>
      <c r="O261">
        <v>0.89</v>
      </c>
      <c r="P261">
        <v>9.6421185000000006E-2</v>
      </c>
      <c r="Q261">
        <v>0.14199999999999999</v>
      </c>
    </row>
    <row r="262" spans="1:17" s="30" customFormat="1" x14ac:dyDescent="0.2">
      <c r="A262" s="30" t="str">
        <f>IF(C262&amp;G262&amp;D262&lt;&gt;'Funnel setup'!$K$3&amp;'Funnel setup'!$K$4&amp;'Funnel setup'!$K$5,".",IF(A261=".",1,A261+1))</f>
        <v>.</v>
      </c>
      <c r="B262" s="431" t="str">
        <f t="shared" si="4"/>
        <v>Groin HerniaCCG of GP PracticeNHS DUDLEY CCG (05C)EQ-5D Index</v>
      </c>
      <c r="C262" t="s">
        <v>50</v>
      </c>
      <c r="D262" t="s">
        <v>87</v>
      </c>
      <c r="E262" t="s">
        <v>857</v>
      </c>
      <c r="F262" t="s">
        <v>858</v>
      </c>
      <c r="G262" t="s">
        <v>52</v>
      </c>
      <c r="H262">
        <v>156</v>
      </c>
      <c r="I262">
        <v>0.82199999999999995</v>
      </c>
      <c r="J262">
        <v>0.85799999999999998</v>
      </c>
      <c r="K262">
        <v>3.5999999999999997E-2</v>
      </c>
      <c r="L262">
        <v>61</v>
      </c>
      <c r="M262">
        <v>58</v>
      </c>
      <c r="N262">
        <v>37</v>
      </c>
      <c r="O262">
        <v>0.85299999999999998</v>
      </c>
      <c r="P262">
        <v>5.9566941999999998E-2</v>
      </c>
      <c r="Q262">
        <v>0.188</v>
      </c>
    </row>
    <row r="263" spans="1:17" s="30" customFormat="1" x14ac:dyDescent="0.2">
      <c r="A263" s="30" t="str">
        <f>IF(C263&amp;G263&amp;D263&lt;&gt;'Funnel setup'!$K$3&amp;'Funnel setup'!$K$4&amp;'Funnel setup'!$K$5,".",IF(A262=".",1,A262+1))</f>
        <v>.</v>
      </c>
      <c r="B263" s="431" t="str">
        <f t="shared" si="4"/>
        <v>Groin HerniaCCG of GP PracticeNHS DURHAM DALES, EASINGTON AND SEDGEFIELD CCG (00D)EQ-5D Index</v>
      </c>
      <c r="C263" t="s">
        <v>50</v>
      </c>
      <c r="D263" t="s">
        <v>87</v>
      </c>
      <c r="E263" t="s">
        <v>860</v>
      </c>
      <c r="F263" t="s">
        <v>861</v>
      </c>
      <c r="G263" t="s">
        <v>52</v>
      </c>
      <c r="H263">
        <v>110</v>
      </c>
      <c r="I263">
        <v>0.79900000000000004</v>
      </c>
      <c r="J263">
        <v>0.80600000000000005</v>
      </c>
      <c r="K263">
        <v>7.0000000000000001E-3</v>
      </c>
      <c r="L263">
        <v>43</v>
      </c>
      <c r="M263">
        <v>29</v>
      </c>
      <c r="N263">
        <v>38</v>
      </c>
      <c r="O263">
        <v>0.82499999999999996</v>
      </c>
      <c r="P263">
        <v>3.118957E-2</v>
      </c>
      <c r="Q263">
        <v>0.16900000000000001</v>
      </c>
    </row>
    <row r="264" spans="1:17" s="30" customFormat="1" x14ac:dyDescent="0.2">
      <c r="A264" s="30" t="str">
        <f>IF(C264&amp;G264&amp;D264&lt;&gt;'Funnel setup'!$K$3&amp;'Funnel setup'!$K$4&amp;'Funnel setup'!$K$5,".",IF(A263=".",1,A263+1))</f>
        <v>.</v>
      </c>
      <c r="B264" s="431" t="str">
        <f t="shared" si="4"/>
        <v>Groin HerniaCCG of GP PracticeNHS EALING CCG (07W)EQ-5D Index</v>
      </c>
      <c r="C264" t="s">
        <v>50</v>
      </c>
      <c r="D264" t="s">
        <v>87</v>
      </c>
      <c r="E264" t="s">
        <v>863</v>
      </c>
      <c r="F264" t="s">
        <v>864</v>
      </c>
      <c r="G264" t="s">
        <v>52</v>
      </c>
      <c r="H264">
        <v>13</v>
      </c>
      <c r="I264">
        <v>0.63600000000000001</v>
      </c>
      <c r="J264">
        <v>0.65800000000000003</v>
      </c>
      <c r="K264">
        <v>2.1999999999999999E-2</v>
      </c>
      <c r="L264">
        <v>7</v>
      </c>
      <c r="M264">
        <v>2</v>
      </c>
      <c r="N264">
        <v>4</v>
      </c>
      <c r="O264" t="s">
        <v>53</v>
      </c>
      <c r="P264" t="s">
        <v>53</v>
      </c>
      <c r="Q264" t="s">
        <v>53</v>
      </c>
    </row>
    <row r="265" spans="1:17" s="30" customFormat="1" x14ac:dyDescent="0.2">
      <c r="A265" s="30" t="str">
        <f>IF(C265&amp;G265&amp;D265&lt;&gt;'Funnel setup'!$K$3&amp;'Funnel setup'!$K$4&amp;'Funnel setup'!$K$5,".",IF(A264=".",1,A264+1))</f>
        <v>.</v>
      </c>
      <c r="B265" s="431" t="str">
        <f t="shared" si="4"/>
        <v>Groin HerniaCCG of GP PracticeNHS EAST AND NORTH HERTFORDSHIRE CCG (06K)EQ-5D Index</v>
      </c>
      <c r="C265" t="s">
        <v>50</v>
      </c>
      <c r="D265" t="s">
        <v>87</v>
      </c>
      <c r="E265" t="s">
        <v>866</v>
      </c>
      <c r="F265" t="s">
        <v>867</v>
      </c>
      <c r="G265" t="s">
        <v>52</v>
      </c>
      <c r="H265">
        <v>191</v>
      </c>
      <c r="I265">
        <v>0.78100000000000003</v>
      </c>
      <c r="J265">
        <v>0.88100000000000001</v>
      </c>
      <c r="K265">
        <v>9.9000000000000005E-2</v>
      </c>
      <c r="L265">
        <v>97</v>
      </c>
      <c r="M265">
        <v>66</v>
      </c>
      <c r="N265">
        <v>28</v>
      </c>
      <c r="O265">
        <v>0.876</v>
      </c>
      <c r="P265">
        <v>8.2370181000000001E-2</v>
      </c>
      <c r="Q265">
        <v>0.14699999999999999</v>
      </c>
    </row>
    <row r="266" spans="1:17" s="30" customFormat="1" x14ac:dyDescent="0.2">
      <c r="A266" s="30" t="str">
        <f>IF(C266&amp;G266&amp;D266&lt;&gt;'Funnel setup'!$K$3&amp;'Funnel setup'!$K$4&amp;'Funnel setup'!$K$5,".",IF(A265=".",1,A265+1))</f>
        <v>.</v>
      </c>
      <c r="B266" s="431" t="str">
        <f t="shared" si="4"/>
        <v>Groin HerniaCCG of GP PracticeNHS EAST LANCASHIRE CCG (01A)EQ-5D Index</v>
      </c>
      <c r="C266" t="s">
        <v>50</v>
      </c>
      <c r="D266" t="s">
        <v>87</v>
      </c>
      <c r="E266" t="s">
        <v>869</v>
      </c>
      <c r="F266" t="s">
        <v>870</v>
      </c>
      <c r="G266" t="s">
        <v>52</v>
      </c>
      <c r="H266">
        <v>197</v>
      </c>
      <c r="I266">
        <v>0.77500000000000002</v>
      </c>
      <c r="J266">
        <v>0.89100000000000001</v>
      </c>
      <c r="K266">
        <v>0.11600000000000001</v>
      </c>
      <c r="L266">
        <v>106</v>
      </c>
      <c r="M266">
        <v>71</v>
      </c>
      <c r="N266">
        <v>20</v>
      </c>
      <c r="O266">
        <v>0.91200000000000003</v>
      </c>
      <c r="P266">
        <v>0.118867839</v>
      </c>
      <c r="Q266">
        <v>0.14399999999999999</v>
      </c>
    </row>
    <row r="267" spans="1:17" s="30" customFormat="1" x14ac:dyDescent="0.2">
      <c r="A267" s="30" t="str">
        <f>IF(C267&amp;G267&amp;D267&lt;&gt;'Funnel setup'!$K$3&amp;'Funnel setup'!$K$4&amp;'Funnel setup'!$K$5,".",IF(A266=".",1,A266+1))</f>
        <v>.</v>
      </c>
      <c r="B267" s="431" t="str">
        <f t="shared" si="4"/>
        <v>Groin HerniaCCG of GP PracticeNHS EAST LEICESTERSHIRE AND RUTLAND CCG (03W)EQ-5D Index</v>
      </c>
      <c r="C267" t="s">
        <v>50</v>
      </c>
      <c r="D267" t="s">
        <v>87</v>
      </c>
      <c r="E267" t="s">
        <v>872</v>
      </c>
      <c r="F267" t="s">
        <v>873</v>
      </c>
      <c r="G267" t="s">
        <v>52</v>
      </c>
      <c r="H267">
        <v>149</v>
      </c>
      <c r="I267">
        <v>0.81699999999999995</v>
      </c>
      <c r="J267">
        <v>0.88100000000000001</v>
      </c>
      <c r="K267">
        <v>6.4000000000000001E-2</v>
      </c>
      <c r="L267">
        <v>69</v>
      </c>
      <c r="M267">
        <v>51</v>
      </c>
      <c r="N267">
        <v>29</v>
      </c>
      <c r="O267">
        <v>0.86499999999999999</v>
      </c>
      <c r="P267">
        <v>7.2026352000000002E-2</v>
      </c>
      <c r="Q267">
        <v>0.14000000000000001</v>
      </c>
    </row>
    <row r="268" spans="1:17" s="30" customFormat="1" x14ac:dyDescent="0.2">
      <c r="A268" s="30" t="str">
        <f>IF(C268&amp;G268&amp;D268&lt;&gt;'Funnel setup'!$K$3&amp;'Funnel setup'!$K$4&amp;'Funnel setup'!$K$5,".",IF(A267=".",1,A267+1))</f>
        <v>.</v>
      </c>
      <c r="B268" s="431" t="str">
        <f t="shared" si="4"/>
        <v>Groin HerniaCCG of GP PracticeNHS EAST RIDING OF YORKSHIRE CCG (02Y)EQ-5D Index</v>
      </c>
      <c r="C268" t="s">
        <v>50</v>
      </c>
      <c r="D268" t="s">
        <v>87</v>
      </c>
      <c r="E268" t="s">
        <v>875</v>
      </c>
      <c r="F268" t="s">
        <v>876</v>
      </c>
      <c r="G268" t="s">
        <v>52</v>
      </c>
      <c r="H268">
        <v>239</v>
      </c>
      <c r="I268">
        <v>0.79500000000000004</v>
      </c>
      <c r="J268">
        <v>0.874</v>
      </c>
      <c r="K268">
        <v>7.9000000000000001E-2</v>
      </c>
      <c r="L268">
        <v>118</v>
      </c>
      <c r="M268">
        <v>84</v>
      </c>
      <c r="N268">
        <v>37</v>
      </c>
      <c r="O268">
        <v>0.874</v>
      </c>
      <c r="P268">
        <v>8.0671837999999996E-2</v>
      </c>
      <c r="Q268">
        <v>0.17799999999999999</v>
      </c>
    </row>
    <row r="269" spans="1:17" s="30" customFormat="1" x14ac:dyDescent="0.2">
      <c r="A269" s="30" t="str">
        <f>IF(C269&amp;G269&amp;D269&lt;&gt;'Funnel setup'!$K$3&amp;'Funnel setup'!$K$4&amp;'Funnel setup'!$K$5,".",IF(A268=".",1,A268+1))</f>
        <v>.</v>
      </c>
      <c r="B269" s="431" t="str">
        <f t="shared" si="4"/>
        <v>Groin HerniaCCG of GP PracticeNHS EAST STAFFORDSHIRE CCG (05D)EQ-5D Index</v>
      </c>
      <c r="C269" t="s">
        <v>50</v>
      </c>
      <c r="D269" t="s">
        <v>87</v>
      </c>
      <c r="E269" t="s">
        <v>878</v>
      </c>
      <c r="F269" t="s">
        <v>879</v>
      </c>
      <c r="G269" t="s">
        <v>52</v>
      </c>
      <c r="H269">
        <v>73</v>
      </c>
      <c r="I269">
        <v>0.81299999999999994</v>
      </c>
      <c r="J269">
        <v>0.91</v>
      </c>
      <c r="K269">
        <v>9.8000000000000004E-2</v>
      </c>
      <c r="L269">
        <v>34</v>
      </c>
      <c r="M269">
        <v>29</v>
      </c>
      <c r="N269">
        <v>10</v>
      </c>
      <c r="O269">
        <v>0.89400000000000002</v>
      </c>
      <c r="P269">
        <v>0.100642177</v>
      </c>
      <c r="Q269">
        <v>0.14899999999999999</v>
      </c>
    </row>
    <row r="270" spans="1:17" s="30" customFormat="1" x14ac:dyDescent="0.2">
      <c r="A270" s="30" t="str">
        <f>IF(C270&amp;G270&amp;D270&lt;&gt;'Funnel setup'!$K$3&amp;'Funnel setup'!$K$4&amp;'Funnel setup'!$K$5,".",IF(A269=".",1,A269+1))</f>
        <v>.</v>
      </c>
      <c r="B270" s="431" t="str">
        <f t="shared" si="4"/>
        <v>Groin HerniaCCG of GP PracticeNHS EAST SURREY CCG (09L)EQ-5D Index</v>
      </c>
      <c r="C270" t="s">
        <v>50</v>
      </c>
      <c r="D270" t="s">
        <v>87</v>
      </c>
      <c r="E270" t="s">
        <v>881</v>
      </c>
      <c r="F270" t="s">
        <v>882</v>
      </c>
      <c r="G270" t="s">
        <v>52</v>
      </c>
      <c r="H270">
        <v>79</v>
      </c>
      <c r="I270">
        <v>0.81899999999999995</v>
      </c>
      <c r="J270">
        <v>0.88200000000000001</v>
      </c>
      <c r="K270">
        <v>6.3E-2</v>
      </c>
      <c r="L270">
        <v>41</v>
      </c>
      <c r="M270">
        <v>22</v>
      </c>
      <c r="N270">
        <v>16</v>
      </c>
      <c r="O270">
        <v>0.86299999999999999</v>
      </c>
      <c r="P270">
        <v>6.9391420999999995E-2</v>
      </c>
      <c r="Q270">
        <v>0.18</v>
      </c>
    </row>
    <row r="271" spans="1:17" s="30" customFormat="1" x14ac:dyDescent="0.2">
      <c r="A271" s="30" t="str">
        <f>IF(C271&amp;G271&amp;D271&lt;&gt;'Funnel setup'!$K$3&amp;'Funnel setup'!$K$4&amp;'Funnel setup'!$K$5,".",IF(A270=".",1,A270+1))</f>
        <v>.</v>
      </c>
      <c r="B271" s="431" t="str">
        <f t="shared" si="4"/>
        <v>Groin HerniaCCG of GP PracticeNHS EASTBOURNE, HAILSHAM AND SEAFORD CCG (09F)EQ-5D Index</v>
      </c>
      <c r="C271" t="s">
        <v>50</v>
      </c>
      <c r="D271" t="s">
        <v>87</v>
      </c>
      <c r="E271" t="s">
        <v>884</v>
      </c>
      <c r="F271" t="s">
        <v>885</v>
      </c>
      <c r="G271" t="s">
        <v>52</v>
      </c>
      <c r="H271">
        <v>50</v>
      </c>
      <c r="I271">
        <v>0.80400000000000005</v>
      </c>
      <c r="J271">
        <v>0.88100000000000001</v>
      </c>
      <c r="K271">
        <v>7.8E-2</v>
      </c>
      <c r="L271">
        <v>25</v>
      </c>
      <c r="M271">
        <v>13</v>
      </c>
      <c r="N271">
        <v>12</v>
      </c>
      <c r="O271">
        <v>0.871</v>
      </c>
      <c r="P271">
        <v>7.7771891999999995E-2</v>
      </c>
      <c r="Q271">
        <v>0.13200000000000001</v>
      </c>
    </row>
    <row r="272" spans="1:17" s="30" customFormat="1" x14ac:dyDescent="0.2">
      <c r="A272" s="30" t="str">
        <f>IF(C272&amp;G272&amp;D272&lt;&gt;'Funnel setup'!$K$3&amp;'Funnel setup'!$K$4&amp;'Funnel setup'!$K$5,".",IF(A271=".",1,A271+1))</f>
        <v>.</v>
      </c>
      <c r="B272" s="431" t="str">
        <f t="shared" si="4"/>
        <v>Groin HerniaCCG of GP PracticeNHS EASTERN CHESHIRE CCG (01C)EQ-5D Index</v>
      </c>
      <c r="C272" t="s">
        <v>50</v>
      </c>
      <c r="D272" t="s">
        <v>87</v>
      </c>
      <c r="E272" t="s">
        <v>887</v>
      </c>
      <c r="F272" t="s">
        <v>888</v>
      </c>
      <c r="G272" t="s">
        <v>52</v>
      </c>
      <c r="H272">
        <v>90</v>
      </c>
      <c r="I272">
        <v>0.80600000000000005</v>
      </c>
      <c r="J272">
        <v>0.86599999999999999</v>
      </c>
      <c r="K272">
        <v>6.0999999999999999E-2</v>
      </c>
      <c r="L272">
        <v>46</v>
      </c>
      <c r="M272">
        <v>25</v>
      </c>
      <c r="N272">
        <v>19</v>
      </c>
      <c r="O272">
        <v>0.86799999999999999</v>
      </c>
      <c r="P272">
        <v>7.4730560000000001E-2</v>
      </c>
      <c r="Q272">
        <v>0.192</v>
      </c>
    </row>
    <row r="273" spans="1:17" s="30" customFormat="1" x14ac:dyDescent="0.2">
      <c r="A273" s="30" t="str">
        <f>IF(C273&amp;G273&amp;D273&lt;&gt;'Funnel setup'!$K$3&amp;'Funnel setup'!$K$4&amp;'Funnel setup'!$K$5,".",IF(A272=".",1,A272+1))</f>
        <v>.</v>
      </c>
      <c r="B273" s="431" t="str">
        <f t="shared" si="4"/>
        <v>Groin HerniaCCG of GP PracticeNHS ENFIELD CCG (07X)EQ-5D Index</v>
      </c>
      <c r="C273" t="s">
        <v>50</v>
      </c>
      <c r="D273" t="s">
        <v>87</v>
      </c>
      <c r="E273" t="s">
        <v>890</v>
      </c>
      <c r="F273" t="s">
        <v>891</v>
      </c>
      <c r="G273" t="s">
        <v>52</v>
      </c>
      <c r="H273">
        <v>32</v>
      </c>
      <c r="I273">
        <v>0.73599999999999999</v>
      </c>
      <c r="J273">
        <v>0.873</v>
      </c>
      <c r="K273">
        <v>0.13800000000000001</v>
      </c>
      <c r="L273">
        <v>18</v>
      </c>
      <c r="M273">
        <v>9</v>
      </c>
      <c r="N273">
        <v>5</v>
      </c>
      <c r="O273">
        <v>0.89300000000000002</v>
      </c>
      <c r="P273">
        <v>9.9472714000000004E-2</v>
      </c>
      <c r="Q273">
        <v>0.13500000000000001</v>
      </c>
    </row>
    <row r="274" spans="1:17" s="30" customFormat="1" x14ac:dyDescent="0.2">
      <c r="A274" s="30" t="str">
        <f>IF(C274&amp;G274&amp;D274&lt;&gt;'Funnel setup'!$K$3&amp;'Funnel setup'!$K$4&amp;'Funnel setup'!$K$5,".",IF(A273=".",1,A273+1))</f>
        <v>.</v>
      </c>
      <c r="B274" s="431" t="str">
        <f t="shared" si="4"/>
        <v>Groin HerniaCCG of GP PracticeNHS EREWASH CCG (03X)EQ-5D Index</v>
      </c>
      <c r="C274" t="s">
        <v>50</v>
      </c>
      <c r="D274" t="s">
        <v>87</v>
      </c>
      <c r="E274" t="s">
        <v>893</v>
      </c>
      <c r="F274" t="s">
        <v>894</v>
      </c>
      <c r="G274" t="s">
        <v>52</v>
      </c>
      <c r="H274">
        <v>33</v>
      </c>
      <c r="I274">
        <v>0.79</v>
      </c>
      <c r="J274">
        <v>0.86799999999999999</v>
      </c>
      <c r="K274">
        <v>7.8E-2</v>
      </c>
      <c r="L274">
        <v>17</v>
      </c>
      <c r="M274">
        <v>10</v>
      </c>
      <c r="N274">
        <v>6</v>
      </c>
      <c r="O274">
        <v>0.85899999999999999</v>
      </c>
      <c r="P274">
        <v>6.6038515000000006E-2</v>
      </c>
      <c r="Q274">
        <v>0.13400000000000001</v>
      </c>
    </row>
    <row r="275" spans="1:17" s="30" customFormat="1" x14ac:dyDescent="0.2">
      <c r="A275" s="30" t="str">
        <f>IF(C275&amp;G275&amp;D275&lt;&gt;'Funnel setup'!$K$3&amp;'Funnel setup'!$K$4&amp;'Funnel setup'!$K$5,".",IF(A274=".",1,A274+1))</f>
        <v>.</v>
      </c>
      <c r="B275" s="431" t="str">
        <f t="shared" si="4"/>
        <v>Groin HerniaCCG of GP PracticeNHS FAREHAM AND GOSPORT CCG (10K)EQ-5D Index</v>
      </c>
      <c r="C275" t="s">
        <v>50</v>
      </c>
      <c r="D275" t="s">
        <v>87</v>
      </c>
      <c r="E275" t="s">
        <v>896</v>
      </c>
      <c r="F275" t="s">
        <v>897</v>
      </c>
      <c r="G275" t="s">
        <v>52</v>
      </c>
      <c r="H275">
        <v>90</v>
      </c>
      <c r="I275">
        <v>0.83799999999999997</v>
      </c>
      <c r="J275">
        <v>0.93600000000000005</v>
      </c>
      <c r="K275">
        <v>9.8000000000000004E-2</v>
      </c>
      <c r="L275">
        <v>44</v>
      </c>
      <c r="M275">
        <v>38</v>
      </c>
      <c r="N275">
        <v>8</v>
      </c>
      <c r="O275">
        <v>0.89500000000000002</v>
      </c>
      <c r="P275">
        <v>0.101140298</v>
      </c>
      <c r="Q275">
        <v>0.113</v>
      </c>
    </row>
    <row r="276" spans="1:17" s="30" customFormat="1" x14ac:dyDescent="0.2">
      <c r="A276" s="30" t="str">
        <f>IF(C276&amp;G276&amp;D276&lt;&gt;'Funnel setup'!$K$3&amp;'Funnel setup'!$K$4&amp;'Funnel setup'!$K$5,".",IF(A275=".",1,A275+1))</f>
        <v>.</v>
      </c>
      <c r="B276" s="431" t="str">
        <f t="shared" si="4"/>
        <v>Groin HerniaCCG of GP PracticeNHS FYLDE &amp; WYRE CCG (02M)EQ-5D Index</v>
      </c>
      <c r="C276" t="s">
        <v>50</v>
      </c>
      <c r="D276" t="s">
        <v>87</v>
      </c>
      <c r="E276" t="s">
        <v>899</v>
      </c>
      <c r="F276" t="s">
        <v>900</v>
      </c>
      <c r="G276" t="s">
        <v>52</v>
      </c>
      <c r="H276">
        <v>28</v>
      </c>
      <c r="I276">
        <v>0.80700000000000005</v>
      </c>
      <c r="J276">
        <v>0.85</v>
      </c>
      <c r="K276">
        <v>4.2999999999999997E-2</v>
      </c>
      <c r="L276">
        <v>12</v>
      </c>
      <c r="M276">
        <v>11</v>
      </c>
      <c r="N276">
        <v>5</v>
      </c>
      <c r="O276" t="s">
        <v>53</v>
      </c>
      <c r="P276" t="s">
        <v>53</v>
      </c>
      <c r="Q276" t="s">
        <v>53</v>
      </c>
    </row>
    <row r="277" spans="1:17" s="30" customFormat="1" x14ac:dyDescent="0.2">
      <c r="A277" s="30" t="str">
        <f>IF(C277&amp;G277&amp;D277&lt;&gt;'Funnel setup'!$K$3&amp;'Funnel setup'!$K$4&amp;'Funnel setup'!$K$5,".",IF(A276=".",1,A276+1))</f>
        <v>.</v>
      </c>
      <c r="B277" s="431" t="str">
        <f t="shared" si="4"/>
        <v>Groin HerniaCCG of GP PracticeNHS GLOUCESTERSHIRE CCG (11M)EQ-5D Index</v>
      </c>
      <c r="C277" t="s">
        <v>50</v>
      </c>
      <c r="D277" t="s">
        <v>87</v>
      </c>
      <c r="E277" t="s">
        <v>902</v>
      </c>
      <c r="F277" t="s">
        <v>903</v>
      </c>
      <c r="G277" t="s">
        <v>52</v>
      </c>
      <c r="H277">
        <v>291</v>
      </c>
      <c r="I277">
        <v>0.85</v>
      </c>
      <c r="J277">
        <v>0.91600000000000004</v>
      </c>
      <c r="K277">
        <v>6.6000000000000003E-2</v>
      </c>
      <c r="L277">
        <v>128</v>
      </c>
      <c r="M277">
        <v>127</v>
      </c>
      <c r="N277">
        <v>36</v>
      </c>
      <c r="O277">
        <v>0.88400000000000001</v>
      </c>
      <c r="P277">
        <v>9.0901153999999998E-2</v>
      </c>
      <c r="Q277">
        <v>0.13600000000000001</v>
      </c>
    </row>
    <row r="278" spans="1:17" s="30" customFormat="1" x14ac:dyDescent="0.2">
      <c r="A278" s="30" t="str">
        <f>IF(C278&amp;G278&amp;D278&lt;&gt;'Funnel setup'!$K$3&amp;'Funnel setup'!$K$4&amp;'Funnel setup'!$K$5,".",IF(A277=".",1,A277+1))</f>
        <v>.</v>
      </c>
      <c r="B278" s="431" t="str">
        <f t="shared" si="4"/>
        <v>Groin HerniaCCG of GP PracticeNHS GREAT YARMOUTH AND WAVENEY CCG (06M)EQ-5D Index</v>
      </c>
      <c r="C278" t="s">
        <v>50</v>
      </c>
      <c r="D278" t="s">
        <v>87</v>
      </c>
      <c r="E278" t="s">
        <v>905</v>
      </c>
      <c r="F278" t="s">
        <v>906</v>
      </c>
      <c r="G278" t="s">
        <v>52</v>
      </c>
      <c r="H278">
        <v>121</v>
      </c>
      <c r="I278">
        <v>0.77</v>
      </c>
      <c r="J278">
        <v>0.87</v>
      </c>
      <c r="K278">
        <v>0.1</v>
      </c>
      <c r="L278">
        <v>69</v>
      </c>
      <c r="M278">
        <v>34</v>
      </c>
      <c r="N278">
        <v>18</v>
      </c>
      <c r="O278">
        <v>0.877</v>
      </c>
      <c r="P278">
        <v>8.3917368000000006E-2</v>
      </c>
      <c r="Q278">
        <v>0.14899999999999999</v>
      </c>
    </row>
    <row r="279" spans="1:17" s="30" customFormat="1" x14ac:dyDescent="0.2">
      <c r="A279" s="30" t="str">
        <f>IF(C279&amp;G279&amp;D279&lt;&gt;'Funnel setup'!$K$3&amp;'Funnel setup'!$K$4&amp;'Funnel setup'!$K$5,".",IF(A278=".",1,A278+1))</f>
        <v>.</v>
      </c>
      <c r="B279" s="431" t="str">
        <f t="shared" si="4"/>
        <v>Groin HerniaCCG of GP PracticeNHS GREATER HUDDERSFIELD CCG (03A)EQ-5D Index</v>
      </c>
      <c r="C279" t="s">
        <v>50</v>
      </c>
      <c r="D279" t="s">
        <v>87</v>
      </c>
      <c r="E279" t="s">
        <v>908</v>
      </c>
      <c r="F279" t="s">
        <v>909</v>
      </c>
      <c r="G279" t="s">
        <v>52</v>
      </c>
      <c r="H279">
        <v>144</v>
      </c>
      <c r="I279">
        <v>0.81200000000000006</v>
      </c>
      <c r="J279">
        <v>0.9</v>
      </c>
      <c r="K279">
        <v>8.6999999999999994E-2</v>
      </c>
      <c r="L279">
        <v>71</v>
      </c>
      <c r="M279">
        <v>46</v>
      </c>
      <c r="N279">
        <v>27</v>
      </c>
      <c r="O279">
        <v>0.89100000000000001</v>
      </c>
      <c r="P279">
        <v>9.7411420999999998E-2</v>
      </c>
      <c r="Q279">
        <v>0.15</v>
      </c>
    </row>
    <row r="280" spans="1:17" s="30" customFormat="1" x14ac:dyDescent="0.2">
      <c r="A280" s="30" t="str">
        <f>IF(C280&amp;G280&amp;D280&lt;&gt;'Funnel setup'!$K$3&amp;'Funnel setup'!$K$4&amp;'Funnel setup'!$K$5,".",IF(A279=".",1,A279+1))</f>
        <v>.</v>
      </c>
      <c r="B280" s="431" t="str">
        <f t="shared" si="4"/>
        <v>Groin HerniaCCG of GP PracticeNHS GREATER PRESTON CCG (01E)EQ-5D Index</v>
      </c>
      <c r="C280" t="s">
        <v>50</v>
      </c>
      <c r="D280" t="s">
        <v>87</v>
      </c>
      <c r="E280" t="s">
        <v>486</v>
      </c>
      <c r="F280" t="s">
        <v>487</v>
      </c>
      <c r="G280" t="s">
        <v>52</v>
      </c>
      <c r="H280">
        <v>129</v>
      </c>
      <c r="I280">
        <v>0.82699999999999996</v>
      </c>
      <c r="J280">
        <v>0.876</v>
      </c>
      <c r="K280">
        <v>4.9000000000000002E-2</v>
      </c>
      <c r="L280">
        <v>50</v>
      </c>
      <c r="M280">
        <v>58</v>
      </c>
      <c r="N280">
        <v>21</v>
      </c>
      <c r="O280">
        <v>0.86699999999999999</v>
      </c>
      <c r="P280">
        <v>7.3770081000000001E-2</v>
      </c>
      <c r="Q280">
        <v>0.13200000000000001</v>
      </c>
    </row>
    <row r="281" spans="1:17" s="30" customFormat="1" x14ac:dyDescent="0.2">
      <c r="A281" s="30" t="str">
        <f>IF(C281&amp;G281&amp;D281&lt;&gt;'Funnel setup'!$K$3&amp;'Funnel setup'!$K$4&amp;'Funnel setup'!$K$5,".",IF(A280=".",1,A280+1))</f>
        <v>.</v>
      </c>
      <c r="B281" s="431" t="str">
        <f t="shared" si="4"/>
        <v>Groin HerniaCCG of GP PracticeNHS GREENWICH CCG (08A)EQ-5D Index</v>
      </c>
      <c r="C281" t="s">
        <v>50</v>
      </c>
      <c r="D281" t="s">
        <v>87</v>
      </c>
      <c r="E281" t="s">
        <v>489</v>
      </c>
      <c r="F281" t="s">
        <v>490</v>
      </c>
      <c r="G281" t="s">
        <v>52</v>
      </c>
      <c r="H281">
        <v>23</v>
      </c>
      <c r="I281">
        <v>0.68600000000000005</v>
      </c>
      <c r="J281">
        <v>0.72599999999999998</v>
      </c>
      <c r="K281">
        <v>0.04</v>
      </c>
      <c r="L281">
        <v>9</v>
      </c>
      <c r="M281">
        <v>8</v>
      </c>
      <c r="N281">
        <v>6</v>
      </c>
      <c r="O281" t="s">
        <v>53</v>
      </c>
      <c r="P281" t="s">
        <v>53</v>
      </c>
      <c r="Q281" t="s">
        <v>53</v>
      </c>
    </row>
    <row r="282" spans="1:17" s="30" customFormat="1" x14ac:dyDescent="0.2">
      <c r="A282" s="30" t="str">
        <f>IF(C282&amp;G282&amp;D282&lt;&gt;'Funnel setup'!$K$3&amp;'Funnel setup'!$K$4&amp;'Funnel setup'!$K$5,".",IF(A281=".",1,A281+1))</f>
        <v>.</v>
      </c>
      <c r="B282" s="431" t="str">
        <f t="shared" si="4"/>
        <v>Groin HerniaCCG of GP PracticeNHS GUILDFORD AND WAVERLEY CCG (09N)EQ-5D Index</v>
      </c>
      <c r="C282" t="s">
        <v>50</v>
      </c>
      <c r="D282" t="s">
        <v>87</v>
      </c>
      <c r="E282" t="s">
        <v>911</v>
      </c>
      <c r="F282" t="s">
        <v>912</v>
      </c>
      <c r="G282" t="s">
        <v>52</v>
      </c>
      <c r="H282">
        <v>135</v>
      </c>
      <c r="I282">
        <v>0.8</v>
      </c>
      <c r="J282">
        <v>0.90600000000000003</v>
      </c>
      <c r="K282">
        <v>0.106</v>
      </c>
      <c r="L282">
        <v>76</v>
      </c>
      <c r="M282">
        <v>46</v>
      </c>
      <c r="N282">
        <v>13</v>
      </c>
      <c r="O282">
        <v>0.89600000000000002</v>
      </c>
      <c r="P282">
        <v>0.10223232</v>
      </c>
      <c r="Q282">
        <v>0.157</v>
      </c>
    </row>
    <row r="283" spans="1:17" s="30" customFormat="1" x14ac:dyDescent="0.2">
      <c r="A283" s="30" t="str">
        <f>IF(C283&amp;G283&amp;D283&lt;&gt;'Funnel setup'!$K$3&amp;'Funnel setup'!$K$4&amp;'Funnel setup'!$K$5,".",IF(A282=".",1,A282+1))</f>
        <v>.</v>
      </c>
      <c r="B283" s="431" t="str">
        <f t="shared" si="4"/>
        <v>Groin HerniaCCG of GP PracticeNHS HALTON CCG (01F)EQ-5D Index</v>
      </c>
      <c r="C283" t="s">
        <v>50</v>
      </c>
      <c r="D283" t="s">
        <v>87</v>
      </c>
      <c r="E283" t="s">
        <v>914</v>
      </c>
      <c r="F283" t="s">
        <v>915</v>
      </c>
      <c r="G283" t="s">
        <v>52</v>
      </c>
      <c r="H283">
        <v>50</v>
      </c>
      <c r="I283">
        <v>0.78700000000000003</v>
      </c>
      <c r="J283">
        <v>0.84799999999999998</v>
      </c>
      <c r="K283">
        <v>6.0999999999999999E-2</v>
      </c>
      <c r="L283">
        <v>25</v>
      </c>
      <c r="M283">
        <v>12</v>
      </c>
      <c r="N283">
        <v>13</v>
      </c>
      <c r="O283">
        <v>0.85599999999999998</v>
      </c>
      <c r="P283">
        <v>6.2757489999999999E-2</v>
      </c>
      <c r="Q283">
        <v>0.11799999999999999</v>
      </c>
    </row>
    <row r="284" spans="1:17" s="30" customFormat="1" x14ac:dyDescent="0.2">
      <c r="A284" s="30" t="str">
        <f>IF(C284&amp;G284&amp;D284&lt;&gt;'Funnel setup'!$K$3&amp;'Funnel setup'!$K$4&amp;'Funnel setup'!$K$5,".",IF(A283=".",1,A283+1))</f>
        <v>.</v>
      </c>
      <c r="B284" s="431" t="str">
        <f t="shared" si="4"/>
        <v>Groin HerniaCCG of GP PracticeNHS HAMBLETON, RICHMONDSHIRE AND WHITBY CCG (03D)EQ-5D Index</v>
      </c>
      <c r="C284" t="s">
        <v>50</v>
      </c>
      <c r="D284" t="s">
        <v>87</v>
      </c>
      <c r="E284" t="s">
        <v>917</v>
      </c>
      <c r="F284" t="s">
        <v>918</v>
      </c>
      <c r="G284" t="s">
        <v>52</v>
      </c>
      <c r="H284">
        <v>69</v>
      </c>
      <c r="I284">
        <v>0.78</v>
      </c>
      <c r="J284">
        <v>0.92300000000000004</v>
      </c>
      <c r="K284">
        <v>0.14299999999999999</v>
      </c>
      <c r="L284">
        <v>42</v>
      </c>
      <c r="M284">
        <v>18</v>
      </c>
      <c r="N284">
        <v>9</v>
      </c>
      <c r="O284">
        <v>0.90400000000000003</v>
      </c>
      <c r="P284">
        <v>0.11098815300000001</v>
      </c>
      <c r="Q284">
        <v>0.124</v>
      </c>
    </row>
    <row r="285" spans="1:17" s="30" customFormat="1" x14ac:dyDescent="0.2">
      <c r="A285" s="30" t="str">
        <f>IF(C285&amp;G285&amp;D285&lt;&gt;'Funnel setup'!$K$3&amp;'Funnel setup'!$K$4&amp;'Funnel setup'!$K$5,".",IF(A284=".",1,A284+1))</f>
        <v>.</v>
      </c>
      <c r="B285" s="431" t="str">
        <f t="shared" si="4"/>
        <v>Groin HerniaCCG of GP PracticeNHS HAMMERSMITH AND FULHAM CCG (08C)EQ-5D Index</v>
      </c>
      <c r="C285" t="s">
        <v>50</v>
      </c>
      <c r="D285" t="s">
        <v>87</v>
      </c>
      <c r="E285" t="s">
        <v>920</v>
      </c>
      <c r="F285" t="s">
        <v>921</v>
      </c>
      <c r="G285" t="s">
        <v>52</v>
      </c>
      <c r="H285" t="s">
        <v>53</v>
      </c>
      <c r="I285" t="s">
        <v>53</v>
      </c>
      <c r="J285" t="s">
        <v>53</v>
      </c>
      <c r="K285" t="s">
        <v>53</v>
      </c>
      <c r="L285" t="s">
        <v>53</v>
      </c>
      <c r="M285" t="s">
        <v>53</v>
      </c>
      <c r="N285" t="s">
        <v>53</v>
      </c>
      <c r="O285" t="s">
        <v>53</v>
      </c>
      <c r="P285" t="s">
        <v>53</v>
      </c>
      <c r="Q285" t="s">
        <v>53</v>
      </c>
    </row>
    <row r="286" spans="1:17" s="30" customFormat="1" x14ac:dyDescent="0.2">
      <c r="A286" s="30" t="str">
        <f>IF(C286&amp;G286&amp;D286&lt;&gt;'Funnel setup'!$K$3&amp;'Funnel setup'!$K$4&amp;'Funnel setup'!$K$5,".",IF(A285=".",1,A285+1))</f>
        <v>.</v>
      </c>
      <c r="B286" s="431" t="str">
        <f t="shared" si="4"/>
        <v>Groin HerniaCCG of GP PracticeNHS HARDWICK CCG (03Y)EQ-5D Index</v>
      </c>
      <c r="C286" t="s">
        <v>50</v>
      </c>
      <c r="D286" t="s">
        <v>87</v>
      </c>
      <c r="E286" t="s">
        <v>923</v>
      </c>
      <c r="F286" t="s">
        <v>924</v>
      </c>
      <c r="G286" t="s">
        <v>52</v>
      </c>
      <c r="H286">
        <v>72</v>
      </c>
      <c r="I286">
        <v>0.76200000000000001</v>
      </c>
      <c r="J286">
        <v>0.83699999999999997</v>
      </c>
      <c r="K286">
        <v>7.4999999999999997E-2</v>
      </c>
      <c r="L286">
        <v>38</v>
      </c>
      <c r="M286">
        <v>19</v>
      </c>
      <c r="N286">
        <v>15</v>
      </c>
      <c r="O286">
        <v>0.86499999999999999</v>
      </c>
      <c r="P286">
        <v>7.1351123000000002E-2</v>
      </c>
      <c r="Q286">
        <v>0.16300000000000001</v>
      </c>
    </row>
    <row r="287" spans="1:17" s="30" customFormat="1" x14ac:dyDescent="0.2">
      <c r="A287" s="30" t="str">
        <f>IF(C287&amp;G287&amp;D287&lt;&gt;'Funnel setup'!$K$3&amp;'Funnel setup'!$K$4&amp;'Funnel setup'!$K$5,".",IF(A286=".",1,A286+1))</f>
        <v>.</v>
      </c>
      <c r="B287" s="431" t="str">
        <f t="shared" si="4"/>
        <v>Groin HerniaCCG of GP PracticeNHS HARINGEY CCG (08D)EQ-5D Index</v>
      </c>
      <c r="C287" t="s">
        <v>50</v>
      </c>
      <c r="D287" t="s">
        <v>87</v>
      </c>
      <c r="E287" t="s">
        <v>926</v>
      </c>
      <c r="F287" t="s">
        <v>927</v>
      </c>
      <c r="G287" t="s">
        <v>52</v>
      </c>
      <c r="H287">
        <v>21</v>
      </c>
      <c r="I287">
        <v>0.76200000000000001</v>
      </c>
      <c r="J287">
        <v>0.84799999999999998</v>
      </c>
      <c r="K287">
        <v>8.5999999999999993E-2</v>
      </c>
      <c r="L287">
        <v>11</v>
      </c>
      <c r="M287">
        <v>4</v>
      </c>
      <c r="N287">
        <v>6</v>
      </c>
      <c r="O287" t="s">
        <v>53</v>
      </c>
      <c r="P287" t="s">
        <v>53</v>
      </c>
      <c r="Q287" t="s">
        <v>53</v>
      </c>
    </row>
    <row r="288" spans="1:17" s="30" customFormat="1" x14ac:dyDescent="0.2">
      <c r="A288" s="30" t="str">
        <f>IF(C288&amp;G288&amp;D288&lt;&gt;'Funnel setup'!$K$3&amp;'Funnel setup'!$K$4&amp;'Funnel setup'!$K$5,".",IF(A287=".",1,A287+1))</f>
        <v>.</v>
      </c>
      <c r="B288" s="431" t="str">
        <f t="shared" si="4"/>
        <v>Groin HerniaCCG of GP PracticeNHS HARROGATE AND RURAL DISTRICT CCG (03E)EQ-5D Index</v>
      </c>
      <c r="C288" t="s">
        <v>50</v>
      </c>
      <c r="D288" t="s">
        <v>87</v>
      </c>
      <c r="E288" t="s">
        <v>929</v>
      </c>
      <c r="F288" t="s">
        <v>930</v>
      </c>
      <c r="G288" t="s">
        <v>52</v>
      </c>
      <c r="H288">
        <v>152</v>
      </c>
      <c r="I288">
        <v>0.81200000000000006</v>
      </c>
      <c r="J288">
        <v>0.88200000000000001</v>
      </c>
      <c r="K288">
        <v>7.0000000000000007E-2</v>
      </c>
      <c r="L288">
        <v>77</v>
      </c>
      <c r="M288">
        <v>36</v>
      </c>
      <c r="N288">
        <v>39</v>
      </c>
      <c r="O288">
        <v>0.86899999999999999</v>
      </c>
      <c r="P288">
        <v>7.5975866000000003E-2</v>
      </c>
      <c r="Q288">
        <v>0.16</v>
      </c>
    </row>
    <row r="289" spans="1:17" s="30" customFormat="1" x14ac:dyDescent="0.2">
      <c r="A289" s="30" t="str">
        <f>IF(C289&amp;G289&amp;D289&lt;&gt;'Funnel setup'!$K$3&amp;'Funnel setup'!$K$4&amp;'Funnel setup'!$K$5,".",IF(A288=".",1,A288+1))</f>
        <v>.</v>
      </c>
      <c r="B289" s="431" t="str">
        <f t="shared" si="4"/>
        <v>Groin HerniaCCG of GP PracticeNHS HARROW CCG (08E)EQ-5D Index</v>
      </c>
      <c r="C289" t="s">
        <v>50</v>
      </c>
      <c r="D289" t="s">
        <v>87</v>
      </c>
      <c r="E289" t="s">
        <v>492</v>
      </c>
      <c r="F289" t="s">
        <v>493</v>
      </c>
      <c r="G289" t="s">
        <v>52</v>
      </c>
      <c r="H289">
        <v>40</v>
      </c>
      <c r="I289">
        <v>0.76400000000000001</v>
      </c>
      <c r="J289">
        <v>0.82799999999999996</v>
      </c>
      <c r="K289">
        <v>6.4000000000000001E-2</v>
      </c>
      <c r="L289">
        <v>20</v>
      </c>
      <c r="M289">
        <v>9</v>
      </c>
      <c r="N289">
        <v>11</v>
      </c>
      <c r="O289">
        <v>0.85</v>
      </c>
      <c r="P289">
        <v>5.6901869000000001E-2</v>
      </c>
      <c r="Q289">
        <v>0.21099999999999999</v>
      </c>
    </row>
    <row r="290" spans="1:17" s="30" customFormat="1" x14ac:dyDescent="0.2">
      <c r="A290" s="30" t="str">
        <f>IF(C290&amp;G290&amp;D290&lt;&gt;'Funnel setup'!$K$3&amp;'Funnel setup'!$K$4&amp;'Funnel setup'!$K$5,".",IF(A289=".",1,A289+1))</f>
        <v>.</v>
      </c>
      <c r="B290" s="431" t="str">
        <f t="shared" si="4"/>
        <v>Groin HerniaCCG of GP PracticeNHS HARTLEPOOL AND STOCKTON-ON-TEES CCG (00K)EQ-5D Index</v>
      </c>
      <c r="C290" t="s">
        <v>50</v>
      </c>
      <c r="D290" t="s">
        <v>87</v>
      </c>
      <c r="E290" t="s">
        <v>495</v>
      </c>
      <c r="F290" t="s">
        <v>496</v>
      </c>
      <c r="G290" t="s">
        <v>52</v>
      </c>
      <c r="H290">
        <v>174</v>
      </c>
      <c r="I290">
        <v>0.79500000000000004</v>
      </c>
      <c r="J290">
        <v>0.86499999999999999</v>
      </c>
      <c r="K290">
        <v>6.9000000000000006E-2</v>
      </c>
      <c r="L290">
        <v>80</v>
      </c>
      <c r="M290">
        <v>58</v>
      </c>
      <c r="N290">
        <v>36</v>
      </c>
      <c r="O290">
        <v>0.86599999999999999</v>
      </c>
      <c r="P290">
        <v>7.2230820000000001E-2</v>
      </c>
      <c r="Q290">
        <v>0.154</v>
      </c>
    </row>
    <row r="291" spans="1:17" s="30" customFormat="1" x14ac:dyDescent="0.2">
      <c r="A291" s="30" t="str">
        <f>IF(C291&amp;G291&amp;D291&lt;&gt;'Funnel setup'!$K$3&amp;'Funnel setup'!$K$4&amp;'Funnel setup'!$K$5,".",IF(A290=".",1,A290+1))</f>
        <v>.</v>
      </c>
      <c r="B291" s="431" t="str">
        <f t="shared" si="4"/>
        <v>Groin HerniaCCG of GP PracticeNHS HASTINGS AND ROTHER CCG (09P)EQ-5D Index</v>
      </c>
      <c r="C291" t="s">
        <v>50</v>
      </c>
      <c r="D291" t="s">
        <v>87</v>
      </c>
      <c r="E291" t="s">
        <v>498</v>
      </c>
      <c r="F291" t="s">
        <v>499</v>
      </c>
      <c r="G291" t="s">
        <v>52</v>
      </c>
      <c r="H291">
        <v>87</v>
      </c>
      <c r="I291">
        <v>0.77</v>
      </c>
      <c r="J291">
        <v>0.88400000000000001</v>
      </c>
      <c r="K291">
        <v>0.114</v>
      </c>
      <c r="L291">
        <v>52</v>
      </c>
      <c r="M291">
        <v>22</v>
      </c>
      <c r="N291">
        <v>13</v>
      </c>
      <c r="O291">
        <v>0.88600000000000001</v>
      </c>
      <c r="P291">
        <v>9.2344197000000003E-2</v>
      </c>
      <c r="Q291">
        <v>0.14599999999999999</v>
      </c>
    </row>
    <row r="292" spans="1:17" s="30" customFormat="1" x14ac:dyDescent="0.2">
      <c r="A292" s="30" t="str">
        <f>IF(C292&amp;G292&amp;D292&lt;&gt;'Funnel setup'!$K$3&amp;'Funnel setup'!$K$4&amp;'Funnel setup'!$K$5,".",IF(A291=".",1,A291+1))</f>
        <v>.</v>
      </c>
      <c r="B292" s="431" t="str">
        <f t="shared" si="4"/>
        <v>Groin HerniaCCG of GP PracticeNHS HAVERING CCG (08F)EQ-5D Index</v>
      </c>
      <c r="C292" t="s">
        <v>50</v>
      </c>
      <c r="D292" t="s">
        <v>87</v>
      </c>
      <c r="E292" t="s">
        <v>501</v>
      </c>
      <c r="F292" t="s">
        <v>502</v>
      </c>
      <c r="G292" t="s">
        <v>52</v>
      </c>
      <c r="H292">
        <v>71</v>
      </c>
      <c r="I292">
        <v>0.78500000000000003</v>
      </c>
      <c r="J292">
        <v>0.86199999999999999</v>
      </c>
      <c r="K292">
        <v>7.6999999999999999E-2</v>
      </c>
      <c r="L292">
        <v>39</v>
      </c>
      <c r="M292">
        <v>20</v>
      </c>
      <c r="N292">
        <v>12</v>
      </c>
      <c r="O292">
        <v>0.86899999999999999</v>
      </c>
      <c r="P292">
        <v>7.5948222999999995E-2</v>
      </c>
      <c r="Q292">
        <v>0.14499999999999999</v>
      </c>
    </row>
    <row r="293" spans="1:17" s="30" customFormat="1" x14ac:dyDescent="0.2">
      <c r="A293" s="30" t="str">
        <f>IF(C293&amp;G293&amp;D293&lt;&gt;'Funnel setup'!$K$3&amp;'Funnel setup'!$K$4&amp;'Funnel setup'!$K$5,".",IF(A292=".",1,A292+1))</f>
        <v>.</v>
      </c>
      <c r="B293" s="431" t="str">
        <f t="shared" si="4"/>
        <v>Groin HerniaCCG of GP PracticeNHS HEREFORDSHIRE CCG (05F)EQ-5D Index</v>
      </c>
      <c r="C293" t="s">
        <v>50</v>
      </c>
      <c r="D293" t="s">
        <v>87</v>
      </c>
      <c r="E293" t="s">
        <v>504</v>
      </c>
      <c r="F293" t="s">
        <v>505</v>
      </c>
      <c r="G293" t="s">
        <v>52</v>
      </c>
      <c r="H293">
        <v>143</v>
      </c>
      <c r="I293">
        <v>0.77300000000000002</v>
      </c>
      <c r="J293">
        <v>0.89900000000000002</v>
      </c>
      <c r="K293">
        <v>0.126</v>
      </c>
      <c r="L293">
        <v>85</v>
      </c>
      <c r="M293">
        <v>36</v>
      </c>
      <c r="N293">
        <v>22</v>
      </c>
      <c r="O293">
        <v>0.89400000000000002</v>
      </c>
      <c r="P293">
        <v>0.10037626600000001</v>
      </c>
      <c r="Q293">
        <v>0.156</v>
      </c>
    </row>
    <row r="294" spans="1:17" s="30" customFormat="1" x14ac:dyDescent="0.2">
      <c r="A294" s="30" t="str">
        <f>IF(C294&amp;G294&amp;D294&lt;&gt;'Funnel setup'!$K$3&amp;'Funnel setup'!$K$4&amp;'Funnel setup'!$K$5,".",IF(A293=".",1,A293+1))</f>
        <v>.</v>
      </c>
      <c r="B294" s="431" t="str">
        <f t="shared" si="4"/>
        <v>Groin HerniaCCG of GP PracticeNHS HERTS VALLEYS CCG (06N)EQ-5D Index</v>
      </c>
      <c r="C294" t="s">
        <v>50</v>
      </c>
      <c r="D294" t="s">
        <v>87</v>
      </c>
      <c r="E294" t="s">
        <v>507</v>
      </c>
      <c r="F294" t="s">
        <v>508</v>
      </c>
      <c r="G294" t="s">
        <v>52</v>
      </c>
      <c r="H294">
        <v>255</v>
      </c>
      <c r="I294">
        <v>0.79700000000000004</v>
      </c>
      <c r="J294">
        <v>0.88500000000000001</v>
      </c>
      <c r="K294">
        <v>8.7999999999999995E-2</v>
      </c>
      <c r="L294">
        <v>135</v>
      </c>
      <c r="M294">
        <v>80</v>
      </c>
      <c r="N294">
        <v>40</v>
      </c>
      <c r="O294">
        <v>0.873</v>
      </c>
      <c r="P294">
        <v>7.9982573000000001E-2</v>
      </c>
      <c r="Q294">
        <v>0.14799999999999999</v>
      </c>
    </row>
    <row r="295" spans="1:17" s="30" customFormat="1" x14ac:dyDescent="0.2">
      <c r="A295" s="30" t="str">
        <f>IF(C295&amp;G295&amp;D295&lt;&gt;'Funnel setup'!$K$3&amp;'Funnel setup'!$K$4&amp;'Funnel setup'!$K$5,".",IF(A294=".",1,A294+1))</f>
        <v>.</v>
      </c>
      <c r="B295" s="431" t="str">
        <f t="shared" si="4"/>
        <v>Groin HerniaCCG of GP PracticeNHS HEYWOOD, MIDDLETON AND ROCHDALE CCG (01D)EQ-5D Index</v>
      </c>
      <c r="C295" t="s">
        <v>50</v>
      </c>
      <c r="D295" t="s">
        <v>87</v>
      </c>
      <c r="E295" t="s">
        <v>510</v>
      </c>
      <c r="F295" t="s">
        <v>511</v>
      </c>
      <c r="G295" t="s">
        <v>52</v>
      </c>
      <c r="H295">
        <v>34</v>
      </c>
      <c r="I295">
        <v>0.73499999999999999</v>
      </c>
      <c r="J295">
        <v>0.84599999999999997</v>
      </c>
      <c r="K295">
        <v>0.111</v>
      </c>
      <c r="L295">
        <v>19</v>
      </c>
      <c r="M295">
        <v>9</v>
      </c>
      <c r="N295">
        <v>6</v>
      </c>
      <c r="O295">
        <v>0.874</v>
      </c>
      <c r="P295">
        <v>8.0858736E-2</v>
      </c>
      <c r="Q295">
        <v>0.13</v>
      </c>
    </row>
    <row r="296" spans="1:17" s="30" customFormat="1" x14ac:dyDescent="0.2">
      <c r="A296" s="30" t="str">
        <f>IF(C296&amp;G296&amp;D296&lt;&gt;'Funnel setup'!$K$3&amp;'Funnel setup'!$K$4&amp;'Funnel setup'!$K$5,".",IF(A295=".",1,A295+1))</f>
        <v>.</v>
      </c>
      <c r="B296" s="431" t="str">
        <f t="shared" si="4"/>
        <v>Groin HerniaCCG of GP PracticeNHS HIGH WEALD LEWES HAVENS CCG (99K)EQ-5D Index</v>
      </c>
      <c r="C296" t="s">
        <v>50</v>
      </c>
      <c r="D296" t="s">
        <v>87</v>
      </c>
      <c r="E296" t="s">
        <v>513</v>
      </c>
      <c r="F296" t="s">
        <v>514</v>
      </c>
      <c r="G296" t="s">
        <v>52</v>
      </c>
      <c r="H296">
        <v>78</v>
      </c>
      <c r="I296">
        <v>0.78900000000000003</v>
      </c>
      <c r="J296">
        <v>0.89500000000000002</v>
      </c>
      <c r="K296">
        <v>0.106</v>
      </c>
      <c r="L296">
        <v>39</v>
      </c>
      <c r="M296">
        <v>27</v>
      </c>
      <c r="N296">
        <v>12</v>
      </c>
      <c r="O296">
        <v>0.89</v>
      </c>
      <c r="P296">
        <v>9.7014649999999994E-2</v>
      </c>
      <c r="Q296">
        <v>0.154</v>
      </c>
    </row>
    <row r="297" spans="1:17" s="30" customFormat="1" x14ac:dyDescent="0.2">
      <c r="A297" s="30" t="str">
        <f>IF(C297&amp;G297&amp;D297&lt;&gt;'Funnel setup'!$K$3&amp;'Funnel setup'!$K$4&amp;'Funnel setup'!$K$5,".",IF(A296=".",1,A296+1))</f>
        <v>.</v>
      </c>
      <c r="B297" s="431" t="str">
        <f t="shared" si="4"/>
        <v>Groin HerniaCCG of GP PracticeNHS HILLINGDON CCG (08G)EQ-5D Index</v>
      </c>
      <c r="C297" t="s">
        <v>50</v>
      </c>
      <c r="D297" t="s">
        <v>87</v>
      </c>
      <c r="E297" t="s">
        <v>516</v>
      </c>
      <c r="F297" t="s">
        <v>517</v>
      </c>
      <c r="G297" t="s">
        <v>52</v>
      </c>
      <c r="H297">
        <v>49</v>
      </c>
      <c r="I297">
        <v>0.81200000000000006</v>
      </c>
      <c r="J297">
        <v>0.876</v>
      </c>
      <c r="K297">
        <v>6.4000000000000001E-2</v>
      </c>
      <c r="L297">
        <v>26</v>
      </c>
      <c r="M297">
        <v>14</v>
      </c>
      <c r="N297">
        <v>9</v>
      </c>
      <c r="O297">
        <v>0.873</v>
      </c>
      <c r="P297">
        <v>7.9605403000000005E-2</v>
      </c>
      <c r="Q297">
        <v>0.156</v>
      </c>
    </row>
    <row r="298" spans="1:17" s="30" customFormat="1" x14ac:dyDescent="0.2">
      <c r="A298" s="30" t="str">
        <f>IF(C298&amp;G298&amp;D298&lt;&gt;'Funnel setup'!$K$3&amp;'Funnel setup'!$K$4&amp;'Funnel setup'!$K$5,".",IF(A297=".",1,A297+1))</f>
        <v>.</v>
      </c>
      <c r="B298" s="431" t="str">
        <f t="shared" si="4"/>
        <v>Groin HerniaCCG of GP PracticeNHS HORSHAM AND MID SUSSEX CCG (09X)EQ-5D Index</v>
      </c>
      <c r="C298" t="s">
        <v>50</v>
      </c>
      <c r="D298" t="s">
        <v>87</v>
      </c>
      <c r="E298" t="s">
        <v>519</v>
      </c>
      <c r="F298" t="s">
        <v>520</v>
      </c>
      <c r="G298" t="s">
        <v>52</v>
      </c>
      <c r="H298">
        <v>140</v>
      </c>
      <c r="I298">
        <v>0.83699999999999997</v>
      </c>
      <c r="J298">
        <v>0.90900000000000003</v>
      </c>
      <c r="K298">
        <v>7.1999999999999995E-2</v>
      </c>
      <c r="L298">
        <v>62</v>
      </c>
      <c r="M298">
        <v>57</v>
      </c>
      <c r="N298">
        <v>21</v>
      </c>
      <c r="O298">
        <v>0.88300000000000001</v>
      </c>
      <c r="P298">
        <v>9.0121145999999999E-2</v>
      </c>
      <c r="Q298">
        <v>0.15</v>
      </c>
    </row>
    <row r="299" spans="1:17" s="30" customFormat="1" x14ac:dyDescent="0.2">
      <c r="A299" s="30" t="str">
        <f>IF(C299&amp;G299&amp;D299&lt;&gt;'Funnel setup'!$K$3&amp;'Funnel setup'!$K$4&amp;'Funnel setup'!$K$5,".",IF(A298=".",1,A298+1))</f>
        <v>.</v>
      </c>
      <c r="B299" s="431" t="str">
        <f t="shared" si="4"/>
        <v>Groin HerniaCCG of GP PracticeNHS HOUNSLOW CCG (07Y)EQ-5D Index</v>
      </c>
      <c r="C299" t="s">
        <v>50</v>
      </c>
      <c r="D299" t="s">
        <v>87</v>
      </c>
      <c r="E299" t="s">
        <v>522</v>
      </c>
      <c r="F299" t="s">
        <v>523</v>
      </c>
      <c r="G299" t="s">
        <v>52</v>
      </c>
      <c r="H299">
        <v>8</v>
      </c>
      <c r="I299">
        <v>0.91500000000000004</v>
      </c>
      <c r="J299">
        <v>0.75</v>
      </c>
      <c r="K299">
        <v>-0.16500000000000001</v>
      </c>
      <c r="L299">
        <v>0</v>
      </c>
      <c r="M299">
        <v>4</v>
      </c>
      <c r="N299">
        <v>4</v>
      </c>
      <c r="O299" t="s">
        <v>53</v>
      </c>
      <c r="P299" t="s">
        <v>53</v>
      </c>
      <c r="Q299" t="s">
        <v>53</v>
      </c>
    </row>
    <row r="300" spans="1:17" s="30" customFormat="1" x14ac:dyDescent="0.2">
      <c r="A300" s="30" t="str">
        <f>IF(C300&amp;G300&amp;D300&lt;&gt;'Funnel setup'!$K$3&amp;'Funnel setup'!$K$4&amp;'Funnel setup'!$K$5,".",IF(A299=".",1,A299+1))</f>
        <v>.</v>
      </c>
      <c r="B300" s="431" t="str">
        <f t="shared" si="4"/>
        <v>Groin HerniaCCG of GP PracticeNHS HULL CCG (03F)EQ-5D Index</v>
      </c>
      <c r="C300" t="s">
        <v>50</v>
      </c>
      <c r="D300" t="s">
        <v>87</v>
      </c>
      <c r="E300" t="s">
        <v>525</v>
      </c>
      <c r="F300" t="s">
        <v>526</v>
      </c>
      <c r="G300" t="s">
        <v>52</v>
      </c>
      <c r="H300">
        <v>194</v>
      </c>
      <c r="I300">
        <v>0.77600000000000002</v>
      </c>
      <c r="J300">
        <v>0.88600000000000001</v>
      </c>
      <c r="K300">
        <v>0.109</v>
      </c>
      <c r="L300">
        <v>100</v>
      </c>
      <c r="M300">
        <v>69</v>
      </c>
      <c r="N300">
        <v>25</v>
      </c>
      <c r="O300">
        <v>0.90300000000000002</v>
      </c>
      <c r="P300">
        <v>0.109213222</v>
      </c>
      <c r="Q300">
        <v>0.158</v>
      </c>
    </row>
    <row r="301" spans="1:17" s="30" customFormat="1" x14ac:dyDescent="0.2">
      <c r="A301" s="30" t="str">
        <f>IF(C301&amp;G301&amp;D301&lt;&gt;'Funnel setup'!$K$3&amp;'Funnel setup'!$K$4&amp;'Funnel setup'!$K$5,".",IF(A300=".",1,A300+1))</f>
        <v>.</v>
      </c>
      <c r="B301" s="431" t="str">
        <f t="shared" si="4"/>
        <v>Groin HerniaCCG of GP PracticeNHS IPSWICH AND EAST SUFFOLK CCG (06L)EQ-5D Index</v>
      </c>
      <c r="C301" t="s">
        <v>50</v>
      </c>
      <c r="D301" t="s">
        <v>87</v>
      </c>
      <c r="E301" t="s">
        <v>528</v>
      </c>
      <c r="F301" t="s">
        <v>529</v>
      </c>
      <c r="G301" t="s">
        <v>52</v>
      </c>
      <c r="H301">
        <v>232</v>
      </c>
      <c r="I301">
        <v>0.77200000000000002</v>
      </c>
      <c r="J301">
        <v>0.87</v>
      </c>
      <c r="K301">
        <v>9.9000000000000005E-2</v>
      </c>
      <c r="L301">
        <v>137</v>
      </c>
      <c r="M301">
        <v>63</v>
      </c>
      <c r="N301">
        <v>32</v>
      </c>
      <c r="O301">
        <v>0.874</v>
      </c>
      <c r="P301">
        <v>8.0717624000000002E-2</v>
      </c>
      <c r="Q301">
        <v>0.20699999999999999</v>
      </c>
    </row>
    <row r="302" spans="1:17" s="30" customFormat="1" x14ac:dyDescent="0.2">
      <c r="A302" s="30" t="str">
        <f>IF(C302&amp;G302&amp;D302&lt;&gt;'Funnel setup'!$K$3&amp;'Funnel setup'!$K$4&amp;'Funnel setup'!$K$5,".",IF(A301=".",1,A301+1))</f>
        <v>.</v>
      </c>
      <c r="B302" s="431" t="str">
        <f t="shared" si="4"/>
        <v>Groin HerniaCCG of GP PracticeNHS ISLE OF WIGHT CCG (10L)EQ-5D Index</v>
      </c>
      <c r="C302" t="s">
        <v>50</v>
      </c>
      <c r="D302" t="s">
        <v>87</v>
      </c>
      <c r="E302" t="s">
        <v>531</v>
      </c>
      <c r="F302" t="s">
        <v>532</v>
      </c>
      <c r="G302" t="s">
        <v>52</v>
      </c>
      <c r="H302">
        <v>49</v>
      </c>
      <c r="I302">
        <v>0.79700000000000004</v>
      </c>
      <c r="J302">
        <v>0.90500000000000003</v>
      </c>
      <c r="K302">
        <v>0.108</v>
      </c>
      <c r="L302">
        <v>29</v>
      </c>
      <c r="M302">
        <v>14</v>
      </c>
      <c r="N302">
        <v>6</v>
      </c>
      <c r="O302">
        <v>0.91300000000000003</v>
      </c>
      <c r="P302">
        <v>0.120057945</v>
      </c>
      <c r="Q302">
        <v>0.113</v>
      </c>
    </row>
    <row r="303" spans="1:17" s="30" customFormat="1" x14ac:dyDescent="0.2">
      <c r="A303" s="30" t="str">
        <f>IF(C303&amp;G303&amp;D303&lt;&gt;'Funnel setup'!$K$3&amp;'Funnel setup'!$K$4&amp;'Funnel setup'!$K$5,".",IF(A302=".",1,A302+1))</f>
        <v>.</v>
      </c>
      <c r="B303" s="431" t="str">
        <f t="shared" si="4"/>
        <v>Groin HerniaCCG of GP PracticeNHS ISLINGTON CCG (08H)EQ-5D Index</v>
      </c>
      <c r="C303" t="s">
        <v>50</v>
      </c>
      <c r="D303" t="s">
        <v>87</v>
      </c>
      <c r="E303" t="s">
        <v>534</v>
      </c>
      <c r="F303" t="s">
        <v>535</v>
      </c>
      <c r="G303" t="s">
        <v>52</v>
      </c>
      <c r="H303">
        <v>12</v>
      </c>
      <c r="I303">
        <v>0.7</v>
      </c>
      <c r="J303">
        <v>0.745</v>
      </c>
      <c r="K303">
        <v>4.4999999999999998E-2</v>
      </c>
      <c r="L303">
        <v>6</v>
      </c>
      <c r="M303">
        <v>1</v>
      </c>
      <c r="N303">
        <v>5</v>
      </c>
      <c r="O303" t="s">
        <v>53</v>
      </c>
      <c r="P303" t="s">
        <v>53</v>
      </c>
      <c r="Q303" t="s">
        <v>53</v>
      </c>
    </row>
    <row r="304" spans="1:17" s="30" customFormat="1" x14ac:dyDescent="0.2">
      <c r="A304" s="30" t="str">
        <f>IF(C304&amp;G304&amp;D304&lt;&gt;'Funnel setup'!$K$3&amp;'Funnel setup'!$K$4&amp;'Funnel setup'!$K$5,".",IF(A303=".",1,A303+1))</f>
        <v>.</v>
      </c>
      <c r="B304" s="431" t="str">
        <f t="shared" si="4"/>
        <v>Groin HerniaCCG of GP PracticeNHS KERNOW CCG (11N)EQ-5D Index</v>
      </c>
      <c r="C304" t="s">
        <v>50</v>
      </c>
      <c r="D304" t="s">
        <v>87</v>
      </c>
      <c r="E304" t="s">
        <v>537</v>
      </c>
      <c r="F304" t="s">
        <v>538</v>
      </c>
      <c r="G304" t="s">
        <v>52</v>
      </c>
      <c r="H304">
        <v>217</v>
      </c>
      <c r="I304">
        <v>0.80800000000000005</v>
      </c>
      <c r="J304">
        <v>0.91400000000000003</v>
      </c>
      <c r="K304">
        <v>0.106</v>
      </c>
      <c r="L304">
        <v>122</v>
      </c>
      <c r="M304">
        <v>69</v>
      </c>
      <c r="N304">
        <v>26</v>
      </c>
      <c r="O304">
        <v>0.90500000000000003</v>
      </c>
      <c r="P304">
        <v>0.111949332</v>
      </c>
      <c r="Q304">
        <v>0.121</v>
      </c>
    </row>
    <row r="305" spans="1:17" s="30" customFormat="1" x14ac:dyDescent="0.2">
      <c r="A305" s="30" t="str">
        <f>IF(C305&amp;G305&amp;D305&lt;&gt;'Funnel setup'!$K$3&amp;'Funnel setup'!$K$4&amp;'Funnel setup'!$K$5,".",IF(A304=".",1,A304+1))</f>
        <v>.</v>
      </c>
      <c r="B305" s="431" t="str">
        <f t="shared" si="4"/>
        <v>Groin HerniaCCG of GP PracticeNHS KINGSTON CCG (08J)EQ-5D Index</v>
      </c>
      <c r="C305" t="s">
        <v>50</v>
      </c>
      <c r="D305" t="s">
        <v>87</v>
      </c>
      <c r="E305" t="s">
        <v>540</v>
      </c>
      <c r="F305" t="s">
        <v>541</v>
      </c>
      <c r="G305" t="s">
        <v>52</v>
      </c>
      <c r="H305" t="s">
        <v>53</v>
      </c>
      <c r="I305" t="s">
        <v>53</v>
      </c>
      <c r="J305" t="s">
        <v>53</v>
      </c>
      <c r="K305" t="s">
        <v>53</v>
      </c>
      <c r="L305" t="s">
        <v>53</v>
      </c>
      <c r="M305" t="s">
        <v>53</v>
      </c>
      <c r="N305" t="s">
        <v>53</v>
      </c>
      <c r="O305" t="s">
        <v>53</v>
      </c>
      <c r="P305" t="s">
        <v>53</v>
      </c>
      <c r="Q305" t="s">
        <v>53</v>
      </c>
    </row>
    <row r="306" spans="1:17" s="30" customFormat="1" x14ac:dyDescent="0.2">
      <c r="A306" s="30" t="str">
        <f>IF(C306&amp;G306&amp;D306&lt;&gt;'Funnel setup'!$K$3&amp;'Funnel setup'!$K$4&amp;'Funnel setup'!$K$5,".",IF(A305=".",1,A305+1))</f>
        <v>.</v>
      </c>
      <c r="B306" s="431" t="str">
        <f t="shared" si="4"/>
        <v>Groin HerniaCCG of GP PracticeNHS KNOWSLEY CCG (01J)EQ-5D Index</v>
      </c>
      <c r="C306" t="s">
        <v>50</v>
      </c>
      <c r="D306" t="s">
        <v>87</v>
      </c>
      <c r="E306" t="s">
        <v>543</v>
      </c>
      <c r="F306" t="s">
        <v>544</v>
      </c>
      <c r="G306" t="s">
        <v>52</v>
      </c>
      <c r="H306">
        <v>38</v>
      </c>
      <c r="I306">
        <v>0.76700000000000002</v>
      </c>
      <c r="J306">
        <v>0.83899999999999997</v>
      </c>
      <c r="K306">
        <v>7.1999999999999995E-2</v>
      </c>
      <c r="L306">
        <v>18</v>
      </c>
      <c r="M306">
        <v>14</v>
      </c>
      <c r="N306">
        <v>6</v>
      </c>
      <c r="O306">
        <v>0.878</v>
      </c>
      <c r="P306">
        <v>8.4739610000000007E-2</v>
      </c>
      <c r="Q306">
        <v>0.21</v>
      </c>
    </row>
    <row r="307" spans="1:17" s="30" customFormat="1" x14ac:dyDescent="0.2">
      <c r="A307" s="30" t="str">
        <f>IF(C307&amp;G307&amp;D307&lt;&gt;'Funnel setup'!$K$3&amp;'Funnel setup'!$K$4&amp;'Funnel setup'!$K$5,".",IF(A306=".",1,A306+1))</f>
        <v>.</v>
      </c>
      <c r="B307" s="431" t="str">
        <f t="shared" si="4"/>
        <v>Groin HerniaCCG of GP PracticeNHS LAMBETH CCG (08K)EQ-5D Index</v>
      </c>
      <c r="C307" t="s">
        <v>50</v>
      </c>
      <c r="D307" t="s">
        <v>87</v>
      </c>
      <c r="E307" t="s">
        <v>546</v>
      </c>
      <c r="F307" t="s">
        <v>547</v>
      </c>
      <c r="G307" t="s">
        <v>52</v>
      </c>
      <c r="H307">
        <v>7</v>
      </c>
      <c r="I307">
        <v>0.78300000000000003</v>
      </c>
      <c r="J307">
        <v>0.77300000000000002</v>
      </c>
      <c r="K307">
        <v>-0.01</v>
      </c>
      <c r="L307">
        <v>3</v>
      </c>
      <c r="M307">
        <v>2</v>
      </c>
      <c r="N307">
        <v>2</v>
      </c>
      <c r="O307" t="s">
        <v>53</v>
      </c>
      <c r="P307" t="s">
        <v>53</v>
      </c>
      <c r="Q307" t="s">
        <v>53</v>
      </c>
    </row>
    <row r="308" spans="1:17" s="30" customFormat="1" x14ac:dyDescent="0.2">
      <c r="A308" s="30" t="str">
        <f>IF(C308&amp;G308&amp;D308&lt;&gt;'Funnel setup'!$K$3&amp;'Funnel setup'!$K$4&amp;'Funnel setup'!$K$5,".",IF(A307=".",1,A307+1))</f>
        <v>.</v>
      </c>
      <c r="B308" s="431" t="str">
        <f t="shared" si="4"/>
        <v>Groin HerniaCCG of GP PracticeNHS LANCASHIRE NORTH CCG (01K)EQ-5D Index</v>
      </c>
      <c r="C308" t="s">
        <v>50</v>
      </c>
      <c r="D308" t="s">
        <v>87</v>
      </c>
      <c r="E308" t="s">
        <v>549</v>
      </c>
      <c r="F308" t="s">
        <v>550</v>
      </c>
      <c r="G308" t="s">
        <v>52</v>
      </c>
      <c r="H308">
        <v>75</v>
      </c>
      <c r="I308">
        <v>0.78500000000000003</v>
      </c>
      <c r="J308">
        <v>0.86299999999999999</v>
      </c>
      <c r="K308">
        <v>7.8E-2</v>
      </c>
      <c r="L308">
        <v>41</v>
      </c>
      <c r="M308">
        <v>20</v>
      </c>
      <c r="N308">
        <v>14</v>
      </c>
      <c r="O308">
        <v>0.85799999999999998</v>
      </c>
      <c r="P308">
        <v>6.4989353E-2</v>
      </c>
      <c r="Q308">
        <v>0.17399999999999999</v>
      </c>
    </row>
    <row r="309" spans="1:17" s="30" customFormat="1" x14ac:dyDescent="0.2">
      <c r="A309" s="30" t="str">
        <f>IF(C309&amp;G309&amp;D309&lt;&gt;'Funnel setup'!$K$3&amp;'Funnel setup'!$K$4&amp;'Funnel setup'!$K$5,".",IF(A308=".",1,A308+1))</f>
        <v>.</v>
      </c>
      <c r="B309" s="431" t="str">
        <f t="shared" si="4"/>
        <v>Groin HerniaCCG of GP PracticeNHS LEEDS NORTH CCG (02V)EQ-5D Index</v>
      </c>
      <c r="C309" t="s">
        <v>50</v>
      </c>
      <c r="D309" t="s">
        <v>87</v>
      </c>
      <c r="E309" t="s">
        <v>552</v>
      </c>
      <c r="F309" t="s">
        <v>337</v>
      </c>
      <c r="G309" t="s">
        <v>52</v>
      </c>
      <c r="H309">
        <v>111</v>
      </c>
      <c r="I309">
        <v>0.85099999999999998</v>
      </c>
      <c r="J309">
        <v>0.91</v>
      </c>
      <c r="K309">
        <v>5.8999999999999997E-2</v>
      </c>
      <c r="L309">
        <v>45</v>
      </c>
      <c r="M309">
        <v>51</v>
      </c>
      <c r="N309">
        <v>15</v>
      </c>
      <c r="O309">
        <v>0.89200000000000002</v>
      </c>
      <c r="P309">
        <v>9.8985877999999999E-2</v>
      </c>
      <c r="Q309">
        <v>0.10299999999999999</v>
      </c>
    </row>
    <row r="310" spans="1:17" s="30" customFormat="1" x14ac:dyDescent="0.2">
      <c r="A310" s="30" t="str">
        <f>IF(C310&amp;G310&amp;D310&lt;&gt;'Funnel setup'!$K$3&amp;'Funnel setup'!$K$4&amp;'Funnel setup'!$K$5,".",IF(A309=".",1,A309+1))</f>
        <v>.</v>
      </c>
      <c r="B310" s="431" t="str">
        <f t="shared" si="4"/>
        <v>Groin HerniaCCG of GP PracticeNHS LEEDS SOUTH AND EAST CCG (03G)EQ-5D Index</v>
      </c>
      <c r="C310" t="s">
        <v>50</v>
      </c>
      <c r="D310" t="s">
        <v>87</v>
      </c>
      <c r="E310" t="s">
        <v>396</v>
      </c>
      <c r="F310" t="s">
        <v>397</v>
      </c>
      <c r="G310" t="s">
        <v>52</v>
      </c>
      <c r="H310">
        <v>75</v>
      </c>
      <c r="I310">
        <v>0.80600000000000005</v>
      </c>
      <c r="J310">
        <v>0.89500000000000002</v>
      </c>
      <c r="K310">
        <v>8.8999999999999996E-2</v>
      </c>
      <c r="L310">
        <v>40</v>
      </c>
      <c r="M310">
        <v>21</v>
      </c>
      <c r="N310">
        <v>14</v>
      </c>
      <c r="O310">
        <v>0.88900000000000001</v>
      </c>
      <c r="P310">
        <v>9.5881170000000002E-2</v>
      </c>
      <c r="Q310">
        <v>0.11899999999999999</v>
      </c>
    </row>
    <row r="311" spans="1:17" s="30" customFormat="1" x14ac:dyDescent="0.2">
      <c r="A311" s="30" t="str">
        <f>IF(C311&amp;G311&amp;D311&lt;&gt;'Funnel setup'!$K$3&amp;'Funnel setup'!$K$4&amp;'Funnel setup'!$K$5,".",IF(A310=".",1,A310+1))</f>
        <v>.</v>
      </c>
      <c r="B311" s="431" t="str">
        <f t="shared" si="4"/>
        <v>Groin HerniaCCG of GP PracticeNHS LEEDS WEST CCG (03C)EQ-5D Index</v>
      </c>
      <c r="C311" t="s">
        <v>50</v>
      </c>
      <c r="D311" t="s">
        <v>87</v>
      </c>
      <c r="E311" t="s">
        <v>399</v>
      </c>
      <c r="F311" t="s">
        <v>400</v>
      </c>
      <c r="G311" t="s">
        <v>52</v>
      </c>
      <c r="H311">
        <v>113</v>
      </c>
      <c r="I311">
        <v>0.79100000000000004</v>
      </c>
      <c r="J311">
        <v>0.89700000000000002</v>
      </c>
      <c r="K311">
        <v>0.106</v>
      </c>
      <c r="L311">
        <v>62</v>
      </c>
      <c r="M311">
        <v>34</v>
      </c>
      <c r="N311">
        <v>17</v>
      </c>
      <c r="O311">
        <v>0.89100000000000001</v>
      </c>
      <c r="P311">
        <v>9.7530466999999996E-2</v>
      </c>
      <c r="Q311">
        <v>0.126</v>
      </c>
    </row>
    <row r="312" spans="1:17" s="30" customFormat="1" x14ac:dyDescent="0.2">
      <c r="A312" s="30" t="str">
        <f>IF(C312&amp;G312&amp;D312&lt;&gt;'Funnel setup'!$K$3&amp;'Funnel setup'!$K$4&amp;'Funnel setup'!$K$5,".",IF(A311=".",1,A311+1))</f>
        <v>.</v>
      </c>
      <c r="B312" s="431" t="str">
        <f t="shared" si="4"/>
        <v>Groin HerniaCCG of GP PracticeNHS LEICESTER CITY CCG (04C)EQ-5D Index</v>
      </c>
      <c r="C312" t="s">
        <v>50</v>
      </c>
      <c r="D312" t="s">
        <v>87</v>
      </c>
      <c r="E312" t="s">
        <v>554</v>
      </c>
      <c r="F312" t="s">
        <v>555</v>
      </c>
      <c r="G312" t="s">
        <v>52</v>
      </c>
      <c r="H312">
        <v>88</v>
      </c>
      <c r="I312">
        <v>0.76800000000000002</v>
      </c>
      <c r="J312">
        <v>0.85299999999999998</v>
      </c>
      <c r="K312">
        <v>8.5000000000000006E-2</v>
      </c>
      <c r="L312">
        <v>43</v>
      </c>
      <c r="M312">
        <v>28</v>
      </c>
      <c r="N312">
        <v>17</v>
      </c>
      <c r="O312">
        <v>0.88500000000000001</v>
      </c>
      <c r="P312">
        <v>9.1212435999999994E-2</v>
      </c>
      <c r="Q312">
        <v>0.152</v>
      </c>
    </row>
    <row r="313" spans="1:17" s="30" customFormat="1" x14ac:dyDescent="0.2">
      <c r="A313" s="30" t="str">
        <f>IF(C313&amp;G313&amp;D313&lt;&gt;'Funnel setup'!$K$3&amp;'Funnel setup'!$K$4&amp;'Funnel setup'!$K$5,".",IF(A312=".",1,A312+1))</f>
        <v>.</v>
      </c>
      <c r="B313" s="431" t="str">
        <f t="shared" si="4"/>
        <v>Groin HerniaCCG of GP PracticeNHS LEWISHAM CCG (08L)EQ-5D Index</v>
      </c>
      <c r="C313" t="s">
        <v>50</v>
      </c>
      <c r="D313" t="s">
        <v>87</v>
      </c>
      <c r="E313" t="s">
        <v>557</v>
      </c>
      <c r="F313" t="s">
        <v>558</v>
      </c>
      <c r="G313" t="s">
        <v>52</v>
      </c>
      <c r="H313">
        <v>29</v>
      </c>
      <c r="I313">
        <v>0.69899999999999995</v>
      </c>
      <c r="J313">
        <v>0.80300000000000005</v>
      </c>
      <c r="K313">
        <v>0.104</v>
      </c>
      <c r="L313">
        <v>14</v>
      </c>
      <c r="M313">
        <v>8</v>
      </c>
      <c r="N313">
        <v>7</v>
      </c>
      <c r="O313" t="s">
        <v>53</v>
      </c>
      <c r="P313" t="s">
        <v>53</v>
      </c>
      <c r="Q313" t="s">
        <v>53</v>
      </c>
    </row>
    <row r="314" spans="1:17" s="30" customFormat="1" x14ac:dyDescent="0.2">
      <c r="A314" s="30" t="str">
        <f>IF(C314&amp;G314&amp;D314&lt;&gt;'Funnel setup'!$K$3&amp;'Funnel setup'!$K$4&amp;'Funnel setup'!$K$5,".",IF(A313=".",1,A313+1))</f>
        <v>.</v>
      </c>
      <c r="B314" s="431" t="str">
        <f t="shared" si="4"/>
        <v>Groin HerniaCCG of GP PracticeNHS LINCOLNSHIRE EAST CCG (03T)EQ-5D Index</v>
      </c>
      <c r="C314" t="s">
        <v>50</v>
      </c>
      <c r="D314" t="s">
        <v>87</v>
      </c>
      <c r="E314" t="s">
        <v>560</v>
      </c>
      <c r="F314" t="s">
        <v>561</v>
      </c>
      <c r="G314" t="s">
        <v>52</v>
      </c>
      <c r="H314">
        <v>123</v>
      </c>
      <c r="I314">
        <v>0.8</v>
      </c>
      <c r="J314">
        <v>0.88800000000000001</v>
      </c>
      <c r="K314">
        <v>8.7999999999999995E-2</v>
      </c>
      <c r="L314">
        <v>66</v>
      </c>
      <c r="M314">
        <v>40</v>
      </c>
      <c r="N314">
        <v>17</v>
      </c>
      <c r="O314">
        <v>0.88700000000000001</v>
      </c>
      <c r="P314">
        <v>9.4052664999999994E-2</v>
      </c>
      <c r="Q314">
        <v>0.16600000000000001</v>
      </c>
    </row>
    <row r="315" spans="1:17" s="30" customFormat="1" x14ac:dyDescent="0.2">
      <c r="A315" s="30" t="str">
        <f>IF(C315&amp;G315&amp;D315&lt;&gt;'Funnel setup'!$K$3&amp;'Funnel setup'!$K$4&amp;'Funnel setup'!$K$5,".",IF(A314=".",1,A314+1))</f>
        <v>.</v>
      </c>
      <c r="B315" s="431" t="str">
        <f t="shared" si="4"/>
        <v>Groin HerniaCCG of GP PracticeNHS LINCOLNSHIRE WEST CCG (04D)EQ-5D Index</v>
      </c>
      <c r="C315" t="s">
        <v>50</v>
      </c>
      <c r="D315" t="s">
        <v>87</v>
      </c>
      <c r="E315" t="s">
        <v>408</v>
      </c>
      <c r="F315" t="s">
        <v>409</v>
      </c>
      <c r="G315" t="s">
        <v>52</v>
      </c>
      <c r="H315">
        <v>55</v>
      </c>
      <c r="I315">
        <v>0.755</v>
      </c>
      <c r="J315">
        <v>0.877</v>
      </c>
      <c r="K315">
        <v>0.122</v>
      </c>
      <c r="L315">
        <v>30</v>
      </c>
      <c r="M315">
        <v>17</v>
      </c>
      <c r="N315">
        <v>8</v>
      </c>
      <c r="O315">
        <v>0.9</v>
      </c>
      <c r="P315">
        <v>0.10686855200000001</v>
      </c>
      <c r="Q315">
        <v>0.14599999999999999</v>
      </c>
    </row>
    <row r="316" spans="1:17" s="30" customFormat="1" x14ac:dyDescent="0.2">
      <c r="A316" s="30" t="str">
        <f>IF(C316&amp;G316&amp;D316&lt;&gt;'Funnel setup'!$K$3&amp;'Funnel setup'!$K$4&amp;'Funnel setup'!$K$5,".",IF(A315=".",1,A315+1))</f>
        <v>.</v>
      </c>
      <c r="B316" s="431" t="str">
        <f t="shared" si="4"/>
        <v>Groin HerniaCCG of GP PracticeNHS LIVERPOOL CCG (99A)EQ-5D Index</v>
      </c>
      <c r="C316" t="s">
        <v>50</v>
      </c>
      <c r="D316" t="s">
        <v>87</v>
      </c>
      <c r="E316" t="s">
        <v>411</v>
      </c>
      <c r="F316" t="s">
        <v>412</v>
      </c>
      <c r="G316" t="s">
        <v>52</v>
      </c>
      <c r="H316">
        <v>108</v>
      </c>
      <c r="I316">
        <v>0.76300000000000001</v>
      </c>
      <c r="J316">
        <v>0.81499999999999995</v>
      </c>
      <c r="K316">
        <v>5.1999999999999998E-2</v>
      </c>
      <c r="L316">
        <v>59</v>
      </c>
      <c r="M316">
        <v>27</v>
      </c>
      <c r="N316">
        <v>22</v>
      </c>
      <c r="O316">
        <v>0.85599999999999998</v>
      </c>
      <c r="P316">
        <v>6.2745582999999994E-2</v>
      </c>
      <c r="Q316">
        <v>0.223</v>
      </c>
    </row>
    <row r="317" spans="1:17" s="30" customFormat="1" x14ac:dyDescent="0.2">
      <c r="A317" s="30" t="str">
        <f>IF(C317&amp;G317&amp;D317&lt;&gt;'Funnel setup'!$K$3&amp;'Funnel setup'!$K$4&amp;'Funnel setup'!$K$5,".",IF(A316=".",1,A316+1))</f>
        <v>.</v>
      </c>
      <c r="B317" s="431" t="str">
        <f t="shared" si="4"/>
        <v>Groin HerniaCCG of GP PracticeNHS LUTON CCG (06P)EQ-5D Index</v>
      </c>
      <c r="C317" t="s">
        <v>50</v>
      </c>
      <c r="D317" t="s">
        <v>87</v>
      </c>
      <c r="E317" t="s">
        <v>414</v>
      </c>
      <c r="F317" t="s">
        <v>415</v>
      </c>
      <c r="G317" t="s">
        <v>52</v>
      </c>
      <c r="H317">
        <v>66</v>
      </c>
      <c r="I317">
        <v>0.755</v>
      </c>
      <c r="J317">
        <v>0.84799999999999998</v>
      </c>
      <c r="K317">
        <v>9.2999999999999999E-2</v>
      </c>
      <c r="L317">
        <v>38</v>
      </c>
      <c r="M317">
        <v>21</v>
      </c>
      <c r="N317">
        <v>7</v>
      </c>
      <c r="O317">
        <v>0.877</v>
      </c>
      <c r="P317">
        <v>8.3975895999999994E-2</v>
      </c>
      <c r="Q317">
        <v>0.16600000000000001</v>
      </c>
    </row>
    <row r="318" spans="1:17" s="30" customFormat="1" x14ac:dyDescent="0.2">
      <c r="A318" s="30" t="str">
        <f>IF(C318&amp;G318&amp;D318&lt;&gt;'Funnel setup'!$K$3&amp;'Funnel setup'!$K$4&amp;'Funnel setup'!$K$5,".",IF(A317=".",1,A317+1))</f>
        <v>.</v>
      </c>
      <c r="B318" s="431" t="str">
        <f t="shared" si="4"/>
        <v>Groin HerniaCCG of GP PracticeNHS MANSFIELD AND ASHFIELD CCG (04E)EQ-5D Index</v>
      </c>
      <c r="C318" t="s">
        <v>50</v>
      </c>
      <c r="D318" t="s">
        <v>87</v>
      </c>
      <c r="E318" t="s">
        <v>417</v>
      </c>
      <c r="F318" t="s">
        <v>418</v>
      </c>
      <c r="G318" t="s">
        <v>52</v>
      </c>
      <c r="H318">
        <v>117</v>
      </c>
      <c r="I318">
        <v>0.77100000000000002</v>
      </c>
      <c r="J318">
        <v>0.85499999999999998</v>
      </c>
      <c r="K318">
        <v>8.3000000000000004E-2</v>
      </c>
      <c r="L318">
        <v>63</v>
      </c>
      <c r="M318">
        <v>26</v>
      </c>
      <c r="N318">
        <v>28</v>
      </c>
      <c r="O318">
        <v>0.876</v>
      </c>
      <c r="P318">
        <v>8.2508083999999995E-2</v>
      </c>
      <c r="Q318">
        <v>0.14599999999999999</v>
      </c>
    </row>
    <row r="319" spans="1:17" s="30" customFormat="1" x14ac:dyDescent="0.2">
      <c r="A319" s="30" t="str">
        <f>IF(C319&amp;G319&amp;D319&lt;&gt;'Funnel setup'!$K$3&amp;'Funnel setup'!$K$4&amp;'Funnel setup'!$K$5,".",IF(A318=".",1,A318+1))</f>
        <v>.</v>
      </c>
      <c r="B319" s="431" t="str">
        <f t="shared" si="4"/>
        <v>Groin HerniaCCG of GP PracticeNHS MEDWAY CCG (09W)EQ-5D Index</v>
      </c>
      <c r="C319" t="s">
        <v>50</v>
      </c>
      <c r="D319" t="s">
        <v>87</v>
      </c>
      <c r="E319" t="s">
        <v>610</v>
      </c>
      <c r="F319" t="s">
        <v>611</v>
      </c>
      <c r="G319" t="s">
        <v>52</v>
      </c>
      <c r="H319">
        <v>83</v>
      </c>
      <c r="I319">
        <v>0.79600000000000004</v>
      </c>
      <c r="J319">
        <v>0.89900000000000002</v>
      </c>
      <c r="K319">
        <v>0.10299999999999999</v>
      </c>
      <c r="L319">
        <v>47</v>
      </c>
      <c r="M319">
        <v>21</v>
      </c>
      <c r="N319">
        <v>15</v>
      </c>
      <c r="O319">
        <v>0.89700000000000002</v>
      </c>
      <c r="P319">
        <v>0.103865898</v>
      </c>
      <c r="Q319">
        <v>0.14599999999999999</v>
      </c>
    </row>
    <row r="320" spans="1:17" s="30" customFormat="1" x14ac:dyDescent="0.2">
      <c r="A320" s="30" t="str">
        <f>IF(C320&amp;G320&amp;D320&lt;&gt;'Funnel setup'!$K$3&amp;'Funnel setup'!$K$4&amp;'Funnel setup'!$K$5,".",IF(A319=".",1,A319+1))</f>
        <v>.</v>
      </c>
      <c r="B320" s="431" t="str">
        <f t="shared" si="4"/>
        <v>Groin HerniaCCG of GP PracticeNHS MERTON CCG (08R)EQ-5D Index</v>
      </c>
      <c r="C320" t="s">
        <v>50</v>
      </c>
      <c r="D320" t="s">
        <v>87</v>
      </c>
      <c r="E320" t="s">
        <v>613</v>
      </c>
      <c r="F320" t="s">
        <v>614</v>
      </c>
      <c r="G320" t="s">
        <v>52</v>
      </c>
      <c r="H320">
        <v>7</v>
      </c>
      <c r="I320">
        <v>0.89800000000000002</v>
      </c>
      <c r="J320">
        <v>0.90300000000000002</v>
      </c>
      <c r="K320">
        <v>5.0000000000000001E-3</v>
      </c>
      <c r="L320">
        <v>2</v>
      </c>
      <c r="M320">
        <v>5</v>
      </c>
      <c r="N320">
        <v>0</v>
      </c>
      <c r="O320" t="s">
        <v>53</v>
      </c>
      <c r="P320" t="s">
        <v>53</v>
      </c>
      <c r="Q320" t="s">
        <v>53</v>
      </c>
    </row>
    <row r="321" spans="1:17" s="30" customFormat="1" x14ac:dyDescent="0.2">
      <c r="A321" s="30" t="str">
        <f>IF(C321&amp;G321&amp;D321&lt;&gt;'Funnel setup'!$K$3&amp;'Funnel setup'!$K$4&amp;'Funnel setup'!$K$5,".",IF(A320=".",1,A320+1))</f>
        <v>.</v>
      </c>
      <c r="B321" s="431" t="str">
        <f t="shared" si="4"/>
        <v>Groin HerniaCCG of GP PracticeNHS MID ESSEX CCG (06Q)EQ-5D Index</v>
      </c>
      <c r="C321" t="s">
        <v>50</v>
      </c>
      <c r="D321" t="s">
        <v>87</v>
      </c>
      <c r="E321" t="s">
        <v>616</v>
      </c>
      <c r="F321" t="s">
        <v>617</v>
      </c>
      <c r="G321" t="s">
        <v>52</v>
      </c>
      <c r="H321">
        <v>152</v>
      </c>
      <c r="I321">
        <v>0.81</v>
      </c>
      <c r="J321">
        <v>0.89500000000000002</v>
      </c>
      <c r="K321">
        <v>8.5000000000000006E-2</v>
      </c>
      <c r="L321">
        <v>78</v>
      </c>
      <c r="M321">
        <v>44</v>
      </c>
      <c r="N321">
        <v>30</v>
      </c>
      <c r="O321">
        <v>0.88600000000000001</v>
      </c>
      <c r="P321">
        <v>9.2330844999999995E-2</v>
      </c>
      <c r="Q321">
        <v>0.14799999999999999</v>
      </c>
    </row>
    <row r="322" spans="1:17" s="30" customFormat="1" x14ac:dyDescent="0.2">
      <c r="A322" s="30" t="str">
        <f>IF(C322&amp;G322&amp;D322&lt;&gt;'Funnel setup'!$K$3&amp;'Funnel setup'!$K$4&amp;'Funnel setup'!$K$5,".",IF(A321=".",1,A321+1))</f>
        <v>.</v>
      </c>
      <c r="B322" s="431" t="str">
        <f t="shared" si="4"/>
        <v>Groin HerniaCCG of GP PracticeNHS MILTON KEYNES CCG (04F)EQ-5D Index</v>
      </c>
      <c r="C322" t="s">
        <v>50</v>
      </c>
      <c r="D322" t="s">
        <v>87</v>
      </c>
      <c r="E322" t="s">
        <v>619</v>
      </c>
      <c r="F322" t="s">
        <v>338</v>
      </c>
      <c r="G322" t="s">
        <v>52</v>
      </c>
      <c r="H322">
        <v>95</v>
      </c>
      <c r="I322">
        <v>0.79100000000000004</v>
      </c>
      <c r="J322">
        <v>0.83499999999999996</v>
      </c>
      <c r="K322">
        <v>4.3999999999999997E-2</v>
      </c>
      <c r="L322">
        <v>48</v>
      </c>
      <c r="M322">
        <v>22</v>
      </c>
      <c r="N322">
        <v>25</v>
      </c>
      <c r="O322">
        <v>0.83599999999999997</v>
      </c>
      <c r="P322">
        <v>4.2955304999999999E-2</v>
      </c>
      <c r="Q322">
        <v>0.19</v>
      </c>
    </row>
    <row r="323" spans="1:17" s="30" customFormat="1" x14ac:dyDescent="0.2">
      <c r="A323" s="30" t="str">
        <f>IF(C323&amp;G323&amp;D323&lt;&gt;'Funnel setup'!$K$3&amp;'Funnel setup'!$K$4&amp;'Funnel setup'!$K$5,".",IF(A322=".",1,A322+1))</f>
        <v>.</v>
      </c>
      <c r="B323" s="431" t="str">
        <f t="shared" ref="B323:B386" si="5">C323&amp;D323&amp;F323&amp;G323</f>
        <v>Groin HerniaCCG of GP PracticeNHS NENE CCG (04G)EQ-5D Index</v>
      </c>
      <c r="C323" t="s">
        <v>50</v>
      </c>
      <c r="D323" t="s">
        <v>87</v>
      </c>
      <c r="E323" t="s">
        <v>621</v>
      </c>
      <c r="F323" t="s">
        <v>622</v>
      </c>
      <c r="G323" t="s">
        <v>52</v>
      </c>
      <c r="H323">
        <v>205</v>
      </c>
      <c r="I323">
        <v>0.77300000000000002</v>
      </c>
      <c r="J323">
        <v>0.88800000000000001</v>
      </c>
      <c r="K323">
        <v>0.115</v>
      </c>
      <c r="L323">
        <v>118</v>
      </c>
      <c r="M323">
        <v>62</v>
      </c>
      <c r="N323">
        <v>25</v>
      </c>
      <c r="O323">
        <v>0.89600000000000002</v>
      </c>
      <c r="P323">
        <v>0.102569199</v>
      </c>
      <c r="Q323">
        <v>0.16</v>
      </c>
    </row>
    <row r="324" spans="1:17" s="30" customFormat="1" x14ac:dyDescent="0.2">
      <c r="A324" s="30" t="str">
        <f>IF(C324&amp;G324&amp;D324&lt;&gt;'Funnel setup'!$K$3&amp;'Funnel setup'!$K$4&amp;'Funnel setup'!$K$5,".",IF(A323=".",1,A323+1))</f>
        <v>.</v>
      </c>
      <c r="B324" s="431" t="str">
        <f t="shared" si="5"/>
        <v>Groin HerniaCCG of GP PracticeNHS NEWARK &amp; SHERWOOD CCG (04H)EQ-5D Index</v>
      </c>
      <c r="C324" t="s">
        <v>50</v>
      </c>
      <c r="D324" t="s">
        <v>87</v>
      </c>
      <c r="E324" t="s">
        <v>624</v>
      </c>
      <c r="F324" t="s">
        <v>625</v>
      </c>
      <c r="G324" t="s">
        <v>52</v>
      </c>
      <c r="H324">
        <v>90</v>
      </c>
      <c r="I324">
        <v>0.78100000000000003</v>
      </c>
      <c r="J324">
        <v>0.872</v>
      </c>
      <c r="K324">
        <v>9.0999999999999998E-2</v>
      </c>
      <c r="L324">
        <v>50</v>
      </c>
      <c r="M324">
        <v>25</v>
      </c>
      <c r="N324">
        <v>15</v>
      </c>
      <c r="O324">
        <v>0.88800000000000001</v>
      </c>
      <c r="P324">
        <v>9.4840147E-2</v>
      </c>
      <c r="Q324">
        <v>0.128</v>
      </c>
    </row>
    <row r="325" spans="1:17" s="30" customFormat="1" x14ac:dyDescent="0.2">
      <c r="A325" s="30" t="str">
        <f>IF(C325&amp;G325&amp;D325&lt;&gt;'Funnel setup'!$K$3&amp;'Funnel setup'!$K$4&amp;'Funnel setup'!$K$5,".",IF(A324=".",1,A324+1))</f>
        <v>.</v>
      </c>
      <c r="B325" s="431" t="str">
        <f t="shared" si="5"/>
        <v>Groin HerniaCCG of GP PracticeNHS NEWBURY AND DISTRICT CCG (10M)EQ-5D Index</v>
      </c>
      <c r="C325" t="s">
        <v>50</v>
      </c>
      <c r="D325" t="s">
        <v>87</v>
      </c>
      <c r="E325" t="s">
        <v>627</v>
      </c>
      <c r="F325" t="s">
        <v>628</v>
      </c>
      <c r="G325" t="s">
        <v>52</v>
      </c>
      <c r="H325">
        <v>24</v>
      </c>
      <c r="I325">
        <v>0.82399999999999995</v>
      </c>
      <c r="J325">
        <v>0.90600000000000003</v>
      </c>
      <c r="K325">
        <v>8.2000000000000003E-2</v>
      </c>
      <c r="L325">
        <v>13</v>
      </c>
      <c r="M325">
        <v>7</v>
      </c>
      <c r="N325">
        <v>4</v>
      </c>
      <c r="O325" t="s">
        <v>53</v>
      </c>
      <c r="P325" t="s">
        <v>53</v>
      </c>
      <c r="Q325" t="s">
        <v>53</v>
      </c>
    </row>
    <row r="326" spans="1:17" s="30" customFormat="1" x14ac:dyDescent="0.2">
      <c r="A326" s="30" t="str">
        <f>IF(C326&amp;G326&amp;D326&lt;&gt;'Funnel setup'!$K$3&amp;'Funnel setup'!$K$4&amp;'Funnel setup'!$K$5,".",IF(A325=".",1,A325+1))</f>
        <v>.</v>
      </c>
      <c r="B326" s="431" t="str">
        <f t="shared" si="5"/>
        <v>Groin HerniaCCG of GP PracticeNHS NEWCASTLE GATESHEAD CCG (13T)EQ-5D Index</v>
      </c>
      <c r="C326" t="s">
        <v>50</v>
      </c>
      <c r="D326" t="s">
        <v>87</v>
      </c>
      <c r="E326" t="s">
        <v>6553</v>
      </c>
      <c r="F326" t="s">
        <v>6543</v>
      </c>
      <c r="G326" t="s">
        <v>52</v>
      </c>
      <c r="H326">
        <v>179</v>
      </c>
      <c r="I326">
        <v>0.79400000000000004</v>
      </c>
      <c r="J326">
        <v>0.876</v>
      </c>
      <c r="K326">
        <v>8.2000000000000003E-2</v>
      </c>
      <c r="L326">
        <v>89</v>
      </c>
      <c r="M326">
        <v>60</v>
      </c>
      <c r="N326">
        <v>30</v>
      </c>
      <c r="O326">
        <v>0.88300000000000001</v>
      </c>
      <c r="P326">
        <v>8.9957633999999995E-2</v>
      </c>
      <c r="Q326">
        <v>0.154</v>
      </c>
    </row>
    <row r="327" spans="1:17" s="30" customFormat="1" x14ac:dyDescent="0.2">
      <c r="A327" s="30" t="str">
        <f>IF(C327&amp;G327&amp;D327&lt;&gt;'Funnel setup'!$K$3&amp;'Funnel setup'!$K$4&amp;'Funnel setup'!$K$5,".",IF(A326=".",1,A326+1))</f>
        <v>.</v>
      </c>
      <c r="B327" s="431" t="str">
        <f t="shared" si="5"/>
        <v>Groin HerniaCCG of GP PracticeNHS NEWHAM CCG (08M)EQ-5D Index</v>
      </c>
      <c r="C327" t="s">
        <v>50</v>
      </c>
      <c r="D327" t="s">
        <v>87</v>
      </c>
      <c r="E327" t="s">
        <v>630</v>
      </c>
      <c r="F327" t="s">
        <v>631</v>
      </c>
      <c r="G327" t="s">
        <v>52</v>
      </c>
      <c r="H327">
        <v>53</v>
      </c>
      <c r="I327">
        <v>0.75600000000000001</v>
      </c>
      <c r="J327">
        <v>0.79100000000000004</v>
      </c>
      <c r="K327">
        <v>3.5000000000000003E-2</v>
      </c>
      <c r="L327">
        <v>18</v>
      </c>
      <c r="M327">
        <v>20</v>
      </c>
      <c r="N327">
        <v>15</v>
      </c>
      <c r="O327">
        <v>0.83799999999999997</v>
      </c>
      <c r="P327">
        <v>4.4944123000000002E-2</v>
      </c>
      <c r="Q327">
        <v>0.22</v>
      </c>
    </row>
    <row r="328" spans="1:17" s="30" customFormat="1" x14ac:dyDescent="0.2">
      <c r="A328" s="30" t="str">
        <f>IF(C328&amp;G328&amp;D328&lt;&gt;'Funnel setup'!$K$3&amp;'Funnel setup'!$K$4&amp;'Funnel setup'!$K$5,".",IF(A327=".",1,A327+1))</f>
        <v>.</v>
      </c>
      <c r="B328" s="431" t="str">
        <f t="shared" si="5"/>
        <v>Groin HerniaCCG of GP PracticeNHS NORTH &amp; WEST READING CCG (10N)EQ-5D Index</v>
      </c>
      <c r="C328" t="s">
        <v>50</v>
      </c>
      <c r="D328" t="s">
        <v>87</v>
      </c>
      <c r="E328" t="s">
        <v>633</v>
      </c>
      <c r="F328" t="s">
        <v>634</v>
      </c>
      <c r="G328" t="s">
        <v>52</v>
      </c>
      <c r="H328">
        <v>35</v>
      </c>
      <c r="I328">
        <v>0.81799999999999995</v>
      </c>
      <c r="J328">
        <v>0.91600000000000004</v>
      </c>
      <c r="K328">
        <v>9.9000000000000005E-2</v>
      </c>
      <c r="L328">
        <v>21</v>
      </c>
      <c r="M328">
        <v>12</v>
      </c>
      <c r="N328">
        <v>2</v>
      </c>
      <c r="O328">
        <v>0.90300000000000002</v>
      </c>
      <c r="P328">
        <v>0.10971028400000001</v>
      </c>
      <c r="Q328">
        <v>0.09</v>
      </c>
    </row>
    <row r="329" spans="1:17" s="30" customFormat="1" x14ac:dyDescent="0.2">
      <c r="A329" s="30" t="str">
        <f>IF(C329&amp;G329&amp;D329&lt;&gt;'Funnel setup'!$K$3&amp;'Funnel setup'!$K$4&amp;'Funnel setup'!$K$5,".",IF(A328=".",1,A328+1))</f>
        <v>.</v>
      </c>
      <c r="B329" s="431" t="str">
        <f t="shared" si="5"/>
        <v>Groin HerniaCCG of GP PracticeNHS NORTH DERBYSHIRE CCG (04J)EQ-5D Index</v>
      </c>
      <c r="C329" t="s">
        <v>50</v>
      </c>
      <c r="D329" t="s">
        <v>87</v>
      </c>
      <c r="E329" t="s">
        <v>636</v>
      </c>
      <c r="F329" t="s">
        <v>637</v>
      </c>
      <c r="G329" t="s">
        <v>52</v>
      </c>
      <c r="H329">
        <v>147</v>
      </c>
      <c r="I329">
        <v>0.78700000000000003</v>
      </c>
      <c r="J329">
        <v>0.89600000000000002</v>
      </c>
      <c r="K329">
        <v>0.11</v>
      </c>
      <c r="L329">
        <v>84</v>
      </c>
      <c r="M329">
        <v>40</v>
      </c>
      <c r="N329">
        <v>23</v>
      </c>
      <c r="O329">
        <v>0.89600000000000002</v>
      </c>
      <c r="P329">
        <v>0.102953802</v>
      </c>
      <c r="Q329">
        <v>0.13200000000000001</v>
      </c>
    </row>
    <row r="330" spans="1:17" s="30" customFormat="1" x14ac:dyDescent="0.2">
      <c r="A330" s="30" t="str">
        <f>IF(C330&amp;G330&amp;D330&lt;&gt;'Funnel setup'!$K$3&amp;'Funnel setup'!$K$4&amp;'Funnel setup'!$K$5,".",IF(A329=".",1,A329+1))</f>
        <v>.</v>
      </c>
      <c r="B330" s="431" t="str">
        <f t="shared" si="5"/>
        <v>Groin HerniaCCG of GP PracticeNHS NORTH DURHAM CCG (00J)EQ-5D Index</v>
      </c>
      <c r="C330" t="s">
        <v>50</v>
      </c>
      <c r="D330" t="s">
        <v>87</v>
      </c>
      <c r="E330" t="s">
        <v>639</v>
      </c>
      <c r="F330" t="s">
        <v>640</v>
      </c>
      <c r="G330" t="s">
        <v>52</v>
      </c>
      <c r="H330">
        <v>135</v>
      </c>
      <c r="I330">
        <v>0.79400000000000004</v>
      </c>
      <c r="J330">
        <v>0.85899999999999999</v>
      </c>
      <c r="K330">
        <v>6.4000000000000001E-2</v>
      </c>
      <c r="L330">
        <v>65</v>
      </c>
      <c r="M330">
        <v>46</v>
      </c>
      <c r="N330">
        <v>24</v>
      </c>
      <c r="O330">
        <v>0.85799999999999998</v>
      </c>
      <c r="P330">
        <v>6.4241276999999999E-2</v>
      </c>
      <c r="Q330">
        <v>0.17399999999999999</v>
      </c>
    </row>
    <row r="331" spans="1:17" s="30" customFormat="1" x14ac:dyDescent="0.2">
      <c r="A331" s="30" t="str">
        <f>IF(C331&amp;G331&amp;D331&lt;&gt;'Funnel setup'!$K$3&amp;'Funnel setup'!$K$4&amp;'Funnel setup'!$K$5,".",IF(A330=".",1,A330+1))</f>
        <v>.</v>
      </c>
      <c r="B331" s="431" t="str">
        <f t="shared" si="5"/>
        <v>Groin HerniaCCG of GP PracticeNHS NORTH EAST ESSEX CCG (06T)EQ-5D Index</v>
      </c>
      <c r="C331" t="s">
        <v>50</v>
      </c>
      <c r="D331" t="s">
        <v>87</v>
      </c>
      <c r="E331" t="s">
        <v>642</v>
      </c>
      <c r="F331" t="s">
        <v>643</v>
      </c>
      <c r="G331" t="s">
        <v>52</v>
      </c>
      <c r="H331">
        <v>204</v>
      </c>
      <c r="I331">
        <v>0.77100000000000002</v>
      </c>
      <c r="J331">
        <v>0.877</v>
      </c>
      <c r="K331">
        <v>0.107</v>
      </c>
      <c r="L331">
        <v>108</v>
      </c>
      <c r="M331">
        <v>68</v>
      </c>
      <c r="N331">
        <v>28</v>
      </c>
      <c r="O331">
        <v>0.89200000000000002</v>
      </c>
      <c r="P331">
        <v>9.8404828999999999E-2</v>
      </c>
      <c r="Q331">
        <v>0.152</v>
      </c>
    </row>
    <row r="332" spans="1:17" s="30" customFormat="1" x14ac:dyDescent="0.2">
      <c r="A332" s="30" t="str">
        <f>IF(C332&amp;G332&amp;D332&lt;&gt;'Funnel setup'!$K$3&amp;'Funnel setup'!$K$4&amp;'Funnel setup'!$K$5,".",IF(A331=".",1,A331+1))</f>
        <v>.</v>
      </c>
      <c r="B332" s="431" t="str">
        <f t="shared" si="5"/>
        <v>Groin HerniaCCG of GP PracticeNHS NORTH EAST HAMPSHIRE AND FARNHAM CCG (99M)EQ-5D Index</v>
      </c>
      <c r="C332" t="s">
        <v>50</v>
      </c>
      <c r="D332" t="s">
        <v>87</v>
      </c>
      <c r="E332" t="s">
        <v>645</v>
      </c>
      <c r="F332" t="s">
        <v>646</v>
      </c>
      <c r="G332" t="s">
        <v>52</v>
      </c>
      <c r="H332">
        <v>119</v>
      </c>
      <c r="I332">
        <v>0.78200000000000003</v>
      </c>
      <c r="J332">
        <v>0.84799999999999998</v>
      </c>
      <c r="K332">
        <v>6.7000000000000004E-2</v>
      </c>
      <c r="L332">
        <v>58</v>
      </c>
      <c r="M332">
        <v>35</v>
      </c>
      <c r="N332">
        <v>26</v>
      </c>
      <c r="O332">
        <v>0.84799999999999998</v>
      </c>
      <c r="P332">
        <v>5.4931583999999999E-2</v>
      </c>
      <c r="Q332">
        <v>0.17599999999999999</v>
      </c>
    </row>
    <row r="333" spans="1:17" s="30" customFormat="1" x14ac:dyDescent="0.2">
      <c r="A333" s="30" t="str">
        <f>IF(C333&amp;G333&amp;D333&lt;&gt;'Funnel setup'!$K$3&amp;'Funnel setup'!$K$4&amp;'Funnel setup'!$K$5,".",IF(A332=".",1,A332+1))</f>
        <v>.</v>
      </c>
      <c r="B333" s="431" t="str">
        <f t="shared" si="5"/>
        <v>Groin HerniaCCG of GP PracticeNHS NORTH EAST LINCOLNSHIRE CCG (03H)EQ-5D Index</v>
      </c>
      <c r="C333" t="s">
        <v>50</v>
      </c>
      <c r="D333" t="s">
        <v>87</v>
      </c>
      <c r="E333" t="s">
        <v>648</v>
      </c>
      <c r="F333" t="s">
        <v>649</v>
      </c>
      <c r="G333" t="s">
        <v>52</v>
      </c>
      <c r="H333">
        <v>64</v>
      </c>
      <c r="I333">
        <v>0.72199999999999998</v>
      </c>
      <c r="J333">
        <v>0.82899999999999996</v>
      </c>
      <c r="K333">
        <v>0.107</v>
      </c>
      <c r="L333">
        <v>37</v>
      </c>
      <c r="M333">
        <v>20</v>
      </c>
      <c r="N333">
        <v>7</v>
      </c>
      <c r="O333">
        <v>0.875</v>
      </c>
      <c r="P333">
        <v>8.1222287000000004E-2</v>
      </c>
      <c r="Q333">
        <v>0.17599999999999999</v>
      </c>
    </row>
    <row r="334" spans="1:17" s="30" customFormat="1" x14ac:dyDescent="0.2">
      <c r="A334" s="30" t="str">
        <f>IF(C334&amp;G334&amp;D334&lt;&gt;'Funnel setup'!$K$3&amp;'Funnel setup'!$K$4&amp;'Funnel setup'!$K$5,".",IF(A333=".",1,A333+1))</f>
        <v>.</v>
      </c>
      <c r="B334" s="431" t="str">
        <f t="shared" si="5"/>
        <v>Groin HerniaCCG of GP PracticeNHS NORTH HAMPSHIRE CCG (10J)EQ-5D Index</v>
      </c>
      <c r="C334" t="s">
        <v>50</v>
      </c>
      <c r="D334" t="s">
        <v>87</v>
      </c>
      <c r="E334" t="s">
        <v>651</v>
      </c>
      <c r="F334" t="s">
        <v>652</v>
      </c>
      <c r="G334" t="s">
        <v>52</v>
      </c>
      <c r="H334">
        <v>47</v>
      </c>
      <c r="I334">
        <v>0.81200000000000006</v>
      </c>
      <c r="J334">
        <v>0.92700000000000005</v>
      </c>
      <c r="K334">
        <v>0.115</v>
      </c>
      <c r="L334">
        <v>26</v>
      </c>
      <c r="M334">
        <v>18</v>
      </c>
      <c r="N334">
        <v>3</v>
      </c>
      <c r="O334">
        <v>0.90200000000000002</v>
      </c>
      <c r="P334">
        <v>0.108301944</v>
      </c>
      <c r="Q334">
        <v>0.11899999999999999</v>
      </c>
    </row>
    <row r="335" spans="1:17" s="30" customFormat="1" x14ac:dyDescent="0.2">
      <c r="A335" s="30" t="str">
        <f>IF(C335&amp;G335&amp;D335&lt;&gt;'Funnel setup'!$K$3&amp;'Funnel setup'!$K$4&amp;'Funnel setup'!$K$5,".",IF(A334=".",1,A334+1))</f>
        <v>.</v>
      </c>
      <c r="B335" s="431" t="str">
        <f t="shared" si="5"/>
        <v>Groin HerniaCCG of GP PracticeNHS NORTH KIRKLEES CCG (03J)EQ-5D Index</v>
      </c>
      <c r="C335" t="s">
        <v>50</v>
      </c>
      <c r="D335" t="s">
        <v>87</v>
      </c>
      <c r="E335" t="s">
        <v>654</v>
      </c>
      <c r="F335" t="s">
        <v>655</v>
      </c>
      <c r="G335" t="s">
        <v>52</v>
      </c>
      <c r="H335">
        <v>48</v>
      </c>
      <c r="I335">
        <v>0.873</v>
      </c>
      <c r="J335">
        <v>0.88900000000000001</v>
      </c>
      <c r="K335">
        <v>1.6E-2</v>
      </c>
      <c r="L335">
        <v>13</v>
      </c>
      <c r="M335">
        <v>25</v>
      </c>
      <c r="N335">
        <v>10</v>
      </c>
      <c r="O335">
        <v>0.86699999999999999</v>
      </c>
      <c r="P335">
        <v>7.3277118000000002E-2</v>
      </c>
      <c r="Q335">
        <v>0.157</v>
      </c>
    </row>
    <row r="336" spans="1:17" s="30" customFormat="1" x14ac:dyDescent="0.2">
      <c r="A336" s="30" t="str">
        <f>IF(C336&amp;G336&amp;D336&lt;&gt;'Funnel setup'!$K$3&amp;'Funnel setup'!$K$4&amp;'Funnel setup'!$K$5,".",IF(A335=".",1,A335+1))</f>
        <v>.</v>
      </c>
      <c r="B336" s="431" t="str">
        <f t="shared" si="5"/>
        <v>Groin HerniaCCG of GP PracticeNHS NORTH LINCOLNSHIRE CCG (03K)EQ-5D Index</v>
      </c>
      <c r="C336" t="s">
        <v>50</v>
      </c>
      <c r="D336" t="s">
        <v>87</v>
      </c>
      <c r="E336" t="s">
        <v>657</v>
      </c>
      <c r="F336" t="s">
        <v>658</v>
      </c>
      <c r="G336" t="s">
        <v>52</v>
      </c>
      <c r="H336">
        <v>48</v>
      </c>
      <c r="I336">
        <v>0.70699999999999996</v>
      </c>
      <c r="J336">
        <v>0.81899999999999995</v>
      </c>
      <c r="K336">
        <v>0.112</v>
      </c>
      <c r="L336">
        <v>31</v>
      </c>
      <c r="M336">
        <v>11</v>
      </c>
      <c r="N336">
        <v>6</v>
      </c>
      <c r="O336">
        <v>0.84699999999999998</v>
      </c>
      <c r="P336">
        <v>5.3981201999999999E-2</v>
      </c>
      <c r="Q336">
        <v>0.158</v>
      </c>
    </row>
    <row r="337" spans="1:17" s="30" customFormat="1" x14ac:dyDescent="0.2">
      <c r="A337" s="30" t="str">
        <f>IF(C337&amp;G337&amp;D337&lt;&gt;'Funnel setup'!$K$3&amp;'Funnel setup'!$K$4&amp;'Funnel setup'!$K$5,".",IF(A336=".",1,A336+1))</f>
        <v>.</v>
      </c>
      <c r="B337" s="431" t="str">
        <f t="shared" si="5"/>
        <v>Groin HerniaCCG of GP PracticeNHS NORTH MANCHESTER CCG (01M)EQ-5D Index</v>
      </c>
      <c r="C337" t="s">
        <v>50</v>
      </c>
      <c r="D337" t="s">
        <v>87</v>
      </c>
      <c r="E337" t="s">
        <v>660</v>
      </c>
      <c r="F337" t="s">
        <v>661</v>
      </c>
      <c r="G337" t="s">
        <v>52</v>
      </c>
      <c r="H337">
        <v>22</v>
      </c>
      <c r="I337">
        <v>0.8</v>
      </c>
      <c r="J337">
        <v>0.83799999999999997</v>
      </c>
      <c r="K337">
        <v>3.7999999999999999E-2</v>
      </c>
      <c r="L337">
        <v>9</v>
      </c>
      <c r="M337">
        <v>8</v>
      </c>
      <c r="N337">
        <v>5</v>
      </c>
      <c r="O337" t="s">
        <v>53</v>
      </c>
      <c r="P337" t="s">
        <v>53</v>
      </c>
      <c r="Q337" t="s">
        <v>53</v>
      </c>
    </row>
    <row r="338" spans="1:17" s="30" customFormat="1" x14ac:dyDescent="0.2">
      <c r="A338" s="30" t="str">
        <f>IF(C338&amp;G338&amp;D338&lt;&gt;'Funnel setup'!$K$3&amp;'Funnel setup'!$K$4&amp;'Funnel setup'!$K$5,".",IF(A337=".",1,A337+1))</f>
        <v>.</v>
      </c>
      <c r="B338" s="431" t="str">
        <f t="shared" si="5"/>
        <v>Groin HerniaCCG of GP PracticeNHS NORTH NORFOLK CCG (06V)EQ-5D Index</v>
      </c>
      <c r="C338" t="s">
        <v>50</v>
      </c>
      <c r="D338" t="s">
        <v>87</v>
      </c>
      <c r="E338" t="s">
        <v>663</v>
      </c>
      <c r="F338" t="s">
        <v>664</v>
      </c>
      <c r="G338" t="s">
        <v>52</v>
      </c>
      <c r="H338">
        <v>112</v>
      </c>
      <c r="I338">
        <v>0.80500000000000005</v>
      </c>
      <c r="J338">
        <v>0.89600000000000002</v>
      </c>
      <c r="K338">
        <v>9.0999999999999998E-2</v>
      </c>
      <c r="L338">
        <v>63</v>
      </c>
      <c r="M338">
        <v>35</v>
      </c>
      <c r="N338">
        <v>14</v>
      </c>
      <c r="O338">
        <v>0.879</v>
      </c>
      <c r="P338">
        <v>8.5996412999999994E-2</v>
      </c>
      <c r="Q338">
        <v>0.126</v>
      </c>
    </row>
    <row r="339" spans="1:17" s="30" customFormat="1" x14ac:dyDescent="0.2">
      <c r="A339" s="30" t="str">
        <f>IF(C339&amp;G339&amp;D339&lt;&gt;'Funnel setup'!$K$3&amp;'Funnel setup'!$K$4&amp;'Funnel setup'!$K$5,".",IF(A338=".",1,A338+1))</f>
        <v>.</v>
      </c>
      <c r="B339" s="431" t="str">
        <f t="shared" si="5"/>
        <v>Groin HerniaCCG of GP PracticeNHS NORTH SOMERSET CCG (11T)EQ-5D Index</v>
      </c>
      <c r="C339" t="s">
        <v>50</v>
      </c>
      <c r="D339" t="s">
        <v>87</v>
      </c>
      <c r="E339" t="s">
        <v>666</v>
      </c>
      <c r="F339" t="s">
        <v>667</v>
      </c>
      <c r="G339" t="s">
        <v>52</v>
      </c>
      <c r="H339">
        <v>77</v>
      </c>
      <c r="I339">
        <v>0.78100000000000003</v>
      </c>
      <c r="J339">
        <v>0.89600000000000002</v>
      </c>
      <c r="K339">
        <v>0.115</v>
      </c>
      <c r="L339">
        <v>46</v>
      </c>
      <c r="M339">
        <v>24</v>
      </c>
      <c r="N339">
        <v>7</v>
      </c>
      <c r="O339">
        <v>0.89100000000000001</v>
      </c>
      <c r="P339">
        <v>9.7602189000000006E-2</v>
      </c>
      <c r="Q339">
        <v>0.158</v>
      </c>
    </row>
    <row r="340" spans="1:17" s="30" customFormat="1" x14ac:dyDescent="0.2">
      <c r="A340" s="30" t="str">
        <f>IF(C340&amp;G340&amp;D340&lt;&gt;'Funnel setup'!$K$3&amp;'Funnel setup'!$K$4&amp;'Funnel setup'!$K$5,".",IF(A339=".",1,A339+1))</f>
        <v>.</v>
      </c>
      <c r="B340" s="431" t="str">
        <f t="shared" si="5"/>
        <v>Groin HerniaCCG of GP PracticeNHS NORTH STAFFORDSHIRE CCG (05G)EQ-5D Index</v>
      </c>
      <c r="C340" t="s">
        <v>50</v>
      </c>
      <c r="D340" t="s">
        <v>87</v>
      </c>
      <c r="E340" t="s">
        <v>669</v>
      </c>
      <c r="F340" t="s">
        <v>670</v>
      </c>
      <c r="G340" t="s">
        <v>52</v>
      </c>
      <c r="H340">
        <v>69</v>
      </c>
      <c r="I340">
        <v>0.78800000000000003</v>
      </c>
      <c r="J340">
        <v>0.877</v>
      </c>
      <c r="K340">
        <v>8.7999999999999995E-2</v>
      </c>
      <c r="L340">
        <v>37</v>
      </c>
      <c r="M340">
        <v>21</v>
      </c>
      <c r="N340">
        <v>11</v>
      </c>
      <c r="O340">
        <v>0.86599999999999999</v>
      </c>
      <c r="P340">
        <v>7.2760351000000001E-2</v>
      </c>
      <c r="Q340">
        <v>0.19</v>
      </c>
    </row>
    <row r="341" spans="1:17" s="30" customFormat="1" x14ac:dyDescent="0.2">
      <c r="A341" s="30" t="str">
        <f>IF(C341&amp;G341&amp;D341&lt;&gt;'Funnel setup'!$K$3&amp;'Funnel setup'!$K$4&amp;'Funnel setup'!$K$5,".",IF(A340=".",1,A340+1))</f>
        <v>.</v>
      </c>
      <c r="B341" s="431" t="str">
        <f t="shared" si="5"/>
        <v>Groin HerniaCCG of GP PracticeNHS NORTH TYNESIDE CCG (99C)EQ-5D Index</v>
      </c>
      <c r="C341" t="s">
        <v>50</v>
      </c>
      <c r="D341" t="s">
        <v>87</v>
      </c>
      <c r="E341" t="s">
        <v>672</v>
      </c>
      <c r="F341" t="s">
        <v>673</v>
      </c>
      <c r="G341" t="s">
        <v>52</v>
      </c>
      <c r="H341">
        <v>143</v>
      </c>
      <c r="I341">
        <v>0.78700000000000003</v>
      </c>
      <c r="J341">
        <v>0.86299999999999999</v>
      </c>
      <c r="K341">
        <v>7.4999999999999997E-2</v>
      </c>
      <c r="L341">
        <v>61</v>
      </c>
      <c r="M341">
        <v>56</v>
      </c>
      <c r="N341">
        <v>26</v>
      </c>
      <c r="O341">
        <v>0.86599999999999999</v>
      </c>
      <c r="P341">
        <v>7.2930396999999994E-2</v>
      </c>
      <c r="Q341">
        <v>0.17199999999999999</v>
      </c>
    </row>
    <row r="342" spans="1:17" s="30" customFormat="1" x14ac:dyDescent="0.2">
      <c r="A342" s="30" t="str">
        <f>IF(C342&amp;G342&amp;D342&lt;&gt;'Funnel setup'!$K$3&amp;'Funnel setup'!$K$4&amp;'Funnel setup'!$K$5,".",IF(A341=".",1,A341+1))</f>
        <v>.</v>
      </c>
      <c r="B342" s="431" t="str">
        <f t="shared" si="5"/>
        <v>Groin HerniaCCG of GP PracticeNHS NORTH WEST SURREY CCG (09Y)EQ-5D Index</v>
      </c>
      <c r="C342" t="s">
        <v>50</v>
      </c>
      <c r="D342" t="s">
        <v>87</v>
      </c>
      <c r="E342" t="s">
        <v>675</v>
      </c>
      <c r="F342" t="s">
        <v>676</v>
      </c>
      <c r="G342" t="s">
        <v>52</v>
      </c>
      <c r="H342">
        <v>49</v>
      </c>
      <c r="I342">
        <v>0.77700000000000002</v>
      </c>
      <c r="J342">
        <v>0.86599999999999999</v>
      </c>
      <c r="K342">
        <v>8.8999999999999996E-2</v>
      </c>
      <c r="L342">
        <v>28</v>
      </c>
      <c r="M342">
        <v>12</v>
      </c>
      <c r="N342">
        <v>9</v>
      </c>
      <c r="O342">
        <v>0.86</v>
      </c>
      <c r="P342">
        <v>6.6823361999999997E-2</v>
      </c>
      <c r="Q342">
        <v>0.214</v>
      </c>
    </row>
    <row r="343" spans="1:17" s="30" customFormat="1" x14ac:dyDescent="0.2">
      <c r="A343" s="30" t="str">
        <f>IF(C343&amp;G343&amp;D343&lt;&gt;'Funnel setup'!$K$3&amp;'Funnel setup'!$K$4&amp;'Funnel setup'!$K$5,".",IF(A342=".",1,A342+1))</f>
        <v>.</v>
      </c>
      <c r="B343" s="431" t="str">
        <f t="shared" si="5"/>
        <v>Groin HerniaCCG of GP PracticeNHS NORTHERN, EASTERN AND WESTERN DEVON CCG (99P)EQ-5D Index</v>
      </c>
      <c r="C343" t="s">
        <v>50</v>
      </c>
      <c r="D343" t="s">
        <v>87</v>
      </c>
      <c r="E343" t="s">
        <v>678</v>
      </c>
      <c r="F343" t="s">
        <v>679</v>
      </c>
      <c r="G343" t="s">
        <v>52</v>
      </c>
      <c r="H343">
        <v>600</v>
      </c>
      <c r="I343">
        <v>0.77400000000000002</v>
      </c>
      <c r="J343">
        <v>0.88600000000000001</v>
      </c>
      <c r="K343">
        <v>0.112</v>
      </c>
      <c r="L343">
        <v>347</v>
      </c>
      <c r="M343">
        <v>176</v>
      </c>
      <c r="N343">
        <v>77</v>
      </c>
      <c r="O343">
        <v>0.88400000000000001</v>
      </c>
      <c r="P343">
        <v>9.0743034E-2</v>
      </c>
      <c r="Q343">
        <v>0.154</v>
      </c>
    </row>
    <row r="344" spans="1:17" s="30" customFormat="1" x14ac:dyDescent="0.2">
      <c r="A344" s="30" t="str">
        <f>IF(C344&amp;G344&amp;D344&lt;&gt;'Funnel setup'!$K$3&amp;'Funnel setup'!$K$4&amp;'Funnel setup'!$K$5,".",IF(A343=".",1,A343+1))</f>
        <v>.</v>
      </c>
      <c r="B344" s="431" t="str">
        <f t="shared" si="5"/>
        <v>Groin HerniaCCG of GP PracticeNHS NORTHUMBERLAND CCG (00L)EQ-5D Index</v>
      </c>
      <c r="C344" t="s">
        <v>50</v>
      </c>
      <c r="D344" t="s">
        <v>87</v>
      </c>
      <c r="E344" t="s">
        <v>681</v>
      </c>
      <c r="F344" t="s">
        <v>336</v>
      </c>
      <c r="G344" t="s">
        <v>52</v>
      </c>
      <c r="H344">
        <v>203</v>
      </c>
      <c r="I344">
        <v>0.78100000000000003</v>
      </c>
      <c r="J344">
        <v>0.85799999999999998</v>
      </c>
      <c r="K344">
        <v>7.6999999999999999E-2</v>
      </c>
      <c r="L344">
        <v>114</v>
      </c>
      <c r="M344">
        <v>54</v>
      </c>
      <c r="N344">
        <v>35</v>
      </c>
      <c r="O344">
        <v>0.871</v>
      </c>
      <c r="P344">
        <v>7.7984292999999996E-2</v>
      </c>
      <c r="Q344">
        <v>0.17299999999999999</v>
      </c>
    </row>
    <row r="345" spans="1:17" s="30" customFormat="1" x14ac:dyDescent="0.2">
      <c r="A345" s="30" t="str">
        <f>IF(C345&amp;G345&amp;D345&lt;&gt;'Funnel setup'!$K$3&amp;'Funnel setup'!$K$4&amp;'Funnel setup'!$K$5,".",IF(A344=".",1,A344+1))</f>
        <v>.</v>
      </c>
      <c r="B345" s="431" t="str">
        <f t="shared" si="5"/>
        <v>Groin HerniaCCG of GP PracticeNHS NORWICH CCG (06W)EQ-5D Index</v>
      </c>
      <c r="C345" t="s">
        <v>50</v>
      </c>
      <c r="D345" t="s">
        <v>87</v>
      </c>
      <c r="E345" t="s">
        <v>770</v>
      </c>
      <c r="F345" t="s">
        <v>771</v>
      </c>
      <c r="G345" t="s">
        <v>52</v>
      </c>
      <c r="H345">
        <v>106</v>
      </c>
      <c r="I345">
        <v>0.745</v>
      </c>
      <c r="J345">
        <v>0.89500000000000002</v>
      </c>
      <c r="K345">
        <v>0.151</v>
      </c>
      <c r="L345">
        <v>69</v>
      </c>
      <c r="M345">
        <v>26</v>
      </c>
      <c r="N345">
        <v>11</v>
      </c>
      <c r="O345">
        <v>0.90400000000000003</v>
      </c>
      <c r="P345">
        <v>0.111005616</v>
      </c>
      <c r="Q345">
        <v>0.124</v>
      </c>
    </row>
    <row r="346" spans="1:17" s="30" customFormat="1" x14ac:dyDescent="0.2">
      <c r="A346" s="30" t="str">
        <f>IF(C346&amp;G346&amp;D346&lt;&gt;'Funnel setup'!$K$3&amp;'Funnel setup'!$K$4&amp;'Funnel setup'!$K$5,".",IF(A345=".",1,A345+1))</f>
        <v>.</v>
      </c>
      <c r="B346" s="431" t="str">
        <f t="shared" si="5"/>
        <v>Groin HerniaCCG of GP PracticeNHS NOTTINGHAM CITY CCG (04K)EQ-5D Index</v>
      </c>
      <c r="C346" t="s">
        <v>50</v>
      </c>
      <c r="D346" t="s">
        <v>87</v>
      </c>
      <c r="E346" t="s">
        <v>773</v>
      </c>
      <c r="F346" t="s">
        <v>774</v>
      </c>
      <c r="G346" t="s">
        <v>52</v>
      </c>
      <c r="H346">
        <v>50</v>
      </c>
      <c r="I346">
        <v>0.84099999999999997</v>
      </c>
      <c r="J346">
        <v>0.86</v>
      </c>
      <c r="K346">
        <v>1.9E-2</v>
      </c>
      <c r="L346">
        <v>19</v>
      </c>
      <c r="M346">
        <v>18</v>
      </c>
      <c r="N346">
        <v>13</v>
      </c>
      <c r="O346">
        <v>0.85299999999999998</v>
      </c>
      <c r="P346">
        <v>5.9491252000000001E-2</v>
      </c>
      <c r="Q346">
        <v>0.17699999999999999</v>
      </c>
    </row>
    <row r="347" spans="1:17" s="30" customFormat="1" x14ac:dyDescent="0.2">
      <c r="A347" s="30" t="str">
        <f>IF(C347&amp;G347&amp;D347&lt;&gt;'Funnel setup'!$K$3&amp;'Funnel setup'!$K$4&amp;'Funnel setup'!$K$5,".",IF(A346=".",1,A346+1))</f>
        <v>.</v>
      </c>
      <c r="B347" s="431" t="str">
        <f t="shared" si="5"/>
        <v>Groin HerniaCCG of GP PracticeNHS NOTTINGHAM NORTH AND EAST CCG (04L)EQ-5D Index</v>
      </c>
      <c r="C347" t="s">
        <v>50</v>
      </c>
      <c r="D347" t="s">
        <v>87</v>
      </c>
      <c r="E347" t="s">
        <v>776</v>
      </c>
      <c r="F347" t="s">
        <v>777</v>
      </c>
      <c r="G347" t="s">
        <v>52</v>
      </c>
      <c r="H347">
        <v>21</v>
      </c>
      <c r="I347">
        <v>0.83</v>
      </c>
      <c r="J347">
        <v>0.92500000000000004</v>
      </c>
      <c r="K347">
        <v>9.5000000000000001E-2</v>
      </c>
      <c r="L347">
        <v>13</v>
      </c>
      <c r="M347">
        <v>5</v>
      </c>
      <c r="N347">
        <v>3</v>
      </c>
      <c r="O347" t="s">
        <v>53</v>
      </c>
      <c r="P347" t="s">
        <v>53</v>
      </c>
      <c r="Q347" t="s">
        <v>53</v>
      </c>
    </row>
    <row r="348" spans="1:17" s="30" customFormat="1" x14ac:dyDescent="0.2">
      <c r="A348" s="30" t="str">
        <f>IF(C348&amp;G348&amp;D348&lt;&gt;'Funnel setup'!$K$3&amp;'Funnel setup'!$K$4&amp;'Funnel setup'!$K$5,".",IF(A347=".",1,A347+1))</f>
        <v>.</v>
      </c>
      <c r="B348" s="431" t="str">
        <f t="shared" si="5"/>
        <v>Groin HerniaCCG of GP PracticeNHS NOTTINGHAM WEST CCG (04M)EQ-5D Index</v>
      </c>
      <c r="C348" t="s">
        <v>50</v>
      </c>
      <c r="D348" t="s">
        <v>87</v>
      </c>
      <c r="E348" t="s">
        <v>779</v>
      </c>
      <c r="F348" t="s">
        <v>780</v>
      </c>
      <c r="G348" t="s">
        <v>52</v>
      </c>
      <c r="H348">
        <v>34</v>
      </c>
      <c r="I348">
        <v>0.83899999999999997</v>
      </c>
      <c r="J348">
        <v>0.91</v>
      </c>
      <c r="K348">
        <v>7.0000000000000007E-2</v>
      </c>
      <c r="L348">
        <v>18</v>
      </c>
      <c r="M348">
        <v>11</v>
      </c>
      <c r="N348">
        <v>5</v>
      </c>
      <c r="O348">
        <v>0.875</v>
      </c>
      <c r="P348">
        <v>8.1756122000000001E-2</v>
      </c>
      <c r="Q348">
        <v>0.121</v>
      </c>
    </row>
    <row r="349" spans="1:17" s="30" customFormat="1" x14ac:dyDescent="0.2">
      <c r="A349" s="30" t="str">
        <f>IF(C349&amp;G349&amp;D349&lt;&gt;'Funnel setup'!$K$3&amp;'Funnel setup'!$K$4&amp;'Funnel setup'!$K$5,".",IF(A348=".",1,A348+1))</f>
        <v>.</v>
      </c>
      <c r="B349" s="431" t="str">
        <f t="shared" si="5"/>
        <v>Groin HerniaCCG of GP PracticeNHS OLDHAM CCG (00Y)EQ-5D Index</v>
      </c>
      <c r="C349" t="s">
        <v>50</v>
      </c>
      <c r="D349" t="s">
        <v>87</v>
      </c>
      <c r="E349" t="s">
        <v>782</v>
      </c>
      <c r="F349" t="s">
        <v>783</v>
      </c>
      <c r="G349" t="s">
        <v>52</v>
      </c>
      <c r="H349">
        <v>23</v>
      </c>
      <c r="I349">
        <v>0.78900000000000003</v>
      </c>
      <c r="J349">
        <v>0.85499999999999998</v>
      </c>
      <c r="K349">
        <v>6.6000000000000003E-2</v>
      </c>
      <c r="L349">
        <v>14</v>
      </c>
      <c r="M349">
        <v>6</v>
      </c>
      <c r="N349">
        <v>3</v>
      </c>
      <c r="O349" t="s">
        <v>53</v>
      </c>
      <c r="P349" t="s">
        <v>53</v>
      </c>
      <c r="Q349" t="s">
        <v>53</v>
      </c>
    </row>
    <row r="350" spans="1:17" s="30" customFormat="1" x14ac:dyDescent="0.2">
      <c r="A350" s="30" t="str">
        <f>IF(C350&amp;G350&amp;D350&lt;&gt;'Funnel setup'!$K$3&amp;'Funnel setup'!$K$4&amp;'Funnel setup'!$K$5,".",IF(A349=".",1,A349+1))</f>
        <v>.</v>
      </c>
      <c r="B350" s="431" t="str">
        <f t="shared" si="5"/>
        <v>Groin HerniaCCG of GP PracticeNHS OXFORDSHIRE CCG (10Q)EQ-5D Index</v>
      </c>
      <c r="C350" t="s">
        <v>50</v>
      </c>
      <c r="D350" t="s">
        <v>87</v>
      </c>
      <c r="E350" t="s">
        <v>785</v>
      </c>
      <c r="F350" t="s">
        <v>786</v>
      </c>
      <c r="G350" t="s">
        <v>52</v>
      </c>
      <c r="H350">
        <v>246</v>
      </c>
      <c r="I350">
        <v>0.81200000000000006</v>
      </c>
      <c r="J350">
        <v>0.89600000000000002</v>
      </c>
      <c r="K350">
        <v>8.4000000000000005E-2</v>
      </c>
      <c r="L350">
        <v>122</v>
      </c>
      <c r="M350">
        <v>92</v>
      </c>
      <c r="N350">
        <v>32</v>
      </c>
      <c r="O350">
        <v>0.88100000000000001</v>
      </c>
      <c r="P350">
        <v>8.7354693999999997E-2</v>
      </c>
      <c r="Q350">
        <v>0.16</v>
      </c>
    </row>
    <row r="351" spans="1:17" s="30" customFormat="1" x14ac:dyDescent="0.2">
      <c r="A351" s="30" t="str">
        <f>IF(C351&amp;G351&amp;D351&lt;&gt;'Funnel setup'!$K$3&amp;'Funnel setup'!$K$4&amp;'Funnel setup'!$K$5,".",IF(A350=".",1,A350+1))</f>
        <v>.</v>
      </c>
      <c r="B351" s="431" t="str">
        <f t="shared" si="5"/>
        <v>Groin HerniaCCG of GP PracticeNHS PORTSMOUTH CCG (10R)EQ-5D Index</v>
      </c>
      <c r="C351" t="s">
        <v>50</v>
      </c>
      <c r="D351" t="s">
        <v>87</v>
      </c>
      <c r="E351" t="s">
        <v>788</v>
      </c>
      <c r="F351" t="s">
        <v>789</v>
      </c>
      <c r="G351" t="s">
        <v>52</v>
      </c>
      <c r="H351">
        <v>75</v>
      </c>
      <c r="I351">
        <v>0.85799999999999998</v>
      </c>
      <c r="J351">
        <v>0.88800000000000001</v>
      </c>
      <c r="K351">
        <v>0.03</v>
      </c>
      <c r="L351">
        <v>22</v>
      </c>
      <c r="M351">
        <v>38</v>
      </c>
      <c r="N351">
        <v>15</v>
      </c>
      <c r="O351">
        <v>0.85399999999999998</v>
      </c>
      <c r="P351">
        <v>6.0638175000000002E-2</v>
      </c>
      <c r="Q351">
        <v>0.14299999999999999</v>
      </c>
    </row>
    <row r="352" spans="1:17" s="30" customFormat="1" x14ac:dyDescent="0.2">
      <c r="A352" s="30" t="str">
        <f>IF(C352&amp;G352&amp;D352&lt;&gt;'Funnel setup'!$K$3&amp;'Funnel setup'!$K$4&amp;'Funnel setup'!$K$5,".",IF(A351=".",1,A351+1))</f>
        <v>.</v>
      </c>
      <c r="B352" s="431" t="str">
        <f t="shared" si="5"/>
        <v>Groin HerniaCCG of GP PracticeNHS REDBRIDGE CCG (08N)EQ-5D Index</v>
      </c>
      <c r="C352" t="s">
        <v>50</v>
      </c>
      <c r="D352" t="s">
        <v>87</v>
      </c>
      <c r="E352" t="s">
        <v>791</v>
      </c>
      <c r="F352" t="s">
        <v>792</v>
      </c>
      <c r="G352" t="s">
        <v>52</v>
      </c>
      <c r="H352">
        <v>14</v>
      </c>
      <c r="I352">
        <v>0.81699999999999995</v>
      </c>
      <c r="J352">
        <v>0.85699999999999998</v>
      </c>
      <c r="K352">
        <v>4.1000000000000002E-2</v>
      </c>
      <c r="L352">
        <v>6</v>
      </c>
      <c r="M352">
        <v>4</v>
      </c>
      <c r="N352">
        <v>4</v>
      </c>
      <c r="O352" t="s">
        <v>53</v>
      </c>
      <c r="P352" t="s">
        <v>53</v>
      </c>
      <c r="Q352" t="s">
        <v>53</v>
      </c>
    </row>
    <row r="353" spans="1:17" s="30" customFormat="1" x14ac:dyDescent="0.2">
      <c r="A353" s="30" t="str">
        <f>IF(C353&amp;G353&amp;D353&lt;&gt;'Funnel setup'!$K$3&amp;'Funnel setup'!$K$4&amp;'Funnel setup'!$K$5,".",IF(A352=".",1,A352+1))</f>
        <v>.</v>
      </c>
      <c r="B353" s="431" t="str">
        <f t="shared" si="5"/>
        <v>Groin HerniaCCG of GP PracticeNHS REDDITCH AND BROMSGROVE CCG (05J)EQ-5D Index</v>
      </c>
      <c r="C353" t="s">
        <v>50</v>
      </c>
      <c r="D353" t="s">
        <v>87</v>
      </c>
      <c r="E353" t="s">
        <v>794</v>
      </c>
      <c r="F353" t="s">
        <v>795</v>
      </c>
      <c r="G353" t="s">
        <v>52</v>
      </c>
      <c r="H353">
        <v>82</v>
      </c>
      <c r="I353">
        <v>0.80500000000000005</v>
      </c>
      <c r="J353">
        <v>0.89300000000000002</v>
      </c>
      <c r="K353">
        <v>8.7999999999999995E-2</v>
      </c>
      <c r="L353">
        <v>41</v>
      </c>
      <c r="M353">
        <v>28</v>
      </c>
      <c r="N353">
        <v>13</v>
      </c>
      <c r="O353">
        <v>0.89500000000000002</v>
      </c>
      <c r="P353">
        <v>0.10197924799999999</v>
      </c>
      <c r="Q353">
        <v>0.11600000000000001</v>
      </c>
    </row>
    <row r="354" spans="1:17" s="30" customFormat="1" x14ac:dyDescent="0.2">
      <c r="A354" s="30" t="str">
        <f>IF(C354&amp;G354&amp;D354&lt;&gt;'Funnel setup'!$K$3&amp;'Funnel setup'!$K$4&amp;'Funnel setup'!$K$5,".",IF(A353=".",1,A353+1))</f>
        <v>.</v>
      </c>
      <c r="B354" s="431" t="str">
        <f t="shared" si="5"/>
        <v>Groin HerniaCCG of GP PracticeNHS RICHMOND CCG (08P)EQ-5D Index</v>
      </c>
      <c r="C354" t="s">
        <v>50</v>
      </c>
      <c r="D354" t="s">
        <v>87</v>
      </c>
      <c r="E354" t="s">
        <v>797</v>
      </c>
      <c r="F354" t="s">
        <v>798</v>
      </c>
      <c r="G354" t="s">
        <v>52</v>
      </c>
      <c r="H354" t="s">
        <v>53</v>
      </c>
      <c r="I354" t="s">
        <v>53</v>
      </c>
      <c r="J354" t="s">
        <v>53</v>
      </c>
      <c r="K354" t="s">
        <v>53</v>
      </c>
      <c r="L354" t="s">
        <v>53</v>
      </c>
      <c r="M354" t="s">
        <v>53</v>
      </c>
      <c r="N354" t="s">
        <v>53</v>
      </c>
      <c r="O354" t="s">
        <v>53</v>
      </c>
      <c r="P354" t="s">
        <v>53</v>
      </c>
      <c r="Q354" t="s">
        <v>53</v>
      </c>
    </row>
    <row r="355" spans="1:17" s="30" customFormat="1" x14ac:dyDescent="0.2">
      <c r="A355" s="30" t="str">
        <f>IF(C355&amp;G355&amp;D355&lt;&gt;'Funnel setup'!$K$3&amp;'Funnel setup'!$K$4&amp;'Funnel setup'!$K$5,".",IF(A354=".",1,A354+1))</f>
        <v>.</v>
      </c>
      <c r="B355" s="431" t="str">
        <f t="shared" si="5"/>
        <v>Groin HerniaCCG of GP PracticeNHS ROTHERHAM CCG (03L)EQ-5D Index</v>
      </c>
      <c r="C355" t="s">
        <v>50</v>
      </c>
      <c r="D355" t="s">
        <v>87</v>
      </c>
      <c r="E355" t="s">
        <v>800</v>
      </c>
      <c r="F355" t="s">
        <v>801</v>
      </c>
      <c r="G355" t="s">
        <v>52</v>
      </c>
      <c r="H355">
        <v>81</v>
      </c>
      <c r="I355">
        <v>0.745</v>
      </c>
      <c r="J355">
        <v>0.86299999999999999</v>
      </c>
      <c r="K355">
        <v>0.11700000000000001</v>
      </c>
      <c r="L355">
        <v>45</v>
      </c>
      <c r="M355">
        <v>24</v>
      </c>
      <c r="N355">
        <v>12</v>
      </c>
      <c r="O355">
        <v>0.89100000000000001</v>
      </c>
      <c r="P355">
        <v>9.7609222999999995E-2</v>
      </c>
      <c r="Q355">
        <v>0.14699999999999999</v>
      </c>
    </row>
    <row r="356" spans="1:17" s="30" customFormat="1" x14ac:dyDescent="0.2">
      <c r="A356" s="30" t="str">
        <f>IF(C356&amp;G356&amp;D356&lt;&gt;'Funnel setup'!$K$3&amp;'Funnel setup'!$K$4&amp;'Funnel setup'!$K$5,".",IF(A355=".",1,A355+1))</f>
        <v>.</v>
      </c>
      <c r="B356" s="431" t="str">
        <f t="shared" si="5"/>
        <v>Groin HerniaCCG of GP PracticeNHS RUSHCLIFFE CCG (04N)EQ-5D Index</v>
      </c>
      <c r="C356" t="s">
        <v>50</v>
      </c>
      <c r="D356" t="s">
        <v>87</v>
      </c>
      <c r="E356" t="s">
        <v>803</v>
      </c>
      <c r="F356" t="s">
        <v>804</v>
      </c>
      <c r="G356" t="s">
        <v>52</v>
      </c>
      <c r="H356">
        <v>77</v>
      </c>
      <c r="I356">
        <v>0.83599999999999997</v>
      </c>
      <c r="J356">
        <v>0.88100000000000001</v>
      </c>
      <c r="K356">
        <v>4.4999999999999998E-2</v>
      </c>
      <c r="L356">
        <v>34</v>
      </c>
      <c r="M356">
        <v>30</v>
      </c>
      <c r="N356">
        <v>13</v>
      </c>
      <c r="O356">
        <v>0.85499999999999998</v>
      </c>
      <c r="P356">
        <v>6.1507672999999999E-2</v>
      </c>
      <c r="Q356">
        <v>0.188</v>
      </c>
    </row>
    <row r="357" spans="1:17" s="30" customFormat="1" x14ac:dyDescent="0.2">
      <c r="A357" s="30" t="str">
        <f>IF(C357&amp;G357&amp;D357&lt;&gt;'Funnel setup'!$K$3&amp;'Funnel setup'!$K$4&amp;'Funnel setup'!$K$5,".",IF(A356=".",1,A356+1))</f>
        <v>.</v>
      </c>
      <c r="B357" s="431" t="str">
        <f t="shared" si="5"/>
        <v>Groin HerniaCCG of GP PracticeNHS SALFORD CCG (01G)EQ-5D Index</v>
      </c>
      <c r="C357" t="s">
        <v>50</v>
      </c>
      <c r="D357" t="s">
        <v>87</v>
      </c>
      <c r="E357" t="s">
        <v>806</v>
      </c>
      <c r="F357" t="s">
        <v>807</v>
      </c>
      <c r="G357" t="s">
        <v>52</v>
      </c>
      <c r="H357">
        <v>63</v>
      </c>
      <c r="I357">
        <v>0.83599999999999997</v>
      </c>
      <c r="J357">
        <v>0.87</v>
      </c>
      <c r="K357">
        <v>3.4000000000000002E-2</v>
      </c>
      <c r="L357">
        <v>26</v>
      </c>
      <c r="M357">
        <v>20</v>
      </c>
      <c r="N357">
        <v>17</v>
      </c>
      <c r="O357">
        <v>0.86599999999999999</v>
      </c>
      <c r="P357">
        <v>7.2378977999999997E-2</v>
      </c>
      <c r="Q357">
        <v>0.157</v>
      </c>
    </row>
    <row r="358" spans="1:17" s="30" customFormat="1" x14ac:dyDescent="0.2">
      <c r="A358" s="30" t="str">
        <f>IF(C358&amp;G358&amp;D358&lt;&gt;'Funnel setup'!$K$3&amp;'Funnel setup'!$K$4&amp;'Funnel setup'!$K$5,".",IF(A357=".",1,A357+1))</f>
        <v>.</v>
      </c>
      <c r="B358" s="431" t="str">
        <f t="shared" si="5"/>
        <v>Groin HerniaCCG of GP PracticeNHS SANDWELL AND WEST BIRMINGHAM CCG (05L)EQ-5D Index</v>
      </c>
      <c r="C358" t="s">
        <v>50</v>
      </c>
      <c r="D358" t="s">
        <v>87</v>
      </c>
      <c r="E358" t="s">
        <v>809</v>
      </c>
      <c r="F358" t="s">
        <v>810</v>
      </c>
      <c r="G358" t="s">
        <v>52</v>
      </c>
      <c r="H358">
        <v>173</v>
      </c>
      <c r="I358">
        <v>0.79400000000000004</v>
      </c>
      <c r="J358">
        <v>0.84399999999999997</v>
      </c>
      <c r="K358">
        <v>0.05</v>
      </c>
      <c r="L358">
        <v>78</v>
      </c>
      <c r="M358">
        <v>54</v>
      </c>
      <c r="N358">
        <v>41</v>
      </c>
      <c r="O358">
        <v>0.86399999999999999</v>
      </c>
      <c r="P358">
        <v>7.0564611999999999E-2</v>
      </c>
      <c r="Q358">
        <v>0.16600000000000001</v>
      </c>
    </row>
    <row r="359" spans="1:17" s="30" customFormat="1" x14ac:dyDescent="0.2">
      <c r="A359" s="30" t="str">
        <f>IF(C359&amp;G359&amp;D359&lt;&gt;'Funnel setup'!$K$3&amp;'Funnel setup'!$K$4&amp;'Funnel setup'!$K$5,".",IF(A358=".",1,A358+1))</f>
        <v>.</v>
      </c>
      <c r="B359" s="431" t="str">
        <f t="shared" si="5"/>
        <v>Groin HerniaCCG of GP PracticeNHS SCARBOROUGH AND RYEDALE CCG (03M)EQ-5D Index</v>
      </c>
      <c r="C359" t="s">
        <v>50</v>
      </c>
      <c r="D359" t="s">
        <v>87</v>
      </c>
      <c r="E359" t="s">
        <v>812</v>
      </c>
      <c r="F359" t="s">
        <v>813</v>
      </c>
      <c r="G359" t="s">
        <v>52</v>
      </c>
      <c r="H359">
        <v>85</v>
      </c>
      <c r="I359">
        <v>0.78200000000000003</v>
      </c>
      <c r="J359">
        <v>0.85899999999999999</v>
      </c>
      <c r="K359">
        <v>7.5999999999999998E-2</v>
      </c>
      <c r="L359">
        <v>52</v>
      </c>
      <c r="M359">
        <v>21</v>
      </c>
      <c r="N359">
        <v>12</v>
      </c>
      <c r="O359">
        <v>0.872</v>
      </c>
      <c r="P359">
        <v>7.8995077999999996E-2</v>
      </c>
      <c r="Q359">
        <v>0.182</v>
      </c>
    </row>
    <row r="360" spans="1:17" s="30" customFormat="1" x14ac:dyDescent="0.2">
      <c r="A360" s="30" t="str">
        <f>IF(C360&amp;G360&amp;D360&lt;&gt;'Funnel setup'!$K$3&amp;'Funnel setup'!$K$4&amp;'Funnel setup'!$K$5,".",IF(A359=".",1,A359+1))</f>
        <v>.</v>
      </c>
      <c r="B360" s="431" t="str">
        <f t="shared" si="5"/>
        <v>Groin HerniaCCG of GP PracticeNHS SHEFFIELD CCG (03N)EQ-5D Index</v>
      </c>
      <c r="C360" t="s">
        <v>50</v>
      </c>
      <c r="D360" t="s">
        <v>87</v>
      </c>
      <c r="E360" t="s">
        <v>815</v>
      </c>
      <c r="F360" t="s">
        <v>816</v>
      </c>
      <c r="G360" t="s">
        <v>52</v>
      </c>
      <c r="H360">
        <v>190</v>
      </c>
      <c r="I360">
        <v>0.77500000000000002</v>
      </c>
      <c r="J360">
        <v>0.83299999999999996</v>
      </c>
      <c r="K360">
        <v>5.7000000000000002E-2</v>
      </c>
      <c r="L360">
        <v>83</v>
      </c>
      <c r="M360">
        <v>61</v>
      </c>
      <c r="N360">
        <v>46</v>
      </c>
      <c r="O360">
        <v>0.86</v>
      </c>
      <c r="P360">
        <v>6.630403E-2</v>
      </c>
      <c r="Q360">
        <v>0.184</v>
      </c>
    </row>
    <row r="361" spans="1:17" s="30" customFormat="1" x14ac:dyDescent="0.2">
      <c r="A361" s="30" t="str">
        <f>IF(C361&amp;G361&amp;D361&lt;&gt;'Funnel setup'!$K$3&amp;'Funnel setup'!$K$4&amp;'Funnel setup'!$K$5,".",IF(A360=".",1,A360+1))</f>
        <v>.</v>
      </c>
      <c r="B361" s="431" t="str">
        <f t="shared" si="5"/>
        <v>Groin HerniaCCG of GP PracticeNHS SHROPSHIRE CCG (05N)EQ-5D Index</v>
      </c>
      <c r="C361" t="s">
        <v>50</v>
      </c>
      <c r="D361" t="s">
        <v>87</v>
      </c>
      <c r="E361" t="s">
        <v>818</v>
      </c>
      <c r="F361" t="s">
        <v>819</v>
      </c>
      <c r="G361" t="s">
        <v>52</v>
      </c>
      <c r="H361">
        <v>176</v>
      </c>
      <c r="I361">
        <v>0.76700000000000002</v>
      </c>
      <c r="J361">
        <v>0.89100000000000001</v>
      </c>
      <c r="K361">
        <v>0.124</v>
      </c>
      <c r="L361">
        <v>114</v>
      </c>
      <c r="M361">
        <v>41</v>
      </c>
      <c r="N361">
        <v>21</v>
      </c>
      <c r="O361">
        <v>0.88200000000000001</v>
      </c>
      <c r="P361">
        <v>8.9041148000000001E-2</v>
      </c>
      <c r="Q361">
        <v>0.158</v>
      </c>
    </row>
    <row r="362" spans="1:17" s="30" customFormat="1" x14ac:dyDescent="0.2">
      <c r="A362" s="30" t="str">
        <f>IF(C362&amp;G362&amp;D362&lt;&gt;'Funnel setup'!$K$3&amp;'Funnel setup'!$K$4&amp;'Funnel setup'!$K$5,".",IF(A361=".",1,A361+1))</f>
        <v>.</v>
      </c>
      <c r="B362" s="431" t="str">
        <f t="shared" si="5"/>
        <v>Groin HerniaCCG of GP PracticeNHS SLOUGH CCG (10T)EQ-5D Index</v>
      </c>
      <c r="C362" t="s">
        <v>50</v>
      </c>
      <c r="D362" t="s">
        <v>87</v>
      </c>
      <c r="E362" t="s">
        <v>821</v>
      </c>
      <c r="F362" t="s">
        <v>822</v>
      </c>
      <c r="G362" t="s">
        <v>52</v>
      </c>
      <c r="H362">
        <v>9</v>
      </c>
      <c r="I362">
        <v>0.82599999999999996</v>
      </c>
      <c r="J362">
        <v>0.85299999999999998</v>
      </c>
      <c r="K362">
        <v>2.7E-2</v>
      </c>
      <c r="L362">
        <v>4</v>
      </c>
      <c r="M362">
        <v>1</v>
      </c>
      <c r="N362">
        <v>4</v>
      </c>
      <c r="O362" t="s">
        <v>53</v>
      </c>
      <c r="P362" t="s">
        <v>53</v>
      </c>
      <c r="Q362" t="s">
        <v>53</v>
      </c>
    </row>
    <row r="363" spans="1:17" s="30" customFormat="1" x14ac:dyDescent="0.2">
      <c r="A363" s="30" t="str">
        <f>IF(C363&amp;G363&amp;D363&lt;&gt;'Funnel setup'!$K$3&amp;'Funnel setup'!$K$4&amp;'Funnel setup'!$K$5,".",IF(A362=".",1,A362+1))</f>
        <v>.</v>
      </c>
      <c r="B363" s="431" t="str">
        <f t="shared" si="5"/>
        <v>Groin HerniaCCG of GP PracticeNHS SOLIHULL CCG (05P)EQ-5D Index</v>
      </c>
      <c r="C363" t="s">
        <v>50</v>
      </c>
      <c r="D363" t="s">
        <v>87</v>
      </c>
      <c r="E363" t="s">
        <v>824</v>
      </c>
      <c r="F363" t="s">
        <v>825</v>
      </c>
      <c r="G363" t="s">
        <v>52</v>
      </c>
      <c r="H363">
        <v>100</v>
      </c>
      <c r="I363">
        <v>0.78500000000000003</v>
      </c>
      <c r="J363">
        <v>0.86799999999999999</v>
      </c>
      <c r="K363">
        <v>8.3000000000000004E-2</v>
      </c>
      <c r="L363">
        <v>52</v>
      </c>
      <c r="M363">
        <v>30</v>
      </c>
      <c r="N363">
        <v>18</v>
      </c>
      <c r="O363">
        <v>0.87</v>
      </c>
      <c r="P363">
        <v>7.6476930999999998E-2</v>
      </c>
      <c r="Q363">
        <v>0.18099999999999999</v>
      </c>
    </row>
    <row r="364" spans="1:17" s="30" customFormat="1" x14ac:dyDescent="0.2">
      <c r="A364" s="30" t="str">
        <f>IF(C364&amp;G364&amp;D364&lt;&gt;'Funnel setup'!$K$3&amp;'Funnel setup'!$K$4&amp;'Funnel setup'!$K$5,".",IF(A363=".",1,A363+1))</f>
        <v>.</v>
      </c>
      <c r="B364" s="431" t="str">
        <f t="shared" si="5"/>
        <v>Groin HerniaCCG of GP PracticeNHS SOMERSET CCG (11X)EQ-5D Index</v>
      </c>
      <c r="C364" t="s">
        <v>50</v>
      </c>
      <c r="D364" t="s">
        <v>87</v>
      </c>
      <c r="E364" t="s">
        <v>827</v>
      </c>
      <c r="F364" t="s">
        <v>828</v>
      </c>
      <c r="G364" t="s">
        <v>52</v>
      </c>
      <c r="H364">
        <v>398</v>
      </c>
      <c r="I364">
        <v>0.82899999999999996</v>
      </c>
      <c r="J364">
        <v>0.89</v>
      </c>
      <c r="K364">
        <v>0.06</v>
      </c>
      <c r="L364">
        <v>181</v>
      </c>
      <c r="M364">
        <v>144</v>
      </c>
      <c r="N364">
        <v>73</v>
      </c>
      <c r="O364">
        <v>0.86699999999999999</v>
      </c>
      <c r="P364">
        <v>7.3657656000000002E-2</v>
      </c>
      <c r="Q364">
        <v>0.159</v>
      </c>
    </row>
    <row r="365" spans="1:17" s="30" customFormat="1" x14ac:dyDescent="0.2">
      <c r="A365" s="30" t="str">
        <f>IF(C365&amp;G365&amp;D365&lt;&gt;'Funnel setup'!$K$3&amp;'Funnel setup'!$K$4&amp;'Funnel setup'!$K$5,".",IF(A364=".",1,A364+1))</f>
        <v>.</v>
      </c>
      <c r="B365" s="431" t="str">
        <f t="shared" si="5"/>
        <v>Groin HerniaCCG of GP PracticeNHS SOUTH CHESHIRE CCG (01R)EQ-5D Index</v>
      </c>
      <c r="C365" t="s">
        <v>50</v>
      </c>
      <c r="D365" t="s">
        <v>87</v>
      </c>
      <c r="E365" t="s">
        <v>830</v>
      </c>
      <c r="F365" t="s">
        <v>831</v>
      </c>
      <c r="G365" t="s">
        <v>52</v>
      </c>
      <c r="H365">
        <v>114</v>
      </c>
      <c r="I365">
        <v>0.81599999999999995</v>
      </c>
      <c r="J365">
        <v>0.876</v>
      </c>
      <c r="K365">
        <v>5.8999999999999997E-2</v>
      </c>
      <c r="L365">
        <v>48</v>
      </c>
      <c r="M365">
        <v>37</v>
      </c>
      <c r="N365">
        <v>29</v>
      </c>
      <c r="O365">
        <v>0.85399999999999998</v>
      </c>
      <c r="P365">
        <v>6.1098104E-2</v>
      </c>
      <c r="Q365">
        <v>0.15</v>
      </c>
    </row>
    <row r="366" spans="1:17" s="30" customFormat="1" x14ac:dyDescent="0.2">
      <c r="A366" s="30" t="str">
        <f>IF(C366&amp;G366&amp;D366&lt;&gt;'Funnel setup'!$K$3&amp;'Funnel setup'!$K$4&amp;'Funnel setup'!$K$5,".",IF(A365=".",1,A365+1))</f>
        <v>.</v>
      </c>
      <c r="B366" s="431" t="str">
        <f t="shared" si="5"/>
        <v>Groin HerniaCCG of GP PracticeNHS SOUTH DEVON AND TORBAY CCG (99Q)EQ-5D Index</v>
      </c>
      <c r="C366" t="s">
        <v>50</v>
      </c>
      <c r="D366" t="s">
        <v>87</v>
      </c>
      <c r="E366" t="s">
        <v>833</v>
      </c>
      <c r="F366" t="s">
        <v>834</v>
      </c>
      <c r="G366" t="s">
        <v>52</v>
      </c>
      <c r="H366">
        <v>151</v>
      </c>
      <c r="I366">
        <v>0.84299999999999997</v>
      </c>
      <c r="J366">
        <v>0.88800000000000001</v>
      </c>
      <c r="K366">
        <v>4.4999999999999998E-2</v>
      </c>
      <c r="L366">
        <v>60</v>
      </c>
      <c r="M366">
        <v>60</v>
      </c>
      <c r="N366">
        <v>31</v>
      </c>
      <c r="O366">
        <v>0.85499999999999998</v>
      </c>
      <c r="P366">
        <v>6.1877577000000003E-2</v>
      </c>
      <c r="Q366">
        <v>0.153</v>
      </c>
    </row>
    <row r="367" spans="1:17" s="30" customFormat="1" x14ac:dyDescent="0.2">
      <c r="A367" s="30" t="str">
        <f>IF(C367&amp;G367&amp;D367&lt;&gt;'Funnel setup'!$K$3&amp;'Funnel setup'!$K$4&amp;'Funnel setup'!$K$5,".",IF(A366=".",1,A366+1))</f>
        <v>.</v>
      </c>
      <c r="B367" s="431" t="str">
        <f t="shared" si="5"/>
        <v>Groin HerniaCCG of GP PracticeNHS SOUTH EAST STAFFORDSHIRE AND SEISDON PENINSULA CCG (05Q)EQ-5D Index</v>
      </c>
      <c r="C367" t="s">
        <v>50</v>
      </c>
      <c r="D367" t="s">
        <v>87</v>
      </c>
      <c r="E367" t="s">
        <v>836</v>
      </c>
      <c r="F367" t="s">
        <v>837</v>
      </c>
      <c r="G367" t="s">
        <v>52</v>
      </c>
      <c r="H367">
        <v>136</v>
      </c>
      <c r="I367">
        <v>0.79800000000000004</v>
      </c>
      <c r="J367">
        <v>0.88600000000000001</v>
      </c>
      <c r="K367">
        <v>8.7999999999999995E-2</v>
      </c>
      <c r="L367">
        <v>72</v>
      </c>
      <c r="M367">
        <v>41</v>
      </c>
      <c r="N367">
        <v>23</v>
      </c>
      <c r="O367">
        <v>0.88200000000000001</v>
      </c>
      <c r="P367">
        <v>8.8678814999999994E-2</v>
      </c>
      <c r="Q367">
        <v>0.13200000000000001</v>
      </c>
    </row>
    <row r="368" spans="1:17" s="30" customFormat="1" x14ac:dyDescent="0.2">
      <c r="A368" s="30" t="str">
        <f>IF(C368&amp;G368&amp;D368&lt;&gt;'Funnel setup'!$K$3&amp;'Funnel setup'!$K$4&amp;'Funnel setup'!$K$5,".",IF(A367=".",1,A367+1))</f>
        <v>.</v>
      </c>
      <c r="B368" s="431" t="str">
        <f t="shared" si="5"/>
        <v>Groin HerniaCCG of GP PracticeNHS SOUTH EASTERN HAMPSHIRE CCG (10V)EQ-5D Index</v>
      </c>
      <c r="C368" t="s">
        <v>50</v>
      </c>
      <c r="D368" t="s">
        <v>87</v>
      </c>
      <c r="E368" t="s">
        <v>839</v>
      </c>
      <c r="F368" t="s">
        <v>840</v>
      </c>
      <c r="G368" t="s">
        <v>52</v>
      </c>
      <c r="H368">
        <v>77</v>
      </c>
      <c r="I368">
        <v>0.82199999999999995</v>
      </c>
      <c r="J368">
        <v>0.90900000000000003</v>
      </c>
      <c r="K368">
        <v>8.6999999999999994E-2</v>
      </c>
      <c r="L368">
        <v>34</v>
      </c>
      <c r="M368">
        <v>29</v>
      </c>
      <c r="N368">
        <v>14</v>
      </c>
      <c r="O368">
        <v>0.89500000000000002</v>
      </c>
      <c r="P368">
        <v>0.10122487199999999</v>
      </c>
      <c r="Q368">
        <v>0.13200000000000001</v>
      </c>
    </row>
    <row r="369" spans="1:17" s="30" customFormat="1" x14ac:dyDescent="0.2">
      <c r="A369" s="30" t="str">
        <f>IF(C369&amp;G369&amp;D369&lt;&gt;'Funnel setup'!$K$3&amp;'Funnel setup'!$K$4&amp;'Funnel setup'!$K$5,".",IF(A368=".",1,A368+1))</f>
        <v>.</v>
      </c>
      <c r="B369" s="431" t="str">
        <f t="shared" si="5"/>
        <v>Groin HerniaCCG of GP PracticeNHS SOUTH GLOUCESTERSHIRE CCG (12A)EQ-5D Index</v>
      </c>
      <c r="C369" t="s">
        <v>50</v>
      </c>
      <c r="D369" t="s">
        <v>87</v>
      </c>
      <c r="E369" t="s">
        <v>842</v>
      </c>
      <c r="F369" t="s">
        <v>843</v>
      </c>
      <c r="G369" t="s">
        <v>52</v>
      </c>
      <c r="H369">
        <v>69</v>
      </c>
      <c r="I369">
        <v>0.79200000000000004</v>
      </c>
      <c r="J369">
        <v>0.92</v>
      </c>
      <c r="K369">
        <v>0.128</v>
      </c>
      <c r="L369">
        <v>42</v>
      </c>
      <c r="M369">
        <v>22</v>
      </c>
      <c r="N369">
        <v>5</v>
      </c>
      <c r="O369">
        <v>0.89900000000000002</v>
      </c>
      <c r="P369">
        <v>0.10576508799999999</v>
      </c>
      <c r="Q369">
        <v>0.13100000000000001</v>
      </c>
    </row>
    <row r="370" spans="1:17" s="30" customFormat="1" x14ac:dyDescent="0.2">
      <c r="A370" s="30" t="str">
        <f>IF(C370&amp;G370&amp;D370&lt;&gt;'Funnel setup'!$K$3&amp;'Funnel setup'!$K$4&amp;'Funnel setup'!$K$5,".",IF(A369=".",1,A369+1))</f>
        <v>.</v>
      </c>
      <c r="B370" s="431" t="str">
        <f t="shared" si="5"/>
        <v>Groin HerniaCCG of GP PracticeNHS SOUTH KENT COAST CCG (10A)EQ-5D Index</v>
      </c>
      <c r="C370" t="s">
        <v>50</v>
      </c>
      <c r="D370" t="s">
        <v>87</v>
      </c>
      <c r="E370" t="s">
        <v>845</v>
      </c>
      <c r="F370" t="s">
        <v>846</v>
      </c>
      <c r="G370" t="s">
        <v>52</v>
      </c>
      <c r="H370">
        <v>82</v>
      </c>
      <c r="I370">
        <v>0.76900000000000002</v>
      </c>
      <c r="J370">
        <v>0.86699999999999999</v>
      </c>
      <c r="K370">
        <v>9.8000000000000004E-2</v>
      </c>
      <c r="L370">
        <v>44</v>
      </c>
      <c r="M370">
        <v>24</v>
      </c>
      <c r="N370">
        <v>14</v>
      </c>
      <c r="O370">
        <v>0.878</v>
      </c>
      <c r="P370">
        <v>8.5033890000000001E-2</v>
      </c>
      <c r="Q370">
        <v>0.17399999999999999</v>
      </c>
    </row>
    <row r="371" spans="1:17" s="30" customFormat="1" x14ac:dyDescent="0.2">
      <c r="A371" s="30" t="str">
        <f>IF(C371&amp;G371&amp;D371&lt;&gt;'Funnel setup'!$K$3&amp;'Funnel setup'!$K$4&amp;'Funnel setup'!$K$5,".",IF(A370=".",1,A370+1))</f>
        <v>.</v>
      </c>
      <c r="B371" s="431" t="str">
        <f t="shared" si="5"/>
        <v>Groin HerniaCCG of GP PracticeNHS SOUTH LINCOLNSHIRE CCG (99D)EQ-5D Index</v>
      </c>
      <c r="C371" t="s">
        <v>50</v>
      </c>
      <c r="D371" t="s">
        <v>87</v>
      </c>
      <c r="E371" t="s">
        <v>848</v>
      </c>
      <c r="F371" t="s">
        <v>849</v>
      </c>
      <c r="G371" t="s">
        <v>52</v>
      </c>
      <c r="H371">
        <v>97</v>
      </c>
      <c r="I371">
        <v>0.82599999999999996</v>
      </c>
      <c r="J371">
        <v>0.88700000000000001</v>
      </c>
      <c r="K371">
        <v>0.06</v>
      </c>
      <c r="L371">
        <v>43</v>
      </c>
      <c r="M371">
        <v>32</v>
      </c>
      <c r="N371">
        <v>22</v>
      </c>
      <c r="O371">
        <v>0.88</v>
      </c>
      <c r="P371">
        <v>8.6571326000000004E-2</v>
      </c>
      <c r="Q371">
        <v>0.13100000000000001</v>
      </c>
    </row>
    <row r="372" spans="1:17" s="30" customFormat="1" x14ac:dyDescent="0.2">
      <c r="A372" s="30" t="str">
        <f>IF(C372&amp;G372&amp;D372&lt;&gt;'Funnel setup'!$K$3&amp;'Funnel setup'!$K$4&amp;'Funnel setup'!$K$5,".",IF(A371=".",1,A371+1))</f>
        <v>.</v>
      </c>
      <c r="B372" s="431" t="str">
        <f t="shared" si="5"/>
        <v>Groin HerniaCCG of GP PracticeNHS SOUTH MANCHESTER CCG (01N)EQ-5D Index</v>
      </c>
      <c r="C372" t="s">
        <v>50</v>
      </c>
      <c r="D372" t="s">
        <v>87</v>
      </c>
      <c r="E372" t="s">
        <v>851</v>
      </c>
      <c r="F372" t="s">
        <v>852</v>
      </c>
      <c r="G372" t="s">
        <v>52</v>
      </c>
      <c r="H372">
        <v>20</v>
      </c>
      <c r="I372">
        <v>0.73299999999999998</v>
      </c>
      <c r="J372">
        <v>0.77400000000000002</v>
      </c>
      <c r="K372">
        <v>0.04</v>
      </c>
      <c r="L372">
        <v>4</v>
      </c>
      <c r="M372">
        <v>12</v>
      </c>
      <c r="N372">
        <v>4</v>
      </c>
      <c r="O372" t="s">
        <v>53</v>
      </c>
      <c r="P372" t="s">
        <v>53</v>
      </c>
      <c r="Q372" t="s">
        <v>53</v>
      </c>
    </row>
    <row r="373" spans="1:17" s="30" customFormat="1" x14ac:dyDescent="0.2">
      <c r="A373" s="30" t="str">
        <f>IF(C373&amp;G373&amp;D373&lt;&gt;'Funnel setup'!$K$3&amp;'Funnel setup'!$K$4&amp;'Funnel setup'!$K$5,".",IF(A372=".",1,A372+1))</f>
        <v>.</v>
      </c>
      <c r="B373" s="431" t="str">
        <f t="shared" si="5"/>
        <v>Groin HerniaCCG of GP PracticeNHS SOUTH NORFOLK CCG (06Y)EQ-5D Index</v>
      </c>
      <c r="C373" t="s">
        <v>50</v>
      </c>
      <c r="D373" t="s">
        <v>87</v>
      </c>
      <c r="E373" t="s">
        <v>932</v>
      </c>
      <c r="F373" t="s">
        <v>933</v>
      </c>
      <c r="G373" t="s">
        <v>52</v>
      </c>
      <c r="H373">
        <v>167</v>
      </c>
      <c r="I373">
        <v>0.77500000000000002</v>
      </c>
      <c r="J373">
        <v>0.877</v>
      </c>
      <c r="K373">
        <v>0.10199999999999999</v>
      </c>
      <c r="L373">
        <v>93</v>
      </c>
      <c r="M373">
        <v>51</v>
      </c>
      <c r="N373">
        <v>23</v>
      </c>
      <c r="O373">
        <v>0.878</v>
      </c>
      <c r="P373">
        <v>8.4484798999999999E-2</v>
      </c>
      <c r="Q373">
        <v>0.17</v>
      </c>
    </row>
    <row r="374" spans="1:17" s="30" customFormat="1" x14ac:dyDescent="0.2">
      <c r="A374" s="30" t="str">
        <f>IF(C374&amp;G374&amp;D374&lt;&gt;'Funnel setup'!$K$3&amp;'Funnel setup'!$K$4&amp;'Funnel setup'!$K$5,".",IF(A373=".",1,A373+1))</f>
        <v>.</v>
      </c>
      <c r="B374" s="431" t="str">
        <f t="shared" si="5"/>
        <v>Groin HerniaCCG of GP PracticeNHS SOUTH READING CCG (10W)EQ-5D Index</v>
      </c>
      <c r="C374" t="s">
        <v>50</v>
      </c>
      <c r="D374" t="s">
        <v>87</v>
      </c>
      <c r="E374" t="s">
        <v>935</v>
      </c>
      <c r="F374" t="s">
        <v>936</v>
      </c>
      <c r="G374" t="s">
        <v>52</v>
      </c>
      <c r="H374">
        <v>29</v>
      </c>
      <c r="I374">
        <v>0.76500000000000001</v>
      </c>
      <c r="J374">
        <v>0.88200000000000001</v>
      </c>
      <c r="K374">
        <v>0.11700000000000001</v>
      </c>
      <c r="L374">
        <v>19</v>
      </c>
      <c r="M374">
        <v>8</v>
      </c>
      <c r="N374">
        <v>2</v>
      </c>
      <c r="O374" t="s">
        <v>53</v>
      </c>
      <c r="P374" t="s">
        <v>53</v>
      </c>
      <c r="Q374" t="s">
        <v>53</v>
      </c>
    </row>
    <row r="375" spans="1:17" s="30" customFormat="1" x14ac:dyDescent="0.2">
      <c r="A375" s="30" t="str">
        <f>IF(C375&amp;G375&amp;D375&lt;&gt;'Funnel setup'!$K$3&amp;'Funnel setup'!$K$4&amp;'Funnel setup'!$K$5,".",IF(A374=".",1,A374+1))</f>
        <v>.</v>
      </c>
      <c r="B375" s="431" t="str">
        <f t="shared" si="5"/>
        <v>Groin HerniaCCG of GP PracticeNHS SOUTH SEFTON CCG (01T)EQ-5D Index</v>
      </c>
      <c r="C375" t="s">
        <v>50</v>
      </c>
      <c r="D375" t="s">
        <v>87</v>
      </c>
      <c r="E375" t="s">
        <v>938</v>
      </c>
      <c r="F375" t="s">
        <v>939</v>
      </c>
      <c r="G375" t="s">
        <v>52</v>
      </c>
      <c r="H375">
        <v>72</v>
      </c>
      <c r="I375">
        <v>0.79700000000000004</v>
      </c>
      <c r="J375">
        <v>0.88500000000000001</v>
      </c>
      <c r="K375">
        <v>8.7999999999999995E-2</v>
      </c>
      <c r="L375">
        <v>42</v>
      </c>
      <c r="M375">
        <v>21</v>
      </c>
      <c r="N375">
        <v>9</v>
      </c>
      <c r="O375">
        <v>0.876</v>
      </c>
      <c r="P375">
        <v>8.2876841000000007E-2</v>
      </c>
      <c r="Q375">
        <v>0.16</v>
      </c>
    </row>
    <row r="376" spans="1:17" s="30" customFormat="1" x14ac:dyDescent="0.2">
      <c r="A376" s="30" t="str">
        <f>IF(C376&amp;G376&amp;D376&lt;&gt;'Funnel setup'!$K$3&amp;'Funnel setup'!$K$4&amp;'Funnel setup'!$K$5,".",IF(A375=".",1,A375+1))</f>
        <v>.</v>
      </c>
      <c r="B376" s="431" t="str">
        <f t="shared" si="5"/>
        <v>Groin HerniaCCG of GP PracticeNHS SOUTH TEES CCG (00M)EQ-5D Index</v>
      </c>
      <c r="C376" t="s">
        <v>50</v>
      </c>
      <c r="D376" t="s">
        <v>87</v>
      </c>
      <c r="E376" t="s">
        <v>941</v>
      </c>
      <c r="F376" t="s">
        <v>942</v>
      </c>
      <c r="G376" t="s">
        <v>52</v>
      </c>
      <c r="H376">
        <v>120</v>
      </c>
      <c r="I376">
        <v>0.76300000000000001</v>
      </c>
      <c r="J376">
        <v>0.84699999999999998</v>
      </c>
      <c r="K376">
        <v>8.5000000000000006E-2</v>
      </c>
      <c r="L376">
        <v>62</v>
      </c>
      <c r="M376">
        <v>33</v>
      </c>
      <c r="N376">
        <v>25</v>
      </c>
      <c r="O376">
        <v>0.86699999999999999</v>
      </c>
      <c r="P376">
        <v>7.3780095000000004E-2</v>
      </c>
      <c r="Q376">
        <v>0.18099999999999999</v>
      </c>
    </row>
    <row r="377" spans="1:17" s="30" customFormat="1" x14ac:dyDescent="0.2">
      <c r="A377" s="30" t="str">
        <f>IF(C377&amp;G377&amp;D377&lt;&gt;'Funnel setup'!$K$3&amp;'Funnel setup'!$K$4&amp;'Funnel setup'!$K$5,".",IF(A376=".",1,A376+1))</f>
        <v>.</v>
      </c>
      <c r="B377" s="431" t="str">
        <f t="shared" si="5"/>
        <v>Groin HerniaCCG of GP PracticeNHS SOUTH TYNESIDE CCG (00N)EQ-5D Index</v>
      </c>
      <c r="C377" t="s">
        <v>50</v>
      </c>
      <c r="D377" t="s">
        <v>87</v>
      </c>
      <c r="E377" t="s">
        <v>1016</v>
      </c>
      <c r="F377" t="s">
        <v>1017</v>
      </c>
      <c r="G377" t="s">
        <v>52</v>
      </c>
      <c r="H377">
        <v>83</v>
      </c>
      <c r="I377">
        <v>0.77500000000000002</v>
      </c>
      <c r="J377">
        <v>0.82099999999999995</v>
      </c>
      <c r="K377">
        <v>4.5999999999999999E-2</v>
      </c>
      <c r="L377">
        <v>36</v>
      </c>
      <c r="M377">
        <v>27</v>
      </c>
      <c r="N377">
        <v>20</v>
      </c>
      <c r="O377">
        <v>0.83199999999999996</v>
      </c>
      <c r="P377">
        <v>3.8795864999999999E-2</v>
      </c>
      <c r="Q377">
        <v>0.158</v>
      </c>
    </row>
    <row r="378" spans="1:17" s="30" customFormat="1" x14ac:dyDescent="0.2">
      <c r="A378" s="30" t="str">
        <f>IF(C378&amp;G378&amp;D378&lt;&gt;'Funnel setup'!$K$3&amp;'Funnel setup'!$K$4&amp;'Funnel setup'!$K$5,".",IF(A377=".",1,A377+1))</f>
        <v>.</v>
      </c>
      <c r="B378" s="431" t="str">
        <f t="shared" si="5"/>
        <v>Groin HerniaCCG of GP PracticeNHS SOUTH WARWICKSHIRE CCG (05R)EQ-5D Index</v>
      </c>
      <c r="C378" t="s">
        <v>50</v>
      </c>
      <c r="D378" t="s">
        <v>87</v>
      </c>
      <c r="E378" t="s">
        <v>944</v>
      </c>
      <c r="F378" t="s">
        <v>945</v>
      </c>
      <c r="G378" t="s">
        <v>52</v>
      </c>
      <c r="H378">
        <v>217</v>
      </c>
      <c r="I378">
        <v>0.77800000000000002</v>
      </c>
      <c r="J378">
        <v>0.89800000000000002</v>
      </c>
      <c r="K378">
        <v>0.12</v>
      </c>
      <c r="L378">
        <v>122</v>
      </c>
      <c r="M378">
        <v>74</v>
      </c>
      <c r="N378">
        <v>21</v>
      </c>
      <c r="O378">
        <v>0.89600000000000002</v>
      </c>
      <c r="P378">
        <v>0.102842725</v>
      </c>
      <c r="Q378">
        <v>0.13400000000000001</v>
      </c>
    </row>
    <row r="379" spans="1:17" s="30" customFormat="1" x14ac:dyDescent="0.2">
      <c r="A379" s="30" t="str">
        <f>IF(C379&amp;G379&amp;D379&lt;&gt;'Funnel setup'!$K$3&amp;'Funnel setup'!$K$4&amp;'Funnel setup'!$K$5,".",IF(A378=".",1,A378+1))</f>
        <v>.</v>
      </c>
      <c r="B379" s="431" t="str">
        <f t="shared" si="5"/>
        <v>Groin HerniaCCG of GP PracticeNHS SOUTH WEST LINCOLNSHIRE CCG (04Q)EQ-5D Index</v>
      </c>
      <c r="C379" t="s">
        <v>50</v>
      </c>
      <c r="D379" t="s">
        <v>87</v>
      </c>
      <c r="E379" t="s">
        <v>947</v>
      </c>
      <c r="F379" t="s">
        <v>948</v>
      </c>
      <c r="G379" t="s">
        <v>52</v>
      </c>
      <c r="H379">
        <v>58</v>
      </c>
      <c r="I379">
        <v>0.83099999999999996</v>
      </c>
      <c r="J379">
        <v>0.85099999999999998</v>
      </c>
      <c r="K379">
        <v>0.02</v>
      </c>
      <c r="L379">
        <v>22</v>
      </c>
      <c r="M379">
        <v>18</v>
      </c>
      <c r="N379">
        <v>18</v>
      </c>
      <c r="O379">
        <v>0.83499999999999996</v>
      </c>
      <c r="P379">
        <v>4.1686457000000003E-2</v>
      </c>
      <c r="Q379">
        <v>0.152</v>
      </c>
    </row>
    <row r="380" spans="1:17" s="30" customFormat="1" x14ac:dyDescent="0.2">
      <c r="A380" s="30" t="str">
        <f>IF(C380&amp;G380&amp;D380&lt;&gt;'Funnel setup'!$K$3&amp;'Funnel setup'!$K$4&amp;'Funnel setup'!$K$5,".",IF(A379=".",1,A379+1))</f>
        <v>.</v>
      </c>
      <c r="B380" s="431" t="str">
        <f t="shared" si="5"/>
        <v>Groin HerniaCCG of GP PracticeNHS SOUTH WORCESTERSHIRE CCG (05T)EQ-5D Index</v>
      </c>
      <c r="C380" t="s">
        <v>50</v>
      </c>
      <c r="D380" t="s">
        <v>87</v>
      </c>
      <c r="E380" t="s">
        <v>950</v>
      </c>
      <c r="F380" t="s">
        <v>951</v>
      </c>
      <c r="G380" t="s">
        <v>52</v>
      </c>
      <c r="H380">
        <v>146</v>
      </c>
      <c r="I380">
        <v>0.81399999999999995</v>
      </c>
      <c r="J380">
        <v>0.88700000000000001</v>
      </c>
      <c r="K380">
        <v>7.2999999999999995E-2</v>
      </c>
      <c r="L380">
        <v>76</v>
      </c>
      <c r="M380">
        <v>50</v>
      </c>
      <c r="N380">
        <v>20</v>
      </c>
      <c r="O380">
        <v>0.88300000000000001</v>
      </c>
      <c r="P380">
        <v>8.9310189999999998E-2</v>
      </c>
      <c r="Q380">
        <v>0.153</v>
      </c>
    </row>
    <row r="381" spans="1:17" s="30" customFormat="1" x14ac:dyDescent="0.2">
      <c r="A381" s="30" t="str">
        <f>IF(C381&amp;G381&amp;D381&lt;&gt;'Funnel setup'!$K$3&amp;'Funnel setup'!$K$4&amp;'Funnel setup'!$K$5,".",IF(A380=".",1,A380+1))</f>
        <v>.</v>
      </c>
      <c r="B381" s="431" t="str">
        <f t="shared" si="5"/>
        <v>Groin HerniaCCG of GP PracticeNHS SOUTHAMPTON CCG (10X)EQ-5D Index</v>
      </c>
      <c r="C381" t="s">
        <v>50</v>
      </c>
      <c r="D381" t="s">
        <v>87</v>
      </c>
      <c r="E381" t="s">
        <v>953</v>
      </c>
      <c r="F381" t="s">
        <v>954</v>
      </c>
      <c r="G381" t="s">
        <v>52</v>
      </c>
      <c r="H381">
        <v>88</v>
      </c>
      <c r="I381">
        <v>0.81200000000000006</v>
      </c>
      <c r="J381">
        <v>0.86399999999999999</v>
      </c>
      <c r="K381">
        <v>5.1999999999999998E-2</v>
      </c>
      <c r="L381">
        <v>40</v>
      </c>
      <c r="M381">
        <v>30</v>
      </c>
      <c r="N381">
        <v>18</v>
      </c>
      <c r="O381">
        <v>0.86199999999999999</v>
      </c>
      <c r="P381">
        <v>6.9029616000000002E-2</v>
      </c>
      <c r="Q381">
        <v>0.158</v>
      </c>
    </row>
    <row r="382" spans="1:17" s="30" customFormat="1" x14ac:dyDescent="0.2">
      <c r="A382" s="30" t="str">
        <f>IF(C382&amp;G382&amp;D382&lt;&gt;'Funnel setup'!$K$3&amp;'Funnel setup'!$K$4&amp;'Funnel setup'!$K$5,".",IF(A381=".",1,A381+1))</f>
        <v>.</v>
      </c>
      <c r="B382" s="431" t="str">
        <f t="shared" si="5"/>
        <v>Groin HerniaCCG of GP PracticeNHS SOUTHEND CCG (99G)EQ-5D Index</v>
      </c>
      <c r="C382" t="s">
        <v>50</v>
      </c>
      <c r="D382" t="s">
        <v>87</v>
      </c>
      <c r="E382" t="s">
        <v>956</v>
      </c>
      <c r="F382" t="s">
        <v>957</v>
      </c>
      <c r="G382" t="s">
        <v>52</v>
      </c>
      <c r="H382">
        <v>55</v>
      </c>
      <c r="I382">
        <v>0.79</v>
      </c>
      <c r="J382">
        <v>0.86699999999999999</v>
      </c>
      <c r="K382">
        <v>7.5999999999999998E-2</v>
      </c>
      <c r="L382">
        <v>28</v>
      </c>
      <c r="M382">
        <v>12</v>
      </c>
      <c r="N382">
        <v>15</v>
      </c>
      <c r="O382">
        <v>0.88300000000000001</v>
      </c>
      <c r="P382">
        <v>8.9536252999999996E-2</v>
      </c>
      <c r="Q382">
        <v>0.11799999999999999</v>
      </c>
    </row>
    <row r="383" spans="1:17" s="30" customFormat="1" x14ac:dyDescent="0.2">
      <c r="A383" s="30" t="str">
        <f>IF(C383&amp;G383&amp;D383&lt;&gt;'Funnel setup'!$K$3&amp;'Funnel setup'!$K$4&amp;'Funnel setup'!$K$5,".",IF(A382=".",1,A382+1))</f>
        <v>.</v>
      </c>
      <c r="B383" s="431" t="str">
        <f t="shared" si="5"/>
        <v>Groin HerniaCCG of GP PracticeNHS SOUTHERN DERBYSHIRE CCG (04R)EQ-5D Index</v>
      </c>
      <c r="C383" t="s">
        <v>50</v>
      </c>
      <c r="D383" t="s">
        <v>87</v>
      </c>
      <c r="E383" t="s">
        <v>959</v>
      </c>
      <c r="F383" t="s">
        <v>960</v>
      </c>
      <c r="G383" t="s">
        <v>52</v>
      </c>
      <c r="H383">
        <v>157</v>
      </c>
      <c r="I383">
        <v>0.80800000000000005</v>
      </c>
      <c r="J383">
        <v>0.871</v>
      </c>
      <c r="K383">
        <v>6.3E-2</v>
      </c>
      <c r="L383">
        <v>71</v>
      </c>
      <c r="M383">
        <v>53</v>
      </c>
      <c r="N383">
        <v>33</v>
      </c>
      <c r="O383">
        <v>0.86</v>
      </c>
      <c r="P383">
        <v>6.6701267999999994E-2</v>
      </c>
      <c r="Q383">
        <v>0.15</v>
      </c>
    </row>
    <row r="384" spans="1:17" s="30" customFormat="1" x14ac:dyDescent="0.2">
      <c r="A384" s="30" t="str">
        <f>IF(C384&amp;G384&amp;D384&lt;&gt;'Funnel setup'!$K$3&amp;'Funnel setup'!$K$4&amp;'Funnel setup'!$K$5,".",IF(A383=".",1,A383+1))</f>
        <v>.</v>
      </c>
      <c r="B384" s="431" t="str">
        <f t="shared" si="5"/>
        <v>Groin HerniaCCG of GP PracticeNHS SOUTHPORT AND FORMBY CCG (01V)EQ-5D Index</v>
      </c>
      <c r="C384" t="s">
        <v>50</v>
      </c>
      <c r="D384" t="s">
        <v>87</v>
      </c>
      <c r="E384" t="s">
        <v>962</v>
      </c>
      <c r="F384" t="s">
        <v>963</v>
      </c>
      <c r="G384" t="s">
        <v>52</v>
      </c>
      <c r="H384">
        <v>101</v>
      </c>
      <c r="I384">
        <v>0.81899999999999995</v>
      </c>
      <c r="J384">
        <v>0.879</v>
      </c>
      <c r="K384">
        <v>6.0999999999999999E-2</v>
      </c>
      <c r="L384">
        <v>51</v>
      </c>
      <c r="M384">
        <v>34</v>
      </c>
      <c r="N384">
        <v>16</v>
      </c>
      <c r="O384">
        <v>0.86699999999999999</v>
      </c>
      <c r="P384">
        <v>7.3602531999999998E-2</v>
      </c>
      <c r="Q384">
        <v>0.154</v>
      </c>
    </row>
    <row r="385" spans="1:17" s="30" customFormat="1" x14ac:dyDescent="0.2">
      <c r="A385" s="30" t="str">
        <f>IF(C385&amp;G385&amp;D385&lt;&gt;'Funnel setup'!$K$3&amp;'Funnel setup'!$K$4&amp;'Funnel setup'!$K$5,".",IF(A384=".",1,A384+1))</f>
        <v>.</v>
      </c>
      <c r="B385" s="431" t="str">
        <f t="shared" si="5"/>
        <v>Groin HerniaCCG of GP PracticeNHS SOUTHWARK CCG (08Q)EQ-5D Index</v>
      </c>
      <c r="C385" t="s">
        <v>50</v>
      </c>
      <c r="D385" t="s">
        <v>87</v>
      </c>
      <c r="E385" t="s">
        <v>965</v>
      </c>
      <c r="F385" t="s">
        <v>966</v>
      </c>
      <c r="G385" t="s">
        <v>52</v>
      </c>
      <c r="H385">
        <v>11</v>
      </c>
      <c r="I385">
        <v>0.79500000000000004</v>
      </c>
      <c r="J385">
        <v>0.86799999999999999</v>
      </c>
      <c r="K385">
        <v>7.2999999999999995E-2</v>
      </c>
      <c r="L385">
        <v>4</v>
      </c>
      <c r="M385">
        <v>4</v>
      </c>
      <c r="N385">
        <v>3</v>
      </c>
      <c r="O385" t="s">
        <v>53</v>
      </c>
      <c r="P385" t="s">
        <v>53</v>
      </c>
      <c r="Q385" t="s">
        <v>53</v>
      </c>
    </row>
    <row r="386" spans="1:17" s="30" customFormat="1" x14ac:dyDescent="0.2">
      <c r="A386" s="30" t="str">
        <f>IF(C386&amp;G386&amp;D386&lt;&gt;'Funnel setup'!$K$3&amp;'Funnel setup'!$K$4&amp;'Funnel setup'!$K$5,".",IF(A385=".",1,A385+1))</f>
        <v>.</v>
      </c>
      <c r="B386" s="431" t="str">
        <f t="shared" si="5"/>
        <v>Groin HerniaCCG of GP PracticeNHS ST HELENS CCG (01X)EQ-5D Index</v>
      </c>
      <c r="C386" t="s">
        <v>50</v>
      </c>
      <c r="D386" t="s">
        <v>87</v>
      </c>
      <c r="E386" t="s">
        <v>968</v>
      </c>
      <c r="F386" t="s">
        <v>969</v>
      </c>
      <c r="G386" t="s">
        <v>52</v>
      </c>
      <c r="H386">
        <v>88</v>
      </c>
      <c r="I386">
        <v>0.82</v>
      </c>
      <c r="J386">
        <v>0.877</v>
      </c>
      <c r="K386">
        <v>5.7000000000000002E-2</v>
      </c>
      <c r="L386">
        <v>34</v>
      </c>
      <c r="M386">
        <v>39</v>
      </c>
      <c r="N386">
        <v>15</v>
      </c>
      <c r="O386">
        <v>0.876</v>
      </c>
      <c r="P386">
        <v>8.2727257999999998E-2</v>
      </c>
      <c r="Q386">
        <v>0.151</v>
      </c>
    </row>
    <row r="387" spans="1:17" s="30" customFormat="1" x14ac:dyDescent="0.2">
      <c r="A387" s="30" t="str">
        <f>IF(C387&amp;G387&amp;D387&lt;&gt;'Funnel setup'!$K$3&amp;'Funnel setup'!$K$4&amp;'Funnel setup'!$K$5,".",IF(A386=".",1,A386+1))</f>
        <v>.</v>
      </c>
      <c r="B387" s="431" t="str">
        <f t="shared" ref="B387:B450" si="6">C387&amp;D387&amp;F387&amp;G387</f>
        <v>Groin HerniaCCG of GP PracticeNHS STAFFORD AND SURROUNDS CCG (05V)EQ-5D Index</v>
      </c>
      <c r="C387" t="s">
        <v>50</v>
      </c>
      <c r="D387" t="s">
        <v>87</v>
      </c>
      <c r="E387" t="s">
        <v>971</v>
      </c>
      <c r="F387" t="s">
        <v>972</v>
      </c>
      <c r="G387" t="s">
        <v>52</v>
      </c>
      <c r="H387">
        <v>107</v>
      </c>
      <c r="I387">
        <v>0.77700000000000002</v>
      </c>
      <c r="J387">
        <v>0.89400000000000002</v>
      </c>
      <c r="K387">
        <v>0.11700000000000001</v>
      </c>
      <c r="L387">
        <v>65</v>
      </c>
      <c r="M387">
        <v>27</v>
      </c>
      <c r="N387">
        <v>15</v>
      </c>
      <c r="O387">
        <v>0.89100000000000001</v>
      </c>
      <c r="P387">
        <v>9.8096844000000002E-2</v>
      </c>
      <c r="Q387">
        <v>0.13</v>
      </c>
    </row>
    <row r="388" spans="1:17" s="30" customFormat="1" x14ac:dyDescent="0.2">
      <c r="A388" s="30" t="str">
        <f>IF(C388&amp;G388&amp;D388&lt;&gt;'Funnel setup'!$K$3&amp;'Funnel setup'!$K$4&amp;'Funnel setup'!$K$5,".",IF(A387=".",1,A387+1))</f>
        <v>.</v>
      </c>
      <c r="B388" s="431" t="str">
        <f t="shared" si="6"/>
        <v>Groin HerniaCCG of GP PracticeNHS STOCKPORT CCG (01W)EQ-5D Index</v>
      </c>
      <c r="C388" t="s">
        <v>50</v>
      </c>
      <c r="D388" t="s">
        <v>87</v>
      </c>
      <c r="E388" t="s">
        <v>974</v>
      </c>
      <c r="F388" t="s">
        <v>975</v>
      </c>
      <c r="G388" t="s">
        <v>52</v>
      </c>
      <c r="H388">
        <v>127</v>
      </c>
      <c r="I388">
        <v>0.79800000000000004</v>
      </c>
      <c r="J388">
        <v>0.88800000000000001</v>
      </c>
      <c r="K388">
        <v>0.09</v>
      </c>
      <c r="L388">
        <v>62</v>
      </c>
      <c r="M388">
        <v>49</v>
      </c>
      <c r="N388">
        <v>16</v>
      </c>
      <c r="O388">
        <v>0.88900000000000001</v>
      </c>
      <c r="P388">
        <v>9.6082793E-2</v>
      </c>
      <c r="Q388">
        <v>0.16700000000000001</v>
      </c>
    </row>
    <row r="389" spans="1:17" s="30" customFormat="1" x14ac:dyDescent="0.2">
      <c r="A389" s="30" t="str">
        <f>IF(C389&amp;G389&amp;D389&lt;&gt;'Funnel setup'!$K$3&amp;'Funnel setup'!$K$4&amp;'Funnel setup'!$K$5,".",IF(A388=".",1,A388+1))</f>
        <v>.</v>
      </c>
      <c r="B389" s="431" t="str">
        <f t="shared" si="6"/>
        <v>Groin HerniaCCG of GP PracticeNHS STOKE ON TRENT CCG (05W)EQ-5D Index</v>
      </c>
      <c r="C389" t="s">
        <v>50</v>
      </c>
      <c r="D389" t="s">
        <v>87</v>
      </c>
      <c r="E389" t="s">
        <v>977</v>
      </c>
      <c r="F389" t="s">
        <v>978</v>
      </c>
      <c r="G389" t="s">
        <v>52</v>
      </c>
      <c r="H389">
        <v>50</v>
      </c>
      <c r="I389">
        <v>0.751</v>
      </c>
      <c r="J389">
        <v>0.89200000000000002</v>
      </c>
      <c r="K389">
        <v>0.14099999999999999</v>
      </c>
      <c r="L389">
        <v>34</v>
      </c>
      <c r="M389">
        <v>10</v>
      </c>
      <c r="N389">
        <v>6</v>
      </c>
      <c r="O389">
        <v>0.92</v>
      </c>
      <c r="P389">
        <v>0.12619944299999999</v>
      </c>
      <c r="Q389">
        <v>0.11700000000000001</v>
      </c>
    </row>
    <row r="390" spans="1:17" s="30" customFormat="1" x14ac:dyDescent="0.2">
      <c r="A390" s="30" t="str">
        <f>IF(C390&amp;G390&amp;D390&lt;&gt;'Funnel setup'!$K$3&amp;'Funnel setup'!$K$4&amp;'Funnel setup'!$K$5,".",IF(A389=".",1,A389+1))</f>
        <v>.</v>
      </c>
      <c r="B390" s="431" t="str">
        <f t="shared" si="6"/>
        <v>Groin HerniaCCG of GP PracticeNHS SUNDERLAND CCG (00P)EQ-5D Index</v>
      </c>
      <c r="C390" t="s">
        <v>50</v>
      </c>
      <c r="D390" t="s">
        <v>87</v>
      </c>
      <c r="E390" t="s">
        <v>980</v>
      </c>
      <c r="F390" t="s">
        <v>981</v>
      </c>
      <c r="G390" t="s">
        <v>52</v>
      </c>
      <c r="H390">
        <v>136</v>
      </c>
      <c r="I390">
        <v>0.73</v>
      </c>
      <c r="J390">
        <v>0.79600000000000004</v>
      </c>
      <c r="K390">
        <v>6.6000000000000003E-2</v>
      </c>
      <c r="L390">
        <v>61</v>
      </c>
      <c r="M390">
        <v>39</v>
      </c>
      <c r="N390">
        <v>36</v>
      </c>
      <c r="O390">
        <v>0.85899999999999999</v>
      </c>
      <c r="P390">
        <v>6.5249053000000001E-2</v>
      </c>
      <c r="Q390">
        <v>0.19600000000000001</v>
      </c>
    </row>
    <row r="391" spans="1:17" s="30" customFormat="1" x14ac:dyDescent="0.2">
      <c r="A391" s="30" t="str">
        <f>IF(C391&amp;G391&amp;D391&lt;&gt;'Funnel setup'!$K$3&amp;'Funnel setup'!$K$4&amp;'Funnel setup'!$K$5,".",IF(A390=".",1,A390+1))</f>
        <v>.</v>
      </c>
      <c r="B391" s="431" t="str">
        <f t="shared" si="6"/>
        <v>Groin HerniaCCG of GP PracticeNHS SURREY DOWNS CCG (99H)EQ-5D Index</v>
      </c>
      <c r="C391" t="s">
        <v>50</v>
      </c>
      <c r="D391" t="s">
        <v>87</v>
      </c>
      <c r="E391" t="s">
        <v>983</v>
      </c>
      <c r="F391" t="s">
        <v>984</v>
      </c>
      <c r="G391" t="s">
        <v>52</v>
      </c>
      <c r="H391">
        <v>74</v>
      </c>
      <c r="I391">
        <v>0.81799999999999995</v>
      </c>
      <c r="J391">
        <v>0.89200000000000002</v>
      </c>
      <c r="K391">
        <v>7.2999999999999995E-2</v>
      </c>
      <c r="L391">
        <v>40</v>
      </c>
      <c r="M391">
        <v>17</v>
      </c>
      <c r="N391">
        <v>17</v>
      </c>
      <c r="O391">
        <v>0.872</v>
      </c>
      <c r="P391">
        <v>7.8238294E-2</v>
      </c>
      <c r="Q391">
        <v>0.14299999999999999</v>
      </c>
    </row>
    <row r="392" spans="1:17" s="30" customFormat="1" x14ac:dyDescent="0.2">
      <c r="A392" s="30" t="str">
        <f>IF(C392&amp;G392&amp;D392&lt;&gt;'Funnel setup'!$K$3&amp;'Funnel setup'!$K$4&amp;'Funnel setup'!$K$5,".",IF(A391=".",1,A391+1))</f>
        <v>.</v>
      </c>
      <c r="B392" s="431" t="str">
        <f t="shared" si="6"/>
        <v>Groin HerniaCCG of GP PracticeNHS SURREY HEATH CCG (10C)EQ-5D Index</v>
      </c>
      <c r="C392" t="s">
        <v>50</v>
      </c>
      <c r="D392" t="s">
        <v>87</v>
      </c>
      <c r="E392" t="s">
        <v>986</v>
      </c>
      <c r="F392" t="s">
        <v>987</v>
      </c>
      <c r="G392" t="s">
        <v>52</v>
      </c>
      <c r="H392">
        <v>60</v>
      </c>
      <c r="I392">
        <v>0.83699999999999997</v>
      </c>
      <c r="J392">
        <v>0.88900000000000001</v>
      </c>
      <c r="K392">
        <v>5.2999999999999999E-2</v>
      </c>
      <c r="L392">
        <v>26</v>
      </c>
      <c r="M392">
        <v>25</v>
      </c>
      <c r="N392">
        <v>9</v>
      </c>
      <c r="O392">
        <v>0.86899999999999999</v>
      </c>
      <c r="P392">
        <v>7.5435678000000006E-2</v>
      </c>
      <c r="Q392">
        <v>0.13400000000000001</v>
      </c>
    </row>
    <row r="393" spans="1:17" s="30" customFormat="1" x14ac:dyDescent="0.2">
      <c r="A393" s="30" t="str">
        <f>IF(C393&amp;G393&amp;D393&lt;&gt;'Funnel setup'!$K$3&amp;'Funnel setup'!$K$4&amp;'Funnel setup'!$K$5,".",IF(A392=".",1,A392+1))</f>
        <v>.</v>
      </c>
      <c r="B393" s="431" t="str">
        <f t="shared" si="6"/>
        <v>Groin HerniaCCG of GP PracticeNHS SUTTON CCG (08T)EQ-5D Index</v>
      </c>
      <c r="C393" t="s">
        <v>50</v>
      </c>
      <c r="D393" t="s">
        <v>87</v>
      </c>
      <c r="E393" t="s">
        <v>989</v>
      </c>
      <c r="F393" t="s">
        <v>990</v>
      </c>
      <c r="G393" t="s">
        <v>52</v>
      </c>
      <c r="H393">
        <v>17</v>
      </c>
      <c r="I393">
        <v>0.79200000000000004</v>
      </c>
      <c r="J393">
        <v>0.79400000000000004</v>
      </c>
      <c r="K393">
        <v>2E-3</v>
      </c>
      <c r="L393">
        <v>4</v>
      </c>
      <c r="M393">
        <v>7</v>
      </c>
      <c r="N393">
        <v>6</v>
      </c>
      <c r="O393" t="s">
        <v>53</v>
      </c>
      <c r="P393" t="s">
        <v>53</v>
      </c>
      <c r="Q393" t="s">
        <v>53</v>
      </c>
    </row>
    <row r="394" spans="1:17" s="30" customFormat="1" x14ac:dyDescent="0.2">
      <c r="A394" s="30" t="str">
        <f>IF(C394&amp;G394&amp;D394&lt;&gt;'Funnel setup'!$K$3&amp;'Funnel setup'!$K$4&amp;'Funnel setup'!$K$5,".",IF(A393=".",1,A393+1))</f>
        <v>.</v>
      </c>
      <c r="B394" s="431" t="str">
        <f t="shared" si="6"/>
        <v>Groin HerniaCCG of GP PracticeNHS SWALE CCG (10D)EQ-5D Index</v>
      </c>
      <c r="C394" t="s">
        <v>50</v>
      </c>
      <c r="D394" t="s">
        <v>87</v>
      </c>
      <c r="E394" t="s">
        <v>992</v>
      </c>
      <c r="F394" t="s">
        <v>993</v>
      </c>
      <c r="G394" t="s">
        <v>52</v>
      </c>
      <c r="H394">
        <v>40</v>
      </c>
      <c r="I394">
        <v>0.80300000000000005</v>
      </c>
      <c r="J394">
        <v>0.90700000000000003</v>
      </c>
      <c r="K394">
        <v>0.104</v>
      </c>
      <c r="L394">
        <v>22</v>
      </c>
      <c r="M394">
        <v>11</v>
      </c>
      <c r="N394">
        <v>7</v>
      </c>
      <c r="O394">
        <v>0.89600000000000002</v>
      </c>
      <c r="P394">
        <v>0.10271318</v>
      </c>
      <c r="Q394">
        <v>0.113</v>
      </c>
    </row>
    <row r="395" spans="1:17" s="30" customFormat="1" x14ac:dyDescent="0.2">
      <c r="A395" s="30" t="str">
        <f>IF(C395&amp;G395&amp;D395&lt;&gt;'Funnel setup'!$K$3&amp;'Funnel setup'!$K$4&amp;'Funnel setup'!$K$5,".",IF(A394=".",1,A394+1))</f>
        <v>.</v>
      </c>
      <c r="B395" s="431" t="str">
        <f t="shared" si="6"/>
        <v>Groin HerniaCCG of GP PracticeNHS SWINDON CCG (12D)EQ-5D Index</v>
      </c>
      <c r="C395" t="s">
        <v>50</v>
      </c>
      <c r="D395" t="s">
        <v>87</v>
      </c>
      <c r="E395" t="s">
        <v>995</v>
      </c>
      <c r="F395" t="s">
        <v>996</v>
      </c>
      <c r="G395" t="s">
        <v>52</v>
      </c>
      <c r="H395">
        <v>74</v>
      </c>
      <c r="I395">
        <v>0.83799999999999997</v>
      </c>
      <c r="J395">
        <v>0.91200000000000003</v>
      </c>
      <c r="K395">
        <v>7.3999999999999996E-2</v>
      </c>
      <c r="L395">
        <v>32</v>
      </c>
      <c r="M395">
        <v>32</v>
      </c>
      <c r="N395">
        <v>10</v>
      </c>
      <c r="O395">
        <v>0.86899999999999999</v>
      </c>
      <c r="P395">
        <v>7.5510458000000003E-2</v>
      </c>
      <c r="Q395">
        <v>0.11600000000000001</v>
      </c>
    </row>
    <row r="396" spans="1:17" s="30" customFormat="1" x14ac:dyDescent="0.2">
      <c r="A396" s="30" t="str">
        <f>IF(C396&amp;G396&amp;D396&lt;&gt;'Funnel setup'!$K$3&amp;'Funnel setup'!$K$4&amp;'Funnel setup'!$K$5,".",IF(A395=".",1,A395+1))</f>
        <v>.</v>
      </c>
      <c r="B396" s="431" t="str">
        <f t="shared" si="6"/>
        <v>Groin HerniaCCG of GP PracticeNHS TAMESIDE AND GLOSSOP CCG (01Y)EQ-5D Index</v>
      </c>
      <c r="C396" t="s">
        <v>50</v>
      </c>
      <c r="D396" t="s">
        <v>87</v>
      </c>
      <c r="E396" t="s">
        <v>998</v>
      </c>
      <c r="F396" t="s">
        <v>999</v>
      </c>
      <c r="G396" t="s">
        <v>52</v>
      </c>
      <c r="H396">
        <v>45</v>
      </c>
      <c r="I396">
        <v>0.747</v>
      </c>
      <c r="J396">
        <v>0.86399999999999999</v>
      </c>
      <c r="K396">
        <v>0.11700000000000001</v>
      </c>
      <c r="L396">
        <v>26</v>
      </c>
      <c r="M396">
        <v>12</v>
      </c>
      <c r="N396">
        <v>7</v>
      </c>
      <c r="O396">
        <v>0.88800000000000001</v>
      </c>
      <c r="P396">
        <v>9.4666792E-2</v>
      </c>
      <c r="Q396">
        <v>0.13500000000000001</v>
      </c>
    </row>
    <row r="397" spans="1:17" s="30" customFormat="1" x14ac:dyDescent="0.2">
      <c r="A397" s="30" t="str">
        <f>IF(C397&amp;G397&amp;D397&lt;&gt;'Funnel setup'!$K$3&amp;'Funnel setup'!$K$4&amp;'Funnel setup'!$K$5,".",IF(A396=".",1,A396+1))</f>
        <v>.</v>
      </c>
      <c r="B397" s="431" t="str">
        <f t="shared" si="6"/>
        <v>Groin HerniaCCG of GP PracticeNHS TELFORD AND WREKIN CCG (05X)EQ-5D Index</v>
      </c>
      <c r="C397" t="s">
        <v>50</v>
      </c>
      <c r="D397" t="s">
        <v>87</v>
      </c>
      <c r="E397" t="s">
        <v>1001</v>
      </c>
      <c r="F397" t="s">
        <v>1002</v>
      </c>
      <c r="G397" t="s">
        <v>52</v>
      </c>
      <c r="H397">
        <v>59</v>
      </c>
      <c r="I397">
        <v>0.70199999999999996</v>
      </c>
      <c r="J397">
        <v>0.83399999999999996</v>
      </c>
      <c r="K397">
        <v>0.13100000000000001</v>
      </c>
      <c r="L397">
        <v>34</v>
      </c>
      <c r="M397">
        <v>10</v>
      </c>
      <c r="N397">
        <v>15</v>
      </c>
      <c r="O397">
        <v>0.87</v>
      </c>
      <c r="P397">
        <v>7.7089319000000003E-2</v>
      </c>
      <c r="Q397">
        <v>0.19800000000000001</v>
      </c>
    </row>
    <row r="398" spans="1:17" s="30" customFormat="1" x14ac:dyDescent="0.2">
      <c r="A398" s="30" t="str">
        <f>IF(C398&amp;G398&amp;D398&lt;&gt;'Funnel setup'!$K$3&amp;'Funnel setup'!$K$4&amp;'Funnel setup'!$K$5,".",IF(A397=".",1,A397+1))</f>
        <v>.</v>
      </c>
      <c r="B398" s="431" t="str">
        <f t="shared" si="6"/>
        <v>Groin HerniaCCG of GP PracticeNHS THANET CCG (10E)EQ-5D Index</v>
      </c>
      <c r="C398" t="s">
        <v>50</v>
      </c>
      <c r="D398" t="s">
        <v>87</v>
      </c>
      <c r="E398" t="s">
        <v>1004</v>
      </c>
      <c r="F398" t="s">
        <v>1005</v>
      </c>
      <c r="G398" t="s">
        <v>52</v>
      </c>
      <c r="H398">
        <v>44</v>
      </c>
      <c r="I398">
        <v>0.76900000000000002</v>
      </c>
      <c r="J398">
        <v>0.88400000000000001</v>
      </c>
      <c r="K398">
        <v>0.115</v>
      </c>
      <c r="L398">
        <v>29</v>
      </c>
      <c r="M398">
        <v>6</v>
      </c>
      <c r="N398">
        <v>9</v>
      </c>
      <c r="O398">
        <v>0.91100000000000003</v>
      </c>
      <c r="P398">
        <v>0.11734660099999999</v>
      </c>
      <c r="Q398">
        <v>0.154</v>
      </c>
    </row>
    <row r="399" spans="1:17" s="30" customFormat="1" x14ac:dyDescent="0.2">
      <c r="A399" s="30" t="str">
        <f>IF(C399&amp;G399&amp;D399&lt;&gt;'Funnel setup'!$K$3&amp;'Funnel setup'!$K$4&amp;'Funnel setup'!$K$5,".",IF(A398=".",1,A398+1))</f>
        <v>.</v>
      </c>
      <c r="B399" s="431" t="str">
        <f t="shared" si="6"/>
        <v>Groin HerniaCCG of GP PracticeNHS THURROCK CCG (07G)EQ-5D Index</v>
      </c>
      <c r="C399" t="s">
        <v>50</v>
      </c>
      <c r="D399" t="s">
        <v>87</v>
      </c>
      <c r="E399" t="s">
        <v>1007</v>
      </c>
      <c r="F399" t="s">
        <v>1008</v>
      </c>
      <c r="G399" t="s">
        <v>52</v>
      </c>
      <c r="H399">
        <v>33</v>
      </c>
      <c r="I399">
        <v>0.71</v>
      </c>
      <c r="J399">
        <v>0.84399999999999997</v>
      </c>
      <c r="K399">
        <v>0.13400000000000001</v>
      </c>
      <c r="L399">
        <v>20</v>
      </c>
      <c r="M399">
        <v>7</v>
      </c>
      <c r="N399">
        <v>6</v>
      </c>
      <c r="O399">
        <v>0.86099999999999999</v>
      </c>
      <c r="P399">
        <v>6.7696204999999995E-2</v>
      </c>
      <c r="Q399">
        <v>0.14799999999999999</v>
      </c>
    </row>
    <row r="400" spans="1:17" s="30" customFormat="1" x14ac:dyDescent="0.2">
      <c r="A400" s="30" t="str">
        <f>IF(C400&amp;G400&amp;D400&lt;&gt;'Funnel setup'!$K$3&amp;'Funnel setup'!$K$4&amp;'Funnel setup'!$K$5,".",IF(A399=".",1,A399+1))</f>
        <v>.</v>
      </c>
      <c r="B400" s="431" t="str">
        <f t="shared" si="6"/>
        <v>Groin HerniaCCG of GP PracticeNHS TOWER HAMLETS CCG (08V)EQ-5D Index</v>
      </c>
      <c r="C400" t="s">
        <v>50</v>
      </c>
      <c r="D400" t="s">
        <v>87</v>
      </c>
      <c r="E400" t="s">
        <v>1010</v>
      </c>
      <c r="F400" t="s">
        <v>1011</v>
      </c>
      <c r="G400" t="s">
        <v>52</v>
      </c>
      <c r="H400">
        <v>19</v>
      </c>
      <c r="I400">
        <v>0.84699999999999998</v>
      </c>
      <c r="J400">
        <v>0.77</v>
      </c>
      <c r="K400">
        <v>-7.6999999999999999E-2</v>
      </c>
      <c r="L400">
        <v>5</v>
      </c>
      <c r="M400">
        <v>10</v>
      </c>
      <c r="N400">
        <v>4</v>
      </c>
      <c r="O400" t="s">
        <v>53</v>
      </c>
      <c r="P400" t="s">
        <v>53</v>
      </c>
      <c r="Q400" t="s">
        <v>53</v>
      </c>
    </row>
    <row r="401" spans="1:17" s="30" customFormat="1" x14ac:dyDescent="0.2">
      <c r="A401" s="30" t="str">
        <f>IF(C401&amp;G401&amp;D401&lt;&gt;'Funnel setup'!$K$3&amp;'Funnel setup'!$K$4&amp;'Funnel setup'!$K$5,".",IF(A400=".",1,A400+1))</f>
        <v>.</v>
      </c>
      <c r="B401" s="431" t="str">
        <f t="shared" si="6"/>
        <v>Groin HerniaCCG of GP PracticeNHS TRAFFORD CCG (02A)EQ-5D Index</v>
      </c>
      <c r="C401" t="s">
        <v>50</v>
      </c>
      <c r="D401" t="s">
        <v>87</v>
      </c>
      <c r="E401" t="s">
        <v>1013</v>
      </c>
      <c r="F401" t="s">
        <v>1014</v>
      </c>
      <c r="G401" t="s">
        <v>52</v>
      </c>
      <c r="H401">
        <v>72</v>
      </c>
      <c r="I401">
        <v>0.8</v>
      </c>
      <c r="J401">
        <v>0.878</v>
      </c>
      <c r="K401">
        <v>7.8E-2</v>
      </c>
      <c r="L401">
        <v>38</v>
      </c>
      <c r="M401">
        <v>24</v>
      </c>
      <c r="N401">
        <v>10</v>
      </c>
      <c r="O401">
        <v>0.879</v>
      </c>
      <c r="P401">
        <v>8.5327690999999997E-2</v>
      </c>
      <c r="Q401">
        <v>0.15</v>
      </c>
    </row>
    <row r="402" spans="1:17" s="30" customFormat="1" x14ac:dyDescent="0.2">
      <c r="A402" s="30" t="str">
        <f>IF(C402&amp;G402&amp;D402&lt;&gt;'Funnel setup'!$K$3&amp;'Funnel setup'!$K$4&amp;'Funnel setup'!$K$5,".",IF(A401=".",1,A401+1))</f>
        <v>.</v>
      </c>
      <c r="B402" s="431" t="str">
        <f t="shared" si="6"/>
        <v>Groin HerniaCCG of GP PracticeNHS VALE OF YORK CCG (03Q)EQ-5D Index</v>
      </c>
      <c r="C402" t="s">
        <v>50</v>
      </c>
      <c r="D402" t="s">
        <v>87</v>
      </c>
      <c r="E402" t="s">
        <v>420</v>
      </c>
      <c r="F402" t="s">
        <v>421</v>
      </c>
      <c r="G402" t="s">
        <v>52</v>
      </c>
      <c r="H402">
        <v>166</v>
      </c>
      <c r="I402">
        <v>0.81200000000000006</v>
      </c>
      <c r="J402">
        <v>0.89200000000000002</v>
      </c>
      <c r="K402">
        <v>8.1000000000000003E-2</v>
      </c>
      <c r="L402">
        <v>76</v>
      </c>
      <c r="M402">
        <v>63</v>
      </c>
      <c r="N402">
        <v>27</v>
      </c>
      <c r="O402">
        <v>0.873</v>
      </c>
      <c r="P402">
        <v>7.9930290000000001E-2</v>
      </c>
      <c r="Q402">
        <v>0.14399999999999999</v>
      </c>
    </row>
    <row r="403" spans="1:17" s="30" customFormat="1" x14ac:dyDescent="0.2">
      <c r="A403" s="30" t="str">
        <f>IF(C403&amp;G403&amp;D403&lt;&gt;'Funnel setup'!$K$3&amp;'Funnel setup'!$K$4&amp;'Funnel setup'!$K$5,".",IF(A402=".",1,A402+1))</f>
        <v>.</v>
      </c>
      <c r="B403" s="431" t="str">
        <f t="shared" si="6"/>
        <v>Groin HerniaCCG of GP PracticeNHS VALE ROYAL CCG (02D)EQ-5D Index</v>
      </c>
      <c r="C403" t="s">
        <v>50</v>
      </c>
      <c r="D403" t="s">
        <v>87</v>
      </c>
      <c r="E403" t="s">
        <v>423</v>
      </c>
      <c r="F403" t="s">
        <v>424</v>
      </c>
      <c r="G403" t="s">
        <v>52</v>
      </c>
      <c r="H403">
        <v>68</v>
      </c>
      <c r="I403">
        <v>0.85599999999999998</v>
      </c>
      <c r="J403">
        <v>0.91200000000000003</v>
      </c>
      <c r="K403">
        <v>5.5E-2</v>
      </c>
      <c r="L403">
        <v>25</v>
      </c>
      <c r="M403">
        <v>29</v>
      </c>
      <c r="N403">
        <v>14</v>
      </c>
      <c r="O403">
        <v>0.879</v>
      </c>
      <c r="P403">
        <v>8.5926449000000002E-2</v>
      </c>
      <c r="Q403">
        <v>0.13600000000000001</v>
      </c>
    </row>
    <row r="404" spans="1:17" s="30" customFormat="1" x14ac:dyDescent="0.2">
      <c r="A404" s="30" t="str">
        <f>IF(C404&amp;G404&amp;D404&lt;&gt;'Funnel setup'!$K$3&amp;'Funnel setup'!$K$4&amp;'Funnel setup'!$K$5,".",IF(A403=".",1,A403+1))</f>
        <v>.</v>
      </c>
      <c r="B404" s="431" t="str">
        <f t="shared" si="6"/>
        <v>Groin HerniaCCG of GP PracticeNHS WAKEFIELD CCG (03R)EQ-5D Index</v>
      </c>
      <c r="C404" t="s">
        <v>50</v>
      </c>
      <c r="D404" t="s">
        <v>87</v>
      </c>
      <c r="E404" t="s">
        <v>426</v>
      </c>
      <c r="F404" t="s">
        <v>427</v>
      </c>
      <c r="G404" t="s">
        <v>52</v>
      </c>
      <c r="H404">
        <v>188</v>
      </c>
      <c r="I404">
        <v>0.82599999999999996</v>
      </c>
      <c r="J404">
        <v>0.85799999999999998</v>
      </c>
      <c r="K404">
        <v>3.2000000000000001E-2</v>
      </c>
      <c r="L404">
        <v>75</v>
      </c>
      <c r="M404">
        <v>69</v>
      </c>
      <c r="N404">
        <v>44</v>
      </c>
      <c r="O404">
        <v>0.85799999999999998</v>
      </c>
      <c r="P404">
        <v>6.4606948999999997E-2</v>
      </c>
      <c r="Q404">
        <v>0.16600000000000001</v>
      </c>
    </row>
    <row r="405" spans="1:17" s="30" customFormat="1" x14ac:dyDescent="0.2">
      <c r="A405" s="30" t="str">
        <f>IF(C405&amp;G405&amp;D405&lt;&gt;'Funnel setup'!$K$3&amp;'Funnel setup'!$K$4&amp;'Funnel setup'!$K$5,".",IF(A404=".",1,A404+1))</f>
        <v>.</v>
      </c>
      <c r="B405" s="431" t="str">
        <f t="shared" si="6"/>
        <v>Groin HerniaCCG of GP PracticeNHS WALSALL CCG (05Y)EQ-5D Index</v>
      </c>
      <c r="C405" t="s">
        <v>50</v>
      </c>
      <c r="D405" t="s">
        <v>87</v>
      </c>
      <c r="E405" t="s">
        <v>429</v>
      </c>
      <c r="F405" t="s">
        <v>430</v>
      </c>
      <c r="G405" t="s">
        <v>52</v>
      </c>
      <c r="H405">
        <v>87</v>
      </c>
      <c r="I405">
        <v>0.748</v>
      </c>
      <c r="J405">
        <v>0.86899999999999999</v>
      </c>
      <c r="K405">
        <v>0.12</v>
      </c>
      <c r="L405">
        <v>53</v>
      </c>
      <c r="M405">
        <v>21</v>
      </c>
      <c r="N405">
        <v>13</v>
      </c>
      <c r="O405">
        <v>0.89100000000000001</v>
      </c>
      <c r="P405">
        <v>9.7792669999999998E-2</v>
      </c>
      <c r="Q405">
        <v>0.17699999999999999</v>
      </c>
    </row>
    <row r="406" spans="1:17" s="30" customFormat="1" x14ac:dyDescent="0.2">
      <c r="A406" s="30" t="str">
        <f>IF(C406&amp;G406&amp;D406&lt;&gt;'Funnel setup'!$K$3&amp;'Funnel setup'!$K$4&amp;'Funnel setup'!$K$5,".",IF(A405=".",1,A405+1))</f>
        <v>.</v>
      </c>
      <c r="B406" s="431" t="str">
        <f t="shared" si="6"/>
        <v>Groin HerniaCCG of GP PracticeNHS WALTHAM FOREST CCG (08W)EQ-5D Index</v>
      </c>
      <c r="C406" t="s">
        <v>50</v>
      </c>
      <c r="D406" t="s">
        <v>87</v>
      </c>
      <c r="E406" t="s">
        <v>432</v>
      </c>
      <c r="F406" t="s">
        <v>433</v>
      </c>
      <c r="G406" t="s">
        <v>52</v>
      </c>
      <c r="H406">
        <v>9</v>
      </c>
      <c r="I406">
        <v>0.751</v>
      </c>
      <c r="J406">
        <v>0.755</v>
      </c>
      <c r="K406">
        <v>4.0000000000000001E-3</v>
      </c>
      <c r="L406">
        <v>4</v>
      </c>
      <c r="M406">
        <v>2</v>
      </c>
      <c r="N406">
        <v>3</v>
      </c>
      <c r="O406" t="s">
        <v>53</v>
      </c>
      <c r="P406" t="s">
        <v>53</v>
      </c>
      <c r="Q406" t="s">
        <v>53</v>
      </c>
    </row>
    <row r="407" spans="1:17" s="30" customFormat="1" x14ac:dyDescent="0.2">
      <c r="A407" s="30" t="str">
        <f>IF(C407&amp;G407&amp;D407&lt;&gt;'Funnel setup'!$K$3&amp;'Funnel setup'!$K$4&amp;'Funnel setup'!$K$5,".",IF(A406=".",1,A406+1))</f>
        <v>.</v>
      </c>
      <c r="B407" s="431" t="str">
        <f t="shared" si="6"/>
        <v>Groin HerniaCCG of GP PracticeNHS WANDSWORTH CCG (08X)EQ-5D Index</v>
      </c>
      <c r="C407" t="s">
        <v>50</v>
      </c>
      <c r="D407" t="s">
        <v>87</v>
      </c>
      <c r="E407" t="s">
        <v>435</v>
      </c>
      <c r="F407" t="s">
        <v>436</v>
      </c>
      <c r="G407" t="s">
        <v>52</v>
      </c>
      <c r="H407">
        <v>14</v>
      </c>
      <c r="I407">
        <v>0.79</v>
      </c>
      <c r="J407">
        <v>0.84099999999999997</v>
      </c>
      <c r="K407">
        <v>5.0999999999999997E-2</v>
      </c>
      <c r="L407">
        <v>5</v>
      </c>
      <c r="M407">
        <v>5</v>
      </c>
      <c r="N407">
        <v>4</v>
      </c>
      <c r="O407" t="s">
        <v>53</v>
      </c>
      <c r="P407" t="s">
        <v>53</v>
      </c>
      <c r="Q407" t="s">
        <v>53</v>
      </c>
    </row>
    <row r="408" spans="1:17" s="30" customFormat="1" x14ac:dyDescent="0.2">
      <c r="A408" s="30" t="str">
        <f>IF(C408&amp;G408&amp;D408&lt;&gt;'Funnel setup'!$K$3&amp;'Funnel setup'!$K$4&amp;'Funnel setup'!$K$5,".",IF(A407=".",1,A407+1))</f>
        <v>.</v>
      </c>
      <c r="B408" s="431" t="str">
        <f t="shared" si="6"/>
        <v>Groin HerniaCCG of GP PracticeNHS WARRINGTON CCG (02E)EQ-5D Index</v>
      </c>
      <c r="C408" t="s">
        <v>50</v>
      </c>
      <c r="D408" t="s">
        <v>87</v>
      </c>
      <c r="E408" t="s">
        <v>441</v>
      </c>
      <c r="F408" t="s">
        <v>442</v>
      </c>
      <c r="G408" t="s">
        <v>52</v>
      </c>
      <c r="H408">
        <v>84</v>
      </c>
      <c r="I408">
        <v>0.82399999999999995</v>
      </c>
      <c r="J408">
        <v>0.9</v>
      </c>
      <c r="K408">
        <v>7.5999999999999998E-2</v>
      </c>
      <c r="L408">
        <v>38</v>
      </c>
      <c r="M408">
        <v>32</v>
      </c>
      <c r="N408">
        <v>14</v>
      </c>
      <c r="O408">
        <v>0.88200000000000001</v>
      </c>
      <c r="P408">
        <v>8.8501244000000007E-2</v>
      </c>
      <c r="Q408">
        <v>0.124</v>
      </c>
    </row>
    <row r="409" spans="1:17" s="30" customFormat="1" x14ac:dyDescent="0.2">
      <c r="A409" s="30" t="str">
        <f>IF(C409&amp;G409&amp;D409&lt;&gt;'Funnel setup'!$K$3&amp;'Funnel setup'!$K$4&amp;'Funnel setup'!$K$5,".",IF(A408=".",1,A408+1))</f>
        <v>.</v>
      </c>
      <c r="B409" s="431" t="str">
        <f t="shared" si="6"/>
        <v>Groin HerniaCCG of GP PracticeNHS WARWICKSHIRE NORTH CCG (05H)EQ-5D Index</v>
      </c>
      <c r="C409" t="s">
        <v>50</v>
      </c>
      <c r="D409" t="s">
        <v>87</v>
      </c>
      <c r="E409" t="s">
        <v>438</v>
      </c>
      <c r="F409" t="s">
        <v>439</v>
      </c>
      <c r="G409" t="s">
        <v>52</v>
      </c>
      <c r="H409">
        <v>40</v>
      </c>
      <c r="I409">
        <v>0.76900000000000002</v>
      </c>
      <c r="J409">
        <v>0.90900000000000003</v>
      </c>
      <c r="K409">
        <v>0.14000000000000001</v>
      </c>
      <c r="L409">
        <v>24</v>
      </c>
      <c r="M409">
        <v>12</v>
      </c>
      <c r="N409">
        <v>4</v>
      </c>
      <c r="O409">
        <v>0.90800000000000003</v>
      </c>
      <c r="P409">
        <v>0.114481131</v>
      </c>
      <c r="Q409">
        <v>0.17399999999999999</v>
      </c>
    </row>
    <row r="410" spans="1:17" s="30" customFormat="1" x14ac:dyDescent="0.2">
      <c r="A410" s="30" t="str">
        <f>IF(C410&amp;G410&amp;D410&lt;&gt;'Funnel setup'!$K$3&amp;'Funnel setup'!$K$4&amp;'Funnel setup'!$K$5,".",IF(A409=".",1,A409+1))</f>
        <v>.</v>
      </c>
      <c r="B410" s="431" t="str">
        <f t="shared" si="6"/>
        <v>Groin HerniaCCG of GP PracticeNHS WEST CHESHIRE CCG (02F)EQ-5D Index</v>
      </c>
      <c r="C410" t="s">
        <v>50</v>
      </c>
      <c r="D410" t="s">
        <v>87</v>
      </c>
      <c r="E410" t="s">
        <v>402</v>
      </c>
      <c r="F410" t="s">
        <v>403</v>
      </c>
      <c r="G410" t="s">
        <v>52</v>
      </c>
      <c r="H410">
        <v>122</v>
      </c>
      <c r="I410">
        <v>0.78600000000000003</v>
      </c>
      <c r="J410">
        <v>0.86199999999999999</v>
      </c>
      <c r="K410">
        <v>7.5999999999999998E-2</v>
      </c>
      <c r="L410">
        <v>54</v>
      </c>
      <c r="M410">
        <v>43</v>
      </c>
      <c r="N410">
        <v>25</v>
      </c>
      <c r="O410">
        <v>0.86299999999999999</v>
      </c>
      <c r="P410">
        <v>6.9697598999999999E-2</v>
      </c>
      <c r="Q410">
        <v>0.157</v>
      </c>
    </row>
    <row r="411" spans="1:17" s="30" customFormat="1" x14ac:dyDescent="0.2">
      <c r="A411" s="30" t="str">
        <f>IF(C411&amp;G411&amp;D411&lt;&gt;'Funnel setup'!$K$3&amp;'Funnel setup'!$K$4&amp;'Funnel setup'!$K$5,".",IF(A410=".",1,A410+1))</f>
        <v>.</v>
      </c>
      <c r="B411" s="431" t="str">
        <f t="shared" si="6"/>
        <v>Groin HerniaCCG of GP PracticeNHS WEST ESSEX CCG (07H)EQ-5D Index</v>
      </c>
      <c r="C411" t="s">
        <v>50</v>
      </c>
      <c r="D411" t="s">
        <v>87</v>
      </c>
      <c r="E411" t="s">
        <v>405</v>
      </c>
      <c r="F411" t="s">
        <v>406</v>
      </c>
      <c r="G411" t="s">
        <v>52</v>
      </c>
      <c r="H411">
        <v>106</v>
      </c>
      <c r="I411">
        <v>0.76300000000000001</v>
      </c>
      <c r="J411">
        <v>0.84599999999999997</v>
      </c>
      <c r="K411">
        <v>8.3000000000000004E-2</v>
      </c>
      <c r="L411">
        <v>50</v>
      </c>
      <c r="M411">
        <v>39</v>
      </c>
      <c r="N411">
        <v>17</v>
      </c>
      <c r="O411">
        <v>0.85199999999999998</v>
      </c>
      <c r="P411">
        <v>5.8913265999999999E-2</v>
      </c>
      <c r="Q411">
        <v>0.189</v>
      </c>
    </row>
    <row r="412" spans="1:17" s="30" customFormat="1" x14ac:dyDescent="0.2">
      <c r="A412" s="30" t="str">
        <f>IF(C412&amp;G412&amp;D412&lt;&gt;'Funnel setup'!$K$3&amp;'Funnel setup'!$K$4&amp;'Funnel setup'!$K$5,".",IF(A411=".",1,A411+1))</f>
        <v>.</v>
      </c>
      <c r="B412" s="431" t="str">
        <f t="shared" si="6"/>
        <v>Groin HerniaCCG of GP PracticeNHS WEST HAMPSHIRE CCG (11A)EQ-5D Index</v>
      </c>
      <c r="C412" t="s">
        <v>50</v>
      </c>
      <c r="D412" t="s">
        <v>87</v>
      </c>
      <c r="E412" t="s">
        <v>444</v>
      </c>
      <c r="F412" t="s">
        <v>445</v>
      </c>
      <c r="G412" t="s">
        <v>52</v>
      </c>
      <c r="H412">
        <v>226</v>
      </c>
      <c r="I412">
        <v>0.80200000000000005</v>
      </c>
      <c r="J412">
        <v>0.89900000000000002</v>
      </c>
      <c r="K412">
        <v>9.7000000000000003E-2</v>
      </c>
      <c r="L412">
        <v>118</v>
      </c>
      <c r="M412">
        <v>79</v>
      </c>
      <c r="N412">
        <v>29</v>
      </c>
      <c r="O412">
        <v>0.88600000000000001</v>
      </c>
      <c r="P412">
        <v>9.2389058999999996E-2</v>
      </c>
      <c r="Q412">
        <v>0.16400000000000001</v>
      </c>
    </row>
    <row r="413" spans="1:17" s="30" customFormat="1" x14ac:dyDescent="0.2">
      <c r="A413" s="30" t="str">
        <f>IF(C413&amp;G413&amp;D413&lt;&gt;'Funnel setup'!$K$3&amp;'Funnel setup'!$K$4&amp;'Funnel setup'!$K$5,".",IF(A412=".",1,A412+1))</f>
        <v>.</v>
      </c>
      <c r="B413" s="431" t="str">
        <f t="shared" si="6"/>
        <v>Groin HerniaCCG of GP PracticeNHS WEST KENT CCG (99J)EQ-5D Index</v>
      </c>
      <c r="C413" t="s">
        <v>50</v>
      </c>
      <c r="D413" t="s">
        <v>87</v>
      </c>
      <c r="E413" t="s">
        <v>447</v>
      </c>
      <c r="F413" t="s">
        <v>448</v>
      </c>
      <c r="G413" t="s">
        <v>52</v>
      </c>
      <c r="H413">
        <v>78</v>
      </c>
      <c r="I413">
        <v>0.81499999999999995</v>
      </c>
      <c r="J413">
        <v>0.89900000000000002</v>
      </c>
      <c r="K413">
        <v>8.4000000000000005E-2</v>
      </c>
      <c r="L413">
        <v>48</v>
      </c>
      <c r="M413">
        <v>20</v>
      </c>
      <c r="N413">
        <v>10</v>
      </c>
      <c r="O413">
        <v>0.89</v>
      </c>
      <c r="P413">
        <v>9.6325446999999995E-2</v>
      </c>
      <c r="Q413">
        <v>0.20200000000000001</v>
      </c>
    </row>
    <row r="414" spans="1:17" s="30" customFormat="1" x14ac:dyDescent="0.2">
      <c r="A414" s="30" t="str">
        <f>IF(C414&amp;G414&amp;D414&lt;&gt;'Funnel setup'!$K$3&amp;'Funnel setup'!$K$4&amp;'Funnel setup'!$K$5,".",IF(A413=".",1,A413+1))</f>
        <v>.</v>
      </c>
      <c r="B414" s="431" t="str">
        <f t="shared" si="6"/>
        <v>Groin HerniaCCG of GP PracticeNHS WEST LANCASHIRE CCG (02G)EQ-5D Index</v>
      </c>
      <c r="C414" t="s">
        <v>50</v>
      </c>
      <c r="D414" t="s">
        <v>87</v>
      </c>
      <c r="E414" t="s">
        <v>450</v>
      </c>
      <c r="F414" t="s">
        <v>451</v>
      </c>
      <c r="G414" t="s">
        <v>52</v>
      </c>
      <c r="H414">
        <v>91</v>
      </c>
      <c r="I414">
        <v>0.753</v>
      </c>
      <c r="J414">
        <v>0.85299999999999998</v>
      </c>
      <c r="K414">
        <v>0.1</v>
      </c>
      <c r="L414">
        <v>47</v>
      </c>
      <c r="M414">
        <v>28</v>
      </c>
      <c r="N414">
        <v>16</v>
      </c>
      <c r="O414">
        <v>0.877</v>
      </c>
      <c r="P414">
        <v>8.4115017E-2</v>
      </c>
      <c r="Q414">
        <v>0.16500000000000001</v>
      </c>
    </row>
    <row r="415" spans="1:17" s="30" customFormat="1" x14ac:dyDescent="0.2">
      <c r="A415" s="30" t="str">
        <f>IF(C415&amp;G415&amp;D415&lt;&gt;'Funnel setup'!$K$3&amp;'Funnel setup'!$K$4&amp;'Funnel setup'!$K$5,".",IF(A414=".",1,A414+1))</f>
        <v>.</v>
      </c>
      <c r="B415" s="431" t="str">
        <f t="shared" si="6"/>
        <v>Groin HerniaCCG of GP PracticeNHS WEST LEICESTERSHIRE CCG (04V)EQ-5D Index</v>
      </c>
      <c r="C415" t="s">
        <v>50</v>
      </c>
      <c r="D415" t="s">
        <v>87</v>
      </c>
      <c r="E415" t="s">
        <v>453</v>
      </c>
      <c r="F415" t="s">
        <v>454</v>
      </c>
      <c r="G415" t="s">
        <v>52</v>
      </c>
      <c r="H415">
        <v>171</v>
      </c>
      <c r="I415">
        <v>0.81</v>
      </c>
      <c r="J415">
        <v>0.872</v>
      </c>
      <c r="K415">
        <v>6.2E-2</v>
      </c>
      <c r="L415">
        <v>72</v>
      </c>
      <c r="M415">
        <v>64</v>
      </c>
      <c r="N415">
        <v>35</v>
      </c>
      <c r="O415">
        <v>0.86399999999999999</v>
      </c>
      <c r="P415">
        <v>7.0670000999999996E-2</v>
      </c>
      <c r="Q415">
        <v>0.16400000000000001</v>
      </c>
    </row>
    <row r="416" spans="1:17" s="30" customFormat="1" x14ac:dyDescent="0.2">
      <c r="A416" s="30" t="str">
        <f>IF(C416&amp;G416&amp;D416&lt;&gt;'Funnel setup'!$K$3&amp;'Funnel setup'!$K$4&amp;'Funnel setup'!$K$5,".",IF(A415=".",1,A415+1))</f>
        <v>.</v>
      </c>
      <c r="B416" s="431" t="str">
        <f t="shared" si="6"/>
        <v>Groin HerniaCCG of GP PracticeNHS WEST LONDON CCG (08Y)EQ-5D Index</v>
      </c>
      <c r="C416" t="s">
        <v>50</v>
      </c>
      <c r="D416" t="s">
        <v>87</v>
      </c>
      <c r="E416" t="s">
        <v>456</v>
      </c>
      <c r="F416" t="s">
        <v>457</v>
      </c>
      <c r="G416" t="s">
        <v>52</v>
      </c>
      <c r="H416">
        <v>6</v>
      </c>
      <c r="I416">
        <v>0.79200000000000004</v>
      </c>
      <c r="J416">
        <v>0.96599999999999997</v>
      </c>
      <c r="K416">
        <v>0.17399999999999999</v>
      </c>
      <c r="L416">
        <v>4</v>
      </c>
      <c r="M416">
        <v>1</v>
      </c>
      <c r="N416">
        <v>1</v>
      </c>
      <c r="O416" t="s">
        <v>53</v>
      </c>
      <c r="P416" t="s">
        <v>53</v>
      </c>
      <c r="Q416" t="s">
        <v>53</v>
      </c>
    </row>
    <row r="417" spans="1:17" s="30" customFormat="1" x14ac:dyDescent="0.2">
      <c r="A417" s="30" t="str">
        <f>IF(C417&amp;G417&amp;D417&lt;&gt;'Funnel setup'!$K$3&amp;'Funnel setup'!$K$4&amp;'Funnel setup'!$K$5,".",IF(A416=".",1,A416+1))</f>
        <v>.</v>
      </c>
      <c r="B417" s="431" t="str">
        <f t="shared" si="6"/>
        <v>Groin HerniaCCG of GP PracticeNHS WEST NORFOLK CCG (07J)EQ-5D Index</v>
      </c>
      <c r="C417" t="s">
        <v>50</v>
      </c>
      <c r="D417" t="s">
        <v>87</v>
      </c>
      <c r="E417" t="s">
        <v>459</v>
      </c>
      <c r="F417" t="s">
        <v>460</v>
      </c>
      <c r="G417" t="s">
        <v>52</v>
      </c>
      <c r="H417">
        <v>67</v>
      </c>
      <c r="I417">
        <v>0.82099999999999995</v>
      </c>
      <c r="J417">
        <v>0.878</v>
      </c>
      <c r="K417">
        <v>5.7000000000000002E-2</v>
      </c>
      <c r="L417">
        <v>27</v>
      </c>
      <c r="M417">
        <v>32</v>
      </c>
      <c r="N417">
        <v>8</v>
      </c>
      <c r="O417">
        <v>0.879</v>
      </c>
      <c r="P417">
        <v>8.5305001000000005E-2</v>
      </c>
      <c r="Q417">
        <v>0.159</v>
      </c>
    </row>
    <row r="418" spans="1:17" s="30" customFormat="1" x14ac:dyDescent="0.2">
      <c r="A418" s="30" t="str">
        <f>IF(C418&amp;G418&amp;D418&lt;&gt;'Funnel setup'!$K$3&amp;'Funnel setup'!$K$4&amp;'Funnel setup'!$K$5,".",IF(A417=".",1,A417+1))</f>
        <v>.</v>
      </c>
      <c r="B418" s="431" t="str">
        <f t="shared" si="6"/>
        <v>Groin HerniaCCG of GP PracticeNHS WEST SUFFOLK CCG (07K)EQ-5D Index</v>
      </c>
      <c r="C418" t="s">
        <v>50</v>
      </c>
      <c r="D418" t="s">
        <v>87</v>
      </c>
      <c r="E418" t="s">
        <v>462</v>
      </c>
      <c r="F418" t="s">
        <v>463</v>
      </c>
      <c r="G418" t="s">
        <v>52</v>
      </c>
      <c r="H418">
        <v>130</v>
      </c>
      <c r="I418">
        <v>0.77</v>
      </c>
      <c r="J418">
        <v>0.877</v>
      </c>
      <c r="K418">
        <v>0.107</v>
      </c>
      <c r="L418">
        <v>81</v>
      </c>
      <c r="M418">
        <v>31</v>
      </c>
      <c r="N418">
        <v>18</v>
      </c>
      <c r="O418">
        <v>0.88500000000000001</v>
      </c>
      <c r="P418">
        <v>9.1572501000000001E-2</v>
      </c>
      <c r="Q418">
        <v>0.16</v>
      </c>
    </row>
    <row r="419" spans="1:17" s="30" customFormat="1" x14ac:dyDescent="0.2">
      <c r="A419" s="30" t="str">
        <f>IF(C419&amp;G419&amp;D419&lt;&gt;'Funnel setup'!$K$3&amp;'Funnel setup'!$K$4&amp;'Funnel setup'!$K$5,".",IF(A418=".",1,A418+1))</f>
        <v>.</v>
      </c>
      <c r="B419" s="431" t="str">
        <f t="shared" si="6"/>
        <v>Groin HerniaCCG of GP PracticeNHS WIGAN BOROUGH CCG (02H)EQ-5D Index</v>
      </c>
      <c r="C419" t="s">
        <v>50</v>
      </c>
      <c r="D419" t="s">
        <v>87</v>
      </c>
      <c r="E419" t="s">
        <v>465</v>
      </c>
      <c r="F419" t="s">
        <v>466</v>
      </c>
      <c r="G419" t="s">
        <v>52</v>
      </c>
      <c r="H419">
        <v>157</v>
      </c>
      <c r="I419">
        <v>0.76600000000000001</v>
      </c>
      <c r="J419">
        <v>0.84499999999999997</v>
      </c>
      <c r="K419">
        <v>7.8E-2</v>
      </c>
      <c r="L419">
        <v>82</v>
      </c>
      <c r="M419">
        <v>45</v>
      </c>
      <c r="N419">
        <v>30</v>
      </c>
      <c r="O419">
        <v>0.86299999999999999</v>
      </c>
      <c r="P419">
        <v>6.9602016000000003E-2</v>
      </c>
      <c r="Q419">
        <v>0.16300000000000001</v>
      </c>
    </row>
    <row r="420" spans="1:17" s="30" customFormat="1" x14ac:dyDescent="0.2">
      <c r="A420" s="30" t="str">
        <f>IF(C420&amp;G420&amp;D420&lt;&gt;'Funnel setup'!$K$3&amp;'Funnel setup'!$K$4&amp;'Funnel setup'!$K$5,".",IF(A419=".",1,A419+1))</f>
        <v>.</v>
      </c>
      <c r="B420" s="431" t="str">
        <f t="shared" si="6"/>
        <v>Groin HerniaCCG of GP PracticeNHS WILTSHIRE CCG (99N)EQ-5D Index</v>
      </c>
      <c r="C420" t="s">
        <v>50</v>
      </c>
      <c r="D420" t="s">
        <v>87</v>
      </c>
      <c r="E420" t="s">
        <v>468</v>
      </c>
      <c r="F420" t="s">
        <v>469</v>
      </c>
      <c r="G420" t="s">
        <v>52</v>
      </c>
      <c r="H420">
        <v>257</v>
      </c>
      <c r="I420">
        <v>0.81899999999999995</v>
      </c>
      <c r="J420">
        <v>0.90800000000000003</v>
      </c>
      <c r="K420">
        <v>8.8999999999999996E-2</v>
      </c>
      <c r="L420">
        <v>131</v>
      </c>
      <c r="M420">
        <v>92</v>
      </c>
      <c r="N420">
        <v>34</v>
      </c>
      <c r="O420">
        <v>0.88500000000000001</v>
      </c>
      <c r="P420">
        <v>9.2108457000000005E-2</v>
      </c>
      <c r="Q420">
        <v>0.123</v>
      </c>
    </row>
    <row r="421" spans="1:17" s="30" customFormat="1" x14ac:dyDescent="0.2">
      <c r="A421" s="30" t="str">
        <f>IF(C421&amp;G421&amp;D421&lt;&gt;'Funnel setup'!$K$3&amp;'Funnel setup'!$K$4&amp;'Funnel setup'!$K$5,".",IF(A420=".",1,A420+1))</f>
        <v>.</v>
      </c>
      <c r="B421" s="431" t="str">
        <f t="shared" si="6"/>
        <v>Groin HerniaCCG of GP PracticeNHS WINDSOR, ASCOT AND MAIDENHEAD CCG (11C)EQ-5D Index</v>
      </c>
      <c r="C421" t="s">
        <v>50</v>
      </c>
      <c r="D421" t="s">
        <v>87</v>
      </c>
      <c r="E421" t="s">
        <v>471</v>
      </c>
      <c r="F421" t="s">
        <v>472</v>
      </c>
      <c r="G421" t="s">
        <v>52</v>
      </c>
      <c r="H421">
        <v>29</v>
      </c>
      <c r="I421">
        <v>0.78</v>
      </c>
      <c r="J421">
        <v>0.89100000000000001</v>
      </c>
      <c r="K421">
        <v>0.111</v>
      </c>
      <c r="L421">
        <v>13</v>
      </c>
      <c r="M421">
        <v>12</v>
      </c>
      <c r="N421">
        <v>4</v>
      </c>
      <c r="O421" t="s">
        <v>53</v>
      </c>
      <c r="P421" t="s">
        <v>53</v>
      </c>
      <c r="Q421" t="s">
        <v>53</v>
      </c>
    </row>
    <row r="422" spans="1:17" s="30" customFormat="1" x14ac:dyDescent="0.2">
      <c r="A422" s="30" t="str">
        <f>IF(C422&amp;G422&amp;D422&lt;&gt;'Funnel setup'!$K$3&amp;'Funnel setup'!$K$4&amp;'Funnel setup'!$K$5,".",IF(A421=".",1,A421+1))</f>
        <v>.</v>
      </c>
      <c r="B422" s="431" t="str">
        <f t="shared" si="6"/>
        <v>Groin HerniaCCG of GP PracticeNHS WIRRAL CCG (12F)EQ-5D Index</v>
      </c>
      <c r="C422" t="s">
        <v>50</v>
      </c>
      <c r="D422" t="s">
        <v>87</v>
      </c>
      <c r="E422" t="s">
        <v>474</v>
      </c>
      <c r="F422" t="s">
        <v>475</v>
      </c>
      <c r="G422" t="s">
        <v>52</v>
      </c>
      <c r="H422">
        <v>121</v>
      </c>
      <c r="I422">
        <v>0.77700000000000002</v>
      </c>
      <c r="J422">
        <v>0.81899999999999995</v>
      </c>
      <c r="K422">
        <v>4.2000000000000003E-2</v>
      </c>
      <c r="L422">
        <v>51</v>
      </c>
      <c r="M422">
        <v>43</v>
      </c>
      <c r="N422">
        <v>27</v>
      </c>
      <c r="O422">
        <v>0.84299999999999997</v>
      </c>
      <c r="P422">
        <v>4.9603469999999997E-2</v>
      </c>
      <c r="Q422">
        <v>0.187</v>
      </c>
    </row>
    <row r="423" spans="1:17" s="30" customFormat="1" x14ac:dyDescent="0.2">
      <c r="A423" s="30" t="str">
        <f>IF(C423&amp;G423&amp;D423&lt;&gt;'Funnel setup'!$K$3&amp;'Funnel setup'!$K$4&amp;'Funnel setup'!$K$5,".",IF(A422=".",1,A422+1))</f>
        <v>.</v>
      </c>
      <c r="B423" s="431" t="str">
        <f t="shared" si="6"/>
        <v>Groin HerniaCCG of GP PracticeNHS WOKINGHAM CCG (11D)EQ-5D Index</v>
      </c>
      <c r="C423" t="s">
        <v>50</v>
      </c>
      <c r="D423" t="s">
        <v>87</v>
      </c>
      <c r="E423" t="s">
        <v>477</v>
      </c>
      <c r="F423" t="s">
        <v>478</v>
      </c>
      <c r="G423" t="s">
        <v>52</v>
      </c>
      <c r="H423">
        <v>55</v>
      </c>
      <c r="I423">
        <v>0.85099999999999998</v>
      </c>
      <c r="J423">
        <v>0.89</v>
      </c>
      <c r="K423">
        <v>3.9E-2</v>
      </c>
      <c r="L423">
        <v>22</v>
      </c>
      <c r="M423">
        <v>23</v>
      </c>
      <c r="N423">
        <v>10</v>
      </c>
      <c r="O423">
        <v>0.86199999999999999</v>
      </c>
      <c r="P423">
        <v>6.8308992999999998E-2</v>
      </c>
      <c r="Q423">
        <v>0.11600000000000001</v>
      </c>
    </row>
    <row r="424" spans="1:17" s="30" customFormat="1" x14ac:dyDescent="0.2">
      <c r="A424" s="30" t="str">
        <f>IF(C424&amp;G424&amp;D424&lt;&gt;'Funnel setup'!$K$3&amp;'Funnel setup'!$K$4&amp;'Funnel setup'!$K$5,".",IF(A423=".",1,A423+1))</f>
        <v>.</v>
      </c>
      <c r="B424" s="431" t="str">
        <f t="shared" si="6"/>
        <v>Groin HerniaCCG of GP PracticeNHS WOLVERHAMPTON CCG (06A)EQ-5D Index</v>
      </c>
      <c r="C424" t="s">
        <v>50</v>
      </c>
      <c r="D424" t="s">
        <v>87</v>
      </c>
      <c r="E424" t="s">
        <v>480</v>
      </c>
      <c r="F424" t="s">
        <v>481</v>
      </c>
      <c r="G424" t="s">
        <v>52</v>
      </c>
      <c r="H424">
        <v>107</v>
      </c>
      <c r="I424">
        <v>0.78900000000000003</v>
      </c>
      <c r="J424">
        <v>0.85299999999999998</v>
      </c>
      <c r="K424">
        <v>6.3E-2</v>
      </c>
      <c r="L424">
        <v>52</v>
      </c>
      <c r="M424">
        <v>34</v>
      </c>
      <c r="N424">
        <v>21</v>
      </c>
      <c r="O424">
        <v>0.87</v>
      </c>
      <c r="P424">
        <v>7.6162546999999997E-2</v>
      </c>
      <c r="Q424">
        <v>0.16400000000000001</v>
      </c>
    </row>
    <row r="425" spans="1:17" s="30" customFormat="1" x14ac:dyDescent="0.2">
      <c r="A425" s="30" t="str">
        <f>IF(C425&amp;G425&amp;D425&lt;&gt;'Funnel setup'!$K$3&amp;'Funnel setup'!$K$4&amp;'Funnel setup'!$K$5,".",IF(A424=".",1,A424+1))</f>
        <v>.</v>
      </c>
      <c r="B425" s="431" t="str">
        <f t="shared" si="6"/>
        <v>Groin HerniaCCG of GP PracticeNHS WYRE FOREST CCG (06D)EQ-5D Index</v>
      </c>
      <c r="C425" t="s">
        <v>50</v>
      </c>
      <c r="D425" t="s">
        <v>87</v>
      </c>
      <c r="E425" t="s">
        <v>483</v>
      </c>
      <c r="F425" t="s">
        <v>484</v>
      </c>
      <c r="G425" t="s">
        <v>52</v>
      </c>
      <c r="H425">
        <v>80</v>
      </c>
      <c r="I425">
        <v>0.77400000000000002</v>
      </c>
      <c r="J425">
        <v>0.874</v>
      </c>
      <c r="K425">
        <v>0.1</v>
      </c>
      <c r="L425">
        <v>39</v>
      </c>
      <c r="M425">
        <v>23</v>
      </c>
      <c r="N425">
        <v>18</v>
      </c>
      <c r="O425">
        <v>0.88400000000000001</v>
      </c>
      <c r="P425">
        <v>9.0270784000000007E-2</v>
      </c>
      <c r="Q425">
        <v>0.14299999999999999</v>
      </c>
    </row>
    <row r="426" spans="1:17" s="30" customFormat="1" x14ac:dyDescent="0.2">
      <c r="A426" s="30" t="str">
        <f>IF(C426&amp;G426&amp;D426&lt;&gt;'Funnel setup'!$K$3&amp;'Funnel setup'!$K$4&amp;'Funnel setup'!$K$5,".",IF(A425=".",1,A425+1))</f>
        <v>.</v>
      </c>
      <c r="B426" s="431" t="str">
        <f t="shared" si="6"/>
        <v>Groin HerniaCCG of GP PracticeSOUTH CENTRAL COMMISSIONING HUB (14H)EQ-5D Index</v>
      </c>
      <c r="C426" t="s">
        <v>50</v>
      </c>
      <c r="D426" t="s">
        <v>87</v>
      </c>
      <c r="E426" t="s">
        <v>6547</v>
      </c>
      <c r="F426" t="s">
        <v>6544</v>
      </c>
      <c r="G426" t="s">
        <v>52</v>
      </c>
      <c r="H426" t="s">
        <v>53</v>
      </c>
      <c r="I426" t="s">
        <v>53</v>
      </c>
      <c r="J426" t="s">
        <v>53</v>
      </c>
      <c r="K426" t="s">
        <v>53</v>
      </c>
      <c r="L426" t="s">
        <v>53</v>
      </c>
      <c r="M426" t="s">
        <v>53</v>
      </c>
      <c r="N426" t="s">
        <v>53</v>
      </c>
      <c r="O426" t="s">
        <v>53</v>
      </c>
      <c r="P426" t="s">
        <v>53</v>
      </c>
      <c r="Q426" t="s">
        <v>53</v>
      </c>
    </row>
    <row r="427" spans="1:17" s="30" customFormat="1" x14ac:dyDescent="0.2">
      <c r="A427" s="30" t="str">
        <f>IF(C427&amp;G427&amp;D427&lt;&gt;'Funnel setup'!$K$3&amp;'Funnel setup'!$K$4&amp;'Funnel setup'!$K$5,".",IF(A426=".",1,A426+1))</f>
        <v>.</v>
      </c>
      <c r="B427" s="431" t="str">
        <f t="shared" si="6"/>
        <v>Groin HerniaCCG of GP PracticeSOUTH EAST COMMISSIONING HUB (14G)EQ-5D Index</v>
      </c>
      <c r="C427" t="s">
        <v>50</v>
      </c>
      <c r="D427" t="s">
        <v>87</v>
      </c>
      <c r="E427" t="s">
        <v>6549</v>
      </c>
      <c r="F427" t="s">
        <v>6545</v>
      </c>
      <c r="G427" t="s">
        <v>52</v>
      </c>
      <c r="H427" t="s">
        <v>53</v>
      </c>
      <c r="I427" t="s">
        <v>53</v>
      </c>
      <c r="J427" t="s">
        <v>53</v>
      </c>
      <c r="K427" t="s">
        <v>53</v>
      </c>
      <c r="L427" t="s">
        <v>53</v>
      </c>
      <c r="M427" t="s">
        <v>53</v>
      </c>
      <c r="N427" t="s">
        <v>53</v>
      </c>
      <c r="O427" t="s">
        <v>53</v>
      </c>
      <c r="P427" t="s">
        <v>53</v>
      </c>
      <c r="Q427" t="s">
        <v>53</v>
      </c>
    </row>
    <row r="428" spans="1:17" s="30" customFormat="1" x14ac:dyDescent="0.2">
      <c r="A428" s="30" t="str">
        <f>IF(C428&amp;G428&amp;D428&lt;&gt;'Funnel setup'!$K$3&amp;'Funnel setup'!$K$4&amp;'Funnel setup'!$K$5,".",IF(A427=".",1,A427+1))</f>
        <v>.</v>
      </c>
      <c r="B428" s="431" t="str">
        <f t="shared" si="6"/>
        <v>Groin HerniaEnglandEnglandEQ VAS</v>
      </c>
      <c r="C428" t="s">
        <v>50</v>
      </c>
      <c r="D428" t="s">
        <v>163</v>
      </c>
      <c r="E428" t="s">
        <v>163</v>
      </c>
      <c r="F428" t="s">
        <v>163</v>
      </c>
      <c r="G428" t="s">
        <v>179</v>
      </c>
      <c r="H428">
        <v>20817</v>
      </c>
      <c r="I428">
        <v>80.644999999999996</v>
      </c>
      <c r="J428">
        <v>80.147000000000006</v>
      </c>
      <c r="K428">
        <v>-0.498</v>
      </c>
      <c r="L428">
        <v>7934</v>
      </c>
      <c r="M428">
        <v>4222</v>
      </c>
      <c r="N428">
        <v>8661</v>
      </c>
      <c r="O428">
        <v>80.147000000000006</v>
      </c>
      <c r="P428">
        <v>-0.498198588</v>
      </c>
      <c r="Q428">
        <v>12.366</v>
      </c>
    </row>
    <row r="429" spans="1:17" s="30" customFormat="1" x14ac:dyDescent="0.2">
      <c r="A429" s="30" t="str">
        <f>IF(C429&amp;G429&amp;D429&lt;&gt;'Funnel setup'!$K$3&amp;'Funnel setup'!$K$4&amp;'Funnel setup'!$K$5,".",IF(A428=".",1,A428+1))</f>
        <v>.</v>
      </c>
      <c r="B429" s="431" t="str">
        <f t="shared" si="6"/>
        <v>Groin HerniaEnglandEnglandEQ-5D Index</v>
      </c>
      <c r="C429" t="s">
        <v>50</v>
      </c>
      <c r="D429" t="s">
        <v>163</v>
      </c>
      <c r="E429" t="s">
        <v>163</v>
      </c>
      <c r="F429" t="s">
        <v>163</v>
      </c>
      <c r="G429" t="s">
        <v>52</v>
      </c>
      <c r="H429">
        <v>20191</v>
      </c>
      <c r="I429">
        <v>0.79300000000000004</v>
      </c>
      <c r="J429">
        <v>0.877</v>
      </c>
      <c r="K429">
        <v>8.4000000000000005E-2</v>
      </c>
      <c r="L429">
        <v>10248</v>
      </c>
      <c r="M429">
        <v>6475</v>
      </c>
      <c r="N429">
        <v>3468</v>
      </c>
      <c r="O429">
        <v>0.877</v>
      </c>
      <c r="P429">
        <v>8.3654400000000004E-2</v>
      </c>
      <c r="Q429">
        <v>0.159</v>
      </c>
    </row>
    <row r="430" spans="1:17" s="30" customFormat="1" x14ac:dyDescent="0.2">
      <c r="A430" s="30" t="str">
        <f>IF(C430&amp;G430&amp;D430&lt;&gt;'Funnel setup'!$K$3&amp;'Funnel setup'!$K$4&amp;'Funnel setup'!$K$5,".",IF(A429=".",1,A429+1))</f>
        <v>.</v>
      </c>
      <c r="B430" s="431" t="str">
        <f t="shared" si="6"/>
        <v>Groin HerniaProviderAINTREE UNIVERSITY HOSPITAL NHS FOUNDATION TRUST (REM)EQ VAS</v>
      </c>
      <c r="C430" t="s">
        <v>50</v>
      </c>
      <c r="D430" t="s">
        <v>1</v>
      </c>
      <c r="E430" t="s">
        <v>3838</v>
      </c>
      <c r="F430" t="s">
        <v>3839</v>
      </c>
      <c r="G430" t="s">
        <v>179</v>
      </c>
      <c r="H430">
        <v>94</v>
      </c>
      <c r="I430">
        <v>75.319000000000003</v>
      </c>
      <c r="J430">
        <v>77.563999999999993</v>
      </c>
      <c r="K430">
        <v>2.2450000000000001</v>
      </c>
      <c r="L430">
        <v>38</v>
      </c>
      <c r="M430">
        <v>16</v>
      </c>
      <c r="N430">
        <v>40</v>
      </c>
      <c r="O430">
        <v>80.825000000000003</v>
      </c>
      <c r="P430">
        <v>0.17980769199999999</v>
      </c>
      <c r="Q430">
        <v>12.798999999999999</v>
      </c>
    </row>
    <row r="431" spans="1:17" s="30" customFormat="1" x14ac:dyDescent="0.2">
      <c r="A431" s="30" t="str">
        <f>IF(C431&amp;G431&amp;D431&lt;&gt;'Funnel setup'!$K$3&amp;'Funnel setup'!$K$4&amp;'Funnel setup'!$K$5,".",IF(A430=".",1,A430+1))</f>
        <v>.</v>
      </c>
      <c r="B431" s="431" t="str">
        <f t="shared" si="6"/>
        <v>Groin HerniaProviderAIREDALE NHS FOUNDATION TRUST (RCF)EQ VAS</v>
      </c>
      <c r="C431" t="s">
        <v>50</v>
      </c>
      <c r="D431" t="s">
        <v>1</v>
      </c>
      <c r="E431" t="s">
        <v>3841</v>
      </c>
      <c r="F431" t="s">
        <v>3842</v>
      </c>
      <c r="G431" t="s">
        <v>179</v>
      </c>
      <c r="H431">
        <v>114</v>
      </c>
      <c r="I431">
        <v>77.86</v>
      </c>
      <c r="J431">
        <v>78.192999999999998</v>
      </c>
      <c r="K431">
        <v>0.33300000000000002</v>
      </c>
      <c r="L431">
        <v>45</v>
      </c>
      <c r="M431">
        <v>29</v>
      </c>
      <c r="N431">
        <v>40</v>
      </c>
      <c r="O431">
        <v>80.263999999999996</v>
      </c>
      <c r="P431">
        <v>-0.38141656499999999</v>
      </c>
      <c r="Q431">
        <v>11.744</v>
      </c>
    </row>
    <row r="432" spans="1:17" s="30" customFormat="1" x14ac:dyDescent="0.2">
      <c r="A432" s="30" t="str">
        <f>IF(C432&amp;G432&amp;D432&lt;&gt;'Funnel setup'!$K$3&amp;'Funnel setup'!$K$4&amp;'Funnel setup'!$K$5,".",IF(A431=".",1,A431+1))</f>
        <v>.</v>
      </c>
      <c r="B432" s="431" t="str">
        <f t="shared" si="6"/>
        <v>Groin HerniaProviderASHFORD AND ST PETER'S HOSPITALS NHS FOUNDATION TRUST (RTK)EQ VAS</v>
      </c>
      <c r="C432" t="s">
        <v>50</v>
      </c>
      <c r="D432" t="s">
        <v>1</v>
      </c>
      <c r="E432" t="s">
        <v>3844</v>
      </c>
      <c r="F432" t="s">
        <v>345</v>
      </c>
      <c r="G432" t="s">
        <v>179</v>
      </c>
      <c r="H432">
        <v>54</v>
      </c>
      <c r="I432">
        <v>83.87</v>
      </c>
      <c r="J432">
        <v>80.426000000000002</v>
      </c>
      <c r="K432">
        <v>-3.444</v>
      </c>
      <c r="L432">
        <v>16</v>
      </c>
      <c r="M432">
        <v>17</v>
      </c>
      <c r="N432">
        <v>21</v>
      </c>
      <c r="O432">
        <v>77.923000000000002</v>
      </c>
      <c r="P432">
        <v>-2.7225849740000001</v>
      </c>
      <c r="Q432">
        <v>15.162000000000001</v>
      </c>
    </row>
    <row r="433" spans="1:17" s="30" customFormat="1" x14ac:dyDescent="0.2">
      <c r="A433" s="30" t="str">
        <f>IF(C433&amp;G433&amp;D433&lt;&gt;'Funnel setup'!$K$3&amp;'Funnel setup'!$K$4&amp;'Funnel setup'!$K$5,".",IF(A432=".",1,A432+1))</f>
        <v>.</v>
      </c>
      <c r="B433" s="431" t="str">
        <f t="shared" si="6"/>
        <v>Groin HerniaProviderASHTEAD HOSPITAL (NVC01)EQ VAS</v>
      </c>
      <c r="C433" t="s">
        <v>50</v>
      </c>
      <c r="D433" t="s">
        <v>1</v>
      </c>
      <c r="E433" t="s">
        <v>3846</v>
      </c>
      <c r="F433" t="s">
        <v>3847</v>
      </c>
      <c r="G433" t="s">
        <v>179</v>
      </c>
      <c r="H433">
        <v>49</v>
      </c>
      <c r="I433">
        <v>80.489999999999995</v>
      </c>
      <c r="J433">
        <v>79.203999999999994</v>
      </c>
      <c r="K433">
        <v>-1.286</v>
      </c>
      <c r="L433">
        <v>18</v>
      </c>
      <c r="M433">
        <v>11</v>
      </c>
      <c r="N433">
        <v>20</v>
      </c>
      <c r="O433">
        <v>78.558999999999997</v>
      </c>
      <c r="P433">
        <v>-2.0864034500000002</v>
      </c>
      <c r="Q433">
        <v>12.754</v>
      </c>
    </row>
    <row r="434" spans="1:17" s="30" customFormat="1" x14ac:dyDescent="0.2">
      <c r="A434" s="30" t="str">
        <f>IF(C434&amp;G434&amp;D434&lt;&gt;'Funnel setup'!$K$3&amp;'Funnel setup'!$K$4&amp;'Funnel setup'!$K$5,".",IF(A433=".",1,A433+1))</f>
        <v>.</v>
      </c>
      <c r="B434" s="431" t="str">
        <f t="shared" si="6"/>
        <v>Groin HerniaProviderASPEN - CLAREMONT HOSPITAL (NYW04)EQ VAS</v>
      </c>
      <c r="C434" t="s">
        <v>50</v>
      </c>
      <c r="D434" t="s">
        <v>1</v>
      </c>
      <c r="E434" t="s">
        <v>3500</v>
      </c>
      <c r="F434" t="s">
        <v>3501</v>
      </c>
      <c r="G434" t="s">
        <v>179</v>
      </c>
      <c r="H434" t="s">
        <v>53</v>
      </c>
      <c r="I434" t="s">
        <v>53</v>
      </c>
      <c r="J434" t="s">
        <v>53</v>
      </c>
      <c r="K434" t="s">
        <v>53</v>
      </c>
      <c r="L434" t="s">
        <v>53</v>
      </c>
      <c r="M434" t="s">
        <v>53</v>
      </c>
      <c r="N434" t="s">
        <v>53</v>
      </c>
      <c r="O434" t="s">
        <v>53</v>
      </c>
      <c r="P434" t="s">
        <v>53</v>
      </c>
      <c r="Q434" t="s">
        <v>53</v>
      </c>
    </row>
    <row r="435" spans="1:17" s="30" customFormat="1" x14ac:dyDescent="0.2">
      <c r="A435" s="30" t="str">
        <f>IF(C435&amp;G435&amp;D435&lt;&gt;'Funnel setup'!$K$3&amp;'Funnel setup'!$K$4&amp;'Funnel setup'!$K$5,".",IF(A434=".",1,A434+1))</f>
        <v>.</v>
      </c>
      <c r="B435" s="431" t="str">
        <f t="shared" si="6"/>
        <v>Groin HerniaProviderASPEN - HIGHGATE HOSPITAL (NYW03)EQ VAS</v>
      </c>
      <c r="C435" t="s">
        <v>50</v>
      </c>
      <c r="D435" t="s">
        <v>1</v>
      </c>
      <c r="E435" t="s">
        <v>3503</v>
      </c>
      <c r="F435" t="s">
        <v>3504</v>
      </c>
      <c r="G435" t="s">
        <v>179</v>
      </c>
      <c r="H435" t="s">
        <v>53</v>
      </c>
      <c r="I435" t="s">
        <v>53</v>
      </c>
      <c r="J435" t="s">
        <v>53</v>
      </c>
      <c r="K435" t="s">
        <v>53</v>
      </c>
      <c r="L435" t="s">
        <v>53</v>
      </c>
      <c r="M435" t="s">
        <v>53</v>
      </c>
      <c r="N435" t="s">
        <v>53</v>
      </c>
      <c r="O435" t="s">
        <v>53</v>
      </c>
      <c r="P435" t="s">
        <v>53</v>
      </c>
      <c r="Q435" t="s">
        <v>53</v>
      </c>
    </row>
    <row r="436" spans="1:17" s="30" customFormat="1" x14ac:dyDescent="0.2">
      <c r="A436" s="30" t="str">
        <f>IF(C436&amp;G436&amp;D436&lt;&gt;'Funnel setup'!$K$3&amp;'Funnel setup'!$K$4&amp;'Funnel setup'!$K$5,".",IF(A435=".",1,A435+1))</f>
        <v>.</v>
      </c>
      <c r="B436" s="431" t="str">
        <f t="shared" si="6"/>
        <v>Groin HerniaProviderASPEN - HOLLY HOUSE HOSPITAL (NYW01)EQ VAS</v>
      </c>
      <c r="C436" t="s">
        <v>50</v>
      </c>
      <c r="D436" t="s">
        <v>1</v>
      </c>
      <c r="E436" t="s">
        <v>3506</v>
      </c>
      <c r="F436" t="s">
        <v>3507</v>
      </c>
      <c r="G436" t="s">
        <v>179</v>
      </c>
      <c r="H436" t="s">
        <v>53</v>
      </c>
      <c r="I436" t="s">
        <v>53</v>
      </c>
      <c r="J436" t="s">
        <v>53</v>
      </c>
      <c r="K436" t="s">
        <v>53</v>
      </c>
      <c r="L436" t="s">
        <v>53</v>
      </c>
      <c r="M436" t="s">
        <v>53</v>
      </c>
      <c r="N436" t="s">
        <v>53</v>
      </c>
      <c r="O436" t="s">
        <v>53</v>
      </c>
      <c r="P436" t="s">
        <v>53</v>
      </c>
      <c r="Q436" t="s">
        <v>53</v>
      </c>
    </row>
    <row r="437" spans="1:17" s="30" customFormat="1" x14ac:dyDescent="0.2">
      <c r="A437" s="30" t="str">
        <f>IF(C437&amp;G437&amp;D437&lt;&gt;'Funnel setup'!$K$3&amp;'Funnel setup'!$K$4&amp;'Funnel setup'!$K$5,".",IF(A436=".",1,A436+1))</f>
        <v>.</v>
      </c>
      <c r="B437" s="431" t="str">
        <f t="shared" si="6"/>
        <v>Groin HerniaProviderBARKING, HAVERING AND REDBRIDGE UNIVERSITY HOSPITALS NHS TRUST (RF4)EQ VAS</v>
      </c>
      <c r="C437" t="s">
        <v>50</v>
      </c>
      <c r="D437" t="s">
        <v>1</v>
      </c>
      <c r="E437" t="s">
        <v>3509</v>
      </c>
      <c r="F437" t="s">
        <v>3510</v>
      </c>
      <c r="G437" t="s">
        <v>179</v>
      </c>
      <c r="H437">
        <v>44</v>
      </c>
      <c r="I437">
        <v>80.545000000000002</v>
      </c>
      <c r="J437">
        <v>78.635999999999996</v>
      </c>
      <c r="K437">
        <v>-1.909</v>
      </c>
      <c r="L437">
        <v>19</v>
      </c>
      <c r="M437">
        <v>5</v>
      </c>
      <c r="N437">
        <v>20</v>
      </c>
      <c r="O437">
        <v>80.266999999999996</v>
      </c>
      <c r="P437">
        <v>-0.37827135499999998</v>
      </c>
      <c r="Q437">
        <v>13.784000000000001</v>
      </c>
    </row>
    <row r="438" spans="1:17" s="30" customFormat="1" x14ac:dyDescent="0.2">
      <c r="A438" s="30" t="str">
        <f>IF(C438&amp;G438&amp;D438&lt;&gt;'Funnel setup'!$K$3&amp;'Funnel setup'!$K$4&amp;'Funnel setup'!$K$5,".",IF(A437=".",1,A437+1))</f>
        <v>.</v>
      </c>
      <c r="B438" s="431" t="str">
        <f t="shared" si="6"/>
        <v>Groin HerniaProviderBARNSLEY HOSPITAL NHS FOUNDATION TRUST (RFF)EQ VAS</v>
      </c>
      <c r="C438" t="s">
        <v>50</v>
      </c>
      <c r="D438" t="s">
        <v>1</v>
      </c>
      <c r="E438" t="s">
        <v>3549</v>
      </c>
      <c r="F438" t="s">
        <v>3550</v>
      </c>
      <c r="G438" t="s">
        <v>179</v>
      </c>
      <c r="H438">
        <v>98</v>
      </c>
      <c r="I438">
        <v>82.724000000000004</v>
      </c>
      <c r="J438">
        <v>79.224000000000004</v>
      </c>
      <c r="K438">
        <v>-3.5</v>
      </c>
      <c r="L438">
        <v>26</v>
      </c>
      <c r="M438">
        <v>22</v>
      </c>
      <c r="N438">
        <v>50</v>
      </c>
      <c r="O438">
        <v>78.150999999999996</v>
      </c>
      <c r="P438">
        <v>-2.4948397720000002</v>
      </c>
      <c r="Q438">
        <v>14.955</v>
      </c>
    </row>
    <row r="439" spans="1:17" s="30" customFormat="1" x14ac:dyDescent="0.2">
      <c r="A439" s="30" t="str">
        <f>IF(C439&amp;G439&amp;D439&lt;&gt;'Funnel setup'!$K$3&amp;'Funnel setup'!$K$4&amp;'Funnel setup'!$K$5,".",IF(A438=".",1,A438+1))</f>
        <v>.</v>
      </c>
      <c r="B439" s="431" t="str">
        <f t="shared" si="6"/>
        <v>Groin HerniaProviderBARTS HEALTH NHS TRUST (R1H)EQ VAS</v>
      </c>
      <c r="C439" t="s">
        <v>50</v>
      </c>
      <c r="D439" t="s">
        <v>1</v>
      </c>
      <c r="E439" t="s">
        <v>3552</v>
      </c>
      <c r="F439" t="s">
        <v>3553</v>
      </c>
      <c r="G439" t="s">
        <v>179</v>
      </c>
      <c r="H439">
        <v>61</v>
      </c>
      <c r="I439">
        <v>80.721000000000004</v>
      </c>
      <c r="J439">
        <v>73.459000000000003</v>
      </c>
      <c r="K439">
        <v>-7.2619999999999996</v>
      </c>
      <c r="L439">
        <v>15</v>
      </c>
      <c r="M439">
        <v>13</v>
      </c>
      <c r="N439">
        <v>33</v>
      </c>
      <c r="O439">
        <v>75.947000000000003</v>
      </c>
      <c r="P439">
        <v>-4.6982703490000004</v>
      </c>
      <c r="Q439">
        <v>17.347000000000001</v>
      </c>
    </row>
    <row r="440" spans="1:17" s="30" customFormat="1" x14ac:dyDescent="0.2">
      <c r="A440" s="30" t="str">
        <f>IF(C440&amp;G440&amp;D440&lt;&gt;'Funnel setup'!$K$3&amp;'Funnel setup'!$K$4&amp;'Funnel setup'!$K$5,".",IF(A439=".",1,A439+1))</f>
        <v>.</v>
      </c>
      <c r="B440" s="431" t="str">
        <f t="shared" si="6"/>
        <v>Groin HerniaProviderBASILDON AND THURROCK UNIVERSITY HOSPITALS NHS FOUNDATION TRUST (RDD)EQ VAS</v>
      </c>
      <c r="C440" t="s">
        <v>50</v>
      </c>
      <c r="D440" t="s">
        <v>1</v>
      </c>
      <c r="E440" t="s">
        <v>3555</v>
      </c>
      <c r="F440" t="s">
        <v>3556</v>
      </c>
      <c r="G440" t="s">
        <v>179</v>
      </c>
      <c r="H440">
        <v>76</v>
      </c>
      <c r="I440">
        <v>77.25</v>
      </c>
      <c r="J440">
        <v>77.644999999999996</v>
      </c>
      <c r="K440">
        <v>0.39500000000000002</v>
      </c>
      <c r="L440">
        <v>32</v>
      </c>
      <c r="M440">
        <v>12</v>
      </c>
      <c r="N440">
        <v>32</v>
      </c>
      <c r="O440">
        <v>79.741</v>
      </c>
      <c r="P440">
        <v>-0.90424395800000001</v>
      </c>
      <c r="Q440">
        <v>15.819000000000001</v>
      </c>
    </row>
    <row r="441" spans="1:17" s="30" customFormat="1" x14ac:dyDescent="0.2">
      <c r="A441" s="30" t="str">
        <f>IF(C441&amp;G441&amp;D441&lt;&gt;'Funnel setup'!$K$3&amp;'Funnel setup'!$K$4&amp;'Funnel setup'!$K$5,".",IF(A440=".",1,A440+1))</f>
        <v>.</v>
      </c>
      <c r="B441" s="431" t="str">
        <f t="shared" si="6"/>
        <v>Groin HerniaProviderBEDFORD HOSPITAL NHS TRUST (RC1)EQ VAS</v>
      </c>
      <c r="C441" t="s">
        <v>50</v>
      </c>
      <c r="D441" t="s">
        <v>1</v>
      </c>
      <c r="E441" t="s">
        <v>3558</v>
      </c>
      <c r="F441" t="s">
        <v>3559</v>
      </c>
      <c r="G441" t="s">
        <v>179</v>
      </c>
      <c r="H441">
        <v>75</v>
      </c>
      <c r="I441">
        <v>81.052999999999997</v>
      </c>
      <c r="J441">
        <v>81.933000000000007</v>
      </c>
      <c r="K441">
        <v>0.88</v>
      </c>
      <c r="L441">
        <v>31</v>
      </c>
      <c r="M441">
        <v>18</v>
      </c>
      <c r="N441">
        <v>26</v>
      </c>
      <c r="O441">
        <v>81.760000000000005</v>
      </c>
      <c r="P441">
        <v>1.11453392</v>
      </c>
      <c r="Q441">
        <v>11.891</v>
      </c>
    </row>
    <row r="442" spans="1:17" s="30" customFormat="1" x14ac:dyDescent="0.2">
      <c r="A442" s="30" t="str">
        <f>IF(C442&amp;G442&amp;D442&lt;&gt;'Funnel setup'!$K$3&amp;'Funnel setup'!$K$4&amp;'Funnel setup'!$K$5,".",IF(A441=".",1,A441+1))</f>
        <v>.</v>
      </c>
      <c r="B442" s="431" t="str">
        <f t="shared" si="6"/>
        <v>Groin HerniaProviderBLACKPOOL TEACHING HOSPITALS NHS FOUNDATION TRUST (RXL)EQ VAS</v>
      </c>
      <c r="C442" t="s">
        <v>50</v>
      </c>
      <c r="D442" t="s">
        <v>1</v>
      </c>
      <c r="E442" t="s">
        <v>3561</v>
      </c>
      <c r="F442" t="s">
        <v>3562</v>
      </c>
      <c r="G442" t="s">
        <v>179</v>
      </c>
      <c r="H442">
        <v>39</v>
      </c>
      <c r="I442">
        <v>77.051000000000002</v>
      </c>
      <c r="J442">
        <v>74.744</v>
      </c>
      <c r="K442">
        <v>-2.3079999999999998</v>
      </c>
      <c r="L442">
        <v>13</v>
      </c>
      <c r="M442">
        <v>9</v>
      </c>
      <c r="N442">
        <v>17</v>
      </c>
      <c r="O442">
        <v>77.298000000000002</v>
      </c>
      <c r="P442">
        <v>-3.3470061539999998</v>
      </c>
      <c r="Q442">
        <v>16.256</v>
      </c>
    </row>
    <row r="443" spans="1:17" s="30" customFormat="1" x14ac:dyDescent="0.2">
      <c r="A443" s="30" t="str">
        <f>IF(C443&amp;G443&amp;D443&lt;&gt;'Funnel setup'!$K$3&amp;'Funnel setup'!$K$4&amp;'Funnel setup'!$K$5,".",IF(A442=".",1,A442+1))</f>
        <v>.</v>
      </c>
      <c r="B443" s="431" t="str">
        <f t="shared" si="6"/>
        <v>Groin HerniaProviderBLAKELANDS HOSPITAL (NVC31)EQ VAS</v>
      </c>
      <c r="C443" t="s">
        <v>50</v>
      </c>
      <c r="D443" t="s">
        <v>1</v>
      </c>
      <c r="E443" t="s">
        <v>3564</v>
      </c>
      <c r="F443" t="s">
        <v>3565</v>
      </c>
      <c r="G443" t="s">
        <v>179</v>
      </c>
      <c r="H443">
        <v>28</v>
      </c>
      <c r="I443">
        <v>80.143000000000001</v>
      </c>
      <c r="J443">
        <v>79.286000000000001</v>
      </c>
      <c r="K443">
        <v>-0.85699999999999998</v>
      </c>
      <c r="L443">
        <v>9</v>
      </c>
      <c r="M443">
        <v>6</v>
      </c>
      <c r="N443">
        <v>13</v>
      </c>
      <c r="O443" t="s">
        <v>53</v>
      </c>
      <c r="P443" t="s">
        <v>53</v>
      </c>
      <c r="Q443" t="s">
        <v>53</v>
      </c>
    </row>
    <row r="444" spans="1:17" s="30" customFormat="1" x14ac:dyDescent="0.2">
      <c r="A444" s="30" t="str">
        <f>IF(C444&amp;G444&amp;D444&lt;&gt;'Funnel setup'!$K$3&amp;'Funnel setup'!$K$4&amp;'Funnel setup'!$K$5,".",IF(A443=".",1,A443+1))</f>
        <v>.</v>
      </c>
      <c r="B444" s="431" t="str">
        <f t="shared" si="6"/>
        <v>Groin HerniaProviderBMI - BATH CLINIC (NT402)EQ VAS</v>
      </c>
      <c r="C444" t="s">
        <v>50</v>
      </c>
      <c r="D444" t="s">
        <v>1</v>
      </c>
      <c r="E444" t="s">
        <v>3488</v>
      </c>
      <c r="F444" t="s">
        <v>3489</v>
      </c>
      <c r="G444" t="s">
        <v>179</v>
      </c>
      <c r="H444">
        <v>8</v>
      </c>
      <c r="I444">
        <v>74.375</v>
      </c>
      <c r="J444">
        <v>80.5</v>
      </c>
      <c r="K444">
        <v>6.125</v>
      </c>
      <c r="L444">
        <v>4</v>
      </c>
      <c r="M444">
        <v>1</v>
      </c>
      <c r="N444">
        <v>3</v>
      </c>
      <c r="O444" t="s">
        <v>53</v>
      </c>
      <c r="P444" t="s">
        <v>53</v>
      </c>
      <c r="Q444" t="s">
        <v>53</v>
      </c>
    </row>
    <row r="445" spans="1:17" s="30" customFormat="1" x14ac:dyDescent="0.2">
      <c r="A445" s="30" t="str">
        <f>IF(C445&amp;G445&amp;D445&lt;&gt;'Funnel setup'!$K$3&amp;'Funnel setup'!$K$4&amp;'Funnel setup'!$K$5,".",IF(A444=".",1,A444+1))</f>
        <v>.</v>
      </c>
      <c r="B445" s="431" t="str">
        <f t="shared" si="6"/>
        <v>Groin HerniaProviderBMI - BISHOPS WOOD (NT405)EQ VAS</v>
      </c>
      <c r="C445" t="s">
        <v>50</v>
      </c>
      <c r="D445" t="s">
        <v>1</v>
      </c>
      <c r="E445" t="s">
        <v>3491</v>
      </c>
      <c r="F445" t="s">
        <v>3492</v>
      </c>
      <c r="G445" t="s">
        <v>179</v>
      </c>
      <c r="H445">
        <v>15</v>
      </c>
      <c r="I445">
        <v>78</v>
      </c>
      <c r="J445">
        <v>78</v>
      </c>
      <c r="K445">
        <v>0</v>
      </c>
      <c r="L445">
        <v>7</v>
      </c>
      <c r="M445">
        <v>4</v>
      </c>
      <c r="N445">
        <v>4</v>
      </c>
      <c r="O445" t="s">
        <v>53</v>
      </c>
      <c r="P445" t="s">
        <v>53</v>
      </c>
      <c r="Q445" t="s">
        <v>53</v>
      </c>
    </row>
    <row r="446" spans="1:17" s="30" customFormat="1" x14ac:dyDescent="0.2">
      <c r="A446" s="30" t="str">
        <f>IF(C446&amp;G446&amp;D446&lt;&gt;'Funnel setup'!$K$3&amp;'Funnel setup'!$K$4&amp;'Funnel setup'!$K$5,".",IF(A445=".",1,A445+1))</f>
        <v>.</v>
      </c>
      <c r="B446" s="431" t="str">
        <f t="shared" si="6"/>
        <v>Groin HerniaProviderBMI - CHELSFIELD PARK HOSPITAL (NT409)EQ VAS</v>
      </c>
      <c r="C446" t="s">
        <v>50</v>
      </c>
      <c r="D446" t="s">
        <v>1</v>
      </c>
      <c r="E446" t="s">
        <v>3494</v>
      </c>
      <c r="F446" t="s">
        <v>3495</v>
      </c>
      <c r="G446" t="s">
        <v>179</v>
      </c>
      <c r="H446" t="s">
        <v>53</v>
      </c>
      <c r="I446" t="s">
        <v>53</v>
      </c>
      <c r="J446" t="s">
        <v>53</v>
      </c>
      <c r="K446" t="s">
        <v>53</v>
      </c>
      <c r="L446" t="s">
        <v>53</v>
      </c>
      <c r="M446" t="s">
        <v>53</v>
      </c>
      <c r="N446" t="s">
        <v>53</v>
      </c>
      <c r="O446" t="s">
        <v>53</v>
      </c>
      <c r="P446" t="s">
        <v>53</v>
      </c>
      <c r="Q446" t="s">
        <v>53</v>
      </c>
    </row>
    <row r="447" spans="1:17" s="30" customFormat="1" x14ac:dyDescent="0.2">
      <c r="A447" s="30" t="str">
        <f>IF(C447&amp;G447&amp;D447&lt;&gt;'Funnel setup'!$K$3&amp;'Funnel setup'!$K$4&amp;'Funnel setup'!$K$5,".",IF(A446=".",1,A446+1))</f>
        <v>.</v>
      </c>
      <c r="B447" s="431" t="str">
        <f t="shared" si="6"/>
        <v>Groin HerniaProviderBMI - FAWKHAM MANOR HOSPITAL (NT414)EQ VAS</v>
      </c>
      <c r="C447" t="s">
        <v>50</v>
      </c>
      <c r="D447" t="s">
        <v>1</v>
      </c>
      <c r="E447" t="s">
        <v>3497</v>
      </c>
      <c r="F447" t="s">
        <v>3498</v>
      </c>
      <c r="G447" t="s">
        <v>179</v>
      </c>
      <c r="H447">
        <v>20</v>
      </c>
      <c r="I447">
        <v>86.1</v>
      </c>
      <c r="J447">
        <v>84.25</v>
      </c>
      <c r="K447">
        <v>-1.85</v>
      </c>
      <c r="L447">
        <v>5</v>
      </c>
      <c r="M447">
        <v>6</v>
      </c>
      <c r="N447">
        <v>9</v>
      </c>
      <c r="O447" t="s">
        <v>53</v>
      </c>
      <c r="P447" t="s">
        <v>53</v>
      </c>
      <c r="Q447" t="s">
        <v>53</v>
      </c>
    </row>
    <row r="448" spans="1:17" s="30" customFormat="1" x14ac:dyDescent="0.2">
      <c r="A448" s="30" t="str">
        <f>IF(C448&amp;G448&amp;D448&lt;&gt;'Funnel setup'!$K$3&amp;'Funnel setup'!$K$4&amp;'Funnel setup'!$K$5,".",IF(A447=".",1,A447+1))</f>
        <v>.</v>
      </c>
      <c r="B448" s="431" t="str">
        <f t="shared" si="6"/>
        <v>Groin HerniaProviderBMI - GORING HALL HOSPITAL (NT417)EQ VAS</v>
      </c>
      <c r="C448" t="s">
        <v>50</v>
      </c>
      <c r="D448" t="s">
        <v>1</v>
      </c>
      <c r="E448" t="s">
        <v>3403</v>
      </c>
      <c r="F448" t="s">
        <v>3404</v>
      </c>
      <c r="G448" t="s">
        <v>179</v>
      </c>
      <c r="H448">
        <v>28</v>
      </c>
      <c r="I448">
        <v>81.356999999999999</v>
      </c>
      <c r="J448">
        <v>80.320999999999998</v>
      </c>
      <c r="K448">
        <v>-1.036</v>
      </c>
      <c r="L448">
        <v>11</v>
      </c>
      <c r="M448">
        <v>3</v>
      </c>
      <c r="N448">
        <v>14</v>
      </c>
      <c r="O448" t="s">
        <v>53</v>
      </c>
      <c r="P448" t="s">
        <v>53</v>
      </c>
      <c r="Q448" t="s">
        <v>53</v>
      </c>
    </row>
    <row r="449" spans="1:17" s="30" customFormat="1" x14ac:dyDescent="0.2">
      <c r="A449" s="30" t="str">
        <f>IF(C449&amp;G449&amp;D449&lt;&gt;'Funnel setup'!$K$3&amp;'Funnel setup'!$K$4&amp;'Funnel setup'!$K$5,".",IF(A448=".",1,A448+1))</f>
        <v>.</v>
      </c>
      <c r="B449" s="431" t="str">
        <f t="shared" si="6"/>
        <v>Groin HerniaProviderBMI - SARUM ROAD HOSPITAL (NT433)EQ VAS</v>
      </c>
      <c r="C449" t="s">
        <v>50</v>
      </c>
      <c r="D449" t="s">
        <v>1</v>
      </c>
      <c r="E449" t="s">
        <v>3573</v>
      </c>
      <c r="F449" t="s">
        <v>3574</v>
      </c>
      <c r="G449" t="s">
        <v>179</v>
      </c>
      <c r="H449">
        <v>7</v>
      </c>
      <c r="I449">
        <v>75</v>
      </c>
      <c r="J449">
        <v>84</v>
      </c>
      <c r="K449">
        <v>9</v>
      </c>
      <c r="L449">
        <v>6</v>
      </c>
      <c r="M449">
        <v>1</v>
      </c>
      <c r="N449">
        <v>0</v>
      </c>
      <c r="O449" t="s">
        <v>53</v>
      </c>
      <c r="P449" t="s">
        <v>53</v>
      </c>
      <c r="Q449" t="s">
        <v>53</v>
      </c>
    </row>
    <row r="450" spans="1:17" s="30" customFormat="1" x14ac:dyDescent="0.2">
      <c r="A450" s="30" t="str">
        <f>IF(C450&amp;G450&amp;D450&lt;&gt;'Funnel setup'!$K$3&amp;'Funnel setup'!$K$4&amp;'Funnel setup'!$K$5,".",IF(A449=".",1,A449+1))</f>
        <v>.</v>
      </c>
      <c r="B450" s="431" t="str">
        <f t="shared" si="6"/>
        <v>Groin HerniaProviderBMI - SHIRLEY OAKS HOSPITAL (NT436)EQ VAS</v>
      </c>
      <c r="C450" t="s">
        <v>50</v>
      </c>
      <c r="D450" t="s">
        <v>1</v>
      </c>
      <c r="E450" t="s">
        <v>3576</v>
      </c>
      <c r="F450" t="s">
        <v>3577</v>
      </c>
      <c r="G450" t="s">
        <v>179</v>
      </c>
      <c r="H450">
        <v>12</v>
      </c>
      <c r="I450">
        <v>77.25</v>
      </c>
      <c r="J450">
        <v>75.5</v>
      </c>
      <c r="K450">
        <v>-1.75</v>
      </c>
      <c r="L450">
        <v>4</v>
      </c>
      <c r="M450">
        <v>2</v>
      </c>
      <c r="N450">
        <v>6</v>
      </c>
      <c r="O450" t="s">
        <v>53</v>
      </c>
      <c r="P450" t="s">
        <v>53</v>
      </c>
      <c r="Q450" t="s">
        <v>53</v>
      </c>
    </row>
    <row r="451" spans="1:17" s="30" customFormat="1" x14ac:dyDescent="0.2">
      <c r="A451" s="30" t="str">
        <f>IF(C451&amp;G451&amp;D451&lt;&gt;'Funnel setup'!$K$3&amp;'Funnel setup'!$K$4&amp;'Funnel setup'!$K$5,".",IF(A450=".",1,A450+1))</f>
        <v>.</v>
      </c>
      <c r="B451" s="431" t="str">
        <f t="shared" ref="B451:B514" si="7">C451&amp;D451&amp;F451&amp;G451</f>
        <v>Groin HerniaProviderBMI - THE ALEXANDRA HOSPITAL (NT401)EQ VAS</v>
      </c>
      <c r="C451" t="s">
        <v>50</v>
      </c>
      <c r="D451" t="s">
        <v>1</v>
      </c>
      <c r="E451" t="s">
        <v>3579</v>
      </c>
      <c r="F451" t="s">
        <v>3580</v>
      </c>
      <c r="G451" t="s">
        <v>179</v>
      </c>
      <c r="H451">
        <v>20</v>
      </c>
      <c r="I451">
        <v>80.900000000000006</v>
      </c>
      <c r="J451">
        <v>79.150000000000006</v>
      </c>
      <c r="K451">
        <v>-1.75</v>
      </c>
      <c r="L451">
        <v>7</v>
      </c>
      <c r="M451">
        <v>5</v>
      </c>
      <c r="N451">
        <v>8</v>
      </c>
      <c r="O451" t="s">
        <v>53</v>
      </c>
      <c r="P451" t="s">
        <v>53</v>
      </c>
      <c r="Q451" t="s">
        <v>53</v>
      </c>
    </row>
    <row r="452" spans="1:17" s="30" customFormat="1" x14ac:dyDescent="0.2">
      <c r="A452" s="30" t="str">
        <f>IF(C452&amp;G452&amp;D452&lt;&gt;'Funnel setup'!$K$3&amp;'Funnel setup'!$K$4&amp;'Funnel setup'!$K$5,".",IF(A451=".",1,A451+1))</f>
        <v>.</v>
      </c>
      <c r="B452" s="431" t="str">
        <f t="shared" si="7"/>
        <v>Groin HerniaProviderBMI - THE BEARDWOOD HOSPITAL (NT403)EQ VAS</v>
      </c>
      <c r="C452" t="s">
        <v>50</v>
      </c>
      <c r="D452" t="s">
        <v>1</v>
      </c>
      <c r="E452" t="s">
        <v>3582</v>
      </c>
      <c r="F452" t="s">
        <v>3583</v>
      </c>
      <c r="G452" t="s">
        <v>179</v>
      </c>
      <c r="H452">
        <v>44</v>
      </c>
      <c r="I452">
        <v>82.590999999999994</v>
      </c>
      <c r="J452">
        <v>79.114000000000004</v>
      </c>
      <c r="K452">
        <v>-3.4769999999999999</v>
      </c>
      <c r="L452">
        <v>12</v>
      </c>
      <c r="M452">
        <v>11</v>
      </c>
      <c r="N452">
        <v>21</v>
      </c>
      <c r="O452">
        <v>77.185000000000002</v>
      </c>
      <c r="P452">
        <v>-3.460833681</v>
      </c>
      <c r="Q452">
        <v>10.602</v>
      </c>
    </row>
    <row r="453" spans="1:17" s="30" customFormat="1" x14ac:dyDescent="0.2">
      <c r="A453" s="30" t="str">
        <f>IF(C453&amp;G453&amp;D453&lt;&gt;'Funnel setup'!$K$3&amp;'Funnel setup'!$K$4&amp;'Funnel setup'!$K$5,".",IF(A452=".",1,A452+1))</f>
        <v>.</v>
      </c>
      <c r="B453" s="431" t="str">
        <f t="shared" si="7"/>
        <v>Groin HerniaProviderBMI - THE BEAUMONT HOSPITAL (NT404)EQ VAS</v>
      </c>
      <c r="C453" t="s">
        <v>50</v>
      </c>
      <c r="D453" t="s">
        <v>1</v>
      </c>
      <c r="E453" t="s">
        <v>3585</v>
      </c>
      <c r="F453" t="s">
        <v>3586</v>
      </c>
      <c r="G453" t="s">
        <v>179</v>
      </c>
      <c r="H453">
        <v>81</v>
      </c>
      <c r="I453">
        <v>85.406999999999996</v>
      </c>
      <c r="J453">
        <v>82.593000000000004</v>
      </c>
      <c r="K453">
        <v>-2.8149999999999999</v>
      </c>
      <c r="L453">
        <v>27</v>
      </c>
      <c r="M453">
        <v>19</v>
      </c>
      <c r="N453">
        <v>35</v>
      </c>
      <c r="O453">
        <v>79.524000000000001</v>
      </c>
      <c r="P453">
        <v>-1.1217665109999999</v>
      </c>
      <c r="Q453">
        <v>9.734</v>
      </c>
    </row>
    <row r="454" spans="1:17" s="30" customFormat="1" x14ac:dyDescent="0.2">
      <c r="A454" s="30" t="str">
        <f>IF(C454&amp;G454&amp;D454&lt;&gt;'Funnel setup'!$K$3&amp;'Funnel setup'!$K$4&amp;'Funnel setup'!$K$5,".",IF(A453=".",1,A453+1))</f>
        <v>.</v>
      </c>
      <c r="B454" s="431" t="str">
        <f t="shared" si="7"/>
        <v>Groin HerniaProviderBMI - THE BLACKHEATH HOSPITAL (NT406)EQ VAS</v>
      </c>
      <c r="C454" t="s">
        <v>50</v>
      </c>
      <c r="D454" t="s">
        <v>1</v>
      </c>
      <c r="E454" t="s">
        <v>3588</v>
      </c>
      <c r="F454" t="s">
        <v>3589</v>
      </c>
      <c r="G454" t="s">
        <v>179</v>
      </c>
      <c r="H454">
        <v>9</v>
      </c>
      <c r="I454">
        <v>79.221999999999994</v>
      </c>
      <c r="J454">
        <v>83.555999999999997</v>
      </c>
      <c r="K454">
        <v>4.3330000000000002</v>
      </c>
      <c r="L454">
        <v>3</v>
      </c>
      <c r="M454">
        <v>1</v>
      </c>
      <c r="N454">
        <v>5</v>
      </c>
      <c r="O454" t="s">
        <v>53</v>
      </c>
      <c r="P454" t="s">
        <v>53</v>
      </c>
      <c r="Q454" t="s">
        <v>53</v>
      </c>
    </row>
    <row r="455" spans="1:17" s="30" customFormat="1" x14ac:dyDescent="0.2">
      <c r="A455" s="30" t="str">
        <f>IF(C455&amp;G455&amp;D455&lt;&gt;'Funnel setup'!$K$3&amp;'Funnel setup'!$K$4&amp;'Funnel setup'!$K$5,".",IF(A454=".",1,A454+1))</f>
        <v>.</v>
      </c>
      <c r="B455" s="431" t="str">
        <f t="shared" si="7"/>
        <v>Groin HerniaProviderBMI - THE CHAUCER HOSPITAL (NT408)EQ VAS</v>
      </c>
      <c r="C455" t="s">
        <v>50</v>
      </c>
      <c r="D455" t="s">
        <v>1</v>
      </c>
      <c r="E455" t="s">
        <v>3591</v>
      </c>
      <c r="F455" t="s">
        <v>3592</v>
      </c>
      <c r="G455" t="s">
        <v>179</v>
      </c>
      <c r="H455">
        <v>22</v>
      </c>
      <c r="I455">
        <v>79.090999999999994</v>
      </c>
      <c r="J455">
        <v>83.635999999999996</v>
      </c>
      <c r="K455">
        <v>4.5449999999999999</v>
      </c>
      <c r="L455">
        <v>12</v>
      </c>
      <c r="M455">
        <v>1</v>
      </c>
      <c r="N455">
        <v>9</v>
      </c>
      <c r="O455" t="s">
        <v>53</v>
      </c>
      <c r="P455" t="s">
        <v>53</v>
      </c>
      <c r="Q455" t="s">
        <v>53</v>
      </c>
    </row>
    <row r="456" spans="1:17" s="30" customFormat="1" x14ac:dyDescent="0.2">
      <c r="A456" s="30" t="str">
        <f>IF(C456&amp;G456&amp;D456&lt;&gt;'Funnel setup'!$K$3&amp;'Funnel setup'!$K$4&amp;'Funnel setup'!$K$5,".",IF(A455=".",1,A455+1))</f>
        <v>.</v>
      </c>
      <c r="B456" s="431" t="str">
        <f t="shared" si="7"/>
        <v>Groin HerniaProviderBMI - THE CHILTERN HOSPITAL (NT410)EQ VAS</v>
      </c>
      <c r="C456" t="s">
        <v>50</v>
      </c>
      <c r="D456" t="s">
        <v>1</v>
      </c>
      <c r="E456" t="s">
        <v>3594</v>
      </c>
      <c r="F456" t="s">
        <v>3595</v>
      </c>
      <c r="G456" t="s">
        <v>179</v>
      </c>
      <c r="H456">
        <v>51</v>
      </c>
      <c r="I456">
        <v>86.176000000000002</v>
      </c>
      <c r="J456">
        <v>86.549000000000007</v>
      </c>
      <c r="K456">
        <v>0.373</v>
      </c>
      <c r="L456">
        <v>18</v>
      </c>
      <c r="M456">
        <v>12</v>
      </c>
      <c r="N456">
        <v>21</v>
      </c>
      <c r="O456">
        <v>82.06</v>
      </c>
      <c r="P456">
        <v>1.414233192</v>
      </c>
      <c r="Q456">
        <v>9.4730000000000008</v>
      </c>
    </row>
    <row r="457" spans="1:17" s="30" customFormat="1" x14ac:dyDescent="0.2">
      <c r="A457" s="30" t="str">
        <f>IF(C457&amp;G457&amp;D457&lt;&gt;'Funnel setup'!$K$3&amp;'Funnel setup'!$K$4&amp;'Funnel setup'!$K$5,".",IF(A456=".",1,A456+1))</f>
        <v>.</v>
      </c>
      <c r="B457" s="431" t="str">
        <f t="shared" si="7"/>
        <v>Groin HerniaProviderBMI - THE CLEMENTINE CHURCHILL HOSPITAL (NT411)EQ VAS</v>
      </c>
      <c r="C457" t="s">
        <v>50</v>
      </c>
      <c r="D457" t="s">
        <v>1</v>
      </c>
      <c r="E457" t="s">
        <v>3597</v>
      </c>
      <c r="F457" t="s">
        <v>3598</v>
      </c>
      <c r="G457" t="s">
        <v>179</v>
      </c>
      <c r="H457">
        <v>11</v>
      </c>
      <c r="I457">
        <v>73</v>
      </c>
      <c r="J457">
        <v>70</v>
      </c>
      <c r="K457">
        <v>-3</v>
      </c>
      <c r="L457">
        <v>5</v>
      </c>
      <c r="M457">
        <v>1</v>
      </c>
      <c r="N457">
        <v>5</v>
      </c>
      <c r="O457" t="s">
        <v>53</v>
      </c>
      <c r="P457" t="s">
        <v>53</v>
      </c>
      <c r="Q457" t="s">
        <v>53</v>
      </c>
    </row>
    <row r="458" spans="1:17" s="30" customFormat="1" x14ac:dyDescent="0.2">
      <c r="A458" s="30" t="str">
        <f>IF(C458&amp;G458&amp;D458&lt;&gt;'Funnel setup'!$K$3&amp;'Funnel setup'!$K$4&amp;'Funnel setup'!$K$5,".",IF(A457=".",1,A457+1))</f>
        <v>.</v>
      </c>
      <c r="B458" s="431" t="str">
        <f t="shared" si="7"/>
        <v>Groin HerniaProviderBMI - THE DROITWICH SPA HOSPITAL (NT412)EQ VAS</v>
      </c>
      <c r="C458" t="s">
        <v>50</v>
      </c>
      <c r="D458" t="s">
        <v>1</v>
      </c>
      <c r="E458" t="s">
        <v>3600</v>
      </c>
      <c r="F458" t="s">
        <v>3601</v>
      </c>
      <c r="G458" t="s">
        <v>179</v>
      </c>
      <c r="H458">
        <v>64</v>
      </c>
      <c r="I458">
        <v>82.391000000000005</v>
      </c>
      <c r="J458">
        <v>83.108999999999995</v>
      </c>
      <c r="K458">
        <v>0.71899999999999997</v>
      </c>
      <c r="L458">
        <v>30</v>
      </c>
      <c r="M458">
        <v>8</v>
      </c>
      <c r="N458">
        <v>26</v>
      </c>
      <c r="O458">
        <v>81.364999999999995</v>
      </c>
      <c r="P458">
        <v>0.71933676400000002</v>
      </c>
      <c r="Q458">
        <v>11.332000000000001</v>
      </c>
    </row>
    <row r="459" spans="1:17" s="30" customFormat="1" x14ac:dyDescent="0.2">
      <c r="A459" s="30" t="str">
        <f>IF(C459&amp;G459&amp;D459&lt;&gt;'Funnel setup'!$K$3&amp;'Funnel setup'!$K$4&amp;'Funnel setup'!$K$5,".",IF(A458=".",1,A458+1))</f>
        <v>.</v>
      </c>
      <c r="B459" s="431" t="str">
        <f t="shared" si="7"/>
        <v>Groin HerniaProviderBMI - THE ESPERANCE HOSPITAL (NT413)EQ VAS</v>
      </c>
      <c r="C459" t="s">
        <v>50</v>
      </c>
      <c r="D459" t="s">
        <v>1</v>
      </c>
      <c r="E459" t="s">
        <v>3603</v>
      </c>
      <c r="F459" t="s">
        <v>3604</v>
      </c>
      <c r="G459" t="s">
        <v>179</v>
      </c>
      <c r="H459">
        <v>15</v>
      </c>
      <c r="I459">
        <v>83.2</v>
      </c>
      <c r="J459">
        <v>84.266999999999996</v>
      </c>
      <c r="K459">
        <v>1.0669999999999999</v>
      </c>
      <c r="L459">
        <v>9</v>
      </c>
      <c r="M459">
        <v>3</v>
      </c>
      <c r="N459">
        <v>3</v>
      </c>
      <c r="O459" t="s">
        <v>53</v>
      </c>
      <c r="P459" t="s">
        <v>53</v>
      </c>
      <c r="Q459" t="s">
        <v>53</v>
      </c>
    </row>
    <row r="460" spans="1:17" s="30" customFormat="1" x14ac:dyDescent="0.2">
      <c r="A460" s="30" t="str">
        <f>IF(C460&amp;G460&amp;D460&lt;&gt;'Funnel setup'!$K$3&amp;'Funnel setup'!$K$4&amp;'Funnel setup'!$K$5,".",IF(A459=".",1,A459+1))</f>
        <v>.</v>
      </c>
      <c r="B460" s="431" t="str">
        <f t="shared" si="7"/>
        <v>Groin HerniaProviderBMI - THE HAMPSHIRE CLINIC (NT418)EQ VAS</v>
      </c>
      <c r="C460" t="s">
        <v>50</v>
      </c>
      <c r="D460" t="s">
        <v>1</v>
      </c>
      <c r="E460" t="s">
        <v>3609</v>
      </c>
      <c r="F460" t="s">
        <v>3610</v>
      </c>
      <c r="G460" t="s">
        <v>179</v>
      </c>
      <c r="H460">
        <v>17</v>
      </c>
      <c r="I460">
        <v>88.587999999999994</v>
      </c>
      <c r="J460">
        <v>82.176000000000002</v>
      </c>
      <c r="K460">
        <v>-6.4119999999999999</v>
      </c>
      <c r="L460">
        <v>4</v>
      </c>
      <c r="M460">
        <v>4</v>
      </c>
      <c r="N460">
        <v>9</v>
      </c>
      <c r="O460" t="s">
        <v>53</v>
      </c>
      <c r="P460" t="s">
        <v>53</v>
      </c>
      <c r="Q460" t="s">
        <v>53</v>
      </c>
    </row>
    <row r="461" spans="1:17" s="30" customFormat="1" x14ac:dyDescent="0.2">
      <c r="A461" s="30" t="str">
        <f>IF(C461&amp;G461&amp;D461&lt;&gt;'Funnel setup'!$K$3&amp;'Funnel setup'!$K$4&amp;'Funnel setup'!$K$5,".",IF(A460=".",1,A460+1))</f>
        <v>.</v>
      </c>
      <c r="B461" s="431" t="str">
        <f t="shared" si="7"/>
        <v>Groin HerniaProviderBMI - THE HARBOUR HOSPITAL (NT419)EQ VAS</v>
      </c>
      <c r="C461" t="s">
        <v>50</v>
      </c>
      <c r="D461" t="s">
        <v>1</v>
      </c>
      <c r="E461" t="s">
        <v>3612</v>
      </c>
      <c r="F461" t="s">
        <v>3613</v>
      </c>
      <c r="G461" t="s">
        <v>179</v>
      </c>
      <c r="H461">
        <v>85</v>
      </c>
      <c r="I461">
        <v>81.034999999999997</v>
      </c>
      <c r="J461">
        <v>80.834999999999994</v>
      </c>
      <c r="K461">
        <v>-0.2</v>
      </c>
      <c r="L461">
        <v>30</v>
      </c>
      <c r="M461">
        <v>25</v>
      </c>
      <c r="N461">
        <v>30</v>
      </c>
      <c r="O461">
        <v>80.388999999999996</v>
      </c>
      <c r="P461">
        <v>-0.25689818199999997</v>
      </c>
      <c r="Q461">
        <v>10.955</v>
      </c>
    </row>
    <row r="462" spans="1:17" s="30" customFormat="1" x14ac:dyDescent="0.2">
      <c r="A462" s="30" t="str">
        <f>IF(C462&amp;G462&amp;D462&lt;&gt;'Funnel setup'!$K$3&amp;'Funnel setup'!$K$4&amp;'Funnel setup'!$K$5,".",IF(A461=".",1,A461+1))</f>
        <v>.</v>
      </c>
      <c r="B462" s="431" t="str">
        <f t="shared" si="7"/>
        <v>Groin HerniaProviderBMI - THE HIGHFIELD HOSPITAL (NT420)EQ VAS</v>
      </c>
      <c r="C462" t="s">
        <v>50</v>
      </c>
      <c r="D462" t="s">
        <v>1</v>
      </c>
      <c r="E462" t="s">
        <v>3615</v>
      </c>
      <c r="F462" t="s">
        <v>3616</v>
      </c>
      <c r="G462" t="s">
        <v>179</v>
      </c>
      <c r="H462">
        <v>21</v>
      </c>
      <c r="I462">
        <v>80.475999999999999</v>
      </c>
      <c r="J462">
        <v>80</v>
      </c>
      <c r="K462">
        <v>-0.47599999999999998</v>
      </c>
      <c r="L462">
        <v>6</v>
      </c>
      <c r="M462">
        <v>4</v>
      </c>
      <c r="N462">
        <v>11</v>
      </c>
      <c r="O462" t="s">
        <v>53</v>
      </c>
      <c r="P462" t="s">
        <v>53</v>
      </c>
      <c r="Q462" t="s">
        <v>53</v>
      </c>
    </row>
    <row r="463" spans="1:17" s="30" customFormat="1" x14ac:dyDescent="0.2">
      <c r="A463" s="30" t="str">
        <f>IF(C463&amp;G463&amp;D463&lt;&gt;'Funnel setup'!$K$3&amp;'Funnel setup'!$K$4&amp;'Funnel setup'!$K$5,".",IF(A462=".",1,A462+1))</f>
        <v>.</v>
      </c>
      <c r="B463" s="431" t="str">
        <f t="shared" si="7"/>
        <v>Groin HerniaProviderBMI - THE KINGS OAK HOSPITAL (NT421)EQ VAS</v>
      </c>
      <c r="C463" t="s">
        <v>50</v>
      </c>
      <c r="D463" t="s">
        <v>1</v>
      </c>
      <c r="E463" t="s">
        <v>3618</v>
      </c>
      <c r="F463" t="s">
        <v>3619</v>
      </c>
      <c r="G463" t="s">
        <v>179</v>
      </c>
      <c r="H463">
        <v>7</v>
      </c>
      <c r="I463">
        <v>83.286000000000001</v>
      </c>
      <c r="J463">
        <v>78.570999999999998</v>
      </c>
      <c r="K463">
        <v>-4.7140000000000004</v>
      </c>
      <c r="L463">
        <v>3</v>
      </c>
      <c r="M463">
        <v>1</v>
      </c>
      <c r="N463">
        <v>3</v>
      </c>
      <c r="O463" t="s">
        <v>53</v>
      </c>
      <c r="P463" t="s">
        <v>53</v>
      </c>
      <c r="Q463" t="s">
        <v>53</v>
      </c>
    </row>
    <row r="464" spans="1:17" s="30" customFormat="1" x14ac:dyDescent="0.2">
      <c r="A464" s="30" t="str">
        <f>IF(C464&amp;G464&amp;D464&lt;&gt;'Funnel setup'!$K$3&amp;'Funnel setup'!$K$4&amp;'Funnel setup'!$K$5,".",IF(A463=".",1,A463+1))</f>
        <v>.</v>
      </c>
      <c r="B464" s="431" t="str">
        <f t="shared" si="7"/>
        <v>Groin HerniaProviderBMI - THE LONDON INDEPENDENT HOSPITAL (NT422)EQ VAS</v>
      </c>
      <c r="C464" t="s">
        <v>50</v>
      </c>
      <c r="D464" t="s">
        <v>1</v>
      </c>
      <c r="E464" t="s">
        <v>3621</v>
      </c>
      <c r="F464" t="s">
        <v>3622</v>
      </c>
      <c r="G464" t="s">
        <v>179</v>
      </c>
      <c r="H464">
        <v>17</v>
      </c>
      <c r="I464">
        <v>73.234999999999999</v>
      </c>
      <c r="J464">
        <v>73.647000000000006</v>
      </c>
      <c r="K464">
        <v>0.41199999999999998</v>
      </c>
      <c r="L464">
        <v>9</v>
      </c>
      <c r="M464">
        <v>1</v>
      </c>
      <c r="N464">
        <v>7</v>
      </c>
      <c r="O464" t="s">
        <v>53</v>
      </c>
      <c r="P464" t="s">
        <v>53</v>
      </c>
      <c r="Q464" t="s">
        <v>53</v>
      </c>
    </row>
    <row r="465" spans="1:17" s="30" customFormat="1" x14ac:dyDescent="0.2">
      <c r="A465" s="30" t="str">
        <f>IF(C465&amp;G465&amp;D465&lt;&gt;'Funnel setup'!$K$3&amp;'Funnel setup'!$K$4&amp;'Funnel setup'!$K$5,".",IF(A464=".",1,A464+1))</f>
        <v>.</v>
      </c>
      <c r="B465" s="431" t="str">
        <f t="shared" si="7"/>
        <v>Groin HerniaProviderBMI - THE MANOR HOSPITAL (NT423)EQ VAS</v>
      </c>
      <c r="C465" t="s">
        <v>50</v>
      </c>
      <c r="D465" t="s">
        <v>1</v>
      </c>
      <c r="E465" t="s">
        <v>3624</v>
      </c>
      <c r="F465" t="s">
        <v>3625</v>
      </c>
      <c r="G465" t="s">
        <v>179</v>
      </c>
      <c r="H465">
        <v>26</v>
      </c>
      <c r="I465">
        <v>84.114999999999995</v>
      </c>
      <c r="J465">
        <v>83.808000000000007</v>
      </c>
      <c r="K465">
        <v>-0.308</v>
      </c>
      <c r="L465">
        <v>10</v>
      </c>
      <c r="M465">
        <v>8</v>
      </c>
      <c r="N465">
        <v>8</v>
      </c>
      <c r="O465" t="s">
        <v>53</v>
      </c>
      <c r="P465" t="s">
        <v>53</v>
      </c>
      <c r="Q465" t="s">
        <v>53</v>
      </c>
    </row>
    <row r="466" spans="1:17" s="30" customFormat="1" x14ac:dyDescent="0.2">
      <c r="A466" s="30" t="str">
        <f>IF(C466&amp;G466&amp;D466&lt;&gt;'Funnel setup'!$K$3&amp;'Funnel setup'!$K$4&amp;'Funnel setup'!$K$5,".",IF(A465=".",1,A465+1))</f>
        <v>.</v>
      </c>
      <c r="B466" s="431" t="str">
        <f t="shared" si="7"/>
        <v>Groin HerniaProviderBMI - THE MERIDEN HOSPITAL (NT424)EQ VAS</v>
      </c>
      <c r="C466" t="s">
        <v>50</v>
      </c>
      <c r="D466" t="s">
        <v>1</v>
      </c>
      <c r="E466" t="s">
        <v>3283</v>
      </c>
      <c r="F466" t="s">
        <v>3284</v>
      </c>
      <c r="G466" t="s">
        <v>179</v>
      </c>
      <c r="H466">
        <v>39</v>
      </c>
      <c r="I466">
        <v>79.667000000000002</v>
      </c>
      <c r="J466">
        <v>82.179000000000002</v>
      </c>
      <c r="K466">
        <v>2.5129999999999999</v>
      </c>
      <c r="L466">
        <v>19</v>
      </c>
      <c r="M466">
        <v>7</v>
      </c>
      <c r="N466">
        <v>13</v>
      </c>
      <c r="O466">
        <v>81.501999999999995</v>
      </c>
      <c r="P466">
        <v>0.85667411299999996</v>
      </c>
      <c r="Q466">
        <v>11.010999999999999</v>
      </c>
    </row>
    <row r="467" spans="1:17" s="30" customFormat="1" x14ac:dyDescent="0.2">
      <c r="A467" s="30" t="str">
        <f>IF(C467&amp;G467&amp;D467&lt;&gt;'Funnel setup'!$K$3&amp;'Funnel setup'!$K$4&amp;'Funnel setup'!$K$5,".",IF(A466=".",1,A466+1))</f>
        <v>.</v>
      </c>
      <c r="B467" s="431" t="str">
        <f t="shared" si="7"/>
        <v>Groin HerniaProviderBMI - THE PARK HOSPITAL (NT427)EQ VAS</v>
      </c>
      <c r="C467" t="s">
        <v>50</v>
      </c>
      <c r="D467" t="s">
        <v>1</v>
      </c>
      <c r="E467" t="s">
        <v>3286</v>
      </c>
      <c r="F467" t="s">
        <v>3287</v>
      </c>
      <c r="G467" t="s">
        <v>179</v>
      </c>
      <c r="H467" t="s">
        <v>53</v>
      </c>
      <c r="I467" t="s">
        <v>53</v>
      </c>
      <c r="J467" t="s">
        <v>53</v>
      </c>
      <c r="K467" t="s">
        <v>53</v>
      </c>
      <c r="L467" t="s">
        <v>53</v>
      </c>
      <c r="M467" t="s">
        <v>53</v>
      </c>
      <c r="N467" t="s">
        <v>53</v>
      </c>
      <c r="O467" t="s">
        <v>53</v>
      </c>
      <c r="P467" t="s">
        <v>53</v>
      </c>
      <c r="Q467" t="s">
        <v>53</v>
      </c>
    </row>
    <row r="468" spans="1:17" s="30" customFormat="1" x14ac:dyDescent="0.2">
      <c r="A468" s="30" t="str">
        <f>IF(C468&amp;G468&amp;D468&lt;&gt;'Funnel setup'!$K$3&amp;'Funnel setup'!$K$4&amp;'Funnel setup'!$K$5,".",IF(A467=".",1,A467+1))</f>
        <v>.</v>
      </c>
      <c r="B468" s="431" t="str">
        <f t="shared" si="7"/>
        <v>Groin HerniaProviderBMI - THE PRINCESS MARGARET HOSPITAL (NT428)EQ VAS</v>
      </c>
      <c r="C468" t="s">
        <v>50</v>
      </c>
      <c r="D468" t="s">
        <v>1</v>
      </c>
      <c r="E468" t="s">
        <v>3289</v>
      </c>
      <c r="F468" t="s">
        <v>3290</v>
      </c>
      <c r="G468" t="s">
        <v>179</v>
      </c>
      <c r="H468">
        <v>9</v>
      </c>
      <c r="I468">
        <v>81.667000000000002</v>
      </c>
      <c r="J468">
        <v>85.888999999999996</v>
      </c>
      <c r="K468">
        <v>4.2220000000000004</v>
      </c>
      <c r="L468">
        <v>4</v>
      </c>
      <c r="M468">
        <v>2</v>
      </c>
      <c r="N468">
        <v>3</v>
      </c>
      <c r="O468" t="s">
        <v>53</v>
      </c>
      <c r="P468" t="s">
        <v>53</v>
      </c>
      <c r="Q468" t="s">
        <v>53</v>
      </c>
    </row>
    <row r="469" spans="1:17" s="30" customFormat="1" x14ac:dyDescent="0.2">
      <c r="A469" s="30" t="str">
        <f>IF(C469&amp;G469&amp;D469&lt;&gt;'Funnel setup'!$K$3&amp;'Funnel setup'!$K$4&amp;'Funnel setup'!$K$5,".",IF(A468=".",1,A468+1))</f>
        <v>.</v>
      </c>
      <c r="B469" s="431" t="str">
        <f t="shared" si="7"/>
        <v>Groin HerniaProviderBMI - THE RIDGEWAY HOSPITAL (NT430)EQ VAS</v>
      </c>
      <c r="C469" t="s">
        <v>50</v>
      </c>
      <c r="D469" t="s">
        <v>1</v>
      </c>
      <c r="E469" t="s">
        <v>3292</v>
      </c>
      <c r="F469" t="s">
        <v>3293</v>
      </c>
      <c r="G469" t="s">
        <v>179</v>
      </c>
      <c r="H469">
        <v>42</v>
      </c>
      <c r="I469">
        <v>80.929000000000002</v>
      </c>
      <c r="J469">
        <v>80.238</v>
      </c>
      <c r="K469">
        <v>-0.69</v>
      </c>
      <c r="L469">
        <v>20</v>
      </c>
      <c r="M469">
        <v>7</v>
      </c>
      <c r="N469">
        <v>15</v>
      </c>
      <c r="O469">
        <v>78.903000000000006</v>
      </c>
      <c r="P469">
        <v>-1.7424745509999999</v>
      </c>
      <c r="Q469">
        <v>11.38</v>
      </c>
    </row>
    <row r="470" spans="1:17" s="30" customFormat="1" x14ac:dyDescent="0.2">
      <c r="A470" s="30" t="str">
        <f>IF(C470&amp;G470&amp;D470&lt;&gt;'Funnel setup'!$K$3&amp;'Funnel setup'!$K$4&amp;'Funnel setup'!$K$5,".",IF(A469=".",1,A469+1))</f>
        <v>.</v>
      </c>
      <c r="B470" s="431" t="str">
        <f t="shared" si="7"/>
        <v>Groin HerniaProviderBMI - THE RUNNYMEDE HOSPITAL (NT431)EQ VAS</v>
      </c>
      <c r="C470" t="s">
        <v>50</v>
      </c>
      <c r="D470" t="s">
        <v>1</v>
      </c>
      <c r="E470" t="s">
        <v>3295</v>
      </c>
      <c r="F470" t="s">
        <v>3296</v>
      </c>
      <c r="G470" t="s">
        <v>179</v>
      </c>
      <c r="H470">
        <v>12</v>
      </c>
      <c r="I470">
        <v>79.25</v>
      </c>
      <c r="J470">
        <v>78.332999999999998</v>
      </c>
      <c r="K470">
        <v>-0.91700000000000004</v>
      </c>
      <c r="L470">
        <v>5</v>
      </c>
      <c r="M470">
        <v>2</v>
      </c>
      <c r="N470">
        <v>5</v>
      </c>
      <c r="O470" t="s">
        <v>53</v>
      </c>
      <c r="P470" t="s">
        <v>53</v>
      </c>
      <c r="Q470" t="s">
        <v>53</v>
      </c>
    </row>
    <row r="471" spans="1:17" s="30" customFormat="1" x14ac:dyDescent="0.2">
      <c r="A471" s="30" t="str">
        <f>IF(C471&amp;G471&amp;D471&lt;&gt;'Funnel setup'!$K$3&amp;'Funnel setup'!$K$4&amp;'Funnel setup'!$K$5,".",IF(A470=".",1,A470+1))</f>
        <v>.</v>
      </c>
      <c r="B471" s="431" t="str">
        <f t="shared" si="7"/>
        <v>Groin HerniaProviderBMI - THE SANDRINGHAM HOSPITAL (NT432)EQ VAS</v>
      </c>
      <c r="C471" t="s">
        <v>50</v>
      </c>
      <c r="D471" t="s">
        <v>1</v>
      </c>
      <c r="E471" t="s">
        <v>3298</v>
      </c>
      <c r="F471" t="s">
        <v>3299</v>
      </c>
      <c r="G471" t="s">
        <v>179</v>
      </c>
      <c r="H471">
        <v>39</v>
      </c>
      <c r="I471">
        <v>87.563999999999993</v>
      </c>
      <c r="J471">
        <v>85.436000000000007</v>
      </c>
      <c r="K471">
        <v>-2.1280000000000001</v>
      </c>
      <c r="L471">
        <v>12</v>
      </c>
      <c r="M471">
        <v>9</v>
      </c>
      <c r="N471">
        <v>18</v>
      </c>
      <c r="O471">
        <v>80.775999999999996</v>
      </c>
      <c r="P471">
        <v>0.130520202</v>
      </c>
      <c r="Q471">
        <v>8.2530000000000001</v>
      </c>
    </row>
    <row r="472" spans="1:17" s="30" customFormat="1" x14ac:dyDescent="0.2">
      <c r="A472" s="30" t="str">
        <f>IF(C472&amp;G472&amp;D472&lt;&gt;'Funnel setup'!$K$3&amp;'Funnel setup'!$K$4&amp;'Funnel setup'!$K$5,".",IF(A471=".",1,A471+1))</f>
        <v>.</v>
      </c>
      <c r="B472" s="431" t="str">
        <f t="shared" si="7"/>
        <v>Groin HerniaProviderBMI - THE SAXON CLINIC (NT434)EQ VAS</v>
      </c>
      <c r="C472" t="s">
        <v>50</v>
      </c>
      <c r="D472" t="s">
        <v>1</v>
      </c>
      <c r="E472" t="s">
        <v>3301</v>
      </c>
      <c r="F472" t="s">
        <v>3302</v>
      </c>
      <c r="G472" t="s">
        <v>179</v>
      </c>
      <c r="H472">
        <v>38</v>
      </c>
      <c r="I472">
        <v>80.052999999999997</v>
      </c>
      <c r="J472">
        <v>82.710999999999999</v>
      </c>
      <c r="K472">
        <v>2.6579999999999999</v>
      </c>
      <c r="L472">
        <v>21</v>
      </c>
      <c r="M472">
        <v>5</v>
      </c>
      <c r="N472">
        <v>12</v>
      </c>
      <c r="O472">
        <v>82.161000000000001</v>
      </c>
      <c r="P472">
        <v>1.515214946</v>
      </c>
      <c r="Q472">
        <v>9.6780000000000008</v>
      </c>
    </row>
    <row r="473" spans="1:17" s="30" customFormat="1" x14ac:dyDescent="0.2">
      <c r="A473" s="30" t="str">
        <f>IF(C473&amp;G473&amp;D473&lt;&gt;'Funnel setup'!$K$3&amp;'Funnel setup'!$K$4&amp;'Funnel setup'!$K$5,".",IF(A472=".",1,A472+1))</f>
        <v>.</v>
      </c>
      <c r="B473" s="431" t="str">
        <f t="shared" si="7"/>
        <v>Groin HerniaProviderBMI - THE SOMERFIELD HOSPITAL (NT438)EQ VAS</v>
      </c>
      <c r="C473" t="s">
        <v>50</v>
      </c>
      <c r="D473" t="s">
        <v>1</v>
      </c>
      <c r="E473" t="s">
        <v>3304</v>
      </c>
      <c r="F473" t="s">
        <v>3305</v>
      </c>
      <c r="G473" t="s">
        <v>179</v>
      </c>
      <c r="H473">
        <v>37</v>
      </c>
      <c r="I473">
        <v>80.162000000000006</v>
      </c>
      <c r="J473">
        <v>81.811000000000007</v>
      </c>
      <c r="K473">
        <v>1.649</v>
      </c>
      <c r="L473">
        <v>21</v>
      </c>
      <c r="M473">
        <v>6</v>
      </c>
      <c r="N473">
        <v>10</v>
      </c>
      <c r="O473">
        <v>81.006</v>
      </c>
      <c r="P473">
        <v>0.360205267</v>
      </c>
      <c r="Q473">
        <v>15.818</v>
      </c>
    </row>
    <row r="474" spans="1:17" s="30" customFormat="1" x14ac:dyDescent="0.2">
      <c r="A474" s="30" t="str">
        <f>IF(C474&amp;G474&amp;D474&lt;&gt;'Funnel setup'!$K$3&amp;'Funnel setup'!$K$4&amp;'Funnel setup'!$K$5,".",IF(A473=".",1,A473+1))</f>
        <v>.</v>
      </c>
      <c r="B474" s="431" t="str">
        <f t="shared" si="7"/>
        <v>Groin HerniaProviderBMI - THE SOUTH CHESHIRE PRIVATE HOSPITAL (NT439)EQ VAS</v>
      </c>
      <c r="C474" t="s">
        <v>50</v>
      </c>
      <c r="D474" t="s">
        <v>1</v>
      </c>
      <c r="E474" t="s">
        <v>3307</v>
      </c>
      <c r="F474" t="s">
        <v>3308</v>
      </c>
      <c r="G474" t="s">
        <v>179</v>
      </c>
      <c r="H474">
        <v>36</v>
      </c>
      <c r="I474">
        <v>87.082999999999998</v>
      </c>
      <c r="J474">
        <v>87.332999999999998</v>
      </c>
      <c r="K474">
        <v>0.25</v>
      </c>
      <c r="L474">
        <v>18</v>
      </c>
      <c r="M474">
        <v>5</v>
      </c>
      <c r="N474">
        <v>13</v>
      </c>
      <c r="O474">
        <v>82.712999999999994</v>
      </c>
      <c r="P474">
        <v>2.0673525499999998</v>
      </c>
      <c r="Q474">
        <v>8.7040000000000006</v>
      </c>
    </row>
    <row r="475" spans="1:17" s="30" customFormat="1" x14ac:dyDescent="0.2">
      <c r="A475" s="30" t="str">
        <f>IF(C475&amp;G475&amp;D475&lt;&gt;'Funnel setup'!$K$3&amp;'Funnel setup'!$K$4&amp;'Funnel setup'!$K$5,".",IF(A474=".",1,A474+1))</f>
        <v>.</v>
      </c>
      <c r="B475" s="431" t="str">
        <f t="shared" si="7"/>
        <v>Groin HerniaProviderBMI - THE WINTERBOURNE HOSPITAL (NT443)EQ VAS</v>
      </c>
      <c r="C475" t="s">
        <v>50</v>
      </c>
      <c r="D475" t="s">
        <v>1</v>
      </c>
      <c r="E475" t="s">
        <v>3310</v>
      </c>
      <c r="F475" t="s">
        <v>3311</v>
      </c>
      <c r="G475" t="s">
        <v>179</v>
      </c>
      <c r="H475">
        <v>35</v>
      </c>
      <c r="I475">
        <v>81.028999999999996</v>
      </c>
      <c r="J475">
        <v>82.257000000000005</v>
      </c>
      <c r="K475">
        <v>1.2290000000000001</v>
      </c>
      <c r="L475">
        <v>11</v>
      </c>
      <c r="M475">
        <v>11</v>
      </c>
      <c r="N475">
        <v>13</v>
      </c>
      <c r="O475">
        <v>81.793999999999997</v>
      </c>
      <c r="P475">
        <v>1.1482046539999999</v>
      </c>
      <c r="Q475">
        <v>10.202999999999999</v>
      </c>
    </row>
    <row r="476" spans="1:17" s="30" customFormat="1" x14ac:dyDescent="0.2">
      <c r="A476" s="30" t="str">
        <f>IF(C476&amp;G476&amp;D476&lt;&gt;'Funnel setup'!$K$3&amp;'Funnel setup'!$K$4&amp;'Funnel setup'!$K$5,".",IF(A475=".",1,A475+1))</f>
        <v>.</v>
      </c>
      <c r="B476" s="431" t="str">
        <f t="shared" si="7"/>
        <v>Groin HerniaProviderBMI - THORNBURY HOSPITAL (NT440)EQ VAS</v>
      </c>
      <c r="C476" t="s">
        <v>50</v>
      </c>
      <c r="D476" t="s">
        <v>1</v>
      </c>
      <c r="E476" t="s">
        <v>3313</v>
      </c>
      <c r="F476" t="s">
        <v>3314</v>
      </c>
      <c r="G476" t="s">
        <v>179</v>
      </c>
      <c r="H476">
        <v>13</v>
      </c>
      <c r="I476">
        <v>80.076999999999998</v>
      </c>
      <c r="J476">
        <v>89.153999999999996</v>
      </c>
      <c r="K476">
        <v>9.077</v>
      </c>
      <c r="L476">
        <v>7</v>
      </c>
      <c r="M476">
        <v>3</v>
      </c>
      <c r="N476">
        <v>3</v>
      </c>
      <c r="O476" t="s">
        <v>53</v>
      </c>
      <c r="P476" t="s">
        <v>53</v>
      </c>
      <c r="Q476" t="s">
        <v>53</v>
      </c>
    </row>
    <row r="477" spans="1:17" s="30" customFormat="1" x14ac:dyDescent="0.2">
      <c r="A477" s="30" t="str">
        <f>IF(C477&amp;G477&amp;D477&lt;&gt;'Funnel setup'!$K$3&amp;'Funnel setup'!$K$4&amp;'Funnel setup'!$K$5,".",IF(A476=".",1,A476+1))</f>
        <v>.</v>
      </c>
      <c r="B477" s="431" t="str">
        <f t="shared" si="7"/>
        <v>Groin HerniaProviderBMI - THREE SHIRES HOSPITAL (NT441)EQ VAS</v>
      </c>
      <c r="C477" t="s">
        <v>50</v>
      </c>
      <c r="D477" t="s">
        <v>1</v>
      </c>
      <c r="E477" t="s">
        <v>3316</v>
      </c>
      <c r="F477" t="s">
        <v>3317</v>
      </c>
      <c r="G477" t="s">
        <v>179</v>
      </c>
      <c r="H477">
        <v>23</v>
      </c>
      <c r="I477">
        <v>87.087000000000003</v>
      </c>
      <c r="J477">
        <v>88.87</v>
      </c>
      <c r="K477">
        <v>1.7829999999999999</v>
      </c>
      <c r="L477">
        <v>12</v>
      </c>
      <c r="M477">
        <v>3</v>
      </c>
      <c r="N477">
        <v>8</v>
      </c>
      <c r="O477" t="s">
        <v>53</v>
      </c>
      <c r="P477" t="s">
        <v>53</v>
      </c>
      <c r="Q477" t="s">
        <v>53</v>
      </c>
    </row>
    <row r="478" spans="1:17" s="30" customFormat="1" x14ac:dyDescent="0.2">
      <c r="A478" s="30" t="str">
        <f>IF(C478&amp;G478&amp;D478&lt;&gt;'Funnel setup'!$K$3&amp;'Funnel setup'!$K$4&amp;'Funnel setup'!$K$5,".",IF(A477=".",1,A477+1))</f>
        <v>.</v>
      </c>
      <c r="B478" s="431" t="str">
        <f t="shared" si="7"/>
        <v>Groin HerniaProviderBMI GISBURNE PARK HOSPITAL (NT497)EQ VAS</v>
      </c>
      <c r="C478" t="s">
        <v>50</v>
      </c>
      <c r="D478" t="s">
        <v>1</v>
      </c>
      <c r="E478" t="s">
        <v>3319</v>
      </c>
      <c r="F478" t="s">
        <v>3320</v>
      </c>
      <c r="G478" t="s">
        <v>179</v>
      </c>
      <c r="H478">
        <v>38</v>
      </c>
      <c r="I478">
        <v>82.474000000000004</v>
      </c>
      <c r="J478">
        <v>86.367999999999995</v>
      </c>
      <c r="K478">
        <v>3.895</v>
      </c>
      <c r="L478">
        <v>16</v>
      </c>
      <c r="M478">
        <v>12</v>
      </c>
      <c r="N478">
        <v>10</v>
      </c>
      <c r="O478">
        <v>84.707999999999998</v>
      </c>
      <c r="P478">
        <v>4.0626228190000004</v>
      </c>
      <c r="Q478">
        <v>9.6050000000000004</v>
      </c>
    </row>
    <row r="479" spans="1:17" s="30" customFormat="1" x14ac:dyDescent="0.2">
      <c r="A479" s="30" t="str">
        <f>IF(C479&amp;G479&amp;D479&lt;&gt;'Funnel setup'!$K$3&amp;'Funnel setup'!$K$4&amp;'Funnel setup'!$K$5,".",IF(A478=".",1,A478+1))</f>
        <v>.</v>
      </c>
      <c r="B479" s="431" t="str">
        <f t="shared" si="7"/>
        <v>Groin HerniaProviderBMI MOUNT ALVERNIA HOSPITAL (NT455)EQ VAS</v>
      </c>
      <c r="C479" t="s">
        <v>50</v>
      </c>
      <c r="D479" t="s">
        <v>1</v>
      </c>
      <c r="E479" t="s">
        <v>3322</v>
      </c>
      <c r="F479" t="s">
        <v>3323</v>
      </c>
      <c r="G479" t="s">
        <v>179</v>
      </c>
      <c r="H479">
        <v>11</v>
      </c>
      <c r="I479">
        <v>79.817999999999998</v>
      </c>
      <c r="J479">
        <v>81.909000000000006</v>
      </c>
      <c r="K479">
        <v>2.0910000000000002</v>
      </c>
      <c r="L479">
        <v>4</v>
      </c>
      <c r="M479">
        <v>2</v>
      </c>
      <c r="N479">
        <v>5</v>
      </c>
      <c r="O479" t="s">
        <v>53</v>
      </c>
      <c r="P479" t="s">
        <v>53</v>
      </c>
      <c r="Q479" t="s">
        <v>53</v>
      </c>
    </row>
    <row r="480" spans="1:17" s="30" customFormat="1" x14ac:dyDescent="0.2">
      <c r="A480" s="30" t="str">
        <f>IF(C480&amp;G480&amp;D480&lt;&gt;'Funnel setup'!$K$3&amp;'Funnel setup'!$K$4&amp;'Funnel setup'!$K$5,".",IF(A479=".",1,A479+1))</f>
        <v>.</v>
      </c>
      <c r="B480" s="431" t="str">
        <f t="shared" si="7"/>
        <v>Groin HerniaProviderBMI ST EDMUNDS HOSPITAL (NT446)EQ VAS</v>
      </c>
      <c r="C480" t="s">
        <v>50</v>
      </c>
      <c r="D480" t="s">
        <v>1</v>
      </c>
      <c r="E480" t="s">
        <v>3328</v>
      </c>
      <c r="F480" t="s">
        <v>3329</v>
      </c>
      <c r="G480" t="s">
        <v>179</v>
      </c>
      <c r="H480">
        <v>12</v>
      </c>
      <c r="I480">
        <v>77.332999999999998</v>
      </c>
      <c r="J480">
        <v>81.167000000000002</v>
      </c>
      <c r="K480">
        <v>3.8330000000000002</v>
      </c>
      <c r="L480">
        <v>6</v>
      </c>
      <c r="M480">
        <v>0</v>
      </c>
      <c r="N480">
        <v>6</v>
      </c>
      <c r="O480" t="s">
        <v>53</v>
      </c>
      <c r="P480" t="s">
        <v>53</v>
      </c>
      <c r="Q480" t="s">
        <v>53</v>
      </c>
    </row>
    <row r="481" spans="1:17" s="30" customFormat="1" x14ac:dyDescent="0.2">
      <c r="A481" s="30" t="str">
        <f>IF(C481&amp;G481&amp;D481&lt;&gt;'Funnel setup'!$K$3&amp;'Funnel setup'!$K$4&amp;'Funnel setup'!$K$5,".",IF(A480=".",1,A480+1))</f>
        <v>.</v>
      </c>
      <c r="B481" s="431" t="str">
        <f t="shared" si="7"/>
        <v>Groin HerniaProviderBMI THE CAVELL HOSPITAL (NT451)EQ VAS</v>
      </c>
      <c r="C481" t="s">
        <v>50</v>
      </c>
      <c r="D481" t="s">
        <v>1</v>
      </c>
      <c r="E481" t="s">
        <v>3331</v>
      </c>
      <c r="F481" t="s">
        <v>3332</v>
      </c>
      <c r="G481" t="s">
        <v>179</v>
      </c>
      <c r="H481">
        <v>7</v>
      </c>
      <c r="I481">
        <v>77.429000000000002</v>
      </c>
      <c r="J481">
        <v>81.429000000000002</v>
      </c>
      <c r="K481">
        <v>4</v>
      </c>
      <c r="L481">
        <v>3</v>
      </c>
      <c r="M481">
        <v>1</v>
      </c>
      <c r="N481">
        <v>3</v>
      </c>
      <c r="O481" t="s">
        <v>53</v>
      </c>
      <c r="P481" t="s">
        <v>53</v>
      </c>
      <c r="Q481" t="s">
        <v>53</v>
      </c>
    </row>
    <row r="482" spans="1:17" s="30" customFormat="1" x14ac:dyDescent="0.2">
      <c r="A482" s="30" t="str">
        <f>IF(C482&amp;G482&amp;D482&lt;&gt;'Funnel setup'!$K$3&amp;'Funnel setup'!$K$4&amp;'Funnel setup'!$K$5,".",IF(A481=".",1,A481+1))</f>
        <v>.</v>
      </c>
      <c r="B482" s="431" t="str">
        <f t="shared" si="7"/>
        <v>Groin HerniaProviderBMI THE DUCHY HOSPITAL (NT447)EQ VAS</v>
      </c>
      <c r="C482" t="s">
        <v>50</v>
      </c>
      <c r="D482" t="s">
        <v>1</v>
      </c>
      <c r="E482" t="s">
        <v>3334</v>
      </c>
      <c r="F482" t="s">
        <v>3335</v>
      </c>
      <c r="G482" t="s">
        <v>179</v>
      </c>
      <c r="H482">
        <v>21</v>
      </c>
      <c r="I482">
        <v>82.619</v>
      </c>
      <c r="J482">
        <v>85.048000000000002</v>
      </c>
      <c r="K482">
        <v>2.4289999999999998</v>
      </c>
      <c r="L482">
        <v>9</v>
      </c>
      <c r="M482">
        <v>5</v>
      </c>
      <c r="N482">
        <v>7</v>
      </c>
      <c r="O482" t="s">
        <v>53</v>
      </c>
      <c r="P482" t="s">
        <v>53</v>
      </c>
      <c r="Q482" t="s">
        <v>53</v>
      </c>
    </row>
    <row r="483" spans="1:17" s="30" customFormat="1" x14ac:dyDescent="0.2">
      <c r="A483" s="30" t="str">
        <f>IF(C483&amp;G483&amp;D483&lt;&gt;'Funnel setup'!$K$3&amp;'Funnel setup'!$K$4&amp;'Funnel setup'!$K$5,".",IF(A482=".",1,A482+1))</f>
        <v>.</v>
      </c>
      <c r="B483" s="431" t="str">
        <f t="shared" si="7"/>
        <v>Groin HerniaProviderBMI THE EDGBASTON HOSPITAL (NT445)EQ VAS</v>
      </c>
      <c r="C483" t="s">
        <v>50</v>
      </c>
      <c r="D483" t="s">
        <v>1</v>
      </c>
      <c r="E483" t="s">
        <v>3337</v>
      </c>
      <c r="F483" t="s">
        <v>3338</v>
      </c>
      <c r="G483" t="s">
        <v>179</v>
      </c>
      <c r="H483">
        <v>23</v>
      </c>
      <c r="I483">
        <v>86.260999999999996</v>
      </c>
      <c r="J483">
        <v>86.087000000000003</v>
      </c>
      <c r="K483">
        <v>-0.17399999999999999</v>
      </c>
      <c r="L483">
        <v>10</v>
      </c>
      <c r="M483">
        <v>5</v>
      </c>
      <c r="N483">
        <v>8</v>
      </c>
      <c r="O483" t="s">
        <v>53</v>
      </c>
      <c r="P483" t="s">
        <v>53</v>
      </c>
      <c r="Q483" t="s">
        <v>53</v>
      </c>
    </row>
    <row r="484" spans="1:17" s="30" customFormat="1" x14ac:dyDescent="0.2">
      <c r="A484" s="30" t="str">
        <f>IF(C484&amp;G484&amp;D484&lt;&gt;'Funnel setup'!$K$3&amp;'Funnel setup'!$K$4&amp;'Funnel setup'!$K$5,".",IF(A483=".",1,A483+1))</f>
        <v>.</v>
      </c>
      <c r="B484" s="431" t="str">
        <f t="shared" si="7"/>
        <v>Groin HerniaProviderBMI THE HUDDERSFIELD HOSPITAL (NT448)EQ VAS</v>
      </c>
      <c r="C484" t="s">
        <v>50</v>
      </c>
      <c r="D484" t="s">
        <v>1</v>
      </c>
      <c r="E484" t="s">
        <v>3346</v>
      </c>
      <c r="F484" t="s">
        <v>3347</v>
      </c>
      <c r="G484" t="s">
        <v>179</v>
      </c>
      <c r="H484">
        <v>73</v>
      </c>
      <c r="I484">
        <v>83.355999999999995</v>
      </c>
      <c r="J484">
        <v>82.37</v>
      </c>
      <c r="K484">
        <v>-0.98599999999999999</v>
      </c>
      <c r="L484">
        <v>32</v>
      </c>
      <c r="M484">
        <v>11</v>
      </c>
      <c r="N484">
        <v>30</v>
      </c>
      <c r="O484">
        <v>79.242999999999995</v>
      </c>
      <c r="P484">
        <v>-1.402192114</v>
      </c>
      <c r="Q484">
        <v>11.907999999999999</v>
      </c>
    </row>
    <row r="485" spans="1:17" s="30" customFormat="1" x14ac:dyDescent="0.2">
      <c r="A485" s="30" t="str">
        <f>IF(C485&amp;G485&amp;D485&lt;&gt;'Funnel setup'!$K$3&amp;'Funnel setup'!$K$4&amp;'Funnel setup'!$K$5,".",IF(A484=".",1,A484+1))</f>
        <v>.</v>
      </c>
      <c r="B485" s="431" t="str">
        <f t="shared" si="7"/>
        <v>Groin HerniaProviderBMI THE LANCASTER HOSPITAL (NT449)EQ VAS</v>
      </c>
      <c r="C485" t="s">
        <v>50</v>
      </c>
      <c r="D485" t="s">
        <v>1</v>
      </c>
      <c r="E485" t="s">
        <v>3349</v>
      </c>
      <c r="F485" t="s">
        <v>3350</v>
      </c>
      <c r="G485" t="s">
        <v>179</v>
      </c>
      <c r="H485">
        <v>9</v>
      </c>
      <c r="I485">
        <v>89.221999999999994</v>
      </c>
      <c r="J485">
        <v>83.332999999999998</v>
      </c>
      <c r="K485">
        <v>-5.8890000000000002</v>
      </c>
      <c r="L485">
        <v>2</v>
      </c>
      <c r="M485">
        <v>3</v>
      </c>
      <c r="N485">
        <v>4</v>
      </c>
      <c r="O485" t="s">
        <v>53</v>
      </c>
      <c r="P485" t="s">
        <v>53</v>
      </c>
      <c r="Q485" t="s">
        <v>53</v>
      </c>
    </row>
    <row r="486" spans="1:17" s="30" customFormat="1" x14ac:dyDescent="0.2">
      <c r="A486" s="30" t="str">
        <f>IF(C486&amp;G486&amp;D486&lt;&gt;'Funnel setup'!$K$3&amp;'Funnel setup'!$K$4&amp;'Funnel setup'!$K$5,".",IF(A485=".",1,A485+1))</f>
        <v>.</v>
      </c>
      <c r="B486" s="431" t="str">
        <f t="shared" si="7"/>
        <v>Groin HerniaProviderBMI THE LINCOLN HOSPITAL (NT450)EQ VAS</v>
      </c>
      <c r="C486" t="s">
        <v>50</v>
      </c>
      <c r="D486" t="s">
        <v>1</v>
      </c>
      <c r="E486" t="s">
        <v>3352</v>
      </c>
      <c r="F486" t="s">
        <v>3353</v>
      </c>
      <c r="G486" t="s">
        <v>179</v>
      </c>
      <c r="H486">
        <v>36</v>
      </c>
      <c r="I486">
        <v>84.861000000000004</v>
      </c>
      <c r="J486">
        <v>80.082999999999998</v>
      </c>
      <c r="K486">
        <v>-4.7779999999999996</v>
      </c>
      <c r="L486">
        <v>12</v>
      </c>
      <c r="M486">
        <v>8</v>
      </c>
      <c r="N486">
        <v>16</v>
      </c>
      <c r="O486">
        <v>77.194999999999993</v>
      </c>
      <c r="P486">
        <v>-3.450128903</v>
      </c>
      <c r="Q486">
        <v>13.018000000000001</v>
      </c>
    </row>
    <row r="487" spans="1:17" s="30" customFormat="1" x14ac:dyDescent="0.2">
      <c r="A487" s="30" t="str">
        <f>IF(C487&amp;G487&amp;D487&lt;&gt;'Funnel setup'!$K$3&amp;'Funnel setup'!$K$4&amp;'Funnel setup'!$K$5,".",IF(A486=".",1,A486+1))</f>
        <v>.</v>
      </c>
      <c r="B487" s="431" t="str">
        <f t="shared" si="7"/>
        <v>Groin HerniaProviderBMI WOODLANDS HOSPITAL (NT457)EQ VAS</v>
      </c>
      <c r="C487" t="s">
        <v>50</v>
      </c>
      <c r="D487" t="s">
        <v>1</v>
      </c>
      <c r="E487" t="s">
        <v>3355</v>
      </c>
      <c r="F487" t="s">
        <v>3356</v>
      </c>
      <c r="G487" t="s">
        <v>179</v>
      </c>
      <c r="H487">
        <v>31</v>
      </c>
      <c r="I487">
        <v>80.290000000000006</v>
      </c>
      <c r="J487">
        <v>81.581000000000003</v>
      </c>
      <c r="K487">
        <v>1.29</v>
      </c>
      <c r="L487">
        <v>13</v>
      </c>
      <c r="M487">
        <v>6</v>
      </c>
      <c r="N487">
        <v>12</v>
      </c>
      <c r="O487">
        <v>81.930999999999997</v>
      </c>
      <c r="P487">
        <v>1.285390606</v>
      </c>
      <c r="Q487">
        <v>10.083</v>
      </c>
    </row>
    <row r="488" spans="1:17" s="30" customFormat="1" x14ac:dyDescent="0.2">
      <c r="A488" s="30" t="str">
        <f>IF(C488&amp;G488&amp;D488&lt;&gt;'Funnel setup'!$K$3&amp;'Funnel setup'!$K$4&amp;'Funnel setup'!$K$5,".",IF(A487=".",1,A487+1))</f>
        <v>.</v>
      </c>
      <c r="B488" s="431" t="str">
        <f t="shared" si="7"/>
        <v>Groin HerniaProviderBODMIN NHS TREATMENT CENTRE (NVC24)EQ VAS</v>
      </c>
      <c r="C488" t="s">
        <v>50</v>
      </c>
      <c r="D488" t="s">
        <v>1</v>
      </c>
      <c r="E488" t="s">
        <v>3228</v>
      </c>
      <c r="F488" t="s">
        <v>3229</v>
      </c>
      <c r="G488" t="s">
        <v>179</v>
      </c>
      <c r="H488">
        <v>57</v>
      </c>
      <c r="I488">
        <v>79.263000000000005</v>
      </c>
      <c r="J488">
        <v>83.456000000000003</v>
      </c>
      <c r="K488">
        <v>4.1929999999999996</v>
      </c>
      <c r="L488">
        <v>30</v>
      </c>
      <c r="M488">
        <v>12</v>
      </c>
      <c r="N488">
        <v>15</v>
      </c>
      <c r="O488">
        <v>83.406999999999996</v>
      </c>
      <c r="P488">
        <v>2.761538072</v>
      </c>
      <c r="Q488">
        <v>8.1999999999999993</v>
      </c>
    </row>
    <row r="489" spans="1:17" s="30" customFormat="1" x14ac:dyDescent="0.2">
      <c r="A489" s="30" t="str">
        <f>IF(C489&amp;G489&amp;D489&lt;&gt;'Funnel setup'!$K$3&amp;'Funnel setup'!$K$4&amp;'Funnel setup'!$K$5,".",IF(A488=".",1,A488+1))</f>
        <v>.</v>
      </c>
      <c r="B489" s="431" t="str">
        <f t="shared" si="7"/>
        <v>Groin HerniaProviderBOLTON NHS FOUNDATION TRUST (RMC)EQ VAS</v>
      </c>
      <c r="C489" t="s">
        <v>50</v>
      </c>
      <c r="D489" t="s">
        <v>1</v>
      </c>
      <c r="E489" t="s">
        <v>3358</v>
      </c>
      <c r="F489" t="s">
        <v>3359</v>
      </c>
      <c r="G489" t="s">
        <v>179</v>
      </c>
      <c r="H489">
        <v>103</v>
      </c>
      <c r="I489">
        <v>81.447000000000003</v>
      </c>
      <c r="J489">
        <v>80.290999999999997</v>
      </c>
      <c r="K489">
        <v>-1.155</v>
      </c>
      <c r="L489">
        <v>38</v>
      </c>
      <c r="M489">
        <v>23</v>
      </c>
      <c r="N489">
        <v>42</v>
      </c>
      <c r="O489">
        <v>81.037000000000006</v>
      </c>
      <c r="P489">
        <v>0.39196259700000002</v>
      </c>
      <c r="Q489">
        <v>12.832000000000001</v>
      </c>
    </row>
    <row r="490" spans="1:17" s="30" customFormat="1" x14ac:dyDescent="0.2">
      <c r="A490" s="30" t="str">
        <f>IF(C490&amp;G490&amp;D490&lt;&gt;'Funnel setup'!$K$3&amp;'Funnel setup'!$K$4&amp;'Funnel setup'!$K$5,".",IF(A489=".",1,A489+1))</f>
        <v>.</v>
      </c>
      <c r="B490" s="431" t="str">
        <f t="shared" si="7"/>
        <v>Groin HerniaProviderBOSTON WEST HOSPITAL (NVC27)EQ VAS</v>
      </c>
      <c r="C490" t="s">
        <v>50</v>
      </c>
      <c r="D490" t="s">
        <v>1</v>
      </c>
      <c r="E490" t="s">
        <v>3376</v>
      </c>
      <c r="F490" t="s">
        <v>3377</v>
      </c>
      <c r="G490" t="s">
        <v>179</v>
      </c>
      <c r="H490">
        <v>34</v>
      </c>
      <c r="I490">
        <v>83.087999999999994</v>
      </c>
      <c r="J490">
        <v>82.852999999999994</v>
      </c>
      <c r="K490">
        <v>-0.23499999999999999</v>
      </c>
      <c r="L490">
        <v>11</v>
      </c>
      <c r="M490">
        <v>6</v>
      </c>
      <c r="N490">
        <v>17</v>
      </c>
      <c r="O490">
        <v>80.218999999999994</v>
      </c>
      <c r="P490">
        <v>-0.42603128499999998</v>
      </c>
      <c r="Q490">
        <v>8.33</v>
      </c>
    </row>
    <row r="491" spans="1:17" s="30" customFormat="1" x14ac:dyDescent="0.2">
      <c r="A491" s="30" t="str">
        <f>IF(C491&amp;G491&amp;D491&lt;&gt;'Funnel setup'!$K$3&amp;'Funnel setup'!$K$4&amp;'Funnel setup'!$K$5,".",IF(A490=".",1,A490+1))</f>
        <v>.</v>
      </c>
      <c r="B491" s="431" t="str">
        <f t="shared" si="7"/>
        <v>Groin HerniaProviderBRADFORD TEACHING HOSPITALS NHS FOUNDATION TRUST (RAE)EQ VAS</v>
      </c>
      <c r="C491" t="s">
        <v>50</v>
      </c>
      <c r="D491" t="s">
        <v>1</v>
      </c>
      <c r="E491" t="s">
        <v>3361</v>
      </c>
      <c r="F491" t="s">
        <v>3362</v>
      </c>
      <c r="G491" t="s">
        <v>179</v>
      </c>
      <c r="H491">
        <v>72</v>
      </c>
      <c r="I491">
        <v>76.638999999999996</v>
      </c>
      <c r="J491">
        <v>79.055999999999997</v>
      </c>
      <c r="K491">
        <v>2.4169999999999998</v>
      </c>
      <c r="L491">
        <v>29</v>
      </c>
      <c r="M491">
        <v>18</v>
      </c>
      <c r="N491">
        <v>25</v>
      </c>
      <c r="O491">
        <v>82.242000000000004</v>
      </c>
      <c r="P491">
        <v>1.5963947249999999</v>
      </c>
      <c r="Q491">
        <v>13.92</v>
      </c>
    </row>
    <row r="492" spans="1:17" s="30" customFormat="1" x14ac:dyDescent="0.2">
      <c r="A492" s="30" t="str">
        <f>IF(C492&amp;G492&amp;D492&lt;&gt;'Funnel setup'!$K$3&amp;'Funnel setup'!$K$4&amp;'Funnel setup'!$K$5,".",IF(A491=".",1,A491+1))</f>
        <v>.</v>
      </c>
      <c r="B492" s="431" t="str">
        <f t="shared" si="7"/>
        <v>Groin HerniaProviderBRAINTREE COMMUNITY HOSPITAL (NNQ01)EQ VAS</v>
      </c>
      <c r="C492" t="s">
        <v>50</v>
      </c>
      <c r="D492" t="s">
        <v>1</v>
      </c>
      <c r="E492" t="s">
        <v>3364</v>
      </c>
      <c r="F492" t="s">
        <v>3365</v>
      </c>
      <c r="G492" t="s">
        <v>179</v>
      </c>
      <c r="H492" t="s">
        <v>53</v>
      </c>
      <c r="I492" t="s">
        <v>53</v>
      </c>
      <c r="J492" t="s">
        <v>53</v>
      </c>
      <c r="K492" t="s">
        <v>53</v>
      </c>
      <c r="L492" t="s">
        <v>53</v>
      </c>
      <c r="M492" t="s">
        <v>53</v>
      </c>
      <c r="N492" t="s">
        <v>53</v>
      </c>
      <c r="O492" t="s">
        <v>53</v>
      </c>
      <c r="P492" t="s">
        <v>53</v>
      </c>
      <c r="Q492" t="s">
        <v>53</v>
      </c>
    </row>
    <row r="493" spans="1:17" s="30" customFormat="1" x14ac:dyDescent="0.2">
      <c r="A493" s="30" t="str">
        <f>IF(C493&amp;G493&amp;D493&lt;&gt;'Funnel setup'!$K$3&amp;'Funnel setup'!$K$4&amp;'Funnel setup'!$K$5,".",IF(A492=".",1,A492+1))</f>
        <v>.</v>
      </c>
      <c r="B493" s="431" t="str">
        <f t="shared" si="7"/>
        <v>Groin HerniaProviderBRIGHTON AND SUSSEX UNIVERSITY HOSPITALS NHS TRUST (RXH)EQ VAS</v>
      </c>
      <c r="C493" t="s">
        <v>50</v>
      </c>
      <c r="D493" t="s">
        <v>1</v>
      </c>
      <c r="E493" t="s">
        <v>3367</v>
      </c>
      <c r="F493" t="s">
        <v>3368</v>
      </c>
      <c r="G493" t="s">
        <v>179</v>
      </c>
      <c r="H493">
        <v>250</v>
      </c>
      <c r="I493">
        <v>80.956000000000003</v>
      </c>
      <c r="J493">
        <v>79.152000000000001</v>
      </c>
      <c r="K493">
        <v>-1.804</v>
      </c>
      <c r="L493">
        <v>84</v>
      </c>
      <c r="M493">
        <v>44</v>
      </c>
      <c r="N493">
        <v>122</v>
      </c>
      <c r="O493">
        <v>79.072000000000003</v>
      </c>
      <c r="P493">
        <v>-1.5732292999999999</v>
      </c>
      <c r="Q493">
        <v>11.475</v>
      </c>
    </row>
    <row r="494" spans="1:17" s="30" customFormat="1" x14ac:dyDescent="0.2">
      <c r="A494" s="30" t="str">
        <f>IF(C494&amp;G494&amp;D494&lt;&gt;'Funnel setup'!$K$3&amp;'Funnel setup'!$K$4&amp;'Funnel setup'!$K$5,".",IF(A493=".",1,A493+1))</f>
        <v>.</v>
      </c>
      <c r="B494" s="431" t="str">
        <f t="shared" si="7"/>
        <v>Groin HerniaProviderBUCKINGHAMSHIRE HEALTHCARE NHS TRUST (RXQ)EQ VAS</v>
      </c>
      <c r="C494" t="s">
        <v>50</v>
      </c>
      <c r="D494" t="s">
        <v>1</v>
      </c>
      <c r="E494" t="s">
        <v>3370</v>
      </c>
      <c r="F494" t="s">
        <v>3371</v>
      </c>
      <c r="G494" t="s">
        <v>179</v>
      </c>
      <c r="H494">
        <v>161</v>
      </c>
      <c r="I494">
        <v>79.658000000000001</v>
      </c>
      <c r="J494">
        <v>81.266999999999996</v>
      </c>
      <c r="K494">
        <v>1.609</v>
      </c>
      <c r="L494">
        <v>72</v>
      </c>
      <c r="M494">
        <v>25</v>
      </c>
      <c r="N494">
        <v>64</v>
      </c>
      <c r="O494">
        <v>81.408000000000001</v>
      </c>
      <c r="P494">
        <v>0.76268612899999999</v>
      </c>
      <c r="Q494">
        <v>10.75</v>
      </c>
    </row>
    <row r="495" spans="1:17" s="30" customFormat="1" x14ac:dyDescent="0.2">
      <c r="A495" s="30" t="str">
        <f>IF(C495&amp;G495&amp;D495&lt;&gt;'Funnel setup'!$K$3&amp;'Funnel setup'!$K$4&amp;'Funnel setup'!$K$5,".",IF(A494=".",1,A494+1))</f>
        <v>.</v>
      </c>
      <c r="B495" s="431" t="str">
        <f t="shared" si="7"/>
        <v>Groin HerniaProviderBURTON HOSPITALS NHS FOUNDATION TRUST (RJF)EQ VAS</v>
      </c>
      <c r="C495" t="s">
        <v>50</v>
      </c>
      <c r="D495" t="s">
        <v>1</v>
      </c>
      <c r="E495" t="s">
        <v>3373</v>
      </c>
      <c r="F495" t="s">
        <v>3374</v>
      </c>
      <c r="G495" t="s">
        <v>179</v>
      </c>
      <c r="H495">
        <v>161</v>
      </c>
      <c r="I495">
        <v>83.522000000000006</v>
      </c>
      <c r="J495">
        <v>82.570999999999998</v>
      </c>
      <c r="K495">
        <v>-0.95</v>
      </c>
      <c r="L495">
        <v>68</v>
      </c>
      <c r="M495">
        <v>29</v>
      </c>
      <c r="N495">
        <v>64</v>
      </c>
      <c r="O495">
        <v>80.501999999999995</v>
      </c>
      <c r="P495">
        <v>-0.14305335699999999</v>
      </c>
      <c r="Q495">
        <v>13.462999999999999</v>
      </c>
    </row>
    <row r="496" spans="1:17" s="30" customFormat="1" x14ac:dyDescent="0.2">
      <c r="A496" s="30" t="str">
        <f>IF(C496&amp;G496&amp;D496&lt;&gt;'Funnel setup'!$K$3&amp;'Funnel setup'!$K$4&amp;'Funnel setup'!$K$5,".",IF(A495=".",1,A495+1))</f>
        <v>.</v>
      </c>
      <c r="B496" s="431" t="str">
        <f t="shared" si="7"/>
        <v>Groin HerniaProviderCALDERDALE AND HUDDERSFIELD NHS FOUNDATION TRUST (RWY)EQ VAS</v>
      </c>
      <c r="C496" t="s">
        <v>50</v>
      </c>
      <c r="D496" t="s">
        <v>1</v>
      </c>
      <c r="E496" t="s">
        <v>3379</v>
      </c>
      <c r="F496" t="s">
        <v>3380</v>
      </c>
      <c r="G496" t="s">
        <v>179</v>
      </c>
      <c r="H496">
        <v>149</v>
      </c>
      <c r="I496">
        <v>81.314999999999998</v>
      </c>
      <c r="J496">
        <v>79.879000000000005</v>
      </c>
      <c r="K496">
        <v>-1.4359999999999999</v>
      </c>
      <c r="L496">
        <v>51</v>
      </c>
      <c r="M496">
        <v>32</v>
      </c>
      <c r="N496">
        <v>66</v>
      </c>
      <c r="O496">
        <v>79.611999999999995</v>
      </c>
      <c r="P496">
        <v>-1.033515446</v>
      </c>
      <c r="Q496">
        <v>13.75</v>
      </c>
    </row>
    <row r="497" spans="1:17" s="30" customFormat="1" x14ac:dyDescent="0.2">
      <c r="A497" s="30" t="str">
        <f>IF(C497&amp;G497&amp;D497&lt;&gt;'Funnel setup'!$K$3&amp;'Funnel setup'!$K$4&amp;'Funnel setup'!$K$5,".",IF(A496=".",1,A496+1))</f>
        <v>.</v>
      </c>
      <c r="B497" s="431" t="str">
        <f t="shared" si="7"/>
        <v>Groin HerniaProviderCAMBRIDGE UNIVERSITY HOSPITALS NHS FOUNDATION TRUST (RGT)EQ VAS</v>
      </c>
      <c r="C497" t="s">
        <v>50</v>
      </c>
      <c r="D497" t="s">
        <v>1</v>
      </c>
      <c r="E497" t="s">
        <v>3076</v>
      </c>
      <c r="F497" t="s">
        <v>3077</v>
      </c>
      <c r="G497" t="s">
        <v>179</v>
      </c>
      <c r="H497">
        <v>207</v>
      </c>
      <c r="I497">
        <v>82.584999999999994</v>
      </c>
      <c r="J497">
        <v>82.01</v>
      </c>
      <c r="K497">
        <v>-0.57499999999999996</v>
      </c>
      <c r="L497">
        <v>72</v>
      </c>
      <c r="M497">
        <v>39</v>
      </c>
      <c r="N497">
        <v>96</v>
      </c>
      <c r="O497">
        <v>80.057000000000002</v>
      </c>
      <c r="P497">
        <v>-0.58803849699999999</v>
      </c>
      <c r="Q497">
        <v>11.775</v>
      </c>
    </row>
    <row r="498" spans="1:17" s="30" customFormat="1" x14ac:dyDescent="0.2">
      <c r="A498" s="30" t="str">
        <f>IF(C498&amp;G498&amp;D498&lt;&gt;'Funnel setup'!$K$3&amp;'Funnel setup'!$K$4&amp;'Funnel setup'!$K$5,".",IF(A497=".",1,A497+1))</f>
        <v>.</v>
      </c>
      <c r="B498" s="431" t="str">
        <f t="shared" si="7"/>
        <v>Groin HerniaProviderCENTRAL MANCHESTER UNIVERSITY HOSPITALS NHS FOUNDATION TRUST (RW3)EQ VAS</v>
      </c>
      <c r="C498" t="s">
        <v>50</v>
      </c>
      <c r="D498" t="s">
        <v>1</v>
      </c>
      <c r="E498" t="s">
        <v>3079</v>
      </c>
      <c r="F498" t="s">
        <v>3080</v>
      </c>
      <c r="G498" t="s">
        <v>179</v>
      </c>
      <c r="H498">
        <v>49</v>
      </c>
      <c r="I498">
        <v>72.551000000000002</v>
      </c>
      <c r="J498">
        <v>78.653000000000006</v>
      </c>
      <c r="K498">
        <v>6.1020000000000003</v>
      </c>
      <c r="L498">
        <v>27</v>
      </c>
      <c r="M498">
        <v>10</v>
      </c>
      <c r="N498">
        <v>12</v>
      </c>
      <c r="O498">
        <v>82.87</v>
      </c>
      <c r="P498">
        <v>2.2249418740000002</v>
      </c>
      <c r="Q498">
        <v>13.903</v>
      </c>
    </row>
    <row r="499" spans="1:17" s="30" customFormat="1" x14ac:dyDescent="0.2">
      <c r="A499" s="30" t="str">
        <f>IF(C499&amp;G499&amp;D499&lt;&gt;'Funnel setup'!$K$3&amp;'Funnel setup'!$K$4&amp;'Funnel setup'!$K$5,".",IF(A498=".",1,A498+1))</f>
        <v>.</v>
      </c>
      <c r="B499" s="431" t="str">
        <f t="shared" si="7"/>
        <v>Groin HerniaProviderCHELSEA AND WESTMINSTER HOSPITAL NHS FOUNDATION TRUST (RQM)EQ VAS</v>
      </c>
      <c r="C499" t="s">
        <v>50</v>
      </c>
      <c r="D499" t="s">
        <v>1</v>
      </c>
      <c r="E499" t="s">
        <v>3082</v>
      </c>
      <c r="F499" t="s">
        <v>3083</v>
      </c>
      <c r="G499" t="s">
        <v>179</v>
      </c>
      <c r="H499">
        <v>20</v>
      </c>
      <c r="I499">
        <v>85</v>
      </c>
      <c r="J499">
        <v>80.900000000000006</v>
      </c>
      <c r="K499">
        <v>-4.0999999999999996</v>
      </c>
      <c r="L499">
        <v>7</v>
      </c>
      <c r="M499">
        <v>2</v>
      </c>
      <c r="N499">
        <v>11</v>
      </c>
      <c r="O499" t="s">
        <v>53</v>
      </c>
      <c r="P499" t="s">
        <v>53</v>
      </c>
      <c r="Q499" t="s">
        <v>53</v>
      </c>
    </row>
    <row r="500" spans="1:17" s="30" customFormat="1" x14ac:dyDescent="0.2">
      <c r="A500" s="30" t="str">
        <f>IF(C500&amp;G500&amp;D500&lt;&gt;'Funnel setup'!$K$3&amp;'Funnel setup'!$K$4&amp;'Funnel setup'!$K$5,".",IF(A499=".",1,A499+1))</f>
        <v>.</v>
      </c>
      <c r="B500" s="431" t="str">
        <f t="shared" si="7"/>
        <v>Groin HerniaProviderCHESTERFIELD ROYAL HOSPITAL NHS FOUNDATION TRUST (RFS)EQ VAS</v>
      </c>
      <c r="C500" t="s">
        <v>50</v>
      </c>
      <c r="D500" t="s">
        <v>1</v>
      </c>
      <c r="E500" t="s">
        <v>3085</v>
      </c>
      <c r="F500" t="s">
        <v>3086</v>
      </c>
      <c r="G500" t="s">
        <v>179</v>
      </c>
      <c r="H500">
        <v>146</v>
      </c>
      <c r="I500">
        <v>79.438000000000002</v>
      </c>
      <c r="J500">
        <v>78.507000000000005</v>
      </c>
      <c r="K500">
        <v>-0.93200000000000005</v>
      </c>
      <c r="L500">
        <v>63</v>
      </c>
      <c r="M500">
        <v>27</v>
      </c>
      <c r="N500">
        <v>56</v>
      </c>
      <c r="O500">
        <v>80.016000000000005</v>
      </c>
      <c r="P500">
        <v>-0.62949956500000004</v>
      </c>
      <c r="Q500">
        <v>12.484</v>
      </c>
    </row>
    <row r="501" spans="1:17" s="30" customFormat="1" x14ac:dyDescent="0.2">
      <c r="A501" s="30" t="str">
        <f>IF(C501&amp;G501&amp;D501&lt;&gt;'Funnel setup'!$K$3&amp;'Funnel setup'!$K$4&amp;'Funnel setup'!$K$5,".",IF(A500=".",1,A500+1))</f>
        <v>.</v>
      </c>
      <c r="B501" s="431" t="str">
        <f t="shared" si="7"/>
        <v>Groin HerniaProviderCIRCLE - NOTTINGHAM NHS TREATMENT CENTRE (NV313)EQ VAS</v>
      </c>
      <c r="C501" t="s">
        <v>50</v>
      </c>
      <c r="D501" t="s">
        <v>1</v>
      </c>
      <c r="E501" t="s">
        <v>3094</v>
      </c>
      <c r="F501" t="s">
        <v>3095</v>
      </c>
      <c r="G501" t="s">
        <v>179</v>
      </c>
      <c r="H501">
        <v>181</v>
      </c>
      <c r="I501">
        <v>82.430999999999997</v>
      </c>
      <c r="J501">
        <v>81.248999999999995</v>
      </c>
      <c r="K501">
        <v>-1.1819999999999999</v>
      </c>
      <c r="L501">
        <v>75</v>
      </c>
      <c r="M501">
        <v>30</v>
      </c>
      <c r="N501">
        <v>76</v>
      </c>
      <c r="O501">
        <v>79.528999999999996</v>
      </c>
      <c r="P501">
        <v>-1.116645688</v>
      </c>
      <c r="Q501">
        <v>12.407</v>
      </c>
    </row>
    <row r="502" spans="1:17" s="30" customFormat="1" x14ac:dyDescent="0.2">
      <c r="A502" s="30" t="str">
        <f>IF(C502&amp;G502&amp;D502&lt;&gt;'Funnel setup'!$K$3&amp;'Funnel setup'!$K$4&amp;'Funnel setup'!$K$5,".",IF(A501=".",1,A501+1))</f>
        <v>.</v>
      </c>
      <c r="B502" s="431" t="str">
        <f t="shared" si="7"/>
        <v>Groin HerniaProviderCIRCLE BATH HOSPITAL (NV302)EQ VAS</v>
      </c>
      <c r="C502" t="s">
        <v>50</v>
      </c>
      <c r="D502" t="s">
        <v>1</v>
      </c>
      <c r="E502" t="s">
        <v>3097</v>
      </c>
      <c r="F502" t="s">
        <v>3098</v>
      </c>
      <c r="G502" t="s">
        <v>179</v>
      </c>
      <c r="H502">
        <v>43</v>
      </c>
      <c r="I502">
        <v>87.093000000000004</v>
      </c>
      <c r="J502">
        <v>87.488</v>
      </c>
      <c r="K502">
        <v>0.39500000000000002</v>
      </c>
      <c r="L502">
        <v>13</v>
      </c>
      <c r="M502">
        <v>17</v>
      </c>
      <c r="N502">
        <v>13</v>
      </c>
      <c r="O502">
        <v>82.372</v>
      </c>
      <c r="P502">
        <v>1.7268356890000001</v>
      </c>
      <c r="Q502">
        <v>8.86</v>
      </c>
    </row>
    <row r="503" spans="1:17" s="30" customFormat="1" x14ac:dyDescent="0.2">
      <c r="A503" s="30" t="str">
        <f>IF(C503&amp;G503&amp;D503&lt;&gt;'Funnel setup'!$K$3&amp;'Funnel setup'!$K$4&amp;'Funnel setup'!$K$5,".",IF(A502=".",1,A502+1))</f>
        <v>.</v>
      </c>
      <c r="B503" s="431" t="str">
        <f t="shared" si="7"/>
        <v>Groin HerniaProviderCIRCLE READING HOSPITAL (NV323)EQ VAS</v>
      </c>
      <c r="C503" t="s">
        <v>50</v>
      </c>
      <c r="D503" t="s">
        <v>1</v>
      </c>
      <c r="E503" t="s">
        <v>3091</v>
      </c>
      <c r="F503" t="s">
        <v>3092</v>
      </c>
      <c r="G503" t="s">
        <v>179</v>
      </c>
      <c r="H503">
        <v>28</v>
      </c>
      <c r="I503">
        <v>82.679000000000002</v>
      </c>
      <c r="J503">
        <v>81.179000000000002</v>
      </c>
      <c r="K503">
        <v>-1.5</v>
      </c>
      <c r="L503">
        <v>10</v>
      </c>
      <c r="M503">
        <v>5</v>
      </c>
      <c r="N503">
        <v>13</v>
      </c>
      <c r="O503" t="s">
        <v>53</v>
      </c>
      <c r="P503" t="s">
        <v>53</v>
      </c>
      <c r="Q503" t="s">
        <v>53</v>
      </c>
    </row>
    <row r="504" spans="1:17" s="30" customFormat="1" x14ac:dyDescent="0.2">
      <c r="A504" s="30" t="str">
        <f>IF(C504&amp;G504&amp;D504&lt;&gt;'Funnel setup'!$K$3&amp;'Funnel setup'!$K$4&amp;'Funnel setup'!$K$5,".",IF(A503=".",1,A503+1))</f>
        <v>.</v>
      </c>
      <c r="B504" s="431" t="str">
        <f t="shared" si="7"/>
        <v>Groin HerniaProviderCIRENCESTER NHS TREATMENT CENTRE (NTPH4)EQ VAS</v>
      </c>
      <c r="C504" t="s">
        <v>50</v>
      </c>
      <c r="D504" t="s">
        <v>1</v>
      </c>
      <c r="E504" t="s">
        <v>3088</v>
      </c>
      <c r="F504" t="s">
        <v>3089</v>
      </c>
      <c r="G504" t="s">
        <v>179</v>
      </c>
      <c r="H504">
        <v>72</v>
      </c>
      <c r="I504">
        <v>85.138999999999996</v>
      </c>
      <c r="J504">
        <v>86.957999999999998</v>
      </c>
      <c r="K504">
        <v>1.819</v>
      </c>
      <c r="L504">
        <v>29</v>
      </c>
      <c r="M504">
        <v>14</v>
      </c>
      <c r="N504">
        <v>29</v>
      </c>
      <c r="O504">
        <v>81.994</v>
      </c>
      <c r="P504">
        <v>1.3484348230000001</v>
      </c>
      <c r="Q504">
        <v>8.6310000000000002</v>
      </c>
    </row>
    <row r="505" spans="1:17" s="30" customFormat="1" x14ac:dyDescent="0.2">
      <c r="A505" s="30" t="str">
        <f>IF(C505&amp;G505&amp;D505&lt;&gt;'Funnel setup'!$K$3&amp;'Funnel setup'!$K$4&amp;'Funnel setup'!$K$5,".",IF(A504=".",1,A504+1))</f>
        <v>.</v>
      </c>
      <c r="B505" s="431" t="str">
        <f t="shared" si="7"/>
        <v>Groin HerniaProviderCITY HOSPITALS SUNDERLAND NHS FOUNDATION TRUST (RLN)EQ VAS</v>
      </c>
      <c r="C505" t="s">
        <v>50</v>
      </c>
      <c r="D505" t="s">
        <v>1</v>
      </c>
      <c r="E505" t="s">
        <v>3100</v>
      </c>
      <c r="F505" t="s">
        <v>3101</v>
      </c>
      <c r="G505" t="s">
        <v>179</v>
      </c>
      <c r="H505">
        <v>143</v>
      </c>
      <c r="I505">
        <v>74.923000000000002</v>
      </c>
      <c r="J505">
        <v>72.566000000000003</v>
      </c>
      <c r="K505">
        <v>-2.3570000000000002</v>
      </c>
      <c r="L505">
        <v>50</v>
      </c>
      <c r="M505">
        <v>27</v>
      </c>
      <c r="N505">
        <v>66</v>
      </c>
      <c r="O505">
        <v>78.084000000000003</v>
      </c>
      <c r="P505">
        <v>-2.5616894939999999</v>
      </c>
      <c r="Q505">
        <v>14.894</v>
      </c>
    </row>
    <row r="506" spans="1:17" s="30" customFormat="1" x14ac:dyDescent="0.2">
      <c r="A506" s="30" t="str">
        <f>IF(C506&amp;G506&amp;D506&lt;&gt;'Funnel setup'!$K$3&amp;'Funnel setup'!$K$4&amp;'Funnel setup'!$K$5,".",IF(A505=".",1,A505+1))</f>
        <v>.</v>
      </c>
      <c r="B506" s="431" t="str">
        <f t="shared" si="7"/>
        <v>Groin HerniaProviderCOBALT HOSPITAL (NVC29)EQ VAS</v>
      </c>
      <c r="C506" t="s">
        <v>50</v>
      </c>
      <c r="D506" t="s">
        <v>1</v>
      </c>
      <c r="E506" t="s">
        <v>3106</v>
      </c>
      <c r="F506" t="s">
        <v>3107</v>
      </c>
      <c r="G506" t="s">
        <v>179</v>
      </c>
      <c r="H506">
        <v>53</v>
      </c>
      <c r="I506">
        <v>86.697999999999993</v>
      </c>
      <c r="J506">
        <v>82.358000000000004</v>
      </c>
      <c r="K506">
        <v>-4.34</v>
      </c>
      <c r="L506">
        <v>14</v>
      </c>
      <c r="M506">
        <v>12</v>
      </c>
      <c r="N506">
        <v>27</v>
      </c>
      <c r="O506">
        <v>77.201999999999998</v>
      </c>
      <c r="P506">
        <v>-3.4436596119999998</v>
      </c>
      <c r="Q506">
        <v>12.32</v>
      </c>
    </row>
    <row r="507" spans="1:17" s="30" customFormat="1" x14ac:dyDescent="0.2">
      <c r="A507" s="30" t="str">
        <f>IF(C507&amp;G507&amp;D507&lt;&gt;'Funnel setup'!$K$3&amp;'Funnel setup'!$K$4&amp;'Funnel setup'!$K$5,".",IF(A506=".",1,A506+1))</f>
        <v>.</v>
      </c>
      <c r="B507" s="431" t="str">
        <f t="shared" si="7"/>
        <v>Groin HerniaProviderCOLCHESTER HOSPITAL UNIVERSITY NHS FOUNDATION TRUST (RDE)EQ VAS</v>
      </c>
      <c r="C507" t="s">
        <v>50</v>
      </c>
      <c r="D507" t="s">
        <v>1</v>
      </c>
      <c r="E507" t="s">
        <v>3109</v>
      </c>
      <c r="F507" t="s">
        <v>3110</v>
      </c>
      <c r="G507" t="s">
        <v>179</v>
      </c>
      <c r="H507">
        <v>153</v>
      </c>
      <c r="I507">
        <v>75.477000000000004</v>
      </c>
      <c r="J507">
        <v>76.084999999999994</v>
      </c>
      <c r="K507">
        <v>0.60799999999999998</v>
      </c>
      <c r="L507">
        <v>58</v>
      </c>
      <c r="M507">
        <v>35</v>
      </c>
      <c r="N507">
        <v>60</v>
      </c>
      <c r="O507">
        <v>80.102999999999994</v>
      </c>
      <c r="P507">
        <v>-0.54229810199999995</v>
      </c>
      <c r="Q507">
        <v>13.38</v>
      </c>
    </row>
    <row r="508" spans="1:17" s="30" customFormat="1" x14ac:dyDescent="0.2">
      <c r="A508" s="30" t="str">
        <f>IF(C508&amp;G508&amp;D508&lt;&gt;'Funnel setup'!$K$3&amp;'Funnel setup'!$K$4&amp;'Funnel setup'!$K$5,".",IF(A507=".",1,A507+1))</f>
        <v>.</v>
      </c>
      <c r="B508" s="431" t="str">
        <f t="shared" si="7"/>
        <v>Groin HerniaProviderCOUNTESS OF CHESTER HOSPITAL NHS FOUNDATION TRUST (RJR)EQ VAS</v>
      </c>
      <c r="C508" t="s">
        <v>50</v>
      </c>
      <c r="D508" t="s">
        <v>1</v>
      </c>
      <c r="E508" t="s">
        <v>3781</v>
      </c>
      <c r="F508" t="s">
        <v>3782</v>
      </c>
      <c r="G508" t="s">
        <v>179</v>
      </c>
      <c r="H508">
        <v>91</v>
      </c>
      <c r="I508">
        <v>78.912000000000006</v>
      </c>
      <c r="J508">
        <v>80.44</v>
      </c>
      <c r="K508">
        <v>1.5269999999999999</v>
      </c>
      <c r="L508">
        <v>44</v>
      </c>
      <c r="M508">
        <v>17</v>
      </c>
      <c r="N508">
        <v>30</v>
      </c>
      <c r="O508">
        <v>81.415999999999997</v>
      </c>
      <c r="P508">
        <v>0.77024670900000003</v>
      </c>
      <c r="Q508">
        <v>13.363</v>
      </c>
    </row>
    <row r="509" spans="1:17" s="30" customFormat="1" x14ac:dyDescent="0.2">
      <c r="A509" s="30" t="str">
        <f>IF(C509&amp;G509&amp;D509&lt;&gt;'Funnel setup'!$K$3&amp;'Funnel setup'!$K$4&amp;'Funnel setup'!$K$5,".",IF(A508=".",1,A508+1))</f>
        <v>.</v>
      </c>
      <c r="B509" s="431" t="str">
        <f t="shared" si="7"/>
        <v>Groin HerniaProviderCOUNTY DURHAM AND DARLINGTON NHS FOUNDATION TRUST (RXP)EQ VAS</v>
      </c>
      <c r="C509" t="s">
        <v>50</v>
      </c>
      <c r="D509" t="s">
        <v>1</v>
      </c>
      <c r="E509" t="s">
        <v>3784</v>
      </c>
      <c r="F509" t="s">
        <v>3785</v>
      </c>
      <c r="G509" t="s">
        <v>179</v>
      </c>
      <c r="H509">
        <v>172</v>
      </c>
      <c r="I509">
        <v>80.650999999999996</v>
      </c>
      <c r="J509">
        <v>77.366</v>
      </c>
      <c r="K509">
        <v>-3.2850000000000001</v>
      </c>
      <c r="L509">
        <v>52</v>
      </c>
      <c r="M509">
        <v>37</v>
      </c>
      <c r="N509">
        <v>83</v>
      </c>
      <c r="O509">
        <v>78.366</v>
      </c>
      <c r="P509">
        <v>-2.2795320810000002</v>
      </c>
      <c r="Q509">
        <v>13.539</v>
      </c>
    </row>
    <row r="510" spans="1:17" s="30" customFormat="1" x14ac:dyDescent="0.2">
      <c r="A510" s="30" t="str">
        <f>IF(C510&amp;G510&amp;D510&lt;&gt;'Funnel setup'!$K$3&amp;'Funnel setup'!$K$4&amp;'Funnel setup'!$K$5,".",IF(A509=".",1,A509+1))</f>
        <v>.</v>
      </c>
      <c r="B510" s="431" t="str">
        <f t="shared" si="7"/>
        <v>Groin HerniaProviderDARTFORD AND GRAVESHAM NHS TRUST (RN7)EQ VAS</v>
      </c>
      <c r="C510" t="s">
        <v>50</v>
      </c>
      <c r="D510" t="s">
        <v>1</v>
      </c>
      <c r="E510" t="s">
        <v>3787</v>
      </c>
      <c r="F510" t="s">
        <v>3788</v>
      </c>
      <c r="G510" t="s">
        <v>179</v>
      </c>
      <c r="H510">
        <v>193</v>
      </c>
      <c r="I510">
        <v>81.052000000000007</v>
      </c>
      <c r="J510">
        <v>80.658000000000001</v>
      </c>
      <c r="K510">
        <v>-0.39400000000000002</v>
      </c>
      <c r="L510">
        <v>66</v>
      </c>
      <c r="M510">
        <v>44</v>
      </c>
      <c r="N510">
        <v>83</v>
      </c>
      <c r="O510">
        <v>81.087000000000003</v>
      </c>
      <c r="P510">
        <v>0.44122196499999999</v>
      </c>
      <c r="Q510">
        <v>12.071999999999999</v>
      </c>
    </row>
    <row r="511" spans="1:17" s="30" customFormat="1" x14ac:dyDescent="0.2">
      <c r="A511" s="30" t="str">
        <f>IF(C511&amp;G511&amp;D511&lt;&gt;'Funnel setup'!$K$3&amp;'Funnel setup'!$K$4&amp;'Funnel setup'!$K$5,".",IF(A510=".",1,A510+1))</f>
        <v>.</v>
      </c>
      <c r="B511" s="431" t="str">
        <f t="shared" si="7"/>
        <v>Groin HerniaProviderDERBY TEACHING HOSPITALS NHS FOUNDATION TRUST (RTG)EQ VAS</v>
      </c>
      <c r="C511" t="s">
        <v>50</v>
      </c>
      <c r="D511" t="s">
        <v>1</v>
      </c>
      <c r="E511" t="s">
        <v>3790</v>
      </c>
      <c r="F511" t="s">
        <v>3791</v>
      </c>
      <c r="G511" t="s">
        <v>179</v>
      </c>
      <c r="H511">
        <v>140</v>
      </c>
      <c r="I511">
        <v>81.114000000000004</v>
      </c>
      <c r="J511">
        <v>79.286000000000001</v>
      </c>
      <c r="K511">
        <v>-1.829</v>
      </c>
      <c r="L511">
        <v>51</v>
      </c>
      <c r="M511">
        <v>34</v>
      </c>
      <c r="N511">
        <v>55</v>
      </c>
      <c r="O511">
        <v>79.551000000000002</v>
      </c>
      <c r="P511">
        <v>-1.0942283770000001</v>
      </c>
      <c r="Q511">
        <v>12.705</v>
      </c>
    </row>
    <row r="512" spans="1:17" s="30" customFormat="1" x14ac:dyDescent="0.2">
      <c r="A512" s="30" t="str">
        <f>IF(C512&amp;G512&amp;D512&lt;&gt;'Funnel setup'!$K$3&amp;'Funnel setup'!$K$4&amp;'Funnel setup'!$K$5,".",IF(A511=".",1,A511+1))</f>
        <v>.</v>
      </c>
      <c r="B512" s="431" t="str">
        <f t="shared" si="7"/>
        <v>Groin HerniaProviderDERBYSHIRE COMMUNITY HEALTH SERVICES NHS FOUNDATION TRUST (RY8)EQ VAS</v>
      </c>
      <c r="C512" t="s">
        <v>50</v>
      </c>
      <c r="D512" t="s">
        <v>1</v>
      </c>
      <c r="E512" t="s">
        <v>3811</v>
      </c>
      <c r="F512" t="s">
        <v>3812</v>
      </c>
      <c r="G512" t="s">
        <v>179</v>
      </c>
      <c r="H512" t="s">
        <v>53</v>
      </c>
      <c r="I512" t="s">
        <v>53</v>
      </c>
      <c r="J512" t="s">
        <v>53</v>
      </c>
      <c r="K512" t="s">
        <v>53</v>
      </c>
      <c r="L512" t="s">
        <v>53</v>
      </c>
      <c r="M512" t="s">
        <v>53</v>
      </c>
      <c r="N512" t="s">
        <v>53</v>
      </c>
      <c r="O512" t="s">
        <v>53</v>
      </c>
      <c r="P512" t="s">
        <v>53</v>
      </c>
      <c r="Q512" t="s">
        <v>53</v>
      </c>
    </row>
    <row r="513" spans="1:17" s="30" customFormat="1" x14ac:dyDescent="0.2">
      <c r="A513" s="30" t="str">
        <f>IF(C513&amp;G513&amp;D513&lt;&gt;'Funnel setup'!$K$3&amp;'Funnel setup'!$K$4&amp;'Funnel setup'!$K$5,".",IF(A512=".",1,A512+1))</f>
        <v>.</v>
      </c>
      <c r="B513" s="431" t="str">
        <f t="shared" si="7"/>
        <v>Groin HerniaProviderDEVIZES NHS TREATMENT CENTRE (NTPH3)EQ VAS</v>
      </c>
      <c r="C513" t="s">
        <v>50</v>
      </c>
      <c r="D513" t="s">
        <v>1</v>
      </c>
      <c r="E513" t="s">
        <v>3796</v>
      </c>
      <c r="F513" t="s">
        <v>3797</v>
      </c>
      <c r="G513" t="s">
        <v>179</v>
      </c>
      <c r="H513">
        <v>91</v>
      </c>
      <c r="I513">
        <v>84.406999999999996</v>
      </c>
      <c r="J513">
        <v>84.076999999999998</v>
      </c>
      <c r="K513">
        <v>-0.33</v>
      </c>
      <c r="L513">
        <v>34</v>
      </c>
      <c r="M513">
        <v>17</v>
      </c>
      <c r="N513">
        <v>40</v>
      </c>
      <c r="O513">
        <v>80.796000000000006</v>
      </c>
      <c r="P513">
        <v>0.15098120400000001</v>
      </c>
      <c r="Q513">
        <v>8.5190000000000001</v>
      </c>
    </row>
    <row r="514" spans="1:17" s="30" customFormat="1" x14ac:dyDescent="0.2">
      <c r="A514" s="30" t="str">
        <f>IF(C514&amp;G514&amp;D514&lt;&gt;'Funnel setup'!$K$3&amp;'Funnel setup'!$K$4&amp;'Funnel setup'!$K$5,".",IF(A513=".",1,A513+1))</f>
        <v>.</v>
      </c>
      <c r="B514" s="431" t="str">
        <f t="shared" si="7"/>
        <v>Groin HerniaProviderDONCASTER AND BASSETLAW HOSPITALS NHS FOUNDATION TRUST (RP5)EQ VAS</v>
      </c>
      <c r="C514" t="s">
        <v>50</v>
      </c>
      <c r="D514" t="s">
        <v>1</v>
      </c>
      <c r="E514" t="s">
        <v>3799</v>
      </c>
      <c r="F514" t="s">
        <v>3800</v>
      </c>
      <c r="G514" t="s">
        <v>179</v>
      </c>
      <c r="H514">
        <v>251</v>
      </c>
      <c r="I514">
        <v>78.828999999999994</v>
      </c>
      <c r="J514">
        <v>77.844999999999999</v>
      </c>
      <c r="K514">
        <v>-0.98399999999999999</v>
      </c>
      <c r="L514">
        <v>88</v>
      </c>
      <c r="M514">
        <v>52</v>
      </c>
      <c r="N514">
        <v>111</v>
      </c>
      <c r="O514">
        <v>79.721999999999994</v>
      </c>
      <c r="P514">
        <v>-0.92304884099999995</v>
      </c>
      <c r="Q514">
        <v>11.99</v>
      </c>
    </row>
    <row r="515" spans="1:17" s="30" customFormat="1" x14ac:dyDescent="0.2">
      <c r="A515" s="30" t="str">
        <f>IF(C515&amp;G515&amp;D515&lt;&gt;'Funnel setup'!$K$3&amp;'Funnel setup'!$K$4&amp;'Funnel setup'!$K$5,".",IF(A514=".",1,A514+1))</f>
        <v>.</v>
      </c>
      <c r="B515" s="431" t="str">
        <f t="shared" ref="B515:B578" si="8">C515&amp;D515&amp;F515&amp;G515</f>
        <v>Groin HerniaProviderDORSET COUNTY HOSPITAL NHS FOUNDATION TRUST (RBD)EQ VAS</v>
      </c>
      <c r="C515" t="s">
        <v>50</v>
      </c>
      <c r="D515" t="s">
        <v>1</v>
      </c>
      <c r="E515" t="s">
        <v>3802</v>
      </c>
      <c r="F515" t="s">
        <v>3803</v>
      </c>
      <c r="G515" t="s">
        <v>179</v>
      </c>
      <c r="H515">
        <v>62</v>
      </c>
      <c r="I515">
        <v>81.451999999999998</v>
      </c>
      <c r="J515">
        <v>80.161000000000001</v>
      </c>
      <c r="K515">
        <v>-1.29</v>
      </c>
      <c r="L515">
        <v>23</v>
      </c>
      <c r="M515">
        <v>15</v>
      </c>
      <c r="N515">
        <v>24</v>
      </c>
      <c r="O515">
        <v>79.691000000000003</v>
      </c>
      <c r="P515">
        <v>-0.95439721799999999</v>
      </c>
      <c r="Q515">
        <v>12.081</v>
      </c>
    </row>
    <row r="516" spans="1:17" s="30" customFormat="1" x14ac:dyDescent="0.2">
      <c r="A516" s="30" t="str">
        <f>IF(C516&amp;G516&amp;D516&lt;&gt;'Funnel setup'!$K$3&amp;'Funnel setup'!$K$4&amp;'Funnel setup'!$K$5,".",IF(A515=".",1,A515+1))</f>
        <v>.</v>
      </c>
      <c r="B516" s="431" t="str">
        <f t="shared" si="8"/>
        <v>Groin HerniaProviderDORSET HEALTHCARE UNIVERSITY NHS FOUNDATION TRUST (RDY)EQ VAS</v>
      </c>
      <c r="C516" t="s">
        <v>50</v>
      </c>
      <c r="D516" t="s">
        <v>1</v>
      </c>
      <c r="E516" t="s">
        <v>3805</v>
      </c>
      <c r="F516" t="s">
        <v>3806</v>
      </c>
      <c r="G516" t="s">
        <v>179</v>
      </c>
      <c r="H516">
        <v>87</v>
      </c>
      <c r="I516">
        <v>85.92</v>
      </c>
      <c r="J516">
        <v>83.253</v>
      </c>
      <c r="K516">
        <v>-2.6669999999999998</v>
      </c>
      <c r="L516">
        <v>30</v>
      </c>
      <c r="M516">
        <v>10</v>
      </c>
      <c r="N516">
        <v>47</v>
      </c>
      <c r="O516">
        <v>79.004999999999995</v>
      </c>
      <c r="P516">
        <v>-1.6403498540000001</v>
      </c>
      <c r="Q516">
        <v>11.48</v>
      </c>
    </row>
    <row r="517" spans="1:17" s="30" customFormat="1" x14ac:dyDescent="0.2">
      <c r="A517" s="30" t="str">
        <f>IF(C517&amp;G517&amp;D517&lt;&gt;'Funnel setup'!$K$3&amp;'Funnel setup'!$K$4&amp;'Funnel setup'!$K$5,".",IF(A516=".",1,A516+1))</f>
        <v>.</v>
      </c>
      <c r="B517" s="431" t="str">
        <f t="shared" si="8"/>
        <v>Groin HerniaProviderEAST AND NORTH HERTFORDSHIRE NHS TRUST (RWH)EQ VAS</v>
      </c>
      <c r="C517" t="s">
        <v>50</v>
      </c>
      <c r="D517" t="s">
        <v>1</v>
      </c>
      <c r="E517" t="s">
        <v>3814</v>
      </c>
      <c r="F517" t="s">
        <v>3815</v>
      </c>
      <c r="G517" t="s">
        <v>179</v>
      </c>
      <c r="H517">
        <v>63</v>
      </c>
      <c r="I517">
        <v>79.429000000000002</v>
      </c>
      <c r="J517">
        <v>78.286000000000001</v>
      </c>
      <c r="K517">
        <v>-1.143</v>
      </c>
      <c r="L517">
        <v>21</v>
      </c>
      <c r="M517">
        <v>14</v>
      </c>
      <c r="N517">
        <v>28</v>
      </c>
      <c r="O517">
        <v>78.878</v>
      </c>
      <c r="P517">
        <v>-1.7671005900000001</v>
      </c>
      <c r="Q517">
        <v>10.859</v>
      </c>
    </row>
    <row r="518" spans="1:17" s="30" customFormat="1" x14ac:dyDescent="0.2">
      <c r="A518" s="30" t="str">
        <f>IF(C518&amp;G518&amp;D518&lt;&gt;'Funnel setup'!$K$3&amp;'Funnel setup'!$K$4&amp;'Funnel setup'!$K$5,".",IF(A517=".",1,A517+1))</f>
        <v>.</v>
      </c>
      <c r="B518" s="431" t="str">
        <f t="shared" si="8"/>
        <v>Groin HerniaProviderEAST CHESHIRE NHS TRUST (RJN)EQ VAS</v>
      </c>
      <c r="C518" t="s">
        <v>50</v>
      </c>
      <c r="D518" t="s">
        <v>1</v>
      </c>
      <c r="E518" t="s">
        <v>3817</v>
      </c>
      <c r="F518" t="s">
        <v>3818</v>
      </c>
      <c r="G518" t="s">
        <v>179</v>
      </c>
      <c r="H518">
        <v>77</v>
      </c>
      <c r="I518">
        <v>79.325000000000003</v>
      </c>
      <c r="J518">
        <v>79.662000000000006</v>
      </c>
      <c r="K518">
        <v>0.33800000000000002</v>
      </c>
      <c r="L518">
        <v>35</v>
      </c>
      <c r="M518">
        <v>18</v>
      </c>
      <c r="N518">
        <v>24</v>
      </c>
      <c r="O518">
        <v>80.745000000000005</v>
      </c>
      <c r="P518">
        <v>9.9102568000000002E-2</v>
      </c>
      <c r="Q518">
        <v>10.837</v>
      </c>
    </row>
    <row r="519" spans="1:17" s="30" customFormat="1" x14ac:dyDescent="0.2">
      <c r="A519" s="30" t="str">
        <f>IF(C519&amp;G519&amp;D519&lt;&gt;'Funnel setup'!$K$3&amp;'Funnel setup'!$K$4&amp;'Funnel setup'!$K$5,".",IF(A518=".",1,A518+1))</f>
        <v>.</v>
      </c>
      <c r="B519" s="431" t="str">
        <f t="shared" si="8"/>
        <v>Groin HerniaProviderEAST KENT HOSPITALS UNIVERSITY NHS FOUNDATION TRUST (RVV)EQ VAS</v>
      </c>
      <c r="C519" t="s">
        <v>50</v>
      </c>
      <c r="D519" t="s">
        <v>1</v>
      </c>
      <c r="E519" t="s">
        <v>3820</v>
      </c>
      <c r="F519" t="s">
        <v>3821</v>
      </c>
      <c r="G519" t="s">
        <v>179</v>
      </c>
      <c r="H519">
        <v>180</v>
      </c>
      <c r="I519">
        <v>79.150000000000006</v>
      </c>
      <c r="J519">
        <v>79.471999999999994</v>
      </c>
      <c r="K519">
        <v>0.32200000000000001</v>
      </c>
      <c r="L519">
        <v>72</v>
      </c>
      <c r="M519">
        <v>35</v>
      </c>
      <c r="N519">
        <v>73</v>
      </c>
      <c r="O519">
        <v>80.397999999999996</v>
      </c>
      <c r="P519">
        <v>-0.24786660499999999</v>
      </c>
      <c r="Q519">
        <v>12.497</v>
      </c>
    </row>
    <row r="520" spans="1:17" s="30" customFormat="1" x14ac:dyDescent="0.2">
      <c r="A520" s="30" t="str">
        <f>IF(C520&amp;G520&amp;D520&lt;&gt;'Funnel setup'!$K$3&amp;'Funnel setup'!$K$4&amp;'Funnel setup'!$K$5,".",IF(A519=".",1,A519+1))</f>
        <v>.</v>
      </c>
      <c r="B520" s="431" t="str">
        <f t="shared" si="8"/>
        <v>Groin HerniaProviderEAST LANCASHIRE HOSPITALS NHS TRUST (RXR)EQ VAS</v>
      </c>
      <c r="C520" t="s">
        <v>50</v>
      </c>
      <c r="D520" t="s">
        <v>1</v>
      </c>
      <c r="E520" t="s">
        <v>3823</v>
      </c>
      <c r="F520" t="s">
        <v>3824</v>
      </c>
      <c r="G520" t="s">
        <v>179</v>
      </c>
      <c r="H520">
        <v>175</v>
      </c>
      <c r="I520">
        <v>77.760000000000005</v>
      </c>
      <c r="J520">
        <v>78.28</v>
      </c>
      <c r="K520">
        <v>0.52</v>
      </c>
      <c r="L520">
        <v>73</v>
      </c>
      <c r="M520">
        <v>33</v>
      </c>
      <c r="N520">
        <v>69</v>
      </c>
      <c r="O520">
        <v>81.619</v>
      </c>
      <c r="P520">
        <v>0.97334783999999996</v>
      </c>
      <c r="Q520">
        <v>12.708</v>
      </c>
    </row>
    <row r="521" spans="1:17" s="30" customFormat="1" x14ac:dyDescent="0.2">
      <c r="A521" s="30" t="str">
        <f>IF(C521&amp;G521&amp;D521&lt;&gt;'Funnel setup'!$K$3&amp;'Funnel setup'!$K$4&amp;'Funnel setup'!$K$5,".",IF(A520=".",1,A520+1))</f>
        <v>.</v>
      </c>
      <c r="B521" s="431" t="str">
        <f t="shared" si="8"/>
        <v>Groin HerniaProviderEAST SUSSEX HEALTHCARE NHS TRUST (RXC)EQ VAS</v>
      </c>
      <c r="C521" t="s">
        <v>50</v>
      </c>
      <c r="D521" t="s">
        <v>1</v>
      </c>
      <c r="E521" t="s">
        <v>3826</v>
      </c>
      <c r="F521" t="s">
        <v>3827</v>
      </c>
      <c r="G521" t="s">
        <v>179</v>
      </c>
      <c r="H521">
        <v>127</v>
      </c>
      <c r="I521">
        <v>78.89</v>
      </c>
      <c r="J521">
        <v>77.858000000000004</v>
      </c>
      <c r="K521">
        <v>-1.0309999999999999</v>
      </c>
      <c r="L521">
        <v>51</v>
      </c>
      <c r="M521">
        <v>21</v>
      </c>
      <c r="N521">
        <v>55</v>
      </c>
      <c r="O521">
        <v>78.765000000000001</v>
      </c>
      <c r="P521">
        <v>-1.8800311000000001</v>
      </c>
      <c r="Q521">
        <v>14.808999999999999</v>
      </c>
    </row>
    <row r="522" spans="1:17" s="30" customFormat="1" x14ac:dyDescent="0.2">
      <c r="A522" s="30" t="str">
        <f>IF(C522&amp;G522&amp;D522&lt;&gt;'Funnel setup'!$K$3&amp;'Funnel setup'!$K$4&amp;'Funnel setup'!$K$5,".",IF(A521=".",1,A521+1))</f>
        <v>.</v>
      </c>
      <c r="B522" s="431" t="str">
        <f t="shared" si="8"/>
        <v>Groin HerniaProviderEMERSONS GREEN NHS TREATMENT CENTRE (NTPH2)EQ VAS</v>
      </c>
      <c r="C522" t="s">
        <v>50</v>
      </c>
      <c r="D522" t="s">
        <v>1</v>
      </c>
      <c r="E522" t="s">
        <v>3829</v>
      </c>
      <c r="F522" t="s">
        <v>3830</v>
      </c>
      <c r="G522" t="s">
        <v>179</v>
      </c>
      <c r="H522">
        <v>246</v>
      </c>
      <c r="I522">
        <v>83.126000000000005</v>
      </c>
      <c r="J522">
        <v>81.337000000000003</v>
      </c>
      <c r="K522">
        <v>-1.7889999999999999</v>
      </c>
      <c r="L522">
        <v>95</v>
      </c>
      <c r="M522">
        <v>37</v>
      </c>
      <c r="N522">
        <v>114</v>
      </c>
      <c r="O522">
        <v>79.397000000000006</v>
      </c>
      <c r="P522">
        <v>-1.2479615690000001</v>
      </c>
      <c r="Q522">
        <v>12.461</v>
      </c>
    </row>
    <row r="523" spans="1:17" s="30" customFormat="1" x14ac:dyDescent="0.2">
      <c r="A523" s="30" t="str">
        <f>IF(C523&amp;G523&amp;D523&lt;&gt;'Funnel setup'!$K$3&amp;'Funnel setup'!$K$4&amp;'Funnel setup'!$K$5,".",IF(A522=".",1,A522+1))</f>
        <v>.</v>
      </c>
      <c r="B523" s="431" t="str">
        <f t="shared" si="8"/>
        <v>Groin HerniaProviderEPSOM AND ST HELIER UNIVERSITY HOSPITALS NHS TRUST (RVR)EQ VAS</v>
      </c>
      <c r="C523" t="s">
        <v>50</v>
      </c>
      <c r="D523" t="s">
        <v>1</v>
      </c>
      <c r="E523" t="s">
        <v>3849</v>
      </c>
      <c r="F523" t="s">
        <v>3850</v>
      </c>
      <c r="G523" t="s">
        <v>179</v>
      </c>
      <c r="H523">
        <v>110</v>
      </c>
      <c r="I523">
        <v>80.817999999999998</v>
      </c>
      <c r="J523">
        <v>80.436000000000007</v>
      </c>
      <c r="K523">
        <v>-0.38200000000000001</v>
      </c>
      <c r="L523">
        <v>38</v>
      </c>
      <c r="M523">
        <v>25</v>
      </c>
      <c r="N523">
        <v>47</v>
      </c>
      <c r="O523">
        <v>79.983999999999995</v>
      </c>
      <c r="P523">
        <v>-0.66137056699999996</v>
      </c>
      <c r="Q523">
        <v>10.214</v>
      </c>
    </row>
    <row r="524" spans="1:17" s="30" customFormat="1" x14ac:dyDescent="0.2">
      <c r="A524" s="30" t="str">
        <f>IF(C524&amp;G524&amp;D524&lt;&gt;'Funnel setup'!$K$3&amp;'Funnel setup'!$K$4&amp;'Funnel setup'!$K$5,".",IF(A523=".",1,A523+1))</f>
        <v>.</v>
      </c>
      <c r="B524" s="431" t="str">
        <f t="shared" si="8"/>
        <v>Groin HerniaProviderEUXTON HALL HOSPITAL (NVC05)EQ VAS</v>
      </c>
      <c r="C524" t="s">
        <v>50</v>
      </c>
      <c r="D524" t="s">
        <v>1</v>
      </c>
      <c r="E524" t="s">
        <v>3852</v>
      </c>
      <c r="F524" t="s">
        <v>3853</v>
      </c>
      <c r="G524" t="s">
        <v>179</v>
      </c>
      <c r="H524">
        <v>115</v>
      </c>
      <c r="I524">
        <v>80.338999999999999</v>
      </c>
      <c r="J524">
        <v>81.183000000000007</v>
      </c>
      <c r="K524">
        <v>0.84299999999999997</v>
      </c>
      <c r="L524">
        <v>48</v>
      </c>
      <c r="M524">
        <v>23</v>
      </c>
      <c r="N524">
        <v>44</v>
      </c>
      <c r="O524">
        <v>80.513000000000005</v>
      </c>
      <c r="P524">
        <v>-0.13196260500000001</v>
      </c>
      <c r="Q524">
        <v>13.984999999999999</v>
      </c>
    </row>
    <row r="525" spans="1:17" s="30" customFormat="1" x14ac:dyDescent="0.2">
      <c r="A525" s="30" t="str">
        <f>IF(C525&amp;G525&amp;D525&lt;&gt;'Funnel setup'!$K$3&amp;'Funnel setup'!$K$4&amp;'Funnel setup'!$K$5,".",IF(A524=".",1,A524+1))</f>
        <v>.</v>
      </c>
      <c r="B525" s="431" t="str">
        <f t="shared" si="8"/>
        <v>Groin HerniaProviderFITZWILLIAM HOSPITAL (NVC06)EQ VAS</v>
      </c>
      <c r="C525" t="s">
        <v>50</v>
      </c>
      <c r="D525" t="s">
        <v>1</v>
      </c>
      <c r="E525" t="s">
        <v>3858</v>
      </c>
      <c r="F525" t="s">
        <v>3859</v>
      </c>
      <c r="G525" t="s">
        <v>179</v>
      </c>
      <c r="H525">
        <v>37</v>
      </c>
      <c r="I525">
        <v>83.27</v>
      </c>
      <c r="J525">
        <v>78.864999999999995</v>
      </c>
      <c r="K525">
        <v>-4.4050000000000002</v>
      </c>
      <c r="L525">
        <v>11</v>
      </c>
      <c r="M525">
        <v>7</v>
      </c>
      <c r="N525">
        <v>19</v>
      </c>
      <c r="O525">
        <v>76.932000000000002</v>
      </c>
      <c r="P525">
        <v>-3.7135620610000002</v>
      </c>
      <c r="Q525">
        <v>11.548</v>
      </c>
    </row>
    <row r="526" spans="1:17" s="30" customFormat="1" x14ac:dyDescent="0.2">
      <c r="A526" s="30" t="str">
        <f>IF(C526&amp;G526&amp;D526&lt;&gt;'Funnel setup'!$K$3&amp;'Funnel setup'!$K$4&amp;'Funnel setup'!$K$5,".",IF(A525=".",1,A525+1))</f>
        <v>.</v>
      </c>
      <c r="B526" s="431" t="str">
        <f t="shared" si="8"/>
        <v>Groin HerniaProviderFOSCOTE COURT (BANBURY) TRUST LTD (AHH)EQ VAS</v>
      </c>
      <c r="C526" t="s">
        <v>50</v>
      </c>
      <c r="D526" t="s">
        <v>1</v>
      </c>
      <c r="E526" t="s">
        <v>3900</v>
      </c>
      <c r="F526" t="s">
        <v>3901</v>
      </c>
      <c r="G526" t="s">
        <v>179</v>
      </c>
      <c r="H526">
        <v>29</v>
      </c>
      <c r="I526">
        <v>82.552000000000007</v>
      </c>
      <c r="J526">
        <v>85.069000000000003</v>
      </c>
      <c r="K526">
        <v>2.5169999999999999</v>
      </c>
      <c r="L526">
        <v>10</v>
      </c>
      <c r="M526">
        <v>8</v>
      </c>
      <c r="N526">
        <v>11</v>
      </c>
      <c r="O526" t="s">
        <v>53</v>
      </c>
      <c r="P526" t="s">
        <v>53</v>
      </c>
      <c r="Q526" t="s">
        <v>53</v>
      </c>
    </row>
    <row r="527" spans="1:17" s="30" customFormat="1" x14ac:dyDescent="0.2">
      <c r="A527" s="30" t="str">
        <f>IF(C527&amp;G527&amp;D527&lt;&gt;'Funnel setup'!$K$3&amp;'Funnel setup'!$K$4&amp;'Funnel setup'!$K$5,".",IF(A526=".",1,A526+1))</f>
        <v>.</v>
      </c>
      <c r="B527" s="431" t="str">
        <f t="shared" si="8"/>
        <v>Groin HerniaProviderFRIMLEY HEALTH NHS FOUNDATION TRUST (RDU)EQ VAS</v>
      </c>
      <c r="C527" t="s">
        <v>50</v>
      </c>
      <c r="D527" t="s">
        <v>1</v>
      </c>
      <c r="E527" t="s">
        <v>3861</v>
      </c>
      <c r="F527" t="s">
        <v>3862</v>
      </c>
      <c r="G527" t="s">
        <v>179</v>
      </c>
      <c r="H527">
        <v>294</v>
      </c>
      <c r="I527">
        <v>78.468999999999994</v>
      </c>
      <c r="J527">
        <v>78.34</v>
      </c>
      <c r="K527">
        <v>-0.129</v>
      </c>
      <c r="L527">
        <v>112</v>
      </c>
      <c r="M527">
        <v>57</v>
      </c>
      <c r="N527">
        <v>125</v>
      </c>
      <c r="O527">
        <v>78.984999999999999</v>
      </c>
      <c r="P527">
        <v>-1.660814322</v>
      </c>
      <c r="Q527">
        <v>13.016999999999999</v>
      </c>
    </row>
    <row r="528" spans="1:17" s="30" customFormat="1" x14ac:dyDescent="0.2">
      <c r="A528" s="30" t="str">
        <f>IF(C528&amp;G528&amp;D528&lt;&gt;'Funnel setup'!$K$3&amp;'Funnel setup'!$K$4&amp;'Funnel setup'!$K$5,".",IF(A527=".",1,A527+1))</f>
        <v>.</v>
      </c>
      <c r="B528" s="431" t="str">
        <f t="shared" si="8"/>
        <v>Groin HerniaProviderFULWOOD HALL HOSPITAL (NVC07)EQ VAS</v>
      </c>
      <c r="C528" t="s">
        <v>50</v>
      </c>
      <c r="D528" t="s">
        <v>1</v>
      </c>
      <c r="E528" t="s">
        <v>3864</v>
      </c>
      <c r="F528" t="s">
        <v>3865</v>
      </c>
      <c r="G528" t="s">
        <v>179</v>
      </c>
      <c r="H528">
        <v>114</v>
      </c>
      <c r="I528">
        <v>82.93</v>
      </c>
      <c r="J528">
        <v>82.025999999999996</v>
      </c>
      <c r="K528">
        <v>-0.90400000000000003</v>
      </c>
      <c r="L528">
        <v>44</v>
      </c>
      <c r="M528">
        <v>23</v>
      </c>
      <c r="N528">
        <v>47</v>
      </c>
      <c r="O528">
        <v>80.221000000000004</v>
      </c>
      <c r="P528">
        <v>-0.42447557899999999</v>
      </c>
      <c r="Q528">
        <v>10.622</v>
      </c>
    </row>
    <row r="529" spans="1:17" s="30" customFormat="1" x14ac:dyDescent="0.2">
      <c r="A529" s="30" t="str">
        <f>IF(C529&amp;G529&amp;D529&lt;&gt;'Funnel setup'!$K$3&amp;'Funnel setup'!$K$4&amp;'Funnel setup'!$K$5,".",IF(A528=".",1,A528+1))</f>
        <v>.</v>
      </c>
      <c r="B529" s="431" t="str">
        <f t="shared" si="8"/>
        <v>Groin HerniaProviderGATESHEAD HEALTH NHS FOUNDATION TRUST (RR7)EQ VAS</v>
      </c>
      <c r="C529" t="s">
        <v>50</v>
      </c>
      <c r="D529" t="s">
        <v>1</v>
      </c>
      <c r="E529" t="s">
        <v>3867</v>
      </c>
      <c r="F529" t="s">
        <v>3868</v>
      </c>
      <c r="G529" t="s">
        <v>179</v>
      </c>
      <c r="H529">
        <v>142</v>
      </c>
      <c r="I529">
        <v>81.099000000000004</v>
      </c>
      <c r="J529">
        <v>80.007000000000005</v>
      </c>
      <c r="K529">
        <v>-1.0920000000000001</v>
      </c>
      <c r="L529">
        <v>47</v>
      </c>
      <c r="M529">
        <v>29</v>
      </c>
      <c r="N529">
        <v>66</v>
      </c>
      <c r="O529">
        <v>79.364999999999995</v>
      </c>
      <c r="P529">
        <v>-1.2809204270000001</v>
      </c>
      <c r="Q529">
        <v>11.64</v>
      </c>
    </row>
    <row r="530" spans="1:17" s="30" customFormat="1" x14ac:dyDescent="0.2">
      <c r="A530" s="30" t="str">
        <f>IF(C530&amp;G530&amp;D530&lt;&gt;'Funnel setup'!$K$3&amp;'Funnel setup'!$K$4&amp;'Funnel setup'!$K$5,".",IF(A529=".",1,A529+1))</f>
        <v>.</v>
      </c>
      <c r="B530" s="431" t="str">
        <f t="shared" si="8"/>
        <v>Groin HerniaProviderGEORGE ELIOT HOSPITAL NHS TRUST (RLT)EQ VAS</v>
      </c>
      <c r="C530" t="s">
        <v>50</v>
      </c>
      <c r="D530" t="s">
        <v>1</v>
      </c>
      <c r="E530" t="s">
        <v>3870</v>
      </c>
      <c r="F530" t="s">
        <v>3871</v>
      </c>
      <c r="G530" t="s">
        <v>179</v>
      </c>
      <c r="H530">
        <v>34</v>
      </c>
      <c r="I530">
        <v>83.823999999999998</v>
      </c>
      <c r="J530">
        <v>84.617999999999995</v>
      </c>
      <c r="K530">
        <v>0.79400000000000004</v>
      </c>
      <c r="L530">
        <v>15</v>
      </c>
      <c r="M530">
        <v>7</v>
      </c>
      <c r="N530">
        <v>12</v>
      </c>
      <c r="O530">
        <v>82.718999999999994</v>
      </c>
      <c r="P530">
        <v>2.073202379</v>
      </c>
      <c r="Q530">
        <v>11.305</v>
      </c>
    </row>
    <row r="531" spans="1:17" s="30" customFormat="1" x14ac:dyDescent="0.2">
      <c r="A531" s="30" t="str">
        <f>IF(C531&amp;G531&amp;D531&lt;&gt;'Funnel setup'!$K$3&amp;'Funnel setup'!$K$4&amp;'Funnel setup'!$K$5,".",IF(A530=".",1,A530+1))</f>
        <v>.</v>
      </c>
      <c r="B531" s="431" t="str">
        <f t="shared" si="8"/>
        <v>Groin HerniaProviderGLOUCESTERSHIRE HOSPITALS NHS FOUNDATION TRUST (RTE)EQ VAS</v>
      </c>
      <c r="C531" t="s">
        <v>50</v>
      </c>
      <c r="D531" t="s">
        <v>1</v>
      </c>
      <c r="E531" t="s">
        <v>3873</v>
      </c>
      <c r="F531" t="s">
        <v>3874</v>
      </c>
      <c r="G531" t="s">
        <v>179</v>
      </c>
      <c r="H531">
        <v>175</v>
      </c>
      <c r="I531">
        <v>81.942999999999998</v>
      </c>
      <c r="J531">
        <v>81.816999999999993</v>
      </c>
      <c r="K531">
        <v>-0.126</v>
      </c>
      <c r="L531">
        <v>74</v>
      </c>
      <c r="M531">
        <v>29</v>
      </c>
      <c r="N531">
        <v>72</v>
      </c>
      <c r="O531">
        <v>80.813000000000002</v>
      </c>
      <c r="P531">
        <v>0.16784054600000001</v>
      </c>
      <c r="Q531">
        <v>10.962</v>
      </c>
    </row>
    <row r="532" spans="1:17" s="30" customFormat="1" x14ac:dyDescent="0.2">
      <c r="A532" s="30" t="str">
        <f>IF(C532&amp;G532&amp;D532&lt;&gt;'Funnel setup'!$K$3&amp;'Funnel setup'!$K$4&amp;'Funnel setup'!$K$5,".",IF(A531=".",1,A531+1))</f>
        <v>.</v>
      </c>
      <c r="B532" s="431" t="str">
        <f t="shared" si="8"/>
        <v>Groin HerniaProviderGREAT WESTERN HOSPITALS NHS FOUNDATION TRUST (RN3)EQ VAS</v>
      </c>
      <c r="C532" t="s">
        <v>50</v>
      </c>
      <c r="D532" t="s">
        <v>1</v>
      </c>
      <c r="E532" t="s">
        <v>3876</v>
      </c>
      <c r="F532" t="s">
        <v>3877</v>
      </c>
      <c r="G532" t="s">
        <v>179</v>
      </c>
      <c r="H532">
        <v>64</v>
      </c>
      <c r="I532">
        <v>80.063000000000002</v>
      </c>
      <c r="J532">
        <v>80.625</v>
      </c>
      <c r="K532">
        <v>0.56299999999999994</v>
      </c>
      <c r="L532">
        <v>26</v>
      </c>
      <c r="M532">
        <v>12</v>
      </c>
      <c r="N532">
        <v>26</v>
      </c>
      <c r="O532">
        <v>80.225999999999999</v>
      </c>
      <c r="P532">
        <v>-0.41902033</v>
      </c>
      <c r="Q532">
        <v>11.169</v>
      </c>
    </row>
    <row r="533" spans="1:17" s="30" customFormat="1" x14ac:dyDescent="0.2">
      <c r="A533" s="30" t="str">
        <f>IF(C533&amp;G533&amp;D533&lt;&gt;'Funnel setup'!$K$3&amp;'Funnel setup'!$K$4&amp;'Funnel setup'!$K$5,".",IF(A532=".",1,A532+1))</f>
        <v>.</v>
      </c>
      <c r="B533" s="431" t="str">
        <f t="shared" si="8"/>
        <v>Groin HerniaProviderGUY'S AND ST THOMAS' NHS FOUNDATION TRUST (RJ1)EQ VAS</v>
      </c>
      <c r="C533" t="s">
        <v>50</v>
      </c>
      <c r="D533" t="s">
        <v>1</v>
      </c>
      <c r="E533" t="s">
        <v>3879</v>
      </c>
      <c r="F533" t="s">
        <v>3880</v>
      </c>
      <c r="G533" t="s">
        <v>179</v>
      </c>
      <c r="H533">
        <v>34</v>
      </c>
      <c r="I533">
        <v>79.382000000000005</v>
      </c>
      <c r="J533">
        <v>81.941000000000003</v>
      </c>
      <c r="K533">
        <v>2.5590000000000002</v>
      </c>
      <c r="L533">
        <v>15</v>
      </c>
      <c r="M533">
        <v>7</v>
      </c>
      <c r="N533">
        <v>12</v>
      </c>
      <c r="O533">
        <v>82.14</v>
      </c>
      <c r="P533">
        <v>1.49419236</v>
      </c>
      <c r="Q533">
        <v>10.628</v>
      </c>
    </row>
    <row r="534" spans="1:17" s="30" customFormat="1" x14ac:dyDescent="0.2">
      <c r="A534" s="30" t="str">
        <f>IF(C534&amp;G534&amp;D534&lt;&gt;'Funnel setup'!$K$3&amp;'Funnel setup'!$K$4&amp;'Funnel setup'!$K$5,".",IF(A533=".",1,A533+1))</f>
        <v>.</v>
      </c>
      <c r="B534" s="431" t="str">
        <f t="shared" si="8"/>
        <v>Groin HerniaProviderHAMPSHIRE HOSPITALS NHS FOUNDATION TRUST (RN5)EQ VAS</v>
      </c>
      <c r="C534" t="s">
        <v>50</v>
      </c>
      <c r="D534" t="s">
        <v>1</v>
      </c>
      <c r="E534" t="s">
        <v>3882</v>
      </c>
      <c r="F534" t="s">
        <v>3883</v>
      </c>
      <c r="G534" t="s">
        <v>179</v>
      </c>
      <c r="H534">
        <v>95</v>
      </c>
      <c r="I534">
        <v>80.704999999999998</v>
      </c>
      <c r="J534">
        <v>81.031999999999996</v>
      </c>
      <c r="K534">
        <v>0.32600000000000001</v>
      </c>
      <c r="L534">
        <v>37</v>
      </c>
      <c r="M534">
        <v>25</v>
      </c>
      <c r="N534">
        <v>33</v>
      </c>
      <c r="O534">
        <v>80.734999999999999</v>
      </c>
      <c r="P534">
        <v>8.9387787999999996E-2</v>
      </c>
      <c r="Q534">
        <v>13.500999999999999</v>
      </c>
    </row>
    <row r="535" spans="1:17" s="30" customFormat="1" x14ac:dyDescent="0.2">
      <c r="A535" s="30" t="str">
        <f>IF(C535&amp;G535&amp;D535&lt;&gt;'Funnel setup'!$K$3&amp;'Funnel setup'!$K$4&amp;'Funnel setup'!$K$5,".",IF(A534=".",1,A534+1))</f>
        <v>.</v>
      </c>
      <c r="B535" s="431" t="str">
        <f t="shared" si="8"/>
        <v>Groin HerniaProviderHARROGATE AND DISTRICT NHS FOUNDATION TRUST (RCD)EQ VAS</v>
      </c>
      <c r="C535" t="s">
        <v>50</v>
      </c>
      <c r="D535" t="s">
        <v>1</v>
      </c>
      <c r="E535" t="s">
        <v>3885</v>
      </c>
      <c r="F535" t="s">
        <v>3886</v>
      </c>
      <c r="G535" t="s">
        <v>179</v>
      </c>
      <c r="H535">
        <v>186</v>
      </c>
      <c r="I535">
        <v>80.203999999999994</v>
      </c>
      <c r="J535">
        <v>79.403000000000006</v>
      </c>
      <c r="K535">
        <v>-0.80100000000000005</v>
      </c>
      <c r="L535">
        <v>72</v>
      </c>
      <c r="M535">
        <v>35</v>
      </c>
      <c r="N535">
        <v>79</v>
      </c>
      <c r="O535">
        <v>80.024000000000001</v>
      </c>
      <c r="P535">
        <v>-0.62181950600000002</v>
      </c>
      <c r="Q535">
        <v>11.839</v>
      </c>
    </row>
    <row r="536" spans="1:17" s="30" customFormat="1" x14ac:dyDescent="0.2">
      <c r="A536" s="30" t="str">
        <f>IF(C536&amp;G536&amp;D536&lt;&gt;'Funnel setup'!$K$3&amp;'Funnel setup'!$K$4&amp;'Funnel setup'!$K$5,".",IF(A535=".",1,A535+1))</f>
        <v>.</v>
      </c>
      <c r="B536" s="431" t="str">
        <f t="shared" si="8"/>
        <v>Groin HerniaProviderHATHAWAY MEDICAL CENTRE (NXP04)EQ VAS</v>
      </c>
      <c r="C536" t="s">
        <v>50</v>
      </c>
      <c r="D536" t="s">
        <v>1</v>
      </c>
      <c r="E536" t="s">
        <v>3903</v>
      </c>
      <c r="F536" t="s">
        <v>3904</v>
      </c>
      <c r="G536" t="s">
        <v>179</v>
      </c>
      <c r="H536">
        <v>15</v>
      </c>
      <c r="I536">
        <v>79</v>
      </c>
      <c r="J536">
        <v>84.132999999999996</v>
      </c>
      <c r="K536">
        <v>5.133</v>
      </c>
      <c r="L536">
        <v>7</v>
      </c>
      <c r="M536">
        <v>3</v>
      </c>
      <c r="N536">
        <v>5</v>
      </c>
      <c r="O536" t="s">
        <v>53</v>
      </c>
      <c r="P536" t="s">
        <v>53</v>
      </c>
      <c r="Q536" t="s">
        <v>53</v>
      </c>
    </row>
    <row r="537" spans="1:17" s="30" customFormat="1" x14ac:dyDescent="0.2">
      <c r="A537" s="30" t="str">
        <f>IF(C537&amp;G537&amp;D537&lt;&gt;'Funnel setup'!$K$3&amp;'Funnel setup'!$K$4&amp;'Funnel setup'!$K$5,".",IF(A536=".",1,A536+1))</f>
        <v>.</v>
      </c>
      <c r="B537" s="431" t="str">
        <f t="shared" si="8"/>
        <v>Groin HerniaProviderHEART OF ENGLAND NHS FOUNDATION TRUST (RR1)EQ VAS</v>
      </c>
      <c r="C537" t="s">
        <v>50</v>
      </c>
      <c r="D537" t="s">
        <v>1</v>
      </c>
      <c r="E537" t="s">
        <v>3888</v>
      </c>
      <c r="F537" t="s">
        <v>3889</v>
      </c>
      <c r="G537" t="s">
        <v>179</v>
      </c>
      <c r="H537">
        <v>334</v>
      </c>
      <c r="I537">
        <v>79.659000000000006</v>
      </c>
      <c r="J537">
        <v>78.608000000000004</v>
      </c>
      <c r="K537">
        <v>-1.0509999999999999</v>
      </c>
      <c r="L537">
        <v>121</v>
      </c>
      <c r="M537">
        <v>67</v>
      </c>
      <c r="N537">
        <v>146</v>
      </c>
      <c r="O537">
        <v>79.649000000000001</v>
      </c>
      <c r="P537">
        <v>-0.99693387700000002</v>
      </c>
      <c r="Q537">
        <v>13.335000000000001</v>
      </c>
    </row>
    <row r="538" spans="1:17" s="30" customFormat="1" x14ac:dyDescent="0.2">
      <c r="A538" s="30" t="str">
        <f>IF(C538&amp;G538&amp;D538&lt;&gt;'Funnel setup'!$K$3&amp;'Funnel setup'!$K$4&amp;'Funnel setup'!$K$5,".",IF(A537=".",1,A537+1))</f>
        <v>.</v>
      </c>
      <c r="B538" s="431" t="str">
        <f t="shared" si="8"/>
        <v>Groin HerniaProviderHINCHINGBROOKE HEALTH CARE NHS TRUST (RQQ)EQ VAS</v>
      </c>
      <c r="C538" t="s">
        <v>50</v>
      </c>
      <c r="D538" t="s">
        <v>1</v>
      </c>
      <c r="E538" t="s">
        <v>3894</v>
      </c>
      <c r="F538" t="s">
        <v>3895</v>
      </c>
      <c r="G538" t="s">
        <v>179</v>
      </c>
      <c r="H538">
        <v>93</v>
      </c>
      <c r="I538">
        <v>79.376000000000005</v>
      </c>
      <c r="J538">
        <v>80.891999999999996</v>
      </c>
      <c r="K538">
        <v>1.516</v>
      </c>
      <c r="L538">
        <v>46</v>
      </c>
      <c r="M538">
        <v>17</v>
      </c>
      <c r="N538">
        <v>30</v>
      </c>
      <c r="O538">
        <v>81.585999999999999</v>
      </c>
      <c r="P538">
        <v>0.94105781399999999</v>
      </c>
      <c r="Q538">
        <v>12.285</v>
      </c>
    </row>
    <row r="539" spans="1:17" s="30" customFormat="1" x14ac:dyDescent="0.2">
      <c r="A539" s="30" t="str">
        <f>IF(C539&amp;G539&amp;D539&lt;&gt;'Funnel setup'!$K$3&amp;'Funnel setup'!$K$4&amp;'Funnel setup'!$K$5,".",IF(A538=".",1,A538+1))</f>
        <v>.</v>
      </c>
      <c r="B539" s="431" t="str">
        <f t="shared" si="8"/>
        <v>Groin HerniaProviderHOMERTON UNIVERSITY HOSPITAL NHS FOUNDATION TRUST (RQX)EQ VAS</v>
      </c>
      <c r="C539" t="s">
        <v>50</v>
      </c>
      <c r="D539" t="s">
        <v>1</v>
      </c>
      <c r="E539" t="s">
        <v>3897</v>
      </c>
      <c r="F539" t="s">
        <v>3898</v>
      </c>
      <c r="G539" t="s">
        <v>179</v>
      </c>
      <c r="H539">
        <v>28</v>
      </c>
      <c r="I539">
        <v>76.820999999999998</v>
      </c>
      <c r="J539">
        <v>77.643000000000001</v>
      </c>
      <c r="K539">
        <v>0.82099999999999995</v>
      </c>
      <c r="L539">
        <v>10</v>
      </c>
      <c r="M539">
        <v>8</v>
      </c>
      <c r="N539">
        <v>10</v>
      </c>
      <c r="O539" t="s">
        <v>53</v>
      </c>
      <c r="P539" t="s">
        <v>53</v>
      </c>
      <c r="Q539" t="s">
        <v>53</v>
      </c>
    </row>
    <row r="540" spans="1:17" s="30" customFormat="1" x14ac:dyDescent="0.2">
      <c r="A540" s="30" t="str">
        <f>IF(C540&amp;G540&amp;D540&lt;&gt;'Funnel setup'!$K$3&amp;'Funnel setup'!$K$4&amp;'Funnel setup'!$K$5,".",IF(A539=".",1,A539+1))</f>
        <v>.</v>
      </c>
      <c r="B540" s="431" t="str">
        <f t="shared" si="8"/>
        <v>Groin HerniaProviderHULL AND EAST YORKSHIRE HOSPITALS NHS TRUST (RWA)EQ VAS</v>
      </c>
      <c r="C540" t="s">
        <v>50</v>
      </c>
      <c r="D540" t="s">
        <v>1</v>
      </c>
      <c r="E540" t="s">
        <v>3906</v>
      </c>
      <c r="F540" t="s">
        <v>3907</v>
      </c>
      <c r="G540" t="s">
        <v>179</v>
      </c>
      <c r="H540">
        <v>274</v>
      </c>
      <c r="I540">
        <v>78.646000000000001</v>
      </c>
      <c r="J540">
        <v>77.944999999999993</v>
      </c>
      <c r="K540">
        <v>-0.70099999999999996</v>
      </c>
      <c r="L540">
        <v>109</v>
      </c>
      <c r="M540">
        <v>60</v>
      </c>
      <c r="N540">
        <v>105</v>
      </c>
      <c r="O540">
        <v>79.328000000000003</v>
      </c>
      <c r="P540">
        <v>-1.3178364419999999</v>
      </c>
      <c r="Q540">
        <v>12.724</v>
      </c>
    </row>
    <row r="541" spans="1:17" s="30" customFormat="1" x14ac:dyDescent="0.2">
      <c r="A541" s="30" t="str">
        <f>IF(C541&amp;G541&amp;D541&lt;&gt;'Funnel setup'!$K$3&amp;'Funnel setup'!$K$4&amp;'Funnel setup'!$K$5,".",IF(A540=".",1,A540+1))</f>
        <v>.</v>
      </c>
      <c r="B541" s="431" t="str">
        <f t="shared" si="8"/>
        <v>Groin HerniaProviderIMPERIAL COLLEGE HEALTHCARE NHS TRUST (RYJ)EQ VAS</v>
      </c>
      <c r="C541" t="s">
        <v>50</v>
      </c>
      <c r="D541" t="s">
        <v>1</v>
      </c>
      <c r="E541" t="s">
        <v>4558</v>
      </c>
      <c r="F541" t="s">
        <v>4559</v>
      </c>
      <c r="G541" t="s">
        <v>179</v>
      </c>
      <c r="H541" t="s">
        <v>53</v>
      </c>
      <c r="I541" t="s">
        <v>53</v>
      </c>
      <c r="J541" t="s">
        <v>53</v>
      </c>
      <c r="K541" t="s">
        <v>53</v>
      </c>
      <c r="L541" t="s">
        <v>53</v>
      </c>
      <c r="M541" t="s">
        <v>53</v>
      </c>
      <c r="N541" t="s">
        <v>53</v>
      </c>
      <c r="O541" t="s">
        <v>53</v>
      </c>
      <c r="P541" t="s">
        <v>53</v>
      </c>
      <c r="Q541" t="s">
        <v>53</v>
      </c>
    </row>
    <row r="542" spans="1:17" s="30" customFormat="1" x14ac:dyDescent="0.2">
      <c r="A542" s="30" t="str">
        <f>IF(C542&amp;G542&amp;D542&lt;&gt;'Funnel setup'!$K$3&amp;'Funnel setup'!$K$4&amp;'Funnel setup'!$K$5,".",IF(A541=".",1,A541+1))</f>
        <v>.</v>
      </c>
      <c r="B542" s="431" t="str">
        <f t="shared" si="8"/>
        <v>Groin HerniaProviderIPSWICH HOSPITAL NHS TRUST (RGQ)EQ VAS</v>
      </c>
      <c r="C542" t="s">
        <v>50</v>
      </c>
      <c r="D542" t="s">
        <v>1</v>
      </c>
      <c r="E542" t="s">
        <v>3909</v>
      </c>
      <c r="F542" t="s">
        <v>3910</v>
      </c>
      <c r="G542" t="s">
        <v>179</v>
      </c>
      <c r="H542">
        <v>191</v>
      </c>
      <c r="I542">
        <v>78.308999999999997</v>
      </c>
      <c r="J542">
        <v>80.507999999999996</v>
      </c>
      <c r="K542">
        <v>2.1989999999999998</v>
      </c>
      <c r="L542">
        <v>86</v>
      </c>
      <c r="M542">
        <v>45</v>
      </c>
      <c r="N542">
        <v>60</v>
      </c>
      <c r="O542">
        <v>82.025000000000006</v>
      </c>
      <c r="P542">
        <v>1.379874579</v>
      </c>
      <c r="Q542">
        <v>12.662000000000001</v>
      </c>
    </row>
    <row r="543" spans="1:17" s="30" customFormat="1" x14ac:dyDescent="0.2">
      <c r="A543" s="30" t="str">
        <f>IF(C543&amp;G543&amp;D543&lt;&gt;'Funnel setup'!$K$3&amp;'Funnel setup'!$K$4&amp;'Funnel setup'!$K$5,".",IF(A542=".",1,A542+1))</f>
        <v>.</v>
      </c>
      <c r="B543" s="431" t="str">
        <f t="shared" si="8"/>
        <v>Groin HerniaProviderISLE OF WIGHT NHS TRUST (R1F)EQ VAS</v>
      </c>
      <c r="C543" t="s">
        <v>50</v>
      </c>
      <c r="D543" t="s">
        <v>1</v>
      </c>
      <c r="E543" t="s">
        <v>3912</v>
      </c>
      <c r="F543" t="s">
        <v>3913</v>
      </c>
      <c r="G543" t="s">
        <v>179</v>
      </c>
      <c r="H543">
        <v>45</v>
      </c>
      <c r="I543">
        <v>79.867000000000004</v>
      </c>
      <c r="J543">
        <v>76.622</v>
      </c>
      <c r="K543">
        <v>-3.2440000000000002</v>
      </c>
      <c r="L543">
        <v>15</v>
      </c>
      <c r="M543">
        <v>11</v>
      </c>
      <c r="N543">
        <v>19</v>
      </c>
      <c r="O543">
        <v>78.840999999999994</v>
      </c>
      <c r="P543">
        <v>-1.8047165489999999</v>
      </c>
      <c r="Q543">
        <v>12.699</v>
      </c>
    </row>
    <row r="544" spans="1:17" s="30" customFormat="1" x14ac:dyDescent="0.2">
      <c r="A544" s="30" t="str">
        <f>IF(C544&amp;G544&amp;D544&lt;&gt;'Funnel setup'!$K$3&amp;'Funnel setup'!$K$4&amp;'Funnel setup'!$K$5,".",IF(A543=".",1,A543+1))</f>
        <v>.</v>
      </c>
      <c r="B544" s="431" t="str">
        <f t="shared" si="8"/>
        <v>Groin HerniaProviderJAMES PAGET UNIVERSITY HOSPITALS NHS FOUNDATION TRUST (RGP)EQ VAS</v>
      </c>
      <c r="C544" t="s">
        <v>50</v>
      </c>
      <c r="D544" t="s">
        <v>1</v>
      </c>
      <c r="E544" t="s">
        <v>3915</v>
      </c>
      <c r="F544" t="s">
        <v>3916</v>
      </c>
      <c r="G544" t="s">
        <v>179</v>
      </c>
      <c r="H544">
        <v>96</v>
      </c>
      <c r="I544">
        <v>78.864999999999995</v>
      </c>
      <c r="J544">
        <v>77.917000000000002</v>
      </c>
      <c r="K544">
        <v>-0.94799999999999995</v>
      </c>
      <c r="L544">
        <v>35</v>
      </c>
      <c r="M544">
        <v>17</v>
      </c>
      <c r="N544">
        <v>44</v>
      </c>
      <c r="O544">
        <v>78.537000000000006</v>
      </c>
      <c r="P544">
        <v>-2.1087438719999998</v>
      </c>
      <c r="Q544">
        <v>12.51</v>
      </c>
    </row>
    <row r="545" spans="1:17" s="30" customFormat="1" x14ac:dyDescent="0.2">
      <c r="A545" s="30" t="str">
        <f>IF(C545&amp;G545&amp;D545&lt;&gt;'Funnel setup'!$K$3&amp;'Funnel setup'!$K$4&amp;'Funnel setup'!$K$5,".",IF(A544=".",1,A544+1))</f>
        <v>.</v>
      </c>
      <c r="B545" s="431" t="str">
        <f t="shared" si="8"/>
        <v>Groin HerniaProviderKETTERING GENERAL HOSPITAL NHS FOUNDATION TRUST (RNQ)EQ VAS</v>
      </c>
      <c r="C545" t="s">
        <v>50</v>
      </c>
      <c r="D545" t="s">
        <v>1</v>
      </c>
      <c r="E545" t="s">
        <v>3918</v>
      </c>
      <c r="F545" t="s">
        <v>3919</v>
      </c>
      <c r="G545" t="s">
        <v>179</v>
      </c>
      <c r="H545">
        <v>45</v>
      </c>
      <c r="I545">
        <v>80.311000000000007</v>
      </c>
      <c r="J545">
        <v>76.466999999999999</v>
      </c>
      <c r="K545">
        <v>-3.8439999999999999</v>
      </c>
      <c r="L545">
        <v>16</v>
      </c>
      <c r="M545">
        <v>8</v>
      </c>
      <c r="N545">
        <v>21</v>
      </c>
      <c r="O545">
        <v>76.989999999999995</v>
      </c>
      <c r="P545">
        <v>-3.6553782400000001</v>
      </c>
      <c r="Q545">
        <v>14.282</v>
      </c>
    </row>
    <row r="546" spans="1:17" s="30" customFormat="1" x14ac:dyDescent="0.2">
      <c r="A546" s="30" t="str">
        <f>IF(C546&amp;G546&amp;D546&lt;&gt;'Funnel setup'!$K$3&amp;'Funnel setup'!$K$4&amp;'Funnel setup'!$K$5,".",IF(A545=".",1,A545+1))</f>
        <v>.</v>
      </c>
      <c r="B546" s="431" t="str">
        <f t="shared" si="8"/>
        <v>Groin HerniaProviderKING'S COLLEGE HOSPITAL NHS FOUNDATION TRUST (RJZ)EQ VAS</v>
      </c>
      <c r="C546" t="s">
        <v>50</v>
      </c>
      <c r="D546" t="s">
        <v>1</v>
      </c>
      <c r="E546" t="s">
        <v>3924</v>
      </c>
      <c r="F546" t="s">
        <v>3925</v>
      </c>
      <c r="G546" t="s">
        <v>179</v>
      </c>
      <c r="H546">
        <v>46</v>
      </c>
      <c r="I546">
        <v>79.847999999999999</v>
      </c>
      <c r="J546">
        <v>77.043000000000006</v>
      </c>
      <c r="K546">
        <v>-2.8039999999999998</v>
      </c>
      <c r="L546">
        <v>12</v>
      </c>
      <c r="M546">
        <v>13</v>
      </c>
      <c r="N546">
        <v>21</v>
      </c>
      <c r="O546">
        <v>79.736000000000004</v>
      </c>
      <c r="P546">
        <v>-0.90904310700000002</v>
      </c>
      <c r="Q546">
        <v>10.252000000000001</v>
      </c>
    </row>
    <row r="547" spans="1:17" s="30" customFormat="1" x14ac:dyDescent="0.2">
      <c r="A547" s="30" t="str">
        <f>IF(C547&amp;G547&amp;D547&lt;&gt;'Funnel setup'!$K$3&amp;'Funnel setup'!$K$4&amp;'Funnel setup'!$K$5,".",IF(A546=".",1,A546+1))</f>
        <v>.</v>
      </c>
      <c r="B547" s="431" t="str">
        <f t="shared" si="8"/>
        <v>Groin HerniaProviderLANCASHIRE TEACHING HOSPITALS NHS FOUNDATION TRUST (RXN)EQ VAS</v>
      </c>
      <c r="C547" t="s">
        <v>50</v>
      </c>
      <c r="D547" t="s">
        <v>1</v>
      </c>
      <c r="E547" t="s">
        <v>3567</v>
      </c>
      <c r="F547" t="s">
        <v>3568</v>
      </c>
      <c r="G547" t="s">
        <v>179</v>
      </c>
      <c r="H547">
        <v>55</v>
      </c>
      <c r="I547">
        <v>76.873000000000005</v>
      </c>
      <c r="J547">
        <v>78.2</v>
      </c>
      <c r="K547">
        <v>1.327</v>
      </c>
      <c r="L547">
        <v>24</v>
      </c>
      <c r="M547">
        <v>8</v>
      </c>
      <c r="N547">
        <v>23</v>
      </c>
      <c r="O547">
        <v>81.801000000000002</v>
      </c>
      <c r="P547">
        <v>1.155767566</v>
      </c>
      <c r="Q547">
        <v>13.286</v>
      </c>
    </row>
    <row r="548" spans="1:17" s="30" customFormat="1" x14ac:dyDescent="0.2">
      <c r="A548" s="30" t="str">
        <f>IF(C548&amp;G548&amp;D548&lt;&gt;'Funnel setup'!$K$3&amp;'Funnel setup'!$K$4&amp;'Funnel setup'!$K$5,".",IF(A547=".",1,A547+1))</f>
        <v>.</v>
      </c>
      <c r="B548" s="431" t="str">
        <f t="shared" si="8"/>
        <v>Groin HerniaProviderLEEDS TEACHING HOSPITALS NHS TRUST (RR8)EQ VAS</v>
      </c>
      <c r="C548" t="s">
        <v>50</v>
      </c>
      <c r="D548" t="s">
        <v>1</v>
      </c>
      <c r="E548" t="s">
        <v>3930</v>
      </c>
      <c r="F548" t="s">
        <v>344</v>
      </c>
      <c r="G548" t="s">
        <v>179</v>
      </c>
      <c r="H548">
        <v>95</v>
      </c>
      <c r="I548">
        <v>78.126000000000005</v>
      </c>
      <c r="J548">
        <v>80.010999999999996</v>
      </c>
      <c r="K548">
        <v>1.8839999999999999</v>
      </c>
      <c r="L548">
        <v>44</v>
      </c>
      <c r="M548">
        <v>16</v>
      </c>
      <c r="N548">
        <v>35</v>
      </c>
      <c r="O548">
        <v>81.013999999999996</v>
      </c>
      <c r="P548">
        <v>0.36868990899999998</v>
      </c>
      <c r="Q548">
        <v>10.006</v>
      </c>
    </row>
    <row r="549" spans="1:17" s="30" customFormat="1" x14ac:dyDescent="0.2">
      <c r="A549" s="30" t="str">
        <f>IF(C549&amp;G549&amp;D549&lt;&gt;'Funnel setup'!$K$3&amp;'Funnel setup'!$K$4&amp;'Funnel setup'!$K$5,".",IF(A548=".",1,A548+1))</f>
        <v>.</v>
      </c>
      <c r="B549" s="431" t="str">
        <f t="shared" si="8"/>
        <v>Groin HerniaProviderLEWISHAM AND GREENWICH NHS TRUST (RJ2)EQ VAS</v>
      </c>
      <c r="C549" t="s">
        <v>50</v>
      </c>
      <c r="D549" t="s">
        <v>1</v>
      </c>
      <c r="E549" t="s">
        <v>3522</v>
      </c>
      <c r="F549" t="s">
        <v>3523</v>
      </c>
      <c r="G549" t="s">
        <v>179</v>
      </c>
      <c r="H549">
        <v>156</v>
      </c>
      <c r="I549">
        <v>77.808000000000007</v>
      </c>
      <c r="J549">
        <v>77.173000000000002</v>
      </c>
      <c r="K549">
        <v>-0.63500000000000001</v>
      </c>
      <c r="L549">
        <v>59</v>
      </c>
      <c r="M549">
        <v>22</v>
      </c>
      <c r="N549">
        <v>75</v>
      </c>
      <c r="O549">
        <v>79.194000000000003</v>
      </c>
      <c r="P549">
        <v>-1.4515736530000001</v>
      </c>
      <c r="Q549">
        <v>12.802</v>
      </c>
    </row>
    <row r="550" spans="1:17" s="30" customFormat="1" x14ac:dyDescent="0.2">
      <c r="A550" s="30" t="str">
        <f>IF(C550&amp;G550&amp;D550&lt;&gt;'Funnel setup'!$K$3&amp;'Funnel setup'!$K$4&amp;'Funnel setup'!$K$5,".",IF(A549=".",1,A549+1))</f>
        <v>.</v>
      </c>
      <c r="B550" s="431" t="str">
        <f t="shared" si="8"/>
        <v>Groin HerniaProviderLONDON NORTH WEST HEALTHCARE NHS TRUST (R1K)EQ VAS</v>
      </c>
      <c r="C550" t="s">
        <v>50</v>
      </c>
      <c r="D550" t="s">
        <v>1</v>
      </c>
      <c r="E550" t="s">
        <v>6515</v>
      </c>
      <c r="F550" t="s">
        <v>6516</v>
      </c>
      <c r="G550" t="s">
        <v>179</v>
      </c>
      <c r="H550">
        <v>84</v>
      </c>
      <c r="I550">
        <v>77.975999999999999</v>
      </c>
      <c r="J550">
        <v>75.881</v>
      </c>
      <c r="K550">
        <v>-2.0950000000000002</v>
      </c>
      <c r="L550">
        <v>31</v>
      </c>
      <c r="M550">
        <v>18</v>
      </c>
      <c r="N550">
        <v>35</v>
      </c>
      <c r="O550">
        <v>78.938999999999993</v>
      </c>
      <c r="P550">
        <v>-1.706226754</v>
      </c>
      <c r="Q550">
        <v>12.464</v>
      </c>
    </row>
    <row r="551" spans="1:17" s="30" customFormat="1" x14ac:dyDescent="0.2">
      <c r="A551" s="30" t="str">
        <f>IF(C551&amp;G551&amp;D551&lt;&gt;'Funnel setup'!$K$3&amp;'Funnel setup'!$K$4&amp;'Funnel setup'!$K$5,".",IF(A550=".",1,A550+1))</f>
        <v>.</v>
      </c>
      <c r="B551" s="431" t="str">
        <f t="shared" si="8"/>
        <v>Groin HerniaProviderLUTON AND DUNSTABLE UNIVERSITY HOSPITAL NHS FOUNDATION TRUST (RC9)EQ VAS</v>
      </c>
      <c r="C551" t="s">
        <v>50</v>
      </c>
      <c r="D551" t="s">
        <v>1</v>
      </c>
      <c r="E551" t="s">
        <v>3528</v>
      </c>
      <c r="F551" t="s">
        <v>3529</v>
      </c>
      <c r="G551" t="s">
        <v>179</v>
      </c>
      <c r="H551">
        <v>127</v>
      </c>
      <c r="I551">
        <v>78.117999999999995</v>
      </c>
      <c r="J551">
        <v>79.307000000000002</v>
      </c>
      <c r="K551">
        <v>1.1890000000000001</v>
      </c>
      <c r="L551">
        <v>58</v>
      </c>
      <c r="M551">
        <v>19</v>
      </c>
      <c r="N551">
        <v>50</v>
      </c>
      <c r="O551">
        <v>81.02</v>
      </c>
      <c r="P551">
        <v>0.37410727100000002</v>
      </c>
      <c r="Q551">
        <v>13.14</v>
      </c>
    </row>
    <row r="552" spans="1:17" s="30" customFormat="1" x14ac:dyDescent="0.2">
      <c r="A552" s="30" t="str">
        <f>IF(C552&amp;G552&amp;D552&lt;&gt;'Funnel setup'!$K$3&amp;'Funnel setup'!$K$4&amp;'Funnel setup'!$K$5,".",IF(A551=".",1,A551+1))</f>
        <v>.</v>
      </c>
      <c r="B552" s="431" t="str">
        <f t="shared" si="8"/>
        <v>Groin HerniaProviderMAIDSTONE AND TUNBRIDGE WELLS NHS TRUST (RWF)EQ VAS</v>
      </c>
      <c r="C552" t="s">
        <v>50</v>
      </c>
      <c r="D552" t="s">
        <v>1</v>
      </c>
      <c r="E552" t="s">
        <v>3627</v>
      </c>
      <c r="F552" t="s">
        <v>3628</v>
      </c>
      <c r="G552" t="s">
        <v>179</v>
      </c>
      <c r="H552">
        <v>113</v>
      </c>
      <c r="I552">
        <v>82.203999999999994</v>
      </c>
      <c r="J552">
        <v>80.698999999999998</v>
      </c>
      <c r="K552">
        <v>-1.504</v>
      </c>
      <c r="L552">
        <v>47</v>
      </c>
      <c r="M552">
        <v>17</v>
      </c>
      <c r="N552">
        <v>49</v>
      </c>
      <c r="O552">
        <v>79.968000000000004</v>
      </c>
      <c r="P552">
        <v>-0.67723670199999997</v>
      </c>
      <c r="Q552">
        <v>13.515000000000001</v>
      </c>
    </row>
    <row r="553" spans="1:17" s="30" customFormat="1" x14ac:dyDescent="0.2">
      <c r="A553" s="30" t="str">
        <f>IF(C553&amp;G553&amp;D553&lt;&gt;'Funnel setup'!$K$3&amp;'Funnel setup'!$K$4&amp;'Funnel setup'!$K$5,".",IF(A552=".",1,A552+1))</f>
        <v>.</v>
      </c>
      <c r="B553" s="431" t="str">
        <f t="shared" si="8"/>
        <v>Groin HerniaProviderMEDWAY NHS FOUNDATION TRUST (RPA)EQ VAS</v>
      </c>
      <c r="C553" t="s">
        <v>50</v>
      </c>
      <c r="D553" t="s">
        <v>1</v>
      </c>
      <c r="E553" t="s">
        <v>3630</v>
      </c>
      <c r="F553" t="s">
        <v>3631</v>
      </c>
      <c r="G553" t="s">
        <v>179</v>
      </c>
      <c r="H553">
        <v>46</v>
      </c>
      <c r="I553">
        <v>77.912999999999997</v>
      </c>
      <c r="J553">
        <v>80.564999999999998</v>
      </c>
      <c r="K553">
        <v>2.6520000000000001</v>
      </c>
      <c r="L553">
        <v>24</v>
      </c>
      <c r="M553">
        <v>8</v>
      </c>
      <c r="N553">
        <v>14</v>
      </c>
      <c r="O553">
        <v>83.680999999999997</v>
      </c>
      <c r="P553">
        <v>3.0358614610000001</v>
      </c>
      <c r="Q553">
        <v>13.923</v>
      </c>
    </row>
    <row r="554" spans="1:17" s="30" customFormat="1" x14ac:dyDescent="0.2">
      <c r="A554" s="30" t="str">
        <f>IF(C554&amp;G554&amp;D554&lt;&gt;'Funnel setup'!$K$3&amp;'Funnel setup'!$K$4&amp;'Funnel setup'!$K$5,".",IF(A553=".",1,A553+1))</f>
        <v>.</v>
      </c>
      <c r="B554" s="431" t="str">
        <f t="shared" si="8"/>
        <v>Groin HerniaProviderMID CHESHIRE HOSPITALS NHS FOUNDATION TRUST (RBT)EQ VAS</v>
      </c>
      <c r="C554" t="s">
        <v>50</v>
      </c>
      <c r="D554" t="s">
        <v>1</v>
      </c>
      <c r="E554" t="s">
        <v>3633</v>
      </c>
      <c r="F554" t="s">
        <v>342</v>
      </c>
      <c r="G554" t="s">
        <v>179</v>
      </c>
      <c r="H554">
        <v>167</v>
      </c>
      <c r="I554">
        <v>80.400999999999996</v>
      </c>
      <c r="J554">
        <v>80.796000000000006</v>
      </c>
      <c r="K554">
        <v>0.39500000000000002</v>
      </c>
      <c r="L554">
        <v>61</v>
      </c>
      <c r="M554">
        <v>39</v>
      </c>
      <c r="N554">
        <v>67</v>
      </c>
      <c r="O554">
        <v>80.343000000000004</v>
      </c>
      <c r="P554">
        <v>-0.302235594</v>
      </c>
      <c r="Q554">
        <v>12.253</v>
      </c>
    </row>
    <row r="555" spans="1:17" s="30" customFormat="1" x14ac:dyDescent="0.2">
      <c r="A555" s="30" t="str">
        <f>IF(C555&amp;G555&amp;D555&lt;&gt;'Funnel setup'!$K$3&amp;'Funnel setup'!$K$4&amp;'Funnel setup'!$K$5,".",IF(A554=".",1,A554+1))</f>
        <v>.</v>
      </c>
      <c r="B555" s="431" t="str">
        <f t="shared" si="8"/>
        <v>Groin HerniaProviderMID ESSEX HOSPITAL SERVICES NHS TRUST (RQ8)EQ VAS</v>
      </c>
      <c r="C555" t="s">
        <v>50</v>
      </c>
      <c r="D555" t="s">
        <v>1</v>
      </c>
      <c r="E555" t="s">
        <v>3635</v>
      </c>
      <c r="F555" t="s">
        <v>3636</v>
      </c>
      <c r="G555" t="s">
        <v>179</v>
      </c>
      <c r="H555">
        <v>57</v>
      </c>
      <c r="I555">
        <v>75.367999999999995</v>
      </c>
      <c r="J555">
        <v>79.034999999999997</v>
      </c>
      <c r="K555">
        <v>3.6669999999999998</v>
      </c>
      <c r="L555">
        <v>23</v>
      </c>
      <c r="M555">
        <v>15</v>
      </c>
      <c r="N555">
        <v>19</v>
      </c>
      <c r="O555">
        <v>81.781000000000006</v>
      </c>
      <c r="P555">
        <v>1.1359129569999999</v>
      </c>
      <c r="Q555">
        <v>11.092000000000001</v>
      </c>
    </row>
    <row r="556" spans="1:17" s="30" customFormat="1" x14ac:dyDescent="0.2">
      <c r="A556" s="30" t="str">
        <f>IF(C556&amp;G556&amp;D556&lt;&gt;'Funnel setup'!$K$3&amp;'Funnel setup'!$K$4&amp;'Funnel setup'!$K$5,".",IF(A555=".",1,A555+1))</f>
        <v>.</v>
      </c>
      <c r="B556" s="431" t="str">
        <f t="shared" si="8"/>
        <v>Groin HerniaProviderMID STAFFORDSHIRE NHS FOUNDATION TRUST (RJD)EQ VAS</v>
      </c>
      <c r="C556" t="s">
        <v>50</v>
      </c>
      <c r="D556" t="s">
        <v>1</v>
      </c>
      <c r="E556" t="s">
        <v>3638</v>
      </c>
      <c r="F556" t="s">
        <v>3639</v>
      </c>
      <c r="G556" t="s">
        <v>179</v>
      </c>
      <c r="H556">
        <v>92</v>
      </c>
      <c r="I556">
        <v>82.283000000000001</v>
      </c>
      <c r="J556">
        <v>80.554000000000002</v>
      </c>
      <c r="K556">
        <v>-1.728</v>
      </c>
      <c r="L556">
        <v>29</v>
      </c>
      <c r="M556">
        <v>26</v>
      </c>
      <c r="N556">
        <v>37</v>
      </c>
      <c r="O556">
        <v>79.572000000000003</v>
      </c>
      <c r="P556">
        <v>-1.07347667</v>
      </c>
      <c r="Q556">
        <v>11.6</v>
      </c>
    </row>
    <row r="557" spans="1:17" s="30" customFormat="1" x14ac:dyDescent="0.2">
      <c r="A557" s="30" t="str">
        <f>IF(C557&amp;G557&amp;D557&lt;&gt;'Funnel setup'!$K$3&amp;'Funnel setup'!$K$4&amp;'Funnel setup'!$K$5,".",IF(A556=".",1,A556+1))</f>
        <v>.</v>
      </c>
      <c r="B557" s="431" t="str">
        <f t="shared" si="8"/>
        <v>Groin HerniaProviderMID YORKSHIRE HOSPITALS NHS TRUST (RXF)EQ VAS</v>
      </c>
      <c r="C557" t="s">
        <v>50</v>
      </c>
      <c r="D557" t="s">
        <v>1</v>
      </c>
      <c r="E557" t="s">
        <v>3641</v>
      </c>
      <c r="F557" t="s">
        <v>3642</v>
      </c>
      <c r="G557" t="s">
        <v>179</v>
      </c>
      <c r="H557">
        <v>161</v>
      </c>
      <c r="I557">
        <v>82.204999999999998</v>
      </c>
      <c r="J557">
        <v>78.415999999999997</v>
      </c>
      <c r="K557">
        <v>-3.7890000000000001</v>
      </c>
      <c r="L557">
        <v>48</v>
      </c>
      <c r="M557">
        <v>30</v>
      </c>
      <c r="N557">
        <v>83</v>
      </c>
      <c r="O557">
        <v>78.302999999999997</v>
      </c>
      <c r="P557">
        <v>-2.3422874450000002</v>
      </c>
      <c r="Q557">
        <v>13.744999999999999</v>
      </c>
    </row>
    <row r="558" spans="1:17" s="30" customFormat="1" x14ac:dyDescent="0.2">
      <c r="A558" s="30" t="str">
        <f>IF(C558&amp;G558&amp;D558&lt;&gt;'Funnel setup'!$K$3&amp;'Funnel setup'!$K$4&amp;'Funnel setup'!$K$5,".",IF(A557=".",1,A557+1))</f>
        <v>.</v>
      </c>
      <c r="B558" s="431" t="str">
        <f t="shared" si="8"/>
        <v>Groin HerniaProviderMILTON KEYNES UNIVERSITY HOSPITAL NHS FOUNDATION TRUST (RD8)EQ VAS</v>
      </c>
      <c r="C558" t="s">
        <v>50</v>
      </c>
      <c r="D558" t="s">
        <v>1</v>
      </c>
      <c r="E558" t="s">
        <v>3643</v>
      </c>
      <c r="F558" t="s">
        <v>6580</v>
      </c>
      <c r="G558" t="s">
        <v>179</v>
      </c>
      <c r="H558">
        <v>56</v>
      </c>
      <c r="I558">
        <v>79.75</v>
      </c>
      <c r="J558">
        <v>77.588999999999999</v>
      </c>
      <c r="K558">
        <v>-2.161</v>
      </c>
      <c r="L558">
        <v>23</v>
      </c>
      <c r="M558">
        <v>9</v>
      </c>
      <c r="N558">
        <v>24</v>
      </c>
      <c r="O558">
        <v>78.41</v>
      </c>
      <c r="P558">
        <v>-2.2350775459999999</v>
      </c>
      <c r="Q558">
        <v>11.981</v>
      </c>
    </row>
    <row r="559" spans="1:17" s="30" customFormat="1" x14ac:dyDescent="0.2">
      <c r="A559" s="30" t="str">
        <f>IF(C559&amp;G559&amp;D559&lt;&gt;'Funnel setup'!$K$3&amp;'Funnel setup'!$K$4&amp;'Funnel setup'!$K$5,".",IF(A558=".",1,A558+1))</f>
        <v>.</v>
      </c>
      <c r="B559" s="431" t="str">
        <f t="shared" si="8"/>
        <v>Groin HerniaProviderMOUNT STUART HOSPITAL (NVC08)EQ VAS</v>
      </c>
      <c r="C559" t="s">
        <v>50</v>
      </c>
      <c r="D559" t="s">
        <v>1</v>
      </c>
      <c r="E559" t="s">
        <v>3645</v>
      </c>
      <c r="F559" t="s">
        <v>3646</v>
      </c>
      <c r="G559" t="s">
        <v>179</v>
      </c>
      <c r="H559">
        <v>122</v>
      </c>
      <c r="I559">
        <v>84.721000000000004</v>
      </c>
      <c r="J559">
        <v>82.09</v>
      </c>
      <c r="K559">
        <v>-2.6309999999999998</v>
      </c>
      <c r="L559">
        <v>35</v>
      </c>
      <c r="M559">
        <v>28</v>
      </c>
      <c r="N559">
        <v>59</v>
      </c>
      <c r="O559">
        <v>78.637</v>
      </c>
      <c r="P559">
        <v>-2.0085322419999998</v>
      </c>
      <c r="Q559">
        <v>13.926</v>
      </c>
    </row>
    <row r="560" spans="1:17" s="30" customFormat="1" x14ac:dyDescent="0.2">
      <c r="A560" s="30" t="str">
        <f>IF(C560&amp;G560&amp;D560&lt;&gt;'Funnel setup'!$K$3&amp;'Funnel setup'!$K$4&amp;'Funnel setup'!$K$5,".",IF(A559=".",1,A559+1))</f>
        <v>.</v>
      </c>
      <c r="B560" s="431" t="str">
        <f t="shared" si="8"/>
        <v>Groin HerniaProviderNEW HALL HOSPITAL (NVC09)EQ VAS</v>
      </c>
      <c r="C560" t="s">
        <v>50</v>
      </c>
      <c r="D560" t="s">
        <v>1</v>
      </c>
      <c r="E560" t="s">
        <v>3648</v>
      </c>
      <c r="F560" t="s">
        <v>3649</v>
      </c>
      <c r="G560" t="s">
        <v>179</v>
      </c>
      <c r="H560">
        <v>14</v>
      </c>
      <c r="I560">
        <v>81</v>
      </c>
      <c r="J560">
        <v>83.213999999999999</v>
      </c>
      <c r="K560">
        <v>2.214</v>
      </c>
      <c r="L560">
        <v>7</v>
      </c>
      <c r="M560">
        <v>3</v>
      </c>
      <c r="N560">
        <v>4</v>
      </c>
      <c r="O560" t="s">
        <v>53</v>
      </c>
      <c r="P560" t="s">
        <v>53</v>
      </c>
      <c r="Q560" t="s">
        <v>53</v>
      </c>
    </row>
    <row r="561" spans="1:17" s="30" customFormat="1" x14ac:dyDescent="0.2">
      <c r="A561" s="30" t="str">
        <f>IF(C561&amp;G561&amp;D561&lt;&gt;'Funnel setup'!$K$3&amp;'Funnel setup'!$K$4&amp;'Funnel setup'!$K$5,".",IF(A560=".",1,A560+1))</f>
        <v>.</v>
      </c>
      <c r="B561" s="431" t="str">
        <f t="shared" si="8"/>
        <v>Groin HerniaProviderNORFOLK AND NORWICH UNIVERSITY HOSPITALS NHS FOUNDATION TRUST (RM1)EQ VAS</v>
      </c>
      <c r="C561" t="s">
        <v>50</v>
      </c>
      <c r="D561" t="s">
        <v>1</v>
      </c>
      <c r="E561" t="s">
        <v>3651</v>
      </c>
      <c r="F561" t="s">
        <v>3652</v>
      </c>
      <c r="G561" t="s">
        <v>179</v>
      </c>
      <c r="H561">
        <v>371</v>
      </c>
      <c r="I561">
        <v>79.706000000000003</v>
      </c>
      <c r="J561">
        <v>81.784000000000006</v>
      </c>
      <c r="K561">
        <v>2.0779999999999998</v>
      </c>
      <c r="L561">
        <v>159</v>
      </c>
      <c r="M561">
        <v>81</v>
      </c>
      <c r="N561">
        <v>131</v>
      </c>
      <c r="O561">
        <v>81.66</v>
      </c>
      <c r="P561">
        <v>1.0144084390000001</v>
      </c>
      <c r="Q561">
        <v>10.427</v>
      </c>
    </row>
    <row r="562" spans="1:17" s="30" customFormat="1" x14ac:dyDescent="0.2">
      <c r="A562" s="30" t="str">
        <f>IF(C562&amp;G562&amp;D562&lt;&gt;'Funnel setup'!$K$3&amp;'Funnel setup'!$K$4&amp;'Funnel setup'!$K$5,".",IF(A561=".",1,A561+1))</f>
        <v>.</v>
      </c>
      <c r="B562" s="431" t="str">
        <f t="shared" si="8"/>
        <v>Groin HerniaProviderNORTH BRISTOL NHS TRUST (RVJ)EQ VAS</v>
      </c>
      <c r="C562" t="s">
        <v>50</v>
      </c>
      <c r="D562" t="s">
        <v>1</v>
      </c>
      <c r="E562" t="s">
        <v>3654</v>
      </c>
      <c r="F562" t="s">
        <v>3655</v>
      </c>
      <c r="G562" t="s">
        <v>179</v>
      </c>
      <c r="H562">
        <v>9</v>
      </c>
      <c r="I562">
        <v>84.221999999999994</v>
      </c>
      <c r="J562">
        <v>84.444000000000003</v>
      </c>
      <c r="K562">
        <v>0.222</v>
      </c>
      <c r="L562">
        <v>4</v>
      </c>
      <c r="M562">
        <v>2</v>
      </c>
      <c r="N562">
        <v>3</v>
      </c>
      <c r="O562" t="s">
        <v>53</v>
      </c>
      <c r="P562" t="s">
        <v>53</v>
      </c>
      <c r="Q562" t="s">
        <v>53</v>
      </c>
    </row>
    <row r="563" spans="1:17" s="30" customFormat="1" x14ac:dyDescent="0.2">
      <c r="A563" s="30" t="str">
        <f>IF(C563&amp;G563&amp;D563&lt;&gt;'Funnel setup'!$K$3&amp;'Funnel setup'!$K$4&amp;'Funnel setup'!$K$5,".",IF(A562=".",1,A562+1))</f>
        <v>.</v>
      </c>
      <c r="B563" s="431" t="str">
        <f t="shared" si="8"/>
        <v>Groin HerniaProviderNORTH CUMBRIA UNIVERSITY HOSPITALS NHS TRUST (RNL)EQ VAS</v>
      </c>
      <c r="C563" t="s">
        <v>50</v>
      </c>
      <c r="D563" t="s">
        <v>1</v>
      </c>
      <c r="E563" t="s">
        <v>3657</v>
      </c>
      <c r="F563" t="s">
        <v>3658</v>
      </c>
      <c r="G563" t="s">
        <v>179</v>
      </c>
      <c r="H563">
        <v>85</v>
      </c>
      <c r="I563">
        <v>81.846999999999994</v>
      </c>
      <c r="J563">
        <v>76.400000000000006</v>
      </c>
      <c r="K563">
        <v>-5.4470000000000001</v>
      </c>
      <c r="L563">
        <v>26</v>
      </c>
      <c r="M563">
        <v>11</v>
      </c>
      <c r="N563">
        <v>48</v>
      </c>
      <c r="O563">
        <v>76.396000000000001</v>
      </c>
      <c r="P563">
        <v>-4.2498862969999998</v>
      </c>
      <c r="Q563">
        <v>16.818999999999999</v>
      </c>
    </row>
    <row r="564" spans="1:17" s="30" customFormat="1" x14ac:dyDescent="0.2">
      <c r="A564" s="30" t="str">
        <f>IF(C564&amp;G564&amp;D564&lt;&gt;'Funnel setup'!$K$3&amp;'Funnel setup'!$K$4&amp;'Funnel setup'!$K$5,".",IF(A563=".",1,A563+1))</f>
        <v>.</v>
      </c>
      <c r="B564" s="431" t="str">
        <f t="shared" si="8"/>
        <v>Groin HerniaProviderNORTH DOWNS HOSPITAL (NVC11)EQ VAS</v>
      </c>
      <c r="C564" t="s">
        <v>50</v>
      </c>
      <c r="D564" t="s">
        <v>1</v>
      </c>
      <c r="E564" t="s">
        <v>3660</v>
      </c>
      <c r="F564" t="s">
        <v>3661</v>
      </c>
      <c r="G564" t="s">
        <v>179</v>
      </c>
      <c r="H564">
        <v>32</v>
      </c>
      <c r="I564">
        <v>85.188000000000002</v>
      </c>
      <c r="J564">
        <v>85.218999999999994</v>
      </c>
      <c r="K564">
        <v>3.1E-2</v>
      </c>
      <c r="L564">
        <v>11</v>
      </c>
      <c r="M564">
        <v>7</v>
      </c>
      <c r="N564">
        <v>14</v>
      </c>
      <c r="O564">
        <v>81.001000000000005</v>
      </c>
      <c r="P564">
        <v>0.35530876700000003</v>
      </c>
      <c r="Q564">
        <v>11.456</v>
      </c>
    </row>
    <row r="565" spans="1:17" s="30" customFormat="1" x14ac:dyDescent="0.2">
      <c r="A565" s="30" t="str">
        <f>IF(C565&amp;G565&amp;D565&lt;&gt;'Funnel setup'!$K$3&amp;'Funnel setup'!$K$4&amp;'Funnel setup'!$K$5,".",IF(A564=".",1,A564+1))</f>
        <v>.</v>
      </c>
      <c r="B565" s="431" t="str">
        <f t="shared" si="8"/>
        <v>Groin HerniaProviderNORTH EAST LONDON TREATMENT CENTRE CARE UK (NTP15)EQ VAS</v>
      </c>
      <c r="C565" t="s">
        <v>50</v>
      </c>
      <c r="D565" t="s">
        <v>1</v>
      </c>
      <c r="E565" t="s">
        <v>3663</v>
      </c>
      <c r="F565" t="s">
        <v>3664</v>
      </c>
      <c r="G565" t="s">
        <v>179</v>
      </c>
      <c r="H565">
        <v>80</v>
      </c>
      <c r="I565">
        <v>81.3</v>
      </c>
      <c r="J565">
        <v>78.5</v>
      </c>
      <c r="K565">
        <v>-2.8</v>
      </c>
      <c r="L565">
        <v>23</v>
      </c>
      <c r="M565">
        <v>15</v>
      </c>
      <c r="N565">
        <v>42</v>
      </c>
      <c r="O565">
        <v>77.954999999999998</v>
      </c>
      <c r="P565">
        <v>-2.6904495939999999</v>
      </c>
      <c r="Q565">
        <v>12.272</v>
      </c>
    </row>
    <row r="566" spans="1:17" s="30" customFormat="1" x14ac:dyDescent="0.2">
      <c r="A566" s="30" t="str">
        <f>IF(C566&amp;G566&amp;D566&lt;&gt;'Funnel setup'!$K$3&amp;'Funnel setup'!$K$4&amp;'Funnel setup'!$K$5,".",IF(A565=".",1,A565+1))</f>
        <v>.</v>
      </c>
      <c r="B566" s="431" t="str">
        <f t="shared" si="8"/>
        <v>Groin HerniaProviderNORTH MIDDLESEX UNIVERSITY HOSPITAL NHS TRUST (RAP)EQ VAS</v>
      </c>
      <c r="C566" t="s">
        <v>50</v>
      </c>
      <c r="D566" t="s">
        <v>1</v>
      </c>
      <c r="E566" t="s">
        <v>3666</v>
      </c>
      <c r="F566" t="s">
        <v>3667</v>
      </c>
      <c r="G566" t="s">
        <v>179</v>
      </c>
      <c r="H566">
        <v>36</v>
      </c>
      <c r="I566">
        <v>74.832999999999998</v>
      </c>
      <c r="J566">
        <v>72.167000000000002</v>
      </c>
      <c r="K566">
        <v>-2.6669999999999998</v>
      </c>
      <c r="L566">
        <v>14</v>
      </c>
      <c r="M566">
        <v>5</v>
      </c>
      <c r="N566">
        <v>17</v>
      </c>
      <c r="O566">
        <v>76.323999999999998</v>
      </c>
      <c r="P566">
        <v>-4.3210023209999999</v>
      </c>
      <c r="Q566">
        <v>14.500999999999999</v>
      </c>
    </row>
    <row r="567" spans="1:17" s="30" customFormat="1" x14ac:dyDescent="0.2">
      <c r="A567" s="30" t="str">
        <f>IF(C567&amp;G567&amp;D567&lt;&gt;'Funnel setup'!$K$3&amp;'Funnel setup'!$K$4&amp;'Funnel setup'!$K$5,".",IF(A566=".",1,A566+1))</f>
        <v>.</v>
      </c>
      <c r="B567" s="431" t="str">
        <f t="shared" si="8"/>
        <v>Groin HerniaProviderNORTH TEES AND HARTLEPOOL NHS FOUNDATION TRUST (RVW)EQ VAS</v>
      </c>
      <c r="C567" t="s">
        <v>50</v>
      </c>
      <c r="D567" t="s">
        <v>1</v>
      </c>
      <c r="E567" t="s">
        <v>3669</v>
      </c>
      <c r="F567" t="s">
        <v>3670</v>
      </c>
      <c r="G567" t="s">
        <v>179</v>
      </c>
      <c r="H567">
        <v>108</v>
      </c>
      <c r="I567">
        <v>81.435000000000002</v>
      </c>
      <c r="J567">
        <v>76.88</v>
      </c>
      <c r="K567">
        <v>-4.556</v>
      </c>
      <c r="L567">
        <v>35</v>
      </c>
      <c r="M567">
        <v>11</v>
      </c>
      <c r="N567">
        <v>62</v>
      </c>
      <c r="O567">
        <v>77.709000000000003</v>
      </c>
      <c r="P567">
        <v>-2.9361934650000001</v>
      </c>
      <c r="Q567">
        <v>14.276</v>
      </c>
    </row>
    <row r="568" spans="1:17" s="30" customFormat="1" x14ac:dyDescent="0.2">
      <c r="A568" s="30" t="str">
        <f>IF(C568&amp;G568&amp;D568&lt;&gt;'Funnel setup'!$K$3&amp;'Funnel setup'!$K$4&amp;'Funnel setup'!$K$5,".",IF(A567=".",1,A567+1))</f>
        <v>.</v>
      </c>
      <c r="B568" s="431" t="str">
        <f t="shared" si="8"/>
        <v>Groin HerniaProviderNORTHAMPTON GENERAL HOSPITAL NHS TRUST (RNS)EQ VAS</v>
      </c>
      <c r="C568" t="s">
        <v>50</v>
      </c>
      <c r="D568" t="s">
        <v>1</v>
      </c>
      <c r="E568" t="s">
        <v>3675</v>
      </c>
      <c r="F568" t="s">
        <v>3676</v>
      </c>
      <c r="G568" t="s">
        <v>179</v>
      </c>
      <c r="H568">
        <v>85</v>
      </c>
      <c r="I568">
        <v>76.305999999999997</v>
      </c>
      <c r="J568">
        <v>81.388000000000005</v>
      </c>
      <c r="K568">
        <v>5.0819999999999999</v>
      </c>
      <c r="L568">
        <v>34</v>
      </c>
      <c r="M568">
        <v>22</v>
      </c>
      <c r="N568">
        <v>29</v>
      </c>
      <c r="O568">
        <v>83.903000000000006</v>
      </c>
      <c r="P568">
        <v>3.257268711</v>
      </c>
      <c r="Q568">
        <v>13.500999999999999</v>
      </c>
    </row>
    <row r="569" spans="1:17" s="30" customFormat="1" x14ac:dyDescent="0.2">
      <c r="A569" s="30" t="str">
        <f>IF(C569&amp;G569&amp;D569&lt;&gt;'Funnel setup'!$K$3&amp;'Funnel setup'!$K$4&amp;'Funnel setup'!$K$5,".",IF(A568=".",1,A568+1))</f>
        <v>.</v>
      </c>
      <c r="B569" s="431" t="str">
        <f t="shared" si="8"/>
        <v>Groin HerniaProviderNORTHERN DEVON HEALTHCARE NHS TRUST (RBZ)EQ VAS</v>
      </c>
      <c r="C569" t="s">
        <v>50</v>
      </c>
      <c r="D569" t="s">
        <v>1</v>
      </c>
      <c r="E569" t="s">
        <v>3678</v>
      </c>
      <c r="F569" t="s">
        <v>3679</v>
      </c>
      <c r="G569" t="s">
        <v>179</v>
      </c>
      <c r="H569">
        <v>162</v>
      </c>
      <c r="I569">
        <v>78.012</v>
      </c>
      <c r="J569">
        <v>79.894999999999996</v>
      </c>
      <c r="K569">
        <v>1.883</v>
      </c>
      <c r="L569">
        <v>69</v>
      </c>
      <c r="M569">
        <v>36</v>
      </c>
      <c r="N569">
        <v>57</v>
      </c>
      <c r="O569">
        <v>80.835999999999999</v>
      </c>
      <c r="P569">
        <v>0.190834648</v>
      </c>
      <c r="Q569">
        <v>10.849</v>
      </c>
    </row>
    <row r="570" spans="1:17" s="30" customFormat="1" x14ac:dyDescent="0.2">
      <c r="A570" s="30" t="str">
        <f>IF(C570&amp;G570&amp;D570&lt;&gt;'Funnel setup'!$K$3&amp;'Funnel setup'!$K$4&amp;'Funnel setup'!$K$5,".",IF(A569=".",1,A569+1))</f>
        <v>.</v>
      </c>
      <c r="B570" s="431" t="str">
        <f t="shared" si="8"/>
        <v>Groin HerniaProviderNORTHERN LINCOLNSHIRE AND GOOLE NHS FOUNDATION TRUST (RJL)EQ VAS</v>
      </c>
      <c r="C570" t="s">
        <v>50</v>
      </c>
      <c r="D570" t="s">
        <v>1</v>
      </c>
      <c r="E570" t="s">
        <v>3681</v>
      </c>
      <c r="F570" t="s">
        <v>3682</v>
      </c>
      <c r="G570" t="s">
        <v>179</v>
      </c>
      <c r="H570">
        <v>128</v>
      </c>
      <c r="I570">
        <v>77.444999999999993</v>
      </c>
      <c r="J570">
        <v>77.858999999999995</v>
      </c>
      <c r="K570">
        <v>0.41399999999999998</v>
      </c>
      <c r="L570">
        <v>49</v>
      </c>
      <c r="M570">
        <v>22</v>
      </c>
      <c r="N570">
        <v>57</v>
      </c>
      <c r="O570">
        <v>79.488</v>
      </c>
      <c r="P570">
        <v>-1.157617093</v>
      </c>
      <c r="Q570">
        <v>14.058999999999999</v>
      </c>
    </row>
    <row r="571" spans="1:17" s="30" customFormat="1" x14ac:dyDescent="0.2">
      <c r="A571" s="30" t="str">
        <f>IF(C571&amp;G571&amp;D571&lt;&gt;'Funnel setup'!$K$3&amp;'Funnel setup'!$K$4&amp;'Funnel setup'!$K$5,".",IF(A570=".",1,A570+1))</f>
        <v>.</v>
      </c>
      <c r="B571" s="431" t="str">
        <f t="shared" si="8"/>
        <v>Groin HerniaProviderNORTHUMBRIA HEALTHCARE NHS FOUNDATION TRUST (RTF)EQ VAS</v>
      </c>
      <c r="C571" t="s">
        <v>50</v>
      </c>
      <c r="D571" t="s">
        <v>1</v>
      </c>
      <c r="E571" t="s">
        <v>3684</v>
      </c>
      <c r="F571" t="s">
        <v>3685</v>
      </c>
      <c r="G571" t="s">
        <v>179</v>
      </c>
      <c r="H571">
        <v>306</v>
      </c>
      <c r="I571">
        <v>78.010000000000005</v>
      </c>
      <c r="J571">
        <v>78.34</v>
      </c>
      <c r="K571">
        <v>0.33</v>
      </c>
      <c r="L571">
        <v>119</v>
      </c>
      <c r="M571">
        <v>70</v>
      </c>
      <c r="N571">
        <v>117</v>
      </c>
      <c r="O571">
        <v>80.647000000000006</v>
      </c>
      <c r="P571">
        <v>1.3859860000000001E-3</v>
      </c>
      <c r="Q571">
        <v>12.61</v>
      </c>
    </row>
    <row r="572" spans="1:17" s="30" customFormat="1" x14ac:dyDescent="0.2">
      <c r="A572" s="30" t="str">
        <f>IF(C572&amp;G572&amp;D572&lt;&gt;'Funnel setup'!$K$3&amp;'Funnel setup'!$K$4&amp;'Funnel setup'!$K$5,".",IF(A571=".",1,A571+1))</f>
        <v>.</v>
      </c>
      <c r="B572" s="431" t="str">
        <f t="shared" si="8"/>
        <v>Groin HerniaProviderNOTTINGHAM UNIVERSITY HOSPITALS NHS TRUST (RX1)EQ VAS</v>
      </c>
      <c r="C572" t="s">
        <v>50</v>
      </c>
      <c r="D572" t="s">
        <v>1</v>
      </c>
      <c r="E572" t="s">
        <v>3687</v>
      </c>
      <c r="F572" t="s">
        <v>3688</v>
      </c>
      <c r="G572" t="s">
        <v>179</v>
      </c>
      <c r="H572" t="s">
        <v>53</v>
      </c>
      <c r="I572" t="s">
        <v>53</v>
      </c>
      <c r="J572" t="s">
        <v>53</v>
      </c>
      <c r="K572" t="s">
        <v>53</v>
      </c>
      <c r="L572" t="s">
        <v>53</v>
      </c>
      <c r="M572" t="s">
        <v>53</v>
      </c>
      <c r="N572" t="s">
        <v>53</v>
      </c>
      <c r="O572" t="s">
        <v>53</v>
      </c>
      <c r="P572" t="s">
        <v>53</v>
      </c>
      <c r="Q572" t="s">
        <v>53</v>
      </c>
    </row>
    <row r="573" spans="1:17" s="30" customFormat="1" x14ac:dyDescent="0.2">
      <c r="A573" s="30" t="str">
        <f>IF(C573&amp;G573&amp;D573&lt;&gt;'Funnel setup'!$K$3&amp;'Funnel setup'!$K$4&amp;'Funnel setup'!$K$5,".",IF(A572=".",1,A572+1))</f>
        <v>.</v>
      </c>
      <c r="B573" s="431" t="str">
        <f t="shared" si="8"/>
        <v>Groin HerniaProviderNUFFIELD HEALTH, BRENTWOOD HOSPITAL (NT204)EQ VAS</v>
      </c>
      <c r="C573" t="s">
        <v>50</v>
      </c>
      <c r="D573" t="s">
        <v>1</v>
      </c>
      <c r="E573" t="s">
        <v>3691</v>
      </c>
      <c r="F573" t="s">
        <v>3692</v>
      </c>
      <c r="G573" t="s">
        <v>179</v>
      </c>
      <c r="H573" t="s">
        <v>53</v>
      </c>
      <c r="I573" t="s">
        <v>53</v>
      </c>
      <c r="J573" t="s">
        <v>53</v>
      </c>
      <c r="K573" t="s">
        <v>53</v>
      </c>
      <c r="L573" t="s">
        <v>53</v>
      </c>
      <c r="M573" t="s">
        <v>53</v>
      </c>
      <c r="N573" t="s">
        <v>53</v>
      </c>
      <c r="O573" t="s">
        <v>53</v>
      </c>
      <c r="P573" t="s">
        <v>53</v>
      </c>
      <c r="Q573" t="s">
        <v>53</v>
      </c>
    </row>
    <row r="574" spans="1:17" s="30" customFormat="1" x14ac:dyDescent="0.2">
      <c r="A574" s="30" t="str">
        <f>IF(C574&amp;G574&amp;D574&lt;&gt;'Funnel setup'!$K$3&amp;'Funnel setup'!$K$4&amp;'Funnel setup'!$K$5,".",IF(A573=".",1,A573+1))</f>
        <v>.</v>
      </c>
      <c r="B574" s="431" t="str">
        <f t="shared" si="8"/>
        <v>Groin HerniaProviderNUFFIELD HEALTH, BRISTOL HOSPITAL (CHESTERFIELD) (NT206)EQ VAS</v>
      </c>
      <c r="C574" t="s">
        <v>50</v>
      </c>
      <c r="D574" t="s">
        <v>1</v>
      </c>
      <c r="E574" t="s">
        <v>3700</v>
      </c>
      <c r="F574" t="s">
        <v>3701</v>
      </c>
      <c r="G574" t="s">
        <v>179</v>
      </c>
      <c r="H574">
        <v>6</v>
      </c>
      <c r="I574">
        <v>82.5</v>
      </c>
      <c r="J574">
        <v>83.332999999999998</v>
      </c>
      <c r="K574">
        <v>0.83299999999999996</v>
      </c>
      <c r="L574">
        <v>3</v>
      </c>
      <c r="M574">
        <v>1</v>
      </c>
      <c r="N574">
        <v>2</v>
      </c>
      <c r="O574" t="s">
        <v>53</v>
      </c>
      <c r="P574" t="s">
        <v>53</v>
      </c>
      <c r="Q574" t="s">
        <v>53</v>
      </c>
    </row>
    <row r="575" spans="1:17" s="30" customFormat="1" x14ac:dyDescent="0.2">
      <c r="A575" s="30" t="str">
        <f>IF(C575&amp;G575&amp;D575&lt;&gt;'Funnel setup'!$K$3&amp;'Funnel setup'!$K$4&amp;'Funnel setup'!$K$5,".",IF(A574=".",1,A574+1))</f>
        <v>.</v>
      </c>
      <c r="B575" s="431" t="str">
        <f t="shared" si="8"/>
        <v>Groin HerniaProviderNUFFIELD HEALTH, CHELTENHAM HOSPITAL (NT211)EQ VAS</v>
      </c>
      <c r="C575" t="s">
        <v>50</v>
      </c>
      <c r="D575" t="s">
        <v>1</v>
      </c>
      <c r="E575" t="s">
        <v>3703</v>
      </c>
      <c r="F575" t="s">
        <v>3704</v>
      </c>
      <c r="G575" t="s">
        <v>179</v>
      </c>
      <c r="H575">
        <v>7</v>
      </c>
      <c r="I575">
        <v>81.143000000000001</v>
      </c>
      <c r="J575">
        <v>81</v>
      </c>
      <c r="K575">
        <v>-0.14299999999999999</v>
      </c>
      <c r="L575">
        <v>3</v>
      </c>
      <c r="M575">
        <v>2</v>
      </c>
      <c r="N575">
        <v>2</v>
      </c>
      <c r="O575" t="s">
        <v>53</v>
      </c>
      <c r="P575" t="s">
        <v>53</v>
      </c>
      <c r="Q575" t="s">
        <v>53</v>
      </c>
    </row>
    <row r="576" spans="1:17" s="30" customFormat="1" x14ac:dyDescent="0.2">
      <c r="A576" s="30" t="str">
        <f>IF(C576&amp;G576&amp;D576&lt;&gt;'Funnel setup'!$K$3&amp;'Funnel setup'!$K$4&amp;'Funnel setup'!$K$5,".",IF(A575=".",1,A575+1))</f>
        <v>.</v>
      </c>
      <c r="B576" s="431" t="str">
        <f t="shared" si="8"/>
        <v>Groin HerniaProviderNUFFIELD HEALTH, DERBY HOSPITAL (NT213)EQ VAS</v>
      </c>
      <c r="C576" t="s">
        <v>50</v>
      </c>
      <c r="D576" t="s">
        <v>1</v>
      </c>
      <c r="E576" t="s">
        <v>3340</v>
      </c>
      <c r="F576" t="s">
        <v>3341</v>
      </c>
      <c r="G576" t="s">
        <v>179</v>
      </c>
      <c r="H576">
        <v>8</v>
      </c>
      <c r="I576">
        <v>88.125</v>
      </c>
      <c r="J576">
        <v>81.75</v>
      </c>
      <c r="K576">
        <v>-6.375</v>
      </c>
      <c r="L576">
        <v>1</v>
      </c>
      <c r="M576">
        <v>3</v>
      </c>
      <c r="N576">
        <v>4</v>
      </c>
      <c r="O576" t="s">
        <v>53</v>
      </c>
      <c r="P576" t="s">
        <v>53</v>
      </c>
      <c r="Q576" t="s">
        <v>53</v>
      </c>
    </row>
    <row r="577" spans="1:17" s="30" customFormat="1" x14ac:dyDescent="0.2">
      <c r="A577" s="30" t="str">
        <f>IF(C577&amp;G577&amp;D577&lt;&gt;'Funnel setup'!$K$3&amp;'Funnel setup'!$K$4&amp;'Funnel setup'!$K$5,".",IF(A576=".",1,A576+1))</f>
        <v>.</v>
      </c>
      <c r="B577" s="431" t="str">
        <f t="shared" si="8"/>
        <v>Groin HerniaProviderNUFFIELD HEALTH, HEREFORD HOSPITAL (NT219)EQ VAS</v>
      </c>
      <c r="C577" t="s">
        <v>50</v>
      </c>
      <c r="D577" t="s">
        <v>1</v>
      </c>
      <c r="E577" t="s">
        <v>3343</v>
      </c>
      <c r="F577" t="s">
        <v>3344</v>
      </c>
      <c r="G577" t="s">
        <v>179</v>
      </c>
      <c r="H577">
        <v>66</v>
      </c>
      <c r="I577">
        <v>79.894000000000005</v>
      </c>
      <c r="J577">
        <v>82.635999999999996</v>
      </c>
      <c r="K577">
        <v>2.742</v>
      </c>
      <c r="L577">
        <v>28</v>
      </c>
      <c r="M577">
        <v>14</v>
      </c>
      <c r="N577">
        <v>24</v>
      </c>
      <c r="O577">
        <v>82.894000000000005</v>
      </c>
      <c r="P577">
        <v>2.248856688</v>
      </c>
      <c r="Q577">
        <v>10.608000000000001</v>
      </c>
    </row>
    <row r="578" spans="1:17" s="30" customFormat="1" x14ac:dyDescent="0.2">
      <c r="A578" s="30" t="str">
        <f>IF(C578&amp;G578&amp;D578&lt;&gt;'Funnel setup'!$K$3&amp;'Funnel setup'!$K$4&amp;'Funnel setup'!$K$5,".",IF(A577=".",1,A577+1))</f>
        <v>.</v>
      </c>
      <c r="B578" s="431" t="str">
        <f t="shared" si="8"/>
        <v>Groin HerniaProviderNUFFIELD HEALTH, IPSWICH HOSPITAL (NT222)EQ VAS</v>
      </c>
      <c r="C578" t="s">
        <v>50</v>
      </c>
      <c r="D578" t="s">
        <v>1</v>
      </c>
      <c r="E578" t="s">
        <v>3385</v>
      </c>
      <c r="F578" t="s">
        <v>3386</v>
      </c>
      <c r="G578" t="s">
        <v>179</v>
      </c>
      <c r="H578">
        <v>20</v>
      </c>
      <c r="I578">
        <v>81.5</v>
      </c>
      <c r="J578">
        <v>82.3</v>
      </c>
      <c r="K578">
        <v>0.8</v>
      </c>
      <c r="L578">
        <v>7</v>
      </c>
      <c r="M578">
        <v>5</v>
      </c>
      <c r="N578">
        <v>8</v>
      </c>
      <c r="O578" t="s">
        <v>53</v>
      </c>
      <c r="P578" t="s">
        <v>53</v>
      </c>
      <c r="Q578" t="s">
        <v>53</v>
      </c>
    </row>
    <row r="579" spans="1:17" s="30" customFormat="1" x14ac:dyDescent="0.2">
      <c r="A579" s="30" t="str">
        <f>IF(C579&amp;G579&amp;D579&lt;&gt;'Funnel setup'!$K$3&amp;'Funnel setup'!$K$4&amp;'Funnel setup'!$K$5,".",IF(A578=".",1,A578+1))</f>
        <v>.</v>
      </c>
      <c r="B579" s="431" t="str">
        <f t="shared" ref="B579:B642" si="9">C579&amp;D579&amp;F579&amp;G579</f>
        <v>Groin HerniaProviderNUFFIELD HEALTH, LEEDS HOSPITAL (NT225)EQ VAS</v>
      </c>
      <c r="C579" t="s">
        <v>50</v>
      </c>
      <c r="D579" t="s">
        <v>1</v>
      </c>
      <c r="E579" t="s">
        <v>3388</v>
      </c>
      <c r="F579" t="s">
        <v>3389</v>
      </c>
      <c r="G579" t="s">
        <v>179</v>
      </c>
      <c r="H579">
        <v>35</v>
      </c>
      <c r="I579">
        <v>79.742999999999995</v>
      </c>
      <c r="J579">
        <v>84.656999999999996</v>
      </c>
      <c r="K579">
        <v>4.9139999999999997</v>
      </c>
      <c r="L579">
        <v>16</v>
      </c>
      <c r="M579">
        <v>8</v>
      </c>
      <c r="N579">
        <v>11</v>
      </c>
      <c r="O579">
        <v>83.125</v>
      </c>
      <c r="P579">
        <v>2.479925449</v>
      </c>
      <c r="Q579">
        <v>9.0960000000000001</v>
      </c>
    </row>
    <row r="580" spans="1:17" s="30" customFormat="1" x14ac:dyDescent="0.2">
      <c r="A580" s="30" t="str">
        <f>IF(C580&amp;G580&amp;D580&lt;&gt;'Funnel setup'!$K$3&amp;'Funnel setup'!$K$4&amp;'Funnel setup'!$K$5,".",IF(A579=".",1,A579+1))</f>
        <v>.</v>
      </c>
      <c r="B580" s="431" t="str">
        <f t="shared" si="9"/>
        <v>Groin HerniaProviderNUFFIELD HEALTH, LEICESTER HOSPITAL (NT226)EQ VAS</v>
      </c>
      <c r="C580" t="s">
        <v>50</v>
      </c>
      <c r="D580" t="s">
        <v>1</v>
      </c>
      <c r="E580" t="s">
        <v>3391</v>
      </c>
      <c r="F580" t="s">
        <v>3392</v>
      </c>
      <c r="G580" t="s">
        <v>179</v>
      </c>
      <c r="H580">
        <v>43</v>
      </c>
      <c r="I580">
        <v>81.674000000000007</v>
      </c>
      <c r="J580">
        <v>83.512</v>
      </c>
      <c r="K580">
        <v>1.837</v>
      </c>
      <c r="L580">
        <v>16</v>
      </c>
      <c r="M580">
        <v>7</v>
      </c>
      <c r="N580">
        <v>20</v>
      </c>
      <c r="O580">
        <v>82.563999999999993</v>
      </c>
      <c r="P580">
        <v>1.918708115</v>
      </c>
      <c r="Q580">
        <v>8.7739999999999991</v>
      </c>
    </row>
    <row r="581" spans="1:17" s="30" customFormat="1" x14ac:dyDescent="0.2">
      <c r="A581" s="30" t="str">
        <f>IF(C581&amp;G581&amp;D581&lt;&gt;'Funnel setup'!$K$3&amp;'Funnel setup'!$K$4&amp;'Funnel setup'!$K$5,".",IF(A580=".",1,A580+1))</f>
        <v>.</v>
      </c>
      <c r="B581" s="431" t="str">
        <f t="shared" si="9"/>
        <v>Groin HerniaProviderNUFFIELD HEALTH, NEWCASTLE UPON TYNE HOSPITAL (NT229)EQ VAS</v>
      </c>
      <c r="C581" t="s">
        <v>50</v>
      </c>
      <c r="D581" t="s">
        <v>1</v>
      </c>
      <c r="E581" t="s">
        <v>3394</v>
      </c>
      <c r="F581" t="s">
        <v>3395</v>
      </c>
      <c r="G581" t="s">
        <v>179</v>
      </c>
      <c r="H581">
        <v>58</v>
      </c>
      <c r="I581">
        <v>83.069000000000003</v>
      </c>
      <c r="J581">
        <v>78.430999999999997</v>
      </c>
      <c r="K581">
        <v>-4.6379999999999999</v>
      </c>
      <c r="L581">
        <v>20</v>
      </c>
      <c r="M581">
        <v>10</v>
      </c>
      <c r="N581">
        <v>28</v>
      </c>
      <c r="O581">
        <v>77.561000000000007</v>
      </c>
      <c r="P581">
        <v>-3.0846986599999999</v>
      </c>
      <c r="Q581">
        <v>15.297000000000001</v>
      </c>
    </row>
    <row r="582" spans="1:17" s="30" customFormat="1" x14ac:dyDescent="0.2">
      <c r="A582" s="30" t="str">
        <f>IF(C582&amp;G582&amp;D582&lt;&gt;'Funnel setup'!$K$3&amp;'Funnel setup'!$K$4&amp;'Funnel setup'!$K$5,".",IF(A581=".",1,A581+1))</f>
        <v>.</v>
      </c>
      <c r="B582" s="431" t="str">
        <f t="shared" si="9"/>
        <v>Groin HerniaProviderNUFFIELD HEALTH, NORTH STAFFORDSHIRE HOSPITAL (NT230)EQ VAS</v>
      </c>
      <c r="C582" t="s">
        <v>50</v>
      </c>
      <c r="D582" t="s">
        <v>1</v>
      </c>
      <c r="E582" t="s">
        <v>3397</v>
      </c>
      <c r="F582" t="s">
        <v>3398</v>
      </c>
      <c r="G582" t="s">
        <v>179</v>
      </c>
      <c r="H582">
        <v>27</v>
      </c>
      <c r="I582">
        <v>81.037000000000006</v>
      </c>
      <c r="J582">
        <v>83.406999999999996</v>
      </c>
      <c r="K582">
        <v>2.37</v>
      </c>
      <c r="L582">
        <v>15</v>
      </c>
      <c r="M582">
        <v>3</v>
      </c>
      <c r="N582">
        <v>9</v>
      </c>
      <c r="O582" t="s">
        <v>53</v>
      </c>
      <c r="P582" t="s">
        <v>53</v>
      </c>
      <c r="Q582" t="s">
        <v>53</v>
      </c>
    </row>
    <row r="583" spans="1:17" s="30" customFormat="1" x14ac:dyDescent="0.2">
      <c r="A583" s="30" t="str">
        <f>IF(C583&amp;G583&amp;D583&lt;&gt;'Funnel setup'!$K$3&amp;'Funnel setup'!$K$4&amp;'Funnel setup'!$K$5,".",IF(A582=".",1,A582+1))</f>
        <v>.</v>
      </c>
      <c r="B583" s="431" t="str">
        <f t="shared" si="9"/>
        <v>Groin HerniaProviderNUFFIELD HEALTH, PLYMOUTH HOSPITAL (NT233)EQ VAS</v>
      </c>
      <c r="C583" t="s">
        <v>50</v>
      </c>
      <c r="D583" t="s">
        <v>1</v>
      </c>
      <c r="E583" t="s">
        <v>3400</v>
      </c>
      <c r="F583" t="s">
        <v>3401</v>
      </c>
      <c r="G583" t="s">
        <v>179</v>
      </c>
      <c r="H583">
        <v>214</v>
      </c>
      <c r="I583">
        <v>83.966999999999999</v>
      </c>
      <c r="J583">
        <v>84.519000000000005</v>
      </c>
      <c r="K583">
        <v>0.55100000000000005</v>
      </c>
      <c r="L583">
        <v>88</v>
      </c>
      <c r="M583">
        <v>50</v>
      </c>
      <c r="N583">
        <v>76</v>
      </c>
      <c r="O583">
        <v>81.616</v>
      </c>
      <c r="P583">
        <v>0.970075307</v>
      </c>
      <c r="Q583">
        <v>10.323</v>
      </c>
    </row>
    <row r="584" spans="1:17" s="30" customFormat="1" x14ac:dyDescent="0.2">
      <c r="A584" s="30" t="str">
        <f>IF(C584&amp;G584&amp;D584&lt;&gt;'Funnel setup'!$K$3&amp;'Funnel setup'!$K$4&amp;'Funnel setup'!$K$5,".",IF(A583=".",1,A583+1))</f>
        <v>.</v>
      </c>
      <c r="B584" s="431" t="str">
        <f t="shared" si="9"/>
        <v>Groin HerniaProviderNUFFIELD HEALTH, SHREWSBURY HOSPITAL (NT235)EQ VAS</v>
      </c>
      <c r="C584" t="s">
        <v>50</v>
      </c>
      <c r="D584" t="s">
        <v>1</v>
      </c>
      <c r="E584" t="s">
        <v>3240</v>
      </c>
      <c r="F584" t="s">
        <v>3241</v>
      </c>
      <c r="G584" t="s">
        <v>179</v>
      </c>
      <c r="H584">
        <v>50</v>
      </c>
      <c r="I584">
        <v>82.28</v>
      </c>
      <c r="J584">
        <v>84.32</v>
      </c>
      <c r="K584">
        <v>2.04</v>
      </c>
      <c r="L584">
        <v>21</v>
      </c>
      <c r="M584">
        <v>12</v>
      </c>
      <c r="N584">
        <v>17</v>
      </c>
      <c r="O584">
        <v>82.891999999999996</v>
      </c>
      <c r="P584">
        <v>2.246344626</v>
      </c>
      <c r="Q584">
        <v>11.388999999999999</v>
      </c>
    </row>
    <row r="585" spans="1:17" s="30" customFormat="1" x14ac:dyDescent="0.2">
      <c r="A585" s="30" t="str">
        <f>IF(C585&amp;G585&amp;D585&lt;&gt;'Funnel setup'!$K$3&amp;'Funnel setup'!$K$4&amp;'Funnel setup'!$K$5,".",IF(A584=".",1,A584+1))</f>
        <v>.</v>
      </c>
      <c r="B585" s="431" t="str">
        <f t="shared" si="9"/>
        <v>Groin HerniaProviderNUFFIELD HEALTH, TAUNTON HOSPITAL (NT238)EQ VAS</v>
      </c>
      <c r="C585" t="s">
        <v>50</v>
      </c>
      <c r="D585" t="s">
        <v>1</v>
      </c>
      <c r="E585" t="s">
        <v>3243</v>
      </c>
      <c r="F585" t="s">
        <v>3244</v>
      </c>
      <c r="G585" t="s">
        <v>179</v>
      </c>
      <c r="H585">
        <v>58</v>
      </c>
      <c r="I585">
        <v>84.120999999999995</v>
      </c>
      <c r="J585">
        <v>84.430999999999997</v>
      </c>
      <c r="K585">
        <v>0.31</v>
      </c>
      <c r="L585">
        <v>24</v>
      </c>
      <c r="M585">
        <v>6</v>
      </c>
      <c r="N585">
        <v>28</v>
      </c>
      <c r="O585">
        <v>81.016999999999996</v>
      </c>
      <c r="P585">
        <v>0.371400277</v>
      </c>
      <c r="Q585">
        <v>8.51</v>
      </c>
    </row>
    <row r="586" spans="1:17" s="30" customFormat="1" x14ac:dyDescent="0.2">
      <c r="A586" s="30" t="str">
        <f>IF(C586&amp;G586&amp;D586&lt;&gt;'Funnel setup'!$K$3&amp;'Funnel setup'!$K$4&amp;'Funnel setup'!$K$5,".",IF(A585=".",1,A585+1))</f>
        <v>.</v>
      </c>
      <c r="B586" s="431" t="str">
        <f t="shared" si="9"/>
        <v>Groin HerniaProviderNUFFIELD HEALTH, TEES HOSPITAL (NT237)EQ VAS</v>
      </c>
      <c r="C586" t="s">
        <v>50</v>
      </c>
      <c r="D586" t="s">
        <v>1</v>
      </c>
      <c r="E586" t="s">
        <v>3246</v>
      </c>
      <c r="F586" t="s">
        <v>3247</v>
      </c>
      <c r="G586" t="s">
        <v>179</v>
      </c>
      <c r="H586">
        <v>86</v>
      </c>
      <c r="I586">
        <v>83.522999999999996</v>
      </c>
      <c r="J586">
        <v>83.5</v>
      </c>
      <c r="K586">
        <v>-2.3E-2</v>
      </c>
      <c r="L586">
        <v>33</v>
      </c>
      <c r="M586">
        <v>21</v>
      </c>
      <c r="N586">
        <v>32</v>
      </c>
      <c r="O586">
        <v>81.200999999999993</v>
      </c>
      <c r="P586">
        <v>0.555855023</v>
      </c>
      <c r="Q586">
        <v>13.537000000000001</v>
      </c>
    </row>
    <row r="587" spans="1:17" s="30" customFormat="1" x14ac:dyDescent="0.2">
      <c r="A587" s="30" t="str">
        <f>IF(C587&amp;G587&amp;D587&lt;&gt;'Funnel setup'!$K$3&amp;'Funnel setup'!$K$4&amp;'Funnel setup'!$K$5,".",IF(A586=".",1,A586+1))</f>
        <v>.</v>
      </c>
      <c r="B587" s="431" t="str">
        <f t="shared" si="9"/>
        <v>Groin HerniaProviderNUFFIELD HEALTH, TUNBRIDGE WELLS HOSPITAL (NT239)EQ VAS</v>
      </c>
      <c r="C587" t="s">
        <v>50</v>
      </c>
      <c r="D587" t="s">
        <v>1</v>
      </c>
      <c r="E587" t="s">
        <v>3252</v>
      </c>
      <c r="F587" t="s">
        <v>3253</v>
      </c>
      <c r="G587" t="s">
        <v>179</v>
      </c>
      <c r="H587">
        <v>14</v>
      </c>
      <c r="I587">
        <v>84.643000000000001</v>
      </c>
      <c r="J587">
        <v>85.929000000000002</v>
      </c>
      <c r="K587">
        <v>1.286</v>
      </c>
      <c r="L587">
        <v>6</v>
      </c>
      <c r="M587">
        <v>3</v>
      </c>
      <c r="N587">
        <v>5</v>
      </c>
      <c r="O587" t="s">
        <v>53</v>
      </c>
      <c r="P587" t="s">
        <v>53</v>
      </c>
      <c r="Q587" t="s">
        <v>53</v>
      </c>
    </row>
    <row r="588" spans="1:17" s="30" customFormat="1" x14ac:dyDescent="0.2">
      <c r="A588" s="30" t="str">
        <f>IF(C588&amp;G588&amp;D588&lt;&gt;'Funnel setup'!$K$3&amp;'Funnel setup'!$K$4&amp;'Funnel setup'!$K$5,".",IF(A587=".",1,A587+1))</f>
        <v>.</v>
      </c>
      <c r="B588" s="431" t="str">
        <f t="shared" si="9"/>
        <v>Groin HerniaProviderNUFFIELD HEALTH, WESSEX HOSPITAL (NT214)EQ VAS</v>
      </c>
      <c r="C588" t="s">
        <v>50</v>
      </c>
      <c r="D588" t="s">
        <v>1</v>
      </c>
      <c r="E588" t="s">
        <v>3258</v>
      </c>
      <c r="F588" t="s">
        <v>3259</v>
      </c>
      <c r="G588" t="s">
        <v>179</v>
      </c>
      <c r="H588">
        <v>11</v>
      </c>
      <c r="I588">
        <v>86.817999999999998</v>
      </c>
      <c r="J588">
        <v>90</v>
      </c>
      <c r="K588">
        <v>3.1819999999999999</v>
      </c>
      <c r="L588">
        <v>3</v>
      </c>
      <c r="M588">
        <v>7</v>
      </c>
      <c r="N588">
        <v>1</v>
      </c>
      <c r="O588" t="s">
        <v>53</v>
      </c>
      <c r="P588" t="s">
        <v>53</v>
      </c>
      <c r="Q588" t="s">
        <v>53</v>
      </c>
    </row>
    <row r="589" spans="1:17" s="30" customFormat="1" x14ac:dyDescent="0.2">
      <c r="A589" s="30" t="str">
        <f>IF(C589&amp;G589&amp;D589&lt;&gt;'Funnel setup'!$K$3&amp;'Funnel setup'!$K$4&amp;'Funnel setup'!$K$5,".",IF(A588=".",1,A588+1))</f>
        <v>.</v>
      </c>
      <c r="B589" s="431" t="str">
        <f t="shared" si="9"/>
        <v>Groin HerniaProviderNUFFIELD HEALTH, WOKING HOSPITAL (NT241)EQ VAS</v>
      </c>
      <c r="C589" t="s">
        <v>50</v>
      </c>
      <c r="D589" t="s">
        <v>1</v>
      </c>
      <c r="E589" t="s">
        <v>3261</v>
      </c>
      <c r="F589" t="s">
        <v>3262</v>
      </c>
      <c r="G589" t="s">
        <v>179</v>
      </c>
      <c r="H589">
        <v>10</v>
      </c>
      <c r="I589">
        <v>86.1</v>
      </c>
      <c r="J589">
        <v>83.5</v>
      </c>
      <c r="K589">
        <v>-2.6</v>
      </c>
      <c r="L589">
        <v>4</v>
      </c>
      <c r="M589">
        <v>1</v>
      </c>
      <c r="N589">
        <v>5</v>
      </c>
      <c r="O589" t="s">
        <v>53</v>
      </c>
      <c r="P589" t="s">
        <v>53</v>
      </c>
      <c r="Q589" t="s">
        <v>53</v>
      </c>
    </row>
    <row r="590" spans="1:17" s="30" customFormat="1" x14ac:dyDescent="0.2">
      <c r="A590" s="30" t="str">
        <f>IF(C590&amp;G590&amp;D590&lt;&gt;'Funnel setup'!$K$3&amp;'Funnel setup'!$K$4&amp;'Funnel setup'!$K$5,".",IF(A589=".",1,A589+1))</f>
        <v>.</v>
      </c>
      <c r="B590" s="431" t="str">
        <f t="shared" si="9"/>
        <v>Groin HerniaProviderNUFFIELD HEALTH, WOLVERHAMPTON HOSPITAL (NT242)EQ VAS</v>
      </c>
      <c r="C590" t="s">
        <v>50</v>
      </c>
      <c r="D590" t="s">
        <v>1</v>
      </c>
      <c r="E590" t="s">
        <v>3264</v>
      </c>
      <c r="F590" t="s">
        <v>3265</v>
      </c>
      <c r="G590" t="s">
        <v>179</v>
      </c>
      <c r="H590">
        <v>24</v>
      </c>
      <c r="I590">
        <v>84.375</v>
      </c>
      <c r="J590">
        <v>80.957999999999998</v>
      </c>
      <c r="K590">
        <v>-3.4169999999999998</v>
      </c>
      <c r="L590">
        <v>6</v>
      </c>
      <c r="M590">
        <v>5</v>
      </c>
      <c r="N590">
        <v>13</v>
      </c>
      <c r="O590" t="s">
        <v>53</v>
      </c>
      <c r="P590" t="s">
        <v>53</v>
      </c>
      <c r="Q590" t="s">
        <v>53</v>
      </c>
    </row>
    <row r="591" spans="1:17" s="30" customFormat="1" x14ac:dyDescent="0.2">
      <c r="A591" s="30" t="str">
        <f>IF(C591&amp;G591&amp;D591&lt;&gt;'Funnel setup'!$K$3&amp;'Funnel setup'!$K$4&amp;'Funnel setup'!$K$5,".",IF(A590=".",1,A590+1))</f>
        <v>.</v>
      </c>
      <c r="B591" s="431" t="str">
        <f t="shared" si="9"/>
        <v>Groin HerniaProviderOAKLANDS HOSPITAL (NVC12)EQ VAS</v>
      </c>
      <c r="C591" t="s">
        <v>50</v>
      </c>
      <c r="D591" t="s">
        <v>1</v>
      </c>
      <c r="E591" t="s">
        <v>3267</v>
      </c>
      <c r="F591" t="s">
        <v>3268</v>
      </c>
      <c r="G591" t="s">
        <v>179</v>
      </c>
      <c r="H591">
        <v>36</v>
      </c>
      <c r="I591">
        <v>81.75</v>
      </c>
      <c r="J591">
        <v>81.138999999999996</v>
      </c>
      <c r="K591">
        <v>-0.61099999999999999</v>
      </c>
      <c r="L591">
        <v>12</v>
      </c>
      <c r="M591">
        <v>9</v>
      </c>
      <c r="N591">
        <v>15</v>
      </c>
      <c r="O591">
        <v>81.216999999999999</v>
      </c>
      <c r="P591">
        <v>0.57192137799999998</v>
      </c>
      <c r="Q591">
        <v>11.746</v>
      </c>
    </row>
    <row r="592" spans="1:17" s="30" customFormat="1" x14ac:dyDescent="0.2">
      <c r="A592" s="30" t="str">
        <f>IF(C592&amp;G592&amp;D592&lt;&gt;'Funnel setup'!$K$3&amp;'Funnel setup'!$K$4&amp;'Funnel setup'!$K$5,".",IF(A591=".",1,A591+1))</f>
        <v>.</v>
      </c>
      <c r="B592" s="431" t="str">
        <f t="shared" si="9"/>
        <v>Groin HerniaProviderOAKS HOSPITAL (NVC13)EQ VAS</v>
      </c>
      <c r="C592" t="s">
        <v>50</v>
      </c>
      <c r="D592" t="s">
        <v>1</v>
      </c>
      <c r="E592" t="s">
        <v>3270</v>
      </c>
      <c r="F592" t="s">
        <v>3271</v>
      </c>
      <c r="G592" t="s">
        <v>179</v>
      </c>
      <c r="H592">
        <v>77</v>
      </c>
      <c r="I592">
        <v>82.986999999999995</v>
      </c>
      <c r="J592">
        <v>80.87</v>
      </c>
      <c r="K592">
        <v>-2.117</v>
      </c>
      <c r="L592">
        <v>24</v>
      </c>
      <c r="M592">
        <v>15</v>
      </c>
      <c r="N592">
        <v>38</v>
      </c>
      <c r="O592">
        <v>79.244</v>
      </c>
      <c r="P592">
        <v>-1.400990497</v>
      </c>
      <c r="Q592">
        <v>10.397</v>
      </c>
    </row>
    <row r="593" spans="1:17" s="30" customFormat="1" x14ac:dyDescent="0.2">
      <c r="A593" s="30" t="str">
        <f>IF(C593&amp;G593&amp;D593&lt;&gt;'Funnel setup'!$K$3&amp;'Funnel setup'!$K$4&amp;'Funnel setup'!$K$5,".",IF(A592=".",1,A592+1))</f>
        <v>.</v>
      </c>
      <c r="B593" s="431" t="str">
        <f t="shared" si="9"/>
        <v>Groin HerniaProviderONE HEALTH GROUP LTD (NTX01)EQ VAS</v>
      </c>
      <c r="C593" t="s">
        <v>50</v>
      </c>
      <c r="D593" t="s">
        <v>1</v>
      </c>
      <c r="E593" t="s">
        <v>6507</v>
      </c>
      <c r="F593" t="s">
        <v>6508</v>
      </c>
      <c r="G593" t="s">
        <v>179</v>
      </c>
      <c r="H593">
        <v>31</v>
      </c>
      <c r="I593">
        <v>82.742000000000004</v>
      </c>
      <c r="J593">
        <v>84.903000000000006</v>
      </c>
      <c r="K593">
        <v>2.161</v>
      </c>
      <c r="L593">
        <v>11</v>
      </c>
      <c r="M593">
        <v>7</v>
      </c>
      <c r="N593">
        <v>13</v>
      </c>
      <c r="O593">
        <v>82.798000000000002</v>
      </c>
      <c r="P593">
        <v>2.1529512799999999</v>
      </c>
      <c r="Q593">
        <v>9.0640000000000001</v>
      </c>
    </row>
    <row r="594" spans="1:17" s="30" customFormat="1" x14ac:dyDescent="0.2">
      <c r="A594" s="30" t="str">
        <f>IF(C594&amp;G594&amp;D594&lt;&gt;'Funnel setup'!$K$3&amp;'Funnel setup'!$K$4&amp;'Funnel setup'!$K$5,".",IF(A593=".",1,A593+1))</f>
        <v>.</v>
      </c>
      <c r="B594" s="431" t="str">
        <f t="shared" si="9"/>
        <v>Groin HerniaProviderOXFORD UNIVERSITY HOSPITALS NHS FOUNDATION TRUST (RTH)EQ VAS</v>
      </c>
      <c r="C594" t="s">
        <v>50</v>
      </c>
      <c r="D594" t="s">
        <v>1</v>
      </c>
      <c r="E594" t="s">
        <v>3278</v>
      </c>
      <c r="F594" t="s">
        <v>6578</v>
      </c>
      <c r="G594" t="s">
        <v>179</v>
      </c>
      <c r="H594">
        <v>174</v>
      </c>
      <c r="I594">
        <v>81.247</v>
      </c>
      <c r="J594">
        <v>79.585999999999999</v>
      </c>
      <c r="K594">
        <v>-1.661</v>
      </c>
      <c r="L594">
        <v>63</v>
      </c>
      <c r="M594">
        <v>31</v>
      </c>
      <c r="N594">
        <v>80</v>
      </c>
      <c r="O594">
        <v>79.174999999999997</v>
      </c>
      <c r="P594">
        <v>-1.470005132</v>
      </c>
      <c r="Q594">
        <v>12.586</v>
      </c>
    </row>
    <row r="595" spans="1:17" s="30" customFormat="1" x14ac:dyDescent="0.2">
      <c r="A595" s="30" t="str">
        <f>IF(C595&amp;G595&amp;D595&lt;&gt;'Funnel setup'!$K$3&amp;'Funnel setup'!$K$4&amp;'Funnel setup'!$K$5,".",IF(A594=".",1,A594+1))</f>
        <v>.</v>
      </c>
      <c r="B595" s="431" t="str">
        <f t="shared" si="9"/>
        <v>Groin HerniaProviderPENNINE ACUTE HOSPITALS NHS TRUST (RW6)EQ VAS</v>
      </c>
      <c r="C595" t="s">
        <v>50</v>
      </c>
      <c r="D595" t="s">
        <v>1</v>
      </c>
      <c r="E595" t="s">
        <v>3216</v>
      </c>
      <c r="F595" t="s">
        <v>3217</v>
      </c>
      <c r="G595" t="s">
        <v>179</v>
      </c>
      <c r="H595">
        <v>65</v>
      </c>
      <c r="I595">
        <v>76.599999999999994</v>
      </c>
      <c r="J595">
        <v>74.215000000000003</v>
      </c>
      <c r="K595">
        <v>-2.3849999999999998</v>
      </c>
      <c r="L595">
        <v>21</v>
      </c>
      <c r="M595">
        <v>12</v>
      </c>
      <c r="N595">
        <v>32</v>
      </c>
      <c r="O595">
        <v>77.751999999999995</v>
      </c>
      <c r="P595">
        <v>-2.8937240580000001</v>
      </c>
      <c r="Q595">
        <v>16.613</v>
      </c>
    </row>
    <row r="596" spans="1:17" s="30" customFormat="1" x14ac:dyDescent="0.2">
      <c r="A596" s="30" t="str">
        <f>IF(C596&amp;G596&amp;D596&lt;&gt;'Funnel setup'!$K$3&amp;'Funnel setup'!$K$4&amp;'Funnel setup'!$K$5,".",IF(A595=".",1,A595+1))</f>
        <v>.</v>
      </c>
      <c r="B596" s="431" t="str">
        <f t="shared" si="9"/>
        <v>Groin HerniaProviderPETERBOROUGH AND STAMFORD HOSPITALS NHS FOUNDATION TRUST (RGN)EQ VAS</v>
      </c>
      <c r="C596" t="s">
        <v>50</v>
      </c>
      <c r="D596" t="s">
        <v>1</v>
      </c>
      <c r="E596" t="s">
        <v>3219</v>
      </c>
      <c r="F596" t="s">
        <v>3220</v>
      </c>
      <c r="G596" t="s">
        <v>179</v>
      </c>
      <c r="H596">
        <v>156</v>
      </c>
      <c r="I596">
        <v>81.313999999999993</v>
      </c>
      <c r="J596">
        <v>80.686000000000007</v>
      </c>
      <c r="K596">
        <v>-0.628</v>
      </c>
      <c r="L596">
        <v>62</v>
      </c>
      <c r="M596">
        <v>26</v>
      </c>
      <c r="N596">
        <v>68</v>
      </c>
      <c r="O596">
        <v>80.534000000000006</v>
      </c>
      <c r="P596">
        <v>-0.111612535</v>
      </c>
      <c r="Q596">
        <v>13.58</v>
      </c>
    </row>
    <row r="597" spans="1:17" s="30" customFormat="1" x14ac:dyDescent="0.2">
      <c r="A597" s="30" t="str">
        <f>IF(C597&amp;G597&amp;D597&lt;&gt;'Funnel setup'!$K$3&amp;'Funnel setup'!$K$4&amp;'Funnel setup'!$K$5,".",IF(A596=".",1,A596+1))</f>
        <v>.</v>
      </c>
      <c r="B597" s="431" t="str">
        <f t="shared" si="9"/>
        <v>Groin HerniaProviderPINEHILL HOSPITAL (NVC15)EQ VAS</v>
      </c>
      <c r="C597" t="s">
        <v>50</v>
      </c>
      <c r="D597" t="s">
        <v>1</v>
      </c>
      <c r="E597" t="s">
        <v>3222</v>
      </c>
      <c r="F597" t="s">
        <v>3223</v>
      </c>
      <c r="G597" t="s">
        <v>179</v>
      </c>
      <c r="H597">
        <v>35</v>
      </c>
      <c r="I597">
        <v>83.4</v>
      </c>
      <c r="J597">
        <v>86.286000000000001</v>
      </c>
      <c r="K597">
        <v>2.8860000000000001</v>
      </c>
      <c r="L597">
        <v>14</v>
      </c>
      <c r="M597">
        <v>12</v>
      </c>
      <c r="N597">
        <v>9</v>
      </c>
      <c r="O597">
        <v>83.581999999999994</v>
      </c>
      <c r="P597">
        <v>2.9370390450000001</v>
      </c>
      <c r="Q597">
        <v>7.859</v>
      </c>
    </row>
    <row r="598" spans="1:17" s="30" customFormat="1" x14ac:dyDescent="0.2">
      <c r="A598" s="30" t="str">
        <f>IF(C598&amp;G598&amp;D598&lt;&gt;'Funnel setup'!$K$3&amp;'Funnel setup'!$K$4&amp;'Funnel setup'!$K$5,".",IF(A597=".",1,A597+1))</f>
        <v>.</v>
      </c>
      <c r="B598" s="431" t="str">
        <f t="shared" si="9"/>
        <v>Groin HerniaProviderPLYMOUTH HOSPITALS NHS TRUST (RK9)EQ VAS</v>
      </c>
      <c r="C598" t="s">
        <v>50</v>
      </c>
      <c r="D598" t="s">
        <v>1</v>
      </c>
      <c r="E598" t="s">
        <v>3225</v>
      </c>
      <c r="F598" t="s">
        <v>3226</v>
      </c>
      <c r="G598" t="s">
        <v>179</v>
      </c>
      <c r="H598">
        <v>57</v>
      </c>
      <c r="I598">
        <v>80.034999999999997</v>
      </c>
      <c r="J598">
        <v>79.298000000000002</v>
      </c>
      <c r="K598">
        <v>-0.73699999999999999</v>
      </c>
      <c r="L598">
        <v>22</v>
      </c>
      <c r="M598">
        <v>8</v>
      </c>
      <c r="N598">
        <v>27</v>
      </c>
      <c r="O598">
        <v>81.628</v>
      </c>
      <c r="P598">
        <v>0.98211731300000005</v>
      </c>
      <c r="Q598">
        <v>13.304</v>
      </c>
    </row>
    <row r="599" spans="1:17" s="30" customFormat="1" x14ac:dyDescent="0.2">
      <c r="A599" s="30" t="str">
        <f>IF(C599&amp;G599&amp;D599&lt;&gt;'Funnel setup'!$K$3&amp;'Funnel setup'!$K$4&amp;'Funnel setup'!$K$5,".",IF(A598=".",1,A598+1))</f>
        <v>.</v>
      </c>
      <c r="B599" s="431" t="str">
        <f t="shared" si="9"/>
        <v>Groin HerniaProviderPOOLE HOSPITAL NHS FOUNDATION TRUST (RD3)EQ VAS</v>
      </c>
      <c r="C599" t="s">
        <v>50</v>
      </c>
      <c r="D599" t="s">
        <v>1</v>
      </c>
      <c r="E599" t="s">
        <v>3231</v>
      </c>
      <c r="F599" t="s">
        <v>3232</v>
      </c>
      <c r="G599" t="s">
        <v>179</v>
      </c>
      <c r="H599">
        <v>54</v>
      </c>
      <c r="I599">
        <v>74.13</v>
      </c>
      <c r="J599">
        <v>79.944000000000003</v>
      </c>
      <c r="K599">
        <v>5.8150000000000004</v>
      </c>
      <c r="L599">
        <v>25</v>
      </c>
      <c r="M599">
        <v>9</v>
      </c>
      <c r="N599">
        <v>20</v>
      </c>
      <c r="O599">
        <v>81.477999999999994</v>
      </c>
      <c r="P599">
        <v>0.832613461</v>
      </c>
      <c r="Q599">
        <v>12.101000000000001</v>
      </c>
    </row>
    <row r="600" spans="1:17" s="30" customFormat="1" x14ac:dyDescent="0.2">
      <c r="A600" s="30" t="str">
        <f>IF(C600&amp;G600&amp;D600&lt;&gt;'Funnel setup'!$K$3&amp;'Funnel setup'!$K$4&amp;'Funnel setup'!$K$5,".",IF(A599=".",1,A599+1))</f>
        <v>.</v>
      </c>
      <c r="B600" s="431" t="str">
        <f t="shared" si="9"/>
        <v>Groin HerniaProviderPORTSMOUTH HOSPITALS NHS TRUST (RHU)EQ VAS</v>
      </c>
      <c r="C600" t="s">
        <v>50</v>
      </c>
      <c r="D600" t="s">
        <v>1</v>
      </c>
      <c r="E600" t="s">
        <v>3234</v>
      </c>
      <c r="F600" t="s">
        <v>3235</v>
      </c>
      <c r="G600" t="s">
        <v>179</v>
      </c>
      <c r="H600">
        <v>66</v>
      </c>
      <c r="I600">
        <v>80.954999999999998</v>
      </c>
      <c r="J600">
        <v>81.954999999999998</v>
      </c>
      <c r="K600">
        <v>1</v>
      </c>
      <c r="L600">
        <v>26</v>
      </c>
      <c r="M600">
        <v>17</v>
      </c>
      <c r="N600">
        <v>23</v>
      </c>
      <c r="O600">
        <v>81.429000000000002</v>
      </c>
      <c r="P600">
        <v>0.78390798100000003</v>
      </c>
      <c r="Q600">
        <v>9.7149999999999999</v>
      </c>
    </row>
    <row r="601" spans="1:17" s="30" customFormat="1" x14ac:dyDescent="0.2">
      <c r="A601" s="30" t="str">
        <f>IF(C601&amp;G601&amp;D601&lt;&gt;'Funnel setup'!$K$3&amp;'Funnel setup'!$K$4&amp;'Funnel setup'!$K$5,".",IF(A600=".",1,A600+1))</f>
        <v>.</v>
      </c>
      <c r="B601" s="431" t="str">
        <f t="shared" si="9"/>
        <v>Groin HerniaProviderRENACRES HOSPITAL (NVC16)EQ VAS</v>
      </c>
      <c r="C601" t="s">
        <v>50</v>
      </c>
      <c r="D601" t="s">
        <v>1</v>
      </c>
      <c r="E601" t="s">
        <v>3237</v>
      </c>
      <c r="F601" t="s">
        <v>3238</v>
      </c>
      <c r="G601" t="s">
        <v>179</v>
      </c>
      <c r="H601">
        <v>82</v>
      </c>
      <c r="I601">
        <v>80.89</v>
      </c>
      <c r="J601">
        <v>78.353999999999999</v>
      </c>
      <c r="K601">
        <v>-2.5369999999999999</v>
      </c>
      <c r="L601">
        <v>26</v>
      </c>
      <c r="M601">
        <v>18</v>
      </c>
      <c r="N601">
        <v>38</v>
      </c>
      <c r="O601">
        <v>78.448999999999998</v>
      </c>
      <c r="P601">
        <v>-2.1962742629999998</v>
      </c>
      <c r="Q601">
        <v>12.88</v>
      </c>
    </row>
    <row r="602" spans="1:17" s="30" customFormat="1" x14ac:dyDescent="0.2">
      <c r="A602" s="30" t="str">
        <f>IF(C602&amp;G602&amp;D602&lt;&gt;'Funnel setup'!$K$3&amp;'Funnel setup'!$K$4&amp;'Funnel setup'!$K$5,".",IF(A601=".",1,A601+1))</f>
        <v>.</v>
      </c>
      <c r="B602" s="431" t="str">
        <f t="shared" si="9"/>
        <v>Groin HerniaProviderRIVERS HOSPITAL (NVC19)EQ VAS</v>
      </c>
      <c r="C602" t="s">
        <v>50</v>
      </c>
      <c r="D602" t="s">
        <v>1</v>
      </c>
      <c r="E602" t="s">
        <v>3204</v>
      </c>
      <c r="F602" t="s">
        <v>3205</v>
      </c>
      <c r="G602" t="s">
        <v>179</v>
      </c>
      <c r="H602">
        <v>110</v>
      </c>
      <c r="I602">
        <v>83.1</v>
      </c>
      <c r="J602">
        <v>83.227000000000004</v>
      </c>
      <c r="K602">
        <v>0.127</v>
      </c>
      <c r="L602">
        <v>42</v>
      </c>
      <c r="M602">
        <v>22</v>
      </c>
      <c r="N602">
        <v>46</v>
      </c>
      <c r="O602">
        <v>81.004999999999995</v>
      </c>
      <c r="P602">
        <v>0.35989538900000001</v>
      </c>
      <c r="Q602">
        <v>10.346</v>
      </c>
    </row>
    <row r="603" spans="1:17" s="30" customFormat="1" x14ac:dyDescent="0.2">
      <c r="A603" s="30" t="str">
        <f>IF(C603&amp;G603&amp;D603&lt;&gt;'Funnel setup'!$K$3&amp;'Funnel setup'!$K$4&amp;'Funnel setup'!$K$5,".",IF(A602=".",1,A602+1))</f>
        <v>.</v>
      </c>
      <c r="B603" s="431" t="str">
        <f t="shared" si="9"/>
        <v>Groin HerniaProviderROWLEY HALL HOSPITAL (NVC17)EQ VAS</v>
      </c>
      <c r="C603" t="s">
        <v>50</v>
      </c>
      <c r="D603" t="s">
        <v>1</v>
      </c>
      <c r="E603" t="s">
        <v>3207</v>
      </c>
      <c r="F603" t="s">
        <v>3208</v>
      </c>
      <c r="G603" t="s">
        <v>179</v>
      </c>
      <c r="H603">
        <v>26</v>
      </c>
      <c r="I603">
        <v>80.885000000000005</v>
      </c>
      <c r="J603">
        <v>80.923000000000002</v>
      </c>
      <c r="K603">
        <v>3.7999999999999999E-2</v>
      </c>
      <c r="L603">
        <v>9</v>
      </c>
      <c r="M603">
        <v>7</v>
      </c>
      <c r="N603">
        <v>10</v>
      </c>
      <c r="O603" t="s">
        <v>53</v>
      </c>
      <c r="P603" t="s">
        <v>53</v>
      </c>
      <c r="Q603" t="s">
        <v>53</v>
      </c>
    </row>
    <row r="604" spans="1:17" s="30" customFormat="1" x14ac:dyDescent="0.2">
      <c r="A604" s="30" t="str">
        <f>IF(C604&amp;G604&amp;D604&lt;&gt;'Funnel setup'!$K$3&amp;'Funnel setup'!$K$4&amp;'Funnel setup'!$K$5,".",IF(A603=".",1,A603+1))</f>
        <v>.</v>
      </c>
      <c r="B604" s="431" t="str">
        <f t="shared" si="9"/>
        <v>Groin HerniaProviderROYAL BERKSHIRE NHS FOUNDATION TRUST (RHW)EQ VAS</v>
      </c>
      <c r="C604" t="s">
        <v>50</v>
      </c>
      <c r="D604" t="s">
        <v>1</v>
      </c>
      <c r="E604" t="s">
        <v>3832</v>
      </c>
      <c r="F604" t="s">
        <v>3833</v>
      </c>
      <c r="G604" t="s">
        <v>179</v>
      </c>
      <c r="H604">
        <v>70</v>
      </c>
      <c r="I604">
        <v>82.971000000000004</v>
      </c>
      <c r="J604">
        <v>83.385999999999996</v>
      </c>
      <c r="K604">
        <v>0.41399999999999998</v>
      </c>
      <c r="L604">
        <v>30</v>
      </c>
      <c r="M604">
        <v>10</v>
      </c>
      <c r="N604">
        <v>30</v>
      </c>
      <c r="O604">
        <v>81.793000000000006</v>
      </c>
      <c r="P604">
        <v>1.1478321570000001</v>
      </c>
      <c r="Q604">
        <v>12.795999999999999</v>
      </c>
    </row>
    <row r="605" spans="1:17" s="30" customFormat="1" x14ac:dyDescent="0.2">
      <c r="A605" s="30" t="str">
        <f>IF(C605&amp;G605&amp;D605&lt;&gt;'Funnel setup'!$K$3&amp;'Funnel setup'!$K$4&amp;'Funnel setup'!$K$5,".",IF(A604=".",1,A604+1))</f>
        <v>.</v>
      </c>
      <c r="B605" s="431" t="str">
        <f t="shared" si="9"/>
        <v>Groin HerniaProviderROYAL CORNWALL HOSPITALS NHS TRUST (REF)EQ VAS</v>
      </c>
      <c r="C605" t="s">
        <v>50</v>
      </c>
      <c r="D605" t="s">
        <v>1</v>
      </c>
      <c r="E605" t="s">
        <v>3745</v>
      </c>
      <c r="F605" t="s">
        <v>3746</v>
      </c>
      <c r="G605" t="s">
        <v>179</v>
      </c>
      <c r="H605">
        <v>110</v>
      </c>
      <c r="I605">
        <v>82.236000000000004</v>
      </c>
      <c r="J605">
        <v>80.817999999999998</v>
      </c>
      <c r="K605">
        <v>-1.4179999999999999</v>
      </c>
      <c r="L605">
        <v>40</v>
      </c>
      <c r="M605">
        <v>20</v>
      </c>
      <c r="N605">
        <v>50</v>
      </c>
      <c r="O605">
        <v>80.442999999999998</v>
      </c>
      <c r="P605">
        <v>-0.20223247499999999</v>
      </c>
      <c r="Q605">
        <v>13.827</v>
      </c>
    </row>
    <row r="606" spans="1:17" s="30" customFormat="1" x14ac:dyDescent="0.2">
      <c r="A606" s="30" t="str">
        <f>IF(C606&amp;G606&amp;D606&lt;&gt;'Funnel setup'!$K$3&amp;'Funnel setup'!$K$4&amp;'Funnel setup'!$K$5,".",IF(A605=".",1,A605+1))</f>
        <v>.</v>
      </c>
      <c r="B606" s="431" t="str">
        <f t="shared" si="9"/>
        <v>Groin HerniaProviderROYAL DEVON AND EXETER NHS FOUNDATION TRUST (RH8)EQ VAS</v>
      </c>
      <c r="C606" t="s">
        <v>50</v>
      </c>
      <c r="D606" t="s">
        <v>1</v>
      </c>
      <c r="E606" t="s">
        <v>3442</v>
      </c>
      <c r="F606" t="s">
        <v>3443</v>
      </c>
      <c r="G606" t="s">
        <v>179</v>
      </c>
      <c r="H606">
        <v>234</v>
      </c>
      <c r="I606">
        <v>80.444000000000003</v>
      </c>
      <c r="J606">
        <v>80.462000000000003</v>
      </c>
      <c r="K606">
        <v>1.7000000000000001E-2</v>
      </c>
      <c r="L606">
        <v>96</v>
      </c>
      <c r="M606">
        <v>47</v>
      </c>
      <c r="N606">
        <v>91</v>
      </c>
      <c r="O606">
        <v>80.180999999999997</v>
      </c>
      <c r="P606">
        <v>-0.46461540000000001</v>
      </c>
      <c r="Q606">
        <v>11.914</v>
      </c>
    </row>
    <row r="607" spans="1:17" s="30" customFormat="1" x14ac:dyDescent="0.2">
      <c r="A607" s="30" t="str">
        <f>IF(C607&amp;G607&amp;D607&lt;&gt;'Funnel setup'!$K$3&amp;'Funnel setup'!$K$4&amp;'Funnel setup'!$K$5,".",IF(A606=".",1,A606+1))</f>
        <v>.</v>
      </c>
      <c r="B607" s="431" t="str">
        <f t="shared" si="9"/>
        <v>Groin HerniaProviderROYAL FREE LONDON NHS FOUNDATION TRUST (RAL)EQ VAS</v>
      </c>
      <c r="C607" t="s">
        <v>50</v>
      </c>
      <c r="D607" t="s">
        <v>1</v>
      </c>
      <c r="E607" t="s">
        <v>3445</v>
      </c>
      <c r="F607" t="s">
        <v>3446</v>
      </c>
      <c r="G607" t="s">
        <v>179</v>
      </c>
      <c r="H607">
        <v>43</v>
      </c>
      <c r="I607">
        <v>80.790999999999997</v>
      </c>
      <c r="J607">
        <v>79.837000000000003</v>
      </c>
      <c r="K607">
        <v>-0.95299999999999996</v>
      </c>
      <c r="L607">
        <v>15</v>
      </c>
      <c r="M607">
        <v>12</v>
      </c>
      <c r="N607">
        <v>16</v>
      </c>
      <c r="O607">
        <v>79.332999999999998</v>
      </c>
      <c r="P607">
        <v>-1.312337984</v>
      </c>
      <c r="Q607">
        <v>13.678000000000001</v>
      </c>
    </row>
    <row r="608" spans="1:17" s="30" customFormat="1" x14ac:dyDescent="0.2">
      <c r="A608" s="30" t="str">
        <f>IF(C608&amp;G608&amp;D608&lt;&gt;'Funnel setup'!$K$3&amp;'Funnel setup'!$K$4&amp;'Funnel setup'!$K$5,".",IF(A607=".",1,A607+1))</f>
        <v>.</v>
      </c>
      <c r="B608" s="431" t="str">
        <f t="shared" si="9"/>
        <v>Groin HerniaProviderROYAL LIVERPOOL AND BROADGREEN UNIVERSITY HOSPITALS NHS TRUST (RQ6)EQ VAS</v>
      </c>
      <c r="C608" t="s">
        <v>50</v>
      </c>
      <c r="D608" t="s">
        <v>1</v>
      </c>
      <c r="E608" t="s">
        <v>3448</v>
      </c>
      <c r="F608" t="s">
        <v>3449</v>
      </c>
      <c r="G608" t="s">
        <v>179</v>
      </c>
      <c r="H608">
        <v>75</v>
      </c>
      <c r="I608">
        <v>80.52</v>
      </c>
      <c r="J608">
        <v>79.52</v>
      </c>
      <c r="K608">
        <v>-1</v>
      </c>
      <c r="L608">
        <v>32</v>
      </c>
      <c r="M608">
        <v>12</v>
      </c>
      <c r="N608">
        <v>31</v>
      </c>
      <c r="O608">
        <v>81.62</v>
      </c>
      <c r="P608">
        <v>0.97505686599999997</v>
      </c>
      <c r="Q608">
        <v>12.747999999999999</v>
      </c>
    </row>
    <row r="609" spans="1:17" s="30" customFormat="1" x14ac:dyDescent="0.2">
      <c r="A609" s="30" t="str">
        <f>IF(C609&amp;G609&amp;D609&lt;&gt;'Funnel setup'!$K$3&amp;'Funnel setup'!$K$4&amp;'Funnel setup'!$K$5,".",IF(A608=".",1,A608+1))</f>
        <v>.</v>
      </c>
      <c r="B609" s="431" t="str">
        <f t="shared" si="9"/>
        <v>Groin HerniaProviderROYAL SURREY COUNTY HOSPITAL NHS FOUNDATION TRUST (RA2)EQ VAS</v>
      </c>
      <c r="C609" t="s">
        <v>50</v>
      </c>
      <c r="D609" t="s">
        <v>1</v>
      </c>
      <c r="E609" t="s">
        <v>3451</v>
      </c>
      <c r="F609" t="s">
        <v>3452</v>
      </c>
      <c r="G609" t="s">
        <v>179</v>
      </c>
      <c r="H609">
        <v>158</v>
      </c>
      <c r="I609">
        <v>80.290999999999997</v>
      </c>
      <c r="J609">
        <v>83.891999999999996</v>
      </c>
      <c r="K609">
        <v>3.601</v>
      </c>
      <c r="L609">
        <v>76</v>
      </c>
      <c r="M609">
        <v>28</v>
      </c>
      <c r="N609">
        <v>54</v>
      </c>
      <c r="O609">
        <v>82.823999999999998</v>
      </c>
      <c r="P609">
        <v>2.1781896710000002</v>
      </c>
      <c r="Q609">
        <v>9.7469999999999999</v>
      </c>
    </row>
    <row r="610" spans="1:17" s="30" customFormat="1" x14ac:dyDescent="0.2">
      <c r="A610" s="30" t="str">
        <f>IF(C610&amp;G610&amp;D610&lt;&gt;'Funnel setup'!$K$3&amp;'Funnel setup'!$K$4&amp;'Funnel setup'!$K$5,".",IF(A609=".",1,A609+1))</f>
        <v>.</v>
      </c>
      <c r="B610" s="431" t="str">
        <f t="shared" si="9"/>
        <v>Groin HerniaProviderROYAL UNITED HOSPITALS BATH NHS FOUNDATION TRUST (RD1)EQ VAS</v>
      </c>
      <c r="C610" t="s">
        <v>50</v>
      </c>
      <c r="D610" t="s">
        <v>1</v>
      </c>
      <c r="E610" t="s">
        <v>3454</v>
      </c>
      <c r="F610" t="s">
        <v>3455</v>
      </c>
      <c r="G610" t="s">
        <v>179</v>
      </c>
      <c r="H610">
        <v>97</v>
      </c>
      <c r="I610">
        <v>80.897000000000006</v>
      </c>
      <c r="J610">
        <v>79.638999999999996</v>
      </c>
      <c r="K610">
        <v>-1.258</v>
      </c>
      <c r="L610">
        <v>30</v>
      </c>
      <c r="M610">
        <v>21</v>
      </c>
      <c r="N610">
        <v>46</v>
      </c>
      <c r="O610">
        <v>79.858000000000004</v>
      </c>
      <c r="P610">
        <v>-0.78711737999999998</v>
      </c>
      <c r="Q610">
        <v>11.68</v>
      </c>
    </row>
    <row r="611" spans="1:17" s="30" customFormat="1" x14ac:dyDescent="0.2">
      <c r="A611" s="30" t="str">
        <f>IF(C611&amp;G611&amp;D611&lt;&gt;'Funnel setup'!$K$3&amp;'Funnel setup'!$K$4&amp;'Funnel setup'!$K$5,".",IF(A610=".",1,A610+1))</f>
        <v>.</v>
      </c>
      <c r="B611" s="431" t="str">
        <f t="shared" si="9"/>
        <v>Groin HerniaProviderSALFORD ROYAL NHS FOUNDATION TRUST (RM3)EQ VAS</v>
      </c>
      <c r="C611" t="s">
        <v>50</v>
      </c>
      <c r="D611" t="s">
        <v>1</v>
      </c>
      <c r="E611" t="s">
        <v>3457</v>
      </c>
      <c r="F611" t="s">
        <v>3458</v>
      </c>
      <c r="G611" t="s">
        <v>179</v>
      </c>
      <c r="H611">
        <v>35</v>
      </c>
      <c r="I611">
        <v>82.286000000000001</v>
      </c>
      <c r="J611">
        <v>78.629000000000005</v>
      </c>
      <c r="K611">
        <v>-3.657</v>
      </c>
      <c r="L611">
        <v>13</v>
      </c>
      <c r="M611">
        <v>7</v>
      </c>
      <c r="N611">
        <v>15</v>
      </c>
      <c r="O611">
        <v>78.540999999999997</v>
      </c>
      <c r="P611">
        <v>-2.1047272170000002</v>
      </c>
      <c r="Q611">
        <v>15.894</v>
      </c>
    </row>
    <row r="612" spans="1:17" s="30" customFormat="1" x14ac:dyDescent="0.2">
      <c r="A612" s="30" t="str">
        <f>IF(C612&amp;G612&amp;D612&lt;&gt;'Funnel setup'!$K$3&amp;'Funnel setup'!$K$4&amp;'Funnel setup'!$K$5,".",IF(A611=".",1,A611+1))</f>
        <v>.</v>
      </c>
      <c r="B612" s="431" t="str">
        <f t="shared" si="9"/>
        <v>Groin HerniaProviderSALISBURY NHS FOUNDATION TRUST (RNZ)EQ VAS</v>
      </c>
      <c r="C612" t="s">
        <v>50</v>
      </c>
      <c r="D612" t="s">
        <v>1</v>
      </c>
      <c r="E612" t="s">
        <v>3460</v>
      </c>
      <c r="F612" t="s">
        <v>3461</v>
      </c>
      <c r="G612" t="s">
        <v>179</v>
      </c>
      <c r="H612">
        <v>62</v>
      </c>
      <c r="I612">
        <v>81.531999999999996</v>
      </c>
      <c r="J612">
        <v>86.081000000000003</v>
      </c>
      <c r="K612">
        <v>4.548</v>
      </c>
      <c r="L612">
        <v>37</v>
      </c>
      <c r="M612">
        <v>8</v>
      </c>
      <c r="N612">
        <v>17</v>
      </c>
      <c r="O612">
        <v>85.320999999999998</v>
      </c>
      <c r="P612">
        <v>4.6756846220000003</v>
      </c>
      <c r="Q612">
        <v>10.597</v>
      </c>
    </row>
    <row r="613" spans="1:17" s="30" customFormat="1" x14ac:dyDescent="0.2">
      <c r="A613" s="30" t="str">
        <f>IF(C613&amp;G613&amp;D613&lt;&gt;'Funnel setup'!$K$3&amp;'Funnel setup'!$K$4&amp;'Funnel setup'!$K$5,".",IF(A612=".",1,A612+1))</f>
        <v>.</v>
      </c>
      <c r="B613" s="431" t="str">
        <f t="shared" si="9"/>
        <v>Groin HerniaProviderSANDWELL AND WEST BIRMINGHAM HOSPITALS NHS TRUST (RXK)EQ VAS</v>
      </c>
      <c r="C613" t="s">
        <v>50</v>
      </c>
      <c r="D613" t="s">
        <v>1</v>
      </c>
      <c r="E613" t="s">
        <v>3463</v>
      </c>
      <c r="F613" t="s">
        <v>3464</v>
      </c>
      <c r="G613" t="s">
        <v>179</v>
      </c>
      <c r="H613">
        <v>154</v>
      </c>
      <c r="I613">
        <v>81.792000000000002</v>
      </c>
      <c r="J613">
        <v>79.247</v>
      </c>
      <c r="K613">
        <v>-2.5449999999999999</v>
      </c>
      <c r="L613">
        <v>48</v>
      </c>
      <c r="M613">
        <v>34</v>
      </c>
      <c r="N613">
        <v>72</v>
      </c>
      <c r="O613">
        <v>79.989000000000004</v>
      </c>
      <c r="P613">
        <v>-0.65604228899999995</v>
      </c>
      <c r="Q613">
        <v>12.422000000000001</v>
      </c>
    </row>
    <row r="614" spans="1:17" s="30" customFormat="1" x14ac:dyDescent="0.2">
      <c r="A614" s="30" t="str">
        <f>IF(C614&amp;G614&amp;D614&lt;&gt;'Funnel setup'!$K$3&amp;'Funnel setup'!$K$4&amp;'Funnel setup'!$K$5,".",IF(A613=".",1,A613+1))</f>
        <v>.</v>
      </c>
      <c r="B614" s="431" t="str">
        <f t="shared" si="9"/>
        <v>Groin HerniaProviderSHEFFIELD TEACHING HOSPITALS NHS FOUNDATION TRUST (RHQ)EQ VAS</v>
      </c>
      <c r="C614" t="s">
        <v>50</v>
      </c>
      <c r="D614" t="s">
        <v>1</v>
      </c>
      <c r="E614" t="s">
        <v>3466</v>
      </c>
      <c r="F614" t="s">
        <v>3467</v>
      </c>
      <c r="G614" t="s">
        <v>179</v>
      </c>
      <c r="H614">
        <v>192</v>
      </c>
      <c r="I614">
        <v>77.911000000000001</v>
      </c>
      <c r="J614">
        <v>76.688000000000002</v>
      </c>
      <c r="K614">
        <v>-1.224</v>
      </c>
      <c r="L614">
        <v>76</v>
      </c>
      <c r="M614">
        <v>34</v>
      </c>
      <c r="N614">
        <v>82</v>
      </c>
      <c r="O614">
        <v>79.989999999999995</v>
      </c>
      <c r="P614">
        <v>-0.65571954099999996</v>
      </c>
      <c r="Q614">
        <v>13.138</v>
      </c>
    </row>
    <row r="615" spans="1:17" s="30" customFormat="1" x14ac:dyDescent="0.2">
      <c r="A615" s="30" t="str">
        <f>IF(C615&amp;G615&amp;D615&lt;&gt;'Funnel setup'!$K$3&amp;'Funnel setup'!$K$4&amp;'Funnel setup'!$K$5,".",IF(A614=".",1,A614+1))</f>
        <v>.</v>
      </c>
      <c r="B615" s="431" t="str">
        <f t="shared" si="9"/>
        <v>Groin HerniaProviderSHEPTON MALLET NHS TREATMENT CENTRE (NTPH1)EQ VAS</v>
      </c>
      <c r="C615" t="s">
        <v>50</v>
      </c>
      <c r="D615" t="s">
        <v>1</v>
      </c>
      <c r="E615" t="s">
        <v>3472</v>
      </c>
      <c r="F615" t="s">
        <v>3473</v>
      </c>
      <c r="G615" t="s">
        <v>179</v>
      </c>
      <c r="H615">
        <v>188</v>
      </c>
      <c r="I615">
        <v>85.622</v>
      </c>
      <c r="J615">
        <v>84.25</v>
      </c>
      <c r="K615">
        <v>-1.3720000000000001</v>
      </c>
      <c r="L615">
        <v>66</v>
      </c>
      <c r="M615">
        <v>40</v>
      </c>
      <c r="N615">
        <v>82</v>
      </c>
      <c r="O615">
        <v>80.459000000000003</v>
      </c>
      <c r="P615">
        <v>-0.186617475</v>
      </c>
      <c r="Q615">
        <v>10.88</v>
      </c>
    </row>
    <row r="616" spans="1:17" s="30" customFormat="1" x14ac:dyDescent="0.2">
      <c r="A616" s="30" t="str">
        <f>IF(C616&amp;G616&amp;D616&lt;&gt;'Funnel setup'!$K$3&amp;'Funnel setup'!$K$4&amp;'Funnel setup'!$K$5,".",IF(A615=".",1,A615+1))</f>
        <v>.</v>
      </c>
      <c r="B616" s="431" t="str">
        <f t="shared" si="9"/>
        <v>Groin HerniaProviderSHERWOOD FOREST HOSPITALS NHS FOUNDATION TRUST (RK5)EQ VAS</v>
      </c>
      <c r="C616" t="s">
        <v>50</v>
      </c>
      <c r="D616" t="s">
        <v>1</v>
      </c>
      <c r="E616" t="s">
        <v>3475</v>
      </c>
      <c r="F616" t="s">
        <v>3476</v>
      </c>
      <c r="G616" t="s">
        <v>179</v>
      </c>
      <c r="H616">
        <v>232</v>
      </c>
      <c r="I616">
        <v>79.22</v>
      </c>
      <c r="J616">
        <v>78.138000000000005</v>
      </c>
      <c r="K616">
        <v>-1.0820000000000001</v>
      </c>
      <c r="L616">
        <v>91</v>
      </c>
      <c r="M616">
        <v>50</v>
      </c>
      <c r="N616">
        <v>91</v>
      </c>
      <c r="O616">
        <v>79.483999999999995</v>
      </c>
      <c r="P616">
        <v>-1.1618382860000001</v>
      </c>
      <c r="Q616">
        <v>13.041</v>
      </c>
    </row>
    <row r="617" spans="1:17" s="30" customFormat="1" x14ac:dyDescent="0.2">
      <c r="A617" s="30" t="str">
        <f>IF(C617&amp;G617&amp;D617&lt;&gt;'Funnel setup'!$K$3&amp;'Funnel setup'!$K$4&amp;'Funnel setup'!$K$5,".",IF(A616=".",1,A616+1))</f>
        <v>.</v>
      </c>
      <c r="B617" s="431" t="str">
        <f t="shared" si="9"/>
        <v>Groin HerniaProviderSHREWSBURY AND TELFORD HOSPITAL NHS TRUST (RXW)EQ VAS</v>
      </c>
      <c r="C617" t="s">
        <v>50</v>
      </c>
      <c r="D617" t="s">
        <v>1</v>
      </c>
      <c r="E617" t="s">
        <v>3478</v>
      </c>
      <c r="F617" t="s">
        <v>3479</v>
      </c>
      <c r="G617" t="s">
        <v>179</v>
      </c>
      <c r="H617">
        <v>181</v>
      </c>
      <c r="I617">
        <v>77.674000000000007</v>
      </c>
      <c r="J617">
        <v>80.203999999999994</v>
      </c>
      <c r="K617">
        <v>2.5299999999999998</v>
      </c>
      <c r="L617">
        <v>79</v>
      </c>
      <c r="M617">
        <v>45</v>
      </c>
      <c r="N617">
        <v>57</v>
      </c>
      <c r="O617">
        <v>81.146000000000001</v>
      </c>
      <c r="P617">
        <v>0.50046913599999998</v>
      </c>
      <c r="Q617">
        <v>11.395</v>
      </c>
    </row>
    <row r="618" spans="1:17" s="30" customFormat="1" x14ac:dyDescent="0.2">
      <c r="A618" s="30" t="str">
        <f>IF(C618&amp;G618&amp;D618&lt;&gt;'Funnel setup'!$K$3&amp;'Funnel setup'!$K$4&amp;'Funnel setup'!$K$5,".",IF(A617=".",1,A617+1))</f>
        <v>.</v>
      </c>
      <c r="B618" s="431" t="str">
        <f t="shared" si="9"/>
        <v>Groin HerniaProviderSOUTH TEES HOSPITALS NHS FOUNDATION TRUST (RTR)EQ VAS</v>
      </c>
      <c r="C618" t="s">
        <v>50</v>
      </c>
      <c r="D618" t="s">
        <v>1</v>
      </c>
      <c r="E618" t="s">
        <v>3482</v>
      </c>
      <c r="F618" t="s">
        <v>3483</v>
      </c>
      <c r="G618" t="s">
        <v>179</v>
      </c>
      <c r="H618">
        <v>108</v>
      </c>
      <c r="I618">
        <v>77.814999999999998</v>
      </c>
      <c r="J618">
        <v>79.241</v>
      </c>
      <c r="K618">
        <v>1.4259999999999999</v>
      </c>
      <c r="L618">
        <v>44</v>
      </c>
      <c r="M618">
        <v>19</v>
      </c>
      <c r="N618">
        <v>45</v>
      </c>
      <c r="O618">
        <v>81.186999999999998</v>
      </c>
      <c r="P618">
        <v>0.54195777999999994</v>
      </c>
      <c r="Q618">
        <v>11.005000000000001</v>
      </c>
    </row>
    <row r="619" spans="1:17" s="30" customFormat="1" x14ac:dyDescent="0.2">
      <c r="A619" s="30" t="str">
        <f>IF(C619&amp;G619&amp;D619&lt;&gt;'Funnel setup'!$K$3&amp;'Funnel setup'!$K$4&amp;'Funnel setup'!$K$5,".",IF(A618=".",1,A618+1))</f>
        <v>.</v>
      </c>
      <c r="B619" s="431" t="str">
        <f t="shared" si="9"/>
        <v>Groin HerniaProviderSOUTH TYNESIDE NHS FOUNDATION TRUST (RE9)EQ VAS</v>
      </c>
      <c r="C619" t="s">
        <v>50</v>
      </c>
      <c r="D619" t="s">
        <v>1</v>
      </c>
      <c r="E619" t="s">
        <v>3485</v>
      </c>
      <c r="F619" t="s">
        <v>3486</v>
      </c>
      <c r="G619" t="s">
        <v>179</v>
      </c>
      <c r="H619">
        <v>63</v>
      </c>
      <c r="I619">
        <v>78.063000000000002</v>
      </c>
      <c r="J619">
        <v>75.174999999999997</v>
      </c>
      <c r="K619">
        <v>-2.8889999999999998</v>
      </c>
      <c r="L619">
        <v>23</v>
      </c>
      <c r="M619">
        <v>15</v>
      </c>
      <c r="N619">
        <v>25</v>
      </c>
      <c r="O619">
        <v>76.858000000000004</v>
      </c>
      <c r="P619">
        <v>-3.7874209200000002</v>
      </c>
      <c r="Q619">
        <v>14.896000000000001</v>
      </c>
    </row>
    <row r="620" spans="1:17" s="30" customFormat="1" x14ac:dyDescent="0.2">
      <c r="A620" s="30" t="str">
        <f>IF(C620&amp;G620&amp;D620&lt;&gt;'Funnel setup'!$K$3&amp;'Funnel setup'!$K$4&amp;'Funnel setup'!$K$5,".",IF(A619=".",1,A619+1))</f>
        <v>.</v>
      </c>
      <c r="B620" s="431" t="str">
        <f t="shared" si="9"/>
        <v>Groin HerniaProviderSOUTH WARWICKSHIRE NHS FOUNDATION TRUST (RJC)EQ VAS</v>
      </c>
      <c r="C620" t="s">
        <v>50</v>
      </c>
      <c r="D620" t="s">
        <v>1</v>
      </c>
      <c r="E620" t="s">
        <v>3421</v>
      </c>
      <c r="F620" t="s">
        <v>3422</v>
      </c>
      <c r="G620" t="s">
        <v>179</v>
      </c>
      <c r="H620">
        <v>198</v>
      </c>
      <c r="I620">
        <v>81.197000000000003</v>
      </c>
      <c r="J620">
        <v>80.869</v>
      </c>
      <c r="K620">
        <v>-0.32800000000000001</v>
      </c>
      <c r="L620">
        <v>86</v>
      </c>
      <c r="M620">
        <v>37</v>
      </c>
      <c r="N620">
        <v>75</v>
      </c>
      <c r="O620">
        <v>80.784999999999997</v>
      </c>
      <c r="P620">
        <v>0.139710905</v>
      </c>
      <c r="Q620">
        <v>10.989000000000001</v>
      </c>
    </row>
    <row r="621" spans="1:17" s="30" customFormat="1" x14ac:dyDescent="0.2">
      <c r="A621" s="30" t="str">
        <f>IF(C621&amp;G621&amp;D621&lt;&gt;'Funnel setup'!$K$3&amp;'Funnel setup'!$K$4&amp;'Funnel setup'!$K$5,".",IF(A620=".",1,A620+1))</f>
        <v>.</v>
      </c>
      <c r="B621" s="431" t="str">
        <f t="shared" si="9"/>
        <v>Groin HerniaProviderSOUTHAMPTON NHS TREATMENT CENTRE (NTP11)EQ VAS</v>
      </c>
      <c r="C621" t="s">
        <v>50</v>
      </c>
      <c r="D621" t="s">
        <v>1</v>
      </c>
      <c r="E621" t="s">
        <v>3424</v>
      </c>
      <c r="F621" t="s">
        <v>3425</v>
      </c>
      <c r="G621" t="s">
        <v>179</v>
      </c>
      <c r="H621">
        <v>131</v>
      </c>
      <c r="I621">
        <v>84.099000000000004</v>
      </c>
      <c r="J621">
        <v>81.564999999999998</v>
      </c>
      <c r="K621">
        <v>-2.5339999999999998</v>
      </c>
      <c r="L621">
        <v>46</v>
      </c>
      <c r="M621">
        <v>27</v>
      </c>
      <c r="N621">
        <v>58</v>
      </c>
      <c r="O621">
        <v>79.007999999999996</v>
      </c>
      <c r="P621">
        <v>-1.637346073</v>
      </c>
      <c r="Q621">
        <v>11.788</v>
      </c>
    </row>
    <row r="622" spans="1:17" s="30" customFormat="1" x14ac:dyDescent="0.2">
      <c r="A622" s="30" t="str">
        <f>IF(C622&amp;G622&amp;D622&lt;&gt;'Funnel setup'!$K$3&amp;'Funnel setup'!$K$4&amp;'Funnel setup'!$K$5,".",IF(A621=".",1,A621+1))</f>
        <v>.</v>
      </c>
      <c r="B622" s="431" t="str">
        <f t="shared" si="9"/>
        <v>Groin HerniaProviderSOUTHEND UNIVERSITY HOSPITAL NHS FOUNDATION TRUST (RAJ)EQ VAS</v>
      </c>
      <c r="C622" t="s">
        <v>50</v>
      </c>
      <c r="D622" t="s">
        <v>1</v>
      </c>
      <c r="E622" t="s">
        <v>3427</v>
      </c>
      <c r="F622" t="s">
        <v>3428</v>
      </c>
      <c r="G622" t="s">
        <v>179</v>
      </c>
      <c r="H622">
        <v>83</v>
      </c>
      <c r="I622">
        <v>81.325000000000003</v>
      </c>
      <c r="J622">
        <v>77.662999999999997</v>
      </c>
      <c r="K622">
        <v>-3.6629999999999998</v>
      </c>
      <c r="L622">
        <v>28</v>
      </c>
      <c r="M622">
        <v>16</v>
      </c>
      <c r="N622">
        <v>39</v>
      </c>
      <c r="O622">
        <v>78.161000000000001</v>
      </c>
      <c r="P622">
        <v>-2.484756236</v>
      </c>
      <c r="Q622">
        <v>12.438000000000001</v>
      </c>
    </row>
    <row r="623" spans="1:17" s="30" customFormat="1" x14ac:dyDescent="0.2">
      <c r="A623" s="30" t="str">
        <f>IF(C623&amp;G623&amp;D623&lt;&gt;'Funnel setup'!$K$3&amp;'Funnel setup'!$K$4&amp;'Funnel setup'!$K$5,".",IF(A622=".",1,A622+1))</f>
        <v>.</v>
      </c>
      <c r="B623" s="431" t="str">
        <f t="shared" si="9"/>
        <v>Groin HerniaProviderSOUTHERN HEALTH NHS FOUNDATION TRUST (RW1)EQ VAS</v>
      </c>
      <c r="C623" t="s">
        <v>50</v>
      </c>
      <c r="D623" t="s">
        <v>1</v>
      </c>
      <c r="E623" t="s">
        <v>3406</v>
      </c>
      <c r="F623" t="s">
        <v>3407</v>
      </c>
      <c r="G623" t="s">
        <v>179</v>
      </c>
      <c r="H623">
        <v>70</v>
      </c>
      <c r="I623">
        <v>81.643000000000001</v>
      </c>
      <c r="J623">
        <v>81.414000000000001</v>
      </c>
      <c r="K623">
        <v>-0.22900000000000001</v>
      </c>
      <c r="L623">
        <v>30</v>
      </c>
      <c r="M623">
        <v>10</v>
      </c>
      <c r="N623">
        <v>30</v>
      </c>
      <c r="O623">
        <v>80.16</v>
      </c>
      <c r="P623">
        <v>-0.485775872</v>
      </c>
      <c r="Q623">
        <v>11.111000000000001</v>
      </c>
    </row>
    <row r="624" spans="1:17" s="30" customFormat="1" x14ac:dyDescent="0.2">
      <c r="A624" s="30" t="str">
        <f>IF(C624&amp;G624&amp;D624&lt;&gt;'Funnel setup'!$K$3&amp;'Funnel setup'!$K$4&amp;'Funnel setup'!$K$5,".",IF(A623=".",1,A623+1))</f>
        <v>.</v>
      </c>
      <c r="B624" s="431" t="str">
        <f t="shared" si="9"/>
        <v>Groin HerniaProviderSOUTHPORT AND ORMSKIRK HOSPITAL NHS TRUST (RVY)EQ VAS</v>
      </c>
      <c r="C624" t="s">
        <v>50</v>
      </c>
      <c r="D624" t="s">
        <v>1</v>
      </c>
      <c r="E624" t="s">
        <v>3430</v>
      </c>
      <c r="F624" t="s">
        <v>3431</v>
      </c>
      <c r="G624" t="s">
        <v>179</v>
      </c>
      <c r="H624">
        <v>121</v>
      </c>
      <c r="I624">
        <v>80.744</v>
      </c>
      <c r="J624">
        <v>78.272999999999996</v>
      </c>
      <c r="K624">
        <v>-2.4710000000000001</v>
      </c>
      <c r="L624">
        <v>37</v>
      </c>
      <c r="M624">
        <v>26</v>
      </c>
      <c r="N624">
        <v>58</v>
      </c>
      <c r="O624">
        <v>78.709999999999994</v>
      </c>
      <c r="P624">
        <v>-1.9350848110000001</v>
      </c>
      <c r="Q624">
        <v>15.090999999999999</v>
      </c>
    </row>
    <row r="625" spans="1:17" s="30" customFormat="1" x14ac:dyDescent="0.2">
      <c r="A625" s="30" t="str">
        <f>IF(C625&amp;G625&amp;D625&lt;&gt;'Funnel setup'!$K$3&amp;'Funnel setup'!$K$4&amp;'Funnel setup'!$K$5,".",IF(A624=".",1,A624+1))</f>
        <v>.</v>
      </c>
      <c r="B625" s="431" t="str">
        <f t="shared" si="9"/>
        <v>Groin HerniaProviderSPIRE ALEXANDRA HOSPITAL (NT312)EQ VAS</v>
      </c>
      <c r="C625" t="s">
        <v>50</v>
      </c>
      <c r="D625" t="s">
        <v>1</v>
      </c>
      <c r="E625" t="s">
        <v>3433</v>
      </c>
      <c r="F625" t="s">
        <v>3434</v>
      </c>
      <c r="G625" t="s">
        <v>179</v>
      </c>
      <c r="H625">
        <v>17</v>
      </c>
      <c r="I625">
        <v>81.941000000000003</v>
      </c>
      <c r="J625">
        <v>81.765000000000001</v>
      </c>
      <c r="K625">
        <v>-0.17599999999999999</v>
      </c>
      <c r="L625">
        <v>4</v>
      </c>
      <c r="M625">
        <v>8</v>
      </c>
      <c r="N625">
        <v>5</v>
      </c>
      <c r="O625" t="s">
        <v>53</v>
      </c>
      <c r="P625" t="s">
        <v>53</v>
      </c>
      <c r="Q625" t="s">
        <v>53</v>
      </c>
    </row>
    <row r="626" spans="1:17" s="30" customFormat="1" x14ac:dyDescent="0.2">
      <c r="A626" s="30" t="str">
        <f>IF(C626&amp;G626&amp;D626&lt;&gt;'Funnel setup'!$K$3&amp;'Funnel setup'!$K$4&amp;'Funnel setup'!$K$5,".",IF(A625=".",1,A625+1))</f>
        <v>.</v>
      </c>
      <c r="B626" s="431" t="str">
        <f t="shared" si="9"/>
        <v>Groin HerniaProviderSPIRE CAMBRIDGE LEA HOSPITAL (NT317)EQ VAS</v>
      </c>
      <c r="C626" t="s">
        <v>50</v>
      </c>
      <c r="D626" t="s">
        <v>1</v>
      </c>
      <c r="E626" t="s">
        <v>3436</v>
      </c>
      <c r="F626" t="s">
        <v>3437</v>
      </c>
      <c r="G626" t="s">
        <v>179</v>
      </c>
      <c r="H626">
        <v>17</v>
      </c>
      <c r="I626">
        <v>75.823999999999998</v>
      </c>
      <c r="J626">
        <v>80.176000000000002</v>
      </c>
      <c r="K626">
        <v>4.3529999999999998</v>
      </c>
      <c r="L626">
        <v>8</v>
      </c>
      <c r="M626">
        <v>4</v>
      </c>
      <c r="N626">
        <v>5</v>
      </c>
      <c r="O626" t="s">
        <v>53</v>
      </c>
      <c r="P626" t="s">
        <v>53</v>
      </c>
      <c r="Q626" t="s">
        <v>53</v>
      </c>
    </row>
    <row r="627" spans="1:17" s="30" customFormat="1" x14ac:dyDescent="0.2">
      <c r="A627" s="30" t="str">
        <f>IF(C627&amp;G627&amp;D627&lt;&gt;'Funnel setup'!$K$3&amp;'Funnel setup'!$K$4&amp;'Funnel setup'!$K$5,".",IF(A626=".",1,A626+1))</f>
        <v>.</v>
      </c>
      <c r="B627" s="431" t="str">
        <f t="shared" si="9"/>
        <v>Groin HerniaProviderSPIRE CHESHIRE HOSPITAL (NT324)EQ VAS</v>
      </c>
      <c r="C627" t="s">
        <v>50</v>
      </c>
      <c r="D627" t="s">
        <v>1</v>
      </c>
      <c r="E627" t="s">
        <v>3439</v>
      </c>
      <c r="F627" t="s">
        <v>3440</v>
      </c>
      <c r="G627" t="s">
        <v>179</v>
      </c>
      <c r="H627">
        <v>26</v>
      </c>
      <c r="I627">
        <v>83.885000000000005</v>
      </c>
      <c r="J627">
        <v>81.730999999999995</v>
      </c>
      <c r="K627">
        <v>-2.1539999999999999</v>
      </c>
      <c r="L627">
        <v>9</v>
      </c>
      <c r="M627">
        <v>4</v>
      </c>
      <c r="N627">
        <v>13</v>
      </c>
      <c r="O627" t="s">
        <v>53</v>
      </c>
      <c r="P627" t="s">
        <v>53</v>
      </c>
      <c r="Q627" t="s">
        <v>53</v>
      </c>
    </row>
    <row r="628" spans="1:17" s="30" customFormat="1" x14ac:dyDescent="0.2">
      <c r="A628" s="30" t="str">
        <f>IF(C628&amp;G628&amp;D628&lt;&gt;'Funnel setup'!$K$3&amp;'Funnel setup'!$K$4&amp;'Funnel setup'!$K$5,".",IF(A627=".",1,A627+1))</f>
        <v>.</v>
      </c>
      <c r="B628" s="431" t="str">
        <f t="shared" si="9"/>
        <v>Groin HerniaProviderSPIRE CLARE PARK HOSPITAL (NT345)EQ VAS</v>
      </c>
      <c r="C628" t="s">
        <v>50</v>
      </c>
      <c r="D628" t="s">
        <v>1</v>
      </c>
      <c r="E628" t="s">
        <v>3412</v>
      </c>
      <c r="F628" t="s">
        <v>3413</v>
      </c>
      <c r="G628" t="s">
        <v>179</v>
      </c>
      <c r="H628" t="s">
        <v>53</v>
      </c>
      <c r="I628" t="s">
        <v>53</v>
      </c>
      <c r="J628" t="s">
        <v>53</v>
      </c>
      <c r="K628" t="s">
        <v>53</v>
      </c>
      <c r="L628" t="s">
        <v>53</v>
      </c>
      <c r="M628" t="s">
        <v>53</v>
      </c>
      <c r="N628" t="s">
        <v>53</v>
      </c>
      <c r="O628" t="s">
        <v>53</v>
      </c>
      <c r="P628" t="s">
        <v>53</v>
      </c>
      <c r="Q628" t="s">
        <v>53</v>
      </c>
    </row>
    <row r="629" spans="1:17" s="30" customFormat="1" x14ac:dyDescent="0.2">
      <c r="A629" s="30" t="str">
        <f>IF(C629&amp;G629&amp;D629&lt;&gt;'Funnel setup'!$K$3&amp;'Funnel setup'!$K$4&amp;'Funnel setup'!$K$5,".",IF(A628=".",1,A628+1))</f>
        <v>.</v>
      </c>
      <c r="B629" s="431" t="str">
        <f t="shared" si="9"/>
        <v>Groin HerniaProviderSPIRE DUNEDIN HOSPITAL (NT344)EQ VAS</v>
      </c>
      <c r="C629" t="s">
        <v>50</v>
      </c>
      <c r="D629" t="s">
        <v>1</v>
      </c>
      <c r="E629" t="s">
        <v>3415</v>
      </c>
      <c r="F629" t="s">
        <v>3416</v>
      </c>
      <c r="G629" t="s">
        <v>179</v>
      </c>
      <c r="H629">
        <v>31</v>
      </c>
      <c r="I629">
        <v>83.451999999999998</v>
      </c>
      <c r="J629">
        <v>82.613</v>
      </c>
      <c r="K629">
        <v>-0.83899999999999997</v>
      </c>
      <c r="L629">
        <v>12</v>
      </c>
      <c r="M629">
        <v>7</v>
      </c>
      <c r="N629">
        <v>12</v>
      </c>
      <c r="O629">
        <v>81.81</v>
      </c>
      <c r="P629">
        <v>1.1641466039999999</v>
      </c>
      <c r="Q629">
        <v>9.3919999999999995</v>
      </c>
    </row>
    <row r="630" spans="1:17" s="30" customFormat="1" x14ac:dyDescent="0.2">
      <c r="A630" s="30" t="str">
        <f>IF(C630&amp;G630&amp;D630&lt;&gt;'Funnel setup'!$K$3&amp;'Funnel setup'!$K$4&amp;'Funnel setup'!$K$5,".",IF(A629=".",1,A629+1))</f>
        <v>.</v>
      </c>
      <c r="B630" s="431" t="str">
        <f t="shared" si="9"/>
        <v>Groin HerniaProviderSPIRE ELLAND HOSPITAL (NT348)EQ VAS</v>
      </c>
      <c r="C630" t="s">
        <v>50</v>
      </c>
      <c r="D630" t="s">
        <v>1</v>
      </c>
      <c r="E630" t="s">
        <v>3418</v>
      </c>
      <c r="F630" t="s">
        <v>3419</v>
      </c>
      <c r="G630" t="s">
        <v>179</v>
      </c>
      <c r="H630">
        <v>41</v>
      </c>
      <c r="I630">
        <v>81.805000000000007</v>
      </c>
      <c r="J630">
        <v>84.706999999999994</v>
      </c>
      <c r="K630">
        <v>2.9020000000000001</v>
      </c>
      <c r="L630">
        <v>18</v>
      </c>
      <c r="M630">
        <v>12</v>
      </c>
      <c r="N630">
        <v>11</v>
      </c>
      <c r="O630">
        <v>84.295000000000002</v>
      </c>
      <c r="P630">
        <v>3.6490923130000001</v>
      </c>
      <c r="Q630">
        <v>10.85</v>
      </c>
    </row>
    <row r="631" spans="1:17" s="30" customFormat="1" x14ac:dyDescent="0.2">
      <c r="A631" s="30" t="str">
        <f>IF(C631&amp;G631&amp;D631&lt;&gt;'Funnel setup'!$K$3&amp;'Funnel setup'!$K$4&amp;'Funnel setup'!$K$5,".",IF(A630=".",1,A630+1))</f>
        <v>.</v>
      </c>
      <c r="B631" s="431" t="str">
        <f t="shared" si="9"/>
        <v>Groin HerniaProviderSPIRE FYLDE COAST HOSPITAL (NT347)EQ VAS</v>
      </c>
      <c r="C631" t="s">
        <v>50</v>
      </c>
      <c r="D631" t="s">
        <v>1</v>
      </c>
      <c r="E631" t="s">
        <v>4370</v>
      </c>
      <c r="F631" t="s">
        <v>4371</v>
      </c>
      <c r="G631" t="s">
        <v>179</v>
      </c>
      <c r="H631" t="s">
        <v>53</v>
      </c>
      <c r="I631" t="s">
        <v>53</v>
      </c>
      <c r="J631" t="s">
        <v>53</v>
      </c>
      <c r="K631" t="s">
        <v>53</v>
      </c>
      <c r="L631" t="s">
        <v>53</v>
      </c>
      <c r="M631" t="s">
        <v>53</v>
      </c>
      <c r="N631" t="s">
        <v>53</v>
      </c>
      <c r="O631" t="s">
        <v>53</v>
      </c>
      <c r="P631" t="s">
        <v>53</v>
      </c>
      <c r="Q631" t="s">
        <v>53</v>
      </c>
    </row>
    <row r="632" spans="1:17" s="30" customFormat="1" x14ac:dyDescent="0.2">
      <c r="A632" s="30" t="str">
        <f>IF(C632&amp;G632&amp;D632&lt;&gt;'Funnel setup'!$K$3&amp;'Funnel setup'!$K$4&amp;'Funnel setup'!$K$5,".",IF(A631=".",1,A631+1))</f>
        <v>.</v>
      </c>
      <c r="B632" s="431" t="str">
        <f t="shared" si="9"/>
        <v>Groin HerniaProviderSPIRE GATWICK PARK HOSPITAL (NT308)EQ VAS</v>
      </c>
      <c r="C632" t="s">
        <v>50</v>
      </c>
      <c r="D632" t="s">
        <v>1</v>
      </c>
      <c r="E632" t="s">
        <v>3409</v>
      </c>
      <c r="F632" t="s">
        <v>3410</v>
      </c>
      <c r="G632" t="s">
        <v>179</v>
      </c>
      <c r="H632">
        <v>30</v>
      </c>
      <c r="I632">
        <v>82.533000000000001</v>
      </c>
      <c r="J632">
        <v>82.2</v>
      </c>
      <c r="K632">
        <v>-0.33300000000000002</v>
      </c>
      <c r="L632">
        <v>12</v>
      </c>
      <c r="M632">
        <v>6</v>
      </c>
      <c r="N632">
        <v>12</v>
      </c>
      <c r="O632">
        <v>81.622</v>
      </c>
      <c r="P632">
        <v>0.97657025399999997</v>
      </c>
      <c r="Q632">
        <v>9.8849999999999998</v>
      </c>
    </row>
    <row r="633" spans="1:17" s="30" customFormat="1" x14ac:dyDescent="0.2">
      <c r="A633" s="30" t="str">
        <f>IF(C633&amp;G633&amp;D633&lt;&gt;'Funnel setup'!$K$3&amp;'Funnel setup'!$K$4&amp;'Funnel setup'!$K$5,".",IF(A632=".",1,A632+1))</f>
        <v>.</v>
      </c>
      <c r="B633" s="431" t="str">
        <f t="shared" si="9"/>
        <v>Groin HerniaProviderSPIRE HARTSWOOD HOSPITAL (NT319)EQ VAS</v>
      </c>
      <c r="C633" t="s">
        <v>50</v>
      </c>
      <c r="D633" t="s">
        <v>1</v>
      </c>
      <c r="E633" t="s">
        <v>3210</v>
      </c>
      <c r="F633" t="s">
        <v>3211</v>
      </c>
      <c r="G633" t="s">
        <v>179</v>
      </c>
      <c r="H633">
        <v>16</v>
      </c>
      <c r="I633">
        <v>86.063000000000002</v>
      </c>
      <c r="J633">
        <v>86.75</v>
      </c>
      <c r="K633">
        <v>0.68799999999999994</v>
      </c>
      <c r="L633">
        <v>6</v>
      </c>
      <c r="M633">
        <v>6</v>
      </c>
      <c r="N633">
        <v>4</v>
      </c>
      <c r="O633" t="s">
        <v>53</v>
      </c>
      <c r="P633" t="s">
        <v>53</v>
      </c>
      <c r="Q633" t="s">
        <v>53</v>
      </c>
    </row>
    <row r="634" spans="1:17" s="30" customFormat="1" x14ac:dyDescent="0.2">
      <c r="A634" s="30" t="str">
        <f>IF(C634&amp;G634&amp;D634&lt;&gt;'Funnel setup'!$K$3&amp;'Funnel setup'!$K$4&amp;'Funnel setup'!$K$5,".",IF(A633=".",1,A633+1))</f>
        <v>.</v>
      </c>
      <c r="B634" s="431" t="str">
        <f t="shared" si="9"/>
        <v>Groin HerniaProviderSPIRE HULL AND EAST RIDING HOSPITAL (NT351)EQ VAS</v>
      </c>
      <c r="C634" t="s">
        <v>50</v>
      </c>
      <c r="D634" t="s">
        <v>1</v>
      </c>
      <c r="E634" t="s">
        <v>3213</v>
      </c>
      <c r="F634" t="s">
        <v>3214</v>
      </c>
      <c r="G634" t="s">
        <v>179</v>
      </c>
      <c r="H634">
        <v>96</v>
      </c>
      <c r="I634">
        <v>81.625</v>
      </c>
      <c r="J634">
        <v>79.218999999999994</v>
      </c>
      <c r="K634">
        <v>-2.4060000000000001</v>
      </c>
      <c r="L634">
        <v>37</v>
      </c>
      <c r="M634">
        <v>16</v>
      </c>
      <c r="N634">
        <v>43</v>
      </c>
      <c r="O634">
        <v>79.319000000000003</v>
      </c>
      <c r="P634">
        <v>-1.326871229</v>
      </c>
      <c r="Q634">
        <v>13.513</v>
      </c>
    </row>
    <row r="635" spans="1:17" s="30" customFormat="1" x14ac:dyDescent="0.2">
      <c r="A635" s="30" t="str">
        <f>IF(C635&amp;G635&amp;D635&lt;&gt;'Funnel setup'!$K$3&amp;'Funnel setup'!$K$4&amp;'Funnel setup'!$K$5,".",IF(A634=".",1,A634+1))</f>
        <v>.</v>
      </c>
      <c r="B635" s="431" t="str">
        <f t="shared" si="9"/>
        <v>Groin HerniaProviderSPIRE LEEDS HOSPITAL (NT332)EQ VAS</v>
      </c>
      <c r="C635" t="s">
        <v>50</v>
      </c>
      <c r="D635" t="s">
        <v>1</v>
      </c>
      <c r="E635" t="s">
        <v>3198</v>
      </c>
      <c r="F635" t="s">
        <v>3199</v>
      </c>
      <c r="G635" t="s">
        <v>179</v>
      </c>
      <c r="H635">
        <v>82</v>
      </c>
      <c r="I635">
        <v>82.683000000000007</v>
      </c>
      <c r="J635">
        <v>83.049000000000007</v>
      </c>
      <c r="K635">
        <v>0.36599999999999999</v>
      </c>
      <c r="L635">
        <v>29</v>
      </c>
      <c r="M635">
        <v>20</v>
      </c>
      <c r="N635">
        <v>33</v>
      </c>
      <c r="O635">
        <v>81.588999999999999</v>
      </c>
      <c r="P635">
        <v>0.94378712399999998</v>
      </c>
      <c r="Q635">
        <v>10.47</v>
      </c>
    </row>
    <row r="636" spans="1:17" s="30" customFormat="1" x14ac:dyDescent="0.2">
      <c r="A636" s="30" t="str">
        <f>IF(C636&amp;G636&amp;D636&lt;&gt;'Funnel setup'!$K$3&amp;'Funnel setup'!$K$4&amp;'Funnel setup'!$K$5,".",IF(A635=".",1,A635+1))</f>
        <v>.</v>
      </c>
      <c r="B636" s="431" t="str">
        <f t="shared" si="9"/>
        <v>Groin HerniaProviderSPIRE LEICESTER HOSPITAL (NT322)EQ VAS</v>
      </c>
      <c r="C636" t="s">
        <v>50</v>
      </c>
      <c r="D636" t="s">
        <v>1</v>
      </c>
      <c r="E636" t="s">
        <v>3201</v>
      </c>
      <c r="F636" t="s">
        <v>3202</v>
      </c>
      <c r="G636" t="s">
        <v>179</v>
      </c>
      <c r="H636">
        <v>84</v>
      </c>
      <c r="I636">
        <v>77.893000000000001</v>
      </c>
      <c r="J636">
        <v>79.155000000000001</v>
      </c>
      <c r="K636">
        <v>1.262</v>
      </c>
      <c r="L636">
        <v>33</v>
      </c>
      <c r="M636">
        <v>20</v>
      </c>
      <c r="N636">
        <v>31</v>
      </c>
      <c r="O636">
        <v>80.665000000000006</v>
      </c>
      <c r="P636">
        <v>1.9192378999999999E-2</v>
      </c>
      <c r="Q636">
        <v>12.159000000000001</v>
      </c>
    </row>
    <row r="637" spans="1:17" s="30" customFormat="1" x14ac:dyDescent="0.2">
      <c r="A637" s="30" t="str">
        <f>IF(C637&amp;G637&amp;D637&lt;&gt;'Funnel setup'!$K$3&amp;'Funnel setup'!$K$4&amp;'Funnel setup'!$K$5,".",IF(A636=".",1,A636+1))</f>
        <v>.</v>
      </c>
      <c r="B637" s="431" t="str">
        <f t="shared" si="9"/>
        <v>Groin HerniaProviderSPIRE LITTLE ASTON HOSPITAL (NT321)EQ VAS</v>
      </c>
      <c r="C637" t="s">
        <v>50</v>
      </c>
      <c r="D637" t="s">
        <v>1</v>
      </c>
      <c r="E637" t="s">
        <v>3921</v>
      </c>
      <c r="F637" t="s">
        <v>3922</v>
      </c>
      <c r="G637" t="s">
        <v>179</v>
      </c>
      <c r="H637">
        <v>57</v>
      </c>
      <c r="I637">
        <v>82.227999999999994</v>
      </c>
      <c r="J637">
        <v>83.614000000000004</v>
      </c>
      <c r="K637">
        <v>1.3859999999999999</v>
      </c>
      <c r="L637">
        <v>23</v>
      </c>
      <c r="M637">
        <v>11</v>
      </c>
      <c r="N637">
        <v>23</v>
      </c>
      <c r="O637">
        <v>83.453000000000003</v>
      </c>
      <c r="P637">
        <v>2.808001483</v>
      </c>
      <c r="Q637">
        <v>10.397</v>
      </c>
    </row>
    <row r="638" spans="1:17" s="30" customFormat="1" x14ac:dyDescent="0.2">
      <c r="A638" s="30" t="str">
        <f>IF(C638&amp;G638&amp;D638&lt;&gt;'Funnel setup'!$K$3&amp;'Funnel setup'!$K$4&amp;'Funnel setup'!$K$5,".",IF(A637=".",1,A637+1))</f>
        <v>.</v>
      </c>
      <c r="B638" s="431" t="str">
        <f t="shared" si="9"/>
        <v>Groin HerniaProviderSPIRE LIVERPOOL HOSPITAL (NT337)EQ VAS</v>
      </c>
      <c r="C638" t="s">
        <v>50</v>
      </c>
      <c r="D638" t="s">
        <v>1</v>
      </c>
      <c r="E638" t="s">
        <v>3927</v>
      </c>
      <c r="F638" t="s">
        <v>3928</v>
      </c>
      <c r="G638" t="s">
        <v>179</v>
      </c>
      <c r="H638" t="s">
        <v>53</v>
      </c>
      <c r="I638" t="s">
        <v>53</v>
      </c>
      <c r="J638" t="s">
        <v>53</v>
      </c>
      <c r="K638" t="s">
        <v>53</v>
      </c>
      <c r="L638" t="s">
        <v>53</v>
      </c>
      <c r="M638" t="s">
        <v>53</v>
      </c>
      <c r="N638" t="s">
        <v>53</v>
      </c>
      <c r="O638" t="s">
        <v>53</v>
      </c>
      <c r="P638" t="s">
        <v>53</v>
      </c>
      <c r="Q638" t="s">
        <v>53</v>
      </c>
    </row>
    <row r="639" spans="1:17" s="30" customFormat="1" x14ac:dyDescent="0.2">
      <c r="A639" s="30" t="str">
        <f>IF(C639&amp;G639&amp;D639&lt;&gt;'Funnel setup'!$K$3&amp;'Funnel setup'!$K$4&amp;'Funnel setup'!$K$5,".",IF(A638=".",1,A638+1))</f>
        <v>.</v>
      </c>
      <c r="B639" s="431" t="str">
        <f t="shared" si="9"/>
        <v>Groin HerniaProviderSPIRE MANCHESTER HOSPITAL (NT327)EQ VAS</v>
      </c>
      <c r="C639" t="s">
        <v>50</v>
      </c>
      <c r="D639" t="s">
        <v>1</v>
      </c>
      <c r="E639" t="s">
        <v>3154</v>
      </c>
      <c r="F639" t="s">
        <v>3155</v>
      </c>
      <c r="G639" t="s">
        <v>179</v>
      </c>
      <c r="H639" t="s">
        <v>53</v>
      </c>
      <c r="I639" t="s">
        <v>53</v>
      </c>
      <c r="J639" t="s">
        <v>53</v>
      </c>
      <c r="K639" t="s">
        <v>53</v>
      </c>
      <c r="L639" t="s">
        <v>53</v>
      </c>
      <c r="M639" t="s">
        <v>53</v>
      </c>
      <c r="N639" t="s">
        <v>53</v>
      </c>
      <c r="O639" t="s">
        <v>53</v>
      </c>
      <c r="P639" t="s">
        <v>53</v>
      </c>
      <c r="Q639" t="s">
        <v>53</v>
      </c>
    </row>
    <row r="640" spans="1:17" s="30" customFormat="1" x14ac:dyDescent="0.2">
      <c r="A640" s="30" t="str">
        <f>IF(C640&amp;G640&amp;D640&lt;&gt;'Funnel setup'!$K$3&amp;'Funnel setup'!$K$4&amp;'Funnel setup'!$K$5,".",IF(A639=".",1,A639+1))</f>
        <v>.</v>
      </c>
      <c r="B640" s="431" t="str">
        <f t="shared" si="9"/>
        <v>Groin HerniaProviderSPIRE METHLEY PARK HOSPITAL (NT350)EQ VAS</v>
      </c>
      <c r="C640" t="s">
        <v>50</v>
      </c>
      <c r="D640" t="s">
        <v>1</v>
      </c>
      <c r="E640" t="s">
        <v>3157</v>
      </c>
      <c r="F640" t="s">
        <v>3158</v>
      </c>
      <c r="G640" t="s">
        <v>179</v>
      </c>
      <c r="H640">
        <v>83</v>
      </c>
      <c r="I640">
        <v>83.698999999999998</v>
      </c>
      <c r="J640">
        <v>80.253</v>
      </c>
      <c r="K640">
        <v>-3.4460000000000002</v>
      </c>
      <c r="L640">
        <v>27</v>
      </c>
      <c r="M640">
        <v>22</v>
      </c>
      <c r="N640">
        <v>34</v>
      </c>
      <c r="O640">
        <v>78.667000000000002</v>
      </c>
      <c r="P640">
        <v>-1.978517383</v>
      </c>
      <c r="Q640">
        <v>13.776</v>
      </c>
    </row>
    <row r="641" spans="1:17" s="30" customFormat="1" x14ac:dyDescent="0.2">
      <c r="A641" s="30" t="str">
        <f>IF(C641&amp;G641&amp;D641&lt;&gt;'Funnel setup'!$K$3&amp;'Funnel setup'!$K$4&amp;'Funnel setup'!$K$5,".",IF(A640=".",1,A640+1))</f>
        <v>.</v>
      </c>
      <c r="B641" s="431" t="str">
        <f t="shared" si="9"/>
        <v>Groin HerniaProviderSPIRE MURRAYFIELD HOSPITAL (NT325)EQ VAS</v>
      </c>
      <c r="C641" t="s">
        <v>50</v>
      </c>
      <c r="D641" t="s">
        <v>1</v>
      </c>
      <c r="E641" t="s">
        <v>3163</v>
      </c>
      <c r="F641" t="s">
        <v>3164</v>
      </c>
      <c r="G641" t="s">
        <v>179</v>
      </c>
      <c r="H641">
        <v>47</v>
      </c>
      <c r="I641">
        <v>81.084999999999994</v>
      </c>
      <c r="J641">
        <v>78.978999999999999</v>
      </c>
      <c r="K641">
        <v>-2.1059999999999999</v>
      </c>
      <c r="L641">
        <v>14</v>
      </c>
      <c r="M641">
        <v>11</v>
      </c>
      <c r="N641">
        <v>22</v>
      </c>
      <c r="O641">
        <v>79.680000000000007</v>
      </c>
      <c r="P641">
        <v>-0.96588844299999999</v>
      </c>
      <c r="Q641">
        <v>12.423999999999999</v>
      </c>
    </row>
    <row r="642" spans="1:17" s="30" customFormat="1" x14ac:dyDescent="0.2">
      <c r="A642" s="30" t="str">
        <f>IF(C642&amp;G642&amp;D642&lt;&gt;'Funnel setup'!$K$3&amp;'Funnel setup'!$K$4&amp;'Funnel setup'!$K$5,".",IF(A641=".",1,A641+1))</f>
        <v>.</v>
      </c>
      <c r="B642" s="431" t="str">
        <f t="shared" si="9"/>
        <v>Groin HerniaProviderSPIRE PARKWAY HOSPITAL (NT320)EQ VAS</v>
      </c>
      <c r="C642" t="s">
        <v>50</v>
      </c>
      <c r="D642" t="s">
        <v>1</v>
      </c>
      <c r="E642" t="s">
        <v>3166</v>
      </c>
      <c r="F642" t="s">
        <v>3167</v>
      </c>
      <c r="G642" t="s">
        <v>179</v>
      </c>
      <c r="H642">
        <v>8</v>
      </c>
      <c r="I642">
        <v>79.5</v>
      </c>
      <c r="J642">
        <v>74.875</v>
      </c>
      <c r="K642">
        <v>-4.625</v>
      </c>
      <c r="L642">
        <v>4</v>
      </c>
      <c r="M642">
        <v>2</v>
      </c>
      <c r="N642">
        <v>2</v>
      </c>
      <c r="O642" t="s">
        <v>53</v>
      </c>
      <c r="P642" t="s">
        <v>53</v>
      </c>
      <c r="Q642" t="s">
        <v>53</v>
      </c>
    </row>
    <row r="643" spans="1:17" s="30" customFormat="1" x14ac:dyDescent="0.2">
      <c r="A643" s="30" t="str">
        <f>IF(C643&amp;G643&amp;D643&lt;&gt;'Funnel setup'!$K$3&amp;'Funnel setup'!$K$4&amp;'Funnel setup'!$K$5,".",IF(A642=".",1,A642+1))</f>
        <v>.</v>
      </c>
      <c r="B643" s="431" t="str">
        <f t="shared" ref="B643:B706" si="10">C643&amp;D643&amp;F643&amp;G643</f>
        <v>Groin HerniaProviderSPIRE PORTSMOUTH HOSPITAL (NT305)EQ VAS</v>
      </c>
      <c r="C643" t="s">
        <v>50</v>
      </c>
      <c r="D643" t="s">
        <v>1</v>
      </c>
      <c r="E643" t="s">
        <v>3169</v>
      </c>
      <c r="F643" t="s">
        <v>340</v>
      </c>
      <c r="G643" t="s">
        <v>179</v>
      </c>
      <c r="H643">
        <v>7</v>
      </c>
      <c r="I643">
        <v>86.429000000000002</v>
      </c>
      <c r="J643">
        <v>87.143000000000001</v>
      </c>
      <c r="K643">
        <v>0.71399999999999997</v>
      </c>
      <c r="L643">
        <v>3</v>
      </c>
      <c r="M643">
        <v>2</v>
      </c>
      <c r="N643">
        <v>2</v>
      </c>
      <c r="O643" t="s">
        <v>53</v>
      </c>
      <c r="P643" t="s">
        <v>53</v>
      </c>
      <c r="Q643" t="s">
        <v>53</v>
      </c>
    </row>
    <row r="644" spans="1:17" s="30" customFormat="1" x14ac:dyDescent="0.2">
      <c r="A644" s="30" t="str">
        <f>IF(C644&amp;G644&amp;D644&lt;&gt;'Funnel setup'!$K$3&amp;'Funnel setup'!$K$4&amp;'Funnel setup'!$K$5,".",IF(A643=".",1,A643+1))</f>
        <v>.</v>
      </c>
      <c r="B644" s="431" t="str">
        <f t="shared" si="10"/>
        <v>Groin HerniaProviderSPIRE REGENCY HOSPITAL (NT339)EQ VAS</v>
      </c>
      <c r="C644" t="s">
        <v>50</v>
      </c>
      <c r="D644" t="s">
        <v>1</v>
      </c>
      <c r="E644" t="s">
        <v>3171</v>
      </c>
      <c r="F644" t="s">
        <v>3172</v>
      </c>
      <c r="G644" t="s">
        <v>179</v>
      </c>
      <c r="H644">
        <v>32</v>
      </c>
      <c r="I644">
        <v>85.156000000000006</v>
      </c>
      <c r="J644">
        <v>84.718999999999994</v>
      </c>
      <c r="K644">
        <v>-0.438</v>
      </c>
      <c r="L644">
        <v>11</v>
      </c>
      <c r="M644">
        <v>8</v>
      </c>
      <c r="N644">
        <v>13</v>
      </c>
      <c r="O644">
        <v>81.659000000000006</v>
      </c>
      <c r="P644">
        <v>1.0132216999999999</v>
      </c>
      <c r="Q644">
        <v>9.7769999999999992</v>
      </c>
    </row>
    <row r="645" spans="1:17" s="30" customFormat="1" x14ac:dyDescent="0.2">
      <c r="A645" s="30" t="str">
        <f>IF(C645&amp;G645&amp;D645&lt;&gt;'Funnel setup'!$K$3&amp;'Funnel setup'!$K$4&amp;'Funnel setup'!$K$5,".",IF(A644=".",1,A644+1))</f>
        <v>.</v>
      </c>
      <c r="B645" s="431" t="str">
        <f t="shared" si="10"/>
        <v>Groin HerniaProviderSPIRE SOUTH BANK HOSPITAL (NT301)EQ VAS</v>
      </c>
      <c r="C645" t="s">
        <v>50</v>
      </c>
      <c r="D645" t="s">
        <v>1</v>
      </c>
      <c r="E645" t="s">
        <v>3174</v>
      </c>
      <c r="F645" t="s">
        <v>3175</v>
      </c>
      <c r="G645" t="s">
        <v>179</v>
      </c>
      <c r="H645">
        <v>67</v>
      </c>
      <c r="I645">
        <v>84.745999999999995</v>
      </c>
      <c r="J645">
        <v>84.343000000000004</v>
      </c>
      <c r="K645">
        <v>-0.40300000000000002</v>
      </c>
      <c r="L645">
        <v>28</v>
      </c>
      <c r="M645">
        <v>17</v>
      </c>
      <c r="N645">
        <v>22</v>
      </c>
      <c r="O645">
        <v>82.257000000000005</v>
      </c>
      <c r="P645">
        <v>1.6110746149999999</v>
      </c>
      <c r="Q645">
        <v>9.2629999999999999</v>
      </c>
    </row>
    <row r="646" spans="1:17" s="30" customFormat="1" x14ac:dyDescent="0.2">
      <c r="A646" s="30" t="str">
        <f>IF(C646&amp;G646&amp;D646&lt;&gt;'Funnel setup'!$K$3&amp;'Funnel setup'!$K$4&amp;'Funnel setup'!$K$5,".",IF(A645=".",1,A645+1))</f>
        <v>.</v>
      </c>
      <c r="B646" s="431" t="str">
        <f t="shared" si="10"/>
        <v>Groin HerniaProviderSPIRE SOUTHAMPTON HOSPITAL (NT304)EQ VAS</v>
      </c>
      <c r="C646" t="s">
        <v>50</v>
      </c>
      <c r="D646" t="s">
        <v>1</v>
      </c>
      <c r="E646" t="s">
        <v>3133</v>
      </c>
      <c r="F646" t="s">
        <v>3134</v>
      </c>
      <c r="G646" t="s">
        <v>179</v>
      </c>
      <c r="H646" t="s">
        <v>53</v>
      </c>
      <c r="I646" t="s">
        <v>53</v>
      </c>
      <c r="J646" t="s">
        <v>53</v>
      </c>
      <c r="K646" t="s">
        <v>53</v>
      </c>
      <c r="L646" t="s">
        <v>53</v>
      </c>
      <c r="M646" t="s">
        <v>53</v>
      </c>
      <c r="N646" t="s">
        <v>53</v>
      </c>
      <c r="O646" t="s">
        <v>53</v>
      </c>
      <c r="P646" t="s">
        <v>53</v>
      </c>
      <c r="Q646" t="s">
        <v>53</v>
      </c>
    </row>
    <row r="647" spans="1:17" s="30" customFormat="1" x14ac:dyDescent="0.2">
      <c r="A647" s="30" t="str">
        <f>IF(C647&amp;G647&amp;D647&lt;&gt;'Funnel setup'!$K$3&amp;'Funnel setup'!$K$4&amp;'Funnel setup'!$K$5,".",IF(A646=".",1,A646+1))</f>
        <v>.</v>
      </c>
      <c r="B647" s="431" t="str">
        <f t="shared" si="10"/>
        <v>Groin HerniaProviderSPIRE ST SAVIOURS HOSPITAL (NT346)EQ VAS</v>
      </c>
      <c r="C647" t="s">
        <v>50</v>
      </c>
      <c r="D647" t="s">
        <v>1</v>
      </c>
      <c r="E647" t="s">
        <v>3177</v>
      </c>
      <c r="F647" t="s">
        <v>3178</v>
      </c>
      <c r="G647" t="s">
        <v>179</v>
      </c>
      <c r="H647">
        <v>10</v>
      </c>
      <c r="I647">
        <v>82.1</v>
      </c>
      <c r="J647">
        <v>84.9</v>
      </c>
      <c r="K647">
        <v>2.8</v>
      </c>
      <c r="L647">
        <v>6</v>
      </c>
      <c r="M647">
        <v>2</v>
      </c>
      <c r="N647">
        <v>2</v>
      </c>
      <c r="O647" t="s">
        <v>53</v>
      </c>
      <c r="P647" t="s">
        <v>53</v>
      </c>
      <c r="Q647" t="s">
        <v>53</v>
      </c>
    </row>
    <row r="648" spans="1:17" s="30" customFormat="1" x14ac:dyDescent="0.2">
      <c r="A648" s="30" t="str">
        <f>IF(C648&amp;G648&amp;D648&lt;&gt;'Funnel setup'!$K$3&amp;'Funnel setup'!$K$4&amp;'Funnel setup'!$K$5,".",IF(A647=".",1,A647+1))</f>
        <v>.</v>
      </c>
      <c r="B648" s="431" t="str">
        <f t="shared" si="10"/>
        <v>Groin HerniaProviderSPIRE SUSSEX HOSPITAL (NT309)EQ VAS</v>
      </c>
      <c r="C648" t="s">
        <v>50</v>
      </c>
      <c r="D648" t="s">
        <v>1</v>
      </c>
      <c r="E648" t="s">
        <v>3180</v>
      </c>
      <c r="F648" t="s">
        <v>3181</v>
      </c>
      <c r="G648" t="s">
        <v>179</v>
      </c>
      <c r="H648">
        <v>16</v>
      </c>
      <c r="I648">
        <v>82.5</v>
      </c>
      <c r="J648">
        <v>83.688000000000002</v>
      </c>
      <c r="K648">
        <v>1.1879999999999999</v>
      </c>
      <c r="L648">
        <v>8</v>
      </c>
      <c r="M648">
        <v>4</v>
      </c>
      <c r="N648">
        <v>4</v>
      </c>
      <c r="O648" t="s">
        <v>53</v>
      </c>
      <c r="P648" t="s">
        <v>53</v>
      </c>
      <c r="Q648" t="s">
        <v>53</v>
      </c>
    </row>
    <row r="649" spans="1:17" s="30" customFormat="1" x14ac:dyDescent="0.2">
      <c r="A649" s="30" t="str">
        <f>IF(C649&amp;G649&amp;D649&lt;&gt;'Funnel setup'!$K$3&amp;'Funnel setup'!$K$4&amp;'Funnel setup'!$K$5,".",IF(A648=".",1,A648+1))</f>
        <v>.</v>
      </c>
      <c r="B649" s="431" t="str">
        <f t="shared" si="10"/>
        <v>Groin HerniaProviderSPIRE TUNBRIDGE WELLS HOSPITAL (NT310)EQ VAS</v>
      </c>
      <c r="C649" t="s">
        <v>50</v>
      </c>
      <c r="D649" t="s">
        <v>1</v>
      </c>
      <c r="E649" t="s">
        <v>3186</v>
      </c>
      <c r="F649" t="s">
        <v>3187</v>
      </c>
      <c r="G649" t="s">
        <v>179</v>
      </c>
      <c r="H649">
        <v>12</v>
      </c>
      <c r="I649">
        <v>87.25</v>
      </c>
      <c r="J649">
        <v>87.25</v>
      </c>
      <c r="K649">
        <v>0</v>
      </c>
      <c r="L649">
        <v>3</v>
      </c>
      <c r="M649">
        <v>6</v>
      </c>
      <c r="N649">
        <v>3</v>
      </c>
      <c r="O649" t="s">
        <v>53</v>
      </c>
      <c r="P649" t="s">
        <v>53</v>
      </c>
      <c r="Q649" t="s">
        <v>53</v>
      </c>
    </row>
    <row r="650" spans="1:17" s="30" customFormat="1" x14ac:dyDescent="0.2">
      <c r="A650" s="30" t="str">
        <f>IF(C650&amp;G650&amp;D650&lt;&gt;'Funnel setup'!$K$3&amp;'Funnel setup'!$K$4&amp;'Funnel setup'!$K$5,".",IF(A649=".",1,A649+1))</f>
        <v>.</v>
      </c>
      <c r="B650" s="431" t="str">
        <f t="shared" si="10"/>
        <v>Groin HerniaProviderSPIRE WASHINGTON HOSPITAL (NT333)EQ VAS</v>
      </c>
      <c r="C650" t="s">
        <v>50</v>
      </c>
      <c r="D650" t="s">
        <v>1</v>
      </c>
      <c r="E650" t="s">
        <v>3189</v>
      </c>
      <c r="F650" t="s">
        <v>3190</v>
      </c>
      <c r="G650" t="s">
        <v>179</v>
      </c>
      <c r="H650">
        <v>24</v>
      </c>
      <c r="I650">
        <v>86.5</v>
      </c>
      <c r="J650">
        <v>80.917000000000002</v>
      </c>
      <c r="K650">
        <v>-5.5830000000000002</v>
      </c>
      <c r="L650">
        <v>5</v>
      </c>
      <c r="M650">
        <v>3</v>
      </c>
      <c r="N650">
        <v>16</v>
      </c>
      <c r="O650" t="s">
        <v>53</v>
      </c>
      <c r="P650" t="s">
        <v>53</v>
      </c>
      <c r="Q650" t="s">
        <v>53</v>
      </c>
    </row>
    <row r="651" spans="1:17" s="30" customFormat="1" x14ac:dyDescent="0.2">
      <c r="A651" s="30" t="str">
        <f>IF(C651&amp;G651&amp;D651&lt;&gt;'Funnel setup'!$K$3&amp;'Funnel setup'!$K$4&amp;'Funnel setup'!$K$5,".",IF(A650=".",1,A650+1))</f>
        <v>.</v>
      </c>
      <c r="B651" s="431" t="str">
        <f t="shared" si="10"/>
        <v>Groin HerniaProviderSPIRE WELLESLEY HOSPITAL (NT313)EQ VAS</v>
      </c>
      <c r="C651" t="s">
        <v>50</v>
      </c>
      <c r="D651" t="s">
        <v>1</v>
      </c>
      <c r="E651" t="s">
        <v>3192</v>
      </c>
      <c r="F651" t="s">
        <v>3193</v>
      </c>
      <c r="G651" t="s">
        <v>179</v>
      </c>
      <c r="H651">
        <v>57</v>
      </c>
      <c r="I651">
        <v>83.298000000000002</v>
      </c>
      <c r="J651">
        <v>82.667000000000002</v>
      </c>
      <c r="K651">
        <v>-0.63200000000000001</v>
      </c>
      <c r="L651">
        <v>21</v>
      </c>
      <c r="M651">
        <v>12</v>
      </c>
      <c r="N651">
        <v>24</v>
      </c>
      <c r="O651">
        <v>81.97</v>
      </c>
      <c r="P651">
        <v>1.3250051039999999</v>
      </c>
      <c r="Q651">
        <v>9.0020000000000007</v>
      </c>
    </row>
    <row r="652" spans="1:17" s="30" customFormat="1" x14ac:dyDescent="0.2">
      <c r="A652" s="30" t="str">
        <f>IF(C652&amp;G652&amp;D652&lt;&gt;'Funnel setup'!$K$3&amp;'Funnel setup'!$K$4&amp;'Funnel setup'!$K$5,".",IF(A651=".",1,A651+1))</f>
        <v>.</v>
      </c>
      <c r="B652" s="431" t="str">
        <f t="shared" si="10"/>
        <v>Groin HerniaProviderSPRINGFIELD HOSPITAL (NVC18)EQ VAS</v>
      </c>
      <c r="C652" t="s">
        <v>50</v>
      </c>
      <c r="D652" t="s">
        <v>1</v>
      </c>
      <c r="E652" t="s">
        <v>3195</v>
      </c>
      <c r="F652" t="s">
        <v>3196</v>
      </c>
      <c r="G652" t="s">
        <v>179</v>
      </c>
      <c r="H652">
        <v>112</v>
      </c>
      <c r="I652">
        <v>81.42</v>
      </c>
      <c r="J652">
        <v>80.58</v>
      </c>
      <c r="K652">
        <v>-0.83899999999999997</v>
      </c>
      <c r="L652">
        <v>46</v>
      </c>
      <c r="M652">
        <v>24</v>
      </c>
      <c r="N652">
        <v>42</v>
      </c>
      <c r="O652">
        <v>79.548000000000002</v>
      </c>
      <c r="P652">
        <v>-1.097743954</v>
      </c>
      <c r="Q652">
        <v>10.432</v>
      </c>
    </row>
    <row r="653" spans="1:17" s="30" customFormat="1" x14ac:dyDescent="0.2">
      <c r="A653" s="30" t="str">
        <f>IF(C653&amp;G653&amp;D653&lt;&gt;'Funnel setup'!$K$3&amp;'Funnel setup'!$K$4&amp;'Funnel setup'!$K$5,".",IF(A652=".",1,A652+1))</f>
        <v>.</v>
      </c>
      <c r="B653" s="431" t="str">
        <f t="shared" si="10"/>
        <v>Groin HerniaProviderST GEORGE'S UNIVERSITY HOSPITALS NHS FOUNDATION TRUST (RJ7)EQ VAS</v>
      </c>
      <c r="C653" t="s">
        <v>50</v>
      </c>
      <c r="D653" t="s">
        <v>1</v>
      </c>
      <c r="E653" t="s">
        <v>3124</v>
      </c>
      <c r="F653" t="s">
        <v>3125</v>
      </c>
      <c r="G653" t="s">
        <v>179</v>
      </c>
      <c r="H653">
        <v>50</v>
      </c>
      <c r="I653">
        <v>81.12</v>
      </c>
      <c r="J653">
        <v>78.3</v>
      </c>
      <c r="K653">
        <v>-2.82</v>
      </c>
      <c r="L653">
        <v>14</v>
      </c>
      <c r="M653">
        <v>8</v>
      </c>
      <c r="N653">
        <v>28</v>
      </c>
      <c r="O653">
        <v>78.058000000000007</v>
      </c>
      <c r="P653">
        <v>-2.5877615810000001</v>
      </c>
      <c r="Q653">
        <v>9.8339999999999996</v>
      </c>
    </row>
    <row r="654" spans="1:17" s="30" customFormat="1" x14ac:dyDescent="0.2">
      <c r="A654" s="30" t="str">
        <f>IF(C654&amp;G654&amp;D654&lt;&gt;'Funnel setup'!$K$3&amp;'Funnel setup'!$K$4&amp;'Funnel setup'!$K$5,".",IF(A653=".",1,A653+1))</f>
        <v>.</v>
      </c>
      <c r="B654" s="431" t="str">
        <f t="shared" si="10"/>
        <v>Groin HerniaProviderST HELENS AND KNOWSLEY HOSPITALS NHS TRUST (RBN)EQ VAS</v>
      </c>
      <c r="C654" t="s">
        <v>50</v>
      </c>
      <c r="D654" t="s">
        <v>1</v>
      </c>
      <c r="E654" t="s">
        <v>3127</v>
      </c>
      <c r="F654" t="s">
        <v>3128</v>
      </c>
      <c r="G654" t="s">
        <v>179</v>
      </c>
      <c r="H654">
        <v>160</v>
      </c>
      <c r="I654">
        <v>83.587999999999994</v>
      </c>
      <c r="J654">
        <v>80.956000000000003</v>
      </c>
      <c r="K654">
        <v>-2.6309999999999998</v>
      </c>
      <c r="L654">
        <v>55</v>
      </c>
      <c r="M654">
        <v>27</v>
      </c>
      <c r="N654">
        <v>78</v>
      </c>
      <c r="O654">
        <v>80.106999999999999</v>
      </c>
      <c r="P654">
        <v>-0.53870774300000002</v>
      </c>
      <c r="Q654">
        <v>11.61</v>
      </c>
    </row>
    <row r="655" spans="1:17" s="30" customFormat="1" x14ac:dyDescent="0.2">
      <c r="A655" s="30" t="str">
        <f>IF(C655&amp;G655&amp;D655&lt;&gt;'Funnel setup'!$K$3&amp;'Funnel setup'!$K$4&amp;'Funnel setup'!$K$5,".",IF(A654=".",1,A654+1))</f>
        <v>.</v>
      </c>
      <c r="B655" s="431" t="str">
        <f t="shared" si="10"/>
        <v>Groin HerniaProviderST HUGH'S HOSPITAL (NTE02)EQ VAS</v>
      </c>
      <c r="C655" t="s">
        <v>50</v>
      </c>
      <c r="D655" t="s">
        <v>1</v>
      </c>
      <c r="E655" t="s">
        <v>3130</v>
      </c>
      <c r="F655" t="s">
        <v>3131</v>
      </c>
      <c r="G655" t="s">
        <v>179</v>
      </c>
      <c r="H655">
        <v>30</v>
      </c>
      <c r="I655">
        <v>82.132999999999996</v>
      </c>
      <c r="J655">
        <v>81.3</v>
      </c>
      <c r="K655">
        <v>-0.83299999999999996</v>
      </c>
      <c r="L655">
        <v>13</v>
      </c>
      <c r="M655">
        <v>4</v>
      </c>
      <c r="N655">
        <v>13</v>
      </c>
      <c r="O655">
        <v>80.882000000000005</v>
      </c>
      <c r="P655">
        <v>0.23626233299999999</v>
      </c>
      <c r="Q655">
        <v>11.627000000000001</v>
      </c>
    </row>
    <row r="656" spans="1:17" s="30" customFormat="1" x14ac:dyDescent="0.2">
      <c r="A656" s="30" t="str">
        <f>IF(C656&amp;G656&amp;D656&lt;&gt;'Funnel setup'!$K$3&amp;'Funnel setup'!$K$4&amp;'Funnel setup'!$K$5,".",IF(A655=".",1,A655+1))</f>
        <v>.</v>
      </c>
      <c r="B656" s="431" t="str">
        <f t="shared" si="10"/>
        <v>Groin HerniaProviderST MARY'S NHS TREATMENT CENTRE (NTPAD)EQ VAS</v>
      </c>
      <c r="C656" t="s">
        <v>50</v>
      </c>
      <c r="D656" t="s">
        <v>1</v>
      </c>
      <c r="E656" t="s">
        <v>3139</v>
      </c>
      <c r="F656" t="s">
        <v>3140</v>
      </c>
      <c r="G656" t="s">
        <v>179</v>
      </c>
      <c r="H656">
        <v>149</v>
      </c>
      <c r="I656">
        <v>84.704999999999998</v>
      </c>
      <c r="J656">
        <v>83.691000000000003</v>
      </c>
      <c r="K656">
        <v>-1.0129999999999999</v>
      </c>
      <c r="L656">
        <v>45</v>
      </c>
      <c r="M656">
        <v>42</v>
      </c>
      <c r="N656">
        <v>62</v>
      </c>
      <c r="O656">
        <v>79.903999999999996</v>
      </c>
      <c r="P656">
        <v>-0.74109174200000005</v>
      </c>
      <c r="Q656">
        <v>11.2</v>
      </c>
    </row>
    <row r="657" spans="1:17" s="30" customFormat="1" x14ac:dyDescent="0.2">
      <c r="A657" s="30" t="str">
        <f>IF(C657&amp;G657&amp;D657&lt;&gt;'Funnel setup'!$K$3&amp;'Funnel setup'!$K$4&amp;'Funnel setup'!$K$5,".",IF(A656=".",1,A656+1))</f>
        <v>.</v>
      </c>
      <c r="B657" s="431" t="str">
        <f t="shared" si="10"/>
        <v>Groin HerniaProviderSTOCKPORT NHS FOUNDATION TRUST (RWJ)EQ VAS</v>
      </c>
      <c r="C657" t="s">
        <v>50</v>
      </c>
      <c r="D657" t="s">
        <v>1</v>
      </c>
      <c r="E657" t="s">
        <v>3142</v>
      </c>
      <c r="F657" t="s">
        <v>3143</v>
      </c>
      <c r="G657" t="s">
        <v>179</v>
      </c>
      <c r="H657">
        <v>146</v>
      </c>
      <c r="I657">
        <v>80.13</v>
      </c>
      <c r="J657">
        <v>79.959000000000003</v>
      </c>
      <c r="K657">
        <v>-0.17100000000000001</v>
      </c>
      <c r="L657">
        <v>56</v>
      </c>
      <c r="M657">
        <v>28</v>
      </c>
      <c r="N657">
        <v>62</v>
      </c>
      <c r="O657">
        <v>80.019000000000005</v>
      </c>
      <c r="P657">
        <v>-0.62596972299999998</v>
      </c>
      <c r="Q657">
        <v>13.093999999999999</v>
      </c>
    </row>
    <row r="658" spans="1:17" s="30" customFormat="1" x14ac:dyDescent="0.2">
      <c r="A658" s="30" t="str">
        <f>IF(C658&amp;G658&amp;D658&lt;&gt;'Funnel setup'!$K$3&amp;'Funnel setup'!$K$4&amp;'Funnel setup'!$K$5,".",IF(A657=".",1,A657+1))</f>
        <v>.</v>
      </c>
      <c r="B658" s="431" t="str">
        <f t="shared" si="10"/>
        <v>Groin HerniaProviderSURREY AND SUSSEX HEALTHCARE NHS TRUST (RTP)EQ VAS</v>
      </c>
      <c r="C658" t="s">
        <v>50</v>
      </c>
      <c r="D658" t="s">
        <v>1</v>
      </c>
      <c r="E658" t="s">
        <v>3145</v>
      </c>
      <c r="F658" t="s">
        <v>3146</v>
      </c>
      <c r="G658" t="s">
        <v>179</v>
      </c>
      <c r="H658">
        <v>146</v>
      </c>
      <c r="I658">
        <v>81.424999999999997</v>
      </c>
      <c r="J658">
        <v>81.11</v>
      </c>
      <c r="K658">
        <v>-0.315</v>
      </c>
      <c r="L658">
        <v>56</v>
      </c>
      <c r="M658">
        <v>32</v>
      </c>
      <c r="N658">
        <v>58</v>
      </c>
      <c r="O658">
        <v>80.051000000000002</v>
      </c>
      <c r="P658">
        <v>-0.59395225600000001</v>
      </c>
      <c r="Q658">
        <v>12.138999999999999</v>
      </c>
    </row>
    <row r="659" spans="1:17" s="30" customFormat="1" x14ac:dyDescent="0.2">
      <c r="A659" s="30" t="str">
        <f>IF(C659&amp;G659&amp;D659&lt;&gt;'Funnel setup'!$K$3&amp;'Funnel setup'!$K$4&amp;'Funnel setup'!$K$5,".",IF(A658=".",1,A658+1))</f>
        <v>.</v>
      </c>
      <c r="B659" s="431" t="str">
        <f t="shared" si="10"/>
        <v>Groin HerniaProviderTAMESIDE HOSPITAL NHS FOUNDATION TRUST (RMP)EQ VAS</v>
      </c>
      <c r="C659" t="s">
        <v>50</v>
      </c>
      <c r="D659" t="s">
        <v>1</v>
      </c>
      <c r="E659" t="s">
        <v>3148</v>
      </c>
      <c r="F659" t="s">
        <v>3149</v>
      </c>
      <c r="G659" t="s">
        <v>179</v>
      </c>
      <c r="H659">
        <v>35</v>
      </c>
      <c r="I659">
        <v>77.257000000000005</v>
      </c>
      <c r="J659">
        <v>81.599999999999994</v>
      </c>
      <c r="K659">
        <v>4.343</v>
      </c>
      <c r="L659">
        <v>18</v>
      </c>
      <c r="M659">
        <v>6</v>
      </c>
      <c r="N659">
        <v>11</v>
      </c>
      <c r="O659">
        <v>82.617000000000004</v>
      </c>
      <c r="P659">
        <v>1.971147658</v>
      </c>
      <c r="Q659">
        <v>12.067</v>
      </c>
    </row>
    <row r="660" spans="1:17" s="30" customFormat="1" x14ac:dyDescent="0.2">
      <c r="A660" s="30" t="str">
        <f>IF(C660&amp;G660&amp;D660&lt;&gt;'Funnel setup'!$K$3&amp;'Funnel setup'!$K$4&amp;'Funnel setup'!$K$5,".",IF(A659=".",1,A659+1))</f>
        <v>.</v>
      </c>
      <c r="B660" s="431" t="str">
        <f t="shared" si="10"/>
        <v>Groin HerniaProviderTAUNTON AND SOMERSET NHS FOUNDATION TRUST (RBA)EQ VAS</v>
      </c>
      <c r="C660" t="s">
        <v>50</v>
      </c>
      <c r="D660" t="s">
        <v>1</v>
      </c>
      <c r="E660" t="s">
        <v>3151</v>
      </c>
      <c r="F660" t="s">
        <v>3152</v>
      </c>
      <c r="G660" t="s">
        <v>179</v>
      </c>
      <c r="H660">
        <v>137</v>
      </c>
      <c r="I660">
        <v>82.46</v>
      </c>
      <c r="J660">
        <v>82.307000000000002</v>
      </c>
      <c r="K660">
        <v>-0.153</v>
      </c>
      <c r="L660">
        <v>56</v>
      </c>
      <c r="M660">
        <v>33</v>
      </c>
      <c r="N660">
        <v>48</v>
      </c>
      <c r="O660">
        <v>80.933999999999997</v>
      </c>
      <c r="P660">
        <v>0.28894423400000002</v>
      </c>
      <c r="Q660">
        <v>10.811999999999999</v>
      </c>
    </row>
    <row r="661" spans="1:17" s="30" customFormat="1" x14ac:dyDescent="0.2">
      <c r="A661" s="30" t="str">
        <f>IF(C661&amp;G661&amp;D661&lt;&gt;'Funnel setup'!$K$3&amp;'Funnel setup'!$K$4&amp;'Funnel setup'!$K$5,".",IF(A660=".",1,A660+1))</f>
        <v>.</v>
      </c>
      <c r="B661" s="431" t="str">
        <f t="shared" si="10"/>
        <v>Groin HerniaProviderTEES VALLEY TREATMENT CENTRE (NVC35)EQ VAS</v>
      </c>
      <c r="C661" t="s">
        <v>50</v>
      </c>
      <c r="D661" t="s">
        <v>1</v>
      </c>
      <c r="E661" t="s">
        <v>3112</v>
      </c>
      <c r="F661" t="s">
        <v>3113</v>
      </c>
      <c r="G661" t="s">
        <v>179</v>
      </c>
      <c r="H661">
        <v>58</v>
      </c>
      <c r="I661">
        <v>82.793000000000006</v>
      </c>
      <c r="J661">
        <v>83.914000000000001</v>
      </c>
      <c r="K661">
        <v>1.121</v>
      </c>
      <c r="L661">
        <v>19</v>
      </c>
      <c r="M661">
        <v>16</v>
      </c>
      <c r="N661">
        <v>23</v>
      </c>
      <c r="O661">
        <v>81.138999999999996</v>
      </c>
      <c r="P661">
        <v>0.49317830000000001</v>
      </c>
      <c r="Q661">
        <v>10.119</v>
      </c>
    </row>
    <row r="662" spans="1:17" s="30" customFormat="1" x14ac:dyDescent="0.2">
      <c r="A662" s="30" t="str">
        <f>IF(C662&amp;G662&amp;D662&lt;&gt;'Funnel setup'!$K$3&amp;'Funnel setup'!$K$4&amp;'Funnel setup'!$K$5,".",IF(A661=".",1,A661+1))</f>
        <v>.</v>
      </c>
      <c r="B662" s="431" t="str">
        <f t="shared" si="10"/>
        <v>Groin HerniaProviderTHE BERKSHIRE INDEPENDENT HOSPITAL (NVC02)EQ VAS</v>
      </c>
      <c r="C662" t="s">
        <v>50</v>
      </c>
      <c r="D662" t="s">
        <v>1</v>
      </c>
      <c r="E662" t="s">
        <v>3118</v>
      </c>
      <c r="F662" t="s">
        <v>3119</v>
      </c>
      <c r="G662" t="s">
        <v>179</v>
      </c>
      <c r="H662">
        <v>40</v>
      </c>
      <c r="I662">
        <v>87.224999999999994</v>
      </c>
      <c r="J662">
        <v>83.224999999999994</v>
      </c>
      <c r="K662">
        <v>-4</v>
      </c>
      <c r="L662">
        <v>11</v>
      </c>
      <c r="M662">
        <v>11</v>
      </c>
      <c r="N662">
        <v>18</v>
      </c>
      <c r="O662">
        <v>78.512</v>
      </c>
      <c r="P662">
        <v>-2.1339224040000002</v>
      </c>
      <c r="Q662">
        <v>11.208</v>
      </c>
    </row>
    <row r="663" spans="1:17" s="30" customFormat="1" x14ac:dyDescent="0.2">
      <c r="A663" s="30" t="str">
        <f>IF(C663&amp;G663&amp;D663&lt;&gt;'Funnel setup'!$K$3&amp;'Funnel setup'!$K$4&amp;'Funnel setup'!$K$5,".",IF(A662=".",1,A662+1))</f>
        <v>.</v>
      </c>
      <c r="B663" s="431" t="str">
        <f t="shared" si="10"/>
        <v>Groin HerniaProviderTHE DUDLEY GROUP NHS FOUNDATION TRUST (RNA)EQ VAS</v>
      </c>
      <c r="C663" t="s">
        <v>50</v>
      </c>
      <c r="D663" t="s">
        <v>1</v>
      </c>
      <c r="E663" t="s">
        <v>3121</v>
      </c>
      <c r="F663" t="s">
        <v>3122</v>
      </c>
      <c r="G663" t="s">
        <v>179</v>
      </c>
      <c r="H663">
        <v>146</v>
      </c>
      <c r="I663">
        <v>82.924999999999997</v>
      </c>
      <c r="J663">
        <v>79.411000000000001</v>
      </c>
      <c r="K663">
        <v>-3.5139999999999998</v>
      </c>
      <c r="L663">
        <v>44</v>
      </c>
      <c r="M663">
        <v>25</v>
      </c>
      <c r="N663">
        <v>77</v>
      </c>
      <c r="O663">
        <v>77.966999999999999</v>
      </c>
      <c r="P663">
        <v>-2.6782631370000001</v>
      </c>
      <c r="Q663">
        <v>11.717000000000001</v>
      </c>
    </row>
    <row r="664" spans="1:17" s="30" customFormat="1" x14ac:dyDescent="0.2">
      <c r="A664" s="30" t="str">
        <f>IF(C664&amp;G664&amp;D664&lt;&gt;'Funnel setup'!$K$3&amp;'Funnel setup'!$K$4&amp;'Funnel setup'!$K$5,".",IF(A663=".",1,A663+1))</f>
        <v>.</v>
      </c>
      <c r="B664" s="431" t="str">
        <f t="shared" si="10"/>
        <v>Groin HerniaProviderTHE HILLINGDON HOSPITALS NHS FOUNDATION TRUST (RAS)EQ VAS</v>
      </c>
      <c r="C664" t="s">
        <v>50</v>
      </c>
      <c r="D664" t="s">
        <v>1</v>
      </c>
      <c r="E664" t="s">
        <v>3115</v>
      </c>
      <c r="F664" t="s">
        <v>3116</v>
      </c>
      <c r="G664" t="s">
        <v>179</v>
      </c>
      <c r="H664">
        <v>44</v>
      </c>
      <c r="I664">
        <v>79.090999999999994</v>
      </c>
      <c r="J664">
        <v>80.659000000000006</v>
      </c>
      <c r="K664">
        <v>1.5680000000000001</v>
      </c>
      <c r="L664">
        <v>20</v>
      </c>
      <c r="M664">
        <v>8</v>
      </c>
      <c r="N664">
        <v>16</v>
      </c>
      <c r="O664">
        <v>81.972999999999999</v>
      </c>
      <c r="P664">
        <v>1.327219798</v>
      </c>
      <c r="Q664">
        <v>13.952</v>
      </c>
    </row>
    <row r="665" spans="1:17" s="30" customFormat="1" x14ac:dyDescent="0.2">
      <c r="A665" s="30" t="str">
        <f>IF(C665&amp;G665&amp;D665&lt;&gt;'Funnel setup'!$K$3&amp;'Funnel setup'!$K$4&amp;'Funnel setup'!$K$5,".",IF(A664=".",1,A664+1))</f>
        <v>.</v>
      </c>
      <c r="B665" s="431" t="str">
        <f t="shared" si="10"/>
        <v>Groin HerniaProviderTHE NEWCASTLE UPON TYNE HOSPITALS NHS FOUNDATION TRUST (RTD)EQ VAS</v>
      </c>
      <c r="C665" t="s">
        <v>50</v>
      </c>
      <c r="D665" t="s">
        <v>1</v>
      </c>
      <c r="E665" t="s">
        <v>3748</v>
      </c>
      <c r="F665" t="s">
        <v>3749</v>
      </c>
      <c r="G665" t="s">
        <v>179</v>
      </c>
      <c r="H665">
        <v>35</v>
      </c>
      <c r="I665">
        <v>79.228999999999999</v>
      </c>
      <c r="J665">
        <v>82.257000000000005</v>
      </c>
      <c r="K665">
        <v>3.0289999999999999</v>
      </c>
      <c r="L665">
        <v>19</v>
      </c>
      <c r="M665">
        <v>5</v>
      </c>
      <c r="N665">
        <v>11</v>
      </c>
      <c r="O665">
        <v>82.459000000000003</v>
      </c>
      <c r="P665">
        <v>1.8139772000000001</v>
      </c>
      <c r="Q665">
        <v>11.76</v>
      </c>
    </row>
    <row r="666" spans="1:17" s="30" customFormat="1" x14ac:dyDescent="0.2">
      <c r="A666" s="30" t="str">
        <f>IF(C666&amp;G666&amp;D666&lt;&gt;'Funnel setup'!$K$3&amp;'Funnel setup'!$K$4&amp;'Funnel setup'!$K$5,".",IF(A665=".",1,A665+1))</f>
        <v>.</v>
      </c>
      <c r="B666" s="431" t="str">
        <f t="shared" si="10"/>
        <v>Groin HerniaProviderTHE PRINCESS ALEXANDRA HOSPITAL NHS TRUST (RQW)EQ VAS</v>
      </c>
      <c r="C666" t="s">
        <v>50</v>
      </c>
      <c r="D666" t="s">
        <v>1</v>
      </c>
      <c r="E666" t="s">
        <v>3751</v>
      </c>
      <c r="F666" t="s">
        <v>3752</v>
      </c>
      <c r="G666" t="s">
        <v>179</v>
      </c>
      <c r="H666">
        <v>58</v>
      </c>
      <c r="I666">
        <v>73.483000000000004</v>
      </c>
      <c r="J666">
        <v>74.638000000000005</v>
      </c>
      <c r="K666">
        <v>1.155</v>
      </c>
      <c r="L666">
        <v>24</v>
      </c>
      <c r="M666">
        <v>10</v>
      </c>
      <c r="N666">
        <v>24</v>
      </c>
      <c r="O666">
        <v>77.510999999999996</v>
      </c>
      <c r="P666">
        <v>-3.1347876810000002</v>
      </c>
      <c r="Q666">
        <v>15.925000000000001</v>
      </c>
    </row>
    <row r="667" spans="1:17" s="30" customFormat="1" x14ac:dyDescent="0.2">
      <c r="A667" s="30" t="str">
        <f>IF(C667&amp;G667&amp;D667&lt;&gt;'Funnel setup'!$K$3&amp;'Funnel setup'!$K$4&amp;'Funnel setup'!$K$5,".",IF(A666=".",1,A666+1))</f>
        <v>.</v>
      </c>
      <c r="B667" s="431" t="str">
        <f t="shared" si="10"/>
        <v>Groin HerniaProviderTHE QUEEN ELIZABETH HOSPITAL, KING'S LYNN, NHS FOUNDATION TRUST (RCX)EQ VAS</v>
      </c>
      <c r="C667" t="s">
        <v>50</v>
      </c>
      <c r="D667" t="s">
        <v>1</v>
      </c>
      <c r="E667" t="s">
        <v>3754</v>
      </c>
      <c r="F667" t="s">
        <v>3755</v>
      </c>
      <c r="G667" t="s">
        <v>179</v>
      </c>
      <c r="H667">
        <v>62</v>
      </c>
      <c r="I667">
        <v>79.805999999999997</v>
      </c>
      <c r="J667">
        <v>78.403000000000006</v>
      </c>
      <c r="K667">
        <v>-1.403</v>
      </c>
      <c r="L667">
        <v>22</v>
      </c>
      <c r="M667">
        <v>14</v>
      </c>
      <c r="N667">
        <v>26</v>
      </c>
      <c r="O667">
        <v>80.204999999999998</v>
      </c>
      <c r="P667">
        <v>-0.44030327400000002</v>
      </c>
      <c r="Q667">
        <v>10.632</v>
      </c>
    </row>
    <row r="668" spans="1:17" s="30" customFormat="1" x14ac:dyDescent="0.2">
      <c r="A668" s="30" t="str">
        <f>IF(C668&amp;G668&amp;D668&lt;&gt;'Funnel setup'!$K$3&amp;'Funnel setup'!$K$4&amp;'Funnel setup'!$K$5,".",IF(A667=".",1,A667+1))</f>
        <v>.</v>
      </c>
      <c r="B668" s="431" t="str">
        <f t="shared" si="10"/>
        <v>Groin HerniaProviderTHE ROTHERHAM NHS FOUNDATION TRUST (RFR)EQ VAS</v>
      </c>
      <c r="C668" t="s">
        <v>50</v>
      </c>
      <c r="D668" t="s">
        <v>1</v>
      </c>
      <c r="E668" t="s">
        <v>3739</v>
      </c>
      <c r="F668" t="s">
        <v>3740</v>
      </c>
      <c r="G668" t="s">
        <v>179</v>
      </c>
      <c r="H668">
        <v>63</v>
      </c>
      <c r="I668">
        <v>78.111000000000004</v>
      </c>
      <c r="J668">
        <v>79.856999999999999</v>
      </c>
      <c r="K668">
        <v>1.746</v>
      </c>
      <c r="L668">
        <v>25</v>
      </c>
      <c r="M668">
        <v>14</v>
      </c>
      <c r="N668">
        <v>24</v>
      </c>
      <c r="O668">
        <v>82.073999999999998</v>
      </c>
      <c r="P668">
        <v>1.428149898</v>
      </c>
      <c r="Q668">
        <v>11.315</v>
      </c>
    </row>
    <row r="669" spans="1:17" s="30" customFormat="1" x14ac:dyDescent="0.2">
      <c r="A669" s="30" t="str">
        <f>IF(C669&amp;G669&amp;D669&lt;&gt;'Funnel setup'!$K$3&amp;'Funnel setup'!$K$4&amp;'Funnel setup'!$K$5,".",IF(A668=".",1,A668+1))</f>
        <v>.</v>
      </c>
      <c r="B669" s="431" t="str">
        <f t="shared" si="10"/>
        <v>Groin HerniaProviderTHE ROYAL BOURNEMOUTH AND CHRISTCHURCH HOSPITALS NHS FOUNDATION TRUST (RDZ)EQ VAS</v>
      </c>
      <c r="C669" t="s">
        <v>50</v>
      </c>
      <c r="D669" t="s">
        <v>1</v>
      </c>
      <c r="E669" t="s">
        <v>3742</v>
      </c>
      <c r="F669" t="s">
        <v>3743</v>
      </c>
      <c r="G669" t="s">
        <v>179</v>
      </c>
      <c r="H669">
        <v>46</v>
      </c>
      <c r="I669">
        <v>77</v>
      </c>
      <c r="J669">
        <v>74.977999999999994</v>
      </c>
      <c r="K669">
        <v>-2.0219999999999998</v>
      </c>
      <c r="L669">
        <v>13</v>
      </c>
      <c r="M669">
        <v>12</v>
      </c>
      <c r="N669">
        <v>21</v>
      </c>
      <c r="O669">
        <v>77.712000000000003</v>
      </c>
      <c r="P669">
        <v>-2.9331256309999998</v>
      </c>
      <c r="Q669">
        <v>14.061</v>
      </c>
    </row>
    <row r="670" spans="1:17" s="30" customFormat="1" x14ac:dyDescent="0.2">
      <c r="A670" s="30" t="str">
        <f>IF(C670&amp;G670&amp;D670&lt;&gt;'Funnel setup'!$K$3&amp;'Funnel setup'!$K$4&amp;'Funnel setup'!$K$5,".",IF(A669=".",1,A669+1))</f>
        <v>.</v>
      </c>
      <c r="B670" s="431" t="str">
        <f t="shared" si="10"/>
        <v>Groin HerniaProviderTHE ROYAL WOLVERHAMPTON NHS TRUST (RL4)EQ VAS</v>
      </c>
      <c r="C670" t="s">
        <v>50</v>
      </c>
      <c r="D670" t="s">
        <v>1</v>
      </c>
      <c r="E670" t="s">
        <v>3382</v>
      </c>
      <c r="F670" t="s">
        <v>3383</v>
      </c>
      <c r="G670" t="s">
        <v>179</v>
      </c>
      <c r="H670">
        <v>135</v>
      </c>
      <c r="I670">
        <v>79.185000000000002</v>
      </c>
      <c r="J670">
        <v>77.578000000000003</v>
      </c>
      <c r="K670">
        <v>-1.607</v>
      </c>
      <c r="L670">
        <v>44</v>
      </c>
      <c r="M670">
        <v>28</v>
      </c>
      <c r="N670">
        <v>63</v>
      </c>
      <c r="O670">
        <v>78.95</v>
      </c>
      <c r="P670">
        <v>-1.695761375</v>
      </c>
      <c r="Q670">
        <v>13.242000000000001</v>
      </c>
    </row>
    <row r="671" spans="1:17" s="30" customFormat="1" x14ac:dyDescent="0.2">
      <c r="A671" s="30" t="str">
        <f>IF(C671&amp;G671&amp;D671&lt;&gt;'Funnel setup'!$K$3&amp;'Funnel setup'!$K$4&amp;'Funnel setup'!$K$5,".",IF(A670=".",1,A670+1))</f>
        <v>.</v>
      </c>
      <c r="B671" s="431" t="str">
        <f t="shared" si="10"/>
        <v>Groin HerniaProviderTHE SPENCER WING (RAMSGATE ROAD) (NN801)EQ VAS</v>
      </c>
      <c r="C671" t="s">
        <v>50</v>
      </c>
      <c r="D671" t="s">
        <v>1</v>
      </c>
      <c r="E671" t="s">
        <v>3757</v>
      </c>
      <c r="F671" t="s">
        <v>3758</v>
      </c>
      <c r="G671" t="s">
        <v>179</v>
      </c>
      <c r="H671" t="s">
        <v>53</v>
      </c>
      <c r="I671" t="s">
        <v>53</v>
      </c>
      <c r="J671" t="s">
        <v>53</v>
      </c>
      <c r="K671" t="s">
        <v>53</v>
      </c>
      <c r="L671" t="s">
        <v>53</v>
      </c>
      <c r="M671" t="s">
        <v>53</v>
      </c>
      <c r="N671" t="s">
        <v>53</v>
      </c>
      <c r="O671" t="s">
        <v>53</v>
      </c>
      <c r="P671" t="s">
        <v>53</v>
      </c>
      <c r="Q671" t="s">
        <v>53</v>
      </c>
    </row>
    <row r="672" spans="1:17" s="30" customFormat="1" x14ac:dyDescent="0.2">
      <c r="A672" s="30" t="str">
        <f>IF(C672&amp;G672&amp;D672&lt;&gt;'Funnel setup'!$K$3&amp;'Funnel setup'!$K$4&amp;'Funnel setup'!$K$5,".",IF(A671=".",1,A671+1))</f>
        <v>.</v>
      </c>
      <c r="B672" s="431" t="str">
        <f t="shared" si="10"/>
        <v>Groin HerniaProviderTHE WESTBOURNE CENTRE (NVC44)EQ VAS</v>
      </c>
      <c r="C672" t="s">
        <v>50</v>
      </c>
      <c r="D672" t="s">
        <v>1</v>
      </c>
      <c r="E672" t="s">
        <v>3775</v>
      </c>
      <c r="F672" t="s">
        <v>3776</v>
      </c>
      <c r="G672" t="s">
        <v>179</v>
      </c>
      <c r="H672" t="s">
        <v>53</v>
      </c>
      <c r="I672" t="s">
        <v>53</v>
      </c>
      <c r="J672" t="s">
        <v>53</v>
      </c>
      <c r="K672" t="s">
        <v>53</v>
      </c>
      <c r="L672" t="s">
        <v>53</v>
      </c>
      <c r="M672" t="s">
        <v>53</v>
      </c>
      <c r="N672" t="s">
        <v>53</v>
      </c>
      <c r="O672" t="s">
        <v>53</v>
      </c>
      <c r="P672" t="s">
        <v>53</v>
      </c>
      <c r="Q672" t="s">
        <v>53</v>
      </c>
    </row>
    <row r="673" spans="1:17" s="30" customFormat="1" x14ac:dyDescent="0.2">
      <c r="A673" s="30" t="str">
        <f>IF(C673&amp;G673&amp;D673&lt;&gt;'Funnel setup'!$K$3&amp;'Funnel setup'!$K$4&amp;'Funnel setup'!$K$5,".",IF(A672=".",1,A672+1))</f>
        <v>.</v>
      </c>
      <c r="B673" s="431" t="str">
        <f t="shared" si="10"/>
        <v>Groin HerniaProviderTHE WHITTINGTON HOSPITAL NHS TRUST (RKE)EQ VAS</v>
      </c>
      <c r="C673" t="s">
        <v>50</v>
      </c>
      <c r="D673" t="s">
        <v>1</v>
      </c>
      <c r="E673" t="s">
        <v>6529</v>
      </c>
      <c r="F673" t="s">
        <v>6530</v>
      </c>
      <c r="G673" t="s">
        <v>179</v>
      </c>
      <c r="H673" t="s">
        <v>53</v>
      </c>
      <c r="I673" t="s">
        <v>53</v>
      </c>
      <c r="J673" t="s">
        <v>53</v>
      </c>
      <c r="K673" t="s">
        <v>53</v>
      </c>
      <c r="L673" t="s">
        <v>53</v>
      </c>
      <c r="M673" t="s">
        <v>53</v>
      </c>
      <c r="N673" t="s">
        <v>53</v>
      </c>
      <c r="O673" t="s">
        <v>53</v>
      </c>
      <c r="P673" t="s">
        <v>53</v>
      </c>
      <c r="Q673" t="s">
        <v>53</v>
      </c>
    </row>
    <row r="674" spans="1:17" s="30" customFormat="1" x14ac:dyDescent="0.2">
      <c r="A674" s="30" t="str">
        <f>IF(C674&amp;G674&amp;D674&lt;&gt;'Funnel setup'!$K$3&amp;'Funnel setup'!$K$4&amp;'Funnel setup'!$K$5,".",IF(A673=".",1,A673+1))</f>
        <v>.</v>
      </c>
      <c r="B674" s="431" t="str">
        <f t="shared" si="10"/>
        <v>Groin HerniaProviderTHE YORKSHIRE CLINIC (NVC20)EQ VAS</v>
      </c>
      <c r="C674" t="s">
        <v>50</v>
      </c>
      <c r="D674" t="s">
        <v>1</v>
      </c>
      <c r="E674" t="s">
        <v>3760</v>
      </c>
      <c r="F674" t="s">
        <v>3761</v>
      </c>
      <c r="G674" t="s">
        <v>179</v>
      </c>
      <c r="H674">
        <v>28</v>
      </c>
      <c r="I674">
        <v>82.286000000000001</v>
      </c>
      <c r="J674">
        <v>78.929000000000002</v>
      </c>
      <c r="K674">
        <v>-3.3570000000000002</v>
      </c>
      <c r="L674">
        <v>10</v>
      </c>
      <c r="M674">
        <v>3</v>
      </c>
      <c r="N674">
        <v>15</v>
      </c>
      <c r="O674" t="s">
        <v>53</v>
      </c>
      <c r="P674" t="s">
        <v>53</v>
      </c>
      <c r="Q674" t="s">
        <v>53</v>
      </c>
    </row>
    <row r="675" spans="1:17" s="30" customFormat="1" x14ac:dyDescent="0.2">
      <c r="A675" s="30" t="str">
        <f>IF(C675&amp;G675&amp;D675&lt;&gt;'Funnel setup'!$K$3&amp;'Funnel setup'!$K$4&amp;'Funnel setup'!$K$5,".",IF(A674=".",1,A674+1))</f>
        <v>.</v>
      </c>
      <c r="B675" s="431" t="str">
        <f t="shared" si="10"/>
        <v>Groin HerniaProviderTORBAY AND SOUTH DEVON NHS FOUNDATION TRUST (RA9)EQ VAS</v>
      </c>
      <c r="C675" t="s">
        <v>50</v>
      </c>
      <c r="D675" t="s">
        <v>1</v>
      </c>
      <c r="E675" t="s">
        <v>3480</v>
      </c>
      <c r="F675" t="s">
        <v>6584</v>
      </c>
      <c r="G675" t="s">
        <v>179</v>
      </c>
      <c r="H675">
        <v>23</v>
      </c>
      <c r="I675">
        <v>81.956999999999994</v>
      </c>
      <c r="J675">
        <v>77.956999999999994</v>
      </c>
      <c r="K675">
        <v>-4</v>
      </c>
      <c r="L675">
        <v>9</v>
      </c>
      <c r="M675">
        <v>2</v>
      </c>
      <c r="N675">
        <v>12</v>
      </c>
      <c r="O675" t="s">
        <v>53</v>
      </c>
      <c r="P675" t="s">
        <v>53</v>
      </c>
      <c r="Q675" t="s">
        <v>53</v>
      </c>
    </row>
    <row r="676" spans="1:17" s="30" customFormat="1" x14ac:dyDescent="0.2">
      <c r="A676" s="30" t="str">
        <f>IF(C676&amp;G676&amp;D676&lt;&gt;'Funnel setup'!$K$3&amp;'Funnel setup'!$K$4&amp;'Funnel setup'!$K$5,".",IF(A675=".",1,A675+1))</f>
        <v>.</v>
      </c>
      <c r="B676" s="431" t="str">
        <f t="shared" si="10"/>
        <v>Groin HerniaProviderUNITED LINCOLNSHIRE HOSPITALS NHS TRUST (RWD)EQ VAS</v>
      </c>
      <c r="C676" t="s">
        <v>50</v>
      </c>
      <c r="D676" t="s">
        <v>1</v>
      </c>
      <c r="E676" t="s">
        <v>3763</v>
      </c>
      <c r="F676" t="s">
        <v>3764</v>
      </c>
      <c r="G676" t="s">
        <v>179</v>
      </c>
      <c r="H676">
        <v>142</v>
      </c>
      <c r="I676">
        <v>80.507000000000005</v>
      </c>
      <c r="J676">
        <v>79.5</v>
      </c>
      <c r="K676">
        <v>-1.0069999999999999</v>
      </c>
      <c r="L676">
        <v>54</v>
      </c>
      <c r="M676">
        <v>21</v>
      </c>
      <c r="N676">
        <v>67</v>
      </c>
      <c r="O676">
        <v>80.551000000000002</v>
      </c>
      <c r="P676">
        <v>-9.4074844000000005E-2</v>
      </c>
      <c r="Q676">
        <v>12.798</v>
      </c>
    </row>
    <row r="677" spans="1:17" s="30" customFormat="1" x14ac:dyDescent="0.2">
      <c r="A677" s="30" t="str">
        <f>IF(C677&amp;G677&amp;D677&lt;&gt;'Funnel setup'!$K$3&amp;'Funnel setup'!$K$4&amp;'Funnel setup'!$K$5,".",IF(A676=".",1,A676+1))</f>
        <v>.</v>
      </c>
      <c r="B677" s="431" t="str">
        <f t="shared" si="10"/>
        <v>Groin HerniaProviderUNIVERSITY COLLEGE LONDON HOSPITALS NHS FOUNDATION TRUST (RRV)EQ VAS</v>
      </c>
      <c r="C677" t="s">
        <v>50</v>
      </c>
      <c r="D677" t="s">
        <v>1</v>
      </c>
      <c r="E677" t="s">
        <v>3766</v>
      </c>
      <c r="F677" t="s">
        <v>3767</v>
      </c>
      <c r="G677" t="s">
        <v>179</v>
      </c>
      <c r="H677">
        <v>64</v>
      </c>
      <c r="I677">
        <v>80.828000000000003</v>
      </c>
      <c r="J677">
        <v>79.858999999999995</v>
      </c>
      <c r="K677">
        <v>-0.96899999999999997</v>
      </c>
      <c r="L677">
        <v>24</v>
      </c>
      <c r="M677">
        <v>12</v>
      </c>
      <c r="N677">
        <v>28</v>
      </c>
      <c r="O677">
        <v>80.774000000000001</v>
      </c>
      <c r="P677">
        <v>0.12875711500000001</v>
      </c>
      <c r="Q677">
        <v>10.667999999999999</v>
      </c>
    </row>
    <row r="678" spans="1:17" s="30" customFormat="1" x14ac:dyDescent="0.2">
      <c r="A678" s="30" t="str">
        <f>IF(C678&amp;G678&amp;D678&lt;&gt;'Funnel setup'!$K$3&amp;'Funnel setup'!$K$4&amp;'Funnel setup'!$K$5,".",IF(A677=".",1,A677+1))</f>
        <v>.</v>
      </c>
      <c r="B678" s="431" t="str">
        <f t="shared" si="10"/>
        <v>Groin HerniaProviderUNIVERSITY HOSPITAL OF SOUTH MANCHESTER NHS FOUNDATION TRUST (RM2)EQ VAS</v>
      </c>
      <c r="C678" t="s">
        <v>50</v>
      </c>
      <c r="D678" t="s">
        <v>1</v>
      </c>
      <c r="E678" t="s">
        <v>3769</v>
      </c>
      <c r="F678" t="s">
        <v>3770</v>
      </c>
      <c r="G678" t="s">
        <v>179</v>
      </c>
      <c r="H678">
        <v>80</v>
      </c>
      <c r="I678">
        <v>82.313000000000002</v>
      </c>
      <c r="J678">
        <v>79.349999999999994</v>
      </c>
      <c r="K678">
        <v>-2.9620000000000002</v>
      </c>
      <c r="L678">
        <v>23</v>
      </c>
      <c r="M678">
        <v>18</v>
      </c>
      <c r="N678">
        <v>39</v>
      </c>
      <c r="O678">
        <v>78.873999999999995</v>
      </c>
      <c r="P678">
        <v>-1.771787437</v>
      </c>
      <c r="Q678">
        <v>13.186</v>
      </c>
    </row>
    <row r="679" spans="1:17" s="30" customFormat="1" x14ac:dyDescent="0.2">
      <c r="A679" s="30" t="str">
        <f>IF(C679&amp;G679&amp;D679&lt;&gt;'Funnel setup'!$K$3&amp;'Funnel setup'!$K$4&amp;'Funnel setup'!$K$5,".",IF(A678=".",1,A678+1))</f>
        <v>.</v>
      </c>
      <c r="B679" s="431" t="str">
        <f t="shared" si="10"/>
        <v>Groin HerniaProviderUNIVERSITY HOSPITAL SOUTHAMPTON NHS FOUNDATION TRUST (RHM)EQ VAS</v>
      </c>
      <c r="C679" t="s">
        <v>50</v>
      </c>
      <c r="D679" t="s">
        <v>1</v>
      </c>
      <c r="E679" t="s">
        <v>3772</v>
      </c>
      <c r="F679" t="s">
        <v>3773</v>
      </c>
      <c r="G679" t="s">
        <v>179</v>
      </c>
      <c r="H679">
        <v>21</v>
      </c>
      <c r="I679">
        <v>66.905000000000001</v>
      </c>
      <c r="J679">
        <v>69.332999999999998</v>
      </c>
      <c r="K679">
        <v>2.4289999999999998</v>
      </c>
      <c r="L679">
        <v>7</v>
      </c>
      <c r="M679">
        <v>3</v>
      </c>
      <c r="N679">
        <v>11</v>
      </c>
      <c r="O679" t="s">
        <v>53</v>
      </c>
      <c r="P679" t="s">
        <v>53</v>
      </c>
      <c r="Q679" t="s">
        <v>53</v>
      </c>
    </row>
    <row r="680" spans="1:17" s="30" customFormat="1" x14ac:dyDescent="0.2">
      <c r="A680" s="30" t="str">
        <f>IF(C680&amp;G680&amp;D680&lt;&gt;'Funnel setup'!$K$3&amp;'Funnel setup'!$K$4&amp;'Funnel setup'!$K$5,".",IF(A679=".",1,A679+1))</f>
        <v>.</v>
      </c>
      <c r="B680" s="431" t="str">
        <f t="shared" si="10"/>
        <v>Groin HerniaProviderUNIVERSITY HOSPITALS BIRMINGHAM NHS FOUNDATION TRUST (RRK)EQ VAS</v>
      </c>
      <c r="C680" t="s">
        <v>50</v>
      </c>
      <c r="D680" t="s">
        <v>1</v>
      </c>
      <c r="E680" t="s">
        <v>3778</v>
      </c>
      <c r="F680" t="s">
        <v>3779</v>
      </c>
      <c r="G680" t="s">
        <v>179</v>
      </c>
      <c r="H680">
        <v>109</v>
      </c>
      <c r="I680">
        <v>78.275000000000006</v>
      </c>
      <c r="J680">
        <v>79.063999999999993</v>
      </c>
      <c r="K680">
        <v>0.78900000000000003</v>
      </c>
      <c r="L680">
        <v>38</v>
      </c>
      <c r="M680">
        <v>28</v>
      </c>
      <c r="N680">
        <v>43</v>
      </c>
      <c r="O680">
        <v>80.903000000000006</v>
      </c>
      <c r="P680">
        <v>0.25771218299999998</v>
      </c>
      <c r="Q680">
        <v>12.121</v>
      </c>
    </row>
    <row r="681" spans="1:17" s="30" customFormat="1" x14ac:dyDescent="0.2">
      <c r="A681" s="30" t="str">
        <f>IF(C681&amp;G681&amp;D681&lt;&gt;'Funnel setup'!$K$3&amp;'Funnel setup'!$K$4&amp;'Funnel setup'!$K$5,".",IF(A680=".",1,A680+1))</f>
        <v>.</v>
      </c>
      <c r="B681" s="431" t="str">
        <f t="shared" si="10"/>
        <v>Groin HerniaProviderUNIVERSITY HOSPITALS BRISTOL NHS FOUNDATION TRUST (RA7)EQ VAS</v>
      </c>
      <c r="C681" t="s">
        <v>50</v>
      </c>
      <c r="D681" t="s">
        <v>1</v>
      </c>
      <c r="E681" t="s">
        <v>3835</v>
      </c>
      <c r="F681" t="s">
        <v>3836</v>
      </c>
      <c r="G681" t="s">
        <v>179</v>
      </c>
      <c r="H681">
        <v>22</v>
      </c>
      <c r="I681">
        <v>74.227000000000004</v>
      </c>
      <c r="J681">
        <v>75.090999999999994</v>
      </c>
      <c r="K681">
        <v>0.86399999999999999</v>
      </c>
      <c r="L681">
        <v>10</v>
      </c>
      <c r="M681">
        <v>6</v>
      </c>
      <c r="N681">
        <v>6</v>
      </c>
      <c r="O681" t="s">
        <v>53</v>
      </c>
      <c r="P681" t="s">
        <v>53</v>
      </c>
      <c r="Q681" t="s">
        <v>53</v>
      </c>
    </row>
    <row r="682" spans="1:17" s="30" customFormat="1" x14ac:dyDescent="0.2">
      <c r="A682" s="30" t="str">
        <f>IF(C682&amp;G682&amp;D682&lt;&gt;'Funnel setup'!$K$3&amp;'Funnel setup'!$K$4&amp;'Funnel setup'!$K$5,".",IF(A681=".",1,A681+1))</f>
        <v>.</v>
      </c>
      <c r="B682" s="431" t="str">
        <f t="shared" si="10"/>
        <v>Groin HerniaProviderUNIVERSITY HOSPITALS COVENTRY AND WARWICKSHIRE NHS TRUST (RKB)EQ VAS</v>
      </c>
      <c r="C682" t="s">
        <v>50</v>
      </c>
      <c r="D682" t="s">
        <v>1</v>
      </c>
      <c r="E682" t="s">
        <v>3715</v>
      </c>
      <c r="F682" t="s">
        <v>3716</v>
      </c>
      <c r="G682" t="s">
        <v>179</v>
      </c>
      <c r="H682">
        <v>31</v>
      </c>
      <c r="I682">
        <v>78.194000000000003</v>
      </c>
      <c r="J682">
        <v>78.031999999999996</v>
      </c>
      <c r="K682">
        <v>-0.161</v>
      </c>
      <c r="L682">
        <v>13</v>
      </c>
      <c r="M682">
        <v>8</v>
      </c>
      <c r="N682">
        <v>10</v>
      </c>
      <c r="O682">
        <v>80.114999999999995</v>
      </c>
      <c r="P682">
        <v>-0.530334694</v>
      </c>
      <c r="Q682">
        <v>12.154</v>
      </c>
    </row>
    <row r="683" spans="1:17" s="30" customFormat="1" x14ac:dyDescent="0.2">
      <c r="A683" s="30" t="str">
        <f>IF(C683&amp;G683&amp;D683&lt;&gt;'Funnel setup'!$K$3&amp;'Funnel setup'!$K$4&amp;'Funnel setup'!$K$5,".",IF(A682=".",1,A682+1))</f>
        <v>.</v>
      </c>
      <c r="B683" s="431" t="str">
        <f t="shared" si="10"/>
        <v>Groin HerniaProviderUNIVERSITY HOSPITALS OF LEICESTER NHS TRUST (RWE)EQ VAS</v>
      </c>
      <c r="C683" t="s">
        <v>50</v>
      </c>
      <c r="D683" t="s">
        <v>1</v>
      </c>
      <c r="E683" t="s">
        <v>3718</v>
      </c>
      <c r="F683" t="s">
        <v>3719</v>
      </c>
      <c r="G683" t="s">
        <v>179</v>
      </c>
      <c r="H683">
        <v>224</v>
      </c>
      <c r="I683">
        <v>80.597999999999999</v>
      </c>
      <c r="J683">
        <v>79.745999999999995</v>
      </c>
      <c r="K683">
        <v>-0.85299999999999998</v>
      </c>
      <c r="L683">
        <v>90</v>
      </c>
      <c r="M683">
        <v>36</v>
      </c>
      <c r="N683">
        <v>98</v>
      </c>
      <c r="O683">
        <v>80.385000000000005</v>
      </c>
      <c r="P683">
        <v>-0.26009829499999998</v>
      </c>
      <c r="Q683">
        <v>12.023999999999999</v>
      </c>
    </row>
    <row r="684" spans="1:17" s="30" customFormat="1" x14ac:dyDescent="0.2">
      <c r="A684" s="30" t="str">
        <f>IF(C684&amp;G684&amp;D684&lt;&gt;'Funnel setup'!$K$3&amp;'Funnel setup'!$K$4&amp;'Funnel setup'!$K$5,".",IF(A683=".",1,A683+1))</f>
        <v>.</v>
      </c>
      <c r="B684" s="431" t="str">
        <f t="shared" si="10"/>
        <v>Groin HerniaProviderUNIVERSITY HOSPITALS OF MORECAMBE BAY NHS FOUNDATION TRUST (RTX)EQ VAS</v>
      </c>
      <c r="C684" t="s">
        <v>50</v>
      </c>
      <c r="D684" t="s">
        <v>1</v>
      </c>
      <c r="E684" t="s">
        <v>3721</v>
      </c>
      <c r="F684" t="s">
        <v>3722</v>
      </c>
      <c r="G684" t="s">
        <v>179</v>
      </c>
      <c r="H684">
        <v>204</v>
      </c>
      <c r="I684">
        <v>82.558999999999997</v>
      </c>
      <c r="J684">
        <v>80.912000000000006</v>
      </c>
      <c r="K684">
        <v>-1.647</v>
      </c>
      <c r="L684">
        <v>70</v>
      </c>
      <c r="M684">
        <v>43</v>
      </c>
      <c r="N684">
        <v>91</v>
      </c>
      <c r="O684">
        <v>79.608000000000004</v>
      </c>
      <c r="P684">
        <v>-1.037797429</v>
      </c>
      <c r="Q684">
        <v>12.877000000000001</v>
      </c>
    </row>
    <row r="685" spans="1:17" s="30" customFormat="1" x14ac:dyDescent="0.2">
      <c r="A685" s="30" t="str">
        <f>IF(C685&amp;G685&amp;D685&lt;&gt;'Funnel setup'!$K$3&amp;'Funnel setup'!$K$4&amp;'Funnel setup'!$K$5,".",IF(A684=".",1,A684+1))</f>
        <v>.</v>
      </c>
      <c r="B685" s="431" t="str">
        <f t="shared" si="10"/>
        <v>Groin HerniaProviderUNIVERSITY HOSPITALS OF NORTH MIDLANDS NHS TRUST (RJE)EQ VAS</v>
      </c>
      <c r="C685" t="s">
        <v>50</v>
      </c>
      <c r="D685" t="s">
        <v>1</v>
      </c>
      <c r="E685" t="s">
        <v>3724</v>
      </c>
      <c r="F685" t="s">
        <v>3725</v>
      </c>
      <c r="G685" t="s">
        <v>179</v>
      </c>
      <c r="H685">
        <v>72</v>
      </c>
      <c r="I685">
        <v>80.305999999999997</v>
      </c>
      <c r="J685">
        <v>80.944000000000003</v>
      </c>
      <c r="K685">
        <v>0.63900000000000001</v>
      </c>
      <c r="L685">
        <v>24</v>
      </c>
      <c r="M685">
        <v>22</v>
      </c>
      <c r="N685">
        <v>26</v>
      </c>
      <c r="O685">
        <v>82.007000000000005</v>
      </c>
      <c r="P685">
        <v>1.3611967410000001</v>
      </c>
      <c r="Q685">
        <v>11.223000000000001</v>
      </c>
    </row>
    <row r="686" spans="1:17" s="30" customFormat="1" x14ac:dyDescent="0.2">
      <c r="A686" s="30" t="str">
        <f>IF(C686&amp;G686&amp;D686&lt;&gt;'Funnel setup'!$K$3&amp;'Funnel setup'!$K$4&amp;'Funnel setup'!$K$5,".",IF(A685=".",1,A685+1))</f>
        <v>.</v>
      </c>
      <c r="B686" s="431" t="str">
        <f t="shared" si="10"/>
        <v>Groin HerniaProviderWALSALL HEALTHCARE NHS TRUST (RBK)EQ VAS</v>
      </c>
      <c r="C686" t="s">
        <v>50</v>
      </c>
      <c r="D686" t="s">
        <v>1</v>
      </c>
      <c r="E686" t="s">
        <v>3727</v>
      </c>
      <c r="F686" t="s">
        <v>3728</v>
      </c>
      <c r="G686" t="s">
        <v>179</v>
      </c>
      <c r="H686">
        <v>61</v>
      </c>
      <c r="I686">
        <v>80.492000000000004</v>
      </c>
      <c r="J686">
        <v>80.180000000000007</v>
      </c>
      <c r="K686">
        <v>-0.311</v>
      </c>
      <c r="L686">
        <v>25</v>
      </c>
      <c r="M686">
        <v>12</v>
      </c>
      <c r="N686">
        <v>24</v>
      </c>
      <c r="O686">
        <v>80.581000000000003</v>
      </c>
      <c r="P686">
        <v>-6.4099049000000005E-2</v>
      </c>
      <c r="Q686">
        <v>12.186</v>
      </c>
    </row>
    <row r="687" spans="1:17" s="30" customFormat="1" x14ac:dyDescent="0.2">
      <c r="A687" s="30" t="str">
        <f>IF(C687&amp;G687&amp;D687&lt;&gt;'Funnel setup'!$K$3&amp;'Funnel setup'!$K$4&amp;'Funnel setup'!$K$5,".",IF(A686=".",1,A686+1))</f>
        <v>.</v>
      </c>
      <c r="B687" s="431" t="str">
        <f t="shared" si="10"/>
        <v>Groin HerniaProviderWARRINGTON AND HALTON HOSPITALS NHS FOUNDATION TRUST (RWW)EQ VAS</v>
      </c>
      <c r="C687" t="s">
        <v>50</v>
      </c>
      <c r="D687" t="s">
        <v>1</v>
      </c>
      <c r="E687" t="s">
        <v>3730</v>
      </c>
      <c r="F687" t="s">
        <v>3731</v>
      </c>
      <c r="G687" t="s">
        <v>179</v>
      </c>
      <c r="H687">
        <v>99</v>
      </c>
      <c r="I687">
        <v>80.888999999999996</v>
      </c>
      <c r="J687">
        <v>80.555999999999997</v>
      </c>
      <c r="K687">
        <v>-0.33300000000000002</v>
      </c>
      <c r="L687">
        <v>35</v>
      </c>
      <c r="M687">
        <v>19</v>
      </c>
      <c r="N687">
        <v>45</v>
      </c>
      <c r="O687">
        <v>80.173000000000002</v>
      </c>
      <c r="P687">
        <v>-0.47215094800000001</v>
      </c>
      <c r="Q687">
        <v>10.612</v>
      </c>
    </row>
    <row r="688" spans="1:17" s="30" customFormat="1" x14ac:dyDescent="0.2">
      <c r="A688" s="30" t="str">
        <f>IF(C688&amp;G688&amp;D688&lt;&gt;'Funnel setup'!$K$3&amp;'Funnel setup'!$K$4&amp;'Funnel setup'!$K$5,".",IF(A687=".",1,A687+1))</f>
        <v>.</v>
      </c>
      <c r="B688" s="431" t="str">
        <f t="shared" si="10"/>
        <v>Groin HerniaProviderWEST HERTFORDSHIRE HOSPITALS NHS TRUST (RWG)EQ VAS</v>
      </c>
      <c r="C688" t="s">
        <v>50</v>
      </c>
      <c r="D688" t="s">
        <v>1</v>
      </c>
      <c r="E688" t="s">
        <v>3733</v>
      </c>
      <c r="F688" t="s">
        <v>3734</v>
      </c>
      <c r="G688" t="s">
        <v>179</v>
      </c>
      <c r="H688">
        <v>213</v>
      </c>
      <c r="I688">
        <v>81.498000000000005</v>
      </c>
      <c r="J688">
        <v>81.201999999999998</v>
      </c>
      <c r="K688">
        <v>-0.29599999999999999</v>
      </c>
      <c r="L688">
        <v>79</v>
      </c>
      <c r="M688">
        <v>50</v>
      </c>
      <c r="N688">
        <v>84</v>
      </c>
      <c r="O688">
        <v>80.197999999999993</v>
      </c>
      <c r="P688">
        <v>-0.44756586799999998</v>
      </c>
      <c r="Q688">
        <v>12.407</v>
      </c>
    </row>
    <row r="689" spans="1:17" s="30" customFormat="1" x14ac:dyDescent="0.2">
      <c r="A689" s="30" t="str">
        <f>IF(C689&amp;G689&amp;D689&lt;&gt;'Funnel setup'!$K$3&amp;'Funnel setup'!$K$4&amp;'Funnel setup'!$K$5,".",IF(A688=".",1,A688+1))</f>
        <v>.</v>
      </c>
      <c r="B689" s="431" t="str">
        <f t="shared" si="10"/>
        <v>Groin HerniaProviderWEST MIDDLESEX UNIVERSITY HOSPITAL NHS TRUST (RFW)EQ VAS</v>
      </c>
      <c r="C689" t="s">
        <v>50</v>
      </c>
      <c r="D689" t="s">
        <v>1</v>
      </c>
      <c r="E689" t="s">
        <v>3736</v>
      </c>
      <c r="F689" t="s">
        <v>3737</v>
      </c>
      <c r="G689" t="s">
        <v>179</v>
      </c>
      <c r="H689">
        <v>30</v>
      </c>
      <c r="I689">
        <v>76.8</v>
      </c>
      <c r="J689">
        <v>75.832999999999998</v>
      </c>
      <c r="K689">
        <v>-0.96699999999999997</v>
      </c>
      <c r="L689">
        <v>8</v>
      </c>
      <c r="M689">
        <v>8</v>
      </c>
      <c r="N689">
        <v>14</v>
      </c>
      <c r="O689">
        <v>76.522999999999996</v>
      </c>
      <c r="P689">
        <v>-4.1226928039999997</v>
      </c>
      <c r="Q689">
        <v>19.068999999999999</v>
      </c>
    </row>
    <row r="690" spans="1:17" s="30" customFormat="1" x14ac:dyDescent="0.2">
      <c r="A690" s="30" t="str">
        <f>IF(C690&amp;G690&amp;D690&lt;&gt;'Funnel setup'!$K$3&amp;'Funnel setup'!$K$4&amp;'Funnel setup'!$K$5,".",IF(A689=".",1,A689+1))</f>
        <v>.</v>
      </c>
      <c r="B690" s="431" t="str">
        <f t="shared" si="10"/>
        <v>Groin HerniaProviderWEST MIDLANDS HOSPITAL (NVC21)EQ VAS</v>
      </c>
      <c r="C690" t="s">
        <v>50</v>
      </c>
      <c r="D690" t="s">
        <v>1</v>
      </c>
      <c r="E690" t="s">
        <v>3709</v>
      </c>
      <c r="F690" t="s">
        <v>3710</v>
      </c>
      <c r="G690" t="s">
        <v>179</v>
      </c>
      <c r="H690">
        <v>40</v>
      </c>
      <c r="I690">
        <v>84.05</v>
      </c>
      <c r="J690">
        <v>79.900000000000006</v>
      </c>
      <c r="K690">
        <v>-4.1500000000000004</v>
      </c>
      <c r="L690">
        <v>10</v>
      </c>
      <c r="M690">
        <v>7</v>
      </c>
      <c r="N690">
        <v>23</v>
      </c>
      <c r="O690">
        <v>78.626999999999995</v>
      </c>
      <c r="P690">
        <v>-2.018635674</v>
      </c>
      <c r="Q690">
        <v>11.701000000000001</v>
      </c>
    </row>
    <row r="691" spans="1:17" s="30" customFormat="1" x14ac:dyDescent="0.2">
      <c r="A691" s="30" t="str">
        <f>IF(C691&amp;G691&amp;D691&lt;&gt;'Funnel setup'!$K$3&amp;'Funnel setup'!$K$4&amp;'Funnel setup'!$K$5,".",IF(A690=".",1,A690+1))</f>
        <v>.</v>
      </c>
      <c r="B691" s="431" t="str">
        <f t="shared" si="10"/>
        <v>Groin HerniaProviderWEST SUFFOLK NHS FOUNDATION TRUST (RGR)EQ VAS</v>
      </c>
      <c r="C691" t="s">
        <v>50</v>
      </c>
      <c r="D691" t="s">
        <v>1</v>
      </c>
      <c r="E691" t="s">
        <v>3712</v>
      </c>
      <c r="F691" t="s">
        <v>3713</v>
      </c>
      <c r="G691" t="s">
        <v>179</v>
      </c>
      <c r="H691">
        <v>152</v>
      </c>
      <c r="I691">
        <v>79.650999999999996</v>
      </c>
      <c r="J691">
        <v>78.867999999999995</v>
      </c>
      <c r="K691">
        <v>-0.78300000000000003</v>
      </c>
      <c r="L691">
        <v>60</v>
      </c>
      <c r="M691">
        <v>30</v>
      </c>
      <c r="N691">
        <v>62</v>
      </c>
      <c r="O691">
        <v>79.564999999999998</v>
      </c>
      <c r="P691">
        <v>-1.080204699</v>
      </c>
      <c r="Q691">
        <v>14.535</v>
      </c>
    </row>
    <row r="692" spans="1:17" s="30" customFormat="1" x14ac:dyDescent="0.2">
      <c r="A692" s="30" t="str">
        <f>IF(C692&amp;G692&amp;D692&lt;&gt;'Funnel setup'!$K$3&amp;'Funnel setup'!$K$4&amp;'Funnel setup'!$K$5,".",IF(A691=".",1,A691+1))</f>
        <v>.</v>
      </c>
      <c r="B692" s="431" t="str">
        <f t="shared" si="10"/>
        <v>Groin HerniaProviderWESTERN SUSSEX HOSPITALS NHS FOUNDATION TRUST (RYR)EQ VAS</v>
      </c>
      <c r="C692" t="s">
        <v>50</v>
      </c>
      <c r="D692" t="s">
        <v>1</v>
      </c>
      <c r="E692" t="s">
        <v>3706</v>
      </c>
      <c r="F692" t="s">
        <v>3707</v>
      </c>
      <c r="G692" t="s">
        <v>179</v>
      </c>
      <c r="H692">
        <v>113</v>
      </c>
      <c r="I692">
        <v>77.363</v>
      </c>
      <c r="J692">
        <v>76.087999999999994</v>
      </c>
      <c r="K692">
        <v>-1.274</v>
      </c>
      <c r="L692">
        <v>40</v>
      </c>
      <c r="M692">
        <v>24</v>
      </c>
      <c r="N692">
        <v>49</v>
      </c>
      <c r="O692">
        <v>77.941999999999993</v>
      </c>
      <c r="P692">
        <v>-2.7030421100000002</v>
      </c>
      <c r="Q692">
        <v>12.476000000000001</v>
      </c>
    </row>
    <row r="693" spans="1:17" s="30" customFormat="1" x14ac:dyDescent="0.2">
      <c r="A693" s="30" t="str">
        <f>IF(C693&amp;G693&amp;D693&lt;&gt;'Funnel setup'!$K$3&amp;'Funnel setup'!$K$4&amp;'Funnel setup'!$K$5,".",IF(A692=".",1,A692+1))</f>
        <v>.</v>
      </c>
      <c r="B693" s="431" t="str">
        <f t="shared" si="10"/>
        <v>Groin HerniaProviderWESTON AREA HEALTH NHS TRUST (RA3)EQ VAS</v>
      </c>
      <c r="C693" t="s">
        <v>50</v>
      </c>
      <c r="D693" t="s">
        <v>1</v>
      </c>
      <c r="E693" t="s">
        <v>3525</v>
      </c>
      <c r="F693" t="s">
        <v>3526</v>
      </c>
      <c r="G693" t="s">
        <v>179</v>
      </c>
      <c r="H693">
        <v>19</v>
      </c>
      <c r="I693">
        <v>78.052999999999997</v>
      </c>
      <c r="J693">
        <v>76.158000000000001</v>
      </c>
      <c r="K693">
        <v>-1.895</v>
      </c>
      <c r="L693">
        <v>10</v>
      </c>
      <c r="M693">
        <v>2</v>
      </c>
      <c r="N693">
        <v>7</v>
      </c>
      <c r="O693" t="s">
        <v>53</v>
      </c>
      <c r="P693" t="s">
        <v>53</v>
      </c>
      <c r="Q693" t="s">
        <v>53</v>
      </c>
    </row>
    <row r="694" spans="1:17" s="30" customFormat="1" x14ac:dyDescent="0.2">
      <c r="A694" s="30" t="str">
        <f>IF(C694&amp;G694&amp;D694&lt;&gt;'Funnel setup'!$K$3&amp;'Funnel setup'!$K$4&amp;'Funnel setup'!$K$5,".",IF(A693=".",1,A693+1))</f>
        <v>.</v>
      </c>
      <c r="B694" s="431" t="str">
        <f t="shared" si="10"/>
        <v>Groin HerniaProviderWHITE HORSE HEALTH CENTRE - IHG (NXP17)EQ VAS</v>
      </c>
      <c r="C694" t="s">
        <v>50</v>
      </c>
      <c r="D694" t="s">
        <v>1</v>
      </c>
      <c r="E694" t="s">
        <v>3694</v>
      </c>
      <c r="F694" t="s">
        <v>3695</v>
      </c>
      <c r="G694" t="s">
        <v>179</v>
      </c>
      <c r="H694">
        <v>7</v>
      </c>
      <c r="I694">
        <v>83.856999999999999</v>
      </c>
      <c r="J694">
        <v>80.429000000000002</v>
      </c>
      <c r="K694">
        <v>-3.4289999999999998</v>
      </c>
      <c r="L694">
        <v>2</v>
      </c>
      <c r="M694">
        <v>2</v>
      </c>
      <c r="N694">
        <v>3</v>
      </c>
      <c r="O694" t="s">
        <v>53</v>
      </c>
      <c r="P694" t="s">
        <v>53</v>
      </c>
      <c r="Q694" t="s">
        <v>53</v>
      </c>
    </row>
    <row r="695" spans="1:17" s="30" customFormat="1" x14ac:dyDescent="0.2">
      <c r="A695" s="30" t="str">
        <f>IF(C695&amp;G695&amp;D695&lt;&gt;'Funnel setup'!$K$3&amp;'Funnel setup'!$K$4&amp;'Funnel setup'!$K$5,".",IF(A694=".",1,A694+1))</f>
        <v>.</v>
      </c>
      <c r="B695" s="431" t="str">
        <f t="shared" si="10"/>
        <v>Groin HerniaProviderWILL ADAMS NHS TREATMENT CENTRE (NTP16)EQ VAS</v>
      </c>
      <c r="C695" t="s">
        <v>50</v>
      </c>
      <c r="D695" t="s">
        <v>1</v>
      </c>
      <c r="E695" t="s">
        <v>3531</v>
      </c>
      <c r="F695" t="s">
        <v>3532</v>
      </c>
      <c r="G695" t="s">
        <v>179</v>
      </c>
      <c r="H695">
        <v>45</v>
      </c>
      <c r="I695">
        <v>86.289000000000001</v>
      </c>
      <c r="J695">
        <v>84.888999999999996</v>
      </c>
      <c r="K695">
        <v>-1.4</v>
      </c>
      <c r="L695">
        <v>16</v>
      </c>
      <c r="M695">
        <v>9</v>
      </c>
      <c r="N695">
        <v>20</v>
      </c>
      <c r="O695">
        <v>80.602000000000004</v>
      </c>
      <c r="P695">
        <v>-4.3375722999999998E-2</v>
      </c>
      <c r="Q695">
        <v>8.4120000000000008</v>
      </c>
    </row>
    <row r="696" spans="1:17" s="30" customFormat="1" x14ac:dyDescent="0.2">
      <c r="A696" s="30" t="str">
        <f>IF(C696&amp;G696&amp;D696&lt;&gt;'Funnel setup'!$K$3&amp;'Funnel setup'!$K$4&amp;'Funnel setup'!$K$5,".",IF(A695=".",1,A695+1))</f>
        <v>.</v>
      </c>
      <c r="B696" s="431" t="str">
        <f t="shared" si="10"/>
        <v>Groin HerniaProviderWINFIELD HOSPITAL (NVC22)EQ VAS</v>
      </c>
      <c r="C696" t="s">
        <v>50</v>
      </c>
      <c r="D696" t="s">
        <v>1</v>
      </c>
      <c r="E696" t="s">
        <v>3534</v>
      </c>
      <c r="F696" t="s">
        <v>3535</v>
      </c>
      <c r="G696" t="s">
        <v>179</v>
      </c>
      <c r="H696">
        <v>29</v>
      </c>
      <c r="I696">
        <v>82.171999999999997</v>
      </c>
      <c r="J696">
        <v>84.069000000000003</v>
      </c>
      <c r="K696">
        <v>1.897</v>
      </c>
      <c r="L696">
        <v>12</v>
      </c>
      <c r="M696">
        <v>6</v>
      </c>
      <c r="N696">
        <v>11</v>
      </c>
      <c r="O696" t="s">
        <v>53</v>
      </c>
      <c r="P696" t="s">
        <v>53</v>
      </c>
      <c r="Q696" t="s">
        <v>53</v>
      </c>
    </row>
    <row r="697" spans="1:17" s="30" customFormat="1" x14ac:dyDescent="0.2">
      <c r="A697" s="30" t="str">
        <f>IF(C697&amp;G697&amp;D697&lt;&gt;'Funnel setup'!$K$3&amp;'Funnel setup'!$K$4&amp;'Funnel setup'!$K$5,".",IF(A696=".",1,A696+1))</f>
        <v>.</v>
      </c>
      <c r="B697" s="431" t="str">
        <f t="shared" si="10"/>
        <v>Groin HerniaProviderWIRRAL UNIVERSITY TEACHING HOSPITAL NHS FOUNDATION TRUST (RBL)EQ VAS</v>
      </c>
      <c r="C697" t="s">
        <v>50</v>
      </c>
      <c r="D697" t="s">
        <v>1</v>
      </c>
      <c r="E697" t="s">
        <v>3537</v>
      </c>
      <c r="F697" t="s">
        <v>3538</v>
      </c>
      <c r="G697" t="s">
        <v>179</v>
      </c>
      <c r="H697">
        <v>90</v>
      </c>
      <c r="I697">
        <v>78.332999999999998</v>
      </c>
      <c r="J697">
        <v>75.210999999999999</v>
      </c>
      <c r="K697">
        <v>-3.1219999999999999</v>
      </c>
      <c r="L697">
        <v>29</v>
      </c>
      <c r="M697">
        <v>17</v>
      </c>
      <c r="N697">
        <v>44</v>
      </c>
      <c r="O697">
        <v>76.927000000000007</v>
      </c>
      <c r="P697">
        <v>-3.7179787129999999</v>
      </c>
      <c r="Q697">
        <v>16.547000000000001</v>
      </c>
    </row>
    <row r="698" spans="1:17" s="30" customFormat="1" x14ac:dyDescent="0.2">
      <c r="A698" s="30" t="str">
        <f>IF(C698&amp;G698&amp;D698&lt;&gt;'Funnel setup'!$K$3&amp;'Funnel setup'!$K$4&amp;'Funnel setup'!$K$5,".",IF(A697=".",1,A697+1))</f>
        <v>.</v>
      </c>
      <c r="B698" s="431" t="str">
        <f t="shared" si="10"/>
        <v>Groin HerniaProviderWOODLAND HOSPITAL (NVC23)EQ VAS</v>
      </c>
      <c r="C698" t="s">
        <v>50</v>
      </c>
      <c r="D698" t="s">
        <v>1</v>
      </c>
      <c r="E698" t="s">
        <v>3540</v>
      </c>
      <c r="F698" t="s">
        <v>3541</v>
      </c>
      <c r="G698" t="s">
        <v>179</v>
      </c>
      <c r="H698">
        <v>56</v>
      </c>
      <c r="I698">
        <v>73.018000000000001</v>
      </c>
      <c r="J698">
        <v>80.304000000000002</v>
      </c>
      <c r="K698">
        <v>7.2859999999999996</v>
      </c>
      <c r="L698">
        <v>34</v>
      </c>
      <c r="M698">
        <v>4</v>
      </c>
      <c r="N698">
        <v>18</v>
      </c>
      <c r="O698">
        <v>81.956000000000003</v>
      </c>
      <c r="P698">
        <v>1.3102242040000001</v>
      </c>
      <c r="Q698">
        <v>17.821000000000002</v>
      </c>
    </row>
    <row r="699" spans="1:17" s="30" customFormat="1" x14ac:dyDescent="0.2">
      <c r="A699" s="30" t="str">
        <f>IF(C699&amp;G699&amp;D699&lt;&gt;'Funnel setup'!$K$3&amp;'Funnel setup'!$K$4&amp;'Funnel setup'!$K$5,".",IF(A698=".",1,A698+1))</f>
        <v>.</v>
      </c>
      <c r="B699" s="431" t="str">
        <f t="shared" si="10"/>
        <v>Groin HerniaProviderWOODTHORPE HOSPITAL (NVC40)EQ VAS</v>
      </c>
      <c r="C699" t="s">
        <v>50</v>
      </c>
      <c r="D699" t="s">
        <v>1</v>
      </c>
      <c r="E699" t="s">
        <v>3689</v>
      </c>
      <c r="F699" t="s">
        <v>6576</v>
      </c>
      <c r="G699" t="s">
        <v>179</v>
      </c>
      <c r="H699">
        <v>40</v>
      </c>
      <c r="I699">
        <v>84.1</v>
      </c>
      <c r="J699">
        <v>79.900000000000006</v>
      </c>
      <c r="K699">
        <v>-4.2</v>
      </c>
      <c r="L699">
        <v>13</v>
      </c>
      <c r="M699">
        <v>5</v>
      </c>
      <c r="N699">
        <v>22</v>
      </c>
      <c r="O699">
        <v>76.981999999999999</v>
      </c>
      <c r="P699">
        <v>-3.6630921559999998</v>
      </c>
      <c r="Q699">
        <v>11.593999999999999</v>
      </c>
    </row>
    <row r="700" spans="1:17" s="30" customFormat="1" x14ac:dyDescent="0.2">
      <c r="A700" s="30" t="str">
        <f>IF(C700&amp;G700&amp;D700&lt;&gt;'Funnel setup'!$K$3&amp;'Funnel setup'!$K$4&amp;'Funnel setup'!$K$5,".",IF(A699=".",1,A699+1))</f>
        <v>.</v>
      </c>
      <c r="B700" s="431" t="str">
        <f t="shared" si="10"/>
        <v>Groin HerniaProviderWORCESTERSHIRE ACUTE HOSPITALS NHS TRUST (RWP)EQ VAS</v>
      </c>
      <c r="C700" t="s">
        <v>50</v>
      </c>
      <c r="D700" t="s">
        <v>1</v>
      </c>
      <c r="E700" t="s">
        <v>3543</v>
      </c>
      <c r="F700" t="s">
        <v>3544</v>
      </c>
      <c r="G700" t="s">
        <v>179</v>
      </c>
      <c r="H700">
        <v>162</v>
      </c>
      <c r="I700">
        <v>81.08</v>
      </c>
      <c r="J700">
        <v>79.852000000000004</v>
      </c>
      <c r="K700">
        <v>-1.228</v>
      </c>
      <c r="L700">
        <v>57</v>
      </c>
      <c r="M700">
        <v>37</v>
      </c>
      <c r="N700">
        <v>68</v>
      </c>
      <c r="O700">
        <v>80.674000000000007</v>
      </c>
      <c r="P700">
        <v>2.8798651000000001E-2</v>
      </c>
      <c r="Q700">
        <v>11.997</v>
      </c>
    </row>
    <row r="701" spans="1:17" s="30" customFormat="1" x14ac:dyDescent="0.2">
      <c r="A701" s="30" t="str">
        <f>IF(C701&amp;G701&amp;D701&lt;&gt;'Funnel setup'!$K$3&amp;'Funnel setup'!$K$4&amp;'Funnel setup'!$K$5,".",IF(A700=".",1,A700+1))</f>
        <v>.</v>
      </c>
      <c r="B701" s="431" t="str">
        <f t="shared" si="10"/>
        <v>Groin HerniaProviderWRIGHTINGTON, WIGAN AND LEIGH NHS FOUNDATION TRUST (RRF)EQ VAS</v>
      </c>
      <c r="C701" t="s">
        <v>50</v>
      </c>
      <c r="D701" t="s">
        <v>1</v>
      </c>
      <c r="E701" t="s">
        <v>3546</v>
      </c>
      <c r="F701" t="s">
        <v>3547</v>
      </c>
      <c r="G701" t="s">
        <v>179</v>
      </c>
      <c r="H701">
        <v>105</v>
      </c>
      <c r="I701">
        <v>78.123999999999995</v>
      </c>
      <c r="J701">
        <v>76.037999999999997</v>
      </c>
      <c r="K701">
        <v>-2.0859999999999999</v>
      </c>
      <c r="L701">
        <v>34</v>
      </c>
      <c r="M701">
        <v>17</v>
      </c>
      <c r="N701">
        <v>54</v>
      </c>
      <c r="O701">
        <v>78.448999999999998</v>
      </c>
      <c r="P701">
        <v>-2.1963505539999999</v>
      </c>
      <c r="Q701">
        <v>13.91</v>
      </c>
    </row>
    <row r="702" spans="1:17" s="30" customFormat="1" x14ac:dyDescent="0.2">
      <c r="A702" s="30" t="str">
        <f>IF(C702&amp;G702&amp;D702&lt;&gt;'Funnel setup'!$K$3&amp;'Funnel setup'!$K$4&amp;'Funnel setup'!$K$5,".",IF(A701=".",1,A701+1))</f>
        <v>.</v>
      </c>
      <c r="B702" s="431" t="str">
        <f t="shared" si="10"/>
        <v>Groin HerniaProviderWYE VALLEY NHS TRUST (RLQ)EQ VAS</v>
      </c>
      <c r="C702" t="s">
        <v>50</v>
      </c>
      <c r="D702" t="s">
        <v>1</v>
      </c>
      <c r="E702" t="s">
        <v>3517</v>
      </c>
      <c r="F702" t="s">
        <v>3518</v>
      </c>
      <c r="G702" t="s">
        <v>179</v>
      </c>
      <c r="H702">
        <v>78</v>
      </c>
      <c r="I702">
        <v>77.448999999999998</v>
      </c>
      <c r="J702">
        <v>79.563999999999993</v>
      </c>
      <c r="K702">
        <v>2.1150000000000002</v>
      </c>
      <c r="L702">
        <v>35</v>
      </c>
      <c r="M702">
        <v>14</v>
      </c>
      <c r="N702">
        <v>29</v>
      </c>
      <c r="O702">
        <v>81.322000000000003</v>
      </c>
      <c r="P702">
        <v>0.67662609900000004</v>
      </c>
      <c r="Q702">
        <v>12.007</v>
      </c>
    </row>
    <row r="703" spans="1:17" s="30" customFormat="1" x14ac:dyDescent="0.2">
      <c r="A703" s="30" t="str">
        <f>IF(C703&amp;G703&amp;D703&lt;&gt;'Funnel setup'!$K$3&amp;'Funnel setup'!$K$4&amp;'Funnel setup'!$K$5,".",IF(A702=".",1,A702+1))</f>
        <v>.</v>
      </c>
      <c r="B703" s="431" t="str">
        <f t="shared" si="10"/>
        <v>Groin HerniaProviderYEOVIL DISTRICT HOSPITAL NHS FOUNDATION TRUST (RA4)EQ VAS</v>
      </c>
      <c r="C703" t="s">
        <v>50</v>
      </c>
      <c r="D703" t="s">
        <v>1</v>
      </c>
      <c r="E703" t="s">
        <v>3520</v>
      </c>
      <c r="F703" t="s">
        <v>341</v>
      </c>
      <c r="G703" t="s">
        <v>179</v>
      </c>
      <c r="H703">
        <v>26</v>
      </c>
      <c r="I703">
        <v>81.423000000000002</v>
      </c>
      <c r="J703">
        <v>83.537999999999997</v>
      </c>
      <c r="K703">
        <v>2.1150000000000002</v>
      </c>
      <c r="L703">
        <v>9</v>
      </c>
      <c r="M703">
        <v>9</v>
      </c>
      <c r="N703">
        <v>8</v>
      </c>
      <c r="O703" t="s">
        <v>53</v>
      </c>
      <c r="P703" t="s">
        <v>53</v>
      </c>
      <c r="Q703" t="s">
        <v>53</v>
      </c>
    </row>
    <row r="704" spans="1:17" s="30" customFormat="1" x14ac:dyDescent="0.2">
      <c r="A704" s="30" t="str">
        <f>IF(C704&amp;G704&amp;D704&lt;&gt;'Funnel setup'!$K$3&amp;'Funnel setup'!$K$4&amp;'Funnel setup'!$K$5,".",IF(A703=".",1,A703+1))</f>
        <v>.</v>
      </c>
      <c r="B704" s="431" t="str">
        <f t="shared" si="10"/>
        <v>Groin HerniaProviderYORK TEACHING HOSPITAL NHS FOUNDATION TRUST (RCB)EQ VAS</v>
      </c>
      <c r="C704" t="s">
        <v>50</v>
      </c>
      <c r="D704" t="s">
        <v>1</v>
      </c>
      <c r="E704" t="s">
        <v>3515</v>
      </c>
      <c r="F704" t="s">
        <v>343</v>
      </c>
      <c r="G704" t="s">
        <v>179</v>
      </c>
      <c r="H704">
        <v>291</v>
      </c>
      <c r="I704">
        <v>81.102999999999994</v>
      </c>
      <c r="J704">
        <v>79.863</v>
      </c>
      <c r="K704">
        <v>-1.2410000000000001</v>
      </c>
      <c r="L704">
        <v>106</v>
      </c>
      <c r="M704">
        <v>60</v>
      </c>
      <c r="N704">
        <v>125</v>
      </c>
      <c r="O704">
        <v>79.301000000000002</v>
      </c>
      <c r="P704">
        <v>-1.344423763</v>
      </c>
      <c r="Q704">
        <v>13.186</v>
      </c>
    </row>
    <row r="705" spans="1:17" s="30" customFormat="1" x14ac:dyDescent="0.2">
      <c r="A705" s="30">
        <f>IF(C705&amp;G705&amp;D705&lt;&gt;'Funnel setup'!$K$3&amp;'Funnel setup'!$K$4&amp;'Funnel setup'!$K$5,".",IF(A704=".",1,A704+1))</f>
        <v>1</v>
      </c>
      <c r="B705" s="431" t="str">
        <f t="shared" si="10"/>
        <v>Groin HerniaProviderAINTREE UNIVERSITY HOSPITAL NHS FOUNDATION TRUST (REM)EQ-5D Index</v>
      </c>
      <c r="C705" t="s">
        <v>50</v>
      </c>
      <c r="D705" t="s">
        <v>1</v>
      </c>
      <c r="E705" t="s">
        <v>3838</v>
      </c>
      <c r="F705" t="s">
        <v>3839</v>
      </c>
      <c r="G705" t="s">
        <v>52</v>
      </c>
      <c r="H705">
        <v>95</v>
      </c>
      <c r="I705">
        <v>0.76500000000000001</v>
      </c>
      <c r="J705">
        <v>0.83599999999999997</v>
      </c>
      <c r="K705">
        <v>7.0999999999999994E-2</v>
      </c>
      <c r="L705">
        <v>54</v>
      </c>
      <c r="M705">
        <v>26</v>
      </c>
      <c r="N705">
        <v>15</v>
      </c>
      <c r="O705">
        <v>0.85599999999999998</v>
      </c>
      <c r="P705">
        <v>6.3055412000000005E-2</v>
      </c>
      <c r="Q705">
        <v>0.19700000000000001</v>
      </c>
    </row>
    <row r="706" spans="1:17" s="30" customFormat="1" x14ac:dyDescent="0.2">
      <c r="A706" s="30">
        <f>IF(C706&amp;G706&amp;D706&lt;&gt;'Funnel setup'!$K$3&amp;'Funnel setup'!$K$4&amp;'Funnel setup'!$K$5,".",IF(A705=".",1,A705+1))</f>
        <v>2</v>
      </c>
      <c r="B706" s="431" t="str">
        <f t="shared" si="10"/>
        <v>Groin HerniaProviderAIREDALE NHS FOUNDATION TRUST (RCF)EQ-5D Index</v>
      </c>
      <c r="C706" t="s">
        <v>50</v>
      </c>
      <c r="D706" t="s">
        <v>1</v>
      </c>
      <c r="E706" t="s">
        <v>3841</v>
      </c>
      <c r="F706" t="s">
        <v>3842</v>
      </c>
      <c r="G706" t="s">
        <v>52</v>
      </c>
      <c r="H706">
        <v>115</v>
      </c>
      <c r="I706">
        <v>0.82799999999999996</v>
      </c>
      <c r="J706">
        <v>0.89100000000000001</v>
      </c>
      <c r="K706">
        <v>6.3E-2</v>
      </c>
      <c r="L706">
        <v>53</v>
      </c>
      <c r="M706">
        <v>38</v>
      </c>
      <c r="N706">
        <v>24</v>
      </c>
      <c r="O706">
        <v>0.88800000000000001</v>
      </c>
      <c r="P706">
        <v>9.4257629999999995E-2</v>
      </c>
      <c r="Q706">
        <v>0.155</v>
      </c>
    </row>
    <row r="707" spans="1:17" s="30" customFormat="1" x14ac:dyDescent="0.2">
      <c r="A707" s="30">
        <f>IF(C707&amp;G707&amp;D707&lt;&gt;'Funnel setup'!$K$3&amp;'Funnel setup'!$K$4&amp;'Funnel setup'!$K$5,".",IF(A706=".",1,A706+1))</f>
        <v>3</v>
      </c>
      <c r="B707" s="431" t="str">
        <f t="shared" ref="B707:B770" si="11">C707&amp;D707&amp;F707&amp;G707</f>
        <v>Groin HerniaProviderASHFORD AND ST PETER'S HOSPITALS NHS FOUNDATION TRUST (RTK)EQ-5D Index</v>
      </c>
      <c r="C707" t="s">
        <v>50</v>
      </c>
      <c r="D707" t="s">
        <v>1</v>
      </c>
      <c r="E707" t="s">
        <v>3844</v>
      </c>
      <c r="F707" t="s">
        <v>345</v>
      </c>
      <c r="G707" t="s">
        <v>52</v>
      </c>
      <c r="H707">
        <v>16</v>
      </c>
      <c r="I707">
        <v>0.83</v>
      </c>
      <c r="J707">
        <v>0.76400000000000001</v>
      </c>
      <c r="K707">
        <v>-6.6000000000000003E-2</v>
      </c>
      <c r="L707">
        <v>7</v>
      </c>
      <c r="M707">
        <v>4</v>
      </c>
      <c r="N707">
        <v>5</v>
      </c>
      <c r="O707" t="s">
        <v>53</v>
      </c>
      <c r="P707" t="s">
        <v>53</v>
      </c>
      <c r="Q707" t="s">
        <v>53</v>
      </c>
    </row>
    <row r="708" spans="1:17" s="30" customFormat="1" x14ac:dyDescent="0.2">
      <c r="A708" s="30">
        <f>IF(C708&amp;G708&amp;D708&lt;&gt;'Funnel setup'!$K$3&amp;'Funnel setup'!$K$4&amp;'Funnel setup'!$K$5,".",IF(A707=".",1,A707+1))</f>
        <v>4</v>
      </c>
      <c r="B708" s="431" t="str">
        <f t="shared" si="11"/>
        <v>Groin HerniaProviderASHTEAD HOSPITAL (NVC01)EQ-5D Index</v>
      </c>
      <c r="C708" t="s">
        <v>50</v>
      </c>
      <c r="D708" t="s">
        <v>1</v>
      </c>
      <c r="E708" t="s">
        <v>3846</v>
      </c>
      <c r="F708" t="s">
        <v>3847</v>
      </c>
      <c r="G708" t="s">
        <v>52</v>
      </c>
      <c r="H708">
        <v>49</v>
      </c>
      <c r="I708">
        <v>0.82699999999999996</v>
      </c>
      <c r="J708">
        <v>0.90100000000000002</v>
      </c>
      <c r="K708">
        <v>7.4999999999999997E-2</v>
      </c>
      <c r="L708">
        <v>25</v>
      </c>
      <c r="M708">
        <v>13</v>
      </c>
      <c r="N708">
        <v>11</v>
      </c>
      <c r="O708">
        <v>0.86899999999999999</v>
      </c>
      <c r="P708">
        <v>7.5555035000000006E-2</v>
      </c>
      <c r="Q708">
        <v>0.122</v>
      </c>
    </row>
    <row r="709" spans="1:17" s="30" customFormat="1" x14ac:dyDescent="0.2">
      <c r="A709" s="30">
        <f>IF(C709&amp;G709&amp;D709&lt;&gt;'Funnel setup'!$K$3&amp;'Funnel setup'!$K$4&amp;'Funnel setup'!$K$5,".",IF(A708=".",1,A708+1))</f>
        <v>5</v>
      </c>
      <c r="B709" s="431" t="str">
        <f t="shared" si="11"/>
        <v>Groin HerniaProviderASPEN - CLAREMONT HOSPITAL (NYW04)EQ-5D Index</v>
      </c>
      <c r="C709" t="s">
        <v>50</v>
      </c>
      <c r="D709" t="s">
        <v>1</v>
      </c>
      <c r="E709" t="s">
        <v>3500</v>
      </c>
      <c r="F709" t="s">
        <v>3501</v>
      </c>
      <c r="G709" t="s">
        <v>52</v>
      </c>
      <c r="H709" t="s">
        <v>53</v>
      </c>
      <c r="I709" t="s">
        <v>53</v>
      </c>
      <c r="J709" t="s">
        <v>53</v>
      </c>
      <c r="K709" t="s">
        <v>53</v>
      </c>
      <c r="L709" t="s">
        <v>53</v>
      </c>
      <c r="M709" t="s">
        <v>53</v>
      </c>
      <c r="N709" t="s">
        <v>53</v>
      </c>
      <c r="O709" t="s">
        <v>53</v>
      </c>
      <c r="P709" t="s">
        <v>53</v>
      </c>
      <c r="Q709" t="s">
        <v>53</v>
      </c>
    </row>
    <row r="710" spans="1:17" s="30" customFormat="1" x14ac:dyDescent="0.2">
      <c r="A710" s="30">
        <f>IF(C710&amp;G710&amp;D710&lt;&gt;'Funnel setup'!$K$3&amp;'Funnel setup'!$K$4&amp;'Funnel setup'!$K$5,".",IF(A709=".",1,A709+1))</f>
        <v>6</v>
      </c>
      <c r="B710" s="431" t="str">
        <f t="shared" si="11"/>
        <v>Groin HerniaProviderASPEN - HIGHGATE HOSPITAL (NYW03)EQ-5D Index</v>
      </c>
      <c r="C710" t="s">
        <v>50</v>
      </c>
      <c r="D710" t="s">
        <v>1</v>
      </c>
      <c r="E710" t="s">
        <v>3503</v>
      </c>
      <c r="F710" t="s">
        <v>3504</v>
      </c>
      <c r="G710" t="s">
        <v>52</v>
      </c>
      <c r="H710" t="s">
        <v>53</v>
      </c>
      <c r="I710" t="s">
        <v>53</v>
      </c>
      <c r="J710" t="s">
        <v>53</v>
      </c>
      <c r="K710" t="s">
        <v>53</v>
      </c>
      <c r="L710" t="s">
        <v>53</v>
      </c>
      <c r="M710" t="s">
        <v>53</v>
      </c>
      <c r="N710" t="s">
        <v>53</v>
      </c>
      <c r="O710" t="s">
        <v>53</v>
      </c>
      <c r="P710" t="s">
        <v>53</v>
      </c>
      <c r="Q710" t="s">
        <v>53</v>
      </c>
    </row>
    <row r="711" spans="1:17" s="30" customFormat="1" x14ac:dyDescent="0.2">
      <c r="A711" s="30">
        <f>IF(C711&amp;G711&amp;D711&lt;&gt;'Funnel setup'!$K$3&amp;'Funnel setup'!$K$4&amp;'Funnel setup'!$K$5,".",IF(A710=".",1,A710+1))</f>
        <v>7</v>
      </c>
      <c r="B711" s="431" t="str">
        <f t="shared" si="11"/>
        <v>Groin HerniaProviderASPEN - HOLLY HOUSE HOSPITAL (NYW01)EQ-5D Index</v>
      </c>
      <c r="C711" t="s">
        <v>50</v>
      </c>
      <c r="D711" t="s">
        <v>1</v>
      </c>
      <c r="E711" t="s">
        <v>3506</v>
      </c>
      <c r="F711" t="s">
        <v>3507</v>
      </c>
      <c r="G711" t="s">
        <v>52</v>
      </c>
      <c r="H711" t="s">
        <v>53</v>
      </c>
      <c r="I711" t="s">
        <v>53</v>
      </c>
      <c r="J711" t="s">
        <v>53</v>
      </c>
      <c r="K711" t="s">
        <v>53</v>
      </c>
      <c r="L711" t="s">
        <v>53</v>
      </c>
      <c r="M711" t="s">
        <v>53</v>
      </c>
      <c r="N711" t="s">
        <v>53</v>
      </c>
      <c r="O711" t="s">
        <v>53</v>
      </c>
      <c r="P711" t="s">
        <v>53</v>
      </c>
      <c r="Q711" t="s">
        <v>53</v>
      </c>
    </row>
    <row r="712" spans="1:17" s="30" customFormat="1" x14ac:dyDescent="0.2">
      <c r="A712" s="30">
        <f>IF(C712&amp;G712&amp;D712&lt;&gt;'Funnel setup'!$K$3&amp;'Funnel setup'!$K$4&amp;'Funnel setup'!$K$5,".",IF(A711=".",1,A711+1))</f>
        <v>8</v>
      </c>
      <c r="B712" s="431" t="str">
        <f t="shared" si="11"/>
        <v>Groin HerniaProviderBARKING, HAVERING AND REDBRIDGE UNIVERSITY HOSPITALS NHS TRUST (RF4)EQ-5D Index</v>
      </c>
      <c r="C712" t="s">
        <v>50</v>
      </c>
      <c r="D712" t="s">
        <v>1</v>
      </c>
      <c r="E712" t="s">
        <v>3509</v>
      </c>
      <c r="F712" t="s">
        <v>3510</v>
      </c>
      <c r="G712" t="s">
        <v>52</v>
      </c>
      <c r="H712">
        <v>13</v>
      </c>
      <c r="I712">
        <v>0.79400000000000004</v>
      </c>
      <c r="J712">
        <v>0.81499999999999995</v>
      </c>
      <c r="K712">
        <v>2.1999999999999999E-2</v>
      </c>
      <c r="L712">
        <v>5</v>
      </c>
      <c r="M712">
        <v>6</v>
      </c>
      <c r="N712">
        <v>2</v>
      </c>
      <c r="O712" t="s">
        <v>53</v>
      </c>
      <c r="P712" t="s">
        <v>53</v>
      </c>
      <c r="Q712" t="s">
        <v>53</v>
      </c>
    </row>
    <row r="713" spans="1:17" s="30" customFormat="1" x14ac:dyDescent="0.2">
      <c r="A713" s="30">
        <f>IF(C713&amp;G713&amp;D713&lt;&gt;'Funnel setup'!$K$3&amp;'Funnel setup'!$K$4&amp;'Funnel setup'!$K$5,".",IF(A712=".",1,A712+1))</f>
        <v>9</v>
      </c>
      <c r="B713" s="431" t="str">
        <f t="shared" si="11"/>
        <v>Groin HerniaProviderBARNSLEY HOSPITAL NHS FOUNDATION TRUST (RFF)EQ-5D Index</v>
      </c>
      <c r="C713" t="s">
        <v>50</v>
      </c>
      <c r="D713" t="s">
        <v>1</v>
      </c>
      <c r="E713" t="s">
        <v>3549</v>
      </c>
      <c r="F713" t="s">
        <v>3550</v>
      </c>
      <c r="G713" t="s">
        <v>52</v>
      </c>
      <c r="H713">
        <v>92</v>
      </c>
      <c r="I713">
        <v>0.78600000000000003</v>
      </c>
      <c r="J713">
        <v>0.88600000000000001</v>
      </c>
      <c r="K713">
        <v>9.9000000000000005E-2</v>
      </c>
      <c r="L713">
        <v>49</v>
      </c>
      <c r="M713">
        <v>28</v>
      </c>
      <c r="N713">
        <v>15</v>
      </c>
      <c r="O713">
        <v>0.88200000000000001</v>
      </c>
      <c r="P713">
        <v>8.8611220000000004E-2</v>
      </c>
      <c r="Q713">
        <v>0.158</v>
      </c>
    </row>
    <row r="714" spans="1:17" s="30" customFormat="1" x14ac:dyDescent="0.2">
      <c r="A714" s="30">
        <f>IF(C714&amp;G714&amp;D714&lt;&gt;'Funnel setup'!$K$3&amp;'Funnel setup'!$K$4&amp;'Funnel setup'!$K$5,".",IF(A713=".",1,A713+1))</f>
        <v>10</v>
      </c>
      <c r="B714" s="431" t="str">
        <f t="shared" si="11"/>
        <v>Groin HerniaProviderBARTS HEALTH NHS TRUST (R1H)EQ-5D Index</v>
      </c>
      <c r="C714" t="s">
        <v>50</v>
      </c>
      <c r="D714" t="s">
        <v>1</v>
      </c>
      <c r="E714" t="s">
        <v>3552</v>
      </c>
      <c r="F714" t="s">
        <v>3553</v>
      </c>
      <c r="G714" t="s">
        <v>52</v>
      </c>
      <c r="H714">
        <v>67</v>
      </c>
      <c r="I714">
        <v>0.79900000000000004</v>
      </c>
      <c r="J714">
        <v>0.77900000000000003</v>
      </c>
      <c r="K714">
        <v>-2.1000000000000001E-2</v>
      </c>
      <c r="L714">
        <v>22</v>
      </c>
      <c r="M714">
        <v>25</v>
      </c>
      <c r="N714">
        <v>20</v>
      </c>
      <c r="O714">
        <v>0.82</v>
      </c>
      <c r="P714">
        <v>2.6824482E-2</v>
      </c>
      <c r="Q714">
        <v>0.254</v>
      </c>
    </row>
    <row r="715" spans="1:17" s="30" customFormat="1" x14ac:dyDescent="0.2">
      <c r="A715" s="30">
        <f>IF(C715&amp;G715&amp;D715&lt;&gt;'Funnel setup'!$K$3&amp;'Funnel setup'!$K$4&amp;'Funnel setup'!$K$5,".",IF(A714=".",1,A714+1))</f>
        <v>11</v>
      </c>
      <c r="B715" s="431" t="str">
        <f t="shared" si="11"/>
        <v>Groin HerniaProviderBASILDON AND THURROCK UNIVERSITY HOSPITALS NHS FOUNDATION TRUST (RDD)EQ-5D Index</v>
      </c>
      <c r="C715" t="s">
        <v>50</v>
      </c>
      <c r="D715" t="s">
        <v>1</v>
      </c>
      <c r="E715" t="s">
        <v>3555</v>
      </c>
      <c r="F715" t="s">
        <v>3556</v>
      </c>
      <c r="G715" t="s">
        <v>52</v>
      </c>
      <c r="H715">
        <v>79</v>
      </c>
      <c r="I715">
        <v>0.73699999999999999</v>
      </c>
      <c r="J715">
        <v>0.84499999999999997</v>
      </c>
      <c r="K715">
        <v>0.108</v>
      </c>
      <c r="L715">
        <v>47</v>
      </c>
      <c r="M715">
        <v>19</v>
      </c>
      <c r="N715">
        <v>13</v>
      </c>
      <c r="O715">
        <v>0.874</v>
      </c>
      <c r="P715">
        <v>8.0307681000000006E-2</v>
      </c>
      <c r="Q715">
        <v>0.17499999999999999</v>
      </c>
    </row>
    <row r="716" spans="1:17" s="30" customFormat="1" x14ac:dyDescent="0.2">
      <c r="A716" s="30">
        <f>IF(C716&amp;G716&amp;D716&lt;&gt;'Funnel setup'!$K$3&amp;'Funnel setup'!$K$4&amp;'Funnel setup'!$K$5,".",IF(A715=".",1,A715+1))</f>
        <v>12</v>
      </c>
      <c r="B716" s="431" t="str">
        <f t="shared" si="11"/>
        <v>Groin HerniaProviderBEDFORD HOSPITAL NHS TRUST (RC1)EQ-5D Index</v>
      </c>
      <c r="C716" t="s">
        <v>50</v>
      </c>
      <c r="D716" t="s">
        <v>1</v>
      </c>
      <c r="E716" t="s">
        <v>3558</v>
      </c>
      <c r="F716" t="s">
        <v>3559</v>
      </c>
      <c r="G716" t="s">
        <v>52</v>
      </c>
      <c r="H716">
        <v>75</v>
      </c>
      <c r="I716">
        <v>0.78100000000000003</v>
      </c>
      <c r="J716">
        <v>0.85899999999999999</v>
      </c>
      <c r="K716">
        <v>7.8E-2</v>
      </c>
      <c r="L716">
        <v>40</v>
      </c>
      <c r="M716">
        <v>22</v>
      </c>
      <c r="N716">
        <v>13</v>
      </c>
      <c r="O716">
        <v>0.86199999999999999</v>
      </c>
      <c r="P716">
        <v>6.8518924999999994E-2</v>
      </c>
      <c r="Q716">
        <v>0.16700000000000001</v>
      </c>
    </row>
    <row r="717" spans="1:17" s="30" customFormat="1" x14ac:dyDescent="0.2">
      <c r="A717" s="30">
        <f>IF(C717&amp;G717&amp;D717&lt;&gt;'Funnel setup'!$K$3&amp;'Funnel setup'!$K$4&amp;'Funnel setup'!$K$5,".",IF(A716=".",1,A716+1))</f>
        <v>13</v>
      </c>
      <c r="B717" s="431" t="str">
        <f t="shared" si="11"/>
        <v>Groin HerniaProviderBLACKPOOL TEACHING HOSPITALS NHS FOUNDATION TRUST (RXL)EQ-5D Index</v>
      </c>
      <c r="C717" t="s">
        <v>50</v>
      </c>
      <c r="D717" t="s">
        <v>1</v>
      </c>
      <c r="E717" t="s">
        <v>3561</v>
      </c>
      <c r="F717" t="s">
        <v>3562</v>
      </c>
      <c r="G717" t="s">
        <v>52</v>
      </c>
      <c r="H717">
        <v>28</v>
      </c>
      <c r="I717">
        <v>0.77800000000000002</v>
      </c>
      <c r="J717">
        <v>0.78700000000000003</v>
      </c>
      <c r="K717">
        <v>8.0000000000000002E-3</v>
      </c>
      <c r="L717">
        <v>14</v>
      </c>
      <c r="M717">
        <v>8</v>
      </c>
      <c r="N717">
        <v>6</v>
      </c>
      <c r="O717" t="s">
        <v>53</v>
      </c>
      <c r="P717" t="s">
        <v>53</v>
      </c>
      <c r="Q717" t="s">
        <v>53</v>
      </c>
    </row>
    <row r="718" spans="1:17" s="30" customFormat="1" x14ac:dyDescent="0.2">
      <c r="A718" s="30">
        <f>IF(C718&amp;G718&amp;D718&lt;&gt;'Funnel setup'!$K$3&amp;'Funnel setup'!$K$4&amp;'Funnel setup'!$K$5,".",IF(A717=".",1,A717+1))</f>
        <v>14</v>
      </c>
      <c r="B718" s="431" t="str">
        <f t="shared" si="11"/>
        <v>Groin HerniaProviderBLAKELANDS HOSPITAL (NVC31)EQ-5D Index</v>
      </c>
      <c r="C718" t="s">
        <v>50</v>
      </c>
      <c r="D718" t="s">
        <v>1</v>
      </c>
      <c r="E718" t="s">
        <v>3564</v>
      </c>
      <c r="F718" t="s">
        <v>3565</v>
      </c>
      <c r="G718" t="s">
        <v>52</v>
      </c>
      <c r="H718">
        <v>28</v>
      </c>
      <c r="I718">
        <v>0.84499999999999997</v>
      </c>
      <c r="J718">
        <v>0.875</v>
      </c>
      <c r="K718">
        <v>0.03</v>
      </c>
      <c r="L718">
        <v>10</v>
      </c>
      <c r="M718">
        <v>9</v>
      </c>
      <c r="N718">
        <v>9</v>
      </c>
      <c r="O718" t="s">
        <v>53</v>
      </c>
      <c r="P718" t="s">
        <v>53</v>
      </c>
      <c r="Q718" t="s">
        <v>53</v>
      </c>
    </row>
    <row r="719" spans="1:17" s="30" customFormat="1" x14ac:dyDescent="0.2">
      <c r="A719" s="30">
        <f>IF(C719&amp;G719&amp;D719&lt;&gt;'Funnel setup'!$K$3&amp;'Funnel setup'!$K$4&amp;'Funnel setup'!$K$5,".",IF(A718=".",1,A718+1))</f>
        <v>15</v>
      </c>
      <c r="B719" s="431" t="str">
        <f t="shared" si="11"/>
        <v>Groin HerniaProviderBMI - BATH CLINIC (NT402)EQ-5D Index</v>
      </c>
      <c r="C719" t="s">
        <v>50</v>
      </c>
      <c r="D719" t="s">
        <v>1</v>
      </c>
      <c r="E719" t="s">
        <v>3488</v>
      </c>
      <c r="F719" t="s">
        <v>3489</v>
      </c>
      <c r="G719" t="s">
        <v>52</v>
      </c>
      <c r="H719">
        <v>8</v>
      </c>
      <c r="I719">
        <v>0.84</v>
      </c>
      <c r="J719">
        <v>0.88500000000000001</v>
      </c>
      <c r="K719">
        <v>4.4999999999999998E-2</v>
      </c>
      <c r="L719">
        <v>4</v>
      </c>
      <c r="M719">
        <v>3</v>
      </c>
      <c r="N719">
        <v>1</v>
      </c>
      <c r="O719" t="s">
        <v>53</v>
      </c>
      <c r="P719" t="s">
        <v>53</v>
      </c>
      <c r="Q719" t="s">
        <v>53</v>
      </c>
    </row>
    <row r="720" spans="1:17" s="30" customFormat="1" x14ac:dyDescent="0.2">
      <c r="A720" s="30">
        <f>IF(C720&amp;G720&amp;D720&lt;&gt;'Funnel setup'!$K$3&amp;'Funnel setup'!$K$4&amp;'Funnel setup'!$K$5,".",IF(A719=".",1,A719+1))</f>
        <v>16</v>
      </c>
      <c r="B720" s="431" t="str">
        <f t="shared" si="11"/>
        <v>Groin HerniaProviderBMI - BISHOPS WOOD (NT405)EQ-5D Index</v>
      </c>
      <c r="C720" t="s">
        <v>50</v>
      </c>
      <c r="D720" t="s">
        <v>1</v>
      </c>
      <c r="E720" t="s">
        <v>3491</v>
      </c>
      <c r="F720" t="s">
        <v>3492</v>
      </c>
      <c r="G720" t="s">
        <v>52</v>
      </c>
      <c r="H720">
        <v>16</v>
      </c>
      <c r="I720">
        <v>0.82299999999999995</v>
      </c>
      <c r="J720">
        <v>0.85599999999999998</v>
      </c>
      <c r="K720">
        <v>3.3000000000000002E-2</v>
      </c>
      <c r="L720">
        <v>9</v>
      </c>
      <c r="M720">
        <v>2</v>
      </c>
      <c r="N720">
        <v>5</v>
      </c>
      <c r="O720" t="s">
        <v>53</v>
      </c>
      <c r="P720" t="s">
        <v>53</v>
      </c>
      <c r="Q720" t="s">
        <v>53</v>
      </c>
    </row>
    <row r="721" spans="1:17" s="30" customFormat="1" x14ac:dyDescent="0.2">
      <c r="A721" s="30">
        <f>IF(C721&amp;G721&amp;D721&lt;&gt;'Funnel setup'!$K$3&amp;'Funnel setup'!$K$4&amp;'Funnel setup'!$K$5,".",IF(A720=".",1,A720+1))</f>
        <v>17</v>
      </c>
      <c r="B721" s="431" t="str">
        <f t="shared" si="11"/>
        <v>Groin HerniaProviderBMI - CHELSFIELD PARK HOSPITAL (NT409)EQ-5D Index</v>
      </c>
      <c r="C721" t="s">
        <v>50</v>
      </c>
      <c r="D721" t="s">
        <v>1</v>
      </c>
      <c r="E721" t="s">
        <v>3494</v>
      </c>
      <c r="F721" t="s">
        <v>3495</v>
      </c>
      <c r="G721" t="s">
        <v>52</v>
      </c>
      <c r="H721" t="s">
        <v>53</v>
      </c>
      <c r="I721" t="s">
        <v>53</v>
      </c>
      <c r="J721" t="s">
        <v>53</v>
      </c>
      <c r="K721" t="s">
        <v>53</v>
      </c>
      <c r="L721" t="s">
        <v>53</v>
      </c>
      <c r="M721" t="s">
        <v>53</v>
      </c>
      <c r="N721" t="s">
        <v>53</v>
      </c>
      <c r="O721" t="s">
        <v>53</v>
      </c>
      <c r="P721" t="s">
        <v>53</v>
      </c>
      <c r="Q721" t="s">
        <v>53</v>
      </c>
    </row>
    <row r="722" spans="1:17" s="30" customFormat="1" x14ac:dyDescent="0.2">
      <c r="A722" s="30">
        <f>IF(C722&amp;G722&amp;D722&lt;&gt;'Funnel setup'!$K$3&amp;'Funnel setup'!$K$4&amp;'Funnel setup'!$K$5,".",IF(A721=".",1,A721+1))</f>
        <v>18</v>
      </c>
      <c r="B722" s="431" t="str">
        <f t="shared" si="11"/>
        <v>Groin HerniaProviderBMI - FAWKHAM MANOR HOSPITAL (NT414)EQ-5D Index</v>
      </c>
      <c r="C722" t="s">
        <v>50</v>
      </c>
      <c r="D722" t="s">
        <v>1</v>
      </c>
      <c r="E722" t="s">
        <v>3497</v>
      </c>
      <c r="F722" t="s">
        <v>3498</v>
      </c>
      <c r="G722" t="s">
        <v>52</v>
      </c>
      <c r="H722">
        <v>21</v>
      </c>
      <c r="I722">
        <v>0.84499999999999997</v>
      </c>
      <c r="J722">
        <v>0.91100000000000003</v>
      </c>
      <c r="K722">
        <v>6.7000000000000004E-2</v>
      </c>
      <c r="L722">
        <v>13</v>
      </c>
      <c r="M722">
        <v>4</v>
      </c>
      <c r="N722">
        <v>4</v>
      </c>
      <c r="O722" t="s">
        <v>53</v>
      </c>
      <c r="P722" t="s">
        <v>53</v>
      </c>
      <c r="Q722" t="s">
        <v>53</v>
      </c>
    </row>
    <row r="723" spans="1:17" s="30" customFormat="1" x14ac:dyDescent="0.2">
      <c r="A723" s="30">
        <f>IF(C723&amp;G723&amp;D723&lt;&gt;'Funnel setup'!$K$3&amp;'Funnel setup'!$K$4&amp;'Funnel setup'!$K$5,".",IF(A722=".",1,A722+1))</f>
        <v>19</v>
      </c>
      <c r="B723" s="431" t="str">
        <f t="shared" si="11"/>
        <v>Groin HerniaProviderBMI - GORING HALL HOSPITAL (NT417)EQ-5D Index</v>
      </c>
      <c r="C723" t="s">
        <v>50</v>
      </c>
      <c r="D723" t="s">
        <v>1</v>
      </c>
      <c r="E723" t="s">
        <v>3403</v>
      </c>
      <c r="F723" t="s">
        <v>3404</v>
      </c>
      <c r="G723" t="s">
        <v>52</v>
      </c>
      <c r="H723">
        <v>27</v>
      </c>
      <c r="I723">
        <v>0.79900000000000004</v>
      </c>
      <c r="J723">
        <v>0.93400000000000005</v>
      </c>
      <c r="K723">
        <v>0.13500000000000001</v>
      </c>
      <c r="L723">
        <v>15</v>
      </c>
      <c r="M723">
        <v>10</v>
      </c>
      <c r="N723">
        <v>2</v>
      </c>
      <c r="O723" t="s">
        <v>53</v>
      </c>
      <c r="P723" t="s">
        <v>53</v>
      </c>
      <c r="Q723" t="s">
        <v>53</v>
      </c>
    </row>
    <row r="724" spans="1:17" s="30" customFormat="1" x14ac:dyDescent="0.2">
      <c r="A724" s="30">
        <f>IF(C724&amp;G724&amp;D724&lt;&gt;'Funnel setup'!$K$3&amp;'Funnel setup'!$K$4&amp;'Funnel setup'!$K$5,".",IF(A723=".",1,A723+1))</f>
        <v>20</v>
      </c>
      <c r="B724" s="431" t="str">
        <f t="shared" si="11"/>
        <v>Groin HerniaProviderBMI - SARUM ROAD HOSPITAL (NT433)EQ-5D Index</v>
      </c>
      <c r="C724" t="s">
        <v>50</v>
      </c>
      <c r="D724" t="s">
        <v>1</v>
      </c>
      <c r="E724" t="s">
        <v>3573</v>
      </c>
      <c r="F724" t="s">
        <v>3574</v>
      </c>
      <c r="G724" t="s">
        <v>52</v>
      </c>
      <c r="H724">
        <v>7</v>
      </c>
      <c r="I724">
        <v>0.72599999999999998</v>
      </c>
      <c r="J724">
        <v>0.93100000000000005</v>
      </c>
      <c r="K724">
        <v>0.20499999999999999</v>
      </c>
      <c r="L724">
        <v>5</v>
      </c>
      <c r="M724">
        <v>1</v>
      </c>
      <c r="N724">
        <v>1</v>
      </c>
      <c r="O724" t="s">
        <v>53</v>
      </c>
      <c r="P724" t="s">
        <v>53</v>
      </c>
      <c r="Q724" t="s">
        <v>53</v>
      </c>
    </row>
    <row r="725" spans="1:17" s="30" customFormat="1" x14ac:dyDescent="0.2">
      <c r="A725" s="30">
        <f>IF(C725&amp;G725&amp;D725&lt;&gt;'Funnel setup'!$K$3&amp;'Funnel setup'!$K$4&amp;'Funnel setup'!$K$5,".",IF(A724=".",1,A724+1))</f>
        <v>21</v>
      </c>
      <c r="B725" s="431" t="str">
        <f t="shared" si="11"/>
        <v>Groin HerniaProviderBMI - SHIRLEY OAKS HOSPITAL (NT436)EQ-5D Index</v>
      </c>
      <c r="C725" t="s">
        <v>50</v>
      </c>
      <c r="D725" t="s">
        <v>1</v>
      </c>
      <c r="E725" t="s">
        <v>3576</v>
      </c>
      <c r="F725" t="s">
        <v>3577</v>
      </c>
      <c r="G725" t="s">
        <v>52</v>
      </c>
      <c r="H725">
        <v>10</v>
      </c>
      <c r="I725">
        <v>0.78800000000000003</v>
      </c>
      <c r="J725">
        <v>0.59</v>
      </c>
      <c r="K725">
        <v>-0.19800000000000001</v>
      </c>
      <c r="L725">
        <v>3</v>
      </c>
      <c r="M725">
        <v>3</v>
      </c>
      <c r="N725">
        <v>4</v>
      </c>
      <c r="O725" t="s">
        <v>53</v>
      </c>
      <c r="P725" t="s">
        <v>53</v>
      </c>
      <c r="Q725" t="s">
        <v>53</v>
      </c>
    </row>
    <row r="726" spans="1:17" s="30" customFormat="1" x14ac:dyDescent="0.2">
      <c r="A726" s="30">
        <f>IF(C726&amp;G726&amp;D726&lt;&gt;'Funnel setup'!$K$3&amp;'Funnel setup'!$K$4&amp;'Funnel setup'!$K$5,".",IF(A725=".",1,A725+1))</f>
        <v>22</v>
      </c>
      <c r="B726" s="431" t="str">
        <f t="shared" si="11"/>
        <v>Groin HerniaProviderBMI - THE ALEXANDRA HOSPITAL (NT401)EQ-5D Index</v>
      </c>
      <c r="C726" t="s">
        <v>50</v>
      </c>
      <c r="D726" t="s">
        <v>1</v>
      </c>
      <c r="E726" t="s">
        <v>3579</v>
      </c>
      <c r="F726" t="s">
        <v>3580</v>
      </c>
      <c r="G726" t="s">
        <v>52</v>
      </c>
      <c r="H726">
        <v>18</v>
      </c>
      <c r="I726">
        <v>0.82499999999999996</v>
      </c>
      <c r="J726">
        <v>0.84699999999999998</v>
      </c>
      <c r="K726">
        <v>2.1999999999999999E-2</v>
      </c>
      <c r="L726">
        <v>6</v>
      </c>
      <c r="M726">
        <v>5</v>
      </c>
      <c r="N726">
        <v>7</v>
      </c>
      <c r="O726" t="s">
        <v>53</v>
      </c>
      <c r="P726" t="s">
        <v>53</v>
      </c>
      <c r="Q726" t="s">
        <v>53</v>
      </c>
    </row>
    <row r="727" spans="1:17" s="30" customFormat="1" x14ac:dyDescent="0.2">
      <c r="A727" s="30">
        <f>IF(C727&amp;G727&amp;D727&lt;&gt;'Funnel setup'!$K$3&amp;'Funnel setup'!$K$4&amp;'Funnel setup'!$K$5,".",IF(A726=".",1,A726+1))</f>
        <v>23</v>
      </c>
      <c r="B727" s="431" t="str">
        <f t="shared" si="11"/>
        <v>Groin HerniaProviderBMI - THE BEARDWOOD HOSPITAL (NT403)EQ-5D Index</v>
      </c>
      <c r="C727" t="s">
        <v>50</v>
      </c>
      <c r="D727" t="s">
        <v>1</v>
      </c>
      <c r="E727" t="s">
        <v>3582</v>
      </c>
      <c r="F727" t="s">
        <v>3583</v>
      </c>
      <c r="G727" t="s">
        <v>52</v>
      </c>
      <c r="H727">
        <v>45</v>
      </c>
      <c r="I727">
        <v>0.79</v>
      </c>
      <c r="J727">
        <v>0.86899999999999999</v>
      </c>
      <c r="K727">
        <v>0.08</v>
      </c>
      <c r="L727">
        <v>19</v>
      </c>
      <c r="M727">
        <v>16</v>
      </c>
      <c r="N727">
        <v>10</v>
      </c>
      <c r="O727">
        <v>0.86199999999999999</v>
      </c>
      <c r="P727">
        <v>6.8197717000000005E-2</v>
      </c>
      <c r="Q727">
        <v>0.14699999999999999</v>
      </c>
    </row>
    <row r="728" spans="1:17" s="30" customFormat="1" x14ac:dyDescent="0.2">
      <c r="A728" s="30">
        <f>IF(C728&amp;G728&amp;D728&lt;&gt;'Funnel setup'!$K$3&amp;'Funnel setup'!$K$4&amp;'Funnel setup'!$K$5,".",IF(A727=".",1,A727+1))</f>
        <v>24</v>
      </c>
      <c r="B728" s="431" t="str">
        <f t="shared" si="11"/>
        <v>Groin HerniaProviderBMI - THE BEAUMONT HOSPITAL (NT404)EQ-5D Index</v>
      </c>
      <c r="C728" t="s">
        <v>50</v>
      </c>
      <c r="D728" t="s">
        <v>1</v>
      </c>
      <c r="E728" t="s">
        <v>3585</v>
      </c>
      <c r="F728" t="s">
        <v>3586</v>
      </c>
      <c r="G728" t="s">
        <v>52</v>
      </c>
      <c r="H728">
        <v>78</v>
      </c>
      <c r="I728">
        <v>0.84899999999999998</v>
      </c>
      <c r="J728">
        <v>0.92200000000000004</v>
      </c>
      <c r="K728">
        <v>7.2999999999999995E-2</v>
      </c>
      <c r="L728">
        <v>36</v>
      </c>
      <c r="M728">
        <v>32</v>
      </c>
      <c r="N728">
        <v>10</v>
      </c>
      <c r="O728">
        <v>0.89800000000000002</v>
      </c>
      <c r="P728">
        <v>0.104319943</v>
      </c>
      <c r="Q728">
        <v>0.10100000000000001</v>
      </c>
    </row>
    <row r="729" spans="1:17" s="30" customFormat="1" x14ac:dyDescent="0.2">
      <c r="A729" s="30">
        <f>IF(C729&amp;G729&amp;D729&lt;&gt;'Funnel setup'!$K$3&amp;'Funnel setup'!$K$4&amp;'Funnel setup'!$K$5,".",IF(A728=".",1,A728+1))</f>
        <v>25</v>
      </c>
      <c r="B729" s="431" t="str">
        <f t="shared" si="11"/>
        <v>Groin HerniaProviderBMI - THE BLACKHEATH HOSPITAL (NT406)EQ-5D Index</v>
      </c>
      <c r="C729" t="s">
        <v>50</v>
      </c>
      <c r="D729" t="s">
        <v>1</v>
      </c>
      <c r="E729" t="s">
        <v>3588</v>
      </c>
      <c r="F729" t="s">
        <v>3589</v>
      </c>
      <c r="G729" t="s">
        <v>52</v>
      </c>
      <c r="H729">
        <v>9</v>
      </c>
      <c r="I729">
        <v>0.85499999999999998</v>
      </c>
      <c r="J729">
        <v>0.82699999999999996</v>
      </c>
      <c r="K729">
        <v>-2.9000000000000001E-2</v>
      </c>
      <c r="L729">
        <v>1</v>
      </c>
      <c r="M729">
        <v>7</v>
      </c>
      <c r="N729">
        <v>1</v>
      </c>
      <c r="O729" t="s">
        <v>53</v>
      </c>
      <c r="P729" t="s">
        <v>53</v>
      </c>
      <c r="Q729" t="s">
        <v>53</v>
      </c>
    </row>
    <row r="730" spans="1:17" s="30" customFormat="1" x14ac:dyDescent="0.2">
      <c r="A730" s="30">
        <f>IF(C730&amp;G730&amp;D730&lt;&gt;'Funnel setup'!$K$3&amp;'Funnel setup'!$K$4&amp;'Funnel setup'!$K$5,".",IF(A729=".",1,A729+1))</f>
        <v>26</v>
      </c>
      <c r="B730" s="431" t="str">
        <f t="shared" si="11"/>
        <v>Groin HerniaProviderBMI - THE CHAUCER HOSPITAL (NT408)EQ-5D Index</v>
      </c>
      <c r="C730" t="s">
        <v>50</v>
      </c>
      <c r="D730" t="s">
        <v>1</v>
      </c>
      <c r="E730" t="s">
        <v>3591</v>
      </c>
      <c r="F730" t="s">
        <v>3592</v>
      </c>
      <c r="G730" t="s">
        <v>52</v>
      </c>
      <c r="H730">
        <v>22</v>
      </c>
      <c r="I730">
        <v>0.82399999999999995</v>
      </c>
      <c r="J730">
        <v>0.875</v>
      </c>
      <c r="K730">
        <v>5.0999999999999997E-2</v>
      </c>
      <c r="L730">
        <v>9</v>
      </c>
      <c r="M730">
        <v>8</v>
      </c>
      <c r="N730">
        <v>5</v>
      </c>
      <c r="O730" t="s">
        <v>53</v>
      </c>
      <c r="P730" t="s">
        <v>53</v>
      </c>
      <c r="Q730" t="s">
        <v>53</v>
      </c>
    </row>
    <row r="731" spans="1:17" s="30" customFormat="1" x14ac:dyDescent="0.2">
      <c r="A731" s="30">
        <f>IF(C731&amp;G731&amp;D731&lt;&gt;'Funnel setup'!$K$3&amp;'Funnel setup'!$K$4&amp;'Funnel setup'!$K$5,".",IF(A730=".",1,A730+1))</f>
        <v>27</v>
      </c>
      <c r="B731" s="431" t="str">
        <f t="shared" si="11"/>
        <v>Groin HerniaProviderBMI - THE CHILTERN HOSPITAL (NT410)EQ-5D Index</v>
      </c>
      <c r="C731" t="s">
        <v>50</v>
      </c>
      <c r="D731" t="s">
        <v>1</v>
      </c>
      <c r="E731" t="s">
        <v>3594</v>
      </c>
      <c r="F731" t="s">
        <v>3595</v>
      </c>
      <c r="G731" t="s">
        <v>52</v>
      </c>
      <c r="H731">
        <v>50</v>
      </c>
      <c r="I731">
        <v>0.82</v>
      </c>
      <c r="J731">
        <v>0.95899999999999996</v>
      </c>
      <c r="K731">
        <v>0.13900000000000001</v>
      </c>
      <c r="L731">
        <v>33</v>
      </c>
      <c r="M731">
        <v>14</v>
      </c>
      <c r="N731">
        <v>3</v>
      </c>
      <c r="O731">
        <v>0.92900000000000005</v>
      </c>
      <c r="P731">
        <v>0.135742062</v>
      </c>
      <c r="Q731">
        <v>9.4E-2</v>
      </c>
    </row>
    <row r="732" spans="1:17" s="30" customFormat="1" x14ac:dyDescent="0.2">
      <c r="A732" s="30">
        <f>IF(C732&amp;G732&amp;D732&lt;&gt;'Funnel setup'!$K$3&amp;'Funnel setup'!$K$4&amp;'Funnel setup'!$K$5,".",IF(A731=".",1,A731+1))</f>
        <v>28</v>
      </c>
      <c r="B732" s="431" t="str">
        <f t="shared" si="11"/>
        <v>Groin HerniaProviderBMI - THE CLEMENTINE CHURCHILL HOSPITAL (NT411)EQ-5D Index</v>
      </c>
      <c r="C732" t="s">
        <v>50</v>
      </c>
      <c r="D732" t="s">
        <v>1</v>
      </c>
      <c r="E732" t="s">
        <v>3597</v>
      </c>
      <c r="F732" t="s">
        <v>3598</v>
      </c>
      <c r="G732" t="s">
        <v>52</v>
      </c>
      <c r="H732">
        <v>12</v>
      </c>
      <c r="I732">
        <v>0.80300000000000005</v>
      </c>
      <c r="J732">
        <v>0.81899999999999995</v>
      </c>
      <c r="K732">
        <v>1.6E-2</v>
      </c>
      <c r="L732">
        <v>5</v>
      </c>
      <c r="M732">
        <v>4</v>
      </c>
      <c r="N732">
        <v>3</v>
      </c>
      <c r="O732" t="s">
        <v>53</v>
      </c>
      <c r="P732" t="s">
        <v>53</v>
      </c>
      <c r="Q732" t="s">
        <v>53</v>
      </c>
    </row>
    <row r="733" spans="1:17" s="30" customFormat="1" x14ac:dyDescent="0.2">
      <c r="A733" s="30">
        <f>IF(C733&amp;G733&amp;D733&lt;&gt;'Funnel setup'!$K$3&amp;'Funnel setup'!$K$4&amp;'Funnel setup'!$K$5,".",IF(A732=".",1,A732+1))</f>
        <v>29</v>
      </c>
      <c r="B733" s="431" t="str">
        <f t="shared" si="11"/>
        <v>Groin HerniaProviderBMI - THE DROITWICH SPA HOSPITAL (NT412)EQ-5D Index</v>
      </c>
      <c r="C733" t="s">
        <v>50</v>
      </c>
      <c r="D733" t="s">
        <v>1</v>
      </c>
      <c r="E733" t="s">
        <v>3600</v>
      </c>
      <c r="F733" t="s">
        <v>3601</v>
      </c>
      <c r="G733" t="s">
        <v>52</v>
      </c>
      <c r="H733">
        <v>66</v>
      </c>
      <c r="I733">
        <v>0.77400000000000002</v>
      </c>
      <c r="J733">
        <v>0.89900000000000002</v>
      </c>
      <c r="K733">
        <v>0.124</v>
      </c>
      <c r="L733">
        <v>41</v>
      </c>
      <c r="M733">
        <v>15</v>
      </c>
      <c r="N733">
        <v>10</v>
      </c>
      <c r="O733">
        <v>0.89400000000000002</v>
      </c>
      <c r="P733">
        <v>0.101002103</v>
      </c>
      <c r="Q733">
        <v>0.13600000000000001</v>
      </c>
    </row>
    <row r="734" spans="1:17" s="30" customFormat="1" x14ac:dyDescent="0.2">
      <c r="A734" s="30">
        <f>IF(C734&amp;G734&amp;D734&lt;&gt;'Funnel setup'!$K$3&amp;'Funnel setup'!$K$4&amp;'Funnel setup'!$K$5,".",IF(A733=".",1,A733+1))</f>
        <v>30</v>
      </c>
      <c r="B734" s="431" t="str">
        <f t="shared" si="11"/>
        <v>Groin HerniaProviderBMI - THE ESPERANCE HOSPITAL (NT413)EQ-5D Index</v>
      </c>
      <c r="C734" t="s">
        <v>50</v>
      </c>
      <c r="D734" t="s">
        <v>1</v>
      </c>
      <c r="E734" t="s">
        <v>3603</v>
      </c>
      <c r="F734" t="s">
        <v>3604</v>
      </c>
      <c r="G734" t="s">
        <v>52</v>
      </c>
      <c r="H734">
        <v>15</v>
      </c>
      <c r="I734">
        <v>0.84499999999999997</v>
      </c>
      <c r="J734">
        <v>0.97199999999999998</v>
      </c>
      <c r="K734">
        <v>0.126</v>
      </c>
      <c r="L734">
        <v>9</v>
      </c>
      <c r="M734">
        <v>4</v>
      </c>
      <c r="N734">
        <v>2</v>
      </c>
      <c r="O734" t="s">
        <v>53</v>
      </c>
      <c r="P734" t="s">
        <v>53</v>
      </c>
      <c r="Q734" t="s">
        <v>53</v>
      </c>
    </row>
    <row r="735" spans="1:17" s="30" customFormat="1" x14ac:dyDescent="0.2">
      <c r="A735" s="30">
        <f>IF(C735&amp;G735&amp;D735&lt;&gt;'Funnel setup'!$K$3&amp;'Funnel setup'!$K$4&amp;'Funnel setup'!$K$5,".",IF(A734=".",1,A734+1))</f>
        <v>31</v>
      </c>
      <c r="B735" s="431" t="str">
        <f t="shared" si="11"/>
        <v>Groin HerniaProviderBMI - THE HAMPSHIRE CLINIC (NT418)EQ-5D Index</v>
      </c>
      <c r="C735" t="s">
        <v>50</v>
      </c>
      <c r="D735" t="s">
        <v>1</v>
      </c>
      <c r="E735" t="s">
        <v>3609</v>
      </c>
      <c r="F735" t="s">
        <v>3610</v>
      </c>
      <c r="G735" t="s">
        <v>52</v>
      </c>
      <c r="H735">
        <v>16</v>
      </c>
      <c r="I735">
        <v>0.78500000000000003</v>
      </c>
      <c r="J735">
        <v>0.97399999999999998</v>
      </c>
      <c r="K735">
        <v>0.189</v>
      </c>
      <c r="L735">
        <v>12</v>
      </c>
      <c r="M735">
        <v>4</v>
      </c>
      <c r="N735">
        <v>0</v>
      </c>
      <c r="O735" t="s">
        <v>53</v>
      </c>
      <c r="P735" t="s">
        <v>53</v>
      </c>
      <c r="Q735" t="s">
        <v>53</v>
      </c>
    </row>
    <row r="736" spans="1:17" s="30" customFormat="1" x14ac:dyDescent="0.2">
      <c r="A736" s="30">
        <f>IF(C736&amp;G736&amp;D736&lt;&gt;'Funnel setup'!$K$3&amp;'Funnel setup'!$K$4&amp;'Funnel setup'!$K$5,".",IF(A735=".",1,A735+1))</f>
        <v>32</v>
      </c>
      <c r="B736" s="431" t="str">
        <f t="shared" si="11"/>
        <v>Groin HerniaProviderBMI - THE HARBOUR HOSPITAL (NT419)EQ-5D Index</v>
      </c>
      <c r="C736" t="s">
        <v>50</v>
      </c>
      <c r="D736" t="s">
        <v>1</v>
      </c>
      <c r="E736" t="s">
        <v>3612</v>
      </c>
      <c r="F736" t="s">
        <v>3613</v>
      </c>
      <c r="G736" t="s">
        <v>52</v>
      </c>
      <c r="H736">
        <v>87</v>
      </c>
      <c r="I736">
        <v>0.83199999999999996</v>
      </c>
      <c r="J736">
        <v>0.88800000000000001</v>
      </c>
      <c r="K736">
        <v>5.6000000000000001E-2</v>
      </c>
      <c r="L736">
        <v>37</v>
      </c>
      <c r="M736">
        <v>30</v>
      </c>
      <c r="N736">
        <v>20</v>
      </c>
      <c r="O736">
        <v>0.871</v>
      </c>
      <c r="P736">
        <v>7.7626913000000006E-2</v>
      </c>
      <c r="Q736">
        <v>0.17199999999999999</v>
      </c>
    </row>
    <row r="737" spans="1:17" s="30" customFormat="1" x14ac:dyDescent="0.2">
      <c r="A737" s="30">
        <f>IF(C737&amp;G737&amp;D737&lt;&gt;'Funnel setup'!$K$3&amp;'Funnel setup'!$K$4&amp;'Funnel setup'!$K$5,".",IF(A736=".",1,A736+1))</f>
        <v>33</v>
      </c>
      <c r="B737" s="431" t="str">
        <f t="shared" si="11"/>
        <v>Groin HerniaProviderBMI - THE HIGHFIELD HOSPITAL (NT420)EQ-5D Index</v>
      </c>
      <c r="C737" t="s">
        <v>50</v>
      </c>
      <c r="D737" t="s">
        <v>1</v>
      </c>
      <c r="E737" t="s">
        <v>3615</v>
      </c>
      <c r="F737" t="s">
        <v>3616</v>
      </c>
      <c r="G737" t="s">
        <v>52</v>
      </c>
      <c r="H737">
        <v>25</v>
      </c>
      <c r="I737">
        <v>0.8</v>
      </c>
      <c r="J737">
        <v>0.84799999999999998</v>
      </c>
      <c r="K737">
        <v>4.8000000000000001E-2</v>
      </c>
      <c r="L737">
        <v>10</v>
      </c>
      <c r="M737">
        <v>9</v>
      </c>
      <c r="N737">
        <v>6</v>
      </c>
      <c r="O737" t="s">
        <v>53</v>
      </c>
      <c r="P737" t="s">
        <v>53</v>
      </c>
      <c r="Q737" t="s">
        <v>53</v>
      </c>
    </row>
    <row r="738" spans="1:17" s="30" customFormat="1" x14ac:dyDescent="0.2">
      <c r="A738" s="30">
        <f>IF(C738&amp;G738&amp;D738&lt;&gt;'Funnel setup'!$K$3&amp;'Funnel setup'!$K$4&amp;'Funnel setup'!$K$5,".",IF(A737=".",1,A737+1))</f>
        <v>34</v>
      </c>
      <c r="B738" s="431" t="str">
        <f t="shared" si="11"/>
        <v>Groin HerniaProviderBMI - THE KINGS OAK HOSPITAL (NT421)EQ-5D Index</v>
      </c>
      <c r="C738" t="s">
        <v>50</v>
      </c>
      <c r="D738" t="s">
        <v>1</v>
      </c>
      <c r="E738" t="s">
        <v>3618</v>
      </c>
      <c r="F738" t="s">
        <v>3619</v>
      </c>
      <c r="G738" t="s">
        <v>52</v>
      </c>
      <c r="H738">
        <v>7</v>
      </c>
      <c r="I738">
        <v>0.85399999999999998</v>
      </c>
      <c r="J738">
        <v>0.95599999999999996</v>
      </c>
      <c r="K738">
        <v>0.10199999999999999</v>
      </c>
      <c r="L738">
        <v>4</v>
      </c>
      <c r="M738">
        <v>2</v>
      </c>
      <c r="N738">
        <v>1</v>
      </c>
      <c r="O738" t="s">
        <v>53</v>
      </c>
      <c r="P738" t="s">
        <v>53</v>
      </c>
      <c r="Q738" t="s">
        <v>53</v>
      </c>
    </row>
    <row r="739" spans="1:17" s="30" customFormat="1" x14ac:dyDescent="0.2">
      <c r="A739" s="30">
        <f>IF(C739&amp;G739&amp;D739&lt;&gt;'Funnel setup'!$K$3&amp;'Funnel setup'!$K$4&amp;'Funnel setup'!$K$5,".",IF(A738=".",1,A738+1))</f>
        <v>35</v>
      </c>
      <c r="B739" s="431" t="str">
        <f t="shared" si="11"/>
        <v>Groin HerniaProviderBMI - THE LONDON INDEPENDENT HOSPITAL (NT422)EQ-5D Index</v>
      </c>
      <c r="C739" t="s">
        <v>50</v>
      </c>
      <c r="D739" t="s">
        <v>1</v>
      </c>
      <c r="E739" t="s">
        <v>3621</v>
      </c>
      <c r="F739" t="s">
        <v>3622</v>
      </c>
      <c r="G739" t="s">
        <v>52</v>
      </c>
      <c r="H739">
        <v>16</v>
      </c>
      <c r="I739">
        <v>0.75900000000000001</v>
      </c>
      <c r="J739">
        <v>0.77100000000000002</v>
      </c>
      <c r="K739">
        <v>1.2E-2</v>
      </c>
      <c r="L739">
        <v>5</v>
      </c>
      <c r="M739">
        <v>7</v>
      </c>
      <c r="N739">
        <v>4</v>
      </c>
      <c r="O739" t="s">
        <v>53</v>
      </c>
      <c r="P739" t="s">
        <v>53</v>
      </c>
      <c r="Q739" t="s">
        <v>53</v>
      </c>
    </row>
    <row r="740" spans="1:17" s="30" customFormat="1" x14ac:dyDescent="0.2">
      <c r="A740" s="30">
        <f>IF(C740&amp;G740&amp;D740&lt;&gt;'Funnel setup'!$K$3&amp;'Funnel setup'!$K$4&amp;'Funnel setup'!$K$5,".",IF(A739=".",1,A739+1))</f>
        <v>36</v>
      </c>
      <c r="B740" s="431" t="str">
        <f t="shared" si="11"/>
        <v>Groin HerniaProviderBMI - THE MANOR HOSPITAL (NT423)EQ-5D Index</v>
      </c>
      <c r="C740" t="s">
        <v>50</v>
      </c>
      <c r="D740" t="s">
        <v>1</v>
      </c>
      <c r="E740" t="s">
        <v>3624</v>
      </c>
      <c r="F740" t="s">
        <v>3625</v>
      </c>
      <c r="G740" t="s">
        <v>52</v>
      </c>
      <c r="H740">
        <v>26</v>
      </c>
      <c r="I740">
        <v>0.83299999999999996</v>
      </c>
      <c r="J740">
        <v>0.871</v>
      </c>
      <c r="K740">
        <v>3.7999999999999999E-2</v>
      </c>
      <c r="L740">
        <v>10</v>
      </c>
      <c r="M740">
        <v>9</v>
      </c>
      <c r="N740">
        <v>7</v>
      </c>
      <c r="O740" t="s">
        <v>53</v>
      </c>
      <c r="P740" t="s">
        <v>53</v>
      </c>
      <c r="Q740" t="s">
        <v>53</v>
      </c>
    </row>
    <row r="741" spans="1:17" s="30" customFormat="1" x14ac:dyDescent="0.2">
      <c r="A741" s="30">
        <f>IF(C741&amp;G741&amp;D741&lt;&gt;'Funnel setup'!$K$3&amp;'Funnel setup'!$K$4&amp;'Funnel setup'!$K$5,".",IF(A740=".",1,A740+1))</f>
        <v>37</v>
      </c>
      <c r="B741" s="431" t="str">
        <f t="shared" si="11"/>
        <v>Groin HerniaProviderBMI - THE MERIDEN HOSPITAL (NT424)EQ-5D Index</v>
      </c>
      <c r="C741" t="s">
        <v>50</v>
      </c>
      <c r="D741" t="s">
        <v>1</v>
      </c>
      <c r="E741" t="s">
        <v>3283</v>
      </c>
      <c r="F741" t="s">
        <v>3284</v>
      </c>
      <c r="G741" t="s">
        <v>52</v>
      </c>
      <c r="H741">
        <v>39</v>
      </c>
      <c r="I741">
        <v>0.74199999999999999</v>
      </c>
      <c r="J741">
        <v>0.92300000000000004</v>
      </c>
      <c r="K741">
        <v>0.18099999999999999</v>
      </c>
      <c r="L741">
        <v>25</v>
      </c>
      <c r="M741">
        <v>10</v>
      </c>
      <c r="N741">
        <v>4</v>
      </c>
      <c r="O741">
        <v>0.91600000000000004</v>
      </c>
      <c r="P741">
        <v>0.1229592</v>
      </c>
      <c r="Q741">
        <v>0.17100000000000001</v>
      </c>
    </row>
    <row r="742" spans="1:17" s="30" customFormat="1" x14ac:dyDescent="0.2">
      <c r="A742" s="30">
        <f>IF(C742&amp;G742&amp;D742&lt;&gt;'Funnel setup'!$K$3&amp;'Funnel setup'!$K$4&amp;'Funnel setup'!$K$5,".",IF(A741=".",1,A741+1))</f>
        <v>38</v>
      </c>
      <c r="B742" s="431" t="str">
        <f t="shared" si="11"/>
        <v>Groin HerniaProviderBMI - THE PARK HOSPITAL (NT427)EQ-5D Index</v>
      </c>
      <c r="C742" t="s">
        <v>50</v>
      </c>
      <c r="D742" t="s">
        <v>1</v>
      </c>
      <c r="E742" t="s">
        <v>3286</v>
      </c>
      <c r="F742" t="s">
        <v>3287</v>
      </c>
      <c r="G742" t="s">
        <v>52</v>
      </c>
      <c r="H742" t="s">
        <v>53</v>
      </c>
      <c r="I742" t="s">
        <v>53</v>
      </c>
      <c r="J742" t="s">
        <v>53</v>
      </c>
      <c r="K742" t="s">
        <v>53</v>
      </c>
      <c r="L742" t="s">
        <v>53</v>
      </c>
      <c r="M742" t="s">
        <v>53</v>
      </c>
      <c r="N742" t="s">
        <v>53</v>
      </c>
      <c r="O742" t="s">
        <v>53</v>
      </c>
      <c r="P742" t="s">
        <v>53</v>
      </c>
      <c r="Q742" t="s">
        <v>53</v>
      </c>
    </row>
    <row r="743" spans="1:17" s="30" customFormat="1" x14ac:dyDescent="0.2">
      <c r="A743" s="30">
        <f>IF(C743&amp;G743&amp;D743&lt;&gt;'Funnel setup'!$K$3&amp;'Funnel setup'!$K$4&amp;'Funnel setup'!$K$5,".",IF(A742=".",1,A742+1))</f>
        <v>39</v>
      </c>
      <c r="B743" s="431" t="str">
        <f t="shared" si="11"/>
        <v>Groin HerniaProviderBMI - THE PRINCESS MARGARET HOSPITAL (NT428)EQ-5D Index</v>
      </c>
      <c r="C743" t="s">
        <v>50</v>
      </c>
      <c r="D743" t="s">
        <v>1</v>
      </c>
      <c r="E743" t="s">
        <v>3289</v>
      </c>
      <c r="F743" t="s">
        <v>3290</v>
      </c>
      <c r="G743" t="s">
        <v>52</v>
      </c>
      <c r="H743">
        <v>8</v>
      </c>
      <c r="I743">
        <v>0.81599999999999995</v>
      </c>
      <c r="J743">
        <v>0.96099999999999997</v>
      </c>
      <c r="K743">
        <v>0.14499999999999999</v>
      </c>
      <c r="L743">
        <v>5</v>
      </c>
      <c r="M743">
        <v>2</v>
      </c>
      <c r="N743">
        <v>1</v>
      </c>
      <c r="O743" t="s">
        <v>53</v>
      </c>
      <c r="P743" t="s">
        <v>53</v>
      </c>
      <c r="Q743" t="s">
        <v>53</v>
      </c>
    </row>
    <row r="744" spans="1:17" s="30" customFormat="1" x14ac:dyDescent="0.2">
      <c r="A744" s="30">
        <f>IF(C744&amp;G744&amp;D744&lt;&gt;'Funnel setup'!$K$3&amp;'Funnel setup'!$K$4&amp;'Funnel setup'!$K$5,".",IF(A743=".",1,A743+1))</f>
        <v>40</v>
      </c>
      <c r="B744" s="431" t="str">
        <f t="shared" si="11"/>
        <v>Groin HerniaProviderBMI - THE RIDGEWAY HOSPITAL (NT430)EQ-5D Index</v>
      </c>
      <c r="C744" t="s">
        <v>50</v>
      </c>
      <c r="D744" t="s">
        <v>1</v>
      </c>
      <c r="E744" t="s">
        <v>3292</v>
      </c>
      <c r="F744" t="s">
        <v>3293</v>
      </c>
      <c r="G744" t="s">
        <v>52</v>
      </c>
      <c r="H744">
        <v>43</v>
      </c>
      <c r="I744">
        <v>0.82</v>
      </c>
      <c r="J744">
        <v>0.88400000000000001</v>
      </c>
      <c r="K744">
        <v>6.4000000000000001E-2</v>
      </c>
      <c r="L744">
        <v>22</v>
      </c>
      <c r="M744">
        <v>14</v>
      </c>
      <c r="N744">
        <v>7</v>
      </c>
      <c r="O744">
        <v>0.84199999999999997</v>
      </c>
      <c r="P744">
        <v>4.8560342999999999E-2</v>
      </c>
      <c r="Q744">
        <v>0.161</v>
      </c>
    </row>
    <row r="745" spans="1:17" s="30" customFormat="1" x14ac:dyDescent="0.2">
      <c r="A745" s="30">
        <f>IF(C745&amp;G745&amp;D745&lt;&gt;'Funnel setup'!$K$3&amp;'Funnel setup'!$K$4&amp;'Funnel setup'!$K$5,".",IF(A744=".",1,A744+1))</f>
        <v>41</v>
      </c>
      <c r="B745" s="431" t="str">
        <f t="shared" si="11"/>
        <v>Groin HerniaProviderBMI - THE RUNNYMEDE HOSPITAL (NT431)EQ-5D Index</v>
      </c>
      <c r="C745" t="s">
        <v>50</v>
      </c>
      <c r="D745" t="s">
        <v>1</v>
      </c>
      <c r="E745" t="s">
        <v>3295</v>
      </c>
      <c r="F745" t="s">
        <v>3296</v>
      </c>
      <c r="G745" t="s">
        <v>52</v>
      </c>
      <c r="H745">
        <v>12</v>
      </c>
      <c r="I745">
        <v>0.75600000000000001</v>
      </c>
      <c r="J745">
        <v>0.84099999999999997</v>
      </c>
      <c r="K745">
        <v>8.5999999999999993E-2</v>
      </c>
      <c r="L745">
        <v>6</v>
      </c>
      <c r="M745">
        <v>4</v>
      </c>
      <c r="N745">
        <v>2</v>
      </c>
      <c r="O745" t="s">
        <v>53</v>
      </c>
      <c r="P745" t="s">
        <v>53</v>
      </c>
      <c r="Q745" t="s">
        <v>53</v>
      </c>
    </row>
    <row r="746" spans="1:17" s="30" customFormat="1" x14ac:dyDescent="0.2">
      <c r="A746" s="30">
        <f>IF(C746&amp;G746&amp;D746&lt;&gt;'Funnel setup'!$K$3&amp;'Funnel setup'!$K$4&amp;'Funnel setup'!$K$5,".",IF(A745=".",1,A745+1))</f>
        <v>42</v>
      </c>
      <c r="B746" s="431" t="str">
        <f t="shared" si="11"/>
        <v>Groin HerniaProviderBMI - THE SANDRINGHAM HOSPITAL (NT432)EQ-5D Index</v>
      </c>
      <c r="C746" t="s">
        <v>50</v>
      </c>
      <c r="D746" t="s">
        <v>1</v>
      </c>
      <c r="E746" t="s">
        <v>3298</v>
      </c>
      <c r="F746" t="s">
        <v>3299</v>
      </c>
      <c r="G746" t="s">
        <v>52</v>
      </c>
      <c r="H746">
        <v>40</v>
      </c>
      <c r="I746">
        <v>0.85599999999999998</v>
      </c>
      <c r="J746">
        <v>0.90700000000000003</v>
      </c>
      <c r="K746">
        <v>5.0999999999999997E-2</v>
      </c>
      <c r="L746">
        <v>14</v>
      </c>
      <c r="M746">
        <v>21</v>
      </c>
      <c r="N746">
        <v>5</v>
      </c>
      <c r="O746">
        <v>0.878</v>
      </c>
      <c r="P746">
        <v>8.4292561000000002E-2</v>
      </c>
      <c r="Q746">
        <v>0.154</v>
      </c>
    </row>
    <row r="747" spans="1:17" s="30" customFormat="1" x14ac:dyDescent="0.2">
      <c r="A747" s="30">
        <f>IF(C747&amp;G747&amp;D747&lt;&gt;'Funnel setup'!$K$3&amp;'Funnel setup'!$K$4&amp;'Funnel setup'!$K$5,".",IF(A746=".",1,A746+1))</f>
        <v>43</v>
      </c>
      <c r="B747" s="431" t="str">
        <f t="shared" si="11"/>
        <v>Groin HerniaProviderBMI - THE SAXON CLINIC (NT434)EQ-5D Index</v>
      </c>
      <c r="C747" t="s">
        <v>50</v>
      </c>
      <c r="D747" t="s">
        <v>1</v>
      </c>
      <c r="E747" t="s">
        <v>3301</v>
      </c>
      <c r="F747" t="s">
        <v>3302</v>
      </c>
      <c r="G747" t="s">
        <v>52</v>
      </c>
      <c r="H747">
        <v>38</v>
      </c>
      <c r="I747">
        <v>0.82199999999999995</v>
      </c>
      <c r="J747">
        <v>0.93100000000000005</v>
      </c>
      <c r="K747">
        <v>0.109</v>
      </c>
      <c r="L747">
        <v>23</v>
      </c>
      <c r="M747">
        <v>12</v>
      </c>
      <c r="N747">
        <v>3</v>
      </c>
      <c r="O747">
        <v>0.90900000000000003</v>
      </c>
      <c r="P747">
        <v>0.115977277</v>
      </c>
      <c r="Q747">
        <v>0.111</v>
      </c>
    </row>
    <row r="748" spans="1:17" s="30" customFormat="1" x14ac:dyDescent="0.2">
      <c r="A748" s="30">
        <f>IF(C748&amp;G748&amp;D748&lt;&gt;'Funnel setup'!$K$3&amp;'Funnel setup'!$K$4&amp;'Funnel setup'!$K$5,".",IF(A747=".",1,A747+1))</f>
        <v>44</v>
      </c>
      <c r="B748" s="431" t="str">
        <f t="shared" si="11"/>
        <v>Groin HerniaProviderBMI - THE SOMERFIELD HOSPITAL (NT438)EQ-5D Index</v>
      </c>
      <c r="C748" t="s">
        <v>50</v>
      </c>
      <c r="D748" t="s">
        <v>1</v>
      </c>
      <c r="E748" t="s">
        <v>3304</v>
      </c>
      <c r="F748" t="s">
        <v>3305</v>
      </c>
      <c r="G748" t="s">
        <v>52</v>
      </c>
      <c r="H748">
        <v>38</v>
      </c>
      <c r="I748">
        <v>0.83099999999999996</v>
      </c>
      <c r="J748">
        <v>0.90800000000000003</v>
      </c>
      <c r="K748">
        <v>7.6999999999999999E-2</v>
      </c>
      <c r="L748">
        <v>21</v>
      </c>
      <c r="M748">
        <v>11</v>
      </c>
      <c r="N748">
        <v>6</v>
      </c>
      <c r="O748">
        <v>0.88400000000000001</v>
      </c>
      <c r="P748">
        <v>9.0213208000000003E-2</v>
      </c>
      <c r="Q748">
        <v>0.16200000000000001</v>
      </c>
    </row>
    <row r="749" spans="1:17" s="30" customFormat="1" x14ac:dyDescent="0.2">
      <c r="A749" s="30">
        <f>IF(C749&amp;G749&amp;D749&lt;&gt;'Funnel setup'!$K$3&amp;'Funnel setup'!$K$4&amp;'Funnel setup'!$K$5,".",IF(A748=".",1,A748+1))</f>
        <v>45</v>
      </c>
      <c r="B749" s="431" t="str">
        <f t="shared" si="11"/>
        <v>Groin HerniaProviderBMI - THE SOUTH CHESHIRE PRIVATE HOSPITAL (NT439)EQ-5D Index</v>
      </c>
      <c r="C749" t="s">
        <v>50</v>
      </c>
      <c r="D749" t="s">
        <v>1</v>
      </c>
      <c r="E749" t="s">
        <v>3307</v>
      </c>
      <c r="F749" t="s">
        <v>3308</v>
      </c>
      <c r="G749" t="s">
        <v>52</v>
      </c>
      <c r="H749">
        <v>37</v>
      </c>
      <c r="I749">
        <v>0.83099999999999996</v>
      </c>
      <c r="J749">
        <v>0.878</v>
      </c>
      <c r="K749">
        <v>4.7E-2</v>
      </c>
      <c r="L749">
        <v>16</v>
      </c>
      <c r="M749">
        <v>14</v>
      </c>
      <c r="N749">
        <v>7</v>
      </c>
      <c r="O749">
        <v>0.84099999999999997</v>
      </c>
      <c r="P749">
        <v>4.8118213999999999E-2</v>
      </c>
      <c r="Q749">
        <v>0.187</v>
      </c>
    </row>
    <row r="750" spans="1:17" s="30" customFormat="1" x14ac:dyDescent="0.2">
      <c r="A750" s="30">
        <f>IF(C750&amp;G750&amp;D750&lt;&gt;'Funnel setup'!$K$3&amp;'Funnel setup'!$K$4&amp;'Funnel setup'!$K$5,".",IF(A749=".",1,A749+1))</f>
        <v>46</v>
      </c>
      <c r="B750" s="431" t="str">
        <f t="shared" si="11"/>
        <v>Groin HerniaProviderBMI - THE WINTERBOURNE HOSPITAL (NT443)EQ-5D Index</v>
      </c>
      <c r="C750" t="s">
        <v>50</v>
      </c>
      <c r="D750" t="s">
        <v>1</v>
      </c>
      <c r="E750" t="s">
        <v>3310</v>
      </c>
      <c r="F750" t="s">
        <v>3311</v>
      </c>
      <c r="G750" t="s">
        <v>52</v>
      </c>
      <c r="H750">
        <v>35</v>
      </c>
      <c r="I750">
        <v>0.85299999999999998</v>
      </c>
      <c r="J750">
        <v>0.91</v>
      </c>
      <c r="K750">
        <v>5.7000000000000002E-2</v>
      </c>
      <c r="L750">
        <v>16</v>
      </c>
      <c r="M750">
        <v>10</v>
      </c>
      <c r="N750">
        <v>9</v>
      </c>
      <c r="O750">
        <v>0.89400000000000002</v>
      </c>
      <c r="P750">
        <v>0.100175574</v>
      </c>
      <c r="Q750">
        <v>0.14099999999999999</v>
      </c>
    </row>
    <row r="751" spans="1:17" s="30" customFormat="1" x14ac:dyDescent="0.2">
      <c r="A751" s="30">
        <f>IF(C751&amp;G751&amp;D751&lt;&gt;'Funnel setup'!$K$3&amp;'Funnel setup'!$K$4&amp;'Funnel setup'!$K$5,".",IF(A750=".",1,A750+1))</f>
        <v>47</v>
      </c>
      <c r="B751" s="431" t="str">
        <f t="shared" si="11"/>
        <v>Groin HerniaProviderBMI - THORNBURY HOSPITAL (NT440)EQ-5D Index</v>
      </c>
      <c r="C751" t="s">
        <v>50</v>
      </c>
      <c r="D751" t="s">
        <v>1</v>
      </c>
      <c r="E751" t="s">
        <v>3313</v>
      </c>
      <c r="F751" t="s">
        <v>3314</v>
      </c>
      <c r="G751" t="s">
        <v>52</v>
      </c>
      <c r="H751">
        <v>14</v>
      </c>
      <c r="I751">
        <v>0.91900000000000004</v>
      </c>
      <c r="J751">
        <v>1</v>
      </c>
      <c r="K751">
        <v>8.1000000000000003E-2</v>
      </c>
      <c r="L751">
        <v>6</v>
      </c>
      <c r="M751">
        <v>8</v>
      </c>
      <c r="N751">
        <v>0</v>
      </c>
      <c r="O751" t="s">
        <v>53</v>
      </c>
      <c r="P751" t="s">
        <v>53</v>
      </c>
      <c r="Q751" t="s">
        <v>53</v>
      </c>
    </row>
    <row r="752" spans="1:17" s="30" customFormat="1" x14ac:dyDescent="0.2">
      <c r="A752" s="30">
        <f>IF(C752&amp;G752&amp;D752&lt;&gt;'Funnel setup'!$K$3&amp;'Funnel setup'!$K$4&amp;'Funnel setup'!$K$5,".",IF(A751=".",1,A751+1))</f>
        <v>48</v>
      </c>
      <c r="B752" s="431" t="str">
        <f t="shared" si="11"/>
        <v>Groin HerniaProviderBMI - THREE SHIRES HOSPITAL (NT441)EQ-5D Index</v>
      </c>
      <c r="C752" t="s">
        <v>50</v>
      </c>
      <c r="D752" t="s">
        <v>1</v>
      </c>
      <c r="E752" t="s">
        <v>3316</v>
      </c>
      <c r="F752" t="s">
        <v>3317</v>
      </c>
      <c r="G752" t="s">
        <v>52</v>
      </c>
      <c r="H752">
        <v>23</v>
      </c>
      <c r="I752">
        <v>0.85399999999999998</v>
      </c>
      <c r="J752">
        <v>0.94599999999999995</v>
      </c>
      <c r="K752">
        <v>9.1999999999999998E-2</v>
      </c>
      <c r="L752">
        <v>12</v>
      </c>
      <c r="M752">
        <v>10</v>
      </c>
      <c r="N752">
        <v>1</v>
      </c>
      <c r="O752" t="s">
        <v>53</v>
      </c>
      <c r="P752" t="s">
        <v>53</v>
      </c>
      <c r="Q752" t="s">
        <v>53</v>
      </c>
    </row>
    <row r="753" spans="1:17" s="30" customFormat="1" x14ac:dyDescent="0.2">
      <c r="A753" s="30">
        <f>IF(C753&amp;G753&amp;D753&lt;&gt;'Funnel setup'!$K$3&amp;'Funnel setup'!$K$4&amp;'Funnel setup'!$K$5,".",IF(A752=".",1,A752+1))</f>
        <v>49</v>
      </c>
      <c r="B753" s="431" t="str">
        <f t="shared" si="11"/>
        <v>Groin HerniaProviderBMI GISBURNE PARK HOSPITAL (NT497)EQ-5D Index</v>
      </c>
      <c r="C753" t="s">
        <v>50</v>
      </c>
      <c r="D753" t="s">
        <v>1</v>
      </c>
      <c r="E753" t="s">
        <v>3319</v>
      </c>
      <c r="F753" t="s">
        <v>3320</v>
      </c>
      <c r="G753" t="s">
        <v>52</v>
      </c>
      <c r="H753">
        <v>39</v>
      </c>
      <c r="I753">
        <v>0.82799999999999996</v>
      </c>
      <c r="J753">
        <v>0.95699999999999996</v>
      </c>
      <c r="K753">
        <v>0.129</v>
      </c>
      <c r="L753">
        <v>20</v>
      </c>
      <c r="M753">
        <v>17</v>
      </c>
      <c r="N753">
        <v>2</v>
      </c>
      <c r="O753">
        <v>0.93500000000000005</v>
      </c>
      <c r="P753">
        <v>0.141161756</v>
      </c>
      <c r="Q753">
        <v>9.8000000000000004E-2</v>
      </c>
    </row>
    <row r="754" spans="1:17" s="30" customFormat="1" x14ac:dyDescent="0.2">
      <c r="A754" s="30">
        <f>IF(C754&amp;G754&amp;D754&lt;&gt;'Funnel setup'!$K$3&amp;'Funnel setup'!$K$4&amp;'Funnel setup'!$K$5,".",IF(A753=".",1,A753+1))</f>
        <v>50</v>
      </c>
      <c r="B754" s="431" t="str">
        <f t="shared" si="11"/>
        <v>Groin HerniaProviderBMI MOUNT ALVERNIA HOSPITAL (NT455)EQ-5D Index</v>
      </c>
      <c r="C754" t="s">
        <v>50</v>
      </c>
      <c r="D754" t="s">
        <v>1</v>
      </c>
      <c r="E754" t="s">
        <v>3322</v>
      </c>
      <c r="F754" t="s">
        <v>3323</v>
      </c>
      <c r="G754" t="s">
        <v>52</v>
      </c>
      <c r="H754">
        <v>11</v>
      </c>
      <c r="I754">
        <v>0.86599999999999999</v>
      </c>
      <c r="J754">
        <v>0.97399999999999998</v>
      </c>
      <c r="K754">
        <v>0.107</v>
      </c>
      <c r="L754">
        <v>5</v>
      </c>
      <c r="M754">
        <v>5</v>
      </c>
      <c r="N754">
        <v>1</v>
      </c>
      <c r="O754" t="s">
        <v>53</v>
      </c>
      <c r="P754" t="s">
        <v>53</v>
      </c>
      <c r="Q754" t="s">
        <v>53</v>
      </c>
    </row>
    <row r="755" spans="1:17" s="30" customFormat="1" x14ac:dyDescent="0.2">
      <c r="A755" s="30">
        <f>IF(C755&amp;G755&amp;D755&lt;&gt;'Funnel setup'!$K$3&amp;'Funnel setup'!$K$4&amp;'Funnel setup'!$K$5,".",IF(A754=".",1,A754+1))</f>
        <v>51</v>
      </c>
      <c r="B755" s="431" t="str">
        <f t="shared" si="11"/>
        <v>Groin HerniaProviderBMI ST EDMUNDS HOSPITAL (NT446)EQ-5D Index</v>
      </c>
      <c r="C755" t="s">
        <v>50</v>
      </c>
      <c r="D755" t="s">
        <v>1</v>
      </c>
      <c r="E755" t="s">
        <v>3328</v>
      </c>
      <c r="F755" t="s">
        <v>3329</v>
      </c>
      <c r="G755" t="s">
        <v>52</v>
      </c>
      <c r="H755">
        <v>9</v>
      </c>
      <c r="I755">
        <v>0.71799999999999997</v>
      </c>
      <c r="J755">
        <v>0.79600000000000004</v>
      </c>
      <c r="K755">
        <v>7.8E-2</v>
      </c>
      <c r="L755">
        <v>5</v>
      </c>
      <c r="M755">
        <v>1</v>
      </c>
      <c r="N755">
        <v>3</v>
      </c>
      <c r="O755" t="s">
        <v>53</v>
      </c>
      <c r="P755" t="s">
        <v>53</v>
      </c>
      <c r="Q755" t="s">
        <v>53</v>
      </c>
    </row>
    <row r="756" spans="1:17" s="30" customFormat="1" x14ac:dyDescent="0.2">
      <c r="A756" s="30">
        <f>IF(C756&amp;G756&amp;D756&lt;&gt;'Funnel setup'!$K$3&amp;'Funnel setup'!$K$4&amp;'Funnel setup'!$K$5,".",IF(A755=".",1,A755+1))</f>
        <v>52</v>
      </c>
      <c r="B756" s="431" t="str">
        <f t="shared" si="11"/>
        <v>Groin HerniaProviderBMI THE CAVELL HOSPITAL (NT451)EQ-5D Index</v>
      </c>
      <c r="C756" t="s">
        <v>50</v>
      </c>
      <c r="D756" t="s">
        <v>1</v>
      </c>
      <c r="E756" t="s">
        <v>3331</v>
      </c>
      <c r="F756" t="s">
        <v>3332</v>
      </c>
      <c r="G756" t="s">
        <v>52</v>
      </c>
      <c r="H756">
        <v>7</v>
      </c>
      <c r="I756">
        <v>0.82299999999999995</v>
      </c>
      <c r="J756">
        <v>0.92</v>
      </c>
      <c r="K756">
        <v>9.7000000000000003E-2</v>
      </c>
      <c r="L756">
        <v>4</v>
      </c>
      <c r="M756">
        <v>3</v>
      </c>
      <c r="N756">
        <v>0</v>
      </c>
      <c r="O756" t="s">
        <v>53</v>
      </c>
      <c r="P756" t="s">
        <v>53</v>
      </c>
      <c r="Q756" t="s">
        <v>53</v>
      </c>
    </row>
    <row r="757" spans="1:17" s="30" customFormat="1" x14ac:dyDescent="0.2">
      <c r="A757" s="30">
        <f>IF(C757&amp;G757&amp;D757&lt;&gt;'Funnel setup'!$K$3&amp;'Funnel setup'!$K$4&amp;'Funnel setup'!$K$5,".",IF(A756=".",1,A756+1))</f>
        <v>53</v>
      </c>
      <c r="B757" s="431" t="str">
        <f t="shared" si="11"/>
        <v>Groin HerniaProviderBMI THE DUCHY HOSPITAL (NT447)EQ-5D Index</v>
      </c>
      <c r="C757" t="s">
        <v>50</v>
      </c>
      <c r="D757" t="s">
        <v>1</v>
      </c>
      <c r="E757" t="s">
        <v>3334</v>
      </c>
      <c r="F757" t="s">
        <v>3335</v>
      </c>
      <c r="G757" t="s">
        <v>52</v>
      </c>
      <c r="H757">
        <v>23</v>
      </c>
      <c r="I757">
        <v>0.81399999999999995</v>
      </c>
      <c r="J757">
        <v>0.93899999999999995</v>
      </c>
      <c r="K757">
        <v>0.125</v>
      </c>
      <c r="L757">
        <v>14</v>
      </c>
      <c r="M757">
        <v>5</v>
      </c>
      <c r="N757">
        <v>4</v>
      </c>
      <c r="O757" t="s">
        <v>53</v>
      </c>
      <c r="P757" t="s">
        <v>53</v>
      </c>
      <c r="Q757" t="s">
        <v>53</v>
      </c>
    </row>
    <row r="758" spans="1:17" s="30" customFormat="1" x14ac:dyDescent="0.2">
      <c r="A758" s="30">
        <f>IF(C758&amp;G758&amp;D758&lt;&gt;'Funnel setup'!$K$3&amp;'Funnel setup'!$K$4&amp;'Funnel setup'!$K$5,".",IF(A757=".",1,A757+1))</f>
        <v>54</v>
      </c>
      <c r="B758" s="431" t="str">
        <f t="shared" si="11"/>
        <v>Groin HerniaProviderBMI THE EDGBASTON HOSPITAL (NT445)EQ-5D Index</v>
      </c>
      <c r="C758" t="s">
        <v>50</v>
      </c>
      <c r="D758" t="s">
        <v>1</v>
      </c>
      <c r="E758" t="s">
        <v>3337</v>
      </c>
      <c r="F758" t="s">
        <v>3338</v>
      </c>
      <c r="G758" t="s">
        <v>52</v>
      </c>
      <c r="H758">
        <v>23</v>
      </c>
      <c r="I758">
        <v>0.84099999999999997</v>
      </c>
      <c r="J758">
        <v>0.91100000000000003</v>
      </c>
      <c r="K758">
        <v>6.9000000000000006E-2</v>
      </c>
      <c r="L758">
        <v>13</v>
      </c>
      <c r="M758">
        <v>7</v>
      </c>
      <c r="N758">
        <v>3</v>
      </c>
      <c r="O758" t="s">
        <v>53</v>
      </c>
      <c r="P758" t="s">
        <v>53</v>
      </c>
      <c r="Q758" t="s">
        <v>53</v>
      </c>
    </row>
    <row r="759" spans="1:17" s="30" customFormat="1" x14ac:dyDescent="0.2">
      <c r="A759" s="30">
        <f>IF(C759&amp;G759&amp;D759&lt;&gt;'Funnel setup'!$K$3&amp;'Funnel setup'!$K$4&amp;'Funnel setup'!$K$5,".",IF(A758=".",1,A758+1))</f>
        <v>55</v>
      </c>
      <c r="B759" s="431" t="str">
        <f t="shared" si="11"/>
        <v>Groin HerniaProviderBMI THE HUDDERSFIELD HOSPITAL (NT448)EQ-5D Index</v>
      </c>
      <c r="C759" t="s">
        <v>50</v>
      </c>
      <c r="D759" t="s">
        <v>1</v>
      </c>
      <c r="E759" t="s">
        <v>3346</v>
      </c>
      <c r="F759" t="s">
        <v>3347</v>
      </c>
      <c r="G759" t="s">
        <v>52</v>
      </c>
      <c r="H759">
        <v>76</v>
      </c>
      <c r="I759">
        <v>0.83099999999999996</v>
      </c>
      <c r="J759">
        <v>0.93100000000000005</v>
      </c>
      <c r="K759">
        <v>0.1</v>
      </c>
      <c r="L759">
        <v>40</v>
      </c>
      <c r="M759">
        <v>26</v>
      </c>
      <c r="N759">
        <v>10</v>
      </c>
      <c r="O759">
        <v>0.89700000000000002</v>
      </c>
      <c r="P759">
        <v>0.104014623</v>
      </c>
      <c r="Q759">
        <v>0.105</v>
      </c>
    </row>
    <row r="760" spans="1:17" s="30" customFormat="1" x14ac:dyDescent="0.2">
      <c r="A760" s="30">
        <f>IF(C760&amp;G760&amp;D760&lt;&gt;'Funnel setup'!$K$3&amp;'Funnel setup'!$K$4&amp;'Funnel setup'!$K$5,".",IF(A759=".",1,A759+1))</f>
        <v>56</v>
      </c>
      <c r="B760" s="431" t="str">
        <f t="shared" si="11"/>
        <v>Groin HerniaProviderBMI THE LANCASTER HOSPITAL (NT449)EQ-5D Index</v>
      </c>
      <c r="C760" t="s">
        <v>50</v>
      </c>
      <c r="D760" t="s">
        <v>1</v>
      </c>
      <c r="E760" t="s">
        <v>3349</v>
      </c>
      <c r="F760" t="s">
        <v>3350</v>
      </c>
      <c r="G760" t="s">
        <v>52</v>
      </c>
      <c r="H760">
        <v>9</v>
      </c>
      <c r="I760">
        <v>0.85799999999999998</v>
      </c>
      <c r="J760">
        <v>0.87</v>
      </c>
      <c r="K760">
        <v>1.2E-2</v>
      </c>
      <c r="L760">
        <v>3</v>
      </c>
      <c r="M760">
        <v>3</v>
      </c>
      <c r="N760">
        <v>3</v>
      </c>
      <c r="O760" t="s">
        <v>53</v>
      </c>
      <c r="P760" t="s">
        <v>53</v>
      </c>
      <c r="Q760" t="s">
        <v>53</v>
      </c>
    </row>
    <row r="761" spans="1:17" s="30" customFormat="1" x14ac:dyDescent="0.2">
      <c r="A761" s="30">
        <f>IF(C761&amp;G761&amp;D761&lt;&gt;'Funnel setup'!$K$3&amp;'Funnel setup'!$K$4&amp;'Funnel setup'!$K$5,".",IF(A760=".",1,A760+1))</f>
        <v>57</v>
      </c>
      <c r="B761" s="431" t="str">
        <f t="shared" si="11"/>
        <v>Groin HerniaProviderBMI THE LINCOLN HOSPITAL (NT450)EQ-5D Index</v>
      </c>
      <c r="C761" t="s">
        <v>50</v>
      </c>
      <c r="D761" t="s">
        <v>1</v>
      </c>
      <c r="E761" t="s">
        <v>3352</v>
      </c>
      <c r="F761" t="s">
        <v>3353</v>
      </c>
      <c r="G761" t="s">
        <v>52</v>
      </c>
      <c r="H761">
        <v>37</v>
      </c>
      <c r="I761">
        <v>0.75</v>
      </c>
      <c r="J761">
        <v>0.85599999999999998</v>
      </c>
      <c r="K761">
        <v>0.106</v>
      </c>
      <c r="L761">
        <v>19</v>
      </c>
      <c r="M761">
        <v>11</v>
      </c>
      <c r="N761">
        <v>7</v>
      </c>
      <c r="O761">
        <v>0.874</v>
      </c>
      <c r="P761">
        <v>8.0250742E-2</v>
      </c>
      <c r="Q761">
        <v>0.14899999999999999</v>
      </c>
    </row>
    <row r="762" spans="1:17" s="30" customFormat="1" x14ac:dyDescent="0.2">
      <c r="A762" s="30">
        <f>IF(C762&amp;G762&amp;D762&lt;&gt;'Funnel setup'!$K$3&amp;'Funnel setup'!$K$4&amp;'Funnel setup'!$K$5,".",IF(A761=".",1,A761+1))</f>
        <v>58</v>
      </c>
      <c r="B762" s="431" t="str">
        <f t="shared" si="11"/>
        <v>Groin HerniaProviderBMI WOODLANDS HOSPITAL (NT457)EQ-5D Index</v>
      </c>
      <c r="C762" t="s">
        <v>50</v>
      </c>
      <c r="D762" t="s">
        <v>1</v>
      </c>
      <c r="E762" t="s">
        <v>3355</v>
      </c>
      <c r="F762" t="s">
        <v>3356</v>
      </c>
      <c r="G762" t="s">
        <v>52</v>
      </c>
      <c r="H762">
        <v>30</v>
      </c>
      <c r="I762">
        <v>0.81</v>
      </c>
      <c r="J762">
        <v>0.83299999999999996</v>
      </c>
      <c r="K762">
        <v>2.3E-2</v>
      </c>
      <c r="L762">
        <v>12</v>
      </c>
      <c r="M762">
        <v>9</v>
      </c>
      <c r="N762">
        <v>9</v>
      </c>
      <c r="O762">
        <v>0.82199999999999995</v>
      </c>
      <c r="P762">
        <v>2.8878641E-2</v>
      </c>
      <c r="Q762">
        <v>0.161</v>
      </c>
    </row>
    <row r="763" spans="1:17" s="30" customFormat="1" x14ac:dyDescent="0.2">
      <c r="A763" s="30">
        <f>IF(C763&amp;G763&amp;D763&lt;&gt;'Funnel setup'!$K$3&amp;'Funnel setup'!$K$4&amp;'Funnel setup'!$K$5,".",IF(A762=".",1,A762+1))</f>
        <v>59</v>
      </c>
      <c r="B763" s="431" t="str">
        <f t="shared" si="11"/>
        <v>Groin HerniaProviderBODMIN NHS TREATMENT CENTRE (NVC24)EQ-5D Index</v>
      </c>
      <c r="C763" t="s">
        <v>50</v>
      </c>
      <c r="D763" t="s">
        <v>1</v>
      </c>
      <c r="E763" t="s">
        <v>3228</v>
      </c>
      <c r="F763" t="s">
        <v>3229</v>
      </c>
      <c r="G763" t="s">
        <v>52</v>
      </c>
      <c r="H763">
        <v>56</v>
      </c>
      <c r="I763">
        <v>0.748</v>
      </c>
      <c r="J763">
        <v>0.93799999999999994</v>
      </c>
      <c r="K763">
        <v>0.19</v>
      </c>
      <c r="L763">
        <v>39</v>
      </c>
      <c r="M763">
        <v>14</v>
      </c>
      <c r="N763">
        <v>3</v>
      </c>
      <c r="O763">
        <v>0.94199999999999995</v>
      </c>
      <c r="P763">
        <v>0.148738545</v>
      </c>
      <c r="Q763">
        <v>0.10199999999999999</v>
      </c>
    </row>
    <row r="764" spans="1:17" s="30" customFormat="1" x14ac:dyDescent="0.2">
      <c r="A764" s="30">
        <f>IF(C764&amp;G764&amp;D764&lt;&gt;'Funnel setup'!$K$3&amp;'Funnel setup'!$K$4&amp;'Funnel setup'!$K$5,".",IF(A763=".",1,A763+1))</f>
        <v>60</v>
      </c>
      <c r="B764" s="431" t="str">
        <f t="shared" si="11"/>
        <v>Groin HerniaProviderBOLTON NHS FOUNDATION TRUST (RMC)EQ-5D Index</v>
      </c>
      <c r="C764" t="s">
        <v>50</v>
      </c>
      <c r="D764" t="s">
        <v>1</v>
      </c>
      <c r="E764" t="s">
        <v>3358</v>
      </c>
      <c r="F764" t="s">
        <v>3359</v>
      </c>
      <c r="G764" t="s">
        <v>52</v>
      </c>
      <c r="H764">
        <v>102</v>
      </c>
      <c r="I764">
        <v>0.81299999999999994</v>
      </c>
      <c r="J764">
        <v>0.87</v>
      </c>
      <c r="K764">
        <v>5.7000000000000002E-2</v>
      </c>
      <c r="L764">
        <v>46</v>
      </c>
      <c r="M764">
        <v>38</v>
      </c>
      <c r="N764">
        <v>18</v>
      </c>
      <c r="O764">
        <v>0.874</v>
      </c>
      <c r="P764">
        <v>8.0903020000000006E-2</v>
      </c>
      <c r="Q764">
        <v>0.193</v>
      </c>
    </row>
    <row r="765" spans="1:17" s="30" customFormat="1" x14ac:dyDescent="0.2">
      <c r="A765" s="30">
        <f>IF(C765&amp;G765&amp;D765&lt;&gt;'Funnel setup'!$K$3&amp;'Funnel setup'!$K$4&amp;'Funnel setup'!$K$5,".",IF(A764=".",1,A764+1))</f>
        <v>61</v>
      </c>
      <c r="B765" s="431" t="str">
        <f t="shared" si="11"/>
        <v>Groin HerniaProviderBOSTON WEST HOSPITAL (NVC27)EQ-5D Index</v>
      </c>
      <c r="C765" t="s">
        <v>50</v>
      </c>
      <c r="D765" t="s">
        <v>1</v>
      </c>
      <c r="E765" t="s">
        <v>3376</v>
      </c>
      <c r="F765" t="s">
        <v>3377</v>
      </c>
      <c r="G765" t="s">
        <v>52</v>
      </c>
      <c r="H765">
        <v>34</v>
      </c>
      <c r="I765">
        <v>0.85699999999999998</v>
      </c>
      <c r="J765">
        <v>0.92700000000000005</v>
      </c>
      <c r="K765">
        <v>7.0999999999999994E-2</v>
      </c>
      <c r="L765">
        <v>15</v>
      </c>
      <c r="M765">
        <v>13</v>
      </c>
      <c r="N765">
        <v>6</v>
      </c>
      <c r="O765">
        <v>0.88900000000000001</v>
      </c>
      <c r="P765">
        <v>9.6083479999999999E-2</v>
      </c>
      <c r="Q765">
        <v>0.12</v>
      </c>
    </row>
    <row r="766" spans="1:17" s="30" customFormat="1" x14ac:dyDescent="0.2">
      <c r="A766" s="30">
        <f>IF(C766&amp;G766&amp;D766&lt;&gt;'Funnel setup'!$K$3&amp;'Funnel setup'!$K$4&amp;'Funnel setup'!$K$5,".",IF(A765=".",1,A765+1))</f>
        <v>62</v>
      </c>
      <c r="B766" s="431" t="str">
        <f t="shared" si="11"/>
        <v>Groin HerniaProviderBRADFORD TEACHING HOSPITALS NHS FOUNDATION TRUST (RAE)EQ-5D Index</v>
      </c>
      <c r="C766" t="s">
        <v>50</v>
      </c>
      <c r="D766" t="s">
        <v>1</v>
      </c>
      <c r="E766" t="s">
        <v>3361</v>
      </c>
      <c r="F766" t="s">
        <v>3362</v>
      </c>
      <c r="G766" t="s">
        <v>52</v>
      </c>
      <c r="H766">
        <v>73</v>
      </c>
      <c r="I766">
        <v>0.755</v>
      </c>
      <c r="J766">
        <v>0.85799999999999998</v>
      </c>
      <c r="K766">
        <v>0.10299999999999999</v>
      </c>
      <c r="L766">
        <v>36</v>
      </c>
      <c r="M766">
        <v>21</v>
      </c>
      <c r="N766">
        <v>16</v>
      </c>
      <c r="O766">
        <v>0.89600000000000002</v>
      </c>
      <c r="P766">
        <v>0.102408044</v>
      </c>
      <c r="Q766">
        <v>0.17</v>
      </c>
    </row>
    <row r="767" spans="1:17" s="30" customFormat="1" x14ac:dyDescent="0.2">
      <c r="A767" s="30">
        <f>IF(C767&amp;G767&amp;D767&lt;&gt;'Funnel setup'!$K$3&amp;'Funnel setup'!$K$4&amp;'Funnel setup'!$K$5,".",IF(A766=".",1,A766+1))</f>
        <v>63</v>
      </c>
      <c r="B767" s="431" t="str">
        <f t="shared" si="11"/>
        <v>Groin HerniaProviderBRAINTREE COMMUNITY HOSPITAL (NNQ01)EQ-5D Index</v>
      </c>
      <c r="C767" t="s">
        <v>50</v>
      </c>
      <c r="D767" t="s">
        <v>1</v>
      </c>
      <c r="E767" t="s">
        <v>3364</v>
      </c>
      <c r="F767" t="s">
        <v>3365</v>
      </c>
      <c r="G767" t="s">
        <v>52</v>
      </c>
      <c r="H767" t="s">
        <v>53</v>
      </c>
      <c r="I767" t="s">
        <v>53</v>
      </c>
      <c r="J767" t="s">
        <v>53</v>
      </c>
      <c r="K767" t="s">
        <v>53</v>
      </c>
      <c r="L767" t="s">
        <v>53</v>
      </c>
      <c r="M767" t="s">
        <v>53</v>
      </c>
      <c r="N767" t="s">
        <v>53</v>
      </c>
      <c r="O767" t="s">
        <v>53</v>
      </c>
      <c r="P767" t="s">
        <v>53</v>
      </c>
      <c r="Q767" t="s">
        <v>53</v>
      </c>
    </row>
    <row r="768" spans="1:17" s="30" customFormat="1" x14ac:dyDescent="0.2">
      <c r="A768" s="30">
        <f>IF(C768&amp;G768&amp;D768&lt;&gt;'Funnel setup'!$K$3&amp;'Funnel setup'!$K$4&amp;'Funnel setup'!$K$5,".",IF(A767=".",1,A767+1))</f>
        <v>64</v>
      </c>
      <c r="B768" s="431" t="str">
        <f t="shared" si="11"/>
        <v>Groin HerniaProviderBRIGHTON AND SUSSEX UNIVERSITY HOSPITALS NHS TRUST (RXH)EQ-5D Index</v>
      </c>
      <c r="C768" t="s">
        <v>50</v>
      </c>
      <c r="D768" t="s">
        <v>1</v>
      </c>
      <c r="E768" t="s">
        <v>3367</v>
      </c>
      <c r="F768" t="s">
        <v>3368</v>
      </c>
      <c r="G768" t="s">
        <v>52</v>
      </c>
      <c r="H768">
        <v>253</v>
      </c>
      <c r="I768">
        <v>0.81499999999999995</v>
      </c>
      <c r="J768">
        <v>0.88900000000000001</v>
      </c>
      <c r="K768">
        <v>7.3999999999999996E-2</v>
      </c>
      <c r="L768">
        <v>111</v>
      </c>
      <c r="M768">
        <v>96</v>
      </c>
      <c r="N768">
        <v>46</v>
      </c>
      <c r="O768">
        <v>0.88100000000000001</v>
      </c>
      <c r="P768">
        <v>8.7293819999999994E-2</v>
      </c>
      <c r="Q768">
        <v>0.14599999999999999</v>
      </c>
    </row>
    <row r="769" spans="1:17" s="30" customFormat="1" x14ac:dyDescent="0.2">
      <c r="A769" s="30">
        <f>IF(C769&amp;G769&amp;D769&lt;&gt;'Funnel setup'!$K$3&amp;'Funnel setup'!$K$4&amp;'Funnel setup'!$K$5,".",IF(A768=".",1,A768+1))</f>
        <v>65</v>
      </c>
      <c r="B769" s="431" t="str">
        <f t="shared" si="11"/>
        <v>Groin HerniaProviderBUCKINGHAMSHIRE HEALTHCARE NHS TRUST (RXQ)EQ-5D Index</v>
      </c>
      <c r="C769" t="s">
        <v>50</v>
      </c>
      <c r="D769" t="s">
        <v>1</v>
      </c>
      <c r="E769" t="s">
        <v>3370</v>
      </c>
      <c r="F769" t="s">
        <v>3371</v>
      </c>
      <c r="G769" t="s">
        <v>52</v>
      </c>
      <c r="H769">
        <v>161</v>
      </c>
      <c r="I769">
        <v>0.746</v>
      </c>
      <c r="J769">
        <v>0.88500000000000001</v>
      </c>
      <c r="K769">
        <v>0.13900000000000001</v>
      </c>
      <c r="L769">
        <v>101</v>
      </c>
      <c r="M769">
        <v>42</v>
      </c>
      <c r="N769">
        <v>18</v>
      </c>
      <c r="O769">
        <v>0.89200000000000002</v>
      </c>
      <c r="P769">
        <v>9.9039297999999998E-2</v>
      </c>
      <c r="Q769">
        <v>0.14099999999999999</v>
      </c>
    </row>
    <row r="770" spans="1:17" s="30" customFormat="1" x14ac:dyDescent="0.2">
      <c r="A770" s="30">
        <f>IF(C770&amp;G770&amp;D770&lt;&gt;'Funnel setup'!$K$3&amp;'Funnel setup'!$K$4&amp;'Funnel setup'!$K$5,".",IF(A769=".",1,A769+1))</f>
        <v>66</v>
      </c>
      <c r="B770" s="431" t="str">
        <f t="shared" si="11"/>
        <v>Groin HerniaProviderBURTON HOSPITALS NHS FOUNDATION TRUST (RJF)EQ-5D Index</v>
      </c>
      <c r="C770" t="s">
        <v>50</v>
      </c>
      <c r="D770" t="s">
        <v>1</v>
      </c>
      <c r="E770" t="s">
        <v>3373</v>
      </c>
      <c r="F770" t="s">
        <v>3374</v>
      </c>
      <c r="G770" t="s">
        <v>52</v>
      </c>
      <c r="H770">
        <v>162</v>
      </c>
      <c r="I770">
        <v>0.82</v>
      </c>
      <c r="J770">
        <v>0.91100000000000003</v>
      </c>
      <c r="K770">
        <v>0.09</v>
      </c>
      <c r="L770">
        <v>76</v>
      </c>
      <c r="M770">
        <v>64</v>
      </c>
      <c r="N770">
        <v>22</v>
      </c>
      <c r="O770">
        <v>0.89300000000000002</v>
      </c>
      <c r="P770">
        <v>9.992769E-2</v>
      </c>
      <c r="Q770">
        <v>0.14199999999999999</v>
      </c>
    </row>
    <row r="771" spans="1:17" s="30" customFormat="1" x14ac:dyDescent="0.2">
      <c r="A771" s="30">
        <f>IF(C771&amp;G771&amp;D771&lt;&gt;'Funnel setup'!$K$3&amp;'Funnel setup'!$K$4&amp;'Funnel setup'!$K$5,".",IF(A770=".",1,A770+1))</f>
        <v>67</v>
      </c>
      <c r="B771" s="431" t="str">
        <f t="shared" ref="B771:B834" si="12">C771&amp;D771&amp;F771&amp;G771</f>
        <v>Groin HerniaProviderCALDERDALE AND HUDDERSFIELD NHS FOUNDATION TRUST (RWY)EQ-5D Index</v>
      </c>
      <c r="C771" t="s">
        <v>50</v>
      </c>
      <c r="D771" t="s">
        <v>1</v>
      </c>
      <c r="E771" t="s">
        <v>3379</v>
      </c>
      <c r="F771" t="s">
        <v>3380</v>
      </c>
      <c r="G771" t="s">
        <v>52</v>
      </c>
      <c r="H771">
        <v>151</v>
      </c>
      <c r="I771">
        <v>0.78900000000000003</v>
      </c>
      <c r="J771">
        <v>0.879</v>
      </c>
      <c r="K771">
        <v>0.09</v>
      </c>
      <c r="L771">
        <v>76</v>
      </c>
      <c r="M771">
        <v>43</v>
      </c>
      <c r="N771">
        <v>32</v>
      </c>
      <c r="O771">
        <v>0.88400000000000001</v>
      </c>
      <c r="P771">
        <v>9.0187214000000002E-2</v>
      </c>
      <c r="Q771">
        <v>0.17100000000000001</v>
      </c>
    </row>
    <row r="772" spans="1:17" s="30" customFormat="1" x14ac:dyDescent="0.2">
      <c r="A772" s="30">
        <f>IF(C772&amp;G772&amp;D772&lt;&gt;'Funnel setup'!$K$3&amp;'Funnel setup'!$K$4&amp;'Funnel setup'!$K$5,".",IF(A771=".",1,A771+1))</f>
        <v>68</v>
      </c>
      <c r="B772" s="431" t="str">
        <f t="shared" si="12"/>
        <v>Groin HerniaProviderCAMBRIDGE UNIVERSITY HOSPITALS NHS FOUNDATION TRUST (RGT)EQ-5D Index</v>
      </c>
      <c r="C772" t="s">
        <v>50</v>
      </c>
      <c r="D772" t="s">
        <v>1</v>
      </c>
      <c r="E772" t="s">
        <v>3076</v>
      </c>
      <c r="F772" t="s">
        <v>3077</v>
      </c>
      <c r="G772" t="s">
        <v>52</v>
      </c>
      <c r="H772">
        <v>206</v>
      </c>
      <c r="I772">
        <v>0.80200000000000005</v>
      </c>
      <c r="J772">
        <v>0.91</v>
      </c>
      <c r="K772">
        <v>0.108</v>
      </c>
      <c r="L772">
        <v>121</v>
      </c>
      <c r="M772">
        <v>58</v>
      </c>
      <c r="N772">
        <v>27</v>
      </c>
      <c r="O772">
        <v>0.89500000000000002</v>
      </c>
      <c r="P772">
        <v>0.102099393</v>
      </c>
      <c r="Q772">
        <v>0.126</v>
      </c>
    </row>
    <row r="773" spans="1:17" s="30" customFormat="1" x14ac:dyDescent="0.2">
      <c r="A773" s="30">
        <f>IF(C773&amp;G773&amp;D773&lt;&gt;'Funnel setup'!$K$3&amp;'Funnel setup'!$K$4&amp;'Funnel setup'!$K$5,".",IF(A772=".",1,A772+1))</f>
        <v>69</v>
      </c>
      <c r="B773" s="431" t="str">
        <f t="shared" si="12"/>
        <v>Groin HerniaProviderCENTRAL MANCHESTER UNIVERSITY HOSPITALS NHS FOUNDATION TRUST (RW3)EQ-5D Index</v>
      </c>
      <c r="C773" t="s">
        <v>50</v>
      </c>
      <c r="D773" t="s">
        <v>1</v>
      </c>
      <c r="E773" t="s">
        <v>3079</v>
      </c>
      <c r="F773" t="s">
        <v>3080</v>
      </c>
      <c r="G773" t="s">
        <v>52</v>
      </c>
      <c r="H773">
        <v>53</v>
      </c>
      <c r="I773">
        <v>0.70199999999999996</v>
      </c>
      <c r="J773">
        <v>0.84499999999999997</v>
      </c>
      <c r="K773">
        <v>0.14399999999999999</v>
      </c>
      <c r="L773">
        <v>37</v>
      </c>
      <c r="M773">
        <v>10</v>
      </c>
      <c r="N773">
        <v>6</v>
      </c>
      <c r="O773">
        <v>0.88500000000000001</v>
      </c>
      <c r="P773">
        <v>9.1662668000000003E-2</v>
      </c>
      <c r="Q773">
        <v>0.113</v>
      </c>
    </row>
    <row r="774" spans="1:17" s="30" customFormat="1" x14ac:dyDescent="0.2">
      <c r="A774" s="30">
        <f>IF(C774&amp;G774&amp;D774&lt;&gt;'Funnel setup'!$K$3&amp;'Funnel setup'!$K$4&amp;'Funnel setup'!$K$5,".",IF(A773=".",1,A773+1))</f>
        <v>70</v>
      </c>
      <c r="B774" s="431" t="str">
        <f t="shared" si="12"/>
        <v>Groin HerniaProviderCHELSEA AND WESTMINSTER HOSPITAL NHS FOUNDATION TRUST (RQM)EQ-5D Index</v>
      </c>
      <c r="C774" t="s">
        <v>50</v>
      </c>
      <c r="D774" t="s">
        <v>1</v>
      </c>
      <c r="E774" t="s">
        <v>3082</v>
      </c>
      <c r="F774" t="s">
        <v>3083</v>
      </c>
      <c r="G774" t="s">
        <v>52</v>
      </c>
      <c r="H774">
        <v>21</v>
      </c>
      <c r="I774">
        <v>0.81799999999999995</v>
      </c>
      <c r="J774">
        <v>0.89900000000000002</v>
      </c>
      <c r="K774">
        <v>8.2000000000000003E-2</v>
      </c>
      <c r="L774">
        <v>9</v>
      </c>
      <c r="M774">
        <v>6</v>
      </c>
      <c r="N774">
        <v>6</v>
      </c>
      <c r="O774" t="s">
        <v>53</v>
      </c>
      <c r="P774" t="s">
        <v>53</v>
      </c>
      <c r="Q774" t="s">
        <v>53</v>
      </c>
    </row>
    <row r="775" spans="1:17" s="30" customFormat="1" x14ac:dyDescent="0.2">
      <c r="A775" s="30">
        <f>IF(C775&amp;G775&amp;D775&lt;&gt;'Funnel setup'!$K$3&amp;'Funnel setup'!$K$4&amp;'Funnel setup'!$K$5,".",IF(A774=".",1,A774+1))</f>
        <v>71</v>
      </c>
      <c r="B775" s="431" t="str">
        <f t="shared" si="12"/>
        <v>Groin HerniaProviderCHESTERFIELD ROYAL HOSPITAL NHS FOUNDATION TRUST (RFS)EQ-5D Index</v>
      </c>
      <c r="C775" t="s">
        <v>50</v>
      </c>
      <c r="D775" t="s">
        <v>1</v>
      </c>
      <c r="E775" t="s">
        <v>3085</v>
      </c>
      <c r="F775" t="s">
        <v>3086</v>
      </c>
      <c r="G775" t="s">
        <v>52</v>
      </c>
      <c r="H775">
        <v>143</v>
      </c>
      <c r="I775">
        <v>0.76600000000000001</v>
      </c>
      <c r="J775">
        <v>0.875</v>
      </c>
      <c r="K775">
        <v>0.109</v>
      </c>
      <c r="L775">
        <v>83</v>
      </c>
      <c r="M775">
        <v>36</v>
      </c>
      <c r="N775">
        <v>24</v>
      </c>
      <c r="O775">
        <v>0.89100000000000001</v>
      </c>
      <c r="P775">
        <v>9.7340948999999996E-2</v>
      </c>
      <c r="Q775">
        <v>0.13800000000000001</v>
      </c>
    </row>
    <row r="776" spans="1:17" s="30" customFormat="1" x14ac:dyDescent="0.2">
      <c r="A776" s="30">
        <f>IF(C776&amp;G776&amp;D776&lt;&gt;'Funnel setup'!$K$3&amp;'Funnel setup'!$K$4&amp;'Funnel setup'!$K$5,".",IF(A775=".",1,A775+1))</f>
        <v>72</v>
      </c>
      <c r="B776" s="431" t="str">
        <f t="shared" si="12"/>
        <v>Groin HerniaProviderCIRCLE - NOTTINGHAM NHS TREATMENT CENTRE (NV313)EQ-5D Index</v>
      </c>
      <c r="C776" t="s">
        <v>50</v>
      </c>
      <c r="D776" t="s">
        <v>1</v>
      </c>
      <c r="E776" t="s">
        <v>3094</v>
      </c>
      <c r="F776" t="s">
        <v>3095</v>
      </c>
      <c r="G776" t="s">
        <v>52</v>
      </c>
      <c r="H776">
        <v>187</v>
      </c>
      <c r="I776">
        <v>0.82799999999999996</v>
      </c>
      <c r="J776">
        <v>0.88</v>
      </c>
      <c r="K776">
        <v>5.1999999999999998E-2</v>
      </c>
      <c r="L776">
        <v>92</v>
      </c>
      <c r="M776">
        <v>59</v>
      </c>
      <c r="N776">
        <v>36</v>
      </c>
      <c r="O776">
        <v>0.86</v>
      </c>
      <c r="P776">
        <v>6.6365306999999998E-2</v>
      </c>
      <c r="Q776">
        <v>0.16400000000000001</v>
      </c>
    </row>
    <row r="777" spans="1:17" s="30" customFormat="1" x14ac:dyDescent="0.2">
      <c r="A777" s="30">
        <f>IF(C777&amp;G777&amp;D777&lt;&gt;'Funnel setup'!$K$3&amp;'Funnel setup'!$K$4&amp;'Funnel setup'!$K$5,".",IF(A776=".",1,A776+1))</f>
        <v>73</v>
      </c>
      <c r="B777" s="431" t="str">
        <f t="shared" si="12"/>
        <v>Groin HerniaProviderCIRCLE BATH HOSPITAL (NV302)EQ-5D Index</v>
      </c>
      <c r="C777" t="s">
        <v>50</v>
      </c>
      <c r="D777" t="s">
        <v>1</v>
      </c>
      <c r="E777" t="s">
        <v>3097</v>
      </c>
      <c r="F777" t="s">
        <v>3098</v>
      </c>
      <c r="G777" t="s">
        <v>52</v>
      </c>
      <c r="H777">
        <v>41</v>
      </c>
      <c r="I777">
        <v>0.878</v>
      </c>
      <c r="J777">
        <v>0.92500000000000004</v>
      </c>
      <c r="K777">
        <v>4.7E-2</v>
      </c>
      <c r="L777">
        <v>17</v>
      </c>
      <c r="M777">
        <v>18</v>
      </c>
      <c r="N777">
        <v>6</v>
      </c>
      <c r="O777">
        <v>0.876</v>
      </c>
      <c r="P777">
        <v>8.2273259000000001E-2</v>
      </c>
      <c r="Q777">
        <v>0.125</v>
      </c>
    </row>
    <row r="778" spans="1:17" s="30" customFormat="1" x14ac:dyDescent="0.2">
      <c r="A778" s="30">
        <f>IF(C778&amp;G778&amp;D778&lt;&gt;'Funnel setup'!$K$3&amp;'Funnel setup'!$K$4&amp;'Funnel setup'!$K$5,".",IF(A777=".",1,A777+1))</f>
        <v>74</v>
      </c>
      <c r="B778" s="431" t="str">
        <f t="shared" si="12"/>
        <v>Groin HerniaProviderCIRCLE READING HOSPITAL (NV323)EQ-5D Index</v>
      </c>
      <c r="C778" t="s">
        <v>50</v>
      </c>
      <c r="D778" t="s">
        <v>1</v>
      </c>
      <c r="E778" t="s">
        <v>3091</v>
      </c>
      <c r="F778" t="s">
        <v>3092</v>
      </c>
      <c r="G778" t="s">
        <v>52</v>
      </c>
      <c r="H778">
        <v>32</v>
      </c>
      <c r="I778">
        <v>0.81299999999999994</v>
      </c>
      <c r="J778">
        <v>0.92300000000000004</v>
      </c>
      <c r="K778">
        <v>0.11</v>
      </c>
      <c r="L778">
        <v>22</v>
      </c>
      <c r="M778">
        <v>8</v>
      </c>
      <c r="N778">
        <v>2</v>
      </c>
      <c r="O778">
        <v>0.89200000000000002</v>
      </c>
      <c r="P778">
        <v>9.8334087000000001E-2</v>
      </c>
      <c r="Q778">
        <v>9.7000000000000003E-2</v>
      </c>
    </row>
    <row r="779" spans="1:17" s="30" customFormat="1" x14ac:dyDescent="0.2">
      <c r="A779" s="30">
        <f>IF(C779&amp;G779&amp;D779&lt;&gt;'Funnel setup'!$K$3&amp;'Funnel setup'!$K$4&amp;'Funnel setup'!$K$5,".",IF(A778=".",1,A778+1))</f>
        <v>75</v>
      </c>
      <c r="B779" s="431" t="str">
        <f t="shared" si="12"/>
        <v>Groin HerniaProviderCIRENCESTER NHS TREATMENT CENTRE (NTPH4)EQ-5D Index</v>
      </c>
      <c r="C779" t="s">
        <v>50</v>
      </c>
      <c r="D779" t="s">
        <v>1</v>
      </c>
      <c r="E779" t="s">
        <v>3088</v>
      </c>
      <c r="F779" t="s">
        <v>3089</v>
      </c>
      <c r="G779" t="s">
        <v>52</v>
      </c>
      <c r="H779">
        <v>71</v>
      </c>
      <c r="I779">
        <v>0.871</v>
      </c>
      <c r="J779">
        <v>0.93400000000000005</v>
      </c>
      <c r="K779">
        <v>6.2E-2</v>
      </c>
      <c r="L779">
        <v>28</v>
      </c>
      <c r="M779">
        <v>36</v>
      </c>
      <c r="N779">
        <v>7</v>
      </c>
      <c r="O779">
        <v>0.88800000000000001</v>
      </c>
      <c r="P779">
        <v>9.4803411000000004E-2</v>
      </c>
      <c r="Q779">
        <v>0.13900000000000001</v>
      </c>
    </row>
    <row r="780" spans="1:17" s="30" customFormat="1" x14ac:dyDescent="0.2">
      <c r="A780" s="30">
        <f>IF(C780&amp;G780&amp;D780&lt;&gt;'Funnel setup'!$K$3&amp;'Funnel setup'!$K$4&amp;'Funnel setup'!$K$5,".",IF(A779=".",1,A779+1))</f>
        <v>76</v>
      </c>
      <c r="B780" s="431" t="str">
        <f t="shared" si="12"/>
        <v>Groin HerniaProviderCITY HOSPITALS SUNDERLAND NHS FOUNDATION TRUST (RLN)EQ-5D Index</v>
      </c>
      <c r="C780" t="s">
        <v>50</v>
      </c>
      <c r="D780" t="s">
        <v>1</v>
      </c>
      <c r="E780" t="s">
        <v>3100</v>
      </c>
      <c r="F780" t="s">
        <v>3101</v>
      </c>
      <c r="G780" t="s">
        <v>52</v>
      </c>
      <c r="H780">
        <v>139</v>
      </c>
      <c r="I780">
        <v>0.71899999999999997</v>
      </c>
      <c r="J780">
        <v>0.78</v>
      </c>
      <c r="K780">
        <v>6.0999999999999999E-2</v>
      </c>
      <c r="L780">
        <v>63</v>
      </c>
      <c r="M780">
        <v>36</v>
      </c>
      <c r="N780">
        <v>40</v>
      </c>
      <c r="O780">
        <v>0.84799999999999998</v>
      </c>
      <c r="P780">
        <v>5.4335804000000001E-2</v>
      </c>
      <c r="Q780">
        <v>0.19700000000000001</v>
      </c>
    </row>
    <row r="781" spans="1:17" s="30" customFormat="1" x14ac:dyDescent="0.2">
      <c r="A781" s="30">
        <f>IF(C781&amp;G781&amp;D781&lt;&gt;'Funnel setup'!$K$3&amp;'Funnel setup'!$K$4&amp;'Funnel setup'!$K$5,".",IF(A780=".",1,A780+1))</f>
        <v>77</v>
      </c>
      <c r="B781" s="431" t="str">
        <f t="shared" si="12"/>
        <v>Groin HerniaProviderCOBALT HOSPITAL (NVC29)EQ-5D Index</v>
      </c>
      <c r="C781" t="s">
        <v>50</v>
      </c>
      <c r="D781" t="s">
        <v>1</v>
      </c>
      <c r="E781" t="s">
        <v>3106</v>
      </c>
      <c r="F781" t="s">
        <v>3107</v>
      </c>
      <c r="G781" t="s">
        <v>52</v>
      </c>
      <c r="H781">
        <v>54</v>
      </c>
      <c r="I781">
        <v>0.85699999999999998</v>
      </c>
      <c r="J781">
        <v>0.88200000000000001</v>
      </c>
      <c r="K781">
        <v>2.5000000000000001E-2</v>
      </c>
      <c r="L781">
        <v>18</v>
      </c>
      <c r="M781">
        <v>27</v>
      </c>
      <c r="N781">
        <v>9</v>
      </c>
      <c r="O781">
        <v>0.83799999999999997</v>
      </c>
      <c r="P781">
        <v>4.4608923000000002E-2</v>
      </c>
      <c r="Q781">
        <v>0.158</v>
      </c>
    </row>
    <row r="782" spans="1:17" s="30" customFormat="1" x14ac:dyDescent="0.2">
      <c r="A782" s="30">
        <f>IF(C782&amp;G782&amp;D782&lt;&gt;'Funnel setup'!$K$3&amp;'Funnel setup'!$K$4&amp;'Funnel setup'!$K$5,".",IF(A781=".",1,A781+1))</f>
        <v>78</v>
      </c>
      <c r="B782" s="431" t="str">
        <f t="shared" si="12"/>
        <v>Groin HerniaProviderCOLCHESTER HOSPITAL UNIVERSITY NHS FOUNDATION TRUST (RDE)EQ-5D Index</v>
      </c>
      <c r="C782" t="s">
        <v>50</v>
      </c>
      <c r="D782" t="s">
        <v>1</v>
      </c>
      <c r="E782" t="s">
        <v>3109</v>
      </c>
      <c r="F782" t="s">
        <v>3110</v>
      </c>
      <c r="G782" t="s">
        <v>52</v>
      </c>
      <c r="H782">
        <v>153</v>
      </c>
      <c r="I782">
        <v>0.748</v>
      </c>
      <c r="J782">
        <v>0.85599999999999998</v>
      </c>
      <c r="K782">
        <v>0.108</v>
      </c>
      <c r="L782">
        <v>77</v>
      </c>
      <c r="M782">
        <v>51</v>
      </c>
      <c r="N782">
        <v>25</v>
      </c>
      <c r="O782">
        <v>0.88900000000000001</v>
      </c>
      <c r="P782">
        <v>9.5608597000000003E-2</v>
      </c>
      <c r="Q782">
        <v>0.16700000000000001</v>
      </c>
    </row>
    <row r="783" spans="1:17" s="30" customFormat="1" x14ac:dyDescent="0.2">
      <c r="A783" s="30">
        <f>IF(C783&amp;G783&amp;D783&lt;&gt;'Funnel setup'!$K$3&amp;'Funnel setup'!$K$4&amp;'Funnel setup'!$K$5,".",IF(A782=".",1,A782+1))</f>
        <v>79</v>
      </c>
      <c r="B783" s="431" t="str">
        <f t="shared" si="12"/>
        <v>Groin HerniaProviderCOUNTESS OF CHESTER HOSPITAL NHS FOUNDATION TRUST (RJR)EQ-5D Index</v>
      </c>
      <c r="C783" t="s">
        <v>50</v>
      </c>
      <c r="D783" t="s">
        <v>1</v>
      </c>
      <c r="E783" t="s">
        <v>3781</v>
      </c>
      <c r="F783" t="s">
        <v>3782</v>
      </c>
      <c r="G783" t="s">
        <v>52</v>
      </c>
      <c r="H783">
        <v>88</v>
      </c>
      <c r="I783">
        <v>0.78800000000000003</v>
      </c>
      <c r="J783">
        <v>0.85899999999999999</v>
      </c>
      <c r="K783">
        <v>7.0999999999999994E-2</v>
      </c>
      <c r="L783">
        <v>36</v>
      </c>
      <c r="M783">
        <v>32</v>
      </c>
      <c r="N783">
        <v>20</v>
      </c>
      <c r="O783">
        <v>0.86399999999999999</v>
      </c>
      <c r="P783">
        <v>7.1019235E-2</v>
      </c>
      <c r="Q783">
        <v>0.14399999999999999</v>
      </c>
    </row>
    <row r="784" spans="1:17" s="30" customFormat="1" x14ac:dyDescent="0.2">
      <c r="A784" s="30">
        <f>IF(C784&amp;G784&amp;D784&lt;&gt;'Funnel setup'!$K$3&amp;'Funnel setup'!$K$4&amp;'Funnel setup'!$K$5,".",IF(A783=".",1,A783+1))</f>
        <v>80</v>
      </c>
      <c r="B784" s="431" t="str">
        <f t="shared" si="12"/>
        <v>Groin HerniaProviderCOUNTY DURHAM AND DARLINGTON NHS FOUNDATION TRUST (RXP)EQ-5D Index</v>
      </c>
      <c r="C784" t="s">
        <v>50</v>
      </c>
      <c r="D784" t="s">
        <v>1</v>
      </c>
      <c r="E784" t="s">
        <v>3784</v>
      </c>
      <c r="F784" t="s">
        <v>3785</v>
      </c>
      <c r="G784" t="s">
        <v>52</v>
      </c>
      <c r="H784">
        <v>169</v>
      </c>
      <c r="I784">
        <v>0.80800000000000005</v>
      </c>
      <c r="J784">
        <v>0.85</v>
      </c>
      <c r="K784">
        <v>4.2999999999999997E-2</v>
      </c>
      <c r="L784">
        <v>78</v>
      </c>
      <c r="M784">
        <v>53</v>
      </c>
      <c r="N784">
        <v>38</v>
      </c>
      <c r="O784">
        <v>0.85699999999999998</v>
      </c>
      <c r="P784">
        <v>6.3684451000000003E-2</v>
      </c>
      <c r="Q784">
        <v>0.187</v>
      </c>
    </row>
    <row r="785" spans="1:17" s="30" customFormat="1" x14ac:dyDescent="0.2">
      <c r="A785" s="30">
        <f>IF(C785&amp;G785&amp;D785&lt;&gt;'Funnel setup'!$K$3&amp;'Funnel setup'!$K$4&amp;'Funnel setup'!$K$5,".",IF(A784=".",1,A784+1))</f>
        <v>81</v>
      </c>
      <c r="B785" s="431" t="str">
        <f t="shared" si="12"/>
        <v>Groin HerniaProviderDARTFORD AND GRAVESHAM NHS TRUST (RN7)EQ-5D Index</v>
      </c>
      <c r="C785" t="s">
        <v>50</v>
      </c>
      <c r="D785" t="s">
        <v>1</v>
      </c>
      <c r="E785" t="s">
        <v>3787</v>
      </c>
      <c r="F785" t="s">
        <v>3788</v>
      </c>
      <c r="G785" t="s">
        <v>52</v>
      </c>
      <c r="H785">
        <v>56</v>
      </c>
      <c r="I785">
        <v>0.79600000000000004</v>
      </c>
      <c r="J785">
        <v>0.88</v>
      </c>
      <c r="K785">
        <v>8.4000000000000005E-2</v>
      </c>
      <c r="L785">
        <v>23</v>
      </c>
      <c r="M785">
        <v>27</v>
      </c>
      <c r="N785">
        <v>6</v>
      </c>
      <c r="O785">
        <v>0.90600000000000003</v>
      </c>
      <c r="P785">
        <v>0.11299629899999999</v>
      </c>
      <c r="Q785">
        <v>0.115</v>
      </c>
    </row>
    <row r="786" spans="1:17" s="30" customFormat="1" x14ac:dyDescent="0.2">
      <c r="A786" s="30">
        <f>IF(C786&amp;G786&amp;D786&lt;&gt;'Funnel setup'!$K$3&amp;'Funnel setup'!$K$4&amp;'Funnel setup'!$K$5,".",IF(A785=".",1,A785+1))</f>
        <v>82</v>
      </c>
      <c r="B786" s="431" t="str">
        <f t="shared" si="12"/>
        <v>Groin HerniaProviderDERBY TEACHING HOSPITALS NHS FOUNDATION TRUST (RTG)EQ-5D Index</v>
      </c>
      <c r="C786" t="s">
        <v>50</v>
      </c>
      <c r="D786" t="s">
        <v>1</v>
      </c>
      <c r="E786" t="s">
        <v>3790</v>
      </c>
      <c r="F786" t="s">
        <v>3791</v>
      </c>
      <c r="G786" t="s">
        <v>52</v>
      </c>
      <c r="H786">
        <v>144</v>
      </c>
      <c r="I786">
        <v>0.81</v>
      </c>
      <c r="J786">
        <v>0.86399999999999999</v>
      </c>
      <c r="K786">
        <v>5.5E-2</v>
      </c>
      <c r="L786">
        <v>65</v>
      </c>
      <c r="M786">
        <v>52</v>
      </c>
      <c r="N786">
        <v>27</v>
      </c>
      <c r="O786">
        <v>0.85699999999999998</v>
      </c>
      <c r="P786">
        <v>6.3254006000000002E-2</v>
      </c>
      <c r="Q786">
        <v>0.158</v>
      </c>
    </row>
    <row r="787" spans="1:17" s="30" customFormat="1" x14ac:dyDescent="0.2">
      <c r="A787" s="30">
        <f>IF(C787&amp;G787&amp;D787&lt;&gt;'Funnel setup'!$K$3&amp;'Funnel setup'!$K$4&amp;'Funnel setup'!$K$5,".",IF(A786=".",1,A786+1))</f>
        <v>83</v>
      </c>
      <c r="B787" s="431" t="str">
        <f t="shared" si="12"/>
        <v>Groin HerniaProviderDERBYSHIRE COMMUNITY HEALTH SERVICES NHS FOUNDATION TRUST (RY8)EQ-5D Index</v>
      </c>
      <c r="C787" t="s">
        <v>50</v>
      </c>
      <c r="D787" t="s">
        <v>1</v>
      </c>
      <c r="E787" t="s">
        <v>3811</v>
      </c>
      <c r="F787" t="s">
        <v>3812</v>
      </c>
      <c r="G787" t="s">
        <v>52</v>
      </c>
      <c r="H787" t="s">
        <v>53</v>
      </c>
      <c r="I787" t="s">
        <v>53</v>
      </c>
      <c r="J787" t="s">
        <v>53</v>
      </c>
      <c r="K787" t="s">
        <v>53</v>
      </c>
      <c r="L787" t="s">
        <v>53</v>
      </c>
      <c r="M787" t="s">
        <v>53</v>
      </c>
      <c r="N787" t="s">
        <v>53</v>
      </c>
      <c r="O787" t="s">
        <v>53</v>
      </c>
      <c r="P787" t="s">
        <v>53</v>
      </c>
      <c r="Q787" t="s">
        <v>53</v>
      </c>
    </row>
    <row r="788" spans="1:17" s="30" customFormat="1" x14ac:dyDescent="0.2">
      <c r="A788" s="30">
        <f>IF(C788&amp;G788&amp;D788&lt;&gt;'Funnel setup'!$K$3&amp;'Funnel setup'!$K$4&amp;'Funnel setup'!$K$5,".",IF(A787=".",1,A787+1))</f>
        <v>84</v>
      </c>
      <c r="B788" s="431" t="str">
        <f t="shared" si="12"/>
        <v>Groin HerniaProviderDEVIZES NHS TREATMENT CENTRE (NTPH3)EQ-5D Index</v>
      </c>
      <c r="C788" t="s">
        <v>50</v>
      </c>
      <c r="D788" t="s">
        <v>1</v>
      </c>
      <c r="E788" t="s">
        <v>3796</v>
      </c>
      <c r="F788" t="s">
        <v>3797</v>
      </c>
      <c r="G788" t="s">
        <v>52</v>
      </c>
      <c r="H788">
        <v>90</v>
      </c>
      <c r="I788">
        <v>0.83199999999999996</v>
      </c>
      <c r="J788">
        <v>0.91800000000000004</v>
      </c>
      <c r="K788">
        <v>8.6999999999999994E-2</v>
      </c>
      <c r="L788">
        <v>48</v>
      </c>
      <c r="M788">
        <v>32</v>
      </c>
      <c r="N788">
        <v>10</v>
      </c>
      <c r="O788">
        <v>0.88700000000000001</v>
      </c>
      <c r="P788">
        <v>9.3310833999999995E-2</v>
      </c>
      <c r="Q788">
        <v>0.11600000000000001</v>
      </c>
    </row>
    <row r="789" spans="1:17" s="30" customFormat="1" x14ac:dyDescent="0.2">
      <c r="A789" s="30">
        <f>IF(C789&amp;G789&amp;D789&lt;&gt;'Funnel setup'!$K$3&amp;'Funnel setup'!$K$4&amp;'Funnel setup'!$K$5,".",IF(A788=".",1,A788+1))</f>
        <v>85</v>
      </c>
      <c r="B789" s="431" t="str">
        <f t="shared" si="12"/>
        <v>Groin HerniaProviderDONCASTER AND BASSETLAW HOSPITALS NHS FOUNDATION TRUST (RP5)EQ-5D Index</v>
      </c>
      <c r="C789" t="s">
        <v>50</v>
      </c>
      <c r="D789" t="s">
        <v>1</v>
      </c>
      <c r="E789" t="s">
        <v>3799</v>
      </c>
      <c r="F789" t="s">
        <v>3800</v>
      </c>
      <c r="G789" t="s">
        <v>52</v>
      </c>
      <c r="H789">
        <v>257</v>
      </c>
      <c r="I789">
        <v>0.77100000000000002</v>
      </c>
      <c r="J789">
        <v>0.83599999999999997</v>
      </c>
      <c r="K789">
        <v>6.5000000000000002E-2</v>
      </c>
      <c r="L789">
        <v>130</v>
      </c>
      <c r="M789">
        <v>67</v>
      </c>
      <c r="N789">
        <v>60</v>
      </c>
      <c r="O789">
        <v>0.85699999999999998</v>
      </c>
      <c r="P789">
        <v>6.3738845000000002E-2</v>
      </c>
      <c r="Q789">
        <v>0.17699999999999999</v>
      </c>
    </row>
    <row r="790" spans="1:17" s="30" customFormat="1" x14ac:dyDescent="0.2">
      <c r="A790" s="30">
        <f>IF(C790&amp;G790&amp;D790&lt;&gt;'Funnel setup'!$K$3&amp;'Funnel setup'!$K$4&amp;'Funnel setup'!$K$5,".",IF(A789=".",1,A789+1))</f>
        <v>86</v>
      </c>
      <c r="B790" s="431" t="str">
        <f t="shared" si="12"/>
        <v>Groin HerniaProviderDORSET COUNTY HOSPITAL NHS FOUNDATION TRUST (RBD)EQ-5D Index</v>
      </c>
      <c r="C790" t="s">
        <v>50</v>
      </c>
      <c r="D790" t="s">
        <v>1</v>
      </c>
      <c r="E790" t="s">
        <v>3802</v>
      </c>
      <c r="F790" t="s">
        <v>3803</v>
      </c>
      <c r="G790" t="s">
        <v>52</v>
      </c>
      <c r="H790">
        <v>59</v>
      </c>
      <c r="I790">
        <v>0.82799999999999996</v>
      </c>
      <c r="J790">
        <v>0.88200000000000001</v>
      </c>
      <c r="K790">
        <v>5.2999999999999999E-2</v>
      </c>
      <c r="L790">
        <v>22</v>
      </c>
      <c r="M790">
        <v>26</v>
      </c>
      <c r="N790">
        <v>11</v>
      </c>
      <c r="O790">
        <v>0.86</v>
      </c>
      <c r="P790">
        <v>6.6132237999999996E-2</v>
      </c>
      <c r="Q790">
        <v>0.14199999999999999</v>
      </c>
    </row>
    <row r="791" spans="1:17" s="30" customFormat="1" x14ac:dyDescent="0.2">
      <c r="A791" s="30">
        <f>IF(C791&amp;G791&amp;D791&lt;&gt;'Funnel setup'!$K$3&amp;'Funnel setup'!$K$4&amp;'Funnel setup'!$K$5,".",IF(A790=".",1,A790+1))</f>
        <v>87</v>
      </c>
      <c r="B791" s="431" t="str">
        <f t="shared" si="12"/>
        <v>Groin HerniaProviderDORSET HEALTHCARE UNIVERSITY NHS FOUNDATION TRUST (RDY)EQ-5D Index</v>
      </c>
      <c r="C791" t="s">
        <v>50</v>
      </c>
      <c r="D791" t="s">
        <v>1</v>
      </c>
      <c r="E791" t="s">
        <v>3805</v>
      </c>
      <c r="F791" t="s">
        <v>3806</v>
      </c>
      <c r="G791" t="s">
        <v>52</v>
      </c>
      <c r="H791">
        <v>88</v>
      </c>
      <c r="I791">
        <v>0.83099999999999996</v>
      </c>
      <c r="J791">
        <v>0.93100000000000005</v>
      </c>
      <c r="K791">
        <v>0.1</v>
      </c>
      <c r="L791">
        <v>42</v>
      </c>
      <c r="M791">
        <v>34</v>
      </c>
      <c r="N791">
        <v>12</v>
      </c>
      <c r="O791">
        <v>0.88700000000000001</v>
      </c>
      <c r="P791">
        <v>9.3678017000000002E-2</v>
      </c>
      <c r="Q791">
        <v>0.106</v>
      </c>
    </row>
    <row r="792" spans="1:17" s="30" customFormat="1" x14ac:dyDescent="0.2">
      <c r="A792" s="30">
        <f>IF(C792&amp;G792&amp;D792&lt;&gt;'Funnel setup'!$K$3&amp;'Funnel setup'!$K$4&amp;'Funnel setup'!$K$5,".",IF(A791=".",1,A791+1))</f>
        <v>88</v>
      </c>
      <c r="B792" s="431" t="str">
        <f t="shared" si="12"/>
        <v>Groin HerniaProviderEAST AND NORTH HERTFORDSHIRE NHS TRUST (RWH)EQ-5D Index</v>
      </c>
      <c r="C792" t="s">
        <v>50</v>
      </c>
      <c r="D792" t="s">
        <v>1</v>
      </c>
      <c r="E792" t="s">
        <v>3814</v>
      </c>
      <c r="F792" t="s">
        <v>3815</v>
      </c>
      <c r="G792" t="s">
        <v>52</v>
      </c>
      <c r="H792">
        <v>68</v>
      </c>
      <c r="I792">
        <v>0.77800000000000002</v>
      </c>
      <c r="J792">
        <v>0.873</v>
      </c>
      <c r="K792">
        <v>9.5000000000000001E-2</v>
      </c>
      <c r="L792">
        <v>41</v>
      </c>
      <c r="M792">
        <v>15</v>
      </c>
      <c r="N792">
        <v>12</v>
      </c>
      <c r="O792">
        <v>0.86599999999999999</v>
      </c>
      <c r="P792">
        <v>7.2647681000000006E-2</v>
      </c>
      <c r="Q792">
        <v>0.17699999999999999</v>
      </c>
    </row>
    <row r="793" spans="1:17" s="30" customFormat="1" x14ac:dyDescent="0.2">
      <c r="A793" s="30">
        <f>IF(C793&amp;G793&amp;D793&lt;&gt;'Funnel setup'!$K$3&amp;'Funnel setup'!$K$4&amp;'Funnel setup'!$K$5,".",IF(A792=".",1,A792+1))</f>
        <v>89</v>
      </c>
      <c r="B793" s="431" t="str">
        <f t="shared" si="12"/>
        <v>Groin HerniaProviderEAST CHESHIRE NHS TRUST (RJN)EQ-5D Index</v>
      </c>
      <c r="C793" t="s">
        <v>50</v>
      </c>
      <c r="D793" t="s">
        <v>1</v>
      </c>
      <c r="E793" t="s">
        <v>3817</v>
      </c>
      <c r="F793" t="s">
        <v>3818</v>
      </c>
      <c r="G793" t="s">
        <v>52</v>
      </c>
      <c r="H793">
        <v>73</v>
      </c>
      <c r="I793">
        <v>0.78800000000000003</v>
      </c>
      <c r="J793">
        <v>0.88200000000000001</v>
      </c>
      <c r="K793">
        <v>9.4E-2</v>
      </c>
      <c r="L793">
        <v>42</v>
      </c>
      <c r="M793">
        <v>18</v>
      </c>
      <c r="N793">
        <v>13</v>
      </c>
      <c r="O793">
        <v>0.878</v>
      </c>
      <c r="P793">
        <v>8.4394472999999998E-2</v>
      </c>
      <c r="Q793">
        <v>0.154</v>
      </c>
    </row>
    <row r="794" spans="1:17" s="30" customFormat="1" x14ac:dyDescent="0.2">
      <c r="A794" s="30">
        <f>IF(C794&amp;G794&amp;D794&lt;&gt;'Funnel setup'!$K$3&amp;'Funnel setup'!$K$4&amp;'Funnel setup'!$K$5,".",IF(A793=".",1,A793+1))</f>
        <v>90</v>
      </c>
      <c r="B794" s="431" t="str">
        <f t="shared" si="12"/>
        <v>Groin HerniaProviderEAST KENT HOSPITALS UNIVERSITY NHS FOUNDATION TRUST (RVV)EQ-5D Index</v>
      </c>
      <c r="C794" t="s">
        <v>50</v>
      </c>
      <c r="D794" t="s">
        <v>1</v>
      </c>
      <c r="E794" t="s">
        <v>3820</v>
      </c>
      <c r="F794" t="s">
        <v>3821</v>
      </c>
      <c r="G794" t="s">
        <v>52</v>
      </c>
      <c r="H794">
        <v>183</v>
      </c>
      <c r="I794">
        <v>0.78100000000000003</v>
      </c>
      <c r="J794">
        <v>0.88500000000000001</v>
      </c>
      <c r="K794">
        <v>0.104</v>
      </c>
      <c r="L794">
        <v>101</v>
      </c>
      <c r="M794">
        <v>50</v>
      </c>
      <c r="N794">
        <v>32</v>
      </c>
      <c r="O794">
        <v>0.89300000000000002</v>
      </c>
      <c r="P794">
        <v>9.9536235000000001E-2</v>
      </c>
      <c r="Q794">
        <v>0.158</v>
      </c>
    </row>
    <row r="795" spans="1:17" s="30" customFormat="1" x14ac:dyDescent="0.2">
      <c r="A795" s="30">
        <f>IF(C795&amp;G795&amp;D795&lt;&gt;'Funnel setup'!$K$3&amp;'Funnel setup'!$K$4&amp;'Funnel setup'!$K$5,".",IF(A794=".",1,A794+1))</f>
        <v>91</v>
      </c>
      <c r="B795" s="431" t="str">
        <f t="shared" si="12"/>
        <v>Groin HerniaProviderEAST LANCASHIRE HOSPITALS NHS TRUST (RXR)EQ-5D Index</v>
      </c>
      <c r="C795" t="s">
        <v>50</v>
      </c>
      <c r="D795" t="s">
        <v>1</v>
      </c>
      <c r="E795" t="s">
        <v>3823</v>
      </c>
      <c r="F795" t="s">
        <v>3824</v>
      </c>
      <c r="G795" t="s">
        <v>52</v>
      </c>
      <c r="H795">
        <v>182</v>
      </c>
      <c r="I795">
        <v>0.72899999999999998</v>
      </c>
      <c r="J795">
        <v>0.86099999999999999</v>
      </c>
      <c r="K795">
        <v>0.13200000000000001</v>
      </c>
      <c r="L795">
        <v>103</v>
      </c>
      <c r="M795">
        <v>55</v>
      </c>
      <c r="N795">
        <v>24</v>
      </c>
      <c r="O795">
        <v>0.91200000000000003</v>
      </c>
      <c r="P795">
        <v>0.11866541999999999</v>
      </c>
      <c r="Q795">
        <v>0.17100000000000001</v>
      </c>
    </row>
    <row r="796" spans="1:17" s="30" customFormat="1" x14ac:dyDescent="0.2">
      <c r="A796" s="30">
        <f>IF(C796&amp;G796&amp;D796&lt;&gt;'Funnel setup'!$K$3&amp;'Funnel setup'!$K$4&amp;'Funnel setup'!$K$5,".",IF(A795=".",1,A795+1))</f>
        <v>92</v>
      </c>
      <c r="B796" s="431" t="str">
        <f t="shared" si="12"/>
        <v>Groin HerniaProviderEAST SUSSEX HEALTHCARE NHS TRUST (RXC)EQ-5D Index</v>
      </c>
      <c r="C796" t="s">
        <v>50</v>
      </c>
      <c r="D796" t="s">
        <v>1</v>
      </c>
      <c r="E796" t="s">
        <v>3826</v>
      </c>
      <c r="F796" t="s">
        <v>3827</v>
      </c>
      <c r="G796" t="s">
        <v>52</v>
      </c>
      <c r="H796">
        <v>127</v>
      </c>
      <c r="I796">
        <v>0.77600000000000002</v>
      </c>
      <c r="J796">
        <v>0.875</v>
      </c>
      <c r="K796">
        <v>0.1</v>
      </c>
      <c r="L796">
        <v>68</v>
      </c>
      <c r="M796">
        <v>36</v>
      </c>
      <c r="N796">
        <v>23</v>
      </c>
      <c r="O796">
        <v>0.872</v>
      </c>
      <c r="P796">
        <v>7.8364306999999994E-2</v>
      </c>
      <c r="Q796">
        <v>0.14399999999999999</v>
      </c>
    </row>
    <row r="797" spans="1:17" s="30" customFormat="1" x14ac:dyDescent="0.2">
      <c r="A797" s="30">
        <f>IF(C797&amp;G797&amp;D797&lt;&gt;'Funnel setup'!$K$3&amp;'Funnel setup'!$K$4&amp;'Funnel setup'!$K$5,".",IF(A796=".",1,A796+1))</f>
        <v>93</v>
      </c>
      <c r="B797" s="431" t="str">
        <f t="shared" si="12"/>
        <v>Groin HerniaProviderEMERSONS GREEN NHS TREATMENT CENTRE (NTPH2)EQ-5D Index</v>
      </c>
      <c r="C797" t="s">
        <v>50</v>
      </c>
      <c r="D797" t="s">
        <v>1</v>
      </c>
      <c r="E797" t="s">
        <v>3829</v>
      </c>
      <c r="F797" t="s">
        <v>3830</v>
      </c>
      <c r="G797" t="s">
        <v>52</v>
      </c>
      <c r="H797">
        <v>248</v>
      </c>
      <c r="I797">
        <v>0.82699999999999996</v>
      </c>
      <c r="J797">
        <v>0.90900000000000003</v>
      </c>
      <c r="K797">
        <v>8.2000000000000003E-2</v>
      </c>
      <c r="L797">
        <v>121</v>
      </c>
      <c r="M797">
        <v>93</v>
      </c>
      <c r="N797">
        <v>34</v>
      </c>
      <c r="O797">
        <v>0.88600000000000001</v>
      </c>
      <c r="P797">
        <v>9.2602118999999997E-2</v>
      </c>
      <c r="Q797">
        <v>0.128</v>
      </c>
    </row>
    <row r="798" spans="1:17" s="30" customFormat="1" x14ac:dyDescent="0.2">
      <c r="A798" s="30">
        <f>IF(C798&amp;G798&amp;D798&lt;&gt;'Funnel setup'!$K$3&amp;'Funnel setup'!$K$4&amp;'Funnel setup'!$K$5,".",IF(A797=".",1,A797+1))</f>
        <v>94</v>
      </c>
      <c r="B798" s="431" t="str">
        <f t="shared" si="12"/>
        <v>Groin HerniaProviderEPSOM AND ST HELIER UNIVERSITY HOSPITALS NHS TRUST (RVR)EQ-5D Index</v>
      </c>
      <c r="C798" t="s">
        <v>50</v>
      </c>
      <c r="D798" t="s">
        <v>1</v>
      </c>
      <c r="E798" t="s">
        <v>3849</v>
      </c>
      <c r="F798" t="s">
        <v>3850</v>
      </c>
      <c r="G798" t="s">
        <v>52</v>
      </c>
      <c r="H798">
        <v>28</v>
      </c>
      <c r="I798">
        <v>0.79200000000000004</v>
      </c>
      <c r="J798">
        <v>0.82599999999999996</v>
      </c>
      <c r="K798">
        <v>3.4000000000000002E-2</v>
      </c>
      <c r="L798">
        <v>10</v>
      </c>
      <c r="M798">
        <v>10</v>
      </c>
      <c r="N798">
        <v>8</v>
      </c>
      <c r="O798" t="s">
        <v>53</v>
      </c>
      <c r="P798" t="s">
        <v>53</v>
      </c>
      <c r="Q798" t="s">
        <v>53</v>
      </c>
    </row>
    <row r="799" spans="1:17" s="30" customFormat="1" x14ac:dyDescent="0.2">
      <c r="A799" s="30">
        <f>IF(C799&amp;G799&amp;D799&lt;&gt;'Funnel setup'!$K$3&amp;'Funnel setup'!$K$4&amp;'Funnel setup'!$K$5,".",IF(A798=".",1,A798+1))</f>
        <v>95</v>
      </c>
      <c r="B799" s="431" t="str">
        <f t="shared" si="12"/>
        <v>Groin HerniaProviderEUXTON HALL HOSPITAL (NVC05)EQ-5D Index</v>
      </c>
      <c r="C799" t="s">
        <v>50</v>
      </c>
      <c r="D799" t="s">
        <v>1</v>
      </c>
      <c r="E799" t="s">
        <v>3852</v>
      </c>
      <c r="F799" t="s">
        <v>3853</v>
      </c>
      <c r="G799" t="s">
        <v>52</v>
      </c>
      <c r="H799">
        <v>114</v>
      </c>
      <c r="I799">
        <v>0.81</v>
      </c>
      <c r="J799">
        <v>0.88900000000000001</v>
      </c>
      <c r="K799">
        <v>7.9000000000000001E-2</v>
      </c>
      <c r="L799">
        <v>57</v>
      </c>
      <c r="M799">
        <v>37</v>
      </c>
      <c r="N799">
        <v>20</v>
      </c>
      <c r="O799">
        <v>0.876</v>
      </c>
      <c r="P799">
        <v>8.2150920000000002E-2</v>
      </c>
      <c r="Q799">
        <v>0.13900000000000001</v>
      </c>
    </row>
    <row r="800" spans="1:17" s="30" customFormat="1" x14ac:dyDescent="0.2">
      <c r="A800" s="30">
        <f>IF(C800&amp;G800&amp;D800&lt;&gt;'Funnel setup'!$K$3&amp;'Funnel setup'!$K$4&amp;'Funnel setup'!$K$5,".",IF(A799=".",1,A799+1))</f>
        <v>96</v>
      </c>
      <c r="B800" s="431" t="str">
        <f t="shared" si="12"/>
        <v>Groin HerniaProviderFITZWILLIAM HOSPITAL (NVC06)EQ-5D Index</v>
      </c>
      <c r="C800" t="s">
        <v>50</v>
      </c>
      <c r="D800" t="s">
        <v>1</v>
      </c>
      <c r="E800" t="s">
        <v>3858</v>
      </c>
      <c r="F800" t="s">
        <v>3859</v>
      </c>
      <c r="G800" t="s">
        <v>52</v>
      </c>
      <c r="H800">
        <v>38</v>
      </c>
      <c r="I800">
        <v>0.83099999999999996</v>
      </c>
      <c r="J800">
        <v>0.86</v>
      </c>
      <c r="K800">
        <v>2.9000000000000001E-2</v>
      </c>
      <c r="L800">
        <v>18</v>
      </c>
      <c r="M800">
        <v>6</v>
      </c>
      <c r="N800">
        <v>14</v>
      </c>
      <c r="O800">
        <v>0.84399999999999997</v>
      </c>
      <c r="P800">
        <v>5.1100228999999997E-2</v>
      </c>
      <c r="Q800">
        <v>0.17100000000000001</v>
      </c>
    </row>
    <row r="801" spans="1:17" s="30" customFormat="1" x14ac:dyDescent="0.2">
      <c r="A801" s="30">
        <f>IF(C801&amp;G801&amp;D801&lt;&gt;'Funnel setup'!$K$3&amp;'Funnel setup'!$K$4&amp;'Funnel setup'!$K$5,".",IF(A800=".",1,A800+1))</f>
        <v>97</v>
      </c>
      <c r="B801" s="431" t="str">
        <f t="shared" si="12"/>
        <v>Groin HerniaProviderFOSCOTE COURT (BANBURY) TRUST LTD (AHH)EQ-5D Index</v>
      </c>
      <c r="C801" t="s">
        <v>50</v>
      </c>
      <c r="D801" t="s">
        <v>1</v>
      </c>
      <c r="E801" t="s">
        <v>3900</v>
      </c>
      <c r="F801" t="s">
        <v>3901</v>
      </c>
      <c r="G801" t="s">
        <v>52</v>
      </c>
      <c r="H801">
        <v>28</v>
      </c>
      <c r="I801">
        <v>0.78400000000000003</v>
      </c>
      <c r="J801">
        <v>0.95099999999999996</v>
      </c>
      <c r="K801">
        <v>0.16600000000000001</v>
      </c>
      <c r="L801">
        <v>17</v>
      </c>
      <c r="M801">
        <v>10</v>
      </c>
      <c r="N801">
        <v>1</v>
      </c>
      <c r="O801" t="s">
        <v>53</v>
      </c>
      <c r="P801" t="s">
        <v>53</v>
      </c>
      <c r="Q801" t="s">
        <v>53</v>
      </c>
    </row>
    <row r="802" spans="1:17" s="30" customFormat="1" x14ac:dyDescent="0.2">
      <c r="A802" s="30">
        <f>IF(C802&amp;G802&amp;D802&lt;&gt;'Funnel setup'!$K$3&amp;'Funnel setup'!$K$4&amp;'Funnel setup'!$K$5,".",IF(A801=".",1,A801+1))</f>
        <v>98</v>
      </c>
      <c r="B802" s="431" t="str">
        <f t="shared" si="12"/>
        <v>Groin HerniaProviderFRIMLEY HEALTH NHS FOUNDATION TRUST (RDU)EQ-5D Index</v>
      </c>
      <c r="C802" t="s">
        <v>50</v>
      </c>
      <c r="D802" t="s">
        <v>1</v>
      </c>
      <c r="E802" t="s">
        <v>3861</v>
      </c>
      <c r="F802" t="s">
        <v>3862</v>
      </c>
      <c r="G802" t="s">
        <v>52</v>
      </c>
      <c r="H802">
        <v>267</v>
      </c>
      <c r="I802">
        <v>0.78800000000000003</v>
      </c>
      <c r="J802">
        <v>0.84799999999999998</v>
      </c>
      <c r="K802">
        <v>0.06</v>
      </c>
      <c r="L802">
        <v>118</v>
      </c>
      <c r="M802">
        <v>92</v>
      </c>
      <c r="N802">
        <v>57</v>
      </c>
      <c r="O802">
        <v>0.85</v>
      </c>
      <c r="P802">
        <v>5.6542137999999999E-2</v>
      </c>
      <c r="Q802">
        <v>0.17799999999999999</v>
      </c>
    </row>
    <row r="803" spans="1:17" s="30" customFormat="1" x14ac:dyDescent="0.2">
      <c r="A803" s="30">
        <f>IF(C803&amp;G803&amp;D803&lt;&gt;'Funnel setup'!$K$3&amp;'Funnel setup'!$K$4&amp;'Funnel setup'!$K$5,".",IF(A802=".",1,A802+1))</f>
        <v>99</v>
      </c>
      <c r="B803" s="431" t="str">
        <f t="shared" si="12"/>
        <v>Groin HerniaProviderFULWOOD HALL HOSPITAL (NVC07)EQ-5D Index</v>
      </c>
      <c r="C803" t="s">
        <v>50</v>
      </c>
      <c r="D803" t="s">
        <v>1</v>
      </c>
      <c r="E803" t="s">
        <v>3864</v>
      </c>
      <c r="F803" t="s">
        <v>3865</v>
      </c>
      <c r="G803" t="s">
        <v>52</v>
      </c>
      <c r="H803">
        <v>119</v>
      </c>
      <c r="I803">
        <v>0.83599999999999997</v>
      </c>
      <c r="J803">
        <v>0.88</v>
      </c>
      <c r="K803">
        <v>4.3999999999999997E-2</v>
      </c>
      <c r="L803">
        <v>45</v>
      </c>
      <c r="M803">
        <v>55</v>
      </c>
      <c r="N803">
        <v>19</v>
      </c>
      <c r="O803">
        <v>0.86299999999999999</v>
      </c>
      <c r="P803">
        <v>6.9528922000000007E-2</v>
      </c>
      <c r="Q803">
        <v>0.13400000000000001</v>
      </c>
    </row>
    <row r="804" spans="1:17" s="30" customFormat="1" x14ac:dyDescent="0.2">
      <c r="A804" s="30">
        <f>IF(C804&amp;G804&amp;D804&lt;&gt;'Funnel setup'!$K$3&amp;'Funnel setup'!$K$4&amp;'Funnel setup'!$K$5,".",IF(A803=".",1,A803+1))</f>
        <v>100</v>
      </c>
      <c r="B804" s="431" t="str">
        <f t="shared" si="12"/>
        <v>Groin HerniaProviderGATESHEAD HEALTH NHS FOUNDATION TRUST (RR7)EQ-5D Index</v>
      </c>
      <c r="C804" t="s">
        <v>50</v>
      </c>
      <c r="D804" t="s">
        <v>1</v>
      </c>
      <c r="E804" t="s">
        <v>3867</v>
      </c>
      <c r="F804" t="s">
        <v>3868</v>
      </c>
      <c r="G804" t="s">
        <v>52</v>
      </c>
      <c r="H804">
        <v>142</v>
      </c>
      <c r="I804">
        <v>0.79300000000000004</v>
      </c>
      <c r="J804">
        <v>0.88</v>
      </c>
      <c r="K804">
        <v>8.6999999999999994E-2</v>
      </c>
      <c r="L804">
        <v>70</v>
      </c>
      <c r="M804">
        <v>52</v>
      </c>
      <c r="N804">
        <v>20</v>
      </c>
      <c r="O804">
        <v>0.877</v>
      </c>
      <c r="P804">
        <v>8.3921820999999994E-2</v>
      </c>
      <c r="Q804">
        <v>0.156</v>
      </c>
    </row>
    <row r="805" spans="1:17" s="30" customFormat="1" x14ac:dyDescent="0.2">
      <c r="A805" s="30">
        <f>IF(C805&amp;G805&amp;D805&lt;&gt;'Funnel setup'!$K$3&amp;'Funnel setup'!$K$4&amp;'Funnel setup'!$K$5,".",IF(A804=".",1,A804+1))</f>
        <v>101</v>
      </c>
      <c r="B805" s="431" t="str">
        <f t="shared" si="12"/>
        <v>Groin HerniaProviderGEORGE ELIOT HOSPITAL NHS TRUST (RLT)EQ-5D Index</v>
      </c>
      <c r="C805" t="s">
        <v>50</v>
      </c>
      <c r="D805" t="s">
        <v>1</v>
      </c>
      <c r="E805" t="s">
        <v>3870</v>
      </c>
      <c r="F805" t="s">
        <v>3871</v>
      </c>
      <c r="G805" t="s">
        <v>52</v>
      </c>
      <c r="H805">
        <v>32</v>
      </c>
      <c r="I805">
        <v>0.74</v>
      </c>
      <c r="J805">
        <v>0.90400000000000003</v>
      </c>
      <c r="K805">
        <v>0.16400000000000001</v>
      </c>
      <c r="L805">
        <v>21</v>
      </c>
      <c r="M805">
        <v>10</v>
      </c>
      <c r="N805">
        <v>1</v>
      </c>
      <c r="O805">
        <v>0.92</v>
      </c>
      <c r="P805">
        <v>0.12635337499999999</v>
      </c>
      <c r="Q805">
        <v>0.184</v>
      </c>
    </row>
    <row r="806" spans="1:17" s="30" customFormat="1" x14ac:dyDescent="0.2">
      <c r="A806" s="30">
        <f>IF(C806&amp;G806&amp;D806&lt;&gt;'Funnel setup'!$K$3&amp;'Funnel setup'!$K$4&amp;'Funnel setup'!$K$5,".",IF(A805=".",1,A805+1))</f>
        <v>102</v>
      </c>
      <c r="B806" s="431" t="str">
        <f t="shared" si="12"/>
        <v>Groin HerniaProviderGLOUCESTERSHIRE HOSPITALS NHS FOUNDATION TRUST (RTE)EQ-5D Index</v>
      </c>
      <c r="C806" t="s">
        <v>50</v>
      </c>
      <c r="D806" t="s">
        <v>1</v>
      </c>
      <c r="E806" t="s">
        <v>3873</v>
      </c>
      <c r="F806" t="s">
        <v>3874</v>
      </c>
      <c r="G806" t="s">
        <v>52</v>
      </c>
      <c r="H806">
        <v>179</v>
      </c>
      <c r="I806">
        <v>0.82899999999999996</v>
      </c>
      <c r="J806">
        <v>0.91300000000000003</v>
      </c>
      <c r="K806">
        <v>8.4000000000000005E-2</v>
      </c>
      <c r="L806">
        <v>93</v>
      </c>
      <c r="M806">
        <v>69</v>
      </c>
      <c r="N806">
        <v>17</v>
      </c>
      <c r="O806">
        <v>0.89400000000000002</v>
      </c>
      <c r="P806">
        <v>0.10062122599999999</v>
      </c>
      <c r="Q806">
        <v>0.128</v>
      </c>
    </row>
    <row r="807" spans="1:17" s="30" customFormat="1" x14ac:dyDescent="0.2">
      <c r="A807" s="30">
        <f>IF(C807&amp;G807&amp;D807&lt;&gt;'Funnel setup'!$K$3&amp;'Funnel setup'!$K$4&amp;'Funnel setup'!$K$5,".",IF(A806=".",1,A806+1))</f>
        <v>103</v>
      </c>
      <c r="B807" s="431" t="str">
        <f t="shared" si="12"/>
        <v>Groin HerniaProviderGREAT WESTERN HOSPITALS NHS FOUNDATION TRUST (RN3)EQ-5D Index</v>
      </c>
      <c r="C807" t="s">
        <v>50</v>
      </c>
      <c r="D807" t="s">
        <v>1</v>
      </c>
      <c r="E807" t="s">
        <v>3876</v>
      </c>
      <c r="F807" t="s">
        <v>3877</v>
      </c>
      <c r="G807" t="s">
        <v>52</v>
      </c>
      <c r="H807">
        <v>64</v>
      </c>
      <c r="I807">
        <v>0.82699999999999996</v>
      </c>
      <c r="J807">
        <v>0.88700000000000001</v>
      </c>
      <c r="K807">
        <v>0.06</v>
      </c>
      <c r="L807">
        <v>27</v>
      </c>
      <c r="M807">
        <v>23</v>
      </c>
      <c r="N807">
        <v>14</v>
      </c>
      <c r="O807">
        <v>0.86499999999999999</v>
      </c>
      <c r="P807">
        <v>7.1385926000000002E-2</v>
      </c>
      <c r="Q807">
        <v>0.13</v>
      </c>
    </row>
    <row r="808" spans="1:17" s="30" customFormat="1" x14ac:dyDescent="0.2">
      <c r="A808" s="30">
        <f>IF(C808&amp;G808&amp;D808&lt;&gt;'Funnel setup'!$K$3&amp;'Funnel setup'!$K$4&amp;'Funnel setup'!$K$5,".",IF(A807=".",1,A807+1))</f>
        <v>104</v>
      </c>
      <c r="B808" s="431" t="str">
        <f t="shared" si="12"/>
        <v>Groin HerniaProviderGUY'S AND ST THOMAS' NHS FOUNDATION TRUST (RJ1)EQ-5D Index</v>
      </c>
      <c r="C808" t="s">
        <v>50</v>
      </c>
      <c r="D808" t="s">
        <v>1</v>
      </c>
      <c r="E808" t="s">
        <v>3879</v>
      </c>
      <c r="F808" t="s">
        <v>3880</v>
      </c>
      <c r="G808" t="s">
        <v>52</v>
      </c>
      <c r="H808">
        <v>12</v>
      </c>
      <c r="I808">
        <v>0.85899999999999999</v>
      </c>
      <c r="J808">
        <v>0.878</v>
      </c>
      <c r="K808">
        <v>1.9E-2</v>
      </c>
      <c r="L808">
        <v>3</v>
      </c>
      <c r="M808">
        <v>6</v>
      </c>
      <c r="N808">
        <v>3</v>
      </c>
      <c r="O808" t="s">
        <v>53</v>
      </c>
      <c r="P808" t="s">
        <v>53</v>
      </c>
      <c r="Q808" t="s">
        <v>53</v>
      </c>
    </row>
    <row r="809" spans="1:17" s="30" customFormat="1" x14ac:dyDescent="0.2">
      <c r="A809" s="30">
        <f>IF(C809&amp;G809&amp;D809&lt;&gt;'Funnel setup'!$K$3&amp;'Funnel setup'!$K$4&amp;'Funnel setup'!$K$5,".",IF(A808=".",1,A808+1))</f>
        <v>105</v>
      </c>
      <c r="B809" s="431" t="str">
        <f t="shared" si="12"/>
        <v>Groin HerniaProviderHAMPSHIRE HOSPITALS NHS FOUNDATION TRUST (RN5)EQ-5D Index</v>
      </c>
      <c r="C809" t="s">
        <v>50</v>
      </c>
      <c r="D809" t="s">
        <v>1</v>
      </c>
      <c r="E809" t="s">
        <v>3882</v>
      </c>
      <c r="F809" t="s">
        <v>3883</v>
      </c>
      <c r="G809" t="s">
        <v>52</v>
      </c>
      <c r="H809">
        <v>96</v>
      </c>
      <c r="I809">
        <v>0.78800000000000003</v>
      </c>
      <c r="J809">
        <v>0.90300000000000002</v>
      </c>
      <c r="K809">
        <v>0.115</v>
      </c>
      <c r="L809">
        <v>53</v>
      </c>
      <c r="M809">
        <v>33</v>
      </c>
      <c r="N809">
        <v>10</v>
      </c>
      <c r="O809">
        <v>0.9</v>
      </c>
      <c r="P809">
        <v>0.106128031</v>
      </c>
      <c r="Q809">
        <v>0.13700000000000001</v>
      </c>
    </row>
    <row r="810" spans="1:17" s="30" customFormat="1" x14ac:dyDescent="0.2">
      <c r="A810" s="30">
        <f>IF(C810&amp;G810&amp;D810&lt;&gt;'Funnel setup'!$K$3&amp;'Funnel setup'!$K$4&amp;'Funnel setup'!$K$5,".",IF(A809=".",1,A809+1))</f>
        <v>106</v>
      </c>
      <c r="B810" s="431" t="str">
        <f t="shared" si="12"/>
        <v>Groin HerniaProviderHARROGATE AND DISTRICT NHS FOUNDATION TRUST (RCD)EQ-5D Index</v>
      </c>
      <c r="C810" t="s">
        <v>50</v>
      </c>
      <c r="D810" t="s">
        <v>1</v>
      </c>
      <c r="E810" t="s">
        <v>3885</v>
      </c>
      <c r="F810" t="s">
        <v>3886</v>
      </c>
      <c r="G810" t="s">
        <v>52</v>
      </c>
      <c r="H810">
        <v>183</v>
      </c>
      <c r="I810">
        <v>0.81599999999999995</v>
      </c>
      <c r="J810">
        <v>0.878</v>
      </c>
      <c r="K810">
        <v>6.2E-2</v>
      </c>
      <c r="L810">
        <v>88</v>
      </c>
      <c r="M810">
        <v>53</v>
      </c>
      <c r="N810">
        <v>42</v>
      </c>
      <c r="O810">
        <v>0.87</v>
      </c>
      <c r="P810">
        <v>7.6433062999999996E-2</v>
      </c>
      <c r="Q810">
        <v>0.152</v>
      </c>
    </row>
    <row r="811" spans="1:17" s="30" customFormat="1" x14ac:dyDescent="0.2">
      <c r="A811" s="30">
        <f>IF(C811&amp;G811&amp;D811&lt;&gt;'Funnel setup'!$K$3&amp;'Funnel setup'!$K$4&amp;'Funnel setup'!$K$5,".",IF(A810=".",1,A810+1))</f>
        <v>107</v>
      </c>
      <c r="B811" s="431" t="str">
        <f t="shared" si="12"/>
        <v>Groin HerniaProviderHATHAWAY MEDICAL CENTRE (NXP04)EQ-5D Index</v>
      </c>
      <c r="C811" t="s">
        <v>50</v>
      </c>
      <c r="D811" t="s">
        <v>1</v>
      </c>
      <c r="E811" t="s">
        <v>3903</v>
      </c>
      <c r="F811" t="s">
        <v>3904</v>
      </c>
      <c r="G811" t="s">
        <v>52</v>
      </c>
      <c r="H811">
        <v>15</v>
      </c>
      <c r="I811">
        <v>0.82399999999999995</v>
      </c>
      <c r="J811">
        <v>0.93</v>
      </c>
      <c r="K811">
        <v>0.106</v>
      </c>
      <c r="L811">
        <v>9</v>
      </c>
      <c r="M811">
        <v>4</v>
      </c>
      <c r="N811">
        <v>2</v>
      </c>
      <c r="O811" t="s">
        <v>53</v>
      </c>
      <c r="P811" t="s">
        <v>53</v>
      </c>
      <c r="Q811" t="s">
        <v>53</v>
      </c>
    </row>
    <row r="812" spans="1:17" s="30" customFormat="1" x14ac:dyDescent="0.2">
      <c r="A812" s="30">
        <f>IF(C812&amp;G812&amp;D812&lt;&gt;'Funnel setup'!$K$3&amp;'Funnel setup'!$K$4&amp;'Funnel setup'!$K$5,".",IF(A811=".",1,A811+1))</f>
        <v>108</v>
      </c>
      <c r="B812" s="431" t="str">
        <f t="shared" si="12"/>
        <v>Groin HerniaProviderHEART OF ENGLAND NHS FOUNDATION TRUST (RR1)EQ-5D Index</v>
      </c>
      <c r="C812" t="s">
        <v>50</v>
      </c>
      <c r="D812" t="s">
        <v>1</v>
      </c>
      <c r="E812" t="s">
        <v>3888</v>
      </c>
      <c r="F812" t="s">
        <v>3889</v>
      </c>
      <c r="G812" t="s">
        <v>52</v>
      </c>
      <c r="H812">
        <v>329</v>
      </c>
      <c r="I812">
        <v>0.78100000000000003</v>
      </c>
      <c r="J812">
        <v>0.878</v>
      </c>
      <c r="K812">
        <v>9.7000000000000003E-2</v>
      </c>
      <c r="L812">
        <v>185</v>
      </c>
      <c r="M812">
        <v>86</v>
      </c>
      <c r="N812">
        <v>58</v>
      </c>
      <c r="O812">
        <v>0.88700000000000001</v>
      </c>
      <c r="P812">
        <v>9.3615085000000001E-2</v>
      </c>
      <c r="Q812">
        <v>0.154</v>
      </c>
    </row>
    <row r="813" spans="1:17" s="30" customFormat="1" x14ac:dyDescent="0.2">
      <c r="A813" s="30">
        <f>IF(C813&amp;G813&amp;D813&lt;&gt;'Funnel setup'!$K$3&amp;'Funnel setup'!$K$4&amp;'Funnel setup'!$K$5,".",IF(A812=".",1,A812+1))</f>
        <v>109</v>
      </c>
      <c r="B813" s="431" t="str">
        <f t="shared" si="12"/>
        <v>Groin HerniaProviderHINCHINGBROOKE HEALTH CARE NHS TRUST (RQQ)EQ-5D Index</v>
      </c>
      <c r="C813" t="s">
        <v>50</v>
      </c>
      <c r="D813" t="s">
        <v>1</v>
      </c>
      <c r="E813" t="s">
        <v>3894</v>
      </c>
      <c r="F813" t="s">
        <v>3895</v>
      </c>
      <c r="G813" t="s">
        <v>52</v>
      </c>
      <c r="H813">
        <v>89</v>
      </c>
      <c r="I813">
        <v>0.76</v>
      </c>
      <c r="J813">
        <v>0.90500000000000003</v>
      </c>
      <c r="K813">
        <v>0.14499999999999999</v>
      </c>
      <c r="L813">
        <v>61</v>
      </c>
      <c r="M813">
        <v>19</v>
      </c>
      <c r="N813">
        <v>9</v>
      </c>
      <c r="O813">
        <v>0.90700000000000003</v>
      </c>
      <c r="P813">
        <v>0.113835114</v>
      </c>
      <c r="Q813">
        <v>0.158</v>
      </c>
    </row>
    <row r="814" spans="1:17" s="30" customFormat="1" x14ac:dyDescent="0.2">
      <c r="A814" s="30">
        <f>IF(C814&amp;G814&amp;D814&lt;&gt;'Funnel setup'!$K$3&amp;'Funnel setup'!$K$4&amp;'Funnel setup'!$K$5,".",IF(A813=".",1,A813+1))</f>
        <v>110</v>
      </c>
      <c r="B814" s="431" t="str">
        <f t="shared" si="12"/>
        <v>Groin HerniaProviderHOMERTON UNIVERSITY HOSPITAL NHS FOUNDATION TRUST (RQX)EQ-5D Index</v>
      </c>
      <c r="C814" t="s">
        <v>50</v>
      </c>
      <c r="D814" t="s">
        <v>1</v>
      </c>
      <c r="E814" t="s">
        <v>3897</v>
      </c>
      <c r="F814" t="s">
        <v>3898</v>
      </c>
      <c r="G814" t="s">
        <v>52</v>
      </c>
      <c r="H814">
        <v>29</v>
      </c>
      <c r="I814">
        <v>0.71399999999999997</v>
      </c>
      <c r="J814">
        <v>0.84899999999999998</v>
      </c>
      <c r="K814">
        <v>0.13500000000000001</v>
      </c>
      <c r="L814">
        <v>14</v>
      </c>
      <c r="M814">
        <v>8</v>
      </c>
      <c r="N814">
        <v>7</v>
      </c>
      <c r="O814" t="s">
        <v>53</v>
      </c>
      <c r="P814" t="s">
        <v>53</v>
      </c>
      <c r="Q814" t="s">
        <v>53</v>
      </c>
    </row>
    <row r="815" spans="1:17" s="30" customFormat="1" x14ac:dyDescent="0.2">
      <c r="A815" s="30">
        <f>IF(C815&amp;G815&amp;D815&lt;&gt;'Funnel setup'!$K$3&amp;'Funnel setup'!$K$4&amp;'Funnel setup'!$K$5,".",IF(A814=".",1,A814+1))</f>
        <v>111</v>
      </c>
      <c r="B815" s="431" t="str">
        <f t="shared" si="12"/>
        <v>Groin HerniaProviderHULL AND EAST YORKSHIRE HOSPITALS NHS TRUST (RWA)EQ-5D Index</v>
      </c>
      <c r="C815" t="s">
        <v>50</v>
      </c>
      <c r="D815" t="s">
        <v>1</v>
      </c>
      <c r="E815" t="s">
        <v>3906</v>
      </c>
      <c r="F815" t="s">
        <v>3907</v>
      </c>
      <c r="G815" t="s">
        <v>52</v>
      </c>
      <c r="H815">
        <v>278</v>
      </c>
      <c r="I815">
        <v>0.77400000000000002</v>
      </c>
      <c r="J815">
        <v>0.88</v>
      </c>
      <c r="K815">
        <v>0.106</v>
      </c>
      <c r="L815">
        <v>149</v>
      </c>
      <c r="M815">
        <v>90</v>
      </c>
      <c r="N815">
        <v>39</v>
      </c>
      <c r="O815">
        <v>0.89400000000000002</v>
      </c>
      <c r="P815">
        <v>0.100149804</v>
      </c>
      <c r="Q815">
        <v>0.17499999999999999</v>
      </c>
    </row>
    <row r="816" spans="1:17" s="30" customFormat="1" x14ac:dyDescent="0.2">
      <c r="A816" s="30">
        <f>IF(C816&amp;G816&amp;D816&lt;&gt;'Funnel setup'!$K$3&amp;'Funnel setup'!$K$4&amp;'Funnel setup'!$K$5,".",IF(A815=".",1,A815+1))</f>
        <v>112</v>
      </c>
      <c r="B816" s="431" t="str">
        <f t="shared" si="12"/>
        <v>Groin HerniaProviderIPSWICH HOSPITAL NHS TRUST (RGQ)EQ-5D Index</v>
      </c>
      <c r="C816" t="s">
        <v>50</v>
      </c>
      <c r="D816" t="s">
        <v>1</v>
      </c>
      <c r="E816" t="s">
        <v>3909</v>
      </c>
      <c r="F816" t="s">
        <v>3910</v>
      </c>
      <c r="G816" t="s">
        <v>52</v>
      </c>
      <c r="H816">
        <v>193</v>
      </c>
      <c r="I816">
        <v>0.77500000000000002</v>
      </c>
      <c r="J816">
        <v>0.86899999999999999</v>
      </c>
      <c r="K816">
        <v>9.2999999999999999E-2</v>
      </c>
      <c r="L816">
        <v>116</v>
      </c>
      <c r="M816">
        <v>51</v>
      </c>
      <c r="N816">
        <v>26</v>
      </c>
      <c r="O816">
        <v>0.875</v>
      </c>
      <c r="P816">
        <v>8.1525332000000006E-2</v>
      </c>
      <c r="Q816">
        <v>0.214</v>
      </c>
    </row>
    <row r="817" spans="1:17" s="30" customFormat="1" x14ac:dyDescent="0.2">
      <c r="A817" s="30">
        <f>IF(C817&amp;G817&amp;D817&lt;&gt;'Funnel setup'!$K$3&amp;'Funnel setup'!$K$4&amp;'Funnel setup'!$K$5,".",IF(A816=".",1,A816+1))</f>
        <v>113</v>
      </c>
      <c r="B817" s="431" t="str">
        <f t="shared" si="12"/>
        <v>Groin HerniaProviderISLE OF WIGHT NHS TRUST (R1F)EQ-5D Index</v>
      </c>
      <c r="C817" t="s">
        <v>50</v>
      </c>
      <c r="D817" t="s">
        <v>1</v>
      </c>
      <c r="E817" t="s">
        <v>3912</v>
      </c>
      <c r="F817" t="s">
        <v>3913</v>
      </c>
      <c r="G817" t="s">
        <v>52</v>
      </c>
      <c r="H817">
        <v>45</v>
      </c>
      <c r="I817">
        <v>0.79300000000000004</v>
      </c>
      <c r="J817">
        <v>0.89700000000000002</v>
      </c>
      <c r="K817">
        <v>0.104</v>
      </c>
      <c r="L817">
        <v>26</v>
      </c>
      <c r="M817">
        <v>13</v>
      </c>
      <c r="N817">
        <v>6</v>
      </c>
      <c r="O817">
        <v>0.91100000000000003</v>
      </c>
      <c r="P817">
        <v>0.11733144099999999</v>
      </c>
      <c r="Q817">
        <v>0.11700000000000001</v>
      </c>
    </row>
    <row r="818" spans="1:17" s="30" customFormat="1" x14ac:dyDescent="0.2">
      <c r="A818" s="30">
        <f>IF(C818&amp;G818&amp;D818&lt;&gt;'Funnel setup'!$K$3&amp;'Funnel setup'!$K$4&amp;'Funnel setup'!$K$5,".",IF(A817=".",1,A817+1))</f>
        <v>114</v>
      </c>
      <c r="B818" s="431" t="str">
        <f t="shared" si="12"/>
        <v>Groin HerniaProviderJAMES PAGET UNIVERSITY HOSPITALS NHS FOUNDATION TRUST (RGP)EQ-5D Index</v>
      </c>
      <c r="C818" t="s">
        <v>50</v>
      </c>
      <c r="D818" t="s">
        <v>1</v>
      </c>
      <c r="E818" t="s">
        <v>3915</v>
      </c>
      <c r="F818" t="s">
        <v>3916</v>
      </c>
      <c r="G818" t="s">
        <v>52</v>
      </c>
      <c r="H818">
        <v>97</v>
      </c>
      <c r="I818">
        <v>0.78500000000000003</v>
      </c>
      <c r="J818">
        <v>0.86499999999999999</v>
      </c>
      <c r="K818">
        <v>0.08</v>
      </c>
      <c r="L818">
        <v>50</v>
      </c>
      <c r="M818">
        <v>32</v>
      </c>
      <c r="N818">
        <v>15</v>
      </c>
      <c r="O818">
        <v>0.86699999999999999</v>
      </c>
      <c r="P818">
        <v>7.3444544E-2</v>
      </c>
      <c r="Q818">
        <v>0.14499999999999999</v>
      </c>
    </row>
    <row r="819" spans="1:17" s="30" customFormat="1" x14ac:dyDescent="0.2">
      <c r="A819" s="30">
        <f>IF(C819&amp;G819&amp;D819&lt;&gt;'Funnel setup'!$K$3&amp;'Funnel setup'!$K$4&amp;'Funnel setup'!$K$5,".",IF(A818=".",1,A818+1))</f>
        <v>115</v>
      </c>
      <c r="B819" s="431" t="str">
        <f t="shared" si="12"/>
        <v>Groin HerniaProviderKETTERING GENERAL HOSPITAL NHS FOUNDATION TRUST (RNQ)EQ-5D Index</v>
      </c>
      <c r="C819" t="s">
        <v>50</v>
      </c>
      <c r="D819" t="s">
        <v>1</v>
      </c>
      <c r="E819" t="s">
        <v>3918</v>
      </c>
      <c r="F819" t="s">
        <v>3919</v>
      </c>
      <c r="G819" t="s">
        <v>52</v>
      </c>
      <c r="H819">
        <v>50</v>
      </c>
      <c r="I819">
        <v>0.80200000000000005</v>
      </c>
      <c r="J819">
        <v>0.85599999999999998</v>
      </c>
      <c r="K819">
        <v>5.3999999999999999E-2</v>
      </c>
      <c r="L819">
        <v>22</v>
      </c>
      <c r="M819">
        <v>19</v>
      </c>
      <c r="N819">
        <v>9</v>
      </c>
      <c r="O819">
        <v>0.86699999999999999</v>
      </c>
      <c r="P819">
        <v>7.3450193999999996E-2</v>
      </c>
      <c r="Q819">
        <v>0.14599999999999999</v>
      </c>
    </row>
    <row r="820" spans="1:17" s="30" customFormat="1" x14ac:dyDescent="0.2">
      <c r="A820" s="30">
        <f>IF(C820&amp;G820&amp;D820&lt;&gt;'Funnel setup'!$K$3&amp;'Funnel setup'!$K$4&amp;'Funnel setup'!$K$5,".",IF(A819=".",1,A819+1))</f>
        <v>116</v>
      </c>
      <c r="B820" s="431" t="str">
        <f t="shared" si="12"/>
        <v>Groin HerniaProviderKING'S COLLEGE HOSPITAL NHS FOUNDATION TRUST (RJZ)EQ-5D Index</v>
      </c>
      <c r="C820" t="s">
        <v>50</v>
      </c>
      <c r="D820" t="s">
        <v>1</v>
      </c>
      <c r="E820" t="s">
        <v>3924</v>
      </c>
      <c r="F820" t="s">
        <v>3925</v>
      </c>
      <c r="G820" t="s">
        <v>52</v>
      </c>
      <c r="H820">
        <v>11</v>
      </c>
      <c r="I820">
        <v>0.71699999999999997</v>
      </c>
      <c r="J820">
        <v>0.73699999999999999</v>
      </c>
      <c r="K820">
        <v>0.02</v>
      </c>
      <c r="L820">
        <v>6</v>
      </c>
      <c r="M820">
        <v>1</v>
      </c>
      <c r="N820">
        <v>4</v>
      </c>
      <c r="O820" t="s">
        <v>53</v>
      </c>
      <c r="P820" t="s">
        <v>53</v>
      </c>
      <c r="Q820" t="s">
        <v>53</v>
      </c>
    </row>
    <row r="821" spans="1:17" s="30" customFormat="1" x14ac:dyDescent="0.2">
      <c r="A821" s="30">
        <f>IF(C821&amp;G821&amp;D821&lt;&gt;'Funnel setup'!$K$3&amp;'Funnel setup'!$K$4&amp;'Funnel setup'!$K$5,".",IF(A820=".",1,A820+1))</f>
        <v>117</v>
      </c>
      <c r="B821" s="431" t="str">
        <f t="shared" si="12"/>
        <v>Groin HerniaProviderLANCASHIRE TEACHING HOSPITALS NHS FOUNDATION TRUST (RXN)EQ-5D Index</v>
      </c>
      <c r="C821" t="s">
        <v>50</v>
      </c>
      <c r="D821" t="s">
        <v>1</v>
      </c>
      <c r="E821" t="s">
        <v>3567</v>
      </c>
      <c r="F821" t="s">
        <v>3568</v>
      </c>
      <c r="G821" t="s">
        <v>52</v>
      </c>
      <c r="H821">
        <v>61</v>
      </c>
      <c r="I821">
        <v>0.75600000000000001</v>
      </c>
      <c r="J821">
        <v>0.83699999999999997</v>
      </c>
      <c r="K821">
        <v>0.08</v>
      </c>
      <c r="L821">
        <v>29</v>
      </c>
      <c r="M821">
        <v>18</v>
      </c>
      <c r="N821">
        <v>14</v>
      </c>
      <c r="O821">
        <v>0.86899999999999999</v>
      </c>
      <c r="P821">
        <v>7.5516317999999999E-2</v>
      </c>
      <c r="Q821">
        <v>0.16700000000000001</v>
      </c>
    </row>
    <row r="822" spans="1:17" s="30" customFormat="1" x14ac:dyDescent="0.2">
      <c r="A822" s="30">
        <f>IF(C822&amp;G822&amp;D822&lt;&gt;'Funnel setup'!$K$3&amp;'Funnel setup'!$K$4&amp;'Funnel setup'!$K$5,".",IF(A821=".",1,A821+1))</f>
        <v>118</v>
      </c>
      <c r="B822" s="431" t="str">
        <f t="shared" si="12"/>
        <v>Groin HerniaProviderLEEDS TEACHING HOSPITALS NHS TRUST (RR8)EQ-5D Index</v>
      </c>
      <c r="C822" t="s">
        <v>50</v>
      </c>
      <c r="D822" t="s">
        <v>1</v>
      </c>
      <c r="E822" t="s">
        <v>3930</v>
      </c>
      <c r="F822" t="s">
        <v>344</v>
      </c>
      <c r="G822" t="s">
        <v>52</v>
      </c>
      <c r="H822">
        <v>101</v>
      </c>
      <c r="I822">
        <v>0.80500000000000005</v>
      </c>
      <c r="J822">
        <v>0.89300000000000002</v>
      </c>
      <c r="K822">
        <v>8.6999999999999994E-2</v>
      </c>
      <c r="L822">
        <v>51</v>
      </c>
      <c r="M822">
        <v>35</v>
      </c>
      <c r="N822">
        <v>15</v>
      </c>
      <c r="O822">
        <v>0.88500000000000001</v>
      </c>
      <c r="P822">
        <v>9.1534189000000002E-2</v>
      </c>
      <c r="Q822">
        <v>0.105</v>
      </c>
    </row>
    <row r="823" spans="1:17" s="30" customFormat="1" x14ac:dyDescent="0.2">
      <c r="A823" s="30">
        <f>IF(C823&amp;G823&amp;D823&lt;&gt;'Funnel setup'!$K$3&amp;'Funnel setup'!$K$4&amp;'Funnel setup'!$K$5,".",IF(A822=".",1,A822+1))</f>
        <v>119</v>
      </c>
      <c r="B823" s="431" t="str">
        <f t="shared" si="12"/>
        <v>Groin HerniaProviderLEWISHAM AND GREENWICH NHS TRUST (RJ2)EQ-5D Index</v>
      </c>
      <c r="C823" t="s">
        <v>50</v>
      </c>
      <c r="D823" t="s">
        <v>1</v>
      </c>
      <c r="E823" t="s">
        <v>3522</v>
      </c>
      <c r="F823" t="s">
        <v>3523</v>
      </c>
      <c r="G823" t="s">
        <v>52</v>
      </c>
      <c r="H823">
        <v>49</v>
      </c>
      <c r="I823">
        <v>0.625</v>
      </c>
      <c r="J823">
        <v>0.70799999999999996</v>
      </c>
      <c r="K823">
        <v>8.3000000000000004E-2</v>
      </c>
      <c r="L823">
        <v>23</v>
      </c>
      <c r="M823">
        <v>11</v>
      </c>
      <c r="N823">
        <v>15</v>
      </c>
      <c r="O823">
        <v>0.79300000000000004</v>
      </c>
      <c r="P823" s="574">
        <v>-6.2145199999999996E-5</v>
      </c>
      <c r="Q823">
        <v>0.255</v>
      </c>
    </row>
    <row r="824" spans="1:17" s="30" customFormat="1" x14ac:dyDescent="0.2">
      <c r="A824" s="30">
        <f>IF(C824&amp;G824&amp;D824&lt;&gt;'Funnel setup'!$K$3&amp;'Funnel setup'!$K$4&amp;'Funnel setup'!$K$5,".",IF(A823=".",1,A823+1))</f>
        <v>120</v>
      </c>
      <c r="B824" s="431" t="str">
        <f t="shared" si="12"/>
        <v>Groin HerniaProviderLONDON NORTH WEST HEALTHCARE NHS TRUST (R1K)EQ-5D Index</v>
      </c>
      <c r="C824" t="s">
        <v>50</v>
      </c>
      <c r="D824" t="s">
        <v>1</v>
      </c>
      <c r="E824" t="s">
        <v>6515</v>
      </c>
      <c r="F824" t="s">
        <v>6516</v>
      </c>
      <c r="G824" t="s">
        <v>52</v>
      </c>
      <c r="H824">
        <v>47</v>
      </c>
      <c r="I824">
        <v>0.72899999999999998</v>
      </c>
      <c r="J824">
        <v>0.76900000000000002</v>
      </c>
      <c r="K824">
        <v>0.04</v>
      </c>
      <c r="L824">
        <v>20</v>
      </c>
      <c r="M824">
        <v>9</v>
      </c>
      <c r="N824">
        <v>18</v>
      </c>
      <c r="O824">
        <v>0.82499999999999996</v>
      </c>
      <c r="P824">
        <v>3.1995728000000001E-2</v>
      </c>
      <c r="Q824">
        <v>0.214</v>
      </c>
    </row>
    <row r="825" spans="1:17" s="30" customFormat="1" x14ac:dyDescent="0.2">
      <c r="A825" s="30">
        <f>IF(C825&amp;G825&amp;D825&lt;&gt;'Funnel setup'!$K$3&amp;'Funnel setup'!$K$4&amp;'Funnel setup'!$K$5,".",IF(A824=".",1,A824+1))</f>
        <v>121</v>
      </c>
      <c r="B825" s="431" t="str">
        <f t="shared" si="12"/>
        <v>Groin HerniaProviderLUTON AND DUNSTABLE UNIVERSITY HOSPITAL NHS FOUNDATION TRUST (RC9)EQ-5D Index</v>
      </c>
      <c r="C825" t="s">
        <v>50</v>
      </c>
      <c r="D825" t="s">
        <v>1</v>
      </c>
      <c r="E825" t="s">
        <v>3528</v>
      </c>
      <c r="F825" t="s">
        <v>3529</v>
      </c>
      <c r="G825" t="s">
        <v>52</v>
      </c>
      <c r="H825">
        <v>122</v>
      </c>
      <c r="I825">
        <v>0.78100000000000003</v>
      </c>
      <c r="J825">
        <v>0.86899999999999999</v>
      </c>
      <c r="K825">
        <v>8.7999999999999995E-2</v>
      </c>
      <c r="L825">
        <v>64</v>
      </c>
      <c r="M825">
        <v>41</v>
      </c>
      <c r="N825">
        <v>17</v>
      </c>
      <c r="O825">
        <v>0.878</v>
      </c>
      <c r="P825">
        <v>8.4408456000000007E-2</v>
      </c>
      <c r="Q825">
        <v>0.154</v>
      </c>
    </row>
    <row r="826" spans="1:17" s="30" customFormat="1" x14ac:dyDescent="0.2">
      <c r="A826" s="30">
        <f>IF(C826&amp;G826&amp;D826&lt;&gt;'Funnel setup'!$K$3&amp;'Funnel setup'!$K$4&amp;'Funnel setup'!$K$5,".",IF(A825=".",1,A825+1))</f>
        <v>122</v>
      </c>
      <c r="B826" s="431" t="str">
        <f t="shared" si="12"/>
        <v>Groin HerniaProviderMAIDSTONE AND TUNBRIDGE WELLS NHS TRUST (RWF)EQ-5D Index</v>
      </c>
      <c r="C826" t="s">
        <v>50</v>
      </c>
      <c r="D826" t="s">
        <v>1</v>
      </c>
      <c r="E826" t="s">
        <v>3627</v>
      </c>
      <c r="F826" t="s">
        <v>3628</v>
      </c>
      <c r="G826" t="s">
        <v>52</v>
      </c>
      <c r="H826">
        <v>37</v>
      </c>
      <c r="I826">
        <v>0.77</v>
      </c>
      <c r="J826">
        <v>0.874</v>
      </c>
      <c r="K826">
        <v>0.104</v>
      </c>
      <c r="L826">
        <v>25</v>
      </c>
      <c r="M826">
        <v>7</v>
      </c>
      <c r="N826">
        <v>5</v>
      </c>
      <c r="O826">
        <v>0.88100000000000001</v>
      </c>
      <c r="P826">
        <v>8.7700679000000004E-2</v>
      </c>
      <c r="Q826">
        <v>0.247</v>
      </c>
    </row>
    <row r="827" spans="1:17" s="30" customFormat="1" x14ac:dyDescent="0.2">
      <c r="A827" s="30">
        <f>IF(C827&amp;G827&amp;D827&lt;&gt;'Funnel setup'!$K$3&amp;'Funnel setup'!$K$4&amp;'Funnel setup'!$K$5,".",IF(A826=".",1,A826+1))</f>
        <v>123</v>
      </c>
      <c r="B827" s="431" t="str">
        <f t="shared" si="12"/>
        <v>Groin HerniaProviderMEDWAY NHS FOUNDATION TRUST (RPA)EQ-5D Index</v>
      </c>
      <c r="C827" t="s">
        <v>50</v>
      </c>
      <c r="D827" t="s">
        <v>1</v>
      </c>
      <c r="E827" t="s">
        <v>3630</v>
      </c>
      <c r="F827" t="s">
        <v>3631</v>
      </c>
      <c r="G827" t="s">
        <v>52</v>
      </c>
      <c r="H827">
        <v>47</v>
      </c>
      <c r="I827">
        <v>0.71</v>
      </c>
      <c r="J827">
        <v>0.871</v>
      </c>
      <c r="K827">
        <v>0.16200000000000001</v>
      </c>
      <c r="L827">
        <v>34</v>
      </c>
      <c r="M827">
        <v>7</v>
      </c>
      <c r="N827">
        <v>6</v>
      </c>
      <c r="O827">
        <v>0.92100000000000004</v>
      </c>
      <c r="P827">
        <v>0.12806562099999999</v>
      </c>
      <c r="Q827">
        <v>0.13500000000000001</v>
      </c>
    </row>
    <row r="828" spans="1:17" s="30" customFormat="1" x14ac:dyDescent="0.2">
      <c r="A828" s="30">
        <f>IF(C828&amp;G828&amp;D828&lt;&gt;'Funnel setup'!$K$3&amp;'Funnel setup'!$K$4&amp;'Funnel setup'!$K$5,".",IF(A827=".",1,A827+1))</f>
        <v>124</v>
      </c>
      <c r="B828" s="431" t="str">
        <f t="shared" si="12"/>
        <v>Groin HerniaProviderMID CHESHIRE HOSPITALS NHS FOUNDATION TRUST (RBT)EQ-5D Index</v>
      </c>
      <c r="C828" t="s">
        <v>50</v>
      </c>
      <c r="D828" t="s">
        <v>1</v>
      </c>
      <c r="E828" t="s">
        <v>3633</v>
      </c>
      <c r="F828" t="s">
        <v>342</v>
      </c>
      <c r="G828" t="s">
        <v>52</v>
      </c>
      <c r="H828">
        <v>161</v>
      </c>
      <c r="I828">
        <v>0.81799999999999995</v>
      </c>
      <c r="J828">
        <v>0.88100000000000001</v>
      </c>
      <c r="K828">
        <v>6.3E-2</v>
      </c>
      <c r="L828">
        <v>69</v>
      </c>
      <c r="M828">
        <v>54</v>
      </c>
      <c r="N828">
        <v>38</v>
      </c>
      <c r="O828">
        <v>0.86599999999999999</v>
      </c>
      <c r="P828">
        <v>7.2851709000000001E-2</v>
      </c>
      <c r="Q828">
        <v>0.151</v>
      </c>
    </row>
    <row r="829" spans="1:17" s="30" customFormat="1" x14ac:dyDescent="0.2">
      <c r="A829" s="30">
        <f>IF(C829&amp;G829&amp;D829&lt;&gt;'Funnel setup'!$K$3&amp;'Funnel setup'!$K$4&amp;'Funnel setup'!$K$5,".",IF(A828=".",1,A828+1))</f>
        <v>125</v>
      </c>
      <c r="B829" s="431" t="str">
        <f t="shared" si="12"/>
        <v>Groin HerniaProviderMID ESSEX HOSPITAL SERVICES NHS TRUST (RQ8)EQ-5D Index</v>
      </c>
      <c r="C829" t="s">
        <v>50</v>
      </c>
      <c r="D829" t="s">
        <v>1</v>
      </c>
      <c r="E829" t="s">
        <v>3635</v>
      </c>
      <c r="F829" t="s">
        <v>3636</v>
      </c>
      <c r="G829" t="s">
        <v>52</v>
      </c>
      <c r="H829">
        <v>56</v>
      </c>
      <c r="I829">
        <v>0.79100000000000004</v>
      </c>
      <c r="J829">
        <v>0.88500000000000001</v>
      </c>
      <c r="K829">
        <v>9.4E-2</v>
      </c>
      <c r="L829">
        <v>30</v>
      </c>
      <c r="M829">
        <v>14</v>
      </c>
      <c r="N829">
        <v>12</v>
      </c>
      <c r="O829">
        <v>0.89300000000000002</v>
      </c>
      <c r="P829">
        <v>9.9617537000000006E-2</v>
      </c>
      <c r="Q829">
        <v>0.153</v>
      </c>
    </row>
    <row r="830" spans="1:17" s="30" customFormat="1" x14ac:dyDescent="0.2">
      <c r="A830" s="30">
        <f>IF(C830&amp;G830&amp;D830&lt;&gt;'Funnel setup'!$K$3&amp;'Funnel setup'!$K$4&amp;'Funnel setup'!$K$5,".",IF(A829=".",1,A829+1))</f>
        <v>126</v>
      </c>
      <c r="B830" s="431" t="str">
        <f t="shared" si="12"/>
        <v>Groin HerniaProviderMID STAFFORDSHIRE NHS FOUNDATION TRUST (RJD)EQ-5D Index</v>
      </c>
      <c r="C830" t="s">
        <v>50</v>
      </c>
      <c r="D830" t="s">
        <v>1</v>
      </c>
      <c r="E830" t="s">
        <v>3638</v>
      </c>
      <c r="F830" t="s">
        <v>3639</v>
      </c>
      <c r="G830" t="s">
        <v>52</v>
      </c>
      <c r="H830">
        <v>90</v>
      </c>
      <c r="I830">
        <v>0.76900000000000002</v>
      </c>
      <c r="J830">
        <v>0.88300000000000001</v>
      </c>
      <c r="K830">
        <v>0.114</v>
      </c>
      <c r="L830">
        <v>59</v>
      </c>
      <c r="M830">
        <v>17</v>
      </c>
      <c r="N830">
        <v>14</v>
      </c>
      <c r="O830">
        <v>0.88400000000000001</v>
      </c>
      <c r="P830">
        <v>9.0840900000000002E-2</v>
      </c>
      <c r="Q830">
        <v>0.16900000000000001</v>
      </c>
    </row>
    <row r="831" spans="1:17" s="30" customFormat="1" x14ac:dyDescent="0.2">
      <c r="A831" s="30">
        <f>IF(C831&amp;G831&amp;D831&lt;&gt;'Funnel setup'!$K$3&amp;'Funnel setup'!$K$4&amp;'Funnel setup'!$K$5,".",IF(A830=".",1,A830+1))</f>
        <v>127</v>
      </c>
      <c r="B831" s="431" t="str">
        <f t="shared" si="12"/>
        <v>Groin HerniaProviderMID YORKSHIRE HOSPITALS NHS TRUST (RXF)EQ-5D Index</v>
      </c>
      <c r="C831" t="s">
        <v>50</v>
      </c>
      <c r="D831" t="s">
        <v>1</v>
      </c>
      <c r="E831" t="s">
        <v>3641</v>
      </c>
      <c r="F831" t="s">
        <v>3642</v>
      </c>
      <c r="G831" t="s">
        <v>52</v>
      </c>
      <c r="H831">
        <v>164</v>
      </c>
      <c r="I831">
        <v>0.84599999999999997</v>
      </c>
      <c r="J831">
        <v>0.86599999999999999</v>
      </c>
      <c r="K831">
        <v>0.02</v>
      </c>
      <c r="L831">
        <v>57</v>
      </c>
      <c r="M831">
        <v>68</v>
      </c>
      <c r="N831">
        <v>39</v>
      </c>
      <c r="O831">
        <v>0.85899999999999999</v>
      </c>
      <c r="P831">
        <v>6.5627817000000005E-2</v>
      </c>
      <c r="Q831">
        <v>0.158</v>
      </c>
    </row>
    <row r="832" spans="1:17" s="30" customFormat="1" x14ac:dyDescent="0.2">
      <c r="A832" s="30">
        <f>IF(C832&amp;G832&amp;D832&lt;&gt;'Funnel setup'!$K$3&amp;'Funnel setup'!$K$4&amp;'Funnel setup'!$K$5,".",IF(A831=".",1,A831+1))</f>
        <v>128</v>
      </c>
      <c r="B832" s="431" t="str">
        <f t="shared" si="12"/>
        <v>Groin HerniaProviderMILTON KEYNES UNIVERSITY HOSPITAL NHS FOUNDATION TRUST (RD8)EQ-5D Index</v>
      </c>
      <c r="C832" t="s">
        <v>50</v>
      </c>
      <c r="D832" t="s">
        <v>1</v>
      </c>
      <c r="E832" t="s">
        <v>3643</v>
      </c>
      <c r="F832" t="s">
        <v>6580</v>
      </c>
      <c r="G832" t="s">
        <v>52</v>
      </c>
      <c r="H832">
        <v>58</v>
      </c>
      <c r="I832">
        <v>0.77500000000000002</v>
      </c>
      <c r="J832">
        <v>0.8</v>
      </c>
      <c r="K832">
        <v>2.5000000000000001E-2</v>
      </c>
      <c r="L832">
        <v>30</v>
      </c>
      <c r="M832">
        <v>11</v>
      </c>
      <c r="N832">
        <v>17</v>
      </c>
      <c r="O832">
        <v>0.82299999999999995</v>
      </c>
      <c r="P832">
        <v>3.0097684E-2</v>
      </c>
      <c r="Q832">
        <v>0.217</v>
      </c>
    </row>
    <row r="833" spans="1:17" s="30" customFormat="1" x14ac:dyDescent="0.2">
      <c r="A833" s="30">
        <f>IF(C833&amp;G833&amp;D833&lt;&gt;'Funnel setup'!$K$3&amp;'Funnel setup'!$K$4&amp;'Funnel setup'!$K$5,".",IF(A832=".",1,A832+1))</f>
        <v>129</v>
      </c>
      <c r="B833" s="431" t="str">
        <f t="shared" si="12"/>
        <v>Groin HerniaProviderMOUNT STUART HOSPITAL (NVC08)EQ-5D Index</v>
      </c>
      <c r="C833" t="s">
        <v>50</v>
      </c>
      <c r="D833" t="s">
        <v>1</v>
      </c>
      <c r="E833" t="s">
        <v>3645</v>
      </c>
      <c r="F833" t="s">
        <v>3646</v>
      </c>
      <c r="G833" t="s">
        <v>52</v>
      </c>
      <c r="H833">
        <v>126</v>
      </c>
      <c r="I833">
        <v>0.86199999999999999</v>
      </c>
      <c r="J833">
        <v>0.91500000000000004</v>
      </c>
      <c r="K833">
        <v>5.1999999999999998E-2</v>
      </c>
      <c r="L833">
        <v>52</v>
      </c>
      <c r="M833">
        <v>50</v>
      </c>
      <c r="N833">
        <v>24</v>
      </c>
      <c r="O833">
        <v>0.873</v>
      </c>
      <c r="P833">
        <v>7.9292324999999997E-2</v>
      </c>
      <c r="Q833">
        <v>0.121</v>
      </c>
    </row>
    <row r="834" spans="1:17" s="30" customFormat="1" x14ac:dyDescent="0.2">
      <c r="A834" s="30">
        <f>IF(C834&amp;G834&amp;D834&lt;&gt;'Funnel setup'!$K$3&amp;'Funnel setup'!$K$4&amp;'Funnel setup'!$K$5,".",IF(A833=".",1,A833+1))</f>
        <v>130</v>
      </c>
      <c r="B834" s="431" t="str">
        <f t="shared" si="12"/>
        <v>Groin HerniaProviderNEW HALL HOSPITAL (NVC09)EQ-5D Index</v>
      </c>
      <c r="C834" t="s">
        <v>50</v>
      </c>
      <c r="D834" t="s">
        <v>1</v>
      </c>
      <c r="E834" t="s">
        <v>3648</v>
      </c>
      <c r="F834" t="s">
        <v>3649</v>
      </c>
      <c r="G834" t="s">
        <v>52</v>
      </c>
      <c r="H834">
        <v>14</v>
      </c>
      <c r="I834">
        <v>0.84199999999999997</v>
      </c>
      <c r="J834">
        <v>0.95399999999999996</v>
      </c>
      <c r="K834">
        <v>0.112</v>
      </c>
      <c r="L834">
        <v>9</v>
      </c>
      <c r="M834">
        <v>4</v>
      </c>
      <c r="N834">
        <v>1</v>
      </c>
      <c r="O834" t="s">
        <v>53</v>
      </c>
      <c r="P834" t="s">
        <v>53</v>
      </c>
      <c r="Q834" t="s">
        <v>53</v>
      </c>
    </row>
    <row r="835" spans="1:17" s="30" customFormat="1" x14ac:dyDescent="0.2">
      <c r="A835" s="30">
        <f>IF(C835&amp;G835&amp;D835&lt;&gt;'Funnel setup'!$K$3&amp;'Funnel setup'!$K$4&amp;'Funnel setup'!$K$5,".",IF(A834=".",1,A834+1))</f>
        <v>131</v>
      </c>
      <c r="B835" s="431" t="str">
        <f t="shared" ref="B835:B898" si="13">C835&amp;D835&amp;F835&amp;G835</f>
        <v>Groin HerniaProviderNORFOLK AND NORWICH UNIVERSITY HOSPITALS NHS FOUNDATION TRUST (RM1)EQ-5D Index</v>
      </c>
      <c r="C835" t="s">
        <v>50</v>
      </c>
      <c r="D835" t="s">
        <v>1</v>
      </c>
      <c r="E835" t="s">
        <v>3651</v>
      </c>
      <c r="F835" t="s">
        <v>3652</v>
      </c>
      <c r="G835" t="s">
        <v>52</v>
      </c>
      <c r="H835">
        <v>382</v>
      </c>
      <c r="I835">
        <v>0.76800000000000002</v>
      </c>
      <c r="J835">
        <v>0.89200000000000002</v>
      </c>
      <c r="K835">
        <v>0.124</v>
      </c>
      <c r="L835">
        <v>232</v>
      </c>
      <c r="M835">
        <v>105</v>
      </c>
      <c r="N835">
        <v>45</v>
      </c>
      <c r="O835">
        <v>0.89200000000000002</v>
      </c>
      <c r="P835">
        <v>9.8217831000000005E-2</v>
      </c>
      <c r="Q835">
        <v>0.13800000000000001</v>
      </c>
    </row>
    <row r="836" spans="1:17" s="30" customFormat="1" x14ac:dyDescent="0.2">
      <c r="A836" s="30">
        <f>IF(C836&amp;G836&amp;D836&lt;&gt;'Funnel setup'!$K$3&amp;'Funnel setup'!$K$4&amp;'Funnel setup'!$K$5,".",IF(A835=".",1,A835+1))</f>
        <v>132</v>
      </c>
      <c r="B836" s="431" t="str">
        <f t="shared" si="13"/>
        <v>Groin HerniaProviderNORTH BRISTOL NHS TRUST (RVJ)EQ-5D Index</v>
      </c>
      <c r="C836" t="s">
        <v>50</v>
      </c>
      <c r="D836" t="s">
        <v>1</v>
      </c>
      <c r="E836" t="s">
        <v>3654</v>
      </c>
      <c r="F836" t="s">
        <v>3655</v>
      </c>
      <c r="G836" t="s">
        <v>52</v>
      </c>
      <c r="H836">
        <v>9</v>
      </c>
      <c r="I836">
        <v>0.81399999999999995</v>
      </c>
      <c r="J836">
        <v>0.96</v>
      </c>
      <c r="K836">
        <v>0.14699999999999999</v>
      </c>
      <c r="L836">
        <v>6</v>
      </c>
      <c r="M836">
        <v>3</v>
      </c>
      <c r="N836">
        <v>0</v>
      </c>
      <c r="O836" t="s">
        <v>53</v>
      </c>
      <c r="P836" t="s">
        <v>53</v>
      </c>
      <c r="Q836" t="s">
        <v>53</v>
      </c>
    </row>
    <row r="837" spans="1:17" s="30" customFormat="1" x14ac:dyDescent="0.2">
      <c r="A837" s="30">
        <f>IF(C837&amp;G837&amp;D837&lt;&gt;'Funnel setup'!$K$3&amp;'Funnel setup'!$K$4&amp;'Funnel setup'!$K$5,".",IF(A836=".",1,A836+1))</f>
        <v>133</v>
      </c>
      <c r="B837" s="431" t="str">
        <f t="shared" si="13"/>
        <v>Groin HerniaProviderNORTH CUMBRIA UNIVERSITY HOSPITALS NHS TRUST (RNL)EQ-5D Index</v>
      </c>
      <c r="C837" t="s">
        <v>50</v>
      </c>
      <c r="D837" t="s">
        <v>1</v>
      </c>
      <c r="E837" t="s">
        <v>3657</v>
      </c>
      <c r="F837" t="s">
        <v>3658</v>
      </c>
      <c r="G837" t="s">
        <v>52</v>
      </c>
      <c r="H837">
        <v>88</v>
      </c>
      <c r="I837">
        <v>0.81100000000000005</v>
      </c>
      <c r="J837">
        <v>0.85599999999999998</v>
      </c>
      <c r="K837">
        <v>4.4999999999999998E-2</v>
      </c>
      <c r="L837">
        <v>38</v>
      </c>
      <c r="M837">
        <v>28</v>
      </c>
      <c r="N837">
        <v>22</v>
      </c>
      <c r="O837">
        <v>0.84799999999999998</v>
      </c>
      <c r="P837">
        <v>5.4190055000000001E-2</v>
      </c>
      <c r="Q837">
        <v>0.21199999999999999</v>
      </c>
    </row>
    <row r="838" spans="1:17" s="30" customFormat="1" x14ac:dyDescent="0.2">
      <c r="A838" s="30">
        <f>IF(C838&amp;G838&amp;D838&lt;&gt;'Funnel setup'!$K$3&amp;'Funnel setup'!$K$4&amp;'Funnel setup'!$K$5,".",IF(A837=".",1,A837+1))</f>
        <v>134</v>
      </c>
      <c r="B838" s="431" t="str">
        <f t="shared" si="13"/>
        <v>Groin HerniaProviderNORTH DOWNS HOSPITAL (NVC11)EQ-5D Index</v>
      </c>
      <c r="C838" t="s">
        <v>50</v>
      </c>
      <c r="D838" t="s">
        <v>1</v>
      </c>
      <c r="E838" t="s">
        <v>3660</v>
      </c>
      <c r="F838" t="s">
        <v>3661</v>
      </c>
      <c r="G838" t="s">
        <v>52</v>
      </c>
      <c r="H838">
        <v>34</v>
      </c>
      <c r="I838">
        <v>0.84599999999999997</v>
      </c>
      <c r="J838">
        <v>0.88400000000000001</v>
      </c>
      <c r="K838">
        <v>3.7999999999999999E-2</v>
      </c>
      <c r="L838">
        <v>15</v>
      </c>
      <c r="M838">
        <v>13</v>
      </c>
      <c r="N838">
        <v>6</v>
      </c>
      <c r="O838">
        <v>0.84399999999999997</v>
      </c>
      <c r="P838">
        <v>5.0259881999999999E-2</v>
      </c>
      <c r="Q838">
        <v>0.14799999999999999</v>
      </c>
    </row>
    <row r="839" spans="1:17" s="30" customFormat="1" x14ac:dyDescent="0.2">
      <c r="A839" s="30">
        <f>IF(C839&amp;G839&amp;D839&lt;&gt;'Funnel setup'!$K$3&amp;'Funnel setup'!$K$4&amp;'Funnel setup'!$K$5,".",IF(A838=".",1,A838+1))</f>
        <v>135</v>
      </c>
      <c r="B839" s="431" t="str">
        <f t="shared" si="13"/>
        <v>Groin HerniaProviderNORTH EAST LONDON TREATMENT CENTRE CARE UK (NTP15)EQ-5D Index</v>
      </c>
      <c r="C839" t="s">
        <v>50</v>
      </c>
      <c r="D839" t="s">
        <v>1</v>
      </c>
      <c r="E839" t="s">
        <v>3663</v>
      </c>
      <c r="F839" t="s">
        <v>3664</v>
      </c>
      <c r="G839" t="s">
        <v>52</v>
      </c>
      <c r="H839">
        <v>71</v>
      </c>
      <c r="I839">
        <v>0.79</v>
      </c>
      <c r="J839">
        <v>0.85899999999999999</v>
      </c>
      <c r="K839">
        <v>7.0000000000000007E-2</v>
      </c>
      <c r="L839">
        <v>35</v>
      </c>
      <c r="M839">
        <v>22</v>
      </c>
      <c r="N839">
        <v>14</v>
      </c>
      <c r="O839">
        <v>0.86199999999999999</v>
      </c>
      <c r="P839">
        <v>6.8836907000000003E-2</v>
      </c>
      <c r="Q839">
        <v>0.14199999999999999</v>
      </c>
    </row>
    <row r="840" spans="1:17" s="30" customFormat="1" x14ac:dyDescent="0.2">
      <c r="A840" s="30">
        <f>IF(C840&amp;G840&amp;D840&lt;&gt;'Funnel setup'!$K$3&amp;'Funnel setup'!$K$4&amp;'Funnel setup'!$K$5,".",IF(A839=".",1,A839+1))</f>
        <v>136</v>
      </c>
      <c r="B840" s="431" t="str">
        <f t="shared" si="13"/>
        <v>Groin HerniaProviderNORTH MIDDLESEX UNIVERSITY HOSPITAL NHS TRUST (RAP)EQ-5D Index</v>
      </c>
      <c r="C840" t="s">
        <v>50</v>
      </c>
      <c r="D840" t="s">
        <v>1</v>
      </c>
      <c r="E840" t="s">
        <v>3666</v>
      </c>
      <c r="F840" t="s">
        <v>3667</v>
      </c>
      <c r="G840" t="s">
        <v>52</v>
      </c>
      <c r="H840">
        <v>34</v>
      </c>
      <c r="I840">
        <v>0.69699999999999995</v>
      </c>
      <c r="J840">
        <v>0.82</v>
      </c>
      <c r="K840">
        <v>0.123</v>
      </c>
      <c r="L840">
        <v>18</v>
      </c>
      <c r="M840">
        <v>7</v>
      </c>
      <c r="N840">
        <v>9</v>
      </c>
      <c r="O840">
        <v>0.86899999999999999</v>
      </c>
      <c r="P840">
        <v>7.5956009000000005E-2</v>
      </c>
      <c r="Q840">
        <v>0.19700000000000001</v>
      </c>
    </row>
    <row r="841" spans="1:17" s="30" customFormat="1" x14ac:dyDescent="0.2">
      <c r="A841" s="30">
        <f>IF(C841&amp;G841&amp;D841&lt;&gt;'Funnel setup'!$K$3&amp;'Funnel setup'!$K$4&amp;'Funnel setup'!$K$5,".",IF(A840=".",1,A840+1))</f>
        <v>137</v>
      </c>
      <c r="B841" s="431" t="str">
        <f t="shared" si="13"/>
        <v>Groin HerniaProviderNORTH TEES AND HARTLEPOOL NHS FOUNDATION TRUST (RVW)EQ-5D Index</v>
      </c>
      <c r="C841" t="s">
        <v>50</v>
      </c>
      <c r="D841" t="s">
        <v>1</v>
      </c>
      <c r="E841" t="s">
        <v>3669</v>
      </c>
      <c r="F841" t="s">
        <v>3670</v>
      </c>
      <c r="G841" t="s">
        <v>52</v>
      </c>
      <c r="H841">
        <v>113</v>
      </c>
      <c r="I841">
        <v>0.79</v>
      </c>
      <c r="J841">
        <v>0.81799999999999995</v>
      </c>
      <c r="K841">
        <v>2.8000000000000001E-2</v>
      </c>
      <c r="L841">
        <v>45</v>
      </c>
      <c r="M841">
        <v>39</v>
      </c>
      <c r="N841">
        <v>29</v>
      </c>
      <c r="O841">
        <v>0.83799999999999997</v>
      </c>
      <c r="P841">
        <v>4.4371046999999997E-2</v>
      </c>
      <c r="Q841">
        <v>0.158</v>
      </c>
    </row>
    <row r="842" spans="1:17" s="30" customFormat="1" x14ac:dyDescent="0.2">
      <c r="A842" s="30">
        <f>IF(C842&amp;G842&amp;D842&lt;&gt;'Funnel setup'!$K$3&amp;'Funnel setup'!$K$4&amp;'Funnel setup'!$K$5,".",IF(A841=".",1,A841+1))</f>
        <v>138</v>
      </c>
      <c r="B842" s="431" t="str">
        <f t="shared" si="13"/>
        <v>Groin HerniaProviderNORTHAMPTON GENERAL HOSPITAL NHS TRUST (RNS)EQ-5D Index</v>
      </c>
      <c r="C842" t="s">
        <v>50</v>
      </c>
      <c r="D842" t="s">
        <v>1</v>
      </c>
      <c r="E842" t="s">
        <v>3675</v>
      </c>
      <c r="F842" t="s">
        <v>3676</v>
      </c>
      <c r="G842" t="s">
        <v>52</v>
      </c>
      <c r="H842">
        <v>81</v>
      </c>
      <c r="I842">
        <v>0.73399999999999999</v>
      </c>
      <c r="J842">
        <v>0.86299999999999999</v>
      </c>
      <c r="K842">
        <v>0.129</v>
      </c>
      <c r="L842">
        <v>47</v>
      </c>
      <c r="M842">
        <v>21</v>
      </c>
      <c r="N842">
        <v>13</v>
      </c>
      <c r="O842">
        <v>0.89300000000000002</v>
      </c>
      <c r="P842">
        <v>9.9514200999999997E-2</v>
      </c>
      <c r="Q842">
        <v>0.20399999999999999</v>
      </c>
    </row>
    <row r="843" spans="1:17" s="30" customFormat="1" x14ac:dyDescent="0.2">
      <c r="A843" s="30">
        <f>IF(C843&amp;G843&amp;D843&lt;&gt;'Funnel setup'!$K$3&amp;'Funnel setup'!$K$4&amp;'Funnel setup'!$K$5,".",IF(A842=".",1,A842+1))</f>
        <v>139</v>
      </c>
      <c r="B843" s="431" t="str">
        <f t="shared" si="13"/>
        <v>Groin HerniaProviderNORTHERN DEVON HEALTHCARE NHS TRUST (RBZ)EQ-5D Index</v>
      </c>
      <c r="C843" t="s">
        <v>50</v>
      </c>
      <c r="D843" t="s">
        <v>1</v>
      </c>
      <c r="E843" t="s">
        <v>3678</v>
      </c>
      <c r="F843" t="s">
        <v>3679</v>
      </c>
      <c r="G843" t="s">
        <v>52</v>
      </c>
      <c r="H843">
        <v>156</v>
      </c>
      <c r="I843">
        <v>0.76300000000000001</v>
      </c>
      <c r="J843">
        <v>0.86799999999999999</v>
      </c>
      <c r="K843">
        <v>0.105</v>
      </c>
      <c r="L843">
        <v>95</v>
      </c>
      <c r="M843">
        <v>38</v>
      </c>
      <c r="N843">
        <v>23</v>
      </c>
      <c r="O843">
        <v>0.872</v>
      </c>
      <c r="P843">
        <v>7.8711932999999998E-2</v>
      </c>
      <c r="Q843">
        <v>0.158</v>
      </c>
    </row>
    <row r="844" spans="1:17" s="30" customFormat="1" x14ac:dyDescent="0.2">
      <c r="A844" s="30">
        <f>IF(C844&amp;G844&amp;D844&lt;&gt;'Funnel setup'!$K$3&amp;'Funnel setup'!$K$4&amp;'Funnel setup'!$K$5,".",IF(A843=".",1,A843+1))</f>
        <v>140</v>
      </c>
      <c r="B844" s="431" t="str">
        <f t="shared" si="13"/>
        <v>Groin HerniaProviderNORTHERN LINCOLNSHIRE AND GOOLE NHS FOUNDATION TRUST (RJL)EQ-5D Index</v>
      </c>
      <c r="C844" t="s">
        <v>50</v>
      </c>
      <c r="D844" t="s">
        <v>1</v>
      </c>
      <c r="E844" t="s">
        <v>3681</v>
      </c>
      <c r="F844" t="s">
        <v>3682</v>
      </c>
      <c r="G844" t="s">
        <v>52</v>
      </c>
      <c r="H844">
        <v>132</v>
      </c>
      <c r="I844">
        <v>0.71</v>
      </c>
      <c r="J844">
        <v>0.84399999999999997</v>
      </c>
      <c r="K844">
        <v>0.13300000000000001</v>
      </c>
      <c r="L844">
        <v>86</v>
      </c>
      <c r="M844">
        <v>33</v>
      </c>
      <c r="N844">
        <v>13</v>
      </c>
      <c r="O844">
        <v>0.88</v>
      </c>
      <c r="P844">
        <v>8.7008800999999997E-2</v>
      </c>
      <c r="Q844">
        <v>0.161</v>
      </c>
    </row>
    <row r="845" spans="1:17" s="30" customFormat="1" x14ac:dyDescent="0.2">
      <c r="A845" s="30">
        <f>IF(C845&amp;G845&amp;D845&lt;&gt;'Funnel setup'!$K$3&amp;'Funnel setup'!$K$4&amp;'Funnel setup'!$K$5,".",IF(A844=".",1,A844+1))</f>
        <v>141</v>
      </c>
      <c r="B845" s="431" t="str">
        <f t="shared" si="13"/>
        <v>Groin HerniaProviderNORTHUMBRIA HEALTHCARE NHS FOUNDATION TRUST (RTF)EQ-5D Index</v>
      </c>
      <c r="C845" t="s">
        <v>50</v>
      </c>
      <c r="D845" t="s">
        <v>1</v>
      </c>
      <c r="E845" t="s">
        <v>3684</v>
      </c>
      <c r="F845" t="s">
        <v>3685</v>
      </c>
      <c r="G845" t="s">
        <v>52</v>
      </c>
      <c r="H845">
        <v>299</v>
      </c>
      <c r="I845">
        <v>0.76800000000000002</v>
      </c>
      <c r="J845">
        <v>0.86</v>
      </c>
      <c r="K845">
        <v>9.0999999999999998E-2</v>
      </c>
      <c r="L845">
        <v>164</v>
      </c>
      <c r="M845">
        <v>85</v>
      </c>
      <c r="N845">
        <v>50</v>
      </c>
      <c r="O845">
        <v>0.879</v>
      </c>
      <c r="P845">
        <v>8.6034131E-2</v>
      </c>
      <c r="Q845">
        <v>0.17</v>
      </c>
    </row>
    <row r="846" spans="1:17" s="30" customFormat="1" x14ac:dyDescent="0.2">
      <c r="A846" s="30">
        <f>IF(C846&amp;G846&amp;D846&lt;&gt;'Funnel setup'!$K$3&amp;'Funnel setup'!$K$4&amp;'Funnel setup'!$K$5,".",IF(A845=".",1,A845+1))</f>
        <v>142</v>
      </c>
      <c r="B846" s="431" t="str">
        <f t="shared" si="13"/>
        <v>Groin HerniaProviderNOTTINGHAM UNIVERSITY HOSPITALS NHS TRUST (RX1)EQ-5D Index</v>
      </c>
      <c r="C846" t="s">
        <v>50</v>
      </c>
      <c r="D846" t="s">
        <v>1</v>
      </c>
      <c r="E846" t="s">
        <v>3687</v>
      </c>
      <c r="F846" t="s">
        <v>3688</v>
      </c>
      <c r="G846" t="s">
        <v>52</v>
      </c>
      <c r="H846" t="s">
        <v>53</v>
      </c>
      <c r="I846" t="s">
        <v>53</v>
      </c>
      <c r="J846" t="s">
        <v>53</v>
      </c>
      <c r="K846" t="s">
        <v>53</v>
      </c>
      <c r="L846" t="s">
        <v>53</v>
      </c>
      <c r="M846" t="s">
        <v>53</v>
      </c>
      <c r="N846" t="s">
        <v>53</v>
      </c>
      <c r="O846" t="s">
        <v>53</v>
      </c>
      <c r="P846" t="s">
        <v>53</v>
      </c>
      <c r="Q846" t="s">
        <v>53</v>
      </c>
    </row>
    <row r="847" spans="1:17" s="30" customFormat="1" x14ac:dyDescent="0.2">
      <c r="A847" s="30">
        <f>IF(C847&amp;G847&amp;D847&lt;&gt;'Funnel setup'!$K$3&amp;'Funnel setup'!$K$4&amp;'Funnel setup'!$K$5,".",IF(A846=".",1,A846+1))</f>
        <v>143</v>
      </c>
      <c r="B847" s="431" t="str">
        <f t="shared" si="13"/>
        <v>Groin HerniaProviderNUFFIELD HEALTH, BRENTWOOD HOSPITAL (NT204)EQ-5D Index</v>
      </c>
      <c r="C847" t="s">
        <v>50</v>
      </c>
      <c r="D847" t="s">
        <v>1</v>
      </c>
      <c r="E847" t="s">
        <v>3691</v>
      </c>
      <c r="F847" t="s">
        <v>3692</v>
      </c>
      <c r="G847" t="s">
        <v>52</v>
      </c>
      <c r="H847" t="s">
        <v>53</v>
      </c>
      <c r="I847" t="s">
        <v>53</v>
      </c>
      <c r="J847" t="s">
        <v>53</v>
      </c>
      <c r="K847" t="s">
        <v>53</v>
      </c>
      <c r="L847" t="s">
        <v>53</v>
      </c>
      <c r="M847" t="s">
        <v>53</v>
      </c>
      <c r="N847" t="s">
        <v>53</v>
      </c>
      <c r="O847" t="s">
        <v>53</v>
      </c>
      <c r="P847" t="s">
        <v>53</v>
      </c>
      <c r="Q847" t="s">
        <v>53</v>
      </c>
    </row>
    <row r="848" spans="1:17" s="30" customFormat="1" x14ac:dyDescent="0.2">
      <c r="A848" s="30">
        <f>IF(C848&amp;G848&amp;D848&lt;&gt;'Funnel setup'!$K$3&amp;'Funnel setup'!$K$4&amp;'Funnel setup'!$K$5,".",IF(A847=".",1,A847+1))</f>
        <v>144</v>
      </c>
      <c r="B848" s="431" t="str">
        <f t="shared" si="13"/>
        <v>Groin HerniaProviderNUFFIELD HEALTH, BRISTOL HOSPITAL (CHESTERFIELD) (NT206)EQ-5D Index</v>
      </c>
      <c r="C848" t="s">
        <v>50</v>
      </c>
      <c r="D848" t="s">
        <v>1</v>
      </c>
      <c r="E848" t="s">
        <v>3700</v>
      </c>
      <c r="F848" t="s">
        <v>3701</v>
      </c>
      <c r="G848" t="s">
        <v>52</v>
      </c>
      <c r="H848" t="s">
        <v>53</v>
      </c>
      <c r="I848" t="s">
        <v>53</v>
      </c>
      <c r="J848" t="s">
        <v>53</v>
      </c>
      <c r="K848" t="s">
        <v>53</v>
      </c>
      <c r="L848" t="s">
        <v>53</v>
      </c>
      <c r="M848" t="s">
        <v>53</v>
      </c>
      <c r="N848" t="s">
        <v>53</v>
      </c>
      <c r="O848" t="s">
        <v>53</v>
      </c>
      <c r="P848" t="s">
        <v>53</v>
      </c>
      <c r="Q848" t="s">
        <v>53</v>
      </c>
    </row>
    <row r="849" spans="1:17" s="30" customFormat="1" x14ac:dyDescent="0.2">
      <c r="A849" s="30">
        <f>IF(C849&amp;G849&amp;D849&lt;&gt;'Funnel setup'!$K$3&amp;'Funnel setup'!$K$4&amp;'Funnel setup'!$K$5,".",IF(A848=".",1,A848+1))</f>
        <v>145</v>
      </c>
      <c r="B849" s="431" t="str">
        <f t="shared" si="13"/>
        <v>Groin HerniaProviderNUFFIELD HEALTH, CHELTENHAM HOSPITAL (NT211)EQ-5D Index</v>
      </c>
      <c r="C849" t="s">
        <v>50</v>
      </c>
      <c r="D849" t="s">
        <v>1</v>
      </c>
      <c r="E849" t="s">
        <v>3703</v>
      </c>
      <c r="F849" t="s">
        <v>3704</v>
      </c>
      <c r="G849" t="s">
        <v>52</v>
      </c>
      <c r="H849">
        <v>7</v>
      </c>
      <c r="I849">
        <v>0.86799999999999999</v>
      </c>
      <c r="J849">
        <v>0.96599999999999997</v>
      </c>
      <c r="K849">
        <v>9.8000000000000004E-2</v>
      </c>
      <c r="L849">
        <v>3</v>
      </c>
      <c r="M849">
        <v>3</v>
      </c>
      <c r="N849">
        <v>1</v>
      </c>
      <c r="O849" t="s">
        <v>53</v>
      </c>
      <c r="P849" t="s">
        <v>53</v>
      </c>
      <c r="Q849" t="s">
        <v>53</v>
      </c>
    </row>
    <row r="850" spans="1:17" s="30" customFormat="1" x14ac:dyDescent="0.2">
      <c r="A850" s="30">
        <f>IF(C850&amp;G850&amp;D850&lt;&gt;'Funnel setup'!$K$3&amp;'Funnel setup'!$K$4&amp;'Funnel setup'!$K$5,".",IF(A849=".",1,A849+1))</f>
        <v>146</v>
      </c>
      <c r="B850" s="431" t="str">
        <f t="shared" si="13"/>
        <v>Groin HerniaProviderNUFFIELD HEALTH, DERBY HOSPITAL (NT213)EQ-5D Index</v>
      </c>
      <c r="C850" t="s">
        <v>50</v>
      </c>
      <c r="D850" t="s">
        <v>1</v>
      </c>
      <c r="E850" t="s">
        <v>3340</v>
      </c>
      <c r="F850" t="s">
        <v>3341</v>
      </c>
      <c r="G850" t="s">
        <v>52</v>
      </c>
      <c r="H850">
        <v>9</v>
      </c>
      <c r="I850">
        <v>0.70099999999999996</v>
      </c>
      <c r="J850">
        <v>0.85799999999999998</v>
      </c>
      <c r="K850">
        <v>0.157</v>
      </c>
      <c r="L850">
        <v>5</v>
      </c>
      <c r="M850">
        <v>4</v>
      </c>
      <c r="N850">
        <v>0</v>
      </c>
      <c r="O850" t="s">
        <v>53</v>
      </c>
      <c r="P850" t="s">
        <v>53</v>
      </c>
      <c r="Q850" t="s">
        <v>53</v>
      </c>
    </row>
    <row r="851" spans="1:17" s="30" customFormat="1" x14ac:dyDescent="0.2">
      <c r="A851" s="30">
        <f>IF(C851&amp;G851&amp;D851&lt;&gt;'Funnel setup'!$K$3&amp;'Funnel setup'!$K$4&amp;'Funnel setup'!$K$5,".",IF(A850=".",1,A850+1))</f>
        <v>147</v>
      </c>
      <c r="B851" s="431" t="str">
        <f t="shared" si="13"/>
        <v>Groin HerniaProviderNUFFIELD HEALTH, HEREFORD HOSPITAL (NT219)EQ-5D Index</v>
      </c>
      <c r="C851" t="s">
        <v>50</v>
      </c>
      <c r="D851" t="s">
        <v>1</v>
      </c>
      <c r="E851" t="s">
        <v>3343</v>
      </c>
      <c r="F851" t="s">
        <v>3344</v>
      </c>
      <c r="G851" t="s">
        <v>52</v>
      </c>
      <c r="H851">
        <v>65</v>
      </c>
      <c r="I851">
        <v>0.79600000000000004</v>
      </c>
      <c r="J851">
        <v>0.90200000000000002</v>
      </c>
      <c r="K851">
        <v>0.106</v>
      </c>
      <c r="L851">
        <v>40</v>
      </c>
      <c r="M851">
        <v>14</v>
      </c>
      <c r="N851">
        <v>11</v>
      </c>
      <c r="O851">
        <v>0.89</v>
      </c>
      <c r="P851">
        <v>9.6846765000000001E-2</v>
      </c>
      <c r="Q851">
        <v>0.17399999999999999</v>
      </c>
    </row>
    <row r="852" spans="1:17" s="30" customFormat="1" x14ac:dyDescent="0.2">
      <c r="A852" s="30">
        <f>IF(C852&amp;G852&amp;D852&lt;&gt;'Funnel setup'!$K$3&amp;'Funnel setup'!$K$4&amp;'Funnel setup'!$K$5,".",IF(A851=".",1,A851+1))</f>
        <v>148</v>
      </c>
      <c r="B852" s="431" t="str">
        <f t="shared" si="13"/>
        <v>Groin HerniaProviderNUFFIELD HEALTH, IPSWICH HOSPITAL (NT222)EQ-5D Index</v>
      </c>
      <c r="C852" t="s">
        <v>50</v>
      </c>
      <c r="D852" t="s">
        <v>1</v>
      </c>
      <c r="E852" t="s">
        <v>3385</v>
      </c>
      <c r="F852" t="s">
        <v>3386</v>
      </c>
      <c r="G852" t="s">
        <v>52</v>
      </c>
      <c r="H852">
        <v>18</v>
      </c>
      <c r="I852">
        <v>0.72499999999999998</v>
      </c>
      <c r="J852">
        <v>0.90300000000000002</v>
      </c>
      <c r="K852">
        <v>0.17799999999999999</v>
      </c>
      <c r="L852">
        <v>11</v>
      </c>
      <c r="M852">
        <v>6</v>
      </c>
      <c r="N852">
        <v>1</v>
      </c>
      <c r="O852" t="s">
        <v>53</v>
      </c>
      <c r="P852" t="s">
        <v>53</v>
      </c>
      <c r="Q852" t="s">
        <v>53</v>
      </c>
    </row>
    <row r="853" spans="1:17" s="30" customFormat="1" x14ac:dyDescent="0.2">
      <c r="A853" s="30">
        <f>IF(C853&amp;G853&amp;D853&lt;&gt;'Funnel setup'!$K$3&amp;'Funnel setup'!$K$4&amp;'Funnel setup'!$K$5,".",IF(A852=".",1,A852+1))</f>
        <v>149</v>
      </c>
      <c r="B853" s="431" t="str">
        <f t="shared" si="13"/>
        <v>Groin HerniaProviderNUFFIELD HEALTH, LEEDS HOSPITAL (NT225)EQ-5D Index</v>
      </c>
      <c r="C853" t="s">
        <v>50</v>
      </c>
      <c r="D853" t="s">
        <v>1</v>
      </c>
      <c r="E853" t="s">
        <v>3388</v>
      </c>
      <c r="F853" t="s">
        <v>3389</v>
      </c>
      <c r="G853" t="s">
        <v>52</v>
      </c>
      <c r="H853">
        <v>36</v>
      </c>
      <c r="I853">
        <v>0.80100000000000005</v>
      </c>
      <c r="J853">
        <v>0.90400000000000003</v>
      </c>
      <c r="K853">
        <v>0.10299999999999999</v>
      </c>
      <c r="L853">
        <v>17</v>
      </c>
      <c r="M853">
        <v>11</v>
      </c>
      <c r="N853">
        <v>8</v>
      </c>
      <c r="O853">
        <v>0.88100000000000001</v>
      </c>
      <c r="P853">
        <v>8.7819670000000002E-2</v>
      </c>
      <c r="Q853">
        <v>0.11700000000000001</v>
      </c>
    </row>
    <row r="854" spans="1:17" s="30" customFormat="1" x14ac:dyDescent="0.2">
      <c r="A854" s="30">
        <f>IF(C854&amp;G854&amp;D854&lt;&gt;'Funnel setup'!$K$3&amp;'Funnel setup'!$K$4&amp;'Funnel setup'!$K$5,".",IF(A853=".",1,A853+1))</f>
        <v>150</v>
      </c>
      <c r="B854" s="431" t="str">
        <f t="shared" si="13"/>
        <v>Groin HerniaProviderNUFFIELD HEALTH, LEICESTER HOSPITAL (NT226)EQ-5D Index</v>
      </c>
      <c r="C854" t="s">
        <v>50</v>
      </c>
      <c r="D854" t="s">
        <v>1</v>
      </c>
      <c r="E854" t="s">
        <v>3391</v>
      </c>
      <c r="F854" t="s">
        <v>3392</v>
      </c>
      <c r="G854" t="s">
        <v>52</v>
      </c>
      <c r="H854">
        <v>44</v>
      </c>
      <c r="I854">
        <v>0.76</v>
      </c>
      <c r="J854">
        <v>0.89800000000000002</v>
      </c>
      <c r="K854">
        <v>0.13800000000000001</v>
      </c>
      <c r="L854">
        <v>21</v>
      </c>
      <c r="M854">
        <v>17</v>
      </c>
      <c r="N854">
        <v>6</v>
      </c>
      <c r="O854">
        <v>0.91500000000000004</v>
      </c>
      <c r="P854">
        <v>0.121565096</v>
      </c>
      <c r="Q854">
        <v>0.14299999999999999</v>
      </c>
    </row>
    <row r="855" spans="1:17" s="30" customFormat="1" x14ac:dyDescent="0.2">
      <c r="A855" s="30">
        <f>IF(C855&amp;G855&amp;D855&lt;&gt;'Funnel setup'!$K$3&amp;'Funnel setup'!$K$4&amp;'Funnel setup'!$K$5,".",IF(A854=".",1,A854+1))</f>
        <v>151</v>
      </c>
      <c r="B855" s="431" t="str">
        <f t="shared" si="13"/>
        <v>Groin HerniaProviderNUFFIELD HEALTH, NEWCASTLE UPON TYNE HOSPITAL (NT229)EQ-5D Index</v>
      </c>
      <c r="C855" t="s">
        <v>50</v>
      </c>
      <c r="D855" t="s">
        <v>1</v>
      </c>
      <c r="E855" t="s">
        <v>3394</v>
      </c>
      <c r="F855" t="s">
        <v>3395</v>
      </c>
      <c r="G855" t="s">
        <v>52</v>
      </c>
      <c r="H855">
        <v>58</v>
      </c>
      <c r="I855">
        <v>0.80500000000000005</v>
      </c>
      <c r="J855">
        <v>0.86</v>
      </c>
      <c r="K855">
        <v>5.5E-2</v>
      </c>
      <c r="L855">
        <v>30</v>
      </c>
      <c r="M855">
        <v>12</v>
      </c>
      <c r="N855">
        <v>16</v>
      </c>
      <c r="O855">
        <v>0.86799999999999999</v>
      </c>
      <c r="P855">
        <v>7.4759554000000006E-2</v>
      </c>
      <c r="Q855">
        <v>0.161</v>
      </c>
    </row>
    <row r="856" spans="1:17" s="30" customFormat="1" x14ac:dyDescent="0.2">
      <c r="A856" s="30">
        <f>IF(C856&amp;G856&amp;D856&lt;&gt;'Funnel setup'!$K$3&amp;'Funnel setup'!$K$4&amp;'Funnel setup'!$K$5,".",IF(A855=".",1,A855+1))</f>
        <v>152</v>
      </c>
      <c r="B856" s="431" t="str">
        <f t="shared" si="13"/>
        <v>Groin HerniaProviderNUFFIELD HEALTH, NORTH STAFFORDSHIRE HOSPITAL (NT230)EQ-5D Index</v>
      </c>
      <c r="C856" t="s">
        <v>50</v>
      </c>
      <c r="D856" t="s">
        <v>1</v>
      </c>
      <c r="E856" t="s">
        <v>3397</v>
      </c>
      <c r="F856" t="s">
        <v>3398</v>
      </c>
      <c r="G856" t="s">
        <v>52</v>
      </c>
      <c r="H856">
        <v>27</v>
      </c>
      <c r="I856">
        <v>0.78</v>
      </c>
      <c r="J856">
        <v>0.88600000000000001</v>
      </c>
      <c r="K856">
        <v>0.105</v>
      </c>
      <c r="L856">
        <v>20</v>
      </c>
      <c r="M856">
        <v>5</v>
      </c>
      <c r="N856">
        <v>2</v>
      </c>
      <c r="O856" t="s">
        <v>53</v>
      </c>
      <c r="P856" t="s">
        <v>53</v>
      </c>
      <c r="Q856" t="s">
        <v>53</v>
      </c>
    </row>
    <row r="857" spans="1:17" s="30" customFormat="1" x14ac:dyDescent="0.2">
      <c r="A857" s="30">
        <f>IF(C857&amp;G857&amp;D857&lt;&gt;'Funnel setup'!$K$3&amp;'Funnel setup'!$K$4&amp;'Funnel setup'!$K$5,".",IF(A856=".",1,A856+1))</f>
        <v>153</v>
      </c>
      <c r="B857" s="431" t="str">
        <f t="shared" si="13"/>
        <v>Groin HerniaProviderNUFFIELD HEALTH, PLYMOUTH HOSPITAL (NT233)EQ-5D Index</v>
      </c>
      <c r="C857" t="s">
        <v>50</v>
      </c>
      <c r="D857" t="s">
        <v>1</v>
      </c>
      <c r="E857" t="s">
        <v>3400</v>
      </c>
      <c r="F857" t="s">
        <v>3401</v>
      </c>
      <c r="G857" t="s">
        <v>52</v>
      </c>
      <c r="H857">
        <v>214</v>
      </c>
      <c r="I857">
        <v>0.80700000000000005</v>
      </c>
      <c r="J857">
        <v>0.89800000000000002</v>
      </c>
      <c r="K857">
        <v>0.09</v>
      </c>
      <c r="L857">
        <v>111</v>
      </c>
      <c r="M857">
        <v>73</v>
      </c>
      <c r="N857">
        <v>30</v>
      </c>
      <c r="O857">
        <v>0.877</v>
      </c>
      <c r="P857">
        <v>8.3826815999999998E-2</v>
      </c>
      <c r="Q857">
        <v>0.14699999999999999</v>
      </c>
    </row>
    <row r="858" spans="1:17" s="30" customFormat="1" x14ac:dyDescent="0.2">
      <c r="A858" s="30">
        <f>IF(C858&amp;G858&amp;D858&lt;&gt;'Funnel setup'!$K$3&amp;'Funnel setup'!$K$4&amp;'Funnel setup'!$K$5,".",IF(A857=".",1,A857+1))</f>
        <v>154</v>
      </c>
      <c r="B858" s="431" t="str">
        <f t="shared" si="13"/>
        <v>Groin HerniaProviderNUFFIELD HEALTH, SHREWSBURY HOSPITAL (NT235)EQ-5D Index</v>
      </c>
      <c r="C858" t="s">
        <v>50</v>
      </c>
      <c r="D858" t="s">
        <v>1</v>
      </c>
      <c r="E858" t="s">
        <v>3240</v>
      </c>
      <c r="F858" t="s">
        <v>3241</v>
      </c>
      <c r="G858" t="s">
        <v>52</v>
      </c>
      <c r="H858">
        <v>50</v>
      </c>
      <c r="I858">
        <v>0.78500000000000003</v>
      </c>
      <c r="J858">
        <v>0.9</v>
      </c>
      <c r="K858">
        <v>0.115</v>
      </c>
      <c r="L858">
        <v>27</v>
      </c>
      <c r="M858">
        <v>13</v>
      </c>
      <c r="N858">
        <v>10</v>
      </c>
      <c r="O858">
        <v>0.89500000000000002</v>
      </c>
      <c r="P858">
        <v>0.101615418</v>
      </c>
      <c r="Q858">
        <v>0.114</v>
      </c>
    </row>
    <row r="859" spans="1:17" s="30" customFormat="1" x14ac:dyDescent="0.2">
      <c r="A859" s="30">
        <f>IF(C859&amp;G859&amp;D859&lt;&gt;'Funnel setup'!$K$3&amp;'Funnel setup'!$K$4&amp;'Funnel setup'!$K$5,".",IF(A858=".",1,A858+1))</f>
        <v>155</v>
      </c>
      <c r="B859" s="431" t="str">
        <f t="shared" si="13"/>
        <v>Groin HerniaProviderNUFFIELD HEALTH, TAUNTON HOSPITAL (NT238)EQ-5D Index</v>
      </c>
      <c r="C859" t="s">
        <v>50</v>
      </c>
      <c r="D859" t="s">
        <v>1</v>
      </c>
      <c r="E859" t="s">
        <v>3243</v>
      </c>
      <c r="F859" t="s">
        <v>3244</v>
      </c>
      <c r="G859" t="s">
        <v>52</v>
      </c>
      <c r="H859">
        <v>59</v>
      </c>
      <c r="I859">
        <v>0.81499999999999995</v>
      </c>
      <c r="J859">
        <v>0.92800000000000005</v>
      </c>
      <c r="K859">
        <v>0.113</v>
      </c>
      <c r="L859">
        <v>33</v>
      </c>
      <c r="M859">
        <v>20</v>
      </c>
      <c r="N859">
        <v>6</v>
      </c>
      <c r="O859">
        <v>0.90600000000000003</v>
      </c>
      <c r="P859">
        <v>0.112470717</v>
      </c>
      <c r="Q859">
        <v>0.11</v>
      </c>
    </row>
    <row r="860" spans="1:17" s="30" customFormat="1" x14ac:dyDescent="0.2">
      <c r="A860" s="30">
        <f>IF(C860&amp;G860&amp;D860&lt;&gt;'Funnel setup'!$K$3&amp;'Funnel setup'!$K$4&amp;'Funnel setup'!$K$5,".",IF(A859=".",1,A859+1))</f>
        <v>156</v>
      </c>
      <c r="B860" s="431" t="str">
        <f t="shared" si="13"/>
        <v>Groin HerniaProviderNUFFIELD HEALTH, TEES HOSPITAL (NT237)EQ-5D Index</v>
      </c>
      <c r="C860" t="s">
        <v>50</v>
      </c>
      <c r="D860" t="s">
        <v>1</v>
      </c>
      <c r="E860" t="s">
        <v>3246</v>
      </c>
      <c r="F860" t="s">
        <v>3247</v>
      </c>
      <c r="G860" t="s">
        <v>52</v>
      </c>
      <c r="H860">
        <v>93</v>
      </c>
      <c r="I860">
        <v>0.78</v>
      </c>
      <c r="J860">
        <v>0.89500000000000002</v>
      </c>
      <c r="K860">
        <v>0.115</v>
      </c>
      <c r="L860">
        <v>51</v>
      </c>
      <c r="M860">
        <v>25</v>
      </c>
      <c r="N860">
        <v>17</v>
      </c>
      <c r="O860">
        <v>0.88700000000000001</v>
      </c>
      <c r="P860">
        <v>9.3466969999999996E-2</v>
      </c>
      <c r="Q860">
        <v>0.157</v>
      </c>
    </row>
    <row r="861" spans="1:17" s="30" customFormat="1" x14ac:dyDescent="0.2">
      <c r="A861" s="30">
        <f>IF(C861&amp;G861&amp;D861&lt;&gt;'Funnel setup'!$K$3&amp;'Funnel setup'!$K$4&amp;'Funnel setup'!$K$5,".",IF(A860=".",1,A860+1))</f>
        <v>157</v>
      </c>
      <c r="B861" s="431" t="str">
        <f t="shared" si="13"/>
        <v>Groin HerniaProviderNUFFIELD HEALTH, TUNBRIDGE WELLS HOSPITAL (NT239)EQ-5D Index</v>
      </c>
      <c r="C861" t="s">
        <v>50</v>
      </c>
      <c r="D861" t="s">
        <v>1</v>
      </c>
      <c r="E861" t="s">
        <v>3252</v>
      </c>
      <c r="F861" t="s">
        <v>3253</v>
      </c>
      <c r="G861" t="s">
        <v>52</v>
      </c>
      <c r="H861">
        <v>13</v>
      </c>
      <c r="I861">
        <v>0.84399999999999997</v>
      </c>
      <c r="J861">
        <v>0.98399999999999999</v>
      </c>
      <c r="K861">
        <v>0.14000000000000001</v>
      </c>
      <c r="L861">
        <v>5</v>
      </c>
      <c r="M861">
        <v>8</v>
      </c>
      <c r="N861">
        <v>0</v>
      </c>
      <c r="O861" t="s">
        <v>53</v>
      </c>
      <c r="P861" t="s">
        <v>53</v>
      </c>
      <c r="Q861" t="s">
        <v>53</v>
      </c>
    </row>
    <row r="862" spans="1:17" s="30" customFormat="1" x14ac:dyDescent="0.2">
      <c r="A862" s="30">
        <f>IF(C862&amp;G862&amp;D862&lt;&gt;'Funnel setup'!$K$3&amp;'Funnel setup'!$K$4&amp;'Funnel setup'!$K$5,".",IF(A861=".",1,A861+1))</f>
        <v>158</v>
      </c>
      <c r="B862" s="431" t="str">
        <f t="shared" si="13"/>
        <v>Groin HerniaProviderNUFFIELD HEALTH, WESSEX HOSPITAL (NT214)EQ-5D Index</v>
      </c>
      <c r="C862" t="s">
        <v>50</v>
      </c>
      <c r="D862" t="s">
        <v>1</v>
      </c>
      <c r="E862" t="s">
        <v>3258</v>
      </c>
      <c r="F862" t="s">
        <v>3259</v>
      </c>
      <c r="G862" t="s">
        <v>52</v>
      </c>
      <c r="H862">
        <v>11</v>
      </c>
      <c r="I862">
        <v>0.90900000000000003</v>
      </c>
      <c r="J862">
        <v>0.98899999999999999</v>
      </c>
      <c r="K862">
        <v>8.1000000000000003E-2</v>
      </c>
      <c r="L862">
        <v>5</v>
      </c>
      <c r="M862">
        <v>6</v>
      </c>
      <c r="N862">
        <v>0</v>
      </c>
      <c r="O862" t="s">
        <v>53</v>
      </c>
      <c r="P862" t="s">
        <v>53</v>
      </c>
      <c r="Q862" t="s">
        <v>53</v>
      </c>
    </row>
    <row r="863" spans="1:17" s="30" customFormat="1" x14ac:dyDescent="0.2">
      <c r="A863" s="30">
        <f>IF(C863&amp;G863&amp;D863&lt;&gt;'Funnel setup'!$K$3&amp;'Funnel setup'!$K$4&amp;'Funnel setup'!$K$5,".",IF(A862=".",1,A862+1))</f>
        <v>159</v>
      </c>
      <c r="B863" s="431" t="str">
        <f t="shared" si="13"/>
        <v>Groin HerniaProviderNUFFIELD HEALTH, WOKING HOSPITAL (NT241)EQ-5D Index</v>
      </c>
      <c r="C863" t="s">
        <v>50</v>
      </c>
      <c r="D863" t="s">
        <v>1</v>
      </c>
      <c r="E863" t="s">
        <v>3261</v>
      </c>
      <c r="F863" t="s">
        <v>3262</v>
      </c>
      <c r="G863" t="s">
        <v>52</v>
      </c>
      <c r="H863">
        <v>9</v>
      </c>
      <c r="I863">
        <v>0.80600000000000005</v>
      </c>
      <c r="J863">
        <v>0.91700000000000004</v>
      </c>
      <c r="K863">
        <v>0.111</v>
      </c>
      <c r="L863">
        <v>7</v>
      </c>
      <c r="M863">
        <v>1</v>
      </c>
      <c r="N863">
        <v>1</v>
      </c>
      <c r="O863" t="s">
        <v>53</v>
      </c>
      <c r="P863" t="s">
        <v>53</v>
      </c>
      <c r="Q863" t="s">
        <v>53</v>
      </c>
    </row>
    <row r="864" spans="1:17" s="30" customFormat="1" x14ac:dyDescent="0.2">
      <c r="A864" s="30">
        <f>IF(C864&amp;G864&amp;D864&lt;&gt;'Funnel setup'!$K$3&amp;'Funnel setup'!$K$4&amp;'Funnel setup'!$K$5,".",IF(A863=".",1,A863+1))</f>
        <v>160</v>
      </c>
      <c r="B864" s="431" t="str">
        <f t="shared" si="13"/>
        <v>Groin HerniaProviderNUFFIELD HEALTH, WOLVERHAMPTON HOSPITAL (NT242)EQ-5D Index</v>
      </c>
      <c r="C864" t="s">
        <v>50</v>
      </c>
      <c r="D864" t="s">
        <v>1</v>
      </c>
      <c r="E864" t="s">
        <v>3264</v>
      </c>
      <c r="F864" t="s">
        <v>3265</v>
      </c>
      <c r="G864" t="s">
        <v>52</v>
      </c>
      <c r="H864">
        <v>25</v>
      </c>
      <c r="I864">
        <v>0.80400000000000005</v>
      </c>
      <c r="J864">
        <v>0.90800000000000003</v>
      </c>
      <c r="K864">
        <v>0.104</v>
      </c>
      <c r="L864">
        <v>13</v>
      </c>
      <c r="M864">
        <v>8</v>
      </c>
      <c r="N864">
        <v>4</v>
      </c>
      <c r="O864" t="s">
        <v>53</v>
      </c>
      <c r="P864" t="s">
        <v>53</v>
      </c>
      <c r="Q864" t="s">
        <v>53</v>
      </c>
    </row>
    <row r="865" spans="1:17" s="30" customFormat="1" x14ac:dyDescent="0.2">
      <c r="A865" s="30">
        <f>IF(C865&amp;G865&amp;D865&lt;&gt;'Funnel setup'!$K$3&amp;'Funnel setup'!$K$4&amp;'Funnel setup'!$K$5,".",IF(A864=".",1,A864+1))</f>
        <v>161</v>
      </c>
      <c r="B865" s="431" t="str">
        <f t="shared" si="13"/>
        <v>Groin HerniaProviderOAKLANDS HOSPITAL (NVC12)EQ-5D Index</v>
      </c>
      <c r="C865" t="s">
        <v>50</v>
      </c>
      <c r="D865" t="s">
        <v>1</v>
      </c>
      <c r="E865" t="s">
        <v>3267</v>
      </c>
      <c r="F865" t="s">
        <v>3268</v>
      </c>
      <c r="G865" t="s">
        <v>52</v>
      </c>
      <c r="H865">
        <v>37</v>
      </c>
      <c r="I865">
        <v>0.84099999999999997</v>
      </c>
      <c r="J865">
        <v>0.90300000000000002</v>
      </c>
      <c r="K865">
        <v>6.2E-2</v>
      </c>
      <c r="L865">
        <v>18</v>
      </c>
      <c r="M865">
        <v>11</v>
      </c>
      <c r="N865">
        <v>8</v>
      </c>
      <c r="O865">
        <v>0.89800000000000002</v>
      </c>
      <c r="P865">
        <v>0.10477222</v>
      </c>
      <c r="Q865">
        <v>0.104</v>
      </c>
    </row>
    <row r="866" spans="1:17" s="30" customFormat="1" x14ac:dyDescent="0.2">
      <c r="A866" s="30">
        <f>IF(C866&amp;G866&amp;D866&lt;&gt;'Funnel setup'!$K$3&amp;'Funnel setup'!$K$4&amp;'Funnel setup'!$K$5,".",IF(A865=".",1,A865+1))</f>
        <v>162</v>
      </c>
      <c r="B866" s="431" t="str">
        <f t="shared" si="13"/>
        <v>Groin HerniaProviderOAKS HOSPITAL (NVC13)EQ-5D Index</v>
      </c>
      <c r="C866" t="s">
        <v>50</v>
      </c>
      <c r="D866" t="s">
        <v>1</v>
      </c>
      <c r="E866" t="s">
        <v>3270</v>
      </c>
      <c r="F866" t="s">
        <v>3271</v>
      </c>
      <c r="G866" t="s">
        <v>52</v>
      </c>
      <c r="H866">
        <v>77</v>
      </c>
      <c r="I866">
        <v>0.83399999999999996</v>
      </c>
      <c r="J866">
        <v>0.91500000000000004</v>
      </c>
      <c r="K866">
        <v>8.1000000000000003E-2</v>
      </c>
      <c r="L866">
        <v>40</v>
      </c>
      <c r="M866">
        <v>27</v>
      </c>
      <c r="N866">
        <v>10</v>
      </c>
      <c r="O866">
        <v>0.88800000000000001</v>
      </c>
      <c r="P866">
        <v>9.5053023E-2</v>
      </c>
      <c r="Q866">
        <v>0.13900000000000001</v>
      </c>
    </row>
    <row r="867" spans="1:17" s="30" customFormat="1" x14ac:dyDescent="0.2">
      <c r="A867" s="30">
        <f>IF(C867&amp;G867&amp;D867&lt;&gt;'Funnel setup'!$K$3&amp;'Funnel setup'!$K$4&amp;'Funnel setup'!$K$5,".",IF(A866=".",1,A866+1))</f>
        <v>163</v>
      </c>
      <c r="B867" s="431" t="str">
        <f t="shared" si="13"/>
        <v>Groin HerniaProviderONE HEALTH GROUP LTD (NTX01)EQ-5D Index</v>
      </c>
      <c r="C867" t="s">
        <v>50</v>
      </c>
      <c r="D867" t="s">
        <v>1</v>
      </c>
      <c r="E867" t="s">
        <v>6507</v>
      </c>
      <c r="F867" t="s">
        <v>6508</v>
      </c>
      <c r="G867" t="s">
        <v>52</v>
      </c>
      <c r="H867">
        <v>31</v>
      </c>
      <c r="I867">
        <v>0.81599999999999995</v>
      </c>
      <c r="J867">
        <v>0.94099999999999995</v>
      </c>
      <c r="K867">
        <v>0.125</v>
      </c>
      <c r="L867">
        <v>16</v>
      </c>
      <c r="M867">
        <v>12</v>
      </c>
      <c r="N867">
        <v>3</v>
      </c>
      <c r="O867">
        <v>0.92400000000000004</v>
      </c>
      <c r="P867">
        <v>0.130356577</v>
      </c>
      <c r="Q867">
        <v>0.13300000000000001</v>
      </c>
    </row>
    <row r="868" spans="1:17" s="30" customFormat="1" x14ac:dyDescent="0.2">
      <c r="A868" s="30">
        <f>IF(C868&amp;G868&amp;D868&lt;&gt;'Funnel setup'!$K$3&amp;'Funnel setup'!$K$4&amp;'Funnel setup'!$K$5,".",IF(A867=".",1,A867+1))</f>
        <v>164</v>
      </c>
      <c r="B868" s="431" t="str">
        <f t="shared" si="13"/>
        <v>Groin HerniaProviderOXFORD UNIVERSITY HOSPITALS NHS FOUNDATION TRUST (RTH)EQ-5D Index</v>
      </c>
      <c r="C868" t="s">
        <v>50</v>
      </c>
      <c r="D868" t="s">
        <v>1</v>
      </c>
      <c r="E868" t="s">
        <v>3278</v>
      </c>
      <c r="F868" t="s">
        <v>6578</v>
      </c>
      <c r="G868" t="s">
        <v>52</v>
      </c>
      <c r="H868">
        <v>170</v>
      </c>
      <c r="I868">
        <v>0.81299999999999994</v>
      </c>
      <c r="J868">
        <v>0.89200000000000002</v>
      </c>
      <c r="K868">
        <v>7.8E-2</v>
      </c>
      <c r="L868">
        <v>82</v>
      </c>
      <c r="M868">
        <v>65</v>
      </c>
      <c r="N868">
        <v>23</v>
      </c>
      <c r="O868">
        <v>0.88200000000000001</v>
      </c>
      <c r="P868">
        <v>8.8665896999999994E-2</v>
      </c>
      <c r="Q868">
        <v>0.14399999999999999</v>
      </c>
    </row>
    <row r="869" spans="1:17" s="30" customFormat="1" x14ac:dyDescent="0.2">
      <c r="A869" s="30">
        <f>IF(C869&amp;G869&amp;D869&lt;&gt;'Funnel setup'!$K$3&amp;'Funnel setup'!$K$4&amp;'Funnel setup'!$K$5,".",IF(A868=".",1,A868+1))</f>
        <v>165</v>
      </c>
      <c r="B869" s="431" t="str">
        <f t="shared" si="13"/>
        <v>Groin HerniaProviderPENNINE ACUTE HOSPITALS NHS TRUST (RW6)EQ-5D Index</v>
      </c>
      <c r="C869" t="s">
        <v>50</v>
      </c>
      <c r="D869" t="s">
        <v>1</v>
      </c>
      <c r="E869" t="s">
        <v>3216</v>
      </c>
      <c r="F869" t="s">
        <v>3217</v>
      </c>
      <c r="G869" t="s">
        <v>52</v>
      </c>
      <c r="H869">
        <v>65</v>
      </c>
      <c r="I869">
        <v>0.78100000000000003</v>
      </c>
      <c r="J869">
        <v>0.875</v>
      </c>
      <c r="K869">
        <v>9.4E-2</v>
      </c>
      <c r="L869">
        <v>37</v>
      </c>
      <c r="M869">
        <v>18</v>
      </c>
      <c r="N869">
        <v>10</v>
      </c>
      <c r="O869">
        <v>0.89300000000000002</v>
      </c>
      <c r="P869">
        <v>9.9950194000000006E-2</v>
      </c>
      <c r="Q869">
        <v>0.13400000000000001</v>
      </c>
    </row>
    <row r="870" spans="1:17" s="30" customFormat="1" x14ac:dyDescent="0.2">
      <c r="A870" s="30">
        <f>IF(C870&amp;G870&amp;D870&lt;&gt;'Funnel setup'!$K$3&amp;'Funnel setup'!$K$4&amp;'Funnel setup'!$K$5,".",IF(A869=".",1,A869+1))</f>
        <v>166</v>
      </c>
      <c r="B870" s="431" t="str">
        <f t="shared" si="13"/>
        <v>Groin HerniaProviderPETERBOROUGH AND STAMFORD HOSPITALS NHS FOUNDATION TRUST (RGN)EQ-5D Index</v>
      </c>
      <c r="C870" t="s">
        <v>50</v>
      </c>
      <c r="D870" t="s">
        <v>1</v>
      </c>
      <c r="E870" t="s">
        <v>3219</v>
      </c>
      <c r="F870" t="s">
        <v>3220</v>
      </c>
      <c r="G870" t="s">
        <v>52</v>
      </c>
      <c r="H870">
        <v>154</v>
      </c>
      <c r="I870">
        <v>0.78500000000000003</v>
      </c>
      <c r="J870">
        <v>0.88700000000000001</v>
      </c>
      <c r="K870">
        <v>0.10199999999999999</v>
      </c>
      <c r="L870">
        <v>81</v>
      </c>
      <c r="M870">
        <v>47</v>
      </c>
      <c r="N870">
        <v>26</v>
      </c>
      <c r="O870">
        <v>0.89700000000000002</v>
      </c>
      <c r="P870">
        <v>0.10350071199999999</v>
      </c>
      <c r="Q870">
        <v>0.14899999999999999</v>
      </c>
    </row>
    <row r="871" spans="1:17" s="30" customFormat="1" x14ac:dyDescent="0.2">
      <c r="A871" s="30">
        <f>IF(C871&amp;G871&amp;D871&lt;&gt;'Funnel setup'!$K$3&amp;'Funnel setup'!$K$4&amp;'Funnel setup'!$K$5,".",IF(A870=".",1,A870+1))</f>
        <v>167</v>
      </c>
      <c r="B871" s="431" t="str">
        <f t="shared" si="13"/>
        <v>Groin HerniaProviderPINEHILL HOSPITAL (NVC15)EQ-5D Index</v>
      </c>
      <c r="C871" t="s">
        <v>50</v>
      </c>
      <c r="D871" t="s">
        <v>1</v>
      </c>
      <c r="E871" t="s">
        <v>3222</v>
      </c>
      <c r="F871" t="s">
        <v>3223</v>
      </c>
      <c r="G871" t="s">
        <v>52</v>
      </c>
      <c r="H871">
        <v>34</v>
      </c>
      <c r="I871">
        <v>0.8</v>
      </c>
      <c r="J871">
        <v>0.93200000000000005</v>
      </c>
      <c r="K871">
        <v>0.13200000000000001</v>
      </c>
      <c r="L871">
        <v>19</v>
      </c>
      <c r="M871">
        <v>11</v>
      </c>
      <c r="N871">
        <v>4</v>
      </c>
      <c r="O871">
        <v>0.91800000000000004</v>
      </c>
      <c r="P871">
        <v>0.124148895</v>
      </c>
      <c r="Q871">
        <v>0.10299999999999999</v>
      </c>
    </row>
    <row r="872" spans="1:17" s="30" customFormat="1" x14ac:dyDescent="0.2">
      <c r="A872" s="30">
        <f>IF(C872&amp;G872&amp;D872&lt;&gt;'Funnel setup'!$K$3&amp;'Funnel setup'!$K$4&amp;'Funnel setup'!$K$5,".",IF(A871=".",1,A871+1))</f>
        <v>168</v>
      </c>
      <c r="B872" s="431" t="str">
        <f t="shared" si="13"/>
        <v>Groin HerniaProviderPLYMOUTH HOSPITALS NHS TRUST (RK9)EQ-5D Index</v>
      </c>
      <c r="C872" t="s">
        <v>50</v>
      </c>
      <c r="D872" t="s">
        <v>1</v>
      </c>
      <c r="E872" t="s">
        <v>3225</v>
      </c>
      <c r="F872" t="s">
        <v>3226</v>
      </c>
      <c r="G872" t="s">
        <v>52</v>
      </c>
      <c r="H872">
        <v>55</v>
      </c>
      <c r="I872">
        <v>0.79300000000000004</v>
      </c>
      <c r="J872">
        <v>0.88200000000000001</v>
      </c>
      <c r="K872">
        <v>8.8999999999999996E-2</v>
      </c>
      <c r="L872">
        <v>26</v>
      </c>
      <c r="M872">
        <v>19</v>
      </c>
      <c r="N872">
        <v>10</v>
      </c>
      <c r="O872">
        <v>0.89700000000000002</v>
      </c>
      <c r="P872">
        <v>0.103635694</v>
      </c>
      <c r="Q872">
        <v>0.157</v>
      </c>
    </row>
    <row r="873" spans="1:17" s="30" customFormat="1" x14ac:dyDescent="0.2">
      <c r="A873" s="30">
        <f>IF(C873&amp;G873&amp;D873&lt;&gt;'Funnel setup'!$K$3&amp;'Funnel setup'!$K$4&amp;'Funnel setup'!$K$5,".",IF(A872=".",1,A872+1))</f>
        <v>169</v>
      </c>
      <c r="B873" s="431" t="str">
        <f t="shared" si="13"/>
        <v>Groin HerniaProviderPOOLE HOSPITAL NHS FOUNDATION TRUST (RD3)EQ-5D Index</v>
      </c>
      <c r="C873" t="s">
        <v>50</v>
      </c>
      <c r="D873" t="s">
        <v>1</v>
      </c>
      <c r="E873" t="s">
        <v>3231</v>
      </c>
      <c r="F873" t="s">
        <v>3232</v>
      </c>
      <c r="G873" t="s">
        <v>52</v>
      </c>
      <c r="H873">
        <v>55</v>
      </c>
      <c r="I873">
        <v>0.77600000000000002</v>
      </c>
      <c r="J873">
        <v>0.94</v>
      </c>
      <c r="K873">
        <v>0.16400000000000001</v>
      </c>
      <c r="L873">
        <v>35</v>
      </c>
      <c r="M873">
        <v>14</v>
      </c>
      <c r="N873">
        <v>6</v>
      </c>
      <c r="O873">
        <v>0.94699999999999995</v>
      </c>
      <c r="P873">
        <v>0.15411097200000001</v>
      </c>
      <c r="Q873">
        <v>0.109</v>
      </c>
    </row>
    <row r="874" spans="1:17" s="30" customFormat="1" x14ac:dyDescent="0.2">
      <c r="A874" s="30">
        <f>IF(C874&amp;G874&amp;D874&lt;&gt;'Funnel setup'!$K$3&amp;'Funnel setup'!$K$4&amp;'Funnel setup'!$K$5,".",IF(A873=".",1,A873+1))</f>
        <v>170</v>
      </c>
      <c r="B874" s="431" t="str">
        <f t="shared" si="13"/>
        <v>Groin HerniaProviderPORTSMOUTH HOSPITALS NHS TRUST (RHU)EQ-5D Index</v>
      </c>
      <c r="C874" t="s">
        <v>50</v>
      </c>
      <c r="D874" t="s">
        <v>1</v>
      </c>
      <c r="E874" t="s">
        <v>3234</v>
      </c>
      <c r="F874" t="s">
        <v>3235</v>
      </c>
      <c r="G874" t="s">
        <v>52</v>
      </c>
      <c r="H874">
        <v>76</v>
      </c>
      <c r="I874">
        <v>0.80400000000000005</v>
      </c>
      <c r="J874">
        <v>0.89</v>
      </c>
      <c r="K874">
        <v>8.5000000000000006E-2</v>
      </c>
      <c r="L874">
        <v>37</v>
      </c>
      <c r="M874">
        <v>24</v>
      </c>
      <c r="N874">
        <v>15</v>
      </c>
      <c r="O874">
        <v>0.88200000000000001</v>
      </c>
      <c r="P874">
        <v>8.8446668000000006E-2</v>
      </c>
      <c r="Q874">
        <v>0.13600000000000001</v>
      </c>
    </row>
    <row r="875" spans="1:17" s="30" customFormat="1" x14ac:dyDescent="0.2">
      <c r="A875" s="30">
        <f>IF(C875&amp;G875&amp;D875&lt;&gt;'Funnel setup'!$K$3&amp;'Funnel setup'!$K$4&amp;'Funnel setup'!$K$5,".",IF(A874=".",1,A874+1))</f>
        <v>171</v>
      </c>
      <c r="B875" s="431" t="str">
        <f t="shared" si="13"/>
        <v>Groin HerniaProviderRENACRES HOSPITAL (NVC16)EQ-5D Index</v>
      </c>
      <c r="C875" t="s">
        <v>50</v>
      </c>
      <c r="D875" t="s">
        <v>1</v>
      </c>
      <c r="E875" t="s">
        <v>3237</v>
      </c>
      <c r="F875" t="s">
        <v>3238</v>
      </c>
      <c r="G875" t="s">
        <v>52</v>
      </c>
      <c r="H875">
        <v>82</v>
      </c>
      <c r="I875">
        <v>0.76600000000000001</v>
      </c>
      <c r="J875">
        <v>0.86099999999999999</v>
      </c>
      <c r="K875">
        <v>9.5000000000000001E-2</v>
      </c>
      <c r="L875">
        <v>44</v>
      </c>
      <c r="M875">
        <v>25</v>
      </c>
      <c r="N875">
        <v>13</v>
      </c>
      <c r="O875">
        <v>0.874</v>
      </c>
      <c r="P875">
        <v>8.0986986999999996E-2</v>
      </c>
      <c r="Q875">
        <v>0.17399999999999999</v>
      </c>
    </row>
    <row r="876" spans="1:17" s="30" customFormat="1" x14ac:dyDescent="0.2">
      <c r="A876" s="30">
        <f>IF(C876&amp;G876&amp;D876&lt;&gt;'Funnel setup'!$K$3&amp;'Funnel setup'!$K$4&amp;'Funnel setup'!$K$5,".",IF(A875=".",1,A875+1))</f>
        <v>172</v>
      </c>
      <c r="B876" s="431" t="str">
        <f t="shared" si="13"/>
        <v>Groin HerniaProviderRIVERS HOSPITAL (NVC19)EQ-5D Index</v>
      </c>
      <c r="C876" t="s">
        <v>50</v>
      </c>
      <c r="D876" t="s">
        <v>1</v>
      </c>
      <c r="E876" t="s">
        <v>3204</v>
      </c>
      <c r="F876" t="s">
        <v>3205</v>
      </c>
      <c r="G876" t="s">
        <v>52</v>
      </c>
      <c r="H876">
        <v>111</v>
      </c>
      <c r="I876">
        <v>0.77700000000000002</v>
      </c>
      <c r="J876">
        <v>0.88400000000000001</v>
      </c>
      <c r="K876">
        <v>0.107</v>
      </c>
      <c r="L876">
        <v>53</v>
      </c>
      <c r="M876">
        <v>47</v>
      </c>
      <c r="N876">
        <v>11</v>
      </c>
      <c r="O876">
        <v>0.875</v>
      </c>
      <c r="P876">
        <v>8.1219313000000001E-2</v>
      </c>
      <c r="Q876">
        <v>0.14299999999999999</v>
      </c>
    </row>
    <row r="877" spans="1:17" s="30" customFormat="1" x14ac:dyDescent="0.2">
      <c r="A877" s="30">
        <f>IF(C877&amp;G877&amp;D877&lt;&gt;'Funnel setup'!$K$3&amp;'Funnel setup'!$K$4&amp;'Funnel setup'!$K$5,".",IF(A876=".",1,A876+1))</f>
        <v>173</v>
      </c>
      <c r="B877" s="431" t="str">
        <f t="shared" si="13"/>
        <v>Groin HerniaProviderROWLEY HALL HOSPITAL (NVC17)EQ-5D Index</v>
      </c>
      <c r="C877" t="s">
        <v>50</v>
      </c>
      <c r="D877" t="s">
        <v>1</v>
      </c>
      <c r="E877" t="s">
        <v>3207</v>
      </c>
      <c r="F877" t="s">
        <v>3208</v>
      </c>
      <c r="G877" t="s">
        <v>52</v>
      </c>
      <c r="H877">
        <v>27</v>
      </c>
      <c r="I877">
        <v>0.83099999999999996</v>
      </c>
      <c r="J877">
        <v>0.871</v>
      </c>
      <c r="K877">
        <v>3.9E-2</v>
      </c>
      <c r="L877">
        <v>12</v>
      </c>
      <c r="M877">
        <v>9</v>
      </c>
      <c r="N877">
        <v>6</v>
      </c>
      <c r="O877" t="s">
        <v>53</v>
      </c>
      <c r="P877" t="s">
        <v>53</v>
      </c>
      <c r="Q877" t="s">
        <v>53</v>
      </c>
    </row>
    <row r="878" spans="1:17" s="30" customFormat="1" x14ac:dyDescent="0.2">
      <c r="A878" s="30">
        <f>IF(C878&amp;G878&amp;D878&lt;&gt;'Funnel setup'!$K$3&amp;'Funnel setup'!$K$4&amp;'Funnel setup'!$K$5,".",IF(A877=".",1,A877+1))</f>
        <v>174</v>
      </c>
      <c r="B878" s="431" t="str">
        <f t="shared" si="13"/>
        <v>Groin HerniaProviderROYAL BERKSHIRE NHS FOUNDATION TRUST (RHW)EQ-5D Index</v>
      </c>
      <c r="C878" t="s">
        <v>50</v>
      </c>
      <c r="D878" t="s">
        <v>1</v>
      </c>
      <c r="E878" t="s">
        <v>3832</v>
      </c>
      <c r="F878" t="s">
        <v>3833</v>
      </c>
      <c r="G878" t="s">
        <v>52</v>
      </c>
      <c r="H878">
        <v>71</v>
      </c>
      <c r="I878">
        <v>0.80200000000000005</v>
      </c>
      <c r="J878">
        <v>0.88700000000000001</v>
      </c>
      <c r="K878">
        <v>8.5000000000000006E-2</v>
      </c>
      <c r="L878">
        <v>36</v>
      </c>
      <c r="M878">
        <v>25</v>
      </c>
      <c r="N878">
        <v>10</v>
      </c>
      <c r="O878">
        <v>0.873</v>
      </c>
      <c r="P878">
        <v>7.9829477999999995E-2</v>
      </c>
      <c r="Q878">
        <v>0.156</v>
      </c>
    </row>
    <row r="879" spans="1:17" s="30" customFormat="1" x14ac:dyDescent="0.2">
      <c r="A879" s="30">
        <f>IF(C879&amp;G879&amp;D879&lt;&gt;'Funnel setup'!$K$3&amp;'Funnel setup'!$K$4&amp;'Funnel setup'!$K$5,".",IF(A878=".",1,A878+1))</f>
        <v>175</v>
      </c>
      <c r="B879" s="431" t="str">
        <f t="shared" si="13"/>
        <v>Groin HerniaProviderROYAL CORNWALL HOSPITALS NHS TRUST (REF)EQ-5D Index</v>
      </c>
      <c r="C879" t="s">
        <v>50</v>
      </c>
      <c r="D879" t="s">
        <v>1</v>
      </c>
      <c r="E879" t="s">
        <v>3745</v>
      </c>
      <c r="F879" t="s">
        <v>3746</v>
      </c>
      <c r="G879" t="s">
        <v>52</v>
      </c>
      <c r="H879">
        <v>109</v>
      </c>
      <c r="I879">
        <v>0.82099999999999995</v>
      </c>
      <c r="J879">
        <v>0.88700000000000001</v>
      </c>
      <c r="K879">
        <v>6.6000000000000003E-2</v>
      </c>
      <c r="L879">
        <v>55</v>
      </c>
      <c r="M879">
        <v>38</v>
      </c>
      <c r="N879">
        <v>16</v>
      </c>
      <c r="O879">
        <v>0.88600000000000001</v>
      </c>
      <c r="P879">
        <v>9.2522706999999996E-2</v>
      </c>
      <c r="Q879">
        <v>0.13400000000000001</v>
      </c>
    </row>
    <row r="880" spans="1:17" s="30" customFormat="1" x14ac:dyDescent="0.2">
      <c r="A880" s="30">
        <f>IF(C880&amp;G880&amp;D880&lt;&gt;'Funnel setup'!$K$3&amp;'Funnel setup'!$K$4&amp;'Funnel setup'!$K$5,".",IF(A879=".",1,A879+1))</f>
        <v>176</v>
      </c>
      <c r="B880" s="431" t="str">
        <f t="shared" si="13"/>
        <v>Groin HerniaProviderROYAL DEVON AND EXETER NHS FOUNDATION TRUST (RH8)EQ-5D Index</v>
      </c>
      <c r="C880" t="s">
        <v>50</v>
      </c>
      <c r="D880" t="s">
        <v>1</v>
      </c>
      <c r="E880" t="s">
        <v>3442</v>
      </c>
      <c r="F880" t="s">
        <v>3443</v>
      </c>
      <c r="G880" t="s">
        <v>52</v>
      </c>
      <c r="H880">
        <v>238</v>
      </c>
      <c r="I880">
        <v>0.76100000000000001</v>
      </c>
      <c r="J880">
        <v>0.89500000000000002</v>
      </c>
      <c r="K880">
        <v>0.13400000000000001</v>
      </c>
      <c r="L880">
        <v>145</v>
      </c>
      <c r="M880">
        <v>67</v>
      </c>
      <c r="N880">
        <v>26</v>
      </c>
      <c r="O880">
        <v>0.89400000000000002</v>
      </c>
      <c r="P880">
        <v>0.10103403499999999</v>
      </c>
      <c r="Q880">
        <v>0.14899999999999999</v>
      </c>
    </row>
    <row r="881" spans="1:17" s="30" customFormat="1" x14ac:dyDescent="0.2">
      <c r="A881" s="30">
        <f>IF(C881&amp;G881&amp;D881&lt;&gt;'Funnel setup'!$K$3&amp;'Funnel setup'!$K$4&amp;'Funnel setup'!$K$5,".",IF(A880=".",1,A880+1))</f>
        <v>177</v>
      </c>
      <c r="B881" s="431" t="str">
        <f t="shared" si="13"/>
        <v>Groin HerniaProviderROYAL FREE LONDON NHS FOUNDATION TRUST (RAL)EQ-5D Index</v>
      </c>
      <c r="C881" t="s">
        <v>50</v>
      </c>
      <c r="D881" t="s">
        <v>1</v>
      </c>
      <c r="E881" t="s">
        <v>3445</v>
      </c>
      <c r="F881" t="s">
        <v>3446</v>
      </c>
      <c r="G881" t="s">
        <v>52</v>
      </c>
      <c r="H881">
        <v>18</v>
      </c>
      <c r="I881">
        <v>0.77200000000000002</v>
      </c>
      <c r="J881">
        <v>0.80200000000000005</v>
      </c>
      <c r="K881">
        <v>0.03</v>
      </c>
      <c r="L881">
        <v>10</v>
      </c>
      <c r="M881">
        <v>4</v>
      </c>
      <c r="N881">
        <v>4</v>
      </c>
      <c r="O881" t="s">
        <v>53</v>
      </c>
      <c r="P881" t="s">
        <v>53</v>
      </c>
      <c r="Q881" t="s">
        <v>53</v>
      </c>
    </row>
    <row r="882" spans="1:17" s="30" customFormat="1" x14ac:dyDescent="0.2">
      <c r="A882" s="30">
        <f>IF(C882&amp;G882&amp;D882&lt;&gt;'Funnel setup'!$K$3&amp;'Funnel setup'!$K$4&amp;'Funnel setup'!$K$5,".",IF(A881=".",1,A881+1))</f>
        <v>178</v>
      </c>
      <c r="B882" s="431" t="str">
        <f t="shared" si="13"/>
        <v>Groin HerniaProviderROYAL LIVERPOOL AND BROADGREEN UNIVERSITY HOSPITALS NHS TRUST (RQ6)EQ-5D Index</v>
      </c>
      <c r="C882" t="s">
        <v>50</v>
      </c>
      <c r="D882" t="s">
        <v>1</v>
      </c>
      <c r="E882" t="s">
        <v>3448</v>
      </c>
      <c r="F882" t="s">
        <v>3449</v>
      </c>
      <c r="G882" t="s">
        <v>52</v>
      </c>
      <c r="H882">
        <v>76</v>
      </c>
      <c r="I882">
        <v>0.76800000000000002</v>
      </c>
      <c r="J882">
        <v>0.84699999999999998</v>
      </c>
      <c r="K882">
        <v>7.9000000000000001E-2</v>
      </c>
      <c r="L882">
        <v>44</v>
      </c>
      <c r="M882">
        <v>20</v>
      </c>
      <c r="N882">
        <v>12</v>
      </c>
      <c r="O882">
        <v>0.88500000000000001</v>
      </c>
      <c r="P882">
        <v>9.1845047999999999E-2</v>
      </c>
      <c r="Q882">
        <v>0.19400000000000001</v>
      </c>
    </row>
    <row r="883" spans="1:17" s="30" customFormat="1" x14ac:dyDescent="0.2">
      <c r="A883" s="30">
        <f>IF(C883&amp;G883&amp;D883&lt;&gt;'Funnel setup'!$K$3&amp;'Funnel setup'!$K$4&amp;'Funnel setup'!$K$5,".",IF(A882=".",1,A882+1))</f>
        <v>179</v>
      </c>
      <c r="B883" s="431" t="str">
        <f t="shared" si="13"/>
        <v>Groin HerniaProviderROYAL SURREY COUNTY HOSPITAL NHS FOUNDATION TRUST (RA2)EQ-5D Index</v>
      </c>
      <c r="C883" t="s">
        <v>50</v>
      </c>
      <c r="D883" t="s">
        <v>1</v>
      </c>
      <c r="E883" t="s">
        <v>3451</v>
      </c>
      <c r="F883" t="s">
        <v>3452</v>
      </c>
      <c r="G883" t="s">
        <v>52</v>
      </c>
      <c r="H883">
        <v>162</v>
      </c>
      <c r="I883">
        <v>0.79200000000000004</v>
      </c>
      <c r="J883">
        <v>0.90400000000000003</v>
      </c>
      <c r="K883">
        <v>0.112</v>
      </c>
      <c r="L883">
        <v>97</v>
      </c>
      <c r="M883">
        <v>47</v>
      </c>
      <c r="N883">
        <v>18</v>
      </c>
      <c r="O883">
        <v>0.89200000000000002</v>
      </c>
      <c r="P883">
        <v>9.8828581999999998E-2</v>
      </c>
      <c r="Q883">
        <v>0.16</v>
      </c>
    </row>
    <row r="884" spans="1:17" s="30" customFormat="1" x14ac:dyDescent="0.2">
      <c r="A884" s="30">
        <f>IF(C884&amp;G884&amp;D884&lt;&gt;'Funnel setup'!$K$3&amp;'Funnel setup'!$K$4&amp;'Funnel setup'!$K$5,".",IF(A883=".",1,A883+1))</f>
        <v>180</v>
      </c>
      <c r="B884" s="431" t="str">
        <f t="shared" si="13"/>
        <v>Groin HerniaProviderROYAL UNITED HOSPITALS BATH NHS FOUNDATION TRUST (RD1)EQ-5D Index</v>
      </c>
      <c r="C884" t="s">
        <v>50</v>
      </c>
      <c r="D884" t="s">
        <v>1</v>
      </c>
      <c r="E884" t="s">
        <v>3454</v>
      </c>
      <c r="F884" t="s">
        <v>3455</v>
      </c>
      <c r="G884" t="s">
        <v>52</v>
      </c>
      <c r="H884">
        <v>101</v>
      </c>
      <c r="I884">
        <v>0.81200000000000006</v>
      </c>
      <c r="J884">
        <v>0.872</v>
      </c>
      <c r="K884">
        <v>5.8999999999999997E-2</v>
      </c>
      <c r="L884">
        <v>44</v>
      </c>
      <c r="M884">
        <v>35</v>
      </c>
      <c r="N884">
        <v>22</v>
      </c>
      <c r="O884">
        <v>0.871</v>
      </c>
      <c r="P884">
        <v>7.7328656999999995E-2</v>
      </c>
      <c r="Q884">
        <v>0.16300000000000001</v>
      </c>
    </row>
    <row r="885" spans="1:17" s="30" customFormat="1" x14ac:dyDescent="0.2">
      <c r="A885" s="30">
        <f>IF(C885&amp;G885&amp;D885&lt;&gt;'Funnel setup'!$K$3&amp;'Funnel setup'!$K$4&amp;'Funnel setup'!$K$5,".",IF(A884=".",1,A884+1))</f>
        <v>181</v>
      </c>
      <c r="B885" s="431" t="str">
        <f t="shared" si="13"/>
        <v>Groin HerniaProviderSALFORD ROYAL NHS FOUNDATION TRUST (RM3)EQ-5D Index</v>
      </c>
      <c r="C885" t="s">
        <v>50</v>
      </c>
      <c r="D885" t="s">
        <v>1</v>
      </c>
      <c r="E885" t="s">
        <v>3457</v>
      </c>
      <c r="F885" t="s">
        <v>3458</v>
      </c>
      <c r="G885" t="s">
        <v>52</v>
      </c>
      <c r="H885">
        <v>34</v>
      </c>
      <c r="I885">
        <v>0.84899999999999998</v>
      </c>
      <c r="J885">
        <v>0.85499999999999998</v>
      </c>
      <c r="K885">
        <v>6.0000000000000001E-3</v>
      </c>
      <c r="L885">
        <v>11</v>
      </c>
      <c r="M885">
        <v>13</v>
      </c>
      <c r="N885">
        <v>10</v>
      </c>
      <c r="O885">
        <v>0.84199999999999997</v>
      </c>
      <c r="P885">
        <v>4.8562352000000003E-2</v>
      </c>
      <c r="Q885">
        <v>0.187</v>
      </c>
    </row>
    <row r="886" spans="1:17" s="30" customFormat="1" x14ac:dyDescent="0.2">
      <c r="A886" s="30">
        <f>IF(C886&amp;G886&amp;D886&lt;&gt;'Funnel setup'!$K$3&amp;'Funnel setup'!$K$4&amp;'Funnel setup'!$K$5,".",IF(A885=".",1,A885+1))</f>
        <v>182</v>
      </c>
      <c r="B886" s="431" t="str">
        <f t="shared" si="13"/>
        <v>Groin HerniaProviderSALISBURY NHS FOUNDATION TRUST (RNZ)EQ-5D Index</v>
      </c>
      <c r="C886" t="s">
        <v>50</v>
      </c>
      <c r="D886" t="s">
        <v>1</v>
      </c>
      <c r="E886" t="s">
        <v>3460</v>
      </c>
      <c r="F886" t="s">
        <v>3461</v>
      </c>
      <c r="G886" t="s">
        <v>52</v>
      </c>
      <c r="H886">
        <v>61</v>
      </c>
      <c r="I886">
        <v>0.78800000000000003</v>
      </c>
      <c r="J886">
        <v>0.91900000000000004</v>
      </c>
      <c r="K886">
        <v>0.13</v>
      </c>
      <c r="L886">
        <v>36</v>
      </c>
      <c r="M886">
        <v>20</v>
      </c>
      <c r="N886">
        <v>5</v>
      </c>
      <c r="O886">
        <v>0.91300000000000003</v>
      </c>
      <c r="P886">
        <v>0.119604209</v>
      </c>
      <c r="Q886">
        <v>0.16500000000000001</v>
      </c>
    </row>
    <row r="887" spans="1:17" s="30" customFormat="1" x14ac:dyDescent="0.2">
      <c r="A887" s="30">
        <f>IF(C887&amp;G887&amp;D887&lt;&gt;'Funnel setup'!$K$3&amp;'Funnel setup'!$K$4&amp;'Funnel setup'!$K$5,".",IF(A886=".",1,A886+1))</f>
        <v>183</v>
      </c>
      <c r="B887" s="431" t="str">
        <f t="shared" si="13"/>
        <v>Groin HerniaProviderSANDWELL AND WEST BIRMINGHAM HOSPITALS NHS TRUST (RXK)EQ-5D Index</v>
      </c>
      <c r="C887" t="s">
        <v>50</v>
      </c>
      <c r="D887" t="s">
        <v>1</v>
      </c>
      <c r="E887" t="s">
        <v>3463</v>
      </c>
      <c r="F887" t="s">
        <v>3464</v>
      </c>
      <c r="G887" t="s">
        <v>52</v>
      </c>
      <c r="H887">
        <v>157</v>
      </c>
      <c r="I887">
        <v>0.78900000000000003</v>
      </c>
      <c r="J887">
        <v>0.82699999999999996</v>
      </c>
      <c r="K887">
        <v>3.7999999999999999E-2</v>
      </c>
      <c r="L887">
        <v>69</v>
      </c>
      <c r="M887">
        <v>47</v>
      </c>
      <c r="N887">
        <v>41</v>
      </c>
      <c r="O887">
        <v>0.85199999999999998</v>
      </c>
      <c r="P887">
        <v>5.8628701999999998E-2</v>
      </c>
      <c r="Q887">
        <v>0.16900000000000001</v>
      </c>
    </row>
    <row r="888" spans="1:17" s="30" customFormat="1" x14ac:dyDescent="0.2">
      <c r="A888" s="30">
        <f>IF(C888&amp;G888&amp;D888&lt;&gt;'Funnel setup'!$K$3&amp;'Funnel setup'!$K$4&amp;'Funnel setup'!$K$5,".",IF(A887=".",1,A887+1))</f>
        <v>184</v>
      </c>
      <c r="B888" s="431" t="str">
        <f t="shared" si="13"/>
        <v>Groin HerniaProviderSHEFFIELD TEACHING HOSPITALS NHS FOUNDATION TRUST (RHQ)EQ-5D Index</v>
      </c>
      <c r="C888" t="s">
        <v>50</v>
      </c>
      <c r="D888" t="s">
        <v>1</v>
      </c>
      <c r="E888" t="s">
        <v>3466</v>
      </c>
      <c r="F888" t="s">
        <v>3467</v>
      </c>
      <c r="G888" t="s">
        <v>52</v>
      </c>
      <c r="H888">
        <v>189</v>
      </c>
      <c r="I888">
        <v>0.76900000000000002</v>
      </c>
      <c r="J888">
        <v>0.81</v>
      </c>
      <c r="K888">
        <v>4.1000000000000002E-2</v>
      </c>
      <c r="L888">
        <v>79</v>
      </c>
      <c r="M888">
        <v>59</v>
      </c>
      <c r="N888">
        <v>51</v>
      </c>
      <c r="O888">
        <v>0.84299999999999997</v>
      </c>
      <c r="P888">
        <v>4.9513359E-2</v>
      </c>
      <c r="Q888">
        <v>0.19500000000000001</v>
      </c>
    </row>
    <row r="889" spans="1:17" s="30" customFormat="1" x14ac:dyDescent="0.2">
      <c r="A889" s="30">
        <f>IF(C889&amp;G889&amp;D889&lt;&gt;'Funnel setup'!$K$3&amp;'Funnel setup'!$K$4&amp;'Funnel setup'!$K$5,".",IF(A888=".",1,A888+1))</f>
        <v>185</v>
      </c>
      <c r="B889" s="431" t="str">
        <f t="shared" si="13"/>
        <v>Groin HerniaProviderSHEPTON MALLET NHS TREATMENT CENTRE (NTPH1)EQ-5D Index</v>
      </c>
      <c r="C889" t="s">
        <v>50</v>
      </c>
      <c r="D889" t="s">
        <v>1</v>
      </c>
      <c r="E889" t="s">
        <v>3472</v>
      </c>
      <c r="F889" t="s">
        <v>3473</v>
      </c>
      <c r="G889" t="s">
        <v>52</v>
      </c>
      <c r="H889">
        <v>192</v>
      </c>
      <c r="I889">
        <v>0.82799999999999996</v>
      </c>
      <c r="J889">
        <v>0.88900000000000001</v>
      </c>
      <c r="K889">
        <v>0.06</v>
      </c>
      <c r="L889">
        <v>87</v>
      </c>
      <c r="M889">
        <v>65</v>
      </c>
      <c r="N889">
        <v>40</v>
      </c>
      <c r="O889">
        <v>0.86099999999999999</v>
      </c>
      <c r="P889">
        <v>6.7259847999999997E-2</v>
      </c>
      <c r="Q889">
        <v>0.16400000000000001</v>
      </c>
    </row>
    <row r="890" spans="1:17" s="30" customFormat="1" x14ac:dyDescent="0.2">
      <c r="A890" s="30">
        <f>IF(C890&amp;G890&amp;D890&lt;&gt;'Funnel setup'!$K$3&amp;'Funnel setup'!$K$4&amp;'Funnel setup'!$K$5,".",IF(A889=".",1,A889+1))</f>
        <v>186</v>
      </c>
      <c r="B890" s="431" t="str">
        <f t="shared" si="13"/>
        <v>Groin HerniaProviderSHERWOOD FOREST HOSPITALS NHS FOUNDATION TRUST (RK5)EQ-5D Index</v>
      </c>
      <c r="C890" t="s">
        <v>50</v>
      </c>
      <c r="D890" t="s">
        <v>1</v>
      </c>
      <c r="E890" t="s">
        <v>3475</v>
      </c>
      <c r="F890" t="s">
        <v>3476</v>
      </c>
      <c r="G890" t="s">
        <v>52</v>
      </c>
      <c r="H890">
        <v>240</v>
      </c>
      <c r="I890">
        <v>0.76300000000000001</v>
      </c>
      <c r="J890">
        <v>0.86</v>
      </c>
      <c r="K890">
        <v>9.7000000000000003E-2</v>
      </c>
      <c r="L890">
        <v>129</v>
      </c>
      <c r="M890">
        <v>62</v>
      </c>
      <c r="N890">
        <v>49</v>
      </c>
      <c r="O890">
        <v>0.88100000000000001</v>
      </c>
      <c r="P890">
        <v>8.7303250999999998E-2</v>
      </c>
      <c r="Q890">
        <v>0.14199999999999999</v>
      </c>
    </row>
    <row r="891" spans="1:17" s="30" customFormat="1" x14ac:dyDescent="0.2">
      <c r="A891" s="30">
        <f>IF(C891&amp;G891&amp;D891&lt;&gt;'Funnel setup'!$K$3&amp;'Funnel setup'!$K$4&amp;'Funnel setup'!$K$5,".",IF(A890=".",1,A890+1))</f>
        <v>187</v>
      </c>
      <c r="B891" s="431" t="str">
        <f t="shared" si="13"/>
        <v>Groin HerniaProviderSHREWSBURY AND TELFORD HOSPITAL NHS TRUST (RXW)EQ-5D Index</v>
      </c>
      <c r="C891" t="s">
        <v>50</v>
      </c>
      <c r="D891" t="s">
        <v>1</v>
      </c>
      <c r="E891" t="s">
        <v>3478</v>
      </c>
      <c r="F891" t="s">
        <v>3479</v>
      </c>
      <c r="G891" t="s">
        <v>52</v>
      </c>
      <c r="H891">
        <v>176</v>
      </c>
      <c r="I891">
        <v>0.74399999999999999</v>
      </c>
      <c r="J891">
        <v>0.872</v>
      </c>
      <c r="K891">
        <v>0.128</v>
      </c>
      <c r="L891">
        <v>117</v>
      </c>
      <c r="M891">
        <v>34</v>
      </c>
      <c r="N891">
        <v>25</v>
      </c>
      <c r="O891">
        <v>0.879</v>
      </c>
      <c r="P891">
        <v>8.5662910999999994E-2</v>
      </c>
      <c r="Q891">
        <v>0.18099999999999999</v>
      </c>
    </row>
    <row r="892" spans="1:17" s="30" customFormat="1" x14ac:dyDescent="0.2">
      <c r="A892" s="30">
        <f>IF(C892&amp;G892&amp;D892&lt;&gt;'Funnel setup'!$K$3&amp;'Funnel setup'!$K$4&amp;'Funnel setup'!$K$5,".",IF(A891=".",1,A891+1))</f>
        <v>188</v>
      </c>
      <c r="B892" s="431" t="str">
        <f t="shared" si="13"/>
        <v>Groin HerniaProviderSOUTH TEES HOSPITALS NHS FOUNDATION TRUST (RTR)EQ-5D Index</v>
      </c>
      <c r="C892" t="s">
        <v>50</v>
      </c>
      <c r="D892" t="s">
        <v>1</v>
      </c>
      <c r="E892" t="s">
        <v>3482</v>
      </c>
      <c r="F892" t="s">
        <v>3483</v>
      </c>
      <c r="G892" t="s">
        <v>52</v>
      </c>
      <c r="H892">
        <v>112</v>
      </c>
      <c r="I892">
        <v>0.76100000000000001</v>
      </c>
      <c r="J892">
        <v>0.874</v>
      </c>
      <c r="K892">
        <v>0.113</v>
      </c>
      <c r="L892">
        <v>67</v>
      </c>
      <c r="M892">
        <v>24</v>
      </c>
      <c r="N892">
        <v>21</v>
      </c>
      <c r="O892">
        <v>0.88900000000000001</v>
      </c>
      <c r="P892">
        <v>9.5664431999999994E-2</v>
      </c>
      <c r="Q892">
        <v>0.16900000000000001</v>
      </c>
    </row>
    <row r="893" spans="1:17" s="30" customFormat="1" x14ac:dyDescent="0.2">
      <c r="A893" s="30">
        <f>IF(C893&amp;G893&amp;D893&lt;&gt;'Funnel setup'!$K$3&amp;'Funnel setup'!$K$4&amp;'Funnel setup'!$K$5,".",IF(A892=".",1,A892+1))</f>
        <v>189</v>
      </c>
      <c r="B893" s="431" t="str">
        <f t="shared" si="13"/>
        <v>Groin HerniaProviderSOUTH TYNESIDE NHS FOUNDATION TRUST (RE9)EQ-5D Index</v>
      </c>
      <c r="C893" t="s">
        <v>50</v>
      </c>
      <c r="D893" t="s">
        <v>1</v>
      </c>
      <c r="E893" t="s">
        <v>3485</v>
      </c>
      <c r="F893" t="s">
        <v>3486</v>
      </c>
      <c r="G893" t="s">
        <v>52</v>
      </c>
      <c r="H893">
        <v>60</v>
      </c>
      <c r="I893">
        <v>0.76700000000000002</v>
      </c>
      <c r="J893">
        <v>0.80600000000000005</v>
      </c>
      <c r="K893">
        <v>3.9E-2</v>
      </c>
      <c r="L893">
        <v>27</v>
      </c>
      <c r="M893">
        <v>17</v>
      </c>
      <c r="N893">
        <v>16</v>
      </c>
      <c r="O893">
        <v>0.82199999999999995</v>
      </c>
      <c r="P893">
        <v>2.8492366000000002E-2</v>
      </c>
      <c r="Q893">
        <v>0.16700000000000001</v>
      </c>
    </row>
    <row r="894" spans="1:17" s="30" customFormat="1" x14ac:dyDescent="0.2">
      <c r="A894" s="30">
        <f>IF(C894&amp;G894&amp;D894&lt;&gt;'Funnel setup'!$K$3&amp;'Funnel setup'!$K$4&amp;'Funnel setup'!$K$5,".",IF(A893=".",1,A893+1))</f>
        <v>190</v>
      </c>
      <c r="B894" s="431" t="str">
        <f t="shared" si="13"/>
        <v>Groin HerniaProviderSOUTH WARWICKSHIRE NHS FOUNDATION TRUST (RJC)EQ-5D Index</v>
      </c>
      <c r="C894" t="s">
        <v>50</v>
      </c>
      <c r="D894" t="s">
        <v>1</v>
      </c>
      <c r="E894" t="s">
        <v>3421</v>
      </c>
      <c r="F894" t="s">
        <v>3422</v>
      </c>
      <c r="G894" t="s">
        <v>52</v>
      </c>
      <c r="H894">
        <v>195</v>
      </c>
      <c r="I894">
        <v>0.78500000000000003</v>
      </c>
      <c r="J894">
        <v>0.89600000000000002</v>
      </c>
      <c r="K894">
        <v>0.11</v>
      </c>
      <c r="L894">
        <v>111</v>
      </c>
      <c r="M894">
        <v>65</v>
      </c>
      <c r="N894">
        <v>19</v>
      </c>
      <c r="O894">
        <v>0.89</v>
      </c>
      <c r="P894">
        <v>9.6472132000000002E-2</v>
      </c>
      <c r="Q894">
        <v>0.14000000000000001</v>
      </c>
    </row>
    <row r="895" spans="1:17" s="30" customFormat="1" x14ac:dyDescent="0.2">
      <c r="A895" s="30">
        <f>IF(C895&amp;G895&amp;D895&lt;&gt;'Funnel setup'!$K$3&amp;'Funnel setup'!$K$4&amp;'Funnel setup'!$K$5,".",IF(A894=".",1,A894+1))</f>
        <v>191</v>
      </c>
      <c r="B895" s="431" t="str">
        <f t="shared" si="13"/>
        <v>Groin HerniaProviderSOUTHAMPTON NHS TREATMENT CENTRE (NTP11)EQ-5D Index</v>
      </c>
      <c r="C895" t="s">
        <v>50</v>
      </c>
      <c r="D895" t="s">
        <v>1</v>
      </c>
      <c r="E895" t="s">
        <v>3424</v>
      </c>
      <c r="F895" t="s">
        <v>3425</v>
      </c>
      <c r="G895" t="s">
        <v>52</v>
      </c>
      <c r="H895">
        <v>129</v>
      </c>
      <c r="I895">
        <v>0.84099999999999997</v>
      </c>
      <c r="J895">
        <v>0.91</v>
      </c>
      <c r="K895">
        <v>6.8000000000000005E-2</v>
      </c>
      <c r="L895">
        <v>58</v>
      </c>
      <c r="M895">
        <v>50</v>
      </c>
      <c r="N895">
        <v>21</v>
      </c>
      <c r="O895">
        <v>0.88</v>
      </c>
      <c r="P895">
        <v>8.7035871000000001E-2</v>
      </c>
      <c r="Q895">
        <v>0.124</v>
      </c>
    </row>
    <row r="896" spans="1:17" s="30" customFormat="1" x14ac:dyDescent="0.2">
      <c r="A896" s="30">
        <f>IF(C896&amp;G896&amp;D896&lt;&gt;'Funnel setup'!$K$3&amp;'Funnel setup'!$K$4&amp;'Funnel setup'!$K$5,".",IF(A895=".",1,A895+1))</f>
        <v>192</v>
      </c>
      <c r="B896" s="431" t="str">
        <f t="shared" si="13"/>
        <v>Groin HerniaProviderSOUTHEND UNIVERSITY HOSPITAL NHS FOUNDATION TRUST (RAJ)EQ-5D Index</v>
      </c>
      <c r="C896" t="s">
        <v>50</v>
      </c>
      <c r="D896" t="s">
        <v>1</v>
      </c>
      <c r="E896" t="s">
        <v>3427</v>
      </c>
      <c r="F896" t="s">
        <v>3428</v>
      </c>
      <c r="G896" t="s">
        <v>52</v>
      </c>
      <c r="H896">
        <v>81</v>
      </c>
      <c r="I896">
        <v>0.80600000000000005</v>
      </c>
      <c r="J896">
        <v>0.89800000000000002</v>
      </c>
      <c r="K896">
        <v>9.1999999999999998E-2</v>
      </c>
      <c r="L896">
        <v>43</v>
      </c>
      <c r="M896">
        <v>22</v>
      </c>
      <c r="N896">
        <v>16</v>
      </c>
      <c r="O896">
        <v>0.89300000000000002</v>
      </c>
      <c r="P896">
        <v>9.9949494E-2</v>
      </c>
      <c r="Q896">
        <v>0.13300000000000001</v>
      </c>
    </row>
    <row r="897" spans="1:17" s="30" customFormat="1" x14ac:dyDescent="0.2">
      <c r="A897" s="30">
        <f>IF(C897&amp;G897&amp;D897&lt;&gt;'Funnel setup'!$K$3&amp;'Funnel setup'!$K$4&amp;'Funnel setup'!$K$5,".",IF(A896=".",1,A896+1))</f>
        <v>193</v>
      </c>
      <c r="B897" s="431" t="str">
        <f t="shared" si="13"/>
        <v>Groin HerniaProviderSOUTHERN HEALTH NHS FOUNDATION TRUST (RW1)EQ-5D Index</v>
      </c>
      <c r="C897" t="s">
        <v>50</v>
      </c>
      <c r="D897" t="s">
        <v>1</v>
      </c>
      <c r="E897" t="s">
        <v>3406</v>
      </c>
      <c r="F897" t="s">
        <v>3407</v>
      </c>
      <c r="G897" t="s">
        <v>52</v>
      </c>
      <c r="H897">
        <v>66</v>
      </c>
      <c r="I897">
        <v>0.82099999999999995</v>
      </c>
      <c r="J897">
        <v>0.877</v>
      </c>
      <c r="K897">
        <v>5.6000000000000001E-2</v>
      </c>
      <c r="L897">
        <v>32</v>
      </c>
      <c r="M897">
        <v>24</v>
      </c>
      <c r="N897">
        <v>10</v>
      </c>
      <c r="O897">
        <v>0.84499999999999997</v>
      </c>
      <c r="P897">
        <v>5.1976034999999997E-2</v>
      </c>
      <c r="Q897">
        <v>0.217</v>
      </c>
    </row>
    <row r="898" spans="1:17" s="30" customFormat="1" x14ac:dyDescent="0.2">
      <c r="A898" s="30">
        <f>IF(C898&amp;G898&amp;D898&lt;&gt;'Funnel setup'!$K$3&amp;'Funnel setup'!$K$4&amp;'Funnel setup'!$K$5,".",IF(A897=".",1,A897+1))</f>
        <v>194</v>
      </c>
      <c r="B898" s="431" t="str">
        <f t="shared" si="13"/>
        <v>Groin HerniaProviderSOUTHPORT AND ORMSKIRK HOSPITAL NHS TRUST (RVY)EQ-5D Index</v>
      </c>
      <c r="C898" t="s">
        <v>50</v>
      </c>
      <c r="D898" t="s">
        <v>1</v>
      </c>
      <c r="E898" t="s">
        <v>3430</v>
      </c>
      <c r="F898" t="s">
        <v>3431</v>
      </c>
      <c r="G898" t="s">
        <v>52</v>
      </c>
      <c r="H898">
        <v>117</v>
      </c>
      <c r="I898">
        <v>0.80300000000000005</v>
      </c>
      <c r="J898">
        <v>0.86699999999999999</v>
      </c>
      <c r="K898">
        <v>6.3E-2</v>
      </c>
      <c r="L898">
        <v>61</v>
      </c>
      <c r="M898">
        <v>34</v>
      </c>
      <c r="N898">
        <v>22</v>
      </c>
      <c r="O898">
        <v>0.86399999999999999</v>
      </c>
      <c r="P898">
        <v>7.0971181999999994E-2</v>
      </c>
      <c r="Q898">
        <v>0.17100000000000001</v>
      </c>
    </row>
    <row r="899" spans="1:17" s="30" customFormat="1" x14ac:dyDescent="0.2">
      <c r="A899" s="30">
        <f>IF(C899&amp;G899&amp;D899&lt;&gt;'Funnel setup'!$K$3&amp;'Funnel setup'!$K$4&amp;'Funnel setup'!$K$5,".",IF(A898=".",1,A898+1))</f>
        <v>195</v>
      </c>
      <c r="B899" s="431" t="str">
        <f t="shared" ref="B899:B962" si="14">C899&amp;D899&amp;F899&amp;G899</f>
        <v>Groin HerniaProviderSPIRE ALEXANDRA HOSPITAL (NT312)EQ-5D Index</v>
      </c>
      <c r="C899" t="s">
        <v>50</v>
      </c>
      <c r="D899" t="s">
        <v>1</v>
      </c>
      <c r="E899" t="s">
        <v>3433</v>
      </c>
      <c r="F899" t="s">
        <v>3434</v>
      </c>
      <c r="G899" t="s">
        <v>52</v>
      </c>
      <c r="H899">
        <v>17</v>
      </c>
      <c r="I899">
        <v>0.82</v>
      </c>
      <c r="J899">
        <v>0.97599999999999998</v>
      </c>
      <c r="K899">
        <v>0.156</v>
      </c>
      <c r="L899">
        <v>13</v>
      </c>
      <c r="M899">
        <v>4</v>
      </c>
      <c r="N899">
        <v>0</v>
      </c>
      <c r="O899" t="s">
        <v>53</v>
      </c>
      <c r="P899" t="s">
        <v>53</v>
      </c>
      <c r="Q899" t="s">
        <v>53</v>
      </c>
    </row>
    <row r="900" spans="1:17" s="30" customFormat="1" x14ac:dyDescent="0.2">
      <c r="A900" s="30">
        <f>IF(C900&amp;G900&amp;D900&lt;&gt;'Funnel setup'!$K$3&amp;'Funnel setup'!$K$4&amp;'Funnel setup'!$K$5,".",IF(A899=".",1,A899+1))</f>
        <v>196</v>
      </c>
      <c r="B900" s="431" t="str">
        <f t="shared" si="14"/>
        <v>Groin HerniaProviderSPIRE CAMBRIDGE LEA HOSPITAL (NT317)EQ-5D Index</v>
      </c>
      <c r="C900" t="s">
        <v>50</v>
      </c>
      <c r="D900" t="s">
        <v>1</v>
      </c>
      <c r="E900" t="s">
        <v>3436</v>
      </c>
      <c r="F900" t="s">
        <v>3437</v>
      </c>
      <c r="G900" t="s">
        <v>52</v>
      </c>
      <c r="H900">
        <v>17</v>
      </c>
      <c r="I900">
        <v>0.77400000000000002</v>
      </c>
      <c r="J900">
        <v>0.90900000000000003</v>
      </c>
      <c r="K900">
        <v>0.13400000000000001</v>
      </c>
      <c r="L900">
        <v>10</v>
      </c>
      <c r="M900">
        <v>5</v>
      </c>
      <c r="N900">
        <v>2</v>
      </c>
      <c r="O900" t="s">
        <v>53</v>
      </c>
      <c r="P900" t="s">
        <v>53</v>
      </c>
      <c r="Q900" t="s">
        <v>53</v>
      </c>
    </row>
    <row r="901" spans="1:17" s="30" customFormat="1" x14ac:dyDescent="0.2">
      <c r="A901" s="30">
        <f>IF(C901&amp;G901&amp;D901&lt;&gt;'Funnel setup'!$K$3&amp;'Funnel setup'!$K$4&amp;'Funnel setup'!$K$5,".",IF(A900=".",1,A900+1))</f>
        <v>197</v>
      </c>
      <c r="B901" s="431" t="str">
        <f t="shared" si="14"/>
        <v>Groin HerniaProviderSPIRE CHESHIRE HOSPITAL (NT324)EQ-5D Index</v>
      </c>
      <c r="C901" t="s">
        <v>50</v>
      </c>
      <c r="D901" t="s">
        <v>1</v>
      </c>
      <c r="E901" t="s">
        <v>3439</v>
      </c>
      <c r="F901" t="s">
        <v>3440</v>
      </c>
      <c r="G901" t="s">
        <v>52</v>
      </c>
      <c r="H901">
        <v>29</v>
      </c>
      <c r="I901">
        <v>0.83</v>
      </c>
      <c r="J901">
        <v>0.91900000000000004</v>
      </c>
      <c r="K901">
        <v>8.8999999999999996E-2</v>
      </c>
      <c r="L901">
        <v>14</v>
      </c>
      <c r="M901">
        <v>12</v>
      </c>
      <c r="N901">
        <v>3</v>
      </c>
      <c r="O901" t="s">
        <v>53</v>
      </c>
      <c r="P901" t="s">
        <v>53</v>
      </c>
      <c r="Q901" t="s">
        <v>53</v>
      </c>
    </row>
    <row r="902" spans="1:17" s="30" customFormat="1" x14ac:dyDescent="0.2">
      <c r="A902" s="30">
        <f>IF(C902&amp;G902&amp;D902&lt;&gt;'Funnel setup'!$K$3&amp;'Funnel setup'!$K$4&amp;'Funnel setup'!$K$5,".",IF(A901=".",1,A901+1))</f>
        <v>198</v>
      </c>
      <c r="B902" s="431" t="str">
        <f t="shared" si="14"/>
        <v>Groin HerniaProviderSPIRE CLARE PARK HOSPITAL (NT345)EQ-5D Index</v>
      </c>
      <c r="C902" t="s">
        <v>50</v>
      </c>
      <c r="D902" t="s">
        <v>1</v>
      </c>
      <c r="E902" t="s">
        <v>3412</v>
      </c>
      <c r="F902" t="s">
        <v>3413</v>
      </c>
      <c r="G902" t="s">
        <v>52</v>
      </c>
      <c r="H902" t="s">
        <v>53</v>
      </c>
      <c r="I902" t="s">
        <v>53</v>
      </c>
      <c r="J902" t="s">
        <v>53</v>
      </c>
      <c r="K902" t="s">
        <v>53</v>
      </c>
      <c r="L902" t="s">
        <v>53</v>
      </c>
      <c r="M902" t="s">
        <v>53</v>
      </c>
      <c r="N902" t="s">
        <v>53</v>
      </c>
      <c r="O902" t="s">
        <v>53</v>
      </c>
      <c r="P902" t="s">
        <v>53</v>
      </c>
      <c r="Q902" t="s">
        <v>53</v>
      </c>
    </row>
    <row r="903" spans="1:17" s="30" customFormat="1" x14ac:dyDescent="0.2">
      <c r="A903" s="30">
        <f>IF(C903&amp;G903&amp;D903&lt;&gt;'Funnel setup'!$K$3&amp;'Funnel setup'!$K$4&amp;'Funnel setup'!$K$5,".",IF(A902=".",1,A902+1))</f>
        <v>199</v>
      </c>
      <c r="B903" s="431" t="str">
        <f t="shared" si="14"/>
        <v>Groin HerniaProviderSPIRE DUNEDIN HOSPITAL (NT344)EQ-5D Index</v>
      </c>
      <c r="C903" t="s">
        <v>50</v>
      </c>
      <c r="D903" t="s">
        <v>1</v>
      </c>
      <c r="E903" t="s">
        <v>3415</v>
      </c>
      <c r="F903" t="s">
        <v>3416</v>
      </c>
      <c r="G903" t="s">
        <v>52</v>
      </c>
      <c r="H903">
        <v>32</v>
      </c>
      <c r="I903">
        <v>0.83499999999999996</v>
      </c>
      <c r="J903">
        <v>0.9</v>
      </c>
      <c r="K903">
        <v>6.5000000000000002E-2</v>
      </c>
      <c r="L903">
        <v>14</v>
      </c>
      <c r="M903">
        <v>13</v>
      </c>
      <c r="N903">
        <v>5</v>
      </c>
      <c r="O903">
        <v>0.89</v>
      </c>
      <c r="P903">
        <v>9.6749439000000007E-2</v>
      </c>
      <c r="Q903">
        <v>0.12</v>
      </c>
    </row>
    <row r="904" spans="1:17" s="30" customFormat="1" x14ac:dyDescent="0.2">
      <c r="A904" s="30">
        <f>IF(C904&amp;G904&amp;D904&lt;&gt;'Funnel setup'!$K$3&amp;'Funnel setup'!$K$4&amp;'Funnel setup'!$K$5,".",IF(A903=".",1,A903+1))</f>
        <v>200</v>
      </c>
      <c r="B904" s="431" t="str">
        <f t="shared" si="14"/>
        <v>Groin HerniaProviderSPIRE ELLAND HOSPITAL (NT348)EQ-5D Index</v>
      </c>
      <c r="C904" t="s">
        <v>50</v>
      </c>
      <c r="D904" t="s">
        <v>1</v>
      </c>
      <c r="E904" t="s">
        <v>3418</v>
      </c>
      <c r="F904" t="s">
        <v>3419</v>
      </c>
      <c r="G904" t="s">
        <v>52</v>
      </c>
      <c r="H904">
        <v>41</v>
      </c>
      <c r="I904">
        <v>0.81899999999999995</v>
      </c>
      <c r="J904">
        <v>0.91800000000000004</v>
      </c>
      <c r="K904">
        <v>9.8000000000000004E-2</v>
      </c>
      <c r="L904">
        <v>23</v>
      </c>
      <c r="M904">
        <v>12</v>
      </c>
      <c r="N904">
        <v>6</v>
      </c>
      <c r="O904">
        <v>0.91800000000000004</v>
      </c>
      <c r="P904">
        <v>0.12433517199999999</v>
      </c>
      <c r="Q904">
        <v>0.13200000000000001</v>
      </c>
    </row>
    <row r="905" spans="1:17" s="30" customFormat="1" x14ac:dyDescent="0.2">
      <c r="A905" s="30">
        <f>IF(C905&amp;G905&amp;D905&lt;&gt;'Funnel setup'!$K$3&amp;'Funnel setup'!$K$4&amp;'Funnel setup'!$K$5,".",IF(A904=".",1,A904+1))</f>
        <v>201</v>
      </c>
      <c r="B905" s="431" t="str">
        <f t="shared" si="14"/>
        <v>Groin HerniaProviderSPIRE FYLDE COAST HOSPITAL (NT347)EQ-5D Index</v>
      </c>
      <c r="C905" t="s">
        <v>50</v>
      </c>
      <c r="D905" t="s">
        <v>1</v>
      </c>
      <c r="E905" t="s">
        <v>4370</v>
      </c>
      <c r="F905" t="s">
        <v>4371</v>
      </c>
      <c r="G905" t="s">
        <v>52</v>
      </c>
      <c r="H905" t="s">
        <v>53</v>
      </c>
      <c r="I905" t="s">
        <v>53</v>
      </c>
      <c r="J905" t="s">
        <v>53</v>
      </c>
      <c r="K905" t="s">
        <v>53</v>
      </c>
      <c r="L905" t="s">
        <v>53</v>
      </c>
      <c r="M905" t="s">
        <v>53</v>
      </c>
      <c r="N905" t="s">
        <v>53</v>
      </c>
      <c r="O905" t="s">
        <v>53</v>
      </c>
      <c r="P905" t="s">
        <v>53</v>
      </c>
      <c r="Q905" t="s">
        <v>53</v>
      </c>
    </row>
    <row r="906" spans="1:17" s="30" customFormat="1" x14ac:dyDescent="0.2">
      <c r="A906" s="30">
        <f>IF(C906&amp;G906&amp;D906&lt;&gt;'Funnel setup'!$K$3&amp;'Funnel setup'!$K$4&amp;'Funnel setup'!$K$5,".",IF(A905=".",1,A905+1))</f>
        <v>202</v>
      </c>
      <c r="B906" s="431" t="str">
        <f t="shared" si="14"/>
        <v>Groin HerniaProviderSPIRE GATWICK PARK HOSPITAL (NT308)EQ-5D Index</v>
      </c>
      <c r="C906" t="s">
        <v>50</v>
      </c>
      <c r="D906" t="s">
        <v>1</v>
      </c>
      <c r="E906" t="s">
        <v>3409</v>
      </c>
      <c r="F906" t="s">
        <v>3410</v>
      </c>
      <c r="G906" t="s">
        <v>52</v>
      </c>
      <c r="H906">
        <v>29</v>
      </c>
      <c r="I906">
        <v>0.82399999999999995</v>
      </c>
      <c r="J906">
        <v>0.91100000000000003</v>
      </c>
      <c r="K906">
        <v>8.7999999999999995E-2</v>
      </c>
      <c r="L906">
        <v>17</v>
      </c>
      <c r="M906">
        <v>7</v>
      </c>
      <c r="N906">
        <v>5</v>
      </c>
      <c r="O906" t="s">
        <v>53</v>
      </c>
      <c r="P906" t="s">
        <v>53</v>
      </c>
      <c r="Q906" t="s">
        <v>53</v>
      </c>
    </row>
    <row r="907" spans="1:17" s="30" customFormat="1" x14ac:dyDescent="0.2">
      <c r="A907" s="30">
        <f>IF(C907&amp;G907&amp;D907&lt;&gt;'Funnel setup'!$K$3&amp;'Funnel setup'!$K$4&amp;'Funnel setup'!$K$5,".",IF(A906=".",1,A906+1))</f>
        <v>203</v>
      </c>
      <c r="B907" s="431" t="str">
        <f t="shared" si="14"/>
        <v>Groin HerniaProviderSPIRE HARTSWOOD HOSPITAL (NT319)EQ-5D Index</v>
      </c>
      <c r="C907" t="s">
        <v>50</v>
      </c>
      <c r="D907" t="s">
        <v>1</v>
      </c>
      <c r="E907" t="s">
        <v>3210</v>
      </c>
      <c r="F907" t="s">
        <v>3211</v>
      </c>
      <c r="G907" t="s">
        <v>52</v>
      </c>
      <c r="H907">
        <v>17</v>
      </c>
      <c r="I907">
        <v>0.81100000000000005</v>
      </c>
      <c r="J907">
        <v>0.89600000000000002</v>
      </c>
      <c r="K907">
        <v>8.5999999999999993E-2</v>
      </c>
      <c r="L907">
        <v>10</v>
      </c>
      <c r="M907">
        <v>5</v>
      </c>
      <c r="N907">
        <v>2</v>
      </c>
      <c r="O907" t="s">
        <v>53</v>
      </c>
      <c r="P907" t="s">
        <v>53</v>
      </c>
      <c r="Q907" t="s">
        <v>53</v>
      </c>
    </row>
    <row r="908" spans="1:17" s="30" customFormat="1" x14ac:dyDescent="0.2">
      <c r="A908" s="30">
        <f>IF(C908&amp;G908&amp;D908&lt;&gt;'Funnel setup'!$K$3&amp;'Funnel setup'!$K$4&amp;'Funnel setup'!$K$5,".",IF(A907=".",1,A907+1))</f>
        <v>204</v>
      </c>
      <c r="B908" s="431" t="str">
        <f t="shared" si="14"/>
        <v>Groin HerniaProviderSPIRE HULL AND EAST RIDING HOSPITAL (NT351)EQ-5D Index</v>
      </c>
      <c r="C908" t="s">
        <v>50</v>
      </c>
      <c r="D908" t="s">
        <v>1</v>
      </c>
      <c r="E908" t="s">
        <v>3213</v>
      </c>
      <c r="F908" t="s">
        <v>3214</v>
      </c>
      <c r="G908" t="s">
        <v>52</v>
      </c>
      <c r="H908">
        <v>93</v>
      </c>
      <c r="I908">
        <v>0.79700000000000004</v>
      </c>
      <c r="J908">
        <v>0.875</v>
      </c>
      <c r="K908">
        <v>7.6999999999999999E-2</v>
      </c>
      <c r="L908">
        <v>41</v>
      </c>
      <c r="M908">
        <v>36</v>
      </c>
      <c r="N908">
        <v>16</v>
      </c>
      <c r="O908">
        <v>0.878</v>
      </c>
      <c r="P908">
        <v>8.4374378E-2</v>
      </c>
      <c r="Q908">
        <v>0.14799999999999999</v>
      </c>
    </row>
    <row r="909" spans="1:17" s="30" customFormat="1" x14ac:dyDescent="0.2">
      <c r="A909" s="30">
        <f>IF(C909&amp;G909&amp;D909&lt;&gt;'Funnel setup'!$K$3&amp;'Funnel setup'!$K$4&amp;'Funnel setup'!$K$5,".",IF(A908=".",1,A908+1))</f>
        <v>205</v>
      </c>
      <c r="B909" s="431" t="str">
        <f t="shared" si="14"/>
        <v>Groin HerniaProviderSPIRE LEEDS HOSPITAL (NT332)EQ-5D Index</v>
      </c>
      <c r="C909" t="s">
        <v>50</v>
      </c>
      <c r="D909" t="s">
        <v>1</v>
      </c>
      <c r="E909" t="s">
        <v>3198</v>
      </c>
      <c r="F909" t="s">
        <v>3199</v>
      </c>
      <c r="G909" t="s">
        <v>52</v>
      </c>
      <c r="H909">
        <v>83</v>
      </c>
      <c r="I909">
        <v>0.82899999999999996</v>
      </c>
      <c r="J909">
        <v>0.91700000000000004</v>
      </c>
      <c r="K909">
        <v>8.7999999999999995E-2</v>
      </c>
      <c r="L909">
        <v>40</v>
      </c>
      <c r="M909">
        <v>35</v>
      </c>
      <c r="N909">
        <v>8</v>
      </c>
      <c r="O909">
        <v>0.91100000000000003</v>
      </c>
      <c r="P909">
        <v>0.117905044</v>
      </c>
      <c r="Q909">
        <v>9.8000000000000004E-2</v>
      </c>
    </row>
    <row r="910" spans="1:17" s="30" customFormat="1" x14ac:dyDescent="0.2">
      <c r="A910" s="30">
        <f>IF(C910&amp;G910&amp;D910&lt;&gt;'Funnel setup'!$K$3&amp;'Funnel setup'!$K$4&amp;'Funnel setup'!$K$5,".",IF(A909=".",1,A909+1))</f>
        <v>206</v>
      </c>
      <c r="B910" s="431" t="str">
        <f t="shared" si="14"/>
        <v>Groin HerniaProviderSPIRE LEICESTER HOSPITAL (NT322)EQ-5D Index</v>
      </c>
      <c r="C910" t="s">
        <v>50</v>
      </c>
      <c r="D910" t="s">
        <v>1</v>
      </c>
      <c r="E910" t="s">
        <v>3201</v>
      </c>
      <c r="F910" t="s">
        <v>3202</v>
      </c>
      <c r="G910" t="s">
        <v>52</v>
      </c>
      <c r="H910">
        <v>79</v>
      </c>
      <c r="I910">
        <v>0.77400000000000002</v>
      </c>
      <c r="J910">
        <v>0.86099999999999999</v>
      </c>
      <c r="K910">
        <v>8.6999999999999994E-2</v>
      </c>
      <c r="L910">
        <v>40</v>
      </c>
      <c r="M910">
        <v>26</v>
      </c>
      <c r="N910">
        <v>13</v>
      </c>
      <c r="O910">
        <v>0.871</v>
      </c>
      <c r="P910">
        <v>7.7353325000000001E-2</v>
      </c>
      <c r="Q910">
        <v>0.13300000000000001</v>
      </c>
    </row>
    <row r="911" spans="1:17" s="30" customFormat="1" x14ac:dyDescent="0.2">
      <c r="A911" s="30">
        <f>IF(C911&amp;G911&amp;D911&lt;&gt;'Funnel setup'!$K$3&amp;'Funnel setup'!$K$4&amp;'Funnel setup'!$K$5,".",IF(A910=".",1,A910+1))</f>
        <v>207</v>
      </c>
      <c r="B911" s="431" t="str">
        <f t="shared" si="14"/>
        <v>Groin HerniaProviderSPIRE LITTLE ASTON HOSPITAL (NT321)EQ-5D Index</v>
      </c>
      <c r="C911" t="s">
        <v>50</v>
      </c>
      <c r="D911" t="s">
        <v>1</v>
      </c>
      <c r="E911" t="s">
        <v>3921</v>
      </c>
      <c r="F911" t="s">
        <v>3922</v>
      </c>
      <c r="G911" t="s">
        <v>52</v>
      </c>
      <c r="H911">
        <v>58</v>
      </c>
      <c r="I911">
        <v>0.82</v>
      </c>
      <c r="J911">
        <v>0.92600000000000005</v>
      </c>
      <c r="K911">
        <v>0.106</v>
      </c>
      <c r="L911">
        <v>32</v>
      </c>
      <c r="M911">
        <v>21</v>
      </c>
      <c r="N911">
        <v>5</v>
      </c>
      <c r="O911">
        <v>0.92600000000000005</v>
      </c>
      <c r="P911">
        <v>0.133034977</v>
      </c>
      <c r="Q911">
        <v>0.106</v>
      </c>
    </row>
    <row r="912" spans="1:17" s="30" customFormat="1" x14ac:dyDescent="0.2">
      <c r="A912" s="30">
        <f>IF(C912&amp;G912&amp;D912&lt;&gt;'Funnel setup'!$K$3&amp;'Funnel setup'!$K$4&amp;'Funnel setup'!$K$5,".",IF(A911=".",1,A911+1))</f>
        <v>208</v>
      </c>
      <c r="B912" s="431" t="str">
        <f t="shared" si="14"/>
        <v>Groin HerniaProviderSPIRE LIVERPOOL HOSPITAL (NT337)EQ-5D Index</v>
      </c>
      <c r="C912" t="s">
        <v>50</v>
      </c>
      <c r="D912" t="s">
        <v>1</v>
      </c>
      <c r="E912" t="s">
        <v>3927</v>
      </c>
      <c r="F912" t="s">
        <v>3928</v>
      </c>
      <c r="G912" t="s">
        <v>52</v>
      </c>
      <c r="H912" t="s">
        <v>53</v>
      </c>
      <c r="I912" t="s">
        <v>53</v>
      </c>
      <c r="J912" t="s">
        <v>53</v>
      </c>
      <c r="K912" t="s">
        <v>53</v>
      </c>
      <c r="L912" t="s">
        <v>53</v>
      </c>
      <c r="M912" t="s">
        <v>53</v>
      </c>
      <c r="N912" t="s">
        <v>53</v>
      </c>
      <c r="O912" t="s">
        <v>53</v>
      </c>
      <c r="P912" t="s">
        <v>53</v>
      </c>
      <c r="Q912" t="s">
        <v>53</v>
      </c>
    </row>
    <row r="913" spans="1:17" s="30" customFormat="1" x14ac:dyDescent="0.2">
      <c r="A913" s="30">
        <f>IF(C913&amp;G913&amp;D913&lt;&gt;'Funnel setup'!$K$3&amp;'Funnel setup'!$K$4&amp;'Funnel setup'!$K$5,".",IF(A912=".",1,A912+1))</f>
        <v>209</v>
      </c>
      <c r="B913" s="431" t="str">
        <f t="shared" si="14"/>
        <v>Groin HerniaProviderSPIRE MANCHESTER HOSPITAL (NT327)EQ-5D Index</v>
      </c>
      <c r="C913" t="s">
        <v>50</v>
      </c>
      <c r="D913" t="s">
        <v>1</v>
      </c>
      <c r="E913" t="s">
        <v>3154</v>
      </c>
      <c r="F913" t="s">
        <v>3155</v>
      </c>
      <c r="G913" t="s">
        <v>52</v>
      </c>
      <c r="H913" t="s">
        <v>53</v>
      </c>
      <c r="I913" t="s">
        <v>53</v>
      </c>
      <c r="J913" t="s">
        <v>53</v>
      </c>
      <c r="K913" t="s">
        <v>53</v>
      </c>
      <c r="L913" t="s">
        <v>53</v>
      </c>
      <c r="M913" t="s">
        <v>53</v>
      </c>
      <c r="N913" t="s">
        <v>53</v>
      </c>
      <c r="O913" t="s">
        <v>53</v>
      </c>
      <c r="P913" t="s">
        <v>53</v>
      </c>
      <c r="Q913" t="s">
        <v>53</v>
      </c>
    </row>
    <row r="914" spans="1:17" s="30" customFormat="1" x14ac:dyDescent="0.2">
      <c r="A914" s="30">
        <f>IF(C914&amp;G914&amp;D914&lt;&gt;'Funnel setup'!$K$3&amp;'Funnel setup'!$K$4&amp;'Funnel setup'!$K$5,".",IF(A913=".",1,A913+1))</f>
        <v>210</v>
      </c>
      <c r="B914" s="431" t="str">
        <f t="shared" si="14"/>
        <v>Groin HerniaProviderSPIRE METHLEY PARK HOSPITAL (NT350)EQ-5D Index</v>
      </c>
      <c r="C914" t="s">
        <v>50</v>
      </c>
      <c r="D914" t="s">
        <v>1</v>
      </c>
      <c r="E914" t="s">
        <v>3157</v>
      </c>
      <c r="F914" t="s">
        <v>3158</v>
      </c>
      <c r="G914" t="s">
        <v>52</v>
      </c>
      <c r="H914">
        <v>88</v>
      </c>
      <c r="I914">
        <v>0.80500000000000005</v>
      </c>
      <c r="J914">
        <v>0.86399999999999999</v>
      </c>
      <c r="K914">
        <v>5.8999999999999997E-2</v>
      </c>
      <c r="L914">
        <v>43</v>
      </c>
      <c r="M914">
        <v>25</v>
      </c>
      <c r="N914">
        <v>20</v>
      </c>
      <c r="O914">
        <v>0.86599999999999999</v>
      </c>
      <c r="P914">
        <v>7.2514273000000004E-2</v>
      </c>
      <c r="Q914">
        <v>0.182</v>
      </c>
    </row>
    <row r="915" spans="1:17" s="30" customFormat="1" x14ac:dyDescent="0.2">
      <c r="A915" s="30">
        <f>IF(C915&amp;G915&amp;D915&lt;&gt;'Funnel setup'!$K$3&amp;'Funnel setup'!$K$4&amp;'Funnel setup'!$K$5,".",IF(A914=".",1,A914+1))</f>
        <v>211</v>
      </c>
      <c r="B915" s="431" t="str">
        <f t="shared" si="14"/>
        <v>Groin HerniaProviderSPIRE MURRAYFIELD HOSPITAL (NT325)EQ-5D Index</v>
      </c>
      <c r="C915" t="s">
        <v>50</v>
      </c>
      <c r="D915" t="s">
        <v>1</v>
      </c>
      <c r="E915" t="s">
        <v>3163</v>
      </c>
      <c r="F915" t="s">
        <v>3164</v>
      </c>
      <c r="G915" t="s">
        <v>52</v>
      </c>
      <c r="H915">
        <v>47</v>
      </c>
      <c r="I915">
        <v>0.80900000000000005</v>
      </c>
      <c r="J915">
        <v>0.88900000000000001</v>
      </c>
      <c r="K915">
        <v>0.08</v>
      </c>
      <c r="L915">
        <v>20</v>
      </c>
      <c r="M915">
        <v>20</v>
      </c>
      <c r="N915">
        <v>7</v>
      </c>
      <c r="O915">
        <v>0.89800000000000002</v>
      </c>
      <c r="P915">
        <v>0.104626898</v>
      </c>
      <c r="Q915">
        <v>0.14399999999999999</v>
      </c>
    </row>
    <row r="916" spans="1:17" s="30" customFormat="1" x14ac:dyDescent="0.2">
      <c r="A916" s="30">
        <f>IF(C916&amp;G916&amp;D916&lt;&gt;'Funnel setup'!$K$3&amp;'Funnel setup'!$K$4&amp;'Funnel setup'!$K$5,".",IF(A915=".",1,A915+1))</f>
        <v>212</v>
      </c>
      <c r="B916" s="431" t="str">
        <f t="shared" si="14"/>
        <v>Groin HerniaProviderSPIRE PARKWAY HOSPITAL (NT320)EQ-5D Index</v>
      </c>
      <c r="C916" t="s">
        <v>50</v>
      </c>
      <c r="D916" t="s">
        <v>1</v>
      </c>
      <c r="E916" t="s">
        <v>3166</v>
      </c>
      <c r="F916" t="s">
        <v>3167</v>
      </c>
      <c r="G916" t="s">
        <v>52</v>
      </c>
      <c r="H916">
        <v>7</v>
      </c>
      <c r="I916">
        <v>0.70899999999999996</v>
      </c>
      <c r="J916">
        <v>0.90800000000000003</v>
      </c>
      <c r="K916">
        <v>0.19900000000000001</v>
      </c>
      <c r="L916">
        <v>6</v>
      </c>
      <c r="M916">
        <v>1</v>
      </c>
      <c r="N916">
        <v>0</v>
      </c>
      <c r="O916" t="s">
        <v>53</v>
      </c>
      <c r="P916" t="s">
        <v>53</v>
      </c>
      <c r="Q916" t="s">
        <v>53</v>
      </c>
    </row>
    <row r="917" spans="1:17" s="30" customFormat="1" x14ac:dyDescent="0.2">
      <c r="A917" s="30">
        <f>IF(C917&amp;G917&amp;D917&lt;&gt;'Funnel setup'!$K$3&amp;'Funnel setup'!$K$4&amp;'Funnel setup'!$K$5,".",IF(A916=".",1,A916+1))</f>
        <v>213</v>
      </c>
      <c r="B917" s="431" t="str">
        <f t="shared" si="14"/>
        <v>Groin HerniaProviderSPIRE PORTSMOUTH HOSPITAL (NT305)EQ-5D Index</v>
      </c>
      <c r="C917" t="s">
        <v>50</v>
      </c>
      <c r="D917" t="s">
        <v>1</v>
      </c>
      <c r="E917" t="s">
        <v>3169</v>
      </c>
      <c r="F917" t="s">
        <v>340</v>
      </c>
      <c r="G917" t="s">
        <v>52</v>
      </c>
      <c r="H917">
        <v>6</v>
      </c>
      <c r="I917">
        <v>0.88100000000000001</v>
      </c>
      <c r="J917">
        <v>0.93200000000000005</v>
      </c>
      <c r="K917">
        <v>5.1999999999999998E-2</v>
      </c>
      <c r="L917">
        <v>2</v>
      </c>
      <c r="M917">
        <v>3</v>
      </c>
      <c r="N917">
        <v>1</v>
      </c>
      <c r="O917" t="s">
        <v>53</v>
      </c>
      <c r="P917" t="s">
        <v>53</v>
      </c>
      <c r="Q917" t="s">
        <v>53</v>
      </c>
    </row>
    <row r="918" spans="1:17" s="30" customFormat="1" x14ac:dyDescent="0.2">
      <c r="A918" s="30">
        <f>IF(C918&amp;G918&amp;D918&lt;&gt;'Funnel setup'!$K$3&amp;'Funnel setup'!$K$4&amp;'Funnel setup'!$K$5,".",IF(A917=".",1,A917+1))</f>
        <v>214</v>
      </c>
      <c r="B918" s="431" t="str">
        <f t="shared" si="14"/>
        <v>Groin HerniaProviderSPIRE REGENCY HOSPITAL (NT339)EQ-5D Index</v>
      </c>
      <c r="C918" t="s">
        <v>50</v>
      </c>
      <c r="D918" t="s">
        <v>1</v>
      </c>
      <c r="E918" t="s">
        <v>3171</v>
      </c>
      <c r="F918" t="s">
        <v>3172</v>
      </c>
      <c r="G918" t="s">
        <v>52</v>
      </c>
      <c r="H918">
        <v>32</v>
      </c>
      <c r="I918">
        <v>0.88200000000000001</v>
      </c>
      <c r="J918">
        <v>0.93799999999999994</v>
      </c>
      <c r="K918">
        <v>5.6000000000000001E-2</v>
      </c>
      <c r="L918">
        <v>14</v>
      </c>
      <c r="M918">
        <v>14</v>
      </c>
      <c r="N918">
        <v>4</v>
      </c>
      <c r="O918">
        <v>0.89400000000000002</v>
      </c>
      <c r="P918">
        <v>0.100912472</v>
      </c>
      <c r="Q918">
        <v>0.105</v>
      </c>
    </row>
    <row r="919" spans="1:17" s="30" customFormat="1" x14ac:dyDescent="0.2">
      <c r="A919" s="30">
        <f>IF(C919&amp;G919&amp;D919&lt;&gt;'Funnel setup'!$K$3&amp;'Funnel setup'!$K$4&amp;'Funnel setup'!$K$5,".",IF(A918=".",1,A918+1))</f>
        <v>215</v>
      </c>
      <c r="B919" s="431" t="str">
        <f t="shared" si="14"/>
        <v>Groin HerniaProviderSPIRE SOUTH BANK HOSPITAL (NT301)EQ-5D Index</v>
      </c>
      <c r="C919" t="s">
        <v>50</v>
      </c>
      <c r="D919" t="s">
        <v>1</v>
      </c>
      <c r="E919" t="s">
        <v>3174</v>
      </c>
      <c r="F919" t="s">
        <v>3175</v>
      </c>
      <c r="G919" t="s">
        <v>52</v>
      </c>
      <c r="H919">
        <v>69</v>
      </c>
      <c r="I919">
        <v>0.84499999999999997</v>
      </c>
      <c r="J919">
        <v>0.91</v>
      </c>
      <c r="K919">
        <v>6.5000000000000002E-2</v>
      </c>
      <c r="L919">
        <v>30</v>
      </c>
      <c r="M919">
        <v>28</v>
      </c>
      <c r="N919">
        <v>11</v>
      </c>
      <c r="O919">
        <v>0.89</v>
      </c>
      <c r="P919">
        <v>9.6529165E-2</v>
      </c>
      <c r="Q919">
        <v>0.11899999999999999</v>
      </c>
    </row>
    <row r="920" spans="1:17" s="30" customFormat="1" x14ac:dyDescent="0.2">
      <c r="A920" s="30">
        <f>IF(C920&amp;G920&amp;D920&lt;&gt;'Funnel setup'!$K$3&amp;'Funnel setup'!$K$4&amp;'Funnel setup'!$K$5,".",IF(A919=".",1,A919+1))</f>
        <v>216</v>
      </c>
      <c r="B920" s="431" t="str">
        <f t="shared" si="14"/>
        <v>Groin HerniaProviderSPIRE SOUTHAMPTON HOSPITAL (NT304)EQ-5D Index</v>
      </c>
      <c r="C920" t="s">
        <v>50</v>
      </c>
      <c r="D920" t="s">
        <v>1</v>
      </c>
      <c r="E920" t="s">
        <v>3133</v>
      </c>
      <c r="F920" t="s">
        <v>3134</v>
      </c>
      <c r="G920" t="s">
        <v>52</v>
      </c>
      <c r="H920" t="s">
        <v>53</v>
      </c>
      <c r="I920" t="s">
        <v>53</v>
      </c>
      <c r="J920" t="s">
        <v>53</v>
      </c>
      <c r="K920" t="s">
        <v>53</v>
      </c>
      <c r="L920" t="s">
        <v>53</v>
      </c>
      <c r="M920" t="s">
        <v>53</v>
      </c>
      <c r="N920" t="s">
        <v>53</v>
      </c>
      <c r="O920" t="s">
        <v>53</v>
      </c>
      <c r="P920" t="s">
        <v>53</v>
      </c>
      <c r="Q920" t="s">
        <v>53</v>
      </c>
    </row>
    <row r="921" spans="1:17" s="30" customFormat="1" x14ac:dyDescent="0.2">
      <c r="A921" s="30">
        <f>IF(C921&amp;G921&amp;D921&lt;&gt;'Funnel setup'!$K$3&amp;'Funnel setup'!$K$4&amp;'Funnel setup'!$K$5,".",IF(A920=".",1,A920+1))</f>
        <v>217</v>
      </c>
      <c r="B921" s="431" t="str">
        <f t="shared" si="14"/>
        <v>Groin HerniaProviderSPIRE ST SAVIOURS HOSPITAL (NT346)EQ-5D Index</v>
      </c>
      <c r="C921" t="s">
        <v>50</v>
      </c>
      <c r="D921" t="s">
        <v>1</v>
      </c>
      <c r="E921" t="s">
        <v>3177</v>
      </c>
      <c r="F921" t="s">
        <v>3178</v>
      </c>
      <c r="G921" t="s">
        <v>52</v>
      </c>
      <c r="H921">
        <v>10</v>
      </c>
      <c r="I921">
        <v>0.82899999999999996</v>
      </c>
      <c r="J921">
        <v>0.89700000000000002</v>
      </c>
      <c r="K921">
        <v>6.8000000000000005E-2</v>
      </c>
      <c r="L921">
        <v>4</v>
      </c>
      <c r="M921">
        <v>5</v>
      </c>
      <c r="N921">
        <v>1</v>
      </c>
      <c r="O921" t="s">
        <v>53</v>
      </c>
      <c r="P921" t="s">
        <v>53</v>
      </c>
      <c r="Q921" t="s">
        <v>53</v>
      </c>
    </row>
    <row r="922" spans="1:17" s="30" customFormat="1" x14ac:dyDescent="0.2">
      <c r="A922" s="30">
        <f>IF(C922&amp;G922&amp;D922&lt;&gt;'Funnel setup'!$K$3&amp;'Funnel setup'!$K$4&amp;'Funnel setup'!$K$5,".",IF(A921=".",1,A921+1))</f>
        <v>218</v>
      </c>
      <c r="B922" s="431" t="str">
        <f t="shared" si="14"/>
        <v>Groin HerniaProviderSPIRE SUSSEX HOSPITAL (NT309)EQ-5D Index</v>
      </c>
      <c r="C922" t="s">
        <v>50</v>
      </c>
      <c r="D922" t="s">
        <v>1</v>
      </c>
      <c r="E922" t="s">
        <v>3180</v>
      </c>
      <c r="F922" t="s">
        <v>3181</v>
      </c>
      <c r="G922" t="s">
        <v>52</v>
      </c>
      <c r="H922">
        <v>16</v>
      </c>
      <c r="I922">
        <v>0.82099999999999995</v>
      </c>
      <c r="J922">
        <v>0.91300000000000003</v>
      </c>
      <c r="K922">
        <v>9.1999999999999998E-2</v>
      </c>
      <c r="L922">
        <v>9</v>
      </c>
      <c r="M922">
        <v>5</v>
      </c>
      <c r="N922">
        <v>2</v>
      </c>
      <c r="O922" t="s">
        <v>53</v>
      </c>
      <c r="P922" t="s">
        <v>53</v>
      </c>
      <c r="Q922" t="s">
        <v>53</v>
      </c>
    </row>
    <row r="923" spans="1:17" s="30" customFormat="1" x14ac:dyDescent="0.2">
      <c r="A923" s="30">
        <f>IF(C923&amp;G923&amp;D923&lt;&gt;'Funnel setup'!$K$3&amp;'Funnel setup'!$K$4&amp;'Funnel setup'!$K$5,".",IF(A922=".",1,A922+1))</f>
        <v>219</v>
      </c>
      <c r="B923" s="431" t="str">
        <f t="shared" si="14"/>
        <v>Groin HerniaProviderSPIRE TUNBRIDGE WELLS HOSPITAL (NT310)EQ-5D Index</v>
      </c>
      <c r="C923" t="s">
        <v>50</v>
      </c>
      <c r="D923" t="s">
        <v>1</v>
      </c>
      <c r="E923" t="s">
        <v>3186</v>
      </c>
      <c r="F923" t="s">
        <v>3187</v>
      </c>
      <c r="G923" t="s">
        <v>52</v>
      </c>
      <c r="H923">
        <v>13</v>
      </c>
      <c r="I923">
        <v>0.73899999999999999</v>
      </c>
      <c r="J923">
        <v>0.94199999999999995</v>
      </c>
      <c r="K923">
        <v>0.20399999999999999</v>
      </c>
      <c r="L923">
        <v>10</v>
      </c>
      <c r="M923">
        <v>1</v>
      </c>
      <c r="N923">
        <v>2</v>
      </c>
      <c r="O923" t="s">
        <v>53</v>
      </c>
      <c r="P923" t="s">
        <v>53</v>
      </c>
      <c r="Q923" t="s">
        <v>53</v>
      </c>
    </row>
    <row r="924" spans="1:17" s="30" customFormat="1" x14ac:dyDescent="0.2">
      <c r="A924" s="30">
        <f>IF(C924&amp;G924&amp;D924&lt;&gt;'Funnel setup'!$K$3&amp;'Funnel setup'!$K$4&amp;'Funnel setup'!$K$5,".",IF(A923=".",1,A923+1))</f>
        <v>220</v>
      </c>
      <c r="B924" s="431" t="str">
        <f t="shared" si="14"/>
        <v>Groin HerniaProviderSPIRE WASHINGTON HOSPITAL (NT333)EQ-5D Index</v>
      </c>
      <c r="C924" t="s">
        <v>50</v>
      </c>
      <c r="D924" t="s">
        <v>1</v>
      </c>
      <c r="E924" t="s">
        <v>3189</v>
      </c>
      <c r="F924" t="s">
        <v>3190</v>
      </c>
      <c r="G924" t="s">
        <v>52</v>
      </c>
      <c r="H924">
        <v>25</v>
      </c>
      <c r="I924">
        <v>0.82899999999999996</v>
      </c>
      <c r="J924">
        <v>0.89800000000000002</v>
      </c>
      <c r="K924">
        <v>6.8000000000000005E-2</v>
      </c>
      <c r="L924">
        <v>12</v>
      </c>
      <c r="M924">
        <v>7</v>
      </c>
      <c r="N924">
        <v>6</v>
      </c>
      <c r="O924" t="s">
        <v>53</v>
      </c>
      <c r="P924" t="s">
        <v>53</v>
      </c>
      <c r="Q924" t="s">
        <v>53</v>
      </c>
    </row>
    <row r="925" spans="1:17" s="30" customFormat="1" x14ac:dyDescent="0.2">
      <c r="A925" s="30">
        <f>IF(C925&amp;G925&amp;D925&lt;&gt;'Funnel setup'!$K$3&amp;'Funnel setup'!$K$4&amp;'Funnel setup'!$K$5,".",IF(A924=".",1,A924+1))</f>
        <v>221</v>
      </c>
      <c r="B925" s="431" t="str">
        <f t="shared" si="14"/>
        <v>Groin HerniaProviderSPIRE WELLESLEY HOSPITAL (NT313)EQ-5D Index</v>
      </c>
      <c r="C925" t="s">
        <v>50</v>
      </c>
      <c r="D925" t="s">
        <v>1</v>
      </c>
      <c r="E925" t="s">
        <v>3192</v>
      </c>
      <c r="F925" t="s">
        <v>3193</v>
      </c>
      <c r="G925" t="s">
        <v>52</v>
      </c>
      <c r="H925">
        <v>60</v>
      </c>
      <c r="I925">
        <v>0.81599999999999995</v>
      </c>
      <c r="J925">
        <v>0.86</v>
      </c>
      <c r="K925">
        <v>4.3999999999999997E-2</v>
      </c>
      <c r="L925">
        <v>27</v>
      </c>
      <c r="M925">
        <v>17</v>
      </c>
      <c r="N925">
        <v>16</v>
      </c>
      <c r="O925">
        <v>0.86099999999999999</v>
      </c>
      <c r="P925">
        <v>6.7710256999999996E-2</v>
      </c>
      <c r="Q925">
        <v>0.109</v>
      </c>
    </row>
    <row r="926" spans="1:17" s="30" customFormat="1" x14ac:dyDescent="0.2">
      <c r="A926" s="30">
        <f>IF(C926&amp;G926&amp;D926&lt;&gt;'Funnel setup'!$K$3&amp;'Funnel setup'!$K$4&amp;'Funnel setup'!$K$5,".",IF(A925=".",1,A925+1))</f>
        <v>222</v>
      </c>
      <c r="B926" s="431" t="str">
        <f t="shared" si="14"/>
        <v>Groin HerniaProviderSPRINGFIELD HOSPITAL (NVC18)EQ-5D Index</v>
      </c>
      <c r="C926" t="s">
        <v>50</v>
      </c>
      <c r="D926" t="s">
        <v>1</v>
      </c>
      <c r="E926" t="s">
        <v>3195</v>
      </c>
      <c r="F926" t="s">
        <v>3196</v>
      </c>
      <c r="G926" t="s">
        <v>52</v>
      </c>
      <c r="H926">
        <v>111</v>
      </c>
      <c r="I926">
        <v>0.79900000000000004</v>
      </c>
      <c r="J926">
        <v>0.89600000000000002</v>
      </c>
      <c r="K926">
        <v>9.6000000000000002E-2</v>
      </c>
      <c r="L926">
        <v>60</v>
      </c>
      <c r="M926">
        <v>32</v>
      </c>
      <c r="N926">
        <v>19</v>
      </c>
      <c r="O926">
        <v>0.879</v>
      </c>
      <c r="P926">
        <v>8.5802442000000007E-2</v>
      </c>
      <c r="Q926">
        <v>0.14499999999999999</v>
      </c>
    </row>
    <row r="927" spans="1:17" s="30" customFormat="1" x14ac:dyDescent="0.2">
      <c r="A927" s="30">
        <f>IF(C927&amp;G927&amp;D927&lt;&gt;'Funnel setup'!$K$3&amp;'Funnel setup'!$K$4&amp;'Funnel setup'!$K$5,".",IF(A926=".",1,A926+1))</f>
        <v>223</v>
      </c>
      <c r="B927" s="431" t="str">
        <f t="shared" si="14"/>
        <v>Groin HerniaProviderST GEORGE'S UNIVERSITY HOSPITALS NHS FOUNDATION TRUST (RJ7)EQ-5D Index</v>
      </c>
      <c r="C927" t="s">
        <v>50</v>
      </c>
      <c r="D927" t="s">
        <v>1</v>
      </c>
      <c r="E927" t="s">
        <v>3124</v>
      </c>
      <c r="F927" t="s">
        <v>3125</v>
      </c>
      <c r="G927" t="s">
        <v>52</v>
      </c>
      <c r="H927">
        <v>16</v>
      </c>
      <c r="I927">
        <v>0.80500000000000005</v>
      </c>
      <c r="J927">
        <v>0.82499999999999996</v>
      </c>
      <c r="K927">
        <v>1.9E-2</v>
      </c>
      <c r="L927">
        <v>6</v>
      </c>
      <c r="M927">
        <v>6</v>
      </c>
      <c r="N927">
        <v>4</v>
      </c>
      <c r="O927" t="s">
        <v>53</v>
      </c>
      <c r="P927" t="s">
        <v>53</v>
      </c>
      <c r="Q927" t="s">
        <v>53</v>
      </c>
    </row>
    <row r="928" spans="1:17" s="30" customFormat="1" x14ac:dyDescent="0.2">
      <c r="A928" s="30">
        <f>IF(C928&amp;G928&amp;D928&lt;&gt;'Funnel setup'!$K$3&amp;'Funnel setup'!$K$4&amp;'Funnel setup'!$K$5,".",IF(A927=".",1,A927+1))</f>
        <v>224</v>
      </c>
      <c r="B928" s="431" t="str">
        <f t="shared" si="14"/>
        <v>Groin HerniaProviderST HELENS AND KNOWSLEY HOSPITALS NHS TRUST (RBN)EQ-5D Index</v>
      </c>
      <c r="C928" t="s">
        <v>50</v>
      </c>
      <c r="D928" t="s">
        <v>1</v>
      </c>
      <c r="E928" t="s">
        <v>3127</v>
      </c>
      <c r="F928" t="s">
        <v>3128</v>
      </c>
      <c r="G928" t="s">
        <v>52</v>
      </c>
      <c r="H928">
        <v>157</v>
      </c>
      <c r="I928">
        <v>0.81799999999999995</v>
      </c>
      <c r="J928">
        <v>0.874</v>
      </c>
      <c r="K928">
        <v>5.6000000000000001E-2</v>
      </c>
      <c r="L928">
        <v>67</v>
      </c>
      <c r="M928">
        <v>63</v>
      </c>
      <c r="N928">
        <v>27</v>
      </c>
      <c r="O928">
        <v>0.87</v>
      </c>
      <c r="P928">
        <v>7.6627967000000005E-2</v>
      </c>
      <c r="Q928">
        <v>0.14499999999999999</v>
      </c>
    </row>
    <row r="929" spans="1:17" s="30" customFormat="1" x14ac:dyDescent="0.2">
      <c r="A929" s="30">
        <f>IF(C929&amp;G929&amp;D929&lt;&gt;'Funnel setup'!$K$3&amp;'Funnel setup'!$K$4&amp;'Funnel setup'!$K$5,".",IF(A928=".",1,A928+1))</f>
        <v>225</v>
      </c>
      <c r="B929" s="431" t="str">
        <f t="shared" si="14"/>
        <v>Groin HerniaProviderST HUGH'S HOSPITAL (NTE02)EQ-5D Index</v>
      </c>
      <c r="C929" t="s">
        <v>50</v>
      </c>
      <c r="D929" t="s">
        <v>1</v>
      </c>
      <c r="E929" t="s">
        <v>3130</v>
      </c>
      <c r="F929" t="s">
        <v>3131</v>
      </c>
      <c r="G929" t="s">
        <v>52</v>
      </c>
      <c r="H929">
        <v>29</v>
      </c>
      <c r="I929">
        <v>0.81200000000000006</v>
      </c>
      <c r="J929">
        <v>0.84499999999999997</v>
      </c>
      <c r="K929">
        <v>3.3000000000000002E-2</v>
      </c>
      <c r="L929">
        <v>13</v>
      </c>
      <c r="M929">
        <v>13</v>
      </c>
      <c r="N929">
        <v>3</v>
      </c>
      <c r="O929" t="s">
        <v>53</v>
      </c>
      <c r="P929" t="s">
        <v>53</v>
      </c>
      <c r="Q929" t="s">
        <v>53</v>
      </c>
    </row>
    <row r="930" spans="1:17" s="30" customFormat="1" x14ac:dyDescent="0.2">
      <c r="A930" s="30">
        <f>IF(C930&amp;G930&amp;D930&lt;&gt;'Funnel setup'!$K$3&amp;'Funnel setup'!$K$4&amp;'Funnel setup'!$K$5,".",IF(A929=".",1,A929+1))</f>
        <v>226</v>
      </c>
      <c r="B930" s="431" t="str">
        <f t="shared" si="14"/>
        <v>Groin HerniaProviderST MARY'S NHS TREATMENT CENTRE (NTPAD)EQ-5D Index</v>
      </c>
      <c r="C930" t="s">
        <v>50</v>
      </c>
      <c r="D930" t="s">
        <v>1</v>
      </c>
      <c r="E930" t="s">
        <v>3139</v>
      </c>
      <c r="F930" t="s">
        <v>3140</v>
      </c>
      <c r="G930" t="s">
        <v>52</v>
      </c>
      <c r="H930">
        <v>151</v>
      </c>
      <c r="I930">
        <v>0.85499999999999998</v>
      </c>
      <c r="J930">
        <v>0.91500000000000004</v>
      </c>
      <c r="K930">
        <v>0.06</v>
      </c>
      <c r="L930">
        <v>55</v>
      </c>
      <c r="M930">
        <v>74</v>
      </c>
      <c r="N930">
        <v>22</v>
      </c>
      <c r="O930">
        <v>0.873</v>
      </c>
      <c r="P930">
        <v>8.0078969E-2</v>
      </c>
      <c r="Q930">
        <v>0.128</v>
      </c>
    </row>
    <row r="931" spans="1:17" s="30" customFormat="1" x14ac:dyDescent="0.2">
      <c r="A931" s="30">
        <f>IF(C931&amp;G931&amp;D931&lt;&gt;'Funnel setup'!$K$3&amp;'Funnel setup'!$K$4&amp;'Funnel setup'!$K$5,".",IF(A930=".",1,A930+1))</f>
        <v>227</v>
      </c>
      <c r="B931" s="431" t="str">
        <f t="shared" si="14"/>
        <v>Groin HerniaProviderSTOCKPORT NHS FOUNDATION TRUST (RWJ)EQ-5D Index</v>
      </c>
      <c r="C931" t="s">
        <v>50</v>
      </c>
      <c r="D931" t="s">
        <v>1</v>
      </c>
      <c r="E931" t="s">
        <v>3142</v>
      </c>
      <c r="F931" t="s">
        <v>3143</v>
      </c>
      <c r="G931" t="s">
        <v>52</v>
      </c>
      <c r="H931">
        <v>146</v>
      </c>
      <c r="I931">
        <v>0.78500000000000003</v>
      </c>
      <c r="J931">
        <v>0.874</v>
      </c>
      <c r="K931">
        <v>8.8999999999999996E-2</v>
      </c>
      <c r="L931">
        <v>77</v>
      </c>
      <c r="M931">
        <v>47</v>
      </c>
      <c r="N931">
        <v>22</v>
      </c>
      <c r="O931">
        <v>0.88300000000000001</v>
      </c>
      <c r="P931">
        <v>8.9808126000000002E-2</v>
      </c>
      <c r="Q931">
        <v>0.17299999999999999</v>
      </c>
    </row>
    <row r="932" spans="1:17" s="30" customFormat="1" x14ac:dyDescent="0.2">
      <c r="A932" s="30">
        <f>IF(C932&amp;G932&amp;D932&lt;&gt;'Funnel setup'!$K$3&amp;'Funnel setup'!$K$4&amp;'Funnel setup'!$K$5,".",IF(A931=".",1,A931+1))</f>
        <v>228</v>
      </c>
      <c r="B932" s="431" t="str">
        <f t="shared" si="14"/>
        <v>Groin HerniaProviderSURREY AND SUSSEX HEALTHCARE NHS TRUST (RTP)EQ-5D Index</v>
      </c>
      <c r="C932" t="s">
        <v>50</v>
      </c>
      <c r="D932" t="s">
        <v>1</v>
      </c>
      <c r="E932" t="s">
        <v>3145</v>
      </c>
      <c r="F932" t="s">
        <v>3146</v>
      </c>
      <c r="G932" t="s">
        <v>52</v>
      </c>
      <c r="H932">
        <v>154</v>
      </c>
      <c r="I932">
        <v>0.82199999999999995</v>
      </c>
      <c r="J932">
        <v>0.89300000000000002</v>
      </c>
      <c r="K932">
        <v>7.0000000000000007E-2</v>
      </c>
      <c r="L932">
        <v>79</v>
      </c>
      <c r="M932">
        <v>48</v>
      </c>
      <c r="N932">
        <v>27</v>
      </c>
      <c r="O932">
        <v>0.879</v>
      </c>
      <c r="P932">
        <v>8.6034282000000004E-2</v>
      </c>
      <c r="Q932">
        <v>0.16300000000000001</v>
      </c>
    </row>
    <row r="933" spans="1:17" s="30" customFormat="1" x14ac:dyDescent="0.2">
      <c r="A933" s="30">
        <f>IF(C933&amp;G933&amp;D933&lt;&gt;'Funnel setup'!$K$3&amp;'Funnel setup'!$K$4&amp;'Funnel setup'!$K$5,".",IF(A932=".",1,A932+1))</f>
        <v>229</v>
      </c>
      <c r="B933" s="431" t="str">
        <f t="shared" si="14"/>
        <v>Groin HerniaProviderTAMESIDE HOSPITAL NHS FOUNDATION TRUST (RMP)EQ-5D Index</v>
      </c>
      <c r="C933" t="s">
        <v>50</v>
      </c>
      <c r="D933" t="s">
        <v>1</v>
      </c>
      <c r="E933" t="s">
        <v>3148</v>
      </c>
      <c r="F933" t="s">
        <v>3149</v>
      </c>
      <c r="G933" t="s">
        <v>52</v>
      </c>
      <c r="H933">
        <v>36</v>
      </c>
      <c r="I933">
        <v>0.75600000000000001</v>
      </c>
      <c r="J933">
        <v>0.89100000000000001</v>
      </c>
      <c r="K933">
        <v>0.13500000000000001</v>
      </c>
      <c r="L933">
        <v>22</v>
      </c>
      <c r="M933">
        <v>10</v>
      </c>
      <c r="N933">
        <v>4</v>
      </c>
      <c r="O933">
        <v>0.90900000000000003</v>
      </c>
      <c r="P933">
        <v>0.115671327</v>
      </c>
      <c r="Q933">
        <v>0.13900000000000001</v>
      </c>
    </row>
    <row r="934" spans="1:17" s="30" customFormat="1" x14ac:dyDescent="0.2">
      <c r="A934" s="30">
        <f>IF(C934&amp;G934&amp;D934&lt;&gt;'Funnel setup'!$K$3&amp;'Funnel setup'!$K$4&amp;'Funnel setup'!$K$5,".",IF(A933=".",1,A933+1))</f>
        <v>230</v>
      </c>
      <c r="B934" s="431" t="str">
        <f t="shared" si="14"/>
        <v>Groin HerniaProviderTAUNTON AND SOMERSET NHS FOUNDATION TRUST (RBA)EQ-5D Index</v>
      </c>
      <c r="C934" t="s">
        <v>50</v>
      </c>
      <c r="D934" t="s">
        <v>1</v>
      </c>
      <c r="E934" t="s">
        <v>3151</v>
      </c>
      <c r="F934" t="s">
        <v>3152</v>
      </c>
      <c r="G934" t="s">
        <v>52</v>
      </c>
      <c r="H934">
        <v>138</v>
      </c>
      <c r="I934">
        <v>0.82399999999999995</v>
      </c>
      <c r="J934">
        <v>0.879</v>
      </c>
      <c r="K934">
        <v>5.3999999999999999E-2</v>
      </c>
      <c r="L934">
        <v>60</v>
      </c>
      <c r="M934">
        <v>57</v>
      </c>
      <c r="N934">
        <v>21</v>
      </c>
      <c r="O934">
        <v>0.85599999999999998</v>
      </c>
      <c r="P934">
        <v>6.2918911999999994E-2</v>
      </c>
      <c r="Q934">
        <v>0.16500000000000001</v>
      </c>
    </row>
    <row r="935" spans="1:17" s="30" customFormat="1" x14ac:dyDescent="0.2">
      <c r="A935" s="30">
        <f>IF(C935&amp;G935&amp;D935&lt;&gt;'Funnel setup'!$K$3&amp;'Funnel setup'!$K$4&amp;'Funnel setup'!$K$5,".",IF(A934=".",1,A934+1))</f>
        <v>231</v>
      </c>
      <c r="B935" s="431" t="str">
        <f t="shared" si="14"/>
        <v>Groin HerniaProviderTEES VALLEY TREATMENT CENTRE (NVC35)EQ-5D Index</v>
      </c>
      <c r="C935" t="s">
        <v>50</v>
      </c>
      <c r="D935" t="s">
        <v>1</v>
      </c>
      <c r="E935" t="s">
        <v>3112</v>
      </c>
      <c r="F935" t="s">
        <v>3113</v>
      </c>
      <c r="G935" t="s">
        <v>52</v>
      </c>
      <c r="H935">
        <v>59</v>
      </c>
      <c r="I935">
        <v>0.81699999999999995</v>
      </c>
      <c r="J935">
        <v>0.878</v>
      </c>
      <c r="K935">
        <v>6.0999999999999999E-2</v>
      </c>
      <c r="L935">
        <v>22</v>
      </c>
      <c r="M935">
        <v>25</v>
      </c>
      <c r="N935">
        <v>12</v>
      </c>
      <c r="O935">
        <v>0.86</v>
      </c>
      <c r="P935">
        <v>6.6215974999999996E-2</v>
      </c>
      <c r="Q935">
        <v>0.14699999999999999</v>
      </c>
    </row>
    <row r="936" spans="1:17" s="30" customFormat="1" x14ac:dyDescent="0.2">
      <c r="A936" s="30">
        <f>IF(C936&amp;G936&amp;D936&lt;&gt;'Funnel setup'!$K$3&amp;'Funnel setup'!$K$4&amp;'Funnel setup'!$K$5,".",IF(A935=".",1,A935+1))</f>
        <v>232</v>
      </c>
      <c r="B936" s="431" t="str">
        <f t="shared" si="14"/>
        <v>Groin HerniaProviderTHE BERKSHIRE INDEPENDENT HOSPITAL (NVC02)EQ-5D Index</v>
      </c>
      <c r="C936" t="s">
        <v>50</v>
      </c>
      <c r="D936" t="s">
        <v>1</v>
      </c>
      <c r="E936" t="s">
        <v>3118</v>
      </c>
      <c r="F936" t="s">
        <v>3119</v>
      </c>
      <c r="G936" t="s">
        <v>52</v>
      </c>
      <c r="H936">
        <v>39</v>
      </c>
      <c r="I936">
        <v>0.85899999999999999</v>
      </c>
      <c r="J936">
        <v>0.88300000000000001</v>
      </c>
      <c r="K936">
        <v>2.4E-2</v>
      </c>
      <c r="L936">
        <v>16</v>
      </c>
      <c r="M936">
        <v>18</v>
      </c>
      <c r="N936">
        <v>5</v>
      </c>
      <c r="O936">
        <v>0.84099999999999997</v>
      </c>
      <c r="P936">
        <v>4.7999160999999999E-2</v>
      </c>
      <c r="Q936">
        <v>0.223</v>
      </c>
    </row>
    <row r="937" spans="1:17" s="30" customFormat="1" x14ac:dyDescent="0.2">
      <c r="A937" s="30">
        <f>IF(C937&amp;G937&amp;D937&lt;&gt;'Funnel setup'!$K$3&amp;'Funnel setup'!$K$4&amp;'Funnel setup'!$K$5,".",IF(A936=".",1,A936+1))</f>
        <v>233</v>
      </c>
      <c r="B937" s="431" t="str">
        <f t="shared" si="14"/>
        <v>Groin HerniaProviderTHE DUDLEY GROUP NHS FOUNDATION TRUST (RNA)EQ-5D Index</v>
      </c>
      <c r="C937" t="s">
        <v>50</v>
      </c>
      <c r="D937" t="s">
        <v>1</v>
      </c>
      <c r="E937" t="s">
        <v>3121</v>
      </c>
      <c r="F937" t="s">
        <v>3122</v>
      </c>
      <c r="G937" t="s">
        <v>52</v>
      </c>
      <c r="H937">
        <v>159</v>
      </c>
      <c r="I937">
        <v>0.80500000000000005</v>
      </c>
      <c r="J937">
        <v>0.84699999999999998</v>
      </c>
      <c r="K937">
        <v>4.2000000000000003E-2</v>
      </c>
      <c r="L937">
        <v>65</v>
      </c>
      <c r="M937">
        <v>53</v>
      </c>
      <c r="N937">
        <v>41</v>
      </c>
      <c r="O937">
        <v>0.84699999999999998</v>
      </c>
      <c r="P937">
        <v>5.3653121999999998E-2</v>
      </c>
      <c r="Q937">
        <v>0.187</v>
      </c>
    </row>
    <row r="938" spans="1:17" s="30" customFormat="1" x14ac:dyDescent="0.2">
      <c r="A938" s="30">
        <f>IF(C938&amp;G938&amp;D938&lt;&gt;'Funnel setup'!$K$3&amp;'Funnel setup'!$K$4&amp;'Funnel setup'!$K$5,".",IF(A937=".",1,A937+1))</f>
        <v>234</v>
      </c>
      <c r="B938" s="431" t="str">
        <f t="shared" si="14"/>
        <v>Groin HerniaProviderTHE HILLINGDON HOSPITALS NHS FOUNDATION TRUST (RAS)EQ-5D Index</v>
      </c>
      <c r="C938" t="s">
        <v>50</v>
      </c>
      <c r="D938" t="s">
        <v>1</v>
      </c>
      <c r="E938" t="s">
        <v>3115</v>
      </c>
      <c r="F938" t="s">
        <v>3116</v>
      </c>
      <c r="G938" t="s">
        <v>52</v>
      </c>
      <c r="H938">
        <v>47</v>
      </c>
      <c r="I938">
        <v>0.76200000000000001</v>
      </c>
      <c r="J938">
        <v>0.86799999999999999</v>
      </c>
      <c r="K938">
        <v>0.106</v>
      </c>
      <c r="L938">
        <v>26</v>
      </c>
      <c r="M938">
        <v>15</v>
      </c>
      <c r="N938">
        <v>6</v>
      </c>
      <c r="O938">
        <v>0.88500000000000001</v>
      </c>
      <c r="P938">
        <v>9.1606622999999998E-2</v>
      </c>
      <c r="Q938">
        <v>0.16700000000000001</v>
      </c>
    </row>
    <row r="939" spans="1:17" s="30" customFormat="1" x14ac:dyDescent="0.2">
      <c r="A939" s="30">
        <f>IF(C939&amp;G939&amp;D939&lt;&gt;'Funnel setup'!$K$3&amp;'Funnel setup'!$K$4&amp;'Funnel setup'!$K$5,".",IF(A938=".",1,A938+1))</f>
        <v>235</v>
      </c>
      <c r="B939" s="431" t="str">
        <f t="shared" si="14"/>
        <v>Groin HerniaProviderTHE NEWCASTLE UPON TYNE HOSPITALS NHS FOUNDATION TRUST (RTD)EQ-5D Index</v>
      </c>
      <c r="C939" t="s">
        <v>50</v>
      </c>
      <c r="D939" t="s">
        <v>1</v>
      </c>
      <c r="E939" t="s">
        <v>3748</v>
      </c>
      <c r="F939" t="s">
        <v>3749</v>
      </c>
      <c r="G939" t="s">
        <v>52</v>
      </c>
      <c r="H939">
        <v>36</v>
      </c>
      <c r="I939">
        <v>0.78300000000000003</v>
      </c>
      <c r="J939">
        <v>0.86899999999999999</v>
      </c>
      <c r="K939">
        <v>8.5999999999999993E-2</v>
      </c>
      <c r="L939">
        <v>15</v>
      </c>
      <c r="M939">
        <v>16</v>
      </c>
      <c r="N939">
        <v>5</v>
      </c>
      <c r="O939">
        <v>0.88600000000000001</v>
      </c>
      <c r="P939">
        <v>9.2231270000000004E-2</v>
      </c>
      <c r="Q939">
        <v>0.152</v>
      </c>
    </row>
    <row r="940" spans="1:17" s="30" customFormat="1" x14ac:dyDescent="0.2">
      <c r="A940" s="30">
        <f>IF(C940&amp;G940&amp;D940&lt;&gt;'Funnel setup'!$K$3&amp;'Funnel setup'!$K$4&amp;'Funnel setup'!$K$5,".",IF(A939=".",1,A939+1))</f>
        <v>236</v>
      </c>
      <c r="B940" s="431" t="str">
        <f t="shared" si="14"/>
        <v>Groin HerniaProviderTHE PRINCESS ALEXANDRA HOSPITAL NHS TRUST (RQW)EQ-5D Index</v>
      </c>
      <c r="C940" t="s">
        <v>50</v>
      </c>
      <c r="D940" t="s">
        <v>1</v>
      </c>
      <c r="E940" t="s">
        <v>3751</v>
      </c>
      <c r="F940" t="s">
        <v>3752</v>
      </c>
      <c r="G940" t="s">
        <v>52</v>
      </c>
      <c r="H940">
        <v>57</v>
      </c>
      <c r="I940">
        <v>0.73199999999999998</v>
      </c>
      <c r="J940">
        <v>0.79700000000000004</v>
      </c>
      <c r="K940">
        <v>6.6000000000000003E-2</v>
      </c>
      <c r="L940">
        <v>22</v>
      </c>
      <c r="M940">
        <v>24</v>
      </c>
      <c r="N940">
        <v>11</v>
      </c>
      <c r="O940">
        <v>0.82599999999999996</v>
      </c>
      <c r="P940">
        <v>3.2337428000000001E-2</v>
      </c>
      <c r="Q940">
        <v>0.20399999999999999</v>
      </c>
    </row>
    <row r="941" spans="1:17" s="30" customFormat="1" x14ac:dyDescent="0.2">
      <c r="A941" s="30">
        <f>IF(C941&amp;G941&amp;D941&lt;&gt;'Funnel setup'!$K$3&amp;'Funnel setup'!$K$4&amp;'Funnel setup'!$K$5,".",IF(A940=".",1,A940+1))</f>
        <v>237</v>
      </c>
      <c r="B941" s="431" t="str">
        <f t="shared" si="14"/>
        <v>Groin HerniaProviderTHE QUEEN ELIZABETH HOSPITAL, KING'S LYNN, NHS FOUNDATION TRUST (RCX)EQ-5D Index</v>
      </c>
      <c r="C941" t="s">
        <v>50</v>
      </c>
      <c r="D941" t="s">
        <v>1</v>
      </c>
      <c r="E941" t="s">
        <v>3754</v>
      </c>
      <c r="F941" t="s">
        <v>3755</v>
      </c>
      <c r="G941" t="s">
        <v>52</v>
      </c>
      <c r="H941">
        <v>61</v>
      </c>
      <c r="I941">
        <v>0.78400000000000003</v>
      </c>
      <c r="J941">
        <v>0.84099999999999997</v>
      </c>
      <c r="K941">
        <v>5.7000000000000002E-2</v>
      </c>
      <c r="L941">
        <v>30</v>
      </c>
      <c r="M941">
        <v>21</v>
      </c>
      <c r="N941">
        <v>10</v>
      </c>
      <c r="O941">
        <v>0.86599999999999999</v>
      </c>
      <c r="P941">
        <v>7.2714572000000005E-2</v>
      </c>
      <c r="Q941">
        <v>0.182</v>
      </c>
    </row>
    <row r="942" spans="1:17" s="30" customFormat="1" x14ac:dyDescent="0.2">
      <c r="A942" s="30">
        <f>IF(C942&amp;G942&amp;D942&lt;&gt;'Funnel setup'!$K$3&amp;'Funnel setup'!$K$4&amp;'Funnel setup'!$K$5,".",IF(A941=".",1,A941+1))</f>
        <v>238</v>
      </c>
      <c r="B942" s="431" t="str">
        <f t="shared" si="14"/>
        <v>Groin HerniaProviderTHE ROTHERHAM NHS FOUNDATION TRUST (RFR)EQ-5D Index</v>
      </c>
      <c r="C942" t="s">
        <v>50</v>
      </c>
      <c r="D942" t="s">
        <v>1</v>
      </c>
      <c r="E942" t="s">
        <v>3739</v>
      </c>
      <c r="F942" t="s">
        <v>3740</v>
      </c>
      <c r="G942" t="s">
        <v>52</v>
      </c>
      <c r="H942">
        <v>66</v>
      </c>
      <c r="I942">
        <v>0.73899999999999999</v>
      </c>
      <c r="J942">
        <v>0.876</v>
      </c>
      <c r="K942">
        <v>0.13700000000000001</v>
      </c>
      <c r="L942">
        <v>39</v>
      </c>
      <c r="M942">
        <v>16</v>
      </c>
      <c r="N942">
        <v>11</v>
      </c>
      <c r="O942">
        <v>0.89600000000000002</v>
      </c>
      <c r="P942">
        <v>0.10264369299999999</v>
      </c>
      <c r="Q942">
        <v>0.16200000000000001</v>
      </c>
    </row>
    <row r="943" spans="1:17" s="30" customFormat="1" x14ac:dyDescent="0.2">
      <c r="A943" s="30">
        <f>IF(C943&amp;G943&amp;D943&lt;&gt;'Funnel setup'!$K$3&amp;'Funnel setup'!$K$4&amp;'Funnel setup'!$K$5,".",IF(A942=".",1,A942+1))</f>
        <v>239</v>
      </c>
      <c r="B943" s="431" t="str">
        <f t="shared" si="14"/>
        <v>Groin HerniaProviderTHE ROYAL BOURNEMOUTH AND CHRISTCHURCH HOSPITALS NHS FOUNDATION TRUST (RDZ)EQ-5D Index</v>
      </c>
      <c r="C943" t="s">
        <v>50</v>
      </c>
      <c r="D943" t="s">
        <v>1</v>
      </c>
      <c r="E943" t="s">
        <v>3742</v>
      </c>
      <c r="F943" t="s">
        <v>3743</v>
      </c>
      <c r="G943" t="s">
        <v>52</v>
      </c>
      <c r="H943">
        <v>46</v>
      </c>
      <c r="I943">
        <v>0.75700000000000001</v>
      </c>
      <c r="J943">
        <v>0.85799999999999998</v>
      </c>
      <c r="K943">
        <v>0.10100000000000001</v>
      </c>
      <c r="L943">
        <v>25</v>
      </c>
      <c r="M943">
        <v>16</v>
      </c>
      <c r="N943">
        <v>5</v>
      </c>
      <c r="O943">
        <v>0.878</v>
      </c>
      <c r="P943">
        <v>8.4152780999999996E-2</v>
      </c>
      <c r="Q943">
        <v>0.11899999999999999</v>
      </c>
    </row>
    <row r="944" spans="1:17" s="30" customFormat="1" x14ac:dyDescent="0.2">
      <c r="A944" s="30">
        <f>IF(C944&amp;G944&amp;D944&lt;&gt;'Funnel setup'!$K$3&amp;'Funnel setup'!$K$4&amp;'Funnel setup'!$K$5,".",IF(A943=".",1,A943+1))</f>
        <v>240</v>
      </c>
      <c r="B944" s="431" t="str">
        <f t="shared" si="14"/>
        <v>Groin HerniaProviderTHE ROYAL WOLVERHAMPTON NHS TRUST (RL4)EQ-5D Index</v>
      </c>
      <c r="C944" t="s">
        <v>50</v>
      </c>
      <c r="D944" t="s">
        <v>1</v>
      </c>
      <c r="E944" t="s">
        <v>3382</v>
      </c>
      <c r="F944" t="s">
        <v>3383</v>
      </c>
      <c r="G944" t="s">
        <v>52</v>
      </c>
      <c r="H944">
        <v>132</v>
      </c>
      <c r="I944">
        <v>0.77300000000000002</v>
      </c>
      <c r="J944">
        <v>0.85699999999999998</v>
      </c>
      <c r="K944">
        <v>8.4000000000000005E-2</v>
      </c>
      <c r="L944">
        <v>67</v>
      </c>
      <c r="M944">
        <v>41</v>
      </c>
      <c r="N944">
        <v>24</v>
      </c>
      <c r="O944">
        <v>0.878</v>
      </c>
      <c r="P944">
        <v>8.4475421999999994E-2</v>
      </c>
      <c r="Q944">
        <v>0.159</v>
      </c>
    </row>
    <row r="945" spans="1:17" s="30" customFormat="1" x14ac:dyDescent="0.2">
      <c r="A945" s="30">
        <f>IF(C945&amp;G945&amp;D945&lt;&gt;'Funnel setup'!$K$3&amp;'Funnel setup'!$K$4&amp;'Funnel setup'!$K$5,".",IF(A944=".",1,A944+1))</f>
        <v>241</v>
      </c>
      <c r="B945" s="431" t="str">
        <f t="shared" si="14"/>
        <v>Groin HerniaProviderTHE SPENCER WING (RAMSGATE ROAD) (NN801)EQ-5D Index</v>
      </c>
      <c r="C945" t="s">
        <v>50</v>
      </c>
      <c r="D945" t="s">
        <v>1</v>
      </c>
      <c r="E945" t="s">
        <v>3757</v>
      </c>
      <c r="F945" t="s">
        <v>3758</v>
      </c>
      <c r="G945" t="s">
        <v>52</v>
      </c>
      <c r="H945" t="s">
        <v>53</v>
      </c>
      <c r="I945" t="s">
        <v>53</v>
      </c>
      <c r="J945" t="s">
        <v>53</v>
      </c>
      <c r="K945" t="s">
        <v>53</v>
      </c>
      <c r="L945" t="s">
        <v>53</v>
      </c>
      <c r="M945" t="s">
        <v>53</v>
      </c>
      <c r="N945" t="s">
        <v>53</v>
      </c>
      <c r="O945" t="s">
        <v>53</v>
      </c>
      <c r="P945" t="s">
        <v>53</v>
      </c>
      <c r="Q945" t="s">
        <v>53</v>
      </c>
    </row>
    <row r="946" spans="1:17" s="30" customFormat="1" x14ac:dyDescent="0.2">
      <c r="A946" s="30">
        <f>IF(C946&amp;G946&amp;D946&lt;&gt;'Funnel setup'!$K$3&amp;'Funnel setup'!$K$4&amp;'Funnel setup'!$K$5,".",IF(A945=".",1,A945+1))</f>
        <v>242</v>
      </c>
      <c r="B946" s="431" t="str">
        <f t="shared" si="14"/>
        <v>Groin HerniaProviderTHE WESTBOURNE CENTRE (NVC44)EQ-5D Index</v>
      </c>
      <c r="C946" t="s">
        <v>50</v>
      </c>
      <c r="D946" t="s">
        <v>1</v>
      </c>
      <c r="E946" t="s">
        <v>3775</v>
      </c>
      <c r="F946" t="s">
        <v>3776</v>
      </c>
      <c r="G946" t="s">
        <v>52</v>
      </c>
      <c r="H946" t="s">
        <v>53</v>
      </c>
      <c r="I946" t="s">
        <v>53</v>
      </c>
      <c r="J946" t="s">
        <v>53</v>
      </c>
      <c r="K946" t="s">
        <v>53</v>
      </c>
      <c r="L946" t="s">
        <v>53</v>
      </c>
      <c r="M946" t="s">
        <v>53</v>
      </c>
      <c r="N946" t="s">
        <v>53</v>
      </c>
      <c r="O946" t="s">
        <v>53</v>
      </c>
      <c r="P946" t="s">
        <v>53</v>
      </c>
      <c r="Q946" t="s">
        <v>53</v>
      </c>
    </row>
    <row r="947" spans="1:17" s="30" customFormat="1" x14ac:dyDescent="0.2">
      <c r="A947" s="30">
        <f>IF(C947&amp;G947&amp;D947&lt;&gt;'Funnel setup'!$K$3&amp;'Funnel setup'!$K$4&amp;'Funnel setup'!$K$5,".",IF(A946=".",1,A946+1))</f>
        <v>243</v>
      </c>
      <c r="B947" s="431" t="str">
        <f t="shared" si="14"/>
        <v>Groin HerniaProviderTHE YORKSHIRE CLINIC (NVC20)EQ-5D Index</v>
      </c>
      <c r="C947" t="s">
        <v>50</v>
      </c>
      <c r="D947" t="s">
        <v>1</v>
      </c>
      <c r="E947" t="s">
        <v>3760</v>
      </c>
      <c r="F947" t="s">
        <v>3761</v>
      </c>
      <c r="G947" t="s">
        <v>52</v>
      </c>
      <c r="H947">
        <v>30</v>
      </c>
      <c r="I947">
        <v>0.85299999999999998</v>
      </c>
      <c r="J947">
        <v>0.92300000000000004</v>
      </c>
      <c r="K947">
        <v>7.0000000000000007E-2</v>
      </c>
      <c r="L947">
        <v>13</v>
      </c>
      <c r="M947">
        <v>10</v>
      </c>
      <c r="N947">
        <v>7</v>
      </c>
      <c r="O947">
        <v>0.89700000000000002</v>
      </c>
      <c r="P947">
        <v>0.103862631</v>
      </c>
      <c r="Q947">
        <v>0.109</v>
      </c>
    </row>
    <row r="948" spans="1:17" s="30" customFormat="1" x14ac:dyDescent="0.2">
      <c r="A948" s="30">
        <f>IF(C948&amp;G948&amp;D948&lt;&gt;'Funnel setup'!$K$3&amp;'Funnel setup'!$K$4&amp;'Funnel setup'!$K$5,".",IF(A947=".",1,A947+1))</f>
        <v>244</v>
      </c>
      <c r="B948" s="431" t="str">
        <f t="shared" si="14"/>
        <v>Groin HerniaProviderTORBAY AND SOUTH DEVON NHS FOUNDATION TRUST (RA9)EQ-5D Index</v>
      </c>
      <c r="C948" t="s">
        <v>50</v>
      </c>
      <c r="D948" t="s">
        <v>1</v>
      </c>
      <c r="E948" t="s">
        <v>3480</v>
      </c>
      <c r="F948" t="s">
        <v>6584</v>
      </c>
      <c r="G948" t="s">
        <v>52</v>
      </c>
      <c r="H948">
        <v>24</v>
      </c>
      <c r="I948">
        <v>0.76600000000000001</v>
      </c>
      <c r="J948">
        <v>0.82399999999999995</v>
      </c>
      <c r="K948">
        <v>5.8000000000000003E-2</v>
      </c>
      <c r="L948">
        <v>13</v>
      </c>
      <c r="M948">
        <v>7</v>
      </c>
      <c r="N948">
        <v>4</v>
      </c>
      <c r="O948" t="s">
        <v>53</v>
      </c>
      <c r="P948" t="s">
        <v>53</v>
      </c>
      <c r="Q948" t="s">
        <v>53</v>
      </c>
    </row>
    <row r="949" spans="1:17" s="30" customFormat="1" x14ac:dyDescent="0.2">
      <c r="A949" s="30">
        <f>IF(C949&amp;G949&amp;D949&lt;&gt;'Funnel setup'!$K$3&amp;'Funnel setup'!$K$4&amp;'Funnel setup'!$K$5,".",IF(A948=".",1,A948+1))</f>
        <v>245</v>
      </c>
      <c r="B949" s="431" t="str">
        <f t="shared" si="14"/>
        <v>Groin HerniaProviderUNITED LINCOLNSHIRE HOSPITALS NHS TRUST (RWD)EQ-5D Index</v>
      </c>
      <c r="C949" t="s">
        <v>50</v>
      </c>
      <c r="D949" t="s">
        <v>1</v>
      </c>
      <c r="E949" t="s">
        <v>3763</v>
      </c>
      <c r="F949" t="s">
        <v>3764</v>
      </c>
      <c r="G949" t="s">
        <v>52</v>
      </c>
      <c r="H949">
        <v>141</v>
      </c>
      <c r="I949">
        <v>0.80800000000000005</v>
      </c>
      <c r="J949">
        <v>0.86599999999999999</v>
      </c>
      <c r="K949">
        <v>5.8000000000000003E-2</v>
      </c>
      <c r="L949">
        <v>63</v>
      </c>
      <c r="M949">
        <v>48</v>
      </c>
      <c r="N949">
        <v>30</v>
      </c>
      <c r="O949">
        <v>0.86699999999999999</v>
      </c>
      <c r="P949">
        <v>7.3690227999999997E-2</v>
      </c>
      <c r="Q949">
        <v>0.16800000000000001</v>
      </c>
    </row>
    <row r="950" spans="1:17" s="30" customFormat="1" x14ac:dyDescent="0.2">
      <c r="A950" s="30">
        <f>IF(C950&amp;G950&amp;D950&lt;&gt;'Funnel setup'!$K$3&amp;'Funnel setup'!$K$4&amp;'Funnel setup'!$K$5,".",IF(A949=".",1,A949+1))</f>
        <v>246</v>
      </c>
      <c r="B950" s="431" t="str">
        <f t="shared" si="14"/>
        <v>Groin HerniaProviderUNIVERSITY COLLEGE LONDON HOSPITALS NHS FOUNDATION TRUST (RRV)EQ-5D Index</v>
      </c>
      <c r="C950" t="s">
        <v>50</v>
      </c>
      <c r="D950" t="s">
        <v>1</v>
      </c>
      <c r="E950" t="s">
        <v>3766</v>
      </c>
      <c r="F950" t="s">
        <v>3767</v>
      </c>
      <c r="G950" t="s">
        <v>52</v>
      </c>
      <c r="H950">
        <v>22</v>
      </c>
      <c r="I950">
        <v>0.78500000000000003</v>
      </c>
      <c r="J950">
        <v>0.84499999999999997</v>
      </c>
      <c r="K950">
        <v>0.06</v>
      </c>
      <c r="L950">
        <v>10</v>
      </c>
      <c r="M950">
        <v>4</v>
      </c>
      <c r="N950">
        <v>8</v>
      </c>
      <c r="O950" t="s">
        <v>53</v>
      </c>
      <c r="P950" t="s">
        <v>53</v>
      </c>
      <c r="Q950" t="s">
        <v>53</v>
      </c>
    </row>
    <row r="951" spans="1:17" s="30" customFormat="1" x14ac:dyDescent="0.2">
      <c r="A951" s="30">
        <f>IF(C951&amp;G951&amp;D951&lt;&gt;'Funnel setup'!$K$3&amp;'Funnel setup'!$K$4&amp;'Funnel setup'!$K$5,".",IF(A950=".",1,A950+1))</f>
        <v>247</v>
      </c>
      <c r="B951" s="431" t="str">
        <f t="shared" si="14"/>
        <v>Groin HerniaProviderUNIVERSITY HOSPITAL OF SOUTH MANCHESTER NHS FOUNDATION TRUST (RM2)EQ-5D Index</v>
      </c>
      <c r="C951" t="s">
        <v>50</v>
      </c>
      <c r="D951" t="s">
        <v>1</v>
      </c>
      <c r="E951" t="s">
        <v>3769</v>
      </c>
      <c r="F951" t="s">
        <v>3770</v>
      </c>
      <c r="G951" t="s">
        <v>52</v>
      </c>
      <c r="H951">
        <v>84</v>
      </c>
      <c r="I951">
        <v>0.79400000000000004</v>
      </c>
      <c r="J951">
        <v>0.86299999999999999</v>
      </c>
      <c r="K951">
        <v>6.9000000000000006E-2</v>
      </c>
      <c r="L951">
        <v>37</v>
      </c>
      <c r="M951">
        <v>37</v>
      </c>
      <c r="N951">
        <v>10</v>
      </c>
      <c r="O951">
        <v>0.86499999999999999</v>
      </c>
      <c r="P951">
        <v>7.1541544999999998E-2</v>
      </c>
      <c r="Q951">
        <v>0.192</v>
      </c>
    </row>
    <row r="952" spans="1:17" s="30" customFormat="1" x14ac:dyDescent="0.2">
      <c r="A952" s="30">
        <f>IF(C952&amp;G952&amp;D952&lt;&gt;'Funnel setup'!$K$3&amp;'Funnel setup'!$K$4&amp;'Funnel setup'!$K$5,".",IF(A951=".",1,A951+1))</f>
        <v>248</v>
      </c>
      <c r="B952" s="431" t="str">
        <f t="shared" si="14"/>
        <v>Groin HerniaProviderUNIVERSITY HOSPITAL SOUTHAMPTON NHS FOUNDATION TRUST (RHM)EQ-5D Index</v>
      </c>
      <c r="C952" t="s">
        <v>50</v>
      </c>
      <c r="D952" t="s">
        <v>1</v>
      </c>
      <c r="E952" t="s">
        <v>3772</v>
      </c>
      <c r="F952" t="s">
        <v>3773</v>
      </c>
      <c r="G952" t="s">
        <v>52</v>
      </c>
      <c r="H952">
        <v>24</v>
      </c>
      <c r="I952">
        <v>0.64700000000000002</v>
      </c>
      <c r="J952">
        <v>0.74099999999999999</v>
      </c>
      <c r="K952">
        <v>9.4E-2</v>
      </c>
      <c r="L952">
        <v>13</v>
      </c>
      <c r="M952">
        <v>5</v>
      </c>
      <c r="N952">
        <v>6</v>
      </c>
      <c r="O952" t="s">
        <v>53</v>
      </c>
      <c r="P952" t="s">
        <v>53</v>
      </c>
      <c r="Q952" t="s">
        <v>53</v>
      </c>
    </row>
    <row r="953" spans="1:17" s="30" customFormat="1" x14ac:dyDescent="0.2">
      <c r="A953" s="30">
        <f>IF(C953&amp;G953&amp;D953&lt;&gt;'Funnel setup'!$K$3&amp;'Funnel setup'!$K$4&amp;'Funnel setup'!$K$5,".",IF(A952=".",1,A952+1))</f>
        <v>249</v>
      </c>
      <c r="B953" s="431" t="str">
        <f t="shared" si="14"/>
        <v>Groin HerniaProviderUNIVERSITY HOSPITALS BIRMINGHAM NHS FOUNDATION TRUST (RRK)EQ-5D Index</v>
      </c>
      <c r="C953" t="s">
        <v>50</v>
      </c>
      <c r="D953" t="s">
        <v>1</v>
      </c>
      <c r="E953" t="s">
        <v>3778</v>
      </c>
      <c r="F953" t="s">
        <v>3779</v>
      </c>
      <c r="G953" t="s">
        <v>52</v>
      </c>
      <c r="H953">
        <v>107</v>
      </c>
      <c r="I953">
        <v>0.77</v>
      </c>
      <c r="J953">
        <v>0.83699999999999997</v>
      </c>
      <c r="K953">
        <v>6.7000000000000004E-2</v>
      </c>
      <c r="L953">
        <v>47</v>
      </c>
      <c r="M953">
        <v>41</v>
      </c>
      <c r="N953">
        <v>19</v>
      </c>
      <c r="O953">
        <v>0.86199999999999999</v>
      </c>
      <c r="P953">
        <v>6.8290825999999999E-2</v>
      </c>
      <c r="Q953">
        <v>0.17199999999999999</v>
      </c>
    </row>
    <row r="954" spans="1:17" s="30" customFormat="1" x14ac:dyDescent="0.2">
      <c r="A954" s="30">
        <f>IF(C954&amp;G954&amp;D954&lt;&gt;'Funnel setup'!$K$3&amp;'Funnel setup'!$K$4&amp;'Funnel setup'!$K$5,".",IF(A953=".",1,A953+1))</f>
        <v>250</v>
      </c>
      <c r="B954" s="431" t="str">
        <f t="shared" si="14"/>
        <v>Groin HerniaProviderUNIVERSITY HOSPITALS BRISTOL NHS FOUNDATION TRUST (RA7)EQ-5D Index</v>
      </c>
      <c r="C954" t="s">
        <v>50</v>
      </c>
      <c r="D954" t="s">
        <v>1</v>
      </c>
      <c r="E954" t="s">
        <v>3835</v>
      </c>
      <c r="F954" t="s">
        <v>3836</v>
      </c>
      <c r="G954" t="s">
        <v>52</v>
      </c>
      <c r="H954">
        <v>25</v>
      </c>
      <c r="I954">
        <v>0.751</v>
      </c>
      <c r="J954">
        <v>0.90800000000000003</v>
      </c>
      <c r="K954">
        <v>0.157</v>
      </c>
      <c r="L954">
        <v>18</v>
      </c>
      <c r="M954">
        <v>7</v>
      </c>
      <c r="N954">
        <v>0</v>
      </c>
      <c r="O954" t="s">
        <v>53</v>
      </c>
      <c r="P954" t="s">
        <v>53</v>
      </c>
      <c r="Q954" t="s">
        <v>53</v>
      </c>
    </row>
    <row r="955" spans="1:17" s="30" customFormat="1" x14ac:dyDescent="0.2">
      <c r="A955" s="30">
        <f>IF(C955&amp;G955&amp;D955&lt;&gt;'Funnel setup'!$K$3&amp;'Funnel setup'!$K$4&amp;'Funnel setup'!$K$5,".",IF(A954=".",1,A954+1))</f>
        <v>251</v>
      </c>
      <c r="B955" s="431" t="str">
        <f t="shared" si="14"/>
        <v>Groin HerniaProviderUNIVERSITY HOSPITALS COVENTRY AND WARWICKSHIRE NHS TRUST (RKB)EQ-5D Index</v>
      </c>
      <c r="C955" t="s">
        <v>50</v>
      </c>
      <c r="D955" t="s">
        <v>1</v>
      </c>
      <c r="E955" t="s">
        <v>3715</v>
      </c>
      <c r="F955" t="s">
        <v>3716</v>
      </c>
      <c r="G955" t="s">
        <v>52</v>
      </c>
      <c r="H955">
        <v>30</v>
      </c>
      <c r="I955">
        <v>0.77200000000000002</v>
      </c>
      <c r="J955">
        <v>0.85299999999999998</v>
      </c>
      <c r="K955">
        <v>8.1000000000000003E-2</v>
      </c>
      <c r="L955">
        <v>16</v>
      </c>
      <c r="M955">
        <v>8</v>
      </c>
      <c r="N955">
        <v>6</v>
      </c>
      <c r="O955">
        <v>0.871</v>
      </c>
      <c r="P955">
        <v>7.7271954000000004E-2</v>
      </c>
      <c r="Q955">
        <v>0.214</v>
      </c>
    </row>
    <row r="956" spans="1:17" s="30" customFormat="1" x14ac:dyDescent="0.2">
      <c r="A956" s="30">
        <f>IF(C956&amp;G956&amp;D956&lt;&gt;'Funnel setup'!$K$3&amp;'Funnel setup'!$K$4&amp;'Funnel setup'!$K$5,".",IF(A955=".",1,A955+1))</f>
        <v>252</v>
      </c>
      <c r="B956" s="431" t="str">
        <f t="shared" si="14"/>
        <v>Groin HerniaProviderUNIVERSITY HOSPITALS OF LEICESTER NHS TRUST (RWE)EQ-5D Index</v>
      </c>
      <c r="C956" t="s">
        <v>50</v>
      </c>
      <c r="D956" t="s">
        <v>1</v>
      </c>
      <c r="E956" t="s">
        <v>3718</v>
      </c>
      <c r="F956" t="s">
        <v>3719</v>
      </c>
      <c r="G956" t="s">
        <v>52</v>
      </c>
      <c r="H956">
        <v>220</v>
      </c>
      <c r="I956">
        <v>0.81499999999999995</v>
      </c>
      <c r="J956">
        <v>0.86599999999999999</v>
      </c>
      <c r="K956">
        <v>5.0999999999999997E-2</v>
      </c>
      <c r="L956">
        <v>92</v>
      </c>
      <c r="M956">
        <v>76</v>
      </c>
      <c r="N956">
        <v>52</v>
      </c>
      <c r="O956">
        <v>0.86599999999999999</v>
      </c>
      <c r="P956">
        <v>7.2738715999999995E-2</v>
      </c>
      <c r="Q956">
        <v>0.152</v>
      </c>
    </row>
    <row r="957" spans="1:17" s="30" customFormat="1" x14ac:dyDescent="0.2">
      <c r="A957" s="30">
        <f>IF(C957&amp;G957&amp;D957&lt;&gt;'Funnel setup'!$K$3&amp;'Funnel setup'!$K$4&amp;'Funnel setup'!$K$5,".",IF(A956=".",1,A956+1))</f>
        <v>253</v>
      </c>
      <c r="B957" s="431" t="str">
        <f t="shared" si="14"/>
        <v>Groin HerniaProviderUNIVERSITY HOSPITALS OF MORECAMBE BAY NHS FOUNDATION TRUST (RTX)EQ-5D Index</v>
      </c>
      <c r="C957" t="s">
        <v>50</v>
      </c>
      <c r="D957" t="s">
        <v>1</v>
      </c>
      <c r="E957" t="s">
        <v>3721</v>
      </c>
      <c r="F957" t="s">
        <v>3722</v>
      </c>
      <c r="G957" t="s">
        <v>52</v>
      </c>
      <c r="H957">
        <v>201</v>
      </c>
      <c r="I957">
        <v>0.80600000000000005</v>
      </c>
      <c r="J957">
        <v>0.878</v>
      </c>
      <c r="K957">
        <v>7.1999999999999995E-2</v>
      </c>
      <c r="L957">
        <v>98</v>
      </c>
      <c r="M957">
        <v>72</v>
      </c>
      <c r="N957">
        <v>31</v>
      </c>
      <c r="O957">
        <v>0.87</v>
      </c>
      <c r="P957">
        <v>7.6726156000000004E-2</v>
      </c>
      <c r="Q957">
        <v>0.155</v>
      </c>
    </row>
    <row r="958" spans="1:17" s="30" customFormat="1" x14ac:dyDescent="0.2">
      <c r="A958" s="30">
        <f>IF(C958&amp;G958&amp;D958&lt;&gt;'Funnel setup'!$K$3&amp;'Funnel setup'!$K$4&amp;'Funnel setup'!$K$5,".",IF(A957=".",1,A957+1))</f>
        <v>254</v>
      </c>
      <c r="B958" s="431" t="str">
        <f t="shared" si="14"/>
        <v>Groin HerniaProviderUNIVERSITY HOSPITALS OF NORTH MIDLANDS NHS TRUST (RJE)EQ-5D Index</v>
      </c>
      <c r="C958" t="s">
        <v>50</v>
      </c>
      <c r="D958" t="s">
        <v>1</v>
      </c>
      <c r="E958" t="s">
        <v>3724</v>
      </c>
      <c r="F958" t="s">
        <v>3725</v>
      </c>
      <c r="G958" t="s">
        <v>52</v>
      </c>
      <c r="H958">
        <v>74</v>
      </c>
      <c r="I958">
        <v>0.77800000000000002</v>
      </c>
      <c r="J958">
        <v>0.876</v>
      </c>
      <c r="K958">
        <v>9.8000000000000004E-2</v>
      </c>
      <c r="L958">
        <v>36</v>
      </c>
      <c r="M958">
        <v>25</v>
      </c>
      <c r="N958">
        <v>13</v>
      </c>
      <c r="O958">
        <v>0.88200000000000001</v>
      </c>
      <c r="P958">
        <v>8.8799225999999995E-2</v>
      </c>
      <c r="Q958">
        <v>0.17799999999999999</v>
      </c>
    </row>
    <row r="959" spans="1:17" s="30" customFormat="1" x14ac:dyDescent="0.2">
      <c r="A959" s="30">
        <f>IF(C959&amp;G959&amp;D959&lt;&gt;'Funnel setup'!$K$3&amp;'Funnel setup'!$K$4&amp;'Funnel setup'!$K$5,".",IF(A958=".",1,A958+1))</f>
        <v>255</v>
      </c>
      <c r="B959" s="431" t="str">
        <f t="shared" si="14"/>
        <v>Groin HerniaProviderWALSALL HEALTHCARE NHS TRUST (RBK)EQ-5D Index</v>
      </c>
      <c r="C959" t="s">
        <v>50</v>
      </c>
      <c r="D959" t="s">
        <v>1</v>
      </c>
      <c r="E959" t="s">
        <v>3727</v>
      </c>
      <c r="F959" t="s">
        <v>3728</v>
      </c>
      <c r="G959" t="s">
        <v>52</v>
      </c>
      <c r="H959">
        <v>58</v>
      </c>
      <c r="I959">
        <v>0.75600000000000001</v>
      </c>
      <c r="J959">
        <v>0.84099999999999997</v>
      </c>
      <c r="K959">
        <v>8.5000000000000006E-2</v>
      </c>
      <c r="L959">
        <v>32</v>
      </c>
      <c r="M959">
        <v>15</v>
      </c>
      <c r="N959">
        <v>11</v>
      </c>
      <c r="O959">
        <v>0.86299999999999999</v>
      </c>
      <c r="P959">
        <v>6.9478940000000003E-2</v>
      </c>
      <c r="Q959">
        <v>0.20100000000000001</v>
      </c>
    </row>
    <row r="960" spans="1:17" s="30" customFormat="1" x14ac:dyDescent="0.2">
      <c r="A960" s="30">
        <f>IF(C960&amp;G960&amp;D960&lt;&gt;'Funnel setup'!$K$3&amp;'Funnel setup'!$K$4&amp;'Funnel setup'!$K$5,".",IF(A959=".",1,A959+1))</f>
        <v>256</v>
      </c>
      <c r="B960" s="431" t="str">
        <f t="shared" si="14"/>
        <v>Groin HerniaProviderWARRINGTON AND HALTON HOSPITALS NHS FOUNDATION TRUST (RWW)EQ-5D Index</v>
      </c>
      <c r="C960" t="s">
        <v>50</v>
      </c>
      <c r="D960" t="s">
        <v>1</v>
      </c>
      <c r="E960" t="s">
        <v>3730</v>
      </c>
      <c r="F960" t="s">
        <v>3731</v>
      </c>
      <c r="G960" t="s">
        <v>52</v>
      </c>
      <c r="H960">
        <v>102</v>
      </c>
      <c r="I960">
        <v>0.81100000000000005</v>
      </c>
      <c r="J960">
        <v>0.86799999999999999</v>
      </c>
      <c r="K960">
        <v>5.8000000000000003E-2</v>
      </c>
      <c r="L960">
        <v>41</v>
      </c>
      <c r="M960">
        <v>35</v>
      </c>
      <c r="N960">
        <v>26</v>
      </c>
      <c r="O960">
        <v>0.85899999999999999</v>
      </c>
      <c r="P960">
        <v>6.5385523000000001E-2</v>
      </c>
      <c r="Q960">
        <v>0.13300000000000001</v>
      </c>
    </row>
    <row r="961" spans="1:17" s="30" customFormat="1" x14ac:dyDescent="0.2">
      <c r="A961" s="30">
        <f>IF(C961&amp;G961&amp;D961&lt;&gt;'Funnel setup'!$K$3&amp;'Funnel setup'!$K$4&amp;'Funnel setup'!$K$5,".",IF(A960=".",1,A960+1))</f>
        <v>257</v>
      </c>
      <c r="B961" s="431" t="str">
        <f t="shared" si="14"/>
        <v>Groin HerniaProviderWEST HERTFORDSHIRE HOSPITALS NHS TRUST (RWG)EQ-5D Index</v>
      </c>
      <c r="C961" t="s">
        <v>50</v>
      </c>
      <c r="D961" t="s">
        <v>1</v>
      </c>
      <c r="E961" t="s">
        <v>3733</v>
      </c>
      <c r="F961" t="s">
        <v>3734</v>
      </c>
      <c r="G961" t="s">
        <v>52</v>
      </c>
      <c r="H961">
        <v>217</v>
      </c>
      <c r="I961">
        <v>0.79300000000000004</v>
      </c>
      <c r="J961">
        <v>0.88300000000000001</v>
      </c>
      <c r="K961">
        <v>0.09</v>
      </c>
      <c r="L961">
        <v>115</v>
      </c>
      <c r="M961">
        <v>68</v>
      </c>
      <c r="N961">
        <v>34</v>
      </c>
      <c r="O961">
        <v>0.872</v>
      </c>
      <c r="P961">
        <v>7.8530607000000002E-2</v>
      </c>
      <c r="Q961">
        <v>0.14299999999999999</v>
      </c>
    </row>
    <row r="962" spans="1:17" s="30" customFormat="1" x14ac:dyDescent="0.2">
      <c r="A962" s="30">
        <f>IF(C962&amp;G962&amp;D962&lt;&gt;'Funnel setup'!$K$3&amp;'Funnel setup'!$K$4&amp;'Funnel setup'!$K$5,".",IF(A961=".",1,A961+1))</f>
        <v>258</v>
      </c>
      <c r="B962" s="431" t="str">
        <f t="shared" si="14"/>
        <v>Groin HerniaProviderWEST MIDDLESEX UNIVERSITY HOSPITAL NHS TRUST (RFW)EQ-5D Index</v>
      </c>
      <c r="C962" t="s">
        <v>50</v>
      </c>
      <c r="D962" t="s">
        <v>1</v>
      </c>
      <c r="E962" t="s">
        <v>3736</v>
      </c>
      <c r="F962" t="s">
        <v>3737</v>
      </c>
      <c r="G962" t="s">
        <v>52</v>
      </c>
      <c r="H962">
        <v>12</v>
      </c>
      <c r="I962">
        <v>0.79</v>
      </c>
      <c r="J962">
        <v>0.875</v>
      </c>
      <c r="K962">
        <v>8.4000000000000005E-2</v>
      </c>
      <c r="L962">
        <v>4</v>
      </c>
      <c r="M962">
        <v>5</v>
      </c>
      <c r="N962">
        <v>3</v>
      </c>
      <c r="O962" t="s">
        <v>53</v>
      </c>
      <c r="P962" t="s">
        <v>53</v>
      </c>
      <c r="Q962" t="s">
        <v>53</v>
      </c>
    </row>
    <row r="963" spans="1:17" s="30" customFormat="1" x14ac:dyDescent="0.2">
      <c r="A963" s="30">
        <f>IF(C963&amp;G963&amp;D963&lt;&gt;'Funnel setup'!$K$3&amp;'Funnel setup'!$K$4&amp;'Funnel setup'!$K$5,".",IF(A962=".",1,A962+1))</f>
        <v>259</v>
      </c>
      <c r="B963" s="431" t="str">
        <f t="shared" ref="B963:B1026" si="15">C963&amp;D963&amp;F963&amp;G963</f>
        <v>Groin HerniaProviderWEST MIDLANDS HOSPITAL (NVC21)EQ-5D Index</v>
      </c>
      <c r="C963" t="s">
        <v>50</v>
      </c>
      <c r="D963" t="s">
        <v>1</v>
      </c>
      <c r="E963" t="s">
        <v>3709</v>
      </c>
      <c r="F963" t="s">
        <v>3710</v>
      </c>
      <c r="G963" t="s">
        <v>52</v>
      </c>
      <c r="H963">
        <v>40</v>
      </c>
      <c r="I963">
        <v>0.86899999999999999</v>
      </c>
      <c r="J963">
        <v>0.89800000000000002</v>
      </c>
      <c r="K963">
        <v>2.8000000000000001E-2</v>
      </c>
      <c r="L963">
        <v>16</v>
      </c>
      <c r="M963">
        <v>16</v>
      </c>
      <c r="N963">
        <v>8</v>
      </c>
      <c r="O963">
        <v>0.879</v>
      </c>
      <c r="P963">
        <v>8.5943453000000003E-2</v>
      </c>
      <c r="Q963">
        <v>0.186</v>
      </c>
    </row>
    <row r="964" spans="1:17" s="30" customFormat="1" x14ac:dyDescent="0.2">
      <c r="A964" s="30">
        <f>IF(C964&amp;G964&amp;D964&lt;&gt;'Funnel setup'!$K$3&amp;'Funnel setup'!$K$4&amp;'Funnel setup'!$K$5,".",IF(A963=".",1,A963+1))</f>
        <v>260</v>
      </c>
      <c r="B964" s="431" t="str">
        <f t="shared" si="15"/>
        <v>Groin HerniaProviderWEST SUFFOLK NHS FOUNDATION TRUST (RGR)EQ-5D Index</v>
      </c>
      <c r="C964" t="s">
        <v>50</v>
      </c>
      <c r="D964" t="s">
        <v>1</v>
      </c>
      <c r="E964" t="s">
        <v>3712</v>
      </c>
      <c r="F964" t="s">
        <v>3713</v>
      </c>
      <c r="G964" t="s">
        <v>52</v>
      </c>
      <c r="H964">
        <v>143</v>
      </c>
      <c r="I964">
        <v>0.76400000000000001</v>
      </c>
      <c r="J964">
        <v>0.876</v>
      </c>
      <c r="K964">
        <v>0.111</v>
      </c>
      <c r="L964">
        <v>89</v>
      </c>
      <c r="M964">
        <v>35</v>
      </c>
      <c r="N964">
        <v>19</v>
      </c>
      <c r="O964">
        <v>0.88300000000000001</v>
      </c>
      <c r="P964">
        <v>8.9514248000000005E-2</v>
      </c>
      <c r="Q964">
        <v>0.16500000000000001</v>
      </c>
    </row>
    <row r="965" spans="1:17" s="30" customFormat="1" x14ac:dyDescent="0.2">
      <c r="A965" s="30">
        <f>IF(C965&amp;G965&amp;D965&lt;&gt;'Funnel setup'!$K$3&amp;'Funnel setup'!$K$4&amp;'Funnel setup'!$K$5,".",IF(A964=".",1,A964+1))</f>
        <v>261</v>
      </c>
      <c r="B965" s="431" t="str">
        <f t="shared" si="15"/>
        <v>Groin HerniaProviderWESTERN SUSSEX HOSPITALS NHS FOUNDATION TRUST (RYR)EQ-5D Index</v>
      </c>
      <c r="C965" t="s">
        <v>50</v>
      </c>
      <c r="D965" t="s">
        <v>1</v>
      </c>
      <c r="E965" t="s">
        <v>3706</v>
      </c>
      <c r="F965" t="s">
        <v>3707</v>
      </c>
      <c r="G965" t="s">
        <v>52</v>
      </c>
      <c r="H965">
        <v>113</v>
      </c>
      <c r="I965">
        <v>0.78300000000000003</v>
      </c>
      <c r="J965">
        <v>0.86699999999999999</v>
      </c>
      <c r="K965">
        <v>8.5000000000000006E-2</v>
      </c>
      <c r="L965">
        <v>56</v>
      </c>
      <c r="M965">
        <v>38</v>
      </c>
      <c r="N965">
        <v>19</v>
      </c>
      <c r="O965">
        <v>0.872</v>
      </c>
      <c r="P965">
        <v>7.8833668999999995E-2</v>
      </c>
      <c r="Q965">
        <v>0.16300000000000001</v>
      </c>
    </row>
    <row r="966" spans="1:17" s="30" customFormat="1" x14ac:dyDescent="0.2">
      <c r="A966" s="30">
        <f>IF(C966&amp;G966&amp;D966&lt;&gt;'Funnel setup'!$K$3&amp;'Funnel setup'!$K$4&amp;'Funnel setup'!$K$5,".",IF(A965=".",1,A965+1))</f>
        <v>262</v>
      </c>
      <c r="B966" s="431" t="str">
        <f t="shared" si="15"/>
        <v>Groin HerniaProviderWESTON AREA HEALTH NHS TRUST (RA3)EQ-5D Index</v>
      </c>
      <c r="C966" t="s">
        <v>50</v>
      </c>
      <c r="D966" t="s">
        <v>1</v>
      </c>
      <c r="E966" t="s">
        <v>3525</v>
      </c>
      <c r="F966" t="s">
        <v>3526</v>
      </c>
      <c r="G966" t="s">
        <v>52</v>
      </c>
      <c r="H966">
        <v>18</v>
      </c>
      <c r="I966">
        <v>0.66500000000000004</v>
      </c>
      <c r="J966">
        <v>0.84099999999999997</v>
      </c>
      <c r="K966">
        <v>0.17599999999999999</v>
      </c>
      <c r="L966">
        <v>12</v>
      </c>
      <c r="M966">
        <v>4</v>
      </c>
      <c r="N966">
        <v>2</v>
      </c>
      <c r="O966" t="s">
        <v>53</v>
      </c>
      <c r="P966" t="s">
        <v>53</v>
      </c>
      <c r="Q966" t="s">
        <v>53</v>
      </c>
    </row>
    <row r="967" spans="1:17" s="30" customFormat="1" x14ac:dyDescent="0.2">
      <c r="A967" s="30">
        <f>IF(C967&amp;G967&amp;D967&lt;&gt;'Funnel setup'!$K$3&amp;'Funnel setup'!$K$4&amp;'Funnel setup'!$K$5,".",IF(A966=".",1,A966+1))</f>
        <v>263</v>
      </c>
      <c r="B967" s="431" t="str">
        <f t="shared" si="15"/>
        <v>Groin HerniaProviderWHITE HORSE HEALTH CENTRE - IHG (NXP17)EQ-5D Index</v>
      </c>
      <c r="C967" t="s">
        <v>50</v>
      </c>
      <c r="D967" t="s">
        <v>1</v>
      </c>
      <c r="E967" t="s">
        <v>3694</v>
      </c>
      <c r="F967" t="s">
        <v>3695</v>
      </c>
      <c r="G967" t="s">
        <v>52</v>
      </c>
      <c r="H967">
        <v>7</v>
      </c>
      <c r="I967">
        <v>0.78300000000000003</v>
      </c>
      <c r="J967">
        <v>0.86499999999999999</v>
      </c>
      <c r="K967">
        <v>8.3000000000000004E-2</v>
      </c>
      <c r="L967">
        <v>2</v>
      </c>
      <c r="M967">
        <v>3</v>
      </c>
      <c r="N967">
        <v>2</v>
      </c>
      <c r="O967" t="s">
        <v>53</v>
      </c>
      <c r="P967" t="s">
        <v>53</v>
      </c>
      <c r="Q967" t="s">
        <v>53</v>
      </c>
    </row>
    <row r="968" spans="1:17" s="30" customFormat="1" x14ac:dyDescent="0.2">
      <c r="A968" s="30">
        <f>IF(C968&amp;G968&amp;D968&lt;&gt;'Funnel setup'!$K$3&amp;'Funnel setup'!$K$4&amp;'Funnel setup'!$K$5,".",IF(A967=".",1,A967+1))</f>
        <v>264</v>
      </c>
      <c r="B968" s="431" t="str">
        <f t="shared" si="15"/>
        <v>Groin HerniaProviderWILL ADAMS NHS TREATMENT CENTRE (NTP16)EQ-5D Index</v>
      </c>
      <c r="C968" t="s">
        <v>50</v>
      </c>
      <c r="D968" t="s">
        <v>1</v>
      </c>
      <c r="E968" t="s">
        <v>3531</v>
      </c>
      <c r="F968" t="s">
        <v>3532</v>
      </c>
      <c r="G968" t="s">
        <v>52</v>
      </c>
      <c r="H968">
        <v>47</v>
      </c>
      <c r="I968">
        <v>0.87</v>
      </c>
      <c r="J968">
        <v>0.90800000000000003</v>
      </c>
      <c r="K968">
        <v>3.7999999999999999E-2</v>
      </c>
      <c r="L968">
        <v>18</v>
      </c>
      <c r="M968">
        <v>16</v>
      </c>
      <c r="N968">
        <v>13</v>
      </c>
      <c r="O968">
        <v>0.85899999999999999</v>
      </c>
      <c r="P968">
        <v>6.5247911000000006E-2</v>
      </c>
      <c r="Q968">
        <v>0.15</v>
      </c>
    </row>
    <row r="969" spans="1:17" s="30" customFormat="1" x14ac:dyDescent="0.2">
      <c r="A969" s="30">
        <f>IF(C969&amp;G969&amp;D969&lt;&gt;'Funnel setup'!$K$3&amp;'Funnel setup'!$K$4&amp;'Funnel setup'!$K$5,".",IF(A968=".",1,A968+1))</f>
        <v>265</v>
      </c>
      <c r="B969" s="431" t="str">
        <f t="shared" si="15"/>
        <v>Groin HerniaProviderWINFIELD HOSPITAL (NVC22)EQ-5D Index</v>
      </c>
      <c r="C969" t="s">
        <v>50</v>
      </c>
      <c r="D969" t="s">
        <v>1</v>
      </c>
      <c r="E969" t="s">
        <v>3534</v>
      </c>
      <c r="F969" t="s">
        <v>3535</v>
      </c>
      <c r="G969" t="s">
        <v>52</v>
      </c>
      <c r="H969">
        <v>27</v>
      </c>
      <c r="I969">
        <v>0.83599999999999997</v>
      </c>
      <c r="J969">
        <v>0.90200000000000002</v>
      </c>
      <c r="K969">
        <v>6.6000000000000003E-2</v>
      </c>
      <c r="L969">
        <v>10</v>
      </c>
      <c r="M969">
        <v>13</v>
      </c>
      <c r="N969">
        <v>4</v>
      </c>
      <c r="O969" t="s">
        <v>53</v>
      </c>
      <c r="P969" t="s">
        <v>53</v>
      </c>
      <c r="Q969" t="s">
        <v>53</v>
      </c>
    </row>
    <row r="970" spans="1:17" s="30" customFormat="1" x14ac:dyDescent="0.2">
      <c r="A970" s="30">
        <f>IF(C970&amp;G970&amp;D970&lt;&gt;'Funnel setup'!$K$3&amp;'Funnel setup'!$K$4&amp;'Funnel setup'!$K$5,".",IF(A969=".",1,A969+1))</f>
        <v>266</v>
      </c>
      <c r="B970" s="431" t="str">
        <f t="shared" si="15"/>
        <v>Groin HerniaProviderWIRRAL UNIVERSITY TEACHING HOSPITAL NHS FOUNDATION TRUST (RBL)EQ-5D Index</v>
      </c>
      <c r="C970" t="s">
        <v>50</v>
      </c>
      <c r="D970" t="s">
        <v>1</v>
      </c>
      <c r="E970" t="s">
        <v>3537</v>
      </c>
      <c r="F970" t="s">
        <v>3538</v>
      </c>
      <c r="G970" t="s">
        <v>52</v>
      </c>
      <c r="H970">
        <v>88</v>
      </c>
      <c r="I970">
        <v>0.754</v>
      </c>
      <c r="J970">
        <v>0.79100000000000004</v>
      </c>
      <c r="K970">
        <v>3.5999999999999997E-2</v>
      </c>
      <c r="L970">
        <v>40</v>
      </c>
      <c r="M970">
        <v>26</v>
      </c>
      <c r="N970">
        <v>22</v>
      </c>
      <c r="O970">
        <v>0.82099999999999995</v>
      </c>
      <c r="P970">
        <v>2.7652383999999999E-2</v>
      </c>
      <c r="Q970">
        <v>0.19900000000000001</v>
      </c>
    </row>
    <row r="971" spans="1:17" s="30" customFormat="1" x14ac:dyDescent="0.2">
      <c r="A971" s="30">
        <f>IF(C971&amp;G971&amp;D971&lt;&gt;'Funnel setup'!$K$3&amp;'Funnel setup'!$K$4&amp;'Funnel setup'!$K$5,".",IF(A970=".",1,A970+1))</f>
        <v>267</v>
      </c>
      <c r="B971" s="431" t="str">
        <f t="shared" si="15"/>
        <v>Groin HerniaProviderWOODLAND HOSPITAL (NVC23)EQ-5D Index</v>
      </c>
      <c r="C971" t="s">
        <v>50</v>
      </c>
      <c r="D971" t="s">
        <v>1</v>
      </c>
      <c r="E971" t="s">
        <v>3540</v>
      </c>
      <c r="F971" t="s">
        <v>3541</v>
      </c>
      <c r="G971" t="s">
        <v>52</v>
      </c>
      <c r="H971">
        <v>53</v>
      </c>
      <c r="I971">
        <v>0.755</v>
      </c>
      <c r="J971">
        <v>0.88100000000000001</v>
      </c>
      <c r="K971">
        <v>0.126</v>
      </c>
      <c r="L971">
        <v>36</v>
      </c>
      <c r="M971">
        <v>11</v>
      </c>
      <c r="N971">
        <v>6</v>
      </c>
      <c r="O971">
        <v>0.88400000000000001</v>
      </c>
      <c r="P971">
        <v>9.0388745000000006E-2</v>
      </c>
      <c r="Q971">
        <v>0.193</v>
      </c>
    </row>
    <row r="972" spans="1:17" s="30" customFormat="1" x14ac:dyDescent="0.2">
      <c r="A972" s="30">
        <f>IF(C972&amp;G972&amp;D972&lt;&gt;'Funnel setup'!$K$3&amp;'Funnel setup'!$K$4&amp;'Funnel setup'!$K$5,".",IF(A971=".",1,A971+1))</f>
        <v>268</v>
      </c>
      <c r="B972" s="431" t="str">
        <f t="shared" si="15"/>
        <v>Groin HerniaProviderWOODTHORPE HOSPITAL (NVC40)EQ-5D Index</v>
      </c>
      <c r="C972" t="s">
        <v>50</v>
      </c>
      <c r="D972" t="s">
        <v>1</v>
      </c>
      <c r="E972" t="s">
        <v>3689</v>
      </c>
      <c r="F972" t="s">
        <v>6576</v>
      </c>
      <c r="G972" t="s">
        <v>52</v>
      </c>
      <c r="H972">
        <v>42</v>
      </c>
      <c r="I972">
        <v>0.876</v>
      </c>
      <c r="J972">
        <v>0.89400000000000002</v>
      </c>
      <c r="K972">
        <v>1.7999999999999999E-2</v>
      </c>
      <c r="L972">
        <v>13</v>
      </c>
      <c r="M972">
        <v>20</v>
      </c>
      <c r="N972">
        <v>9</v>
      </c>
      <c r="O972">
        <v>0.85099999999999998</v>
      </c>
      <c r="P972">
        <v>5.7388695000000003E-2</v>
      </c>
      <c r="Q972">
        <v>0.125</v>
      </c>
    </row>
    <row r="973" spans="1:17" s="30" customFormat="1" x14ac:dyDescent="0.2">
      <c r="A973" s="30">
        <f>IF(C973&amp;G973&amp;D973&lt;&gt;'Funnel setup'!$K$3&amp;'Funnel setup'!$K$4&amp;'Funnel setup'!$K$5,".",IF(A972=".",1,A972+1))</f>
        <v>269</v>
      </c>
      <c r="B973" s="431" t="str">
        <f t="shared" si="15"/>
        <v>Groin HerniaProviderWORCESTERSHIRE ACUTE HOSPITALS NHS TRUST (RWP)EQ-5D Index</v>
      </c>
      <c r="C973" t="s">
        <v>50</v>
      </c>
      <c r="D973" t="s">
        <v>1</v>
      </c>
      <c r="E973" t="s">
        <v>3543</v>
      </c>
      <c r="F973" t="s">
        <v>3544</v>
      </c>
      <c r="G973" t="s">
        <v>52</v>
      </c>
      <c r="H973">
        <v>162</v>
      </c>
      <c r="I973">
        <v>0.78800000000000003</v>
      </c>
      <c r="J973">
        <v>0.86899999999999999</v>
      </c>
      <c r="K973">
        <v>8.1000000000000003E-2</v>
      </c>
      <c r="L973">
        <v>75</v>
      </c>
      <c r="M973">
        <v>53</v>
      </c>
      <c r="N973">
        <v>34</v>
      </c>
      <c r="O973">
        <v>0.88600000000000001</v>
      </c>
      <c r="P973">
        <v>9.2321829999999994E-2</v>
      </c>
      <c r="Q973">
        <v>0.151</v>
      </c>
    </row>
    <row r="974" spans="1:17" s="30" customFormat="1" x14ac:dyDescent="0.2">
      <c r="A974" s="30">
        <f>IF(C974&amp;G974&amp;D974&lt;&gt;'Funnel setup'!$K$3&amp;'Funnel setup'!$K$4&amp;'Funnel setup'!$K$5,".",IF(A973=".",1,A973+1))</f>
        <v>270</v>
      </c>
      <c r="B974" s="431" t="str">
        <f t="shared" si="15"/>
        <v>Groin HerniaProviderWRIGHTINGTON, WIGAN AND LEIGH NHS FOUNDATION TRUST (RRF)EQ-5D Index</v>
      </c>
      <c r="C974" t="s">
        <v>50</v>
      </c>
      <c r="D974" t="s">
        <v>1</v>
      </c>
      <c r="E974" t="s">
        <v>3546</v>
      </c>
      <c r="F974" t="s">
        <v>3547</v>
      </c>
      <c r="G974" t="s">
        <v>52</v>
      </c>
      <c r="H974">
        <v>114</v>
      </c>
      <c r="I974">
        <v>0.746</v>
      </c>
      <c r="J974">
        <v>0.83399999999999996</v>
      </c>
      <c r="K974">
        <v>8.7999999999999995E-2</v>
      </c>
      <c r="L974">
        <v>61</v>
      </c>
      <c r="M974">
        <v>30</v>
      </c>
      <c r="N974">
        <v>23</v>
      </c>
      <c r="O974">
        <v>0.86699999999999999</v>
      </c>
      <c r="P974">
        <v>7.3957198000000002E-2</v>
      </c>
      <c r="Q974">
        <v>0.18099999999999999</v>
      </c>
    </row>
    <row r="975" spans="1:17" s="30" customFormat="1" x14ac:dyDescent="0.2">
      <c r="A975" s="30">
        <f>IF(C975&amp;G975&amp;D975&lt;&gt;'Funnel setup'!$K$3&amp;'Funnel setup'!$K$4&amp;'Funnel setup'!$K$5,".",IF(A974=".",1,A974+1))</f>
        <v>271</v>
      </c>
      <c r="B975" s="431" t="str">
        <f t="shared" si="15"/>
        <v>Groin HerniaProviderWYE VALLEY NHS TRUST (RLQ)EQ-5D Index</v>
      </c>
      <c r="C975" t="s">
        <v>50</v>
      </c>
      <c r="D975" t="s">
        <v>1</v>
      </c>
      <c r="E975" t="s">
        <v>3517</v>
      </c>
      <c r="F975" t="s">
        <v>3518</v>
      </c>
      <c r="G975" t="s">
        <v>52</v>
      </c>
      <c r="H975">
        <v>76</v>
      </c>
      <c r="I975">
        <v>0.75</v>
      </c>
      <c r="J975">
        <v>0.89600000000000002</v>
      </c>
      <c r="K975">
        <v>0.14599999999999999</v>
      </c>
      <c r="L975">
        <v>45</v>
      </c>
      <c r="M975">
        <v>22</v>
      </c>
      <c r="N975">
        <v>9</v>
      </c>
      <c r="O975">
        <v>0.90100000000000002</v>
      </c>
      <c r="P975">
        <v>0.107959664</v>
      </c>
      <c r="Q975">
        <v>0.14699999999999999</v>
      </c>
    </row>
    <row r="976" spans="1:17" s="30" customFormat="1" x14ac:dyDescent="0.2">
      <c r="A976" s="30">
        <f>IF(C976&amp;G976&amp;D976&lt;&gt;'Funnel setup'!$K$3&amp;'Funnel setup'!$K$4&amp;'Funnel setup'!$K$5,".",IF(A975=".",1,A975+1))</f>
        <v>272</v>
      </c>
      <c r="B976" s="431" t="str">
        <f t="shared" si="15"/>
        <v>Groin HerniaProviderYEOVIL DISTRICT HOSPITAL NHS FOUNDATION TRUST (RA4)EQ-5D Index</v>
      </c>
      <c r="C976" t="s">
        <v>50</v>
      </c>
      <c r="D976" t="s">
        <v>1</v>
      </c>
      <c r="E976" t="s">
        <v>3520</v>
      </c>
      <c r="F976" t="s">
        <v>341</v>
      </c>
      <c r="G976" t="s">
        <v>52</v>
      </c>
      <c r="H976">
        <v>25</v>
      </c>
      <c r="I976">
        <v>0.79200000000000004</v>
      </c>
      <c r="J976">
        <v>0.91900000000000004</v>
      </c>
      <c r="K976">
        <v>0.127</v>
      </c>
      <c r="L976">
        <v>13</v>
      </c>
      <c r="M976">
        <v>9</v>
      </c>
      <c r="N976">
        <v>3</v>
      </c>
      <c r="O976" t="s">
        <v>53</v>
      </c>
      <c r="P976" t="s">
        <v>53</v>
      </c>
      <c r="Q976" t="s">
        <v>53</v>
      </c>
    </row>
    <row r="977" spans="1:17" s="30" customFormat="1" x14ac:dyDescent="0.2">
      <c r="A977" s="30">
        <f>IF(C977&amp;G977&amp;D977&lt;&gt;'Funnel setup'!$K$3&amp;'Funnel setup'!$K$4&amp;'Funnel setup'!$K$5,".",IF(A976=".",1,A976+1))</f>
        <v>273</v>
      </c>
      <c r="B977" s="431" t="str">
        <f t="shared" si="15"/>
        <v>Groin HerniaProviderYORK TEACHING HOSPITAL NHS FOUNDATION TRUST (RCB)EQ-5D Index</v>
      </c>
      <c r="C977" t="s">
        <v>50</v>
      </c>
      <c r="D977" t="s">
        <v>1</v>
      </c>
      <c r="E977" t="s">
        <v>3515</v>
      </c>
      <c r="F977" t="s">
        <v>343</v>
      </c>
      <c r="G977" t="s">
        <v>52</v>
      </c>
      <c r="H977">
        <v>292</v>
      </c>
      <c r="I977">
        <v>0.80200000000000005</v>
      </c>
      <c r="J977">
        <v>0.88300000000000001</v>
      </c>
      <c r="K977">
        <v>0.08</v>
      </c>
      <c r="L977">
        <v>150</v>
      </c>
      <c r="M977">
        <v>98</v>
      </c>
      <c r="N977">
        <v>44</v>
      </c>
      <c r="O977">
        <v>0.874</v>
      </c>
      <c r="P977">
        <v>8.0336284999999993E-2</v>
      </c>
      <c r="Q977">
        <v>0.16</v>
      </c>
    </row>
    <row r="978" spans="1:17" s="30" customFormat="1" x14ac:dyDescent="0.2">
      <c r="A978" s="30" t="str">
        <f>IF(C978&amp;G978&amp;D978&lt;&gt;'Funnel setup'!$K$3&amp;'Funnel setup'!$K$4&amp;'Funnel setup'!$K$5,".",IF(A977=".",1,A977+1))</f>
        <v>.</v>
      </c>
      <c r="B978" s="431" t="str">
        <f t="shared" si="15"/>
        <v>Hip Replacement PrimaryCCG of GP PracticeNATIONAL COMMISSIONING HUB 1 (13Q)EQ VAS</v>
      </c>
      <c r="C978" t="s">
        <v>248</v>
      </c>
      <c r="D978" t="s">
        <v>87</v>
      </c>
      <c r="E978" t="s">
        <v>563</v>
      </c>
      <c r="F978" t="s">
        <v>564</v>
      </c>
      <c r="G978" t="s">
        <v>179</v>
      </c>
      <c r="H978">
        <v>9</v>
      </c>
      <c r="I978">
        <v>72.888999999999996</v>
      </c>
      <c r="J978">
        <v>76.111000000000004</v>
      </c>
      <c r="K978">
        <v>3.222</v>
      </c>
      <c r="L978">
        <v>5</v>
      </c>
      <c r="M978">
        <v>0</v>
      </c>
      <c r="N978">
        <v>4</v>
      </c>
      <c r="O978" t="s">
        <v>53</v>
      </c>
      <c r="P978" t="s">
        <v>53</v>
      </c>
      <c r="Q978" t="s">
        <v>53</v>
      </c>
    </row>
    <row r="979" spans="1:17" s="30" customFormat="1" x14ac:dyDescent="0.2">
      <c r="A979" s="30" t="str">
        <f>IF(C979&amp;G979&amp;D979&lt;&gt;'Funnel setup'!$K$3&amp;'Funnel setup'!$K$4&amp;'Funnel setup'!$K$5,".",IF(A978=".",1,A978+1))</f>
        <v>.</v>
      </c>
      <c r="B979" s="431" t="str">
        <f t="shared" si="15"/>
        <v>Hip Replacement PrimaryCCG of GP PracticeNHS AIREDALE, WHARFEDALE AND CRAVEN CCG (02N)EQ VAS</v>
      </c>
      <c r="C979" t="s">
        <v>248</v>
      </c>
      <c r="D979" t="s">
        <v>87</v>
      </c>
      <c r="E979" t="s">
        <v>566</v>
      </c>
      <c r="F979" t="s">
        <v>567</v>
      </c>
      <c r="G979" t="s">
        <v>179</v>
      </c>
      <c r="H979">
        <v>154</v>
      </c>
      <c r="I979">
        <v>64.447999999999993</v>
      </c>
      <c r="J979">
        <v>78.123000000000005</v>
      </c>
      <c r="K979">
        <v>13.675000000000001</v>
      </c>
      <c r="L979">
        <v>110</v>
      </c>
      <c r="M979">
        <v>13</v>
      </c>
      <c r="N979">
        <v>31</v>
      </c>
      <c r="O979">
        <v>77.924999999999997</v>
      </c>
      <c r="P979">
        <v>12.42029159</v>
      </c>
      <c r="Q979">
        <v>13.492000000000001</v>
      </c>
    </row>
    <row r="980" spans="1:17" s="30" customFormat="1" x14ac:dyDescent="0.2">
      <c r="A980" s="30" t="str">
        <f>IF(C980&amp;G980&amp;D980&lt;&gt;'Funnel setup'!$K$3&amp;'Funnel setup'!$K$4&amp;'Funnel setup'!$K$5,".",IF(A979=".",1,A979+1))</f>
        <v>.</v>
      </c>
      <c r="B980" s="431" t="str">
        <f t="shared" si="15"/>
        <v>Hip Replacement PrimaryCCG of GP PracticeNHS ASHFORD CCG (09C)EQ VAS</v>
      </c>
      <c r="C980" t="s">
        <v>248</v>
      </c>
      <c r="D980" t="s">
        <v>87</v>
      </c>
      <c r="E980" t="s">
        <v>569</v>
      </c>
      <c r="F980" t="s">
        <v>339</v>
      </c>
      <c r="G980" t="s">
        <v>179</v>
      </c>
      <c r="H980">
        <v>66</v>
      </c>
      <c r="I980">
        <v>66.105999999999995</v>
      </c>
      <c r="J980">
        <v>79.712000000000003</v>
      </c>
      <c r="K980">
        <v>13.606</v>
      </c>
      <c r="L980">
        <v>44</v>
      </c>
      <c r="M980">
        <v>8</v>
      </c>
      <c r="N980">
        <v>14</v>
      </c>
      <c r="O980">
        <v>79.352999999999994</v>
      </c>
      <c r="P980">
        <v>13.84851259</v>
      </c>
      <c r="Q980">
        <v>14.558999999999999</v>
      </c>
    </row>
    <row r="981" spans="1:17" s="30" customFormat="1" x14ac:dyDescent="0.2">
      <c r="A981" s="30" t="str">
        <f>IF(C981&amp;G981&amp;D981&lt;&gt;'Funnel setup'!$K$3&amp;'Funnel setup'!$K$4&amp;'Funnel setup'!$K$5,".",IF(A980=".",1,A980+1))</f>
        <v>.</v>
      </c>
      <c r="B981" s="431" t="str">
        <f t="shared" si="15"/>
        <v>Hip Replacement PrimaryCCG of GP PracticeNHS AYLESBURY VALE CCG (10Y)EQ VAS</v>
      </c>
      <c r="C981" t="s">
        <v>248</v>
      </c>
      <c r="D981" t="s">
        <v>87</v>
      </c>
      <c r="E981" t="s">
        <v>571</v>
      </c>
      <c r="F981" t="s">
        <v>572</v>
      </c>
      <c r="G981" t="s">
        <v>179</v>
      </c>
      <c r="H981">
        <v>135</v>
      </c>
      <c r="I981">
        <v>64.111000000000004</v>
      </c>
      <c r="J981">
        <v>75.206999999999994</v>
      </c>
      <c r="K981">
        <v>11.096</v>
      </c>
      <c r="L981">
        <v>92</v>
      </c>
      <c r="M981">
        <v>11</v>
      </c>
      <c r="N981">
        <v>32</v>
      </c>
      <c r="O981">
        <v>74.775000000000006</v>
      </c>
      <c r="P981">
        <v>9.2705165879999996</v>
      </c>
      <c r="Q981">
        <v>17.893000000000001</v>
      </c>
    </row>
    <row r="982" spans="1:17" s="30" customFormat="1" x14ac:dyDescent="0.2">
      <c r="A982" s="30" t="str">
        <f>IF(C982&amp;G982&amp;D982&lt;&gt;'Funnel setup'!$K$3&amp;'Funnel setup'!$K$4&amp;'Funnel setup'!$K$5,".",IF(A981=".",1,A981+1))</f>
        <v>.</v>
      </c>
      <c r="B982" s="431" t="str">
        <f t="shared" si="15"/>
        <v>Hip Replacement PrimaryCCG of GP PracticeNHS BARKING AND DAGENHAM CCG (07L)EQ VAS</v>
      </c>
      <c r="C982" t="s">
        <v>248</v>
      </c>
      <c r="D982" t="s">
        <v>87</v>
      </c>
      <c r="E982" t="s">
        <v>574</v>
      </c>
      <c r="F982" t="s">
        <v>575</v>
      </c>
      <c r="G982" t="s">
        <v>179</v>
      </c>
      <c r="H982">
        <v>33</v>
      </c>
      <c r="I982">
        <v>68.242000000000004</v>
      </c>
      <c r="J982">
        <v>72.484999999999999</v>
      </c>
      <c r="K982">
        <v>4.242</v>
      </c>
      <c r="L982">
        <v>18</v>
      </c>
      <c r="M982">
        <v>5</v>
      </c>
      <c r="N982">
        <v>10</v>
      </c>
      <c r="O982">
        <v>75.05</v>
      </c>
      <c r="P982">
        <v>9.5459947310000004</v>
      </c>
      <c r="Q982">
        <v>19.84</v>
      </c>
    </row>
    <row r="983" spans="1:17" s="30" customFormat="1" ht="20.25" customHeight="1" x14ac:dyDescent="0.2">
      <c r="A983" s="30" t="str">
        <f>IF(C983&amp;G983&amp;D983&lt;&gt;'Funnel setup'!$K$3&amp;'Funnel setup'!$K$4&amp;'Funnel setup'!$K$5,".",IF(A982=".",1,A982+1))</f>
        <v>.</v>
      </c>
      <c r="B983" s="431" t="str">
        <f t="shared" si="15"/>
        <v>Hip Replacement PrimaryCCG of GP PracticeNHS BARNET CCG (07M)EQ VAS</v>
      </c>
      <c r="C983" t="s">
        <v>248</v>
      </c>
      <c r="D983" t="s">
        <v>87</v>
      </c>
      <c r="E983" t="s">
        <v>577</v>
      </c>
      <c r="F983" t="s">
        <v>578</v>
      </c>
      <c r="G983" t="s">
        <v>179</v>
      </c>
      <c r="H983">
        <v>72</v>
      </c>
      <c r="I983">
        <v>60.722000000000001</v>
      </c>
      <c r="J983">
        <v>72.486000000000004</v>
      </c>
      <c r="K983">
        <v>11.763999999999999</v>
      </c>
      <c r="L983">
        <v>43</v>
      </c>
      <c r="M983">
        <v>8</v>
      </c>
      <c r="N983">
        <v>21</v>
      </c>
      <c r="O983">
        <v>73.725999999999999</v>
      </c>
      <c r="P983">
        <v>8.2219972349999999</v>
      </c>
      <c r="Q983">
        <v>19.544</v>
      </c>
    </row>
    <row r="984" spans="1:17" s="30" customFormat="1" ht="21" customHeight="1" x14ac:dyDescent="0.2">
      <c r="A984" s="30" t="str">
        <f>IF(C984&amp;G984&amp;D984&lt;&gt;'Funnel setup'!$K$3&amp;'Funnel setup'!$K$4&amp;'Funnel setup'!$K$5,".",IF(A983=".",1,A983+1))</f>
        <v>.</v>
      </c>
      <c r="B984" s="431" t="str">
        <f t="shared" si="15"/>
        <v>Hip Replacement PrimaryCCG of GP PracticeNHS BARNSLEY CCG (02P)EQ VAS</v>
      </c>
      <c r="C984" t="s">
        <v>248</v>
      </c>
      <c r="D984" t="s">
        <v>87</v>
      </c>
      <c r="E984" t="s">
        <v>580</v>
      </c>
      <c r="F984" t="s">
        <v>581</v>
      </c>
      <c r="G984" t="s">
        <v>179</v>
      </c>
      <c r="H984">
        <v>155</v>
      </c>
      <c r="I984">
        <v>59.302999999999997</v>
      </c>
      <c r="J984">
        <v>73.168000000000006</v>
      </c>
      <c r="K984">
        <v>13.865</v>
      </c>
      <c r="L984">
        <v>102</v>
      </c>
      <c r="M984">
        <v>15</v>
      </c>
      <c r="N984">
        <v>38</v>
      </c>
      <c r="O984">
        <v>75.319999999999993</v>
      </c>
      <c r="P984">
        <v>9.8159636999999993</v>
      </c>
      <c r="Q984">
        <v>16.719000000000001</v>
      </c>
    </row>
    <row r="985" spans="1:17" s="30" customFormat="1" ht="18.75" customHeight="1" x14ac:dyDescent="0.2">
      <c r="A985" s="30" t="str">
        <f>IF(C985&amp;G985&amp;D985&lt;&gt;'Funnel setup'!$K$3&amp;'Funnel setup'!$K$4&amp;'Funnel setup'!$K$5,".",IF(A984=".",1,A984+1))</f>
        <v>.</v>
      </c>
      <c r="B985" s="431" t="str">
        <f t="shared" si="15"/>
        <v>Hip Replacement PrimaryCCG of GP PracticeNHS BASILDON AND BRENTWOOD CCG (99E)EQ VAS</v>
      </c>
      <c r="C985" t="s">
        <v>248</v>
      </c>
      <c r="D985" t="s">
        <v>87</v>
      </c>
      <c r="E985" t="s">
        <v>583</v>
      </c>
      <c r="F985" t="s">
        <v>584</v>
      </c>
      <c r="G985" t="s">
        <v>179</v>
      </c>
      <c r="H985">
        <v>153</v>
      </c>
      <c r="I985">
        <v>63.758000000000003</v>
      </c>
      <c r="J985">
        <v>75.692999999999998</v>
      </c>
      <c r="K985">
        <v>11.935</v>
      </c>
      <c r="L985">
        <v>99</v>
      </c>
      <c r="M985">
        <v>17</v>
      </c>
      <c r="N985">
        <v>37</v>
      </c>
      <c r="O985">
        <v>76.316999999999993</v>
      </c>
      <c r="P985">
        <v>10.81298159</v>
      </c>
      <c r="Q985">
        <v>16.071000000000002</v>
      </c>
    </row>
    <row r="986" spans="1:17" s="30" customFormat="1" ht="16.5" customHeight="1" x14ac:dyDescent="0.2">
      <c r="A986" s="30" t="str">
        <f>IF(C986&amp;G986&amp;D986&lt;&gt;'Funnel setup'!$K$3&amp;'Funnel setup'!$K$4&amp;'Funnel setup'!$K$5,".",IF(A985=".",1,A985+1))</f>
        <v>.</v>
      </c>
      <c r="B986" s="431" t="str">
        <f t="shared" si="15"/>
        <v>Hip Replacement PrimaryCCG of GP PracticeNHS BASSETLAW CCG (02Q)EQ VAS</v>
      </c>
      <c r="C986" t="s">
        <v>248</v>
      </c>
      <c r="D986" t="s">
        <v>87</v>
      </c>
      <c r="E986" t="s">
        <v>586</v>
      </c>
      <c r="F986" t="s">
        <v>587</v>
      </c>
      <c r="G986" t="s">
        <v>179</v>
      </c>
      <c r="H986">
        <v>108</v>
      </c>
      <c r="I986">
        <v>65.906999999999996</v>
      </c>
      <c r="J986">
        <v>79.212999999999994</v>
      </c>
      <c r="K986">
        <v>13.305999999999999</v>
      </c>
      <c r="L986">
        <v>74</v>
      </c>
      <c r="M986">
        <v>13</v>
      </c>
      <c r="N986">
        <v>21</v>
      </c>
      <c r="O986">
        <v>79.548000000000002</v>
      </c>
      <c r="P986">
        <v>14.04338128</v>
      </c>
      <c r="Q986">
        <v>15.333</v>
      </c>
    </row>
    <row r="987" spans="1:17" s="30" customFormat="1" ht="19.5" customHeight="1" x14ac:dyDescent="0.2">
      <c r="A987" s="30" t="str">
        <f>IF(C987&amp;G987&amp;D987&lt;&gt;'Funnel setup'!$K$3&amp;'Funnel setup'!$K$4&amp;'Funnel setup'!$K$5,".",IF(A986=".",1,A986+1))</f>
        <v>.</v>
      </c>
      <c r="B987" s="431" t="str">
        <f t="shared" si="15"/>
        <v>Hip Replacement PrimaryCCG of GP PracticeNHS BATH AND NORTH EAST SOMERSET CCG (11E)EQ VAS</v>
      </c>
      <c r="C987" t="s">
        <v>248</v>
      </c>
      <c r="D987" t="s">
        <v>87</v>
      </c>
      <c r="E987" t="s">
        <v>589</v>
      </c>
      <c r="F987" t="s">
        <v>590</v>
      </c>
      <c r="G987" t="s">
        <v>179</v>
      </c>
      <c r="H987">
        <v>145</v>
      </c>
      <c r="I987">
        <v>63.462000000000003</v>
      </c>
      <c r="J987">
        <v>77.959000000000003</v>
      </c>
      <c r="K987">
        <v>14.497</v>
      </c>
      <c r="L987">
        <v>99</v>
      </c>
      <c r="M987">
        <v>22</v>
      </c>
      <c r="N987">
        <v>24</v>
      </c>
      <c r="O987">
        <v>78.373000000000005</v>
      </c>
      <c r="P987">
        <v>12.86900243</v>
      </c>
      <c r="Q987">
        <v>14.286</v>
      </c>
    </row>
    <row r="988" spans="1:17" s="30" customFormat="1" ht="18" customHeight="1" x14ac:dyDescent="0.2">
      <c r="A988" s="30" t="str">
        <f>IF(C988&amp;G988&amp;D988&lt;&gt;'Funnel setup'!$K$3&amp;'Funnel setup'!$K$4&amp;'Funnel setup'!$K$5,".",IF(A987=".",1,A987+1))</f>
        <v>.</v>
      </c>
      <c r="B988" s="431" t="str">
        <f t="shared" si="15"/>
        <v>Hip Replacement PrimaryCCG of GP PracticeNHS BEDFORDSHIRE CCG (06F)EQ VAS</v>
      </c>
      <c r="C988" t="s">
        <v>248</v>
      </c>
      <c r="D988" t="s">
        <v>87</v>
      </c>
      <c r="E988" t="s">
        <v>592</v>
      </c>
      <c r="F988" t="s">
        <v>593</v>
      </c>
      <c r="G988" t="s">
        <v>179</v>
      </c>
      <c r="H988">
        <v>310</v>
      </c>
      <c r="I988">
        <v>64.539000000000001</v>
      </c>
      <c r="J988">
        <v>77.635000000000005</v>
      </c>
      <c r="K988">
        <v>13.097</v>
      </c>
      <c r="L988">
        <v>216</v>
      </c>
      <c r="M988">
        <v>32</v>
      </c>
      <c r="N988">
        <v>62</v>
      </c>
      <c r="O988">
        <v>77.641000000000005</v>
      </c>
      <c r="P988">
        <v>12.136918959999999</v>
      </c>
      <c r="Q988">
        <v>15.058999999999999</v>
      </c>
    </row>
    <row r="989" spans="1:17" s="30" customFormat="1" ht="16.5" customHeight="1" x14ac:dyDescent="0.2">
      <c r="A989" s="30" t="str">
        <f>IF(C989&amp;G989&amp;D989&lt;&gt;'Funnel setup'!$K$3&amp;'Funnel setup'!$K$4&amp;'Funnel setup'!$K$5,".",IF(A988=".",1,A988+1))</f>
        <v>.</v>
      </c>
      <c r="B989" s="431" t="str">
        <f t="shared" si="15"/>
        <v>Hip Replacement PrimaryCCG of GP PracticeNHS BEXLEY CCG (07N)EQ VAS</v>
      </c>
      <c r="C989" t="s">
        <v>248</v>
      </c>
      <c r="D989" t="s">
        <v>87</v>
      </c>
      <c r="E989" t="s">
        <v>595</v>
      </c>
      <c r="F989" t="s">
        <v>596</v>
      </c>
      <c r="G989" t="s">
        <v>179</v>
      </c>
      <c r="H989">
        <v>72</v>
      </c>
      <c r="I989">
        <v>63.347000000000001</v>
      </c>
      <c r="J989">
        <v>75.832999999999998</v>
      </c>
      <c r="K989">
        <v>12.486000000000001</v>
      </c>
      <c r="L989">
        <v>45</v>
      </c>
      <c r="M989">
        <v>10</v>
      </c>
      <c r="N989">
        <v>17</v>
      </c>
      <c r="O989">
        <v>76.162999999999997</v>
      </c>
      <c r="P989">
        <v>10.659042810000001</v>
      </c>
      <c r="Q989">
        <v>17.254000000000001</v>
      </c>
    </row>
    <row r="990" spans="1:17" s="30" customFormat="1" ht="18.75" customHeight="1" x14ac:dyDescent="0.2">
      <c r="A990" s="30" t="str">
        <f>IF(C990&amp;G990&amp;D990&lt;&gt;'Funnel setup'!$K$3&amp;'Funnel setup'!$K$4&amp;'Funnel setup'!$K$5,".",IF(A989=".",1,A989+1))</f>
        <v>.</v>
      </c>
      <c r="B990" s="431" t="str">
        <f t="shared" si="15"/>
        <v>Hip Replacement PrimaryCCG of GP PracticeNHS BIRMINGHAM CROSSCITY CCG (13P)EQ VAS</v>
      </c>
      <c r="C990" t="s">
        <v>248</v>
      </c>
      <c r="D990" t="s">
        <v>87</v>
      </c>
      <c r="E990" t="s">
        <v>598</v>
      </c>
      <c r="F990" t="s">
        <v>599</v>
      </c>
      <c r="G990" t="s">
        <v>179</v>
      </c>
      <c r="H990">
        <v>329</v>
      </c>
      <c r="I990">
        <v>61.872</v>
      </c>
      <c r="J990">
        <v>74.869</v>
      </c>
      <c r="K990">
        <v>12.997</v>
      </c>
      <c r="L990">
        <v>216</v>
      </c>
      <c r="M990">
        <v>54</v>
      </c>
      <c r="N990">
        <v>59</v>
      </c>
      <c r="O990">
        <v>77.552000000000007</v>
      </c>
      <c r="P990">
        <v>12.047558990000001</v>
      </c>
      <c r="Q990">
        <v>15.622</v>
      </c>
    </row>
    <row r="991" spans="1:17" s="30" customFormat="1" ht="20.25" customHeight="1" x14ac:dyDescent="0.2">
      <c r="A991" s="30" t="str">
        <f>IF(C991&amp;G991&amp;D991&lt;&gt;'Funnel setup'!$K$3&amp;'Funnel setup'!$K$4&amp;'Funnel setup'!$K$5,".",IF(A990=".",1,A990+1))</f>
        <v>.</v>
      </c>
      <c r="B991" s="431" t="str">
        <f t="shared" si="15"/>
        <v>Hip Replacement PrimaryCCG of GP PracticeNHS BIRMINGHAM SOUTH AND CENTRAL CCG (04X)EQ VAS</v>
      </c>
      <c r="C991" t="s">
        <v>248</v>
      </c>
      <c r="D991" t="s">
        <v>87</v>
      </c>
      <c r="E991" t="s">
        <v>601</v>
      </c>
      <c r="F991" t="s">
        <v>602</v>
      </c>
      <c r="G991" t="s">
        <v>179</v>
      </c>
      <c r="H991">
        <v>61</v>
      </c>
      <c r="I991">
        <v>65.426000000000002</v>
      </c>
      <c r="J991">
        <v>74.41</v>
      </c>
      <c r="K991">
        <v>8.984</v>
      </c>
      <c r="L991">
        <v>33</v>
      </c>
      <c r="M991">
        <v>6</v>
      </c>
      <c r="N991">
        <v>22</v>
      </c>
      <c r="O991">
        <v>75.474999999999994</v>
      </c>
      <c r="P991">
        <v>9.9704053730000002</v>
      </c>
      <c r="Q991">
        <v>17.388000000000002</v>
      </c>
    </row>
    <row r="992" spans="1:17" s="30" customFormat="1" ht="15" customHeight="1" x14ac:dyDescent="0.2">
      <c r="A992" s="30" t="str">
        <f>IF(C992&amp;G992&amp;D992&lt;&gt;'Funnel setup'!$K$3&amp;'Funnel setup'!$K$4&amp;'Funnel setup'!$K$5,".",IF(A991=".",1,A991+1))</f>
        <v>.</v>
      </c>
      <c r="B992" s="431" t="str">
        <f t="shared" si="15"/>
        <v>Hip Replacement PrimaryCCG of GP PracticeNHS BLACKBURN WITH DARWEN CCG (00Q)EQ VAS</v>
      </c>
      <c r="C992" t="s">
        <v>248</v>
      </c>
      <c r="D992" t="s">
        <v>87</v>
      </c>
      <c r="E992" t="s">
        <v>604</v>
      </c>
      <c r="F992" t="s">
        <v>605</v>
      </c>
      <c r="G992" t="s">
        <v>179</v>
      </c>
      <c r="H992">
        <v>74</v>
      </c>
      <c r="I992">
        <v>61.405000000000001</v>
      </c>
      <c r="J992">
        <v>74</v>
      </c>
      <c r="K992">
        <v>12.595000000000001</v>
      </c>
      <c r="L992">
        <v>50</v>
      </c>
      <c r="M992">
        <v>5</v>
      </c>
      <c r="N992">
        <v>19</v>
      </c>
      <c r="O992">
        <v>76.292000000000002</v>
      </c>
      <c r="P992">
        <v>10.7872983</v>
      </c>
      <c r="Q992">
        <v>15.444000000000001</v>
      </c>
    </row>
    <row r="993" spans="1:17" s="30" customFormat="1" ht="21" customHeight="1" x14ac:dyDescent="0.2">
      <c r="A993" s="30" t="str">
        <f>IF(C993&amp;G993&amp;D993&lt;&gt;'Funnel setup'!$K$3&amp;'Funnel setup'!$K$4&amp;'Funnel setup'!$K$5,".",IF(A992=".",1,A992+1))</f>
        <v>.</v>
      </c>
      <c r="B993" s="431" t="str">
        <f t="shared" si="15"/>
        <v>Hip Replacement PrimaryCCG of GP PracticeNHS BLACKPOOL CCG (00R)EQ VAS</v>
      </c>
      <c r="C993" t="s">
        <v>248</v>
      </c>
      <c r="D993" t="s">
        <v>87</v>
      </c>
      <c r="E993" t="s">
        <v>607</v>
      </c>
      <c r="F993" t="s">
        <v>608</v>
      </c>
      <c r="G993" t="s">
        <v>179</v>
      </c>
      <c r="H993">
        <v>45</v>
      </c>
      <c r="I993">
        <v>64.132999999999996</v>
      </c>
      <c r="J993">
        <v>72</v>
      </c>
      <c r="K993">
        <v>7.867</v>
      </c>
      <c r="L993">
        <v>24</v>
      </c>
      <c r="M993">
        <v>2</v>
      </c>
      <c r="N993">
        <v>19</v>
      </c>
      <c r="O993">
        <v>74.06</v>
      </c>
      <c r="P993">
        <v>8.5559848850000009</v>
      </c>
      <c r="Q993">
        <v>19.239999999999998</v>
      </c>
    </row>
    <row r="994" spans="1:17" s="30" customFormat="1" ht="20.25" customHeight="1" x14ac:dyDescent="0.2">
      <c r="A994" s="30" t="str">
        <f>IF(C994&amp;G994&amp;D994&lt;&gt;'Funnel setup'!$K$3&amp;'Funnel setup'!$K$4&amp;'Funnel setup'!$K$5,".",IF(A993=".",1,A993+1))</f>
        <v>.</v>
      </c>
      <c r="B994" s="431" t="str">
        <f t="shared" si="15"/>
        <v>Hip Replacement PrimaryCCG of GP PracticeNHS BOLTON CCG (00T)EQ VAS</v>
      </c>
      <c r="C994" t="s">
        <v>248</v>
      </c>
      <c r="D994" t="s">
        <v>87</v>
      </c>
      <c r="E994" t="s">
        <v>683</v>
      </c>
      <c r="F994" t="s">
        <v>684</v>
      </c>
      <c r="G994" t="s">
        <v>179</v>
      </c>
      <c r="H994">
        <v>121</v>
      </c>
      <c r="I994">
        <v>63.719000000000001</v>
      </c>
      <c r="J994">
        <v>75.239999999999995</v>
      </c>
      <c r="K994">
        <v>11.521000000000001</v>
      </c>
      <c r="L994">
        <v>77</v>
      </c>
      <c r="M994">
        <v>17</v>
      </c>
      <c r="N994">
        <v>27</v>
      </c>
      <c r="O994">
        <v>77.632000000000005</v>
      </c>
      <c r="P994">
        <v>12.127633319999999</v>
      </c>
      <c r="Q994">
        <v>17.597999999999999</v>
      </c>
    </row>
    <row r="995" spans="1:17" s="30" customFormat="1" ht="24.75" customHeight="1" x14ac:dyDescent="0.2">
      <c r="A995" s="30" t="str">
        <f>IF(C995&amp;G995&amp;D995&lt;&gt;'Funnel setup'!$K$3&amp;'Funnel setup'!$K$4&amp;'Funnel setup'!$K$5,".",IF(A994=".",1,A994+1))</f>
        <v>.</v>
      </c>
      <c r="B995" s="431" t="str">
        <f t="shared" si="15"/>
        <v>Hip Replacement PrimaryCCG of GP PracticeNHS BRACKNELL AND ASCOT CCG (10G)EQ VAS</v>
      </c>
      <c r="C995" t="s">
        <v>248</v>
      </c>
      <c r="D995" t="s">
        <v>87</v>
      </c>
      <c r="E995" t="s">
        <v>686</v>
      </c>
      <c r="F995" t="s">
        <v>687</v>
      </c>
      <c r="G995" t="s">
        <v>179</v>
      </c>
      <c r="H995">
        <v>72</v>
      </c>
      <c r="I995">
        <v>65.417000000000002</v>
      </c>
      <c r="J995">
        <v>79.028000000000006</v>
      </c>
      <c r="K995">
        <v>13.611000000000001</v>
      </c>
      <c r="L995">
        <v>53</v>
      </c>
      <c r="M995">
        <v>9</v>
      </c>
      <c r="N995">
        <v>10</v>
      </c>
      <c r="O995">
        <v>77.260000000000005</v>
      </c>
      <c r="P995">
        <v>11.755613309999999</v>
      </c>
      <c r="Q995">
        <v>15.676</v>
      </c>
    </row>
    <row r="996" spans="1:17" s="30" customFormat="1" ht="21.75" customHeight="1" x14ac:dyDescent="0.2">
      <c r="A996" s="30" t="str">
        <f>IF(C996&amp;G996&amp;D996&lt;&gt;'Funnel setup'!$K$3&amp;'Funnel setup'!$K$4&amp;'Funnel setup'!$K$5,".",IF(A995=".",1,A995+1))</f>
        <v>.</v>
      </c>
      <c r="B996" s="431" t="str">
        <f t="shared" si="15"/>
        <v>Hip Replacement PrimaryCCG of GP PracticeNHS BRADFORD CITY CCG (02W)EQ VAS</v>
      </c>
      <c r="C996" t="s">
        <v>248</v>
      </c>
      <c r="D996" t="s">
        <v>87</v>
      </c>
      <c r="E996" t="s">
        <v>689</v>
      </c>
      <c r="F996" t="s">
        <v>690</v>
      </c>
      <c r="G996" t="s">
        <v>179</v>
      </c>
      <c r="H996">
        <v>7</v>
      </c>
      <c r="I996">
        <v>64.286000000000001</v>
      </c>
      <c r="J996">
        <v>59.286000000000001</v>
      </c>
      <c r="K996">
        <v>-5</v>
      </c>
      <c r="L996">
        <v>2</v>
      </c>
      <c r="M996">
        <v>0</v>
      </c>
      <c r="N996">
        <v>5</v>
      </c>
      <c r="O996" t="s">
        <v>53</v>
      </c>
      <c r="P996" t="s">
        <v>53</v>
      </c>
      <c r="Q996" t="s">
        <v>53</v>
      </c>
    </row>
    <row r="997" spans="1:17" s="30" customFormat="1" ht="18" customHeight="1" x14ac:dyDescent="0.2">
      <c r="A997" s="30" t="str">
        <f>IF(C997&amp;G997&amp;D997&lt;&gt;'Funnel setup'!$K$3&amp;'Funnel setup'!$K$4&amp;'Funnel setup'!$K$5,".",IF(A996=".",1,A996+1))</f>
        <v>.</v>
      </c>
      <c r="B997" s="431" t="str">
        <f t="shared" si="15"/>
        <v>Hip Replacement PrimaryCCG of GP PracticeNHS BRADFORD DISTRICTS CCG (02R)EQ VAS</v>
      </c>
      <c r="C997" t="s">
        <v>248</v>
      </c>
      <c r="D997" t="s">
        <v>87</v>
      </c>
      <c r="E997" t="s">
        <v>692</v>
      </c>
      <c r="F997" t="s">
        <v>693</v>
      </c>
      <c r="G997" t="s">
        <v>179</v>
      </c>
      <c r="H997">
        <v>131</v>
      </c>
      <c r="I997">
        <v>62.893000000000001</v>
      </c>
      <c r="J997">
        <v>76.816999999999993</v>
      </c>
      <c r="K997">
        <v>13.923999999999999</v>
      </c>
      <c r="L997">
        <v>93</v>
      </c>
      <c r="M997">
        <v>14</v>
      </c>
      <c r="N997">
        <v>24</v>
      </c>
      <c r="O997">
        <v>79.257000000000005</v>
      </c>
      <c r="P997">
        <v>13.75294869</v>
      </c>
      <c r="Q997">
        <v>16.789000000000001</v>
      </c>
    </row>
    <row r="998" spans="1:17" s="30" customFormat="1" ht="24" customHeight="1" x14ac:dyDescent="0.2">
      <c r="A998" s="30" t="str">
        <f>IF(C998&amp;G998&amp;D998&lt;&gt;'Funnel setup'!$K$3&amp;'Funnel setup'!$K$4&amp;'Funnel setup'!$K$5,".",IF(A997=".",1,A997+1))</f>
        <v>.</v>
      </c>
      <c r="B998" s="431" t="str">
        <f t="shared" si="15"/>
        <v>Hip Replacement PrimaryCCG of GP PracticeNHS BRENT CCG (07P)EQ VAS</v>
      </c>
      <c r="C998" t="s">
        <v>248</v>
      </c>
      <c r="D998" t="s">
        <v>87</v>
      </c>
      <c r="E998" t="s">
        <v>695</v>
      </c>
      <c r="F998" t="s">
        <v>696</v>
      </c>
      <c r="G998" t="s">
        <v>179</v>
      </c>
      <c r="H998">
        <v>42</v>
      </c>
      <c r="I998">
        <v>63.594999999999999</v>
      </c>
      <c r="J998">
        <v>74.167000000000002</v>
      </c>
      <c r="K998">
        <v>10.571</v>
      </c>
      <c r="L998">
        <v>28</v>
      </c>
      <c r="M998">
        <v>8</v>
      </c>
      <c r="N998">
        <v>6</v>
      </c>
      <c r="O998">
        <v>76.861000000000004</v>
      </c>
      <c r="P998">
        <v>11.356670599999999</v>
      </c>
      <c r="Q998">
        <v>16.602</v>
      </c>
    </row>
    <row r="999" spans="1:17" s="30" customFormat="1" ht="19.5" customHeight="1" x14ac:dyDescent="0.2">
      <c r="A999" s="30" t="str">
        <f>IF(C999&amp;G999&amp;D999&lt;&gt;'Funnel setup'!$K$3&amp;'Funnel setup'!$K$4&amp;'Funnel setup'!$K$5,".",IF(A998=".",1,A998+1))</f>
        <v>.</v>
      </c>
      <c r="B999" s="431" t="str">
        <f t="shared" si="15"/>
        <v>Hip Replacement PrimaryCCG of GP PracticeNHS BRIGHTON AND HOVE CCG (09D)EQ VAS</v>
      </c>
      <c r="C999" t="s">
        <v>248</v>
      </c>
      <c r="D999" t="s">
        <v>87</v>
      </c>
      <c r="E999" t="s">
        <v>698</v>
      </c>
      <c r="F999" t="s">
        <v>699</v>
      </c>
      <c r="G999" t="s">
        <v>179</v>
      </c>
      <c r="H999">
        <v>133</v>
      </c>
      <c r="I999">
        <v>69.962000000000003</v>
      </c>
      <c r="J999">
        <v>78.662000000000006</v>
      </c>
      <c r="K999">
        <v>8.6989999999999998</v>
      </c>
      <c r="L999">
        <v>87</v>
      </c>
      <c r="M999">
        <v>15</v>
      </c>
      <c r="N999">
        <v>31</v>
      </c>
      <c r="O999">
        <v>77.477000000000004</v>
      </c>
      <c r="P999">
        <v>11.97283601</v>
      </c>
      <c r="Q999">
        <v>12.744</v>
      </c>
    </row>
    <row r="1000" spans="1:17" s="30" customFormat="1" ht="19.5" customHeight="1" x14ac:dyDescent="0.2">
      <c r="A1000" s="30" t="str">
        <f>IF(C1000&amp;G1000&amp;D1000&lt;&gt;'Funnel setup'!$K$3&amp;'Funnel setup'!$K$4&amp;'Funnel setup'!$K$5,".",IF(A999=".",1,A999+1))</f>
        <v>.</v>
      </c>
      <c r="B1000" s="431" t="str">
        <f t="shared" si="15"/>
        <v>Hip Replacement PrimaryCCG of GP PracticeNHS BRISTOL CCG (11H)EQ VAS</v>
      </c>
      <c r="C1000" t="s">
        <v>248</v>
      </c>
      <c r="D1000" t="s">
        <v>87</v>
      </c>
      <c r="E1000" t="s">
        <v>701</v>
      </c>
      <c r="F1000" t="s">
        <v>702</v>
      </c>
      <c r="G1000" t="s">
        <v>179</v>
      </c>
      <c r="H1000">
        <v>203</v>
      </c>
      <c r="I1000">
        <v>65.433000000000007</v>
      </c>
      <c r="J1000">
        <v>78.171999999999997</v>
      </c>
      <c r="K1000">
        <v>12.739000000000001</v>
      </c>
      <c r="L1000">
        <v>133</v>
      </c>
      <c r="M1000">
        <v>25</v>
      </c>
      <c r="N1000">
        <v>45</v>
      </c>
      <c r="O1000">
        <v>77.775000000000006</v>
      </c>
      <c r="P1000">
        <v>12.270800039999999</v>
      </c>
      <c r="Q1000">
        <v>15.784000000000001</v>
      </c>
    </row>
    <row r="1001" spans="1:17" s="30" customFormat="1" ht="21.75" customHeight="1" x14ac:dyDescent="0.2">
      <c r="A1001" s="30" t="str">
        <f>IF(C1001&amp;G1001&amp;D1001&lt;&gt;'Funnel setup'!$K$3&amp;'Funnel setup'!$K$4&amp;'Funnel setup'!$K$5,".",IF(A1000=".",1,A1000+1))</f>
        <v>.</v>
      </c>
      <c r="B1001" s="431" t="str">
        <f t="shared" si="15"/>
        <v>Hip Replacement PrimaryCCG of GP PracticeNHS BROMLEY CCG (07Q)EQ VAS</v>
      </c>
      <c r="C1001" t="s">
        <v>248</v>
      </c>
      <c r="D1001" t="s">
        <v>87</v>
      </c>
      <c r="E1001" t="s">
        <v>704</v>
      </c>
      <c r="F1001" t="s">
        <v>705</v>
      </c>
      <c r="G1001" t="s">
        <v>179</v>
      </c>
      <c r="H1001">
        <v>141</v>
      </c>
      <c r="I1001">
        <v>68.751999999999995</v>
      </c>
      <c r="J1001">
        <v>80.850999999999999</v>
      </c>
      <c r="K1001">
        <v>12.099</v>
      </c>
      <c r="L1001">
        <v>94</v>
      </c>
      <c r="M1001">
        <v>22</v>
      </c>
      <c r="N1001">
        <v>25</v>
      </c>
      <c r="O1001">
        <v>78.962000000000003</v>
      </c>
      <c r="P1001">
        <v>13.45755364</v>
      </c>
      <c r="Q1001">
        <v>14.045999999999999</v>
      </c>
    </row>
    <row r="1002" spans="1:17" s="30" customFormat="1" ht="16.5" customHeight="1" x14ac:dyDescent="0.2">
      <c r="A1002" s="30" t="str">
        <f>IF(C1002&amp;G1002&amp;D1002&lt;&gt;'Funnel setup'!$K$3&amp;'Funnel setup'!$K$4&amp;'Funnel setup'!$K$5,".",IF(A1001=".",1,A1001+1))</f>
        <v>.</v>
      </c>
      <c r="B1002" s="431" t="str">
        <f t="shared" si="15"/>
        <v>Hip Replacement PrimaryCCG of GP PracticeNHS BURY CCG (00V)EQ VAS</v>
      </c>
      <c r="C1002" t="s">
        <v>248</v>
      </c>
      <c r="D1002" t="s">
        <v>87</v>
      </c>
      <c r="E1002" t="s">
        <v>707</v>
      </c>
      <c r="F1002" t="s">
        <v>708</v>
      </c>
      <c r="G1002" t="s">
        <v>179</v>
      </c>
      <c r="H1002">
        <v>51</v>
      </c>
      <c r="I1002">
        <v>58.430999999999997</v>
      </c>
      <c r="J1002">
        <v>79.450999999999993</v>
      </c>
      <c r="K1002">
        <v>21.02</v>
      </c>
      <c r="L1002">
        <v>39</v>
      </c>
      <c r="M1002">
        <v>1</v>
      </c>
      <c r="N1002">
        <v>11</v>
      </c>
      <c r="O1002">
        <v>80.878</v>
      </c>
      <c r="P1002">
        <v>15.37406468</v>
      </c>
      <c r="Q1002">
        <v>15.351000000000001</v>
      </c>
    </row>
    <row r="1003" spans="1:17" s="30" customFormat="1" ht="15.75" customHeight="1" x14ac:dyDescent="0.2">
      <c r="A1003" s="30" t="str">
        <f>IF(C1003&amp;G1003&amp;D1003&lt;&gt;'Funnel setup'!$K$3&amp;'Funnel setup'!$K$4&amp;'Funnel setup'!$K$5,".",IF(A1002=".",1,A1002+1))</f>
        <v>.</v>
      </c>
      <c r="B1003" s="431" t="str">
        <f t="shared" si="15"/>
        <v>Hip Replacement PrimaryCCG of GP PracticeNHS CALDERDALE CCG (02T)EQ VAS</v>
      </c>
      <c r="C1003" t="s">
        <v>248</v>
      </c>
      <c r="D1003" t="s">
        <v>87</v>
      </c>
      <c r="E1003" t="s">
        <v>710</v>
      </c>
      <c r="F1003" t="s">
        <v>711</v>
      </c>
      <c r="G1003" t="s">
        <v>179</v>
      </c>
      <c r="H1003">
        <v>134</v>
      </c>
      <c r="I1003">
        <v>63.597000000000001</v>
      </c>
      <c r="J1003">
        <v>79.462999999999994</v>
      </c>
      <c r="K1003">
        <v>15.866</v>
      </c>
      <c r="L1003">
        <v>96</v>
      </c>
      <c r="M1003">
        <v>8</v>
      </c>
      <c r="N1003">
        <v>30</v>
      </c>
      <c r="O1003">
        <v>79.826999999999998</v>
      </c>
      <c r="P1003">
        <v>14.32272088</v>
      </c>
      <c r="Q1003">
        <v>14.525</v>
      </c>
    </row>
    <row r="1004" spans="1:17" s="30" customFormat="1" ht="20.25" customHeight="1" x14ac:dyDescent="0.2">
      <c r="A1004" s="30" t="str">
        <f>IF(C1004&amp;G1004&amp;D1004&lt;&gt;'Funnel setup'!$K$3&amp;'Funnel setup'!$K$4&amp;'Funnel setup'!$K$5,".",IF(A1003=".",1,A1003+1))</f>
        <v>.</v>
      </c>
      <c r="B1004" s="431" t="str">
        <f t="shared" si="15"/>
        <v>Hip Replacement PrimaryCCG of GP PracticeNHS CAMBRIDGESHIRE AND PETERBOROUGH CCG (06H)EQ VAS</v>
      </c>
      <c r="C1004" t="s">
        <v>248</v>
      </c>
      <c r="D1004" t="s">
        <v>87</v>
      </c>
      <c r="E1004" t="s">
        <v>713</v>
      </c>
      <c r="F1004" t="s">
        <v>714</v>
      </c>
      <c r="G1004" t="s">
        <v>179</v>
      </c>
      <c r="H1004">
        <v>549</v>
      </c>
      <c r="I1004">
        <v>63.539000000000001</v>
      </c>
      <c r="J1004">
        <v>78.573999999999998</v>
      </c>
      <c r="K1004">
        <v>15.035</v>
      </c>
      <c r="L1004">
        <v>383</v>
      </c>
      <c r="M1004">
        <v>62</v>
      </c>
      <c r="N1004">
        <v>104</v>
      </c>
      <c r="O1004">
        <v>78.861999999999995</v>
      </c>
      <c r="P1004">
        <v>13.357468580000001</v>
      </c>
      <c r="Q1004">
        <v>15.538</v>
      </c>
    </row>
    <row r="1005" spans="1:17" s="30" customFormat="1" ht="18" customHeight="1" x14ac:dyDescent="0.2">
      <c r="A1005" s="30" t="str">
        <f>IF(C1005&amp;G1005&amp;D1005&lt;&gt;'Funnel setup'!$K$3&amp;'Funnel setup'!$K$4&amp;'Funnel setup'!$K$5,".",IF(A1004=".",1,A1004+1))</f>
        <v>.</v>
      </c>
      <c r="B1005" s="431" t="str">
        <f t="shared" si="15"/>
        <v>Hip Replacement PrimaryCCG of GP PracticeNHS CAMDEN CCG (07R)EQ VAS</v>
      </c>
      <c r="C1005" t="s">
        <v>248</v>
      </c>
      <c r="D1005" t="s">
        <v>87</v>
      </c>
      <c r="E1005" t="s">
        <v>716</v>
      </c>
      <c r="F1005" t="s">
        <v>717</v>
      </c>
      <c r="G1005" t="s">
        <v>179</v>
      </c>
      <c r="H1005">
        <v>46</v>
      </c>
      <c r="I1005">
        <v>59.37</v>
      </c>
      <c r="J1005">
        <v>74.760999999999996</v>
      </c>
      <c r="K1005">
        <v>15.391</v>
      </c>
      <c r="L1005">
        <v>36</v>
      </c>
      <c r="M1005">
        <v>4</v>
      </c>
      <c r="N1005">
        <v>6</v>
      </c>
      <c r="O1005">
        <v>78.210999999999999</v>
      </c>
      <c r="P1005">
        <v>12.706748640000001</v>
      </c>
      <c r="Q1005">
        <v>15.715</v>
      </c>
    </row>
    <row r="1006" spans="1:17" s="30" customFormat="1" ht="16.5" customHeight="1" x14ac:dyDescent="0.2">
      <c r="A1006" s="30" t="str">
        <f>IF(C1006&amp;G1006&amp;D1006&lt;&gt;'Funnel setup'!$K$3&amp;'Funnel setup'!$K$4&amp;'Funnel setup'!$K$5,".",IF(A1005=".",1,A1005+1))</f>
        <v>.</v>
      </c>
      <c r="B1006" s="431" t="str">
        <f t="shared" si="15"/>
        <v>Hip Replacement PrimaryCCG of GP PracticeNHS CANNOCK CHASE CCG (04Y)EQ VAS</v>
      </c>
      <c r="C1006" t="s">
        <v>248</v>
      </c>
      <c r="D1006" t="s">
        <v>87</v>
      </c>
      <c r="E1006" t="s">
        <v>719</v>
      </c>
      <c r="F1006" t="s">
        <v>720</v>
      </c>
      <c r="G1006" t="s">
        <v>179</v>
      </c>
      <c r="H1006">
        <v>136</v>
      </c>
      <c r="I1006">
        <v>62.029000000000003</v>
      </c>
      <c r="J1006">
        <v>75.337999999999994</v>
      </c>
      <c r="K1006">
        <v>13.308999999999999</v>
      </c>
      <c r="L1006">
        <v>87</v>
      </c>
      <c r="M1006">
        <v>22</v>
      </c>
      <c r="N1006">
        <v>27</v>
      </c>
      <c r="O1006">
        <v>76.474000000000004</v>
      </c>
      <c r="P1006">
        <v>10.96984005</v>
      </c>
      <c r="Q1006">
        <v>16.568000000000001</v>
      </c>
    </row>
    <row r="1007" spans="1:17" s="30" customFormat="1" ht="15" customHeight="1" x14ac:dyDescent="0.2">
      <c r="A1007" s="30" t="str">
        <f>IF(C1007&amp;G1007&amp;D1007&lt;&gt;'Funnel setup'!$K$3&amp;'Funnel setup'!$K$4&amp;'Funnel setup'!$K$5,".",IF(A1006=".",1,A1006+1))</f>
        <v>.</v>
      </c>
      <c r="B1007" s="431" t="str">
        <f t="shared" si="15"/>
        <v>Hip Replacement PrimaryCCG of GP PracticeNHS CANTERBURY AND COASTAL CCG (09E)EQ VAS</v>
      </c>
      <c r="C1007" t="s">
        <v>248</v>
      </c>
      <c r="D1007" t="s">
        <v>87</v>
      </c>
      <c r="E1007" t="s">
        <v>722</v>
      </c>
      <c r="F1007" t="s">
        <v>723</v>
      </c>
      <c r="G1007" t="s">
        <v>179</v>
      </c>
      <c r="H1007">
        <v>122</v>
      </c>
      <c r="I1007">
        <v>64.040999999999997</v>
      </c>
      <c r="J1007">
        <v>80.106999999999999</v>
      </c>
      <c r="K1007">
        <v>16.065999999999999</v>
      </c>
      <c r="L1007">
        <v>85</v>
      </c>
      <c r="M1007">
        <v>13</v>
      </c>
      <c r="N1007">
        <v>24</v>
      </c>
      <c r="O1007">
        <v>79.629000000000005</v>
      </c>
      <c r="P1007">
        <v>14.124358920000001</v>
      </c>
      <c r="Q1007">
        <v>12.397</v>
      </c>
    </row>
    <row r="1008" spans="1:17" s="30" customFormat="1" ht="15" customHeight="1" x14ac:dyDescent="0.2">
      <c r="A1008" s="30" t="str">
        <f>IF(C1008&amp;G1008&amp;D1008&lt;&gt;'Funnel setup'!$K$3&amp;'Funnel setup'!$K$4&amp;'Funnel setup'!$K$5,".",IF(A1007=".",1,A1007+1))</f>
        <v>.</v>
      </c>
      <c r="B1008" s="431" t="str">
        <f t="shared" si="15"/>
        <v>Hip Replacement PrimaryCCG of GP PracticeNHS CASTLE POINT AND ROCHFORD CCG (99F)EQ VAS</v>
      </c>
      <c r="C1008" t="s">
        <v>248</v>
      </c>
      <c r="D1008" t="s">
        <v>87</v>
      </c>
      <c r="E1008" t="s">
        <v>725</v>
      </c>
      <c r="F1008" t="s">
        <v>726</v>
      </c>
      <c r="G1008" t="s">
        <v>179</v>
      </c>
      <c r="H1008">
        <v>136</v>
      </c>
      <c r="I1008">
        <v>64.287000000000006</v>
      </c>
      <c r="J1008">
        <v>76.037000000000006</v>
      </c>
      <c r="K1008">
        <v>11.75</v>
      </c>
      <c r="L1008">
        <v>94</v>
      </c>
      <c r="M1008">
        <v>12</v>
      </c>
      <c r="N1008">
        <v>30</v>
      </c>
      <c r="O1008">
        <v>76.522999999999996</v>
      </c>
      <c r="P1008">
        <v>11.01820771</v>
      </c>
      <c r="Q1008">
        <v>15.02</v>
      </c>
    </row>
    <row r="1009" spans="1:17" s="30" customFormat="1" ht="15" customHeight="1" x14ac:dyDescent="0.2">
      <c r="A1009" s="30" t="str">
        <f>IF(C1009&amp;G1009&amp;D1009&lt;&gt;'Funnel setup'!$K$3&amp;'Funnel setup'!$K$4&amp;'Funnel setup'!$K$5,".",IF(A1008=".",1,A1008+1))</f>
        <v>.</v>
      </c>
      <c r="B1009" s="431" t="str">
        <f t="shared" si="15"/>
        <v>Hip Replacement PrimaryCCG of GP PracticeNHS CENTRAL LONDON (WESTMINSTER) CCG (09A)EQ VAS</v>
      </c>
      <c r="C1009" t="s">
        <v>248</v>
      </c>
      <c r="D1009" t="s">
        <v>87</v>
      </c>
      <c r="E1009" t="s">
        <v>728</v>
      </c>
      <c r="F1009" t="s">
        <v>729</v>
      </c>
      <c r="G1009" t="s">
        <v>179</v>
      </c>
      <c r="H1009">
        <v>17</v>
      </c>
      <c r="I1009">
        <v>68.117999999999995</v>
      </c>
      <c r="J1009">
        <v>79.882000000000005</v>
      </c>
      <c r="K1009">
        <v>11.765000000000001</v>
      </c>
      <c r="L1009">
        <v>11</v>
      </c>
      <c r="M1009">
        <v>2</v>
      </c>
      <c r="N1009">
        <v>4</v>
      </c>
      <c r="O1009" t="s">
        <v>53</v>
      </c>
      <c r="P1009" t="s">
        <v>53</v>
      </c>
      <c r="Q1009" t="s">
        <v>53</v>
      </c>
    </row>
    <row r="1010" spans="1:17" s="30" customFormat="1" ht="15" customHeight="1" x14ac:dyDescent="0.2">
      <c r="A1010" s="30" t="str">
        <f>IF(C1010&amp;G1010&amp;D1010&lt;&gt;'Funnel setup'!$K$3&amp;'Funnel setup'!$K$4&amp;'Funnel setup'!$K$5,".",IF(A1009=".",1,A1009+1))</f>
        <v>.</v>
      </c>
      <c r="B1010" s="431" t="str">
        <f t="shared" si="15"/>
        <v>Hip Replacement PrimaryCCG of GP PracticeNHS CENTRAL MANCHESTER CCG (00W)EQ VAS</v>
      </c>
      <c r="C1010" t="s">
        <v>248</v>
      </c>
      <c r="D1010" t="s">
        <v>87</v>
      </c>
      <c r="E1010" t="s">
        <v>731</v>
      </c>
      <c r="F1010" t="s">
        <v>732</v>
      </c>
      <c r="G1010" t="s">
        <v>179</v>
      </c>
      <c r="H1010">
        <v>13</v>
      </c>
      <c r="I1010">
        <v>65.230999999999995</v>
      </c>
      <c r="J1010">
        <v>71.076999999999998</v>
      </c>
      <c r="K1010">
        <v>5.8460000000000001</v>
      </c>
      <c r="L1010">
        <v>7</v>
      </c>
      <c r="M1010">
        <v>1</v>
      </c>
      <c r="N1010">
        <v>5</v>
      </c>
      <c r="O1010" t="s">
        <v>53</v>
      </c>
      <c r="P1010" t="s">
        <v>53</v>
      </c>
      <c r="Q1010" t="s">
        <v>53</v>
      </c>
    </row>
    <row r="1011" spans="1:17" s="30" customFormat="1" ht="15" customHeight="1" x14ac:dyDescent="0.2">
      <c r="A1011" s="30" t="str">
        <f>IF(C1011&amp;G1011&amp;D1011&lt;&gt;'Funnel setup'!$K$3&amp;'Funnel setup'!$K$4&amp;'Funnel setup'!$K$5,".",IF(A1010=".",1,A1010+1))</f>
        <v>.</v>
      </c>
      <c r="B1011" s="431" t="str">
        <f t="shared" si="15"/>
        <v>Hip Replacement PrimaryCCG of GP PracticeNHS CHILTERN CCG (10H)EQ VAS</v>
      </c>
      <c r="C1011" t="s">
        <v>248</v>
      </c>
      <c r="D1011" t="s">
        <v>87</v>
      </c>
      <c r="E1011" t="s">
        <v>734</v>
      </c>
      <c r="F1011" t="s">
        <v>735</v>
      </c>
      <c r="G1011" t="s">
        <v>179</v>
      </c>
      <c r="H1011">
        <v>199</v>
      </c>
      <c r="I1011">
        <v>65.92</v>
      </c>
      <c r="J1011">
        <v>76.352000000000004</v>
      </c>
      <c r="K1011">
        <v>10.432</v>
      </c>
      <c r="L1011">
        <v>130</v>
      </c>
      <c r="M1011">
        <v>22</v>
      </c>
      <c r="N1011">
        <v>47</v>
      </c>
      <c r="O1011">
        <v>75.379000000000005</v>
      </c>
      <c r="P1011">
        <v>9.8744667439999994</v>
      </c>
      <c r="Q1011">
        <v>15.863</v>
      </c>
    </row>
    <row r="1012" spans="1:17" s="30" customFormat="1" ht="15" customHeight="1" x14ac:dyDescent="0.2">
      <c r="A1012" s="30" t="str">
        <f>IF(C1012&amp;G1012&amp;D1012&lt;&gt;'Funnel setup'!$K$3&amp;'Funnel setup'!$K$4&amp;'Funnel setup'!$K$5,".",IF(A1011=".",1,A1011+1))</f>
        <v>.</v>
      </c>
      <c r="B1012" s="431" t="str">
        <f t="shared" si="15"/>
        <v>Hip Replacement PrimaryCCG of GP PracticeNHS CHORLEY AND SOUTH RIBBLE CCG (00X)EQ VAS</v>
      </c>
      <c r="C1012" t="s">
        <v>248</v>
      </c>
      <c r="D1012" t="s">
        <v>87</v>
      </c>
      <c r="E1012" t="s">
        <v>737</v>
      </c>
      <c r="F1012" t="s">
        <v>738</v>
      </c>
      <c r="G1012" t="s">
        <v>179</v>
      </c>
      <c r="H1012">
        <v>166</v>
      </c>
      <c r="I1012">
        <v>64.927999999999997</v>
      </c>
      <c r="J1012">
        <v>76.524000000000001</v>
      </c>
      <c r="K1012">
        <v>11.596</v>
      </c>
      <c r="L1012">
        <v>105</v>
      </c>
      <c r="M1012">
        <v>19</v>
      </c>
      <c r="N1012">
        <v>42</v>
      </c>
      <c r="O1012">
        <v>76.938999999999993</v>
      </c>
      <c r="P1012">
        <v>11.434825249999999</v>
      </c>
      <c r="Q1012">
        <v>16.878</v>
      </c>
    </row>
    <row r="1013" spans="1:17" s="30" customFormat="1" ht="15" customHeight="1" x14ac:dyDescent="0.2">
      <c r="A1013" s="30" t="str">
        <f>IF(C1013&amp;G1013&amp;D1013&lt;&gt;'Funnel setup'!$K$3&amp;'Funnel setup'!$K$4&amp;'Funnel setup'!$K$5,".",IF(A1012=".",1,A1012+1))</f>
        <v>.</v>
      </c>
      <c r="B1013" s="431" t="str">
        <f t="shared" si="15"/>
        <v>Hip Replacement PrimaryCCG of GP PracticeNHS CITY AND HACKNEY CCG (07T)EQ VAS</v>
      </c>
      <c r="C1013" t="s">
        <v>248</v>
      </c>
      <c r="D1013" t="s">
        <v>87</v>
      </c>
      <c r="E1013" t="s">
        <v>740</v>
      </c>
      <c r="F1013" t="s">
        <v>741</v>
      </c>
      <c r="G1013" t="s">
        <v>179</v>
      </c>
      <c r="H1013">
        <v>37</v>
      </c>
      <c r="I1013">
        <v>58.567999999999998</v>
      </c>
      <c r="J1013">
        <v>71.350999999999999</v>
      </c>
      <c r="K1013">
        <v>12.784000000000001</v>
      </c>
      <c r="L1013">
        <v>27</v>
      </c>
      <c r="M1013">
        <v>3</v>
      </c>
      <c r="N1013">
        <v>7</v>
      </c>
      <c r="O1013">
        <v>78.638999999999996</v>
      </c>
      <c r="P1013">
        <v>13.135162920000001</v>
      </c>
      <c r="Q1013">
        <v>17.233000000000001</v>
      </c>
    </row>
    <row r="1014" spans="1:17" s="30" customFormat="1" ht="15" customHeight="1" x14ac:dyDescent="0.2">
      <c r="A1014" s="30" t="str">
        <f>IF(C1014&amp;G1014&amp;D1014&lt;&gt;'Funnel setup'!$K$3&amp;'Funnel setup'!$K$4&amp;'Funnel setup'!$K$5,".",IF(A1013=".",1,A1013+1))</f>
        <v>.</v>
      </c>
      <c r="B1014" s="431" t="str">
        <f t="shared" si="15"/>
        <v>Hip Replacement PrimaryCCG of GP PracticeNHS COASTAL WEST SUSSEX CCG (09G)EQ VAS</v>
      </c>
      <c r="C1014" t="s">
        <v>248</v>
      </c>
      <c r="D1014" t="s">
        <v>87</v>
      </c>
      <c r="E1014" t="s">
        <v>743</v>
      </c>
      <c r="F1014" t="s">
        <v>744</v>
      </c>
      <c r="G1014" t="s">
        <v>179</v>
      </c>
      <c r="H1014">
        <v>512</v>
      </c>
      <c r="I1014">
        <v>63.898000000000003</v>
      </c>
      <c r="J1014">
        <v>77.296999999999997</v>
      </c>
      <c r="K1014">
        <v>13.398</v>
      </c>
      <c r="L1014">
        <v>341</v>
      </c>
      <c r="M1014">
        <v>49</v>
      </c>
      <c r="N1014">
        <v>122</v>
      </c>
      <c r="O1014">
        <v>77.445999999999998</v>
      </c>
      <c r="P1014">
        <v>11.941445379999999</v>
      </c>
      <c r="Q1014">
        <v>16.382999999999999</v>
      </c>
    </row>
    <row r="1015" spans="1:17" s="30" customFormat="1" ht="15" customHeight="1" x14ac:dyDescent="0.2">
      <c r="A1015" s="30" t="str">
        <f>IF(C1015&amp;G1015&amp;D1015&lt;&gt;'Funnel setup'!$K$3&amp;'Funnel setup'!$K$4&amp;'Funnel setup'!$K$5,".",IF(A1014=".",1,A1014+1))</f>
        <v>.</v>
      </c>
      <c r="B1015" s="431" t="str">
        <f t="shared" si="15"/>
        <v>Hip Replacement PrimaryCCG of GP PracticeNHS CORBY CCG (03V)EQ VAS</v>
      </c>
      <c r="C1015" t="s">
        <v>248</v>
      </c>
      <c r="D1015" t="s">
        <v>87</v>
      </c>
      <c r="E1015" t="s">
        <v>746</v>
      </c>
      <c r="F1015" t="s">
        <v>747</v>
      </c>
      <c r="G1015" t="s">
        <v>179</v>
      </c>
      <c r="H1015">
        <v>27</v>
      </c>
      <c r="I1015">
        <v>52.295999999999999</v>
      </c>
      <c r="J1015">
        <v>67.111000000000004</v>
      </c>
      <c r="K1015">
        <v>14.815</v>
      </c>
      <c r="L1015">
        <v>18</v>
      </c>
      <c r="M1015">
        <v>2</v>
      </c>
      <c r="N1015">
        <v>7</v>
      </c>
      <c r="O1015" t="s">
        <v>53</v>
      </c>
      <c r="P1015" t="s">
        <v>53</v>
      </c>
      <c r="Q1015" t="s">
        <v>53</v>
      </c>
    </row>
    <row r="1016" spans="1:17" s="30" customFormat="1" ht="15" customHeight="1" x14ac:dyDescent="0.2">
      <c r="A1016" s="30" t="str">
        <f>IF(C1016&amp;G1016&amp;D1016&lt;&gt;'Funnel setup'!$K$3&amp;'Funnel setup'!$K$4&amp;'Funnel setup'!$K$5,".",IF(A1015=".",1,A1015+1))</f>
        <v>.</v>
      </c>
      <c r="B1016" s="431" t="str">
        <f t="shared" si="15"/>
        <v>Hip Replacement PrimaryCCG of GP PracticeNHS COVENTRY AND RUGBY CCG (05A)EQ VAS</v>
      </c>
      <c r="C1016" t="s">
        <v>248</v>
      </c>
      <c r="D1016" t="s">
        <v>87</v>
      </c>
      <c r="E1016" t="s">
        <v>749</v>
      </c>
      <c r="F1016" t="s">
        <v>750</v>
      </c>
      <c r="G1016" t="s">
        <v>179</v>
      </c>
      <c r="H1016">
        <v>226</v>
      </c>
      <c r="I1016">
        <v>64.257000000000005</v>
      </c>
      <c r="J1016">
        <v>77.801000000000002</v>
      </c>
      <c r="K1016">
        <v>13.544</v>
      </c>
      <c r="L1016">
        <v>155</v>
      </c>
      <c r="M1016">
        <v>22</v>
      </c>
      <c r="N1016">
        <v>49</v>
      </c>
      <c r="O1016">
        <v>77.716999999999999</v>
      </c>
      <c r="P1016">
        <v>12.21295984</v>
      </c>
      <c r="Q1016">
        <v>16.568000000000001</v>
      </c>
    </row>
    <row r="1017" spans="1:17" s="30" customFormat="1" ht="15" customHeight="1" x14ac:dyDescent="0.2">
      <c r="A1017" s="30" t="str">
        <f>IF(C1017&amp;G1017&amp;D1017&lt;&gt;'Funnel setup'!$K$3&amp;'Funnel setup'!$K$4&amp;'Funnel setup'!$K$5,".",IF(A1016=".",1,A1016+1))</f>
        <v>.</v>
      </c>
      <c r="B1017" s="431" t="str">
        <f t="shared" si="15"/>
        <v>Hip Replacement PrimaryCCG of GP PracticeNHS CRAWLEY CCG (09H)EQ VAS</v>
      </c>
      <c r="C1017" t="s">
        <v>248</v>
      </c>
      <c r="D1017" t="s">
        <v>87</v>
      </c>
      <c r="E1017" t="s">
        <v>752</v>
      </c>
      <c r="F1017" t="s">
        <v>753</v>
      </c>
      <c r="G1017" t="s">
        <v>179</v>
      </c>
      <c r="H1017">
        <v>49</v>
      </c>
      <c r="I1017">
        <v>68.081999999999994</v>
      </c>
      <c r="J1017">
        <v>83.162999999999997</v>
      </c>
      <c r="K1017">
        <v>15.082000000000001</v>
      </c>
      <c r="L1017">
        <v>34</v>
      </c>
      <c r="M1017">
        <v>8</v>
      </c>
      <c r="N1017">
        <v>7</v>
      </c>
      <c r="O1017">
        <v>81.766999999999996</v>
      </c>
      <c r="P1017">
        <v>16.262194740000002</v>
      </c>
      <c r="Q1017">
        <v>11.996</v>
      </c>
    </row>
    <row r="1018" spans="1:17" s="30" customFormat="1" ht="15" customHeight="1" x14ac:dyDescent="0.2">
      <c r="A1018" s="30" t="str">
        <f>IF(C1018&amp;G1018&amp;D1018&lt;&gt;'Funnel setup'!$K$3&amp;'Funnel setup'!$K$4&amp;'Funnel setup'!$K$5,".",IF(A1017=".",1,A1017+1))</f>
        <v>.</v>
      </c>
      <c r="B1018" s="431" t="str">
        <f t="shared" si="15"/>
        <v>Hip Replacement PrimaryCCG of GP PracticeNHS CROYDON CCG (07V)EQ VAS</v>
      </c>
      <c r="C1018" t="s">
        <v>248</v>
      </c>
      <c r="D1018" t="s">
        <v>87</v>
      </c>
      <c r="E1018" t="s">
        <v>755</v>
      </c>
      <c r="F1018" t="s">
        <v>756</v>
      </c>
      <c r="G1018" t="s">
        <v>179</v>
      </c>
      <c r="H1018">
        <v>113</v>
      </c>
      <c r="I1018">
        <v>65.965000000000003</v>
      </c>
      <c r="J1018">
        <v>75.513000000000005</v>
      </c>
      <c r="K1018">
        <v>9.5489999999999995</v>
      </c>
      <c r="L1018">
        <v>79</v>
      </c>
      <c r="M1018">
        <v>6</v>
      </c>
      <c r="N1018">
        <v>28</v>
      </c>
      <c r="O1018">
        <v>75.710999999999999</v>
      </c>
      <c r="P1018">
        <v>10.207073940000001</v>
      </c>
      <c r="Q1018">
        <v>14.978999999999999</v>
      </c>
    </row>
    <row r="1019" spans="1:17" s="30" customFormat="1" ht="15" customHeight="1" x14ac:dyDescent="0.2">
      <c r="A1019" s="30" t="str">
        <f>IF(C1019&amp;G1019&amp;D1019&lt;&gt;'Funnel setup'!$K$3&amp;'Funnel setup'!$K$4&amp;'Funnel setup'!$K$5,".",IF(A1018=".",1,A1018+1))</f>
        <v>.</v>
      </c>
      <c r="B1019" s="431" t="str">
        <f t="shared" si="15"/>
        <v>Hip Replacement PrimaryCCG of GP PracticeNHS CUMBRIA CCG (01H)EQ VAS</v>
      </c>
      <c r="C1019" t="s">
        <v>248</v>
      </c>
      <c r="D1019" t="s">
        <v>87</v>
      </c>
      <c r="E1019" t="s">
        <v>758</v>
      </c>
      <c r="F1019" t="s">
        <v>759</v>
      </c>
      <c r="G1019" t="s">
        <v>179</v>
      </c>
      <c r="H1019">
        <v>487</v>
      </c>
      <c r="I1019">
        <v>66.649000000000001</v>
      </c>
      <c r="J1019">
        <v>77.641000000000005</v>
      </c>
      <c r="K1019">
        <v>10.992000000000001</v>
      </c>
      <c r="L1019">
        <v>322</v>
      </c>
      <c r="M1019">
        <v>50</v>
      </c>
      <c r="N1019">
        <v>115</v>
      </c>
      <c r="O1019">
        <v>77.352999999999994</v>
      </c>
      <c r="P1019">
        <v>11.849081399999999</v>
      </c>
      <c r="Q1019">
        <v>15.837</v>
      </c>
    </row>
    <row r="1020" spans="1:17" s="30" customFormat="1" ht="15" customHeight="1" x14ac:dyDescent="0.2">
      <c r="A1020" s="30" t="str">
        <f>IF(C1020&amp;G1020&amp;D1020&lt;&gt;'Funnel setup'!$K$3&amp;'Funnel setup'!$K$4&amp;'Funnel setup'!$K$5,".",IF(A1019=".",1,A1019+1))</f>
        <v>.</v>
      </c>
      <c r="B1020" s="431" t="str">
        <f t="shared" si="15"/>
        <v>Hip Replacement PrimaryCCG of GP PracticeNHS DARLINGTON CCG (00C)EQ VAS</v>
      </c>
      <c r="C1020" t="s">
        <v>248</v>
      </c>
      <c r="D1020" t="s">
        <v>87</v>
      </c>
      <c r="E1020" t="s">
        <v>761</v>
      </c>
      <c r="F1020" t="s">
        <v>762</v>
      </c>
      <c r="G1020" t="s">
        <v>179</v>
      </c>
      <c r="H1020">
        <v>70</v>
      </c>
      <c r="I1020">
        <v>62.186</v>
      </c>
      <c r="J1020">
        <v>78.7</v>
      </c>
      <c r="K1020">
        <v>16.513999999999999</v>
      </c>
      <c r="L1020">
        <v>48</v>
      </c>
      <c r="M1020">
        <v>6</v>
      </c>
      <c r="N1020">
        <v>16</v>
      </c>
      <c r="O1020">
        <v>78.846000000000004</v>
      </c>
      <c r="P1020">
        <v>13.34152697</v>
      </c>
      <c r="Q1020">
        <v>17.132000000000001</v>
      </c>
    </row>
    <row r="1021" spans="1:17" s="30" customFormat="1" x14ac:dyDescent="0.2">
      <c r="A1021" s="30" t="str">
        <f>IF(C1021&amp;G1021&amp;D1021&lt;&gt;'Funnel setup'!$K$3&amp;'Funnel setup'!$K$4&amp;'Funnel setup'!$K$5,".",IF(A1020=".",1,A1020+1))</f>
        <v>.</v>
      </c>
      <c r="B1021" s="431" t="str">
        <f t="shared" si="15"/>
        <v>Hip Replacement PrimaryCCG of GP PracticeNHS DARTFORD, GRAVESHAM AND SWANLEY CCG (09J)EQ VAS</v>
      </c>
      <c r="C1021" t="s">
        <v>248</v>
      </c>
      <c r="D1021" t="s">
        <v>87</v>
      </c>
      <c r="E1021" t="s">
        <v>764</v>
      </c>
      <c r="F1021" t="s">
        <v>765</v>
      </c>
      <c r="G1021" t="s">
        <v>179</v>
      </c>
      <c r="H1021">
        <v>119</v>
      </c>
      <c r="I1021">
        <v>67.58</v>
      </c>
      <c r="J1021">
        <v>78.772999999999996</v>
      </c>
      <c r="K1021">
        <v>11.193</v>
      </c>
      <c r="L1021">
        <v>79</v>
      </c>
      <c r="M1021">
        <v>9</v>
      </c>
      <c r="N1021">
        <v>31</v>
      </c>
      <c r="O1021">
        <v>78.347999999999999</v>
      </c>
      <c r="P1021">
        <v>12.84325757</v>
      </c>
      <c r="Q1021">
        <v>15.395</v>
      </c>
    </row>
    <row r="1022" spans="1:17" s="30" customFormat="1" x14ac:dyDescent="0.2">
      <c r="A1022" s="30" t="str">
        <f>IF(C1022&amp;G1022&amp;D1022&lt;&gt;'Funnel setup'!$K$3&amp;'Funnel setup'!$K$4&amp;'Funnel setup'!$K$5,".",IF(A1021=".",1,A1021+1))</f>
        <v>.</v>
      </c>
      <c r="B1022" s="431" t="str">
        <f t="shared" si="15"/>
        <v>Hip Replacement PrimaryCCG of GP PracticeNHS DONCASTER CCG (02X)EQ VAS</v>
      </c>
      <c r="C1022" t="s">
        <v>248</v>
      </c>
      <c r="D1022" t="s">
        <v>87</v>
      </c>
      <c r="E1022" t="s">
        <v>767</v>
      </c>
      <c r="F1022" t="s">
        <v>768</v>
      </c>
      <c r="G1022" t="s">
        <v>179</v>
      </c>
      <c r="H1022">
        <v>200</v>
      </c>
      <c r="I1022">
        <v>61.65</v>
      </c>
      <c r="J1022">
        <v>74.855000000000004</v>
      </c>
      <c r="K1022">
        <v>13.205</v>
      </c>
      <c r="L1022">
        <v>124</v>
      </c>
      <c r="M1022">
        <v>29</v>
      </c>
      <c r="N1022">
        <v>47</v>
      </c>
      <c r="O1022">
        <v>77.545000000000002</v>
      </c>
      <c r="P1022">
        <v>12.040801460000001</v>
      </c>
      <c r="Q1022">
        <v>15.471</v>
      </c>
    </row>
    <row r="1023" spans="1:17" s="30" customFormat="1" x14ac:dyDescent="0.2">
      <c r="A1023" s="30" t="str">
        <f>IF(C1023&amp;G1023&amp;D1023&lt;&gt;'Funnel setup'!$K$3&amp;'Funnel setup'!$K$4&amp;'Funnel setup'!$K$5,".",IF(A1022=".",1,A1022+1))</f>
        <v>.</v>
      </c>
      <c r="B1023" s="431" t="str">
        <f t="shared" si="15"/>
        <v>Hip Replacement PrimaryCCG of GP PracticeNHS DORSET CCG (11J)EQ VAS</v>
      </c>
      <c r="C1023" t="s">
        <v>248</v>
      </c>
      <c r="D1023" t="s">
        <v>87</v>
      </c>
      <c r="E1023" t="s">
        <v>854</v>
      </c>
      <c r="F1023" t="s">
        <v>855</v>
      </c>
      <c r="G1023" t="s">
        <v>179</v>
      </c>
      <c r="H1023">
        <v>641</v>
      </c>
      <c r="I1023">
        <v>68.203999999999994</v>
      </c>
      <c r="J1023">
        <v>78.441000000000003</v>
      </c>
      <c r="K1023">
        <v>10.237</v>
      </c>
      <c r="L1023">
        <v>412</v>
      </c>
      <c r="M1023">
        <v>71</v>
      </c>
      <c r="N1023">
        <v>158</v>
      </c>
      <c r="O1023">
        <v>77.849999999999994</v>
      </c>
      <c r="P1023">
        <v>12.345527730000001</v>
      </c>
      <c r="Q1023">
        <v>15.523999999999999</v>
      </c>
    </row>
    <row r="1024" spans="1:17" s="30" customFormat="1" x14ac:dyDescent="0.2">
      <c r="A1024" s="30" t="str">
        <f>IF(C1024&amp;G1024&amp;D1024&lt;&gt;'Funnel setup'!$K$3&amp;'Funnel setup'!$K$4&amp;'Funnel setup'!$K$5,".",IF(A1023=".",1,A1023+1))</f>
        <v>.</v>
      </c>
      <c r="B1024" s="431" t="str">
        <f t="shared" si="15"/>
        <v>Hip Replacement PrimaryCCG of GP PracticeNHS DUDLEY CCG (05C)EQ VAS</v>
      </c>
      <c r="C1024" t="s">
        <v>248</v>
      </c>
      <c r="D1024" t="s">
        <v>87</v>
      </c>
      <c r="E1024" t="s">
        <v>857</v>
      </c>
      <c r="F1024" t="s">
        <v>858</v>
      </c>
      <c r="G1024" t="s">
        <v>179</v>
      </c>
      <c r="H1024">
        <v>278</v>
      </c>
      <c r="I1024">
        <v>68.644000000000005</v>
      </c>
      <c r="J1024">
        <v>76.658000000000001</v>
      </c>
      <c r="K1024">
        <v>8.0139999999999993</v>
      </c>
      <c r="L1024">
        <v>159</v>
      </c>
      <c r="M1024">
        <v>36</v>
      </c>
      <c r="N1024">
        <v>83</v>
      </c>
      <c r="O1024">
        <v>76.650000000000006</v>
      </c>
      <c r="P1024">
        <v>11.14580525</v>
      </c>
      <c r="Q1024">
        <v>15.568</v>
      </c>
    </row>
    <row r="1025" spans="1:17" s="30" customFormat="1" x14ac:dyDescent="0.2">
      <c r="A1025" s="30" t="str">
        <f>IF(C1025&amp;G1025&amp;D1025&lt;&gt;'Funnel setup'!$K$3&amp;'Funnel setup'!$K$4&amp;'Funnel setup'!$K$5,".",IF(A1024=".",1,A1024+1))</f>
        <v>.</v>
      </c>
      <c r="B1025" s="431" t="str">
        <f t="shared" si="15"/>
        <v>Hip Replacement PrimaryCCG of GP PracticeNHS DURHAM DALES, EASINGTON AND SEDGEFIELD CCG (00D)EQ VAS</v>
      </c>
      <c r="C1025" t="s">
        <v>248</v>
      </c>
      <c r="D1025" t="s">
        <v>87</v>
      </c>
      <c r="E1025" t="s">
        <v>860</v>
      </c>
      <c r="F1025" t="s">
        <v>861</v>
      </c>
      <c r="G1025" t="s">
        <v>179</v>
      </c>
      <c r="H1025">
        <v>167</v>
      </c>
      <c r="I1025">
        <v>64.293000000000006</v>
      </c>
      <c r="J1025">
        <v>72.460999999999999</v>
      </c>
      <c r="K1025">
        <v>8.1679999999999993</v>
      </c>
      <c r="L1025">
        <v>97</v>
      </c>
      <c r="M1025">
        <v>21</v>
      </c>
      <c r="N1025">
        <v>49</v>
      </c>
      <c r="O1025">
        <v>74.766999999999996</v>
      </c>
      <c r="P1025">
        <v>9.2628991359999997</v>
      </c>
      <c r="Q1025">
        <v>18.079000000000001</v>
      </c>
    </row>
    <row r="1026" spans="1:17" s="30" customFormat="1" x14ac:dyDescent="0.2">
      <c r="A1026" s="30" t="str">
        <f>IF(C1026&amp;G1026&amp;D1026&lt;&gt;'Funnel setup'!$K$3&amp;'Funnel setup'!$K$4&amp;'Funnel setup'!$K$5,".",IF(A1025=".",1,A1025+1))</f>
        <v>.</v>
      </c>
      <c r="B1026" s="431" t="str">
        <f t="shared" si="15"/>
        <v>Hip Replacement PrimaryCCG of GP PracticeNHS EALING CCG (07W)EQ VAS</v>
      </c>
      <c r="C1026" t="s">
        <v>248</v>
      </c>
      <c r="D1026" t="s">
        <v>87</v>
      </c>
      <c r="E1026" t="s">
        <v>863</v>
      </c>
      <c r="F1026" t="s">
        <v>864</v>
      </c>
      <c r="G1026" t="s">
        <v>179</v>
      </c>
      <c r="H1026">
        <v>58</v>
      </c>
      <c r="I1026">
        <v>55.223999999999997</v>
      </c>
      <c r="J1026">
        <v>74.430999999999997</v>
      </c>
      <c r="K1026">
        <v>19.207000000000001</v>
      </c>
      <c r="L1026">
        <v>43</v>
      </c>
      <c r="M1026">
        <v>7</v>
      </c>
      <c r="N1026">
        <v>8</v>
      </c>
      <c r="O1026">
        <v>77.442999999999998</v>
      </c>
      <c r="P1026">
        <v>11.938818080000001</v>
      </c>
      <c r="Q1026">
        <v>17.059999999999999</v>
      </c>
    </row>
    <row r="1027" spans="1:17" s="30" customFormat="1" x14ac:dyDescent="0.2">
      <c r="A1027" s="30" t="str">
        <f>IF(C1027&amp;G1027&amp;D1027&lt;&gt;'Funnel setup'!$K$3&amp;'Funnel setup'!$K$4&amp;'Funnel setup'!$K$5,".",IF(A1026=".",1,A1026+1))</f>
        <v>.</v>
      </c>
      <c r="B1027" s="431" t="str">
        <f t="shared" ref="B1027:B1090" si="16">C1027&amp;D1027&amp;F1027&amp;G1027</f>
        <v>Hip Replacement PrimaryCCG of GP PracticeNHS EAST AND NORTH HERTFORDSHIRE CCG (06K)EQ VAS</v>
      </c>
      <c r="C1027" t="s">
        <v>248</v>
      </c>
      <c r="D1027" t="s">
        <v>87</v>
      </c>
      <c r="E1027" t="s">
        <v>866</v>
      </c>
      <c r="F1027" t="s">
        <v>867</v>
      </c>
      <c r="G1027" t="s">
        <v>179</v>
      </c>
      <c r="H1027">
        <v>338</v>
      </c>
      <c r="I1027">
        <v>66.671999999999997</v>
      </c>
      <c r="J1027">
        <v>78.873000000000005</v>
      </c>
      <c r="K1027">
        <v>12.201000000000001</v>
      </c>
      <c r="L1027">
        <v>231</v>
      </c>
      <c r="M1027">
        <v>35</v>
      </c>
      <c r="N1027">
        <v>72</v>
      </c>
      <c r="O1027">
        <v>77.894999999999996</v>
      </c>
      <c r="P1027">
        <v>12.39017868</v>
      </c>
      <c r="Q1027">
        <v>16.312000000000001</v>
      </c>
    </row>
    <row r="1028" spans="1:17" s="30" customFormat="1" x14ac:dyDescent="0.2">
      <c r="A1028" s="30" t="str">
        <f>IF(C1028&amp;G1028&amp;D1028&lt;&gt;'Funnel setup'!$K$3&amp;'Funnel setup'!$K$4&amp;'Funnel setup'!$K$5,".",IF(A1027=".",1,A1027+1))</f>
        <v>.</v>
      </c>
      <c r="B1028" s="431" t="str">
        <f t="shared" si="16"/>
        <v>Hip Replacement PrimaryCCG of GP PracticeNHS EAST LANCASHIRE CCG (01A)EQ VAS</v>
      </c>
      <c r="C1028" t="s">
        <v>248</v>
      </c>
      <c r="D1028" t="s">
        <v>87</v>
      </c>
      <c r="E1028" t="s">
        <v>869</v>
      </c>
      <c r="F1028" t="s">
        <v>870</v>
      </c>
      <c r="G1028" t="s">
        <v>179</v>
      </c>
      <c r="H1028">
        <v>196</v>
      </c>
      <c r="I1028">
        <v>64.046000000000006</v>
      </c>
      <c r="J1028">
        <v>77.703999999999994</v>
      </c>
      <c r="K1028">
        <v>13.657999999999999</v>
      </c>
      <c r="L1028">
        <v>137</v>
      </c>
      <c r="M1028">
        <v>15</v>
      </c>
      <c r="N1028">
        <v>44</v>
      </c>
      <c r="O1028">
        <v>78.8</v>
      </c>
      <c r="P1028">
        <v>13.29576612</v>
      </c>
      <c r="Q1028">
        <v>14.753</v>
      </c>
    </row>
    <row r="1029" spans="1:17" s="30" customFormat="1" x14ac:dyDescent="0.2">
      <c r="A1029" s="30" t="str">
        <f>IF(C1029&amp;G1029&amp;D1029&lt;&gt;'Funnel setup'!$K$3&amp;'Funnel setup'!$K$4&amp;'Funnel setup'!$K$5,".",IF(A1028=".",1,A1028+1))</f>
        <v>.</v>
      </c>
      <c r="B1029" s="431" t="str">
        <f t="shared" si="16"/>
        <v>Hip Replacement PrimaryCCG of GP PracticeNHS EAST LEICESTERSHIRE AND RUTLAND CCG (03W)EQ VAS</v>
      </c>
      <c r="C1029" t="s">
        <v>248</v>
      </c>
      <c r="D1029" t="s">
        <v>87</v>
      </c>
      <c r="E1029" t="s">
        <v>872</v>
      </c>
      <c r="F1029" t="s">
        <v>873</v>
      </c>
      <c r="G1029" t="s">
        <v>179</v>
      </c>
      <c r="H1029">
        <v>275</v>
      </c>
      <c r="I1029">
        <v>64.141999999999996</v>
      </c>
      <c r="J1029">
        <v>77.555999999999997</v>
      </c>
      <c r="K1029">
        <v>13.414999999999999</v>
      </c>
      <c r="L1029">
        <v>184</v>
      </c>
      <c r="M1029">
        <v>27</v>
      </c>
      <c r="N1029">
        <v>64</v>
      </c>
      <c r="O1029">
        <v>77.522000000000006</v>
      </c>
      <c r="P1029">
        <v>12.01816212</v>
      </c>
      <c r="Q1029">
        <v>15.574999999999999</v>
      </c>
    </row>
    <row r="1030" spans="1:17" s="30" customFormat="1" x14ac:dyDescent="0.2">
      <c r="A1030" s="30" t="str">
        <f>IF(C1030&amp;G1030&amp;D1030&lt;&gt;'Funnel setup'!$K$3&amp;'Funnel setup'!$K$4&amp;'Funnel setup'!$K$5,".",IF(A1029=".",1,A1029+1))</f>
        <v>.</v>
      </c>
      <c r="B1030" s="431" t="str">
        <f t="shared" si="16"/>
        <v>Hip Replacement PrimaryCCG of GP PracticeNHS EAST RIDING OF YORKSHIRE CCG (02Y)EQ VAS</v>
      </c>
      <c r="C1030" t="s">
        <v>248</v>
      </c>
      <c r="D1030" t="s">
        <v>87</v>
      </c>
      <c r="E1030" t="s">
        <v>875</v>
      </c>
      <c r="F1030" t="s">
        <v>876</v>
      </c>
      <c r="G1030" t="s">
        <v>179</v>
      </c>
      <c r="H1030">
        <v>347</v>
      </c>
      <c r="I1030">
        <v>64.224999999999994</v>
      </c>
      <c r="J1030">
        <v>78.144000000000005</v>
      </c>
      <c r="K1030">
        <v>13.919</v>
      </c>
      <c r="L1030">
        <v>245</v>
      </c>
      <c r="M1030">
        <v>35</v>
      </c>
      <c r="N1030">
        <v>67</v>
      </c>
      <c r="O1030">
        <v>77.546000000000006</v>
      </c>
      <c r="P1030">
        <v>12.04199773</v>
      </c>
      <c r="Q1030">
        <v>15.082000000000001</v>
      </c>
    </row>
    <row r="1031" spans="1:17" s="30" customFormat="1" x14ac:dyDescent="0.2">
      <c r="A1031" s="30" t="str">
        <f>IF(C1031&amp;G1031&amp;D1031&lt;&gt;'Funnel setup'!$K$3&amp;'Funnel setup'!$K$4&amp;'Funnel setup'!$K$5,".",IF(A1030=".",1,A1030+1))</f>
        <v>.</v>
      </c>
      <c r="B1031" s="431" t="str">
        <f t="shared" si="16"/>
        <v>Hip Replacement PrimaryCCG of GP PracticeNHS EAST STAFFORDSHIRE CCG (05D)EQ VAS</v>
      </c>
      <c r="C1031" t="s">
        <v>248</v>
      </c>
      <c r="D1031" t="s">
        <v>87</v>
      </c>
      <c r="E1031" t="s">
        <v>878</v>
      </c>
      <c r="F1031" t="s">
        <v>879</v>
      </c>
      <c r="G1031" t="s">
        <v>179</v>
      </c>
      <c r="H1031">
        <v>100</v>
      </c>
      <c r="I1031">
        <v>65.33</v>
      </c>
      <c r="J1031">
        <v>79.47</v>
      </c>
      <c r="K1031">
        <v>14.14</v>
      </c>
      <c r="L1031">
        <v>73</v>
      </c>
      <c r="M1031">
        <v>10</v>
      </c>
      <c r="N1031">
        <v>17</v>
      </c>
      <c r="O1031">
        <v>79.632999999999996</v>
      </c>
      <c r="P1031">
        <v>14.128465</v>
      </c>
      <c r="Q1031">
        <v>13.295</v>
      </c>
    </row>
    <row r="1032" spans="1:17" s="30" customFormat="1" x14ac:dyDescent="0.2">
      <c r="A1032" s="30" t="str">
        <f>IF(C1032&amp;G1032&amp;D1032&lt;&gt;'Funnel setup'!$K$3&amp;'Funnel setup'!$K$4&amp;'Funnel setup'!$K$5,".",IF(A1031=".",1,A1031+1))</f>
        <v>.</v>
      </c>
      <c r="B1032" s="431" t="str">
        <f t="shared" si="16"/>
        <v>Hip Replacement PrimaryCCG of GP PracticeNHS EAST SURREY CCG (09L)EQ VAS</v>
      </c>
      <c r="C1032" t="s">
        <v>248</v>
      </c>
      <c r="D1032" t="s">
        <v>87</v>
      </c>
      <c r="E1032" t="s">
        <v>881</v>
      </c>
      <c r="F1032" t="s">
        <v>882</v>
      </c>
      <c r="G1032" t="s">
        <v>179</v>
      </c>
      <c r="H1032">
        <v>130</v>
      </c>
      <c r="I1032">
        <v>67.677000000000007</v>
      </c>
      <c r="J1032">
        <v>80.430999999999997</v>
      </c>
      <c r="K1032">
        <v>12.754</v>
      </c>
      <c r="L1032">
        <v>91</v>
      </c>
      <c r="M1032">
        <v>19</v>
      </c>
      <c r="N1032">
        <v>20</v>
      </c>
      <c r="O1032">
        <v>78.254999999999995</v>
      </c>
      <c r="P1032">
        <v>12.750753850000001</v>
      </c>
      <c r="Q1032">
        <v>13.557</v>
      </c>
    </row>
    <row r="1033" spans="1:17" s="30" customFormat="1" x14ac:dyDescent="0.2">
      <c r="A1033" s="30" t="str">
        <f>IF(C1033&amp;G1033&amp;D1033&lt;&gt;'Funnel setup'!$K$3&amp;'Funnel setup'!$K$4&amp;'Funnel setup'!$K$5,".",IF(A1032=".",1,A1032+1))</f>
        <v>.</v>
      </c>
      <c r="B1033" s="431" t="str">
        <f t="shared" si="16"/>
        <v>Hip Replacement PrimaryCCG of GP PracticeNHS EASTBOURNE, HAILSHAM AND SEAFORD CCG (09F)EQ VAS</v>
      </c>
      <c r="C1033" t="s">
        <v>248</v>
      </c>
      <c r="D1033" t="s">
        <v>87</v>
      </c>
      <c r="E1033" t="s">
        <v>884</v>
      </c>
      <c r="F1033" t="s">
        <v>885</v>
      </c>
      <c r="G1033" t="s">
        <v>179</v>
      </c>
      <c r="H1033">
        <v>191</v>
      </c>
      <c r="I1033">
        <v>66.23</v>
      </c>
      <c r="J1033">
        <v>75.712000000000003</v>
      </c>
      <c r="K1033">
        <v>9.4819999999999993</v>
      </c>
      <c r="L1033">
        <v>114</v>
      </c>
      <c r="M1033">
        <v>24</v>
      </c>
      <c r="N1033">
        <v>53</v>
      </c>
      <c r="O1033">
        <v>75.641999999999996</v>
      </c>
      <c r="P1033">
        <v>10.137862930000001</v>
      </c>
      <c r="Q1033">
        <v>15.012</v>
      </c>
    </row>
    <row r="1034" spans="1:17" s="30" customFormat="1" x14ac:dyDescent="0.2">
      <c r="A1034" s="30" t="str">
        <f>IF(C1034&amp;G1034&amp;D1034&lt;&gt;'Funnel setup'!$K$3&amp;'Funnel setup'!$K$4&amp;'Funnel setup'!$K$5,".",IF(A1033=".",1,A1033+1))</f>
        <v>.</v>
      </c>
      <c r="B1034" s="431" t="str">
        <f t="shared" si="16"/>
        <v>Hip Replacement PrimaryCCG of GP PracticeNHS EASTERN CHESHIRE CCG (01C)EQ VAS</v>
      </c>
      <c r="C1034" t="s">
        <v>248</v>
      </c>
      <c r="D1034" t="s">
        <v>87</v>
      </c>
      <c r="E1034" t="s">
        <v>887</v>
      </c>
      <c r="F1034" t="s">
        <v>888</v>
      </c>
      <c r="G1034" t="s">
        <v>179</v>
      </c>
      <c r="H1034">
        <v>130</v>
      </c>
      <c r="I1034">
        <v>68.238</v>
      </c>
      <c r="J1034">
        <v>77.792000000000002</v>
      </c>
      <c r="K1034">
        <v>9.5540000000000003</v>
      </c>
      <c r="L1034">
        <v>81</v>
      </c>
      <c r="M1034">
        <v>15</v>
      </c>
      <c r="N1034">
        <v>34</v>
      </c>
      <c r="O1034">
        <v>76.929000000000002</v>
      </c>
      <c r="P1034">
        <v>11.425130879999999</v>
      </c>
      <c r="Q1034">
        <v>16.271999999999998</v>
      </c>
    </row>
    <row r="1035" spans="1:17" s="30" customFormat="1" x14ac:dyDescent="0.2">
      <c r="A1035" s="30" t="str">
        <f>IF(C1035&amp;G1035&amp;D1035&lt;&gt;'Funnel setup'!$K$3&amp;'Funnel setup'!$K$4&amp;'Funnel setup'!$K$5,".",IF(A1034=".",1,A1034+1))</f>
        <v>.</v>
      </c>
      <c r="B1035" s="431" t="str">
        <f t="shared" si="16"/>
        <v>Hip Replacement PrimaryCCG of GP PracticeNHS ENFIELD CCG (07X)EQ VAS</v>
      </c>
      <c r="C1035" t="s">
        <v>248</v>
      </c>
      <c r="D1035" t="s">
        <v>87</v>
      </c>
      <c r="E1035" t="s">
        <v>890</v>
      </c>
      <c r="F1035" t="s">
        <v>891</v>
      </c>
      <c r="G1035" t="s">
        <v>179</v>
      </c>
      <c r="H1035">
        <v>71</v>
      </c>
      <c r="I1035">
        <v>61.38</v>
      </c>
      <c r="J1035">
        <v>73.084999999999994</v>
      </c>
      <c r="K1035">
        <v>11.704000000000001</v>
      </c>
      <c r="L1035">
        <v>46</v>
      </c>
      <c r="M1035">
        <v>3</v>
      </c>
      <c r="N1035">
        <v>22</v>
      </c>
      <c r="O1035">
        <v>75.38</v>
      </c>
      <c r="P1035">
        <v>9.8752621949999995</v>
      </c>
      <c r="Q1035">
        <v>15.353</v>
      </c>
    </row>
    <row r="1036" spans="1:17" s="30" customFormat="1" x14ac:dyDescent="0.2">
      <c r="A1036" s="30" t="str">
        <f>IF(C1036&amp;G1036&amp;D1036&lt;&gt;'Funnel setup'!$K$3&amp;'Funnel setup'!$K$4&amp;'Funnel setup'!$K$5,".",IF(A1035=".",1,A1035+1))</f>
        <v>.</v>
      </c>
      <c r="B1036" s="431" t="str">
        <f t="shared" si="16"/>
        <v>Hip Replacement PrimaryCCG of GP PracticeNHS EREWASH CCG (03X)EQ VAS</v>
      </c>
      <c r="C1036" t="s">
        <v>248</v>
      </c>
      <c r="D1036" t="s">
        <v>87</v>
      </c>
      <c r="E1036" t="s">
        <v>893</v>
      </c>
      <c r="F1036" t="s">
        <v>894</v>
      </c>
      <c r="G1036" t="s">
        <v>179</v>
      </c>
      <c r="H1036">
        <v>86</v>
      </c>
      <c r="I1036">
        <v>66.778999999999996</v>
      </c>
      <c r="J1036">
        <v>78.977000000000004</v>
      </c>
      <c r="K1036">
        <v>12.198</v>
      </c>
      <c r="L1036">
        <v>58</v>
      </c>
      <c r="M1036">
        <v>10</v>
      </c>
      <c r="N1036">
        <v>18</v>
      </c>
      <c r="O1036">
        <v>78.608000000000004</v>
      </c>
      <c r="P1036">
        <v>13.103774400000001</v>
      </c>
      <c r="Q1036">
        <v>14.183999999999999</v>
      </c>
    </row>
    <row r="1037" spans="1:17" s="30" customFormat="1" x14ac:dyDescent="0.2">
      <c r="A1037" s="30" t="str">
        <f>IF(C1037&amp;G1037&amp;D1037&lt;&gt;'Funnel setup'!$K$3&amp;'Funnel setup'!$K$4&amp;'Funnel setup'!$K$5,".",IF(A1036=".",1,A1036+1))</f>
        <v>.</v>
      </c>
      <c r="B1037" s="431" t="str">
        <f t="shared" si="16"/>
        <v>Hip Replacement PrimaryCCG of GP PracticeNHS FAREHAM AND GOSPORT CCG (10K)EQ VAS</v>
      </c>
      <c r="C1037" t="s">
        <v>248</v>
      </c>
      <c r="D1037" t="s">
        <v>87</v>
      </c>
      <c r="E1037" t="s">
        <v>896</v>
      </c>
      <c r="F1037" t="s">
        <v>897</v>
      </c>
      <c r="G1037" t="s">
        <v>179</v>
      </c>
      <c r="H1037">
        <v>115</v>
      </c>
      <c r="I1037">
        <v>63.122</v>
      </c>
      <c r="J1037">
        <v>76.156999999999996</v>
      </c>
      <c r="K1037">
        <v>13.035</v>
      </c>
      <c r="L1037">
        <v>69</v>
      </c>
      <c r="M1037">
        <v>19</v>
      </c>
      <c r="N1037">
        <v>27</v>
      </c>
      <c r="O1037">
        <v>76.097999999999999</v>
      </c>
      <c r="P1037">
        <v>10.593731829999999</v>
      </c>
      <c r="Q1037">
        <v>16.045999999999999</v>
      </c>
    </row>
    <row r="1038" spans="1:17" s="30" customFormat="1" x14ac:dyDescent="0.2">
      <c r="A1038" s="30" t="str">
        <f>IF(C1038&amp;G1038&amp;D1038&lt;&gt;'Funnel setup'!$K$3&amp;'Funnel setup'!$K$4&amp;'Funnel setup'!$K$5,".",IF(A1037=".",1,A1037+1))</f>
        <v>.</v>
      </c>
      <c r="B1038" s="431" t="str">
        <f t="shared" si="16"/>
        <v>Hip Replacement PrimaryCCG of GP PracticeNHS FYLDE &amp; WYRE CCG (02M)EQ VAS</v>
      </c>
      <c r="C1038" t="s">
        <v>248</v>
      </c>
      <c r="D1038" t="s">
        <v>87</v>
      </c>
      <c r="E1038" t="s">
        <v>899</v>
      </c>
      <c r="F1038" t="s">
        <v>900</v>
      </c>
      <c r="G1038" t="s">
        <v>179</v>
      </c>
      <c r="H1038">
        <v>73</v>
      </c>
      <c r="I1038">
        <v>64.753</v>
      </c>
      <c r="J1038">
        <v>77.191999999999993</v>
      </c>
      <c r="K1038">
        <v>12.438000000000001</v>
      </c>
      <c r="L1038">
        <v>49</v>
      </c>
      <c r="M1038">
        <v>5</v>
      </c>
      <c r="N1038">
        <v>19</v>
      </c>
      <c r="O1038">
        <v>76.716999999999999</v>
      </c>
      <c r="P1038">
        <v>11.21220106</v>
      </c>
      <c r="Q1038">
        <v>15.122</v>
      </c>
    </row>
    <row r="1039" spans="1:17" s="30" customFormat="1" x14ac:dyDescent="0.2">
      <c r="A1039" s="30" t="str">
        <f>IF(C1039&amp;G1039&amp;D1039&lt;&gt;'Funnel setup'!$K$3&amp;'Funnel setup'!$K$4&amp;'Funnel setup'!$K$5,".",IF(A1038=".",1,A1038+1))</f>
        <v>.</v>
      </c>
      <c r="B1039" s="431" t="str">
        <f t="shared" si="16"/>
        <v>Hip Replacement PrimaryCCG of GP PracticeNHS GLOUCESTERSHIRE CCG (11M)EQ VAS</v>
      </c>
      <c r="C1039" t="s">
        <v>248</v>
      </c>
      <c r="D1039" t="s">
        <v>87</v>
      </c>
      <c r="E1039" t="s">
        <v>902</v>
      </c>
      <c r="F1039" t="s">
        <v>903</v>
      </c>
      <c r="G1039" t="s">
        <v>179</v>
      </c>
      <c r="H1039">
        <v>450</v>
      </c>
      <c r="I1039">
        <v>70.028999999999996</v>
      </c>
      <c r="J1039">
        <v>78.992999999999995</v>
      </c>
      <c r="K1039">
        <v>8.9640000000000004</v>
      </c>
      <c r="L1039">
        <v>281</v>
      </c>
      <c r="M1039">
        <v>54</v>
      </c>
      <c r="N1039">
        <v>115</v>
      </c>
      <c r="O1039">
        <v>76.974999999999994</v>
      </c>
      <c r="P1039">
        <v>11.470463730000001</v>
      </c>
      <c r="Q1039">
        <v>15.714</v>
      </c>
    </row>
    <row r="1040" spans="1:17" s="30" customFormat="1" x14ac:dyDescent="0.2">
      <c r="A1040" s="30" t="str">
        <f>IF(C1040&amp;G1040&amp;D1040&lt;&gt;'Funnel setup'!$K$3&amp;'Funnel setup'!$K$4&amp;'Funnel setup'!$K$5,".",IF(A1039=".",1,A1039+1))</f>
        <v>.</v>
      </c>
      <c r="B1040" s="431" t="str">
        <f t="shared" si="16"/>
        <v>Hip Replacement PrimaryCCG of GP PracticeNHS GREAT YARMOUTH AND WAVENEY CCG (06M)EQ VAS</v>
      </c>
      <c r="C1040" t="s">
        <v>248</v>
      </c>
      <c r="D1040" t="s">
        <v>87</v>
      </c>
      <c r="E1040" t="s">
        <v>905</v>
      </c>
      <c r="F1040" t="s">
        <v>906</v>
      </c>
      <c r="G1040" t="s">
        <v>179</v>
      </c>
      <c r="H1040">
        <v>185</v>
      </c>
      <c r="I1040">
        <v>66.27</v>
      </c>
      <c r="J1040">
        <v>78.632000000000005</v>
      </c>
      <c r="K1040">
        <v>12.362</v>
      </c>
      <c r="L1040">
        <v>116</v>
      </c>
      <c r="M1040">
        <v>27</v>
      </c>
      <c r="N1040">
        <v>42</v>
      </c>
      <c r="O1040">
        <v>78.545000000000002</v>
      </c>
      <c r="P1040">
        <v>13.040844359999999</v>
      </c>
      <c r="Q1040">
        <v>14.305999999999999</v>
      </c>
    </row>
    <row r="1041" spans="1:17" s="30" customFormat="1" x14ac:dyDescent="0.2">
      <c r="A1041" s="30" t="str">
        <f>IF(C1041&amp;G1041&amp;D1041&lt;&gt;'Funnel setup'!$K$3&amp;'Funnel setup'!$K$4&amp;'Funnel setup'!$K$5,".",IF(A1040=".",1,A1040+1))</f>
        <v>.</v>
      </c>
      <c r="B1041" s="431" t="str">
        <f t="shared" si="16"/>
        <v>Hip Replacement PrimaryCCG of GP PracticeNHS GREATER HUDDERSFIELD CCG (03A)EQ VAS</v>
      </c>
      <c r="C1041" t="s">
        <v>248</v>
      </c>
      <c r="D1041" t="s">
        <v>87</v>
      </c>
      <c r="E1041" t="s">
        <v>908</v>
      </c>
      <c r="F1041" t="s">
        <v>909</v>
      </c>
      <c r="G1041" t="s">
        <v>179</v>
      </c>
      <c r="H1041">
        <v>161</v>
      </c>
      <c r="I1041">
        <v>66.757999999999996</v>
      </c>
      <c r="J1041">
        <v>77.956999999999994</v>
      </c>
      <c r="K1041">
        <v>11.199</v>
      </c>
      <c r="L1041">
        <v>106</v>
      </c>
      <c r="M1041">
        <v>22</v>
      </c>
      <c r="N1041">
        <v>33</v>
      </c>
      <c r="O1041">
        <v>77.554000000000002</v>
      </c>
      <c r="P1041">
        <v>12.049950089999999</v>
      </c>
      <c r="Q1041">
        <v>13.71</v>
      </c>
    </row>
    <row r="1042" spans="1:17" s="30" customFormat="1" x14ac:dyDescent="0.2">
      <c r="A1042" s="30" t="str">
        <f>IF(C1042&amp;G1042&amp;D1042&lt;&gt;'Funnel setup'!$K$3&amp;'Funnel setup'!$K$4&amp;'Funnel setup'!$K$5,".",IF(A1041=".",1,A1041+1))</f>
        <v>.</v>
      </c>
      <c r="B1042" s="431" t="str">
        <f t="shared" si="16"/>
        <v>Hip Replacement PrimaryCCG of GP PracticeNHS GREATER PRESTON CCG (01E)EQ VAS</v>
      </c>
      <c r="C1042" t="s">
        <v>248</v>
      </c>
      <c r="D1042" t="s">
        <v>87</v>
      </c>
      <c r="E1042" t="s">
        <v>486</v>
      </c>
      <c r="F1042" t="s">
        <v>487</v>
      </c>
      <c r="G1042" t="s">
        <v>179</v>
      </c>
      <c r="H1042">
        <v>192</v>
      </c>
      <c r="I1042">
        <v>62.953000000000003</v>
      </c>
      <c r="J1042">
        <v>74.233999999999995</v>
      </c>
      <c r="K1042">
        <v>11.281000000000001</v>
      </c>
      <c r="L1042">
        <v>127</v>
      </c>
      <c r="M1042">
        <v>19</v>
      </c>
      <c r="N1042">
        <v>46</v>
      </c>
      <c r="O1042">
        <v>75.513999999999996</v>
      </c>
      <c r="P1042">
        <v>10.01000449</v>
      </c>
      <c r="Q1042">
        <v>17.123999999999999</v>
      </c>
    </row>
    <row r="1043" spans="1:17" s="30" customFormat="1" x14ac:dyDescent="0.2">
      <c r="A1043" s="30" t="str">
        <f>IF(C1043&amp;G1043&amp;D1043&lt;&gt;'Funnel setup'!$K$3&amp;'Funnel setup'!$K$4&amp;'Funnel setup'!$K$5,".",IF(A1042=".",1,A1042+1))</f>
        <v>.</v>
      </c>
      <c r="B1043" s="431" t="str">
        <f t="shared" si="16"/>
        <v>Hip Replacement PrimaryCCG of GP PracticeNHS GREENWICH CCG (08A)EQ VAS</v>
      </c>
      <c r="C1043" t="s">
        <v>248</v>
      </c>
      <c r="D1043" t="s">
        <v>87</v>
      </c>
      <c r="E1043" t="s">
        <v>489</v>
      </c>
      <c r="F1043" t="s">
        <v>490</v>
      </c>
      <c r="G1043" t="s">
        <v>179</v>
      </c>
      <c r="H1043">
        <v>72</v>
      </c>
      <c r="I1043">
        <v>62.014000000000003</v>
      </c>
      <c r="J1043">
        <v>73.694000000000003</v>
      </c>
      <c r="K1043">
        <v>11.680999999999999</v>
      </c>
      <c r="L1043">
        <v>53</v>
      </c>
      <c r="M1043">
        <v>3</v>
      </c>
      <c r="N1043">
        <v>16</v>
      </c>
      <c r="O1043">
        <v>76.405000000000001</v>
      </c>
      <c r="P1043">
        <v>10.90099236</v>
      </c>
      <c r="Q1043">
        <v>18.196999999999999</v>
      </c>
    </row>
    <row r="1044" spans="1:17" s="30" customFormat="1" x14ac:dyDescent="0.2">
      <c r="A1044" s="30" t="str">
        <f>IF(C1044&amp;G1044&amp;D1044&lt;&gt;'Funnel setup'!$K$3&amp;'Funnel setup'!$K$4&amp;'Funnel setup'!$K$5,".",IF(A1043=".",1,A1043+1))</f>
        <v>.</v>
      </c>
      <c r="B1044" s="431" t="str">
        <f t="shared" si="16"/>
        <v>Hip Replacement PrimaryCCG of GP PracticeNHS GUILDFORD AND WAVERLEY CCG (09N)EQ VAS</v>
      </c>
      <c r="C1044" t="s">
        <v>248</v>
      </c>
      <c r="D1044" t="s">
        <v>87</v>
      </c>
      <c r="E1044" t="s">
        <v>911</v>
      </c>
      <c r="F1044" t="s">
        <v>912</v>
      </c>
      <c r="G1044" t="s">
        <v>179</v>
      </c>
      <c r="H1044">
        <v>126</v>
      </c>
      <c r="I1044">
        <v>65.912999999999997</v>
      </c>
      <c r="J1044">
        <v>79.397000000000006</v>
      </c>
      <c r="K1044">
        <v>13.484</v>
      </c>
      <c r="L1044">
        <v>87</v>
      </c>
      <c r="M1044">
        <v>14</v>
      </c>
      <c r="N1044">
        <v>25</v>
      </c>
      <c r="O1044">
        <v>77.700999999999993</v>
      </c>
      <c r="P1044">
        <v>12.196696490000001</v>
      </c>
      <c r="Q1044">
        <v>15.592000000000001</v>
      </c>
    </row>
    <row r="1045" spans="1:17" s="30" customFormat="1" x14ac:dyDescent="0.2">
      <c r="A1045" s="30" t="str">
        <f>IF(C1045&amp;G1045&amp;D1045&lt;&gt;'Funnel setup'!$K$3&amp;'Funnel setup'!$K$4&amp;'Funnel setup'!$K$5,".",IF(A1044=".",1,A1044+1))</f>
        <v>.</v>
      </c>
      <c r="B1045" s="431" t="str">
        <f t="shared" si="16"/>
        <v>Hip Replacement PrimaryCCG of GP PracticeNHS HALTON CCG (01F)EQ VAS</v>
      </c>
      <c r="C1045" t="s">
        <v>248</v>
      </c>
      <c r="D1045" t="s">
        <v>87</v>
      </c>
      <c r="E1045" t="s">
        <v>914</v>
      </c>
      <c r="F1045" t="s">
        <v>915</v>
      </c>
      <c r="G1045" t="s">
        <v>179</v>
      </c>
      <c r="H1045">
        <v>62</v>
      </c>
      <c r="I1045">
        <v>60.323</v>
      </c>
      <c r="J1045">
        <v>74</v>
      </c>
      <c r="K1045">
        <v>13.677</v>
      </c>
      <c r="L1045">
        <v>40</v>
      </c>
      <c r="M1045">
        <v>7</v>
      </c>
      <c r="N1045">
        <v>15</v>
      </c>
      <c r="O1045">
        <v>76.516999999999996</v>
      </c>
      <c r="P1045">
        <v>11.012218349999999</v>
      </c>
      <c r="Q1045">
        <v>16.611999999999998</v>
      </c>
    </row>
    <row r="1046" spans="1:17" s="30" customFormat="1" x14ac:dyDescent="0.2">
      <c r="A1046" s="30" t="str">
        <f>IF(C1046&amp;G1046&amp;D1046&lt;&gt;'Funnel setup'!$K$3&amp;'Funnel setup'!$K$4&amp;'Funnel setup'!$K$5,".",IF(A1045=".",1,A1045+1))</f>
        <v>.</v>
      </c>
      <c r="B1046" s="431" t="str">
        <f t="shared" si="16"/>
        <v>Hip Replacement PrimaryCCG of GP PracticeNHS HAMBLETON, RICHMONDSHIRE AND WHITBY CCG (03D)EQ VAS</v>
      </c>
      <c r="C1046" t="s">
        <v>248</v>
      </c>
      <c r="D1046" t="s">
        <v>87</v>
      </c>
      <c r="E1046" t="s">
        <v>917</v>
      </c>
      <c r="F1046" t="s">
        <v>918</v>
      </c>
      <c r="G1046" t="s">
        <v>179</v>
      </c>
      <c r="H1046">
        <v>184</v>
      </c>
      <c r="I1046">
        <v>66.972999999999999</v>
      </c>
      <c r="J1046">
        <v>78.016000000000005</v>
      </c>
      <c r="K1046">
        <v>11.042999999999999</v>
      </c>
      <c r="L1046">
        <v>115</v>
      </c>
      <c r="M1046">
        <v>21</v>
      </c>
      <c r="N1046">
        <v>48</v>
      </c>
      <c r="O1046">
        <v>76.262</v>
      </c>
      <c r="P1046">
        <v>10.75773951</v>
      </c>
      <c r="Q1046">
        <v>16.213999999999999</v>
      </c>
    </row>
    <row r="1047" spans="1:17" s="30" customFormat="1" x14ac:dyDescent="0.2">
      <c r="A1047" s="30" t="str">
        <f>IF(C1047&amp;G1047&amp;D1047&lt;&gt;'Funnel setup'!$K$3&amp;'Funnel setup'!$K$4&amp;'Funnel setup'!$K$5,".",IF(A1046=".",1,A1046+1))</f>
        <v>.</v>
      </c>
      <c r="B1047" s="431" t="str">
        <f t="shared" si="16"/>
        <v>Hip Replacement PrimaryCCG of GP PracticeNHS HAMMERSMITH AND FULHAM CCG (08C)EQ VAS</v>
      </c>
      <c r="C1047" t="s">
        <v>248</v>
      </c>
      <c r="D1047" t="s">
        <v>87</v>
      </c>
      <c r="E1047" t="s">
        <v>920</v>
      </c>
      <c r="F1047" t="s">
        <v>921</v>
      </c>
      <c r="G1047" t="s">
        <v>179</v>
      </c>
      <c r="H1047">
        <v>20</v>
      </c>
      <c r="I1047">
        <v>55.35</v>
      </c>
      <c r="J1047">
        <v>73.5</v>
      </c>
      <c r="K1047">
        <v>18.149999999999999</v>
      </c>
      <c r="L1047">
        <v>17</v>
      </c>
      <c r="M1047">
        <v>2</v>
      </c>
      <c r="N1047">
        <v>1</v>
      </c>
      <c r="O1047" t="s">
        <v>53</v>
      </c>
      <c r="P1047" t="s">
        <v>53</v>
      </c>
      <c r="Q1047" t="s">
        <v>53</v>
      </c>
    </row>
    <row r="1048" spans="1:17" s="30" customFormat="1" x14ac:dyDescent="0.2">
      <c r="A1048" s="30" t="str">
        <f>IF(C1048&amp;G1048&amp;D1048&lt;&gt;'Funnel setup'!$K$3&amp;'Funnel setup'!$K$4&amp;'Funnel setup'!$K$5,".",IF(A1047=".",1,A1047+1))</f>
        <v>.</v>
      </c>
      <c r="B1048" s="431" t="str">
        <f t="shared" si="16"/>
        <v>Hip Replacement PrimaryCCG of GP PracticeNHS HARDWICK CCG (03Y)EQ VAS</v>
      </c>
      <c r="C1048" t="s">
        <v>248</v>
      </c>
      <c r="D1048" t="s">
        <v>87</v>
      </c>
      <c r="E1048" t="s">
        <v>923</v>
      </c>
      <c r="F1048" t="s">
        <v>924</v>
      </c>
      <c r="G1048" t="s">
        <v>179</v>
      </c>
      <c r="H1048">
        <v>80</v>
      </c>
      <c r="I1048">
        <v>66.025000000000006</v>
      </c>
      <c r="J1048">
        <v>74.349999999999994</v>
      </c>
      <c r="K1048">
        <v>8.3249999999999993</v>
      </c>
      <c r="L1048">
        <v>44</v>
      </c>
      <c r="M1048">
        <v>7</v>
      </c>
      <c r="N1048">
        <v>29</v>
      </c>
      <c r="O1048">
        <v>76.391999999999996</v>
      </c>
      <c r="P1048">
        <v>10.887216459999999</v>
      </c>
      <c r="Q1048">
        <v>16.119</v>
      </c>
    </row>
    <row r="1049" spans="1:17" s="30" customFormat="1" x14ac:dyDescent="0.2">
      <c r="A1049" s="30" t="str">
        <f>IF(C1049&amp;G1049&amp;D1049&lt;&gt;'Funnel setup'!$K$3&amp;'Funnel setup'!$K$4&amp;'Funnel setup'!$K$5,".",IF(A1048=".",1,A1048+1))</f>
        <v>.</v>
      </c>
      <c r="B1049" s="431" t="str">
        <f t="shared" si="16"/>
        <v>Hip Replacement PrimaryCCG of GP PracticeNHS HARINGEY CCG (08D)EQ VAS</v>
      </c>
      <c r="C1049" t="s">
        <v>248</v>
      </c>
      <c r="D1049" t="s">
        <v>87</v>
      </c>
      <c r="E1049" t="s">
        <v>926</v>
      </c>
      <c r="F1049" t="s">
        <v>927</v>
      </c>
      <c r="G1049" t="s">
        <v>179</v>
      </c>
      <c r="H1049">
        <v>24</v>
      </c>
      <c r="I1049">
        <v>60.292000000000002</v>
      </c>
      <c r="J1049">
        <v>77.125</v>
      </c>
      <c r="K1049">
        <v>16.832999999999998</v>
      </c>
      <c r="L1049">
        <v>17</v>
      </c>
      <c r="M1049">
        <v>4</v>
      </c>
      <c r="N1049">
        <v>3</v>
      </c>
      <c r="O1049" t="s">
        <v>53</v>
      </c>
      <c r="P1049" t="s">
        <v>53</v>
      </c>
      <c r="Q1049" t="s">
        <v>53</v>
      </c>
    </row>
    <row r="1050" spans="1:17" s="30" customFormat="1" x14ac:dyDescent="0.2">
      <c r="A1050" s="30" t="str">
        <f>IF(C1050&amp;G1050&amp;D1050&lt;&gt;'Funnel setup'!$K$3&amp;'Funnel setup'!$K$4&amp;'Funnel setup'!$K$5,".",IF(A1049=".",1,A1049+1))</f>
        <v>.</v>
      </c>
      <c r="B1050" s="431" t="str">
        <f t="shared" si="16"/>
        <v>Hip Replacement PrimaryCCG of GP PracticeNHS HARROGATE AND RURAL DISTRICT CCG (03E)EQ VAS</v>
      </c>
      <c r="C1050" t="s">
        <v>248</v>
      </c>
      <c r="D1050" t="s">
        <v>87</v>
      </c>
      <c r="E1050" t="s">
        <v>929</v>
      </c>
      <c r="F1050" t="s">
        <v>930</v>
      </c>
      <c r="G1050" t="s">
        <v>179</v>
      </c>
      <c r="H1050">
        <v>167</v>
      </c>
      <c r="I1050">
        <v>65.897999999999996</v>
      </c>
      <c r="J1050">
        <v>77.436999999999998</v>
      </c>
      <c r="K1050">
        <v>11.539</v>
      </c>
      <c r="L1050">
        <v>113</v>
      </c>
      <c r="M1050">
        <v>14</v>
      </c>
      <c r="N1050">
        <v>40</v>
      </c>
      <c r="O1050">
        <v>76.683999999999997</v>
      </c>
      <c r="P1050">
        <v>11.179868300000001</v>
      </c>
      <c r="Q1050">
        <v>14.987</v>
      </c>
    </row>
    <row r="1051" spans="1:17" s="30" customFormat="1" x14ac:dyDescent="0.2">
      <c r="A1051" s="30" t="str">
        <f>IF(C1051&amp;G1051&amp;D1051&lt;&gt;'Funnel setup'!$K$3&amp;'Funnel setup'!$K$4&amp;'Funnel setup'!$K$5,".",IF(A1050=".",1,A1050+1))</f>
        <v>.</v>
      </c>
      <c r="B1051" s="431" t="str">
        <f t="shared" si="16"/>
        <v>Hip Replacement PrimaryCCG of GP PracticeNHS HARROW CCG (08E)EQ VAS</v>
      </c>
      <c r="C1051" t="s">
        <v>248</v>
      </c>
      <c r="D1051" t="s">
        <v>87</v>
      </c>
      <c r="E1051" t="s">
        <v>492</v>
      </c>
      <c r="F1051" t="s">
        <v>493</v>
      </c>
      <c r="G1051" t="s">
        <v>179</v>
      </c>
      <c r="H1051">
        <v>69</v>
      </c>
      <c r="I1051">
        <v>62.100999999999999</v>
      </c>
      <c r="J1051">
        <v>77.116</v>
      </c>
      <c r="K1051">
        <v>15.013999999999999</v>
      </c>
      <c r="L1051">
        <v>48</v>
      </c>
      <c r="M1051">
        <v>8</v>
      </c>
      <c r="N1051">
        <v>13</v>
      </c>
      <c r="O1051">
        <v>78.188000000000002</v>
      </c>
      <c r="P1051">
        <v>12.68379228</v>
      </c>
      <c r="Q1051">
        <v>15.428000000000001</v>
      </c>
    </row>
    <row r="1052" spans="1:17" s="30" customFormat="1" x14ac:dyDescent="0.2">
      <c r="A1052" s="30" t="str">
        <f>IF(C1052&amp;G1052&amp;D1052&lt;&gt;'Funnel setup'!$K$3&amp;'Funnel setup'!$K$4&amp;'Funnel setup'!$K$5,".",IF(A1051=".",1,A1051+1))</f>
        <v>.</v>
      </c>
      <c r="B1052" s="431" t="str">
        <f t="shared" si="16"/>
        <v>Hip Replacement PrimaryCCG of GP PracticeNHS HARTLEPOOL AND STOCKTON-ON-TEES CCG (00K)EQ VAS</v>
      </c>
      <c r="C1052" t="s">
        <v>248</v>
      </c>
      <c r="D1052" t="s">
        <v>87</v>
      </c>
      <c r="E1052" t="s">
        <v>495</v>
      </c>
      <c r="F1052" t="s">
        <v>496</v>
      </c>
      <c r="G1052" t="s">
        <v>179</v>
      </c>
      <c r="H1052">
        <v>235</v>
      </c>
      <c r="I1052">
        <v>62.621000000000002</v>
      </c>
      <c r="J1052">
        <v>75.489000000000004</v>
      </c>
      <c r="K1052">
        <v>12.868</v>
      </c>
      <c r="L1052">
        <v>156</v>
      </c>
      <c r="M1052">
        <v>22</v>
      </c>
      <c r="N1052">
        <v>57</v>
      </c>
      <c r="O1052">
        <v>77.912999999999997</v>
      </c>
      <c r="P1052">
        <v>12.408587239999999</v>
      </c>
      <c r="Q1052">
        <v>17.152999999999999</v>
      </c>
    </row>
    <row r="1053" spans="1:17" s="30" customFormat="1" x14ac:dyDescent="0.2">
      <c r="A1053" s="30" t="str">
        <f>IF(C1053&amp;G1053&amp;D1053&lt;&gt;'Funnel setup'!$K$3&amp;'Funnel setup'!$K$4&amp;'Funnel setup'!$K$5,".",IF(A1052=".",1,A1052+1))</f>
        <v>.</v>
      </c>
      <c r="B1053" s="431" t="str">
        <f t="shared" si="16"/>
        <v>Hip Replacement PrimaryCCG of GP PracticeNHS HASTINGS AND ROTHER CCG (09P)EQ VAS</v>
      </c>
      <c r="C1053" t="s">
        <v>248</v>
      </c>
      <c r="D1053" t="s">
        <v>87</v>
      </c>
      <c r="E1053" t="s">
        <v>498</v>
      </c>
      <c r="F1053" t="s">
        <v>499</v>
      </c>
      <c r="G1053" t="s">
        <v>179</v>
      </c>
      <c r="H1053">
        <v>197</v>
      </c>
      <c r="I1053">
        <v>67.548000000000002</v>
      </c>
      <c r="J1053">
        <v>78.162000000000006</v>
      </c>
      <c r="K1053">
        <v>10.614000000000001</v>
      </c>
      <c r="L1053">
        <v>131</v>
      </c>
      <c r="M1053">
        <v>19</v>
      </c>
      <c r="N1053">
        <v>47</v>
      </c>
      <c r="O1053">
        <v>78.453000000000003</v>
      </c>
      <c r="P1053">
        <v>12.948180839999999</v>
      </c>
      <c r="Q1053">
        <v>14.625999999999999</v>
      </c>
    </row>
    <row r="1054" spans="1:17" s="30" customFormat="1" x14ac:dyDescent="0.2">
      <c r="A1054" s="30" t="str">
        <f>IF(C1054&amp;G1054&amp;D1054&lt;&gt;'Funnel setup'!$K$3&amp;'Funnel setup'!$K$4&amp;'Funnel setup'!$K$5,".",IF(A1053=".",1,A1053+1))</f>
        <v>.</v>
      </c>
      <c r="B1054" s="431" t="str">
        <f t="shared" si="16"/>
        <v>Hip Replacement PrimaryCCG of GP PracticeNHS HAVERING CCG (08F)EQ VAS</v>
      </c>
      <c r="C1054" t="s">
        <v>248</v>
      </c>
      <c r="D1054" t="s">
        <v>87</v>
      </c>
      <c r="E1054" t="s">
        <v>501</v>
      </c>
      <c r="F1054" t="s">
        <v>502</v>
      </c>
      <c r="G1054" t="s">
        <v>179</v>
      </c>
      <c r="H1054">
        <v>100</v>
      </c>
      <c r="I1054">
        <v>64.760000000000005</v>
      </c>
      <c r="J1054">
        <v>76.58</v>
      </c>
      <c r="K1054">
        <v>11.82</v>
      </c>
      <c r="L1054">
        <v>58</v>
      </c>
      <c r="M1054">
        <v>14</v>
      </c>
      <c r="N1054">
        <v>28</v>
      </c>
      <c r="O1054">
        <v>77.326999999999998</v>
      </c>
      <c r="P1054">
        <v>11.82259189</v>
      </c>
      <c r="Q1054">
        <v>12.888999999999999</v>
      </c>
    </row>
    <row r="1055" spans="1:17" s="30" customFormat="1" x14ac:dyDescent="0.2">
      <c r="A1055" s="30" t="str">
        <f>IF(C1055&amp;G1055&amp;D1055&lt;&gt;'Funnel setup'!$K$3&amp;'Funnel setup'!$K$4&amp;'Funnel setup'!$K$5,".",IF(A1054=".",1,A1054+1))</f>
        <v>.</v>
      </c>
      <c r="B1055" s="431" t="str">
        <f t="shared" si="16"/>
        <v>Hip Replacement PrimaryCCG of GP PracticeNHS HEREFORDSHIRE CCG (05F)EQ VAS</v>
      </c>
      <c r="C1055" t="s">
        <v>248</v>
      </c>
      <c r="D1055" t="s">
        <v>87</v>
      </c>
      <c r="E1055" t="s">
        <v>504</v>
      </c>
      <c r="F1055" t="s">
        <v>505</v>
      </c>
      <c r="G1055" t="s">
        <v>179</v>
      </c>
      <c r="H1055">
        <v>175</v>
      </c>
      <c r="I1055">
        <v>66.72</v>
      </c>
      <c r="J1055">
        <v>78.674000000000007</v>
      </c>
      <c r="K1055">
        <v>11.954000000000001</v>
      </c>
      <c r="L1055">
        <v>116</v>
      </c>
      <c r="M1055">
        <v>16</v>
      </c>
      <c r="N1055">
        <v>43</v>
      </c>
      <c r="O1055">
        <v>77.254999999999995</v>
      </c>
      <c r="P1055">
        <v>11.75116989</v>
      </c>
      <c r="Q1055">
        <v>17.242999999999999</v>
      </c>
    </row>
    <row r="1056" spans="1:17" s="30" customFormat="1" x14ac:dyDescent="0.2">
      <c r="A1056" s="30" t="str">
        <f>IF(C1056&amp;G1056&amp;D1056&lt;&gt;'Funnel setup'!$K$3&amp;'Funnel setup'!$K$4&amp;'Funnel setup'!$K$5,".",IF(A1055=".",1,A1055+1))</f>
        <v>.</v>
      </c>
      <c r="B1056" s="431" t="str">
        <f t="shared" si="16"/>
        <v>Hip Replacement PrimaryCCG of GP PracticeNHS HERTS VALLEYS CCG (06N)EQ VAS</v>
      </c>
      <c r="C1056" t="s">
        <v>248</v>
      </c>
      <c r="D1056" t="s">
        <v>87</v>
      </c>
      <c r="E1056" t="s">
        <v>507</v>
      </c>
      <c r="F1056" t="s">
        <v>508</v>
      </c>
      <c r="G1056" t="s">
        <v>179</v>
      </c>
      <c r="H1056">
        <v>297</v>
      </c>
      <c r="I1056">
        <v>63.939</v>
      </c>
      <c r="J1056">
        <v>78.488</v>
      </c>
      <c r="K1056">
        <v>14.548999999999999</v>
      </c>
      <c r="L1056">
        <v>202</v>
      </c>
      <c r="M1056">
        <v>38</v>
      </c>
      <c r="N1056">
        <v>57</v>
      </c>
      <c r="O1056">
        <v>78.125</v>
      </c>
      <c r="P1056">
        <v>12.62049813</v>
      </c>
      <c r="Q1056">
        <v>14.911</v>
      </c>
    </row>
    <row r="1057" spans="1:17" s="30" customFormat="1" x14ac:dyDescent="0.2">
      <c r="A1057" s="30" t="str">
        <f>IF(C1057&amp;G1057&amp;D1057&lt;&gt;'Funnel setup'!$K$3&amp;'Funnel setup'!$K$4&amp;'Funnel setup'!$K$5,".",IF(A1056=".",1,A1056+1))</f>
        <v>.</v>
      </c>
      <c r="B1057" s="431" t="str">
        <f t="shared" si="16"/>
        <v>Hip Replacement PrimaryCCG of GP PracticeNHS HEYWOOD, MIDDLETON AND ROCHDALE CCG (01D)EQ VAS</v>
      </c>
      <c r="C1057" t="s">
        <v>248</v>
      </c>
      <c r="D1057" t="s">
        <v>87</v>
      </c>
      <c r="E1057" t="s">
        <v>510</v>
      </c>
      <c r="F1057" t="s">
        <v>511</v>
      </c>
      <c r="G1057" t="s">
        <v>179</v>
      </c>
      <c r="H1057">
        <v>58</v>
      </c>
      <c r="I1057">
        <v>64.138000000000005</v>
      </c>
      <c r="J1057">
        <v>75.171999999999997</v>
      </c>
      <c r="K1057">
        <v>11.034000000000001</v>
      </c>
      <c r="L1057">
        <v>34</v>
      </c>
      <c r="M1057">
        <v>10</v>
      </c>
      <c r="N1057">
        <v>14</v>
      </c>
      <c r="O1057">
        <v>75.647000000000006</v>
      </c>
      <c r="P1057">
        <v>10.14284455</v>
      </c>
      <c r="Q1057">
        <v>19.305</v>
      </c>
    </row>
    <row r="1058" spans="1:17" s="30" customFormat="1" x14ac:dyDescent="0.2">
      <c r="A1058" s="30" t="str">
        <f>IF(C1058&amp;G1058&amp;D1058&lt;&gt;'Funnel setup'!$K$3&amp;'Funnel setup'!$K$4&amp;'Funnel setup'!$K$5,".",IF(A1057=".",1,A1057+1))</f>
        <v>.</v>
      </c>
      <c r="B1058" s="431" t="str">
        <f t="shared" si="16"/>
        <v>Hip Replacement PrimaryCCG of GP PracticeNHS HIGH WEALD LEWES HAVENS CCG (99K)EQ VAS</v>
      </c>
      <c r="C1058" t="s">
        <v>248</v>
      </c>
      <c r="D1058" t="s">
        <v>87</v>
      </c>
      <c r="E1058" t="s">
        <v>513</v>
      </c>
      <c r="F1058" t="s">
        <v>514</v>
      </c>
      <c r="G1058" t="s">
        <v>179</v>
      </c>
      <c r="H1058">
        <v>200</v>
      </c>
      <c r="I1058">
        <v>69.844999999999999</v>
      </c>
      <c r="J1058">
        <v>78.95</v>
      </c>
      <c r="K1058">
        <v>9.1050000000000004</v>
      </c>
      <c r="L1058">
        <v>129</v>
      </c>
      <c r="M1058">
        <v>26</v>
      </c>
      <c r="N1058">
        <v>45</v>
      </c>
      <c r="O1058">
        <v>76.897000000000006</v>
      </c>
      <c r="P1058">
        <v>11.39255964</v>
      </c>
      <c r="Q1058">
        <v>14.468</v>
      </c>
    </row>
    <row r="1059" spans="1:17" s="30" customFormat="1" x14ac:dyDescent="0.2">
      <c r="A1059" s="30" t="str">
        <f>IF(C1059&amp;G1059&amp;D1059&lt;&gt;'Funnel setup'!$K$3&amp;'Funnel setup'!$K$4&amp;'Funnel setup'!$K$5,".",IF(A1058=".",1,A1058+1))</f>
        <v>.</v>
      </c>
      <c r="B1059" s="431" t="str">
        <f t="shared" si="16"/>
        <v>Hip Replacement PrimaryCCG of GP PracticeNHS HILLINGDON CCG (08G)EQ VAS</v>
      </c>
      <c r="C1059" t="s">
        <v>248</v>
      </c>
      <c r="D1059" t="s">
        <v>87</v>
      </c>
      <c r="E1059" t="s">
        <v>516</v>
      </c>
      <c r="F1059" t="s">
        <v>517</v>
      </c>
      <c r="G1059" t="s">
        <v>179</v>
      </c>
      <c r="H1059">
        <v>127</v>
      </c>
      <c r="I1059">
        <v>62.835000000000001</v>
      </c>
      <c r="J1059">
        <v>75.471999999999994</v>
      </c>
      <c r="K1059">
        <v>12.638</v>
      </c>
      <c r="L1059">
        <v>86</v>
      </c>
      <c r="M1059">
        <v>17</v>
      </c>
      <c r="N1059">
        <v>24</v>
      </c>
      <c r="O1059">
        <v>76.915000000000006</v>
      </c>
      <c r="P1059">
        <v>11.410186729999999</v>
      </c>
      <c r="Q1059">
        <v>16.966999999999999</v>
      </c>
    </row>
    <row r="1060" spans="1:17" s="30" customFormat="1" x14ac:dyDescent="0.2">
      <c r="A1060" s="30" t="str">
        <f>IF(C1060&amp;G1060&amp;D1060&lt;&gt;'Funnel setup'!$K$3&amp;'Funnel setup'!$K$4&amp;'Funnel setup'!$K$5,".",IF(A1059=".",1,A1059+1))</f>
        <v>.</v>
      </c>
      <c r="B1060" s="431" t="str">
        <f t="shared" si="16"/>
        <v>Hip Replacement PrimaryCCG of GP PracticeNHS HORSHAM AND MID SUSSEX CCG (09X)EQ VAS</v>
      </c>
      <c r="C1060" t="s">
        <v>248</v>
      </c>
      <c r="D1060" t="s">
        <v>87</v>
      </c>
      <c r="E1060" t="s">
        <v>519</v>
      </c>
      <c r="F1060" t="s">
        <v>520</v>
      </c>
      <c r="G1060" t="s">
        <v>179</v>
      </c>
      <c r="H1060">
        <v>158</v>
      </c>
      <c r="I1060">
        <v>71.100999999999999</v>
      </c>
      <c r="J1060">
        <v>80.980999999999995</v>
      </c>
      <c r="K1060">
        <v>9.8800000000000008</v>
      </c>
      <c r="L1060">
        <v>96</v>
      </c>
      <c r="M1060">
        <v>22</v>
      </c>
      <c r="N1060">
        <v>40</v>
      </c>
      <c r="O1060">
        <v>77.698999999999998</v>
      </c>
      <c r="P1060">
        <v>12.194678740000001</v>
      </c>
      <c r="Q1060">
        <v>14.544</v>
      </c>
    </row>
    <row r="1061" spans="1:17" s="30" customFormat="1" x14ac:dyDescent="0.2">
      <c r="A1061" s="30" t="str">
        <f>IF(C1061&amp;G1061&amp;D1061&lt;&gt;'Funnel setup'!$K$3&amp;'Funnel setup'!$K$4&amp;'Funnel setup'!$K$5,".",IF(A1060=".",1,A1060+1))</f>
        <v>.</v>
      </c>
      <c r="B1061" s="431" t="str">
        <f t="shared" si="16"/>
        <v>Hip Replacement PrimaryCCG of GP PracticeNHS HOUNSLOW CCG (07Y)EQ VAS</v>
      </c>
      <c r="C1061" t="s">
        <v>248</v>
      </c>
      <c r="D1061" t="s">
        <v>87</v>
      </c>
      <c r="E1061" t="s">
        <v>522</v>
      </c>
      <c r="F1061" t="s">
        <v>523</v>
      </c>
      <c r="G1061" t="s">
        <v>179</v>
      </c>
      <c r="H1061">
        <v>61</v>
      </c>
      <c r="I1061">
        <v>67.721000000000004</v>
      </c>
      <c r="J1061">
        <v>78.245999999999995</v>
      </c>
      <c r="K1061">
        <v>10.525</v>
      </c>
      <c r="L1061">
        <v>35</v>
      </c>
      <c r="M1061">
        <v>7</v>
      </c>
      <c r="N1061">
        <v>19</v>
      </c>
      <c r="O1061">
        <v>78.343000000000004</v>
      </c>
      <c r="P1061">
        <v>12.83874877</v>
      </c>
      <c r="Q1061">
        <v>15.246</v>
      </c>
    </row>
    <row r="1062" spans="1:17" s="30" customFormat="1" x14ac:dyDescent="0.2">
      <c r="A1062" s="30" t="str">
        <f>IF(C1062&amp;G1062&amp;D1062&lt;&gt;'Funnel setup'!$K$3&amp;'Funnel setup'!$K$4&amp;'Funnel setup'!$K$5,".",IF(A1061=".",1,A1061+1))</f>
        <v>.</v>
      </c>
      <c r="B1062" s="431" t="str">
        <f t="shared" si="16"/>
        <v>Hip Replacement PrimaryCCG of GP PracticeNHS HULL CCG (03F)EQ VAS</v>
      </c>
      <c r="C1062" t="s">
        <v>248</v>
      </c>
      <c r="D1062" t="s">
        <v>87</v>
      </c>
      <c r="E1062" t="s">
        <v>525</v>
      </c>
      <c r="F1062" t="s">
        <v>526</v>
      </c>
      <c r="G1062" t="s">
        <v>179</v>
      </c>
      <c r="H1062">
        <v>163</v>
      </c>
      <c r="I1062">
        <v>59.902000000000001</v>
      </c>
      <c r="J1062">
        <v>74.049000000000007</v>
      </c>
      <c r="K1062">
        <v>14.147</v>
      </c>
      <c r="L1062">
        <v>113</v>
      </c>
      <c r="M1062">
        <v>22</v>
      </c>
      <c r="N1062">
        <v>28</v>
      </c>
      <c r="O1062">
        <v>75.834999999999994</v>
      </c>
      <c r="P1062">
        <v>10.33046736</v>
      </c>
      <c r="Q1062">
        <v>16.084</v>
      </c>
    </row>
    <row r="1063" spans="1:17" s="30" customFormat="1" x14ac:dyDescent="0.2">
      <c r="A1063" s="30" t="str">
        <f>IF(C1063&amp;G1063&amp;D1063&lt;&gt;'Funnel setup'!$K$3&amp;'Funnel setup'!$K$4&amp;'Funnel setup'!$K$5,".",IF(A1062=".",1,A1062+1))</f>
        <v>.</v>
      </c>
      <c r="B1063" s="431" t="str">
        <f t="shared" si="16"/>
        <v>Hip Replacement PrimaryCCG of GP PracticeNHS IPSWICH AND EAST SUFFOLK CCG (06L)EQ VAS</v>
      </c>
      <c r="C1063" t="s">
        <v>248</v>
      </c>
      <c r="D1063" t="s">
        <v>87</v>
      </c>
      <c r="E1063" t="s">
        <v>528</v>
      </c>
      <c r="F1063" t="s">
        <v>529</v>
      </c>
      <c r="G1063" t="s">
        <v>179</v>
      </c>
      <c r="H1063">
        <v>263</v>
      </c>
      <c r="I1063">
        <v>65.84</v>
      </c>
      <c r="J1063">
        <v>77.763999999999996</v>
      </c>
      <c r="K1063">
        <v>11.923999999999999</v>
      </c>
      <c r="L1063">
        <v>178</v>
      </c>
      <c r="M1063">
        <v>25</v>
      </c>
      <c r="N1063">
        <v>60</v>
      </c>
      <c r="O1063">
        <v>77.777000000000001</v>
      </c>
      <c r="P1063">
        <v>12.27233395</v>
      </c>
      <c r="Q1063">
        <v>14.877000000000001</v>
      </c>
    </row>
    <row r="1064" spans="1:17" s="30" customFormat="1" x14ac:dyDescent="0.2">
      <c r="A1064" s="30" t="str">
        <f>IF(C1064&amp;G1064&amp;D1064&lt;&gt;'Funnel setup'!$K$3&amp;'Funnel setup'!$K$4&amp;'Funnel setup'!$K$5,".",IF(A1063=".",1,A1063+1))</f>
        <v>.</v>
      </c>
      <c r="B1064" s="431" t="str">
        <f t="shared" si="16"/>
        <v>Hip Replacement PrimaryCCG of GP PracticeNHS ISLE OF WIGHT CCG (10L)EQ VAS</v>
      </c>
      <c r="C1064" t="s">
        <v>248</v>
      </c>
      <c r="D1064" t="s">
        <v>87</v>
      </c>
      <c r="E1064" t="s">
        <v>531</v>
      </c>
      <c r="F1064" t="s">
        <v>532</v>
      </c>
      <c r="G1064" t="s">
        <v>179</v>
      </c>
      <c r="H1064">
        <v>98</v>
      </c>
      <c r="I1064">
        <v>61.98</v>
      </c>
      <c r="J1064">
        <v>74.713999999999999</v>
      </c>
      <c r="K1064">
        <v>12.734999999999999</v>
      </c>
      <c r="L1064">
        <v>68</v>
      </c>
      <c r="M1064">
        <v>14</v>
      </c>
      <c r="N1064">
        <v>16</v>
      </c>
      <c r="O1064">
        <v>75.905000000000001</v>
      </c>
      <c r="P1064">
        <v>10.40081915</v>
      </c>
      <c r="Q1064">
        <v>15.423</v>
      </c>
    </row>
    <row r="1065" spans="1:17" s="30" customFormat="1" x14ac:dyDescent="0.2">
      <c r="A1065" s="30" t="str">
        <f>IF(C1065&amp;G1065&amp;D1065&lt;&gt;'Funnel setup'!$K$3&amp;'Funnel setup'!$K$4&amp;'Funnel setup'!$K$5,".",IF(A1064=".",1,A1064+1))</f>
        <v>.</v>
      </c>
      <c r="B1065" s="431" t="str">
        <f t="shared" si="16"/>
        <v>Hip Replacement PrimaryCCG of GP PracticeNHS ISLINGTON CCG (08H)EQ VAS</v>
      </c>
      <c r="C1065" t="s">
        <v>248</v>
      </c>
      <c r="D1065" t="s">
        <v>87</v>
      </c>
      <c r="E1065" t="s">
        <v>534</v>
      </c>
      <c r="F1065" t="s">
        <v>535</v>
      </c>
      <c r="G1065" t="s">
        <v>179</v>
      </c>
      <c r="H1065">
        <v>26</v>
      </c>
      <c r="I1065">
        <v>59.5</v>
      </c>
      <c r="J1065">
        <v>74.614999999999995</v>
      </c>
      <c r="K1065">
        <v>15.115</v>
      </c>
      <c r="L1065">
        <v>22</v>
      </c>
      <c r="M1065">
        <v>0</v>
      </c>
      <c r="N1065">
        <v>4</v>
      </c>
      <c r="O1065" t="s">
        <v>53</v>
      </c>
      <c r="P1065" t="s">
        <v>53</v>
      </c>
      <c r="Q1065" t="s">
        <v>53</v>
      </c>
    </row>
    <row r="1066" spans="1:17" s="30" customFormat="1" x14ac:dyDescent="0.2">
      <c r="A1066" s="30" t="str">
        <f>IF(C1066&amp;G1066&amp;D1066&lt;&gt;'Funnel setup'!$K$3&amp;'Funnel setup'!$K$4&amp;'Funnel setup'!$K$5,".",IF(A1065=".",1,A1065+1))</f>
        <v>.</v>
      </c>
      <c r="B1066" s="431" t="str">
        <f t="shared" si="16"/>
        <v>Hip Replacement PrimaryCCG of GP PracticeNHS KERNOW CCG (11N)EQ VAS</v>
      </c>
      <c r="C1066" t="s">
        <v>248</v>
      </c>
      <c r="D1066" t="s">
        <v>87</v>
      </c>
      <c r="E1066" t="s">
        <v>537</v>
      </c>
      <c r="F1066" t="s">
        <v>538</v>
      </c>
      <c r="G1066" t="s">
        <v>179</v>
      </c>
      <c r="H1066">
        <v>750</v>
      </c>
      <c r="I1066">
        <v>67.885000000000005</v>
      </c>
      <c r="J1066">
        <v>77.688000000000002</v>
      </c>
      <c r="K1066">
        <v>9.8030000000000008</v>
      </c>
      <c r="L1066">
        <v>479</v>
      </c>
      <c r="M1066">
        <v>77</v>
      </c>
      <c r="N1066">
        <v>194</v>
      </c>
      <c r="O1066">
        <v>76.897000000000006</v>
      </c>
      <c r="P1066">
        <v>11.392964709999999</v>
      </c>
      <c r="Q1066">
        <v>16.664999999999999</v>
      </c>
    </row>
    <row r="1067" spans="1:17" s="30" customFormat="1" x14ac:dyDescent="0.2">
      <c r="A1067" s="30" t="str">
        <f>IF(C1067&amp;G1067&amp;D1067&lt;&gt;'Funnel setup'!$K$3&amp;'Funnel setup'!$K$4&amp;'Funnel setup'!$K$5,".",IF(A1066=".",1,A1066+1))</f>
        <v>.</v>
      </c>
      <c r="B1067" s="431" t="str">
        <f t="shared" si="16"/>
        <v>Hip Replacement PrimaryCCG of GP PracticeNHS KINGSTON CCG (08J)EQ VAS</v>
      </c>
      <c r="C1067" t="s">
        <v>248</v>
      </c>
      <c r="D1067" t="s">
        <v>87</v>
      </c>
      <c r="E1067" t="s">
        <v>540</v>
      </c>
      <c r="F1067" t="s">
        <v>541</v>
      </c>
      <c r="G1067" t="s">
        <v>179</v>
      </c>
      <c r="H1067">
        <v>78</v>
      </c>
      <c r="I1067">
        <v>65.076999999999998</v>
      </c>
      <c r="J1067">
        <v>79.076999999999998</v>
      </c>
      <c r="K1067">
        <v>14</v>
      </c>
      <c r="L1067">
        <v>59</v>
      </c>
      <c r="M1067">
        <v>4</v>
      </c>
      <c r="N1067">
        <v>15</v>
      </c>
      <c r="O1067">
        <v>78.828999999999994</v>
      </c>
      <c r="P1067">
        <v>13.32498184</v>
      </c>
      <c r="Q1067">
        <v>13.558999999999999</v>
      </c>
    </row>
    <row r="1068" spans="1:17" s="30" customFormat="1" x14ac:dyDescent="0.2">
      <c r="A1068" s="30" t="str">
        <f>IF(C1068&amp;G1068&amp;D1068&lt;&gt;'Funnel setup'!$K$3&amp;'Funnel setup'!$K$4&amp;'Funnel setup'!$K$5,".",IF(A1067=".",1,A1067+1))</f>
        <v>.</v>
      </c>
      <c r="B1068" s="431" t="str">
        <f t="shared" si="16"/>
        <v>Hip Replacement PrimaryCCG of GP PracticeNHS KNOWSLEY CCG (01J)EQ VAS</v>
      </c>
      <c r="C1068" t="s">
        <v>248</v>
      </c>
      <c r="D1068" t="s">
        <v>87</v>
      </c>
      <c r="E1068" t="s">
        <v>543</v>
      </c>
      <c r="F1068" t="s">
        <v>544</v>
      </c>
      <c r="G1068" t="s">
        <v>179</v>
      </c>
      <c r="H1068">
        <v>60</v>
      </c>
      <c r="I1068">
        <v>64.016999999999996</v>
      </c>
      <c r="J1068">
        <v>72.882999999999996</v>
      </c>
      <c r="K1068">
        <v>8.8670000000000009</v>
      </c>
      <c r="L1068">
        <v>35</v>
      </c>
      <c r="M1068">
        <v>9</v>
      </c>
      <c r="N1068">
        <v>16</v>
      </c>
      <c r="O1068">
        <v>76.977999999999994</v>
      </c>
      <c r="P1068">
        <v>11.473298829999999</v>
      </c>
      <c r="Q1068">
        <v>18.192</v>
      </c>
    </row>
    <row r="1069" spans="1:17" s="30" customFormat="1" x14ac:dyDescent="0.2">
      <c r="A1069" s="30" t="str">
        <f>IF(C1069&amp;G1069&amp;D1069&lt;&gt;'Funnel setup'!$K$3&amp;'Funnel setup'!$K$4&amp;'Funnel setup'!$K$5,".",IF(A1068=".",1,A1068+1))</f>
        <v>.</v>
      </c>
      <c r="B1069" s="431" t="str">
        <f t="shared" si="16"/>
        <v>Hip Replacement PrimaryCCG of GP PracticeNHS LAMBETH CCG (08K)EQ VAS</v>
      </c>
      <c r="C1069" t="s">
        <v>248</v>
      </c>
      <c r="D1069" t="s">
        <v>87</v>
      </c>
      <c r="E1069" t="s">
        <v>546</v>
      </c>
      <c r="F1069" t="s">
        <v>547</v>
      </c>
      <c r="G1069" t="s">
        <v>179</v>
      </c>
      <c r="H1069">
        <v>42</v>
      </c>
      <c r="I1069">
        <v>60.975999999999999</v>
      </c>
      <c r="J1069">
        <v>78.81</v>
      </c>
      <c r="K1069">
        <v>17.832999999999998</v>
      </c>
      <c r="L1069">
        <v>31</v>
      </c>
      <c r="M1069">
        <v>4</v>
      </c>
      <c r="N1069">
        <v>7</v>
      </c>
      <c r="O1069">
        <v>80.578000000000003</v>
      </c>
      <c r="P1069">
        <v>15.0739406</v>
      </c>
      <c r="Q1069">
        <v>19.771000000000001</v>
      </c>
    </row>
    <row r="1070" spans="1:17" s="30" customFormat="1" x14ac:dyDescent="0.2">
      <c r="A1070" s="30" t="str">
        <f>IF(C1070&amp;G1070&amp;D1070&lt;&gt;'Funnel setup'!$K$3&amp;'Funnel setup'!$K$4&amp;'Funnel setup'!$K$5,".",IF(A1069=".",1,A1069+1))</f>
        <v>.</v>
      </c>
      <c r="B1070" s="431" t="str">
        <f t="shared" si="16"/>
        <v>Hip Replacement PrimaryCCG of GP PracticeNHS LANCASHIRE NORTH CCG (01K)EQ VAS</v>
      </c>
      <c r="C1070" t="s">
        <v>248</v>
      </c>
      <c r="D1070" t="s">
        <v>87</v>
      </c>
      <c r="E1070" t="s">
        <v>549</v>
      </c>
      <c r="F1070" t="s">
        <v>550</v>
      </c>
      <c r="G1070" t="s">
        <v>179</v>
      </c>
      <c r="H1070">
        <v>135</v>
      </c>
      <c r="I1070">
        <v>65.430000000000007</v>
      </c>
      <c r="J1070">
        <v>77.103999999999999</v>
      </c>
      <c r="K1070">
        <v>11.673999999999999</v>
      </c>
      <c r="L1070">
        <v>80</v>
      </c>
      <c r="M1070">
        <v>19</v>
      </c>
      <c r="N1070">
        <v>36</v>
      </c>
      <c r="O1070">
        <v>77.379000000000005</v>
      </c>
      <c r="P1070">
        <v>11.87465291</v>
      </c>
      <c r="Q1070">
        <v>13.672000000000001</v>
      </c>
    </row>
    <row r="1071" spans="1:17" s="30" customFormat="1" x14ac:dyDescent="0.2">
      <c r="A1071" s="30" t="str">
        <f>IF(C1071&amp;G1071&amp;D1071&lt;&gt;'Funnel setup'!$K$3&amp;'Funnel setup'!$K$4&amp;'Funnel setup'!$K$5,".",IF(A1070=".",1,A1070+1))</f>
        <v>.</v>
      </c>
      <c r="B1071" s="431" t="str">
        <f t="shared" si="16"/>
        <v>Hip Replacement PrimaryCCG of GP PracticeNHS LEEDS NORTH CCG (02V)EQ VAS</v>
      </c>
      <c r="C1071" t="s">
        <v>248</v>
      </c>
      <c r="D1071" t="s">
        <v>87</v>
      </c>
      <c r="E1071" t="s">
        <v>552</v>
      </c>
      <c r="F1071" t="s">
        <v>337</v>
      </c>
      <c r="G1071" t="s">
        <v>179</v>
      </c>
      <c r="H1071">
        <v>128</v>
      </c>
      <c r="I1071">
        <v>66.608999999999995</v>
      </c>
      <c r="J1071">
        <v>77.858999999999995</v>
      </c>
      <c r="K1071">
        <v>11.25</v>
      </c>
      <c r="L1071">
        <v>84</v>
      </c>
      <c r="M1071">
        <v>14</v>
      </c>
      <c r="N1071">
        <v>30</v>
      </c>
      <c r="O1071">
        <v>77.363</v>
      </c>
      <c r="P1071">
        <v>11.85896498</v>
      </c>
      <c r="Q1071">
        <v>14.532</v>
      </c>
    </row>
    <row r="1072" spans="1:17" s="30" customFormat="1" x14ac:dyDescent="0.2">
      <c r="A1072" s="30" t="str">
        <f>IF(C1072&amp;G1072&amp;D1072&lt;&gt;'Funnel setup'!$K$3&amp;'Funnel setup'!$K$4&amp;'Funnel setup'!$K$5,".",IF(A1071=".",1,A1071+1))</f>
        <v>.</v>
      </c>
      <c r="B1072" s="431" t="str">
        <f t="shared" si="16"/>
        <v>Hip Replacement PrimaryCCG of GP PracticeNHS LEEDS SOUTH AND EAST CCG (03G)EQ VAS</v>
      </c>
      <c r="C1072" t="s">
        <v>248</v>
      </c>
      <c r="D1072" t="s">
        <v>87</v>
      </c>
      <c r="E1072" t="s">
        <v>396</v>
      </c>
      <c r="F1072" t="s">
        <v>397</v>
      </c>
      <c r="G1072" t="s">
        <v>179</v>
      </c>
      <c r="H1072">
        <v>162</v>
      </c>
      <c r="I1072">
        <v>66.234999999999999</v>
      </c>
      <c r="J1072">
        <v>77.141999999999996</v>
      </c>
      <c r="K1072">
        <v>10.907</v>
      </c>
      <c r="L1072">
        <v>101</v>
      </c>
      <c r="M1072">
        <v>20</v>
      </c>
      <c r="N1072">
        <v>41</v>
      </c>
      <c r="O1072">
        <v>76.828999999999994</v>
      </c>
      <c r="P1072">
        <v>11.324936770000001</v>
      </c>
      <c r="Q1072">
        <v>15.695</v>
      </c>
    </row>
    <row r="1073" spans="1:17" s="30" customFormat="1" x14ac:dyDescent="0.2">
      <c r="A1073" s="30" t="str">
        <f>IF(C1073&amp;G1073&amp;D1073&lt;&gt;'Funnel setup'!$K$3&amp;'Funnel setup'!$K$4&amp;'Funnel setup'!$K$5,".",IF(A1072=".",1,A1072+1))</f>
        <v>.</v>
      </c>
      <c r="B1073" s="431" t="str">
        <f t="shared" si="16"/>
        <v>Hip Replacement PrimaryCCG of GP PracticeNHS LEEDS WEST CCG (03C)EQ VAS</v>
      </c>
      <c r="C1073" t="s">
        <v>248</v>
      </c>
      <c r="D1073" t="s">
        <v>87</v>
      </c>
      <c r="E1073" t="s">
        <v>399</v>
      </c>
      <c r="F1073" t="s">
        <v>400</v>
      </c>
      <c r="G1073" t="s">
        <v>179</v>
      </c>
      <c r="H1073">
        <v>197</v>
      </c>
      <c r="I1073">
        <v>63.756</v>
      </c>
      <c r="J1073">
        <v>76.33</v>
      </c>
      <c r="K1073">
        <v>12.574</v>
      </c>
      <c r="L1073">
        <v>124</v>
      </c>
      <c r="M1073">
        <v>22</v>
      </c>
      <c r="N1073">
        <v>51</v>
      </c>
      <c r="O1073">
        <v>76.652000000000001</v>
      </c>
      <c r="P1073">
        <v>11.147387630000001</v>
      </c>
      <c r="Q1073">
        <v>17.327000000000002</v>
      </c>
    </row>
    <row r="1074" spans="1:17" s="30" customFormat="1" x14ac:dyDescent="0.2">
      <c r="A1074" s="30" t="str">
        <f>IF(C1074&amp;G1074&amp;D1074&lt;&gt;'Funnel setup'!$K$3&amp;'Funnel setup'!$K$4&amp;'Funnel setup'!$K$5,".",IF(A1073=".",1,A1073+1))</f>
        <v>.</v>
      </c>
      <c r="B1074" s="431" t="str">
        <f t="shared" si="16"/>
        <v>Hip Replacement PrimaryCCG of GP PracticeNHS LEICESTER CITY CCG (04C)EQ VAS</v>
      </c>
      <c r="C1074" t="s">
        <v>248</v>
      </c>
      <c r="D1074" t="s">
        <v>87</v>
      </c>
      <c r="E1074" t="s">
        <v>554</v>
      </c>
      <c r="F1074" t="s">
        <v>555</v>
      </c>
      <c r="G1074" t="s">
        <v>179</v>
      </c>
      <c r="H1074">
        <v>112</v>
      </c>
      <c r="I1074">
        <v>63.213999999999999</v>
      </c>
      <c r="J1074">
        <v>77.213999999999999</v>
      </c>
      <c r="K1074">
        <v>14</v>
      </c>
      <c r="L1074">
        <v>75</v>
      </c>
      <c r="M1074">
        <v>15</v>
      </c>
      <c r="N1074">
        <v>22</v>
      </c>
      <c r="O1074">
        <v>78.887</v>
      </c>
      <c r="P1074">
        <v>13.382579789999999</v>
      </c>
      <c r="Q1074">
        <v>13.573</v>
      </c>
    </row>
    <row r="1075" spans="1:17" s="30" customFormat="1" x14ac:dyDescent="0.2">
      <c r="A1075" s="30" t="str">
        <f>IF(C1075&amp;G1075&amp;D1075&lt;&gt;'Funnel setup'!$K$3&amp;'Funnel setup'!$K$4&amp;'Funnel setup'!$K$5,".",IF(A1074=".",1,A1074+1))</f>
        <v>.</v>
      </c>
      <c r="B1075" s="431" t="str">
        <f t="shared" si="16"/>
        <v>Hip Replacement PrimaryCCG of GP PracticeNHS LEWISHAM CCG (08L)EQ VAS</v>
      </c>
      <c r="C1075" t="s">
        <v>248</v>
      </c>
      <c r="D1075" t="s">
        <v>87</v>
      </c>
      <c r="E1075" t="s">
        <v>557</v>
      </c>
      <c r="F1075" t="s">
        <v>558</v>
      </c>
      <c r="G1075" t="s">
        <v>179</v>
      </c>
      <c r="H1075">
        <v>50</v>
      </c>
      <c r="I1075">
        <v>67.819999999999993</v>
      </c>
      <c r="J1075">
        <v>79.38</v>
      </c>
      <c r="K1075">
        <v>11.56</v>
      </c>
      <c r="L1075">
        <v>33</v>
      </c>
      <c r="M1075">
        <v>6</v>
      </c>
      <c r="N1075">
        <v>11</v>
      </c>
      <c r="O1075">
        <v>79.828999999999994</v>
      </c>
      <c r="P1075">
        <v>14.32502364</v>
      </c>
      <c r="Q1075">
        <v>15.938000000000001</v>
      </c>
    </row>
    <row r="1076" spans="1:17" s="30" customFormat="1" x14ac:dyDescent="0.2">
      <c r="A1076" s="30" t="str">
        <f>IF(C1076&amp;G1076&amp;D1076&lt;&gt;'Funnel setup'!$K$3&amp;'Funnel setup'!$K$4&amp;'Funnel setup'!$K$5,".",IF(A1075=".",1,A1075+1))</f>
        <v>.</v>
      </c>
      <c r="B1076" s="431" t="str">
        <f t="shared" si="16"/>
        <v>Hip Replacement PrimaryCCG of GP PracticeNHS LINCOLNSHIRE EAST CCG (03T)EQ VAS</v>
      </c>
      <c r="C1076" t="s">
        <v>248</v>
      </c>
      <c r="D1076" t="s">
        <v>87</v>
      </c>
      <c r="E1076" t="s">
        <v>560</v>
      </c>
      <c r="F1076" t="s">
        <v>561</v>
      </c>
      <c r="G1076" t="s">
        <v>179</v>
      </c>
      <c r="H1076">
        <v>210</v>
      </c>
      <c r="I1076">
        <v>69.281000000000006</v>
      </c>
      <c r="J1076">
        <v>78.09</v>
      </c>
      <c r="K1076">
        <v>8.81</v>
      </c>
      <c r="L1076">
        <v>133</v>
      </c>
      <c r="M1076">
        <v>24</v>
      </c>
      <c r="N1076">
        <v>53</v>
      </c>
      <c r="O1076">
        <v>77.673000000000002</v>
      </c>
      <c r="P1076">
        <v>12.169171649999999</v>
      </c>
      <c r="Q1076">
        <v>15.457000000000001</v>
      </c>
    </row>
    <row r="1077" spans="1:17" s="30" customFormat="1" x14ac:dyDescent="0.2">
      <c r="A1077" s="30" t="str">
        <f>IF(C1077&amp;G1077&amp;D1077&lt;&gt;'Funnel setup'!$K$3&amp;'Funnel setup'!$K$4&amp;'Funnel setup'!$K$5,".",IF(A1076=".",1,A1076+1))</f>
        <v>.</v>
      </c>
      <c r="B1077" s="431" t="str">
        <f t="shared" si="16"/>
        <v>Hip Replacement PrimaryCCG of GP PracticeNHS LINCOLNSHIRE WEST CCG (04D)EQ VAS</v>
      </c>
      <c r="C1077" t="s">
        <v>248</v>
      </c>
      <c r="D1077" t="s">
        <v>87</v>
      </c>
      <c r="E1077" t="s">
        <v>408</v>
      </c>
      <c r="F1077" t="s">
        <v>409</v>
      </c>
      <c r="G1077" t="s">
        <v>179</v>
      </c>
      <c r="H1077">
        <v>177</v>
      </c>
      <c r="I1077">
        <v>67.91</v>
      </c>
      <c r="J1077">
        <v>77.147000000000006</v>
      </c>
      <c r="K1077">
        <v>9.2370000000000001</v>
      </c>
      <c r="L1077">
        <v>113</v>
      </c>
      <c r="M1077">
        <v>13</v>
      </c>
      <c r="N1077">
        <v>51</v>
      </c>
      <c r="O1077">
        <v>76.242000000000004</v>
      </c>
      <c r="P1077">
        <v>10.737980439999999</v>
      </c>
      <c r="Q1077">
        <v>18.414999999999999</v>
      </c>
    </row>
    <row r="1078" spans="1:17" s="30" customFormat="1" x14ac:dyDescent="0.2">
      <c r="A1078" s="30" t="str">
        <f>IF(C1078&amp;G1078&amp;D1078&lt;&gt;'Funnel setup'!$K$3&amp;'Funnel setup'!$K$4&amp;'Funnel setup'!$K$5,".",IF(A1077=".",1,A1077+1))</f>
        <v>.</v>
      </c>
      <c r="B1078" s="431" t="str">
        <f t="shared" si="16"/>
        <v>Hip Replacement PrimaryCCG of GP PracticeNHS LIVERPOOL CCG (99A)EQ VAS</v>
      </c>
      <c r="C1078" t="s">
        <v>248</v>
      </c>
      <c r="D1078" t="s">
        <v>87</v>
      </c>
      <c r="E1078" t="s">
        <v>411</v>
      </c>
      <c r="F1078" t="s">
        <v>412</v>
      </c>
      <c r="G1078" t="s">
        <v>179</v>
      </c>
      <c r="H1078">
        <v>156</v>
      </c>
      <c r="I1078">
        <v>66</v>
      </c>
      <c r="J1078">
        <v>74.756</v>
      </c>
      <c r="K1078">
        <v>8.7560000000000002</v>
      </c>
      <c r="L1078">
        <v>99</v>
      </c>
      <c r="M1078">
        <v>15</v>
      </c>
      <c r="N1078">
        <v>42</v>
      </c>
      <c r="O1078">
        <v>77.16</v>
      </c>
      <c r="P1078">
        <v>11.65570836</v>
      </c>
      <c r="Q1078">
        <v>18.085999999999999</v>
      </c>
    </row>
    <row r="1079" spans="1:17" s="30" customFormat="1" x14ac:dyDescent="0.2">
      <c r="A1079" s="30" t="str">
        <f>IF(C1079&amp;G1079&amp;D1079&lt;&gt;'Funnel setup'!$K$3&amp;'Funnel setup'!$K$4&amp;'Funnel setup'!$K$5,".",IF(A1078=".",1,A1078+1))</f>
        <v>.</v>
      </c>
      <c r="B1079" s="431" t="str">
        <f t="shared" si="16"/>
        <v>Hip Replacement PrimaryCCG of GP PracticeNHS LUTON CCG (06P)EQ VAS</v>
      </c>
      <c r="C1079" t="s">
        <v>248</v>
      </c>
      <c r="D1079" t="s">
        <v>87</v>
      </c>
      <c r="E1079" t="s">
        <v>414</v>
      </c>
      <c r="F1079" t="s">
        <v>415</v>
      </c>
      <c r="G1079" t="s">
        <v>179</v>
      </c>
      <c r="H1079">
        <v>89</v>
      </c>
      <c r="I1079">
        <v>65.707999999999998</v>
      </c>
      <c r="J1079">
        <v>79.763999999999996</v>
      </c>
      <c r="K1079">
        <v>14.055999999999999</v>
      </c>
      <c r="L1079">
        <v>54</v>
      </c>
      <c r="M1079">
        <v>15</v>
      </c>
      <c r="N1079">
        <v>20</v>
      </c>
      <c r="O1079">
        <v>80.138000000000005</v>
      </c>
      <c r="P1079">
        <v>14.63320603</v>
      </c>
      <c r="Q1079">
        <v>15.253</v>
      </c>
    </row>
    <row r="1080" spans="1:17" s="30" customFormat="1" x14ac:dyDescent="0.2">
      <c r="A1080" s="30" t="str">
        <f>IF(C1080&amp;G1080&amp;D1080&lt;&gt;'Funnel setup'!$K$3&amp;'Funnel setup'!$K$4&amp;'Funnel setup'!$K$5,".",IF(A1079=".",1,A1079+1))</f>
        <v>.</v>
      </c>
      <c r="B1080" s="431" t="str">
        <f t="shared" si="16"/>
        <v>Hip Replacement PrimaryCCG of GP PracticeNHS MANSFIELD AND ASHFIELD CCG (04E)EQ VAS</v>
      </c>
      <c r="C1080" t="s">
        <v>248</v>
      </c>
      <c r="D1080" t="s">
        <v>87</v>
      </c>
      <c r="E1080" t="s">
        <v>417</v>
      </c>
      <c r="F1080" t="s">
        <v>418</v>
      </c>
      <c r="G1080" t="s">
        <v>179</v>
      </c>
      <c r="H1080">
        <v>105</v>
      </c>
      <c r="I1080">
        <v>62.866999999999997</v>
      </c>
      <c r="J1080">
        <v>74.352000000000004</v>
      </c>
      <c r="K1080">
        <v>11.486000000000001</v>
      </c>
      <c r="L1080">
        <v>68</v>
      </c>
      <c r="M1080">
        <v>9</v>
      </c>
      <c r="N1080">
        <v>28</v>
      </c>
      <c r="O1080">
        <v>75.768000000000001</v>
      </c>
      <c r="P1080">
        <v>10.26351305</v>
      </c>
      <c r="Q1080">
        <v>17.702999999999999</v>
      </c>
    </row>
    <row r="1081" spans="1:17" s="30" customFormat="1" x14ac:dyDescent="0.2">
      <c r="A1081" s="30" t="str">
        <f>IF(C1081&amp;G1081&amp;D1081&lt;&gt;'Funnel setup'!$K$3&amp;'Funnel setup'!$K$4&amp;'Funnel setup'!$K$5,".",IF(A1080=".",1,A1080+1))</f>
        <v>.</v>
      </c>
      <c r="B1081" s="431" t="str">
        <f t="shared" si="16"/>
        <v>Hip Replacement PrimaryCCG of GP PracticeNHS MEDWAY CCG (09W)EQ VAS</v>
      </c>
      <c r="C1081" t="s">
        <v>248</v>
      </c>
      <c r="D1081" t="s">
        <v>87</v>
      </c>
      <c r="E1081" t="s">
        <v>610</v>
      </c>
      <c r="F1081" t="s">
        <v>611</v>
      </c>
      <c r="G1081" t="s">
        <v>179</v>
      </c>
      <c r="H1081">
        <v>153</v>
      </c>
      <c r="I1081">
        <v>64.234999999999999</v>
      </c>
      <c r="J1081">
        <v>78.888999999999996</v>
      </c>
      <c r="K1081">
        <v>14.654</v>
      </c>
      <c r="L1081">
        <v>104</v>
      </c>
      <c r="M1081">
        <v>15</v>
      </c>
      <c r="N1081">
        <v>34</v>
      </c>
      <c r="O1081">
        <v>79.539000000000001</v>
      </c>
      <c r="P1081">
        <v>14.03467485</v>
      </c>
      <c r="Q1081">
        <v>15.791</v>
      </c>
    </row>
    <row r="1082" spans="1:17" s="30" customFormat="1" x14ac:dyDescent="0.2">
      <c r="A1082" s="30" t="str">
        <f>IF(C1082&amp;G1082&amp;D1082&lt;&gt;'Funnel setup'!$K$3&amp;'Funnel setup'!$K$4&amp;'Funnel setup'!$K$5,".",IF(A1081=".",1,A1081+1))</f>
        <v>.</v>
      </c>
      <c r="B1082" s="431" t="str">
        <f t="shared" si="16"/>
        <v>Hip Replacement PrimaryCCG of GP PracticeNHS MERTON CCG (08R)EQ VAS</v>
      </c>
      <c r="C1082" t="s">
        <v>248</v>
      </c>
      <c r="D1082" t="s">
        <v>87</v>
      </c>
      <c r="E1082" t="s">
        <v>613</v>
      </c>
      <c r="F1082" t="s">
        <v>614</v>
      </c>
      <c r="G1082" t="s">
        <v>179</v>
      </c>
      <c r="H1082">
        <v>55</v>
      </c>
      <c r="I1082">
        <v>68.709000000000003</v>
      </c>
      <c r="J1082">
        <v>80.218000000000004</v>
      </c>
      <c r="K1082">
        <v>11.509</v>
      </c>
      <c r="L1082">
        <v>37</v>
      </c>
      <c r="M1082">
        <v>4</v>
      </c>
      <c r="N1082">
        <v>14</v>
      </c>
      <c r="O1082">
        <v>78.509</v>
      </c>
      <c r="P1082">
        <v>13.0046464</v>
      </c>
      <c r="Q1082">
        <v>13.865</v>
      </c>
    </row>
    <row r="1083" spans="1:17" s="30" customFormat="1" x14ac:dyDescent="0.2">
      <c r="A1083" s="30" t="str">
        <f>IF(C1083&amp;G1083&amp;D1083&lt;&gt;'Funnel setup'!$K$3&amp;'Funnel setup'!$K$4&amp;'Funnel setup'!$K$5,".",IF(A1082=".",1,A1082+1))</f>
        <v>.</v>
      </c>
      <c r="B1083" s="431" t="str">
        <f t="shared" si="16"/>
        <v>Hip Replacement PrimaryCCG of GP PracticeNHS MID ESSEX CCG (06Q)EQ VAS</v>
      </c>
      <c r="C1083" t="s">
        <v>248</v>
      </c>
      <c r="D1083" t="s">
        <v>87</v>
      </c>
      <c r="E1083" t="s">
        <v>616</v>
      </c>
      <c r="F1083" t="s">
        <v>617</v>
      </c>
      <c r="G1083" t="s">
        <v>179</v>
      </c>
      <c r="H1083">
        <v>283</v>
      </c>
      <c r="I1083">
        <v>68.643000000000001</v>
      </c>
      <c r="J1083">
        <v>79.225999999999999</v>
      </c>
      <c r="K1083">
        <v>10.583</v>
      </c>
      <c r="L1083">
        <v>179</v>
      </c>
      <c r="M1083">
        <v>38</v>
      </c>
      <c r="N1083">
        <v>66</v>
      </c>
      <c r="O1083">
        <v>77.998999999999995</v>
      </c>
      <c r="P1083">
        <v>12.4951124</v>
      </c>
      <c r="Q1083">
        <v>14.663</v>
      </c>
    </row>
    <row r="1084" spans="1:17" s="30" customFormat="1" x14ac:dyDescent="0.2">
      <c r="A1084" s="30" t="str">
        <f>IF(C1084&amp;G1084&amp;D1084&lt;&gt;'Funnel setup'!$K$3&amp;'Funnel setup'!$K$4&amp;'Funnel setup'!$K$5,".",IF(A1083=".",1,A1083+1))</f>
        <v>.</v>
      </c>
      <c r="B1084" s="431" t="str">
        <f t="shared" si="16"/>
        <v>Hip Replacement PrimaryCCG of GP PracticeNHS MILTON KEYNES CCG (04F)EQ VAS</v>
      </c>
      <c r="C1084" t="s">
        <v>248</v>
      </c>
      <c r="D1084" t="s">
        <v>87</v>
      </c>
      <c r="E1084" t="s">
        <v>619</v>
      </c>
      <c r="F1084" t="s">
        <v>338</v>
      </c>
      <c r="G1084" t="s">
        <v>179</v>
      </c>
      <c r="H1084">
        <v>183</v>
      </c>
      <c r="I1084">
        <v>60.616999999999997</v>
      </c>
      <c r="J1084">
        <v>76.459000000000003</v>
      </c>
      <c r="K1084">
        <v>15.842000000000001</v>
      </c>
      <c r="L1084">
        <v>121</v>
      </c>
      <c r="M1084">
        <v>24</v>
      </c>
      <c r="N1084">
        <v>38</v>
      </c>
      <c r="O1084">
        <v>78.186999999999998</v>
      </c>
      <c r="P1084">
        <v>12.68304288</v>
      </c>
      <c r="Q1084">
        <v>16.047000000000001</v>
      </c>
    </row>
    <row r="1085" spans="1:17" s="30" customFormat="1" x14ac:dyDescent="0.2">
      <c r="A1085" s="30" t="str">
        <f>IF(C1085&amp;G1085&amp;D1085&lt;&gt;'Funnel setup'!$K$3&amp;'Funnel setup'!$K$4&amp;'Funnel setup'!$K$5,".",IF(A1084=".",1,A1084+1))</f>
        <v>.</v>
      </c>
      <c r="B1085" s="431" t="str">
        <f t="shared" si="16"/>
        <v>Hip Replacement PrimaryCCG of GP PracticeNHS NENE CCG (04G)EQ VAS</v>
      </c>
      <c r="C1085" t="s">
        <v>248</v>
      </c>
      <c r="D1085" t="s">
        <v>87</v>
      </c>
      <c r="E1085" t="s">
        <v>621</v>
      </c>
      <c r="F1085" t="s">
        <v>622</v>
      </c>
      <c r="G1085" t="s">
        <v>179</v>
      </c>
      <c r="H1085">
        <v>379</v>
      </c>
      <c r="I1085">
        <v>63.363999999999997</v>
      </c>
      <c r="J1085">
        <v>78.164000000000001</v>
      </c>
      <c r="K1085">
        <v>14.798999999999999</v>
      </c>
      <c r="L1085">
        <v>256</v>
      </c>
      <c r="M1085">
        <v>49</v>
      </c>
      <c r="N1085">
        <v>74</v>
      </c>
      <c r="O1085">
        <v>78.441999999999993</v>
      </c>
      <c r="P1085">
        <v>12.93767454</v>
      </c>
      <c r="Q1085">
        <v>16.376000000000001</v>
      </c>
    </row>
    <row r="1086" spans="1:17" s="30" customFormat="1" x14ac:dyDescent="0.2">
      <c r="A1086" s="30" t="str">
        <f>IF(C1086&amp;G1086&amp;D1086&lt;&gt;'Funnel setup'!$K$3&amp;'Funnel setup'!$K$4&amp;'Funnel setup'!$K$5,".",IF(A1085=".",1,A1085+1))</f>
        <v>.</v>
      </c>
      <c r="B1086" s="431" t="str">
        <f t="shared" si="16"/>
        <v>Hip Replacement PrimaryCCG of GP PracticeNHS NEWARK &amp; SHERWOOD CCG (04H)EQ VAS</v>
      </c>
      <c r="C1086" t="s">
        <v>248</v>
      </c>
      <c r="D1086" t="s">
        <v>87</v>
      </c>
      <c r="E1086" t="s">
        <v>624</v>
      </c>
      <c r="F1086" t="s">
        <v>625</v>
      </c>
      <c r="G1086" t="s">
        <v>179</v>
      </c>
      <c r="H1086">
        <v>85</v>
      </c>
      <c r="I1086">
        <v>65.352999999999994</v>
      </c>
      <c r="J1086">
        <v>79.400000000000006</v>
      </c>
      <c r="K1086">
        <v>14.047000000000001</v>
      </c>
      <c r="L1086">
        <v>61</v>
      </c>
      <c r="M1086">
        <v>11</v>
      </c>
      <c r="N1086">
        <v>13</v>
      </c>
      <c r="O1086">
        <v>79.637</v>
      </c>
      <c r="P1086">
        <v>14.13257482</v>
      </c>
      <c r="Q1086">
        <v>15.257999999999999</v>
      </c>
    </row>
    <row r="1087" spans="1:17" s="30" customFormat="1" x14ac:dyDescent="0.2">
      <c r="A1087" s="30" t="str">
        <f>IF(C1087&amp;G1087&amp;D1087&lt;&gt;'Funnel setup'!$K$3&amp;'Funnel setup'!$K$4&amp;'Funnel setup'!$K$5,".",IF(A1086=".",1,A1086+1))</f>
        <v>.</v>
      </c>
      <c r="B1087" s="431" t="str">
        <f t="shared" si="16"/>
        <v>Hip Replacement PrimaryCCG of GP PracticeNHS NEWBURY AND DISTRICT CCG (10M)EQ VAS</v>
      </c>
      <c r="C1087" t="s">
        <v>248</v>
      </c>
      <c r="D1087" t="s">
        <v>87</v>
      </c>
      <c r="E1087" t="s">
        <v>627</v>
      </c>
      <c r="F1087" t="s">
        <v>628</v>
      </c>
      <c r="G1087" t="s">
        <v>179</v>
      </c>
      <c r="H1087">
        <v>73</v>
      </c>
      <c r="I1087">
        <v>68.561999999999998</v>
      </c>
      <c r="J1087">
        <v>80.822000000000003</v>
      </c>
      <c r="K1087">
        <v>12.26</v>
      </c>
      <c r="L1087">
        <v>54</v>
      </c>
      <c r="M1087">
        <v>6</v>
      </c>
      <c r="N1087">
        <v>13</v>
      </c>
      <c r="O1087">
        <v>79.319000000000003</v>
      </c>
      <c r="P1087">
        <v>13.81455701</v>
      </c>
      <c r="Q1087">
        <v>16.157</v>
      </c>
    </row>
    <row r="1088" spans="1:17" s="30" customFormat="1" x14ac:dyDescent="0.2">
      <c r="A1088" s="30" t="str">
        <f>IF(C1088&amp;G1088&amp;D1088&lt;&gt;'Funnel setup'!$K$3&amp;'Funnel setup'!$K$4&amp;'Funnel setup'!$K$5,".",IF(A1087=".",1,A1087+1))</f>
        <v>.</v>
      </c>
      <c r="B1088" s="431" t="str">
        <f t="shared" si="16"/>
        <v>Hip Replacement PrimaryCCG of GP PracticeNHS NEWCASTLE GATESHEAD CCG (13T)EQ VAS</v>
      </c>
      <c r="C1088" t="s">
        <v>248</v>
      </c>
      <c r="D1088" t="s">
        <v>87</v>
      </c>
      <c r="E1088" t="s">
        <v>6553</v>
      </c>
      <c r="F1088" t="s">
        <v>6543</v>
      </c>
      <c r="G1088" t="s">
        <v>179</v>
      </c>
      <c r="H1088">
        <v>324</v>
      </c>
      <c r="I1088">
        <v>64.820999999999998</v>
      </c>
      <c r="J1088">
        <v>76.096000000000004</v>
      </c>
      <c r="K1088">
        <v>11.275</v>
      </c>
      <c r="L1088">
        <v>214</v>
      </c>
      <c r="M1088">
        <v>37</v>
      </c>
      <c r="N1088">
        <v>73</v>
      </c>
      <c r="O1088">
        <v>77.034999999999997</v>
      </c>
      <c r="P1088">
        <v>11.530841649999999</v>
      </c>
      <c r="Q1088">
        <v>16.141999999999999</v>
      </c>
    </row>
    <row r="1089" spans="1:17" s="30" customFormat="1" x14ac:dyDescent="0.2">
      <c r="A1089" s="30" t="str">
        <f>IF(C1089&amp;G1089&amp;D1089&lt;&gt;'Funnel setup'!$K$3&amp;'Funnel setup'!$K$4&amp;'Funnel setup'!$K$5,".",IF(A1088=".",1,A1088+1))</f>
        <v>.</v>
      </c>
      <c r="B1089" s="431" t="str">
        <f t="shared" si="16"/>
        <v>Hip Replacement PrimaryCCG of GP PracticeNHS NEWHAM CCG (08M)EQ VAS</v>
      </c>
      <c r="C1089" t="s">
        <v>248</v>
      </c>
      <c r="D1089" t="s">
        <v>87</v>
      </c>
      <c r="E1089" t="s">
        <v>630</v>
      </c>
      <c r="F1089" t="s">
        <v>631</v>
      </c>
      <c r="G1089" t="s">
        <v>179</v>
      </c>
      <c r="H1089">
        <v>37</v>
      </c>
      <c r="I1089">
        <v>55.649000000000001</v>
      </c>
      <c r="J1089">
        <v>71.378</v>
      </c>
      <c r="K1089">
        <v>15.73</v>
      </c>
      <c r="L1089">
        <v>25</v>
      </c>
      <c r="M1089">
        <v>4</v>
      </c>
      <c r="N1089">
        <v>8</v>
      </c>
      <c r="O1089">
        <v>78.138999999999996</v>
      </c>
      <c r="P1089">
        <v>12.63498077</v>
      </c>
      <c r="Q1089">
        <v>16.756</v>
      </c>
    </row>
    <row r="1090" spans="1:17" s="30" customFormat="1" x14ac:dyDescent="0.2">
      <c r="A1090" s="30" t="str">
        <f>IF(C1090&amp;G1090&amp;D1090&lt;&gt;'Funnel setup'!$K$3&amp;'Funnel setup'!$K$4&amp;'Funnel setup'!$K$5,".",IF(A1089=".",1,A1089+1))</f>
        <v>.</v>
      </c>
      <c r="B1090" s="431" t="str">
        <f t="shared" si="16"/>
        <v>Hip Replacement PrimaryCCG of GP PracticeNHS NORTH &amp; WEST READING CCG (10N)EQ VAS</v>
      </c>
      <c r="C1090" t="s">
        <v>248</v>
      </c>
      <c r="D1090" t="s">
        <v>87</v>
      </c>
      <c r="E1090" t="s">
        <v>633</v>
      </c>
      <c r="F1090" t="s">
        <v>634</v>
      </c>
      <c r="G1090" t="s">
        <v>179</v>
      </c>
      <c r="H1090">
        <v>67</v>
      </c>
      <c r="I1090">
        <v>64.896000000000001</v>
      </c>
      <c r="J1090">
        <v>79.641999999999996</v>
      </c>
      <c r="K1090">
        <v>14.746</v>
      </c>
      <c r="L1090">
        <v>47</v>
      </c>
      <c r="M1090">
        <v>8</v>
      </c>
      <c r="N1090">
        <v>12</v>
      </c>
      <c r="O1090">
        <v>78.995000000000005</v>
      </c>
      <c r="P1090">
        <v>13.49027946</v>
      </c>
      <c r="Q1090">
        <v>14.746</v>
      </c>
    </row>
    <row r="1091" spans="1:17" s="30" customFormat="1" x14ac:dyDescent="0.2">
      <c r="A1091" s="30" t="str">
        <f>IF(C1091&amp;G1091&amp;D1091&lt;&gt;'Funnel setup'!$K$3&amp;'Funnel setup'!$K$4&amp;'Funnel setup'!$K$5,".",IF(A1090=".",1,A1090+1))</f>
        <v>.</v>
      </c>
      <c r="B1091" s="431" t="str">
        <f t="shared" ref="B1091:B1154" si="17">C1091&amp;D1091&amp;F1091&amp;G1091</f>
        <v>Hip Replacement PrimaryCCG of GP PracticeNHS NORTH DERBYSHIRE CCG (04J)EQ VAS</v>
      </c>
      <c r="C1091" t="s">
        <v>248</v>
      </c>
      <c r="D1091" t="s">
        <v>87</v>
      </c>
      <c r="E1091" t="s">
        <v>636</v>
      </c>
      <c r="F1091" t="s">
        <v>637</v>
      </c>
      <c r="G1091" t="s">
        <v>179</v>
      </c>
      <c r="H1091">
        <v>283</v>
      </c>
      <c r="I1091">
        <v>65.367000000000004</v>
      </c>
      <c r="J1091">
        <v>76.953999999999994</v>
      </c>
      <c r="K1091">
        <v>11.587</v>
      </c>
      <c r="L1091">
        <v>185</v>
      </c>
      <c r="M1091">
        <v>29</v>
      </c>
      <c r="N1091">
        <v>69</v>
      </c>
      <c r="O1091">
        <v>76.531999999999996</v>
      </c>
      <c r="P1091">
        <v>11.0274696</v>
      </c>
      <c r="Q1091">
        <v>15.054</v>
      </c>
    </row>
    <row r="1092" spans="1:17" s="30" customFormat="1" x14ac:dyDescent="0.2">
      <c r="A1092" s="30" t="str">
        <f>IF(C1092&amp;G1092&amp;D1092&lt;&gt;'Funnel setup'!$K$3&amp;'Funnel setup'!$K$4&amp;'Funnel setup'!$K$5,".",IF(A1091=".",1,A1091+1))</f>
        <v>.</v>
      </c>
      <c r="B1092" s="431" t="str">
        <f t="shared" si="17"/>
        <v>Hip Replacement PrimaryCCG of GP PracticeNHS NORTH DURHAM CCG (00J)EQ VAS</v>
      </c>
      <c r="C1092" t="s">
        <v>248</v>
      </c>
      <c r="D1092" t="s">
        <v>87</v>
      </c>
      <c r="E1092" t="s">
        <v>639</v>
      </c>
      <c r="F1092" t="s">
        <v>640</v>
      </c>
      <c r="G1092" t="s">
        <v>179</v>
      </c>
      <c r="H1092">
        <v>168</v>
      </c>
      <c r="I1092">
        <v>61.94</v>
      </c>
      <c r="J1092">
        <v>73.173000000000002</v>
      </c>
      <c r="K1092">
        <v>11.231999999999999</v>
      </c>
      <c r="L1092">
        <v>106</v>
      </c>
      <c r="M1092">
        <v>17</v>
      </c>
      <c r="N1092">
        <v>45</v>
      </c>
      <c r="O1092">
        <v>75.468000000000004</v>
      </c>
      <c r="P1092">
        <v>9.9632675620000004</v>
      </c>
      <c r="Q1092">
        <v>17.581</v>
      </c>
    </row>
    <row r="1093" spans="1:17" s="30" customFormat="1" x14ac:dyDescent="0.2">
      <c r="A1093" s="30" t="str">
        <f>IF(C1093&amp;G1093&amp;D1093&lt;&gt;'Funnel setup'!$K$3&amp;'Funnel setup'!$K$4&amp;'Funnel setup'!$K$5,".",IF(A1092=".",1,A1092+1))</f>
        <v>.</v>
      </c>
      <c r="B1093" s="431" t="str">
        <f t="shared" si="17"/>
        <v>Hip Replacement PrimaryCCG of GP PracticeNHS NORTH EAST ESSEX CCG (06T)EQ VAS</v>
      </c>
      <c r="C1093" t="s">
        <v>248</v>
      </c>
      <c r="D1093" t="s">
        <v>87</v>
      </c>
      <c r="E1093" t="s">
        <v>642</v>
      </c>
      <c r="F1093" t="s">
        <v>643</v>
      </c>
      <c r="G1093" t="s">
        <v>179</v>
      </c>
      <c r="H1093">
        <v>254</v>
      </c>
      <c r="I1093">
        <v>64.948999999999998</v>
      </c>
      <c r="J1093">
        <v>76.582999999999998</v>
      </c>
      <c r="K1093">
        <v>11.634</v>
      </c>
      <c r="L1093">
        <v>170</v>
      </c>
      <c r="M1093">
        <v>31</v>
      </c>
      <c r="N1093">
        <v>53</v>
      </c>
      <c r="O1093">
        <v>77.314999999999998</v>
      </c>
      <c r="P1093">
        <v>11.810918340000001</v>
      </c>
      <c r="Q1093">
        <v>15.478</v>
      </c>
    </row>
    <row r="1094" spans="1:17" s="30" customFormat="1" x14ac:dyDescent="0.2">
      <c r="A1094" s="30" t="str">
        <f>IF(C1094&amp;G1094&amp;D1094&lt;&gt;'Funnel setup'!$K$3&amp;'Funnel setup'!$K$4&amp;'Funnel setup'!$K$5,".",IF(A1093=".",1,A1093+1))</f>
        <v>.</v>
      </c>
      <c r="B1094" s="431" t="str">
        <f t="shared" si="17"/>
        <v>Hip Replacement PrimaryCCG of GP PracticeNHS NORTH EAST HAMPSHIRE AND FARNHAM CCG (99M)EQ VAS</v>
      </c>
      <c r="C1094" t="s">
        <v>248</v>
      </c>
      <c r="D1094" t="s">
        <v>87</v>
      </c>
      <c r="E1094" t="s">
        <v>645</v>
      </c>
      <c r="F1094" t="s">
        <v>646</v>
      </c>
      <c r="G1094" t="s">
        <v>179</v>
      </c>
      <c r="H1094">
        <v>184</v>
      </c>
      <c r="I1094">
        <v>68.424000000000007</v>
      </c>
      <c r="J1094">
        <v>80.88</v>
      </c>
      <c r="K1094">
        <v>12.457000000000001</v>
      </c>
      <c r="L1094">
        <v>130</v>
      </c>
      <c r="M1094">
        <v>21</v>
      </c>
      <c r="N1094">
        <v>33</v>
      </c>
      <c r="O1094">
        <v>79.117000000000004</v>
      </c>
      <c r="P1094">
        <v>13.61223528</v>
      </c>
      <c r="Q1094">
        <v>12.933999999999999</v>
      </c>
    </row>
    <row r="1095" spans="1:17" s="30" customFormat="1" x14ac:dyDescent="0.2">
      <c r="A1095" s="30" t="str">
        <f>IF(C1095&amp;G1095&amp;D1095&lt;&gt;'Funnel setup'!$K$3&amp;'Funnel setup'!$K$4&amp;'Funnel setup'!$K$5,".",IF(A1094=".",1,A1094+1))</f>
        <v>.</v>
      </c>
      <c r="B1095" s="431" t="str">
        <f t="shared" si="17"/>
        <v>Hip Replacement PrimaryCCG of GP PracticeNHS NORTH EAST LINCOLNSHIRE CCG (03H)EQ VAS</v>
      </c>
      <c r="C1095" t="s">
        <v>248</v>
      </c>
      <c r="D1095" t="s">
        <v>87</v>
      </c>
      <c r="E1095" t="s">
        <v>648</v>
      </c>
      <c r="F1095" t="s">
        <v>649</v>
      </c>
      <c r="G1095" t="s">
        <v>179</v>
      </c>
      <c r="H1095">
        <v>89</v>
      </c>
      <c r="I1095">
        <v>66.471999999999994</v>
      </c>
      <c r="J1095">
        <v>78.168999999999997</v>
      </c>
      <c r="K1095">
        <v>11.696999999999999</v>
      </c>
      <c r="L1095">
        <v>66</v>
      </c>
      <c r="M1095">
        <v>4</v>
      </c>
      <c r="N1095">
        <v>19</v>
      </c>
      <c r="O1095">
        <v>78.947999999999993</v>
      </c>
      <c r="P1095">
        <v>13.44348301</v>
      </c>
      <c r="Q1095">
        <v>15.147</v>
      </c>
    </row>
    <row r="1096" spans="1:17" s="30" customFormat="1" x14ac:dyDescent="0.2">
      <c r="A1096" s="30" t="str">
        <f>IF(C1096&amp;G1096&amp;D1096&lt;&gt;'Funnel setup'!$K$3&amp;'Funnel setup'!$K$4&amp;'Funnel setup'!$K$5,".",IF(A1095=".",1,A1095+1))</f>
        <v>.</v>
      </c>
      <c r="B1096" s="431" t="str">
        <f t="shared" si="17"/>
        <v>Hip Replacement PrimaryCCG of GP PracticeNHS NORTH HAMPSHIRE CCG (10J)EQ VAS</v>
      </c>
      <c r="C1096" t="s">
        <v>248</v>
      </c>
      <c r="D1096" t="s">
        <v>87</v>
      </c>
      <c r="E1096" t="s">
        <v>651</v>
      </c>
      <c r="F1096" t="s">
        <v>652</v>
      </c>
      <c r="G1096" t="s">
        <v>179</v>
      </c>
      <c r="H1096">
        <v>92</v>
      </c>
      <c r="I1096">
        <v>69</v>
      </c>
      <c r="J1096">
        <v>80.424000000000007</v>
      </c>
      <c r="K1096">
        <v>11.423999999999999</v>
      </c>
      <c r="L1096">
        <v>57</v>
      </c>
      <c r="M1096">
        <v>15</v>
      </c>
      <c r="N1096">
        <v>20</v>
      </c>
      <c r="O1096">
        <v>78.566999999999993</v>
      </c>
      <c r="P1096">
        <v>13.06298615</v>
      </c>
      <c r="Q1096">
        <v>12.319000000000001</v>
      </c>
    </row>
    <row r="1097" spans="1:17" s="30" customFormat="1" x14ac:dyDescent="0.2">
      <c r="A1097" s="30" t="str">
        <f>IF(C1097&amp;G1097&amp;D1097&lt;&gt;'Funnel setup'!$K$3&amp;'Funnel setup'!$K$4&amp;'Funnel setup'!$K$5,".",IF(A1096=".",1,A1096+1))</f>
        <v>.</v>
      </c>
      <c r="B1097" s="431" t="str">
        <f t="shared" si="17"/>
        <v>Hip Replacement PrimaryCCG of GP PracticeNHS NORTH KIRKLEES CCG (03J)EQ VAS</v>
      </c>
      <c r="C1097" t="s">
        <v>248</v>
      </c>
      <c r="D1097" t="s">
        <v>87</v>
      </c>
      <c r="E1097" t="s">
        <v>654</v>
      </c>
      <c r="F1097" t="s">
        <v>655</v>
      </c>
      <c r="G1097" t="s">
        <v>179</v>
      </c>
      <c r="H1097">
        <v>95</v>
      </c>
      <c r="I1097">
        <v>62.084000000000003</v>
      </c>
      <c r="J1097">
        <v>73.989000000000004</v>
      </c>
      <c r="K1097">
        <v>11.904999999999999</v>
      </c>
      <c r="L1097">
        <v>63</v>
      </c>
      <c r="M1097">
        <v>6</v>
      </c>
      <c r="N1097">
        <v>26</v>
      </c>
      <c r="O1097">
        <v>75.126999999999995</v>
      </c>
      <c r="P1097">
        <v>9.6226744330000002</v>
      </c>
      <c r="Q1097">
        <v>17.122</v>
      </c>
    </row>
    <row r="1098" spans="1:17" s="30" customFormat="1" x14ac:dyDescent="0.2">
      <c r="A1098" s="30" t="str">
        <f>IF(C1098&amp;G1098&amp;D1098&lt;&gt;'Funnel setup'!$K$3&amp;'Funnel setup'!$K$4&amp;'Funnel setup'!$K$5,".",IF(A1097=".",1,A1097+1))</f>
        <v>.</v>
      </c>
      <c r="B1098" s="431" t="str">
        <f t="shared" si="17"/>
        <v>Hip Replacement PrimaryCCG of GP PracticeNHS NORTH LINCOLNSHIRE CCG (03K)EQ VAS</v>
      </c>
      <c r="C1098" t="s">
        <v>248</v>
      </c>
      <c r="D1098" t="s">
        <v>87</v>
      </c>
      <c r="E1098" t="s">
        <v>657</v>
      </c>
      <c r="F1098" t="s">
        <v>658</v>
      </c>
      <c r="G1098" t="s">
        <v>179</v>
      </c>
      <c r="H1098">
        <v>121</v>
      </c>
      <c r="I1098">
        <v>63.024999999999999</v>
      </c>
      <c r="J1098">
        <v>77.222999999999999</v>
      </c>
      <c r="K1098">
        <v>14.198</v>
      </c>
      <c r="L1098">
        <v>86</v>
      </c>
      <c r="M1098">
        <v>14</v>
      </c>
      <c r="N1098">
        <v>21</v>
      </c>
      <c r="O1098">
        <v>78.075999999999993</v>
      </c>
      <c r="P1098">
        <v>12.57216904</v>
      </c>
      <c r="Q1098">
        <v>12.884</v>
      </c>
    </row>
    <row r="1099" spans="1:17" s="30" customFormat="1" x14ac:dyDescent="0.2">
      <c r="A1099" s="30" t="str">
        <f>IF(C1099&amp;G1099&amp;D1099&lt;&gt;'Funnel setup'!$K$3&amp;'Funnel setup'!$K$4&amp;'Funnel setup'!$K$5,".",IF(A1098=".",1,A1098+1))</f>
        <v>.</v>
      </c>
      <c r="B1099" s="431" t="str">
        <f t="shared" si="17"/>
        <v>Hip Replacement PrimaryCCG of GP PracticeNHS NORTH MANCHESTER CCG (01M)EQ VAS</v>
      </c>
      <c r="C1099" t="s">
        <v>248</v>
      </c>
      <c r="D1099" t="s">
        <v>87</v>
      </c>
      <c r="E1099" t="s">
        <v>660</v>
      </c>
      <c r="F1099" t="s">
        <v>661</v>
      </c>
      <c r="G1099" t="s">
        <v>179</v>
      </c>
      <c r="H1099">
        <v>48</v>
      </c>
      <c r="I1099">
        <v>63.396000000000001</v>
      </c>
      <c r="J1099">
        <v>74.167000000000002</v>
      </c>
      <c r="K1099">
        <v>10.771000000000001</v>
      </c>
      <c r="L1099">
        <v>29</v>
      </c>
      <c r="M1099">
        <v>5</v>
      </c>
      <c r="N1099">
        <v>14</v>
      </c>
      <c r="O1099">
        <v>76.484999999999999</v>
      </c>
      <c r="P1099">
        <v>10.98046931</v>
      </c>
      <c r="Q1099">
        <v>18.449000000000002</v>
      </c>
    </row>
    <row r="1100" spans="1:17" s="30" customFormat="1" x14ac:dyDescent="0.2">
      <c r="A1100" s="30" t="str">
        <f>IF(C1100&amp;G1100&amp;D1100&lt;&gt;'Funnel setup'!$K$3&amp;'Funnel setup'!$K$4&amp;'Funnel setup'!$K$5,".",IF(A1099=".",1,A1099+1))</f>
        <v>.</v>
      </c>
      <c r="B1100" s="431" t="str">
        <f t="shared" si="17"/>
        <v>Hip Replacement PrimaryCCG of GP PracticeNHS NORTH NORFOLK CCG (06V)EQ VAS</v>
      </c>
      <c r="C1100" t="s">
        <v>248</v>
      </c>
      <c r="D1100" t="s">
        <v>87</v>
      </c>
      <c r="E1100" t="s">
        <v>663</v>
      </c>
      <c r="F1100" t="s">
        <v>664</v>
      </c>
      <c r="G1100" t="s">
        <v>179</v>
      </c>
      <c r="H1100">
        <v>224</v>
      </c>
      <c r="I1100">
        <v>67.147000000000006</v>
      </c>
      <c r="J1100">
        <v>80.070999999999998</v>
      </c>
      <c r="K1100">
        <v>12.923999999999999</v>
      </c>
      <c r="L1100">
        <v>143</v>
      </c>
      <c r="M1100">
        <v>39</v>
      </c>
      <c r="N1100">
        <v>42</v>
      </c>
      <c r="O1100">
        <v>78.932000000000002</v>
      </c>
      <c r="P1100">
        <v>13.427614500000001</v>
      </c>
      <c r="Q1100">
        <v>12.346</v>
      </c>
    </row>
    <row r="1101" spans="1:17" s="30" customFormat="1" x14ac:dyDescent="0.2">
      <c r="A1101" s="30" t="str">
        <f>IF(C1101&amp;G1101&amp;D1101&lt;&gt;'Funnel setup'!$K$3&amp;'Funnel setup'!$K$4&amp;'Funnel setup'!$K$5,".",IF(A1100=".",1,A1100+1))</f>
        <v>.</v>
      </c>
      <c r="B1101" s="431" t="str">
        <f t="shared" si="17"/>
        <v>Hip Replacement PrimaryCCG of GP PracticeNHS NORTH SOMERSET CCG (11T)EQ VAS</v>
      </c>
      <c r="C1101" t="s">
        <v>248</v>
      </c>
      <c r="D1101" t="s">
        <v>87</v>
      </c>
      <c r="E1101" t="s">
        <v>666</v>
      </c>
      <c r="F1101" t="s">
        <v>667</v>
      </c>
      <c r="G1101" t="s">
        <v>179</v>
      </c>
      <c r="H1101">
        <v>165</v>
      </c>
      <c r="I1101">
        <v>68.509</v>
      </c>
      <c r="J1101">
        <v>79.478999999999999</v>
      </c>
      <c r="K1101">
        <v>10.97</v>
      </c>
      <c r="L1101">
        <v>111</v>
      </c>
      <c r="M1101">
        <v>18</v>
      </c>
      <c r="N1101">
        <v>36</v>
      </c>
      <c r="O1101">
        <v>77.403999999999996</v>
      </c>
      <c r="P1101">
        <v>11.899396169999999</v>
      </c>
      <c r="Q1101">
        <v>13.696</v>
      </c>
    </row>
    <row r="1102" spans="1:17" s="30" customFormat="1" x14ac:dyDescent="0.2">
      <c r="A1102" s="30" t="str">
        <f>IF(C1102&amp;G1102&amp;D1102&lt;&gt;'Funnel setup'!$K$3&amp;'Funnel setup'!$K$4&amp;'Funnel setup'!$K$5,".",IF(A1101=".",1,A1101+1))</f>
        <v>.</v>
      </c>
      <c r="B1102" s="431" t="str">
        <f t="shared" si="17"/>
        <v>Hip Replacement PrimaryCCG of GP PracticeNHS NORTH STAFFORDSHIRE CCG (05G)EQ VAS</v>
      </c>
      <c r="C1102" t="s">
        <v>248</v>
      </c>
      <c r="D1102" t="s">
        <v>87</v>
      </c>
      <c r="E1102" t="s">
        <v>669</v>
      </c>
      <c r="F1102" t="s">
        <v>670</v>
      </c>
      <c r="G1102" t="s">
        <v>179</v>
      </c>
      <c r="H1102">
        <v>182</v>
      </c>
      <c r="I1102">
        <v>61.527000000000001</v>
      </c>
      <c r="J1102">
        <v>76.736000000000004</v>
      </c>
      <c r="K1102">
        <v>15.209</v>
      </c>
      <c r="L1102">
        <v>134</v>
      </c>
      <c r="M1102">
        <v>11</v>
      </c>
      <c r="N1102">
        <v>37</v>
      </c>
      <c r="O1102">
        <v>78.328000000000003</v>
      </c>
      <c r="P1102">
        <v>12.82390006</v>
      </c>
      <c r="Q1102">
        <v>15.475</v>
      </c>
    </row>
    <row r="1103" spans="1:17" s="30" customFormat="1" x14ac:dyDescent="0.2">
      <c r="A1103" s="30" t="str">
        <f>IF(C1103&amp;G1103&amp;D1103&lt;&gt;'Funnel setup'!$K$3&amp;'Funnel setup'!$K$4&amp;'Funnel setup'!$K$5,".",IF(A1102=".",1,A1102+1))</f>
        <v>.</v>
      </c>
      <c r="B1103" s="431" t="str">
        <f t="shared" si="17"/>
        <v>Hip Replacement PrimaryCCG of GP PracticeNHS NORTH TYNESIDE CCG (99C)EQ VAS</v>
      </c>
      <c r="C1103" t="s">
        <v>248</v>
      </c>
      <c r="D1103" t="s">
        <v>87</v>
      </c>
      <c r="E1103" t="s">
        <v>672</v>
      </c>
      <c r="F1103" t="s">
        <v>673</v>
      </c>
      <c r="G1103" t="s">
        <v>179</v>
      </c>
      <c r="H1103">
        <v>225</v>
      </c>
      <c r="I1103">
        <v>61.661999999999999</v>
      </c>
      <c r="J1103">
        <v>76.400000000000006</v>
      </c>
      <c r="K1103">
        <v>14.738</v>
      </c>
      <c r="L1103">
        <v>156</v>
      </c>
      <c r="M1103">
        <v>22</v>
      </c>
      <c r="N1103">
        <v>47</v>
      </c>
      <c r="O1103">
        <v>77.653999999999996</v>
      </c>
      <c r="P1103">
        <v>12.14921354</v>
      </c>
      <c r="Q1103">
        <v>16.667000000000002</v>
      </c>
    </row>
    <row r="1104" spans="1:17" s="30" customFormat="1" x14ac:dyDescent="0.2">
      <c r="A1104" s="30" t="str">
        <f>IF(C1104&amp;G1104&amp;D1104&lt;&gt;'Funnel setup'!$K$3&amp;'Funnel setup'!$K$4&amp;'Funnel setup'!$K$5,".",IF(A1103=".",1,A1103+1))</f>
        <v>.</v>
      </c>
      <c r="B1104" s="431" t="str">
        <f t="shared" si="17"/>
        <v>Hip Replacement PrimaryCCG of GP PracticeNHS NORTH WEST SURREY CCG (09Y)EQ VAS</v>
      </c>
      <c r="C1104" t="s">
        <v>248</v>
      </c>
      <c r="D1104" t="s">
        <v>87</v>
      </c>
      <c r="E1104" t="s">
        <v>675</v>
      </c>
      <c r="F1104" t="s">
        <v>676</v>
      </c>
      <c r="G1104" t="s">
        <v>179</v>
      </c>
      <c r="H1104">
        <v>254</v>
      </c>
      <c r="I1104">
        <v>68.016000000000005</v>
      </c>
      <c r="J1104">
        <v>79.646000000000001</v>
      </c>
      <c r="K1104">
        <v>11.63</v>
      </c>
      <c r="L1104">
        <v>168</v>
      </c>
      <c r="M1104">
        <v>43</v>
      </c>
      <c r="N1104">
        <v>43</v>
      </c>
      <c r="O1104">
        <v>78.287000000000006</v>
      </c>
      <c r="P1104">
        <v>12.782249739999999</v>
      </c>
      <c r="Q1104">
        <v>13.867000000000001</v>
      </c>
    </row>
    <row r="1105" spans="1:17" s="30" customFormat="1" x14ac:dyDescent="0.2">
      <c r="A1105" s="30" t="str">
        <f>IF(C1105&amp;G1105&amp;D1105&lt;&gt;'Funnel setup'!$K$3&amp;'Funnel setup'!$K$4&amp;'Funnel setup'!$K$5,".",IF(A1104=".",1,A1104+1))</f>
        <v>.</v>
      </c>
      <c r="B1105" s="431" t="str">
        <f t="shared" si="17"/>
        <v>Hip Replacement PrimaryCCG of GP PracticeNHS NORTHERN, EASTERN AND WESTERN DEVON CCG (99P)EQ VAS</v>
      </c>
      <c r="C1105" t="s">
        <v>248</v>
      </c>
      <c r="D1105" t="s">
        <v>87</v>
      </c>
      <c r="E1105" t="s">
        <v>678</v>
      </c>
      <c r="F1105" t="s">
        <v>679</v>
      </c>
      <c r="G1105" t="s">
        <v>179</v>
      </c>
      <c r="H1105">
        <v>1007</v>
      </c>
      <c r="I1105">
        <v>67.311999999999998</v>
      </c>
      <c r="J1105">
        <v>77.385000000000005</v>
      </c>
      <c r="K1105">
        <v>10.073</v>
      </c>
      <c r="L1105">
        <v>644</v>
      </c>
      <c r="M1105">
        <v>126</v>
      </c>
      <c r="N1105">
        <v>237</v>
      </c>
      <c r="O1105">
        <v>77.212000000000003</v>
      </c>
      <c r="P1105">
        <v>11.707391599999999</v>
      </c>
      <c r="Q1105">
        <v>15.269</v>
      </c>
    </row>
    <row r="1106" spans="1:17" s="30" customFormat="1" x14ac:dyDescent="0.2">
      <c r="A1106" s="30" t="str">
        <f>IF(C1106&amp;G1106&amp;D1106&lt;&gt;'Funnel setup'!$K$3&amp;'Funnel setup'!$K$4&amp;'Funnel setup'!$K$5,".",IF(A1105=".",1,A1105+1))</f>
        <v>.</v>
      </c>
      <c r="B1106" s="431" t="str">
        <f t="shared" si="17"/>
        <v>Hip Replacement PrimaryCCG of GP PracticeNHS NORTHUMBERLAND CCG (00L)EQ VAS</v>
      </c>
      <c r="C1106" t="s">
        <v>248</v>
      </c>
      <c r="D1106" t="s">
        <v>87</v>
      </c>
      <c r="E1106" t="s">
        <v>681</v>
      </c>
      <c r="F1106" t="s">
        <v>336</v>
      </c>
      <c r="G1106" t="s">
        <v>179</v>
      </c>
      <c r="H1106">
        <v>308</v>
      </c>
      <c r="I1106">
        <v>64.269000000000005</v>
      </c>
      <c r="J1106">
        <v>77.753</v>
      </c>
      <c r="K1106">
        <v>13.484</v>
      </c>
      <c r="L1106">
        <v>217</v>
      </c>
      <c r="M1106">
        <v>37</v>
      </c>
      <c r="N1106">
        <v>54</v>
      </c>
      <c r="O1106">
        <v>78.33</v>
      </c>
      <c r="P1106">
        <v>12.825637159999999</v>
      </c>
      <c r="Q1106">
        <v>13.862</v>
      </c>
    </row>
    <row r="1107" spans="1:17" s="30" customFormat="1" x14ac:dyDescent="0.2">
      <c r="A1107" s="30" t="str">
        <f>IF(C1107&amp;G1107&amp;D1107&lt;&gt;'Funnel setup'!$K$3&amp;'Funnel setup'!$K$4&amp;'Funnel setup'!$K$5,".",IF(A1106=".",1,A1106+1))</f>
        <v>.</v>
      </c>
      <c r="B1107" s="431" t="str">
        <f t="shared" si="17"/>
        <v>Hip Replacement PrimaryCCG of GP PracticeNHS NORWICH CCG (06W)EQ VAS</v>
      </c>
      <c r="C1107" t="s">
        <v>248</v>
      </c>
      <c r="D1107" t="s">
        <v>87</v>
      </c>
      <c r="E1107" t="s">
        <v>770</v>
      </c>
      <c r="F1107" t="s">
        <v>771</v>
      </c>
      <c r="G1107" t="s">
        <v>179</v>
      </c>
      <c r="H1107">
        <v>134</v>
      </c>
      <c r="I1107">
        <v>67.388000000000005</v>
      </c>
      <c r="J1107">
        <v>78.656999999999996</v>
      </c>
      <c r="K1107">
        <v>11.269</v>
      </c>
      <c r="L1107">
        <v>87</v>
      </c>
      <c r="M1107">
        <v>14</v>
      </c>
      <c r="N1107">
        <v>33</v>
      </c>
      <c r="O1107">
        <v>78.364999999999995</v>
      </c>
      <c r="P1107">
        <v>12.86071413</v>
      </c>
      <c r="Q1107">
        <v>16.283000000000001</v>
      </c>
    </row>
    <row r="1108" spans="1:17" s="30" customFormat="1" x14ac:dyDescent="0.2">
      <c r="A1108" s="30" t="str">
        <f>IF(C1108&amp;G1108&amp;D1108&lt;&gt;'Funnel setup'!$K$3&amp;'Funnel setup'!$K$4&amp;'Funnel setup'!$K$5,".",IF(A1107=".",1,A1107+1))</f>
        <v>.</v>
      </c>
      <c r="B1108" s="431" t="str">
        <f t="shared" si="17"/>
        <v>Hip Replacement PrimaryCCG of GP PracticeNHS NOTTINGHAM CITY CCG (04K)EQ VAS</v>
      </c>
      <c r="C1108" t="s">
        <v>248</v>
      </c>
      <c r="D1108" t="s">
        <v>87</v>
      </c>
      <c r="E1108" t="s">
        <v>773</v>
      </c>
      <c r="F1108" t="s">
        <v>774</v>
      </c>
      <c r="G1108" t="s">
        <v>179</v>
      </c>
      <c r="H1108">
        <v>111</v>
      </c>
      <c r="I1108">
        <v>65.622</v>
      </c>
      <c r="J1108">
        <v>77.819999999999993</v>
      </c>
      <c r="K1108">
        <v>12.198</v>
      </c>
      <c r="L1108">
        <v>71</v>
      </c>
      <c r="M1108">
        <v>16</v>
      </c>
      <c r="N1108">
        <v>24</v>
      </c>
      <c r="O1108">
        <v>78.828999999999994</v>
      </c>
      <c r="P1108">
        <v>13.3241867</v>
      </c>
      <c r="Q1108">
        <v>15.516</v>
      </c>
    </row>
    <row r="1109" spans="1:17" s="30" customFormat="1" x14ac:dyDescent="0.2">
      <c r="A1109" s="30" t="str">
        <f>IF(C1109&amp;G1109&amp;D1109&lt;&gt;'Funnel setup'!$K$3&amp;'Funnel setup'!$K$4&amp;'Funnel setup'!$K$5,".",IF(A1108=".",1,A1108+1))</f>
        <v>.</v>
      </c>
      <c r="B1109" s="431" t="str">
        <f t="shared" si="17"/>
        <v>Hip Replacement PrimaryCCG of GP PracticeNHS NOTTINGHAM NORTH AND EAST CCG (04L)EQ VAS</v>
      </c>
      <c r="C1109" t="s">
        <v>248</v>
      </c>
      <c r="D1109" t="s">
        <v>87</v>
      </c>
      <c r="E1109" t="s">
        <v>776</v>
      </c>
      <c r="F1109" t="s">
        <v>777</v>
      </c>
      <c r="G1109" t="s">
        <v>179</v>
      </c>
      <c r="H1109">
        <v>128</v>
      </c>
      <c r="I1109">
        <v>64.546999999999997</v>
      </c>
      <c r="J1109">
        <v>76.852000000000004</v>
      </c>
      <c r="K1109">
        <v>12.305</v>
      </c>
      <c r="L1109">
        <v>94</v>
      </c>
      <c r="M1109">
        <v>7</v>
      </c>
      <c r="N1109">
        <v>27</v>
      </c>
      <c r="O1109">
        <v>76.849000000000004</v>
      </c>
      <c r="P1109">
        <v>11.34434577</v>
      </c>
      <c r="Q1109">
        <v>15.98</v>
      </c>
    </row>
    <row r="1110" spans="1:17" s="30" customFormat="1" x14ac:dyDescent="0.2">
      <c r="A1110" s="30" t="str">
        <f>IF(C1110&amp;G1110&amp;D1110&lt;&gt;'Funnel setup'!$K$3&amp;'Funnel setup'!$K$4&amp;'Funnel setup'!$K$5,".",IF(A1109=".",1,A1109+1))</f>
        <v>.</v>
      </c>
      <c r="B1110" s="431" t="str">
        <f t="shared" si="17"/>
        <v>Hip Replacement PrimaryCCG of GP PracticeNHS NOTTINGHAM WEST CCG (04M)EQ VAS</v>
      </c>
      <c r="C1110" t="s">
        <v>248</v>
      </c>
      <c r="D1110" t="s">
        <v>87</v>
      </c>
      <c r="E1110" t="s">
        <v>779</v>
      </c>
      <c r="F1110" t="s">
        <v>780</v>
      </c>
      <c r="G1110" t="s">
        <v>179</v>
      </c>
      <c r="H1110">
        <v>83</v>
      </c>
      <c r="I1110">
        <v>68.963999999999999</v>
      </c>
      <c r="J1110">
        <v>76.06</v>
      </c>
      <c r="K1110">
        <v>7.0960000000000001</v>
      </c>
      <c r="L1110">
        <v>46</v>
      </c>
      <c r="M1110">
        <v>9</v>
      </c>
      <c r="N1110">
        <v>28</v>
      </c>
      <c r="O1110">
        <v>74.634</v>
      </c>
      <c r="P1110">
        <v>9.130055831</v>
      </c>
      <c r="Q1110">
        <v>15.994</v>
      </c>
    </row>
    <row r="1111" spans="1:17" s="30" customFormat="1" x14ac:dyDescent="0.2">
      <c r="A1111" s="30" t="str">
        <f>IF(C1111&amp;G1111&amp;D1111&lt;&gt;'Funnel setup'!$K$3&amp;'Funnel setup'!$K$4&amp;'Funnel setup'!$K$5,".",IF(A1110=".",1,A1110+1))</f>
        <v>.</v>
      </c>
      <c r="B1111" s="431" t="str">
        <f t="shared" si="17"/>
        <v>Hip Replacement PrimaryCCG of GP PracticeNHS OLDHAM CCG (00Y)EQ VAS</v>
      </c>
      <c r="C1111" t="s">
        <v>248</v>
      </c>
      <c r="D1111" t="s">
        <v>87</v>
      </c>
      <c r="E1111" t="s">
        <v>782</v>
      </c>
      <c r="F1111" t="s">
        <v>783</v>
      </c>
      <c r="G1111" t="s">
        <v>179</v>
      </c>
      <c r="H1111">
        <v>101</v>
      </c>
      <c r="I1111">
        <v>68.989999999999995</v>
      </c>
      <c r="J1111">
        <v>74.366</v>
      </c>
      <c r="K1111">
        <v>5.3760000000000003</v>
      </c>
      <c r="L1111">
        <v>54</v>
      </c>
      <c r="M1111">
        <v>14</v>
      </c>
      <c r="N1111">
        <v>33</v>
      </c>
      <c r="O1111">
        <v>74.486999999999995</v>
      </c>
      <c r="P1111">
        <v>8.9825693330000007</v>
      </c>
      <c r="Q1111">
        <v>17.587</v>
      </c>
    </row>
    <row r="1112" spans="1:17" s="30" customFormat="1" x14ac:dyDescent="0.2">
      <c r="A1112" s="30" t="str">
        <f>IF(C1112&amp;G1112&amp;D1112&lt;&gt;'Funnel setup'!$K$3&amp;'Funnel setup'!$K$4&amp;'Funnel setup'!$K$5,".",IF(A1111=".",1,A1111+1))</f>
        <v>.</v>
      </c>
      <c r="B1112" s="431" t="str">
        <f t="shared" si="17"/>
        <v>Hip Replacement PrimaryCCG of GP PracticeNHS OXFORDSHIRE CCG (10Q)EQ VAS</v>
      </c>
      <c r="C1112" t="s">
        <v>248</v>
      </c>
      <c r="D1112" t="s">
        <v>87</v>
      </c>
      <c r="E1112" t="s">
        <v>785</v>
      </c>
      <c r="F1112" t="s">
        <v>786</v>
      </c>
      <c r="G1112" t="s">
        <v>179</v>
      </c>
      <c r="H1112">
        <v>523</v>
      </c>
      <c r="I1112">
        <v>66.850999999999999</v>
      </c>
      <c r="J1112">
        <v>78.802999999999997</v>
      </c>
      <c r="K1112">
        <v>11.952</v>
      </c>
      <c r="L1112">
        <v>343</v>
      </c>
      <c r="M1112">
        <v>56</v>
      </c>
      <c r="N1112">
        <v>124</v>
      </c>
      <c r="O1112">
        <v>77.831000000000003</v>
      </c>
      <c r="P1112">
        <v>12.3265385</v>
      </c>
      <c r="Q1112">
        <v>15.041</v>
      </c>
    </row>
    <row r="1113" spans="1:17" s="30" customFormat="1" x14ac:dyDescent="0.2">
      <c r="A1113" s="30" t="str">
        <f>IF(C1113&amp;G1113&amp;D1113&lt;&gt;'Funnel setup'!$K$3&amp;'Funnel setup'!$K$4&amp;'Funnel setup'!$K$5,".",IF(A1112=".",1,A1112+1))</f>
        <v>.</v>
      </c>
      <c r="B1113" s="431" t="str">
        <f t="shared" si="17"/>
        <v>Hip Replacement PrimaryCCG of GP PracticeNHS PORTSMOUTH CCG (10R)EQ VAS</v>
      </c>
      <c r="C1113" t="s">
        <v>248</v>
      </c>
      <c r="D1113" t="s">
        <v>87</v>
      </c>
      <c r="E1113" t="s">
        <v>788</v>
      </c>
      <c r="F1113" t="s">
        <v>789</v>
      </c>
      <c r="G1113" t="s">
        <v>179</v>
      </c>
      <c r="H1113">
        <v>59</v>
      </c>
      <c r="I1113">
        <v>61.067999999999998</v>
      </c>
      <c r="J1113">
        <v>74.626999999999995</v>
      </c>
      <c r="K1113">
        <v>13.558999999999999</v>
      </c>
      <c r="L1113">
        <v>36</v>
      </c>
      <c r="M1113">
        <v>5</v>
      </c>
      <c r="N1113">
        <v>18</v>
      </c>
      <c r="O1113">
        <v>76.319999999999993</v>
      </c>
      <c r="P1113">
        <v>10.81561857</v>
      </c>
      <c r="Q1113">
        <v>18.678999999999998</v>
      </c>
    </row>
    <row r="1114" spans="1:17" s="30" customFormat="1" x14ac:dyDescent="0.2">
      <c r="A1114" s="30" t="str">
        <f>IF(C1114&amp;G1114&amp;D1114&lt;&gt;'Funnel setup'!$K$3&amp;'Funnel setup'!$K$4&amp;'Funnel setup'!$K$5,".",IF(A1113=".",1,A1113+1))</f>
        <v>.</v>
      </c>
      <c r="B1114" s="431" t="str">
        <f t="shared" si="17"/>
        <v>Hip Replacement PrimaryCCG of GP PracticeNHS REDBRIDGE CCG (08N)EQ VAS</v>
      </c>
      <c r="C1114" t="s">
        <v>248</v>
      </c>
      <c r="D1114" t="s">
        <v>87</v>
      </c>
      <c r="E1114" t="s">
        <v>791</v>
      </c>
      <c r="F1114" t="s">
        <v>792</v>
      </c>
      <c r="G1114" t="s">
        <v>179</v>
      </c>
      <c r="H1114">
        <v>47</v>
      </c>
      <c r="I1114">
        <v>64.319000000000003</v>
      </c>
      <c r="J1114">
        <v>78.063999999999993</v>
      </c>
      <c r="K1114">
        <v>13.744999999999999</v>
      </c>
      <c r="L1114">
        <v>34</v>
      </c>
      <c r="M1114">
        <v>4</v>
      </c>
      <c r="N1114">
        <v>9</v>
      </c>
      <c r="O1114">
        <v>78.635000000000005</v>
      </c>
      <c r="P1114">
        <v>13.13067116</v>
      </c>
      <c r="Q1114">
        <v>11.99</v>
      </c>
    </row>
    <row r="1115" spans="1:17" s="30" customFormat="1" x14ac:dyDescent="0.2">
      <c r="A1115" s="30" t="str">
        <f>IF(C1115&amp;G1115&amp;D1115&lt;&gt;'Funnel setup'!$K$3&amp;'Funnel setup'!$K$4&amp;'Funnel setup'!$K$5,".",IF(A1114=".",1,A1114+1))</f>
        <v>.</v>
      </c>
      <c r="B1115" s="431" t="str">
        <f t="shared" si="17"/>
        <v>Hip Replacement PrimaryCCG of GP PracticeNHS REDDITCH AND BROMSGROVE CCG (05J)EQ VAS</v>
      </c>
      <c r="C1115" t="s">
        <v>248</v>
      </c>
      <c r="D1115" t="s">
        <v>87</v>
      </c>
      <c r="E1115" t="s">
        <v>794</v>
      </c>
      <c r="F1115" t="s">
        <v>795</v>
      </c>
      <c r="G1115" t="s">
        <v>179</v>
      </c>
      <c r="H1115">
        <v>128</v>
      </c>
      <c r="I1115">
        <v>64.977000000000004</v>
      </c>
      <c r="J1115">
        <v>78.805000000000007</v>
      </c>
      <c r="K1115">
        <v>13.827999999999999</v>
      </c>
      <c r="L1115">
        <v>90</v>
      </c>
      <c r="M1115">
        <v>12</v>
      </c>
      <c r="N1115">
        <v>26</v>
      </c>
      <c r="O1115">
        <v>78.19</v>
      </c>
      <c r="P1115">
        <v>12.685633129999999</v>
      </c>
      <c r="Q1115">
        <v>14.435</v>
      </c>
    </row>
    <row r="1116" spans="1:17" s="30" customFormat="1" x14ac:dyDescent="0.2">
      <c r="A1116" s="30" t="str">
        <f>IF(C1116&amp;G1116&amp;D1116&lt;&gt;'Funnel setup'!$K$3&amp;'Funnel setup'!$K$4&amp;'Funnel setup'!$K$5,".",IF(A1115=".",1,A1115+1))</f>
        <v>.</v>
      </c>
      <c r="B1116" s="431" t="str">
        <f t="shared" si="17"/>
        <v>Hip Replacement PrimaryCCG of GP PracticeNHS RICHMOND CCG (08P)EQ VAS</v>
      </c>
      <c r="C1116" t="s">
        <v>248</v>
      </c>
      <c r="D1116" t="s">
        <v>87</v>
      </c>
      <c r="E1116" t="s">
        <v>797</v>
      </c>
      <c r="F1116" t="s">
        <v>798</v>
      </c>
      <c r="G1116" t="s">
        <v>179</v>
      </c>
      <c r="H1116">
        <v>84</v>
      </c>
      <c r="I1116">
        <v>64.512</v>
      </c>
      <c r="J1116">
        <v>80.155000000000001</v>
      </c>
      <c r="K1116">
        <v>15.643000000000001</v>
      </c>
      <c r="L1116">
        <v>59</v>
      </c>
      <c r="M1116">
        <v>13</v>
      </c>
      <c r="N1116">
        <v>12</v>
      </c>
      <c r="O1116">
        <v>79.409000000000006</v>
      </c>
      <c r="P1116">
        <v>13.904257729999999</v>
      </c>
      <c r="Q1116">
        <v>14.384</v>
      </c>
    </row>
    <row r="1117" spans="1:17" s="30" customFormat="1" x14ac:dyDescent="0.2">
      <c r="A1117" s="30" t="str">
        <f>IF(C1117&amp;G1117&amp;D1117&lt;&gt;'Funnel setup'!$K$3&amp;'Funnel setup'!$K$4&amp;'Funnel setup'!$K$5,".",IF(A1116=".",1,A1116+1))</f>
        <v>.</v>
      </c>
      <c r="B1117" s="431" t="str">
        <f t="shared" si="17"/>
        <v>Hip Replacement PrimaryCCG of GP PracticeNHS ROTHERHAM CCG (03L)EQ VAS</v>
      </c>
      <c r="C1117" t="s">
        <v>248</v>
      </c>
      <c r="D1117" t="s">
        <v>87</v>
      </c>
      <c r="E1117" t="s">
        <v>800</v>
      </c>
      <c r="F1117" t="s">
        <v>801</v>
      </c>
      <c r="G1117" t="s">
        <v>179</v>
      </c>
      <c r="H1117">
        <v>162</v>
      </c>
      <c r="I1117">
        <v>63.116999999999997</v>
      </c>
      <c r="J1117">
        <v>77.488</v>
      </c>
      <c r="K1117">
        <v>14.37</v>
      </c>
      <c r="L1117">
        <v>118</v>
      </c>
      <c r="M1117">
        <v>16</v>
      </c>
      <c r="N1117">
        <v>28</v>
      </c>
      <c r="O1117">
        <v>78.492999999999995</v>
      </c>
      <c r="P1117">
        <v>12.988184410000001</v>
      </c>
      <c r="Q1117">
        <v>15.369</v>
      </c>
    </row>
    <row r="1118" spans="1:17" s="30" customFormat="1" x14ac:dyDescent="0.2">
      <c r="A1118" s="30" t="str">
        <f>IF(C1118&amp;G1118&amp;D1118&lt;&gt;'Funnel setup'!$K$3&amp;'Funnel setup'!$K$4&amp;'Funnel setup'!$K$5,".",IF(A1117=".",1,A1117+1))</f>
        <v>.</v>
      </c>
      <c r="B1118" s="431" t="str">
        <f t="shared" si="17"/>
        <v>Hip Replacement PrimaryCCG of GP PracticeNHS RUSHCLIFFE CCG (04N)EQ VAS</v>
      </c>
      <c r="C1118" t="s">
        <v>248</v>
      </c>
      <c r="D1118" t="s">
        <v>87</v>
      </c>
      <c r="E1118" t="s">
        <v>803</v>
      </c>
      <c r="F1118" t="s">
        <v>804</v>
      </c>
      <c r="G1118" t="s">
        <v>179</v>
      </c>
      <c r="H1118">
        <v>102</v>
      </c>
      <c r="I1118">
        <v>65.656999999999996</v>
      </c>
      <c r="J1118">
        <v>76.813999999999993</v>
      </c>
      <c r="K1118">
        <v>11.157</v>
      </c>
      <c r="L1118">
        <v>65</v>
      </c>
      <c r="M1118">
        <v>12</v>
      </c>
      <c r="N1118">
        <v>25</v>
      </c>
      <c r="O1118">
        <v>75.543000000000006</v>
      </c>
      <c r="P1118">
        <v>10.03907463</v>
      </c>
      <c r="Q1118">
        <v>16.539000000000001</v>
      </c>
    </row>
    <row r="1119" spans="1:17" s="30" customFormat="1" x14ac:dyDescent="0.2">
      <c r="A1119" s="30" t="str">
        <f>IF(C1119&amp;G1119&amp;D1119&lt;&gt;'Funnel setup'!$K$3&amp;'Funnel setup'!$K$4&amp;'Funnel setup'!$K$5,".",IF(A1118=".",1,A1118+1))</f>
        <v>.</v>
      </c>
      <c r="B1119" s="431" t="str">
        <f t="shared" si="17"/>
        <v>Hip Replacement PrimaryCCG of GP PracticeNHS SALFORD CCG (01G)EQ VAS</v>
      </c>
      <c r="C1119" t="s">
        <v>248</v>
      </c>
      <c r="D1119" t="s">
        <v>87</v>
      </c>
      <c r="E1119" t="s">
        <v>806</v>
      </c>
      <c r="F1119" t="s">
        <v>807</v>
      </c>
      <c r="G1119" t="s">
        <v>179</v>
      </c>
      <c r="H1119">
        <v>80</v>
      </c>
      <c r="I1119">
        <v>65.075000000000003</v>
      </c>
      <c r="J1119">
        <v>77.037000000000006</v>
      </c>
      <c r="K1119">
        <v>11.962999999999999</v>
      </c>
      <c r="L1119">
        <v>56</v>
      </c>
      <c r="M1119">
        <v>9</v>
      </c>
      <c r="N1119">
        <v>15</v>
      </c>
      <c r="O1119">
        <v>79.346999999999994</v>
      </c>
      <c r="P1119">
        <v>13.84309064</v>
      </c>
      <c r="Q1119">
        <v>14.615</v>
      </c>
    </row>
    <row r="1120" spans="1:17" s="30" customFormat="1" x14ac:dyDescent="0.2">
      <c r="A1120" s="30" t="str">
        <f>IF(C1120&amp;G1120&amp;D1120&lt;&gt;'Funnel setup'!$K$3&amp;'Funnel setup'!$K$4&amp;'Funnel setup'!$K$5,".",IF(A1119=".",1,A1119+1))</f>
        <v>.</v>
      </c>
      <c r="B1120" s="431" t="str">
        <f t="shared" si="17"/>
        <v>Hip Replacement PrimaryCCG of GP PracticeNHS SANDWELL AND WEST BIRMINGHAM CCG (05L)EQ VAS</v>
      </c>
      <c r="C1120" t="s">
        <v>248</v>
      </c>
      <c r="D1120" t="s">
        <v>87</v>
      </c>
      <c r="E1120" t="s">
        <v>809</v>
      </c>
      <c r="F1120" t="s">
        <v>810</v>
      </c>
      <c r="G1120" t="s">
        <v>179</v>
      </c>
      <c r="H1120">
        <v>188</v>
      </c>
      <c r="I1120">
        <v>62.963000000000001</v>
      </c>
      <c r="J1120">
        <v>74.426000000000002</v>
      </c>
      <c r="K1120">
        <v>11.462999999999999</v>
      </c>
      <c r="L1120">
        <v>119</v>
      </c>
      <c r="M1120">
        <v>21</v>
      </c>
      <c r="N1120">
        <v>48</v>
      </c>
      <c r="O1120">
        <v>78.741</v>
      </c>
      <c r="P1120">
        <v>13.236262460000001</v>
      </c>
      <c r="Q1120">
        <v>16.751000000000001</v>
      </c>
    </row>
    <row r="1121" spans="1:17" s="30" customFormat="1" x14ac:dyDescent="0.2">
      <c r="A1121" s="30" t="str">
        <f>IF(C1121&amp;G1121&amp;D1121&lt;&gt;'Funnel setup'!$K$3&amp;'Funnel setup'!$K$4&amp;'Funnel setup'!$K$5,".",IF(A1120=".",1,A1120+1))</f>
        <v>.</v>
      </c>
      <c r="B1121" s="431" t="str">
        <f t="shared" si="17"/>
        <v>Hip Replacement PrimaryCCG of GP PracticeNHS SCARBOROUGH AND RYEDALE CCG (03M)EQ VAS</v>
      </c>
      <c r="C1121" t="s">
        <v>248</v>
      </c>
      <c r="D1121" t="s">
        <v>87</v>
      </c>
      <c r="E1121" t="s">
        <v>812</v>
      </c>
      <c r="F1121" t="s">
        <v>813</v>
      </c>
      <c r="G1121" t="s">
        <v>179</v>
      </c>
      <c r="H1121">
        <v>144</v>
      </c>
      <c r="I1121">
        <v>67.59</v>
      </c>
      <c r="J1121">
        <v>81.465000000000003</v>
      </c>
      <c r="K1121">
        <v>13.875</v>
      </c>
      <c r="L1121">
        <v>96</v>
      </c>
      <c r="M1121">
        <v>20</v>
      </c>
      <c r="N1121">
        <v>28</v>
      </c>
      <c r="O1121">
        <v>79.954999999999998</v>
      </c>
      <c r="P1121">
        <v>14.45105863</v>
      </c>
      <c r="Q1121">
        <v>12.865</v>
      </c>
    </row>
    <row r="1122" spans="1:17" s="30" customFormat="1" x14ac:dyDescent="0.2">
      <c r="A1122" s="30" t="str">
        <f>IF(C1122&amp;G1122&amp;D1122&lt;&gt;'Funnel setup'!$K$3&amp;'Funnel setup'!$K$4&amp;'Funnel setup'!$K$5,".",IF(A1121=".",1,A1121+1))</f>
        <v>.</v>
      </c>
      <c r="B1122" s="431" t="str">
        <f t="shared" si="17"/>
        <v>Hip Replacement PrimaryCCG of GP PracticeNHS SHEFFIELD CCG (03N)EQ VAS</v>
      </c>
      <c r="C1122" t="s">
        <v>248</v>
      </c>
      <c r="D1122" t="s">
        <v>87</v>
      </c>
      <c r="E1122" t="s">
        <v>815</v>
      </c>
      <c r="F1122" t="s">
        <v>816</v>
      </c>
      <c r="G1122" t="s">
        <v>179</v>
      </c>
      <c r="H1122">
        <v>326</v>
      </c>
      <c r="I1122">
        <v>63.865000000000002</v>
      </c>
      <c r="J1122">
        <v>75.978999999999999</v>
      </c>
      <c r="K1122">
        <v>12.113</v>
      </c>
      <c r="L1122">
        <v>214</v>
      </c>
      <c r="M1122">
        <v>32</v>
      </c>
      <c r="N1122">
        <v>80</v>
      </c>
      <c r="O1122">
        <v>76.460999999999999</v>
      </c>
      <c r="P1122">
        <v>10.95700089</v>
      </c>
      <c r="Q1122">
        <v>14.475</v>
      </c>
    </row>
    <row r="1123" spans="1:17" s="30" customFormat="1" x14ac:dyDescent="0.2">
      <c r="A1123" s="30" t="str">
        <f>IF(C1123&amp;G1123&amp;D1123&lt;&gt;'Funnel setup'!$K$3&amp;'Funnel setup'!$K$4&amp;'Funnel setup'!$K$5,".",IF(A1122=".",1,A1122+1))</f>
        <v>.</v>
      </c>
      <c r="B1123" s="431" t="str">
        <f t="shared" si="17"/>
        <v>Hip Replacement PrimaryCCG of GP PracticeNHS SHROPSHIRE CCG (05N)EQ VAS</v>
      </c>
      <c r="C1123" t="s">
        <v>248</v>
      </c>
      <c r="D1123" t="s">
        <v>87</v>
      </c>
      <c r="E1123" t="s">
        <v>818</v>
      </c>
      <c r="F1123" t="s">
        <v>819</v>
      </c>
      <c r="G1123" t="s">
        <v>179</v>
      </c>
      <c r="H1123">
        <v>317</v>
      </c>
      <c r="I1123">
        <v>61.497999999999998</v>
      </c>
      <c r="J1123">
        <v>78.11</v>
      </c>
      <c r="K1123">
        <v>16.611999999999998</v>
      </c>
      <c r="L1123">
        <v>225</v>
      </c>
      <c r="M1123">
        <v>31</v>
      </c>
      <c r="N1123">
        <v>61</v>
      </c>
      <c r="O1123">
        <v>76.989000000000004</v>
      </c>
      <c r="P1123">
        <v>11.484816240000001</v>
      </c>
      <c r="Q1123">
        <v>15.114000000000001</v>
      </c>
    </row>
    <row r="1124" spans="1:17" s="30" customFormat="1" x14ac:dyDescent="0.2">
      <c r="A1124" s="30" t="str">
        <f>IF(C1124&amp;G1124&amp;D1124&lt;&gt;'Funnel setup'!$K$3&amp;'Funnel setup'!$K$4&amp;'Funnel setup'!$K$5,".",IF(A1123=".",1,A1123+1))</f>
        <v>.</v>
      </c>
      <c r="B1124" s="431" t="str">
        <f t="shared" si="17"/>
        <v>Hip Replacement PrimaryCCG of GP PracticeNHS SLOUGH CCG (10T)EQ VAS</v>
      </c>
      <c r="C1124" t="s">
        <v>248</v>
      </c>
      <c r="D1124" t="s">
        <v>87</v>
      </c>
      <c r="E1124" t="s">
        <v>821</v>
      </c>
      <c r="F1124" t="s">
        <v>822</v>
      </c>
      <c r="G1124" t="s">
        <v>179</v>
      </c>
      <c r="H1124">
        <v>32</v>
      </c>
      <c r="I1124">
        <v>63.655999999999999</v>
      </c>
      <c r="J1124">
        <v>72.875</v>
      </c>
      <c r="K1124">
        <v>9.2189999999999994</v>
      </c>
      <c r="L1124">
        <v>18</v>
      </c>
      <c r="M1124">
        <v>5</v>
      </c>
      <c r="N1124">
        <v>9</v>
      </c>
      <c r="O1124">
        <v>74.8</v>
      </c>
      <c r="P1124">
        <v>9.2954590219999993</v>
      </c>
      <c r="Q1124">
        <v>16.690999999999999</v>
      </c>
    </row>
    <row r="1125" spans="1:17" s="30" customFormat="1" x14ac:dyDescent="0.2">
      <c r="A1125" s="30" t="str">
        <f>IF(C1125&amp;G1125&amp;D1125&lt;&gt;'Funnel setup'!$K$3&amp;'Funnel setup'!$K$4&amp;'Funnel setup'!$K$5,".",IF(A1124=".",1,A1124+1))</f>
        <v>.</v>
      </c>
      <c r="B1125" s="431" t="str">
        <f t="shared" si="17"/>
        <v>Hip Replacement PrimaryCCG of GP PracticeNHS SOLIHULL CCG (05P)EQ VAS</v>
      </c>
      <c r="C1125" t="s">
        <v>248</v>
      </c>
      <c r="D1125" t="s">
        <v>87</v>
      </c>
      <c r="E1125" t="s">
        <v>824</v>
      </c>
      <c r="F1125" t="s">
        <v>825</v>
      </c>
      <c r="G1125" t="s">
        <v>179</v>
      </c>
      <c r="H1125">
        <v>203</v>
      </c>
      <c r="I1125">
        <v>62.03</v>
      </c>
      <c r="J1125">
        <v>78.290999999999997</v>
      </c>
      <c r="K1125">
        <v>16.260999999999999</v>
      </c>
      <c r="L1125">
        <v>152</v>
      </c>
      <c r="M1125">
        <v>14</v>
      </c>
      <c r="N1125">
        <v>37</v>
      </c>
      <c r="O1125">
        <v>78.715000000000003</v>
      </c>
      <c r="P1125">
        <v>13.21073754</v>
      </c>
      <c r="Q1125">
        <v>14.977</v>
      </c>
    </row>
    <row r="1126" spans="1:17" s="30" customFormat="1" x14ac:dyDescent="0.2">
      <c r="A1126" s="30" t="str">
        <f>IF(C1126&amp;G1126&amp;D1126&lt;&gt;'Funnel setup'!$K$3&amp;'Funnel setup'!$K$4&amp;'Funnel setup'!$K$5,".",IF(A1125=".",1,A1125+1))</f>
        <v>.</v>
      </c>
      <c r="B1126" s="431" t="str">
        <f t="shared" si="17"/>
        <v>Hip Replacement PrimaryCCG of GP PracticeNHS SOMERSET CCG (11X)EQ VAS</v>
      </c>
      <c r="C1126" t="s">
        <v>248</v>
      </c>
      <c r="D1126" t="s">
        <v>87</v>
      </c>
      <c r="E1126" t="s">
        <v>827</v>
      </c>
      <c r="F1126" t="s">
        <v>828</v>
      </c>
      <c r="G1126" t="s">
        <v>179</v>
      </c>
      <c r="H1126">
        <v>458</v>
      </c>
      <c r="I1126">
        <v>67.245000000000005</v>
      </c>
      <c r="J1126">
        <v>80.179000000000002</v>
      </c>
      <c r="K1126">
        <v>12.933999999999999</v>
      </c>
      <c r="L1126">
        <v>314</v>
      </c>
      <c r="M1126">
        <v>45</v>
      </c>
      <c r="N1126">
        <v>99</v>
      </c>
      <c r="O1126">
        <v>78.147999999999996</v>
      </c>
      <c r="P1126">
        <v>12.643616789999999</v>
      </c>
      <c r="Q1126">
        <v>14.763</v>
      </c>
    </row>
    <row r="1127" spans="1:17" s="30" customFormat="1" x14ac:dyDescent="0.2">
      <c r="A1127" s="30" t="str">
        <f>IF(C1127&amp;G1127&amp;D1127&lt;&gt;'Funnel setup'!$K$3&amp;'Funnel setup'!$K$4&amp;'Funnel setup'!$K$5,".",IF(A1126=".",1,A1126+1))</f>
        <v>.</v>
      </c>
      <c r="B1127" s="431" t="str">
        <f t="shared" si="17"/>
        <v>Hip Replacement PrimaryCCG of GP PracticeNHS SOUTH CHESHIRE CCG (01R)EQ VAS</v>
      </c>
      <c r="C1127" t="s">
        <v>248</v>
      </c>
      <c r="D1127" t="s">
        <v>87</v>
      </c>
      <c r="E1127" t="s">
        <v>830</v>
      </c>
      <c r="F1127" t="s">
        <v>831</v>
      </c>
      <c r="G1127" t="s">
        <v>179</v>
      </c>
      <c r="H1127">
        <v>154</v>
      </c>
      <c r="I1127">
        <v>69.668999999999997</v>
      </c>
      <c r="J1127">
        <v>78.688000000000002</v>
      </c>
      <c r="K1127">
        <v>9.0190000000000001</v>
      </c>
      <c r="L1127">
        <v>90</v>
      </c>
      <c r="M1127">
        <v>21</v>
      </c>
      <c r="N1127">
        <v>43</v>
      </c>
      <c r="O1127">
        <v>76.436000000000007</v>
      </c>
      <c r="P1127">
        <v>10.931368859999999</v>
      </c>
      <c r="Q1127">
        <v>13.195</v>
      </c>
    </row>
    <row r="1128" spans="1:17" s="30" customFormat="1" x14ac:dyDescent="0.2">
      <c r="A1128" s="30" t="str">
        <f>IF(C1128&amp;G1128&amp;D1128&lt;&gt;'Funnel setup'!$K$3&amp;'Funnel setup'!$K$4&amp;'Funnel setup'!$K$5,".",IF(A1127=".",1,A1127+1))</f>
        <v>.</v>
      </c>
      <c r="B1128" s="431" t="str">
        <f t="shared" si="17"/>
        <v>Hip Replacement PrimaryCCG of GP PracticeNHS SOUTH DEVON AND TORBAY CCG (99Q)EQ VAS</v>
      </c>
      <c r="C1128" t="s">
        <v>248</v>
      </c>
      <c r="D1128" t="s">
        <v>87</v>
      </c>
      <c r="E1128" t="s">
        <v>833</v>
      </c>
      <c r="F1128" t="s">
        <v>834</v>
      </c>
      <c r="G1128" t="s">
        <v>179</v>
      </c>
      <c r="H1128">
        <v>364</v>
      </c>
      <c r="I1128">
        <v>68.879000000000005</v>
      </c>
      <c r="J1128">
        <v>77.47</v>
      </c>
      <c r="K1128">
        <v>8.5909999999999993</v>
      </c>
      <c r="L1128">
        <v>219</v>
      </c>
      <c r="M1128">
        <v>34</v>
      </c>
      <c r="N1128">
        <v>111</v>
      </c>
      <c r="O1128">
        <v>77.236999999999995</v>
      </c>
      <c r="P1128">
        <v>11.733017459999999</v>
      </c>
      <c r="Q1128">
        <v>15.981</v>
      </c>
    </row>
    <row r="1129" spans="1:17" s="30" customFormat="1" x14ac:dyDescent="0.2">
      <c r="A1129" s="30" t="str">
        <f>IF(C1129&amp;G1129&amp;D1129&lt;&gt;'Funnel setup'!$K$3&amp;'Funnel setup'!$K$4&amp;'Funnel setup'!$K$5,".",IF(A1128=".",1,A1128+1))</f>
        <v>.</v>
      </c>
      <c r="B1129" s="431" t="str">
        <f t="shared" si="17"/>
        <v>Hip Replacement PrimaryCCG of GP PracticeNHS SOUTH EAST STAFFORDSHIRE AND SEISDON PENINSULA CCG (05Q)EQ VAS</v>
      </c>
      <c r="C1129" t="s">
        <v>248</v>
      </c>
      <c r="D1129" t="s">
        <v>87</v>
      </c>
      <c r="E1129" t="s">
        <v>836</v>
      </c>
      <c r="F1129" t="s">
        <v>837</v>
      </c>
      <c r="G1129" t="s">
        <v>179</v>
      </c>
      <c r="H1129">
        <v>162</v>
      </c>
      <c r="I1129">
        <v>68.543000000000006</v>
      </c>
      <c r="J1129">
        <v>77.061999999999998</v>
      </c>
      <c r="K1129">
        <v>8.5190000000000001</v>
      </c>
      <c r="L1129">
        <v>103</v>
      </c>
      <c r="M1129">
        <v>18</v>
      </c>
      <c r="N1129">
        <v>41</v>
      </c>
      <c r="O1129">
        <v>77.013000000000005</v>
      </c>
      <c r="P1129">
        <v>11.508618350000001</v>
      </c>
      <c r="Q1129">
        <v>16.689</v>
      </c>
    </row>
    <row r="1130" spans="1:17" s="30" customFormat="1" x14ac:dyDescent="0.2">
      <c r="A1130" s="30" t="str">
        <f>IF(C1130&amp;G1130&amp;D1130&lt;&gt;'Funnel setup'!$K$3&amp;'Funnel setup'!$K$4&amp;'Funnel setup'!$K$5,".",IF(A1129=".",1,A1129+1))</f>
        <v>.</v>
      </c>
      <c r="B1130" s="431" t="str">
        <f t="shared" si="17"/>
        <v>Hip Replacement PrimaryCCG of GP PracticeNHS SOUTH EASTERN HAMPSHIRE CCG (10V)EQ VAS</v>
      </c>
      <c r="C1130" t="s">
        <v>248</v>
      </c>
      <c r="D1130" t="s">
        <v>87</v>
      </c>
      <c r="E1130" t="s">
        <v>839</v>
      </c>
      <c r="F1130" t="s">
        <v>840</v>
      </c>
      <c r="G1130" t="s">
        <v>179</v>
      </c>
      <c r="H1130">
        <v>130</v>
      </c>
      <c r="I1130">
        <v>68.069000000000003</v>
      </c>
      <c r="J1130">
        <v>77.215000000000003</v>
      </c>
      <c r="K1130">
        <v>9.1460000000000008</v>
      </c>
      <c r="L1130">
        <v>78</v>
      </c>
      <c r="M1130">
        <v>13</v>
      </c>
      <c r="N1130">
        <v>39</v>
      </c>
      <c r="O1130">
        <v>76.484999999999999</v>
      </c>
      <c r="P1130">
        <v>10.980357229999999</v>
      </c>
      <c r="Q1130">
        <v>15.430999999999999</v>
      </c>
    </row>
    <row r="1131" spans="1:17" s="30" customFormat="1" x14ac:dyDescent="0.2">
      <c r="A1131" s="30" t="str">
        <f>IF(C1131&amp;G1131&amp;D1131&lt;&gt;'Funnel setup'!$K$3&amp;'Funnel setup'!$K$4&amp;'Funnel setup'!$K$5,".",IF(A1130=".",1,A1130+1))</f>
        <v>.</v>
      </c>
      <c r="B1131" s="431" t="str">
        <f t="shared" si="17"/>
        <v>Hip Replacement PrimaryCCG of GP PracticeNHS SOUTH GLOUCESTERSHIRE CCG (12A)EQ VAS</v>
      </c>
      <c r="C1131" t="s">
        <v>248</v>
      </c>
      <c r="D1131" t="s">
        <v>87</v>
      </c>
      <c r="E1131" t="s">
        <v>842</v>
      </c>
      <c r="F1131" t="s">
        <v>843</v>
      </c>
      <c r="G1131" t="s">
        <v>179</v>
      </c>
      <c r="H1131">
        <v>203</v>
      </c>
      <c r="I1131">
        <v>68.802999999999997</v>
      </c>
      <c r="J1131">
        <v>81.7</v>
      </c>
      <c r="K1131">
        <v>12.897</v>
      </c>
      <c r="L1131">
        <v>134</v>
      </c>
      <c r="M1131">
        <v>30</v>
      </c>
      <c r="N1131">
        <v>39</v>
      </c>
      <c r="O1131">
        <v>78.911000000000001</v>
      </c>
      <c r="P1131">
        <v>13.407127880000001</v>
      </c>
      <c r="Q1131">
        <v>12.568</v>
      </c>
    </row>
    <row r="1132" spans="1:17" s="30" customFormat="1" x14ac:dyDescent="0.2">
      <c r="A1132" s="30" t="str">
        <f>IF(C1132&amp;G1132&amp;D1132&lt;&gt;'Funnel setup'!$K$3&amp;'Funnel setup'!$K$4&amp;'Funnel setup'!$K$5,".",IF(A1131=".",1,A1131+1))</f>
        <v>.</v>
      </c>
      <c r="B1132" s="431" t="str">
        <f t="shared" si="17"/>
        <v>Hip Replacement PrimaryCCG of GP PracticeNHS SOUTH KENT COAST CCG (10A)EQ VAS</v>
      </c>
      <c r="C1132" t="s">
        <v>248</v>
      </c>
      <c r="D1132" t="s">
        <v>87</v>
      </c>
      <c r="E1132" t="s">
        <v>845</v>
      </c>
      <c r="F1132" t="s">
        <v>846</v>
      </c>
      <c r="G1132" t="s">
        <v>179</v>
      </c>
      <c r="H1132">
        <v>112</v>
      </c>
      <c r="I1132">
        <v>66.213999999999999</v>
      </c>
      <c r="J1132">
        <v>77.188000000000002</v>
      </c>
      <c r="K1132">
        <v>10.973000000000001</v>
      </c>
      <c r="L1132">
        <v>74</v>
      </c>
      <c r="M1132">
        <v>13</v>
      </c>
      <c r="N1132">
        <v>25</v>
      </c>
      <c r="O1132">
        <v>78.052000000000007</v>
      </c>
      <c r="P1132">
        <v>12.54762128</v>
      </c>
      <c r="Q1132">
        <v>14.401999999999999</v>
      </c>
    </row>
    <row r="1133" spans="1:17" s="30" customFormat="1" x14ac:dyDescent="0.2">
      <c r="A1133" s="30" t="str">
        <f>IF(C1133&amp;G1133&amp;D1133&lt;&gt;'Funnel setup'!$K$3&amp;'Funnel setup'!$K$4&amp;'Funnel setup'!$K$5,".",IF(A1132=".",1,A1132+1))</f>
        <v>.</v>
      </c>
      <c r="B1133" s="431" t="str">
        <f t="shared" si="17"/>
        <v>Hip Replacement PrimaryCCG of GP PracticeNHS SOUTH LINCOLNSHIRE CCG (99D)EQ VAS</v>
      </c>
      <c r="C1133" t="s">
        <v>248</v>
      </c>
      <c r="D1133" t="s">
        <v>87</v>
      </c>
      <c r="E1133" t="s">
        <v>848</v>
      </c>
      <c r="F1133" t="s">
        <v>849</v>
      </c>
      <c r="G1133" t="s">
        <v>179</v>
      </c>
      <c r="H1133">
        <v>125</v>
      </c>
      <c r="I1133">
        <v>66.671999999999997</v>
      </c>
      <c r="J1133">
        <v>77.144000000000005</v>
      </c>
      <c r="K1133">
        <v>10.472</v>
      </c>
      <c r="L1133">
        <v>73</v>
      </c>
      <c r="M1133">
        <v>15</v>
      </c>
      <c r="N1133">
        <v>37</v>
      </c>
      <c r="O1133">
        <v>75.846000000000004</v>
      </c>
      <c r="P1133">
        <v>10.342112889999999</v>
      </c>
      <c r="Q1133">
        <v>15.744999999999999</v>
      </c>
    </row>
    <row r="1134" spans="1:17" s="30" customFormat="1" x14ac:dyDescent="0.2">
      <c r="A1134" s="30" t="str">
        <f>IF(C1134&amp;G1134&amp;D1134&lt;&gt;'Funnel setup'!$K$3&amp;'Funnel setup'!$K$4&amp;'Funnel setup'!$K$5,".",IF(A1133=".",1,A1133+1))</f>
        <v>.</v>
      </c>
      <c r="B1134" s="431" t="str">
        <f t="shared" si="17"/>
        <v>Hip Replacement PrimaryCCG of GP PracticeNHS SOUTH MANCHESTER CCG (01N)EQ VAS</v>
      </c>
      <c r="C1134" t="s">
        <v>248</v>
      </c>
      <c r="D1134" t="s">
        <v>87</v>
      </c>
      <c r="E1134" t="s">
        <v>851</v>
      </c>
      <c r="F1134" t="s">
        <v>852</v>
      </c>
      <c r="G1134" t="s">
        <v>179</v>
      </c>
      <c r="H1134">
        <v>39</v>
      </c>
      <c r="I1134">
        <v>61.537999999999997</v>
      </c>
      <c r="J1134">
        <v>71.846000000000004</v>
      </c>
      <c r="K1134">
        <v>10.308</v>
      </c>
      <c r="L1134">
        <v>24</v>
      </c>
      <c r="M1134">
        <v>2</v>
      </c>
      <c r="N1134">
        <v>13</v>
      </c>
      <c r="O1134">
        <v>74.561999999999998</v>
      </c>
      <c r="P1134">
        <v>9.0578722989999996</v>
      </c>
      <c r="Q1134">
        <v>14.058999999999999</v>
      </c>
    </row>
    <row r="1135" spans="1:17" s="30" customFormat="1" x14ac:dyDescent="0.2">
      <c r="A1135" s="30" t="str">
        <f>IF(C1135&amp;G1135&amp;D1135&lt;&gt;'Funnel setup'!$K$3&amp;'Funnel setup'!$K$4&amp;'Funnel setup'!$K$5,".",IF(A1134=".",1,A1134+1))</f>
        <v>.</v>
      </c>
      <c r="B1135" s="431" t="str">
        <f t="shared" si="17"/>
        <v>Hip Replacement PrimaryCCG of GP PracticeNHS SOUTH NORFOLK CCG (06Y)EQ VAS</v>
      </c>
      <c r="C1135" t="s">
        <v>248</v>
      </c>
      <c r="D1135" t="s">
        <v>87</v>
      </c>
      <c r="E1135" t="s">
        <v>932</v>
      </c>
      <c r="F1135" t="s">
        <v>933</v>
      </c>
      <c r="G1135" t="s">
        <v>179</v>
      </c>
      <c r="H1135">
        <v>214</v>
      </c>
      <c r="I1135">
        <v>64.944000000000003</v>
      </c>
      <c r="J1135">
        <v>76.706000000000003</v>
      </c>
      <c r="K1135">
        <v>11.762</v>
      </c>
      <c r="L1135">
        <v>148</v>
      </c>
      <c r="M1135">
        <v>15</v>
      </c>
      <c r="N1135">
        <v>51</v>
      </c>
      <c r="O1135">
        <v>76.686999999999998</v>
      </c>
      <c r="P1135">
        <v>11.182465390000001</v>
      </c>
      <c r="Q1135">
        <v>16.192</v>
      </c>
    </row>
    <row r="1136" spans="1:17" s="30" customFormat="1" x14ac:dyDescent="0.2">
      <c r="A1136" s="30" t="str">
        <f>IF(C1136&amp;G1136&amp;D1136&lt;&gt;'Funnel setup'!$K$3&amp;'Funnel setup'!$K$4&amp;'Funnel setup'!$K$5,".",IF(A1135=".",1,A1135+1))</f>
        <v>.</v>
      </c>
      <c r="B1136" s="431" t="str">
        <f t="shared" si="17"/>
        <v>Hip Replacement PrimaryCCG of GP PracticeNHS SOUTH READING CCG (10W)EQ VAS</v>
      </c>
      <c r="C1136" t="s">
        <v>248</v>
      </c>
      <c r="D1136" t="s">
        <v>87</v>
      </c>
      <c r="E1136" t="s">
        <v>935</v>
      </c>
      <c r="F1136" t="s">
        <v>936</v>
      </c>
      <c r="G1136" t="s">
        <v>179</v>
      </c>
      <c r="H1136">
        <v>30</v>
      </c>
      <c r="I1136">
        <v>68.2</v>
      </c>
      <c r="J1136">
        <v>80.766999999999996</v>
      </c>
      <c r="K1136">
        <v>12.567</v>
      </c>
      <c r="L1136">
        <v>21</v>
      </c>
      <c r="M1136">
        <v>4</v>
      </c>
      <c r="N1136">
        <v>5</v>
      </c>
      <c r="O1136">
        <v>78.709999999999994</v>
      </c>
      <c r="P1136">
        <v>13.20589461</v>
      </c>
      <c r="Q1136">
        <v>17.277999999999999</v>
      </c>
    </row>
    <row r="1137" spans="1:17" s="30" customFormat="1" x14ac:dyDescent="0.2">
      <c r="A1137" s="30" t="str">
        <f>IF(C1137&amp;G1137&amp;D1137&lt;&gt;'Funnel setup'!$K$3&amp;'Funnel setup'!$K$4&amp;'Funnel setup'!$K$5,".",IF(A1136=".",1,A1136+1))</f>
        <v>.</v>
      </c>
      <c r="B1137" s="431" t="str">
        <f t="shared" si="17"/>
        <v>Hip Replacement PrimaryCCG of GP PracticeNHS SOUTH SEFTON CCG (01T)EQ VAS</v>
      </c>
      <c r="C1137" t="s">
        <v>248</v>
      </c>
      <c r="D1137" t="s">
        <v>87</v>
      </c>
      <c r="E1137" t="s">
        <v>938</v>
      </c>
      <c r="F1137" t="s">
        <v>939</v>
      </c>
      <c r="G1137" t="s">
        <v>179</v>
      </c>
      <c r="H1137">
        <v>84</v>
      </c>
      <c r="I1137">
        <v>63.429000000000002</v>
      </c>
      <c r="J1137">
        <v>71.548000000000002</v>
      </c>
      <c r="K1137">
        <v>8.1189999999999998</v>
      </c>
      <c r="L1137">
        <v>45</v>
      </c>
      <c r="M1137">
        <v>7</v>
      </c>
      <c r="N1137">
        <v>32</v>
      </c>
      <c r="O1137">
        <v>73.340999999999994</v>
      </c>
      <c r="P1137">
        <v>7.836757371</v>
      </c>
      <c r="Q1137">
        <v>17.437000000000001</v>
      </c>
    </row>
    <row r="1138" spans="1:17" s="30" customFormat="1" x14ac:dyDescent="0.2">
      <c r="A1138" s="30" t="str">
        <f>IF(C1138&amp;G1138&amp;D1138&lt;&gt;'Funnel setup'!$K$3&amp;'Funnel setup'!$K$4&amp;'Funnel setup'!$K$5,".",IF(A1137=".",1,A1137+1))</f>
        <v>.</v>
      </c>
      <c r="B1138" s="431" t="str">
        <f t="shared" si="17"/>
        <v>Hip Replacement PrimaryCCG of GP PracticeNHS SOUTH TEES CCG (00M)EQ VAS</v>
      </c>
      <c r="C1138" t="s">
        <v>248</v>
      </c>
      <c r="D1138" t="s">
        <v>87</v>
      </c>
      <c r="E1138" t="s">
        <v>941</v>
      </c>
      <c r="F1138" t="s">
        <v>942</v>
      </c>
      <c r="G1138" t="s">
        <v>179</v>
      </c>
      <c r="H1138">
        <v>214</v>
      </c>
      <c r="I1138">
        <v>64.513999999999996</v>
      </c>
      <c r="J1138">
        <v>75.453000000000003</v>
      </c>
      <c r="K1138">
        <v>10.939</v>
      </c>
      <c r="L1138">
        <v>133</v>
      </c>
      <c r="M1138">
        <v>22</v>
      </c>
      <c r="N1138">
        <v>59</v>
      </c>
      <c r="O1138">
        <v>76.929000000000002</v>
      </c>
      <c r="P1138">
        <v>11.42490119</v>
      </c>
      <c r="Q1138">
        <v>15.372</v>
      </c>
    </row>
    <row r="1139" spans="1:17" s="30" customFormat="1" x14ac:dyDescent="0.2">
      <c r="A1139" s="30" t="str">
        <f>IF(C1139&amp;G1139&amp;D1139&lt;&gt;'Funnel setup'!$K$3&amp;'Funnel setup'!$K$4&amp;'Funnel setup'!$K$5,".",IF(A1138=".",1,A1138+1))</f>
        <v>.</v>
      </c>
      <c r="B1139" s="431" t="str">
        <f t="shared" si="17"/>
        <v>Hip Replacement PrimaryCCG of GP PracticeNHS SOUTH TYNESIDE CCG (00N)EQ VAS</v>
      </c>
      <c r="C1139" t="s">
        <v>248</v>
      </c>
      <c r="D1139" t="s">
        <v>87</v>
      </c>
      <c r="E1139" t="s">
        <v>1016</v>
      </c>
      <c r="F1139" t="s">
        <v>1017</v>
      </c>
      <c r="G1139" t="s">
        <v>179</v>
      </c>
      <c r="H1139">
        <v>92</v>
      </c>
      <c r="I1139">
        <v>66.772000000000006</v>
      </c>
      <c r="J1139">
        <v>76</v>
      </c>
      <c r="K1139">
        <v>9.2279999999999998</v>
      </c>
      <c r="L1139">
        <v>52</v>
      </c>
      <c r="M1139">
        <v>13</v>
      </c>
      <c r="N1139">
        <v>27</v>
      </c>
      <c r="O1139">
        <v>76.400999999999996</v>
      </c>
      <c r="P1139">
        <v>10.896264929999999</v>
      </c>
      <c r="Q1139">
        <v>15.615</v>
      </c>
    </row>
    <row r="1140" spans="1:17" s="30" customFormat="1" x14ac:dyDescent="0.2">
      <c r="A1140" s="30" t="str">
        <f>IF(C1140&amp;G1140&amp;D1140&lt;&gt;'Funnel setup'!$K$3&amp;'Funnel setup'!$K$4&amp;'Funnel setup'!$K$5,".",IF(A1139=".",1,A1139+1))</f>
        <v>.</v>
      </c>
      <c r="B1140" s="431" t="str">
        <f t="shared" si="17"/>
        <v>Hip Replacement PrimaryCCG of GP PracticeNHS SOUTH WARWICKSHIRE CCG (05R)EQ VAS</v>
      </c>
      <c r="C1140" t="s">
        <v>248</v>
      </c>
      <c r="D1140" t="s">
        <v>87</v>
      </c>
      <c r="E1140" t="s">
        <v>944</v>
      </c>
      <c r="F1140" t="s">
        <v>945</v>
      </c>
      <c r="G1140" t="s">
        <v>179</v>
      </c>
      <c r="H1140">
        <v>295</v>
      </c>
      <c r="I1140">
        <v>67.363</v>
      </c>
      <c r="J1140">
        <v>79.305000000000007</v>
      </c>
      <c r="K1140">
        <v>11.942</v>
      </c>
      <c r="L1140">
        <v>201</v>
      </c>
      <c r="M1140">
        <v>30</v>
      </c>
      <c r="N1140">
        <v>64</v>
      </c>
      <c r="O1140">
        <v>77.893000000000001</v>
      </c>
      <c r="P1140">
        <v>12.388624849999999</v>
      </c>
      <c r="Q1140">
        <v>14.679</v>
      </c>
    </row>
    <row r="1141" spans="1:17" s="30" customFormat="1" x14ac:dyDescent="0.2">
      <c r="A1141" s="30" t="str">
        <f>IF(C1141&amp;G1141&amp;D1141&lt;&gt;'Funnel setup'!$K$3&amp;'Funnel setup'!$K$4&amp;'Funnel setup'!$K$5,".",IF(A1140=".",1,A1140+1))</f>
        <v>.</v>
      </c>
      <c r="B1141" s="431" t="str">
        <f t="shared" si="17"/>
        <v>Hip Replacement PrimaryCCG of GP PracticeNHS SOUTH WEST LINCOLNSHIRE CCG (04Q)EQ VAS</v>
      </c>
      <c r="C1141" t="s">
        <v>248</v>
      </c>
      <c r="D1141" t="s">
        <v>87</v>
      </c>
      <c r="E1141" t="s">
        <v>947</v>
      </c>
      <c r="F1141" t="s">
        <v>948</v>
      </c>
      <c r="G1141" t="s">
        <v>179</v>
      </c>
      <c r="H1141">
        <v>126</v>
      </c>
      <c r="I1141">
        <v>66.968000000000004</v>
      </c>
      <c r="J1141">
        <v>74.332999999999998</v>
      </c>
      <c r="K1141">
        <v>7.3650000000000002</v>
      </c>
      <c r="L1141">
        <v>68</v>
      </c>
      <c r="M1141">
        <v>18</v>
      </c>
      <c r="N1141">
        <v>40</v>
      </c>
      <c r="O1141">
        <v>73.102999999999994</v>
      </c>
      <c r="P1141">
        <v>7.5988598170000001</v>
      </c>
      <c r="Q1141">
        <v>17.7</v>
      </c>
    </row>
    <row r="1142" spans="1:17" s="30" customFormat="1" x14ac:dyDescent="0.2">
      <c r="A1142" s="30" t="str">
        <f>IF(C1142&amp;G1142&amp;D1142&lt;&gt;'Funnel setup'!$K$3&amp;'Funnel setup'!$K$4&amp;'Funnel setup'!$K$5,".",IF(A1141=".",1,A1141+1))</f>
        <v>.</v>
      </c>
      <c r="B1142" s="431" t="str">
        <f t="shared" si="17"/>
        <v>Hip Replacement PrimaryCCG of GP PracticeNHS SOUTH WORCESTERSHIRE CCG (05T)EQ VAS</v>
      </c>
      <c r="C1142" t="s">
        <v>248</v>
      </c>
      <c r="D1142" t="s">
        <v>87</v>
      </c>
      <c r="E1142" t="s">
        <v>950</v>
      </c>
      <c r="F1142" t="s">
        <v>951</v>
      </c>
      <c r="G1142" t="s">
        <v>179</v>
      </c>
      <c r="H1142">
        <v>189</v>
      </c>
      <c r="I1142">
        <v>69.814999999999998</v>
      </c>
      <c r="J1142">
        <v>80.168999999999997</v>
      </c>
      <c r="K1142">
        <v>10.353999999999999</v>
      </c>
      <c r="L1142">
        <v>122</v>
      </c>
      <c r="M1142">
        <v>17</v>
      </c>
      <c r="N1142">
        <v>50</v>
      </c>
      <c r="O1142">
        <v>78.236000000000004</v>
      </c>
      <c r="P1142">
        <v>12.73154311</v>
      </c>
      <c r="Q1142">
        <v>15.96</v>
      </c>
    </row>
    <row r="1143" spans="1:17" s="30" customFormat="1" x14ac:dyDescent="0.2">
      <c r="A1143" s="30" t="str">
        <f>IF(C1143&amp;G1143&amp;D1143&lt;&gt;'Funnel setup'!$K$3&amp;'Funnel setup'!$K$4&amp;'Funnel setup'!$K$5,".",IF(A1142=".",1,A1142+1))</f>
        <v>.</v>
      </c>
      <c r="B1143" s="431" t="str">
        <f t="shared" si="17"/>
        <v>Hip Replacement PrimaryCCG of GP PracticeNHS SOUTHAMPTON CCG (10X)EQ VAS</v>
      </c>
      <c r="C1143" t="s">
        <v>248</v>
      </c>
      <c r="D1143" t="s">
        <v>87</v>
      </c>
      <c r="E1143" t="s">
        <v>953</v>
      </c>
      <c r="F1143" t="s">
        <v>954</v>
      </c>
      <c r="G1143" t="s">
        <v>179</v>
      </c>
      <c r="H1143">
        <v>119</v>
      </c>
      <c r="I1143">
        <v>63.335999999999999</v>
      </c>
      <c r="J1143">
        <v>73.100999999999999</v>
      </c>
      <c r="K1143">
        <v>9.7650000000000006</v>
      </c>
      <c r="L1143">
        <v>80</v>
      </c>
      <c r="M1143">
        <v>9</v>
      </c>
      <c r="N1143">
        <v>30</v>
      </c>
      <c r="O1143">
        <v>75.281000000000006</v>
      </c>
      <c r="P1143">
        <v>9.7766924890000002</v>
      </c>
      <c r="Q1143">
        <v>16.059999999999999</v>
      </c>
    </row>
    <row r="1144" spans="1:17" s="30" customFormat="1" x14ac:dyDescent="0.2">
      <c r="A1144" s="30" t="str">
        <f>IF(C1144&amp;G1144&amp;D1144&lt;&gt;'Funnel setup'!$K$3&amp;'Funnel setup'!$K$4&amp;'Funnel setup'!$K$5,".",IF(A1143=".",1,A1143+1))</f>
        <v>.</v>
      </c>
      <c r="B1144" s="431" t="str">
        <f t="shared" si="17"/>
        <v>Hip Replacement PrimaryCCG of GP PracticeNHS SOUTHEND CCG (99G)EQ VAS</v>
      </c>
      <c r="C1144" t="s">
        <v>248</v>
      </c>
      <c r="D1144" t="s">
        <v>87</v>
      </c>
      <c r="E1144" t="s">
        <v>956</v>
      </c>
      <c r="F1144" t="s">
        <v>957</v>
      </c>
      <c r="G1144" t="s">
        <v>179</v>
      </c>
      <c r="H1144">
        <v>81</v>
      </c>
      <c r="I1144">
        <v>67.765000000000001</v>
      </c>
      <c r="J1144">
        <v>77.296000000000006</v>
      </c>
      <c r="K1144">
        <v>9.5310000000000006</v>
      </c>
      <c r="L1144">
        <v>47</v>
      </c>
      <c r="M1144">
        <v>10</v>
      </c>
      <c r="N1144">
        <v>24</v>
      </c>
      <c r="O1144">
        <v>76.37</v>
      </c>
      <c r="P1144">
        <v>10.865601789999999</v>
      </c>
      <c r="Q1144">
        <v>15.638999999999999</v>
      </c>
    </row>
    <row r="1145" spans="1:17" s="30" customFormat="1" x14ac:dyDescent="0.2">
      <c r="A1145" s="30" t="str">
        <f>IF(C1145&amp;G1145&amp;D1145&lt;&gt;'Funnel setup'!$K$3&amp;'Funnel setup'!$K$4&amp;'Funnel setup'!$K$5,".",IF(A1144=".",1,A1144+1))</f>
        <v>.</v>
      </c>
      <c r="B1145" s="431" t="str">
        <f t="shared" si="17"/>
        <v>Hip Replacement PrimaryCCG of GP PracticeNHS SOUTHERN DERBYSHIRE CCG (04R)EQ VAS</v>
      </c>
      <c r="C1145" t="s">
        <v>248</v>
      </c>
      <c r="D1145" t="s">
        <v>87</v>
      </c>
      <c r="E1145" t="s">
        <v>959</v>
      </c>
      <c r="F1145" t="s">
        <v>960</v>
      </c>
      <c r="G1145" t="s">
        <v>179</v>
      </c>
      <c r="H1145">
        <v>412</v>
      </c>
      <c r="I1145">
        <v>64.405000000000001</v>
      </c>
      <c r="J1145">
        <v>77.167000000000002</v>
      </c>
      <c r="K1145">
        <v>12.762</v>
      </c>
      <c r="L1145">
        <v>284</v>
      </c>
      <c r="M1145">
        <v>36</v>
      </c>
      <c r="N1145">
        <v>92</v>
      </c>
      <c r="O1145">
        <v>76.908000000000001</v>
      </c>
      <c r="P1145">
        <v>11.40350452</v>
      </c>
      <c r="Q1145">
        <v>15.092000000000001</v>
      </c>
    </row>
    <row r="1146" spans="1:17" s="30" customFormat="1" x14ac:dyDescent="0.2">
      <c r="A1146" s="30" t="str">
        <f>IF(C1146&amp;G1146&amp;D1146&lt;&gt;'Funnel setup'!$K$3&amp;'Funnel setup'!$K$4&amp;'Funnel setup'!$K$5,".",IF(A1145=".",1,A1145+1))</f>
        <v>.</v>
      </c>
      <c r="B1146" s="431" t="str">
        <f t="shared" si="17"/>
        <v>Hip Replacement PrimaryCCG of GP PracticeNHS SOUTHPORT AND FORMBY CCG (01V)EQ VAS</v>
      </c>
      <c r="C1146" t="s">
        <v>248</v>
      </c>
      <c r="D1146" t="s">
        <v>87</v>
      </c>
      <c r="E1146" t="s">
        <v>962</v>
      </c>
      <c r="F1146" t="s">
        <v>963</v>
      </c>
      <c r="G1146" t="s">
        <v>179</v>
      </c>
      <c r="H1146">
        <v>90</v>
      </c>
      <c r="I1146">
        <v>68.221999999999994</v>
      </c>
      <c r="J1146">
        <v>79.822000000000003</v>
      </c>
      <c r="K1146">
        <v>11.6</v>
      </c>
      <c r="L1146">
        <v>64</v>
      </c>
      <c r="M1146">
        <v>14</v>
      </c>
      <c r="N1146">
        <v>12</v>
      </c>
      <c r="O1146">
        <v>79.52</v>
      </c>
      <c r="P1146">
        <v>14.01587378</v>
      </c>
      <c r="Q1146">
        <v>13.172000000000001</v>
      </c>
    </row>
    <row r="1147" spans="1:17" s="30" customFormat="1" x14ac:dyDescent="0.2">
      <c r="A1147" s="30" t="str">
        <f>IF(C1147&amp;G1147&amp;D1147&lt;&gt;'Funnel setup'!$K$3&amp;'Funnel setup'!$K$4&amp;'Funnel setup'!$K$5,".",IF(A1146=".",1,A1146+1))</f>
        <v>.</v>
      </c>
      <c r="B1147" s="431" t="str">
        <f t="shared" si="17"/>
        <v>Hip Replacement PrimaryCCG of GP PracticeNHS SOUTHWARK CCG (08Q)EQ VAS</v>
      </c>
      <c r="C1147" t="s">
        <v>248</v>
      </c>
      <c r="D1147" t="s">
        <v>87</v>
      </c>
      <c r="E1147" t="s">
        <v>965</v>
      </c>
      <c r="F1147" t="s">
        <v>966</v>
      </c>
      <c r="G1147" t="s">
        <v>179</v>
      </c>
      <c r="H1147">
        <v>27</v>
      </c>
      <c r="I1147">
        <v>62.63</v>
      </c>
      <c r="J1147">
        <v>81.63</v>
      </c>
      <c r="K1147">
        <v>19</v>
      </c>
      <c r="L1147">
        <v>16</v>
      </c>
      <c r="M1147">
        <v>7</v>
      </c>
      <c r="N1147">
        <v>4</v>
      </c>
      <c r="O1147" t="s">
        <v>53</v>
      </c>
      <c r="P1147" t="s">
        <v>53</v>
      </c>
      <c r="Q1147" t="s">
        <v>53</v>
      </c>
    </row>
    <row r="1148" spans="1:17" s="30" customFormat="1" x14ac:dyDescent="0.2">
      <c r="A1148" s="30" t="str">
        <f>IF(C1148&amp;G1148&amp;D1148&lt;&gt;'Funnel setup'!$K$3&amp;'Funnel setup'!$K$4&amp;'Funnel setup'!$K$5,".",IF(A1147=".",1,A1147+1))</f>
        <v>.</v>
      </c>
      <c r="B1148" s="431" t="str">
        <f t="shared" si="17"/>
        <v>Hip Replacement PrimaryCCG of GP PracticeNHS ST HELENS CCG (01X)EQ VAS</v>
      </c>
      <c r="C1148" t="s">
        <v>248</v>
      </c>
      <c r="D1148" t="s">
        <v>87</v>
      </c>
      <c r="E1148" t="s">
        <v>968</v>
      </c>
      <c r="F1148" t="s">
        <v>969</v>
      </c>
      <c r="G1148" t="s">
        <v>179</v>
      </c>
      <c r="H1148">
        <v>110</v>
      </c>
      <c r="I1148">
        <v>63.691000000000003</v>
      </c>
      <c r="J1148">
        <v>71.981999999999999</v>
      </c>
      <c r="K1148">
        <v>8.2910000000000004</v>
      </c>
      <c r="L1148">
        <v>67</v>
      </c>
      <c r="M1148">
        <v>11</v>
      </c>
      <c r="N1148">
        <v>32</v>
      </c>
      <c r="O1148">
        <v>74.828999999999994</v>
      </c>
      <c r="P1148">
        <v>9.3248897139999993</v>
      </c>
      <c r="Q1148">
        <v>20.074000000000002</v>
      </c>
    </row>
    <row r="1149" spans="1:17" s="30" customFormat="1" x14ac:dyDescent="0.2">
      <c r="A1149" s="30" t="str">
        <f>IF(C1149&amp;G1149&amp;D1149&lt;&gt;'Funnel setup'!$K$3&amp;'Funnel setup'!$K$4&amp;'Funnel setup'!$K$5,".",IF(A1148=".",1,A1148+1))</f>
        <v>.</v>
      </c>
      <c r="B1149" s="431" t="str">
        <f t="shared" si="17"/>
        <v>Hip Replacement PrimaryCCG of GP PracticeNHS STAFFORD AND SURROUNDS CCG (05V)EQ VAS</v>
      </c>
      <c r="C1149" t="s">
        <v>248</v>
      </c>
      <c r="D1149" t="s">
        <v>87</v>
      </c>
      <c r="E1149" t="s">
        <v>971</v>
      </c>
      <c r="F1149" t="s">
        <v>972</v>
      </c>
      <c r="G1149" t="s">
        <v>179</v>
      </c>
      <c r="H1149">
        <v>145</v>
      </c>
      <c r="I1149">
        <v>66.096999999999994</v>
      </c>
      <c r="J1149">
        <v>79.593000000000004</v>
      </c>
      <c r="K1149">
        <v>13.497</v>
      </c>
      <c r="L1149">
        <v>107</v>
      </c>
      <c r="M1149">
        <v>13</v>
      </c>
      <c r="N1149">
        <v>25</v>
      </c>
      <c r="O1149">
        <v>78.631</v>
      </c>
      <c r="P1149">
        <v>13.126608299999999</v>
      </c>
      <c r="Q1149">
        <v>12.686999999999999</v>
      </c>
    </row>
    <row r="1150" spans="1:17" s="30" customFormat="1" x14ac:dyDescent="0.2">
      <c r="A1150" s="30" t="str">
        <f>IF(C1150&amp;G1150&amp;D1150&lt;&gt;'Funnel setup'!$K$3&amp;'Funnel setup'!$K$4&amp;'Funnel setup'!$K$5,".",IF(A1149=".",1,A1149+1))</f>
        <v>.</v>
      </c>
      <c r="B1150" s="431" t="str">
        <f t="shared" si="17"/>
        <v>Hip Replacement PrimaryCCG of GP PracticeNHS STOCKPORT CCG (01W)EQ VAS</v>
      </c>
      <c r="C1150" t="s">
        <v>248</v>
      </c>
      <c r="D1150" t="s">
        <v>87</v>
      </c>
      <c r="E1150" t="s">
        <v>974</v>
      </c>
      <c r="F1150" t="s">
        <v>975</v>
      </c>
      <c r="G1150" t="s">
        <v>179</v>
      </c>
      <c r="H1150">
        <v>182</v>
      </c>
      <c r="I1150">
        <v>64.055000000000007</v>
      </c>
      <c r="J1150">
        <v>78.483999999999995</v>
      </c>
      <c r="K1150">
        <v>14.429</v>
      </c>
      <c r="L1150">
        <v>130</v>
      </c>
      <c r="M1150">
        <v>15</v>
      </c>
      <c r="N1150">
        <v>37</v>
      </c>
      <c r="O1150">
        <v>78.876999999999995</v>
      </c>
      <c r="P1150">
        <v>13.372749900000001</v>
      </c>
      <c r="Q1150">
        <v>15.161</v>
      </c>
    </row>
    <row r="1151" spans="1:17" s="30" customFormat="1" x14ac:dyDescent="0.2">
      <c r="A1151" s="30" t="str">
        <f>IF(C1151&amp;G1151&amp;D1151&lt;&gt;'Funnel setup'!$K$3&amp;'Funnel setup'!$K$4&amp;'Funnel setup'!$K$5,".",IF(A1150=".",1,A1150+1))</f>
        <v>.</v>
      </c>
      <c r="B1151" s="431" t="str">
        <f t="shared" si="17"/>
        <v>Hip Replacement PrimaryCCG of GP PracticeNHS STOKE ON TRENT CCG (05W)EQ VAS</v>
      </c>
      <c r="C1151" t="s">
        <v>248</v>
      </c>
      <c r="D1151" t="s">
        <v>87</v>
      </c>
      <c r="E1151" t="s">
        <v>977</v>
      </c>
      <c r="F1151" t="s">
        <v>978</v>
      </c>
      <c r="G1151" t="s">
        <v>179</v>
      </c>
      <c r="H1151">
        <v>169</v>
      </c>
      <c r="I1151">
        <v>59.201000000000001</v>
      </c>
      <c r="J1151">
        <v>75.882000000000005</v>
      </c>
      <c r="K1151">
        <v>16.68</v>
      </c>
      <c r="L1151">
        <v>124</v>
      </c>
      <c r="M1151">
        <v>13</v>
      </c>
      <c r="N1151">
        <v>32</v>
      </c>
      <c r="O1151">
        <v>79.581000000000003</v>
      </c>
      <c r="P1151">
        <v>14.0769792</v>
      </c>
      <c r="Q1151">
        <v>16.859000000000002</v>
      </c>
    </row>
    <row r="1152" spans="1:17" s="30" customFormat="1" x14ac:dyDescent="0.2">
      <c r="A1152" s="30" t="str">
        <f>IF(C1152&amp;G1152&amp;D1152&lt;&gt;'Funnel setup'!$K$3&amp;'Funnel setup'!$K$4&amp;'Funnel setup'!$K$5,".",IF(A1151=".",1,A1151+1))</f>
        <v>.</v>
      </c>
      <c r="B1152" s="431" t="str">
        <f t="shared" si="17"/>
        <v>Hip Replacement PrimaryCCG of GP PracticeNHS SUNDERLAND CCG (00P)EQ VAS</v>
      </c>
      <c r="C1152" t="s">
        <v>248</v>
      </c>
      <c r="D1152" t="s">
        <v>87</v>
      </c>
      <c r="E1152" t="s">
        <v>980</v>
      </c>
      <c r="F1152" t="s">
        <v>981</v>
      </c>
      <c r="G1152" t="s">
        <v>179</v>
      </c>
      <c r="H1152">
        <v>190</v>
      </c>
      <c r="I1152">
        <v>62.631999999999998</v>
      </c>
      <c r="J1152">
        <v>73.616</v>
      </c>
      <c r="K1152">
        <v>10.984</v>
      </c>
      <c r="L1152">
        <v>113</v>
      </c>
      <c r="M1152">
        <v>21</v>
      </c>
      <c r="N1152">
        <v>56</v>
      </c>
      <c r="O1152">
        <v>75.382999999999996</v>
      </c>
      <c r="P1152">
        <v>9.878433566</v>
      </c>
      <c r="Q1152">
        <v>17.331</v>
      </c>
    </row>
    <row r="1153" spans="1:17" s="30" customFormat="1" x14ac:dyDescent="0.2">
      <c r="A1153" s="30" t="str">
        <f>IF(C1153&amp;G1153&amp;D1153&lt;&gt;'Funnel setup'!$K$3&amp;'Funnel setup'!$K$4&amp;'Funnel setup'!$K$5,".",IF(A1152=".",1,A1152+1))</f>
        <v>.</v>
      </c>
      <c r="B1153" s="431" t="str">
        <f t="shared" si="17"/>
        <v>Hip Replacement PrimaryCCG of GP PracticeNHS SURREY DOWNS CCG (99H)EQ VAS</v>
      </c>
      <c r="C1153" t="s">
        <v>248</v>
      </c>
      <c r="D1153" t="s">
        <v>87</v>
      </c>
      <c r="E1153" t="s">
        <v>983</v>
      </c>
      <c r="F1153" t="s">
        <v>984</v>
      </c>
      <c r="G1153" t="s">
        <v>179</v>
      </c>
      <c r="H1153">
        <v>230</v>
      </c>
      <c r="I1153">
        <v>69.73</v>
      </c>
      <c r="J1153">
        <v>78.522000000000006</v>
      </c>
      <c r="K1153">
        <v>8.7910000000000004</v>
      </c>
      <c r="L1153">
        <v>147</v>
      </c>
      <c r="M1153">
        <v>35</v>
      </c>
      <c r="N1153">
        <v>48</v>
      </c>
      <c r="O1153">
        <v>76.204999999999998</v>
      </c>
      <c r="P1153">
        <v>10.700535240000001</v>
      </c>
      <c r="Q1153">
        <v>15.462</v>
      </c>
    </row>
    <row r="1154" spans="1:17" s="30" customFormat="1" x14ac:dyDescent="0.2">
      <c r="A1154" s="30" t="str">
        <f>IF(C1154&amp;G1154&amp;D1154&lt;&gt;'Funnel setup'!$K$3&amp;'Funnel setup'!$K$4&amp;'Funnel setup'!$K$5,".",IF(A1153=".",1,A1153+1))</f>
        <v>.</v>
      </c>
      <c r="B1154" s="431" t="str">
        <f t="shared" si="17"/>
        <v>Hip Replacement PrimaryCCG of GP PracticeNHS SURREY HEATH CCG (10C)EQ VAS</v>
      </c>
      <c r="C1154" t="s">
        <v>248</v>
      </c>
      <c r="D1154" t="s">
        <v>87</v>
      </c>
      <c r="E1154" t="s">
        <v>986</v>
      </c>
      <c r="F1154" t="s">
        <v>987</v>
      </c>
      <c r="G1154" t="s">
        <v>179</v>
      </c>
      <c r="H1154">
        <v>99</v>
      </c>
      <c r="I1154">
        <v>72.616</v>
      </c>
      <c r="J1154">
        <v>81.414000000000001</v>
      </c>
      <c r="K1154">
        <v>8.798</v>
      </c>
      <c r="L1154">
        <v>63</v>
      </c>
      <c r="M1154">
        <v>11</v>
      </c>
      <c r="N1154">
        <v>25</v>
      </c>
      <c r="O1154">
        <v>77.078999999999994</v>
      </c>
      <c r="P1154">
        <v>11.57425213</v>
      </c>
      <c r="Q1154">
        <v>15.092000000000001</v>
      </c>
    </row>
    <row r="1155" spans="1:17" s="30" customFormat="1" x14ac:dyDescent="0.2">
      <c r="A1155" s="30" t="str">
        <f>IF(C1155&amp;G1155&amp;D1155&lt;&gt;'Funnel setup'!$K$3&amp;'Funnel setup'!$K$4&amp;'Funnel setup'!$K$5,".",IF(A1154=".",1,A1154+1))</f>
        <v>.</v>
      </c>
      <c r="B1155" s="431" t="str">
        <f t="shared" ref="B1155:B1218" si="18">C1155&amp;D1155&amp;F1155&amp;G1155</f>
        <v>Hip Replacement PrimaryCCG of GP PracticeNHS SUTTON CCG (08T)EQ VAS</v>
      </c>
      <c r="C1155" t="s">
        <v>248</v>
      </c>
      <c r="D1155" t="s">
        <v>87</v>
      </c>
      <c r="E1155" t="s">
        <v>989</v>
      </c>
      <c r="F1155" t="s">
        <v>990</v>
      </c>
      <c r="G1155" t="s">
        <v>179</v>
      </c>
      <c r="H1155">
        <v>95</v>
      </c>
      <c r="I1155">
        <v>65.168000000000006</v>
      </c>
      <c r="J1155">
        <v>78.147000000000006</v>
      </c>
      <c r="K1155">
        <v>12.978999999999999</v>
      </c>
      <c r="L1155">
        <v>62</v>
      </c>
      <c r="M1155">
        <v>15</v>
      </c>
      <c r="N1155">
        <v>18</v>
      </c>
      <c r="O1155">
        <v>77.614999999999995</v>
      </c>
      <c r="P1155">
        <v>12.110791539999999</v>
      </c>
      <c r="Q1155">
        <v>16.381</v>
      </c>
    </row>
    <row r="1156" spans="1:17" s="30" customFormat="1" x14ac:dyDescent="0.2">
      <c r="A1156" s="30" t="str">
        <f>IF(C1156&amp;G1156&amp;D1156&lt;&gt;'Funnel setup'!$K$3&amp;'Funnel setup'!$K$4&amp;'Funnel setup'!$K$5,".",IF(A1155=".",1,A1155+1))</f>
        <v>.</v>
      </c>
      <c r="B1156" s="431" t="str">
        <f t="shared" si="18"/>
        <v>Hip Replacement PrimaryCCG of GP PracticeNHS SWALE CCG (10D)EQ VAS</v>
      </c>
      <c r="C1156" t="s">
        <v>248</v>
      </c>
      <c r="D1156" t="s">
        <v>87</v>
      </c>
      <c r="E1156" t="s">
        <v>992</v>
      </c>
      <c r="F1156" t="s">
        <v>993</v>
      </c>
      <c r="G1156" t="s">
        <v>179</v>
      </c>
      <c r="H1156">
        <v>66</v>
      </c>
      <c r="I1156">
        <v>66.347999999999999</v>
      </c>
      <c r="J1156">
        <v>76.227000000000004</v>
      </c>
      <c r="K1156">
        <v>9.8789999999999996</v>
      </c>
      <c r="L1156">
        <v>44</v>
      </c>
      <c r="M1156">
        <v>5</v>
      </c>
      <c r="N1156">
        <v>17</v>
      </c>
      <c r="O1156">
        <v>78.25</v>
      </c>
      <c r="P1156">
        <v>12.74563491</v>
      </c>
      <c r="Q1156">
        <v>15.243</v>
      </c>
    </row>
    <row r="1157" spans="1:17" s="30" customFormat="1" x14ac:dyDescent="0.2">
      <c r="A1157" s="30" t="str">
        <f>IF(C1157&amp;G1157&amp;D1157&lt;&gt;'Funnel setup'!$K$3&amp;'Funnel setup'!$K$4&amp;'Funnel setup'!$K$5,".",IF(A1156=".",1,A1156+1))</f>
        <v>.</v>
      </c>
      <c r="B1157" s="431" t="str">
        <f t="shared" si="18"/>
        <v>Hip Replacement PrimaryCCG of GP PracticeNHS SWINDON CCG (12D)EQ VAS</v>
      </c>
      <c r="C1157" t="s">
        <v>248</v>
      </c>
      <c r="D1157" t="s">
        <v>87</v>
      </c>
      <c r="E1157" t="s">
        <v>995</v>
      </c>
      <c r="F1157" t="s">
        <v>996</v>
      </c>
      <c r="G1157" t="s">
        <v>179</v>
      </c>
      <c r="H1157">
        <v>158</v>
      </c>
      <c r="I1157">
        <v>66.646000000000001</v>
      </c>
      <c r="J1157">
        <v>78.013000000000005</v>
      </c>
      <c r="K1157">
        <v>11.367000000000001</v>
      </c>
      <c r="L1157">
        <v>100</v>
      </c>
      <c r="M1157">
        <v>22</v>
      </c>
      <c r="N1157">
        <v>36</v>
      </c>
      <c r="O1157">
        <v>77.278000000000006</v>
      </c>
      <c r="P1157">
        <v>11.77384376</v>
      </c>
      <c r="Q1157">
        <v>13.888</v>
      </c>
    </row>
    <row r="1158" spans="1:17" s="30" customFormat="1" x14ac:dyDescent="0.2">
      <c r="A1158" s="30" t="str">
        <f>IF(C1158&amp;G1158&amp;D1158&lt;&gt;'Funnel setup'!$K$3&amp;'Funnel setup'!$K$4&amp;'Funnel setup'!$K$5,".",IF(A1157=".",1,A1157+1))</f>
        <v>.</v>
      </c>
      <c r="B1158" s="431" t="str">
        <f t="shared" si="18"/>
        <v>Hip Replacement PrimaryCCG of GP PracticeNHS TAMESIDE AND GLOSSOP CCG (01Y)EQ VAS</v>
      </c>
      <c r="C1158" t="s">
        <v>248</v>
      </c>
      <c r="D1158" t="s">
        <v>87</v>
      </c>
      <c r="E1158" t="s">
        <v>998</v>
      </c>
      <c r="F1158" t="s">
        <v>999</v>
      </c>
      <c r="G1158" t="s">
        <v>179</v>
      </c>
      <c r="H1158">
        <v>110</v>
      </c>
      <c r="I1158">
        <v>64.182000000000002</v>
      </c>
      <c r="J1158">
        <v>75.117999999999995</v>
      </c>
      <c r="K1158">
        <v>10.936</v>
      </c>
      <c r="L1158">
        <v>67</v>
      </c>
      <c r="M1158">
        <v>12</v>
      </c>
      <c r="N1158">
        <v>31</v>
      </c>
      <c r="O1158">
        <v>76.456000000000003</v>
      </c>
      <c r="P1158">
        <v>10.95185504</v>
      </c>
      <c r="Q1158">
        <v>17.363</v>
      </c>
    </row>
    <row r="1159" spans="1:17" s="30" customFormat="1" x14ac:dyDescent="0.2">
      <c r="A1159" s="30" t="str">
        <f>IF(C1159&amp;G1159&amp;D1159&lt;&gt;'Funnel setup'!$K$3&amp;'Funnel setup'!$K$4&amp;'Funnel setup'!$K$5,".",IF(A1158=".",1,A1158+1))</f>
        <v>.</v>
      </c>
      <c r="B1159" s="431" t="str">
        <f t="shared" si="18"/>
        <v>Hip Replacement PrimaryCCG of GP PracticeNHS TELFORD AND WREKIN CCG (05X)EQ VAS</v>
      </c>
      <c r="C1159" t="s">
        <v>248</v>
      </c>
      <c r="D1159" t="s">
        <v>87</v>
      </c>
      <c r="E1159" t="s">
        <v>1001</v>
      </c>
      <c r="F1159" t="s">
        <v>1002</v>
      </c>
      <c r="G1159" t="s">
        <v>179</v>
      </c>
      <c r="H1159">
        <v>122</v>
      </c>
      <c r="I1159">
        <v>59.639000000000003</v>
      </c>
      <c r="J1159">
        <v>74.738</v>
      </c>
      <c r="K1159">
        <v>15.098000000000001</v>
      </c>
      <c r="L1159">
        <v>87</v>
      </c>
      <c r="M1159">
        <v>10</v>
      </c>
      <c r="N1159">
        <v>25</v>
      </c>
      <c r="O1159">
        <v>75.620999999999995</v>
      </c>
      <c r="P1159">
        <v>10.11627833</v>
      </c>
      <c r="Q1159">
        <v>18.684999999999999</v>
      </c>
    </row>
    <row r="1160" spans="1:17" s="30" customFormat="1" x14ac:dyDescent="0.2">
      <c r="A1160" s="30" t="str">
        <f>IF(C1160&amp;G1160&amp;D1160&lt;&gt;'Funnel setup'!$K$3&amp;'Funnel setup'!$K$4&amp;'Funnel setup'!$K$5,".",IF(A1159=".",1,A1159+1))</f>
        <v>.</v>
      </c>
      <c r="B1160" s="431" t="str">
        <f t="shared" si="18"/>
        <v>Hip Replacement PrimaryCCG of GP PracticeNHS THANET CCG (10E)EQ VAS</v>
      </c>
      <c r="C1160" t="s">
        <v>248</v>
      </c>
      <c r="D1160" t="s">
        <v>87</v>
      </c>
      <c r="E1160" t="s">
        <v>1004</v>
      </c>
      <c r="F1160" t="s">
        <v>1005</v>
      </c>
      <c r="G1160" t="s">
        <v>179</v>
      </c>
      <c r="H1160">
        <v>70</v>
      </c>
      <c r="I1160">
        <v>71.486000000000004</v>
      </c>
      <c r="J1160">
        <v>80.143000000000001</v>
      </c>
      <c r="K1160">
        <v>8.657</v>
      </c>
      <c r="L1160">
        <v>43</v>
      </c>
      <c r="M1160">
        <v>8</v>
      </c>
      <c r="N1160">
        <v>19</v>
      </c>
      <c r="O1160">
        <v>79.641000000000005</v>
      </c>
      <c r="P1160">
        <v>14.136402309999999</v>
      </c>
      <c r="Q1160">
        <v>13.914999999999999</v>
      </c>
    </row>
    <row r="1161" spans="1:17" s="30" customFormat="1" x14ac:dyDescent="0.2">
      <c r="A1161" s="30" t="str">
        <f>IF(C1161&amp;G1161&amp;D1161&lt;&gt;'Funnel setup'!$K$3&amp;'Funnel setup'!$K$4&amp;'Funnel setup'!$K$5,".",IF(A1160=".",1,A1160+1))</f>
        <v>.</v>
      </c>
      <c r="B1161" s="431" t="str">
        <f t="shared" si="18"/>
        <v>Hip Replacement PrimaryCCG of GP PracticeNHS THURROCK CCG (07G)EQ VAS</v>
      </c>
      <c r="C1161" t="s">
        <v>248</v>
      </c>
      <c r="D1161" t="s">
        <v>87</v>
      </c>
      <c r="E1161" t="s">
        <v>1007</v>
      </c>
      <c r="F1161" t="s">
        <v>1008</v>
      </c>
      <c r="G1161" t="s">
        <v>179</v>
      </c>
      <c r="H1161">
        <v>56</v>
      </c>
      <c r="I1161">
        <v>65.768000000000001</v>
      </c>
      <c r="J1161">
        <v>79.213999999999999</v>
      </c>
      <c r="K1161">
        <v>13.446</v>
      </c>
      <c r="L1161">
        <v>40</v>
      </c>
      <c r="M1161">
        <v>3</v>
      </c>
      <c r="N1161">
        <v>13</v>
      </c>
      <c r="O1161">
        <v>78.932000000000002</v>
      </c>
      <c r="P1161">
        <v>13.427306809999999</v>
      </c>
      <c r="Q1161">
        <v>17.367999999999999</v>
      </c>
    </row>
    <row r="1162" spans="1:17" s="30" customFormat="1" x14ac:dyDescent="0.2">
      <c r="A1162" s="30" t="str">
        <f>IF(C1162&amp;G1162&amp;D1162&lt;&gt;'Funnel setup'!$K$3&amp;'Funnel setup'!$K$4&amp;'Funnel setup'!$K$5,".",IF(A1161=".",1,A1161+1))</f>
        <v>.</v>
      </c>
      <c r="B1162" s="431" t="str">
        <f t="shared" si="18"/>
        <v>Hip Replacement PrimaryCCG of GP PracticeNHS TOWER HAMLETS CCG (08V)EQ VAS</v>
      </c>
      <c r="C1162" t="s">
        <v>248</v>
      </c>
      <c r="D1162" t="s">
        <v>87</v>
      </c>
      <c r="E1162" t="s">
        <v>1010</v>
      </c>
      <c r="F1162" t="s">
        <v>1011</v>
      </c>
      <c r="G1162" t="s">
        <v>179</v>
      </c>
      <c r="H1162">
        <v>15</v>
      </c>
      <c r="I1162">
        <v>60.667000000000002</v>
      </c>
      <c r="J1162">
        <v>77</v>
      </c>
      <c r="K1162">
        <v>16.332999999999998</v>
      </c>
      <c r="L1162">
        <v>11</v>
      </c>
      <c r="M1162">
        <v>2</v>
      </c>
      <c r="N1162">
        <v>2</v>
      </c>
      <c r="O1162" t="s">
        <v>53</v>
      </c>
      <c r="P1162" t="s">
        <v>53</v>
      </c>
      <c r="Q1162" t="s">
        <v>53</v>
      </c>
    </row>
    <row r="1163" spans="1:17" s="30" customFormat="1" x14ac:dyDescent="0.2">
      <c r="A1163" s="30" t="str">
        <f>IF(C1163&amp;G1163&amp;D1163&lt;&gt;'Funnel setup'!$K$3&amp;'Funnel setup'!$K$4&amp;'Funnel setup'!$K$5,".",IF(A1162=".",1,A1162+1))</f>
        <v>.</v>
      </c>
      <c r="B1163" s="431" t="str">
        <f t="shared" si="18"/>
        <v>Hip Replacement PrimaryCCG of GP PracticeNHS TRAFFORD CCG (02A)EQ VAS</v>
      </c>
      <c r="C1163" t="s">
        <v>248</v>
      </c>
      <c r="D1163" t="s">
        <v>87</v>
      </c>
      <c r="E1163" t="s">
        <v>1013</v>
      </c>
      <c r="F1163" t="s">
        <v>1014</v>
      </c>
      <c r="G1163" t="s">
        <v>179</v>
      </c>
      <c r="H1163">
        <v>69</v>
      </c>
      <c r="I1163">
        <v>67.188000000000002</v>
      </c>
      <c r="J1163">
        <v>79.361999999999995</v>
      </c>
      <c r="K1163">
        <v>12.173999999999999</v>
      </c>
      <c r="L1163">
        <v>51</v>
      </c>
      <c r="M1163">
        <v>7</v>
      </c>
      <c r="N1163">
        <v>11</v>
      </c>
      <c r="O1163">
        <v>77.625</v>
      </c>
      <c r="P1163">
        <v>12.12069174</v>
      </c>
      <c r="Q1163">
        <v>17.363</v>
      </c>
    </row>
    <row r="1164" spans="1:17" s="30" customFormat="1" x14ac:dyDescent="0.2">
      <c r="A1164" s="30" t="str">
        <f>IF(C1164&amp;G1164&amp;D1164&lt;&gt;'Funnel setup'!$K$3&amp;'Funnel setup'!$K$4&amp;'Funnel setup'!$K$5,".",IF(A1163=".",1,A1163+1))</f>
        <v>.</v>
      </c>
      <c r="B1164" s="431" t="str">
        <f t="shared" si="18"/>
        <v>Hip Replacement PrimaryCCG of GP PracticeNHS VALE OF YORK CCG (03Q)EQ VAS</v>
      </c>
      <c r="C1164" t="s">
        <v>248</v>
      </c>
      <c r="D1164" t="s">
        <v>87</v>
      </c>
      <c r="E1164" t="s">
        <v>420</v>
      </c>
      <c r="F1164" t="s">
        <v>421</v>
      </c>
      <c r="G1164" t="s">
        <v>179</v>
      </c>
      <c r="H1164">
        <v>360</v>
      </c>
      <c r="I1164">
        <v>67.275000000000006</v>
      </c>
      <c r="J1164">
        <v>79.003</v>
      </c>
      <c r="K1164">
        <v>11.728</v>
      </c>
      <c r="L1164">
        <v>256</v>
      </c>
      <c r="M1164">
        <v>37</v>
      </c>
      <c r="N1164">
        <v>67</v>
      </c>
      <c r="O1164">
        <v>77.495000000000005</v>
      </c>
      <c r="P1164">
        <v>11.990732209999999</v>
      </c>
      <c r="Q1164">
        <v>14.797000000000001</v>
      </c>
    </row>
    <row r="1165" spans="1:17" s="30" customFormat="1" x14ac:dyDescent="0.2">
      <c r="A1165" s="30" t="str">
        <f>IF(C1165&amp;G1165&amp;D1165&lt;&gt;'Funnel setup'!$K$3&amp;'Funnel setup'!$K$4&amp;'Funnel setup'!$K$5,".",IF(A1164=".",1,A1164+1))</f>
        <v>.</v>
      </c>
      <c r="B1165" s="431" t="str">
        <f t="shared" si="18"/>
        <v>Hip Replacement PrimaryCCG of GP PracticeNHS VALE ROYAL CCG (02D)EQ VAS</v>
      </c>
      <c r="C1165" t="s">
        <v>248</v>
      </c>
      <c r="D1165" t="s">
        <v>87</v>
      </c>
      <c r="E1165" t="s">
        <v>423</v>
      </c>
      <c r="F1165" t="s">
        <v>424</v>
      </c>
      <c r="G1165" t="s">
        <v>179</v>
      </c>
      <c r="H1165">
        <v>67</v>
      </c>
      <c r="I1165">
        <v>61.343000000000004</v>
      </c>
      <c r="J1165">
        <v>77.641999999999996</v>
      </c>
      <c r="K1165">
        <v>16.298999999999999</v>
      </c>
      <c r="L1165">
        <v>48</v>
      </c>
      <c r="M1165">
        <v>8</v>
      </c>
      <c r="N1165">
        <v>11</v>
      </c>
      <c r="O1165">
        <v>78.622</v>
      </c>
      <c r="P1165">
        <v>13.118149580000001</v>
      </c>
      <c r="Q1165">
        <v>18.196999999999999</v>
      </c>
    </row>
    <row r="1166" spans="1:17" s="30" customFormat="1" x14ac:dyDescent="0.2">
      <c r="A1166" s="30" t="str">
        <f>IF(C1166&amp;G1166&amp;D1166&lt;&gt;'Funnel setup'!$K$3&amp;'Funnel setup'!$K$4&amp;'Funnel setup'!$K$5,".",IF(A1165=".",1,A1165+1))</f>
        <v>.</v>
      </c>
      <c r="B1166" s="431" t="str">
        <f t="shared" si="18"/>
        <v>Hip Replacement PrimaryCCG of GP PracticeNHS WAKEFIELD CCG (03R)EQ VAS</v>
      </c>
      <c r="C1166" t="s">
        <v>248</v>
      </c>
      <c r="D1166" t="s">
        <v>87</v>
      </c>
      <c r="E1166" t="s">
        <v>426</v>
      </c>
      <c r="F1166" t="s">
        <v>427</v>
      </c>
      <c r="G1166" t="s">
        <v>179</v>
      </c>
      <c r="H1166">
        <v>197</v>
      </c>
      <c r="I1166">
        <v>64.070999999999998</v>
      </c>
      <c r="J1166">
        <v>75.102000000000004</v>
      </c>
      <c r="K1166">
        <v>11.03</v>
      </c>
      <c r="L1166">
        <v>132</v>
      </c>
      <c r="M1166">
        <v>15</v>
      </c>
      <c r="N1166">
        <v>50</v>
      </c>
      <c r="O1166">
        <v>75.813000000000002</v>
      </c>
      <c r="P1166">
        <v>10.308868</v>
      </c>
      <c r="Q1166">
        <v>15.422000000000001</v>
      </c>
    </row>
    <row r="1167" spans="1:17" s="30" customFormat="1" x14ac:dyDescent="0.2">
      <c r="A1167" s="30" t="str">
        <f>IF(C1167&amp;G1167&amp;D1167&lt;&gt;'Funnel setup'!$K$3&amp;'Funnel setup'!$K$4&amp;'Funnel setup'!$K$5,".",IF(A1166=".",1,A1166+1))</f>
        <v>.</v>
      </c>
      <c r="B1167" s="431" t="str">
        <f t="shared" si="18"/>
        <v>Hip Replacement PrimaryCCG of GP PracticeNHS WALSALL CCG (05Y)EQ VAS</v>
      </c>
      <c r="C1167" t="s">
        <v>248</v>
      </c>
      <c r="D1167" t="s">
        <v>87</v>
      </c>
      <c r="E1167" t="s">
        <v>429</v>
      </c>
      <c r="F1167" t="s">
        <v>430</v>
      </c>
      <c r="G1167" t="s">
        <v>179</v>
      </c>
      <c r="H1167">
        <v>137</v>
      </c>
      <c r="I1167">
        <v>59.533000000000001</v>
      </c>
      <c r="J1167">
        <v>72.905000000000001</v>
      </c>
      <c r="K1167">
        <v>13.372</v>
      </c>
      <c r="L1167">
        <v>94</v>
      </c>
      <c r="M1167">
        <v>14</v>
      </c>
      <c r="N1167">
        <v>29</v>
      </c>
      <c r="O1167">
        <v>75.843000000000004</v>
      </c>
      <c r="P1167">
        <v>10.33851812</v>
      </c>
      <c r="Q1167">
        <v>18.747</v>
      </c>
    </row>
    <row r="1168" spans="1:17" s="30" customFormat="1" x14ac:dyDescent="0.2">
      <c r="A1168" s="30" t="str">
        <f>IF(C1168&amp;G1168&amp;D1168&lt;&gt;'Funnel setup'!$K$3&amp;'Funnel setup'!$K$4&amp;'Funnel setup'!$K$5,".",IF(A1167=".",1,A1167+1))</f>
        <v>.</v>
      </c>
      <c r="B1168" s="431" t="str">
        <f t="shared" si="18"/>
        <v>Hip Replacement PrimaryCCG of GP PracticeNHS WALTHAM FOREST CCG (08W)EQ VAS</v>
      </c>
      <c r="C1168" t="s">
        <v>248</v>
      </c>
      <c r="D1168" t="s">
        <v>87</v>
      </c>
      <c r="E1168" t="s">
        <v>432</v>
      </c>
      <c r="F1168" t="s">
        <v>433</v>
      </c>
      <c r="G1168" t="s">
        <v>179</v>
      </c>
      <c r="H1168">
        <v>70</v>
      </c>
      <c r="I1168">
        <v>58.613999999999997</v>
      </c>
      <c r="J1168">
        <v>74.813999999999993</v>
      </c>
      <c r="K1168">
        <v>16.2</v>
      </c>
      <c r="L1168">
        <v>48</v>
      </c>
      <c r="M1168">
        <v>5</v>
      </c>
      <c r="N1168">
        <v>17</v>
      </c>
      <c r="O1168">
        <v>77.548000000000002</v>
      </c>
      <c r="P1168">
        <v>12.043344879999999</v>
      </c>
      <c r="Q1168">
        <v>15.329000000000001</v>
      </c>
    </row>
    <row r="1169" spans="1:17" s="30" customFormat="1" x14ac:dyDescent="0.2">
      <c r="A1169" s="30" t="str">
        <f>IF(C1169&amp;G1169&amp;D1169&lt;&gt;'Funnel setup'!$K$3&amp;'Funnel setup'!$K$4&amp;'Funnel setup'!$K$5,".",IF(A1168=".",1,A1168+1))</f>
        <v>.</v>
      </c>
      <c r="B1169" s="431" t="str">
        <f t="shared" si="18"/>
        <v>Hip Replacement PrimaryCCG of GP PracticeNHS WANDSWORTH CCG (08X)EQ VAS</v>
      </c>
      <c r="C1169" t="s">
        <v>248</v>
      </c>
      <c r="D1169" t="s">
        <v>87</v>
      </c>
      <c r="E1169" t="s">
        <v>435</v>
      </c>
      <c r="F1169" t="s">
        <v>436</v>
      </c>
      <c r="G1169" t="s">
        <v>179</v>
      </c>
      <c r="H1169">
        <v>72</v>
      </c>
      <c r="I1169">
        <v>65.457999999999998</v>
      </c>
      <c r="J1169">
        <v>77.653000000000006</v>
      </c>
      <c r="K1169">
        <v>12.194000000000001</v>
      </c>
      <c r="L1169">
        <v>47</v>
      </c>
      <c r="M1169">
        <v>10</v>
      </c>
      <c r="N1169">
        <v>15</v>
      </c>
      <c r="O1169">
        <v>77.649000000000001</v>
      </c>
      <c r="P1169">
        <v>12.144739420000001</v>
      </c>
      <c r="Q1169">
        <v>15.922000000000001</v>
      </c>
    </row>
    <row r="1170" spans="1:17" s="30" customFormat="1" x14ac:dyDescent="0.2">
      <c r="A1170" s="30" t="str">
        <f>IF(C1170&amp;G1170&amp;D1170&lt;&gt;'Funnel setup'!$K$3&amp;'Funnel setup'!$K$4&amp;'Funnel setup'!$K$5,".",IF(A1169=".",1,A1169+1))</f>
        <v>.</v>
      </c>
      <c r="B1170" s="431" t="str">
        <f t="shared" si="18"/>
        <v>Hip Replacement PrimaryCCG of GP PracticeNHS WARRINGTON CCG (02E)EQ VAS</v>
      </c>
      <c r="C1170" t="s">
        <v>248</v>
      </c>
      <c r="D1170" t="s">
        <v>87</v>
      </c>
      <c r="E1170" t="s">
        <v>441</v>
      </c>
      <c r="F1170" t="s">
        <v>442</v>
      </c>
      <c r="G1170" t="s">
        <v>179</v>
      </c>
      <c r="H1170">
        <v>111</v>
      </c>
      <c r="I1170">
        <v>64.739000000000004</v>
      </c>
      <c r="J1170">
        <v>77.495000000000005</v>
      </c>
      <c r="K1170">
        <v>12.757</v>
      </c>
      <c r="L1170">
        <v>74</v>
      </c>
      <c r="M1170">
        <v>13</v>
      </c>
      <c r="N1170">
        <v>24</v>
      </c>
      <c r="O1170">
        <v>76.924999999999997</v>
      </c>
      <c r="P1170">
        <v>11.420803210000001</v>
      </c>
      <c r="Q1170">
        <v>18.45</v>
      </c>
    </row>
    <row r="1171" spans="1:17" s="30" customFormat="1" x14ac:dyDescent="0.2">
      <c r="A1171" s="30" t="str">
        <f>IF(C1171&amp;G1171&amp;D1171&lt;&gt;'Funnel setup'!$K$3&amp;'Funnel setup'!$K$4&amp;'Funnel setup'!$K$5,".",IF(A1170=".",1,A1170+1))</f>
        <v>.</v>
      </c>
      <c r="B1171" s="431" t="str">
        <f t="shared" si="18"/>
        <v>Hip Replacement PrimaryCCG of GP PracticeNHS WARWICKSHIRE NORTH CCG (05H)EQ VAS</v>
      </c>
      <c r="C1171" t="s">
        <v>248</v>
      </c>
      <c r="D1171" t="s">
        <v>87</v>
      </c>
      <c r="E1171" t="s">
        <v>438</v>
      </c>
      <c r="F1171" t="s">
        <v>439</v>
      </c>
      <c r="G1171" t="s">
        <v>179</v>
      </c>
      <c r="H1171">
        <v>97</v>
      </c>
      <c r="I1171">
        <v>62.814</v>
      </c>
      <c r="J1171">
        <v>76.474000000000004</v>
      </c>
      <c r="K1171">
        <v>13.66</v>
      </c>
      <c r="L1171">
        <v>63</v>
      </c>
      <c r="M1171">
        <v>14</v>
      </c>
      <c r="N1171">
        <v>20</v>
      </c>
      <c r="O1171">
        <v>76.885999999999996</v>
      </c>
      <c r="P1171">
        <v>11.381260149999999</v>
      </c>
      <c r="Q1171">
        <v>16.888000000000002</v>
      </c>
    </row>
    <row r="1172" spans="1:17" s="30" customFormat="1" x14ac:dyDescent="0.2">
      <c r="A1172" s="30" t="str">
        <f>IF(C1172&amp;G1172&amp;D1172&lt;&gt;'Funnel setup'!$K$3&amp;'Funnel setup'!$K$4&amp;'Funnel setup'!$K$5,".",IF(A1171=".",1,A1171+1))</f>
        <v>.</v>
      </c>
      <c r="B1172" s="431" t="str">
        <f t="shared" si="18"/>
        <v>Hip Replacement PrimaryCCG of GP PracticeNHS WEST CHESHIRE CCG (02F)EQ VAS</v>
      </c>
      <c r="C1172" t="s">
        <v>248</v>
      </c>
      <c r="D1172" t="s">
        <v>87</v>
      </c>
      <c r="E1172" t="s">
        <v>402</v>
      </c>
      <c r="F1172" t="s">
        <v>403</v>
      </c>
      <c r="G1172" t="s">
        <v>179</v>
      </c>
      <c r="H1172">
        <v>193</v>
      </c>
      <c r="I1172">
        <v>65.352000000000004</v>
      </c>
      <c r="J1172">
        <v>79.263999999999996</v>
      </c>
      <c r="K1172">
        <v>13.912000000000001</v>
      </c>
      <c r="L1172">
        <v>134</v>
      </c>
      <c r="M1172">
        <v>31</v>
      </c>
      <c r="N1172">
        <v>28</v>
      </c>
      <c r="O1172">
        <v>78.343000000000004</v>
      </c>
      <c r="P1172">
        <v>12.838260610000001</v>
      </c>
      <c r="Q1172">
        <v>14.054</v>
      </c>
    </row>
    <row r="1173" spans="1:17" s="30" customFormat="1" x14ac:dyDescent="0.2">
      <c r="A1173" s="30" t="str">
        <f>IF(C1173&amp;G1173&amp;D1173&lt;&gt;'Funnel setup'!$K$3&amp;'Funnel setup'!$K$4&amp;'Funnel setup'!$K$5,".",IF(A1172=".",1,A1172+1))</f>
        <v>.</v>
      </c>
      <c r="B1173" s="431" t="str">
        <f t="shared" si="18"/>
        <v>Hip Replacement PrimaryCCG of GP PracticeNHS WEST ESSEX CCG (07H)EQ VAS</v>
      </c>
      <c r="C1173" t="s">
        <v>248</v>
      </c>
      <c r="D1173" t="s">
        <v>87</v>
      </c>
      <c r="E1173" t="s">
        <v>405</v>
      </c>
      <c r="F1173" t="s">
        <v>406</v>
      </c>
      <c r="G1173" t="s">
        <v>179</v>
      </c>
      <c r="H1173">
        <v>191</v>
      </c>
      <c r="I1173">
        <v>66</v>
      </c>
      <c r="J1173">
        <v>76.156999999999996</v>
      </c>
      <c r="K1173">
        <v>10.157</v>
      </c>
      <c r="L1173">
        <v>124</v>
      </c>
      <c r="M1173">
        <v>21</v>
      </c>
      <c r="N1173">
        <v>46</v>
      </c>
      <c r="O1173">
        <v>75.81</v>
      </c>
      <c r="P1173">
        <v>10.30530463</v>
      </c>
      <c r="Q1173">
        <v>15.648</v>
      </c>
    </row>
    <row r="1174" spans="1:17" s="30" customFormat="1" x14ac:dyDescent="0.2">
      <c r="A1174" s="30" t="str">
        <f>IF(C1174&amp;G1174&amp;D1174&lt;&gt;'Funnel setup'!$K$3&amp;'Funnel setup'!$K$4&amp;'Funnel setup'!$K$5,".",IF(A1173=".",1,A1173+1))</f>
        <v>.</v>
      </c>
      <c r="B1174" s="431" t="str">
        <f t="shared" si="18"/>
        <v>Hip Replacement PrimaryCCG of GP PracticeNHS WEST HAMPSHIRE CCG (11A)EQ VAS</v>
      </c>
      <c r="C1174" t="s">
        <v>248</v>
      </c>
      <c r="D1174" t="s">
        <v>87</v>
      </c>
      <c r="E1174" t="s">
        <v>444</v>
      </c>
      <c r="F1174" t="s">
        <v>445</v>
      </c>
      <c r="G1174" t="s">
        <v>179</v>
      </c>
      <c r="H1174">
        <v>456</v>
      </c>
      <c r="I1174">
        <v>67.778999999999996</v>
      </c>
      <c r="J1174">
        <v>78.430000000000007</v>
      </c>
      <c r="K1174">
        <v>10.651</v>
      </c>
      <c r="L1174">
        <v>302</v>
      </c>
      <c r="M1174">
        <v>54</v>
      </c>
      <c r="N1174">
        <v>100</v>
      </c>
      <c r="O1174">
        <v>77.412999999999997</v>
      </c>
      <c r="P1174">
        <v>11.908455630000001</v>
      </c>
      <c r="Q1174">
        <v>16.094000000000001</v>
      </c>
    </row>
    <row r="1175" spans="1:17" s="30" customFormat="1" x14ac:dyDescent="0.2">
      <c r="A1175" s="30" t="str">
        <f>IF(C1175&amp;G1175&amp;D1175&lt;&gt;'Funnel setup'!$K$3&amp;'Funnel setup'!$K$4&amp;'Funnel setup'!$K$5,".",IF(A1174=".",1,A1174+1))</f>
        <v>.</v>
      </c>
      <c r="B1175" s="431" t="str">
        <f t="shared" si="18"/>
        <v>Hip Replacement PrimaryCCG of GP PracticeNHS WEST KENT CCG (99J)EQ VAS</v>
      </c>
      <c r="C1175" t="s">
        <v>248</v>
      </c>
      <c r="D1175" t="s">
        <v>87</v>
      </c>
      <c r="E1175" t="s">
        <v>447</v>
      </c>
      <c r="F1175" t="s">
        <v>448</v>
      </c>
      <c r="G1175" t="s">
        <v>179</v>
      </c>
      <c r="H1175">
        <v>313</v>
      </c>
      <c r="I1175">
        <v>67.858999999999995</v>
      </c>
      <c r="J1175">
        <v>79.552999999999997</v>
      </c>
      <c r="K1175">
        <v>11.693</v>
      </c>
      <c r="L1175">
        <v>220</v>
      </c>
      <c r="M1175">
        <v>30</v>
      </c>
      <c r="N1175">
        <v>63</v>
      </c>
      <c r="O1175">
        <v>78.843999999999994</v>
      </c>
      <c r="P1175">
        <v>13.33920646</v>
      </c>
      <c r="Q1175">
        <v>14.656000000000001</v>
      </c>
    </row>
    <row r="1176" spans="1:17" s="30" customFormat="1" x14ac:dyDescent="0.2">
      <c r="A1176" s="30" t="str">
        <f>IF(C1176&amp;G1176&amp;D1176&lt;&gt;'Funnel setup'!$K$3&amp;'Funnel setup'!$K$4&amp;'Funnel setup'!$K$5,".",IF(A1175=".",1,A1175+1))</f>
        <v>.</v>
      </c>
      <c r="B1176" s="431" t="str">
        <f t="shared" si="18"/>
        <v>Hip Replacement PrimaryCCG of GP PracticeNHS WEST LANCASHIRE CCG (02G)EQ VAS</v>
      </c>
      <c r="C1176" t="s">
        <v>248</v>
      </c>
      <c r="D1176" t="s">
        <v>87</v>
      </c>
      <c r="E1176" t="s">
        <v>450</v>
      </c>
      <c r="F1176" t="s">
        <v>451</v>
      </c>
      <c r="G1176" t="s">
        <v>179</v>
      </c>
      <c r="H1176">
        <v>64</v>
      </c>
      <c r="I1176">
        <v>66.875</v>
      </c>
      <c r="J1176">
        <v>76.438000000000002</v>
      </c>
      <c r="K1176">
        <v>9.5630000000000006</v>
      </c>
      <c r="L1176">
        <v>44</v>
      </c>
      <c r="M1176">
        <v>6</v>
      </c>
      <c r="N1176">
        <v>14</v>
      </c>
      <c r="O1176">
        <v>75.736000000000004</v>
      </c>
      <c r="P1176">
        <v>10.232068180000001</v>
      </c>
      <c r="Q1176">
        <v>16.035</v>
      </c>
    </row>
    <row r="1177" spans="1:17" s="30" customFormat="1" x14ac:dyDescent="0.2">
      <c r="A1177" s="30" t="str">
        <f>IF(C1177&amp;G1177&amp;D1177&lt;&gt;'Funnel setup'!$K$3&amp;'Funnel setup'!$K$4&amp;'Funnel setup'!$K$5,".",IF(A1176=".",1,A1176+1))</f>
        <v>.</v>
      </c>
      <c r="B1177" s="431" t="str">
        <f t="shared" si="18"/>
        <v>Hip Replacement PrimaryCCG of GP PracticeNHS WEST LEICESTERSHIRE CCG (04V)EQ VAS</v>
      </c>
      <c r="C1177" t="s">
        <v>248</v>
      </c>
      <c r="D1177" t="s">
        <v>87</v>
      </c>
      <c r="E1177" t="s">
        <v>453</v>
      </c>
      <c r="F1177" t="s">
        <v>454</v>
      </c>
      <c r="G1177" t="s">
        <v>179</v>
      </c>
      <c r="H1177">
        <v>262</v>
      </c>
      <c r="I1177">
        <v>65.424000000000007</v>
      </c>
      <c r="J1177">
        <v>77.293999999999997</v>
      </c>
      <c r="K1177">
        <v>11.87</v>
      </c>
      <c r="L1177">
        <v>174</v>
      </c>
      <c r="M1177">
        <v>35</v>
      </c>
      <c r="N1177">
        <v>53</v>
      </c>
      <c r="O1177">
        <v>76.655000000000001</v>
      </c>
      <c r="P1177">
        <v>11.15080942</v>
      </c>
      <c r="Q1177">
        <v>15.077999999999999</v>
      </c>
    </row>
    <row r="1178" spans="1:17" s="30" customFormat="1" x14ac:dyDescent="0.2">
      <c r="A1178" s="30" t="str">
        <f>IF(C1178&amp;G1178&amp;D1178&lt;&gt;'Funnel setup'!$K$3&amp;'Funnel setup'!$K$4&amp;'Funnel setup'!$K$5,".",IF(A1177=".",1,A1177+1))</f>
        <v>.</v>
      </c>
      <c r="B1178" s="431" t="str">
        <f t="shared" si="18"/>
        <v>Hip Replacement PrimaryCCG of GP PracticeNHS WEST LONDON CCG (08Y)EQ VAS</v>
      </c>
      <c r="C1178" t="s">
        <v>248</v>
      </c>
      <c r="D1178" t="s">
        <v>87</v>
      </c>
      <c r="E1178" t="s">
        <v>456</v>
      </c>
      <c r="F1178" t="s">
        <v>457</v>
      </c>
      <c r="G1178" t="s">
        <v>179</v>
      </c>
      <c r="H1178">
        <v>21</v>
      </c>
      <c r="I1178">
        <v>57.856999999999999</v>
      </c>
      <c r="J1178">
        <v>71.475999999999999</v>
      </c>
      <c r="K1178">
        <v>13.619</v>
      </c>
      <c r="L1178">
        <v>12</v>
      </c>
      <c r="M1178">
        <v>5</v>
      </c>
      <c r="N1178">
        <v>4</v>
      </c>
      <c r="O1178" t="s">
        <v>53</v>
      </c>
      <c r="P1178" t="s">
        <v>53</v>
      </c>
      <c r="Q1178" t="s">
        <v>53</v>
      </c>
    </row>
    <row r="1179" spans="1:17" s="30" customFormat="1" x14ac:dyDescent="0.2">
      <c r="A1179" s="30" t="str">
        <f>IF(C1179&amp;G1179&amp;D1179&lt;&gt;'Funnel setup'!$K$3&amp;'Funnel setup'!$K$4&amp;'Funnel setup'!$K$5,".",IF(A1178=".",1,A1178+1))</f>
        <v>.</v>
      </c>
      <c r="B1179" s="431" t="str">
        <f t="shared" si="18"/>
        <v>Hip Replacement PrimaryCCG of GP PracticeNHS WEST NORFOLK CCG (07J)EQ VAS</v>
      </c>
      <c r="C1179" t="s">
        <v>248</v>
      </c>
      <c r="D1179" t="s">
        <v>87</v>
      </c>
      <c r="E1179" t="s">
        <v>459</v>
      </c>
      <c r="F1179" t="s">
        <v>460</v>
      </c>
      <c r="G1179" t="s">
        <v>179</v>
      </c>
      <c r="H1179">
        <v>167</v>
      </c>
      <c r="I1179">
        <v>68.036000000000001</v>
      </c>
      <c r="J1179">
        <v>77.605000000000004</v>
      </c>
      <c r="K1179">
        <v>9.5690000000000008</v>
      </c>
      <c r="L1179">
        <v>103</v>
      </c>
      <c r="M1179">
        <v>20</v>
      </c>
      <c r="N1179">
        <v>44</v>
      </c>
      <c r="O1179">
        <v>77.738</v>
      </c>
      <c r="P1179">
        <v>12.234013600000001</v>
      </c>
      <c r="Q1179">
        <v>15.861000000000001</v>
      </c>
    </row>
    <row r="1180" spans="1:17" s="30" customFormat="1" x14ac:dyDescent="0.2">
      <c r="A1180" s="30" t="str">
        <f>IF(C1180&amp;G1180&amp;D1180&lt;&gt;'Funnel setup'!$K$3&amp;'Funnel setup'!$K$4&amp;'Funnel setup'!$K$5,".",IF(A1179=".",1,A1179+1))</f>
        <v>.</v>
      </c>
      <c r="B1180" s="431" t="str">
        <f t="shared" si="18"/>
        <v>Hip Replacement PrimaryCCG of GP PracticeNHS WEST SUFFOLK CCG (07K)EQ VAS</v>
      </c>
      <c r="C1180" t="s">
        <v>248</v>
      </c>
      <c r="D1180" t="s">
        <v>87</v>
      </c>
      <c r="E1180" t="s">
        <v>462</v>
      </c>
      <c r="F1180" t="s">
        <v>463</v>
      </c>
      <c r="G1180" t="s">
        <v>179</v>
      </c>
      <c r="H1180">
        <v>223</v>
      </c>
      <c r="I1180">
        <v>65.358999999999995</v>
      </c>
      <c r="J1180">
        <v>78.39</v>
      </c>
      <c r="K1180">
        <v>13.031000000000001</v>
      </c>
      <c r="L1180">
        <v>154</v>
      </c>
      <c r="M1180">
        <v>22</v>
      </c>
      <c r="N1180">
        <v>47</v>
      </c>
      <c r="O1180">
        <v>78.299000000000007</v>
      </c>
      <c r="P1180">
        <v>12.79479469</v>
      </c>
      <c r="Q1180">
        <v>15.596</v>
      </c>
    </row>
    <row r="1181" spans="1:17" s="30" customFormat="1" x14ac:dyDescent="0.2">
      <c r="A1181" s="30" t="str">
        <f>IF(C1181&amp;G1181&amp;D1181&lt;&gt;'Funnel setup'!$K$3&amp;'Funnel setup'!$K$4&amp;'Funnel setup'!$K$5,".",IF(A1180=".",1,A1180+1))</f>
        <v>.</v>
      </c>
      <c r="B1181" s="431" t="str">
        <f t="shared" si="18"/>
        <v>Hip Replacement PrimaryCCG of GP PracticeNHS WIGAN BOROUGH CCG (02H)EQ VAS</v>
      </c>
      <c r="C1181" t="s">
        <v>248</v>
      </c>
      <c r="D1181" t="s">
        <v>87</v>
      </c>
      <c r="E1181" t="s">
        <v>465</v>
      </c>
      <c r="F1181" t="s">
        <v>466</v>
      </c>
      <c r="G1181" t="s">
        <v>179</v>
      </c>
      <c r="H1181">
        <v>100</v>
      </c>
      <c r="I1181">
        <v>63.18</v>
      </c>
      <c r="J1181">
        <v>77.16</v>
      </c>
      <c r="K1181">
        <v>13.98</v>
      </c>
      <c r="L1181">
        <v>65</v>
      </c>
      <c r="M1181">
        <v>11</v>
      </c>
      <c r="N1181">
        <v>24</v>
      </c>
      <c r="O1181">
        <v>78.302999999999997</v>
      </c>
      <c r="P1181">
        <v>12.79899174</v>
      </c>
      <c r="Q1181">
        <v>14.75</v>
      </c>
    </row>
    <row r="1182" spans="1:17" s="30" customFormat="1" x14ac:dyDescent="0.2">
      <c r="A1182" s="30" t="str">
        <f>IF(C1182&amp;G1182&amp;D1182&lt;&gt;'Funnel setup'!$K$3&amp;'Funnel setup'!$K$4&amp;'Funnel setup'!$K$5,".",IF(A1181=".",1,A1181+1))</f>
        <v>.</v>
      </c>
      <c r="B1182" s="431" t="str">
        <f t="shared" si="18"/>
        <v>Hip Replacement PrimaryCCG of GP PracticeNHS WILTSHIRE CCG (99N)EQ VAS</v>
      </c>
      <c r="C1182" t="s">
        <v>248</v>
      </c>
      <c r="D1182" t="s">
        <v>87</v>
      </c>
      <c r="E1182" t="s">
        <v>468</v>
      </c>
      <c r="F1182" t="s">
        <v>469</v>
      </c>
      <c r="G1182" t="s">
        <v>179</v>
      </c>
      <c r="H1182">
        <v>525</v>
      </c>
      <c r="I1182">
        <v>64.927999999999997</v>
      </c>
      <c r="J1182">
        <v>78.863</v>
      </c>
      <c r="K1182">
        <v>13.935</v>
      </c>
      <c r="L1182">
        <v>361</v>
      </c>
      <c r="M1182">
        <v>56</v>
      </c>
      <c r="N1182">
        <v>108</v>
      </c>
      <c r="O1182">
        <v>78.674000000000007</v>
      </c>
      <c r="P1182">
        <v>13.169604440000001</v>
      </c>
      <c r="Q1182">
        <v>15.863</v>
      </c>
    </row>
    <row r="1183" spans="1:17" s="30" customFormat="1" x14ac:dyDescent="0.2">
      <c r="A1183" s="30" t="str">
        <f>IF(C1183&amp;G1183&amp;D1183&lt;&gt;'Funnel setup'!$K$3&amp;'Funnel setup'!$K$4&amp;'Funnel setup'!$K$5,".",IF(A1182=".",1,A1182+1))</f>
        <v>.</v>
      </c>
      <c r="B1183" s="431" t="str">
        <f t="shared" si="18"/>
        <v>Hip Replacement PrimaryCCG of GP PracticeNHS WINDSOR, ASCOT AND MAIDENHEAD CCG (11C)EQ VAS</v>
      </c>
      <c r="C1183" t="s">
        <v>248</v>
      </c>
      <c r="D1183" t="s">
        <v>87</v>
      </c>
      <c r="E1183" t="s">
        <v>471</v>
      </c>
      <c r="F1183" t="s">
        <v>472</v>
      </c>
      <c r="G1183" t="s">
        <v>179</v>
      </c>
      <c r="H1183">
        <v>74</v>
      </c>
      <c r="I1183">
        <v>67.540999999999997</v>
      </c>
      <c r="J1183">
        <v>77.662000000000006</v>
      </c>
      <c r="K1183">
        <v>10.122</v>
      </c>
      <c r="L1183">
        <v>45</v>
      </c>
      <c r="M1183">
        <v>10</v>
      </c>
      <c r="N1183">
        <v>19</v>
      </c>
      <c r="O1183">
        <v>76.323999999999998</v>
      </c>
      <c r="P1183">
        <v>10.819272270000001</v>
      </c>
      <c r="Q1183">
        <v>14.776</v>
      </c>
    </row>
    <row r="1184" spans="1:17" s="30" customFormat="1" x14ac:dyDescent="0.2">
      <c r="A1184" s="30" t="str">
        <f>IF(C1184&amp;G1184&amp;D1184&lt;&gt;'Funnel setup'!$K$3&amp;'Funnel setup'!$K$4&amp;'Funnel setup'!$K$5,".",IF(A1183=".",1,A1183+1))</f>
        <v>.</v>
      </c>
      <c r="B1184" s="431" t="str">
        <f t="shared" si="18"/>
        <v>Hip Replacement PrimaryCCG of GP PracticeNHS WIRRAL CCG (12F)EQ VAS</v>
      </c>
      <c r="C1184" t="s">
        <v>248</v>
      </c>
      <c r="D1184" t="s">
        <v>87</v>
      </c>
      <c r="E1184" t="s">
        <v>474</v>
      </c>
      <c r="F1184" t="s">
        <v>475</v>
      </c>
      <c r="G1184" t="s">
        <v>179</v>
      </c>
      <c r="H1184">
        <v>276</v>
      </c>
      <c r="I1184">
        <v>67.227999999999994</v>
      </c>
      <c r="J1184">
        <v>76.739000000000004</v>
      </c>
      <c r="K1184">
        <v>9.5109999999999992</v>
      </c>
      <c r="L1184">
        <v>169</v>
      </c>
      <c r="M1184">
        <v>31</v>
      </c>
      <c r="N1184">
        <v>76</v>
      </c>
      <c r="O1184">
        <v>77.513999999999996</v>
      </c>
      <c r="P1184">
        <v>12.009911020000001</v>
      </c>
      <c r="Q1184">
        <v>16.300999999999998</v>
      </c>
    </row>
    <row r="1185" spans="1:17" s="30" customFormat="1" x14ac:dyDescent="0.2">
      <c r="A1185" s="30" t="str">
        <f>IF(C1185&amp;G1185&amp;D1185&lt;&gt;'Funnel setup'!$K$3&amp;'Funnel setup'!$K$4&amp;'Funnel setup'!$K$5,".",IF(A1184=".",1,A1184+1))</f>
        <v>.</v>
      </c>
      <c r="B1185" s="431" t="str">
        <f t="shared" si="18"/>
        <v>Hip Replacement PrimaryCCG of GP PracticeNHS WOKINGHAM CCG (11D)EQ VAS</v>
      </c>
      <c r="C1185" t="s">
        <v>248</v>
      </c>
      <c r="D1185" t="s">
        <v>87</v>
      </c>
      <c r="E1185" t="s">
        <v>477</v>
      </c>
      <c r="F1185" t="s">
        <v>478</v>
      </c>
      <c r="G1185" t="s">
        <v>179</v>
      </c>
      <c r="H1185">
        <v>96</v>
      </c>
      <c r="I1185">
        <v>69.688000000000002</v>
      </c>
      <c r="J1185">
        <v>81.885000000000005</v>
      </c>
      <c r="K1185">
        <v>12.198</v>
      </c>
      <c r="L1185">
        <v>68</v>
      </c>
      <c r="M1185">
        <v>13</v>
      </c>
      <c r="N1185">
        <v>15</v>
      </c>
      <c r="O1185">
        <v>78.430999999999997</v>
      </c>
      <c r="P1185">
        <v>12.926928800000001</v>
      </c>
      <c r="Q1185">
        <v>13.337999999999999</v>
      </c>
    </row>
    <row r="1186" spans="1:17" s="30" customFormat="1" x14ac:dyDescent="0.2">
      <c r="A1186" s="30" t="str">
        <f>IF(C1186&amp;G1186&amp;D1186&lt;&gt;'Funnel setup'!$K$3&amp;'Funnel setup'!$K$4&amp;'Funnel setup'!$K$5,".",IF(A1185=".",1,A1185+1))</f>
        <v>.</v>
      </c>
      <c r="B1186" s="431" t="str">
        <f t="shared" si="18"/>
        <v>Hip Replacement PrimaryCCG of GP PracticeNHS WOLVERHAMPTON CCG (06A)EQ VAS</v>
      </c>
      <c r="C1186" t="s">
        <v>248</v>
      </c>
      <c r="D1186" t="s">
        <v>87</v>
      </c>
      <c r="E1186" t="s">
        <v>480</v>
      </c>
      <c r="F1186" t="s">
        <v>481</v>
      </c>
      <c r="G1186" t="s">
        <v>179</v>
      </c>
      <c r="H1186">
        <v>137</v>
      </c>
      <c r="I1186">
        <v>66.400999999999996</v>
      </c>
      <c r="J1186">
        <v>77.284999999999997</v>
      </c>
      <c r="K1186">
        <v>10.882999999999999</v>
      </c>
      <c r="L1186">
        <v>90</v>
      </c>
      <c r="M1186">
        <v>16</v>
      </c>
      <c r="N1186">
        <v>31</v>
      </c>
      <c r="O1186">
        <v>78.587999999999994</v>
      </c>
      <c r="P1186">
        <v>13.0836527</v>
      </c>
      <c r="Q1186">
        <v>14.877000000000001</v>
      </c>
    </row>
    <row r="1187" spans="1:17" s="30" customFormat="1" x14ac:dyDescent="0.2">
      <c r="A1187" s="30" t="str">
        <f>IF(C1187&amp;G1187&amp;D1187&lt;&gt;'Funnel setup'!$K$3&amp;'Funnel setup'!$K$4&amp;'Funnel setup'!$K$5,".",IF(A1186=".",1,A1186+1))</f>
        <v>.</v>
      </c>
      <c r="B1187" s="431" t="str">
        <f t="shared" si="18"/>
        <v>Hip Replacement PrimaryCCG of GP PracticeNHS WYRE FOREST CCG (06D)EQ VAS</v>
      </c>
      <c r="C1187" t="s">
        <v>248</v>
      </c>
      <c r="D1187" t="s">
        <v>87</v>
      </c>
      <c r="E1187" t="s">
        <v>483</v>
      </c>
      <c r="F1187" t="s">
        <v>484</v>
      </c>
      <c r="G1187" t="s">
        <v>179</v>
      </c>
      <c r="H1187">
        <v>79</v>
      </c>
      <c r="I1187">
        <v>69.948999999999998</v>
      </c>
      <c r="J1187">
        <v>75.861000000000004</v>
      </c>
      <c r="K1187">
        <v>5.9109999999999996</v>
      </c>
      <c r="L1187">
        <v>45</v>
      </c>
      <c r="M1187">
        <v>11</v>
      </c>
      <c r="N1187">
        <v>23</v>
      </c>
      <c r="O1187">
        <v>76.11</v>
      </c>
      <c r="P1187">
        <v>10.606093720000001</v>
      </c>
      <c r="Q1187">
        <v>20.376999999999999</v>
      </c>
    </row>
    <row r="1188" spans="1:17" s="30" customFormat="1" x14ac:dyDescent="0.2">
      <c r="A1188" s="30" t="str">
        <f>IF(C1188&amp;G1188&amp;D1188&lt;&gt;'Funnel setup'!$K$3&amp;'Funnel setup'!$K$4&amp;'Funnel setup'!$K$5,".",IF(A1187=".",1,A1187+1))</f>
        <v>.</v>
      </c>
      <c r="B1188" s="431" t="str">
        <f t="shared" si="18"/>
        <v>Hip Replacement PrimaryCCG of GP PracticeNATIONAL COMMISSIONING HUB 1 (13Q)EQ-5D Index</v>
      </c>
      <c r="C1188" t="s">
        <v>248</v>
      </c>
      <c r="D1188" t="s">
        <v>87</v>
      </c>
      <c r="E1188" t="s">
        <v>563</v>
      </c>
      <c r="F1188" t="s">
        <v>564</v>
      </c>
      <c r="G1188" t="s">
        <v>52</v>
      </c>
      <c r="H1188">
        <v>9</v>
      </c>
      <c r="I1188">
        <v>0.69599999999999995</v>
      </c>
      <c r="J1188">
        <v>0.876</v>
      </c>
      <c r="K1188">
        <v>0.18</v>
      </c>
      <c r="L1188">
        <v>6</v>
      </c>
      <c r="M1188">
        <v>2</v>
      </c>
      <c r="N1188">
        <v>1</v>
      </c>
      <c r="O1188" t="s">
        <v>53</v>
      </c>
      <c r="P1188" t="s">
        <v>53</v>
      </c>
      <c r="Q1188" t="s">
        <v>53</v>
      </c>
    </row>
    <row r="1189" spans="1:17" s="30" customFormat="1" x14ac:dyDescent="0.2">
      <c r="A1189" s="30" t="str">
        <f>IF(C1189&amp;G1189&amp;D1189&lt;&gt;'Funnel setup'!$K$3&amp;'Funnel setup'!$K$4&amp;'Funnel setup'!$K$5,".",IF(A1188=".",1,A1188+1))</f>
        <v>.</v>
      </c>
      <c r="B1189" s="431" t="str">
        <f t="shared" si="18"/>
        <v>Hip Replacement PrimaryCCG of GP PracticeNHS AIREDALE, WHARFEDALE AND CRAVEN CCG (02N)EQ-5D Index</v>
      </c>
      <c r="C1189" t="s">
        <v>248</v>
      </c>
      <c r="D1189" t="s">
        <v>87</v>
      </c>
      <c r="E1189" t="s">
        <v>566</v>
      </c>
      <c r="F1189" t="s">
        <v>567</v>
      </c>
      <c r="G1189" t="s">
        <v>52</v>
      </c>
      <c r="H1189">
        <v>162</v>
      </c>
      <c r="I1189">
        <v>0.39100000000000001</v>
      </c>
      <c r="J1189">
        <v>0.80300000000000005</v>
      </c>
      <c r="K1189">
        <v>0.41199999999999998</v>
      </c>
      <c r="L1189">
        <v>145</v>
      </c>
      <c r="M1189">
        <v>10</v>
      </c>
      <c r="N1189">
        <v>7</v>
      </c>
      <c r="O1189">
        <v>0.79100000000000004</v>
      </c>
      <c r="P1189">
        <v>0.42958972299999998</v>
      </c>
      <c r="Q1189">
        <v>0.21199999999999999</v>
      </c>
    </row>
    <row r="1190" spans="1:17" s="30" customFormat="1" x14ac:dyDescent="0.2">
      <c r="A1190" s="30" t="str">
        <f>IF(C1190&amp;G1190&amp;D1190&lt;&gt;'Funnel setup'!$K$3&amp;'Funnel setup'!$K$4&amp;'Funnel setup'!$K$5,".",IF(A1189=".",1,A1189+1))</f>
        <v>.</v>
      </c>
      <c r="B1190" s="431" t="str">
        <f t="shared" si="18"/>
        <v>Hip Replacement PrimaryCCG of GP PracticeNHS ASHFORD CCG (09C)EQ-5D Index</v>
      </c>
      <c r="C1190" t="s">
        <v>248</v>
      </c>
      <c r="D1190" t="s">
        <v>87</v>
      </c>
      <c r="E1190" t="s">
        <v>569</v>
      </c>
      <c r="F1190" t="s">
        <v>339</v>
      </c>
      <c r="G1190" t="s">
        <v>52</v>
      </c>
      <c r="H1190">
        <v>78</v>
      </c>
      <c r="I1190">
        <v>0.35399999999999998</v>
      </c>
      <c r="J1190">
        <v>0.79500000000000004</v>
      </c>
      <c r="K1190">
        <v>0.441</v>
      </c>
      <c r="L1190">
        <v>71</v>
      </c>
      <c r="M1190">
        <v>4</v>
      </c>
      <c r="N1190">
        <v>3</v>
      </c>
      <c r="O1190">
        <v>0.79200000000000004</v>
      </c>
      <c r="P1190">
        <v>0.43076443399999997</v>
      </c>
      <c r="Q1190">
        <v>0.21</v>
      </c>
    </row>
    <row r="1191" spans="1:17" s="30" customFormat="1" x14ac:dyDescent="0.2">
      <c r="A1191" s="30" t="str">
        <f>IF(C1191&amp;G1191&amp;D1191&lt;&gt;'Funnel setup'!$K$3&amp;'Funnel setup'!$K$4&amp;'Funnel setup'!$K$5,".",IF(A1190=".",1,A1190+1))</f>
        <v>.</v>
      </c>
      <c r="B1191" s="431" t="str">
        <f t="shared" si="18"/>
        <v>Hip Replacement PrimaryCCG of GP PracticeNHS AYLESBURY VALE CCG (10Y)EQ-5D Index</v>
      </c>
      <c r="C1191" t="s">
        <v>248</v>
      </c>
      <c r="D1191" t="s">
        <v>87</v>
      </c>
      <c r="E1191" t="s">
        <v>571</v>
      </c>
      <c r="F1191" t="s">
        <v>572</v>
      </c>
      <c r="G1191" t="s">
        <v>52</v>
      </c>
      <c r="H1191">
        <v>137</v>
      </c>
      <c r="I1191">
        <v>0.33900000000000002</v>
      </c>
      <c r="J1191">
        <v>0.80200000000000005</v>
      </c>
      <c r="K1191">
        <v>0.46300000000000002</v>
      </c>
      <c r="L1191">
        <v>125</v>
      </c>
      <c r="M1191">
        <v>5</v>
      </c>
      <c r="N1191">
        <v>7</v>
      </c>
      <c r="O1191">
        <v>0.79900000000000004</v>
      </c>
      <c r="P1191">
        <v>0.43740636399999999</v>
      </c>
      <c r="Q1191">
        <v>0.22600000000000001</v>
      </c>
    </row>
    <row r="1192" spans="1:17" s="30" customFormat="1" x14ac:dyDescent="0.2">
      <c r="A1192" s="30" t="str">
        <f>IF(C1192&amp;G1192&amp;D1192&lt;&gt;'Funnel setup'!$K$3&amp;'Funnel setup'!$K$4&amp;'Funnel setup'!$K$5,".",IF(A1191=".",1,A1191+1))</f>
        <v>.</v>
      </c>
      <c r="B1192" s="431" t="str">
        <f t="shared" si="18"/>
        <v>Hip Replacement PrimaryCCG of GP PracticeNHS BARKING AND DAGENHAM CCG (07L)EQ-5D Index</v>
      </c>
      <c r="C1192" t="s">
        <v>248</v>
      </c>
      <c r="D1192" t="s">
        <v>87</v>
      </c>
      <c r="E1192" t="s">
        <v>574</v>
      </c>
      <c r="F1192" t="s">
        <v>575</v>
      </c>
      <c r="G1192" t="s">
        <v>52</v>
      </c>
      <c r="H1192">
        <v>35</v>
      </c>
      <c r="I1192">
        <v>0.252</v>
      </c>
      <c r="J1192">
        <v>0.70099999999999996</v>
      </c>
      <c r="K1192">
        <v>0.44900000000000001</v>
      </c>
      <c r="L1192">
        <v>31</v>
      </c>
      <c r="M1192">
        <v>2</v>
      </c>
      <c r="N1192">
        <v>2</v>
      </c>
      <c r="O1192">
        <v>0.76700000000000002</v>
      </c>
      <c r="P1192">
        <v>0.40549915800000003</v>
      </c>
      <c r="Q1192">
        <v>0.249</v>
      </c>
    </row>
    <row r="1193" spans="1:17" s="30" customFormat="1" x14ac:dyDescent="0.2">
      <c r="A1193" s="30" t="str">
        <f>IF(C1193&amp;G1193&amp;D1193&lt;&gt;'Funnel setup'!$K$3&amp;'Funnel setup'!$K$4&amp;'Funnel setup'!$K$5,".",IF(A1192=".",1,A1192+1))</f>
        <v>.</v>
      </c>
      <c r="B1193" s="431" t="str">
        <f t="shared" si="18"/>
        <v>Hip Replacement PrimaryCCG of GP PracticeNHS BARNET CCG (07M)EQ-5D Index</v>
      </c>
      <c r="C1193" t="s">
        <v>248</v>
      </c>
      <c r="D1193" t="s">
        <v>87</v>
      </c>
      <c r="E1193" t="s">
        <v>577</v>
      </c>
      <c r="F1193" t="s">
        <v>578</v>
      </c>
      <c r="G1193" t="s">
        <v>52</v>
      </c>
      <c r="H1193">
        <v>73</v>
      </c>
      <c r="I1193">
        <v>0.28899999999999998</v>
      </c>
      <c r="J1193">
        <v>0.77</v>
      </c>
      <c r="K1193">
        <v>0.48</v>
      </c>
      <c r="L1193">
        <v>66</v>
      </c>
      <c r="M1193">
        <v>4</v>
      </c>
      <c r="N1193">
        <v>3</v>
      </c>
      <c r="O1193">
        <v>0.78900000000000003</v>
      </c>
      <c r="P1193">
        <v>0.42780764599999999</v>
      </c>
      <c r="Q1193">
        <v>0.20699999999999999</v>
      </c>
    </row>
    <row r="1194" spans="1:17" s="30" customFormat="1" x14ac:dyDescent="0.2">
      <c r="A1194" s="30" t="str">
        <f>IF(C1194&amp;G1194&amp;D1194&lt;&gt;'Funnel setup'!$K$3&amp;'Funnel setup'!$K$4&amp;'Funnel setup'!$K$5,".",IF(A1193=".",1,A1193+1))</f>
        <v>.</v>
      </c>
      <c r="B1194" s="431" t="str">
        <f t="shared" si="18"/>
        <v>Hip Replacement PrimaryCCG of GP PracticeNHS BARNSLEY CCG (02P)EQ-5D Index</v>
      </c>
      <c r="C1194" t="s">
        <v>248</v>
      </c>
      <c r="D1194" t="s">
        <v>87</v>
      </c>
      <c r="E1194" t="s">
        <v>580</v>
      </c>
      <c r="F1194" t="s">
        <v>581</v>
      </c>
      <c r="G1194" t="s">
        <v>52</v>
      </c>
      <c r="H1194">
        <v>161</v>
      </c>
      <c r="I1194">
        <v>0.28100000000000003</v>
      </c>
      <c r="J1194">
        <v>0.71899999999999997</v>
      </c>
      <c r="K1194">
        <v>0.438</v>
      </c>
      <c r="L1194">
        <v>145</v>
      </c>
      <c r="M1194">
        <v>8</v>
      </c>
      <c r="N1194">
        <v>8</v>
      </c>
      <c r="O1194">
        <v>0.747</v>
      </c>
      <c r="P1194">
        <v>0.38532915000000001</v>
      </c>
      <c r="Q1194">
        <v>0.23799999999999999</v>
      </c>
    </row>
    <row r="1195" spans="1:17" s="30" customFormat="1" x14ac:dyDescent="0.2">
      <c r="A1195" s="30" t="str">
        <f>IF(C1195&amp;G1195&amp;D1195&lt;&gt;'Funnel setup'!$K$3&amp;'Funnel setup'!$K$4&amp;'Funnel setup'!$K$5,".",IF(A1194=".",1,A1194+1))</f>
        <v>.</v>
      </c>
      <c r="B1195" s="431" t="str">
        <f t="shared" si="18"/>
        <v>Hip Replacement PrimaryCCG of GP PracticeNHS BASILDON AND BRENTWOOD CCG (99E)EQ-5D Index</v>
      </c>
      <c r="C1195" t="s">
        <v>248</v>
      </c>
      <c r="D1195" t="s">
        <v>87</v>
      </c>
      <c r="E1195" t="s">
        <v>583</v>
      </c>
      <c r="F1195" t="s">
        <v>584</v>
      </c>
      <c r="G1195" t="s">
        <v>52</v>
      </c>
      <c r="H1195">
        <v>152</v>
      </c>
      <c r="I1195">
        <v>0.29899999999999999</v>
      </c>
      <c r="J1195">
        <v>0.78300000000000003</v>
      </c>
      <c r="K1195">
        <v>0.48399999999999999</v>
      </c>
      <c r="L1195">
        <v>144</v>
      </c>
      <c r="M1195">
        <v>3</v>
      </c>
      <c r="N1195">
        <v>5</v>
      </c>
      <c r="O1195">
        <v>0.79200000000000004</v>
      </c>
      <c r="P1195">
        <v>0.43036028799999998</v>
      </c>
      <c r="Q1195">
        <v>0.21099999999999999</v>
      </c>
    </row>
    <row r="1196" spans="1:17" s="30" customFormat="1" x14ac:dyDescent="0.2">
      <c r="A1196" s="30" t="str">
        <f>IF(C1196&amp;G1196&amp;D1196&lt;&gt;'Funnel setup'!$K$3&amp;'Funnel setup'!$K$4&amp;'Funnel setup'!$K$5,".",IF(A1195=".",1,A1195+1))</f>
        <v>.</v>
      </c>
      <c r="B1196" s="431" t="str">
        <f t="shared" si="18"/>
        <v>Hip Replacement PrimaryCCG of GP PracticeNHS BASSETLAW CCG (02Q)EQ-5D Index</v>
      </c>
      <c r="C1196" t="s">
        <v>248</v>
      </c>
      <c r="D1196" t="s">
        <v>87</v>
      </c>
      <c r="E1196" t="s">
        <v>586</v>
      </c>
      <c r="F1196" t="s">
        <v>587</v>
      </c>
      <c r="G1196" t="s">
        <v>52</v>
      </c>
      <c r="H1196">
        <v>120</v>
      </c>
      <c r="I1196">
        <v>0.34200000000000003</v>
      </c>
      <c r="J1196">
        <v>0.78700000000000003</v>
      </c>
      <c r="K1196">
        <v>0.44500000000000001</v>
      </c>
      <c r="L1196">
        <v>111</v>
      </c>
      <c r="M1196">
        <v>2</v>
      </c>
      <c r="N1196">
        <v>7</v>
      </c>
      <c r="O1196">
        <v>0.79700000000000004</v>
      </c>
      <c r="P1196">
        <v>0.43553676400000002</v>
      </c>
      <c r="Q1196">
        <v>0.23200000000000001</v>
      </c>
    </row>
    <row r="1197" spans="1:17" s="30" customFormat="1" x14ac:dyDescent="0.2">
      <c r="A1197" s="30" t="str">
        <f>IF(C1197&amp;G1197&amp;D1197&lt;&gt;'Funnel setup'!$K$3&amp;'Funnel setup'!$K$4&amp;'Funnel setup'!$K$5,".",IF(A1196=".",1,A1196+1))</f>
        <v>.</v>
      </c>
      <c r="B1197" s="431" t="str">
        <f t="shared" si="18"/>
        <v>Hip Replacement PrimaryCCG of GP PracticeNHS BATH AND NORTH EAST SOMERSET CCG (11E)EQ-5D Index</v>
      </c>
      <c r="C1197" t="s">
        <v>248</v>
      </c>
      <c r="D1197" t="s">
        <v>87</v>
      </c>
      <c r="E1197" t="s">
        <v>589</v>
      </c>
      <c r="F1197" t="s">
        <v>590</v>
      </c>
      <c r="G1197" t="s">
        <v>52</v>
      </c>
      <c r="H1197">
        <v>157</v>
      </c>
      <c r="I1197">
        <v>0.35099999999999998</v>
      </c>
      <c r="J1197">
        <v>0.83499999999999996</v>
      </c>
      <c r="K1197">
        <v>0.48399999999999999</v>
      </c>
      <c r="L1197">
        <v>146</v>
      </c>
      <c r="M1197">
        <v>6</v>
      </c>
      <c r="N1197">
        <v>5</v>
      </c>
      <c r="O1197">
        <v>0.83199999999999996</v>
      </c>
      <c r="P1197">
        <v>0.46989157100000001</v>
      </c>
      <c r="Q1197">
        <v>0.19</v>
      </c>
    </row>
    <row r="1198" spans="1:17" s="30" customFormat="1" x14ac:dyDescent="0.2">
      <c r="A1198" s="30" t="str">
        <f>IF(C1198&amp;G1198&amp;D1198&lt;&gt;'Funnel setup'!$K$3&amp;'Funnel setup'!$K$4&amp;'Funnel setup'!$K$5,".",IF(A1197=".",1,A1197+1))</f>
        <v>.</v>
      </c>
      <c r="B1198" s="431" t="str">
        <f t="shared" si="18"/>
        <v>Hip Replacement PrimaryCCG of GP PracticeNHS BEDFORDSHIRE CCG (06F)EQ-5D Index</v>
      </c>
      <c r="C1198" t="s">
        <v>248</v>
      </c>
      <c r="D1198" t="s">
        <v>87</v>
      </c>
      <c r="E1198" t="s">
        <v>592</v>
      </c>
      <c r="F1198" t="s">
        <v>593</v>
      </c>
      <c r="G1198" t="s">
        <v>52</v>
      </c>
      <c r="H1198">
        <v>322</v>
      </c>
      <c r="I1198">
        <v>0.35399999999999998</v>
      </c>
      <c r="J1198">
        <v>0.80400000000000005</v>
      </c>
      <c r="K1198">
        <v>0.45</v>
      </c>
      <c r="L1198">
        <v>295</v>
      </c>
      <c r="M1198">
        <v>16</v>
      </c>
      <c r="N1198">
        <v>11</v>
      </c>
      <c r="O1198">
        <v>0.80100000000000005</v>
      </c>
      <c r="P1198">
        <v>0.439494885</v>
      </c>
      <c r="Q1198">
        <v>0.215</v>
      </c>
    </row>
    <row r="1199" spans="1:17" s="30" customFormat="1" x14ac:dyDescent="0.2">
      <c r="A1199" s="30" t="str">
        <f>IF(C1199&amp;G1199&amp;D1199&lt;&gt;'Funnel setup'!$K$3&amp;'Funnel setup'!$K$4&amp;'Funnel setup'!$K$5,".",IF(A1198=".",1,A1198+1))</f>
        <v>.</v>
      </c>
      <c r="B1199" s="431" t="str">
        <f t="shared" si="18"/>
        <v>Hip Replacement PrimaryCCG of GP PracticeNHS BEXLEY CCG (07N)EQ-5D Index</v>
      </c>
      <c r="C1199" t="s">
        <v>248</v>
      </c>
      <c r="D1199" t="s">
        <v>87</v>
      </c>
      <c r="E1199" t="s">
        <v>595</v>
      </c>
      <c r="F1199" t="s">
        <v>596</v>
      </c>
      <c r="G1199" t="s">
        <v>52</v>
      </c>
      <c r="H1199">
        <v>78</v>
      </c>
      <c r="I1199">
        <v>0.28799999999999998</v>
      </c>
      <c r="J1199">
        <v>0.73299999999999998</v>
      </c>
      <c r="K1199">
        <v>0.44500000000000001</v>
      </c>
      <c r="L1199">
        <v>63</v>
      </c>
      <c r="M1199">
        <v>8</v>
      </c>
      <c r="N1199">
        <v>7</v>
      </c>
      <c r="O1199">
        <v>0.747</v>
      </c>
      <c r="P1199">
        <v>0.38583868799999999</v>
      </c>
      <c r="Q1199">
        <v>0.24</v>
      </c>
    </row>
    <row r="1200" spans="1:17" s="30" customFormat="1" x14ac:dyDescent="0.2">
      <c r="A1200" s="30" t="str">
        <f>IF(C1200&amp;G1200&amp;D1200&lt;&gt;'Funnel setup'!$K$3&amp;'Funnel setup'!$K$4&amp;'Funnel setup'!$K$5,".",IF(A1199=".",1,A1199+1))</f>
        <v>.</v>
      </c>
      <c r="B1200" s="431" t="str">
        <f t="shared" si="18"/>
        <v>Hip Replacement PrimaryCCG of GP PracticeNHS BIRMINGHAM CROSSCITY CCG (13P)EQ-5D Index</v>
      </c>
      <c r="C1200" t="s">
        <v>248</v>
      </c>
      <c r="D1200" t="s">
        <v>87</v>
      </c>
      <c r="E1200" t="s">
        <v>598</v>
      </c>
      <c r="F1200" t="s">
        <v>599</v>
      </c>
      <c r="G1200" t="s">
        <v>52</v>
      </c>
      <c r="H1200">
        <v>374</v>
      </c>
      <c r="I1200">
        <v>0.33300000000000002</v>
      </c>
      <c r="J1200">
        <v>0.75900000000000001</v>
      </c>
      <c r="K1200">
        <v>0.42699999999999999</v>
      </c>
      <c r="L1200">
        <v>328</v>
      </c>
      <c r="M1200">
        <v>29</v>
      </c>
      <c r="N1200">
        <v>17</v>
      </c>
      <c r="O1200">
        <v>0.78700000000000003</v>
      </c>
      <c r="P1200">
        <v>0.42503462800000003</v>
      </c>
      <c r="Q1200">
        <v>0.21</v>
      </c>
    </row>
    <row r="1201" spans="1:17" s="30" customFormat="1" x14ac:dyDescent="0.2">
      <c r="A1201" s="30" t="str">
        <f>IF(C1201&amp;G1201&amp;D1201&lt;&gt;'Funnel setup'!$K$3&amp;'Funnel setup'!$K$4&amp;'Funnel setup'!$K$5,".",IF(A1200=".",1,A1200+1))</f>
        <v>.</v>
      </c>
      <c r="B1201" s="431" t="str">
        <f t="shared" si="18"/>
        <v>Hip Replacement PrimaryCCG of GP PracticeNHS BIRMINGHAM SOUTH AND CENTRAL CCG (04X)EQ-5D Index</v>
      </c>
      <c r="C1201" t="s">
        <v>248</v>
      </c>
      <c r="D1201" t="s">
        <v>87</v>
      </c>
      <c r="E1201" t="s">
        <v>601</v>
      </c>
      <c r="F1201" t="s">
        <v>602</v>
      </c>
      <c r="G1201" t="s">
        <v>52</v>
      </c>
      <c r="H1201">
        <v>75</v>
      </c>
      <c r="I1201">
        <v>0.28000000000000003</v>
      </c>
      <c r="J1201">
        <v>0.74299999999999999</v>
      </c>
      <c r="K1201">
        <v>0.46400000000000002</v>
      </c>
      <c r="L1201">
        <v>66</v>
      </c>
      <c r="M1201">
        <v>3</v>
      </c>
      <c r="N1201">
        <v>6</v>
      </c>
      <c r="O1201">
        <v>0.78700000000000003</v>
      </c>
      <c r="P1201">
        <v>0.424885821</v>
      </c>
      <c r="Q1201">
        <v>0.247</v>
      </c>
    </row>
    <row r="1202" spans="1:17" s="30" customFormat="1" x14ac:dyDescent="0.2">
      <c r="A1202" s="30" t="str">
        <f>IF(C1202&amp;G1202&amp;D1202&lt;&gt;'Funnel setup'!$K$3&amp;'Funnel setup'!$K$4&amp;'Funnel setup'!$K$5,".",IF(A1201=".",1,A1201+1))</f>
        <v>.</v>
      </c>
      <c r="B1202" s="431" t="str">
        <f t="shared" si="18"/>
        <v>Hip Replacement PrimaryCCG of GP PracticeNHS BLACKBURN WITH DARWEN CCG (00Q)EQ-5D Index</v>
      </c>
      <c r="C1202" t="s">
        <v>248</v>
      </c>
      <c r="D1202" t="s">
        <v>87</v>
      </c>
      <c r="E1202" t="s">
        <v>604</v>
      </c>
      <c r="F1202" t="s">
        <v>605</v>
      </c>
      <c r="G1202" t="s">
        <v>52</v>
      </c>
      <c r="H1202">
        <v>67</v>
      </c>
      <c r="I1202">
        <v>0.32400000000000001</v>
      </c>
      <c r="J1202">
        <v>0.751</v>
      </c>
      <c r="K1202">
        <v>0.42699999999999999</v>
      </c>
      <c r="L1202">
        <v>59</v>
      </c>
      <c r="M1202">
        <v>2</v>
      </c>
      <c r="N1202">
        <v>6</v>
      </c>
      <c r="O1202">
        <v>0.77800000000000002</v>
      </c>
      <c r="P1202">
        <v>0.415844463</v>
      </c>
      <c r="Q1202">
        <v>0.2</v>
      </c>
    </row>
    <row r="1203" spans="1:17" s="30" customFormat="1" x14ac:dyDescent="0.2">
      <c r="A1203" s="30" t="str">
        <f>IF(C1203&amp;G1203&amp;D1203&lt;&gt;'Funnel setup'!$K$3&amp;'Funnel setup'!$K$4&amp;'Funnel setup'!$K$5,".",IF(A1202=".",1,A1202+1))</f>
        <v>.</v>
      </c>
      <c r="B1203" s="431" t="str">
        <f t="shared" si="18"/>
        <v>Hip Replacement PrimaryCCG of GP PracticeNHS BLACKPOOL CCG (00R)EQ-5D Index</v>
      </c>
      <c r="C1203" t="s">
        <v>248</v>
      </c>
      <c r="D1203" t="s">
        <v>87</v>
      </c>
      <c r="E1203" t="s">
        <v>607</v>
      </c>
      <c r="F1203" t="s">
        <v>608</v>
      </c>
      <c r="G1203" t="s">
        <v>52</v>
      </c>
      <c r="H1203">
        <v>46</v>
      </c>
      <c r="I1203">
        <v>0.33600000000000002</v>
      </c>
      <c r="J1203">
        <v>0.73899999999999999</v>
      </c>
      <c r="K1203">
        <v>0.40300000000000002</v>
      </c>
      <c r="L1203">
        <v>39</v>
      </c>
      <c r="M1203">
        <v>3</v>
      </c>
      <c r="N1203">
        <v>4</v>
      </c>
      <c r="O1203">
        <v>0.76500000000000001</v>
      </c>
      <c r="P1203">
        <v>0.403166684</v>
      </c>
      <c r="Q1203">
        <v>0.308</v>
      </c>
    </row>
    <row r="1204" spans="1:17" s="30" customFormat="1" x14ac:dyDescent="0.2">
      <c r="A1204" s="30" t="str">
        <f>IF(C1204&amp;G1204&amp;D1204&lt;&gt;'Funnel setup'!$K$3&amp;'Funnel setup'!$K$4&amp;'Funnel setup'!$K$5,".",IF(A1203=".",1,A1203+1))</f>
        <v>.</v>
      </c>
      <c r="B1204" s="431" t="str">
        <f t="shared" si="18"/>
        <v>Hip Replacement PrimaryCCG of GP PracticeNHS BOLTON CCG (00T)EQ-5D Index</v>
      </c>
      <c r="C1204" t="s">
        <v>248</v>
      </c>
      <c r="D1204" t="s">
        <v>87</v>
      </c>
      <c r="E1204" t="s">
        <v>683</v>
      </c>
      <c r="F1204" t="s">
        <v>684</v>
      </c>
      <c r="G1204" t="s">
        <v>52</v>
      </c>
      <c r="H1204">
        <v>121</v>
      </c>
      <c r="I1204">
        <v>0.31</v>
      </c>
      <c r="J1204">
        <v>0.76300000000000001</v>
      </c>
      <c r="K1204">
        <v>0.45300000000000001</v>
      </c>
      <c r="L1204">
        <v>107</v>
      </c>
      <c r="M1204">
        <v>8</v>
      </c>
      <c r="N1204">
        <v>6</v>
      </c>
      <c r="O1204">
        <v>0.80500000000000005</v>
      </c>
      <c r="P1204">
        <v>0.443229559</v>
      </c>
      <c r="Q1204">
        <v>0.25</v>
      </c>
    </row>
    <row r="1205" spans="1:17" s="30" customFormat="1" x14ac:dyDescent="0.2">
      <c r="A1205" s="30" t="str">
        <f>IF(C1205&amp;G1205&amp;D1205&lt;&gt;'Funnel setup'!$K$3&amp;'Funnel setup'!$K$4&amp;'Funnel setup'!$K$5,".",IF(A1204=".",1,A1204+1))</f>
        <v>.</v>
      </c>
      <c r="B1205" s="431" t="str">
        <f t="shared" si="18"/>
        <v>Hip Replacement PrimaryCCG of GP PracticeNHS BRACKNELL AND ASCOT CCG (10G)EQ-5D Index</v>
      </c>
      <c r="C1205" t="s">
        <v>248</v>
      </c>
      <c r="D1205" t="s">
        <v>87</v>
      </c>
      <c r="E1205" t="s">
        <v>686</v>
      </c>
      <c r="F1205" t="s">
        <v>687</v>
      </c>
      <c r="G1205" t="s">
        <v>52</v>
      </c>
      <c r="H1205">
        <v>75</v>
      </c>
      <c r="I1205">
        <v>0.44700000000000001</v>
      </c>
      <c r="J1205">
        <v>0.85</v>
      </c>
      <c r="K1205">
        <v>0.40300000000000002</v>
      </c>
      <c r="L1205">
        <v>71</v>
      </c>
      <c r="M1205">
        <v>2</v>
      </c>
      <c r="N1205">
        <v>2</v>
      </c>
      <c r="O1205">
        <v>0.81399999999999995</v>
      </c>
      <c r="P1205">
        <v>0.45239951699999997</v>
      </c>
      <c r="Q1205">
        <v>0.183</v>
      </c>
    </row>
    <row r="1206" spans="1:17" s="30" customFormat="1" x14ac:dyDescent="0.2">
      <c r="A1206" s="30" t="str">
        <f>IF(C1206&amp;G1206&amp;D1206&lt;&gt;'Funnel setup'!$K$3&amp;'Funnel setup'!$K$4&amp;'Funnel setup'!$K$5,".",IF(A1205=".",1,A1205+1))</f>
        <v>.</v>
      </c>
      <c r="B1206" s="431" t="str">
        <f t="shared" si="18"/>
        <v>Hip Replacement PrimaryCCG of GP PracticeNHS BRADFORD CITY CCG (02W)EQ-5D Index</v>
      </c>
      <c r="C1206" t="s">
        <v>248</v>
      </c>
      <c r="D1206" t="s">
        <v>87</v>
      </c>
      <c r="E1206" t="s">
        <v>689</v>
      </c>
      <c r="F1206" t="s">
        <v>690</v>
      </c>
      <c r="G1206" t="s">
        <v>52</v>
      </c>
      <c r="H1206">
        <v>6</v>
      </c>
      <c r="I1206">
        <v>0.21199999999999999</v>
      </c>
      <c r="J1206">
        <v>0.66300000000000003</v>
      </c>
      <c r="K1206">
        <v>0.45100000000000001</v>
      </c>
      <c r="L1206">
        <v>5</v>
      </c>
      <c r="M1206">
        <v>1</v>
      </c>
      <c r="N1206">
        <v>0</v>
      </c>
      <c r="O1206" t="s">
        <v>53</v>
      </c>
      <c r="P1206" t="s">
        <v>53</v>
      </c>
      <c r="Q1206" t="s">
        <v>53</v>
      </c>
    </row>
    <row r="1207" spans="1:17" s="30" customFormat="1" x14ac:dyDescent="0.2">
      <c r="A1207" s="30" t="str">
        <f>IF(C1207&amp;G1207&amp;D1207&lt;&gt;'Funnel setup'!$K$3&amp;'Funnel setup'!$K$4&amp;'Funnel setup'!$K$5,".",IF(A1206=".",1,A1206+1))</f>
        <v>.</v>
      </c>
      <c r="B1207" s="431" t="str">
        <f t="shared" si="18"/>
        <v>Hip Replacement PrimaryCCG of GP PracticeNHS BRADFORD DISTRICTS CCG (02R)EQ-5D Index</v>
      </c>
      <c r="C1207" t="s">
        <v>248</v>
      </c>
      <c r="D1207" t="s">
        <v>87</v>
      </c>
      <c r="E1207" t="s">
        <v>692</v>
      </c>
      <c r="F1207" t="s">
        <v>693</v>
      </c>
      <c r="G1207" t="s">
        <v>52</v>
      </c>
      <c r="H1207">
        <v>137</v>
      </c>
      <c r="I1207">
        <v>0.4</v>
      </c>
      <c r="J1207">
        <v>0.79800000000000004</v>
      </c>
      <c r="K1207">
        <v>0.39800000000000002</v>
      </c>
      <c r="L1207">
        <v>123</v>
      </c>
      <c r="M1207">
        <v>5</v>
      </c>
      <c r="N1207">
        <v>9</v>
      </c>
      <c r="O1207">
        <v>0.82199999999999995</v>
      </c>
      <c r="P1207">
        <v>0.460197837</v>
      </c>
      <c r="Q1207">
        <v>0.20300000000000001</v>
      </c>
    </row>
    <row r="1208" spans="1:17" s="30" customFormat="1" x14ac:dyDescent="0.2">
      <c r="A1208" s="30" t="str">
        <f>IF(C1208&amp;G1208&amp;D1208&lt;&gt;'Funnel setup'!$K$3&amp;'Funnel setup'!$K$4&amp;'Funnel setup'!$K$5,".",IF(A1207=".",1,A1207+1))</f>
        <v>.</v>
      </c>
      <c r="B1208" s="431" t="str">
        <f t="shared" si="18"/>
        <v>Hip Replacement PrimaryCCG of GP PracticeNHS BRENT CCG (07P)EQ-5D Index</v>
      </c>
      <c r="C1208" t="s">
        <v>248</v>
      </c>
      <c r="D1208" t="s">
        <v>87</v>
      </c>
      <c r="E1208" t="s">
        <v>695</v>
      </c>
      <c r="F1208" t="s">
        <v>696</v>
      </c>
      <c r="G1208" t="s">
        <v>52</v>
      </c>
      <c r="H1208">
        <v>47</v>
      </c>
      <c r="I1208">
        <v>0.41599999999999998</v>
      </c>
      <c r="J1208">
        <v>0.754</v>
      </c>
      <c r="K1208">
        <v>0.33800000000000002</v>
      </c>
      <c r="L1208">
        <v>35</v>
      </c>
      <c r="M1208">
        <v>8</v>
      </c>
      <c r="N1208">
        <v>4</v>
      </c>
      <c r="O1208">
        <v>0.77200000000000002</v>
      </c>
      <c r="P1208">
        <v>0.40999063600000002</v>
      </c>
      <c r="Q1208">
        <v>0.21199999999999999</v>
      </c>
    </row>
    <row r="1209" spans="1:17" s="30" customFormat="1" x14ac:dyDescent="0.2">
      <c r="A1209" s="30" t="str">
        <f>IF(C1209&amp;G1209&amp;D1209&lt;&gt;'Funnel setup'!$K$3&amp;'Funnel setup'!$K$4&amp;'Funnel setup'!$K$5,".",IF(A1208=".",1,A1208+1))</f>
        <v>.</v>
      </c>
      <c r="B1209" s="431" t="str">
        <f t="shared" si="18"/>
        <v>Hip Replacement PrimaryCCG of GP PracticeNHS BRIGHTON AND HOVE CCG (09D)EQ-5D Index</v>
      </c>
      <c r="C1209" t="s">
        <v>248</v>
      </c>
      <c r="D1209" t="s">
        <v>87</v>
      </c>
      <c r="E1209" t="s">
        <v>698</v>
      </c>
      <c r="F1209" t="s">
        <v>699</v>
      </c>
      <c r="G1209" t="s">
        <v>52</v>
      </c>
      <c r="H1209">
        <v>144</v>
      </c>
      <c r="I1209">
        <v>0.436</v>
      </c>
      <c r="J1209">
        <v>0.82299999999999995</v>
      </c>
      <c r="K1209">
        <v>0.38700000000000001</v>
      </c>
      <c r="L1209">
        <v>128</v>
      </c>
      <c r="M1209">
        <v>10</v>
      </c>
      <c r="N1209">
        <v>6</v>
      </c>
      <c r="O1209">
        <v>0.80700000000000005</v>
      </c>
      <c r="P1209">
        <v>0.445200969</v>
      </c>
      <c r="Q1209">
        <v>0.20399999999999999</v>
      </c>
    </row>
    <row r="1210" spans="1:17" s="30" customFormat="1" x14ac:dyDescent="0.2">
      <c r="A1210" s="30" t="str">
        <f>IF(C1210&amp;G1210&amp;D1210&lt;&gt;'Funnel setup'!$K$3&amp;'Funnel setup'!$K$4&amp;'Funnel setup'!$K$5,".",IF(A1209=".",1,A1209+1))</f>
        <v>.</v>
      </c>
      <c r="B1210" s="431" t="str">
        <f t="shared" si="18"/>
        <v>Hip Replacement PrimaryCCG of GP PracticeNHS BRISTOL CCG (11H)EQ-5D Index</v>
      </c>
      <c r="C1210" t="s">
        <v>248</v>
      </c>
      <c r="D1210" t="s">
        <v>87</v>
      </c>
      <c r="E1210" t="s">
        <v>701</v>
      </c>
      <c r="F1210" t="s">
        <v>702</v>
      </c>
      <c r="G1210" t="s">
        <v>52</v>
      </c>
      <c r="H1210">
        <v>217</v>
      </c>
      <c r="I1210">
        <v>0.38300000000000001</v>
      </c>
      <c r="J1210">
        <v>0.77300000000000002</v>
      </c>
      <c r="K1210">
        <v>0.39</v>
      </c>
      <c r="L1210">
        <v>189</v>
      </c>
      <c r="M1210">
        <v>14</v>
      </c>
      <c r="N1210">
        <v>14</v>
      </c>
      <c r="O1210">
        <v>0.76800000000000002</v>
      </c>
      <c r="P1210">
        <v>0.40585750599999998</v>
      </c>
      <c r="Q1210">
        <v>0.23200000000000001</v>
      </c>
    </row>
    <row r="1211" spans="1:17" s="30" customFormat="1" x14ac:dyDescent="0.2">
      <c r="A1211" s="30" t="str">
        <f>IF(C1211&amp;G1211&amp;D1211&lt;&gt;'Funnel setup'!$K$3&amp;'Funnel setup'!$K$4&amp;'Funnel setup'!$K$5,".",IF(A1210=".",1,A1210+1))</f>
        <v>.</v>
      </c>
      <c r="B1211" s="431" t="str">
        <f t="shared" si="18"/>
        <v>Hip Replacement PrimaryCCG of GP PracticeNHS BROMLEY CCG (07Q)EQ-5D Index</v>
      </c>
      <c r="C1211" t="s">
        <v>248</v>
      </c>
      <c r="D1211" t="s">
        <v>87</v>
      </c>
      <c r="E1211" t="s">
        <v>704</v>
      </c>
      <c r="F1211" t="s">
        <v>705</v>
      </c>
      <c r="G1211" t="s">
        <v>52</v>
      </c>
      <c r="H1211">
        <v>144</v>
      </c>
      <c r="I1211">
        <v>0.42099999999999999</v>
      </c>
      <c r="J1211">
        <v>0.82899999999999996</v>
      </c>
      <c r="K1211">
        <v>0.40899999999999997</v>
      </c>
      <c r="L1211">
        <v>127</v>
      </c>
      <c r="M1211">
        <v>8</v>
      </c>
      <c r="N1211">
        <v>9</v>
      </c>
      <c r="O1211">
        <v>0.80600000000000005</v>
      </c>
      <c r="P1211">
        <v>0.44426787499999998</v>
      </c>
      <c r="Q1211">
        <v>0.214</v>
      </c>
    </row>
    <row r="1212" spans="1:17" s="30" customFormat="1" x14ac:dyDescent="0.2">
      <c r="A1212" s="30" t="str">
        <f>IF(C1212&amp;G1212&amp;D1212&lt;&gt;'Funnel setup'!$K$3&amp;'Funnel setup'!$K$4&amp;'Funnel setup'!$K$5,".",IF(A1211=".",1,A1211+1))</f>
        <v>.</v>
      </c>
      <c r="B1212" s="431" t="str">
        <f t="shared" si="18"/>
        <v>Hip Replacement PrimaryCCG of GP PracticeNHS BURY CCG (00V)EQ-5D Index</v>
      </c>
      <c r="C1212" t="s">
        <v>248</v>
      </c>
      <c r="D1212" t="s">
        <v>87</v>
      </c>
      <c r="E1212" t="s">
        <v>707</v>
      </c>
      <c r="F1212" t="s">
        <v>708</v>
      </c>
      <c r="G1212" t="s">
        <v>52</v>
      </c>
      <c r="H1212">
        <v>57</v>
      </c>
      <c r="I1212">
        <v>0.26500000000000001</v>
      </c>
      <c r="J1212">
        <v>0.80800000000000005</v>
      </c>
      <c r="K1212">
        <v>0.54300000000000004</v>
      </c>
      <c r="L1212">
        <v>53</v>
      </c>
      <c r="M1212">
        <v>4</v>
      </c>
      <c r="N1212">
        <v>0</v>
      </c>
      <c r="O1212">
        <v>0.82499999999999996</v>
      </c>
      <c r="P1212">
        <v>0.46331539900000002</v>
      </c>
      <c r="Q1212">
        <v>0.19900000000000001</v>
      </c>
    </row>
    <row r="1213" spans="1:17" s="30" customFormat="1" x14ac:dyDescent="0.2">
      <c r="A1213" s="30" t="str">
        <f>IF(C1213&amp;G1213&amp;D1213&lt;&gt;'Funnel setup'!$K$3&amp;'Funnel setup'!$K$4&amp;'Funnel setup'!$K$5,".",IF(A1212=".",1,A1212+1))</f>
        <v>.</v>
      </c>
      <c r="B1213" s="431" t="str">
        <f t="shared" si="18"/>
        <v>Hip Replacement PrimaryCCG of GP PracticeNHS CALDERDALE CCG (02T)EQ-5D Index</v>
      </c>
      <c r="C1213" t="s">
        <v>248</v>
      </c>
      <c r="D1213" t="s">
        <v>87</v>
      </c>
      <c r="E1213" t="s">
        <v>710</v>
      </c>
      <c r="F1213" t="s">
        <v>711</v>
      </c>
      <c r="G1213" t="s">
        <v>52</v>
      </c>
      <c r="H1213">
        <v>147</v>
      </c>
      <c r="I1213">
        <v>0.376</v>
      </c>
      <c r="J1213">
        <v>0.80900000000000005</v>
      </c>
      <c r="K1213">
        <v>0.433</v>
      </c>
      <c r="L1213">
        <v>135</v>
      </c>
      <c r="M1213">
        <v>6</v>
      </c>
      <c r="N1213">
        <v>6</v>
      </c>
      <c r="O1213">
        <v>0.80900000000000005</v>
      </c>
      <c r="P1213">
        <v>0.44694271099999999</v>
      </c>
      <c r="Q1213">
        <v>0.22600000000000001</v>
      </c>
    </row>
    <row r="1214" spans="1:17" s="30" customFormat="1" x14ac:dyDescent="0.2">
      <c r="A1214" s="30" t="str">
        <f>IF(C1214&amp;G1214&amp;D1214&lt;&gt;'Funnel setup'!$K$3&amp;'Funnel setup'!$K$4&amp;'Funnel setup'!$K$5,".",IF(A1213=".",1,A1213+1))</f>
        <v>.</v>
      </c>
      <c r="B1214" s="431" t="str">
        <f t="shared" si="18"/>
        <v>Hip Replacement PrimaryCCG of GP PracticeNHS CAMBRIDGESHIRE AND PETERBOROUGH CCG (06H)EQ-5D Index</v>
      </c>
      <c r="C1214" t="s">
        <v>248</v>
      </c>
      <c r="D1214" t="s">
        <v>87</v>
      </c>
      <c r="E1214" t="s">
        <v>713</v>
      </c>
      <c r="F1214" t="s">
        <v>714</v>
      </c>
      <c r="G1214" t="s">
        <v>52</v>
      </c>
      <c r="H1214">
        <v>590</v>
      </c>
      <c r="I1214">
        <v>0.33800000000000002</v>
      </c>
      <c r="J1214">
        <v>0.80400000000000005</v>
      </c>
      <c r="K1214">
        <v>0.46600000000000003</v>
      </c>
      <c r="L1214">
        <v>543</v>
      </c>
      <c r="M1214">
        <v>20</v>
      </c>
      <c r="N1214">
        <v>27</v>
      </c>
      <c r="O1214">
        <v>0.80500000000000005</v>
      </c>
      <c r="P1214">
        <v>0.44326110299999999</v>
      </c>
      <c r="Q1214">
        <v>0.21099999999999999</v>
      </c>
    </row>
    <row r="1215" spans="1:17" s="30" customFormat="1" x14ac:dyDescent="0.2">
      <c r="A1215" s="30" t="str">
        <f>IF(C1215&amp;G1215&amp;D1215&lt;&gt;'Funnel setup'!$K$3&amp;'Funnel setup'!$K$4&amp;'Funnel setup'!$K$5,".",IF(A1214=".",1,A1214+1))</f>
        <v>.</v>
      </c>
      <c r="B1215" s="431" t="str">
        <f t="shared" si="18"/>
        <v>Hip Replacement PrimaryCCG of GP PracticeNHS CAMDEN CCG (07R)EQ-5D Index</v>
      </c>
      <c r="C1215" t="s">
        <v>248</v>
      </c>
      <c r="D1215" t="s">
        <v>87</v>
      </c>
      <c r="E1215" t="s">
        <v>716</v>
      </c>
      <c r="F1215" t="s">
        <v>717</v>
      </c>
      <c r="G1215" t="s">
        <v>52</v>
      </c>
      <c r="H1215">
        <v>46</v>
      </c>
      <c r="I1215">
        <v>0.374</v>
      </c>
      <c r="J1215">
        <v>0.78100000000000003</v>
      </c>
      <c r="K1215">
        <v>0.40699999999999997</v>
      </c>
      <c r="L1215">
        <v>43</v>
      </c>
      <c r="M1215">
        <v>1</v>
      </c>
      <c r="N1215">
        <v>2</v>
      </c>
      <c r="O1215">
        <v>0.80700000000000005</v>
      </c>
      <c r="P1215">
        <v>0.44531119699999999</v>
      </c>
      <c r="Q1215">
        <v>0.22700000000000001</v>
      </c>
    </row>
    <row r="1216" spans="1:17" s="30" customFormat="1" x14ac:dyDescent="0.2">
      <c r="A1216" s="30" t="str">
        <f>IF(C1216&amp;G1216&amp;D1216&lt;&gt;'Funnel setup'!$K$3&amp;'Funnel setup'!$K$4&amp;'Funnel setup'!$K$5,".",IF(A1215=".",1,A1215+1))</f>
        <v>.</v>
      </c>
      <c r="B1216" s="431" t="str">
        <f t="shared" si="18"/>
        <v>Hip Replacement PrimaryCCG of GP PracticeNHS CANNOCK CHASE CCG (04Y)EQ-5D Index</v>
      </c>
      <c r="C1216" t="s">
        <v>248</v>
      </c>
      <c r="D1216" t="s">
        <v>87</v>
      </c>
      <c r="E1216" t="s">
        <v>719</v>
      </c>
      <c r="F1216" t="s">
        <v>720</v>
      </c>
      <c r="G1216" t="s">
        <v>52</v>
      </c>
      <c r="H1216">
        <v>139</v>
      </c>
      <c r="I1216">
        <v>0.31</v>
      </c>
      <c r="J1216">
        <v>0.71099999999999997</v>
      </c>
      <c r="K1216">
        <v>0.40100000000000002</v>
      </c>
      <c r="L1216">
        <v>112</v>
      </c>
      <c r="M1216">
        <v>18</v>
      </c>
      <c r="N1216">
        <v>9</v>
      </c>
      <c r="O1216">
        <v>0.72699999999999998</v>
      </c>
      <c r="P1216">
        <v>0.36499282900000002</v>
      </c>
      <c r="Q1216">
        <v>0.26100000000000001</v>
      </c>
    </row>
    <row r="1217" spans="1:17" s="30" customFormat="1" x14ac:dyDescent="0.2">
      <c r="A1217" s="30" t="str">
        <f>IF(C1217&amp;G1217&amp;D1217&lt;&gt;'Funnel setup'!$K$3&amp;'Funnel setup'!$K$4&amp;'Funnel setup'!$K$5,".",IF(A1216=".",1,A1216+1))</f>
        <v>.</v>
      </c>
      <c r="B1217" s="431" t="str">
        <f t="shared" si="18"/>
        <v>Hip Replacement PrimaryCCG of GP PracticeNHS CANTERBURY AND COASTAL CCG (09E)EQ-5D Index</v>
      </c>
      <c r="C1217" t="s">
        <v>248</v>
      </c>
      <c r="D1217" t="s">
        <v>87</v>
      </c>
      <c r="E1217" t="s">
        <v>722</v>
      </c>
      <c r="F1217" t="s">
        <v>723</v>
      </c>
      <c r="G1217" t="s">
        <v>52</v>
      </c>
      <c r="H1217">
        <v>131</v>
      </c>
      <c r="I1217">
        <v>0.38300000000000001</v>
      </c>
      <c r="J1217">
        <v>0.83799999999999997</v>
      </c>
      <c r="K1217">
        <v>0.45500000000000002</v>
      </c>
      <c r="L1217">
        <v>117</v>
      </c>
      <c r="M1217">
        <v>10</v>
      </c>
      <c r="N1217">
        <v>4</v>
      </c>
      <c r="O1217">
        <v>0.82299999999999995</v>
      </c>
      <c r="P1217">
        <v>0.46161597700000001</v>
      </c>
      <c r="Q1217">
        <v>0.187</v>
      </c>
    </row>
    <row r="1218" spans="1:17" s="30" customFormat="1" x14ac:dyDescent="0.2">
      <c r="A1218" s="30" t="str">
        <f>IF(C1218&amp;G1218&amp;D1218&lt;&gt;'Funnel setup'!$K$3&amp;'Funnel setup'!$K$4&amp;'Funnel setup'!$K$5,".",IF(A1217=".",1,A1217+1))</f>
        <v>.</v>
      </c>
      <c r="B1218" s="431" t="str">
        <f t="shared" si="18"/>
        <v>Hip Replacement PrimaryCCG of GP PracticeNHS CASTLE POINT AND ROCHFORD CCG (99F)EQ-5D Index</v>
      </c>
      <c r="C1218" t="s">
        <v>248</v>
      </c>
      <c r="D1218" t="s">
        <v>87</v>
      </c>
      <c r="E1218" t="s">
        <v>725</v>
      </c>
      <c r="F1218" t="s">
        <v>726</v>
      </c>
      <c r="G1218" t="s">
        <v>52</v>
      </c>
      <c r="H1218">
        <v>143</v>
      </c>
      <c r="I1218">
        <v>0.309</v>
      </c>
      <c r="J1218">
        <v>0.76</v>
      </c>
      <c r="K1218">
        <v>0.45100000000000001</v>
      </c>
      <c r="L1218">
        <v>128</v>
      </c>
      <c r="M1218">
        <v>6</v>
      </c>
      <c r="N1218">
        <v>9</v>
      </c>
      <c r="O1218">
        <v>0.77</v>
      </c>
      <c r="P1218">
        <v>0.40787902100000001</v>
      </c>
      <c r="Q1218">
        <v>0.22900000000000001</v>
      </c>
    </row>
    <row r="1219" spans="1:17" s="30" customFormat="1" x14ac:dyDescent="0.2">
      <c r="A1219" s="30" t="str">
        <f>IF(C1219&amp;G1219&amp;D1219&lt;&gt;'Funnel setup'!$K$3&amp;'Funnel setup'!$K$4&amp;'Funnel setup'!$K$5,".",IF(A1218=".",1,A1218+1))</f>
        <v>.</v>
      </c>
      <c r="B1219" s="431" t="str">
        <f t="shared" ref="B1219:B1282" si="19">C1219&amp;D1219&amp;F1219&amp;G1219</f>
        <v>Hip Replacement PrimaryCCG of GP PracticeNHS CENTRAL LONDON (WESTMINSTER) CCG (09A)EQ-5D Index</v>
      </c>
      <c r="C1219" t="s">
        <v>248</v>
      </c>
      <c r="D1219" t="s">
        <v>87</v>
      </c>
      <c r="E1219" t="s">
        <v>728</v>
      </c>
      <c r="F1219" t="s">
        <v>729</v>
      </c>
      <c r="G1219" t="s">
        <v>52</v>
      </c>
      <c r="H1219">
        <v>20</v>
      </c>
      <c r="I1219">
        <v>0.34499999999999997</v>
      </c>
      <c r="J1219">
        <v>0.71299999999999997</v>
      </c>
      <c r="K1219">
        <v>0.36799999999999999</v>
      </c>
      <c r="L1219">
        <v>17</v>
      </c>
      <c r="M1219">
        <v>2</v>
      </c>
      <c r="N1219">
        <v>1</v>
      </c>
      <c r="O1219" t="s">
        <v>53</v>
      </c>
      <c r="P1219" t="s">
        <v>53</v>
      </c>
      <c r="Q1219" t="s">
        <v>53</v>
      </c>
    </row>
    <row r="1220" spans="1:17" s="30" customFormat="1" x14ac:dyDescent="0.2">
      <c r="A1220" s="30" t="str">
        <f>IF(C1220&amp;G1220&amp;D1220&lt;&gt;'Funnel setup'!$K$3&amp;'Funnel setup'!$K$4&amp;'Funnel setup'!$K$5,".",IF(A1219=".",1,A1219+1))</f>
        <v>.</v>
      </c>
      <c r="B1220" s="431" t="str">
        <f t="shared" si="19"/>
        <v>Hip Replacement PrimaryCCG of GP PracticeNHS CENTRAL MANCHESTER CCG (00W)EQ-5D Index</v>
      </c>
      <c r="C1220" t="s">
        <v>248</v>
      </c>
      <c r="D1220" t="s">
        <v>87</v>
      </c>
      <c r="E1220" t="s">
        <v>731</v>
      </c>
      <c r="F1220" t="s">
        <v>732</v>
      </c>
      <c r="G1220" t="s">
        <v>52</v>
      </c>
      <c r="H1220">
        <v>15</v>
      </c>
      <c r="I1220">
        <v>0.40600000000000003</v>
      </c>
      <c r="J1220">
        <v>0.70399999999999996</v>
      </c>
      <c r="K1220">
        <v>0.29799999999999999</v>
      </c>
      <c r="L1220">
        <v>11</v>
      </c>
      <c r="M1220">
        <v>2</v>
      </c>
      <c r="N1220">
        <v>2</v>
      </c>
      <c r="O1220" t="s">
        <v>53</v>
      </c>
      <c r="P1220" t="s">
        <v>53</v>
      </c>
      <c r="Q1220" t="s">
        <v>53</v>
      </c>
    </row>
    <row r="1221" spans="1:17" s="30" customFormat="1" x14ac:dyDescent="0.2">
      <c r="A1221" s="30" t="str">
        <f>IF(C1221&amp;G1221&amp;D1221&lt;&gt;'Funnel setup'!$K$3&amp;'Funnel setup'!$K$4&amp;'Funnel setup'!$K$5,".",IF(A1220=".",1,A1220+1))</f>
        <v>.</v>
      </c>
      <c r="B1221" s="431" t="str">
        <f t="shared" si="19"/>
        <v>Hip Replacement PrimaryCCG of GP PracticeNHS CHILTERN CCG (10H)EQ-5D Index</v>
      </c>
      <c r="C1221" t="s">
        <v>248</v>
      </c>
      <c r="D1221" t="s">
        <v>87</v>
      </c>
      <c r="E1221" t="s">
        <v>734</v>
      </c>
      <c r="F1221" t="s">
        <v>735</v>
      </c>
      <c r="G1221" t="s">
        <v>52</v>
      </c>
      <c r="H1221">
        <v>202</v>
      </c>
      <c r="I1221">
        <v>0.41499999999999998</v>
      </c>
      <c r="J1221">
        <v>0.81100000000000005</v>
      </c>
      <c r="K1221">
        <v>0.39600000000000002</v>
      </c>
      <c r="L1221">
        <v>175</v>
      </c>
      <c r="M1221">
        <v>15</v>
      </c>
      <c r="N1221">
        <v>12</v>
      </c>
      <c r="O1221">
        <v>0.79200000000000004</v>
      </c>
      <c r="P1221">
        <v>0.430265693</v>
      </c>
      <c r="Q1221">
        <v>0.22</v>
      </c>
    </row>
    <row r="1222" spans="1:17" s="30" customFormat="1" x14ac:dyDescent="0.2">
      <c r="A1222" s="30" t="str">
        <f>IF(C1222&amp;G1222&amp;D1222&lt;&gt;'Funnel setup'!$K$3&amp;'Funnel setup'!$K$4&amp;'Funnel setup'!$K$5,".",IF(A1221=".",1,A1221+1))</f>
        <v>.</v>
      </c>
      <c r="B1222" s="431" t="str">
        <f t="shared" si="19"/>
        <v>Hip Replacement PrimaryCCG of GP PracticeNHS CHORLEY AND SOUTH RIBBLE CCG (00X)EQ-5D Index</v>
      </c>
      <c r="C1222" t="s">
        <v>248</v>
      </c>
      <c r="D1222" t="s">
        <v>87</v>
      </c>
      <c r="E1222" t="s">
        <v>737</v>
      </c>
      <c r="F1222" t="s">
        <v>738</v>
      </c>
      <c r="G1222" t="s">
        <v>52</v>
      </c>
      <c r="H1222">
        <v>167</v>
      </c>
      <c r="I1222">
        <v>0.34399999999999997</v>
      </c>
      <c r="J1222">
        <v>0.80700000000000005</v>
      </c>
      <c r="K1222">
        <v>0.46200000000000002</v>
      </c>
      <c r="L1222">
        <v>149</v>
      </c>
      <c r="M1222">
        <v>12</v>
      </c>
      <c r="N1222">
        <v>6</v>
      </c>
      <c r="O1222">
        <v>0.81499999999999995</v>
      </c>
      <c r="P1222">
        <v>0.452948662</v>
      </c>
      <c r="Q1222">
        <v>0.24299999999999999</v>
      </c>
    </row>
    <row r="1223" spans="1:17" s="30" customFormat="1" x14ac:dyDescent="0.2">
      <c r="A1223" s="30" t="str">
        <f>IF(C1223&amp;G1223&amp;D1223&lt;&gt;'Funnel setup'!$K$3&amp;'Funnel setup'!$K$4&amp;'Funnel setup'!$K$5,".",IF(A1222=".",1,A1222+1))</f>
        <v>.</v>
      </c>
      <c r="B1223" s="431" t="str">
        <f t="shared" si="19"/>
        <v>Hip Replacement PrimaryCCG of GP PracticeNHS CITY AND HACKNEY CCG (07T)EQ-5D Index</v>
      </c>
      <c r="C1223" t="s">
        <v>248</v>
      </c>
      <c r="D1223" t="s">
        <v>87</v>
      </c>
      <c r="E1223" t="s">
        <v>740</v>
      </c>
      <c r="F1223" t="s">
        <v>741</v>
      </c>
      <c r="G1223" t="s">
        <v>52</v>
      </c>
      <c r="H1223">
        <v>36</v>
      </c>
      <c r="I1223">
        <v>0.24099999999999999</v>
      </c>
      <c r="J1223">
        <v>0.70399999999999996</v>
      </c>
      <c r="K1223">
        <v>0.46300000000000002</v>
      </c>
      <c r="L1223">
        <v>31</v>
      </c>
      <c r="M1223">
        <v>1</v>
      </c>
      <c r="N1223">
        <v>4</v>
      </c>
      <c r="O1223">
        <v>0.81499999999999995</v>
      </c>
      <c r="P1223">
        <v>0.45336996899999998</v>
      </c>
      <c r="Q1223">
        <v>0.308</v>
      </c>
    </row>
    <row r="1224" spans="1:17" s="30" customFormat="1" x14ac:dyDescent="0.2">
      <c r="A1224" s="30" t="str">
        <f>IF(C1224&amp;G1224&amp;D1224&lt;&gt;'Funnel setup'!$K$3&amp;'Funnel setup'!$K$4&amp;'Funnel setup'!$K$5,".",IF(A1223=".",1,A1223+1))</f>
        <v>.</v>
      </c>
      <c r="B1224" s="431" t="str">
        <f t="shared" si="19"/>
        <v>Hip Replacement PrimaryCCG of GP PracticeNHS COASTAL WEST SUSSEX CCG (09G)EQ-5D Index</v>
      </c>
      <c r="C1224" t="s">
        <v>248</v>
      </c>
      <c r="D1224" t="s">
        <v>87</v>
      </c>
      <c r="E1224" t="s">
        <v>743</v>
      </c>
      <c r="F1224" t="s">
        <v>744</v>
      </c>
      <c r="G1224" t="s">
        <v>52</v>
      </c>
      <c r="H1224">
        <v>513</v>
      </c>
      <c r="I1224">
        <v>0.38300000000000001</v>
      </c>
      <c r="J1224">
        <v>0.81</v>
      </c>
      <c r="K1224">
        <v>0.42799999999999999</v>
      </c>
      <c r="L1224">
        <v>458</v>
      </c>
      <c r="M1224">
        <v>33</v>
      </c>
      <c r="N1224">
        <v>22</v>
      </c>
      <c r="O1224">
        <v>0.8</v>
      </c>
      <c r="P1224">
        <v>0.43819812299999999</v>
      </c>
      <c r="Q1224">
        <v>0.20300000000000001</v>
      </c>
    </row>
    <row r="1225" spans="1:17" s="30" customFormat="1" x14ac:dyDescent="0.2">
      <c r="A1225" s="30" t="str">
        <f>IF(C1225&amp;G1225&amp;D1225&lt;&gt;'Funnel setup'!$K$3&amp;'Funnel setup'!$K$4&amp;'Funnel setup'!$K$5,".",IF(A1224=".",1,A1224+1))</f>
        <v>.</v>
      </c>
      <c r="B1225" s="431" t="str">
        <f t="shared" si="19"/>
        <v>Hip Replacement PrimaryCCG of GP PracticeNHS CORBY CCG (03V)EQ-5D Index</v>
      </c>
      <c r="C1225" t="s">
        <v>248</v>
      </c>
      <c r="D1225" t="s">
        <v>87</v>
      </c>
      <c r="E1225" t="s">
        <v>746</v>
      </c>
      <c r="F1225" t="s">
        <v>747</v>
      </c>
      <c r="G1225" t="s">
        <v>52</v>
      </c>
      <c r="H1225">
        <v>29</v>
      </c>
      <c r="I1225">
        <v>0.22900000000000001</v>
      </c>
      <c r="J1225">
        <v>0.68300000000000005</v>
      </c>
      <c r="K1225">
        <v>0.45400000000000001</v>
      </c>
      <c r="L1225">
        <v>24</v>
      </c>
      <c r="M1225">
        <v>3</v>
      </c>
      <c r="N1225">
        <v>2</v>
      </c>
      <c r="O1225" t="s">
        <v>53</v>
      </c>
      <c r="P1225" t="s">
        <v>53</v>
      </c>
      <c r="Q1225" t="s">
        <v>53</v>
      </c>
    </row>
    <row r="1226" spans="1:17" s="30" customFormat="1" x14ac:dyDescent="0.2">
      <c r="A1226" s="30" t="str">
        <f>IF(C1226&amp;G1226&amp;D1226&lt;&gt;'Funnel setup'!$K$3&amp;'Funnel setup'!$K$4&amp;'Funnel setup'!$K$5,".",IF(A1225=".",1,A1225+1))</f>
        <v>.</v>
      </c>
      <c r="B1226" s="431" t="str">
        <f t="shared" si="19"/>
        <v>Hip Replacement PrimaryCCG of GP PracticeNHS COVENTRY AND RUGBY CCG (05A)EQ-5D Index</v>
      </c>
      <c r="C1226" t="s">
        <v>248</v>
      </c>
      <c r="D1226" t="s">
        <v>87</v>
      </c>
      <c r="E1226" t="s">
        <v>749</v>
      </c>
      <c r="F1226" t="s">
        <v>750</v>
      </c>
      <c r="G1226" t="s">
        <v>52</v>
      </c>
      <c r="H1226">
        <v>240</v>
      </c>
      <c r="I1226">
        <v>0.377</v>
      </c>
      <c r="J1226">
        <v>0.82499999999999996</v>
      </c>
      <c r="K1226">
        <v>0.44900000000000001</v>
      </c>
      <c r="L1226">
        <v>223</v>
      </c>
      <c r="M1226">
        <v>9</v>
      </c>
      <c r="N1226">
        <v>8</v>
      </c>
      <c r="O1226">
        <v>0.81799999999999995</v>
      </c>
      <c r="P1226">
        <v>0.45585782499999999</v>
      </c>
      <c r="Q1226">
        <v>0.19800000000000001</v>
      </c>
    </row>
    <row r="1227" spans="1:17" s="30" customFormat="1" x14ac:dyDescent="0.2">
      <c r="A1227" s="30" t="str">
        <f>IF(C1227&amp;G1227&amp;D1227&lt;&gt;'Funnel setup'!$K$3&amp;'Funnel setup'!$K$4&amp;'Funnel setup'!$K$5,".",IF(A1226=".",1,A1226+1))</f>
        <v>.</v>
      </c>
      <c r="B1227" s="431" t="str">
        <f t="shared" si="19"/>
        <v>Hip Replacement PrimaryCCG of GP PracticeNHS CRAWLEY CCG (09H)EQ-5D Index</v>
      </c>
      <c r="C1227" t="s">
        <v>248</v>
      </c>
      <c r="D1227" t="s">
        <v>87</v>
      </c>
      <c r="E1227" t="s">
        <v>752</v>
      </c>
      <c r="F1227" t="s">
        <v>753</v>
      </c>
      <c r="G1227" t="s">
        <v>52</v>
      </c>
      <c r="H1227">
        <v>53</v>
      </c>
      <c r="I1227">
        <v>0.497</v>
      </c>
      <c r="J1227">
        <v>0.80900000000000005</v>
      </c>
      <c r="K1227">
        <v>0.313</v>
      </c>
      <c r="L1227">
        <v>47</v>
      </c>
      <c r="M1227">
        <v>2</v>
      </c>
      <c r="N1227">
        <v>4</v>
      </c>
      <c r="O1227">
        <v>0.77800000000000002</v>
      </c>
      <c r="P1227">
        <v>0.41680392300000002</v>
      </c>
      <c r="Q1227">
        <v>0.216</v>
      </c>
    </row>
    <row r="1228" spans="1:17" s="30" customFormat="1" x14ac:dyDescent="0.2">
      <c r="A1228" s="30" t="str">
        <f>IF(C1228&amp;G1228&amp;D1228&lt;&gt;'Funnel setup'!$K$3&amp;'Funnel setup'!$K$4&amp;'Funnel setup'!$K$5,".",IF(A1227=".",1,A1227+1))</f>
        <v>.</v>
      </c>
      <c r="B1228" s="431" t="str">
        <f t="shared" si="19"/>
        <v>Hip Replacement PrimaryCCG of GP PracticeNHS CROYDON CCG (07V)EQ-5D Index</v>
      </c>
      <c r="C1228" t="s">
        <v>248</v>
      </c>
      <c r="D1228" t="s">
        <v>87</v>
      </c>
      <c r="E1228" t="s">
        <v>755</v>
      </c>
      <c r="F1228" t="s">
        <v>756</v>
      </c>
      <c r="G1228" t="s">
        <v>52</v>
      </c>
      <c r="H1228">
        <v>118</v>
      </c>
      <c r="I1228">
        <v>0.40899999999999997</v>
      </c>
      <c r="J1228">
        <v>0.77900000000000003</v>
      </c>
      <c r="K1228">
        <v>0.371</v>
      </c>
      <c r="L1228">
        <v>105</v>
      </c>
      <c r="M1228">
        <v>5</v>
      </c>
      <c r="N1228">
        <v>8</v>
      </c>
      <c r="O1228">
        <v>0.77100000000000002</v>
      </c>
      <c r="P1228">
        <v>0.40927870999999999</v>
      </c>
      <c r="Q1228">
        <v>0.21099999999999999</v>
      </c>
    </row>
    <row r="1229" spans="1:17" s="30" customFormat="1" x14ac:dyDescent="0.2">
      <c r="A1229" s="30" t="str">
        <f>IF(C1229&amp;G1229&amp;D1229&lt;&gt;'Funnel setup'!$K$3&amp;'Funnel setup'!$K$4&amp;'Funnel setup'!$K$5,".",IF(A1228=".",1,A1228+1))</f>
        <v>.</v>
      </c>
      <c r="B1229" s="431" t="str">
        <f t="shared" si="19"/>
        <v>Hip Replacement PrimaryCCG of GP PracticeNHS CUMBRIA CCG (01H)EQ-5D Index</v>
      </c>
      <c r="C1229" t="s">
        <v>248</v>
      </c>
      <c r="D1229" t="s">
        <v>87</v>
      </c>
      <c r="E1229" t="s">
        <v>758</v>
      </c>
      <c r="F1229" t="s">
        <v>759</v>
      </c>
      <c r="G1229" t="s">
        <v>52</v>
      </c>
      <c r="H1229">
        <v>522</v>
      </c>
      <c r="I1229">
        <v>0.38900000000000001</v>
      </c>
      <c r="J1229">
        <v>0.80600000000000005</v>
      </c>
      <c r="K1229">
        <v>0.41799999999999998</v>
      </c>
      <c r="L1229">
        <v>471</v>
      </c>
      <c r="M1229">
        <v>30</v>
      </c>
      <c r="N1229">
        <v>21</v>
      </c>
      <c r="O1229">
        <v>0.8</v>
      </c>
      <c r="P1229">
        <v>0.43864456000000002</v>
      </c>
      <c r="Q1229">
        <v>0.20799999999999999</v>
      </c>
    </row>
    <row r="1230" spans="1:17" s="30" customFormat="1" x14ac:dyDescent="0.2">
      <c r="A1230" s="30" t="str">
        <f>IF(C1230&amp;G1230&amp;D1230&lt;&gt;'Funnel setup'!$K$3&amp;'Funnel setup'!$K$4&amp;'Funnel setup'!$K$5,".",IF(A1229=".",1,A1229+1))</f>
        <v>.</v>
      </c>
      <c r="B1230" s="431" t="str">
        <f t="shared" si="19"/>
        <v>Hip Replacement PrimaryCCG of GP PracticeNHS DARLINGTON CCG (00C)EQ-5D Index</v>
      </c>
      <c r="C1230" t="s">
        <v>248</v>
      </c>
      <c r="D1230" t="s">
        <v>87</v>
      </c>
      <c r="E1230" t="s">
        <v>761</v>
      </c>
      <c r="F1230" t="s">
        <v>762</v>
      </c>
      <c r="G1230" t="s">
        <v>52</v>
      </c>
      <c r="H1230">
        <v>70</v>
      </c>
      <c r="I1230">
        <v>0.36299999999999999</v>
      </c>
      <c r="J1230">
        <v>0.79400000000000004</v>
      </c>
      <c r="K1230">
        <v>0.43099999999999999</v>
      </c>
      <c r="L1230">
        <v>62</v>
      </c>
      <c r="M1230">
        <v>3</v>
      </c>
      <c r="N1230">
        <v>5</v>
      </c>
      <c r="O1230">
        <v>0.78900000000000003</v>
      </c>
      <c r="P1230">
        <v>0.42716939599999998</v>
      </c>
      <c r="Q1230">
        <v>0.216</v>
      </c>
    </row>
    <row r="1231" spans="1:17" s="30" customFormat="1" x14ac:dyDescent="0.2">
      <c r="A1231" s="30" t="str">
        <f>IF(C1231&amp;G1231&amp;D1231&lt;&gt;'Funnel setup'!$K$3&amp;'Funnel setup'!$K$4&amp;'Funnel setup'!$K$5,".",IF(A1230=".",1,A1230+1))</f>
        <v>.</v>
      </c>
      <c r="B1231" s="431" t="str">
        <f t="shared" si="19"/>
        <v>Hip Replacement PrimaryCCG of GP PracticeNHS DARTFORD, GRAVESHAM AND SWANLEY CCG (09J)EQ-5D Index</v>
      </c>
      <c r="C1231" t="s">
        <v>248</v>
      </c>
      <c r="D1231" t="s">
        <v>87</v>
      </c>
      <c r="E1231" t="s">
        <v>764</v>
      </c>
      <c r="F1231" t="s">
        <v>765</v>
      </c>
      <c r="G1231" t="s">
        <v>52</v>
      </c>
      <c r="H1231">
        <v>124</v>
      </c>
      <c r="I1231">
        <v>0.39900000000000002</v>
      </c>
      <c r="J1231">
        <v>0.82699999999999996</v>
      </c>
      <c r="K1231">
        <v>0.42799999999999999</v>
      </c>
      <c r="L1231">
        <v>107</v>
      </c>
      <c r="M1231">
        <v>7</v>
      </c>
      <c r="N1231">
        <v>10</v>
      </c>
      <c r="O1231">
        <v>0.81899999999999995</v>
      </c>
      <c r="P1231">
        <v>0.45745282300000001</v>
      </c>
      <c r="Q1231">
        <v>0.215</v>
      </c>
    </row>
    <row r="1232" spans="1:17" s="30" customFormat="1" x14ac:dyDescent="0.2">
      <c r="A1232" s="30" t="str">
        <f>IF(C1232&amp;G1232&amp;D1232&lt;&gt;'Funnel setup'!$K$3&amp;'Funnel setup'!$K$4&amp;'Funnel setup'!$K$5,".",IF(A1231=".",1,A1231+1))</f>
        <v>.</v>
      </c>
      <c r="B1232" s="431" t="str">
        <f t="shared" si="19"/>
        <v>Hip Replacement PrimaryCCG of GP PracticeNHS DONCASTER CCG (02X)EQ-5D Index</v>
      </c>
      <c r="C1232" t="s">
        <v>248</v>
      </c>
      <c r="D1232" t="s">
        <v>87</v>
      </c>
      <c r="E1232" t="s">
        <v>767</v>
      </c>
      <c r="F1232" t="s">
        <v>768</v>
      </c>
      <c r="G1232" t="s">
        <v>52</v>
      </c>
      <c r="H1232">
        <v>199</v>
      </c>
      <c r="I1232">
        <v>0.30199999999999999</v>
      </c>
      <c r="J1232">
        <v>0.747</v>
      </c>
      <c r="K1232">
        <v>0.44500000000000001</v>
      </c>
      <c r="L1232">
        <v>173</v>
      </c>
      <c r="M1232">
        <v>14</v>
      </c>
      <c r="N1232">
        <v>12</v>
      </c>
      <c r="O1232">
        <v>0.78200000000000003</v>
      </c>
      <c r="P1232">
        <v>0.42018454199999999</v>
      </c>
      <c r="Q1232">
        <v>0.246</v>
      </c>
    </row>
    <row r="1233" spans="1:17" s="30" customFormat="1" x14ac:dyDescent="0.2">
      <c r="A1233" s="30" t="str">
        <f>IF(C1233&amp;G1233&amp;D1233&lt;&gt;'Funnel setup'!$K$3&amp;'Funnel setup'!$K$4&amp;'Funnel setup'!$K$5,".",IF(A1232=".",1,A1232+1))</f>
        <v>.</v>
      </c>
      <c r="B1233" s="431" t="str">
        <f t="shared" si="19"/>
        <v>Hip Replacement PrimaryCCG of GP PracticeNHS DORSET CCG (11J)EQ-5D Index</v>
      </c>
      <c r="C1233" t="s">
        <v>248</v>
      </c>
      <c r="D1233" t="s">
        <v>87</v>
      </c>
      <c r="E1233" t="s">
        <v>854</v>
      </c>
      <c r="F1233" t="s">
        <v>855</v>
      </c>
      <c r="G1233" t="s">
        <v>52</v>
      </c>
      <c r="H1233">
        <v>672</v>
      </c>
      <c r="I1233">
        <v>0.376</v>
      </c>
      <c r="J1233">
        <v>0.82099999999999995</v>
      </c>
      <c r="K1233">
        <v>0.44500000000000001</v>
      </c>
      <c r="L1233">
        <v>603</v>
      </c>
      <c r="M1233">
        <v>39</v>
      </c>
      <c r="N1233">
        <v>30</v>
      </c>
      <c r="O1233">
        <v>0.81799999999999995</v>
      </c>
      <c r="P1233">
        <v>0.45630360399999997</v>
      </c>
      <c r="Q1233">
        <v>0.2</v>
      </c>
    </row>
    <row r="1234" spans="1:17" s="30" customFormat="1" x14ac:dyDescent="0.2">
      <c r="A1234" s="30" t="str">
        <f>IF(C1234&amp;G1234&amp;D1234&lt;&gt;'Funnel setup'!$K$3&amp;'Funnel setup'!$K$4&amp;'Funnel setup'!$K$5,".",IF(A1233=".",1,A1233+1))</f>
        <v>.</v>
      </c>
      <c r="B1234" s="431" t="str">
        <f t="shared" si="19"/>
        <v>Hip Replacement PrimaryCCG of GP PracticeNHS DUDLEY CCG (05C)EQ-5D Index</v>
      </c>
      <c r="C1234" t="s">
        <v>248</v>
      </c>
      <c r="D1234" t="s">
        <v>87</v>
      </c>
      <c r="E1234" t="s">
        <v>857</v>
      </c>
      <c r="F1234" t="s">
        <v>858</v>
      </c>
      <c r="G1234" t="s">
        <v>52</v>
      </c>
      <c r="H1234">
        <v>297</v>
      </c>
      <c r="I1234">
        <v>0.36199999999999999</v>
      </c>
      <c r="J1234">
        <v>0.79400000000000004</v>
      </c>
      <c r="K1234">
        <v>0.432</v>
      </c>
      <c r="L1234">
        <v>270</v>
      </c>
      <c r="M1234">
        <v>11</v>
      </c>
      <c r="N1234">
        <v>16</v>
      </c>
      <c r="O1234">
        <v>0.80200000000000005</v>
      </c>
      <c r="P1234">
        <v>0.44054760100000001</v>
      </c>
      <c r="Q1234">
        <v>0.223</v>
      </c>
    </row>
    <row r="1235" spans="1:17" s="30" customFormat="1" x14ac:dyDescent="0.2">
      <c r="A1235" s="30" t="str">
        <f>IF(C1235&amp;G1235&amp;D1235&lt;&gt;'Funnel setup'!$K$3&amp;'Funnel setup'!$K$4&amp;'Funnel setup'!$K$5,".",IF(A1234=".",1,A1234+1))</f>
        <v>.</v>
      </c>
      <c r="B1235" s="431" t="str">
        <f t="shared" si="19"/>
        <v>Hip Replacement PrimaryCCG of GP PracticeNHS DURHAM DALES, EASINGTON AND SEDGEFIELD CCG (00D)EQ-5D Index</v>
      </c>
      <c r="C1235" t="s">
        <v>248</v>
      </c>
      <c r="D1235" t="s">
        <v>87</v>
      </c>
      <c r="E1235" t="s">
        <v>860</v>
      </c>
      <c r="F1235" t="s">
        <v>861</v>
      </c>
      <c r="G1235" t="s">
        <v>52</v>
      </c>
      <c r="H1235">
        <v>184</v>
      </c>
      <c r="I1235">
        <v>0.28399999999999997</v>
      </c>
      <c r="J1235">
        <v>0.75700000000000001</v>
      </c>
      <c r="K1235">
        <v>0.47299999999999998</v>
      </c>
      <c r="L1235">
        <v>163</v>
      </c>
      <c r="M1235">
        <v>11</v>
      </c>
      <c r="N1235">
        <v>10</v>
      </c>
      <c r="O1235">
        <v>0.79600000000000004</v>
      </c>
      <c r="P1235">
        <v>0.43439259200000002</v>
      </c>
      <c r="Q1235">
        <v>0.223</v>
      </c>
    </row>
    <row r="1236" spans="1:17" s="30" customFormat="1" x14ac:dyDescent="0.2">
      <c r="A1236" s="30" t="str">
        <f>IF(C1236&amp;G1236&amp;D1236&lt;&gt;'Funnel setup'!$K$3&amp;'Funnel setup'!$K$4&amp;'Funnel setup'!$K$5,".",IF(A1235=".",1,A1235+1))</f>
        <v>.</v>
      </c>
      <c r="B1236" s="431" t="str">
        <f t="shared" si="19"/>
        <v>Hip Replacement PrimaryCCG of GP PracticeNHS EALING CCG (07W)EQ-5D Index</v>
      </c>
      <c r="C1236" t="s">
        <v>248</v>
      </c>
      <c r="D1236" t="s">
        <v>87</v>
      </c>
      <c r="E1236" t="s">
        <v>863</v>
      </c>
      <c r="F1236" t="s">
        <v>864</v>
      </c>
      <c r="G1236" t="s">
        <v>52</v>
      </c>
      <c r="H1236">
        <v>63</v>
      </c>
      <c r="I1236">
        <v>0.20599999999999999</v>
      </c>
      <c r="J1236">
        <v>0.74399999999999999</v>
      </c>
      <c r="K1236">
        <v>0.53800000000000003</v>
      </c>
      <c r="L1236">
        <v>61</v>
      </c>
      <c r="M1236">
        <v>2</v>
      </c>
      <c r="N1236">
        <v>0</v>
      </c>
      <c r="O1236">
        <v>0.79700000000000004</v>
      </c>
      <c r="P1236">
        <v>0.435736548</v>
      </c>
      <c r="Q1236">
        <v>0.20300000000000001</v>
      </c>
    </row>
    <row r="1237" spans="1:17" s="30" customFormat="1" x14ac:dyDescent="0.2">
      <c r="A1237" s="30" t="str">
        <f>IF(C1237&amp;G1237&amp;D1237&lt;&gt;'Funnel setup'!$K$3&amp;'Funnel setup'!$K$4&amp;'Funnel setup'!$K$5,".",IF(A1236=".",1,A1236+1))</f>
        <v>.</v>
      </c>
      <c r="B1237" s="431" t="str">
        <f t="shared" si="19"/>
        <v>Hip Replacement PrimaryCCG of GP PracticeNHS EAST AND NORTH HERTFORDSHIRE CCG (06K)EQ-5D Index</v>
      </c>
      <c r="C1237" t="s">
        <v>248</v>
      </c>
      <c r="D1237" t="s">
        <v>87</v>
      </c>
      <c r="E1237" t="s">
        <v>866</v>
      </c>
      <c r="F1237" t="s">
        <v>867</v>
      </c>
      <c r="G1237" t="s">
        <v>52</v>
      </c>
      <c r="H1237">
        <v>354</v>
      </c>
      <c r="I1237">
        <v>0.33900000000000002</v>
      </c>
      <c r="J1237">
        <v>0.81</v>
      </c>
      <c r="K1237">
        <v>0.47099999999999997</v>
      </c>
      <c r="L1237">
        <v>327</v>
      </c>
      <c r="M1237">
        <v>14</v>
      </c>
      <c r="N1237">
        <v>13</v>
      </c>
      <c r="O1237">
        <v>0.80200000000000005</v>
      </c>
      <c r="P1237">
        <v>0.440534912</v>
      </c>
      <c r="Q1237">
        <v>0.21199999999999999</v>
      </c>
    </row>
    <row r="1238" spans="1:17" s="30" customFormat="1" x14ac:dyDescent="0.2">
      <c r="A1238" s="30" t="str">
        <f>IF(C1238&amp;G1238&amp;D1238&lt;&gt;'Funnel setup'!$K$3&amp;'Funnel setup'!$K$4&amp;'Funnel setup'!$K$5,".",IF(A1237=".",1,A1237+1))</f>
        <v>.</v>
      </c>
      <c r="B1238" s="431" t="str">
        <f t="shared" si="19"/>
        <v>Hip Replacement PrimaryCCG of GP PracticeNHS EAST LANCASHIRE CCG (01A)EQ-5D Index</v>
      </c>
      <c r="C1238" t="s">
        <v>248</v>
      </c>
      <c r="D1238" t="s">
        <v>87</v>
      </c>
      <c r="E1238" t="s">
        <v>869</v>
      </c>
      <c r="F1238" t="s">
        <v>870</v>
      </c>
      <c r="G1238" t="s">
        <v>52</v>
      </c>
      <c r="H1238">
        <v>213</v>
      </c>
      <c r="I1238">
        <v>0.32400000000000001</v>
      </c>
      <c r="J1238">
        <v>0.80400000000000005</v>
      </c>
      <c r="K1238">
        <v>0.48</v>
      </c>
      <c r="L1238">
        <v>198</v>
      </c>
      <c r="M1238">
        <v>10</v>
      </c>
      <c r="N1238">
        <v>5</v>
      </c>
      <c r="O1238">
        <v>0.82199999999999995</v>
      </c>
      <c r="P1238">
        <v>0.46068894799999999</v>
      </c>
      <c r="Q1238">
        <v>0.193</v>
      </c>
    </row>
    <row r="1239" spans="1:17" s="30" customFormat="1" x14ac:dyDescent="0.2">
      <c r="A1239" s="30" t="str">
        <f>IF(C1239&amp;G1239&amp;D1239&lt;&gt;'Funnel setup'!$K$3&amp;'Funnel setup'!$K$4&amp;'Funnel setup'!$K$5,".",IF(A1238=".",1,A1238+1))</f>
        <v>.</v>
      </c>
      <c r="B1239" s="431" t="str">
        <f t="shared" si="19"/>
        <v>Hip Replacement PrimaryCCG of GP PracticeNHS EAST LEICESTERSHIRE AND RUTLAND CCG (03W)EQ-5D Index</v>
      </c>
      <c r="C1239" t="s">
        <v>248</v>
      </c>
      <c r="D1239" t="s">
        <v>87</v>
      </c>
      <c r="E1239" t="s">
        <v>872</v>
      </c>
      <c r="F1239" t="s">
        <v>873</v>
      </c>
      <c r="G1239" t="s">
        <v>52</v>
      </c>
      <c r="H1239">
        <v>286</v>
      </c>
      <c r="I1239">
        <v>0.35399999999999998</v>
      </c>
      <c r="J1239">
        <v>0.78700000000000003</v>
      </c>
      <c r="K1239">
        <v>0.432</v>
      </c>
      <c r="L1239">
        <v>256</v>
      </c>
      <c r="M1239">
        <v>16</v>
      </c>
      <c r="N1239">
        <v>14</v>
      </c>
      <c r="O1239">
        <v>0.78100000000000003</v>
      </c>
      <c r="P1239">
        <v>0.41920504200000003</v>
      </c>
      <c r="Q1239">
        <v>0.219</v>
      </c>
    </row>
    <row r="1240" spans="1:17" s="30" customFormat="1" x14ac:dyDescent="0.2">
      <c r="A1240" s="30" t="str">
        <f>IF(C1240&amp;G1240&amp;D1240&lt;&gt;'Funnel setup'!$K$3&amp;'Funnel setup'!$K$4&amp;'Funnel setup'!$K$5,".",IF(A1239=".",1,A1239+1))</f>
        <v>.</v>
      </c>
      <c r="B1240" s="431" t="str">
        <f t="shared" si="19"/>
        <v>Hip Replacement PrimaryCCG of GP PracticeNHS EAST RIDING OF YORKSHIRE CCG (02Y)EQ-5D Index</v>
      </c>
      <c r="C1240" t="s">
        <v>248</v>
      </c>
      <c r="D1240" t="s">
        <v>87</v>
      </c>
      <c r="E1240" t="s">
        <v>875</v>
      </c>
      <c r="F1240" t="s">
        <v>876</v>
      </c>
      <c r="G1240" t="s">
        <v>52</v>
      </c>
      <c r="H1240">
        <v>365</v>
      </c>
      <c r="I1240">
        <v>0.379</v>
      </c>
      <c r="J1240">
        <v>0.81799999999999995</v>
      </c>
      <c r="K1240">
        <v>0.439</v>
      </c>
      <c r="L1240">
        <v>333</v>
      </c>
      <c r="M1240">
        <v>14</v>
      </c>
      <c r="N1240">
        <v>18</v>
      </c>
      <c r="O1240">
        <v>0.80200000000000005</v>
      </c>
      <c r="P1240">
        <v>0.43988125900000002</v>
      </c>
      <c r="Q1240">
        <v>0.217</v>
      </c>
    </row>
    <row r="1241" spans="1:17" s="30" customFormat="1" x14ac:dyDescent="0.2">
      <c r="A1241" s="30" t="str">
        <f>IF(C1241&amp;G1241&amp;D1241&lt;&gt;'Funnel setup'!$K$3&amp;'Funnel setup'!$K$4&amp;'Funnel setup'!$K$5,".",IF(A1240=".",1,A1240+1))</f>
        <v>.</v>
      </c>
      <c r="B1241" s="431" t="str">
        <f t="shared" si="19"/>
        <v>Hip Replacement PrimaryCCG of GP PracticeNHS EAST STAFFORDSHIRE CCG (05D)EQ-5D Index</v>
      </c>
      <c r="C1241" t="s">
        <v>248</v>
      </c>
      <c r="D1241" t="s">
        <v>87</v>
      </c>
      <c r="E1241" t="s">
        <v>878</v>
      </c>
      <c r="F1241" t="s">
        <v>879</v>
      </c>
      <c r="G1241" t="s">
        <v>52</v>
      </c>
      <c r="H1241">
        <v>105</v>
      </c>
      <c r="I1241">
        <v>0.32100000000000001</v>
      </c>
      <c r="J1241">
        <v>0.78600000000000003</v>
      </c>
      <c r="K1241">
        <v>0.46500000000000002</v>
      </c>
      <c r="L1241">
        <v>95</v>
      </c>
      <c r="M1241">
        <v>5</v>
      </c>
      <c r="N1241">
        <v>5</v>
      </c>
      <c r="O1241">
        <v>0.79200000000000004</v>
      </c>
      <c r="P1241">
        <v>0.43069701100000002</v>
      </c>
      <c r="Q1241">
        <v>0.222</v>
      </c>
    </row>
    <row r="1242" spans="1:17" s="30" customFormat="1" x14ac:dyDescent="0.2">
      <c r="A1242" s="30" t="str">
        <f>IF(C1242&amp;G1242&amp;D1242&lt;&gt;'Funnel setup'!$K$3&amp;'Funnel setup'!$K$4&amp;'Funnel setup'!$K$5,".",IF(A1241=".",1,A1241+1))</f>
        <v>.</v>
      </c>
      <c r="B1242" s="431" t="str">
        <f t="shared" si="19"/>
        <v>Hip Replacement PrimaryCCG of GP PracticeNHS EAST SURREY CCG (09L)EQ-5D Index</v>
      </c>
      <c r="C1242" t="s">
        <v>248</v>
      </c>
      <c r="D1242" t="s">
        <v>87</v>
      </c>
      <c r="E1242" t="s">
        <v>881</v>
      </c>
      <c r="F1242" t="s">
        <v>882</v>
      </c>
      <c r="G1242" t="s">
        <v>52</v>
      </c>
      <c r="H1242">
        <v>130</v>
      </c>
      <c r="I1242">
        <v>0.45700000000000002</v>
      </c>
      <c r="J1242">
        <v>0.83699999999999997</v>
      </c>
      <c r="K1242">
        <v>0.38</v>
      </c>
      <c r="L1242">
        <v>116</v>
      </c>
      <c r="M1242">
        <v>7</v>
      </c>
      <c r="N1242">
        <v>7</v>
      </c>
      <c r="O1242">
        <v>0.8</v>
      </c>
      <c r="P1242">
        <v>0.43787069299999998</v>
      </c>
      <c r="Q1242">
        <v>0.2</v>
      </c>
    </row>
    <row r="1243" spans="1:17" s="30" customFormat="1" x14ac:dyDescent="0.2">
      <c r="A1243" s="30" t="str">
        <f>IF(C1243&amp;G1243&amp;D1243&lt;&gt;'Funnel setup'!$K$3&amp;'Funnel setup'!$K$4&amp;'Funnel setup'!$K$5,".",IF(A1242=".",1,A1242+1))</f>
        <v>.</v>
      </c>
      <c r="B1243" s="431" t="str">
        <f t="shared" si="19"/>
        <v>Hip Replacement PrimaryCCG of GP PracticeNHS EASTBOURNE, HAILSHAM AND SEAFORD CCG (09F)EQ-5D Index</v>
      </c>
      <c r="C1243" t="s">
        <v>248</v>
      </c>
      <c r="D1243" t="s">
        <v>87</v>
      </c>
      <c r="E1243" t="s">
        <v>884</v>
      </c>
      <c r="F1243" t="s">
        <v>885</v>
      </c>
      <c r="G1243" t="s">
        <v>52</v>
      </c>
      <c r="H1243">
        <v>216</v>
      </c>
      <c r="I1243">
        <v>0.42</v>
      </c>
      <c r="J1243">
        <v>0.83299999999999996</v>
      </c>
      <c r="K1243">
        <v>0.41199999999999998</v>
      </c>
      <c r="L1243">
        <v>196</v>
      </c>
      <c r="M1243">
        <v>10</v>
      </c>
      <c r="N1243">
        <v>10</v>
      </c>
      <c r="O1243">
        <v>0.82199999999999995</v>
      </c>
      <c r="P1243">
        <v>0.45991154400000001</v>
      </c>
      <c r="Q1243">
        <v>0.17599999999999999</v>
      </c>
    </row>
    <row r="1244" spans="1:17" s="30" customFormat="1" x14ac:dyDescent="0.2">
      <c r="A1244" s="30" t="str">
        <f>IF(C1244&amp;G1244&amp;D1244&lt;&gt;'Funnel setup'!$K$3&amp;'Funnel setup'!$K$4&amp;'Funnel setup'!$K$5,".",IF(A1243=".",1,A1243+1))</f>
        <v>.</v>
      </c>
      <c r="B1244" s="431" t="str">
        <f t="shared" si="19"/>
        <v>Hip Replacement PrimaryCCG of GP PracticeNHS EASTERN CHESHIRE CCG (01C)EQ-5D Index</v>
      </c>
      <c r="C1244" t="s">
        <v>248</v>
      </c>
      <c r="D1244" t="s">
        <v>87</v>
      </c>
      <c r="E1244" t="s">
        <v>887</v>
      </c>
      <c r="F1244" t="s">
        <v>888</v>
      </c>
      <c r="G1244" t="s">
        <v>52</v>
      </c>
      <c r="H1244">
        <v>132</v>
      </c>
      <c r="I1244">
        <v>0.39800000000000002</v>
      </c>
      <c r="J1244">
        <v>0.82499999999999996</v>
      </c>
      <c r="K1244">
        <v>0.42699999999999999</v>
      </c>
      <c r="L1244">
        <v>120</v>
      </c>
      <c r="M1244">
        <v>6</v>
      </c>
      <c r="N1244">
        <v>6</v>
      </c>
      <c r="O1244">
        <v>0.81200000000000006</v>
      </c>
      <c r="P1244">
        <v>0.450366724</v>
      </c>
      <c r="Q1244">
        <v>0.22</v>
      </c>
    </row>
    <row r="1245" spans="1:17" s="30" customFormat="1" x14ac:dyDescent="0.2">
      <c r="A1245" s="30" t="str">
        <f>IF(C1245&amp;G1245&amp;D1245&lt;&gt;'Funnel setup'!$K$3&amp;'Funnel setup'!$K$4&amp;'Funnel setup'!$K$5,".",IF(A1244=".",1,A1244+1))</f>
        <v>.</v>
      </c>
      <c r="B1245" s="431" t="str">
        <f t="shared" si="19"/>
        <v>Hip Replacement PrimaryCCG of GP PracticeNHS ENFIELD CCG (07X)EQ-5D Index</v>
      </c>
      <c r="C1245" t="s">
        <v>248</v>
      </c>
      <c r="D1245" t="s">
        <v>87</v>
      </c>
      <c r="E1245" t="s">
        <v>890</v>
      </c>
      <c r="F1245" t="s">
        <v>891</v>
      </c>
      <c r="G1245" t="s">
        <v>52</v>
      </c>
      <c r="H1245">
        <v>76</v>
      </c>
      <c r="I1245">
        <v>0.28299999999999997</v>
      </c>
      <c r="J1245">
        <v>0.746</v>
      </c>
      <c r="K1245">
        <v>0.46300000000000002</v>
      </c>
      <c r="L1245">
        <v>70</v>
      </c>
      <c r="M1245">
        <v>3</v>
      </c>
      <c r="N1245">
        <v>3</v>
      </c>
      <c r="O1245">
        <v>0.78100000000000003</v>
      </c>
      <c r="P1245">
        <v>0.41888408199999999</v>
      </c>
      <c r="Q1245">
        <v>0.253</v>
      </c>
    </row>
    <row r="1246" spans="1:17" s="30" customFormat="1" x14ac:dyDescent="0.2">
      <c r="A1246" s="30" t="str">
        <f>IF(C1246&amp;G1246&amp;D1246&lt;&gt;'Funnel setup'!$K$3&amp;'Funnel setup'!$K$4&amp;'Funnel setup'!$K$5,".",IF(A1245=".",1,A1245+1))</f>
        <v>.</v>
      </c>
      <c r="B1246" s="431" t="str">
        <f t="shared" si="19"/>
        <v>Hip Replacement PrimaryCCG of GP PracticeNHS EREWASH CCG (03X)EQ-5D Index</v>
      </c>
      <c r="C1246" t="s">
        <v>248</v>
      </c>
      <c r="D1246" t="s">
        <v>87</v>
      </c>
      <c r="E1246" t="s">
        <v>893</v>
      </c>
      <c r="F1246" t="s">
        <v>894</v>
      </c>
      <c r="G1246" t="s">
        <v>52</v>
      </c>
      <c r="H1246">
        <v>86</v>
      </c>
      <c r="I1246">
        <v>0.38200000000000001</v>
      </c>
      <c r="J1246">
        <v>0.77500000000000002</v>
      </c>
      <c r="K1246">
        <v>0.39300000000000002</v>
      </c>
      <c r="L1246">
        <v>75</v>
      </c>
      <c r="M1246">
        <v>5</v>
      </c>
      <c r="N1246">
        <v>6</v>
      </c>
      <c r="O1246">
        <v>0.77</v>
      </c>
      <c r="P1246">
        <v>0.40878427699999997</v>
      </c>
      <c r="Q1246">
        <v>0.22</v>
      </c>
    </row>
    <row r="1247" spans="1:17" s="30" customFormat="1" x14ac:dyDescent="0.2">
      <c r="A1247" s="30" t="str">
        <f>IF(C1247&amp;G1247&amp;D1247&lt;&gt;'Funnel setup'!$K$3&amp;'Funnel setup'!$K$4&amp;'Funnel setup'!$K$5,".",IF(A1246=".",1,A1246+1))</f>
        <v>.</v>
      </c>
      <c r="B1247" s="431" t="str">
        <f t="shared" si="19"/>
        <v>Hip Replacement PrimaryCCG of GP PracticeNHS FAREHAM AND GOSPORT CCG (10K)EQ-5D Index</v>
      </c>
      <c r="C1247" t="s">
        <v>248</v>
      </c>
      <c r="D1247" t="s">
        <v>87</v>
      </c>
      <c r="E1247" t="s">
        <v>896</v>
      </c>
      <c r="F1247" t="s">
        <v>897</v>
      </c>
      <c r="G1247" t="s">
        <v>52</v>
      </c>
      <c r="H1247">
        <v>123</v>
      </c>
      <c r="I1247">
        <v>0.34899999999999998</v>
      </c>
      <c r="J1247">
        <v>0.78200000000000003</v>
      </c>
      <c r="K1247">
        <v>0.433</v>
      </c>
      <c r="L1247">
        <v>109</v>
      </c>
      <c r="M1247">
        <v>5</v>
      </c>
      <c r="N1247">
        <v>9</v>
      </c>
      <c r="O1247">
        <v>0.77800000000000002</v>
      </c>
      <c r="P1247">
        <v>0.41614332300000001</v>
      </c>
      <c r="Q1247">
        <v>0.24399999999999999</v>
      </c>
    </row>
    <row r="1248" spans="1:17" s="30" customFormat="1" x14ac:dyDescent="0.2">
      <c r="A1248" s="30" t="str">
        <f>IF(C1248&amp;G1248&amp;D1248&lt;&gt;'Funnel setup'!$K$3&amp;'Funnel setup'!$K$4&amp;'Funnel setup'!$K$5,".",IF(A1247=".",1,A1247+1))</f>
        <v>.</v>
      </c>
      <c r="B1248" s="431" t="str">
        <f t="shared" si="19"/>
        <v>Hip Replacement PrimaryCCG of GP PracticeNHS FYLDE &amp; WYRE CCG (02M)EQ-5D Index</v>
      </c>
      <c r="C1248" t="s">
        <v>248</v>
      </c>
      <c r="D1248" t="s">
        <v>87</v>
      </c>
      <c r="E1248" t="s">
        <v>899</v>
      </c>
      <c r="F1248" t="s">
        <v>900</v>
      </c>
      <c r="G1248" t="s">
        <v>52</v>
      </c>
      <c r="H1248">
        <v>75</v>
      </c>
      <c r="I1248">
        <v>0.36899999999999999</v>
      </c>
      <c r="J1248">
        <v>0.76300000000000001</v>
      </c>
      <c r="K1248">
        <v>0.39400000000000002</v>
      </c>
      <c r="L1248">
        <v>65</v>
      </c>
      <c r="M1248">
        <v>6</v>
      </c>
      <c r="N1248">
        <v>4</v>
      </c>
      <c r="O1248">
        <v>0.755</v>
      </c>
      <c r="P1248">
        <v>0.39332993599999999</v>
      </c>
      <c r="Q1248">
        <v>0.24099999999999999</v>
      </c>
    </row>
    <row r="1249" spans="1:17" s="30" customFormat="1" x14ac:dyDescent="0.2">
      <c r="A1249" s="30" t="str">
        <f>IF(C1249&amp;G1249&amp;D1249&lt;&gt;'Funnel setup'!$K$3&amp;'Funnel setup'!$K$4&amp;'Funnel setup'!$K$5,".",IF(A1248=".",1,A1248+1))</f>
        <v>.</v>
      </c>
      <c r="B1249" s="431" t="str">
        <f t="shared" si="19"/>
        <v>Hip Replacement PrimaryCCG of GP PracticeNHS GLOUCESTERSHIRE CCG (11M)EQ-5D Index</v>
      </c>
      <c r="C1249" t="s">
        <v>248</v>
      </c>
      <c r="D1249" t="s">
        <v>87</v>
      </c>
      <c r="E1249" t="s">
        <v>902</v>
      </c>
      <c r="F1249" t="s">
        <v>903</v>
      </c>
      <c r="G1249" t="s">
        <v>52</v>
      </c>
      <c r="H1249">
        <v>485</v>
      </c>
      <c r="I1249">
        <v>0.43</v>
      </c>
      <c r="J1249">
        <v>0.82</v>
      </c>
      <c r="K1249">
        <v>0.39</v>
      </c>
      <c r="L1249">
        <v>428</v>
      </c>
      <c r="M1249">
        <v>28</v>
      </c>
      <c r="N1249">
        <v>29</v>
      </c>
      <c r="O1249">
        <v>0.79300000000000004</v>
      </c>
      <c r="P1249">
        <v>0.43104700600000001</v>
      </c>
      <c r="Q1249">
        <v>0.19700000000000001</v>
      </c>
    </row>
    <row r="1250" spans="1:17" s="30" customFormat="1" x14ac:dyDescent="0.2">
      <c r="A1250" s="30" t="str">
        <f>IF(C1250&amp;G1250&amp;D1250&lt;&gt;'Funnel setup'!$K$3&amp;'Funnel setup'!$K$4&amp;'Funnel setup'!$K$5,".",IF(A1249=".",1,A1249+1))</f>
        <v>.</v>
      </c>
      <c r="B1250" s="431" t="str">
        <f t="shared" si="19"/>
        <v>Hip Replacement PrimaryCCG of GP PracticeNHS GREAT YARMOUTH AND WAVENEY CCG (06M)EQ-5D Index</v>
      </c>
      <c r="C1250" t="s">
        <v>248</v>
      </c>
      <c r="D1250" t="s">
        <v>87</v>
      </c>
      <c r="E1250" t="s">
        <v>905</v>
      </c>
      <c r="F1250" t="s">
        <v>906</v>
      </c>
      <c r="G1250" t="s">
        <v>52</v>
      </c>
      <c r="H1250">
        <v>192</v>
      </c>
      <c r="I1250">
        <v>0.375</v>
      </c>
      <c r="J1250">
        <v>0.80600000000000005</v>
      </c>
      <c r="K1250">
        <v>0.43099999999999999</v>
      </c>
      <c r="L1250">
        <v>168</v>
      </c>
      <c r="M1250">
        <v>17</v>
      </c>
      <c r="N1250">
        <v>7</v>
      </c>
      <c r="O1250">
        <v>0.80300000000000005</v>
      </c>
      <c r="P1250">
        <v>0.44181129200000002</v>
      </c>
      <c r="Q1250">
        <v>0.23300000000000001</v>
      </c>
    </row>
    <row r="1251" spans="1:17" s="30" customFormat="1" x14ac:dyDescent="0.2">
      <c r="A1251" s="30" t="str">
        <f>IF(C1251&amp;G1251&amp;D1251&lt;&gt;'Funnel setup'!$K$3&amp;'Funnel setup'!$K$4&amp;'Funnel setup'!$K$5,".",IF(A1250=".",1,A1250+1))</f>
        <v>.</v>
      </c>
      <c r="B1251" s="431" t="str">
        <f t="shared" si="19"/>
        <v>Hip Replacement PrimaryCCG of GP PracticeNHS GREATER HUDDERSFIELD CCG (03A)EQ-5D Index</v>
      </c>
      <c r="C1251" t="s">
        <v>248</v>
      </c>
      <c r="D1251" t="s">
        <v>87</v>
      </c>
      <c r="E1251" t="s">
        <v>908</v>
      </c>
      <c r="F1251" t="s">
        <v>909</v>
      </c>
      <c r="G1251" t="s">
        <v>52</v>
      </c>
      <c r="H1251">
        <v>178</v>
      </c>
      <c r="I1251">
        <v>0.436</v>
      </c>
      <c r="J1251">
        <v>0.82699999999999996</v>
      </c>
      <c r="K1251">
        <v>0.39</v>
      </c>
      <c r="L1251">
        <v>157</v>
      </c>
      <c r="M1251">
        <v>11</v>
      </c>
      <c r="N1251">
        <v>10</v>
      </c>
      <c r="O1251">
        <v>0.81200000000000006</v>
      </c>
      <c r="P1251">
        <v>0.45060842099999998</v>
      </c>
      <c r="Q1251">
        <v>0.19400000000000001</v>
      </c>
    </row>
    <row r="1252" spans="1:17" s="30" customFormat="1" x14ac:dyDescent="0.2">
      <c r="A1252" s="30" t="str">
        <f>IF(C1252&amp;G1252&amp;D1252&lt;&gt;'Funnel setup'!$K$3&amp;'Funnel setup'!$K$4&amp;'Funnel setup'!$K$5,".",IF(A1251=".",1,A1251+1))</f>
        <v>.</v>
      </c>
      <c r="B1252" s="431" t="str">
        <f t="shared" si="19"/>
        <v>Hip Replacement PrimaryCCG of GP PracticeNHS GREATER PRESTON CCG (01E)EQ-5D Index</v>
      </c>
      <c r="C1252" t="s">
        <v>248</v>
      </c>
      <c r="D1252" t="s">
        <v>87</v>
      </c>
      <c r="E1252" t="s">
        <v>486</v>
      </c>
      <c r="F1252" t="s">
        <v>487</v>
      </c>
      <c r="G1252" t="s">
        <v>52</v>
      </c>
      <c r="H1252">
        <v>197</v>
      </c>
      <c r="I1252">
        <v>0.35699999999999998</v>
      </c>
      <c r="J1252">
        <v>0.78300000000000003</v>
      </c>
      <c r="K1252">
        <v>0.42599999999999999</v>
      </c>
      <c r="L1252">
        <v>169</v>
      </c>
      <c r="M1252">
        <v>13</v>
      </c>
      <c r="N1252">
        <v>15</v>
      </c>
      <c r="O1252">
        <v>0.79</v>
      </c>
      <c r="P1252">
        <v>0.42828459699999999</v>
      </c>
      <c r="Q1252">
        <v>0.22500000000000001</v>
      </c>
    </row>
    <row r="1253" spans="1:17" s="30" customFormat="1" x14ac:dyDescent="0.2">
      <c r="A1253" s="30" t="str">
        <f>IF(C1253&amp;G1253&amp;D1253&lt;&gt;'Funnel setup'!$K$3&amp;'Funnel setup'!$K$4&amp;'Funnel setup'!$K$5,".",IF(A1252=".",1,A1252+1))</f>
        <v>.</v>
      </c>
      <c r="B1253" s="431" t="str">
        <f t="shared" si="19"/>
        <v>Hip Replacement PrimaryCCG of GP PracticeNHS GREENWICH CCG (08A)EQ-5D Index</v>
      </c>
      <c r="C1253" t="s">
        <v>248</v>
      </c>
      <c r="D1253" t="s">
        <v>87</v>
      </c>
      <c r="E1253" t="s">
        <v>489</v>
      </c>
      <c r="F1253" t="s">
        <v>490</v>
      </c>
      <c r="G1253" t="s">
        <v>52</v>
      </c>
      <c r="H1253">
        <v>69</v>
      </c>
      <c r="I1253">
        <v>0.29899999999999999</v>
      </c>
      <c r="J1253">
        <v>0.76600000000000001</v>
      </c>
      <c r="K1253">
        <v>0.46700000000000003</v>
      </c>
      <c r="L1253">
        <v>60</v>
      </c>
      <c r="M1253">
        <v>6</v>
      </c>
      <c r="N1253">
        <v>3</v>
      </c>
      <c r="O1253">
        <v>0.81100000000000005</v>
      </c>
      <c r="P1253">
        <v>0.44920686100000001</v>
      </c>
      <c r="Q1253">
        <v>0.20899999999999999</v>
      </c>
    </row>
    <row r="1254" spans="1:17" s="30" customFormat="1" x14ac:dyDescent="0.2">
      <c r="A1254" s="30" t="str">
        <f>IF(C1254&amp;G1254&amp;D1254&lt;&gt;'Funnel setup'!$K$3&amp;'Funnel setup'!$K$4&amp;'Funnel setup'!$K$5,".",IF(A1253=".",1,A1253+1))</f>
        <v>.</v>
      </c>
      <c r="B1254" s="431" t="str">
        <f t="shared" si="19"/>
        <v>Hip Replacement PrimaryCCG of GP PracticeNHS GUILDFORD AND WAVERLEY CCG (09N)EQ-5D Index</v>
      </c>
      <c r="C1254" t="s">
        <v>248</v>
      </c>
      <c r="D1254" t="s">
        <v>87</v>
      </c>
      <c r="E1254" t="s">
        <v>911</v>
      </c>
      <c r="F1254" t="s">
        <v>912</v>
      </c>
      <c r="G1254" t="s">
        <v>52</v>
      </c>
      <c r="H1254">
        <v>135</v>
      </c>
      <c r="I1254">
        <v>0.432</v>
      </c>
      <c r="J1254">
        <v>0.85499999999999998</v>
      </c>
      <c r="K1254">
        <v>0.42199999999999999</v>
      </c>
      <c r="L1254">
        <v>126</v>
      </c>
      <c r="M1254">
        <v>5</v>
      </c>
      <c r="N1254">
        <v>4</v>
      </c>
      <c r="O1254">
        <v>0.81599999999999995</v>
      </c>
      <c r="P1254">
        <v>0.45421281299999999</v>
      </c>
      <c r="Q1254">
        <v>0.20899999999999999</v>
      </c>
    </row>
    <row r="1255" spans="1:17" s="30" customFormat="1" x14ac:dyDescent="0.2">
      <c r="A1255" s="30" t="str">
        <f>IF(C1255&amp;G1255&amp;D1255&lt;&gt;'Funnel setup'!$K$3&amp;'Funnel setup'!$K$4&amp;'Funnel setup'!$K$5,".",IF(A1254=".",1,A1254+1))</f>
        <v>.</v>
      </c>
      <c r="B1255" s="431" t="str">
        <f t="shared" si="19"/>
        <v>Hip Replacement PrimaryCCG of GP PracticeNHS HALTON CCG (01F)EQ-5D Index</v>
      </c>
      <c r="C1255" t="s">
        <v>248</v>
      </c>
      <c r="D1255" t="s">
        <v>87</v>
      </c>
      <c r="E1255" t="s">
        <v>914</v>
      </c>
      <c r="F1255" t="s">
        <v>915</v>
      </c>
      <c r="G1255" t="s">
        <v>52</v>
      </c>
      <c r="H1255">
        <v>70</v>
      </c>
      <c r="I1255">
        <v>0.27</v>
      </c>
      <c r="J1255">
        <v>0.72299999999999998</v>
      </c>
      <c r="K1255">
        <v>0.45400000000000001</v>
      </c>
      <c r="L1255">
        <v>61</v>
      </c>
      <c r="M1255">
        <v>4</v>
      </c>
      <c r="N1255">
        <v>5</v>
      </c>
      <c r="O1255">
        <v>0.75700000000000001</v>
      </c>
      <c r="P1255">
        <v>0.39530940599999997</v>
      </c>
      <c r="Q1255">
        <v>0.251</v>
      </c>
    </row>
    <row r="1256" spans="1:17" s="30" customFormat="1" x14ac:dyDescent="0.2">
      <c r="A1256" s="30" t="str">
        <f>IF(C1256&amp;G1256&amp;D1256&lt;&gt;'Funnel setup'!$K$3&amp;'Funnel setup'!$K$4&amp;'Funnel setup'!$K$5,".",IF(A1255=".",1,A1255+1))</f>
        <v>.</v>
      </c>
      <c r="B1256" s="431" t="str">
        <f t="shared" si="19"/>
        <v>Hip Replacement PrimaryCCG of GP PracticeNHS HAMBLETON, RICHMONDSHIRE AND WHITBY CCG (03D)EQ-5D Index</v>
      </c>
      <c r="C1256" t="s">
        <v>248</v>
      </c>
      <c r="D1256" t="s">
        <v>87</v>
      </c>
      <c r="E1256" t="s">
        <v>917</v>
      </c>
      <c r="F1256" t="s">
        <v>918</v>
      </c>
      <c r="G1256" t="s">
        <v>52</v>
      </c>
      <c r="H1256">
        <v>192</v>
      </c>
      <c r="I1256">
        <v>0.39400000000000002</v>
      </c>
      <c r="J1256">
        <v>0.82399999999999995</v>
      </c>
      <c r="K1256">
        <v>0.43</v>
      </c>
      <c r="L1256">
        <v>177</v>
      </c>
      <c r="M1256">
        <v>8</v>
      </c>
      <c r="N1256">
        <v>7</v>
      </c>
      <c r="O1256">
        <v>0.79700000000000004</v>
      </c>
      <c r="P1256">
        <v>0.43514620500000001</v>
      </c>
      <c r="Q1256">
        <v>0.20399999999999999</v>
      </c>
    </row>
    <row r="1257" spans="1:17" s="30" customFormat="1" x14ac:dyDescent="0.2">
      <c r="A1257" s="30" t="str">
        <f>IF(C1257&amp;G1257&amp;D1257&lt;&gt;'Funnel setup'!$K$3&amp;'Funnel setup'!$K$4&amp;'Funnel setup'!$K$5,".",IF(A1256=".",1,A1256+1))</f>
        <v>.</v>
      </c>
      <c r="B1257" s="431" t="str">
        <f t="shared" si="19"/>
        <v>Hip Replacement PrimaryCCG of GP PracticeNHS HAMMERSMITH AND FULHAM CCG (08C)EQ-5D Index</v>
      </c>
      <c r="C1257" t="s">
        <v>248</v>
      </c>
      <c r="D1257" t="s">
        <v>87</v>
      </c>
      <c r="E1257" t="s">
        <v>920</v>
      </c>
      <c r="F1257" t="s">
        <v>921</v>
      </c>
      <c r="G1257" t="s">
        <v>52</v>
      </c>
      <c r="H1257">
        <v>26</v>
      </c>
      <c r="I1257">
        <v>0.216</v>
      </c>
      <c r="J1257">
        <v>0.71799999999999997</v>
      </c>
      <c r="K1257">
        <v>0.502</v>
      </c>
      <c r="L1257">
        <v>24</v>
      </c>
      <c r="M1257">
        <v>1</v>
      </c>
      <c r="N1257">
        <v>1</v>
      </c>
      <c r="O1257" t="s">
        <v>53</v>
      </c>
      <c r="P1257" t="s">
        <v>53</v>
      </c>
      <c r="Q1257" t="s">
        <v>53</v>
      </c>
    </row>
    <row r="1258" spans="1:17" s="30" customFormat="1" x14ac:dyDescent="0.2">
      <c r="A1258" s="30" t="str">
        <f>IF(C1258&amp;G1258&amp;D1258&lt;&gt;'Funnel setup'!$K$3&amp;'Funnel setup'!$K$4&amp;'Funnel setup'!$K$5,".",IF(A1257=".",1,A1257+1))</f>
        <v>.</v>
      </c>
      <c r="B1258" s="431" t="str">
        <f t="shared" si="19"/>
        <v>Hip Replacement PrimaryCCG of GP PracticeNHS HARDWICK CCG (03Y)EQ-5D Index</v>
      </c>
      <c r="C1258" t="s">
        <v>248</v>
      </c>
      <c r="D1258" t="s">
        <v>87</v>
      </c>
      <c r="E1258" t="s">
        <v>923</v>
      </c>
      <c r="F1258" t="s">
        <v>924</v>
      </c>
      <c r="G1258" t="s">
        <v>52</v>
      </c>
      <c r="H1258">
        <v>91</v>
      </c>
      <c r="I1258">
        <v>0.26100000000000001</v>
      </c>
      <c r="J1258">
        <v>0.77100000000000002</v>
      </c>
      <c r="K1258">
        <v>0.51</v>
      </c>
      <c r="L1258">
        <v>82</v>
      </c>
      <c r="M1258">
        <v>4</v>
      </c>
      <c r="N1258">
        <v>5</v>
      </c>
      <c r="O1258">
        <v>0.82299999999999995</v>
      </c>
      <c r="P1258">
        <v>0.461194614</v>
      </c>
      <c r="Q1258">
        <v>0.25600000000000001</v>
      </c>
    </row>
    <row r="1259" spans="1:17" s="30" customFormat="1" x14ac:dyDescent="0.2">
      <c r="A1259" s="30" t="str">
        <f>IF(C1259&amp;G1259&amp;D1259&lt;&gt;'Funnel setup'!$K$3&amp;'Funnel setup'!$K$4&amp;'Funnel setup'!$K$5,".",IF(A1258=".",1,A1258+1))</f>
        <v>.</v>
      </c>
      <c r="B1259" s="431" t="str">
        <f t="shared" si="19"/>
        <v>Hip Replacement PrimaryCCG of GP PracticeNHS HARINGEY CCG (08D)EQ-5D Index</v>
      </c>
      <c r="C1259" t="s">
        <v>248</v>
      </c>
      <c r="D1259" t="s">
        <v>87</v>
      </c>
      <c r="E1259" t="s">
        <v>926</v>
      </c>
      <c r="F1259" t="s">
        <v>927</v>
      </c>
      <c r="G1259" t="s">
        <v>52</v>
      </c>
      <c r="H1259">
        <v>27</v>
      </c>
      <c r="I1259">
        <v>0.32300000000000001</v>
      </c>
      <c r="J1259">
        <v>0.71699999999999997</v>
      </c>
      <c r="K1259">
        <v>0.39400000000000002</v>
      </c>
      <c r="L1259">
        <v>24</v>
      </c>
      <c r="M1259">
        <v>1</v>
      </c>
      <c r="N1259">
        <v>2</v>
      </c>
      <c r="O1259" t="s">
        <v>53</v>
      </c>
      <c r="P1259" t="s">
        <v>53</v>
      </c>
      <c r="Q1259" t="s">
        <v>53</v>
      </c>
    </row>
    <row r="1260" spans="1:17" s="30" customFormat="1" x14ac:dyDescent="0.2">
      <c r="A1260" s="30" t="str">
        <f>IF(C1260&amp;G1260&amp;D1260&lt;&gt;'Funnel setup'!$K$3&amp;'Funnel setup'!$K$4&amp;'Funnel setup'!$K$5,".",IF(A1259=".",1,A1259+1))</f>
        <v>.</v>
      </c>
      <c r="B1260" s="431" t="str">
        <f t="shared" si="19"/>
        <v>Hip Replacement PrimaryCCG of GP PracticeNHS HARROGATE AND RURAL DISTRICT CCG (03E)EQ-5D Index</v>
      </c>
      <c r="C1260" t="s">
        <v>248</v>
      </c>
      <c r="D1260" t="s">
        <v>87</v>
      </c>
      <c r="E1260" t="s">
        <v>929</v>
      </c>
      <c r="F1260" t="s">
        <v>930</v>
      </c>
      <c r="G1260" t="s">
        <v>52</v>
      </c>
      <c r="H1260">
        <v>177</v>
      </c>
      <c r="I1260">
        <v>0.35599999999999998</v>
      </c>
      <c r="J1260">
        <v>0.80300000000000005</v>
      </c>
      <c r="K1260">
        <v>0.44700000000000001</v>
      </c>
      <c r="L1260">
        <v>161</v>
      </c>
      <c r="M1260">
        <v>7</v>
      </c>
      <c r="N1260">
        <v>9</v>
      </c>
      <c r="O1260">
        <v>0.78800000000000003</v>
      </c>
      <c r="P1260">
        <v>0.42666898199999997</v>
      </c>
      <c r="Q1260">
        <v>0.23300000000000001</v>
      </c>
    </row>
    <row r="1261" spans="1:17" s="30" customFormat="1" x14ac:dyDescent="0.2">
      <c r="A1261" s="30" t="str">
        <f>IF(C1261&amp;G1261&amp;D1261&lt;&gt;'Funnel setup'!$K$3&amp;'Funnel setup'!$K$4&amp;'Funnel setup'!$K$5,".",IF(A1260=".",1,A1260+1))</f>
        <v>.</v>
      </c>
      <c r="B1261" s="431" t="str">
        <f t="shared" si="19"/>
        <v>Hip Replacement PrimaryCCG of GP PracticeNHS HARROW CCG (08E)EQ-5D Index</v>
      </c>
      <c r="C1261" t="s">
        <v>248</v>
      </c>
      <c r="D1261" t="s">
        <v>87</v>
      </c>
      <c r="E1261" t="s">
        <v>492</v>
      </c>
      <c r="F1261" t="s">
        <v>493</v>
      </c>
      <c r="G1261" t="s">
        <v>52</v>
      </c>
      <c r="H1261">
        <v>67</v>
      </c>
      <c r="I1261">
        <v>0.38800000000000001</v>
      </c>
      <c r="J1261">
        <v>0.77500000000000002</v>
      </c>
      <c r="K1261">
        <v>0.38700000000000001</v>
      </c>
      <c r="L1261">
        <v>60</v>
      </c>
      <c r="M1261">
        <v>4</v>
      </c>
      <c r="N1261">
        <v>3</v>
      </c>
      <c r="O1261">
        <v>0.77900000000000003</v>
      </c>
      <c r="P1261">
        <v>0.41709909699999997</v>
      </c>
      <c r="Q1261">
        <v>0.23200000000000001</v>
      </c>
    </row>
    <row r="1262" spans="1:17" s="30" customFormat="1" x14ac:dyDescent="0.2">
      <c r="A1262" s="30" t="str">
        <f>IF(C1262&amp;G1262&amp;D1262&lt;&gt;'Funnel setup'!$K$3&amp;'Funnel setup'!$K$4&amp;'Funnel setup'!$K$5,".",IF(A1261=".",1,A1261+1))</f>
        <v>.</v>
      </c>
      <c r="B1262" s="431" t="str">
        <f t="shared" si="19"/>
        <v>Hip Replacement PrimaryCCG of GP PracticeNHS HARTLEPOOL AND STOCKTON-ON-TEES CCG (00K)EQ-5D Index</v>
      </c>
      <c r="C1262" t="s">
        <v>248</v>
      </c>
      <c r="D1262" t="s">
        <v>87</v>
      </c>
      <c r="E1262" t="s">
        <v>495</v>
      </c>
      <c r="F1262" t="s">
        <v>496</v>
      </c>
      <c r="G1262" t="s">
        <v>52</v>
      </c>
      <c r="H1262">
        <v>244</v>
      </c>
      <c r="I1262">
        <v>0.28499999999999998</v>
      </c>
      <c r="J1262">
        <v>0.76900000000000002</v>
      </c>
      <c r="K1262">
        <v>0.48399999999999999</v>
      </c>
      <c r="L1262">
        <v>228</v>
      </c>
      <c r="M1262">
        <v>8</v>
      </c>
      <c r="N1262">
        <v>8</v>
      </c>
      <c r="O1262">
        <v>0.80100000000000005</v>
      </c>
      <c r="P1262">
        <v>0.43907372900000002</v>
      </c>
      <c r="Q1262">
        <v>0.21199999999999999</v>
      </c>
    </row>
    <row r="1263" spans="1:17" s="30" customFormat="1" x14ac:dyDescent="0.2">
      <c r="A1263" s="30" t="str">
        <f>IF(C1263&amp;G1263&amp;D1263&lt;&gt;'Funnel setup'!$K$3&amp;'Funnel setup'!$K$4&amp;'Funnel setup'!$K$5,".",IF(A1262=".",1,A1262+1))</f>
        <v>.</v>
      </c>
      <c r="B1263" s="431" t="str">
        <f t="shared" si="19"/>
        <v>Hip Replacement PrimaryCCG of GP PracticeNHS HASTINGS AND ROTHER CCG (09P)EQ-5D Index</v>
      </c>
      <c r="C1263" t="s">
        <v>248</v>
      </c>
      <c r="D1263" t="s">
        <v>87</v>
      </c>
      <c r="E1263" t="s">
        <v>498</v>
      </c>
      <c r="F1263" t="s">
        <v>499</v>
      </c>
      <c r="G1263" t="s">
        <v>52</v>
      </c>
      <c r="H1263">
        <v>208</v>
      </c>
      <c r="I1263">
        <v>0.42699999999999999</v>
      </c>
      <c r="J1263">
        <v>0.82599999999999996</v>
      </c>
      <c r="K1263">
        <v>0.39900000000000002</v>
      </c>
      <c r="L1263">
        <v>181</v>
      </c>
      <c r="M1263">
        <v>19</v>
      </c>
      <c r="N1263">
        <v>8</v>
      </c>
      <c r="O1263">
        <v>0.81899999999999995</v>
      </c>
      <c r="P1263">
        <v>0.45727613</v>
      </c>
      <c r="Q1263">
        <v>0.217</v>
      </c>
    </row>
    <row r="1264" spans="1:17" s="30" customFormat="1" x14ac:dyDescent="0.2">
      <c r="A1264" s="30" t="str">
        <f>IF(C1264&amp;G1264&amp;D1264&lt;&gt;'Funnel setup'!$K$3&amp;'Funnel setup'!$K$4&amp;'Funnel setup'!$K$5,".",IF(A1263=".",1,A1263+1))</f>
        <v>.</v>
      </c>
      <c r="B1264" s="431" t="str">
        <f t="shared" si="19"/>
        <v>Hip Replacement PrimaryCCG of GP PracticeNHS HAVERING CCG (08F)EQ-5D Index</v>
      </c>
      <c r="C1264" t="s">
        <v>248</v>
      </c>
      <c r="D1264" t="s">
        <v>87</v>
      </c>
      <c r="E1264" t="s">
        <v>501</v>
      </c>
      <c r="F1264" t="s">
        <v>502</v>
      </c>
      <c r="G1264" t="s">
        <v>52</v>
      </c>
      <c r="H1264">
        <v>111</v>
      </c>
      <c r="I1264">
        <v>0.27900000000000003</v>
      </c>
      <c r="J1264">
        <v>0.76600000000000001</v>
      </c>
      <c r="K1264">
        <v>0.48699999999999999</v>
      </c>
      <c r="L1264">
        <v>96</v>
      </c>
      <c r="M1264">
        <v>9</v>
      </c>
      <c r="N1264">
        <v>6</v>
      </c>
      <c r="O1264">
        <v>0.78300000000000003</v>
      </c>
      <c r="P1264">
        <v>0.42136734100000001</v>
      </c>
      <c r="Q1264">
        <v>0.20799999999999999</v>
      </c>
    </row>
    <row r="1265" spans="1:17" s="30" customFormat="1" x14ac:dyDescent="0.2">
      <c r="A1265" s="30" t="str">
        <f>IF(C1265&amp;G1265&amp;D1265&lt;&gt;'Funnel setup'!$K$3&amp;'Funnel setup'!$K$4&amp;'Funnel setup'!$K$5,".",IF(A1264=".",1,A1264+1))</f>
        <v>.</v>
      </c>
      <c r="B1265" s="431" t="str">
        <f t="shared" si="19"/>
        <v>Hip Replacement PrimaryCCG of GP PracticeNHS HEREFORDSHIRE CCG (05F)EQ-5D Index</v>
      </c>
      <c r="C1265" t="s">
        <v>248</v>
      </c>
      <c r="D1265" t="s">
        <v>87</v>
      </c>
      <c r="E1265" t="s">
        <v>504</v>
      </c>
      <c r="F1265" t="s">
        <v>505</v>
      </c>
      <c r="G1265" t="s">
        <v>52</v>
      </c>
      <c r="H1265">
        <v>181</v>
      </c>
      <c r="I1265">
        <v>0.35799999999999998</v>
      </c>
      <c r="J1265">
        <v>0.85299999999999998</v>
      </c>
      <c r="K1265">
        <v>0.495</v>
      </c>
      <c r="L1265">
        <v>167</v>
      </c>
      <c r="M1265">
        <v>11</v>
      </c>
      <c r="N1265">
        <v>3</v>
      </c>
      <c r="O1265">
        <v>0.84</v>
      </c>
      <c r="P1265">
        <v>0.478033392</v>
      </c>
      <c r="Q1265">
        <v>0.189</v>
      </c>
    </row>
    <row r="1266" spans="1:17" s="30" customFormat="1" x14ac:dyDescent="0.2">
      <c r="A1266" s="30" t="str">
        <f>IF(C1266&amp;G1266&amp;D1266&lt;&gt;'Funnel setup'!$K$3&amp;'Funnel setup'!$K$4&amp;'Funnel setup'!$K$5,".",IF(A1265=".",1,A1265+1))</f>
        <v>.</v>
      </c>
      <c r="B1266" s="431" t="str">
        <f t="shared" si="19"/>
        <v>Hip Replacement PrimaryCCG of GP PracticeNHS HERTS VALLEYS CCG (06N)EQ-5D Index</v>
      </c>
      <c r="C1266" t="s">
        <v>248</v>
      </c>
      <c r="D1266" t="s">
        <v>87</v>
      </c>
      <c r="E1266" t="s">
        <v>507</v>
      </c>
      <c r="F1266" t="s">
        <v>508</v>
      </c>
      <c r="G1266" t="s">
        <v>52</v>
      </c>
      <c r="H1266">
        <v>310</v>
      </c>
      <c r="I1266">
        <v>0.377</v>
      </c>
      <c r="J1266">
        <v>0.81399999999999995</v>
      </c>
      <c r="K1266">
        <v>0.437</v>
      </c>
      <c r="L1266">
        <v>274</v>
      </c>
      <c r="M1266">
        <v>18</v>
      </c>
      <c r="N1266">
        <v>18</v>
      </c>
      <c r="O1266">
        <v>0.8</v>
      </c>
      <c r="P1266">
        <v>0.438164416</v>
      </c>
      <c r="Q1266">
        <v>0.219</v>
      </c>
    </row>
    <row r="1267" spans="1:17" s="30" customFormat="1" x14ac:dyDescent="0.2">
      <c r="A1267" s="30" t="str">
        <f>IF(C1267&amp;G1267&amp;D1267&lt;&gt;'Funnel setup'!$K$3&amp;'Funnel setup'!$K$4&amp;'Funnel setup'!$K$5,".",IF(A1266=".",1,A1266+1))</f>
        <v>.</v>
      </c>
      <c r="B1267" s="431" t="str">
        <f t="shared" si="19"/>
        <v>Hip Replacement PrimaryCCG of GP PracticeNHS HEYWOOD, MIDDLETON AND ROCHDALE CCG (01D)EQ-5D Index</v>
      </c>
      <c r="C1267" t="s">
        <v>248</v>
      </c>
      <c r="D1267" t="s">
        <v>87</v>
      </c>
      <c r="E1267" t="s">
        <v>510</v>
      </c>
      <c r="F1267" t="s">
        <v>511</v>
      </c>
      <c r="G1267" t="s">
        <v>52</v>
      </c>
      <c r="H1267">
        <v>66</v>
      </c>
      <c r="I1267">
        <v>0.29799999999999999</v>
      </c>
      <c r="J1267">
        <v>0.72599999999999998</v>
      </c>
      <c r="K1267">
        <v>0.42799999999999999</v>
      </c>
      <c r="L1267">
        <v>58</v>
      </c>
      <c r="M1267">
        <v>5</v>
      </c>
      <c r="N1267">
        <v>3</v>
      </c>
      <c r="O1267">
        <v>0.748</v>
      </c>
      <c r="P1267">
        <v>0.38683936099999999</v>
      </c>
      <c r="Q1267">
        <v>0.29199999999999998</v>
      </c>
    </row>
    <row r="1268" spans="1:17" s="30" customFormat="1" x14ac:dyDescent="0.2">
      <c r="A1268" s="30" t="str">
        <f>IF(C1268&amp;G1268&amp;D1268&lt;&gt;'Funnel setup'!$K$3&amp;'Funnel setup'!$K$4&amp;'Funnel setup'!$K$5,".",IF(A1267=".",1,A1267+1))</f>
        <v>.</v>
      </c>
      <c r="B1268" s="431" t="str">
        <f t="shared" si="19"/>
        <v>Hip Replacement PrimaryCCG of GP PracticeNHS HIGH WEALD LEWES HAVENS CCG (99K)EQ-5D Index</v>
      </c>
      <c r="C1268" t="s">
        <v>248</v>
      </c>
      <c r="D1268" t="s">
        <v>87</v>
      </c>
      <c r="E1268" t="s">
        <v>513</v>
      </c>
      <c r="F1268" t="s">
        <v>514</v>
      </c>
      <c r="G1268" t="s">
        <v>52</v>
      </c>
      <c r="H1268">
        <v>204</v>
      </c>
      <c r="I1268">
        <v>0.48799999999999999</v>
      </c>
      <c r="J1268">
        <v>0.83199999999999996</v>
      </c>
      <c r="K1268">
        <v>0.34399999999999997</v>
      </c>
      <c r="L1268">
        <v>173</v>
      </c>
      <c r="M1268">
        <v>14</v>
      </c>
      <c r="N1268">
        <v>17</v>
      </c>
      <c r="O1268">
        <v>0.79700000000000004</v>
      </c>
      <c r="P1268">
        <v>0.43551221000000001</v>
      </c>
      <c r="Q1268">
        <v>0.193</v>
      </c>
    </row>
    <row r="1269" spans="1:17" s="30" customFormat="1" x14ac:dyDescent="0.2">
      <c r="A1269" s="30" t="str">
        <f>IF(C1269&amp;G1269&amp;D1269&lt;&gt;'Funnel setup'!$K$3&amp;'Funnel setup'!$K$4&amp;'Funnel setup'!$K$5,".",IF(A1268=".",1,A1268+1))</f>
        <v>.</v>
      </c>
      <c r="B1269" s="431" t="str">
        <f t="shared" si="19"/>
        <v>Hip Replacement PrimaryCCG of GP PracticeNHS HILLINGDON CCG (08G)EQ-5D Index</v>
      </c>
      <c r="C1269" t="s">
        <v>248</v>
      </c>
      <c r="D1269" t="s">
        <v>87</v>
      </c>
      <c r="E1269" t="s">
        <v>516</v>
      </c>
      <c r="F1269" t="s">
        <v>517</v>
      </c>
      <c r="G1269" t="s">
        <v>52</v>
      </c>
      <c r="H1269">
        <v>133</v>
      </c>
      <c r="I1269">
        <v>0.38600000000000001</v>
      </c>
      <c r="J1269">
        <v>0.79200000000000004</v>
      </c>
      <c r="K1269">
        <v>0.40600000000000003</v>
      </c>
      <c r="L1269">
        <v>116</v>
      </c>
      <c r="M1269">
        <v>8</v>
      </c>
      <c r="N1269">
        <v>9</v>
      </c>
      <c r="O1269">
        <v>0.79600000000000004</v>
      </c>
      <c r="P1269">
        <v>0.434368001</v>
      </c>
      <c r="Q1269">
        <v>0.23699999999999999</v>
      </c>
    </row>
    <row r="1270" spans="1:17" s="30" customFormat="1" x14ac:dyDescent="0.2">
      <c r="A1270" s="30" t="str">
        <f>IF(C1270&amp;G1270&amp;D1270&lt;&gt;'Funnel setup'!$K$3&amp;'Funnel setup'!$K$4&amp;'Funnel setup'!$K$5,".",IF(A1269=".",1,A1269+1))</f>
        <v>.</v>
      </c>
      <c r="B1270" s="431" t="str">
        <f t="shared" si="19"/>
        <v>Hip Replacement PrimaryCCG of GP PracticeNHS HORSHAM AND MID SUSSEX CCG (09X)EQ-5D Index</v>
      </c>
      <c r="C1270" t="s">
        <v>248</v>
      </c>
      <c r="D1270" t="s">
        <v>87</v>
      </c>
      <c r="E1270" t="s">
        <v>519</v>
      </c>
      <c r="F1270" t="s">
        <v>520</v>
      </c>
      <c r="G1270" t="s">
        <v>52</v>
      </c>
      <c r="H1270">
        <v>171</v>
      </c>
      <c r="I1270">
        <v>0.497</v>
      </c>
      <c r="J1270">
        <v>0.83199999999999996</v>
      </c>
      <c r="K1270">
        <v>0.33500000000000002</v>
      </c>
      <c r="L1270">
        <v>141</v>
      </c>
      <c r="M1270">
        <v>17</v>
      </c>
      <c r="N1270">
        <v>13</v>
      </c>
      <c r="O1270">
        <v>0.77800000000000002</v>
      </c>
      <c r="P1270">
        <v>0.41663967200000002</v>
      </c>
      <c r="Q1270">
        <v>0.215</v>
      </c>
    </row>
    <row r="1271" spans="1:17" s="30" customFormat="1" x14ac:dyDescent="0.2">
      <c r="A1271" s="30" t="str">
        <f>IF(C1271&amp;G1271&amp;D1271&lt;&gt;'Funnel setup'!$K$3&amp;'Funnel setup'!$K$4&amp;'Funnel setup'!$K$5,".",IF(A1270=".",1,A1270+1))</f>
        <v>.</v>
      </c>
      <c r="B1271" s="431" t="str">
        <f t="shared" si="19"/>
        <v>Hip Replacement PrimaryCCG of GP PracticeNHS HOUNSLOW CCG (07Y)EQ-5D Index</v>
      </c>
      <c r="C1271" t="s">
        <v>248</v>
      </c>
      <c r="D1271" t="s">
        <v>87</v>
      </c>
      <c r="E1271" t="s">
        <v>522</v>
      </c>
      <c r="F1271" t="s">
        <v>523</v>
      </c>
      <c r="G1271" t="s">
        <v>52</v>
      </c>
      <c r="H1271">
        <v>61</v>
      </c>
      <c r="I1271">
        <v>0.38100000000000001</v>
      </c>
      <c r="J1271">
        <v>0.80800000000000005</v>
      </c>
      <c r="K1271">
        <v>0.42599999999999999</v>
      </c>
      <c r="L1271">
        <v>52</v>
      </c>
      <c r="M1271">
        <v>5</v>
      </c>
      <c r="N1271">
        <v>4</v>
      </c>
      <c r="O1271">
        <v>0.80300000000000005</v>
      </c>
      <c r="P1271">
        <v>0.44101129900000002</v>
      </c>
      <c r="Q1271">
        <v>0.19600000000000001</v>
      </c>
    </row>
    <row r="1272" spans="1:17" s="30" customFormat="1" x14ac:dyDescent="0.2">
      <c r="A1272" s="30" t="str">
        <f>IF(C1272&amp;G1272&amp;D1272&lt;&gt;'Funnel setup'!$K$3&amp;'Funnel setup'!$K$4&amp;'Funnel setup'!$K$5,".",IF(A1271=".",1,A1271+1))</f>
        <v>.</v>
      </c>
      <c r="B1272" s="431" t="str">
        <f t="shared" si="19"/>
        <v>Hip Replacement PrimaryCCG of GP PracticeNHS HULL CCG (03F)EQ-5D Index</v>
      </c>
      <c r="C1272" t="s">
        <v>248</v>
      </c>
      <c r="D1272" t="s">
        <v>87</v>
      </c>
      <c r="E1272" t="s">
        <v>525</v>
      </c>
      <c r="F1272" t="s">
        <v>526</v>
      </c>
      <c r="G1272" t="s">
        <v>52</v>
      </c>
      <c r="H1272">
        <v>175</v>
      </c>
      <c r="I1272">
        <v>0.36399999999999999</v>
      </c>
      <c r="J1272">
        <v>0.73299999999999998</v>
      </c>
      <c r="K1272">
        <v>0.36799999999999999</v>
      </c>
      <c r="L1272">
        <v>144</v>
      </c>
      <c r="M1272">
        <v>12</v>
      </c>
      <c r="N1272">
        <v>19</v>
      </c>
      <c r="O1272">
        <v>0.74299999999999999</v>
      </c>
      <c r="P1272">
        <v>0.381742101</v>
      </c>
      <c r="Q1272">
        <v>0.25700000000000001</v>
      </c>
    </row>
    <row r="1273" spans="1:17" s="30" customFormat="1" x14ac:dyDescent="0.2">
      <c r="A1273" s="30" t="str">
        <f>IF(C1273&amp;G1273&amp;D1273&lt;&gt;'Funnel setup'!$K$3&amp;'Funnel setup'!$K$4&amp;'Funnel setup'!$K$5,".",IF(A1272=".",1,A1272+1))</f>
        <v>.</v>
      </c>
      <c r="B1273" s="431" t="str">
        <f t="shared" si="19"/>
        <v>Hip Replacement PrimaryCCG of GP PracticeNHS IPSWICH AND EAST SUFFOLK CCG (06L)EQ-5D Index</v>
      </c>
      <c r="C1273" t="s">
        <v>248</v>
      </c>
      <c r="D1273" t="s">
        <v>87</v>
      </c>
      <c r="E1273" t="s">
        <v>528</v>
      </c>
      <c r="F1273" t="s">
        <v>529</v>
      </c>
      <c r="G1273" t="s">
        <v>52</v>
      </c>
      <c r="H1273">
        <v>270</v>
      </c>
      <c r="I1273">
        <v>0.28599999999999998</v>
      </c>
      <c r="J1273">
        <v>0.79100000000000004</v>
      </c>
      <c r="K1273">
        <v>0.505</v>
      </c>
      <c r="L1273">
        <v>243</v>
      </c>
      <c r="M1273">
        <v>9</v>
      </c>
      <c r="N1273">
        <v>18</v>
      </c>
      <c r="O1273">
        <v>0.80100000000000005</v>
      </c>
      <c r="P1273">
        <v>0.43972349199999999</v>
      </c>
      <c r="Q1273">
        <v>0.26</v>
      </c>
    </row>
    <row r="1274" spans="1:17" s="30" customFormat="1" x14ac:dyDescent="0.2">
      <c r="A1274" s="30" t="str">
        <f>IF(C1274&amp;G1274&amp;D1274&lt;&gt;'Funnel setup'!$K$3&amp;'Funnel setup'!$K$4&amp;'Funnel setup'!$K$5,".",IF(A1273=".",1,A1273+1))</f>
        <v>.</v>
      </c>
      <c r="B1274" s="431" t="str">
        <f t="shared" si="19"/>
        <v>Hip Replacement PrimaryCCG of GP PracticeNHS ISLE OF WIGHT CCG (10L)EQ-5D Index</v>
      </c>
      <c r="C1274" t="s">
        <v>248</v>
      </c>
      <c r="D1274" t="s">
        <v>87</v>
      </c>
      <c r="E1274" t="s">
        <v>531</v>
      </c>
      <c r="F1274" t="s">
        <v>532</v>
      </c>
      <c r="G1274" t="s">
        <v>52</v>
      </c>
      <c r="H1274">
        <v>100</v>
      </c>
      <c r="I1274">
        <v>0.39400000000000002</v>
      </c>
      <c r="J1274">
        <v>0.78800000000000003</v>
      </c>
      <c r="K1274">
        <v>0.39400000000000002</v>
      </c>
      <c r="L1274">
        <v>86</v>
      </c>
      <c r="M1274">
        <v>7</v>
      </c>
      <c r="N1274">
        <v>7</v>
      </c>
      <c r="O1274">
        <v>0.78700000000000003</v>
      </c>
      <c r="P1274">
        <v>0.42554071700000001</v>
      </c>
      <c r="Q1274">
        <v>0.221</v>
      </c>
    </row>
    <row r="1275" spans="1:17" s="30" customFormat="1" x14ac:dyDescent="0.2">
      <c r="A1275" s="30" t="str">
        <f>IF(C1275&amp;G1275&amp;D1275&lt;&gt;'Funnel setup'!$K$3&amp;'Funnel setup'!$K$4&amp;'Funnel setup'!$K$5,".",IF(A1274=".",1,A1274+1))</f>
        <v>.</v>
      </c>
      <c r="B1275" s="431" t="str">
        <f t="shared" si="19"/>
        <v>Hip Replacement PrimaryCCG of GP PracticeNHS ISLINGTON CCG (08H)EQ-5D Index</v>
      </c>
      <c r="C1275" t="s">
        <v>248</v>
      </c>
      <c r="D1275" t="s">
        <v>87</v>
      </c>
      <c r="E1275" t="s">
        <v>534</v>
      </c>
      <c r="F1275" t="s">
        <v>535</v>
      </c>
      <c r="G1275" t="s">
        <v>52</v>
      </c>
      <c r="H1275">
        <v>28</v>
      </c>
      <c r="I1275">
        <v>0.54</v>
      </c>
      <c r="J1275">
        <v>0.83699999999999997</v>
      </c>
      <c r="K1275">
        <v>0.29699999999999999</v>
      </c>
      <c r="L1275">
        <v>25</v>
      </c>
      <c r="M1275">
        <v>1</v>
      </c>
      <c r="N1275">
        <v>2</v>
      </c>
      <c r="O1275" t="s">
        <v>53</v>
      </c>
      <c r="P1275" t="s">
        <v>53</v>
      </c>
      <c r="Q1275" t="s">
        <v>53</v>
      </c>
    </row>
    <row r="1276" spans="1:17" s="30" customFormat="1" x14ac:dyDescent="0.2">
      <c r="A1276" s="30" t="str">
        <f>IF(C1276&amp;G1276&amp;D1276&lt;&gt;'Funnel setup'!$K$3&amp;'Funnel setup'!$K$4&amp;'Funnel setup'!$K$5,".",IF(A1275=".",1,A1275+1))</f>
        <v>.</v>
      </c>
      <c r="B1276" s="431" t="str">
        <f t="shared" si="19"/>
        <v>Hip Replacement PrimaryCCG of GP PracticeNHS KERNOW CCG (11N)EQ-5D Index</v>
      </c>
      <c r="C1276" t="s">
        <v>248</v>
      </c>
      <c r="D1276" t="s">
        <v>87</v>
      </c>
      <c r="E1276" t="s">
        <v>537</v>
      </c>
      <c r="F1276" t="s">
        <v>538</v>
      </c>
      <c r="G1276" t="s">
        <v>52</v>
      </c>
      <c r="H1276">
        <v>770</v>
      </c>
      <c r="I1276">
        <v>0.40500000000000003</v>
      </c>
      <c r="J1276">
        <v>0.80800000000000005</v>
      </c>
      <c r="K1276">
        <v>0.40300000000000002</v>
      </c>
      <c r="L1276">
        <v>686</v>
      </c>
      <c r="M1276">
        <v>49</v>
      </c>
      <c r="N1276">
        <v>35</v>
      </c>
      <c r="O1276">
        <v>0.8</v>
      </c>
      <c r="P1276">
        <v>0.43859155599999999</v>
      </c>
      <c r="Q1276">
        <v>0.20599999999999999</v>
      </c>
    </row>
    <row r="1277" spans="1:17" s="30" customFormat="1" x14ac:dyDescent="0.2">
      <c r="A1277" s="30" t="str">
        <f>IF(C1277&amp;G1277&amp;D1277&lt;&gt;'Funnel setup'!$K$3&amp;'Funnel setup'!$K$4&amp;'Funnel setup'!$K$5,".",IF(A1276=".",1,A1276+1))</f>
        <v>.</v>
      </c>
      <c r="B1277" s="431" t="str">
        <f t="shared" si="19"/>
        <v>Hip Replacement PrimaryCCG of GP PracticeNHS KINGSTON CCG (08J)EQ-5D Index</v>
      </c>
      <c r="C1277" t="s">
        <v>248</v>
      </c>
      <c r="D1277" t="s">
        <v>87</v>
      </c>
      <c r="E1277" t="s">
        <v>540</v>
      </c>
      <c r="F1277" t="s">
        <v>541</v>
      </c>
      <c r="G1277" t="s">
        <v>52</v>
      </c>
      <c r="H1277">
        <v>86</v>
      </c>
      <c r="I1277">
        <v>0.35799999999999998</v>
      </c>
      <c r="J1277">
        <v>0.79100000000000004</v>
      </c>
      <c r="K1277">
        <v>0.432</v>
      </c>
      <c r="L1277">
        <v>78</v>
      </c>
      <c r="M1277">
        <v>5</v>
      </c>
      <c r="N1277">
        <v>3</v>
      </c>
      <c r="O1277">
        <v>0.79200000000000004</v>
      </c>
      <c r="P1277">
        <v>0.43074138200000001</v>
      </c>
      <c r="Q1277">
        <v>0.249</v>
      </c>
    </row>
    <row r="1278" spans="1:17" s="30" customFormat="1" x14ac:dyDescent="0.2">
      <c r="A1278" s="30" t="str">
        <f>IF(C1278&amp;G1278&amp;D1278&lt;&gt;'Funnel setup'!$K$3&amp;'Funnel setup'!$K$4&amp;'Funnel setup'!$K$5,".",IF(A1277=".",1,A1277+1))</f>
        <v>.</v>
      </c>
      <c r="B1278" s="431" t="str">
        <f t="shared" si="19"/>
        <v>Hip Replacement PrimaryCCG of GP PracticeNHS KNOWSLEY CCG (01J)EQ-5D Index</v>
      </c>
      <c r="C1278" t="s">
        <v>248</v>
      </c>
      <c r="D1278" t="s">
        <v>87</v>
      </c>
      <c r="E1278" t="s">
        <v>543</v>
      </c>
      <c r="F1278" t="s">
        <v>544</v>
      </c>
      <c r="G1278" t="s">
        <v>52</v>
      </c>
      <c r="H1278">
        <v>67</v>
      </c>
      <c r="I1278">
        <v>0.19400000000000001</v>
      </c>
      <c r="J1278">
        <v>0.63900000000000001</v>
      </c>
      <c r="K1278">
        <v>0.44500000000000001</v>
      </c>
      <c r="L1278">
        <v>57</v>
      </c>
      <c r="M1278">
        <v>4</v>
      </c>
      <c r="N1278">
        <v>6</v>
      </c>
      <c r="O1278">
        <v>0.73099999999999998</v>
      </c>
      <c r="P1278">
        <v>0.36954015400000001</v>
      </c>
      <c r="Q1278">
        <v>0.33300000000000002</v>
      </c>
    </row>
    <row r="1279" spans="1:17" s="30" customFormat="1" x14ac:dyDescent="0.2">
      <c r="A1279" s="30" t="str">
        <f>IF(C1279&amp;G1279&amp;D1279&lt;&gt;'Funnel setup'!$K$3&amp;'Funnel setup'!$K$4&amp;'Funnel setup'!$K$5,".",IF(A1278=".",1,A1278+1))</f>
        <v>.</v>
      </c>
      <c r="B1279" s="431" t="str">
        <f t="shared" si="19"/>
        <v>Hip Replacement PrimaryCCG of GP PracticeNHS LAMBETH CCG (08K)EQ-5D Index</v>
      </c>
      <c r="C1279" t="s">
        <v>248</v>
      </c>
      <c r="D1279" t="s">
        <v>87</v>
      </c>
      <c r="E1279" t="s">
        <v>546</v>
      </c>
      <c r="F1279" t="s">
        <v>547</v>
      </c>
      <c r="G1279" t="s">
        <v>52</v>
      </c>
      <c r="H1279">
        <v>43</v>
      </c>
      <c r="I1279">
        <v>0.36699999999999999</v>
      </c>
      <c r="J1279">
        <v>0.81100000000000005</v>
      </c>
      <c r="K1279">
        <v>0.44500000000000001</v>
      </c>
      <c r="L1279">
        <v>38</v>
      </c>
      <c r="M1279">
        <v>2</v>
      </c>
      <c r="N1279">
        <v>3</v>
      </c>
      <c r="O1279">
        <v>0.83699999999999997</v>
      </c>
      <c r="P1279">
        <v>0.47583402800000002</v>
      </c>
      <c r="Q1279">
        <v>0.26</v>
      </c>
    </row>
    <row r="1280" spans="1:17" s="30" customFormat="1" x14ac:dyDescent="0.2">
      <c r="A1280" s="30" t="str">
        <f>IF(C1280&amp;G1280&amp;D1280&lt;&gt;'Funnel setup'!$K$3&amp;'Funnel setup'!$K$4&amp;'Funnel setup'!$K$5,".",IF(A1279=".",1,A1279+1))</f>
        <v>.</v>
      </c>
      <c r="B1280" s="431" t="str">
        <f t="shared" si="19"/>
        <v>Hip Replacement PrimaryCCG of GP PracticeNHS LANCASHIRE NORTH CCG (01K)EQ-5D Index</v>
      </c>
      <c r="C1280" t="s">
        <v>248</v>
      </c>
      <c r="D1280" t="s">
        <v>87</v>
      </c>
      <c r="E1280" t="s">
        <v>549</v>
      </c>
      <c r="F1280" t="s">
        <v>550</v>
      </c>
      <c r="G1280" t="s">
        <v>52</v>
      </c>
      <c r="H1280">
        <v>137</v>
      </c>
      <c r="I1280">
        <v>0.40300000000000002</v>
      </c>
      <c r="J1280">
        <v>0.8</v>
      </c>
      <c r="K1280">
        <v>0.39700000000000002</v>
      </c>
      <c r="L1280">
        <v>118</v>
      </c>
      <c r="M1280">
        <v>10</v>
      </c>
      <c r="N1280">
        <v>9</v>
      </c>
      <c r="O1280">
        <v>0.79500000000000004</v>
      </c>
      <c r="P1280">
        <v>0.4331643</v>
      </c>
      <c r="Q1280">
        <v>0.217</v>
      </c>
    </row>
    <row r="1281" spans="1:17" s="30" customFormat="1" x14ac:dyDescent="0.2">
      <c r="A1281" s="30" t="str">
        <f>IF(C1281&amp;G1281&amp;D1281&lt;&gt;'Funnel setup'!$K$3&amp;'Funnel setup'!$K$4&amp;'Funnel setup'!$K$5,".",IF(A1280=".",1,A1280+1))</f>
        <v>.</v>
      </c>
      <c r="B1281" s="431" t="str">
        <f t="shared" si="19"/>
        <v>Hip Replacement PrimaryCCG of GP PracticeNHS LEEDS NORTH CCG (02V)EQ-5D Index</v>
      </c>
      <c r="C1281" t="s">
        <v>248</v>
      </c>
      <c r="D1281" t="s">
        <v>87</v>
      </c>
      <c r="E1281" t="s">
        <v>552</v>
      </c>
      <c r="F1281" t="s">
        <v>337</v>
      </c>
      <c r="G1281" t="s">
        <v>52</v>
      </c>
      <c r="H1281">
        <v>135</v>
      </c>
      <c r="I1281">
        <v>0.41399999999999998</v>
      </c>
      <c r="J1281">
        <v>0.79300000000000004</v>
      </c>
      <c r="K1281">
        <v>0.379</v>
      </c>
      <c r="L1281">
        <v>114</v>
      </c>
      <c r="M1281">
        <v>13</v>
      </c>
      <c r="N1281">
        <v>8</v>
      </c>
      <c r="O1281">
        <v>0.78200000000000003</v>
      </c>
      <c r="P1281">
        <v>0.41998327000000002</v>
      </c>
      <c r="Q1281">
        <v>0.222</v>
      </c>
    </row>
    <row r="1282" spans="1:17" s="30" customFormat="1" x14ac:dyDescent="0.2">
      <c r="A1282" s="30" t="str">
        <f>IF(C1282&amp;G1282&amp;D1282&lt;&gt;'Funnel setup'!$K$3&amp;'Funnel setup'!$K$4&amp;'Funnel setup'!$K$5,".",IF(A1281=".",1,A1281+1))</f>
        <v>.</v>
      </c>
      <c r="B1282" s="431" t="str">
        <f t="shared" si="19"/>
        <v>Hip Replacement PrimaryCCG of GP PracticeNHS LEEDS SOUTH AND EAST CCG (03G)EQ-5D Index</v>
      </c>
      <c r="C1282" t="s">
        <v>248</v>
      </c>
      <c r="D1282" t="s">
        <v>87</v>
      </c>
      <c r="E1282" t="s">
        <v>396</v>
      </c>
      <c r="F1282" t="s">
        <v>397</v>
      </c>
      <c r="G1282" t="s">
        <v>52</v>
      </c>
      <c r="H1282">
        <v>171</v>
      </c>
      <c r="I1282">
        <v>0.33800000000000002</v>
      </c>
      <c r="J1282">
        <v>0.78900000000000003</v>
      </c>
      <c r="K1282">
        <v>0.45100000000000001</v>
      </c>
      <c r="L1282">
        <v>159</v>
      </c>
      <c r="M1282">
        <v>2</v>
      </c>
      <c r="N1282">
        <v>10</v>
      </c>
      <c r="O1282">
        <v>0.79700000000000004</v>
      </c>
      <c r="P1282">
        <v>0.43517755000000002</v>
      </c>
      <c r="Q1282">
        <v>0.23100000000000001</v>
      </c>
    </row>
    <row r="1283" spans="1:17" s="30" customFormat="1" x14ac:dyDescent="0.2">
      <c r="A1283" s="30" t="str">
        <f>IF(C1283&amp;G1283&amp;D1283&lt;&gt;'Funnel setup'!$K$3&amp;'Funnel setup'!$K$4&amp;'Funnel setup'!$K$5,".",IF(A1282=".",1,A1282+1))</f>
        <v>.</v>
      </c>
      <c r="B1283" s="431" t="str">
        <f t="shared" ref="B1283:B1346" si="20">C1283&amp;D1283&amp;F1283&amp;G1283</f>
        <v>Hip Replacement PrimaryCCG of GP PracticeNHS LEEDS WEST CCG (03C)EQ-5D Index</v>
      </c>
      <c r="C1283" t="s">
        <v>248</v>
      </c>
      <c r="D1283" t="s">
        <v>87</v>
      </c>
      <c r="E1283" t="s">
        <v>399</v>
      </c>
      <c r="F1283" t="s">
        <v>400</v>
      </c>
      <c r="G1283" t="s">
        <v>52</v>
      </c>
      <c r="H1283">
        <v>210</v>
      </c>
      <c r="I1283">
        <v>0.374</v>
      </c>
      <c r="J1283">
        <v>0.79</v>
      </c>
      <c r="K1283">
        <v>0.41599999999999998</v>
      </c>
      <c r="L1283">
        <v>192</v>
      </c>
      <c r="M1283">
        <v>6</v>
      </c>
      <c r="N1283">
        <v>12</v>
      </c>
      <c r="O1283">
        <v>0.79200000000000004</v>
      </c>
      <c r="P1283">
        <v>0.43045643700000003</v>
      </c>
      <c r="Q1283">
        <v>0.22900000000000001</v>
      </c>
    </row>
    <row r="1284" spans="1:17" s="30" customFormat="1" x14ac:dyDescent="0.2">
      <c r="A1284" s="30" t="str">
        <f>IF(C1284&amp;G1284&amp;D1284&lt;&gt;'Funnel setup'!$K$3&amp;'Funnel setup'!$K$4&amp;'Funnel setup'!$K$5,".",IF(A1283=".",1,A1283+1))</f>
        <v>.</v>
      </c>
      <c r="B1284" s="431" t="str">
        <f t="shared" si="20"/>
        <v>Hip Replacement PrimaryCCG of GP PracticeNHS LEICESTER CITY CCG (04C)EQ-5D Index</v>
      </c>
      <c r="C1284" t="s">
        <v>248</v>
      </c>
      <c r="D1284" t="s">
        <v>87</v>
      </c>
      <c r="E1284" t="s">
        <v>554</v>
      </c>
      <c r="F1284" t="s">
        <v>555</v>
      </c>
      <c r="G1284" t="s">
        <v>52</v>
      </c>
      <c r="H1284">
        <v>109</v>
      </c>
      <c r="I1284">
        <v>0.31</v>
      </c>
      <c r="J1284">
        <v>0.79200000000000004</v>
      </c>
      <c r="K1284">
        <v>0.48199999999999998</v>
      </c>
      <c r="L1284">
        <v>91</v>
      </c>
      <c r="M1284">
        <v>13</v>
      </c>
      <c r="N1284">
        <v>5</v>
      </c>
      <c r="O1284">
        <v>0.82199999999999995</v>
      </c>
      <c r="P1284">
        <v>0.46013331400000002</v>
      </c>
      <c r="Q1284">
        <v>0.21199999999999999</v>
      </c>
    </row>
    <row r="1285" spans="1:17" s="30" customFormat="1" x14ac:dyDescent="0.2">
      <c r="A1285" s="30" t="str">
        <f>IF(C1285&amp;G1285&amp;D1285&lt;&gt;'Funnel setup'!$K$3&amp;'Funnel setup'!$K$4&amp;'Funnel setup'!$K$5,".",IF(A1284=".",1,A1284+1))</f>
        <v>.</v>
      </c>
      <c r="B1285" s="431" t="str">
        <f t="shared" si="20"/>
        <v>Hip Replacement PrimaryCCG of GP PracticeNHS LEWISHAM CCG (08L)EQ-5D Index</v>
      </c>
      <c r="C1285" t="s">
        <v>248</v>
      </c>
      <c r="D1285" t="s">
        <v>87</v>
      </c>
      <c r="E1285" t="s">
        <v>557</v>
      </c>
      <c r="F1285" t="s">
        <v>558</v>
      </c>
      <c r="G1285" t="s">
        <v>52</v>
      </c>
      <c r="H1285">
        <v>53</v>
      </c>
      <c r="I1285">
        <v>0.313</v>
      </c>
      <c r="J1285">
        <v>0.76100000000000001</v>
      </c>
      <c r="K1285">
        <v>0.44800000000000001</v>
      </c>
      <c r="L1285">
        <v>47</v>
      </c>
      <c r="M1285">
        <v>3</v>
      </c>
      <c r="N1285">
        <v>3</v>
      </c>
      <c r="O1285">
        <v>0.79900000000000004</v>
      </c>
      <c r="P1285">
        <v>0.436939939</v>
      </c>
      <c r="Q1285">
        <v>0.255</v>
      </c>
    </row>
    <row r="1286" spans="1:17" s="30" customFormat="1" x14ac:dyDescent="0.2">
      <c r="A1286" s="30" t="str">
        <f>IF(C1286&amp;G1286&amp;D1286&lt;&gt;'Funnel setup'!$K$3&amp;'Funnel setup'!$K$4&amp;'Funnel setup'!$K$5,".",IF(A1285=".",1,A1285+1))</f>
        <v>.</v>
      </c>
      <c r="B1286" s="431" t="str">
        <f t="shared" si="20"/>
        <v>Hip Replacement PrimaryCCG of GP PracticeNHS LINCOLNSHIRE EAST CCG (03T)EQ-5D Index</v>
      </c>
      <c r="C1286" t="s">
        <v>248</v>
      </c>
      <c r="D1286" t="s">
        <v>87</v>
      </c>
      <c r="E1286" t="s">
        <v>560</v>
      </c>
      <c r="F1286" t="s">
        <v>561</v>
      </c>
      <c r="G1286" t="s">
        <v>52</v>
      </c>
      <c r="H1286">
        <v>223</v>
      </c>
      <c r="I1286">
        <v>0.40200000000000002</v>
      </c>
      <c r="J1286">
        <v>0.80100000000000005</v>
      </c>
      <c r="K1286">
        <v>0.39900000000000002</v>
      </c>
      <c r="L1286">
        <v>197</v>
      </c>
      <c r="M1286">
        <v>17</v>
      </c>
      <c r="N1286">
        <v>9</v>
      </c>
      <c r="O1286">
        <v>0.80600000000000005</v>
      </c>
      <c r="P1286">
        <v>0.44476450499999998</v>
      </c>
      <c r="Q1286">
        <v>0.223</v>
      </c>
    </row>
    <row r="1287" spans="1:17" s="30" customFormat="1" x14ac:dyDescent="0.2">
      <c r="A1287" s="30" t="str">
        <f>IF(C1287&amp;G1287&amp;D1287&lt;&gt;'Funnel setup'!$K$3&amp;'Funnel setup'!$K$4&amp;'Funnel setup'!$K$5,".",IF(A1286=".",1,A1286+1))</f>
        <v>.</v>
      </c>
      <c r="B1287" s="431" t="str">
        <f t="shared" si="20"/>
        <v>Hip Replacement PrimaryCCG of GP PracticeNHS LINCOLNSHIRE WEST CCG (04D)EQ-5D Index</v>
      </c>
      <c r="C1287" t="s">
        <v>248</v>
      </c>
      <c r="D1287" t="s">
        <v>87</v>
      </c>
      <c r="E1287" t="s">
        <v>408</v>
      </c>
      <c r="F1287" t="s">
        <v>409</v>
      </c>
      <c r="G1287" t="s">
        <v>52</v>
      </c>
      <c r="H1287">
        <v>177</v>
      </c>
      <c r="I1287">
        <v>0.38900000000000001</v>
      </c>
      <c r="J1287">
        <v>0.81699999999999995</v>
      </c>
      <c r="K1287">
        <v>0.42799999999999999</v>
      </c>
      <c r="L1287">
        <v>154</v>
      </c>
      <c r="M1287">
        <v>10</v>
      </c>
      <c r="N1287">
        <v>13</v>
      </c>
      <c r="O1287">
        <v>0.81200000000000006</v>
      </c>
      <c r="P1287">
        <v>0.45001512500000002</v>
      </c>
      <c r="Q1287">
        <v>0.219</v>
      </c>
    </row>
    <row r="1288" spans="1:17" s="30" customFormat="1" x14ac:dyDescent="0.2">
      <c r="A1288" s="30" t="str">
        <f>IF(C1288&amp;G1288&amp;D1288&lt;&gt;'Funnel setup'!$K$3&amp;'Funnel setup'!$K$4&amp;'Funnel setup'!$K$5,".",IF(A1287=".",1,A1287+1))</f>
        <v>.</v>
      </c>
      <c r="B1288" s="431" t="str">
        <f t="shared" si="20"/>
        <v>Hip Replacement PrimaryCCG of GP PracticeNHS LIVERPOOL CCG (99A)EQ-5D Index</v>
      </c>
      <c r="C1288" t="s">
        <v>248</v>
      </c>
      <c r="D1288" t="s">
        <v>87</v>
      </c>
      <c r="E1288" t="s">
        <v>411</v>
      </c>
      <c r="F1288" t="s">
        <v>412</v>
      </c>
      <c r="G1288" t="s">
        <v>52</v>
      </c>
      <c r="H1288">
        <v>186</v>
      </c>
      <c r="I1288">
        <v>0.308</v>
      </c>
      <c r="J1288">
        <v>0.71499999999999997</v>
      </c>
      <c r="K1288">
        <v>0.40699999999999997</v>
      </c>
      <c r="L1288">
        <v>163</v>
      </c>
      <c r="M1288">
        <v>11</v>
      </c>
      <c r="N1288">
        <v>12</v>
      </c>
      <c r="O1288">
        <v>0.76200000000000001</v>
      </c>
      <c r="P1288">
        <v>0.39984322300000003</v>
      </c>
      <c r="Q1288">
        <v>0.27600000000000002</v>
      </c>
    </row>
    <row r="1289" spans="1:17" s="30" customFormat="1" x14ac:dyDescent="0.2">
      <c r="A1289" s="30" t="str">
        <f>IF(C1289&amp;G1289&amp;D1289&lt;&gt;'Funnel setup'!$K$3&amp;'Funnel setup'!$K$4&amp;'Funnel setup'!$K$5,".",IF(A1288=".",1,A1288+1))</f>
        <v>.</v>
      </c>
      <c r="B1289" s="431" t="str">
        <f t="shared" si="20"/>
        <v>Hip Replacement PrimaryCCG of GP PracticeNHS LUTON CCG (06P)EQ-5D Index</v>
      </c>
      <c r="C1289" t="s">
        <v>248</v>
      </c>
      <c r="D1289" t="s">
        <v>87</v>
      </c>
      <c r="E1289" t="s">
        <v>414</v>
      </c>
      <c r="F1289" t="s">
        <v>415</v>
      </c>
      <c r="G1289" t="s">
        <v>52</v>
      </c>
      <c r="H1289">
        <v>89</v>
      </c>
      <c r="I1289">
        <v>0.30499999999999999</v>
      </c>
      <c r="J1289">
        <v>0.74099999999999999</v>
      </c>
      <c r="K1289">
        <v>0.436</v>
      </c>
      <c r="L1289">
        <v>78</v>
      </c>
      <c r="M1289">
        <v>7</v>
      </c>
      <c r="N1289">
        <v>4</v>
      </c>
      <c r="O1289">
        <v>0.75800000000000001</v>
      </c>
      <c r="P1289">
        <v>0.396035837</v>
      </c>
      <c r="Q1289">
        <v>0.22700000000000001</v>
      </c>
    </row>
    <row r="1290" spans="1:17" s="30" customFormat="1" x14ac:dyDescent="0.2">
      <c r="A1290" s="30" t="str">
        <f>IF(C1290&amp;G1290&amp;D1290&lt;&gt;'Funnel setup'!$K$3&amp;'Funnel setup'!$K$4&amp;'Funnel setup'!$K$5,".",IF(A1289=".",1,A1289+1))</f>
        <v>.</v>
      </c>
      <c r="B1290" s="431" t="str">
        <f t="shared" si="20"/>
        <v>Hip Replacement PrimaryCCG of GP PracticeNHS MANSFIELD AND ASHFIELD CCG (04E)EQ-5D Index</v>
      </c>
      <c r="C1290" t="s">
        <v>248</v>
      </c>
      <c r="D1290" t="s">
        <v>87</v>
      </c>
      <c r="E1290" t="s">
        <v>417</v>
      </c>
      <c r="F1290" t="s">
        <v>418</v>
      </c>
      <c r="G1290" t="s">
        <v>52</v>
      </c>
      <c r="H1290">
        <v>118</v>
      </c>
      <c r="I1290">
        <v>0.27100000000000002</v>
      </c>
      <c r="J1290">
        <v>0.74399999999999999</v>
      </c>
      <c r="K1290">
        <v>0.47399999999999998</v>
      </c>
      <c r="L1290">
        <v>109</v>
      </c>
      <c r="M1290">
        <v>4</v>
      </c>
      <c r="N1290">
        <v>5</v>
      </c>
      <c r="O1290">
        <v>0.77300000000000002</v>
      </c>
      <c r="P1290">
        <v>0.41164590200000001</v>
      </c>
      <c r="Q1290">
        <v>0.24299999999999999</v>
      </c>
    </row>
    <row r="1291" spans="1:17" s="30" customFormat="1" x14ac:dyDescent="0.2">
      <c r="A1291" s="30" t="str">
        <f>IF(C1291&amp;G1291&amp;D1291&lt;&gt;'Funnel setup'!$K$3&amp;'Funnel setup'!$K$4&amp;'Funnel setup'!$K$5,".",IF(A1290=".",1,A1290+1))</f>
        <v>.</v>
      </c>
      <c r="B1291" s="431" t="str">
        <f t="shared" si="20"/>
        <v>Hip Replacement PrimaryCCG of GP PracticeNHS MEDWAY CCG (09W)EQ-5D Index</v>
      </c>
      <c r="C1291" t="s">
        <v>248</v>
      </c>
      <c r="D1291" t="s">
        <v>87</v>
      </c>
      <c r="E1291" t="s">
        <v>610</v>
      </c>
      <c r="F1291" t="s">
        <v>611</v>
      </c>
      <c r="G1291" t="s">
        <v>52</v>
      </c>
      <c r="H1291">
        <v>153</v>
      </c>
      <c r="I1291">
        <v>0.33600000000000002</v>
      </c>
      <c r="J1291">
        <v>0.81699999999999995</v>
      </c>
      <c r="K1291">
        <v>0.48099999999999998</v>
      </c>
      <c r="L1291">
        <v>138</v>
      </c>
      <c r="M1291">
        <v>10</v>
      </c>
      <c r="N1291">
        <v>5</v>
      </c>
      <c r="O1291">
        <v>0.82399999999999995</v>
      </c>
      <c r="P1291">
        <v>0.46203020500000003</v>
      </c>
      <c r="Q1291">
        <v>0.217</v>
      </c>
    </row>
    <row r="1292" spans="1:17" s="30" customFormat="1" x14ac:dyDescent="0.2">
      <c r="A1292" s="30" t="str">
        <f>IF(C1292&amp;G1292&amp;D1292&lt;&gt;'Funnel setup'!$K$3&amp;'Funnel setup'!$K$4&amp;'Funnel setup'!$K$5,".",IF(A1291=".",1,A1291+1))</f>
        <v>.</v>
      </c>
      <c r="B1292" s="431" t="str">
        <f t="shared" si="20"/>
        <v>Hip Replacement PrimaryCCG of GP PracticeNHS MERTON CCG (08R)EQ-5D Index</v>
      </c>
      <c r="C1292" t="s">
        <v>248</v>
      </c>
      <c r="D1292" t="s">
        <v>87</v>
      </c>
      <c r="E1292" t="s">
        <v>613</v>
      </c>
      <c r="F1292" t="s">
        <v>614</v>
      </c>
      <c r="G1292" t="s">
        <v>52</v>
      </c>
      <c r="H1292">
        <v>54</v>
      </c>
      <c r="I1292">
        <v>0.43099999999999999</v>
      </c>
      <c r="J1292">
        <v>0.81399999999999995</v>
      </c>
      <c r="K1292">
        <v>0.38300000000000001</v>
      </c>
      <c r="L1292">
        <v>48</v>
      </c>
      <c r="M1292">
        <v>4</v>
      </c>
      <c r="N1292">
        <v>2</v>
      </c>
      <c r="O1292">
        <v>0.79600000000000004</v>
      </c>
      <c r="P1292">
        <v>0.43470384099999998</v>
      </c>
      <c r="Q1292">
        <v>0.215</v>
      </c>
    </row>
    <row r="1293" spans="1:17" s="30" customFormat="1" x14ac:dyDescent="0.2">
      <c r="A1293" s="30" t="str">
        <f>IF(C1293&amp;G1293&amp;D1293&lt;&gt;'Funnel setup'!$K$3&amp;'Funnel setup'!$K$4&amp;'Funnel setup'!$K$5,".",IF(A1292=".",1,A1292+1))</f>
        <v>.</v>
      </c>
      <c r="B1293" s="431" t="str">
        <f t="shared" si="20"/>
        <v>Hip Replacement PrimaryCCG of GP PracticeNHS MID ESSEX CCG (06Q)EQ-5D Index</v>
      </c>
      <c r="C1293" t="s">
        <v>248</v>
      </c>
      <c r="D1293" t="s">
        <v>87</v>
      </c>
      <c r="E1293" t="s">
        <v>616</v>
      </c>
      <c r="F1293" t="s">
        <v>617</v>
      </c>
      <c r="G1293" t="s">
        <v>52</v>
      </c>
      <c r="H1293">
        <v>296</v>
      </c>
      <c r="I1293">
        <v>0.29499999999999998</v>
      </c>
      <c r="J1293">
        <v>0.82399999999999995</v>
      </c>
      <c r="K1293">
        <v>0.52900000000000003</v>
      </c>
      <c r="L1293">
        <v>275</v>
      </c>
      <c r="M1293">
        <v>13</v>
      </c>
      <c r="N1293">
        <v>8</v>
      </c>
      <c r="O1293">
        <v>0.82299999999999995</v>
      </c>
      <c r="P1293">
        <v>0.46105020099999999</v>
      </c>
      <c r="Q1293">
        <v>0.21099999999999999</v>
      </c>
    </row>
    <row r="1294" spans="1:17" s="30" customFormat="1" x14ac:dyDescent="0.2">
      <c r="A1294" s="30" t="str">
        <f>IF(C1294&amp;G1294&amp;D1294&lt;&gt;'Funnel setup'!$K$3&amp;'Funnel setup'!$K$4&amp;'Funnel setup'!$K$5,".",IF(A1293=".",1,A1293+1))</f>
        <v>.</v>
      </c>
      <c r="B1294" s="431" t="str">
        <f t="shared" si="20"/>
        <v>Hip Replacement PrimaryCCG of GP PracticeNHS MILTON KEYNES CCG (04F)EQ-5D Index</v>
      </c>
      <c r="C1294" t="s">
        <v>248</v>
      </c>
      <c r="D1294" t="s">
        <v>87</v>
      </c>
      <c r="E1294" t="s">
        <v>619</v>
      </c>
      <c r="F1294" t="s">
        <v>338</v>
      </c>
      <c r="G1294" t="s">
        <v>52</v>
      </c>
      <c r="H1294">
        <v>189</v>
      </c>
      <c r="I1294">
        <v>0.29299999999999998</v>
      </c>
      <c r="J1294">
        <v>0.77600000000000002</v>
      </c>
      <c r="K1294">
        <v>0.48299999999999998</v>
      </c>
      <c r="L1294">
        <v>163</v>
      </c>
      <c r="M1294">
        <v>12</v>
      </c>
      <c r="N1294">
        <v>14</v>
      </c>
      <c r="O1294">
        <v>0.79600000000000004</v>
      </c>
      <c r="P1294">
        <v>0.43478250699999998</v>
      </c>
      <c r="Q1294">
        <v>0.22600000000000001</v>
      </c>
    </row>
    <row r="1295" spans="1:17" s="30" customFormat="1" x14ac:dyDescent="0.2">
      <c r="A1295" s="30" t="str">
        <f>IF(C1295&amp;G1295&amp;D1295&lt;&gt;'Funnel setup'!$K$3&amp;'Funnel setup'!$K$4&amp;'Funnel setup'!$K$5,".",IF(A1294=".",1,A1294+1))</f>
        <v>.</v>
      </c>
      <c r="B1295" s="431" t="str">
        <f t="shared" si="20"/>
        <v>Hip Replacement PrimaryCCG of GP PracticeNHS NENE CCG (04G)EQ-5D Index</v>
      </c>
      <c r="C1295" t="s">
        <v>248</v>
      </c>
      <c r="D1295" t="s">
        <v>87</v>
      </c>
      <c r="E1295" t="s">
        <v>621</v>
      </c>
      <c r="F1295" t="s">
        <v>622</v>
      </c>
      <c r="G1295" t="s">
        <v>52</v>
      </c>
      <c r="H1295">
        <v>401</v>
      </c>
      <c r="I1295">
        <v>0.29599999999999999</v>
      </c>
      <c r="J1295">
        <v>0.80800000000000005</v>
      </c>
      <c r="K1295">
        <v>0.51300000000000001</v>
      </c>
      <c r="L1295">
        <v>371</v>
      </c>
      <c r="M1295">
        <v>17</v>
      </c>
      <c r="N1295">
        <v>13</v>
      </c>
      <c r="O1295">
        <v>0.82099999999999995</v>
      </c>
      <c r="P1295">
        <v>0.45896738799999998</v>
      </c>
      <c r="Q1295">
        <v>0.222</v>
      </c>
    </row>
    <row r="1296" spans="1:17" s="30" customFormat="1" x14ac:dyDescent="0.2">
      <c r="A1296" s="30" t="str">
        <f>IF(C1296&amp;G1296&amp;D1296&lt;&gt;'Funnel setup'!$K$3&amp;'Funnel setup'!$K$4&amp;'Funnel setup'!$K$5,".",IF(A1295=".",1,A1295+1))</f>
        <v>.</v>
      </c>
      <c r="B1296" s="431" t="str">
        <f t="shared" si="20"/>
        <v>Hip Replacement PrimaryCCG of GP PracticeNHS NEWARK &amp; SHERWOOD CCG (04H)EQ-5D Index</v>
      </c>
      <c r="C1296" t="s">
        <v>248</v>
      </c>
      <c r="D1296" t="s">
        <v>87</v>
      </c>
      <c r="E1296" t="s">
        <v>624</v>
      </c>
      <c r="F1296" t="s">
        <v>625</v>
      </c>
      <c r="G1296" t="s">
        <v>52</v>
      </c>
      <c r="H1296">
        <v>83</v>
      </c>
      <c r="I1296">
        <v>0.36299999999999999</v>
      </c>
      <c r="J1296">
        <v>0.84699999999999998</v>
      </c>
      <c r="K1296">
        <v>0.48399999999999999</v>
      </c>
      <c r="L1296">
        <v>75</v>
      </c>
      <c r="M1296">
        <v>4</v>
      </c>
      <c r="N1296">
        <v>4</v>
      </c>
      <c r="O1296">
        <v>0.84099999999999997</v>
      </c>
      <c r="P1296">
        <v>0.47904186599999998</v>
      </c>
      <c r="Q1296">
        <v>0.17899999999999999</v>
      </c>
    </row>
    <row r="1297" spans="1:17" s="30" customFormat="1" x14ac:dyDescent="0.2">
      <c r="A1297" s="30" t="str">
        <f>IF(C1297&amp;G1297&amp;D1297&lt;&gt;'Funnel setup'!$K$3&amp;'Funnel setup'!$K$4&amp;'Funnel setup'!$K$5,".",IF(A1296=".",1,A1296+1))</f>
        <v>.</v>
      </c>
      <c r="B1297" s="431" t="str">
        <f t="shared" si="20"/>
        <v>Hip Replacement PrimaryCCG of GP PracticeNHS NEWBURY AND DISTRICT CCG (10M)EQ-5D Index</v>
      </c>
      <c r="C1297" t="s">
        <v>248</v>
      </c>
      <c r="D1297" t="s">
        <v>87</v>
      </c>
      <c r="E1297" t="s">
        <v>627</v>
      </c>
      <c r="F1297" t="s">
        <v>628</v>
      </c>
      <c r="G1297" t="s">
        <v>52</v>
      </c>
      <c r="H1297">
        <v>80</v>
      </c>
      <c r="I1297">
        <v>0.34100000000000003</v>
      </c>
      <c r="J1297">
        <v>0.82499999999999996</v>
      </c>
      <c r="K1297">
        <v>0.48399999999999999</v>
      </c>
      <c r="L1297">
        <v>73</v>
      </c>
      <c r="M1297">
        <v>4</v>
      </c>
      <c r="N1297">
        <v>3</v>
      </c>
      <c r="O1297">
        <v>0.82</v>
      </c>
      <c r="P1297">
        <v>0.45786460899999998</v>
      </c>
      <c r="Q1297">
        <v>0.20799999999999999</v>
      </c>
    </row>
    <row r="1298" spans="1:17" s="30" customFormat="1" x14ac:dyDescent="0.2">
      <c r="A1298" s="30" t="str">
        <f>IF(C1298&amp;G1298&amp;D1298&lt;&gt;'Funnel setup'!$K$3&amp;'Funnel setup'!$K$4&amp;'Funnel setup'!$K$5,".",IF(A1297=".",1,A1297+1))</f>
        <v>.</v>
      </c>
      <c r="B1298" s="431" t="str">
        <f t="shared" si="20"/>
        <v>Hip Replacement PrimaryCCG of GP PracticeNHS NEWCASTLE GATESHEAD CCG (13T)EQ-5D Index</v>
      </c>
      <c r="C1298" t="s">
        <v>248</v>
      </c>
      <c r="D1298" t="s">
        <v>87</v>
      </c>
      <c r="E1298" t="s">
        <v>6553</v>
      </c>
      <c r="F1298" t="s">
        <v>6543</v>
      </c>
      <c r="G1298" t="s">
        <v>52</v>
      </c>
      <c r="H1298">
        <v>343</v>
      </c>
      <c r="I1298">
        <v>0.34499999999999997</v>
      </c>
      <c r="J1298">
        <v>0.78100000000000003</v>
      </c>
      <c r="K1298">
        <v>0.437</v>
      </c>
      <c r="L1298">
        <v>310</v>
      </c>
      <c r="M1298">
        <v>16</v>
      </c>
      <c r="N1298">
        <v>17</v>
      </c>
      <c r="O1298">
        <v>0.78900000000000003</v>
      </c>
      <c r="P1298">
        <v>0.42738326199999999</v>
      </c>
      <c r="Q1298">
        <v>0.23200000000000001</v>
      </c>
    </row>
    <row r="1299" spans="1:17" s="30" customFormat="1" x14ac:dyDescent="0.2">
      <c r="A1299" s="30" t="str">
        <f>IF(C1299&amp;G1299&amp;D1299&lt;&gt;'Funnel setup'!$K$3&amp;'Funnel setup'!$K$4&amp;'Funnel setup'!$K$5,".",IF(A1298=".",1,A1298+1))</f>
        <v>.</v>
      </c>
      <c r="B1299" s="431" t="str">
        <f t="shared" si="20"/>
        <v>Hip Replacement PrimaryCCG of GP PracticeNHS NEWHAM CCG (08M)EQ-5D Index</v>
      </c>
      <c r="C1299" t="s">
        <v>248</v>
      </c>
      <c r="D1299" t="s">
        <v>87</v>
      </c>
      <c r="E1299" t="s">
        <v>630</v>
      </c>
      <c r="F1299" t="s">
        <v>631</v>
      </c>
      <c r="G1299" t="s">
        <v>52</v>
      </c>
      <c r="H1299">
        <v>39</v>
      </c>
      <c r="I1299">
        <v>0.249</v>
      </c>
      <c r="J1299">
        <v>0.65100000000000002</v>
      </c>
      <c r="K1299">
        <v>0.40200000000000002</v>
      </c>
      <c r="L1299">
        <v>33</v>
      </c>
      <c r="M1299">
        <v>1</v>
      </c>
      <c r="N1299">
        <v>5</v>
      </c>
      <c r="O1299">
        <v>0.755</v>
      </c>
      <c r="P1299">
        <v>0.39297948399999999</v>
      </c>
      <c r="Q1299">
        <v>0.29699999999999999</v>
      </c>
    </row>
    <row r="1300" spans="1:17" s="30" customFormat="1" x14ac:dyDescent="0.2">
      <c r="A1300" s="30" t="str">
        <f>IF(C1300&amp;G1300&amp;D1300&lt;&gt;'Funnel setup'!$K$3&amp;'Funnel setup'!$K$4&amp;'Funnel setup'!$K$5,".",IF(A1299=".",1,A1299+1))</f>
        <v>.</v>
      </c>
      <c r="B1300" s="431" t="str">
        <f t="shared" si="20"/>
        <v>Hip Replacement PrimaryCCG of GP PracticeNHS NORTH &amp; WEST READING CCG (10N)EQ-5D Index</v>
      </c>
      <c r="C1300" t="s">
        <v>248</v>
      </c>
      <c r="D1300" t="s">
        <v>87</v>
      </c>
      <c r="E1300" t="s">
        <v>633</v>
      </c>
      <c r="F1300" t="s">
        <v>634</v>
      </c>
      <c r="G1300" t="s">
        <v>52</v>
      </c>
      <c r="H1300">
        <v>71</v>
      </c>
      <c r="I1300">
        <v>0.435</v>
      </c>
      <c r="J1300">
        <v>0.83099999999999996</v>
      </c>
      <c r="K1300">
        <v>0.39600000000000002</v>
      </c>
      <c r="L1300">
        <v>65</v>
      </c>
      <c r="M1300">
        <v>3</v>
      </c>
      <c r="N1300">
        <v>3</v>
      </c>
      <c r="O1300">
        <v>0.81399999999999995</v>
      </c>
      <c r="P1300">
        <v>0.45188002700000002</v>
      </c>
      <c r="Q1300">
        <v>0.20300000000000001</v>
      </c>
    </row>
    <row r="1301" spans="1:17" s="30" customFormat="1" x14ac:dyDescent="0.2">
      <c r="A1301" s="30" t="str">
        <f>IF(C1301&amp;G1301&amp;D1301&lt;&gt;'Funnel setup'!$K$3&amp;'Funnel setup'!$K$4&amp;'Funnel setup'!$K$5,".",IF(A1300=".",1,A1300+1))</f>
        <v>.</v>
      </c>
      <c r="B1301" s="431" t="str">
        <f t="shared" si="20"/>
        <v>Hip Replacement PrimaryCCG of GP PracticeNHS NORTH DERBYSHIRE CCG (04J)EQ-5D Index</v>
      </c>
      <c r="C1301" t="s">
        <v>248</v>
      </c>
      <c r="D1301" t="s">
        <v>87</v>
      </c>
      <c r="E1301" t="s">
        <v>636</v>
      </c>
      <c r="F1301" t="s">
        <v>637</v>
      </c>
      <c r="G1301" t="s">
        <v>52</v>
      </c>
      <c r="H1301">
        <v>290</v>
      </c>
      <c r="I1301">
        <v>0.372</v>
      </c>
      <c r="J1301">
        <v>0.81499999999999995</v>
      </c>
      <c r="K1301">
        <v>0.443</v>
      </c>
      <c r="L1301">
        <v>267</v>
      </c>
      <c r="M1301">
        <v>12</v>
      </c>
      <c r="N1301">
        <v>11</v>
      </c>
      <c r="O1301">
        <v>0.81299999999999994</v>
      </c>
      <c r="P1301">
        <v>0.45158735100000003</v>
      </c>
      <c r="Q1301">
        <v>0.19</v>
      </c>
    </row>
    <row r="1302" spans="1:17" s="30" customFormat="1" x14ac:dyDescent="0.2">
      <c r="A1302" s="30" t="str">
        <f>IF(C1302&amp;G1302&amp;D1302&lt;&gt;'Funnel setup'!$K$3&amp;'Funnel setup'!$K$4&amp;'Funnel setup'!$K$5,".",IF(A1301=".",1,A1301+1))</f>
        <v>.</v>
      </c>
      <c r="B1302" s="431" t="str">
        <f t="shared" si="20"/>
        <v>Hip Replacement PrimaryCCG of GP PracticeNHS NORTH DURHAM CCG (00J)EQ-5D Index</v>
      </c>
      <c r="C1302" t="s">
        <v>248</v>
      </c>
      <c r="D1302" t="s">
        <v>87</v>
      </c>
      <c r="E1302" t="s">
        <v>639</v>
      </c>
      <c r="F1302" t="s">
        <v>640</v>
      </c>
      <c r="G1302" t="s">
        <v>52</v>
      </c>
      <c r="H1302">
        <v>176</v>
      </c>
      <c r="I1302">
        <v>0.26700000000000002</v>
      </c>
      <c r="J1302">
        <v>0.77100000000000002</v>
      </c>
      <c r="K1302">
        <v>0.504</v>
      </c>
      <c r="L1302">
        <v>155</v>
      </c>
      <c r="M1302">
        <v>13</v>
      </c>
      <c r="N1302">
        <v>8</v>
      </c>
      <c r="O1302">
        <v>0.81</v>
      </c>
      <c r="P1302">
        <v>0.44830906500000001</v>
      </c>
      <c r="Q1302">
        <v>0.22800000000000001</v>
      </c>
    </row>
    <row r="1303" spans="1:17" s="30" customFormat="1" x14ac:dyDescent="0.2">
      <c r="A1303" s="30" t="str">
        <f>IF(C1303&amp;G1303&amp;D1303&lt;&gt;'Funnel setup'!$K$3&amp;'Funnel setup'!$K$4&amp;'Funnel setup'!$K$5,".",IF(A1302=".",1,A1302+1))</f>
        <v>.</v>
      </c>
      <c r="B1303" s="431" t="str">
        <f t="shared" si="20"/>
        <v>Hip Replacement PrimaryCCG of GP PracticeNHS NORTH EAST ESSEX CCG (06T)EQ-5D Index</v>
      </c>
      <c r="C1303" t="s">
        <v>248</v>
      </c>
      <c r="D1303" t="s">
        <v>87</v>
      </c>
      <c r="E1303" t="s">
        <v>642</v>
      </c>
      <c r="F1303" t="s">
        <v>643</v>
      </c>
      <c r="G1303" t="s">
        <v>52</v>
      </c>
      <c r="H1303">
        <v>255</v>
      </c>
      <c r="I1303">
        <v>0.36599999999999999</v>
      </c>
      <c r="J1303">
        <v>0.78100000000000003</v>
      </c>
      <c r="K1303">
        <v>0.41499999999999998</v>
      </c>
      <c r="L1303">
        <v>228</v>
      </c>
      <c r="M1303">
        <v>11</v>
      </c>
      <c r="N1303">
        <v>16</v>
      </c>
      <c r="O1303">
        <v>0.78900000000000003</v>
      </c>
      <c r="P1303">
        <v>0.426912185</v>
      </c>
      <c r="Q1303">
        <v>0.223</v>
      </c>
    </row>
    <row r="1304" spans="1:17" s="30" customFormat="1" x14ac:dyDescent="0.2">
      <c r="A1304" s="30" t="str">
        <f>IF(C1304&amp;G1304&amp;D1304&lt;&gt;'Funnel setup'!$K$3&amp;'Funnel setup'!$K$4&amp;'Funnel setup'!$K$5,".",IF(A1303=".",1,A1303+1))</f>
        <v>.</v>
      </c>
      <c r="B1304" s="431" t="str">
        <f t="shared" si="20"/>
        <v>Hip Replacement PrimaryCCG of GP PracticeNHS NORTH EAST HAMPSHIRE AND FARNHAM CCG (99M)EQ-5D Index</v>
      </c>
      <c r="C1304" t="s">
        <v>248</v>
      </c>
      <c r="D1304" t="s">
        <v>87</v>
      </c>
      <c r="E1304" t="s">
        <v>645</v>
      </c>
      <c r="F1304" t="s">
        <v>646</v>
      </c>
      <c r="G1304" t="s">
        <v>52</v>
      </c>
      <c r="H1304">
        <v>191</v>
      </c>
      <c r="I1304">
        <v>0.45</v>
      </c>
      <c r="J1304">
        <v>0.86499999999999999</v>
      </c>
      <c r="K1304">
        <v>0.41499999999999998</v>
      </c>
      <c r="L1304">
        <v>178</v>
      </c>
      <c r="M1304">
        <v>6</v>
      </c>
      <c r="N1304">
        <v>7</v>
      </c>
      <c r="O1304">
        <v>0.83599999999999997</v>
      </c>
      <c r="P1304">
        <v>0.47384926199999999</v>
      </c>
      <c r="Q1304">
        <v>0.17299999999999999</v>
      </c>
    </row>
    <row r="1305" spans="1:17" s="30" customFormat="1" x14ac:dyDescent="0.2">
      <c r="A1305" s="30" t="str">
        <f>IF(C1305&amp;G1305&amp;D1305&lt;&gt;'Funnel setup'!$K$3&amp;'Funnel setup'!$K$4&amp;'Funnel setup'!$K$5,".",IF(A1304=".",1,A1304+1))</f>
        <v>.</v>
      </c>
      <c r="B1305" s="431" t="str">
        <f t="shared" si="20"/>
        <v>Hip Replacement PrimaryCCG of GP PracticeNHS NORTH EAST LINCOLNSHIRE CCG (03H)EQ-5D Index</v>
      </c>
      <c r="C1305" t="s">
        <v>248</v>
      </c>
      <c r="D1305" t="s">
        <v>87</v>
      </c>
      <c r="E1305" t="s">
        <v>648</v>
      </c>
      <c r="F1305" t="s">
        <v>649</v>
      </c>
      <c r="G1305" t="s">
        <v>52</v>
      </c>
      <c r="H1305">
        <v>92</v>
      </c>
      <c r="I1305">
        <v>0.373</v>
      </c>
      <c r="J1305">
        <v>0.81200000000000006</v>
      </c>
      <c r="K1305">
        <v>0.439</v>
      </c>
      <c r="L1305">
        <v>79</v>
      </c>
      <c r="M1305">
        <v>8</v>
      </c>
      <c r="N1305">
        <v>5</v>
      </c>
      <c r="O1305">
        <v>0.82099999999999995</v>
      </c>
      <c r="P1305">
        <v>0.45894189800000001</v>
      </c>
      <c r="Q1305">
        <v>0.221</v>
      </c>
    </row>
    <row r="1306" spans="1:17" s="30" customFormat="1" x14ac:dyDescent="0.2">
      <c r="A1306" s="30" t="str">
        <f>IF(C1306&amp;G1306&amp;D1306&lt;&gt;'Funnel setup'!$K$3&amp;'Funnel setup'!$K$4&amp;'Funnel setup'!$K$5,".",IF(A1305=".",1,A1305+1))</f>
        <v>.</v>
      </c>
      <c r="B1306" s="431" t="str">
        <f t="shared" si="20"/>
        <v>Hip Replacement PrimaryCCG of GP PracticeNHS NORTH HAMPSHIRE CCG (10J)EQ-5D Index</v>
      </c>
      <c r="C1306" t="s">
        <v>248</v>
      </c>
      <c r="D1306" t="s">
        <v>87</v>
      </c>
      <c r="E1306" t="s">
        <v>651</v>
      </c>
      <c r="F1306" t="s">
        <v>652</v>
      </c>
      <c r="G1306" t="s">
        <v>52</v>
      </c>
      <c r="H1306">
        <v>97</v>
      </c>
      <c r="I1306">
        <v>0.46400000000000002</v>
      </c>
      <c r="J1306">
        <v>0.85899999999999999</v>
      </c>
      <c r="K1306">
        <v>0.39600000000000002</v>
      </c>
      <c r="L1306">
        <v>92</v>
      </c>
      <c r="M1306">
        <v>5</v>
      </c>
      <c r="N1306">
        <v>0</v>
      </c>
      <c r="O1306">
        <v>0.81799999999999995</v>
      </c>
      <c r="P1306">
        <v>0.45671419099999999</v>
      </c>
      <c r="Q1306">
        <v>0.16300000000000001</v>
      </c>
    </row>
    <row r="1307" spans="1:17" s="30" customFormat="1" x14ac:dyDescent="0.2">
      <c r="A1307" s="30" t="str">
        <f>IF(C1307&amp;G1307&amp;D1307&lt;&gt;'Funnel setup'!$K$3&amp;'Funnel setup'!$K$4&amp;'Funnel setup'!$K$5,".",IF(A1306=".",1,A1306+1))</f>
        <v>.</v>
      </c>
      <c r="B1307" s="431" t="str">
        <f t="shared" si="20"/>
        <v>Hip Replacement PrimaryCCG of GP PracticeNHS NORTH KIRKLEES CCG (03J)EQ-5D Index</v>
      </c>
      <c r="C1307" t="s">
        <v>248</v>
      </c>
      <c r="D1307" t="s">
        <v>87</v>
      </c>
      <c r="E1307" t="s">
        <v>654</v>
      </c>
      <c r="F1307" t="s">
        <v>655</v>
      </c>
      <c r="G1307" t="s">
        <v>52</v>
      </c>
      <c r="H1307">
        <v>101</v>
      </c>
      <c r="I1307">
        <v>0.4</v>
      </c>
      <c r="J1307">
        <v>0.77700000000000002</v>
      </c>
      <c r="K1307">
        <v>0.376</v>
      </c>
      <c r="L1307">
        <v>83</v>
      </c>
      <c r="M1307">
        <v>10</v>
      </c>
      <c r="N1307">
        <v>8</v>
      </c>
      <c r="O1307">
        <v>0.77600000000000002</v>
      </c>
      <c r="P1307">
        <v>0.41399511700000002</v>
      </c>
      <c r="Q1307">
        <v>0.26</v>
      </c>
    </row>
    <row r="1308" spans="1:17" s="30" customFormat="1" x14ac:dyDescent="0.2">
      <c r="A1308" s="30" t="str">
        <f>IF(C1308&amp;G1308&amp;D1308&lt;&gt;'Funnel setup'!$K$3&amp;'Funnel setup'!$K$4&amp;'Funnel setup'!$K$5,".",IF(A1307=".",1,A1307+1))</f>
        <v>.</v>
      </c>
      <c r="B1308" s="431" t="str">
        <f t="shared" si="20"/>
        <v>Hip Replacement PrimaryCCG of GP PracticeNHS NORTH LINCOLNSHIRE CCG (03K)EQ-5D Index</v>
      </c>
      <c r="C1308" t="s">
        <v>248</v>
      </c>
      <c r="D1308" t="s">
        <v>87</v>
      </c>
      <c r="E1308" t="s">
        <v>657</v>
      </c>
      <c r="F1308" t="s">
        <v>658</v>
      </c>
      <c r="G1308" t="s">
        <v>52</v>
      </c>
      <c r="H1308">
        <v>121</v>
      </c>
      <c r="I1308">
        <v>0.39300000000000002</v>
      </c>
      <c r="J1308">
        <v>0.79300000000000004</v>
      </c>
      <c r="K1308">
        <v>0.4</v>
      </c>
      <c r="L1308">
        <v>109</v>
      </c>
      <c r="M1308">
        <v>6</v>
      </c>
      <c r="N1308">
        <v>6</v>
      </c>
      <c r="O1308">
        <v>0.78400000000000003</v>
      </c>
      <c r="P1308">
        <v>0.42245207099999998</v>
      </c>
      <c r="Q1308">
        <v>0.2</v>
      </c>
    </row>
    <row r="1309" spans="1:17" s="30" customFormat="1" x14ac:dyDescent="0.2">
      <c r="A1309" s="30" t="str">
        <f>IF(C1309&amp;G1309&amp;D1309&lt;&gt;'Funnel setup'!$K$3&amp;'Funnel setup'!$K$4&amp;'Funnel setup'!$K$5,".",IF(A1308=".",1,A1308+1))</f>
        <v>.</v>
      </c>
      <c r="B1309" s="431" t="str">
        <f t="shared" si="20"/>
        <v>Hip Replacement PrimaryCCG of GP PracticeNHS NORTH MANCHESTER CCG (01M)EQ-5D Index</v>
      </c>
      <c r="C1309" t="s">
        <v>248</v>
      </c>
      <c r="D1309" t="s">
        <v>87</v>
      </c>
      <c r="E1309" t="s">
        <v>660</v>
      </c>
      <c r="F1309" t="s">
        <v>661</v>
      </c>
      <c r="G1309" t="s">
        <v>52</v>
      </c>
      <c r="H1309">
        <v>52</v>
      </c>
      <c r="I1309">
        <v>0.22900000000000001</v>
      </c>
      <c r="J1309">
        <v>0.747</v>
      </c>
      <c r="K1309">
        <v>0.51800000000000002</v>
      </c>
      <c r="L1309">
        <v>48</v>
      </c>
      <c r="M1309">
        <v>2</v>
      </c>
      <c r="N1309">
        <v>2</v>
      </c>
      <c r="O1309">
        <v>0.81799999999999995</v>
      </c>
      <c r="P1309">
        <v>0.45621984300000001</v>
      </c>
      <c r="Q1309">
        <v>0.28000000000000003</v>
      </c>
    </row>
    <row r="1310" spans="1:17" s="30" customFormat="1" x14ac:dyDescent="0.2">
      <c r="A1310" s="30" t="str">
        <f>IF(C1310&amp;G1310&amp;D1310&lt;&gt;'Funnel setup'!$K$3&amp;'Funnel setup'!$K$4&amp;'Funnel setup'!$K$5,".",IF(A1309=".",1,A1309+1))</f>
        <v>.</v>
      </c>
      <c r="B1310" s="431" t="str">
        <f t="shared" si="20"/>
        <v>Hip Replacement PrimaryCCG of GP PracticeNHS NORTH NORFOLK CCG (06V)EQ-5D Index</v>
      </c>
      <c r="C1310" t="s">
        <v>248</v>
      </c>
      <c r="D1310" t="s">
        <v>87</v>
      </c>
      <c r="E1310" t="s">
        <v>663</v>
      </c>
      <c r="F1310" t="s">
        <v>664</v>
      </c>
      <c r="G1310" t="s">
        <v>52</v>
      </c>
      <c r="H1310">
        <v>230</v>
      </c>
      <c r="I1310">
        <v>0.42299999999999999</v>
      </c>
      <c r="J1310">
        <v>0.84199999999999997</v>
      </c>
      <c r="K1310">
        <v>0.41899999999999998</v>
      </c>
      <c r="L1310">
        <v>210</v>
      </c>
      <c r="M1310">
        <v>13</v>
      </c>
      <c r="N1310">
        <v>7</v>
      </c>
      <c r="O1310">
        <v>0.82099999999999995</v>
      </c>
      <c r="P1310">
        <v>0.45973141499999998</v>
      </c>
      <c r="Q1310">
        <v>0.17499999999999999</v>
      </c>
    </row>
    <row r="1311" spans="1:17" s="30" customFormat="1" x14ac:dyDescent="0.2">
      <c r="A1311" s="30" t="str">
        <f>IF(C1311&amp;G1311&amp;D1311&lt;&gt;'Funnel setup'!$K$3&amp;'Funnel setup'!$K$4&amp;'Funnel setup'!$K$5,".",IF(A1310=".",1,A1310+1))</f>
        <v>.</v>
      </c>
      <c r="B1311" s="431" t="str">
        <f t="shared" si="20"/>
        <v>Hip Replacement PrimaryCCG of GP PracticeNHS NORTH SOMERSET CCG (11T)EQ-5D Index</v>
      </c>
      <c r="C1311" t="s">
        <v>248</v>
      </c>
      <c r="D1311" t="s">
        <v>87</v>
      </c>
      <c r="E1311" t="s">
        <v>666</v>
      </c>
      <c r="F1311" t="s">
        <v>667</v>
      </c>
      <c r="G1311" t="s">
        <v>52</v>
      </c>
      <c r="H1311">
        <v>189</v>
      </c>
      <c r="I1311">
        <v>0.40600000000000003</v>
      </c>
      <c r="J1311">
        <v>0.81100000000000005</v>
      </c>
      <c r="K1311">
        <v>0.40500000000000003</v>
      </c>
      <c r="L1311">
        <v>168</v>
      </c>
      <c r="M1311">
        <v>9</v>
      </c>
      <c r="N1311">
        <v>12</v>
      </c>
      <c r="O1311">
        <v>0.78700000000000003</v>
      </c>
      <c r="P1311">
        <v>0.425775709</v>
      </c>
      <c r="Q1311">
        <v>0.20200000000000001</v>
      </c>
    </row>
    <row r="1312" spans="1:17" s="30" customFormat="1" x14ac:dyDescent="0.2">
      <c r="A1312" s="30" t="str">
        <f>IF(C1312&amp;G1312&amp;D1312&lt;&gt;'Funnel setup'!$K$3&amp;'Funnel setup'!$K$4&amp;'Funnel setup'!$K$5,".",IF(A1311=".",1,A1311+1))</f>
        <v>.</v>
      </c>
      <c r="B1312" s="431" t="str">
        <f t="shared" si="20"/>
        <v>Hip Replacement PrimaryCCG of GP PracticeNHS NORTH STAFFORDSHIRE CCG (05G)EQ-5D Index</v>
      </c>
      <c r="C1312" t="s">
        <v>248</v>
      </c>
      <c r="D1312" t="s">
        <v>87</v>
      </c>
      <c r="E1312" t="s">
        <v>669</v>
      </c>
      <c r="F1312" t="s">
        <v>670</v>
      </c>
      <c r="G1312" t="s">
        <v>52</v>
      </c>
      <c r="H1312">
        <v>184</v>
      </c>
      <c r="I1312">
        <v>0.316</v>
      </c>
      <c r="J1312">
        <v>0.80200000000000005</v>
      </c>
      <c r="K1312">
        <v>0.48599999999999999</v>
      </c>
      <c r="L1312">
        <v>173</v>
      </c>
      <c r="M1312">
        <v>7</v>
      </c>
      <c r="N1312">
        <v>4</v>
      </c>
      <c r="O1312">
        <v>0.81499999999999995</v>
      </c>
      <c r="P1312">
        <v>0.453403104</v>
      </c>
      <c r="Q1312">
        <v>0.182</v>
      </c>
    </row>
    <row r="1313" spans="1:17" s="30" customFormat="1" x14ac:dyDescent="0.2">
      <c r="A1313" s="30" t="str">
        <f>IF(C1313&amp;G1313&amp;D1313&lt;&gt;'Funnel setup'!$K$3&amp;'Funnel setup'!$K$4&amp;'Funnel setup'!$K$5,".",IF(A1312=".",1,A1312+1))</f>
        <v>.</v>
      </c>
      <c r="B1313" s="431" t="str">
        <f t="shared" si="20"/>
        <v>Hip Replacement PrimaryCCG of GP PracticeNHS NORTH TYNESIDE CCG (99C)EQ-5D Index</v>
      </c>
      <c r="C1313" t="s">
        <v>248</v>
      </c>
      <c r="D1313" t="s">
        <v>87</v>
      </c>
      <c r="E1313" t="s">
        <v>672</v>
      </c>
      <c r="F1313" t="s">
        <v>673</v>
      </c>
      <c r="G1313" t="s">
        <v>52</v>
      </c>
      <c r="H1313">
        <v>238</v>
      </c>
      <c r="I1313">
        <v>0.38600000000000001</v>
      </c>
      <c r="J1313">
        <v>0.78400000000000003</v>
      </c>
      <c r="K1313">
        <v>0.39900000000000002</v>
      </c>
      <c r="L1313">
        <v>202</v>
      </c>
      <c r="M1313">
        <v>18</v>
      </c>
      <c r="N1313">
        <v>18</v>
      </c>
      <c r="O1313">
        <v>0.79300000000000004</v>
      </c>
      <c r="P1313">
        <v>0.43176780999999997</v>
      </c>
      <c r="Q1313">
        <v>0.23</v>
      </c>
    </row>
    <row r="1314" spans="1:17" s="30" customFormat="1" x14ac:dyDescent="0.2">
      <c r="A1314" s="30" t="str">
        <f>IF(C1314&amp;G1314&amp;D1314&lt;&gt;'Funnel setup'!$K$3&amp;'Funnel setup'!$K$4&amp;'Funnel setup'!$K$5,".",IF(A1313=".",1,A1313+1))</f>
        <v>.</v>
      </c>
      <c r="B1314" s="431" t="str">
        <f t="shared" si="20"/>
        <v>Hip Replacement PrimaryCCG of GP PracticeNHS NORTH WEST SURREY CCG (09Y)EQ-5D Index</v>
      </c>
      <c r="C1314" t="s">
        <v>248</v>
      </c>
      <c r="D1314" t="s">
        <v>87</v>
      </c>
      <c r="E1314" t="s">
        <v>675</v>
      </c>
      <c r="F1314" t="s">
        <v>676</v>
      </c>
      <c r="G1314" t="s">
        <v>52</v>
      </c>
      <c r="H1314">
        <v>266</v>
      </c>
      <c r="I1314">
        <v>0.41799999999999998</v>
      </c>
      <c r="J1314">
        <v>0.83699999999999997</v>
      </c>
      <c r="K1314">
        <v>0.41899999999999998</v>
      </c>
      <c r="L1314">
        <v>236</v>
      </c>
      <c r="M1314">
        <v>14</v>
      </c>
      <c r="N1314">
        <v>16</v>
      </c>
      <c r="O1314">
        <v>0.81100000000000005</v>
      </c>
      <c r="P1314">
        <v>0.44931489400000002</v>
      </c>
      <c r="Q1314">
        <v>0.20499999999999999</v>
      </c>
    </row>
    <row r="1315" spans="1:17" s="30" customFormat="1" x14ac:dyDescent="0.2">
      <c r="A1315" s="30" t="str">
        <f>IF(C1315&amp;G1315&amp;D1315&lt;&gt;'Funnel setup'!$K$3&amp;'Funnel setup'!$K$4&amp;'Funnel setup'!$K$5,".",IF(A1314=".",1,A1314+1))</f>
        <v>.</v>
      </c>
      <c r="B1315" s="431" t="str">
        <f t="shared" si="20"/>
        <v>Hip Replacement PrimaryCCG of GP PracticeNHS NORTHERN, EASTERN AND WESTERN DEVON CCG (99P)EQ-5D Index</v>
      </c>
      <c r="C1315" t="s">
        <v>248</v>
      </c>
      <c r="D1315" t="s">
        <v>87</v>
      </c>
      <c r="E1315" t="s">
        <v>678</v>
      </c>
      <c r="F1315" t="s">
        <v>679</v>
      </c>
      <c r="G1315" t="s">
        <v>52</v>
      </c>
      <c r="H1315">
        <v>1018</v>
      </c>
      <c r="I1315">
        <v>0.37</v>
      </c>
      <c r="J1315">
        <v>0.81200000000000006</v>
      </c>
      <c r="K1315">
        <v>0.441</v>
      </c>
      <c r="L1315">
        <v>927</v>
      </c>
      <c r="M1315">
        <v>47</v>
      </c>
      <c r="N1315">
        <v>44</v>
      </c>
      <c r="O1315">
        <v>0.81</v>
      </c>
      <c r="P1315">
        <v>0.44791835200000002</v>
      </c>
      <c r="Q1315">
        <v>0.216</v>
      </c>
    </row>
    <row r="1316" spans="1:17" s="30" customFormat="1" x14ac:dyDescent="0.2">
      <c r="A1316" s="30" t="str">
        <f>IF(C1316&amp;G1316&amp;D1316&lt;&gt;'Funnel setup'!$K$3&amp;'Funnel setup'!$K$4&amp;'Funnel setup'!$K$5,".",IF(A1315=".",1,A1315+1))</f>
        <v>.</v>
      </c>
      <c r="B1316" s="431" t="str">
        <f t="shared" si="20"/>
        <v>Hip Replacement PrimaryCCG of GP PracticeNHS NORTHUMBERLAND CCG (00L)EQ-5D Index</v>
      </c>
      <c r="C1316" t="s">
        <v>248</v>
      </c>
      <c r="D1316" t="s">
        <v>87</v>
      </c>
      <c r="E1316" t="s">
        <v>681</v>
      </c>
      <c r="F1316" t="s">
        <v>336</v>
      </c>
      <c r="G1316" t="s">
        <v>52</v>
      </c>
      <c r="H1316">
        <v>331</v>
      </c>
      <c r="I1316">
        <v>0.34100000000000003</v>
      </c>
      <c r="J1316">
        <v>0.80500000000000005</v>
      </c>
      <c r="K1316">
        <v>0.46400000000000002</v>
      </c>
      <c r="L1316">
        <v>301</v>
      </c>
      <c r="M1316">
        <v>19</v>
      </c>
      <c r="N1316">
        <v>11</v>
      </c>
      <c r="O1316">
        <v>0.80900000000000005</v>
      </c>
      <c r="P1316">
        <v>0.44759644599999998</v>
      </c>
      <c r="Q1316">
        <v>0.218</v>
      </c>
    </row>
    <row r="1317" spans="1:17" s="30" customFormat="1" x14ac:dyDescent="0.2">
      <c r="A1317" s="30" t="str">
        <f>IF(C1317&amp;G1317&amp;D1317&lt;&gt;'Funnel setup'!$K$3&amp;'Funnel setup'!$K$4&amp;'Funnel setup'!$K$5,".",IF(A1316=".",1,A1316+1))</f>
        <v>.</v>
      </c>
      <c r="B1317" s="431" t="str">
        <f t="shared" si="20"/>
        <v>Hip Replacement PrimaryCCG of GP PracticeNHS NORWICH CCG (06W)EQ-5D Index</v>
      </c>
      <c r="C1317" t="s">
        <v>248</v>
      </c>
      <c r="D1317" t="s">
        <v>87</v>
      </c>
      <c r="E1317" t="s">
        <v>770</v>
      </c>
      <c r="F1317" t="s">
        <v>771</v>
      </c>
      <c r="G1317" t="s">
        <v>52</v>
      </c>
      <c r="H1317">
        <v>132</v>
      </c>
      <c r="I1317">
        <v>0.33100000000000002</v>
      </c>
      <c r="J1317">
        <v>0.754</v>
      </c>
      <c r="K1317">
        <v>0.42299999999999999</v>
      </c>
      <c r="L1317">
        <v>116</v>
      </c>
      <c r="M1317">
        <v>8</v>
      </c>
      <c r="N1317">
        <v>8</v>
      </c>
      <c r="O1317">
        <v>0.76200000000000001</v>
      </c>
      <c r="P1317">
        <v>0.40082466</v>
      </c>
      <c r="Q1317">
        <v>0.25700000000000001</v>
      </c>
    </row>
    <row r="1318" spans="1:17" s="30" customFormat="1" x14ac:dyDescent="0.2">
      <c r="A1318" s="30" t="str">
        <f>IF(C1318&amp;G1318&amp;D1318&lt;&gt;'Funnel setup'!$K$3&amp;'Funnel setup'!$K$4&amp;'Funnel setup'!$K$5,".",IF(A1317=".",1,A1317+1))</f>
        <v>.</v>
      </c>
      <c r="B1318" s="431" t="str">
        <f t="shared" si="20"/>
        <v>Hip Replacement PrimaryCCG of GP PracticeNHS NOTTINGHAM CITY CCG (04K)EQ-5D Index</v>
      </c>
      <c r="C1318" t="s">
        <v>248</v>
      </c>
      <c r="D1318" t="s">
        <v>87</v>
      </c>
      <c r="E1318" t="s">
        <v>773</v>
      </c>
      <c r="F1318" t="s">
        <v>774</v>
      </c>
      <c r="G1318" t="s">
        <v>52</v>
      </c>
      <c r="H1318">
        <v>115</v>
      </c>
      <c r="I1318">
        <v>0.377</v>
      </c>
      <c r="J1318">
        <v>0.79300000000000004</v>
      </c>
      <c r="K1318">
        <v>0.41699999999999998</v>
      </c>
      <c r="L1318">
        <v>103</v>
      </c>
      <c r="M1318">
        <v>7</v>
      </c>
      <c r="N1318">
        <v>5</v>
      </c>
      <c r="O1318">
        <v>0.81299999999999994</v>
      </c>
      <c r="P1318">
        <v>0.45168888299999999</v>
      </c>
      <c r="Q1318">
        <v>0.20300000000000001</v>
      </c>
    </row>
    <row r="1319" spans="1:17" s="30" customFormat="1" x14ac:dyDescent="0.2">
      <c r="A1319" s="30" t="str">
        <f>IF(C1319&amp;G1319&amp;D1319&lt;&gt;'Funnel setup'!$K$3&amp;'Funnel setup'!$K$4&amp;'Funnel setup'!$K$5,".",IF(A1318=".",1,A1318+1))</f>
        <v>.</v>
      </c>
      <c r="B1319" s="431" t="str">
        <f t="shared" si="20"/>
        <v>Hip Replacement PrimaryCCG of GP PracticeNHS NOTTINGHAM NORTH AND EAST CCG (04L)EQ-5D Index</v>
      </c>
      <c r="C1319" t="s">
        <v>248</v>
      </c>
      <c r="D1319" t="s">
        <v>87</v>
      </c>
      <c r="E1319" t="s">
        <v>776</v>
      </c>
      <c r="F1319" t="s">
        <v>777</v>
      </c>
      <c r="G1319" t="s">
        <v>52</v>
      </c>
      <c r="H1319">
        <v>134</v>
      </c>
      <c r="I1319">
        <v>0.39200000000000002</v>
      </c>
      <c r="J1319">
        <v>0.78400000000000003</v>
      </c>
      <c r="K1319">
        <v>0.39200000000000002</v>
      </c>
      <c r="L1319">
        <v>120</v>
      </c>
      <c r="M1319">
        <v>6</v>
      </c>
      <c r="N1319">
        <v>8</v>
      </c>
      <c r="O1319">
        <v>0.77500000000000002</v>
      </c>
      <c r="P1319">
        <v>0.41326153399999999</v>
      </c>
      <c r="Q1319">
        <v>0.19600000000000001</v>
      </c>
    </row>
    <row r="1320" spans="1:17" s="30" customFormat="1" x14ac:dyDescent="0.2">
      <c r="A1320" s="30" t="str">
        <f>IF(C1320&amp;G1320&amp;D1320&lt;&gt;'Funnel setup'!$K$3&amp;'Funnel setup'!$K$4&amp;'Funnel setup'!$K$5,".",IF(A1319=".",1,A1319+1))</f>
        <v>.</v>
      </c>
      <c r="B1320" s="431" t="str">
        <f t="shared" si="20"/>
        <v>Hip Replacement PrimaryCCG of GP PracticeNHS NOTTINGHAM WEST CCG (04M)EQ-5D Index</v>
      </c>
      <c r="C1320" t="s">
        <v>248</v>
      </c>
      <c r="D1320" t="s">
        <v>87</v>
      </c>
      <c r="E1320" t="s">
        <v>779</v>
      </c>
      <c r="F1320" t="s">
        <v>780</v>
      </c>
      <c r="G1320" t="s">
        <v>52</v>
      </c>
      <c r="H1320">
        <v>83</v>
      </c>
      <c r="I1320">
        <v>0.36099999999999999</v>
      </c>
      <c r="J1320">
        <v>0.82099999999999995</v>
      </c>
      <c r="K1320">
        <v>0.46</v>
      </c>
      <c r="L1320">
        <v>72</v>
      </c>
      <c r="M1320">
        <v>4</v>
      </c>
      <c r="N1320">
        <v>7</v>
      </c>
      <c r="O1320">
        <v>0.81200000000000006</v>
      </c>
      <c r="P1320">
        <v>0.450242225</v>
      </c>
      <c r="Q1320">
        <v>0.19400000000000001</v>
      </c>
    </row>
    <row r="1321" spans="1:17" s="30" customFormat="1" x14ac:dyDescent="0.2">
      <c r="A1321" s="30" t="str">
        <f>IF(C1321&amp;G1321&amp;D1321&lt;&gt;'Funnel setup'!$K$3&amp;'Funnel setup'!$K$4&amp;'Funnel setup'!$K$5,".",IF(A1320=".",1,A1320+1))</f>
        <v>.</v>
      </c>
      <c r="B1321" s="431" t="str">
        <f t="shared" si="20"/>
        <v>Hip Replacement PrimaryCCG of GP PracticeNHS OLDHAM CCG (00Y)EQ-5D Index</v>
      </c>
      <c r="C1321" t="s">
        <v>248</v>
      </c>
      <c r="D1321" t="s">
        <v>87</v>
      </c>
      <c r="E1321" t="s">
        <v>782</v>
      </c>
      <c r="F1321" t="s">
        <v>783</v>
      </c>
      <c r="G1321" t="s">
        <v>52</v>
      </c>
      <c r="H1321">
        <v>114</v>
      </c>
      <c r="I1321">
        <v>0.26400000000000001</v>
      </c>
      <c r="J1321">
        <v>0.76</v>
      </c>
      <c r="K1321">
        <v>0.497</v>
      </c>
      <c r="L1321">
        <v>101</v>
      </c>
      <c r="M1321">
        <v>5</v>
      </c>
      <c r="N1321">
        <v>8</v>
      </c>
      <c r="O1321">
        <v>0.79800000000000004</v>
      </c>
      <c r="P1321">
        <v>0.43646162399999999</v>
      </c>
      <c r="Q1321">
        <v>0.23799999999999999</v>
      </c>
    </row>
    <row r="1322" spans="1:17" s="30" customFormat="1" x14ac:dyDescent="0.2">
      <c r="A1322" s="30" t="str">
        <f>IF(C1322&amp;G1322&amp;D1322&lt;&gt;'Funnel setup'!$K$3&amp;'Funnel setup'!$K$4&amp;'Funnel setup'!$K$5,".",IF(A1321=".",1,A1321+1))</f>
        <v>.</v>
      </c>
      <c r="B1322" s="431" t="str">
        <f t="shared" si="20"/>
        <v>Hip Replacement PrimaryCCG of GP PracticeNHS OXFORDSHIRE CCG (10Q)EQ-5D Index</v>
      </c>
      <c r="C1322" t="s">
        <v>248</v>
      </c>
      <c r="D1322" t="s">
        <v>87</v>
      </c>
      <c r="E1322" t="s">
        <v>785</v>
      </c>
      <c r="F1322" t="s">
        <v>786</v>
      </c>
      <c r="G1322" t="s">
        <v>52</v>
      </c>
      <c r="H1322">
        <v>542</v>
      </c>
      <c r="I1322">
        <v>0.38</v>
      </c>
      <c r="J1322">
        <v>0.82199999999999995</v>
      </c>
      <c r="K1322">
        <v>0.442</v>
      </c>
      <c r="L1322">
        <v>495</v>
      </c>
      <c r="M1322">
        <v>23</v>
      </c>
      <c r="N1322">
        <v>24</v>
      </c>
      <c r="O1322">
        <v>0.81</v>
      </c>
      <c r="P1322">
        <v>0.44807644800000002</v>
      </c>
      <c r="Q1322">
        <v>0.21199999999999999</v>
      </c>
    </row>
    <row r="1323" spans="1:17" s="30" customFormat="1" x14ac:dyDescent="0.2">
      <c r="A1323" s="30" t="str">
        <f>IF(C1323&amp;G1323&amp;D1323&lt;&gt;'Funnel setup'!$K$3&amp;'Funnel setup'!$K$4&amp;'Funnel setup'!$K$5,".",IF(A1322=".",1,A1322+1))</f>
        <v>.</v>
      </c>
      <c r="B1323" s="431" t="str">
        <f t="shared" si="20"/>
        <v>Hip Replacement PrimaryCCG of GP PracticeNHS PORTSMOUTH CCG (10R)EQ-5D Index</v>
      </c>
      <c r="C1323" t="s">
        <v>248</v>
      </c>
      <c r="D1323" t="s">
        <v>87</v>
      </c>
      <c r="E1323" t="s">
        <v>788</v>
      </c>
      <c r="F1323" t="s">
        <v>789</v>
      </c>
      <c r="G1323" t="s">
        <v>52</v>
      </c>
      <c r="H1323">
        <v>62</v>
      </c>
      <c r="I1323">
        <v>0.32400000000000001</v>
      </c>
      <c r="J1323">
        <v>0.78</v>
      </c>
      <c r="K1323">
        <v>0.45600000000000002</v>
      </c>
      <c r="L1323">
        <v>57</v>
      </c>
      <c r="M1323">
        <v>3</v>
      </c>
      <c r="N1323">
        <v>2</v>
      </c>
      <c r="O1323">
        <v>0.79600000000000004</v>
      </c>
      <c r="P1323">
        <v>0.43476206299999998</v>
      </c>
      <c r="Q1323">
        <v>0.247</v>
      </c>
    </row>
    <row r="1324" spans="1:17" s="30" customFormat="1" x14ac:dyDescent="0.2">
      <c r="A1324" s="30" t="str">
        <f>IF(C1324&amp;G1324&amp;D1324&lt;&gt;'Funnel setup'!$K$3&amp;'Funnel setup'!$K$4&amp;'Funnel setup'!$K$5,".",IF(A1323=".",1,A1323+1))</f>
        <v>.</v>
      </c>
      <c r="B1324" s="431" t="str">
        <f t="shared" si="20"/>
        <v>Hip Replacement PrimaryCCG of GP PracticeNHS REDBRIDGE CCG (08N)EQ-5D Index</v>
      </c>
      <c r="C1324" t="s">
        <v>248</v>
      </c>
      <c r="D1324" t="s">
        <v>87</v>
      </c>
      <c r="E1324" t="s">
        <v>791</v>
      </c>
      <c r="F1324" t="s">
        <v>792</v>
      </c>
      <c r="G1324" t="s">
        <v>52</v>
      </c>
      <c r="H1324">
        <v>54</v>
      </c>
      <c r="I1324">
        <v>0.34100000000000003</v>
      </c>
      <c r="J1324">
        <v>0.76500000000000001</v>
      </c>
      <c r="K1324">
        <v>0.42399999999999999</v>
      </c>
      <c r="L1324">
        <v>50</v>
      </c>
      <c r="M1324">
        <v>1</v>
      </c>
      <c r="N1324">
        <v>3</v>
      </c>
      <c r="O1324">
        <v>0.78</v>
      </c>
      <c r="P1324">
        <v>0.41879844100000002</v>
      </c>
      <c r="Q1324">
        <v>0.21299999999999999</v>
      </c>
    </row>
    <row r="1325" spans="1:17" s="30" customFormat="1" x14ac:dyDescent="0.2">
      <c r="A1325" s="30" t="str">
        <f>IF(C1325&amp;G1325&amp;D1325&lt;&gt;'Funnel setup'!$K$3&amp;'Funnel setup'!$K$4&amp;'Funnel setup'!$K$5,".",IF(A1324=".",1,A1324+1))</f>
        <v>.</v>
      </c>
      <c r="B1325" s="431" t="str">
        <f t="shared" si="20"/>
        <v>Hip Replacement PrimaryCCG of GP PracticeNHS REDDITCH AND BROMSGROVE CCG (05J)EQ-5D Index</v>
      </c>
      <c r="C1325" t="s">
        <v>248</v>
      </c>
      <c r="D1325" t="s">
        <v>87</v>
      </c>
      <c r="E1325" t="s">
        <v>794</v>
      </c>
      <c r="F1325" t="s">
        <v>795</v>
      </c>
      <c r="G1325" t="s">
        <v>52</v>
      </c>
      <c r="H1325">
        <v>143</v>
      </c>
      <c r="I1325">
        <v>0.33100000000000002</v>
      </c>
      <c r="J1325">
        <v>0.80500000000000005</v>
      </c>
      <c r="K1325">
        <v>0.47399999999999998</v>
      </c>
      <c r="L1325">
        <v>137</v>
      </c>
      <c r="M1325">
        <v>3</v>
      </c>
      <c r="N1325">
        <v>3</v>
      </c>
      <c r="O1325">
        <v>0.80100000000000005</v>
      </c>
      <c r="P1325">
        <v>0.43964901899999997</v>
      </c>
      <c r="Q1325">
        <v>0.188</v>
      </c>
    </row>
    <row r="1326" spans="1:17" s="30" customFormat="1" x14ac:dyDescent="0.2">
      <c r="A1326" s="30" t="str">
        <f>IF(C1326&amp;G1326&amp;D1326&lt;&gt;'Funnel setup'!$K$3&amp;'Funnel setup'!$K$4&amp;'Funnel setup'!$K$5,".",IF(A1325=".",1,A1325+1))</f>
        <v>.</v>
      </c>
      <c r="B1326" s="431" t="str">
        <f t="shared" si="20"/>
        <v>Hip Replacement PrimaryCCG of GP PracticeNHS RICHMOND CCG (08P)EQ-5D Index</v>
      </c>
      <c r="C1326" t="s">
        <v>248</v>
      </c>
      <c r="D1326" t="s">
        <v>87</v>
      </c>
      <c r="E1326" t="s">
        <v>797</v>
      </c>
      <c r="F1326" t="s">
        <v>798</v>
      </c>
      <c r="G1326" t="s">
        <v>52</v>
      </c>
      <c r="H1326">
        <v>89</v>
      </c>
      <c r="I1326">
        <v>0.43</v>
      </c>
      <c r="J1326">
        <v>0.82699999999999996</v>
      </c>
      <c r="K1326">
        <v>0.39700000000000002</v>
      </c>
      <c r="L1326">
        <v>79</v>
      </c>
      <c r="M1326">
        <v>4</v>
      </c>
      <c r="N1326">
        <v>6</v>
      </c>
      <c r="O1326">
        <v>0.80100000000000005</v>
      </c>
      <c r="P1326">
        <v>0.43945158699999998</v>
      </c>
      <c r="Q1326">
        <v>0.17599999999999999</v>
      </c>
    </row>
    <row r="1327" spans="1:17" s="30" customFormat="1" x14ac:dyDescent="0.2">
      <c r="A1327" s="30" t="str">
        <f>IF(C1327&amp;G1327&amp;D1327&lt;&gt;'Funnel setup'!$K$3&amp;'Funnel setup'!$K$4&amp;'Funnel setup'!$K$5,".",IF(A1326=".",1,A1326+1))</f>
        <v>.</v>
      </c>
      <c r="B1327" s="431" t="str">
        <f t="shared" si="20"/>
        <v>Hip Replacement PrimaryCCG of GP PracticeNHS ROTHERHAM CCG (03L)EQ-5D Index</v>
      </c>
      <c r="C1327" t="s">
        <v>248</v>
      </c>
      <c r="D1327" t="s">
        <v>87</v>
      </c>
      <c r="E1327" t="s">
        <v>800</v>
      </c>
      <c r="F1327" t="s">
        <v>801</v>
      </c>
      <c r="G1327" t="s">
        <v>52</v>
      </c>
      <c r="H1327">
        <v>175</v>
      </c>
      <c r="I1327">
        <v>0.31900000000000001</v>
      </c>
      <c r="J1327">
        <v>0.79800000000000004</v>
      </c>
      <c r="K1327">
        <v>0.47899999999999998</v>
      </c>
      <c r="L1327">
        <v>158</v>
      </c>
      <c r="M1327">
        <v>6</v>
      </c>
      <c r="N1327">
        <v>11</v>
      </c>
      <c r="O1327">
        <v>0.81399999999999995</v>
      </c>
      <c r="P1327">
        <v>0.452543959</v>
      </c>
      <c r="Q1327">
        <v>0.23599999999999999</v>
      </c>
    </row>
    <row r="1328" spans="1:17" s="30" customFormat="1" x14ac:dyDescent="0.2">
      <c r="A1328" s="30" t="str">
        <f>IF(C1328&amp;G1328&amp;D1328&lt;&gt;'Funnel setup'!$K$3&amp;'Funnel setup'!$K$4&amp;'Funnel setup'!$K$5,".",IF(A1327=".",1,A1327+1))</f>
        <v>.</v>
      </c>
      <c r="B1328" s="431" t="str">
        <f t="shared" si="20"/>
        <v>Hip Replacement PrimaryCCG of GP PracticeNHS RUSHCLIFFE CCG (04N)EQ-5D Index</v>
      </c>
      <c r="C1328" t="s">
        <v>248</v>
      </c>
      <c r="D1328" t="s">
        <v>87</v>
      </c>
      <c r="E1328" t="s">
        <v>803</v>
      </c>
      <c r="F1328" t="s">
        <v>804</v>
      </c>
      <c r="G1328" t="s">
        <v>52</v>
      </c>
      <c r="H1328">
        <v>104</v>
      </c>
      <c r="I1328">
        <v>0.377</v>
      </c>
      <c r="J1328">
        <v>0.81399999999999995</v>
      </c>
      <c r="K1328">
        <v>0.438</v>
      </c>
      <c r="L1328">
        <v>95</v>
      </c>
      <c r="M1328">
        <v>6</v>
      </c>
      <c r="N1328">
        <v>3</v>
      </c>
      <c r="O1328">
        <v>0.79500000000000004</v>
      </c>
      <c r="P1328">
        <v>0.43383272299999998</v>
      </c>
      <c r="Q1328">
        <v>0.184</v>
      </c>
    </row>
    <row r="1329" spans="1:17" s="30" customFormat="1" x14ac:dyDescent="0.2">
      <c r="A1329" s="30" t="str">
        <f>IF(C1329&amp;G1329&amp;D1329&lt;&gt;'Funnel setup'!$K$3&amp;'Funnel setup'!$K$4&amp;'Funnel setup'!$K$5,".",IF(A1328=".",1,A1328+1))</f>
        <v>.</v>
      </c>
      <c r="B1329" s="431" t="str">
        <f t="shared" si="20"/>
        <v>Hip Replacement PrimaryCCG of GP PracticeNHS SALFORD CCG (01G)EQ-5D Index</v>
      </c>
      <c r="C1329" t="s">
        <v>248</v>
      </c>
      <c r="D1329" t="s">
        <v>87</v>
      </c>
      <c r="E1329" t="s">
        <v>806</v>
      </c>
      <c r="F1329" t="s">
        <v>807</v>
      </c>
      <c r="G1329" t="s">
        <v>52</v>
      </c>
      <c r="H1329">
        <v>87</v>
      </c>
      <c r="I1329">
        <v>0.308</v>
      </c>
      <c r="J1329">
        <v>0.76100000000000001</v>
      </c>
      <c r="K1329">
        <v>0.45300000000000001</v>
      </c>
      <c r="L1329">
        <v>79</v>
      </c>
      <c r="M1329">
        <v>4</v>
      </c>
      <c r="N1329">
        <v>4</v>
      </c>
      <c r="O1329">
        <v>0.79600000000000004</v>
      </c>
      <c r="P1329">
        <v>0.43462812499999998</v>
      </c>
      <c r="Q1329">
        <v>0.222</v>
      </c>
    </row>
    <row r="1330" spans="1:17" s="30" customFormat="1" x14ac:dyDescent="0.2">
      <c r="A1330" s="30" t="str">
        <f>IF(C1330&amp;G1330&amp;D1330&lt;&gt;'Funnel setup'!$K$3&amp;'Funnel setup'!$K$4&amp;'Funnel setup'!$K$5,".",IF(A1329=".",1,A1329+1))</f>
        <v>.</v>
      </c>
      <c r="B1330" s="431" t="str">
        <f t="shared" si="20"/>
        <v>Hip Replacement PrimaryCCG of GP PracticeNHS SANDWELL AND WEST BIRMINGHAM CCG (05L)EQ-5D Index</v>
      </c>
      <c r="C1330" t="s">
        <v>248</v>
      </c>
      <c r="D1330" t="s">
        <v>87</v>
      </c>
      <c r="E1330" t="s">
        <v>809</v>
      </c>
      <c r="F1330" t="s">
        <v>810</v>
      </c>
      <c r="G1330" t="s">
        <v>52</v>
      </c>
      <c r="H1330">
        <v>213</v>
      </c>
      <c r="I1330">
        <v>0.255</v>
      </c>
      <c r="J1330">
        <v>0.72499999999999998</v>
      </c>
      <c r="K1330">
        <v>0.47</v>
      </c>
      <c r="L1330">
        <v>188</v>
      </c>
      <c r="M1330">
        <v>10</v>
      </c>
      <c r="N1330">
        <v>15</v>
      </c>
      <c r="O1330">
        <v>0.79200000000000004</v>
      </c>
      <c r="P1330">
        <v>0.42999939999999998</v>
      </c>
      <c r="Q1330">
        <v>0.22900000000000001</v>
      </c>
    </row>
    <row r="1331" spans="1:17" s="30" customFormat="1" x14ac:dyDescent="0.2">
      <c r="A1331" s="30" t="str">
        <f>IF(C1331&amp;G1331&amp;D1331&lt;&gt;'Funnel setup'!$K$3&amp;'Funnel setup'!$K$4&amp;'Funnel setup'!$K$5,".",IF(A1330=".",1,A1330+1))</f>
        <v>.</v>
      </c>
      <c r="B1331" s="431" t="str">
        <f t="shared" si="20"/>
        <v>Hip Replacement PrimaryCCG of GP PracticeNHS SCARBOROUGH AND RYEDALE CCG (03M)EQ-5D Index</v>
      </c>
      <c r="C1331" t="s">
        <v>248</v>
      </c>
      <c r="D1331" t="s">
        <v>87</v>
      </c>
      <c r="E1331" t="s">
        <v>812</v>
      </c>
      <c r="F1331" t="s">
        <v>813</v>
      </c>
      <c r="G1331" t="s">
        <v>52</v>
      </c>
      <c r="H1331">
        <v>153</v>
      </c>
      <c r="I1331">
        <v>0.35599999999999998</v>
      </c>
      <c r="J1331">
        <v>0.83299999999999996</v>
      </c>
      <c r="K1331">
        <v>0.47799999999999998</v>
      </c>
      <c r="L1331">
        <v>139</v>
      </c>
      <c r="M1331">
        <v>6</v>
      </c>
      <c r="N1331">
        <v>8</v>
      </c>
      <c r="O1331">
        <v>0.82799999999999996</v>
      </c>
      <c r="P1331">
        <v>0.46659569000000001</v>
      </c>
      <c r="Q1331">
        <v>0.17799999999999999</v>
      </c>
    </row>
    <row r="1332" spans="1:17" s="30" customFormat="1" x14ac:dyDescent="0.2">
      <c r="A1332" s="30" t="str">
        <f>IF(C1332&amp;G1332&amp;D1332&lt;&gt;'Funnel setup'!$K$3&amp;'Funnel setup'!$K$4&amp;'Funnel setup'!$K$5,".",IF(A1331=".",1,A1331+1))</f>
        <v>.</v>
      </c>
      <c r="B1332" s="431" t="str">
        <f t="shared" si="20"/>
        <v>Hip Replacement PrimaryCCG of GP PracticeNHS SHEFFIELD CCG (03N)EQ-5D Index</v>
      </c>
      <c r="C1332" t="s">
        <v>248</v>
      </c>
      <c r="D1332" t="s">
        <v>87</v>
      </c>
      <c r="E1332" t="s">
        <v>815</v>
      </c>
      <c r="F1332" t="s">
        <v>816</v>
      </c>
      <c r="G1332" t="s">
        <v>52</v>
      </c>
      <c r="H1332">
        <v>348</v>
      </c>
      <c r="I1332">
        <v>0.34200000000000003</v>
      </c>
      <c r="J1332">
        <v>0.78700000000000003</v>
      </c>
      <c r="K1332">
        <v>0.44600000000000001</v>
      </c>
      <c r="L1332">
        <v>307</v>
      </c>
      <c r="M1332">
        <v>19</v>
      </c>
      <c r="N1332">
        <v>22</v>
      </c>
      <c r="O1332">
        <v>0.79600000000000004</v>
      </c>
      <c r="P1332">
        <v>0.43392084600000003</v>
      </c>
      <c r="Q1332">
        <v>0.215</v>
      </c>
    </row>
    <row r="1333" spans="1:17" s="30" customFormat="1" x14ac:dyDescent="0.2">
      <c r="A1333" s="30" t="str">
        <f>IF(C1333&amp;G1333&amp;D1333&lt;&gt;'Funnel setup'!$K$3&amp;'Funnel setup'!$K$4&amp;'Funnel setup'!$K$5,".",IF(A1332=".",1,A1332+1))</f>
        <v>.</v>
      </c>
      <c r="B1333" s="431" t="str">
        <f t="shared" si="20"/>
        <v>Hip Replacement PrimaryCCG of GP PracticeNHS SHROPSHIRE CCG (05N)EQ-5D Index</v>
      </c>
      <c r="C1333" t="s">
        <v>248</v>
      </c>
      <c r="D1333" t="s">
        <v>87</v>
      </c>
      <c r="E1333" t="s">
        <v>818</v>
      </c>
      <c r="F1333" t="s">
        <v>819</v>
      </c>
      <c r="G1333" t="s">
        <v>52</v>
      </c>
      <c r="H1333">
        <v>379</v>
      </c>
      <c r="I1333">
        <v>0.29299999999999998</v>
      </c>
      <c r="J1333">
        <v>0.80900000000000005</v>
      </c>
      <c r="K1333">
        <v>0.51700000000000002</v>
      </c>
      <c r="L1333">
        <v>351</v>
      </c>
      <c r="M1333">
        <v>15</v>
      </c>
      <c r="N1333">
        <v>13</v>
      </c>
      <c r="O1333">
        <v>0.77500000000000002</v>
      </c>
      <c r="P1333">
        <v>0.41357769799999999</v>
      </c>
      <c r="Q1333">
        <v>0.20699999999999999</v>
      </c>
    </row>
    <row r="1334" spans="1:17" s="30" customFormat="1" x14ac:dyDescent="0.2">
      <c r="A1334" s="30" t="str">
        <f>IF(C1334&amp;G1334&amp;D1334&lt;&gt;'Funnel setup'!$K$3&amp;'Funnel setup'!$K$4&amp;'Funnel setup'!$K$5,".",IF(A1333=".",1,A1333+1))</f>
        <v>.</v>
      </c>
      <c r="B1334" s="431" t="str">
        <f t="shared" si="20"/>
        <v>Hip Replacement PrimaryCCG of GP PracticeNHS SLOUGH CCG (10T)EQ-5D Index</v>
      </c>
      <c r="C1334" t="s">
        <v>248</v>
      </c>
      <c r="D1334" t="s">
        <v>87</v>
      </c>
      <c r="E1334" t="s">
        <v>821</v>
      </c>
      <c r="F1334" t="s">
        <v>822</v>
      </c>
      <c r="G1334" t="s">
        <v>52</v>
      </c>
      <c r="H1334">
        <v>31</v>
      </c>
      <c r="I1334">
        <v>0.33900000000000002</v>
      </c>
      <c r="J1334">
        <v>0.71099999999999997</v>
      </c>
      <c r="K1334">
        <v>0.372</v>
      </c>
      <c r="L1334">
        <v>26</v>
      </c>
      <c r="M1334">
        <v>3</v>
      </c>
      <c r="N1334">
        <v>2</v>
      </c>
      <c r="O1334">
        <v>0.74299999999999999</v>
      </c>
      <c r="P1334">
        <v>0.38140621899999999</v>
      </c>
      <c r="Q1334">
        <v>0.23899999999999999</v>
      </c>
    </row>
    <row r="1335" spans="1:17" s="30" customFormat="1" x14ac:dyDescent="0.2">
      <c r="A1335" s="30" t="str">
        <f>IF(C1335&amp;G1335&amp;D1335&lt;&gt;'Funnel setup'!$K$3&amp;'Funnel setup'!$K$4&amp;'Funnel setup'!$K$5,".",IF(A1334=".",1,A1334+1))</f>
        <v>.</v>
      </c>
      <c r="B1335" s="431" t="str">
        <f t="shared" si="20"/>
        <v>Hip Replacement PrimaryCCG of GP PracticeNHS SOLIHULL CCG (05P)EQ-5D Index</v>
      </c>
      <c r="C1335" t="s">
        <v>248</v>
      </c>
      <c r="D1335" t="s">
        <v>87</v>
      </c>
      <c r="E1335" t="s">
        <v>824</v>
      </c>
      <c r="F1335" t="s">
        <v>825</v>
      </c>
      <c r="G1335" t="s">
        <v>52</v>
      </c>
      <c r="H1335">
        <v>206</v>
      </c>
      <c r="I1335">
        <v>0.39200000000000002</v>
      </c>
      <c r="J1335">
        <v>0.78700000000000003</v>
      </c>
      <c r="K1335">
        <v>0.39500000000000002</v>
      </c>
      <c r="L1335">
        <v>182</v>
      </c>
      <c r="M1335">
        <v>13</v>
      </c>
      <c r="N1335">
        <v>11</v>
      </c>
      <c r="O1335">
        <v>0.77400000000000002</v>
      </c>
      <c r="P1335">
        <v>0.41191287500000001</v>
      </c>
      <c r="Q1335">
        <v>0.20599999999999999</v>
      </c>
    </row>
    <row r="1336" spans="1:17" s="30" customFormat="1" x14ac:dyDescent="0.2">
      <c r="A1336" s="30" t="str">
        <f>IF(C1336&amp;G1336&amp;D1336&lt;&gt;'Funnel setup'!$K$3&amp;'Funnel setup'!$K$4&amp;'Funnel setup'!$K$5,".",IF(A1335=".",1,A1335+1))</f>
        <v>.</v>
      </c>
      <c r="B1336" s="431" t="str">
        <f t="shared" si="20"/>
        <v>Hip Replacement PrimaryCCG of GP PracticeNHS SOMERSET CCG (11X)EQ-5D Index</v>
      </c>
      <c r="C1336" t="s">
        <v>248</v>
      </c>
      <c r="D1336" t="s">
        <v>87</v>
      </c>
      <c r="E1336" t="s">
        <v>827</v>
      </c>
      <c r="F1336" t="s">
        <v>828</v>
      </c>
      <c r="G1336" t="s">
        <v>52</v>
      </c>
      <c r="H1336">
        <v>488</v>
      </c>
      <c r="I1336">
        <v>0.40100000000000002</v>
      </c>
      <c r="J1336">
        <v>0.85199999999999998</v>
      </c>
      <c r="K1336">
        <v>0.45100000000000001</v>
      </c>
      <c r="L1336">
        <v>450</v>
      </c>
      <c r="M1336">
        <v>25</v>
      </c>
      <c r="N1336">
        <v>13</v>
      </c>
      <c r="O1336">
        <v>0.82699999999999996</v>
      </c>
      <c r="P1336">
        <v>0.464884568</v>
      </c>
      <c r="Q1336">
        <v>0.19700000000000001</v>
      </c>
    </row>
    <row r="1337" spans="1:17" s="30" customFormat="1" x14ac:dyDescent="0.2">
      <c r="A1337" s="30" t="str">
        <f>IF(C1337&amp;G1337&amp;D1337&lt;&gt;'Funnel setup'!$K$3&amp;'Funnel setup'!$K$4&amp;'Funnel setup'!$K$5,".",IF(A1336=".",1,A1336+1))</f>
        <v>.</v>
      </c>
      <c r="B1337" s="431" t="str">
        <f t="shared" si="20"/>
        <v>Hip Replacement PrimaryCCG of GP PracticeNHS SOUTH CHESHIRE CCG (01R)EQ-5D Index</v>
      </c>
      <c r="C1337" t="s">
        <v>248</v>
      </c>
      <c r="D1337" t="s">
        <v>87</v>
      </c>
      <c r="E1337" t="s">
        <v>830</v>
      </c>
      <c r="F1337" t="s">
        <v>831</v>
      </c>
      <c r="G1337" t="s">
        <v>52</v>
      </c>
      <c r="H1337">
        <v>161</v>
      </c>
      <c r="I1337">
        <v>0.36699999999999999</v>
      </c>
      <c r="J1337">
        <v>0.83</v>
      </c>
      <c r="K1337">
        <v>0.46300000000000002</v>
      </c>
      <c r="L1337">
        <v>148</v>
      </c>
      <c r="M1337">
        <v>7</v>
      </c>
      <c r="N1337">
        <v>6</v>
      </c>
      <c r="O1337">
        <v>0.80600000000000005</v>
      </c>
      <c r="P1337">
        <v>0.444174862</v>
      </c>
      <c r="Q1337">
        <v>0.192</v>
      </c>
    </row>
    <row r="1338" spans="1:17" s="30" customFormat="1" x14ac:dyDescent="0.2">
      <c r="A1338" s="30" t="str">
        <f>IF(C1338&amp;G1338&amp;D1338&lt;&gt;'Funnel setup'!$K$3&amp;'Funnel setup'!$K$4&amp;'Funnel setup'!$K$5,".",IF(A1337=".",1,A1337+1))</f>
        <v>.</v>
      </c>
      <c r="B1338" s="431" t="str">
        <f t="shared" si="20"/>
        <v>Hip Replacement PrimaryCCG of GP PracticeNHS SOUTH DEVON AND TORBAY CCG (99Q)EQ-5D Index</v>
      </c>
      <c r="C1338" t="s">
        <v>248</v>
      </c>
      <c r="D1338" t="s">
        <v>87</v>
      </c>
      <c r="E1338" t="s">
        <v>833</v>
      </c>
      <c r="F1338" t="s">
        <v>834</v>
      </c>
      <c r="G1338" t="s">
        <v>52</v>
      </c>
      <c r="H1338">
        <v>366</v>
      </c>
      <c r="I1338">
        <v>0.39700000000000002</v>
      </c>
      <c r="J1338">
        <v>0.79</v>
      </c>
      <c r="K1338">
        <v>0.39300000000000002</v>
      </c>
      <c r="L1338">
        <v>324</v>
      </c>
      <c r="M1338">
        <v>17</v>
      </c>
      <c r="N1338">
        <v>25</v>
      </c>
      <c r="O1338">
        <v>0.79400000000000004</v>
      </c>
      <c r="P1338">
        <v>0.43203498699999998</v>
      </c>
      <c r="Q1338">
        <v>0.24099999999999999</v>
      </c>
    </row>
    <row r="1339" spans="1:17" s="30" customFormat="1" x14ac:dyDescent="0.2">
      <c r="A1339" s="30" t="str">
        <f>IF(C1339&amp;G1339&amp;D1339&lt;&gt;'Funnel setup'!$K$3&amp;'Funnel setup'!$K$4&amp;'Funnel setup'!$K$5,".",IF(A1338=".",1,A1338+1))</f>
        <v>.</v>
      </c>
      <c r="B1339" s="431" t="str">
        <f t="shared" si="20"/>
        <v>Hip Replacement PrimaryCCG of GP PracticeNHS SOUTH EAST STAFFORDSHIRE AND SEISDON PENINSULA CCG (05Q)EQ-5D Index</v>
      </c>
      <c r="C1339" t="s">
        <v>248</v>
      </c>
      <c r="D1339" t="s">
        <v>87</v>
      </c>
      <c r="E1339" t="s">
        <v>836</v>
      </c>
      <c r="F1339" t="s">
        <v>837</v>
      </c>
      <c r="G1339" t="s">
        <v>52</v>
      </c>
      <c r="H1339">
        <v>171</v>
      </c>
      <c r="I1339">
        <v>0.34799999999999998</v>
      </c>
      <c r="J1339">
        <v>0.77500000000000002</v>
      </c>
      <c r="K1339">
        <v>0.42699999999999999</v>
      </c>
      <c r="L1339">
        <v>149</v>
      </c>
      <c r="M1339">
        <v>8</v>
      </c>
      <c r="N1339">
        <v>14</v>
      </c>
      <c r="O1339">
        <v>0.78300000000000003</v>
      </c>
      <c r="P1339">
        <v>0.42175406500000001</v>
      </c>
      <c r="Q1339">
        <v>0.23400000000000001</v>
      </c>
    </row>
    <row r="1340" spans="1:17" s="30" customFormat="1" x14ac:dyDescent="0.2">
      <c r="A1340" s="30" t="str">
        <f>IF(C1340&amp;G1340&amp;D1340&lt;&gt;'Funnel setup'!$K$3&amp;'Funnel setup'!$K$4&amp;'Funnel setup'!$K$5,".",IF(A1339=".",1,A1339+1))</f>
        <v>.</v>
      </c>
      <c r="B1340" s="431" t="str">
        <f t="shared" si="20"/>
        <v>Hip Replacement PrimaryCCG of GP PracticeNHS SOUTH EASTERN HAMPSHIRE CCG (10V)EQ-5D Index</v>
      </c>
      <c r="C1340" t="s">
        <v>248</v>
      </c>
      <c r="D1340" t="s">
        <v>87</v>
      </c>
      <c r="E1340" t="s">
        <v>839</v>
      </c>
      <c r="F1340" t="s">
        <v>840</v>
      </c>
      <c r="G1340" t="s">
        <v>52</v>
      </c>
      <c r="H1340">
        <v>137</v>
      </c>
      <c r="I1340">
        <v>0.36899999999999999</v>
      </c>
      <c r="J1340">
        <v>0.81799999999999995</v>
      </c>
      <c r="K1340">
        <v>0.45</v>
      </c>
      <c r="L1340">
        <v>130</v>
      </c>
      <c r="M1340">
        <v>4</v>
      </c>
      <c r="N1340">
        <v>3</v>
      </c>
      <c r="O1340">
        <v>0.81200000000000006</v>
      </c>
      <c r="P1340">
        <v>0.45076417200000002</v>
      </c>
      <c r="Q1340">
        <v>0.20899999999999999</v>
      </c>
    </row>
    <row r="1341" spans="1:17" s="30" customFormat="1" x14ac:dyDescent="0.2">
      <c r="A1341" s="30" t="str">
        <f>IF(C1341&amp;G1341&amp;D1341&lt;&gt;'Funnel setup'!$K$3&amp;'Funnel setup'!$K$4&amp;'Funnel setup'!$K$5,".",IF(A1340=".",1,A1340+1))</f>
        <v>.</v>
      </c>
      <c r="B1341" s="431" t="str">
        <f t="shared" si="20"/>
        <v>Hip Replacement PrimaryCCG of GP PracticeNHS SOUTH GLOUCESTERSHIRE CCG (12A)EQ-5D Index</v>
      </c>
      <c r="C1341" t="s">
        <v>248</v>
      </c>
      <c r="D1341" t="s">
        <v>87</v>
      </c>
      <c r="E1341" t="s">
        <v>842</v>
      </c>
      <c r="F1341" t="s">
        <v>843</v>
      </c>
      <c r="G1341" t="s">
        <v>52</v>
      </c>
      <c r="H1341">
        <v>210</v>
      </c>
      <c r="I1341">
        <v>0.441</v>
      </c>
      <c r="J1341">
        <v>0.84899999999999998</v>
      </c>
      <c r="K1341">
        <v>0.40899999999999997</v>
      </c>
      <c r="L1341">
        <v>187</v>
      </c>
      <c r="M1341">
        <v>15</v>
      </c>
      <c r="N1341">
        <v>8</v>
      </c>
      <c r="O1341">
        <v>0.81100000000000005</v>
      </c>
      <c r="P1341">
        <v>0.449396195</v>
      </c>
      <c r="Q1341">
        <v>0.18</v>
      </c>
    </row>
    <row r="1342" spans="1:17" s="30" customFormat="1" x14ac:dyDescent="0.2">
      <c r="A1342" s="30" t="str">
        <f>IF(C1342&amp;G1342&amp;D1342&lt;&gt;'Funnel setup'!$K$3&amp;'Funnel setup'!$K$4&amp;'Funnel setup'!$K$5,".",IF(A1341=".",1,A1341+1))</f>
        <v>.</v>
      </c>
      <c r="B1342" s="431" t="str">
        <f t="shared" si="20"/>
        <v>Hip Replacement PrimaryCCG of GP PracticeNHS SOUTH KENT COAST CCG (10A)EQ-5D Index</v>
      </c>
      <c r="C1342" t="s">
        <v>248</v>
      </c>
      <c r="D1342" t="s">
        <v>87</v>
      </c>
      <c r="E1342" t="s">
        <v>845</v>
      </c>
      <c r="F1342" t="s">
        <v>846</v>
      </c>
      <c r="G1342" t="s">
        <v>52</v>
      </c>
      <c r="H1342">
        <v>115</v>
      </c>
      <c r="I1342">
        <v>0.39100000000000001</v>
      </c>
      <c r="J1342">
        <v>0.81100000000000005</v>
      </c>
      <c r="K1342">
        <v>0.42099999999999999</v>
      </c>
      <c r="L1342">
        <v>104</v>
      </c>
      <c r="M1342">
        <v>9</v>
      </c>
      <c r="N1342">
        <v>2</v>
      </c>
      <c r="O1342">
        <v>0.81699999999999995</v>
      </c>
      <c r="P1342">
        <v>0.45534054899999998</v>
      </c>
      <c r="Q1342">
        <v>0.20200000000000001</v>
      </c>
    </row>
    <row r="1343" spans="1:17" s="30" customFormat="1" x14ac:dyDescent="0.2">
      <c r="A1343" s="30" t="str">
        <f>IF(C1343&amp;G1343&amp;D1343&lt;&gt;'Funnel setup'!$K$3&amp;'Funnel setup'!$K$4&amp;'Funnel setup'!$K$5,".",IF(A1342=".",1,A1342+1))</f>
        <v>.</v>
      </c>
      <c r="B1343" s="431" t="str">
        <f t="shared" si="20"/>
        <v>Hip Replacement PrimaryCCG of GP PracticeNHS SOUTH LINCOLNSHIRE CCG (99D)EQ-5D Index</v>
      </c>
      <c r="C1343" t="s">
        <v>248</v>
      </c>
      <c r="D1343" t="s">
        <v>87</v>
      </c>
      <c r="E1343" t="s">
        <v>848</v>
      </c>
      <c r="F1343" t="s">
        <v>849</v>
      </c>
      <c r="G1343" t="s">
        <v>52</v>
      </c>
      <c r="H1343">
        <v>133</v>
      </c>
      <c r="I1343">
        <v>0.36599999999999999</v>
      </c>
      <c r="J1343">
        <v>0.76500000000000001</v>
      </c>
      <c r="K1343">
        <v>0.39900000000000002</v>
      </c>
      <c r="L1343">
        <v>110</v>
      </c>
      <c r="M1343">
        <v>10</v>
      </c>
      <c r="N1343">
        <v>13</v>
      </c>
      <c r="O1343">
        <v>0.751</v>
      </c>
      <c r="P1343">
        <v>0.38891385499999997</v>
      </c>
      <c r="Q1343">
        <v>0.24099999999999999</v>
      </c>
    </row>
    <row r="1344" spans="1:17" s="30" customFormat="1" x14ac:dyDescent="0.2">
      <c r="A1344" s="30" t="str">
        <f>IF(C1344&amp;G1344&amp;D1344&lt;&gt;'Funnel setup'!$K$3&amp;'Funnel setup'!$K$4&amp;'Funnel setup'!$K$5,".",IF(A1343=".",1,A1343+1))</f>
        <v>.</v>
      </c>
      <c r="B1344" s="431" t="str">
        <f t="shared" si="20"/>
        <v>Hip Replacement PrimaryCCG of GP PracticeNHS SOUTH MANCHESTER CCG (01N)EQ-5D Index</v>
      </c>
      <c r="C1344" t="s">
        <v>248</v>
      </c>
      <c r="D1344" t="s">
        <v>87</v>
      </c>
      <c r="E1344" t="s">
        <v>851</v>
      </c>
      <c r="F1344" t="s">
        <v>852</v>
      </c>
      <c r="G1344" t="s">
        <v>52</v>
      </c>
      <c r="H1344">
        <v>43</v>
      </c>
      <c r="I1344">
        <v>0.35399999999999998</v>
      </c>
      <c r="J1344">
        <v>0.70799999999999996</v>
      </c>
      <c r="K1344">
        <v>0.35399999999999998</v>
      </c>
      <c r="L1344">
        <v>34</v>
      </c>
      <c r="M1344">
        <v>4</v>
      </c>
      <c r="N1344">
        <v>5</v>
      </c>
      <c r="O1344">
        <v>0.748</v>
      </c>
      <c r="P1344">
        <v>0.38627194799999998</v>
      </c>
      <c r="Q1344">
        <v>0.254</v>
      </c>
    </row>
    <row r="1345" spans="1:17" s="30" customFormat="1" x14ac:dyDescent="0.2">
      <c r="A1345" s="30" t="str">
        <f>IF(C1345&amp;G1345&amp;D1345&lt;&gt;'Funnel setup'!$K$3&amp;'Funnel setup'!$K$4&amp;'Funnel setup'!$K$5,".",IF(A1344=".",1,A1344+1))</f>
        <v>.</v>
      </c>
      <c r="B1345" s="431" t="str">
        <f t="shared" si="20"/>
        <v>Hip Replacement PrimaryCCG of GP PracticeNHS SOUTH NORFOLK CCG (06Y)EQ-5D Index</v>
      </c>
      <c r="C1345" t="s">
        <v>248</v>
      </c>
      <c r="D1345" t="s">
        <v>87</v>
      </c>
      <c r="E1345" t="s">
        <v>932</v>
      </c>
      <c r="F1345" t="s">
        <v>933</v>
      </c>
      <c r="G1345" t="s">
        <v>52</v>
      </c>
      <c r="H1345">
        <v>222</v>
      </c>
      <c r="I1345">
        <v>0.33900000000000002</v>
      </c>
      <c r="J1345">
        <v>0.78500000000000003</v>
      </c>
      <c r="K1345">
        <v>0.44600000000000001</v>
      </c>
      <c r="L1345">
        <v>201</v>
      </c>
      <c r="M1345">
        <v>10</v>
      </c>
      <c r="N1345">
        <v>11</v>
      </c>
      <c r="O1345">
        <v>0.78700000000000003</v>
      </c>
      <c r="P1345">
        <v>0.42489386000000001</v>
      </c>
      <c r="Q1345">
        <v>0.22900000000000001</v>
      </c>
    </row>
    <row r="1346" spans="1:17" s="30" customFormat="1" x14ac:dyDescent="0.2">
      <c r="A1346" s="30" t="str">
        <f>IF(C1346&amp;G1346&amp;D1346&lt;&gt;'Funnel setup'!$K$3&amp;'Funnel setup'!$K$4&amp;'Funnel setup'!$K$5,".",IF(A1345=".",1,A1345+1))</f>
        <v>.</v>
      </c>
      <c r="B1346" s="431" t="str">
        <f t="shared" si="20"/>
        <v>Hip Replacement PrimaryCCG of GP PracticeNHS SOUTH READING CCG (10W)EQ-5D Index</v>
      </c>
      <c r="C1346" t="s">
        <v>248</v>
      </c>
      <c r="D1346" t="s">
        <v>87</v>
      </c>
      <c r="E1346" t="s">
        <v>935</v>
      </c>
      <c r="F1346" t="s">
        <v>936</v>
      </c>
      <c r="G1346" t="s">
        <v>52</v>
      </c>
      <c r="H1346">
        <v>34</v>
      </c>
      <c r="I1346">
        <v>0.44500000000000001</v>
      </c>
      <c r="J1346">
        <v>0.81299999999999994</v>
      </c>
      <c r="K1346">
        <v>0.36799999999999999</v>
      </c>
      <c r="L1346">
        <v>30</v>
      </c>
      <c r="M1346">
        <v>2</v>
      </c>
      <c r="N1346">
        <v>2</v>
      </c>
      <c r="O1346">
        <v>0.79</v>
      </c>
      <c r="P1346">
        <v>0.42880031499999999</v>
      </c>
      <c r="Q1346">
        <v>0.188</v>
      </c>
    </row>
    <row r="1347" spans="1:17" s="30" customFormat="1" x14ac:dyDescent="0.2">
      <c r="A1347" s="30" t="str">
        <f>IF(C1347&amp;G1347&amp;D1347&lt;&gt;'Funnel setup'!$K$3&amp;'Funnel setup'!$K$4&amp;'Funnel setup'!$K$5,".",IF(A1346=".",1,A1346+1))</f>
        <v>.</v>
      </c>
      <c r="B1347" s="431" t="str">
        <f t="shared" ref="B1347:B1410" si="21">C1347&amp;D1347&amp;F1347&amp;G1347</f>
        <v>Hip Replacement PrimaryCCG of GP PracticeNHS SOUTH SEFTON CCG (01T)EQ-5D Index</v>
      </c>
      <c r="C1347" t="s">
        <v>248</v>
      </c>
      <c r="D1347" t="s">
        <v>87</v>
      </c>
      <c r="E1347" t="s">
        <v>938</v>
      </c>
      <c r="F1347" t="s">
        <v>939</v>
      </c>
      <c r="G1347" t="s">
        <v>52</v>
      </c>
      <c r="H1347">
        <v>94</v>
      </c>
      <c r="I1347">
        <v>0.23799999999999999</v>
      </c>
      <c r="J1347">
        <v>0.71899999999999997</v>
      </c>
      <c r="K1347">
        <v>0.48099999999999998</v>
      </c>
      <c r="L1347">
        <v>87</v>
      </c>
      <c r="M1347">
        <v>7</v>
      </c>
      <c r="N1347">
        <v>0</v>
      </c>
      <c r="O1347">
        <v>0.76700000000000002</v>
      </c>
      <c r="P1347">
        <v>0.40511000699999999</v>
      </c>
      <c r="Q1347">
        <v>0.21</v>
      </c>
    </row>
    <row r="1348" spans="1:17" s="30" customFormat="1" x14ac:dyDescent="0.2">
      <c r="A1348" s="30" t="str">
        <f>IF(C1348&amp;G1348&amp;D1348&lt;&gt;'Funnel setup'!$K$3&amp;'Funnel setup'!$K$4&amp;'Funnel setup'!$K$5,".",IF(A1347=".",1,A1347+1))</f>
        <v>.</v>
      </c>
      <c r="B1348" s="431" t="str">
        <f t="shared" si="21"/>
        <v>Hip Replacement PrimaryCCG of GP PracticeNHS SOUTH TEES CCG (00M)EQ-5D Index</v>
      </c>
      <c r="C1348" t="s">
        <v>248</v>
      </c>
      <c r="D1348" t="s">
        <v>87</v>
      </c>
      <c r="E1348" t="s">
        <v>941</v>
      </c>
      <c r="F1348" t="s">
        <v>942</v>
      </c>
      <c r="G1348" t="s">
        <v>52</v>
      </c>
      <c r="H1348">
        <v>220</v>
      </c>
      <c r="I1348">
        <v>0.36</v>
      </c>
      <c r="J1348">
        <v>0.77900000000000003</v>
      </c>
      <c r="K1348">
        <v>0.41899999999999998</v>
      </c>
      <c r="L1348">
        <v>192</v>
      </c>
      <c r="M1348">
        <v>15</v>
      </c>
      <c r="N1348">
        <v>13</v>
      </c>
      <c r="O1348">
        <v>0.79300000000000004</v>
      </c>
      <c r="P1348">
        <v>0.43121927300000001</v>
      </c>
      <c r="Q1348">
        <v>0.24</v>
      </c>
    </row>
    <row r="1349" spans="1:17" s="30" customFormat="1" x14ac:dyDescent="0.2">
      <c r="A1349" s="30" t="str">
        <f>IF(C1349&amp;G1349&amp;D1349&lt;&gt;'Funnel setup'!$K$3&amp;'Funnel setup'!$K$4&amp;'Funnel setup'!$K$5,".",IF(A1348=".",1,A1348+1))</f>
        <v>.</v>
      </c>
      <c r="B1349" s="431" t="str">
        <f t="shared" si="21"/>
        <v>Hip Replacement PrimaryCCG of GP PracticeNHS SOUTH TYNESIDE CCG (00N)EQ-5D Index</v>
      </c>
      <c r="C1349" t="s">
        <v>248</v>
      </c>
      <c r="D1349" t="s">
        <v>87</v>
      </c>
      <c r="E1349" t="s">
        <v>1016</v>
      </c>
      <c r="F1349" t="s">
        <v>1017</v>
      </c>
      <c r="G1349" t="s">
        <v>52</v>
      </c>
      <c r="H1349">
        <v>89</v>
      </c>
      <c r="I1349">
        <v>0.32800000000000001</v>
      </c>
      <c r="J1349">
        <v>0.75</v>
      </c>
      <c r="K1349">
        <v>0.42199999999999999</v>
      </c>
      <c r="L1349">
        <v>77</v>
      </c>
      <c r="M1349">
        <v>6</v>
      </c>
      <c r="N1349">
        <v>6</v>
      </c>
      <c r="O1349">
        <v>0.77</v>
      </c>
      <c r="P1349">
        <v>0.40843120599999999</v>
      </c>
      <c r="Q1349">
        <v>0.23799999999999999</v>
      </c>
    </row>
    <row r="1350" spans="1:17" s="30" customFormat="1" x14ac:dyDescent="0.2">
      <c r="A1350" s="30" t="str">
        <f>IF(C1350&amp;G1350&amp;D1350&lt;&gt;'Funnel setup'!$K$3&amp;'Funnel setup'!$K$4&amp;'Funnel setup'!$K$5,".",IF(A1349=".",1,A1349+1))</f>
        <v>.</v>
      </c>
      <c r="B1350" s="431" t="str">
        <f t="shared" si="21"/>
        <v>Hip Replacement PrimaryCCG of GP PracticeNHS SOUTH WARWICKSHIRE CCG (05R)EQ-5D Index</v>
      </c>
      <c r="C1350" t="s">
        <v>248</v>
      </c>
      <c r="D1350" t="s">
        <v>87</v>
      </c>
      <c r="E1350" t="s">
        <v>944</v>
      </c>
      <c r="F1350" t="s">
        <v>945</v>
      </c>
      <c r="G1350" t="s">
        <v>52</v>
      </c>
      <c r="H1350">
        <v>295</v>
      </c>
      <c r="I1350">
        <v>0.39900000000000002</v>
      </c>
      <c r="J1350">
        <v>0.81599999999999995</v>
      </c>
      <c r="K1350">
        <v>0.41799999999999998</v>
      </c>
      <c r="L1350">
        <v>266</v>
      </c>
      <c r="M1350">
        <v>15</v>
      </c>
      <c r="N1350">
        <v>14</v>
      </c>
      <c r="O1350">
        <v>0.79600000000000004</v>
      </c>
      <c r="P1350">
        <v>0.43420023499999999</v>
      </c>
      <c r="Q1350">
        <v>0.218</v>
      </c>
    </row>
    <row r="1351" spans="1:17" s="30" customFormat="1" x14ac:dyDescent="0.2">
      <c r="A1351" s="30" t="str">
        <f>IF(C1351&amp;G1351&amp;D1351&lt;&gt;'Funnel setup'!$K$3&amp;'Funnel setup'!$K$4&amp;'Funnel setup'!$K$5,".",IF(A1350=".",1,A1350+1))</f>
        <v>.</v>
      </c>
      <c r="B1351" s="431" t="str">
        <f t="shared" si="21"/>
        <v>Hip Replacement PrimaryCCG of GP PracticeNHS SOUTH WEST LINCOLNSHIRE CCG (04Q)EQ-5D Index</v>
      </c>
      <c r="C1351" t="s">
        <v>248</v>
      </c>
      <c r="D1351" t="s">
        <v>87</v>
      </c>
      <c r="E1351" t="s">
        <v>947</v>
      </c>
      <c r="F1351" t="s">
        <v>948</v>
      </c>
      <c r="G1351" t="s">
        <v>52</v>
      </c>
      <c r="H1351">
        <v>136</v>
      </c>
      <c r="I1351">
        <v>0.41199999999999998</v>
      </c>
      <c r="J1351">
        <v>0.78700000000000003</v>
      </c>
      <c r="K1351">
        <v>0.375</v>
      </c>
      <c r="L1351">
        <v>117</v>
      </c>
      <c r="M1351">
        <v>10</v>
      </c>
      <c r="N1351">
        <v>9</v>
      </c>
      <c r="O1351">
        <v>0.76800000000000002</v>
      </c>
      <c r="P1351">
        <v>0.40669525699999998</v>
      </c>
      <c r="Q1351">
        <v>0.21099999999999999</v>
      </c>
    </row>
    <row r="1352" spans="1:17" s="30" customFormat="1" x14ac:dyDescent="0.2">
      <c r="A1352" s="30" t="str">
        <f>IF(C1352&amp;G1352&amp;D1352&lt;&gt;'Funnel setup'!$K$3&amp;'Funnel setup'!$K$4&amp;'Funnel setup'!$K$5,".",IF(A1351=".",1,A1351+1))</f>
        <v>.</v>
      </c>
      <c r="B1352" s="431" t="str">
        <f t="shared" si="21"/>
        <v>Hip Replacement PrimaryCCG of GP PracticeNHS SOUTH WORCESTERSHIRE CCG (05T)EQ-5D Index</v>
      </c>
      <c r="C1352" t="s">
        <v>248</v>
      </c>
      <c r="D1352" t="s">
        <v>87</v>
      </c>
      <c r="E1352" t="s">
        <v>950</v>
      </c>
      <c r="F1352" t="s">
        <v>951</v>
      </c>
      <c r="G1352" t="s">
        <v>52</v>
      </c>
      <c r="H1352">
        <v>202</v>
      </c>
      <c r="I1352">
        <v>0.379</v>
      </c>
      <c r="J1352">
        <v>0.82699999999999996</v>
      </c>
      <c r="K1352">
        <v>0.44700000000000001</v>
      </c>
      <c r="L1352">
        <v>186</v>
      </c>
      <c r="M1352">
        <v>9</v>
      </c>
      <c r="N1352">
        <v>7</v>
      </c>
      <c r="O1352">
        <v>0.81599999999999995</v>
      </c>
      <c r="P1352">
        <v>0.45413705700000001</v>
      </c>
      <c r="Q1352">
        <v>0.20599999999999999</v>
      </c>
    </row>
    <row r="1353" spans="1:17" s="30" customFormat="1" x14ac:dyDescent="0.2">
      <c r="A1353" s="30" t="str">
        <f>IF(C1353&amp;G1353&amp;D1353&lt;&gt;'Funnel setup'!$K$3&amp;'Funnel setup'!$K$4&amp;'Funnel setup'!$K$5,".",IF(A1352=".",1,A1352+1))</f>
        <v>.</v>
      </c>
      <c r="B1353" s="431" t="str">
        <f t="shared" si="21"/>
        <v>Hip Replacement PrimaryCCG of GP PracticeNHS SOUTHAMPTON CCG (10X)EQ-5D Index</v>
      </c>
      <c r="C1353" t="s">
        <v>248</v>
      </c>
      <c r="D1353" t="s">
        <v>87</v>
      </c>
      <c r="E1353" t="s">
        <v>953</v>
      </c>
      <c r="F1353" t="s">
        <v>954</v>
      </c>
      <c r="G1353" t="s">
        <v>52</v>
      </c>
      <c r="H1353">
        <v>127</v>
      </c>
      <c r="I1353">
        <v>0.36599999999999999</v>
      </c>
      <c r="J1353">
        <v>0.76500000000000001</v>
      </c>
      <c r="K1353">
        <v>0.39900000000000002</v>
      </c>
      <c r="L1353">
        <v>114</v>
      </c>
      <c r="M1353">
        <v>6</v>
      </c>
      <c r="N1353">
        <v>7</v>
      </c>
      <c r="O1353">
        <v>0.77900000000000003</v>
      </c>
      <c r="P1353">
        <v>0.41752915200000001</v>
      </c>
      <c r="Q1353">
        <v>0.21199999999999999</v>
      </c>
    </row>
    <row r="1354" spans="1:17" s="30" customFormat="1" x14ac:dyDescent="0.2">
      <c r="A1354" s="30" t="str">
        <f>IF(C1354&amp;G1354&amp;D1354&lt;&gt;'Funnel setup'!$K$3&amp;'Funnel setup'!$K$4&amp;'Funnel setup'!$K$5,".",IF(A1353=".",1,A1353+1))</f>
        <v>.</v>
      </c>
      <c r="B1354" s="431" t="str">
        <f t="shared" si="21"/>
        <v>Hip Replacement PrimaryCCG of GP PracticeNHS SOUTHEND CCG (99G)EQ-5D Index</v>
      </c>
      <c r="C1354" t="s">
        <v>248</v>
      </c>
      <c r="D1354" t="s">
        <v>87</v>
      </c>
      <c r="E1354" t="s">
        <v>956</v>
      </c>
      <c r="F1354" t="s">
        <v>957</v>
      </c>
      <c r="G1354" t="s">
        <v>52</v>
      </c>
      <c r="H1354">
        <v>82</v>
      </c>
      <c r="I1354">
        <v>0.32100000000000001</v>
      </c>
      <c r="J1354">
        <v>0.754</v>
      </c>
      <c r="K1354">
        <v>0.433</v>
      </c>
      <c r="L1354">
        <v>74</v>
      </c>
      <c r="M1354">
        <v>3</v>
      </c>
      <c r="N1354">
        <v>5</v>
      </c>
      <c r="O1354">
        <v>0.76600000000000001</v>
      </c>
      <c r="P1354">
        <v>0.40404161799999999</v>
      </c>
      <c r="Q1354">
        <v>0.21199999999999999</v>
      </c>
    </row>
    <row r="1355" spans="1:17" s="30" customFormat="1" x14ac:dyDescent="0.2">
      <c r="A1355" s="30" t="str">
        <f>IF(C1355&amp;G1355&amp;D1355&lt;&gt;'Funnel setup'!$K$3&amp;'Funnel setup'!$K$4&amp;'Funnel setup'!$K$5,".",IF(A1354=".",1,A1354+1))</f>
        <v>.</v>
      </c>
      <c r="B1355" s="431" t="str">
        <f t="shared" si="21"/>
        <v>Hip Replacement PrimaryCCG of GP PracticeNHS SOUTHERN DERBYSHIRE CCG (04R)EQ-5D Index</v>
      </c>
      <c r="C1355" t="s">
        <v>248</v>
      </c>
      <c r="D1355" t="s">
        <v>87</v>
      </c>
      <c r="E1355" t="s">
        <v>959</v>
      </c>
      <c r="F1355" t="s">
        <v>960</v>
      </c>
      <c r="G1355" t="s">
        <v>52</v>
      </c>
      <c r="H1355">
        <v>444</v>
      </c>
      <c r="I1355">
        <v>0.375</v>
      </c>
      <c r="J1355">
        <v>0.78700000000000003</v>
      </c>
      <c r="K1355">
        <v>0.41199999999999998</v>
      </c>
      <c r="L1355">
        <v>403</v>
      </c>
      <c r="M1355">
        <v>20</v>
      </c>
      <c r="N1355">
        <v>21</v>
      </c>
      <c r="O1355">
        <v>0.78</v>
      </c>
      <c r="P1355">
        <v>0.418491318</v>
      </c>
      <c r="Q1355">
        <v>0.22600000000000001</v>
      </c>
    </row>
    <row r="1356" spans="1:17" s="30" customFormat="1" x14ac:dyDescent="0.2">
      <c r="A1356" s="30" t="str">
        <f>IF(C1356&amp;G1356&amp;D1356&lt;&gt;'Funnel setup'!$K$3&amp;'Funnel setup'!$K$4&amp;'Funnel setup'!$K$5,".",IF(A1355=".",1,A1355+1))</f>
        <v>.</v>
      </c>
      <c r="B1356" s="431" t="str">
        <f t="shared" si="21"/>
        <v>Hip Replacement PrimaryCCG of GP PracticeNHS SOUTHPORT AND FORMBY CCG (01V)EQ-5D Index</v>
      </c>
      <c r="C1356" t="s">
        <v>248</v>
      </c>
      <c r="D1356" t="s">
        <v>87</v>
      </c>
      <c r="E1356" t="s">
        <v>962</v>
      </c>
      <c r="F1356" t="s">
        <v>963</v>
      </c>
      <c r="G1356" t="s">
        <v>52</v>
      </c>
      <c r="H1356">
        <v>93</v>
      </c>
      <c r="I1356">
        <v>0.39</v>
      </c>
      <c r="J1356">
        <v>0.78500000000000003</v>
      </c>
      <c r="K1356">
        <v>0.39500000000000002</v>
      </c>
      <c r="L1356">
        <v>85</v>
      </c>
      <c r="M1356">
        <v>5</v>
      </c>
      <c r="N1356">
        <v>3</v>
      </c>
      <c r="O1356">
        <v>0.78400000000000003</v>
      </c>
      <c r="P1356">
        <v>0.42218532399999997</v>
      </c>
      <c r="Q1356">
        <v>0.216</v>
      </c>
    </row>
    <row r="1357" spans="1:17" s="30" customFormat="1" x14ac:dyDescent="0.2">
      <c r="A1357" s="30" t="str">
        <f>IF(C1357&amp;G1357&amp;D1357&lt;&gt;'Funnel setup'!$K$3&amp;'Funnel setup'!$K$4&amp;'Funnel setup'!$K$5,".",IF(A1356=".",1,A1356+1))</f>
        <v>.</v>
      </c>
      <c r="B1357" s="431" t="str">
        <f t="shared" si="21"/>
        <v>Hip Replacement PrimaryCCG of GP PracticeNHS SOUTHWARK CCG (08Q)EQ-5D Index</v>
      </c>
      <c r="C1357" t="s">
        <v>248</v>
      </c>
      <c r="D1357" t="s">
        <v>87</v>
      </c>
      <c r="E1357" t="s">
        <v>965</v>
      </c>
      <c r="F1357" t="s">
        <v>966</v>
      </c>
      <c r="G1357" t="s">
        <v>52</v>
      </c>
      <c r="H1357">
        <v>33</v>
      </c>
      <c r="I1357">
        <v>0.441</v>
      </c>
      <c r="J1357">
        <v>0.77300000000000002</v>
      </c>
      <c r="K1357">
        <v>0.33200000000000002</v>
      </c>
      <c r="L1357">
        <v>29</v>
      </c>
      <c r="M1357">
        <v>1</v>
      </c>
      <c r="N1357">
        <v>3</v>
      </c>
      <c r="O1357">
        <v>0.75600000000000001</v>
      </c>
      <c r="P1357">
        <v>0.39387528599999999</v>
      </c>
      <c r="Q1357">
        <v>0.29499999999999998</v>
      </c>
    </row>
    <row r="1358" spans="1:17" s="30" customFormat="1" x14ac:dyDescent="0.2">
      <c r="A1358" s="30" t="str">
        <f>IF(C1358&amp;G1358&amp;D1358&lt;&gt;'Funnel setup'!$K$3&amp;'Funnel setup'!$K$4&amp;'Funnel setup'!$K$5,".",IF(A1357=".",1,A1357+1))</f>
        <v>.</v>
      </c>
      <c r="B1358" s="431" t="str">
        <f t="shared" si="21"/>
        <v>Hip Replacement PrimaryCCG of GP PracticeNHS ST HELENS CCG (01X)EQ-5D Index</v>
      </c>
      <c r="C1358" t="s">
        <v>248</v>
      </c>
      <c r="D1358" t="s">
        <v>87</v>
      </c>
      <c r="E1358" t="s">
        <v>968</v>
      </c>
      <c r="F1358" t="s">
        <v>969</v>
      </c>
      <c r="G1358" t="s">
        <v>52</v>
      </c>
      <c r="H1358">
        <v>110</v>
      </c>
      <c r="I1358">
        <v>0.29699999999999999</v>
      </c>
      <c r="J1358">
        <v>0.749</v>
      </c>
      <c r="K1358">
        <v>0.45200000000000001</v>
      </c>
      <c r="L1358">
        <v>92</v>
      </c>
      <c r="M1358">
        <v>5</v>
      </c>
      <c r="N1358">
        <v>13</v>
      </c>
      <c r="O1358">
        <v>0.79</v>
      </c>
      <c r="P1358">
        <v>0.427957374</v>
      </c>
      <c r="Q1358">
        <v>0.25900000000000001</v>
      </c>
    </row>
    <row r="1359" spans="1:17" s="30" customFormat="1" x14ac:dyDescent="0.2">
      <c r="A1359" s="30" t="str">
        <f>IF(C1359&amp;G1359&amp;D1359&lt;&gt;'Funnel setup'!$K$3&amp;'Funnel setup'!$K$4&amp;'Funnel setup'!$K$5,".",IF(A1358=".",1,A1358+1))</f>
        <v>.</v>
      </c>
      <c r="B1359" s="431" t="str">
        <f t="shared" si="21"/>
        <v>Hip Replacement PrimaryCCG of GP PracticeNHS STAFFORD AND SURROUNDS CCG (05V)EQ-5D Index</v>
      </c>
      <c r="C1359" t="s">
        <v>248</v>
      </c>
      <c r="D1359" t="s">
        <v>87</v>
      </c>
      <c r="E1359" t="s">
        <v>971</v>
      </c>
      <c r="F1359" t="s">
        <v>972</v>
      </c>
      <c r="G1359" t="s">
        <v>52</v>
      </c>
      <c r="H1359">
        <v>149</v>
      </c>
      <c r="I1359">
        <v>0.42599999999999999</v>
      </c>
      <c r="J1359">
        <v>0.82899999999999996</v>
      </c>
      <c r="K1359">
        <v>0.40300000000000002</v>
      </c>
      <c r="L1359">
        <v>135</v>
      </c>
      <c r="M1359">
        <v>9</v>
      </c>
      <c r="N1359">
        <v>5</v>
      </c>
      <c r="O1359">
        <v>0.80400000000000005</v>
      </c>
      <c r="P1359">
        <v>0.44275151699999998</v>
      </c>
      <c r="Q1359">
        <v>0.19600000000000001</v>
      </c>
    </row>
    <row r="1360" spans="1:17" s="30" customFormat="1" x14ac:dyDescent="0.2">
      <c r="A1360" s="30" t="str">
        <f>IF(C1360&amp;G1360&amp;D1360&lt;&gt;'Funnel setup'!$K$3&amp;'Funnel setup'!$K$4&amp;'Funnel setup'!$K$5,".",IF(A1359=".",1,A1359+1))</f>
        <v>.</v>
      </c>
      <c r="B1360" s="431" t="str">
        <f t="shared" si="21"/>
        <v>Hip Replacement PrimaryCCG of GP PracticeNHS STOCKPORT CCG (01W)EQ-5D Index</v>
      </c>
      <c r="C1360" t="s">
        <v>248</v>
      </c>
      <c r="D1360" t="s">
        <v>87</v>
      </c>
      <c r="E1360" t="s">
        <v>974</v>
      </c>
      <c r="F1360" t="s">
        <v>975</v>
      </c>
      <c r="G1360" t="s">
        <v>52</v>
      </c>
      <c r="H1360">
        <v>188</v>
      </c>
      <c r="I1360">
        <v>0.308</v>
      </c>
      <c r="J1360">
        <v>0.80600000000000005</v>
      </c>
      <c r="K1360">
        <v>0.498</v>
      </c>
      <c r="L1360">
        <v>174</v>
      </c>
      <c r="M1360">
        <v>9</v>
      </c>
      <c r="N1360">
        <v>5</v>
      </c>
      <c r="O1360">
        <v>0.81200000000000006</v>
      </c>
      <c r="P1360">
        <v>0.449948878</v>
      </c>
      <c r="Q1360">
        <v>0.21199999999999999</v>
      </c>
    </row>
    <row r="1361" spans="1:17" s="30" customFormat="1" x14ac:dyDescent="0.2">
      <c r="A1361" s="30" t="str">
        <f>IF(C1361&amp;G1361&amp;D1361&lt;&gt;'Funnel setup'!$K$3&amp;'Funnel setup'!$K$4&amp;'Funnel setup'!$K$5,".",IF(A1360=".",1,A1360+1))</f>
        <v>.</v>
      </c>
      <c r="B1361" s="431" t="str">
        <f t="shared" si="21"/>
        <v>Hip Replacement PrimaryCCG of GP PracticeNHS STOKE ON TRENT CCG (05W)EQ-5D Index</v>
      </c>
      <c r="C1361" t="s">
        <v>248</v>
      </c>
      <c r="D1361" t="s">
        <v>87</v>
      </c>
      <c r="E1361" t="s">
        <v>977</v>
      </c>
      <c r="F1361" t="s">
        <v>978</v>
      </c>
      <c r="G1361" t="s">
        <v>52</v>
      </c>
      <c r="H1361">
        <v>191</v>
      </c>
      <c r="I1361">
        <v>0.26100000000000001</v>
      </c>
      <c r="J1361">
        <v>0.77400000000000002</v>
      </c>
      <c r="K1361">
        <v>0.51300000000000001</v>
      </c>
      <c r="L1361">
        <v>175</v>
      </c>
      <c r="M1361">
        <v>12</v>
      </c>
      <c r="N1361">
        <v>4</v>
      </c>
      <c r="O1361">
        <v>0.82299999999999995</v>
      </c>
      <c r="P1361">
        <v>0.46131683200000001</v>
      </c>
      <c r="Q1361">
        <v>0.20699999999999999</v>
      </c>
    </row>
    <row r="1362" spans="1:17" s="30" customFormat="1" x14ac:dyDescent="0.2">
      <c r="A1362" s="30" t="str">
        <f>IF(C1362&amp;G1362&amp;D1362&lt;&gt;'Funnel setup'!$K$3&amp;'Funnel setup'!$K$4&amp;'Funnel setup'!$K$5,".",IF(A1361=".",1,A1361+1))</f>
        <v>.</v>
      </c>
      <c r="B1362" s="431" t="str">
        <f t="shared" si="21"/>
        <v>Hip Replacement PrimaryCCG of GP PracticeNHS SUNDERLAND CCG (00P)EQ-5D Index</v>
      </c>
      <c r="C1362" t="s">
        <v>248</v>
      </c>
      <c r="D1362" t="s">
        <v>87</v>
      </c>
      <c r="E1362" t="s">
        <v>980</v>
      </c>
      <c r="F1362" t="s">
        <v>981</v>
      </c>
      <c r="G1362" t="s">
        <v>52</v>
      </c>
      <c r="H1362">
        <v>201</v>
      </c>
      <c r="I1362">
        <v>0.26800000000000002</v>
      </c>
      <c r="J1362">
        <v>0.75</v>
      </c>
      <c r="K1362">
        <v>0.48199999999999998</v>
      </c>
      <c r="L1362">
        <v>179</v>
      </c>
      <c r="M1362">
        <v>14</v>
      </c>
      <c r="N1362">
        <v>8</v>
      </c>
      <c r="O1362">
        <v>0.78</v>
      </c>
      <c r="P1362">
        <v>0.41855719400000002</v>
      </c>
      <c r="Q1362">
        <v>0.23</v>
      </c>
    </row>
    <row r="1363" spans="1:17" s="30" customFormat="1" x14ac:dyDescent="0.2">
      <c r="A1363" s="30" t="str">
        <f>IF(C1363&amp;G1363&amp;D1363&lt;&gt;'Funnel setup'!$K$3&amp;'Funnel setup'!$K$4&amp;'Funnel setup'!$K$5,".",IF(A1362=".",1,A1362+1))</f>
        <v>.</v>
      </c>
      <c r="B1363" s="431" t="str">
        <f t="shared" si="21"/>
        <v>Hip Replacement PrimaryCCG of GP PracticeNHS SURREY DOWNS CCG (99H)EQ-5D Index</v>
      </c>
      <c r="C1363" t="s">
        <v>248</v>
      </c>
      <c r="D1363" t="s">
        <v>87</v>
      </c>
      <c r="E1363" t="s">
        <v>983</v>
      </c>
      <c r="F1363" t="s">
        <v>984</v>
      </c>
      <c r="G1363" t="s">
        <v>52</v>
      </c>
      <c r="H1363">
        <v>233</v>
      </c>
      <c r="I1363">
        <v>0.437</v>
      </c>
      <c r="J1363">
        <v>0.83399999999999996</v>
      </c>
      <c r="K1363">
        <v>0.39700000000000002</v>
      </c>
      <c r="L1363">
        <v>210</v>
      </c>
      <c r="M1363">
        <v>10</v>
      </c>
      <c r="N1363">
        <v>13</v>
      </c>
      <c r="O1363">
        <v>0.8</v>
      </c>
      <c r="P1363">
        <v>0.43785378600000002</v>
      </c>
      <c r="Q1363">
        <v>0.20799999999999999</v>
      </c>
    </row>
    <row r="1364" spans="1:17" s="30" customFormat="1" x14ac:dyDescent="0.2">
      <c r="A1364" s="30" t="str">
        <f>IF(C1364&amp;G1364&amp;D1364&lt;&gt;'Funnel setup'!$K$3&amp;'Funnel setup'!$K$4&amp;'Funnel setup'!$K$5,".",IF(A1363=".",1,A1363+1))</f>
        <v>.</v>
      </c>
      <c r="B1364" s="431" t="str">
        <f t="shared" si="21"/>
        <v>Hip Replacement PrimaryCCG of GP PracticeNHS SURREY HEATH CCG (10C)EQ-5D Index</v>
      </c>
      <c r="C1364" t="s">
        <v>248</v>
      </c>
      <c r="D1364" t="s">
        <v>87</v>
      </c>
      <c r="E1364" t="s">
        <v>986</v>
      </c>
      <c r="F1364" t="s">
        <v>987</v>
      </c>
      <c r="G1364" t="s">
        <v>52</v>
      </c>
      <c r="H1364">
        <v>98</v>
      </c>
      <c r="I1364">
        <v>0.47099999999999997</v>
      </c>
      <c r="J1364">
        <v>0.872</v>
      </c>
      <c r="K1364">
        <v>0.40100000000000002</v>
      </c>
      <c r="L1364">
        <v>86</v>
      </c>
      <c r="M1364">
        <v>9</v>
      </c>
      <c r="N1364">
        <v>3</v>
      </c>
      <c r="O1364">
        <v>0.82</v>
      </c>
      <c r="P1364">
        <v>0.45835319099999999</v>
      </c>
      <c r="Q1364">
        <v>0.16700000000000001</v>
      </c>
    </row>
    <row r="1365" spans="1:17" s="30" customFormat="1" x14ac:dyDescent="0.2">
      <c r="A1365" s="30" t="str">
        <f>IF(C1365&amp;G1365&amp;D1365&lt;&gt;'Funnel setup'!$K$3&amp;'Funnel setup'!$K$4&amp;'Funnel setup'!$K$5,".",IF(A1364=".",1,A1364+1))</f>
        <v>.</v>
      </c>
      <c r="B1365" s="431" t="str">
        <f t="shared" si="21"/>
        <v>Hip Replacement PrimaryCCG of GP PracticeNHS SUTTON CCG (08T)EQ-5D Index</v>
      </c>
      <c r="C1365" t="s">
        <v>248</v>
      </c>
      <c r="D1365" t="s">
        <v>87</v>
      </c>
      <c r="E1365" t="s">
        <v>989</v>
      </c>
      <c r="F1365" t="s">
        <v>990</v>
      </c>
      <c r="G1365" t="s">
        <v>52</v>
      </c>
      <c r="H1365">
        <v>93</v>
      </c>
      <c r="I1365">
        <v>0.36</v>
      </c>
      <c r="J1365">
        <v>0.79400000000000004</v>
      </c>
      <c r="K1365">
        <v>0.434</v>
      </c>
      <c r="L1365">
        <v>81</v>
      </c>
      <c r="M1365">
        <v>7</v>
      </c>
      <c r="N1365">
        <v>5</v>
      </c>
      <c r="O1365">
        <v>0.78500000000000003</v>
      </c>
      <c r="P1365">
        <v>0.42366794299999999</v>
      </c>
      <c r="Q1365">
        <v>0.25800000000000001</v>
      </c>
    </row>
    <row r="1366" spans="1:17" s="30" customFormat="1" x14ac:dyDescent="0.2">
      <c r="A1366" s="30" t="str">
        <f>IF(C1366&amp;G1366&amp;D1366&lt;&gt;'Funnel setup'!$K$3&amp;'Funnel setup'!$K$4&amp;'Funnel setup'!$K$5,".",IF(A1365=".",1,A1365+1))</f>
        <v>.</v>
      </c>
      <c r="B1366" s="431" t="str">
        <f t="shared" si="21"/>
        <v>Hip Replacement PrimaryCCG of GP PracticeNHS SWALE CCG (10D)EQ-5D Index</v>
      </c>
      <c r="C1366" t="s">
        <v>248</v>
      </c>
      <c r="D1366" t="s">
        <v>87</v>
      </c>
      <c r="E1366" t="s">
        <v>992</v>
      </c>
      <c r="F1366" t="s">
        <v>993</v>
      </c>
      <c r="G1366" t="s">
        <v>52</v>
      </c>
      <c r="H1366">
        <v>71</v>
      </c>
      <c r="I1366">
        <v>0.36499999999999999</v>
      </c>
      <c r="J1366">
        <v>0.81499999999999995</v>
      </c>
      <c r="K1366">
        <v>0.45</v>
      </c>
      <c r="L1366">
        <v>63</v>
      </c>
      <c r="M1366">
        <v>7</v>
      </c>
      <c r="N1366">
        <v>1</v>
      </c>
      <c r="O1366">
        <v>0.84599999999999997</v>
      </c>
      <c r="P1366">
        <v>0.48477009100000001</v>
      </c>
      <c r="Q1366">
        <v>0.21</v>
      </c>
    </row>
    <row r="1367" spans="1:17" s="30" customFormat="1" x14ac:dyDescent="0.2">
      <c r="A1367" s="30" t="str">
        <f>IF(C1367&amp;G1367&amp;D1367&lt;&gt;'Funnel setup'!$K$3&amp;'Funnel setup'!$K$4&amp;'Funnel setup'!$K$5,".",IF(A1366=".",1,A1366+1))</f>
        <v>.</v>
      </c>
      <c r="B1367" s="431" t="str">
        <f t="shared" si="21"/>
        <v>Hip Replacement PrimaryCCG of GP PracticeNHS SWINDON CCG (12D)EQ-5D Index</v>
      </c>
      <c r="C1367" t="s">
        <v>248</v>
      </c>
      <c r="D1367" t="s">
        <v>87</v>
      </c>
      <c r="E1367" t="s">
        <v>995</v>
      </c>
      <c r="F1367" t="s">
        <v>996</v>
      </c>
      <c r="G1367" t="s">
        <v>52</v>
      </c>
      <c r="H1367">
        <v>155</v>
      </c>
      <c r="I1367">
        <v>0.311</v>
      </c>
      <c r="J1367">
        <v>0.81</v>
      </c>
      <c r="K1367">
        <v>0.499</v>
      </c>
      <c r="L1367">
        <v>140</v>
      </c>
      <c r="M1367">
        <v>7</v>
      </c>
      <c r="N1367">
        <v>8</v>
      </c>
      <c r="O1367">
        <v>0.80800000000000005</v>
      </c>
      <c r="P1367">
        <v>0.44618268</v>
      </c>
      <c r="Q1367">
        <v>0.20300000000000001</v>
      </c>
    </row>
    <row r="1368" spans="1:17" s="30" customFormat="1" x14ac:dyDescent="0.2">
      <c r="A1368" s="30" t="str">
        <f>IF(C1368&amp;G1368&amp;D1368&lt;&gt;'Funnel setup'!$K$3&amp;'Funnel setup'!$K$4&amp;'Funnel setup'!$K$5,".",IF(A1367=".",1,A1367+1))</f>
        <v>.</v>
      </c>
      <c r="B1368" s="431" t="str">
        <f t="shared" si="21"/>
        <v>Hip Replacement PrimaryCCG of GP PracticeNHS TAMESIDE AND GLOSSOP CCG (01Y)EQ-5D Index</v>
      </c>
      <c r="C1368" t="s">
        <v>248</v>
      </c>
      <c r="D1368" t="s">
        <v>87</v>
      </c>
      <c r="E1368" t="s">
        <v>998</v>
      </c>
      <c r="F1368" t="s">
        <v>999</v>
      </c>
      <c r="G1368" t="s">
        <v>52</v>
      </c>
      <c r="H1368">
        <v>117</v>
      </c>
      <c r="I1368">
        <v>0.32900000000000001</v>
      </c>
      <c r="J1368">
        <v>0.75700000000000001</v>
      </c>
      <c r="K1368">
        <v>0.42699999999999999</v>
      </c>
      <c r="L1368">
        <v>99</v>
      </c>
      <c r="M1368">
        <v>11</v>
      </c>
      <c r="N1368">
        <v>7</v>
      </c>
      <c r="O1368">
        <v>0.78200000000000003</v>
      </c>
      <c r="P1368">
        <v>0.42007942700000001</v>
      </c>
      <c r="Q1368">
        <v>0.25</v>
      </c>
    </row>
    <row r="1369" spans="1:17" s="30" customFormat="1" x14ac:dyDescent="0.2">
      <c r="A1369" s="30" t="str">
        <f>IF(C1369&amp;G1369&amp;D1369&lt;&gt;'Funnel setup'!$K$3&amp;'Funnel setup'!$K$4&amp;'Funnel setup'!$K$5,".",IF(A1368=".",1,A1368+1))</f>
        <v>.</v>
      </c>
      <c r="B1369" s="431" t="str">
        <f t="shared" si="21"/>
        <v>Hip Replacement PrimaryCCG of GP PracticeNHS TELFORD AND WREKIN CCG (05X)EQ-5D Index</v>
      </c>
      <c r="C1369" t="s">
        <v>248</v>
      </c>
      <c r="D1369" t="s">
        <v>87</v>
      </c>
      <c r="E1369" t="s">
        <v>1001</v>
      </c>
      <c r="F1369" t="s">
        <v>1002</v>
      </c>
      <c r="G1369" t="s">
        <v>52</v>
      </c>
      <c r="H1369">
        <v>138</v>
      </c>
      <c r="I1369">
        <v>0.24299999999999999</v>
      </c>
      <c r="J1369">
        <v>0.77200000000000002</v>
      </c>
      <c r="K1369">
        <v>0.52900000000000003</v>
      </c>
      <c r="L1369">
        <v>127</v>
      </c>
      <c r="M1369">
        <v>6</v>
      </c>
      <c r="N1369">
        <v>5</v>
      </c>
      <c r="O1369">
        <v>0.79400000000000004</v>
      </c>
      <c r="P1369">
        <v>0.43201420800000001</v>
      </c>
      <c r="Q1369">
        <v>0.26600000000000001</v>
      </c>
    </row>
    <row r="1370" spans="1:17" s="30" customFormat="1" x14ac:dyDescent="0.2">
      <c r="A1370" s="30" t="str">
        <f>IF(C1370&amp;G1370&amp;D1370&lt;&gt;'Funnel setup'!$K$3&amp;'Funnel setup'!$K$4&amp;'Funnel setup'!$K$5,".",IF(A1369=".",1,A1369+1))</f>
        <v>.</v>
      </c>
      <c r="B1370" s="431" t="str">
        <f t="shared" si="21"/>
        <v>Hip Replacement PrimaryCCG of GP PracticeNHS THANET CCG (10E)EQ-5D Index</v>
      </c>
      <c r="C1370" t="s">
        <v>248</v>
      </c>
      <c r="D1370" t="s">
        <v>87</v>
      </c>
      <c r="E1370" t="s">
        <v>1004</v>
      </c>
      <c r="F1370" t="s">
        <v>1005</v>
      </c>
      <c r="G1370" t="s">
        <v>52</v>
      </c>
      <c r="H1370">
        <v>76</v>
      </c>
      <c r="I1370">
        <v>0.35</v>
      </c>
      <c r="J1370">
        <v>0.82799999999999996</v>
      </c>
      <c r="K1370">
        <v>0.47799999999999998</v>
      </c>
      <c r="L1370">
        <v>70</v>
      </c>
      <c r="M1370">
        <v>3</v>
      </c>
      <c r="N1370">
        <v>3</v>
      </c>
      <c r="O1370">
        <v>0.84299999999999997</v>
      </c>
      <c r="P1370">
        <v>0.48161131899999998</v>
      </c>
      <c r="Q1370">
        <v>0.19</v>
      </c>
    </row>
    <row r="1371" spans="1:17" s="30" customFormat="1" x14ac:dyDescent="0.2">
      <c r="A1371" s="30" t="str">
        <f>IF(C1371&amp;G1371&amp;D1371&lt;&gt;'Funnel setup'!$K$3&amp;'Funnel setup'!$K$4&amp;'Funnel setup'!$K$5,".",IF(A1370=".",1,A1370+1))</f>
        <v>.</v>
      </c>
      <c r="B1371" s="431" t="str">
        <f t="shared" si="21"/>
        <v>Hip Replacement PrimaryCCG of GP PracticeNHS THURROCK CCG (07G)EQ-5D Index</v>
      </c>
      <c r="C1371" t="s">
        <v>248</v>
      </c>
      <c r="D1371" t="s">
        <v>87</v>
      </c>
      <c r="E1371" t="s">
        <v>1007</v>
      </c>
      <c r="F1371" t="s">
        <v>1008</v>
      </c>
      <c r="G1371" t="s">
        <v>52</v>
      </c>
      <c r="H1371">
        <v>63</v>
      </c>
      <c r="I1371">
        <v>0.35</v>
      </c>
      <c r="J1371">
        <v>0.78</v>
      </c>
      <c r="K1371">
        <v>0.43099999999999999</v>
      </c>
      <c r="L1371">
        <v>55</v>
      </c>
      <c r="M1371">
        <v>3</v>
      </c>
      <c r="N1371">
        <v>5</v>
      </c>
      <c r="O1371">
        <v>0.78400000000000003</v>
      </c>
      <c r="P1371">
        <v>0.42194816200000002</v>
      </c>
      <c r="Q1371">
        <v>0.246</v>
      </c>
    </row>
    <row r="1372" spans="1:17" s="30" customFormat="1" x14ac:dyDescent="0.2">
      <c r="A1372" s="30" t="str">
        <f>IF(C1372&amp;G1372&amp;D1372&lt;&gt;'Funnel setup'!$K$3&amp;'Funnel setup'!$K$4&amp;'Funnel setup'!$K$5,".",IF(A1371=".",1,A1371+1))</f>
        <v>.</v>
      </c>
      <c r="B1372" s="431" t="str">
        <f t="shared" si="21"/>
        <v>Hip Replacement PrimaryCCG of GP PracticeNHS TOWER HAMLETS CCG (08V)EQ-5D Index</v>
      </c>
      <c r="C1372" t="s">
        <v>248</v>
      </c>
      <c r="D1372" t="s">
        <v>87</v>
      </c>
      <c r="E1372" t="s">
        <v>1010</v>
      </c>
      <c r="F1372" t="s">
        <v>1011</v>
      </c>
      <c r="G1372" t="s">
        <v>52</v>
      </c>
      <c r="H1372">
        <v>17</v>
      </c>
      <c r="I1372">
        <v>0.29499999999999998</v>
      </c>
      <c r="J1372">
        <v>0.746</v>
      </c>
      <c r="K1372">
        <v>0.45100000000000001</v>
      </c>
      <c r="L1372">
        <v>15</v>
      </c>
      <c r="M1372">
        <v>1</v>
      </c>
      <c r="N1372">
        <v>1</v>
      </c>
      <c r="O1372" t="s">
        <v>53</v>
      </c>
      <c r="P1372" t="s">
        <v>53</v>
      </c>
      <c r="Q1372" t="s">
        <v>53</v>
      </c>
    </row>
    <row r="1373" spans="1:17" s="30" customFormat="1" x14ac:dyDescent="0.2">
      <c r="A1373" s="30" t="str">
        <f>IF(C1373&amp;G1373&amp;D1373&lt;&gt;'Funnel setup'!$K$3&amp;'Funnel setup'!$K$4&amp;'Funnel setup'!$K$5,".",IF(A1372=".",1,A1372+1))</f>
        <v>.</v>
      </c>
      <c r="B1373" s="431" t="str">
        <f t="shared" si="21"/>
        <v>Hip Replacement PrimaryCCG of GP PracticeNHS TRAFFORD CCG (02A)EQ-5D Index</v>
      </c>
      <c r="C1373" t="s">
        <v>248</v>
      </c>
      <c r="D1373" t="s">
        <v>87</v>
      </c>
      <c r="E1373" t="s">
        <v>1013</v>
      </c>
      <c r="F1373" t="s">
        <v>1014</v>
      </c>
      <c r="G1373" t="s">
        <v>52</v>
      </c>
      <c r="H1373">
        <v>78</v>
      </c>
      <c r="I1373">
        <v>0.45700000000000002</v>
      </c>
      <c r="J1373">
        <v>0.81699999999999995</v>
      </c>
      <c r="K1373">
        <v>0.36</v>
      </c>
      <c r="L1373">
        <v>67</v>
      </c>
      <c r="M1373">
        <v>7</v>
      </c>
      <c r="N1373">
        <v>4</v>
      </c>
      <c r="O1373">
        <v>0.77900000000000003</v>
      </c>
      <c r="P1373">
        <v>0.41740461299999998</v>
      </c>
      <c r="Q1373">
        <v>0.19600000000000001</v>
      </c>
    </row>
    <row r="1374" spans="1:17" s="30" customFormat="1" x14ac:dyDescent="0.2">
      <c r="A1374" s="30" t="str">
        <f>IF(C1374&amp;G1374&amp;D1374&lt;&gt;'Funnel setup'!$K$3&amp;'Funnel setup'!$K$4&amp;'Funnel setup'!$K$5,".",IF(A1373=".",1,A1373+1))</f>
        <v>.</v>
      </c>
      <c r="B1374" s="431" t="str">
        <f t="shared" si="21"/>
        <v>Hip Replacement PrimaryCCG of GP PracticeNHS VALE OF YORK CCG (03Q)EQ-5D Index</v>
      </c>
      <c r="C1374" t="s">
        <v>248</v>
      </c>
      <c r="D1374" t="s">
        <v>87</v>
      </c>
      <c r="E1374" t="s">
        <v>420</v>
      </c>
      <c r="F1374" t="s">
        <v>421</v>
      </c>
      <c r="G1374" t="s">
        <v>52</v>
      </c>
      <c r="H1374">
        <v>364</v>
      </c>
      <c r="I1374">
        <v>0.40699999999999997</v>
      </c>
      <c r="J1374">
        <v>0.82399999999999995</v>
      </c>
      <c r="K1374">
        <v>0.41599999999999998</v>
      </c>
      <c r="L1374">
        <v>328</v>
      </c>
      <c r="M1374">
        <v>18</v>
      </c>
      <c r="N1374">
        <v>18</v>
      </c>
      <c r="O1374">
        <v>0.79500000000000004</v>
      </c>
      <c r="P1374">
        <v>0.43377643300000002</v>
      </c>
      <c r="Q1374">
        <v>0.21</v>
      </c>
    </row>
    <row r="1375" spans="1:17" s="30" customFormat="1" x14ac:dyDescent="0.2">
      <c r="A1375" s="30" t="str">
        <f>IF(C1375&amp;G1375&amp;D1375&lt;&gt;'Funnel setup'!$K$3&amp;'Funnel setup'!$K$4&amp;'Funnel setup'!$K$5,".",IF(A1374=".",1,A1374+1))</f>
        <v>.</v>
      </c>
      <c r="B1375" s="431" t="str">
        <f t="shared" si="21"/>
        <v>Hip Replacement PrimaryCCG of GP PracticeNHS VALE ROYAL CCG (02D)EQ-5D Index</v>
      </c>
      <c r="C1375" t="s">
        <v>248</v>
      </c>
      <c r="D1375" t="s">
        <v>87</v>
      </c>
      <c r="E1375" t="s">
        <v>423</v>
      </c>
      <c r="F1375" t="s">
        <v>424</v>
      </c>
      <c r="G1375" t="s">
        <v>52</v>
      </c>
      <c r="H1375">
        <v>77</v>
      </c>
      <c r="I1375">
        <v>0.33</v>
      </c>
      <c r="J1375">
        <v>0.81799999999999995</v>
      </c>
      <c r="K1375">
        <v>0.48799999999999999</v>
      </c>
      <c r="L1375">
        <v>67</v>
      </c>
      <c r="M1375">
        <v>8</v>
      </c>
      <c r="N1375">
        <v>2</v>
      </c>
      <c r="O1375">
        <v>0.82099999999999995</v>
      </c>
      <c r="P1375">
        <v>0.459822181</v>
      </c>
      <c r="Q1375">
        <v>0.19800000000000001</v>
      </c>
    </row>
    <row r="1376" spans="1:17" s="30" customFormat="1" x14ac:dyDescent="0.2">
      <c r="A1376" s="30" t="str">
        <f>IF(C1376&amp;G1376&amp;D1376&lt;&gt;'Funnel setup'!$K$3&amp;'Funnel setup'!$K$4&amp;'Funnel setup'!$K$5,".",IF(A1375=".",1,A1375+1))</f>
        <v>.</v>
      </c>
      <c r="B1376" s="431" t="str">
        <f t="shared" si="21"/>
        <v>Hip Replacement PrimaryCCG of GP PracticeNHS WAKEFIELD CCG (03R)EQ-5D Index</v>
      </c>
      <c r="C1376" t="s">
        <v>248</v>
      </c>
      <c r="D1376" t="s">
        <v>87</v>
      </c>
      <c r="E1376" t="s">
        <v>426</v>
      </c>
      <c r="F1376" t="s">
        <v>427</v>
      </c>
      <c r="G1376" t="s">
        <v>52</v>
      </c>
      <c r="H1376">
        <v>203</v>
      </c>
      <c r="I1376">
        <v>0.34399999999999997</v>
      </c>
      <c r="J1376">
        <v>0.755</v>
      </c>
      <c r="K1376">
        <v>0.41099999999999998</v>
      </c>
      <c r="L1376">
        <v>177</v>
      </c>
      <c r="M1376">
        <v>13</v>
      </c>
      <c r="N1376">
        <v>13</v>
      </c>
      <c r="O1376">
        <v>0.76300000000000001</v>
      </c>
      <c r="P1376">
        <v>0.40090231700000001</v>
      </c>
      <c r="Q1376">
        <v>0.23</v>
      </c>
    </row>
    <row r="1377" spans="1:17" s="30" customFormat="1" x14ac:dyDescent="0.2">
      <c r="A1377" s="30" t="str">
        <f>IF(C1377&amp;G1377&amp;D1377&lt;&gt;'Funnel setup'!$K$3&amp;'Funnel setup'!$K$4&amp;'Funnel setup'!$K$5,".",IF(A1376=".",1,A1376+1))</f>
        <v>.</v>
      </c>
      <c r="B1377" s="431" t="str">
        <f t="shared" si="21"/>
        <v>Hip Replacement PrimaryCCG of GP PracticeNHS WALSALL CCG (05Y)EQ-5D Index</v>
      </c>
      <c r="C1377" t="s">
        <v>248</v>
      </c>
      <c r="D1377" t="s">
        <v>87</v>
      </c>
      <c r="E1377" t="s">
        <v>429</v>
      </c>
      <c r="F1377" t="s">
        <v>430</v>
      </c>
      <c r="G1377" t="s">
        <v>52</v>
      </c>
      <c r="H1377">
        <v>152</v>
      </c>
      <c r="I1377">
        <v>0.28599999999999998</v>
      </c>
      <c r="J1377">
        <v>0.70899999999999996</v>
      </c>
      <c r="K1377">
        <v>0.42299999999999999</v>
      </c>
      <c r="L1377">
        <v>133</v>
      </c>
      <c r="M1377">
        <v>7</v>
      </c>
      <c r="N1377">
        <v>12</v>
      </c>
      <c r="O1377">
        <v>0.748</v>
      </c>
      <c r="P1377">
        <v>0.38610405399999997</v>
      </c>
      <c r="Q1377">
        <v>0.26400000000000001</v>
      </c>
    </row>
    <row r="1378" spans="1:17" s="30" customFormat="1" x14ac:dyDescent="0.2">
      <c r="A1378" s="30" t="str">
        <f>IF(C1378&amp;G1378&amp;D1378&lt;&gt;'Funnel setup'!$K$3&amp;'Funnel setup'!$K$4&amp;'Funnel setup'!$K$5,".",IF(A1377=".",1,A1377+1))</f>
        <v>.</v>
      </c>
      <c r="B1378" s="431" t="str">
        <f t="shared" si="21"/>
        <v>Hip Replacement PrimaryCCG of GP PracticeNHS WALTHAM FOREST CCG (08W)EQ-5D Index</v>
      </c>
      <c r="C1378" t="s">
        <v>248</v>
      </c>
      <c r="D1378" t="s">
        <v>87</v>
      </c>
      <c r="E1378" t="s">
        <v>432</v>
      </c>
      <c r="F1378" t="s">
        <v>433</v>
      </c>
      <c r="G1378" t="s">
        <v>52</v>
      </c>
      <c r="H1378">
        <v>69</v>
      </c>
      <c r="I1378">
        <v>0.28399999999999997</v>
      </c>
      <c r="J1378">
        <v>0.78700000000000003</v>
      </c>
      <c r="K1378">
        <v>0.502</v>
      </c>
      <c r="L1378">
        <v>61</v>
      </c>
      <c r="M1378">
        <v>4</v>
      </c>
      <c r="N1378">
        <v>4</v>
      </c>
      <c r="O1378">
        <v>0.81899999999999995</v>
      </c>
      <c r="P1378">
        <v>0.45731894000000001</v>
      </c>
      <c r="Q1378">
        <v>0.222</v>
      </c>
    </row>
    <row r="1379" spans="1:17" s="30" customFormat="1" x14ac:dyDescent="0.2">
      <c r="A1379" s="30" t="str">
        <f>IF(C1379&amp;G1379&amp;D1379&lt;&gt;'Funnel setup'!$K$3&amp;'Funnel setup'!$K$4&amp;'Funnel setup'!$K$5,".",IF(A1378=".",1,A1378+1))</f>
        <v>.</v>
      </c>
      <c r="B1379" s="431" t="str">
        <f t="shared" si="21"/>
        <v>Hip Replacement PrimaryCCG of GP PracticeNHS WANDSWORTH CCG (08X)EQ-5D Index</v>
      </c>
      <c r="C1379" t="s">
        <v>248</v>
      </c>
      <c r="D1379" t="s">
        <v>87</v>
      </c>
      <c r="E1379" t="s">
        <v>435</v>
      </c>
      <c r="F1379" t="s">
        <v>436</v>
      </c>
      <c r="G1379" t="s">
        <v>52</v>
      </c>
      <c r="H1379">
        <v>71</v>
      </c>
      <c r="I1379">
        <v>0.41899999999999998</v>
      </c>
      <c r="J1379">
        <v>0.79900000000000004</v>
      </c>
      <c r="K1379">
        <v>0.38</v>
      </c>
      <c r="L1379">
        <v>57</v>
      </c>
      <c r="M1379">
        <v>10</v>
      </c>
      <c r="N1379">
        <v>4</v>
      </c>
      <c r="O1379">
        <v>0.79200000000000004</v>
      </c>
      <c r="P1379">
        <v>0.43066480800000001</v>
      </c>
      <c r="Q1379">
        <v>0.26700000000000002</v>
      </c>
    </row>
    <row r="1380" spans="1:17" s="30" customFormat="1" x14ac:dyDescent="0.2">
      <c r="A1380" s="30" t="str">
        <f>IF(C1380&amp;G1380&amp;D1380&lt;&gt;'Funnel setup'!$K$3&amp;'Funnel setup'!$K$4&amp;'Funnel setup'!$K$5,".",IF(A1379=".",1,A1379+1))</f>
        <v>.</v>
      </c>
      <c r="B1380" s="431" t="str">
        <f t="shared" si="21"/>
        <v>Hip Replacement PrimaryCCG of GP PracticeNHS WARRINGTON CCG (02E)EQ-5D Index</v>
      </c>
      <c r="C1380" t="s">
        <v>248</v>
      </c>
      <c r="D1380" t="s">
        <v>87</v>
      </c>
      <c r="E1380" t="s">
        <v>441</v>
      </c>
      <c r="F1380" t="s">
        <v>442</v>
      </c>
      <c r="G1380" t="s">
        <v>52</v>
      </c>
      <c r="H1380">
        <v>115</v>
      </c>
      <c r="I1380">
        <v>0.33600000000000002</v>
      </c>
      <c r="J1380">
        <v>0.77</v>
      </c>
      <c r="K1380">
        <v>0.434</v>
      </c>
      <c r="L1380">
        <v>100</v>
      </c>
      <c r="M1380">
        <v>6</v>
      </c>
      <c r="N1380">
        <v>9</v>
      </c>
      <c r="O1380">
        <v>0.77100000000000002</v>
      </c>
      <c r="P1380">
        <v>0.40894209399999998</v>
      </c>
      <c r="Q1380">
        <v>0.23799999999999999</v>
      </c>
    </row>
    <row r="1381" spans="1:17" s="30" customFormat="1" x14ac:dyDescent="0.2">
      <c r="A1381" s="30" t="str">
        <f>IF(C1381&amp;G1381&amp;D1381&lt;&gt;'Funnel setup'!$K$3&amp;'Funnel setup'!$K$4&amp;'Funnel setup'!$K$5,".",IF(A1380=".",1,A1380+1))</f>
        <v>.</v>
      </c>
      <c r="B1381" s="431" t="str">
        <f t="shared" si="21"/>
        <v>Hip Replacement PrimaryCCG of GP PracticeNHS WARWICKSHIRE NORTH CCG (05H)EQ-5D Index</v>
      </c>
      <c r="C1381" t="s">
        <v>248</v>
      </c>
      <c r="D1381" t="s">
        <v>87</v>
      </c>
      <c r="E1381" t="s">
        <v>438</v>
      </c>
      <c r="F1381" t="s">
        <v>439</v>
      </c>
      <c r="G1381" t="s">
        <v>52</v>
      </c>
      <c r="H1381">
        <v>110</v>
      </c>
      <c r="I1381">
        <v>0.32600000000000001</v>
      </c>
      <c r="J1381">
        <v>0.79500000000000004</v>
      </c>
      <c r="K1381">
        <v>0.46899999999999997</v>
      </c>
      <c r="L1381">
        <v>97</v>
      </c>
      <c r="M1381">
        <v>9</v>
      </c>
      <c r="N1381">
        <v>4</v>
      </c>
      <c r="O1381">
        <v>0.80300000000000005</v>
      </c>
      <c r="P1381">
        <v>0.44100028000000002</v>
      </c>
      <c r="Q1381">
        <v>0.214</v>
      </c>
    </row>
    <row r="1382" spans="1:17" s="30" customFormat="1" x14ac:dyDescent="0.2">
      <c r="A1382" s="30" t="str">
        <f>IF(C1382&amp;G1382&amp;D1382&lt;&gt;'Funnel setup'!$K$3&amp;'Funnel setup'!$K$4&amp;'Funnel setup'!$K$5,".",IF(A1381=".",1,A1381+1))</f>
        <v>.</v>
      </c>
      <c r="B1382" s="431" t="str">
        <f t="shared" si="21"/>
        <v>Hip Replacement PrimaryCCG of GP PracticeNHS WEST CHESHIRE CCG (02F)EQ-5D Index</v>
      </c>
      <c r="C1382" t="s">
        <v>248</v>
      </c>
      <c r="D1382" t="s">
        <v>87</v>
      </c>
      <c r="E1382" t="s">
        <v>402</v>
      </c>
      <c r="F1382" t="s">
        <v>403</v>
      </c>
      <c r="G1382" t="s">
        <v>52</v>
      </c>
      <c r="H1382">
        <v>215</v>
      </c>
      <c r="I1382">
        <v>0.32900000000000001</v>
      </c>
      <c r="J1382">
        <v>0.81299999999999994</v>
      </c>
      <c r="K1382">
        <v>0.48299999999999998</v>
      </c>
      <c r="L1382">
        <v>201</v>
      </c>
      <c r="M1382">
        <v>7</v>
      </c>
      <c r="N1382">
        <v>7</v>
      </c>
      <c r="O1382">
        <v>0.80600000000000005</v>
      </c>
      <c r="P1382">
        <v>0.44402652799999998</v>
      </c>
      <c r="Q1382">
        <v>0.2</v>
      </c>
    </row>
    <row r="1383" spans="1:17" s="30" customFormat="1" x14ac:dyDescent="0.2">
      <c r="A1383" s="30" t="str">
        <f>IF(C1383&amp;G1383&amp;D1383&lt;&gt;'Funnel setup'!$K$3&amp;'Funnel setup'!$K$4&amp;'Funnel setup'!$K$5,".",IF(A1382=".",1,A1382+1))</f>
        <v>.</v>
      </c>
      <c r="B1383" s="431" t="str">
        <f t="shared" si="21"/>
        <v>Hip Replacement PrimaryCCG of GP PracticeNHS WEST ESSEX CCG (07H)EQ-5D Index</v>
      </c>
      <c r="C1383" t="s">
        <v>248</v>
      </c>
      <c r="D1383" t="s">
        <v>87</v>
      </c>
      <c r="E1383" t="s">
        <v>405</v>
      </c>
      <c r="F1383" t="s">
        <v>406</v>
      </c>
      <c r="G1383" t="s">
        <v>52</v>
      </c>
      <c r="H1383">
        <v>198</v>
      </c>
      <c r="I1383">
        <v>0.314</v>
      </c>
      <c r="J1383">
        <v>0.76600000000000001</v>
      </c>
      <c r="K1383">
        <v>0.45200000000000001</v>
      </c>
      <c r="L1383">
        <v>171</v>
      </c>
      <c r="M1383">
        <v>15</v>
      </c>
      <c r="N1383">
        <v>12</v>
      </c>
      <c r="O1383">
        <v>0.77500000000000002</v>
      </c>
      <c r="P1383">
        <v>0.41350235699999999</v>
      </c>
      <c r="Q1383">
        <v>0.24399999999999999</v>
      </c>
    </row>
    <row r="1384" spans="1:17" s="30" customFormat="1" x14ac:dyDescent="0.2">
      <c r="A1384" s="30" t="str">
        <f>IF(C1384&amp;G1384&amp;D1384&lt;&gt;'Funnel setup'!$K$3&amp;'Funnel setup'!$K$4&amp;'Funnel setup'!$K$5,".",IF(A1383=".",1,A1383+1))</f>
        <v>.</v>
      </c>
      <c r="B1384" s="431" t="str">
        <f t="shared" si="21"/>
        <v>Hip Replacement PrimaryCCG of GP PracticeNHS WEST HAMPSHIRE CCG (11A)EQ-5D Index</v>
      </c>
      <c r="C1384" t="s">
        <v>248</v>
      </c>
      <c r="D1384" t="s">
        <v>87</v>
      </c>
      <c r="E1384" t="s">
        <v>444</v>
      </c>
      <c r="F1384" t="s">
        <v>445</v>
      </c>
      <c r="G1384" t="s">
        <v>52</v>
      </c>
      <c r="H1384">
        <v>465</v>
      </c>
      <c r="I1384">
        <v>0.36299999999999999</v>
      </c>
      <c r="J1384">
        <v>0.80900000000000005</v>
      </c>
      <c r="K1384">
        <v>0.44600000000000001</v>
      </c>
      <c r="L1384">
        <v>415</v>
      </c>
      <c r="M1384">
        <v>25</v>
      </c>
      <c r="N1384">
        <v>25</v>
      </c>
      <c r="O1384">
        <v>0.79800000000000004</v>
      </c>
      <c r="P1384">
        <v>0.43669434600000001</v>
      </c>
      <c r="Q1384">
        <v>0.216</v>
      </c>
    </row>
    <row r="1385" spans="1:17" s="30" customFormat="1" x14ac:dyDescent="0.2">
      <c r="A1385" s="30" t="str">
        <f>IF(C1385&amp;G1385&amp;D1385&lt;&gt;'Funnel setup'!$K$3&amp;'Funnel setup'!$K$4&amp;'Funnel setup'!$K$5,".",IF(A1384=".",1,A1384+1))</f>
        <v>.</v>
      </c>
      <c r="B1385" s="431" t="str">
        <f t="shared" si="21"/>
        <v>Hip Replacement PrimaryCCG of GP PracticeNHS WEST KENT CCG (99J)EQ-5D Index</v>
      </c>
      <c r="C1385" t="s">
        <v>248</v>
      </c>
      <c r="D1385" t="s">
        <v>87</v>
      </c>
      <c r="E1385" t="s">
        <v>447</v>
      </c>
      <c r="F1385" t="s">
        <v>448</v>
      </c>
      <c r="G1385" t="s">
        <v>52</v>
      </c>
      <c r="H1385">
        <v>319</v>
      </c>
      <c r="I1385">
        <v>0.39800000000000002</v>
      </c>
      <c r="J1385">
        <v>0.83899999999999997</v>
      </c>
      <c r="K1385">
        <v>0.442</v>
      </c>
      <c r="L1385">
        <v>293</v>
      </c>
      <c r="M1385">
        <v>13</v>
      </c>
      <c r="N1385">
        <v>13</v>
      </c>
      <c r="O1385">
        <v>0.83199999999999996</v>
      </c>
      <c r="P1385">
        <v>0.47018681000000001</v>
      </c>
      <c r="Q1385">
        <v>0.191</v>
      </c>
    </row>
    <row r="1386" spans="1:17" s="30" customFormat="1" x14ac:dyDescent="0.2">
      <c r="A1386" s="30" t="str">
        <f>IF(C1386&amp;G1386&amp;D1386&lt;&gt;'Funnel setup'!$K$3&amp;'Funnel setup'!$K$4&amp;'Funnel setup'!$K$5,".",IF(A1385=".",1,A1385+1))</f>
        <v>.</v>
      </c>
      <c r="B1386" s="431" t="str">
        <f t="shared" si="21"/>
        <v>Hip Replacement PrimaryCCG of GP PracticeNHS WEST LANCASHIRE CCG (02G)EQ-5D Index</v>
      </c>
      <c r="C1386" t="s">
        <v>248</v>
      </c>
      <c r="D1386" t="s">
        <v>87</v>
      </c>
      <c r="E1386" t="s">
        <v>450</v>
      </c>
      <c r="F1386" t="s">
        <v>451</v>
      </c>
      <c r="G1386" t="s">
        <v>52</v>
      </c>
      <c r="H1386">
        <v>65</v>
      </c>
      <c r="I1386">
        <v>0.38400000000000001</v>
      </c>
      <c r="J1386">
        <v>0.755</v>
      </c>
      <c r="K1386">
        <v>0.371</v>
      </c>
      <c r="L1386">
        <v>55</v>
      </c>
      <c r="M1386">
        <v>6</v>
      </c>
      <c r="N1386">
        <v>4</v>
      </c>
      <c r="O1386">
        <v>0.745</v>
      </c>
      <c r="P1386">
        <v>0.383712151</v>
      </c>
      <c r="Q1386">
        <v>0.22900000000000001</v>
      </c>
    </row>
    <row r="1387" spans="1:17" s="30" customFormat="1" x14ac:dyDescent="0.2">
      <c r="A1387" s="30" t="str">
        <f>IF(C1387&amp;G1387&amp;D1387&lt;&gt;'Funnel setup'!$K$3&amp;'Funnel setup'!$K$4&amp;'Funnel setup'!$K$5,".",IF(A1386=".",1,A1386+1))</f>
        <v>.</v>
      </c>
      <c r="B1387" s="431" t="str">
        <f t="shared" si="21"/>
        <v>Hip Replacement PrimaryCCG of GP PracticeNHS WEST LEICESTERSHIRE CCG (04V)EQ-5D Index</v>
      </c>
      <c r="C1387" t="s">
        <v>248</v>
      </c>
      <c r="D1387" t="s">
        <v>87</v>
      </c>
      <c r="E1387" t="s">
        <v>453</v>
      </c>
      <c r="F1387" t="s">
        <v>454</v>
      </c>
      <c r="G1387" t="s">
        <v>52</v>
      </c>
      <c r="H1387">
        <v>266</v>
      </c>
      <c r="I1387">
        <v>0.35499999999999998</v>
      </c>
      <c r="J1387">
        <v>0.80500000000000005</v>
      </c>
      <c r="K1387">
        <v>0.45</v>
      </c>
      <c r="L1387">
        <v>241</v>
      </c>
      <c r="M1387">
        <v>16</v>
      </c>
      <c r="N1387">
        <v>9</v>
      </c>
      <c r="O1387">
        <v>0.79200000000000004</v>
      </c>
      <c r="P1387">
        <v>0.43015234899999999</v>
      </c>
      <c r="Q1387">
        <v>0.19900000000000001</v>
      </c>
    </row>
    <row r="1388" spans="1:17" s="30" customFormat="1" x14ac:dyDescent="0.2">
      <c r="A1388" s="30" t="str">
        <f>IF(C1388&amp;G1388&amp;D1388&lt;&gt;'Funnel setup'!$K$3&amp;'Funnel setup'!$K$4&amp;'Funnel setup'!$K$5,".",IF(A1387=".",1,A1387+1))</f>
        <v>.</v>
      </c>
      <c r="B1388" s="431" t="str">
        <f t="shared" si="21"/>
        <v>Hip Replacement PrimaryCCG of GP PracticeNHS WEST LONDON CCG (08Y)EQ-5D Index</v>
      </c>
      <c r="C1388" t="s">
        <v>248</v>
      </c>
      <c r="D1388" t="s">
        <v>87</v>
      </c>
      <c r="E1388" t="s">
        <v>456</v>
      </c>
      <c r="F1388" t="s">
        <v>457</v>
      </c>
      <c r="G1388" t="s">
        <v>52</v>
      </c>
      <c r="H1388">
        <v>24</v>
      </c>
      <c r="I1388">
        <v>0.23699999999999999</v>
      </c>
      <c r="J1388">
        <v>0.752</v>
      </c>
      <c r="K1388">
        <v>0.51500000000000001</v>
      </c>
      <c r="L1388">
        <v>22</v>
      </c>
      <c r="M1388">
        <v>2</v>
      </c>
      <c r="N1388">
        <v>0</v>
      </c>
      <c r="O1388" t="s">
        <v>53</v>
      </c>
      <c r="P1388" t="s">
        <v>53</v>
      </c>
      <c r="Q1388" t="s">
        <v>53</v>
      </c>
    </row>
    <row r="1389" spans="1:17" s="30" customFormat="1" x14ac:dyDescent="0.2">
      <c r="A1389" s="30" t="str">
        <f>IF(C1389&amp;G1389&amp;D1389&lt;&gt;'Funnel setup'!$K$3&amp;'Funnel setup'!$K$4&amp;'Funnel setup'!$K$5,".",IF(A1388=".",1,A1388+1))</f>
        <v>.</v>
      </c>
      <c r="B1389" s="431" t="str">
        <f t="shared" si="21"/>
        <v>Hip Replacement PrimaryCCG of GP PracticeNHS WEST NORFOLK CCG (07J)EQ-5D Index</v>
      </c>
      <c r="C1389" t="s">
        <v>248</v>
      </c>
      <c r="D1389" t="s">
        <v>87</v>
      </c>
      <c r="E1389" t="s">
        <v>459</v>
      </c>
      <c r="F1389" t="s">
        <v>460</v>
      </c>
      <c r="G1389" t="s">
        <v>52</v>
      </c>
      <c r="H1389">
        <v>177</v>
      </c>
      <c r="I1389">
        <v>0.33600000000000002</v>
      </c>
      <c r="J1389">
        <v>0.79200000000000004</v>
      </c>
      <c r="K1389">
        <v>0.45600000000000002</v>
      </c>
      <c r="L1389">
        <v>160</v>
      </c>
      <c r="M1389">
        <v>9</v>
      </c>
      <c r="N1389">
        <v>8</v>
      </c>
      <c r="O1389">
        <v>0.80100000000000005</v>
      </c>
      <c r="P1389">
        <v>0.43906012700000002</v>
      </c>
      <c r="Q1389">
        <v>0.217</v>
      </c>
    </row>
    <row r="1390" spans="1:17" s="30" customFormat="1" x14ac:dyDescent="0.2">
      <c r="A1390" s="30" t="str">
        <f>IF(C1390&amp;G1390&amp;D1390&lt;&gt;'Funnel setup'!$K$3&amp;'Funnel setup'!$K$4&amp;'Funnel setup'!$K$5,".",IF(A1389=".",1,A1389+1))</f>
        <v>.</v>
      </c>
      <c r="B1390" s="431" t="str">
        <f t="shared" si="21"/>
        <v>Hip Replacement PrimaryCCG of GP PracticeNHS WEST SUFFOLK CCG (07K)EQ-5D Index</v>
      </c>
      <c r="C1390" t="s">
        <v>248</v>
      </c>
      <c r="D1390" t="s">
        <v>87</v>
      </c>
      <c r="E1390" t="s">
        <v>462</v>
      </c>
      <c r="F1390" t="s">
        <v>463</v>
      </c>
      <c r="G1390" t="s">
        <v>52</v>
      </c>
      <c r="H1390">
        <v>241</v>
      </c>
      <c r="I1390">
        <v>0.33800000000000002</v>
      </c>
      <c r="J1390">
        <v>0.79800000000000004</v>
      </c>
      <c r="K1390">
        <v>0.46</v>
      </c>
      <c r="L1390">
        <v>219</v>
      </c>
      <c r="M1390">
        <v>10</v>
      </c>
      <c r="N1390">
        <v>12</v>
      </c>
      <c r="O1390">
        <v>0.79800000000000004</v>
      </c>
      <c r="P1390">
        <v>0.43627273</v>
      </c>
      <c r="Q1390">
        <v>0.23100000000000001</v>
      </c>
    </row>
    <row r="1391" spans="1:17" s="30" customFormat="1" x14ac:dyDescent="0.2">
      <c r="A1391" s="30" t="str">
        <f>IF(C1391&amp;G1391&amp;D1391&lt;&gt;'Funnel setup'!$K$3&amp;'Funnel setup'!$K$4&amp;'Funnel setup'!$K$5,".",IF(A1390=".",1,A1390+1))</f>
        <v>.</v>
      </c>
      <c r="B1391" s="431" t="str">
        <f t="shared" si="21"/>
        <v>Hip Replacement PrimaryCCG of GP PracticeNHS WIGAN BOROUGH CCG (02H)EQ-5D Index</v>
      </c>
      <c r="C1391" t="s">
        <v>248</v>
      </c>
      <c r="D1391" t="s">
        <v>87</v>
      </c>
      <c r="E1391" t="s">
        <v>465</v>
      </c>
      <c r="F1391" t="s">
        <v>466</v>
      </c>
      <c r="G1391" t="s">
        <v>52</v>
      </c>
      <c r="H1391">
        <v>102</v>
      </c>
      <c r="I1391">
        <v>0.36199999999999999</v>
      </c>
      <c r="J1391">
        <v>0.81100000000000005</v>
      </c>
      <c r="K1391">
        <v>0.44900000000000001</v>
      </c>
      <c r="L1391">
        <v>96</v>
      </c>
      <c r="M1391">
        <v>3</v>
      </c>
      <c r="N1391">
        <v>3</v>
      </c>
      <c r="O1391">
        <v>0.81899999999999995</v>
      </c>
      <c r="P1391">
        <v>0.45733189200000002</v>
      </c>
      <c r="Q1391">
        <v>0.217</v>
      </c>
    </row>
    <row r="1392" spans="1:17" s="30" customFormat="1" x14ac:dyDescent="0.2">
      <c r="A1392" s="30" t="str">
        <f>IF(C1392&amp;G1392&amp;D1392&lt;&gt;'Funnel setup'!$K$3&amp;'Funnel setup'!$K$4&amp;'Funnel setup'!$K$5,".",IF(A1391=".",1,A1391+1))</f>
        <v>.</v>
      </c>
      <c r="B1392" s="431" t="str">
        <f t="shared" si="21"/>
        <v>Hip Replacement PrimaryCCG of GP PracticeNHS WILTSHIRE CCG (99N)EQ-5D Index</v>
      </c>
      <c r="C1392" t="s">
        <v>248</v>
      </c>
      <c r="D1392" t="s">
        <v>87</v>
      </c>
      <c r="E1392" t="s">
        <v>468</v>
      </c>
      <c r="F1392" t="s">
        <v>469</v>
      </c>
      <c r="G1392" t="s">
        <v>52</v>
      </c>
      <c r="H1392">
        <v>519</v>
      </c>
      <c r="I1392">
        <v>0.39500000000000002</v>
      </c>
      <c r="J1392">
        <v>0.82799999999999996</v>
      </c>
      <c r="K1392">
        <v>0.433</v>
      </c>
      <c r="L1392">
        <v>473</v>
      </c>
      <c r="M1392">
        <v>31</v>
      </c>
      <c r="N1392">
        <v>15</v>
      </c>
      <c r="O1392">
        <v>0.81599999999999995</v>
      </c>
      <c r="P1392">
        <v>0.45417354500000001</v>
      </c>
      <c r="Q1392">
        <v>0.21199999999999999</v>
      </c>
    </row>
    <row r="1393" spans="1:17" s="30" customFormat="1" x14ac:dyDescent="0.2">
      <c r="A1393" s="30" t="str">
        <f>IF(C1393&amp;G1393&amp;D1393&lt;&gt;'Funnel setup'!$K$3&amp;'Funnel setup'!$K$4&amp;'Funnel setup'!$K$5,".",IF(A1392=".",1,A1392+1))</f>
        <v>.</v>
      </c>
      <c r="B1393" s="431" t="str">
        <f t="shared" si="21"/>
        <v>Hip Replacement PrimaryCCG of GP PracticeNHS WINDSOR, ASCOT AND MAIDENHEAD CCG (11C)EQ-5D Index</v>
      </c>
      <c r="C1393" t="s">
        <v>248</v>
      </c>
      <c r="D1393" t="s">
        <v>87</v>
      </c>
      <c r="E1393" t="s">
        <v>471</v>
      </c>
      <c r="F1393" t="s">
        <v>472</v>
      </c>
      <c r="G1393" t="s">
        <v>52</v>
      </c>
      <c r="H1393">
        <v>82</v>
      </c>
      <c r="I1393">
        <v>0.34100000000000003</v>
      </c>
      <c r="J1393">
        <v>0.79200000000000004</v>
      </c>
      <c r="K1393">
        <v>0.45100000000000001</v>
      </c>
      <c r="L1393">
        <v>73</v>
      </c>
      <c r="M1393">
        <v>8</v>
      </c>
      <c r="N1393">
        <v>1</v>
      </c>
      <c r="O1393">
        <v>0.78200000000000003</v>
      </c>
      <c r="P1393">
        <v>0.420212998</v>
      </c>
      <c r="Q1393">
        <v>0.2</v>
      </c>
    </row>
    <row r="1394" spans="1:17" s="30" customFormat="1" x14ac:dyDescent="0.2">
      <c r="A1394" s="30" t="str">
        <f>IF(C1394&amp;G1394&amp;D1394&lt;&gt;'Funnel setup'!$K$3&amp;'Funnel setup'!$K$4&amp;'Funnel setup'!$K$5,".",IF(A1393=".",1,A1393+1))</f>
        <v>.</v>
      </c>
      <c r="B1394" s="431" t="str">
        <f t="shared" si="21"/>
        <v>Hip Replacement PrimaryCCG of GP PracticeNHS WIRRAL CCG (12F)EQ-5D Index</v>
      </c>
      <c r="C1394" t="s">
        <v>248</v>
      </c>
      <c r="D1394" t="s">
        <v>87</v>
      </c>
      <c r="E1394" t="s">
        <v>474</v>
      </c>
      <c r="F1394" t="s">
        <v>475</v>
      </c>
      <c r="G1394" t="s">
        <v>52</v>
      </c>
      <c r="H1394">
        <v>292</v>
      </c>
      <c r="I1394">
        <v>0.378</v>
      </c>
      <c r="J1394">
        <v>0.752</v>
      </c>
      <c r="K1394">
        <v>0.374</v>
      </c>
      <c r="L1394">
        <v>247</v>
      </c>
      <c r="M1394">
        <v>21</v>
      </c>
      <c r="N1394">
        <v>24</v>
      </c>
      <c r="O1394">
        <v>0.76200000000000001</v>
      </c>
      <c r="P1394">
        <v>0.40076492699999999</v>
      </c>
      <c r="Q1394">
        <v>0.22500000000000001</v>
      </c>
    </row>
    <row r="1395" spans="1:17" s="30" customFormat="1" x14ac:dyDescent="0.2">
      <c r="A1395" s="30" t="str">
        <f>IF(C1395&amp;G1395&amp;D1395&lt;&gt;'Funnel setup'!$K$3&amp;'Funnel setup'!$K$4&amp;'Funnel setup'!$K$5,".",IF(A1394=".",1,A1394+1))</f>
        <v>.</v>
      </c>
      <c r="B1395" s="431" t="str">
        <f t="shared" si="21"/>
        <v>Hip Replacement PrimaryCCG of GP PracticeNHS WOKINGHAM CCG (11D)EQ-5D Index</v>
      </c>
      <c r="C1395" t="s">
        <v>248</v>
      </c>
      <c r="D1395" t="s">
        <v>87</v>
      </c>
      <c r="E1395" t="s">
        <v>477</v>
      </c>
      <c r="F1395" t="s">
        <v>478</v>
      </c>
      <c r="G1395" t="s">
        <v>52</v>
      </c>
      <c r="H1395">
        <v>109</v>
      </c>
      <c r="I1395">
        <v>0.44800000000000001</v>
      </c>
      <c r="J1395">
        <v>0.86699999999999999</v>
      </c>
      <c r="K1395">
        <v>0.41899999999999998</v>
      </c>
      <c r="L1395">
        <v>99</v>
      </c>
      <c r="M1395">
        <v>6</v>
      </c>
      <c r="N1395">
        <v>4</v>
      </c>
      <c r="O1395">
        <v>0.82299999999999995</v>
      </c>
      <c r="P1395">
        <v>0.46105077100000003</v>
      </c>
      <c r="Q1395">
        <v>0.192</v>
      </c>
    </row>
    <row r="1396" spans="1:17" s="30" customFormat="1" x14ac:dyDescent="0.2">
      <c r="A1396" s="30" t="str">
        <f>IF(C1396&amp;G1396&amp;D1396&lt;&gt;'Funnel setup'!$K$3&amp;'Funnel setup'!$K$4&amp;'Funnel setup'!$K$5,".",IF(A1395=".",1,A1395+1))</f>
        <v>.</v>
      </c>
      <c r="B1396" s="431" t="str">
        <f t="shared" si="21"/>
        <v>Hip Replacement PrimaryCCG of GP PracticeNHS WOLVERHAMPTON CCG (06A)EQ-5D Index</v>
      </c>
      <c r="C1396" t="s">
        <v>248</v>
      </c>
      <c r="D1396" t="s">
        <v>87</v>
      </c>
      <c r="E1396" t="s">
        <v>480</v>
      </c>
      <c r="F1396" t="s">
        <v>481</v>
      </c>
      <c r="G1396" t="s">
        <v>52</v>
      </c>
      <c r="H1396">
        <v>139</v>
      </c>
      <c r="I1396">
        <v>0.34200000000000003</v>
      </c>
      <c r="J1396">
        <v>0.76300000000000001</v>
      </c>
      <c r="K1396">
        <v>0.42</v>
      </c>
      <c r="L1396">
        <v>122</v>
      </c>
      <c r="M1396">
        <v>8</v>
      </c>
      <c r="N1396">
        <v>9</v>
      </c>
      <c r="O1396">
        <v>0.79200000000000004</v>
      </c>
      <c r="P1396">
        <v>0.429845317</v>
      </c>
      <c r="Q1396">
        <v>0.219</v>
      </c>
    </row>
    <row r="1397" spans="1:17" s="30" customFormat="1" x14ac:dyDescent="0.2">
      <c r="A1397" s="30" t="str">
        <f>IF(C1397&amp;G1397&amp;D1397&lt;&gt;'Funnel setup'!$K$3&amp;'Funnel setup'!$K$4&amp;'Funnel setup'!$K$5,".",IF(A1396=".",1,A1396+1))</f>
        <v>.</v>
      </c>
      <c r="B1397" s="431" t="str">
        <f t="shared" si="21"/>
        <v>Hip Replacement PrimaryCCG of GP PracticeNHS WYRE FOREST CCG (06D)EQ-5D Index</v>
      </c>
      <c r="C1397" t="s">
        <v>248</v>
      </c>
      <c r="D1397" t="s">
        <v>87</v>
      </c>
      <c r="E1397" t="s">
        <v>483</v>
      </c>
      <c r="F1397" t="s">
        <v>484</v>
      </c>
      <c r="G1397" t="s">
        <v>52</v>
      </c>
      <c r="H1397">
        <v>81</v>
      </c>
      <c r="I1397">
        <v>0.32500000000000001</v>
      </c>
      <c r="J1397">
        <v>0.81</v>
      </c>
      <c r="K1397">
        <v>0.48499999999999999</v>
      </c>
      <c r="L1397">
        <v>77</v>
      </c>
      <c r="M1397">
        <v>2</v>
      </c>
      <c r="N1397">
        <v>2</v>
      </c>
      <c r="O1397">
        <v>0.83199999999999996</v>
      </c>
      <c r="P1397">
        <v>0.47074892800000001</v>
      </c>
      <c r="Q1397">
        <v>0.23899999999999999</v>
      </c>
    </row>
    <row r="1398" spans="1:17" s="30" customFormat="1" x14ac:dyDescent="0.2">
      <c r="A1398" s="30" t="str">
        <f>IF(C1398&amp;G1398&amp;D1398&lt;&gt;'Funnel setup'!$K$3&amp;'Funnel setup'!$K$4&amp;'Funnel setup'!$K$5,".",IF(A1397=".",1,A1397+1))</f>
        <v>.</v>
      </c>
      <c r="B1398" s="431" t="str">
        <f t="shared" si="21"/>
        <v>Hip Replacement PrimaryCCG of GP PracticeEAST COMMISSIONING HUB (14E)Oxford Hip Score</v>
      </c>
      <c r="C1398" t="s">
        <v>248</v>
      </c>
      <c r="D1398" t="s">
        <v>87</v>
      </c>
      <c r="E1398" t="s">
        <v>6551</v>
      </c>
      <c r="F1398" t="s">
        <v>6542</v>
      </c>
      <c r="G1398" t="s">
        <v>14</v>
      </c>
      <c r="H1398" t="s">
        <v>53</v>
      </c>
      <c r="I1398" t="s">
        <v>53</v>
      </c>
      <c r="J1398" t="s">
        <v>53</v>
      </c>
      <c r="K1398" t="s">
        <v>53</v>
      </c>
      <c r="L1398" t="s">
        <v>53</v>
      </c>
      <c r="M1398" t="s">
        <v>53</v>
      </c>
      <c r="N1398" t="s">
        <v>53</v>
      </c>
      <c r="O1398" t="s">
        <v>53</v>
      </c>
      <c r="P1398" t="s">
        <v>53</v>
      </c>
      <c r="Q1398" t="s">
        <v>53</v>
      </c>
    </row>
    <row r="1399" spans="1:17" s="30" customFormat="1" x14ac:dyDescent="0.2">
      <c r="A1399" s="30" t="str">
        <f>IF(C1399&amp;G1399&amp;D1399&lt;&gt;'Funnel setup'!$K$3&amp;'Funnel setup'!$K$4&amp;'Funnel setup'!$K$5,".",IF(A1398=".",1,A1398+1))</f>
        <v>.</v>
      </c>
      <c r="B1399" s="431" t="str">
        <f t="shared" si="21"/>
        <v>Hip Replacement PrimaryCCG of GP PracticeNATIONAL COMMISSIONING HUB 1 (13Q)Oxford Hip Score</v>
      </c>
      <c r="C1399" t="s">
        <v>248</v>
      </c>
      <c r="D1399" t="s">
        <v>87</v>
      </c>
      <c r="E1399" t="s">
        <v>563</v>
      </c>
      <c r="F1399" t="s">
        <v>564</v>
      </c>
      <c r="G1399" t="s">
        <v>14</v>
      </c>
      <c r="H1399">
        <v>10</v>
      </c>
      <c r="I1399">
        <v>31.8</v>
      </c>
      <c r="J1399">
        <v>41</v>
      </c>
      <c r="K1399">
        <v>9.1999999999999993</v>
      </c>
      <c r="L1399">
        <v>8</v>
      </c>
      <c r="M1399">
        <v>0</v>
      </c>
      <c r="N1399">
        <v>2</v>
      </c>
      <c r="O1399" t="s">
        <v>53</v>
      </c>
      <c r="P1399" t="s">
        <v>53</v>
      </c>
      <c r="Q1399" t="s">
        <v>53</v>
      </c>
    </row>
    <row r="1400" spans="1:17" s="30" customFormat="1" x14ac:dyDescent="0.2">
      <c r="A1400" s="30" t="str">
        <f>IF(C1400&amp;G1400&amp;D1400&lt;&gt;'Funnel setup'!$K$3&amp;'Funnel setup'!$K$4&amp;'Funnel setup'!$K$5,".",IF(A1399=".",1,A1399+1))</f>
        <v>.</v>
      </c>
      <c r="B1400" s="431" t="str">
        <f t="shared" si="21"/>
        <v>Hip Replacement PrimaryCCG of GP PracticeNHS AIREDALE, WHARFEDALE AND CRAVEN CCG (02N)Oxford Hip Score</v>
      </c>
      <c r="C1400" t="s">
        <v>248</v>
      </c>
      <c r="D1400" t="s">
        <v>87</v>
      </c>
      <c r="E1400" t="s">
        <v>566</v>
      </c>
      <c r="F1400" t="s">
        <v>567</v>
      </c>
      <c r="G1400" t="s">
        <v>14</v>
      </c>
      <c r="H1400">
        <v>175</v>
      </c>
      <c r="I1400">
        <v>20.006</v>
      </c>
      <c r="J1400">
        <v>39.976999999999997</v>
      </c>
      <c r="K1400">
        <v>19.971</v>
      </c>
      <c r="L1400">
        <v>168</v>
      </c>
      <c r="M1400">
        <v>1</v>
      </c>
      <c r="N1400">
        <v>6</v>
      </c>
      <c r="O1400">
        <v>39.250999999999998</v>
      </c>
      <c r="P1400">
        <v>21.046502919999998</v>
      </c>
      <c r="Q1400">
        <v>7.3819999999999997</v>
      </c>
    </row>
    <row r="1401" spans="1:17" s="30" customFormat="1" x14ac:dyDescent="0.2">
      <c r="A1401" s="30" t="str">
        <f>IF(C1401&amp;G1401&amp;D1401&lt;&gt;'Funnel setup'!$K$3&amp;'Funnel setup'!$K$4&amp;'Funnel setup'!$K$5,".",IF(A1400=".",1,A1400+1))</f>
        <v>.</v>
      </c>
      <c r="B1401" s="431" t="str">
        <f t="shared" si="21"/>
        <v>Hip Replacement PrimaryCCG of GP PracticeNHS ASHFORD CCG (09C)Oxford Hip Score</v>
      </c>
      <c r="C1401" t="s">
        <v>248</v>
      </c>
      <c r="D1401" t="s">
        <v>87</v>
      </c>
      <c r="E1401" t="s">
        <v>569</v>
      </c>
      <c r="F1401" t="s">
        <v>339</v>
      </c>
      <c r="G1401" t="s">
        <v>14</v>
      </c>
      <c r="H1401">
        <v>83</v>
      </c>
      <c r="I1401">
        <v>18.059999999999999</v>
      </c>
      <c r="J1401">
        <v>39.904000000000003</v>
      </c>
      <c r="K1401">
        <v>21.843</v>
      </c>
      <c r="L1401">
        <v>82</v>
      </c>
      <c r="M1401">
        <v>0</v>
      </c>
      <c r="N1401">
        <v>1</v>
      </c>
      <c r="O1401">
        <v>39.906999999999996</v>
      </c>
      <c r="P1401">
        <v>21.702385499999998</v>
      </c>
      <c r="Q1401">
        <v>7.62</v>
      </c>
    </row>
    <row r="1402" spans="1:17" s="30" customFormat="1" x14ac:dyDescent="0.2">
      <c r="A1402" s="30" t="str">
        <f>IF(C1402&amp;G1402&amp;D1402&lt;&gt;'Funnel setup'!$K$3&amp;'Funnel setup'!$K$4&amp;'Funnel setup'!$K$5,".",IF(A1401=".",1,A1401+1))</f>
        <v>.</v>
      </c>
      <c r="B1402" s="431" t="str">
        <f t="shared" si="21"/>
        <v>Hip Replacement PrimaryCCG of GP PracticeNHS AYLESBURY VALE CCG (10Y)Oxford Hip Score</v>
      </c>
      <c r="C1402" t="s">
        <v>248</v>
      </c>
      <c r="D1402" t="s">
        <v>87</v>
      </c>
      <c r="E1402" t="s">
        <v>571</v>
      </c>
      <c r="F1402" t="s">
        <v>572</v>
      </c>
      <c r="G1402" t="s">
        <v>14</v>
      </c>
      <c r="H1402">
        <v>147</v>
      </c>
      <c r="I1402">
        <v>17.789000000000001</v>
      </c>
      <c r="J1402">
        <v>39.844000000000001</v>
      </c>
      <c r="K1402">
        <v>22.053999999999998</v>
      </c>
      <c r="L1402">
        <v>145</v>
      </c>
      <c r="M1402">
        <v>1</v>
      </c>
      <c r="N1402">
        <v>1</v>
      </c>
      <c r="O1402">
        <v>39.555</v>
      </c>
      <c r="P1402">
        <v>21.350125120000001</v>
      </c>
      <c r="Q1402">
        <v>7.5069999999999997</v>
      </c>
    </row>
    <row r="1403" spans="1:17" s="30" customFormat="1" x14ac:dyDescent="0.2">
      <c r="A1403" s="30" t="str">
        <f>IF(C1403&amp;G1403&amp;D1403&lt;&gt;'Funnel setup'!$K$3&amp;'Funnel setup'!$K$4&amp;'Funnel setup'!$K$5,".",IF(A1402=".",1,A1402+1))</f>
        <v>.</v>
      </c>
      <c r="B1403" s="431" t="str">
        <f t="shared" si="21"/>
        <v>Hip Replacement PrimaryCCG of GP PracticeNHS BARKING AND DAGENHAM CCG (07L)Oxford Hip Score</v>
      </c>
      <c r="C1403" t="s">
        <v>248</v>
      </c>
      <c r="D1403" t="s">
        <v>87</v>
      </c>
      <c r="E1403" t="s">
        <v>574</v>
      </c>
      <c r="F1403" t="s">
        <v>575</v>
      </c>
      <c r="G1403" t="s">
        <v>14</v>
      </c>
      <c r="H1403">
        <v>37</v>
      </c>
      <c r="I1403">
        <v>15.378</v>
      </c>
      <c r="J1403">
        <v>35.729999999999997</v>
      </c>
      <c r="K1403">
        <v>20.350999999999999</v>
      </c>
      <c r="L1403">
        <v>36</v>
      </c>
      <c r="M1403">
        <v>0</v>
      </c>
      <c r="N1403">
        <v>1</v>
      </c>
      <c r="O1403">
        <v>38.584000000000003</v>
      </c>
      <c r="P1403">
        <v>20.379200820000001</v>
      </c>
      <c r="Q1403">
        <v>8.6219999999999999</v>
      </c>
    </row>
    <row r="1404" spans="1:17" s="30" customFormat="1" x14ac:dyDescent="0.2">
      <c r="A1404" s="30" t="str">
        <f>IF(C1404&amp;G1404&amp;D1404&lt;&gt;'Funnel setup'!$K$3&amp;'Funnel setup'!$K$4&amp;'Funnel setup'!$K$5,".",IF(A1403=".",1,A1403+1))</f>
        <v>.</v>
      </c>
      <c r="B1404" s="431" t="str">
        <f t="shared" si="21"/>
        <v>Hip Replacement PrimaryCCG of GP PracticeNHS BARNET CCG (07M)Oxford Hip Score</v>
      </c>
      <c r="C1404" t="s">
        <v>248</v>
      </c>
      <c r="D1404" t="s">
        <v>87</v>
      </c>
      <c r="E1404" t="s">
        <v>577</v>
      </c>
      <c r="F1404" t="s">
        <v>578</v>
      </c>
      <c r="G1404" t="s">
        <v>14</v>
      </c>
      <c r="H1404">
        <v>80</v>
      </c>
      <c r="I1404">
        <v>16.587</v>
      </c>
      <c r="J1404">
        <v>38.225000000000001</v>
      </c>
      <c r="K1404">
        <v>21.637</v>
      </c>
      <c r="L1404">
        <v>77</v>
      </c>
      <c r="M1404">
        <v>0</v>
      </c>
      <c r="N1404">
        <v>3</v>
      </c>
      <c r="O1404">
        <v>39.027999999999999</v>
      </c>
      <c r="P1404">
        <v>20.82383471</v>
      </c>
      <c r="Q1404">
        <v>8.2989999999999995</v>
      </c>
    </row>
    <row r="1405" spans="1:17" s="30" customFormat="1" x14ac:dyDescent="0.2">
      <c r="A1405" s="30" t="str">
        <f>IF(C1405&amp;G1405&amp;D1405&lt;&gt;'Funnel setup'!$K$3&amp;'Funnel setup'!$K$4&amp;'Funnel setup'!$K$5,".",IF(A1404=".",1,A1404+1))</f>
        <v>.</v>
      </c>
      <c r="B1405" s="431" t="str">
        <f t="shared" si="21"/>
        <v>Hip Replacement PrimaryCCG of GP PracticeNHS BARNSLEY CCG (02P)Oxford Hip Score</v>
      </c>
      <c r="C1405" t="s">
        <v>248</v>
      </c>
      <c r="D1405" t="s">
        <v>87</v>
      </c>
      <c r="E1405" t="s">
        <v>580</v>
      </c>
      <c r="F1405" t="s">
        <v>581</v>
      </c>
      <c r="G1405" t="s">
        <v>14</v>
      </c>
      <c r="H1405">
        <v>174</v>
      </c>
      <c r="I1405">
        <v>16.006</v>
      </c>
      <c r="J1405">
        <v>36.81</v>
      </c>
      <c r="K1405">
        <v>20.805</v>
      </c>
      <c r="L1405">
        <v>169</v>
      </c>
      <c r="M1405">
        <v>1</v>
      </c>
      <c r="N1405">
        <v>4</v>
      </c>
      <c r="O1405">
        <v>37.871000000000002</v>
      </c>
      <c r="P1405">
        <v>19.666296070000001</v>
      </c>
      <c r="Q1405">
        <v>8.6340000000000003</v>
      </c>
    </row>
    <row r="1406" spans="1:17" s="30" customFormat="1" x14ac:dyDescent="0.2">
      <c r="A1406" s="30" t="str">
        <f>IF(C1406&amp;G1406&amp;D1406&lt;&gt;'Funnel setup'!$K$3&amp;'Funnel setup'!$K$4&amp;'Funnel setup'!$K$5,".",IF(A1405=".",1,A1405+1))</f>
        <v>.</v>
      </c>
      <c r="B1406" s="431" t="str">
        <f t="shared" si="21"/>
        <v>Hip Replacement PrimaryCCG of GP PracticeNHS BASILDON AND BRENTWOOD CCG (99E)Oxford Hip Score</v>
      </c>
      <c r="C1406" t="s">
        <v>248</v>
      </c>
      <c r="D1406" t="s">
        <v>87</v>
      </c>
      <c r="E1406" t="s">
        <v>583</v>
      </c>
      <c r="F1406" t="s">
        <v>584</v>
      </c>
      <c r="G1406" t="s">
        <v>14</v>
      </c>
      <c r="H1406">
        <v>168</v>
      </c>
      <c r="I1406">
        <v>16.475999999999999</v>
      </c>
      <c r="J1406">
        <v>38.725999999999999</v>
      </c>
      <c r="K1406">
        <v>22.25</v>
      </c>
      <c r="L1406">
        <v>164</v>
      </c>
      <c r="M1406">
        <v>1</v>
      </c>
      <c r="N1406">
        <v>3</v>
      </c>
      <c r="O1406">
        <v>39.213999999999999</v>
      </c>
      <c r="P1406">
        <v>21.009140210000002</v>
      </c>
      <c r="Q1406">
        <v>7.9770000000000003</v>
      </c>
    </row>
    <row r="1407" spans="1:17" s="30" customFormat="1" x14ac:dyDescent="0.2">
      <c r="A1407" s="30" t="str">
        <f>IF(C1407&amp;G1407&amp;D1407&lt;&gt;'Funnel setup'!$K$3&amp;'Funnel setup'!$K$4&amp;'Funnel setup'!$K$5,".",IF(A1406=".",1,A1406+1))</f>
        <v>.</v>
      </c>
      <c r="B1407" s="431" t="str">
        <f t="shared" si="21"/>
        <v>Hip Replacement PrimaryCCG of GP PracticeNHS BASSETLAW CCG (02Q)Oxford Hip Score</v>
      </c>
      <c r="C1407" t="s">
        <v>248</v>
      </c>
      <c r="D1407" t="s">
        <v>87</v>
      </c>
      <c r="E1407" t="s">
        <v>586</v>
      </c>
      <c r="F1407" t="s">
        <v>587</v>
      </c>
      <c r="G1407" t="s">
        <v>14</v>
      </c>
      <c r="H1407">
        <v>128</v>
      </c>
      <c r="I1407">
        <v>16.734000000000002</v>
      </c>
      <c r="J1407">
        <v>39.390999999999998</v>
      </c>
      <c r="K1407">
        <v>22.655999999999999</v>
      </c>
      <c r="L1407">
        <v>127</v>
      </c>
      <c r="M1407">
        <v>0</v>
      </c>
      <c r="N1407">
        <v>1</v>
      </c>
      <c r="O1407">
        <v>40.201999999999998</v>
      </c>
      <c r="P1407">
        <v>21.997572170000002</v>
      </c>
      <c r="Q1407">
        <v>7.343</v>
      </c>
    </row>
    <row r="1408" spans="1:17" s="30" customFormat="1" x14ac:dyDescent="0.2">
      <c r="A1408" s="30" t="str">
        <f>IF(C1408&amp;G1408&amp;D1408&lt;&gt;'Funnel setup'!$K$3&amp;'Funnel setup'!$K$4&amp;'Funnel setup'!$K$5,".",IF(A1407=".",1,A1407+1))</f>
        <v>.</v>
      </c>
      <c r="B1408" s="431" t="str">
        <f t="shared" si="21"/>
        <v>Hip Replacement PrimaryCCG of GP PracticeNHS BATH AND NORTH EAST SOMERSET CCG (11E)Oxford Hip Score</v>
      </c>
      <c r="C1408" t="s">
        <v>248</v>
      </c>
      <c r="D1408" t="s">
        <v>87</v>
      </c>
      <c r="E1408" t="s">
        <v>589</v>
      </c>
      <c r="F1408" t="s">
        <v>590</v>
      </c>
      <c r="G1408" t="s">
        <v>14</v>
      </c>
      <c r="H1408">
        <v>174</v>
      </c>
      <c r="I1408">
        <v>17.925000000000001</v>
      </c>
      <c r="J1408">
        <v>40.792999999999999</v>
      </c>
      <c r="K1408">
        <v>22.867999999999999</v>
      </c>
      <c r="L1408">
        <v>170</v>
      </c>
      <c r="M1408">
        <v>0</v>
      </c>
      <c r="N1408">
        <v>4</v>
      </c>
      <c r="O1408">
        <v>40.658999999999999</v>
      </c>
      <c r="P1408">
        <v>22.454556180000001</v>
      </c>
      <c r="Q1408">
        <v>7.2190000000000003</v>
      </c>
    </row>
    <row r="1409" spans="1:17" s="30" customFormat="1" x14ac:dyDescent="0.2">
      <c r="A1409" s="30" t="str">
        <f>IF(C1409&amp;G1409&amp;D1409&lt;&gt;'Funnel setup'!$K$3&amp;'Funnel setup'!$K$4&amp;'Funnel setup'!$K$5,".",IF(A1408=".",1,A1408+1))</f>
        <v>.</v>
      </c>
      <c r="B1409" s="431" t="str">
        <f t="shared" si="21"/>
        <v>Hip Replacement PrimaryCCG of GP PracticeNHS BEDFORDSHIRE CCG (06F)Oxford Hip Score</v>
      </c>
      <c r="C1409" t="s">
        <v>248</v>
      </c>
      <c r="D1409" t="s">
        <v>87</v>
      </c>
      <c r="E1409" t="s">
        <v>592</v>
      </c>
      <c r="F1409" t="s">
        <v>593</v>
      </c>
      <c r="G1409" t="s">
        <v>14</v>
      </c>
      <c r="H1409">
        <v>339</v>
      </c>
      <c r="I1409">
        <v>18.077000000000002</v>
      </c>
      <c r="J1409">
        <v>40.006</v>
      </c>
      <c r="K1409">
        <v>21.928999999999998</v>
      </c>
      <c r="L1409">
        <v>334</v>
      </c>
      <c r="M1409">
        <v>3</v>
      </c>
      <c r="N1409">
        <v>2</v>
      </c>
      <c r="O1409">
        <v>39.868000000000002</v>
      </c>
      <c r="P1409">
        <v>21.66359752</v>
      </c>
      <c r="Q1409">
        <v>7.3789999999999996</v>
      </c>
    </row>
    <row r="1410" spans="1:17" s="30" customFormat="1" x14ac:dyDescent="0.2">
      <c r="A1410" s="30" t="str">
        <f>IF(C1410&amp;G1410&amp;D1410&lt;&gt;'Funnel setup'!$K$3&amp;'Funnel setup'!$K$4&amp;'Funnel setup'!$K$5,".",IF(A1409=".",1,A1409+1))</f>
        <v>.</v>
      </c>
      <c r="B1410" s="431" t="str">
        <f t="shared" si="21"/>
        <v>Hip Replacement PrimaryCCG of GP PracticeNHS BEXLEY CCG (07N)Oxford Hip Score</v>
      </c>
      <c r="C1410" t="s">
        <v>248</v>
      </c>
      <c r="D1410" t="s">
        <v>87</v>
      </c>
      <c r="E1410" t="s">
        <v>595</v>
      </c>
      <c r="F1410" t="s">
        <v>596</v>
      </c>
      <c r="G1410" t="s">
        <v>14</v>
      </c>
      <c r="H1410">
        <v>83</v>
      </c>
      <c r="I1410">
        <v>15.782999999999999</v>
      </c>
      <c r="J1410">
        <v>37.710999999999999</v>
      </c>
      <c r="K1410">
        <v>21.928000000000001</v>
      </c>
      <c r="L1410">
        <v>82</v>
      </c>
      <c r="M1410">
        <v>1</v>
      </c>
      <c r="N1410">
        <v>0</v>
      </c>
      <c r="O1410">
        <v>38.494</v>
      </c>
      <c r="P1410">
        <v>20.289842140000001</v>
      </c>
      <c r="Q1410">
        <v>9</v>
      </c>
    </row>
    <row r="1411" spans="1:17" s="30" customFormat="1" x14ac:dyDescent="0.2">
      <c r="A1411" s="30" t="str">
        <f>IF(C1411&amp;G1411&amp;D1411&lt;&gt;'Funnel setup'!$K$3&amp;'Funnel setup'!$K$4&amp;'Funnel setup'!$K$5,".",IF(A1410=".",1,A1410+1))</f>
        <v>.</v>
      </c>
      <c r="B1411" s="431" t="str">
        <f t="shared" ref="B1411:B1474" si="22">C1411&amp;D1411&amp;F1411&amp;G1411</f>
        <v>Hip Replacement PrimaryCCG of GP PracticeNHS BIRMINGHAM CROSSCITY CCG (13P)Oxford Hip Score</v>
      </c>
      <c r="C1411" t="s">
        <v>248</v>
      </c>
      <c r="D1411" t="s">
        <v>87</v>
      </c>
      <c r="E1411" t="s">
        <v>598</v>
      </c>
      <c r="F1411" t="s">
        <v>599</v>
      </c>
      <c r="G1411" t="s">
        <v>14</v>
      </c>
      <c r="H1411">
        <v>389</v>
      </c>
      <c r="I1411">
        <v>16.869</v>
      </c>
      <c r="J1411">
        <v>37.36</v>
      </c>
      <c r="K1411">
        <v>20.491</v>
      </c>
      <c r="L1411">
        <v>379</v>
      </c>
      <c r="M1411">
        <v>1</v>
      </c>
      <c r="N1411">
        <v>9</v>
      </c>
      <c r="O1411">
        <v>38.722000000000001</v>
      </c>
      <c r="P1411">
        <v>20.517076809999999</v>
      </c>
      <c r="Q1411">
        <v>8.3610000000000007</v>
      </c>
    </row>
    <row r="1412" spans="1:17" s="30" customFormat="1" x14ac:dyDescent="0.2">
      <c r="A1412" s="30" t="str">
        <f>IF(C1412&amp;G1412&amp;D1412&lt;&gt;'Funnel setup'!$K$3&amp;'Funnel setup'!$K$4&amp;'Funnel setup'!$K$5,".",IF(A1411=".",1,A1411+1))</f>
        <v>.</v>
      </c>
      <c r="B1412" s="431" t="str">
        <f t="shared" si="22"/>
        <v>Hip Replacement PrimaryCCG of GP PracticeNHS BIRMINGHAM SOUTH AND CENTRAL CCG (04X)Oxford Hip Score</v>
      </c>
      <c r="C1412" t="s">
        <v>248</v>
      </c>
      <c r="D1412" t="s">
        <v>87</v>
      </c>
      <c r="E1412" t="s">
        <v>601</v>
      </c>
      <c r="F1412" t="s">
        <v>602</v>
      </c>
      <c r="G1412" t="s">
        <v>14</v>
      </c>
      <c r="H1412">
        <v>85</v>
      </c>
      <c r="I1412">
        <v>16.341000000000001</v>
      </c>
      <c r="J1412">
        <v>38.646999999999998</v>
      </c>
      <c r="K1412">
        <v>22.306000000000001</v>
      </c>
      <c r="L1412">
        <v>83</v>
      </c>
      <c r="M1412">
        <v>0</v>
      </c>
      <c r="N1412">
        <v>2</v>
      </c>
      <c r="O1412">
        <v>40.162999999999997</v>
      </c>
      <c r="P1412">
        <v>21.958090680000002</v>
      </c>
      <c r="Q1412">
        <v>7.6740000000000004</v>
      </c>
    </row>
    <row r="1413" spans="1:17" s="30" customFormat="1" x14ac:dyDescent="0.2">
      <c r="A1413" s="30" t="str">
        <f>IF(C1413&amp;G1413&amp;D1413&lt;&gt;'Funnel setup'!$K$3&amp;'Funnel setup'!$K$4&amp;'Funnel setup'!$K$5,".",IF(A1412=".",1,A1412+1))</f>
        <v>.</v>
      </c>
      <c r="B1413" s="431" t="str">
        <f t="shared" si="22"/>
        <v>Hip Replacement PrimaryCCG of GP PracticeNHS BLACKBURN WITH DARWEN CCG (00Q)Oxford Hip Score</v>
      </c>
      <c r="C1413" t="s">
        <v>248</v>
      </c>
      <c r="D1413" t="s">
        <v>87</v>
      </c>
      <c r="E1413" t="s">
        <v>604</v>
      </c>
      <c r="F1413" t="s">
        <v>605</v>
      </c>
      <c r="G1413" t="s">
        <v>14</v>
      </c>
      <c r="H1413">
        <v>78</v>
      </c>
      <c r="I1413">
        <v>17.140999999999998</v>
      </c>
      <c r="J1413">
        <v>37.345999999999997</v>
      </c>
      <c r="K1413">
        <v>20.204999999999998</v>
      </c>
      <c r="L1413">
        <v>74</v>
      </c>
      <c r="M1413">
        <v>0</v>
      </c>
      <c r="N1413">
        <v>4</v>
      </c>
      <c r="O1413">
        <v>38.177</v>
      </c>
      <c r="P1413">
        <v>19.972955840000001</v>
      </c>
      <c r="Q1413">
        <v>8.5299999999999994</v>
      </c>
    </row>
    <row r="1414" spans="1:17" s="30" customFormat="1" x14ac:dyDescent="0.2">
      <c r="A1414" s="30" t="str">
        <f>IF(C1414&amp;G1414&amp;D1414&lt;&gt;'Funnel setup'!$K$3&amp;'Funnel setup'!$K$4&amp;'Funnel setup'!$K$5,".",IF(A1413=".",1,A1413+1))</f>
        <v>.</v>
      </c>
      <c r="B1414" s="431" t="str">
        <f t="shared" si="22"/>
        <v>Hip Replacement PrimaryCCG of GP PracticeNHS BLACKPOOL CCG (00R)Oxford Hip Score</v>
      </c>
      <c r="C1414" t="s">
        <v>248</v>
      </c>
      <c r="D1414" t="s">
        <v>87</v>
      </c>
      <c r="E1414" t="s">
        <v>607</v>
      </c>
      <c r="F1414" t="s">
        <v>608</v>
      </c>
      <c r="G1414" t="s">
        <v>14</v>
      </c>
      <c r="H1414">
        <v>49</v>
      </c>
      <c r="I1414">
        <v>17.693999999999999</v>
      </c>
      <c r="J1414">
        <v>36.143000000000001</v>
      </c>
      <c r="K1414">
        <v>18.449000000000002</v>
      </c>
      <c r="L1414">
        <v>43</v>
      </c>
      <c r="M1414">
        <v>0</v>
      </c>
      <c r="N1414">
        <v>6</v>
      </c>
      <c r="O1414">
        <v>37.104999999999997</v>
      </c>
      <c r="P1414">
        <v>18.900921260000001</v>
      </c>
      <c r="Q1414">
        <v>12.053000000000001</v>
      </c>
    </row>
    <row r="1415" spans="1:17" s="30" customFormat="1" x14ac:dyDescent="0.2">
      <c r="A1415" s="30" t="str">
        <f>IF(C1415&amp;G1415&amp;D1415&lt;&gt;'Funnel setup'!$K$3&amp;'Funnel setup'!$K$4&amp;'Funnel setup'!$K$5,".",IF(A1414=".",1,A1414+1))</f>
        <v>.</v>
      </c>
      <c r="B1415" s="431" t="str">
        <f t="shared" si="22"/>
        <v>Hip Replacement PrimaryCCG of GP PracticeNHS BOLTON CCG (00T)Oxford Hip Score</v>
      </c>
      <c r="C1415" t="s">
        <v>248</v>
      </c>
      <c r="D1415" t="s">
        <v>87</v>
      </c>
      <c r="E1415" t="s">
        <v>683</v>
      </c>
      <c r="F1415" t="s">
        <v>684</v>
      </c>
      <c r="G1415" t="s">
        <v>14</v>
      </c>
      <c r="H1415">
        <v>141</v>
      </c>
      <c r="I1415">
        <v>17.667000000000002</v>
      </c>
      <c r="J1415">
        <v>39.503999999999998</v>
      </c>
      <c r="K1415">
        <v>21.837</v>
      </c>
      <c r="L1415">
        <v>139</v>
      </c>
      <c r="M1415">
        <v>0</v>
      </c>
      <c r="N1415">
        <v>2</v>
      </c>
      <c r="O1415">
        <v>40.470999999999997</v>
      </c>
      <c r="P1415">
        <v>22.26621342</v>
      </c>
      <c r="Q1415">
        <v>7.77</v>
      </c>
    </row>
    <row r="1416" spans="1:17" s="30" customFormat="1" x14ac:dyDescent="0.2">
      <c r="A1416" s="30" t="str">
        <f>IF(C1416&amp;G1416&amp;D1416&lt;&gt;'Funnel setup'!$K$3&amp;'Funnel setup'!$K$4&amp;'Funnel setup'!$K$5,".",IF(A1415=".",1,A1415+1))</f>
        <v>.</v>
      </c>
      <c r="B1416" s="431" t="str">
        <f t="shared" si="22"/>
        <v>Hip Replacement PrimaryCCG of GP PracticeNHS BRACKNELL AND ASCOT CCG (10G)Oxford Hip Score</v>
      </c>
      <c r="C1416" t="s">
        <v>248</v>
      </c>
      <c r="D1416" t="s">
        <v>87</v>
      </c>
      <c r="E1416" t="s">
        <v>686</v>
      </c>
      <c r="F1416" t="s">
        <v>687</v>
      </c>
      <c r="G1416" t="s">
        <v>14</v>
      </c>
      <c r="H1416">
        <v>77</v>
      </c>
      <c r="I1416">
        <v>19.635999999999999</v>
      </c>
      <c r="J1416">
        <v>40.805</v>
      </c>
      <c r="K1416">
        <v>21.169</v>
      </c>
      <c r="L1416">
        <v>74</v>
      </c>
      <c r="M1416">
        <v>1</v>
      </c>
      <c r="N1416">
        <v>2</v>
      </c>
      <c r="O1416">
        <v>39.311999999999998</v>
      </c>
      <c r="P1416">
        <v>21.107151229999999</v>
      </c>
      <c r="Q1416">
        <v>7.0149999999999997</v>
      </c>
    </row>
    <row r="1417" spans="1:17" s="30" customFormat="1" x14ac:dyDescent="0.2">
      <c r="A1417" s="30" t="str">
        <f>IF(C1417&amp;G1417&amp;D1417&lt;&gt;'Funnel setup'!$K$3&amp;'Funnel setup'!$K$4&amp;'Funnel setup'!$K$5,".",IF(A1416=".",1,A1416+1))</f>
        <v>.</v>
      </c>
      <c r="B1417" s="431" t="str">
        <f t="shared" si="22"/>
        <v>Hip Replacement PrimaryCCG of GP PracticeNHS BRADFORD CITY CCG (02W)Oxford Hip Score</v>
      </c>
      <c r="C1417" t="s">
        <v>248</v>
      </c>
      <c r="D1417" t="s">
        <v>87</v>
      </c>
      <c r="E1417" t="s">
        <v>689</v>
      </c>
      <c r="F1417" t="s">
        <v>690</v>
      </c>
      <c r="G1417" t="s">
        <v>14</v>
      </c>
      <c r="H1417">
        <v>6</v>
      </c>
      <c r="I1417">
        <v>15.5</v>
      </c>
      <c r="J1417">
        <v>29.832999999999998</v>
      </c>
      <c r="K1417">
        <v>14.333</v>
      </c>
      <c r="L1417">
        <v>6</v>
      </c>
      <c r="M1417">
        <v>0</v>
      </c>
      <c r="N1417">
        <v>0</v>
      </c>
      <c r="O1417" t="s">
        <v>53</v>
      </c>
      <c r="P1417" t="s">
        <v>53</v>
      </c>
      <c r="Q1417" t="s">
        <v>53</v>
      </c>
    </row>
    <row r="1418" spans="1:17" s="30" customFormat="1" x14ac:dyDescent="0.2">
      <c r="A1418" s="30" t="str">
        <f>IF(C1418&amp;G1418&amp;D1418&lt;&gt;'Funnel setup'!$K$3&amp;'Funnel setup'!$K$4&amp;'Funnel setup'!$K$5,".",IF(A1417=".",1,A1417+1))</f>
        <v>.</v>
      </c>
      <c r="B1418" s="431" t="str">
        <f t="shared" si="22"/>
        <v>Hip Replacement PrimaryCCG of GP PracticeNHS BRADFORD DISTRICTS CCG (02R)Oxford Hip Score</v>
      </c>
      <c r="C1418" t="s">
        <v>248</v>
      </c>
      <c r="D1418" t="s">
        <v>87</v>
      </c>
      <c r="E1418" t="s">
        <v>692</v>
      </c>
      <c r="F1418" t="s">
        <v>693</v>
      </c>
      <c r="G1418" t="s">
        <v>14</v>
      </c>
      <c r="H1418">
        <v>147</v>
      </c>
      <c r="I1418">
        <v>18.449000000000002</v>
      </c>
      <c r="J1418">
        <v>38.945999999999998</v>
      </c>
      <c r="K1418">
        <v>20.497</v>
      </c>
      <c r="L1418">
        <v>143</v>
      </c>
      <c r="M1418">
        <v>1</v>
      </c>
      <c r="N1418">
        <v>3</v>
      </c>
      <c r="O1418">
        <v>39.840000000000003</v>
      </c>
      <c r="P1418">
        <v>21.635051390000001</v>
      </c>
      <c r="Q1418">
        <v>7.5209999999999999</v>
      </c>
    </row>
    <row r="1419" spans="1:17" s="30" customFormat="1" x14ac:dyDescent="0.2">
      <c r="A1419" s="30" t="str">
        <f>IF(C1419&amp;G1419&amp;D1419&lt;&gt;'Funnel setup'!$K$3&amp;'Funnel setup'!$K$4&amp;'Funnel setup'!$K$5,".",IF(A1418=".",1,A1418+1))</f>
        <v>.</v>
      </c>
      <c r="B1419" s="431" t="str">
        <f t="shared" si="22"/>
        <v>Hip Replacement PrimaryCCG of GP PracticeNHS BRENT CCG (07P)Oxford Hip Score</v>
      </c>
      <c r="C1419" t="s">
        <v>248</v>
      </c>
      <c r="D1419" t="s">
        <v>87</v>
      </c>
      <c r="E1419" t="s">
        <v>695</v>
      </c>
      <c r="F1419" t="s">
        <v>696</v>
      </c>
      <c r="G1419" t="s">
        <v>14</v>
      </c>
      <c r="H1419">
        <v>52</v>
      </c>
      <c r="I1419">
        <v>19.731000000000002</v>
      </c>
      <c r="J1419">
        <v>36.018999999999998</v>
      </c>
      <c r="K1419">
        <v>16.288</v>
      </c>
      <c r="L1419">
        <v>47</v>
      </c>
      <c r="M1419">
        <v>0</v>
      </c>
      <c r="N1419">
        <v>5</v>
      </c>
      <c r="O1419">
        <v>37.073999999999998</v>
      </c>
      <c r="P1419">
        <v>18.869666429999999</v>
      </c>
      <c r="Q1419">
        <v>10.491</v>
      </c>
    </row>
    <row r="1420" spans="1:17" s="30" customFormat="1" x14ac:dyDescent="0.2">
      <c r="A1420" s="30" t="str">
        <f>IF(C1420&amp;G1420&amp;D1420&lt;&gt;'Funnel setup'!$K$3&amp;'Funnel setup'!$K$4&amp;'Funnel setup'!$K$5,".",IF(A1419=".",1,A1419+1))</f>
        <v>.</v>
      </c>
      <c r="B1420" s="431" t="str">
        <f t="shared" si="22"/>
        <v>Hip Replacement PrimaryCCG of GP PracticeNHS BRIGHTON AND HOVE CCG (09D)Oxford Hip Score</v>
      </c>
      <c r="C1420" t="s">
        <v>248</v>
      </c>
      <c r="D1420" t="s">
        <v>87</v>
      </c>
      <c r="E1420" t="s">
        <v>698</v>
      </c>
      <c r="F1420" t="s">
        <v>699</v>
      </c>
      <c r="G1420" t="s">
        <v>14</v>
      </c>
      <c r="H1420">
        <v>156</v>
      </c>
      <c r="I1420">
        <v>20.814</v>
      </c>
      <c r="J1420">
        <v>40.506</v>
      </c>
      <c r="K1420">
        <v>19.692</v>
      </c>
      <c r="L1420">
        <v>150</v>
      </c>
      <c r="M1420">
        <v>1</v>
      </c>
      <c r="N1420">
        <v>5</v>
      </c>
      <c r="O1420">
        <v>39.981999999999999</v>
      </c>
      <c r="P1420">
        <v>21.777908929999999</v>
      </c>
      <c r="Q1420">
        <v>7.1760000000000002</v>
      </c>
    </row>
    <row r="1421" spans="1:17" s="30" customFormat="1" x14ac:dyDescent="0.2">
      <c r="A1421" s="30" t="str">
        <f>IF(C1421&amp;G1421&amp;D1421&lt;&gt;'Funnel setup'!$K$3&amp;'Funnel setup'!$K$4&amp;'Funnel setup'!$K$5,".",IF(A1420=".",1,A1420+1))</f>
        <v>.</v>
      </c>
      <c r="B1421" s="431" t="str">
        <f t="shared" si="22"/>
        <v>Hip Replacement PrimaryCCG of GP PracticeNHS BRISTOL CCG (11H)Oxford Hip Score</v>
      </c>
      <c r="C1421" t="s">
        <v>248</v>
      </c>
      <c r="D1421" t="s">
        <v>87</v>
      </c>
      <c r="E1421" t="s">
        <v>701</v>
      </c>
      <c r="F1421" t="s">
        <v>702</v>
      </c>
      <c r="G1421" t="s">
        <v>14</v>
      </c>
      <c r="H1421">
        <v>241</v>
      </c>
      <c r="I1421">
        <v>18.277999999999999</v>
      </c>
      <c r="J1421">
        <v>39.755000000000003</v>
      </c>
      <c r="K1421">
        <v>21.477</v>
      </c>
      <c r="L1421">
        <v>233</v>
      </c>
      <c r="M1421">
        <v>2</v>
      </c>
      <c r="N1421">
        <v>6</v>
      </c>
      <c r="O1421">
        <v>39.747999999999998</v>
      </c>
      <c r="P1421">
        <v>21.543702499999998</v>
      </c>
      <c r="Q1421">
        <v>7.8970000000000002</v>
      </c>
    </row>
    <row r="1422" spans="1:17" s="30" customFormat="1" x14ac:dyDescent="0.2">
      <c r="A1422" s="30" t="str">
        <f>IF(C1422&amp;G1422&amp;D1422&lt;&gt;'Funnel setup'!$K$3&amp;'Funnel setup'!$K$4&amp;'Funnel setup'!$K$5,".",IF(A1421=".",1,A1421+1))</f>
        <v>.</v>
      </c>
      <c r="B1422" s="431" t="str">
        <f t="shared" si="22"/>
        <v>Hip Replacement PrimaryCCG of GP PracticeNHS BROMLEY CCG (07Q)Oxford Hip Score</v>
      </c>
      <c r="C1422" t="s">
        <v>248</v>
      </c>
      <c r="D1422" t="s">
        <v>87</v>
      </c>
      <c r="E1422" t="s">
        <v>704</v>
      </c>
      <c r="F1422" t="s">
        <v>705</v>
      </c>
      <c r="G1422" t="s">
        <v>14</v>
      </c>
      <c r="H1422">
        <v>159</v>
      </c>
      <c r="I1422">
        <v>19.452999999999999</v>
      </c>
      <c r="J1422">
        <v>40.917999999999999</v>
      </c>
      <c r="K1422">
        <v>21.465</v>
      </c>
      <c r="L1422">
        <v>154</v>
      </c>
      <c r="M1422">
        <v>0</v>
      </c>
      <c r="N1422">
        <v>5</v>
      </c>
      <c r="O1422">
        <v>40.222000000000001</v>
      </c>
      <c r="P1422">
        <v>22.017572210000001</v>
      </c>
      <c r="Q1422">
        <v>7.6630000000000003</v>
      </c>
    </row>
    <row r="1423" spans="1:17" s="30" customFormat="1" x14ac:dyDescent="0.2">
      <c r="A1423" s="30" t="str">
        <f>IF(C1423&amp;G1423&amp;D1423&lt;&gt;'Funnel setup'!$K$3&amp;'Funnel setup'!$K$4&amp;'Funnel setup'!$K$5,".",IF(A1422=".",1,A1422+1))</f>
        <v>.</v>
      </c>
      <c r="B1423" s="431" t="str">
        <f t="shared" si="22"/>
        <v>Hip Replacement PrimaryCCG of GP PracticeNHS BURY CCG (00V)Oxford Hip Score</v>
      </c>
      <c r="C1423" t="s">
        <v>248</v>
      </c>
      <c r="D1423" t="s">
        <v>87</v>
      </c>
      <c r="E1423" t="s">
        <v>707</v>
      </c>
      <c r="F1423" t="s">
        <v>708</v>
      </c>
      <c r="G1423" t="s">
        <v>14</v>
      </c>
      <c r="H1423">
        <v>56</v>
      </c>
      <c r="I1423">
        <v>15.786</v>
      </c>
      <c r="J1423">
        <v>38.679000000000002</v>
      </c>
      <c r="K1423">
        <v>22.893000000000001</v>
      </c>
      <c r="L1423">
        <v>56</v>
      </c>
      <c r="M1423">
        <v>0</v>
      </c>
      <c r="N1423">
        <v>0</v>
      </c>
      <c r="O1423">
        <v>39.530999999999999</v>
      </c>
      <c r="P1423">
        <v>21.326305059999999</v>
      </c>
      <c r="Q1423">
        <v>7.8529999999999998</v>
      </c>
    </row>
    <row r="1424" spans="1:17" s="30" customFormat="1" x14ac:dyDescent="0.2">
      <c r="A1424" s="30" t="str">
        <f>IF(C1424&amp;G1424&amp;D1424&lt;&gt;'Funnel setup'!$K$3&amp;'Funnel setup'!$K$4&amp;'Funnel setup'!$K$5,".",IF(A1423=".",1,A1423+1))</f>
        <v>.</v>
      </c>
      <c r="B1424" s="431" t="str">
        <f t="shared" si="22"/>
        <v>Hip Replacement PrimaryCCG of GP PracticeNHS CALDERDALE CCG (02T)Oxford Hip Score</v>
      </c>
      <c r="C1424" t="s">
        <v>248</v>
      </c>
      <c r="D1424" t="s">
        <v>87</v>
      </c>
      <c r="E1424" t="s">
        <v>710</v>
      </c>
      <c r="F1424" t="s">
        <v>711</v>
      </c>
      <c r="G1424" t="s">
        <v>14</v>
      </c>
      <c r="H1424">
        <v>157</v>
      </c>
      <c r="I1424">
        <v>19.268000000000001</v>
      </c>
      <c r="J1424">
        <v>40.018999999999998</v>
      </c>
      <c r="K1424">
        <v>20.751999999999999</v>
      </c>
      <c r="L1424">
        <v>155</v>
      </c>
      <c r="M1424">
        <v>1</v>
      </c>
      <c r="N1424">
        <v>1</v>
      </c>
      <c r="O1424">
        <v>39.880000000000003</v>
      </c>
      <c r="P1424">
        <v>21.675713300000002</v>
      </c>
      <c r="Q1424">
        <v>6.984</v>
      </c>
    </row>
    <row r="1425" spans="1:17" s="30" customFormat="1" x14ac:dyDescent="0.2">
      <c r="A1425" s="30" t="str">
        <f>IF(C1425&amp;G1425&amp;D1425&lt;&gt;'Funnel setup'!$K$3&amp;'Funnel setup'!$K$4&amp;'Funnel setup'!$K$5,".",IF(A1424=".",1,A1424+1))</f>
        <v>.</v>
      </c>
      <c r="B1425" s="431" t="str">
        <f t="shared" si="22"/>
        <v>Hip Replacement PrimaryCCG of GP PracticeNHS CAMBRIDGESHIRE AND PETERBOROUGH CCG (06H)Oxford Hip Score</v>
      </c>
      <c r="C1425" t="s">
        <v>248</v>
      </c>
      <c r="D1425" t="s">
        <v>87</v>
      </c>
      <c r="E1425" t="s">
        <v>713</v>
      </c>
      <c r="F1425" t="s">
        <v>714</v>
      </c>
      <c r="G1425" t="s">
        <v>14</v>
      </c>
      <c r="H1425">
        <v>618</v>
      </c>
      <c r="I1425">
        <v>17.82</v>
      </c>
      <c r="J1425">
        <v>39.715000000000003</v>
      </c>
      <c r="K1425">
        <v>21.895</v>
      </c>
      <c r="L1425">
        <v>603</v>
      </c>
      <c r="M1425">
        <v>5</v>
      </c>
      <c r="N1425">
        <v>10</v>
      </c>
      <c r="O1425">
        <v>39.634999999999998</v>
      </c>
      <c r="P1425">
        <v>21.430977469999998</v>
      </c>
      <c r="Q1425">
        <v>7.8470000000000004</v>
      </c>
    </row>
    <row r="1426" spans="1:17" s="30" customFormat="1" x14ac:dyDescent="0.2">
      <c r="A1426" s="30" t="str">
        <f>IF(C1426&amp;G1426&amp;D1426&lt;&gt;'Funnel setup'!$K$3&amp;'Funnel setup'!$K$4&amp;'Funnel setup'!$K$5,".",IF(A1425=".",1,A1425+1))</f>
        <v>.</v>
      </c>
      <c r="B1426" s="431" t="str">
        <f t="shared" si="22"/>
        <v>Hip Replacement PrimaryCCG of GP PracticeNHS CAMDEN CCG (07R)Oxford Hip Score</v>
      </c>
      <c r="C1426" t="s">
        <v>248</v>
      </c>
      <c r="D1426" t="s">
        <v>87</v>
      </c>
      <c r="E1426" t="s">
        <v>716</v>
      </c>
      <c r="F1426" t="s">
        <v>717</v>
      </c>
      <c r="G1426" t="s">
        <v>14</v>
      </c>
      <c r="H1426">
        <v>51</v>
      </c>
      <c r="I1426">
        <v>19.02</v>
      </c>
      <c r="J1426">
        <v>40.627000000000002</v>
      </c>
      <c r="K1426">
        <v>21.608000000000001</v>
      </c>
      <c r="L1426">
        <v>50</v>
      </c>
      <c r="M1426">
        <v>0</v>
      </c>
      <c r="N1426">
        <v>1</v>
      </c>
      <c r="O1426">
        <v>41.68</v>
      </c>
      <c r="P1426">
        <v>23.475325219999998</v>
      </c>
      <c r="Q1426">
        <v>7.7389999999999999</v>
      </c>
    </row>
    <row r="1427" spans="1:17" s="30" customFormat="1" x14ac:dyDescent="0.2">
      <c r="A1427" s="30" t="str">
        <f>IF(C1427&amp;G1427&amp;D1427&lt;&gt;'Funnel setup'!$K$3&amp;'Funnel setup'!$K$4&amp;'Funnel setup'!$K$5,".",IF(A1426=".",1,A1426+1))</f>
        <v>.</v>
      </c>
      <c r="B1427" s="431" t="str">
        <f t="shared" si="22"/>
        <v>Hip Replacement PrimaryCCG of GP PracticeNHS CANNOCK CHASE CCG (04Y)Oxford Hip Score</v>
      </c>
      <c r="C1427" t="s">
        <v>248</v>
      </c>
      <c r="D1427" t="s">
        <v>87</v>
      </c>
      <c r="E1427" t="s">
        <v>719</v>
      </c>
      <c r="F1427" t="s">
        <v>720</v>
      </c>
      <c r="G1427" t="s">
        <v>14</v>
      </c>
      <c r="H1427">
        <v>152</v>
      </c>
      <c r="I1427">
        <v>16.565999999999999</v>
      </c>
      <c r="J1427">
        <v>36.789000000000001</v>
      </c>
      <c r="K1427">
        <v>20.224</v>
      </c>
      <c r="L1427">
        <v>149</v>
      </c>
      <c r="M1427">
        <v>0</v>
      </c>
      <c r="N1427">
        <v>3</v>
      </c>
      <c r="O1427">
        <v>37.53</v>
      </c>
      <c r="P1427">
        <v>19.325752659999999</v>
      </c>
      <c r="Q1427">
        <v>9.0820000000000007</v>
      </c>
    </row>
    <row r="1428" spans="1:17" s="30" customFormat="1" x14ac:dyDescent="0.2">
      <c r="A1428" s="30" t="str">
        <f>IF(C1428&amp;G1428&amp;D1428&lt;&gt;'Funnel setup'!$K$3&amp;'Funnel setup'!$K$4&amp;'Funnel setup'!$K$5,".",IF(A1427=".",1,A1427+1))</f>
        <v>.</v>
      </c>
      <c r="B1428" s="431" t="str">
        <f t="shared" si="22"/>
        <v>Hip Replacement PrimaryCCG of GP PracticeNHS CANTERBURY AND COASTAL CCG (09E)Oxford Hip Score</v>
      </c>
      <c r="C1428" t="s">
        <v>248</v>
      </c>
      <c r="D1428" t="s">
        <v>87</v>
      </c>
      <c r="E1428" t="s">
        <v>722</v>
      </c>
      <c r="F1428" t="s">
        <v>723</v>
      </c>
      <c r="G1428" t="s">
        <v>14</v>
      </c>
      <c r="H1428">
        <v>141</v>
      </c>
      <c r="I1428">
        <v>18.864999999999998</v>
      </c>
      <c r="J1428">
        <v>40.738</v>
      </c>
      <c r="K1428">
        <v>21.872</v>
      </c>
      <c r="L1428">
        <v>139</v>
      </c>
      <c r="M1428">
        <v>1</v>
      </c>
      <c r="N1428">
        <v>1</v>
      </c>
      <c r="O1428">
        <v>40.222000000000001</v>
      </c>
      <c r="P1428">
        <v>22.01776796</v>
      </c>
      <c r="Q1428">
        <v>6.1890000000000001</v>
      </c>
    </row>
    <row r="1429" spans="1:17" s="30" customFormat="1" x14ac:dyDescent="0.2">
      <c r="A1429" s="30" t="str">
        <f>IF(C1429&amp;G1429&amp;D1429&lt;&gt;'Funnel setup'!$K$3&amp;'Funnel setup'!$K$4&amp;'Funnel setup'!$K$5,".",IF(A1428=".",1,A1428+1))</f>
        <v>.</v>
      </c>
      <c r="B1429" s="431" t="str">
        <f t="shared" si="22"/>
        <v>Hip Replacement PrimaryCCG of GP PracticeNHS CASTLE POINT AND ROCHFORD CCG (99F)Oxford Hip Score</v>
      </c>
      <c r="C1429" t="s">
        <v>248</v>
      </c>
      <c r="D1429" t="s">
        <v>87</v>
      </c>
      <c r="E1429" t="s">
        <v>725</v>
      </c>
      <c r="F1429" t="s">
        <v>726</v>
      </c>
      <c r="G1429" t="s">
        <v>14</v>
      </c>
      <c r="H1429">
        <v>150</v>
      </c>
      <c r="I1429">
        <v>16.626999999999999</v>
      </c>
      <c r="J1429">
        <v>38.527000000000001</v>
      </c>
      <c r="K1429">
        <v>21.9</v>
      </c>
      <c r="L1429">
        <v>145</v>
      </c>
      <c r="M1429">
        <v>1</v>
      </c>
      <c r="N1429">
        <v>4</v>
      </c>
      <c r="O1429">
        <v>38.768000000000001</v>
      </c>
      <c r="P1429">
        <v>20.563428510000001</v>
      </c>
      <c r="Q1429">
        <v>8.1359999999999992</v>
      </c>
    </row>
    <row r="1430" spans="1:17" s="30" customFormat="1" x14ac:dyDescent="0.2">
      <c r="A1430" s="30" t="str">
        <f>IF(C1430&amp;G1430&amp;D1430&lt;&gt;'Funnel setup'!$K$3&amp;'Funnel setup'!$K$4&amp;'Funnel setup'!$K$5,".",IF(A1429=".",1,A1429+1))</f>
        <v>.</v>
      </c>
      <c r="B1430" s="431" t="str">
        <f t="shared" si="22"/>
        <v>Hip Replacement PrimaryCCG of GP PracticeNHS CENTRAL LONDON (WESTMINSTER) CCG (09A)Oxford Hip Score</v>
      </c>
      <c r="C1430" t="s">
        <v>248</v>
      </c>
      <c r="D1430" t="s">
        <v>87</v>
      </c>
      <c r="E1430" t="s">
        <v>728</v>
      </c>
      <c r="F1430" t="s">
        <v>729</v>
      </c>
      <c r="G1430" t="s">
        <v>14</v>
      </c>
      <c r="H1430">
        <v>21</v>
      </c>
      <c r="I1430">
        <v>16.428999999999998</v>
      </c>
      <c r="J1430">
        <v>38.429000000000002</v>
      </c>
      <c r="K1430">
        <v>22</v>
      </c>
      <c r="L1430">
        <v>20</v>
      </c>
      <c r="M1430">
        <v>1</v>
      </c>
      <c r="N1430">
        <v>0</v>
      </c>
      <c r="O1430" t="s">
        <v>53</v>
      </c>
      <c r="P1430" t="s">
        <v>53</v>
      </c>
      <c r="Q1430" t="s">
        <v>53</v>
      </c>
    </row>
    <row r="1431" spans="1:17" s="30" customFormat="1" x14ac:dyDescent="0.2">
      <c r="A1431" s="30" t="str">
        <f>IF(C1431&amp;G1431&amp;D1431&lt;&gt;'Funnel setup'!$K$3&amp;'Funnel setup'!$K$4&amp;'Funnel setup'!$K$5,".",IF(A1430=".",1,A1430+1))</f>
        <v>.</v>
      </c>
      <c r="B1431" s="431" t="str">
        <f t="shared" si="22"/>
        <v>Hip Replacement PrimaryCCG of GP PracticeNHS CENTRAL MANCHESTER CCG (00W)Oxford Hip Score</v>
      </c>
      <c r="C1431" t="s">
        <v>248</v>
      </c>
      <c r="D1431" t="s">
        <v>87</v>
      </c>
      <c r="E1431" t="s">
        <v>731</v>
      </c>
      <c r="F1431" t="s">
        <v>732</v>
      </c>
      <c r="G1431" t="s">
        <v>14</v>
      </c>
      <c r="H1431">
        <v>17</v>
      </c>
      <c r="I1431">
        <v>20.411999999999999</v>
      </c>
      <c r="J1431">
        <v>36</v>
      </c>
      <c r="K1431">
        <v>15.587999999999999</v>
      </c>
      <c r="L1431">
        <v>17</v>
      </c>
      <c r="M1431">
        <v>0</v>
      </c>
      <c r="N1431">
        <v>0</v>
      </c>
      <c r="O1431" t="s">
        <v>53</v>
      </c>
      <c r="P1431" t="s">
        <v>53</v>
      </c>
      <c r="Q1431" t="s">
        <v>53</v>
      </c>
    </row>
    <row r="1432" spans="1:17" s="30" customFormat="1" x14ac:dyDescent="0.2">
      <c r="A1432" s="30" t="str">
        <f>IF(C1432&amp;G1432&amp;D1432&lt;&gt;'Funnel setup'!$K$3&amp;'Funnel setup'!$K$4&amp;'Funnel setup'!$K$5,".",IF(A1431=".",1,A1431+1))</f>
        <v>.</v>
      </c>
      <c r="B1432" s="431" t="str">
        <f t="shared" si="22"/>
        <v>Hip Replacement PrimaryCCG of GP PracticeNHS CHILTERN CCG (10H)Oxford Hip Score</v>
      </c>
      <c r="C1432" t="s">
        <v>248</v>
      </c>
      <c r="D1432" t="s">
        <v>87</v>
      </c>
      <c r="E1432" t="s">
        <v>734</v>
      </c>
      <c r="F1432" t="s">
        <v>735</v>
      </c>
      <c r="G1432" t="s">
        <v>14</v>
      </c>
      <c r="H1432">
        <v>216</v>
      </c>
      <c r="I1432">
        <v>19.87</v>
      </c>
      <c r="J1432">
        <v>39.829000000000001</v>
      </c>
      <c r="K1432">
        <v>19.957999999999998</v>
      </c>
      <c r="L1432">
        <v>210</v>
      </c>
      <c r="M1432">
        <v>0</v>
      </c>
      <c r="N1432">
        <v>6</v>
      </c>
      <c r="O1432">
        <v>38.780999999999999</v>
      </c>
      <c r="P1432">
        <v>20.576569490000001</v>
      </c>
      <c r="Q1432">
        <v>7.9059999999999997</v>
      </c>
    </row>
    <row r="1433" spans="1:17" s="30" customFormat="1" x14ac:dyDescent="0.2">
      <c r="A1433" s="30" t="str">
        <f>IF(C1433&amp;G1433&amp;D1433&lt;&gt;'Funnel setup'!$K$3&amp;'Funnel setup'!$K$4&amp;'Funnel setup'!$K$5,".",IF(A1432=".",1,A1432+1))</f>
        <v>.</v>
      </c>
      <c r="B1433" s="431" t="str">
        <f t="shared" si="22"/>
        <v>Hip Replacement PrimaryCCG of GP PracticeNHS CHORLEY AND SOUTH RIBBLE CCG (00X)Oxford Hip Score</v>
      </c>
      <c r="C1433" t="s">
        <v>248</v>
      </c>
      <c r="D1433" t="s">
        <v>87</v>
      </c>
      <c r="E1433" t="s">
        <v>737</v>
      </c>
      <c r="F1433" t="s">
        <v>738</v>
      </c>
      <c r="G1433" t="s">
        <v>14</v>
      </c>
      <c r="H1433">
        <v>183</v>
      </c>
      <c r="I1433">
        <v>17.545999999999999</v>
      </c>
      <c r="J1433">
        <v>39.234999999999999</v>
      </c>
      <c r="K1433">
        <v>21.689</v>
      </c>
      <c r="L1433">
        <v>176</v>
      </c>
      <c r="M1433">
        <v>0</v>
      </c>
      <c r="N1433">
        <v>7</v>
      </c>
      <c r="O1433">
        <v>39.505000000000003</v>
      </c>
      <c r="P1433">
        <v>21.300472200000002</v>
      </c>
      <c r="Q1433">
        <v>9.0039999999999996</v>
      </c>
    </row>
    <row r="1434" spans="1:17" s="30" customFormat="1" x14ac:dyDescent="0.2">
      <c r="A1434" s="30" t="str">
        <f>IF(C1434&amp;G1434&amp;D1434&lt;&gt;'Funnel setup'!$K$3&amp;'Funnel setup'!$K$4&amp;'Funnel setup'!$K$5,".",IF(A1433=".",1,A1433+1))</f>
        <v>.</v>
      </c>
      <c r="B1434" s="431" t="str">
        <f t="shared" si="22"/>
        <v>Hip Replacement PrimaryCCG of GP PracticeNHS CITY AND HACKNEY CCG (07T)Oxford Hip Score</v>
      </c>
      <c r="C1434" t="s">
        <v>248</v>
      </c>
      <c r="D1434" t="s">
        <v>87</v>
      </c>
      <c r="E1434" t="s">
        <v>740</v>
      </c>
      <c r="F1434" t="s">
        <v>741</v>
      </c>
      <c r="G1434" t="s">
        <v>14</v>
      </c>
      <c r="H1434">
        <v>39</v>
      </c>
      <c r="I1434">
        <v>17.462</v>
      </c>
      <c r="J1434">
        <v>35.128</v>
      </c>
      <c r="K1434">
        <v>17.667000000000002</v>
      </c>
      <c r="L1434">
        <v>36</v>
      </c>
      <c r="M1434">
        <v>0</v>
      </c>
      <c r="N1434">
        <v>3</v>
      </c>
      <c r="O1434">
        <v>39.118000000000002</v>
      </c>
      <c r="P1434">
        <v>20.913494190000002</v>
      </c>
      <c r="Q1434">
        <v>10.631</v>
      </c>
    </row>
    <row r="1435" spans="1:17" s="30" customFormat="1" x14ac:dyDescent="0.2">
      <c r="A1435" s="30" t="str">
        <f>IF(C1435&amp;G1435&amp;D1435&lt;&gt;'Funnel setup'!$K$3&amp;'Funnel setup'!$K$4&amp;'Funnel setup'!$K$5,".",IF(A1434=".",1,A1434+1))</f>
        <v>.</v>
      </c>
      <c r="B1435" s="431" t="str">
        <f t="shared" si="22"/>
        <v>Hip Replacement PrimaryCCG of GP PracticeNHS COASTAL WEST SUSSEX CCG (09G)Oxford Hip Score</v>
      </c>
      <c r="C1435" t="s">
        <v>248</v>
      </c>
      <c r="D1435" t="s">
        <v>87</v>
      </c>
      <c r="E1435" t="s">
        <v>743</v>
      </c>
      <c r="F1435" t="s">
        <v>744</v>
      </c>
      <c r="G1435" t="s">
        <v>14</v>
      </c>
      <c r="H1435">
        <v>544</v>
      </c>
      <c r="I1435">
        <v>18.134</v>
      </c>
      <c r="J1435">
        <v>39.432000000000002</v>
      </c>
      <c r="K1435">
        <v>21.297999999999998</v>
      </c>
      <c r="L1435">
        <v>519</v>
      </c>
      <c r="M1435">
        <v>2</v>
      </c>
      <c r="N1435">
        <v>23</v>
      </c>
      <c r="O1435">
        <v>39.186</v>
      </c>
      <c r="P1435">
        <v>20.981798269999999</v>
      </c>
      <c r="Q1435">
        <v>8.2379999999999995</v>
      </c>
    </row>
    <row r="1436" spans="1:17" s="30" customFormat="1" x14ac:dyDescent="0.2">
      <c r="A1436" s="30" t="str">
        <f>IF(C1436&amp;G1436&amp;D1436&lt;&gt;'Funnel setup'!$K$3&amp;'Funnel setup'!$K$4&amp;'Funnel setup'!$K$5,".",IF(A1435=".",1,A1435+1))</f>
        <v>.</v>
      </c>
      <c r="B1436" s="431" t="str">
        <f t="shared" si="22"/>
        <v>Hip Replacement PrimaryCCG of GP PracticeNHS CORBY CCG (03V)Oxford Hip Score</v>
      </c>
      <c r="C1436" t="s">
        <v>248</v>
      </c>
      <c r="D1436" t="s">
        <v>87</v>
      </c>
      <c r="E1436" t="s">
        <v>746</v>
      </c>
      <c r="F1436" t="s">
        <v>747</v>
      </c>
      <c r="G1436" t="s">
        <v>14</v>
      </c>
      <c r="H1436">
        <v>31</v>
      </c>
      <c r="I1436">
        <v>14.677</v>
      </c>
      <c r="J1436">
        <v>36.71</v>
      </c>
      <c r="K1436">
        <v>22.032</v>
      </c>
      <c r="L1436">
        <v>30</v>
      </c>
      <c r="M1436">
        <v>0</v>
      </c>
      <c r="N1436">
        <v>1</v>
      </c>
      <c r="O1436">
        <v>38.621000000000002</v>
      </c>
      <c r="P1436">
        <v>20.41696482</v>
      </c>
      <c r="Q1436">
        <v>8.6170000000000009</v>
      </c>
    </row>
    <row r="1437" spans="1:17" s="30" customFormat="1" x14ac:dyDescent="0.2">
      <c r="A1437" s="30" t="str">
        <f>IF(C1437&amp;G1437&amp;D1437&lt;&gt;'Funnel setup'!$K$3&amp;'Funnel setup'!$K$4&amp;'Funnel setup'!$K$5,".",IF(A1436=".",1,A1436+1))</f>
        <v>.</v>
      </c>
      <c r="B1437" s="431" t="str">
        <f t="shared" si="22"/>
        <v>Hip Replacement PrimaryCCG of GP PracticeNHS COVENTRY AND RUGBY CCG (05A)Oxford Hip Score</v>
      </c>
      <c r="C1437" t="s">
        <v>248</v>
      </c>
      <c r="D1437" t="s">
        <v>87</v>
      </c>
      <c r="E1437" t="s">
        <v>749</v>
      </c>
      <c r="F1437" t="s">
        <v>750</v>
      </c>
      <c r="G1437" t="s">
        <v>14</v>
      </c>
      <c r="H1437">
        <v>256</v>
      </c>
      <c r="I1437">
        <v>19</v>
      </c>
      <c r="J1437">
        <v>39.726999999999997</v>
      </c>
      <c r="K1437">
        <v>20.727</v>
      </c>
      <c r="L1437">
        <v>252</v>
      </c>
      <c r="M1437">
        <v>0</v>
      </c>
      <c r="N1437">
        <v>4</v>
      </c>
      <c r="O1437">
        <v>39.357999999999997</v>
      </c>
      <c r="P1437">
        <v>21.153086689999999</v>
      </c>
      <c r="Q1437">
        <v>7.7130000000000001</v>
      </c>
    </row>
    <row r="1438" spans="1:17" s="30" customFormat="1" x14ac:dyDescent="0.2">
      <c r="A1438" s="30" t="str">
        <f>IF(C1438&amp;G1438&amp;D1438&lt;&gt;'Funnel setup'!$K$3&amp;'Funnel setup'!$K$4&amp;'Funnel setup'!$K$5,".",IF(A1437=".",1,A1437+1))</f>
        <v>.</v>
      </c>
      <c r="B1438" s="431" t="str">
        <f t="shared" si="22"/>
        <v>Hip Replacement PrimaryCCG of GP PracticeNHS CRAWLEY CCG (09H)Oxford Hip Score</v>
      </c>
      <c r="C1438" t="s">
        <v>248</v>
      </c>
      <c r="D1438" t="s">
        <v>87</v>
      </c>
      <c r="E1438" t="s">
        <v>752</v>
      </c>
      <c r="F1438" t="s">
        <v>753</v>
      </c>
      <c r="G1438" t="s">
        <v>14</v>
      </c>
      <c r="H1438">
        <v>59</v>
      </c>
      <c r="I1438">
        <v>20.440999999999999</v>
      </c>
      <c r="J1438">
        <v>40.22</v>
      </c>
      <c r="K1438">
        <v>19.78</v>
      </c>
      <c r="L1438">
        <v>56</v>
      </c>
      <c r="M1438">
        <v>0</v>
      </c>
      <c r="N1438">
        <v>3</v>
      </c>
      <c r="O1438">
        <v>39.523000000000003</v>
      </c>
      <c r="P1438">
        <v>21.318416630000002</v>
      </c>
      <c r="Q1438">
        <v>8.4629999999999992</v>
      </c>
    </row>
    <row r="1439" spans="1:17" s="30" customFormat="1" x14ac:dyDescent="0.2">
      <c r="A1439" s="30" t="str">
        <f>IF(C1439&amp;G1439&amp;D1439&lt;&gt;'Funnel setup'!$K$3&amp;'Funnel setup'!$K$4&amp;'Funnel setup'!$K$5,".",IF(A1438=".",1,A1438+1))</f>
        <v>.</v>
      </c>
      <c r="B1439" s="431" t="str">
        <f t="shared" si="22"/>
        <v>Hip Replacement PrimaryCCG of GP PracticeNHS CROYDON CCG (07V)Oxford Hip Score</v>
      </c>
      <c r="C1439" t="s">
        <v>248</v>
      </c>
      <c r="D1439" t="s">
        <v>87</v>
      </c>
      <c r="E1439" t="s">
        <v>755</v>
      </c>
      <c r="F1439" t="s">
        <v>756</v>
      </c>
      <c r="G1439" t="s">
        <v>14</v>
      </c>
      <c r="H1439">
        <v>128</v>
      </c>
      <c r="I1439">
        <v>20.07</v>
      </c>
      <c r="J1439">
        <v>38.469000000000001</v>
      </c>
      <c r="K1439">
        <v>18.398</v>
      </c>
      <c r="L1439">
        <v>123</v>
      </c>
      <c r="M1439">
        <v>2</v>
      </c>
      <c r="N1439">
        <v>3</v>
      </c>
      <c r="O1439">
        <v>38.35</v>
      </c>
      <c r="P1439">
        <v>20.145559500000001</v>
      </c>
      <c r="Q1439">
        <v>7.2789999999999999</v>
      </c>
    </row>
    <row r="1440" spans="1:17" s="30" customFormat="1" x14ac:dyDescent="0.2">
      <c r="A1440" s="30" t="str">
        <f>IF(C1440&amp;G1440&amp;D1440&lt;&gt;'Funnel setup'!$K$3&amp;'Funnel setup'!$K$4&amp;'Funnel setup'!$K$5,".",IF(A1439=".",1,A1439+1))</f>
        <v>.</v>
      </c>
      <c r="B1440" s="431" t="str">
        <f t="shared" si="22"/>
        <v>Hip Replacement PrimaryCCG of GP PracticeNHS CUMBRIA CCG (01H)Oxford Hip Score</v>
      </c>
      <c r="C1440" t="s">
        <v>248</v>
      </c>
      <c r="D1440" t="s">
        <v>87</v>
      </c>
      <c r="E1440" t="s">
        <v>758</v>
      </c>
      <c r="F1440" t="s">
        <v>759</v>
      </c>
      <c r="G1440" t="s">
        <v>14</v>
      </c>
      <c r="H1440">
        <v>574</v>
      </c>
      <c r="I1440">
        <v>19.114999999999998</v>
      </c>
      <c r="J1440">
        <v>40.023000000000003</v>
      </c>
      <c r="K1440">
        <v>20.908000000000001</v>
      </c>
      <c r="L1440">
        <v>553</v>
      </c>
      <c r="M1440">
        <v>5</v>
      </c>
      <c r="N1440">
        <v>16</v>
      </c>
      <c r="O1440">
        <v>39.796999999999997</v>
      </c>
      <c r="P1440">
        <v>21.59259977</v>
      </c>
      <c r="Q1440">
        <v>7.5339999999999998</v>
      </c>
    </row>
    <row r="1441" spans="1:17" s="30" customFormat="1" x14ac:dyDescent="0.2">
      <c r="A1441" s="30" t="str">
        <f>IF(C1441&amp;G1441&amp;D1441&lt;&gt;'Funnel setup'!$K$3&amp;'Funnel setup'!$K$4&amp;'Funnel setup'!$K$5,".",IF(A1440=".",1,A1440+1))</f>
        <v>.</v>
      </c>
      <c r="B1441" s="431" t="str">
        <f t="shared" si="22"/>
        <v>Hip Replacement PrimaryCCG of GP PracticeNHS DARLINGTON CCG (00C)Oxford Hip Score</v>
      </c>
      <c r="C1441" t="s">
        <v>248</v>
      </c>
      <c r="D1441" t="s">
        <v>87</v>
      </c>
      <c r="E1441" t="s">
        <v>761</v>
      </c>
      <c r="F1441" t="s">
        <v>762</v>
      </c>
      <c r="G1441" t="s">
        <v>14</v>
      </c>
      <c r="H1441">
        <v>79</v>
      </c>
      <c r="I1441">
        <v>19.759</v>
      </c>
      <c r="J1441">
        <v>39.987000000000002</v>
      </c>
      <c r="K1441">
        <v>20.228000000000002</v>
      </c>
      <c r="L1441">
        <v>77</v>
      </c>
      <c r="M1441">
        <v>0</v>
      </c>
      <c r="N1441">
        <v>2</v>
      </c>
      <c r="O1441">
        <v>39.179000000000002</v>
      </c>
      <c r="P1441">
        <v>20.974679940000001</v>
      </c>
      <c r="Q1441">
        <v>7.72</v>
      </c>
    </row>
    <row r="1442" spans="1:17" s="30" customFormat="1" x14ac:dyDescent="0.2">
      <c r="A1442" s="30" t="str">
        <f>IF(C1442&amp;G1442&amp;D1442&lt;&gt;'Funnel setup'!$K$3&amp;'Funnel setup'!$K$4&amp;'Funnel setup'!$K$5,".",IF(A1441=".",1,A1441+1))</f>
        <v>.</v>
      </c>
      <c r="B1442" s="431" t="str">
        <f t="shared" si="22"/>
        <v>Hip Replacement PrimaryCCG of GP PracticeNHS DARTFORD, GRAVESHAM AND SWANLEY CCG (09J)Oxford Hip Score</v>
      </c>
      <c r="C1442" t="s">
        <v>248</v>
      </c>
      <c r="D1442" t="s">
        <v>87</v>
      </c>
      <c r="E1442" t="s">
        <v>764</v>
      </c>
      <c r="F1442" t="s">
        <v>765</v>
      </c>
      <c r="G1442" t="s">
        <v>14</v>
      </c>
      <c r="H1442">
        <v>131</v>
      </c>
      <c r="I1442">
        <v>18.55</v>
      </c>
      <c r="J1442">
        <v>39.281999999999996</v>
      </c>
      <c r="K1442">
        <v>20.733000000000001</v>
      </c>
      <c r="L1442">
        <v>125</v>
      </c>
      <c r="M1442">
        <v>2</v>
      </c>
      <c r="N1442">
        <v>4</v>
      </c>
      <c r="O1442">
        <v>39.134</v>
      </c>
      <c r="P1442">
        <v>20.929497560000001</v>
      </c>
      <c r="Q1442">
        <v>8.1129999999999995</v>
      </c>
    </row>
    <row r="1443" spans="1:17" s="30" customFormat="1" x14ac:dyDescent="0.2">
      <c r="A1443" s="30" t="str">
        <f>IF(C1443&amp;G1443&amp;D1443&lt;&gt;'Funnel setup'!$K$3&amp;'Funnel setup'!$K$4&amp;'Funnel setup'!$K$5,".",IF(A1442=".",1,A1442+1))</f>
        <v>.</v>
      </c>
      <c r="B1443" s="431" t="str">
        <f t="shared" si="22"/>
        <v>Hip Replacement PrimaryCCG of GP PracticeNHS DONCASTER CCG (02X)Oxford Hip Score</v>
      </c>
      <c r="C1443" t="s">
        <v>248</v>
      </c>
      <c r="D1443" t="s">
        <v>87</v>
      </c>
      <c r="E1443" t="s">
        <v>767</v>
      </c>
      <c r="F1443" t="s">
        <v>768</v>
      </c>
      <c r="G1443" t="s">
        <v>14</v>
      </c>
      <c r="H1443">
        <v>221</v>
      </c>
      <c r="I1443">
        <v>16.285</v>
      </c>
      <c r="J1443">
        <v>37.557000000000002</v>
      </c>
      <c r="K1443">
        <v>21.271000000000001</v>
      </c>
      <c r="L1443">
        <v>213</v>
      </c>
      <c r="M1443">
        <v>1</v>
      </c>
      <c r="N1443">
        <v>7</v>
      </c>
      <c r="O1443">
        <v>39.064</v>
      </c>
      <c r="P1443">
        <v>20.85981087</v>
      </c>
      <c r="Q1443">
        <v>9.1259999999999994</v>
      </c>
    </row>
    <row r="1444" spans="1:17" s="30" customFormat="1" x14ac:dyDescent="0.2">
      <c r="A1444" s="30" t="str">
        <f>IF(C1444&amp;G1444&amp;D1444&lt;&gt;'Funnel setup'!$K$3&amp;'Funnel setup'!$K$4&amp;'Funnel setup'!$K$5,".",IF(A1443=".",1,A1443+1))</f>
        <v>.</v>
      </c>
      <c r="B1444" s="431" t="str">
        <f t="shared" si="22"/>
        <v>Hip Replacement PrimaryCCG of GP PracticeNHS DORSET CCG (11J)Oxford Hip Score</v>
      </c>
      <c r="C1444" t="s">
        <v>248</v>
      </c>
      <c r="D1444" t="s">
        <v>87</v>
      </c>
      <c r="E1444" t="s">
        <v>854</v>
      </c>
      <c r="F1444" t="s">
        <v>855</v>
      </c>
      <c r="G1444" t="s">
        <v>14</v>
      </c>
      <c r="H1444">
        <v>716</v>
      </c>
      <c r="I1444">
        <v>18.545999999999999</v>
      </c>
      <c r="J1444">
        <v>40.177</v>
      </c>
      <c r="K1444">
        <v>21.631</v>
      </c>
      <c r="L1444">
        <v>704</v>
      </c>
      <c r="M1444">
        <v>0</v>
      </c>
      <c r="N1444">
        <v>12</v>
      </c>
      <c r="O1444">
        <v>40.081000000000003</v>
      </c>
      <c r="P1444">
        <v>21.876374309999999</v>
      </c>
      <c r="Q1444">
        <v>7.4109999999999996</v>
      </c>
    </row>
    <row r="1445" spans="1:17" s="30" customFormat="1" x14ac:dyDescent="0.2">
      <c r="A1445" s="30" t="str">
        <f>IF(C1445&amp;G1445&amp;D1445&lt;&gt;'Funnel setup'!$K$3&amp;'Funnel setup'!$K$4&amp;'Funnel setup'!$K$5,".",IF(A1444=".",1,A1444+1))</f>
        <v>.</v>
      </c>
      <c r="B1445" s="431" t="str">
        <f t="shared" si="22"/>
        <v>Hip Replacement PrimaryCCG of GP PracticeNHS DUDLEY CCG (05C)Oxford Hip Score</v>
      </c>
      <c r="C1445" t="s">
        <v>248</v>
      </c>
      <c r="D1445" t="s">
        <v>87</v>
      </c>
      <c r="E1445" t="s">
        <v>857</v>
      </c>
      <c r="F1445" t="s">
        <v>858</v>
      </c>
      <c r="G1445" t="s">
        <v>14</v>
      </c>
      <c r="H1445">
        <v>312</v>
      </c>
      <c r="I1445">
        <v>17.317</v>
      </c>
      <c r="J1445">
        <v>39.628</v>
      </c>
      <c r="K1445">
        <v>22.311</v>
      </c>
      <c r="L1445">
        <v>303</v>
      </c>
      <c r="M1445">
        <v>2</v>
      </c>
      <c r="N1445">
        <v>7</v>
      </c>
      <c r="O1445">
        <v>40.234000000000002</v>
      </c>
      <c r="P1445">
        <v>22.029675269999998</v>
      </c>
      <c r="Q1445">
        <v>8.0280000000000005</v>
      </c>
    </row>
    <row r="1446" spans="1:17" s="30" customFormat="1" x14ac:dyDescent="0.2">
      <c r="A1446" s="30" t="str">
        <f>IF(C1446&amp;G1446&amp;D1446&lt;&gt;'Funnel setup'!$K$3&amp;'Funnel setup'!$K$4&amp;'Funnel setup'!$K$5,".",IF(A1445=".",1,A1445+1))</f>
        <v>.</v>
      </c>
      <c r="B1446" s="431" t="str">
        <f t="shared" si="22"/>
        <v>Hip Replacement PrimaryCCG of GP PracticeNHS DURHAM DALES, EASINGTON AND SEDGEFIELD CCG (00D)Oxford Hip Score</v>
      </c>
      <c r="C1446" t="s">
        <v>248</v>
      </c>
      <c r="D1446" t="s">
        <v>87</v>
      </c>
      <c r="E1446" t="s">
        <v>860</v>
      </c>
      <c r="F1446" t="s">
        <v>861</v>
      </c>
      <c r="G1446" t="s">
        <v>14</v>
      </c>
      <c r="H1446">
        <v>196</v>
      </c>
      <c r="I1446">
        <v>16.193999999999999</v>
      </c>
      <c r="J1446">
        <v>37.917999999999999</v>
      </c>
      <c r="K1446">
        <v>21.724</v>
      </c>
      <c r="L1446">
        <v>191</v>
      </c>
      <c r="M1446">
        <v>0</v>
      </c>
      <c r="N1446">
        <v>5</v>
      </c>
      <c r="O1446">
        <v>39.423000000000002</v>
      </c>
      <c r="P1446">
        <v>21.218691</v>
      </c>
      <c r="Q1446">
        <v>8.25</v>
      </c>
    </row>
    <row r="1447" spans="1:17" s="30" customFormat="1" x14ac:dyDescent="0.2">
      <c r="A1447" s="30" t="str">
        <f>IF(C1447&amp;G1447&amp;D1447&lt;&gt;'Funnel setup'!$K$3&amp;'Funnel setup'!$K$4&amp;'Funnel setup'!$K$5,".",IF(A1446=".",1,A1446+1))</f>
        <v>.</v>
      </c>
      <c r="B1447" s="431" t="str">
        <f t="shared" si="22"/>
        <v>Hip Replacement PrimaryCCG of GP PracticeNHS EALING CCG (07W)Oxford Hip Score</v>
      </c>
      <c r="C1447" t="s">
        <v>248</v>
      </c>
      <c r="D1447" t="s">
        <v>87</v>
      </c>
      <c r="E1447" t="s">
        <v>863</v>
      </c>
      <c r="F1447" t="s">
        <v>864</v>
      </c>
      <c r="G1447" t="s">
        <v>14</v>
      </c>
      <c r="H1447">
        <v>68</v>
      </c>
      <c r="I1447">
        <v>15.426</v>
      </c>
      <c r="J1447">
        <v>37.956000000000003</v>
      </c>
      <c r="K1447">
        <v>22.529</v>
      </c>
      <c r="L1447">
        <v>66</v>
      </c>
      <c r="M1447">
        <v>0</v>
      </c>
      <c r="N1447">
        <v>2</v>
      </c>
      <c r="O1447">
        <v>40.054000000000002</v>
      </c>
      <c r="P1447">
        <v>21.84959533</v>
      </c>
      <c r="Q1447">
        <v>8.2889999999999997</v>
      </c>
    </row>
    <row r="1448" spans="1:17" s="30" customFormat="1" x14ac:dyDescent="0.2">
      <c r="A1448" s="30" t="str">
        <f>IF(C1448&amp;G1448&amp;D1448&lt;&gt;'Funnel setup'!$K$3&amp;'Funnel setup'!$K$4&amp;'Funnel setup'!$K$5,".",IF(A1447=".",1,A1447+1))</f>
        <v>.</v>
      </c>
      <c r="B1448" s="431" t="str">
        <f t="shared" si="22"/>
        <v>Hip Replacement PrimaryCCG of GP PracticeNHS EAST AND NORTH HERTFORDSHIRE CCG (06K)Oxford Hip Score</v>
      </c>
      <c r="C1448" t="s">
        <v>248</v>
      </c>
      <c r="D1448" t="s">
        <v>87</v>
      </c>
      <c r="E1448" t="s">
        <v>866</v>
      </c>
      <c r="F1448" t="s">
        <v>867</v>
      </c>
      <c r="G1448" t="s">
        <v>14</v>
      </c>
      <c r="H1448">
        <v>379</v>
      </c>
      <c r="I1448">
        <v>17.827999999999999</v>
      </c>
      <c r="J1448">
        <v>40.14</v>
      </c>
      <c r="K1448">
        <v>22.311</v>
      </c>
      <c r="L1448">
        <v>374</v>
      </c>
      <c r="M1448">
        <v>0</v>
      </c>
      <c r="N1448">
        <v>5</v>
      </c>
      <c r="O1448">
        <v>39.856999999999999</v>
      </c>
      <c r="P1448">
        <v>21.652372979999999</v>
      </c>
      <c r="Q1448">
        <v>7.63</v>
      </c>
    </row>
    <row r="1449" spans="1:17" s="30" customFormat="1" x14ac:dyDescent="0.2">
      <c r="A1449" s="30" t="str">
        <f>IF(C1449&amp;G1449&amp;D1449&lt;&gt;'Funnel setup'!$K$3&amp;'Funnel setup'!$K$4&amp;'Funnel setup'!$K$5,".",IF(A1448=".",1,A1448+1))</f>
        <v>.</v>
      </c>
      <c r="B1449" s="431" t="str">
        <f t="shared" si="22"/>
        <v>Hip Replacement PrimaryCCG of GP PracticeNHS EAST LANCASHIRE CCG (01A)Oxford Hip Score</v>
      </c>
      <c r="C1449" t="s">
        <v>248</v>
      </c>
      <c r="D1449" t="s">
        <v>87</v>
      </c>
      <c r="E1449" t="s">
        <v>869</v>
      </c>
      <c r="F1449" t="s">
        <v>870</v>
      </c>
      <c r="G1449" t="s">
        <v>14</v>
      </c>
      <c r="H1449">
        <v>226</v>
      </c>
      <c r="I1449">
        <v>17.491</v>
      </c>
      <c r="J1449">
        <v>40.15</v>
      </c>
      <c r="K1449">
        <v>22.658999999999999</v>
      </c>
      <c r="L1449">
        <v>225</v>
      </c>
      <c r="M1449">
        <v>0</v>
      </c>
      <c r="N1449">
        <v>1</v>
      </c>
      <c r="O1449">
        <v>40.743000000000002</v>
      </c>
      <c r="P1449">
        <v>22.538170709999999</v>
      </c>
      <c r="Q1449">
        <v>7.2450000000000001</v>
      </c>
    </row>
    <row r="1450" spans="1:17" s="30" customFormat="1" x14ac:dyDescent="0.2">
      <c r="A1450" s="30" t="str">
        <f>IF(C1450&amp;G1450&amp;D1450&lt;&gt;'Funnel setup'!$K$3&amp;'Funnel setup'!$K$4&amp;'Funnel setup'!$K$5,".",IF(A1449=".",1,A1449+1))</f>
        <v>.</v>
      </c>
      <c r="B1450" s="431" t="str">
        <f t="shared" si="22"/>
        <v>Hip Replacement PrimaryCCG of GP PracticeNHS EAST LEICESTERSHIRE AND RUTLAND CCG (03W)Oxford Hip Score</v>
      </c>
      <c r="C1450" t="s">
        <v>248</v>
      </c>
      <c r="D1450" t="s">
        <v>87</v>
      </c>
      <c r="E1450" t="s">
        <v>872</v>
      </c>
      <c r="F1450" t="s">
        <v>873</v>
      </c>
      <c r="G1450" t="s">
        <v>14</v>
      </c>
      <c r="H1450">
        <v>312</v>
      </c>
      <c r="I1450">
        <v>17.231000000000002</v>
      </c>
      <c r="J1450">
        <v>39.276000000000003</v>
      </c>
      <c r="K1450">
        <v>22.045000000000002</v>
      </c>
      <c r="L1450">
        <v>308</v>
      </c>
      <c r="M1450">
        <v>2</v>
      </c>
      <c r="N1450">
        <v>2</v>
      </c>
      <c r="O1450">
        <v>39.055</v>
      </c>
      <c r="P1450">
        <v>20.850134489999999</v>
      </c>
      <c r="Q1450">
        <v>7.3780000000000001</v>
      </c>
    </row>
    <row r="1451" spans="1:17" s="30" customFormat="1" x14ac:dyDescent="0.2">
      <c r="A1451" s="30" t="str">
        <f>IF(C1451&amp;G1451&amp;D1451&lt;&gt;'Funnel setup'!$K$3&amp;'Funnel setup'!$K$4&amp;'Funnel setup'!$K$5,".",IF(A1450=".",1,A1450+1))</f>
        <v>.</v>
      </c>
      <c r="B1451" s="431" t="str">
        <f t="shared" si="22"/>
        <v>Hip Replacement PrimaryCCG of GP PracticeNHS EAST RIDING OF YORKSHIRE CCG (02Y)Oxford Hip Score</v>
      </c>
      <c r="C1451" t="s">
        <v>248</v>
      </c>
      <c r="D1451" t="s">
        <v>87</v>
      </c>
      <c r="E1451" t="s">
        <v>875</v>
      </c>
      <c r="F1451" t="s">
        <v>876</v>
      </c>
      <c r="G1451" t="s">
        <v>14</v>
      </c>
      <c r="H1451">
        <v>399</v>
      </c>
      <c r="I1451">
        <v>18.564</v>
      </c>
      <c r="J1451">
        <v>40.155000000000001</v>
      </c>
      <c r="K1451">
        <v>21.591000000000001</v>
      </c>
      <c r="L1451">
        <v>385</v>
      </c>
      <c r="M1451">
        <v>6</v>
      </c>
      <c r="N1451">
        <v>8</v>
      </c>
      <c r="O1451">
        <v>39.518000000000001</v>
      </c>
      <c r="P1451">
        <v>21.313685490000001</v>
      </c>
      <c r="Q1451">
        <v>8.032</v>
      </c>
    </row>
    <row r="1452" spans="1:17" s="30" customFormat="1" x14ac:dyDescent="0.2">
      <c r="A1452" s="30" t="str">
        <f>IF(C1452&amp;G1452&amp;D1452&lt;&gt;'Funnel setup'!$K$3&amp;'Funnel setup'!$K$4&amp;'Funnel setup'!$K$5,".",IF(A1451=".",1,A1451+1))</f>
        <v>.</v>
      </c>
      <c r="B1452" s="431" t="str">
        <f t="shared" si="22"/>
        <v>Hip Replacement PrimaryCCG of GP PracticeNHS EAST STAFFORDSHIRE CCG (05D)Oxford Hip Score</v>
      </c>
      <c r="C1452" t="s">
        <v>248</v>
      </c>
      <c r="D1452" t="s">
        <v>87</v>
      </c>
      <c r="E1452" t="s">
        <v>878</v>
      </c>
      <c r="F1452" t="s">
        <v>879</v>
      </c>
      <c r="G1452" t="s">
        <v>14</v>
      </c>
      <c r="H1452">
        <v>110</v>
      </c>
      <c r="I1452">
        <v>17.117999999999999</v>
      </c>
      <c r="J1452">
        <v>39.700000000000003</v>
      </c>
      <c r="K1452">
        <v>22.582000000000001</v>
      </c>
      <c r="L1452">
        <v>107</v>
      </c>
      <c r="M1452">
        <v>0</v>
      </c>
      <c r="N1452">
        <v>3</v>
      </c>
      <c r="O1452">
        <v>39.826999999999998</v>
      </c>
      <c r="P1452">
        <v>21.62284421</v>
      </c>
      <c r="Q1452">
        <v>7.8040000000000003</v>
      </c>
    </row>
    <row r="1453" spans="1:17" s="30" customFormat="1" x14ac:dyDescent="0.2">
      <c r="A1453" s="30" t="str">
        <f>IF(C1453&amp;G1453&amp;D1453&lt;&gt;'Funnel setup'!$K$3&amp;'Funnel setup'!$K$4&amp;'Funnel setup'!$K$5,".",IF(A1452=".",1,A1452+1))</f>
        <v>.</v>
      </c>
      <c r="B1453" s="431" t="str">
        <f t="shared" si="22"/>
        <v>Hip Replacement PrimaryCCG of GP PracticeNHS EAST SURREY CCG (09L)Oxford Hip Score</v>
      </c>
      <c r="C1453" t="s">
        <v>248</v>
      </c>
      <c r="D1453" t="s">
        <v>87</v>
      </c>
      <c r="E1453" t="s">
        <v>881</v>
      </c>
      <c r="F1453" t="s">
        <v>882</v>
      </c>
      <c r="G1453" t="s">
        <v>14</v>
      </c>
      <c r="H1453">
        <v>142</v>
      </c>
      <c r="I1453">
        <v>21.042000000000002</v>
      </c>
      <c r="J1453">
        <v>42.521000000000001</v>
      </c>
      <c r="K1453">
        <v>21.478999999999999</v>
      </c>
      <c r="L1453">
        <v>141</v>
      </c>
      <c r="M1453">
        <v>0</v>
      </c>
      <c r="N1453">
        <v>1</v>
      </c>
      <c r="O1453">
        <v>41.075000000000003</v>
      </c>
      <c r="P1453">
        <v>22.870566950000001</v>
      </c>
      <c r="Q1453">
        <v>5.7110000000000003</v>
      </c>
    </row>
    <row r="1454" spans="1:17" s="30" customFormat="1" x14ac:dyDescent="0.2">
      <c r="A1454" s="30" t="str">
        <f>IF(C1454&amp;G1454&amp;D1454&lt;&gt;'Funnel setup'!$K$3&amp;'Funnel setup'!$K$4&amp;'Funnel setup'!$K$5,".",IF(A1453=".",1,A1453+1))</f>
        <v>.</v>
      </c>
      <c r="B1454" s="431" t="str">
        <f t="shared" si="22"/>
        <v>Hip Replacement PrimaryCCG of GP PracticeNHS EASTBOURNE, HAILSHAM AND SEAFORD CCG (09F)Oxford Hip Score</v>
      </c>
      <c r="C1454" t="s">
        <v>248</v>
      </c>
      <c r="D1454" t="s">
        <v>87</v>
      </c>
      <c r="E1454" t="s">
        <v>884</v>
      </c>
      <c r="F1454" t="s">
        <v>885</v>
      </c>
      <c r="G1454" t="s">
        <v>14</v>
      </c>
      <c r="H1454">
        <v>233</v>
      </c>
      <c r="I1454">
        <v>19.806999999999999</v>
      </c>
      <c r="J1454">
        <v>40.875999999999998</v>
      </c>
      <c r="K1454">
        <v>21.068999999999999</v>
      </c>
      <c r="L1454">
        <v>224</v>
      </c>
      <c r="M1454">
        <v>1</v>
      </c>
      <c r="N1454">
        <v>8</v>
      </c>
      <c r="O1454">
        <v>40.631</v>
      </c>
      <c r="P1454">
        <v>22.426761970000001</v>
      </c>
      <c r="Q1454">
        <v>7.3390000000000004</v>
      </c>
    </row>
    <row r="1455" spans="1:17" s="30" customFormat="1" x14ac:dyDescent="0.2">
      <c r="A1455" s="30" t="str">
        <f>IF(C1455&amp;G1455&amp;D1455&lt;&gt;'Funnel setup'!$K$3&amp;'Funnel setup'!$K$4&amp;'Funnel setup'!$K$5,".",IF(A1454=".",1,A1454+1))</f>
        <v>.</v>
      </c>
      <c r="B1455" s="431" t="str">
        <f t="shared" si="22"/>
        <v>Hip Replacement PrimaryCCG of GP PracticeNHS EASTERN CHESHIRE CCG (01C)Oxford Hip Score</v>
      </c>
      <c r="C1455" t="s">
        <v>248</v>
      </c>
      <c r="D1455" t="s">
        <v>87</v>
      </c>
      <c r="E1455" t="s">
        <v>887</v>
      </c>
      <c r="F1455" t="s">
        <v>888</v>
      </c>
      <c r="G1455" t="s">
        <v>14</v>
      </c>
      <c r="H1455">
        <v>145</v>
      </c>
      <c r="I1455">
        <v>19.414000000000001</v>
      </c>
      <c r="J1455">
        <v>40.862000000000002</v>
      </c>
      <c r="K1455">
        <v>21.448</v>
      </c>
      <c r="L1455">
        <v>139</v>
      </c>
      <c r="M1455">
        <v>2</v>
      </c>
      <c r="N1455">
        <v>4</v>
      </c>
      <c r="O1455">
        <v>40.177999999999997</v>
      </c>
      <c r="P1455">
        <v>21.973155340000002</v>
      </c>
      <c r="Q1455">
        <v>7.851</v>
      </c>
    </row>
    <row r="1456" spans="1:17" s="30" customFormat="1" x14ac:dyDescent="0.2">
      <c r="A1456" s="30" t="str">
        <f>IF(C1456&amp;G1456&amp;D1456&lt;&gt;'Funnel setup'!$K$3&amp;'Funnel setup'!$K$4&amp;'Funnel setup'!$K$5,".",IF(A1455=".",1,A1455+1))</f>
        <v>.</v>
      </c>
      <c r="B1456" s="431" t="str">
        <f t="shared" si="22"/>
        <v>Hip Replacement PrimaryCCG of GP PracticeNHS ENFIELD CCG (07X)Oxford Hip Score</v>
      </c>
      <c r="C1456" t="s">
        <v>248</v>
      </c>
      <c r="D1456" t="s">
        <v>87</v>
      </c>
      <c r="E1456" t="s">
        <v>890</v>
      </c>
      <c r="F1456" t="s">
        <v>891</v>
      </c>
      <c r="G1456" t="s">
        <v>14</v>
      </c>
      <c r="H1456">
        <v>83</v>
      </c>
      <c r="I1456">
        <v>16.071999999999999</v>
      </c>
      <c r="J1456">
        <v>37.313000000000002</v>
      </c>
      <c r="K1456">
        <v>21.241</v>
      </c>
      <c r="L1456">
        <v>80</v>
      </c>
      <c r="M1456">
        <v>2</v>
      </c>
      <c r="N1456">
        <v>1</v>
      </c>
      <c r="O1456">
        <v>39.01</v>
      </c>
      <c r="P1456">
        <v>20.805552970000001</v>
      </c>
      <c r="Q1456">
        <v>8.56</v>
      </c>
    </row>
    <row r="1457" spans="1:17" s="30" customFormat="1" x14ac:dyDescent="0.2">
      <c r="A1457" s="30" t="str">
        <f>IF(C1457&amp;G1457&amp;D1457&lt;&gt;'Funnel setup'!$K$3&amp;'Funnel setup'!$K$4&amp;'Funnel setup'!$K$5,".",IF(A1456=".",1,A1456+1))</f>
        <v>.</v>
      </c>
      <c r="B1457" s="431" t="str">
        <f t="shared" si="22"/>
        <v>Hip Replacement PrimaryCCG of GP PracticeNHS EREWASH CCG (03X)Oxford Hip Score</v>
      </c>
      <c r="C1457" t="s">
        <v>248</v>
      </c>
      <c r="D1457" t="s">
        <v>87</v>
      </c>
      <c r="E1457" t="s">
        <v>893</v>
      </c>
      <c r="F1457" t="s">
        <v>894</v>
      </c>
      <c r="G1457" t="s">
        <v>14</v>
      </c>
      <c r="H1457">
        <v>101</v>
      </c>
      <c r="I1457">
        <v>17.940999999999999</v>
      </c>
      <c r="J1457">
        <v>39.643999999999998</v>
      </c>
      <c r="K1457">
        <v>21.702999999999999</v>
      </c>
      <c r="L1457">
        <v>97</v>
      </c>
      <c r="M1457">
        <v>1</v>
      </c>
      <c r="N1457">
        <v>3</v>
      </c>
      <c r="O1457">
        <v>39.631</v>
      </c>
      <c r="P1457">
        <v>21.426548700000001</v>
      </c>
      <c r="Q1457">
        <v>7.1379999999999999</v>
      </c>
    </row>
    <row r="1458" spans="1:17" s="30" customFormat="1" x14ac:dyDescent="0.2">
      <c r="A1458" s="30" t="str">
        <f>IF(C1458&amp;G1458&amp;D1458&lt;&gt;'Funnel setup'!$K$3&amp;'Funnel setup'!$K$4&amp;'Funnel setup'!$K$5,".",IF(A1457=".",1,A1457+1))</f>
        <v>.</v>
      </c>
      <c r="B1458" s="431" t="str">
        <f t="shared" si="22"/>
        <v>Hip Replacement PrimaryCCG of GP PracticeNHS FAREHAM AND GOSPORT CCG (10K)Oxford Hip Score</v>
      </c>
      <c r="C1458" t="s">
        <v>248</v>
      </c>
      <c r="D1458" t="s">
        <v>87</v>
      </c>
      <c r="E1458" t="s">
        <v>896</v>
      </c>
      <c r="F1458" t="s">
        <v>897</v>
      </c>
      <c r="G1458" t="s">
        <v>14</v>
      </c>
      <c r="H1458">
        <v>127</v>
      </c>
      <c r="I1458">
        <v>17.228000000000002</v>
      </c>
      <c r="J1458">
        <v>38.929000000000002</v>
      </c>
      <c r="K1458">
        <v>21.701000000000001</v>
      </c>
      <c r="L1458">
        <v>125</v>
      </c>
      <c r="M1458">
        <v>0</v>
      </c>
      <c r="N1458">
        <v>2</v>
      </c>
      <c r="O1458">
        <v>38.768000000000001</v>
      </c>
      <c r="P1458">
        <v>20.563021469999999</v>
      </c>
      <c r="Q1458">
        <v>7.7850000000000001</v>
      </c>
    </row>
    <row r="1459" spans="1:17" s="30" customFormat="1" x14ac:dyDescent="0.2">
      <c r="A1459" s="30" t="str">
        <f>IF(C1459&amp;G1459&amp;D1459&lt;&gt;'Funnel setup'!$K$3&amp;'Funnel setup'!$K$4&amp;'Funnel setup'!$K$5,".",IF(A1458=".",1,A1458+1))</f>
        <v>.</v>
      </c>
      <c r="B1459" s="431" t="str">
        <f t="shared" si="22"/>
        <v>Hip Replacement PrimaryCCG of GP PracticeNHS FYLDE &amp; WYRE CCG (02M)Oxford Hip Score</v>
      </c>
      <c r="C1459" t="s">
        <v>248</v>
      </c>
      <c r="D1459" t="s">
        <v>87</v>
      </c>
      <c r="E1459" t="s">
        <v>899</v>
      </c>
      <c r="F1459" t="s">
        <v>900</v>
      </c>
      <c r="G1459" t="s">
        <v>14</v>
      </c>
      <c r="H1459">
        <v>85</v>
      </c>
      <c r="I1459">
        <v>18.494</v>
      </c>
      <c r="J1459">
        <v>38.953000000000003</v>
      </c>
      <c r="K1459">
        <v>20.459</v>
      </c>
      <c r="L1459">
        <v>81</v>
      </c>
      <c r="M1459">
        <v>1</v>
      </c>
      <c r="N1459">
        <v>3</v>
      </c>
      <c r="O1459">
        <v>38.594000000000001</v>
      </c>
      <c r="P1459">
        <v>20.389179550000001</v>
      </c>
      <c r="Q1459">
        <v>8.9250000000000007</v>
      </c>
    </row>
    <row r="1460" spans="1:17" s="30" customFormat="1" x14ac:dyDescent="0.2">
      <c r="A1460" s="30" t="str">
        <f>IF(C1460&amp;G1460&amp;D1460&lt;&gt;'Funnel setup'!$K$3&amp;'Funnel setup'!$K$4&amp;'Funnel setup'!$K$5,".",IF(A1459=".",1,A1459+1))</f>
        <v>.</v>
      </c>
      <c r="B1460" s="431" t="str">
        <f t="shared" si="22"/>
        <v>Hip Replacement PrimaryCCG of GP PracticeNHS GLOUCESTERSHIRE CCG (11M)Oxford Hip Score</v>
      </c>
      <c r="C1460" t="s">
        <v>248</v>
      </c>
      <c r="D1460" t="s">
        <v>87</v>
      </c>
      <c r="E1460" t="s">
        <v>902</v>
      </c>
      <c r="F1460" t="s">
        <v>903</v>
      </c>
      <c r="G1460" t="s">
        <v>14</v>
      </c>
      <c r="H1460">
        <v>545</v>
      </c>
      <c r="I1460">
        <v>19.78</v>
      </c>
      <c r="J1460">
        <v>40.914000000000001</v>
      </c>
      <c r="K1460">
        <v>21.134</v>
      </c>
      <c r="L1460">
        <v>529</v>
      </c>
      <c r="M1460">
        <v>3</v>
      </c>
      <c r="N1460">
        <v>13</v>
      </c>
      <c r="O1460">
        <v>39.865000000000002</v>
      </c>
      <c r="P1460">
        <v>21.660720699999999</v>
      </c>
      <c r="Q1460">
        <v>7.2939999999999996</v>
      </c>
    </row>
    <row r="1461" spans="1:17" s="30" customFormat="1" x14ac:dyDescent="0.2">
      <c r="A1461" s="30" t="str">
        <f>IF(C1461&amp;G1461&amp;D1461&lt;&gt;'Funnel setup'!$K$3&amp;'Funnel setup'!$K$4&amp;'Funnel setup'!$K$5,".",IF(A1460=".",1,A1460+1))</f>
        <v>.</v>
      </c>
      <c r="B1461" s="431" t="str">
        <f t="shared" si="22"/>
        <v>Hip Replacement PrimaryCCG of GP PracticeNHS GREAT YARMOUTH AND WAVENEY CCG (06M)Oxford Hip Score</v>
      </c>
      <c r="C1461" t="s">
        <v>248</v>
      </c>
      <c r="D1461" t="s">
        <v>87</v>
      </c>
      <c r="E1461" t="s">
        <v>905</v>
      </c>
      <c r="F1461" t="s">
        <v>906</v>
      </c>
      <c r="G1461" t="s">
        <v>14</v>
      </c>
      <c r="H1461">
        <v>203</v>
      </c>
      <c r="I1461">
        <v>18.015000000000001</v>
      </c>
      <c r="J1461">
        <v>39.832999999999998</v>
      </c>
      <c r="K1461">
        <v>21.818000000000001</v>
      </c>
      <c r="L1461">
        <v>196</v>
      </c>
      <c r="M1461">
        <v>0</v>
      </c>
      <c r="N1461">
        <v>7</v>
      </c>
      <c r="O1461">
        <v>39.887</v>
      </c>
      <c r="P1461">
        <v>21.68272438</v>
      </c>
      <c r="Q1461">
        <v>8.6720000000000006</v>
      </c>
    </row>
    <row r="1462" spans="1:17" s="30" customFormat="1" x14ac:dyDescent="0.2">
      <c r="A1462" s="30" t="str">
        <f>IF(C1462&amp;G1462&amp;D1462&lt;&gt;'Funnel setup'!$K$3&amp;'Funnel setup'!$K$4&amp;'Funnel setup'!$K$5,".",IF(A1461=".",1,A1461+1))</f>
        <v>.</v>
      </c>
      <c r="B1462" s="431" t="str">
        <f t="shared" si="22"/>
        <v>Hip Replacement PrimaryCCG of GP PracticeNHS GREATER HUDDERSFIELD CCG (03A)Oxford Hip Score</v>
      </c>
      <c r="C1462" t="s">
        <v>248</v>
      </c>
      <c r="D1462" t="s">
        <v>87</v>
      </c>
      <c r="E1462" t="s">
        <v>908</v>
      </c>
      <c r="F1462" t="s">
        <v>909</v>
      </c>
      <c r="G1462" t="s">
        <v>14</v>
      </c>
      <c r="H1462">
        <v>191</v>
      </c>
      <c r="I1462">
        <v>19.591999999999999</v>
      </c>
      <c r="J1462">
        <v>40.161999999999999</v>
      </c>
      <c r="K1462">
        <v>20.571000000000002</v>
      </c>
      <c r="L1462">
        <v>188</v>
      </c>
      <c r="M1462">
        <v>0</v>
      </c>
      <c r="N1462">
        <v>3</v>
      </c>
      <c r="O1462">
        <v>39.85</v>
      </c>
      <c r="P1462">
        <v>21.64556443</v>
      </c>
      <c r="Q1462">
        <v>7.44</v>
      </c>
    </row>
    <row r="1463" spans="1:17" s="30" customFormat="1" x14ac:dyDescent="0.2">
      <c r="A1463" s="30" t="str">
        <f>IF(C1463&amp;G1463&amp;D1463&lt;&gt;'Funnel setup'!$K$3&amp;'Funnel setup'!$K$4&amp;'Funnel setup'!$K$5,".",IF(A1462=".",1,A1462+1))</f>
        <v>.</v>
      </c>
      <c r="B1463" s="431" t="str">
        <f t="shared" si="22"/>
        <v>Hip Replacement PrimaryCCG of GP PracticeNHS GREATER PRESTON CCG (01E)Oxford Hip Score</v>
      </c>
      <c r="C1463" t="s">
        <v>248</v>
      </c>
      <c r="D1463" t="s">
        <v>87</v>
      </c>
      <c r="E1463" t="s">
        <v>486</v>
      </c>
      <c r="F1463" t="s">
        <v>487</v>
      </c>
      <c r="G1463" t="s">
        <v>14</v>
      </c>
      <c r="H1463">
        <v>203</v>
      </c>
      <c r="I1463">
        <v>18.670000000000002</v>
      </c>
      <c r="J1463">
        <v>38.408999999999999</v>
      </c>
      <c r="K1463">
        <v>19.739000000000001</v>
      </c>
      <c r="L1463">
        <v>196</v>
      </c>
      <c r="M1463">
        <v>2</v>
      </c>
      <c r="N1463">
        <v>5</v>
      </c>
      <c r="O1463">
        <v>38.524000000000001</v>
      </c>
      <c r="P1463">
        <v>20.319849439999999</v>
      </c>
      <c r="Q1463">
        <v>8.4260000000000002</v>
      </c>
    </row>
    <row r="1464" spans="1:17" s="30" customFormat="1" x14ac:dyDescent="0.2">
      <c r="A1464" s="30" t="str">
        <f>IF(C1464&amp;G1464&amp;D1464&lt;&gt;'Funnel setup'!$K$3&amp;'Funnel setup'!$K$4&amp;'Funnel setup'!$K$5,".",IF(A1463=".",1,A1463+1))</f>
        <v>.</v>
      </c>
      <c r="B1464" s="431" t="str">
        <f t="shared" si="22"/>
        <v>Hip Replacement PrimaryCCG of GP PracticeNHS GREENWICH CCG (08A)Oxford Hip Score</v>
      </c>
      <c r="C1464" t="s">
        <v>248</v>
      </c>
      <c r="D1464" t="s">
        <v>87</v>
      </c>
      <c r="E1464" t="s">
        <v>489</v>
      </c>
      <c r="F1464" t="s">
        <v>490</v>
      </c>
      <c r="G1464" t="s">
        <v>14</v>
      </c>
      <c r="H1464">
        <v>75</v>
      </c>
      <c r="I1464">
        <v>17.626999999999999</v>
      </c>
      <c r="J1464">
        <v>36.587000000000003</v>
      </c>
      <c r="K1464">
        <v>18.96</v>
      </c>
      <c r="L1464">
        <v>70</v>
      </c>
      <c r="M1464">
        <v>0</v>
      </c>
      <c r="N1464">
        <v>5</v>
      </c>
      <c r="O1464">
        <v>38.125</v>
      </c>
      <c r="P1464">
        <v>19.920216539999998</v>
      </c>
      <c r="Q1464">
        <v>9.6549999999999994</v>
      </c>
    </row>
    <row r="1465" spans="1:17" s="30" customFormat="1" x14ac:dyDescent="0.2">
      <c r="A1465" s="30" t="str">
        <f>IF(C1465&amp;G1465&amp;D1465&lt;&gt;'Funnel setup'!$K$3&amp;'Funnel setup'!$K$4&amp;'Funnel setup'!$K$5,".",IF(A1464=".",1,A1464+1))</f>
        <v>.</v>
      </c>
      <c r="B1465" s="431" t="str">
        <f t="shared" si="22"/>
        <v>Hip Replacement PrimaryCCG of GP PracticeNHS GUILDFORD AND WAVERLEY CCG (09N)Oxford Hip Score</v>
      </c>
      <c r="C1465" t="s">
        <v>248</v>
      </c>
      <c r="D1465" t="s">
        <v>87</v>
      </c>
      <c r="E1465" t="s">
        <v>911</v>
      </c>
      <c r="F1465" t="s">
        <v>912</v>
      </c>
      <c r="G1465" t="s">
        <v>14</v>
      </c>
      <c r="H1465">
        <v>143</v>
      </c>
      <c r="I1465">
        <v>20.49</v>
      </c>
      <c r="J1465">
        <v>41.594000000000001</v>
      </c>
      <c r="K1465">
        <v>21.105</v>
      </c>
      <c r="L1465">
        <v>140</v>
      </c>
      <c r="M1465">
        <v>1</v>
      </c>
      <c r="N1465">
        <v>2</v>
      </c>
      <c r="O1465">
        <v>39.993000000000002</v>
      </c>
      <c r="P1465">
        <v>21.788324100000001</v>
      </c>
      <c r="Q1465">
        <v>7.1639999999999997</v>
      </c>
    </row>
    <row r="1466" spans="1:17" s="30" customFormat="1" x14ac:dyDescent="0.2">
      <c r="A1466" s="30" t="str">
        <f>IF(C1466&amp;G1466&amp;D1466&lt;&gt;'Funnel setup'!$K$3&amp;'Funnel setup'!$K$4&amp;'Funnel setup'!$K$5,".",IF(A1465=".",1,A1465+1))</f>
        <v>.</v>
      </c>
      <c r="B1466" s="431" t="str">
        <f t="shared" si="22"/>
        <v>Hip Replacement PrimaryCCG of GP PracticeNHS HALTON CCG (01F)Oxford Hip Score</v>
      </c>
      <c r="C1466" t="s">
        <v>248</v>
      </c>
      <c r="D1466" t="s">
        <v>87</v>
      </c>
      <c r="E1466" t="s">
        <v>914</v>
      </c>
      <c r="F1466" t="s">
        <v>915</v>
      </c>
      <c r="G1466" t="s">
        <v>14</v>
      </c>
      <c r="H1466">
        <v>77</v>
      </c>
      <c r="I1466">
        <v>15.455</v>
      </c>
      <c r="J1466">
        <v>37.960999999999999</v>
      </c>
      <c r="K1466">
        <v>22.506</v>
      </c>
      <c r="L1466">
        <v>76</v>
      </c>
      <c r="M1466">
        <v>1</v>
      </c>
      <c r="N1466">
        <v>0</v>
      </c>
      <c r="O1466">
        <v>39.517000000000003</v>
      </c>
      <c r="P1466">
        <v>21.312701430000001</v>
      </c>
      <c r="Q1466">
        <v>7.8360000000000003</v>
      </c>
    </row>
    <row r="1467" spans="1:17" s="30" customFormat="1" x14ac:dyDescent="0.2">
      <c r="A1467" s="30" t="str">
        <f>IF(C1467&amp;G1467&amp;D1467&lt;&gt;'Funnel setup'!$K$3&amp;'Funnel setup'!$K$4&amp;'Funnel setup'!$K$5,".",IF(A1466=".",1,A1466+1))</f>
        <v>.</v>
      </c>
      <c r="B1467" s="431" t="str">
        <f t="shared" si="22"/>
        <v>Hip Replacement PrimaryCCG of GP PracticeNHS HAMBLETON, RICHMONDSHIRE AND WHITBY CCG (03D)Oxford Hip Score</v>
      </c>
      <c r="C1467" t="s">
        <v>248</v>
      </c>
      <c r="D1467" t="s">
        <v>87</v>
      </c>
      <c r="E1467" t="s">
        <v>917</v>
      </c>
      <c r="F1467" t="s">
        <v>918</v>
      </c>
      <c r="G1467" t="s">
        <v>14</v>
      </c>
      <c r="H1467">
        <v>215</v>
      </c>
      <c r="I1467">
        <v>19.451000000000001</v>
      </c>
      <c r="J1467">
        <v>40.47</v>
      </c>
      <c r="K1467">
        <v>21.018999999999998</v>
      </c>
      <c r="L1467">
        <v>211</v>
      </c>
      <c r="M1467">
        <v>0</v>
      </c>
      <c r="N1467">
        <v>4</v>
      </c>
      <c r="O1467">
        <v>39.380000000000003</v>
      </c>
      <c r="P1467">
        <v>21.175939469999999</v>
      </c>
      <c r="Q1467">
        <v>6.9509999999999996</v>
      </c>
    </row>
    <row r="1468" spans="1:17" s="30" customFormat="1" x14ac:dyDescent="0.2">
      <c r="A1468" s="30" t="str">
        <f>IF(C1468&amp;G1468&amp;D1468&lt;&gt;'Funnel setup'!$K$3&amp;'Funnel setup'!$K$4&amp;'Funnel setup'!$K$5,".",IF(A1467=".",1,A1467+1))</f>
        <v>.</v>
      </c>
      <c r="B1468" s="431" t="str">
        <f t="shared" si="22"/>
        <v>Hip Replacement PrimaryCCG of GP PracticeNHS HAMMERSMITH AND FULHAM CCG (08C)Oxford Hip Score</v>
      </c>
      <c r="C1468" t="s">
        <v>248</v>
      </c>
      <c r="D1468" t="s">
        <v>87</v>
      </c>
      <c r="E1468" t="s">
        <v>920</v>
      </c>
      <c r="F1468" t="s">
        <v>921</v>
      </c>
      <c r="G1468" t="s">
        <v>14</v>
      </c>
      <c r="H1468">
        <v>24</v>
      </c>
      <c r="I1468">
        <v>16.75</v>
      </c>
      <c r="J1468">
        <v>38.542000000000002</v>
      </c>
      <c r="K1468">
        <v>21.792000000000002</v>
      </c>
      <c r="L1468">
        <v>22</v>
      </c>
      <c r="M1468">
        <v>0</v>
      </c>
      <c r="N1468">
        <v>2</v>
      </c>
      <c r="O1468" t="s">
        <v>53</v>
      </c>
      <c r="P1468" t="s">
        <v>53</v>
      </c>
      <c r="Q1468" t="s">
        <v>53</v>
      </c>
    </row>
    <row r="1469" spans="1:17" s="30" customFormat="1" x14ac:dyDescent="0.2">
      <c r="A1469" s="30" t="str">
        <f>IF(C1469&amp;G1469&amp;D1469&lt;&gt;'Funnel setup'!$K$3&amp;'Funnel setup'!$K$4&amp;'Funnel setup'!$K$5,".",IF(A1468=".",1,A1468+1))</f>
        <v>.</v>
      </c>
      <c r="B1469" s="431" t="str">
        <f t="shared" si="22"/>
        <v>Hip Replacement PrimaryCCG of GP PracticeNHS HARDWICK CCG (03Y)Oxford Hip Score</v>
      </c>
      <c r="C1469" t="s">
        <v>248</v>
      </c>
      <c r="D1469" t="s">
        <v>87</v>
      </c>
      <c r="E1469" t="s">
        <v>923</v>
      </c>
      <c r="F1469" t="s">
        <v>924</v>
      </c>
      <c r="G1469" t="s">
        <v>14</v>
      </c>
      <c r="H1469">
        <v>96</v>
      </c>
      <c r="I1469">
        <v>15.656000000000001</v>
      </c>
      <c r="J1469">
        <v>37.969000000000001</v>
      </c>
      <c r="K1469">
        <v>22.312999999999999</v>
      </c>
      <c r="L1469">
        <v>93</v>
      </c>
      <c r="M1469">
        <v>1</v>
      </c>
      <c r="N1469">
        <v>2</v>
      </c>
      <c r="O1469">
        <v>39.703000000000003</v>
      </c>
      <c r="P1469">
        <v>21.498414149999999</v>
      </c>
      <c r="Q1469">
        <v>8.9870000000000001</v>
      </c>
    </row>
    <row r="1470" spans="1:17" s="30" customFormat="1" x14ac:dyDescent="0.2">
      <c r="A1470" s="30" t="str">
        <f>IF(C1470&amp;G1470&amp;D1470&lt;&gt;'Funnel setup'!$K$3&amp;'Funnel setup'!$K$4&amp;'Funnel setup'!$K$5,".",IF(A1469=".",1,A1469+1))</f>
        <v>.</v>
      </c>
      <c r="B1470" s="431" t="str">
        <f t="shared" si="22"/>
        <v>Hip Replacement PrimaryCCG of GP PracticeNHS HARINGEY CCG (08D)Oxford Hip Score</v>
      </c>
      <c r="C1470" t="s">
        <v>248</v>
      </c>
      <c r="D1470" t="s">
        <v>87</v>
      </c>
      <c r="E1470" t="s">
        <v>926</v>
      </c>
      <c r="F1470" t="s">
        <v>927</v>
      </c>
      <c r="G1470" t="s">
        <v>14</v>
      </c>
      <c r="H1470">
        <v>30</v>
      </c>
      <c r="I1470">
        <v>17.033000000000001</v>
      </c>
      <c r="J1470">
        <v>35.5</v>
      </c>
      <c r="K1470">
        <v>18.466999999999999</v>
      </c>
      <c r="L1470">
        <v>30</v>
      </c>
      <c r="M1470">
        <v>0</v>
      </c>
      <c r="N1470">
        <v>0</v>
      </c>
      <c r="O1470">
        <v>37.645000000000003</v>
      </c>
      <c r="P1470">
        <v>19.440466929999999</v>
      </c>
      <c r="Q1470">
        <v>8.657</v>
      </c>
    </row>
    <row r="1471" spans="1:17" s="30" customFormat="1" x14ac:dyDescent="0.2">
      <c r="A1471" s="30" t="str">
        <f>IF(C1471&amp;G1471&amp;D1471&lt;&gt;'Funnel setup'!$K$3&amp;'Funnel setup'!$K$4&amp;'Funnel setup'!$K$5,".",IF(A1470=".",1,A1470+1))</f>
        <v>.</v>
      </c>
      <c r="B1471" s="431" t="str">
        <f t="shared" si="22"/>
        <v>Hip Replacement PrimaryCCG of GP PracticeNHS HARROGATE AND RURAL DISTRICT CCG (03E)Oxford Hip Score</v>
      </c>
      <c r="C1471" t="s">
        <v>248</v>
      </c>
      <c r="D1471" t="s">
        <v>87</v>
      </c>
      <c r="E1471" t="s">
        <v>929</v>
      </c>
      <c r="F1471" t="s">
        <v>930</v>
      </c>
      <c r="G1471" t="s">
        <v>14</v>
      </c>
      <c r="H1471">
        <v>193</v>
      </c>
      <c r="I1471">
        <v>18.321000000000002</v>
      </c>
      <c r="J1471">
        <v>40.508000000000003</v>
      </c>
      <c r="K1471">
        <v>22.187000000000001</v>
      </c>
      <c r="L1471">
        <v>188</v>
      </c>
      <c r="M1471">
        <v>1</v>
      </c>
      <c r="N1471">
        <v>4</v>
      </c>
      <c r="O1471">
        <v>39.755000000000003</v>
      </c>
      <c r="P1471">
        <v>21.550661659999999</v>
      </c>
      <c r="Q1471">
        <v>7.9210000000000003</v>
      </c>
    </row>
    <row r="1472" spans="1:17" s="30" customFormat="1" x14ac:dyDescent="0.2">
      <c r="A1472" s="30" t="str">
        <f>IF(C1472&amp;G1472&amp;D1472&lt;&gt;'Funnel setup'!$K$3&amp;'Funnel setup'!$K$4&amp;'Funnel setup'!$K$5,".",IF(A1471=".",1,A1471+1))</f>
        <v>.</v>
      </c>
      <c r="B1472" s="431" t="str">
        <f t="shared" si="22"/>
        <v>Hip Replacement PrimaryCCG of GP PracticeNHS HARROW CCG (08E)Oxford Hip Score</v>
      </c>
      <c r="C1472" t="s">
        <v>248</v>
      </c>
      <c r="D1472" t="s">
        <v>87</v>
      </c>
      <c r="E1472" t="s">
        <v>492</v>
      </c>
      <c r="F1472" t="s">
        <v>493</v>
      </c>
      <c r="G1472" t="s">
        <v>14</v>
      </c>
      <c r="H1472">
        <v>75</v>
      </c>
      <c r="I1472">
        <v>20.48</v>
      </c>
      <c r="J1472">
        <v>38.866999999999997</v>
      </c>
      <c r="K1472">
        <v>18.387</v>
      </c>
      <c r="L1472">
        <v>71</v>
      </c>
      <c r="M1472">
        <v>1</v>
      </c>
      <c r="N1472">
        <v>3</v>
      </c>
      <c r="O1472">
        <v>38.738</v>
      </c>
      <c r="P1472">
        <v>20.533190189999999</v>
      </c>
      <c r="Q1472">
        <v>7.9080000000000004</v>
      </c>
    </row>
    <row r="1473" spans="1:17" s="30" customFormat="1" x14ac:dyDescent="0.2">
      <c r="A1473" s="30" t="str">
        <f>IF(C1473&amp;G1473&amp;D1473&lt;&gt;'Funnel setup'!$K$3&amp;'Funnel setup'!$K$4&amp;'Funnel setup'!$K$5,".",IF(A1472=".",1,A1472+1))</f>
        <v>.</v>
      </c>
      <c r="B1473" s="431" t="str">
        <f t="shared" si="22"/>
        <v>Hip Replacement PrimaryCCG of GP PracticeNHS HARTLEPOOL AND STOCKTON-ON-TEES CCG (00K)Oxford Hip Score</v>
      </c>
      <c r="C1473" t="s">
        <v>248</v>
      </c>
      <c r="D1473" t="s">
        <v>87</v>
      </c>
      <c r="E1473" t="s">
        <v>495</v>
      </c>
      <c r="F1473" t="s">
        <v>496</v>
      </c>
      <c r="G1473" t="s">
        <v>14</v>
      </c>
      <c r="H1473">
        <v>269</v>
      </c>
      <c r="I1473">
        <v>16.859000000000002</v>
      </c>
      <c r="J1473">
        <v>37.9</v>
      </c>
      <c r="K1473">
        <v>21.041</v>
      </c>
      <c r="L1473">
        <v>260</v>
      </c>
      <c r="M1473">
        <v>0</v>
      </c>
      <c r="N1473">
        <v>9</v>
      </c>
      <c r="O1473">
        <v>38.844000000000001</v>
      </c>
      <c r="P1473">
        <v>20.639741780000001</v>
      </c>
      <c r="Q1473">
        <v>8.7050000000000001</v>
      </c>
    </row>
    <row r="1474" spans="1:17" s="30" customFormat="1" x14ac:dyDescent="0.2">
      <c r="A1474" s="30" t="str">
        <f>IF(C1474&amp;G1474&amp;D1474&lt;&gt;'Funnel setup'!$K$3&amp;'Funnel setup'!$K$4&amp;'Funnel setup'!$K$5,".",IF(A1473=".",1,A1473+1))</f>
        <v>.</v>
      </c>
      <c r="B1474" s="431" t="str">
        <f t="shared" si="22"/>
        <v>Hip Replacement PrimaryCCG of GP PracticeNHS HASTINGS AND ROTHER CCG (09P)Oxford Hip Score</v>
      </c>
      <c r="C1474" t="s">
        <v>248</v>
      </c>
      <c r="D1474" t="s">
        <v>87</v>
      </c>
      <c r="E1474" t="s">
        <v>498</v>
      </c>
      <c r="F1474" t="s">
        <v>499</v>
      </c>
      <c r="G1474" t="s">
        <v>14</v>
      </c>
      <c r="H1474">
        <v>222</v>
      </c>
      <c r="I1474">
        <v>21.071999999999999</v>
      </c>
      <c r="J1474">
        <v>41.761000000000003</v>
      </c>
      <c r="K1474">
        <v>20.689</v>
      </c>
      <c r="L1474">
        <v>218</v>
      </c>
      <c r="M1474">
        <v>0</v>
      </c>
      <c r="N1474">
        <v>4</v>
      </c>
      <c r="O1474">
        <v>41.378</v>
      </c>
      <c r="P1474">
        <v>23.173218479999999</v>
      </c>
      <c r="Q1474">
        <v>6.516</v>
      </c>
    </row>
    <row r="1475" spans="1:17" s="30" customFormat="1" x14ac:dyDescent="0.2">
      <c r="A1475" s="30" t="str">
        <f>IF(C1475&amp;G1475&amp;D1475&lt;&gt;'Funnel setup'!$K$3&amp;'Funnel setup'!$K$4&amp;'Funnel setup'!$K$5,".",IF(A1474=".",1,A1474+1))</f>
        <v>.</v>
      </c>
      <c r="B1475" s="431" t="str">
        <f t="shared" ref="B1475:B1538" si="23">C1475&amp;D1475&amp;F1475&amp;G1475</f>
        <v>Hip Replacement PrimaryCCG of GP PracticeNHS HAVERING CCG (08F)Oxford Hip Score</v>
      </c>
      <c r="C1475" t="s">
        <v>248</v>
      </c>
      <c r="D1475" t="s">
        <v>87</v>
      </c>
      <c r="E1475" t="s">
        <v>501</v>
      </c>
      <c r="F1475" t="s">
        <v>502</v>
      </c>
      <c r="G1475" t="s">
        <v>14</v>
      </c>
      <c r="H1475">
        <v>118</v>
      </c>
      <c r="I1475">
        <v>16.050999999999998</v>
      </c>
      <c r="J1475">
        <v>38.567999999999998</v>
      </c>
      <c r="K1475">
        <v>22.516999999999999</v>
      </c>
      <c r="L1475">
        <v>117</v>
      </c>
      <c r="M1475">
        <v>1</v>
      </c>
      <c r="N1475">
        <v>0</v>
      </c>
      <c r="O1475">
        <v>39.317</v>
      </c>
      <c r="P1475">
        <v>21.112883149999998</v>
      </c>
      <c r="Q1475">
        <v>7.25</v>
      </c>
    </row>
    <row r="1476" spans="1:17" s="30" customFormat="1" x14ac:dyDescent="0.2">
      <c r="A1476" s="30" t="str">
        <f>IF(C1476&amp;G1476&amp;D1476&lt;&gt;'Funnel setup'!$K$3&amp;'Funnel setup'!$K$4&amp;'Funnel setup'!$K$5,".",IF(A1475=".",1,A1475+1))</f>
        <v>.</v>
      </c>
      <c r="B1476" s="431" t="str">
        <f t="shared" si="23"/>
        <v>Hip Replacement PrimaryCCG of GP PracticeNHS HEREFORDSHIRE CCG (05F)Oxford Hip Score</v>
      </c>
      <c r="C1476" t="s">
        <v>248</v>
      </c>
      <c r="D1476" t="s">
        <v>87</v>
      </c>
      <c r="E1476" t="s">
        <v>504</v>
      </c>
      <c r="F1476" t="s">
        <v>505</v>
      </c>
      <c r="G1476" t="s">
        <v>14</v>
      </c>
      <c r="H1476">
        <v>194</v>
      </c>
      <c r="I1476">
        <v>19.443000000000001</v>
      </c>
      <c r="J1476">
        <v>41.226999999999997</v>
      </c>
      <c r="K1476">
        <v>21.783999999999999</v>
      </c>
      <c r="L1476">
        <v>191</v>
      </c>
      <c r="M1476">
        <v>1</v>
      </c>
      <c r="N1476">
        <v>2</v>
      </c>
      <c r="O1476">
        <v>40.591999999999999</v>
      </c>
      <c r="P1476">
        <v>22.387730829999999</v>
      </c>
      <c r="Q1476">
        <v>6.8479999999999999</v>
      </c>
    </row>
    <row r="1477" spans="1:17" s="30" customFormat="1" x14ac:dyDescent="0.2">
      <c r="A1477" s="30" t="str">
        <f>IF(C1477&amp;G1477&amp;D1477&lt;&gt;'Funnel setup'!$K$3&amp;'Funnel setup'!$K$4&amp;'Funnel setup'!$K$5,".",IF(A1476=".",1,A1476+1))</f>
        <v>.</v>
      </c>
      <c r="B1477" s="431" t="str">
        <f t="shared" si="23"/>
        <v>Hip Replacement PrimaryCCG of GP PracticeNHS HERTS VALLEYS CCG (06N)Oxford Hip Score</v>
      </c>
      <c r="C1477" t="s">
        <v>248</v>
      </c>
      <c r="D1477" t="s">
        <v>87</v>
      </c>
      <c r="E1477" t="s">
        <v>507</v>
      </c>
      <c r="F1477" t="s">
        <v>508</v>
      </c>
      <c r="G1477" t="s">
        <v>14</v>
      </c>
      <c r="H1477">
        <v>345</v>
      </c>
      <c r="I1477">
        <v>18.757000000000001</v>
      </c>
      <c r="J1477">
        <v>40.429000000000002</v>
      </c>
      <c r="K1477">
        <v>21.672000000000001</v>
      </c>
      <c r="L1477">
        <v>335</v>
      </c>
      <c r="M1477">
        <v>2</v>
      </c>
      <c r="N1477">
        <v>8</v>
      </c>
      <c r="O1477">
        <v>39.835999999999999</v>
      </c>
      <c r="P1477">
        <v>21.631248079999999</v>
      </c>
      <c r="Q1477">
        <v>8.0489999999999995</v>
      </c>
    </row>
    <row r="1478" spans="1:17" s="30" customFormat="1" x14ac:dyDescent="0.2">
      <c r="A1478" s="30" t="str">
        <f>IF(C1478&amp;G1478&amp;D1478&lt;&gt;'Funnel setup'!$K$3&amp;'Funnel setup'!$K$4&amp;'Funnel setup'!$K$5,".",IF(A1477=".",1,A1477+1))</f>
        <v>.</v>
      </c>
      <c r="B1478" s="431" t="str">
        <f t="shared" si="23"/>
        <v>Hip Replacement PrimaryCCG of GP PracticeNHS HEYWOOD, MIDDLETON AND ROCHDALE CCG (01D)Oxford Hip Score</v>
      </c>
      <c r="C1478" t="s">
        <v>248</v>
      </c>
      <c r="D1478" t="s">
        <v>87</v>
      </c>
      <c r="E1478" t="s">
        <v>510</v>
      </c>
      <c r="F1478" t="s">
        <v>511</v>
      </c>
      <c r="G1478" t="s">
        <v>14</v>
      </c>
      <c r="H1478">
        <v>68</v>
      </c>
      <c r="I1478">
        <v>16.734999999999999</v>
      </c>
      <c r="J1478">
        <v>38.293999999999997</v>
      </c>
      <c r="K1478">
        <v>21.559000000000001</v>
      </c>
      <c r="L1478">
        <v>64</v>
      </c>
      <c r="M1478">
        <v>0</v>
      </c>
      <c r="N1478">
        <v>4</v>
      </c>
      <c r="O1478">
        <v>39.353999999999999</v>
      </c>
      <c r="P1478">
        <v>21.1490367</v>
      </c>
      <c r="Q1478">
        <v>9.6479999999999997</v>
      </c>
    </row>
    <row r="1479" spans="1:17" s="30" customFormat="1" x14ac:dyDescent="0.2">
      <c r="A1479" s="30" t="str">
        <f>IF(C1479&amp;G1479&amp;D1479&lt;&gt;'Funnel setup'!$K$3&amp;'Funnel setup'!$K$4&amp;'Funnel setup'!$K$5,".",IF(A1478=".",1,A1478+1))</f>
        <v>.</v>
      </c>
      <c r="B1479" s="431" t="str">
        <f t="shared" si="23"/>
        <v>Hip Replacement PrimaryCCG of GP PracticeNHS HIGH WEALD LEWES HAVENS CCG (99K)Oxford Hip Score</v>
      </c>
      <c r="C1479" t="s">
        <v>248</v>
      </c>
      <c r="D1479" t="s">
        <v>87</v>
      </c>
      <c r="E1479" t="s">
        <v>513</v>
      </c>
      <c r="F1479" t="s">
        <v>514</v>
      </c>
      <c r="G1479" t="s">
        <v>14</v>
      </c>
      <c r="H1479">
        <v>218</v>
      </c>
      <c r="I1479">
        <v>22.844000000000001</v>
      </c>
      <c r="J1479">
        <v>41.595999999999997</v>
      </c>
      <c r="K1479">
        <v>18.751999999999999</v>
      </c>
      <c r="L1479">
        <v>211</v>
      </c>
      <c r="M1479">
        <v>1</v>
      </c>
      <c r="N1479">
        <v>6</v>
      </c>
      <c r="O1479">
        <v>40.084000000000003</v>
      </c>
      <c r="P1479">
        <v>21.879243519999999</v>
      </c>
      <c r="Q1479">
        <v>7.0110000000000001</v>
      </c>
    </row>
    <row r="1480" spans="1:17" s="30" customFormat="1" x14ac:dyDescent="0.2">
      <c r="A1480" s="30" t="str">
        <f>IF(C1480&amp;G1480&amp;D1480&lt;&gt;'Funnel setup'!$K$3&amp;'Funnel setup'!$K$4&amp;'Funnel setup'!$K$5,".",IF(A1479=".",1,A1479+1))</f>
        <v>.</v>
      </c>
      <c r="B1480" s="431" t="str">
        <f t="shared" si="23"/>
        <v>Hip Replacement PrimaryCCG of GP PracticeNHS HILLINGDON CCG (08G)Oxford Hip Score</v>
      </c>
      <c r="C1480" t="s">
        <v>248</v>
      </c>
      <c r="D1480" t="s">
        <v>87</v>
      </c>
      <c r="E1480" t="s">
        <v>516</v>
      </c>
      <c r="F1480" t="s">
        <v>517</v>
      </c>
      <c r="G1480" t="s">
        <v>14</v>
      </c>
      <c r="H1480">
        <v>140</v>
      </c>
      <c r="I1480">
        <v>19.664000000000001</v>
      </c>
      <c r="J1480">
        <v>38.906999999999996</v>
      </c>
      <c r="K1480">
        <v>19.242999999999999</v>
      </c>
      <c r="L1480">
        <v>134</v>
      </c>
      <c r="M1480">
        <v>0</v>
      </c>
      <c r="N1480">
        <v>6</v>
      </c>
      <c r="O1480">
        <v>39.137999999999998</v>
      </c>
      <c r="P1480">
        <v>20.933553629999999</v>
      </c>
      <c r="Q1480">
        <v>8.4459999999999997</v>
      </c>
    </row>
    <row r="1481" spans="1:17" s="30" customFormat="1" x14ac:dyDescent="0.2">
      <c r="A1481" s="30" t="str">
        <f>IF(C1481&amp;G1481&amp;D1481&lt;&gt;'Funnel setup'!$K$3&amp;'Funnel setup'!$K$4&amp;'Funnel setup'!$K$5,".",IF(A1480=".",1,A1480+1))</f>
        <v>.</v>
      </c>
      <c r="B1481" s="431" t="str">
        <f t="shared" si="23"/>
        <v>Hip Replacement PrimaryCCG of GP PracticeNHS HORSHAM AND MID SUSSEX CCG (09X)Oxford Hip Score</v>
      </c>
      <c r="C1481" t="s">
        <v>248</v>
      </c>
      <c r="D1481" t="s">
        <v>87</v>
      </c>
      <c r="E1481" t="s">
        <v>519</v>
      </c>
      <c r="F1481" t="s">
        <v>520</v>
      </c>
      <c r="G1481" t="s">
        <v>14</v>
      </c>
      <c r="H1481">
        <v>177</v>
      </c>
      <c r="I1481">
        <v>22.113</v>
      </c>
      <c r="J1481">
        <v>41.051000000000002</v>
      </c>
      <c r="K1481">
        <v>18.937999999999999</v>
      </c>
      <c r="L1481">
        <v>170</v>
      </c>
      <c r="M1481">
        <v>1</v>
      </c>
      <c r="N1481">
        <v>6</v>
      </c>
      <c r="O1481">
        <v>39.093000000000004</v>
      </c>
      <c r="P1481">
        <v>20.888868209999998</v>
      </c>
      <c r="Q1481">
        <v>7.8710000000000004</v>
      </c>
    </row>
    <row r="1482" spans="1:17" s="30" customFormat="1" x14ac:dyDescent="0.2">
      <c r="A1482" s="30" t="str">
        <f>IF(C1482&amp;G1482&amp;D1482&lt;&gt;'Funnel setup'!$K$3&amp;'Funnel setup'!$K$4&amp;'Funnel setup'!$K$5,".",IF(A1481=".",1,A1481+1))</f>
        <v>.</v>
      </c>
      <c r="B1482" s="431" t="str">
        <f t="shared" si="23"/>
        <v>Hip Replacement PrimaryCCG of GP PracticeNHS HOUNSLOW CCG (07Y)Oxford Hip Score</v>
      </c>
      <c r="C1482" t="s">
        <v>248</v>
      </c>
      <c r="D1482" t="s">
        <v>87</v>
      </c>
      <c r="E1482" t="s">
        <v>522</v>
      </c>
      <c r="F1482" t="s">
        <v>523</v>
      </c>
      <c r="G1482" t="s">
        <v>14</v>
      </c>
      <c r="H1482">
        <v>68</v>
      </c>
      <c r="I1482">
        <v>19.382000000000001</v>
      </c>
      <c r="J1482">
        <v>38.220999999999997</v>
      </c>
      <c r="K1482">
        <v>18.838000000000001</v>
      </c>
      <c r="L1482">
        <v>66</v>
      </c>
      <c r="M1482">
        <v>0</v>
      </c>
      <c r="N1482">
        <v>2</v>
      </c>
      <c r="O1482">
        <v>38.374000000000002</v>
      </c>
      <c r="P1482">
        <v>20.169844600000001</v>
      </c>
      <c r="Q1482">
        <v>7.4880000000000004</v>
      </c>
    </row>
    <row r="1483" spans="1:17" s="30" customFormat="1" x14ac:dyDescent="0.2">
      <c r="A1483" s="30" t="str">
        <f>IF(C1483&amp;G1483&amp;D1483&lt;&gt;'Funnel setup'!$K$3&amp;'Funnel setup'!$K$4&amp;'Funnel setup'!$K$5,".",IF(A1482=".",1,A1482+1))</f>
        <v>.</v>
      </c>
      <c r="B1483" s="431" t="str">
        <f t="shared" si="23"/>
        <v>Hip Replacement PrimaryCCG of GP PracticeNHS HULL CCG (03F)Oxford Hip Score</v>
      </c>
      <c r="C1483" t="s">
        <v>248</v>
      </c>
      <c r="D1483" t="s">
        <v>87</v>
      </c>
      <c r="E1483" t="s">
        <v>525</v>
      </c>
      <c r="F1483" t="s">
        <v>526</v>
      </c>
      <c r="G1483" t="s">
        <v>14</v>
      </c>
      <c r="H1483">
        <v>190</v>
      </c>
      <c r="I1483">
        <v>17.257999999999999</v>
      </c>
      <c r="J1483">
        <v>37.926000000000002</v>
      </c>
      <c r="K1483">
        <v>20.667999999999999</v>
      </c>
      <c r="L1483">
        <v>183</v>
      </c>
      <c r="M1483">
        <v>3</v>
      </c>
      <c r="N1483">
        <v>4</v>
      </c>
      <c r="O1483">
        <v>38.695999999999998</v>
      </c>
      <c r="P1483">
        <v>20.491893879999999</v>
      </c>
      <c r="Q1483">
        <v>8.5630000000000006</v>
      </c>
    </row>
    <row r="1484" spans="1:17" s="30" customFormat="1" x14ac:dyDescent="0.2">
      <c r="A1484" s="30" t="str">
        <f>IF(C1484&amp;G1484&amp;D1484&lt;&gt;'Funnel setup'!$K$3&amp;'Funnel setup'!$K$4&amp;'Funnel setup'!$K$5,".",IF(A1483=".",1,A1483+1))</f>
        <v>.</v>
      </c>
      <c r="B1484" s="431" t="str">
        <f t="shared" si="23"/>
        <v>Hip Replacement PrimaryCCG of GP PracticeNHS IPSWICH AND EAST SUFFOLK CCG (06L)Oxford Hip Score</v>
      </c>
      <c r="C1484" t="s">
        <v>248</v>
      </c>
      <c r="D1484" t="s">
        <v>87</v>
      </c>
      <c r="E1484" t="s">
        <v>528</v>
      </c>
      <c r="F1484" t="s">
        <v>529</v>
      </c>
      <c r="G1484" t="s">
        <v>14</v>
      </c>
      <c r="H1484">
        <v>292</v>
      </c>
      <c r="I1484">
        <v>16.123000000000001</v>
      </c>
      <c r="J1484">
        <v>39.938000000000002</v>
      </c>
      <c r="K1484">
        <v>23.815000000000001</v>
      </c>
      <c r="L1484">
        <v>287</v>
      </c>
      <c r="M1484">
        <v>1</v>
      </c>
      <c r="N1484">
        <v>4</v>
      </c>
      <c r="O1484">
        <v>40.353999999999999</v>
      </c>
      <c r="P1484">
        <v>22.149347110000001</v>
      </c>
      <c r="Q1484">
        <v>7.4130000000000003</v>
      </c>
    </row>
    <row r="1485" spans="1:17" s="30" customFormat="1" x14ac:dyDescent="0.2">
      <c r="A1485" s="30" t="str">
        <f>IF(C1485&amp;G1485&amp;D1485&lt;&gt;'Funnel setup'!$K$3&amp;'Funnel setup'!$K$4&amp;'Funnel setup'!$K$5,".",IF(A1484=".",1,A1484+1))</f>
        <v>.</v>
      </c>
      <c r="B1485" s="431" t="str">
        <f t="shared" si="23"/>
        <v>Hip Replacement PrimaryCCG of GP PracticeNHS ISLE OF WIGHT CCG (10L)Oxford Hip Score</v>
      </c>
      <c r="C1485" t="s">
        <v>248</v>
      </c>
      <c r="D1485" t="s">
        <v>87</v>
      </c>
      <c r="E1485" t="s">
        <v>531</v>
      </c>
      <c r="F1485" t="s">
        <v>532</v>
      </c>
      <c r="G1485" t="s">
        <v>14</v>
      </c>
      <c r="H1485">
        <v>107</v>
      </c>
      <c r="I1485">
        <v>19.093</v>
      </c>
      <c r="J1485">
        <v>39.542000000000002</v>
      </c>
      <c r="K1485">
        <v>20.449000000000002</v>
      </c>
      <c r="L1485">
        <v>103</v>
      </c>
      <c r="M1485">
        <v>0</v>
      </c>
      <c r="N1485">
        <v>4</v>
      </c>
      <c r="O1485">
        <v>39.514000000000003</v>
      </c>
      <c r="P1485">
        <v>21.309952129999999</v>
      </c>
      <c r="Q1485">
        <v>7.992</v>
      </c>
    </row>
    <row r="1486" spans="1:17" s="30" customFormat="1" x14ac:dyDescent="0.2">
      <c r="A1486" s="30" t="str">
        <f>IF(C1486&amp;G1486&amp;D1486&lt;&gt;'Funnel setup'!$K$3&amp;'Funnel setup'!$K$4&amp;'Funnel setup'!$K$5,".",IF(A1485=".",1,A1485+1))</f>
        <v>.</v>
      </c>
      <c r="B1486" s="431" t="str">
        <f t="shared" si="23"/>
        <v>Hip Replacement PrimaryCCG of GP PracticeNHS ISLINGTON CCG (08H)Oxford Hip Score</v>
      </c>
      <c r="C1486" t="s">
        <v>248</v>
      </c>
      <c r="D1486" t="s">
        <v>87</v>
      </c>
      <c r="E1486" t="s">
        <v>534</v>
      </c>
      <c r="F1486" t="s">
        <v>535</v>
      </c>
      <c r="G1486" t="s">
        <v>14</v>
      </c>
      <c r="H1486">
        <v>28</v>
      </c>
      <c r="I1486">
        <v>22.143000000000001</v>
      </c>
      <c r="J1486">
        <v>39.929000000000002</v>
      </c>
      <c r="K1486">
        <v>17.786000000000001</v>
      </c>
      <c r="L1486">
        <v>26</v>
      </c>
      <c r="M1486">
        <v>0</v>
      </c>
      <c r="N1486">
        <v>2</v>
      </c>
      <c r="O1486" t="s">
        <v>53</v>
      </c>
      <c r="P1486" t="s">
        <v>53</v>
      </c>
      <c r="Q1486" t="s">
        <v>53</v>
      </c>
    </row>
    <row r="1487" spans="1:17" s="30" customFormat="1" x14ac:dyDescent="0.2">
      <c r="A1487" s="30" t="str">
        <f>IF(C1487&amp;G1487&amp;D1487&lt;&gt;'Funnel setup'!$K$3&amp;'Funnel setup'!$K$4&amp;'Funnel setup'!$K$5,".",IF(A1486=".",1,A1486+1))</f>
        <v>.</v>
      </c>
      <c r="B1487" s="431" t="str">
        <f t="shared" si="23"/>
        <v>Hip Replacement PrimaryCCG of GP PracticeNHS KERNOW CCG (11N)Oxford Hip Score</v>
      </c>
      <c r="C1487" t="s">
        <v>248</v>
      </c>
      <c r="D1487" t="s">
        <v>87</v>
      </c>
      <c r="E1487" t="s">
        <v>537</v>
      </c>
      <c r="F1487" t="s">
        <v>538</v>
      </c>
      <c r="G1487" t="s">
        <v>14</v>
      </c>
      <c r="H1487">
        <v>841</v>
      </c>
      <c r="I1487">
        <v>19.149000000000001</v>
      </c>
      <c r="J1487">
        <v>40.155999999999999</v>
      </c>
      <c r="K1487">
        <v>21.007000000000001</v>
      </c>
      <c r="L1487">
        <v>820</v>
      </c>
      <c r="M1487">
        <v>4</v>
      </c>
      <c r="N1487">
        <v>17</v>
      </c>
      <c r="O1487">
        <v>39.851999999999997</v>
      </c>
      <c r="P1487">
        <v>21.647086590000001</v>
      </c>
      <c r="Q1487">
        <v>7.4470000000000001</v>
      </c>
    </row>
    <row r="1488" spans="1:17" s="30" customFormat="1" x14ac:dyDescent="0.2">
      <c r="A1488" s="30" t="str">
        <f>IF(C1488&amp;G1488&amp;D1488&lt;&gt;'Funnel setup'!$K$3&amp;'Funnel setup'!$K$4&amp;'Funnel setup'!$K$5,".",IF(A1487=".",1,A1487+1))</f>
        <v>.</v>
      </c>
      <c r="B1488" s="431" t="str">
        <f t="shared" si="23"/>
        <v>Hip Replacement PrimaryCCG of GP PracticeNHS KINGSTON CCG (08J)Oxford Hip Score</v>
      </c>
      <c r="C1488" t="s">
        <v>248</v>
      </c>
      <c r="D1488" t="s">
        <v>87</v>
      </c>
      <c r="E1488" t="s">
        <v>540</v>
      </c>
      <c r="F1488" t="s">
        <v>541</v>
      </c>
      <c r="G1488" t="s">
        <v>14</v>
      </c>
      <c r="H1488">
        <v>85</v>
      </c>
      <c r="I1488">
        <v>20.129000000000001</v>
      </c>
      <c r="J1488">
        <v>40.694000000000003</v>
      </c>
      <c r="K1488">
        <v>20.565000000000001</v>
      </c>
      <c r="L1488">
        <v>82</v>
      </c>
      <c r="M1488">
        <v>0</v>
      </c>
      <c r="N1488">
        <v>3</v>
      </c>
      <c r="O1488">
        <v>40.121000000000002</v>
      </c>
      <c r="P1488">
        <v>21.916396939999998</v>
      </c>
      <c r="Q1488">
        <v>7.9539999999999997</v>
      </c>
    </row>
    <row r="1489" spans="1:17" s="30" customFormat="1" x14ac:dyDescent="0.2">
      <c r="A1489" s="30" t="str">
        <f>IF(C1489&amp;G1489&amp;D1489&lt;&gt;'Funnel setup'!$K$3&amp;'Funnel setup'!$K$4&amp;'Funnel setup'!$K$5,".",IF(A1488=".",1,A1488+1))</f>
        <v>.</v>
      </c>
      <c r="B1489" s="431" t="str">
        <f t="shared" si="23"/>
        <v>Hip Replacement PrimaryCCG of GP PracticeNHS KNOWSLEY CCG (01J)Oxford Hip Score</v>
      </c>
      <c r="C1489" t="s">
        <v>248</v>
      </c>
      <c r="D1489" t="s">
        <v>87</v>
      </c>
      <c r="E1489" t="s">
        <v>543</v>
      </c>
      <c r="F1489" t="s">
        <v>544</v>
      </c>
      <c r="G1489" t="s">
        <v>14</v>
      </c>
      <c r="H1489">
        <v>71</v>
      </c>
      <c r="I1489">
        <v>14.042</v>
      </c>
      <c r="J1489">
        <v>33.985999999999997</v>
      </c>
      <c r="K1489">
        <v>19.943999999999999</v>
      </c>
      <c r="L1489">
        <v>68</v>
      </c>
      <c r="M1489">
        <v>1</v>
      </c>
      <c r="N1489">
        <v>2</v>
      </c>
      <c r="O1489">
        <v>37.566000000000003</v>
      </c>
      <c r="P1489">
        <v>19.361172589999999</v>
      </c>
      <c r="Q1489">
        <v>10.083</v>
      </c>
    </row>
    <row r="1490" spans="1:17" s="30" customFormat="1" x14ac:dyDescent="0.2">
      <c r="A1490" s="30" t="str">
        <f>IF(C1490&amp;G1490&amp;D1490&lt;&gt;'Funnel setup'!$K$3&amp;'Funnel setup'!$K$4&amp;'Funnel setup'!$K$5,".",IF(A1489=".",1,A1489+1))</f>
        <v>.</v>
      </c>
      <c r="B1490" s="431" t="str">
        <f t="shared" si="23"/>
        <v>Hip Replacement PrimaryCCG of GP PracticeNHS LAMBETH CCG (08K)Oxford Hip Score</v>
      </c>
      <c r="C1490" t="s">
        <v>248</v>
      </c>
      <c r="D1490" t="s">
        <v>87</v>
      </c>
      <c r="E1490" t="s">
        <v>546</v>
      </c>
      <c r="F1490" t="s">
        <v>547</v>
      </c>
      <c r="G1490" t="s">
        <v>14</v>
      </c>
      <c r="H1490">
        <v>48</v>
      </c>
      <c r="I1490">
        <v>19.562999999999999</v>
      </c>
      <c r="J1490">
        <v>40.146000000000001</v>
      </c>
      <c r="K1490">
        <v>20.582999999999998</v>
      </c>
      <c r="L1490">
        <v>46</v>
      </c>
      <c r="M1490">
        <v>0</v>
      </c>
      <c r="N1490">
        <v>2</v>
      </c>
      <c r="O1490">
        <v>41.023000000000003</v>
      </c>
      <c r="P1490">
        <v>22.81866333</v>
      </c>
      <c r="Q1490">
        <v>7.7690000000000001</v>
      </c>
    </row>
    <row r="1491" spans="1:17" s="30" customFormat="1" x14ac:dyDescent="0.2">
      <c r="A1491" s="30" t="str">
        <f>IF(C1491&amp;G1491&amp;D1491&lt;&gt;'Funnel setup'!$K$3&amp;'Funnel setup'!$K$4&amp;'Funnel setup'!$K$5,".",IF(A1490=".",1,A1490+1))</f>
        <v>.</v>
      </c>
      <c r="B1491" s="431" t="str">
        <f t="shared" si="23"/>
        <v>Hip Replacement PrimaryCCG of GP PracticeNHS LANCASHIRE NORTH CCG (01K)Oxford Hip Score</v>
      </c>
      <c r="C1491" t="s">
        <v>248</v>
      </c>
      <c r="D1491" t="s">
        <v>87</v>
      </c>
      <c r="E1491" t="s">
        <v>549</v>
      </c>
      <c r="F1491" t="s">
        <v>550</v>
      </c>
      <c r="G1491" t="s">
        <v>14</v>
      </c>
      <c r="H1491">
        <v>152</v>
      </c>
      <c r="I1491">
        <v>20.059000000000001</v>
      </c>
      <c r="J1491">
        <v>40.506999999999998</v>
      </c>
      <c r="K1491">
        <v>20.446999999999999</v>
      </c>
      <c r="L1491">
        <v>149</v>
      </c>
      <c r="M1491">
        <v>0</v>
      </c>
      <c r="N1491">
        <v>3</v>
      </c>
      <c r="O1491">
        <v>40.067999999999998</v>
      </c>
      <c r="P1491">
        <v>21.86384005</v>
      </c>
      <c r="Q1491">
        <v>6.9589999999999996</v>
      </c>
    </row>
    <row r="1492" spans="1:17" s="30" customFormat="1" x14ac:dyDescent="0.2">
      <c r="A1492" s="30" t="str">
        <f>IF(C1492&amp;G1492&amp;D1492&lt;&gt;'Funnel setup'!$K$3&amp;'Funnel setup'!$K$4&amp;'Funnel setup'!$K$5,".",IF(A1491=".",1,A1491+1))</f>
        <v>.</v>
      </c>
      <c r="B1492" s="431" t="str">
        <f t="shared" si="23"/>
        <v>Hip Replacement PrimaryCCG of GP PracticeNHS LEEDS NORTH CCG (02V)Oxford Hip Score</v>
      </c>
      <c r="C1492" t="s">
        <v>248</v>
      </c>
      <c r="D1492" t="s">
        <v>87</v>
      </c>
      <c r="E1492" t="s">
        <v>552</v>
      </c>
      <c r="F1492" t="s">
        <v>337</v>
      </c>
      <c r="G1492" t="s">
        <v>14</v>
      </c>
      <c r="H1492">
        <v>146</v>
      </c>
      <c r="I1492">
        <v>20.356000000000002</v>
      </c>
      <c r="J1492">
        <v>40.417999999999999</v>
      </c>
      <c r="K1492">
        <v>20.062000000000001</v>
      </c>
      <c r="L1492">
        <v>142</v>
      </c>
      <c r="M1492">
        <v>2</v>
      </c>
      <c r="N1492">
        <v>2</v>
      </c>
      <c r="O1492">
        <v>39.703000000000003</v>
      </c>
      <c r="P1492">
        <v>21.498931020000001</v>
      </c>
      <c r="Q1492">
        <v>6.8659999999999997</v>
      </c>
    </row>
    <row r="1493" spans="1:17" s="30" customFormat="1" x14ac:dyDescent="0.2">
      <c r="A1493" s="30" t="str">
        <f>IF(C1493&amp;G1493&amp;D1493&lt;&gt;'Funnel setup'!$K$3&amp;'Funnel setup'!$K$4&amp;'Funnel setup'!$K$5,".",IF(A1492=".",1,A1492+1))</f>
        <v>.</v>
      </c>
      <c r="B1493" s="431" t="str">
        <f t="shared" si="23"/>
        <v>Hip Replacement PrimaryCCG of GP PracticeNHS LEEDS SOUTH AND EAST CCG (03G)Oxford Hip Score</v>
      </c>
      <c r="C1493" t="s">
        <v>248</v>
      </c>
      <c r="D1493" t="s">
        <v>87</v>
      </c>
      <c r="E1493" t="s">
        <v>396</v>
      </c>
      <c r="F1493" t="s">
        <v>397</v>
      </c>
      <c r="G1493" t="s">
        <v>14</v>
      </c>
      <c r="H1493">
        <v>180</v>
      </c>
      <c r="I1493">
        <v>18.033000000000001</v>
      </c>
      <c r="J1493">
        <v>38.960999999999999</v>
      </c>
      <c r="K1493">
        <v>20.928000000000001</v>
      </c>
      <c r="L1493">
        <v>177</v>
      </c>
      <c r="M1493">
        <v>0</v>
      </c>
      <c r="N1493">
        <v>3</v>
      </c>
      <c r="O1493">
        <v>39.189</v>
      </c>
      <c r="P1493">
        <v>20.984450599999999</v>
      </c>
      <c r="Q1493">
        <v>7.9160000000000004</v>
      </c>
    </row>
    <row r="1494" spans="1:17" s="30" customFormat="1" x14ac:dyDescent="0.2">
      <c r="A1494" s="30" t="str">
        <f>IF(C1494&amp;G1494&amp;D1494&lt;&gt;'Funnel setup'!$K$3&amp;'Funnel setup'!$K$4&amp;'Funnel setup'!$K$5,".",IF(A1493=".",1,A1493+1))</f>
        <v>.</v>
      </c>
      <c r="B1494" s="431" t="str">
        <f t="shared" si="23"/>
        <v>Hip Replacement PrimaryCCG of GP PracticeNHS LEEDS WEST CCG (03C)Oxford Hip Score</v>
      </c>
      <c r="C1494" t="s">
        <v>248</v>
      </c>
      <c r="D1494" t="s">
        <v>87</v>
      </c>
      <c r="E1494" t="s">
        <v>399</v>
      </c>
      <c r="F1494" t="s">
        <v>400</v>
      </c>
      <c r="G1494" t="s">
        <v>14</v>
      </c>
      <c r="H1494">
        <v>218</v>
      </c>
      <c r="I1494">
        <v>19.161000000000001</v>
      </c>
      <c r="J1494">
        <v>39.820999999999998</v>
      </c>
      <c r="K1494">
        <v>20.661000000000001</v>
      </c>
      <c r="L1494">
        <v>211</v>
      </c>
      <c r="M1494">
        <v>1</v>
      </c>
      <c r="N1494">
        <v>6</v>
      </c>
      <c r="O1494">
        <v>39.429000000000002</v>
      </c>
      <c r="P1494">
        <v>21.224460090000001</v>
      </c>
      <c r="Q1494">
        <v>7.7930000000000001</v>
      </c>
    </row>
    <row r="1495" spans="1:17" s="30" customFormat="1" x14ac:dyDescent="0.2">
      <c r="A1495" s="30" t="str">
        <f>IF(C1495&amp;G1495&amp;D1495&lt;&gt;'Funnel setup'!$K$3&amp;'Funnel setup'!$K$4&amp;'Funnel setup'!$K$5,".",IF(A1494=".",1,A1494+1))</f>
        <v>.</v>
      </c>
      <c r="B1495" s="431" t="str">
        <f t="shared" si="23"/>
        <v>Hip Replacement PrimaryCCG of GP PracticeNHS LEICESTER CITY CCG (04C)Oxford Hip Score</v>
      </c>
      <c r="C1495" t="s">
        <v>248</v>
      </c>
      <c r="D1495" t="s">
        <v>87</v>
      </c>
      <c r="E1495" t="s">
        <v>554</v>
      </c>
      <c r="F1495" t="s">
        <v>555</v>
      </c>
      <c r="G1495" t="s">
        <v>14</v>
      </c>
      <c r="H1495">
        <v>131</v>
      </c>
      <c r="I1495">
        <v>15.618</v>
      </c>
      <c r="J1495">
        <v>38.26</v>
      </c>
      <c r="K1495">
        <v>22.640999999999998</v>
      </c>
      <c r="L1495">
        <v>128</v>
      </c>
      <c r="M1495">
        <v>0</v>
      </c>
      <c r="N1495">
        <v>3</v>
      </c>
      <c r="O1495">
        <v>39.622999999999998</v>
      </c>
      <c r="P1495">
        <v>21.418279009999999</v>
      </c>
      <c r="Q1495">
        <v>8.8919999999999995</v>
      </c>
    </row>
    <row r="1496" spans="1:17" s="30" customFormat="1" x14ac:dyDescent="0.2">
      <c r="A1496" s="30" t="str">
        <f>IF(C1496&amp;G1496&amp;D1496&lt;&gt;'Funnel setup'!$K$3&amp;'Funnel setup'!$K$4&amp;'Funnel setup'!$K$5,".",IF(A1495=".",1,A1495+1))</f>
        <v>.</v>
      </c>
      <c r="B1496" s="431" t="str">
        <f t="shared" si="23"/>
        <v>Hip Replacement PrimaryCCG of GP PracticeNHS LEWISHAM CCG (08L)Oxford Hip Score</v>
      </c>
      <c r="C1496" t="s">
        <v>248</v>
      </c>
      <c r="D1496" t="s">
        <v>87</v>
      </c>
      <c r="E1496" t="s">
        <v>557</v>
      </c>
      <c r="F1496" t="s">
        <v>558</v>
      </c>
      <c r="G1496" t="s">
        <v>14</v>
      </c>
      <c r="H1496">
        <v>55</v>
      </c>
      <c r="I1496">
        <v>16.672999999999998</v>
      </c>
      <c r="J1496">
        <v>39.636000000000003</v>
      </c>
      <c r="K1496">
        <v>22.963999999999999</v>
      </c>
      <c r="L1496">
        <v>55</v>
      </c>
      <c r="M1496">
        <v>0</v>
      </c>
      <c r="N1496">
        <v>0</v>
      </c>
      <c r="O1496">
        <v>41.298000000000002</v>
      </c>
      <c r="P1496">
        <v>23.09373355</v>
      </c>
      <c r="Q1496">
        <v>6.931</v>
      </c>
    </row>
    <row r="1497" spans="1:17" s="30" customFormat="1" x14ac:dyDescent="0.2">
      <c r="A1497" s="30" t="str">
        <f>IF(C1497&amp;G1497&amp;D1497&lt;&gt;'Funnel setup'!$K$3&amp;'Funnel setup'!$K$4&amp;'Funnel setup'!$K$5,".",IF(A1496=".",1,A1496+1))</f>
        <v>.</v>
      </c>
      <c r="B1497" s="431" t="str">
        <f t="shared" si="23"/>
        <v>Hip Replacement PrimaryCCG of GP PracticeNHS LINCOLNSHIRE EAST CCG (03T)Oxford Hip Score</v>
      </c>
      <c r="C1497" t="s">
        <v>248</v>
      </c>
      <c r="D1497" t="s">
        <v>87</v>
      </c>
      <c r="E1497" t="s">
        <v>560</v>
      </c>
      <c r="F1497" t="s">
        <v>561</v>
      </c>
      <c r="G1497" t="s">
        <v>14</v>
      </c>
      <c r="H1497">
        <v>243</v>
      </c>
      <c r="I1497">
        <v>18.777999999999999</v>
      </c>
      <c r="J1497">
        <v>39.966999999999999</v>
      </c>
      <c r="K1497">
        <v>21.189</v>
      </c>
      <c r="L1497">
        <v>238</v>
      </c>
      <c r="M1497">
        <v>1</v>
      </c>
      <c r="N1497">
        <v>4</v>
      </c>
      <c r="O1497">
        <v>40.201999999999998</v>
      </c>
      <c r="P1497">
        <v>21.997885400000001</v>
      </c>
      <c r="Q1497">
        <v>7.8070000000000004</v>
      </c>
    </row>
    <row r="1498" spans="1:17" s="30" customFormat="1" x14ac:dyDescent="0.2">
      <c r="A1498" s="30" t="str">
        <f>IF(C1498&amp;G1498&amp;D1498&lt;&gt;'Funnel setup'!$K$3&amp;'Funnel setup'!$K$4&amp;'Funnel setup'!$K$5,".",IF(A1497=".",1,A1497+1))</f>
        <v>.</v>
      </c>
      <c r="B1498" s="431" t="str">
        <f t="shared" si="23"/>
        <v>Hip Replacement PrimaryCCG of GP PracticeNHS LINCOLNSHIRE WEST CCG (04D)Oxford Hip Score</v>
      </c>
      <c r="C1498" t="s">
        <v>248</v>
      </c>
      <c r="D1498" t="s">
        <v>87</v>
      </c>
      <c r="E1498" t="s">
        <v>408</v>
      </c>
      <c r="F1498" t="s">
        <v>409</v>
      </c>
      <c r="G1498" t="s">
        <v>14</v>
      </c>
      <c r="H1498">
        <v>192</v>
      </c>
      <c r="I1498">
        <v>19</v>
      </c>
      <c r="J1498">
        <v>40.438000000000002</v>
      </c>
      <c r="K1498">
        <v>21.437999999999999</v>
      </c>
      <c r="L1498">
        <v>182</v>
      </c>
      <c r="M1498">
        <v>2</v>
      </c>
      <c r="N1498">
        <v>8</v>
      </c>
      <c r="O1498">
        <v>40.003</v>
      </c>
      <c r="P1498">
        <v>21.798658329999999</v>
      </c>
      <c r="Q1498">
        <v>7.5659999999999998</v>
      </c>
    </row>
    <row r="1499" spans="1:17" s="30" customFormat="1" x14ac:dyDescent="0.2">
      <c r="A1499" s="30" t="str">
        <f>IF(C1499&amp;G1499&amp;D1499&lt;&gt;'Funnel setup'!$K$3&amp;'Funnel setup'!$K$4&amp;'Funnel setup'!$K$5,".",IF(A1498=".",1,A1498+1))</f>
        <v>.</v>
      </c>
      <c r="B1499" s="431" t="str">
        <f t="shared" si="23"/>
        <v>Hip Replacement PrimaryCCG of GP PracticeNHS LIVERPOOL CCG (99A)Oxford Hip Score</v>
      </c>
      <c r="C1499" t="s">
        <v>248</v>
      </c>
      <c r="D1499" t="s">
        <v>87</v>
      </c>
      <c r="E1499" t="s">
        <v>411</v>
      </c>
      <c r="F1499" t="s">
        <v>412</v>
      </c>
      <c r="G1499" t="s">
        <v>14</v>
      </c>
      <c r="H1499">
        <v>195</v>
      </c>
      <c r="I1499">
        <v>17.169</v>
      </c>
      <c r="J1499">
        <v>38.082000000000001</v>
      </c>
      <c r="K1499">
        <v>20.913</v>
      </c>
      <c r="L1499">
        <v>189</v>
      </c>
      <c r="M1499">
        <v>3</v>
      </c>
      <c r="N1499">
        <v>3</v>
      </c>
      <c r="O1499">
        <v>39.700000000000003</v>
      </c>
      <c r="P1499">
        <v>21.4950534</v>
      </c>
      <c r="Q1499">
        <v>8.4090000000000007</v>
      </c>
    </row>
    <row r="1500" spans="1:17" s="30" customFormat="1" x14ac:dyDescent="0.2">
      <c r="A1500" s="30" t="str">
        <f>IF(C1500&amp;G1500&amp;D1500&lt;&gt;'Funnel setup'!$K$3&amp;'Funnel setup'!$K$4&amp;'Funnel setup'!$K$5,".",IF(A1499=".",1,A1499+1))</f>
        <v>.</v>
      </c>
      <c r="B1500" s="431" t="str">
        <f t="shared" si="23"/>
        <v>Hip Replacement PrimaryCCG of GP PracticeNHS LUTON CCG (06P)Oxford Hip Score</v>
      </c>
      <c r="C1500" t="s">
        <v>248</v>
      </c>
      <c r="D1500" t="s">
        <v>87</v>
      </c>
      <c r="E1500" t="s">
        <v>414</v>
      </c>
      <c r="F1500" t="s">
        <v>415</v>
      </c>
      <c r="G1500" t="s">
        <v>14</v>
      </c>
      <c r="H1500">
        <v>95</v>
      </c>
      <c r="I1500">
        <v>16.8</v>
      </c>
      <c r="J1500">
        <v>37.716000000000001</v>
      </c>
      <c r="K1500">
        <v>20.916</v>
      </c>
      <c r="L1500">
        <v>93</v>
      </c>
      <c r="M1500">
        <v>1</v>
      </c>
      <c r="N1500">
        <v>1</v>
      </c>
      <c r="O1500">
        <v>38.354999999999997</v>
      </c>
      <c r="P1500">
        <v>20.150438749999999</v>
      </c>
      <c r="Q1500">
        <v>8.5280000000000005</v>
      </c>
    </row>
    <row r="1501" spans="1:17" s="30" customFormat="1" x14ac:dyDescent="0.2">
      <c r="A1501" s="30" t="str">
        <f>IF(C1501&amp;G1501&amp;D1501&lt;&gt;'Funnel setup'!$K$3&amp;'Funnel setup'!$K$4&amp;'Funnel setup'!$K$5,".",IF(A1500=".",1,A1500+1))</f>
        <v>.</v>
      </c>
      <c r="B1501" s="431" t="str">
        <f t="shared" si="23"/>
        <v>Hip Replacement PrimaryCCG of GP PracticeNHS MANSFIELD AND ASHFIELD CCG (04E)Oxford Hip Score</v>
      </c>
      <c r="C1501" t="s">
        <v>248</v>
      </c>
      <c r="D1501" t="s">
        <v>87</v>
      </c>
      <c r="E1501" t="s">
        <v>417</v>
      </c>
      <c r="F1501" t="s">
        <v>418</v>
      </c>
      <c r="G1501" t="s">
        <v>14</v>
      </c>
      <c r="H1501">
        <v>134</v>
      </c>
      <c r="I1501">
        <v>16.067</v>
      </c>
      <c r="J1501">
        <v>37.835999999999999</v>
      </c>
      <c r="K1501">
        <v>21.768999999999998</v>
      </c>
      <c r="L1501">
        <v>132</v>
      </c>
      <c r="M1501">
        <v>0</v>
      </c>
      <c r="N1501">
        <v>2</v>
      </c>
      <c r="O1501">
        <v>39.04</v>
      </c>
      <c r="P1501">
        <v>20.835680549999999</v>
      </c>
      <c r="Q1501">
        <v>8.577</v>
      </c>
    </row>
    <row r="1502" spans="1:17" s="30" customFormat="1" x14ac:dyDescent="0.2">
      <c r="A1502" s="30" t="str">
        <f>IF(C1502&amp;G1502&amp;D1502&lt;&gt;'Funnel setup'!$K$3&amp;'Funnel setup'!$K$4&amp;'Funnel setup'!$K$5,".",IF(A1501=".",1,A1501+1))</f>
        <v>.</v>
      </c>
      <c r="B1502" s="431" t="str">
        <f t="shared" si="23"/>
        <v>Hip Replacement PrimaryCCG of GP PracticeNHS MEDWAY CCG (09W)Oxford Hip Score</v>
      </c>
      <c r="C1502" t="s">
        <v>248</v>
      </c>
      <c r="D1502" t="s">
        <v>87</v>
      </c>
      <c r="E1502" t="s">
        <v>610</v>
      </c>
      <c r="F1502" t="s">
        <v>611</v>
      </c>
      <c r="G1502" t="s">
        <v>14</v>
      </c>
      <c r="H1502">
        <v>171</v>
      </c>
      <c r="I1502">
        <v>17.48</v>
      </c>
      <c r="J1502">
        <v>40.491</v>
      </c>
      <c r="K1502">
        <v>23.012</v>
      </c>
      <c r="L1502">
        <v>170</v>
      </c>
      <c r="M1502">
        <v>0</v>
      </c>
      <c r="N1502">
        <v>1</v>
      </c>
      <c r="O1502">
        <v>41.018000000000001</v>
      </c>
      <c r="P1502">
        <v>22.813531690000001</v>
      </c>
      <c r="Q1502">
        <v>7.5090000000000003</v>
      </c>
    </row>
    <row r="1503" spans="1:17" s="30" customFormat="1" x14ac:dyDescent="0.2">
      <c r="A1503" s="30" t="str">
        <f>IF(C1503&amp;G1503&amp;D1503&lt;&gt;'Funnel setup'!$K$3&amp;'Funnel setup'!$K$4&amp;'Funnel setup'!$K$5,".",IF(A1502=".",1,A1502+1))</f>
        <v>.</v>
      </c>
      <c r="B1503" s="431" t="str">
        <f t="shared" si="23"/>
        <v>Hip Replacement PrimaryCCG of GP PracticeNHS MERTON CCG (08R)Oxford Hip Score</v>
      </c>
      <c r="C1503" t="s">
        <v>248</v>
      </c>
      <c r="D1503" t="s">
        <v>87</v>
      </c>
      <c r="E1503" t="s">
        <v>613</v>
      </c>
      <c r="F1503" t="s">
        <v>614</v>
      </c>
      <c r="G1503" t="s">
        <v>14</v>
      </c>
      <c r="H1503">
        <v>59</v>
      </c>
      <c r="I1503">
        <v>20.202999999999999</v>
      </c>
      <c r="J1503">
        <v>40.152999999999999</v>
      </c>
      <c r="K1503">
        <v>19.949000000000002</v>
      </c>
      <c r="L1503">
        <v>56</v>
      </c>
      <c r="M1503">
        <v>0</v>
      </c>
      <c r="N1503">
        <v>3</v>
      </c>
      <c r="O1503">
        <v>39.89</v>
      </c>
      <c r="P1503">
        <v>21.68564172</v>
      </c>
      <c r="Q1503">
        <v>8.0950000000000006</v>
      </c>
    </row>
    <row r="1504" spans="1:17" s="30" customFormat="1" x14ac:dyDescent="0.2">
      <c r="A1504" s="30" t="str">
        <f>IF(C1504&amp;G1504&amp;D1504&lt;&gt;'Funnel setup'!$K$3&amp;'Funnel setup'!$K$4&amp;'Funnel setup'!$K$5,".",IF(A1503=".",1,A1503+1))</f>
        <v>.</v>
      </c>
      <c r="B1504" s="431" t="str">
        <f t="shared" si="23"/>
        <v>Hip Replacement PrimaryCCG of GP PracticeNHS MID ESSEX CCG (06Q)Oxford Hip Score</v>
      </c>
      <c r="C1504" t="s">
        <v>248</v>
      </c>
      <c r="D1504" t="s">
        <v>87</v>
      </c>
      <c r="E1504" t="s">
        <v>616</v>
      </c>
      <c r="F1504" t="s">
        <v>617</v>
      </c>
      <c r="G1504" t="s">
        <v>14</v>
      </c>
      <c r="H1504">
        <v>318</v>
      </c>
      <c r="I1504">
        <v>16.062999999999999</v>
      </c>
      <c r="J1504">
        <v>40.969000000000001</v>
      </c>
      <c r="K1504">
        <v>24.905999999999999</v>
      </c>
      <c r="L1504">
        <v>312</v>
      </c>
      <c r="M1504">
        <v>1</v>
      </c>
      <c r="N1504">
        <v>5</v>
      </c>
      <c r="O1504">
        <v>41.061</v>
      </c>
      <c r="P1504">
        <v>22.856494680000001</v>
      </c>
      <c r="Q1504">
        <v>7.42</v>
      </c>
    </row>
    <row r="1505" spans="1:17" s="30" customFormat="1" x14ac:dyDescent="0.2">
      <c r="A1505" s="30" t="str">
        <f>IF(C1505&amp;G1505&amp;D1505&lt;&gt;'Funnel setup'!$K$3&amp;'Funnel setup'!$K$4&amp;'Funnel setup'!$K$5,".",IF(A1504=".",1,A1504+1))</f>
        <v>.</v>
      </c>
      <c r="B1505" s="431" t="str">
        <f t="shared" si="23"/>
        <v>Hip Replacement PrimaryCCG of GP PracticeNHS MILTON KEYNES CCG (04F)Oxford Hip Score</v>
      </c>
      <c r="C1505" t="s">
        <v>248</v>
      </c>
      <c r="D1505" t="s">
        <v>87</v>
      </c>
      <c r="E1505" t="s">
        <v>619</v>
      </c>
      <c r="F1505" t="s">
        <v>338</v>
      </c>
      <c r="G1505" t="s">
        <v>14</v>
      </c>
      <c r="H1505">
        <v>203</v>
      </c>
      <c r="I1505">
        <v>15.897</v>
      </c>
      <c r="J1505">
        <v>38.631</v>
      </c>
      <c r="K1505">
        <v>22.734000000000002</v>
      </c>
      <c r="L1505">
        <v>200</v>
      </c>
      <c r="M1505">
        <v>1</v>
      </c>
      <c r="N1505">
        <v>2</v>
      </c>
      <c r="O1505">
        <v>39.496000000000002</v>
      </c>
      <c r="P1505">
        <v>21.291448899999999</v>
      </c>
      <c r="Q1505">
        <v>8.8960000000000008</v>
      </c>
    </row>
    <row r="1506" spans="1:17" s="30" customFormat="1" x14ac:dyDescent="0.2">
      <c r="A1506" s="30" t="str">
        <f>IF(C1506&amp;G1506&amp;D1506&lt;&gt;'Funnel setup'!$K$3&amp;'Funnel setup'!$K$4&amp;'Funnel setup'!$K$5,".",IF(A1505=".",1,A1505+1))</f>
        <v>.</v>
      </c>
      <c r="B1506" s="431" t="str">
        <f t="shared" si="23"/>
        <v>Hip Replacement PrimaryCCG of GP PracticeNHS NENE CCG (04G)Oxford Hip Score</v>
      </c>
      <c r="C1506" t="s">
        <v>248</v>
      </c>
      <c r="D1506" t="s">
        <v>87</v>
      </c>
      <c r="E1506" t="s">
        <v>621</v>
      </c>
      <c r="F1506" t="s">
        <v>622</v>
      </c>
      <c r="G1506" t="s">
        <v>14</v>
      </c>
      <c r="H1506">
        <v>427</v>
      </c>
      <c r="I1506">
        <v>15.377000000000001</v>
      </c>
      <c r="J1506">
        <v>40.009</v>
      </c>
      <c r="K1506">
        <v>24.632000000000001</v>
      </c>
      <c r="L1506">
        <v>417</v>
      </c>
      <c r="M1506">
        <v>1</v>
      </c>
      <c r="N1506">
        <v>9</v>
      </c>
      <c r="O1506">
        <v>40.661000000000001</v>
      </c>
      <c r="P1506">
        <v>22.456437099999999</v>
      </c>
      <c r="Q1506">
        <v>8.1690000000000005</v>
      </c>
    </row>
    <row r="1507" spans="1:17" s="30" customFormat="1" x14ac:dyDescent="0.2">
      <c r="A1507" s="30" t="str">
        <f>IF(C1507&amp;G1507&amp;D1507&lt;&gt;'Funnel setup'!$K$3&amp;'Funnel setup'!$K$4&amp;'Funnel setup'!$K$5,".",IF(A1506=".",1,A1506+1))</f>
        <v>.</v>
      </c>
      <c r="B1507" s="431" t="str">
        <f t="shared" si="23"/>
        <v>Hip Replacement PrimaryCCG of GP PracticeNHS NEWARK &amp; SHERWOOD CCG (04H)Oxford Hip Score</v>
      </c>
      <c r="C1507" t="s">
        <v>248</v>
      </c>
      <c r="D1507" t="s">
        <v>87</v>
      </c>
      <c r="E1507" t="s">
        <v>624</v>
      </c>
      <c r="F1507" t="s">
        <v>625</v>
      </c>
      <c r="G1507" t="s">
        <v>14</v>
      </c>
      <c r="H1507">
        <v>99</v>
      </c>
      <c r="I1507">
        <v>17.626000000000001</v>
      </c>
      <c r="J1507">
        <v>41.161999999999999</v>
      </c>
      <c r="K1507">
        <v>23.535</v>
      </c>
      <c r="L1507">
        <v>97</v>
      </c>
      <c r="M1507">
        <v>1</v>
      </c>
      <c r="N1507">
        <v>1</v>
      </c>
      <c r="O1507">
        <v>41.243000000000002</v>
      </c>
      <c r="P1507">
        <v>23.03835462</v>
      </c>
      <c r="Q1507">
        <v>6.2830000000000004</v>
      </c>
    </row>
    <row r="1508" spans="1:17" s="30" customFormat="1" x14ac:dyDescent="0.2">
      <c r="A1508" s="30" t="str">
        <f>IF(C1508&amp;G1508&amp;D1508&lt;&gt;'Funnel setup'!$K$3&amp;'Funnel setup'!$K$4&amp;'Funnel setup'!$K$5,".",IF(A1507=".",1,A1507+1))</f>
        <v>.</v>
      </c>
      <c r="B1508" s="431" t="str">
        <f t="shared" si="23"/>
        <v>Hip Replacement PrimaryCCG of GP PracticeNHS NEWBURY AND DISTRICT CCG (10M)Oxford Hip Score</v>
      </c>
      <c r="C1508" t="s">
        <v>248</v>
      </c>
      <c r="D1508" t="s">
        <v>87</v>
      </c>
      <c r="E1508" t="s">
        <v>627</v>
      </c>
      <c r="F1508" t="s">
        <v>628</v>
      </c>
      <c r="G1508" t="s">
        <v>14</v>
      </c>
      <c r="H1508">
        <v>92</v>
      </c>
      <c r="I1508">
        <v>18.402000000000001</v>
      </c>
      <c r="J1508">
        <v>40.652000000000001</v>
      </c>
      <c r="K1508">
        <v>22.25</v>
      </c>
      <c r="L1508">
        <v>91</v>
      </c>
      <c r="M1508">
        <v>0</v>
      </c>
      <c r="N1508">
        <v>1</v>
      </c>
      <c r="O1508">
        <v>40.215000000000003</v>
      </c>
      <c r="P1508">
        <v>22.0106778</v>
      </c>
      <c r="Q1508">
        <v>7.5510000000000002</v>
      </c>
    </row>
    <row r="1509" spans="1:17" s="30" customFormat="1" x14ac:dyDescent="0.2">
      <c r="A1509" s="30" t="str">
        <f>IF(C1509&amp;G1509&amp;D1509&lt;&gt;'Funnel setup'!$K$3&amp;'Funnel setup'!$K$4&amp;'Funnel setup'!$K$5,".",IF(A1508=".",1,A1508+1))</f>
        <v>.</v>
      </c>
      <c r="B1509" s="431" t="str">
        <f t="shared" si="23"/>
        <v>Hip Replacement PrimaryCCG of GP PracticeNHS NEWCASTLE GATESHEAD CCG (13T)Oxford Hip Score</v>
      </c>
      <c r="C1509" t="s">
        <v>248</v>
      </c>
      <c r="D1509" t="s">
        <v>87</v>
      </c>
      <c r="E1509" t="s">
        <v>6553</v>
      </c>
      <c r="F1509" t="s">
        <v>6543</v>
      </c>
      <c r="G1509" t="s">
        <v>14</v>
      </c>
      <c r="H1509">
        <v>364</v>
      </c>
      <c r="I1509">
        <v>17.963999999999999</v>
      </c>
      <c r="J1509">
        <v>38.683999999999997</v>
      </c>
      <c r="K1509">
        <v>20.72</v>
      </c>
      <c r="L1509">
        <v>356</v>
      </c>
      <c r="M1509">
        <v>2</v>
      </c>
      <c r="N1509">
        <v>6</v>
      </c>
      <c r="O1509">
        <v>38.975000000000001</v>
      </c>
      <c r="P1509">
        <v>20.770133860000001</v>
      </c>
      <c r="Q1509">
        <v>8.032</v>
      </c>
    </row>
    <row r="1510" spans="1:17" s="30" customFormat="1" x14ac:dyDescent="0.2">
      <c r="A1510" s="30" t="str">
        <f>IF(C1510&amp;G1510&amp;D1510&lt;&gt;'Funnel setup'!$K$3&amp;'Funnel setup'!$K$4&amp;'Funnel setup'!$K$5,".",IF(A1509=".",1,A1509+1))</f>
        <v>.</v>
      </c>
      <c r="B1510" s="431" t="str">
        <f t="shared" si="23"/>
        <v>Hip Replacement PrimaryCCG of GP PracticeNHS NEWHAM CCG (08M)Oxford Hip Score</v>
      </c>
      <c r="C1510" t="s">
        <v>248</v>
      </c>
      <c r="D1510" t="s">
        <v>87</v>
      </c>
      <c r="E1510" t="s">
        <v>630</v>
      </c>
      <c r="F1510" t="s">
        <v>631</v>
      </c>
      <c r="G1510" t="s">
        <v>14</v>
      </c>
      <c r="H1510">
        <v>42</v>
      </c>
      <c r="I1510">
        <v>16.190000000000001</v>
      </c>
      <c r="J1510">
        <v>35.594999999999999</v>
      </c>
      <c r="K1510">
        <v>19.405000000000001</v>
      </c>
      <c r="L1510">
        <v>39</v>
      </c>
      <c r="M1510">
        <v>0</v>
      </c>
      <c r="N1510">
        <v>3</v>
      </c>
      <c r="O1510">
        <v>39.066000000000003</v>
      </c>
      <c r="P1510">
        <v>20.86199367</v>
      </c>
      <c r="Q1510">
        <v>8.343</v>
      </c>
    </row>
    <row r="1511" spans="1:17" s="30" customFormat="1" x14ac:dyDescent="0.2">
      <c r="A1511" s="30" t="str">
        <f>IF(C1511&amp;G1511&amp;D1511&lt;&gt;'Funnel setup'!$K$3&amp;'Funnel setup'!$K$4&amp;'Funnel setup'!$K$5,".",IF(A1510=".",1,A1510+1))</f>
        <v>.</v>
      </c>
      <c r="B1511" s="431" t="str">
        <f t="shared" si="23"/>
        <v>Hip Replacement PrimaryCCG of GP PracticeNHS NORTH &amp; WEST READING CCG (10N)Oxford Hip Score</v>
      </c>
      <c r="C1511" t="s">
        <v>248</v>
      </c>
      <c r="D1511" t="s">
        <v>87</v>
      </c>
      <c r="E1511" t="s">
        <v>633</v>
      </c>
      <c r="F1511" t="s">
        <v>634</v>
      </c>
      <c r="G1511" t="s">
        <v>14</v>
      </c>
      <c r="H1511">
        <v>75</v>
      </c>
      <c r="I1511">
        <v>21.452999999999999</v>
      </c>
      <c r="J1511">
        <v>40.92</v>
      </c>
      <c r="K1511">
        <v>19.466999999999999</v>
      </c>
      <c r="L1511">
        <v>74</v>
      </c>
      <c r="M1511">
        <v>0</v>
      </c>
      <c r="N1511">
        <v>1</v>
      </c>
      <c r="O1511">
        <v>39.758000000000003</v>
      </c>
      <c r="P1511">
        <v>21.553399339999999</v>
      </c>
      <c r="Q1511">
        <v>6.8239999999999998</v>
      </c>
    </row>
    <row r="1512" spans="1:17" s="30" customFormat="1" x14ac:dyDescent="0.2">
      <c r="A1512" s="30" t="str">
        <f>IF(C1512&amp;G1512&amp;D1512&lt;&gt;'Funnel setup'!$K$3&amp;'Funnel setup'!$K$4&amp;'Funnel setup'!$K$5,".",IF(A1511=".",1,A1511+1))</f>
        <v>.</v>
      </c>
      <c r="B1512" s="431" t="str">
        <f t="shared" si="23"/>
        <v>Hip Replacement PrimaryCCG of GP PracticeNHS NORTH DERBYSHIRE CCG (04J)Oxford Hip Score</v>
      </c>
      <c r="C1512" t="s">
        <v>248</v>
      </c>
      <c r="D1512" t="s">
        <v>87</v>
      </c>
      <c r="E1512" t="s">
        <v>636</v>
      </c>
      <c r="F1512" t="s">
        <v>637</v>
      </c>
      <c r="G1512" t="s">
        <v>14</v>
      </c>
      <c r="H1512">
        <v>319</v>
      </c>
      <c r="I1512">
        <v>18.312999999999999</v>
      </c>
      <c r="J1512">
        <v>39.32</v>
      </c>
      <c r="K1512">
        <v>21.006</v>
      </c>
      <c r="L1512">
        <v>309</v>
      </c>
      <c r="M1512">
        <v>0</v>
      </c>
      <c r="N1512">
        <v>10</v>
      </c>
      <c r="O1512">
        <v>39.173999999999999</v>
      </c>
      <c r="P1512">
        <v>20.969040079999999</v>
      </c>
      <c r="Q1512">
        <v>7.9269999999999996</v>
      </c>
    </row>
    <row r="1513" spans="1:17" s="30" customFormat="1" x14ac:dyDescent="0.2">
      <c r="A1513" s="30" t="str">
        <f>IF(C1513&amp;G1513&amp;D1513&lt;&gt;'Funnel setup'!$K$3&amp;'Funnel setup'!$K$4&amp;'Funnel setup'!$K$5,".",IF(A1512=".",1,A1512+1))</f>
        <v>.</v>
      </c>
      <c r="B1513" s="431" t="str">
        <f t="shared" si="23"/>
        <v>Hip Replacement PrimaryCCG of GP PracticeNHS NORTH DURHAM CCG (00J)Oxford Hip Score</v>
      </c>
      <c r="C1513" t="s">
        <v>248</v>
      </c>
      <c r="D1513" t="s">
        <v>87</v>
      </c>
      <c r="E1513" t="s">
        <v>639</v>
      </c>
      <c r="F1513" t="s">
        <v>640</v>
      </c>
      <c r="G1513" t="s">
        <v>14</v>
      </c>
      <c r="H1513">
        <v>192</v>
      </c>
      <c r="I1513">
        <v>15.448</v>
      </c>
      <c r="J1513">
        <v>38.151000000000003</v>
      </c>
      <c r="K1513">
        <v>22.702999999999999</v>
      </c>
      <c r="L1513">
        <v>188</v>
      </c>
      <c r="M1513">
        <v>0</v>
      </c>
      <c r="N1513">
        <v>4</v>
      </c>
      <c r="O1513">
        <v>39.682000000000002</v>
      </c>
      <c r="P1513">
        <v>21.47706428</v>
      </c>
      <c r="Q1513">
        <v>9.1660000000000004</v>
      </c>
    </row>
    <row r="1514" spans="1:17" s="30" customFormat="1" x14ac:dyDescent="0.2">
      <c r="A1514" s="30" t="str">
        <f>IF(C1514&amp;G1514&amp;D1514&lt;&gt;'Funnel setup'!$K$3&amp;'Funnel setup'!$K$4&amp;'Funnel setup'!$K$5,".",IF(A1513=".",1,A1513+1))</f>
        <v>.</v>
      </c>
      <c r="B1514" s="431" t="str">
        <f t="shared" si="23"/>
        <v>Hip Replacement PrimaryCCG of GP PracticeNHS NORTH EAST ESSEX CCG (06T)Oxford Hip Score</v>
      </c>
      <c r="C1514" t="s">
        <v>248</v>
      </c>
      <c r="D1514" t="s">
        <v>87</v>
      </c>
      <c r="E1514" t="s">
        <v>642</v>
      </c>
      <c r="F1514" t="s">
        <v>643</v>
      </c>
      <c r="G1514" t="s">
        <v>14</v>
      </c>
      <c r="H1514">
        <v>279</v>
      </c>
      <c r="I1514">
        <v>18.434000000000001</v>
      </c>
      <c r="J1514">
        <v>38.968000000000004</v>
      </c>
      <c r="K1514">
        <v>20.533999999999999</v>
      </c>
      <c r="L1514">
        <v>271</v>
      </c>
      <c r="M1514">
        <v>3</v>
      </c>
      <c r="N1514">
        <v>5</v>
      </c>
      <c r="O1514">
        <v>39.008000000000003</v>
      </c>
      <c r="P1514">
        <v>20.803843369999999</v>
      </c>
      <c r="Q1514">
        <v>7.7610000000000001</v>
      </c>
    </row>
    <row r="1515" spans="1:17" s="30" customFormat="1" x14ac:dyDescent="0.2">
      <c r="A1515" s="30" t="str">
        <f>IF(C1515&amp;G1515&amp;D1515&lt;&gt;'Funnel setup'!$K$3&amp;'Funnel setup'!$K$4&amp;'Funnel setup'!$K$5,".",IF(A1514=".",1,A1514+1))</f>
        <v>.</v>
      </c>
      <c r="B1515" s="431" t="str">
        <f t="shared" si="23"/>
        <v>Hip Replacement PrimaryCCG of GP PracticeNHS NORTH EAST HAMPSHIRE AND FARNHAM CCG (99M)Oxford Hip Score</v>
      </c>
      <c r="C1515" t="s">
        <v>248</v>
      </c>
      <c r="D1515" t="s">
        <v>87</v>
      </c>
      <c r="E1515" t="s">
        <v>645</v>
      </c>
      <c r="F1515" t="s">
        <v>646</v>
      </c>
      <c r="G1515" t="s">
        <v>14</v>
      </c>
      <c r="H1515">
        <v>207</v>
      </c>
      <c r="I1515">
        <v>20.309000000000001</v>
      </c>
      <c r="J1515">
        <v>41.72</v>
      </c>
      <c r="K1515">
        <v>21.411000000000001</v>
      </c>
      <c r="L1515">
        <v>202</v>
      </c>
      <c r="M1515">
        <v>0</v>
      </c>
      <c r="N1515">
        <v>5</v>
      </c>
      <c r="O1515">
        <v>40.539000000000001</v>
      </c>
      <c r="P1515">
        <v>22.334314200000001</v>
      </c>
      <c r="Q1515">
        <v>6.4580000000000002</v>
      </c>
    </row>
    <row r="1516" spans="1:17" s="30" customFormat="1" x14ac:dyDescent="0.2">
      <c r="A1516" s="30" t="str">
        <f>IF(C1516&amp;G1516&amp;D1516&lt;&gt;'Funnel setup'!$K$3&amp;'Funnel setup'!$K$4&amp;'Funnel setup'!$K$5,".",IF(A1515=".",1,A1515+1))</f>
        <v>.</v>
      </c>
      <c r="B1516" s="431" t="str">
        <f t="shared" si="23"/>
        <v>Hip Replacement PrimaryCCG of GP PracticeNHS NORTH EAST LINCOLNSHIRE CCG (03H)Oxford Hip Score</v>
      </c>
      <c r="C1516" t="s">
        <v>248</v>
      </c>
      <c r="D1516" t="s">
        <v>87</v>
      </c>
      <c r="E1516" t="s">
        <v>648</v>
      </c>
      <c r="F1516" t="s">
        <v>649</v>
      </c>
      <c r="G1516" t="s">
        <v>14</v>
      </c>
      <c r="H1516">
        <v>98</v>
      </c>
      <c r="I1516">
        <v>17.969000000000001</v>
      </c>
      <c r="J1516">
        <v>40.223999999999997</v>
      </c>
      <c r="K1516">
        <v>22.254999999999999</v>
      </c>
      <c r="L1516">
        <v>97</v>
      </c>
      <c r="M1516">
        <v>0</v>
      </c>
      <c r="N1516">
        <v>1</v>
      </c>
      <c r="O1516">
        <v>40.98</v>
      </c>
      <c r="P1516">
        <v>22.77507297</v>
      </c>
      <c r="Q1516">
        <v>6.9530000000000003</v>
      </c>
    </row>
    <row r="1517" spans="1:17" s="30" customFormat="1" x14ac:dyDescent="0.2">
      <c r="A1517" s="30" t="str">
        <f>IF(C1517&amp;G1517&amp;D1517&lt;&gt;'Funnel setup'!$K$3&amp;'Funnel setup'!$K$4&amp;'Funnel setup'!$K$5,".",IF(A1516=".",1,A1516+1))</f>
        <v>.</v>
      </c>
      <c r="B1517" s="431" t="str">
        <f t="shared" si="23"/>
        <v>Hip Replacement PrimaryCCG of GP PracticeNHS NORTH HAMPSHIRE CCG (10J)Oxford Hip Score</v>
      </c>
      <c r="C1517" t="s">
        <v>248</v>
      </c>
      <c r="D1517" t="s">
        <v>87</v>
      </c>
      <c r="E1517" t="s">
        <v>651</v>
      </c>
      <c r="F1517" t="s">
        <v>652</v>
      </c>
      <c r="G1517" t="s">
        <v>14</v>
      </c>
      <c r="H1517">
        <v>105</v>
      </c>
      <c r="I1517">
        <v>21.248000000000001</v>
      </c>
      <c r="J1517">
        <v>41.914000000000001</v>
      </c>
      <c r="K1517">
        <v>20.667000000000002</v>
      </c>
      <c r="L1517">
        <v>105</v>
      </c>
      <c r="M1517">
        <v>0</v>
      </c>
      <c r="N1517">
        <v>0</v>
      </c>
      <c r="O1517">
        <v>40.527999999999999</v>
      </c>
      <c r="P1517">
        <v>22.323079159999999</v>
      </c>
      <c r="Q1517">
        <v>6.2549999999999999</v>
      </c>
    </row>
    <row r="1518" spans="1:17" s="30" customFormat="1" x14ac:dyDescent="0.2">
      <c r="A1518" s="30" t="str">
        <f>IF(C1518&amp;G1518&amp;D1518&lt;&gt;'Funnel setup'!$K$3&amp;'Funnel setup'!$K$4&amp;'Funnel setup'!$K$5,".",IF(A1517=".",1,A1517+1))</f>
        <v>.</v>
      </c>
      <c r="B1518" s="431" t="str">
        <f t="shared" si="23"/>
        <v>Hip Replacement PrimaryCCG of GP PracticeNHS NORTH KIRKLEES CCG (03J)Oxford Hip Score</v>
      </c>
      <c r="C1518" t="s">
        <v>248</v>
      </c>
      <c r="D1518" t="s">
        <v>87</v>
      </c>
      <c r="E1518" t="s">
        <v>654</v>
      </c>
      <c r="F1518" t="s">
        <v>655</v>
      </c>
      <c r="G1518" t="s">
        <v>14</v>
      </c>
      <c r="H1518">
        <v>111</v>
      </c>
      <c r="I1518">
        <v>18.783999999999999</v>
      </c>
      <c r="J1518">
        <v>39.170999999999999</v>
      </c>
      <c r="K1518">
        <v>20.387</v>
      </c>
      <c r="L1518">
        <v>107</v>
      </c>
      <c r="M1518">
        <v>0</v>
      </c>
      <c r="N1518">
        <v>4</v>
      </c>
      <c r="O1518">
        <v>39.326000000000001</v>
      </c>
      <c r="P1518">
        <v>21.12120054</v>
      </c>
      <c r="Q1518">
        <v>8.4779999999999998</v>
      </c>
    </row>
    <row r="1519" spans="1:17" s="30" customFormat="1" x14ac:dyDescent="0.2">
      <c r="A1519" s="30" t="str">
        <f>IF(C1519&amp;G1519&amp;D1519&lt;&gt;'Funnel setup'!$K$3&amp;'Funnel setup'!$K$4&amp;'Funnel setup'!$K$5,".",IF(A1518=".",1,A1518+1))</f>
        <v>.</v>
      </c>
      <c r="B1519" s="431" t="str">
        <f t="shared" si="23"/>
        <v>Hip Replacement PrimaryCCG of GP PracticeNHS NORTH LINCOLNSHIRE CCG (03K)Oxford Hip Score</v>
      </c>
      <c r="C1519" t="s">
        <v>248</v>
      </c>
      <c r="D1519" t="s">
        <v>87</v>
      </c>
      <c r="E1519" t="s">
        <v>657</v>
      </c>
      <c r="F1519" t="s">
        <v>658</v>
      </c>
      <c r="G1519" t="s">
        <v>14</v>
      </c>
      <c r="H1519">
        <v>135</v>
      </c>
      <c r="I1519">
        <v>18.859000000000002</v>
      </c>
      <c r="J1519">
        <v>39.319000000000003</v>
      </c>
      <c r="K1519">
        <v>20.459</v>
      </c>
      <c r="L1519">
        <v>131</v>
      </c>
      <c r="M1519">
        <v>2</v>
      </c>
      <c r="N1519">
        <v>2</v>
      </c>
      <c r="O1519">
        <v>39.021000000000001</v>
      </c>
      <c r="P1519">
        <v>20.81624235</v>
      </c>
      <c r="Q1519">
        <v>7.4660000000000002</v>
      </c>
    </row>
    <row r="1520" spans="1:17" s="30" customFormat="1" x14ac:dyDescent="0.2">
      <c r="A1520" s="30" t="str">
        <f>IF(C1520&amp;G1520&amp;D1520&lt;&gt;'Funnel setup'!$K$3&amp;'Funnel setup'!$K$4&amp;'Funnel setup'!$K$5,".",IF(A1519=".",1,A1519+1))</f>
        <v>.</v>
      </c>
      <c r="B1520" s="431" t="str">
        <f t="shared" si="23"/>
        <v>Hip Replacement PrimaryCCG of GP PracticeNHS NORTH MANCHESTER CCG (01M)Oxford Hip Score</v>
      </c>
      <c r="C1520" t="s">
        <v>248</v>
      </c>
      <c r="D1520" t="s">
        <v>87</v>
      </c>
      <c r="E1520" t="s">
        <v>660</v>
      </c>
      <c r="F1520" t="s">
        <v>661</v>
      </c>
      <c r="G1520" t="s">
        <v>14</v>
      </c>
      <c r="H1520">
        <v>63</v>
      </c>
      <c r="I1520">
        <v>14.365</v>
      </c>
      <c r="J1520">
        <v>37.048000000000002</v>
      </c>
      <c r="K1520">
        <v>22.683</v>
      </c>
      <c r="L1520">
        <v>63</v>
      </c>
      <c r="M1520">
        <v>0</v>
      </c>
      <c r="N1520">
        <v>0</v>
      </c>
      <c r="O1520">
        <v>40.442</v>
      </c>
      <c r="P1520">
        <v>22.23751575</v>
      </c>
      <c r="Q1520">
        <v>10.003</v>
      </c>
    </row>
    <row r="1521" spans="1:17" s="30" customFormat="1" x14ac:dyDescent="0.2">
      <c r="A1521" s="30" t="str">
        <f>IF(C1521&amp;G1521&amp;D1521&lt;&gt;'Funnel setup'!$K$3&amp;'Funnel setup'!$K$4&amp;'Funnel setup'!$K$5,".",IF(A1520=".",1,A1520+1))</f>
        <v>.</v>
      </c>
      <c r="B1521" s="431" t="str">
        <f t="shared" si="23"/>
        <v>Hip Replacement PrimaryCCG of GP PracticeNHS NORTH NORFOLK CCG (06V)Oxford Hip Score</v>
      </c>
      <c r="C1521" t="s">
        <v>248</v>
      </c>
      <c r="D1521" t="s">
        <v>87</v>
      </c>
      <c r="E1521" t="s">
        <v>663</v>
      </c>
      <c r="F1521" t="s">
        <v>664</v>
      </c>
      <c r="G1521" t="s">
        <v>14</v>
      </c>
      <c r="H1521">
        <v>250</v>
      </c>
      <c r="I1521">
        <v>19.384</v>
      </c>
      <c r="J1521">
        <v>40.643999999999998</v>
      </c>
      <c r="K1521">
        <v>21.26</v>
      </c>
      <c r="L1521">
        <v>249</v>
      </c>
      <c r="M1521">
        <v>0</v>
      </c>
      <c r="N1521">
        <v>1</v>
      </c>
      <c r="O1521">
        <v>40.015999999999998</v>
      </c>
      <c r="P1521">
        <v>21.81177658</v>
      </c>
      <c r="Q1521">
        <v>6.9989999999999997</v>
      </c>
    </row>
    <row r="1522" spans="1:17" s="30" customFormat="1" x14ac:dyDescent="0.2">
      <c r="A1522" s="30" t="str">
        <f>IF(C1522&amp;G1522&amp;D1522&lt;&gt;'Funnel setup'!$K$3&amp;'Funnel setup'!$K$4&amp;'Funnel setup'!$K$5,".",IF(A1521=".",1,A1521+1))</f>
        <v>.</v>
      </c>
      <c r="B1522" s="431" t="str">
        <f t="shared" si="23"/>
        <v>Hip Replacement PrimaryCCG of GP PracticeNHS NORTH SOMERSET CCG (11T)Oxford Hip Score</v>
      </c>
      <c r="C1522" t="s">
        <v>248</v>
      </c>
      <c r="D1522" t="s">
        <v>87</v>
      </c>
      <c r="E1522" t="s">
        <v>666</v>
      </c>
      <c r="F1522" t="s">
        <v>667</v>
      </c>
      <c r="G1522" t="s">
        <v>14</v>
      </c>
      <c r="H1522">
        <v>197</v>
      </c>
      <c r="I1522">
        <v>18.721</v>
      </c>
      <c r="J1522">
        <v>40.518000000000001</v>
      </c>
      <c r="K1522">
        <v>21.797000000000001</v>
      </c>
      <c r="L1522">
        <v>193</v>
      </c>
      <c r="M1522">
        <v>1</v>
      </c>
      <c r="N1522">
        <v>3</v>
      </c>
      <c r="O1522">
        <v>39.756999999999998</v>
      </c>
      <c r="P1522">
        <v>21.55236726</v>
      </c>
      <c r="Q1522">
        <v>7.9509999999999996</v>
      </c>
    </row>
    <row r="1523" spans="1:17" s="30" customFormat="1" x14ac:dyDescent="0.2">
      <c r="A1523" s="30" t="str">
        <f>IF(C1523&amp;G1523&amp;D1523&lt;&gt;'Funnel setup'!$K$3&amp;'Funnel setup'!$K$4&amp;'Funnel setup'!$K$5,".",IF(A1522=".",1,A1522+1))</f>
        <v>.</v>
      </c>
      <c r="B1523" s="431" t="str">
        <f t="shared" si="23"/>
        <v>Hip Replacement PrimaryCCG of GP PracticeNHS NORTH STAFFORDSHIRE CCG (05G)Oxford Hip Score</v>
      </c>
      <c r="C1523" t="s">
        <v>248</v>
      </c>
      <c r="D1523" t="s">
        <v>87</v>
      </c>
      <c r="E1523" t="s">
        <v>669</v>
      </c>
      <c r="F1523" t="s">
        <v>670</v>
      </c>
      <c r="G1523" t="s">
        <v>14</v>
      </c>
      <c r="H1523">
        <v>204</v>
      </c>
      <c r="I1523">
        <v>15.858000000000001</v>
      </c>
      <c r="J1523">
        <v>39.421999999999997</v>
      </c>
      <c r="K1523">
        <v>23.564</v>
      </c>
      <c r="L1523">
        <v>202</v>
      </c>
      <c r="M1523">
        <v>0</v>
      </c>
      <c r="N1523">
        <v>2</v>
      </c>
      <c r="O1523">
        <v>40.076999999999998</v>
      </c>
      <c r="P1523">
        <v>21.872106280000001</v>
      </c>
      <c r="Q1523">
        <v>7.601</v>
      </c>
    </row>
    <row r="1524" spans="1:17" s="30" customFormat="1" x14ac:dyDescent="0.2">
      <c r="A1524" s="30" t="str">
        <f>IF(C1524&amp;G1524&amp;D1524&lt;&gt;'Funnel setup'!$K$3&amp;'Funnel setup'!$K$4&amp;'Funnel setup'!$K$5,".",IF(A1523=".",1,A1523+1))</f>
        <v>.</v>
      </c>
      <c r="B1524" s="431" t="str">
        <f t="shared" si="23"/>
        <v>Hip Replacement PrimaryCCG of GP PracticeNHS NORTH TYNESIDE CCG (99C)Oxford Hip Score</v>
      </c>
      <c r="C1524" t="s">
        <v>248</v>
      </c>
      <c r="D1524" t="s">
        <v>87</v>
      </c>
      <c r="E1524" t="s">
        <v>672</v>
      </c>
      <c r="F1524" t="s">
        <v>673</v>
      </c>
      <c r="G1524" t="s">
        <v>14</v>
      </c>
      <c r="H1524">
        <v>249</v>
      </c>
      <c r="I1524">
        <v>18.280999999999999</v>
      </c>
      <c r="J1524">
        <v>39.317</v>
      </c>
      <c r="K1524">
        <v>21.036000000000001</v>
      </c>
      <c r="L1524">
        <v>243</v>
      </c>
      <c r="M1524">
        <v>0</v>
      </c>
      <c r="N1524">
        <v>6</v>
      </c>
      <c r="O1524">
        <v>39.643000000000001</v>
      </c>
      <c r="P1524">
        <v>21.438142639999999</v>
      </c>
      <c r="Q1524">
        <v>7.633</v>
      </c>
    </row>
    <row r="1525" spans="1:17" s="30" customFormat="1" x14ac:dyDescent="0.2">
      <c r="A1525" s="30" t="str">
        <f>IF(C1525&amp;G1525&amp;D1525&lt;&gt;'Funnel setup'!$K$3&amp;'Funnel setup'!$K$4&amp;'Funnel setup'!$K$5,".",IF(A1524=".",1,A1524+1))</f>
        <v>.</v>
      </c>
      <c r="B1525" s="431" t="str">
        <f t="shared" si="23"/>
        <v>Hip Replacement PrimaryCCG of GP PracticeNHS NORTH WEST SURREY CCG (09Y)Oxford Hip Score</v>
      </c>
      <c r="C1525" t="s">
        <v>248</v>
      </c>
      <c r="D1525" t="s">
        <v>87</v>
      </c>
      <c r="E1525" t="s">
        <v>675</v>
      </c>
      <c r="F1525" t="s">
        <v>676</v>
      </c>
      <c r="G1525" t="s">
        <v>14</v>
      </c>
      <c r="H1525">
        <v>289</v>
      </c>
      <c r="I1525">
        <v>20.457000000000001</v>
      </c>
      <c r="J1525">
        <v>40.585000000000001</v>
      </c>
      <c r="K1525">
        <v>20.128</v>
      </c>
      <c r="L1525">
        <v>283</v>
      </c>
      <c r="M1525">
        <v>0</v>
      </c>
      <c r="N1525">
        <v>6</v>
      </c>
      <c r="O1525">
        <v>39.546999999999997</v>
      </c>
      <c r="P1525">
        <v>21.34296372</v>
      </c>
      <c r="Q1525">
        <v>7.1740000000000004</v>
      </c>
    </row>
    <row r="1526" spans="1:17" s="30" customFormat="1" x14ac:dyDescent="0.2">
      <c r="A1526" s="30" t="str">
        <f>IF(C1526&amp;G1526&amp;D1526&lt;&gt;'Funnel setup'!$K$3&amp;'Funnel setup'!$K$4&amp;'Funnel setup'!$K$5,".",IF(A1525=".",1,A1525+1))</f>
        <v>.</v>
      </c>
      <c r="B1526" s="431" t="str">
        <f t="shared" si="23"/>
        <v>Hip Replacement PrimaryCCG of GP PracticeNHS NORTHERN, EASTERN AND WESTERN DEVON CCG (99P)Oxford Hip Score</v>
      </c>
      <c r="C1526" t="s">
        <v>248</v>
      </c>
      <c r="D1526" t="s">
        <v>87</v>
      </c>
      <c r="E1526" t="s">
        <v>678</v>
      </c>
      <c r="F1526" t="s">
        <v>679</v>
      </c>
      <c r="G1526" t="s">
        <v>14</v>
      </c>
      <c r="H1526">
        <v>1092</v>
      </c>
      <c r="I1526">
        <v>18.864999999999998</v>
      </c>
      <c r="J1526">
        <v>40.325000000000003</v>
      </c>
      <c r="K1526">
        <v>21.46</v>
      </c>
      <c r="L1526">
        <v>1066</v>
      </c>
      <c r="M1526">
        <v>3</v>
      </c>
      <c r="N1526">
        <v>23</v>
      </c>
      <c r="O1526">
        <v>40.137</v>
      </c>
      <c r="P1526">
        <v>21.93289665</v>
      </c>
      <c r="Q1526">
        <v>7.4880000000000004</v>
      </c>
    </row>
    <row r="1527" spans="1:17" s="30" customFormat="1" x14ac:dyDescent="0.2">
      <c r="A1527" s="30" t="str">
        <f>IF(C1527&amp;G1527&amp;D1527&lt;&gt;'Funnel setup'!$K$3&amp;'Funnel setup'!$K$4&amp;'Funnel setup'!$K$5,".",IF(A1526=".",1,A1526+1))</f>
        <v>.</v>
      </c>
      <c r="B1527" s="431" t="str">
        <f t="shared" si="23"/>
        <v>Hip Replacement PrimaryCCG of GP PracticeNHS NORTHUMBERLAND CCG (00L)Oxford Hip Score</v>
      </c>
      <c r="C1527" t="s">
        <v>248</v>
      </c>
      <c r="D1527" t="s">
        <v>87</v>
      </c>
      <c r="E1527" t="s">
        <v>681</v>
      </c>
      <c r="F1527" t="s">
        <v>336</v>
      </c>
      <c r="G1527" t="s">
        <v>14</v>
      </c>
      <c r="H1527">
        <v>343</v>
      </c>
      <c r="I1527">
        <v>17.869</v>
      </c>
      <c r="J1527">
        <v>39.909999999999997</v>
      </c>
      <c r="K1527">
        <v>22.041</v>
      </c>
      <c r="L1527">
        <v>334</v>
      </c>
      <c r="M1527">
        <v>4</v>
      </c>
      <c r="N1527">
        <v>5</v>
      </c>
      <c r="O1527">
        <v>40.002000000000002</v>
      </c>
      <c r="P1527">
        <v>21.797263189999999</v>
      </c>
      <c r="Q1527">
        <v>8.0180000000000007</v>
      </c>
    </row>
    <row r="1528" spans="1:17" s="30" customFormat="1" x14ac:dyDescent="0.2">
      <c r="A1528" s="30" t="str">
        <f>IF(C1528&amp;G1528&amp;D1528&lt;&gt;'Funnel setup'!$K$3&amp;'Funnel setup'!$K$4&amp;'Funnel setup'!$K$5,".",IF(A1527=".",1,A1527+1))</f>
        <v>.</v>
      </c>
      <c r="B1528" s="431" t="str">
        <f t="shared" si="23"/>
        <v>Hip Replacement PrimaryCCG of GP PracticeNHS NORWICH CCG (06W)Oxford Hip Score</v>
      </c>
      <c r="C1528" t="s">
        <v>248</v>
      </c>
      <c r="D1528" t="s">
        <v>87</v>
      </c>
      <c r="E1528" t="s">
        <v>770</v>
      </c>
      <c r="F1528" t="s">
        <v>771</v>
      </c>
      <c r="G1528" t="s">
        <v>14</v>
      </c>
      <c r="H1528">
        <v>150</v>
      </c>
      <c r="I1528">
        <v>17.68</v>
      </c>
      <c r="J1528">
        <v>39.159999999999997</v>
      </c>
      <c r="K1528">
        <v>21.48</v>
      </c>
      <c r="L1528">
        <v>147</v>
      </c>
      <c r="M1528">
        <v>0</v>
      </c>
      <c r="N1528">
        <v>3</v>
      </c>
      <c r="O1528">
        <v>39.204999999999998</v>
      </c>
      <c r="P1528">
        <v>21.000081250000001</v>
      </c>
      <c r="Q1528">
        <v>8.2739999999999991</v>
      </c>
    </row>
    <row r="1529" spans="1:17" s="30" customFormat="1" x14ac:dyDescent="0.2">
      <c r="A1529" s="30" t="str">
        <f>IF(C1529&amp;G1529&amp;D1529&lt;&gt;'Funnel setup'!$K$3&amp;'Funnel setup'!$K$4&amp;'Funnel setup'!$K$5,".",IF(A1528=".",1,A1528+1))</f>
        <v>.</v>
      </c>
      <c r="B1529" s="431" t="str">
        <f t="shared" si="23"/>
        <v>Hip Replacement PrimaryCCG of GP PracticeNHS NOTTINGHAM CITY CCG (04K)Oxford Hip Score</v>
      </c>
      <c r="C1529" t="s">
        <v>248</v>
      </c>
      <c r="D1529" t="s">
        <v>87</v>
      </c>
      <c r="E1529" t="s">
        <v>773</v>
      </c>
      <c r="F1529" t="s">
        <v>774</v>
      </c>
      <c r="G1529" t="s">
        <v>14</v>
      </c>
      <c r="H1529">
        <v>125</v>
      </c>
      <c r="I1529">
        <v>18.327999999999999</v>
      </c>
      <c r="J1529">
        <v>39.031999999999996</v>
      </c>
      <c r="K1529">
        <v>20.704000000000001</v>
      </c>
      <c r="L1529">
        <v>124</v>
      </c>
      <c r="M1529">
        <v>0</v>
      </c>
      <c r="N1529">
        <v>1</v>
      </c>
      <c r="O1529">
        <v>40.003999999999998</v>
      </c>
      <c r="P1529">
        <v>21.799697389999999</v>
      </c>
      <c r="Q1529">
        <v>8.2870000000000008</v>
      </c>
    </row>
    <row r="1530" spans="1:17" s="30" customFormat="1" x14ac:dyDescent="0.2">
      <c r="A1530" s="30" t="str">
        <f>IF(C1530&amp;G1530&amp;D1530&lt;&gt;'Funnel setup'!$K$3&amp;'Funnel setup'!$K$4&amp;'Funnel setup'!$K$5,".",IF(A1529=".",1,A1529+1))</f>
        <v>.</v>
      </c>
      <c r="B1530" s="431" t="str">
        <f t="shared" si="23"/>
        <v>Hip Replacement PrimaryCCG of GP PracticeNHS NOTTINGHAM NORTH AND EAST CCG (04L)Oxford Hip Score</v>
      </c>
      <c r="C1530" t="s">
        <v>248</v>
      </c>
      <c r="D1530" t="s">
        <v>87</v>
      </c>
      <c r="E1530" t="s">
        <v>776</v>
      </c>
      <c r="F1530" t="s">
        <v>777</v>
      </c>
      <c r="G1530" t="s">
        <v>14</v>
      </c>
      <c r="H1530">
        <v>149</v>
      </c>
      <c r="I1530">
        <v>19.181000000000001</v>
      </c>
      <c r="J1530">
        <v>39.134</v>
      </c>
      <c r="K1530">
        <v>19.952999999999999</v>
      </c>
      <c r="L1530">
        <v>144</v>
      </c>
      <c r="M1530">
        <v>1</v>
      </c>
      <c r="N1530">
        <v>4</v>
      </c>
      <c r="O1530">
        <v>38.658000000000001</v>
      </c>
      <c r="P1530">
        <v>20.453967859999999</v>
      </c>
      <c r="Q1530">
        <v>7.46</v>
      </c>
    </row>
    <row r="1531" spans="1:17" s="30" customFormat="1" x14ac:dyDescent="0.2">
      <c r="A1531" s="30" t="str">
        <f>IF(C1531&amp;G1531&amp;D1531&lt;&gt;'Funnel setup'!$K$3&amp;'Funnel setup'!$K$4&amp;'Funnel setup'!$K$5,".",IF(A1530=".",1,A1530+1))</f>
        <v>.</v>
      </c>
      <c r="B1531" s="431" t="str">
        <f t="shared" si="23"/>
        <v>Hip Replacement PrimaryCCG of GP PracticeNHS NOTTINGHAM WEST CCG (04M)Oxford Hip Score</v>
      </c>
      <c r="C1531" t="s">
        <v>248</v>
      </c>
      <c r="D1531" t="s">
        <v>87</v>
      </c>
      <c r="E1531" t="s">
        <v>779</v>
      </c>
      <c r="F1531" t="s">
        <v>780</v>
      </c>
      <c r="G1531" t="s">
        <v>14</v>
      </c>
      <c r="H1531">
        <v>94</v>
      </c>
      <c r="I1531">
        <v>18.946999999999999</v>
      </c>
      <c r="J1531">
        <v>40.722999999999999</v>
      </c>
      <c r="K1531">
        <v>21.777000000000001</v>
      </c>
      <c r="L1531">
        <v>92</v>
      </c>
      <c r="M1531">
        <v>1</v>
      </c>
      <c r="N1531">
        <v>1</v>
      </c>
      <c r="O1531">
        <v>40.082999999999998</v>
      </c>
      <c r="P1531">
        <v>21.878229149999999</v>
      </c>
      <c r="Q1531">
        <v>7.77</v>
      </c>
    </row>
    <row r="1532" spans="1:17" s="30" customFormat="1" x14ac:dyDescent="0.2">
      <c r="A1532" s="30" t="str">
        <f>IF(C1532&amp;G1532&amp;D1532&lt;&gt;'Funnel setup'!$K$3&amp;'Funnel setup'!$K$4&amp;'Funnel setup'!$K$5,".",IF(A1531=".",1,A1531+1))</f>
        <v>.</v>
      </c>
      <c r="B1532" s="431" t="str">
        <f t="shared" si="23"/>
        <v>Hip Replacement PrimaryCCG of GP PracticeNHS OLDHAM CCG (00Y)Oxford Hip Score</v>
      </c>
      <c r="C1532" t="s">
        <v>248</v>
      </c>
      <c r="D1532" t="s">
        <v>87</v>
      </c>
      <c r="E1532" t="s">
        <v>782</v>
      </c>
      <c r="F1532" t="s">
        <v>783</v>
      </c>
      <c r="G1532" t="s">
        <v>14</v>
      </c>
      <c r="H1532">
        <v>123</v>
      </c>
      <c r="I1532">
        <v>16.033000000000001</v>
      </c>
      <c r="J1532">
        <v>38.683</v>
      </c>
      <c r="K1532">
        <v>22.65</v>
      </c>
      <c r="L1532">
        <v>120</v>
      </c>
      <c r="M1532">
        <v>2</v>
      </c>
      <c r="N1532">
        <v>1</v>
      </c>
      <c r="O1532">
        <v>40.04</v>
      </c>
      <c r="P1532">
        <v>21.83587765</v>
      </c>
      <c r="Q1532">
        <v>8.3780000000000001</v>
      </c>
    </row>
    <row r="1533" spans="1:17" s="30" customFormat="1" x14ac:dyDescent="0.2">
      <c r="A1533" s="30" t="str">
        <f>IF(C1533&amp;G1533&amp;D1533&lt;&gt;'Funnel setup'!$K$3&amp;'Funnel setup'!$K$4&amp;'Funnel setup'!$K$5,".",IF(A1532=".",1,A1532+1))</f>
        <v>.</v>
      </c>
      <c r="B1533" s="431" t="str">
        <f t="shared" si="23"/>
        <v>Hip Replacement PrimaryCCG of GP PracticeNHS OXFORDSHIRE CCG (10Q)Oxford Hip Score</v>
      </c>
      <c r="C1533" t="s">
        <v>248</v>
      </c>
      <c r="D1533" t="s">
        <v>87</v>
      </c>
      <c r="E1533" t="s">
        <v>785</v>
      </c>
      <c r="F1533" t="s">
        <v>786</v>
      </c>
      <c r="G1533" t="s">
        <v>14</v>
      </c>
      <c r="H1533">
        <v>578</v>
      </c>
      <c r="I1533">
        <v>18.954999999999998</v>
      </c>
      <c r="J1533">
        <v>40.613999999999997</v>
      </c>
      <c r="K1533">
        <v>21.658999999999999</v>
      </c>
      <c r="L1533">
        <v>563</v>
      </c>
      <c r="M1533">
        <v>4</v>
      </c>
      <c r="N1533">
        <v>11</v>
      </c>
      <c r="O1533">
        <v>39.834000000000003</v>
      </c>
      <c r="P1533">
        <v>21.629427580000002</v>
      </c>
      <c r="Q1533">
        <v>7.5970000000000004</v>
      </c>
    </row>
    <row r="1534" spans="1:17" s="30" customFormat="1" x14ac:dyDescent="0.2">
      <c r="A1534" s="30" t="str">
        <f>IF(C1534&amp;G1534&amp;D1534&lt;&gt;'Funnel setup'!$K$3&amp;'Funnel setup'!$K$4&amp;'Funnel setup'!$K$5,".",IF(A1533=".",1,A1533+1))</f>
        <v>.</v>
      </c>
      <c r="B1534" s="431" t="str">
        <f t="shared" si="23"/>
        <v>Hip Replacement PrimaryCCG of GP PracticeNHS PORTSMOUTH CCG (10R)Oxford Hip Score</v>
      </c>
      <c r="C1534" t="s">
        <v>248</v>
      </c>
      <c r="D1534" t="s">
        <v>87</v>
      </c>
      <c r="E1534" t="s">
        <v>788</v>
      </c>
      <c r="F1534" t="s">
        <v>789</v>
      </c>
      <c r="G1534" t="s">
        <v>14</v>
      </c>
      <c r="H1534">
        <v>70</v>
      </c>
      <c r="I1534">
        <v>16.843</v>
      </c>
      <c r="J1534">
        <v>39.557000000000002</v>
      </c>
      <c r="K1534">
        <v>22.713999999999999</v>
      </c>
      <c r="L1534">
        <v>69</v>
      </c>
      <c r="M1534">
        <v>1</v>
      </c>
      <c r="N1534">
        <v>0</v>
      </c>
      <c r="O1534">
        <v>40.593000000000004</v>
      </c>
      <c r="P1534">
        <v>22.38825894</v>
      </c>
      <c r="Q1534">
        <v>7.68</v>
      </c>
    </row>
    <row r="1535" spans="1:17" s="30" customFormat="1" x14ac:dyDescent="0.2">
      <c r="A1535" s="30" t="str">
        <f>IF(C1535&amp;G1535&amp;D1535&lt;&gt;'Funnel setup'!$K$3&amp;'Funnel setup'!$K$4&amp;'Funnel setup'!$K$5,".",IF(A1534=".",1,A1534+1))</f>
        <v>.</v>
      </c>
      <c r="B1535" s="431" t="str">
        <f t="shared" si="23"/>
        <v>Hip Replacement PrimaryCCG of GP PracticeNHS REDBRIDGE CCG (08N)Oxford Hip Score</v>
      </c>
      <c r="C1535" t="s">
        <v>248</v>
      </c>
      <c r="D1535" t="s">
        <v>87</v>
      </c>
      <c r="E1535" t="s">
        <v>791</v>
      </c>
      <c r="F1535" t="s">
        <v>792</v>
      </c>
      <c r="G1535" t="s">
        <v>14</v>
      </c>
      <c r="H1535">
        <v>58</v>
      </c>
      <c r="I1535">
        <v>16.809999999999999</v>
      </c>
      <c r="J1535">
        <v>37.207000000000001</v>
      </c>
      <c r="K1535">
        <v>20.396999999999998</v>
      </c>
      <c r="L1535">
        <v>56</v>
      </c>
      <c r="M1535">
        <v>0</v>
      </c>
      <c r="N1535">
        <v>2</v>
      </c>
      <c r="O1535">
        <v>38.418999999999997</v>
      </c>
      <c r="P1535">
        <v>20.21428684</v>
      </c>
      <c r="Q1535">
        <v>9.0139999999999993</v>
      </c>
    </row>
    <row r="1536" spans="1:17" s="30" customFormat="1" x14ac:dyDescent="0.2">
      <c r="A1536" s="30" t="str">
        <f>IF(C1536&amp;G1536&amp;D1536&lt;&gt;'Funnel setup'!$K$3&amp;'Funnel setup'!$K$4&amp;'Funnel setup'!$K$5,".",IF(A1535=".",1,A1535+1))</f>
        <v>.</v>
      </c>
      <c r="B1536" s="431" t="str">
        <f t="shared" si="23"/>
        <v>Hip Replacement PrimaryCCG of GP PracticeNHS REDDITCH AND BROMSGROVE CCG (05J)Oxford Hip Score</v>
      </c>
      <c r="C1536" t="s">
        <v>248</v>
      </c>
      <c r="D1536" t="s">
        <v>87</v>
      </c>
      <c r="E1536" t="s">
        <v>794</v>
      </c>
      <c r="F1536" t="s">
        <v>795</v>
      </c>
      <c r="G1536" t="s">
        <v>14</v>
      </c>
      <c r="H1536">
        <v>155</v>
      </c>
      <c r="I1536">
        <v>17.844999999999999</v>
      </c>
      <c r="J1536">
        <v>39.354999999999997</v>
      </c>
      <c r="K1536">
        <v>21.51</v>
      </c>
      <c r="L1536">
        <v>154</v>
      </c>
      <c r="M1536">
        <v>0</v>
      </c>
      <c r="N1536">
        <v>1</v>
      </c>
      <c r="O1536">
        <v>39.231000000000002</v>
      </c>
      <c r="P1536">
        <v>21.026717000000001</v>
      </c>
      <c r="Q1536">
        <v>7.282</v>
      </c>
    </row>
    <row r="1537" spans="1:17" s="30" customFormat="1" x14ac:dyDescent="0.2">
      <c r="A1537" s="30" t="str">
        <f>IF(C1537&amp;G1537&amp;D1537&lt;&gt;'Funnel setup'!$K$3&amp;'Funnel setup'!$K$4&amp;'Funnel setup'!$K$5,".",IF(A1536=".",1,A1536+1))</f>
        <v>.</v>
      </c>
      <c r="B1537" s="431" t="str">
        <f t="shared" si="23"/>
        <v>Hip Replacement PrimaryCCG of GP PracticeNHS RICHMOND CCG (08P)Oxford Hip Score</v>
      </c>
      <c r="C1537" t="s">
        <v>248</v>
      </c>
      <c r="D1537" t="s">
        <v>87</v>
      </c>
      <c r="E1537" t="s">
        <v>797</v>
      </c>
      <c r="F1537" t="s">
        <v>798</v>
      </c>
      <c r="G1537" t="s">
        <v>14</v>
      </c>
      <c r="H1537">
        <v>94</v>
      </c>
      <c r="I1537">
        <v>19.66</v>
      </c>
      <c r="J1537">
        <v>41.447000000000003</v>
      </c>
      <c r="K1537">
        <v>21.786999999999999</v>
      </c>
      <c r="L1537">
        <v>92</v>
      </c>
      <c r="M1537">
        <v>0</v>
      </c>
      <c r="N1537">
        <v>2</v>
      </c>
      <c r="O1537">
        <v>40.631999999999998</v>
      </c>
      <c r="P1537">
        <v>22.42707635</v>
      </c>
      <c r="Q1537">
        <v>6.1369999999999996</v>
      </c>
    </row>
    <row r="1538" spans="1:17" s="30" customFormat="1" x14ac:dyDescent="0.2">
      <c r="A1538" s="30" t="str">
        <f>IF(C1538&amp;G1538&amp;D1538&lt;&gt;'Funnel setup'!$K$3&amp;'Funnel setup'!$K$4&amp;'Funnel setup'!$K$5,".",IF(A1537=".",1,A1537+1))</f>
        <v>.</v>
      </c>
      <c r="B1538" s="431" t="str">
        <f t="shared" si="23"/>
        <v>Hip Replacement PrimaryCCG of GP PracticeNHS ROTHERHAM CCG (03L)Oxford Hip Score</v>
      </c>
      <c r="C1538" t="s">
        <v>248</v>
      </c>
      <c r="D1538" t="s">
        <v>87</v>
      </c>
      <c r="E1538" t="s">
        <v>800</v>
      </c>
      <c r="F1538" t="s">
        <v>801</v>
      </c>
      <c r="G1538" t="s">
        <v>14</v>
      </c>
      <c r="H1538">
        <v>186</v>
      </c>
      <c r="I1538">
        <v>16.398</v>
      </c>
      <c r="J1538">
        <v>39.677</v>
      </c>
      <c r="K1538">
        <v>23.28</v>
      </c>
      <c r="L1538">
        <v>181</v>
      </c>
      <c r="M1538">
        <v>0</v>
      </c>
      <c r="N1538">
        <v>5</v>
      </c>
      <c r="O1538">
        <v>40.686999999999998</v>
      </c>
      <c r="P1538">
        <v>22.482604940000002</v>
      </c>
      <c r="Q1538">
        <v>8.1140000000000008</v>
      </c>
    </row>
    <row r="1539" spans="1:17" s="30" customFormat="1" x14ac:dyDescent="0.2">
      <c r="A1539" s="30" t="str">
        <f>IF(C1539&amp;G1539&amp;D1539&lt;&gt;'Funnel setup'!$K$3&amp;'Funnel setup'!$K$4&amp;'Funnel setup'!$K$5,".",IF(A1538=".",1,A1538+1))</f>
        <v>.</v>
      </c>
      <c r="B1539" s="431" t="str">
        <f t="shared" ref="B1539:B1602" si="24">C1539&amp;D1539&amp;F1539&amp;G1539</f>
        <v>Hip Replacement PrimaryCCG of GP PracticeNHS RUSHCLIFFE CCG (04N)Oxford Hip Score</v>
      </c>
      <c r="C1539" t="s">
        <v>248</v>
      </c>
      <c r="D1539" t="s">
        <v>87</v>
      </c>
      <c r="E1539" t="s">
        <v>803</v>
      </c>
      <c r="F1539" t="s">
        <v>804</v>
      </c>
      <c r="G1539" t="s">
        <v>14</v>
      </c>
      <c r="H1539">
        <v>106</v>
      </c>
      <c r="I1539">
        <v>19.905999999999999</v>
      </c>
      <c r="J1539">
        <v>41.075000000000003</v>
      </c>
      <c r="K1539">
        <v>21.17</v>
      </c>
      <c r="L1539">
        <v>104</v>
      </c>
      <c r="M1539">
        <v>0</v>
      </c>
      <c r="N1539">
        <v>2</v>
      </c>
      <c r="O1539">
        <v>39.786000000000001</v>
      </c>
      <c r="P1539">
        <v>21.58188985</v>
      </c>
      <c r="Q1539">
        <v>6.6020000000000003</v>
      </c>
    </row>
    <row r="1540" spans="1:17" s="30" customFormat="1" x14ac:dyDescent="0.2">
      <c r="A1540" s="30" t="str">
        <f>IF(C1540&amp;G1540&amp;D1540&lt;&gt;'Funnel setup'!$K$3&amp;'Funnel setup'!$K$4&amp;'Funnel setup'!$K$5,".",IF(A1539=".",1,A1539+1))</f>
        <v>.</v>
      </c>
      <c r="B1540" s="431" t="str">
        <f t="shared" si="24"/>
        <v>Hip Replacement PrimaryCCG of GP PracticeNHS SALFORD CCG (01G)Oxford Hip Score</v>
      </c>
      <c r="C1540" t="s">
        <v>248</v>
      </c>
      <c r="D1540" t="s">
        <v>87</v>
      </c>
      <c r="E1540" t="s">
        <v>806</v>
      </c>
      <c r="F1540" t="s">
        <v>807</v>
      </c>
      <c r="G1540" t="s">
        <v>14</v>
      </c>
      <c r="H1540">
        <v>90</v>
      </c>
      <c r="I1540">
        <v>17.3</v>
      </c>
      <c r="J1540">
        <v>39.311</v>
      </c>
      <c r="K1540">
        <v>22.010999999999999</v>
      </c>
      <c r="L1540">
        <v>87</v>
      </c>
      <c r="M1540">
        <v>1</v>
      </c>
      <c r="N1540">
        <v>2</v>
      </c>
      <c r="O1540">
        <v>40.442</v>
      </c>
      <c r="P1540">
        <v>22.237572839999999</v>
      </c>
      <c r="Q1540">
        <v>7.9720000000000004</v>
      </c>
    </row>
    <row r="1541" spans="1:17" s="30" customFormat="1" x14ac:dyDescent="0.2">
      <c r="A1541" s="30" t="str">
        <f>IF(C1541&amp;G1541&amp;D1541&lt;&gt;'Funnel setup'!$K$3&amp;'Funnel setup'!$K$4&amp;'Funnel setup'!$K$5,".",IF(A1540=".",1,A1540+1))</f>
        <v>.</v>
      </c>
      <c r="B1541" s="431" t="str">
        <f t="shared" si="24"/>
        <v>Hip Replacement PrimaryCCG of GP PracticeNHS SANDWELL AND WEST BIRMINGHAM CCG (05L)Oxford Hip Score</v>
      </c>
      <c r="C1541" t="s">
        <v>248</v>
      </c>
      <c r="D1541" t="s">
        <v>87</v>
      </c>
      <c r="E1541" t="s">
        <v>809</v>
      </c>
      <c r="F1541" t="s">
        <v>810</v>
      </c>
      <c r="G1541" t="s">
        <v>14</v>
      </c>
      <c r="H1541">
        <v>220</v>
      </c>
      <c r="I1541">
        <v>14.491</v>
      </c>
      <c r="J1541">
        <v>35.85</v>
      </c>
      <c r="K1541">
        <v>21.359000000000002</v>
      </c>
      <c r="L1541">
        <v>210</v>
      </c>
      <c r="M1541">
        <v>2</v>
      </c>
      <c r="N1541">
        <v>8</v>
      </c>
      <c r="O1541">
        <v>38.829000000000001</v>
      </c>
      <c r="P1541">
        <v>20.624593780000001</v>
      </c>
      <c r="Q1541">
        <v>9.1170000000000009</v>
      </c>
    </row>
    <row r="1542" spans="1:17" s="30" customFormat="1" x14ac:dyDescent="0.2">
      <c r="A1542" s="30" t="str">
        <f>IF(C1542&amp;G1542&amp;D1542&lt;&gt;'Funnel setup'!$K$3&amp;'Funnel setup'!$K$4&amp;'Funnel setup'!$K$5,".",IF(A1541=".",1,A1541+1))</f>
        <v>.</v>
      </c>
      <c r="B1542" s="431" t="str">
        <f t="shared" si="24"/>
        <v>Hip Replacement PrimaryCCG of GP PracticeNHS SCARBOROUGH AND RYEDALE CCG (03M)Oxford Hip Score</v>
      </c>
      <c r="C1542" t="s">
        <v>248</v>
      </c>
      <c r="D1542" t="s">
        <v>87</v>
      </c>
      <c r="E1542" t="s">
        <v>812</v>
      </c>
      <c r="F1542" t="s">
        <v>813</v>
      </c>
      <c r="G1542" t="s">
        <v>14</v>
      </c>
      <c r="H1542">
        <v>160</v>
      </c>
      <c r="I1542">
        <v>15.930999999999999</v>
      </c>
      <c r="J1542">
        <v>41.606000000000002</v>
      </c>
      <c r="K1542">
        <v>25.675000000000001</v>
      </c>
      <c r="L1542">
        <v>158</v>
      </c>
      <c r="M1542">
        <v>1</v>
      </c>
      <c r="N1542">
        <v>1</v>
      </c>
      <c r="O1542">
        <v>41.936</v>
      </c>
      <c r="P1542">
        <v>23.731904230000001</v>
      </c>
      <c r="Q1542">
        <v>6.7889999999999997</v>
      </c>
    </row>
    <row r="1543" spans="1:17" s="30" customFormat="1" x14ac:dyDescent="0.2">
      <c r="A1543" s="30" t="str">
        <f>IF(C1543&amp;G1543&amp;D1543&lt;&gt;'Funnel setup'!$K$3&amp;'Funnel setup'!$K$4&amp;'Funnel setup'!$K$5,".",IF(A1542=".",1,A1542+1))</f>
        <v>.</v>
      </c>
      <c r="B1543" s="431" t="str">
        <f t="shared" si="24"/>
        <v>Hip Replacement PrimaryCCG of GP PracticeNHS SHEFFIELD CCG (03N)Oxford Hip Score</v>
      </c>
      <c r="C1543" t="s">
        <v>248</v>
      </c>
      <c r="D1543" t="s">
        <v>87</v>
      </c>
      <c r="E1543" t="s">
        <v>815</v>
      </c>
      <c r="F1543" t="s">
        <v>816</v>
      </c>
      <c r="G1543" t="s">
        <v>14</v>
      </c>
      <c r="H1543">
        <v>369</v>
      </c>
      <c r="I1543">
        <v>16.658999999999999</v>
      </c>
      <c r="J1543">
        <v>39.061999999999998</v>
      </c>
      <c r="K1543">
        <v>22.404</v>
      </c>
      <c r="L1543">
        <v>362</v>
      </c>
      <c r="M1543">
        <v>0</v>
      </c>
      <c r="N1543">
        <v>7</v>
      </c>
      <c r="O1543">
        <v>39.643999999999998</v>
      </c>
      <c r="P1543">
        <v>21.439442589999999</v>
      </c>
      <c r="Q1543">
        <v>7.8070000000000004</v>
      </c>
    </row>
    <row r="1544" spans="1:17" s="30" customFormat="1" x14ac:dyDescent="0.2">
      <c r="A1544" s="30" t="str">
        <f>IF(C1544&amp;G1544&amp;D1544&lt;&gt;'Funnel setup'!$K$3&amp;'Funnel setup'!$K$4&amp;'Funnel setup'!$K$5,".",IF(A1543=".",1,A1543+1))</f>
        <v>.</v>
      </c>
      <c r="B1544" s="431" t="str">
        <f t="shared" si="24"/>
        <v>Hip Replacement PrimaryCCG of GP PracticeNHS SHROPSHIRE CCG (05N)Oxford Hip Score</v>
      </c>
      <c r="C1544" t="s">
        <v>248</v>
      </c>
      <c r="D1544" t="s">
        <v>87</v>
      </c>
      <c r="E1544" t="s">
        <v>818</v>
      </c>
      <c r="F1544" t="s">
        <v>819</v>
      </c>
      <c r="G1544" t="s">
        <v>14</v>
      </c>
      <c r="H1544">
        <v>462</v>
      </c>
      <c r="I1544">
        <v>16.846</v>
      </c>
      <c r="J1544">
        <v>40.317999999999998</v>
      </c>
      <c r="K1544">
        <v>23.472000000000001</v>
      </c>
      <c r="L1544">
        <v>453</v>
      </c>
      <c r="M1544">
        <v>1</v>
      </c>
      <c r="N1544">
        <v>8</v>
      </c>
      <c r="O1544">
        <v>38.987000000000002</v>
      </c>
      <c r="P1544">
        <v>20.78211598</v>
      </c>
      <c r="Q1544">
        <v>7.4349999999999996</v>
      </c>
    </row>
    <row r="1545" spans="1:17" s="30" customFormat="1" x14ac:dyDescent="0.2">
      <c r="A1545" s="30" t="str">
        <f>IF(C1545&amp;G1545&amp;D1545&lt;&gt;'Funnel setup'!$K$3&amp;'Funnel setup'!$K$4&amp;'Funnel setup'!$K$5,".",IF(A1544=".",1,A1544+1))</f>
        <v>.</v>
      </c>
      <c r="B1545" s="431" t="str">
        <f t="shared" si="24"/>
        <v>Hip Replacement PrimaryCCG of GP PracticeNHS SLOUGH CCG (10T)Oxford Hip Score</v>
      </c>
      <c r="C1545" t="s">
        <v>248</v>
      </c>
      <c r="D1545" t="s">
        <v>87</v>
      </c>
      <c r="E1545" t="s">
        <v>821</v>
      </c>
      <c r="F1545" t="s">
        <v>822</v>
      </c>
      <c r="G1545" t="s">
        <v>14</v>
      </c>
      <c r="H1545">
        <v>34</v>
      </c>
      <c r="I1545">
        <v>18.529</v>
      </c>
      <c r="J1545">
        <v>38.470999999999997</v>
      </c>
      <c r="K1545">
        <v>19.940999999999999</v>
      </c>
      <c r="L1545">
        <v>33</v>
      </c>
      <c r="M1545">
        <v>0</v>
      </c>
      <c r="N1545">
        <v>1</v>
      </c>
      <c r="O1545">
        <v>39.343000000000004</v>
      </c>
      <c r="P1545">
        <v>21.13855985</v>
      </c>
      <c r="Q1545">
        <v>7.9580000000000002</v>
      </c>
    </row>
    <row r="1546" spans="1:17" s="30" customFormat="1" x14ac:dyDescent="0.2">
      <c r="A1546" s="30" t="str">
        <f>IF(C1546&amp;G1546&amp;D1546&lt;&gt;'Funnel setup'!$K$3&amp;'Funnel setup'!$K$4&amp;'Funnel setup'!$K$5,".",IF(A1545=".",1,A1545+1))</f>
        <v>.</v>
      </c>
      <c r="B1546" s="431" t="str">
        <f t="shared" si="24"/>
        <v>Hip Replacement PrimaryCCG of GP PracticeNHS SOLIHULL CCG (05P)Oxford Hip Score</v>
      </c>
      <c r="C1546" t="s">
        <v>248</v>
      </c>
      <c r="D1546" t="s">
        <v>87</v>
      </c>
      <c r="E1546" t="s">
        <v>824</v>
      </c>
      <c r="F1546" t="s">
        <v>825</v>
      </c>
      <c r="G1546" t="s">
        <v>14</v>
      </c>
      <c r="H1546">
        <v>223</v>
      </c>
      <c r="I1546">
        <v>18.852</v>
      </c>
      <c r="J1546">
        <v>38.933</v>
      </c>
      <c r="K1546">
        <v>20.081</v>
      </c>
      <c r="L1546">
        <v>213</v>
      </c>
      <c r="M1546">
        <v>1</v>
      </c>
      <c r="N1546">
        <v>9</v>
      </c>
      <c r="O1546">
        <v>38.783000000000001</v>
      </c>
      <c r="P1546">
        <v>20.578957639999999</v>
      </c>
      <c r="Q1546">
        <v>7.75</v>
      </c>
    </row>
    <row r="1547" spans="1:17" s="30" customFormat="1" x14ac:dyDescent="0.2">
      <c r="A1547" s="30" t="str">
        <f>IF(C1547&amp;G1547&amp;D1547&lt;&gt;'Funnel setup'!$K$3&amp;'Funnel setup'!$K$4&amp;'Funnel setup'!$K$5,".",IF(A1546=".",1,A1546+1))</f>
        <v>.</v>
      </c>
      <c r="B1547" s="431" t="str">
        <f t="shared" si="24"/>
        <v>Hip Replacement PrimaryCCG of GP PracticeNHS SOMERSET CCG (11X)Oxford Hip Score</v>
      </c>
      <c r="C1547" t="s">
        <v>248</v>
      </c>
      <c r="D1547" t="s">
        <v>87</v>
      </c>
      <c r="E1547" t="s">
        <v>827</v>
      </c>
      <c r="F1547" t="s">
        <v>828</v>
      </c>
      <c r="G1547" t="s">
        <v>14</v>
      </c>
      <c r="H1547">
        <v>523</v>
      </c>
      <c r="I1547">
        <v>18.754999999999999</v>
      </c>
      <c r="J1547">
        <v>42.125999999999998</v>
      </c>
      <c r="K1547">
        <v>23.370999999999999</v>
      </c>
      <c r="L1547">
        <v>515</v>
      </c>
      <c r="M1547">
        <v>1</v>
      </c>
      <c r="N1547">
        <v>7</v>
      </c>
      <c r="O1547">
        <v>41.274000000000001</v>
      </c>
      <c r="P1547">
        <v>23.06960406</v>
      </c>
      <c r="Q1547">
        <v>6.8019999999999996</v>
      </c>
    </row>
    <row r="1548" spans="1:17" s="30" customFormat="1" x14ac:dyDescent="0.2">
      <c r="A1548" s="30" t="str">
        <f>IF(C1548&amp;G1548&amp;D1548&lt;&gt;'Funnel setup'!$K$3&amp;'Funnel setup'!$K$4&amp;'Funnel setup'!$K$5,".",IF(A1547=".",1,A1547+1))</f>
        <v>.</v>
      </c>
      <c r="B1548" s="431" t="str">
        <f t="shared" si="24"/>
        <v>Hip Replacement PrimaryCCG of GP PracticeNHS SOUTH CHESHIRE CCG (01R)Oxford Hip Score</v>
      </c>
      <c r="C1548" t="s">
        <v>248</v>
      </c>
      <c r="D1548" t="s">
        <v>87</v>
      </c>
      <c r="E1548" t="s">
        <v>830</v>
      </c>
      <c r="F1548" t="s">
        <v>831</v>
      </c>
      <c r="G1548" t="s">
        <v>14</v>
      </c>
      <c r="H1548">
        <v>177</v>
      </c>
      <c r="I1548">
        <v>17.593</v>
      </c>
      <c r="J1548">
        <v>40.085000000000001</v>
      </c>
      <c r="K1548">
        <v>22.492000000000001</v>
      </c>
      <c r="L1548">
        <v>176</v>
      </c>
      <c r="M1548">
        <v>0</v>
      </c>
      <c r="N1548">
        <v>1</v>
      </c>
      <c r="O1548">
        <v>39.517000000000003</v>
      </c>
      <c r="P1548">
        <v>21.312428189999999</v>
      </c>
      <c r="Q1548">
        <v>7.02</v>
      </c>
    </row>
    <row r="1549" spans="1:17" s="30" customFormat="1" x14ac:dyDescent="0.2">
      <c r="A1549" s="30" t="str">
        <f>IF(C1549&amp;G1549&amp;D1549&lt;&gt;'Funnel setup'!$K$3&amp;'Funnel setup'!$K$4&amp;'Funnel setup'!$K$5,".",IF(A1548=".",1,A1548+1))</f>
        <v>.</v>
      </c>
      <c r="B1549" s="431" t="str">
        <f t="shared" si="24"/>
        <v>Hip Replacement PrimaryCCG of GP PracticeNHS SOUTH DEVON AND TORBAY CCG (99Q)Oxford Hip Score</v>
      </c>
      <c r="C1549" t="s">
        <v>248</v>
      </c>
      <c r="D1549" t="s">
        <v>87</v>
      </c>
      <c r="E1549" t="s">
        <v>833</v>
      </c>
      <c r="F1549" t="s">
        <v>834</v>
      </c>
      <c r="G1549" t="s">
        <v>14</v>
      </c>
      <c r="H1549">
        <v>393</v>
      </c>
      <c r="I1549">
        <v>19.023</v>
      </c>
      <c r="J1549">
        <v>38.786000000000001</v>
      </c>
      <c r="K1549">
        <v>19.763000000000002</v>
      </c>
      <c r="L1549">
        <v>383</v>
      </c>
      <c r="M1549">
        <v>2</v>
      </c>
      <c r="N1549">
        <v>8</v>
      </c>
      <c r="O1549">
        <v>38.975999999999999</v>
      </c>
      <c r="P1549">
        <v>20.771177269999999</v>
      </c>
      <c r="Q1549">
        <v>8.4280000000000008</v>
      </c>
    </row>
    <row r="1550" spans="1:17" s="30" customFormat="1" x14ac:dyDescent="0.2">
      <c r="A1550" s="30" t="str">
        <f>IF(C1550&amp;G1550&amp;D1550&lt;&gt;'Funnel setup'!$K$3&amp;'Funnel setup'!$K$4&amp;'Funnel setup'!$K$5,".",IF(A1549=".",1,A1549+1))</f>
        <v>.</v>
      </c>
      <c r="B1550" s="431" t="str">
        <f t="shared" si="24"/>
        <v>Hip Replacement PrimaryCCG of GP PracticeNHS SOUTH EAST STAFFORDSHIRE AND SEISDON PENINSULA CCG (05Q)Oxford Hip Score</v>
      </c>
      <c r="C1550" t="s">
        <v>248</v>
      </c>
      <c r="D1550" t="s">
        <v>87</v>
      </c>
      <c r="E1550" t="s">
        <v>836</v>
      </c>
      <c r="F1550" t="s">
        <v>837</v>
      </c>
      <c r="G1550" t="s">
        <v>14</v>
      </c>
      <c r="H1550">
        <v>185</v>
      </c>
      <c r="I1550">
        <v>17.140999999999998</v>
      </c>
      <c r="J1550">
        <v>39.286000000000001</v>
      </c>
      <c r="K1550">
        <v>22.146000000000001</v>
      </c>
      <c r="L1550">
        <v>181</v>
      </c>
      <c r="M1550">
        <v>0</v>
      </c>
      <c r="N1550">
        <v>4</v>
      </c>
      <c r="O1550">
        <v>39.725000000000001</v>
      </c>
      <c r="P1550">
        <v>21.520737189999998</v>
      </c>
      <c r="Q1550">
        <v>8.33</v>
      </c>
    </row>
    <row r="1551" spans="1:17" s="30" customFormat="1" x14ac:dyDescent="0.2">
      <c r="A1551" s="30" t="str">
        <f>IF(C1551&amp;G1551&amp;D1551&lt;&gt;'Funnel setup'!$K$3&amp;'Funnel setup'!$K$4&amp;'Funnel setup'!$K$5,".",IF(A1550=".",1,A1550+1))</f>
        <v>.</v>
      </c>
      <c r="B1551" s="431" t="str">
        <f t="shared" si="24"/>
        <v>Hip Replacement PrimaryCCG of GP PracticeNHS SOUTH EASTERN HAMPSHIRE CCG (10V)Oxford Hip Score</v>
      </c>
      <c r="C1551" t="s">
        <v>248</v>
      </c>
      <c r="D1551" t="s">
        <v>87</v>
      </c>
      <c r="E1551" t="s">
        <v>839</v>
      </c>
      <c r="F1551" t="s">
        <v>840</v>
      </c>
      <c r="G1551" t="s">
        <v>14</v>
      </c>
      <c r="H1551">
        <v>144</v>
      </c>
      <c r="I1551">
        <v>18.742999999999999</v>
      </c>
      <c r="J1551">
        <v>40.514000000000003</v>
      </c>
      <c r="K1551">
        <v>21.771000000000001</v>
      </c>
      <c r="L1551">
        <v>140</v>
      </c>
      <c r="M1551">
        <v>2</v>
      </c>
      <c r="N1551">
        <v>2</v>
      </c>
      <c r="O1551">
        <v>40.191000000000003</v>
      </c>
      <c r="P1551">
        <v>21.986581520000001</v>
      </c>
      <c r="Q1551">
        <v>6.7839999999999998</v>
      </c>
    </row>
    <row r="1552" spans="1:17" s="30" customFormat="1" x14ac:dyDescent="0.2">
      <c r="A1552" s="30" t="str">
        <f>IF(C1552&amp;G1552&amp;D1552&lt;&gt;'Funnel setup'!$K$3&amp;'Funnel setup'!$K$4&amp;'Funnel setup'!$K$5,".",IF(A1551=".",1,A1551+1))</f>
        <v>.</v>
      </c>
      <c r="B1552" s="431" t="str">
        <f t="shared" si="24"/>
        <v>Hip Replacement PrimaryCCG of GP PracticeNHS SOUTH GLOUCESTERSHIRE CCG (12A)Oxford Hip Score</v>
      </c>
      <c r="C1552" t="s">
        <v>248</v>
      </c>
      <c r="D1552" t="s">
        <v>87</v>
      </c>
      <c r="E1552" t="s">
        <v>842</v>
      </c>
      <c r="F1552" t="s">
        <v>843</v>
      </c>
      <c r="G1552" t="s">
        <v>14</v>
      </c>
      <c r="H1552">
        <v>231</v>
      </c>
      <c r="I1552">
        <v>19.658000000000001</v>
      </c>
      <c r="J1552">
        <v>41.484999999999999</v>
      </c>
      <c r="K1552">
        <v>21.827000000000002</v>
      </c>
      <c r="L1552">
        <v>228</v>
      </c>
      <c r="M1552">
        <v>0</v>
      </c>
      <c r="N1552">
        <v>3</v>
      </c>
      <c r="O1552">
        <v>40.015000000000001</v>
      </c>
      <c r="P1552">
        <v>21.810263559999999</v>
      </c>
      <c r="Q1552">
        <v>6.6210000000000004</v>
      </c>
    </row>
    <row r="1553" spans="1:17" s="30" customFormat="1" x14ac:dyDescent="0.2">
      <c r="A1553" s="30" t="str">
        <f>IF(C1553&amp;G1553&amp;D1553&lt;&gt;'Funnel setup'!$K$3&amp;'Funnel setup'!$K$4&amp;'Funnel setup'!$K$5,".",IF(A1552=".",1,A1552+1))</f>
        <v>.</v>
      </c>
      <c r="B1553" s="431" t="str">
        <f t="shared" si="24"/>
        <v>Hip Replacement PrimaryCCG of GP PracticeNHS SOUTH KENT COAST CCG (10A)Oxford Hip Score</v>
      </c>
      <c r="C1553" t="s">
        <v>248</v>
      </c>
      <c r="D1553" t="s">
        <v>87</v>
      </c>
      <c r="E1553" t="s">
        <v>845</v>
      </c>
      <c r="F1553" t="s">
        <v>846</v>
      </c>
      <c r="G1553" t="s">
        <v>14</v>
      </c>
      <c r="H1553">
        <v>122</v>
      </c>
      <c r="I1553">
        <v>18.779</v>
      </c>
      <c r="J1553">
        <v>39.442999999999998</v>
      </c>
      <c r="K1553">
        <v>20.664000000000001</v>
      </c>
      <c r="L1553">
        <v>116</v>
      </c>
      <c r="M1553">
        <v>2</v>
      </c>
      <c r="N1553">
        <v>4</v>
      </c>
      <c r="O1553">
        <v>39.743000000000002</v>
      </c>
      <c r="P1553">
        <v>21.538416300000002</v>
      </c>
      <c r="Q1553">
        <v>8.1530000000000005</v>
      </c>
    </row>
    <row r="1554" spans="1:17" s="30" customFormat="1" x14ac:dyDescent="0.2">
      <c r="A1554" s="30" t="str">
        <f>IF(C1554&amp;G1554&amp;D1554&lt;&gt;'Funnel setup'!$K$3&amp;'Funnel setup'!$K$4&amp;'Funnel setup'!$K$5,".",IF(A1553=".",1,A1553+1))</f>
        <v>.</v>
      </c>
      <c r="B1554" s="431" t="str">
        <f t="shared" si="24"/>
        <v>Hip Replacement PrimaryCCG of GP PracticeNHS SOUTH LINCOLNSHIRE CCG (99D)Oxford Hip Score</v>
      </c>
      <c r="C1554" t="s">
        <v>248</v>
      </c>
      <c r="D1554" t="s">
        <v>87</v>
      </c>
      <c r="E1554" t="s">
        <v>848</v>
      </c>
      <c r="F1554" t="s">
        <v>849</v>
      </c>
      <c r="G1554" t="s">
        <v>14</v>
      </c>
      <c r="H1554">
        <v>149</v>
      </c>
      <c r="I1554">
        <v>18.456</v>
      </c>
      <c r="J1554">
        <v>39.167999999999999</v>
      </c>
      <c r="K1554">
        <v>20.710999999999999</v>
      </c>
      <c r="L1554">
        <v>146</v>
      </c>
      <c r="M1554">
        <v>0</v>
      </c>
      <c r="N1554">
        <v>3</v>
      </c>
      <c r="O1554">
        <v>38.594999999999999</v>
      </c>
      <c r="P1554">
        <v>20.39003366</v>
      </c>
      <c r="Q1554">
        <v>8.1170000000000009</v>
      </c>
    </row>
    <row r="1555" spans="1:17" s="30" customFormat="1" x14ac:dyDescent="0.2">
      <c r="A1555" s="30" t="str">
        <f>IF(C1555&amp;G1555&amp;D1555&lt;&gt;'Funnel setup'!$K$3&amp;'Funnel setup'!$K$4&amp;'Funnel setup'!$K$5,".",IF(A1554=".",1,A1554+1))</f>
        <v>.</v>
      </c>
      <c r="B1555" s="431" t="str">
        <f t="shared" si="24"/>
        <v>Hip Replacement PrimaryCCG of GP PracticeNHS SOUTH MANCHESTER CCG (01N)Oxford Hip Score</v>
      </c>
      <c r="C1555" t="s">
        <v>248</v>
      </c>
      <c r="D1555" t="s">
        <v>87</v>
      </c>
      <c r="E1555" t="s">
        <v>851</v>
      </c>
      <c r="F1555" t="s">
        <v>852</v>
      </c>
      <c r="G1555" t="s">
        <v>14</v>
      </c>
      <c r="H1555">
        <v>46</v>
      </c>
      <c r="I1555">
        <v>19.957000000000001</v>
      </c>
      <c r="J1555">
        <v>37.216999999999999</v>
      </c>
      <c r="K1555">
        <v>17.260999999999999</v>
      </c>
      <c r="L1555">
        <v>43</v>
      </c>
      <c r="M1555">
        <v>2</v>
      </c>
      <c r="N1555">
        <v>1</v>
      </c>
      <c r="O1555">
        <v>37.831000000000003</v>
      </c>
      <c r="P1555">
        <v>19.62677201</v>
      </c>
      <c r="Q1555">
        <v>8.8439999999999994</v>
      </c>
    </row>
    <row r="1556" spans="1:17" s="30" customFormat="1" x14ac:dyDescent="0.2">
      <c r="A1556" s="30" t="str">
        <f>IF(C1556&amp;G1556&amp;D1556&lt;&gt;'Funnel setup'!$K$3&amp;'Funnel setup'!$K$4&amp;'Funnel setup'!$K$5,".",IF(A1555=".",1,A1555+1))</f>
        <v>.</v>
      </c>
      <c r="B1556" s="431" t="str">
        <f t="shared" si="24"/>
        <v>Hip Replacement PrimaryCCG of GP PracticeNHS SOUTH NORFOLK CCG (06Y)Oxford Hip Score</v>
      </c>
      <c r="C1556" t="s">
        <v>248</v>
      </c>
      <c r="D1556" t="s">
        <v>87</v>
      </c>
      <c r="E1556" t="s">
        <v>932</v>
      </c>
      <c r="F1556" t="s">
        <v>933</v>
      </c>
      <c r="G1556" t="s">
        <v>14</v>
      </c>
      <c r="H1556">
        <v>239</v>
      </c>
      <c r="I1556">
        <v>17.376999999999999</v>
      </c>
      <c r="J1556">
        <v>39.970999999999997</v>
      </c>
      <c r="K1556">
        <v>22.594000000000001</v>
      </c>
      <c r="L1556">
        <v>232</v>
      </c>
      <c r="M1556">
        <v>0</v>
      </c>
      <c r="N1556">
        <v>7</v>
      </c>
      <c r="O1556">
        <v>39.976999999999997</v>
      </c>
      <c r="P1556">
        <v>21.772151690000001</v>
      </c>
      <c r="Q1556">
        <v>8.25</v>
      </c>
    </row>
    <row r="1557" spans="1:17" s="30" customFormat="1" x14ac:dyDescent="0.2">
      <c r="A1557" s="30" t="str">
        <f>IF(C1557&amp;G1557&amp;D1557&lt;&gt;'Funnel setup'!$K$3&amp;'Funnel setup'!$K$4&amp;'Funnel setup'!$K$5,".",IF(A1556=".",1,A1556+1))</f>
        <v>.</v>
      </c>
      <c r="B1557" s="431" t="str">
        <f t="shared" si="24"/>
        <v>Hip Replacement PrimaryCCG of GP PracticeNHS SOUTH READING CCG (10W)Oxford Hip Score</v>
      </c>
      <c r="C1557" t="s">
        <v>248</v>
      </c>
      <c r="D1557" t="s">
        <v>87</v>
      </c>
      <c r="E1557" t="s">
        <v>935</v>
      </c>
      <c r="F1557" t="s">
        <v>936</v>
      </c>
      <c r="G1557" t="s">
        <v>14</v>
      </c>
      <c r="H1557">
        <v>37</v>
      </c>
      <c r="I1557">
        <v>20.350999999999999</v>
      </c>
      <c r="J1557">
        <v>38.514000000000003</v>
      </c>
      <c r="K1557">
        <v>18.161999999999999</v>
      </c>
      <c r="L1557">
        <v>33</v>
      </c>
      <c r="M1557">
        <v>1</v>
      </c>
      <c r="N1557">
        <v>3</v>
      </c>
      <c r="O1557">
        <v>37.798999999999999</v>
      </c>
      <c r="P1557">
        <v>19.59427844</v>
      </c>
      <c r="Q1557">
        <v>9.3529999999999998</v>
      </c>
    </row>
    <row r="1558" spans="1:17" s="30" customFormat="1" x14ac:dyDescent="0.2">
      <c r="A1558" s="30" t="str">
        <f>IF(C1558&amp;G1558&amp;D1558&lt;&gt;'Funnel setup'!$K$3&amp;'Funnel setup'!$K$4&amp;'Funnel setup'!$K$5,".",IF(A1557=".",1,A1557+1))</f>
        <v>.</v>
      </c>
      <c r="B1558" s="431" t="str">
        <f t="shared" si="24"/>
        <v>Hip Replacement PrimaryCCG of GP PracticeNHS SOUTH SEFTON CCG (01T)Oxford Hip Score</v>
      </c>
      <c r="C1558" t="s">
        <v>248</v>
      </c>
      <c r="D1558" t="s">
        <v>87</v>
      </c>
      <c r="E1558" t="s">
        <v>938</v>
      </c>
      <c r="F1558" t="s">
        <v>939</v>
      </c>
      <c r="G1558" t="s">
        <v>14</v>
      </c>
      <c r="H1558">
        <v>107</v>
      </c>
      <c r="I1558">
        <v>15.86</v>
      </c>
      <c r="J1558">
        <v>36.57</v>
      </c>
      <c r="K1558">
        <v>20.71</v>
      </c>
      <c r="L1558">
        <v>105</v>
      </c>
      <c r="M1558">
        <v>0</v>
      </c>
      <c r="N1558">
        <v>2</v>
      </c>
      <c r="O1558">
        <v>38.067</v>
      </c>
      <c r="P1558">
        <v>19.862450899999999</v>
      </c>
      <c r="Q1558">
        <v>8.1329999999999991</v>
      </c>
    </row>
    <row r="1559" spans="1:17" s="30" customFormat="1" x14ac:dyDescent="0.2">
      <c r="A1559" s="30" t="str">
        <f>IF(C1559&amp;G1559&amp;D1559&lt;&gt;'Funnel setup'!$K$3&amp;'Funnel setup'!$K$4&amp;'Funnel setup'!$K$5,".",IF(A1558=".",1,A1558+1))</f>
        <v>.</v>
      </c>
      <c r="B1559" s="431" t="str">
        <f t="shared" si="24"/>
        <v>Hip Replacement PrimaryCCG of GP PracticeNHS SOUTH TEES CCG (00M)Oxford Hip Score</v>
      </c>
      <c r="C1559" t="s">
        <v>248</v>
      </c>
      <c r="D1559" t="s">
        <v>87</v>
      </c>
      <c r="E1559" t="s">
        <v>941</v>
      </c>
      <c r="F1559" t="s">
        <v>942</v>
      </c>
      <c r="G1559" t="s">
        <v>14</v>
      </c>
      <c r="H1559">
        <v>252</v>
      </c>
      <c r="I1559">
        <v>18.631</v>
      </c>
      <c r="J1559">
        <v>38.508000000000003</v>
      </c>
      <c r="K1559">
        <v>19.876999999999999</v>
      </c>
      <c r="L1559">
        <v>242</v>
      </c>
      <c r="M1559">
        <v>1</v>
      </c>
      <c r="N1559">
        <v>9</v>
      </c>
      <c r="O1559">
        <v>39.061</v>
      </c>
      <c r="P1559">
        <v>20.85645259</v>
      </c>
      <c r="Q1559">
        <v>8.7010000000000005</v>
      </c>
    </row>
    <row r="1560" spans="1:17" s="30" customFormat="1" x14ac:dyDescent="0.2">
      <c r="A1560" s="30" t="str">
        <f>IF(C1560&amp;G1560&amp;D1560&lt;&gt;'Funnel setup'!$K$3&amp;'Funnel setup'!$K$4&amp;'Funnel setup'!$K$5,".",IF(A1559=".",1,A1559+1))</f>
        <v>.</v>
      </c>
      <c r="B1560" s="431" t="str">
        <f t="shared" si="24"/>
        <v>Hip Replacement PrimaryCCG of GP PracticeNHS SOUTH TYNESIDE CCG (00N)Oxford Hip Score</v>
      </c>
      <c r="C1560" t="s">
        <v>248</v>
      </c>
      <c r="D1560" t="s">
        <v>87</v>
      </c>
      <c r="E1560" t="s">
        <v>1016</v>
      </c>
      <c r="F1560" t="s">
        <v>1017</v>
      </c>
      <c r="G1560" t="s">
        <v>14</v>
      </c>
      <c r="H1560">
        <v>103</v>
      </c>
      <c r="I1560">
        <v>16.922000000000001</v>
      </c>
      <c r="J1560">
        <v>37.612000000000002</v>
      </c>
      <c r="K1560">
        <v>20.689</v>
      </c>
      <c r="L1560">
        <v>101</v>
      </c>
      <c r="M1560">
        <v>0</v>
      </c>
      <c r="N1560">
        <v>2</v>
      </c>
      <c r="O1560">
        <v>38.363999999999997</v>
      </c>
      <c r="P1560">
        <v>20.159562080000001</v>
      </c>
      <c r="Q1560">
        <v>8.4890000000000008</v>
      </c>
    </row>
    <row r="1561" spans="1:17" s="30" customFormat="1" x14ac:dyDescent="0.2">
      <c r="A1561" s="30" t="str">
        <f>IF(C1561&amp;G1561&amp;D1561&lt;&gt;'Funnel setup'!$K$3&amp;'Funnel setup'!$K$4&amp;'Funnel setup'!$K$5,".",IF(A1560=".",1,A1560+1))</f>
        <v>.</v>
      </c>
      <c r="B1561" s="431" t="str">
        <f t="shared" si="24"/>
        <v>Hip Replacement PrimaryCCG of GP PracticeNHS SOUTH WARWICKSHIRE CCG (05R)Oxford Hip Score</v>
      </c>
      <c r="C1561" t="s">
        <v>248</v>
      </c>
      <c r="D1561" t="s">
        <v>87</v>
      </c>
      <c r="E1561" t="s">
        <v>944</v>
      </c>
      <c r="F1561" t="s">
        <v>945</v>
      </c>
      <c r="G1561" t="s">
        <v>14</v>
      </c>
      <c r="H1561">
        <v>303</v>
      </c>
      <c r="I1561">
        <v>20.550999999999998</v>
      </c>
      <c r="J1561">
        <v>40.643999999999998</v>
      </c>
      <c r="K1561">
        <v>20.091999999999999</v>
      </c>
      <c r="L1561">
        <v>296</v>
      </c>
      <c r="M1561">
        <v>3</v>
      </c>
      <c r="N1561">
        <v>4</v>
      </c>
      <c r="O1561">
        <v>39.441000000000003</v>
      </c>
      <c r="P1561">
        <v>21.23612292</v>
      </c>
      <c r="Q1561">
        <v>7.2169999999999996</v>
      </c>
    </row>
    <row r="1562" spans="1:17" s="30" customFormat="1" x14ac:dyDescent="0.2">
      <c r="A1562" s="30" t="str">
        <f>IF(C1562&amp;G1562&amp;D1562&lt;&gt;'Funnel setup'!$K$3&amp;'Funnel setup'!$K$4&amp;'Funnel setup'!$K$5,".",IF(A1561=".",1,A1561+1))</f>
        <v>.</v>
      </c>
      <c r="B1562" s="431" t="str">
        <f t="shared" si="24"/>
        <v>Hip Replacement PrimaryCCG of GP PracticeNHS SOUTH WEST LINCOLNSHIRE CCG (04Q)Oxford Hip Score</v>
      </c>
      <c r="C1562" t="s">
        <v>248</v>
      </c>
      <c r="D1562" t="s">
        <v>87</v>
      </c>
      <c r="E1562" t="s">
        <v>947</v>
      </c>
      <c r="F1562" t="s">
        <v>948</v>
      </c>
      <c r="G1562" t="s">
        <v>14</v>
      </c>
      <c r="H1562">
        <v>144</v>
      </c>
      <c r="I1562">
        <v>18.59</v>
      </c>
      <c r="J1562">
        <v>39.451000000000001</v>
      </c>
      <c r="K1562">
        <v>20.861000000000001</v>
      </c>
      <c r="L1562">
        <v>141</v>
      </c>
      <c r="M1562">
        <v>0</v>
      </c>
      <c r="N1562">
        <v>3</v>
      </c>
      <c r="O1562">
        <v>38.884999999999998</v>
      </c>
      <c r="P1562">
        <v>20.680561610000002</v>
      </c>
      <c r="Q1562">
        <v>7.5410000000000004</v>
      </c>
    </row>
    <row r="1563" spans="1:17" s="30" customFormat="1" x14ac:dyDescent="0.2">
      <c r="A1563" s="30" t="str">
        <f>IF(C1563&amp;G1563&amp;D1563&lt;&gt;'Funnel setup'!$K$3&amp;'Funnel setup'!$K$4&amp;'Funnel setup'!$K$5,".",IF(A1562=".",1,A1562+1))</f>
        <v>.</v>
      </c>
      <c r="B1563" s="431" t="str">
        <f t="shared" si="24"/>
        <v>Hip Replacement PrimaryCCG of GP PracticeNHS SOUTH WORCESTERSHIRE CCG (05T)Oxford Hip Score</v>
      </c>
      <c r="C1563" t="s">
        <v>248</v>
      </c>
      <c r="D1563" t="s">
        <v>87</v>
      </c>
      <c r="E1563" t="s">
        <v>950</v>
      </c>
      <c r="F1563" t="s">
        <v>951</v>
      </c>
      <c r="G1563" t="s">
        <v>14</v>
      </c>
      <c r="H1563">
        <v>220</v>
      </c>
      <c r="I1563">
        <v>18.645</v>
      </c>
      <c r="J1563">
        <v>40.427</v>
      </c>
      <c r="K1563">
        <v>21.782</v>
      </c>
      <c r="L1563">
        <v>213</v>
      </c>
      <c r="M1563">
        <v>2</v>
      </c>
      <c r="N1563">
        <v>5</v>
      </c>
      <c r="O1563">
        <v>39.951000000000001</v>
      </c>
      <c r="P1563">
        <v>21.746406319999998</v>
      </c>
      <c r="Q1563">
        <v>7.274</v>
      </c>
    </row>
    <row r="1564" spans="1:17" s="30" customFormat="1" x14ac:dyDescent="0.2">
      <c r="A1564" s="30" t="str">
        <f>IF(C1564&amp;G1564&amp;D1564&lt;&gt;'Funnel setup'!$K$3&amp;'Funnel setup'!$K$4&amp;'Funnel setup'!$K$5,".",IF(A1563=".",1,A1563+1))</f>
        <v>.</v>
      </c>
      <c r="B1564" s="431" t="str">
        <f t="shared" si="24"/>
        <v>Hip Replacement PrimaryCCG of GP PracticeNHS SOUTHAMPTON CCG (10X)Oxford Hip Score</v>
      </c>
      <c r="C1564" t="s">
        <v>248</v>
      </c>
      <c r="D1564" t="s">
        <v>87</v>
      </c>
      <c r="E1564" t="s">
        <v>953</v>
      </c>
      <c r="F1564" t="s">
        <v>954</v>
      </c>
      <c r="G1564" t="s">
        <v>14</v>
      </c>
      <c r="H1564">
        <v>136</v>
      </c>
      <c r="I1564">
        <v>17.896999999999998</v>
      </c>
      <c r="J1564">
        <v>37.881999999999998</v>
      </c>
      <c r="K1564">
        <v>19.984999999999999</v>
      </c>
      <c r="L1564">
        <v>134</v>
      </c>
      <c r="M1564">
        <v>0</v>
      </c>
      <c r="N1564">
        <v>2</v>
      </c>
      <c r="O1564">
        <v>38.820999999999998</v>
      </c>
      <c r="P1564">
        <v>20.61683348</v>
      </c>
      <c r="Q1564">
        <v>7.9790000000000001</v>
      </c>
    </row>
    <row r="1565" spans="1:17" s="30" customFormat="1" x14ac:dyDescent="0.2">
      <c r="A1565" s="30" t="str">
        <f>IF(C1565&amp;G1565&amp;D1565&lt;&gt;'Funnel setup'!$K$3&amp;'Funnel setup'!$K$4&amp;'Funnel setup'!$K$5,".",IF(A1564=".",1,A1564+1))</f>
        <v>.</v>
      </c>
      <c r="B1565" s="431" t="str">
        <f t="shared" si="24"/>
        <v>Hip Replacement PrimaryCCG of GP PracticeNHS SOUTHEND CCG (99G)Oxford Hip Score</v>
      </c>
      <c r="C1565" t="s">
        <v>248</v>
      </c>
      <c r="D1565" t="s">
        <v>87</v>
      </c>
      <c r="E1565" t="s">
        <v>956</v>
      </c>
      <c r="F1565" t="s">
        <v>957</v>
      </c>
      <c r="G1565" t="s">
        <v>14</v>
      </c>
      <c r="H1565">
        <v>86</v>
      </c>
      <c r="I1565">
        <v>16.779</v>
      </c>
      <c r="J1565">
        <v>38.662999999999997</v>
      </c>
      <c r="K1565">
        <v>21.884</v>
      </c>
      <c r="L1565">
        <v>84</v>
      </c>
      <c r="M1565">
        <v>2</v>
      </c>
      <c r="N1565">
        <v>0</v>
      </c>
      <c r="O1565">
        <v>39.140999999999998</v>
      </c>
      <c r="P1565">
        <v>20.936262559999999</v>
      </c>
      <c r="Q1565">
        <v>7.4160000000000004</v>
      </c>
    </row>
    <row r="1566" spans="1:17" s="30" customFormat="1" x14ac:dyDescent="0.2">
      <c r="A1566" s="30" t="str">
        <f>IF(C1566&amp;G1566&amp;D1566&lt;&gt;'Funnel setup'!$K$3&amp;'Funnel setup'!$K$4&amp;'Funnel setup'!$K$5,".",IF(A1565=".",1,A1565+1))</f>
        <v>.</v>
      </c>
      <c r="B1566" s="431" t="str">
        <f t="shared" si="24"/>
        <v>Hip Replacement PrimaryCCG of GP PracticeNHS SOUTHERN DERBYSHIRE CCG (04R)Oxford Hip Score</v>
      </c>
      <c r="C1566" t="s">
        <v>248</v>
      </c>
      <c r="D1566" t="s">
        <v>87</v>
      </c>
      <c r="E1566" t="s">
        <v>959</v>
      </c>
      <c r="F1566" t="s">
        <v>960</v>
      </c>
      <c r="G1566" t="s">
        <v>14</v>
      </c>
      <c r="H1566">
        <v>490</v>
      </c>
      <c r="I1566">
        <v>18.331</v>
      </c>
      <c r="J1566">
        <v>39.398000000000003</v>
      </c>
      <c r="K1566">
        <v>21.067</v>
      </c>
      <c r="L1566">
        <v>474</v>
      </c>
      <c r="M1566">
        <v>4</v>
      </c>
      <c r="N1566">
        <v>12</v>
      </c>
      <c r="O1566">
        <v>39.087000000000003</v>
      </c>
      <c r="P1566">
        <v>20.882241740000001</v>
      </c>
      <c r="Q1566">
        <v>8.2249999999999996</v>
      </c>
    </row>
    <row r="1567" spans="1:17" s="30" customFormat="1" x14ac:dyDescent="0.2">
      <c r="A1567" s="30" t="str">
        <f>IF(C1567&amp;G1567&amp;D1567&lt;&gt;'Funnel setup'!$K$3&amp;'Funnel setup'!$K$4&amp;'Funnel setup'!$K$5,".",IF(A1566=".",1,A1566+1))</f>
        <v>.</v>
      </c>
      <c r="B1567" s="431" t="str">
        <f t="shared" si="24"/>
        <v>Hip Replacement PrimaryCCG of GP PracticeNHS SOUTHPORT AND FORMBY CCG (01V)Oxford Hip Score</v>
      </c>
      <c r="C1567" t="s">
        <v>248</v>
      </c>
      <c r="D1567" t="s">
        <v>87</v>
      </c>
      <c r="E1567" t="s">
        <v>962</v>
      </c>
      <c r="F1567" t="s">
        <v>963</v>
      </c>
      <c r="G1567" t="s">
        <v>14</v>
      </c>
      <c r="H1567">
        <v>95</v>
      </c>
      <c r="I1567">
        <v>19.442</v>
      </c>
      <c r="J1567">
        <v>40.326000000000001</v>
      </c>
      <c r="K1567">
        <v>20.884</v>
      </c>
      <c r="L1567">
        <v>94</v>
      </c>
      <c r="M1567">
        <v>0</v>
      </c>
      <c r="N1567">
        <v>1</v>
      </c>
      <c r="O1567">
        <v>39.902999999999999</v>
      </c>
      <c r="P1567">
        <v>21.69827347</v>
      </c>
      <c r="Q1567">
        <v>6.9859999999999998</v>
      </c>
    </row>
    <row r="1568" spans="1:17" s="30" customFormat="1" x14ac:dyDescent="0.2">
      <c r="A1568" s="30" t="str">
        <f>IF(C1568&amp;G1568&amp;D1568&lt;&gt;'Funnel setup'!$K$3&amp;'Funnel setup'!$K$4&amp;'Funnel setup'!$K$5,".",IF(A1567=".",1,A1567+1))</f>
        <v>.</v>
      </c>
      <c r="B1568" s="431" t="str">
        <f t="shared" si="24"/>
        <v>Hip Replacement PrimaryCCG of GP PracticeNHS SOUTHWARK CCG (08Q)Oxford Hip Score</v>
      </c>
      <c r="C1568" t="s">
        <v>248</v>
      </c>
      <c r="D1568" t="s">
        <v>87</v>
      </c>
      <c r="E1568" t="s">
        <v>965</v>
      </c>
      <c r="F1568" t="s">
        <v>966</v>
      </c>
      <c r="G1568" t="s">
        <v>14</v>
      </c>
      <c r="H1568">
        <v>35</v>
      </c>
      <c r="I1568">
        <v>19.486000000000001</v>
      </c>
      <c r="J1568">
        <v>40</v>
      </c>
      <c r="K1568">
        <v>20.513999999999999</v>
      </c>
      <c r="L1568">
        <v>34</v>
      </c>
      <c r="M1568">
        <v>0</v>
      </c>
      <c r="N1568">
        <v>1</v>
      </c>
      <c r="O1568">
        <v>39.725999999999999</v>
      </c>
      <c r="P1568">
        <v>21.521750730000001</v>
      </c>
      <c r="Q1568">
        <v>8.6310000000000002</v>
      </c>
    </row>
    <row r="1569" spans="1:17" s="30" customFormat="1" x14ac:dyDescent="0.2">
      <c r="A1569" s="30" t="str">
        <f>IF(C1569&amp;G1569&amp;D1569&lt;&gt;'Funnel setup'!$K$3&amp;'Funnel setup'!$K$4&amp;'Funnel setup'!$K$5,".",IF(A1568=".",1,A1568+1))</f>
        <v>.</v>
      </c>
      <c r="B1569" s="431" t="str">
        <f t="shared" si="24"/>
        <v>Hip Replacement PrimaryCCG of GP PracticeNHS ST HELENS CCG (01X)Oxford Hip Score</v>
      </c>
      <c r="C1569" t="s">
        <v>248</v>
      </c>
      <c r="D1569" t="s">
        <v>87</v>
      </c>
      <c r="E1569" t="s">
        <v>968</v>
      </c>
      <c r="F1569" t="s">
        <v>969</v>
      </c>
      <c r="G1569" t="s">
        <v>14</v>
      </c>
      <c r="H1569">
        <v>119</v>
      </c>
      <c r="I1569">
        <v>17.007999999999999</v>
      </c>
      <c r="J1569">
        <v>38.185000000000002</v>
      </c>
      <c r="K1569">
        <v>21.175999999999998</v>
      </c>
      <c r="L1569">
        <v>117</v>
      </c>
      <c r="M1569">
        <v>0</v>
      </c>
      <c r="N1569">
        <v>2</v>
      </c>
      <c r="O1569">
        <v>39.534999999999997</v>
      </c>
      <c r="P1569">
        <v>21.330165350000001</v>
      </c>
      <c r="Q1569">
        <v>8.5129999999999999</v>
      </c>
    </row>
    <row r="1570" spans="1:17" s="30" customFormat="1" x14ac:dyDescent="0.2">
      <c r="A1570" s="30" t="str">
        <f>IF(C1570&amp;G1570&amp;D1570&lt;&gt;'Funnel setup'!$K$3&amp;'Funnel setup'!$K$4&amp;'Funnel setup'!$K$5,".",IF(A1569=".",1,A1569+1))</f>
        <v>.</v>
      </c>
      <c r="B1570" s="431" t="str">
        <f t="shared" si="24"/>
        <v>Hip Replacement PrimaryCCG of GP PracticeNHS STAFFORD AND SURROUNDS CCG (05V)Oxford Hip Score</v>
      </c>
      <c r="C1570" t="s">
        <v>248</v>
      </c>
      <c r="D1570" t="s">
        <v>87</v>
      </c>
      <c r="E1570" t="s">
        <v>971</v>
      </c>
      <c r="F1570" t="s">
        <v>972</v>
      </c>
      <c r="G1570" t="s">
        <v>14</v>
      </c>
      <c r="H1570">
        <v>165</v>
      </c>
      <c r="I1570">
        <v>19.684999999999999</v>
      </c>
      <c r="J1570">
        <v>40.823999999999998</v>
      </c>
      <c r="K1570">
        <v>21.138999999999999</v>
      </c>
      <c r="L1570">
        <v>162</v>
      </c>
      <c r="M1570">
        <v>0</v>
      </c>
      <c r="N1570">
        <v>3</v>
      </c>
      <c r="O1570">
        <v>39.731000000000002</v>
      </c>
      <c r="P1570">
        <v>21.526012309999999</v>
      </c>
      <c r="Q1570">
        <v>7.0380000000000003</v>
      </c>
    </row>
    <row r="1571" spans="1:17" s="30" customFormat="1" x14ac:dyDescent="0.2">
      <c r="A1571" s="30" t="str">
        <f>IF(C1571&amp;G1571&amp;D1571&lt;&gt;'Funnel setup'!$K$3&amp;'Funnel setup'!$K$4&amp;'Funnel setup'!$K$5,".",IF(A1570=".",1,A1570+1))</f>
        <v>.</v>
      </c>
      <c r="B1571" s="431" t="str">
        <f t="shared" si="24"/>
        <v>Hip Replacement PrimaryCCG of GP PracticeNHS STOCKPORT CCG (01W)Oxford Hip Score</v>
      </c>
      <c r="C1571" t="s">
        <v>248</v>
      </c>
      <c r="D1571" t="s">
        <v>87</v>
      </c>
      <c r="E1571" t="s">
        <v>974</v>
      </c>
      <c r="F1571" t="s">
        <v>975</v>
      </c>
      <c r="G1571" t="s">
        <v>14</v>
      </c>
      <c r="H1571">
        <v>203</v>
      </c>
      <c r="I1571">
        <v>17.664999999999999</v>
      </c>
      <c r="J1571">
        <v>39.960999999999999</v>
      </c>
      <c r="K1571">
        <v>22.295999999999999</v>
      </c>
      <c r="L1571">
        <v>202</v>
      </c>
      <c r="M1571">
        <v>0</v>
      </c>
      <c r="N1571">
        <v>1</v>
      </c>
      <c r="O1571">
        <v>39.918999999999997</v>
      </c>
      <c r="P1571">
        <v>21.714918359999999</v>
      </c>
      <c r="Q1571">
        <v>7.0510000000000002</v>
      </c>
    </row>
    <row r="1572" spans="1:17" s="30" customFormat="1" x14ac:dyDescent="0.2">
      <c r="A1572" s="30" t="str">
        <f>IF(C1572&amp;G1572&amp;D1572&lt;&gt;'Funnel setup'!$K$3&amp;'Funnel setup'!$K$4&amp;'Funnel setup'!$K$5,".",IF(A1571=".",1,A1571+1))</f>
        <v>.</v>
      </c>
      <c r="B1572" s="431" t="str">
        <f t="shared" si="24"/>
        <v>Hip Replacement PrimaryCCG of GP PracticeNHS STOKE ON TRENT CCG (05W)Oxford Hip Score</v>
      </c>
      <c r="C1572" t="s">
        <v>248</v>
      </c>
      <c r="D1572" t="s">
        <v>87</v>
      </c>
      <c r="E1572" t="s">
        <v>977</v>
      </c>
      <c r="F1572" t="s">
        <v>978</v>
      </c>
      <c r="G1572" t="s">
        <v>14</v>
      </c>
      <c r="H1572">
        <v>204</v>
      </c>
      <c r="I1572">
        <v>14.868</v>
      </c>
      <c r="J1572">
        <v>38.966000000000001</v>
      </c>
      <c r="K1572">
        <v>24.097999999999999</v>
      </c>
      <c r="L1572">
        <v>198</v>
      </c>
      <c r="M1572">
        <v>1</v>
      </c>
      <c r="N1572">
        <v>5</v>
      </c>
      <c r="O1572">
        <v>41.011000000000003</v>
      </c>
      <c r="P1572">
        <v>22.806973379999999</v>
      </c>
      <c r="Q1572">
        <v>8.0530000000000008</v>
      </c>
    </row>
    <row r="1573" spans="1:17" s="30" customFormat="1" x14ac:dyDescent="0.2">
      <c r="A1573" s="30" t="str">
        <f>IF(C1573&amp;G1573&amp;D1573&lt;&gt;'Funnel setup'!$K$3&amp;'Funnel setup'!$K$4&amp;'Funnel setup'!$K$5,".",IF(A1572=".",1,A1572+1))</f>
        <v>.</v>
      </c>
      <c r="B1573" s="431" t="str">
        <f t="shared" si="24"/>
        <v>Hip Replacement PrimaryCCG of GP PracticeNHS SUNDERLAND CCG (00P)Oxford Hip Score</v>
      </c>
      <c r="C1573" t="s">
        <v>248</v>
      </c>
      <c r="D1573" t="s">
        <v>87</v>
      </c>
      <c r="E1573" t="s">
        <v>980</v>
      </c>
      <c r="F1573" t="s">
        <v>981</v>
      </c>
      <c r="G1573" t="s">
        <v>14</v>
      </c>
      <c r="H1573">
        <v>211</v>
      </c>
      <c r="I1573">
        <v>15.967000000000001</v>
      </c>
      <c r="J1573">
        <v>38.795999999999999</v>
      </c>
      <c r="K1573">
        <v>22.829000000000001</v>
      </c>
      <c r="L1573">
        <v>207</v>
      </c>
      <c r="M1573">
        <v>0</v>
      </c>
      <c r="N1573">
        <v>4</v>
      </c>
      <c r="O1573">
        <v>40.235999999999997</v>
      </c>
      <c r="P1573">
        <v>22.031078090000001</v>
      </c>
      <c r="Q1573">
        <v>8.1679999999999993</v>
      </c>
    </row>
    <row r="1574" spans="1:17" s="30" customFormat="1" x14ac:dyDescent="0.2">
      <c r="A1574" s="30" t="str">
        <f>IF(C1574&amp;G1574&amp;D1574&lt;&gt;'Funnel setup'!$K$3&amp;'Funnel setup'!$K$4&amp;'Funnel setup'!$K$5,".",IF(A1573=".",1,A1573+1))</f>
        <v>.</v>
      </c>
      <c r="B1574" s="431" t="str">
        <f t="shared" si="24"/>
        <v>Hip Replacement PrimaryCCG of GP PracticeNHS SURREY DOWNS CCG (99H)Oxford Hip Score</v>
      </c>
      <c r="C1574" t="s">
        <v>248</v>
      </c>
      <c r="D1574" t="s">
        <v>87</v>
      </c>
      <c r="E1574" t="s">
        <v>983</v>
      </c>
      <c r="F1574" t="s">
        <v>984</v>
      </c>
      <c r="G1574" t="s">
        <v>14</v>
      </c>
      <c r="H1574">
        <v>250</v>
      </c>
      <c r="I1574">
        <v>20.884</v>
      </c>
      <c r="J1574">
        <v>41.247999999999998</v>
      </c>
      <c r="K1574">
        <v>20.364000000000001</v>
      </c>
      <c r="L1574">
        <v>238</v>
      </c>
      <c r="M1574">
        <v>2</v>
      </c>
      <c r="N1574">
        <v>10</v>
      </c>
      <c r="O1574">
        <v>39.840000000000003</v>
      </c>
      <c r="P1574">
        <v>21.63501582</v>
      </c>
      <c r="Q1574">
        <v>8.0350000000000001</v>
      </c>
    </row>
    <row r="1575" spans="1:17" s="30" customFormat="1" x14ac:dyDescent="0.2">
      <c r="A1575" s="30" t="str">
        <f>IF(C1575&amp;G1575&amp;D1575&lt;&gt;'Funnel setup'!$K$3&amp;'Funnel setup'!$K$4&amp;'Funnel setup'!$K$5,".",IF(A1574=".",1,A1574+1))</f>
        <v>.</v>
      </c>
      <c r="B1575" s="431" t="str">
        <f t="shared" si="24"/>
        <v>Hip Replacement PrimaryCCG of GP PracticeNHS SURREY HEATH CCG (10C)Oxford Hip Score</v>
      </c>
      <c r="C1575" t="s">
        <v>248</v>
      </c>
      <c r="D1575" t="s">
        <v>87</v>
      </c>
      <c r="E1575" t="s">
        <v>986</v>
      </c>
      <c r="F1575" t="s">
        <v>987</v>
      </c>
      <c r="G1575" t="s">
        <v>14</v>
      </c>
      <c r="H1575">
        <v>106</v>
      </c>
      <c r="I1575">
        <v>22.472000000000001</v>
      </c>
      <c r="J1575">
        <v>43.207999999999998</v>
      </c>
      <c r="K1575">
        <v>20.736000000000001</v>
      </c>
      <c r="L1575">
        <v>103</v>
      </c>
      <c r="M1575">
        <v>2</v>
      </c>
      <c r="N1575">
        <v>1</v>
      </c>
      <c r="O1575">
        <v>40.914000000000001</v>
      </c>
      <c r="P1575">
        <v>22.709841340000001</v>
      </c>
      <c r="Q1575">
        <v>5.4379999999999997</v>
      </c>
    </row>
    <row r="1576" spans="1:17" s="30" customFormat="1" x14ac:dyDescent="0.2">
      <c r="A1576" s="30" t="str">
        <f>IF(C1576&amp;G1576&amp;D1576&lt;&gt;'Funnel setup'!$K$3&amp;'Funnel setup'!$K$4&amp;'Funnel setup'!$K$5,".",IF(A1575=".",1,A1575+1))</f>
        <v>.</v>
      </c>
      <c r="B1576" s="431" t="str">
        <f t="shared" si="24"/>
        <v>Hip Replacement PrimaryCCG of GP PracticeNHS SUTTON CCG (08T)Oxford Hip Score</v>
      </c>
      <c r="C1576" t="s">
        <v>248</v>
      </c>
      <c r="D1576" t="s">
        <v>87</v>
      </c>
      <c r="E1576" t="s">
        <v>989</v>
      </c>
      <c r="F1576" t="s">
        <v>990</v>
      </c>
      <c r="G1576" t="s">
        <v>14</v>
      </c>
      <c r="H1576">
        <v>100</v>
      </c>
      <c r="I1576">
        <v>18.73</v>
      </c>
      <c r="J1576">
        <v>39.229999999999997</v>
      </c>
      <c r="K1576">
        <v>20.5</v>
      </c>
      <c r="L1576">
        <v>96</v>
      </c>
      <c r="M1576">
        <v>1</v>
      </c>
      <c r="N1576">
        <v>3</v>
      </c>
      <c r="O1576">
        <v>38.993000000000002</v>
      </c>
      <c r="P1576">
        <v>20.788364099999999</v>
      </c>
      <c r="Q1576">
        <v>9.2370000000000001</v>
      </c>
    </row>
    <row r="1577" spans="1:17" s="30" customFormat="1" x14ac:dyDescent="0.2">
      <c r="A1577" s="30" t="str">
        <f>IF(C1577&amp;G1577&amp;D1577&lt;&gt;'Funnel setup'!$K$3&amp;'Funnel setup'!$K$4&amp;'Funnel setup'!$K$5,".",IF(A1576=".",1,A1576+1))</f>
        <v>.</v>
      </c>
      <c r="B1577" s="431" t="str">
        <f t="shared" si="24"/>
        <v>Hip Replacement PrimaryCCG of GP PracticeNHS SWALE CCG (10D)Oxford Hip Score</v>
      </c>
      <c r="C1577" t="s">
        <v>248</v>
      </c>
      <c r="D1577" t="s">
        <v>87</v>
      </c>
      <c r="E1577" t="s">
        <v>992</v>
      </c>
      <c r="F1577" t="s">
        <v>993</v>
      </c>
      <c r="G1577" t="s">
        <v>14</v>
      </c>
      <c r="H1577">
        <v>71</v>
      </c>
      <c r="I1577">
        <v>17.422999999999998</v>
      </c>
      <c r="J1577">
        <v>39.055999999999997</v>
      </c>
      <c r="K1577">
        <v>21.634</v>
      </c>
      <c r="L1577">
        <v>68</v>
      </c>
      <c r="M1577">
        <v>0</v>
      </c>
      <c r="N1577">
        <v>3</v>
      </c>
      <c r="O1577">
        <v>40.447000000000003</v>
      </c>
      <c r="P1577">
        <v>22.242550340000001</v>
      </c>
      <c r="Q1577">
        <v>9.1609999999999996</v>
      </c>
    </row>
    <row r="1578" spans="1:17" s="30" customFormat="1" x14ac:dyDescent="0.2">
      <c r="A1578" s="30" t="str">
        <f>IF(C1578&amp;G1578&amp;D1578&lt;&gt;'Funnel setup'!$K$3&amp;'Funnel setup'!$K$4&amp;'Funnel setup'!$K$5,".",IF(A1577=".",1,A1577+1))</f>
        <v>.</v>
      </c>
      <c r="B1578" s="431" t="str">
        <f t="shared" si="24"/>
        <v>Hip Replacement PrimaryCCG of GP PracticeNHS SWINDON CCG (12D)Oxford Hip Score</v>
      </c>
      <c r="C1578" t="s">
        <v>248</v>
      </c>
      <c r="D1578" t="s">
        <v>87</v>
      </c>
      <c r="E1578" t="s">
        <v>995</v>
      </c>
      <c r="F1578" t="s">
        <v>996</v>
      </c>
      <c r="G1578" t="s">
        <v>14</v>
      </c>
      <c r="H1578">
        <v>168</v>
      </c>
      <c r="I1578">
        <v>16.071000000000002</v>
      </c>
      <c r="J1578">
        <v>39.369</v>
      </c>
      <c r="K1578">
        <v>23.297999999999998</v>
      </c>
      <c r="L1578">
        <v>163</v>
      </c>
      <c r="M1578">
        <v>1</v>
      </c>
      <c r="N1578">
        <v>4</v>
      </c>
      <c r="O1578">
        <v>39.685000000000002</v>
      </c>
      <c r="P1578">
        <v>21.480135090000001</v>
      </c>
      <c r="Q1578">
        <v>7.6280000000000001</v>
      </c>
    </row>
    <row r="1579" spans="1:17" s="30" customFormat="1" x14ac:dyDescent="0.2">
      <c r="A1579" s="30" t="str">
        <f>IF(C1579&amp;G1579&amp;D1579&lt;&gt;'Funnel setup'!$K$3&amp;'Funnel setup'!$K$4&amp;'Funnel setup'!$K$5,".",IF(A1578=".",1,A1578+1))</f>
        <v>.</v>
      </c>
      <c r="B1579" s="431" t="str">
        <f t="shared" si="24"/>
        <v>Hip Replacement PrimaryCCG of GP PracticeNHS TAMESIDE AND GLOSSOP CCG (01Y)Oxford Hip Score</v>
      </c>
      <c r="C1579" t="s">
        <v>248</v>
      </c>
      <c r="D1579" t="s">
        <v>87</v>
      </c>
      <c r="E1579" t="s">
        <v>998</v>
      </c>
      <c r="F1579" t="s">
        <v>999</v>
      </c>
      <c r="G1579" t="s">
        <v>14</v>
      </c>
      <c r="H1579">
        <v>126</v>
      </c>
      <c r="I1579">
        <v>17.04</v>
      </c>
      <c r="J1579">
        <v>36.984000000000002</v>
      </c>
      <c r="K1579">
        <v>19.943999999999999</v>
      </c>
      <c r="L1579">
        <v>121</v>
      </c>
      <c r="M1579">
        <v>2</v>
      </c>
      <c r="N1579">
        <v>3</v>
      </c>
      <c r="O1579">
        <v>37.997999999999998</v>
      </c>
      <c r="P1579">
        <v>19.79321775</v>
      </c>
      <c r="Q1579">
        <v>8.9760000000000009</v>
      </c>
    </row>
    <row r="1580" spans="1:17" s="30" customFormat="1" x14ac:dyDescent="0.2">
      <c r="A1580" s="30" t="str">
        <f>IF(C1580&amp;G1580&amp;D1580&lt;&gt;'Funnel setup'!$K$3&amp;'Funnel setup'!$K$4&amp;'Funnel setup'!$K$5,".",IF(A1579=".",1,A1579+1))</f>
        <v>.</v>
      </c>
      <c r="B1580" s="431" t="str">
        <f t="shared" si="24"/>
        <v>Hip Replacement PrimaryCCG of GP PracticeNHS TELFORD AND WREKIN CCG (05X)Oxford Hip Score</v>
      </c>
      <c r="C1580" t="s">
        <v>248</v>
      </c>
      <c r="D1580" t="s">
        <v>87</v>
      </c>
      <c r="E1580" t="s">
        <v>1001</v>
      </c>
      <c r="F1580" t="s">
        <v>1002</v>
      </c>
      <c r="G1580" t="s">
        <v>14</v>
      </c>
      <c r="H1580">
        <v>152</v>
      </c>
      <c r="I1580">
        <v>14.539</v>
      </c>
      <c r="J1580">
        <v>37.716999999999999</v>
      </c>
      <c r="K1580">
        <v>23.178000000000001</v>
      </c>
      <c r="L1580">
        <v>147</v>
      </c>
      <c r="M1580">
        <v>2</v>
      </c>
      <c r="N1580">
        <v>3</v>
      </c>
      <c r="O1580">
        <v>38.814</v>
      </c>
      <c r="P1580">
        <v>20.609081289999999</v>
      </c>
      <c r="Q1580">
        <v>9.3989999999999991</v>
      </c>
    </row>
    <row r="1581" spans="1:17" s="30" customFormat="1" x14ac:dyDescent="0.2">
      <c r="A1581" s="30" t="str">
        <f>IF(C1581&amp;G1581&amp;D1581&lt;&gt;'Funnel setup'!$K$3&amp;'Funnel setup'!$K$4&amp;'Funnel setup'!$K$5,".",IF(A1580=".",1,A1580+1))</f>
        <v>.</v>
      </c>
      <c r="B1581" s="431" t="str">
        <f t="shared" si="24"/>
        <v>Hip Replacement PrimaryCCG of GP PracticeNHS THANET CCG (10E)Oxford Hip Score</v>
      </c>
      <c r="C1581" t="s">
        <v>248</v>
      </c>
      <c r="D1581" t="s">
        <v>87</v>
      </c>
      <c r="E1581" t="s">
        <v>1004</v>
      </c>
      <c r="F1581" t="s">
        <v>1005</v>
      </c>
      <c r="G1581" t="s">
        <v>14</v>
      </c>
      <c r="H1581">
        <v>82</v>
      </c>
      <c r="I1581">
        <v>16.427</v>
      </c>
      <c r="J1581">
        <v>40.756</v>
      </c>
      <c r="K1581">
        <v>24.329000000000001</v>
      </c>
      <c r="L1581">
        <v>81</v>
      </c>
      <c r="M1581">
        <v>0</v>
      </c>
      <c r="N1581">
        <v>1</v>
      </c>
      <c r="O1581">
        <v>41.862000000000002</v>
      </c>
      <c r="P1581">
        <v>23.65757795</v>
      </c>
      <c r="Q1581">
        <v>6.7220000000000004</v>
      </c>
    </row>
    <row r="1582" spans="1:17" s="30" customFormat="1" x14ac:dyDescent="0.2">
      <c r="A1582" s="30" t="str">
        <f>IF(C1582&amp;G1582&amp;D1582&lt;&gt;'Funnel setup'!$K$3&amp;'Funnel setup'!$K$4&amp;'Funnel setup'!$K$5,".",IF(A1581=".",1,A1581+1))</f>
        <v>.</v>
      </c>
      <c r="B1582" s="431" t="str">
        <f t="shared" si="24"/>
        <v>Hip Replacement PrimaryCCG of GP PracticeNHS THURROCK CCG (07G)Oxford Hip Score</v>
      </c>
      <c r="C1582" t="s">
        <v>248</v>
      </c>
      <c r="D1582" t="s">
        <v>87</v>
      </c>
      <c r="E1582" t="s">
        <v>1007</v>
      </c>
      <c r="F1582" t="s">
        <v>1008</v>
      </c>
      <c r="G1582" t="s">
        <v>14</v>
      </c>
      <c r="H1582">
        <v>66</v>
      </c>
      <c r="I1582">
        <v>17.167000000000002</v>
      </c>
      <c r="J1582">
        <v>40.106000000000002</v>
      </c>
      <c r="K1582">
        <v>22.939</v>
      </c>
      <c r="L1582">
        <v>64</v>
      </c>
      <c r="M1582">
        <v>0</v>
      </c>
      <c r="N1582">
        <v>2</v>
      </c>
      <c r="O1582">
        <v>40.402999999999999</v>
      </c>
      <c r="P1582">
        <v>22.198934510000001</v>
      </c>
      <c r="Q1582">
        <v>7.8810000000000002</v>
      </c>
    </row>
    <row r="1583" spans="1:17" s="30" customFormat="1" x14ac:dyDescent="0.2">
      <c r="A1583" s="30" t="str">
        <f>IF(C1583&amp;G1583&amp;D1583&lt;&gt;'Funnel setup'!$K$3&amp;'Funnel setup'!$K$4&amp;'Funnel setup'!$K$5,".",IF(A1582=".",1,A1582+1))</f>
        <v>.</v>
      </c>
      <c r="B1583" s="431" t="str">
        <f t="shared" si="24"/>
        <v>Hip Replacement PrimaryCCG of GP PracticeNHS TOWER HAMLETS CCG (08V)Oxford Hip Score</v>
      </c>
      <c r="C1583" t="s">
        <v>248</v>
      </c>
      <c r="D1583" t="s">
        <v>87</v>
      </c>
      <c r="E1583" t="s">
        <v>1010</v>
      </c>
      <c r="F1583" t="s">
        <v>1011</v>
      </c>
      <c r="G1583" t="s">
        <v>14</v>
      </c>
      <c r="H1583">
        <v>20</v>
      </c>
      <c r="I1583">
        <v>16</v>
      </c>
      <c r="J1583">
        <v>36.85</v>
      </c>
      <c r="K1583">
        <v>20.85</v>
      </c>
      <c r="L1583">
        <v>18</v>
      </c>
      <c r="M1583">
        <v>2</v>
      </c>
      <c r="N1583">
        <v>0</v>
      </c>
      <c r="O1583" t="s">
        <v>53</v>
      </c>
      <c r="P1583" t="s">
        <v>53</v>
      </c>
      <c r="Q1583" t="s">
        <v>53</v>
      </c>
    </row>
    <row r="1584" spans="1:17" s="30" customFormat="1" x14ac:dyDescent="0.2">
      <c r="A1584" s="30" t="str">
        <f>IF(C1584&amp;G1584&amp;D1584&lt;&gt;'Funnel setup'!$K$3&amp;'Funnel setup'!$K$4&amp;'Funnel setup'!$K$5,".",IF(A1583=".",1,A1583+1))</f>
        <v>.</v>
      </c>
      <c r="B1584" s="431" t="str">
        <f t="shared" si="24"/>
        <v>Hip Replacement PrimaryCCG of GP PracticeNHS TRAFFORD CCG (02A)Oxford Hip Score</v>
      </c>
      <c r="C1584" t="s">
        <v>248</v>
      </c>
      <c r="D1584" t="s">
        <v>87</v>
      </c>
      <c r="E1584" t="s">
        <v>1013</v>
      </c>
      <c r="F1584" t="s">
        <v>1014</v>
      </c>
      <c r="G1584" t="s">
        <v>14</v>
      </c>
      <c r="H1584">
        <v>85</v>
      </c>
      <c r="I1584">
        <v>20.975999999999999</v>
      </c>
      <c r="J1584">
        <v>39.718000000000004</v>
      </c>
      <c r="K1584">
        <v>18.741</v>
      </c>
      <c r="L1584">
        <v>81</v>
      </c>
      <c r="M1584">
        <v>1</v>
      </c>
      <c r="N1584">
        <v>3</v>
      </c>
      <c r="O1584">
        <v>38.128</v>
      </c>
      <c r="P1584">
        <v>19.923686669999999</v>
      </c>
      <c r="Q1584">
        <v>6.7930000000000001</v>
      </c>
    </row>
    <row r="1585" spans="1:17" s="30" customFormat="1" x14ac:dyDescent="0.2">
      <c r="A1585" s="30" t="str">
        <f>IF(C1585&amp;G1585&amp;D1585&lt;&gt;'Funnel setup'!$K$3&amp;'Funnel setup'!$K$4&amp;'Funnel setup'!$K$5,".",IF(A1584=".",1,A1584+1))</f>
        <v>.</v>
      </c>
      <c r="B1585" s="431" t="str">
        <f t="shared" si="24"/>
        <v>Hip Replacement PrimaryCCG of GP PracticeNHS VALE OF YORK CCG (03Q)Oxford Hip Score</v>
      </c>
      <c r="C1585" t="s">
        <v>248</v>
      </c>
      <c r="D1585" t="s">
        <v>87</v>
      </c>
      <c r="E1585" t="s">
        <v>420</v>
      </c>
      <c r="F1585" t="s">
        <v>421</v>
      </c>
      <c r="G1585" t="s">
        <v>14</v>
      </c>
      <c r="H1585">
        <v>395</v>
      </c>
      <c r="I1585">
        <v>19.265999999999998</v>
      </c>
      <c r="J1585">
        <v>40.932000000000002</v>
      </c>
      <c r="K1585">
        <v>21.666</v>
      </c>
      <c r="L1585">
        <v>385</v>
      </c>
      <c r="M1585">
        <v>1</v>
      </c>
      <c r="N1585">
        <v>9</v>
      </c>
      <c r="O1585">
        <v>39.814</v>
      </c>
      <c r="P1585">
        <v>21.609192289999999</v>
      </c>
      <c r="Q1585">
        <v>7.258</v>
      </c>
    </row>
    <row r="1586" spans="1:17" s="30" customFormat="1" x14ac:dyDescent="0.2">
      <c r="A1586" s="30" t="str">
        <f>IF(C1586&amp;G1586&amp;D1586&lt;&gt;'Funnel setup'!$K$3&amp;'Funnel setup'!$K$4&amp;'Funnel setup'!$K$5,".",IF(A1585=".",1,A1585+1))</f>
        <v>.</v>
      </c>
      <c r="B1586" s="431" t="str">
        <f t="shared" si="24"/>
        <v>Hip Replacement PrimaryCCG of GP PracticeNHS VALE ROYAL CCG (02D)Oxford Hip Score</v>
      </c>
      <c r="C1586" t="s">
        <v>248</v>
      </c>
      <c r="D1586" t="s">
        <v>87</v>
      </c>
      <c r="E1586" t="s">
        <v>423</v>
      </c>
      <c r="F1586" t="s">
        <v>424</v>
      </c>
      <c r="G1586" t="s">
        <v>14</v>
      </c>
      <c r="H1586">
        <v>79</v>
      </c>
      <c r="I1586">
        <v>17.315999999999999</v>
      </c>
      <c r="J1586">
        <v>40.113999999999997</v>
      </c>
      <c r="K1586">
        <v>22.797000000000001</v>
      </c>
      <c r="L1586">
        <v>77</v>
      </c>
      <c r="M1586">
        <v>0</v>
      </c>
      <c r="N1586">
        <v>2</v>
      </c>
      <c r="O1586">
        <v>40.012999999999998</v>
      </c>
      <c r="P1586">
        <v>21.808363530000001</v>
      </c>
      <c r="Q1586">
        <v>7.6219999999999999</v>
      </c>
    </row>
    <row r="1587" spans="1:17" s="30" customFormat="1" x14ac:dyDescent="0.2">
      <c r="A1587" s="30" t="str">
        <f>IF(C1587&amp;G1587&amp;D1587&lt;&gt;'Funnel setup'!$K$3&amp;'Funnel setup'!$K$4&amp;'Funnel setup'!$K$5,".",IF(A1586=".",1,A1586+1))</f>
        <v>.</v>
      </c>
      <c r="B1587" s="431" t="str">
        <f t="shared" si="24"/>
        <v>Hip Replacement PrimaryCCG of GP PracticeNHS WAKEFIELD CCG (03R)Oxford Hip Score</v>
      </c>
      <c r="C1587" t="s">
        <v>248</v>
      </c>
      <c r="D1587" t="s">
        <v>87</v>
      </c>
      <c r="E1587" t="s">
        <v>426</v>
      </c>
      <c r="F1587" t="s">
        <v>427</v>
      </c>
      <c r="G1587" t="s">
        <v>14</v>
      </c>
      <c r="H1587">
        <v>230</v>
      </c>
      <c r="I1587">
        <v>18.257000000000001</v>
      </c>
      <c r="J1587">
        <v>37.942999999999998</v>
      </c>
      <c r="K1587">
        <v>19.687000000000001</v>
      </c>
      <c r="L1587">
        <v>222</v>
      </c>
      <c r="M1587">
        <v>4</v>
      </c>
      <c r="N1587">
        <v>4</v>
      </c>
      <c r="O1587">
        <v>38.076999999999998</v>
      </c>
      <c r="P1587">
        <v>19.872954140000001</v>
      </c>
      <c r="Q1587">
        <v>8.3010000000000002</v>
      </c>
    </row>
    <row r="1588" spans="1:17" s="30" customFormat="1" x14ac:dyDescent="0.2">
      <c r="A1588" s="30" t="str">
        <f>IF(C1588&amp;G1588&amp;D1588&lt;&gt;'Funnel setup'!$K$3&amp;'Funnel setup'!$K$4&amp;'Funnel setup'!$K$5,".",IF(A1587=".",1,A1587+1))</f>
        <v>.</v>
      </c>
      <c r="B1588" s="431" t="str">
        <f t="shared" si="24"/>
        <v>Hip Replacement PrimaryCCG of GP PracticeNHS WALSALL CCG (05Y)Oxford Hip Score</v>
      </c>
      <c r="C1588" t="s">
        <v>248</v>
      </c>
      <c r="D1588" t="s">
        <v>87</v>
      </c>
      <c r="E1588" t="s">
        <v>429</v>
      </c>
      <c r="F1588" t="s">
        <v>430</v>
      </c>
      <c r="G1588" t="s">
        <v>14</v>
      </c>
      <c r="H1588">
        <v>162</v>
      </c>
      <c r="I1588">
        <v>15.451000000000001</v>
      </c>
      <c r="J1588">
        <v>35.154000000000003</v>
      </c>
      <c r="K1588">
        <v>19.704000000000001</v>
      </c>
      <c r="L1588">
        <v>156</v>
      </c>
      <c r="M1588">
        <v>1</v>
      </c>
      <c r="N1588">
        <v>5</v>
      </c>
      <c r="O1588">
        <v>37.119999999999997</v>
      </c>
      <c r="P1588">
        <v>18.915802339999999</v>
      </c>
      <c r="Q1588">
        <v>10.022</v>
      </c>
    </row>
    <row r="1589" spans="1:17" s="30" customFormat="1" x14ac:dyDescent="0.2">
      <c r="A1589" s="30" t="str">
        <f>IF(C1589&amp;G1589&amp;D1589&lt;&gt;'Funnel setup'!$K$3&amp;'Funnel setup'!$K$4&amp;'Funnel setup'!$K$5,".",IF(A1588=".",1,A1588+1))</f>
        <v>.</v>
      </c>
      <c r="B1589" s="431" t="str">
        <f t="shared" si="24"/>
        <v>Hip Replacement PrimaryCCG of GP PracticeNHS WALTHAM FOREST CCG (08W)Oxford Hip Score</v>
      </c>
      <c r="C1589" t="s">
        <v>248</v>
      </c>
      <c r="D1589" t="s">
        <v>87</v>
      </c>
      <c r="E1589" t="s">
        <v>432</v>
      </c>
      <c r="F1589" t="s">
        <v>433</v>
      </c>
      <c r="G1589" t="s">
        <v>14</v>
      </c>
      <c r="H1589">
        <v>76</v>
      </c>
      <c r="I1589">
        <v>16.065999999999999</v>
      </c>
      <c r="J1589">
        <v>38.433999999999997</v>
      </c>
      <c r="K1589">
        <v>22.367999999999999</v>
      </c>
      <c r="L1589">
        <v>74</v>
      </c>
      <c r="M1589">
        <v>0</v>
      </c>
      <c r="N1589">
        <v>2</v>
      </c>
      <c r="O1589">
        <v>40.171999999999997</v>
      </c>
      <c r="P1589">
        <v>21.967808869999999</v>
      </c>
      <c r="Q1589">
        <v>8.0259999999999998</v>
      </c>
    </row>
    <row r="1590" spans="1:17" s="30" customFormat="1" x14ac:dyDescent="0.2">
      <c r="A1590" s="30" t="str">
        <f>IF(C1590&amp;G1590&amp;D1590&lt;&gt;'Funnel setup'!$K$3&amp;'Funnel setup'!$K$4&amp;'Funnel setup'!$K$5,".",IF(A1589=".",1,A1589+1))</f>
        <v>.</v>
      </c>
      <c r="B1590" s="431" t="str">
        <f t="shared" si="24"/>
        <v>Hip Replacement PrimaryCCG of GP PracticeNHS WANDSWORTH CCG (08X)Oxford Hip Score</v>
      </c>
      <c r="C1590" t="s">
        <v>248</v>
      </c>
      <c r="D1590" t="s">
        <v>87</v>
      </c>
      <c r="E1590" t="s">
        <v>435</v>
      </c>
      <c r="F1590" t="s">
        <v>436</v>
      </c>
      <c r="G1590" t="s">
        <v>14</v>
      </c>
      <c r="H1590">
        <v>78</v>
      </c>
      <c r="I1590">
        <v>19.308</v>
      </c>
      <c r="J1590">
        <v>39.167000000000002</v>
      </c>
      <c r="K1590">
        <v>19.859000000000002</v>
      </c>
      <c r="L1590">
        <v>75</v>
      </c>
      <c r="M1590">
        <v>0</v>
      </c>
      <c r="N1590">
        <v>3</v>
      </c>
      <c r="O1590">
        <v>39.253999999999998</v>
      </c>
      <c r="P1590">
        <v>21.049487549999998</v>
      </c>
      <c r="Q1590">
        <v>8.9169999999999998</v>
      </c>
    </row>
    <row r="1591" spans="1:17" s="30" customFormat="1" x14ac:dyDescent="0.2">
      <c r="A1591" s="30" t="str">
        <f>IF(C1591&amp;G1591&amp;D1591&lt;&gt;'Funnel setup'!$K$3&amp;'Funnel setup'!$K$4&amp;'Funnel setup'!$K$5,".",IF(A1590=".",1,A1590+1))</f>
        <v>.</v>
      </c>
      <c r="B1591" s="431" t="str">
        <f t="shared" si="24"/>
        <v>Hip Replacement PrimaryCCG of GP PracticeNHS WARRINGTON CCG (02E)Oxford Hip Score</v>
      </c>
      <c r="C1591" t="s">
        <v>248</v>
      </c>
      <c r="D1591" t="s">
        <v>87</v>
      </c>
      <c r="E1591" t="s">
        <v>441</v>
      </c>
      <c r="F1591" t="s">
        <v>442</v>
      </c>
      <c r="G1591" t="s">
        <v>14</v>
      </c>
      <c r="H1591">
        <v>124</v>
      </c>
      <c r="I1591">
        <v>16.588999999999999</v>
      </c>
      <c r="J1591">
        <v>38.911000000000001</v>
      </c>
      <c r="K1591">
        <v>22.323</v>
      </c>
      <c r="L1591">
        <v>122</v>
      </c>
      <c r="M1591">
        <v>1</v>
      </c>
      <c r="N1591">
        <v>1</v>
      </c>
      <c r="O1591">
        <v>39.079000000000001</v>
      </c>
      <c r="P1591">
        <v>20.87483426</v>
      </c>
      <c r="Q1591">
        <v>8.3179999999999996</v>
      </c>
    </row>
    <row r="1592" spans="1:17" s="30" customFormat="1" x14ac:dyDescent="0.2">
      <c r="A1592" s="30" t="str">
        <f>IF(C1592&amp;G1592&amp;D1592&lt;&gt;'Funnel setup'!$K$3&amp;'Funnel setup'!$K$4&amp;'Funnel setup'!$K$5,".",IF(A1591=".",1,A1591+1))</f>
        <v>.</v>
      </c>
      <c r="B1592" s="431" t="str">
        <f t="shared" si="24"/>
        <v>Hip Replacement PrimaryCCG of GP PracticeNHS WARWICKSHIRE NORTH CCG (05H)Oxford Hip Score</v>
      </c>
      <c r="C1592" t="s">
        <v>248</v>
      </c>
      <c r="D1592" t="s">
        <v>87</v>
      </c>
      <c r="E1592" t="s">
        <v>438</v>
      </c>
      <c r="F1592" t="s">
        <v>439</v>
      </c>
      <c r="G1592" t="s">
        <v>14</v>
      </c>
      <c r="H1592">
        <v>117</v>
      </c>
      <c r="I1592">
        <v>18.248000000000001</v>
      </c>
      <c r="J1592">
        <v>40.692</v>
      </c>
      <c r="K1592">
        <v>22.443999999999999</v>
      </c>
      <c r="L1592">
        <v>115</v>
      </c>
      <c r="M1592">
        <v>0</v>
      </c>
      <c r="N1592">
        <v>2</v>
      </c>
      <c r="O1592">
        <v>40.5</v>
      </c>
      <c r="P1592">
        <v>22.29520016</v>
      </c>
      <c r="Q1592">
        <v>6.9829999999999997</v>
      </c>
    </row>
    <row r="1593" spans="1:17" s="30" customFormat="1" x14ac:dyDescent="0.2">
      <c r="A1593" s="30" t="str">
        <f>IF(C1593&amp;G1593&amp;D1593&lt;&gt;'Funnel setup'!$K$3&amp;'Funnel setup'!$K$4&amp;'Funnel setup'!$K$5,".",IF(A1592=".",1,A1592+1))</f>
        <v>.</v>
      </c>
      <c r="B1593" s="431" t="str">
        <f t="shared" si="24"/>
        <v>Hip Replacement PrimaryCCG of GP PracticeNHS WEST CHESHIRE CCG (02F)Oxford Hip Score</v>
      </c>
      <c r="C1593" t="s">
        <v>248</v>
      </c>
      <c r="D1593" t="s">
        <v>87</v>
      </c>
      <c r="E1593" t="s">
        <v>402</v>
      </c>
      <c r="F1593" t="s">
        <v>403</v>
      </c>
      <c r="G1593" t="s">
        <v>14</v>
      </c>
      <c r="H1593">
        <v>227</v>
      </c>
      <c r="I1593">
        <v>18.172000000000001</v>
      </c>
      <c r="J1593">
        <v>40.414000000000001</v>
      </c>
      <c r="K1593">
        <v>22.242000000000001</v>
      </c>
      <c r="L1593">
        <v>220</v>
      </c>
      <c r="M1593">
        <v>0</v>
      </c>
      <c r="N1593">
        <v>7</v>
      </c>
      <c r="O1593">
        <v>39.737000000000002</v>
      </c>
      <c r="P1593">
        <v>21.532354730000002</v>
      </c>
      <c r="Q1593">
        <v>7.6580000000000004</v>
      </c>
    </row>
    <row r="1594" spans="1:17" s="30" customFormat="1" x14ac:dyDescent="0.2">
      <c r="A1594" s="30" t="str">
        <f>IF(C1594&amp;G1594&amp;D1594&lt;&gt;'Funnel setup'!$K$3&amp;'Funnel setup'!$K$4&amp;'Funnel setup'!$K$5,".",IF(A1593=".",1,A1593+1))</f>
        <v>.</v>
      </c>
      <c r="B1594" s="431" t="str">
        <f t="shared" si="24"/>
        <v>Hip Replacement PrimaryCCG of GP PracticeNHS WEST ESSEX CCG (07H)Oxford Hip Score</v>
      </c>
      <c r="C1594" t="s">
        <v>248</v>
      </c>
      <c r="D1594" t="s">
        <v>87</v>
      </c>
      <c r="E1594" t="s">
        <v>405</v>
      </c>
      <c r="F1594" t="s">
        <v>406</v>
      </c>
      <c r="G1594" t="s">
        <v>14</v>
      </c>
      <c r="H1594">
        <v>216</v>
      </c>
      <c r="I1594">
        <v>17.782</v>
      </c>
      <c r="J1594">
        <v>37.064999999999998</v>
      </c>
      <c r="K1594">
        <v>19.282</v>
      </c>
      <c r="L1594">
        <v>200</v>
      </c>
      <c r="M1594">
        <v>3</v>
      </c>
      <c r="N1594">
        <v>13</v>
      </c>
      <c r="O1594">
        <v>37.095999999999997</v>
      </c>
      <c r="P1594">
        <v>18.891540240000001</v>
      </c>
      <c r="Q1594">
        <v>9.5660000000000007</v>
      </c>
    </row>
    <row r="1595" spans="1:17" s="30" customFormat="1" x14ac:dyDescent="0.2">
      <c r="A1595" s="30" t="str">
        <f>IF(C1595&amp;G1595&amp;D1595&lt;&gt;'Funnel setup'!$K$3&amp;'Funnel setup'!$K$4&amp;'Funnel setup'!$K$5,".",IF(A1594=".",1,A1594+1))</f>
        <v>.</v>
      </c>
      <c r="B1595" s="431" t="str">
        <f t="shared" si="24"/>
        <v>Hip Replacement PrimaryCCG of GP PracticeNHS WEST HAMPSHIRE CCG (11A)Oxford Hip Score</v>
      </c>
      <c r="C1595" t="s">
        <v>248</v>
      </c>
      <c r="D1595" t="s">
        <v>87</v>
      </c>
      <c r="E1595" t="s">
        <v>444</v>
      </c>
      <c r="F1595" t="s">
        <v>445</v>
      </c>
      <c r="G1595" t="s">
        <v>14</v>
      </c>
      <c r="H1595">
        <v>494</v>
      </c>
      <c r="I1595">
        <v>18.452999999999999</v>
      </c>
      <c r="J1595">
        <v>40.225000000000001</v>
      </c>
      <c r="K1595">
        <v>21.771000000000001</v>
      </c>
      <c r="L1595">
        <v>478</v>
      </c>
      <c r="M1595">
        <v>0</v>
      </c>
      <c r="N1595">
        <v>16</v>
      </c>
      <c r="O1595">
        <v>39.738999999999997</v>
      </c>
      <c r="P1595">
        <v>21.534716880000001</v>
      </c>
      <c r="Q1595">
        <v>7.6360000000000001</v>
      </c>
    </row>
    <row r="1596" spans="1:17" s="30" customFormat="1" x14ac:dyDescent="0.2">
      <c r="A1596" s="30" t="str">
        <f>IF(C1596&amp;G1596&amp;D1596&lt;&gt;'Funnel setup'!$K$3&amp;'Funnel setup'!$K$4&amp;'Funnel setup'!$K$5,".",IF(A1595=".",1,A1595+1))</f>
        <v>.</v>
      </c>
      <c r="B1596" s="431" t="str">
        <f t="shared" si="24"/>
        <v>Hip Replacement PrimaryCCG of GP PracticeNHS WEST KENT CCG (99J)Oxford Hip Score</v>
      </c>
      <c r="C1596" t="s">
        <v>248</v>
      </c>
      <c r="D1596" t="s">
        <v>87</v>
      </c>
      <c r="E1596" t="s">
        <v>447</v>
      </c>
      <c r="F1596" t="s">
        <v>448</v>
      </c>
      <c r="G1596" t="s">
        <v>14</v>
      </c>
      <c r="H1596">
        <v>338</v>
      </c>
      <c r="I1596">
        <v>19.556000000000001</v>
      </c>
      <c r="J1596">
        <v>41.944000000000003</v>
      </c>
      <c r="K1596">
        <v>22.388000000000002</v>
      </c>
      <c r="L1596">
        <v>337</v>
      </c>
      <c r="M1596">
        <v>0</v>
      </c>
      <c r="N1596">
        <v>1</v>
      </c>
      <c r="O1596">
        <v>41.41</v>
      </c>
      <c r="P1596">
        <v>23.205788429999998</v>
      </c>
      <c r="Q1596">
        <v>6.49</v>
      </c>
    </row>
    <row r="1597" spans="1:17" s="30" customFormat="1" x14ac:dyDescent="0.2">
      <c r="A1597" s="30" t="str">
        <f>IF(C1597&amp;G1597&amp;D1597&lt;&gt;'Funnel setup'!$K$3&amp;'Funnel setup'!$K$4&amp;'Funnel setup'!$K$5,".",IF(A1596=".",1,A1596+1))</f>
        <v>.</v>
      </c>
      <c r="B1597" s="431" t="str">
        <f t="shared" si="24"/>
        <v>Hip Replacement PrimaryCCG of GP PracticeNHS WEST LANCASHIRE CCG (02G)Oxford Hip Score</v>
      </c>
      <c r="C1597" t="s">
        <v>248</v>
      </c>
      <c r="D1597" t="s">
        <v>87</v>
      </c>
      <c r="E1597" t="s">
        <v>450</v>
      </c>
      <c r="F1597" t="s">
        <v>451</v>
      </c>
      <c r="G1597" t="s">
        <v>14</v>
      </c>
      <c r="H1597">
        <v>69</v>
      </c>
      <c r="I1597">
        <v>19.187999999999999</v>
      </c>
      <c r="J1597">
        <v>38.493000000000002</v>
      </c>
      <c r="K1597">
        <v>19.303999999999998</v>
      </c>
      <c r="L1597">
        <v>66</v>
      </c>
      <c r="M1597">
        <v>2</v>
      </c>
      <c r="N1597">
        <v>1</v>
      </c>
      <c r="O1597">
        <v>37.965000000000003</v>
      </c>
      <c r="P1597">
        <v>19.760424619999998</v>
      </c>
      <c r="Q1597">
        <v>8.6869999999999994</v>
      </c>
    </row>
    <row r="1598" spans="1:17" s="30" customFormat="1" x14ac:dyDescent="0.2">
      <c r="A1598" s="30" t="str">
        <f>IF(C1598&amp;G1598&amp;D1598&lt;&gt;'Funnel setup'!$K$3&amp;'Funnel setup'!$K$4&amp;'Funnel setup'!$K$5,".",IF(A1597=".",1,A1597+1))</f>
        <v>.</v>
      </c>
      <c r="B1598" s="431" t="str">
        <f t="shared" si="24"/>
        <v>Hip Replacement PrimaryCCG of GP PracticeNHS WEST LEICESTERSHIRE CCG (04V)Oxford Hip Score</v>
      </c>
      <c r="C1598" t="s">
        <v>248</v>
      </c>
      <c r="D1598" t="s">
        <v>87</v>
      </c>
      <c r="E1598" t="s">
        <v>453</v>
      </c>
      <c r="F1598" t="s">
        <v>454</v>
      </c>
      <c r="G1598" t="s">
        <v>14</v>
      </c>
      <c r="H1598">
        <v>297</v>
      </c>
      <c r="I1598">
        <v>17.407</v>
      </c>
      <c r="J1598">
        <v>39.292999999999999</v>
      </c>
      <c r="K1598">
        <v>21.885999999999999</v>
      </c>
      <c r="L1598">
        <v>287</v>
      </c>
      <c r="M1598">
        <v>1</v>
      </c>
      <c r="N1598">
        <v>9</v>
      </c>
      <c r="O1598">
        <v>39.061</v>
      </c>
      <c r="P1598">
        <v>20.856185589999999</v>
      </c>
      <c r="Q1598">
        <v>8.0489999999999995</v>
      </c>
    </row>
    <row r="1599" spans="1:17" s="30" customFormat="1" x14ac:dyDescent="0.2">
      <c r="A1599" s="30" t="str">
        <f>IF(C1599&amp;G1599&amp;D1599&lt;&gt;'Funnel setup'!$K$3&amp;'Funnel setup'!$K$4&amp;'Funnel setup'!$K$5,".",IF(A1598=".",1,A1598+1))</f>
        <v>.</v>
      </c>
      <c r="B1599" s="431" t="str">
        <f t="shared" si="24"/>
        <v>Hip Replacement PrimaryCCG of GP PracticeNHS WEST LONDON CCG (08Y)Oxford Hip Score</v>
      </c>
      <c r="C1599" t="s">
        <v>248</v>
      </c>
      <c r="D1599" t="s">
        <v>87</v>
      </c>
      <c r="E1599" t="s">
        <v>456</v>
      </c>
      <c r="F1599" t="s">
        <v>457</v>
      </c>
      <c r="G1599" t="s">
        <v>14</v>
      </c>
      <c r="H1599">
        <v>27</v>
      </c>
      <c r="I1599">
        <v>15.555999999999999</v>
      </c>
      <c r="J1599">
        <v>37.555999999999997</v>
      </c>
      <c r="K1599">
        <v>22</v>
      </c>
      <c r="L1599">
        <v>27</v>
      </c>
      <c r="M1599">
        <v>0</v>
      </c>
      <c r="N1599">
        <v>0</v>
      </c>
      <c r="O1599" t="s">
        <v>53</v>
      </c>
      <c r="P1599" t="s">
        <v>53</v>
      </c>
      <c r="Q1599" t="s">
        <v>53</v>
      </c>
    </row>
    <row r="1600" spans="1:17" s="30" customFormat="1" x14ac:dyDescent="0.2">
      <c r="A1600" s="30" t="str">
        <f>IF(C1600&amp;G1600&amp;D1600&lt;&gt;'Funnel setup'!$K$3&amp;'Funnel setup'!$K$4&amp;'Funnel setup'!$K$5,".",IF(A1599=".",1,A1599+1))</f>
        <v>.</v>
      </c>
      <c r="B1600" s="431" t="str">
        <f t="shared" si="24"/>
        <v>Hip Replacement PrimaryCCG of GP PracticeNHS WEST NORFOLK CCG (07J)Oxford Hip Score</v>
      </c>
      <c r="C1600" t="s">
        <v>248</v>
      </c>
      <c r="D1600" t="s">
        <v>87</v>
      </c>
      <c r="E1600" t="s">
        <v>459</v>
      </c>
      <c r="F1600" t="s">
        <v>460</v>
      </c>
      <c r="G1600" t="s">
        <v>14</v>
      </c>
      <c r="H1600">
        <v>191</v>
      </c>
      <c r="I1600">
        <v>17.989999999999998</v>
      </c>
      <c r="J1600">
        <v>39.402999999999999</v>
      </c>
      <c r="K1600">
        <v>21.414000000000001</v>
      </c>
      <c r="L1600">
        <v>187</v>
      </c>
      <c r="M1600">
        <v>1</v>
      </c>
      <c r="N1600">
        <v>3</v>
      </c>
      <c r="O1600">
        <v>39.524999999999999</v>
      </c>
      <c r="P1600">
        <v>21.320390530000001</v>
      </c>
      <c r="Q1600">
        <v>8.1920000000000002</v>
      </c>
    </row>
    <row r="1601" spans="1:17" s="30" customFormat="1" x14ac:dyDescent="0.2">
      <c r="A1601" s="30" t="str">
        <f>IF(C1601&amp;G1601&amp;D1601&lt;&gt;'Funnel setup'!$K$3&amp;'Funnel setup'!$K$4&amp;'Funnel setup'!$K$5,".",IF(A1600=".",1,A1600+1))</f>
        <v>.</v>
      </c>
      <c r="B1601" s="431" t="str">
        <f t="shared" si="24"/>
        <v>Hip Replacement PrimaryCCG of GP PracticeNHS WEST SUFFOLK CCG (07K)Oxford Hip Score</v>
      </c>
      <c r="C1601" t="s">
        <v>248</v>
      </c>
      <c r="D1601" t="s">
        <v>87</v>
      </c>
      <c r="E1601" t="s">
        <v>462</v>
      </c>
      <c r="F1601" t="s">
        <v>463</v>
      </c>
      <c r="G1601" t="s">
        <v>14</v>
      </c>
      <c r="H1601">
        <v>257</v>
      </c>
      <c r="I1601">
        <v>17.914000000000001</v>
      </c>
      <c r="J1601">
        <v>39.677</v>
      </c>
      <c r="K1601">
        <v>21.763000000000002</v>
      </c>
      <c r="L1601">
        <v>251</v>
      </c>
      <c r="M1601">
        <v>1</v>
      </c>
      <c r="N1601">
        <v>5</v>
      </c>
      <c r="O1601">
        <v>39.468000000000004</v>
      </c>
      <c r="P1601">
        <v>21.26337161</v>
      </c>
      <c r="Q1601">
        <v>7.617</v>
      </c>
    </row>
    <row r="1602" spans="1:17" s="30" customFormat="1" x14ac:dyDescent="0.2">
      <c r="A1602" s="30" t="str">
        <f>IF(C1602&amp;G1602&amp;D1602&lt;&gt;'Funnel setup'!$K$3&amp;'Funnel setup'!$K$4&amp;'Funnel setup'!$K$5,".",IF(A1601=".",1,A1601+1))</f>
        <v>.</v>
      </c>
      <c r="B1602" s="431" t="str">
        <f t="shared" si="24"/>
        <v>Hip Replacement PrimaryCCG of GP PracticeNHS WIGAN BOROUGH CCG (02H)Oxford Hip Score</v>
      </c>
      <c r="C1602" t="s">
        <v>248</v>
      </c>
      <c r="D1602" t="s">
        <v>87</v>
      </c>
      <c r="E1602" t="s">
        <v>465</v>
      </c>
      <c r="F1602" t="s">
        <v>466</v>
      </c>
      <c r="G1602" t="s">
        <v>14</v>
      </c>
      <c r="H1602">
        <v>115</v>
      </c>
      <c r="I1602">
        <v>17.704000000000001</v>
      </c>
      <c r="J1602">
        <v>39.591000000000001</v>
      </c>
      <c r="K1602">
        <v>21.887</v>
      </c>
      <c r="L1602">
        <v>111</v>
      </c>
      <c r="M1602">
        <v>1</v>
      </c>
      <c r="N1602">
        <v>3</v>
      </c>
      <c r="O1602">
        <v>39.927</v>
      </c>
      <c r="P1602">
        <v>21.722505699999999</v>
      </c>
      <c r="Q1602">
        <v>8.0050000000000008</v>
      </c>
    </row>
    <row r="1603" spans="1:17" s="30" customFormat="1" x14ac:dyDescent="0.2">
      <c r="A1603" s="30" t="str">
        <f>IF(C1603&amp;G1603&amp;D1603&lt;&gt;'Funnel setup'!$K$3&amp;'Funnel setup'!$K$4&amp;'Funnel setup'!$K$5,".",IF(A1602=".",1,A1602+1))</f>
        <v>.</v>
      </c>
      <c r="B1603" s="431" t="str">
        <f t="shared" ref="B1603:B1666" si="25">C1603&amp;D1603&amp;F1603&amp;G1603</f>
        <v>Hip Replacement PrimaryCCG of GP PracticeNHS WILTSHIRE CCG (99N)Oxford Hip Score</v>
      </c>
      <c r="C1603" t="s">
        <v>248</v>
      </c>
      <c r="D1603" t="s">
        <v>87</v>
      </c>
      <c r="E1603" t="s">
        <v>468</v>
      </c>
      <c r="F1603" t="s">
        <v>469</v>
      </c>
      <c r="G1603" t="s">
        <v>14</v>
      </c>
      <c r="H1603">
        <v>571</v>
      </c>
      <c r="I1603">
        <v>18.391999999999999</v>
      </c>
      <c r="J1603">
        <v>40.881</v>
      </c>
      <c r="K1603">
        <v>22.489000000000001</v>
      </c>
      <c r="L1603">
        <v>561</v>
      </c>
      <c r="M1603">
        <v>2</v>
      </c>
      <c r="N1603">
        <v>8</v>
      </c>
      <c r="O1603">
        <v>40.517000000000003</v>
      </c>
      <c r="P1603">
        <v>22.312528660000002</v>
      </c>
      <c r="Q1603">
        <v>7.1280000000000001</v>
      </c>
    </row>
    <row r="1604" spans="1:17" s="30" customFormat="1" x14ac:dyDescent="0.2">
      <c r="A1604" s="30" t="str">
        <f>IF(C1604&amp;G1604&amp;D1604&lt;&gt;'Funnel setup'!$K$3&amp;'Funnel setup'!$K$4&amp;'Funnel setup'!$K$5,".",IF(A1603=".",1,A1603+1))</f>
        <v>.</v>
      </c>
      <c r="B1604" s="431" t="str">
        <f t="shared" si="25"/>
        <v>Hip Replacement PrimaryCCG of GP PracticeNHS WINDSOR, ASCOT AND MAIDENHEAD CCG (11C)Oxford Hip Score</v>
      </c>
      <c r="C1604" t="s">
        <v>248</v>
      </c>
      <c r="D1604" t="s">
        <v>87</v>
      </c>
      <c r="E1604" t="s">
        <v>471</v>
      </c>
      <c r="F1604" t="s">
        <v>472</v>
      </c>
      <c r="G1604" t="s">
        <v>14</v>
      </c>
      <c r="H1604">
        <v>86</v>
      </c>
      <c r="I1604">
        <v>18.337</v>
      </c>
      <c r="J1604">
        <v>38.814</v>
      </c>
      <c r="K1604">
        <v>20.477</v>
      </c>
      <c r="L1604">
        <v>84</v>
      </c>
      <c r="M1604">
        <v>1</v>
      </c>
      <c r="N1604">
        <v>1</v>
      </c>
      <c r="O1604">
        <v>38.363999999999997</v>
      </c>
      <c r="P1604">
        <v>20.159717700000002</v>
      </c>
      <c r="Q1604">
        <v>8.4689999999999994</v>
      </c>
    </row>
    <row r="1605" spans="1:17" s="30" customFormat="1" x14ac:dyDescent="0.2">
      <c r="A1605" s="30" t="str">
        <f>IF(C1605&amp;G1605&amp;D1605&lt;&gt;'Funnel setup'!$K$3&amp;'Funnel setup'!$K$4&amp;'Funnel setup'!$K$5,".",IF(A1604=".",1,A1604+1))</f>
        <v>.</v>
      </c>
      <c r="B1605" s="431" t="str">
        <f t="shared" si="25"/>
        <v>Hip Replacement PrimaryCCG of GP PracticeNHS WIRRAL CCG (12F)Oxford Hip Score</v>
      </c>
      <c r="C1605" t="s">
        <v>248</v>
      </c>
      <c r="D1605" t="s">
        <v>87</v>
      </c>
      <c r="E1605" t="s">
        <v>474</v>
      </c>
      <c r="F1605" t="s">
        <v>475</v>
      </c>
      <c r="G1605" t="s">
        <v>14</v>
      </c>
      <c r="H1605">
        <v>304</v>
      </c>
      <c r="I1605">
        <v>18.329000000000001</v>
      </c>
      <c r="J1605">
        <v>37.615000000000002</v>
      </c>
      <c r="K1605">
        <v>19.286000000000001</v>
      </c>
      <c r="L1605">
        <v>286</v>
      </c>
      <c r="M1605">
        <v>4</v>
      </c>
      <c r="N1605">
        <v>14</v>
      </c>
      <c r="O1605">
        <v>38.298999999999999</v>
      </c>
      <c r="P1605">
        <v>20.094365230000001</v>
      </c>
      <c r="Q1605">
        <v>8.8829999999999991</v>
      </c>
    </row>
    <row r="1606" spans="1:17" s="30" customFormat="1" x14ac:dyDescent="0.2">
      <c r="A1606" s="30" t="str">
        <f>IF(C1606&amp;G1606&amp;D1606&lt;&gt;'Funnel setup'!$K$3&amp;'Funnel setup'!$K$4&amp;'Funnel setup'!$K$5,".",IF(A1605=".",1,A1605+1))</f>
        <v>.</v>
      </c>
      <c r="B1606" s="431" t="str">
        <f t="shared" si="25"/>
        <v>Hip Replacement PrimaryCCG of GP PracticeNHS WOKINGHAM CCG (11D)Oxford Hip Score</v>
      </c>
      <c r="C1606" t="s">
        <v>248</v>
      </c>
      <c r="D1606" t="s">
        <v>87</v>
      </c>
      <c r="E1606" t="s">
        <v>477</v>
      </c>
      <c r="F1606" t="s">
        <v>478</v>
      </c>
      <c r="G1606" t="s">
        <v>14</v>
      </c>
      <c r="H1606">
        <v>112</v>
      </c>
      <c r="I1606">
        <v>21.116</v>
      </c>
      <c r="J1606">
        <v>43.125</v>
      </c>
      <c r="K1606">
        <v>22.009</v>
      </c>
      <c r="L1606">
        <v>109</v>
      </c>
      <c r="M1606">
        <v>0</v>
      </c>
      <c r="N1606">
        <v>3</v>
      </c>
      <c r="O1606">
        <v>40.945999999999998</v>
      </c>
      <c r="P1606">
        <v>22.74104608</v>
      </c>
      <c r="Q1606">
        <v>5.9020000000000001</v>
      </c>
    </row>
    <row r="1607" spans="1:17" s="30" customFormat="1" x14ac:dyDescent="0.2">
      <c r="A1607" s="30" t="str">
        <f>IF(C1607&amp;G1607&amp;D1607&lt;&gt;'Funnel setup'!$K$3&amp;'Funnel setup'!$K$4&amp;'Funnel setup'!$K$5,".",IF(A1606=".",1,A1606+1))</f>
        <v>.</v>
      </c>
      <c r="B1607" s="431" t="str">
        <f t="shared" si="25"/>
        <v>Hip Replacement PrimaryCCG of GP PracticeNHS WOLVERHAMPTON CCG (06A)Oxford Hip Score</v>
      </c>
      <c r="C1607" t="s">
        <v>248</v>
      </c>
      <c r="D1607" t="s">
        <v>87</v>
      </c>
      <c r="E1607" t="s">
        <v>480</v>
      </c>
      <c r="F1607" t="s">
        <v>481</v>
      </c>
      <c r="G1607" t="s">
        <v>14</v>
      </c>
      <c r="H1607">
        <v>153</v>
      </c>
      <c r="I1607">
        <v>17.385999999999999</v>
      </c>
      <c r="J1607">
        <v>38.255000000000003</v>
      </c>
      <c r="K1607">
        <v>20.869</v>
      </c>
      <c r="L1607">
        <v>148</v>
      </c>
      <c r="M1607">
        <v>0</v>
      </c>
      <c r="N1607">
        <v>5</v>
      </c>
      <c r="O1607">
        <v>39.719000000000001</v>
      </c>
      <c r="P1607">
        <v>21.514357990000001</v>
      </c>
      <c r="Q1607">
        <v>8.0050000000000008</v>
      </c>
    </row>
    <row r="1608" spans="1:17" s="30" customFormat="1" x14ac:dyDescent="0.2">
      <c r="A1608" s="30" t="str">
        <f>IF(C1608&amp;G1608&amp;D1608&lt;&gt;'Funnel setup'!$K$3&amp;'Funnel setup'!$K$4&amp;'Funnel setup'!$K$5,".",IF(A1607=".",1,A1607+1))</f>
        <v>.</v>
      </c>
      <c r="B1608" s="431" t="str">
        <f t="shared" si="25"/>
        <v>Hip Replacement PrimaryCCG of GP PracticeNHS WYRE FOREST CCG (06D)Oxford Hip Score</v>
      </c>
      <c r="C1608" t="s">
        <v>248</v>
      </c>
      <c r="D1608" t="s">
        <v>87</v>
      </c>
      <c r="E1608" t="s">
        <v>483</v>
      </c>
      <c r="F1608" t="s">
        <v>484</v>
      </c>
      <c r="G1608" t="s">
        <v>14</v>
      </c>
      <c r="H1608">
        <v>85</v>
      </c>
      <c r="I1608">
        <v>17.975999999999999</v>
      </c>
      <c r="J1608">
        <v>41.564999999999998</v>
      </c>
      <c r="K1608">
        <v>23.588000000000001</v>
      </c>
      <c r="L1608">
        <v>81</v>
      </c>
      <c r="M1608">
        <v>0</v>
      </c>
      <c r="N1608">
        <v>4</v>
      </c>
      <c r="O1608">
        <v>42.13</v>
      </c>
      <c r="P1608">
        <v>23.92586275</v>
      </c>
      <c r="Q1608">
        <v>8.2100000000000009</v>
      </c>
    </row>
    <row r="1609" spans="1:17" s="30" customFormat="1" x14ac:dyDescent="0.2">
      <c r="A1609" s="30" t="str">
        <f>IF(C1609&amp;G1609&amp;D1609&lt;&gt;'Funnel setup'!$K$3&amp;'Funnel setup'!$K$4&amp;'Funnel setup'!$K$5,".",IF(A1608=".",1,A1608+1))</f>
        <v>.</v>
      </c>
      <c r="B1609" s="431" t="str">
        <f t="shared" si="25"/>
        <v>Hip Replacement PrimaryEnglandEnglandEQ VAS</v>
      </c>
      <c r="C1609" t="s">
        <v>248</v>
      </c>
      <c r="D1609" t="s">
        <v>163</v>
      </c>
      <c r="E1609" t="s">
        <v>163</v>
      </c>
      <c r="F1609" t="s">
        <v>163</v>
      </c>
      <c r="G1609" t="s">
        <v>179</v>
      </c>
      <c r="H1609">
        <v>34129</v>
      </c>
      <c r="I1609">
        <v>65.504000000000005</v>
      </c>
      <c r="J1609">
        <v>77.459000000000003</v>
      </c>
      <c r="K1609">
        <v>11.955</v>
      </c>
      <c r="L1609">
        <v>22548</v>
      </c>
      <c r="M1609">
        <v>3798</v>
      </c>
      <c r="N1609">
        <v>7783</v>
      </c>
      <c r="O1609">
        <v>77.459000000000003</v>
      </c>
      <c r="P1609">
        <v>11.954964990000001</v>
      </c>
      <c r="Q1609">
        <v>15.611000000000001</v>
      </c>
    </row>
    <row r="1610" spans="1:17" s="30" customFormat="1" x14ac:dyDescent="0.2">
      <c r="A1610" s="30" t="str">
        <f>IF(C1610&amp;G1610&amp;D1610&lt;&gt;'Funnel setup'!$K$3&amp;'Funnel setup'!$K$4&amp;'Funnel setup'!$K$5,".",IF(A1609=".",1,A1609+1))</f>
        <v>.</v>
      </c>
      <c r="B1610" s="431" t="str">
        <f t="shared" si="25"/>
        <v>Hip Replacement PrimaryEnglandEnglandEQ-5D Index</v>
      </c>
      <c r="C1610" t="s">
        <v>248</v>
      </c>
      <c r="D1610" t="s">
        <v>163</v>
      </c>
      <c r="E1610" t="s">
        <v>163</v>
      </c>
      <c r="F1610" t="s">
        <v>163</v>
      </c>
      <c r="G1610" t="s">
        <v>52</v>
      </c>
      <c r="H1610">
        <v>35825</v>
      </c>
      <c r="I1610">
        <v>0.36199999999999999</v>
      </c>
      <c r="J1610">
        <v>0.79800000000000004</v>
      </c>
      <c r="K1610">
        <v>0.437</v>
      </c>
      <c r="L1610">
        <v>32092</v>
      </c>
      <c r="M1610">
        <v>1962</v>
      </c>
      <c r="N1610">
        <v>1771</v>
      </c>
      <c r="O1610">
        <v>0.79800000000000004</v>
      </c>
      <c r="P1610">
        <v>0.43664440999999998</v>
      </c>
      <c r="Q1610">
        <v>0.218</v>
      </c>
    </row>
    <row r="1611" spans="1:17" x14ac:dyDescent="0.2">
      <c r="A1611" s="30" t="str">
        <f>IF(C1611&amp;G1611&amp;D1611&lt;&gt;'Funnel setup'!$K$3&amp;'Funnel setup'!$K$4&amp;'Funnel setup'!$K$5,".",IF(A1610=".",1,A1610+1))</f>
        <v>.</v>
      </c>
      <c r="B1611" s="431" t="str">
        <f t="shared" si="25"/>
        <v>Hip Replacement PrimaryEnglandEnglandOxford Hip Score</v>
      </c>
      <c r="C1611" t="s">
        <v>248</v>
      </c>
      <c r="D1611" t="s">
        <v>163</v>
      </c>
      <c r="E1611" t="s">
        <v>163</v>
      </c>
      <c r="F1611" t="s">
        <v>163</v>
      </c>
      <c r="G1611" t="s">
        <v>14</v>
      </c>
      <c r="H1611">
        <v>38709</v>
      </c>
      <c r="I1611">
        <v>18.204999999999998</v>
      </c>
      <c r="J1611">
        <v>39.658999999999999</v>
      </c>
      <c r="K1611">
        <v>21.454999999999998</v>
      </c>
      <c r="L1611">
        <v>37678</v>
      </c>
      <c r="M1611">
        <v>180</v>
      </c>
      <c r="N1611">
        <v>851</v>
      </c>
      <c r="O1611">
        <v>39.658999999999999</v>
      </c>
      <c r="P1611">
        <v>21.454777960000001</v>
      </c>
      <c r="Q1611">
        <v>7.8419999999999996</v>
      </c>
    </row>
    <row r="1612" spans="1:17" x14ac:dyDescent="0.2">
      <c r="A1612" s="30" t="str">
        <f>IF(C1612&amp;G1612&amp;D1612&lt;&gt;'Funnel setup'!$K$3&amp;'Funnel setup'!$K$4&amp;'Funnel setup'!$K$5,".",IF(A1611=".",1,A1611+1))</f>
        <v>.</v>
      </c>
      <c r="B1612" s="431" t="str">
        <f t="shared" si="25"/>
        <v>Hip Replacement PrimaryProviderAINTREE UNIVERSITY HOSPITAL NHS FOUNDATION TRUST (REM)EQ VAS</v>
      </c>
      <c r="C1612" t="s">
        <v>248</v>
      </c>
      <c r="D1612" t="s">
        <v>1</v>
      </c>
      <c r="E1612" t="s">
        <v>3838</v>
      </c>
      <c r="F1612" t="s">
        <v>3839</v>
      </c>
      <c r="G1612" t="s">
        <v>179</v>
      </c>
      <c r="H1612">
        <v>98</v>
      </c>
      <c r="I1612">
        <v>62.112000000000002</v>
      </c>
      <c r="J1612">
        <v>70.867000000000004</v>
      </c>
      <c r="K1612">
        <v>8.7550000000000008</v>
      </c>
      <c r="L1612">
        <v>58</v>
      </c>
      <c r="M1612">
        <v>9</v>
      </c>
      <c r="N1612">
        <v>31</v>
      </c>
      <c r="O1612">
        <v>74.771000000000001</v>
      </c>
      <c r="P1612">
        <v>9.2667397820000001</v>
      </c>
      <c r="Q1612">
        <v>21.542999999999999</v>
      </c>
    </row>
    <row r="1613" spans="1:17" x14ac:dyDescent="0.2">
      <c r="A1613" s="30" t="str">
        <f>IF(C1613&amp;G1613&amp;D1613&lt;&gt;'Funnel setup'!$K$3&amp;'Funnel setup'!$K$4&amp;'Funnel setup'!$K$5,".",IF(A1612=".",1,A1612+1))</f>
        <v>.</v>
      </c>
      <c r="B1613" s="431" t="str">
        <f t="shared" si="25"/>
        <v>Hip Replacement PrimaryProviderAIREDALE NHS FOUNDATION TRUST (RCF)EQ VAS</v>
      </c>
      <c r="C1613" t="s">
        <v>248</v>
      </c>
      <c r="D1613" t="s">
        <v>1</v>
      </c>
      <c r="E1613" t="s">
        <v>3841</v>
      </c>
      <c r="F1613" t="s">
        <v>3842</v>
      </c>
      <c r="G1613" t="s">
        <v>179</v>
      </c>
      <c r="H1613">
        <v>139</v>
      </c>
      <c r="I1613">
        <v>63.798999999999999</v>
      </c>
      <c r="J1613">
        <v>78.108000000000004</v>
      </c>
      <c r="K1613">
        <v>14.308999999999999</v>
      </c>
      <c r="L1613">
        <v>103</v>
      </c>
      <c r="M1613">
        <v>14</v>
      </c>
      <c r="N1613">
        <v>22</v>
      </c>
      <c r="O1613">
        <v>78.72</v>
      </c>
      <c r="P1613">
        <v>13.21549313</v>
      </c>
      <c r="Q1613">
        <v>13.568</v>
      </c>
    </row>
    <row r="1614" spans="1:17" x14ac:dyDescent="0.2">
      <c r="A1614" s="30" t="str">
        <f>IF(C1614&amp;G1614&amp;D1614&lt;&gt;'Funnel setup'!$K$3&amp;'Funnel setup'!$K$4&amp;'Funnel setup'!$K$5,".",IF(A1613=".",1,A1613+1))</f>
        <v>.</v>
      </c>
      <c r="B1614" s="431" t="str">
        <f t="shared" si="25"/>
        <v>Hip Replacement PrimaryProviderASHFORD AND ST PETER'S HOSPITALS NHS FOUNDATION TRUST (RTK)EQ VAS</v>
      </c>
      <c r="C1614" t="s">
        <v>248</v>
      </c>
      <c r="D1614" t="s">
        <v>1</v>
      </c>
      <c r="E1614" t="s">
        <v>3844</v>
      </c>
      <c r="F1614" t="s">
        <v>345</v>
      </c>
      <c r="G1614" t="s">
        <v>179</v>
      </c>
      <c r="H1614">
        <v>233</v>
      </c>
      <c r="I1614">
        <v>68.215000000000003</v>
      </c>
      <c r="J1614">
        <v>80.025999999999996</v>
      </c>
      <c r="K1614">
        <v>11.811</v>
      </c>
      <c r="L1614">
        <v>156</v>
      </c>
      <c r="M1614">
        <v>38</v>
      </c>
      <c r="N1614">
        <v>39</v>
      </c>
      <c r="O1614">
        <v>78.77</v>
      </c>
      <c r="P1614">
        <v>13.26531634</v>
      </c>
      <c r="Q1614">
        <v>13.664</v>
      </c>
    </row>
    <row r="1615" spans="1:17" x14ac:dyDescent="0.2">
      <c r="A1615" s="30" t="str">
        <f>IF(C1615&amp;G1615&amp;D1615&lt;&gt;'Funnel setup'!$K$3&amp;'Funnel setup'!$K$4&amp;'Funnel setup'!$K$5,".",IF(A1614=".",1,A1614+1))</f>
        <v>.</v>
      </c>
      <c r="B1615" s="431" t="str">
        <f t="shared" si="25"/>
        <v>Hip Replacement PrimaryProviderASHTEAD HOSPITAL (NVC01)EQ VAS</v>
      </c>
      <c r="C1615" t="s">
        <v>248</v>
      </c>
      <c r="D1615" t="s">
        <v>1</v>
      </c>
      <c r="E1615" t="s">
        <v>3846</v>
      </c>
      <c r="F1615" t="s">
        <v>3847</v>
      </c>
      <c r="G1615" t="s">
        <v>179</v>
      </c>
      <c r="H1615">
        <v>54</v>
      </c>
      <c r="I1615">
        <v>66.13</v>
      </c>
      <c r="J1615">
        <v>77.37</v>
      </c>
      <c r="K1615">
        <v>11.241</v>
      </c>
      <c r="L1615">
        <v>39</v>
      </c>
      <c r="M1615">
        <v>8</v>
      </c>
      <c r="N1615">
        <v>7</v>
      </c>
      <c r="O1615">
        <v>73.938999999999993</v>
      </c>
      <c r="P1615">
        <v>8.434661384</v>
      </c>
      <c r="Q1615">
        <v>19.053999999999998</v>
      </c>
    </row>
    <row r="1616" spans="1:17" x14ac:dyDescent="0.2">
      <c r="A1616" s="30" t="str">
        <f>IF(C1616&amp;G1616&amp;D1616&lt;&gt;'Funnel setup'!$K$3&amp;'Funnel setup'!$K$4&amp;'Funnel setup'!$K$5,".",IF(A1615=".",1,A1615+1))</f>
        <v>.</v>
      </c>
      <c r="B1616" s="431" t="str">
        <f t="shared" si="25"/>
        <v>Hip Replacement PrimaryProviderASPEN - CLAREMONT HOSPITAL (NYW04)EQ VAS</v>
      </c>
      <c r="C1616" t="s">
        <v>248</v>
      </c>
      <c r="D1616" t="s">
        <v>1</v>
      </c>
      <c r="E1616" t="s">
        <v>3500</v>
      </c>
      <c r="F1616" t="s">
        <v>3501</v>
      </c>
      <c r="G1616" t="s">
        <v>179</v>
      </c>
      <c r="H1616">
        <v>57</v>
      </c>
      <c r="I1616">
        <v>67.316000000000003</v>
      </c>
      <c r="J1616">
        <v>80.491</v>
      </c>
      <c r="K1616">
        <v>13.175000000000001</v>
      </c>
      <c r="L1616">
        <v>39</v>
      </c>
      <c r="M1616">
        <v>10</v>
      </c>
      <c r="N1616">
        <v>8</v>
      </c>
      <c r="O1616">
        <v>78.331999999999994</v>
      </c>
      <c r="P1616">
        <v>12.82807296</v>
      </c>
      <c r="Q1616">
        <v>9.7829999999999995</v>
      </c>
    </row>
    <row r="1617" spans="1:17" x14ac:dyDescent="0.2">
      <c r="A1617" s="30" t="str">
        <f>IF(C1617&amp;G1617&amp;D1617&lt;&gt;'Funnel setup'!$K$3&amp;'Funnel setup'!$K$4&amp;'Funnel setup'!$K$5,".",IF(A1616=".",1,A1616+1))</f>
        <v>.</v>
      </c>
      <c r="B1617" s="431" t="str">
        <f t="shared" si="25"/>
        <v>Hip Replacement PrimaryProviderASPEN - HOLLY HOUSE HOSPITAL (NYW01)EQ VAS</v>
      </c>
      <c r="C1617" t="s">
        <v>248</v>
      </c>
      <c r="D1617" t="s">
        <v>1</v>
      </c>
      <c r="E1617" t="s">
        <v>3506</v>
      </c>
      <c r="F1617" t="s">
        <v>3507</v>
      </c>
      <c r="G1617" t="s">
        <v>179</v>
      </c>
      <c r="H1617">
        <v>17</v>
      </c>
      <c r="I1617">
        <v>71.234999999999999</v>
      </c>
      <c r="J1617">
        <v>75.823999999999998</v>
      </c>
      <c r="K1617">
        <v>4.5880000000000001</v>
      </c>
      <c r="L1617">
        <v>7</v>
      </c>
      <c r="M1617">
        <v>4</v>
      </c>
      <c r="N1617">
        <v>6</v>
      </c>
      <c r="O1617" t="s">
        <v>53</v>
      </c>
      <c r="P1617" t="s">
        <v>53</v>
      </c>
      <c r="Q1617" t="s">
        <v>53</v>
      </c>
    </row>
    <row r="1618" spans="1:17" x14ac:dyDescent="0.2">
      <c r="A1618" s="30" t="str">
        <f>IF(C1618&amp;G1618&amp;D1618&lt;&gt;'Funnel setup'!$K$3&amp;'Funnel setup'!$K$4&amp;'Funnel setup'!$K$5,".",IF(A1617=".",1,A1617+1))</f>
        <v>.</v>
      </c>
      <c r="B1618" s="431" t="str">
        <f t="shared" si="25"/>
        <v>Hip Replacement PrimaryProviderBARKING, HAVERING AND REDBRIDGE UNIVERSITY HOSPITALS NHS TRUST (RF4)EQ VAS</v>
      </c>
      <c r="C1618" t="s">
        <v>248</v>
      </c>
      <c r="D1618" t="s">
        <v>1</v>
      </c>
      <c r="E1618" t="s">
        <v>3509</v>
      </c>
      <c r="F1618" t="s">
        <v>3510</v>
      </c>
      <c r="G1618" t="s">
        <v>179</v>
      </c>
      <c r="H1618">
        <v>49</v>
      </c>
      <c r="I1618">
        <v>60.713999999999999</v>
      </c>
      <c r="J1618">
        <v>69.856999999999999</v>
      </c>
      <c r="K1618">
        <v>9.1430000000000007</v>
      </c>
      <c r="L1618">
        <v>29</v>
      </c>
      <c r="M1618">
        <v>4</v>
      </c>
      <c r="N1618">
        <v>16</v>
      </c>
      <c r="O1618">
        <v>74.42</v>
      </c>
      <c r="P1618">
        <v>8.9160943380000006</v>
      </c>
      <c r="Q1618">
        <v>14.058</v>
      </c>
    </row>
    <row r="1619" spans="1:17" x14ac:dyDescent="0.2">
      <c r="A1619" s="30" t="str">
        <f>IF(C1619&amp;G1619&amp;D1619&lt;&gt;'Funnel setup'!$K$3&amp;'Funnel setup'!$K$4&amp;'Funnel setup'!$K$5,".",IF(A1618=".",1,A1618+1))</f>
        <v>.</v>
      </c>
      <c r="B1619" s="431" t="str">
        <f t="shared" si="25"/>
        <v>Hip Replacement PrimaryProviderBARLBOROUGH NHS TREATMENT CENTRE (NTP13)EQ VAS</v>
      </c>
      <c r="C1619" t="s">
        <v>248</v>
      </c>
      <c r="D1619" t="s">
        <v>1</v>
      </c>
      <c r="E1619" t="s">
        <v>4425</v>
      </c>
      <c r="F1619" t="s">
        <v>4426</v>
      </c>
      <c r="G1619" t="s">
        <v>179</v>
      </c>
      <c r="H1619">
        <v>324</v>
      </c>
      <c r="I1619">
        <v>69.238</v>
      </c>
      <c r="J1619">
        <v>79.491</v>
      </c>
      <c r="K1619">
        <v>10.253</v>
      </c>
      <c r="L1619">
        <v>206</v>
      </c>
      <c r="M1619">
        <v>32</v>
      </c>
      <c r="N1619">
        <v>86</v>
      </c>
      <c r="O1619">
        <v>77.265000000000001</v>
      </c>
      <c r="P1619">
        <v>11.761095920000001</v>
      </c>
      <c r="Q1619">
        <v>15.327999999999999</v>
      </c>
    </row>
    <row r="1620" spans="1:17" x14ac:dyDescent="0.2">
      <c r="A1620" s="30" t="str">
        <f>IF(C1620&amp;G1620&amp;D1620&lt;&gt;'Funnel setup'!$K$3&amp;'Funnel setup'!$K$4&amp;'Funnel setup'!$K$5,".",IF(A1619=".",1,A1619+1))</f>
        <v>.</v>
      </c>
      <c r="B1620" s="431" t="str">
        <f t="shared" si="25"/>
        <v>Hip Replacement PrimaryProviderBARNSLEY HOSPITAL NHS FOUNDATION TRUST (RFF)EQ VAS</v>
      </c>
      <c r="C1620" t="s">
        <v>248</v>
      </c>
      <c r="D1620" t="s">
        <v>1</v>
      </c>
      <c r="E1620" t="s">
        <v>3549</v>
      </c>
      <c r="F1620" t="s">
        <v>3550</v>
      </c>
      <c r="G1620" t="s">
        <v>179</v>
      </c>
      <c r="H1620">
        <v>96</v>
      </c>
      <c r="I1620">
        <v>53.582999999999998</v>
      </c>
      <c r="J1620">
        <v>71.260000000000005</v>
      </c>
      <c r="K1620">
        <v>17.677</v>
      </c>
      <c r="L1620">
        <v>66</v>
      </c>
      <c r="M1620">
        <v>10</v>
      </c>
      <c r="N1620">
        <v>20</v>
      </c>
      <c r="O1620">
        <v>74.984999999999999</v>
      </c>
      <c r="P1620">
        <v>9.4811451600000005</v>
      </c>
      <c r="Q1620">
        <v>18.760000000000002</v>
      </c>
    </row>
    <row r="1621" spans="1:17" x14ac:dyDescent="0.2">
      <c r="A1621" s="30" t="str">
        <f>IF(C1621&amp;G1621&amp;D1621&lt;&gt;'Funnel setup'!$K$3&amp;'Funnel setup'!$K$4&amp;'Funnel setup'!$K$5,".",IF(A1620=".",1,A1620+1))</f>
        <v>.</v>
      </c>
      <c r="B1621" s="431" t="str">
        <f t="shared" si="25"/>
        <v>Hip Replacement PrimaryProviderBARTS HEALTH NHS TRUST (R1H)EQ VAS</v>
      </c>
      <c r="C1621" t="s">
        <v>248</v>
      </c>
      <c r="D1621" t="s">
        <v>1</v>
      </c>
      <c r="E1621" t="s">
        <v>3552</v>
      </c>
      <c r="F1621" t="s">
        <v>3553</v>
      </c>
      <c r="G1621" t="s">
        <v>179</v>
      </c>
      <c r="H1621">
        <v>135</v>
      </c>
      <c r="I1621">
        <v>57.97</v>
      </c>
      <c r="J1621">
        <v>74.266999999999996</v>
      </c>
      <c r="K1621">
        <v>16.295999999999999</v>
      </c>
      <c r="L1621">
        <v>96</v>
      </c>
      <c r="M1621">
        <v>11</v>
      </c>
      <c r="N1621">
        <v>28</v>
      </c>
      <c r="O1621">
        <v>78.789000000000001</v>
      </c>
      <c r="P1621">
        <v>13.285151190000001</v>
      </c>
      <c r="Q1621">
        <v>16.859000000000002</v>
      </c>
    </row>
    <row r="1622" spans="1:17" x14ac:dyDescent="0.2">
      <c r="A1622" s="30" t="str">
        <f>IF(C1622&amp;G1622&amp;D1622&lt;&gt;'Funnel setup'!$K$3&amp;'Funnel setup'!$K$4&amp;'Funnel setup'!$K$5,".",IF(A1621=".",1,A1621+1))</f>
        <v>.</v>
      </c>
      <c r="B1622" s="431" t="str">
        <f t="shared" si="25"/>
        <v>Hip Replacement PrimaryProviderBASILDON AND THURROCK UNIVERSITY HOSPITALS NHS FOUNDATION TRUST (RDD)EQ VAS</v>
      </c>
      <c r="C1622" t="s">
        <v>248</v>
      </c>
      <c r="D1622" t="s">
        <v>1</v>
      </c>
      <c r="E1622" t="s">
        <v>3555</v>
      </c>
      <c r="F1622" t="s">
        <v>3556</v>
      </c>
      <c r="G1622" t="s">
        <v>179</v>
      </c>
      <c r="H1622">
        <v>107</v>
      </c>
      <c r="I1622">
        <v>60.075000000000003</v>
      </c>
      <c r="J1622">
        <v>76.251999999999995</v>
      </c>
      <c r="K1622">
        <v>16.178000000000001</v>
      </c>
      <c r="L1622">
        <v>77</v>
      </c>
      <c r="M1622">
        <v>8</v>
      </c>
      <c r="N1622">
        <v>22</v>
      </c>
      <c r="O1622">
        <v>78.881</v>
      </c>
      <c r="P1622">
        <v>13.37684984</v>
      </c>
      <c r="Q1622">
        <v>16.59</v>
      </c>
    </row>
    <row r="1623" spans="1:17" x14ac:dyDescent="0.2">
      <c r="A1623" s="30" t="str">
        <f>IF(C1623&amp;G1623&amp;D1623&lt;&gt;'Funnel setup'!$K$3&amp;'Funnel setup'!$K$4&amp;'Funnel setup'!$K$5,".",IF(A1622=".",1,A1622+1))</f>
        <v>.</v>
      </c>
      <c r="B1623" s="431" t="str">
        <f t="shared" si="25"/>
        <v>Hip Replacement PrimaryProviderBEDFORD HOSPITAL NHS TRUST (RC1)EQ VAS</v>
      </c>
      <c r="C1623" t="s">
        <v>248</v>
      </c>
      <c r="D1623" t="s">
        <v>1</v>
      </c>
      <c r="E1623" t="s">
        <v>3558</v>
      </c>
      <c r="F1623" t="s">
        <v>3559</v>
      </c>
      <c r="G1623" t="s">
        <v>179</v>
      </c>
      <c r="H1623">
        <v>119</v>
      </c>
      <c r="I1623">
        <v>66.260999999999996</v>
      </c>
      <c r="J1623">
        <v>75.688999999999993</v>
      </c>
      <c r="K1623">
        <v>9.4290000000000003</v>
      </c>
      <c r="L1623">
        <v>79</v>
      </c>
      <c r="M1623">
        <v>10</v>
      </c>
      <c r="N1623">
        <v>30</v>
      </c>
      <c r="O1623">
        <v>75.680999999999997</v>
      </c>
      <c r="P1623">
        <v>10.176299609999999</v>
      </c>
      <c r="Q1623">
        <v>15.475</v>
      </c>
    </row>
    <row r="1624" spans="1:17" x14ac:dyDescent="0.2">
      <c r="A1624" s="30" t="str">
        <f>IF(C1624&amp;G1624&amp;D1624&lt;&gt;'Funnel setup'!$K$3&amp;'Funnel setup'!$K$4&amp;'Funnel setup'!$K$5,".",IF(A1623=".",1,A1623+1))</f>
        <v>.</v>
      </c>
      <c r="B1624" s="431" t="str">
        <f t="shared" si="25"/>
        <v>Hip Replacement PrimaryProviderBENENDEN HOSPITAL (NWF01)EQ VAS</v>
      </c>
      <c r="C1624" t="s">
        <v>248</v>
      </c>
      <c r="D1624" t="s">
        <v>1</v>
      </c>
      <c r="E1624" t="s">
        <v>4428</v>
      </c>
      <c r="F1624" t="s">
        <v>4429</v>
      </c>
      <c r="G1624" t="s">
        <v>179</v>
      </c>
      <c r="H1624">
        <v>25</v>
      </c>
      <c r="I1624">
        <v>71.52</v>
      </c>
      <c r="J1624">
        <v>80</v>
      </c>
      <c r="K1624">
        <v>8.48</v>
      </c>
      <c r="L1624">
        <v>14</v>
      </c>
      <c r="M1624">
        <v>3</v>
      </c>
      <c r="N1624">
        <v>8</v>
      </c>
      <c r="O1624" t="s">
        <v>53</v>
      </c>
      <c r="P1624" t="s">
        <v>53</v>
      </c>
      <c r="Q1624" t="s">
        <v>53</v>
      </c>
    </row>
    <row r="1625" spans="1:17" x14ac:dyDescent="0.2">
      <c r="A1625" s="30" t="str">
        <f>IF(C1625&amp;G1625&amp;D1625&lt;&gt;'Funnel setup'!$K$3&amp;'Funnel setup'!$K$4&amp;'Funnel setup'!$K$5,".",IF(A1624=".",1,A1624+1))</f>
        <v>.</v>
      </c>
      <c r="B1625" s="431" t="str">
        <f t="shared" si="25"/>
        <v>Hip Replacement PrimaryProviderBLACKPOOL TEACHING HOSPITALS NHS FOUNDATION TRUST (RXL)EQ VAS</v>
      </c>
      <c r="C1625" t="s">
        <v>248</v>
      </c>
      <c r="D1625" t="s">
        <v>1</v>
      </c>
      <c r="E1625" t="s">
        <v>3561</v>
      </c>
      <c r="F1625" t="s">
        <v>3562</v>
      </c>
      <c r="G1625" t="s">
        <v>179</v>
      </c>
      <c r="H1625">
        <v>10</v>
      </c>
      <c r="I1625">
        <v>65.5</v>
      </c>
      <c r="J1625">
        <v>76.3</v>
      </c>
      <c r="K1625">
        <v>10.8</v>
      </c>
      <c r="L1625">
        <v>5</v>
      </c>
      <c r="M1625">
        <v>1</v>
      </c>
      <c r="N1625">
        <v>4</v>
      </c>
      <c r="O1625" t="s">
        <v>53</v>
      </c>
      <c r="P1625" t="s">
        <v>53</v>
      </c>
      <c r="Q1625" t="s">
        <v>53</v>
      </c>
    </row>
    <row r="1626" spans="1:17" x14ac:dyDescent="0.2">
      <c r="A1626" s="30" t="str">
        <f>IF(C1626&amp;G1626&amp;D1626&lt;&gt;'Funnel setup'!$K$3&amp;'Funnel setup'!$K$4&amp;'Funnel setup'!$K$5,".",IF(A1625=".",1,A1625+1))</f>
        <v>.</v>
      </c>
      <c r="B1626" s="431" t="str">
        <f t="shared" si="25"/>
        <v>Hip Replacement PrimaryProviderBMI - BATH CLINIC (NT402)EQ VAS</v>
      </c>
      <c r="C1626" t="s">
        <v>248</v>
      </c>
      <c r="D1626" t="s">
        <v>1</v>
      </c>
      <c r="E1626" t="s">
        <v>3488</v>
      </c>
      <c r="F1626" t="s">
        <v>3489</v>
      </c>
      <c r="G1626" t="s">
        <v>179</v>
      </c>
      <c r="H1626">
        <v>55</v>
      </c>
      <c r="I1626">
        <v>67.308999999999997</v>
      </c>
      <c r="J1626">
        <v>82.018000000000001</v>
      </c>
      <c r="K1626">
        <v>14.709</v>
      </c>
      <c r="L1626">
        <v>43</v>
      </c>
      <c r="M1626">
        <v>5</v>
      </c>
      <c r="N1626">
        <v>7</v>
      </c>
      <c r="O1626">
        <v>79.281999999999996</v>
      </c>
      <c r="P1626">
        <v>13.778073940000001</v>
      </c>
      <c r="Q1626">
        <v>14.371</v>
      </c>
    </row>
    <row r="1627" spans="1:17" x14ac:dyDescent="0.2">
      <c r="A1627" s="30" t="str">
        <f>IF(C1627&amp;G1627&amp;D1627&lt;&gt;'Funnel setup'!$K$3&amp;'Funnel setup'!$K$4&amp;'Funnel setup'!$K$5,".",IF(A1626=".",1,A1626+1))</f>
        <v>.</v>
      </c>
      <c r="B1627" s="431" t="str">
        <f t="shared" si="25"/>
        <v>Hip Replacement PrimaryProviderBMI - BISHOPS WOOD (NT405)EQ VAS</v>
      </c>
      <c r="C1627" t="s">
        <v>248</v>
      </c>
      <c r="D1627" t="s">
        <v>1</v>
      </c>
      <c r="E1627" t="s">
        <v>3491</v>
      </c>
      <c r="F1627" t="s">
        <v>3492</v>
      </c>
      <c r="G1627" t="s">
        <v>179</v>
      </c>
      <c r="H1627">
        <v>14</v>
      </c>
      <c r="I1627">
        <v>73.213999999999999</v>
      </c>
      <c r="J1627">
        <v>80.713999999999999</v>
      </c>
      <c r="K1627">
        <v>7.5</v>
      </c>
      <c r="L1627">
        <v>7</v>
      </c>
      <c r="M1627">
        <v>5</v>
      </c>
      <c r="N1627">
        <v>2</v>
      </c>
      <c r="O1627" t="s">
        <v>53</v>
      </c>
      <c r="P1627" t="s">
        <v>53</v>
      </c>
      <c r="Q1627" t="s">
        <v>53</v>
      </c>
    </row>
    <row r="1628" spans="1:17" x14ac:dyDescent="0.2">
      <c r="A1628" s="30" t="str">
        <f>IF(C1628&amp;G1628&amp;D1628&lt;&gt;'Funnel setup'!$K$3&amp;'Funnel setup'!$K$4&amp;'Funnel setup'!$K$5,".",IF(A1627=".",1,A1627+1))</f>
        <v>.</v>
      </c>
      <c r="B1628" s="431" t="str">
        <f t="shared" si="25"/>
        <v>Hip Replacement PrimaryProviderBMI - CHELSFIELD PARK HOSPITAL (NT409)EQ VAS</v>
      </c>
      <c r="C1628" t="s">
        <v>248</v>
      </c>
      <c r="D1628" t="s">
        <v>1</v>
      </c>
      <c r="E1628" t="s">
        <v>3494</v>
      </c>
      <c r="F1628" t="s">
        <v>3495</v>
      </c>
      <c r="G1628" t="s">
        <v>179</v>
      </c>
      <c r="H1628">
        <v>12</v>
      </c>
      <c r="I1628">
        <v>75.832999999999998</v>
      </c>
      <c r="J1628">
        <v>87.75</v>
      </c>
      <c r="K1628">
        <v>11.917</v>
      </c>
      <c r="L1628">
        <v>11</v>
      </c>
      <c r="M1628">
        <v>1</v>
      </c>
      <c r="N1628">
        <v>0</v>
      </c>
      <c r="O1628" t="s">
        <v>53</v>
      </c>
      <c r="P1628" t="s">
        <v>53</v>
      </c>
      <c r="Q1628" t="s">
        <v>53</v>
      </c>
    </row>
    <row r="1629" spans="1:17" x14ac:dyDescent="0.2">
      <c r="A1629" s="30" t="str">
        <f>IF(C1629&amp;G1629&amp;D1629&lt;&gt;'Funnel setup'!$K$3&amp;'Funnel setup'!$K$4&amp;'Funnel setup'!$K$5,".",IF(A1628=".",1,A1628+1))</f>
        <v>.</v>
      </c>
      <c r="B1629" s="431" t="str">
        <f t="shared" si="25"/>
        <v>Hip Replacement PrimaryProviderBMI - FAWKHAM MANOR HOSPITAL (NT414)EQ VAS</v>
      </c>
      <c r="C1629" t="s">
        <v>248</v>
      </c>
      <c r="D1629" t="s">
        <v>1</v>
      </c>
      <c r="E1629" t="s">
        <v>3497</v>
      </c>
      <c r="F1629" t="s">
        <v>3498</v>
      </c>
      <c r="G1629" t="s">
        <v>179</v>
      </c>
      <c r="H1629">
        <v>6</v>
      </c>
      <c r="I1629">
        <v>62.167000000000002</v>
      </c>
      <c r="J1629">
        <v>81.667000000000002</v>
      </c>
      <c r="K1629">
        <v>19.5</v>
      </c>
      <c r="L1629">
        <v>4</v>
      </c>
      <c r="M1629">
        <v>1</v>
      </c>
      <c r="N1629">
        <v>1</v>
      </c>
      <c r="O1629" t="s">
        <v>53</v>
      </c>
      <c r="P1629" t="s">
        <v>53</v>
      </c>
      <c r="Q1629" t="s">
        <v>53</v>
      </c>
    </row>
    <row r="1630" spans="1:17" x14ac:dyDescent="0.2">
      <c r="A1630" s="30" t="str">
        <f>IF(C1630&amp;G1630&amp;D1630&lt;&gt;'Funnel setup'!$K$3&amp;'Funnel setup'!$K$4&amp;'Funnel setup'!$K$5,".",IF(A1629=".",1,A1629+1))</f>
        <v>.</v>
      </c>
      <c r="B1630" s="431" t="str">
        <f t="shared" si="25"/>
        <v>Hip Replacement PrimaryProviderBMI - GORING HALL HOSPITAL (NT417)EQ VAS</v>
      </c>
      <c r="C1630" t="s">
        <v>248</v>
      </c>
      <c r="D1630" t="s">
        <v>1</v>
      </c>
      <c r="E1630" t="s">
        <v>3403</v>
      </c>
      <c r="F1630" t="s">
        <v>3404</v>
      </c>
      <c r="G1630" t="s">
        <v>179</v>
      </c>
      <c r="H1630">
        <v>149</v>
      </c>
      <c r="I1630">
        <v>63.341999999999999</v>
      </c>
      <c r="J1630">
        <v>79.765000000000001</v>
      </c>
      <c r="K1630">
        <v>16.422999999999998</v>
      </c>
      <c r="L1630">
        <v>108</v>
      </c>
      <c r="M1630">
        <v>9</v>
      </c>
      <c r="N1630">
        <v>32</v>
      </c>
      <c r="O1630">
        <v>77.962000000000003</v>
      </c>
      <c r="P1630">
        <v>12.45756368</v>
      </c>
      <c r="Q1630">
        <v>17.704000000000001</v>
      </c>
    </row>
    <row r="1631" spans="1:17" x14ac:dyDescent="0.2">
      <c r="A1631" s="30" t="str">
        <f>IF(C1631&amp;G1631&amp;D1631&lt;&gt;'Funnel setup'!$K$3&amp;'Funnel setup'!$K$4&amp;'Funnel setup'!$K$5,".",IF(A1630=".",1,A1630+1))</f>
        <v>.</v>
      </c>
      <c r="B1631" s="431" t="str">
        <f t="shared" si="25"/>
        <v>Hip Replacement PrimaryProviderBMI - HENDON HOSPITAL (NT416)EQ VAS</v>
      </c>
      <c r="C1631" t="s">
        <v>248</v>
      </c>
      <c r="D1631" t="s">
        <v>1</v>
      </c>
      <c r="E1631" t="s">
        <v>3570</v>
      </c>
      <c r="F1631" t="s">
        <v>3571</v>
      </c>
      <c r="G1631" t="s">
        <v>179</v>
      </c>
      <c r="H1631" t="s">
        <v>53</v>
      </c>
      <c r="I1631" t="s">
        <v>53</v>
      </c>
      <c r="J1631" t="s">
        <v>53</v>
      </c>
      <c r="K1631" t="s">
        <v>53</v>
      </c>
      <c r="L1631" t="s">
        <v>53</v>
      </c>
      <c r="M1631" t="s">
        <v>53</v>
      </c>
      <c r="N1631" t="s">
        <v>53</v>
      </c>
      <c r="O1631" t="s">
        <v>53</v>
      </c>
      <c r="P1631" t="s">
        <v>53</v>
      </c>
      <c r="Q1631" t="s">
        <v>53</v>
      </c>
    </row>
    <row r="1632" spans="1:17" x14ac:dyDescent="0.2">
      <c r="A1632" s="30" t="str">
        <f>IF(C1632&amp;G1632&amp;D1632&lt;&gt;'Funnel setup'!$K$3&amp;'Funnel setup'!$K$4&amp;'Funnel setup'!$K$5,".",IF(A1631=".",1,A1631+1))</f>
        <v>.</v>
      </c>
      <c r="B1632" s="431" t="str">
        <f t="shared" si="25"/>
        <v>Hip Replacement PrimaryProviderBMI - SARUM ROAD HOSPITAL (NT433)EQ VAS</v>
      </c>
      <c r="C1632" t="s">
        <v>248</v>
      </c>
      <c r="D1632" t="s">
        <v>1</v>
      </c>
      <c r="E1632" t="s">
        <v>3573</v>
      </c>
      <c r="F1632" t="s">
        <v>3574</v>
      </c>
      <c r="G1632" t="s">
        <v>179</v>
      </c>
      <c r="H1632">
        <v>40</v>
      </c>
      <c r="I1632">
        <v>73.099999999999994</v>
      </c>
      <c r="J1632">
        <v>74.025000000000006</v>
      </c>
      <c r="K1632">
        <v>0.92500000000000004</v>
      </c>
      <c r="L1632">
        <v>21</v>
      </c>
      <c r="M1632">
        <v>3</v>
      </c>
      <c r="N1632">
        <v>16</v>
      </c>
      <c r="O1632">
        <v>71.918000000000006</v>
      </c>
      <c r="P1632">
        <v>6.4139419469999996</v>
      </c>
      <c r="Q1632">
        <v>20.629000000000001</v>
      </c>
    </row>
    <row r="1633" spans="1:17" x14ac:dyDescent="0.2">
      <c r="A1633" s="30" t="str">
        <f>IF(C1633&amp;G1633&amp;D1633&lt;&gt;'Funnel setup'!$K$3&amp;'Funnel setup'!$K$4&amp;'Funnel setup'!$K$5,".",IF(A1632=".",1,A1632+1))</f>
        <v>.</v>
      </c>
      <c r="B1633" s="431" t="str">
        <f t="shared" si="25"/>
        <v>Hip Replacement PrimaryProviderBMI - SHIRLEY OAKS HOSPITAL (NT436)EQ VAS</v>
      </c>
      <c r="C1633" t="s">
        <v>248</v>
      </c>
      <c r="D1633" t="s">
        <v>1</v>
      </c>
      <c r="E1633" t="s">
        <v>3576</v>
      </c>
      <c r="F1633" t="s">
        <v>3577</v>
      </c>
      <c r="G1633" t="s">
        <v>179</v>
      </c>
      <c r="H1633" t="s">
        <v>53</v>
      </c>
      <c r="I1633" t="s">
        <v>53</v>
      </c>
      <c r="J1633" t="s">
        <v>53</v>
      </c>
      <c r="K1633" t="s">
        <v>53</v>
      </c>
      <c r="L1633" t="s">
        <v>53</v>
      </c>
      <c r="M1633" t="s">
        <v>53</v>
      </c>
      <c r="N1633" t="s">
        <v>53</v>
      </c>
      <c r="O1633" t="s">
        <v>53</v>
      </c>
      <c r="P1633" t="s">
        <v>53</v>
      </c>
      <c r="Q1633" t="s">
        <v>53</v>
      </c>
    </row>
    <row r="1634" spans="1:17" x14ac:dyDescent="0.2">
      <c r="A1634" s="30" t="str">
        <f>IF(C1634&amp;G1634&amp;D1634&lt;&gt;'Funnel setup'!$K$3&amp;'Funnel setup'!$K$4&amp;'Funnel setup'!$K$5,".",IF(A1633=".",1,A1633+1))</f>
        <v>.</v>
      </c>
      <c r="B1634" s="431" t="str">
        <f t="shared" si="25"/>
        <v>Hip Replacement PrimaryProviderBMI - THE ALEXANDRA HOSPITAL (NT401)EQ VAS</v>
      </c>
      <c r="C1634" t="s">
        <v>248</v>
      </c>
      <c r="D1634" t="s">
        <v>1</v>
      </c>
      <c r="E1634" t="s">
        <v>3579</v>
      </c>
      <c r="F1634" t="s">
        <v>3580</v>
      </c>
      <c r="G1634" t="s">
        <v>179</v>
      </c>
      <c r="H1634">
        <v>65</v>
      </c>
      <c r="I1634">
        <v>68.277000000000001</v>
      </c>
      <c r="J1634">
        <v>80.091999999999999</v>
      </c>
      <c r="K1634">
        <v>11.815</v>
      </c>
      <c r="L1634">
        <v>45</v>
      </c>
      <c r="M1634">
        <v>1</v>
      </c>
      <c r="N1634">
        <v>19</v>
      </c>
      <c r="O1634">
        <v>77.789000000000001</v>
      </c>
      <c r="P1634">
        <v>12.28513098</v>
      </c>
      <c r="Q1634">
        <v>16.082999999999998</v>
      </c>
    </row>
    <row r="1635" spans="1:17" x14ac:dyDescent="0.2">
      <c r="A1635" s="30" t="str">
        <f>IF(C1635&amp;G1635&amp;D1635&lt;&gt;'Funnel setup'!$K$3&amp;'Funnel setup'!$K$4&amp;'Funnel setup'!$K$5,".",IF(A1634=".",1,A1634+1))</f>
        <v>.</v>
      </c>
      <c r="B1635" s="431" t="str">
        <f t="shared" si="25"/>
        <v>Hip Replacement PrimaryProviderBMI - THE BEARDWOOD HOSPITAL (NT403)EQ VAS</v>
      </c>
      <c r="C1635" t="s">
        <v>248</v>
      </c>
      <c r="D1635" t="s">
        <v>1</v>
      </c>
      <c r="E1635" t="s">
        <v>3582</v>
      </c>
      <c r="F1635" t="s">
        <v>3583</v>
      </c>
      <c r="G1635" t="s">
        <v>179</v>
      </c>
      <c r="H1635">
        <v>43</v>
      </c>
      <c r="I1635">
        <v>61.698</v>
      </c>
      <c r="J1635">
        <v>78</v>
      </c>
      <c r="K1635">
        <v>16.302</v>
      </c>
      <c r="L1635">
        <v>33</v>
      </c>
      <c r="M1635">
        <v>6</v>
      </c>
      <c r="N1635">
        <v>4</v>
      </c>
      <c r="O1635">
        <v>78.956000000000003</v>
      </c>
      <c r="P1635">
        <v>13.45132066</v>
      </c>
      <c r="Q1635">
        <v>11.496</v>
      </c>
    </row>
    <row r="1636" spans="1:17" x14ac:dyDescent="0.2">
      <c r="A1636" s="30" t="str">
        <f>IF(C1636&amp;G1636&amp;D1636&lt;&gt;'Funnel setup'!$K$3&amp;'Funnel setup'!$K$4&amp;'Funnel setup'!$K$5,".",IF(A1635=".",1,A1635+1))</f>
        <v>.</v>
      </c>
      <c r="B1636" s="431" t="str">
        <f t="shared" si="25"/>
        <v>Hip Replacement PrimaryProviderBMI - THE BEAUMONT HOSPITAL (NT404)EQ VAS</v>
      </c>
      <c r="C1636" t="s">
        <v>248</v>
      </c>
      <c r="D1636" t="s">
        <v>1</v>
      </c>
      <c r="E1636" t="s">
        <v>3585</v>
      </c>
      <c r="F1636" t="s">
        <v>3586</v>
      </c>
      <c r="G1636" t="s">
        <v>179</v>
      </c>
      <c r="H1636">
        <v>27</v>
      </c>
      <c r="I1636">
        <v>67.480999999999995</v>
      </c>
      <c r="J1636">
        <v>75.406999999999996</v>
      </c>
      <c r="K1636">
        <v>7.9260000000000002</v>
      </c>
      <c r="L1636">
        <v>13</v>
      </c>
      <c r="M1636">
        <v>3</v>
      </c>
      <c r="N1636">
        <v>11</v>
      </c>
      <c r="O1636" t="s">
        <v>53</v>
      </c>
      <c r="P1636" t="s">
        <v>53</v>
      </c>
      <c r="Q1636" t="s">
        <v>53</v>
      </c>
    </row>
    <row r="1637" spans="1:17" x14ac:dyDescent="0.2">
      <c r="A1637" s="30" t="str">
        <f>IF(C1637&amp;G1637&amp;D1637&lt;&gt;'Funnel setup'!$K$3&amp;'Funnel setup'!$K$4&amp;'Funnel setup'!$K$5,".",IF(A1636=".",1,A1636+1))</f>
        <v>.</v>
      </c>
      <c r="B1637" s="431" t="str">
        <f t="shared" si="25"/>
        <v>Hip Replacement PrimaryProviderBMI - THE BLACKHEATH HOSPITAL (NT406)EQ VAS</v>
      </c>
      <c r="C1637" t="s">
        <v>248</v>
      </c>
      <c r="D1637" t="s">
        <v>1</v>
      </c>
      <c r="E1637" t="s">
        <v>3588</v>
      </c>
      <c r="F1637" t="s">
        <v>3589</v>
      </c>
      <c r="G1637" t="s">
        <v>179</v>
      </c>
      <c r="H1637">
        <v>7</v>
      </c>
      <c r="I1637">
        <v>70.713999999999999</v>
      </c>
      <c r="J1637">
        <v>71.429000000000002</v>
      </c>
      <c r="K1637">
        <v>0.71399999999999997</v>
      </c>
      <c r="L1637">
        <v>4</v>
      </c>
      <c r="M1637">
        <v>0</v>
      </c>
      <c r="N1637">
        <v>3</v>
      </c>
      <c r="O1637" t="s">
        <v>53</v>
      </c>
      <c r="P1637" t="s">
        <v>53</v>
      </c>
      <c r="Q1637" t="s">
        <v>53</v>
      </c>
    </row>
    <row r="1638" spans="1:17" x14ac:dyDescent="0.2">
      <c r="A1638" s="30" t="str">
        <f>IF(C1638&amp;G1638&amp;D1638&lt;&gt;'Funnel setup'!$K$3&amp;'Funnel setup'!$K$4&amp;'Funnel setup'!$K$5,".",IF(A1637=".",1,A1637+1))</f>
        <v>.</v>
      </c>
      <c r="B1638" s="431" t="str">
        <f t="shared" si="25"/>
        <v>Hip Replacement PrimaryProviderBMI - THE CHAUCER HOSPITAL (NT408)EQ VAS</v>
      </c>
      <c r="C1638" t="s">
        <v>248</v>
      </c>
      <c r="D1638" t="s">
        <v>1</v>
      </c>
      <c r="E1638" t="s">
        <v>3591</v>
      </c>
      <c r="F1638" t="s">
        <v>3592</v>
      </c>
      <c r="G1638" t="s">
        <v>179</v>
      </c>
      <c r="H1638">
        <v>15</v>
      </c>
      <c r="I1638">
        <v>67.332999999999998</v>
      </c>
      <c r="J1638">
        <v>74.667000000000002</v>
      </c>
      <c r="K1638">
        <v>7.3330000000000002</v>
      </c>
      <c r="L1638">
        <v>11</v>
      </c>
      <c r="M1638">
        <v>1</v>
      </c>
      <c r="N1638">
        <v>3</v>
      </c>
      <c r="O1638" t="s">
        <v>53</v>
      </c>
      <c r="P1638" t="s">
        <v>53</v>
      </c>
      <c r="Q1638" t="s">
        <v>53</v>
      </c>
    </row>
    <row r="1639" spans="1:17" x14ac:dyDescent="0.2">
      <c r="A1639" s="30" t="str">
        <f>IF(C1639&amp;G1639&amp;D1639&lt;&gt;'Funnel setup'!$K$3&amp;'Funnel setup'!$K$4&amp;'Funnel setup'!$K$5,".",IF(A1638=".",1,A1638+1))</f>
        <v>.</v>
      </c>
      <c r="B1639" s="431" t="str">
        <f t="shared" si="25"/>
        <v>Hip Replacement PrimaryProviderBMI - THE CHILTERN HOSPITAL (NT410)EQ VAS</v>
      </c>
      <c r="C1639" t="s">
        <v>248</v>
      </c>
      <c r="D1639" t="s">
        <v>1</v>
      </c>
      <c r="E1639" t="s">
        <v>3594</v>
      </c>
      <c r="F1639" t="s">
        <v>3595</v>
      </c>
      <c r="G1639" t="s">
        <v>179</v>
      </c>
      <c r="H1639">
        <v>37</v>
      </c>
      <c r="I1639">
        <v>66.622</v>
      </c>
      <c r="J1639">
        <v>79.188999999999993</v>
      </c>
      <c r="K1639">
        <v>12.568</v>
      </c>
      <c r="L1639">
        <v>26</v>
      </c>
      <c r="M1639">
        <v>5</v>
      </c>
      <c r="N1639">
        <v>6</v>
      </c>
      <c r="O1639">
        <v>77.671999999999997</v>
      </c>
      <c r="P1639">
        <v>12.16747237</v>
      </c>
      <c r="Q1639">
        <v>12.198</v>
      </c>
    </row>
    <row r="1640" spans="1:17" x14ac:dyDescent="0.2">
      <c r="A1640" s="30" t="str">
        <f>IF(C1640&amp;G1640&amp;D1640&lt;&gt;'Funnel setup'!$K$3&amp;'Funnel setup'!$K$4&amp;'Funnel setup'!$K$5,".",IF(A1639=".",1,A1639+1))</f>
        <v>.</v>
      </c>
      <c r="B1640" s="431" t="str">
        <f t="shared" si="25"/>
        <v>Hip Replacement PrimaryProviderBMI - THE CLEMENTINE CHURCHILL HOSPITAL (NT411)EQ VAS</v>
      </c>
      <c r="C1640" t="s">
        <v>248</v>
      </c>
      <c r="D1640" t="s">
        <v>1</v>
      </c>
      <c r="E1640" t="s">
        <v>3597</v>
      </c>
      <c r="F1640" t="s">
        <v>3598</v>
      </c>
      <c r="G1640" t="s">
        <v>179</v>
      </c>
      <c r="H1640">
        <v>16</v>
      </c>
      <c r="I1640">
        <v>53.938000000000002</v>
      </c>
      <c r="J1640">
        <v>69.125</v>
      </c>
      <c r="K1640">
        <v>15.188000000000001</v>
      </c>
      <c r="L1640">
        <v>11</v>
      </c>
      <c r="M1640">
        <v>1</v>
      </c>
      <c r="N1640">
        <v>4</v>
      </c>
      <c r="O1640" t="s">
        <v>53</v>
      </c>
      <c r="P1640" t="s">
        <v>53</v>
      </c>
      <c r="Q1640" t="s">
        <v>53</v>
      </c>
    </row>
    <row r="1641" spans="1:17" x14ac:dyDescent="0.2">
      <c r="A1641" s="30" t="str">
        <f>IF(C1641&amp;G1641&amp;D1641&lt;&gt;'Funnel setup'!$K$3&amp;'Funnel setup'!$K$4&amp;'Funnel setup'!$K$5,".",IF(A1640=".",1,A1640+1))</f>
        <v>.</v>
      </c>
      <c r="B1641" s="431" t="str">
        <f t="shared" si="25"/>
        <v>Hip Replacement PrimaryProviderBMI - THE DROITWICH SPA HOSPITAL (NT412)EQ VAS</v>
      </c>
      <c r="C1641" t="s">
        <v>248</v>
      </c>
      <c r="D1641" t="s">
        <v>1</v>
      </c>
      <c r="E1641" t="s">
        <v>3600</v>
      </c>
      <c r="F1641" t="s">
        <v>3601</v>
      </c>
      <c r="G1641" t="s">
        <v>179</v>
      </c>
      <c r="H1641">
        <v>52</v>
      </c>
      <c r="I1641">
        <v>69.423000000000002</v>
      </c>
      <c r="J1641">
        <v>79.287999999999997</v>
      </c>
      <c r="K1641">
        <v>9.8650000000000002</v>
      </c>
      <c r="L1641">
        <v>34</v>
      </c>
      <c r="M1641">
        <v>6</v>
      </c>
      <c r="N1641">
        <v>12</v>
      </c>
      <c r="O1641">
        <v>76.95</v>
      </c>
      <c r="P1641">
        <v>11.445585790000001</v>
      </c>
      <c r="Q1641">
        <v>15.776</v>
      </c>
    </row>
    <row r="1642" spans="1:17" x14ac:dyDescent="0.2">
      <c r="A1642" s="30" t="str">
        <f>IF(C1642&amp;G1642&amp;D1642&lt;&gt;'Funnel setup'!$K$3&amp;'Funnel setup'!$K$4&amp;'Funnel setup'!$K$5,".",IF(A1641=".",1,A1641+1))</f>
        <v>.</v>
      </c>
      <c r="B1642" s="431" t="str">
        <f t="shared" si="25"/>
        <v>Hip Replacement PrimaryProviderBMI - THE ESPERANCE HOSPITAL (NT413)EQ VAS</v>
      </c>
      <c r="C1642" t="s">
        <v>248</v>
      </c>
      <c r="D1642" t="s">
        <v>1</v>
      </c>
      <c r="E1642" t="s">
        <v>3603</v>
      </c>
      <c r="F1642" t="s">
        <v>3604</v>
      </c>
      <c r="G1642" t="s">
        <v>179</v>
      </c>
      <c r="H1642" t="s">
        <v>53</v>
      </c>
      <c r="I1642" t="s">
        <v>53</v>
      </c>
      <c r="J1642" t="s">
        <v>53</v>
      </c>
      <c r="K1642" t="s">
        <v>53</v>
      </c>
      <c r="L1642" t="s">
        <v>53</v>
      </c>
      <c r="M1642" t="s">
        <v>53</v>
      </c>
      <c r="N1642" t="s">
        <v>53</v>
      </c>
      <c r="O1642" t="s">
        <v>53</v>
      </c>
      <c r="P1642" t="s">
        <v>53</v>
      </c>
      <c r="Q1642" t="s">
        <v>53</v>
      </c>
    </row>
    <row r="1643" spans="1:17" x14ac:dyDescent="0.2">
      <c r="A1643" s="30" t="str">
        <f>IF(C1643&amp;G1643&amp;D1643&lt;&gt;'Funnel setup'!$K$3&amp;'Funnel setup'!$K$4&amp;'Funnel setup'!$K$5,".",IF(A1642=".",1,A1642+1))</f>
        <v>.</v>
      </c>
      <c r="B1643" s="431" t="str">
        <f t="shared" si="25"/>
        <v>Hip Replacement PrimaryProviderBMI - THE HAMPSHIRE CLINIC (NT418)EQ VAS</v>
      </c>
      <c r="C1643" t="s">
        <v>248</v>
      </c>
      <c r="D1643" t="s">
        <v>1</v>
      </c>
      <c r="E1643" t="s">
        <v>3609</v>
      </c>
      <c r="F1643" t="s">
        <v>3610</v>
      </c>
      <c r="G1643" t="s">
        <v>179</v>
      </c>
      <c r="H1643">
        <v>18</v>
      </c>
      <c r="I1643">
        <v>70.111000000000004</v>
      </c>
      <c r="J1643">
        <v>86.721999999999994</v>
      </c>
      <c r="K1643">
        <v>16.611000000000001</v>
      </c>
      <c r="L1643">
        <v>13</v>
      </c>
      <c r="M1643">
        <v>3</v>
      </c>
      <c r="N1643">
        <v>2</v>
      </c>
      <c r="O1643" t="s">
        <v>53</v>
      </c>
      <c r="P1643" t="s">
        <v>53</v>
      </c>
      <c r="Q1643" t="s">
        <v>53</v>
      </c>
    </row>
    <row r="1644" spans="1:17" x14ac:dyDescent="0.2">
      <c r="A1644" s="30" t="str">
        <f>IF(C1644&amp;G1644&amp;D1644&lt;&gt;'Funnel setup'!$K$3&amp;'Funnel setup'!$K$4&amp;'Funnel setup'!$K$5,".",IF(A1643=".",1,A1643+1))</f>
        <v>.</v>
      </c>
      <c r="B1644" s="431" t="str">
        <f t="shared" si="25"/>
        <v>Hip Replacement PrimaryProviderBMI - THE HARBOUR HOSPITAL (NT419)EQ VAS</v>
      </c>
      <c r="C1644" t="s">
        <v>248</v>
      </c>
      <c r="D1644" t="s">
        <v>1</v>
      </c>
      <c r="E1644" t="s">
        <v>3612</v>
      </c>
      <c r="F1644" t="s">
        <v>3613</v>
      </c>
      <c r="G1644" t="s">
        <v>179</v>
      </c>
      <c r="H1644" t="s">
        <v>53</v>
      </c>
      <c r="I1644" t="s">
        <v>53</v>
      </c>
      <c r="J1644" t="s">
        <v>53</v>
      </c>
      <c r="K1644" t="s">
        <v>53</v>
      </c>
      <c r="L1644" t="s">
        <v>53</v>
      </c>
      <c r="M1644" t="s">
        <v>53</v>
      </c>
      <c r="N1644" t="s">
        <v>53</v>
      </c>
      <c r="O1644" t="s">
        <v>53</v>
      </c>
      <c r="P1644" t="s">
        <v>53</v>
      </c>
      <c r="Q1644" t="s">
        <v>53</v>
      </c>
    </row>
    <row r="1645" spans="1:17" x14ac:dyDescent="0.2">
      <c r="A1645" s="30" t="str">
        <f>IF(C1645&amp;G1645&amp;D1645&lt;&gt;'Funnel setup'!$K$3&amp;'Funnel setup'!$K$4&amp;'Funnel setup'!$K$5,".",IF(A1644=".",1,A1644+1))</f>
        <v>.</v>
      </c>
      <c r="B1645" s="431" t="str">
        <f t="shared" si="25"/>
        <v>Hip Replacement PrimaryProviderBMI - THE HIGHFIELD HOSPITAL (NT420)EQ VAS</v>
      </c>
      <c r="C1645" t="s">
        <v>248</v>
      </c>
      <c r="D1645" t="s">
        <v>1</v>
      </c>
      <c r="E1645" t="s">
        <v>3615</v>
      </c>
      <c r="F1645" t="s">
        <v>3616</v>
      </c>
      <c r="G1645" t="s">
        <v>179</v>
      </c>
      <c r="H1645">
        <v>86</v>
      </c>
      <c r="I1645">
        <v>75.116</v>
      </c>
      <c r="J1645">
        <v>76.278999999999996</v>
      </c>
      <c r="K1645">
        <v>1.163</v>
      </c>
      <c r="L1645">
        <v>42</v>
      </c>
      <c r="M1645">
        <v>11</v>
      </c>
      <c r="N1645">
        <v>33</v>
      </c>
      <c r="O1645">
        <v>73.233999999999995</v>
      </c>
      <c r="P1645">
        <v>7.7295780059999997</v>
      </c>
      <c r="Q1645">
        <v>18.861000000000001</v>
      </c>
    </row>
    <row r="1646" spans="1:17" x14ac:dyDescent="0.2">
      <c r="A1646" s="30" t="str">
        <f>IF(C1646&amp;G1646&amp;D1646&lt;&gt;'Funnel setup'!$K$3&amp;'Funnel setup'!$K$4&amp;'Funnel setup'!$K$5,".",IF(A1645=".",1,A1645+1))</f>
        <v>.</v>
      </c>
      <c r="B1646" s="431" t="str">
        <f t="shared" si="25"/>
        <v>Hip Replacement PrimaryProviderBMI - THE KINGS OAK HOSPITAL (NT421)EQ VAS</v>
      </c>
      <c r="C1646" t="s">
        <v>248</v>
      </c>
      <c r="D1646" t="s">
        <v>1</v>
      </c>
      <c r="E1646" t="s">
        <v>3618</v>
      </c>
      <c r="F1646" t="s">
        <v>3619</v>
      </c>
      <c r="G1646" t="s">
        <v>179</v>
      </c>
      <c r="H1646">
        <v>11</v>
      </c>
      <c r="I1646">
        <v>57.726999999999997</v>
      </c>
      <c r="J1646">
        <v>78.182000000000002</v>
      </c>
      <c r="K1646">
        <v>20.454999999999998</v>
      </c>
      <c r="L1646">
        <v>7</v>
      </c>
      <c r="M1646">
        <v>1</v>
      </c>
      <c r="N1646">
        <v>3</v>
      </c>
      <c r="O1646" t="s">
        <v>53</v>
      </c>
      <c r="P1646" t="s">
        <v>53</v>
      </c>
      <c r="Q1646" t="s">
        <v>53</v>
      </c>
    </row>
    <row r="1647" spans="1:17" x14ac:dyDescent="0.2">
      <c r="A1647" s="30" t="str">
        <f>IF(C1647&amp;G1647&amp;D1647&lt;&gt;'Funnel setup'!$K$3&amp;'Funnel setup'!$K$4&amp;'Funnel setup'!$K$5,".",IF(A1646=".",1,A1646+1))</f>
        <v>.</v>
      </c>
      <c r="B1647" s="431" t="str">
        <f t="shared" si="25"/>
        <v>Hip Replacement PrimaryProviderBMI - THE LONDON INDEPENDENT HOSPITAL (NT422)EQ VAS</v>
      </c>
      <c r="C1647" t="s">
        <v>248</v>
      </c>
      <c r="D1647" t="s">
        <v>1</v>
      </c>
      <c r="E1647" t="s">
        <v>3621</v>
      </c>
      <c r="F1647" t="s">
        <v>3622</v>
      </c>
      <c r="G1647" t="s">
        <v>179</v>
      </c>
      <c r="H1647">
        <v>6</v>
      </c>
      <c r="I1647">
        <v>56.167000000000002</v>
      </c>
      <c r="J1647">
        <v>77.832999999999998</v>
      </c>
      <c r="K1647">
        <v>21.667000000000002</v>
      </c>
      <c r="L1647">
        <v>6</v>
      </c>
      <c r="M1647">
        <v>0</v>
      </c>
      <c r="N1647">
        <v>0</v>
      </c>
      <c r="O1647" t="s">
        <v>53</v>
      </c>
      <c r="P1647" t="s">
        <v>53</v>
      </c>
      <c r="Q1647" t="s">
        <v>53</v>
      </c>
    </row>
    <row r="1648" spans="1:17" x14ac:dyDescent="0.2">
      <c r="A1648" s="30" t="str">
        <f>IF(C1648&amp;G1648&amp;D1648&lt;&gt;'Funnel setup'!$K$3&amp;'Funnel setup'!$K$4&amp;'Funnel setup'!$K$5,".",IF(A1647=".",1,A1647+1))</f>
        <v>.</v>
      </c>
      <c r="B1648" s="431" t="str">
        <f t="shared" si="25"/>
        <v>Hip Replacement PrimaryProviderBMI - THE MANOR HOSPITAL (NT423)EQ VAS</v>
      </c>
      <c r="C1648" t="s">
        <v>248</v>
      </c>
      <c r="D1648" t="s">
        <v>1</v>
      </c>
      <c r="E1648" t="s">
        <v>3624</v>
      </c>
      <c r="F1648" t="s">
        <v>3625</v>
      </c>
      <c r="G1648" t="s">
        <v>179</v>
      </c>
      <c r="H1648">
        <v>28</v>
      </c>
      <c r="I1648">
        <v>65.963999999999999</v>
      </c>
      <c r="J1648">
        <v>80.606999999999999</v>
      </c>
      <c r="K1648">
        <v>14.643000000000001</v>
      </c>
      <c r="L1648">
        <v>22</v>
      </c>
      <c r="M1648">
        <v>1</v>
      </c>
      <c r="N1648">
        <v>5</v>
      </c>
      <c r="O1648" t="s">
        <v>53</v>
      </c>
      <c r="P1648" t="s">
        <v>53</v>
      </c>
      <c r="Q1648" t="s">
        <v>53</v>
      </c>
    </row>
    <row r="1649" spans="1:17" x14ac:dyDescent="0.2">
      <c r="A1649" s="30" t="str">
        <f>IF(C1649&amp;G1649&amp;D1649&lt;&gt;'Funnel setup'!$K$3&amp;'Funnel setup'!$K$4&amp;'Funnel setup'!$K$5,".",IF(A1648=".",1,A1648+1))</f>
        <v>.</v>
      </c>
      <c r="B1649" s="431" t="str">
        <f t="shared" si="25"/>
        <v>Hip Replacement PrimaryProviderBMI - THE MERIDEN HOSPITAL (NT424)EQ VAS</v>
      </c>
      <c r="C1649" t="s">
        <v>248</v>
      </c>
      <c r="D1649" t="s">
        <v>1</v>
      </c>
      <c r="E1649" t="s">
        <v>3283</v>
      </c>
      <c r="F1649" t="s">
        <v>3284</v>
      </c>
      <c r="G1649" t="s">
        <v>179</v>
      </c>
      <c r="H1649">
        <v>69</v>
      </c>
      <c r="I1649">
        <v>63.652000000000001</v>
      </c>
      <c r="J1649">
        <v>78.956999999999994</v>
      </c>
      <c r="K1649">
        <v>15.304</v>
      </c>
      <c r="L1649">
        <v>49</v>
      </c>
      <c r="M1649">
        <v>13</v>
      </c>
      <c r="N1649">
        <v>7</v>
      </c>
      <c r="O1649">
        <v>78.265000000000001</v>
      </c>
      <c r="P1649">
        <v>12.76036332</v>
      </c>
      <c r="Q1649">
        <v>16.818999999999999</v>
      </c>
    </row>
    <row r="1650" spans="1:17" x14ac:dyDescent="0.2">
      <c r="A1650" s="30" t="str">
        <f>IF(C1650&amp;G1650&amp;D1650&lt;&gt;'Funnel setup'!$K$3&amp;'Funnel setup'!$K$4&amp;'Funnel setup'!$K$5,".",IF(A1649=".",1,A1649+1))</f>
        <v>.</v>
      </c>
      <c r="B1650" s="431" t="str">
        <f t="shared" si="25"/>
        <v>Hip Replacement PrimaryProviderBMI - THE PARK HOSPITAL (NT427)EQ VAS</v>
      </c>
      <c r="C1650" t="s">
        <v>248</v>
      </c>
      <c r="D1650" t="s">
        <v>1</v>
      </c>
      <c r="E1650" t="s">
        <v>3286</v>
      </c>
      <c r="F1650" t="s">
        <v>3287</v>
      </c>
      <c r="G1650" t="s">
        <v>179</v>
      </c>
      <c r="H1650">
        <v>25</v>
      </c>
      <c r="I1650">
        <v>75.48</v>
      </c>
      <c r="J1650">
        <v>79.599999999999994</v>
      </c>
      <c r="K1650">
        <v>4.12</v>
      </c>
      <c r="L1650">
        <v>17</v>
      </c>
      <c r="M1650">
        <v>2</v>
      </c>
      <c r="N1650">
        <v>6</v>
      </c>
      <c r="O1650" t="s">
        <v>53</v>
      </c>
      <c r="P1650" t="s">
        <v>53</v>
      </c>
      <c r="Q1650" t="s">
        <v>53</v>
      </c>
    </row>
    <row r="1651" spans="1:17" x14ac:dyDescent="0.2">
      <c r="A1651" s="30" t="str">
        <f>IF(C1651&amp;G1651&amp;D1651&lt;&gt;'Funnel setup'!$K$3&amp;'Funnel setup'!$K$4&amp;'Funnel setup'!$K$5,".",IF(A1650=".",1,A1650+1))</f>
        <v>.</v>
      </c>
      <c r="B1651" s="431" t="str">
        <f t="shared" si="25"/>
        <v>Hip Replacement PrimaryProviderBMI - THE PRINCESS MARGARET HOSPITAL (NT428)EQ VAS</v>
      </c>
      <c r="C1651" t="s">
        <v>248</v>
      </c>
      <c r="D1651" t="s">
        <v>1</v>
      </c>
      <c r="E1651" t="s">
        <v>3289</v>
      </c>
      <c r="F1651" t="s">
        <v>3290</v>
      </c>
      <c r="G1651" t="s">
        <v>179</v>
      </c>
      <c r="H1651">
        <v>9</v>
      </c>
      <c r="I1651">
        <v>72.221999999999994</v>
      </c>
      <c r="J1651">
        <v>71.888999999999996</v>
      </c>
      <c r="K1651">
        <v>-0.33300000000000002</v>
      </c>
      <c r="L1651">
        <v>5</v>
      </c>
      <c r="M1651">
        <v>1</v>
      </c>
      <c r="N1651">
        <v>3</v>
      </c>
      <c r="O1651" t="s">
        <v>53</v>
      </c>
      <c r="P1651" t="s">
        <v>53</v>
      </c>
      <c r="Q1651" t="s">
        <v>53</v>
      </c>
    </row>
    <row r="1652" spans="1:17" x14ac:dyDescent="0.2">
      <c r="A1652" s="30" t="str">
        <f>IF(C1652&amp;G1652&amp;D1652&lt;&gt;'Funnel setup'!$K$3&amp;'Funnel setup'!$K$4&amp;'Funnel setup'!$K$5,".",IF(A1651=".",1,A1651+1))</f>
        <v>.</v>
      </c>
      <c r="B1652" s="431" t="str">
        <f t="shared" si="25"/>
        <v>Hip Replacement PrimaryProviderBMI - THE PRIORY HOSPITAL (NT429)EQ VAS</v>
      </c>
      <c r="C1652" t="s">
        <v>248</v>
      </c>
      <c r="D1652" t="s">
        <v>1</v>
      </c>
      <c r="E1652" t="s">
        <v>4776</v>
      </c>
      <c r="F1652" t="s">
        <v>4777</v>
      </c>
      <c r="G1652" t="s">
        <v>179</v>
      </c>
      <c r="H1652" t="s">
        <v>53</v>
      </c>
      <c r="I1652" t="s">
        <v>53</v>
      </c>
      <c r="J1652" t="s">
        <v>53</v>
      </c>
      <c r="K1652" t="s">
        <v>53</v>
      </c>
      <c r="L1652" t="s">
        <v>53</v>
      </c>
      <c r="M1652" t="s">
        <v>53</v>
      </c>
      <c r="N1652" t="s">
        <v>53</v>
      </c>
      <c r="O1652" t="s">
        <v>53</v>
      </c>
      <c r="P1652" t="s">
        <v>53</v>
      </c>
      <c r="Q1652" t="s">
        <v>53</v>
      </c>
    </row>
    <row r="1653" spans="1:17" x14ac:dyDescent="0.2">
      <c r="A1653" s="30" t="str">
        <f>IF(C1653&amp;G1653&amp;D1653&lt;&gt;'Funnel setup'!$K$3&amp;'Funnel setup'!$K$4&amp;'Funnel setup'!$K$5,".",IF(A1652=".",1,A1652+1))</f>
        <v>.</v>
      </c>
      <c r="B1653" s="431" t="str">
        <f t="shared" si="25"/>
        <v>Hip Replacement PrimaryProviderBMI - THE RIDGEWAY HOSPITAL (NT430)EQ VAS</v>
      </c>
      <c r="C1653" t="s">
        <v>248</v>
      </c>
      <c r="D1653" t="s">
        <v>1</v>
      </c>
      <c r="E1653" t="s">
        <v>3292</v>
      </c>
      <c r="F1653" t="s">
        <v>3293</v>
      </c>
      <c r="G1653" t="s">
        <v>179</v>
      </c>
      <c r="H1653">
        <v>78</v>
      </c>
      <c r="I1653">
        <v>69.191999999999993</v>
      </c>
      <c r="J1653">
        <v>80.474000000000004</v>
      </c>
      <c r="K1653">
        <v>11.282</v>
      </c>
      <c r="L1653">
        <v>49</v>
      </c>
      <c r="M1653">
        <v>11</v>
      </c>
      <c r="N1653">
        <v>18</v>
      </c>
      <c r="O1653">
        <v>77.144999999999996</v>
      </c>
      <c r="P1653">
        <v>11.64061287</v>
      </c>
      <c r="Q1653">
        <v>16.486000000000001</v>
      </c>
    </row>
    <row r="1654" spans="1:17" x14ac:dyDescent="0.2">
      <c r="A1654" s="30" t="str">
        <f>IF(C1654&amp;G1654&amp;D1654&lt;&gt;'Funnel setup'!$K$3&amp;'Funnel setup'!$K$4&amp;'Funnel setup'!$K$5,".",IF(A1653=".",1,A1653+1))</f>
        <v>.</v>
      </c>
      <c r="B1654" s="431" t="str">
        <f t="shared" si="25"/>
        <v>Hip Replacement PrimaryProviderBMI - THE RUNNYMEDE HOSPITAL (NT431)EQ VAS</v>
      </c>
      <c r="C1654" t="s">
        <v>248</v>
      </c>
      <c r="D1654" t="s">
        <v>1</v>
      </c>
      <c r="E1654" t="s">
        <v>3295</v>
      </c>
      <c r="F1654" t="s">
        <v>3296</v>
      </c>
      <c r="G1654" t="s">
        <v>179</v>
      </c>
      <c r="H1654">
        <v>14</v>
      </c>
      <c r="I1654">
        <v>71.143000000000001</v>
      </c>
      <c r="J1654">
        <v>79.786000000000001</v>
      </c>
      <c r="K1654">
        <v>8.6430000000000007</v>
      </c>
      <c r="L1654">
        <v>8</v>
      </c>
      <c r="M1654">
        <v>2</v>
      </c>
      <c r="N1654">
        <v>4</v>
      </c>
      <c r="O1654" t="s">
        <v>53</v>
      </c>
      <c r="P1654" t="s">
        <v>53</v>
      </c>
      <c r="Q1654" t="s">
        <v>53</v>
      </c>
    </row>
    <row r="1655" spans="1:17" x14ac:dyDescent="0.2">
      <c r="A1655" s="30" t="str">
        <f>IF(C1655&amp;G1655&amp;D1655&lt;&gt;'Funnel setup'!$K$3&amp;'Funnel setup'!$K$4&amp;'Funnel setup'!$K$5,".",IF(A1654=".",1,A1654+1))</f>
        <v>.</v>
      </c>
      <c r="B1655" s="431" t="str">
        <f t="shared" si="25"/>
        <v>Hip Replacement PrimaryProviderBMI - THE SANDRINGHAM HOSPITAL (NT432)EQ VAS</v>
      </c>
      <c r="C1655" t="s">
        <v>248</v>
      </c>
      <c r="D1655" t="s">
        <v>1</v>
      </c>
      <c r="E1655" t="s">
        <v>3298</v>
      </c>
      <c r="F1655" t="s">
        <v>3299</v>
      </c>
      <c r="G1655" t="s">
        <v>179</v>
      </c>
      <c r="H1655">
        <v>117</v>
      </c>
      <c r="I1655">
        <v>72.837999999999994</v>
      </c>
      <c r="J1655">
        <v>82.256</v>
      </c>
      <c r="K1655">
        <v>9.4190000000000005</v>
      </c>
      <c r="L1655">
        <v>69</v>
      </c>
      <c r="M1655">
        <v>20</v>
      </c>
      <c r="N1655">
        <v>28</v>
      </c>
      <c r="O1655">
        <v>79.245000000000005</v>
      </c>
      <c r="P1655">
        <v>13.74039713</v>
      </c>
      <c r="Q1655">
        <v>14.183999999999999</v>
      </c>
    </row>
    <row r="1656" spans="1:17" x14ac:dyDescent="0.2">
      <c r="A1656" s="30" t="str">
        <f>IF(C1656&amp;G1656&amp;D1656&lt;&gt;'Funnel setup'!$K$3&amp;'Funnel setup'!$K$4&amp;'Funnel setup'!$K$5,".",IF(A1655=".",1,A1655+1))</f>
        <v>.</v>
      </c>
      <c r="B1656" s="431" t="str">
        <f t="shared" si="25"/>
        <v>Hip Replacement PrimaryProviderBMI - THE SAXON CLINIC (NT434)EQ VAS</v>
      </c>
      <c r="C1656" t="s">
        <v>248</v>
      </c>
      <c r="D1656" t="s">
        <v>1</v>
      </c>
      <c r="E1656" t="s">
        <v>3301</v>
      </c>
      <c r="F1656" t="s">
        <v>3302</v>
      </c>
      <c r="G1656" t="s">
        <v>179</v>
      </c>
      <c r="H1656">
        <v>35</v>
      </c>
      <c r="I1656">
        <v>60.457000000000001</v>
      </c>
      <c r="J1656">
        <v>72.856999999999999</v>
      </c>
      <c r="K1656">
        <v>12.4</v>
      </c>
      <c r="L1656">
        <v>20</v>
      </c>
      <c r="M1656">
        <v>6</v>
      </c>
      <c r="N1656">
        <v>9</v>
      </c>
      <c r="O1656">
        <v>73.257000000000005</v>
      </c>
      <c r="P1656">
        <v>7.7531591320000004</v>
      </c>
      <c r="Q1656">
        <v>17.094000000000001</v>
      </c>
    </row>
    <row r="1657" spans="1:17" x14ac:dyDescent="0.2">
      <c r="A1657" s="30" t="str">
        <f>IF(C1657&amp;G1657&amp;D1657&lt;&gt;'Funnel setup'!$K$3&amp;'Funnel setup'!$K$4&amp;'Funnel setup'!$K$5,".",IF(A1656=".",1,A1656+1))</f>
        <v>.</v>
      </c>
      <c r="B1657" s="431" t="str">
        <f t="shared" si="25"/>
        <v>Hip Replacement PrimaryProviderBMI - THE SHELBURNE HOSPITAL (NT435)EQ VAS</v>
      </c>
      <c r="C1657" t="s">
        <v>248</v>
      </c>
      <c r="D1657" t="s">
        <v>1</v>
      </c>
      <c r="E1657" t="s">
        <v>4318</v>
      </c>
      <c r="F1657" t="s">
        <v>4319</v>
      </c>
      <c r="G1657" t="s">
        <v>179</v>
      </c>
      <c r="H1657">
        <v>34</v>
      </c>
      <c r="I1657">
        <v>68.206000000000003</v>
      </c>
      <c r="J1657">
        <v>77.441000000000003</v>
      </c>
      <c r="K1657">
        <v>9.2349999999999994</v>
      </c>
      <c r="L1657">
        <v>26</v>
      </c>
      <c r="M1657">
        <v>1</v>
      </c>
      <c r="N1657">
        <v>7</v>
      </c>
      <c r="O1657">
        <v>75.823999999999998</v>
      </c>
      <c r="P1657">
        <v>10.31981248</v>
      </c>
      <c r="Q1657">
        <v>13.865</v>
      </c>
    </row>
    <row r="1658" spans="1:17" x14ac:dyDescent="0.2">
      <c r="A1658" s="30" t="str">
        <f>IF(C1658&amp;G1658&amp;D1658&lt;&gt;'Funnel setup'!$K$3&amp;'Funnel setup'!$K$4&amp;'Funnel setup'!$K$5,".",IF(A1657=".",1,A1657+1))</f>
        <v>.</v>
      </c>
      <c r="B1658" s="431" t="str">
        <f t="shared" si="25"/>
        <v>Hip Replacement PrimaryProviderBMI - THE SLOANE HOSPITAL (NT437)EQ VAS</v>
      </c>
      <c r="C1658" t="s">
        <v>248</v>
      </c>
      <c r="D1658" t="s">
        <v>1</v>
      </c>
      <c r="E1658" t="s">
        <v>4327</v>
      </c>
      <c r="F1658" t="s">
        <v>4328</v>
      </c>
      <c r="G1658" t="s">
        <v>179</v>
      </c>
      <c r="H1658" t="s">
        <v>53</v>
      </c>
      <c r="I1658" t="s">
        <v>53</v>
      </c>
      <c r="J1658" t="s">
        <v>53</v>
      </c>
      <c r="K1658" t="s">
        <v>53</v>
      </c>
      <c r="L1658" t="s">
        <v>53</v>
      </c>
      <c r="M1658" t="s">
        <v>53</v>
      </c>
      <c r="N1658" t="s">
        <v>53</v>
      </c>
      <c r="O1658" t="s">
        <v>53</v>
      </c>
      <c r="P1658" t="s">
        <v>53</v>
      </c>
      <c r="Q1658" t="s">
        <v>53</v>
      </c>
    </row>
    <row r="1659" spans="1:17" x14ac:dyDescent="0.2">
      <c r="A1659" s="30" t="str">
        <f>IF(C1659&amp;G1659&amp;D1659&lt;&gt;'Funnel setup'!$K$3&amp;'Funnel setup'!$K$4&amp;'Funnel setup'!$K$5,".",IF(A1658=".",1,A1658+1))</f>
        <v>.</v>
      </c>
      <c r="B1659" s="431" t="str">
        <f t="shared" si="25"/>
        <v>Hip Replacement PrimaryProviderBMI - THE SOMERFIELD HOSPITAL (NT438)EQ VAS</v>
      </c>
      <c r="C1659" t="s">
        <v>248</v>
      </c>
      <c r="D1659" t="s">
        <v>1</v>
      </c>
      <c r="E1659" t="s">
        <v>3304</v>
      </c>
      <c r="F1659" t="s">
        <v>3305</v>
      </c>
      <c r="G1659" t="s">
        <v>179</v>
      </c>
      <c r="H1659">
        <v>15</v>
      </c>
      <c r="I1659">
        <v>62.667000000000002</v>
      </c>
      <c r="J1659">
        <v>81.667000000000002</v>
      </c>
      <c r="K1659">
        <v>19</v>
      </c>
      <c r="L1659">
        <v>12</v>
      </c>
      <c r="M1659">
        <v>2</v>
      </c>
      <c r="N1659">
        <v>1</v>
      </c>
      <c r="O1659" t="s">
        <v>53</v>
      </c>
      <c r="P1659" t="s">
        <v>53</v>
      </c>
      <c r="Q1659" t="s">
        <v>53</v>
      </c>
    </row>
    <row r="1660" spans="1:17" x14ac:dyDescent="0.2">
      <c r="A1660" s="30" t="str">
        <f>IF(C1660&amp;G1660&amp;D1660&lt;&gt;'Funnel setup'!$K$3&amp;'Funnel setup'!$K$4&amp;'Funnel setup'!$K$5,".",IF(A1659=".",1,A1659+1))</f>
        <v>.</v>
      </c>
      <c r="B1660" s="431" t="str">
        <f t="shared" si="25"/>
        <v>Hip Replacement PrimaryProviderBMI - THE SOUTH CHESHIRE PRIVATE HOSPITAL (NT439)EQ VAS</v>
      </c>
      <c r="C1660" t="s">
        <v>248</v>
      </c>
      <c r="D1660" t="s">
        <v>1</v>
      </c>
      <c r="E1660" t="s">
        <v>3307</v>
      </c>
      <c r="F1660" t="s">
        <v>3308</v>
      </c>
      <c r="G1660" t="s">
        <v>179</v>
      </c>
      <c r="H1660">
        <v>27</v>
      </c>
      <c r="I1660">
        <v>67.962999999999994</v>
      </c>
      <c r="J1660">
        <v>80.778000000000006</v>
      </c>
      <c r="K1660">
        <v>12.815</v>
      </c>
      <c r="L1660">
        <v>20</v>
      </c>
      <c r="M1660">
        <v>3</v>
      </c>
      <c r="N1660">
        <v>4</v>
      </c>
      <c r="O1660" t="s">
        <v>53</v>
      </c>
      <c r="P1660" t="s">
        <v>53</v>
      </c>
      <c r="Q1660" t="s">
        <v>53</v>
      </c>
    </row>
    <row r="1661" spans="1:17" x14ac:dyDescent="0.2">
      <c r="A1661" s="30" t="str">
        <f>IF(C1661&amp;G1661&amp;D1661&lt;&gt;'Funnel setup'!$K$3&amp;'Funnel setup'!$K$4&amp;'Funnel setup'!$K$5,".",IF(A1660=".",1,A1660+1))</f>
        <v>.</v>
      </c>
      <c r="B1661" s="431" t="str">
        <f t="shared" si="25"/>
        <v>Hip Replacement PrimaryProviderBMI - THE WINTERBOURNE HOSPITAL (NT443)EQ VAS</v>
      </c>
      <c r="C1661" t="s">
        <v>248</v>
      </c>
      <c r="D1661" t="s">
        <v>1</v>
      </c>
      <c r="E1661" t="s">
        <v>3310</v>
      </c>
      <c r="F1661" t="s">
        <v>3311</v>
      </c>
      <c r="G1661" t="s">
        <v>179</v>
      </c>
      <c r="H1661">
        <v>43</v>
      </c>
      <c r="I1661">
        <v>70.093000000000004</v>
      </c>
      <c r="J1661">
        <v>81.581000000000003</v>
      </c>
      <c r="K1661">
        <v>11.488</v>
      </c>
      <c r="L1661">
        <v>31</v>
      </c>
      <c r="M1661">
        <v>3</v>
      </c>
      <c r="N1661">
        <v>9</v>
      </c>
      <c r="O1661">
        <v>78.932000000000002</v>
      </c>
      <c r="P1661">
        <v>13.42791042</v>
      </c>
      <c r="Q1661">
        <v>12.692</v>
      </c>
    </row>
    <row r="1662" spans="1:17" x14ac:dyDescent="0.2">
      <c r="A1662" s="30" t="str">
        <f>IF(C1662&amp;G1662&amp;D1662&lt;&gt;'Funnel setup'!$K$3&amp;'Funnel setup'!$K$4&amp;'Funnel setup'!$K$5,".",IF(A1661=".",1,A1661+1))</f>
        <v>.</v>
      </c>
      <c r="B1662" s="431" t="str">
        <f t="shared" si="25"/>
        <v>Hip Replacement PrimaryProviderBMI - THORNBURY HOSPITAL (NT440)EQ VAS</v>
      </c>
      <c r="C1662" t="s">
        <v>248</v>
      </c>
      <c r="D1662" t="s">
        <v>1</v>
      </c>
      <c r="E1662" t="s">
        <v>3313</v>
      </c>
      <c r="F1662" t="s">
        <v>3314</v>
      </c>
      <c r="G1662" t="s">
        <v>179</v>
      </c>
      <c r="H1662">
        <v>47</v>
      </c>
      <c r="I1662">
        <v>66.128</v>
      </c>
      <c r="J1662">
        <v>81.489000000000004</v>
      </c>
      <c r="K1662">
        <v>15.362</v>
      </c>
      <c r="L1662">
        <v>37</v>
      </c>
      <c r="M1662">
        <v>1</v>
      </c>
      <c r="N1662">
        <v>9</v>
      </c>
      <c r="O1662">
        <v>77.989999999999995</v>
      </c>
      <c r="P1662">
        <v>12.485634279999999</v>
      </c>
      <c r="Q1662">
        <v>11.954000000000001</v>
      </c>
    </row>
    <row r="1663" spans="1:17" x14ac:dyDescent="0.2">
      <c r="A1663" s="30" t="str">
        <f>IF(C1663&amp;G1663&amp;D1663&lt;&gt;'Funnel setup'!$K$3&amp;'Funnel setup'!$K$4&amp;'Funnel setup'!$K$5,".",IF(A1662=".",1,A1662+1))</f>
        <v>.</v>
      </c>
      <c r="B1663" s="431" t="str">
        <f t="shared" si="25"/>
        <v>Hip Replacement PrimaryProviderBMI - THREE SHIRES HOSPITAL (NT441)EQ VAS</v>
      </c>
      <c r="C1663" t="s">
        <v>248</v>
      </c>
      <c r="D1663" t="s">
        <v>1</v>
      </c>
      <c r="E1663" t="s">
        <v>3316</v>
      </c>
      <c r="F1663" t="s">
        <v>3317</v>
      </c>
      <c r="G1663" t="s">
        <v>179</v>
      </c>
      <c r="H1663">
        <v>37</v>
      </c>
      <c r="I1663">
        <v>72.811000000000007</v>
      </c>
      <c r="J1663">
        <v>84.784000000000006</v>
      </c>
      <c r="K1663">
        <v>11.973000000000001</v>
      </c>
      <c r="L1663">
        <v>23</v>
      </c>
      <c r="M1663">
        <v>4</v>
      </c>
      <c r="N1663">
        <v>10</v>
      </c>
      <c r="O1663">
        <v>79.358000000000004</v>
      </c>
      <c r="P1663">
        <v>13.853728609999999</v>
      </c>
      <c r="Q1663">
        <v>11.702999999999999</v>
      </c>
    </row>
    <row r="1664" spans="1:17" x14ac:dyDescent="0.2">
      <c r="A1664" s="30" t="str">
        <f>IF(C1664&amp;G1664&amp;D1664&lt;&gt;'Funnel setup'!$K$3&amp;'Funnel setup'!$K$4&amp;'Funnel setup'!$K$5,".",IF(A1663=".",1,A1663+1))</f>
        <v>.</v>
      </c>
      <c r="B1664" s="431" t="str">
        <f t="shared" si="25"/>
        <v>Hip Replacement PrimaryProviderBMI GISBURNE PARK HOSPITAL (NT497)EQ VAS</v>
      </c>
      <c r="C1664" t="s">
        <v>248</v>
      </c>
      <c r="D1664" t="s">
        <v>1</v>
      </c>
      <c r="E1664" t="s">
        <v>3319</v>
      </c>
      <c r="F1664" t="s">
        <v>3320</v>
      </c>
      <c r="G1664" t="s">
        <v>179</v>
      </c>
      <c r="H1664">
        <v>44</v>
      </c>
      <c r="I1664">
        <v>67.795000000000002</v>
      </c>
      <c r="J1664">
        <v>76.409000000000006</v>
      </c>
      <c r="K1664">
        <v>8.6140000000000008</v>
      </c>
      <c r="L1664">
        <v>26</v>
      </c>
      <c r="M1664">
        <v>3</v>
      </c>
      <c r="N1664">
        <v>15</v>
      </c>
      <c r="O1664">
        <v>75.66</v>
      </c>
      <c r="P1664">
        <v>10.156071109999999</v>
      </c>
      <c r="Q1664">
        <v>15.395</v>
      </c>
    </row>
    <row r="1665" spans="1:17" x14ac:dyDescent="0.2">
      <c r="A1665" s="30" t="str">
        <f>IF(C1665&amp;G1665&amp;D1665&lt;&gt;'Funnel setup'!$K$3&amp;'Funnel setup'!$K$4&amp;'Funnel setup'!$K$5,".",IF(A1664=".",1,A1664+1))</f>
        <v>.</v>
      </c>
      <c r="B1665" s="431" t="str">
        <f t="shared" si="25"/>
        <v>Hip Replacement PrimaryProviderBMI MOUNT ALVERNIA HOSPITAL (NT455)EQ VAS</v>
      </c>
      <c r="C1665" t="s">
        <v>248</v>
      </c>
      <c r="D1665" t="s">
        <v>1</v>
      </c>
      <c r="E1665" t="s">
        <v>3322</v>
      </c>
      <c r="F1665" t="s">
        <v>3323</v>
      </c>
      <c r="G1665" t="s">
        <v>179</v>
      </c>
      <c r="H1665">
        <v>9</v>
      </c>
      <c r="I1665">
        <v>67.778000000000006</v>
      </c>
      <c r="J1665">
        <v>73.778000000000006</v>
      </c>
      <c r="K1665">
        <v>6</v>
      </c>
      <c r="L1665">
        <v>5</v>
      </c>
      <c r="M1665">
        <v>1</v>
      </c>
      <c r="N1665">
        <v>3</v>
      </c>
      <c r="O1665" t="s">
        <v>53</v>
      </c>
      <c r="P1665" t="s">
        <v>53</v>
      </c>
      <c r="Q1665" t="s">
        <v>53</v>
      </c>
    </row>
    <row r="1666" spans="1:17" x14ac:dyDescent="0.2">
      <c r="A1666" s="30" t="str">
        <f>IF(C1666&amp;G1666&amp;D1666&lt;&gt;'Funnel setup'!$K$3&amp;'Funnel setup'!$K$4&amp;'Funnel setup'!$K$5,".",IF(A1665=".",1,A1665+1))</f>
        <v>.</v>
      </c>
      <c r="B1666" s="431" t="str">
        <f t="shared" si="25"/>
        <v>Hip Replacement PrimaryProviderBMI ST EDMUNDS HOSPITAL (NT446)EQ VAS</v>
      </c>
      <c r="C1666" t="s">
        <v>248</v>
      </c>
      <c r="D1666" t="s">
        <v>1</v>
      </c>
      <c r="E1666" t="s">
        <v>3328</v>
      </c>
      <c r="F1666" t="s">
        <v>3329</v>
      </c>
      <c r="G1666" t="s">
        <v>179</v>
      </c>
      <c r="H1666">
        <v>79</v>
      </c>
      <c r="I1666">
        <v>68.341999999999999</v>
      </c>
      <c r="J1666">
        <v>80.847999999999999</v>
      </c>
      <c r="K1666">
        <v>12.506</v>
      </c>
      <c r="L1666">
        <v>56</v>
      </c>
      <c r="M1666">
        <v>9</v>
      </c>
      <c r="N1666">
        <v>14</v>
      </c>
      <c r="O1666">
        <v>77.164000000000001</v>
      </c>
      <c r="P1666">
        <v>11.65981895</v>
      </c>
      <c r="Q1666">
        <v>14.294</v>
      </c>
    </row>
    <row r="1667" spans="1:17" x14ac:dyDescent="0.2">
      <c r="A1667" s="30" t="str">
        <f>IF(C1667&amp;G1667&amp;D1667&lt;&gt;'Funnel setup'!$K$3&amp;'Funnel setup'!$K$4&amp;'Funnel setup'!$K$5,".",IF(A1666=".",1,A1666+1))</f>
        <v>.</v>
      </c>
      <c r="B1667" s="431" t="str">
        <f t="shared" ref="B1667:B1730" si="26">C1667&amp;D1667&amp;F1667&amp;G1667</f>
        <v>Hip Replacement PrimaryProviderBMI THE CAVELL HOSPITAL (NT451)EQ VAS</v>
      </c>
      <c r="C1667" t="s">
        <v>248</v>
      </c>
      <c r="D1667" t="s">
        <v>1</v>
      </c>
      <c r="E1667" t="s">
        <v>3331</v>
      </c>
      <c r="F1667" t="s">
        <v>3332</v>
      </c>
      <c r="G1667" t="s">
        <v>179</v>
      </c>
      <c r="H1667">
        <v>30</v>
      </c>
      <c r="I1667">
        <v>69.5</v>
      </c>
      <c r="J1667">
        <v>82.233000000000004</v>
      </c>
      <c r="K1667">
        <v>12.733000000000001</v>
      </c>
      <c r="L1667">
        <v>24</v>
      </c>
      <c r="M1667">
        <v>0</v>
      </c>
      <c r="N1667">
        <v>6</v>
      </c>
      <c r="O1667">
        <v>79.668999999999997</v>
      </c>
      <c r="P1667">
        <v>14.16516742</v>
      </c>
      <c r="Q1667">
        <v>9.7669999999999995</v>
      </c>
    </row>
    <row r="1668" spans="1:17" x14ac:dyDescent="0.2">
      <c r="A1668" s="30" t="str">
        <f>IF(C1668&amp;G1668&amp;D1668&lt;&gt;'Funnel setup'!$K$3&amp;'Funnel setup'!$K$4&amp;'Funnel setup'!$K$5,".",IF(A1667=".",1,A1667+1))</f>
        <v>.</v>
      </c>
      <c r="B1668" s="431" t="str">
        <f t="shared" si="26"/>
        <v>Hip Replacement PrimaryProviderBMI THE DUCHY HOSPITAL (NT447)EQ VAS</v>
      </c>
      <c r="C1668" t="s">
        <v>248</v>
      </c>
      <c r="D1668" t="s">
        <v>1</v>
      </c>
      <c r="E1668" t="s">
        <v>3334</v>
      </c>
      <c r="F1668" t="s">
        <v>3335</v>
      </c>
      <c r="G1668" t="s">
        <v>179</v>
      </c>
      <c r="H1668">
        <v>17</v>
      </c>
      <c r="I1668">
        <v>65.941000000000003</v>
      </c>
      <c r="J1668">
        <v>86.058999999999997</v>
      </c>
      <c r="K1668">
        <v>20.117999999999999</v>
      </c>
      <c r="L1668">
        <v>14</v>
      </c>
      <c r="M1668">
        <v>2</v>
      </c>
      <c r="N1668">
        <v>1</v>
      </c>
      <c r="O1668" t="s">
        <v>53</v>
      </c>
      <c r="P1668" t="s">
        <v>53</v>
      </c>
      <c r="Q1668" t="s">
        <v>53</v>
      </c>
    </row>
    <row r="1669" spans="1:17" x14ac:dyDescent="0.2">
      <c r="A1669" s="30" t="str">
        <f>IF(C1669&amp;G1669&amp;D1669&lt;&gt;'Funnel setup'!$K$3&amp;'Funnel setup'!$K$4&amp;'Funnel setup'!$K$5,".",IF(A1668=".",1,A1668+1))</f>
        <v>.</v>
      </c>
      <c r="B1669" s="431" t="str">
        <f t="shared" si="26"/>
        <v>Hip Replacement PrimaryProviderBMI THE EDGBASTON HOSPITAL (NT445)EQ VAS</v>
      </c>
      <c r="C1669" t="s">
        <v>248</v>
      </c>
      <c r="D1669" t="s">
        <v>1</v>
      </c>
      <c r="E1669" t="s">
        <v>3337</v>
      </c>
      <c r="F1669" t="s">
        <v>3338</v>
      </c>
      <c r="G1669" t="s">
        <v>179</v>
      </c>
      <c r="H1669">
        <v>30</v>
      </c>
      <c r="I1669">
        <v>67.8</v>
      </c>
      <c r="J1669">
        <v>80.332999999999998</v>
      </c>
      <c r="K1669">
        <v>12.532999999999999</v>
      </c>
      <c r="L1669">
        <v>22</v>
      </c>
      <c r="M1669">
        <v>2</v>
      </c>
      <c r="N1669">
        <v>6</v>
      </c>
      <c r="O1669">
        <v>78.308999999999997</v>
      </c>
      <c r="P1669">
        <v>12.805139309999999</v>
      </c>
      <c r="Q1669">
        <v>10.9</v>
      </c>
    </row>
    <row r="1670" spans="1:17" x14ac:dyDescent="0.2">
      <c r="A1670" s="30" t="str">
        <f>IF(C1670&amp;G1670&amp;D1670&lt;&gt;'Funnel setup'!$K$3&amp;'Funnel setup'!$K$4&amp;'Funnel setup'!$K$5,".",IF(A1669=".",1,A1669+1))</f>
        <v>.</v>
      </c>
      <c r="B1670" s="431" t="str">
        <f t="shared" si="26"/>
        <v>Hip Replacement PrimaryProviderBMI THE HUDDERSFIELD HOSPITAL (NT448)EQ VAS</v>
      </c>
      <c r="C1670" t="s">
        <v>248</v>
      </c>
      <c r="D1670" t="s">
        <v>1</v>
      </c>
      <c r="E1670" t="s">
        <v>3346</v>
      </c>
      <c r="F1670" t="s">
        <v>3347</v>
      </c>
      <c r="G1670" t="s">
        <v>179</v>
      </c>
      <c r="H1670">
        <v>44</v>
      </c>
      <c r="I1670">
        <v>73.614000000000004</v>
      </c>
      <c r="J1670">
        <v>83.432000000000002</v>
      </c>
      <c r="K1670">
        <v>9.8179999999999996</v>
      </c>
      <c r="L1670">
        <v>30</v>
      </c>
      <c r="M1670">
        <v>6</v>
      </c>
      <c r="N1670">
        <v>8</v>
      </c>
      <c r="O1670">
        <v>79.585999999999999</v>
      </c>
      <c r="P1670">
        <v>14.081872369999999</v>
      </c>
      <c r="Q1670">
        <v>8.9039999999999999</v>
      </c>
    </row>
    <row r="1671" spans="1:17" x14ac:dyDescent="0.2">
      <c r="A1671" s="30" t="str">
        <f>IF(C1671&amp;G1671&amp;D1671&lt;&gt;'Funnel setup'!$K$3&amp;'Funnel setup'!$K$4&amp;'Funnel setup'!$K$5,".",IF(A1670=".",1,A1670+1))</f>
        <v>.</v>
      </c>
      <c r="B1671" s="431" t="str">
        <f t="shared" si="26"/>
        <v>Hip Replacement PrimaryProviderBMI THE LANCASTER HOSPITAL (NT449)EQ VAS</v>
      </c>
      <c r="C1671" t="s">
        <v>248</v>
      </c>
      <c r="D1671" t="s">
        <v>1</v>
      </c>
      <c r="E1671" t="s">
        <v>3349</v>
      </c>
      <c r="F1671" t="s">
        <v>3350</v>
      </c>
      <c r="G1671" t="s">
        <v>179</v>
      </c>
      <c r="H1671">
        <v>42</v>
      </c>
      <c r="I1671">
        <v>70.856999999999999</v>
      </c>
      <c r="J1671">
        <v>76.643000000000001</v>
      </c>
      <c r="K1671">
        <v>5.7859999999999996</v>
      </c>
      <c r="L1671">
        <v>23</v>
      </c>
      <c r="M1671">
        <v>6</v>
      </c>
      <c r="N1671">
        <v>13</v>
      </c>
      <c r="O1671">
        <v>74.343000000000004</v>
      </c>
      <c r="P1671">
        <v>8.8390773510000002</v>
      </c>
      <c r="Q1671">
        <v>10.07</v>
      </c>
    </row>
    <row r="1672" spans="1:17" x14ac:dyDescent="0.2">
      <c r="A1672" s="30" t="str">
        <f>IF(C1672&amp;G1672&amp;D1672&lt;&gt;'Funnel setup'!$K$3&amp;'Funnel setup'!$K$4&amp;'Funnel setup'!$K$5,".",IF(A1671=".",1,A1671+1))</f>
        <v>.</v>
      </c>
      <c r="B1672" s="431" t="str">
        <f t="shared" si="26"/>
        <v>Hip Replacement PrimaryProviderBMI THE LINCOLN HOSPITAL (NT450)EQ VAS</v>
      </c>
      <c r="C1672" t="s">
        <v>248</v>
      </c>
      <c r="D1672" t="s">
        <v>1</v>
      </c>
      <c r="E1672" t="s">
        <v>3352</v>
      </c>
      <c r="F1672" t="s">
        <v>3353</v>
      </c>
      <c r="G1672" t="s">
        <v>179</v>
      </c>
      <c r="H1672">
        <v>75</v>
      </c>
      <c r="I1672">
        <v>69.88</v>
      </c>
      <c r="J1672">
        <v>79.8</v>
      </c>
      <c r="K1672">
        <v>9.92</v>
      </c>
      <c r="L1672">
        <v>52</v>
      </c>
      <c r="M1672">
        <v>4</v>
      </c>
      <c r="N1672">
        <v>19</v>
      </c>
      <c r="O1672">
        <v>78.475999999999999</v>
      </c>
      <c r="P1672">
        <v>12.971415159999999</v>
      </c>
      <c r="Q1672">
        <v>16.684000000000001</v>
      </c>
    </row>
    <row r="1673" spans="1:17" x14ac:dyDescent="0.2">
      <c r="A1673" s="30" t="str">
        <f>IF(C1673&amp;G1673&amp;D1673&lt;&gt;'Funnel setup'!$K$3&amp;'Funnel setup'!$K$4&amp;'Funnel setup'!$K$5,".",IF(A1672=".",1,A1672+1))</f>
        <v>.</v>
      </c>
      <c r="B1673" s="431" t="str">
        <f t="shared" si="26"/>
        <v>Hip Replacement PrimaryProviderBMI WOODLANDS HOSPITAL (NT457)EQ VAS</v>
      </c>
      <c r="C1673" t="s">
        <v>248</v>
      </c>
      <c r="D1673" t="s">
        <v>1</v>
      </c>
      <c r="E1673" t="s">
        <v>3355</v>
      </c>
      <c r="F1673" t="s">
        <v>3356</v>
      </c>
      <c r="G1673" t="s">
        <v>179</v>
      </c>
      <c r="H1673">
        <v>62</v>
      </c>
      <c r="I1673">
        <v>66.290000000000006</v>
      </c>
      <c r="J1673">
        <v>76.774000000000001</v>
      </c>
      <c r="K1673">
        <v>10.484</v>
      </c>
      <c r="L1673">
        <v>34</v>
      </c>
      <c r="M1673">
        <v>6</v>
      </c>
      <c r="N1673">
        <v>22</v>
      </c>
      <c r="O1673">
        <v>74.83</v>
      </c>
      <c r="P1673">
        <v>9.3260109740000008</v>
      </c>
      <c r="Q1673">
        <v>15.805</v>
      </c>
    </row>
    <row r="1674" spans="1:17" x14ac:dyDescent="0.2">
      <c r="A1674" s="30" t="str">
        <f>IF(C1674&amp;G1674&amp;D1674&lt;&gt;'Funnel setup'!$K$3&amp;'Funnel setup'!$K$4&amp;'Funnel setup'!$K$5,".",IF(A1673=".",1,A1673+1))</f>
        <v>.</v>
      </c>
      <c r="B1674" s="431" t="str">
        <f t="shared" si="26"/>
        <v>Hip Replacement PrimaryProviderBOLTON NHS FOUNDATION TRUST (RMC)EQ VAS</v>
      </c>
      <c r="C1674" t="s">
        <v>248</v>
      </c>
      <c r="D1674" t="s">
        <v>1</v>
      </c>
      <c r="E1674" t="s">
        <v>3358</v>
      </c>
      <c r="F1674" t="s">
        <v>3359</v>
      </c>
      <c r="G1674" t="s">
        <v>179</v>
      </c>
      <c r="H1674">
        <v>93</v>
      </c>
      <c r="I1674">
        <v>60.988999999999997</v>
      </c>
      <c r="J1674">
        <v>75.677000000000007</v>
      </c>
      <c r="K1674">
        <v>14.688000000000001</v>
      </c>
      <c r="L1674">
        <v>64</v>
      </c>
      <c r="M1674">
        <v>10</v>
      </c>
      <c r="N1674">
        <v>19</v>
      </c>
      <c r="O1674">
        <v>79.590999999999994</v>
      </c>
      <c r="P1674">
        <v>14.086472929999999</v>
      </c>
      <c r="Q1674">
        <v>18.908000000000001</v>
      </c>
    </row>
    <row r="1675" spans="1:17" x14ac:dyDescent="0.2">
      <c r="A1675" s="30" t="str">
        <f>IF(C1675&amp;G1675&amp;D1675&lt;&gt;'Funnel setup'!$K$3&amp;'Funnel setup'!$K$4&amp;'Funnel setup'!$K$5,".",IF(A1674=".",1,A1674+1))</f>
        <v>.</v>
      </c>
      <c r="B1675" s="431" t="str">
        <f t="shared" si="26"/>
        <v>Hip Replacement PrimaryProviderBRADFORD TEACHING HOSPITALS NHS FOUNDATION TRUST (RAE)EQ VAS</v>
      </c>
      <c r="C1675" t="s">
        <v>248</v>
      </c>
      <c r="D1675" t="s">
        <v>1</v>
      </c>
      <c r="E1675" t="s">
        <v>3361</v>
      </c>
      <c r="F1675" t="s">
        <v>3362</v>
      </c>
      <c r="G1675" t="s">
        <v>179</v>
      </c>
      <c r="H1675">
        <v>84</v>
      </c>
      <c r="I1675">
        <v>57.856999999999999</v>
      </c>
      <c r="J1675">
        <v>73.213999999999999</v>
      </c>
      <c r="K1675">
        <v>15.356999999999999</v>
      </c>
      <c r="L1675">
        <v>57</v>
      </c>
      <c r="M1675">
        <v>11</v>
      </c>
      <c r="N1675">
        <v>16</v>
      </c>
      <c r="O1675">
        <v>79.143000000000001</v>
      </c>
      <c r="P1675">
        <v>13.63863029</v>
      </c>
      <c r="Q1675">
        <v>18.529</v>
      </c>
    </row>
    <row r="1676" spans="1:17" x14ac:dyDescent="0.2">
      <c r="A1676" s="30" t="str">
        <f>IF(C1676&amp;G1676&amp;D1676&lt;&gt;'Funnel setup'!$K$3&amp;'Funnel setup'!$K$4&amp;'Funnel setup'!$K$5,".",IF(A1675=".",1,A1675+1))</f>
        <v>.</v>
      </c>
      <c r="B1676" s="431" t="str">
        <f t="shared" si="26"/>
        <v>Hip Replacement PrimaryProviderBRIGHTON AND SUSSEX UNIVERSITY HOSPITALS NHS TRUST (RXH)EQ VAS</v>
      </c>
      <c r="C1676" t="s">
        <v>248</v>
      </c>
      <c r="D1676" t="s">
        <v>1</v>
      </c>
      <c r="E1676" t="s">
        <v>3367</v>
      </c>
      <c r="F1676" t="s">
        <v>3368</v>
      </c>
      <c r="G1676" t="s">
        <v>179</v>
      </c>
      <c r="H1676">
        <v>179</v>
      </c>
      <c r="I1676">
        <v>66.542000000000002</v>
      </c>
      <c r="J1676">
        <v>77.150999999999996</v>
      </c>
      <c r="K1676">
        <v>10.609</v>
      </c>
      <c r="L1676">
        <v>108</v>
      </c>
      <c r="M1676">
        <v>26</v>
      </c>
      <c r="N1676">
        <v>45</v>
      </c>
      <c r="O1676">
        <v>76.891999999999996</v>
      </c>
      <c r="P1676">
        <v>11.3873824</v>
      </c>
      <c r="Q1676">
        <v>14.839</v>
      </c>
    </row>
    <row r="1677" spans="1:17" x14ac:dyDescent="0.2">
      <c r="A1677" s="30" t="str">
        <f>IF(C1677&amp;G1677&amp;D1677&lt;&gt;'Funnel setup'!$K$3&amp;'Funnel setup'!$K$4&amp;'Funnel setup'!$K$5,".",IF(A1676=".",1,A1676+1))</f>
        <v>.</v>
      </c>
      <c r="B1677" s="431" t="str">
        <f t="shared" si="26"/>
        <v>Hip Replacement PrimaryProviderBUCKINGHAMSHIRE HEALTHCARE NHS TRUST (RXQ)EQ VAS</v>
      </c>
      <c r="C1677" t="s">
        <v>248</v>
      </c>
      <c r="D1677" t="s">
        <v>1</v>
      </c>
      <c r="E1677" t="s">
        <v>3370</v>
      </c>
      <c r="F1677" t="s">
        <v>3371</v>
      </c>
      <c r="G1677" t="s">
        <v>179</v>
      </c>
      <c r="H1677">
        <v>146</v>
      </c>
      <c r="I1677">
        <v>63.006999999999998</v>
      </c>
      <c r="J1677">
        <v>73.664000000000001</v>
      </c>
      <c r="K1677">
        <v>10.657999999999999</v>
      </c>
      <c r="L1677">
        <v>92</v>
      </c>
      <c r="M1677">
        <v>17</v>
      </c>
      <c r="N1677">
        <v>37</v>
      </c>
      <c r="O1677">
        <v>73.760999999999996</v>
      </c>
      <c r="P1677">
        <v>8.2568723029999997</v>
      </c>
      <c r="Q1677">
        <v>18.576000000000001</v>
      </c>
    </row>
    <row r="1678" spans="1:17" x14ac:dyDescent="0.2">
      <c r="A1678" s="30" t="str">
        <f>IF(C1678&amp;G1678&amp;D1678&lt;&gt;'Funnel setup'!$K$3&amp;'Funnel setup'!$K$4&amp;'Funnel setup'!$K$5,".",IF(A1677=".",1,A1677+1))</f>
        <v>.</v>
      </c>
      <c r="B1678" s="431" t="str">
        <f t="shared" si="26"/>
        <v>Hip Replacement PrimaryProviderBURTON HOSPITALS NHS FOUNDATION TRUST (RJF)EQ VAS</v>
      </c>
      <c r="C1678" t="s">
        <v>248</v>
      </c>
      <c r="D1678" t="s">
        <v>1</v>
      </c>
      <c r="E1678" t="s">
        <v>3373</v>
      </c>
      <c r="F1678" t="s">
        <v>3374</v>
      </c>
      <c r="G1678" t="s">
        <v>179</v>
      </c>
      <c r="H1678">
        <v>158</v>
      </c>
      <c r="I1678">
        <v>66.126999999999995</v>
      </c>
      <c r="J1678">
        <v>78.695999999999998</v>
      </c>
      <c r="K1678">
        <v>12.57</v>
      </c>
      <c r="L1678">
        <v>113</v>
      </c>
      <c r="M1678">
        <v>12</v>
      </c>
      <c r="N1678">
        <v>33</v>
      </c>
      <c r="O1678">
        <v>78.492000000000004</v>
      </c>
      <c r="P1678">
        <v>12.98719092</v>
      </c>
      <c r="Q1678">
        <v>12.519</v>
      </c>
    </row>
    <row r="1679" spans="1:17" x14ac:dyDescent="0.2">
      <c r="A1679" s="30" t="str">
        <f>IF(C1679&amp;G1679&amp;D1679&lt;&gt;'Funnel setup'!$K$3&amp;'Funnel setup'!$K$4&amp;'Funnel setup'!$K$5,".",IF(A1678=".",1,A1678+1))</f>
        <v>.</v>
      </c>
      <c r="B1679" s="431" t="str">
        <f t="shared" si="26"/>
        <v>Hip Replacement PrimaryProviderCALDERDALE AND HUDDERSFIELD NHS FOUNDATION TRUST (RWY)EQ VAS</v>
      </c>
      <c r="C1679" t="s">
        <v>248</v>
      </c>
      <c r="D1679" t="s">
        <v>1</v>
      </c>
      <c r="E1679" t="s">
        <v>3379</v>
      </c>
      <c r="F1679" t="s">
        <v>3380</v>
      </c>
      <c r="G1679" t="s">
        <v>179</v>
      </c>
      <c r="H1679">
        <v>230</v>
      </c>
      <c r="I1679">
        <v>65.216999999999999</v>
      </c>
      <c r="J1679">
        <v>77.296000000000006</v>
      </c>
      <c r="K1679">
        <v>12.077999999999999</v>
      </c>
      <c r="L1679">
        <v>149</v>
      </c>
      <c r="M1679">
        <v>25</v>
      </c>
      <c r="N1679">
        <v>56</v>
      </c>
      <c r="O1679">
        <v>78.034999999999997</v>
      </c>
      <c r="P1679">
        <v>12.531016729999999</v>
      </c>
      <c r="Q1679">
        <v>15.225</v>
      </c>
    </row>
    <row r="1680" spans="1:17" x14ac:dyDescent="0.2">
      <c r="A1680" s="30" t="str">
        <f>IF(C1680&amp;G1680&amp;D1680&lt;&gt;'Funnel setup'!$K$3&amp;'Funnel setup'!$K$4&amp;'Funnel setup'!$K$5,".",IF(A1679=".",1,A1679+1))</f>
        <v>.</v>
      </c>
      <c r="B1680" s="431" t="str">
        <f t="shared" si="26"/>
        <v>Hip Replacement PrimaryProviderCAMBRIDGE UNIVERSITY HOSPITALS NHS FOUNDATION TRUST (RGT)EQ VAS</v>
      </c>
      <c r="C1680" t="s">
        <v>248</v>
      </c>
      <c r="D1680" t="s">
        <v>1</v>
      </c>
      <c r="E1680" t="s">
        <v>3076</v>
      </c>
      <c r="F1680" t="s">
        <v>3077</v>
      </c>
      <c r="G1680" t="s">
        <v>179</v>
      </c>
      <c r="H1680">
        <v>216</v>
      </c>
      <c r="I1680">
        <v>62.62</v>
      </c>
      <c r="J1680">
        <v>79.069000000000003</v>
      </c>
      <c r="K1680">
        <v>16.449000000000002</v>
      </c>
      <c r="L1680">
        <v>157</v>
      </c>
      <c r="M1680">
        <v>21</v>
      </c>
      <c r="N1680">
        <v>38</v>
      </c>
      <c r="O1680">
        <v>79.162999999999997</v>
      </c>
      <c r="P1680">
        <v>13.65862108</v>
      </c>
      <c r="Q1680">
        <v>15.131</v>
      </c>
    </row>
    <row r="1681" spans="1:17" x14ac:dyDescent="0.2">
      <c r="A1681" s="30" t="str">
        <f>IF(C1681&amp;G1681&amp;D1681&lt;&gt;'Funnel setup'!$K$3&amp;'Funnel setup'!$K$4&amp;'Funnel setup'!$K$5,".",IF(A1680=".",1,A1680+1))</f>
        <v>.</v>
      </c>
      <c r="B1681" s="431" t="str">
        <f t="shared" si="26"/>
        <v>Hip Replacement PrimaryProviderCENTRAL MANCHESTER UNIVERSITY HOSPITALS NHS FOUNDATION TRUST (RW3)EQ VAS</v>
      </c>
      <c r="C1681" t="s">
        <v>248</v>
      </c>
      <c r="D1681" t="s">
        <v>1</v>
      </c>
      <c r="E1681" t="s">
        <v>3079</v>
      </c>
      <c r="F1681" t="s">
        <v>3080</v>
      </c>
      <c r="G1681" t="s">
        <v>179</v>
      </c>
      <c r="H1681">
        <v>48</v>
      </c>
      <c r="I1681">
        <v>66.063000000000002</v>
      </c>
      <c r="J1681">
        <v>78.207999999999998</v>
      </c>
      <c r="K1681">
        <v>12.146000000000001</v>
      </c>
      <c r="L1681">
        <v>34</v>
      </c>
      <c r="M1681">
        <v>5</v>
      </c>
      <c r="N1681">
        <v>9</v>
      </c>
      <c r="O1681">
        <v>78.397000000000006</v>
      </c>
      <c r="P1681">
        <v>12.89264185</v>
      </c>
      <c r="Q1681">
        <v>14.775</v>
      </c>
    </row>
    <row r="1682" spans="1:17" x14ac:dyDescent="0.2">
      <c r="A1682" s="30" t="str">
        <f>IF(C1682&amp;G1682&amp;D1682&lt;&gt;'Funnel setup'!$K$3&amp;'Funnel setup'!$K$4&amp;'Funnel setup'!$K$5,".",IF(A1681=".",1,A1681+1))</f>
        <v>.</v>
      </c>
      <c r="B1682" s="431" t="str">
        <f t="shared" si="26"/>
        <v>Hip Replacement PrimaryProviderCHELSEA AND WESTMINSTER HOSPITAL NHS FOUNDATION TRUST (RQM)EQ VAS</v>
      </c>
      <c r="C1682" t="s">
        <v>248</v>
      </c>
      <c r="D1682" t="s">
        <v>1</v>
      </c>
      <c r="E1682" t="s">
        <v>3082</v>
      </c>
      <c r="F1682" t="s">
        <v>3083</v>
      </c>
      <c r="G1682" t="s">
        <v>179</v>
      </c>
      <c r="H1682">
        <v>23</v>
      </c>
      <c r="I1682">
        <v>59.304000000000002</v>
      </c>
      <c r="J1682">
        <v>78.043000000000006</v>
      </c>
      <c r="K1682">
        <v>18.739000000000001</v>
      </c>
      <c r="L1682">
        <v>16</v>
      </c>
      <c r="M1682">
        <v>5</v>
      </c>
      <c r="N1682">
        <v>2</v>
      </c>
      <c r="O1682" t="s">
        <v>53</v>
      </c>
      <c r="P1682" t="s">
        <v>53</v>
      </c>
      <c r="Q1682" t="s">
        <v>53</v>
      </c>
    </row>
    <row r="1683" spans="1:17" x14ac:dyDescent="0.2">
      <c r="A1683" s="30" t="str">
        <f>IF(C1683&amp;G1683&amp;D1683&lt;&gt;'Funnel setup'!$K$3&amp;'Funnel setup'!$K$4&amp;'Funnel setup'!$K$5,".",IF(A1682=".",1,A1682+1))</f>
        <v>.</v>
      </c>
      <c r="B1683" s="431" t="str">
        <f t="shared" si="26"/>
        <v>Hip Replacement PrimaryProviderCHESTERFIELD ROYAL HOSPITAL NHS FOUNDATION TRUST (RFS)EQ VAS</v>
      </c>
      <c r="C1683" t="s">
        <v>248</v>
      </c>
      <c r="D1683" t="s">
        <v>1</v>
      </c>
      <c r="E1683" t="s">
        <v>3085</v>
      </c>
      <c r="F1683" t="s">
        <v>3086</v>
      </c>
      <c r="G1683" t="s">
        <v>179</v>
      </c>
      <c r="H1683">
        <v>169</v>
      </c>
      <c r="I1683">
        <v>62.348999999999997</v>
      </c>
      <c r="J1683">
        <v>73.905000000000001</v>
      </c>
      <c r="K1683">
        <v>11.555999999999999</v>
      </c>
      <c r="L1683">
        <v>108</v>
      </c>
      <c r="M1683">
        <v>13</v>
      </c>
      <c r="N1683">
        <v>48</v>
      </c>
      <c r="O1683">
        <v>76.603999999999999</v>
      </c>
      <c r="P1683">
        <v>11.100011520000001</v>
      </c>
      <c r="Q1683">
        <v>15.765000000000001</v>
      </c>
    </row>
    <row r="1684" spans="1:17" x14ac:dyDescent="0.2">
      <c r="A1684" s="30" t="str">
        <f>IF(C1684&amp;G1684&amp;D1684&lt;&gt;'Funnel setup'!$K$3&amp;'Funnel setup'!$K$4&amp;'Funnel setup'!$K$5,".",IF(A1683=".",1,A1683+1))</f>
        <v>.</v>
      </c>
      <c r="B1684" s="431" t="str">
        <f t="shared" si="26"/>
        <v>Hip Replacement PrimaryProviderCIRCLE BATH HOSPITAL (NV302)EQ VAS</v>
      </c>
      <c r="C1684" t="s">
        <v>248</v>
      </c>
      <c r="D1684" t="s">
        <v>1</v>
      </c>
      <c r="E1684" t="s">
        <v>3097</v>
      </c>
      <c r="F1684" t="s">
        <v>3098</v>
      </c>
      <c r="G1684" t="s">
        <v>179</v>
      </c>
      <c r="H1684">
        <v>182</v>
      </c>
      <c r="I1684">
        <v>64.587999999999994</v>
      </c>
      <c r="J1684">
        <v>82.972999999999999</v>
      </c>
      <c r="K1684">
        <v>18.385000000000002</v>
      </c>
      <c r="L1684">
        <v>147</v>
      </c>
      <c r="M1684">
        <v>14</v>
      </c>
      <c r="N1684">
        <v>21</v>
      </c>
      <c r="O1684">
        <v>81.204999999999998</v>
      </c>
      <c r="P1684">
        <v>15.70116127</v>
      </c>
      <c r="Q1684">
        <v>13.28</v>
      </c>
    </row>
    <row r="1685" spans="1:17" x14ac:dyDescent="0.2">
      <c r="A1685" s="30" t="str">
        <f>IF(C1685&amp;G1685&amp;D1685&lt;&gt;'Funnel setup'!$K$3&amp;'Funnel setup'!$K$4&amp;'Funnel setup'!$K$5,".",IF(A1684=".",1,A1684+1))</f>
        <v>.</v>
      </c>
      <c r="B1685" s="431" t="str">
        <f t="shared" si="26"/>
        <v>Hip Replacement PrimaryProviderCIRCLE READING HOSPITAL (NV323)EQ VAS</v>
      </c>
      <c r="C1685" t="s">
        <v>248</v>
      </c>
      <c r="D1685" t="s">
        <v>1</v>
      </c>
      <c r="E1685" t="s">
        <v>3091</v>
      </c>
      <c r="F1685" t="s">
        <v>3092</v>
      </c>
      <c r="G1685" t="s">
        <v>179</v>
      </c>
      <c r="H1685">
        <v>100</v>
      </c>
      <c r="I1685">
        <v>70.180000000000007</v>
      </c>
      <c r="J1685">
        <v>76.89</v>
      </c>
      <c r="K1685">
        <v>6.71</v>
      </c>
      <c r="L1685">
        <v>57</v>
      </c>
      <c r="M1685">
        <v>12</v>
      </c>
      <c r="N1685">
        <v>31</v>
      </c>
      <c r="O1685">
        <v>72.716999999999999</v>
      </c>
      <c r="P1685">
        <v>7.2130375430000004</v>
      </c>
      <c r="Q1685">
        <v>16.509</v>
      </c>
    </row>
    <row r="1686" spans="1:17" x14ac:dyDescent="0.2">
      <c r="A1686" s="30" t="str">
        <f>IF(C1686&amp;G1686&amp;D1686&lt;&gt;'Funnel setup'!$K$3&amp;'Funnel setup'!$K$4&amp;'Funnel setup'!$K$5,".",IF(A1685=".",1,A1685+1))</f>
        <v>.</v>
      </c>
      <c r="B1686" s="431" t="str">
        <f t="shared" si="26"/>
        <v>Hip Replacement PrimaryProviderCITY HOSPITALS SUNDERLAND NHS FOUNDATION TRUST (RLN)EQ VAS</v>
      </c>
      <c r="C1686" t="s">
        <v>248</v>
      </c>
      <c r="D1686" t="s">
        <v>1</v>
      </c>
      <c r="E1686" t="s">
        <v>3100</v>
      </c>
      <c r="F1686" t="s">
        <v>3101</v>
      </c>
      <c r="G1686" t="s">
        <v>179</v>
      </c>
      <c r="H1686">
        <v>172</v>
      </c>
      <c r="I1686">
        <v>60.808</v>
      </c>
      <c r="J1686">
        <v>72.459000000000003</v>
      </c>
      <c r="K1686">
        <v>11.651</v>
      </c>
      <c r="L1686">
        <v>107</v>
      </c>
      <c r="M1686">
        <v>23</v>
      </c>
      <c r="N1686">
        <v>42</v>
      </c>
      <c r="O1686">
        <v>75.299000000000007</v>
      </c>
      <c r="P1686">
        <v>9.7944243069999999</v>
      </c>
      <c r="Q1686">
        <v>18.048999999999999</v>
      </c>
    </row>
    <row r="1687" spans="1:17" x14ac:dyDescent="0.2">
      <c r="A1687" s="30" t="str">
        <f>IF(C1687&amp;G1687&amp;D1687&lt;&gt;'Funnel setup'!$K$3&amp;'Funnel setup'!$K$4&amp;'Funnel setup'!$K$5,".",IF(A1686=".",1,A1686+1))</f>
        <v>.</v>
      </c>
      <c r="B1687" s="431" t="str">
        <f t="shared" si="26"/>
        <v>Hip Replacement PrimaryProviderCLIFTON PARK HOSPITAL (NVC28)EQ VAS</v>
      </c>
      <c r="C1687" t="s">
        <v>248</v>
      </c>
      <c r="D1687" t="s">
        <v>1</v>
      </c>
      <c r="E1687" t="s">
        <v>4229</v>
      </c>
      <c r="F1687" t="s">
        <v>4230</v>
      </c>
      <c r="G1687" t="s">
        <v>179</v>
      </c>
      <c r="H1687">
        <v>237</v>
      </c>
      <c r="I1687">
        <v>70.400999999999996</v>
      </c>
      <c r="J1687">
        <v>81.025000000000006</v>
      </c>
      <c r="K1687">
        <v>10.624000000000001</v>
      </c>
      <c r="L1687">
        <v>163</v>
      </c>
      <c r="M1687">
        <v>24</v>
      </c>
      <c r="N1687">
        <v>50</v>
      </c>
      <c r="O1687">
        <v>77.641000000000005</v>
      </c>
      <c r="P1687">
        <v>12.13622705</v>
      </c>
      <c r="Q1687">
        <v>14.504</v>
      </c>
    </row>
    <row r="1688" spans="1:17" x14ac:dyDescent="0.2">
      <c r="A1688" s="30" t="str">
        <f>IF(C1688&amp;G1688&amp;D1688&lt;&gt;'Funnel setup'!$K$3&amp;'Funnel setup'!$K$4&amp;'Funnel setup'!$K$5,".",IF(A1687=".",1,A1687+1))</f>
        <v>.</v>
      </c>
      <c r="B1688" s="431" t="str">
        <f t="shared" si="26"/>
        <v>Hip Replacement PrimaryProviderCOLCHESTER HOSPITAL UNIVERSITY NHS FOUNDATION TRUST (RDE)EQ VAS</v>
      </c>
      <c r="C1688" t="s">
        <v>248</v>
      </c>
      <c r="D1688" t="s">
        <v>1</v>
      </c>
      <c r="E1688" t="s">
        <v>3109</v>
      </c>
      <c r="F1688" t="s">
        <v>3110</v>
      </c>
      <c r="G1688" t="s">
        <v>179</v>
      </c>
      <c r="H1688">
        <v>164</v>
      </c>
      <c r="I1688">
        <v>59.78</v>
      </c>
      <c r="J1688">
        <v>74.944999999999993</v>
      </c>
      <c r="K1688">
        <v>15.164999999999999</v>
      </c>
      <c r="L1688">
        <v>120</v>
      </c>
      <c r="M1688">
        <v>17</v>
      </c>
      <c r="N1688">
        <v>27</v>
      </c>
      <c r="O1688">
        <v>78.212999999999994</v>
      </c>
      <c r="P1688">
        <v>12.708593970000001</v>
      </c>
      <c r="Q1688">
        <v>15.271000000000001</v>
      </c>
    </row>
    <row r="1689" spans="1:17" x14ac:dyDescent="0.2">
      <c r="A1689" s="30" t="str">
        <f>IF(C1689&amp;G1689&amp;D1689&lt;&gt;'Funnel setup'!$K$3&amp;'Funnel setup'!$K$4&amp;'Funnel setup'!$K$5,".",IF(A1688=".",1,A1688+1))</f>
        <v>.</v>
      </c>
      <c r="B1689" s="431" t="str">
        <f t="shared" si="26"/>
        <v>Hip Replacement PrimaryProviderCOUNTESS OF CHESTER HOSPITAL NHS FOUNDATION TRUST (RJR)EQ VAS</v>
      </c>
      <c r="C1689" t="s">
        <v>248</v>
      </c>
      <c r="D1689" t="s">
        <v>1</v>
      </c>
      <c r="E1689" t="s">
        <v>3781</v>
      </c>
      <c r="F1689" t="s">
        <v>3782</v>
      </c>
      <c r="G1689" t="s">
        <v>179</v>
      </c>
      <c r="H1689">
        <v>69</v>
      </c>
      <c r="I1689">
        <v>62.942</v>
      </c>
      <c r="J1689">
        <v>75.551000000000002</v>
      </c>
      <c r="K1689">
        <v>12.609</v>
      </c>
      <c r="L1689">
        <v>52</v>
      </c>
      <c r="M1689">
        <v>7</v>
      </c>
      <c r="N1689">
        <v>10</v>
      </c>
      <c r="O1689">
        <v>77.867000000000004</v>
      </c>
      <c r="P1689">
        <v>12.36257367</v>
      </c>
      <c r="Q1689">
        <v>15.779</v>
      </c>
    </row>
    <row r="1690" spans="1:17" x14ac:dyDescent="0.2">
      <c r="A1690" s="30" t="str">
        <f>IF(C1690&amp;G1690&amp;D1690&lt;&gt;'Funnel setup'!$K$3&amp;'Funnel setup'!$K$4&amp;'Funnel setup'!$K$5,".",IF(A1689=".",1,A1689+1))</f>
        <v>.</v>
      </c>
      <c r="B1690" s="431" t="str">
        <f t="shared" si="26"/>
        <v>Hip Replacement PrimaryProviderCOUNTY DURHAM AND DARLINGTON NHS FOUNDATION TRUST (RXP)EQ VAS</v>
      </c>
      <c r="C1690" t="s">
        <v>248</v>
      </c>
      <c r="D1690" t="s">
        <v>1</v>
      </c>
      <c r="E1690" t="s">
        <v>3784</v>
      </c>
      <c r="F1690" t="s">
        <v>3785</v>
      </c>
      <c r="G1690" t="s">
        <v>179</v>
      </c>
      <c r="H1690">
        <v>224</v>
      </c>
      <c r="I1690">
        <v>61.563000000000002</v>
      </c>
      <c r="J1690">
        <v>73.388000000000005</v>
      </c>
      <c r="K1690">
        <v>11.826000000000001</v>
      </c>
      <c r="L1690">
        <v>140</v>
      </c>
      <c r="M1690">
        <v>26</v>
      </c>
      <c r="N1690">
        <v>58</v>
      </c>
      <c r="O1690">
        <v>76.02</v>
      </c>
      <c r="P1690">
        <v>10.51534238</v>
      </c>
      <c r="Q1690">
        <v>16.888000000000002</v>
      </c>
    </row>
    <row r="1691" spans="1:17" x14ac:dyDescent="0.2">
      <c r="A1691" s="30" t="str">
        <f>IF(C1691&amp;G1691&amp;D1691&lt;&gt;'Funnel setup'!$K$3&amp;'Funnel setup'!$K$4&amp;'Funnel setup'!$K$5,".",IF(A1690=".",1,A1690+1))</f>
        <v>.</v>
      </c>
      <c r="B1691" s="431" t="str">
        <f t="shared" si="26"/>
        <v>Hip Replacement PrimaryProviderDARTFORD AND GRAVESHAM NHS TRUST (RN7)EQ VAS</v>
      </c>
      <c r="C1691" t="s">
        <v>248</v>
      </c>
      <c r="D1691" t="s">
        <v>1</v>
      </c>
      <c r="E1691" t="s">
        <v>3787</v>
      </c>
      <c r="F1691" t="s">
        <v>3788</v>
      </c>
      <c r="G1691" t="s">
        <v>179</v>
      </c>
      <c r="H1691">
        <v>138</v>
      </c>
      <c r="I1691">
        <v>67.435000000000002</v>
      </c>
      <c r="J1691">
        <v>77.927999999999997</v>
      </c>
      <c r="K1691">
        <v>10.493</v>
      </c>
      <c r="L1691">
        <v>86</v>
      </c>
      <c r="M1691">
        <v>14</v>
      </c>
      <c r="N1691">
        <v>38</v>
      </c>
      <c r="O1691">
        <v>78.241</v>
      </c>
      <c r="P1691">
        <v>12.7368712</v>
      </c>
      <c r="Q1691">
        <v>16.068999999999999</v>
      </c>
    </row>
    <row r="1692" spans="1:17" x14ac:dyDescent="0.2">
      <c r="A1692" s="30" t="str">
        <f>IF(C1692&amp;G1692&amp;D1692&lt;&gt;'Funnel setup'!$K$3&amp;'Funnel setup'!$K$4&amp;'Funnel setup'!$K$5,".",IF(A1691=".",1,A1691+1))</f>
        <v>.</v>
      </c>
      <c r="B1692" s="431" t="str">
        <f t="shared" si="26"/>
        <v>Hip Replacement PrimaryProviderDERBY TEACHING HOSPITALS NHS FOUNDATION TRUST (RTG)EQ VAS</v>
      </c>
      <c r="C1692" t="s">
        <v>248</v>
      </c>
      <c r="D1692" t="s">
        <v>1</v>
      </c>
      <c r="E1692" t="s">
        <v>3790</v>
      </c>
      <c r="F1692" t="s">
        <v>3791</v>
      </c>
      <c r="G1692" t="s">
        <v>179</v>
      </c>
      <c r="H1692">
        <v>351</v>
      </c>
      <c r="I1692">
        <v>64.900000000000006</v>
      </c>
      <c r="J1692">
        <v>75.882999999999996</v>
      </c>
      <c r="K1692">
        <v>10.983000000000001</v>
      </c>
      <c r="L1692">
        <v>226</v>
      </c>
      <c r="M1692">
        <v>31</v>
      </c>
      <c r="N1692">
        <v>94</v>
      </c>
      <c r="O1692">
        <v>76.277000000000001</v>
      </c>
      <c r="P1692">
        <v>10.772654279999999</v>
      </c>
      <c r="Q1692">
        <v>15.436999999999999</v>
      </c>
    </row>
    <row r="1693" spans="1:17" x14ac:dyDescent="0.2">
      <c r="A1693" s="30" t="str">
        <f>IF(C1693&amp;G1693&amp;D1693&lt;&gt;'Funnel setup'!$K$3&amp;'Funnel setup'!$K$4&amp;'Funnel setup'!$K$5,".",IF(A1692=".",1,A1692+1))</f>
        <v>.</v>
      </c>
      <c r="B1693" s="431" t="str">
        <f t="shared" si="26"/>
        <v>Hip Replacement PrimaryProviderDONCASTER AND BASSETLAW HOSPITALS NHS FOUNDATION TRUST (RP5)EQ VAS</v>
      </c>
      <c r="C1693" t="s">
        <v>248</v>
      </c>
      <c r="D1693" t="s">
        <v>1</v>
      </c>
      <c r="E1693" t="s">
        <v>3799</v>
      </c>
      <c r="F1693" t="s">
        <v>3800</v>
      </c>
      <c r="G1693" t="s">
        <v>179</v>
      </c>
      <c r="H1693">
        <v>254</v>
      </c>
      <c r="I1693">
        <v>62.122</v>
      </c>
      <c r="J1693">
        <v>75.78</v>
      </c>
      <c r="K1693">
        <v>13.657</v>
      </c>
      <c r="L1693">
        <v>165</v>
      </c>
      <c r="M1693">
        <v>34</v>
      </c>
      <c r="N1693">
        <v>55</v>
      </c>
      <c r="O1693">
        <v>78.831000000000003</v>
      </c>
      <c r="P1693">
        <v>13.32663296</v>
      </c>
      <c r="Q1693">
        <v>15.289</v>
      </c>
    </row>
    <row r="1694" spans="1:17" x14ac:dyDescent="0.2">
      <c r="A1694" s="30" t="str">
        <f>IF(C1694&amp;G1694&amp;D1694&lt;&gt;'Funnel setup'!$K$3&amp;'Funnel setup'!$K$4&amp;'Funnel setup'!$K$5,".",IF(A1693=".",1,A1693+1))</f>
        <v>.</v>
      </c>
      <c r="B1694" s="431" t="str">
        <f t="shared" si="26"/>
        <v>Hip Replacement PrimaryProviderDORSET COUNTY HOSPITAL NHS FOUNDATION TRUST (RBD)EQ VAS</v>
      </c>
      <c r="C1694" t="s">
        <v>248</v>
      </c>
      <c r="D1694" t="s">
        <v>1</v>
      </c>
      <c r="E1694" t="s">
        <v>3802</v>
      </c>
      <c r="F1694" t="s">
        <v>3803</v>
      </c>
      <c r="G1694" t="s">
        <v>179</v>
      </c>
      <c r="H1694">
        <v>165</v>
      </c>
      <c r="I1694">
        <v>68.048000000000002</v>
      </c>
      <c r="J1694">
        <v>78.048000000000002</v>
      </c>
      <c r="K1694">
        <v>10</v>
      </c>
      <c r="L1694">
        <v>97</v>
      </c>
      <c r="M1694">
        <v>30</v>
      </c>
      <c r="N1694">
        <v>38</v>
      </c>
      <c r="O1694">
        <v>77.558999999999997</v>
      </c>
      <c r="P1694">
        <v>12.05497445</v>
      </c>
      <c r="Q1694">
        <v>15.000999999999999</v>
      </c>
    </row>
    <row r="1695" spans="1:17" x14ac:dyDescent="0.2">
      <c r="A1695" s="30" t="str">
        <f>IF(C1695&amp;G1695&amp;D1695&lt;&gt;'Funnel setup'!$K$3&amp;'Funnel setup'!$K$4&amp;'Funnel setup'!$K$5,".",IF(A1694=".",1,A1694+1))</f>
        <v>.</v>
      </c>
      <c r="B1695" s="431" t="str">
        <f t="shared" si="26"/>
        <v>Hip Replacement PrimaryProviderDUCHY HOSPITAL (NVC04)EQ VAS</v>
      </c>
      <c r="C1695" t="s">
        <v>248</v>
      </c>
      <c r="D1695" t="s">
        <v>1</v>
      </c>
      <c r="E1695" t="s">
        <v>4518</v>
      </c>
      <c r="F1695" t="s">
        <v>4519</v>
      </c>
      <c r="G1695" t="s">
        <v>179</v>
      </c>
      <c r="H1695">
        <v>333</v>
      </c>
      <c r="I1695">
        <v>69.465000000000003</v>
      </c>
      <c r="J1695">
        <v>80.260999999999996</v>
      </c>
      <c r="K1695">
        <v>10.795999999999999</v>
      </c>
      <c r="L1695">
        <v>224</v>
      </c>
      <c r="M1695">
        <v>36</v>
      </c>
      <c r="N1695">
        <v>73</v>
      </c>
      <c r="O1695">
        <v>78.227999999999994</v>
      </c>
      <c r="P1695">
        <v>12.72324704</v>
      </c>
      <c r="Q1695">
        <v>15.231999999999999</v>
      </c>
    </row>
    <row r="1696" spans="1:17" x14ac:dyDescent="0.2">
      <c r="A1696" s="30" t="str">
        <f>IF(C1696&amp;G1696&amp;D1696&lt;&gt;'Funnel setup'!$K$3&amp;'Funnel setup'!$K$4&amp;'Funnel setup'!$K$5,".",IF(A1695=".",1,A1695+1))</f>
        <v>.</v>
      </c>
      <c r="B1696" s="431" t="str">
        <f t="shared" si="26"/>
        <v>Hip Replacement PrimaryProviderEAST AND NORTH HERTFORDSHIRE NHS TRUST (RWH)EQ VAS</v>
      </c>
      <c r="C1696" t="s">
        <v>248</v>
      </c>
      <c r="D1696" t="s">
        <v>1</v>
      </c>
      <c r="E1696" t="s">
        <v>3814</v>
      </c>
      <c r="F1696" t="s">
        <v>3815</v>
      </c>
      <c r="G1696" t="s">
        <v>179</v>
      </c>
      <c r="H1696">
        <v>142</v>
      </c>
      <c r="I1696">
        <v>64.423000000000002</v>
      </c>
      <c r="J1696">
        <v>75.858999999999995</v>
      </c>
      <c r="K1696">
        <v>11.436999999999999</v>
      </c>
      <c r="L1696">
        <v>98</v>
      </c>
      <c r="M1696">
        <v>14</v>
      </c>
      <c r="N1696">
        <v>30</v>
      </c>
      <c r="O1696">
        <v>76.369</v>
      </c>
      <c r="P1696">
        <v>10.865090800000001</v>
      </c>
      <c r="Q1696">
        <v>19.027000000000001</v>
      </c>
    </row>
    <row r="1697" spans="1:17" x14ac:dyDescent="0.2">
      <c r="A1697" s="30" t="str">
        <f>IF(C1697&amp;G1697&amp;D1697&lt;&gt;'Funnel setup'!$K$3&amp;'Funnel setup'!$K$4&amp;'Funnel setup'!$K$5,".",IF(A1696=".",1,A1696+1))</f>
        <v>.</v>
      </c>
      <c r="B1697" s="431" t="str">
        <f t="shared" si="26"/>
        <v>Hip Replacement PrimaryProviderEAST CHESHIRE NHS TRUST (RJN)EQ VAS</v>
      </c>
      <c r="C1697" t="s">
        <v>248</v>
      </c>
      <c r="D1697" t="s">
        <v>1</v>
      </c>
      <c r="E1697" t="s">
        <v>3817</v>
      </c>
      <c r="F1697" t="s">
        <v>3818</v>
      </c>
      <c r="G1697" t="s">
        <v>179</v>
      </c>
      <c r="H1697">
        <v>80</v>
      </c>
      <c r="I1697">
        <v>67.962999999999994</v>
      </c>
      <c r="J1697">
        <v>74.075000000000003</v>
      </c>
      <c r="K1697">
        <v>6.1120000000000001</v>
      </c>
      <c r="L1697">
        <v>42</v>
      </c>
      <c r="M1697">
        <v>11</v>
      </c>
      <c r="N1697">
        <v>27</v>
      </c>
      <c r="O1697">
        <v>75.06</v>
      </c>
      <c r="P1697">
        <v>9.5552601159999995</v>
      </c>
      <c r="Q1697">
        <v>17.036999999999999</v>
      </c>
    </row>
    <row r="1698" spans="1:17" x14ac:dyDescent="0.2">
      <c r="A1698" s="30" t="str">
        <f>IF(C1698&amp;G1698&amp;D1698&lt;&gt;'Funnel setup'!$K$3&amp;'Funnel setup'!$K$4&amp;'Funnel setup'!$K$5,".",IF(A1697=".",1,A1697+1))</f>
        <v>.</v>
      </c>
      <c r="B1698" s="431" t="str">
        <f t="shared" si="26"/>
        <v>Hip Replacement PrimaryProviderEAST KENT HOSPITALS UNIVERSITY NHS FOUNDATION TRUST (RVV)EQ VAS</v>
      </c>
      <c r="C1698" t="s">
        <v>248</v>
      </c>
      <c r="D1698" t="s">
        <v>1</v>
      </c>
      <c r="E1698" t="s">
        <v>3820</v>
      </c>
      <c r="F1698" t="s">
        <v>3821</v>
      </c>
      <c r="G1698" t="s">
        <v>179</v>
      </c>
      <c r="H1698">
        <v>289</v>
      </c>
      <c r="I1698">
        <v>65.317999999999998</v>
      </c>
      <c r="J1698">
        <v>78.36</v>
      </c>
      <c r="K1698">
        <v>13.042</v>
      </c>
      <c r="L1698">
        <v>193</v>
      </c>
      <c r="M1698">
        <v>30</v>
      </c>
      <c r="N1698">
        <v>66</v>
      </c>
      <c r="O1698">
        <v>79.040999999999997</v>
      </c>
      <c r="P1698">
        <v>13.53685484</v>
      </c>
      <c r="Q1698">
        <v>13.555999999999999</v>
      </c>
    </row>
    <row r="1699" spans="1:17" x14ac:dyDescent="0.2">
      <c r="A1699" s="30" t="str">
        <f>IF(C1699&amp;G1699&amp;D1699&lt;&gt;'Funnel setup'!$K$3&amp;'Funnel setup'!$K$4&amp;'Funnel setup'!$K$5,".",IF(A1698=".",1,A1698+1))</f>
        <v>.</v>
      </c>
      <c r="B1699" s="431" t="str">
        <f t="shared" si="26"/>
        <v>Hip Replacement PrimaryProviderEAST LANCASHIRE HOSPITALS NHS TRUST (RXR)EQ VAS</v>
      </c>
      <c r="C1699" t="s">
        <v>248</v>
      </c>
      <c r="D1699" t="s">
        <v>1</v>
      </c>
      <c r="E1699" t="s">
        <v>3823</v>
      </c>
      <c r="F1699" t="s">
        <v>3824</v>
      </c>
      <c r="G1699" t="s">
        <v>179</v>
      </c>
      <c r="H1699">
        <v>141</v>
      </c>
      <c r="I1699">
        <v>61.475000000000001</v>
      </c>
      <c r="J1699">
        <v>76.397000000000006</v>
      </c>
      <c r="K1699">
        <v>14.922000000000001</v>
      </c>
      <c r="L1699">
        <v>102</v>
      </c>
      <c r="M1699">
        <v>8</v>
      </c>
      <c r="N1699">
        <v>31</v>
      </c>
      <c r="O1699">
        <v>78.813999999999993</v>
      </c>
      <c r="P1699">
        <v>13.30953804</v>
      </c>
      <c r="Q1699">
        <v>15.381</v>
      </c>
    </row>
    <row r="1700" spans="1:17" x14ac:dyDescent="0.2">
      <c r="A1700" s="30" t="str">
        <f>IF(C1700&amp;G1700&amp;D1700&lt;&gt;'Funnel setup'!$K$3&amp;'Funnel setup'!$K$4&amp;'Funnel setup'!$K$5,".",IF(A1699=".",1,A1699+1))</f>
        <v>.</v>
      </c>
      <c r="B1700" s="431" t="str">
        <f t="shared" si="26"/>
        <v>Hip Replacement PrimaryProviderEAST SUSSEX HEALTHCARE NHS TRUST (RXC)EQ VAS</v>
      </c>
      <c r="C1700" t="s">
        <v>248</v>
      </c>
      <c r="D1700" t="s">
        <v>1</v>
      </c>
      <c r="E1700" t="s">
        <v>3826</v>
      </c>
      <c r="F1700" t="s">
        <v>3827</v>
      </c>
      <c r="G1700" t="s">
        <v>179</v>
      </c>
      <c r="H1700">
        <v>203</v>
      </c>
      <c r="I1700">
        <v>63.468000000000004</v>
      </c>
      <c r="J1700">
        <v>75.388999999999996</v>
      </c>
      <c r="K1700">
        <v>11.920999999999999</v>
      </c>
      <c r="L1700">
        <v>129</v>
      </c>
      <c r="M1700">
        <v>20</v>
      </c>
      <c r="N1700">
        <v>54</v>
      </c>
      <c r="O1700">
        <v>77.417000000000002</v>
      </c>
      <c r="P1700">
        <v>11.91303774</v>
      </c>
      <c r="Q1700">
        <v>14.521000000000001</v>
      </c>
    </row>
    <row r="1701" spans="1:17" x14ac:dyDescent="0.2">
      <c r="A1701" s="30" t="str">
        <f>IF(C1701&amp;G1701&amp;D1701&lt;&gt;'Funnel setup'!$K$3&amp;'Funnel setup'!$K$4&amp;'Funnel setup'!$K$5,".",IF(A1700=".",1,A1700+1))</f>
        <v>.</v>
      </c>
      <c r="B1701" s="431" t="str">
        <f t="shared" si="26"/>
        <v>Hip Replacement PrimaryProviderEMERSONS GREEN NHS TREATMENT CENTRE (NTPH2)EQ VAS</v>
      </c>
      <c r="C1701" t="s">
        <v>248</v>
      </c>
      <c r="D1701" t="s">
        <v>1</v>
      </c>
      <c r="E1701" t="s">
        <v>3829</v>
      </c>
      <c r="F1701" t="s">
        <v>3830</v>
      </c>
      <c r="G1701" t="s">
        <v>179</v>
      </c>
      <c r="H1701">
        <v>341</v>
      </c>
      <c r="I1701">
        <v>73.018000000000001</v>
      </c>
      <c r="J1701">
        <v>82.173000000000002</v>
      </c>
      <c r="K1701">
        <v>9.1549999999999994</v>
      </c>
      <c r="L1701">
        <v>221</v>
      </c>
      <c r="M1701">
        <v>43</v>
      </c>
      <c r="N1701">
        <v>77</v>
      </c>
      <c r="O1701">
        <v>78.513999999999996</v>
      </c>
      <c r="P1701">
        <v>13.009437330000001</v>
      </c>
      <c r="Q1701">
        <v>13.727</v>
      </c>
    </row>
    <row r="1702" spans="1:17" x14ac:dyDescent="0.2">
      <c r="A1702" s="30" t="str">
        <f>IF(C1702&amp;G1702&amp;D1702&lt;&gt;'Funnel setup'!$K$3&amp;'Funnel setup'!$K$4&amp;'Funnel setup'!$K$5,".",IF(A1701=".",1,A1701+1))</f>
        <v>.</v>
      </c>
      <c r="B1702" s="431" t="str">
        <f t="shared" si="26"/>
        <v>Hip Replacement PrimaryProviderEPSOM AND ST HELIER UNIVERSITY HOSPITALS NHS TRUST (RVR)EQ VAS</v>
      </c>
      <c r="C1702" t="s">
        <v>248</v>
      </c>
      <c r="D1702" t="s">
        <v>1</v>
      </c>
      <c r="E1702" t="s">
        <v>3849</v>
      </c>
      <c r="F1702" t="s">
        <v>3850</v>
      </c>
      <c r="G1702" t="s">
        <v>179</v>
      </c>
      <c r="H1702">
        <v>614</v>
      </c>
      <c r="I1702">
        <v>67.242999999999995</v>
      </c>
      <c r="J1702">
        <v>78.986999999999995</v>
      </c>
      <c r="K1702">
        <v>11.744</v>
      </c>
      <c r="L1702">
        <v>413</v>
      </c>
      <c r="M1702">
        <v>73</v>
      </c>
      <c r="N1702">
        <v>128</v>
      </c>
      <c r="O1702">
        <v>78.073999999999998</v>
      </c>
      <c r="P1702">
        <v>12.57004822</v>
      </c>
      <c r="Q1702">
        <v>14.818</v>
      </c>
    </row>
    <row r="1703" spans="1:17" x14ac:dyDescent="0.2">
      <c r="A1703" s="30" t="str">
        <f>IF(C1703&amp;G1703&amp;D1703&lt;&gt;'Funnel setup'!$K$3&amp;'Funnel setup'!$K$4&amp;'Funnel setup'!$K$5,".",IF(A1702=".",1,A1702+1))</f>
        <v>.</v>
      </c>
      <c r="B1703" s="431" t="str">
        <f t="shared" si="26"/>
        <v>Hip Replacement PrimaryProviderEUXTON HALL HOSPITAL (NVC05)EQ VAS</v>
      </c>
      <c r="C1703" t="s">
        <v>248</v>
      </c>
      <c r="D1703" t="s">
        <v>1</v>
      </c>
      <c r="E1703" t="s">
        <v>3852</v>
      </c>
      <c r="F1703" t="s">
        <v>3853</v>
      </c>
      <c r="G1703" t="s">
        <v>179</v>
      </c>
      <c r="H1703">
        <v>66</v>
      </c>
      <c r="I1703">
        <v>69.787999999999997</v>
      </c>
      <c r="J1703">
        <v>81.817999999999998</v>
      </c>
      <c r="K1703">
        <v>12.03</v>
      </c>
      <c r="L1703">
        <v>43</v>
      </c>
      <c r="M1703">
        <v>5</v>
      </c>
      <c r="N1703">
        <v>18</v>
      </c>
      <c r="O1703">
        <v>79.212000000000003</v>
      </c>
      <c r="P1703">
        <v>13.70788525</v>
      </c>
      <c r="Q1703">
        <v>14.368</v>
      </c>
    </row>
    <row r="1704" spans="1:17" x14ac:dyDescent="0.2">
      <c r="A1704" s="30" t="str">
        <f>IF(C1704&amp;G1704&amp;D1704&lt;&gt;'Funnel setup'!$K$3&amp;'Funnel setup'!$K$4&amp;'Funnel setup'!$K$5,".",IF(A1703=".",1,A1703+1))</f>
        <v>.</v>
      </c>
      <c r="B1704" s="431" t="str">
        <f t="shared" si="26"/>
        <v>Hip Replacement PrimaryProviderFAIRFIELD HOSPITAL (NVG01)EQ VAS</v>
      </c>
      <c r="C1704" t="s">
        <v>248</v>
      </c>
      <c r="D1704" t="s">
        <v>1</v>
      </c>
      <c r="E1704" t="s">
        <v>3855</v>
      </c>
      <c r="F1704" t="s">
        <v>3856</v>
      </c>
      <c r="G1704" t="s">
        <v>179</v>
      </c>
      <c r="H1704" t="s">
        <v>53</v>
      </c>
      <c r="I1704" t="s">
        <v>53</v>
      </c>
      <c r="J1704" t="s">
        <v>53</v>
      </c>
      <c r="K1704" t="s">
        <v>53</v>
      </c>
      <c r="L1704" t="s">
        <v>53</v>
      </c>
      <c r="M1704" t="s">
        <v>53</v>
      </c>
      <c r="N1704" t="s">
        <v>53</v>
      </c>
      <c r="O1704" t="s">
        <v>53</v>
      </c>
      <c r="P1704" t="s">
        <v>53</v>
      </c>
      <c r="Q1704" t="s">
        <v>53</v>
      </c>
    </row>
    <row r="1705" spans="1:17" x14ac:dyDescent="0.2">
      <c r="A1705" s="30" t="str">
        <f>IF(C1705&amp;G1705&amp;D1705&lt;&gt;'Funnel setup'!$K$3&amp;'Funnel setup'!$K$4&amp;'Funnel setup'!$K$5,".",IF(A1704=".",1,A1704+1))</f>
        <v>.</v>
      </c>
      <c r="B1705" s="431" t="str">
        <f t="shared" si="26"/>
        <v>Hip Replacement PrimaryProviderFITZWILLIAM HOSPITAL (NVC06)EQ VAS</v>
      </c>
      <c r="C1705" t="s">
        <v>248</v>
      </c>
      <c r="D1705" t="s">
        <v>1</v>
      </c>
      <c r="E1705" t="s">
        <v>3858</v>
      </c>
      <c r="F1705" t="s">
        <v>3859</v>
      </c>
      <c r="G1705" t="s">
        <v>179</v>
      </c>
      <c r="H1705">
        <v>122</v>
      </c>
      <c r="I1705">
        <v>67.942999999999998</v>
      </c>
      <c r="J1705">
        <v>78.647999999999996</v>
      </c>
      <c r="K1705">
        <v>10.705</v>
      </c>
      <c r="L1705">
        <v>76</v>
      </c>
      <c r="M1705">
        <v>14</v>
      </c>
      <c r="N1705">
        <v>32</v>
      </c>
      <c r="O1705">
        <v>76.254999999999995</v>
      </c>
      <c r="P1705">
        <v>10.750336259999999</v>
      </c>
      <c r="Q1705">
        <v>14.723000000000001</v>
      </c>
    </row>
    <row r="1706" spans="1:17" x14ac:dyDescent="0.2">
      <c r="A1706" s="30" t="str">
        <f>IF(C1706&amp;G1706&amp;D1706&lt;&gt;'Funnel setup'!$K$3&amp;'Funnel setup'!$K$4&amp;'Funnel setup'!$K$5,".",IF(A1705=".",1,A1705+1))</f>
        <v>.</v>
      </c>
      <c r="B1706" s="431" t="str">
        <f t="shared" si="26"/>
        <v>Hip Replacement PrimaryProviderFOSCOTE COURT (BANBURY) TRUST LTD (AHH)EQ VAS</v>
      </c>
      <c r="C1706" t="s">
        <v>248</v>
      </c>
      <c r="D1706" t="s">
        <v>1</v>
      </c>
      <c r="E1706" t="s">
        <v>3900</v>
      </c>
      <c r="F1706" t="s">
        <v>3901</v>
      </c>
      <c r="G1706" t="s">
        <v>179</v>
      </c>
      <c r="H1706" t="s">
        <v>53</v>
      </c>
      <c r="I1706" t="s">
        <v>53</v>
      </c>
      <c r="J1706" t="s">
        <v>53</v>
      </c>
      <c r="K1706" t="s">
        <v>53</v>
      </c>
      <c r="L1706" t="s">
        <v>53</v>
      </c>
      <c r="M1706" t="s">
        <v>53</v>
      </c>
      <c r="N1706" t="s">
        <v>53</v>
      </c>
      <c r="O1706" t="s">
        <v>53</v>
      </c>
      <c r="P1706" t="s">
        <v>53</v>
      </c>
      <c r="Q1706" t="s">
        <v>53</v>
      </c>
    </row>
    <row r="1707" spans="1:17" x14ac:dyDescent="0.2">
      <c r="A1707" s="30" t="str">
        <f>IF(C1707&amp;G1707&amp;D1707&lt;&gt;'Funnel setup'!$K$3&amp;'Funnel setup'!$K$4&amp;'Funnel setup'!$K$5,".",IF(A1706=".",1,A1706+1))</f>
        <v>.</v>
      </c>
      <c r="B1707" s="431" t="str">
        <f t="shared" si="26"/>
        <v>Hip Replacement PrimaryProviderFRIMLEY HEALTH NHS FOUNDATION TRUST (RDU)EQ VAS</v>
      </c>
      <c r="C1707" t="s">
        <v>248</v>
      </c>
      <c r="D1707" t="s">
        <v>1</v>
      </c>
      <c r="E1707" t="s">
        <v>3861</v>
      </c>
      <c r="F1707" t="s">
        <v>3862</v>
      </c>
      <c r="G1707" t="s">
        <v>179</v>
      </c>
      <c r="H1707">
        <v>460</v>
      </c>
      <c r="I1707">
        <v>67.853999999999999</v>
      </c>
      <c r="J1707">
        <v>78.816999999999993</v>
      </c>
      <c r="K1707">
        <v>10.962999999999999</v>
      </c>
      <c r="L1707">
        <v>310</v>
      </c>
      <c r="M1707">
        <v>50</v>
      </c>
      <c r="N1707">
        <v>100</v>
      </c>
      <c r="O1707">
        <v>77.120999999999995</v>
      </c>
      <c r="P1707">
        <v>11.61679906</v>
      </c>
      <c r="Q1707">
        <v>14.612</v>
      </c>
    </row>
    <row r="1708" spans="1:17" x14ac:dyDescent="0.2">
      <c r="A1708" s="30" t="str">
        <f>IF(C1708&amp;G1708&amp;D1708&lt;&gt;'Funnel setup'!$K$3&amp;'Funnel setup'!$K$4&amp;'Funnel setup'!$K$5,".",IF(A1707=".",1,A1707+1))</f>
        <v>.</v>
      </c>
      <c r="B1708" s="431" t="str">
        <f t="shared" si="26"/>
        <v>Hip Replacement PrimaryProviderFULWOOD HALL HOSPITAL (NVC07)EQ VAS</v>
      </c>
      <c r="C1708" t="s">
        <v>248</v>
      </c>
      <c r="D1708" t="s">
        <v>1</v>
      </c>
      <c r="E1708" t="s">
        <v>3864</v>
      </c>
      <c r="F1708" t="s">
        <v>3865</v>
      </c>
      <c r="G1708" t="s">
        <v>179</v>
      </c>
      <c r="H1708">
        <v>174</v>
      </c>
      <c r="I1708">
        <v>64.971000000000004</v>
      </c>
      <c r="J1708">
        <v>74.924999999999997</v>
      </c>
      <c r="K1708">
        <v>9.9540000000000006</v>
      </c>
      <c r="L1708">
        <v>108</v>
      </c>
      <c r="M1708">
        <v>18</v>
      </c>
      <c r="N1708">
        <v>48</v>
      </c>
      <c r="O1708">
        <v>75.697000000000003</v>
      </c>
      <c r="P1708">
        <v>10.19314936</v>
      </c>
      <c r="Q1708">
        <v>16.117999999999999</v>
      </c>
    </row>
    <row r="1709" spans="1:17" x14ac:dyDescent="0.2">
      <c r="A1709" s="30" t="str">
        <f>IF(C1709&amp;G1709&amp;D1709&lt;&gt;'Funnel setup'!$K$3&amp;'Funnel setup'!$K$4&amp;'Funnel setup'!$K$5,".",IF(A1708=".",1,A1708+1))</f>
        <v>.</v>
      </c>
      <c r="B1709" s="431" t="str">
        <f t="shared" si="26"/>
        <v>Hip Replacement PrimaryProviderGATESHEAD HEALTH NHS FOUNDATION TRUST (RR7)EQ VAS</v>
      </c>
      <c r="C1709" t="s">
        <v>248</v>
      </c>
      <c r="D1709" t="s">
        <v>1</v>
      </c>
      <c r="E1709" t="s">
        <v>3867</v>
      </c>
      <c r="F1709" t="s">
        <v>3868</v>
      </c>
      <c r="G1709" t="s">
        <v>179</v>
      </c>
      <c r="H1709">
        <v>178</v>
      </c>
      <c r="I1709">
        <v>66.421000000000006</v>
      </c>
      <c r="J1709">
        <v>75.433000000000007</v>
      </c>
      <c r="K1709">
        <v>9.0109999999999992</v>
      </c>
      <c r="L1709">
        <v>106</v>
      </c>
      <c r="M1709">
        <v>22</v>
      </c>
      <c r="N1709">
        <v>50</v>
      </c>
      <c r="O1709">
        <v>75.893000000000001</v>
      </c>
      <c r="P1709">
        <v>10.38904425</v>
      </c>
      <c r="Q1709">
        <v>16.881</v>
      </c>
    </row>
    <row r="1710" spans="1:17" x14ac:dyDescent="0.2">
      <c r="A1710" s="30" t="str">
        <f>IF(C1710&amp;G1710&amp;D1710&lt;&gt;'Funnel setup'!$K$3&amp;'Funnel setup'!$K$4&amp;'Funnel setup'!$K$5,".",IF(A1709=".",1,A1709+1))</f>
        <v>.</v>
      </c>
      <c r="B1710" s="431" t="str">
        <f t="shared" si="26"/>
        <v>Hip Replacement PrimaryProviderGEORGE ELIOT HOSPITAL NHS TRUST (RLT)EQ VAS</v>
      </c>
      <c r="C1710" t="s">
        <v>248</v>
      </c>
      <c r="D1710" t="s">
        <v>1</v>
      </c>
      <c r="E1710" t="s">
        <v>3870</v>
      </c>
      <c r="F1710" t="s">
        <v>3871</v>
      </c>
      <c r="G1710" t="s">
        <v>179</v>
      </c>
      <c r="H1710">
        <v>54</v>
      </c>
      <c r="I1710">
        <v>66.667000000000002</v>
      </c>
      <c r="J1710">
        <v>74.296000000000006</v>
      </c>
      <c r="K1710">
        <v>7.63</v>
      </c>
      <c r="L1710">
        <v>26</v>
      </c>
      <c r="M1710">
        <v>13</v>
      </c>
      <c r="N1710">
        <v>15</v>
      </c>
      <c r="O1710">
        <v>73.215999999999994</v>
      </c>
      <c r="P1710">
        <v>7.7113826479999998</v>
      </c>
      <c r="Q1710">
        <v>18.439</v>
      </c>
    </row>
    <row r="1711" spans="1:17" x14ac:dyDescent="0.2">
      <c r="A1711" s="30" t="str">
        <f>IF(C1711&amp;G1711&amp;D1711&lt;&gt;'Funnel setup'!$K$3&amp;'Funnel setup'!$K$4&amp;'Funnel setup'!$K$5,".",IF(A1710=".",1,A1710+1))</f>
        <v>.</v>
      </c>
      <c r="B1711" s="431" t="str">
        <f t="shared" si="26"/>
        <v>Hip Replacement PrimaryProviderGLOUCESTERSHIRE HOSPITALS NHS FOUNDATION TRUST (RTE)EQ VAS</v>
      </c>
      <c r="C1711" t="s">
        <v>248</v>
      </c>
      <c r="D1711" t="s">
        <v>1</v>
      </c>
      <c r="E1711" t="s">
        <v>3873</v>
      </c>
      <c r="F1711" t="s">
        <v>3874</v>
      </c>
      <c r="G1711" t="s">
        <v>179</v>
      </c>
      <c r="H1711">
        <v>330</v>
      </c>
      <c r="I1711">
        <v>69.078999999999994</v>
      </c>
      <c r="J1711">
        <v>77.108999999999995</v>
      </c>
      <c r="K1711">
        <v>8.0299999999999994</v>
      </c>
      <c r="L1711">
        <v>210</v>
      </c>
      <c r="M1711">
        <v>32</v>
      </c>
      <c r="N1711">
        <v>88</v>
      </c>
      <c r="O1711">
        <v>75.543000000000006</v>
      </c>
      <c r="P1711">
        <v>10.03908434</v>
      </c>
      <c r="Q1711">
        <v>16.164999999999999</v>
      </c>
    </row>
    <row r="1712" spans="1:17" x14ac:dyDescent="0.2">
      <c r="A1712" s="30" t="str">
        <f>IF(C1712&amp;G1712&amp;D1712&lt;&gt;'Funnel setup'!$K$3&amp;'Funnel setup'!$K$4&amp;'Funnel setup'!$K$5,".",IF(A1711=".",1,A1711+1))</f>
        <v>.</v>
      </c>
      <c r="B1712" s="431" t="str">
        <f t="shared" si="26"/>
        <v>Hip Replacement PrimaryProviderGREAT WESTERN HOSPITALS NHS FOUNDATION TRUST (RN3)EQ VAS</v>
      </c>
      <c r="C1712" t="s">
        <v>248</v>
      </c>
      <c r="D1712" t="s">
        <v>1</v>
      </c>
      <c r="E1712" t="s">
        <v>3876</v>
      </c>
      <c r="F1712" t="s">
        <v>3877</v>
      </c>
      <c r="G1712" t="s">
        <v>179</v>
      </c>
      <c r="H1712">
        <v>219</v>
      </c>
      <c r="I1712">
        <v>64.795000000000002</v>
      </c>
      <c r="J1712">
        <v>76.959000000000003</v>
      </c>
      <c r="K1712">
        <v>12.164</v>
      </c>
      <c r="L1712">
        <v>139</v>
      </c>
      <c r="M1712">
        <v>28</v>
      </c>
      <c r="N1712">
        <v>52</v>
      </c>
      <c r="O1712">
        <v>77.591999999999999</v>
      </c>
      <c r="P1712">
        <v>12.08747333</v>
      </c>
      <c r="Q1712">
        <v>15.226000000000001</v>
      </c>
    </row>
    <row r="1713" spans="1:17" x14ac:dyDescent="0.2">
      <c r="A1713" s="30" t="str">
        <f>IF(C1713&amp;G1713&amp;D1713&lt;&gt;'Funnel setup'!$K$3&amp;'Funnel setup'!$K$4&amp;'Funnel setup'!$K$5,".",IF(A1712=".",1,A1712+1))</f>
        <v>.</v>
      </c>
      <c r="B1713" s="431" t="str">
        <f t="shared" si="26"/>
        <v>Hip Replacement PrimaryProviderGUY'S AND ST THOMAS' NHS FOUNDATION TRUST (RJ1)EQ VAS</v>
      </c>
      <c r="C1713" t="s">
        <v>248</v>
      </c>
      <c r="D1713" t="s">
        <v>1</v>
      </c>
      <c r="E1713" t="s">
        <v>3879</v>
      </c>
      <c r="F1713" t="s">
        <v>3880</v>
      </c>
      <c r="G1713" t="s">
        <v>179</v>
      </c>
      <c r="H1713">
        <v>116</v>
      </c>
      <c r="I1713">
        <v>60.982999999999997</v>
      </c>
      <c r="J1713">
        <v>77.465999999999994</v>
      </c>
      <c r="K1713">
        <v>16.483000000000001</v>
      </c>
      <c r="L1713">
        <v>84</v>
      </c>
      <c r="M1713">
        <v>15</v>
      </c>
      <c r="N1713">
        <v>17</v>
      </c>
      <c r="O1713">
        <v>77.757999999999996</v>
      </c>
      <c r="P1713">
        <v>12.25342002</v>
      </c>
      <c r="Q1713">
        <v>18.050999999999998</v>
      </c>
    </row>
    <row r="1714" spans="1:17" x14ac:dyDescent="0.2">
      <c r="A1714" s="30" t="str">
        <f>IF(C1714&amp;G1714&amp;D1714&lt;&gt;'Funnel setup'!$K$3&amp;'Funnel setup'!$K$4&amp;'Funnel setup'!$K$5,".",IF(A1713=".",1,A1713+1))</f>
        <v>.</v>
      </c>
      <c r="B1714" s="431" t="str">
        <f t="shared" si="26"/>
        <v>Hip Replacement PrimaryProviderHAMPSHIRE HOSPITALS NHS FOUNDATION TRUST (RN5)EQ VAS</v>
      </c>
      <c r="C1714" t="s">
        <v>248</v>
      </c>
      <c r="D1714" t="s">
        <v>1</v>
      </c>
      <c r="E1714" t="s">
        <v>3882</v>
      </c>
      <c r="F1714" t="s">
        <v>3883</v>
      </c>
      <c r="G1714" t="s">
        <v>179</v>
      </c>
      <c r="H1714">
        <v>282</v>
      </c>
      <c r="I1714">
        <v>70.566999999999993</v>
      </c>
      <c r="J1714">
        <v>79.078000000000003</v>
      </c>
      <c r="K1714">
        <v>8.5109999999999992</v>
      </c>
      <c r="L1714">
        <v>175</v>
      </c>
      <c r="M1714">
        <v>38</v>
      </c>
      <c r="N1714">
        <v>69</v>
      </c>
      <c r="O1714">
        <v>77.144000000000005</v>
      </c>
      <c r="P1714">
        <v>11.640160849999999</v>
      </c>
      <c r="Q1714">
        <v>14.332000000000001</v>
      </c>
    </row>
    <row r="1715" spans="1:17" x14ac:dyDescent="0.2">
      <c r="A1715" s="30" t="str">
        <f>IF(C1715&amp;G1715&amp;D1715&lt;&gt;'Funnel setup'!$K$3&amp;'Funnel setup'!$K$4&amp;'Funnel setup'!$K$5,".",IF(A1714=".",1,A1714+1))</f>
        <v>.</v>
      </c>
      <c r="B1715" s="431" t="str">
        <f t="shared" si="26"/>
        <v>Hip Replacement PrimaryProviderHARROGATE AND DISTRICT NHS FOUNDATION TRUST (RCD)EQ VAS</v>
      </c>
      <c r="C1715" t="s">
        <v>248</v>
      </c>
      <c r="D1715" t="s">
        <v>1</v>
      </c>
      <c r="E1715" t="s">
        <v>3885</v>
      </c>
      <c r="F1715" t="s">
        <v>3886</v>
      </c>
      <c r="G1715" t="s">
        <v>179</v>
      </c>
      <c r="H1715">
        <v>245</v>
      </c>
      <c r="I1715">
        <v>68.42</v>
      </c>
      <c r="J1715">
        <v>77.489999999999995</v>
      </c>
      <c r="K1715">
        <v>9.0690000000000008</v>
      </c>
      <c r="L1715">
        <v>155</v>
      </c>
      <c r="M1715">
        <v>22</v>
      </c>
      <c r="N1715">
        <v>68</v>
      </c>
      <c r="O1715">
        <v>75.736000000000004</v>
      </c>
      <c r="P1715">
        <v>10.23157853</v>
      </c>
      <c r="Q1715">
        <v>15.006</v>
      </c>
    </row>
    <row r="1716" spans="1:17" x14ac:dyDescent="0.2">
      <c r="A1716" s="30" t="str">
        <f>IF(C1716&amp;G1716&amp;D1716&lt;&gt;'Funnel setup'!$K$3&amp;'Funnel setup'!$K$4&amp;'Funnel setup'!$K$5,".",IF(A1715=".",1,A1715+1))</f>
        <v>.</v>
      </c>
      <c r="B1716" s="431" t="str">
        <f t="shared" si="26"/>
        <v>Hip Replacement PrimaryProviderHEART OF ENGLAND NHS FOUNDATION TRUST (RR1)EQ VAS</v>
      </c>
      <c r="C1716" t="s">
        <v>248</v>
      </c>
      <c r="D1716" t="s">
        <v>1</v>
      </c>
      <c r="E1716" t="s">
        <v>3888</v>
      </c>
      <c r="F1716" t="s">
        <v>3889</v>
      </c>
      <c r="G1716" t="s">
        <v>179</v>
      </c>
      <c r="H1716">
        <v>353</v>
      </c>
      <c r="I1716">
        <v>61.017000000000003</v>
      </c>
      <c r="J1716">
        <v>74.569000000000003</v>
      </c>
      <c r="K1716">
        <v>13.552</v>
      </c>
      <c r="L1716">
        <v>240</v>
      </c>
      <c r="M1716">
        <v>41</v>
      </c>
      <c r="N1716">
        <v>72</v>
      </c>
      <c r="O1716">
        <v>77.397999999999996</v>
      </c>
      <c r="P1716">
        <v>11.893923709999999</v>
      </c>
      <c r="Q1716">
        <v>17.215</v>
      </c>
    </row>
    <row r="1717" spans="1:17" x14ac:dyDescent="0.2">
      <c r="A1717" s="30" t="str">
        <f>IF(C1717&amp;G1717&amp;D1717&lt;&gt;'Funnel setup'!$K$3&amp;'Funnel setup'!$K$4&amp;'Funnel setup'!$K$5,".",IF(A1716=".",1,A1716+1))</f>
        <v>.</v>
      </c>
      <c r="B1717" s="431" t="str">
        <f t="shared" si="26"/>
        <v>Hip Replacement PrimaryProviderHINCHINGBROOKE HEALTH CARE NHS TRUST (RQQ)EQ VAS</v>
      </c>
      <c r="C1717" t="s">
        <v>248</v>
      </c>
      <c r="D1717" t="s">
        <v>1</v>
      </c>
      <c r="E1717" t="s">
        <v>3894</v>
      </c>
      <c r="F1717" t="s">
        <v>3895</v>
      </c>
      <c r="G1717" t="s">
        <v>179</v>
      </c>
      <c r="H1717">
        <v>203</v>
      </c>
      <c r="I1717">
        <v>63.246000000000002</v>
      </c>
      <c r="J1717">
        <v>77.388999999999996</v>
      </c>
      <c r="K1717">
        <v>14.143000000000001</v>
      </c>
      <c r="L1717">
        <v>136</v>
      </c>
      <c r="M1717">
        <v>22</v>
      </c>
      <c r="N1717">
        <v>45</v>
      </c>
      <c r="O1717">
        <v>78.245999999999995</v>
      </c>
      <c r="P1717">
        <v>12.741188579999999</v>
      </c>
      <c r="Q1717">
        <v>17.673999999999999</v>
      </c>
    </row>
    <row r="1718" spans="1:17" x14ac:dyDescent="0.2">
      <c r="A1718" s="30" t="str">
        <f>IF(C1718&amp;G1718&amp;D1718&lt;&gt;'Funnel setup'!$K$3&amp;'Funnel setup'!$K$4&amp;'Funnel setup'!$K$5,".",IF(A1717=".",1,A1717+1))</f>
        <v>.</v>
      </c>
      <c r="B1718" s="431" t="str">
        <f t="shared" si="26"/>
        <v>Hip Replacement PrimaryProviderHOMERTON UNIVERSITY HOSPITAL NHS FOUNDATION TRUST (RQX)EQ VAS</v>
      </c>
      <c r="C1718" t="s">
        <v>248</v>
      </c>
      <c r="D1718" t="s">
        <v>1</v>
      </c>
      <c r="E1718" t="s">
        <v>3897</v>
      </c>
      <c r="F1718" t="s">
        <v>3898</v>
      </c>
      <c r="G1718" t="s">
        <v>179</v>
      </c>
      <c r="H1718">
        <v>29</v>
      </c>
      <c r="I1718">
        <v>56.207000000000001</v>
      </c>
      <c r="J1718">
        <v>65</v>
      </c>
      <c r="K1718">
        <v>8.7929999999999993</v>
      </c>
      <c r="L1718">
        <v>19</v>
      </c>
      <c r="M1718">
        <v>2</v>
      </c>
      <c r="N1718">
        <v>8</v>
      </c>
      <c r="O1718" t="s">
        <v>53</v>
      </c>
      <c r="P1718" t="s">
        <v>53</v>
      </c>
      <c r="Q1718" t="s">
        <v>53</v>
      </c>
    </row>
    <row r="1719" spans="1:17" x14ac:dyDescent="0.2">
      <c r="A1719" s="30" t="str">
        <f>IF(C1719&amp;G1719&amp;D1719&lt;&gt;'Funnel setup'!$K$3&amp;'Funnel setup'!$K$4&amp;'Funnel setup'!$K$5,".",IF(A1718=".",1,A1718+1))</f>
        <v>.</v>
      </c>
      <c r="B1719" s="431" t="str">
        <f t="shared" si="26"/>
        <v>Hip Replacement PrimaryProviderHORTON NHS TREATMENT CENTRE (NVC25)EQ VAS</v>
      </c>
      <c r="C1719" t="s">
        <v>248</v>
      </c>
      <c r="D1719" t="s">
        <v>1</v>
      </c>
      <c r="E1719" t="s">
        <v>4553</v>
      </c>
      <c r="F1719" t="s">
        <v>4554</v>
      </c>
      <c r="G1719" t="s">
        <v>179</v>
      </c>
      <c r="H1719">
        <v>165</v>
      </c>
      <c r="I1719">
        <v>68.903000000000006</v>
      </c>
      <c r="J1719">
        <v>80.344999999999999</v>
      </c>
      <c r="K1719">
        <v>11.442</v>
      </c>
      <c r="L1719">
        <v>110</v>
      </c>
      <c r="M1719">
        <v>22</v>
      </c>
      <c r="N1719">
        <v>33</v>
      </c>
      <c r="O1719">
        <v>76.965000000000003</v>
      </c>
      <c r="P1719">
        <v>11.46062173</v>
      </c>
      <c r="Q1719">
        <v>13.412000000000001</v>
      </c>
    </row>
    <row r="1720" spans="1:17" x14ac:dyDescent="0.2">
      <c r="A1720" s="30" t="str">
        <f>IF(C1720&amp;G1720&amp;D1720&lt;&gt;'Funnel setup'!$K$3&amp;'Funnel setup'!$K$4&amp;'Funnel setup'!$K$5,".",IF(A1719=".",1,A1719+1))</f>
        <v>.</v>
      </c>
      <c r="B1720" s="431" t="str">
        <f t="shared" si="26"/>
        <v>Hip Replacement PrimaryProviderHULL AND EAST YORKSHIRE HOSPITALS NHS TRUST (RWA)EQ VAS</v>
      </c>
      <c r="C1720" t="s">
        <v>248</v>
      </c>
      <c r="D1720" t="s">
        <v>1</v>
      </c>
      <c r="E1720" t="s">
        <v>3906</v>
      </c>
      <c r="F1720" t="s">
        <v>3907</v>
      </c>
      <c r="G1720" t="s">
        <v>179</v>
      </c>
      <c r="H1720">
        <v>246</v>
      </c>
      <c r="I1720">
        <v>59.857999999999997</v>
      </c>
      <c r="J1720">
        <v>73.671000000000006</v>
      </c>
      <c r="K1720">
        <v>13.813000000000001</v>
      </c>
      <c r="L1720">
        <v>179</v>
      </c>
      <c r="M1720">
        <v>26</v>
      </c>
      <c r="N1720">
        <v>41</v>
      </c>
      <c r="O1720">
        <v>74.802000000000007</v>
      </c>
      <c r="P1720">
        <v>9.2976423869999998</v>
      </c>
      <c r="Q1720">
        <v>17.016999999999999</v>
      </c>
    </row>
    <row r="1721" spans="1:17" x14ac:dyDescent="0.2">
      <c r="A1721" s="30" t="str">
        <f>IF(C1721&amp;G1721&amp;D1721&lt;&gt;'Funnel setup'!$K$3&amp;'Funnel setup'!$K$4&amp;'Funnel setup'!$K$5,".",IF(A1720=".",1,A1720+1))</f>
        <v>.</v>
      </c>
      <c r="B1721" s="431" t="str">
        <f t="shared" si="26"/>
        <v>Hip Replacement PrimaryProviderIMPERIAL COLLEGE HEALTHCARE NHS TRUST (RYJ)EQ VAS</v>
      </c>
      <c r="C1721" t="s">
        <v>248</v>
      </c>
      <c r="D1721" t="s">
        <v>1</v>
      </c>
      <c r="E1721" t="s">
        <v>4558</v>
      </c>
      <c r="F1721" t="s">
        <v>4559</v>
      </c>
      <c r="G1721" t="s">
        <v>179</v>
      </c>
      <c r="H1721">
        <v>57</v>
      </c>
      <c r="I1721">
        <v>60.613999999999997</v>
      </c>
      <c r="J1721">
        <v>75.14</v>
      </c>
      <c r="K1721">
        <v>14.526</v>
      </c>
      <c r="L1721">
        <v>40</v>
      </c>
      <c r="M1721">
        <v>6</v>
      </c>
      <c r="N1721">
        <v>11</v>
      </c>
      <c r="O1721">
        <v>78.064999999999998</v>
      </c>
      <c r="P1721">
        <v>12.56111984</v>
      </c>
      <c r="Q1721">
        <v>16.826000000000001</v>
      </c>
    </row>
    <row r="1722" spans="1:17" x14ac:dyDescent="0.2">
      <c r="A1722" s="30" t="str">
        <f>IF(C1722&amp;G1722&amp;D1722&lt;&gt;'Funnel setup'!$K$3&amp;'Funnel setup'!$K$4&amp;'Funnel setup'!$K$5,".",IF(A1721=".",1,A1721+1))</f>
        <v>.</v>
      </c>
      <c r="B1722" s="431" t="str">
        <f t="shared" si="26"/>
        <v>Hip Replacement PrimaryProviderIPSWICH HOSPITAL NHS TRUST (RGQ)EQ VAS</v>
      </c>
      <c r="C1722" t="s">
        <v>248</v>
      </c>
      <c r="D1722" t="s">
        <v>1</v>
      </c>
      <c r="E1722" t="s">
        <v>3909</v>
      </c>
      <c r="F1722" t="s">
        <v>3910</v>
      </c>
      <c r="G1722" t="s">
        <v>179</v>
      </c>
      <c r="H1722">
        <v>102</v>
      </c>
      <c r="I1722">
        <v>62.832999999999998</v>
      </c>
      <c r="J1722">
        <v>75.097999999999999</v>
      </c>
      <c r="K1722">
        <v>12.265000000000001</v>
      </c>
      <c r="L1722">
        <v>70</v>
      </c>
      <c r="M1722">
        <v>9</v>
      </c>
      <c r="N1722">
        <v>23</v>
      </c>
      <c r="O1722">
        <v>77.527000000000001</v>
      </c>
      <c r="P1722">
        <v>12.02267473</v>
      </c>
      <c r="Q1722">
        <v>14.702</v>
      </c>
    </row>
    <row r="1723" spans="1:17" x14ac:dyDescent="0.2">
      <c r="A1723" s="30" t="str">
        <f>IF(C1723&amp;G1723&amp;D1723&lt;&gt;'Funnel setup'!$K$3&amp;'Funnel setup'!$K$4&amp;'Funnel setup'!$K$5,".",IF(A1722=".",1,A1722+1))</f>
        <v>.</v>
      </c>
      <c r="B1723" s="431" t="str">
        <f t="shared" si="26"/>
        <v>Hip Replacement PrimaryProviderISLE OF WIGHT NHS TRUST (R1F)EQ VAS</v>
      </c>
      <c r="C1723" t="s">
        <v>248</v>
      </c>
      <c r="D1723" t="s">
        <v>1</v>
      </c>
      <c r="E1723" t="s">
        <v>3912</v>
      </c>
      <c r="F1723" t="s">
        <v>3913</v>
      </c>
      <c r="G1723" t="s">
        <v>179</v>
      </c>
      <c r="H1723">
        <v>82</v>
      </c>
      <c r="I1723">
        <v>61.792999999999999</v>
      </c>
      <c r="J1723">
        <v>73.793000000000006</v>
      </c>
      <c r="K1723">
        <v>12</v>
      </c>
      <c r="L1723">
        <v>56</v>
      </c>
      <c r="M1723">
        <v>12</v>
      </c>
      <c r="N1723">
        <v>14</v>
      </c>
      <c r="O1723">
        <v>75.317999999999998</v>
      </c>
      <c r="P1723">
        <v>9.8137835570000007</v>
      </c>
      <c r="Q1723">
        <v>14.596</v>
      </c>
    </row>
    <row r="1724" spans="1:17" x14ac:dyDescent="0.2">
      <c r="A1724" s="30" t="str">
        <f>IF(C1724&amp;G1724&amp;D1724&lt;&gt;'Funnel setup'!$K$3&amp;'Funnel setup'!$K$4&amp;'Funnel setup'!$K$5,".",IF(A1723=".",1,A1723+1))</f>
        <v>.</v>
      </c>
      <c r="B1724" s="431" t="str">
        <f t="shared" si="26"/>
        <v>Hip Replacement PrimaryProviderJAMES PAGET UNIVERSITY HOSPITALS NHS FOUNDATION TRUST (RGP)EQ VAS</v>
      </c>
      <c r="C1724" t="s">
        <v>248</v>
      </c>
      <c r="D1724" t="s">
        <v>1</v>
      </c>
      <c r="E1724" t="s">
        <v>3915</v>
      </c>
      <c r="F1724" t="s">
        <v>3916</v>
      </c>
      <c r="G1724" t="s">
        <v>179</v>
      </c>
      <c r="H1724">
        <v>142</v>
      </c>
      <c r="I1724">
        <v>67.134</v>
      </c>
      <c r="J1724">
        <v>78.944000000000003</v>
      </c>
      <c r="K1724">
        <v>11.81</v>
      </c>
      <c r="L1724">
        <v>87</v>
      </c>
      <c r="M1724">
        <v>20</v>
      </c>
      <c r="N1724">
        <v>35</v>
      </c>
      <c r="O1724">
        <v>79.02</v>
      </c>
      <c r="P1724">
        <v>13.515379619999999</v>
      </c>
      <c r="Q1724">
        <v>14.763999999999999</v>
      </c>
    </row>
    <row r="1725" spans="1:17" x14ac:dyDescent="0.2">
      <c r="A1725" s="30" t="str">
        <f>IF(C1725&amp;G1725&amp;D1725&lt;&gt;'Funnel setup'!$K$3&amp;'Funnel setup'!$K$4&amp;'Funnel setup'!$K$5,".",IF(A1724=".",1,A1724+1))</f>
        <v>.</v>
      </c>
      <c r="B1725" s="431" t="str">
        <f t="shared" si="26"/>
        <v>Hip Replacement PrimaryProviderKETTERING GENERAL HOSPITAL NHS FOUNDATION TRUST (RNQ)EQ VAS</v>
      </c>
      <c r="C1725" t="s">
        <v>248</v>
      </c>
      <c r="D1725" t="s">
        <v>1</v>
      </c>
      <c r="E1725" t="s">
        <v>3918</v>
      </c>
      <c r="F1725" t="s">
        <v>3919</v>
      </c>
      <c r="G1725" t="s">
        <v>179</v>
      </c>
      <c r="H1725">
        <v>60</v>
      </c>
      <c r="I1725">
        <v>61.767000000000003</v>
      </c>
      <c r="J1725">
        <v>72.367000000000004</v>
      </c>
      <c r="K1725">
        <v>10.6</v>
      </c>
      <c r="L1725">
        <v>38</v>
      </c>
      <c r="M1725">
        <v>8</v>
      </c>
      <c r="N1725">
        <v>14</v>
      </c>
      <c r="O1725">
        <v>74.003</v>
      </c>
      <c r="P1725">
        <v>8.498224703</v>
      </c>
      <c r="Q1725">
        <v>18.495000000000001</v>
      </c>
    </row>
    <row r="1726" spans="1:17" x14ac:dyDescent="0.2">
      <c r="A1726" s="30" t="str">
        <f>IF(C1726&amp;G1726&amp;D1726&lt;&gt;'Funnel setup'!$K$3&amp;'Funnel setup'!$K$4&amp;'Funnel setup'!$K$5,".",IF(A1725=".",1,A1725+1))</f>
        <v>.</v>
      </c>
      <c r="B1726" s="431" t="str">
        <f t="shared" si="26"/>
        <v>Hip Replacement PrimaryProviderKING'S COLLEGE HOSPITAL NHS FOUNDATION TRUST (RJZ)EQ VAS</v>
      </c>
      <c r="C1726" t="s">
        <v>248</v>
      </c>
      <c r="D1726" t="s">
        <v>1</v>
      </c>
      <c r="E1726" t="s">
        <v>3924</v>
      </c>
      <c r="F1726" t="s">
        <v>3925</v>
      </c>
      <c r="G1726" t="s">
        <v>179</v>
      </c>
      <c r="H1726">
        <v>176</v>
      </c>
      <c r="I1726">
        <v>63.954999999999998</v>
      </c>
      <c r="J1726">
        <v>78.397999999999996</v>
      </c>
      <c r="K1726">
        <v>14.443</v>
      </c>
      <c r="L1726">
        <v>123</v>
      </c>
      <c r="M1726">
        <v>20</v>
      </c>
      <c r="N1726">
        <v>33</v>
      </c>
      <c r="O1726">
        <v>78.316000000000003</v>
      </c>
      <c r="P1726">
        <v>12.81128109</v>
      </c>
      <c r="Q1726">
        <v>14.464</v>
      </c>
    </row>
    <row r="1727" spans="1:17" x14ac:dyDescent="0.2">
      <c r="A1727" s="30" t="str">
        <f>IF(C1727&amp;G1727&amp;D1727&lt;&gt;'Funnel setup'!$K$3&amp;'Funnel setup'!$K$4&amp;'Funnel setup'!$K$5,".",IF(A1726=".",1,A1726+1))</f>
        <v>.</v>
      </c>
      <c r="B1727" s="431" t="str">
        <f t="shared" si="26"/>
        <v>Hip Replacement PrimaryProviderLANCASHIRE TEACHING HOSPITALS NHS FOUNDATION TRUST (RXN)EQ VAS</v>
      </c>
      <c r="C1727" t="s">
        <v>248</v>
      </c>
      <c r="D1727" t="s">
        <v>1</v>
      </c>
      <c r="E1727" t="s">
        <v>3567</v>
      </c>
      <c r="F1727" t="s">
        <v>3568</v>
      </c>
      <c r="G1727" t="s">
        <v>179</v>
      </c>
      <c r="H1727">
        <v>174</v>
      </c>
      <c r="I1727">
        <v>62.023000000000003</v>
      </c>
      <c r="J1727">
        <v>72.597999999999999</v>
      </c>
      <c r="K1727">
        <v>10.574999999999999</v>
      </c>
      <c r="L1727">
        <v>116</v>
      </c>
      <c r="M1727">
        <v>11</v>
      </c>
      <c r="N1727">
        <v>47</v>
      </c>
      <c r="O1727">
        <v>75.111999999999995</v>
      </c>
      <c r="P1727">
        <v>9.6074051610000009</v>
      </c>
      <c r="Q1727">
        <v>19.183</v>
      </c>
    </row>
    <row r="1728" spans="1:17" x14ac:dyDescent="0.2">
      <c r="A1728" s="30" t="str">
        <f>IF(C1728&amp;G1728&amp;D1728&lt;&gt;'Funnel setup'!$K$3&amp;'Funnel setup'!$K$4&amp;'Funnel setup'!$K$5,".",IF(A1727=".",1,A1727+1))</f>
        <v>.</v>
      </c>
      <c r="B1728" s="431" t="str">
        <f t="shared" si="26"/>
        <v>Hip Replacement PrimaryProviderLEEDS TEACHING HOSPITALS NHS TRUST (RR8)EQ VAS</v>
      </c>
      <c r="C1728" t="s">
        <v>248</v>
      </c>
      <c r="D1728" t="s">
        <v>1</v>
      </c>
      <c r="E1728" t="s">
        <v>3930</v>
      </c>
      <c r="F1728" t="s">
        <v>344</v>
      </c>
      <c r="G1728" t="s">
        <v>179</v>
      </c>
      <c r="H1728">
        <v>214</v>
      </c>
      <c r="I1728">
        <v>63.387999999999998</v>
      </c>
      <c r="J1728">
        <v>77.051000000000002</v>
      </c>
      <c r="K1728">
        <v>13.664</v>
      </c>
      <c r="L1728">
        <v>144</v>
      </c>
      <c r="M1728">
        <v>17</v>
      </c>
      <c r="N1728">
        <v>53</v>
      </c>
      <c r="O1728">
        <v>78.076999999999998</v>
      </c>
      <c r="P1728">
        <v>12.57294454</v>
      </c>
      <c r="Q1728">
        <v>16.911999999999999</v>
      </c>
    </row>
    <row r="1729" spans="1:17" x14ac:dyDescent="0.2">
      <c r="A1729" s="30" t="str">
        <f>IF(C1729&amp;G1729&amp;D1729&lt;&gt;'Funnel setup'!$K$3&amp;'Funnel setup'!$K$4&amp;'Funnel setup'!$K$5,".",IF(A1728=".",1,A1728+1))</f>
        <v>.</v>
      </c>
      <c r="B1729" s="431" t="str">
        <f t="shared" si="26"/>
        <v>Hip Replacement PrimaryProviderLEWISHAM AND GREENWICH NHS TRUST (RJ2)EQ VAS</v>
      </c>
      <c r="C1729" t="s">
        <v>248</v>
      </c>
      <c r="D1729" t="s">
        <v>1</v>
      </c>
      <c r="E1729" t="s">
        <v>3522</v>
      </c>
      <c r="F1729" t="s">
        <v>3523</v>
      </c>
      <c r="G1729" t="s">
        <v>179</v>
      </c>
      <c r="H1729">
        <v>78</v>
      </c>
      <c r="I1729">
        <v>65.602999999999994</v>
      </c>
      <c r="J1729">
        <v>72.846000000000004</v>
      </c>
      <c r="K1729">
        <v>7.2439999999999998</v>
      </c>
      <c r="L1729">
        <v>47</v>
      </c>
      <c r="M1729">
        <v>8</v>
      </c>
      <c r="N1729">
        <v>23</v>
      </c>
      <c r="O1729">
        <v>74.927000000000007</v>
      </c>
      <c r="P1729">
        <v>9.4225425600000001</v>
      </c>
      <c r="Q1729">
        <v>18.422000000000001</v>
      </c>
    </row>
    <row r="1730" spans="1:17" x14ac:dyDescent="0.2">
      <c r="A1730" s="30" t="str">
        <f>IF(C1730&amp;G1730&amp;D1730&lt;&gt;'Funnel setup'!$K$3&amp;'Funnel setup'!$K$4&amp;'Funnel setup'!$K$5,".",IF(A1729=".",1,A1729+1))</f>
        <v>.</v>
      </c>
      <c r="B1730" s="431" t="str">
        <f t="shared" si="26"/>
        <v>Hip Replacement PrimaryProviderLONDON NORTH WEST HEALTHCARE NHS TRUST (R1K)EQ VAS</v>
      </c>
      <c r="C1730" t="s">
        <v>248</v>
      </c>
      <c r="D1730" t="s">
        <v>1</v>
      </c>
      <c r="E1730" t="s">
        <v>6515</v>
      </c>
      <c r="F1730" t="s">
        <v>6516</v>
      </c>
      <c r="G1730" t="s">
        <v>179</v>
      </c>
      <c r="H1730">
        <v>90</v>
      </c>
      <c r="I1730">
        <v>60.067</v>
      </c>
      <c r="J1730">
        <v>75.843999999999994</v>
      </c>
      <c r="K1730">
        <v>15.778</v>
      </c>
      <c r="L1730">
        <v>66</v>
      </c>
      <c r="M1730">
        <v>11</v>
      </c>
      <c r="N1730">
        <v>13</v>
      </c>
      <c r="O1730">
        <v>78.403000000000006</v>
      </c>
      <c r="P1730">
        <v>12.89904866</v>
      </c>
      <c r="Q1730">
        <v>17.597000000000001</v>
      </c>
    </row>
    <row r="1731" spans="1:17" x14ac:dyDescent="0.2">
      <c r="A1731" s="30" t="str">
        <f>IF(C1731&amp;G1731&amp;D1731&lt;&gt;'Funnel setup'!$K$3&amp;'Funnel setup'!$K$4&amp;'Funnel setup'!$K$5,".",IF(A1730=".",1,A1730+1))</f>
        <v>.</v>
      </c>
      <c r="B1731" s="431" t="str">
        <f t="shared" ref="B1731:B1794" si="27">C1731&amp;D1731&amp;F1731&amp;G1731</f>
        <v>Hip Replacement PrimaryProviderLUTON AND DUNSTABLE UNIVERSITY HOSPITAL NHS FOUNDATION TRUST (RC9)EQ VAS</v>
      </c>
      <c r="C1731" t="s">
        <v>248</v>
      </c>
      <c r="D1731" t="s">
        <v>1</v>
      </c>
      <c r="E1731" t="s">
        <v>3528</v>
      </c>
      <c r="F1731" t="s">
        <v>3529</v>
      </c>
      <c r="G1731" t="s">
        <v>179</v>
      </c>
      <c r="H1731">
        <v>134</v>
      </c>
      <c r="I1731">
        <v>61.91</v>
      </c>
      <c r="J1731">
        <v>76.924999999999997</v>
      </c>
      <c r="K1731">
        <v>15.015000000000001</v>
      </c>
      <c r="L1731">
        <v>83</v>
      </c>
      <c r="M1731">
        <v>19</v>
      </c>
      <c r="N1731">
        <v>32</v>
      </c>
      <c r="O1731">
        <v>78.296999999999997</v>
      </c>
      <c r="P1731">
        <v>12.793047380000001</v>
      </c>
      <c r="Q1731">
        <v>14.896000000000001</v>
      </c>
    </row>
    <row r="1732" spans="1:17" x14ac:dyDescent="0.2">
      <c r="A1732" s="30" t="str">
        <f>IF(C1732&amp;G1732&amp;D1732&lt;&gt;'Funnel setup'!$K$3&amp;'Funnel setup'!$K$4&amp;'Funnel setup'!$K$5,".",IF(A1731=".",1,A1731+1))</f>
        <v>.</v>
      </c>
      <c r="B1732" s="431" t="str">
        <f t="shared" si="27"/>
        <v>Hip Replacement PrimaryProviderMAIDSTONE AND TUNBRIDGE WELLS NHS TRUST (RWF)EQ VAS</v>
      </c>
      <c r="C1732" t="s">
        <v>248</v>
      </c>
      <c r="D1732" t="s">
        <v>1</v>
      </c>
      <c r="E1732" t="s">
        <v>3627</v>
      </c>
      <c r="F1732" t="s">
        <v>3628</v>
      </c>
      <c r="G1732" t="s">
        <v>179</v>
      </c>
      <c r="H1732">
        <v>178</v>
      </c>
      <c r="I1732">
        <v>68.403999999999996</v>
      </c>
      <c r="J1732">
        <v>77.792000000000002</v>
      </c>
      <c r="K1732">
        <v>9.3879999999999999</v>
      </c>
      <c r="L1732">
        <v>118</v>
      </c>
      <c r="M1732">
        <v>19</v>
      </c>
      <c r="N1732">
        <v>41</v>
      </c>
      <c r="O1732">
        <v>77.510999999999996</v>
      </c>
      <c r="P1732">
        <v>12.00662408</v>
      </c>
      <c r="Q1732">
        <v>14.835000000000001</v>
      </c>
    </row>
    <row r="1733" spans="1:17" x14ac:dyDescent="0.2">
      <c r="A1733" s="30" t="str">
        <f>IF(C1733&amp;G1733&amp;D1733&lt;&gt;'Funnel setup'!$K$3&amp;'Funnel setup'!$K$4&amp;'Funnel setup'!$K$5,".",IF(A1732=".",1,A1732+1))</f>
        <v>.</v>
      </c>
      <c r="B1733" s="431" t="str">
        <f t="shared" si="27"/>
        <v>Hip Replacement PrimaryProviderMEDWAY NHS FOUNDATION TRUST (RPA)EQ VAS</v>
      </c>
      <c r="C1733" t="s">
        <v>248</v>
      </c>
      <c r="D1733" t="s">
        <v>1</v>
      </c>
      <c r="E1733" t="s">
        <v>3630</v>
      </c>
      <c r="F1733" t="s">
        <v>3631</v>
      </c>
      <c r="G1733" t="s">
        <v>179</v>
      </c>
      <c r="H1733">
        <v>138</v>
      </c>
      <c r="I1733">
        <v>64.528999999999996</v>
      </c>
      <c r="J1733">
        <v>78.209999999999994</v>
      </c>
      <c r="K1733">
        <v>13.680999999999999</v>
      </c>
      <c r="L1733">
        <v>95</v>
      </c>
      <c r="M1733">
        <v>12</v>
      </c>
      <c r="N1733">
        <v>31</v>
      </c>
      <c r="O1733">
        <v>79.894999999999996</v>
      </c>
      <c r="P1733">
        <v>14.39038783</v>
      </c>
      <c r="Q1733">
        <v>15.577</v>
      </c>
    </row>
    <row r="1734" spans="1:17" x14ac:dyDescent="0.2">
      <c r="A1734" s="30" t="str">
        <f>IF(C1734&amp;G1734&amp;D1734&lt;&gt;'Funnel setup'!$K$3&amp;'Funnel setup'!$K$4&amp;'Funnel setup'!$K$5,".",IF(A1733=".",1,A1733+1))</f>
        <v>.</v>
      </c>
      <c r="B1734" s="431" t="str">
        <f t="shared" si="27"/>
        <v>Hip Replacement PrimaryProviderMID CHESHIRE HOSPITALS NHS FOUNDATION TRUST (RBT)EQ VAS</v>
      </c>
      <c r="C1734" t="s">
        <v>248</v>
      </c>
      <c r="D1734" t="s">
        <v>1</v>
      </c>
      <c r="E1734" t="s">
        <v>3633</v>
      </c>
      <c r="F1734" t="s">
        <v>342</v>
      </c>
      <c r="G1734" t="s">
        <v>179</v>
      </c>
      <c r="H1734">
        <v>149</v>
      </c>
      <c r="I1734">
        <v>70.227999999999994</v>
      </c>
      <c r="J1734">
        <v>77.972999999999999</v>
      </c>
      <c r="K1734">
        <v>7.7450000000000001</v>
      </c>
      <c r="L1734">
        <v>85</v>
      </c>
      <c r="M1734">
        <v>20</v>
      </c>
      <c r="N1734">
        <v>44</v>
      </c>
      <c r="O1734">
        <v>76.778000000000006</v>
      </c>
      <c r="P1734">
        <v>11.27381986</v>
      </c>
      <c r="Q1734">
        <v>15.178000000000001</v>
      </c>
    </row>
    <row r="1735" spans="1:17" x14ac:dyDescent="0.2">
      <c r="A1735" s="30" t="str">
        <f>IF(C1735&amp;G1735&amp;D1735&lt;&gt;'Funnel setup'!$K$3&amp;'Funnel setup'!$K$4&amp;'Funnel setup'!$K$5,".",IF(A1734=".",1,A1734+1))</f>
        <v>.</v>
      </c>
      <c r="B1735" s="431" t="str">
        <f t="shared" si="27"/>
        <v>Hip Replacement PrimaryProviderMID ESSEX HOSPITAL SERVICES NHS TRUST (RQ8)EQ VAS</v>
      </c>
      <c r="C1735" t="s">
        <v>248</v>
      </c>
      <c r="D1735" t="s">
        <v>1</v>
      </c>
      <c r="E1735" t="s">
        <v>3635</v>
      </c>
      <c r="F1735" t="s">
        <v>3636</v>
      </c>
      <c r="G1735" t="s">
        <v>179</v>
      </c>
      <c r="H1735">
        <v>161</v>
      </c>
      <c r="I1735">
        <v>67.477999999999994</v>
      </c>
      <c r="J1735">
        <v>77.260999999999996</v>
      </c>
      <c r="K1735">
        <v>9.7829999999999995</v>
      </c>
      <c r="L1735">
        <v>99</v>
      </c>
      <c r="M1735">
        <v>22</v>
      </c>
      <c r="N1735">
        <v>40</v>
      </c>
      <c r="O1735">
        <v>76.302999999999997</v>
      </c>
      <c r="P1735">
        <v>10.79863084</v>
      </c>
      <c r="Q1735">
        <v>14.731</v>
      </c>
    </row>
    <row r="1736" spans="1:17" x14ac:dyDescent="0.2">
      <c r="A1736" s="30" t="str">
        <f>IF(C1736&amp;G1736&amp;D1736&lt;&gt;'Funnel setup'!$K$3&amp;'Funnel setup'!$K$4&amp;'Funnel setup'!$K$5,".",IF(A1735=".",1,A1735+1))</f>
        <v>.</v>
      </c>
      <c r="B1736" s="431" t="str">
        <f t="shared" si="27"/>
        <v>Hip Replacement PrimaryProviderMID STAFFORDSHIRE NHS FOUNDATION TRUST (RJD)EQ VAS</v>
      </c>
      <c r="C1736" t="s">
        <v>248</v>
      </c>
      <c r="D1736" t="s">
        <v>1</v>
      </c>
      <c r="E1736" t="s">
        <v>3638</v>
      </c>
      <c r="F1736" t="s">
        <v>3639</v>
      </c>
      <c r="G1736" t="s">
        <v>179</v>
      </c>
      <c r="H1736">
        <v>131</v>
      </c>
      <c r="I1736">
        <v>63.74</v>
      </c>
      <c r="J1736">
        <v>76.015000000000001</v>
      </c>
      <c r="K1736">
        <v>12.275</v>
      </c>
      <c r="L1736">
        <v>86</v>
      </c>
      <c r="M1736">
        <v>18</v>
      </c>
      <c r="N1736">
        <v>27</v>
      </c>
      <c r="O1736">
        <v>76.997</v>
      </c>
      <c r="P1736">
        <v>11.492473029999999</v>
      </c>
      <c r="Q1736">
        <v>17.219000000000001</v>
      </c>
    </row>
    <row r="1737" spans="1:17" x14ac:dyDescent="0.2">
      <c r="A1737" s="30" t="str">
        <f>IF(C1737&amp;G1737&amp;D1737&lt;&gt;'Funnel setup'!$K$3&amp;'Funnel setup'!$K$4&amp;'Funnel setup'!$K$5,".",IF(A1736=".",1,A1736+1))</f>
        <v>.</v>
      </c>
      <c r="B1737" s="431" t="str">
        <f t="shared" si="27"/>
        <v>Hip Replacement PrimaryProviderMID YORKSHIRE HOSPITALS NHS TRUST (RXF)EQ VAS</v>
      </c>
      <c r="C1737" t="s">
        <v>248</v>
      </c>
      <c r="D1737" t="s">
        <v>1</v>
      </c>
      <c r="E1737" t="s">
        <v>3641</v>
      </c>
      <c r="F1737" t="s">
        <v>3642</v>
      </c>
      <c r="G1737" t="s">
        <v>179</v>
      </c>
      <c r="H1737">
        <v>194</v>
      </c>
      <c r="I1737">
        <v>63.392000000000003</v>
      </c>
      <c r="J1737">
        <v>73.361000000000004</v>
      </c>
      <c r="K1737">
        <v>9.9689999999999994</v>
      </c>
      <c r="L1737">
        <v>123</v>
      </c>
      <c r="M1737">
        <v>16</v>
      </c>
      <c r="N1737">
        <v>55</v>
      </c>
      <c r="O1737">
        <v>74.986999999999995</v>
      </c>
      <c r="P1737">
        <v>9.483067879</v>
      </c>
      <c r="Q1737">
        <v>15.962</v>
      </c>
    </row>
    <row r="1738" spans="1:17" x14ac:dyDescent="0.2">
      <c r="A1738" s="30" t="str">
        <f>IF(C1738&amp;G1738&amp;D1738&lt;&gt;'Funnel setup'!$K$3&amp;'Funnel setup'!$K$4&amp;'Funnel setup'!$K$5,".",IF(A1737=".",1,A1737+1))</f>
        <v>.</v>
      </c>
      <c r="B1738" s="431" t="str">
        <f t="shared" si="27"/>
        <v>Hip Replacement PrimaryProviderMILTON KEYNES UNIVERSITY HOSPITAL NHS FOUNDATION TRUST (RD8)EQ VAS</v>
      </c>
      <c r="C1738" t="s">
        <v>248</v>
      </c>
      <c r="D1738" t="s">
        <v>1</v>
      </c>
      <c r="E1738" t="s">
        <v>3643</v>
      </c>
      <c r="F1738" t="s">
        <v>6580</v>
      </c>
      <c r="G1738" t="s">
        <v>179</v>
      </c>
      <c r="H1738">
        <v>162</v>
      </c>
      <c r="I1738">
        <v>62.857999999999997</v>
      </c>
      <c r="J1738">
        <v>78.647999999999996</v>
      </c>
      <c r="K1738">
        <v>15.79</v>
      </c>
      <c r="L1738">
        <v>112</v>
      </c>
      <c r="M1738">
        <v>17</v>
      </c>
      <c r="N1738">
        <v>33</v>
      </c>
      <c r="O1738">
        <v>79.42</v>
      </c>
      <c r="P1738">
        <v>13.91568129</v>
      </c>
      <c r="Q1738">
        <v>16.273</v>
      </c>
    </row>
    <row r="1739" spans="1:17" x14ac:dyDescent="0.2">
      <c r="A1739" s="30" t="str">
        <f>IF(C1739&amp;G1739&amp;D1739&lt;&gt;'Funnel setup'!$K$3&amp;'Funnel setup'!$K$4&amp;'Funnel setup'!$K$5,".",IF(A1738=".",1,A1738+1))</f>
        <v>.</v>
      </c>
      <c r="B1739" s="431" t="str">
        <f t="shared" si="27"/>
        <v>Hip Replacement PrimaryProviderMOUNT STUART HOSPITAL (NVC08)EQ VAS</v>
      </c>
      <c r="C1739" t="s">
        <v>248</v>
      </c>
      <c r="D1739" t="s">
        <v>1</v>
      </c>
      <c r="E1739" t="s">
        <v>3645</v>
      </c>
      <c r="F1739" t="s">
        <v>3646</v>
      </c>
      <c r="G1739" t="s">
        <v>179</v>
      </c>
      <c r="H1739">
        <v>148</v>
      </c>
      <c r="I1739">
        <v>70.236000000000004</v>
      </c>
      <c r="J1739">
        <v>81.195999999999998</v>
      </c>
      <c r="K1739">
        <v>10.959</v>
      </c>
      <c r="L1739">
        <v>102</v>
      </c>
      <c r="M1739">
        <v>9</v>
      </c>
      <c r="N1739">
        <v>37</v>
      </c>
      <c r="O1739">
        <v>78.953999999999994</v>
      </c>
      <c r="P1739">
        <v>13.450006050000001</v>
      </c>
      <c r="Q1739">
        <v>14.938000000000001</v>
      </c>
    </row>
    <row r="1740" spans="1:17" x14ac:dyDescent="0.2">
      <c r="A1740" s="30" t="str">
        <f>IF(C1740&amp;G1740&amp;D1740&lt;&gt;'Funnel setup'!$K$3&amp;'Funnel setup'!$K$4&amp;'Funnel setup'!$K$5,".",IF(A1739=".",1,A1739+1))</f>
        <v>.</v>
      </c>
      <c r="B1740" s="431" t="str">
        <f t="shared" si="27"/>
        <v>Hip Replacement PrimaryProviderNEW HALL HOSPITAL (NVC09)EQ VAS</v>
      </c>
      <c r="C1740" t="s">
        <v>248</v>
      </c>
      <c r="D1740" t="s">
        <v>1</v>
      </c>
      <c r="E1740" t="s">
        <v>3648</v>
      </c>
      <c r="F1740" t="s">
        <v>3649</v>
      </c>
      <c r="G1740" t="s">
        <v>179</v>
      </c>
      <c r="H1740">
        <v>108</v>
      </c>
      <c r="I1740">
        <v>63.564999999999998</v>
      </c>
      <c r="J1740">
        <v>82.741</v>
      </c>
      <c r="K1740">
        <v>19.175999999999998</v>
      </c>
      <c r="L1740">
        <v>87</v>
      </c>
      <c r="M1740">
        <v>8</v>
      </c>
      <c r="N1740">
        <v>13</v>
      </c>
      <c r="O1740">
        <v>81.912000000000006</v>
      </c>
      <c r="P1740">
        <v>16.407444430000002</v>
      </c>
      <c r="Q1740">
        <v>12.614000000000001</v>
      </c>
    </row>
    <row r="1741" spans="1:17" x14ac:dyDescent="0.2">
      <c r="A1741" s="30" t="str">
        <f>IF(C1741&amp;G1741&amp;D1741&lt;&gt;'Funnel setup'!$K$3&amp;'Funnel setup'!$K$4&amp;'Funnel setup'!$K$5,".",IF(A1740=".",1,A1740+1))</f>
        <v>.</v>
      </c>
      <c r="B1741" s="431" t="str">
        <f t="shared" si="27"/>
        <v>Hip Replacement PrimaryProviderNORFOLK AND NORWICH UNIVERSITY HOSPITALS NHS FOUNDATION TRUST (RM1)EQ VAS</v>
      </c>
      <c r="C1741" t="s">
        <v>248</v>
      </c>
      <c r="D1741" t="s">
        <v>1</v>
      </c>
      <c r="E1741" t="s">
        <v>3651</v>
      </c>
      <c r="F1741" t="s">
        <v>3652</v>
      </c>
      <c r="G1741" t="s">
        <v>179</v>
      </c>
      <c r="H1741">
        <v>233</v>
      </c>
      <c r="I1741">
        <v>57.116</v>
      </c>
      <c r="J1741">
        <v>72.549000000000007</v>
      </c>
      <c r="K1741">
        <v>15.433</v>
      </c>
      <c r="L1741">
        <v>169</v>
      </c>
      <c r="M1741">
        <v>24</v>
      </c>
      <c r="N1741">
        <v>40</v>
      </c>
      <c r="O1741">
        <v>76.12</v>
      </c>
      <c r="P1741">
        <v>10.615667999999999</v>
      </c>
      <c r="Q1741">
        <v>17.516999999999999</v>
      </c>
    </row>
    <row r="1742" spans="1:17" x14ac:dyDescent="0.2">
      <c r="A1742" s="30" t="str">
        <f>IF(C1742&amp;G1742&amp;D1742&lt;&gt;'Funnel setup'!$K$3&amp;'Funnel setup'!$K$4&amp;'Funnel setup'!$K$5,".",IF(A1741=".",1,A1741+1))</f>
        <v>.</v>
      </c>
      <c r="B1742" s="431" t="str">
        <f t="shared" si="27"/>
        <v>Hip Replacement PrimaryProviderNORTH BRISTOL NHS TRUST (RVJ)EQ VAS</v>
      </c>
      <c r="C1742" t="s">
        <v>248</v>
      </c>
      <c r="D1742" t="s">
        <v>1</v>
      </c>
      <c r="E1742" t="s">
        <v>3654</v>
      </c>
      <c r="F1742" t="s">
        <v>3655</v>
      </c>
      <c r="G1742" t="s">
        <v>179</v>
      </c>
      <c r="H1742">
        <v>177</v>
      </c>
      <c r="I1742">
        <v>61.750999999999998</v>
      </c>
      <c r="J1742">
        <v>77.52</v>
      </c>
      <c r="K1742">
        <v>15.768000000000001</v>
      </c>
      <c r="L1742">
        <v>119</v>
      </c>
      <c r="M1742">
        <v>24</v>
      </c>
      <c r="N1742">
        <v>34</v>
      </c>
      <c r="O1742">
        <v>77.816999999999993</v>
      </c>
      <c r="P1742">
        <v>12.312867839999999</v>
      </c>
      <c r="Q1742">
        <v>15.426</v>
      </c>
    </row>
    <row r="1743" spans="1:17" x14ac:dyDescent="0.2">
      <c r="A1743" s="30" t="str">
        <f>IF(C1743&amp;G1743&amp;D1743&lt;&gt;'Funnel setup'!$K$3&amp;'Funnel setup'!$K$4&amp;'Funnel setup'!$K$5,".",IF(A1742=".",1,A1742+1))</f>
        <v>.</v>
      </c>
      <c r="B1743" s="431" t="str">
        <f t="shared" si="27"/>
        <v>Hip Replacement PrimaryProviderNORTH CUMBRIA UNIVERSITY HOSPITALS NHS TRUST (RNL)EQ VAS</v>
      </c>
      <c r="C1743" t="s">
        <v>248</v>
      </c>
      <c r="D1743" t="s">
        <v>1</v>
      </c>
      <c r="E1743" t="s">
        <v>3657</v>
      </c>
      <c r="F1743" t="s">
        <v>3658</v>
      </c>
      <c r="G1743" t="s">
        <v>179</v>
      </c>
      <c r="H1743">
        <v>120</v>
      </c>
      <c r="I1743">
        <v>63.75</v>
      </c>
      <c r="J1743">
        <v>73.674999999999997</v>
      </c>
      <c r="K1743">
        <v>9.9250000000000007</v>
      </c>
      <c r="L1743">
        <v>75</v>
      </c>
      <c r="M1743">
        <v>10</v>
      </c>
      <c r="N1743">
        <v>35</v>
      </c>
      <c r="O1743">
        <v>75.516000000000005</v>
      </c>
      <c r="P1743">
        <v>10.01152486</v>
      </c>
      <c r="Q1743">
        <v>17.167000000000002</v>
      </c>
    </row>
    <row r="1744" spans="1:17" x14ac:dyDescent="0.2">
      <c r="A1744" s="30" t="str">
        <f>IF(C1744&amp;G1744&amp;D1744&lt;&gt;'Funnel setup'!$K$3&amp;'Funnel setup'!$K$4&amp;'Funnel setup'!$K$5,".",IF(A1743=".",1,A1743+1))</f>
        <v>.</v>
      </c>
      <c r="B1744" s="431" t="str">
        <f t="shared" si="27"/>
        <v>Hip Replacement PrimaryProviderNORTH DOWNS HOSPITAL (NVC11)EQ VAS</v>
      </c>
      <c r="C1744" t="s">
        <v>248</v>
      </c>
      <c r="D1744" t="s">
        <v>1</v>
      </c>
      <c r="E1744" t="s">
        <v>3660</v>
      </c>
      <c r="F1744" t="s">
        <v>3661</v>
      </c>
      <c r="G1744" t="s">
        <v>179</v>
      </c>
      <c r="H1744">
        <v>65</v>
      </c>
      <c r="I1744">
        <v>72.831000000000003</v>
      </c>
      <c r="J1744">
        <v>82.8</v>
      </c>
      <c r="K1744">
        <v>9.9689999999999994</v>
      </c>
      <c r="L1744">
        <v>44</v>
      </c>
      <c r="M1744">
        <v>9</v>
      </c>
      <c r="N1744">
        <v>12</v>
      </c>
      <c r="O1744">
        <v>78.635000000000005</v>
      </c>
      <c r="P1744">
        <v>13.13084658</v>
      </c>
      <c r="Q1744">
        <v>11.221</v>
      </c>
    </row>
    <row r="1745" spans="1:17" x14ac:dyDescent="0.2">
      <c r="A1745" s="30" t="str">
        <f>IF(C1745&amp;G1745&amp;D1745&lt;&gt;'Funnel setup'!$K$3&amp;'Funnel setup'!$K$4&amp;'Funnel setup'!$K$5,".",IF(A1744=".",1,A1744+1))</f>
        <v>.</v>
      </c>
      <c r="B1745" s="431" t="str">
        <f t="shared" si="27"/>
        <v>Hip Replacement PrimaryProviderNORTH EAST LONDON TREATMENT CENTRE CARE UK (NTP15)EQ VAS</v>
      </c>
      <c r="C1745" t="s">
        <v>248</v>
      </c>
      <c r="D1745" t="s">
        <v>1</v>
      </c>
      <c r="E1745" t="s">
        <v>3663</v>
      </c>
      <c r="F1745" t="s">
        <v>3664</v>
      </c>
      <c r="G1745" t="s">
        <v>179</v>
      </c>
      <c r="H1745">
        <v>84</v>
      </c>
      <c r="I1745">
        <v>70.298000000000002</v>
      </c>
      <c r="J1745">
        <v>80.713999999999999</v>
      </c>
      <c r="K1745">
        <v>10.417</v>
      </c>
      <c r="L1745">
        <v>49</v>
      </c>
      <c r="M1745">
        <v>13</v>
      </c>
      <c r="N1745">
        <v>22</v>
      </c>
      <c r="O1745">
        <v>79.102999999999994</v>
      </c>
      <c r="P1745">
        <v>13.59916698</v>
      </c>
      <c r="Q1745">
        <v>12.685</v>
      </c>
    </row>
    <row r="1746" spans="1:17" x14ac:dyDescent="0.2">
      <c r="A1746" s="30" t="str">
        <f>IF(C1746&amp;G1746&amp;D1746&lt;&gt;'Funnel setup'!$K$3&amp;'Funnel setup'!$K$4&amp;'Funnel setup'!$K$5,".",IF(A1745=".",1,A1745+1))</f>
        <v>.</v>
      </c>
      <c r="B1746" s="431" t="str">
        <f t="shared" si="27"/>
        <v>Hip Replacement PrimaryProviderNORTH MIDDLESEX UNIVERSITY HOSPITAL NHS TRUST (RAP)EQ VAS</v>
      </c>
      <c r="C1746" t="s">
        <v>248</v>
      </c>
      <c r="D1746" t="s">
        <v>1</v>
      </c>
      <c r="E1746" t="s">
        <v>3666</v>
      </c>
      <c r="F1746" t="s">
        <v>3667</v>
      </c>
      <c r="G1746" t="s">
        <v>179</v>
      </c>
      <c r="H1746">
        <v>34</v>
      </c>
      <c r="I1746">
        <v>55.734999999999999</v>
      </c>
      <c r="J1746">
        <v>68.734999999999999</v>
      </c>
      <c r="K1746">
        <v>13</v>
      </c>
      <c r="L1746">
        <v>21</v>
      </c>
      <c r="M1746">
        <v>3</v>
      </c>
      <c r="N1746">
        <v>10</v>
      </c>
      <c r="O1746">
        <v>74.507000000000005</v>
      </c>
      <c r="P1746">
        <v>9.0030846120000003</v>
      </c>
      <c r="Q1746">
        <v>18.164999999999999</v>
      </c>
    </row>
    <row r="1747" spans="1:17" x14ac:dyDescent="0.2">
      <c r="A1747" s="30" t="str">
        <f>IF(C1747&amp;G1747&amp;D1747&lt;&gt;'Funnel setup'!$K$3&amp;'Funnel setup'!$K$4&amp;'Funnel setup'!$K$5,".",IF(A1746=".",1,A1746+1))</f>
        <v>.</v>
      </c>
      <c r="B1747" s="431" t="str">
        <f t="shared" si="27"/>
        <v>Hip Replacement PrimaryProviderNORTH TEES AND HARTLEPOOL NHS FOUNDATION TRUST (RVW)EQ VAS</v>
      </c>
      <c r="C1747" t="s">
        <v>248</v>
      </c>
      <c r="D1747" t="s">
        <v>1</v>
      </c>
      <c r="E1747" t="s">
        <v>3669</v>
      </c>
      <c r="F1747" t="s">
        <v>3670</v>
      </c>
      <c r="G1747" t="s">
        <v>179</v>
      </c>
      <c r="H1747">
        <v>200</v>
      </c>
      <c r="I1747">
        <v>62.17</v>
      </c>
      <c r="J1747">
        <v>74.34</v>
      </c>
      <c r="K1747">
        <v>12.17</v>
      </c>
      <c r="L1747">
        <v>130</v>
      </c>
      <c r="M1747">
        <v>15</v>
      </c>
      <c r="N1747">
        <v>55</v>
      </c>
      <c r="O1747">
        <v>77.832999999999998</v>
      </c>
      <c r="P1747">
        <v>12.328886389999999</v>
      </c>
      <c r="Q1747">
        <v>18.431999999999999</v>
      </c>
    </row>
    <row r="1748" spans="1:17" x14ac:dyDescent="0.2">
      <c r="A1748" s="30" t="str">
        <f>IF(C1748&amp;G1748&amp;D1748&lt;&gt;'Funnel setup'!$K$3&amp;'Funnel setup'!$K$4&amp;'Funnel setup'!$K$5,".",IF(A1747=".",1,A1747+1))</f>
        <v>.</v>
      </c>
      <c r="B1748" s="431" t="str">
        <f t="shared" si="27"/>
        <v>Hip Replacement PrimaryProviderNORTHAMPTON GENERAL HOSPITAL NHS TRUST (RNS)EQ VAS</v>
      </c>
      <c r="C1748" t="s">
        <v>248</v>
      </c>
      <c r="D1748" t="s">
        <v>1</v>
      </c>
      <c r="E1748" t="s">
        <v>3675</v>
      </c>
      <c r="F1748" t="s">
        <v>3676</v>
      </c>
      <c r="G1748" t="s">
        <v>179</v>
      </c>
      <c r="H1748">
        <v>166</v>
      </c>
      <c r="I1748">
        <v>65.825000000000003</v>
      </c>
      <c r="J1748">
        <v>76.421999999999997</v>
      </c>
      <c r="K1748">
        <v>10.596</v>
      </c>
      <c r="L1748">
        <v>107</v>
      </c>
      <c r="M1748">
        <v>23</v>
      </c>
      <c r="N1748">
        <v>36</v>
      </c>
      <c r="O1748">
        <v>77.784999999999997</v>
      </c>
      <c r="P1748">
        <v>12.28114381</v>
      </c>
      <c r="Q1748">
        <v>17.451000000000001</v>
      </c>
    </row>
    <row r="1749" spans="1:17" x14ac:dyDescent="0.2">
      <c r="A1749" s="30" t="str">
        <f>IF(C1749&amp;G1749&amp;D1749&lt;&gt;'Funnel setup'!$K$3&amp;'Funnel setup'!$K$4&amp;'Funnel setup'!$K$5,".",IF(A1748=".",1,A1748+1))</f>
        <v>.</v>
      </c>
      <c r="B1749" s="431" t="str">
        <f t="shared" si="27"/>
        <v>Hip Replacement PrimaryProviderNORTHERN DEVON HEALTHCARE NHS TRUST (RBZ)EQ VAS</v>
      </c>
      <c r="C1749" t="s">
        <v>248</v>
      </c>
      <c r="D1749" t="s">
        <v>1</v>
      </c>
      <c r="E1749" t="s">
        <v>3678</v>
      </c>
      <c r="F1749" t="s">
        <v>3679</v>
      </c>
      <c r="G1749" t="s">
        <v>179</v>
      </c>
      <c r="H1749">
        <v>249</v>
      </c>
      <c r="I1749">
        <v>63.811</v>
      </c>
      <c r="J1749">
        <v>76.325000000000003</v>
      </c>
      <c r="K1749">
        <v>12.513999999999999</v>
      </c>
      <c r="L1749">
        <v>178</v>
      </c>
      <c r="M1749">
        <v>17</v>
      </c>
      <c r="N1749">
        <v>54</v>
      </c>
      <c r="O1749">
        <v>77.218999999999994</v>
      </c>
      <c r="P1749">
        <v>11.71469424</v>
      </c>
      <c r="Q1749">
        <v>16.443000000000001</v>
      </c>
    </row>
    <row r="1750" spans="1:17" x14ac:dyDescent="0.2">
      <c r="A1750" s="30" t="str">
        <f>IF(C1750&amp;G1750&amp;D1750&lt;&gt;'Funnel setup'!$K$3&amp;'Funnel setup'!$K$4&amp;'Funnel setup'!$K$5,".",IF(A1749=".",1,A1749+1))</f>
        <v>.</v>
      </c>
      <c r="B1750" s="431" t="str">
        <f t="shared" si="27"/>
        <v>Hip Replacement PrimaryProviderNORTHERN LINCOLNSHIRE AND GOOLE NHS FOUNDATION TRUST (RJL)EQ VAS</v>
      </c>
      <c r="C1750" t="s">
        <v>248</v>
      </c>
      <c r="D1750" t="s">
        <v>1</v>
      </c>
      <c r="E1750" t="s">
        <v>3681</v>
      </c>
      <c r="F1750" t="s">
        <v>3682</v>
      </c>
      <c r="G1750" t="s">
        <v>179</v>
      </c>
      <c r="H1750">
        <v>230</v>
      </c>
      <c r="I1750">
        <v>66.2</v>
      </c>
      <c r="J1750">
        <v>77.265000000000001</v>
      </c>
      <c r="K1750">
        <v>11.065</v>
      </c>
      <c r="L1750">
        <v>159</v>
      </c>
      <c r="M1750">
        <v>22</v>
      </c>
      <c r="N1750">
        <v>49</v>
      </c>
      <c r="O1750">
        <v>78.001000000000005</v>
      </c>
      <c r="P1750">
        <v>12.49662245</v>
      </c>
      <c r="Q1750">
        <v>13.656000000000001</v>
      </c>
    </row>
    <row r="1751" spans="1:17" x14ac:dyDescent="0.2">
      <c r="A1751" s="30" t="str">
        <f>IF(C1751&amp;G1751&amp;D1751&lt;&gt;'Funnel setup'!$K$3&amp;'Funnel setup'!$K$4&amp;'Funnel setup'!$K$5,".",IF(A1750=".",1,A1750+1))</f>
        <v>.</v>
      </c>
      <c r="B1751" s="431" t="str">
        <f t="shared" si="27"/>
        <v>Hip Replacement PrimaryProviderNORTHUMBRIA HEALTHCARE NHS FOUNDATION TRUST (RTF)EQ VAS</v>
      </c>
      <c r="C1751" t="s">
        <v>248</v>
      </c>
      <c r="D1751" t="s">
        <v>1</v>
      </c>
      <c r="E1751" t="s">
        <v>3684</v>
      </c>
      <c r="F1751" t="s">
        <v>3685</v>
      </c>
      <c r="G1751" t="s">
        <v>179</v>
      </c>
      <c r="H1751">
        <v>584</v>
      </c>
      <c r="I1751">
        <v>63.603000000000002</v>
      </c>
      <c r="J1751">
        <v>78.221000000000004</v>
      </c>
      <c r="K1751">
        <v>14.618</v>
      </c>
      <c r="L1751">
        <v>418</v>
      </c>
      <c r="M1751">
        <v>63</v>
      </c>
      <c r="N1751">
        <v>103</v>
      </c>
      <c r="O1751">
        <v>79.108000000000004</v>
      </c>
      <c r="P1751">
        <v>13.60358467</v>
      </c>
      <c r="Q1751">
        <v>14.728999999999999</v>
      </c>
    </row>
    <row r="1752" spans="1:17" x14ac:dyDescent="0.2">
      <c r="A1752" s="30" t="str">
        <f>IF(C1752&amp;G1752&amp;D1752&lt;&gt;'Funnel setup'!$K$3&amp;'Funnel setup'!$K$4&amp;'Funnel setup'!$K$5,".",IF(A1751=".",1,A1751+1))</f>
        <v>.</v>
      </c>
      <c r="B1752" s="431" t="str">
        <f t="shared" si="27"/>
        <v>Hip Replacement PrimaryProviderNOTTINGHAM UNIVERSITY HOSPITALS NHS TRUST (RX1)EQ VAS</v>
      </c>
      <c r="C1752" t="s">
        <v>248</v>
      </c>
      <c r="D1752" t="s">
        <v>1</v>
      </c>
      <c r="E1752" t="s">
        <v>3687</v>
      </c>
      <c r="F1752" t="s">
        <v>3688</v>
      </c>
      <c r="G1752" t="s">
        <v>179</v>
      </c>
      <c r="H1752">
        <v>374</v>
      </c>
      <c r="I1752">
        <v>64.283000000000001</v>
      </c>
      <c r="J1752">
        <v>76.766999999999996</v>
      </c>
      <c r="K1752">
        <v>12.484</v>
      </c>
      <c r="L1752">
        <v>254</v>
      </c>
      <c r="M1752">
        <v>33</v>
      </c>
      <c r="N1752">
        <v>87</v>
      </c>
      <c r="O1752">
        <v>77.602999999999994</v>
      </c>
      <c r="P1752">
        <v>12.09906172</v>
      </c>
      <c r="Q1752">
        <v>15.295999999999999</v>
      </c>
    </row>
    <row r="1753" spans="1:17" x14ac:dyDescent="0.2">
      <c r="A1753" s="30" t="str">
        <f>IF(C1753&amp;G1753&amp;D1753&lt;&gt;'Funnel setup'!$K$3&amp;'Funnel setup'!$K$4&amp;'Funnel setup'!$K$5,".",IF(A1752=".",1,A1752+1))</f>
        <v>.</v>
      </c>
      <c r="B1753" s="431" t="str">
        <f t="shared" si="27"/>
        <v>Hip Replacement PrimaryProviderNUFFIELD HEALTH, BRENTWOOD HOSPITAL (NT204)EQ VAS</v>
      </c>
      <c r="C1753" t="s">
        <v>248</v>
      </c>
      <c r="D1753" t="s">
        <v>1</v>
      </c>
      <c r="E1753" t="s">
        <v>3691</v>
      </c>
      <c r="F1753" t="s">
        <v>3692</v>
      </c>
      <c r="G1753" t="s">
        <v>179</v>
      </c>
      <c r="H1753">
        <v>63</v>
      </c>
      <c r="I1753">
        <v>64.332999999999998</v>
      </c>
      <c r="J1753">
        <v>78.27</v>
      </c>
      <c r="K1753">
        <v>13.936999999999999</v>
      </c>
      <c r="L1753">
        <v>43</v>
      </c>
      <c r="M1753">
        <v>6</v>
      </c>
      <c r="N1753">
        <v>14</v>
      </c>
      <c r="O1753">
        <v>76.858000000000004</v>
      </c>
      <c r="P1753">
        <v>11.35336805</v>
      </c>
      <c r="Q1753">
        <v>15.715</v>
      </c>
    </row>
    <row r="1754" spans="1:17" x14ac:dyDescent="0.2">
      <c r="A1754" s="30" t="str">
        <f>IF(C1754&amp;G1754&amp;D1754&lt;&gt;'Funnel setup'!$K$3&amp;'Funnel setup'!$K$4&amp;'Funnel setup'!$K$5,".",IF(A1753=".",1,A1753+1))</f>
        <v>.</v>
      </c>
      <c r="B1754" s="431" t="str">
        <f t="shared" si="27"/>
        <v>Hip Replacement PrimaryProviderNUFFIELD HEALTH, BRIGHTON HOSPITAL (NT205)EQ VAS</v>
      </c>
      <c r="C1754" t="s">
        <v>248</v>
      </c>
      <c r="D1754" t="s">
        <v>1</v>
      </c>
      <c r="E1754" t="s">
        <v>3697</v>
      </c>
      <c r="F1754" t="s">
        <v>3698</v>
      </c>
      <c r="G1754" t="s">
        <v>179</v>
      </c>
      <c r="H1754" t="s">
        <v>53</v>
      </c>
      <c r="I1754" t="s">
        <v>53</v>
      </c>
      <c r="J1754" t="s">
        <v>53</v>
      </c>
      <c r="K1754" t="s">
        <v>53</v>
      </c>
      <c r="L1754" t="s">
        <v>53</v>
      </c>
      <c r="M1754" t="s">
        <v>53</v>
      </c>
      <c r="N1754" t="s">
        <v>53</v>
      </c>
      <c r="O1754" t="s">
        <v>53</v>
      </c>
      <c r="P1754" t="s">
        <v>53</v>
      </c>
      <c r="Q1754" t="s">
        <v>53</v>
      </c>
    </row>
    <row r="1755" spans="1:17" x14ac:dyDescent="0.2">
      <c r="A1755" s="30" t="str">
        <f>IF(C1755&amp;G1755&amp;D1755&lt;&gt;'Funnel setup'!$K$3&amp;'Funnel setup'!$K$4&amp;'Funnel setup'!$K$5,".",IF(A1754=".",1,A1754+1))</f>
        <v>.</v>
      </c>
      <c r="B1755" s="431" t="str">
        <f t="shared" si="27"/>
        <v>Hip Replacement PrimaryProviderNUFFIELD HEALTH, BRISTOL HOSPITAL (CHESTERFIELD) (NT206)EQ VAS</v>
      </c>
      <c r="C1755" t="s">
        <v>248</v>
      </c>
      <c r="D1755" t="s">
        <v>1</v>
      </c>
      <c r="E1755" t="s">
        <v>3700</v>
      </c>
      <c r="F1755" t="s">
        <v>3701</v>
      </c>
      <c r="G1755" t="s">
        <v>179</v>
      </c>
      <c r="H1755">
        <v>11</v>
      </c>
      <c r="I1755">
        <v>44.454999999999998</v>
      </c>
      <c r="J1755">
        <v>82.454999999999998</v>
      </c>
      <c r="K1755">
        <v>38</v>
      </c>
      <c r="L1755">
        <v>9</v>
      </c>
      <c r="M1755">
        <v>1</v>
      </c>
      <c r="N1755">
        <v>1</v>
      </c>
      <c r="O1755" t="s">
        <v>53</v>
      </c>
      <c r="P1755" t="s">
        <v>53</v>
      </c>
      <c r="Q1755" t="s">
        <v>53</v>
      </c>
    </row>
    <row r="1756" spans="1:17" x14ac:dyDescent="0.2">
      <c r="A1756" s="30" t="str">
        <f>IF(C1756&amp;G1756&amp;D1756&lt;&gt;'Funnel setup'!$K$3&amp;'Funnel setup'!$K$4&amp;'Funnel setup'!$K$5,".",IF(A1755=".",1,A1755+1))</f>
        <v>.</v>
      </c>
      <c r="B1756" s="431" t="str">
        <f t="shared" si="27"/>
        <v>Hip Replacement PrimaryProviderNUFFIELD HEALTH, CAMBRIDGE HOSPITAL (NT209)EQ VAS</v>
      </c>
      <c r="C1756" t="s">
        <v>248</v>
      </c>
      <c r="D1756" t="s">
        <v>1</v>
      </c>
      <c r="E1756" t="s">
        <v>4477</v>
      </c>
      <c r="F1756" t="s">
        <v>4478</v>
      </c>
      <c r="G1756" t="s">
        <v>179</v>
      </c>
      <c r="H1756">
        <v>16</v>
      </c>
      <c r="I1756">
        <v>63.438000000000002</v>
      </c>
      <c r="J1756">
        <v>87.938000000000002</v>
      </c>
      <c r="K1756">
        <v>24.5</v>
      </c>
      <c r="L1756">
        <v>15</v>
      </c>
      <c r="M1756">
        <v>0</v>
      </c>
      <c r="N1756">
        <v>1</v>
      </c>
      <c r="O1756" t="s">
        <v>53</v>
      </c>
      <c r="P1756" t="s">
        <v>53</v>
      </c>
      <c r="Q1756" t="s">
        <v>53</v>
      </c>
    </row>
    <row r="1757" spans="1:17" x14ac:dyDescent="0.2">
      <c r="A1757" s="30" t="str">
        <f>IF(C1757&amp;G1757&amp;D1757&lt;&gt;'Funnel setup'!$K$3&amp;'Funnel setup'!$K$4&amp;'Funnel setup'!$K$5,".",IF(A1756=".",1,A1756+1))</f>
        <v>.</v>
      </c>
      <c r="B1757" s="431" t="str">
        <f t="shared" si="27"/>
        <v>Hip Replacement PrimaryProviderNUFFIELD HEALTH, CHELTENHAM HOSPITAL (NT211)EQ VAS</v>
      </c>
      <c r="C1757" t="s">
        <v>248</v>
      </c>
      <c r="D1757" t="s">
        <v>1</v>
      </c>
      <c r="E1757" t="s">
        <v>3703</v>
      </c>
      <c r="F1757" t="s">
        <v>3704</v>
      </c>
      <c r="G1757" t="s">
        <v>179</v>
      </c>
      <c r="H1757" t="s">
        <v>53</v>
      </c>
      <c r="I1757" t="s">
        <v>53</v>
      </c>
      <c r="J1757" t="s">
        <v>53</v>
      </c>
      <c r="K1757" t="s">
        <v>53</v>
      </c>
      <c r="L1757" t="s">
        <v>53</v>
      </c>
      <c r="M1757" t="s">
        <v>53</v>
      </c>
      <c r="N1757" t="s">
        <v>53</v>
      </c>
      <c r="O1757" t="s">
        <v>53</v>
      </c>
      <c r="P1757" t="s">
        <v>53</v>
      </c>
      <c r="Q1757" t="s">
        <v>53</v>
      </c>
    </row>
    <row r="1758" spans="1:17" x14ac:dyDescent="0.2">
      <c r="A1758" s="30" t="str">
        <f>IF(C1758&amp;G1758&amp;D1758&lt;&gt;'Funnel setup'!$K$3&amp;'Funnel setup'!$K$4&amp;'Funnel setup'!$K$5,".",IF(A1757=".",1,A1757+1))</f>
        <v>.</v>
      </c>
      <c r="B1758" s="431" t="str">
        <f t="shared" si="27"/>
        <v>Hip Replacement PrimaryProviderNUFFIELD HEALTH, CHICHESTER HOSPITAL (NT212)EQ VAS</v>
      </c>
      <c r="C1758" t="s">
        <v>248</v>
      </c>
      <c r="D1758" t="s">
        <v>1</v>
      </c>
      <c r="E1758" t="s">
        <v>4334</v>
      </c>
      <c r="F1758" t="s">
        <v>4335</v>
      </c>
      <c r="G1758" t="s">
        <v>179</v>
      </c>
      <c r="H1758">
        <v>13</v>
      </c>
      <c r="I1758">
        <v>67.537999999999997</v>
      </c>
      <c r="J1758">
        <v>86.846000000000004</v>
      </c>
      <c r="K1758">
        <v>19.308</v>
      </c>
      <c r="L1758">
        <v>11</v>
      </c>
      <c r="M1758">
        <v>2</v>
      </c>
      <c r="N1758">
        <v>0</v>
      </c>
      <c r="O1758" t="s">
        <v>53</v>
      </c>
      <c r="P1758" t="s">
        <v>53</v>
      </c>
      <c r="Q1758" t="s">
        <v>53</v>
      </c>
    </row>
    <row r="1759" spans="1:17" x14ac:dyDescent="0.2">
      <c r="A1759" s="30" t="str">
        <f>IF(C1759&amp;G1759&amp;D1759&lt;&gt;'Funnel setup'!$K$3&amp;'Funnel setup'!$K$4&amp;'Funnel setup'!$K$5,".",IF(A1758=".",1,A1758+1))</f>
        <v>.</v>
      </c>
      <c r="B1759" s="431" t="str">
        <f t="shared" si="27"/>
        <v>Hip Replacement PrimaryProviderNUFFIELD HEALTH, DERBY HOSPITAL (NT213)EQ VAS</v>
      </c>
      <c r="C1759" t="s">
        <v>248</v>
      </c>
      <c r="D1759" t="s">
        <v>1</v>
      </c>
      <c r="E1759" t="s">
        <v>3340</v>
      </c>
      <c r="F1759" t="s">
        <v>3341</v>
      </c>
      <c r="G1759" t="s">
        <v>179</v>
      </c>
      <c r="H1759">
        <v>135</v>
      </c>
      <c r="I1759">
        <v>67.111000000000004</v>
      </c>
      <c r="J1759">
        <v>79.984999999999999</v>
      </c>
      <c r="K1759">
        <v>12.874000000000001</v>
      </c>
      <c r="L1759">
        <v>95</v>
      </c>
      <c r="M1759">
        <v>18</v>
      </c>
      <c r="N1759">
        <v>22</v>
      </c>
      <c r="O1759">
        <v>77.39</v>
      </c>
      <c r="P1759">
        <v>11.885480980000001</v>
      </c>
      <c r="Q1759">
        <v>15.01</v>
      </c>
    </row>
    <row r="1760" spans="1:17" x14ac:dyDescent="0.2">
      <c r="A1760" s="30" t="str">
        <f>IF(C1760&amp;G1760&amp;D1760&lt;&gt;'Funnel setup'!$K$3&amp;'Funnel setup'!$K$4&amp;'Funnel setup'!$K$5,".",IF(A1759=".",1,A1759+1))</f>
        <v>.</v>
      </c>
      <c r="B1760" s="431" t="str">
        <f t="shared" si="27"/>
        <v>Hip Replacement PrimaryProviderNUFFIELD HEALTH, EXETER HOSPITAL (NT215)EQ VAS</v>
      </c>
      <c r="C1760" t="s">
        <v>248</v>
      </c>
      <c r="D1760" t="s">
        <v>1</v>
      </c>
      <c r="E1760" t="s">
        <v>4339</v>
      </c>
      <c r="F1760" t="s">
        <v>4340</v>
      </c>
      <c r="G1760" t="s">
        <v>179</v>
      </c>
      <c r="H1760">
        <v>40</v>
      </c>
      <c r="I1760">
        <v>72.025000000000006</v>
      </c>
      <c r="J1760">
        <v>81.075000000000003</v>
      </c>
      <c r="K1760">
        <v>9.0500000000000007</v>
      </c>
      <c r="L1760">
        <v>24</v>
      </c>
      <c r="M1760">
        <v>6</v>
      </c>
      <c r="N1760">
        <v>10</v>
      </c>
      <c r="O1760">
        <v>76.451999999999998</v>
      </c>
      <c r="P1760">
        <v>10.94769123</v>
      </c>
      <c r="Q1760">
        <v>15.657999999999999</v>
      </c>
    </row>
    <row r="1761" spans="1:17" x14ac:dyDescent="0.2">
      <c r="A1761" s="30" t="str">
        <f>IF(C1761&amp;G1761&amp;D1761&lt;&gt;'Funnel setup'!$K$3&amp;'Funnel setup'!$K$4&amp;'Funnel setup'!$K$5,".",IF(A1760=".",1,A1760+1))</f>
        <v>.</v>
      </c>
      <c r="B1761" s="431" t="str">
        <f t="shared" si="27"/>
        <v>Hip Replacement PrimaryProviderNUFFIELD HEALTH, HAYWARDS HEATH HOSPITAL (NT218)EQ VAS</v>
      </c>
      <c r="C1761" t="s">
        <v>248</v>
      </c>
      <c r="D1761" t="s">
        <v>1</v>
      </c>
      <c r="E1761" t="s">
        <v>4342</v>
      </c>
      <c r="F1761" t="s">
        <v>4343</v>
      </c>
      <c r="G1761" t="s">
        <v>179</v>
      </c>
      <c r="H1761">
        <v>23</v>
      </c>
      <c r="I1761">
        <v>75.174000000000007</v>
      </c>
      <c r="J1761">
        <v>80.391000000000005</v>
      </c>
      <c r="K1761">
        <v>5.2169999999999996</v>
      </c>
      <c r="L1761">
        <v>14</v>
      </c>
      <c r="M1761">
        <v>3</v>
      </c>
      <c r="N1761">
        <v>6</v>
      </c>
      <c r="O1761" t="s">
        <v>53</v>
      </c>
      <c r="P1761" t="s">
        <v>53</v>
      </c>
      <c r="Q1761" t="s">
        <v>53</v>
      </c>
    </row>
    <row r="1762" spans="1:17" x14ac:dyDescent="0.2">
      <c r="A1762" s="30" t="str">
        <f>IF(C1762&amp;G1762&amp;D1762&lt;&gt;'Funnel setup'!$K$3&amp;'Funnel setup'!$K$4&amp;'Funnel setup'!$K$5,".",IF(A1761=".",1,A1761+1))</f>
        <v>.</v>
      </c>
      <c r="B1762" s="431" t="str">
        <f t="shared" si="27"/>
        <v>Hip Replacement PrimaryProviderNUFFIELD HEALTH, HEREFORD HOSPITAL (NT219)EQ VAS</v>
      </c>
      <c r="C1762" t="s">
        <v>248</v>
      </c>
      <c r="D1762" t="s">
        <v>1</v>
      </c>
      <c r="E1762" t="s">
        <v>3343</v>
      </c>
      <c r="F1762" t="s">
        <v>3344</v>
      </c>
      <c r="G1762" t="s">
        <v>179</v>
      </c>
      <c r="H1762">
        <v>65</v>
      </c>
      <c r="I1762">
        <v>67.061999999999998</v>
      </c>
      <c r="J1762">
        <v>78.537999999999997</v>
      </c>
      <c r="K1762">
        <v>11.477</v>
      </c>
      <c r="L1762">
        <v>43</v>
      </c>
      <c r="M1762">
        <v>4</v>
      </c>
      <c r="N1762">
        <v>18</v>
      </c>
      <c r="O1762">
        <v>76.763999999999996</v>
      </c>
      <c r="P1762">
        <v>11.259666749999999</v>
      </c>
      <c r="Q1762">
        <v>17.856999999999999</v>
      </c>
    </row>
    <row r="1763" spans="1:17" x14ac:dyDescent="0.2">
      <c r="A1763" s="30" t="str">
        <f>IF(C1763&amp;G1763&amp;D1763&lt;&gt;'Funnel setup'!$K$3&amp;'Funnel setup'!$K$4&amp;'Funnel setup'!$K$5,".",IF(A1762=".",1,A1762+1))</f>
        <v>.</v>
      </c>
      <c r="B1763" s="431" t="str">
        <f t="shared" si="27"/>
        <v>Hip Replacement PrimaryProviderNUFFIELD HEALTH, IPSWICH HOSPITAL (NT222)EQ VAS</v>
      </c>
      <c r="C1763" t="s">
        <v>248</v>
      </c>
      <c r="D1763" t="s">
        <v>1</v>
      </c>
      <c r="E1763" t="s">
        <v>3385</v>
      </c>
      <c r="F1763" t="s">
        <v>3386</v>
      </c>
      <c r="G1763" t="s">
        <v>179</v>
      </c>
      <c r="H1763">
        <v>127</v>
      </c>
      <c r="I1763">
        <v>72.448999999999998</v>
      </c>
      <c r="J1763">
        <v>80.826999999999998</v>
      </c>
      <c r="K1763">
        <v>8.3780000000000001</v>
      </c>
      <c r="L1763">
        <v>80</v>
      </c>
      <c r="M1763">
        <v>13</v>
      </c>
      <c r="N1763">
        <v>34</v>
      </c>
      <c r="O1763">
        <v>77.855000000000004</v>
      </c>
      <c r="P1763">
        <v>12.35047078</v>
      </c>
      <c r="Q1763">
        <v>15.257999999999999</v>
      </c>
    </row>
    <row r="1764" spans="1:17" x14ac:dyDescent="0.2">
      <c r="A1764" s="30" t="str">
        <f>IF(C1764&amp;G1764&amp;D1764&lt;&gt;'Funnel setup'!$K$3&amp;'Funnel setup'!$K$4&amp;'Funnel setup'!$K$5,".",IF(A1763=".",1,A1763+1))</f>
        <v>.</v>
      </c>
      <c r="B1764" s="431" t="str">
        <f t="shared" si="27"/>
        <v>Hip Replacement PrimaryProviderNUFFIELD HEALTH, LEEDS HOSPITAL (NT225)EQ VAS</v>
      </c>
      <c r="C1764" t="s">
        <v>248</v>
      </c>
      <c r="D1764" t="s">
        <v>1</v>
      </c>
      <c r="E1764" t="s">
        <v>3388</v>
      </c>
      <c r="F1764" t="s">
        <v>3389</v>
      </c>
      <c r="G1764" t="s">
        <v>179</v>
      </c>
      <c r="H1764">
        <v>110</v>
      </c>
      <c r="I1764">
        <v>65.963999999999999</v>
      </c>
      <c r="J1764">
        <v>76.444999999999993</v>
      </c>
      <c r="K1764">
        <v>10.481999999999999</v>
      </c>
      <c r="L1764">
        <v>66</v>
      </c>
      <c r="M1764">
        <v>16</v>
      </c>
      <c r="N1764">
        <v>28</v>
      </c>
      <c r="O1764">
        <v>75.468000000000004</v>
      </c>
      <c r="P1764">
        <v>9.9637368819999992</v>
      </c>
      <c r="Q1764">
        <v>16.233000000000001</v>
      </c>
    </row>
    <row r="1765" spans="1:17" x14ac:dyDescent="0.2">
      <c r="A1765" s="30" t="str">
        <f>IF(C1765&amp;G1765&amp;D1765&lt;&gt;'Funnel setup'!$K$3&amp;'Funnel setup'!$K$4&amp;'Funnel setup'!$K$5,".",IF(A1764=".",1,A1764+1))</f>
        <v>.</v>
      </c>
      <c r="B1765" s="431" t="str">
        <f t="shared" si="27"/>
        <v>Hip Replacement PrimaryProviderNUFFIELD HEALTH, LEICESTER HOSPITAL (NT226)EQ VAS</v>
      </c>
      <c r="C1765" t="s">
        <v>248</v>
      </c>
      <c r="D1765" t="s">
        <v>1</v>
      </c>
      <c r="E1765" t="s">
        <v>3391</v>
      </c>
      <c r="F1765" t="s">
        <v>3392</v>
      </c>
      <c r="G1765" t="s">
        <v>179</v>
      </c>
      <c r="H1765">
        <v>25</v>
      </c>
      <c r="I1765">
        <v>62.6</v>
      </c>
      <c r="J1765">
        <v>77.12</v>
      </c>
      <c r="K1765">
        <v>14.52</v>
      </c>
      <c r="L1765">
        <v>18</v>
      </c>
      <c r="M1765">
        <v>2</v>
      </c>
      <c r="N1765">
        <v>5</v>
      </c>
      <c r="O1765" t="s">
        <v>53</v>
      </c>
      <c r="P1765" t="s">
        <v>53</v>
      </c>
      <c r="Q1765" t="s">
        <v>53</v>
      </c>
    </row>
    <row r="1766" spans="1:17" x14ac:dyDescent="0.2">
      <c r="A1766" s="30" t="str">
        <f>IF(C1766&amp;G1766&amp;D1766&lt;&gt;'Funnel setup'!$K$3&amp;'Funnel setup'!$K$4&amp;'Funnel setup'!$K$5,".",IF(A1765=".",1,A1765+1))</f>
        <v>.</v>
      </c>
      <c r="B1766" s="431" t="str">
        <f t="shared" si="27"/>
        <v>Hip Replacement PrimaryProviderNUFFIELD HEALTH, NEWCASTLE UPON TYNE HOSPITAL (NT229)EQ VAS</v>
      </c>
      <c r="C1766" t="s">
        <v>248</v>
      </c>
      <c r="D1766" t="s">
        <v>1</v>
      </c>
      <c r="E1766" t="s">
        <v>3394</v>
      </c>
      <c r="F1766" t="s">
        <v>3395</v>
      </c>
      <c r="G1766" t="s">
        <v>179</v>
      </c>
      <c r="H1766">
        <v>32</v>
      </c>
      <c r="I1766">
        <v>71.813000000000002</v>
      </c>
      <c r="J1766">
        <v>79.218999999999994</v>
      </c>
      <c r="K1766">
        <v>7.4059999999999997</v>
      </c>
      <c r="L1766">
        <v>20</v>
      </c>
      <c r="M1766">
        <v>5</v>
      </c>
      <c r="N1766">
        <v>7</v>
      </c>
      <c r="O1766">
        <v>76.781000000000006</v>
      </c>
      <c r="P1766">
        <v>11.276500929999999</v>
      </c>
      <c r="Q1766">
        <v>13.13</v>
      </c>
    </row>
    <row r="1767" spans="1:17" x14ac:dyDescent="0.2">
      <c r="A1767" s="30" t="str">
        <f>IF(C1767&amp;G1767&amp;D1767&lt;&gt;'Funnel setup'!$K$3&amp;'Funnel setup'!$K$4&amp;'Funnel setup'!$K$5,".",IF(A1766=".",1,A1766+1))</f>
        <v>.</v>
      </c>
      <c r="B1767" s="431" t="str">
        <f t="shared" si="27"/>
        <v>Hip Replacement PrimaryProviderNUFFIELD HEALTH, NORTH STAFFORDSHIRE HOSPITAL (NT230)EQ VAS</v>
      </c>
      <c r="C1767" t="s">
        <v>248</v>
      </c>
      <c r="D1767" t="s">
        <v>1</v>
      </c>
      <c r="E1767" t="s">
        <v>3397</v>
      </c>
      <c r="F1767" t="s">
        <v>3398</v>
      </c>
      <c r="G1767" t="s">
        <v>179</v>
      </c>
      <c r="H1767">
        <v>112</v>
      </c>
      <c r="I1767">
        <v>60.616</v>
      </c>
      <c r="J1767">
        <v>81.536000000000001</v>
      </c>
      <c r="K1767">
        <v>20.92</v>
      </c>
      <c r="L1767">
        <v>91</v>
      </c>
      <c r="M1767">
        <v>7</v>
      </c>
      <c r="N1767">
        <v>14</v>
      </c>
      <c r="O1767">
        <v>82.960999999999999</v>
      </c>
      <c r="P1767">
        <v>17.456315180000001</v>
      </c>
      <c r="Q1767">
        <v>13.907999999999999</v>
      </c>
    </row>
    <row r="1768" spans="1:17" x14ac:dyDescent="0.2">
      <c r="A1768" s="30" t="str">
        <f>IF(C1768&amp;G1768&amp;D1768&lt;&gt;'Funnel setup'!$K$3&amp;'Funnel setup'!$K$4&amp;'Funnel setup'!$K$5,".",IF(A1767=".",1,A1767+1))</f>
        <v>.</v>
      </c>
      <c r="B1768" s="431" t="str">
        <f t="shared" si="27"/>
        <v>Hip Replacement PrimaryProviderNUFFIELD HEALTH, PLYMOUTH HOSPITAL (NT233)EQ VAS</v>
      </c>
      <c r="C1768" t="s">
        <v>248</v>
      </c>
      <c r="D1768" t="s">
        <v>1</v>
      </c>
      <c r="E1768" t="s">
        <v>3400</v>
      </c>
      <c r="F1768" t="s">
        <v>3401</v>
      </c>
      <c r="G1768" t="s">
        <v>179</v>
      </c>
      <c r="H1768">
        <v>75</v>
      </c>
      <c r="I1768">
        <v>66.972999999999999</v>
      </c>
      <c r="J1768">
        <v>78.52</v>
      </c>
      <c r="K1768">
        <v>11.547000000000001</v>
      </c>
      <c r="L1768">
        <v>48</v>
      </c>
      <c r="M1768">
        <v>10</v>
      </c>
      <c r="N1768">
        <v>17</v>
      </c>
      <c r="O1768">
        <v>76.412000000000006</v>
      </c>
      <c r="P1768">
        <v>10.907970410000001</v>
      </c>
      <c r="Q1768">
        <v>13.074999999999999</v>
      </c>
    </row>
    <row r="1769" spans="1:17" x14ac:dyDescent="0.2">
      <c r="A1769" s="30" t="str">
        <f>IF(C1769&amp;G1769&amp;D1769&lt;&gt;'Funnel setup'!$K$3&amp;'Funnel setup'!$K$4&amp;'Funnel setup'!$K$5,".",IF(A1768=".",1,A1768+1))</f>
        <v>.</v>
      </c>
      <c r="B1769" s="431" t="str">
        <f t="shared" si="27"/>
        <v>Hip Replacement PrimaryProviderNUFFIELD HEALTH, SHREWSBURY HOSPITAL (NT235)EQ VAS</v>
      </c>
      <c r="C1769" t="s">
        <v>248</v>
      </c>
      <c r="D1769" t="s">
        <v>1</v>
      </c>
      <c r="E1769" t="s">
        <v>3240</v>
      </c>
      <c r="F1769" t="s">
        <v>3241</v>
      </c>
      <c r="G1769" t="s">
        <v>179</v>
      </c>
      <c r="H1769" t="s">
        <v>53</v>
      </c>
      <c r="I1769" t="s">
        <v>53</v>
      </c>
      <c r="J1769" t="s">
        <v>53</v>
      </c>
      <c r="K1769" t="s">
        <v>53</v>
      </c>
      <c r="L1769" t="s">
        <v>53</v>
      </c>
      <c r="M1769" t="s">
        <v>53</v>
      </c>
      <c r="N1769" t="s">
        <v>53</v>
      </c>
      <c r="O1769" t="s">
        <v>53</v>
      </c>
      <c r="P1769" t="s">
        <v>53</v>
      </c>
      <c r="Q1769" t="s">
        <v>53</v>
      </c>
    </row>
    <row r="1770" spans="1:17" x14ac:dyDescent="0.2">
      <c r="A1770" s="30" t="str">
        <f>IF(C1770&amp;G1770&amp;D1770&lt;&gt;'Funnel setup'!$K$3&amp;'Funnel setup'!$K$4&amp;'Funnel setup'!$K$5,".",IF(A1769=".",1,A1769+1))</f>
        <v>.</v>
      </c>
      <c r="B1770" s="431" t="str">
        <f t="shared" si="27"/>
        <v>Hip Replacement PrimaryProviderNUFFIELD HEALTH, TAUNTON HOSPITAL (NT238)EQ VAS</v>
      </c>
      <c r="C1770" t="s">
        <v>248</v>
      </c>
      <c r="D1770" t="s">
        <v>1</v>
      </c>
      <c r="E1770" t="s">
        <v>3243</v>
      </c>
      <c r="F1770" t="s">
        <v>3244</v>
      </c>
      <c r="G1770" t="s">
        <v>179</v>
      </c>
      <c r="H1770">
        <v>76</v>
      </c>
      <c r="I1770">
        <v>70.632000000000005</v>
      </c>
      <c r="J1770">
        <v>77.933999999999997</v>
      </c>
      <c r="K1770">
        <v>7.3029999999999999</v>
      </c>
      <c r="L1770">
        <v>49</v>
      </c>
      <c r="M1770">
        <v>10</v>
      </c>
      <c r="N1770">
        <v>17</v>
      </c>
      <c r="O1770">
        <v>74.438000000000002</v>
      </c>
      <c r="P1770">
        <v>8.9334577740000007</v>
      </c>
      <c r="Q1770">
        <v>15.127000000000001</v>
      </c>
    </row>
    <row r="1771" spans="1:17" x14ac:dyDescent="0.2">
      <c r="A1771" s="30" t="str">
        <f>IF(C1771&amp;G1771&amp;D1771&lt;&gt;'Funnel setup'!$K$3&amp;'Funnel setup'!$K$4&amp;'Funnel setup'!$K$5,".",IF(A1770=".",1,A1770+1))</f>
        <v>.</v>
      </c>
      <c r="B1771" s="431" t="str">
        <f t="shared" si="27"/>
        <v>Hip Replacement PrimaryProviderNUFFIELD HEALTH, TEES HOSPITAL (NT237)EQ VAS</v>
      </c>
      <c r="C1771" t="s">
        <v>248</v>
      </c>
      <c r="D1771" t="s">
        <v>1</v>
      </c>
      <c r="E1771" t="s">
        <v>3246</v>
      </c>
      <c r="F1771" t="s">
        <v>3247</v>
      </c>
      <c r="G1771" t="s">
        <v>179</v>
      </c>
      <c r="H1771">
        <v>87</v>
      </c>
      <c r="I1771">
        <v>65.712999999999994</v>
      </c>
      <c r="J1771">
        <v>77.700999999999993</v>
      </c>
      <c r="K1771">
        <v>11.989000000000001</v>
      </c>
      <c r="L1771">
        <v>61</v>
      </c>
      <c r="M1771">
        <v>10</v>
      </c>
      <c r="N1771">
        <v>16</v>
      </c>
      <c r="O1771">
        <v>76.513000000000005</v>
      </c>
      <c r="P1771">
        <v>11.008517319999999</v>
      </c>
      <c r="Q1771">
        <v>13.705</v>
      </c>
    </row>
    <row r="1772" spans="1:17" x14ac:dyDescent="0.2">
      <c r="A1772" s="30" t="str">
        <f>IF(C1772&amp;G1772&amp;D1772&lt;&gt;'Funnel setup'!$K$3&amp;'Funnel setup'!$K$4&amp;'Funnel setup'!$K$5,".",IF(A1771=".",1,A1771+1))</f>
        <v>.</v>
      </c>
      <c r="B1772" s="431" t="str">
        <f t="shared" si="27"/>
        <v>Hip Replacement PrimaryProviderNUFFIELD HEALTH, THE GROSVENOR HOSPITAL, CHESTER (NT210)EQ VAS</v>
      </c>
      <c r="C1772" t="s">
        <v>248</v>
      </c>
      <c r="D1772" t="s">
        <v>1</v>
      </c>
      <c r="E1772" t="s">
        <v>3249</v>
      </c>
      <c r="F1772" t="s">
        <v>3250</v>
      </c>
      <c r="G1772" t="s">
        <v>179</v>
      </c>
      <c r="H1772">
        <v>55</v>
      </c>
      <c r="I1772">
        <v>66.509</v>
      </c>
      <c r="J1772">
        <v>80.344999999999999</v>
      </c>
      <c r="K1772">
        <v>13.836</v>
      </c>
      <c r="L1772">
        <v>35</v>
      </c>
      <c r="M1772">
        <v>9</v>
      </c>
      <c r="N1772">
        <v>11</v>
      </c>
      <c r="O1772">
        <v>76.542000000000002</v>
      </c>
      <c r="P1772">
        <v>11.03788423</v>
      </c>
      <c r="Q1772">
        <v>13.49</v>
      </c>
    </row>
    <row r="1773" spans="1:17" x14ac:dyDescent="0.2">
      <c r="A1773" s="30" t="str">
        <f>IF(C1773&amp;G1773&amp;D1773&lt;&gt;'Funnel setup'!$K$3&amp;'Funnel setup'!$K$4&amp;'Funnel setup'!$K$5,".",IF(A1772=".",1,A1772+1))</f>
        <v>.</v>
      </c>
      <c r="B1773" s="431" t="str">
        <f t="shared" si="27"/>
        <v>Hip Replacement PrimaryProviderNUFFIELD HEALTH, TUNBRIDGE WELLS HOSPITAL (NT239)EQ VAS</v>
      </c>
      <c r="C1773" t="s">
        <v>248</v>
      </c>
      <c r="D1773" t="s">
        <v>1</v>
      </c>
      <c r="E1773" t="s">
        <v>3252</v>
      </c>
      <c r="F1773" t="s">
        <v>3253</v>
      </c>
      <c r="G1773" t="s">
        <v>179</v>
      </c>
      <c r="H1773" t="s">
        <v>53</v>
      </c>
      <c r="I1773" t="s">
        <v>53</v>
      </c>
      <c r="J1773" t="s">
        <v>53</v>
      </c>
      <c r="K1773" t="s">
        <v>53</v>
      </c>
      <c r="L1773" t="s">
        <v>53</v>
      </c>
      <c r="M1773" t="s">
        <v>53</v>
      </c>
      <c r="N1773" t="s">
        <v>53</v>
      </c>
      <c r="O1773" t="s">
        <v>53</v>
      </c>
      <c r="P1773" t="s">
        <v>53</v>
      </c>
      <c r="Q1773" t="s">
        <v>53</v>
      </c>
    </row>
    <row r="1774" spans="1:17" x14ac:dyDescent="0.2">
      <c r="A1774" s="30" t="str">
        <f>IF(C1774&amp;G1774&amp;D1774&lt;&gt;'Funnel setup'!$K$3&amp;'Funnel setup'!$K$4&amp;'Funnel setup'!$K$5,".",IF(A1773=".",1,A1773+1))</f>
        <v>.</v>
      </c>
      <c r="B1774" s="431" t="str">
        <f t="shared" si="27"/>
        <v>Hip Replacement PrimaryProviderNUFFIELD HEALTH, WARWICKSHIRE HOSPITAL (NT224)EQ VAS</v>
      </c>
      <c r="C1774" t="s">
        <v>248</v>
      </c>
      <c r="D1774" t="s">
        <v>1</v>
      </c>
      <c r="E1774" t="s">
        <v>3255</v>
      </c>
      <c r="F1774" t="s">
        <v>3256</v>
      </c>
      <c r="G1774" t="s">
        <v>179</v>
      </c>
      <c r="H1774">
        <v>9</v>
      </c>
      <c r="I1774">
        <v>70.221999999999994</v>
      </c>
      <c r="J1774">
        <v>76.111000000000004</v>
      </c>
      <c r="K1774">
        <v>5.8890000000000002</v>
      </c>
      <c r="L1774">
        <v>6</v>
      </c>
      <c r="M1774">
        <v>1</v>
      </c>
      <c r="N1774">
        <v>2</v>
      </c>
      <c r="O1774" t="s">
        <v>53</v>
      </c>
      <c r="P1774" t="s">
        <v>53</v>
      </c>
      <c r="Q1774" t="s">
        <v>53</v>
      </c>
    </row>
    <row r="1775" spans="1:17" x14ac:dyDescent="0.2">
      <c r="A1775" s="30" t="str">
        <f>IF(C1775&amp;G1775&amp;D1775&lt;&gt;'Funnel setup'!$K$3&amp;'Funnel setup'!$K$4&amp;'Funnel setup'!$K$5,".",IF(A1774=".",1,A1774+1))</f>
        <v>.</v>
      </c>
      <c r="B1775" s="431" t="str">
        <f t="shared" si="27"/>
        <v>Hip Replacement PrimaryProviderNUFFIELD HEALTH, WESSEX HOSPITAL (NT214)EQ VAS</v>
      </c>
      <c r="C1775" t="s">
        <v>248</v>
      </c>
      <c r="D1775" t="s">
        <v>1</v>
      </c>
      <c r="E1775" t="s">
        <v>3258</v>
      </c>
      <c r="F1775" t="s">
        <v>3259</v>
      </c>
      <c r="G1775" t="s">
        <v>179</v>
      </c>
      <c r="H1775">
        <v>35</v>
      </c>
      <c r="I1775">
        <v>64.856999999999999</v>
      </c>
      <c r="J1775">
        <v>78.343000000000004</v>
      </c>
      <c r="K1775">
        <v>13.486000000000001</v>
      </c>
      <c r="L1775">
        <v>26</v>
      </c>
      <c r="M1775">
        <v>3</v>
      </c>
      <c r="N1775">
        <v>6</v>
      </c>
      <c r="O1775">
        <v>76.399000000000001</v>
      </c>
      <c r="P1775">
        <v>10.89470633</v>
      </c>
      <c r="Q1775">
        <v>15.356999999999999</v>
      </c>
    </row>
    <row r="1776" spans="1:17" x14ac:dyDescent="0.2">
      <c r="A1776" s="30" t="str">
        <f>IF(C1776&amp;G1776&amp;D1776&lt;&gt;'Funnel setup'!$K$3&amp;'Funnel setup'!$K$4&amp;'Funnel setup'!$K$5,".",IF(A1775=".",1,A1775+1))</f>
        <v>.</v>
      </c>
      <c r="B1776" s="431" t="str">
        <f t="shared" si="27"/>
        <v>Hip Replacement PrimaryProviderNUFFIELD HEALTH, WOKING HOSPITAL (NT241)EQ VAS</v>
      </c>
      <c r="C1776" t="s">
        <v>248</v>
      </c>
      <c r="D1776" t="s">
        <v>1</v>
      </c>
      <c r="E1776" t="s">
        <v>3261</v>
      </c>
      <c r="F1776" t="s">
        <v>3262</v>
      </c>
      <c r="G1776" t="s">
        <v>179</v>
      </c>
      <c r="H1776" t="s">
        <v>53</v>
      </c>
      <c r="I1776" t="s">
        <v>53</v>
      </c>
      <c r="J1776" t="s">
        <v>53</v>
      </c>
      <c r="K1776" t="s">
        <v>53</v>
      </c>
      <c r="L1776" t="s">
        <v>53</v>
      </c>
      <c r="M1776" t="s">
        <v>53</v>
      </c>
      <c r="N1776" t="s">
        <v>53</v>
      </c>
      <c r="O1776" t="s">
        <v>53</v>
      </c>
      <c r="P1776" t="s">
        <v>53</v>
      </c>
      <c r="Q1776" t="s">
        <v>53</v>
      </c>
    </row>
    <row r="1777" spans="1:17" x14ac:dyDescent="0.2">
      <c r="A1777" s="30" t="str">
        <f>IF(C1777&amp;G1777&amp;D1777&lt;&gt;'Funnel setup'!$K$3&amp;'Funnel setup'!$K$4&amp;'Funnel setup'!$K$5,".",IF(A1776=".",1,A1776+1))</f>
        <v>.</v>
      </c>
      <c r="B1777" s="431" t="str">
        <f t="shared" si="27"/>
        <v>Hip Replacement PrimaryProviderNUFFIELD HEALTH, WOLVERHAMPTON HOSPITAL (NT242)EQ VAS</v>
      </c>
      <c r="C1777" t="s">
        <v>248</v>
      </c>
      <c r="D1777" t="s">
        <v>1</v>
      </c>
      <c r="E1777" t="s">
        <v>3264</v>
      </c>
      <c r="F1777" t="s">
        <v>3265</v>
      </c>
      <c r="G1777" t="s">
        <v>179</v>
      </c>
      <c r="H1777">
        <v>76</v>
      </c>
      <c r="I1777">
        <v>72.144999999999996</v>
      </c>
      <c r="J1777">
        <v>80.855000000000004</v>
      </c>
      <c r="K1777">
        <v>8.7110000000000003</v>
      </c>
      <c r="L1777">
        <v>48</v>
      </c>
      <c r="M1777">
        <v>11</v>
      </c>
      <c r="N1777">
        <v>17</v>
      </c>
      <c r="O1777">
        <v>78.528000000000006</v>
      </c>
      <c r="P1777">
        <v>13.023918</v>
      </c>
      <c r="Q1777">
        <v>12.911</v>
      </c>
    </row>
    <row r="1778" spans="1:17" x14ac:dyDescent="0.2">
      <c r="A1778" s="30" t="str">
        <f>IF(C1778&amp;G1778&amp;D1778&lt;&gt;'Funnel setup'!$K$3&amp;'Funnel setup'!$K$4&amp;'Funnel setup'!$K$5,".",IF(A1777=".",1,A1777+1))</f>
        <v>.</v>
      </c>
      <c r="B1778" s="431" t="str">
        <f t="shared" si="27"/>
        <v>Hip Replacement PrimaryProviderNUFFIELD HEALTH, YORK HOSPITAL (NT245)EQ VAS</v>
      </c>
      <c r="C1778" t="s">
        <v>248</v>
      </c>
      <c r="D1778" t="s">
        <v>1</v>
      </c>
      <c r="E1778" t="s">
        <v>4299</v>
      </c>
      <c r="F1778" t="s">
        <v>4300</v>
      </c>
      <c r="G1778" t="s">
        <v>179</v>
      </c>
      <c r="H1778">
        <v>103</v>
      </c>
      <c r="I1778">
        <v>65.563000000000002</v>
      </c>
      <c r="J1778">
        <v>80.66</v>
      </c>
      <c r="K1778">
        <v>15.097</v>
      </c>
      <c r="L1778">
        <v>73</v>
      </c>
      <c r="M1778">
        <v>14</v>
      </c>
      <c r="N1778">
        <v>16</v>
      </c>
      <c r="O1778">
        <v>78.078000000000003</v>
      </c>
      <c r="P1778">
        <v>12.573923840000001</v>
      </c>
      <c r="Q1778">
        <v>14.375</v>
      </c>
    </row>
    <row r="1779" spans="1:17" x14ac:dyDescent="0.2">
      <c r="A1779" s="30" t="str">
        <f>IF(C1779&amp;G1779&amp;D1779&lt;&gt;'Funnel setup'!$K$3&amp;'Funnel setup'!$K$4&amp;'Funnel setup'!$K$5,".",IF(A1778=".",1,A1778+1))</f>
        <v>.</v>
      </c>
      <c r="B1779" s="431" t="str">
        <f t="shared" si="27"/>
        <v>Hip Replacement PrimaryProviderNUFFIELD HOSPITAL OXFORD (THE MANOR) (NT244)EQ VAS</v>
      </c>
      <c r="C1779" t="s">
        <v>248</v>
      </c>
      <c r="D1779" t="s">
        <v>1</v>
      </c>
      <c r="E1779" t="s">
        <v>4302</v>
      </c>
      <c r="F1779" t="s">
        <v>4303</v>
      </c>
      <c r="G1779" t="s">
        <v>179</v>
      </c>
      <c r="H1779">
        <v>27</v>
      </c>
      <c r="I1779">
        <v>73.147999999999996</v>
      </c>
      <c r="J1779">
        <v>84.962999999999994</v>
      </c>
      <c r="K1779">
        <v>11.815</v>
      </c>
      <c r="L1779">
        <v>19</v>
      </c>
      <c r="M1779">
        <v>6</v>
      </c>
      <c r="N1779">
        <v>2</v>
      </c>
      <c r="O1779" t="s">
        <v>53</v>
      </c>
      <c r="P1779" t="s">
        <v>53</v>
      </c>
      <c r="Q1779" t="s">
        <v>53</v>
      </c>
    </row>
    <row r="1780" spans="1:17" x14ac:dyDescent="0.2">
      <c r="A1780" s="30" t="str">
        <f>IF(C1780&amp;G1780&amp;D1780&lt;&gt;'Funnel setup'!$K$3&amp;'Funnel setup'!$K$4&amp;'Funnel setup'!$K$5,".",IF(A1779=".",1,A1779+1))</f>
        <v>.</v>
      </c>
      <c r="B1780" s="431" t="str">
        <f t="shared" si="27"/>
        <v>Hip Replacement PrimaryProviderOAKLANDS HOSPITAL (NVC12)EQ VAS</v>
      </c>
      <c r="C1780" t="s">
        <v>248</v>
      </c>
      <c r="D1780" t="s">
        <v>1</v>
      </c>
      <c r="E1780" t="s">
        <v>3267</v>
      </c>
      <c r="F1780" t="s">
        <v>3268</v>
      </c>
      <c r="G1780" t="s">
        <v>179</v>
      </c>
      <c r="H1780">
        <v>45</v>
      </c>
      <c r="I1780">
        <v>70.111000000000004</v>
      </c>
      <c r="J1780">
        <v>78.022000000000006</v>
      </c>
      <c r="K1780">
        <v>7.9109999999999996</v>
      </c>
      <c r="L1780">
        <v>25</v>
      </c>
      <c r="M1780">
        <v>8</v>
      </c>
      <c r="N1780">
        <v>12</v>
      </c>
      <c r="O1780">
        <v>76.709999999999994</v>
      </c>
      <c r="P1780">
        <v>11.2060703</v>
      </c>
      <c r="Q1780">
        <v>14.901</v>
      </c>
    </row>
    <row r="1781" spans="1:17" x14ac:dyDescent="0.2">
      <c r="A1781" s="30" t="str">
        <f>IF(C1781&amp;G1781&amp;D1781&lt;&gt;'Funnel setup'!$K$3&amp;'Funnel setup'!$K$4&amp;'Funnel setup'!$K$5,".",IF(A1780=".",1,A1780+1))</f>
        <v>.</v>
      </c>
      <c r="B1781" s="431" t="str">
        <f t="shared" si="27"/>
        <v>Hip Replacement PrimaryProviderOAKS HOSPITAL (NVC13)EQ VAS</v>
      </c>
      <c r="C1781" t="s">
        <v>248</v>
      </c>
      <c r="D1781" t="s">
        <v>1</v>
      </c>
      <c r="E1781" t="s">
        <v>3270</v>
      </c>
      <c r="F1781" t="s">
        <v>3271</v>
      </c>
      <c r="G1781" t="s">
        <v>179</v>
      </c>
      <c r="H1781">
        <v>108</v>
      </c>
      <c r="I1781">
        <v>68.491</v>
      </c>
      <c r="J1781">
        <v>78.343000000000004</v>
      </c>
      <c r="K1781">
        <v>9.8520000000000003</v>
      </c>
      <c r="L1781">
        <v>67</v>
      </c>
      <c r="M1781">
        <v>16</v>
      </c>
      <c r="N1781">
        <v>25</v>
      </c>
      <c r="O1781">
        <v>75.936000000000007</v>
      </c>
      <c r="P1781">
        <v>10.432153420000001</v>
      </c>
      <c r="Q1781">
        <v>15.456</v>
      </c>
    </row>
    <row r="1782" spans="1:17" x14ac:dyDescent="0.2">
      <c r="A1782" s="30" t="str">
        <f>IF(C1782&amp;G1782&amp;D1782&lt;&gt;'Funnel setup'!$K$3&amp;'Funnel setup'!$K$4&amp;'Funnel setup'!$K$5,".",IF(A1781=".",1,A1781+1))</f>
        <v>.</v>
      </c>
      <c r="B1782" s="431" t="str">
        <f t="shared" si="27"/>
        <v>Hip Replacement PrimaryProviderONE HEALTH GROUP LTD (NTX01)EQ VAS</v>
      </c>
      <c r="C1782" t="s">
        <v>248</v>
      </c>
      <c r="D1782" t="s">
        <v>1</v>
      </c>
      <c r="E1782" t="s">
        <v>6507</v>
      </c>
      <c r="F1782" t="s">
        <v>6508</v>
      </c>
      <c r="G1782" t="s">
        <v>179</v>
      </c>
      <c r="H1782">
        <v>32</v>
      </c>
      <c r="I1782">
        <v>62.313000000000002</v>
      </c>
      <c r="J1782">
        <v>76.093999999999994</v>
      </c>
      <c r="K1782">
        <v>13.781000000000001</v>
      </c>
      <c r="L1782">
        <v>20</v>
      </c>
      <c r="M1782">
        <v>2</v>
      </c>
      <c r="N1782">
        <v>10</v>
      </c>
      <c r="O1782">
        <v>75.900000000000006</v>
      </c>
      <c r="P1782">
        <v>10.396062450000001</v>
      </c>
      <c r="Q1782">
        <v>18.558</v>
      </c>
    </row>
    <row r="1783" spans="1:17" x14ac:dyDescent="0.2">
      <c r="A1783" s="30" t="str">
        <f>IF(C1783&amp;G1783&amp;D1783&lt;&gt;'Funnel setup'!$K$3&amp;'Funnel setup'!$K$4&amp;'Funnel setup'!$K$5,".",IF(A1782=".",1,A1782+1))</f>
        <v>.</v>
      </c>
      <c r="B1783" s="431" t="str">
        <f t="shared" si="27"/>
        <v>Hip Replacement PrimaryProviderOXFORD UNIVERSITY HOSPITALS NHS FOUNDATION TRUST (RTH)EQ VAS</v>
      </c>
      <c r="C1783" t="s">
        <v>248</v>
      </c>
      <c r="D1783" t="s">
        <v>1</v>
      </c>
      <c r="E1783" t="s">
        <v>3278</v>
      </c>
      <c r="F1783" t="s">
        <v>6578</v>
      </c>
      <c r="G1783" t="s">
        <v>179</v>
      </c>
      <c r="H1783">
        <v>487</v>
      </c>
      <c r="I1783">
        <v>65.903000000000006</v>
      </c>
      <c r="J1783">
        <v>78.251000000000005</v>
      </c>
      <c r="K1783">
        <v>12.347</v>
      </c>
      <c r="L1783">
        <v>320</v>
      </c>
      <c r="M1783">
        <v>49</v>
      </c>
      <c r="N1783">
        <v>118</v>
      </c>
      <c r="O1783">
        <v>78.084999999999994</v>
      </c>
      <c r="P1783">
        <v>12.58018717</v>
      </c>
      <c r="Q1783">
        <v>15.385999999999999</v>
      </c>
    </row>
    <row r="1784" spans="1:17" x14ac:dyDescent="0.2">
      <c r="A1784" s="30" t="str">
        <f>IF(C1784&amp;G1784&amp;D1784&lt;&gt;'Funnel setup'!$K$3&amp;'Funnel setup'!$K$4&amp;'Funnel setup'!$K$5,".",IF(A1783=".",1,A1783+1))</f>
        <v>.</v>
      </c>
      <c r="B1784" s="431" t="str">
        <f t="shared" si="27"/>
        <v>Hip Replacement PrimaryProviderPARK HILL HOSPITAL (NVC14)EQ VAS</v>
      </c>
      <c r="C1784" t="s">
        <v>248</v>
      </c>
      <c r="D1784" t="s">
        <v>1</v>
      </c>
      <c r="E1784" t="s">
        <v>3280</v>
      </c>
      <c r="F1784" t="s">
        <v>3281</v>
      </c>
      <c r="G1784" t="s">
        <v>179</v>
      </c>
      <c r="H1784">
        <v>23</v>
      </c>
      <c r="I1784">
        <v>60.390999999999998</v>
      </c>
      <c r="J1784">
        <v>73.956999999999994</v>
      </c>
      <c r="K1784">
        <v>13.565</v>
      </c>
      <c r="L1784">
        <v>17</v>
      </c>
      <c r="M1784">
        <v>2</v>
      </c>
      <c r="N1784">
        <v>4</v>
      </c>
      <c r="O1784" t="s">
        <v>53</v>
      </c>
      <c r="P1784" t="s">
        <v>53</v>
      </c>
      <c r="Q1784" t="s">
        <v>53</v>
      </c>
    </row>
    <row r="1785" spans="1:17" x14ac:dyDescent="0.2">
      <c r="A1785" s="30" t="str">
        <f>IF(C1785&amp;G1785&amp;D1785&lt;&gt;'Funnel setup'!$K$3&amp;'Funnel setup'!$K$4&amp;'Funnel setup'!$K$5,".",IF(A1784=".",1,A1784+1))</f>
        <v>.</v>
      </c>
      <c r="B1785" s="431" t="str">
        <f t="shared" si="27"/>
        <v>Hip Replacement PrimaryProviderPENINSULA NHS TREATMENT CENTRE (NTPH5)EQ VAS</v>
      </c>
      <c r="C1785" t="s">
        <v>248</v>
      </c>
      <c r="D1785" t="s">
        <v>1</v>
      </c>
      <c r="E1785" t="s">
        <v>4285</v>
      </c>
      <c r="F1785" t="s">
        <v>4286</v>
      </c>
      <c r="G1785" t="s">
        <v>179</v>
      </c>
      <c r="H1785">
        <v>184</v>
      </c>
      <c r="I1785">
        <v>73.385999999999996</v>
      </c>
      <c r="J1785">
        <v>81.358999999999995</v>
      </c>
      <c r="K1785">
        <v>7.9729999999999999</v>
      </c>
      <c r="L1785">
        <v>113</v>
      </c>
      <c r="M1785">
        <v>26</v>
      </c>
      <c r="N1785">
        <v>45</v>
      </c>
      <c r="O1785">
        <v>77.716999999999999</v>
      </c>
      <c r="P1785">
        <v>12.212548890000001</v>
      </c>
      <c r="Q1785">
        <v>15.036</v>
      </c>
    </row>
    <row r="1786" spans="1:17" x14ac:dyDescent="0.2">
      <c r="A1786" s="30" t="str">
        <f>IF(C1786&amp;G1786&amp;D1786&lt;&gt;'Funnel setup'!$K$3&amp;'Funnel setup'!$K$4&amp;'Funnel setup'!$K$5,".",IF(A1785=".",1,A1785+1))</f>
        <v>.</v>
      </c>
      <c r="B1786" s="431" t="str">
        <f t="shared" si="27"/>
        <v>Hip Replacement PrimaryProviderPENNINE ACUTE HOSPITALS NHS TRUST (RW6)EQ VAS</v>
      </c>
      <c r="C1786" t="s">
        <v>248</v>
      </c>
      <c r="D1786" t="s">
        <v>1</v>
      </c>
      <c r="E1786" t="s">
        <v>3216</v>
      </c>
      <c r="F1786" t="s">
        <v>3217</v>
      </c>
      <c r="G1786" t="s">
        <v>179</v>
      </c>
      <c r="H1786">
        <v>113</v>
      </c>
      <c r="I1786">
        <v>60.478000000000002</v>
      </c>
      <c r="J1786">
        <v>74.353999999999999</v>
      </c>
      <c r="K1786">
        <v>13.875999999999999</v>
      </c>
      <c r="L1786">
        <v>77</v>
      </c>
      <c r="M1786">
        <v>12</v>
      </c>
      <c r="N1786">
        <v>24</v>
      </c>
      <c r="O1786">
        <v>77.864999999999995</v>
      </c>
      <c r="P1786">
        <v>12.36108114</v>
      </c>
      <c r="Q1786">
        <v>17.695</v>
      </c>
    </row>
    <row r="1787" spans="1:17" x14ac:dyDescent="0.2">
      <c r="A1787" s="30" t="str">
        <f>IF(C1787&amp;G1787&amp;D1787&lt;&gt;'Funnel setup'!$K$3&amp;'Funnel setup'!$K$4&amp;'Funnel setup'!$K$5,".",IF(A1786=".",1,A1786+1))</f>
        <v>.</v>
      </c>
      <c r="B1787" s="431" t="str">
        <f t="shared" si="27"/>
        <v>Hip Replacement PrimaryProviderPETERBOROUGH AND STAMFORD HOSPITALS NHS FOUNDATION TRUST (RGN)EQ VAS</v>
      </c>
      <c r="C1787" t="s">
        <v>248</v>
      </c>
      <c r="D1787" t="s">
        <v>1</v>
      </c>
      <c r="E1787" t="s">
        <v>3219</v>
      </c>
      <c r="F1787" t="s">
        <v>3220</v>
      </c>
      <c r="G1787" t="s">
        <v>179</v>
      </c>
      <c r="H1787">
        <v>157</v>
      </c>
      <c r="I1787">
        <v>63.369</v>
      </c>
      <c r="J1787">
        <v>76.828000000000003</v>
      </c>
      <c r="K1787">
        <v>13.459</v>
      </c>
      <c r="L1787">
        <v>100</v>
      </c>
      <c r="M1787">
        <v>21</v>
      </c>
      <c r="N1787">
        <v>36</v>
      </c>
      <c r="O1787">
        <v>77.456999999999994</v>
      </c>
      <c r="P1787">
        <v>11.95240456</v>
      </c>
      <c r="Q1787">
        <v>15.202</v>
      </c>
    </row>
    <row r="1788" spans="1:17" x14ac:dyDescent="0.2">
      <c r="A1788" s="30" t="str">
        <f>IF(C1788&amp;G1788&amp;D1788&lt;&gt;'Funnel setup'!$K$3&amp;'Funnel setup'!$K$4&amp;'Funnel setup'!$K$5,".",IF(A1787=".",1,A1787+1))</f>
        <v>.</v>
      </c>
      <c r="B1788" s="431" t="str">
        <f t="shared" si="27"/>
        <v>Hip Replacement PrimaryProviderPINEHILL HOSPITAL (NVC15)EQ VAS</v>
      </c>
      <c r="C1788" t="s">
        <v>248</v>
      </c>
      <c r="D1788" t="s">
        <v>1</v>
      </c>
      <c r="E1788" t="s">
        <v>3222</v>
      </c>
      <c r="F1788" t="s">
        <v>3223</v>
      </c>
      <c r="G1788" t="s">
        <v>179</v>
      </c>
      <c r="H1788">
        <v>75</v>
      </c>
      <c r="I1788">
        <v>63</v>
      </c>
      <c r="J1788">
        <v>79.787000000000006</v>
      </c>
      <c r="K1788">
        <v>16.786999999999999</v>
      </c>
      <c r="L1788">
        <v>52</v>
      </c>
      <c r="M1788">
        <v>12</v>
      </c>
      <c r="N1788">
        <v>11</v>
      </c>
      <c r="O1788">
        <v>78.77</v>
      </c>
      <c r="P1788">
        <v>13.265593089999999</v>
      </c>
      <c r="Q1788">
        <v>14.606999999999999</v>
      </c>
    </row>
    <row r="1789" spans="1:17" x14ac:dyDescent="0.2">
      <c r="A1789" s="30" t="str">
        <f>IF(C1789&amp;G1789&amp;D1789&lt;&gt;'Funnel setup'!$K$3&amp;'Funnel setup'!$K$4&amp;'Funnel setup'!$K$5,".",IF(A1788=".",1,A1788+1))</f>
        <v>.</v>
      </c>
      <c r="B1789" s="431" t="str">
        <f t="shared" si="27"/>
        <v>Hip Replacement PrimaryProviderPLYMOUTH HOSPITALS NHS TRUST (RK9)EQ VAS</v>
      </c>
      <c r="C1789" t="s">
        <v>248</v>
      </c>
      <c r="D1789" t="s">
        <v>1</v>
      </c>
      <c r="E1789" t="s">
        <v>3225</v>
      </c>
      <c r="F1789" t="s">
        <v>3226</v>
      </c>
      <c r="G1789" t="s">
        <v>179</v>
      </c>
      <c r="H1789">
        <v>191</v>
      </c>
      <c r="I1789">
        <v>62.198999999999998</v>
      </c>
      <c r="J1789">
        <v>72.021000000000001</v>
      </c>
      <c r="K1789">
        <v>9.8219999999999992</v>
      </c>
      <c r="L1789">
        <v>125</v>
      </c>
      <c r="M1789">
        <v>19</v>
      </c>
      <c r="N1789">
        <v>47</v>
      </c>
      <c r="O1789">
        <v>75.164000000000001</v>
      </c>
      <c r="P1789">
        <v>9.6595350839999998</v>
      </c>
      <c r="Q1789">
        <v>17.946999999999999</v>
      </c>
    </row>
    <row r="1790" spans="1:17" x14ac:dyDescent="0.2">
      <c r="A1790" s="30" t="str">
        <f>IF(C1790&amp;G1790&amp;D1790&lt;&gt;'Funnel setup'!$K$3&amp;'Funnel setup'!$K$4&amp;'Funnel setup'!$K$5,".",IF(A1789=".",1,A1789+1))</f>
        <v>.</v>
      </c>
      <c r="B1790" s="431" t="str">
        <f t="shared" si="27"/>
        <v>Hip Replacement PrimaryProviderPORTSMOUTH HOSPITALS NHS TRUST (RHU)EQ VAS</v>
      </c>
      <c r="C1790" t="s">
        <v>248</v>
      </c>
      <c r="D1790" t="s">
        <v>1</v>
      </c>
      <c r="E1790" t="s">
        <v>3234</v>
      </c>
      <c r="F1790" t="s">
        <v>3235</v>
      </c>
      <c r="G1790" t="s">
        <v>179</v>
      </c>
      <c r="H1790">
        <v>166</v>
      </c>
      <c r="I1790">
        <v>61.728999999999999</v>
      </c>
      <c r="J1790">
        <v>74.132999999999996</v>
      </c>
      <c r="K1790">
        <v>12.404</v>
      </c>
      <c r="L1790">
        <v>95</v>
      </c>
      <c r="M1790">
        <v>25</v>
      </c>
      <c r="N1790">
        <v>46</v>
      </c>
      <c r="O1790">
        <v>75.634</v>
      </c>
      <c r="P1790">
        <v>10.12927227</v>
      </c>
      <c r="Q1790">
        <v>17.942</v>
      </c>
    </row>
    <row r="1791" spans="1:17" x14ac:dyDescent="0.2">
      <c r="A1791" s="30" t="str">
        <f>IF(C1791&amp;G1791&amp;D1791&lt;&gt;'Funnel setup'!$K$3&amp;'Funnel setup'!$K$4&amp;'Funnel setup'!$K$5,".",IF(A1790=".",1,A1790+1))</f>
        <v>.</v>
      </c>
      <c r="B1791" s="431" t="str">
        <f t="shared" si="27"/>
        <v>Hip Replacement PrimaryProviderRENACRES HOSPITAL (NVC16)EQ VAS</v>
      </c>
      <c r="C1791" t="s">
        <v>248</v>
      </c>
      <c r="D1791" t="s">
        <v>1</v>
      </c>
      <c r="E1791" t="s">
        <v>3237</v>
      </c>
      <c r="F1791" t="s">
        <v>3238</v>
      </c>
      <c r="G1791" t="s">
        <v>179</v>
      </c>
      <c r="H1791">
        <v>44</v>
      </c>
      <c r="I1791">
        <v>76.954999999999998</v>
      </c>
      <c r="J1791">
        <v>81.772999999999996</v>
      </c>
      <c r="K1791">
        <v>4.8179999999999996</v>
      </c>
      <c r="L1791">
        <v>25</v>
      </c>
      <c r="M1791">
        <v>9</v>
      </c>
      <c r="N1791">
        <v>10</v>
      </c>
      <c r="O1791">
        <v>77.021000000000001</v>
      </c>
      <c r="P1791">
        <v>11.516801259999999</v>
      </c>
      <c r="Q1791">
        <v>11.188000000000001</v>
      </c>
    </row>
    <row r="1792" spans="1:17" x14ac:dyDescent="0.2">
      <c r="A1792" s="30" t="str">
        <f>IF(C1792&amp;G1792&amp;D1792&lt;&gt;'Funnel setup'!$K$3&amp;'Funnel setup'!$K$4&amp;'Funnel setup'!$K$5,".",IF(A1791=".",1,A1791+1))</f>
        <v>.</v>
      </c>
      <c r="B1792" s="431" t="str">
        <f t="shared" si="27"/>
        <v>Hip Replacement PrimaryProviderRIVERS HOSPITAL (NVC19)EQ VAS</v>
      </c>
      <c r="C1792" t="s">
        <v>248</v>
      </c>
      <c r="D1792" t="s">
        <v>1</v>
      </c>
      <c r="E1792" t="s">
        <v>3204</v>
      </c>
      <c r="F1792" t="s">
        <v>3205</v>
      </c>
      <c r="G1792" t="s">
        <v>179</v>
      </c>
      <c r="H1792">
        <v>64</v>
      </c>
      <c r="I1792">
        <v>71.313000000000002</v>
      </c>
      <c r="J1792">
        <v>80.968999999999994</v>
      </c>
      <c r="K1792">
        <v>9.6560000000000006</v>
      </c>
      <c r="L1792">
        <v>40</v>
      </c>
      <c r="M1792">
        <v>9</v>
      </c>
      <c r="N1792">
        <v>15</v>
      </c>
      <c r="O1792">
        <v>78.125</v>
      </c>
      <c r="P1792">
        <v>12.62067502</v>
      </c>
      <c r="Q1792">
        <v>15.157</v>
      </c>
    </row>
    <row r="1793" spans="1:17" x14ac:dyDescent="0.2">
      <c r="A1793" s="30" t="str">
        <f>IF(C1793&amp;G1793&amp;D1793&lt;&gt;'Funnel setup'!$K$3&amp;'Funnel setup'!$K$4&amp;'Funnel setup'!$K$5,".",IF(A1792=".",1,A1792+1))</f>
        <v>.</v>
      </c>
      <c r="B1793" s="431" t="str">
        <f t="shared" si="27"/>
        <v>Hip Replacement PrimaryProviderROWLEY HALL HOSPITAL (NVC17)EQ VAS</v>
      </c>
      <c r="C1793" t="s">
        <v>248</v>
      </c>
      <c r="D1793" t="s">
        <v>1</v>
      </c>
      <c r="E1793" t="s">
        <v>3207</v>
      </c>
      <c r="F1793" t="s">
        <v>3208</v>
      </c>
      <c r="G1793" t="s">
        <v>179</v>
      </c>
      <c r="H1793">
        <v>81</v>
      </c>
      <c r="I1793">
        <v>66.406999999999996</v>
      </c>
      <c r="J1793">
        <v>79.468999999999994</v>
      </c>
      <c r="K1793">
        <v>13.061999999999999</v>
      </c>
      <c r="L1793">
        <v>57</v>
      </c>
      <c r="M1793">
        <v>9</v>
      </c>
      <c r="N1793">
        <v>15</v>
      </c>
      <c r="O1793">
        <v>77.813999999999993</v>
      </c>
      <c r="P1793">
        <v>12.30981968</v>
      </c>
      <c r="Q1793">
        <v>13.297000000000001</v>
      </c>
    </row>
    <row r="1794" spans="1:17" x14ac:dyDescent="0.2">
      <c r="A1794" s="30" t="str">
        <f>IF(C1794&amp;G1794&amp;D1794&lt;&gt;'Funnel setup'!$K$3&amp;'Funnel setup'!$K$4&amp;'Funnel setup'!$K$5,".",IF(A1793=".",1,A1793+1))</f>
        <v>.</v>
      </c>
      <c r="B1794" s="431" t="str">
        <f t="shared" si="27"/>
        <v>Hip Replacement PrimaryProviderROYAL BERKSHIRE NHS FOUNDATION TRUST (RHW)EQ VAS</v>
      </c>
      <c r="C1794" t="s">
        <v>248</v>
      </c>
      <c r="D1794" t="s">
        <v>1</v>
      </c>
      <c r="E1794" t="s">
        <v>3832</v>
      </c>
      <c r="F1794" t="s">
        <v>3833</v>
      </c>
      <c r="G1794" t="s">
        <v>179</v>
      </c>
      <c r="H1794">
        <v>128</v>
      </c>
      <c r="I1794">
        <v>62.813000000000002</v>
      </c>
      <c r="J1794">
        <v>80</v>
      </c>
      <c r="K1794">
        <v>17.187999999999999</v>
      </c>
      <c r="L1794">
        <v>101</v>
      </c>
      <c r="M1794">
        <v>11</v>
      </c>
      <c r="N1794">
        <v>16</v>
      </c>
      <c r="O1794">
        <v>79.986000000000004</v>
      </c>
      <c r="P1794">
        <v>14.481287119999999</v>
      </c>
      <c r="Q1794">
        <v>15.656000000000001</v>
      </c>
    </row>
    <row r="1795" spans="1:17" x14ac:dyDescent="0.2">
      <c r="A1795" s="30" t="str">
        <f>IF(C1795&amp;G1795&amp;D1795&lt;&gt;'Funnel setup'!$K$3&amp;'Funnel setup'!$K$4&amp;'Funnel setup'!$K$5,".",IF(A1794=".",1,A1794+1))</f>
        <v>.</v>
      </c>
      <c r="B1795" s="431" t="str">
        <f t="shared" ref="B1795:B1858" si="28">C1795&amp;D1795&amp;F1795&amp;G1795</f>
        <v>Hip Replacement PrimaryProviderROYAL CORNWALL HOSPITALS NHS TRUST (REF)EQ VAS</v>
      </c>
      <c r="C1795" t="s">
        <v>248</v>
      </c>
      <c r="D1795" t="s">
        <v>1</v>
      </c>
      <c r="E1795" t="s">
        <v>3745</v>
      </c>
      <c r="F1795" t="s">
        <v>3746</v>
      </c>
      <c r="G1795" t="s">
        <v>179</v>
      </c>
      <c r="H1795">
        <v>256</v>
      </c>
      <c r="I1795">
        <v>64.563000000000002</v>
      </c>
      <c r="J1795">
        <v>74.715000000000003</v>
      </c>
      <c r="K1795">
        <v>10.151999999999999</v>
      </c>
      <c r="L1795">
        <v>153</v>
      </c>
      <c r="M1795">
        <v>28</v>
      </c>
      <c r="N1795">
        <v>75</v>
      </c>
      <c r="O1795">
        <v>75.658000000000001</v>
      </c>
      <c r="P1795">
        <v>10.153369140000001</v>
      </c>
      <c r="Q1795">
        <v>17.72</v>
      </c>
    </row>
    <row r="1796" spans="1:17" x14ac:dyDescent="0.2">
      <c r="A1796" s="30" t="str">
        <f>IF(C1796&amp;G1796&amp;D1796&lt;&gt;'Funnel setup'!$K$3&amp;'Funnel setup'!$K$4&amp;'Funnel setup'!$K$5,".",IF(A1795=".",1,A1795+1))</f>
        <v>.</v>
      </c>
      <c r="B1796" s="431" t="str">
        <f t="shared" si="28"/>
        <v>Hip Replacement PrimaryProviderROYAL DEVON AND EXETER NHS FOUNDATION TRUST (RH8)EQ VAS</v>
      </c>
      <c r="C1796" t="s">
        <v>248</v>
      </c>
      <c r="D1796" t="s">
        <v>1</v>
      </c>
      <c r="E1796" t="s">
        <v>3442</v>
      </c>
      <c r="F1796" t="s">
        <v>3443</v>
      </c>
      <c r="G1796" t="s">
        <v>179</v>
      </c>
      <c r="H1796">
        <v>489</v>
      </c>
      <c r="I1796">
        <v>70.129000000000005</v>
      </c>
      <c r="J1796">
        <v>78.459999999999994</v>
      </c>
      <c r="K1796">
        <v>8.3309999999999995</v>
      </c>
      <c r="L1796">
        <v>289</v>
      </c>
      <c r="M1796">
        <v>70</v>
      </c>
      <c r="N1796">
        <v>130</v>
      </c>
      <c r="O1796">
        <v>77.793000000000006</v>
      </c>
      <c r="P1796">
        <v>12.28915211</v>
      </c>
      <c r="Q1796">
        <v>14.676</v>
      </c>
    </row>
    <row r="1797" spans="1:17" x14ac:dyDescent="0.2">
      <c r="A1797" s="30" t="str">
        <f>IF(C1797&amp;G1797&amp;D1797&lt;&gt;'Funnel setup'!$K$3&amp;'Funnel setup'!$K$4&amp;'Funnel setup'!$K$5,".",IF(A1796=".",1,A1796+1))</f>
        <v>.</v>
      </c>
      <c r="B1797" s="431" t="str">
        <f t="shared" si="28"/>
        <v>Hip Replacement PrimaryProviderROYAL FREE LONDON NHS FOUNDATION TRUST (RAL)EQ VAS</v>
      </c>
      <c r="C1797" t="s">
        <v>248</v>
      </c>
      <c r="D1797" t="s">
        <v>1</v>
      </c>
      <c r="E1797" t="s">
        <v>3445</v>
      </c>
      <c r="F1797" t="s">
        <v>3446</v>
      </c>
      <c r="G1797" t="s">
        <v>179</v>
      </c>
      <c r="H1797">
        <v>104</v>
      </c>
      <c r="I1797">
        <v>59.951999999999998</v>
      </c>
      <c r="J1797">
        <v>74.212000000000003</v>
      </c>
      <c r="K1797">
        <v>14.26</v>
      </c>
      <c r="L1797">
        <v>67</v>
      </c>
      <c r="M1797">
        <v>12</v>
      </c>
      <c r="N1797">
        <v>25</v>
      </c>
      <c r="O1797">
        <v>76.197000000000003</v>
      </c>
      <c r="P1797">
        <v>10.69241111</v>
      </c>
      <c r="Q1797">
        <v>16.689</v>
      </c>
    </row>
    <row r="1798" spans="1:17" x14ac:dyDescent="0.2">
      <c r="A1798" s="30" t="str">
        <f>IF(C1798&amp;G1798&amp;D1798&lt;&gt;'Funnel setup'!$K$3&amp;'Funnel setup'!$K$4&amp;'Funnel setup'!$K$5,".",IF(A1797=".",1,A1797+1))</f>
        <v>.</v>
      </c>
      <c r="B1798" s="431" t="str">
        <f t="shared" si="28"/>
        <v>Hip Replacement PrimaryProviderROYAL LIVERPOOL AND BROADGREEN UNIVERSITY HOSPITALS NHS TRUST (RQ6)EQ VAS</v>
      </c>
      <c r="C1798" t="s">
        <v>248</v>
      </c>
      <c r="D1798" t="s">
        <v>1</v>
      </c>
      <c r="E1798" t="s">
        <v>3448</v>
      </c>
      <c r="F1798" t="s">
        <v>3449</v>
      </c>
      <c r="G1798" t="s">
        <v>179</v>
      </c>
      <c r="H1798">
        <v>104</v>
      </c>
      <c r="I1798">
        <v>62.731000000000002</v>
      </c>
      <c r="J1798">
        <v>70.885000000000005</v>
      </c>
      <c r="K1798">
        <v>8.1539999999999999</v>
      </c>
      <c r="L1798">
        <v>68</v>
      </c>
      <c r="M1798">
        <v>9</v>
      </c>
      <c r="N1798">
        <v>27</v>
      </c>
      <c r="O1798">
        <v>75.099000000000004</v>
      </c>
      <c r="P1798">
        <v>9.5944844840000005</v>
      </c>
      <c r="Q1798">
        <v>18.236000000000001</v>
      </c>
    </row>
    <row r="1799" spans="1:17" x14ac:dyDescent="0.2">
      <c r="A1799" s="30" t="str">
        <f>IF(C1799&amp;G1799&amp;D1799&lt;&gt;'Funnel setup'!$K$3&amp;'Funnel setup'!$K$4&amp;'Funnel setup'!$K$5,".",IF(A1798=".",1,A1798+1))</f>
        <v>.</v>
      </c>
      <c r="B1799" s="431" t="str">
        <f t="shared" si="28"/>
        <v>Hip Replacement PrimaryProviderROYAL NATIONAL ORTHOPAEDIC HOSPITAL NHS TRUST (RAN)EQ VAS</v>
      </c>
      <c r="C1799" t="s">
        <v>248</v>
      </c>
      <c r="D1799" t="s">
        <v>1</v>
      </c>
      <c r="E1799" t="s">
        <v>4378</v>
      </c>
      <c r="F1799" t="s">
        <v>4379</v>
      </c>
      <c r="G1799" t="s">
        <v>179</v>
      </c>
      <c r="H1799">
        <v>123</v>
      </c>
      <c r="I1799">
        <v>62.154000000000003</v>
      </c>
      <c r="J1799">
        <v>76.049000000000007</v>
      </c>
      <c r="K1799">
        <v>13.894</v>
      </c>
      <c r="L1799">
        <v>82</v>
      </c>
      <c r="M1799">
        <v>15</v>
      </c>
      <c r="N1799">
        <v>26</v>
      </c>
      <c r="O1799">
        <v>76.367000000000004</v>
      </c>
      <c r="P1799">
        <v>10.86300887</v>
      </c>
      <c r="Q1799">
        <v>16.356999999999999</v>
      </c>
    </row>
    <row r="1800" spans="1:17" x14ac:dyDescent="0.2">
      <c r="A1800" s="30" t="str">
        <f>IF(C1800&amp;G1800&amp;D1800&lt;&gt;'Funnel setup'!$K$3&amp;'Funnel setup'!$K$4&amp;'Funnel setup'!$K$5,".",IF(A1799=".",1,A1799+1))</f>
        <v>.</v>
      </c>
      <c r="B1800" s="431" t="str">
        <f t="shared" si="28"/>
        <v>Hip Replacement PrimaryProviderROYAL SURREY COUNTY HOSPITAL NHS FOUNDATION TRUST (RA2)EQ VAS</v>
      </c>
      <c r="C1800" t="s">
        <v>248</v>
      </c>
      <c r="D1800" t="s">
        <v>1</v>
      </c>
      <c r="E1800" t="s">
        <v>3451</v>
      </c>
      <c r="F1800" t="s">
        <v>3452</v>
      </c>
      <c r="G1800" t="s">
        <v>179</v>
      </c>
      <c r="H1800">
        <v>124</v>
      </c>
      <c r="I1800">
        <v>65.677000000000007</v>
      </c>
      <c r="J1800">
        <v>78.596999999999994</v>
      </c>
      <c r="K1800">
        <v>12.919</v>
      </c>
      <c r="L1800">
        <v>82</v>
      </c>
      <c r="M1800">
        <v>15</v>
      </c>
      <c r="N1800">
        <v>27</v>
      </c>
      <c r="O1800">
        <v>77.259</v>
      </c>
      <c r="P1800">
        <v>11.755094919999999</v>
      </c>
      <c r="Q1800">
        <v>15.388</v>
      </c>
    </row>
    <row r="1801" spans="1:17" x14ac:dyDescent="0.2">
      <c r="A1801" s="30" t="str">
        <f>IF(C1801&amp;G1801&amp;D1801&lt;&gt;'Funnel setup'!$K$3&amp;'Funnel setup'!$K$4&amp;'Funnel setup'!$K$5,".",IF(A1800=".",1,A1800+1))</f>
        <v>.</v>
      </c>
      <c r="B1801" s="431" t="str">
        <f t="shared" si="28"/>
        <v>Hip Replacement PrimaryProviderROYAL UNITED HOSPITALS BATH NHS FOUNDATION TRUST (RD1)EQ VAS</v>
      </c>
      <c r="C1801" t="s">
        <v>248</v>
      </c>
      <c r="D1801" t="s">
        <v>1</v>
      </c>
      <c r="E1801" t="s">
        <v>3454</v>
      </c>
      <c r="F1801" t="s">
        <v>3455</v>
      </c>
      <c r="G1801" t="s">
        <v>179</v>
      </c>
      <c r="H1801">
        <v>161</v>
      </c>
      <c r="I1801">
        <v>63.435000000000002</v>
      </c>
      <c r="J1801">
        <v>75.602000000000004</v>
      </c>
      <c r="K1801">
        <v>12.167999999999999</v>
      </c>
      <c r="L1801">
        <v>100</v>
      </c>
      <c r="M1801">
        <v>23</v>
      </c>
      <c r="N1801">
        <v>38</v>
      </c>
      <c r="O1801">
        <v>77.370999999999995</v>
      </c>
      <c r="P1801">
        <v>11.86680301</v>
      </c>
      <c r="Q1801">
        <v>15.148999999999999</v>
      </c>
    </row>
    <row r="1802" spans="1:17" x14ac:dyDescent="0.2">
      <c r="A1802" s="30" t="str">
        <f>IF(C1802&amp;G1802&amp;D1802&lt;&gt;'Funnel setup'!$K$3&amp;'Funnel setup'!$K$4&amp;'Funnel setup'!$K$5,".",IF(A1801=".",1,A1801+1))</f>
        <v>.</v>
      </c>
      <c r="B1802" s="431" t="str">
        <f t="shared" si="28"/>
        <v>Hip Replacement PrimaryProviderSALFORD ROYAL NHS FOUNDATION TRUST (RM3)EQ VAS</v>
      </c>
      <c r="C1802" t="s">
        <v>248</v>
      </c>
      <c r="D1802" t="s">
        <v>1</v>
      </c>
      <c r="E1802" t="s">
        <v>3457</v>
      </c>
      <c r="F1802" t="s">
        <v>3458</v>
      </c>
      <c r="G1802" t="s">
        <v>179</v>
      </c>
      <c r="H1802">
        <v>69</v>
      </c>
      <c r="I1802">
        <v>60.783000000000001</v>
      </c>
      <c r="J1802">
        <v>75.638000000000005</v>
      </c>
      <c r="K1802">
        <v>14.855</v>
      </c>
      <c r="L1802">
        <v>50</v>
      </c>
      <c r="M1802">
        <v>8</v>
      </c>
      <c r="N1802">
        <v>11</v>
      </c>
      <c r="O1802">
        <v>78.962999999999994</v>
      </c>
      <c r="P1802">
        <v>13.45867587</v>
      </c>
      <c r="Q1802">
        <v>15.403</v>
      </c>
    </row>
    <row r="1803" spans="1:17" x14ac:dyDescent="0.2">
      <c r="A1803" s="30" t="str">
        <f>IF(C1803&amp;G1803&amp;D1803&lt;&gt;'Funnel setup'!$K$3&amp;'Funnel setup'!$K$4&amp;'Funnel setup'!$K$5,".",IF(A1802=".",1,A1802+1))</f>
        <v>.</v>
      </c>
      <c r="B1803" s="431" t="str">
        <f t="shared" si="28"/>
        <v>Hip Replacement PrimaryProviderSALISBURY NHS FOUNDATION TRUST (RNZ)EQ VAS</v>
      </c>
      <c r="C1803" t="s">
        <v>248</v>
      </c>
      <c r="D1803" t="s">
        <v>1</v>
      </c>
      <c r="E1803" t="s">
        <v>3460</v>
      </c>
      <c r="F1803" t="s">
        <v>3461</v>
      </c>
      <c r="G1803" t="s">
        <v>179</v>
      </c>
      <c r="H1803">
        <v>172</v>
      </c>
      <c r="I1803">
        <v>63.244</v>
      </c>
      <c r="J1803">
        <v>76.744</v>
      </c>
      <c r="K1803">
        <v>13.5</v>
      </c>
      <c r="L1803">
        <v>110</v>
      </c>
      <c r="M1803">
        <v>17</v>
      </c>
      <c r="N1803">
        <v>45</v>
      </c>
      <c r="O1803">
        <v>77.647000000000006</v>
      </c>
      <c r="P1803">
        <v>12.14275962</v>
      </c>
      <c r="Q1803">
        <v>17.047000000000001</v>
      </c>
    </row>
    <row r="1804" spans="1:17" x14ac:dyDescent="0.2">
      <c r="A1804" s="30" t="str">
        <f>IF(C1804&amp;G1804&amp;D1804&lt;&gt;'Funnel setup'!$K$3&amp;'Funnel setup'!$K$4&amp;'Funnel setup'!$K$5,".",IF(A1803=".",1,A1803+1))</f>
        <v>.</v>
      </c>
      <c r="B1804" s="431" t="str">
        <f t="shared" si="28"/>
        <v>Hip Replacement PrimaryProviderSANDWELL AND WEST BIRMINGHAM HOSPITALS NHS TRUST (RXK)EQ VAS</v>
      </c>
      <c r="C1804" t="s">
        <v>248</v>
      </c>
      <c r="D1804" t="s">
        <v>1</v>
      </c>
      <c r="E1804" t="s">
        <v>3463</v>
      </c>
      <c r="F1804" t="s">
        <v>3464</v>
      </c>
      <c r="G1804" t="s">
        <v>179</v>
      </c>
      <c r="H1804">
        <v>143</v>
      </c>
      <c r="I1804">
        <v>61.915999999999997</v>
      </c>
      <c r="J1804">
        <v>72.629000000000005</v>
      </c>
      <c r="K1804">
        <v>10.712999999999999</v>
      </c>
      <c r="L1804">
        <v>89</v>
      </c>
      <c r="M1804">
        <v>19</v>
      </c>
      <c r="N1804">
        <v>35</v>
      </c>
      <c r="O1804">
        <v>77.88</v>
      </c>
      <c r="P1804">
        <v>12.375198190000001</v>
      </c>
      <c r="Q1804">
        <v>16.817</v>
      </c>
    </row>
    <row r="1805" spans="1:17" x14ac:dyDescent="0.2">
      <c r="A1805" s="30" t="str">
        <f>IF(C1805&amp;G1805&amp;D1805&lt;&gt;'Funnel setup'!$K$3&amp;'Funnel setup'!$K$4&amp;'Funnel setup'!$K$5,".",IF(A1804=".",1,A1804+1))</f>
        <v>.</v>
      </c>
      <c r="B1805" s="431" t="str">
        <f t="shared" si="28"/>
        <v>Hip Replacement PrimaryProviderSHEFFIELD TEACHING HOSPITALS NHS FOUNDATION TRUST (RHQ)EQ VAS</v>
      </c>
      <c r="C1805" t="s">
        <v>248</v>
      </c>
      <c r="D1805" t="s">
        <v>1</v>
      </c>
      <c r="E1805" t="s">
        <v>3466</v>
      </c>
      <c r="F1805" t="s">
        <v>3467</v>
      </c>
      <c r="G1805" t="s">
        <v>179</v>
      </c>
      <c r="H1805">
        <v>305</v>
      </c>
      <c r="I1805">
        <v>63.222999999999999</v>
      </c>
      <c r="J1805">
        <v>74.236000000000004</v>
      </c>
      <c r="K1805">
        <v>11.013</v>
      </c>
      <c r="L1805">
        <v>193</v>
      </c>
      <c r="M1805">
        <v>31</v>
      </c>
      <c r="N1805">
        <v>81</v>
      </c>
      <c r="O1805">
        <v>75.477000000000004</v>
      </c>
      <c r="P1805">
        <v>9.9722901279999991</v>
      </c>
      <c r="Q1805">
        <v>15.202</v>
      </c>
    </row>
    <row r="1806" spans="1:17" x14ac:dyDescent="0.2">
      <c r="A1806" s="30" t="str">
        <f>IF(C1806&amp;G1806&amp;D1806&lt;&gt;'Funnel setup'!$K$3&amp;'Funnel setup'!$K$4&amp;'Funnel setup'!$K$5,".",IF(A1805=".",1,A1805+1))</f>
        <v>.</v>
      </c>
      <c r="B1806" s="431" t="str">
        <f t="shared" si="28"/>
        <v>Hip Replacement PrimaryProviderSHEPTON MALLET NHS TREATMENT CENTRE (NTPH1)EQ VAS</v>
      </c>
      <c r="C1806" t="s">
        <v>248</v>
      </c>
      <c r="D1806" t="s">
        <v>1</v>
      </c>
      <c r="E1806" t="s">
        <v>3472</v>
      </c>
      <c r="F1806" t="s">
        <v>3473</v>
      </c>
      <c r="G1806" t="s">
        <v>179</v>
      </c>
      <c r="H1806">
        <v>188</v>
      </c>
      <c r="I1806">
        <v>70.510999999999996</v>
      </c>
      <c r="J1806">
        <v>82.632999999999996</v>
      </c>
      <c r="K1806">
        <v>12.122</v>
      </c>
      <c r="L1806">
        <v>122</v>
      </c>
      <c r="M1806">
        <v>21</v>
      </c>
      <c r="N1806">
        <v>45</v>
      </c>
      <c r="O1806">
        <v>79.328000000000003</v>
      </c>
      <c r="P1806">
        <v>13.824144909999999</v>
      </c>
      <c r="Q1806">
        <v>13.797000000000001</v>
      </c>
    </row>
    <row r="1807" spans="1:17" x14ac:dyDescent="0.2">
      <c r="A1807" s="30" t="str">
        <f>IF(C1807&amp;G1807&amp;D1807&lt;&gt;'Funnel setup'!$K$3&amp;'Funnel setup'!$K$4&amp;'Funnel setup'!$K$5,".",IF(A1806=".",1,A1806+1))</f>
        <v>.</v>
      </c>
      <c r="B1807" s="431" t="str">
        <f t="shared" si="28"/>
        <v>Hip Replacement PrimaryProviderSHERWOOD FOREST HOSPITALS NHS FOUNDATION TRUST (RK5)EQ VAS</v>
      </c>
      <c r="C1807" t="s">
        <v>248</v>
      </c>
      <c r="D1807" t="s">
        <v>1</v>
      </c>
      <c r="E1807" t="s">
        <v>3475</v>
      </c>
      <c r="F1807" t="s">
        <v>3476</v>
      </c>
      <c r="G1807" t="s">
        <v>179</v>
      </c>
      <c r="H1807">
        <v>126</v>
      </c>
      <c r="I1807">
        <v>61.984000000000002</v>
      </c>
      <c r="J1807">
        <v>73.951999999999998</v>
      </c>
      <c r="K1807">
        <v>11.968</v>
      </c>
      <c r="L1807">
        <v>83</v>
      </c>
      <c r="M1807">
        <v>12</v>
      </c>
      <c r="N1807">
        <v>31</v>
      </c>
      <c r="O1807">
        <v>75.888999999999996</v>
      </c>
      <c r="P1807">
        <v>10.384292540000001</v>
      </c>
      <c r="Q1807">
        <v>18.227</v>
      </c>
    </row>
    <row r="1808" spans="1:17" x14ac:dyDescent="0.2">
      <c r="A1808" s="30" t="str">
        <f>IF(C1808&amp;G1808&amp;D1808&lt;&gt;'Funnel setup'!$K$3&amp;'Funnel setup'!$K$4&amp;'Funnel setup'!$K$5,".",IF(A1807=".",1,A1807+1))</f>
        <v>.</v>
      </c>
      <c r="B1808" s="431" t="str">
        <f t="shared" si="28"/>
        <v>Hip Replacement PrimaryProviderSHREWSBURY AND TELFORD HOSPITAL NHS TRUST (RXW)EQ VAS</v>
      </c>
      <c r="C1808" t="s">
        <v>248</v>
      </c>
      <c r="D1808" t="s">
        <v>1</v>
      </c>
      <c r="E1808" t="s">
        <v>3478</v>
      </c>
      <c r="F1808" t="s">
        <v>3479</v>
      </c>
      <c r="G1808" t="s">
        <v>179</v>
      </c>
      <c r="H1808">
        <v>139</v>
      </c>
      <c r="I1808">
        <v>62.683</v>
      </c>
      <c r="J1808">
        <v>77.007000000000005</v>
      </c>
      <c r="K1808">
        <v>14.324</v>
      </c>
      <c r="L1808">
        <v>98</v>
      </c>
      <c r="M1808">
        <v>11</v>
      </c>
      <c r="N1808">
        <v>30</v>
      </c>
      <c r="O1808">
        <v>78.143000000000001</v>
      </c>
      <c r="P1808">
        <v>12.638430250000001</v>
      </c>
      <c r="Q1808">
        <v>16.135000000000002</v>
      </c>
    </row>
    <row r="1809" spans="1:17" x14ac:dyDescent="0.2">
      <c r="A1809" s="30" t="str">
        <f>IF(C1809&amp;G1809&amp;D1809&lt;&gt;'Funnel setup'!$K$3&amp;'Funnel setup'!$K$4&amp;'Funnel setup'!$K$5,".",IF(A1808=".",1,A1808+1))</f>
        <v>.</v>
      </c>
      <c r="B1809" s="431" t="str">
        <f t="shared" si="28"/>
        <v>Hip Replacement PrimaryProviderSOUTH TEES HOSPITALS NHS FOUNDATION TRUST (RTR)EQ VAS</v>
      </c>
      <c r="C1809" t="s">
        <v>248</v>
      </c>
      <c r="D1809" t="s">
        <v>1</v>
      </c>
      <c r="E1809" t="s">
        <v>3482</v>
      </c>
      <c r="F1809" t="s">
        <v>3483</v>
      </c>
      <c r="G1809" t="s">
        <v>179</v>
      </c>
      <c r="H1809">
        <v>379</v>
      </c>
      <c r="I1809">
        <v>65.391000000000005</v>
      </c>
      <c r="J1809">
        <v>76.013000000000005</v>
      </c>
      <c r="K1809">
        <v>10.622999999999999</v>
      </c>
      <c r="L1809">
        <v>231</v>
      </c>
      <c r="M1809">
        <v>43</v>
      </c>
      <c r="N1809">
        <v>105</v>
      </c>
      <c r="O1809">
        <v>76.603999999999999</v>
      </c>
      <c r="P1809">
        <v>11.09992778</v>
      </c>
      <c r="Q1809">
        <v>16.559999999999999</v>
      </c>
    </row>
    <row r="1810" spans="1:17" x14ac:dyDescent="0.2">
      <c r="A1810" s="30" t="str">
        <f>IF(C1810&amp;G1810&amp;D1810&lt;&gt;'Funnel setup'!$K$3&amp;'Funnel setup'!$K$4&amp;'Funnel setup'!$K$5,".",IF(A1809=".",1,A1809+1))</f>
        <v>.</v>
      </c>
      <c r="B1810" s="431" t="str">
        <f t="shared" si="28"/>
        <v>Hip Replacement PrimaryProviderSOUTH TYNESIDE NHS FOUNDATION TRUST (RE9)EQ VAS</v>
      </c>
      <c r="C1810" t="s">
        <v>248</v>
      </c>
      <c r="D1810" t="s">
        <v>1</v>
      </c>
      <c r="E1810" t="s">
        <v>3485</v>
      </c>
      <c r="F1810" t="s">
        <v>3486</v>
      </c>
      <c r="G1810" t="s">
        <v>179</v>
      </c>
      <c r="H1810">
        <v>41</v>
      </c>
      <c r="I1810">
        <v>66.22</v>
      </c>
      <c r="J1810">
        <v>77.171000000000006</v>
      </c>
      <c r="K1810">
        <v>10.951000000000001</v>
      </c>
      <c r="L1810">
        <v>23</v>
      </c>
      <c r="M1810">
        <v>6</v>
      </c>
      <c r="N1810">
        <v>12</v>
      </c>
      <c r="O1810">
        <v>79.278999999999996</v>
      </c>
      <c r="P1810">
        <v>13.77460359</v>
      </c>
      <c r="Q1810">
        <v>16.372</v>
      </c>
    </row>
    <row r="1811" spans="1:17" x14ac:dyDescent="0.2">
      <c r="A1811" s="30" t="str">
        <f>IF(C1811&amp;G1811&amp;D1811&lt;&gt;'Funnel setup'!$K$3&amp;'Funnel setup'!$K$4&amp;'Funnel setup'!$K$5,".",IF(A1810=".",1,A1810+1))</f>
        <v>.</v>
      </c>
      <c r="B1811" s="431" t="str">
        <f t="shared" si="28"/>
        <v>Hip Replacement PrimaryProviderSOUTH WARWICKSHIRE NHS FOUNDATION TRUST (RJC)EQ VAS</v>
      </c>
      <c r="C1811" t="s">
        <v>248</v>
      </c>
      <c r="D1811" t="s">
        <v>1</v>
      </c>
      <c r="E1811" t="s">
        <v>3421</v>
      </c>
      <c r="F1811" t="s">
        <v>3422</v>
      </c>
      <c r="G1811" t="s">
        <v>179</v>
      </c>
      <c r="H1811">
        <v>250</v>
      </c>
      <c r="I1811">
        <v>67.084000000000003</v>
      </c>
      <c r="J1811">
        <v>78.591999999999999</v>
      </c>
      <c r="K1811">
        <v>11.507999999999999</v>
      </c>
      <c r="L1811">
        <v>171</v>
      </c>
      <c r="M1811">
        <v>21</v>
      </c>
      <c r="N1811">
        <v>58</v>
      </c>
      <c r="O1811">
        <v>77.507000000000005</v>
      </c>
      <c r="P1811">
        <v>12.00299937</v>
      </c>
      <c r="Q1811">
        <v>15.603</v>
      </c>
    </row>
    <row r="1812" spans="1:17" x14ac:dyDescent="0.2">
      <c r="A1812" s="30" t="str">
        <f>IF(C1812&amp;G1812&amp;D1812&lt;&gt;'Funnel setup'!$K$3&amp;'Funnel setup'!$K$4&amp;'Funnel setup'!$K$5,".",IF(A1811=".",1,A1811+1))</f>
        <v>.</v>
      </c>
      <c r="B1812" s="431" t="str">
        <f t="shared" si="28"/>
        <v>Hip Replacement PrimaryProviderSOUTHAMPTON NHS TREATMENT CENTRE (NTP11)EQ VAS</v>
      </c>
      <c r="C1812" t="s">
        <v>248</v>
      </c>
      <c r="D1812" t="s">
        <v>1</v>
      </c>
      <c r="E1812" t="s">
        <v>3424</v>
      </c>
      <c r="F1812" t="s">
        <v>3425</v>
      </c>
      <c r="G1812" t="s">
        <v>179</v>
      </c>
      <c r="H1812">
        <v>85</v>
      </c>
      <c r="I1812">
        <v>66.929000000000002</v>
      </c>
      <c r="J1812">
        <v>77.647000000000006</v>
      </c>
      <c r="K1812">
        <v>10.718</v>
      </c>
      <c r="L1812">
        <v>59</v>
      </c>
      <c r="M1812">
        <v>5</v>
      </c>
      <c r="N1812">
        <v>21</v>
      </c>
      <c r="O1812">
        <v>76.774000000000001</v>
      </c>
      <c r="P1812">
        <v>11.269731269999999</v>
      </c>
      <c r="Q1812">
        <v>14.428000000000001</v>
      </c>
    </row>
    <row r="1813" spans="1:17" x14ac:dyDescent="0.2">
      <c r="A1813" s="30" t="str">
        <f>IF(C1813&amp;G1813&amp;D1813&lt;&gt;'Funnel setup'!$K$3&amp;'Funnel setup'!$K$4&amp;'Funnel setup'!$K$5,".",IF(A1812=".",1,A1812+1))</f>
        <v>.</v>
      </c>
      <c r="B1813" s="431" t="str">
        <f t="shared" si="28"/>
        <v>Hip Replacement PrimaryProviderSOUTHEND UNIVERSITY HOSPITAL NHS FOUNDATION TRUST (RAJ)EQ VAS</v>
      </c>
      <c r="C1813" t="s">
        <v>248</v>
      </c>
      <c r="D1813" t="s">
        <v>1</v>
      </c>
      <c r="E1813" t="s">
        <v>3427</v>
      </c>
      <c r="F1813" t="s">
        <v>3428</v>
      </c>
      <c r="G1813" t="s">
        <v>179</v>
      </c>
      <c r="H1813">
        <v>125</v>
      </c>
      <c r="I1813">
        <v>64.36</v>
      </c>
      <c r="J1813">
        <v>76.504000000000005</v>
      </c>
      <c r="K1813">
        <v>12.144</v>
      </c>
      <c r="L1813">
        <v>78</v>
      </c>
      <c r="M1813">
        <v>14</v>
      </c>
      <c r="N1813">
        <v>33</v>
      </c>
      <c r="O1813">
        <v>76.847999999999999</v>
      </c>
      <c r="P1813">
        <v>11.343474260000001</v>
      </c>
      <c r="Q1813">
        <v>14.016</v>
      </c>
    </row>
    <row r="1814" spans="1:17" x14ac:dyDescent="0.2">
      <c r="A1814" s="30" t="str">
        <f>IF(C1814&amp;G1814&amp;D1814&lt;&gt;'Funnel setup'!$K$3&amp;'Funnel setup'!$K$4&amp;'Funnel setup'!$K$5,".",IF(A1813=".",1,A1813+1))</f>
        <v>.</v>
      </c>
      <c r="B1814" s="431" t="str">
        <f t="shared" si="28"/>
        <v>Hip Replacement PrimaryProviderSOUTHPORT AND ORMSKIRK HOSPITAL NHS TRUST (RVY)EQ VAS</v>
      </c>
      <c r="C1814" t="s">
        <v>248</v>
      </c>
      <c r="D1814" t="s">
        <v>1</v>
      </c>
      <c r="E1814" t="s">
        <v>3430</v>
      </c>
      <c r="F1814" t="s">
        <v>3431</v>
      </c>
      <c r="G1814" t="s">
        <v>179</v>
      </c>
      <c r="H1814">
        <v>93</v>
      </c>
      <c r="I1814">
        <v>63.988999999999997</v>
      </c>
      <c r="J1814">
        <v>76.656000000000006</v>
      </c>
      <c r="K1814">
        <v>12.667</v>
      </c>
      <c r="L1814">
        <v>66</v>
      </c>
      <c r="M1814">
        <v>12</v>
      </c>
      <c r="N1814">
        <v>15</v>
      </c>
      <c r="O1814">
        <v>77.760999999999996</v>
      </c>
      <c r="P1814">
        <v>12.256998919999999</v>
      </c>
      <c r="Q1814">
        <v>15.257999999999999</v>
      </c>
    </row>
    <row r="1815" spans="1:17" x14ac:dyDescent="0.2">
      <c r="A1815" s="30" t="str">
        <f>IF(C1815&amp;G1815&amp;D1815&lt;&gt;'Funnel setup'!$K$3&amp;'Funnel setup'!$K$4&amp;'Funnel setup'!$K$5,".",IF(A1814=".",1,A1814+1))</f>
        <v>.</v>
      </c>
      <c r="B1815" s="431" t="str">
        <f t="shared" si="28"/>
        <v>Hip Replacement PrimaryProviderSPIRE ALEXANDRA HOSPITAL (NT312)EQ VAS</v>
      </c>
      <c r="C1815" t="s">
        <v>248</v>
      </c>
      <c r="D1815" t="s">
        <v>1</v>
      </c>
      <c r="E1815" t="s">
        <v>3433</v>
      </c>
      <c r="F1815" t="s">
        <v>3434</v>
      </c>
      <c r="G1815" t="s">
        <v>179</v>
      </c>
      <c r="H1815">
        <v>32</v>
      </c>
      <c r="I1815">
        <v>65.406000000000006</v>
      </c>
      <c r="J1815">
        <v>77.313000000000002</v>
      </c>
      <c r="K1815">
        <v>11.906000000000001</v>
      </c>
      <c r="L1815">
        <v>21</v>
      </c>
      <c r="M1815">
        <v>3</v>
      </c>
      <c r="N1815">
        <v>8</v>
      </c>
      <c r="O1815">
        <v>76.796999999999997</v>
      </c>
      <c r="P1815">
        <v>11.292982439999999</v>
      </c>
      <c r="Q1815">
        <v>18.617000000000001</v>
      </c>
    </row>
    <row r="1816" spans="1:17" x14ac:dyDescent="0.2">
      <c r="A1816" s="30" t="str">
        <f>IF(C1816&amp;G1816&amp;D1816&lt;&gt;'Funnel setup'!$K$3&amp;'Funnel setup'!$K$4&amp;'Funnel setup'!$K$5,".",IF(A1815=".",1,A1815+1))</f>
        <v>.</v>
      </c>
      <c r="B1816" s="431" t="str">
        <f t="shared" si="28"/>
        <v>Hip Replacement PrimaryProviderSPIRE BRISTOL HOSPITAL (NT302)EQ VAS</v>
      </c>
      <c r="C1816" t="s">
        <v>248</v>
      </c>
      <c r="D1816" t="s">
        <v>1</v>
      </c>
      <c r="E1816" t="s">
        <v>4381</v>
      </c>
      <c r="F1816" t="s">
        <v>4382</v>
      </c>
      <c r="G1816" t="s">
        <v>179</v>
      </c>
      <c r="H1816">
        <v>87</v>
      </c>
      <c r="I1816">
        <v>72.08</v>
      </c>
      <c r="J1816">
        <v>81.759</v>
      </c>
      <c r="K1816">
        <v>9.6780000000000008</v>
      </c>
      <c r="L1816">
        <v>56</v>
      </c>
      <c r="M1816">
        <v>15</v>
      </c>
      <c r="N1816">
        <v>16</v>
      </c>
      <c r="O1816">
        <v>77.838999999999999</v>
      </c>
      <c r="P1816">
        <v>12.335165699999999</v>
      </c>
      <c r="Q1816">
        <v>12.843999999999999</v>
      </c>
    </row>
    <row r="1817" spans="1:17" x14ac:dyDescent="0.2">
      <c r="A1817" s="30" t="str">
        <f>IF(C1817&amp;G1817&amp;D1817&lt;&gt;'Funnel setup'!$K$3&amp;'Funnel setup'!$K$4&amp;'Funnel setup'!$K$5,".",IF(A1816=".",1,A1816+1))</f>
        <v>.</v>
      </c>
      <c r="B1817" s="431" t="str">
        <f t="shared" si="28"/>
        <v>Hip Replacement PrimaryProviderSPIRE BUSHEY HOSPITAL (NT315)EQ VAS</v>
      </c>
      <c r="C1817" t="s">
        <v>248</v>
      </c>
      <c r="D1817" t="s">
        <v>1</v>
      </c>
      <c r="E1817" t="s">
        <v>4364</v>
      </c>
      <c r="F1817" t="s">
        <v>4365</v>
      </c>
      <c r="G1817" t="s">
        <v>179</v>
      </c>
      <c r="H1817">
        <v>14</v>
      </c>
      <c r="I1817">
        <v>69.070999999999998</v>
      </c>
      <c r="J1817">
        <v>85.213999999999999</v>
      </c>
      <c r="K1817">
        <v>16.143000000000001</v>
      </c>
      <c r="L1817">
        <v>10</v>
      </c>
      <c r="M1817">
        <v>0</v>
      </c>
      <c r="N1817">
        <v>4</v>
      </c>
      <c r="O1817" t="s">
        <v>53</v>
      </c>
      <c r="P1817" t="s">
        <v>53</v>
      </c>
      <c r="Q1817" t="s">
        <v>53</v>
      </c>
    </row>
    <row r="1818" spans="1:17" x14ac:dyDescent="0.2">
      <c r="A1818" s="30" t="str">
        <f>IF(C1818&amp;G1818&amp;D1818&lt;&gt;'Funnel setup'!$K$3&amp;'Funnel setup'!$K$4&amp;'Funnel setup'!$K$5,".",IF(A1817=".",1,A1817+1))</f>
        <v>.</v>
      </c>
      <c r="B1818" s="431" t="str">
        <f t="shared" si="28"/>
        <v>Hip Replacement PrimaryProviderSPIRE CAMBRIDGE LEA HOSPITAL (NT317)EQ VAS</v>
      </c>
      <c r="C1818" t="s">
        <v>248</v>
      </c>
      <c r="D1818" t="s">
        <v>1</v>
      </c>
      <c r="E1818" t="s">
        <v>3436</v>
      </c>
      <c r="F1818" t="s">
        <v>3437</v>
      </c>
      <c r="G1818" t="s">
        <v>179</v>
      </c>
      <c r="H1818">
        <v>55</v>
      </c>
      <c r="I1818">
        <v>70.072999999999993</v>
      </c>
      <c r="J1818">
        <v>85.344999999999999</v>
      </c>
      <c r="K1818">
        <v>15.273</v>
      </c>
      <c r="L1818">
        <v>42</v>
      </c>
      <c r="M1818">
        <v>7</v>
      </c>
      <c r="N1818">
        <v>6</v>
      </c>
      <c r="O1818">
        <v>80.908000000000001</v>
      </c>
      <c r="P1818">
        <v>15.403393940000001</v>
      </c>
      <c r="Q1818">
        <v>12.371</v>
      </c>
    </row>
    <row r="1819" spans="1:17" x14ac:dyDescent="0.2">
      <c r="A1819" s="30" t="str">
        <f>IF(C1819&amp;G1819&amp;D1819&lt;&gt;'Funnel setup'!$K$3&amp;'Funnel setup'!$K$4&amp;'Funnel setup'!$K$5,".",IF(A1818=".",1,A1818+1))</f>
        <v>.</v>
      </c>
      <c r="B1819" s="431" t="str">
        <f t="shared" si="28"/>
        <v>Hip Replacement PrimaryProviderSPIRE CHESHIRE HOSPITAL (NT324)EQ VAS</v>
      </c>
      <c r="C1819" t="s">
        <v>248</v>
      </c>
      <c r="D1819" t="s">
        <v>1</v>
      </c>
      <c r="E1819" t="s">
        <v>3439</v>
      </c>
      <c r="F1819" t="s">
        <v>3440</v>
      </c>
      <c r="G1819" t="s">
        <v>179</v>
      </c>
      <c r="H1819">
        <v>62</v>
      </c>
      <c r="I1819">
        <v>64.225999999999999</v>
      </c>
      <c r="J1819">
        <v>78.5</v>
      </c>
      <c r="K1819">
        <v>14.273999999999999</v>
      </c>
      <c r="L1819">
        <v>42</v>
      </c>
      <c r="M1819">
        <v>12</v>
      </c>
      <c r="N1819">
        <v>8</v>
      </c>
      <c r="O1819">
        <v>76.896000000000001</v>
      </c>
      <c r="P1819">
        <v>11.39120142</v>
      </c>
      <c r="Q1819">
        <v>16.035</v>
      </c>
    </row>
    <row r="1820" spans="1:17" x14ac:dyDescent="0.2">
      <c r="A1820" s="30" t="str">
        <f>IF(C1820&amp;G1820&amp;D1820&lt;&gt;'Funnel setup'!$K$3&amp;'Funnel setup'!$K$4&amp;'Funnel setup'!$K$5,".",IF(A1819=".",1,A1819+1))</f>
        <v>.</v>
      </c>
      <c r="B1820" s="431" t="str">
        <f t="shared" si="28"/>
        <v>Hip Replacement PrimaryProviderSPIRE CLARE PARK HOSPITAL (NT345)EQ VAS</v>
      </c>
      <c r="C1820" t="s">
        <v>248</v>
      </c>
      <c r="D1820" t="s">
        <v>1</v>
      </c>
      <c r="E1820" t="s">
        <v>3412</v>
      </c>
      <c r="F1820" t="s">
        <v>3413</v>
      </c>
      <c r="G1820" t="s">
        <v>179</v>
      </c>
      <c r="H1820">
        <v>39</v>
      </c>
      <c r="I1820">
        <v>72.204999999999998</v>
      </c>
      <c r="J1820">
        <v>82.897000000000006</v>
      </c>
      <c r="K1820">
        <v>10.692</v>
      </c>
      <c r="L1820">
        <v>25</v>
      </c>
      <c r="M1820">
        <v>9</v>
      </c>
      <c r="N1820">
        <v>5</v>
      </c>
      <c r="O1820">
        <v>78.676000000000002</v>
      </c>
      <c r="P1820">
        <v>13.172047490000001</v>
      </c>
      <c r="Q1820">
        <v>11.746</v>
      </c>
    </row>
    <row r="1821" spans="1:17" x14ac:dyDescent="0.2">
      <c r="A1821" s="30" t="str">
        <f>IF(C1821&amp;G1821&amp;D1821&lt;&gt;'Funnel setup'!$K$3&amp;'Funnel setup'!$K$4&amp;'Funnel setup'!$K$5,".",IF(A1820=".",1,A1820+1))</f>
        <v>.</v>
      </c>
      <c r="B1821" s="431" t="str">
        <f t="shared" si="28"/>
        <v>Hip Replacement PrimaryProviderSPIRE DUNEDIN HOSPITAL (NT344)EQ VAS</v>
      </c>
      <c r="C1821" t="s">
        <v>248</v>
      </c>
      <c r="D1821" t="s">
        <v>1</v>
      </c>
      <c r="E1821" t="s">
        <v>3415</v>
      </c>
      <c r="F1821" t="s">
        <v>3416</v>
      </c>
      <c r="G1821" t="s">
        <v>179</v>
      </c>
      <c r="H1821">
        <v>15</v>
      </c>
      <c r="I1821">
        <v>76.266999999999996</v>
      </c>
      <c r="J1821">
        <v>83.867000000000004</v>
      </c>
      <c r="K1821">
        <v>7.6</v>
      </c>
      <c r="L1821">
        <v>7</v>
      </c>
      <c r="M1821">
        <v>4</v>
      </c>
      <c r="N1821">
        <v>4</v>
      </c>
      <c r="O1821" t="s">
        <v>53</v>
      </c>
      <c r="P1821" t="s">
        <v>53</v>
      </c>
      <c r="Q1821" t="s">
        <v>53</v>
      </c>
    </row>
    <row r="1822" spans="1:17" x14ac:dyDescent="0.2">
      <c r="A1822" s="30" t="str">
        <f>IF(C1822&amp;G1822&amp;D1822&lt;&gt;'Funnel setup'!$K$3&amp;'Funnel setup'!$K$4&amp;'Funnel setup'!$K$5,".",IF(A1821=".",1,A1821+1))</f>
        <v>.</v>
      </c>
      <c r="B1822" s="431" t="str">
        <f t="shared" si="28"/>
        <v>Hip Replacement PrimaryProviderSPIRE ELLAND HOSPITAL (NT348)EQ VAS</v>
      </c>
      <c r="C1822" t="s">
        <v>248</v>
      </c>
      <c r="D1822" t="s">
        <v>1</v>
      </c>
      <c r="E1822" t="s">
        <v>3418</v>
      </c>
      <c r="F1822" t="s">
        <v>3419</v>
      </c>
      <c r="G1822" t="s">
        <v>179</v>
      </c>
      <c r="H1822">
        <v>45</v>
      </c>
      <c r="I1822">
        <v>55.8</v>
      </c>
      <c r="J1822">
        <v>78.043999999999997</v>
      </c>
      <c r="K1822">
        <v>22.244</v>
      </c>
      <c r="L1822">
        <v>38</v>
      </c>
      <c r="M1822">
        <v>2</v>
      </c>
      <c r="N1822">
        <v>5</v>
      </c>
      <c r="O1822">
        <v>78.616</v>
      </c>
      <c r="P1822">
        <v>13.11200234</v>
      </c>
      <c r="Q1822">
        <v>14.853</v>
      </c>
    </row>
    <row r="1823" spans="1:17" x14ac:dyDescent="0.2">
      <c r="A1823" s="30" t="str">
        <f>IF(C1823&amp;G1823&amp;D1823&lt;&gt;'Funnel setup'!$K$3&amp;'Funnel setup'!$K$4&amp;'Funnel setup'!$K$5,".",IF(A1822=".",1,A1822+1))</f>
        <v>.</v>
      </c>
      <c r="B1823" s="431" t="str">
        <f t="shared" si="28"/>
        <v>Hip Replacement PrimaryProviderSPIRE FYLDE COAST HOSPITAL (NT347)EQ VAS</v>
      </c>
      <c r="C1823" t="s">
        <v>248</v>
      </c>
      <c r="D1823" t="s">
        <v>1</v>
      </c>
      <c r="E1823" t="s">
        <v>4370</v>
      </c>
      <c r="F1823" t="s">
        <v>4371</v>
      </c>
      <c r="G1823" t="s">
        <v>179</v>
      </c>
      <c r="H1823">
        <v>71</v>
      </c>
      <c r="I1823">
        <v>65.549000000000007</v>
      </c>
      <c r="J1823">
        <v>76.760999999999996</v>
      </c>
      <c r="K1823">
        <v>11.211</v>
      </c>
      <c r="L1823">
        <v>46</v>
      </c>
      <c r="M1823">
        <v>3</v>
      </c>
      <c r="N1823">
        <v>22</v>
      </c>
      <c r="O1823">
        <v>76.600999999999999</v>
      </c>
      <c r="P1823">
        <v>11.09682855</v>
      </c>
      <c r="Q1823">
        <v>16.355</v>
      </c>
    </row>
    <row r="1824" spans="1:17" x14ac:dyDescent="0.2">
      <c r="A1824" s="30" t="str">
        <f>IF(C1824&amp;G1824&amp;D1824&lt;&gt;'Funnel setup'!$K$3&amp;'Funnel setup'!$K$4&amp;'Funnel setup'!$K$5,".",IF(A1823=".",1,A1823+1))</f>
        <v>.</v>
      </c>
      <c r="B1824" s="431" t="str">
        <f t="shared" si="28"/>
        <v>Hip Replacement PrimaryProviderSPIRE GATWICK PARK HOSPITAL (NT308)EQ VAS</v>
      </c>
      <c r="C1824" t="s">
        <v>248</v>
      </c>
      <c r="D1824" t="s">
        <v>1</v>
      </c>
      <c r="E1824" t="s">
        <v>3409</v>
      </c>
      <c r="F1824" t="s">
        <v>3410</v>
      </c>
      <c r="G1824" t="s">
        <v>179</v>
      </c>
      <c r="H1824">
        <v>87</v>
      </c>
      <c r="I1824">
        <v>69.908000000000001</v>
      </c>
      <c r="J1824">
        <v>81.23</v>
      </c>
      <c r="K1824">
        <v>11.321999999999999</v>
      </c>
      <c r="L1824">
        <v>60</v>
      </c>
      <c r="M1824">
        <v>7</v>
      </c>
      <c r="N1824">
        <v>20</v>
      </c>
      <c r="O1824">
        <v>78.340999999999994</v>
      </c>
      <c r="P1824">
        <v>12.837026059999999</v>
      </c>
      <c r="Q1824">
        <v>13.574</v>
      </c>
    </row>
    <row r="1825" spans="1:17" x14ac:dyDescent="0.2">
      <c r="A1825" s="30" t="str">
        <f>IF(C1825&amp;G1825&amp;D1825&lt;&gt;'Funnel setup'!$K$3&amp;'Funnel setup'!$K$4&amp;'Funnel setup'!$K$5,".",IF(A1824=".",1,A1824+1))</f>
        <v>.</v>
      </c>
      <c r="B1825" s="431" t="str">
        <f t="shared" si="28"/>
        <v>Hip Replacement PrimaryProviderSPIRE HARPENDEN HOSPITAL (NT316)EQ VAS</v>
      </c>
      <c r="C1825" t="s">
        <v>248</v>
      </c>
      <c r="D1825" t="s">
        <v>1</v>
      </c>
      <c r="E1825" t="s">
        <v>4267</v>
      </c>
      <c r="F1825" t="s">
        <v>4268</v>
      </c>
      <c r="G1825" t="s">
        <v>179</v>
      </c>
      <c r="H1825">
        <v>61</v>
      </c>
      <c r="I1825">
        <v>66.081999999999994</v>
      </c>
      <c r="J1825">
        <v>82.262</v>
      </c>
      <c r="K1825">
        <v>16.18</v>
      </c>
      <c r="L1825">
        <v>49</v>
      </c>
      <c r="M1825">
        <v>6</v>
      </c>
      <c r="N1825">
        <v>6</v>
      </c>
      <c r="O1825">
        <v>79.941999999999993</v>
      </c>
      <c r="P1825">
        <v>14.437517769999999</v>
      </c>
      <c r="Q1825">
        <v>11.907999999999999</v>
      </c>
    </row>
    <row r="1826" spans="1:17" x14ac:dyDescent="0.2">
      <c r="A1826" s="30" t="str">
        <f>IF(C1826&amp;G1826&amp;D1826&lt;&gt;'Funnel setup'!$K$3&amp;'Funnel setup'!$K$4&amp;'Funnel setup'!$K$5,".",IF(A1825=".",1,A1825+1))</f>
        <v>.</v>
      </c>
      <c r="B1826" s="431" t="str">
        <f t="shared" si="28"/>
        <v>Hip Replacement PrimaryProviderSPIRE HARTSWOOD HOSPITAL (NT319)EQ VAS</v>
      </c>
      <c r="C1826" t="s">
        <v>248</v>
      </c>
      <c r="D1826" t="s">
        <v>1</v>
      </c>
      <c r="E1826" t="s">
        <v>3210</v>
      </c>
      <c r="F1826" t="s">
        <v>3211</v>
      </c>
      <c r="G1826" t="s">
        <v>179</v>
      </c>
      <c r="H1826">
        <v>8</v>
      </c>
      <c r="I1826">
        <v>66.875</v>
      </c>
      <c r="J1826">
        <v>73.75</v>
      </c>
      <c r="K1826">
        <v>6.875</v>
      </c>
      <c r="L1826">
        <v>4</v>
      </c>
      <c r="M1826">
        <v>3</v>
      </c>
      <c r="N1826">
        <v>1</v>
      </c>
      <c r="O1826" t="s">
        <v>53</v>
      </c>
      <c r="P1826" t="s">
        <v>53</v>
      </c>
      <c r="Q1826" t="s">
        <v>53</v>
      </c>
    </row>
    <row r="1827" spans="1:17" x14ac:dyDescent="0.2">
      <c r="A1827" s="30" t="str">
        <f>IF(C1827&amp;G1827&amp;D1827&lt;&gt;'Funnel setup'!$K$3&amp;'Funnel setup'!$K$4&amp;'Funnel setup'!$K$5,".",IF(A1826=".",1,A1826+1))</f>
        <v>.</v>
      </c>
      <c r="B1827" s="431" t="str">
        <f t="shared" si="28"/>
        <v>Hip Replacement PrimaryProviderSPIRE HULL AND EAST RIDING HOSPITAL (NT351)EQ VAS</v>
      </c>
      <c r="C1827" t="s">
        <v>248</v>
      </c>
      <c r="D1827" t="s">
        <v>1</v>
      </c>
      <c r="E1827" t="s">
        <v>3213</v>
      </c>
      <c r="F1827" t="s">
        <v>3214</v>
      </c>
      <c r="G1827" t="s">
        <v>179</v>
      </c>
      <c r="H1827">
        <v>149</v>
      </c>
      <c r="I1827">
        <v>62.369</v>
      </c>
      <c r="J1827">
        <v>79.638000000000005</v>
      </c>
      <c r="K1827">
        <v>17.268000000000001</v>
      </c>
      <c r="L1827">
        <v>111</v>
      </c>
      <c r="M1827">
        <v>14</v>
      </c>
      <c r="N1827">
        <v>24</v>
      </c>
      <c r="O1827">
        <v>78.954999999999998</v>
      </c>
      <c r="P1827">
        <v>13.45087286</v>
      </c>
      <c r="Q1827">
        <v>14.64</v>
      </c>
    </row>
    <row r="1828" spans="1:17" x14ac:dyDescent="0.2">
      <c r="A1828" s="30" t="str">
        <f>IF(C1828&amp;G1828&amp;D1828&lt;&gt;'Funnel setup'!$K$3&amp;'Funnel setup'!$K$4&amp;'Funnel setup'!$K$5,".",IF(A1827=".",1,A1827+1))</f>
        <v>.</v>
      </c>
      <c r="B1828" s="431" t="str">
        <f t="shared" si="28"/>
        <v>Hip Replacement PrimaryProviderSPIRE LEEDS HOSPITAL (NT332)EQ VAS</v>
      </c>
      <c r="C1828" t="s">
        <v>248</v>
      </c>
      <c r="D1828" t="s">
        <v>1</v>
      </c>
      <c r="E1828" t="s">
        <v>3198</v>
      </c>
      <c r="F1828" t="s">
        <v>3199</v>
      </c>
      <c r="G1828" t="s">
        <v>179</v>
      </c>
      <c r="H1828">
        <v>74</v>
      </c>
      <c r="I1828">
        <v>68.796999999999997</v>
      </c>
      <c r="J1828">
        <v>78.784000000000006</v>
      </c>
      <c r="K1828">
        <v>9.9860000000000007</v>
      </c>
      <c r="L1828">
        <v>45</v>
      </c>
      <c r="M1828">
        <v>8</v>
      </c>
      <c r="N1828">
        <v>21</v>
      </c>
      <c r="O1828">
        <v>76.673000000000002</v>
      </c>
      <c r="P1828">
        <v>11.16848315</v>
      </c>
      <c r="Q1828">
        <v>12.468</v>
      </c>
    </row>
    <row r="1829" spans="1:17" x14ac:dyDescent="0.2">
      <c r="A1829" s="30" t="str">
        <f>IF(C1829&amp;G1829&amp;D1829&lt;&gt;'Funnel setup'!$K$3&amp;'Funnel setup'!$K$4&amp;'Funnel setup'!$K$5,".",IF(A1828=".",1,A1828+1))</f>
        <v>.</v>
      </c>
      <c r="B1829" s="431" t="str">
        <f t="shared" si="28"/>
        <v>Hip Replacement PrimaryProviderSPIRE LEICESTER HOSPITAL (NT322)EQ VAS</v>
      </c>
      <c r="C1829" t="s">
        <v>248</v>
      </c>
      <c r="D1829" t="s">
        <v>1</v>
      </c>
      <c r="E1829" t="s">
        <v>3201</v>
      </c>
      <c r="F1829" t="s">
        <v>3202</v>
      </c>
      <c r="G1829" t="s">
        <v>179</v>
      </c>
      <c r="H1829">
        <v>86</v>
      </c>
      <c r="I1829">
        <v>68.477000000000004</v>
      </c>
      <c r="J1829">
        <v>81.686000000000007</v>
      </c>
      <c r="K1829">
        <v>13.209</v>
      </c>
      <c r="L1829">
        <v>56</v>
      </c>
      <c r="M1829">
        <v>11</v>
      </c>
      <c r="N1829">
        <v>19</v>
      </c>
      <c r="O1829">
        <v>79.652000000000001</v>
      </c>
      <c r="P1829">
        <v>14.148154160000001</v>
      </c>
      <c r="Q1829">
        <v>13.178000000000001</v>
      </c>
    </row>
    <row r="1830" spans="1:17" x14ac:dyDescent="0.2">
      <c r="A1830" s="30" t="str">
        <f>IF(C1830&amp;G1830&amp;D1830&lt;&gt;'Funnel setup'!$K$3&amp;'Funnel setup'!$K$4&amp;'Funnel setup'!$K$5,".",IF(A1829=".",1,A1829+1))</f>
        <v>.</v>
      </c>
      <c r="B1830" s="431" t="str">
        <f t="shared" si="28"/>
        <v>Hip Replacement PrimaryProviderSPIRE LITTLE ASTON HOSPITAL (NT321)EQ VAS</v>
      </c>
      <c r="C1830" t="s">
        <v>248</v>
      </c>
      <c r="D1830" t="s">
        <v>1</v>
      </c>
      <c r="E1830" t="s">
        <v>3921</v>
      </c>
      <c r="F1830" t="s">
        <v>3922</v>
      </c>
      <c r="G1830" t="s">
        <v>179</v>
      </c>
      <c r="H1830">
        <v>73</v>
      </c>
      <c r="I1830">
        <v>64.177999999999997</v>
      </c>
      <c r="J1830">
        <v>75.903999999999996</v>
      </c>
      <c r="K1830">
        <v>11.726000000000001</v>
      </c>
      <c r="L1830">
        <v>47</v>
      </c>
      <c r="M1830">
        <v>12</v>
      </c>
      <c r="N1830">
        <v>14</v>
      </c>
      <c r="O1830">
        <v>76.450999999999993</v>
      </c>
      <c r="P1830">
        <v>10.9470916</v>
      </c>
      <c r="Q1830">
        <v>16.678999999999998</v>
      </c>
    </row>
    <row r="1831" spans="1:17" x14ac:dyDescent="0.2">
      <c r="A1831" s="30" t="str">
        <f>IF(C1831&amp;G1831&amp;D1831&lt;&gt;'Funnel setup'!$K$3&amp;'Funnel setup'!$K$4&amp;'Funnel setup'!$K$5,".",IF(A1830=".",1,A1830+1))</f>
        <v>.</v>
      </c>
      <c r="B1831" s="431" t="str">
        <f t="shared" si="28"/>
        <v>Hip Replacement PrimaryProviderSPIRE LIVERPOOL HOSPITAL (NT337)EQ VAS</v>
      </c>
      <c r="C1831" t="s">
        <v>248</v>
      </c>
      <c r="D1831" t="s">
        <v>1</v>
      </c>
      <c r="E1831" t="s">
        <v>3927</v>
      </c>
      <c r="F1831" t="s">
        <v>3928</v>
      </c>
      <c r="G1831" t="s">
        <v>179</v>
      </c>
      <c r="H1831">
        <v>46</v>
      </c>
      <c r="I1831">
        <v>71.674000000000007</v>
      </c>
      <c r="J1831">
        <v>84</v>
      </c>
      <c r="K1831">
        <v>12.326000000000001</v>
      </c>
      <c r="L1831">
        <v>27</v>
      </c>
      <c r="M1831">
        <v>6</v>
      </c>
      <c r="N1831">
        <v>13</v>
      </c>
      <c r="O1831">
        <v>81.442999999999998</v>
      </c>
      <c r="P1831">
        <v>15.9382486</v>
      </c>
      <c r="Q1831">
        <v>11.733000000000001</v>
      </c>
    </row>
    <row r="1832" spans="1:17" x14ac:dyDescent="0.2">
      <c r="A1832" s="30" t="str">
        <f>IF(C1832&amp;G1832&amp;D1832&lt;&gt;'Funnel setup'!$K$3&amp;'Funnel setup'!$K$4&amp;'Funnel setup'!$K$5,".",IF(A1831=".",1,A1831+1))</f>
        <v>.</v>
      </c>
      <c r="B1832" s="431" t="str">
        <f t="shared" si="28"/>
        <v>Hip Replacement PrimaryProviderSPIRE MANCHESTER HOSPITAL (NT327)EQ VAS</v>
      </c>
      <c r="C1832" t="s">
        <v>248</v>
      </c>
      <c r="D1832" t="s">
        <v>1</v>
      </c>
      <c r="E1832" t="s">
        <v>3154</v>
      </c>
      <c r="F1832" t="s">
        <v>3155</v>
      </c>
      <c r="G1832" t="s">
        <v>179</v>
      </c>
      <c r="H1832">
        <v>15</v>
      </c>
      <c r="I1832">
        <v>68.266999999999996</v>
      </c>
      <c r="J1832">
        <v>80.066999999999993</v>
      </c>
      <c r="K1832">
        <v>11.8</v>
      </c>
      <c r="L1832">
        <v>11</v>
      </c>
      <c r="M1832">
        <v>1</v>
      </c>
      <c r="N1832">
        <v>3</v>
      </c>
      <c r="O1832" t="s">
        <v>53</v>
      </c>
      <c r="P1832" t="s">
        <v>53</v>
      </c>
      <c r="Q1832" t="s">
        <v>53</v>
      </c>
    </row>
    <row r="1833" spans="1:17" x14ac:dyDescent="0.2">
      <c r="A1833" s="30" t="str">
        <f>IF(C1833&amp;G1833&amp;D1833&lt;&gt;'Funnel setup'!$K$3&amp;'Funnel setup'!$K$4&amp;'Funnel setup'!$K$5,".",IF(A1832=".",1,A1832+1))</f>
        <v>.</v>
      </c>
      <c r="B1833" s="431" t="str">
        <f t="shared" si="28"/>
        <v>Hip Replacement PrimaryProviderSPIRE METHLEY PARK HOSPITAL (NT350)EQ VAS</v>
      </c>
      <c r="C1833" t="s">
        <v>248</v>
      </c>
      <c r="D1833" t="s">
        <v>1</v>
      </c>
      <c r="E1833" t="s">
        <v>3157</v>
      </c>
      <c r="F1833" t="s">
        <v>3158</v>
      </c>
      <c r="G1833" t="s">
        <v>179</v>
      </c>
      <c r="H1833">
        <v>57</v>
      </c>
      <c r="I1833">
        <v>61.737000000000002</v>
      </c>
      <c r="J1833">
        <v>77.456000000000003</v>
      </c>
      <c r="K1833">
        <v>15.718999999999999</v>
      </c>
      <c r="L1833">
        <v>42</v>
      </c>
      <c r="M1833">
        <v>5</v>
      </c>
      <c r="N1833">
        <v>10</v>
      </c>
      <c r="O1833">
        <v>77.7</v>
      </c>
      <c r="P1833">
        <v>12.195766040000001</v>
      </c>
      <c r="Q1833">
        <v>13.439</v>
      </c>
    </row>
    <row r="1834" spans="1:17" x14ac:dyDescent="0.2">
      <c r="A1834" s="30" t="str">
        <f>IF(C1834&amp;G1834&amp;D1834&lt;&gt;'Funnel setup'!$K$3&amp;'Funnel setup'!$K$4&amp;'Funnel setup'!$K$5,".",IF(A1833=".",1,A1833+1))</f>
        <v>.</v>
      </c>
      <c r="B1834" s="431" t="str">
        <f t="shared" si="28"/>
        <v>Hip Replacement PrimaryProviderSPIRE MONTEFIORE HOSPITAL (NT364)EQ VAS</v>
      </c>
      <c r="C1834" t="s">
        <v>248</v>
      </c>
      <c r="D1834" t="s">
        <v>1</v>
      </c>
      <c r="E1834" t="s">
        <v>3160</v>
      </c>
      <c r="F1834" t="s">
        <v>3161</v>
      </c>
      <c r="G1834" t="s">
        <v>179</v>
      </c>
      <c r="H1834">
        <v>53</v>
      </c>
      <c r="I1834">
        <v>69.471999999999994</v>
      </c>
      <c r="J1834">
        <v>80.396000000000001</v>
      </c>
      <c r="K1834">
        <v>10.925000000000001</v>
      </c>
      <c r="L1834">
        <v>38</v>
      </c>
      <c r="M1834">
        <v>7</v>
      </c>
      <c r="N1834">
        <v>8</v>
      </c>
      <c r="O1834">
        <v>77.876000000000005</v>
      </c>
      <c r="P1834">
        <v>12.37138189</v>
      </c>
      <c r="Q1834">
        <v>11.75</v>
      </c>
    </row>
    <row r="1835" spans="1:17" x14ac:dyDescent="0.2">
      <c r="A1835" s="30" t="str">
        <f>IF(C1835&amp;G1835&amp;D1835&lt;&gt;'Funnel setup'!$K$3&amp;'Funnel setup'!$K$4&amp;'Funnel setup'!$K$5,".",IF(A1834=".",1,A1834+1))</f>
        <v>.</v>
      </c>
      <c r="B1835" s="431" t="str">
        <f t="shared" si="28"/>
        <v>Hip Replacement PrimaryProviderSPIRE MURRAYFIELD HOSPITAL (NT325)EQ VAS</v>
      </c>
      <c r="C1835" t="s">
        <v>248</v>
      </c>
      <c r="D1835" t="s">
        <v>1</v>
      </c>
      <c r="E1835" t="s">
        <v>3163</v>
      </c>
      <c r="F1835" t="s">
        <v>3164</v>
      </c>
      <c r="G1835" t="s">
        <v>179</v>
      </c>
      <c r="H1835">
        <v>61</v>
      </c>
      <c r="I1835">
        <v>72.23</v>
      </c>
      <c r="J1835">
        <v>80.966999999999999</v>
      </c>
      <c r="K1835">
        <v>8.7379999999999995</v>
      </c>
      <c r="L1835">
        <v>33</v>
      </c>
      <c r="M1835">
        <v>14</v>
      </c>
      <c r="N1835">
        <v>14</v>
      </c>
      <c r="O1835">
        <v>78.903000000000006</v>
      </c>
      <c r="P1835">
        <v>13.399150819999999</v>
      </c>
      <c r="Q1835">
        <v>13.026999999999999</v>
      </c>
    </row>
    <row r="1836" spans="1:17" x14ac:dyDescent="0.2">
      <c r="A1836" s="30" t="str">
        <f>IF(C1836&amp;G1836&amp;D1836&lt;&gt;'Funnel setup'!$K$3&amp;'Funnel setup'!$K$4&amp;'Funnel setup'!$K$5,".",IF(A1835=".",1,A1835+1))</f>
        <v>.</v>
      </c>
      <c r="B1836" s="431" t="str">
        <f t="shared" si="28"/>
        <v>Hip Replacement PrimaryProviderSPIRE NORWICH HOSPITAL (NT318)EQ VAS</v>
      </c>
      <c r="C1836" t="s">
        <v>248</v>
      </c>
      <c r="D1836" t="s">
        <v>1</v>
      </c>
      <c r="E1836" t="s">
        <v>4251</v>
      </c>
      <c r="F1836" t="s">
        <v>4252</v>
      </c>
      <c r="G1836" t="s">
        <v>179</v>
      </c>
      <c r="H1836">
        <v>238</v>
      </c>
      <c r="I1836">
        <v>71.319000000000003</v>
      </c>
      <c r="J1836">
        <v>81.777000000000001</v>
      </c>
      <c r="K1836">
        <v>10.458</v>
      </c>
      <c r="L1836">
        <v>143</v>
      </c>
      <c r="M1836">
        <v>33</v>
      </c>
      <c r="N1836">
        <v>62</v>
      </c>
      <c r="O1836">
        <v>79.114999999999995</v>
      </c>
      <c r="P1836">
        <v>13.61102509</v>
      </c>
      <c r="Q1836">
        <v>12.651999999999999</v>
      </c>
    </row>
    <row r="1837" spans="1:17" x14ac:dyDescent="0.2">
      <c r="A1837" s="30" t="str">
        <f>IF(C1837&amp;G1837&amp;D1837&lt;&gt;'Funnel setup'!$K$3&amp;'Funnel setup'!$K$4&amp;'Funnel setup'!$K$5,".",IF(A1836=".",1,A1836+1))</f>
        <v>.</v>
      </c>
      <c r="B1837" s="431" t="str">
        <f t="shared" si="28"/>
        <v>Hip Replacement PrimaryProviderSPIRE PARKWAY HOSPITAL (NT320)EQ VAS</v>
      </c>
      <c r="C1837" t="s">
        <v>248</v>
      </c>
      <c r="D1837" t="s">
        <v>1</v>
      </c>
      <c r="E1837" t="s">
        <v>3166</v>
      </c>
      <c r="F1837" t="s">
        <v>3167</v>
      </c>
      <c r="G1837" t="s">
        <v>179</v>
      </c>
      <c r="H1837">
        <v>75</v>
      </c>
      <c r="I1837">
        <v>61.933</v>
      </c>
      <c r="J1837">
        <v>79.680000000000007</v>
      </c>
      <c r="K1837">
        <v>17.747</v>
      </c>
      <c r="L1837">
        <v>61</v>
      </c>
      <c r="M1837">
        <v>4</v>
      </c>
      <c r="N1837">
        <v>10</v>
      </c>
      <c r="O1837">
        <v>78.16</v>
      </c>
      <c r="P1837">
        <v>12.655923570000001</v>
      </c>
      <c r="Q1837">
        <v>16.48</v>
      </c>
    </row>
    <row r="1838" spans="1:17" x14ac:dyDescent="0.2">
      <c r="A1838" s="30" t="str">
        <f>IF(C1838&amp;G1838&amp;D1838&lt;&gt;'Funnel setup'!$K$3&amp;'Funnel setup'!$K$4&amp;'Funnel setup'!$K$5,".",IF(A1837=".",1,A1837+1))</f>
        <v>.</v>
      </c>
      <c r="B1838" s="431" t="str">
        <f t="shared" si="28"/>
        <v>Hip Replacement PrimaryProviderSPIRE PORTSMOUTH HOSPITAL (NT305)EQ VAS</v>
      </c>
      <c r="C1838" t="s">
        <v>248</v>
      </c>
      <c r="D1838" t="s">
        <v>1</v>
      </c>
      <c r="E1838" t="s">
        <v>3169</v>
      </c>
      <c r="F1838" t="s">
        <v>340</v>
      </c>
      <c r="G1838" t="s">
        <v>179</v>
      </c>
      <c r="H1838">
        <v>100</v>
      </c>
      <c r="I1838">
        <v>73.94</v>
      </c>
      <c r="J1838">
        <v>81.599999999999994</v>
      </c>
      <c r="K1838">
        <v>7.66</v>
      </c>
      <c r="L1838">
        <v>60</v>
      </c>
      <c r="M1838">
        <v>12</v>
      </c>
      <c r="N1838">
        <v>28</v>
      </c>
      <c r="O1838">
        <v>77.966999999999999</v>
      </c>
      <c r="P1838">
        <v>12.46231365</v>
      </c>
      <c r="Q1838">
        <v>12.590999999999999</v>
      </c>
    </row>
    <row r="1839" spans="1:17" x14ac:dyDescent="0.2">
      <c r="A1839" s="30" t="str">
        <f>IF(C1839&amp;G1839&amp;D1839&lt;&gt;'Funnel setup'!$K$3&amp;'Funnel setup'!$K$4&amp;'Funnel setup'!$K$5,".",IF(A1838=".",1,A1838+1))</f>
        <v>.</v>
      </c>
      <c r="B1839" s="431" t="str">
        <f t="shared" si="28"/>
        <v>Hip Replacement PrimaryProviderSPIRE REGENCY HOSPITAL (NT339)EQ VAS</v>
      </c>
      <c r="C1839" t="s">
        <v>248</v>
      </c>
      <c r="D1839" t="s">
        <v>1</v>
      </c>
      <c r="E1839" t="s">
        <v>3171</v>
      </c>
      <c r="F1839" t="s">
        <v>3172</v>
      </c>
      <c r="G1839" t="s">
        <v>179</v>
      </c>
      <c r="H1839">
        <v>44</v>
      </c>
      <c r="I1839">
        <v>67.454999999999998</v>
      </c>
      <c r="J1839">
        <v>79.340999999999994</v>
      </c>
      <c r="K1839">
        <v>11.885999999999999</v>
      </c>
      <c r="L1839">
        <v>26</v>
      </c>
      <c r="M1839">
        <v>7</v>
      </c>
      <c r="N1839">
        <v>11</v>
      </c>
      <c r="O1839">
        <v>77.287999999999997</v>
      </c>
      <c r="P1839">
        <v>11.783418279999999</v>
      </c>
      <c r="Q1839">
        <v>12.742000000000001</v>
      </c>
    </row>
    <row r="1840" spans="1:17" x14ac:dyDescent="0.2">
      <c r="A1840" s="30" t="str">
        <f>IF(C1840&amp;G1840&amp;D1840&lt;&gt;'Funnel setup'!$K$3&amp;'Funnel setup'!$K$4&amp;'Funnel setup'!$K$5,".",IF(A1839=".",1,A1839+1))</f>
        <v>.</v>
      </c>
      <c r="B1840" s="431" t="str">
        <f t="shared" si="28"/>
        <v>Hip Replacement PrimaryProviderSPIRE RODING HOSPITAL (NT314)EQ VAS</v>
      </c>
      <c r="C1840" t="s">
        <v>248</v>
      </c>
      <c r="D1840" t="s">
        <v>1</v>
      </c>
      <c r="E1840" t="s">
        <v>4254</v>
      </c>
      <c r="F1840" t="s">
        <v>4255</v>
      </c>
      <c r="G1840" t="s">
        <v>179</v>
      </c>
      <c r="H1840">
        <v>12</v>
      </c>
      <c r="I1840">
        <v>71</v>
      </c>
      <c r="J1840">
        <v>80.917000000000002</v>
      </c>
      <c r="K1840">
        <v>9.9169999999999998</v>
      </c>
      <c r="L1840">
        <v>7</v>
      </c>
      <c r="M1840">
        <v>2</v>
      </c>
      <c r="N1840">
        <v>3</v>
      </c>
      <c r="O1840" t="s">
        <v>53</v>
      </c>
      <c r="P1840" t="s">
        <v>53</v>
      </c>
      <c r="Q1840" t="s">
        <v>53</v>
      </c>
    </row>
    <row r="1841" spans="1:17" x14ac:dyDescent="0.2">
      <c r="A1841" s="30" t="str">
        <f>IF(C1841&amp;G1841&amp;D1841&lt;&gt;'Funnel setup'!$K$3&amp;'Funnel setup'!$K$4&amp;'Funnel setup'!$K$5,".",IF(A1840=".",1,A1840+1))</f>
        <v>.</v>
      </c>
      <c r="B1841" s="431" t="str">
        <f t="shared" si="28"/>
        <v>Hip Replacement PrimaryProviderSPIRE SOUTH BANK HOSPITAL (NT301)EQ VAS</v>
      </c>
      <c r="C1841" t="s">
        <v>248</v>
      </c>
      <c r="D1841" t="s">
        <v>1</v>
      </c>
      <c r="E1841" t="s">
        <v>3174</v>
      </c>
      <c r="F1841" t="s">
        <v>3175</v>
      </c>
      <c r="G1841" t="s">
        <v>179</v>
      </c>
      <c r="H1841">
        <v>26</v>
      </c>
      <c r="I1841">
        <v>68.614999999999995</v>
      </c>
      <c r="J1841">
        <v>82.037999999999997</v>
      </c>
      <c r="K1841">
        <v>13.423</v>
      </c>
      <c r="L1841">
        <v>18</v>
      </c>
      <c r="M1841">
        <v>2</v>
      </c>
      <c r="N1841">
        <v>6</v>
      </c>
      <c r="O1841" t="s">
        <v>53</v>
      </c>
      <c r="P1841" t="s">
        <v>53</v>
      </c>
      <c r="Q1841" t="s">
        <v>53</v>
      </c>
    </row>
    <row r="1842" spans="1:17" x14ac:dyDescent="0.2">
      <c r="A1842" s="30" t="str">
        <f>IF(C1842&amp;G1842&amp;D1842&lt;&gt;'Funnel setup'!$K$3&amp;'Funnel setup'!$K$4&amp;'Funnel setup'!$K$5,".",IF(A1841=".",1,A1841+1))</f>
        <v>.</v>
      </c>
      <c r="B1842" s="431" t="str">
        <f t="shared" si="28"/>
        <v>Hip Replacement PrimaryProviderSPIRE ST SAVIOURS HOSPITAL (NT346)EQ VAS</v>
      </c>
      <c r="C1842" t="s">
        <v>248</v>
      </c>
      <c r="D1842" t="s">
        <v>1</v>
      </c>
      <c r="E1842" t="s">
        <v>3177</v>
      </c>
      <c r="F1842" t="s">
        <v>3178</v>
      </c>
      <c r="G1842" t="s">
        <v>179</v>
      </c>
      <c r="H1842">
        <v>21</v>
      </c>
      <c r="I1842">
        <v>72.524000000000001</v>
      </c>
      <c r="J1842">
        <v>84.856999999999999</v>
      </c>
      <c r="K1842">
        <v>12.333</v>
      </c>
      <c r="L1842">
        <v>15</v>
      </c>
      <c r="M1842">
        <v>3</v>
      </c>
      <c r="N1842">
        <v>3</v>
      </c>
      <c r="O1842" t="s">
        <v>53</v>
      </c>
      <c r="P1842" t="s">
        <v>53</v>
      </c>
      <c r="Q1842" t="s">
        <v>53</v>
      </c>
    </row>
    <row r="1843" spans="1:17" x14ac:dyDescent="0.2">
      <c r="A1843" s="30" t="str">
        <f>IF(C1843&amp;G1843&amp;D1843&lt;&gt;'Funnel setup'!$K$3&amp;'Funnel setup'!$K$4&amp;'Funnel setup'!$K$5,".",IF(A1842=".",1,A1842+1))</f>
        <v>.</v>
      </c>
      <c r="B1843" s="431" t="str">
        <f t="shared" si="28"/>
        <v>Hip Replacement PrimaryProviderSPIRE SUSSEX HOSPITAL (NT309)EQ VAS</v>
      </c>
      <c r="C1843" t="s">
        <v>248</v>
      </c>
      <c r="D1843" t="s">
        <v>1</v>
      </c>
      <c r="E1843" t="s">
        <v>3180</v>
      </c>
      <c r="F1843" t="s">
        <v>3181</v>
      </c>
      <c r="G1843" t="s">
        <v>179</v>
      </c>
      <c r="H1843">
        <v>28</v>
      </c>
      <c r="I1843">
        <v>71.179000000000002</v>
      </c>
      <c r="J1843">
        <v>84.606999999999999</v>
      </c>
      <c r="K1843">
        <v>13.429</v>
      </c>
      <c r="L1843">
        <v>23</v>
      </c>
      <c r="M1843">
        <v>2</v>
      </c>
      <c r="N1843">
        <v>3</v>
      </c>
      <c r="O1843" t="s">
        <v>53</v>
      </c>
      <c r="P1843" t="s">
        <v>53</v>
      </c>
      <c r="Q1843" t="s">
        <v>53</v>
      </c>
    </row>
    <row r="1844" spans="1:17" x14ac:dyDescent="0.2">
      <c r="A1844" s="30" t="str">
        <f>IF(C1844&amp;G1844&amp;D1844&lt;&gt;'Funnel setup'!$K$3&amp;'Funnel setup'!$K$4&amp;'Funnel setup'!$K$5,".",IF(A1843=".",1,A1843+1))</f>
        <v>.</v>
      </c>
      <c r="B1844" s="431" t="str">
        <f t="shared" si="28"/>
        <v>Hip Replacement PrimaryProviderSPIRE THAMES VALLEY HOSPITAL (NT343)EQ VAS</v>
      </c>
      <c r="C1844" t="s">
        <v>248</v>
      </c>
      <c r="D1844" t="s">
        <v>1</v>
      </c>
      <c r="E1844" t="s">
        <v>3183</v>
      </c>
      <c r="F1844" t="s">
        <v>3184</v>
      </c>
      <c r="G1844" t="s">
        <v>179</v>
      </c>
      <c r="H1844" t="s">
        <v>53</v>
      </c>
      <c r="I1844" t="s">
        <v>53</v>
      </c>
      <c r="J1844" t="s">
        <v>53</v>
      </c>
      <c r="K1844" t="s">
        <v>53</v>
      </c>
      <c r="L1844" t="s">
        <v>53</v>
      </c>
      <c r="M1844" t="s">
        <v>53</v>
      </c>
      <c r="N1844" t="s">
        <v>53</v>
      </c>
      <c r="O1844" t="s">
        <v>53</v>
      </c>
      <c r="P1844" t="s">
        <v>53</v>
      </c>
      <c r="Q1844" t="s">
        <v>53</v>
      </c>
    </row>
    <row r="1845" spans="1:17" x14ac:dyDescent="0.2">
      <c r="A1845" s="30" t="str">
        <f>IF(C1845&amp;G1845&amp;D1845&lt;&gt;'Funnel setup'!$K$3&amp;'Funnel setup'!$K$4&amp;'Funnel setup'!$K$5,".",IF(A1844=".",1,A1844+1))</f>
        <v>.</v>
      </c>
      <c r="B1845" s="431" t="str">
        <f t="shared" si="28"/>
        <v>Hip Replacement PrimaryProviderSPIRE TUNBRIDGE WELLS HOSPITAL (NT310)EQ VAS</v>
      </c>
      <c r="C1845" t="s">
        <v>248</v>
      </c>
      <c r="D1845" t="s">
        <v>1</v>
      </c>
      <c r="E1845" t="s">
        <v>3186</v>
      </c>
      <c r="F1845" t="s">
        <v>3187</v>
      </c>
      <c r="G1845" t="s">
        <v>179</v>
      </c>
      <c r="H1845" t="s">
        <v>53</v>
      </c>
      <c r="I1845" t="s">
        <v>53</v>
      </c>
      <c r="J1845" t="s">
        <v>53</v>
      </c>
      <c r="K1845" t="s">
        <v>53</v>
      </c>
      <c r="L1845" t="s">
        <v>53</v>
      </c>
      <c r="M1845" t="s">
        <v>53</v>
      </c>
      <c r="N1845" t="s">
        <v>53</v>
      </c>
      <c r="O1845" t="s">
        <v>53</v>
      </c>
      <c r="P1845" t="s">
        <v>53</v>
      </c>
      <c r="Q1845" t="s">
        <v>53</v>
      </c>
    </row>
    <row r="1846" spans="1:17" x14ac:dyDescent="0.2">
      <c r="A1846" s="30" t="str">
        <f>IF(C1846&amp;G1846&amp;D1846&lt;&gt;'Funnel setup'!$K$3&amp;'Funnel setup'!$K$4&amp;'Funnel setup'!$K$5,".",IF(A1845=".",1,A1845+1))</f>
        <v>.</v>
      </c>
      <c r="B1846" s="431" t="str">
        <f t="shared" si="28"/>
        <v>Hip Replacement PrimaryProviderSPIRE WASHINGTON HOSPITAL (NT333)EQ VAS</v>
      </c>
      <c r="C1846" t="s">
        <v>248</v>
      </c>
      <c r="D1846" t="s">
        <v>1</v>
      </c>
      <c r="E1846" t="s">
        <v>3189</v>
      </c>
      <c r="F1846" t="s">
        <v>3190</v>
      </c>
      <c r="G1846" t="s">
        <v>179</v>
      </c>
      <c r="H1846">
        <v>61</v>
      </c>
      <c r="I1846">
        <v>72.212999999999994</v>
      </c>
      <c r="J1846">
        <v>77.671999999999997</v>
      </c>
      <c r="K1846">
        <v>5.4589999999999996</v>
      </c>
      <c r="L1846">
        <v>29</v>
      </c>
      <c r="M1846">
        <v>7</v>
      </c>
      <c r="N1846">
        <v>25</v>
      </c>
      <c r="O1846">
        <v>74.983000000000004</v>
      </c>
      <c r="P1846">
        <v>9.4786787750000006</v>
      </c>
      <c r="Q1846">
        <v>16.271999999999998</v>
      </c>
    </row>
    <row r="1847" spans="1:17" x14ac:dyDescent="0.2">
      <c r="A1847" s="30" t="str">
        <f>IF(C1847&amp;G1847&amp;D1847&lt;&gt;'Funnel setup'!$K$3&amp;'Funnel setup'!$K$4&amp;'Funnel setup'!$K$5,".",IF(A1846=".",1,A1846+1))</f>
        <v>.</v>
      </c>
      <c r="B1847" s="431" t="str">
        <f t="shared" si="28"/>
        <v>Hip Replacement PrimaryProviderSPIRE WELLESLEY HOSPITAL (NT313)EQ VAS</v>
      </c>
      <c r="C1847" t="s">
        <v>248</v>
      </c>
      <c r="D1847" t="s">
        <v>1</v>
      </c>
      <c r="E1847" t="s">
        <v>3192</v>
      </c>
      <c r="F1847" t="s">
        <v>3193</v>
      </c>
      <c r="G1847" t="s">
        <v>179</v>
      </c>
      <c r="H1847">
        <v>85</v>
      </c>
      <c r="I1847">
        <v>67.281999999999996</v>
      </c>
      <c r="J1847">
        <v>76.328999999999994</v>
      </c>
      <c r="K1847">
        <v>9.0470000000000006</v>
      </c>
      <c r="L1847">
        <v>56</v>
      </c>
      <c r="M1847">
        <v>8</v>
      </c>
      <c r="N1847">
        <v>21</v>
      </c>
      <c r="O1847">
        <v>75.88</v>
      </c>
      <c r="P1847">
        <v>10.37585067</v>
      </c>
      <c r="Q1847">
        <v>16.803000000000001</v>
      </c>
    </row>
    <row r="1848" spans="1:17" x14ac:dyDescent="0.2">
      <c r="A1848" s="30" t="str">
        <f>IF(C1848&amp;G1848&amp;D1848&lt;&gt;'Funnel setup'!$K$3&amp;'Funnel setup'!$K$4&amp;'Funnel setup'!$K$5,".",IF(A1847=".",1,A1847+1))</f>
        <v>.</v>
      </c>
      <c r="B1848" s="431" t="str">
        <f t="shared" si="28"/>
        <v>Hip Replacement PrimaryProviderSPRINGFIELD HOSPITAL (NVC18)EQ VAS</v>
      </c>
      <c r="C1848" t="s">
        <v>248</v>
      </c>
      <c r="D1848" t="s">
        <v>1</v>
      </c>
      <c r="E1848" t="s">
        <v>3195</v>
      </c>
      <c r="F1848" t="s">
        <v>3196</v>
      </c>
      <c r="G1848" t="s">
        <v>179</v>
      </c>
      <c r="H1848">
        <v>147</v>
      </c>
      <c r="I1848">
        <v>72.373999999999995</v>
      </c>
      <c r="J1848">
        <v>81.210999999999999</v>
      </c>
      <c r="K1848">
        <v>8.8369999999999997</v>
      </c>
      <c r="L1848">
        <v>92</v>
      </c>
      <c r="M1848">
        <v>17</v>
      </c>
      <c r="N1848">
        <v>38</v>
      </c>
      <c r="O1848">
        <v>79.185000000000002</v>
      </c>
      <c r="P1848">
        <v>13.680320849999999</v>
      </c>
      <c r="Q1848">
        <v>14.129</v>
      </c>
    </row>
    <row r="1849" spans="1:17" x14ac:dyDescent="0.2">
      <c r="A1849" s="30" t="str">
        <f>IF(C1849&amp;G1849&amp;D1849&lt;&gt;'Funnel setup'!$K$3&amp;'Funnel setup'!$K$4&amp;'Funnel setup'!$K$5,".",IF(A1848=".",1,A1848+1))</f>
        <v>.</v>
      </c>
      <c r="B1849" s="431" t="str">
        <f t="shared" si="28"/>
        <v>Hip Replacement PrimaryProviderST GEORGE'S UNIVERSITY HOSPITALS NHS FOUNDATION TRUST (RJ7)EQ VAS</v>
      </c>
      <c r="C1849" t="s">
        <v>248</v>
      </c>
      <c r="D1849" t="s">
        <v>1</v>
      </c>
      <c r="E1849" t="s">
        <v>3124</v>
      </c>
      <c r="F1849" t="s">
        <v>3125</v>
      </c>
      <c r="G1849" t="s">
        <v>179</v>
      </c>
      <c r="H1849" t="s">
        <v>53</v>
      </c>
      <c r="I1849" t="s">
        <v>53</v>
      </c>
      <c r="J1849" t="s">
        <v>53</v>
      </c>
      <c r="K1849" t="s">
        <v>53</v>
      </c>
      <c r="L1849" t="s">
        <v>53</v>
      </c>
      <c r="M1849" t="s">
        <v>53</v>
      </c>
      <c r="N1849" t="s">
        <v>53</v>
      </c>
      <c r="O1849" t="s">
        <v>53</v>
      </c>
      <c r="P1849" t="s">
        <v>53</v>
      </c>
      <c r="Q1849" t="s">
        <v>53</v>
      </c>
    </row>
    <row r="1850" spans="1:17" x14ac:dyDescent="0.2">
      <c r="A1850" s="30" t="str">
        <f>IF(C1850&amp;G1850&amp;D1850&lt;&gt;'Funnel setup'!$K$3&amp;'Funnel setup'!$K$4&amp;'Funnel setup'!$K$5,".",IF(A1849=".",1,A1849+1))</f>
        <v>.</v>
      </c>
      <c r="B1850" s="431" t="str">
        <f t="shared" si="28"/>
        <v>Hip Replacement PrimaryProviderST HELENS AND KNOWSLEY HOSPITALS NHS TRUST (RBN)EQ VAS</v>
      </c>
      <c r="C1850" t="s">
        <v>248</v>
      </c>
      <c r="D1850" t="s">
        <v>1</v>
      </c>
      <c r="E1850" t="s">
        <v>3127</v>
      </c>
      <c r="F1850" t="s">
        <v>3128</v>
      </c>
      <c r="G1850" t="s">
        <v>179</v>
      </c>
      <c r="H1850">
        <v>138</v>
      </c>
      <c r="I1850">
        <v>62.680999999999997</v>
      </c>
      <c r="J1850">
        <v>70.956999999999994</v>
      </c>
      <c r="K1850">
        <v>8.2750000000000004</v>
      </c>
      <c r="L1850">
        <v>80</v>
      </c>
      <c r="M1850">
        <v>15</v>
      </c>
      <c r="N1850">
        <v>43</v>
      </c>
      <c r="O1850">
        <v>74.460999999999999</v>
      </c>
      <c r="P1850">
        <v>8.9569917599999993</v>
      </c>
      <c r="Q1850">
        <v>19.384</v>
      </c>
    </row>
    <row r="1851" spans="1:17" x14ac:dyDescent="0.2">
      <c r="A1851" s="30" t="str">
        <f>IF(C1851&amp;G1851&amp;D1851&lt;&gt;'Funnel setup'!$K$3&amp;'Funnel setup'!$K$4&amp;'Funnel setup'!$K$5,".",IF(A1850=".",1,A1850+1))</f>
        <v>.</v>
      </c>
      <c r="B1851" s="431" t="str">
        <f t="shared" si="28"/>
        <v>Hip Replacement PrimaryProviderST HUGH'S HOSPITAL (NTE02)EQ VAS</v>
      </c>
      <c r="C1851" t="s">
        <v>248</v>
      </c>
      <c r="D1851" t="s">
        <v>1</v>
      </c>
      <c r="E1851" t="s">
        <v>3130</v>
      </c>
      <c r="F1851" t="s">
        <v>3131</v>
      </c>
      <c r="G1851" t="s">
        <v>179</v>
      </c>
      <c r="H1851">
        <v>39</v>
      </c>
      <c r="I1851">
        <v>70.974000000000004</v>
      </c>
      <c r="J1851">
        <v>84.820999999999998</v>
      </c>
      <c r="K1851">
        <v>13.846</v>
      </c>
      <c r="L1851">
        <v>31</v>
      </c>
      <c r="M1851">
        <v>1</v>
      </c>
      <c r="N1851">
        <v>7</v>
      </c>
      <c r="O1851">
        <v>80.777000000000001</v>
      </c>
      <c r="P1851">
        <v>15.27248215</v>
      </c>
      <c r="Q1851">
        <v>11.233000000000001</v>
      </c>
    </row>
    <row r="1852" spans="1:17" x14ac:dyDescent="0.2">
      <c r="A1852" s="30" t="str">
        <f>IF(C1852&amp;G1852&amp;D1852&lt;&gt;'Funnel setup'!$K$3&amp;'Funnel setup'!$K$4&amp;'Funnel setup'!$K$5,".",IF(A1851=".",1,A1851+1))</f>
        <v>.</v>
      </c>
      <c r="B1852" s="431" t="str">
        <f t="shared" si="28"/>
        <v>Hip Replacement PrimaryProviderSTOCKPORT NHS FOUNDATION TRUST (RWJ)EQ VAS</v>
      </c>
      <c r="C1852" t="s">
        <v>248</v>
      </c>
      <c r="D1852" t="s">
        <v>1</v>
      </c>
      <c r="E1852" t="s">
        <v>3142</v>
      </c>
      <c r="F1852" t="s">
        <v>3143</v>
      </c>
      <c r="G1852" t="s">
        <v>179</v>
      </c>
      <c r="H1852">
        <v>213</v>
      </c>
      <c r="I1852">
        <v>64.567999999999998</v>
      </c>
      <c r="J1852">
        <v>79.685000000000002</v>
      </c>
      <c r="K1852">
        <v>15.117000000000001</v>
      </c>
      <c r="L1852">
        <v>150</v>
      </c>
      <c r="M1852">
        <v>18</v>
      </c>
      <c r="N1852">
        <v>45</v>
      </c>
      <c r="O1852">
        <v>79.578000000000003</v>
      </c>
      <c r="P1852">
        <v>14.07341358</v>
      </c>
      <c r="Q1852">
        <v>14.975</v>
      </c>
    </row>
    <row r="1853" spans="1:17" x14ac:dyDescent="0.2">
      <c r="A1853" s="30" t="str">
        <f>IF(C1853&amp;G1853&amp;D1853&lt;&gt;'Funnel setup'!$K$3&amp;'Funnel setup'!$K$4&amp;'Funnel setup'!$K$5,".",IF(A1852=".",1,A1852+1))</f>
        <v>.</v>
      </c>
      <c r="B1853" s="431" t="str">
        <f t="shared" si="28"/>
        <v>Hip Replacement PrimaryProviderSURREY AND SUSSEX HEALTHCARE NHS TRUST (RTP)EQ VAS</v>
      </c>
      <c r="C1853" t="s">
        <v>248</v>
      </c>
      <c r="D1853" t="s">
        <v>1</v>
      </c>
      <c r="E1853" t="s">
        <v>3145</v>
      </c>
      <c r="F1853" t="s">
        <v>3146</v>
      </c>
      <c r="G1853" t="s">
        <v>179</v>
      </c>
      <c r="H1853">
        <v>92</v>
      </c>
      <c r="I1853">
        <v>61.945999999999998</v>
      </c>
      <c r="J1853">
        <v>78.533000000000001</v>
      </c>
      <c r="K1853">
        <v>16.587</v>
      </c>
      <c r="L1853">
        <v>62</v>
      </c>
      <c r="M1853">
        <v>17</v>
      </c>
      <c r="N1853">
        <v>13</v>
      </c>
      <c r="O1853">
        <v>79.397000000000006</v>
      </c>
      <c r="P1853">
        <v>13.89273399</v>
      </c>
      <c r="Q1853">
        <v>14.331</v>
      </c>
    </row>
    <row r="1854" spans="1:17" x14ac:dyDescent="0.2">
      <c r="A1854" s="30" t="str">
        <f>IF(C1854&amp;G1854&amp;D1854&lt;&gt;'Funnel setup'!$K$3&amp;'Funnel setup'!$K$4&amp;'Funnel setup'!$K$5,".",IF(A1853=".",1,A1853+1))</f>
        <v>.</v>
      </c>
      <c r="B1854" s="431" t="str">
        <f t="shared" si="28"/>
        <v>Hip Replacement PrimaryProviderTAMESIDE HOSPITAL NHS FOUNDATION TRUST (RMP)EQ VAS</v>
      </c>
      <c r="C1854" t="s">
        <v>248</v>
      </c>
      <c r="D1854" t="s">
        <v>1</v>
      </c>
      <c r="E1854" t="s">
        <v>3148</v>
      </c>
      <c r="F1854" t="s">
        <v>3149</v>
      </c>
      <c r="G1854" t="s">
        <v>179</v>
      </c>
      <c r="H1854">
        <v>74</v>
      </c>
      <c r="I1854">
        <v>62.514000000000003</v>
      </c>
      <c r="J1854">
        <v>73.622</v>
      </c>
      <c r="K1854">
        <v>11.108000000000001</v>
      </c>
      <c r="L1854">
        <v>42</v>
      </c>
      <c r="M1854">
        <v>10</v>
      </c>
      <c r="N1854">
        <v>22</v>
      </c>
      <c r="O1854">
        <v>75.899000000000001</v>
      </c>
      <c r="P1854">
        <v>10.394325719999999</v>
      </c>
      <c r="Q1854">
        <v>18.234000000000002</v>
      </c>
    </row>
    <row r="1855" spans="1:17" x14ac:dyDescent="0.2">
      <c r="A1855" s="30" t="str">
        <f>IF(C1855&amp;G1855&amp;D1855&lt;&gt;'Funnel setup'!$K$3&amp;'Funnel setup'!$K$4&amp;'Funnel setup'!$K$5,".",IF(A1854=".",1,A1854+1))</f>
        <v>.</v>
      </c>
      <c r="B1855" s="431" t="str">
        <f t="shared" si="28"/>
        <v>Hip Replacement PrimaryProviderTAUNTON AND SOMERSET NHS FOUNDATION TRUST (RBA)EQ VAS</v>
      </c>
      <c r="C1855" t="s">
        <v>248</v>
      </c>
      <c r="D1855" t="s">
        <v>1</v>
      </c>
      <c r="E1855" t="s">
        <v>3151</v>
      </c>
      <c r="F1855" t="s">
        <v>3152</v>
      </c>
      <c r="G1855" t="s">
        <v>179</v>
      </c>
      <c r="H1855">
        <v>69</v>
      </c>
      <c r="I1855">
        <v>58.158999999999999</v>
      </c>
      <c r="J1855">
        <v>78.174000000000007</v>
      </c>
      <c r="K1855">
        <v>20.013999999999999</v>
      </c>
      <c r="L1855">
        <v>51</v>
      </c>
      <c r="M1855">
        <v>6</v>
      </c>
      <c r="N1855">
        <v>12</v>
      </c>
      <c r="O1855">
        <v>80.567999999999998</v>
      </c>
      <c r="P1855">
        <v>15.06368481</v>
      </c>
      <c r="Q1855">
        <v>12.702999999999999</v>
      </c>
    </row>
    <row r="1856" spans="1:17" x14ac:dyDescent="0.2">
      <c r="A1856" s="30" t="str">
        <f>IF(C1856&amp;G1856&amp;D1856&lt;&gt;'Funnel setup'!$K$3&amp;'Funnel setup'!$K$4&amp;'Funnel setup'!$K$5,".",IF(A1855=".",1,A1855+1))</f>
        <v>.</v>
      </c>
      <c r="B1856" s="431" t="str">
        <f t="shared" si="28"/>
        <v>Hip Replacement PrimaryProviderTHE BERKSHIRE INDEPENDENT HOSPITAL (NVC02)EQ VAS</v>
      </c>
      <c r="C1856" t="s">
        <v>248</v>
      </c>
      <c r="D1856" t="s">
        <v>1</v>
      </c>
      <c r="E1856" t="s">
        <v>3118</v>
      </c>
      <c r="F1856" t="s">
        <v>3119</v>
      </c>
      <c r="G1856" t="s">
        <v>179</v>
      </c>
      <c r="H1856">
        <v>24</v>
      </c>
      <c r="I1856">
        <v>72.792000000000002</v>
      </c>
      <c r="J1856">
        <v>87.167000000000002</v>
      </c>
      <c r="K1856">
        <v>14.375</v>
      </c>
      <c r="L1856">
        <v>21</v>
      </c>
      <c r="M1856">
        <v>2</v>
      </c>
      <c r="N1856">
        <v>1</v>
      </c>
      <c r="O1856" t="s">
        <v>53</v>
      </c>
      <c r="P1856" t="s">
        <v>53</v>
      </c>
      <c r="Q1856" t="s">
        <v>53</v>
      </c>
    </row>
    <row r="1857" spans="1:17" x14ac:dyDescent="0.2">
      <c r="A1857" s="30" t="str">
        <f>IF(C1857&amp;G1857&amp;D1857&lt;&gt;'Funnel setup'!$K$3&amp;'Funnel setup'!$K$4&amp;'Funnel setup'!$K$5,".",IF(A1856=".",1,A1856+1))</f>
        <v>.</v>
      </c>
      <c r="B1857" s="431" t="str">
        <f t="shared" si="28"/>
        <v>Hip Replacement PrimaryProviderTHE DUDLEY GROUP NHS FOUNDATION TRUST (RNA)EQ VAS</v>
      </c>
      <c r="C1857" t="s">
        <v>248</v>
      </c>
      <c r="D1857" t="s">
        <v>1</v>
      </c>
      <c r="E1857" t="s">
        <v>3121</v>
      </c>
      <c r="F1857" t="s">
        <v>3122</v>
      </c>
      <c r="G1857" t="s">
        <v>179</v>
      </c>
      <c r="H1857">
        <v>232</v>
      </c>
      <c r="I1857">
        <v>68.28</v>
      </c>
      <c r="J1857">
        <v>75.147000000000006</v>
      </c>
      <c r="K1857">
        <v>6.8659999999999997</v>
      </c>
      <c r="L1857">
        <v>126</v>
      </c>
      <c r="M1857">
        <v>29</v>
      </c>
      <c r="N1857">
        <v>77</v>
      </c>
      <c r="O1857">
        <v>75.736000000000004</v>
      </c>
      <c r="P1857">
        <v>10.231196649999999</v>
      </c>
      <c r="Q1857">
        <v>16.747</v>
      </c>
    </row>
    <row r="1858" spans="1:17" x14ac:dyDescent="0.2">
      <c r="A1858" s="30" t="str">
        <f>IF(C1858&amp;G1858&amp;D1858&lt;&gt;'Funnel setup'!$K$3&amp;'Funnel setup'!$K$4&amp;'Funnel setup'!$K$5,".",IF(A1857=".",1,A1857+1))</f>
        <v>.</v>
      </c>
      <c r="B1858" s="431" t="str">
        <f t="shared" si="28"/>
        <v>Hip Replacement PrimaryProviderTHE HILLINGDON HOSPITALS NHS FOUNDATION TRUST (RAS)EQ VAS</v>
      </c>
      <c r="C1858" t="s">
        <v>248</v>
      </c>
      <c r="D1858" t="s">
        <v>1</v>
      </c>
      <c r="E1858" t="s">
        <v>3115</v>
      </c>
      <c r="F1858" t="s">
        <v>3116</v>
      </c>
      <c r="G1858" t="s">
        <v>179</v>
      </c>
      <c r="H1858">
        <v>161</v>
      </c>
      <c r="I1858">
        <v>62.578000000000003</v>
      </c>
      <c r="J1858">
        <v>76.570999999999998</v>
      </c>
      <c r="K1858">
        <v>13.994</v>
      </c>
      <c r="L1858">
        <v>111</v>
      </c>
      <c r="M1858">
        <v>22</v>
      </c>
      <c r="N1858">
        <v>28</v>
      </c>
      <c r="O1858">
        <v>78.037000000000006</v>
      </c>
      <c r="P1858">
        <v>12.532359509999999</v>
      </c>
      <c r="Q1858">
        <v>16.024999999999999</v>
      </c>
    </row>
    <row r="1859" spans="1:17" x14ac:dyDescent="0.2">
      <c r="A1859" s="30" t="str">
        <f>IF(C1859&amp;G1859&amp;D1859&lt;&gt;'Funnel setup'!$K$3&amp;'Funnel setup'!$K$4&amp;'Funnel setup'!$K$5,".",IF(A1858=".",1,A1858+1))</f>
        <v>.</v>
      </c>
      <c r="B1859" s="431" t="str">
        <f t="shared" ref="B1859:B1922" si="29">C1859&amp;D1859&amp;F1859&amp;G1859</f>
        <v>Hip Replacement PrimaryProviderTHE HORDER CENTRE - ST JOHNS ROAD (NXM01)EQ VAS</v>
      </c>
      <c r="C1859" t="s">
        <v>248</v>
      </c>
      <c r="D1859" t="s">
        <v>1</v>
      </c>
      <c r="E1859" t="s">
        <v>4222</v>
      </c>
      <c r="F1859" t="s">
        <v>4223</v>
      </c>
      <c r="G1859" t="s">
        <v>179</v>
      </c>
      <c r="H1859">
        <v>590</v>
      </c>
      <c r="I1859">
        <v>71.760999999999996</v>
      </c>
      <c r="J1859">
        <v>80.846999999999994</v>
      </c>
      <c r="K1859">
        <v>9.0860000000000003</v>
      </c>
      <c r="L1859">
        <v>382</v>
      </c>
      <c r="M1859">
        <v>74</v>
      </c>
      <c r="N1859">
        <v>134</v>
      </c>
      <c r="O1859">
        <v>78.257000000000005</v>
      </c>
      <c r="P1859">
        <v>12.75269203</v>
      </c>
      <c r="Q1859">
        <v>14.206</v>
      </c>
    </row>
    <row r="1860" spans="1:17" x14ac:dyDescent="0.2">
      <c r="A1860" s="30" t="str">
        <f>IF(C1860&amp;G1860&amp;D1860&lt;&gt;'Funnel setup'!$K$3&amp;'Funnel setup'!$K$4&amp;'Funnel setup'!$K$5,".",IF(A1859=".",1,A1859+1))</f>
        <v>.</v>
      </c>
      <c r="B1860" s="431" t="str">
        <f t="shared" si="29"/>
        <v>Hip Replacement PrimaryProviderTHE NEWCASTLE UPON TYNE HOSPITALS NHS FOUNDATION TRUST (RTD)EQ VAS</v>
      </c>
      <c r="C1860" t="s">
        <v>248</v>
      </c>
      <c r="D1860" t="s">
        <v>1</v>
      </c>
      <c r="E1860" t="s">
        <v>3748</v>
      </c>
      <c r="F1860" t="s">
        <v>3749</v>
      </c>
      <c r="G1860" t="s">
        <v>179</v>
      </c>
      <c r="H1860">
        <v>308</v>
      </c>
      <c r="I1860">
        <v>63.643000000000001</v>
      </c>
      <c r="J1860">
        <v>76.713999999999999</v>
      </c>
      <c r="K1860">
        <v>13.071</v>
      </c>
      <c r="L1860">
        <v>216</v>
      </c>
      <c r="M1860">
        <v>27</v>
      </c>
      <c r="N1860">
        <v>65</v>
      </c>
      <c r="O1860">
        <v>77.177999999999997</v>
      </c>
      <c r="P1860">
        <v>11.67344059</v>
      </c>
      <c r="Q1860">
        <v>15.808999999999999</v>
      </c>
    </row>
    <row r="1861" spans="1:17" x14ac:dyDescent="0.2">
      <c r="A1861" s="30" t="str">
        <f>IF(C1861&amp;G1861&amp;D1861&lt;&gt;'Funnel setup'!$K$3&amp;'Funnel setup'!$K$4&amp;'Funnel setup'!$K$5,".",IF(A1860=".",1,A1860+1))</f>
        <v>.</v>
      </c>
      <c r="B1861" s="431" t="str">
        <f t="shared" si="29"/>
        <v>Hip Replacement PrimaryProviderTHE PRINCESS ALEXANDRA HOSPITAL NHS TRUST (RQW)EQ VAS</v>
      </c>
      <c r="C1861" t="s">
        <v>248</v>
      </c>
      <c r="D1861" t="s">
        <v>1</v>
      </c>
      <c r="E1861" t="s">
        <v>3751</v>
      </c>
      <c r="F1861" t="s">
        <v>3752</v>
      </c>
      <c r="G1861" t="s">
        <v>179</v>
      </c>
      <c r="H1861">
        <v>172</v>
      </c>
      <c r="I1861">
        <v>66.825999999999993</v>
      </c>
      <c r="J1861">
        <v>76.186000000000007</v>
      </c>
      <c r="K1861">
        <v>9.36</v>
      </c>
      <c r="L1861">
        <v>106</v>
      </c>
      <c r="M1861">
        <v>19</v>
      </c>
      <c r="N1861">
        <v>47</v>
      </c>
      <c r="O1861">
        <v>75.915000000000006</v>
      </c>
      <c r="P1861">
        <v>10.41025838</v>
      </c>
      <c r="Q1861">
        <v>15.817</v>
      </c>
    </row>
    <row r="1862" spans="1:17" x14ac:dyDescent="0.2">
      <c r="A1862" s="30" t="str">
        <f>IF(C1862&amp;G1862&amp;D1862&lt;&gt;'Funnel setup'!$K$3&amp;'Funnel setup'!$K$4&amp;'Funnel setup'!$K$5,".",IF(A1861=".",1,A1861+1))</f>
        <v>.</v>
      </c>
      <c r="B1862" s="431" t="str">
        <f t="shared" si="29"/>
        <v>Hip Replacement PrimaryProviderTHE QUEEN ELIZABETH HOSPITAL, KING'S LYNN, NHS FOUNDATION TRUST (RCX)EQ VAS</v>
      </c>
      <c r="C1862" t="s">
        <v>248</v>
      </c>
      <c r="D1862" t="s">
        <v>1</v>
      </c>
      <c r="E1862" t="s">
        <v>3754</v>
      </c>
      <c r="F1862" t="s">
        <v>3755</v>
      </c>
      <c r="G1862" t="s">
        <v>179</v>
      </c>
      <c r="H1862">
        <v>143</v>
      </c>
      <c r="I1862">
        <v>65.209999999999994</v>
      </c>
      <c r="J1862">
        <v>77.762</v>
      </c>
      <c r="K1862">
        <v>12.552</v>
      </c>
      <c r="L1862">
        <v>94</v>
      </c>
      <c r="M1862">
        <v>17</v>
      </c>
      <c r="N1862">
        <v>32</v>
      </c>
      <c r="O1862">
        <v>79.040999999999997</v>
      </c>
      <c r="P1862">
        <v>13.53650726</v>
      </c>
      <c r="Q1862">
        <v>14.606999999999999</v>
      </c>
    </row>
    <row r="1863" spans="1:17" x14ac:dyDescent="0.2">
      <c r="A1863" s="30" t="str">
        <f>IF(C1863&amp;G1863&amp;D1863&lt;&gt;'Funnel setup'!$K$3&amp;'Funnel setup'!$K$4&amp;'Funnel setup'!$K$5,".",IF(A1862=".",1,A1862+1))</f>
        <v>.</v>
      </c>
      <c r="B1863" s="431" t="str">
        <f t="shared" si="29"/>
        <v>Hip Replacement PrimaryProviderTHE ROBERT JONES AND AGNES HUNT ORTHOPAEDIC HOSPITAL NHS FOUNDATION TRUST (RL1)EQ VAS</v>
      </c>
      <c r="C1863" t="s">
        <v>248</v>
      </c>
      <c r="D1863" t="s">
        <v>1</v>
      </c>
      <c r="E1863" t="s">
        <v>4496</v>
      </c>
      <c r="F1863" t="s">
        <v>4497</v>
      </c>
      <c r="G1863" t="s">
        <v>179</v>
      </c>
      <c r="H1863">
        <v>356</v>
      </c>
      <c r="I1863">
        <v>59.514000000000003</v>
      </c>
      <c r="J1863">
        <v>77.626000000000005</v>
      </c>
      <c r="K1863">
        <v>18.111999999999998</v>
      </c>
      <c r="L1863">
        <v>260</v>
      </c>
      <c r="M1863">
        <v>33</v>
      </c>
      <c r="N1863">
        <v>63</v>
      </c>
      <c r="O1863">
        <v>76.076999999999998</v>
      </c>
      <c r="P1863">
        <v>10.572451470000001</v>
      </c>
      <c r="Q1863">
        <v>16.212</v>
      </c>
    </row>
    <row r="1864" spans="1:17" x14ac:dyDescent="0.2">
      <c r="A1864" s="30" t="str">
        <f>IF(C1864&amp;G1864&amp;D1864&lt;&gt;'Funnel setup'!$K$3&amp;'Funnel setup'!$K$4&amp;'Funnel setup'!$K$5,".",IF(A1863=".",1,A1863+1))</f>
        <v>.</v>
      </c>
      <c r="B1864" s="431" t="str">
        <f t="shared" si="29"/>
        <v>Hip Replacement PrimaryProviderTHE ROTHERHAM NHS FOUNDATION TRUST (RFR)EQ VAS</v>
      </c>
      <c r="C1864" t="s">
        <v>248</v>
      </c>
      <c r="D1864" t="s">
        <v>1</v>
      </c>
      <c r="E1864" t="s">
        <v>3739</v>
      </c>
      <c r="F1864" t="s">
        <v>3740</v>
      </c>
      <c r="G1864" t="s">
        <v>179</v>
      </c>
      <c r="H1864">
        <v>136</v>
      </c>
      <c r="I1864">
        <v>62.970999999999997</v>
      </c>
      <c r="J1864">
        <v>75.903999999999996</v>
      </c>
      <c r="K1864">
        <v>12.933999999999999</v>
      </c>
      <c r="L1864">
        <v>95</v>
      </c>
      <c r="M1864">
        <v>18</v>
      </c>
      <c r="N1864">
        <v>23</v>
      </c>
      <c r="O1864">
        <v>77.512</v>
      </c>
      <c r="P1864">
        <v>12.00810626</v>
      </c>
      <c r="Q1864">
        <v>15.795</v>
      </c>
    </row>
    <row r="1865" spans="1:17" x14ac:dyDescent="0.2">
      <c r="A1865" s="30" t="str">
        <f>IF(C1865&amp;G1865&amp;D1865&lt;&gt;'Funnel setup'!$K$3&amp;'Funnel setup'!$K$4&amp;'Funnel setup'!$K$5,".",IF(A1864=".",1,A1864+1))</f>
        <v>.</v>
      </c>
      <c r="B1865" s="431" t="str">
        <f t="shared" si="29"/>
        <v>Hip Replacement PrimaryProviderTHE ROYAL BOURNEMOUTH AND CHRISTCHURCH HOSPITALS NHS FOUNDATION TRUST (RDZ)EQ VAS</v>
      </c>
      <c r="C1865" t="s">
        <v>248</v>
      </c>
      <c r="D1865" t="s">
        <v>1</v>
      </c>
      <c r="E1865" t="s">
        <v>3742</v>
      </c>
      <c r="F1865" t="s">
        <v>3743</v>
      </c>
      <c r="G1865" t="s">
        <v>179</v>
      </c>
      <c r="H1865">
        <v>412</v>
      </c>
      <c r="I1865">
        <v>68.917000000000002</v>
      </c>
      <c r="J1865">
        <v>77.010000000000005</v>
      </c>
      <c r="K1865">
        <v>8.0920000000000005</v>
      </c>
      <c r="L1865">
        <v>257</v>
      </c>
      <c r="M1865">
        <v>40</v>
      </c>
      <c r="N1865">
        <v>115</v>
      </c>
      <c r="O1865">
        <v>76.813999999999993</v>
      </c>
      <c r="P1865">
        <v>11.309389360000001</v>
      </c>
      <c r="Q1865">
        <v>16.774999999999999</v>
      </c>
    </row>
    <row r="1866" spans="1:17" x14ac:dyDescent="0.2">
      <c r="A1866" s="30" t="str">
        <f>IF(C1866&amp;G1866&amp;D1866&lt;&gt;'Funnel setup'!$K$3&amp;'Funnel setup'!$K$4&amp;'Funnel setup'!$K$5,".",IF(A1865=".",1,A1865+1))</f>
        <v>.</v>
      </c>
      <c r="B1866" s="431" t="str">
        <f t="shared" si="29"/>
        <v>Hip Replacement PrimaryProviderTHE ROYAL ORTHOPAEDIC HOSPITAL NHS FOUNDATION TRUST (RRJ)EQ VAS</v>
      </c>
      <c r="C1866" t="s">
        <v>248</v>
      </c>
      <c r="D1866" t="s">
        <v>1</v>
      </c>
      <c r="E1866" t="s">
        <v>4480</v>
      </c>
      <c r="F1866" t="s">
        <v>4481</v>
      </c>
      <c r="G1866" t="s">
        <v>179</v>
      </c>
      <c r="H1866">
        <v>302</v>
      </c>
      <c r="I1866">
        <v>65.427000000000007</v>
      </c>
      <c r="J1866">
        <v>78.626000000000005</v>
      </c>
      <c r="K1866">
        <v>13.199</v>
      </c>
      <c r="L1866">
        <v>195</v>
      </c>
      <c r="M1866">
        <v>37</v>
      </c>
      <c r="N1866">
        <v>70</v>
      </c>
      <c r="O1866">
        <v>78.641999999999996</v>
      </c>
      <c r="P1866">
        <v>13.138023949999999</v>
      </c>
      <c r="Q1866">
        <v>15.366</v>
      </c>
    </row>
    <row r="1867" spans="1:17" x14ac:dyDescent="0.2">
      <c r="A1867" s="30" t="str">
        <f>IF(C1867&amp;G1867&amp;D1867&lt;&gt;'Funnel setup'!$K$3&amp;'Funnel setup'!$K$4&amp;'Funnel setup'!$K$5,".",IF(A1866=".",1,A1866+1))</f>
        <v>.</v>
      </c>
      <c r="B1867" s="431" t="str">
        <f t="shared" si="29"/>
        <v>Hip Replacement PrimaryProviderTHE ROYAL WOLVERHAMPTON NHS TRUST (RL4)EQ VAS</v>
      </c>
      <c r="C1867" t="s">
        <v>248</v>
      </c>
      <c r="D1867" t="s">
        <v>1</v>
      </c>
      <c r="E1867" t="s">
        <v>3382</v>
      </c>
      <c r="F1867" t="s">
        <v>3383</v>
      </c>
      <c r="G1867" t="s">
        <v>179</v>
      </c>
      <c r="H1867">
        <v>192</v>
      </c>
      <c r="I1867">
        <v>63.348999999999997</v>
      </c>
      <c r="J1867">
        <v>76.542000000000002</v>
      </c>
      <c r="K1867">
        <v>13.193</v>
      </c>
      <c r="L1867">
        <v>133</v>
      </c>
      <c r="M1867">
        <v>20</v>
      </c>
      <c r="N1867">
        <v>39</v>
      </c>
      <c r="O1867">
        <v>78.808000000000007</v>
      </c>
      <c r="P1867">
        <v>13.303766570000001</v>
      </c>
      <c r="Q1867">
        <v>15.137</v>
      </c>
    </row>
    <row r="1868" spans="1:17" x14ac:dyDescent="0.2">
      <c r="A1868" s="30" t="str">
        <f>IF(C1868&amp;G1868&amp;D1868&lt;&gt;'Funnel setup'!$K$3&amp;'Funnel setup'!$K$4&amp;'Funnel setup'!$K$5,".",IF(A1867=".",1,A1867+1))</f>
        <v>.</v>
      </c>
      <c r="B1868" s="431" t="str">
        <f t="shared" si="29"/>
        <v>Hip Replacement PrimaryProviderTHE SPENCER WING (RAMSGATE ROAD) (NN801)EQ VAS</v>
      </c>
      <c r="C1868" t="s">
        <v>248</v>
      </c>
      <c r="D1868" t="s">
        <v>1</v>
      </c>
      <c r="E1868" t="s">
        <v>3757</v>
      </c>
      <c r="F1868" t="s">
        <v>3758</v>
      </c>
      <c r="G1868" t="s">
        <v>179</v>
      </c>
      <c r="H1868">
        <v>15</v>
      </c>
      <c r="I1868">
        <v>66.132999999999996</v>
      </c>
      <c r="J1868">
        <v>79.867000000000004</v>
      </c>
      <c r="K1868">
        <v>13.733000000000001</v>
      </c>
      <c r="L1868">
        <v>9</v>
      </c>
      <c r="M1868">
        <v>3</v>
      </c>
      <c r="N1868">
        <v>3</v>
      </c>
      <c r="O1868" t="s">
        <v>53</v>
      </c>
      <c r="P1868" t="s">
        <v>53</v>
      </c>
      <c r="Q1868" t="s">
        <v>53</v>
      </c>
    </row>
    <row r="1869" spans="1:17" x14ac:dyDescent="0.2">
      <c r="A1869" s="30" t="str">
        <f>IF(C1869&amp;G1869&amp;D1869&lt;&gt;'Funnel setup'!$K$3&amp;'Funnel setup'!$K$4&amp;'Funnel setup'!$K$5,".",IF(A1868=".",1,A1868+1))</f>
        <v>.</v>
      </c>
      <c r="B1869" s="431" t="str">
        <f t="shared" si="29"/>
        <v>Hip Replacement PrimaryProviderTHE YORKSHIRE CLINIC (NVC20)EQ VAS</v>
      </c>
      <c r="C1869" t="s">
        <v>248</v>
      </c>
      <c r="D1869" t="s">
        <v>1</v>
      </c>
      <c r="E1869" t="s">
        <v>3760</v>
      </c>
      <c r="F1869" t="s">
        <v>3761</v>
      </c>
      <c r="G1869" t="s">
        <v>179</v>
      </c>
      <c r="H1869">
        <v>56</v>
      </c>
      <c r="I1869">
        <v>68.695999999999998</v>
      </c>
      <c r="J1869">
        <v>78</v>
      </c>
      <c r="K1869">
        <v>9.3040000000000003</v>
      </c>
      <c r="L1869">
        <v>38</v>
      </c>
      <c r="M1869">
        <v>3</v>
      </c>
      <c r="N1869">
        <v>15</v>
      </c>
      <c r="O1869">
        <v>75.335999999999999</v>
      </c>
      <c r="P1869">
        <v>9.8321051710000003</v>
      </c>
      <c r="Q1869">
        <v>16.010000000000002</v>
      </c>
    </row>
    <row r="1870" spans="1:17" x14ac:dyDescent="0.2">
      <c r="A1870" s="30" t="str">
        <f>IF(C1870&amp;G1870&amp;D1870&lt;&gt;'Funnel setup'!$K$3&amp;'Funnel setup'!$K$4&amp;'Funnel setup'!$K$5,".",IF(A1869=".",1,A1869+1))</f>
        <v>.</v>
      </c>
      <c r="B1870" s="431" t="str">
        <f t="shared" si="29"/>
        <v>Hip Replacement PrimaryProviderTORBAY AND SOUTH DEVON NHS FOUNDATION TRUST (RA9)EQ VAS</v>
      </c>
      <c r="C1870" t="s">
        <v>248</v>
      </c>
      <c r="D1870" t="s">
        <v>1</v>
      </c>
      <c r="E1870" t="s">
        <v>3480</v>
      </c>
      <c r="F1870" t="s">
        <v>6584</v>
      </c>
      <c r="G1870" t="s">
        <v>179</v>
      </c>
      <c r="H1870">
        <v>182</v>
      </c>
      <c r="I1870">
        <v>65.406999999999996</v>
      </c>
      <c r="J1870">
        <v>73.879000000000005</v>
      </c>
      <c r="K1870">
        <v>8.4730000000000008</v>
      </c>
      <c r="L1870">
        <v>105</v>
      </c>
      <c r="M1870">
        <v>20</v>
      </c>
      <c r="N1870">
        <v>57</v>
      </c>
      <c r="O1870">
        <v>76.572000000000003</v>
      </c>
      <c r="P1870">
        <v>11.06791132</v>
      </c>
      <c r="Q1870">
        <v>16.771000000000001</v>
      </c>
    </row>
    <row r="1871" spans="1:17" x14ac:dyDescent="0.2">
      <c r="A1871" s="30" t="str">
        <f>IF(C1871&amp;G1871&amp;D1871&lt;&gt;'Funnel setup'!$K$3&amp;'Funnel setup'!$K$4&amp;'Funnel setup'!$K$5,".",IF(A1870=".",1,A1870+1))</f>
        <v>.</v>
      </c>
      <c r="B1871" s="431" t="str">
        <f t="shared" si="29"/>
        <v>Hip Replacement PrimaryProviderTYNESIDE SURGICAL SERVICES AT THE NORTH EAST NHS SURGERY CENTRE (NN401)EQ VAS</v>
      </c>
      <c r="C1871" t="s">
        <v>248</v>
      </c>
      <c r="D1871" t="s">
        <v>1</v>
      </c>
      <c r="E1871" t="s">
        <v>4506</v>
      </c>
      <c r="F1871" t="s">
        <v>4507</v>
      </c>
      <c r="G1871" t="s">
        <v>179</v>
      </c>
      <c r="H1871">
        <v>7</v>
      </c>
      <c r="I1871">
        <v>67.856999999999999</v>
      </c>
      <c r="J1871">
        <v>70.429000000000002</v>
      </c>
      <c r="K1871">
        <v>2.5710000000000002</v>
      </c>
      <c r="L1871">
        <v>4</v>
      </c>
      <c r="M1871">
        <v>1</v>
      </c>
      <c r="N1871">
        <v>2</v>
      </c>
      <c r="O1871" t="s">
        <v>53</v>
      </c>
      <c r="P1871" t="s">
        <v>53</v>
      </c>
      <c r="Q1871" t="s">
        <v>53</v>
      </c>
    </row>
    <row r="1872" spans="1:17" x14ac:dyDescent="0.2">
      <c r="A1872" s="30" t="str">
        <f>IF(C1872&amp;G1872&amp;D1872&lt;&gt;'Funnel setup'!$K$3&amp;'Funnel setup'!$K$4&amp;'Funnel setup'!$K$5,".",IF(A1871=".",1,A1871+1))</f>
        <v>.</v>
      </c>
      <c r="B1872" s="431" t="str">
        <f t="shared" si="29"/>
        <v>Hip Replacement PrimaryProviderUNITED LINCOLNSHIRE HOSPITALS NHS TRUST (RWD)EQ VAS</v>
      </c>
      <c r="C1872" t="s">
        <v>248</v>
      </c>
      <c r="D1872" t="s">
        <v>1</v>
      </c>
      <c r="E1872" t="s">
        <v>3763</v>
      </c>
      <c r="F1872" t="s">
        <v>3764</v>
      </c>
      <c r="G1872" t="s">
        <v>179</v>
      </c>
      <c r="H1872">
        <v>223</v>
      </c>
      <c r="I1872">
        <v>67.438999999999993</v>
      </c>
      <c r="J1872">
        <v>75.192999999999998</v>
      </c>
      <c r="K1872">
        <v>7.7530000000000001</v>
      </c>
      <c r="L1872">
        <v>123</v>
      </c>
      <c r="M1872">
        <v>31</v>
      </c>
      <c r="N1872">
        <v>69</v>
      </c>
      <c r="O1872">
        <v>75.510000000000005</v>
      </c>
      <c r="P1872">
        <v>10.005998460000001</v>
      </c>
      <c r="Q1872">
        <v>16.670000000000002</v>
      </c>
    </row>
    <row r="1873" spans="1:17" x14ac:dyDescent="0.2">
      <c r="A1873" s="30" t="str">
        <f>IF(C1873&amp;G1873&amp;D1873&lt;&gt;'Funnel setup'!$K$3&amp;'Funnel setup'!$K$4&amp;'Funnel setup'!$K$5,".",IF(A1872=".",1,A1872+1))</f>
        <v>.</v>
      </c>
      <c r="B1873" s="431" t="str">
        <f t="shared" si="29"/>
        <v>Hip Replacement PrimaryProviderUNIVERSITY COLLEGE LONDON HOSPITALS NHS FOUNDATION TRUST (RRV)EQ VAS</v>
      </c>
      <c r="C1873" t="s">
        <v>248</v>
      </c>
      <c r="D1873" t="s">
        <v>1</v>
      </c>
      <c r="E1873" t="s">
        <v>3766</v>
      </c>
      <c r="F1873" t="s">
        <v>3767</v>
      </c>
      <c r="G1873" t="s">
        <v>179</v>
      </c>
      <c r="H1873">
        <v>109</v>
      </c>
      <c r="I1873">
        <v>64.834999999999994</v>
      </c>
      <c r="J1873">
        <v>76.119</v>
      </c>
      <c r="K1873">
        <v>11.284000000000001</v>
      </c>
      <c r="L1873">
        <v>78</v>
      </c>
      <c r="M1873">
        <v>12</v>
      </c>
      <c r="N1873">
        <v>19</v>
      </c>
      <c r="O1873">
        <v>77.447000000000003</v>
      </c>
      <c r="P1873">
        <v>11.94311641</v>
      </c>
      <c r="Q1873">
        <v>14.255000000000001</v>
      </c>
    </row>
    <row r="1874" spans="1:17" x14ac:dyDescent="0.2">
      <c r="A1874" s="30" t="str">
        <f>IF(C1874&amp;G1874&amp;D1874&lt;&gt;'Funnel setup'!$K$3&amp;'Funnel setup'!$K$4&amp;'Funnel setup'!$K$5,".",IF(A1873=".",1,A1873+1))</f>
        <v>.</v>
      </c>
      <c r="B1874" s="431" t="str">
        <f t="shared" si="29"/>
        <v>Hip Replacement PrimaryProviderUNIVERSITY HOSPITAL OF SOUTH MANCHESTER NHS FOUNDATION TRUST (RM2)EQ VAS</v>
      </c>
      <c r="C1874" t="s">
        <v>248</v>
      </c>
      <c r="D1874" t="s">
        <v>1</v>
      </c>
      <c r="E1874" t="s">
        <v>3769</v>
      </c>
      <c r="F1874" t="s">
        <v>3770</v>
      </c>
      <c r="G1874" t="s">
        <v>179</v>
      </c>
      <c r="H1874">
        <v>90</v>
      </c>
      <c r="I1874">
        <v>64.656000000000006</v>
      </c>
      <c r="J1874">
        <v>74.444000000000003</v>
      </c>
      <c r="K1874">
        <v>9.7889999999999997</v>
      </c>
      <c r="L1874">
        <v>59</v>
      </c>
      <c r="M1874">
        <v>10</v>
      </c>
      <c r="N1874">
        <v>21</v>
      </c>
      <c r="O1874">
        <v>74.777000000000001</v>
      </c>
      <c r="P1874">
        <v>9.2722832489999991</v>
      </c>
      <c r="Q1874">
        <v>16.728999999999999</v>
      </c>
    </row>
    <row r="1875" spans="1:17" x14ac:dyDescent="0.2">
      <c r="A1875" s="30" t="str">
        <f>IF(C1875&amp;G1875&amp;D1875&lt;&gt;'Funnel setup'!$K$3&amp;'Funnel setup'!$K$4&amp;'Funnel setup'!$K$5,".",IF(A1874=".",1,A1874+1))</f>
        <v>.</v>
      </c>
      <c r="B1875" s="431" t="str">
        <f t="shared" si="29"/>
        <v>Hip Replacement PrimaryProviderUNIVERSITY HOSPITAL SOUTHAMPTON NHS FOUNDATION TRUST (RHM)EQ VAS</v>
      </c>
      <c r="C1875" t="s">
        <v>248</v>
      </c>
      <c r="D1875" t="s">
        <v>1</v>
      </c>
      <c r="E1875" t="s">
        <v>3772</v>
      </c>
      <c r="F1875" t="s">
        <v>3773</v>
      </c>
      <c r="G1875" t="s">
        <v>179</v>
      </c>
      <c r="H1875">
        <v>168</v>
      </c>
      <c r="I1875">
        <v>58.69</v>
      </c>
      <c r="J1875">
        <v>74.119</v>
      </c>
      <c r="K1875">
        <v>15.429</v>
      </c>
      <c r="L1875">
        <v>117</v>
      </c>
      <c r="M1875">
        <v>22</v>
      </c>
      <c r="N1875">
        <v>29</v>
      </c>
      <c r="O1875">
        <v>77.302000000000007</v>
      </c>
      <c r="P1875">
        <v>11.79718061</v>
      </c>
      <c r="Q1875">
        <v>16.727</v>
      </c>
    </row>
    <row r="1876" spans="1:17" x14ac:dyDescent="0.2">
      <c r="A1876" s="30" t="str">
        <f>IF(C1876&amp;G1876&amp;D1876&lt;&gt;'Funnel setup'!$K$3&amp;'Funnel setup'!$K$4&amp;'Funnel setup'!$K$5,".",IF(A1875=".",1,A1875+1))</f>
        <v>.</v>
      </c>
      <c r="B1876" s="431" t="str">
        <f t="shared" si="29"/>
        <v>Hip Replacement PrimaryProviderUNIVERSITY HOSPITALS COVENTRY AND WARWICKSHIRE NHS TRUST (RKB)EQ VAS</v>
      </c>
      <c r="C1876" t="s">
        <v>248</v>
      </c>
      <c r="D1876" t="s">
        <v>1</v>
      </c>
      <c r="E1876" t="s">
        <v>3715</v>
      </c>
      <c r="F1876" t="s">
        <v>3716</v>
      </c>
      <c r="G1876" t="s">
        <v>179</v>
      </c>
      <c r="H1876">
        <v>212</v>
      </c>
      <c r="I1876">
        <v>62.75</v>
      </c>
      <c r="J1876">
        <v>78.466999999999999</v>
      </c>
      <c r="K1876">
        <v>15.717000000000001</v>
      </c>
      <c r="L1876">
        <v>147</v>
      </c>
      <c r="M1876">
        <v>18</v>
      </c>
      <c r="N1876">
        <v>47</v>
      </c>
      <c r="O1876">
        <v>79.203999999999994</v>
      </c>
      <c r="P1876">
        <v>13.699892759999999</v>
      </c>
      <c r="Q1876">
        <v>16.178999999999998</v>
      </c>
    </row>
    <row r="1877" spans="1:17" x14ac:dyDescent="0.2">
      <c r="A1877" s="30" t="str">
        <f>IF(C1877&amp;G1877&amp;D1877&lt;&gt;'Funnel setup'!$K$3&amp;'Funnel setup'!$K$4&amp;'Funnel setup'!$K$5,".",IF(A1876=".",1,A1876+1))</f>
        <v>.</v>
      </c>
      <c r="B1877" s="431" t="str">
        <f t="shared" si="29"/>
        <v>Hip Replacement PrimaryProviderUNIVERSITY HOSPITALS OF LEICESTER NHS TRUST (RWE)EQ VAS</v>
      </c>
      <c r="C1877" t="s">
        <v>248</v>
      </c>
      <c r="D1877" t="s">
        <v>1</v>
      </c>
      <c r="E1877" t="s">
        <v>3718</v>
      </c>
      <c r="F1877" t="s">
        <v>3719</v>
      </c>
      <c r="G1877" t="s">
        <v>179</v>
      </c>
      <c r="H1877">
        <v>434</v>
      </c>
      <c r="I1877">
        <v>64.043999999999997</v>
      </c>
      <c r="J1877">
        <v>76.512</v>
      </c>
      <c r="K1877">
        <v>12.468</v>
      </c>
      <c r="L1877">
        <v>293</v>
      </c>
      <c r="M1877">
        <v>50</v>
      </c>
      <c r="N1877">
        <v>91</v>
      </c>
      <c r="O1877">
        <v>77.161000000000001</v>
      </c>
      <c r="P1877">
        <v>11.6567177</v>
      </c>
      <c r="Q1877">
        <v>15.419</v>
      </c>
    </row>
    <row r="1878" spans="1:17" x14ac:dyDescent="0.2">
      <c r="A1878" s="30" t="str">
        <f>IF(C1878&amp;G1878&amp;D1878&lt;&gt;'Funnel setup'!$K$3&amp;'Funnel setup'!$K$4&amp;'Funnel setup'!$K$5,".",IF(A1877=".",1,A1877+1))</f>
        <v>.</v>
      </c>
      <c r="B1878" s="431" t="str">
        <f t="shared" si="29"/>
        <v>Hip Replacement PrimaryProviderUNIVERSITY HOSPITALS OF MORECAMBE BAY NHS FOUNDATION TRUST (RTX)EQ VAS</v>
      </c>
      <c r="C1878" t="s">
        <v>248</v>
      </c>
      <c r="D1878" t="s">
        <v>1</v>
      </c>
      <c r="E1878" t="s">
        <v>3721</v>
      </c>
      <c r="F1878" t="s">
        <v>3722</v>
      </c>
      <c r="G1878" t="s">
        <v>179</v>
      </c>
      <c r="H1878">
        <v>253</v>
      </c>
      <c r="I1878">
        <v>66.260999999999996</v>
      </c>
      <c r="J1878">
        <v>76.722999999999999</v>
      </c>
      <c r="K1878">
        <v>10.462</v>
      </c>
      <c r="L1878">
        <v>156</v>
      </c>
      <c r="M1878">
        <v>35</v>
      </c>
      <c r="N1878">
        <v>62</v>
      </c>
      <c r="O1878">
        <v>76.588999999999999</v>
      </c>
      <c r="P1878">
        <v>11.08431408</v>
      </c>
      <c r="Q1878">
        <v>15.358000000000001</v>
      </c>
    </row>
    <row r="1879" spans="1:17" x14ac:dyDescent="0.2">
      <c r="A1879" s="30" t="str">
        <f>IF(C1879&amp;G1879&amp;D1879&lt;&gt;'Funnel setup'!$K$3&amp;'Funnel setup'!$K$4&amp;'Funnel setup'!$K$5,".",IF(A1878=".",1,A1878+1))</f>
        <v>.</v>
      </c>
      <c r="B1879" s="431" t="str">
        <f t="shared" si="29"/>
        <v>Hip Replacement PrimaryProviderUNIVERSITY HOSPITALS OF NORTH MIDLANDS NHS TRUST (RJE)EQ VAS</v>
      </c>
      <c r="C1879" t="s">
        <v>248</v>
      </c>
      <c r="D1879" t="s">
        <v>1</v>
      </c>
      <c r="E1879" t="s">
        <v>3724</v>
      </c>
      <c r="F1879" t="s">
        <v>3725</v>
      </c>
      <c r="G1879" t="s">
        <v>179</v>
      </c>
      <c r="H1879">
        <v>202</v>
      </c>
      <c r="I1879">
        <v>58.441000000000003</v>
      </c>
      <c r="J1879">
        <v>72.885999999999996</v>
      </c>
      <c r="K1879">
        <v>14.446</v>
      </c>
      <c r="L1879">
        <v>144</v>
      </c>
      <c r="M1879">
        <v>12</v>
      </c>
      <c r="N1879">
        <v>46</v>
      </c>
      <c r="O1879">
        <v>77.048000000000002</v>
      </c>
      <c r="P1879">
        <v>11.543643550000001</v>
      </c>
      <c r="Q1879">
        <v>16.73</v>
      </c>
    </row>
    <row r="1880" spans="1:17" x14ac:dyDescent="0.2">
      <c r="A1880" s="30" t="str">
        <f>IF(C1880&amp;G1880&amp;D1880&lt;&gt;'Funnel setup'!$K$3&amp;'Funnel setup'!$K$4&amp;'Funnel setup'!$K$5,".",IF(A1879=".",1,A1879+1))</f>
        <v>.</v>
      </c>
      <c r="B1880" s="431" t="str">
        <f t="shared" si="29"/>
        <v>Hip Replacement PrimaryProviderWALSALL HEALTHCARE NHS TRUST (RBK)EQ VAS</v>
      </c>
      <c r="C1880" t="s">
        <v>248</v>
      </c>
      <c r="D1880" t="s">
        <v>1</v>
      </c>
      <c r="E1880" t="s">
        <v>3727</v>
      </c>
      <c r="F1880" t="s">
        <v>3728</v>
      </c>
      <c r="G1880" t="s">
        <v>179</v>
      </c>
      <c r="H1880">
        <v>71</v>
      </c>
      <c r="I1880">
        <v>53.155000000000001</v>
      </c>
      <c r="J1880">
        <v>69.337999999999994</v>
      </c>
      <c r="K1880">
        <v>16.183</v>
      </c>
      <c r="L1880">
        <v>50</v>
      </c>
      <c r="M1880">
        <v>6</v>
      </c>
      <c r="N1880">
        <v>15</v>
      </c>
      <c r="O1880">
        <v>74.534999999999997</v>
      </c>
      <c r="P1880">
        <v>9.0306578660000003</v>
      </c>
      <c r="Q1880">
        <v>18.966999999999999</v>
      </c>
    </row>
    <row r="1881" spans="1:17" x14ac:dyDescent="0.2">
      <c r="A1881" s="30" t="str">
        <f>IF(C1881&amp;G1881&amp;D1881&lt;&gt;'Funnel setup'!$K$3&amp;'Funnel setup'!$K$4&amp;'Funnel setup'!$K$5,".",IF(A1880=".",1,A1880+1))</f>
        <v>.</v>
      </c>
      <c r="B1881" s="431" t="str">
        <f t="shared" si="29"/>
        <v>Hip Replacement PrimaryProviderWARRINGTON AND HALTON HOSPITALS NHS FOUNDATION TRUST (RWW)EQ VAS</v>
      </c>
      <c r="C1881" t="s">
        <v>248</v>
      </c>
      <c r="D1881" t="s">
        <v>1</v>
      </c>
      <c r="E1881" t="s">
        <v>3730</v>
      </c>
      <c r="F1881" t="s">
        <v>3731</v>
      </c>
      <c r="G1881" t="s">
        <v>179</v>
      </c>
      <c r="H1881">
        <v>144</v>
      </c>
      <c r="I1881">
        <v>65.382000000000005</v>
      </c>
      <c r="J1881">
        <v>75.263999999999996</v>
      </c>
      <c r="K1881">
        <v>9.8819999999999997</v>
      </c>
      <c r="L1881">
        <v>89</v>
      </c>
      <c r="M1881">
        <v>19</v>
      </c>
      <c r="N1881">
        <v>36</v>
      </c>
      <c r="O1881">
        <v>75.441999999999993</v>
      </c>
      <c r="P1881">
        <v>9.9378658630000007</v>
      </c>
      <c r="Q1881">
        <v>17.538</v>
      </c>
    </row>
    <row r="1882" spans="1:17" x14ac:dyDescent="0.2">
      <c r="A1882" s="30" t="str">
        <f>IF(C1882&amp;G1882&amp;D1882&lt;&gt;'Funnel setup'!$K$3&amp;'Funnel setup'!$K$4&amp;'Funnel setup'!$K$5,".",IF(A1881=".",1,A1881+1))</f>
        <v>.</v>
      </c>
      <c r="B1882" s="431" t="str">
        <f t="shared" si="29"/>
        <v>Hip Replacement PrimaryProviderWEST HERTFORDSHIRE HOSPITALS NHS TRUST (RWG)EQ VAS</v>
      </c>
      <c r="C1882" t="s">
        <v>248</v>
      </c>
      <c r="D1882" t="s">
        <v>1</v>
      </c>
      <c r="E1882" t="s">
        <v>3733</v>
      </c>
      <c r="F1882" t="s">
        <v>3734</v>
      </c>
      <c r="G1882" t="s">
        <v>179</v>
      </c>
      <c r="H1882">
        <v>165</v>
      </c>
      <c r="I1882">
        <v>63.841999999999999</v>
      </c>
      <c r="J1882">
        <v>78.63</v>
      </c>
      <c r="K1882">
        <v>14.788</v>
      </c>
      <c r="L1882">
        <v>115</v>
      </c>
      <c r="M1882">
        <v>22</v>
      </c>
      <c r="N1882">
        <v>28</v>
      </c>
      <c r="O1882">
        <v>78.569000000000003</v>
      </c>
      <c r="P1882">
        <v>13.064487440000001</v>
      </c>
      <c r="Q1882">
        <v>15.125999999999999</v>
      </c>
    </row>
    <row r="1883" spans="1:17" x14ac:dyDescent="0.2">
      <c r="A1883" s="30" t="str">
        <f>IF(C1883&amp;G1883&amp;D1883&lt;&gt;'Funnel setup'!$K$3&amp;'Funnel setup'!$K$4&amp;'Funnel setup'!$K$5,".",IF(A1882=".",1,A1882+1))</f>
        <v>.</v>
      </c>
      <c r="B1883" s="431" t="str">
        <f t="shared" si="29"/>
        <v>Hip Replacement PrimaryProviderWEST MIDDLESEX UNIVERSITY HOSPITAL NHS TRUST (RFW)EQ VAS</v>
      </c>
      <c r="C1883" t="s">
        <v>248</v>
      </c>
      <c r="D1883" t="s">
        <v>1</v>
      </c>
      <c r="E1883" t="s">
        <v>3736</v>
      </c>
      <c r="F1883" t="s">
        <v>3737</v>
      </c>
      <c r="G1883" t="s">
        <v>179</v>
      </c>
      <c r="H1883">
        <v>54</v>
      </c>
      <c r="I1883">
        <v>65.480999999999995</v>
      </c>
      <c r="J1883">
        <v>76.741</v>
      </c>
      <c r="K1883">
        <v>11.259</v>
      </c>
      <c r="L1883">
        <v>36</v>
      </c>
      <c r="M1883">
        <v>5</v>
      </c>
      <c r="N1883">
        <v>13</v>
      </c>
      <c r="O1883">
        <v>77.09</v>
      </c>
      <c r="P1883">
        <v>11.586075709999999</v>
      </c>
      <c r="Q1883">
        <v>14.513999999999999</v>
      </c>
    </row>
    <row r="1884" spans="1:17" x14ac:dyDescent="0.2">
      <c r="A1884" s="30" t="str">
        <f>IF(C1884&amp;G1884&amp;D1884&lt;&gt;'Funnel setup'!$K$3&amp;'Funnel setup'!$K$4&amp;'Funnel setup'!$K$5,".",IF(A1883=".",1,A1883+1))</f>
        <v>.</v>
      </c>
      <c r="B1884" s="431" t="str">
        <f t="shared" si="29"/>
        <v>Hip Replacement PrimaryProviderWEST MIDLANDS HOSPITAL (NVC21)EQ VAS</v>
      </c>
      <c r="C1884" t="s">
        <v>248</v>
      </c>
      <c r="D1884" t="s">
        <v>1</v>
      </c>
      <c r="E1884" t="s">
        <v>3709</v>
      </c>
      <c r="F1884" t="s">
        <v>3710</v>
      </c>
      <c r="G1884" t="s">
        <v>179</v>
      </c>
      <c r="H1884">
        <v>78</v>
      </c>
      <c r="I1884">
        <v>68.667000000000002</v>
      </c>
      <c r="J1884">
        <v>80.885000000000005</v>
      </c>
      <c r="K1884">
        <v>12.218</v>
      </c>
      <c r="L1884">
        <v>49</v>
      </c>
      <c r="M1884">
        <v>12</v>
      </c>
      <c r="N1884">
        <v>17</v>
      </c>
      <c r="O1884">
        <v>79.840999999999994</v>
      </c>
      <c r="P1884">
        <v>14.33663117</v>
      </c>
      <c r="Q1884">
        <v>12.067</v>
      </c>
    </row>
    <row r="1885" spans="1:17" x14ac:dyDescent="0.2">
      <c r="A1885" s="30" t="str">
        <f>IF(C1885&amp;G1885&amp;D1885&lt;&gt;'Funnel setup'!$K$3&amp;'Funnel setup'!$K$4&amp;'Funnel setup'!$K$5,".",IF(A1884=".",1,A1884+1))</f>
        <v>.</v>
      </c>
      <c r="B1885" s="431" t="str">
        <f t="shared" si="29"/>
        <v>Hip Replacement PrimaryProviderWEST SUFFOLK NHS FOUNDATION TRUST (RGR)EQ VAS</v>
      </c>
      <c r="C1885" t="s">
        <v>248</v>
      </c>
      <c r="D1885" t="s">
        <v>1</v>
      </c>
      <c r="E1885" t="s">
        <v>3712</v>
      </c>
      <c r="F1885" t="s">
        <v>3713</v>
      </c>
      <c r="G1885" t="s">
        <v>179</v>
      </c>
      <c r="H1885">
        <v>215</v>
      </c>
      <c r="I1885">
        <v>65.064999999999998</v>
      </c>
      <c r="J1885">
        <v>76.795000000000002</v>
      </c>
      <c r="K1885">
        <v>11.73</v>
      </c>
      <c r="L1885">
        <v>149</v>
      </c>
      <c r="M1885">
        <v>17</v>
      </c>
      <c r="N1885">
        <v>49</v>
      </c>
      <c r="O1885">
        <v>77.296000000000006</v>
      </c>
      <c r="P1885">
        <v>11.79197956</v>
      </c>
      <c r="Q1885">
        <v>16.885000000000002</v>
      </c>
    </row>
    <row r="1886" spans="1:17" x14ac:dyDescent="0.2">
      <c r="A1886" s="30" t="str">
        <f>IF(C1886&amp;G1886&amp;D1886&lt;&gt;'Funnel setup'!$K$3&amp;'Funnel setup'!$K$4&amp;'Funnel setup'!$K$5,".",IF(A1885=".",1,A1885+1))</f>
        <v>.</v>
      </c>
      <c r="B1886" s="431" t="str">
        <f t="shared" si="29"/>
        <v>Hip Replacement PrimaryProviderWESTERN SUSSEX HOSPITALS NHS FOUNDATION TRUST (RYR)EQ VAS</v>
      </c>
      <c r="C1886" t="s">
        <v>248</v>
      </c>
      <c r="D1886" t="s">
        <v>1</v>
      </c>
      <c r="E1886" t="s">
        <v>3706</v>
      </c>
      <c r="F1886" t="s">
        <v>3707</v>
      </c>
      <c r="G1886" t="s">
        <v>179</v>
      </c>
      <c r="H1886">
        <v>311</v>
      </c>
      <c r="I1886">
        <v>62.624000000000002</v>
      </c>
      <c r="J1886">
        <v>75.042000000000002</v>
      </c>
      <c r="K1886">
        <v>12.417999999999999</v>
      </c>
      <c r="L1886">
        <v>200</v>
      </c>
      <c r="M1886">
        <v>32</v>
      </c>
      <c r="N1886">
        <v>79</v>
      </c>
      <c r="O1886">
        <v>76.873999999999995</v>
      </c>
      <c r="P1886">
        <v>11.36943831</v>
      </c>
      <c r="Q1886">
        <v>16.701000000000001</v>
      </c>
    </row>
    <row r="1887" spans="1:17" x14ac:dyDescent="0.2">
      <c r="A1887" s="30" t="str">
        <f>IF(C1887&amp;G1887&amp;D1887&lt;&gt;'Funnel setup'!$K$3&amp;'Funnel setup'!$K$4&amp;'Funnel setup'!$K$5,".",IF(A1886=".",1,A1886+1))</f>
        <v>.</v>
      </c>
      <c r="B1887" s="431" t="str">
        <f t="shared" si="29"/>
        <v>Hip Replacement PrimaryProviderWESTON AREA HEALTH NHS TRUST (RA3)EQ VAS</v>
      </c>
      <c r="C1887" t="s">
        <v>248</v>
      </c>
      <c r="D1887" t="s">
        <v>1</v>
      </c>
      <c r="E1887" t="s">
        <v>3525</v>
      </c>
      <c r="F1887" t="s">
        <v>3526</v>
      </c>
      <c r="G1887" t="s">
        <v>179</v>
      </c>
      <c r="H1887">
        <v>80</v>
      </c>
      <c r="I1887">
        <v>66.8</v>
      </c>
      <c r="J1887">
        <v>75.638000000000005</v>
      </c>
      <c r="K1887">
        <v>8.8379999999999992</v>
      </c>
      <c r="L1887">
        <v>53</v>
      </c>
      <c r="M1887">
        <v>5</v>
      </c>
      <c r="N1887">
        <v>22</v>
      </c>
      <c r="O1887">
        <v>75.527000000000001</v>
      </c>
      <c r="P1887">
        <v>10.02282508</v>
      </c>
      <c r="Q1887">
        <v>16.210999999999999</v>
      </c>
    </row>
    <row r="1888" spans="1:17" x14ac:dyDescent="0.2">
      <c r="A1888" s="30" t="str">
        <f>IF(C1888&amp;G1888&amp;D1888&lt;&gt;'Funnel setup'!$K$3&amp;'Funnel setup'!$K$4&amp;'Funnel setup'!$K$5,".",IF(A1887=".",1,A1887+1))</f>
        <v>.</v>
      </c>
      <c r="B1888" s="431" t="str">
        <f t="shared" si="29"/>
        <v>Hip Replacement PrimaryProviderWINFIELD HOSPITAL (NVC22)EQ VAS</v>
      </c>
      <c r="C1888" t="s">
        <v>248</v>
      </c>
      <c r="D1888" t="s">
        <v>1</v>
      </c>
      <c r="E1888" t="s">
        <v>3534</v>
      </c>
      <c r="F1888" t="s">
        <v>3535</v>
      </c>
      <c r="G1888" t="s">
        <v>179</v>
      </c>
      <c r="H1888">
        <v>74</v>
      </c>
      <c r="I1888">
        <v>68.715999999999994</v>
      </c>
      <c r="J1888">
        <v>82.378</v>
      </c>
      <c r="K1888">
        <v>13.662000000000001</v>
      </c>
      <c r="L1888">
        <v>47</v>
      </c>
      <c r="M1888">
        <v>12</v>
      </c>
      <c r="N1888">
        <v>15</v>
      </c>
      <c r="O1888">
        <v>79.745999999999995</v>
      </c>
      <c r="P1888">
        <v>14.24148222</v>
      </c>
      <c r="Q1888">
        <v>15.933</v>
      </c>
    </row>
    <row r="1889" spans="1:17" x14ac:dyDescent="0.2">
      <c r="A1889" s="30" t="str">
        <f>IF(C1889&amp;G1889&amp;D1889&lt;&gt;'Funnel setup'!$K$3&amp;'Funnel setup'!$K$4&amp;'Funnel setup'!$K$5,".",IF(A1888=".",1,A1888+1))</f>
        <v>.</v>
      </c>
      <c r="B1889" s="431" t="str">
        <f t="shared" si="29"/>
        <v>Hip Replacement PrimaryProviderWIRRAL UNIVERSITY TEACHING HOSPITAL NHS FOUNDATION TRUST (RBL)EQ VAS</v>
      </c>
      <c r="C1889" t="s">
        <v>248</v>
      </c>
      <c r="D1889" t="s">
        <v>1</v>
      </c>
      <c r="E1889" t="s">
        <v>3537</v>
      </c>
      <c r="F1889" t="s">
        <v>3538</v>
      </c>
      <c r="G1889" t="s">
        <v>179</v>
      </c>
      <c r="H1889">
        <v>238</v>
      </c>
      <c r="I1889">
        <v>66.671999999999997</v>
      </c>
      <c r="J1889">
        <v>76.626000000000005</v>
      </c>
      <c r="K1889">
        <v>9.9540000000000006</v>
      </c>
      <c r="L1889">
        <v>151</v>
      </c>
      <c r="M1889">
        <v>25</v>
      </c>
      <c r="N1889">
        <v>62</v>
      </c>
      <c r="O1889">
        <v>77.891000000000005</v>
      </c>
      <c r="P1889">
        <v>12.386936889999999</v>
      </c>
      <c r="Q1889">
        <v>16.346</v>
      </c>
    </row>
    <row r="1890" spans="1:17" x14ac:dyDescent="0.2">
      <c r="A1890" s="30" t="str">
        <f>IF(C1890&amp;G1890&amp;D1890&lt;&gt;'Funnel setup'!$K$3&amp;'Funnel setup'!$K$4&amp;'Funnel setup'!$K$5,".",IF(A1889=".",1,A1889+1))</f>
        <v>.</v>
      </c>
      <c r="B1890" s="431" t="str">
        <f t="shared" si="29"/>
        <v>Hip Replacement PrimaryProviderWOODLAND HOSPITAL (NVC23)EQ VAS</v>
      </c>
      <c r="C1890" t="s">
        <v>248</v>
      </c>
      <c r="D1890" t="s">
        <v>1</v>
      </c>
      <c r="E1890" t="s">
        <v>3540</v>
      </c>
      <c r="F1890" t="s">
        <v>3541</v>
      </c>
      <c r="G1890" t="s">
        <v>179</v>
      </c>
      <c r="H1890">
        <v>118</v>
      </c>
      <c r="I1890">
        <v>53.533999999999999</v>
      </c>
      <c r="J1890">
        <v>75.373000000000005</v>
      </c>
      <c r="K1890">
        <v>21.838999999999999</v>
      </c>
      <c r="L1890">
        <v>87</v>
      </c>
      <c r="M1890">
        <v>9</v>
      </c>
      <c r="N1890">
        <v>22</v>
      </c>
      <c r="O1890">
        <v>77.269000000000005</v>
      </c>
      <c r="P1890">
        <v>11.76475976</v>
      </c>
      <c r="Q1890">
        <v>16.765999999999998</v>
      </c>
    </row>
    <row r="1891" spans="1:17" x14ac:dyDescent="0.2">
      <c r="A1891" s="30" t="str">
        <f>IF(C1891&amp;G1891&amp;D1891&lt;&gt;'Funnel setup'!$K$3&amp;'Funnel setup'!$K$4&amp;'Funnel setup'!$K$5,".",IF(A1890=".",1,A1890+1))</f>
        <v>.</v>
      </c>
      <c r="B1891" s="431" t="str">
        <f t="shared" si="29"/>
        <v>Hip Replacement PrimaryProviderWOODTHORPE HOSPITAL (NVC40)EQ VAS</v>
      </c>
      <c r="C1891" t="s">
        <v>248</v>
      </c>
      <c r="D1891" t="s">
        <v>1</v>
      </c>
      <c r="E1891" t="s">
        <v>3689</v>
      </c>
      <c r="F1891" t="s">
        <v>6576</v>
      </c>
      <c r="G1891" t="s">
        <v>179</v>
      </c>
      <c r="H1891">
        <v>131</v>
      </c>
      <c r="I1891">
        <v>68.358999999999995</v>
      </c>
      <c r="J1891">
        <v>79.694999999999993</v>
      </c>
      <c r="K1891">
        <v>11.336</v>
      </c>
      <c r="L1891">
        <v>86</v>
      </c>
      <c r="M1891">
        <v>21</v>
      </c>
      <c r="N1891">
        <v>24</v>
      </c>
      <c r="O1891">
        <v>76.781999999999996</v>
      </c>
      <c r="P1891">
        <v>11.277934849999999</v>
      </c>
      <c r="Q1891">
        <v>16.231000000000002</v>
      </c>
    </row>
    <row r="1892" spans="1:17" x14ac:dyDescent="0.2">
      <c r="A1892" s="30" t="str">
        <f>IF(C1892&amp;G1892&amp;D1892&lt;&gt;'Funnel setup'!$K$3&amp;'Funnel setup'!$K$4&amp;'Funnel setup'!$K$5,".",IF(A1891=".",1,A1891+1))</f>
        <v>.</v>
      </c>
      <c r="B1892" s="431" t="str">
        <f t="shared" si="29"/>
        <v>Hip Replacement PrimaryProviderWORCESTERSHIRE ACUTE HOSPITALS NHS TRUST (RWP)EQ VAS</v>
      </c>
      <c r="C1892" t="s">
        <v>248</v>
      </c>
      <c r="D1892" t="s">
        <v>1</v>
      </c>
      <c r="E1892" t="s">
        <v>3543</v>
      </c>
      <c r="F1892" t="s">
        <v>3544</v>
      </c>
      <c r="G1892" t="s">
        <v>179</v>
      </c>
      <c r="H1892">
        <v>264</v>
      </c>
      <c r="I1892">
        <v>67.36</v>
      </c>
      <c r="J1892">
        <v>78.094999999999999</v>
      </c>
      <c r="K1892">
        <v>10.734999999999999</v>
      </c>
      <c r="L1892">
        <v>169</v>
      </c>
      <c r="M1892">
        <v>28</v>
      </c>
      <c r="N1892">
        <v>67</v>
      </c>
      <c r="O1892">
        <v>78.212999999999994</v>
      </c>
      <c r="P1892">
        <v>12.70891743</v>
      </c>
      <c r="Q1892">
        <v>16.678999999999998</v>
      </c>
    </row>
    <row r="1893" spans="1:17" x14ac:dyDescent="0.2">
      <c r="A1893" s="30" t="str">
        <f>IF(C1893&amp;G1893&amp;D1893&lt;&gt;'Funnel setup'!$K$3&amp;'Funnel setup'!$K$4&amp;'Funnel setup'!$K$5,".",IF(A1892=".",1,A1892+1))</f>
        <v>.</v>
      </c>
      <c r="B1893" s="431" t="str">
        <f t="shared" si="29"/>
        <v>Hip Replacement PrimaryProviderWRIGHTINGTON, WIGAN AND LEIGH NHS FOUNDATION TRUST (RRF)EQ VAS</v>
      </c>
      <c r="C1893" t="s">
        <v>248</v>
      </c>
      <c r="D1893" t="s">
        <v>1</v>
      </c>
      <c r="E1893" t="s">
        <v>3546</v>
      </c>
      <c r="F1893" t="s">
        <v>3547</v>
      </c>
      <c r="G1893" t="s">
        <v>179</v>
      </c>
      <c r="H1893">
        <v>234</v>
      </c>
      <c r="I1893">
        <v>63.65</v>
      </c>
      <c r="J1893">
        <v>77.584999999999994</v>
      </c>
      <c r="K1893">
        <v>13.936</v>
      </c>
      <c r="L1893">
        <v>157</v>
      </c>
      <c r="M1893">
        <v>28</v>
      </c>
      <c r="N1893">
        <v>49</v>
      </c>
      <c r="O1893">
        <v>78.376000000000005</v>
      </c>
      <c r="P1893">
        <v>12.87146551</v>
      </c>
      <c r="Q1893">
        <v>14.406000000000001</v>
      </c>
    </row>
    <row r="1894" spans="1:17" x14ac:dyDescent="0.2">
      <c r="A1894" s="30" t="str">
        <f>IF(C1894&amp;G1894&amp;D1894&lt;&gt;'Funnel setup'!$K$3&amp;'Funnel setup'!$K$4&amp;'Funnel setup'!$K$5,".",IF(A1893=".",1,A1893+1))</f>
        <v>.</v>
      </c>
      <c r="B1894" s="431" t="str">
        <f t="shared" si="29"/>
        <v>Hip Replacement PrimaryProviderWYE VALLEY NHS TRUST (RLQ)EQ VAS</v>
      </c>
      <c r="C1894" t="s">
        <v>248</v>
      </c>
      <c r="D1894" t="s">
        <v>1</v>
      </c>
      <c r="E1894" t="s">
        <v>3517</v>
      </c>
      <c r="F1894" t="s">
        <v>3518</v>
      </c>
      <c r="G1894" t="s">
        <v>179</v>
      </c>
      <c r="H1894">
        <v>94</v>
      </c>
      <c r="I1894">
        <v>66.563999999999993</v>
      </c>
      <c r="J1894">
        <v>78.073999999999998</v>
      </c>
      <c r="K1894">
        <v>11.510999999999999</v>
      </c>
      <c r="L1894">
        <v>61</v>
      </c>
      <c r="M1894">
        <v>12</v>
      </c>
      <c r="N1894">
        <v>21</v>
      </c>
      <c r="O1894">
        <v>77.463999999999999</v>
      </c>
      <c r="P1894">
        <v>11.959346630000001</v>
      </c>
      <c r="Q1894">
        <v>15.957000000000001</v>
      </c>
    </row>
    <row r="1895" spans="1:17" x14ac:dyDescent="0.2">
      <c r="A1895" s="30" t="str">
        <f>IF(C1895&amp;G1895&amp;D1895&lt;&gt;'Funnel setup'!$K$3&amp;'Funnel setup'!$K$4&amp;'Funnel setup'!$K$5,".",IF(A1894=".",1,A1894+1))</f>
        <v>.</v>
      </c>
      <c r="B1895" s="431" t="str">
        <f t="shared" si="29"/>
        <v>Hip Replacement PrimaryProviderYEOVIL DISTRICT HOSPITAL NHS FOUNDATION TRUST (RA4)EQ VAS</v>
      </c>
      <c r="C1895" t="s">
        <v>248</v>
      </c>
      <c r="D1895" t="s">
        <v>1</v>
      </c>
      <c r="E1895" t="s">
        <v>3520</v>
      </c>
      <c r="F1895" t="s">
        <v>341</v>
      </c>
      <c r="G1895" t="s">
        <v>179</v>
      </c>
      <c r="H1895">
        <v>64</v>
      </c>
      <c r="I1895">
        <v>63.655999999999999</v>
      </c>
      <c r="J1895">
        <v>81.578000000000003</v>
      </c>
      <c r="K1895">
        <v>17.922000000000001</v>
      </c>
      <c r="L1895">
        <v>46</v>
      </c>
      <c r="M1895">
        <v>7</v>
      </c>
      <c r="N1895">
        <v>11</v>
      </c>
      <c r="O1895">
        <v>79.914000000000001</v>
      </c>
      <c r="P1895">
        <v>14.40974078</v>
      </c>
      <c r="Q1895">
        <v>14.862</v>
      </c>
    </row>
    <row r="1896" spans="1:17" x14ac:dyDescent="0.2">
      <c r="A1896" s="30" t="str">
        <f>IF(C1896&amp;G1896&amp;D1896&lt;&gt;'Funnel setup'!$K$3&amp;'Funnel setup'!$K$4&amp;'Funnel setup'!$K$5,".",IF(A1895=".",1,A1895+1))</f>
        <v>.</v>
      </c>
      <c r="B1896" s="431" t="str">
        <f t="shared" si="29"/>
        <v>Hip Replacement PrimaryProviderYORK TEACHING HOSPITAL NHS FOUNDATION TRUST (RCB)EQ VAS</v>
      </c>
      <c r="C1896" t="s">
        <v>248</v>
      </c>
      <c r="D1896" t="s">
        <v>1</v>
      </c>
      <c r="E1896" t="s">
        <v>3515</v>
      </c>
      <c r="F1896" t="s">
        <v>343</v>
      </c>
      <c r="G1896" t="s">
        <v>179</v>
      </c>
      <c r="H1896">
        <v>298</v>
      </c>
      <c r="I1896">
        <v>65.497</v>
      </c>
      <c r="J1896">
        <v>78.497</v>
      </c>
      <c r="K1896">
        <v>13</v>
      </c>
      <c r="L1896">
        <v>203</v>
      </c>
      <c r="M1896">
        <v>32</v>
      </c>
      <c r="N1896">
        <v>63</v>
      </c>
      <c r="O1896">
        <v>79.153999999999996</v>
      </c>
      <c r="P1896">
        <v>13.6493544</v>
      </c>
      <c r="Q1896">
        <v>13.513</v>
      </c>
    </row>
    <row r="1897" spans="1:17" x14ac:dyDescent="0.2">
      <c r="A1897" s="30" t="str">
        <f>IF(C1897&amp;G1897&amp;D1897&lt;&gt;'Funnel setup'!$K$3&amp;'Funnel setup'!$K$4&amp;'Funnel setup'!$K$5,".",IF(A1896=".",1,A1896+1))</f>
        <v>.</v>
      </c>
      <c r="B1897" s="431" t="str">
        <f t="shared" si="29"/>
        <v>Hip Replacement PrimaryProviderAINTREE UNIVERSITY HOSPITAL NHS FOUNDATION TRUST (REM)EQ-5D Index</v>
      </c>
      <c r="C1897" t="s">
        <v>248</v>
      </c>
      <c r="D1897" t="s">
        <v>1</v>
      </c>
      <c r="E1897" t="s">
        <v>3838</v>
      </c>
      <c r="F1897" t="s">
        <v>3839</v>
      </c>
      <c r="G1897" t="s">
        <v>52</v>
      </c>
      <c r="H1897">
        <v>113</v>
      </c>
      <c r="I1897">
        <v>0.246</v>
      </c>
      <c r="J1897">
        <v>0.69199999999999995</v>
      </c>
      <c r="K1897">
        <v>0.44600000000000001</v>
      </c>
      <c r="L1897">
        <v>102</v>
      </c>
      <c r="M1897">
        <v>8</v>
      </c>
      <c r="N1897">
        <v>3</v>
      </c>
      <c r="O1897">
        <v>0.76300000000000001</v>
      </c>
      <c r="P1897">
        <v>0.40143002999999999</v>
      </c>
      <c r="Q1897">
        <v>0.26100000000000001</v>
      </c>
    </row>
    <row r="1898" spans="1:17" x14ac:dyDescent="0.2">
      <c r="A1898" s="30" t="str">
        <f>IF(C1898&amp;G1898&amp;D1898&lt;&gt;'Funnel setup'!$K$3&amp;'Funnel setup'!$K$4&amp;'Funnel setup'!$K$5,".",IF(A1897=".",1,A1897+1))</f>
        <v>.</v>
      </c>
      <c r="B1898" s="431" t="str">
        <f t="shared" si="29"/>
        <v>Hip Replacement PrimaryProviderAIREDALE NHS FOUNDATION TRUST (RCF)EQ-5D Index</v>
      </c>
      <c r="C1898" t="s">
        <v>248</v>
      </c>
      <c r="D1898" t="s">
        <v>1</v>
      </c>
      <c r="E1898" t="s">
        <v>3841</v>
      </c>
      <c r="F1898" t="s">
        <v>3842</v>
      </c>
      <c r="G1898" t="s">
        <v>52</v>
      </c>
      <c r="H1898">
        <v>150</v>
      </c>
      <c r="I1898">
        <v>0.371</v>
      </c>
      <c r="J1898">
        <v>0.79900000000000004</v>
      </c>
      <c r="K1898">
        <v>0.42799999999999999</v>
      </c>
      <c r="L1898">
        <v>135</v>
      </c>
      <c r="M1898">
        <v>10</v>
      </c>
      <c r="N1898">
        <v>5</v>
      </c>
      <c r="O1898">
        <v>0.80100000000000005</v>
      </c>
      <c r="P1898">
        <v>0.43895806300000001</v>
      </c>
      <c r="Q1898">
        <v>0.21299999999999999</v>
      </c>
    </row>
    <row r="1899" spans="1:17" x14ac:dyDescent="0.2">
      <c r="A1899" s="30" t="str">
        <f>IF(C1899&amp;G1899&amp;D1899&lt;&gt;'Funnel setup'!$K$3&amp;'Funnel setup'!$K$4&amp;'Funnel setup'!$K$5,".",IF(A1898=".",1,A1898+1))</f>
        <v>.</v>
      </c>
      <c r="B1899" s="431" t="str">
        <f t="shared" si="29"/>
        <v>Hip Replacement PrimaryProviderASHFORD AND ST PETER'S HOSPITALS NHS FOUNDATION TRUST (RTK)EQ-5D Index</v>
      </c>
      <c r="C1899" t="s">
        <v>248</v>
      </c>
      <c r="D1899" t="s">
        <v>1</v>
      </c>
      <c r="E1899" t="s">
        <v>3844</v>
      </c>
      <c r="F1899" t="s">
        <v>345</v>
      </c>
      <c r="G1899" t="s">
        <v>52</v>
      </c>
      <c r="H1899">
        <v>241</v>
      </c>
      <c r="I1899">
        <v>0.41699999999999998</v>
      </c>
      <c r="J1899">
        <v>0.83499999999999996</v>
      </c>
      <c r="K1899">
        <v>0.41899999999999998</v>
      </c>
      <c r="L1899">
        <v>216</v>
      </c>
      <c r="M1899">
        <v>12</v>
      </c>
      <c r="N1899">
        <v>13</v>
      </c>
      <c r="O1899">
        <v>0.81200000000000006</v>
      </c>
      <c r="P1899">
        <v>0.45008613600000003</v>
      </c>
      <c r="Q1899">
        <v>0.19700000000000001</v>
      </c>
    </row>
    <row r="1900" spans="1:17" x14ac:dyDescent="0.2">
      <c r="A1900" s="30" t="str">
        <f>IF(C1900&amp;G1900&amp;D1900&lt;&gt;'Funnel setup'!$K$3&amp;'Funnel setup'!$K$4&amp;'Funnel setup'!$K$5,".",IF(A1899=".",1,A1899+1))</f>
        <v>.</v>
      </c>
      <c r="B1900" s="431" t="str">
        <f t="shared" si="29"/>
        <v>Hip Replacement PrimaryProviderASHTEAD HOSPITAL (NVC01)EQ-5D Index</v>
      </c>
      <c r="C1900" t="s">
        <v>248</v>
      </c>
      <c r="D1900" t="s">
        <v>1</v>
      </c>
      <c r="E1900" t="s">
        <v>3846</v>
      </c>
      <c r="F1900" t="s">
        <v>3847</v>
      </c>
      <c r="G1900" t="s">
        <v>52</v>
      </c>
      <c r="H1900">
        <v>59</v>
      </c>
      <c r="I1900">
        <v>0.40100000000000002</v>
      </c>
      <c r="J1900">
        <v>0.84899999999999998</v>
      </c>
      <c r="K1900">
        <v>0.44700000000000001</v>
      </c>
      <c r="L1900">
        <v>55</v>
      </c>
      <c r="M1900">
        <v>2</v>
      </c>
      <c r="N1900">
        <v>2</v>
      </c>
      <c r="O1900">
        <v>0.79900000000000004</v>
      </c>
      <c r="P1900">
        <v>0.43768656099999997</v>
      </c>
      <c r="Q1900">
        <v>0.20899999999999999</v>
      </c>
    </row>
    <row r="1901" spans="1:17" x14ac:dyDescent="0.2">
      <c r="A1901" s="30" t="str">
        <f>IF(C1901&amp;G1901&amp;D1901&lt;&gt;'Funnel setup'!$K$3&amp;'Funnel setup'!$K$4&amp;'Funnel setup'!$K$5,".",IF(A1900=".",1,A1900+1))</f>
        <v>.</v>
      </c>
      <c r="B1901" s="431" t="str">
        <f t="shared" si="29"/>
        <v>Hip Replacement PrimaryProviderASPEN - CLAREMONT HOSPITAL (NYW04)EQ-5D Index</v>
      </c>
      <c r="C1901" t="s">
        <v>248</v>
      </c>
      <c r="D1901" t="s">
        <v>1</v>
      </c>
      <c r="E1901" t="s">
        <v>3500</v>
      </c>
      <c r="F1901" t="s">
        <v>3501</v>
      </c>
      <c r="G1901" t="s">
        <v>52</v>
      </c>
      <c r="H1901">
        <v>65</v>
      </c>
      <c r="I1901">
        <v>0.39200000000000002</v>
      </c>
      <c r="J1901">
        <v>0.85799999999999998</v>
      </c>
      <c r="K1901">
        <v>0.46600000000000003</v>
      </c>
      <c r="L1901">
        <v>61</v>
      </c>
      <c r="M1901">
        <v>3</v>
      </c>
      <c r="N1901">
        <v>1</v>
      </c>
      <c r="O1901">
        <v>0.83799999999999997</v>
      </c>
      <c r="P1901">
        <v>0.476075837</v>
      </c>
      <c r="Q1901">
        <v>0.161</v>
      </c>
    </row>
    <row r="1902" spans="1:17" x14ac:dyDescent="0.2">
      <c r="A1902" s="30" t="str">
        <f>IF(C1902&amp;G1902&amp;D1902&lt;&gt;'Funnel setup'!$K$3&amp;'Funnel setup'!$K$4&amp;'Funnel setup'!$K$5,".",IF(A1901=".",1,A1901+1))</f>
        <v>.</v>
      </c>
      <c r="B1902" s="431" t="str">
        <f t="shared" si="29"/>
        <v>Hip Replacement PrimaryProviderASPEN - HOLLY HOUSE HOSPITAL (NYW01)EQ-5D Index</v>
      </c>
      <c r="C1902" t="s">
        <v>248</v>
      </c>
      <c r="D1902" t="s">
        <v>1</v>
      </c>
      <c r="E1902" t="s">
        <v>3506</v>
      </c>
      <c r="F1902" t="s">
        <v>3507</v>
      </c>
      <c r="G1902" t="s">
        <v>52</v>
      </c>
      <c r="H1902">
        <v>19</v>
      </c>
      <c r="I1902">
        <v>0.30099999999999999</v>
      </c>
      <c r="J1902">
        <v>0.77200000000000002</v>
      </c>
      <c r="K1902">
        <v>0.47099999999999997</v>
      </c>
      <c r="L1902">
        <v>17</v>
      </c>
      <c r="M1902">
        <v>1</v>
      </c>
      <c r="N1902">
        <v>1</v>
      </c>
      <c r="O1902" t="s">
        <v>53</v>
      </c>
      <c r="P1902" t="s">
        <v>53</v>
      </c>
      <c r="Q1902" t="s">
        <v>53</v>
      </c>
    </row>
    <row r="1903" spans="1:17" x14ac:dyDescent="0.2">
      <c r="A1903" s="30" t="str">
        <f>IF(C1903&amp;G1903&amp;D1903&lt;&gt;'Funnel setup'!$K$3&amp;'Funnel setup'!$K$4&amp;'Funnel setup'!$K$5,".",IF(A1902=".",1,A1902+1))</f>
        <v>.</v>
      </c>
      <c r="B1903" s="431" t="str">
        <f t="shared" si="29"/>
        <v>Hip Replacement PrimaryProviderBARKING, HAVERING AND REDBRIDGE UNIVERSITY HOSPITALS NHS TRUST (RF4)EQ-5D Index</v>
      </c>
      <c r="C1903" t="s">
        <v>248</v>
      </c>
      <c r="D1903" t="s">
        <v>1</v>
      </c>
      <c r="E1903" t="s">
        <v>3509</v>
      </c>
      <c r="F1903" t="s">
        <v>3510</v>
      </c>
      <c r="G1903" t="s">
        <v>52</v>
      </c>
      <c r="H1903">
        <v>55</v>
      </c>
      <c r="I1903">
        <v>0.191</v>
      </c>
      <c r="J1903">
        <v>0.68899999999999995</v>
      </c>
      <c r="K1903">
        <v>0.498</v>
      </c>
      <c r="L1903">
        <v>47</v>
      </c>
      <c r="M1903">
        <v>6</v>
      </c>
      <c r="N1903">
        <v>2</v>
      </c>
      <c r="O1903">
        <v>0.75900000000000001</v>
      </c>
      <c r="P1903">
        <v>0.39760309900000002</v>
      </c>
      <c r="Q1903">
        <v>0.222</v>
      </c>
    </row>
    <row r="1904" spans="1:17" x14ac:dyDescent="0.2">
      <c r="A1904" s="30" t="str">
        <f>IF(C1904&amp;G1904&amp;D1904&lt;&gt;'Funnel setup'!$K$3&amp;'Funnel setup'!$K$4&amp;'Funnel setup'!$K$5,".",IF(A1903=".",1,A1903+1))</f>
        <v>.</v>
      </c>
      <c r="B1904" s="431" t="str">
        <f t="shared" si="29"/>
        <v>Hip Replacement PrimaryProviderBARLBOROUGH NHS TREATMENT CENTRE (NTP13)EQ-5D Index</v>
      </c>
      <c r="C1904" t="s">
        <v>248</v>
      </c>
      <c r="D1904" t="s">
        <v>1</v>
      </c>
      <c r="E1904" t="s">
        <v>4425</v>
      </c>
      <c r="F1904" t="s">
        <v>4426</v>
      </c>
      <c r="G1904" t="s">
        <v>52</v>
      </c>
      <c r="H1904">
        <v>362</v>
      </c>
      <c r="I1904">
        <v>0.373</v>
      </c>
      <c r="J1904">
        <v>0.83699999999999997</v>
      </c>
      <c r="K1904">
        <v>0.46400000000000002</v>
      </c>
      <c r="L1904">
        <v>330</v>
      </c>
      <c r="M1904">
        <v>16</v>
      </c>
      <c r="N1904">
        <v>16</v>
      </c>
      <c r="O1904">
        <v>0.82299999999999995</v>
      </c>
      <c r="P1904">
        <v>0.46143716800000001</v>
      </c>
      <c r="Q1904">
        <v>0.20599999999999999</v>
      </c>
    </row>
    <row r="1905" spans="1:17" x14ac:dyDescent="0.2">
      <c r="A1905" s="30" t="str">
        <f>IF(C1905&amp;G1905&amp;D1905&lt;&gt;'Funnel setup'!$K$3&amp;'Funnel setup'!$K$4&amp;'Funnel setup'!$K$5,".",IF(A1904=".",1,A1904+1))</f>
        <v>.</v>
      </c>
      <c r="B1905" s="431" t="str">
        <f t="shared" si="29"/>
        <v>Hip Replacement PrimaryProviderBARNSLEY HOSPITAL NHS FOUNDATION TRUST (RFF)EQ-5D Index</v>
      </c>
      <c r="C1905" t="s">
        <v>248</v>
      </c>
      <c r="D1905" t="s">
        <v>1</v>
      </c>
      <c r="E1905" t="s">
        <v>3549</v>
      </c>
      <c r="F1905" t="s">
        <v>3550</v>
      </c>
      <c r="G1905" t="s">
        <v>52</v>
      </c>
      <c r="H1905">
        <v>96</v>
      </c>
      <c r="I1905">
        <v>0.251</v>
      </c>
      <c r="J1905">
        <v>0.70399999999999996</v>
      </c>
      <c r="K1905">
        <v>0.45300000000000001</v>
      </c>
      <c r="L1905">
        <v>85</v>
      </c>
      <c r="M1905">
        <v>6</v>
      </c>
      <c r="N1905">
        <v>5</v>
      </c>
      <c r="O1905">
        <v>0.74099999999999999</v>
      </c>
      <c r="P1905">
        <v>0.37927162199999997</v>
      </c>
      <c r="Q1905">
        <v>0.22900000000000001</v>
      </c>
    </row>
    <row r="1906" spans="1:17" x14ac:dyDescent="0.2">
      <c r="A1906" s="30" t="str">
        <f>IF(C1906&amp;G1906&amp;D1906&lt;&gt;'Funnel setup'!$K$3&amp;'Funnel setup'!$K$4&amp;'Funnel setup'!$K$5,".",IF(A1905=".",1,A1905+1))</f>
        <v>.</v>
      </c>
      <c r="B1906" s="431" t="str">
        <f t="shared" si="29"/>
        <v>Hip Replacement PrimaryProviderBARTS HEALTH NHS TRUST (R1H)EQ-5D Index</v>
      </c>
      <c r="C1906" t="s">
        <v>248</v>
      </c>
      <c r="D1906" t="s">
        <v>1</v>
      </c>
      <c r="E1906" t="s">
        <v>3552</v>
      </c>
      <c r="F1906" t="s">
        <v>3553</v>
      </c>
      <c r="G1906" t="s">
        <v>52</v>
      </c>
      <c r="H1906">
        <v>137</v>
      </c>
      <c r="I1906">
        <v>0.23499999999999999</v>
      </c>
      <c r="J1906">
        <v>0.70899999999999996</v>
      </c>
      <c r="K1906">
        <v>0.47299999999999998</v>
      </c>
      <c r="L1906">
        <v>118</v>
      </c>
      <c r="M1906">
        <v>7</v>
      </c>
      <c r="N1906">
        <v>12</v>
      </c>
      <c r="O1906">
        <v>0.78200000000000003</v>
      </c>
      <c r="P1906">
        <v>0.42023648899999999</v>
      </c>
      <c r="Q1906">
        <v>0.28399999999999997</v>
      </c>
    </row>
    <row r="1907" spans="1:17" x14ac:dyDescent="0.2">
      <c r="A1907" s="30" t="str">
        <f>IF(C1907&amp;G1907&amp;D1907&lt;&gt;'Funnel setup'!$K$3&amp;'Funnel setup'!$K$4&amp;'Funnel setup'!$K$5,".",IF(A1906=".",1,A1906+1))</f>
        <v>.</v>
      </c>
      <c r="B1907" s="431" t="str">
        <f t="shared" si="29"/>
        <v>Hip Replacement PrimaryProviderBASILDON AND THURROCK UNIVERSITY HOSPITALS NHS FOUNDATION TRUST (RDD)EQ-5D Index</v>
      </c>
      <c r="C1907" t="s">
        <v>248</v>
      </c>
      <c r="D1907" t="s">
        <v>1</v>
      </c>
      <c r="E1907" t="s">
        <v>3555</v>
      </c>
      <c r="F1907" t="s">
        <v>3556</v>
      </c>
      <c r="G1907" t="s">
        <v>52</v>
      </c>
      <c r="H1907">
        <v>112</v>
      </c>
      <c r="I1907">
        <v>0.251</v>
      </c>
      <c r="J1907">
        <v>0.76500000000000001</v>
      </c>
      <c r="K1907">
        <v>0.51500000000000001</v>
      </c>
      <c r="L1907">
        <v>103</v>
      </c>
      <c r="M1907">
        <v>5</v>
      </c>
      <c r="N1907">
        <v>4</v>
      </c>
      <c r="O1907">
        <v>0.79900000000000004</v>
      </c>
      <c r="P1907">
        <v>0.43735053699999998</v>
      </c>
      <c r="Q1907">
        <v>0.23200000000000001</v>
      </c>
    </row>
    <row r="1908" spans="1:17" x14ac:dyDescent="0.2">
      <c r="A1908" s="30" t="str">
        <f>IF(C1908&amp;G1908&amp;D1908&lt;&gt;'Funnel setup'!$K$3&amp;'Funnel setup'!$K$4&amp;'Funnel setup'!$K$5,".",IF(A1907=".",1,A1907+1))</f>
        <v>.</v>
      </c>
      <c r="B1908" s="431" t="str">
        <f t="shared" si="29"/>
        <v>Hip Replacement PrimaryProviderBEDFORD HOSPITAL NHS TRUST (RC1)EQ-5D Index</v>
      </c>
      <c r="C1908" t="s">
        <v>248</v>
      </c>
      <c r="D1908" t="s">
        <v>1</v>
      </c>
      <c r="E1908" t="s">
        <v>3558</v>
      </c>
      <c r="F1908" t="s">
        <v>3559</v>
      </c>
      <c r="G1908" t="s">
        <v>52</v>
      </c>
      <c r="H1908">
        <v>126</v>
      </c>
      <c r="I1908">
        <v>0.36499999999999999</v>
      </c>
      <c r="J1908">
        <v>0.77600000000000002</v>
      </c>
      <c r="K1908">
        <v>0.41099999999999998</v>
      </c>
      <c r="L1908">
        <v>111</v>
      </c>
      <c r="M1908">
        <v>10</v>
      </c>
      <c r="N1908">
        <v>5</v>
      </c>
      <c r="O1908">
        <v>0.76800000000000002</v>
      </c>
      <c r="P1908">
        <v>0.40634662799999999</v>
      </c>
      <c r="Q1908">
        <v>0.217</v>
      </c>
    </row>
    <row r="1909" spans="1:17" x14ac:dyDescent="0.2">
      <c r="A1909" s="30" t="str">
        <f>IF(C1909&amp;G1909&amp;D1909&lt;&gt;'Funnel setup'!$K$3&amp;'Funnel setup'!$K$4&amp;'Funnel setup'!$K$5,".",IF(A1908=".",1,A1908+1))</f>
        <v>.</v>
      </c>
      <c r="B1909" s="431" t="str">
        <f t="shared" si="29"/>
        <v>Hip Replacement PrimaryProviderBENENDEN HOSPITAL (NWF01)EQ-5D Index</v>
      </c>
      <c r="C1909" t="s">
        <v>248</v>
      </c>
      <c r="D1909" t="s">
        <v>1</v>
      </c>
      <c r="E1909" t="s">
        <v>4428</v>
      </c>
      <c r="F1909" t="s">
        <v>4429</v>
      </c>
      <c r="G1909" t="s">
        <v>52</v>
      </c>
      <c r="H1909">
        <v>28</v>
      </c>
      <c r="I1909">
        <v>0.42699999999999999</v>
      </c>
      <c r="J1909">
        <v>0.83199999999999996</v>
      </c>
      <c r="K1909">
        <v>0.40400000000000003</v>
      </c>
      <c r="L1909">
        <v>26</v>
      </c>
      <c r="M1909">
        <v>1</v>
      </c>
      <c r="N1909">
        <v>1</v>
      </c>
      <c r="O1909" t="s">
        <v>53</v>
      </c>
      <c r="P1909" t="s">
        <v>53</v>
      </c>
      <c r="Q1909" t="s">
        <v>53</v>
      </c>
    </row>
    <row r="1910" spans="1:17" x14ac:dyDescent="0.2">
      <c r="A1910" s="30" t="str">
        <f>IF(C1910&amp;G1910&amp;D1910&lt;&gt;'Funnel setup'!$K$3&amp;'Funnel setup'!$K$4&amp;'Funnel setup'!$K$5,".",IF(A1909=".",1,A1909+1))</f>
        <v>.</v>
      </c>
      <c r="B1910" s="431" t="str">
        <f t="shared" si="29"/>
        <v>Hip Replacement PrimaryProviderBLACKPOOL TEACHING HOSPITALS NHS FOUNDATION TRUST (RXL)EQ-5D Index</v>
      </c>
      <c r="C1910" t="s">
        <v>248</v>
      </c>
      <c r="D1910" t="s">
        <v>1</v>
      </c>
      <c r="E1910" t="s">
        <v>3561</v>
      </c>
      <c r="F1910" t="s">
        <v>3562</v>
      </c>
      <c r="G1910" t="s">
        <v>52</v>
      </c>
      <c r="H1910">
        <v>11</v>
      </c>
      <c r="I1910">
        <v>0.36399999999999999</v>
      </c>
      <c r="J1910">
        <v>0.80400000000000005</v>
      </c>
      <c r="K1910">
        <v>0.44</v>
      </c>
      <c r="L1910">
        <v>11</v>
      </c>
      <c r="M1910">
        <v>0</v>
      </c>
      <c r="N1910">
        <v>0</v>
      </c>
      <c r="O1910" t="s">
        <v>53</v>
      </c>
      <c r="P1910" t="s">
        <v>53</v>
      </c>
      <c r="Q1910" t="s">
        <v>53</v>
      </c>
    </row>
    <row r="1911" spans="1:17" x14ac:dyDescent="0.2">
      <c r="A1911" s="30" t="str">
        <f>IF(C1911&amp;G1911&amp;D1911&lt;&gt;'Funnel setup'!$K$3&amp;'Funnel setup'!$K$4&amp;'Funnel setup'!$K$5,".",IF(A1910=".",1,A1910+1))</f>
        <v>.</v>
      </c>
      <c r="B1911" s="431" t="str">
        <f t="shared" si="29"/>
        <v>Hip Replacement PrimaryProviderBMI - BATH CLINIC (NT402)EQ-5D Index</v>
      </c>
      <c r="C1911" t="s">
        <v>248</v>
      </c>
      <c r="D1911" t="s">
        <v>1</v>
      </c>
      <c r="E1911" t="s">
        <v>3488</v>
      </c>
      <c r="F1911" t="s">
        <v>3489</v>
      </c>
      <c r="G1911" t="s">
        <v>52</v>
      </c>
      <c r="H1911">
        <v>56</v>
      </c>
      <c r="I1911">
        <v>0.47499999999999998</v>
      </c>
      <c r="J1911">
        <v>0.875</v>
      </c>
      <c r="K1911">
        <v>0.4</v>
      </c>
      <c r="L1911">
        <v>53</v>
      </c>
      <c r="M1911">
        <v>3</v>
      </c>
      <c r="N1911">
        <v>0</v>
      </c>
      <c r="O1911">
        <v>0.81699999999999995</v>
      </c>
      <c r="P1911">
        <v>0.45583562900000002</v>
      </c>
      <c r="Q1911">
        <v>0.154</v>
      </c>
    </row>
    <row r="1912" spans="1:17" x14ac:dyDescent="0.2">
      <c r="A1912" s="30" t="str">
        <f>IF(C1912&amp;G1912&amp;D1912&lt;&gt;'Funnel setup'!$K$3&amp;'Funnel setup'!$K$4&amp;'Funnel setup'!$K$5,".",IF(A1911=".",1,A1911+1))</f>
        <v>.</v>
      </c>
      <c r="B1912" s="431" t="str">
        <f t="shared" si="29"/>
        <v>Hip Replacement PrimaryProviderBMI - BISHOPS WOOD (NT405)EQ-5D Index</v>
      </c>
      <c r="C1912" t="s">
        <v>248</v>
      </c>
      <c r="D1912" t="s">
        <v>1</v>
      </c>
      <c r="E1912" t="s">
        <v>3491</v>
      </c>
      <c r="F1912" t="s">
        <v>3492</v>
      </c>
      <c r="G1912" t="s">
        <v>52</v>
      </c>
      <c r="H1912">
        <v>14</v>
      </c>
      <c r="I1912">
        <v>0.51600000000000001</v>
      </c>
      <c r="J1912">
        <v>0.84699999999999998</v>
      </c>
      <c r="K1912">
        <v>0.33200000000000002</v>
      </c>
      <c r="L1912">
        <v>13</v>
      </c>
      <c r="M1912">
        <v>0</v>
      </c>
      <c r="N1912">
        <v>1</v>
      </c>
      <c r="O1912" t="s">
        <v>53</v>
      </c>
      <c r="P1912" t="s">
        <v>53</v>
      </c>
      <c r="Q1912" t="s">
        <v>53</v>
      </c>
    </row>
    <row r="1913" spans="1:17" x14ac:dyDescent="0.2">
      <c r="A1913" s="30" t="str">
        <f>IF(C1913&amp;G1913&amp;D1913&lt;&gt;'Funnel setup'!$K$3&amp;'Funnel setup'!$K$4&amp;'Funnel setup'!$K$5,".",IF(A1912=".",1,A1912+1))</f>
        <v>.</v>
      </c>
      <c r="B1913" s="431" t="str">
        <f t="shared" si="29"/>
        <v>Hip Replacement PrimaryProviderBMI - CHELSFIELD PARK HOSPITAL (NT409)EQ-5D Index</v>
      </c>
      <c r="C1913" t="s">
        <v>248</v>
      </c>
      <c r="D1913" t="s">
        <v>1</v>
      </c>
      <c r="E1913" t="s">
        <v>3494</v>
      </c>
      <c r="F1913" t="s">
        <v>3495</v>
      </c>
      <c r="G1913" t="s">
        <v>52</v>
      </c>
      <c r="H1913">
        <v>12</v>
      </c>
      <c r="I1913">
        <v>0.50800000000000001</v>
      </c>
      <c r="J1913">
        <v>0.97799999999999998</v>
      </c>
      <c r="K1913">
        <v>0.46899999999999997</v>
      </c>
      <c r="L1913">
        <v>12</v>
      </c>
      <c r="M1913">
        <v>0</v>
      </c>
      <c r="N1913">
        <v>0</v>
      </c>
      <c r="O1913" t="s">
        <v>53</v>
      </c>
      <c r="P1913" t="s">
        <v>53</v>
      </c>
      <c r="Q1913" t="s">
        <v>53</v>
      </c>
    </row>
    <row r="1914" spans="1:17" x14ac:dyDescent="0.2">
      <c r="A1914" s="30" t="str">
        <f>IF(C1914&amp;G1914&amp;D1914&lt;&gt;'Funnel setup'!$K$3&amp;'Funnel setup'!$K$4&amp;'Funnel setup'!$K$5,".",IF(A1913=".",1,A1913+1))</f>
        <v>.</v>
      </c>
      <c r="B1914" s="431" t="str">
        <f t="shared" si="29"/>
        <v>Hip Replacement PrimaryProviderBMI - FAWKHAM MANOR HOSPITAL (NT414)EQ-5D Index</v>
      </c>
      <c r="C1914" t="s">
        <v>248</v>
      </c>
      <c r="D1914" t="s">
        <v>1</v>
      </c>
      <c r="E1914" t="s">
        <v>3497</v>
      </c>
      <c r="F1914" t="s">
        <v>3498</v>
      </c>
      <c r="G1914" t="s">
        <v>52</v>
      </c>
      <c r="H1914">
        <v>6</v>
      </c>
      <c r="I1914">
        <v>0.46700000000000003</v>
      </c>
      <c r="J1914">
        <v>0.83799999999999997</v>
      </c>
      <c r="K1914">
        <v>0.371</v>
      </c>
      <c r="L1914">
        <v>5</v>
      </c>
      <c r="M1914">
        <v>0</v>
      </c>
      <c r="N1914">
        <v>1</v>
      </c>
      <c r="O1914" t="s">
        <v>53</v>
      </c>
      <c r="P1914" t="s">
        <v>53</v>
      </c>
      <c r="Q1914" t="s">
        <v>53</v>
      </c>
    </row>
    <row r="1915" spans="1:17" x14ac:dyDescent="0.2">
      <c r="A1915" s="30" t="str">
        <f>IF(C1915&amp;G1915&amp;D1915&lt;&gt;'Funnel setup'!$K$3&amp;'Funnel setup'!$K$4&amp;'Funnel setup'!$K$5,".",IF(A1914=".",1,A1914+1))</f>
        <v>.</v>
      </c>
      <c r="B1915" s="431" t="str">
        <f t="shared" si="29"/>
        <v>Hip Replacement PrimaryProviderBMI - GORING HALL HOSPITAL (NT417)EQ-5D Index</v>
      </c>
      <c r="C1915" t="s">
        <v>248</v>
      </c>
      <c r="D1915" t="s">
        <v>1</v>
      </c>
      <c r="E1915" t="s">
        <v>3403</v>
      </c>
      <c r="F1915" t="s">
        <v>3404</v>
      </c>
      <c r="G1915" t="s">
        <v>52</v>
      </c>
      <c r="H1915">
        <v>149</v>
      </c>
      <c r="I1915">
        <v>0.42299999999999999</v>
      </c>
      <c r="J1915">
        <v>0.83699999999999997</v>
      </c>
      <c r="K1915">
        <v>0.41299999999999998</v>
      </c>
      <c r="L1915">
        <v>136</v>
      </c>
      <c r="M1915">
        <v>8</v>
      </c>
      <c r="N1915">
        <v>5</v>
      </c>
      <c r="O1915">
        <v>0.80300000000000005</v>
      </c>
      <c r="P1915">
        <v>0.44110919599999998</v>
      </c>
      <c r="Q1915">
        <v>0.191</v>
      </c>
    </row>
    <row r="1916" spans="1:17" x14ac:dyDescent="0.2">
      <c r="A1916" s="30" t="str">
        <f>IF(C1916&amp;G1916&amp;D1916&lt;&gt;'Funnel setup'!$K$3&amp;'Funnel setup'!$K$4&amp;'Funnel setup'!$K$5,".",IF(A1915=".",1,A1915+1))</f>
        <v>.</v>
      </c>
      <c r="B1916" s="431" t="str">
        <f t="shared" si="29"/>
        <v>Hip Replacement PrimaryProviderBMI - HENDON HOSPITAL (NT416)EQ-5D Index</v>
      </c>
      <c r="C1916" t="s">
        <v>248</v>
      </c>
      <c r="D1916" t="s">
        <v>1</v>
      </c>
      <c r="E1916" t="s">
        <v>3570</v>
      </c>
      <c r="F1916" t="s">
        <v>3571</v>
      </c>
      <c r="G1916" t="s">
        <v>52</v>
      </c>
      <c r="H1916" t="s">
        <v>53</v>
      </c>
      <c r="I1916" t="s">
        <v>53</v>
      </c>
      <c r="J1916" t="s">
        <v>53</v>
      </c>
      <c r="K1916" t="s">
        <v>53</v>
      </c>
      <c r="L1916" t="s">
        <v>53</v>
      </c>
      <c r="M1916" t="s">
        <v>53</v>
      </c>
      <c r="N1916" t="s">
        <v>53</v>
      </c>
      <c r="O1916" t="s">
        <v>53</v>
      </c>
      <c r="P1916" t="s">
        <v>53</v>
      </c>
      <c r="Q1916" t="s">
        <v>53</v>
      </c>
    </row>
    <row r="1917" spans="1:17" x14ac:dyDescent="0.2">
      <c r="A1917" s="30" t="str">
        <f>IF(C1917&amp;G1917&amp;D1917&lt;&gt;'Funnel setup'!$K$3&amp;'Funnel setup'!$K$4&amp;'Funnel setup'!$K$5,".",IF(A1916=".",1,A1916+1))</f>
        <v>.</v>
      </c>
      <c r="B1917" s="431" t="str">
        <f t="shared" si="29"/>
        <v>Hip Replacement PrimaryProviderBMI - SARUM ROAD HOSPITAL (NT433)EQ-5D Index</v>
      </c>
      <c r="C1917" t="s">
        <v>248</v>
      </c>
      <c r="D1917" t="s">
        <v>1</v>
      </c>
      <c r="E1917" t="s">
        <v>3573</v>
      </c>
      <c r="F1917" t="s">
        <v>3574</v>
      </c>
      <c r="G1917" t="s">
        <v>52</v>
      </c>
      <c r="H1917">
        <v>46</v>
      </c>
      <c r="I1917">
        <v>0.39300000000000002</v>
      </c>
      <c r="J1917">
        <v>0.75</v>
      </c>
      <c r="K1917">
        <v>0.35799999999999998</v>
      </c>
      <c r="L1917">
        <v>34</v>
      </c>
      <c r="M1917">
        <v>4</v>
      </c>
      <c r="N1917">
        <v>8</v>
      </c>
      <c r="O1917">
        <v>0.75</v>
      </c>
      <c r="P1917">
        <v>0.38843400700000003</v>
      </c>
      <c r="Q1917">
        <v>0.26</v>
      </c>
    </row>
    <row r="1918" spans="1:17" x14ac:dyDescent="0.2">
      <c r="A1918" s="30" t="str">
        <f>IF(C1918&amp;G1918&amp;D1918&lt;&gt;'Funnel setup'!$K$3&amp;'Funnel setup'!$K$4&amp;'Funnel setup'!$K$5,".",IF(A1917=".",1,A1917+1))</f>
        <v>.</v>
      </c>
      <c r="B1918" s="431" t="str">
        <f t="shared" si="29"/>
        <v>Hip Replacement PrimaryProviderBMI - SHIRLEY OAKS HOSPITAL (NT436)EQ-5D Index</v>
      </c>
      <c r="C1918" t="s">
        <v>248</v>
      </c>
      <c r="D1918" t="s">
        <v>1</v>
      </c>
      <c r="E1918" t="s">
        <v>3576</v>
      </c>
      <c r="F1918" t="s">
        <v>3577</v>
      </c>
      <c r="G1918" t="s">
        <v>52</v>
      </c>
      <c r="H1918">
        <v>7</v>
      </c>
      <c r="I1918">
        <v>0.25</v>
      </c>
      <c r="J1918">
        <v>0.82099999999999995</v>
      </c>
      <c r="K1918">
        <v>0.57099999999999995</v>
      </c>
      <c r="L1918">
        <v>7</v>
      </c>
      <c r="M1918">
        <v>0</v>
      </c>
      <c r="N1918">
        <v>0</v>
      </c>
      <c r="O1918" t="s">
        <v>53</v>
      </c>
      <c r="P1918" t="s">
        <v>53</v>
      </c>
      <c r="Q1918" t="s">
        <v>53</v>
      </c>
    </row>
    <row r="1919" spans="1:17" x14ac:dyDescent="0.2">
      <c r="A1919" s="30" t="str">
        <f>IF(C1919&amp;G1919&amp;D1919&lt;&gt;'Funnel setup'!$K$3&amp;'Funnel setup'!$K$4&amp;'Funnel setup'!$K$5,".",IF(A1918=".",1,A1918+1))</f>
        <v>.</v>
      </c>
      <c r="B1919" s="431" t="str">
        <f t="shared" si="29"/>
        <v>Hip Replacement PrimaryProviderBMI - THE ALEXANDRA HOSPITAL (NT401)EQ-5D Index</v>
      </c>
      <c r="C1919" t="s">
        <v>248</v>
      </c>
      <c r="D1919" t="s">
        <v>1</v>
      </c>
      <c r="E1919" t="s">
        <v>3579</v>
      </c>
      <c r="F1919" t="s">
        <v>3580</v>
      </c>
      <c r="G1919" t="s">
        <v>52</v>
      </c>
      <c r="H1919">
        <v>65</v>
      </c>
      <c r="I1919">
        <v>0.47799999999999998</v>
      </c>
      <c r="J1919">
        <v>0.85399999999999998</v>
      </c>
      <c r="K1919">
        <v>0.375</v>
      </c>
      <c r="L1919">
        <v>58</v>
      </c>
      <c r="M1919">
        <v>6</v>
      </c>
      <c r="N1919">
        <v>1</v>
      </c>
      <c r="O1919">
        <v>0.81299999999999994</v>
      </c>
      <c r="P1919">
        <v>0.45098700800000002</v>
      </c>
      <c r="Q1919">
        <v>0.20699999999999999</v>
      </c>
    </row>
    <row r="1920" spans="1:17" x14ac:dyDescent="0.2">
      <c r="A1920" s="30" t="str">
        <f>IF(C1920&amp;G1920&amp;D1920&lt;&gt;'Funnel setup'!$K$3&amp;'Funnel setup'!$K$4&amp;'Funnel setup'!$K$5,".",IF(A1919=".",1,A1919+1))</f>
        <v>.</v>
      </c>
      <c r="B1920" s="431" t="str">
        <f t="shared" si="29"/>
        <v>Hip Replacement PrimaryProviderBMI - THE BEARDWOOD HOSPITAL (NT403)EQ-5D Index</v>
      </c>
      <c r="C1920" t="s">
        <v>248</v>
      </c>
      <c r="D1920" t="s">
        <v>1</v>
      </c>
      <c r="E1920" t="s">
        <v>3582</v>
      </c>
      <c r="F1920" t="s">
        <v>3583</v>
      </c>
      <c r="G1920" t="s">
        <v>52</v>
      </c>
      <c r="H1920">
        <v>39</v>
      </c>
      <c r="I1920">
        <v>0.33800000000000002</v>
      </c>
      <c r="J1920">
        <v>0.751</v>
      </c>
      <c r="K1920">
        <v>0.41299999999999998</v>
      </c>
      <c r="L1920">
        <v>31</v>
      </c>
      <c r="M1920">
        <v>3</v>
      </c>
      <c r="N1920">
        <v>5</v>
      </c>
      <c r="O1920">
        <v>0.76400000000000001</v>
      </c>
      <c r="P1920">
        <v>0.40252553899999999</v>
      </c>
      <c r="Q1920">
        <v>0.223</v>
      </c>
    </row>
    <row r="1921" spans="1:17" x14ac:dyDescent="0.2">
      <c r="A1921" s="30" t="str">
        <f>IF(C1921&amp;G1921&amp;D1921&lt;&gt;'Funnel setup'!$K$3&amp;'Funnel setup'!$K$4&amp;'Funnel setup'!$K$5,".",IF(A1920=".",1,A1920+1))</f>
        <v>.</v>
      </c>
      <c r="B1921" s="431" t="str">
        <f t="shared" si="29"/>
        <v>Hip Replacement PrimaryProviderBMI - THE BEAUMONT HOSPITAL (NT404)EQ-5D Index</v>
      </c>
      <c r="C1921" t="s">
        <v>248</v>
      </c>
      <c r="D1921" t="s">
        <v>1</v>
      </c>
      <c r="E1921" t="s">
        <v>3585</v>
      </c>
      <c r="F1921" t="s">
        <v>3586</v>
      </c>
      <c r="G1921" t="s">
        <v>52</v>
      </c>
      <c r="H1921">
        <v>28</v>
      </c>
      <c r="I1921">
        <v>0.39400000000000002</v>
      </c>
      <c r="J1921">
        <v>0.77400000000000002</v>
      </c>
      <c r="K1921">
        <v>0.38</v>
      </c>
      <c r="L1921">
        <v>25</v>
      </c>
      <c r="M1921">
        <v>1</v>
      </c>
      <c r="N1921">
        <v>2</v>
      </c>
      <c r="O1921" t="s">
        <v>53</v>
      </c>
      <c r="P1921" t="s">
        <v>53</v>
      </c>
      <c r="Q1921" t="s">
        <v>53</v>
      </c>
    </row>
    <row r="1922" spans="1:17" x14ac:dyDescent="0.2">
      <c r="A1922" s="30" t="str">
        <f>IF(C1922&amp;G1922&amp;D1922&lt;&gt;'Funnel setup'!$K$3&amp;'Funnel setup'!$K$4&amp;'Funnel setup'!$K$5,".",IF(A1921=".",1,A1921+1))</f>
        <v>.</v>
      </c>
      <c r="B1922" s="431" t="str">
        <f t="shared" si="29"/>
        <v>Hip Replacement PrimaryProviderBMI - THE BLACKHEATH HOSPITAL (NT406)EQ-5D Index</v>
      </c>
      <c r="C1922" t="s">
        <v>248</v>
      </c>
      <c r="D1922" t="s">
        <v>1</v>
      </c>
      <c r="E1922" t="s">
        <v>3588</v>
      </c>
      <c r="F1922" t="s">
        <v>3589</v>
      </c>
      <c r="G1922" t="s">
        <v>52</v>
      </c>
      <c r="H1922">
        <v>9</v>
      </c>
      <c r="I1922">
        <v>0.24299999999999999</v>
      </c>
      <c r="J1922">
        <v>0.80600000000000005</v>
      </c>
      <c r="K1922">
        <v>0.56200000000000006</v>
      </c>
      <c r="L1922">
        <v>9</v>
      </c>
      <c r="M1922">
        <v>0</v>
      </c>
      <c r="N1922">
        <v>0</v>
      </c>
      <c r="O1922" t="s">
        <v>53</v>
      </c>
      <c r="P1922" t="s">
        <v>53</v>
      </c>
      <c r="Q1922" t="s">
        <v>53</v>
      </c>
    </row>
    <row r="1923" spans="1:17" x14ac:dyDescent="0.2">
      <c r="A1923" s="30" t="str">
        <f>IF(C1923&amp;G1923&amp;D1923&lt;&gt;'Funnel setup'!$K$3&amp;'Funnel setup'!$K$4&amp;'Funnel setup'!$K$5,".",IF(A1922=".",1,A1922+1))</f>
        <v>.</v>
      </c>
      <c r="B1923" s="431" t="str">
        <f t="shared" ref="B1923:B1986" si="30">C1923&amp;D1923&amp;F1923&amp;G1923</f>
        <v>Hip Replacement PrimaryProviderBMI - THE CHAUCER HOSPITAL (NT408)EQ-5D Index</v>
      </c>
      <c r="C1923" t="s">
        <v>248</v>
      </c>
      <c r="D1923" t="s">
        <v>1</v>
      </c>
      <c r="E1923" t="s">
        <v>3591</v>
      </c>
      <c r="F1923" t="s">
        <v>3592</v>
      </c>
      <c r="G1923" t="s">
        <v>52</v>
      </c>
      <c r="H1923">
        <v>13</v>
      </c>
      <c r="I1923">
        <v>0.377</v>
      </c>
      <c r="J1923">
        <v>0.8</v>
      </c>
      <c r="K1923">
        <v>0.42299999999999999</v>
      </c>
      <c r="L1923">
        <v>11</v>
      </c>
      <c r="M1923">
        <v>1</v>
      </c>
      <c r="N1923">
        <v>1</v>
      </c>
      <c r="O1923" t="s">
        <v>53</v>
      </c>
      <c r="P1923" t="s">
        <v>53</v>
      </c>
      <c r="Q1923" t="s">
        <v>53</v>
      </c>
    </row>
    <row r="1924" spans="1:17" x14ac:dyDescent="0.2">
      <c r="A1924" s="30" t="str">
        <f>IF(C1924&amp;G1924&amp;D1924&lt;&gt;'Funnel setup'!$K$3&amp;'Funnel setup'!$K$4&amp;'Funnel setup'!$K$5,".",IF(A1923=".",1,A1923+1))</f>
        <v>.</v>
      </c>
      <c r="B1924" s="431" t="str">
        <f t="shared" si="30"/>
        <v>Hip Replacement PrimaryProviderBMI - THE CHILTERN HOSPITAL (NT410)EQ-5D Index</v>
      </c>
      <c r="C1924" t="s">
        <v>248</v>
      </c>
      <c r="D1924" t="s">
        <v>1</v>
      </c>
      <c r="E1924" t="s">
        <v>3594</v>
      </c>
      <c r="F1924" t="s">
        <v>3595</v>
      </c>
      <c r="G1924" t="s">
        <v>52</v>
      </c>
      <c r="H1924">
        <v>42</v>
      </c>
      <c r="I1924">
        <v>0.442</v>
      </c>
      <c r="J1924">
        <v>0.86199999999999999</v>
      </c>
      <c r="K1924">
        <v>0.42</v>
      </c>
      <c r="L1924">
        <v>41</v>
      </c>
      <c r="M1924">
        <v>0</v>
      </c>
      <c r="N1924">
        <v>1</v>
      </c>
      <c r="O1924">
        <v>0.83399999999999996</v>
      </c>
      <c r="P1924">
        <v>0.47231497300000003</v>
      </c>
      <c r="Q1924">
        <v>0.216</v>
      </c>
    </row>
    <row r="1925" spans="1:17" x14ac:dyDescent="0.2">
      <c r="A1925" s="30" t="str">
        <f>IF(C1925&amp;G1925&amp;D1925&lt;&gt;'Funnel setup'!$K$3&amp;'Funnel setup'!$K$4&amp;'Funnel setup'!$K$5,".",IF(A1924=".",1,A1924+1))</f>
        <v>.</v>
      </c>
      <c r="B1925" s="431" t="str">
        <f t="shared" si="30"/>
        <v>Hip Replacement PrimaryProviderBMI - THE CLEMENTINE CHURCHILL HOSPITAL (NT411)EQ-5D Index</v>
      </c>
      <c r="C1925" t="s">
        <v>248</v>
      </c>
      <c r="D1925" t="s">
        <v>1</v>
      </c>
      <c r="E1925" t="s">
        <v>3597</v>
      </c>
      <c r="F1925" t="s">
        <v>3598</v>
      </c>
      <c r="G1925" t="s">
        <v>52</v>
      </c>
      <c r="H1925">
        <v>16</v>
      </c>
      <c r="I1925">
        <v>0.23</v>
      </c>
      <c r="J1925">
        <v>0.67600000000000005</v>
      </c>
      <c r="K1925">
        <v>0.44600000000000001</v>
      </c>
      <c r="L1925">
        <v>14</v>
      </c>
      <c r="M1925">
        <v>1</v>
      </c>
      <c r="N1925">
        <v>1</v>
      </c>
      <c r="O1925" t="s">
        <v>53</v>
      </c>
      <c r="P1925" t="s">
        <v>53</v>
      </c>
      <c r="Q1925" t="s">
        <v>53</v>
      </c>
    </row>
    <row r="1926" spans="1:17" x14ac:dyDescent="0.2">
      <c r="A1926" s="30" t="str">
        <f>IF(C1926&amp;G1926&amp;D1926&lt;&gt;'Funnel setup'!$K$3&amp;'Funnel setup'!$K$4&amp;'Funnel setup'!$K$5,".",IF(A1925=".",1,A1925+1))</f>
        <v>.</v>
      </c>
      <c r="B1926" s="431" t="str">
        <f t="shared" si="30"/>
        <v>Hip Replacement PrimaryProviderBMI - THE DROITWICH SPA HOSPITAL (NT412)EQ-5D Index</v>
      </c>
      <c r="C1926" t="s">
        <v>248</v>
      </c>
      <c r="D1926" t="s">
        <v>1</v>
      </c>
      <c r="E1926" t="s">
        <v>3600</v>
      </c>
      <c r="F1926" t="s">
        <v>3601</v>
      </c>
      <c r="G1926" t="s">
        <v>52</v>
      </c>
      <c r="H1926">
        <v>56</v>
      </c>
      <c r="I1926">
        <v>0.44500000000000001</v>
      </c>
      <c r="J1926">
        <v>0.83899999999999997</v>
      </c>
      <c r="K1926">
        <v>0.39500000000000002</v>
      </c>
      <c r="L1926">
        <v>52</v>
      </c>
      <c r="M1926">
        <v>1</v>
      </c>
      <c r="N1926">
        <v>3</v>
      </c>
      <c r="O1926">
        <v>0.80700000000000005</v>
      </c>
      <c r="P1926">
        <v>0.44559707999999998</v>
      </c>
      <c r="Q1926">
        <v>0.19500000000000001</v>
      </c>
    </row>
    <row r="1927" spans="1:17" x14ac:dyDescent="0.2">
      <c r="A1927" s="30" t="str">
        <f>IF(C1927&amp;G1927&amp;D1927&lt;&gt;'Funnel setup'!$K$3&amp;'Funnel setup'!$K$4&amp;'Funnel setup'!$K$5,".",IF(A1926=".",1,A1926+1))</f>
        <v>.</v>
      </c>
      <c r="B1927" s="431" t="str">
        <f t="shared" si="30"/>
        <v>Hip Replacement PrimaryProviderBMI - THE ESPERANCE HOSPITAL (NT413)EQ-5D Index</v>
      </c>
      <c r="C1927" t="s">
        <v>248</v>
      </c>
      <c r="D1927" t="s">
        <v>1</v>
      </c>
      <c r="E1927" t="s">
        <v>3603</v>
      </c>
      <c r="F1927" t="s">
        <v>3604</v>
      </c>
      <c r="G1927" t="s">
        <v>52</v>
      </c>
      <c r="H1927" t="s">
        <v>53</v>
      </c>
      <c r="I1927" t="s">
        <v>53</v>
      </c>
      <c r="J1927" t="s">
        <v>53</v>
      </c>
      <c r="K1927" t="s">
        <v>53</v>
      </c>
      <c r="L1927" t="s">
        <v>53</v>
      </c>
      <c r="M1927" t="s">
        <v>53</v>
      </c>
      <c r="N1927" t="s">
        <v>53</v>
      </c>
      <c r="O1927" t="s">
        <v>53</v>
      </c>
      <c r="P1927" t="s">
        <v>53</v>
      </c>
      <c r="Q1927" t="s">
        <v>53</v>
      </c>
    </row>
    <row r="1928" spans="1:17" x14ac:dyDescent="0.2">
      <c r="A1928" s="30" t="str">
        <f>IF(C1928&amp;G1928&amp;D1928&lt;&gt;'Funnel setup'!$K$3&amp;'Funnel setup'!$K$4&amp;'Funnel setup'!$K$5,".",IF(A1927=".",1,A1927+1))</f>
        <v>.</v>
      </c>
      <c r="B1928" s="431" t="str">
        <f t="shared" si="30"/>
        <v>Hip Replacement PrimaryProviderBMI - THE HAMPSHIRE CLINIC (NT418)EQ-5D Index</v>
      </c>
      <c r="C1928" t="s">
        <v>248</v>
      </c>
      <c r="D1928" t="s">
        <v>1</v>
      </c>
      <c r="E1928" t="s">
        <v>3609</v>
      </c>
      <c r="F1928" t="s">
        <v>3610</v>
      </c>
      <c r="G1928" t="s">
        <v>52</v>
      </c>
      <c r="H1928">
        <v>22</v>
      </c>
      <c r="I1928">
        <v>0.35099999999999998</v>
      </c>
      <c r="J1928">
        <v>0.83899999999999997</v>
      </c>
      <c r="K1928">
        <v>0.48799999999999999</v>
      </c>
      <c r="L1928">
        <v>22</v>
      </c>
      <c r="M1928">
        <v>0</v>
      </c>
      <c r="N1928">
        <v>0</v>
      </c>
      <c r="O1928" t="s">
        <v>53</v>
      </c>
      <c r="P1928" t="s">
        <v>53</v>
      </c>
      <c r="Q1928" t="s">
        <v>53</v>
      </c>
    </row>
    <row r="1929" spans="1:17" x14ac:dyDescent="0.2">
      <c r="A1929" s="30" t="str">
        <f>IF(C1929&amp;G1929&amp;D1929&lt;&gt;'Funnel setup'!$K$3&amp;'Funnel setup'!$K$4&amp;'Funnel setup'!$K$5,".",IF(A1928=".",1,A1928+1))</f>
        <v>.</v>
      </c>
      <c r="B1929" s="431" t="str">
        <f t="shared" si="30"/>
        <v>Hip Replacement PrimaryProviderBMI - THE HARBOUR HOSPITAL (NT419)EQ-5D Index</v>
      </c>
      <c r="C1929" t="s">
        <v>248</v>
      </c>
      <c r="D1929" t="s">
        <v>1</v>
      </c>
      <c r="E1929" t="s">
        <v>3612</v>
      </c>
      <c r="F1929" t="s">
        <v>3613</v>
      </c>
      <c r="G1929" t="s">
        <v>52</v>
      </c>
      <c r="H1929" t="s">
        <v>53</v>
      </c>
      <c r="I1929" t="s">
        <v>53</v>
      </c>
      <c r="J1929" t="s">
        <v>53</v>
      </c>
      <c r="K1929" t="s">
        <v>53</v>
      </c>
      <c r="L1929" t="s">
        <v>53</v>
      </c>
      <c r="M1929" t="s">
        <v>53</v>
      </c>
      <c r="N1929" t="s">
        <v>53</v>
      </c>
      <c r="O1929" t="s">
        <v>53</v>
      </c>
      <c r="P1929" t="s">
        <v>53</v>
      </c>
      <c r="Q1929" t="s">
        <v>53</v>
      </c>
    </row>
    <row r="1930" spans="1:17" x14ac:dyDescent="0.2">
      <c r="A1930" s="30" t="str">
        <f>IF(C1930&amp;G1930&amp;D1930&lt;&gt;'Funnel setup'!$K$3&amp;'Funnel setup'!$K$4&amp;'Funnel setup'!$K$5,".",IF(A1929=".",1,A1929+1))</f>
        <v>.</v>
      </c>
      <c r="B1930" s="431" t="str">
        <f t="shared" si="30"/>
        <v>Hip Replacement PrimaryProviderBMI - THE HIGHFIELD HOSPITAL (NT420)EQ-5D Index</v>
      </c>
      <c r="C1930" t="s">
        <v>248</v>
      </c>
      <c r="D1930" t="s">
        <v>1</v>
      </c>
      <c r="E1930" t="s">
        <v>3615</v>
      </c>
      <c r="F1930" t="s">
        <v>3616</v>
      </c>
      <c r="G1930" t="s">
        <v>52</v>
      </c>
      <c r="H1930">
        <v>94</v>
      </c>
      <c r="I1930">
        <v>0.36599999999999999</v>
      </c>
      <c r="J1930">
        <v>0.79</v>
      </c>
      <c r="K1930">
        <v>0.42399999999999999</v>
      </c>
      <c r="L1930">
        <v>79</v>
      </c>
      <c r="M1930">
        <v>7</v>
      </c>
      <c r="N1930">
        <v>8</v>
      </c>
      <c r="O1930">
        <v>0.78300000000000003</v>
      </c>
      <c r="P1930">
        <v>0.42175309100000002</v>
      </c>
      <c r="Q1930">
        <v>0.23899999999999999</v>
      </c>
    </row>
    <row r="1931" spans="1:17" x14ac:dyDescent="0.2">
      <c r="A1931" s="30" t="str">
        <f>IF(C1931&amp;G1931&amp;D1931&lt;&gt;'Funnel setup'!$K$3&amp;'Funnel setup'!$K$4&amp;'Funnel setup'!$K$5,".",IF(A1930=".",1,A1930+1))</f>
        <v>.</v>
      </c>
      <c r="B1931" s="431" t="str">
        <f t="shared" si="30"/>
        <v>Hip Replacement PrimaryProviderBMI - THE KINGS OAK HOSPITAL (NT421)EQ-5D Index</v>
      </c>
      <c r="C1931" t="s">
        <v>248</v>
      </c>
      <c r="D1931" t="s">
        <v>1</v>
      </c>
      <c r="E1931" t="s">
        <v>3618</v>
      </c>
      <c r="F1931" t="s">
        <v>3619</v>
      </c>
      <c r="G1931" t="s">
        <v>52</v>
      </c>
      <c r="H1931">
        <v>12</v>
      </c>
      <c r="I1931">
        <v>0.39600000000000002</v>
      </c>
      <c r="J1931">
        <v>0.82</v>
      </c>
      <c r="K1931">
        <v>0.42499999999999999</v>
      </c>
      <c r="L1931">
        <v>11</v>
      </c>
      <c r="M1931">
        <v>0</v>
      </c>
      <c r="N1931">
        <v>1</v>
      </c>
      <c r="O1931" t="s">
        <v>53</v>
      </c>
      <c r="P1931" t="s">
        <v>53</v>
      </c>
      <c r="Q1931" t="s">
        <v>53</v>
      </c>
    </row>
    <row r="1932" spans="1:17" x14ac:dyDescent="0.2">
      <c r="A1932" s="30" t="str">
        <f>IF(C1932&amp;G1932&amp;D1932&lt;&gt;'Funnel setup'!$K$3&amp;'Funnel setup'!$K$4&amp;'Funnel setup'!$K$5,".",IF(A1931=".",1,A1931+1))</f>
        <v>.</v>
      </c>
      <c r="B1932" s="431" t="str">
        <f t="shared" si="30"/>
        <v>Hip Replacement PrimaryProviderBMI - THE LONDON INDEPENDENT HOSPITAL (NT422)EQ-5D Index</v>
      </c>
      <c r="C1932" t="s">
        <v>248</v>
      </c>
      <c r="D1932" t="s">
        <v>1</v>
      </c>
      <c r="E1932" t="s">
        <v>3621</v>
      </c>
      <c r="F1932" t="s">
        <v>3622</v>
      </c>
      <c r="G1932" t="s">
        <v>52</v>
      </c>
      <c r="H1932">
        <v>7</v>
      </c>
      <c r="I1932">
        <v>0.38300000000000001</v>
      </c>
      <c r="J1932">
        <v>0.68500000000000005</v>
      </c>
      <c r="K1932">
        <v>0.30199999999999999</v>
      </c>
      <c r="L1932">
        <v>6</v>
      </c>
      <c r="M1932">
        <v>0</v>
      </c>
      <c r="N1932">
        <v>1</v>
      </c>
      <c r="O1932" t="s">
        <v>53</v>
      </c>
      <c r="P1932" t="s">
        <v>53</v>
      </c>
      <c r="Q1932" t="s">
        <v>53</v>
      </c>
    </row>
    <row r="1933" spans="1:17" x14ac:dyDescent="0.2">
      <c r="A1933" s="30" t="str">
        <f>IF(C1933&amp;G1933&amp;D1933&lt;&gt;'Funnel setup'!$K$3&amp;'Funnel setup'!$K$4&amp;'Funnel setup'!$K$5,".",IF(A1932=".",1,A1932+1))</f>
        <v>.</v>
      </c>
      <c r="B1933" s="431" t="str">
        <f t="shared" si="30"/>
        <v>Hip Replacement PrimaryProviderBMI - THE MANOR HOSPITAL (NT423)EQ-5D Index</v>
      </c>
      <c r="C1933" t="s">
        <v>248</v>
      </c>
      <c r="D1933" t="s">
        <v>1</v>
      </c>
      <c r="E1933" t="s">
        <v>3624</v>
      </c>
      <c r="F1933" t="s">
        <v>3625</v>
      </c>
      <c r="G1933" t="s">
        <v>52</v>
      </c>
      <c r="H1933">
        <v>27</v>
      </c>
      <c r="I1933">
        <v>0.39900000000000002</v>
      </c>
      <c r="J1933">
        <v>0.83799999999999997</v>
      </c>
      <c r="K1933">
        <v>0.439</v>
      </c>
      <c r="L1933">
        <v>26</v>
      </c>
      <c r="M1933">
        <v>1</v>
      </c>
      <c r="N1933">
        <v>0</v>
      </c>
      <c r="O1933" t="s">
        <v>53</v>
      </c>
      <c r="P1933" t="s">
        <v>53</v>
      </c>
      <c r="Q1933" t="s">
        <v>53</v>
      </c>
    </row>
    <row r="1934" spans="1:17" x14ac:dyDescent="0.2">
      <c r="A1934" s="30" t="str">
        <f>IF(C1934&amp;G1934&amp;D1934&lt;&gt;'Funnel setup'!$K$3&amp;'Funnel setup'!$K$4&amp;'Funnel setup'!$K$5,".",IF(A1933=".",1,A1933+1))</f>
        <v>.</v>
      </c>
      <c r="B1934" s="431" t="str">
        <f t="shared" si="30"/>
        <v>Hip Replacement PrimaryProviderBMI - THE MERIDEN HOSPITAL (NT424)EQ-5D Index</v>
      </c>
      <c r="C1934" t="s">
        <v>248</v>
      </c>
      <c r="D1934" t="s">
        <v>1</v>
      </c>
      <c r="E1934" t="s">
        <v>3283</v>
      </c>
      <c r="F1934" t="s">
        <v>3284</v>
      </c>
      <c r="G1934" t="s">
        <v>52</v>
      </c>
      <c r="H1934">
        <v>71</v>
      </c>
      <c r="I1934">
        <v>0.39200000000000002</v>
      </c>
      <c r="J1934">
        <v>0.82</v>
      </c>
      <c r="K1934">
        <v>0.42899999999999999</v>
      </c>
      <c r="L1934">
        <v>64</v>
      </c>
      <c r="M1934">
        <v>6</v>
      </c>
      <c r="N1934">
        <v>1</v>
      </c>
      <c r="O1934">
        <v>0.80800000000000005</v>
      </c>
      <c r="P1934">
        <v>0.44634885200000002</v>
      </c>
      <c r="Q1934">
        <v>0.20899999999999999</v>
      </c>
    </row>
    <row r="1935" spans="1:17" x14ac:dyDescent="0.2">
      <c r="A1935" s="30" t="str">
        <f>IF(C1935&amp;G1935&amp;D1935&lt;&gt;'Funnel setup'!$K$3&amp;'Funnel setup'!$K$4&amp;'Funnel setup'!$K$5,".",IF(A1934=".",1,A1934+1))</f>
        <v>.</v>
      </c>
      <c r="B1935" s="431" t="str">
        <f t="shared" si="30"/>
        <v>Hip Replacement PrimaryProviderBMI - THE PARK HOSPITAL (NT427)EQ-5D Index</v>
      </c>
      <c r="C1935" t="s">
        <v>248</v>
      </c>
      <c r="D1935" t="s">
        <v>1</v>
      </c>
      <c r="E1935" t="s">
        <v>3286</v>
      </c>
      <c r="F1935" t="s">
        <v>3287</v>
      </c>
      <c r="G1935" t="s">
        <v>52</v>
      </c>
      <c r="H1935">
        <v>31</v>
      </c>
      <c r="I1935">
        <v>0.45900000000000002</v>
      </c>
      <c r="J1935">
        <v>0.82899999999999996</v>
      </c>
      <c r="K1935">
        <v>0.37</v>
      </c>
      <c r="L1935">
        <v>26</v>
      </c>
      <c r="M1935">
        <v>4</v>
      </c>
      <c r="N1935">
        <v>1</v>
      </c>
      <c r="O1935">
        <v>0.77900000000000003</v>
      </c>
      <c r="P1935">
        <v>0.41772385400000001</v>
      </c>
      <c r="Q1935">
        <v>0.19800000000000001</v>
      </c>
    </row>
    <row r="1936" spans="1:17" x14ac:dyDescent="0.2">
      <c r="A1936" s="30" t="str">
        <f>IF(C1936&amp;G1936&amp;D1936&lt;&gt;'Funnel setup'!$K$3&amp;'Funnel setup'!$K$4&amp;'Funnel setup'!$K$5,".",IF(A1935=".",1,A1935+1))</f>
        <v>.</v>
      </c>
      <c r="B1936" s="431" t="str">
        <f t="shared" si="30"/>
        <v>Hip Replacement PrimaryProviderBMI - THE PRINCESS MARGARET HOSPITAL (NT428)EQ-5D Index</v>
      </c>
      <c r="C1936" t="s">
        <v>248</v>
      </c>
      <c r="D1936" t="s">
        <v>1</v>
      </c>
      <c r="E1936" t="s">
        <v>3289</v>
      </c>
      <c r="F1936" t="s">
        <v>3290</v>
      </c>
      <c r="G1936" t="s">
        <v>52</v>
      </c>
      <c r="H1936">
        <v>10</v>
      </c>
      <c r="I1936">
        <v>0.29799999999999999</v>
      </c>
      <c r="J1936">
        <v>0.69599999999999995</v>
      </c>
      <c r="K1936">
        <v>0.39700000000000002</v>
      </c>
      <c r="L1936">
        <v>7</v>
      </c>
      <c r="M1936">
        <v>1</v>
      </c>
      <c r="N1936">
        <v>2</v>
      </c>
      <c r="O1936" t="s">
        <v>53</v>
      </c>
      <c r="P1936" t="s">
        <v>53</v>
      </c>
      <c r="Q1936" t="s">
        <v>53</v>
      </c>
    </row>
    <row r="1937" spans="1:17" x14ac:dyDescent="0.2">
      <c r="A1937" s="30" t="str">
        <f>IF(C1937&amp;G1937&amp;D1937&lt;&gt;'Funnel setup'!$K$3&amp;'Funnel setup'!$K$4&amp;'Funnel setup'!$K$5,".",IF(A1936=".",1,A1936+1))</f>
        <v>.</v>
      </c>
      <c r="B1937" s="431" t="str">
        <f t="shared" si="30"/>
        <v>Hip Replacement PrimaryProviderBMI - THE PRIORY HOSPITAL (NT429)EQ-5D Index</v>
      </c>
      <c r="C1937" t="s">
        <v>248</v>
      </c>
      <c r="D1937" t="s">
        <v>1</v>
      </c>
      <c r="E1937" t="s">
        <v>4776</v>
      </c>
      <c r="F1937" t="s">
        <v>4777</v>
      </c>
      <c r="G1937" t="s">
        <v>52</v>
      </c>
      <c r="H1937" t="s">
        <v>53</v>
      </c>
      <c r="I1937" t="s">
        <v>53</v>
      </c>
      <c r="J1937" t="s">
        <v>53</v>
      </c>
      <c r="K1937" t="s">
        <v>53</v>
      </c>
      <c r="L1937" t="s">
        <v>53</v>
      </c>
      <c r="M1937" t="s">
        <v>53</v>
      </c>
      <c r="N1937" t="s">
        <v>53</v>
      </c>
      <c r="O1937" t="s">
        <v>53</v>
      </c>
      <c r="P1937" t="s">
        <v>53</v>
      </c>
      <c r="Q1937" t="s">
        <v>53</v>
      </c>
    </row>
    <row r="1938" spans="1:17" x14ac:dyDescent="0.2">
      <c r="A1938" s="30" t="str">
        <f>IF(C1938&amp;G1938&amp;D1938&lt;&gt;'Funnel setup'!$K$3&amp;'Funnel setup'!$K$4&amp;'Funnel setup'!$K$5,".",IF(A1937=".",1,A1937+1))</f>
        <v>.</v>
      </c>
      <c r="B1938" s="431" t="str">
        <f t="shared" si="30"/>
        <v>Hip Replacement PrimaryProviderBMI - THE RIDGEWAY HOSPITAL (NT430)EQ-5D Index</v>
      </c>
      <c r="C1938" t="s">
        <v>248</v>
      </c>
      <c r="D1938" t="s">
        <v>1</v>
      </c>
      <c r="E1938" t="s">
        <v>3292</v>
      </c>
      <c r="F1938" t="s">
        <v>3293</v>
      </c>
      <c r="G1938" t="s">
        <v>52</v>
      </c>
      <c r="H1938">
        <v>78</v>
      </c>
      <c r="I1938">
        <v>0.47499999999999998</v>
      </c>
      <c r="J1938">
        <v>0.84099999999999997</v>
      </c>
      <c r="K1938">
        <v>0.36699999999999999</v>
      </c>
      <c r="L1938">
        <v>70</v>
      </c>
      <c r="M1938">
        <v>4</v>
      </c>
      <c r="N1938">
        <v>4</v>
      </c>
      <c r="O1938">
        <v>0.78900000000000003</v>
      </c>
      <c r="P1938">
        <v>0.42713799299999999</v>
      </c>
      <c r="Q1938">
        <v>0.24399999999999999</v>
      </c>
    </row>
    <row r="1939" spans="1:17" x14ac:dyDescent="0.2">
      <c r="A1939" s="30" t="str">
        <f>IF(C1939&amp;G1939&amp;D1939&lt;&gt;'Funnel setup'!$K$3&amp;'Funnel setup'!$K$4&amp;'Funnel setup'!$K$5,".",IF(A1938=".",1,A1938+1))</f>
        <v>.</v>
      </c>
      <c r="B1939" s="431" t="str">
        <f t="shared" si="30"/>
        <v>Hip Replacement PrimaryProviderBMI - THE RUNNYMEDE HOSPITAL (NT431)EQ-5D Index</v>
      </c>
      <c r="C1939" t="s">
        <v>248</v>
      </c>
      <c r="D1939" t="s">
        <v>1</v>
      </c>
      <c r="E1939" t="s">
        <v>3295</v>
      </c>
      <c r="F1939" t="s">
        <v>3296</v>
      </c>
      <c r="G1939" t="s">
        <v>52</v>
      </c>
      <c r="H1939">
        <v>16</v>
      </c>
      <c r="I1939">
        <v>0.48699999999999999</v>
      </c>
      <c r="J1939">
        <v>0.92100000000000004</v>
      </c>
      <c r="K1939">
        <v>0.433</v>
      </c>
      <c r="L1939">
        <v>14</v>
      </c>
      <c r="M1939">
        <v>1</v>
      </c>
      <c r="N1939">
        <v>1</v>
      </c>
      <c r="O1939" t="s">
        <v>53</v>
      </c>
      <c r="P1939" t="s">
        <v>53</v>
      </c>
      <c r="Q1939" t="s">
        <v>53</v>
      </c>
    </row>
    <row r="1940" spans="1:17" x14ac:dyDescent="0.2">
      <c r="A1940" s="30" t="str">
        <f>IF(C1940&amp;G1940&amp;D1940&lt;&gt;'Funnel setup'!$K$3&amp;'Funnel setup'!$K$4&amp;'Funnel setup'!$K$5,".",IF(A1939=".",1,A1939+1))</f>
        <v>.</v>
      </c>
      <c r="B1940" s="431" t="str">
        <f t="shared" si="30"/>
        <v>Hip Replacement PrimaryProviderBMI - THE SANDRINGHAM HOSPITAL (NT432)EQ-5D Index</v>
      </c>
      <c r="C1940" t="s">
        <v>248</v>
      </c>
      <c r="D1940" t="s">
        <v>1</v>
      </c>
      <c r="E1940" t="s">
        <v>3298</v>
      </c>
      <c r="F1940" t="s">
        <v>3299</v>
      </c>
      <c r="G1940" t="s">
        <v>52</v>
      </c>
      <c r="H1940">
        <v>119</v>
      </c>
      <c r="I1940">
        <v>0.44900000000000001</v>
      </c>
      <c r="J1940">
        <v>0.85</v>
      </c>
      <c r="K1940">
        <v>0.40200000000000002</v>
      </c>
      <c r="L1940">
        <v>107</v>
      </c>
      <c r="M1940">
        <v>9</v>
      </c>
      <c r="N1940">
        <v>3</v>
      </c>
      <c r="O1940">
        <v>0.81799999999999995</v>
      </c>
      <c r="P1940">
        <v>0.45680366700000002</v>
      </c>
      <c r="Q1940">
        <v>0.17599999999999999</v>
      </c>
    </row>
    <row r="1941" spans="1:17" x14ac:dyDescent="0.2">
      <c r="A1941" s="30" t="str">
        <f>IF(C1941&amp;G1941&amp;D1941&lt;&gt;'Funnel setup'!$K$3&amp;'Funnel setup'!$K$4&amp;'Funnel setup'!$K$5,".",IF(A1940=".",1,A1940+1))</f>
        <v>.</v>
      </c>
      <c r="B1941" s="431" t="str">
        <f t="shared" si="30"/>
        <v>Hip Replacement PrimaryProviderBMI - THE SAXON CLINIC (NT434)EQ-5D Index</v>
      </c>
      <c r="C1941" t="s">
        <v>248</v>
      </c>
      <c r="D1941" t="s">
        <v>1</v>
      </c>
      <c r="E1941" t="s">
        <v>3301</v>
      </c>
      <c r="F1941" t="s">
        <v>3302</v>
      </c>
      <c r="G1941" t="s">
        <v>52</v>
      </c>
      <c r="H1941">
        <v>37</v>
      </c>
      <c r="I1941">
        <v>0.40200000000000002</v>
      </c>
      <c r="J1941">
        <v>0.83599999999999997</v>
      </c>
      <c r="K1941">
        <v>0.434</v>
      </c>
      <c r="L1941">
        <v>33</v>
      </c>
      <c r="M1941">
        <v>2</v>
      </c>
      <c r="N1941">
        <v>2</v>
      </c>
      <c r="O1941">
        <v>0.82299999999999995</v>
      </c>
      <c r="P1941">
        <v>0.46181603599999999</v>
      </c>
      <c r="Q1941">
        <v>0.192</v>
      </c>
    </row>
    <row r="1942" spans="1:17" x14ac:dyDescent="0.2">
      <c r="A1942" s="30" t="str">
        <f>IF(C1942&amp;G1942&amp;D1942&lt;&gt;'Funnel setup'!$K$3&amp;'Funnel setup'!$K$4&amp;'Funnel setup'!$K$5,".",IF(A1941=".",1,A1941+1))</f>
        <v>.</v>
      </c>
      <c r="B1942" s="431" t="str">
        <f t="shared" si="30"/>
        <v>Hip Replacement PrimaryProviderBMI - THE SHELBURNE HOSPITAL (NT435)EQ-5D Index</v>
      </c>
      <c r="C1942" t="s">
        <v>248</v>
      </c>
      <c r="D1942" t="s">
        <v>1</v>
      </c>
      <c r="E1942" t="s">
        <v>4318</v>
      </c>
      <c r="F1942" t="s">
        <v>4319</v>
      </c>
      <c r="G1942" t="s">
        <v>52</v>
      </c>
      <c r="H1942">
        <v>35</v>
      </c>
      <c r="I1942">
        <v>0.39100000000000001</v>
      </c>
      <c r="J1942">
        <v>0.88200000000000001</v>
      </c>
      <c r="K1942">
        <v>0.49099999999999999</v>
      </c>
      <c r="L1942">
        <v>33</v>
      </c>
      <c r="M1942">
        <v>2</v>
      </c>
      <c r="N1942">
        <v>0</v>
      </c>
      <c r="O1942">
        <v>0.86099999999999999</v>
      </c>
      <c r="P1942">
        <v>0.49936222400000002</v>
      </c>
      <c r="Q1942">
        <v>0.14199999999999999</v>
      </c>
    </row>
    <row r="1943" spans="1:17" x14ac:dyDescent="0.2">
      <c r="A1943" s="30" t="str">
        <f>IF(C1943&amp;G1943&amp;D1943&lt;&gt;'Funnel setup'!$K$3&amp;'Funnel setup'!$K$4&amp;'Funnel setup'!$K$5,".",IF(A1942=".",1,A1942+1))</f>
        <v>.</v>
      </c>
      <c r="B1943" s="431" t="str">
        <f t="shared" si="30"/>
        <v>Hip Replacement PrimaryProviderBMI - THE SLOANE HOSPITAL (NT437)EQ-5D Index</v>
      </c>
      <c r="C1943" t="s">
        <v>248</v>
      </c>
      <c r="D1943" t="s">
        <v>1</v>
      </c>
      <c r="E1943" t="s">
        <v>4327</v>
      </c>
      <c r="F1943" t="s">
        <v>4328</v>
      </c>
      <c r="G1943" t="s">
        <v>52</v>
      </c>
      <c r="H1943" t="s">
        <v>53</v>
      </c>
      <c r="I1943" t="s">
        <v>53</v>
      </c>
      <c r="J1943" t="s">
        <v>53</v>
      </c>
      <c r="K1943" t="s">
        <v>53</v>
      </c>
      <c r="L1943" t="s">
        <v>53</v>
      </c>
      <c r="M1943" t="s">
        <v>53</v>
      </c>
      <c r="N1943" t="s">
        <v>53</v>
      </c>
      <c r="O1943" t="s">
        <v>53</v>
      </c>
      <c r="P1943" t="s">
        <v>53</v>
      </c>
      <c r="Q1943" t="s">
        <v>53</v>
      </c>
    </row>
    <row r="1944" spans="1:17" x14ac:dyDescent="0.2">
      <c r="A1944" s="30" t="str">
        <f>IF(C1944&amp;G1944&amp;D1944&lt;&gt;'Funnel setup'!$K$3&amp;'Funnel setup'!$K$4&amp;'Funnel setup'!$K$5,".",IF(A1943=".",1,A1943+1))</f>
        <v>.</v>
      </c>
      <c r="B1944" s="431" t="str">
        <f t="shared" si="30"/>
        <v>Hip Replacement PrimaryProviderBMI - THE SOMERFIELD HOSPITAL (NT438)EQ-5D Index</v>
      </c>
      <c r="C1944" t="s">
        <v>248</v>
      </c>
      <c r="D1944" t="s">
        <v>1</v>
      </c>
      <c r="E1944" t="s">
        <v>3304</v>
      </c>
      <c r="F1944" t="s">
        <v>3305</v>
      </c>
      <c r="G1944" t="s">
        <v>52</v>
      </c>
      <c r="H1944">
        <v>17</v>
      </c>
      <c r="I1944">
        <v>0.42099999999999999</v>
      </c>
      <c r="J1944">
        <v>0.82399999999999995</v>
      </c>
      <c r="K1944">
        <v>0.40300000000000002</v>
      </c>
      <c r="L1944">
        <v>17</v>
      </c>
      <c r="M1944">
        <v>0</v>
      </c>
      <c r="N1944">
        <v>0</v>
      </c>
      <c r="O1944" t="s">
        <v>53</v>
      </c>
      <c r="P1944" t="s">
        <v>53</v>
      </c>
      <c r="Q1944" t="s">
        <v>53</v>
      </c>
    </row>
    <row r="1945" spans="1:17" x14ac:dyDescent="0.2">
      <c r="A1945" s="30" t="str">
        <f>IF(C1945&amp;G1945&amp;D1945&lt;&gt;'Funnel setup'!$K$3&amp;'Funnel setup'!$K$4&amp;'Funnel setup'!$K$5,".",IF(A1944=".",1,A1944+1))</f>
        <v>.</v>
      </c>
      <c r="B1945" s="431" t="str">
        <f t="shared" si="30"/>
        <v>Hip Replacement PrimaryProviderBMI - THE SOUTH CHESHIRE PRIVATE HOSPITAL (NT439)EQ-5D Index</v>
      </c>
      <c r="C1945" t="s">
        <v>248</v>
      </c>
      <c r="D1945" t="s">
        <v>1</v>
      </c>
      <c r="E1945" t="s">
        <v>3307</v>
      </c>
      <c r="F1945" t="s">
        <v>3308</v>
      </c>
      <c r="G1945" t="s">
        <v>52</v>
      </c>
      <c r="H1945">
        <v>31</v>
      </c>
      <c r="I1945">
        <v>0.45400000000000001</v>
      </c>
      <c r="J1945">
        <v>0.86399999999999999</v>
      </c>
      <c r="K1945">
        <v>0.41</v>
      </c>
      <c r="L1945">
        <v>29</v>
      </c>
      <c r="M1945">
        <v>1</v>
      </c>
      <c r="N1945">
        <v>1</v>
      </c>
      <c r="O1945">
        <v>0.82099999999999995</v>
      </c>
      <c r="P1945">
        <v>0.45965561300000002</v>
      </c>
      <c r="Q1945">
        <v>0.20599999999999999</v>
      </c>
    </row>
    <row r="1946" spans="1:17" x14ac:dyDescent="0.2">
      <c r="A1946" s="30" t="str">
        <f>IF(C1946&amp;G1946&amp;D1946&lt;&gt;'Funnel setup'!$K$3&amp;'Funnel setup'!$K$4&amp;'Funnel setup'!$K$5,".",IF(A1945=".",1,A1945+1))</f>
        <v>.</v>
      </c>
      <c r="B1946" s="431" t="str">
        <f t="shared" si="30"/>
        <v>Hip Replacement PrimaryProviderBMI - THE WINTERBOURNE HOSPITAL (NT443)EQ-5D Index</v>
      </c>
      <c r="C1946" t="s">
        <v>248</v>
      </c>
      <c r="D1946" t="s">
        <v>1</v>
      </c>
      <c r="E1946" t="s">
        <v>3310</v>
      </c>
      <c r="F1946" t="s">
        <v>3311</v>
      </c>
      <c r="G1946" t="s">
        <v>52</v>
      </c>
      <c r="H1946">
        <v>48</v>
      </c>
      <c r="I1946">
        <v>0.47099999999999997</v>
      </c>
      <c r="J1946">
        <v>0.84899999999999998</v>
      </c>
      <c r="K1946">
        <v>0.379</v>
      </c>
      <c r="L1946">
        <v>38</v>
      </c>
      <c r="M1946">
        <v>6</v>
      </c>
      <c r="N1946">
        <v>4</v>
      </c>
      <c r="O1946">
        <v>0.81200000000000006</v>
      </c>
      <c r="P1946">
        <v>0.45021016400000002</v>
      </c>
      <c r="Q1946">
        <v>0.17199999999999999</v>
      </c>
    </row>
    <row r="1947" spans="1:17" x14ac:dyDescent="0.2">
      <c r="A1947" s="30" t="str">
        <f>IF(C1947&amp;G1947&amp;D1947&lt;&gt;'Funnel setup'!$K$3&amp;'Funnel setup'!$K$4&amp;'Funnel setup'!$K$5,".",IF(A1946=".",1,A1946+1))</f>
        <v>.</v>
      </c>
      <c r="B1947" s="431" t="str">
        <f t="shared" si="30"/>
        <v>Hip Replacement PrimaryProviderBMI - THORNBURY HOSPITAL (NT440)EQ-5D Index</v>
      </c>
      <c r="C1947" t="s">
        <v>248</v>
      </c>
      <c r="D1947" t="s">
        <v>1</v>
      </c>
      <c r="E1947" t="s">
        <v>3313</v>
      </c>
      <c r="F1947" t="s">
        <v>3314</v>
      </c>
      <c r="G1947" t="s">
        <v>52</v>
      </c>
      <c r="H1947">
        <v>47</v>
      </c>
      <c r="I1947">
        <v>0.42599999999999999</v>
      </c>
      <c r="J1947">
        <v>0.879</v>
      </c>
      <c r="K1947">
        <v>0.45300000000000001</v>
      </c>
      <c r="L1947">
        <v>46</v>
      </c>
      <c r="M1947">
        <v>0</v>
      </c>
      <c r="N1947">
        <v>1</v>
      </c>
      <c r="O1947">
        <v>0.83899999999999997</v>
      </c>
      <c r="P1947">
        <v>0.477375573</v>
      </c>
      <c r="Q1947">
        <v>0.161</v>
      </c>
    </row>
    <row r="1948" spans="1:17" x14ac:dyDescent="0.2">
      <c r="A1948" s="30" t="str">
        <f>IF(C1948&amp;G1948&amp;D1948&lt;&gt;'Funnel setup'!$K$3&amp;'Funnel setup'!$K$4&amp;'Funnel setup'!$K$5,".",IF(A1947=".",1,A1947+1))</f>
        <v>.</v>
      </c>
      <c r="B1948" s="431" t="str">
        <f t="shared" si="30"/>
        <v>Hip Replacement PrimaryProviderBMI - THREE SHIRES HOSPITAL (NT441)EQ-5D Index</v>
      </c>
      <c r="C1948" t="s">
        <v>248</v>
      </c>
      <c r="D1948" t="s">
        <v>1</v>
      </c>
      <c r="E1948" t="s">
        <v>3316</v>
      </c>
      <c r="F1948" t="s">
        <v>3317</v>
      </c>
      <c r="G1948" t="s">
        <v>52</v>
      </c>
      <c r="H1948">
        <v>41</v>
      </c>
      <c r="I1948">
        <v>0.42</v>
      </c>
      <c r="J1948">
        <v>0.92</v>
      </c>
      <c r="K1948">
        <v>0.501</v>
      </c>
      <c r="L1948">
        <v>39</v>
      </c>
      <c r="M1948">
        <v>1</v>
      </c>
      <c r="N1948">
        <v>1</v>
      </c>
      <c r="O1948">
        <v>0.86499999999999999</v>
      </c>
      <c r="P1948">
        <v>0.503773676</v>
      </c>
      <c r="Q1948">
        <v>0.14399999999999999</v>
      </c>
    </row>
    <row r="1949" spans="1:17" x14ac:dyDescent="0.2">
      <c r="A1949" s="30" t="str">
        <f>IF(C1949&amp;G1949&amp;D1949&lt;&gt;'Funnel setup'!$K$3&amp;'Funnel setup'!$K$4&amp;'Funnel setup'!$K$5,".",IF(A1948=".",1,A1948+1))</f>
        <v>.</v>
      </c>
      <c r="B1949" s="431" t="str">
        <f t="shared" si="30"/>
        <v>Hip Replacement PrimaryProviderBMI GISBURNE PARK HOSPITAL (NT497)EQ-5D Index</v>
      </c>
      <c r="C1949" t="s">
        <v>248</v>
      </c>
      <c r="D1949" t="s">
        <v>1</v>
      </c>
      <c r="E1949" t="s">
        <v>3319</v>
      </c>
      <c r="F1949" t="s">
        <v>3320</v>
      </c>
      <c r="G1949" t="s">
        <v>52</v>
      </c>
      <c r="H1949">
        <v>42</v>
      </c>
      <c r="I1949">
        <v>0.41099999999999998</v>
      </c>
      <c r="J1949">
        <v>0.83599999999999997</v>
      </c>
      <c r="K1949">
        <v>0.42499999999999999</v>
      </c>
      <c r="L1949">
        <v>38</v>
      </c>
      <c r="M1949">
        <v>2</v>
      </c>
      <c r="N1949">
        <v>2</v>
      </c>
      <c r="O1949">
        <v>0.82199999999999995</v>
      </c>
      <c r="P1949">
        <v>0.46026547699999998</v>
      </c>
      <c r="Q1949">
        <v>0.188</v>
      </c>
    </row>
    <row r="1950" spans="1:17" x14ac:dyDescent="0.2">
      <c r="A1950" s="30" t="str">
        <f>IF(C1950&amp;G1950&amp;D1950&lt;&gt;'Funnel setup'!$K$3&amp;'Funnel setup'!$K$4&amp;'Funnel setup'!$K$5,".",IF(A1949=".",1,A1949+1))</f>
        <v>.</v>
      </c>
      <c r="B1950" s="431" t="str">
        <f t="shared" si="30"/>
        <v>Hip Replacement PrimaryProviderBMI MOUNT ALVERNIA HOSPITAL (NT455)EQ-5D Index</v>
      </c>
      <c r="C1950" t="s">
        <v>248</v>
      </c>
      <c r="D1950" t="s">
        <v>1</v>
      </c>
      <c r="E1950" t="s">
        <v>3322</v>
      </c>
      <c r="F1950" t="s">
        <v>3323</v>
      </c>
      <c r="G1950" t="s">
        <v>52</v>
      </c>
      <c r="H1950">
        <v>8</v>
      </c>
      <c r="I1950">
        <v>0.47199999999999998</v>
      </c>
      <c r="J1950">
        <v>0.82699999999999996</v>
      </c>
      <c r="K1950">
        <v>0.35499999999999998</v>
      </c>
      <c r="L1950">
        <v>6</v>
      </c>
      <c r="M1950">
        <v>1</v>
      </c>
      <c r="N1950">
        <v>1</v>
      </c>
      <c r="O1950" t="s">
        <v>53</v>
      </c>
      <c r="P1950" t="s">
        <v>53</v>
      </c>
      <c r="Q1950" t="s">
        <v>53</v>
      </c>
    </row>
    <row r="1951" spans="1:17" x14ac:dyDescent="0.2">
      <c r="A1951" s="30" t="str">
        <f>IF(C1951&amp;G1951&amp;D1951&lt;&gt;'Funnel setup'!$K$3&amp;'Funnel setup'!$K$4&amp;'Funnel setup'!$K$5,".",IF(A1950=".",1,A1950+1))</f>
        <v>.</v>
      </c>
      <c r="B1951" s="431" t="str">
        <f t="shared" si="30"/>
        <v>Hip Replacement PrimaryProviderBMI ST EDMUNDS HOSPITAL (NT446)EQ-5D Index</v>
      </c>
      <c r="C1951" t="s">
        <v>248</v>
      </c>
      <c r="D1951" t="s">
        <v>1</v>
      </c>
      <c r="E1951" t="s">
        <v>3328</v>
      </c>
      <c r="F1951" t="s">
        <v>3329</v>
      </c>
      <c r="G1951" t="s">
        <v>52</v>
      </c>
      <c r="H1951">
        <v>82</v>
      </c>
      <c r="I1951">
        <v>0.46100000000000002</v>
      </c>
      <c r="J1951">
        <v>0.82899999999999996</v>
      </c>
      <c r="K1951">
        <v>0.36799999999999999</v>
      </c>
      <c r="L1951">
        <v>74</v>
      </c>
      <c r="M1951">
        <v>3</v>
      </c>
      <c r="N1951">
        <v>5</v>
      </c>
      <c r="O1951">
        <v>0.77800000000000002</v>
      </c>
      <c r="P1951">
        <v>0.41598179699999999</v>
      </c>
      <c r="Q1951">
        <v>0.19</v>
      </c>
    </row>
    <row r="1952" spans="1:17" x14ac:dyDescent="0.2">
      <c r="A1952" s="30" t="str">
        <f>IF(C1952&amp;G1952&amp;D1952&lt;&gt;'Funnel setup'!$K$3&amp;'Funnel setup'!$K$4&amp;'Funnel setup'!$K$5,".",IF(A1951=".",1,A1951+1))</f>
        <v>.</v>
      </c>
      <c r="B1952" s="431" t="str">
        <f t="shared" si="30"/>
        <v>Hip Replacement PrimaryProviderBMI THE CAVELL HOSPITAL (NT451)EQ-5D Index</v>
      </c>
      <c r="C1952" t="s">
        <v>248</v>
      </c>
      <c r="D1952" t="s">
        <v>1</v>
      </c>
      <c r="E1952" t="s">
        <v>3331</v>
      </c>
      <c r="F1952" t="s">
        <v>3332</v>
      </c>
      <c r="G1952" t="s">
        <v>52</v>
      </c>
      <c r="H1952">
        <v>30</v>
      </c>
      <c r="I1952">
        <v>0.433</v>
      </c>
      <c r="J1952">
        <v>0.89100000000000001</v>
      </c>
      <c r="K1952">
        <v>0.45800000000000002</v>
      </c>
      <c r="L1952">
        <v>28</v>
      </c>
      <c r="M1952">
        <v>1</v>
      </c>
      <c r="N1952">
        <v>1</v>
      </c>
      <c r="O1952">
        <v>0.85399999999999998</v>
      </c>
      <c r="P1952">
        <v>0.49263967199999997</v>
      </c>
      <c r="Q1952">
        <v>0.12</v>
      </c>
    </row>
    <row r="1953" spans="1:17" x14ac:dyDescent="0.2">
      <c r="A1953" s="30" t="str">
        <f>IF(C1953&amp;G1953&amp;D1953&lt;&gt;'Funnel setup'!$K$3&amp;'Funnel setup'!$K$4&amp;'Funnel setup'!$K$5,".",IF(A1952=".",1,A1952+1))</f>
        <v>.</v>
      </c>
      <c r="B1953" s="431" t="str">
        <f t="shared" si="30"/>
        <v>Hip Replacement PrimaryProviderBMI THE DUCHY HOSPITAL (NT447)EQ-5D Index</v>
      </c>
      <c r="C1953" t="s">
        <v>248</v>
      </c>
      <c r="D1953" t="s">
        <v>1</v>
      </c>
      <c r="E1953" t="s">
        <v>3334</v>
      </c>
      <c r="F1953" t="s">
        <v>3335</v>
      </c>
      <c r="G1953" t="s">
        <v>52</v>
      </c>
      <c r="H1953">
        <v>17</v>
      </c>
      <c r="I1953">
        <v>0.501</v>
      </c>
      <c r="J1953">
        <v>0.89400000000000002</v>
      </c>
      <c r="K1953">
        <v>0.39300000000000002</v>
      </c>
      <c r="L1953">
        <v>16</v>
      </c>
      <c r="M1953">
        <v>0</v>
      </c>
      <c r="N1953">
        <v>1</v>
      </c>
      <c r="O1953" t="s">
        <v>53</v>
      </c>
      <c r="P1953" t="s">
        <v>53</v>
      </c>
      <c r="Q1953" t="s">
        <v>53</v>
      </c>
    </row>
    <row r="1954" spans="1:17" x14ac:dyDescent="0.2">
      <c r="A1954" s="30" t="str">
        <f>IF(C1954&amp;G1954&amp;D1954&lt;&gt;'Funnel setup'!$K$3&amp;'Funnel setup'!$K$4&amp;'Funnel setup'!$K$5,".",IF(A1953=".",1,A1953+1))</f>
        <v>.</v>
      </c>
      <c r="B1954" s="431" t="str">
        <f t="shared" si="30"/>
        <v>Hip Replacement PrimaryProviderBMI THE EDGBASTON HOSPITAL (NT445)EQ-5D Index</v>
      </c>
      <c r="C1954" t="s">
        <v>248</v>
      </c>
      <c r="D1954" t="s">
        <v>1</v>
      </c>
      <c r="E1954" t="s">
        <v>3337</v>
      </c>
      <c r="F1954" t="s">
        <v>3338</v>
      </c>
      <c r="G1954" t="s">
        <v>52</v>
      </c>
      <c r="H1954">
        <v>33</v>
      </c>
      <c r="I1954">
        <v>0.40500000000000003</v>
      </c>
      <c r="J1954">
        <v>0.85799999999999998</v>
      </c>
      <c r="K1954">
        <v>0.45300000000000001</v>
      </c>
      <c r="L1954">
        <v>30</v>
      </c>
      <c r="M1954">
        <v>1</v>
      </c>
      <c r="N1954">
        <v>2</v>
      </c>
      <c r="O1954">
        <v>0.83899999999999997</v>
      </c>
      <c r="P1954">
        <v>0.47718956400000001</v>
      </c>
      <c r="Q1954">
        <v>0.214</v>
      </c>
    </row>
    <row r="1955" spans="1:17" x14ac:dyDescent="0.2">
      <c r="A1955" s="30" t="str">
        <f>IF(C1955&amp;G1955&amp;D1955&lt;&gt;'Funnel setup'!$K$3&amp;'Funnel setup'!$K$4&amp;'Funnel setup'!$K$5,".",IF(A1954=".",1,A1954+1))</f>
        <v>.</v>
      </c>
      <c r="B1955" s="431" t="str">
        <f t="shared" si="30"/>
        <v>Hip Replacement PrimaryProviderBMI THE HUDDERSFIELD HOSPITAL (NT448)EQ-5D Index</v>
      </c>
      <c r="C1955" t="s">
        <v>248</v>
      </c>
      <c r="D1955" t="s">
        <v>1</v>
      </c>
      <c r="E1955" t="s">
        <v>3346</v>
      </c>
      <c r="F1955" t="s">
        <v>3347</v>
      </c>
      <c r="G1955" t="s">
        <v>52</v>
      </c>
      <c r="H1955">
        <v>48</v>
      </c>
      <c r="I1955">
        <v>0.5</v>
      </c>
      <c r="J1955">
        <v>0.84899999999999998</v>
      </c>
      <c r="K1955">
        <v>0.35</v>
      </c>
      <c r="L1955">
        <v>42</v>
      </c>
      <c r="M1955">
        <v>3</v>
      </c>
      <c r="N1955">
        <v>3</v>
      </c>
      <c r="O1955">
        <v>0.80100000000000005</v>
      </c>
      <c r="P1955">
        <v>0.43921185299999999</v>
      </c>
      <c r="Q1955">
        <v>0.182</v>
      </c>
    </row>
    <row r="1956" spans="1:17" x14ac:dyDescent="0.2">
      <c r="A1956" s="30" t="str">
        <f>IF(C1956&amp;G1956&amp;D1956&lt;&gt;'Funnel setup'!$K$3&amp;'Funnel setup'!$K$4&amp;'Funnel setup'!$K$5,".",IF(A1955=".",1,A1955+1))</f>
        <v>.</v>
      </c>
      <c r="B1956" s="431" t="str">
        <f t="shared" si="30"/>
        <v>Hip Replacement PrimaryProviderBMI THE LANCASTER HOSPITAL (NT449)EQ-5D Index</v>
      </c>
      <c r="C1956" t="s">
        <v>248</v>
      </c>
      <c r="D1956" t="s">
        <v>1</v>
      </c>
      <c r="E1956" t="s">
        <v>3349</v>
      </c>
      <c r="F1956" t="s">
        <v>3350</v>
      </c>
      <c r="G1956" t="s">
        <v>52</v>
      </c>
      <c r="H1956">
        <v>43</v>
      </c>
      <c r="I1956">
        <v>0.502</v>
      </c>
      <c r="J1956">
        <v>0.81599999999999995</v>
      </c>
      <c r="K1956">
        <v>0.314</v>
      </c>
      <c r="L1956">
        <v>38</v>
      </c>
      <c r="M1956">
        <v>3</v>
      </c>
      <c r="N1956">
        <v>2</v>
      </c>
      <c r="O1956">
        <v>0.77500000000000002</v>
      </c>
      <c r="P1956">
        <v>0.413319194</v>
      </c>
      <c r="Q1956">
        <v>0.2</v>
      </c>
    </row>
    <row r="1957" spans="1:17" x14ac:dyDescent="0.2">
      <c r="A1957" s="30" t="str">
        <f>IF(C1957&amp;G1957&amp;D1957&lt;&gt;'Funnel setup'!$K$3&amp;'Funnel setup'!$K$4&amp;'Funnel setup'!$K$5,".",IF(A1956=".",1,A1956+1))</f>
        <v>.</v>
      </c>
      <c r="B1957" s="431" t="str">
        <f t="shared" si="30"/>
        <v>Hip Replacement PrimaryProviderBMI THE LINCOLN HOSPITAL (NT450)EQ-5D Index</v>
      </c>
      <c r="C1957" t="s">
        <v>248</v>
      </c>
      <c r="D1957" t="s">
        <v>1</v>
      </c>
      <c r="E1957" t="s">
        <v>3352</v>
      </c>
      <c r="F1957" t="s">
        <v>3353</v>
      </c>
      <c r="G1957" t="s">
        <v>52</v>
      </c>
      <c r="H1957">
        <v>76</v>
      </c>
      <c r="I1957">
        <v>0.46400000000000002</v>
      </c>
      <c r="J1957">
        <v>0.82399999999999995</v>
      </c>
      <c r="K1957">
        <v>0.36099999999999999</v>
      </c>
      <c r="L1957">
        <v>65</v>
      </c>
      <c r="M1957">
        <v>4</v>
      </c>
      <c r="N1957">
        <v>7</v>
      </c>
      <c r="O1957">
        <v>0.80900000000000005</v>
      </c>
      <c r="P1957">
        <v>0.44716800499999998</v>
      </c>
      <c r="Q1957">
        <v>0.23799999999999999</v>
      </c>
    </row>
    <row r="1958" spans="1:17" x14ac:dyDescent="0.2">
      <c r="A1958" s="30" t="str">
        <f>IF(C1958&amp;G1958&amp;D1958&lt;&gt;'Funnel setup'!$K$3&amp;'Funnel setup'!$K$4&amp;'Funnel setup'!$K$5,".",IF(A1957=".",1,A1957+1))</f>
        <v>.</v>
      </c>
      <c r="B1958" s="431" t="str">
        <f t="shared" si="30"/>
        <v>Hip Replacement PrimaryProviderBMI WOODLANDS HOSPITAL (NT457)EQ-5D Index</v>
      </c>
      <c r="C1958" t="s">
        <v>248</v>
      </c>
      <c r="D1958" t="s">
        <v>1</v>
      </c>
      <c r="E1958" t="s">
        <v>3355</v>
      </c>
      <c r="F1958" t="s">
        <v>3356</v>
      </c>
      <c r="G1958" t="s">
        <v>52</v>
      </c>
      <c r="H1958">
        <v>67</v>
      </c>
      <c r="I1958">
        <v>0.42899999999999999</v>
      </c>
      <c r="J1958">
        <v>0.81</v>
      </c>
      <c r="K1958">
        <v>0.38100000000000001</v>
      </c>
      <c r="L1958">
        <v>56</v>
      </c>
      <c r="M1958">
        <v>4</v>
      </c>
      <c r="N1958">
        <v>7</v>
      </c>
      <c r="O1958">
        <v>0.77500000000000002</v>
      </c>
      <c r="P1958">
        <v>0.412865174</v>
      </c>
      <c r="Q1958">
        <v>0.20100000000000001</v>
      </c>
    </row>
    <row r="1959" spans="1:17" x14ac:dyDescent="0.2">
      <c r="A1959" s="30" t="str">
        <f>IF(C1959&amp;G1959&amp;D1959&lt;&gt;'Funnel setup'!$K$3&amp;'Funnel setup'!$K$4&amp;'Funnel setup'!$K$5,".",IF(A1958=".",1,A1958+1))</f>
        <v>.</v>
      </c>
      <c r="B1959" s="431" t="str">
        <f t="shared" si="30"/>
        <v>Hip Replacement PrimaryProviderBOLTON NHS FOUNDATION TRUST (RMC)EQ-5D Index</v>
      </c>
      <c r="C1959" t="s">
        <v>248</v>
      </c>
      <c r="D1959" t="s">
        <v>1</v>
      </c>
      <c r="E1959" t="s">
        <v>3358</v>
      </c>
      <c r="F1959" t="s">
        <v>3359</v>
      </c>
      <c r="G1959" t="s">
        <v>52</v>
      </c>
      <c r="H1959">
        <v>97</v>
      </c>
      <c r="I1959">
        <v>0.28100000000000003</v>
      </c>
      <c r="J1959">
        <v>0.75800000000000001</v>
      </c>
      <c r="K1959">
        <v>0.47699999999999998</v>
      </c>
      <c r="L1959">
        <v>85</v>
      </c>
      <c r="M1959">
        <v>8</v>
      </c>
      <c r="N1959">
        <v>4</v>
      </c>
      <c r="O1959">
        <v>0.81200000000000006</v>
      </c>
      <c r="P1959">
        <v>0.45032210700000003</v>
      </c>
      <c r="Q1959">
        <v>0.26300000000000001</v>
      </c>
    </row>
    <row r="1960" spans="1:17" x14ac:dyDescent="0.2">
      <c r="A1960" s="30" t="str">
        <f>IF(C1960&amp;G1960&amp;D1960&lt;&gt;'Funnel setup'!$K$3&amp;'Funnel setup'!$K$4&amp;'Funnel setup'!$K$5,".",IF(A1959=".",1,A1959+1))</f>
        <v>.</v>
      </c>
      <c r="B1960" s="431" t="str">
        <f t="shared" si="30"/>
        <v>Hip Replacement PrimaryProviderBRADFORD TEACHING HOSPITALS NHS FOUNDATION TRUST (RAE)EQ-5D Index</v>
      </c>
      <c r="C1960" t="s">
        <v>248</v>
      </c>
      <c r="D1960" t="s">
        <v>1</v>
      </c>
      <c r="E1960" t="s">
        <v>3361</v>
      </c>
      <c r="F1960" t="s">
        <v>3362</v>
      </c>
      <c r="G1960" t="s">
        <v>52</v>
      </c>
      <c r="H1960">
        <v>81</v>
      </c>
      <c r="I1960">
        <v>0.30299999999999999</v>
      </c>
      <c r="J1960">
        <v>0.72299999999999998</v>
      </c>
      <c r="K1960">
        <v>0.42</v>
      </c>
      <c r="L1960">
        <v>70</v>
      </c>
      <c r="M1960">
        <v>3</v>
      </c>
      <c r="N1960">
        <v>8</v>
      </c>
      <c r="O1960">
        <v>0.79600000000000004</v>
      </c>
      <c r="P1960">
        <v>0.43405043500000001</v>
      </c>
      <c r="Q1960">
        <v>0.27</v>
      </c>
    </row>
    <row r="1961" spans="1:17" x14ac:dyDescent="0.2">
      <c r="A1961" s="30" t="str">
        <f>IF(C1961&amp;G1961&amp;D1961&lt;&gt;'Funnel setup'!$K$3&amp;'Funnel setup'!$K$4&amp;'Funnel setup'!$K$5,".",IF(A1960=".",1,A1960+1))</f>
        <v>.</v>
      </c>
      <c r="B1961" s="431" t="str">
        <f t="shared" si="30"/>
        <v>Hip Replacement PrimaryProviderBRIGHTON AND SUSSEX UNIVERSITY HOSPITALS NHS TRUST (RXH)EQ-5D Index</v>
      </c>
      <c r="C1961" t="s">
        <v>248</v>
      </c>
      <c r="D1961" t="s">
        <v>1</v>
      </c>
      <c r="E1961" t="s">
        <v>3367</v>
      </c>
      <c r="F1961" t="s">
        <v>3368</v>
      </c>
      <c r="G1961" t="s">
        <v>52</v>
      </c>
      <c r="H1961">
        <v>199</v>
      </c>
      <c r="I1961">
        <v>0.44900000000000001</v>
      </c>
      <c r="J1961">
        <v>0.79900000000000004</v>
      </c>
      <c r="K1961">
        <v>0.35</v>
      </c>
      <c r="L1961">
        <v>166</v>
      </c>
      <c r="M1961">
        <v>18</v>
      </c>
      <c r="N1961">
        <v>15</v>
      </c>
      <c r="O1961">
        <v>0.77900000000000003</v>
      </c>
      <c r="P1961">
        <v>0.41713668799999998</v>
      </c>
      <c r="Q1961">
        <v>0.22800000000000001</v>
      </c>
    </row>
    <row r="1962" spans="1:17" x14ac:dyDescent="0.2">
      <c r="A1962" s="30" t="str">
        <f>IF(C1962&amp;G1962&amp;D1962&lt;&gt;'Funnel setup'!$K$3&amp;'Funnel setup'!$K$4&amp;'Funnel setup'!$K$5,".",IF(A1961=".",1,A1961+1))</f>
        <v>.</v>
      </c>
      <c r="B1962" s="431" t="str">
        <f t="shared" si="30"/>
        <v>Hip Replacement PrimaryProviderBUCKINGHAMSHIRE HEALTHCARE NHS TRUST (RXQ)EQ-5D Index</v>
      </c>
      <c r="C1962" t="s">
        <v>248</v>
      </c>
      <c r="D1962" t="s">
        <v>1</v>
      </c>
      <c r="E1962" t="s">
        <v>3370</v>
      </c>
      <c r="F1962" t="s">
        <v>3371</v>
      </c>
      <c r="G1962" t="s">
        <v>52</v>
      </c>
      <c r="H1962">
        <v>147</v>
      </c>
      <c r="I1962">
        <v>0.36499999999999999</v>
      </c>
      <c r="J1962">
        <v>0.76300000000000001</v>
      </c>
      <c r="K1962">
        <v>0.39800000000000002</v>
      </c>
      <c r="L1962">
        <v>122</v>
      </c>
      <c r="M1962">
        <v>12</v>
      </c>
      <c r="N1962">
        <v>13</v>
      </c>
      <c r="O1962">
        <v>0.75600000000000001</v>
      </c>
      <c r="P1962">
        <v>0.39474674100000001</v>
      </c>
      <c r="Q1962">
        <v>0.24399999999999999</v>
      </c>
    </row>
    <row r="1963" spans="1:17" x14ac:dyDescent="0.2">
      <c r="A1963" s="30" t="str">
        <f>IF(C1963&amp;G1963&amp;D1963&lt;&gt;'Funnel setup'!$K$3&amp;'Funnel setup'!$K$4&amp;'Funnel setup'!$K$5,".",IF(A1962=".",1,A1962+1))</f>
        <v>.</v>
      </c>
      <c r="B1963" s="431" t="str">
        <f t="shared" si="30"/>
        <v>Hip Replacement PrimaryProviderBURTON HOSPITALS NHS FOUNDATION TRUST (RJF)EQ-5D Index</v>
      </c>
      <c r="C1963" t="s">
        <v>248</v>
      </c>
      <c r="D1963" t="s">
        <v>1</v>
      </c>
      <c r="E1963" t="s">
        <v>3373</v>
      </c>
      <c r="F1963" t="s">
        <v>3374</v>
      </c>
      <c r="G1963" t="s">
        <v>52</v>
      </c>
      <c r="H1963">
        <v>169</v>
      </c>
      <c r="I1963">
        <v>0.34399999999999997</v>
      </c>
      <c r="J1963">
        <v>0.80600000000000005</v>
      </c>
      <c r="K1963">
        <v>0.46200000000000002</v>
      </c>
      <c r="L1963">
        <v>155</v>
      </c>
      <c r="M1963">
        <v>7</v>
      </c>
      <c r="N1963">
        <v>7</v>
      </c>
      <c r="O1963">
        <v>0.80700000000000005</v>
      </c>
      <c r="P1963">
        <v>0.44500557499999999</v>
      </c>
      <c r="Q1963">
        <v>0.21099999999999999</v>
      </c>
    </row>
    <row r="1964" spans="1:17" x14ac:dyDescent="0.2">
      <c r="A1964" s="30" t="str">
        <f>IF(C1964&amp;G1964&amp;D1964&lt;&gt;'Funnel setup'!$K$3&amp;'Funnel setup'!$K$4&amp;'Funnel setup'!$K$5,".",IF(A1963=".",1,A1963+1))</f>
        <v>.</v>
      </c>
      <c r="B1964" s="431" t="str">
        <f t="shared" si="30"/>
        <v>Hip Replacement PrimaryProviderCALDERDALE AND HUDDERSFIELD NHS FOUNDATION TRUST (RWY)EQ-5D Index</v>
      </c>
      <c r="C1964" t="s">
        <v>248</v>
      </c>
      <c r="D1964" t="s">
        <v>1</v>
      </c>
      <c r="E1964" t="s">
        <v>3379</v>
      </c>
      <c r="F1964" t="s">
        <v>3380</v>
      </c>
      <c r="G1964" t="s">
        <v>52</v>
      </c>
      <c r="H1964">
        <v>251</v>
      </c>
      <c r="I1964">
        <v>0.39400000000000002</v>
      </c>
      <c r="J1964">
        <v>0.81299999999999994</v>
      </c>
      <c r="K1964">
        <v>0.41899999999999998</v>
      </c>
      <c r="L1964">
        <v>225</v>
      </c>
      <c r="M1964">
        <v>15</v>
      </c>
      <c r="N1964">
        <v>11</v>
      </c>
      <c r="O1964">
        <v>0.81699999999999995</v>
      </c>
      <c r="P1964">
        <v>0.454886293</v>
      </c>
      <c r="Q1964">
        <v>0.215</v>
      </c>
    </row>
    <row r="1965" spans="1:17" x14ac:dyDescent="0.2">
      <c r="A1965" s="30" t="str">
        <f>IF(C1965&amp;G1965&amp;D1965&lt;&gt;'Funnel setup'!$K$3&amp;'Funnel setup'!$K$4&amp;'Funnel setup'!$K$5,".",IF(A1964=".",1,A1964+1))</f>
        <v>.</v>
      </c>
      <c r="B1965" s="431" t="str">
        <f t="shared" si="30"/>
        <v>Hip Replacement PrimaryProviderCAMBRIDGE UNIVERSITY HOSPITALS NHS FOUNDATION TRUST (RGT)EQ-5D Index</v>
      </c>
      <c r="C1965" t="s">
        <v>248</v>
      </c>
      <c r="D1965" t="s">
        <v>1</v>
      </c>
      <c r="E1965" t="s">
        <v>3076</v>
      </c>
      <c r="F1965" t="s">
        <v>3077</v>
      </c>
      <c r="G1965" t="s">
        <v>52</v>
      </c>
      <c r="H1965">
        <v>237</v>
      </c>
      <c r="I1965">
        <v>0.34899999999999998</v>
      </c>
      <c r="J1965">
        <v>0.82499999999999996</v>
      </c>
      <c r="K1965">
        <v>0.47599999999999998</v>
      </c>
      <c r="L1965">
        <v>216</v>
      </c>
      <c r="M1965">
        <v>8</v>
      </c>
      <c r="N1965">
        <v>13</v>
      </c>
      <c r="O1965">
        <v>0.81899999999999995</v>
      </c>
      <c r="P1965">
        <v>0.45694164900000001</v>
      </c>
      <c r="Q1965">
        <v>0.216</v>
      </c>
    </row>
    <row r="1966" spans="1:17" x14ac:dyDescent="0.2">
      <c r="A1966" s="30" t="str">
        <f>IF(C1966&amp;G1966&amp;D1966&lt;&gt;'Funnel setup'!$K$3&amp;'Funnel setup'!$K$4&amp;'Funnel setup'!$K$5,".",IF(A1965=".",1,A1965+1))</f>
        <v>.</v>
      </c>
      <c r="B1966" s="431" t="str">
        <f t="shared" si="30"/>
        <v>Hip Replacement PrimaryProviderCENTRAL MANCHESTER UNIVERSITY HOSPITALS NHS FOUNDATION TRUST (RW3)EQ-5D Index</v>
      </c>
      <c r="C1966" t="s">
        <v>248</v>
      </c>
      <c r="D1966" t="s">
        <v>1</v>
      </c>
      <c r="E1966" t="s">
        <v>3079</v>
      </c>
      <c r="F1966" t="s">
        <v>3080</v>
      </c>
      <c r="G1966" t="s">
        <v>52</v>
      </c>
      <c r="H1966">
        <v>48</v>
      </c>
      <c r="I1966">
        <v>0.45700000000000002</v>
      </c>
      <c r="J1966">
        <v>0.78400000000000003</v>
      </c>
      <c r="K1966">
        <v>0.32700000000000001</v>
      </c>
      <c r="L1966">
        <v>39</v>
      </c>
      <c r="M1966">
        <v>7</v>
      </c>
      <c r="N1966">
        <v>2</v>
      </c>
      <c r="O1966">
        <v>0.77300000000000002</v>
      </c>
      <c r="P1966">
        <v>0.41107930599999998</v>
      </c>
      <c r="Q1966">
        <v>0.20300000000000001</v>
      </c>
    </row>
    <row r="1967" spans="1:17" x14ac:dyDescent="0.2">
      <c r="A1967" s="30" t="str">
        <f>IF(C1967&amp;G1967&amp;D1967&lt;&gt;'Funnel setup'!$K$3&amp;'Funnel setup'!$K$4&amp;'Funnel setup'!$K$5,".",IF(A1966=".",1,A1966+1))</f>
        <v>.</v>
      </c>
      <c r="B1967" s="431" t="str">
        <f t="shared" si="30"/>
        <v>Hip Replacement PrimaryProviderCHELSEA AND WESTMINSTER HOSPITAL NHS FOUNDATION TRUST (RQM)EQ-5D Index</v>
      </c>
      <c r="C1967" t="s">
        <v>248</v>
      </c>
      <c r="D1967" t="s">
        <v>1</v>
      </c>
      <c r="E1967" t="s">
        <v>3082</v>
      </c>
      <c r="F1967" t="s">
        <v>3083</v>
      </c>
      <c r="G1967" t="s">
        <v>52</v>
      </c>
      <c r="H1967">
        <v>25</v>
      </c>
      <c r="I1967">
        <v>0.33300000000000002</v>
      </c>
      <c r="J1967">
        <v>0.77200000000000002</v>
      </c>
      <c r="K1967">
        <v>0.44</v>
      </c>
      <c r="L1967">
        <v>21</v>
      </c>
      <c r="M1967">
        <v>3</v>
      </c>
      <c r="N1967">
        <v>1</v>
      </c>
      <c r="O1967" t="s">
        <v>53</v>
      </c>
      <c r="P1967" t="s">
        <v>53</v>
      </c>
      <c r="Q1967" t="s">
        <v>53</v>
      </c>
    </row>
    <row r="1968" spans="1:17" x14ac:dyDescent="0.2">
      <c r="A1968" s="30" t="str">
        <f>IF(C1968&amp;G1968&amp;D1968&lt;&gt;'Funnel setup'!$K$3&amp;'Funnel setup'!$K$4&amp;'Funnel setup'!$K$5,".",IF(A1967=".",1,A1967+1))</f>
        <v>.</v>
      </c>
      <c r="B1968" s="431" t="str">
        <f t="shared" si="30"/>
        <v>Hip Replacement PrimaryProviderCHESTERFIELD ROYAL HOSPITAL NHS FOUNDATION TRUST (RFS)EQ-5D Index</v>
      </c>
      <c r="C1968" t="s">
        <v>248</v>
      </c>
      <c r="D1968" t="s">
        <v>1</v>
      </c>
      <c r="E1968" t="s">
        <v>3085</v>
      </c>
      <c r="F1968" t="s">
        <v>3086</v>
      </c>
      <c r="G1968" t="s">
        <v>52</v>
      </c>
      <c r="H1968">
        <v>169</v>
      </c>
      <c r="I1968">
        <v>0.31900000000000001</v>
      </c>
      <c r="J1968">
        <v>0.747</v>
      </c>
      <c r="K1968">
        <v>0.42899999999999999</v>
      </c>
      <c r="L1968">
        <v>147</v>
      </c>
      <c r="M1968">
        <v>9</v>
      </c>
      <c r="N1968">
        <v>13</v>
      </c>
      <c r="O1968">
        <v>0.78400000000000003</v>
      </c>
      <c r="P1968">
        <v>0.422203579</v>
      </c>
      <c r="Q1968">
        <v>0.23100000000000001</v>
      </c>
    </row>
    <row r="1969" spans="1:17" x14ac:dyDescent="0.2">
      <c r="A1969" s="30" t="str">
        <f>IF(C1969&amp;G1969&amp;D1969&lt;&gt;'Funnel setup'!$K$3&amp;'Funnel setup'!$K$4&amp;'Funnel setup'!$K$5,".",IF(A1968=".",1,A1968+1))</f>
        <v>.</v>
      </c>
      <c r="B1969" s="431" t="str">
        <f t="shared" si="30"/>
        <v>Hip Replacement PrimaryProviderCIRCLE BATH HOSPITAL (NV302)EQ-5D Index</v>
      </c>
      <c r="C1969" t="s">
        <v>248</v>
      </c>
      <c r="D1969" t="s">
        <v>1</v>
      </c>
      <c r="E1969" t="s">
        <v>3097</v>
      </c>
      <c r="F1969" t="s">
        <v>3098</v>
      </c>
      <c r="G1969" t="s">
        <v>52</v>
      </c>
      <c r="H1969">
        <v>193</v>
      </c>
      <c r="I1969">
        <v>0.41</v>
      </c>
      <c r="J1969">
        <v>0.879</v>
      </c>
      <c r="K1969">
        <v>0.46899999999999997</v>
      </c>
      <c r="L1969">
        <v>181</v>
      </c>
      <c r="M1969">
        <v>8</v>
      </c>
      <c r="N1969">
        <v>4</v>
      </c>
      <c r="O1969">
        <v>0.84399999999999997</v>
      </c>
      <c r="P1969">
        <v>0.48208546400000002</v>
      </c>
      <c r="Q1969">
        <v>0.18099999999999999</v>
      </c>
    </row>
    <row r="1970" spans="1:17" x14ac:dyDescent="0.2">
      <c r="A1970" s="30" t="str">
        <f>IF(C1970&amp;G1970&amp;D1970&lt;&gt;'Funnel setup'!$K$3&amp;'Funnel setup'!$K$4&amp;'Funnel setup'!$K$5,".",IF(A1969=".",1,A1969+1))</f>
        <v>.</v>
      </c>
      <c r="B1970" s="431" t="str">
        <f t="shared" si="30"/>
        <v>Hip Replacement PrimaryProviderCIRCLE READING HOSPITAL (NV323)EQ-5D Index</v>
      </c>
      <c r="C1970" t="s">
        <v>248</v>
      </c>
      <c r="D1970" t="s">
        <v>1</v>
      </c>
      <c r="E1970" t="s">
        <v>3091</v>
      </c>
      <c r="F1970" t="s">
        <v>3092</v>
      </c>
      <c r="G1970" t="s">
        <v>52</v>
      </c>
      <c r="H1970">
        <v>108</v>
      </c>
      <c r="I1970">
        <v>0.42699999999999999</v>
      </c>
      <c r="J1970">
        <v>0.84299999999999997</v>
      </c>
      <c r="K1970">
        <v>0.41599999999999998</v>
      </c>
      <c r="L1970">
        <v>98</v>
      </c>
      <c r="M1970">
        <v>4</v>
      </c>
      <c r="N1970">
        <v>6</v>
      </c>
      <c r="O1970">
        <v>0.79700000000000004</v>
      </c>
      <c r="P1970">
        <v>0.43546990899999999</v>
      </c>
      <c r="Q1970">
        <v>0.185</v>
      </c>
    </row>
    <row r="1971" spans="1:17" x14ac:dyDescent="0.2">
      <c r="A1971" s="30" t="str">
        <f>IF(C1971&amp;G1971&amp;D1971&lt;&gt;'Funnel setup'!$K$3&amp;'Funnel setup'!$K$4&amp;'Funnel setup'!$K$5,".",IF(A1970=".",1,A1970+1))</f>
        <v>.</v>
      </c>
      <c r="B1971" s="431" t="str">
        <f t="shared" si="30"/>
        <v>Hip Replacement PrimaryProviderCITY HOSPITALS SUNDERLAND NHS FOUNDATION TRUST (RLN)EQ-5D Index</v>
      </c>
      <c r="C1971" t="s">
        <v>248</v>
      </c>
      <c r="D1971" t="s">
        <v>1</v>
      </c>
      <c r="E1971" t="s">
        <v>3100</v>
      </c>
      <c r="F1971" t="s">
        <v>3101</v>
      </c>
      <c r="G1971" t="s">
        <v>52</v>
      </c>
      <c r="H1971">
        <v>178</v>
      </c>
      <c r="I1971">
        <v>0.23599999999999999</v>
      </c>
      <c r="J1971">
        <v>0.70699999999999996</v>
      </c>
      <c r="K1971">
        <v>0.47099999999999997</v>
      </c>
      <c r="L1971">
        <v>154</v>
      </c>
      <c r="M1971">
        <v>15</v>
      </c>
      <c r="N1971">
        <v>9</v>
      </c>
      <c r="O1971">
        <v>0.753</v>
      </c>
      <c r="P1971">
        <v>0.39146000199999997</v>
      </c>
      <c r="Q1971">
        <v>0.26500000000000001</v>
      </c>
    </row>
    <row r="1972" spans="1:17" x14ac:dyDescent="0.2">
      <c r="A1972" s="30" t="str">
        <f>IF(C1972&amp;G1972&amp;D1972&lt;&gt;'Funnel setup'!$K$3&amp;'Funnel setup'!$K$4&amp;'Funnel setup'!$K$5,".",IF(A1971=".",1,A1971+1))</f>
        <v>.</v>
      </c>
      <c r="B1972" s="431" t="str">
        <f t="shared" si="30"/>
        <v>Hip Replacement PrimaryProviderCLIFTON PARK HOSPITAL (NVC28)EQ-5D Index</v>
      </c>
      <c r="C1972" t="s">
        <v>248</v>
      </c>
      <c r="D1972" t="s">
        <v>1</v>
      </c>
      <c r="E1972" t="s">
        <v>4229</v>
      </c>
      <c r="F1972" t="s">
        <v>4230</v>
      </c>
      <c r="G1972" t="s">
        <v>52</v>
      </c>
      <c r="H1972">
        <v>252</v>
      </c>
      <c r="I1972">
        <v>0.45200000000000001</v>
      </c>
      <c r="J1972">
        <v>0.85199999999999998</v>
      </c>
      <c r="K1972">
        <v>0.4</v>
      </c>
      <c r="L1972">
        <v>228</v>
      </c>
      <c r="M1972">
        <v>10</v>
      </c>
      <c r="N1972">
        <v>14</v>
      </c>
      <c r="O1972">
        <v>0.80700000000000005</v>
      </c>
      <c r="P1972">
        <v>0.44571838000000003</v>
      </c>
      <c r="Q1972">
        <v>0.19700000000000001</v>
      </c>
    </row>
    <row r="1973" spans="1:17" x14ac:dyDescent="0.2">
      <c r="A1973" s="30" t="str">
        <f>IF(C1973&amp;G1973&amp;D1973&lt;&gt;'Funnel setup'!$K$3&amp;'Funnel setup'!$K$4&amp;'Funnel setup'!$K$5,".",IF(A1972=".",1,A1972+1))</f>
        <v>.</v>
      </c>
      <c r="B1973" s="431" t="str">
        <f t="shared" si="30"/>
        <v>Hip Replacement PrimaryProviderCOLCHESTER HOSPITAL UNIVERSITY NHS FOUNDATION TRUST (RDE)EQ-5D Index</v>
      </c>
      <c r="C1973" t="s">
        <v>248</v>
      </c>
      <c r="D1973" t="s">
        <v>1</v>
      </c>
      <c r="E1973" t="s">
        <v>3109</v>
      </c>
      <c r="F1973" t="s">
        <v>3110</v>
      </c>
      <c r="G1973" t="s">
        <v>52</v>
      </c>
      <c r="H1973">
        <v>159</v>
      </c>
      <c r="I1973">
        <v>0.32200000000000001</v>
      </c>
      <c r="J1973">
        <v>0.74299999999999999</v>
      </c>
      <c r="K1973">
        <v>0.42099999999999999</v>
      </c>
      <c r="L1973">
        <v>138</v>
      </c>
      <c r="M1973">
        <v>10</v>
      </c>
      <c r="N1973">
        <v>11</v>
      </c>
      <c r="O1973">
        <v>0.77300000000000002</v>
      </c>
      <c r="P1973">
        <v>0.41148720599999999</v>
      </c>
      <c r="Q1973">
        <v>0.253</v>
      </c>
    </row>
    <row r="1974" spans="1:17" x14ac:dyDescent="0.2">
      <c r="A1974" s="30" t="str">
        <f>IF(C1974&amp;G1974&amp;D1974&lt;&gt;'Funnel setup'!$K$3&amp;'Funnel setup'!$K$4&amp;'Funnel setup'!$K$5,".",IF(A1973=".",1,A1973+1))</f>
        <v>.</v>
      </c>
      <c r="B1974" s="431" t="str">
        <f t="shared" si="30"/>
        <v>Hip Replacement PrimaryProviderCOUNTESS OF CHESTER HOSPITAL NHS FOUNDATION TRUST (RJR)EQ-5D Index</v>
      </c>
      <c r="C1974" t="s">
        <v>248</v>
      </c>
      <c r="D1974" t="s">
        <v>1</v>
      </c>
      <c r="E1974" t="s">
        <v>3781</v>
      </c>
      <c r="F1974" t="s">
        <v>3782</v>
      </c>
      <c r="G1974" t="s">
        <v>52</v>
      </c>
      <c r="H1974">
        <v>71</v>
      </c>
      <c r="I1974">
        <v>0.30499999999999999</v>
      </c>
      <c r="J1974">
        <v>0.75700000000000001</v>
      </c>
      <c r="K1974">
        <v>0.45200000000000001</v>
      </c>
      <c r="L1974">
        <v>64</v>
      </c>
      <c r="M1974">
        <v>3</v>
      </c>
      <c r="N1974">
        <v>4</v>
      </c>
      <c r="O1974">
        <v>0.79100000000000004</v>
      </c>
      <c r="P1974">
        <v>0.42938407499999998</v>
      </c>
      <c r="Q1974">
        <v>0.24399999999999999</v>
      </c>
    </row>
    <row r="1975" spans="1:17" x14ac:dyDescent="0.2">
      <c r="A1975" s="30" t="str">
        <f>IF(C1975&amp;G1975&amp;D1975&lt;&gt;'Funnel setup'!$K$3&amp;'Funnel setup'!$K$4&amp;'Funnel setup'!$K$5,".",IF(A1974=".",1,A1974+1))</f>
        <v>.</v>
      </c>
      <c r="B1975" s="431" t="str">
        <f t="shared" si="30"/>
        <v>Hip Replacement PrimaryProviderCOUNTY DURHAM AND DARLINGTON NHS FOUNDATION TRUST (RXP)EQ-5D Index</v>
      </c>
      <c r="C1975" t="s">
        <v>248</v>
      </c>
      <c r="D1975" t="s">
        <v>1</v>
      </c>
      <c r="E1975" t="s">
        <v>3784</v>
      </c>
      <c r="F1975" t="s">
        <v>3785</v>
      </c>
      <c r="G1975" t="s">
        <v>52</v>
      </c>
      <c r="H1975">
        <v>242</v>
      </c>
      <c r="I1975">
        <v>0.27100000000000002</v>
      </c>
      <c r="J1975">
        <v>0.76500000000000001</v>
      </c>
      <c r="K1975">
        <v>0.49399999999999999</v>
      </c>
      <c r="L1975">
        <v>218</v>
      </c>
      <c r="M1975">
        <v>12</v>
      </c>
      <c r="N1975">
        <v>12</v>
      </c>
      <c r="O1975">
        <v>0.80400000000000005</v>
      </c>
      <c r="P1975">
        <v>0.44260442700000002</v>
      </c>
      <c r="Q1975">
        <v>0.22500000000000001</v>
      </c>
    </row>
    <row r="1976" spans="1:17" x14ac:dyDescent="0.2">
      <c r="A1976" s="30" t="str">
        <f>IF(C1976&amp;G1976&amp;D1976&lt;&gt;'Funnel setup'!$K$3&amp;'Funnel setup'!$K$4&amp;'Funnel setup'!$K$5,".",IF(A1975=".",1,A1975+1))</f>
        <v>.</v>
      </c>
      <c r="B1976" s="431" t="str">
        <f t="shared" si="30"/>
        <v>Hip Replacement PrimaryProviderDARTFORD AND GRAVESHAM NHS TRUST (RN7)EQ-5D Index</v>
      </c>
      <c r="C1976" t="s">
        <v>248</v>
      </c>
      <c r="D1976" t="s">
        <v>1</v>
      </c>
      <c r="E1976" t="s">
        <v>3787</v>
      </c>
      <c r="F1976" t="s">
        <v>3788</v>
      </c>
      <c r="G1976" t="s">
        <v>52</v>
      </c>
      <c r="H1976">
        <v>144</v>
      </c>
      <c r="I1976">
        <v>0.373</v>
      </c>
      <c r="J1976">
        <v>0.79400000000000004</v>
      </c>
      <c r="K1976">
        <v>0.42099999999999999</v>
      </c>
      <c r="L1976">
        <v>119</v>
      </c>
      <c r="M1976">
        <v>12</v>
      </c>
      <c r="N1976">
        <v>13</v>
      </c>
      <c r="O1976">
        <v>0.79700000000000004</v>
      </c>
      <c r="P1976">
        <v>0.43577190900000001</v>
      </c>
      <c r="Q1976">
        <v>0.23100000000000001</v>
      </c>
    </row>
    <row r="1977" spans="1:17" x14ac:dyDescent="0.2">
      <c r="A1977" s="30" t="str">
        <f>IF(C1977&amp;G1977&amp;D1977&lt;&gt;'Funnel setup'!$K$3&amp;'Funnel setup'!$K$4&amp;'Funnel setup'!$K$5,".",IF(A1976=".",1,A1976+1))</f>
        <v>.</v>
      </c>
      <c r="B1977" s="431" t="str">
        <f t="shared" si="30"/>
        <v>Hip Replacement PrimaryProviderDERBY TEACHING HOSPITALS NHS FOUNDATION TRUST (RTG)EQ-5D Index</v>
      </c>
      <c r="C1977" t="s">
        <v>248</v>
      </c>
      <c r="D1977" t="s">
        <v>1</v>
      </c>
      <c r="E1977" t="s">
        <v>3790</v>
      </c>
      <c r="F1977" t="s">
        <v>3791</v>
      </c>
      <c r="G1977" t="s">
        <v>52</v>
      </c>
      <c r="H1977">
        <v>373</v>
      </c>
      <c r="I1977">
        <v>0.379</v>
      </c>
      <c r="J1977">
        <v>0.76700000000000002</v>
      </c>
      <c r="K1977">
        <v>0.38800000000000001</v>
      </c>
      <c r="L1977">
        <v>325</v>
      </c>
      <c r="M1977">
        <v>25</v>
      </c>
      <c r="N1977">
        <v>23</v>
      </c>
      <c r="O1977">
        <v>0.76800000000000002</v>
      </c>
      <c r="P1977">
        <v>0.40608039499999998</v>
      </c>
      <c r="Q1977">
        <v>0.22800000000000001</v>
      </c>
    </row>
    <row r="1978" spans="1:17" x14ac:dyDescent="0.2">
      <c r="A1978" s="30" t="str">
        <f>IF(C1978&amp;G1978&amp;D1978&lt;&gt;'Funnel setup'!$K$3&amp;'Funnel setup'!$K$4&amp;'Funnel setup'!$K$5,".",IF(A1977=".",1,A1977+1))</f>
        <v>.</v>
      </c>
      <c r="B1978" s="431" t="str">
        <f t="shared" si="30"/>
        <v>Hip Replacement PrimaryProviderDONCASTER AND BASSETLAW HOSPITALS NHS FOUNDATION TRUST (RP5)EQ-5D Index</v>
      </c>
      <c r="C1978" t="s">
        <v>248</v>
      </c>
      <c r="D1978" t="s">
        <v>1</v>
      </c>
      <c r="E1978" t="s">
        <v>3799</v>
      </c>
      <c r="F1978" t="s">
        <v>3800</v>
      </c>
      <c r="G1978" t="s">
        <v>52</v>
      </c>
      <c r="H1978">
        <v>258</v>
      </c>
      <c r="I1978">
        <v>0.28599999999999998</v>
      </c>
      <c r="J1978">
        <v>0.74399999999999999</v>
      </c>
      <c r="K1978">
        <v>0.45800000000000002</v>
      </c>
      <c r="L1978">
        <v>231</v>
      </c>
      <c r="M1978">
        <v>16</v>
      </c>
      <c r="N1978">
        <v>11</v>
      </c>
      <c r="O1978">
        <v>0.78400000000000003</v>
      </c>
      <c r="P1978">
        <v>0.42264632400000002</v>
      </c>
      <c r="Q1978">
        <v>0.246</v>
      </c>
    </row>
    <row r="1979" spans="1:17" x14ac:dyDescent="0.2">
      <c r="A1979" s="30" t="str">
        <f>IF(C1979&amp;G1979&amp;D1979&lt;&gt;'Funnel setup'!$K$3&amp;'Funnel setup'!$K$4&amp;'Funnel setup'!$K$5,".",IF(A1978=".",1,A1978+1))</f>
        <v>.</v>
      </c>
      <c r="B1979" s="431" t="str">
        <f t="shared" si="30"/>
        <v>Hip Replacement PrimaryProviderDORSET COUNTY HOSPITAL NHS FOUNDATION TRUST (RBD)EQ-5D Index</v>
      </c>
      <c r="C1979" t="s">
        <v>248</v>
      </c>
      <c r="D1979" t="s">
        <v>1</v>
      </c>
      <c r="E1979" t="s">
        <v>3802</v>
      </c>
      <c r="F1979" t="s">
        <v>3803</v>
      </c>
      <c r="G1979" t="s">
        <v>52</v>
      </c>
      <c r="H1979">
        <v>179</v>
      </c>
      <c r="I1979">
        <v>0.40600000000000003</v>
      </c>
      <c r="J1979">
        <v>0.82599999999999996</v>
      </c>
      <c r="K1979">
        <v>0.42</v>
      </c>
      <c r="L1979">
        <v>160</v>
      </c>
      <c r="M1979">
        <v>10</v>
      </c>
      <c r="N1979">
        <v>9</v>
      </c>
      <c r="O1979">
        <v>0.82399999999999995</v>
      </c>
      <c r="P1979">
        <v>0.46212897600000002</v>
      </c>
      <c r="Q1979">
        <v>0.19700000000000001</v>
      </c>
    </row>
    <row r="1980" spans="1:17" x14ac:dyDescent="0.2">
      <c r="A1980" s="30" t="str">
        <f>IF(C1980&amp;G1980&amp;D1980&lt;&gt;'Funnel setup'!$K$3&amp;'Funnel setup'!$K$4&amp;'Funnel setup'!$K$5,".",IF(A1979=".",1,A1979+1))</f>
        <v>.</v>
      </c>
      <c r="B1980" s="431" t="str">
        <f t="shared" si="30"/>
        <v>Hip Replacement PrimaryProviderDUCHY HOSPITAL (NVC04)EQ-5D Index</v>
      </c>
      <c r="C1980" t="s">
        <v>248</v>
      </c>
      <c r="D1980" t="s">
        <v>1</v>
      </c>
      <c r="E1980" t="s">
        <v>4518</v>
      </c>
      <c r="F1980" t="s">
        <v>4519</v>
      </c>
      <c r="G1980" t="s">
        <v>52</v>
      </c>
      <c r="H1980">
        <v>337</v>
      </c>
      <c r="I1980">
        <v>0.441</v>
      </c>
      <c r="J1980">
        <v>0.83399999999999996</v>
      </c>
      <c r="K1980">
        <v>0.39300000000000002</v>
      </c>
      <c r="L1980">
        <v>302</v>
      </c>
      <c r="M1980">
        <v>21</v>
      </c>
      <c r="N1980">
        <v>14</v>
      </c>
      <c r="O1980">
        <v>0.81200000000000006</v>
      </c>
      <c r="P1980">
        <v>0.45017549899999998</v>
      </c>
      <c r="Q1980">
        <v>0.19</v>
      </c>
    </row>
    <row r="1981" spans="1:17" x14ac:dyDescent="0.2">
      <c r="A1981" s="30" t="str">
        <f>IF(C1981&amp;G1981&amp;D1981&lt;&gt;'Funnel setup'!$K$3&amp;'Funnel setup'!$K$4&amp;'Funnel setup'!$K$5,".",IF(A1980=".",1,A1980+1))</f>
        <v>.</v>
      </c>
      <c r="B1981" s="431" t="str">
        <f t="shared" si="30"/>
        <v>Hip Replacement PrimaryProviderEAST AND NORTH HERTFORDSHIRE NHS TRUST (RWH)EQ-5D Index</v>
      </c>
      <c r="C1981" t="s">
        <v>248</v>
      </c>
      <c r="D1981" t="s">
        <v>1</v>
      </c>
      <c r="E1981" t="s">
        <v>3814</v>
      </c>
      <c r="F1981" t="s">
        <v>3815</v>
      </c>
      <c r="G1981" t="s">
        <v>52</v>
      </c>
      <c r="H1981">
        <v>147</v>
      </c>
      <c r="I1981">
        <v>0.247</v>
      </c>
      <c r="J1981">
        <v>0.76900000000000002</v>
      </c>
      <c r="K1981">
        <v>0.52300000000000002</v>
      </c>
      <c r="L1981">
        <v>139</v>
      </c>
      <c r="M1981">
        <v>1</v>
      </c>
      <c r="N1981">
        <v>7</v>
      </c>
      <c r="O1981">
        <v>0.78600000000000003</v>
      </c>
      <c r="P1981">
        <v>0.42451098999999998</v>
      </c>
      <c r="Q1981">
        <v>0.25</v>
      </c>
    </row>
    <row r="1982" spans="1:17" x14ac:dyDescent="0.2">
      <c r="A1982" s="30" t="str">
        <f>IF(C1982&amp;G1982&amp;D1982&lt;&gt;'Funnel setup'!$K$3&amp;'Funnel setup'!$K$4&amp;'Funnel setup'!$K$5,".",IF(A1981=".",1,A1981+1))</f>
        <v>.</v>
      </c>
      <c r="B1982" s="431" t="str">
        <f t="shared" si="30"/>
        <v>Hip Replacement PrimaryProviderEAST CHESHIRE NHS TRUST (RJN)EQ-5D Index</v>
      </c>
      <c r="C1982" t="s">
        <v>248</v>
      </c>
      <c r="D1982" t="s">
        <v>1</v>
      </c>
      <c r="E1982" t="s">
        <v>3817</v>
      </c>
      <c r="F1982" t="s">
        <v>3818</v>
      </c>
      <c r="G1982" t="s">
        <v>52</v>
      </c>
      <c r="H1982">
        <v>83</v>
      </c>
      <c r="I1982">
        <v>0.29199999999999998</v>
      </c>
      <c r="J1982">
        <v>0.74399999999999999</v>
      </c>
      <c r="K1982">
        <v>0.45200000000000001</v>
      </c>
      <c r="L1982">
        <v>74</v>
      </c>
      <c r="M1982">
        <v>3</v>
      </c>
      <c r="N1982">
        <v>6</v>
      </c>
      <c r="O1982">
        <v>0.77400000000000002</v>
      </c>
      <c r="P1982">
        <v>0.41249982499999999</v>
      </c>
      <c r="Q1982">
        <v>0.245</v>
      </c>
    </row>
    <row r="1983" spans="1:17" x14ac:dyDescent="0.2">
      <c r="A1983" s="30" t="str">
        <f>IF(C1983&amp;G1983&amp;D1983&lt;&gt;'Funnel setup'!$K$3&amp;'Funnel setup'!$K$4&amp;'Funnel setup'!$K$5,".",IF(A1982=".",1,A1982+1))</f>
        <v>.</v>
      </c>
      <c r="B1983" s="431" t="str">
        <f t="shared" si="30"/>
        <v>Hip Replacement PrimaryProviderEAST KENT HOSPITALS UNIVERSITY NHS FOUNDATION TRUST (RVV)EQ-5D Index</v>
      </c>
      <c r="C1983" t="s">
        <v>248</v>
      </c>
      <c r="D1983" t="s">
        <v>1</v>
      </c>
      <c r="E1983" t="s">
        <v>3820</v>
      </c>
      <c r="F1983" t="s">
        <v>3821</v>
      </c>
      <c r="G1983" t="s">
        <v>52</v>
      </c>
      <c r="H1983">
        <v>319</v>
      </c>
      <c r="I1983">
        <v>0.36299999999999999</v>
      </c>
      <c r="J1983">
        <v>0.81100000000000005</v>
      </c>
      <c r="K1983">
        <v>0.44800000000000001</v>
      </c>
      <c r="L1983">
        <v>287</v>
      </c>
      <c r="M1983">
        <v>22</v>
      </c>
      <c r="N1983">
        <v>10</v>
      </c>
      <c r="O1983">
        <v>0.81799999999999995</v>
      </c>
      <c r="P1983">
        <v>0.456247652</v>
      </c>
      <c r="Q1983">
        <v>0.20200000000000001</v>
      </c>
    </row>
    <row r="1984" spans="1:17" x14ac:dyDescent="0.2">
      <c r="A1984" s="30" t="str">
        <f>IF(C1984&amp;G1984&amp;D1984&lt;&gt;'Funnel setup'!$K$3&amp;'Funnel setup'!$K$4&amp;'Funnel setup'!$K$5,".",IF(A1983=".",1,A1983+1))</f>
        <v>.</v>
      </c>
      <c r="B1984" s="431" t="str">
        <f t="shared" si="30"/>
        <v>Hip Replacement PrimaryProviderEAST LANCASHIRE HOSPITALS NHS TRUST (RXR)EQ-5D Index</v>
      </c>
      <c r="C1984" t="s">
        <v>248</v>
      </c>
      <c r="D1984" t="s">
        <v>1</v>
      </c>
      <c r="E1984" t="s">
        <v>3823</v>
      </c>
      <c r="F1984" t="s">
        <v>3824</v>
      </c>
      <c r="G1984" t="s">
        <v>52</v>
      </c>
      <c r="H1984">
        <v>153</v>
      </c>
      <c r="I1984">
        <v>0.28599999999999998</v>
      </c>
      <c r="J1984">
        <v>0.78300000000000003</v>
      </c>
      <c r="K1984">
        <v>0.497</v>
      </c>
      <c r="L1984">
        <v>145</v>
      </c>
      <c r="M1984">
        <v>5</v>
      </c>
      <c r="N1984">
        <v>3</v>
      </c>
      <c r="O1984">
        <v>0.81599999999999995</v>
      </c>
      <c r="P1984">
        <v>0.45427540700000002</v>
      </c>
      <c r="Q1984">
        <v>0.19400000000000001</v>
      </c>
    </row>
    <row r="1985" spans="1:17" x14ac:dyDescent="0.2">
      <c r="A1985" s="30" t="str">
        <f>IF(C1985&amp;G1985&amp;D1985&lt;&gt;'Funnel setup'!$K$3&amp;'Funnel setup'!$K$4&amp;'Funnel setup'!$K$5,".",IF(A1984=".",1,A1984+1))</f>
        <v>.</v>
      </c>
      <c r="B1985" s="431" t="str">
        <f t="shared" si="30"/>
        <v>Hip Replacement PrimaryProviderEAST SUSSEX HEALTHCARE NHS TRUST (RXC)EQ-5D Index</v>
      </c>
      <c r="C1985" t="s">
        <v>248</v>
      </c>
      <c r="D1985" t="s">
        <v>1</v>
      </c>
      <c r="E1985" t="s">
        <v>3826</v>
      </c>
      <c r="F1985" t="s">
        <v>3827</v>
      </c>
      <c r="G1985" t="s">
        <v>52</v>
      </c>
      <c r="H1985">
        <v>239</v>
      </c>
      <c r="I1985">
        <v>0.38600000000000001</v>
      </c>
      <c r="J1985">
        <v>0.80300000000000005</v>
      </c>
      <c r="K1985">
        <v>0.41699999999999998</v>
      </c>
      <c r="L1985">
        <v>207</v>
      </c>
      <c r="M1985">
        <v>18</v>
      </c>
      <c r="N1985">
        <v>14</v>
      </c>
      <c r="O1985">
        <v>0.81100000000000005</v>
      </c>
      <c r="P1985">
        <v>0.44955848799999998</v>
      </c>
      <c r="Q1985">
        <v>0.20100000000000001</v>
      </c>
    </row>
    <row r="1986" spans="1:17" x14ac:dyDescent="0.2">
      <c r="A1986" s="30" t="str">
        <f>IF(C1986&amp;G1986&amp;D1986&lt;&gt;'Funnel setup'!$K$3&amp;'Funnel setup'!$K$4&amp;'Funnel setup'!$K$5,".",IF(A1985=".",1,A1985+1))</f>
        <v>.</v>
      </c>
      <c r="B1986" s="431" t="str">
        <f t="shared" si="30"/>
        <v>Hip Replacement PrimaryProviderEMERSONS GREEN NHS TREATMENT CENTRE (NTPH2)EQ-5D Index</v>
      </c>
      <c r="C1986" t="s">
        <v>248</v>
      </c>
      <c r="D1986" t="s">
        <v>1</v>
      </c>
      <c r="E1986" t="s">
        <v>3829</v>
      </c>
      <c r="F1986" t="s">
        <v>3830</v>
      </c>
      <c r="G1986" t="s">
        <v>52</v>
      </c>
      <c r="H1986">
        <v>356</v>
      </c>
      <c r="I1986">
        <v>0.46100000000000002</v>
      </c>
      <c r="J1986">
        <v>0.86899999999999999</v>
      </c>
      <c r="K1986">
        <v>0.40799999999999997</v>
      </c>
      <c r="L1986">
        <v>331</v>
      </c>
      <c r="M1986">
        <v>13</v>
      </c>
      <c r="N1986">
        <v>12</v>
      </c>
      <c r="O1986">
        <v>0.82299999999999995</v>
      </c>
      <c r="P1986">
        <v>0.461079352</v>
      </c>
      <c r="Q1986">
        <v>0.17199999999999999</v>
      </c>
    </row>
    <row r="1987" spans="1:17" x14ac:dyDescent="0.2">
      <c r="A1987" s="30" t="str">
        <f>IF(C1987&amp;G1987&amp;D1987&lt;&gt;'Funnel setup'!$K$3&amp;'Funnel setup'!$K$4&amp;'Funnel setup'!$K$5,".",IF(A1986=".",1,A1986+1))</f>
        <v>.</v>
      </c>
      <c r="B1987" s="431" t="str">
        <f t="shared" ref="B1987:B2050" si="31">C1987&amp;D1987&amp;F1987&amp;G1987</f>
        <v>Hip Replacement PrimaryProviderEPSOM AND ST HELIER UNIVERSITY HOSPITALS NHS TRUST (RVR)EQ-5D Index</v>
      </c>
      <c r="C1987" t="s">
        <v>248</v>
      </c>
      <c r="D1987" t="s">
        <v>1</v>
      </c>
      <c r="E1987" t="s">
        <v>3849</v>
      </c>
      <c r="F1987" t="s">
        <v>3850</v>
      </c>
      <c r="G1987" t="s">
        <v>52</v>
      </c>
      <c r="H1987">
        <v>621</v>
      </c>
      <c r="I1987">
        <v>0.42</v>
      </c>
      <c r="J1987">
        <v>0.81100000000000005</v>
      </c>
      <c r="K1987">
        <v>0.39100000000000001</v>
      </c>
      <c r="L1987">
        <v>543</v>
      </c>
      <c r="M1987">
        <v>41</v>
      </c>
      <c r="N1987">
        <v>37</v>
      </c>
      <c r="O1987">
        <v>0.79300000000000004</v>
      </c>
      <c r="P1987">
        <v>0.43181897699999999</v>
      </c>
      <c r="Q1987">
        <v>0.221</v>
      </c>
    </row>
    <row r="1988" spans="1:17" x14ac:dyDescent="0.2">
      <c r="A1988" s="30" t="str">
        <f>IF(C1988&amp;G1988&amp;D1988&lt;&gt;'Funnel setup'!$K$3&amp;'Funnel setup'!$K$4&amp;'Funnel setup'!$K$5,".",IF(A1987=".",1,A1987+1))</f>
        <v>.</v>
      </c>
      <c r="B1988" s="431" t="str">
        <f t="shared" si="31"/>
        <v>Hip Replacement PrimaryProviderEUXTON HALL HOSPITAL (NVC05)EQ-5D Index</v>
      </c>
      <c r="C1988" t="s">
        <v>248</v>
      </c>
      <c r="D1988" t="s">
        <v>1</v>
      </c>
      <c r="E1988" t="s">
        <v>3852</v>
      </c>
      <c r="F1988" t="s">
        <v>3853</v>
      </c>
      <c r="G1988" t="s">
        <v>52</v>
      </c>
      <c r="H1988">
        <v>64</v>
      </c>
      <c r="I1988">
        <v>0.45200000000000001</v>
      </c>
      <c r="J1988">
        <v>0.83399999999999996</v>
      </c>
      <c r="K1988">
        <v>0.38300000000000001</v>
      </c>
      <c r="L1988">
        <v>57</v>
      </c>
      <c r="M1988">
        <v>3</v>
      </c>
      <c r="N1988">
        <v>4</v>
      </c>
      <c r="O1988">
        <v>0.80500000000000005</v>
      </c>
      <c r="P1988">
        <v>0.44328844499999998</v>
      </c>
      <c r="Q1988">
        <v>0.23</v>
      </c>
    </row>
    <row r="1989" spans="1:17" x14ac:dyDescent="0.2">
      <c r="A1989" s="30" t="str">
        <f>IF(C1989&amp;G1989&amp;D1989&lt;&gt;'Funnel setup'!$K$3&amp;'Funnel setup'!$K$4&amp;'Funnel setup'!$K$5,".",IF(A1988=".",1,A1988+1))</f>
        <v>.</v>
      </c>
      <c r="B1989" s="431" t="str">
        <f t="shared" si="31"/>
        <v>Hip Replacement PrimaryProviderFAIRFIELD HOSPITAL (NVG01)EQ-5D Index</v>
      </c>
      <c r="C1989" t="s">
        <v>248</v>
      </c>
      <c r="D1989" t="s">
        <v>1</v>
      </c>
      <c r="E1989" t="s">
        <v>3855</v>
      </c>
      <c r="F1989" t="s">
        <v>3856</v>
      </c>
      <c r="G1989" t="s">
        <v>52</v>
      </c>
      <c r="H1989" t="s">
        <v>53</v>
      </c>
      <c r="I1989" t="s">
        <v>53</v>
      </c>
      <c r="J1989" t="s">
        <v>53</v>
      </c>
      <c r="K1989" t="s">
        <v>53</v>
      </c>
      <c r="L1989" t="s">
        <v>53</v>
      </c>
      <c r="M1989" t="s">
        <v>53</v>
      </c>
      <c r="N1989" t="s">
        <v>53</v>
      </c>
      <c r="O1989" t="s">
        <v>53</v>
      </c>
      <c r="P1989" t="s">
        <v>53</v>
      </c>
      <c r="Q1989" t="s">
        <v>53</v>
      </c>
    </row>
    <row r="1990" spans="1:17" x14ac:dyDescent="0.2">
      <c r="A1990" s="30" t="str">
        <f>IF(C1990&amp;G1990&amp;D1990&lt;&gt;'Funnel setup'!$K$3&amp;'Funnel setup'!$K$4&amp;'Funnel setup'!$K$5,".",IF(A1989=".",1,A1989+1))</f>
        <v>.</v>
      </c>
      <c r="B1990" s="431" t="str">
        <f t="shared" si="31"/>
        <v>Hip Replacement PrimaryProviderFITZWILLIAM HOSPITAL (NVC06)EQ-5D Index</v>
      </c>
      <c r="C1990" t="s">
        <v>248</v>
      </c>
      <c r="D1990" t="s">
        <v>1</v>
      </c>
      <c r="E1990" t="s">
        <v>3858</v>
      </c>
      <c r="F1990" t="s">
        <v>3859</v>
      </c>
      <c r="G1990" t="s">
        <v>52</v>
      </c>
      <c r="H1990">
        <v>131</v>
      </c>
      <c r="I1990">
        <v>0.40899999999999997</v>
      </c>
      <c r="J1990">
        <v>0.82499999999999996</v>
      </c>
      <c r="K1990">
        <v>0.41599999999999998</v>
      </c>
      <c r="L1990">
        <v>120</v>
      </c>
      <c r="M1990">
        <v>6</v>
      </c>
      <c r="N1990">
        <v>5</v>
      </c>
      <c r="O1990">
        <v>0.79400000000000004</v>
      </c>
      <c r="P1990">
        <v>0.432239182</v>
      </c>
      <c r="Q1990">
        <v>0.193</v>
      </c>
    </row>
    <row r="1991" spans="1:17" x14ac:dyDescent="0.2">
      <c r="A1991" s="30" t="str">
        <f>IF(C1991&amp;G1991&amp;D1991&lt;&gt;'Funnel setup'!$K$3&amp;'Funnel setup'!$K$4&amp;'Funnel setup'!$K$5,".",IF(A1990=".",1,A1990+1))</f>
        <v>.</v>
      </c>
      <c r="B1991" s="431" t="str">
        <f t="shared" si="31"/>
        <v>Hip Replacement PrimaryProviderFOSCOTE COURT (BANBURY) TRUST LTD (AHH)EQ-5D Index</v>
      </c>
      <c r="C1991" t="s">
        <v>248</v>
      </c>
      <c r="D1991" t="s">
        <v>1</v>
      </c>
      <c r="E1991" t="s">
        <v>3900</v>
      </c>
      <c r="F1991" t="s">
        <v>3901</v>
      </c>
      <c r="G1991" t="s">
        <v>52</v>
      </c>
      <c r="H1991" t="s">
        <v>53</v>
      </c>
      <c r="I1991" t="s">
        <v>53</v>
      </c>
      <c r="J1991" t="s">
        <v>53</v>
      </c>
      <c r="K1991" t="s">
        <v>53</v>
      </c>
      <c r="L1991" t="s">
        <v>53</v>
      </c>
      <c r="M1991" t="s">
        <v>53</v>
      </c>
      <c r="N1991" t="s">
        <v>53</v>
      </c>
      <c r="O1991" t="s">
        <v>53</v>
      </c>
      <c r="P1991" t="s">
        <v>53</v>
      </c>
      <c r="Q1991" t="s">
        <v>53</v>
      </c>
    </row>
    <row r="1992" spans="1:17" x14ac:dyDescent="0.2">
      <c r="A1992" s="30" t="str">
        <f>IF(C1992&amp;G1992&amp;D1992&lt;&gt;'Funnel setup'!$K$3&amp;'Funnel setup'!$K$4&amp;'Funnel setup'!$K$5,".",IF(A1991=".",1,A1991+1))</f>
        <v>.</v>
      </c>
      <c r="B1992" s="431" t="str">
        <f t="shared" si="31"/>
        <v>Hip Replacement PrimaryProviderFRIMLEY HEALTH NHS FOUNDATION TRUST (RDU)EQ-5D Index</v>
      </c>
      <c r="C1992" t="s">
        <v>248</v>
      </c>
      <c r="D1992" t="s">
        <v>1</v>
      </c>
      <c r="E1992" t="s">
        <v>3861</v>
      </c>
      <c r="F1992" t="s">
        <v>3862</v>
      </c>
      <c r="G1992" t="s">
        <v>52</v>
      </c>
      <c r="H1992">
        <v>475</v>
      </c>
      <c r="I1992">
        <v>0.42499999999999999</v>
      </c>
      <c r="J1992">
        <v>0.83299999999999996</v>
      </c>
      <c r="K1992">
        <v>0.40799999999999997</v>
      </c>
      <c r="L1992">
        <v>430</v>
      </c>
      <c r="M1992">
        <v>27</v>
      </c>
      <c r="N1992">
        <v>18</v>
      </c>
      <c r="O1992">
        <v>0.80700000000000005</v>
      </c>
      <c r="P1992">
        <v>0.44563324900000001</v>
      </c>
      <c r="Q1992">
        <v>0.19</v>
      </c>
    </row>
    <row r="1993" spans="1:17" x14ac:dyDescent="0.2">
      <c r="A1993" s="30" t="str">
        <f>IF(C1993&amp;G1993&amp;D1993&lt;&gt;'Funnel setup'!$K$3&amp;'Funnel setup'!$K$4&amp;'Funnel setup'!$K$5,".",IF(A1992=".",1,A1992+1))</f>
        <v>.</v>
      </c>
      <c r="B1993" s="431" t="str">
        <f t="shared" si="31"/>
        <v>Hip Replacement PrimaryProviderFULWOOD HALL HOSPITAL (NVC07)EQ-5D Index</v>
      </c>
      <c r="C1993" t="s">
        <v>248</v>
      </c>
      <c r="D1993" t="s">
        <v>1</v>
      </c>
      <c r="E1993" t="s">
        <v>3864</v>
      </c>
      <c r="F1993" t="s">
        <v>3865</v>
      </c>
      <c r="G1993" t="s">
        <v>52</v>
      </c>
      <c r="H1993">
        <v>179</v>
      </c>
      <c r="I1993">
        <v>0.375</v>
      </c>
      <c r="J1993">
        <v>0.80100000000000005</v>
      </c>
      <c r="K1993">
        <v>0.42599999999999999</v>
      </c>
      <c r="L1993">
        <v>156</v>
      </c>
      <c r="M1993">
        <v>10</v>
      </c>
      <c r="N1993">
        <v>13</v>
      </c>
      <c r="O1993">
        <v>0.80400000000000005</v>
      </c>
      <c r="P1993">
        <v>0.44249960700000002</v>
      </c>
      <c r="Q1993">
        <v>0.21099999999999999</v>
      </c>
    </row>
    <row r="1994" spans="1:17" x14ac:dyDescent="0.2">
      <c r="A1994" s="30" t="str">
        <f>IF(C1994&amp;G1994&amp;D1994&lt;&gt;'Funnel setup'!$K$3&amp;'Funnel setup'!$K$4&amp;'Funnel setup'!$K$5,".",IF(A1993=".",1,A1993+1))</f>
        <v>.</v>
      </c>
      <c r="B1994" s="431" t="str">
        <f t="shared" si="31"/>
        <v>Hip Replacement PrimaryProviderGATESHEAD HEALTH NHS FOUNDATION TRUST (RR7)EQ-5D Index</v>
      </c>
      <c r="C1994" t="s">
        <v>248</v>
      </c>
      <c r="D1994" t="s">
        <v>1</v>
      </c>
      <c r="E1994" t="s">
        <v>3867</v>
      </c>
      <c r="F1994" t="s">
        <v>3868</v>
      </c>
      <c r="G1994" t="s">
        <v>52</v>
      </c>
      <c r="H1994">
        <v>187</v>
      </c>
      <c r="I1994">
        <v>0.315</v>
      </c>
      <c r="J1994">
        <v>0.77800000000000002</v>
      </c>
      <c r="K1994">
        <v>0.46300000000000002</v>
      </c>
      <c r="L1994">
        <v>169</v>
      </c>
      <c r="M1994">
        <v>7</v>
      </c>
      <c r="N1994">
        <v>11</v>
      </c>
      <c r="O1994">
        <v>0.78900000000000003</v>
      </c>
      <c r="P1994">
        <v>0.42750081600000001</v>
      </c>
      <c r="Q1994">
        <v>0.22</v>
      </c>
    </row>
    <row r="1995" spans="1:17" x14ac:dyDescent="0.2">
      <c r="A1995" s="30" t="str">
        <f>IF(C1995&amp;G1995&amp;D1995&lt;&gt;'Funnel setup'!$K$3&amp;'Funnel setup'!$K$4&amp;'Funnel setup'!$K$5,".",IF(A1994=".",1,A1994+1))</f>
        <v>.</v>
      </c>
      <c r="B1995" s="431" t="str">
        <f t="shared" si="31"/>
        <v>Hip Replacement PrimaryProviderGEORGE ELIOT HOSPITAL NHS TRUST (RLT)EQ-5D Index</v>
      </c>
      <c r="C1995" t="s">
        <v>248</v>
      </c>
      <c r="D1995" t="s">
        <v>1</v>
      </c>
      <c r="E1995" t="s">
        <v>3870</v>
      </c>
      <c r="F1995" t="s">
        <v>3871</v>
      </c>
      <c r="G1995" t="s">
        <v>52</v>
      </c>
      <c r="H1995">
        <v>59</v>
      </c>
      <c r="I1995">
        <v>0.33100000000000002</v>
      </c>
      <c r="J1995">
        <v>0.77300000000000002</v>
      </c>
      <c r="K1995">
        <v>0.442</v>
      </c>
      <c r="L1995">
        <v>54</v>
      </c>
      <c r="M1995">
        <v>3</v>
      </c>
      <c r="N1995">
        <v>2</v>
      </c>
      <c r="O1995">
        <v>0.77100000000000002</v>
      </c>
      <c r="P1995">
        <v>0.40968739999999998</v>
      </c>
      <c r="Q1995">
        <v>0.20300000000000001</v>
      </c>
    </row>
    <row r="1996" spans="1:17" x14ac:dyDescent="0.2">
      <c r="A1996" s="30" t="str">
        <f>IF(C1996&amp;G1996&amp;D1996&lt;&gt;'Funnel setup'!$K$3&amp;'Funnel setup'!$K$4&amp;'Funnel setup'!$K$5,".",IF(A1995=".",1,A1995+1))</f>
        <v>.</v>
      </c>
      <c r="B1996" s="431" t="str">
        <f t="shared" si="31"/>
        <v>Hip Replacement PrimaryProviderGLOUCESTERSHIRE HOSPITALS NHS FOUNDATION TRUST (RTE)EQ-5D Index</v>
      </c>
      <c r="C1996" t="s">
        <v>248</v>
      </c>
      <c r="D1996" t="s">
        <v>1</v>
      </c>
      <c r="E1996" t="s">
        <v>3873</v>
      </c>
      <c r="F1996" t="s">
        <v>3874</v>
      </c>
      <c r="G1996" t="s">
        <v>52</v>
      </c>
      <c r="H1996">
        <v>355</v>
      </c>
      <c r="I1996">
        <v>0.41799999999999998</v>
      </c>
      <c r="J1996">
        <v>0.80400000000000005</v>
      </c>
      <c r="K1996">
        <v>0.38500000000000001</v>
      </c>
      <c r="L1996">
        <v>307</v>
      </c>
      <c r="M1996">
        <v>22</v>
      </c>
      <c r="N1996">
        <v>26</v>
      </c>
      <c r="O1996">
        <v>0.78200000000000003</v>
      </c>
      <c r="P1996">
        <v>0.42007771799999999</v>
      </c>
      <c r="Q1996">
        <v>0.20200000000000001</v>
      </c>
    </row>
    <row r="1997" spans="1:17" x14ac:dyDescent="0.2">
      <c r="A1997" s="30" t="str">
        <f>IF(C1997&amp;G1997&amp;D1997&lt;&gt;'Funnel setup'!$K$3&amp;'Funnel setup'!$K$4&amp;'Funnel setup'!$K$5,".",IF(A1996=".",1,A1996+1))</f>
        <v>.</v>
      </c>
      <c r="B1997" s="431" t="str">
        <f t="shared" si="31"/>
        <v>Hip Replacement PrimaryProviderGREAT WESTERN HOSPITALS NHS FOUNDATION TRUST (RN3)EQ-5D Index</v>
      </c>
      <c r="C1997" t="s">
        <v>248</v>
      </c>
      <c r="D1997" t="s">
        <v>1</v>
      </c>
      <c r="E1997" t="s">
        <v>3876</v>
      </c>
      <c r="F1997" t="s">
        <v>3877</v>
      </c>
      <c r="G1997" t="s">
        <v>52</v>
      </c>
      <c r="H1997">
        <v>206</v>
      </c>
      <c r="I1997">
        <v>0.27900000000000003</v>
      </c>
      <c r="J1997">
        <v>0.78800000000000003</v>
      </c>
      <c r="K1997">
        <v>0.50900000000000001</v>
      </c>
      <c r="L1997">
        <v>186</v>
      </c>
      <c r="M1997">
        <v>11</v>
      </c>
      <c r="N1997">
        <v>9</v>
      </c>
      <c r="O1997">
        <v>0.80100000000000005</v>
      </c>
      <c r="P1997">
        <v>0.439490569</v>
      </c>
      <c r="Q1997">
        <v>0.222</v>
      </c>
    </row>
    <row r="1998" spans="1:17" x14ac:dyDescent="0.2">
      <c r="A1998" s="30" t="str">
        <f>IF(C1998&amp;G1998&amp;D1998&lt;&gt;'Funnel setup'!$K$3&amp;'Funnel setup'!$K$4&amp;'Funnel setup'!$K$5,".",IF(A1997=".",1,A1997+1))</f>
        <v>.</v>
      </c>
      <c r="B1998" s="431" t="str">
        <f t="shared" si="31"/>
        <v>Hip Replacement PrimaryProviderGUY'S AND ST THOMAS' NHS FOUNDATION TRUST (RJ1)EQ-5D Index</v>
      </c>
      <c r="C1998" t="s">
        <v>248</v>
      </c>
      <c r="D1998" t="s">
        <v>1</v>
      </c>
      <c r="E1998" t="s">
        <v>3879</v>
      </c>
      <c r="F1998" t="s">
        <v>3880</v>
      </c>
      <c r="G1998" t="s">
        <v>52</v>
      </c>
      <c r="H1998">
        <v>119</v>
      </c>
      <c r="I1998">
        <v>0.371</v>
      </c>
      <c r="J1998">
        <v>0.80300000000000005</v>
      </c>
      <c r="K1998">
        <v>0.432</v>
      </c>
      <c r="L1998">
        <v>107</v>
      </c>
      <c r="M1998">
        <v>3</v>
      </c>
      <c r="N1998">
        <v>9</v>
      </c>
      <c r="O1998">
        <v>0.81100000000000005</v>
      </c>
      <c r="P1998">
        <v>0.44940028500000001</v>
      </c>
      <c r="Q1998">
        <v>0.25</v>
      </c>
    </row>
    <row r="1999" spans="1:17" x14ac:dyDescent="0.2">
      <c r="A1999" s="30" t="str">
        <f>IF(C1999&amp;G1999&amp;D1999&lt;&gt;'Funnel setup'!$K$3&amp;'Funnel setup'!$K$4&amp;'Funnel setup'!$K$5,".",IF(A1998=".",1,A1998+1))</f>
        <v>.</v>
      </c>
      <c r="B1999" s="431" t="str">
        <f t="shared" si="31"/>
        <v>Hip Replacement PrimaryProviderHAMPSHIRE HOSPITALS NHS FOUNDATION TRUST (RN5)EQ-5D Index</v>
      </c>
      <c r="C1999" t="s">
        <v>248</v>
      </c>
      <c r="D1999" t="s">
        <v>1</v>
      </c>
      <c r="E1999" t="s">
        <v>3882</v>
      </c>
      <c r="F1999" t="s">
        <v>3883</v>
      </c>
      <c r="G1999" t="s">
        <v>52</v>
      </c>
      <c r="H1999">
        <v>283</v>
      </c>
      <c r="I1999">
        <v>0.41699999999999998</v>
      </c>
      <c r="J1999">
        <v>0.82799999999999996</v>
      </c>
      <c r="K1999">
        <v>0.41099999999999998</v>
      </c>
      <c r="L1999">
        <v>261</v>
      </c>
      <c r="M1999">
        <v>11</v>
      </c>
      <c r="N1999">
        <v>11</v>
      </c>
      <c r="O1999">
        <v>0.80200000000000005</v>
      </c>
      <c r="P1999">
        <v>0.44025381099999999</v>
      </c>
      <c r="Q1999">
        <v>0.20799999999999999</v>
      </c>
    </row>
    <row r="2000" spans="1:17" x14ac:dyDescent="0.2">
      <c r="A2000" s="30" t="str">
        <f>IF(C2000&amp;G2000&amp;D2000&lt;&gt;'Funnel setup'!$K$3&amp;'Funnel setup'!$K$4&amp;'Funnel setup'!$K$5,".",IF(A1999=".",1,A1999+1))</f>
        <v>.</v>
      </c>
      <c r="B2000" s="431" t="str">
        <f t="shared" si="31"/>
        <v>Hip Replacement PrimaryProviderHARROGATE AND DISTRICT NHS FOUNDATION TRUST (RCD)EQ-5D Index</v>
      </c>
      <c r="C2000" t="s">
        <v>248</v>
      </c>
      <c r="D2000" t="s">
        <v>1</v>
      </c>
      <c r="E2000" t="s">
        <v>3885</v>
      </c>
      <c r="F2000" t="s">
        <v>3886</v>
      </c>
      <c r="G2000" t="s">
        <v>52</v>
      </c>
      <c r="H2000">
        <v>255</v>
      </c>
      <c r="I2000">
        <v>0.41699999999999998</v>
      </c>
      <c r="J2000">
        <v>0.80900000000000005</v>
      </c>
      <c r="K2000">
        <v>0.39300000000000002</v>
      </c>
      <c r="L2000">
        <v>224</v>
      </c>
      <c r="M2000">
        <v>17</v>
      </c>
      <c r="N2000">
        <v>14</v>
      </c>
      <c r="O2000">
        <v>0.78</v>
      </c>
      <c r="P2000">
        <v>0.41821588199999998</v>
      </c>
      <c r="Q2000">
        <v>0.215</v>
      </c>
    </row>
    <row r="2001" spans="1:17" x14ac:dyDescent="0.2">
      <c r="A2001" s="30" t="str">
        <f>IF(C2001&amp;G2001&amp;D2001&lt;&gt;'Funnel setup'!$K$3&amp;'Funnel setup'!$K$4&amp;'Funnel setup'!$K$5,".",IF(A2000=".",1,A2000+1))</f>
        <v>.</v>
      </c>
      <c r="B2001" s="431" t="str">
        <f t="shared" si="31"/>
        <v>Hip Replacement PrimaryProviderHEART OF ENGLAND NHS FOUNDATION TRUST (RR1)EQ-5D Index</v>
      </c>
      <c r="C2001" t="s">
        <v>248</v>
      </c>
      <c r="D2001" t="s">
        <v>1</v>
      </c>
      <c r="E2001" t="s">
        <v>3888</v>
      </c>
      <c r="F2001" t="s">
        <v>3889</v>
      </c>
      <c r="G2001" t="s">
        <v>52</v>
      </c>
      <c r="H2001">
        <v>365</v>
      </c>
      <c r="I2001">
        <v>0.309</v>
      </c>
      <c r="J2001">
        <v>0.73599999999999999</v>
      </c>
      <c r="K2001">
        <v>0.42799999999999999</v>
      </c>
      <c r="L2001">
        <v>316</v>
      </c>
      <c r="M2001">
        <v>31</v>
      </c>
      <c r="N2001">
        <v>18</v>
      </c>
      <c r="O2001">
        <v>0.76600000000000001</v>
      </c>
      <c r="P2001">
        <v>0.40471575399999998</v>
      </c>
      <c r="Q2001">
        <v>0.217</v>
      </c>
    </row>
    <row r="2002" spans="1:17" x14ac:dyDescent="0.2">
      <c r="A2002" s="30" t="str">
        <f>IF(C2002&amp;G2002&amp;D2002&lt;&gt;'Funnel setup'!$K$3&amp;'Funnel setup'!$K$4&amp;'Funnel setup'!$K$5,".",IF(A2001=".",1,A2001+1))</f>
        <v>.</v>
      </c>
      <c r="B2002" s="431" t="str">
        <f t="shared" si="31"/>
        <v>Hip Replacement PrimaryProviderHINCHINGBROOKE HEALTH CARE NHS TRUST (RQQ)EQ-5D Index</v>
      </c>
      <c r="C2002" t="s">
        <v>248</v>
      </c>
      <c r="D2002" t="s">
        <v>1</v>
      </c>
      <c r="E2002" t="s">
        <v>3894</v>
      </c>
      <c r="F2002" t="s">
        <v>3895</v>
      </c>
      <c r="G2002" t="s">
        <v>52</v>
      </c>
      <c r="H2002">
        <v>212</v>
      </c>
      <c r="I2002">
        <v>0.33100000000000002</v>
      </c>
      <c r="J2002">
        <v>0.76700000000000002</v>
      </c>
      <c r="K2002">
        <v>0.437</v>
      </c>
      <c r="L2002">
        <v>189</v>
      </c>
      <c r="M2002">
        <v>10</v>
      </c>
      <c r="N2002">
        <v>13</v>
      </c>
      <c r="O2002">
        <v>0.77400000000000002</v>
      </c>
      <c r="P2002">
        <v>0.412779699</v>
      </c>
      <c r="Q2002">
        <v>0.23400000000000001</v>
      </c>
    </row>
    <row r="2003" spans="1:17" x14ac:dyDescent="0.2">
      <c r="A2003" s="30" t="str">
        <f>IF(C2003&amp;G2003&amp;D2003&lt;&gt;'Funnel setup'!$K$3&amp;'Funnel setup'!$K$4&amp;'Funnel setup'!$K$5,".",IF(A2002=".",1,A2002+1))</f>
        <v>.</v>
      </c>
      <c r="B2003" s="431" t="str">
        <f t="shared" si="31"/>
        <v>Hip Replacement PrimaryProviderHOMERTON UNIVERSITY HOSPITAL NHS FOUNDATION TRUST (RQX)EQ-5D Index</v>
      </c>
      <c r="C2003" t="s">
        <v>248</v>
      </c>
      <c r="D2003" t="s">
        <v>1</v>
      </c>
      <c r="E2003" t="s">
        <v>3897</v>
      </c>
      <c r="F2003" t="s">
        <v>3898</v>
      </c>
      <c r="G2003" t="s">
        <v>52</v>
      </c>
      <c r="H2003">
        <v>30</v>
      </c>
      <c r="I2003">
        <v>0.35699999999999998</v>
      </c>
      <c r="J2003">
        <v>0.629</v>
      </c>
      <c r="K2003">
        <v>0.27200000000000002</v>
      </c>
      <c r="L2003">
        <v>23</v>
      </c>
      <c r="M2003">
        <v>2</v>
      </c>
      <c r="N2003">
        <v>5</v>
      </c>
      <c r="O2003">
        <v>0.70099999999999996</v>
      </c>
      <c r="P2003">
        <v>0.339787318</v>
      </c>
      <c r="Q2003">
        <v>0.29899999999999999</v>
      </c>
    </row>
    <row r="2004" spans="1:17" x14ac:dyDescent="0.2">
      <c r="A2004" s="30" t="str">
        <f>IF(C2004&amp;G2004&amp;D2004&lt;&gt;'Funnel setup'!$K$3&amp;'Funnel setup'!$K$4&amp;'Funnel setup'!$K$5,".",IF(A2003=".",1,A2003+1))</f>
        <v>.</v>
      </c>
      <c r="B2004" s="431" t="str">
        <f t="shared" si="31"/>
        <v>Hip Replacement PrimaryProviderHORTON NHS TREATMENT CENTRE (NVC25)EQ-5D Index</v>
      </c>
      <c r="C2004" t="s">
        <v>248</v>
      </c>
      <c r="D2004" t="s">
        <v>1</v>
      </c>
      <c r="E2004" t="s">
        <v>4553</v>
      </c>
      <c r="F2004" t="s">
        <v>4554</v>
      </c>
      <c r="G2004" t="s">
        <v>52</v>
      </c>
      <c r="H2004">
        <v>174</v>
      </c>
      <c r="I2004">
        <v>0.36299999999999999</v>
      </c>
      <c r="J2004">
        <v>0.83099999999999996</v>
      </c>
      <c r="K2004">
        <v>0.46800000000000003</v>
      </c>
      <c r="L2004">
        <v>157</v>
      </c>
      <c r="M2004">
        <v>10</v>
      </c>
      <c r="N2004">
        <v>7</v>
      </c>
      <c r="O2004">
        <v>0.79500000000000004</v>
      </c>
      <c r="P2004">
        <v>0.43330140099999997</v>
      </c>
      <c r="Q2004">
        <v>0.19700000000000001</v>
      </c>
    </row>
    <row r="2005" spans="1:17" x14ac:dyDescent="0.2">
      <c r="A2005" s="30" t="str">
        <f>IF(C2005&amp;G2005&amp;D2005&lt;&gt;'Funnel setup'!$K$3&amp;'Funnel setup'!$K$4&amp;'Funnel setup'!$K$5,".",IF(A2004=".",1,A2004+1))</f>
        <v>.</v>
      </c>
      <c r="B2005" s="431" t="str">
        <f t="shared" si="31"/>
        <v>Hip Replacement PrimaryProviderHULL AND EAST YORKSHIRE HOSPITALS NHS TRUST (RWA)EQ-5D Index</v>
      </c>
      <c r="C2005" t="s">
        <v>248</v>
      </c>
      <c r="D2005" t="s">
        <v>1</v>
      </c>
      <c r="E2005" t="s">
        <v>3906</v>
      </c>
      <c r="F2005" t="s">
        <v>3907</v>
      </c>
      <c r="G2005" t="s">
        <v>52</v>
      </c>
      <c r="H2005">
        <v>262</v>
      </c>
      <c r="I2005">
        <v>0.35399999999999998</v>
      </c>
      <c r="J2005">
        <v>0.74199999999999999</v>
      </c>
      <c r="K2005">
        <v>0.38800000000000001</v>
      </c>
      <c r="L2005">
        <v>222</v>
      </c>
      <c r="M2005">
        <v>17</v>
      </c>
      <c r="N2005">
        <v>23</v>
      </c>
      <c r="O2005">
        <v>0.74399999999999999</v>
      </c>
      <c r="P2005">
        <v>0.38210973199999998</v>
      </c>
      <c r="Q2005">
        <v>0.248</v>
      </c>
    </row>
    <row r="2006" spans="1:17" x14ac:dyDescent="0.2">
      <c r="A2006" s="30" t="str">
        <f>IF(C2006&amp;G2006&amp;D2006&lt;&gt;'Funnel setup'!$K$3&amp;'Funnel setup'!$K$4&amp;'Funnel setup'!$K$5,".",IF(A2005=".",1,A2005+1))</f>
        <v>.</v>
      </c>
      <c r="B2006" s="431" t="str">
        <f t="shared" si="31"/>
        <v>Hip Replacement PrimaryProviderIMPERIAL COLLEGE HEALTHCARE NHS TRUST (RYJ)EQ-5D Index</v>
      </c>
      <c r="C2006" t="s">
        <v>248</v>
      </c>
      <c r="D2006" t="s">
        <v>1</v>
      </c>
      <c r="E2006" t="s">
        <v>4558</v>
      </c>
      <c r="F2006" t="s">
        <v>4559</v>
      </c>
      <c r="G2006" t="s">
        <v>52</v>
      </c>
      <c r="H2006">
        <v>68</v>
      </c>
      <c r="I2006">
        <v>0.24399999999999999</v>
      </c>
      <c r="J2006">
        <v>0.76600000000000001</v>
      </c>
      <c r="K2006">
        <v>0.52300000000000002</v>
      </c>
      <c r="L2006">
        <v>62</v>
      </c>
      <c r="M2006">
        <v>6</v>
      </c>
      <c r="N2006">
        <v>0</v>
      </c>
      <c r="O2006">
        <v>0.81299999999999994</v>
      </c>
      <c r="P2006">
        <v>0.45094954599999998</v>
      </c>
      <c r="Q2006">
        <v>0.25700000000000001</v>
      </c>
    </row>
    <row r="2007" spans="1:17" x14ac:dyDescent="0.2">
      <c r="A2007" s="30" t="str">
        <f>IF(C2007&amp;G2007&amp;D2007&lt;&gt;'Funnel setup'!$K$3&amp;'Funnel setup'!$K$4&amp;'Funnel setup'!$K$5,".",IF(A2006=".",1,A2006+1))</f>
        <v>.</v>
      </c>
      <c r="B2007" s="431" t="str">
        <f t="shared" si="31"/>
        <v>Hip Replacement PrimaryProviderIPSWICH HOSPITAL NHS TRUST (RGQ)EQ-5D Index</v>
      </c>
      <c r="C2007" t="s">
        <v>248</v>
      </c>
      <c r="D2007" t="s">
        <v>1</v>
      </c>
      <c r="E2007" t="s">
        <v>3909</v>
      </c>
      <c r="F2007" t="s">
        <v>3910</v>
      </c>
      <c r="G2007" t="s">
        <v>52</v>
      </c>
      <c r="H2007">
        <v>107</v>
      </c>
      <c r="I2007">
        <v>0.28599999999999998</v>
      </c>
      <c r="J2007">
        <v>0.76600000000000001</v>
      </c>
      <c r="K2007">
        <v>0.48</v>
      </c>
      <c r="L2007">
        <v>97</v>
      </c>
      <c r="M2007">
        <v>3</v>
      </c>
      <c r="N2007">
        <v>7</v>
      </c>
      <c r="O2007">
        <v>0.79800000000000004</v>
      </c>
      <c r="P2007">
        <v>0.43584676100000003</v>
      </c>
      <c r="Q2007">
        <v>0.249</v>
      </c>
    </row>
    <row r="2008" spans="1:17" x14ac:dyDescent="0.2">
      <c r="A2008" s="30" t="str">
        <f>IF(C2008&amp;G2008&amp;D2008&lt;&gt;'Funnel setup'!$K$3&amp;'Funnel setup'!$K$4&amp;'Funnel setup'!$K$5,".",IF(A2007=".",1,A2007+1))</f>
        <v>.</v>
      </c>
      <c r="B2008" s="431" t="str">
        <f t="shared" si="31"/>
        <v>Hip Replacement PrimaryProviderISLE OF WIGHT NHS TRUST (R1F)EQ-5D Index</v>
      </c>
      <c r="C2008" t="s">
        <v>248</v>
      </c>
      <c r="D2008" t="s">
        <v>1</v>
      </c>
      <c r="E2008" t="s">
        <v>3912</v>
      </c>
      <c r="F2008" t="s">
        <v>3913</v>
      </c>
      <c r="G2008" t="s">
        <v>52</v>
      </c>
      <c r="H2008">
        <v>83</v>
      </c>
      <c r="I2008">
        <v>0.39100000000000001</v>
      </c>
      <c r="J2008">
        <v>0.77</v>
      </c>
      <c r="K2008">
        <v>0.379</v>
      </c>
      <c r="L2008">
        <v>70</v>
      </c>
      <c r="M2008">
        <v>7</v>
      </c>
      <c r="N2008">
        <v>6</v>
      </c>
      <c r="O2008">
        <v>0.77300000000000002</v>
      </c>
      <c r="P2008">
        <v>0.41111228100000002</v>
      </c>
      <c r="Q2008">
        <v>0.21299999999999999</v>
      </c>
    </row>
    <row r="2009" spans="1:17" x14ac:dyDescent="0.2">
      <c r="A2009" s="30" t="str">
        <f>IF(C2009&amp;G2009&amp;D2009&lt;&gt;'Funnel setup'!$K$3&amp;'Funnel setup'!$K$4&amp;'Funnel setup'!$K$5,".",IF(A2008=".",1,A2008+1))</f>
        <v>.</v>
      </c>
      <c r="B2009" s="431" t="str">
        <f t="shared" si="31"/>
        <v>Hip Replacement PrimaryProviderJAMES PAGET UNIVERSITY HOSPITALS NHS FOUNDATION TRUST (RGP)EQ-5D Index</v>
      </c>
      <c r="C2009" t="s">
        <v>248</v>
      </c>
      <c r="D2009" t="s">
        <v>1</v>
      </c>
      <c r="E2009" t="s">
        <v>3915</v>
      </c>
      <c r="F2009" t="s">
        <v>3916</v>
      </c>
      <c r="G2009" t="s">
        <v>52</v>
      </c>
      <c r="H2009">
        <v>147</v>
      </c>
      <c r="I2009">
        <v>0.36599999999999999</v>
      </c>
      <c r="J2009">
        <v>0.81200000000000006</v>
      </c>
      <c r="K2009">
        <v>0.44600000000000001</v>
      </c>
      <c r="L2009">
        <v>132</v>
      </c>
      <c r="M2009">
        <v>11</v>
      </c>
      <c r="N2009">
        <v>4</v>
      </c>
      <c r="O2009">
        <v>0.81499999999999995</v>
      </c>
      <c r="P2009">
        <v>0.45318011400000002</v>
      </c>
      <c r="Q2009">
        <v>0.23499999999999999</v>
      </c>
    </row>
    <row r="2010" spans="1:17" x14ac:dyDescent="0.2">
      <c r="A2010" s="30" t="str">
        <f>IF(C2010&amp;G2010&amp;D2010&lt;&gt;'Funnel setup'!$K$3&amp;'Funnel setup'!$K$4&amp;'Funnel setup'!$K$5,".",IF(A2009=".",1,A2009+1))</f>
        <v>.</v>
      </c>
      <c r="B2010" s="431" t="str">
        <f t="shared" si="31"/>
        <v>Hip Replacement PrimaryProviderKETTERING GENERAL HOSPITAL NHS FOUNDATION TRUST (RNQ)EQ-5D Index</v>
      </c>
      <c r="C2010" t="s">
        <v>248</v>
      </c>
      <c r="D2010" t="s">
        <v>1</v>
      </c>
      <c r="E2010" t="s">
        <v>3918</v>
      </c>
      <c r="F2010" t="s">
        <v>3919</v>
      </c>
      <c r="G2010" t="s">
        <v>52</v>
      </c>
      <c r="H2010">
        <v>65</v>
      </c>
      <c r="I2010">
        <v>0.27100000000000002</v>
      </c>
      <c r="J2010">
        <v>0.74199999999999999</v>
      </c>
      <c r="K2010">
        <v>0.47099999999999997</v>
      </c>
      <c r="L2010">
        <v>55</v>
      </c>
      <c r="M2010">
        <v>7</v>
      </c>
      <c r="N2010">
        <v>3</v>
      </c>
      <c r="O2010">
        <v>0.76800000000000002</v>
      </c>
      <c r="P2010">
        <v>0.40616888099999998</v>
      </c>
      <c r="Q2010">
        <v>0.23899999999999999</v>
      </c>
    </row>
    <row r="2011" spans="1:17" x14ac:dyDescent="0.2">
      <c r="A2011" s="30" t="str">
        <f>IF(C2011&amp;G2011&amp;D2011&lt;&gt;'Funnel setup'!$K$3&amp;'Funnel setup'!$K$4&amp;'Funnel setup'!$K$5,".",IF(A2010=".",1,A2010+1))</f>
        <v>.</v>
      </c>
      <c r="B2011" s="431" t="str">
        <f t="shared" si="31"/>
        <v>Hip Replacement PrimaryProviderKING'S COLLEGE HOSPITAL NHS FOUNDATION TRUST (RJZ)EQ-5D Index</v>
      </c>
      <c r="C2011" t="s">
        <v>248</v>
      </c>
      <c r="D2011" t="s">
        <v>1</v>
      </c>
      <c r="E2011" t="s">
        <v>3924</v>
      </c>
      <c r="F2011" t="s">
        <v>3925</v>
      </c>
      <c r="G2011" t="s">
        <v>52</v>
      </c>
      <c r="H2011">
        <v>181</v>
      </c>
      <c r="I2011">
        <v>0.35899999999999999</v>
      </c>
      <c r="J2011">
        <v>0.80500000000000005</v>
      </c>
      <c r="K2011">
        <v>0.44600000000000001</v>
      </c>
      <c r="L2011">
        <v>165</v>
      </c>
      <c r="M2011">
        <v>7</v>
      </c>
      <c r="N2011">
        <v>9</v>
      </c>
      <c r="O2011">
        <v>0.80400000000000005</v>
      </c>
      <c r="P2011">
        <v>0.44262395500000001</v>
      </c>
      <c r="Q2011">
        <v>0.221</v>
      </c>
    </row>
    <row r="2012" spans="1:17" x14ac:dyDescent="0.2">
      <c r="A2012" s="30" t="str">
        <f>IF(C2012&amp;G2012&amp;D2012&lt;&gt;'Funnel setup'!$K$3&amp;'Funnel setup'!$K$4&amp;'Funnel setup'!$K$5,".",IF(A2011=".",1,A2011+1))</f>
        <v>.</v>
      </c>
      <c r="B2012" s="431" t="str">
        <f t="shared" si="31"/>
        <v>Hip Replacement PrimaryProviderLANCASHIRE TEACHING HOSPITALS NHS FOUNDATION TRUST (RXN)EQ-5D Index</v>
      </c>
      <c r="C2012" t="s">
        <v>248</v>
      </c>
      <c r="D2012" t="s">
        <v>1</v>
      </c>
      <c r="E2012" t="s">
        <v>3567</v>
      </c>
      <c r="F2012" t="s">
        <v>3568</v>
      </c>
      <c r="G2012" t="s">
        <v>52</v>
      </c>
      <c r="H2012">
        <v>180</v>
      </c>
      <c r="I2012">
        <v>0.30199999999999999</v>
      </c>
      <c r="J2012">
        <v>0.754</v>
      </c>
      <c r="K2012">
        <v>0.45200000000000001</v>
      </c>
      <c r="L2012">
        <v>158</v>
      </c>
      <c r="M2012">
        <v>11</v>
      </c>
      <c r="N2012">
        <v>11</v>
      </c>
      <c r="O2012">
        <v>0.78300000000000003</v>
      </c>
      <c r="P2012">
        <v>0.42148776999999998</v>
      </c>
      <c r="Q2012">
        <v>0.26</v>
      </c>
    </row>
    <row r="2013" spans="1:17" x14ac:dyDescent="0.2">
      <c r="A2013" s="30" t="str">
        <f>IF(C2013&amp;G2013&amp;D2013&lt;&gt;'Funnel setup'!$K$3&amp;'Funnel setup'!$K$4&amp;'Funnel setup'!$K$5,".",IF(A2012=".",1,A2012+1))</f>
        <v>.</v>
      </c>
      <c r="B2013" s="431" t="str">
        <f t="shared" si="31"/>
        <v>Hip Replacement PrimaryProviderLEEDS TEACHING HOSPITALS NHS TRUST (RR8)EQ-5D Index</v>
      </c>
      <c r="C2013" t="s">
        <v>248</v>
      </c>
      <c r="D2013" t="s">
        <v>1</v>
      </c>
      <c r="E2013" t="s">
        <v>3930</v>
      </c>
      <c r="F2013" t="s">
        <v>344</v>
      </c>
      <c r="G2013" t="s">
        <v>52</v>
      </c>
      <c r="H2013">
        <v>231</v>
      </c>
      <c r="I2013">
        <v>0.33</v>
      </c>
      <c r="J2013">
        <v>0.77300000000000002</v>
      </c>
      <c r="K2013">
        <v>0.443</v>
      </c>
      <c r="L2013">
        <v>208</v>
      </c>
      <c r="M2013">
        <v>9</v>
      </c>
      <c r="N2013">
        <v>14</v>
      </c>
      <c r="O2013">
        <v>0.79200000000000004</v>
      </c>
      <c r="P2013">
        <v>0.43029432299999998</v>
      </c>
      <c r="Q2013">
        <v>0.251</v>
      </c>
    </row>
    <row r="2014" spans="1:17" x14ac:dyDescent="0.2">
      <c r="A2014" s="30" t="str">
        <f>IF(C2014&amp;G2014&amp;D2014&lt;&gt;'Funnel setup'!$K$3&amp;'Funnel setup'!$K$4&amp;'Funnel setup'!$K$5,".",IF(A2013=".",1,A2013+1))</f>
        <v>.</v>
      </c>
      <c r="B2014" s="431" t="str">
        <f t="shared" si="31"/>
        <v>Hip Replacement PrimaryProviderLEWISHAM AND GREENWICH NHS TRUST (RJ2)EQ-5D Index</v>
      </c>
      <c r="C2014" t="s">
        <v>248</v>
      </c>
      <c r="D2014" t="s">
        <v>1</v>
      </c>
      <c r="E2014" t="s">
        <v>3522</v>
      </c>
      <c r="F2014" t="s">
        <v>3523</v>
      </c>
      <c r="G2014" t="s">
        <v>52</v>
      </c>
      <c r="H2014">
        <v>76</v>
      </c>
      <c r="I2014">
        <v>0.30099999999999999</v>
      </c>
      <c r="J2014">
        <v>0.7</v>
      </c>
      <c r="K2014">
        <v>0.4</v>
      </c>
      <c r="L2014">
        <v>58</v>
      </c>
      <c r="M2014">
        <v>11</v>
      </c>
      <c r="N2014">
        <v>7</v>
      </c>
      <c r="O2014">
        <v>0.752</v>
      </c>
      <c r="P2014">
        <v>0.39040432600000002</v>
      </c>
      <c r="Q2014">
        <v>0.26200000000000001</v>
      </c>
    </row>
    <row r="2015" spans="1:17" x14ac:dyDescent="0.2">
      <c r="A2015" s="30" t="str">
        <f>IF(C2015&amp;G2015&amp;D2015&lt;&gt;'Funnel setup'!$K$3&amp;'Funnel setup'!$K$4&amp;'Funnel setup'!$K$5,".",IF(A2014=".",1,A2014+1))</f>
        <v>.</v>
      </c>
      <c r="B2015" s="431" t="str">
        <f t="shared" si="31"/>
        <v>Hip Replacement PrimaryProviderLONDON NORTH WEST HEALTHCARE NHS TRUST (R1K)EQ-5D Index</v>
      </c>
      <c r="C2015" t="s">
        <v>248</v>
      </c>
      <c r="D2015" t="s">
        <v>1</v>
      </c>
      <c r="E2015" t="s">
        <v>6515</v>
      </c>
      <c r="F2015" t="s">
        <v>6516</v>
      </c>
      <c r="G2015" t="s">
        <v>52</v>
      </c>
      <c r="H2015">
        <v>98</v>
      </c>
      <c r="I2015">
        <v>0.36</v>
      </c>
      <c r="J2015">
        <v>0.76400000000000001</v>
      </c>
      <c r="K2015">
        <v>0.40400000000000003</v>
      </c>
      <c r="L2015">
        <v>89</v>
      </c>
      <c r="M2015">
        <v>5</v>
      </c>
      <c r="N2015">
        <v>4</v>
      </c>
      <c r="O2015">
        <v>0.79100000000000004</v>
      </c>
      <c r="P2015">
        <v>0.42942447099999997</v>
      </c>
      <c r="Q2015">
        <v>0.20499999999999999</v>
      </c>
    </row>
    <row r="2016" spans="1:17" x14ac:dyDescent="0.2">
      <c r="A2016" s="30" t="str">
        <f>IF(C2016&amp;G2016&amp;D2016&lt;&gt;'Funnel setup'!$K$3&amp;'Funnel setup'!$K$4&amp;'Funnel setup'!$K$5,".",IF(A2015=".",1,A2015+1))</f>
        <v>.</v>
      </c>
      <c r="B2016" s="431" t="str">
        <f t="shared" si="31"/>
        <v>Hip Replacement PrimaryProviderLUTON AND DUNSTABLE UNIVERSITY HOSPITAL NHS FOUNDATION TRUST (RC9)EQ-5D Index</v>
      </c>
      <c r="C2016" t="s">
        <v>248</v>
      </c>
      <c r="D2016" t="s">
        <v>1</v>
      </c>
      <c r="E2016" t="s">
        <v>3528</v>
      </c>
      <c r="F2016" t="s">
        <v>3529</v>
      </c>
      <c r="G2016" t="s">
        <v>52</v>
      </c>
      <c r="H2016">
        <v>132</v>
      </c>
      <c r="I2016">
        <v>0.317</v>
      </c>
      <c r="J2016">
        <v>0.73699999999999999</v>
      </c>
      <c r="K2016">
        <v>0.41899999999999998</v>
      </c>
      <c r="L2016">
        <v>118</v>
      </c>
      <c r="M2016">
        <v>8</v>
      </c>
      <c r="N2016">
        <v>6</v>
      </c>
      <c r="O2016">
        <v>0.75700000000000001</v>
      </c>
      <c r="P2016">
        <v>0.39531540199999998</v>
      </c>
      <c r="Q2016">
        <v>0.24</v>
      </c>
    </row>
    <row r="2017" spans="1:17" x14ac:dyDescent="0.2">
      <c r="A2017" s="30" t="str">
        <f>IF(C2017&amp;G2017&amp;D2017&lt;&gt;'Funnel setup'!$K$3&amp;'Funnel setup'!$K$4&amp;'Funnel setup'!$K$5,".",IF(A2016=".",1,A2016+1))</f>
        <v>.</v>
      </c>
      <c r="B2017" s="431" t="str">
        <f t="shared" si="31"/>
        <v>Hip Replacement PrimaryProviderMAIDSTONE AND TUNBRIDGE WELLS NHS TRUST (RWF)EQ-5D Index</v>
      </c>
      <c r="C2017" t="s">
        <v>248</v>
      </c>
      <c r="D2017" t="s">
        <v>1</v>
      </c>
      <c r="E2017" t="s">
        <v>3627</v>
      </c>
      <c r="F2017" t="s">
        <v>3628</v>
      </c>
      <c r="G2017" t="s">
        <v>52</v>
      </c>
      <c r="H2017">
        <v>184</v>
      </c>
      <c r="I2017">
        <v>0.35299999999999998</v>
      </c>
      <c r="J2017">
        <v>0.81899999999999995</v>
      </c>
      <c r="K2017">
        <v>0.46500000000000002</v>
      </c>
      <c r="L2017">
        <v>168</v>
      </c>
      <c r="M2017">
        <v>8</v>
      </c>
      <c r="N2017">
        <v>8</v>
      </c>
      <c r="O2017">
        <v>0.82599999999999996</v>
      </c>
      <c r="P2017">
        <v>0.46448294499999998</v>
      </c>
      <c r="Q2017">
        <v>0.20200000000000001</v>
      </c>
    </row>
    <row r="2018" spans="1:17" x14ac:dyDescent="0.2">
      <c r="A2018" s="30" t="str">
        <f>IF(C2018&amp;G2018&amp;D2018&lt;&gt;'Funnel setup'!$K$3&amp;'Funnel setup'!$K$4&amp;'Funnel setup'!$K$5,".",IF(A2017=".",1,A2017+1))</f>
        <v>.</v>
      </c>
      <c r="B2018" s="431" t="str">
        <f t="shared" si="31"/>
        <v>Hip Replacement PrimaryProviderMEDWAY NHS FOUNDATION TRUST (RPA)EQ-5D Index</v>
      </c>
      <c r="C2018" t="s">
        <v>248</v>
      </c>
      <c r="D2018" t="s">
        <v>1</v>
      </c>
      <c r="E2018" t="s">
        <v>3630</v>
      </c>
      <c r="F2018" t="s">
        <v>3631</v>
      </c>
      <c r="G2018" t="s">
        <v>52</v>
      </c>
      <c r="H2018">
        <v>137</v>
      </c>
      <c r="I2018">
        <v>0.29899999999999999</v>
      </c>
      <c r="J2018">
        <v>0.79700000000000004</v>
      </c>
      <c r="K2018">
        <v>0.498</v>
      </c>
      <c r="L2018">
        <v>120</v>
      </c>
      <c r="M2018">
        <v>14</v>
      </c>
      <c r="N2018">
        <v>3</v>
      </c>
      <c r="O2018">
        <v>0.82699999999999996</v>
      </c>
      <c r="P2018">
        <v>0.46541318799999998</v>
      </c>
      <c r="Q2018">
        <v>0.23100000000000001</v>
      </c>
    </row>
    <row r="2019" spans="1:17" x14ac:dyDescent="0.2">
      <c r="A2019" s="30" t="str">
        <f>IF(C2019&amp;G2019&amp;D2019&lt;&gt;'Funnel setup'!$K$3&amp;'Funnel setup'!$K$4&amp;'Funnel setup'!$K$5,".",IF(A2018=".",1,A2018+1))</f>
        <v>.</v>
      </c>
      <c r="B2019" s="431" t="str">
        <f t="shared" si="31"/>
        <v>Hip Replacement PrimaryProviderMID CHESHIRE HOSPITALS NHS FOUNDATION TRUST (RBT)EQ-5D Index</v>
      </c>
      <c r="C2019" t="s">
        <v>248</v>
      </c>
      <c r="D2019" t="s">
        <v>1</v>
      </c>
      <c r="E2019" t="s">
        <v>3633</v>
      </c>
      <c r="F2019" t="s">
        <v>342</v>
      </c>
      <c r="G2019" t="s">
        <v>52</v>
      </c>
      <c r="H2019">
        <v>148</v>
      </c>
      <c r="I2019">
        <v>0.38500000000000001</v>
      </c>
      <c r="J2019">
        <v>0.80600000000000005</v>
      </c>
      <c r="K2019">
        <v>0.42099999999999999</v>
      </c>
      <c r="L2019">
        <v>132</v>
      </c>
      <c r="M2019">
        <v>10</v>
      </c>
      <c r="N2019">
        <v>6</v>
      </c>
      <c r="O2019">
        <v>0.80100000000000005</v>
      </c>
      <c r="P2019">
        <v>0.43887423399999997</v>
      </c>
      <c r="Q2019">
        <v>0.20100000000000001</v>
      </c>
    </row>
    <row r="2020" spans="1:17" x14ac:dyDescent="0.2">
      <c r="A2020" s="30" t="str">
        <f>IF(C2020&amp;G2020&amp;D2020&lt;&gt;'Funnel setup'!$K$3&amp;'Funnel setup'!$K$4&amp;'Funnel setup'!$K$5,".",IF(A2019=".",1,A2019+1))</f>
        <v>.</v>
      </c>
      <c r="B2020" s="431" t="str">
        <f t="shared" si="31"/>
        <v>Hip Replacement PrimaryProviderMID ESSEX HOSPITAL SERVICES NHS TRUST (RQ8)EQ-5D Index</v>
      </c>
      <c r="C2020" t="s">
        <v>248</v>
      </c>
      <c r="D2020" t="s">
        <v>1</v>
      </c>
      <c r="E2020" t="s">
        <v>3635</v>
      </c>
      <c r="F2020" t="s">
        <v>3636</v>
      </c>
      <c r="G2020" t="s">
        <v>52</v>
      </c>
      <c r="H2020">
        <v>166</v>
      </c>
      <c r="I2020">
        <v>0.20200000000000001</v>
      </c>
      <c r="J2020">
        <v>0.79200000000000004</v>
      </c>
      <c r="K2020">
        <v>0.59</v>
      </c>
      <c r="L2020">
        <v>155</v>
      </c>
      <c r="M2020">
        <v>6</v>
      </c>
      <c r="N2020">
        <v>5</v>
      </c>
      <c r="O2020">
        <v>0.80700000000000005</v>
      </c>
      <c r="P2020">
        <v>0.44576507199999998</v>
      </c>
      <c r="Q2020">
        <v>0.218</v>
      </c>
    </row>
    <row r="2021" spans="1:17" x14ac:dyDescent="0.2">
      <c r="A2021" s="30" t="str">
        <f>IF(C2021&amp;G2021&amp;D2021&lt;&gt;'Funnel setup'!$K$3&amp;'Funnel setup'!$K$4&amp;'Funnel setup'!$K$5,".",IF(A2020=".",1,A2020+1))</f>
        <v>.</v>
      </c>
      <c r="B2021" s="431" t="str">
        <f t="shared" si="31"/>
        <v>Hip Replacement PrimaryProviderMID STAFFORDSHIRE NHS FOUNDATION TRUST (RJD)EQ-5D Index</v>
      </c>
      <c r="C2021" t="s">
        <v>248</v>
      </c>
      <c r="D2021" t="s">
        <v>1</v>
      </c>
      <c r="E2021" t="s">
        <v>3638</v>
      </c>
      <c r="F2021" t="s">
        <v>3639</v>
      </c>
      <c r="G2021" t="s">
        <v>52</v>
      </c>
      <c r="H2021">
        <v>133</v>
      </c>
      <c r="I2021">
        <v>0.36</v>
      </c>
      <c r="J2021">
        <v>0.745</v>
      </c>
      <c r="K2021">
        <v>0.38500000000000001</v>
      </c>
      <c r="L2021">
        <v>111</v>
      </c>
      <c r="M2021">
        <v>14</v>
      </c>
      <c r="N2021">
        <v>8</v>
      </c>
      <c r="O2021">
        <v>0.75700000000000001</v>
      </c>
      <c r="P2021">
        <v>0.39522773700000002</v>
      </c>
      <c r="Q2021">
        <v>0.216</v>
      </c>
    </row>
    <row r="2022" spans="1:17" x14ac:dyDescent="0.2">
      <c r="A2022" s="30" t="str">
        <f>IF(C2022&amp;G2022&amp;D2022&lt;&gt;'Funnel setup'!$K$3&amp;'Funnel setup'!$K$4&amp;'Funnel setup'!$K$5,".",IF(A2021=".",1,A2021+1))</f>
        <v>.</v>
      </c>
      <c r="B2022" s="431" t="str">
        <f t="shared" si="31"/>
        <v>Hip Replacement PrimaryProviderMID YORKSHIRE HOSPITALS NHS TRUST (RXF)EQ-5D Index</v>
      </c>
      <c r="C2022" t="s">
        <v>248</v>
      </c>
      <c r="D2022" t="s">
        <v>1</v>
      </c>
      <c r="E2022" t="s">
        <v>3641</v>
      </c>
      <c r="F2022" t="s">
        <v>3642</v>
      </c>
      <c r="G2022" t="s">
        <v>52</v>
      </c>
      <c r="H2022">
        <v>210</v>
      </c>
      <c r="I2022">
        <v>0.33400000000000002</v>
      </c>
      <c r="J2022">
        <v>0.749</v>
      </c>
      <c r="K2022">
        <v>0.41599999999999998</v>
      </c>
      <c r="L2022">
        <v>188</v>
      </c>
      <c r="M2022">
        <v>8</v>
      </c>
      <c r="N2022">
        <v>14</v>
      </c>
      <c r="O2022">
        <v>0.77</v>
      </c>
      <c r="P2022">
        <v>0.40814877300000002</v>
      </c>
      <c r="Q2022">
        <v>0.249</v>
      </c>
    </row>
    <row r="2023" spans="1:17" x14ac:dyDescent="0.2">
      <c r="A2023" s="30" t="str">
        <f>IF(C2023&amp;G2023&amp;D2023&lt;&gt;'Funnel setup'!$K$3&amp;'Funnel setup'!$K$4&amp;'Funnel setup'!$K$5,".",IF(A2022=".",1,A2022+1))</f>
        <v>.</v>
      </c>
      <c r="B2023" s="431" t="str">
        <f t="shared" si="31"/>
        <v>Hip Replacement PrimaryProviderMILTON KEYNES UNIVERSITY HOSPITAL NHS FOUNDATION TRUST (RD8)EQ-5D Index</v>
      </c>
      <c r="C2023" t="s">
        <v>248</v>
      </c>
      <c r="D2023" t="s">
        <v>1</v>
      </c>
      <c r="E2023" t="s">
        <v>3643</v>
      </c>
      <c r="F2023" t="s">
        <v>6580</v>
      </c>
      <c r="G2023" t="s">
        <v>52</v>
      </c>
      <c r="H2023">
        <v>166</v>
      </c>
      <c r="I2023">
        <v>0.29799999999999999</v>
      </c>
      <c r="J2023">
        <v>0.76300000000000001</v>
      </c>
      <c r="K2023">
        <v>0.46500000000000002</v>
      </c>
      <c r="L2023">
        <v>144</v>
      </c>
      <c r="M2023">
        <v>7</v>
      </c>
      <c r="N2023">
        <v>15</v>
      </c>
      <c r="O2023">
        <v>0.77600000000000002</v>
      </c>
      <c r="P2023">
        <v>0.41435049899999998</v>
      </c>
      <c r="Q2023">
        <v>0.24199999999999999</v>
      </c>
    </row>
    <row r="2024" spans="1:17" x14ac:dyDescent="0.2">
      <c r="A2024" s="30" t="str">
        <f>IF(C2024&amp;G2024&amp;D2024&lt;&gt;'Funnel setup'!$K$3&amp;'Funnel setup'!$K$4&amp;'Funnel setup'!$K$5,".",IF(A2023=".",1,A2023+1))</f>
        <v>.</v>
      </c>
      <c r="B2024" s="431" t="str">
        <f t="shared" si="31"/>
        <v>Hip Replacement PrimaryProviderMOUNT STUART HOSPITAL (NVC08)EQ-5D Index</v>
      </c>
      <c r="C2024" t="s">
        <v>248</v>
      </c>
      <c r="D2024" t="s">
        <v>1</v>
      </c>
      <c r="E2024" t="s">
        <v>3645</v>
      </c>
      <c r="F2024" t="s">
        <v>3646</v>
      </c>
      <c r="G2024" t="s">
        <v>52</v>
      </c>
      <c r="H2024">
        <v>143</v>
      </c>
      <c r="I2024">
        <v>0.45</v>
      </c>
      <c r="J2024">
        <v>0.83</v>
      </c>
      <c r="K2024">
        <v>0.38</v>
      </c>
      <c r="L2024">
        <v>129</v>
      </c>
      <c r="M2024">
        <v>8</v>
      </c>
      <c r="N2024">
        <v>6</v>
      </c>
      <c r="O2024">
        <v>0.80700000000000005</v>
      </c>
      <c r="P2024">
        <v>0.44502930400000001</v>
      </c>
      <c r="Q2024">
        <v>0.20699999999999999</v>
      </c>
    </row>
    <row r="2025" spans="1:17" x14ac:dyDescent="0.2">
      <c r="A2025" s="30" t="str">
        <f>IF(C2025&amp;G2025&amp;D2025&lt;&gt;'Funnel setup'!$K$3&amp;'Funnel setup'!$K$4&amp;'Funnel setup'!$K$5,".",IF(A2024=".",1,A2024+1))</f>
        <v>.</v>
      </c>
      <c r="B2025" s="431" t="str">
        <f t="shared" si="31"/>
        <v>Hip Replacement PrimaryProviderNEW HALL HOSPITAL (NVC09)EQ-5D Index</v>
      </c>
      <c r="C2025" t="s">
        <v>248</v>
      </c>
      <c r="D2025" t="s">
        <v>1</v>
      </c>
      <c r="E2025" t="s">
        <v>3648</v>
      </c>
      <c r="F2025" t="s">
        <v>3649</v>
      </c>
      <c r="G2025" t="s">
        <v>52</v>
      </c>
      <c r="H2025">
        <v>114</v>
      </c>
      <c r="I2025">
        <v>0.44900000000000001</v>
      </c>
      <c r="J2025">
        <v>0.874</v>
      </c>
      <c r="K2025">
        <v>0.42399999999999999</v>
      </c>
      <c r="L2025">
        <v>102</v>
      </c>
      <c r="M2025">
        <v>10</v>
      </c>
      <c r="N2025">
        <v>2</v>
      </c>
      <c r="O2025">
        <v>0.84199999999999997</v>
      </c>
      <c r="P2025">
        <v>0.47996058400000002</v>
      </c>
      <c r="Q2025">
        <v>0.17799999999999999</v>
      </c>
    </row>
    <row r="2026" spans="1:17" x14ac:dyDescent="0.2">
      <c r="A2026" s="30" t="str">
        <f>IF(C2026&amp;G2026&amp;D2026&lt;&gt;'Funnel setup'!$K$3&amp;'Funnel setup'!$K$4&amp;'Funnel setup'!$K$5,".",IF(A2025=".",1,A2025+1))</f>
        <v>.</v>
      </c>
      <c r="B2026" s="431" t="str">
        <f t="shared" si="31"/>
        <v>Hip Replacement PrimaryProviderNORFOLK AND NORWICH UNIVERSITY HOSPITALS NHS FOUNDATION TRUST (RM1)EQ-5D Index</v>
      </c>
      <c r="C2026" t="s">
        <v>248</v>
      </c>
      <c r="D2026" t="s">
        <v>1</v>
      </c>
      <c r="E2026" t="s">
        <v>3651</v>
      </c>
      <c r="F2026" t="s">
        <v>3652</v>
      </c>
      <c r="G2026" t="s">
        <v>52</v>
      </c>
      <c r="H2026">
        <v>238</v>
      </c>
      <c r="I2026">
        <v>0.25800000000000001</v>
      </c>
      <c r="J2026">
        <v>0.73899999999999999</v>
      </c>
      <c r="K2026">
        <v>0.48</v>
      </c>
      <c r="L2026">
        <v>214</v>
      </c>
      <c r="M2026">
        <v>12</v>
      </c>
      <c r="N2026">
        <v>12</v>
      </c>
      <c r="O2026">
        <v>0.77200000000000002</v>
      </c>
      <c r="P2026">
        <v>0.41003278900000001</v>
      </c>
      <c r="Q2026">
        <v>0.26</v>
      </c>
    </row>
    <row r="2027" spans="1:17" x14ac:dyDescent="0.2">
      <c r="A2027" s="30" t="str">
        <f>IF(C2027&amp;G2027&amp;D2027&lt;&gt;'Funnel setup'!$K$3&amp;'Funnel setup'!$K$4&amp;'Funnel setup'!$K$5,".",IF(A2026=".",1,A2026+1))</f>
        <v>.</v>
      </c>
      <c r="B2027" s="431" t="str">
        <f t="shared" si="31"/>
        <v>Hip Replacement PrimaryProviderNORTH BRISTOL NHS TRUST (RVJ)EQ-5D Index</v>
      </c>
      <c r="C2027" t="s">
        <v>248</v>
      </c>
      <c r="D2027" t="s">
        <v>1</v>
      </c>
      <c r="E2027" t="s">
        <v>3654</v>
      </c>
      <c r="F2027" t="s">
        <v>3655</v>
      </c>
      <c r="G2027" t="s">
        <v>52</v>
      </c>
      <c r="H2027">
        <v>190</v>
      </c>
      <c r="I2027">
        <v>0.35399999999999998</v>
      </c>
      <c r="J2027">
        <v>0.76800000000000002</v>
      </c>
      <c r="K2027">
        <v>0.41399999999999998</v>
      </c>
      <c r="L2027">
        <v>168</v>
      </c>
      <c r="M2027">
        <v>11</v>
      </c>
      <c r="N2027">
        <v>11</v>
      </c>
      <c r="O2027">
        <v>0.77100000000000002</v>
      </c>
      <c r="P2027">
        <v>0.40914371300000002</v>
      </c>
      <c r="Q2027">
        <v>0.22700000000000001</v>
      </c>
    </row>
    <row r="2028" spans="1:17" x14ac:dyDescent="0.2">
      <c r="A2028" s="30" t="str">
        <f>IF(C2028&amp;G2028&amp;D2028&lt;&gt;'Funnel setup'!$K$3&amp;'Funnel setup'!$K$4&amp;'Funnel setup'!$K$5,".",IF(A2027=".",1,A2027+1))</f>
        <v>.</v>
      </c>
      <c r="B2028" s="431" t="str">
        <f t="shared" si="31"/>
        <v>Hip Replacement PrimaryProviderNORTH CUMBRIA UNIVERSITY HOSPITALS NHS TRUST (RNL)EQ-5D Index</v>
      </c>
      <c r="C2028" t="s">
        <v>248</v>
      </c>
      <c r="D2028" t="s">
        <v>1</v>
      </c>
      <c r="E2028" t="s">
        <v>3657</v>
      </c>
      <c r="F2028" t="s">
        <v>3658</v>
      </c>
      <c r="G2028" t="s">
        <v>52</v>
      </c>
      <c r="H2028">
        <v>129</v>
      </c>
      <c r="I2028">
        <v>0.316</v>
      </c>
      <c r="J2028">
        <v>0.76900000000000002</v>
      </c>
      <c r="K2028">
        <v>0.45300000000000001</v>
      </c>
      <c r="L2028">
        <v>120</v>
      </c>
      <c r="M2028">
        <v>5</v>
      </c>
      <c r="N2028">
        <v>4</v>
      </c>
      <c r="O2028">
        <v>0.79</v>
      </c>
      <c r="P2028">
        <v>0.42799628000000001</v>
      </c>
      <c r="Q2028">
        <v>0.214</v>
      </c>
    </row>
    <row r="2029" spans="1:17" x14ac:dyDescent="0.2">
      <c r="A2029" s="30" t="str">
        <f>IF(C2029&amp;G2029&amp;D2029&lt;&gt;'Funnel setup'!$K$3&amp;'Funnel setup'!$K$4&amp;'Funnel setup'!$K$5,".",IF(A2028=".",1,A2028+1))</f>
        <v>.</v>
      </c>
      <c r="B2029" s="431" t="str">
        <f t="shared" si="31"/>
        <v>Hip Replacement PrimaryProviderNORTH DOWNS HOSPITAL (NVC11)EQ-5D Index</v>
      </c>
      <c r="C2029" t="s">
        <v>248</v>
      </c>
      <c r="D2029" t="s">
        <v>1</v>
      </c>
      <c r="E2029" t="s">
        <v>3660</v>
      </c>
      <c r="F2029" t="s">
        <v>3661</v>
      </c>
      <c r="G2029" t="s">
        <v>52</v>
      </c>
      <c r="H2029">
        <v>73</v>
      </c>
      <c r="I2029">
        <v>0.50600000000000001</v>
      </c>
      <c r="J2029">
        <v>0.88100000000000001</v>
      </c>
      <c r="K2029">
        <v>0.376</v>
      </c>
      <c r="L2029">
        <v>67</v>
      </c>
      <c r="M2029">
        <v>3</v>
      </c>
      <c r="N2029">
        <v>3</v>
      </c>
      <c r="O2029">
        <v>0.82699999999999996</v>
      </c>
      <c r="P2029">
        <v>0.465289071</v>
      </c>
      <c r="Q2029">
        <v>0.154</v>
      </c>
    </row>
    <row r="2030" spans="1:17" x14ac:dyDescent="0.2">
      <c r="A2030" s="30" t="str">
        <f>IF(C2030&amp;G2030&amp;D2030&lt;&gt;'Funnel setup'!$K$3&amp;'Funnel setup'!$K$4&amp;'Funnel setup'!$K$5,".",IF(A2029=".",1,A2029+1))</f>
        <v>.</v>
      </c>
      <c r="B2030" s="431" t="str">
        <f t="shared" si="31"/>
        <v>Hip Replacement PrimaryProviderNORTH EAST LONDON TREATMENT CENTRE CARE UK (NTP15)EQ-5D Index</v>
      </c>
      <c r="C2030" t="s">
        <v>248</v>
      </c>
      <c r="D2030" t="s">
        <v>1</v>
      </c>
      <c r="E2030" t="s">
        <v>3663</v>
      </c>
      <c r="F2030" t="s">
        <v>3664</v>
      </c>
      <c r="G2030" t="s">
        <v>52</v>
      </c>
      <c r="H2030">
        <v>94</v>
      </c>
      <c r="I2030">
        <v>0.371</v>
      </c>
      <c r="J2030">
        <v>0.81</v>
      </c>
      <c r="K2030">
        <v>0.439</v>
      </c>
      <c r="L2030">
        <v>88</v>
      </c>
      <c r="M2030">
        <v>3</v>
      </c>
      <c r="N2030">
        <v>3</v>
      </c>
      <c r="O2030">
        <v>0.80200000000000005</v>
      </c>
      <c r="P2030">
        <v>0.440568299</v>
      </c>
      <c r="Q2030">
        <v>0.20599999999999999</v>
      </c>
    </row>
    <row r="2031" spans="1:17" x14ac:dyDescent="0.2">
      <c r="A2031" s="30" t="str">
        <f>IF(C2031&amp;G2031&amp;D2031&lt;&gt;'Funnel setup'!$K$3&amp;'Funnel setup'!$K$4&amp;'Funnel setup'!$K$5,".",IF(A2030=".",1,A2030+1))</f>
        <v>.</v>
      </c>
      <c r="B2031" s="431" t="str">
        <f t="shared" si="31"/>
        <v>Hip Replacement PrimaryProviderNORTH MIDDLESEX UNIVERSITY HOSPITAL NHS TRUST (RAP)EQ-5D Index</v>
      </c>
      <c r="C2031" t="s">
        <v>248</v>
      </c>
      <c r="D2031" t="s">
        <v>1</v>
      </c>
      <c r="E2031" t="s">
        <v>3666</v>
      </c>
      <c r="F2031" t="s">
        <v>3667</v>
      </c>
      <c r="G2031" t="s">
        <v>52</v>
      </c>
      <c r="H2031">
        <v>33</v>
      </c>
      <c r="I2031">
        <v>0.13800000000000001</v>
      </c>
      <c r="J2031">
        <v>0.66800000000000004</v>
      </c>
      <c r="K2031">
        <v>0.52900000000000003</v>
      </c>
      <c r="L2031">
        <v>32</v>
      </c>
      <c r="M2031">
        <v>0</v>
      </c>
      <c r="N2031">
        <v>1</v>
      </c>
      <c r="O2031">
        <v>0.77</v>
      </c>
      <c r="P2031">
        <v>0.40793280900000001</v>
      </c>
      <c r="Q2031">
        <v>0.215</v>
      </c>
    </row>
    <row r="2032" spans="1:17" x14ac:dyDescent="0.2">
      <c r="A2032" s="30" t="str">
        <f>IF(C2032&amp;G2032&amp;D2032&lt;&gt;'Funnel setup'!$K$3&amp;'Funnel setup'!$K$4&amp;'Funnel setup'!$K$5,".",IF(A2031=".",1,A2031+1))</f>
        <v>.</v>
      </c>
      <c r="B2032" s="431" t="str">
        <f t="shared" si="31"/>
        <v>Hip Replacement PrimaryProviderNORTH TEES AND HARTLEPOOL NHS FOUNDATION TRUST (RVW)EQ-5D Index</v>
      </c>
      <c r="C2032" t="s">
        <v>248</v>
      </c>
      <c r="D2032" t="s">
        <v>1</v>
      </c>
      <c r="E2032" t="s">
        <v>3669</v>
      </c>
      <c r="F2032" t="s">
        <v>3670</v>
      </c>
      <c r="G2032" t="s">
        <v>52</v>
      </c>
      <c r="H2032">
        <v>201</v>
      </c>
      <c r="I2032">
        <v>0.22800000000000001</v>
      </c>
      <c r="J2032">
        <v>0.75900000000000001</v>
      </c>
      <c r="K2032">
        <v>0.53100000000000003</v>
      </c>
      <c r="L2032">
        <v>190</v>
      </c>
      <c r="M2032">
        <v>8</v>
      </c>
      <c r="N2032">
        <v>3</v>
      </c>
      <c r="O2032">
        <v>0.80800000000000005</v>
      </c>
      <c r="P2032">
        <v>0.44677263699999997</v>
      </c>
      <c r="Q2032">
        <v>0.21</v>
      </c>
    </row>
    <row r="2033" spans="1:17" x14ac:dyDescent="0.2">
      <c r="A2033" s="30" t="str">
        <f>IF(C2033&amp;G2033&amp;D2033&lt;&gt;'Funnel setup'!$K$3&amp;'Funnel setup'!$K$4&amp;'Funnel setup'!$K$5,".",IF(A2032=".",1,A2032+1))</f>
        <v>.</v>
      </c>
      <c r="B2033" s="431" t="str">
        <f t="shared" si="31"/>
        <v>Hip Replacement PrimaryProviderNORTHAMPTON GENERAL HOSPITAL NHS TRUST (RNS)EQ-5D Index</v>
      </c>
      <c r="C2033" t="s">
        <v>248</v>
      </c>
      <c r="D2033" t="s">
        <v>1</v>
      </c>
      <c r="E2033" t="s">
        <v>3675</v>
      </c>
      <c r="F2033" t="s">
        <v>3676</v>
      </c>
      <c r="G2033" t="s">
        <v>52</v>
      </c>
      <c r="H2033">
        <v>169</v>
      </c>
      <c r="I2033">
        <v>0.26500000000000001</v>
      </c>
      <c r="J2033">
        <v>0.80300000000000005</v>
      </c>
      <c r="K2033">
        <v>0.53800000000000003</v>
      </c>
      <c r="L2033">
        <v>161</v>
      </c>
      <c r="M2033">
        <v>6</v>
      </c>
      <c r="N2033">
        <v>2</v>
      </c>
      <c r="O2033">
        <v>0.83599999999999997</v>
      </c>
      <c r="P2033">
        <v>0.47478226600000001</v>
      </c>
      <c r="Q2033">
        <v>0.21199999999999999</v>
      </c>
    </row>
    <row r="2034" spans="1:17" x14ac:dyDescent="0.2">
      <c r="A2034" s="30" t="str">
        <f>IF(C2034&amp;G2034&amp;D2034&lt;&gt;'Funnel setup'!$K$3&amp;'Funnel setup'!$K$4&amp;'Funnel setup'!$K$5,".",IF(A2033=".",1,A2033+1))</f>
        <v>.</v>
      </c>
      <c r="B2034" s="431" t="str">
        <f t="shared" si="31"/>
        <v>Hip Replacement PrimaryProviderNORTHERN DEVON HEALTHCARE NHS TRUST (RBZ)EQ-5D Index</v>
      </c>
      <c r="C2034" t="s">
        <v>248</v>
      </c>
      <c r="D2034" t="s">
        <v>1</v>
      </c>
      <c r="E2034" t="s">
        <v>3678</v>
      </c>
      <c r="F2034" t="s">
        <v>3679</v>
      </c>
      <c r="G2034" t="s">
        <v>52</v>
      </c>
      <c r="H2034">
        <v>244</v>
      </c>
      <c r="I2034">
        <v>0.35399999999999998</v>
      </c>
      <c r="J2034">
        <v>0.77600000000000002</v>
      </c>
      <c r="K2034">
        <v>0.42299999999999999</v>
      </c>
      <c r="L2034">
        <v>214</v>
      </c>
      <c r="M2034">
        <v>14</v>
      </c>
      <c r="N2034">
        <v>16</v>
      </c>
      <c r="O2034">
        <v>0.77900000000000003</v>
      </c>
      <c r="P2034">
        <v>0.41754991699999999</v>
      </c>
      <c r="Q2034">
        <v>0.22700000000000001</v>
      </c>
    </row>
    <row r="2035" spans="1:17" x14ac:dyDescent="0.2">
      <c r="A2035" s="30" t="str">
        <f>IF(C2035&amp;G2035&amp;D2035&lt;&gt;'Funnel setup'!$K$3&amp;'Funnel setup'!$K$4&amp;'Funnel setup'!$K$5,".",IF(A2034=".",1,A2034+1))</f>
        <v>.</v>
      </c>
      <c r="B2035" s="431" t="str">
        <f t="shared" si="31"/>
        <v>Hip Replacement PrimaryProviderNORTHERN LINCOLNSHIRE AND GOOLE NHS FOUNDATION TRUST (RJL)EQ-5D Index</v>
      </c>
      <c r="C2035" t="s">
        <v>248</v>
      </c>
      <c r="D2035" t="s">
        <v>1</v>
      </c>
      <c r="E2035" t="s">
        <v>3681</v>
      </c>
      <c r="F2035" t="s">
        <v>3682</v>
      </c>
      <c r="G2035" t="s">
        <v>52</v>
      </c>
      <c r="H2035">
        <v>235</v>
      </c>
      <c r="I2035">
        <v>0.39500000000000002</v>
      </c>
      <c r="J2035">
        <v>0.79900000000000004</v>
      </c>
      <c r="K2035">
        <v>0.40300000000000002</v>
      </c>
      <c r="L2035">
        <v>213</v>
      </c>
      <c r="M2035">
        <v>10</v>
      </c>
      <c r="N2035">
        <v>12</v>
      </c>
      <c r="O2035">
        <v>0.79900000000000004</v>
      </c>
      <c r="P2035">
        <v>0.43759303300000002</v>
      </c>
      <c r="Q2035">
        <v>0.20100000000000001</v>
      </c>
    </row>
    <row r="2036" spans="1:17" x14ac:dyDescent="0.2">
      <c r="A2036" s="30" t="str">
        <f>IF(C2036&amp;G2036&amp;D2036&lt;&gt;'Funnel setup'!$K$3&amp;'Funnel setup'!$K$4&amp;'Funnel setup'!$K$5,".",IF(A2035=".",1,A2035+1))</f>
        <v>.</v>
      </c>
      <c r="B2036" s="431" t="str">
        <f t="shared" si="31"/>
        <v>Hip Replacement PrimaryProviderNORTHUMBRIA HEALTHCARE NHS FOUNDATION TRUST (RTF)EQ-5D Index</v>
      </c>
      <c r="C2036" t="s">
        <v>248</v>
      </c>
      <c r="D2036" t="s">
        <v>1</v>
      </c>
      <c r="E2036" t="s">
        <v>3684</v>
      </c>
      <c r="F2036" t="s">
        <v>3685</v>
      </c>
      <c r="G2036" t="s">
        <v>52</v>
      </c>
      <c r="H2036">
        <v>634</v>
      </c>
      <c r="I2036">
        <v>0.35599999999999998</v>
      </c>
      <c r="J2036">
        <v>0.80300000000000005</v>
      </c>
      <c r="K2036">
        <v>0.44800000000000001</v>
      </c>
      <c r="L2036">
        <v>564</v>
      </c>
      <c r="M2036">
        <v>43</v>
      </c>
      <c r="N2036">
        <v>27</v>
      </c>
      <c r="O2036">
        <v>0.81</v>
      </c>
      <c r="P2036">
        <v>0.44836767599999999</v>
      </c>
      <c r="Q2036">
        <v>0.224</v>
      </c>
    </row>
    <row r="2037" spans="1:17" x14ac:dyDescent="0.2">
      <c r="A2037" s="30" t="str">
        <f>IF(C2037&amp;G2037&amp;D2037&lt;&gt;'Funnel setup'!$K$3&amp;'Funnel setup'!$K$4&amp;'Funnel setup'!$K$5,".",IF(A2036=".",1,A2036+1))</f>
        <v>.</v>
      </c>
      <c r="B2037" s="431" t="str">
        <f t="shared" si="31"/>
        <v>Hip Replacement PrimaryProviderNOTTINGHAM UNIVERSITY HOSPITALS NHS TRUST (RX1)EQ-5D Index</v>
      </c>
      <c r="C2037" t="s">
        <v>248</v>
      </c>
      <c r="D2037" t="s">
        <v>1</v>
      </c>
      <c r="E2037" t="s">
        <v>3687</v>
      </c>
      <c r="F2037" t="s">
        <v>3688</v>
      </c>
      <c r="G2037" t="s">
        <v>52</v>
      </c>
      <c r="H2037">
        <v>377</v>
      </c>
      <c r="I2037">
        <v>0.378</v>
      </c>
      <c r="J2037">
        <v>0.79400000000000004</v>
      </c>
      <c r="K2037">
        <v>0.41599999999999998</v>
      </c>
      <c r="L2037">
        <v>340</v>
      </c>
      <c r="M2037">
        <v>18</v>
      </c>
      <c r="N2037">
        <v>19</v>
      </c>
      <c r="O2037">
        <v>0.79800000000000004</v>
      </c>
      <c r="P2037">
        <v>0.43683460000000002</v>
      </c>
      <c r="Q2037">
        <v>0.193</v>
      </c>
    </row>
    <row r="2038" spans="1:17" x14ac:dyDescent="0.2">
      <c r="A2038" s="30" t="str">
        <f>IF(C2038&amp;G2038&amp;D2038&lt;&gt;'Funnel setup'!$K$3&amp;'Funnel setup'!$K$4&amp;'Funnel setup'!$K$5,".",IF(A2037=".",1,A2037+1))</f>
        <v>.</v>
      </c>
      <c r="B2038" s="431" t="str">
        <f t="shared" si="31"/>
        <v>Hip Replacement PrimaryProviderNUFFIELD HEALTH, BRENTWOOD HOSPITAL (NT204)EQ-5D Index</v>
      </c>
      <c r="C2038" t="s">
        <v>248</v>
      </c>
      <c r="D2038" t="s">
        <v>1</v>
      </c>
      <c r="E2038" t="s">
        <v>3691</v>
      </c>
      <c r="F2038" t="s">
        <v>3692</v>
      </c>
      <c r="G2038" t="s">
        <v>52</v>
      </c>
      <c r="H2038">
        <v>69</v>
      </c>
      <c r="I2038">
        <v>0.41099999999999998</v>
      </c>
      <c r="J2038">
        <v>0.81799999999999995</v>
      </c>
      <c r="K2038">
        <v>0.40699999999999997</v>
      </c>
      <c r="L2038">
        <v>61</v>
      </c>
      <c r="M2038">
        <v>3</v>
      </c>
      <c r="N2038">
        <v>5</v>
      </c>
      <c r="O2038">
        <v>0.78300000000000003</v>
      </c>
      <c r="P2038">
        <v>0.42171634200000002</v>
      </c>
      <c r="Q2038">
        <v>0.19700000000000001</v>
      </c>
    </row>
    <row r="2039" spans="1:17" x14ac:dyDescent="0.2">
      <c r="A2039" s="30" t="str">
        <f>IF(C2039&amp;G2039&amp;D2039&lt;&gt;'Funnel setup'!$K$3&amp;'Funnel setup'!$K$4&amp;'Funnel setup'!$K$5,".",IF(A2038=".",1,A2038+1))</f>
        <v>.</v>
      </c>
      <c r="B2039" s="431" t="str">
        <f t="shared" si="31"/>
        <v>Hip Replacement PrimaryProviderNUFFIELD HEALTH, BRIGHTON HOSPITAL (NT205)EQ-5D Index</v>
      </c>
      <c r="C2039" t="s">
        <v>248</v>
      </c>
      <c r="D2039" t="s">
        <v>1</v>
      </c>
      <c r="E2039" t="s">
        <v>3697</v>
      </c>
      <c r="F2039" t="s">
        <v>3698</v>
      </c>
      <c r="G2039" t="s">
        <v>52</v>
      </c>
      <c r="H2039" t="s">
        <v>53</v>
      </c>
      <c r="I2039" t="s">
        <v>53</v>
      </c>
      <c r="J2039" t="s">
        <v>53</v>
      </c>
      <c r="K2039" t="s">
        <v>53</v>
      </c>
      <c r="L2039" t="s">
        <v>53</v>
      </c>
      <c r="M2039" t="s">
        <v>53</v>
      </c>
      <c r="N2039" t="s">
        <v>53</v>
      </c>
      <c r="O2039" t="s">
        <v>53</v>
      </c>
      <c r="P2039" t="s">
        <v>53</v>
      </c>
      <c r="Q2039" t="s">
        <v>53</v>
      </c>
    </row>
    <row r="2040" spans="1:17" x14ac:dyDescent="0.2">
      <c r="A2040" s="30" t="str">
        <f>IF(C2040&amp;G2040&amp;D2040&lt;&gt;'Funnel setup'!$K$3&amp;'Funnel setup'!$K$4&amp;'Funnel setup'!$K$5,".",IF(A2039=".",1,A2039+1))</f>
        <v>.</v>
      </c>
      <c r="B2040" s="431" t="str">
        <f t="shared" si="31"/>
        <v>Hip Replacement PrimaryProviderNUFFIELD HEALTH, BRISTOL HOSPITAL (CHESTERFIELD) (NT206)EQ-5D Index</v>
      </c>
      <c r="C2040" t="s">
        <v>248</v>
      </c>
      <c r="D2040" t="s">
        <v>1</v>
      </c>
      <c r="E2040" t="s">
        <v>3700</v>
      </c>
      <c r="F2040" t="s">
        <v>3701</v>
      </c>
      <c r="G2040" t="s">
        <v>52</v>
      </c>
      <c r="H2040">
        <v>12</v>
      </c>
      <c r="I2040">
        <v>0.22900000000000001</v>
      </c>
      <c r="J2040">
        <v>0.73799999999999999</v>
      </c>
      <c r="K2040">
        <v>0.51</v>
      </c>
      <c r="L2040">
        <v>10</v>
      </c>
      <c r="M2040">
        <v>1</v>
      </c>
      <c r="N2040">
        <v>1</v>
      </c>
      <c r="O2040" t="s">
        <v>53</v>
      </c>
      <c r="P2040" t="s">
        <v>53</v>
      </c>
      <c r="Q2040" t="s">
        <v>53</v>
      </c>
    </row>
    <row r="2041" spans="1:17" x14ac:dyDescent="0.2">
      <c r="A2041" s="30" t="str">
        <f>IF(C2041&amp;G2041&amp;D2041&lt;&gt;'Funnel setup'!$K$3&amp;'Funnel setup'!$K$4&amp;'Funnel setup'!$K$5,".",IF(A2040=".",1,A2040+1))</f>
        <v>.</v>
      </c>
      <c r="B2041" s="431" t="str">
        <f t="shared" si="31"/>
        <v>Hip Replacement PrimaryProviderNUFFIELD HEALTH, CAMBRIDGE HOSPITAL (NT209)EQ-5D Index</v>
      </c>
      <c r="C2041" t="s">
        <v>248</v>
      </c>
      <c r="D2041" t="s">
        <v>1</v>
      </c>
      <c r="E2041" t="s">
        <v>4477</v>
      </c>
      <c r="F2041" t="s">
        <v>4478</v>
      </c>
      <c r="G2041" t="s">
        <v>52</v>
      </c>
      <c r="H2041">
        <v>17</v>
      </c>
      <c r="I2041">
        <v>0.24399999999999999</v>
      </c>
      <c r="J2041">
        <v>0.93400000000000005</v>
      </c>
      <c r="K2041">
        <v>0.69</v>
      </c>
      <c r="L2041">
        <v>17</v>
      </c>
      <c r="M2041">
        <v>0</v>
      </c>
      <c r="N2041">
        <v>0</v>
      </c>
      <c r="O2041" t="s">
        <v>53</v>
      </c>
      <c r="P2041" t="s">
        <v>53</v>
      </c>
      <c r="Q2041" t="s">
        <v>53</v>
      </c>
    </row>
    <row r="2042" spans="1:17" x14ac:dyDescent="0.2">
      <c r="A2042" s="30" t="str">
        <f>IF(C2042&amp;G2042&amp;D2042&lt;&gt;'Funnel setup'!$K$3&amp;'Funnel setup'!$K$4&amp;'Funnel setup'!$K$5,".",IF(A2041=".",1,A2041+1))</f>
        <v>.</v>
      </c>
      <c r="B2042" s="431" t="str">
        <f t="shared" si="31"/>
        <v>Hip Replacement PrimaryProviderNUFFIELD HEALTH, CHELTENHAM HOSPITAL (NT211)EQ-5D Index</v>
      </c>
      <c r="C2042" t="s">
        <v>248</v>
      </c>
      <c r="D2042" t="s">
        <v>1</v>
      </c>
      <c r="E2042" t="s">
        <v>3703</v>
      </c>
      <c r="F2042" t="s">
        <v>3704</v>
      </c>
      <c r="G2042" t="s">
        <v>52</v>
      </c>
      <c r="H2042">
        <v>6</v>
      </c>
      <c r="I2042">
        <v>0.60699999999999998</v>
      </c>
      <c r="J2042">
        <v>0.84</v>
      </c>
      <c r="K2042">
        <v>0.23300000000000001</v>
      </c>
      <c r="L2042">
        <v>5</v>
      </c>
      <c r="M2042">
        <v>1</v>
      </c>
      <c r="N2042">
        <v>0</v>
      </c>
      <c r="O2042" t="s">
        <v>53</v>
      </c>
      <c r="P2042" t="s">
        <v>53</v>
      </c>
      <c r="Q2042" t="s">
        <v>53</v>
      </c>
    </row>
    <row r="2043" spans="1:17" x14ac:dyDescent="0.2">
      <c r="A2043" s="30" t="str">
        <f>IF(C2043&amp;G2043&amp;D2043&lt;&gt;'Funnel setup'!$K$3&amp;'Funnel setup'!$K$4&amp;'Funnel setup'!$K$5,".",IF(A2042=".",1,A2042+1))</f>
        <v>.</v>
      </c>
      <c r="B2043" s="431" t="str">
        <f t="shared" si="31"/>
        <v>Hip Replacement PrimaryProviderNUFFIELD HEALTH, CHICHESTER HOSPITAL (NT212)EQ-5D Index</v>
      </c>
      <c r="C2043" t="s">
        <v>248</v>
      </c>
      <c r="D2043" t="s">
        <v>1</v>
      </c>
      <c r="E2043" t="s">
        <v>4334</v>
      </c>
      <c r="F2043" t="s">
        <v>4335</v>
      </c>
      <c r="G2043" t="s">
        <v>52</v>
      </c>
      <c r="H2043">
        <v>13</v>
      </c>
      <c r="I2043">
        <v>0.35499999999999998</v>
      </c>
      <c r="J2043">
        <v>0.88900000000000001</v>
      </c>
      <c r="K2043">
        <v>0.53500000000000003</v>
      </c>
      <c r="L2043">
        <v>13</v>
      </c>
      <c r="M2043">
        <v>0</v>
      </c>
      <c r="N2043">
        <v>0</v>
      </c>
      <c r="O2043" t="s">
        <v>53</v>
      </c>
      <c r="P2043" t="s">
        <v>53</v>
      </c>
      <c r="Q2043" t="s">
        <v>53</v>
      </c>
    </row>
    <row r="2044" spans="1:17" x14ac:dyDescent="0.2">
      <c r="A2044" s="30" t="str">
        <f>IF(C2044&amp;G2044&amp;D2044&lt;&gt;'Funnel setup'!$K$3&amp;'Funnel setup'!$K$4&amp;'Funnel setup'!$K$5,".",IF(A2043=".",1,A2043+1))</f>
        <v>.</v>
      </c>
      <c r="B2044" s="431" t="str">
        <f t="shared" si="31"/>
        <v>Hip Replacement PrimaryProviderNUFFIELD HEALTH, DERBY HOSPITAL (NT213)EQ-5D Index</v>
      </c>
      <c r="C2044" t="s">
        <v>248</v>
      </c>
      <c r="D2044" t="s">
        <v>1</v>
      </c>
      <c r="E2044" t="s">
        <v>3340</v>
      </c>
      <c r="F2044" t="s">
        <v>3341</v>
      </c>
      <c r="G2044" t="s">
        <v>52</v>
      </c>
      <c r="H2044">
        <v>142</v>
      </c>
      <c r="I2044">
        <v>0.34899999999999998</v>
      </c>
      <c r="J2044">
        <v>0.83299999999999996</v>
      </c>
      <c r="K2044">
        <v>0.48399999999999999</v>
      </c>
      <c r="L2044">
        <v>135</v>
      </c>
      <c r="M2044">
        <v>2</v>
      </c>
      <c r="N2044">
        <v>5</v>
      </c>
      <c r="O2044">
        <v>0.81100000000000005</v>
      </c>
      <c r="P2044">
        <v>0.44921422100000002</v>
      </c>
      <c r="Q2044">
        <v>0.20899999999999999</v>
      </c>
    </row>
    <row r="2045" spans="1:17" x14ac:dyDescent="0.2">
      <c r="A2045" s="30" t="str">
        <f>IF(C2045&amp;G2045&amp;D2045&lt;&gt;'Funnel setup'!$K$3&amp;'Funnel setup'!$K$4&amp;'Funnel setup'!$K$5,".",IF(A2044=".",1,A2044+1))</f>
        <v>.</v>
      </c>
      <c r="B2045" s="431" t="str">
        <f t="shared" si="31"/>
        <v>Hip Replacement PrimaryProviderNUFFIELD HEALTH, EXETER HOSPITAL (NT215)EQ-5D Index</v>
      </c>
      <c r="C2045" t="s">
        <v>248</v>
      </c>
      <c r="D2045" t="s">
        <v>1</v>
      </c>
      <c r="E2045" t="s">
        <v>4339</v>
      </c>
      <c r="F2045" t="s">
        <v>4340</v>
      </c>
      <c r="G2045" t="s">
        <v>52</v>
      </c>
      <c r="H2045">
        <v>40</v>
      </c>
      <c r="I2045">
        <v>0.40500000000000003</v>
      </c>
      <c r="J2045">
        <v>0.83799999999999997</v>
      </c>
      <c r="K2045">
        <v>0.433</v>
      </c>
      <c r="L2045">
        <v>36</v>
      </c>
      <c r="M2045">
        <v>2</v>
      </c>
      <c r="N2045">
        <v>2</v>
      </c>
      <c r="O2045">
        <v>0.79800000000000004</v>
      </c>
      <c r="P2045">
        <v>0.436579147</v>
      </c>
      <c r="Q2045">
        <v>0.26100000000000001</v>
      </c>
    </row>
    <row r="2046" spans="1:17" x14ac:dyDescent="0.2">
      <c r="A2046" s="30" t="str">
        <f>IF(C2046&amp;G2046&amp;D2046&lt;&gt;'Funnel setup'!$K$3&amp;'Funnel setup'!$K$4&amp;'Funnel setup'!$K$5,".",IF(A2045=".",1,A2045+1))</f>
        <v>.</v>
      </c>
      <c r="B2046" s="431" t="str">
        <f t="shared" si="31"/>
        <v>Hip Replacement PrimaryProviderNUFFIELD HEALTH, HAYWARDS HEATH HOSPITAL (NT218)EQ-5D Index</v>
      </c>
      <c r="C2046" t="s">
        <v>248</v>
      </c>
      <c r="D2046" t="s">
        <v>1</v>
      </c>
      <c r="E2046" t="s">
        <v>4342</v>
      </c>
      <c r="F2046" t="s">
        <v>4343</v>
      </c>
      <c r="G2046" t="s">
        <v>52</v>
      </c>
      <c r="H2046">
        <v>24</v>
      </c>
      <c r="I2046">
        <v>0.51900000000000002</v>
      </c>
      <c r="J2046">
        <v>0.82299999999999995</v>
      </c>
      <c r="K2046">
        <v>0.30499999999999999</v>
      </c>
      <c r="L2046">
        <v>20</v>
      </c>
      <c r="M2046">
        <v>1</v>
      </c>
      <c r="N2046">
        <v>3</v>
      </c>
      <c r="O2046" t="s">
        <v>53</v>
      </c>
      <c r="P2046" t="s">
        <v>53</v>
      </c>
      <c r="Q2046" t="s">
        <v>53</v>
      </c>
    </row>
    <row r="2047" spans="1:17" x14ac:dyDescent="0.2">
      <c r="A2047" s="30" t="str">
        <f>IF(C2047&amp;G2047&amp;D2047&lt;&gt;'Funnel setup'!$K$3&amp;'Funnel setup'!$K$4&amp;'Funnel setup'!$K$5,".",IF(A2046=".",1,A2046+1))</f>
        <v>.</v>
      </c>
      <c r="B2047" s="431" t="str">
        <f t="shared" si="31"/>
        <v>Hip Replacement PrimaryProviderNUFFIELD HEALTH, HEREFORD HOSPITAL (NT219)EQ-5D Index</v>
      </c>
      <c r="C2047" t="s">
        <v>248</v>
      </c>
      <c r="D2047" t="s">
        <v>1</v>
      </c>
      <c r="E2047" t="s">
        <v>3343</v>
      </c>
      <c r="F2047" t="s">
        <v>3344</v>
      </c>
      <c r="G2047" t="s">
        <v>52</v>
      </c>
      <c r="H2047">
        <v>63</v>
      </c>
      <c r="I2047">
        <v>0.39</v>
      </c>
      <c r="J2047">
        <v>0.84799999999999998</v>
      </c>
      <c r="K2047">
        <v>0.45800000000000002</v>
      </c>
      <c r="L2047">
        <v>57</v>
      </c>
      <c r="M2047">
        <v>4</v>
      </c>
      <c r="N2047">
        <v>2</v>
      </c>
      <c r="O2047">
        <v>0.83399999999999996</v>
      </c>
      <c r="P2047">
        <v>0.47201332200000001</v>
      </c>
      <c r="Q2047">
        <v>0.186</v>
      </c>
    </row>
    <row r="2048" spans="1:17" x14ac:dyDescent="0.2">
      <c r="A2048" s="30" t="str">
        <f>IF(C2048&amp;G2048&amp;D2048&lt;&gt;'Funnel setup'!$K$3&amp;'Funnel setup'!$K$4&amp;'Funnel setup'!$K$5,".",IF(A2047=".",1,A2047+1))</f>
        <v>.</v>
      </c>
      <c r="B2048" s="431" t="str">
        <f t="shared" si="31"/>
        <v>Hip Replacement PrimaryProviderNUFFIELD HEALTH, IPSWICH HOSPITAL (NT222)EQ-5D Index</v>
      </c>
      <c r="C2048" t="s">
        <v>248</v>
      </c>
      <c r="D2048" t="s">
        <v>1</v>
      </c>
      <c r="E2048" t="s">
        <v>3385</v>
      </c>
      <c r="F2048" t="s">
        <v>3386</v>
      </c>
      <c r="G2048" t="s">
        <v>52</v>
      </c>
      <c r="H2048">
        <v>129</v>
      </c>
      <c r="I2048">
        <v>0.245</v>
      </c>
      <c r="J2048">
        <v>0.84599999999999997</v>
      </c>
      <c r="K2048">
        <v>0.6</v>
      </c>
      <c r="L2048">
        <v>122</v>
      </c>
      <c r="M2048">
        <v>2</v>
      </c>
      <c r="N2048">
        <v>5</v>
      </c>
      <c r="O2048">
        <v>0.84199999999999997</v>
      </c>
      <c r="P2048">
        <v>0.48003857700000002</v>
      </c>
      <c r="Q2048">
        <v>0.215</v>
      </c>
    </row>
    <row r="2049" spans="1:17" x14ac:dyDescent="0.2">
      <c r="A2049" s="30" t="str">
        <f>IF(C2049&amp;G2049&amp;D2049&lt;&gt;'Funnel setup'!$K$3&amp;'Funnel setup'!$K$4&amp;'Funnel setup'!$K$5,".",IF(A2048=".",1,A2048+1))</f>
        <v>.</v>
      </c>
      <c r="B2049" s="431" t="str">
        <f t="shared" si="31"/>
        <v>Hip Replacement PrimaryProviderNUFFIELD HEALTH, LEEDS HOSPITAL (NT225)EQ-5D Index</v>
      </c>
      <c r="C2049" t="s">
        <v>248</v>
      </c>
      <c r="D2049" t="s">
        <v>1</v>
      </c>
      <c r="E2049" t="s">
        <v>3388</v>
      </c>
      <c r="F2049" t="s">
        <v>3389</v>
      </c>
      <c r="G2049" t="s">
        <v>52</v>
      </c>
      <c r="H2049">
        <v>115</v>
      </c>
      <c r="I2049">
        <v>0.38600000000000001</v>
      </c>
      <c r="J2049">
        <v>0.80600000000000005</v>
      </c>
      <c r="K2049">
        <v>0.42</v>
      </c>
      <c r="L2049">
        <v>108</v>
      </c>
      <c r="M2049">
        <v>3</v>
      </c>
      <c r="N2049">
        <v>4</v>
      </c>
      <c r="O2049">
        <v>0.79100000000000004</v>
      </c>
      <c r="P2049">
        <v>0.429134193</v>
      </c>
      <c r="Q2049">
        <v>0.20200000000000001</v>
      </c>
    </row>
    <row r="2050" spans="1:17" x14ac:dyDescent="0.2">
      <c r="A2050" s="30" t="str">
        <f>IF(C2050&amp;G2050&amp;D2050&lt;&gt;'Funnel setup'!$K$3&amp;'Funnel setup'!$K$4&amp;'Funnel setup'!$K$5,".",IF(A2049=".",1,A2049+1))</f>
        <v>.</v>
      </c>
      <c r="B2050" s="431" t="str">
        <f t="shared" si="31"/>
        <v>Hip Replacement PrimaryProviderNUFFIELD HEALTH, LEICESTER HOSPITAL (NT226)EQ-5D Index</v>
      </c>
      <c r="C2050" t="s">
        <v>248</v>
      </c>
      <c r="D2050" t="s">
        <v>1</v>
      </c>
      <c r="E2050" t="s">
        <v>3391</v>
      </c>
      <c r="F2050" t="s">
        <v>3392</v>
      </c>
      <c r="G2050" t="s">
        <v>52</v>
      </c>
      <c r="H2050">
        <v>26</v>
      </c>
      <c r="I2050">
        <v>0.48099999999999998</v>
      </c>
      <c r="J2050">
        <v>0.85499999999999998</v>
      </c>
      <c r="K2050">
        <v>0.374</v>
      </c>
      <c r="L2050">
        <v>23</v>
      </c>
      <c r="M2050">
        <v>1</v>
      </c>
      <c r="N2050">
        <v>2</v>
      </c>
      <c r="O2050" t="s">
        <v>53</v>
      </c>
      <c r="P2050" t="s">
        <v>53</v>
      </c>
      <c r="Q2050" t="s">
        <v>53</v>
      </c>
    </row>
    <row r="2051" spans="1:17" x14ac:dyDescent="0.2">
      <c r="A2051" s="30" t="str">
        <f>IF(C2051&amp;G2051&amp;D2051&lt;&gt;'Funnel setup'!$K$3&amp;'Funnel setup'!$K$4&amp;'Funnel setup'!$K$5,".",IF(A2050=".",1,A2050+1))</f>
        <v>.</v>
      </c>
      <c r="B2051" s="431" t="str">
        <f t="shared" ref="B2051:B2114" si="32">C2051&amp;D2051&amp;F2051&amp;G2051</f>
        <v>Hip Replacement PrimaryProviderNUFFIELD HEALTH, NEWCASTLE UPON TYNE HOSPITAL (NT229)EQ-5D Index</v>
      </c>
      <c r="C2051" t="s">
        <v>248</v>
      </c>
      <c r="D2051" t="s">
        <v>1</v>
      </c>
      <c r="E2051" t="s">
        <v>3394</v>
      </c>
      <c r="F2051" t="s">
        <v>3395</v>
      </c>
      <c r="G2051" t="s">
        <v>52</v>
      </c>
      <c r="H2051">
        <v>32</v>
      </c>
      <c r="I2051">
        <v>0.436</v>
      </c>
      <c r="J2051">
        <v>0.84399999999999997</v>
      </c>
      <c r="K2051">
        <v>0.40799999999999997</v>
      </c>
      <c r="L2051">
        <v>30</v>
      </c>
      <c r="M2051">
        <v>2</v>
      </c>
      <c r="N2051">
        <v>0</v>
      </c>
      <c r="O2051">
        <v>0.82499999999999996</v>
      </c>
      <c r="P2051">
        <v>0.46284093599999998</v>
      </c>
      <c r="Q2051">
        <v>0.182</v>
      </c>
    </row>
    <row r="2052" spans="1:17" x14ac:dyDescent="0.2">
      <c r="A2052" s="30" t="str">
        <f>IF(C2052&amp;G2052&amp;D2052&lt;&gt;'Funnel setup'!$K$3&amp;'Funnel setup'!$K$4&amp;'Funnel setup'!$K$5,".",IF(A2051=".",1,A2051+1))</f>
        <v>.</v>
      </c>
      <c r="B2052" s="431" t="str">
        <f t="shared" si="32"/>
        <v>Hip Replacement PrimaryProviderNUFFIELD HEALTH, NORTH STAFFORDSHIRE HOSPITAL (NT230)EQ-5D Index</v>
      </c>
      <c r="C2052" t="s">
        <v>248</v>
      </c>
      <c r="D2052" t="s">
        <v>1</v>
      </c>
      <c r="E2052" t="s">
        <v>3397</v>
      </c>
      <c r="F2052" t="s">
        <v>3398</v>
      </c>
      <c r="G2052" t="s">
        <v>52</v>
      </c>
      <c r="H2052">
        <v>126</v>
      </c>
      <c r="I2052">
        <v>0.34399999999999997</v>
      </c>
      <c r="J2052">
        <v>0.82699999999999996</v>
      </c>
      <c r="K2052">
        <v>0.48399999999999999</v>
      </c>
      <c r="L2052">
        <v>116</v>
      </c>
      <c r="M2052">
        <v>6</v>
      </c>
      <c r="N2052">
        <v>4</v>
      </c>
      <c r="O2052">
        <v>0.83699999999999997</v>
      </c>
      <c r="P2052">
        <v>0.47484503099999997</v>
      </c>
      <c r="Q2052">
        <v>0.183</v>
      </c>
    </row>
    <row r="2053" spans="1:17" x14ac:dyDescent="0.2">
      <c r="A2053" s="30" t="str">
        <f>IF(C2053&amp;G2053&amp;D2053&lt;&gt;'Funnel setup'!$K$3&amp;'Funnel setup'!$K$4&amp;'Funnel setup'!$K$5,".",IF(A2052=".",1,A2052+1))</f>
        <v>.</v>
      </c>
      <c r="B2053" s="431" t="str">
        <f t="shared" si="32"/>
        <v>Hip Replacement PrimaryProviderNUFFIELD HEALTH, PLYMOUTH HOSPITAL (NT233)EQ-5D Index</v>
      </c>
      <c r="C2053" t="s">
        <v>248</v>
      </c>
      <c r="D2053" t="s">
        <v>1</v>
      </c>
      <c r="E2053" t="s">
        <v>3400</v>
      </c>
      <c r="F2053" t="s">
        <v>3401</v>
      </c>
      <c r="G2053" t="s">
        <v>52</v>
      </c>
      <c r="H2053">
        <v>81</v>
      </c>
      <c r="I2053">
        <v>0.35599999999999998</v>
      </c>
      <c r="J2053">
        <v>0.79800000000000004</v>
      </c>
      <c r="K2053">
        <v>0.443</v>
      </c>
      <c r="L2053">
        <v>72</v>
      </c>
      <c r="M2053">
        <v>5</v>
      </c>
      <c r="N2053">
        <v>4</v>
      </c>
      <c r="O2053">
        <v>0.78300000000000003</v>
      </c>
      <c r="P2053">
        <v>0.42129551700000001</v>
      </c>
      <c r="Q2053">
        <v>0.24</v>
      </c>
    </row>
    <row r="2054" spans="1:17" x14ac:dyDescent="0.2">
      <c r="A2054" s="30" t="str">
        <f>IF(C2054&amp;G2054&amp;D2054&lt;&gt;'Funnel setup'!$K$3&amp;'Funnel setup'!$K$4&amp;'Funnel setup'!$K$5,".",IF(A2053=".",1,A2053+1))</f>
        <v>.</v>
      </c>
      <c r="B2054" s="431" t="str">
        <f t="shared" si="32"/>
        <v>Hip Replacement PrimaryProviderNUFFIELD HEALTH, SHREWSBURY HOSPITAL (NT235)EQ-5D Index</v>
      </c>
      <c r="C2054" t="s">
        <v>248</v>
      </c>
      <c r="D2054" t="s">
        <v>1</v>
      </c>
      <c r="E2054" t="s">
        <v>3240</v>
      </c>
      <c r="F2054" t="s">
        <v>3241</v>
      </c>
      <c r="G2054" t="s">
        <v>52</v>
      </c>
      <c r="H2054" t="s">
        <v>53</v>
      </c>
      <c r="I2054" t="s">
        <v>53</v>
      </c>
      <c r="J2054" t="s">
        <v>53</v>
      </c>
      <c r="K2054" t="s">
        <v>53</v>
      </c>
      <c r="L2054" t="s">
        <v>53</v>
      </c>
      <c r="M2054" t="s">
        <v>53</v>
      </c>
      <c r="N2054" t="s">
        <v>53</v>
      </c>
      <c r="O2054" t="s">
        <v>53</v>
      </c>
      <c r="P2054" t="s">
        <v>53</v>
      </c>
      <c r="Q2054" t="s">
        <v>53</v>
      </c>
    </row>
    <row r="2055" spans="1:17" x14ac:dyDescent="0.2">
      <c r="A2055" s="30" t="str">
        <f>IF(C2055&amp;G2055&amp;D2055&lt;&gt;'Funnel setup'!$K$3&amp;'Funnel setup'!$K$4&amp;'Funnel setup'!$K$5,".",IF(A2054=".",1,A2054+1))</f>
        <v>.</v>
      </c>
      <c r="B2055" s="431" t="str">
        <f t="shared" si="32"/>
        <v>Hip Replacement PrimaryProviderNUFFIELD HEALTH, TAUNTON HOSPITAL (NT238)EQ-5D Index</v>
      </c>
      <c r="C2055" t="s">
        <v>248</v>
      </c>
      <c r="D2055" t="s">
        <v>1</v>
      </c>
      <c r="E2055" t="s">
        <v>3243</v>
      </c>
      <c r="F2055" t="s">
        <v>3244</v>
      </c>
      <c r="G2055" t="s">
        <v>52</v>
      </c>
      <c r="H2055">
        <v>74</v>
      </c>
      <c r="I2055">
        <v>0.41399999999999998</v>
      </c>
      <c r="J2055">
        <v>0.84599999999999997</v>
      </c>
      <c r="K2055">
        <v>0.43099999999999999</v>
      </c>
      <c r="L2055">
        <v>70</v>
      </c>
      <c r="M2055">
        <v>3</v>
      </c>
      <c r="N2055">
        <v>1</v>
      </c>
      <c r="O2055">
        <v>0.81399999999999995</v>
      </c>
      <c r="P2055">
        <v>0.45206453099999999</v>
      </c>
      <c r="Q2055">
        <v>0.2</v>
      </c>
    </row>
    <row r="2056" spans="1:17" x14ac:dyDescent="0.2">
      <c r="A2056" s="30" t="str">
        <f>IF(C2056&amp;G2056&amp;D2056&lt;&gt;'Funnel setup'!$K$3&amp;'Funnel setup'!$K$4&amp;'Funnel setup'!$K$5,".",IF(A2055=".",1,A2055+1))</f>
        <v>.</v>
      </c>
      <c r="B2056" s="431" t="str">
        <f t="shared" si="32"/>
        <v>Hip Replacement PrimaryProviderNUFFIELD HEALTH, TEES HOSPITAL (NT237)EQ-5D Index</v>
      </c>
      <c r="C2056" t="s">
        <v>248</v>
      </c>
      <c r="D2056" t="s">
        <v>1</v>
      </c>
      <c r="E2056" t="s">
        <v>3246</v>
      </c>
      <c r="F2056" t="s">
        <v>3247</v>
      </c>
      <c r="G2056" t="s">
        <v>52</v>
      </c>
      <c r="H2056">
        <v>93</v>
      </c>
      <c r="I2056">
        <v>0.45600000000000002</v>
      </c>
      <c r="J2056">
        <v>0.80600000000000005</v>
      </c>
      <c r="K2056">
        <v>0.35099999999999998</v>
      </c>
      <c r="L2056">
        <v>81</v>
      </c>
      <c r="M2056">
        <v>4</v>
      </c>
      <c r="N2056">
        <v>8</v>
      </c>
      <c r="O2056">
        <v>0.78</v>
      </c>
      <c r="P2056">
        <v>0.41827040100000001</v>
      </c>
      <c r="Q2056">
        <v>0.218</v>
      </c>
    </row>
    <row r="2057" spans="1:17" x14ac:dyDescent="0.2">
      <c r="A2057" s="30" t="str">
        <f>IF(C2057&amp;G2057&amp;D2057&lt;&gt;'Funnel setup'!$K$3&amp;'Funnel setup'!$K$4&amp;'Funnel setup'!$K$5,".",IF(A2056=".",1,A2056+1))</f>
        <v>.</v>
      </c>
      <c r="B2057" s="431" t="str">
        <f t="shared" si="32"/>
        <v>Hip Replacement PrimaryProviderNUFFIELD HEALTH, THE GROSVENOR HOSPITAL, CHESTER (NT210)EQ-5D Index</v>
      </c>
      <c r="C2057" t="s">
        <v>248</v>
      </c>
      <c r="D2057" t="s">
        <v>1</v>
      </c>
      <c r="E2057" t="s">
        <v>3249</v>
      </c>
      <c r="F2057" t="s">
        <v>3250</v>
      </c>
      <c r="G2057" t="s">
        <v>52</v>
      </c>
      <c r="H2057">
        <v>58</v>
      </c>
      <c r="I2057">
        <v>0.35</v>
      </c>
      <c r="J2057">
        <v>0.83799999999999997</v>
      </c>
      <c r="K2057">
        <v>0.48799999999999999</v>
      </c>
      <c r="L2057">
        <v>57</v>
      </c>
      <c r="M2057">
        <v>0</v>
      </c>
      <c r="N2057">
        <v>1</v>
      </c>
      <c r="O2057">
        <v>0.80500000000000005</v>
      </c>
      <c r="P2057">
        <v>0.44297240399999999</v>
      </c>
      <c r="Q2057">
        <v>0.161</v>
      </c>
    </row>
    <row r="2058" spans="1:17" x14ac:dyDescent="0.2">
      <c r="A2058" s="30" t="str">
        <f>IF(C2058&amp;G2058&amp;D2058&lt;&gt;'Funnel setup'!$K$3&amp;'Funnel setup'!$K$4&amp;'Funnel setup'!$K$5,".",IF(A2057=".",1,A2057+1))</f>
        <v>.</v>
      </c>
      <c r="B2058" s="431" t="str">
        <f t="shared" si="32"/>
        <v>Hip Replacement PrimaryProviderNUFFIELD HEALTH, TUNBRIDGE WELLS HOSPITAL (NT239)EQ-5D Index</v>
      </c>
      <c r="C2058" t="s">
        <v>248</v>
      </c>
      <c r="D2058" t="s">
        <v>1</v>
      </c>
      <c r="E2058" t="s">
        <v>3252</v>
      </c>
      <c r="F2058" t="s">
        <v>3253</v>
      </c>
      <c r="G2058" t="s">
        <v>52</v>
      </c>
      <c r="H2058" t="s">
        <v>53</v>
      </c>
      <c r="I2058" t="s">
        <v>53</v>
      </c>
      <c r="J2058" t="s">
        <v>53</v>
      </c>
      <c r="K2058" t="s">
        <v>53</v>
      </c>
      <c r="L2058" t="s">
        <v>53</v>
      </c>
      <c r="M2058" t="s">
        <v>53</v>
      </c>
      <c r="N2058" t="s">
        <v>53</v>
      </c>
      <c r="O2058" t="s">
        <v>53</v>
      </c>
      <c r="P2058" t="s">
        <v>53</v>
      </c>
      <c r="Q2058" t="s">
        <v>53</v>
      </c>
    </row>
    <row r="2059" spans="1:17" x14ac:dyDescent="0.2">
      <c r="A2059" s="30" t="str">
        <f>IF(C2059&amp;G2059&amp;D2059&lt;&gt;'Funnel setup'!$K$3&amp;'Funnel setup'!$K$4&amp;'Funnel setup'!$K$5,".",IF(A2058=".",1,A2058+1))</f>
        <v>.</v>
      </c>
      <c r="B2059" s="431" t="str">
        <f t="shared" si="32"/>
        <v>Hip Replacement PrimaryProviderNUFFIELD HEALTH, WARWICKSHIRE HOSPITAL (NT224)EQ-5D Index</v>
      </c>
      <c r="C2059" t="s">
        <v>248</v>
      </c>
      <c r="D2059" t="s">
        <v>1</v>
      </c>
      <c r="E2059" t="s">
        <v>3255</v>
      </c>
      <c r="F2059" t="s">
        <v>3256</v>
      </c>
      <c r="G2059" t="s">
        <v>52</v>
      </c>
      <c r="H2059">
        <v>10</v>
      </c>
      <c r="I2059">
        <v>0.47599999999999998</v>
      </c>
      <c r="J2059">
        <v>0.88700000000000001</v>
      </c>
      <c r="K2059">
        <v>0.41099999999999998</v>
      </c>
      <c r="L2059">
        <v>9</v>
      </c>
      <c r="M2059">
        <v>1</v>
      </c>
      <c r="N2059">
        <v>0</v>
      </c>
      <c r="O2059" t="s">
        <v>53</v>
      </c>
      <c r="P2059" t="s">
        <v>53</v>
      </c>
      <c r="Q2059" t="s">
        <v>53</v>
      </c>
    </row>
    <row r="2060" spans="1:17" x14ac:dyDescent="0.2">
      <c r="A2060" s="30" t="str">
        <f>IF(C2060&amp;G2060&amp;D2060&lt;&gt;'Funnel setup'!$K$3&amp;'Funnel setup'!$K$4&amp;'Funnel setup'!$K$5,".",IF(A2059=".",1,A2059+1))</f>
        <v>.</v>
      </c>
      <c r="B2060" s="431" t="str">
        <f t="shared" si="32"/>
        <v>Hip Replacement PrimaryProviderNUFFIELD HEALTH, WESSEX HOSPITAL (NT214)EQ-5D Index</v>
      </c>
      <c r="C2060" t="s">
        <v>248</v>
      </c>
      <c r="D2060" t="s">
        <v>1</v>
      </c>
      <c r="E2060" t="s">
        <v>3258</v>
      </c>
      <c r="F2060" t="s">
        <v>3259</v>
      </c>
      <c r="G2060" t="s">
        <v>52</v>
      </c>
      <c r="H2060">
        <v>34</v>
      </c>
      <c r="I2060">
        <v>0.35499999999999998</v>
      </c>
      <c r="J2060">
        <v>0.86099999999999999</v>
      </c>
      <c r="K2060">
        <v>0.50600000000000001</v>
      </c>
      <c r="L2060">
        <v>31</v>
      </c>
      <c r="M2060">
        <v>2</v>
      </c>
      <c r="N2060">
        <v>1</v>
      </c>
      <c r="O2060">
        <v>0.83299999999999996</v>
      </c>
      <c r="P2060">
        <v>0.471365117</v>
      </c>
      <c r="Q2060">
        <v>0.17299999999999999</v>
      </c>
    </row>
    <row r="2061" spans="1:17" x14ac:dyDescent="0.2">
      <c r="A2061" s="30" t="str">
        <f>IF(C2061&amp;G2061&amp;D2061&lt;&gt;'Funnel setup'!$K$3&amp;'Funnel setup'!$K$4&amp;'Funnel setup'!$K$5,".",IF(A2060=".",1,A2060+1))</f>
        <v>.</v>
      </c>
      <c r="B2061" s="431" t="str">
        <f t="shared" si="32"/>
        <v>Hip Replacement PrimaryProviderNUFFIELD HEALTH, WOKING HOSPITAL (NT241)EQ-5D Index</v>
      </c>
      <c r="C2061" t="s">
        <v>248</v>
      </c>
      <c r="D2061" t="s">
        <v>1</v>
      </c>
      <c r="E2061" t="s">
        <v>3261</v>
      </c>
      <c r="F2061" t="s">
        <v>3262</v>
      </c>
      <c r="G2061" t="s">
        <v>52</v>
      </c>
      <c r="H2061">
        <v>6</v>
      </c>
      <c r="I2061">
        <v>0.52</v>
      </c>
      <c r="J2061">
        <v>0.79500000000000004</v>
      </c>
      <c r="K2061">
        <v>0.27500000000000002</v>
      </c>
      <c r="L2061">
        <v>5</v>
      </c>
      <c r="M2061">
        <v>1</v>
      </c>
      <c r="N2061">
        <v>0</v>
      </c>
      <c r="O2061" t="s">
        <v>53</v>
      </c>
      <c r="P2061" t="s">
        <v>53</v>
      </c>
      <c r="Q2061" t="s">
        <v>53</v>
      </c>
    </row>
    <row r="2062" spans="1:17" x14ac:dyDescent="0.2">
      <c r="A2062" s="30" t="str">
        <f>IF(C2062&amp;G2062&amp;D2062&lt;&gt;'Funnel setup'!$K$3&amp;'Funnel setup'!$K$4&amp;'Funnel setup'!$K$5,".",IF(A2061=".",1,A2061+1))</f>
        <v>.</v>
      </c>
      <c r="B2062" s="431" t="str">
        <f t="shared" si="32"/>
        <v>Hip Replacement PrimaryProviderNUFFIELD HEALTH, WOLVERHAMPTON HOSPITAL (NT242)EQ-5D Index</v>
      </c>
      <c r="C2062" t="s">
        <v>248</v>
      </c>
      <c r="D2062" t="s">
        <v>1</v>
      </c>
      <c r="E2062" t="s">
        <v>3264</v>
      </c>
      <c r="F2062" t="s">
        <v>3265</v>
      </c>
      <c r="G2062" t="s">
        <v>52</v>
      </c>
      <c r="H2062">
        <v>78</v>
      </c>
      <c r="I2062">
        <v>0.41699999999999998</v>
      </c>
      <c r="J2062">
        <v>0.85499999999999998</v>
      </c>
      <c r="K2062">
        <v>0.439</v>
      </c>
      <c r="L2062">
        <v>70</v>
      </c>
      <c r="M2062">
        <v>5</v>
      </c>
      <c r="N2062">
        <v>3</v>
      </c>
      <c r="O2062">
        <v>0.84099999999999997</v>
      </c>
      <c r="P2062">
        <v>0.47968454500000002</v>
      </c>
      <c r="Q2062">
        <v>0.16900000000000001</v>
      </c>
    </row>
    <row r="2063" spans="1:17" x14ac:dyDescent="0.2">
      <c r="A2063" s="30" t="str">
        <f>IF(C2063&amp;G2063&amp;D2063&lt;&gt;'Funnel setup'!$K$3&amp;'Funnel setup'!$K$4&amp;'Funnel setup'!$K$5,".",IF(A2062=".",1,A2062+1))</f>
        <v>.</v>
      </c>
      <c r="B2063" s="431" t="str">
        <f t="shared" si="32"/>
        <v>Hip Replacement PrimaryProviderNUFFIELD HEALTH, YORK HOSPITAL (NT245)EQ-5D Index</v>
      </c>
      <c r="C2063" t="s">
        <v>248</v>
      </c>
      <c r="D2063" t="s">
        <v>1</v>
      </c>
      <c r="E2063" t="s">
        <v>4299</v>
      </c>
      <c r="F2063" t="s">
        <v>4300</v>
      </c>
      <c r="G2063" t="s">
        <v>52</v>
      </c>
      <c r="H2063">
        <v>100</v>
      </c>
      <c r="I2063">
        <v>0.40300000000000002</v>
      </c>
      <c r="J2063">
        <v>0.84799999999999998</v>
      </c>
      <c r="K2063">
        <v>0.44400000000000001</v>
      </c>
      <c r="L2063">
        <v>96</v>
      </c>
      <c r="M2063">
        <v>2</v>
      </c>
      <c r="N2063">
        <v>2</v>
      </c>
      <c r="O2063">
        <v>0.80300000000000005</v>
      </c>
      <c r="P2063">
        <v>0.441509655</v>
      </c>
      <c r="Q2063">
        <v>0.182</v>
      </c>
    </row>
    <row r="2064" spans="1:17" x14ac:dyDescent="0.2">
      <c r="A2064" s="30" t="str">
        <f>IF(C2064&amp;G2064&amp;D2064&lt;&gt;'Funnel setup'!$K$3&amp;'Funnel setup'!$K$4&amp;'Funnel setup'!$K$5,".",IF(A2063=".",1,A2063+1))</f>
        <v>.</v>
      </c>
      <c r="B2064" s="431" t="str">
        <f t="shared" si="32"/>
        <v>Hip Replacement PrimaryProviderNUFFIELD HOSPITAL OXFORD (THE MANOR) (NT244)EQ-5D Index</v>
      </c>
      <c r="C2064" t="s">
        <v>248</v>
      </c>
      <c r="D2064" t="s">
        <v>1</v>
      </c>
      <c r="E2064" t="s">
        <v>4302</v>
      </c>
      <c r="F2064" t="s">
        <v>4303</v>
      </c>
      <c r="G2064" t="s">
        <v>52</v>
      </c>
      <c r="H2064">
        <v>28</v>
      </c>
      <c r="I2064">
        <v>0.41899999999999998</v>
      </c>
      <c r="J2064">
        <v>0.90700000000000003</v>
      </c>
      <c r="K2064">
        <v>0.48699999999999999</v>
      </c>
      <c r="L2064">
        <v>26</v>
      </c>
      <c r="M2064">
        <v>2</v>
      </c>
      <c r="N2064">
        <v>0</v>
      </c>
      <c r="O2064" t="s">
        <v>53</v>
      </c>
      <c r="P2064" t="s">
        <v>53</v>
      </c>
      <c r="Q2064" t="s">
        <v>53</v>
      </c>
    </row>
    <row r="2065" spans="1:17" x14ac:dyDescent="0.2">
      <c r="A2065" s="30" t="str">
        <f>IF(C2065&amp;G2065&amp;D2065&lt;&gt;'Funnel setup'!$K$3&amp;'Funnel setup'!$K$4&amp;'Funnel setup'!$K$5,".",IF(A2064=".",1,A2064+1))</f>
        <v>.</v>
      </c>
      <c r="B2065" s="431" t="str">
        <f t="shared" si="32"/>
        <v>Hip Replacement PrimaryProviderOAKLANDS HOSPITAL (NVC12)EQ-5D Index</v>
      </c>
      <c r="C2065" t="s">
        <v>248</v>
      </c>
      <c r="D2065" t="s">
        <v>1</v>
      </c>
      <c r="E2065" t="s">
        <v>3267</v>
      </c>
      <c r="F2065" t="s">
        <v>3268</v>
      </c>
      <c r="G2065" t="s">
        <v>52</v>
      </c>
      <c r="H2065">
        <v>44</v>
      </c>
      <c r="I2065">
        <v>0.30499999999999999</v>
      </c>
      <c r="J2065">
        <v>0.78800000000000003</v>
      </c>
      <c r="K2065">
        <v>0.48299999999999998</v>
      </c>
      <c r="L2065">
        <v>38</v>
      </c>
      <c r="M2065">
        <v>4</v>
      </c>
      <c r="N2065">
        <v>2</v>
      </c>
      <c r="O2065">
        <v>0.79900000000000004</v>
      </c>
      <c r="P2065">
        <v>0.43779074200000001</v>
      </c>
      <c r="Q2065">
        <v>0.24299999999999999</v>
      </c>
    </row>
    <row r="2066" spans="1:17" x14ac:dyDescent="0.2">
      <c r="A2066" s="30" t="str">
        <f>IF(C2066&amp;G2066&amp;D2066&lt;&gt;'Funnel setup'!$K$3&amp;'Funnel setup'!$K$4&amp;'Funnel setup'!$K$5,".",IF(A2065=".",1,A2065+1))</f>
        <v>.</v>
      </c>
      <c r="B2066" s="431" t="str">
        <f t="shared" si="32"/>
        <v>Hip Replacement PrimaryProviderOAKS HOSPITAL (NVC13)EQ-5D Index</v>
      </c>
      <c r="C2066" t="s">
        <v>248</v>
      </c>
      <c r="D2066" t="s">
        <v>1</v>
      </c>
      <c r="E2066" t="s">
        <v>3270</v>
      </c>
      <c r="F2066" t="s">
        <v>3271</v>
      </c>
      <c r="G2066" t="s">
        <v>52</v>
      </c>
      <c r="H2066">
        <v>114</v>
      </c>
      <c r="I2066">
        <v>0.42499999999999999</v>
      </c>
      <c r="J2066">
        <v>0.82099999999999995</v>
      </c>
      <c r="K2066">
        <v>0.39600000000000002</v>
      </c>
      <c r="L2066">
        <v>104</v>
      </c>
      <c r="M2066">
        <v>5</v>
      </c>
      <c r="N2066">
        <v>5</v>
      </c>
      <c r="O2066">
        <v>0.79800000000000004</v>
      </c>
      <c r="P2066">
        <v>0.436088056</v>
      </c>
      <c r="Q2066">
        <v>0.192</v>
      </c>
    </row>
    <row r="2067" spans="1:17" x14ac:dyDescent="0.2">
      <c r="A2067" s="30" t="str">
        <f>IF(C2067&amp;G2067&amp;D2067&lt;&gt;'Funnel setup'!$K$3&amp;'Funnel setup'!$K$4&amp;'Funnel setup'!$K$5,".",IF(A2066=".",1,A2066+1))</f>
        <v>.</v>
      </c>
      <c r="B2067" s="431" t="str">
        <f t="shared" si="32"/>
        <v>Hip Replacement PrimaryProviderONE HEALTH GROUP LTD (NTX01)EQ-5D Index</v>
      </c>
      <c r="C2067" t="s">
        <v>248</v>
      </c>
      <c r="D2067" t="s">
        <v>1</v>
      </c>
      <c r="E2067" t="s">
        <v>6507</v>
      </c>
      <c r="F2067" t="s">
        <v>6508</v>
      </c>
      <c r="G2067" t="s">
        <v>52</v>
      </c>
      <c r="H2067">
        <v>31</v>
      </c>
      <c r="I2067">
        <v>0.255</v>
      </c>
      <c r="J2067">
        <v>0.754</v>
      </c>
      <c r="K2067">
        <v>0.498</v>
      </c>
      <c r="L2067">
        <v>28</v>
      </c>
      <c r="M2067">
        <v>2</v>
      </c>
      <c r="N2067">
        <v>1</v>
      </c>
      <c r="O2067">
        <v>0.77500000000000002</v>
      </c>
      <c r="P2067">
        <v>0.41338461900000001</v>
      </c>
      <c r="Q2067">
        <v>0.26200000000000001</v>
      </c>
    </row>
    <row r="2068" spans="1:17" x14ac:dyDescent="0.2">
      <c r="A2068" s="30" t="str">
        <f>IF(C2068&amp;G2068&amp;D2068&lt;&gt;'Funnel setup'!$K$3&amp;'Funnel setup'!$K$4&amp;'Funnel setup'!$K$5,".",IF(A2067=".",1,A2067+1))</f>
        <v>.</v>
      </c>
      <c r="B2068" s="431" t="str">
        <f t="shared" si="32"/>
        <v>Hip Replacement PrimaryProviderOXFORD UNIVERSITY HOSPITALS NHS FOUNDATION TRUST (RTH)EQ-5D Index</v>
      </c>
      <c r="C2068" t="s">
        <v>248</v>
      </c>
      <c r="D2068" t="s">
        <v>1</v>
      </c>
      <c r="E2068" t="s">
        <v>3278</v>
      </c>
      <c r="F2068" t="s">
        <v>6578</v>
      </c>
      <c r="G2068" t="s">
        <v>52</v>
      </c>
      <c r="H2068">
        <v>500</v>
      </c>
      <c r="I2068">
        <v>0.374</v>
      </c>
      <c r="J2068">
        <v>0.80600000000000005</v>
      </c>
      <c r="K2068">
        <v>0.432</v>
      </c>
      <c r="L2068">
        <v>450</v>
      </c>
      <c r="M2068">
        <v>27</v>
      </c>
      <c r="N2068">
        <v>23</v>
      </c>
      <c r="O2068">
        <v>0.80400000000000005</v>
      </c>
      <c r="P2068">
        <v>0.442364814</v>
      </c>
      <c r="Q2068">
        <v>0.218</v>
      </c>
    </row>
    <row r="2069" spans="1:17" x14ac:dyDescent="0.2">
      <c r="A2069" s="30" t="str">
        <f>IF(C2069&amp;G2069&amp;D2069&lt;&gt;'Funnel setup'!$K$3&amp;'Funnel setup'!$K$4&amp;'Funnel setup'!$K$5,".",IF(A2068=".",1,A2068+1))</f>
        <v>.</v>
      </c>
      <c r="B2069" s="431" t="str">
        <f t="shared" si="32"/>
        <v>Hip Replacement PrimaryProviderPARK HILL HOSPITAL (NVC14)EQ-5D Index</v>
      </c>
      <c r="C2069" t="s">
        <v>248</v>
      </c>
      <c r="D2069" t="s">
        <v>1</v>
      </c>
      <c r="E2069" t="s">
        <v>3280</v>
      </c>
      <c r="F2069" t="s">
        <v>3281</v>
      </c>
      <c r="G2069" t="s">
        <v>52</v>
      </c>
      <c r="H2069">
        <v>23</v>
      </c>
      <c r="I2069">
        <v>0.28799999999999998</v>
      </c>
      <c r="J2069">
        <v>0.77</v>
      </c>
      <c r="K2069">
        <v>0.48199999999999998</v>
      </c>
      <c r="L2069">
        <v>20</v>
      </c>
      <c r="M2069">
        <v>1</v>
      </c>
      <c r="N2069">
        <v>2</v>
      </c>
      <c r="O2069" t="s">
        <v>53</v>
      </c>
      <c r="P2069" t="s">
        <v>53</v>
      </c>
      <c r="Q2069" t="s">
        <v>53</v>
      </c>
    </row>
    <row r="2070" spans="1:17" x14ac:dyDescent="0.2">
      <c r="A2070" s="30" t="str">
        <f>IF(C2070&amp;G2070&amp;D2070&lt;&gt;'Funnel setup'!$K$3&amp;'Funnel setup'!$K$4&amp;'Funnel setup'!$K$5,".",IF(A2069=".",1,A2069+1))</f>
        <v>.</v>
      </c>
      <c r="B2070" s="431" t="str">
        <f t="shared" si="32"/>
        <v>Hip Replacement PrimaryProviderPENINSULA NHS TREATMENT CENTRE (NTPH5)EQ-5D Index</v>
      </c>
      <c r="C2070" t="s">
        <v>248</v>
      </c>
      <c r="D2070" t="s">
        <v>1</v>
      </c>
      <c r="E2070" t="s">
        <v>4285</v>
      </c>
      <c r="F2070" t="s">
        <v>4286</v>
      </c>
      <c r="G2070" t="s">
        <v>52</v>
      </c>
      <c r="H2070">
        <v>193</v>
      </c>
      <c r="I2070">
        <v>0.504</v>
      </c>
      <c r="J2070">
        <v>0.875</v>
      </c>
      <c r="K2070">
        <v>0.371</v>
      </c>
      <c r="L2070">
        <v>176</v>
      </c>
      <c r="M2070">
        <v>6</v>
      </c>
      <c r="N2070">
        <v>11</v>
      </c>
      <c r="O2070">
        <v>0.83199999999999996</v>
      </c>
      <c r="P2070">
        <v>0.470263186</v>
      </c>
      <c r="Q2070">
        <v>0.17499999999999999</v>
      </c>
    </row>
    <row r="2071" spans="1:17" x14ac:dyDescent="0.2">
      <c r="A2071" s="30" t="str">
        <f>IF(C2071&amp;G2071&amp;D2071&lt;&gt;'Funnel setup'!$K$3&amp;'Funnel setup'!$K$4&amp;'Funnel setup'!$K$5,".",IF(A2070=".",1,A2070+1))</f>
        <v>.</v>
      </c>
      <c r="B2071" s="431" t="str">
        <f t="shared" si="32"/>
        <v>Hip Replacement PrimaryProviderPENNINE ACUTE HOSPITALS NHS TRUST (RW6)EQ-5D Index</v>
      </c>
      <c r="C2071" t="s">
        <v>248</v>
      </c>
      <c r="D2071" t="s">
        <v>1</v>
      </c>
      <c r="E2071" t="s">
        <v>3216</v>
      </c>
      <c r="F2071" t="s">
        <v>3217</v>
      </c>
      <c r="G2071" t="s">
        <v>52</v>
      </c>
      <c r="H2071">
        <v>129</v>
      </c>
      <c r="I2071">
        <v>0.19500000000000001</v>
      </c>
      <c r="J2071">
        <v>0.72099999999999997</v>
      </c>
      <c r="K2071">
        <v>0.52600000000000002</v>
      </c>
      <c r="L2071">
        <v>116</v>
      </c>
      <c r="M2071">
        <v>9</v>
      </c>
      <c r="N2071">
        <v>4</v>
      </c>
      <c r="O2071">
        <v>0.79100000000000004</v>
      </c>
      <c r="P2071">
        <v>0.42947257799999999</v>
      </c>
      <c r="Q2071">
        <v>0.26700000000000002</v>
      </c>
    </row>
    <row r="2072" spans="1:17" x14ac:dyDescent="0.2">
      <c r="A2072" s="30" t="str">
        <f>IF(C2072&amp;G2072&amp;D2072&lt;&gt;'Funnel setup'!$K$3&amp;'Funnel setup'!$K$4&amp;'Funnel setup'!$K$5,".",IF(A2071=".",1,A2071+1))</f>
        <v>.</v>
      </c>
      <c r="B2072" s="431" t="str">
        <f t="shared" si="32"/>
        <v>Hip Replacement PrimaryProviderPETERBOROUGH AND STAMFORD HOSPITALS NHS FOUNDATION TRUST (RGN)EQ-5D Index</v>
      </c>
      <c r="C2072" t="s">
        <v>248</v>
      </c>
      <c r="D2072" t="s">
        <v>1</v>
      </c>
      <c r="E2072" t="s">
        <v>3219</v>
      </c>
      <c r="F2072" t="s">
        <v>3220</v>
      </c>
      <c r="G2072" t="s">
        <v>52</v>
      </c>
      <c r="H2072">
        <v>176</v>
      </c>
      <c r="I2072">
        <v>0.32300000000000001</v>
      </c>
      <c r="J2072">
        <v>0.76400000000000001</v>
      </c>
      <c r="K2072">
        <v>0.441</v>
      </c>
      <c r="L2072">
        <v>152</v>
      </c>
      <c r="M2072">
        <v>10</v>
      </c>
      <c r="N2072">
        <v>14</v>
      </c>
      <c r="O2072">
        <v>0.77100000000000002</v>
      </c>
      <c r="P2072">
        <v>0.40894392000000002</v>
      </c>
      <c r="Q2072">
        <v>0.22</v>
      </c>
    </row>
    <row r="2073" spans="1:17" x14ac:dyDescent="0.2">
      <c r="A2073" s="30" t="str">
        <f>IF(C2073&amp;G2073&amp;D2073&lt;&gt;'Funnel setup'!$K$3&amp;'Funnel setup'!$K$4&amp;'Funnel setup'!$K$5,".",IF(A2072=".",1,A2072+1))</f>
        <v>.</v>
      </c>
      <c r="B2073" s="431" t="str">
        <f t="shared" si="32"/>
        <v>Hip Replacement PrimaryProviderPINEHILL HOSPITAL (NVC15)EQ-5D Index</v>
      </c>
      <c r="C2073" t="s">
        <v>248</v>
      </c>
      <c r="D2073" t="s">
        <v>1</v>
      </c>
      <c r="E2073" t="s">
        <v>3222</v>
      </c>
      <c r="F2073" t="s">
        <v>3223</v>
      </c>
      <c r="G2073" t="s">
        <v>52</v>
      </c>
      <c r="H2073">
        <v>75</v>
      </c>
      <c r="I2073">
        <v>0.38300000000000001</v>
      </c>
      <c r="J2073">
        <v>0.81899999999999995</v>
      </c>
      <c r="K2073">
        <v>0.436</v>
      </c>
      <c r="L2073">
        <v>70</v>
      </c>
      <c r="M2073">
        <v>2</v>
      </c>
      <c r="N2073">
        <v>3</v>
      </c>
      <c r="O2073">
        <v>0.8</v>
      </c>
      <c r="P2073">
        <v>0.438666746</v>
      </c>
      <c r="Q2073">
        <v>0.19</v>
      </c>
    </row>
    <row r="2074" spans="1:17" x14ac:dyDescent="0.2">
      <c r="A2074" s="30" t="str">
        <f>IF(C2074&amp;G2074&amp;D2074&lt;&gt;'Funnel setup'!$K$3&amp;'Funnel setup'!$K$4&amp;'Funnel setup'!$K$5,".",IF(A2073=".",1,A2073+1))</f>
        <v>.</v>
      </c>
      <c r="B2074" s="431" t="str">
        <f t="shared" si="32"/>
        <v>Hip Replacement PrimaryProviderPLYMOUTH HOSPITALS NHS TRUST (RK9)EQ-5D Index</v>
      </c>
      <c r="C2074" t="s">
        <v>248</v>
      </c>
      <c r="D2074" t="s">
        <v>1</v>
      </c>
      <c r="E2074" t="s">
        <v>3225</v>
      </c>
      <c r="F2074" t="s">
        <v>3226</v>
      </c>
      <c r="G2074" t="s">
        <v>52</v>
      </c>
      <c r="H2074">
        <v>196</v>
      </c>
      <c r="I2074">
        <v>0.313</v>
      </c>
      <c r="J2074">
        <v>0.74199999999999999</v>
      </c>
      <c r="K2074">
        <v>0.42899999999999999</v>
      </c>
      <c r="L2074">
        <v>179</v>
      </c>
      <c r="M2074">
        <v>8</v>
      </c>
      <c r="N2074">
        <v>9</v>
      </c>
      <c r="O2074">
        <v>0.77100000000000002</v>
      </c>
      <c r="P2074">
        <v>0.409278535</v>
      </c>
      <c r="Q2074">
        <v>0.23400000000000001</v>
      </c>
    </row>
    <row r="2075" spans="1:17" x14ac:dyDescent="0.2">
      <c r="A2075" s="30" t="str">
        <f>IF(C2075&amp;G2075&amp;D2075&lt;&gt;'Funnel setup'!$K$3&amp;'Funnel setup'!$K$4&amp;'Funnel setup'!$K$5,".",IF(A2074=".",1,A2074+1))</f>
        <v>.</v>
      </c>
      <c r="B2075" s="431" t="str">
        <f t="shared" si="32"/>
        <v>Hip Replacement PrimaryProviderPORTSMOUTH HOSPITALS NHS TRUST (RHU)EQ-5D Index</v>
      </c>
      <c r="C2075" t="s">
        <v>248</v>
      </c>
      <c r="D2075" t="s">
        <v>1</v>
      </c>
      <c r="E2075" t="s">
        <v>3234</v>
      </c>
      <c r="F2075" t="s">
        <v>3235</v>
      </c>
      <c r="G2075" t="s">
        <v>52</v>
      </c>
      <c r="H2075">
        <v>181</v>
      </c>
      <c r="I2075">
        <v>0.29699999999999999</v>
      </c>
      <c r="J2075">
        <v>0.76200000000000001</v>
      </c>
      <c r="K2075">
        <v>0.46500000000000002</v>
      </c>
      <c r="L2075">
        <v>163</v>
      </c>
      <c r="M2075">
        <v>8</v>
      </c>
      <c r="N2075">
        <v>10</v>
      </c>
      <c r="O2075">
        <v>0.78500000000000003</v>
      </c>
      <c r="P2075">
        <v>0.423027072</v>
      </c>
      <c r="Q2075">
        <v>0.26600000000000001</v>
      </c>
    </row>
    <row r="2076" spans="1:17" x14ac:dyDescent="0.2">
      <c r="A2076" s="30" t="str">
        <f>IF(C2076&amp;G2076&amp;D2076&lt;&gt;'Funnel setup'!$K$3&amp;'Funnel setup'!$K$4&amp;'Funnel setup'!$K$5,".",IF(A2075=".",1,A2075+1))</f>
        <v>.</v>
      </c>
      <c r="B2076" s="431" t="str">
        <f t="shared" si="32"/>
        <v>Hip Replacement PrimaryProviderRENACRES HOSPITAL (NVC16)EQ-5D Index</v>
      </c>
      <c r="C2076" t="s">
        <v>248</v>
      </c>
      <c r="D2076" t="s">
        <v>1</v>
      </c>
      <c r="E2076" t="s">
        <v>3237</v>
      </c>
      <c r="F2076" t="s">
        <v>3238</v>
      </c>
      <c r="G2076" t="s">
        <v>52</v>
      </c>
      <c r="H2076">
        <v>46</v>
      </c>
      <c r="I2076">
        <v>0.49099999999999999</v>
      </c>
      <c r="J2076">
        <v>0.82499999999999996</v>
      </c>
      <c r="K2076">
        <v>0.33400000000000002</v>
      </c>
      <c r="L2076">
        <v>40</v>
      </c>
      <c r="M2076">
        <v>4</v>
      </c>
      <c r="N2076">
        <v>2</v>
      </c>
      <c r="O2076">
        <v>0.77400000000000002</v>
      </c>
      <c r="P2076">
        <v>0.41193193099999997</v>
      </c>
      <c r="Q2076">
        <v>0.21099999999999999</v>
      </c>
    </row>
    <row r="2077" spans="1:17" x14ac:dyDescent="0.2">
      <c r="A2077" s="30" t="str">
        <f>IF(C2077&amp;G2077&amp;D2077&lt;&gt;'Funnel setup'!$K$3&amp;'Funnel setup'!$K$4&amp;'Funnel setup'!$K$5,".",IF(A2076=".",1,A2076+1))</f>
        <v>.</v>
      </c>
      <c r="B2077" s="431" t="str">
        <f t="shared" si="32"/>
        <v>Hip Replacement PrimaryProviderRIVERS HOSPITAL (NVC19)EQ-5D Index</v>
      </c>
      <c r="C2077" t="s">
        <v>248</v>
      </c>
      <c r="D2077" t="s">
        <v>1</v>
      </c>
      <c r="E2077" t="s">
        <v>3204</v>
      </c>
      <c r="F2077" t="s">
        <v>3205</v>
      </c>
      <c r="G2077" t="s">
        <v>52</v>
      </c>
      <c r="H2077">
        <v>73</v>
      </c>
      <c r="I2077">
        <v>0.34599999999999997</v>
      </c>
      <c r="J2077">
        <v>0.86099999999999999</v>
      </c>
      <c r="K2077">
        <v>0.51400000000000001</v>
      </c>
      <c r="L2077">
        <v>66</v>
      </c>
      <c r="M2077">
        <v>6</v>
      </c>
      <c r="N2077">
        <v>1</v>
      </c>
      <c r="O2077">
        <v>0.85</v>
      </c>
      <c r="P2077">
        <v>0.48874831499999999</v>
      </c>
      <c r="Q2077">
        <v>0.19700000000000001</v>
      </c>
    </row>
    <row r="2078" spans="1:17" x14ac:dyDescent="0.2">
      <c r="A2078" s="30" t="str">
        <f>IF(C2078&amp;G2078&amp;D2078&lt;&gt;'Funnel setup'!$K$3&amp;'Funnel setup'!$K$4&amp;'Funnel setup'!$K$5,".",IF(A2077=".",1,A2077+1))</f>
        <v>.</v>
      </c>
      <c r="B2078" s="431" t="str">
        <f t="shared" si="32"/>
        <v>Hip Replacement PrimaryProviderROWLEY HALL HOSPITAL (NVC17)EQ-5D Index</v>
      </c>
      <c r="C2078" t="s">
        <v>248</v>
      </c>
      <c r="D2078" t="s">
        <v>1</v>
      </c>
      <c r="E2078" t="s">
        <v>3207</v>
      </c>
      <c r="F2078" t="s">
        <v>3208</v>
      </c>
      <c r="G2078" t="s">
        <v>52</v>
      </c>
      <c r="H2078">
        <v>90</v>
      </c>
      <c r="I2078">
        <v>0.44900000000000001</v>
      </c>
      <c r="J2078">
        <v>0.84099999999999997</v>
      </c>
      <c r="K2078">
        <v>0.39200000000000002</v>
      </c>
      <c r="L2078">
        <v>78</v>
      </c>
      <c r="M2078">
        <v>8</v>
      </c>
      <c r="N2078">
        <v>4</v>
      </c>
      <c r="O2078">
        <v>0.80700000000000005</v>
      </c>
      <c r="P2078">
        <v>0.44579387199999998</v>
      </c>
      <c r="Q2078">
        <v>0.20300000000000001</v>
      </c>
    </row>
    <row r="2079" spans="1:17" x14ac:dyDescent="0.2">
      <c r="A2079" s="30" t="str">
        <f>IF(C2079&amp;G2079&amp;D2079&lt;&gt;'Funnel setup'!$K$3&amp;'Funnel setup'!$K$4&amp;'Funnel setup'!$K$5,".",IF(A2078=".",1,A2078+1))</f>
        <v>.</v>
      </c>
      <c r="B2079" s="431" t="str">
        <f t="shared" si="32"/>
        <v>Hip Replacement PrimaryProviderROYAL BERKSHIRE NHS FOUNDATION TRUST (RHW)EQ-5D Index</v>
      </c>
      <c r="C2079" t="s">
        <v>248</v>
      </c>
      <c r="D2079" t="s">
        <v>1</v>
      </c>
      <c r="E2079" t="s">
        <v>3832</v>
      </c>
      <c r="F2079" t="s">
        <v>3833</v>
      </c>
      <c r="G2079" t="s">
        <v>52</v>
      </c>
      <c r="H2079">
        <v>147</v>
      </c>
      <c r="I2079">
        <v>0.39500000000000002</v>
      </c>
      <c r="J2079">
        <v>0.83799999999999997</v>
      </c>
      <c r="K2079">
        <v>0.443</v>
      </c>
      <c r="L2079">
        <v>135</v>
      </c>
      <c r="M2079">
        <v>10</v>
      </c>
      <c r="N2079">
        <v>2</v>
      </c>
      <c r="O2079">
        <v>0.82699999999999996</v>
      </c>
      <c r="P2079">
        <v>0.46484312500000002</v>
      </c>
      <c r="Q2079">
        <v>0.183</v>
      </c>
    </row>
    <row r="2080" spans="1:17" x14ac:dyDescent="0.2">
      <c r="A2080" s="30" t="str">
        <f>IF(C2080&amp;G2080&amp;D2080&lt;&gt;'Funnel setup'!$K$3&amp;'Funnel setup'!$K$4&amp;'Funnel setup'!$K$5,".",IF(A2079=".",1,A2079+1))</f>
        <v>.</v>
      </c>
      <c r="B2080" s="431" t="str">
        <f t="shared" si="32"/>
        <v>Hip Replacement PrimaryProviderROYAL CORNWALL HOSPITALS NHS TRUST (REF)EQ-5D Index</v>
      </c>
      <c r="C2080" t="s">
        <v>248</v>
      </c>
      <c r="D2080" t="s">
        <v>1</v>
      </c>
      <c r="E2080" t="s">
        <v>3745</v>
      </c>
      <c r="F2080" t="s">
        <v>3746</v>
      </c>
      <c r="G2080" t="s">
        <v>52</v>
      </c>
      <c r="H2080">
        <v>267</v>
      </c>
      <c r="I2080">
        <v>0.35199999999999998</v>
      </c>
      <c r="J2080">
        <v>0.76300000000000001</v>
      </c>
      <c r="K2080">
        <v>0.41099999999999998</v>
      </c>
      <c r="L2080">
        <v>231</v>
      </c>
      <c r="M2080">
        <v>21</v>
      </c>
      <c r="N2080">
        <v>15</v>
      </c>
      <c r="O2080">
        <v>0.77800000000000002</v>
      </c>
      <c r="P2080">
        <v>0.41635692499999999</v>
      </c>
      <c r="Q2080">
        <v>0.22500000000000001</v>
      </c>
    </row>
    <row r="2081" spans="1:17" x14ac:dyDescent="0.2">
      <c r="A2081" s="30" t="str">
        <f>IF(C2081&amp;G2081&amp;D2081&lt;&gt;'Funnel setup'!$K$3&amp;'Funnel setup'!$K$4&amp;'Funnel setup'!$K$5,".",IF(A2080=".",1,A2080+1))</f>
        <v>.</v>
      </c>
      <c r="B2081" s="431" t="str">
        <f t="shared" si="32"/>
        <v>Hip Replacement PrimaryProviderROYAL DEVON AND EXETER NHS FOUNDATION TRUST (RH8)EQ-5D Index</v>
      </c>
      <c r="C2081" t="s">
        <v>248</v>
      </c>
      <c r="D2081" t="s">
        <v>1</v>
      </c>
      <c r="E2081" t="s">
        <v>3442</v>
      </c>
      <c r="F2081" t="s">
        <v>3443</v>
      </c>
      <c r="G2081" t="s">
        <v>52</v>
      </c>
      <c r="H2081">
        <v>489</v>
      </c>
      <c r="I2081">
        <v>0.374</v>
      </c>
      <c r="J2081">
        <v>0.84199999999999997</v>
      </c>
      <c r="K2081">
        <v>0.46800000000000003</v>
      </c>
      <c r="L2081">
        <v>454</v>
      </c>
      <c r="M2081">
        <v>20</v>
      </c>
      <c r="N2081">
        <v>15</v>
      </c>
      <c r="O2081">
        <v>0.84</v>
      </c>
      <c r="P2081">
        <v>0.47854192099999998</v>
      </c>
      <c r="Q2081">
        <v>0.20200000000000001</v>
      </c>
    </row>
    <row r="2082" spans="1:17" x14ac:dyDescent="0.2">
      <c r="A2082" s="30" t="str">
        <f>IF(C2082&amp;G2082&amp;D2082&lt;&gt;'Funnel setup'!$K$3&amp;'Funnel setup'!$K$4&amp;'Funnel setup'!$K$5,".",IF(A2081=".",1,A2081+1))</f>
        <v>.</v>
      </c>
      <c r="B2082" s="431" t="str">
        <f t="shared" si="32"/>
        <v>Hip Replacement PrimaryProviderROYAL FREE LONDON NHS FOUNDATION TRUST (RAL)EQ-5D Index</v>
      </c>
      <c r="C2082" t="s">
        <v>248</v>
      </c>
      <c r="D2082" t="s">
        <v>1</v>
      </c>
      <c r="E2082" t="s">
        <v>3445</v>
      </c>
      <c r="F2082" t="s">
        <v>3446</v>
      </c>
      <c r="G2082" t="s">
        <v>52</v>
      </c>
      <c r="H2082">
        <v>119</v>
      </c>
      <c r="I2082">
        <v>0.26</v>
      </c>
      <c r="J2082">
        <v>0.745</v>
      </c>
      <c r="K2082">
        <v>0.48499999999999999</v>
      </c>
      <c r="L2082">
        <v>110</v>
      </c>
      <c r="M2082">
        <v>6</v>
      </c>
      <c r="N2082">
        <v>3</v>
      </c>
      <c r="O2082">
        <v>0.78100000000000003</v>
      </c>
      <c r="P2082">
        <v>0.41885022100000002</v>
      </c>
      <c r="Q2082">
        <v>0.23699999999999999</v>
      </c>
    </row>
    <row r="2083" spans="1:17" x14ac:dyDescent="0.2">
      <c r="A2083" s="30" t="str">
        <f>IF(C2083&amp;G2083&amp;D2083&lt;&gt;'Funnel setup'!$K$3&amp;'Funnel setup'!$K$4&amp;'Funnel setup'!$K$5,".",IF(A2082=".",1,A2082+1))</f>
        <v>.</v>
      </c>
      <c r="B2083" s="431" t="str">
        <f t="shared" si="32"/>
        <v>Hip Replacement PrimaryProviderROYAL LIVERPOOL AND BROADGREEN UNIVERSITY HOSPITALS NHS TRUST (RQ6)EQ-5D Index</v>
      </c>
      <c r="C2083" t="s">
        <v>248</v>
      </c>
      <c r="D2083" t="s">
        <v>1</v>
      </c>
      <c r="E2083" t="s">
        <v>3448</v>
      </c>
      <c r="F2083" t="s">
        <v>3449</v>
      </c>
      <c r="G2083" t="s">
        <v>52</v>
      </c>
      <c r="H2083">
        <v>112</v>
      </c>
      <c r="I2083">
        <v>0.26900000000000002</v>
      </c>
      <c r="J2083">
        <v>0.69599999999999995</v>
      </c>
      <c r="K2083">
        <v>0.42699999999999999</v>
      </c>
      <c r="L2083">
        <v>99</v>
      </c>
      <c r="M2083">
        <v>8</v>
      </c>
      <c r="N2083">
        <v>5</v>
      </c>
      <c r="O2083">
        <v>0.76300000000000001</v>
      </c>
      <c r="P2083">
        <v>0.401681387</v>
      </c>
      <c r="Q2083">
        <v>0.27800000000000002</v>
      </c>
    </row>
    <row r="2084" spans="1:17" x14ac:dyDescent="0.2">
      <c r="A2084" s="30" t="str">
        <f>IF(C2084&amp;G2084&amp;D2084&lt;&gt;'Funnel setup'!$K$3&amp;'Funnel setup'!$K$4&amp;'Funnel setup'!$K$5,".",IF(A2083=".",1,A2083+1))</f>
        <v>.</v>
      </c>
      <c r="B2084" s="431" t="str">
        <f t="shared" si="32"/>
        <v>Hip Replacement PrimaryProviderROYAL NATIONAL ORTHOPAEDIC HOSPITAL NHS TRUST (RAN)EQ-5D Index</v>
      </c>
      <c r="C2084" t="s">
        <v>248</v>
      </c>
      <c r="D2084" t="s">
        <v>1</v>
      </c>
      <c r="E2084" t="s">
        <v>4378</v>
      </c>
      <c r="F2084" t="s">
        <v>4379</v>
      </c>
      <c r="G2084" t="s">
        <v>52</v>
      </c>
      <c r="H2084">
        <v>123</v>
      </c>
      <c r="I2084">
        <v>0.38300000000000001</v>
      </c>
      <c r="J2084">
        <v>0.76700000000000002</v>
      </c>
      <c r="K2084">
        <v>0.38400000000000001</v>
      </c>
      <c r="L2084">
        <v>106</v>
      </c>
      <c r="M2084">
        <v>7</v>
      </c>
      <c r="N2084">
        <v>10</v>
      </c>
      <c r="O2084">
        <v>0.77100000000000002</v>
      </c>
      <c r="P2084">
        <v>0.40896821700000002</v>
      </c>
      <c r="Q2084">
        <v>0.26600000000000001</v>
      </c>
    </row>
    <row r="2085" spans="1:17" x14ac:dyDescent="0.2">
      <c r="A2085" s="30" t="str">
        <f>IF(C2085&amp;G2085&amp;D2085&lt;&gt;'Funnel setup'!$K$3&amp;'Funnel setup'!$K$4&amp;'Funnel setup'!$K$5,".",IF(A2084=".",1,A2084+1))</f>
        <v>.</v>
      </c>
      <c r="B2085" s="431" t="str">
        <f t="shared" si="32"/>
        <v>Hip Replacement PrimaryProviderROYAL SURREY COUNTY HOSPITAL NHS FOUNDATION TRUST (RA2)EQ-5D Index</v>
      </c>
      <c r="C2085" t="s">
        <v>248</v>
      </c>
      <c r="D2085" t="s">
        <v>1</v>
      </c>
      <c r="E2085" t="s">
        <v>3451</v>
      </c>
      <c r="F2085" t="s">
        <v>3452</v>
      </c>
      <c r="G2085" t="s">
        <v>52</v>
      </c>
      <c r="H2085">
        <v>139</v>
      </c>
      <c r="I2085">
        <v>0.39400000000000002</v>
      </c>
      <c r="J2085">
        <v>0.85599999999999998</v>
      </c>
      <c r="K2085">
        <v>0.46200000000000002</v>
      </c>
      <c r="L2085">
        <v>131</v>
      </c>
      <c r="M2085">
        <v>5</v>
      </c>
      <c r="N2085">
        <v>3</v>
      </c>
      <c r="O2085">
        <v>0.82499999999999996</v>
      </c>
      <c r="P2085">
        <v>0.46343395199999998</v>
      </c>
      <c r="Q2085">
        <v>0.21299999999999999</v>
      </c>
    </row>
    <row r="2086" spans="1:17" x14ac:dyDescent="0.2">
      <c r="A2086" s="30" t="str">
        <f>IF(C2086&amp;G2086&amp;D2086&lt;&gt;'Funnel setup'!$K$3&amp;'Funnel setup'!$K$4&amp;'Funnel setup'!$K$5,".",IF(A2085=".",1,A2085+1))</f>
        <v>.</v>
      </c>
      <c r="B2086" s="431" t="str">
        <f t="shared" si="32"/>
        <v>Hip Replacement PrimaryProviderROYAL UNITED HOSPITALS BATH NHS FOUNDATION TRUST (RD1)EQ-5D Index</v>
      </c>
      <c r="C2086" t="s">
        <v>248</v>
      </c>
      <c r="D2086" t="s">
        <v>1</v>
      </c>
      <c r="E2086" t="s">
        <v>3454</v>
      </c>
      <c r="F2086" t="s">
        <v>3455</v>
      </c>
      <c r="G2086" t="s">
        <v>52</v>
      </c>
      <c r="H2086">
        <v>165</v>
      </c>
      <c r="I2086">
        <v>0.33900000000000002</v>
      </c>
      <c r="J2086">
        <v>0.77100000000000002</v>
      </c>
      <c r="K2086">
        <v>0.432</v>
      </c>
      <c r="L2086">
        <v>143</v>
      </c>
      <c r="M2086">
        <v>16</v>
      </c>
      <c r="N2086">
        <v>6</v>
      </c>
      <c r="O2086">
        <v>0.79</v>
      </c>
      <c r="P2086">
        <v>0.42808851399999998</v>
      </c>
      <c r="Q2086">
        <v>0.215</v>
      </c>
    </row>
    <row r="2087" spans="1:17" x14ac:dyDescent="0.2">
      <c r="A2087" s="30" t="str">
        <f>IF(C2087&amp;G2087&amp;D2087&lt;&gt;'Funnel setup'!$K$3&amp;'Funnel setup'!$K$4&amp;'Funnel setup'!$K$5,".",IF(A2086=".",1,A2086+1))</f>
        <v>.</v>
      </c>
      <c r="B2087" s="431" t="str">
        <f t="shared" si="32"/>
        <v>Hip Replacement PrimaryProviderSALFORD ROYAL NHS FOUNDATION TRUST (RM3)EQ-5D Index</v>
      </c>
      <c r="C2087" t="s">
        <v>248</v>
      </c>
      <c r="D2087" t="s">
        <v>1</v>
      </c>
      <c r="E2087" t="s">
        <v>3457</v>
      </c>
      <c r="F2087" t="s">
        <v>3458</v>
      </c>
      <c r="G2087" t="s">
        <v>52</v>
      </c>
      <c r="H2087">
        <v>77</v>
      </c>
      <c r="I2087">
        <v>0.28699999999999998</v>
      </c>
      <c r="J2087">
        <v>0.76900000000000002</v>
      </c>
      <c r="K2087">
        <v>0.48199999999999998</v>
      </c>
      <c r="L2087">
        <v>72</v>
      </c>
      <c r="M2087">
        <v>4</v>
      </c>
      <c r="N2087">
        <v>1</v>
      </c>
      <c r="O2087">
        <v>0.80500000000000005</v>
      </c>
      <c r="P2087">
        <v>0.44353410199999999</v>
      </c>
      <c r="Q2087">
        <v>0.20699999999999999</v>
      </c>
    </row>
    <row r="2088" spans="1:17" x14ac:dyDescent="0.2">
      <c r="A2088" s="30" t="str">
        <f>IF(C2088&amp;G2088&amp;D2088&lt;&gt;'Funnel setup'!$K$3&amp;'Funnel setup'!$K$4&amp;'Funnel setup'!$K$5,".",IF(A2087=".",1,A2087+1))</f>
        <v>.</v>
      </c>
      <c r="B2088" s="431" t="str">
        <f t="shared" si="32"/>
        <v>Hip Replacement PrimaryProviderSALISBURY NHS FOUNDATION TRUST (RNZ)EQ-5D Index</v>
      </c>
      <c r="C2088" t="s">
        <v>248</v>
      </c>
      <c r="D2088" t="s">
        <v>1</v>
      </c>
      <c r="E2088" t="s">
        <v>3460</v>
      </c>
      <c r="F2088" t="s">
        <v>3461</v>
      </c>
      <c r="G2088" t="s">
        <v>52</v>
      </c>
      <c r="H2088">
        <v>168</v>
      </c>
      <c r="I2088">
        <v>0.376</v>
      </c>
      <c r="J2088">
        <v>0.78800000000000003</v>
      </c>
      <c r="K2088">
        <v>0.41199999999999998</v>
      </c>
      <c r="L2088">
        <v>150</v>
      </c>
      <c r="M2088">
        <v>7</v>
      </c>
      <c r="N2088">
        <v>11</v>
      </c>
      <c r="O2088">
        <v>0.79100000000000004</v>
      </c>
      <c r="P2088">
        <v>0.42980386100000001</v>
      </c>
      <c r="Q2088">
        <v>0.23200000000000001</v>
      </c>
    </row>
    <row r="2089" spans="1:17" x14ac:dyDescent="0.2">
      <c r="A2089" s="30" t="str">
        <f>IF(C2089&amp;G2089&amp;D2089&lt;&gt;'Funnel setup'!$K$3&amp;'Funnel setup'!$K$4&amp;'Funnel setup'!$K$5,".",IF(A2088=".",1,A2088+1))</f>
        <v>.</v>
      </c>
      <c r="B2089" s="431" t="str">
        <f t="shared" si="32"/>
        <v>Hip Replacement PrimaryProviderSANDWELL AND WEST BIRMINGHAM HOSPITALS NHS TRUST (RXK)EQ-5D Index</v>
      </c>
      <c r="C2089" t="s">
        <v>248</v>
      </c>
      <c r="D2089" t="s">
        <v>1</v>
      </c>
      <c r="E2089" t="s">
        <v>3463</v>
      </c>
      <c r="F2089" t="s">
        <v>3464</v>
      </c>
      <c r="G2089" t="s">
        <v>52</v>
      </c>
      <c r="H2089">
        <v>157</v>
      </c>
      <c r="I2089">
        <v>0.222</v>
      </c>
      <c r="J2089">
        <v>0.69399999999999995</v>
      </c>
      <c r="K2089">
        <v>0.47199999999999998</v>
      </c>
      <c r="L2089">
        <v>139</v>
      </c>
      <c r="M2089">
        <v>8</v>
      </c>
      <c r="N2089">
        <v>10</v>
      </c>
      <c r="O2089">
        <v>0.77400000000000002</v>
      </c>
      <c r="P2089">
        <v>0.41200765299999997</v>
      </c>
      <c r="Q2089">
        <v>0.23</v>
      </c>
    </row>
    <row r="2090" spans="1:17" x14ac:dyDescent="0.2">
      <c r="A2090" s="30" t="str">
        <f>IF(C2090&amp;G2090&amp;D2090&lt;&gt;'Funnel setup'!$K$3&amp;'Funnel setup'!$K$4&amp;'Funnel setup'!$K$5,".",IF(A2089=".",1,A2089+1))</f>
        <v>.</v>
      </c>
      <c r="B2090" s="431" t="str">
        <f t="shared" si="32"/>
        <v>Hip Replacement PrimaryProviderSHEFFIELD TEACHING HOSPITALS NHS FOUNDATION TRUST (RHQ)EQ-5D Index</v>
      </c>
      <c r="C2090" t="s">
        <v>248</v>
      </c>
      <c r="D2090" t="s">
        <v>1</v>
      </c>
      <c r="E2090" t="s">
        <v>3466</v>
      </c>
      <c r="F2090" t="s">
        <v>3467</v>
      </c>
      <c r="G2090" t="s">
        <v>52</v>
      </c>
      <c r="H2090">
        <v>331</v>
      </c>
      <c r="I2090">
        <v>0.33800000000000002</v>
      </c>
      <c r="J2090">
        <v>0.75</v>
      </c>
      <c r="K2090">
        <v>0.41199999999999998</v>
      </c>
      <c r="L2090">
        <v>284</v>
      </c>
      <c r="M2090">
        <v>20</v>
      </c>
      <c r="N2090">
        <v>27</v>
      </c>
      <c r="O2090">
        <v>0.76800000000000002</v>
      </c>
      <c r="P2090">
        <v>0.40682209899999999</v>
      </c>
      <c r="Q2090">
        <v>0.249</v>
      </c>
    </row>
    <row r="2091" spans="1:17" x14ac:dyDescent="0.2">
      <c r="A2091" s="30" t="str">
        <f>IF(C2091&amp;G2091&amp;D2091&lt;&gt;'Funnel setup'!$K$3&amp;'Funnel setup'!$K$4&amp;'Funnel setup'!$K$5,".",IF(A2090=".",1,A2090+1))</f>
        <v>.</v>
      </c>
      <c r="B2091" s="431" t="str">
        <f t="shared" si="32"/>
        <v>Hip Replacement PrimaryProviderSHEPTON MALLET NHS TREATMENT CENTRE (NTPH1)EQ-5D Index</v>
      </c>
      <c r="C2091" t="s">
        <v>248</v>
      </c>
      <c r="D2091" t="s">
        <v>1</v>
      </c>
      <c r="E2091" t="s">
        <v>3472</v>
      </c>
      <c r="F2091" t="s">
        <v>3473</v>
      </c>
      <c r="G2091" t="s">
        <v>52</v>
      </c>
      <c r="H2091">
        <v>203</v>
      </c>
      <c r="I2091">
        <v>0.39500000000000002</v>
      </c>
      <c r="J2091">
        <v>0.88700000000000001</v>
      </c>
      <c r="K2091">
        <v>0.49199999999999999</v>
      </c>
      <c r="L2091">
        <v>188</v>
      </c>
      <c r="M2091">
        <v>10</v>
      </c>
      <c r="N2091">
        <v>5</v>
      </c>
      <c r="O2091">
        <v>0.85299999999999998</v>
      </c>
      <c r="P2091">
        <v>0.49123046999999997</v>
      </c>
      <c r="Q2091">
        <v>0.17100000000000001</v>
      </c>
    </row>
    <row r="2092" spans="1:17" x14ac:dyDescent="0.2">
      <c r="A2092" s="30" t="str">
        <f>IF(C2092&amp;G2092&amp;D2092&lt;&gt;'Funnel setup'!$K$3&amp;'Funnel setup'!$K$4&amp;'Funnel setup'!$K$5,".",IF(A2091=".",1,A2091+1))</f>
        <v>.</v>
      </c>
      <c r="B2092" s="431" t="str">
        <f t="shared" si="32"/>
        <v>Hip Replacement PrimaryProviderSHERWOOD FOREST HOSPITALS NHS FOUNDATION TRUST (RK5)EQ-5D Index</v>
      </c>
      <c r="C2092" t="s">
        <v>248</v>
      </c>
      <c r="D2092" t="s">
        <v>1</v>
      </c>
      <c r="E2092" t="s">
        <v>3475</v>
      </c>
      <c r="F2092" t="s">
        <v>3476</v>
      </c>
      <c r="G2092" t="s">
        <v>52</v>
      </c>
      <c r="H2092">
        <v>131</v>
      </c>
      <c r="I2092">
        <v>0.28199999999999997</v>
      </c>
      <c r="J2092">
        <v>0.74099999999999999</v>
      </c>
      <c r="K2092">
        <v>0.45900000000000002</v>
      </c>
      <c r="L2092">
        <v>117</v>
      </c>
      <c r="M2092">
        <v>5</v>
      </c>
      <c r="N2092">
        <v>9</v>
      </c>
      <c r="O2092">
        <v>0.77400000000000002</v>
      </c>
      <c r="P2092">
        <v>0.41264082499999999</v>
      </c>
      <c r="Q2092">
        <v>0.26200000000000001</v>
      </c>
    </row>
    <row r="2093" spans="1:17" x14ac:dyDescent="0.2">
      <c r="A2093" s="30" t="str">
        <f>IF(C2093&amp;G2093&amp;D2093&lt;&gt;'Funnel setup'!$K$3&amp;'Funnel setup'!$K$4&amp;'Funnel setup'!$K$5,".",IF(A2092=".",1,A2092+1))</f>
        <v>.</v>
      </c>
      <c r="B2093" s="431" t="str">
        <f t="shared" si="32"/>
        <v>Hip Replacement PrimaryProviderSHREWSBURY AND TELFORD HOSPITAL NHS TRUST (RXW)EQ-5D Index</v>
      </c>
      <c r="C2093" t="s">
        <v>248</v>
      </c>
      <c r="D2093" t="s">
        <v>1</v>
      </c>
      <c r="E2093" t="s">
        <v>3478</v>
      </c>
      <c r="F2093" t="s">
        <v>3479</v>
      </c>
      <c r="G2093" t="s">
        <v>52</v>
      </c>
      <c r="H2093">
        <v>143</v>
      </c>
      <c r="I2093">
        <v>0.27500000000000002</v>
      </c>
      <c r="J2093">
        <v>0.78300000000000003</v>
      </c>
      <c r="K2093">
        <v>0.50800000000000001</v>
      </c>
      <c r="L2093">
        <v>131</v>
      </c>
      <c r="M2093">
        <v>7</v>
      </c>
      <c r="N2093">
        <v>5</v>
      </c>
      <c r="O2093">
        <v>0.80800000000000005</v>
      </c>
      <c r="P2093">
        <v>0.44647590500000001</v>
      </c>
      <c r="Q2093">
        <v>0.23799999999999999</v>
      </c>
    </row>
    <row r="2094" spans="1:17" x14ac:dyDescent="0.2">
      <c r="A2094" s="30" t="str">
        <f>IF(C2094&amp;G2094&amp;D2094&lt;&gt;'Funnel setup'!$K$3&amp;'Funnel setup'!$K$4&amp;'Funnel setup'!$K$5,".",IF(A2093=".",1,A2093+1))</f>
        <v>.</v>
      </c>
      <c r="B2094" s="431" t="str">
        <f t="shared" si="32"/>
        <v>Hip Replacement PrimaryProviderSOUTH TEES HOSPITALS NHS FOUNDATION TRUST (RTR)EQ-5D Index</v>
      </c>
      <c r="C2094" t="s">
        <v>248</v>
      </c>
      <c r="D2094" t="s">
        <v>1</v>
      </c>
      <c r="E2094" t="s">
        <v>3482</v>
      </c>
      <c r="F2094" t="s">
        <v>3483</v>
      </c>
      <c r="G2094" t="s">
        <v>52</v>
      </c>
      <c r="H2094">
        <v>395</v>
      </c>
      <c r="I2094">
        <v>0.36399999999999999</v>
      </c>
      <c r="J2094">
        <v>0.79100000000000004</v>
      </c>
      <c r="K2094">
        <v>0.42799999999999999</v>
      </c>
      <c r="L2094">
        <v>353</v>
      </c>
      <c r="M2094">
        <v>22</v>
      </c>
      <c r="N2094">
        <v>20</v>
      </c>
      <c r="O2094">
        <v>0.79600000000000004</v>
      </c>
      <c r="P2094">
        <v>0.43467160799999999</v>
      </c>
      <c r="Q2094">
        <v>0.22800000000000001</v>
      </c>
    </row>
    <row r="2095" spans="1:17" x14ac:dyDescent="0.2">
      <c r="A2095" s="30" t="str">
        <f>IF(C2095&amp;G2095&amp;D2095&lt;&gt;'Funnel setup'!$K$3&amp;'Funnel setup'!$K$4&amp;'Funnel setup'!$K$5,".",IF(A2094=".",1,A2094+1))</f>
        <v>.</v>
      </c>
      <c r="B2095" s="431" t="str">
        <f t="shared" si="32"/>
        <v>Hip Replacement PrimaryProviderSOUTH TYNESIDE NHS FOUNDATION TRUST (RE9)EQ-5D Index</v>
      </c>
      <c r="C2095" t="s">
        <v>248</v>
      </c>
      <c r="D2095" t="s">
        <v>1</v>
      </c>
      <c r="E2095" t="s">
        <v>3485</v>
      </c>
      <c r="F2095" t="s">
        <v>3486</v>
      </c>
      <c r="G2095" t="s">
        <v>52</v>
      </c>
      <c r="H2095">
        <v>42</v>
      </c>
      <c r="I2095">
        <v>0.34100000000000003</v>
      </c>
      <c r="J2095">
        <v>0.76700000000000002</v>
      </c>
      <c r="K2095">
        <v>0.42599999999999999</v>
      </c>
      <c r="L2095">
        <v>38</v>
      </c>
      <c r="M2095">
        <v>2</v>
      </c>
      <c r="N2095">
        <v>2</v>
      </c>
      <c r="O2095">
        <v>0.79500000000000004</v>
      </c>
      <c r="P2095">
        <v>0.43330657</v>
      </c>
      <c r="Q2095">
        <v>0.22</v>
      </c>
    </row>
    <row r="2096" spans="1:17" x14ac:dyDescent="0.2">
      <c r="A2096" s="30" t="str">
        <f>IF(C2096&amp;G2096&amp;D2096&lt;&gt;'Funnel setup'!$K$3&amp;'Funnel setup'!$K$4&amp;'Funnel setup'!$K$5,".",IF(A2095=".",1,A2095+1))</f>
        <v>.</v>
      </c>
      <c r="B2096" s="431" t="str">
        <f t="shared" si="32"/>
        <v>Hip Replacement PrimaryProviderSOUTH WARWICKSHIRE NHS FOUNDATION TRUST (RJC)EQ-5D Index</v>
      </c>
      <c r="C2096" t="s">
        <v>248</v>
      </c>
      <c r="D2096" t="s">
        <v>1</v>
      </c>
      <c r="E2096" t="s">
        <v>3421</v>
      </c>
      <c r="F2096" t="s">
        <v>3422</v>
      </c>
      <c r="G2096" t="s">
        <v>52</v>
      </c>
      <c r="H2096">
        <v>246</v>
      </c>
      <c r="I2096">
        <v>0.39400000000000002</v>
      </c>
      <c r="J2096">
        <v>0.81100000000000005</v>
      </c>
      <c r="K2096">
        <v>0.41599999999999998</v>
      </c>
      <c r="L2096">
        <v>219</v>
      </c>
      <c r="M2096">
        <v>15</v>
      </c>
      <c r="N2096">
        <v>12</v>
      </c>
      <c r="O2096">
        <v>0.79300000000000004</v>
      </c>
      <c r="P2096">
        <v>0.43092483799999998</v>
      </c>
      <c r="Q2096">
        <v>0.224</v>
      </c>
    </row>
    <row r="2097" spans="1:17" x14ac:dyDescent="0.2">
      <c r="A2097" s="30" t="str">
        <f>IF(C2097&amp;G2097&amp;D2097&lt;&gt;'Funnel setup'!$K$3&amp;'Funnel setup'!$K$4&amp;'Funnel setup'!$K$5,".",IF(A2096=".",1,A2096+1))</f>
        <v>.</v>
      </c>
      <c r="B2097" s="431" t="str">
        <f t="shared" si="32"/>
        <v>Hip Replacement PrimaryProviderSOUTHAMPTON NHS TREATMENT CENTRE (NTP11)EQ-5D Index</v>
      </c>
      <c r="C2097" t="s">
        <v>248</v>
      </c>
      <c r="D2097" t="s">
        <v>1</v>
      </c>
      <c r="E2097" t="s">
        <v>3424</v>
      </c>
      <c r="F2097" t="s">
        <v>3425</v>
      </c>
      <c r="G2097" t="s">
        <v>52</v>
      </c>
      <c r="H2097">
        <v>93</v>
      </c>
      <c r="I2097">
        <v>0.43</v>
      </c>
      <c r="J2097">
        <v>0.82799999999999996</v>
      </c>
      <c r="K2097">
        <v>0.39800000000000002</v>
      </c>
      <c r="L2097">
        <v>85</v>
      </c>
      <c r="M2097">
        <v>3</v>
      </c>
      <c r="N2097">
        <v>5</v>
      </c>
      <c r="O2097">
        <v>0.80700000000000005</v>
      </c>
      <c r="P2097">
        <v>0.44578595199999999</v>
      </c>
      <c r="Q2097">
        <v>0.191</v>
      </c>
    </row>
    <row r="2098" spans="1:17" x14ac:dyDescent="0.2">
      <c r="A2098" s="30" t="str">
        <f>IF(C2098&amp;G2098&amp;D2098&lt;&gt;'Funnel setup'!$K$3&amp;'Funnel setup'!$K$4&amp;'Funnel setup'!$K$5,".",IF(A2097=".",1,A2097+1))</f>
        <v>.</v>
      </c>
      <c r="B2098" s="431" t="str">
        <f t="shared" si="32"/>
        <v>Hip Replacement PrimaryProviderSOUTHEND UNIVERSITY HOSPITAL NHS FOUNDATION TRUST (RAJ)EQ-5D Index</v>
      </c>
      <c r="C2098" t="s">
        <v>248</v>
      </c>
      <c r="D2098" t="s">
        <v>1</v>
      </c>
      <c r="E2098" t="s">
        <v>3427</v>
      </c>
      <c r="F2098" t="s">
        <v>3428</v>
      </c>
      <c r="G2098" t="s">
        <v>52</v>
      </c>
      <c r="H2098">
        <v>138</v>
      </c>
      <c r="I2098">
        <v>0.29099999999999998</v>
      </c>
      <c r="J2098">
        <v>0.71199999999999997</v>
      </c>
      <c r="K2098">
        <v>0.42099999999999999</v>
      </c>
      <c r="L2098">
        <v>122</v>
      </c>
      <c r="M2098">
        <v>4</v>
      </c>
      <c r="N2098">
        <v>12</v>
      </c>
      <c r="O2098">
        <v>0.72799999999999998</v>
      </c>
      <c r="P2098">
        <v>0.36658369000000002</v>
      </c>
      <c r="Q2098">
        <v>0.23899999999999999</v>
      </c>
    </row>
    <row r="2099" spans="1:17" x14ac:dyDescent="0.2">
      <c r="A2099" s="30" t="str">
        <f>IF(C2099&amp;G2099&amp;D2099&lt;&gt;'Funnel setup'!$K$3&amp;'Funnel setup'!$K$4&amp;'Funnel setup'!$K$5,".",IF(A2098=".",1,A2098+1))</f>
        <v>.</v>
      </c>
      <c r="B2099" s="431" t="str">
        <f t="shared" si="32"/>
        <v>Hip Replacement PrimaryProviderSOUTHPORT AND ORMSKIRK HOSPITAL NHS TRUST (RVY)EQ-5D Index</v>
      </c>
      <c r="C2099" t="s">
        <v>248</v>
      </c>
      <c r="D2099" t="s">
        <v>1</v>
      </c>
      <c r="E2099" t="s">
        <v>3430</v>
      </c>
      <c r="F2099" t="s">
        <v>3431</v>
      </c>
      <c r="G2099" t="s">
        <v>52</v>
      </c>
      <c r="H2099">
        <v>95</v>
      </c>
      <c r="I2099">
        <v>0.317</v>
      </c>
      <c r="J2099">
        <v>0.73199999999999998</v>
      </c>
      <c r="K2099">
        <v>0.41599999999999998</v>
      </c>
      <c r="L2099">
        <v>85</v>
      </c>
      <c r="M2099">
        <v>5</v>
      </c>
      <c r="N2099">
        <v>5</v>
      </c>
      <c r="O2099">
        <v>0.752</v>
      </c>
      <c r="P2099">
        <v>0.39037570900000002</v>
      </c>
      <c r="Q2099">
        <v>0.24399999999999999</v>
      </c>
    </row>
    <row r="2100" spans="1:17" x14ac:dyDescent="0.2">
      <c r="A2100" s="30" t="str">
        <f>IF(C2100&amp;G2100&amp;D2100&lt;&gt;'Funnel setup'!$K$3&amp;'Funnel setup'!$K$4&amp;'Funnel setup'!$K$5,".",IF(A2099=".",1,A2099+1))</f>
        <v>.</v>
      </c>
      <c r="B2100" s="431" t="str">
        <f t="shared" si="32"/>
        <v>Hip Replacement PrimaryProviderSPIRE ALEXANDRA HOSPITAL (NT312)EQ-5D Index</v>
      </c>
      <c r="C2100" t="s">
        <v>248</v>
      </c>
      <c r="D2100" t="s">
        <v>1</v>
      </c>
      <c r="E2100" t="s">
        <v>3433</v>
      </c>
      <c r="F2100" t="s">
        <v>3434</v>
      </c>
      <c r="G2100" t="s">
        <v>52</v>
      </c>
      <c r="H2100">
        <v>35</v>
      </c>
      <c r="I2100">
        <v>0.34399999999999997</v>
      </c>
      <c r="J2100">
        <v>0.82899999999999996</v>
      </c>
      <c r="K2100">
        <v>0.48499999999999999</v>
      </c>
      <c r="L2100">
        <v>30</v>
      </c>
      <c r="M2100">
        <v>3</v>
      </c>
      <c r="N2100">
        <v>2</v>
      </c>
      <c r="O2100">
        <v>0.81399999999999995</v>
      </c>
      <c r="P2100">
        <v>0.45272559400000001</v>
      </c>
      <c r="Q2100">
        <v>0.224</v>
      </c>
    </row>
    <row r="2101" spans="1:17" x14ac:dyDescent="0.2">
      <c r="A2101" s="30" t="str">
        <f>IF(C2101&amp;G2101&amp;D2101&lt;&gt;'Funnel setup'!$K$3&amp;'Funnel setup'!$K$4&amp;'Funnel setup'!$K$5,".",IF(A2100=".",1,A2100+1))</f>
        <v>.</v>
      </c>
      <c r="B2101" s="431" t="str">
        <f t="shared" si="32"/>
        <v>Hip Replacement PrimaryProviderSPIRE BRISTOL HOSPITAL (NT302)EQ-5D Index</v>
      </c>
      <c r="C2101" t="s">
        <v>248</v>
      </c>
      <c r="D2101" t="s">
        <v>1</v>
      </c>
      <c r="E2101" t="s">
        <v>4381</v>
      </c>
      <c r="F2101" t="s">
        <v>4382</v>
      </c>
      <c r="G2101" t="s">
        <v>52</v>
      </c>
      <c r="H2101">
        <v>90</v>
      </c>
      <c r="I2101">
        <v>0.48799999999999999</v>
      </c>
      <c r="J2101">
        <v>0.81699999999999995</v>
      </c>
      <c r="K2101">
        <v>0.32900000000000001</v>
      </c>
      <c r="L2101">
        <v>75</v>
      </c>
      <c r="M2101">
        <v>8</v>
      </c>
      <c r="N2101">
        <v>7</v>
      </c>
      <c r="O2101">
        <v>0.77300000000000002</v>
      </c>
      <c r="P2101">
        <v>0.41166476600000002</v>
      </c>
      <c r="Q2101">
        <v>0.19900000000000001</v>
      </c>
    </row>
    <row r="2102" spans="1:17" x14ac:dyDescent="0.2">
      <c r="A2102" s="30" t="str">
        <f>IF(C2102&amp;G2102&amp;D2102&lt;&gt;'Funnel setup'!$K$3&amp;'Funnel setup'!$K$4&amp;'Funnel setup'!$K$5,".",IF(A2101=".",1,A2101+1))</f>
        <v>.</v>
      </c>
      <c r="B2102" s="431" t="str">
        <f t="shared" si="32"/>
        <v>Hip Replacement PrimaryProviderSPIRE BUSHEY HOSPITAL (NT315)EQ-5D Index</v>
      </c>
      <c r="C2102" t="s">
        <v>248</v>
      </c>
      <c r="D2102" t="s">
        <v>1</v>
      </c>
      <c r="E2102" t="s">
        <v>4364</v>
      </c>
      <c r="F2102" t="s">
        <v>4365</v>
      </c>
      <c r="G2102" t="s">
        <v>52</v>
      </c>
      <c r="H2102">
        <v>15</v>
      </c>
      <c r="I2102">
        <v>0.42</v>
      </c>
      <c r="J2102">
        <v>0.85</v>
      </c>
      <c r="K2102">
        <v>0.42899999999999999</v>
      </c>
      <c r="L2102">
        <v>12</v>
      </c>
      <c r="M2102">
        <v>2</v>
      </c>
      <c r="N2102">
        <v>1</v>
      </c>
      <c r="O2102" t="s">
        <v>53</v>
      </c>
      <c r="P2102" t="s">
        <v>53</v>
      </c>
      <c r="Q2102" t="s">
        <v>53</v>
      </c>
    </row>
    <row r="2103" spans="1:17" x14ac:dyDescent="0.2">
      <c r="A2103" s="30" t="str">
        <f>IF(C2103&amp;G2103&amp;D2103&lt;&gt;'Funnel setup'!$K$3&amp;'Funnel setup'!$K$4&amp;'Funnel setup'!$K$5,".",IF(A2102=".",1,A2102+1))</f>
        <v>.</v>
      </c>
      <c r="B2103" s="431" t="str">
        <f t="shared" si="32"/>
        <v>Hip Replacement PrimaryProviderSPIRE CAMBRIDGE LEA HOSPITAL (NT317)EQ-5D Index</v>
      </c>
      <c r="C2103" t="s">
        <v>248</v>
      </c>
      <c r="D2103" t="s">
        <v>1</v>
      </c>
      <c r="E2103" t="s">
        <v>3436</v>
      </c>
      <c r="F2103" t="s">
        <v>3437</v>
      </c>
      <c r="G2103" t="s">
        <v>52</v>
      </c>
      <c r="H2103">
        <v>58</v>
      </c>
      <c r="I2103">
        <v>0.46800000000000003</v>
      </c>
      <c r="J2103">
        <v>0.86699999999999999</v>
      </c>
      <c r="K2103">
        <v>0.39800000000000002</v>
      </c>
      <c r="L2103">
        <v>56</v>
      </c>
      <c r="M2103">
        <v>0</v>
      </c>
      <c r="N2103">
        <v>2</v>
      </c>
      <c r="O2103">
        <v>0.80700000000000005</v>
      </c>
      <c r="P2103">
        <v>0.44562421899999999</v>
      </c>
      <c r="Q2103">
        <v>0.157</v>
      </c>
    </row>
    <row r="2104" spans="1:17" x14ac:dyDescent="0.2">
      <c r="A2104" s="30" t="str">
        <f>IF(C2104&amp;G2104&amp;D2104&lt;&gt;'Funnel setup'!$K$3&amp;'Funnel setup'!$K$4&amp;'Funnel setup'!$K$5,".",IF(A2103=".",1,A2103+1))</f>
        <v>.</v>
      </c>
      <c r="B2104" s="431" t="str">
        <f t="shared" si="32"/>
        <v>Hip Replacement PrimaryProviderSPIRE CHESHIRE HOSPITAL (NT324)EQ-5D Index</v>
      </c>
      <c r="C2104" t="s">
        <v>248</v>
      </c>
      <c r="D2104" t="s">
        <v>1</v>
      </c>
      <c r="E2104" t="s">
        <v>3439</v>
      </c>
      <c r="F2104" t="s">
        <v>3440</v>
      </c>
      <c r="G2104" t="s">
        <v>52</v>
      </c>
      <c r="H2104">
        <v>67</v>
      </c>
      <c r="I2104">
        <v>0.33600000000000002</v>
      </c>
      <c r="J2104">
        <v>0.85799999999999998</v>
      </c>
      <c r="K2104">
        <v>0.52200000000000002</v>
      </c>
      <c r="L2104">
        <v>64</v>
      </c>
      <c r="M2104">
        <v>2</v>
      </c>
      <c r="N2104">
        <v>1</v>
      </c>
      <c r="O2104">
        <v>0.83199999999999996</v>
      </c>
      <c r="P2104">
        <v>0.470675764</v>
      </c>
      <c r="Q2104">
        <v>0.183</v>
      </c>
    </row>
    <row r="2105" spans="1:17" x14ac:dyDescent="0.2">
      <c r="A2105" s="30" t="str">
        <f>IF(C2105&amp;G2105&amp;D2105&lt;&gt;'Funnel setup'!$K$3&amp;'Funnel setup'!$K$4&amp;'Funnel setup'!$K$5,".",IF(A2104=".",1,A2104+1))</f>
        <v>.</v>
      </c>
      <c r="B2105" s="431" t="str">
        <f t="shared" si="32"/>
        <v>Hip Replacement PrimaryProviderSPIRE CLARE PARK HOSPITAL (NT345)EQ-5D Index</v>
      </c>
      <c r="C2105" t="s">
        <v>248</v>
      </c>
      <c r="D2105" t="s">
        <v>1</v>
      </c>
      <c r="E2105" t="s">
        <v>3412</v>
      </c>
      <c r="F2105" t="s">
        <v>3413</v>
      </c>
      <c r="G2105" t="s">
        <v>52</v>
      </c>
      <c r="H2105">
        <v>40</v>
      </c>
      <c r="I2105">
        <v>0.45800000000000002</v>
      </c>
      <c r="J2105">
        <v>0.93300000000000005</v>
      </c>
      <c r="K2105">
        <v>0.47399999999999998</v>
      </c>
      <c r="L2105">
        <v>39</v>
      </c>
      <c r="M2105">
        <v>1</v>
      </c>
      <c r="N2105">
        <v>0</v>
      </c>
      <c r="O2105">
        <v>0.88500000000000001</v>
      </c>
      <c r="P2105">
        <v>0.52372384999999999</v>
      </c>
      <c r="Q2105">
        <v>0.124</v>
      </c>
    </row>
    <row r="2106" spans="1:17" x14ac:dyDescent="0.2">
      <c r="A2106" s="30" t="str">
        <f>IF(C2106&amp;G2106&amp;D2106&lt;&gt;'Funnel setup'!$K$3&amp;'Funnel setup'!$K$4&amp;'Funnel setup'!$K$5,".",IF(A2105=".",1,A2105+1))</f>
        <v>.</v>
      </c>
      <c r="B2106" s="431" t="str">
        <f t="shared" si="32"/>
        <v>Hip Replacement PrimaryProviderSPIRE DUNEDIN HOSPITAL (NT344)EQ-5D Index</v>
      </c>
      <c r="C2106" t="s">
        <v>248</v>
      </c>
      <c r="D2106" t="s">
        <v>1</v>
      </c>
      <c r="E2106" t="s">
        <v>3415</v>
      </c>
      <c r="F2106" t="s">
        <v>3416</v>
      </c>
      <c r="G2106" t="s">
        <v>52</v>
      </c>
      <c r="H2106">
        <v>18</v>
      </c>
      <c r="I2106">
        <v>0.54400000000000004</v>
      </c>
      <c r="J2106">
        <v>0.92</v>
      </c>
      <c r="K2106">
        <v>0.376</v>
      </c>
      <c r="L2106">
        <v>17</v>
      </c>
      <c r="M2106">
        <v>1</v>
      </c>
      <c r="N2106">
        <v>0</v>
      </c>
      <c r="O2106" t="s">
        <v>53</v>
      </c>
      <c r="P2106" t="s">
        <v>53</v>
      </c>
      <c r="Q2106" t="s">
        <v>53</v>
      </c>
    </row>
    <row r="2107" spans="1:17" x14ac:dyDescent="0.2">
      <c r="A2107" s="30" t="str">
        <f>IF(C2107&amp;G2107&amp;D2107&lt;&gt;'Funnel setup'!$K$3&amp;'Funnel setup'!$K$4&amp;'Funnel setup'!$K$5,".",IF(A2106=".",1,A2106+1))</f>
        <v>.</v>
      </c>
      <c r="B2107" s="431" t="str">
        <f t="shared" si="32"/>
        <v>Hip Replacement PrimaryProviderSPIRE ELLAND HOSPITAL (NT348)EQ-5D Index</v>
      </c>
      <c r="C2107" t="s">
        <v>248</v>
      </c>
      <c r="D2107" t="s">
        <v>1</v>
      </c>
      <c r="E2107" t="s">
        <v>3418</v>
      </c>
      <c r="F2107" t="s">
        <v>3419</v>
      </c>
      <c r="G2107" t="s">
        <v>52</v>
      </c>
      <c r="H2107">
        <v>48</v>
      </c>
      <c r="I2107">
        <v>0.37</v>
      </c>
      <c r="J2107">
        <v>0.80700000000000005</v>
      </c>
      <c r="K2107">
        <v>0.437</v>
      </c>
      <c r="L2107">
        <v>41</v>
      </c>
      <c r="M2107">
        <v>5</v>
      </c>
      <c r="N2107">
        <v>2</v>
      </c>
      <c r="O2107">
        <v>0.78600000000000003</v>
      </c>
      <c r="P2107">
        <v>0.42462456399999998</v>
      </c>
      <c r="Q2107">
        <v>0.19800000000000001</v>
      </c>
    </row>
    <row r="2108" spans="1:17" x14ac:dyDescent="0.2">
      <c r="A2108" s="30" t="str">
        <f>IF(C2108&amp;G2108&amp;D2108&lt;&gt;'Funnel setup'!$K$3&amp;'Funnel setup'!$K$4&amp;'Funnel setup'!$K$5,".",IF(A2107=".",1,A2107+1))</f>
        <v>.</v>
      </c>
      <c r="B2108" s="431" t="str">
        <f t="shared" si="32"/>
        <v>Hip Replacement PrimaryProviderSPIRE FYLDE COAST HOSPITAL (NT347)EQ-5D Index</v>
      </c>
      <c r="C2108" t="s">
        <v>248</v>
      </c>
      <c r="D2108" t="s">
        <v>1</v>
      </c>
      <c r="E2108" t="s">
        <v>4370</v>
      </c>
      <c r="F2108" t="s">
        <v>4371</v>
      </c>
      <c r="G2108" t="s">
        <v>52</v>
      </c>
      <c r="H2108">
        <v>70</v>
      </c>
      <c r="I2108">
        <v>0.40799999999999997</v>
      </c>
      <c r="J2108">
        <v>0.77800000000000002</v>
      </c>
      <c r="K2108">
        <v>0.37</v>
      </c>
      <c r="L2108">
        <v>56</v>
      </c>
      <c r="M2108">
        <v>9</v>
      </c>
      <c r="N2108">
        <v>5</v>
      </c>
      <c r="O2108">
        <v>0.76900000000000002</v>
      </c>
      <c r="P2108">
        <v>0.40706976499999997</v>
      </c>
      <c r="Q2108">
        <v>0.24</v>
      </c>
    </row>
    <row r="2109" spans="1:17" x14ac:dyDescent="0.2">
      <c r="A2109" s="30" t="str">
        <f>IF(C2109&amp;G2109&amp;D2109&lt;&gt;'Funnel setup'!$K$3&amp;'Funnel setup'!$K$4&amp;'Funnel setup'!$K$5,".",IF(A2108=".",1,A2108+1))</f>
        <v>.</v>
      </c>
      <c r="B2109" s="431" t="str">
        <f t="shared" si="32"/>
        <v>Hip Replacement PrimaryProviderSPIRE GATWICK PARK HOSPITAL (NT308)EQ-5D Index</v>
      </c>
      <c r="C2109" t="s">
        <v>248</v>
      </c>
      <c r="D2109" t="s">
        <v>1</v>
      </c>
      <c r="E2109" t="s">
        <v>3409</v>
      </c>
      <c r="F2109" t="s">
        <v>3410</v>
      </c>
      <c r="G2109" t="s">
        <v>52</v>
      </c>
      <c r="H2109">
        <v>92</v>
      </c>
      <c r="I2109">
        <v>0.51100000000000001</v>
      </c>
      <c r="J2109">
        <v>0.84799999999999998</v>
      </c>
      <c r="K2109">
        <v>0.33700000000000002</v>
      </c>
      <c r="L2109">
        <v>81</v>
      </c>
      <c r="M2109">
        <v>6</v>
      </c>
      <c r="N2109">
        <v>5</v>
      </c>
      <c r="O2109">
        <v>0.79300000000000004</v>
      </c>
      <c r="P2109">
        <v>0.43099348999999998</v>
      </c>
      <c r="Q2109">
        <v>0.191</v>
      </c>
    </row>
    <row r="2110" spans="1:17" x14ac:dyDescent="0.2">
      <c r="A2110" s="30" t="str">
        <f>IF(C2110&amp;G2110&amp;D2110&lt;&gt;'Funnel setup'!$K$3&amp;'Funnel setup'!$K$4&amp;'Funnel setup'!$K$5,".",IF(A2109=".",1,A2109+1))</f>
        <v>.</v>
      </c>
      <c r="B2110" s="431" t="str">
        <f t="shared" si="32"/>
        <v>Hip Replacement PrimaryProviderSPIRE HARPENDEN HOSPITAL (NT316)EQ-5D Index</v>
      </c>
      <c r="C2110" t="s">
        <v>248</v>
      </c>
      <c r="D2110" t="s">
        <v>1</v>
      </c>
      <c r="E2110" t="s">
        <v>4267</v>
      </c>
      <c r="F2110" t="s">
        <v>4268</v>
      </c>
      <c r="G2110" t="s">
        <v>52</v>
      </c>
      <c r="H2110">
        <v>65</v>
      </c>
      <c r="I2110">
        <v>0.45400000000000001</v>
      </c>
      <c r="J2110">
        <v>0.84</v>
      </c>
      <c r="K2110">
        <v>0.38600000000000001</v>
      </c>
      <c r="L2110">
        <v>57</v>
      </c>
      <c r="M2110">
        <v>4</v>
      </c>
      <c r="N2110">
        <v>4</v>
      </c>
      <c r="O2110">
        <v>0.80100000000000005</v>
      </c>
      <c r="P2110">
        <v>0.43923075299999997</v>
      </c>
      <c r="Q2110">
        <v>0.19900000000000001</v>
      </c>
    </row>
    <row r="2111" spans="1:17" x14ac:dyDescent="0.2">
      <c r="A2111" s="30" t="str">
        <f>IF(C2111&amp;G2111&amp;D2111&lt;&gt;'Funnel setup'!$K$3&amp;'Funnel setup'!$K$4&amp;'Funnel setup'!$K$5,".",IF(A2110=".",1,A2110+1))</f>
        <v>.</v>
      </c>
      <c r="B2111" s="431" t="str">
        <f t="shared" si="32"/>
        <v>Hip Replacement PrimaryProviderSPIRE HARTSWOOD HOSPITAL (NT319)EQ-5D Index</v>
      </c>
      <c r="C2111" t="s">
        <v>248</v>
      </c>
      <c r="D2111" t="s">
        <v>1</v>
      </c>
      <c r="E2111" t="s">
        <v>3210</v>
      </c>
      <c r="F2111" t="s">
        <v>3211</v>
      </c>
      <c r="G2111" t="s">
        <v>52</v>
      </c>
      <c r="H2111">
        <v>10</v>
      </c>
      <c r="I2111">
        <v>0.47899999999999998</v>
      </c>
      <c r="J2111">
        <v>0.80500000000000005</v>
      </c>
      <c r="K2111">
        <v>0.32600000000000001</v>
      </c>
      <c r="L2111">
        <v>9</v>
      </c>
      <c r="M2111">
        <v>1</v>
      </c>
      <c r="N2111">
        <v>0</v>
      </c>
      <c r="O2111" t="s">
        <v>53</v>
      </c>
      <c r="P2111" t="s">
        <v>53</v>
      </c>
      <c r="Q2111" t="s">
        <v>53</v>
      </c>
    </row>
    <row r="2112" spans="1:17" x14ac:dyDescent="0.2">
      <c r="A2112" s="30" t="str">
        <f>IF(C2112&amp;G2112&amp;D2112&lt;&gt;'Funnel setup'!$K$3&amp;'Funnel setup'!$K$4&amp;'Funnel setup'!$K$5,".",IF(A2111=".",1,A2111+1))</f>
        <v>.</v>
      </c>
      <c r="B2112" s="431" t="str">
        <f t="shared" si="32"/>
        <v>Hip Replacement PrimaryProviderSPIRE HULL AND EAST RIDING HOSPITAL (NT351)EQ-5D Index</v>
      </c>
      <c r="C2112" t="s">
        <v>248</v>
      </c>
      <c r="D2112" t="s">
        <v>1</v>
      </c>
      <c r="E2112" t="s">
        <v>3213</v>
      </c>
      <c r="F2112" t="s">
        <v>3214</v>
      </c>
      <c r="G2112" t="s">
        <v>52</v>
      </c>
      <c r="H2112">
        <v>155</v>
      </c>
      <c r="I2112">
        <v>0.42899999999999999</v>
      </c>
      <c r="J2112">
        <v>0.87</v>
      </c>
      <c r="K2112">
        <v>0.441</v>
      </c>
      <c r="L2112">
        <v>139</v>
      </c>
      <c r="M2112">
        <v>9</v>
      </c>
      <c r="N2112">
        <v>7</v>
      </c>
      <c r="O2112">
        <v>0.83699999999999997</v>
      </c>
      <c r="P2112">
        <v>0.47485218899999998</v>
      </c>
      <c r="Q2112">
        <v>0.17799999999999999</v>
      </c>
    </row>
    <row r="2113" spans="1:17" x14ac:dyDescent="0.2">
      <c r="A2113" s="30" t="str">
        <f>IF(C2113&amp;G2113&amp;D2113&lt;&gt;'Funnel setup'!$K$3&amp;'Funnel setup'!$K$4&amp;'Funnel setup'!$K$5,".",IF(A2112=".",1,A2112+1))</f>
        <v>.</v>
      </c>
      <c r="B2113" s="431" t="str">
        <f t="shared" si="32"/>
        <v>Hip Replacement PrimaryProviderSPIRE LEEDS HOSPITAL (NT332)EQ-5D Index</v>
      </c>
      <c r="C2113" t="s">
        <v>248</v>
      </c>
      <c r="D2113" t="s">
        <v>1</v>
      </c>
      <c r="E2113" t="s">
        <v>3198</v>
      </c>
      <c r="F2113" t="s">
        <v>3199</v>
      </c>
      <c r="G2113" t="s">
        <v>52</v>
      </c>
      <c r="H2113">
        <v>74</v>
      </c>
      <c r="I2113">
        <v>0.41399999999999998</v>
      </c>
      <c r="J2113">
        <v>0.83099999999999996</v>
      </c>
      <c r="K2113">
        <v>0.41799999999999998</v>
      </c>
      <c r="L2113">
        <v>65</v>
      </c>
      <c r="M2113">
        <v>3</v>
      </c>
      <c r="N2113">
        <v>6</v>
      </c>
      <c r="O2113">
        <v>0.80500000000000005</v>
      </c>
      <c r="P2113">
        <v>0.44382672200000001</v>
      </c>
      <c r="Q2113">
        <v>0.20300000000000001</v>
      </c>
    </row>
    <row r="2114" spans="1:17" x14ac:dyDescent="0.2">
      <c r="A2114" s="30" t="str">
        <f>IF(C2114&amp;G2114&amp;D2114&lt;&gt;'Funnel setup'!$K$3&amp;'Funnel setup'!$K$4&amp;'Funnel setup'!$K$5,".",IF(A2113=".",1,A2113+1))</f>
        <v>.</v>
      </c>
      <c r="B2114" s="431" t="str">
        <f t="shared" si="32"/>
        <v>Hip Replacement PrimaryProviderSPIRE LEICESTER HOSPITAL (NT322)EQ-5D Index</v>
      </c>
      <c r="C2114" t="s">
        <v>248</v>
      </c>
      <c r="D2114" t="s">
        <v>1</v>
      </c>
      <c r="E2114" t="s">
        <v>3201</v>
      </c>
      <c r="F2114" t="s">
        <v>3202</v>
      </c>
      <c r="G2114" t="s">
        <v>52</v>
      </c>
      <c r="H2114">
        <v>86</v>
      </c>
      <c r="I2114">
        <v>0.34899999999999998</v>
      </c>
      <c r="J2114">
        <v>0.83199999999999996</v>
      </c>
      <c r="K2114">
        <v>0.48299999999999998</v>
      </c>
      <c r="L2114">
        <v>80</v>
      </c>
      <c r="M2114">
        <v>5</v>
      </c>
      <c r="N2114">
        <v>1</v>
      </c>
      <c r="O2114">
        <v>0.81699999999999995</v>
      </c>
      <c r="P2114">
        <v>0.45484083800000003</v>
      </c>
      <c r="Q2114">
        <v>0.20799999999999999</v>
      </c>
    </row>
    <row r="2115" spans="1:17" x14ac:dyDescent="0.2">
      <c r="A2115" s="30" t="str">
        <f>IF(C2115&amp;G2115&amp;D2115&lt;&gt;'Funnel setup'!$K$3&amp;'Funnel setup'!$K$4&amp;'Funnel setup'!$K$5,".",IF(A2114=".",1,A2114+1))</f>
        <v>.</v>
      </c>
      <c r="B2115" s="431" t="str">
        <f t="shared" ref="B2115:B2178" si="33">C2115&amp;D2115&amp;F2115&amp;G2115</f>
        <v>Hip Replacement PrimaryProviderSPIRE LITTLE ASTON HOSPITAL (NT321)EQ-5D Index</v>
      </c>
      <c r="C2115" t="s">
        <v>248</v>
      </c>
      <c r="D2115" t="s">
        <v>1</v>
      </c>
      <c r="E2115" t="s">
        <v>3921</v>
      </c>
      <c r="F2115" t="s">
        <v>3922</v>
      </c>
      <c r="G2115" t="s">
        <v>52</v>
      </c>
      <c r="H2115">
        <v>70</v>
      </c>
      <c r="I2115">
        <v>0.34200000000000003</v>
      </c>
      <c r="J2115">
        <v>0.83299999999999996</v>
      </c>
      <c r="K2115">
        <v>0.49099999999999999</v>
      </c>
      <c r="L2115">
        <v>65</v>
      </c>
      <c r="M2115">
        <v>3</v>
      </c>
      <c r="N2115">
        <v>2</v>
      </c>
      <c r="O2115">
        <v>0.83499999999999996</v>
      </c>
      <c r="P2115">
        <v>0.47307908100000001</v>
      </c>
      <c r="Q2115">
        <v>0.157</v>
      </c>
    </row>
    <row r="2116" spans="1:17" x14ac:dyDescent="0.2">
      <c r="A2116" s="30" t="str">
        <f>IF(C2116&amp;G2116&amp;D2116&lt;&gt;'Funnel setup'!$K$3&amp;'Funnel setup'!$K$4&amp;'Funnel setup'!$K$5,".",IF(A2115=".",1,A2115+1))</f>
        <v>.</v>
      </c>
      <c r="B2116" s="431" t="str">
        <f t="shared" si="33"/>
        <v>Hip Replacement PrimaryProviderSPIRE LIVERPOOL HOSPITAL (NT337)EQ-5D Index</v>
      </c>
      <c r="C2116" t="s">
        <v>248</v>
      </c>
      <c r="D2116" t="s">
        <v>1</v>
      </c>
      <c r="E2116" t="s">
        <v>3927</v>
      </c>
      <c r="F2116" t="s">
        <v>3928</v>
      </c>
      <c r="G2116" t="s">
        <v>52</v>
      </c>
      <c r="H2116">
        <v>69</v>
      </c>
      <c r="I2116">
        <v>0.34300000000000003</v>
      </c>
      <c r="J2116">
        <v>0.79</v>
      </c>
      <c r="K2116">
        <v>0.44700000000000001</v>
      </c>
      <c r="L2116">
        <v>62</v>
      </c>
      <c r="M2116">
        <v>4</v>
      </c>
      <c r="N2116">
        <v>3</v>
      </c>
      <c r="O2116">
        <v>0.79300000000000004</v>
      </c>
      <c r="P2116">
        <v>0.43108707600000001</v>
      </c>
      <c r="Q2116">
        <v>0.23100000000000001</v>
      </c>
    </row>
    <row r="2117" spans="1:17" x14ac:dyDescent="0.2">
      <c r="A2117" s="30" t="str">
        <f>IF(C2117&amp;G2117&amp;D2117&lt;&gt;'Funnel setup'!$K$3&amp;'Funnel setup'!$K$4&amp;'Funnel setup'!$K$5,".",IF(A2116=".",1,A2116+1))</f>
        <v>.</v>
      </c>
      <c r="B2117" s="431" t="str">
        <f t="shared" si="33"/>
        <v>Hip Replacement PrimaryProviderSPIRE MANCHESTER HOSPITAL (NT327)EQ-5D Index</v>
      </c>
      <c r="C2117" t="s">
        <v>248</v>
      </c>
      <c r="D2117" t="s">
        <v>1</v>
      </c>
      <c r="E2117" t="s">
        <v>3154</v>
      </c>
      <c r="F2117" t="s">
        <v>3155</v>
      </c>
      <c r="G2117" t="s">
        <v>52</v>
      </c>
      <c r="H2117">
        <v>17</v>
      </c>
      <c r="I2117">
        <v>0.499</v>
      </c>
      <c r="J2117">
        <v>0.86899999999999999</v>
      </c>
      <c r="K2117">
        <v>0.37</v>
      </c>
      <c r="L2117">
        <v>15</v>
      </c>
      <c r="M2117">
        <v>1</v>
      </c>
      <c r="N2117">
        <v>1</v>
      </c>
      <c r="O2117" t="s">
        <v>53</v>
      </c>
      <c r="P2117" t="s">
        <v>53</v>
      </c>
      <c r="Q2117" t="s">
        <v>53</v>
      </c>
    </row>
    <row r="2118" spans="1:17" x14ac:dyDescent="0.2">
      <c r="A2118" s="30" t="str">
        <f>IF(C2118&amp;G2118&amp;D2118&lt;&gt;'Funnel setup'!$K$3&amp;'Funnel setup'!$K$4&amp;'Funnel setup'!$K$5,".",IF(A2117=".",1,A2117+1))</f>
        <v>.</v>
      </c>
      <c r="B2118" s="431" t="str">
        <f t="shared" si="33"/>
        <v>Hip Replacement PrimaryProviderSPIRE METHLEY PARK HOSPITAL (NT350)EQ-5D Index</v>
      </c>
      <c r="C2118" t="s">
        <v>248</v>
      </c>
      <c r="D2118" t="s">
        <v>1</v>
      </c>
      <c r="E2118" t="s">
        <v>3157</v>
      </c>
      <c r="F2118" t="s">
        <v>3158</v>
      </c>
      <c r="G2118" t="s">
        <v>52</v>
      </c>
      <c r="H2118">
        <v>58</v>
      </c>
      <c r="I2118">
        <v>0.38300000000000001</v>
      </c>
      <c r="J2118">
        <v>0.78100000000000003</v>
      </c>
      <c r="K2118">
        <v>0.39700000000000002</v>
      </c>
      <c r="L2118">
        <v>52</v>
      </c>
      <c r="M2118">
        <v>4</v>
      </c>
      <c r="N2118">
        <v>2</v>
      </c>
      <c r="O2118">
        <v>0.76900000000000002</v>
      </c>
      <c r="P2118">
        <v>0.40775789800000001</v>
      </c>
      <c r="Q2118">
        <v>0.186</v>
      </c>
    </row>
    <row r="2119" spans="1:17" x14ac:dyDescent="0.2">
      <c r="A2119" s="30" t="str">
        <f>IF(C2119&amp;G2119&amp;D2119&lt;&gt;'Funnel setup'!$K$3&amp;'Funnel setup'!$K$4&amp;'Funnel setup'!$K$5,".",IF(A2118=".",1,A2118+1))</f>
        <v>.</v>
      </c>
      <c r="B2119" s="431" t="str">
        <f t="shared" si="33"/>
        <v>Hip Replacement PrimaryProviderSPIRE MONTEFIORE HOSPITAL (NT364)EQ-5D Index</v>
      </c>
      <c r="C2119" t="s">
        <v>248</v>
      </c>
      <c r="D2119" t="s">
        <v>1</v>
      </c>
      <c r="E2119" t="s">
        <v>3160</v>
      </c>
      <c r="F2119" t="s">
        <v>3161</v>
      </c>
      <c r="G2119" t="s">
        <v>52</v>
      </c>
      <c r="H2119">
        <v>60</v>
      </c>
      <c r="I2119">
        <v>0.442</v>
      </c>
      <c r="J2119">
        <v>0.82599999999999996</v>
      </c>
      <c r="K2119">
        <v>0.38400000000000001</v>
      </c>
      <c r="L2119">
        <v>56</v>
      </c>
      <c r="M2119">
        <v>3</v>
      </c>
      <c r="N2119">
        <v>1</v>
      </c>
      <c r="O2119">
        <v>0.79500000000000004</v>
      </c>
      <c r="P2119">
        <v>0.43289923400000002</v>
      </c>
      <c r="Q2119">
        <v>0.184</v>
      </c>
    </row>
    <row r="2120" spans="1:17" x14ac:dyDescent="0.2">
      <c r="A2120" s="30" t="str">
        <f>IF(C2120&amp;G2120&amp;D2120&lt;&gt;'Funnel setup'!$K$3&amp;'Funnel setup'!$K$4&amp;'Funnel setup'!$K$5,".",IF(A2119=".",1,A2119+1))</f>
        <v>.</v>
      </c>
      <c r="B2120" s="431" t="str">
        <f t="shared" si="33"/>
        <v>Hip Replacement PrimaryProviderSPIRE MURRAYFIELD HOSPITAL (NT325)EQ-5D Index</v>
      </c>
      <c r="C2120" t="s">
        <v>248</v>
      </c>
      <c r="D2120" t="s">
        <v>1</v>
      </c>
      <c r="E2120" t="s">
        <v>3163</v>
      </c>
      <c r="F2120" t="s">
        <v>3164</v>
      </c>
      <c r="G2120" t="s">
        <v>52</v>
      </c>
      <c r="H2120">
        <v>63</v>
      </c>
      <c r="I2120">
        <v>0.442</v>
      </c>
      <c r="J2120">
        <v>0.82399999999999995</v>
      </c>
      <c r="K2120">
        <v>0.38100000000000001</v>
      </c>
      <c r="L2120">
        <v>57</v>
      </c>
      <c r="M2120">
        <v>2</v>
      </c>
      <c r="N2120">
        <v>4</v>
      </c>
      <c r="O2120">
        <v>0.80100000000000005</v>
      </c>
      <c r="P2120">
        <v>0.43898545999999999</v>
      </c>
      <c r="Q2120">
        <v>0.20599999999999999</v>
      </c>
    </row>
    <row r="2121" spans="1:17" x14ac:dyDescent="0.2">
      <c r="A2121" s="30" t="str">
        <f>IF(C2121&amp;G2121&amp;D2121&lt;&gt;'Funnel setup'!$K$3&amp;'Funnel setup'!$K$4&amp;'Funnel setup'!$K$5,".",IF(A2120=".",1,A2120+1))</f>
        <v>.</v>
      </c>
      <c r="B2121" s="431" t="str">
        <f t="shared" si="33"/>
        <v>Hip Replacement PrimaryProviderSPIRE NORWICH HOSPITAL (NT318)EQ-5D Index</v>
      </c>
      <c r="C2121" t="s">
        <v>248</v>
      </c>
      <c r="D2121" t="s">
        <v>1</v>
      </c>
      <c r="E2121" t="s">
        <v>4251</v>
      </c>
      <c r="F2121" t="s">
        <v>4252</v>
      </c>
      <c r="G2121" t="s">
        <v>52</v>
      </c>
      <c r="H2121">
        <v>242</v>
      </c>
      <c r="I2121">
        <v>0.44</v>
      </c>
      <c r="J2121">
        <v>0.84299999999999997</v>
      </c>
      <c r="K2121">
        <v>0.40300000000000002</v>
      </c>
      <c r="L2121">
        <v>217</v>
      </c>
      <c r="M2121">
        <v>17</v>
      </c>
      <c r="N2121">
        <v>8</v>
      </c>
      <c r="O2121">
        <v>0.81599999999999995</v>
      </c>
      <c r="P2121">
        <v>0.454287887</v>
      </c>
      <c r="Q2121">
        <v>0.2</v>
      </c>
    </row>
    <row r="2122" spans="1:17" x14ac:dyDescent="0.2">
      <c r="A2122" s="30" t="str">
        <f>IF(C2122&amp;G2122&amp;D2122&lt;&gt;'Funnel setup'!$K$3&amp;'Funnel setup'!$K$4&amp;'Funnel setup'!$K$5,".",IF(A2121=".",1,A2121+1))</f>
        <v>.</v>
      </c>
      <c r="B2122" s="431" t="str">
        <f t="shared" si="33"/>
        <v>Hip Replacement PrimaryProviderSPIRE PARKWAY HOSPITAL (NT320)EQ-5D Index</v>
      </c>
      <c r="C2122" t="s">
        <v>248</v>
      </c>
      <c r="D2122" t="s">
        <v>1</v>
      </c>
      <c r="E2122" t="s">
        <v>3166</v>
      </c>
      <c r="F2122" t="s">
        <v>3167</v>
      </c>
      <c r="G2122" t="s">
        <v>52</v>
      </c>
      <c r="H2122">
        <v>74</v>
      </c>
      <c r="I2122">
        <v>0.46600000000000003</v>
      </c>
      <c r="J2122">
        <v>0.84</v>
      </c>
      <c r="K2122">
        <v>0.374</v>
      </c>
      <c r="L2122">
        <v>63</v>
      </c>
      <c r="M2122">
        <v>4</v>
      </c>
      <c r="N2122">
        <v>7</v>
      </c>
      <c r="O2122">
        <v>0.79</v>
      </c>
      <c r="P2122">
        <v>0.42881620599999998</v>
      </c>
      <c r="Q2122">
        <v>0.22</v>
      </c>
    </row>
    <row r="2123" spans="1:17" x14ac:dyDescent="0.2">
      <c r="A2123" s="30" t="str">
        <f>IF(C2123&amp;G2123&amp;D2123&lt;&gt;'Funnel setup'!$K$3&amp;'Funnel setup'!$K$4&amp;'Funnel setup'!$K$5,".",IF(A2122=".",1,A2122+1))</f>
        <v>.</v>
      </c>
      <c r="B2123" s="431" t="str">
        <f t="shared" si="33"/>
        <v>Hip Replacement PrimaryProviderSPIRE PORTSMOUTH HOSPITAL (NT305)EQ-5D Index</v>
      </c>
      <c r="C2123" t="s">
        <v>248</v>
      </c>
      <c r="D2123" t="s">
        <v>1</v>
      </c>
      <c r="E2123" t="s">
        <v>3169</v>
      </c>
      <c r="F2123" t="s">
        <v>340</v>
      </c>
      <c r="G2123" t="s">
        <v>52</v>
      </c>
      <c r="H2123">
        <v>102</v>
      </c>
      <c r="I2123">
        <v>0.46500000000000002</v>
      </c>
      <c r="J2123">
        <v>0.86599999999999999</v>
      </c>
      <c r="K2123">
        <v>0.40100000000000002</v>
      </c>
      <c r="L2123">
        <v>96</v>
      </c>
      <c r="M2123">
        <v>3</v>
      </c>
      <c r="N2123">
        <v>3</v>
      </c>
      <c r="O2123">
        <v>0.82499999999999996</v>
      </c>
      <c r="P2123">
        <v>0.46349625500000002</v>
      </c>
      <c r="Q2123">
        <v>0.16700000000000001</v>
      </c>
    </row>
    <row r="2124" spans="1:17" x14ac:dyDescent="0.2">
      <c r="A2124" s="30" t="str">
        <f>IF(C2124&amp;G2124&amp;D2124&lt;&gt;'Funnel setup'!$K$3&amp;'Funnel setup'!$K$4&amp;'Funnel setup'!$K$5,".",IF(A2123=".",1,A2123+1))</f>
        <v>.</v>
      </c>
      <c r="B2124" s="431" t="str">
        <f t="shared" si="33"/>
        <v>Hip Replacement PrimaryProviderSPIRE REGENCY HOSPITAL (NT339)EQ-5D Index</v>
      </c>
      <c r="C2124" t="s">
        <v>248</v>
      </c>
      <c r="D2124" t="s">
        <v>1</v>
      </c>
      <c r="E2124" t="s">
        <v>3171</v>
      </c>
      <c r="F2124" t="s">
        <v>3172</v>
      </c>
      <c r="G2124" t="s">
        <v>52</v>
      </c>
      <c r="H2124">
        <v>42</v>
      </c>
      <c r="I2124">
        <v>0.42499999999999999</v>
      </c>
      <c r="J2124">
        <v>0.84599999999999997</v>
      </c>
      <c r="K2124">
        <v>0.42099999999999999</v>
      </c>
      <c r="L2124">
        <v>41</v>
      </c>
      <c r="M2124">
        <v>1</v>
      </c>
      <c r="N2124">
        <v>0</v>
      </c>
      <c r="O2124">
        <v>0.81399999999999995</v>
      </c>
      <c r="P2124">
        <v>0.45186475100000001</v>
      </c>
      <c r="Q2124">
        <v>0.17599999999999999</v>
      </c>
    </row>
    <row r="2125" spans="1:17" x14ac:dyDescent="0.2">
      <c r="A2125" s="30" t="str">
        <f>IF(C2125&amp;G2125&amp;D2125&lt;&gt;'Funnel setup'!$K$3&amp;'Funnel setup'!$K$4&amp;'Funnel setup'!$K$5,".",IF(A2124=".",1,A2124+1))</f>
        <v>.</v>
      </c>
      <c r="B2125" s="431" t="str">
        <f t="shared" si="33"/>
        <v>Hip Replacement PrimaryProviderSPIRE RODING HOSPITAL (NT314)EQ-5D Index</v>
      </c>
      <c r="C2125" t="s">
        <v>248</v>
      </c>
      <c r="D2125" t="s">
        <v>1</v>
      </c>
      <c r="E2125" t="s">
        <v>4254</v>
      </c>
      <c r="F2125" t="s">
        <v>4255</v>
      </c>
      <c r="G2125" t="s">
        <v>52</v>
      </c>
      <c r="H2125">
        <v>10</v>
      </c>
      <c r="I2125">
        <v>0.35899999999999999</v>
      </c>
      <c r="J2125">
        <v>0.876</v>
      </c>
      <c r="K2125">
        <v>0.51700000000000002</v>
      </c>
      <c r="L2125">
        <v>10</v>
      </c>
      <c r="M2125">
        <v>0</v>
      </c>
      <c r="N2125">
        <v>0</v>
      </c>
      <c r="O2125" t="s">
        <v>53</v>
      </c>
      <c r="P2125" t="s">
        <v>53</v>
      </c>
      <c r="Q2125" t="s">
        <v>53</v>
      </c>
    </row>
    <row r="2126" spans="1:17" x14ac:dyDescent="0.2">
      <c r="A2126" s="30" t="str">
        <f>IF(C2126&amp;G2126&amp;D2126&lt;&gt;'Funnel setup'!$K$3&amp;'Funnel setup'!$K$4&amp;'Funnel setup'!$K$5,".",IF(A2125=".",1,A2125+1))</f>
        <v>.</v>
      </c>
      <c r="B2126" s="431" t="str">
        <f t="shared" si="33"/>
        <v>Hip Replacement PrimaryProviderSPIRE SOUTH BANK HOSPITAL (NT301)EQ-5D Index</v>
      </c>
      <c r="C2126" t="s">
        <v>248</v>
      </c>
      <c r="D2126" t="s">
        <v>1</v>
      </c>
      <c r="E2126" t="s">
        <v>3174</v>
      </c>
      <c r="F2126" t="s">
        <v>3175</v>
      </c>
      <c r="G2126" t="s">
        <v>52</v>
      </c>
      <c r="H2126">
        <v>27</v>
      </c>
      <c r="I2126">
        <v>0.34399999999999997</v>
      </c>
      <c r="J2126">
        <v>0.78</v>
      </c>
      <c r="K2126">
        <v>0.436</v>
      </c>
      <c r="L2126">
        <v>25</v>
      </c>
      <c r="M2126">
        <v>1</v>
      </c>
      <c r="N2126">
        <v>1</v>
      </c>
      <c r="O2126" t="s">
        <v>53</v>
      </c>
      <c r="P2126" t="s">
        <v>53</v>
      </c>
      <c r="Q2126" t="s">
        <v>53</v>
      </c>
    </row>
    <row r="2127" spans="1:17" x14ac:dyDescent="0.2">
      <c r="A2127" s="30" t="str">
        <f>IF(C2127&amp;G2127&amp;D2127&lt;&gt;'Funnel setup'!$K$3&amp;'Funnel setup'!$K$4&amp;'Funnel setup'!$K$5,".",IF(A2126=".",1,A2126+1))</f>
        <v>.</v>
      </c>
      <c r="B2127" s="431" t="str">
        <f t="shared" si="33"/>
        <v>Hip Replacement PrimaryProviderSPIRE ST SAVIOURS HOSPITAL (NT346)EQ-5D Index</v>
      </c>
      <c r="C2127" t="s">
        <v>248</v>
      </c>
      <c r="D2127" t="s">
        <v>1</v>
      </c>
      <c r="E2127" t="s">
        <v>3177</v>
      </c>
      <c r="F2127" t="s">
        <v>3178</v>
      </c>
      <c r="G2127" t="s">
        <v>52</v>
      </c>
      <c r="H2127">
        <v>25</v>
      </c>
      <c r="I2127">
        <v>0.34599999999999997</v>
      </c>
      <c r="J2127">
        <v>0.90500000000000003</v>
      </c>
      <c r="K2127">
        <v>0.55900000000000005</v>
      </c>
      <c r="L2127">
        <v>24</v>
      </c>
      <c r="M2127">
        <v>1</v>
      </c>
      <c r="N2127">
        <v>0</v>
      </c>
      <c r="O2127" t="s">
        <v>53</v>
      </c>
      <c r="P2127" t="s">
        <v>53</v>
      </c>
      <c r="Q2127" t="s">
        <v>53</v>
      </c>
    </row>
    <row r="2128" spans="1:17" x14ac:dyDescent="0.2">
      <c r="A2128" s="30" t="str">
        <f>IF(C2128&amp;G2128&amp;D2128&lt;&gt;'Funnel setup'!$K$3&amp;'Funnel setup'!$K$4&amp;'Funnel setup'!$K$5,".",IF(A2127=".",1,A2127+1))</f>
        <v>.</v>
      </c>
      <c r="B2128" s="431" t="str">
        <f t="shared" si="33"/>
        <v>Hip Replacement PrimaryProviderSPIRE SUSSEX HOSPITAL (NT309)EQ-5D Index</v>
      </c>
      <c r="C2128" t="s">
        <v>248</v>
      </c>
      <c r="D2128" t="s">
        <v>1</v>
      </c>
      <c r="E2128" t="s">
        <v>3180</v>
      </c>
      <c r="F2128" t="s">
        <v>3181</v>
      </c>
      <c r="G2128" t="s">
        <v>52</v>
      </c>
      <c r="H2128">
        <v>30</v>
      </c>
      <c r="I2128">
        <v>0.48399999999999999</v>
      </c>
      <c r="J2128">
        <v>0.89100000000000001</v>
      </c>
      <c r="K2128">
        <v>0.40699999999999997</v>
      </c>
      <c r="L2128">
        <v>28</v>
      </c>
      <c r="M2128">
        <v>2</v>
      </c>
      <c r="N2128">
        <v>0</v>
      </c>
      <c r="O2128">
        <v>0.84299999999999997</v>
      </c>
      <c r="P2128">
        <v>0.480875473</v>
      </c>
      <c r="Q2128">
        <v>0.17699999999999999</v>
      </c>
    </row>
    <row r="2129" spans="1:17" x14ac:dyDescent="0.2">
      <c r="A2129" s="30" t="str">
        <f>IF(C2129&amp;G2129&amp;D2129&lt;&gt;'Funnel setup'!$K$3&amp;'Funnel setup'!$K$4&amp;'Funnel setup'!$K$5,".",IF(A2128=".",1,A2128+1))</f>
        <v>.</v>
      </c>
      <c r="B2129" s="431" t="str">
        <f t="shared" si="33"/>
        <v>Hip Replacement PrimaryProviderSPIRE THAMES VALLEY HOSPITAL (NT343)EQ-5D Index</v>
      </c>
      <c r="C2129" t="s">
        <v>248</v>
      </c>
      <c r="D2129" t="s">
        <v>1</v>
      </c>
      <c r="E2129" t="s">
        <v>3183</v>
      </c>
      <c r="F2129" t="s">
        <v>3184</v>
      </c>
      <c r="G2129" t="s">
        <v>52</v>
      </c>
      <c r="H2129" t="s">
        <v>53</v>
      </c>
      <c r="I2129" t="s">
        <v>53</v>
      </c>
      <c r="J2129" t="s">
        <v>53</v>
      </c>
      <c r="K2129" t="s">
        <v>53</v>
      </c>
      <c r="L2129" t="s">
        <v>53</v>
      </c>
      <c r="M2129" t="s">
        <v>53</v>
      </c>
      <c r="N2129" t="s">
        <v>53</v>
      </c>
      <c r="O2129" t="s">
        <v>53</v>
      </c>
      <c r="P2129" t="s">
        <v>53</v>
      </c>
      <c r="Q2129" t="s">
        <v>53</v>
      </c>
    </row>
    <row r="2130" spans="1:17" x14ac:dyDescent="0.2">
      <c r="A2130" s="30" t="str">
        <f>IF(C2130&amp;G2130&amp;D2130&lt;&gt;'Funnel setup'!$K$3&amp;'Funnel setup'!$K$4&amp;'Funnel setup'!$K$5,".",IF(A2129=".",1,A2129+1))</f>
        <v>.</v>
      </c>
      <c r="B2130" s="431" t="str">
        <f t="shared" si="33"/>
        <v>Hip Replacement PrimaryProviderSPIRE TUNBRIDGE WELLS HOSPITAL (NT310)EQ-5D Index</v>
      </c>
      <c r="C2130" t="s">
        <v>248</v>
      </c>
      <c r="D2130" t="s">
        <v>1</v>
      </c>
      <c r="E2130" t="s">
        <v>3186</v>
      </c>
      <c r="F2130" t="s">
        <v>3187</v>
      </c>
      <c r="G2130" t="s">
        <v>52</v>
      </c>
      <c r="H2130" t="s">
        <v>53</v>
      </c>
      <c r="I2130" t="s">
        <v>53</v>
      </c>
      <c r="J2130" t="s">
        <v>53</v>
      </c>
      <c r="K2130" t="s">
        <v>53</v>
      </c>
      <c r="L2130" t="s">
        <v>53</v>
      </c>
      <c r="M2130" t="s">
        <v>53</v>
      </c>
      <c r="N2130" t="s">
        <v>53</v>
      </c>
      <c r="O2130" t="s">
        <v>53</v>
      </c>
      <c r="P2130" t="s">
        <v>53</v>
      </c>
      <c r="Q2130" t="s">
        <v>53</v>
      </c>
    </row>
    <row r="2131" spans="1:17" x14ac:dyDescent="0.2">
      <c r="A2131" s="30" t="str">
        <f>IF(C2131&amp;G2131&amp;D2131&lt;&gt;'Funnel setup'!$K$3&amp;'Funnel setup'!$K$4&amp;'Funnel setup'!$K$5,".",IF(A2130=".",1,A2130+1))</f>
        <v>.</v>
      </c>
      <c r="B2131" s="431" t="str">
        <f t="shared" si="33"/>
        <v>Hip Replacement PrimaryProviderSPIRE WASHINGTON HOSPITAL (NT333)EQ-5D Index</v>
      </c>
      <c r="C2131" t="s">
        <v>248</v>
      </c>
      <c r="D2131" t="s">
        <v>1</v>
      </c>
      <c r="E2131" t="s">
        <v>3189</v>
      </c>
      <c r="F2131" t="s">
        <v>3190</v>
      </c>
      <c r="G2131" t="s">
        <v>52</v>
      </c>
      <c r="H2131">
        <v>62</v>
      </c>
      <c r="I2131">
        <v>0.32700000000000001</v>
      </c>
      <c r="J2131">
        <v>0.82699999999999996</v>
      </c>
      <c r="K2131">
        <v>0.5</v>
      </c>
      <c r="L2131">
        <v>55</v>
      </c>
      <c r="M2131">
        <v>3</v>
      </c>
      <c r="N2131">
        <v>4</v>
      </c>
      <c r="O2131">
        <v>0.82499999999999996</v>
      </c>
      <c r="P2131">
        <v>0.46284119000000001</v>
      </c>
      <c r="Q2131">
        <v>0.16500000000000001</v>
      </c>
    </row>
    <row r="2132" spans="1:17" x14ac:dyDescent="0.2">
      <c r="A2132" s="30" t="str">
        <f>IF(C2132&amp;G2132&amp;D2132&lt;&gt;'Funnel setup'!$K$3&amp;'Funnel setup'!$K$4&amp;'Funnel setup'!$K$5,".",IF(A2131=".",1,A2131+1))</f>
        <v>.</v>
      </c>
      <c r="B2132" s="431" t="str">
        <f t="shared" si="33"/>
        <v>Hip Replacement PrimaryProviderSPIRE WELLESLEY HOSPITAL (NT313)EQ-5D Index</v>
      </c>
      <c r="C2132" t="s">
        <v>248</v>
      </c>
      <c r="D2132" t="s">
        <v>1</v>
      </c>
      <c r="E2132" t="s">
        <v>3192</v>
      </c>
      <c r="F2132" t="s">
        <v>3193</v>
      </c>
      <c r="G2132" t="s">
        <v>52</v>
      </c>
      <c r="H2132">
        <v>80</v>
      </c>
      <c r="I2132">
        <v>0.35699999999999998</v>
      </c>
      <c r="J2132">
        <v>0.81399999999999995</v>
      </c>
      <c r="K2132">
        <v>0.45600000000000002</v>
      </c>
      <c r="L2132">
        <v>73</v>
      </c>
      <c r="M2132">
        <v>4</v>
      </c>
      <c r="N2132">
        <v>3</v>
      </c>
      <c r="O2132">
        <v>0.81599999999999995</v>
      </c>
      <c r="P2132">
        <v>0.45453178100000002</v>
      </c>
      <c r="Q2132">
        <v>0.19800000000000001</v>
      </c>
    </row>
    <row r="2133" spans="1:17" x14ac:dyDescent="0.2">
      <c r="A2133" s="30" t="str">
        <f>IF(C2133&amp;G2133&amp;D2133&lt;&gt;'Funnel setup'!$K$3&amp;'Funnel setup'!$K$4&amp;'Funnel setup'!$K$5,".",IF(A2132=".",1,A2132+1))</f>
        <v>.</v>
      </c>
      <c r="B2133" s="431" t="str">
        <f t="shared" si="33"/>
        <v>Hip Replacement PrimaryProviderSPRINGFIELD HOSPITAL (NVC18)EQ-5D Index</v>
      </c>
      <c r="C2133" t="s">
        <v>248</v>
      </c>
      <c r="D2133" t="s">
        <v>1</v>
      </c>
      <c r="E2133" t="s">
        <v>3195</v>
      </c>
      <c r="F2133" t="s">
        <v>3196</v>
      </c>
      <c r="G2133" t="s">
        <v>52</v>
      </c>
      <c r="H2133">
        <v>153</v>
      </c>
      <c r="I2133">
        <v>0.374</v>
      </c>
      <c r="J2133">
        <v>0.86499999999999999</v>
      </c>
      <c r="K2133">
        <v>0.49</v>
      </c>
      <c r="L2133">
        <v>144</v>
      </c>
      <c r="M2133">
        <v>6</v>
      </c>
      <c r="N2133">
        <v>3</v>
      </c>
      <c r="O2133">
        <v>0.84799999999999998</v>
      </c>
      <c r="P2133">
        <v>0.48666387</v>
      </c>
      <c r="Q2133">
        <v>0.182</v>
      </c>
    </row>
    <row r="2134" spans="1:17" x14ac:dyDescent="0.2">
      <c r="A2134" s="30" t="str">
        <f>IF(C2134&amp;G2134&amp;D2134&lt;&gt;'Funnel setup'!$K$3&amp;'Funnel setup'!$K$4&amp;'Funnel setup'!$K$5,".",IF(A2133=".",1,A2133+1))</f>
        <v>.</v>
      </c>
      <c r="B2134" s="431" t="str">
        <f t="shared" si="33"/>
        <v>Hip Replacement PrimaryProviderST GEORGE'S UNIVERSITY HOSPITALS NHS FOUNDATION TRUST (RJ7)EQ-5D Index</v>
      </c>
      <c r="C2134" t="s">
        <v>248</v>
      </c>
      <c r="D2134" t="s">
        <v>1</v>
      </c>
      <c r="E2134" t="s">
        <v>3124</v>
      </c>
      <c r="F2134" t="s">
        <v>3125</v>
      </c>
      <c r="G2134" t="s">
        <v>52</v>
      </c>
      <c r="H2134" t="s">
        <v>53</v>
      </c>
      <c r="I2134" t="s">
        <v>53</v>
      </c>
      <c r="J2134" t="s">
        <v>53</v>
      </c>
      <c r="K2134" t="s">
        <v>53</v>
      </c>
      <c r="L2134" t="s">
        <v>53</v>
      </c>
      <c r="M2134" t="s">
        <v>53</v>
      </c>
      <c r="N2134" t="s">
        <v>53</v>
      </c>
      <c r="O2134" t="s">
        <v>53</v>
      </c>
      <c r="P2134" t="s">
        <v>53</v>
      </c>
      <c r="Q2134" t="s">
        <v>53</v>
      </c>
    </row>
    <row r="2135" spans="1:17" x14ac:dyDescent="0.2">
      <c r="A2135" s="30" t="str">
        <f>IF(C2135&amp;G2135&amp;D2135&lt;&gt;'Funnel setup'!$K$3&amp;'Funnel setup'!$K$4&amp;'Funnel setup'!$K$5,".",IF(A2134=".",1,A2134+1))</f>
        <v>.</v>
      </c>
      <c r="B2135" s="431" t="str">
        <f t="shared" si="33"/>
        <v>Hip Replacement PrimaryProviderST HELENS AND KNOWSLEY HOSPITALS NHS TRUST (RBN)EQ-5D Index</v>
      </c>
      <c r="C2135" t="s">
        <v>248</v>
      </c>
      <c r="D2135" t="s">
        <v>1</v>
      </c>
      <c r="E2135" t="s">
        <v>3127</v>
      </c>
      <c r="F2135" t="s">
        <v>3128</v>
      </c>
      <c r="G2135" t="s">
        <v>52</v>
      </c>
      <c r="H2135">
        <v>145</v>
      </c>
      <c r="I2135">
        <v>0.27600000000000002</v>
      </c>
      <c r="J2135">
        <v>0.69499999999999995</v>
      </c>
      <c r="K2135">
        <v>0.41899999999999998</v>
      </c>
      <c r="L2135">
        <v>118</v>
      </c>
      <c r="M2135">
        <v>9</v>
      </c>
      <c r="N2135">
        <v>18</v>
      </c>
      <c r="O2135">
        <v>0.748</v>
      </c>
      <c r="P2135">
        <v>0.38622695800000001</v>
      </c>
      <c r="Q2135">
        <v>0.3</v>
      </c>
    </row>
    <row r="2136" spans="1:17" x14ac:dyDescent="0.2">
      <c r="A2136" s="30" t="str">
        <f>IF(C2136&amp;G2136&amp;D2136&lt;&gt;'Funnel setup'!$K$3&amp;'Funnel setup'!$K$4&amp;'Funnel setup'!$K$5,".",IF(A2135=".",1,A2135+1))</f>
        <v>.</v>
      </c>
      <c r="B2136" s="431" t="str">
        <f t="shared" si="33"/>
        <v>Hip Replacement PrimaryProviderST HUGH'S HOSPITAL (NTE02)EQ-5D Index</v>
      </c>
      <c r="C2136" t="s">
        <v>248</v>
      </c>
      <c r="D2136" t="s">
        <v>1</v>
      </c>
      <c r="E2136" t="s">
        <v>3130</v>
      </c>
      <c r="F2136" t="s">
        <v>3131</v>
      </c>
      <c r="G2136" t="s">
        <v>52</v>
      </c>
      <c r="H2136">
        <v>40</v>
      </c>
      <c r="I2136">
        <v>0.38700000000000001</v>
      </c>
      <c r="J2136">
        <v>0.91500000000000004</v>
      </c>
      <c r="K2136">
        <v>0.52800000000000002</v>
      </c>
      <c r="L2136">
        <v>37</v>
      </c>
      <c r="M2136">
        <v>2</v>
      </c>
      <c r="N2136">
        <v>1</v>
      </c>
      <c r="O2136">
        <v>0.876</v>
      </c>
      <c r="P2136">
        <v>0.51447560199999998</v>
      </c>
      <c r="Q2136">
        <v>0.153</v>
      </c>
    </row>
    <row r="2137" spans="1:17" x14ac:dyDescent="0.2">
      <c r="A2137" s="30" t="str">
        <f>IF(C2137&amp;G2137&amp;D2137&lt;&gt;'Funnel setup'!$K$3&amp;'Funnel setup'!$K$4&amp;'Funnel setup'!$K$5,".",IF(A2136=".",1,A2136+1))</f>
        <v>.</v>
      </c>
      <c r="B2137" s="431" t="str">
        <f t="shared" si="33"/>
        <v>Hip Replacement PrimaryProviderSTOCKPORT NHS FOUNDATION TRUST (RWJ)EQ-5D Index</v>
      </c>
      <c r="C2137" t="s">
        <v>248</v>
      </c>
      <c r="D2137" t="s">
        <v>1</v>
      </c>
      <c r="E2137" t="s">
        <v>3142</v>
      </c>
      <c r="F2137" t="s">
        <v>3143</v>
      </c>
      <c r="G2137" t="s">
        <v>52</v>
      </c>
      <c r="H2137">
        <v>215</v>
      </c>
      <c r="I2137">
        <v>0.32500000000000001</v>
      </c>
      <c r="J2137">
        <v>0.83799999999999997</v>
      </c>
      <c r="K2137">
        <v>0.51400000000000001</v>
      </c>
      <c r="L2137">
        <v>204</v>
      </c>
      <c r="M2137">
        <v>8</v>
      </c>
      <c r="N2137">
        <v>3</v>
      </c>
      <c r="O2137">
        <v>0.83799999999999997</v>
      </c>
      <c r="P2137">
        <v>0.47614991499999998</v>
      </c>
      <c r="Q2137">
        <v>0.17699999999999999</v>
      </c>
    </row>
    <row r="2138" spans="1:17" x14ac:dyDescent="0.2">
      <c r="A2138" s="30" t="str">
        <f>IF(C2138&amp;G2138&amp;D2138&lt;&gt;'Funnel setup'!$K$3&amp;'Funnel setup'!$K$4&amp;'Funnel setup'!$K$5,".",IF(A2137=".",1,A2137+1))</f>
        <v>.</v>
      </c>
      <c r="B2138" s="431" t="str">
        <f t="shared" si="33"/>
        <v>Hip Replacement PrimaryProviderSURREY AND SUSSEX HEALTHCARE NHS TRUST (RTP)EQ-5D Index</v>
      </c>
      <c r="C2138" t="s">
        <v>248</v>
      </c>
      <c r="D2138" t="s">
        <v>1</v>
      </c>
      <c r="E2138" t="s">
        <v>3145</v>
      </c>
      <c r="F2138" t="s">
        <v>3146</v>
      </c>
      <c r="G2138" t="s">
        <v>52</v>
      </c>
      <c r="H2138">
        <v>91</v>
      </c>
      <c r="I2138">
        <v>0.375</v>
      </c>
      <c r="J2138">
        <v>0.78700000000000003</v>
      </c>
      <c r="K2138">
        <v>0.41199999999999998</v>
      </c>
      <c r="L2138">
        <v>79</v>
      </c>
      <c r="M2138">
        <v>7</v>
      </c>
      <c r="N2138">
        <v>5</v>
      </c>
      <c r="O2138">
        <v>0.78600000000000003</v>
      </c>
      <c r="P2138">
        <v>0.42387017199999999</v>
      </c>
      <c r="Q2138">
        <v>0.23400000000000001</v>
      </c>
    </row>
    <row r="2139" spans="1:17" x14ac:dyDescent="0.2">
      <c r="A2139" s="30" t="str">
        <f>IF(C2139&amp;G2139&amp;D2139&lt;&gt;'Funnel setup'!$K$3&amp;'Funnel setup'!$K$4&amp;'Funnel setup'!$K$5,".",IF(A2138=".",1,A2138+1))</f>
        <v>.</v>
      </c>
      <c r="B2139" s="431" t="str">
        <f t="shared" si="33"/>
        <v>Hip Replacement PrimaryProviderTAMESIDE HOSPITAL NHS FOUNDATION TRUST (RMP)EQ-5D Index</v>
      </c>
      <c r="C2139" t="s">
        <v>248</v>
      </c>
      <c r="D2139" t="s">
        <v>1</v>
      </c>
      <c r="E2139" t="s">
        <v>3148</v>
      </c>
      <c r="F2139" t="s">
        <v>3149</v>
      </c>
      <c r="G2139" t="s">
        <v>52</v>
      </c>
      <c r="H2139">
        <v>83</v>
      </c>
      <c r="I2139">
        <v>0.307</v>
      </c>
      <c r="J2139">
        <v>0.749</v>
      </c>
      <c r="K2139">
        <v>0.441</v>
      </c>
      <c r="L2139">
        <v>73</v>
      </c>
      <c r="M2139">
        <v>6</v>
      </c>
      <c r="N2139">
        <v>4</v>
      </c>
      <c r="O2139">
        <v>0.78700000000000003</v>
      </c>
      <c r="P2139">
        <v>0.42550873299999997</v>
      </c>
      <c r="Q2139">
        <v>0.25600000000000001</v>
      </c>
    </row>
    <row r="2140" spans="1:17" x14ac:dyDescent="0.2">
      <c r="A2140" s="30" t="str">
        <f>IF(C2140&amp;G2140&amp;D2140&lt;&gt;'Funnel setup'!$K$3&amp;'Funnel setup'!$K$4&amp;'Funnel setup'!$K$5,".",IF(A2139=".",1,A2139+1))</f>
        <v>.</v>
      </c>
      <c r="B2140" s="431" t="str">
        <f t="shared" si="33"/>
        <v>Hip Replacement PrimaryProviderTAUNTON AND SOMERSET NHS FOUNDATION TRUST (RBA)EQ-5D Index</v>
      </c>
      <c r="C2140" t="s">
        <v>248</v>
      </c>
      <c r="D2140" t="s">
        <v>1</v>
      </c>
      <c r="E2140" t="s">
        <v>3151</v>
      </c>
      <c r="F2140" t="s">
        <v>3152</v>
      </c>
      <c r="G2140" t="s">
        <v>52</v>
      </c>
      <c r="H2140">
        <v>76</v>
      </c>
      <c r="I2140">
        <v>0.38700000000000001</v>
      </c>
      <c r="J2140">
        <v>0.83</v>
      </c>
      <c r="K2140">
        <v>0.443</v>
      </c>
      <c r="L2140">
        <v>68</v>
      </c>
      <c r="M2140">
        <v>5</v>
      </c>
      <c r="N2140">
        <v>3</v>
      </c>
      <c r="O2140">
        <v>0.82899999999999996</v>
      </c>
      <c r="P2140">
        <v>0.46758055900000001</v>
      </c>
      <c r="Q2140">
        <v>0.17699999999999999</v>
      </c>
    </row>
    <row r="2141" spans="1:17" x14ac:dyDescent="0.2">
      <c r="A2141" s="30" t="str">
        <f>IF(C2141&amp;G2141&amp;D2141&lt;&gt;'Funnel setup'!$K$3&amp;'Funnel setup'!$K$4&amp;'Funnel setup'!$K$5,".",IF(A2140=".",1,A2140+1))</f>
        <v>.</v>
      </c>
      <c r="B2141" s="431" t="str">
        <f t="shared" si="33"/>
        <v>Hip Replacement PrimaryProviderTHE BERKSHIRE INDEPENDENT HOSPITAL (NVC02)EQ-5D Index</v>
      </c>
      <c r="C2141" t="s">
        <v>248</v>
      </c>
      <c r="D2141" t="s">
        <v>1</v>
      </c>
      <c r="E2141" t="s">
        <v>3118</v>
      </c>
      <c r="F2141" t="s">
        <v>3119</v>
      </c>
      <c r="G2141" t="s">
        <v>52</v>
      </c>
      <c r="H2141">
        <v>24</v>
      </c>
      <c r="I2141">
        <v>0.53200000000000003</v>
      </c>
      <c r="J2141">
        <v>0.95099999999999996</v>
      </c>
      <c r="K2141">
        <v>0.41799999999999998</v>
      </c>
      <c r="L2141">
        <v>24</v>
      </c>
      <c r="M2141">
        <v>0</v>
      </c>
      <c r="N2141">
        <v>0</v>
      </c>
      <c r="O2141" t="s">
        <v>53</v>
      </c>
      <c r="P2141" t="s">
        <v>53</v>
      </c>
      <c r="Q2141" t="s">
        <v>53</v>
      </c>
    </row>
    <row r="2142" spans="1:17" x14ac:dyDescent="0.2">
      <c r="A2142" s="30" t="str">
        <f>IF(C2142&amp;G2142&amp;D2142&lt;&gt;'Funnel setup'!$K$3&amp;'Funnel setup'!$K$4&amp;'Funnel setup'!$K$5,".",IF(A2141=".",1,A2141+1))</f>
        <v>.</v>
      </c>
      <c r="B2142" s="431" t="str">
        <f t="shared" si="33"/>
        <v>Hip Replacement PrimaryProviderTHE DUDLEY GROUP NHS FOUNDATION TRUST (RNA)EQ-5D Index</v>
      </c>
      <c r="C2142" t="s">
        <v>248</v>
      </c>
      <c r="D2142" t="s">
        <v>1</v>
      </c>
      <c r="E2142" t="s">
        <v>3121</v>
      </c>
      <c r="F2142" t="s">
        <v>3122</v>
      </c>
      <c r="G2142" t="s">
        <v>52</v>
      </c>
      <c r="H2142">
        <v>244</v>
      </c>
      <c r="I2142">
        <v>0.30599999999999999</v>
      </c>
      <c r="J2142">
        <v>0.76600000000000001</v>
      </c>
      <c r="K2142">
        <v>0.46</v>
      </c>
      <c r="L2142">
        <v>219</v>
      </c>
      <c r="M2142">
        <v>11</v>
      </c>
      <c r="N2142">
        <v>14</v>
      </c>
      <c r="O2142">
        <v>0.79100000000000004</v>
      </c>
      <c r="P2142">
        <v>0.42929817100000001</v>
      </c>
      <c r="Q2142">
        <v>0.24199999999999999</v>
      </c>
    </row>
    <row r="2143" spans="1:17" x14ac:dyDescent="0.2">
      <c r="A2143" s="30" t="str">
        <f>IF(C2143&amp;G2143&amp;D2143&lt;&gt;'Funnel setup'!$K$3&amp;'Funnel setup'!$K$4&amp;'Funnel setup'!$K$5,".",IF(A2142=".",1,A2142+1))</f>
        <v>.</v>
      </c>
      <c r="B2143" s="431" t="str">
        <f t="shared" si="33"/>
        <v>Hip Replacement PrimaryProviderTHE HILLINGDON HOSPITALS NHS FOUNDATION TRUST (RAS)EQ-5D Index</v>
      </c>
      <c r="C2143" t="s">
        <v>248</v>
      </c>
      <c r="D2143" t="s">
        <v>1</v>
      </c>
      <c r="E2143" t="s">
        <v>3115</v>
      </c>
      <c r="F2143" t="s">
        <v>3116</v>
      </c>
      <c r="G2143" t="s">
        <v>52</v>
      </c>
      <c r="H2143">
        <v>172</v>
      </c>
      <c r="I2143">
        <v>0.36699999999999999</v>
      </c>
      <c r="J2143">
        <v>0.79700000000000004</v>
      </c>
      <c r="K2143">
        <v>0.42899999999999999</v>
      </c>
      <c r="L2143">
        <v>150</v>
      </c>
      <c r="M2143">
        <v>10</v>
      </c>
      <c r="N2143">
        <v>12</v>
      </c>
      <c r="O2143">
        <v>0.80300000000000005</v>
      </c>
      <c r="P2143">
        <v>0.44182032399999999</v>
      </c>
      <c r="Q2143">
        <v>0.24</v>
      </c>
    </row>
    <row r="2144" spans="1:17" x14ac:dyDescent="0.2">
      <c r="A2144" s="30" t="str">
        <f>IF(C2144&amp;G2144&amp;D2144&lt;&gt;'Funnel setup'!$K$3&amp;'Funnel setup'!$K$4&amp;'Funnel setup'!$K$5,".",IF(A2143=".",1,A2143+1))</f>
        <v>.</v>
      </c>
      <c r="B2144" s="431" t="str">
        <f t="shared" si="33"/>
        <v>Hip Replacement PrimaryProviderTHE HORDER CENTRE - ST JOHNS ROAD (NXM01)EQ-5D Index</v>
      </c>
      <c r="C2144" t="s">
        <v>248</v>
      </c>
      <c r="D2144" t="s">
        <v>1</v>
      </c>
      <c r="E2144" t="s">
        <v>4222</v>
      </c>
      <c r="F2144" t="s">
        <v>4223</v>
      </c>
      <c r="G2144" t="s">
        <v>52</v>
      </c>
      <c r="H2144">
        <v>584</v>
      </c>
      <c r="I2144">
        <v>0.48899999999999999</v>
      </c>
      <c r="J2144">
        <v>0.86699999999999999</v>
      </c>
      <c r="K2144">
        <v>0.378</v>
      </c>
      <c r="L2144">
        <v>525</v>
      </c>
      <c r="M2144">
        <v>36</v>
      </c>
      <c r="N2144">
        <v>23</v>
      </c>
      <c r="O2144">
        <v>0.83099999999999996</v>
      </c>
      <c r="P2144">
        <v>0.46945045200000002</v>
      </c>
      <c r="Q2144">
        <v>0.186</v>
      </c>
    </row>
    <row r="2145" spans="1:17" x14ac:dyDescent="0.2">
      <c r="A2145" s="30" t="str">
        <f>IF(C2145&amp;G2145&amp;D2145&lt;&gt;'Funnel setup'!$K$3&amp;'Funnel setup'!$K$4&amp;'Funnel setup'!$K$5,".",IF(A2144=".",1,A2144+1))</f>
        <v>.</v>
      </c>
      <c r="B2145" s="431" t="str">
        <f t="shared" si="33"/>
        <v>Hip Replacement PrimaryProviderTHE NEWCASTLE UPON TYNE HOSPITALS NHS FOUNDATION TRUST (RTD)EQ-5D Index</v>
      </c>
      <c r="C2145" t="s">
        <v>248</v>
      </c>
      <c r="D2145" t="s">
        <v>1</v>
      </c>
      <c r="E2145" t="s">
        <v>3748</v>
      </c>
      <c r="F2145" t="s">
        <v>3749</v>
      </c>
      <c r="G2145" t="s">
        <v>52</v>
      </c>
      <c r="H2145">
        <v>321</v>
      </c>
      <c r="I2145">
        <v>0.38400000000000001</v>
      </c>
      <c r="J2145">
        <v>0.79700000000000004</v>
      </c>
      <c r="K2145">
        <v>0.41299999999999998</v>
      </c>
      <c r="L2145">
        <v>287</v>
      </c>
      <c r="M2145">
        <v>20</v>
      </c>
      <c r="N2145">
        <v>14</v>
      </c>
      <c r="O2145">
        <v>0.79500000000000004</v>
      </c>
      <c r="P2145">
        <v>0.43350198000000001</v>
      </c>
      <c r="Q2145">
        <v>0.222</v>
      </c>
    </row>
    <row r="2146" spans="1:17" x14ac:dyDescent="0.2">
      <c r="A2146" s="30" t="str">
        <f>IF(C2146&amp;G2146&amp;D2146&lt;&gt;'Funnel setup'!$K$3&amp;'Funnel setup'!$K$4&amp;'Funnel setup'!$K$5,".",IF(A2145=".",1,A2145+1))</f>
        <v>.</v>
      </c>
      <c r="B2146" s="431" t="str">
        <f t="shared" si="33"/>
        <v>Hip Replacement PrimaryProviderTHE PRINCESS ALEXANDRA HOSPITAL NHS TRUST (RQW)EQ-5D Index</v>
      </c>
      <c r="C2146" t="s">
        <v>248</v>
      </c>
      <c r="D2146" t="s">
        <v>1</v>
      </c>
      <c r="E2146" t="s">
        <v>3751</v>
      </c>
      <c r="F2146" t="s">
        <v>3752</v>
      </c>
      <c r="G2146" t="s">
        <v>52</v>
      </c>
      <c r="H2146">
        <v>169</v>
      </c>
      <c r="I2146">
        <v>0.33</v>
      </c>
      <c r="J2146">
        <v>0.77500000000000002</v>
      </c>
      <c r="K2146">
        <v>0.44400000000000001</v>
      </c>
      <c r="L2146">
        <v>149</v>
      </c>
      <c r="M2146">
        <v>10</v>
      </c>
      <c r="N2146">
        <v>10</v>
      </c>
      <c r="O2146">
        <v>0.77900000000000003</v>
      </c>
      <c r="P2146">
        <v>0.41689896300000001</v>
      </c>
      <c r="Q2146">
        <v>0.22700000000000001</v>
      </c>
    </row>
    <row r="2147" spans="1:17" x14ac:dyDescent="0.2">
      <c r="A2147" s="30" t="str">
        <f>IF(C2147&amp;G2147&amp;D2147&lt;&gt;'Funnel setup'!$K$3&amp;'Funnel setup'!$K$4&amp;'Funnel setup'!$K$5,".",IF(A2146=".",1,A2146+1))</f>
        <v>.</v>
      </c>
      <c r="B2147" s="431" t="str">
        <f t="shared" si="33"/>
        <v>Hip Replacement PrimaryProviderTHE QUEEN ELIZABETH HOSPITAL, KING'S LYNN, NHS FOUNDATION TRUST (RCX)EQ-5D Index</v>
      </c>
      <c r="C2147" t="s">
        <v>248</v>
      </c>
      <c r="D2147" t="s">
        <v>1</v>
      </c>
      <c r="E2147" t="s">
        <v>3754</v>
      </c>
      <c r="F2147" t="s">
        <v>3755</v>
      </c>
      <c r="G2147" t="s">
        <v>52</v>
      </c>
      <c r="H2147">
        <v>153</v>
      </c>
      <c r="I2147">
        <v>0.29599999999999999</v>
      </c>
      <c r="J2147">
        <v>0.77700000000000002</v>
      </c>
      <c r="K2147">
        <v>0.48199999999999998</v>
      </c>
      <c r="L2147">
        <v>139</v>
      </c>
      <c r="M2147">
        <v>6</v>
      </c>
      <c r="N2147">
        <v>8</v>
      </c>
      <c r="O2147">
        <v>0.8</v>
      </c>
      <c r="P2147">
        <v>0.43809862999999999</v>
      </c>
      <c r="Q2147">
        <v>0.23799999999999999</v>
      </c>
    </row>
    <row r="2148" spans="1:17" x14ac:dyDescent="0.2">
      <c r="A2148" s="30" t="str">
        <f>IF(C2148&amp;G2148&amp;D2148&lt;&gt;'Funnel setup'!$K$3&amp;'Funnel setup'!$K$4&amp;'Funnel setup'!$K$5,".",IF(A2147=".",1,A2147+1))</f>
        <v>.</v>
      </c>
      <c r="B2148" s="431" t="str">
        <f t="shared" si="33"/>
        <v>Hip Replacement PrimaryProviderTHE ROBERT JONES AND AGNES HUNT ORTHOPAEDIC HOSPITAL NHS FOUNDATION TRUST (RL1)EQ-5D Index</v>
      </c>
      <c r="C2148" t="s">
        <v>248</v>
      </c>
      <c r="D2148" t="s">
        <v>1</v>
      </c>
      <c r="E2148" t="s">
        <v>4496</v>
      </c>
      <c r="F2148" t="s">
        <v>4497</v>
      </c>
      <c r="G2148" t="s">
        <v>52</v>
      </c>
      <c r="H2148">
        <v>451</v>
      </c>
      <c r="I2148">
        <v>0.26500000000000001</v>
      </c>
      <c r="J2148">
        <v>0.81599999999999995</v>
      </c>
      <c r="K2148">
        <v>0.55100000000000005</v>
      </c>
      <c r="L2148">
        <v>420</v>
      </c>
      <c r="M2148">
        <v>18</v>
      </c>
      <c r="N2148">
        <v>13</v>
      </c>
      <c r="O2148">
        <v>0.77600000000000002</v>
      </c>
      <c r="P2148">
        <v>0.41476342700000002</v>
      </c>
      <c r="Q2148">
        <v>0.219</v>
      </c>
    </row>
    <row r="2149" spans="1:17" x14ac:dyDescent="0.2">
      <c r="A2149" s="30" t="str">
        <f>IF(C2149&amp;G2149&amp;D2149&lt;&gt;'Funnel setup'!$K$3&amp;'Funnel setup'!$K$4&amp;'Funnel setup'!$K$5,".",IF(A2148=".",1,A2148+1))</f>
        <v>.</v>
      </c>
      <c r="B2149" s="431" t="str">
        <f t="shared" si="33"/>
        <v>Hip Replacement PrimaryProviderTHE ROTHERHAM NHS FOUNDATION TRUST (RFR)EQ-5D Index</v>
      </c>
      <c r="C2149" t="s">
        <v>248</v>
      </c>
      <c r="D2149" t="s">
        <v>1</v>
      </c>
      <c r="E2149" t="s">
        <v>3739</v>
      </c>
      <c r="F2149" t="s">
        <v>3740</v>
      </c>
      <c r="G2149" t="s">
        <v>52</v>
      </c>
      <c r="H2149">
        <v>145</v>
      </c>
      <c r="I2149">
        <v>0.308</v>
      </c>
      <c r="J2149">
        <v>0.79300000000000004</v>
      </c>
      <c r="K2149">
        <v>0.48499999999999999</v>
      </c>
      <c r="L2149">
        <v>131</v>
      </c>
      <c r="M2149">
        <v>5</v>
      </c>
      <c r="N2149">
        <v>9</v>
      </c>
      <c r="O2149">
        <v>0.81799999999999995</v>
      </c>
      <c r="P2149">
        <v>0.45644364900000001</v>
      </c>
      <c r="Q2149">
        <v>0.218</v>
      </c>
    </row>
    <row r="2150" spans="1:17" x14ac:dyDescent="0.2">
      <c r="A2150" s="30" t="str">
        <f>IF(C2150&amp;G2150&amp;D2150&lt;&gt;'Funnel setup'!$K$3&amp;'Funnel setup'!$K$4&amp;'Funnel setup'!$K$5,".",IF(A2149=".",1,A2149+1))</f>
        <v>.</v>
      </c>
      <c r="B2150" s="431" t="str">
        <f t="shared" si="33"/>
        <v>Hip Replacement PrimaryProviderTHE ROYAL BOURNEMOUTH AND CHRISTCHURCH HOSPITALS NHS FOUNDATION TRUST (RDZ)EQ-5D Index</v>
      </c>
      <c r="C2150" t="s">
        <v>248</v>
      </c>
      <c r="D2150" t="s">
        <v>1</v>
      </c>
      <c r="E2150" t="s">
        <v>3742</v>
      </c>
      <c r="F2150" t="s">
        <v>3743</v>
      </c>
      <c r="G2150" t="s">
        <v>52</v>
      </c>
      <c r="H2150">
        <v>425</v>
      </c>
      <c r="I2150">
        <v>0.33900000000000002</v>
      </c>
      <c r="J2150">
        <v>0.80300000000000005</v>
      </c>
      <c r="K2150">
        <v>0.46400000000000002</v>
      </c>
      <c r="L2150">
        <v>384</v>
      </c>
      <c r="M2150">
        <v>23</v>
      </c>
      <c r="N2150">
        <v>18</v>
      </c>
      <c r="O2150">
        <v>0.81</v>
      </c>
      <c r="P2150">
        <v>0.44831574400000002</v>
      </c>
      <c r="Q2150">
        <v>0.21</v>
      </c>
    </row>
    <row r="2151" spans="1:17" x14ac:dyDescent="0.2">
      <c r="A2151" s="30" t="str">
        <f>IF(C2151&amp;G2151&amp;D2151&lt;&gt;'Funnel setup'!$K$3&amp;'Funnel setup'!$K$4&amp;'Funnel setup'!$K$5,".",IF(A2150=".",1,A2150+1))</f>
        <v>.</v>
      </c>
      <c r="B2151" s="431" t="str">
        <f t="shared" si="33"/>
        <v>Hip Replacement PrimaryProviderTHE ROYAL ORTHOPAEDIC HOSPITAL NHS FOUNDATION TRUST (RRJ)EQ-5D Index</v>
      </c>
      <c r="C2151" t="s">
        <v>248</v>
      </c>
      <c r="D2151" t="s">
        <v>1</v>
      </c>
      <c r="E2151" t="s">
        <v>4480</v>
      </c>
      <c r="F2151" t="s">
        <v>4481</v>
      </c>
      <c r="G2151" t="s">
        <v>52</v>
      </c>
      <c r="H2151">
        <v>383</v>
      </c>
      <c r="I2151">
        <v>0.376</v>
      </c>
      <c r="J2151">
        <v>0.80600000000000005</v>
      </c>
      <c r="K2151">
        <v>0.43</v>
      </c>
      <c r="L2151">
        <v>346</v>
      </c>
      <c r="M2151">
        <v>16</v>
      </c>
      <c r="N2151">
        <v>21</v>
      </c>
      <c r="O2151">
        <v>0.81200000000000006</v>
      </c>
      <c r="P2151">
        <v>0.45046312300000002</v>
      </c>
      <c r="Q2151">
        <v>0.21</v>
      </c>
    </row>
    <row r="2152" spans="1:17" x14ac:dyDescent="0.2">
      <c r="A2152" s="30" t="str">
        <f>IF(C2152&amp;G2152&amp;D2152&lt;&gt;'Funnel setup'!$K$3&amp;'Funnel setup'!$K$4&amp;'Funnel setup'!$K$5,".",IF(A2151=".",1,A2151+1))</f>
        <v>.</v>
      </c>
      <c r="B2152" s="431" t="str">
        <f t="shared" si="33"/>
        <v>Hip Replacement PrimaryProviderTHE ROYAL WOLVERHAMPTON NHS TRUST (RL4)EQ-5D Index</v>
      </c>
      <c r="C2152" t="s">
        <v>248</v>
      </c>
      <c r="D2152" t="s">
        <v>1</v>
      </c>
      <c r="E2152" t="s">
        <v>3382</v>
      </c>
      <c r="F2152" t="s">
        <v>3383</v>
      </c>
      <c r="G2152" t="s">
        <v>52</v>
      </c>
      <c r="H2152">
        <v>196</v>
      </c>
      <c r="I2152">
        <v>0.31900000000000001</v>
      </c>
      <c r="J2152">
        <v>0.73499999999999999</v>
      </c>
      <c r="K2152">
        <v>0.41599999999999998</v>
      </c>
      <c r="L2152">
        <v>168</v>
      </c>
      <c r="M2152">
        <v>12</v>
      </c>
      <c r="N2152">
        <v>16</v>
      </c>
      <c r="O2152">
        <v>0.76900000000000002</v>
      </c>
      <c r="P2152">
        <v>0.40752760999999998</v>
      </c>
      <c r="Q2152">
        <v>0.25700000000000001</v>
      </c>
    </row>
    <row r="2153" spans="1:17" x14ac:dyDescent="0.2">
      <c r="A2153" s="30" t="str">
        <f>IF(C2153&amp;G2153&amp;D2153&lt;&gt;'Funnel setup'!$K$3&amp;'Funnel setup'!$K$4&amp;'Funnel setup'!$K$5,".",IF(A2152=".",1,A2152+1))</f>
        <v>.</v>
      </c>
      <c r="B2153" s="431" t="str">
        <f t="shared" si="33"/>
        <v>Hip Replacement PrimaryProviderTHE SPENCER WING (RAMSGATE ROAD) (NN801)EQ-5D Index</v>
      </c>
      <c r="C2153" t="s">
        <v>248</v>
      </c>
      <c r="D2153" t="s">
        <v>1</v>
      </c>
      <c r="E2153" t="s">
        <v>3757</v>
      </c>
      <c r="F2153" t="s">
        <v>3758</v>
      </c>
      <c r="G2153" t="s">
        <v>52</v>
      </c>
      <c r="H2153">
        <v>14</v>
      </c>
      <c r="I2153">
        <v>0.35899999999999999</v>
      </c>
      <c r="J2153">
        <v>0.83599999999999997</v>
      </c>
      <c r="K2153">
        <v>0.47699999999999998</v>
      </c>
      <c r="L2153">
        <v>14</v>
      </c>
      <c r="M2153">
        <v>0</v>
      </c>
      <c r="N2153">
        <v>0</v>
      </c>
      <c r="O2153" t="s">
        <v>53</v>
      </c>
      <c r="P2153" t="s">
        <v>53</v>
      </c>
      <c r="Q2153" t="s">
        <v>53</v>
      </c>
    </row>
    <row r="2154" spans="1:17" x14ac:dyDescent="0.2">
      <c r="A2154" s="30" t="str">
        <f>IF(C2154&amp;G2154&amp;D2154&lt;&gt;'Funnel setup'!$K$3&amp;'Funnel setup'!$K$4&amp;'Funnel setup'!$K$5,".",IF(A2153=".",1,A2153+1))</f>
        <v>.</v>
      </c>
      <c r="B2154" s="431" t="str">
        <f t="shared" si="33"/>
        <v>Hip Replacement PrimaryProviderTHE YORKSHIRE CLINIC (NVC20)EQ-5D Index</v>
      </c>
      <c r="C2154" t="s">
        <v>248</v>
      </c>
      <c r="D2154" t="s">
        <v>1</v>
      </c>
      <c r="E2154" t="s">
        <v>3760</v>
      </c>
      <c r="F2154" t="s">
        <v>3761</v>
      </c>
      <c r="G2154" t="s">
        <v>52</v>
      </c>
      <c r="H2154">
        <v>67</v>
      </c>
      <c r="I2154">
        <v>0.47</v>
      </c>
      <c r="J2154">
        <v>0.84299999999999997</v>
      </c>
      <c r="K2154">
        <v>0.373</v>
      </c>
      <c r="L2154">
        <v>61</v>
      </c>
      <c r="M2154">
        <v>3</v>
      </c>
      <c r="N2154">
        <v>3</v>
      </c>
      <c r="O2154">
        <v>0.80300000000000005</v>
      </c>
      <c r="P2154">
        <v>0.44124645699999998</v>
      </c>
      <c r="Q2154">
        <v>0.157</v>
      </c>
    </row>
    <row r="2155" spans="1:17" x14ac:dyDescent="0.2">
      <c r="A2155" s="30" t="str">
        <f>IF(C2155&amp;G2155&amp;D2155&lt;&gt;'Funnel setup'!$K$3&amp;'Funnel setup'!$K$4&amp;'Funnel setup'!$K$5,".",IF(A2154=".",1,A2154+1))</f>
        <v>.</v>
      </c>
      <c r="B2155" s="431" t="str">
        <f t="shared" si="33"/>
        <v>Hip Replacement PrimaryProviderTORBAY AND SOUTH DEVON NHS FOUNDATION TRUST (RA9)EQ-5D Index</v>
      </c>
      <c r="C2155" t="s">
        <v>248</v>
      </c>
      <c r="D2155" t="s">
        <v>1</v>
      </c>
      <c r="E2155" t="s">
        <v>3480</v>
      </c>
      <c r="F2155" t="s">
        <v>6584</v>
      </c>
      <c r="G2155" t="s">
        <v>52</v>
      </c>
      <c r="H2155">
        <v>188</v>
      </c>
      <c r="I2155">
        <v>0.32500000000000001</v>
      </c>
      <c r="J2155">
        <v>0.745</v>
      </c>
      <c r="K2155">
        <v>0.42</v>
      </c>
      <c r="L2155">
        <v>165</v>
      </c>
      <c r="M2155">
        <v>8</v>
      </c>
      <c r="N2155">
        <v>15</v>
      </c>
      <c r="O2155">
        <v>0.78200000000000003</v>
      </c>
      <c r="P2155">
        <v>0.42022730400000002</v>
      </c>
      <c r="Q2155">
        <v>0.26</v>
      </c>
    </row>
    <row r="2156" spans="1:17" x14ac:dyDescent="0.2">
      <c r="A2156" s="30" t="str">
        <f>IF(C2156&amp;G2156&amp;D2156&lt;&gt;'Funnel setup'!$K$3&amp;'Funnel setup'!$K$4&amp;'Funnel setup'!$K$5,".",IF(A2155=".",1,A2155+1))</f>
        <v>.</v>
      </c>
      <c r="B2156" s="431" t="str">
        <f t="shared" si="33"/>
        <v>Hip Replacement PrimaryProviderTYNESIDE SURGICAL SERVICES AT THE NORTH EAST NHS SURGERY CENTRE (NN401)EQ-5D Index</v>
      </c>
      <c r="C2156" t="s">
        <v>248</v>
      </c>
      <c r="D2156" t="s">
        <v>1</v>
      </c>
      <c r="E2156" t="s">
        <v>4506</v>
      </c>
      <c r="F2156" t="s">
        <v>4507</v>
      </c>
      <c r="G2156" t="s">
        <v>52</v>
      </c>
      <c r="H2156">
        <v>7</v>
      </c>
      <c r="I2156">
        <v>0.186</v>
      </c>
      <c r="J2156">
        <v>0.71699999999999997</v>
      </c>
      <c r="K2156">
        <v>0.53100000000000003</v>
      </c>
      <c r="L2156">
        <v>6</v>
      </c>
      <c r="M2156">
        <v>1</v>
      </c>
      <c r="N2156">
        <v>0</v>
      </c>
      <c r="O2156" t="s">
        <v>53</v>
      </c>
      <c r="P2156" t="s">
        <v>53</v>
      </c>
      <c r="Q2156" t="s">
        <v>53</v>
      </c>
    </row>
    <row r="2157" spans="1:17" x14ac:dyDescent="0.2">
      <c r="A2157" s="30" t="str">
        <f>IF(C2157&amp;G2157&amp;D2157&lt;&gt;'Funnel setup'!$K$3&amp;'Funnel setup'!$K$4&amp;'Funnel setup'!$K$5,".",IF(A2156=".",1,A2156+1))</f>
        <v>.</v>
      </c>
      <c r="B2157" s="431" t="str">
        <f t="shared" si="33"/>
        <v>Hip Replacement PrimaryProviderUNITED LINCOLNSHIRE HOSPITALS NHS TRUST (RWD)EQ-5D Index</v>
      </c>
      <c r="C2157" t="s">
        <v>248</v>
      </c>
      <c r="D2157" t="s">
        <v>1</v>
      </c>
      <c r="E2157" t="s">
        <v>3763</v>
      </c>
      <c r="F2157" t="s">
        <v>3764</v>
      </c>
      <c r="G2157" t="s">
        <v>52</v>
      </c>
      <c r="H2157">
        <v>240</v>
      </c>
      <c r="I2157">
        <v>0.36499999999999999</v>
      </c>
      <c r="J2157">
        <v>0.78200000000000003</v>
      </c>
      <c r="K2157">
        <v>0.41699999999999998</v>
      </c>
      <c r="L2157">
        <v>211</v>
      </c>
      <c r="M2157">
        <v>19</v>
      </c>
      <c r="N2157">
        <v>10</v>
      </c>
      <c r="O2157">
        <v>0.79300000000000004</v>
      </c>
      <c r="P2157">
        <v>0.43136960600000002</v>
      </c>
      <c r="Q2157">
        <v>0.21099999999999999</v>
      </c>
    </row>
    <row r="2158" spans="1:17" x14ac:dyDescent="0.2">
      <c r="A2158" s="30" t="str">
        <f>IF(C2158&amp;G2158&amp;D2158&lt;&gt;'Funnel setup'!$K$3&amp;'Funnel setup'!$K$4&amp;'Funnel setup'!$K$5,".",IF(A2157=".",1,A2157+1))</f>
        <v>.</v>
      </c>
      <c r="B2158" s="431" t="str">
        <f t="shared" si="33"/>
        <v>Hip Replacement PrimaryProviderUNIVERSITY COLLEGE LONDON HOSPITALS NHS FOUNDATION TRUST (RRV)EQ-5D Index</v>
      </c>
      <c r="C2158" t="s">
        <v>248</v>
      </c>
      <c r="D2158" t="s">
        <v>1</v>
      </c>
      <c r="E2158" t="s">
        <v>3766</v>
      </c>
      <c r="F2158" t="s">
        <v>3767</v>
      </c>
      <c r="G2158" t="s">
        <v>52</v>
      </c>
      <c r="H2158">
        <v>111</v>
      </c>
      <c r="I2158">
        <v>0.437</v>
      </c>
      <c r="J2158">
        <v>0.80600000000000005</v>
      </c>
      <c r="K2158">
        <v>0.36899999999999999</v>
      </c>
      <c r="L2158">
        <v>94</v>
      </c>
      <c r="M2158">
        <v>8</v>
      </c>
      <c r="N2158">
        <v>9</v>
      </c>
      <c r="O2158">
        <v>0.81799999999999995</v>
      </c>
      <c r="P2158">
        <v>0.45615015199999998</v>
      </c>
      <c r="Q2158">
        <v>0.21</v>
      </c>
    </row>
    <row r="2159" spans="1:17" x14ac:dyDescent="0.2">
      <c r="A2159" s="30" t="str">
        <f>IF(C2159&amp;G2159&amp;D2159&lt;&gt;'Funnel setup'!$K$3&amp;'Funnel setup'!$K$4&amp;'Funnel setup'!$K$5,".",IF(A2158=".",1,A2158+1))</f>
        <v>.</v>
      </c>
      <c r="B2159" s="431" t="str">
        <f t="shared" si="33"/>
        <v>Hip Replacement PrimaryProviderUNIVERSITY HOSPITAL OF SOUTH MANCHESTER NHS FOUNDATION TRUST (RM2)EQ-5D Index</v>
      </c>
      <c r="C2159" t="s">
        <v>248</v>
      </c>
      <c r="D2159" t="s">
        <v>1</v>
      </c>
      <c r="E2159" t="s">
        <v>3769</v>
      </c>
      <c r="F2159" t="s">
        <v>3770</v>
      </c>
      <c r="G2159" t="s">
        <v>52</v>
      </c>
      <c r="H2159">
        <v>106</v>
      </c>
      <c r="I2159">
        <v>0.36399999999999999</v>
      </c>
      <c r="J2159">
        <v>0.73099999999999998</v>
      </c>
      <c r="K2159">
        <v>0.36699999999999999</v>
      </c>
      <c r="L2159">
        <v>87</v>
      </c>
      <c r="M2159">
        <v>9</v>
      </c>
      <c r="N2159">
        <v>10</v>
      </c>
      <c r="O2159">
        <v>0.73799999999999999</v>
      </c>
      <c r="P2159">
        <v>0.37657786100000001</v>
      </c>
      <c r="Q2159">
        <v>0.246</v>
      </c>
    </row>
    <row r="2160" spans="1:17" x14ac:dyDescent="0.2">
      <c r="A2160" s="30" t="str">
        <f>IF(C2160&amp;G2160&amp;D2160&lt;&gt;'Funnel setup'!$K$3&amp;'Funnel setup'!$K$4&amp;'Funnel setup'!$K$5,".",IF(A2159=".",1,A2159+1))</f>
        <v>.</v>
      </c>
      <c r="B2160" s="431" t="str">
        <f t="shared" si="33"/>
        <v>Hip Replacement PrimaryProviderUNIVERSITY HOSPITAL SOUTHAMPTON NHS FOUNDATION TRUST (RHM)EQ-5D Index</v>
      </c>
      <c r="C2160" t="s">
        <v>248</v>
      </c>
      <c r="D2160" t="s">
        <v>1</v>
      </c>
      <c r="E2160" t="s">
        <v>3772</v>
      </c>
      <c r="F2160" t="s">
        <v>3773</v>
      </c>
      <c r="G2160" t="s">
        <v>52</v>
      </c>
      <c r="H2160">
        <v>166</v>
      </c>
      <c r="I2160">
        <v>0.29199999999999998</v>
      </c>
      <c r="J2160">
        <v>0.75800000000000001</v>
      </c>
      <c r="K2160">
        <v>0.46600000000000003</v>
      </c>
      <c r="L2160">
        <v>151</v>
      </c>
      <c r="M2160">
        <v>9</v>
      </c>
      <c r="N2160">
        <v>6</v>
      </c>
      <c r="O2160">
        <v>0.78800000000000003</v>
      </c>
      <c r="P2160">
        <v>0.42639694500000003</v>
      </c>
      <c r="Q2160">
        <v>0.22</v>
      </c>
    </row>
    <row r="2161" spans="1:17" x14ac:dyDescent="0.2">
      <c r="A2161" s="30" t="str">
        <f>IF(C2161&amp;G2161&amp;D2161&lt;&gt;'Funnel setup'!$K$3&amp;'Funnel setup'!$K$4&amp;'Funnel setup'!$K$5,".",IF(A2160=".",1,A2160+1))</f>
        <v>.</v>
      </c>
      <c r="B2161" s="431" t="str">
        <f t="shared" si="33"/>
        <v>Hip Replacement PrimaryProviderUNIVERSITY HOSPITALS COVENTRY AND WARWICKSHIRE NHS TRUST (RKB)EQ-5D Index</v>
      </c>
      <c r="C2161" t="s">
        <v>248</v>
      </c>
      <c r="D2161" t="s">
        <v>1</v>
      </c>
      <c r="E2161" t="s">
        <v>3715</v>
      </c>
      <c r="F2161" t="s">
        <v>3716</v>
      </c>
      <c r="G2161" t="s">
        <v>52</v>
      </c>
      <c r="H2161">
        <v>237</v>
      </c>
      <c r="I2161">
        <v>0.35299999999999998</v>
      </c>
      <c r="J2161">
        <v>0.80600000000000005</v>
      </c>
      <c r="K2161">
        <v>0.45200000000000001</v>
      </c>
      <c r="L2161">
        <v>217</v>
      </c>
      <c r="M2161">
        <v>8</v>
      </c>
      <c r="N2161">
        <v>12</v>
      </c>
      <c r="O2161">
        <v>0.81100000000000005</v>
      </c>
      <c r="P2161">
        <v>0.44957455200000002</v>
      </c>
      <c r="Q2161">
        <v>0.223</v>
      </c>
    </row>
    <row r="2162" spans="1:17" x14ac:dyDescent="0.2">
      <c r="A2162" s="30" t="str">
        <f>IF(C2162&amp;G2162&amp;D2162&lt;&gt;'Funnel setup'!$K$3&amp;'Funnel setup'!$K$4&amp;'Funnel setup'!$K$5,".",IF(A2161=".",1,A2161+1))</f>
        <v>.</v>
      </c>
      <c r="B2162" s="431" t="str">
        <f t="shared" si="33"/>
        <v>Hip Replacement PrimaryProviderUNIVERSITY HOSPITALS OF LEICESTER NHS TRUST (RWE)EQ-5D Index</v>
      </c>
      <c r="C2162" t="s">
        <v>248</v>
      </c>
      <c r="D2162" t="s">
        <v>1</v>
      </c>
      <c r="E2162" t="s">
        <v>3718</v>
      </c>
      <c r="F2162" t="s">
        <v>3719</v>
      </c>
      <c r="G2162" t="s">
        <v>52</v>
      </c>
      <c r="H2162">
        <v>438</v>
      </c>
      <c r="I2162">
        <v>0.32500000000000001</v>
      </c>
      <c r="J2162">
        <v>0.78400000000000003</v>
      </c>
      <c r="K2162">
        <v>0.45900000000000002</v>
      </c>
      <c r="L2162">
        <v>386</v>
      </c>
      <c r="M2162">
        <v>33</v>
      </c>
      <c r="N2162">
        <v>19</v>
      </c>
      <c r="O2162">
        <v>0.79100000000000004</v>
      </c>
      <c r="P2162">
        <v>0.429346534</v>
      </c>
      <c r="Q2162">
        <v>0.20799999999999999</v>
      </c>
    </row>
    <row r="2163" spans="1:17" x14ac:dyDescent="0.2">
      <c r="A2163" s="30" t="str">
        <f>IF(C2163&amp;G2163&amp;D2163&lt;&gt;'Funnel setup'!$K$3&amp;'Funnel setup'!$K$4&amp;'Funnel setup'!$K$5,".",IF(A2162=".",1,A2162+1))</f>
        <v>.</v>
      </c>
      <c r="B2163" s="431" t="str">
        <f t="shared" si="33"/>
        <v>Hip Replacement PrimaryProviderUNIVERSITY HOSPITALS OF MORECAMBE BAY NHS FOUNDATION TRUST (RTX)EQ-5D Index</v>
      </c>
      <c r="C2163" t="s">
        <v>248</v>
      </c>
      <c r="D2163" t="s">
        <v>1</v>
      </c>
      <c r="E2163" t="s">
        <v>3721</v>
      </c>
      <c r="F2163" t="s">
        <v>3722</v>
      </c>
      <c r="G2163" t="s">
        <v>52</v>
      </c>
      <c r="H2163">
        <v>264</v>
      </c>
      <c r="I2163">
        <v>0.39300000000000002</v>
      </c>
      <c r="J2163">
        <v>0.78400000000000003</v>
      </c>
      <c r="K2163">
        <v>0.39100000000000001</v>
      </c>
      <c r="L2163">
        <v>228</v>
      </c>
      <c r="M2163">
        <v>19</v>
      </c>
      <c r="N2163">
        <v>17</v>
      </c>
      <c r="O2163">
        <v>0.78</v>
      </c>
      <c r="P2163">
        <v>0.418245757</v>
      </c>
      <c r="Q2163">
        <v>0.219</v>
      </c>
    </row>
    <row r="2164" spans="1:17" x14ac:dyDescent="0.2">
      <c r="A2164" s="30" t="str">
        <f>IF(C2164&amp;G2164&amp;D2164&lt;&gt;'Funnel setup'!$K$3&amp;'Funnel setup'!$K$4&amp;'Funnel setup'!$K$5,".",IF(A2163=".",1,A2163+1))</f>
        <v>.</v>
      </c>
      <c r="B2164" s="431" t="str">
        <f t="shared" si="33"/>
        <v>Hip Replacement PrimaryProviderUNIVERSITY HOSPITALS OF NORTH MIDLANDS NHS TRUST (RJE)EQ-5D Index</v>
      </c>
      <c r="C2164" t="s">
        <v>248</v>
      </c>
      <c r="D2164" t="s">
        <v>1</v>
      </c>
      <c r="E2164" t="s">
        <v>3724</v>
      </c>
      <c r="F2164" t="s">
        <v>3725</v>
      </c>
      <c r="G2164" t="s">
        <v>52</v>
      </c>
      <c r="H2164">
        <v>211</v>
      </c>
      <c r="I2164">
        <v>0.22800000000000001</v>
      </c>
      <c r="J2164">
        <v>0.74299999999999999</v>
      </c>
      <c r="K2164">
        <v>0.51600000000000001</v>
      </c>
      <c r="L2164">
        <v>196</v>
      </c>
      <c r="M2164">
        <v>9</v>
      </c>
      <c r="N2164">
        <v>6</v>
      </c>
      <c r="O2164">
        <v>0.8</v>
      </c>
      <c r="P2164">
        <v>0.43804776899999998</v>
      </c>
      <c r="Q2164">
        <v>0.217</v>
      </c>
    </row>
    <row r="2165" spans="1:17" x14ac:dyDescent="0.2">
      <c r="A2165" s="30" t="str">
        <f>IF(C2165&amp;G2165&amp;D2165&lt;&gt;'Funnel setup'!$K$3&amp;'Funnel setup'!$K$4&amp;'Funnel setup'!$K$5,".",IF(A2164=".",1,A2164+1))</f>
        <v>.</v>
      </c>
      <c r="B2165" s="431" t="str">
        <f t="shared" si="33"/>
        <v>Hip Replacement PrimaryProviderWALSALL HEALTHCARE NHS TRUST (RBK)EQ-5D Index</v>
      </c>
      <c r="C2165" t="s">
        <v>248</v>
      </c>
      <c r="D2165" t="s">
        <v>1</v>
      </c>
      <c r="E2165" t="s">
        <v>3727</v>
      </c>
      <c r="F2165" t="s">
        <v>3728</v>
      </c>
      <c r="G2165" t="s">
        <v>52</v>
      </c>
      <c r="H2165">
        <v>84</v>
      </c>
      <c r="I2165">
        <v>0.23899999999999999</v>
      </c>
      <c r="J2165">
        <v>0.63</v>
      </c>
      <c r="K2165">
        <v>0.39100000000000001</v>
      </c>
      <c r="L2165">
        <v>70</v>
      </c>
      <c r="M2165">
        <v>5</v>
      </c>
      <c r="N2165">
        <v>9</v>
      </c>
      <c r="O2165">
        <v>0.68400000000000005</v>
      </c>
      <c r="P2165">
        <v>0.32227193399999998</v>
      </c>
      <c r="Q2165">
        <v>0.30599999999999999</v>
      </c>
    </row>
    <row r="2166" spans="1:17" x14ac:dyDescent="0.2">
      <c r="A2166" s="30" t="str">
        <f>IF(C2166&amp;G2166&amp;D2166&lt;&gt;'Funnel setup'!$K$3&amp;'Funnel setup'!$K$4&amp;'Funnel setup'!$K$5,".",IF(A2165=".",1,A2165+1))</f>
        <v>.</v>
      </c>
      <c r="B2166" s="431" t="str">
        <f t="shared" si="33"/>
        <v>Hip Replacement PrimaryProviderWARRINGTON AND HALTON HOSPITALS NHS FOUNDATION TRUST (RWW)EQ-5D Index</v>
      </c>
      <c r="C2166" t="s">
        <v>248</v>
      </c>
      <c r="D2166" t="s">
        <v>1</v>
      </c>
      <c r="E2166" t="s">
        <v>3730</v>
      </c>
      <c r="F2166" t="s">
        <v>3731</v>
      </c>
      <c r="G2166" t="s">
        <v>52</v>
      </c>
      <c r="H2166">
        <v>149</v>
      </c>
      <c r="I2166">
        <v>0.32300000000000001</v>
      </c>
      <c r="J2166">
        <v>0.75</v>
      </c>
      <c r="K2166">
        <v>0.42699999999999999</v>
      </c>
      <c r="L2166">
        <v>128</v>
      </c>
      <c r="M2166">
        <v>9</v>
      </c>
      <c r="N2166">
        <v>12</v>
      </c>
      <c r="O2166">
        <v>0.76700000000000002</v>
      </c>
      <c r="P2166">
        <v>0.40577866699999998</v>
      </c>
      <c r="Q2166">
        <v>0.245</v>
      </c>
    </row>
    <row r="2167" spans="1:17" x14ac:dyDescent="0.2">
      <c r="A2167" s="30" t="str">
        <f>IF(C2167&amp;G2167&amp;D2167&lt;&gt;'Funnel setup'!$K$3&amp;'Funnel setup'!$K$4&amp;'Funnel setup'!$K$5,".",IF(A2166=".",1,A2166+1))</f>
        <v>.</v>
      </c>
      <c r="B2167" s="431" t="str">
        <f t="shared" si="33"/>
        <v>Hip Replacement PrimaryProviderWEST HERTFORDSHIRE HOSPITALS NHS TRUST (RWG)EQ-5D Index</v>
      </c>
      <c r="C2167" t="s">
        <v>248</v>
      </c>
      <c r="D2167" t="s">
        <v>1</v>
      </c>
      <c r="E2167" t="s">
        <v>3733</v>
      </c>
      <c r="F2167" t="s">
        <v>3734</v>
      </c>
      <c r="G2167" t="s">
        <v>52</v>
      </c>
      <c r="H2167">
        <v>170</v>
      </c>
      <c r="I2167">
        <v>0.36199999999999999</v>
      </c>
      <c r="J2167">
        <v>0.81799999999999995</v>
      </c>
      <c r="K2167">
        <v>0.45600000000000002</v>
      </c>
      <c r="L2167">
        <v>151</v>
      </c>
      <c r="M2167">
        <v>10</v>
      </c>
      <c r="N2167">
        <v>9</v>
      </c>
      <c r="O2167">
        <v>0.80800000000000005</v>
      </c>
      <c r="P2167">
        <v>0.44600010699999998</v>
      </c>
      <c r="Q2167">
        <v>0.215</v>
      </c>
    </row>
    <row r="2168" spans="1:17" x14ac:dyDescent="0.2">
      <c r="A2168" s="30" t="str">
        <f>IF(C2168&amp;G2168&amp;D2168&lt;&gt;'Funnel setup'!$K$3&amp;'Funnel setup'!$K$4&amp;'Funnel setup'!$K$5,".",IF(A2167=".",1,A2167+1))</f>
        <v>.</v>
      </c>
      <c r="B2168" s="431" t="str">
        <f t="shared" si="33"/>
        <v>Hip Replacement PrimaryProviderWEST MIDDLESEX UNIVERSITY HOSPITAL NHS TRUST (RFW)EQ-5D Index</v>
      </c>
      <c r="C2168" t="s">
        <v>248</v>
      </c>
      <c r="D2168" t="s">
        <v>1</v>
      </c>
      <c r="E2168" t="s">
        <v>3736</v>
      </c>
      <c r="F2168" t="s">
        <v>3737</v>
      </c>
      <c r="G2168" t="s">
        <v>52</v>
      </c>
      <c r="H2168">
        <v>54</v>
      </c>
      <c r="I2168">
        <v>0.31</v>
      </c>
      <c r="J2168">
        <v>0.79600000000000004</v>
      </c>
      <c r="K2168">
        <v>0.48499999999999999</v>
      </c>
      <c r="L2168">
        <v>50</v>
      </c>
      <c r="M2168">
        <v>3</v>
      </c>
      <c r="N2168">
        <v>1</v>
      </c>
      <c r="O2168">
        <v>0.8</v>
      </c>
      <c r="P2168">
        <v>0.43809488299999999</v>
      </c>
      <c r="Q2168">
        <v>0.16400000000000001</v>
      </c>
    </row>
    <row r="2169" spans="1:17" x14ac:dyDescent="0.2">
      <c r="A2169" s="30" t="str">
        <f>IF(C2169&amp;G2169&amp;D2169&lt;&gt;'Funnel setup'!$K$3&amp;'Funnel setup'!$K$4&amp;'Funnel setup'!$K$5,".",IF(A2168=".",1,A2168+1))</f>
        <v>.</v>
      </c>
      <c r="B2169" s="431" t="str">
        <f t="shared" si="33"/>
        <v>Hip Replacement PrimaryProviderWEST MIDLANDS HOSPITAL (NVC21)EQ-5D Index</v>
      </c>
      <c r="C2169" t="s">
        <v>248</v>
      </c>
      <c r="D2169" t="s">
        <v>1</v>
      </c>
      <c r="E2169" t="s">
        <v>3709</v>
      </c>
      <c r="F2169" t="s">
        <v>3710</v>
      </c>
      <c r="G2169" t="s">
        <v>52</v>
      </c>
      <c r="H2169">
        <v>80</v>
      </c>
      <c r="I2169">
        <v>0.43</v>
      </c>
      <c r="J2169">
        <v>0.84199999999999997</v>
      </c>
      <c r="K2169">
        <v>0.41199999999999998</v>
      </c>
      <c r="L2169">
        <v>74</v>
      </c>
      <c r="M2169">
        <v>3</v>
      </c>
      <c r="N2169">
        <v>3</v>
      </c>
      <c r="O2169">
        <v>0.82399999999999995</v>
      </c>
      <c r="P2169">
        <v>0.46213284100000002</v>
      </c>
      <c r="Q2169">
        <v>0.155</v>
      </c>
    </row>
    <row r="2170" spans="1:17" x14ac:dyDescent="0.2">
      <c r="A2170" s="30" t="str">
        <f>IF(C2170&amp;G2170&amp;D2170&lt;&gt;'Funnel setup'!$K$3&amp;'Funnel setup'!$K$4&amp;'Funnel setup'!$K$5,".",IF(A2169=".",1,A2169+1))</f>
        <v>.</v>
      </c>
      <c r="B2170" s="431" t="str">
        <f t="shared" si="33"/>
        <v>Hip Replacement PrimaryProviderWEST SUFFOLK NHS FOUNDATION TRUST (RGR)EQ-5D Index</v>
      </c>
      <c r="C2170" t="s">
        <v>248</v>
      </c>
      <c r="D2170" t="s">
        <v>1</v>
      </c>
      <c r="E2170" t="s">
        <v>3712</v>
      </c>
      <c r="F2170" t="s">
        <v>3713</v>
      </c>
      <c r="G2170" t="s">
        <v>52</v>
      </c>
      <c r="H2170">
        <v>228</v>
      </c>
      <c r="I2170">
        <v>0.35</v>
      </c>
      <c r="J2170">
        <v>0.77600000000000002</v>
      </c>
      <c r="K2170">
        <v>0.42499999999999999</v>
      </c>
      <c r="L2170">
        <v>203</v>
      </c>
      <c r="M2170">
        <v>9</v>
      </c>
      <c r="N2170">
        <v>16</v>
      </c>
      <c r="O2170">
        <v>0.78100000000000003</v>
      </c>
      <c r="P2170">
        <v>0.41915032099999999</v>
      </c>
      <c r="Q2170">
        <v>0.248</v>
      </c>
    </row>
    <row r="2171" spans="1:17" x14ac:dyDescent="0.2">
      <c r="A2171" s="30" t="str">
        <f>IF(C2171&amp;G2171&amp;D2171&lt;&gt;'Funnel setup'!$K$3&amp;'Funnel setup'!$K$4&amp;'Funnel setup'!$K$5,".",IF(A2170=".",1,A2170+1))</f>
        <v>.</v>
      </c>
      <c r="B2171" s="431" t="str">
        <f t="shared" si="33"/>
        <v>Hip Replacement PrimaryProviderWESTERN SUSSEX HOSPITALS NHS FOUNDATION TRUST (RYR)EQ-5D Index</v>
      </c>
      <c r="C2171" t="s">
        <v>248</v>
      </c>
      <c r="D2171" t="s">
        <v>1</v>
      </c>
      <c r="E2171" t="s">
        <v>3706</v>
      </c>
      <c r="F2171" t="s">
        <v>3707</v>
      </c>
      <c r="G2171" t="s">
        <v>52</v>
      </c>
      <c r="H2171">
        <v>312</v>
      </c>
      <c r="I2171">
        <v>0.34200000000000003</v>
      </c>
      <c r="J2171">
        <v>0.77700000000000002</v>
      </c>
      <c r="K2171">
        <v>0.435</v>
      </c>
      <c r="L2171">
        <v>270</v>
      </c>
      <c r="M2171">
        <v>22</v>
      </c>
      <c r="N2171">
        <v>20</v>
      </c>
      <c r="O2171">
        <v>0.78600000000000003</v>
      </c>
      <c r="P2171">
        <v>0.42401603799999998</v>
      </c>
      <c r="Q2171">
        <v>0.21299999999999999</v>
      </c>
    </row>
    <row r="2172" spans="1:17" x14ac:dyDescent="0.2">
      <c r="A2172" s="30" t="str">
        <f>IF(C2172&amp;G2172&amp;D2172&lt;&gt;'Funnel setup'!$K$3&amp;'Funnel setup'!$K$4&amp;'Funnel setup'!$K$5,".",IF(A2171=".",1,A2171+1))</f>
        <v>.</v>
      </c>
      <c r="B2172" s="431" t="str">
        <f t="shared" si="33"/>
        <v>Hip Replacement PrimaryProviderWESTON AREA HEALTH NHS TRUST (RA3)EQ-5D Index</v>
      </c>
      <c r="C2172" t="s">
        <v>248</v>
      </c>
      <c r="D2172" t="s">
        <v>1</v>
      </c>
      <c r="E2172" t="s">
        <v>3525</v>
      </c>
      <c r="F2172" t="s">
        <v>3526</v>
      </c>
      <c r="G2172" t="s">
        <v>52</v>
      </c>
      <c r="H2172">
        <v>95</v>
      </c>
      <c r="I2172">
        <v>0.37</v>
      </c>
      <c r="J2172">
        <v>0.76600000000000001</v>
      </c>
      <c r="K2172">
        <v>0.39600000000000002</v>
      </c>
      <c r="L2172">
        <v>85</v>
      </c>
      <c r="M2172">
        <v>4</v>
      </c>
      <c r="N2172">
        <v>6</v>
      </c>
      <c r="O2172">
        <v>0.76700000000000002</v>
      </c>
      <c r="P2172">
        <v>0.404958661</v>
      </c>
      <c r="Q2172">
        <v>0.24</v>
      </c>
    </row>
    <row r="2173" spans="1:17" x14ac:dyDescent="0.2">
      <c r="A2173" s="30" t="str">
        <f>IF(C2173&amp;G2173&amp;D2173&lt;&gt;'Funnel setup'!$K$3&amp;'Funnel setup'!$K$4&amp;'Funnel setup'!$K$5,".",IF(A2172=".",1,A2172+1))</f>
        <v>.</v>
      </c>
      <c r="B2173" s="431" t="str">
        <f t="shared" si="33"/>
        <v>Hip Replacement PrimaryProviderWINFIELD HOSPITAL (NVC22)EQ-5D Index</v>
      </c>
      <c r="C2173" t="s">
        <v>248</v>
      </c>
      <c r="D2173" t="s">
        <v>1</v>
      </c>
      <c r="E2173" t="s">
        <v>3534</v>
      </c>
      <c r="F2173" t="s">
        <v>3535</v>
      </c>
      <c r="G2173" t="s">
        <v>52</v>
      </c>
      <c r="H2173">
        <v>80</v>
      </c>
      <c r="I2173">
        <v>0.41199999999999998</v>
      </c>
      <c r="J2173">
        <v>0.84</v>
      </c>
      <c r="K2173">
        <v>0.42799999999999999</v>
      </c>
      <c r="L2173">
        <v>70</v>
      </c>
      <c r="M2173">
        <v>5</v>
      </c>
      <c r="N2173">
        <v>5</v>
      </c>
      <c r="O2173">
        <v>0.80500000000000005</v>
      </c>
      <c r="P2173">
        <v>0.44319356999999998</v>
      </c>
      <c r="Q2173">
        <v>0.214</v>
      </c>
    </row>
    <row r="2174" spans="1:17" x14ac:dyDescent="0.2">
      <c r="A2174" s="30" t="str">
        <f>IF(C2174&amp;G2174&amp;D2174&lt;&gt;'Funnel setup'!$K$3&amp;'Funnel setup'!$K$4&amp;'Funnel setup'!$K$5,".",IF(A2173=".",1,A2173+1))</f>
        <v>.</v>
      </c>
      <c r="B2174" s="431" t="str">
        <f t="shared" si="33"/>
        <v>Hip Replacement PrimaryProviderWIRRAL UNIVERSITY TEACHING HOSPITAL NHS FOUNDATION TRUST (RBL)EQ-5D Index</v>
      </c>
      <c r="C2174" t="s">
        <v>248</v>
      </c>
      <c r="D2174" t="s">
        <v>1</v>
      </c>
      <c r="E2174" t="s">
        <v>3537</v>
      </c>
      <c r="F2174" t="s">
        <v>3538</v>
      </c>
      <c r="G2174" t="s">
        <v>52</v>
      </c>
      <c r="H2174">
        <v>253</v>
      </c>
      <c r="I2174">
        <v>0.36399999999999999</v>
      </c>
      <c r="J2174">
        <v>0.73899999999999999</v>
      </c>
      <c r="K2174">
        <v>0.374</v>
      </c>
      <c r="L2174">
        <v>211</v>
      </c>
      <c r="M2174">
        <v>20</v>
      </c>
      <c r="N2174">
        <v>22</v>
      </c>
      <c r="O2174">
        <v>0.75700000000000001</v>
      </c>
      <c r="P2174">
        <v>0.39575027000000002</v>
      </c>
      <c r="Q2174">
        <v>0.23</v>
      </c>
    </row>
    <row r="2175" spans="1:17" x14ac:dyDescent="0.2">
      <c r="A2175" s="30" t="str">
        <f>IF(C2175&amp;G2175&amp;D2175&lt;&gt;'Funnel setup'!$K$3&amp;'Funnel setup'!$K$4&amp;'Funnel setup'!$K$5,".",IF(A2174=".",1,A2174+1))</f>
        <v>.</v>
      </c>
      <c r="B2175" s="431" t="str">
        <f t="shared" si="33"/>
        <v>Hip Replacement PrimaryProviderWOODLAND HOSPITAL (NVC23)EQ-5D Index</v>
      </c>
      <c r="C2175" t="s">
        <v>248</v>
      </c>
      <c r="D2175" t="s">
        <v>1</v>
      </c>
      <c r="E2175" t="s">
        <v>3540</v>
      </c>
      <c r="F2175" t="s">
        <v>3541</v>
      </c>
      <c r="G2175" t="s">
        <v>52</v>
      </c>
      <c r="H2175">
        <v>128</v>
      </c>
      <c r="I2175">
        <v>0.27</v>
      </c>
      <c r="J2175">
        <v>0.78700000000000003</v>
      </c>
      <c r="K2175">
        <v>0.51700000000000002</v>
      </c>
      <c r="L2175">
        <v>116</v>
      </c>
      <c r="M2175">
        <v>4</v>
      </c>
      <c r="N2175">
        <v>8</v>
      </c>
      <c r="O2175">
        <v>0.80300000000000005</v>
      </c>
      <c r="P2175">
        <v>0.44169750600000002</v>
      </c>
      <c r="Q2175">
        <v>0.23100000000000001</v>
      </c>
    </row>
    <row r="2176" spans="1:17" x14ac:dyDescent="0.2">
      <c r="A2176" s="30" t="str">
        <f>IF(C2176&amp;G2176&amp;D2176&lt;&gt;'Funnel setup'!$K$3&amp;'Funnel setup'!$K$4&amp;'Funnel setup'!$K$5,".",IF(A2175=".",1,A2175+1))</f>
        <v>.</v>
      </c>
      <c r="B2176" s="431" t="str">
        <f t="shared" si="33"/>
        <v>Hip Replacement PrimaryProviderWOODTHORPE HOSPITAL (NVC40)EQ-5D Index</v>
      </c>
      <c r="C2176" t="s">
        <v>248</v>
      </c>
      <c r="D2176" t="s">
        <v>1</v>
      </c>
      <c r="E2176" t="s">
        <v>3689</v>
      </c>
      <c r="F2176" t="s">
        <v>6576</v>
      </c>
      <c r="G2176" t="s">
        <v>52</v>
      </c>
      <c r="H2176">
        <v>136</v>
      </c>
      <c r="I2176">
        <v>0.40899999999999997</v>
      </c>
      <c r="J2176">
        <v>0.81899999999999995</v>
      </c>
      <c r="K2176">
        <v>0.41</v>
      </c>
      <c r="L2176">
        <v>122</v>
      </c>
      <c r="M2176">
        <v>7</v>
      </c>
      <c r="N2176">
        <v>7</v>
      </c>
      <c r="O2176">
        <v>0.78800000000000003</v>
      </c>
      <c r="P2176">
        <v>0.42606619499999998</v>
      </c>
      <c r="Q2176">
        <v>0.188</v>
      </c>
    </row>
    <row r="2177" spans="1:17" x14ac:dyDescent="0.2">
      <c r="A2177" s="30" t="str">
        <f>IF(C2177&amp;G2177&amp;D2177&lt;&gt;'Funnel setup'!$K$3&amp;'Funnel setup'!$K$4&amp;'Funnel setup'!$K$5,".",IF(A2176=".",1,A2176+1))</f>
        <v>.</v>
      </c>
      <c r="B2177" s="431" t="str">
        <f t="shared" si="33"/>
        <v>Hip Replacement PrimaryProviderWORCESTERSHIRE ACUTE HOSPITALS NHS TRUST (RWP)EQ-5D Index</v>
      </c>
      <c r="C2177" t="s">
        <v>248</v>
      </c>
      <c r="D2177" t="s">
        <v>1</v>
      </c>
      <c r="E2177" t="s">
        <v>3543</v>
      </c>
      <c r="F2177" t="s">
        <v>3544</v>
      </c>
      <c r="G2177" t="s">
        <v>52</v>
      </c>
      <c r="H2177">
        <v>282</v>
      </c>
      <c r="I2177">
        <v>0.33300000000000002</v>
      </c>
      <c r="J2177">
        <v>0.81200000000000006</v>
      </c>
      <c r="K2177">
        <v>0.47899999999999998</v>
      </c>
      <c r="L2177">
        <v>268</v>
      </c>
      <c r="M2177">
        <v>8</v>
      </c>
      <c r="N2177">
        <v>6</v>
      </c>
      <c r="O2177">
        <v>0.82199999999999995</v>
      </c>
      <c r="P2177">
        <v>0.46047863300000003</v>
      </c>
      <c r="Q2177">
        <v>0.20499999999999999</v>
      </c>
    </row>
    <row r="2178" spans="1:17" x14ac:dyDescent="0.2">
      <c r="A2178" s="30" t="str">
        <f>IF(C2178&amp;G2178&amp;D2178&lt;&gt;'Funnel setup'!$K$3&amp;'Funnel setup'!$K$4&amp;'Funnel setup'!$K$5,".",IF(A2177=".",1,A2177+1))</f>
        <v>.</v>
      </c>
      <c r="B2178" s="431" t="str">
        <f t="shared" si="33"/>
        <v>Hip Replacement PrimaryProviderWRIGHTINGTON, WIGAN AND LEIGH NHS FOUNDATION TRUST (RRF)EQ-5D Index</v>
      </c>
      <c r="C2178" t="s">
        <v>248</v>
      </c>
      <c r="D2178" t="s">
        <v>1</v>
      </c>
      <c r="E2178" t="s">
        <v>3546</v>
      </c>
      <c r="F2178" t="s">
        <v>3547</v>
      </c>
      <c r="G2178" t="s">
        <v>52</v>
      </c>
      <c r="H2178">
        <v>243</v>
      </c>
      <c r="I2178">
        <v>0.36099999999999999</v>
      </c>
      <c r="J2178">
        <v>0.81</v>
      </c>
      <c r="K2178">
        <v>0.44900000000000001</v>
      </c>
      <c r="L2178">
        <v>224</v>
      </c>
      <c r="M2178">
        <v>9</v>
      </c>
      <c r="N2178">
        <v>10</v>
      </c>
      <c r="O2178">
        <v>0.81599999999999995</v>
      </c>
      <c r="P2178">
        <v>0.454038687</v>
      </c>
      <c r="Q2178">
        <v>0.21099999999999999</v>
      </c>
    </row>
    <row r="2179" spans="1:17" x14ac:dyDescent="0.2">
      <c r="A2179" s="30" t="str">
        <f>IF(C2179&amp;G2179&amp;D2179&lt;&gt;'Funnel setup'!$K$3&amp;'Funnel setup'!$K$4&amp;'Funnel setup'!$K$5,".",IF(A2178=".",1,A2178+1))</f>
        <v>.</v>
      </c>
      <c r="B2179" s="431" t="str">
        <f t="shared" ref="B2179:B2242" si="34">C2179&amp;D2179&amp;F2179&amp;G2179</f>
        <v>Hip Replacement PrimaryProviderWYE VALLEY NHS TRUST (RLQ)EQ-5D Index</v>
      </c>
      <c r="C2179" t="s">
        <v>248</v>
      </c>
      <c r="D2179" t="s">
        <v>1</v>
      </c>
      <c r="E2179" t="s">
        <v>3517</v>
      </c>
      <c r="F2179" t="s">
        <v>3518</v>
      </c>
      <c r="G2179" t="s">
        <v>52</v>
      </c>
      <c r="H2179">
        <v>103</v>
      </c>
      <c r="I2179">
        <v>0.32900000000000001</v>
      </c>
      <c r="J2179">
        <v>0.85</v>
      </c>
      <c r="K2179">
        <v>0.52100000000000002</v>
      </c>
      <c r="L2179">
        <v>99</v>
      </c>
      <c r="M2179">
        <v>3</v>
      </c>
      <c r="N2179">
        <v>1</v>
      </c>
      <c r="O2179">
        <v>0.84899999999999998</v>
      </c>
      <c r="P2179">
        <v>0.48746887700000002</v>
      </c>
      <c r="Q2179">
        <v>0.191</v>
      </c>
    </row>
    <row r="2180" spans="1:17" x14ac:dyDescent="0.2">
      <c r="A2180" s="30" t="str">
        <f>IF(C2180&amp;G2180&amp;D2180&lt;&gt;'Funnel setup'!$K$3&amp;'Funnel setup'!$K$4&amp;'Funnel setup'!$K$5,".",IF(A2179=".",1,A2179+1))</f>
        <v>.</v>
      </c>
      <c r="B2180" s="431" t="str">
        <f t="shared" si="34"/>
        <v>Hip Replacement PrimaryProviderYEOVIL DISTRICT HOSPITAL NHS FOUNDATION TRUST (RA4)EQ-5D Index</v>
      </c>
      <c r="C2180" t="s">
        <v>248</v>
      </c>
      <c r="D2180" t="s">
        <v>1</v>
      </c>
      <c r="E2180" t="s">
        <v>3520</v>
      </c>
      <c r="F2180" t="s">
        <v>341</v>
      </c>
      <c r="G2180" t="s">
        <v>52</v>
      </c>
      <c r="H2180">
        <v>73</v>
      </c>
      <c r="I2180">
        <v>0.40300000000000002</v>
      </c>
      <c r="J2180">
        <v>0.84399999999999997</v>
      </c>
      <c r="K2180">
        <v>0.44</v>
      </c>
      <c r="L2180">
        <v>69</v>
      </c>
      <c r="M2180">
        <v>3</v>
      </c>
      <c r="N2180">
        <v>1</v>
      </c>
      <c r="O2180">
        <v>0.82</v>
      </c>
      <c r="P2180">
        <v>0.45830694</v>
      </c>
      <c r="Q2180">
        <v>0.21299999999999999</v>
      </c>
    </row>
    <row r="2181" spans="1:17" x14ac:dyDescent="0.2">
      <c r="A2181" s="30" t="str">
        <f>IF(C2181&amp;G2181&amp;D2181&lt;&gt;'Funnel setup'!$K$3&amp;'Funnel setup'!$K$4&amp;'Funnel setup'!$K$5,".",IF(A2180=".",1,A2180+1))</f>
        <v>.</v>
      </c>
      <c r="B2181" s="431" t="str">
        <f t="shared" si="34"/>
        <v>Hip Replacement PrimaryProviderYORK TEACHING HOSPITAL NHS FOUNDATION TRUST (RCB)EQ-5D Index</v>
      </c>
      <c r="C2181" t="s">
        <v>248</v>
      </c>
      <c r="D2181" t="s">
        <v>1</v>
      </c>
      <c r="E2181" t="s">
        <v>3515</v>
      </c>
      <c r="F2181" t="s">
        <v>343</v>
      </c>
      <c r="G2181" t="s">
        <v>52</v>
      </c>
      <c r="H2181">
        <v>306</v>
      </c>
      <c r="I2181">
        <v>0.312</v>
      </c>
      <c r="J2181">
        <v>0.78700000000000003</v>
      </c>
      <c r="K2181">
        <v>0.47399999999999998</v>
      </c>
      <c r="L2181">
        <v>273</v>
      </c>
      <c r="M2181">
        <v>16</v>
      </c>
      <c r="N2181">
        <v>17</v>
      </c>
      <c r="O2181">
        <v>0.80300000000000005</v>
      </c>
      <c r="P2181">
        <v>0.44105777099999999</v>
      </c>
      <c r="Q2181">
        <v>0.22900000000000001</v>
      </c>
    </row>
    <row r="2182" spans="1:17" x14ac:dyDescent="0.2">
      <c r="A2182" s="30" t="str">
        <f>IF(C2182&amp;G2182&amp;D2182&lt;&gt;'Funnel setup'!$K$3&amp;'Funnel setup'!$K$4&amp;'Funnel setup'!$K$5,".",IF(A2181=".",1,A2181+1))</f>
        <v>.</v>
      </c>
      <c r="B2182" s="431" t="str">
        <f t="shared" si="34"/>
        <v>Hip Replacement PrimaryProviderAINTREE UNIVERSITY HOSPITAL NHS FOUNDATION TRUST (REM)Oxford Hip Score</v>
      </c>
      <c r="C2182" t="s">
        <v>248</v>
      </c>
      <c r="D2182" t="s">
        <v>1</v>
      </c>
      <c r="E2182" t="s">
        <v>3838</v>
      </c>
      <c r="F2182" t="s">
        <v>3839</v>
      </c>
      <c r="G2182" t="s">
        <v>14</v>
      </c>
      <c r="H2182">
        <v>123</v>
      </c>
      <c r="I2182">
        <v>15.699</v>
      </c>
      <c r="J2182">
        <v>35.771999999999998</v>
      </c>
      <c r="K2182">
        <v>20.073</v>
      </c>
      <c r="L2182">
        <v>122</v>
      </c>
      <c r="M2182">
        <v>0</v>
      </c>
      <c r="N2182">
        <v>1</v>
      </c>
      <c r="O2182">
        <v>38.22</v>
      </c>
      <c r="P2182">
        <v>20.01539373</v>
      </c>
      <c r="Q2182">
        <v>8.9879999999999995</v>
      </c>
    </row>
    <row r="2183" spans="1:17" x14ac:dyDescent="0.2">
      <c r="A2183" s="30" t="str">
        <f>IF(C2183&amp;G2183&amp;D2183&lt;&gt;'Funnel setup'!$K$3&amp;'Funnel setup'!$K$4&amp;'Funnel setup'!$K$5,".",IF(A2182=".",1,A2182+1))</f>
        <v>.</v>
      </c>
      <c r="B2183" s="431" t="str">
        <f t="shared" si="34"/>
        <v>Hip Replacement PrimaryProviderAIREDALE NHS FOUNDATION TRUST (RCF)Oxford Hip Score</v>
      </c>
      <c r="C2183" t="s">
        <v>248</v>
      </c>
      <c r="D2183" t="s">
        <v>1</v>
      </c>
      <c r="E2183" t="s">
        <v>3841</v>
      </c>
      <c r="F2183" t="s">
        <v>3842</v>
      </c>
      <c r="G2183" t="s">
        <v>14</v>
      </c>
      <c r="H2183">
        <v>159</v>
      </c>
      <c r="I2183">
        <v>19.138000000000002</v>
      </c>
      <c r="J2183">
        <v>39.692</v>
      </c>
      <c r="K2183">
        <v>20.553000000000001</v>
      </c>
      <c r="L2183">
        <v>153</v>
      </c>
      <c r="M2183">
        <v>1</v>
      </c>
      <c r="N2183">
        <v>5</v>
      </c>
      <c r="O2183">
        <v>39.615000000000002</v>
      </c>
      <c r="P2183">
        <v>21.410447009999999</v>
      </c>
      <c r="Q2183">
        <v>7.5149999999999997</v>
      </c>
    </row>
    <row r="2184" spans="1:17" x14ac:dyDescent="0.2">
      <c r="A2184" s="30" t="str">
        <f>IF(C2184&amp;G2184&amp;D2184&lt;&gt;'Funnel setup'!$K$3&amp;'Funnel setup'!$K$4&amp;'Funnel setup'!$K$5,".",IF(A2183=".",1,A2183+1))</f>
        <v>.</v>
      </c>
      <c r="B2184" s="431" t="str">
        <f t="shared" si="34"/>
        <v>Hip Replacement PrimaryProviderASHFORD AND ST PETER'S HOSPITALS NHS FOUNDATION TRUST (RTK)Oxford Hip Score</v>
      </c>
      <c r="C2184" t="s">
        <v>248</v>
      </c>
      <c r="D2184" t="s">
        <v>1</v>
      </c>
      <c r="E2184" t="s">
        <v>3844</v>
      </c>
      <c r="F2184" t="s">
        <v>345</v>
      </c>
      <c r="G2184" t="s">
        <v>14</v>
      </c>
      <c r="H2184">
        <v>261</v>
      </c>
      <c r="I2184">
        <v>20.199000000000002</v>
      </c>
      <c r="J2184">
        <v>40.390999999999998</v>
      </c>
      <c r="K2184">
        <v>20.192</v>
      </c>
      <c r="L2184">
        <v>256</v>
      </c>
      <c r="M2184">
        <v>0</v>
      </c>
      <c r="N2184">
        <v>5</v>
      </c>
      <c r="O2184">
        <v>39.448999999999998</v>
      </c>
      <c r="P2184">
        <v>21.244876269999999</v>
      </c>
      <c r="Q2184">
        <v>7.06</v>
      </c>
    </row>
    <row r="2185" spans="1:17" x14ac:dyDescent="0.2">
      <c r="A2185" s="30" t="str">
        <f>IF(C2185&amp;G2185&amp;D2185&lt;&gt;'Funnel setup'!$K$3&amp;'Funnel setup'!$K$4&amp;'Funnel setup'!$K$5,".",IF(A2184=".",1,A2184+1))</f>
        <v>.</v>
      </c>
      <c r="B2185" s="431" t="str">
        <f t="shared" si="34"/>
        <v>Hip Replacement PrimaryProviderASHTEAD HOSPITAL (NVC01)Oxford Hip Score</v>
      </c>
      <c r="C2185" t="s">
        <v>248</v>
      </c>
      <c r="D2185" t="s">
        <v>1</v>
      </c>
      <c r="E2185" t="s">
        <v>3846</v>
      </c>
      <c r="F2185" t="s">
        <v>3847</v>
      </c>
      <c r="G2185" t="s">
        <v>14</v>
      </c>
      <c r="H2185">
        <v>61</v>
      </c>
      <c r="I2185">
        <v>19.966999999999999</v>
      </c>
      <c r="J2185">
        <v>40.869</v>
      </c>
      <c r="K2185">
        <v>20.902000000000001</v>
      </c>
      <c r="L2185">
        <v>58</v>
      </c>
      <c r="M2185">
        <v>0</v>
      </c>
      <c r="N2185">
        <v>3</v>
      </c>
      <c r="O2185">
        <v>39.121000000000002</v>
      </c>
      <c r="P2185">
        <v>20.91620095</v>
      </c>
      <c r="Q2185">
        <v>7.5990000000000002</v>
      </c>
    </row>
    <row r="2186" spans="1:17" x14ac:dyDescent="0.2">
      <c r="A2186" s="30" t="str">
        <f>IF(C2186&amp;G2186&amp;D2186&lt;&gt;'Funnel setup'!$K$3&amp;'Funnel setup'!$K$4&amp;'Funnel setup'!$K$5,".",IF(A2185=".",1,A2185+1))</f>
        <v>.</v>
      </c>
      <c r="B2186" s="431" t="str">
        <f t="shared" si="34"/>
        <v>Hip Replacement PrimaryProviderASPEN - CLAREMONT HOSPITAL (NYW04)Oxford Hip Score</v>
      </c>
      <c r="C2186" t="s">
        <v>248</v>
      </c>
      <c r="D2186" t="s">
        <v>1</v>
      </c>
      <c r="E2186" t="s">
        <v>3500</v>
      </c>
      <c r="F2186" t="s">
        <v>3501</v>
      </c>
      <c r="G2186" t="s">
        <v>14</v>
      </c>
      <c r="H2186">
        <v>71</v>
      </c>
      <c r="I2186">
        <v>18.393999999999998</v>
      </c>
      <c r="J2186">
        <v>41.521000000000001</v>
      </c>
      <c r="K2186">
        <v>23.126999999999999</v>
      </c>
      <c r="L2186">
        <v>71</v>
      </c>
      <c r="M2186">
        <v>0</v>
      </c>
      <c r="N2186">
        <v>0</v>
      </c>
      <c r="O2186">
        <v>40.948999999999998</v>
      </c>
      <c r="P2186">
        <v>22.744575810000001</v>
      </c>
      <c r="Q2186">
        <v>6.06</v>
      </c>
    </row>
    <row r="2187" spans="1:17" x14ac:dyDescent="0.2">
      <c r="A2187" s="30" t="str">
        <f>IF(C2187&amp;G2187&amp;D2187&lt;&gt;'Funnel setup'!$K$3&amp;'Funnel setup'!$K$4&amp;'Funnel setup'!$K$5,".",IF(A2186=".",1,A2186+1))</f>
        <v>.</v>
      </c>
      <c r="B2187" s="431" t="str">
        <f t="shared" si="34"/>
        <v>Hip Replacement PrimaryProviderASPEN - HOLLY HOUSE HOSPITAL (NYW01)Oxford Hip Score</v>
      </c>
      <c r="C2187" t="s">
        <v>248</v>
      </c>
      <c r="D2187" t="s">
        <v>1</v>
      </c>
      <c r="E2187" t="s">
        <v>3506</v>
      </c>
      <c r="F2187" t="s">
        <v>3507</v>
      </c>
      <c r="G2187" t="s">
        <v>14</v>
      </c>
      <c r="H2187">
        <v>22</v>
      </c>
      <c r="I2187">
        <v>18.545000000000002</v>
      </c>
      <c r="J2187">
        <v>38.136000000000003</v>
      </c>
      <c r="K2187">
        <v>19.591000000000001</v>
      </c>
      <c r="L2187">
        <v>21</v>
      </c>
      <c r="M2187">
        <v>0</v>
      </c>
      <c r="N2187">
        <v>1</v>
      </c>
      <c r="O2187" t="s">
        <v>53</v>
      </c>
      <c r="P2187" t="s">
        <v>53</v>
      </c>
      <c r="Q2187" t="s">
        <v>53</v>
      </c>
    </row>
    <row r="2188" spans="1:17" x14ac:dyDescent="0.2">
      <c r="A2188" s="30" t="str">
        <f>IF(C2188&amp;G2188&amp;D2188&lt;&gt;'Funnel setup'!$K$3&amp;'Funnel setup'!$K$4&amp;'Funnel setup'!$K$5,".",IF(A2187=".",1,A2187+1))</f>
        <v>.</v>
      </c>
      <c r="B2188" s="431" t="str">
        <f t="shared" si="34"/>
        <v>Hip Replacement PrimaryProviderBARKING, HAVERING AND REDBRIDGE UNIVERSITY HOSPITALS NHS TRUST (RF4)Oxford Hip Score</v>
      </c>
      <c r="C2188" t="s">
        <v>248</v>
      </c>
      <c r="D2188" t="s">
        <v>1</v>
      </c>
      <c r="E2188" t="s">
        <v>3509</v>
      </c>
      <c r="F2188" t="s">
        <v>3510</v>
      </c>
      <c r="G2188" t="s">
        <v>14</v>
      </c>
      <c r="H2188">
        <v>58</v>
      </c>
      <c r="I2188">
        <v>13.086</v>
      </c>
      <c r="J2188">
        <v>35.328000000000003</v>
      </c>
      <c r="K2188">
        <v>22.241</v>
      </c>
      <c r="L2188">
        <v>57</v>
      </c>
      <c r="M2188">
        <v>0</v>
      </c>
      <c r="N2188">
        <v>1</v>
      </c>
      <c r="O2188">
        <v>38.576000000000001</v>
      </c>
      <c r="P2188">
        <v>20.37139917</v>
      </c>
      <c r="Q2188">
        <v>7.6559999999999997</v>
      </c>
    </row>
    <row r="2189" spans="1:17" x14ac:dyDescent="0.2">
      <c r="A2189" s="30" t="str">
        <f>IF(C2189&amp;G2189&amp;D2189&lt;&gt;'Funnel setup'!$K$3&amp;'Funnel setup'!$K$4&amp;'Funnel setup'!$K$5,".",IF(A2188=".",1,A2188+1))</f>
        <v>.</v>
      </c>
      <c r="B2189" s="431" t="str">
        <f t="shared" si="34"/>
        <v>Hip Replacement PrimaryProviderBARLBOROUGH NHS TREATMENT CENTRE (NTP13)Oxford Hip Score</v>
      </c>
      <c r="C2189" t="s">
        <v>248</v>
      </c>
      <c r="D2189" t="s">
        <v>1</v>
      </c>
      <c r="E2189" t="s">
        <v>4425</v>
      </c>
      <c r="F2189" t="s">
        <v>4426</v>
      </c>
      <c r="G2189" t="s">
        <v>14</v>
      </c>
      <c r="H2189">
        <v>396</v>
      </c>
      <c r="I2189">
        <v>17.439</v>
      </c>
      <c r="J2189">
        <v>41.061</v>
      </c>
      <c r="K2189">
        <v>23.620999999999999</v>
      </c>
      <c r="L2189">
        <v>386</v>
      </c>
      <c r="M2189">
        <v>2</v>
      </c>
      <c r="N2189">
        <v>8</v>
      </c>
      <c r="O2189">
        <v>40.765000000000001</v>
      </c>
      <c r="P2189">
        <v>22.560898430000002</v>
      </c>
      <c r="Q2189">
        <v>7.29</v>
      </c>
    </row>
    <row r="2190" spans="1:17" x14ac:dyDescent="0.2">
      <c r="A2190" s="30" t="str">
        <f>IF(C2190&amp;G2190&amp;D2190&lt;&gt;'Funnel setup'!$K$3&amp;'Funnel setup'!$K$4&amp;'Funnel setup'!$K$5,".",IF(A2189=".",1,A2189+1))</f>
        <v>.</v>
      </c>
      <c r="B2190" s="431" t="str">
        <f t="shared" si="34"/>
        <v>Hip Replacement PrimaryProviderBARNSLEY HOSPITAL NHS FOUNDATION TRUST (RFF)Oxford Hip Score</v>
      </c>
      <c r="C2190" t="s">
        <v>248</v>
      </c>
      <c r="D2190" t="s">
        <v>1</v>
      </c>
      <c r="E2190" t="s">
        <v>3549</v>
      </c>
      <c r="F2190" t="s">
        <v>3550</v>
      </c>
      <c r="G2190" t="s">
        <v>14</v>
      </c>
      <c r="H2190">
        <v>105</v>
      </c>
      <c r="I2190">
        <v>16.332999999999998</v>
      </c>
      <c r="J2190">
        <v>35.6</v>
      </c>
      <c r="K2190">
        <v>19.266999999999999</v>
      </c>
      <c r="L2190">
        <v>101</v>
      </c>
      <c r="M2190">
        <v>1</v>
      </c>
      <c r="N2190">
        <v>3</v>
      </c>
      <c r="O2190">
        <v>36.853000000000002</v>
      </c>
      <c r="P2190">
        <v>18.648679009999999</v>
      </c>
      <c r="Q2190">
        <v>8.952</v>
      </c>
    </row>
    <row r="2191" spans="1:17" x14ac:dyDescent="0.2">
      <c r="A2191" s="30" t="str">
        <f>IF(C2191&amp;G2191&amp;D2191&lt;&gt;'Funnel setup'!$K$3&amp;'Funnel setup'!$K$4&amp;'Funnel setup'!$K$5,".",IF(A2190=".",1,A2190+1))</f>
        <v>.</v>
      </c>
      <c r="B2191" s="431" t="str">
        <f t="shared" si="34"/>
        <v>Hip Replacement PrimaryProviderBARTS HEALTH NHS TRUST (R1H)Oxford Hip Score</v>
      </c>
      <c r="C2191" t="s">
        <v>248</v>
      </c>
      <c r="D2191" t="s">
        <v>1</v>
      </c>
      <c r="E2191" t="s">
        <v>3552</v>
      </c>
      <c r="F2191" t="s">
        <v>3553</v>
      </c>
      <c r="G2191" t="s">
        <v>14</v>
      </c>
      <c r="H2191">
        <v>147</v>
      </c>
      <c r="I2191">
        <v>15.298999999999999</v>
      </c>
      <c r="J2191">
        <v>36.218000000000004</v>
      </c>
      <c r="K2191">
        <v>20.917999999999999</v>
      </c>
      <c r="L2191">
        <v>139</v>
      </c>
      <c r="M2191">
        <v>1</v>
      </c>
      <c r="N2191">
        <v>7</v>
      </c>
      <c r="O2191">
        <v>39.091999999999999</v>
      </c>
      <c r="P2191">
        <v>20.887673299999999</v>
      </c>
      <c r="Q2191">
        <v>9.8740000000000006</v>
      </c>
    </row>
    <row r="2192" spans="1:17" x14ac:dyDescent="0.2">
      <c r="A2192" s="30" t="str">
        <f>IF(C2192&amp;G2192&amp;D2192&lt;&gt;'Funnel setup'!$K$3&amp;'Funnel setup'!$K$4&amp;'Funnel setup'!$K$5,".",IF(A2191=".",1,A2191+1))</f>
        <v>.</v>
      </c>
      <c r="B2192" s="431" t="str">
        <f t="shared" si="34"/>
        <v>Hip Replacement PrimaryProviderBASILDON AND THURROCK UNIVERSITY HOSPITALS NHS FOUNDATION TRUST (RDD)Oxford Hip Score</v>
      </c>
      <c r="C2192" t="s">
        <v>248</v>
      </c>
      <c r="D2192" t="s">
        <v>1</v>
      </c>
      <c r="E2192" t="s">
        <v>3555</v>
      </c>
      <c r="F2192" t="s">
        <v>3556</v>
      </c>
      <c r="G2192" t="s">
        <v>14</v>
      </c>
      <c r="H2192">
        <v>120</v>
      </c>
      <c r="I2192">
        <v>14.907999999999999</v>
      </c>
      <c r="J2192">
        <v>38.457999999999998</v>
      </c>
      <c r="K2192">
        <v>23.55</v>
      </c>
      <c r="L2192">
        <v>119</v>
      </c>
      <c r="M2192">
        <v>0</v>
      </c>
      <c r="N2192">
        <v>1</v>
      </c>
      <c r="O2192">
        <v>39.951999999999998</v>
      </c>
      <c r="P2192">
        <v>21.74715114</v>
      </c>
      <c r="Q2192">
        <v>8.0020000000000007</v>
      </c>
    </row>
    <row r="2193" spans="1:17" x14ac:dyDescent="0.2">
      <c r="A2193" s="30" t="str">
        <f>IF(C2193&amp;G2193&amp;D2193&lt;&gt;'Funnel setup'!$K$3&amp;'Funnel setup'!$K$4&amp;'Funnel setup'!$K$5,".",IF(A2192=".",1,A2192+1))</f>
        <v>.</v>
      </c>
      <c r="B2193" s="431" t="str">
        <f t="shared" si="34"/>
        <v>Hip Replacement PrimaryProviderBEDFORD HOSPITAL NHS TRUST (RC1)Oxford Hip Score</v>
      </c>
      <c r="C2193" t="s">
        <v>248</v>
      </c>
      <c r="D2193" t="s">
        <v>1</v>
      </c>
      <c r="E2193" t="s">
        <v>3558</v>
      </c>
      <c r="F2193" t="s">
        <v>3559</v>
      </c>
      <c r="G2193" t="s">
        <v>14</v>
      </c>
      <c r="H2193">
        <v>133</v>
      </c>
      <c r="I2193">
        <v>18.241</v>
      </c>
      <c r="J2193">
        <v>39.585999999999999</v>
      </c>
      <c r="K2193">
        <v>21.346</v>
      </c>
      <c r="L2193">
        <v>132</v>
      </c>
      <c r="M2193">
        <v>0</v>
      </c>
      <c r="N2193">
        <v>1</v>
      </c>
      <c r="O2193">
        <v>39.475000000000001</v>
      </c>
      <c r="P2193">
        <v>21.270695960000001</v>
      </c>
      <c r="Q2193">
        <v>7.2930000000000001</v>
      </c>
    </row>
    <row r="2194" spans="1:17" x14ac:dyDescent="0.2">
      <c r="A2194" s="30" t="str">
        <f>IF(C2194&amp;G2194&amp;D2194&lt;&gt;'Funnel setup'!$K$3&amp;'Funnel setup'!$K$4&amp;'Funnel setup'!$K$5,".",IF(A2193=".",1,A2193+1))</f>
        <v>.</v>
      </c>
      <c r="B2194" s="431" t="str">
        <f t="shared" si="34"/>
        <v>Hip Replacement PrimaryProviderBENENDEN HOSPITAL (NWF01)Oxford Hip Score</v>
      </c>
      <c r="C2194" t="s">
        <v>248</v>
      </c>
      <c r="D2194" t="s">
        <v>1</v>
      </c>
      <c r="E2194" t="s">
        <v>4428</v>
      </c>
      <c r="F2194" t="s">
        <v>4429</v>
      </c>
      <c r="G2194" t="s">
        <v>14</v>
      </c>
      <c r="H2194">
        <v>28</v>
      </c>
      <c r="I2194">
        <v>19.643000000000001</v>
      </c>
      <c r="J2194">
        <v>41.856999999999999</v>
      </c>
      <c r="K2194">
        <v>22.213999999999999</v>
      </c>
      <c r="L2194">
        <v>28</v>
      </c>
      <c r="M2194">
        <v>0</v>
      </c>
      <c r="N2194">
        <v>0</v>
      </c>
      <c r="O2194" t="s">
        <v>53</v>
      </c>
      <c r="P2194" t="s">
        <v>53</v>
      </c>
      <c r="Q2194" t="s">
        <v>53</v>
      </c>
    </row>
    <row r="2195" spans="1:17" x14ac:dyDescent="0.2">
      <c r="A2195" s="30" t="str">
        <f>IF(C2195&amp;G2195&amp;D2195&lt;&gt;'Funnel setup'!$K$3&amp;'Funnel setup'!$K$4&amp;'Funnel setup'!$K$5,".",IF(A2194=".",1,A2194+1))</f>
        <v>.</v>
      </c>
      <c r="B2195" s="431" t="str">
        <f t="shared" si="34"/>
        <v>Hip Replacement PrimaryProviderBLACKPOOL TEACHING HOSPITALS NHS FOUNDATION TRUST (RXL)Oxford Hip Score</v>
      </c>
      <c r="C2195" t="s">
        <v>248</v>
      </c>
      <c r="D2195" t="s">
        <v>1</v>
      </c>
      <c r="E2195" t="s">
        <v>3561</v>
      </c>
      <c r="F2195" t="s">
        <v>3562</v>
      </c>
      <c r="G2195" t="s">
        <v>14</v>
      </c>
      <c r="H2195">
        <v>11</v>
      </c>
      <c r="I2195">
        <v>17.181999999999999</v>
      </c>
      <c r="J2195">
        <v>41.273000000000003</v>
      </c>
      <c r="K2195">
        <v>24.091000000000001</v>
      </c>
      <c r="L2195">
        <v>11</v>
      </c>
      <c r="M2195">
        <v>0</v>
      </c>
      <c r="N2195">
        <v>0</v>
      </c>
      <c r="O2195" t="s">
        <v>53</v>
      </c>
      <c r="P2195" t="s">
        <v>53</v>
      </c>
      <c r="Q2195" t="s">
        <v>53</v>
      </c>
    </row>
    <row r="2196" spans="1:17" x14ac:dyDescent="0.2">
      <c r="A2196" s="30" t="str">
        <f>IF(C2196&amp;G2196&amp;D2196&lt;&gt;'Funnel setup'!$K$3&amp;'Funnel setup'!$K$4&amp;'Funnel setup'!$K$5,".",IF(A2195=".",1,A2195+1))</f>
        <v>.</v>
      </c>
      <c r="B2196" s="431" t="str">
        <f t="shared" si="34"/>
        <v>Hip Replacement PrimaryProviderBMI - BATH CLINIC (NT402)Oxford Hip Score</v>
      </c>
      <c r="C2196" t="s">
        <v>248</v>
      </c>
      <c r="D2196" t="s">
        <v>1</v>
      </c>
      <c r="E2196" t="s">
        <v>3488</v>
      </c>
      <c r="F2196" t="s">
        <v>3489</v>
      </c>
      <c r="G2196" t="s">
        <v>14</v>
      </c>
      <c r="H2196">
        <v>58</v>
      </c>
      <c r="I2196">
        <v>20.759</v>
      </c>
      <c r="J2196">
        <v>43.137999999999998</v>
      </c>
      <c r="K2196">
        <v>22.379000000000001</v>
      </c>
      <c r="L2196">
        <v>58</v>
      </c>
      <c r="M2196">
        <v>0</v>
      </c>
      <c r="N2196">
        <v>0</v>
      </c>
      <c r="O2196">
        <v>40.819000000000003</v>
      </c>
      <c r="P2196">
        <v>22.61491311</v>
      </c>
      <c r="Q2196">
        <v>5.1079999999999997</v>
      </c>
    </row>
    <row r="2197" spans="1:17" x14ac:dyDescent="0.2">
      <c r="A2197" s="30" t="str">
        <f>IF(C2197&amp;G2197&amp;D2197&lt;&gt;'Funnel setup'!$K$3&amp;'Funnel setup'!$K$4&amp;'Funnel setup'!$K$5,".",IF(A2196=".",1,A2196+1))</f>
        <v>.</v>
      </c>
      <c r="B2197" s="431" t="str">
        <f t="shared" si="34"/>
        <v>Hip Replacement PrimaryProviderBMI - BISHOPS WOOD (NT405)Oxford Hip Score</v>
      </c>
      <c r="C2197" t="s">
        <v>248</v>
      </c>
      <c r="D2197" t="s">
        <v>1</v>
      </c>
      <c r="E2197" t="s">
        <v>3491</v>
      </c>
      <c r="F2197" t="s">
        <v>3492</v>
      </c>
      <c r="G2197" t="s">
        <v>14</v>
      </c>
      <c r="H2197">
        <v>18</v>
      </c>
      <c r="I2197">
        <v>20.943999999999999</v>
      </c>
      <c r="J2197">
        <v>40.944000000000003</v>
      </c>
      <c r="K2197">
        <v>20</v>
      </c>
      <c r="L2197">
        <v>17</v>
      </c>
      <c r="M2197">
        <v>0</v>
      </c>
      <c r="N2197">
        <v>1</v>
      </c>
      <c r="O2197" t="s">
        <v>53</v>
      </c>
      <c r="P2197" t="s">
        <v>53</v>
      </c>
      <c r="Q2197" t="s">
        <v>53</v>
      </c>
    </row>
    <row r="2198" spans="1:17" x14ac:dyDescent="0.2">
      <c r="A2198" s="30" t="str">
        <f>IF(C2198&amp;G2198&amp;D2198&lt;&gt;'Funnel setup'!$K$3&amp;'Funnel setup'!$K$4&amp;'Funnel setup'!$K$5,".",IF(A2197=".",1,A2197+1))</f>
        <v>.</v>
      </c>
      <c r="B2198" s="431" t="str">
        <f t="shared" si="34"/>
        <v>Hip Replacement PrimaryProviderBMI - CHELSFIELD PARK HOSPITAL (NT409)Oxford Hip Score</v>
      </c>
      <c r="C2198" t="s">
        <v>248</v>
      </c>
      <c r="D2198" t="s">
        <v>1</v>
      </c>
      <c r="E2198" t="s">
        <v>3494</v>
      </c>
      <c r="F2198" t="s">
        <v>3495</v>
      </c>
      <c r="G2198" t="s">
        <v>14</v>
      </c>
      <c r="H2198">
        <v>14</v>
      </c>
      <c r="I2198">
        <v>23.643000000000001</v>
      </c>
      <c r="J2198">
        <v>45.929000000000002</v>
      </c>
      <c r="K2198">
        <v>22.286000000000001</v>
      </c>
      <c r="L2198">
        <v>14</v>
      </c>
      <c r="M2198">
        <v>0</v>
      </c>
      <c r="N2198">
        <v>0</v>
      </c>
      <c r="O2198" t="s">
        <v>53</v>
      </c>
      <c r="P2198" t="s">
        <v>53</v>
      </c>
      <c r="Q2198" t="s">
        <v>53</v>
      </c>
    </row>
    <row r="2199" spans="1:17" x14ac:dyDescent="0.2">
      <c r="A2199" s="30" t="str">
        <f>IF(C2199&amp;G2199&amp;D2199&lt;&gt;'Funnel setup'!$K$3&amp;'Funnel setup'!$K$4&amp;'Funnel setup'!$K$5,".",IF(A2198=".",1,A2198+1))</f>
        <v>.</v>
      </c>
      <c r="B2199" s="431" t="str">
        <f t="shared" si="34"/>
        <v>Hip Replacement PrimaryProviderBMI - FAWKHAM MANOR HOSPITAL (NT414)Oxford Hip Score</v>
      </c>
      <c r="C2199" t="s">
        <v>248</v>
      </c>
      <c r="D2199" t="s">
        <v>1</v>
      </c>
      <c r="E2199" t="s">
        <v>3497</v>
      </c>
      <c r="F2199" t="s">
        <v>3498</v>
      </c>
      <c r="G2199" t="s">
        <v>14</v>
      </c>
      <c r="H2199">
        <v>6</v>
      </c>
      <c r="I2199">
        <v>21.5</v>
      </c>
      <c r="J2199">
        <v>41.667000000000002</v>
      </c>
      <c r="K2199">
        <v>20.167000000000002</v>
      </c>
      <c r="L2199">
        <v>5</v>
      </c>
      <c r="M2199">
        <v>0</v>
      </c>
      <c r="N2199">
        <v>1</v>
      </c>
      <c r="O2199" t="s">
        <v>53</v>
      </c>
      <c r="P2199" t="s">
        <v>53</v>
      </c>
      <c r="Q2199" t="s">
        <v>53</v>
      </c>
    </row>
    <row r="2200" spans="1:17" x14ac:dyDescent="0.2">
      <c r="A2200" s="30" t="str">
        <f>IF(C2200&amp;G2200&amp;D2200&lt;&gt;'Funnel setup'!$K$3&amp;'Funnel setup'!$K$4&amp;'Funnel setup'!$K$5,".",IF(A2199=".",1,A2199+1))</f>
        <v>.</v>
      </c>
      <c r="B2200" s="431" t="str">
        <f t="shared" si="34"/>
        <v>Hip Replacement PrimaryProviderBMI - GORING HALL HOSPITAL (NT417)Oxford Hip Score</v>
      </c>
      <c r="C2200" t="s">
        <v>248</v>
      </c>
      <c r="D2200" t="s">
        <v>1</v>
      </c>
      <c r="E2200" t="s">
        <v>3403</v>
      </c>
      <c r="F2200" t="s">
        <v>3404</v>
      </c>
      <c r="G2200" t="s">
        <v>14</v>
      </c>
      <c r="H2200">
        <v>160</v>
      </c>
      <c r="I2200">
        <v>19.693999999999999</v>
      </c>
      <c r="J2200">
        <v>41.15</v>
      </c>
      <c r="K2200">
        <v>21.456</v>
      </c>
      <c r="L2200">
        <v>152</v>
      </c>
      <c r="M2200">
        <v>1</v>
      </c>
      <c r="N2200">
        <v>7</v>
      </c>
      <c r="O2200">
        <v>39.75</v>
      </c>
      <c r="P2200">
        <v>21.545020699999998</v>
      </c>
      <c r="Q2200">
        <v>6.9640000000000004</v>
      </c>
    </row>
    <row r="2201" spans="1:17" x14ac:dyDescent="0.2">
      <c r="A2201" s="30" t="str">
        <f>IF(C2201&amp;G2201&amp;D2201&lt;&gt;'Funnel setup'!$K$3&amp;'Funnel setup'!$K$4&amp;'Funnel setup'!$K$5,".",IF(A2200=".",1,A2200+1))</f>
        <v>.</v>
      </c>
      <c r="B2201" s="431" t="str">
        <f t="shared" si="34"/>
        <v>Hip Replacement PrimaryProviderBMI - HENDON HOSPITAL (NT416)Oxford Hip Score</v>
      </c>
      <c r="C2201" t="s">
        <v>248</v>
      </c>
      <c r="D2201" t="s">
        <v>1</v>
      </c>
      <c r="E2201" t="s">
        <v>3570</v>
      </c>
      <c r="F2201" t="s">
        <v>3571</v>
      </c>
      <c r="G2201" t="s">
        <v>14</v>
      </c>
      <c r="H2201" t="s">
        <v>53</v>
      </c>
      <c r="I2201" t="s">
        <v>53</v>
      </c>
      <c r="J2201" t="s">
        <v>53</v>
      </c>
      <c r="K2201" t="s">
        <v>53</v>
      </c>
      <c r="L2201" t="s">
        <v>53</v>
      </c>
      <c r="M2201" t="s">
        <v>53</v>
      </c>
      <c r="N2201" t="s">
        <v>53</v>
      </c>
      <c r="O2201" t="s">
        <v>53</v>
      </c>
      <c r="P2201" t="s">
        <v>53</v>
      </c>
      <c r="Q2201" t="s">
        <v>53</v>
      </c>
    </row>
    <row r="2202" spans="1:17" x14ac:dyDescent="0.2">
      <c r="A2202" s="30" t="str">
        <f>IF(C2202&amp;G2202&amp;D2202&lt;&gt;'Funnel setup'!$K$3&amp;'Funnel setup'!$K$4&amp;'Funnel setup'!$K$5,".",IF(A2201=".",1,A2201+1))</f>
        <v>.</v>
      </c>
      <c r="B2202" s="431" t="str">
        <f t="shared" si="34"/>
        <v>Hip Replacement PrimaryProviderBMI - SARUM ROAD HOSPITAL (NT433)Oxford Hip Score</v>
      </c>
      <c r="C2202" t="s">
        <v>248</v>
      </c>
      <c r="D2202" t="s">
        <v>1</v>
      </c>
      <c r="E2202" t="s">
        <v>3573</v>
      </c>
      <c r="F2202" t="s">
        <v>3574</v>
      </c>
      <c r="G2202" t="s">
        <v>14</v>
      </c>
      <c r="H2202">
        <v>44</v>
      </c>
      <c r="I2202">
        <v>18.523</v>
      </c>
      <c r="J2202">
        <v>38.113999999999997</v>
      </c>
      <c r="K2202">
        <v>19.591000000000001</v>
      </c>
      <c r="L2202">
        <v>40</v>
      </c>
      <c r="M2202">
        <v>0</v>
      </c>
      <c r="N2202">
        <v>4</v>
      </c>
      <c r="O2202">
        <v>37.738999999999997</v>
      </c>
      <c r="P2202">
        <v>19.534986270000001</v>
      </c>
      <c r="Q2202">
        <v>9.8940000000000001</v>
      </c>
    </row>
    <row r="2203" spans="1:17" x14ac:dyDescent="0.2">
      <c r="A2203" s="30" t="str">
        <f>IF(C2203&amp;G2203&amp;D2203&lt;&gt;'Funnel setup'!$K$3&amp;'Funnel setup'!$K$4&amp;'Funnel setup'!$K$5,".",IF(A2202=".",1,A2202+1))</f>
        <v>.</v>
      </c>
      <c r="B2203" s="431" t="str">
        <f t="shared" si="34"/>
        <v>Hip Replacement PrimaryProviderBMI - SHIRLEY OAKS HOSPITAL (NT436)Oxford Hip Score</v>
      </c>
      <c r="C2203" t="s">
        <v>248</v>
      </c>
      <c r="D2203" t="s">
        <v>1</v>
      </c>
      <c r="E2203" t="s">
        <v>3576</v>
      </c>
      <c r="F2203" t="s">
        <v>3577</v>
      </c>
      <c r="G2203" t="s">
        <v>14</v>
      </c>
      <c r="H2203">
        <v>7</v>
      </c>
      <c r="I2203">
        <v>15.429</v>
      </c>
      <c r="J2203">
        <v>39.143000000000001</v>
      </c>
      <c r="K2203">
        <v>23.713999999999999</v>
      </c>
      <c r="L2203">
        <v>7</v>
      </c>
      <c r="M2203">
        <v>0</v>
      </c>
      <c r="N2203">
        <v>0</v>
      </c>
      <c r="O2203" t="s">
        <v>53</v>
      </c>
      <c r="P2203" t="s">
        <v>53</v>
      </c>
      <c r="Q2203" t="s">
        <v>53</v>
      </c>
    </row>
    <row r="2204" spans="1:17" x14ac:dyDescent="0.2">
      <c r="A2204" s="30" t="str">
        <f>IF(C2204&amp;G2204&amp;D2204&lt;&gt;'Funnel setup'!$K$3&amp;'Funnel setup'!$K$4&amp;'Funnel setup'!$K$5,".",IF(A2203=".",1,A2203+1))</f>
        <v>.</v>
      </c>
      <c r="B2204" s="431" t="str">
        <f t="shared" si="34"/>
        <v>Hip Replacement PrimaryProviderBMI - THE ALEXANDRA HOSPITAL (NT401)Oxford Hip Score</v>
      </c>
      <c r="C2204" t="s">
        <v>248</v>
      </c>
      <c r="D2204" t="s">
        <v>1</v>
      </c>
      <c r="E2204" t="s">
        <v>3579</v>
      </c>
      <c r="F2204" t="s">
        <v>3580</v>
      </c>
      <c r="G2204" t="s">
        <v>14</v>
      </c>
      <c r="H2204">
        <v>72</v>
      </c>
      <c r="I2204">
        <v>21.931000000000001</v>
      </c>
      <c r="J2204">
        <v>41.485999999999997</v>
      </c>
      <c r="K2204">
        <v>19.556000000000001</v>
      </c>
      <c r="L2204">
        <v>70</v>
      </c>
      <c r="M2204">
        <v>2</v>
      </c>
      <c r="N2204">
        <v>0</v>
      </c>
      <c r="O2204">
        <v>39.622999999999998</v>
      </c>
      <c r="P2204">
        <v>21.418494379999999</v>
      </c>
      <c r="Q2204">
        <v>7.1559999999999997</v>
      </c>
    </row>
    <row r="2205" spans="1:17" x14ac:dyDescent="0.2">
      <c r="A2205" s="30" t="str">
        <f>IF(C2205&amp;G2205&amp;D2205&lt;&gt;'Funnel setup'!$K$3&amp;'Funnel setup'!$K$4&amp;'Funnel setup'!$K$5,".",IF(A2204=".",1,A2204+1))</f>
        <v>.</v>
      </c>
      <c r="B2205" s="431" t="str">
        <f t="shared" si="34"/>
        <v>Hip Replacement PrimaryProviderBMI - THE BEARDWOOD HOSPITAL (NT403)Oxford Hip Score</v>
      </c>
      <c r="C2205" t="s">
        <v>248</v>
      </c>
      <c r="D2205" t="s">
        <v>1</v>
      </c>
      <c r="E2205" t="s">
        <v>3582</v>
      </c>
      <c r="F2205" t="s">
        <v>3583</v>
      </c>
      <c r="G2205" t="s">
        <v>14</v>
      </c>
      <c r="H2205">
        <v>43</v>
      </c>
      <c r="I2205">
        <v>18.442</v>
      </c>
      <c r="J2205">
        <v>40.86</v>
      </c>
      <c r="K2205">
        <v>22.419</v>
      </c>
      <c r="L2205">
        <v>42</v>
      </c>
      <c r="M2205">
        <v>0</v>
      </c>
      <c r="N2205">
        <v>1</v>
      </c>
      <c r="O2205">
        <v>40.564</v>
      </c>
      <c r="P2205">
        <v>22.359284079999998</v>
      </c>
      <c r="Q2205">
        <v>6.5830000000000002</v>
      </c>
    </row>
    <row r="2206" spans="1:17" x14ac:dyDescent="0.2">
      <c r="A2206" s="30" t="str">
        <f>IF(C2206&amp;G2206&amp;D2206&lt;&gt;'Funnel setup'!$K$3&amp;'Funnel setup'!$K$4&amp;'Funnel setup'!$K$5,".",IF(A2205=".",1,A2205+1))</f>
        <v>.</v>
      </c>
      <c r="B2206" s="431" t="str">
        <f t="shared" si="34"/>
        <v>Hip Replacement PrimaryProviderBMI - THE BEAUMONT HOSPITAL (NT404)Oxford Hip Score</v>
      </c>
      <c r="C2206" t="s">
        <v>248</v>
      </c>
      <c r="D2206" t="s">
        <v>1</v>
      </c>
      <c r="E2206" t="s">
        <v>3585</v>
      </c>
      <c r="F2206" t="s">
        <v>3586</v>
      </c>
      <c r="G2206" t="s">
        <v>14</v>
      </c>
      <c r="H2206">
        <v>37</v>
      </c>
      <c r="I2206">
        <v>20.702999999999999</v>
      </c>
      <c r="J2206">
        <v>40</v>
      </c>
      <c r="K2206">
        <v>19.297000000000001</v>
      </c>
      <c r="L2206">
        <v>35</v>
      </c>
      <c r="M2206">
        <v>0</v>
      </c>
      <c r="N2206">
        <v>2</v>
      </c>
      <c r="O2206">
        <v>39.427999999999997</v>
      </c>
      <c r="P2206">
        <v>21.22395903</v>
      </c>
      <c r="Q2206">
        <v>7.47</v>
      </c>
    </row>
    <row r="2207" spans="1:17" x14ac:dyDescent="0.2">
      <c r="A2207" s="30" t="str">
        <f>IF(C2207&amp;G2207&amp;D2207&lt;&gt;'Funnel setup'!$K$3&amp;'Funnel setup'!$K$4&amp;'Funnel setup'!$K$5,".",IF(A2206=".",1,A2206+1))</f>
        <v>.</v>
      </c>
      <c r="B2207" s="431" t="str">
        <f t="shared" si="34"/>
        <v>Hip Replacement PrimaryProviderBMI - THE BLACKHEATH HOSPITAL (NT406)Oxford Hip Score</v>
      </c>
      <c r="C2207" t="s">
        <v>248</v>
      </c>
      <c r="D2207" t="s">
        <v>1</v>
      </c>
      <c r="E2207" t="s">
        <v>3588</v>
      </c>
      <c r="F2207" t="s">
        <v>3589</v>
      </c>
      <c r="G2207" t="s">
        <v>14</v>
      </c>
      <c r="H2207">
        <v>10</v>
      </c>
      <c r="I2207">
        <v>20.7</v>
      </c>
      <c r="J2207">
        <v>41.7</v>
      </c>
      <c r="K2207">
        <v>21</v>
      </c>
      <c r="L2207">
        <v>10</v>
      </c>
      <c r="M2207">
        <v>0</v>
      </c>
      <c r="N2207">
        <v>0</v>
      </c>
      <c r="O2207" t="s">
        <v>53</v>
      </c>
      <c r="P2207" t="s">
        <v>53</v>
      </c>
      <c r="Q2207" t="s">
        <v>53</v>
      </c>
    </row>
    <row r="2208" spans="1:17" x14ac:dyDescent="0.2">
      <c r="A2208" s="30" t="str">
        <f>IF(C2208&amp;G2208&amp;D2208&lt;&gt;'Funnel setup'!$K$3&amp;'Funnel setup'!$K$4&amp;'Funnel setup'!$K$5,".",IF(A2207=".",1,A2207+1))</f>
        <v>.</v>
      </c>
      <c r="B2208" s="431" t="str">
        <f t="shared" si="34"/>
        <v>Hip Replacement PrimaryProviderBMI - THE CHAUCER HOSPITAL (NT408)Oxford Hip Score</v>
      </c>
      <c r="C2208" t="s">
        <v>248</v>
      </c>
      <c r="D2208" t="s">
        <v>1</v>
      </c>
      <c r="E2208" t="s">
        <v>3591</v>
      </c>
      <c r="F2208" t="s">
        <v>3592</v>
      </c>
      <c r="G2208" t="s">
        <v>14</v>
      </c>
      <c r="H2208">
        <v>15</v>
      </c>
      <c r="I2208">
        <v>21.6</v>
      </c>
      <c r="J2208">
        <v>38.067</v>
      </c>
      <c r="K2208">
        <v>16.466999999999999</v>
      </c>
      <c r="L2208">
        <v>15</v>
      </c>
      <c r="M2208">
        <v>0</v>
      </c>
      <c r="N2208">
        <v>0</v>
      </c>
      <c r="O2208" t="s">
        <v>53</v>
      </c>
      <c r="P2208" t="s">
        <v>53</v>
      </c>
      <c r="Q2208" t="s">
        <v>53</v>
      </c>
    </row>
    <row r="2209" spans="1:17" x14ac:dyDescent="0.2">
      <c r="A2209" s="30" t="str">
        <f>IF(C2209&amp;G2209&amp;D2209&lt;&gt;'Funnel setup'!$K$3&amp;'Funnel setup'!$K$4&amp;'Funnel setup'!$K$5,".",IF(A2208=".",1,A2208+1))</f>
        <v>.</v>
      </c>
      <c r="B2209" s="431" t="str">
        <f t="shared" si="34"/>
        <v>Hip Replacement PrimaryProviderBMI - THE CHILTERN HOSPITAL (NT410)Oxford Hip Score</v>
      </c>
      <c r="C2209" t="s">
        <v>248</v>
      </c>
      <c r="D2209" t="s">
        <v>1</v>
      </c>
      <c r="E2209" t="s">
        <v>3594</v>
      </c>
      <c r="F2209" t="s">
        <v>3595</v>
      </c>
      <c r="G2209" t="s">
        <v>14</v>
      </c>
      <c r="H2209">
        <v>45</v>
      </c>
      <c r="I2209">
        <v>18.244</v>
      </c>
      <c r="J2209">
        <v>42.732999999999997</v>
      </c>
      <c r="K2209">
        <v>24.489000000000001</v>
      </c>
      <c r="L2209">
        <v>44</v>
      </c>
      <c r="M2209">
        <v>0</v>
      </c>
      <c r="N2209">
        <v>1</v>
      </c>
      <c r="O2209">
        <v>41.82</v>
      </c>
      <c r="P2209">
        <v>23.615409270000001</v>
      </c>
      <c r="Q2209">
        <v>8.4390000000000001</v>
      </c>
    </row>
    <row r="2210" spans="1:17" x14ac:dyDescent="0.2">
      <c r="A2210" s="30" t="str">
        <f>IF(C2210&amp;G2210&amp;D2210&lt;&gt;'Funnel setup'!$K$3&amp;'Funnel setup'!$K$4&amp;'Funnel setup'!$K$5,".",IF(A2209=".",1,A2209+1))</f>
        <v>.</v>
      </c>
      <c r="B2210" s="431" t="str">
        <f t="shared" si="34"/>
        <v>Hip Replacement PrimaryProviderBMI - THE CLEMENTINE CHURCHILL HOSPITAL (NT411)Oxford Hip Score</v>
      </c>
      <c r="C2210" t="s">
        <v>248</v>
      </c>
      <c r="D2210" t="s">
        <v>1</v>
      </c>
      <c r="E2210" t="s">
        <v>3597</v>
      </c>
      <c r="F2210" t="s">
        <v>3598</v>
      </c>
      <c r="G2210" t="s">
        <v>14</v>
      </c>
      <c r="H2210">
        <v>14</v>
      </c>
      <c r="I2210">
        <v>18.643000000000001</v>
      </c>
      <c r="J2210">
        <v>40.356999999999999</v>
      </c>
      <c r="K2210">
        <v>21.713999999999999</v>
      </c>
      <c r="L2210">
        <v>14</v>
      </c>
      <c r="M2210">
        <v>0</v>
      </c>
      <c r="N2210">
        <v>0</v>
      </c>
      <c r="O2210" t="s">
        <v>53</v>
      </c>
      <c r="P2210" t="s">
        <v>53</v>
      </c>
      <c r="Q2210" t="s">
        <v>53</v>
      </c>
    </row>
    <row r="2211" spans="1:17" x14ac:dyDescent="0.2">
      <c r="A2211" s="30" t="str">
        <f>IF(C2211&amp;G2211&amp;D2211&lt;&gt;'Funnel setup'!$K$3&amp;'Funnel setup'!$K$4&amp;'Funnel setup'!$K$5,".",IF(A2210=".",1,A2210+1))</f>
        <v>.</v>
      </c>
      <c r="B2211" s="431" t="str">
        <f t="shared" si="34"/>
        <v>Hip Replacement PrimaryProviderBMI - THE DROITWICH SPA HOSPITAL (NT412)Oxford Hip Score</v>
      </c>
      <c r="C2211" t="s">
        <v>248</v>
      </c>
      <c r="D2211" t="s">
        <v>1</v>
      </c>
      <c r="E2211" t="s">
        <v>3600</v>
      </c>
      <c r="F2211" t="s">
        <v>3601</v>
      </c>
      <c r="G2211" t="s">
        <v>14</v>
      </c>
      <c r="H2211">
        <v>64</v>
      </c>
      <c r="I2211">
        <v>20.390999999999998</v>
      </c>
      <c r="J2211">
        <v>41.313000000000002</v>
      </c>
      <c r="K2211">
        <v>20.922000000000001</v>
      </c>
      <c r="L2211">
        <v>60</v>
      </c>
      <c r="M2211">
        <v>1</v>
      </c>
      <c r="N2211">
        <v>3</v>
      </c>
      <c r="O2211">
        <v>40.173000000000002</v>
      </c>
      <c r="P2211">
        <v>21.96866198</v>
      </c>
      <c r="Q2211">
        <v>8.3989999999999991</v>
      </c>
    </row>
    <row r="2212" spans="1:17" x14ac:dyDescent="0.2">
      <c r="A2212" s="30" t="str">
        <f>IF(C2212&amp;G2212&amp;D2212&lt;&gt;'Funnel setup'!$K$3&amp;'Funnel setup'!$K$4&amp;'Funnel setup'!$K$5,".",IF(A2211=".",1,A2211+1))</f>
        <v>.</v>
      </c>
      <c r="B2212" s="431" t="str">
        <f t="shared" si="34"/>
        <v>Hip Replacement PrimaryProviderBMI - THE ESPERANCE HOSPITAL (NT413)Oxford Hip Score</v>
      </c>
      <c r="C2212" t="s">
        <v>248</v>
      </c>
      <c r="D2212" t="s">
        <v>1</v>
      </c>
      <c r="E2212" t="s">
        <v>3603</v>
      </c>
      <c r="F2212" t="s">
        <v>3604</v>
      </c>
      <c r="G2212" t="s">
        <v>14</v>
      </c>
      <c r="H2212" t="s">
        <v>53</v>
      </c>
      <c r="I2212" t="s">
        <v>53</v>
      </c>
      <c r="J2212" t="s">
        <v>53</v>
      </c>
      <c r="K2212" t="s">
        <v>53</v>
      </c>
      <c r="L2212" t="s">
        <v>53</v>
      </c>
      <c r="M2212" t="s">
        <v>53</v>
      </c>
      <c r="N2212" t="s">
        <v>53</v>
      </c>
      <c r="O2212" t="s">
        <v>53</v>
      </c>
      <c r="P2212" t="s">
        <v>53</v>
      </c>
      <c r="Q2212" t="s">
        <v>53</v>
      </c>
    </row>
    <row r="2213" spans="1:17" x14ac:dyDescent="0.2">
      <c r="A2213" s="30" t="str">
        <f>IF(C2213&amp;G2213&amp;D2213&lt;&gt;'Funnel setup'!$K$3&amp;'Funnel setup'!$K$4&amp;'Funnel setup'!$K$5,".",IF(A2212=".",1,A2212+1))</f>
        <v>.</v>
      </c>
      <c r="B2213" s="431" t="str">
        <f t="shared" si="34"/>
        <v>Hip Replacement PrimaryProviderBMI - THE HAMPSHIRE CLINIC (NT418)Oxford Hip Score</v>
      </c>
      <c r="C2213" t="s">
        <v>248</v>
      </c>
      <c r="D2213" t="s">
        <v>1</v>
      </c>
      <c r="E2213" t="s">
        <v>3609</v>
      </c>
      <c r="F2213" t="s">
        <v>3610</v>
      </c>
      <c r="G2213" t="s">
        <v>14</v>
      </c>
      <c r="H2213">
        <v>25</v>
      </c>
      <c r="I2213">
        <v>20.16</v>
      </c>
      <c r="J2213">
        <v>40.32</v>
      </c>
      <c r="K2213">
        <v>20.16</v>
      </c>
      <c r="L2213">
        <v>25</v>
      </c>
      <c r="M2213">
        <v>0</v>
      </c>
      <c r="N2213">
        <v>0</v>
      </c>
      <c r="O2213" t="s">
        <v>53</v>
      </c>
      <c r="P2213" t="s">
        <v>53</v>
      </c>
      <c r="Q2213" t="s">
        <v>53</v>
      </c>
    </row>
    <row r="2214" spans="1:17" x14ac:dyDescent="0.2">
      <c r="A2214" s="30" t="str">
        <f>IF(C2214&amp;G2214&amp;D2214&lt;&gt;'Funnel setup'!$K$3&amp;'Funnel setup'!$K$4&amp;'Funnel setup'!$K$5,".",IF(A2213=".",1,A2213+1))</f>
        <v>.</v>
      </c>
      <c r="B2214" s="431" t="str">
        <f t="shared" si="34"/>
        <v>Hip Replacement PrimaryProviderBMI - THE HARBOUR HOSPITAL (NT419)Oxford Hip Score</v>
      </c>
      <c r="C2214" t="s">
        <v>248</v>
      </c>
      <c r="D2214" t="s">
        <v>1</v>
      </c>
      <c r="E2214" t="s">
        <v>3612</v>
      </c>
      <c r="F2214" t="s">
        <v>3613</v>
      </c>
      <c r="G2214" t="s">
        <v>14</v>
      </c>
      <c r="H2214" t="s">
        <v>53</v>
      </c>
      <c r="I2214" t="s">
        <v>53</v>
      </c>
      <c r="J2214" t="s">
        <v>53</v>
      </c>
      <c r="K2214" t="s">
        <v>53</v>
      </c>
      <c r="L2214" t="s">
        <v>53</v>
      </c>
      <c r="M2214" t="s">
        <v>53</v>
      </c>
      <c r="N2214" t="s">
        <v>53</v>
      </c>
      <c r="O2214" t="s">
        <v>53</v>
      </c>
      <c r="P2214" t="s">
        <v>53</v>
      </c>
      <c r="Q2214" t="s">
        <v>53</v>
      </c>
    </row>
    <row r="2215" spans="1:17" x14ac:dyDescent="0.2">
      <c r="A2215" s="30" t="str">
        <f>IF(C2215&amp;G2215&amp;D2215&lt;&gt;'Funnel setup'!$K$3&amp;'Funnel setup'!$K$4&amp;'Funnel setup'!$K$5,".",IF(A2214=".",1,A2214+1))</f>
        <v>.</v>
      </c>
      <c r="B2215" s="431" t="str">
        <f t="shared" si="34"/>
        <v>Hip Replacement PrimaryProviderBMI - THE HIGHFIELD HOSPITAL (NT420)Oxford Hip Score</v>
      </c>
      <c r="C2215" t="s">
        <v>248</v>
      </c>
      <c r="D2215" t="s">
        <v>1</v>
      </c>
      <c r="E2215" t="s">
        <v>3615</v>
      </c>
      <c r="F2215" t="s">
        <v>3616</v>
      </c>
      <c r="G2215" t="s">
        <v>14</v>
      </c>
      <c r="H2215">
        <v>103</v>
      </c>
      <c r="I2215">
        <v>19.077999999999999</v>
      </c>
      <c r="J2215">
        <v>39.912999999999997</v>
      </c>
      <c r="K2215">
        <v>20.835000000000001</v>
      </c>
      <c r="L2215">
        <v>98</v>
      </c>
      <c r="M2215">
        <v>2</v>
      </c>
      <c r="N2215">
        <v>3</v>
      </c>
      <c r="O2215">
        <v>39.652999999999999</v>
      </c>
      <c r="P2215">
        <v>21.448883080000002</v>
      </c>
      <c r="Q2215">
        <v>7.9740000000000002</v>
      </c>
    </row>
    <row r="2216" spans="1:17" x14ac:dyDescent="0.2">
      <c r="A2216" s="30" t="str">
        <f>IF(C2216&amp;G2216&amp;D2216&lt;&gt;'Funnel setup'!$K$3&amp;'Funnel setup'!$K$4&amp;'Funnel setup'!$K$5,".",IF(A2215=".",1,A2215+1))</f>
        <v>.</v>
      </c>
      <c r="B2216" s="431" t="str">
        <f t="shared" si="34"/>
        <v>Hip Replacement PrimaryProviderBMI - THE KINGS OAK HOSPITAL (NT421)Oxford Hip Score</v>
      </c>
      <c r="C2216" t="s">
        <v>248</v>
      </c>
      <c r="D2216" t="s">
        <v>1</v>
      </c>
      <c r="E2216" t="s">
        <v>3618</v>
      </c>
      <c r="F2216" t="s">
        <v>3619</v>
      </c>
      <c r="G2216" t="s">
        <v>14</v>
      </c>
      <c r="H2216">
        <v>14</v>
      </c>
      <c r="I2216">
        <v>17.356999999999999</v>
      </c>
      <c r="J2216">
        <v>42.643000000000001</v>
      </c>
      <c r="K2216">
        <v>25.286000000000001</v>
      </c>
      <c r="L2216">
        <v>14</v>
      </c>
      <c r="M2216">
        <v>0</v>
      </c>
      <c r="N2216">
        <v>0</v>
      </c>
      <c r="O2216" t="s">
        <v>53</v>
      </c>
      <c r="P2216" t="s">
        <v>53</v>
      </c>
      <c r="Q2216" t="s">
        <v>53</v>
      </c>
    </row>
    <row r="2217" spans="1:17" x14ac:dyDescent="0.2">
      <c r="A2217" s="30" t="str">
        <f>IF(C2217&amp;G2217&amp;D2217&lt;&gt;'Funnel setup'!$K$3&amp;'Funnel setup'!$K$4&amp;'Funnel setup'!$K$5,".",IF(A2216=".",1,A2216+1))</f>
        <v>.</v>
      </c>
      <c r="B2217" s="431" t="str">
        <f t="shared" si="34"/>
        <v>Hip Replacement PrimaryProviderBMI - THE LONDON INDEPENDENT HOSPITAL (NT422)Oxford Hip Score</v>
      </c>
      <c r="C2217" t="s">
        <v>248</v>
      </c>
      <c r="D2217" t="s">
        <v>1</v>
      </c>
      <c r="E2217" t="s">
        <v>3621</v>
      </c>
      <c r="F2217" t="s">
        <v>3622</v>
      </c>
      <c r="G2217" t="s">
        <v>14</v>
      </c>
      <c r="H2217">
        <v>9</v>
      </c>
      <c r="I2217">
        <v>21</v>
      </c>
      <c r="J2217">
        <v>39.222000000000001</v>
      </c>
      <c r="K2217">
        <v>18.222000000000001</v>
      </c>
      <c r="L2217">
        <v>9</v>
      </c>
      <c r="M2217">
        <v>0</v>
      </c>
      <c r="N2217">
        <v>0</v>
      </c>
      <c r="O2217" t="s">
        <v>53</v>
      </c>
      <c r="P2217" t="s">
        <v>53</v>
      </c>
      <c r="Q2217" t="s">
        <v>53</v>
      </c>
    </row>
    <row r="2218" spans="1:17" x14ac:dyDescent="0.2">
      <c r="A2218" s="30" t="str">
        <f>IF(C2218&amp;G2218&amp;D2218&lt;&gt;'Funnel setup'!$K$3&amp;'Funnel setup'!$K$4&amp;'Funnel setup'!$K$5,".",IF(A2217=".",1,A2217+1))</f>
        <v>.</v>
      </c>
      <c r="B2218" s="431" t="str">
        <f t="shared" si="34"/>
        <v>Hip Replacement PrimaryProviderBMI - THE MANOR HOSPITAL (NT423)Oxford Hip Score</v>
      </c>
      <c r="C2218" t="s">
        <v>248</v>
      </c>
      <c r="D2218" t="s">
        <v>1</v>
      </c>
      <c r="E2218" t="s">
        <v>3624</v>
      </c>
      <c r="F2218" t="s">
        <v>3625</v>
      </c>
      <c r="G2218" t="s">
        <v>14</v>
      </c>
      <c r="H2218">
        <v>27</v>
      </c>
      <c r="I2218">
        <v>19.443999999999999</v>
      </c>
      <c r="J2218">
        <v>41.963000000000001</v>
      </c>
      <c r="K2218">
        <v>22.518999999999998</v>
      </c>
      <c r="L2218">
        <v>27</v>
      </c>
      <c r="M2218">
        <v>0</v>
      </c>
      <c r="N2218">
        <v>0</v>
      </c>
      <c r="O2218" t="s">
        <v>53</v>
      </c>
      <c r="P2218" t="s">
        <v>53</v>
      </c>
      <c r="Q2218" t="s">
        <v>53</v>
      </c>
    </row>
    <row r="2219" spans="1:17" x14ac:dyDescent="0.2">
      <c r="A2219" s="30" t="str">
        <f>IF(C2219&amp;G2219&amp;D2219&lt;&gt;'Funnel setup'!$K$3&amp;'Funnel setup'!$K$4&amp;'Funnel setup'!$K$5,".",IF(A2218=".",1,A2218+1))</f>
        <v>.</v>
      </c>
      <c r="B2219" s="431" t="str">
        <f t="shared" si="34"/>
        <v>Hip Replacement PrimaryProviderBMI - THE MERIDEN HOSPITAL (NT424)Oxford Hip Score</v>
      </c>
      <c r="C2219" t="s">
        <v>248</v>
      </c>
      <c r="D2219" t="s">
        <v>1</v>
      </c>
      <c r="E2219" t="s">
        <v>3283</v>
      </c>
      <c r="F2219" t="s">
        <v>3284</v>
      </c>
      <c r="G2219" t="s">
        <v>14</v>
      </c>
      <c r="H2219">
        <v>76</v>
      </c>
      <c r="I2219">
        <v>20.526</v>
      </c>
      <c r="J2219">
        <v>40.960999999999999</v>
      </c>
      <c r="K2219">
        <v>20.434000000000001</v>
      </c>
      <c r="L2219">
        <v>74</v>
      </c>
      <c r="M2219">
        <v>0</v>
      </c>
      <c r="N2219">
        <v>2</v>
      </c>
      <c r="O2219">
        <v>40.006999999999998</v>
      </c>
      <c r="P2219">
        <v>21.802164820000002</v>
      </c>
      <c r="Q2219">
        <v>7.6509999999999998</v>
      </c>
    </row>
    <row r="2220" spans="1:17" x14ac:dyDescent="0.2">
      <c r="A2220" s="30" t="str">
        <f>IF(C2220&amp;G2220&amp;D2220&lt;&gt;'Funnel setup'!$K$3&amp;'Funnel setup'!$K$4&amp;'Funnel setup'!$K$5,".",IF(A2219=".",1,A2219+1))</f>
        <v>.</v>
      </c>
      <c r="B2220" s="431" t="str">
        <f t="shared" si="34"/>
        <v>Hip Replacement PrimaryProviderBMI - THE PARK HOSPITAL (NT427)Oxford Hip Score</v>
      </c>
      <c r="C2220" t="s">
        <v>248</v>
      </c>
      <c r="D2220" t="s">
        <v>1</v>
      </c>
      <c r="E2220" t="s">
        <v>3286</v>
      </c>
      <c r="F2220" t="s">
        <v>3287</v>
      </c>
      <c r="G2220" t="s">
        <v>14</v>
      </c>
      <c r="H2220">
        <v>33</v>
      </c>
      <c r="I2220">
        <v>20.515000000000001</v>
      </c>
      <c r="J2220">
        <v>40.545000000000002</v>
      </c>
      <c r="K2220">
        <v>20.03</v>
      </c>
      <c r="L2220">
        <v>32</v>
      </c>
      <c r="M2220">
        <v>0</v>
      </c>
      <c r="N2220">
        <v>1</v>
      </c>
      <c r="O2220">
        <v>38.738999999999997</v>
      </c>
      <c r="P2220">
        <v>20.534423230000002</v>
      </c>
      <c r="Q2220">
        <v>8.2490000000000006</v>
      </c>
    </row>
    <row r="2221" spans="1:17" x14ac:dyDescent="0.2">
      <c r="A2221" s="30" t="str">
        <f>IF(C2221&amp;G2221&amp;D2221&lt;&gt;'Funnel setup'!$K$3&amp;'Funnel setup'!$K$4&amp;'Funnel setup'!$K$5,".",IF(A2220=".",1,A2220+1))</f>
        <v>.</v>
      </c>
      <c r="B2221" s="431" t="str">
        <f t="shared" si="34"/>
        <v>Hip Replacement PrimaryProviderBMI - THE PRINCESS MARGARET HOSPITAL (NT428)Oxford Hip Score</v>
      </c>
      <c r="C2221" t="s">
        <v>248</v>
      </c>
      <c r="D2221" t="s">
        <v>1</v>
      </c>
      <c r="E2221" t="s">
        <v>3289</v>
      </c>
      <c r="F2221" t="s">
        <v>3290</v>
      </c>
      <c r="G2221" t="s">
        <v>14</v>
      </c>
      <c r="H2221">
        <v>11</v>
      </c>
      <c r="I2221">
        <v>17.091000000000001</v>
      </c>
      <c r="J2221">
        <v>36.182000000000002</v>
      </c>
      <c r="K2221">
        <v>19.091000000000001</v>
      </c>
      <c r="L2221">
        <v>9</v>
      </c>
      <c r="M2221">
        <v>0</v>
      </c>
      <c r="N2221">
        <v>2</v>
      </c>
      <c r="O2221" t="s">
        <v>53</v>
      </c>
      <c r="P2221" t="s">
        <v>53</v>
      </c>
      <c r="Q2221" t="s">
        <v>53</v>
      </c>
    </row>
    <row r="2222" spans="1:17" x14ac:dyDescent="0.2">
      <c r="A2222" s="30" t="str">
        <f>IF(C2222&amp;G2222&amp;D2222&lt;&gt;'Funnel setup'!$K$3&amp;'Funnel setup'!$K$4&amp;'Funnel setup'!$K$5,".",IF(A2221=".",1,A2221+1))</f>
        <v>.</v>
      </c>
      <c r="B2222" s="431" t="str">
        <f t="shared" si="34"/>
        <v>Hip Replacement PrimaryProviderBMI - THE PRIORY HOSPITAL (NT429)Oxford Hip Score</v>
      </c>
      <c r="C2222" t="s">
        <v>248</v>
      </c>
      <c r="D2222" t="s">
        <v>1</v>
      </c>
      <c r="E2222" t="s">
        <v>4776</v>
      </c>
      <c r="F2222" t="s">
        <v>4777</v>
      </c>
      <c r="G2222" t="s">
        <v>14</v>
      </c>
      <c r="H2222" t="s">
        <v>53</v>
      </c>
      <c r="I2222" t="s">
        <v>53</v>
      </c>
      <c r="J2222" t="s">
        <v>53</v>
      </c>
      <c r="K2222" t="s">
        <v>53</v>
      </c>
      <c r="L2222" t="s">
        <v>53</v>
      </c>
      <c r="M2222" t="s">
        <v>53</v>
      </c>
      <c r="N2222" t="s">
        <v>53</v>
      </c>
      <c r="O2222" t="s">
        <v>53</v>
      </c>
      <c r="P2222" t="s">
        <v>53</v>
      </c>
      <c r="Q2222" t="s">
        <v>53</v>
      </c>
    </row>
    <row r="2223" spans="1:17" x14ac:dyDescent="0.2">
      <c r="A2223" s="30" t="str">
        <f>IF(C2223&amp;G2223&amp;D2223&lt;&gt;'Funnel setup'!$K$3&amp;'Funnel setup'!$K$4&amp;'Funnel setup'!$K$5,".",IF(A2222=".",1,A2222+1))</f>
        <v>.</v>
      </c>
      <c r="B2223" s="431" t="str">
        <f t="shared" si="34"/>
        <v>Hip Replacement PrimaryProviderBMI - THE RIDGEWAY HOSPITAL (NT430)Oxford Hip Score</v>
      </c>
      <c r="C2223" t="s">
        <v>248</v>
      </c>
      <c r="D2223" t="s">
        <v>1</v>
      </c>
      <c r="E2223" t="s">
        <v>3292</v>
      </c>
      <c r="F2223" t="s">
        <v>3293</v>
      </c>
      <c r="G2223" t="s">
        <v>14</v>
      </c>
      <c r="H2223">
        <v>84</v>
      </c>
      <c r="I2223">
        <v>19.619</v>
      </c>
      <c r="J2223">
        <v>42.298000000000002</v>
      </c>
      <c r="K2223">
        <v>22.678999999999998</v>
      </c>
      <c r="L2223">
        <v>83</v>
      </c>
      <c r="M2223">
        <v>0</v>
      </c>
      <c r="N2223">
        <v>1</v>
      </c>
      <c r="O2223">
        <v>40.792999999999999</v>
      </c>
      <c r="P2223">
        <v>22.588657659999999</v>
      </c>
      <c r="Q2223">
        <v>6.9509999999999996</v>
      </c>
    </row>
    <row r="2224" spans="1:17" x14ac:dyDescent="0.2">
      <c r="A2224" s="30" t="str">
        <f>IF(C2224&amp;G2224&amp;D2224&lt;&gt;'Funnel setup'!$K$3&amp;'Funnel setup'!$K$4&amp;'Funnel setup'!$K$5,".",IF(A2223=".",1,A2223+1))</f>
        <v>.</v>
      </c>
      <c r="B2224" s="431" t="str">
        <f t="shared" si="34"/>
        <v>Hip Replacement PrimaryProviderBMI - THE RUNNYMEDE HOSPITAL (NT431)Oxford Hip Score</v>
      </c>
      <c r="C2224" t="s">
        <v>248</v>
      </c>
      <c r="D2224" t="s">
        <v>1</v>
      </c>
      <c r="E2224" t="s">
        <v>3295</v>
      </c>
      <c r="F2224" t="s">
        <v>3296</v>
      </c>
      <c r="G2224" t="s">
        <v>14</v>
      </c>
      <c r="H2224">
        <v>16</v>
      </c>
      <c r="I2224">
        <v>23.062999999999999</v>
      </c>
      <c r="J2224">
        <v>42.188000000000002</v>
      </c>
      <c r="K2224">
        <v>19.125</v>
      </c>
      <c r="L2224">
        <v>15</v>
      </c>
      <c r="M2224">
        <v>0</v>
      </c>
      <c r="N2224">
        <v>1</v>
      </c>
      <c r="O2224" t="s">
        <v>53</v>
      </c>
      <c r="P2224" t="s">
        <v>53</v>
      </c>
      <c r="Q2224" t="s">
        <v>53</v>
      </c>
    </row>
    <row r="2225" spans="1:17" x14ac:dyDescent="0.2">
      <c r="A2225" s="30" t="str">
        <f>IF(C2225&amp;G2225&amp;D2225&lt;&gt;'Funnel setup'!$K$3&amp;'Funnel setup'!$K$4&amp;'Funnel setup'!$K$5,".",IF(A2224=".",1,A2224+1))</f>
        <v>.</v>
      </c>
      <c r="B2225" s="431" t="str">
        <f t="shared" si="34"/>
        <v>Hip Replacement PrimaryProviderBMI - THE SANDRINGHAM HOSPITAL (NT432)Oxford Hip Score</v>
      </c>
      <c r="C2225" t="s">
        <v>248</v>
      </c>
      <c r="D2225" t="s">
        <v>1</v>
      </c>
      <c r="E2225" t="s">
        <v>3298</v>
      </c>
      <c r="F2225" t="s">
        <v>3299</v>
      </c>
      <c r="G2225" t="s">
        <v>14</v>
      </c>
      <c r="H2225">
        <v>126</v>
      </c>
      <c r="I2225">
        <v>18.817</v>
      </c>
      <c r="J2225">
        <v>41.19</v>
      </c>
      <c r="K2225">
        <v>22.373000000000001</v>
      </c>
      <c r="L2225">
        <v>126</v>
      </c>
      <c r="M2225">
        <v>0</v>
      </c>
      <c r="N2225">
        <v>0</v>
      </c>
      <c r="O2225">
        <v>40.298999999999999</v>
      </c>
      <c r="P2225">
        <v>22.094048480000001</v>
      </c>
      <c r="Q2225">
        <v>6.9710000000000001</v>
      </c>
    </row>
    <row r="2226" spans="1:17" x14ac:dyDescent="0.2">
      <c r="A2226" s="30" t="str">
        <f>IF(C2226&amp;G2226&amp;D2226&lt;&gt;'Funnel setup'!$K$3&amp;'Funnel setup'!$K$4&amp;'Funnel setup'!$K$5,".",IF(A2225=".",1,A2225+1))</f>
        <v>.</v>
      </c>
      <c r="B2226" s="431" t="str">
        <f t="shared" si="34"/>
        <v>Hip Replacement PrimaryProviderBMI - THE SAXON CLINIC (NT434)Oxford Hip Score</v>
      </c>
      <c r="C2226" t="s">
        <v>248</v>
      </c>
      <c r="D2226" t="s">
        <v>1</v>
      </c>
      <c r="E2226" t="s">
        <v>3301</v>
      </c>
      <c r="F2226" t="s">
        <v>3302</v>
      </c>
      <c r="G2226" t="s">
        <v>14</v>
      </c>
      <c r="H2226">
        <v>40</v>
      </c>
      <c r="I2226">
        <v>18.55</v>
      </c>
      <c r="J2226">
        <v>38.4</v>
      </c>
      <c r="K2226">
        <v>19.850000000000001</v>
      </c>
      <c r="L2226">
        <v>39</v>
      </c>
      <c r="M2226">
        <v>0</v>
      </c>
      <c r="N2226">
        <v>1</v>
      </c>
      <c r="O2226">
        <v>37.685000000000002</v>
      </c>
      <c r="P2226">
        <v>19.48094</v>
      </c>
      <c r="Q2226">
        <v>9.1989999999999998</v>
      </c>
    </row>
    <row r="2227" spans="1:17" x14ac:dyDescent="0.2">
      <c r="A2227" s="30" t="str">
        <f>IF(C2227&amp;G2227&amp;D2227&lt;&gt;'Funnel setup'!$K$3&amp;'Funnel setup'!$K$4&amp;'Funnel setup'!$K$5,".",IF(A2226=".",1,A2226+1))</f>
        <v>.</v>
      </c>
      <c r="B2227" s="431" t="str">
        <f t="shared" si="34"/>
        <v>Hip Replacement PrimaryProviderBMI - THE SHELBURNE HOSPITAL (NT435)Oxford Hip Score</v>
      </c>
      <c r="C2227" t="s">
        <v>248</v>
      </c>
      <c r="D2227" t="s">
        <v>1</v>
      </c>
      <c r="E2227" t="s">
        <v>4318</v>
      </c>
      <c r="F2227" t="s">
        <v>4319</v>
      </c>
      <c r="G2227" t="s">
        <v>14</v>
      </c>
      <c r="H2227">
        <v>40</v>
      </c>
      <c r="I2227">
        <v>20.100000000000001</v>
      </c>
      <c r="J2227">
        <v>42.575000000000003</v>
      </c>
      <c r="K2227">
        <v>22.475000000000001</v>
      </c>
      <c r="L2227">
        <v>40</v>
      </c>
      <c r="M2227">
        <v>0</v>
      </c>
      <c r="N2227">
        <v>0</v>
      </c>
      <c r="O2227">
        <v>41.206000000000003</v>
      </c>
      <c r="P2227">
        <v>23.001594040000001</v>
      </c>
      <c r="Q2227">
        <v>5.2220000000000004</v>
      </c>
    </row>
    <row r="2228" spans="1:17" x14ac:dyDescent="0.2">
      <c r="A2228" s="30" t="str">
        <f>IF(C2228&amp;G2228&amp;D2228&lt;&gt;'Funnel setup'!$K$3&amp;'Funnel setup'!$K$4&amp;'Funnel setup'!$K$5,".",IF(A2227=".",1,A2227+1))</f>
        <v>.</v>
      </c>
      <c r="B2228" s="431" t="str">
        <f t="shared" si="34"/>
        <v>Hip Replacement PrimaryProviderBMI - THE SLOANE HOSPITAL (NT437)Oxford Hip Score</v>
      </c>
      <c r="C2228" t="s">
        <v>248</v>
      </c>
      <c r="D2228" t="s">
        <v>1</v>
      </c>
      <c r="E2228" t="s">
        <v>4327</v>
      </c>
      <c r="F2228" t="s">
        <v>4328</v>
      </c>
      <c r="G2228" t="s">
        <v>14</v>
      </c>
      <c r="H2228" t="s">
        <v>53</v>
      </c>
      <c r="I2228" t="s">
        <v>53</v>
      </c>
      <c r="J2228" t="s">
        <v>53</v>
      </c>
      <c r="K2228" t="s">
        <v>53</v>
      </c>
      <c r="L2228" t="s">
        <v>53</v>
      </c>
      <c r="M2228" t="s">
        <v>53</v>
      </c>
      <c r="N2228" t="s">
        <v>53</v>
      </c>
      <c r="O2228" t="s">
        <v>53</v>
      </c>
      <c r="P2228" t="s">
        <v>53</v>
      </c>
      <c r="Q2228" t="s">
        <v>53</v>
      </c>
    </row>
    <row r="2229" spans="1:17" x14ac:dyDescent="0.2">
      <c r="A2229" s="30" t="str">
        <f>IF(C2229&amp;G2229&amp;D2229&lt;&gt;'Funnel setup'!$K$3&amp;'Funnel setup'!$K$4&amp;'Funnel setup'!$K$5,".",IF(A2228=".",1,A2228+1))</f>
        <v>.</v>
      </c>
      <c r="B2229" s="431" t="str">
        <f t="shared" si="34"/>
        <v>Hip Replacement PrimaryProviderBMI - THE SOMERFIELD HOSPITAL (NT438)Oxford Hip Score</v>
      </c>
      <c r="C2229" t="s">
        <v>248</v>
      </c>
      <c r="D2229" t="s">
        <v>1</v>
      </c>
      <c r="E2229" t="s">
        <v>3304</v>
      </c>
      <c r="F2229" t="s">
        <v>3305</v>
      </c>
      <c r="G2229" t="s">
        <v>14</v>
      </c>
      <c r="H2229">
        <v>19</v>
      </c>
      <c r="I2229">
        <v>18.841999999999999</v>
      </c>
      <c r="J2229">
        <v>41.579000000000001</v>
      </c>
      <c r="K2229">
        <v>22.736999999999998</v>
      </c>
      <c r="L2229">
        <v>19</v>
      </c>
      <c r="M2229">
        <v>0</v>
      </c>
      <c r="N2229">
        <v>0</v>
      </c>
      <c r="O2229" t="s">
        <v>53</v>
      </c>
      <c r="P2229" t="s">
        <v>53</v>
      </c>
      <c r="Q2229" t="s">
        <v>53</v>
      </c>
    </row>
    <row r="2230" spans="1:17" x14ac:dyDescent="0.2">
      <c r="A2230" s="30" t="str">
        <f>IF(C2230&amp;G2230&amp;D2230&lt;&gt;'Funnel setup'!$K$3&amp;'Funnel setup'!$K$4&amp;'Funnel setup'!$K$5,".",IF(A2229=".",1,A2229+1))</f>
        <v>.</v>
      </c>
      <c r="B2230" s="431" t="str">
        <f t="shared" si="34"/>
        <v>Hip Replacement PrimaryProviderBMI - THE SOUTH CHESHIRE PRIVATE HOSPITAL (NT439)Oxford Hip Score</v>
      </c>
      <c r="C2230" t="s">
        <v>248</v>
      </c>
      <c r="D2230" t="s">
        <v>1</v>
      </c>
      <c r="E2230" t="s">
        <v>3307</v>
      </c>
      <c r="F2230" t="s">
        <v>3308</v>
      </c>
      <c r="G2230" t="s">
        <v>14</v>
      </c>
      <c r="H2230">
        <v>34</v>
      </c>
      <c r="I2230">
        <v>20.471</v>
      </c>
      <c r="J2230">
        <v>43.265000000000001</v>
      </c>
      <c r="K2230">
        <v>22.794</v>
      </c>
      <c r="L2230">
        <v>34</v>
      </c>
      <c r="M2230">
        <v>0</v>
      </c>
      <c r="N2230">
        <v>0</v>
      </c>
      <c r="O2230">
        <v>41.529000000000003</v>
      </c>
      <c r="P2230">
        <v>23.324580090000001</v>
      </c>
      <c r="Q2230">
        <v>6.27</v>
      </c>
    </row>
    <row r="2231" spans="1:17" x14ac:dyDescent="0.2">
      <c r="A2231" s="30" t="str">
        <f>IF(C2231&amp;G2231&amp;D2231&lt;&gt;'Funnel setup'!$K$3&amp;'Funnel setup'!$K$4&amp;'Funnel setup'!$K$5,".",IF(A2230=".",1,A2230+1))</f>
        <v>.</v>
      </c>
      <c r="B2231" s="431" t="str">
        <f t="shared" si="34"/>
        <v>Hip Replacement PrimaryProviderBMI - THE WINTERBOURNE HOSPITAL (NT443)Oxford Hip Score</v>
      </c>
      <c r="C2231" t="s">
        <v>248</v>
      </c>
      <c r="D2231" t="s">
        <v>1</v>
      </c>
      <c r="E2231" t="s">
        <v>3310</v>
      </c>
      <c r="F2231" t="s">
        <v>3311</v>
      </c>
      <c r="G2231" t="s">
        <v>14</v>
      </c>
      <c r="H2231">
        <v>50</v>
      </c>
      <c r="I2231">
        <v>22.58</v>
      </c>
      <c r="J2231">
        <v>42.24</v>
      </c>
      <c r="K2231">
        <v>19.66</v>
      </c>
      <c r="L2231">
        <v>49</v>
      </c>
      <c r="M2231">
        <v>0</v>
      </c>
      <c r="N2231">
        <v>1</v>
      </c>
      <c r="O2231">
        <v>40.622999999999998</v>
      </c>
      <c r="P2231">
        <v>22.418707449999999</v>
      </c>
      <c r="Q2231">
        <v>6.0350000000000001</v>
      </c>
    </row>
    <row r="2232" spans="1:17" x14ac:dyDescent="0.2">
      <c r="A2232" s="30" t="str">
        <f>IF(C2232&amp;G2232&amp;D2232&lt;&gt;'Funnel setup'!$K$3&amp;'Funnel setup'!$K$4&amp;'Funnel setup'!$K$5,".",IF(A2231=".",1,A2231+1))</f>
        <v>.</v>
      </c>
      <c r="B2232" s="431" t="str">
        <f t="shared" si="34"/>
        <v>Hip Replacement PrimaryProviderBMI - THORNBURY HOSPITAL (NT440)Oxford Hip Score</v>
      </c>
      <c r="C2232" t="s">
        <v>248</v>
      </c>
      <c r="D2232" t="s">
        <v>1</v>
      </c>
      <c r="E2232" t="s">
        <v>3313</v>
      </c>
      <c r="F2232" t="s">
        <v>3314</v>
      </c>
      <c r="G2232" t="s">
        <v>14</v>
      </c>
      <c r="H2232">
        <v>53</v>
      </c>
      <c r="I2232">
        <v>18.509</v>
      </c>
      <c r="J2232">
        <v>42.527999999999999</v>
      </c>
      <c r="K2232">
        <v>24.018999999999998</v>
      </c>
      <c r="L2232">
        <v>53</v>
      </c>
      <c r="M2232">
        <v>0</v>
      </c>
      <c r="N2232">
        <v>0</v>
      </c>
      <c r="O2232">
        <v>40.692999999999998</v>
      </c>
      <c r="P2232">
        <v>22.488023080000001</v>
      </c>
      <c r="Q2232">
        <v>6.8869999999999996</v>
      </c>
    </row>
    <row r="2233" spans="1:17" x14ac:dyDescent="0.2">
      <c r="A2233" s="30" t="str">
        <f>IF(C2233&amp;G2233&amp;D2233&lt;&gt;'Funnel setup'!$K$3&amp;'Funnel setup'!$K$4&amp;'Funnel setup'!$K$5,".",IF(A2232=".",1,A2232+1))</f>
        <v>.</v>
      </c>
      <c r="B2233" s="431" t="str">
        <f t="shared" si="34"/>
        <v>Hip Replacement PrimaryProviderBMI - THREE SHIRES HOSPITAL (NT441)Oxford Hip Score</v>
      </c>
      <c r="C2233" t="s">
        <v>248</v>
      </c>
      <c r="D2233" t="s">
        <v>1</v>
      </c>
      <c r="E2233" t="s">
        <v>3316</v>
      </c>
      <c r="F2233" t="s">
        <v>3317</v>
      </c>
      <c r="G2233" t="s">
        <v>14</v>
      </c>
      <c r="H2233">
        <v>42</v>
      </c>
      <c r="I2233">
        <v>17.143000000000001</v>
      </c>
      <c r="J2233">
        <v>43.475999999999999</v>
      </c>
      <c r="K2233">
        <v>26.332999999999998</v>
      </c>
      <c r="L2233">
        <v>42</v>
      </c>
      <c r="M2233">
        <v>0</v>
      </c>
      <c r="N2233">
        <v>0</v>
      </c>
      <c r="O2233">
        <v>42.017000000000003</v>
      </c>
      <c r="P2233">
        <v>23.812056259999999</v>
      </c>
      <c r="Q2233">
        <v>5.6420000000000003</v>
      </c>
    </row>
    <row r="2234" spans="1:17" x14ac:dyDescent="0.2">
      <c r="A2234" s="30" t="str">
        <f>IF(C2234&amp;G2234&amp;D2234&lt;&gt;'Funnel setup'!$K$3&amp;'Funnel setup'!$K$4&amp;'Funnel setup'!$K$5,".",IF(A2233=".",1,A2233+1))</f>
        <v>.</v>
      </c>
      <c r="B2234" s="431" t="str">
        <f t="shared" si="34"/>
        <v>Hip Replacement PrimaryProviderBMI GISBURNE PARK HOSPITAL (NT497)Oxford Hip Score</v>
      </c>
      <c r="C2234" t="s">
        <v>248</v>
      </c>
      <c r="D2234" t="s">
        <v>1</v>
      </c>
      <c r="E2234" t="s">
        <v>3319</v>
      </c>
      <c r="F2234" t="s">
        <v>3320</v>
      </c>
      <c r="G2234" t="s">
        <v>14</v>
      </c>
      <c r="H2234">
        <v>47</v>
      </c>
      <c r="I2234">
        <v>20.978999999999999</v>
      </c>
      <c r="J2234">
        <v>41.426000000000002</v>
      </c>
      <c r="K2234">
        <v>20.446999999999999</v>
      </c>
      <c r="L2234">
        <v>47</v>
      </c>
      <c r="M2234">
        <v>0</v>
      </c>
      <c r="N2234">
        <v>0</v>
      </c>
      <c r="O2234">
        <v>40.33</v>
      </c>
      <c r="P2234">
        <v>22.125339449999998</v>
      </c>
      <c r="Q2234">
        <v>6.4480000000000004</v>
      </c>
    </row>
    <row r="2235" spans="1:17" x14ac:dyDescent="0.2">
      <c r="A2235" s="30" t="str">
        <f>IF(C2235&amp;G2235&amp;D2235&lt;&gt;'Funnel setup'!$K$3&amp;'Funnel setup'!$K$4&amp;'Funnel setup'!$K$5,".",IF(A2234=".",1,A2234+1))</f>
        <v>.</v>
      </c>
      <c r="B2235" s="431" t="str">
        <f t="shared" si="34"/>
        <v>Hip Replacement PrimaryProviderBMI MOUNT ALVERNIA HOSPITAL (NT455)Oxford Hip Score</v>
      </c>
      <c r="C2235" t="s">
        <v>248</v>
      </c>
      <c r="D2235" t="s">
        <v>1</v>
      </c>
      <c r="E2235" t="s">
        <v>3322</v>
      </c>
      <c r="F2235" t="s">
        <v>3323</v>
      </c>
      <c r="G2235" t="s">
        <v>14</v>
      </c>
      <c r="H2235">
        <v>11</v>
      </c>
      <c r="I2235">
        <v>23.908999999999999</v>
      </c>
      <c r="J2235">
        <v>40.091000000000001</v>
      </c>
      <c r="K2235">
        <v>16.181999999999999</v>
      </c>
      <c r="L2235">
        <v>11</v>
      </c>
      <c r="M2235">
        <v>0</v>
      </c>
      <c r="N2235">
        <v>0</v>
      </c>
      <c r="O2235" t="s">
        <v>53</v>
      </c>
      <c r="P2235" t="s">
        <v>53</v>
      </c>
      <c r="Q2235" t="s">
        <v>53</v>
      </c>
    </row>
    <row r="2236" spans="1:17" x14ac:dyDescent="0.2">
      <c r="A2236" s="30" t="str">
        <f>IF(C2236&amp;G2236&amp;D2236&lt;&gt;'Funnel setup'!$K$3&amp;'Funnel setup'!$K$4&amp;'Funnel setup'!$K$5,".",IF(A2235=".",1,A2235+1))</f>
        <v>.</v>
      </c>
      <c r="B2236" s="431" t="str">
        <f t="shared" si="34"/>
        <v>Hip Replacement PrimaryProviderBMI ST EDMUNDS HOSPITAL (NT446)Oxford Hip Score</v>
      </c>
      <c r="C2236" t="s">
        <v>248</v>
      </c>
      <c r="D2236" t="s">
        <v>1</v>
      </c>
      <c r="E2236" t="s">
        <v>3328</v>
      </c>
      <c r="F2236" t="s">
        <v>3329</v>
      </c>
      <c r="G2236" t="s">
        <v>14</v>
      </c>
      <c r="H2236">
        <v>86</v>
      </c>
      <c r="I2236">
        <v>19.802</v>
      </c>
      <c r="J2236">
        <v>40.314</v>
      </c>
      <c r="K2236">
        <v>20.512</v>
      </c>
      <c r="L2236">
        <v>83</v>
      </c>
      <c r="M2236">
        <v>1</v>
      </c>
      <c r="N2236">
        <v>2</v>
      </c>
      <c r="O2236">
        <v>38.506</v>
      </c>
      <c r="P2236">
        <v>20.30112111</v>
      </c>
      <c r="Q2236">
        <v>7.9930000000000003</v>
      </c>
    </row>
    <row r="2237" spans="1:17" x14ac:dyDescent="0.2">
      <c r="A2237" s="30" t="str">
        <f>IF(C2237&amp;G2237&amp;D2237&lt;&gt;'Funnel setup'!$K$3&amp;'Funnel setup'!$K$4&amp;'Funnel setup'!$K$5,".",IF(A2236=".",1,A2236+1))</f>
        <v>.</v>
      </c>
      <c r="B2237" s="431" t="str">
        <f t="shared" si="34"/>
        <v>Hip Replacement PrimaryProviderBMI THE CAVELL HOSPITAL (NT451)Oxford Hip Score</v>
      </c>
      <c r="C2237" t="s">
        <v>248</v>
      </c>
      <c r="D2237" t="s">
        <v>1</v>
      </c>
      <c r="E2237" t="s">
        <v>3331</v>
      </c>
      <c r="F2237" t="s">
        <v>3332</v>
      </c>
      <c r="G2237" t="s">
        <v>14</v>
      </c>
      <c r="H2237">
        <v>32</v>
      </c>
      <c r="I2237">
        <v>18.344000000000001</v>
      </c>
      <c r="J2237">
        <v>42.094000000000001</v>
      </c>
      <c r="K2237">
        <v>23.75</v>
      </c>
      <c r="L2237">
        <v>32</v>
      </c>
      <c r="M2237">
        <v>0</v>
      </c>
      <c r="N2237">
        <v>0</v>
      </c>
      <c r="O2237">
        <v>40.965000000000003</v>
      </c>
      <c r="P2237">
        <v>22.760899980000001</v>
      </c>
      <c r="Q2237">
        <v>4.6379999999999999</v>
      </c>
    </row>
    <row r="2238" spans="1:17" x14ac:dyDescent="0.2">
      <c r="A2238" s="30" t="str">
        <f>IF(C2238&amp;G2238&amp;D2238&lt;&gt;'Funnel setup'!$K$3&amp;'Funnel setup'!$K$4&amp;'Funnel setup'!$K$5,".",IF(A2237=".",1,A2237+1))</f>
        <v>.</v>
      </c>
      <c r="B2238" s="431" t="str">
        <f t="shared" si="34"/>
        <v>Hip Replacement PrimaryProviderBMI THE DUCHY HOSPITAL (NT447)Oxford Hip Score</v>
      </c>
      <c r="C2238" t="s">
        <v>248</v>
      </c>
      <c r="D2238" t="s">
        <v>1</v>
      </c>
      <c r="E2238" t="s">
        <v>3334</v>
      </c>
      <c r="F2238" t="s">
        <v>3335</v>
      </c>
      <c r="G2238" t="s">
        <v>14</v>
      </c>
      <c r="H2238">
        <v>16</v>
      </c>
      <c r="I2238">
        <v>22.375</v>
      </c>
      <c r="J2238">
        <v>45.563000000000002</v>
      </c>
      <c r="K2238">
        <v>23.187999999999999</v>
      </c>
      <c r="L2238">
        <v>16</v>
      </c>
      <c r="M2238">
        <v>0</v>
      </c>
      <c r="N2238">
        <v>0</v>
      </c>
      <c r="O2238" t="s">
        <v>53</v>
      </c>
      <c r="P2238" t="s">
        <v>53</v>
      </c>
      <c r="Q2238" t="s">
        <v>53</v>
      </c>
    </row>
    <row r="2239" spans="1:17" x14ac:dyDescent="0.2">
      <c r="A2239" s="30" t="str">
        <f>IF(C2239&amp;G2239&amp;D2239&lt;&gt;'Funnel setup'!$K$3&amp;'Funnel setup'!$K$4&amp;'Funnel setup'!$K$5,".",IF(A2238=".",1,A2238+1))</f>
        <v>.</v>
      </c>
      <c r="B2239" s="431" t="str">
        <f t="shared" si="34"/>
        <v>Hip Replacement PrimaryProviderBMI THE EDGBASTON HOSPITAL (NT445)Oxford Hip Score</v>
      </c>
      <c r="C2239" t="s">
        <v>248</v>
      </c>
      <c r="D2239" t="s">
        <v>1</v>
      </c>
      <c r="E2239" t="s">
        <v>3337</v>
      </c>
      <c r="F2239" t="s">
        <v>3338</v>
      </c>
      <c r="G2239" t="s">
        <v>14</v>
      </c>
      <c r="H2239">
        <v>34</v>
      </c>
      <c r="I2239">
        <v>18.971</v>
      </c>
      <c r="J2239">
        <v>41.676000000000002</v>
      </c>
      <c r="K2239">
        <v>22.706</v>
      </c>
      <c r="L2239">
        <v>34</v>
      </c>
      <c r="M2239">
        <v>0</v>
      </c>
      <c r="N2239">
        <v>0</v>
      </c>
      <c r="O2239">
        <v>40.74</v>
      </c>
      <c r="P2239">
        <v>22.53522276</v>
      </c>
      <c r="Q2239">
        <v>6.21</v>
      </c>
    </row>
    <row r="2240" spans="1:17" x14ac:dyDescent="0.2">
      <c r="A2240" s="30" t="str">
        <f>IF(C2240&amp;G2240&amp;D2240&lt;&gt;'Funnel setup'!$K$3&amp;'Funnel setup'!$K$4&amp;'Funnel setup'!$K$5,".",IF(A2239=".",1,A2239+1))</f>
        <v>.</v>
      </c>
      <c r="B2240" s="431" t="str">
        <f t="shared" si="34"/>
        <v>Hip Replacement PrimaryProviderBMI THE HUDDERSFIELD HOSPITAL (NT448)Oxford Hip Score</v>
      </c>
      <c r="C2240" t="s">
        <v>248</v>
      </c>
      <c r="D2240" t="s">
        <v>1</v>
      </c>
      <c r="E2240" t="s">
        <v>3346</v>
      </c>
      <c r="F2240" t="s">
        <v>3347</v>
      </c>
      <c r="G2240" t="s">
        <v>14</v>
      </c>
      <c r="H2240">
        <v>49</v>
      </c>
      <c r="I2240">
        <v>21.672999999999998</v>
      </c>
      <c r="J2240">
        <v>41.959000000000003</v>
      </c>
      <c r="K2240">
        <v>20.286000000000001</v>
      </c>
      <c r="L2240">
        <v>48</v>
      </c>
      <c r="M2240">
        <v>0</v>
      </c>
      <c r="N2240">
        <v>1</v>
      </c>
      <c r="O2240">
        <v>40.209000000000003</v>
      </c>
      <c r="P2240">
        <v>22.004181559999999</v>
      </c>
      <c r="Q2240">
        <v>7.0620000000000003</v>
      </c>
    </row>
    <row r="2241" spans="1:17" x14ac:dyDescent="0.2">
      <c r="A2241" s="30" t="str">
        <f>IF(C2241&amp;G2241&amp;D2241&lt;&gt;'Funnel setup'!$K$3&amp;'Funnel setup'!$K$4&amp;'Funnel setup'!$K$5,".",IF(A2240=".",1,A2240+1))</f>
        <v>.</v>
      </c>
      <c r="B2241" s="431" t="str">
        <f t="shared" si="34"/>
        <v>Hip Replacement PrimaryProviderBMI THE LANCASTER HOSPITAL (NT449)Oxford Hip Score</v>
      </c>
      <c r="C2241" t="s">
        <v>248</v>
      </c>
      <c r="D2241" t="s">
        <v>1</v>
      </c>
      <c r="E2241" t="s">
        <v>3349</v>
      </c>
      <c r="F2241" t="s">
        <v>3350</v>
      </c>
      <c r="G2241" t="s">
        <v>14</v>
      </c>
      <c r="H2241">
        <v>46</v>
      </c>
      <c r="I2241">
        <v>23.542999999999999</v>
      </c>
      <c r="J2241">
        <v>41.195999999999998</v>
      </c>
      <c r="K2241">
        <v>17.652000000000001</v>
      </c>
      <c r="L2241">
        <v>45</v>
      </c>
      <c r="M2241">
        <v>1</v>
      </c>
      <c r="N2241">
        <v>0</v>
      </c>
      <c r="O2241">
        <v>39.140999999999998</v>
      </c>
      <c r="P2241">
        <v>20.936951879999999</v>
      </c>
      <c r="Q2241">
        <v>5.9820000000000002</v>
      </c>
    </row>
    <row r="2242" spans="1:17" x14ac:dyDescent="0.2">
      <c r="A2242" s="30" t="str">
        <f>IF(C2242&amp;G2242&amp;D2242&lt;&gt;'Funnel setup'!$K$3&amp;'Funnel setup'!$K$4&amp;'Funnel setup'!$K$5,".",IF(A2241=".",1,A2241+1))</f>
        <v>.</v>
      </c>
      <c r="B2242" s="431" t="str">
        <f t="shared" si="34"/>
        <v>Hip Replacement PrimaryProviderBMI THE LINCOLN HOSPITAL (NT450)Oxford Hip Score</v>
      </c>
      <c r="C2242" t="s">
        <v>248</v>
      </c>
      <c r="D2242" t="s">
        <v>1</v>
      </c>
      <c r="E2242" t="s">
        <v>3352</v>
      </c>
      <c r="F2242" t="s">
        <v>3353</v>
      </c>
      <c r="G2242" t="s">
        <v>14</v>
      </c>
      <c r="H2242">
        <v>84</v>
      </c>
      <c r="I2242">
        <v>22.119</v>
      </c>
      <c r="J2242">
        <v>41.417000000000002</v>
      </c>
      <c r="K2242">
        <v>19.297999999999998</v>
      </c>
      <c r="L2242">
        <v>80</v>
      </c>
      <c r="M2242">
        <v>0</v>
      </c>
      <c r="N2242">
        <v>4</v>
      </c>
      <c r="O2242">
        <v>40.231999999999999</v>
      </c>
      <c r="P2242">
        <v>22.027935119999999</v>
      </c>
      <c r="Q2242">
        <v>6.9930000000000003</v>
      </c>
    </row>
    <row r="2243" spans="1:17" x14ac:dyDescent="0.2">
      <c r="A2243" s="30" t="str">
        <f>IF(C2243&amp;G2243&amp;D2243&lt;&gt;'Funnel setup'!$K$3&amp;'Funnel setup'!$K$4&amp;'Funnel setup'!$K$5,".",IF(A2242=".",1,A2242+1))</f>
        <v>.</v>
      </c>
      <c r="B2243" s="431" t="str">
        <f t="shared" ref="B2243:B2306" si="35">C2243&amp;D2243&amp;F2243&amp;G2243</f>
        <v>Hip Replacement PrimaryProviderBMI WOODLANDS HOSPITAL (NT457)Oxford Hip Score</v>
      </c>
      <c r="C2243" t="s">
        <v>248</v>
      </c>
      <c r="D2243" t="s">
        <v>1</v>
      </c>
      <c r="E2243" t="s">
        <v>3355</v>
      </c>
      <c r="F2243" t="s">
        <v>3356</v>
      </c>
      <c r="G2243" t="s">
        <v>14</v>
      </c>
      <c r="H2243">
        <v>71</v>
      </c>
      <c r="I2243">
        <v>21.535</v>
      </c>
      <c r="J2243">
        <v>40.661999999999999</v>
      </c>
      <c r="K2243">
        <v>19.126999999999999</v>
      </c>
      <c r="L2243">
        <v>68</v>
      </c>
      <c r="M2243">
        <v>0</v>
      </c>
      <c r="N2243">
        <v>3</v>
      </c>
      <c r="O2243">
        <v>38.887999999999998</v>
      </c>
      <c r="P2243">
        <v>20.683934140000002</v>
      </c>
      <c r="Q2243">
        <v>6.6909999999999998</v>
      </c>
    </row>
    <row r="2244" spans="1:17" x14ac:dyDescent="0.2">
      <c r="A2244" s="30" t="str">
        <f>IF(C2244&amp;G2244&amp;D2244&lt;&gt;'Funnel setup'!$K$3&amp;'Funnel setup'!$K$4&amp;'Funnel setup'!$K$5,".",IF(A2243=".",1,A2243+1))</f>
        <v>.</v>
      </c>
      <c r="B2244" s="431" t="str">
        <f t="shared" si="35"/>
        <v>Hip Replacement PrimaryProviderBOLTON NHS FOUNDATION TRUST (RMC)Oxford Hip Score</v>
      </c>
      <c r="C2244" t="s">
        <v>248</v>
      </c>
      <c r="D2244" t="s">
        <v>1</v>
      </c>
      <c r="E2244" t="s">
        <v>3358</v>
      </c>
      <c r="F2244" t="s">
        <v>3359</v>
      </c>
      <c r="G2244" t="s">
        <v>14</v>
      </c>
      <c r="H2244">
        <v>107</v>
      </c>
      <c r="I2244">
        <v>16.420999999999999</v>
      </c>
      <c r="J2244">
        <v>39.298999999999999</v>
      </c>
      <c r="K2244">
        <v>22.879000000000001</v>
      </c>
      <c r="L2244">
        <v>105</v>
      </c>
      <c r="M2244">
        <v>0</v>
      </c>
      <c r="N2244">
        <v>2</v>
      </c>
      <c r="O2244">
        <v>40.994</v>
      </c>
      <c r="P2244">
        <v>22.789780480000001</v>
      </c>
      <c r="Q2244">
        <v>8.2360000000000007</v>
      </c>
    </row>
    <row r="2245" spans="1:17" x14ac:dyDescent="0.2">
      <c r="A2245" s="30" t="str">
        <f>IF(C2245&amp;G2245&amp;D2245&lt;&gt;'Funnel setup'!$K$3&amp;'Funnel setup'!$K$4&amp;'Funnel setup'!$K$5,".",IF(A2244=".",1,A2244+1))</f>
        <v>.</v>
      </c>
      <c r="B2245" s="431" t="str">
        <f t="shared" si="35"/>
        <v>Hip Replacement PrimaryProviderBRADFORD TEACHING HOSPITALS NHS FOUNDATION TRUST (RAE)Oxford Hip Score</v>
      </c>
      <c r="C2245" t="s">
        <v>248</v>
      </c>
      <c r="D2245" t="s">
        <v>1</v>
      </c>
      <c r="E2245" t="s">
        <v>3361</v>
      </c>
      <c r="F2245" t="s">
        <v>3362</v>
      </c>
      <c r="G2245" t="s">
        <v>14</v>
      </c>
      <c r="H2245">
        <v>90</v>
      </c>
      <c r="I2245">
        <v>17.466999999999999</v>
      </c>
      <c r="J2245">
        <v>36.832999999999998</v>
      </c>
      <c r="K2245">
        <v>19.367000000000001</v>
      </c>
      <c r="L2245">
        <v>87</v>
      </c>
      <c r="M2245">
        <v>0</v>
      </c>
      <c r="N2245">
        <v>3</v>
      </c>
      <c r="O2245">
        <v>39.259</v>
      </c>
      <c r="P2245">
        <v>21.05477256</v>
      </c>
      <c r="Q2245">
        <v>8.3339999999999996</v>
      </c>
    </row>
    <row r="2246" spans="1:17" x14ac:dyDescent="0.2">
      <c r="A2246" s="30" t="str">
        <f>IF(C2246&amp;G2246&amp;D2246&lt;&gt;'Funnel setup'!$K$3&amp;'Funnel setup'!$K$4&amp;'Funnel setup'!$K$5,".",IF(A2245=".",1,A2245+1))</f>
        <v>.</v>
      </c>
      <c r="B2246" s="431" t="str">
        <f t="shared" si="35"/>
        <v>Hip Replacement PrimaryProviderBRIGHTON AND SUSSEX UNIVERSITY HOSPITALS NHS TRUST (RXH)Oxford Hip Score</v>
      </c>
      <c r="C2246" t="s">
        <v>248</v>
      </c>
      <c r="D2246" t="s">
        <v>1</v>
      </c>
      <c r="E2246" t="s">
        <v>3367</v>
      </c>
      <c r="F2246" t="s">
        <v>3368</v>
      </c>
      <c r="G2246" t="s">
        <v>14</v>
      </c>
      <c r="H2246">
        <v>211</v>
      </c>
      <c r="I2246">
        <v>20.128</v>
      </c>
      <c r="J2246">
        <v>39.283999999999999</v>
      </c>
      <c r="K2246">
        <v>19.155999999999999</v>
      </c>
      <c r="L2246">
        <v>201</v>
      </c>
      <c r="M2246">
        <v>1</v>
      </c>
      <c r="N2246">
        <v>9</v>
      </c>
      <c r="O2246">
        <v>38.847999999999999</v>
      </c>
      <c r="P2246">
        <v>20.64341649</v>
      </c>
      <c r="Q2246">
        <v>8.7089999999999996</v>
      </c>
    </row>
    <row r="2247" spans="1:17" x14ac:dyDescent="0.2">
      <c r="A2247" s="30" t="str">
        <f>IF(C2247&amp;G2247&amp;D2247&lt;&gt;'Funnel setup'!$K$3&amp;'Funnel setup'!$K$4&amp;'Funnel setup'!$K$5,".",IF(A2246=".",1,A2246+1))</f>
        <v>.</v>
      </c>
      <c r="B2247" s="431" t="str">
        <f t="shared" si="35"/>
        <v>Hip Replacement PrimaryProviderBUCKINGHAMSHIRE HEALTHCARE NHS TRUST (RXQ)Oxford Hip Score</v>
      </c>
      <c r="C2247" t="s">
        <v>248</v>
      </c>
      <c r="D2247" t="s">
        <v>1</v>
      </c>
      <c r="E2247" t="s">
        <v>3370</v>
      </c>
      <c r="F2247" t="s">
        <v>3371</v>
      </c>
      <c r="G2247" t="s">
        <v>14</v>
      </c>
      <c r="H2247">
        <v>151</v>
      </c>
      <c r="I2247">
        <v>17.881</v>
      </c>
      <c r="J2247">
        <v>37.987000000000002</v>
      </c>
      <c r="K2247">
        <v>20.106000000000002</v>
      </c>
      <c r="L2247">
        <v>147</v>
      </c>
      <c r="M2247">
        <v>0</v>
      </c>
      <c r="N2247">
        <v>4</v>
      </c>
      <c r="O2247">
        <v>37.704999999999998</v>
      </c>
      <c r="P2247">
        <v>19.500167529999999</v>
      </c>
      <c r="Q2247">
        <v>8.74</v>
      </c>
    </row>
    <row r="2248" spans="1:17" x14ac:dyDescent="0.2">
      <c r="A2248" s="30" t="str">
        <f>IF(C2248&amp;G2248&amp;D2248&lt;&gt;'Funnel setup'!$K$3&amp;'Funnel setup'!$K$4&amp;'Funnel setup'!$K$5,".",IF(A2247=".",1,A2247+1))</f>
        <v>.</v>
      </c>
      <c r="B2248" s="431" t="str">
        <f t="shared" si="35"/>
        <v>Hip Replacement PrimaryProviderBURTON HOSPITALS NHS FOUNDATION TRUST (RJF)Oxford Hip Score</v>
      </c>
      <c r="C2248" t="s">
        <v>248</v>
      </c>
      <c r="D2248" t="s">
        <v>1</v>
      </c>
      <c r="E2248" t="s">
        <v>3373</v>
      </c>
      <c r="F2248" t="s">
        <v>3374</v>
      </c>
      <c r="G2248" t="s">
        <v>14</v>
      </c>
      <c r="H2248">
        <v>182</v>
      </c>
      <c r="I2248">
        <v>18.082000000000001</v>
      </c>
      <c r="J2248">
        <v>40.456000000000003</v>
      </c>
      <c r="K2248">
        <v>22.373999999999999</v>
      </c>
      <c r="L2248">
        <v>179</v>
      </c>
      <c r="M2248">
        <v>0</v>
      </c>
      <c r="N2248">
        <v>3</v>
      </c>
      <c r="O2248">
        <v>40.289000000000001</v>
      </c>
      <c r="P2248">
        <v>22.084475999999999</v>
      </c>
      <c r="Q2248">
        <v>7.11</v>
      </c>
    </row>
    <row r="2249" spans="1:17" x14ac:dyDescent="0.2">
      <c r="A2249" s="30" t="str">
        <f>IF(C2249&amp;G2249&amp;D2249&lt;&gt;'Funnel setup'!$K$3&amp;'Funnel setup'!$K$4&amp;'Funnel setup'!$K$5,".",IF(A2248=".",1,A2248+1))</f>
        <v>.</v>
      </c>
      <c r="B2249" s="431" t="str">
        <f t="shared" si="35"/>
        <v>Hip Replacement PrimaryProviderCALDERDALE AND HUDDERSFIELD NHS FOUNDATION TRUST (RWY)Oxford Hip Score</v>
      </c>
      <c r="C2249" t="s">
        <v>248</v>
      </c>
      <c r="D2249" t="s">
        <v>1</v>
      </c>
      <c r="E2249" t="s">
        <v>3379</v>
      </c>
      <c r="F2249" t="s">
        <v>3380</v>
      </c>
      <c r="G2249" t="s">
        <v>14</v>
      </c>
      <c r="H2249">
        <v>267</v>
      </c>
      <c r="I2249">
        <v>18.933</v>
      </c>
      <c r="J2249">
        <v>40.067</v>
      </c>
      <c r="K2249">
        <v>21.135000000000002</v>
      </c>
      <c r="L2249">
        <v>264</v>
      </c>
      <c r="M2249">
        <v>1</v>
      </c>
      <c r="N2249">
        <v>2</v>
      </c>
      <c r="O2249">
        <v>40.287999999999997</v>
      </c>
      <c r="P2249">
        <v>22.0833938</v>
      </c>
      <c r="Q2249">
        <v>7.242</v>
      </c>
    </row>
    <row r="2250" spans="1:17" x14ac:dyDescent="0.2">
      <c r="A2250" s="30" t="str">
        <f>IF(C2250&amp;G2250&amp;D2250&lt;&gt;'Funnel setup'!$K$3&amp;'Funnel setup'!$K$4&amp;'Funnel setup'!$K$5,".",IF(A2249=".",1,A2249+1))</f>
        <v>.</v>
      </c>
      <c r="B2250" s="431" t="str">
        <f t="shared" si="35"/>
        <v>Hip Replacement PrimaryProviderCAMBRIDGE UNIVERSITY HOSPITALS NHS FOUNDATION TRUST (RGT)Oxford Hip Score</v>
      </c>
      <c r="C2250" t="s">
        <v>248</v>
      </c>
      <c r="D2250" t="s">
        <v>1</v>
      </c>
      <c r="E2250" t="s">
        <v>3076</v>
      </c>
      <c r="F2250" t="s">
        <v>3077</v>
      </c>
      <c r="G2250" t="s">
        <v>14</v>
      </c>
      <c r="H2250">
        <v>248</v>
      </c>
      <c r="I2250">
        <v>18.484000000000002</v>
      </c>
      <c r="J2250">
        <v>40.588999999999999</v>
      </c>
      <c r="K2250">
        <v>22.105</v>
      </c>
      <c r="L2250">
        <v>243</v>
      </c>
      <c r="M2250">
        <v>1</v>
      </c>
      <c r="N2250">
        <v>4</v>
      </c>
      <c r="O2250">
        <v>40.048999999999999</v>
      </c>
      <c r="P2250">
        <v>21.844614289999999</v>
      </c>
      <c r="Q2250">
        <v>7.5209999999999999</v>
      </c>
    </row>
    <row r="2251" spans="1:17" x14ac:dyDescent="0.2">
      <c r="A2251" s="30" t="str">
        <f>IF(C2251&amp;G2251&amp;D2251&lt;&gt;'Funnel setup'!$K$3&amp;'Funnel setup'!$K$4&amp;'Funnel setup'!$K$5,".",IF(A2250=".",1,A2250+1))</f>
        <v>.</v>
      </c>
      <c r="B2251" s="431" t="str">
        <f t="shared" si="35"/>
        <v>Hip Replacement PrimaryProviderCENTRAL MANCHESTER UNIVERSITY HOSPITALS NHS FOUNDATION TRUST (RW3)Oxford Hip Score</v>
      </c>
      <c r="C2251" t="s">
        <v>248</v>
      </c>
      <c r="D2251" t="s">
        <v>1</v>
      </c>
      <c r="E2251" t="s">
        <v>3079</v>
      </c>
      <c r="F2251" t="s">
        <v>3080</v>
      </c>
      <c r="G2251" t="s">
        <v>14</v>
      </c>
      <c r="H2251">
        <v>53</v>
      </c>
      <c r="I2251">
        <v>19.132000000000001</v>
      </c>
      <c r="J2251">
        <v>39.037999999999997</v>
      </c>
      <c r="K2251">
        <v>19.905999999999999</v>
      </c>
      <c r="L2251">
        <v>51</v>
      </c>
      <c r="M2251">
        <v>0</v>
      </c>
      <c r="N2251">
        <v>2</v>
      </c>
      <c r="O2251">
        <v>38.881</v>
      </c>
      <c r="P2251">
        <v>20.676205070000002</v>
      </c>
      <c r="Q2251">
        <v>8.2210000000000001</v>
      </c>
    </row>
    <row r="2252" spans="1:17" x14ac:dyDescent="0.2">
      <c r="A2252" s="30" t="str">
        <f>IF(C2252&amp;G2252&amp;D2252&lt;&gt;'Funnel setup'!$K$3&amp;'Funnel setup'!$K$4&amp;'Funnel setup'!$K$5,".",IF(A2251=".",1,A2251+1))</f>
        <v>.</v>
      </c>
      <c r="B2252" s="431" t="str">
        <f t="shared" si="35"/>
        <v>Hip Replacement PrimaryProviderCHELSEA AND WESTMINSTER HOSPITAL NHS FOUNDATION TRUST (RQM)Oxford Hip Score</v>
      </c>
      <c r="C2252" t="s">
        <v>248</v>
      </c>
      <c r="D2252" t="s">
        <v>1</v>
      </c>
      <c r="E2252" t="s">
        <v>3082</v>
      </c>
      <c r="F2252" t="s">
        <v>3083</v>
      </c>
      <c r="G2252" t="s">
        <v>14</v>
      </c>
      <c r="H2252">
        <v>26</v>
      </c>
      <c r="I2252">
        <v>17.846</v>
      </c>
      <c r="J2252">
        <v>39.231000000000002</v>
      </c>
      <c r="K2252">
        <v>21.385000000000002</v>
      </c>
      <c r="L2252">
        <v>25</v>
      </c>
      <c r="M2252">
        <v>0</v>
      </c>
      <c r="N2252">
        <v>1</v>
      </c>
      <c r="O2252" t="s">
        <v>53</v>
      </c>
      <c r="P2252" t="s">
        <v>53</v>
      </c>
      <c r="Q2252" t="s">
        <v>53</v>
      </c>
    </row>
    <row r="2253" spans="1:17" x14ac:dyDescent="0.2">
      <c r="A2253" s="30" t="str">
        <f>IF(C2253&amp;G2253&amp;D2253&lt;&gt;'Funnel setup'!$K$3&amp;'Funnel setup'!$K$4&amp;'Funnel setup'!$K$5,".",IF(A2252=".",1,A2252+1))</f>
        <v>.</v>
      </c>
      <c r="B2253" s="431" t="str">
        <f t="shared" si="35"/>
        <v>Hip Replacement PrimaryProviderCHESTERFIELD ROYAL HOSPITAL NHS FOUNDATION TRUST (RFS)Oxford Hip Score</v>
      </c>
      <c r="C2253" t="s">
        <v>248</v>
      </c>
      <c r="D2253" t="s">
        <v>1</v>
      </c>
      <c r="E2253" t="s">
        <v>3085</v>
      </c>
      <c r="F2253" t="s">
        <v>3086</v>
      </c>
      <c r="G2253" t="s">
        <v>14</v>
      </c>
      <c r="H2253">
        <v>183</v>
      </c>
      <c r="I2253">
        <v>17.279</v>
      </c>
      <c r="J2253">
        <v>36.962000000000003</v>
      </c>
      <c r="K2253">
        <v>19.683</v>
      </c>
      <c r="L2253">
        <v>171</v>
      </c>
      <c r="M2253">
        <v>1</v>
      </c>
      <c r="N2253">
        <v>11</v>
      </c>
      <c r="O2253">
        <v>37.988</v>
      </c>
      <c r="P2253">
        <v>19.783122639999998</v>
      </c>
      <c r="Q2253">
        <v>9.2460000000000004</v>
      </c>
    </row>
    <row r="2254" spans="1:17" x14ac:dyDescent="0.2">
      <c r="A2254" s="30" t="str">
        <f>IF(C2254&amp;G2254&amp;D2254&lt;&gt;'Funnel setup'!$K$3&amp;'Funnel setup'!$K$4&amp;'Funnel setup'!$K$5,".",IF(A2253=".",1,A2253+1))</f>
        <v>.</v>
      </c>
      <c r="B2254" s="431" t="str">
        <f t="shared" si="35"/>
        <v>Hip Replacement PrimaryProviderCIRCLE BATH HOSPITAL (NV302)Oxford Hip Score</v>
      </c>
      <c r="C2254" t="s">
        <v>248</v>
      </c>
      <c r="D2254" t="s">
        <v>1</v>
      </c>
      <c r="E2254" t="s">
        <v>3097</v>
      </c>
      <c r="F2254" t="s">
        <v>3098</v>
      </c>
      <c r="G2254" t="s">
        <v>14</v>
      </c>
      <c r="H2254">
        <v>207</v>
      </c>
      <c r="I2254">
        <v>19.661999999999999</v>
      </c>
      <c r="J2254">
        <v>43.28</v>
      </c>
      <c r="K2254">
        <v>23.617999999999999</v>
      </c>
      <c r="L2254">
        <v>205</v>
      </c>
      <c r="M2254">
        <v>0</v>
      </c>
      <c r="N2254">
        <v>2</v>
      </c>
      <c r="O2254">
        <v>42.064999999999998</v>
      </c>
      <c r="P2254">
        <v>23.860999410000002</v>
      </c>
      <c r="Q2254">
        <v>5.6580000000000004</v>
      </c>
    </row>
    <row r="2255" spans="1:17" x14ac:dyDescent="0.2">
      <c r="A2255" s="30" t="str">
        <f>IF(C2255&amp;G2255&amp;D2255&lt;&gt;'Funnel setup'!$K$3&amp;'Funnel setup'!$K$4&amp;'Funnel setup'!$K$5,".",IF(A2254=".",1,A2254+1))</f>
        <v>.</v>
      </c>
      <c r="B2255" s="431" t="str">
        <f t="shared" si="35"/>
        <v>Hip Replacement PrimaryProviderCIRCLE READING HOSPITAL (NV323)Oxford Hip Score</v>
      </c>
      <c r="C2255" t="s">
        <v>248</v>
      </c>
      <c r="D2255" t="s">
        <v>1</v>
      </c>
      <c r="E2255" t="s">
        <v>3091</v>
      </c>
      <c r="F2255" t="s">
        <v>3092</v>
      </c>
      <c r="G2255" t="s">
        <v>14</v>
      </c>
      <c r="H2255">
        <v>113</v>
      </c>
      <c r="I2255">
        <v>20.495999999999999</v>
      </c>
      <c r="J2255">
        <v>41.521999999999998</v>
      </c>
      <c r="K2255">
        <v>21.027000000000001</v>
      </c>
      <c r="L2255">
        <v>109</v>
      </c>
      <c r="M2255">
        <v>1</v>
      </c>
      <c r="N2255">
        <v>3</v>
      </c>
      <c r="O2255">
        <v>39.304000000000002</v>
      </c>
      <c r="P2255">
        <v>21.09955463</v>
      </c>
      <c r="Q2255">
        <v>6.5590000000000002</v>
      </c>
    </row>
    <row r="2256" spans="1:17" x14ac:dyDescent="0.2">
      <c r="A2256" s="30" t="str">
        <f>IF(C2256&amp;G2256&amp;D2256&lt;&gt;'Funnel setup'!$K$3&amp;'Funnel setup'!$K$4&amp;'Funnel setup'!$K$5,".",IF(A2255=".",1,A2255+1))</f>
        <v>.</v>
      </c>
      <c r="B2256" s="431" t="str">
        <f t="shared" si="35"/>
        <v>Hip Replacement PrimaryProviderCITY HOSPITALS SUNDERLAND NHS FOUNDATION TRUST (RLN)Oxford Hip Score</v>
      </c>
      <c r="C2256" t="s">
        <v>248</v>
      </c>
      <c r="D2256" t="s">
        <v>1</v>
      </c>
      <c r="E2256" t="s">
        <v>3100</v>
      </c>
      <c r="F2256" t="s">
        <v>3101</v>
      </c>
      <c r="G2256" t="s">
        <v>14</v>
      </c>
      <c r="H2256">
        <v>192</v>
      </c>
      <c r="I2256">
        <v>14.911</v>
      </c>
      <c r="J2256">
        <v>37.421999999999997</v>
      </c>
      <c r="K2256">
        <v>22.51</v>
      </c>
      <c r="L2256">
        <v>188</v>
      </c>
      <c r="M2256">
        <v>0</v>
      </c>
      <c r="N2256">
        <v>4</v>
      </c>
      <c r="O2256">
        <v>39.582000000000001</v>
      </c>
      <c r="P2256">
        <v>21.377158179999999</v>
      </c>
      <c r="Q2256">
        <v>9.173</v>
      </c>
    </row>
    <row r="2257" spans="1:17" x14ac:dyDescent="0.2">
      <c r="A2257" s="30" t="str">
        <f>IF(C2257&amp;G2257&amp;D2257&lt;&gt;'Funnel setup'!$K$3&amp;'Funnel setup'!$K$4&amp;'Funnel setup'!$K$5,".",IF(A2256=".",1,A2256+1))</f>
        <v>.</v>
      </c>
      <c r="B2257" s="431" t="str">
        <f t="shared" si="35"/>
        <v>Hip Replacement PrimaryProviderCLIFTON PARK HOSPITAL (NVC28)Oxford Hip Score</v>
      </c>
      <c r="C2257" t="s">
        <v>248</v>
      </c>
      <c r="D2257" t="s">
        <v>1</v>
      </c>
      <c r="E2257" t="s">
        <v>4229</v>
      </c>
      <c r="F2257" t="s">
        <v>4230</v>
      </c>
      <c r="G2257" t="s">
        <v>14</v>
      </c>
      <c r="H2257">
        <v>267</v>
      </c>
      <c r="I2257">
        <v>20.506</v>
      </c>
      <c r="J2257">
        <v>41.404000000000003</v>
      </c>
      <c r="K2257">
        <v>20.899000000000001</v>
      </c>
      <c r="L2257">
        <v>257</v>
      </c>
      <c r="M2257">
        <v>2</v>
      </c>
      <c r="N2257">
        <v>8</v>
      </c>
      <c r="O2257">
        <v>39.604999999999997</v>
      </c>
      <c r="P2257">
        <v>21.40022295</v>
      </c>
      <c r="Q2257">
        <v>7.5620000000000003</v>
      </c>
    </row>
    <row r="2258" spans="1:17" x14ac:dyDescent="0.2">
      <c r="A2258" s="30" t="str">
        <f>IF(C2258&amp;G2258&amp;D2258&lt;&gt;'Funnel setup'!$K$3&amp;'Funnel setup'!$K$4&amp;'Funnel setup'!$K$5,".",IF(A2257=".",1,A2257+1))</f>
        <v>.</v>
      </c>
      <c r="B2258" s="431" t="str">
        <f t="shared" si="35"/>
        <v>Hip Replacement PrimaryProviderCOLCHESTER HOSPITAL UNIVERSITY NHS FOUNDATION TRUST (RDE)Oxford Hip Score</v>
      </c>
      <c r="C2258" t="s">
        <v>248</v>
      </c>
      <c r="D2258" t="s">
        <v>1</v>
      </c>
      <c r="E2258" t="s">
        <v>3109</v>
      </c>
      <c r="F2258" t="s">
        <v>3110</v>
      </c>
      <c r="G2258" t="s">
        <v>14</v>
      </c>
      <c r="H2258">
        <v>171</v>
      </c>
      <c r="I2258">
        <v>17.187000000000001</v>
      </c>
      <c r="J2258">
        <v>37.322000000000003</v>
      </c>
      <c r="K2258">
        <v>20.135000000000002</v>
      </c>
      <c r="L2258">
        <v>166</v>
      </c>
      <c r="M2258">
        <v>2</v>
      </c>
      <c r="N2258">
        <v>3</v>
      </c>
      <c r="O2258">
        <v>38.204000000000001</v>
      </c>
      <c r="P2258">
        <v>19.99937813</v>
      </c>
      <c r="Q2258">
        <v>8.609</v>
      </c>
    </row>
    <row r="2259" spans="1:17" x14ac:dyDescent="0.2">
      <c r="A2259" s="30" t="str">
        <f>IF(C2259&amp;G2259&amp;D2259&lt;&gt;'Funnel setup'!$K$3&amp;'Funnel setup'!$K$4&amp;'Funnel setup'!$K$5,".",IF(A2258=".",1,A2258+1))</f>
        <v>.</v>
      </c>
      <c r="B2259" s="431" t="str">
        <f t="shared" si="35"/>
        <v>Hip Replacement PrimaryProviderCOUNTESS OF CHESTER HOSPITAL NHS FOUNDATION TRUST (RJR)Oxford Hip Score</v>
      </c>
      <c r="C2259" t="s">
        <v>248</v>
      </c>
      <c r="D2259" t="s">
        <v>1</v>
      </c>
      <c r="E2259" t="s">
        <v>3781</v>
      </c>
      <c r="F2259" t="s">
        <v>3782</v>
      </c>
      <c r="G2259" t="s">
        <v>14</v>
      </c>
      <c r="H2259">
        <v>76</v>
      </c>
      <c r="I2259">
        <v>17.486999999999998</v>
      </c>
      <c r="J2259">
        <v>39.539000000000001</v>
      </c>
      <c r="K2259">
        <v>22.053000000000001</v>
      </c>
      <c r="L2259">
        <v>72</v>
      </c>
      <c r="M2259">
        <v>0</v>
      </c>
      <c r="N2259">
        <v>4</v>
      </c>
      <c r="O2259">
        <v>40.290999999999997</v>
      </c>
      <c r="P2259">
        <v>22.086880059999999</v>
      </c>
      <c r="Q2259">
        <v>8.2330000000000005</v>
      </c>
    </row>
    <row r="2260" spans="1:17" x14ac:dyDescent="0.2">
      <c r="A2260" s="30" t="str">
        <f>IF(C2260&amp;G2260&amp;D2260&lt;&gt;'Funnel setup'!$K$3&amp;'Funnel setup'!$K$4&amp;'Funnel setup'!$K$5,".",IF(A2259=".",1,A2259+1))</f>
        <v>.</v>
      </c>
      <c r="B2260" s="431" t="str">
        <f t="shared" si="35"/>
        <v>Hip Replacement PrimaryProviderCOUNTY DURHAM AND DARLINGTON NHS FOUNDATION TRUST (RXP)Oxford Hip Score</v>
      </c>
      <c r="C2260" t="s">
        <v>248</v>
      </c>
      <c r="D2260" t="s">
        <v>1</v>
      </c>
      <c r="E2260" t="s">
        <v>3784</v>
      </c>
      <c r="F2260" t="s">
        <v>3785</v>
      </c>
      <c r="G2260" t="s">
        <v>14</v>
      </c>
      <c r="H2260">
        <v>259</v>
      </c>
      <c r="I2260">
        <v>15.653</v>
      </c>
      <c r="J2260">
        <v>37.976999999999997</v>
      </c>
      <c r="K2260">
        <v>22.324000000000002</v>
      </c>
      <c r="L2260">
        <v>255</v>
      </c>
      <c r="M2260">
        <v>0</v>
      </c>
      <c r="N2260">
        <v>4</v>
      </c>
      <c r="O2260">
        <v>39.482999999999997</v>
      </c>
      <c r="P2260">
        <v>21.27897029</v>
      </c>
      <c r="Q2260">
        <v>8.61</v>
      </c>
    </row>
    <row r="2261" spans="1:17" x14ac:dyDescent="0.2">
      <c r="A2261" s="30" t="str">
        <f>IF(C2261&amp;G2261&amp;D2261&lt;&gt;'Funnel setup'!$K$3&amp;'Funnel setup'!$K$4&amp;'Funnel setup'!$K$5,".",IF(A2260=".",1,A2260+1))</f>
        <v>.</v>
      </c>
      <c r="B2261" s="431" t="str">
        <f t="shared" si="35"/>
        <v>Hip Replacement PrimaryProviderDARTFORD AND GRAVESHAM NHS TRUST (RN7)Oxford Hip Score</v>
      </c>
      <c r="C2261" t="s">
        <v>248</v>
      </c>
      <c r="D2261" t="s">
        <v>1</v>
      </c>
      <c r="E2261" t="s">
        <v>3787</v>
      </c>
      <c r="F2261" t="s">
        <v>3788</v>
      </c>
      <c r="G2261" t="s">
        <v>14</v>
      </c>
      <c r="H2261">
        <v>153</v>
      </c>
      <c r="I2261">
        <v>17.32</v>
      </c>
      <c r="J2261">
        <v>37.837000000000003</v>
      </c>
      <c r="K2261">
        <v>20.515999999999998</v>
      </c>
      <c r="L2261">
        <v>147</v>
      </c>
      <c r="M2261">
        <v>2</v>
      </c>
      <c r="N2261">
        <v>4</v>
      </c>
      <c r="O2261">
        <v>38.39</v>
      </c>
      <c r="P2261">
        <v>20.18577715</v>
      </c>
      <c r="Q2261">
        <v>8.5370000000000008</v>
      </c>
    </row>
    <row r="2262" spans="1:17" x14ac:dyDescent="0.2">
      <c r="A2262" s="30" t="str">
        <f>IF(C2262&amp;G2262&amp;D2262&lt;&gt;'Funnel setup'!$K$3&amp;'Funnel setup'!$K$4&amp;'Funnel setup'!$K$5,".",IF(A2261=".",1,A2261+1))</f>
        <v>.</v>
      </c>
      <c r="B2262" s="431" t="str">
        <f t="shared" si="35"/>
        <v>Hip Replacement PrimaryProviderDERBY TEACHING HOSPITALS NHS FOUNDATION TRUST (RTG)Oxford Hip Score</v>
      </c>
      <c r="C2262" t="s">
        <v>248</v>
      </c>
      <c r="D2262" t="s">
        <v>1</v>
      </c>
      <c r="E2262" t="s">
        <v>3790</v>
      </c>
      <c r="F2262" t="s">
        <v>3791</v>
      </c>
      <c r="G2262" t="s">
        <v>14</v>
      </c>
      <c r="H2262">
        <v>410</v>
      </c>
      <c r="I2262">
        <v>18.248999999999999</v>
      </c>
      <c r="J2262">
        <v>38.750999999999998</v>
      </c>
      <c r="K2262">
        <v>20.501999999999999</v>
      </c>
      <c r="L2262">
        <v>393</v>
      </c>
      <c r="M2262">
        <v>3</v>
      </c>
      <c r="N2262">
        <v>14</v>
      </c>
      <c r="O2262">
        <v>38.823</v>
      </c>
      <c r="P2262">
        <v>20.61854177</v>
      </c>
      <c r="Q2262">
        <v>8.2560000000000002</v>
      </c>
    </row>
    <row r="2263" spans="1:17" x14ac:dyDescent="0.2">
      <c r="A2263" s="30" t="str">
        <f>IF(C2263&amp;G2263&amp;D2263&lt;&gt;'Funnel setup'!$K$3&amp;'Funnel setup'!$K$4&amp;'Funnel setup'!$K$5,".",IF(A2262=".",1,A2262+1))</f>
        <v>.</v>
      </c>
      <c r="B2263" s="431" t="str">
        <f t="shared" si="35"/>
        <v>Hip Replacement PrimaryProviderDONCASTER AND BASSETLAW HOSPITALS NHS FOUNDATION TRUST (RP5)Oxford Hip Score</v>
      </c>
      <c r="C2263" t="s">
        <v>248</v>
      </c>
      <c r="D2263" t="s">
        <v>1</v>
      </c>
      <c r="E2263" t="s">
        <v>3799</v>
      </c>
      <c r="F2263" t="s">
        <v>3800</v>
      </c>
      <c r="G2263" t="s">
        <v>14</v>
      </c>
      <c r="H2263">
        <v>283</v>
      </c>
      <c r="I2263">
        <v>15.862</v>
      </c>
      <c r="J2263">
        <v>37.027999999999999</v>
      </c>
      <c r="K2263">
        <v>21.166</v>
      </c>
      <c r="L2263">
        <v>276</v>
      </c>
      <c r="M2263">
        <v>2</v>
      </c>
      <c r="N2263">
        <v>5</v>
      </c>
      <c r="O2263">
        <v>38.808</v>
      </c>
      <c r="P2263">
        <v>20.60397438</v>
      </c>
      <c r="Q2263">
        <v>8.8919999999999995</v>
      </c>
    </row>
    <row r="2264" spans="1:17" x14ac:dyDescent="0.2">
      <c r="A2264" s="30" t="str">
        <f>IF(C2264&amp;G2264&amp;D2264&lt;&gt;'Funnel setup'!$K$3&amp;'Funnel setup'!$K$4&amp;'Funnel setup'!$K$5,".",IF(A2263=".",1,A2263+1))</f>
        <v>.</v>
      </c>
      <c r="B2264" s="431" t="str">
        <f t="shared" si="35"/>
        <v>Hip Replacement PrimaryProviderDORSET COUNTY HOSPITAL NHS FOUNDATION TRUST (RBD)Oxford Hip Score</v>
      </c>
      <c r="C2264" t="s">
        <v>248</v>
      </c>
      <c r="D2264" t="s">
        <v>1</v>
      </c>
      <c r="E2264" t="s">
        <v>3802</v>
      </c>
      <c r="F2264" t="s">
        <v>3803</v>
      </c>
      <c r="G2264" t="s">
        <v>14</v>
      </c>
      <c r="H2264">
        <v>200</v>
      </c>
      <c r="I2264">
        <v>18.850000000000001</v>
      </c>
      <c r="J2264">
        <v>40.67</v>
      </c>
      <c r="K2264">
        <v>21.82</v>
      </c>
      <c r="L2264">
        <v>199</v>
      </c>
      <c r="M2264">
        <v>0</v>
      </c>
      <c r="N2264">
        <v>1</v>
      </c>
      <c r="O2264">
        <v>40.832999999999998</v>
      </c>
      <c r="P2264">
        <v>22.62812967</v>
      </c>
      <c r="Q2264">
        <v>6.6420000000000003</v>
      </c>
    </row>
    <row r="2265" spans="1:17" x14ac:dyDescent="0.2">
      <c r="A2265" s="30" t="str">
        <f>IF(C2265&amp;G2265&amp;D2265&lt;&gt;'Funnel setup'!$K$3&amp;'Funnel setup'!$K$4&amp;'Funnel setup'!$K$5,".",IF(A2264=".",1,A2264+1))</f>
        <v>.</v>
      </c>
      <c r="B2265" s="431" t="str">
        <f t="shared" si="35"/>
        <v>Hip Replacement PrimaryProviderDUCHY HOSPITAL (NVC04)Oxford Hip Score</v>
      </c>
      <c r="C2265" t="s">
        <v>248</v>
      </c>
      <c r="D2265" t="s">
        <v>1</v>
      </c>
      <c r="E2265" t="s">
        <v>4518</v>
      </c>
      <c r="F2265" t="s">
        <v>4519</v>
      </c>
      <c r="G2265" t="s">
        <v>14</v>
      </c>
      <c r="H2265">
        <v>367</v>
      </c>
      <c r="I2265">
        <v>20.286000000000001</v>
      </c>
      <c r="J2265">
        <v>40.956000000000003</v>
      </c>
      <c r="K2265">
        <v>20.67</v>
      </c>
      <c r="L2265">
        <v>361</v>
      </c>
      <c r="M2265">
        <v>2</v>
      </c>
      <c r="N2265">
        <v>4</v>
      </c>
      <c r="O2265">
        <v>40.015000000000001</v>
      </c>
      <c r="P2265">
        <v>21.810127120000001</v>
      </c>
      <c r="Q2265">
        <v>6.81</v>
      </c>
    </row>
    <row r="2266" spans="1:17" x14ac:dyDescent="0.2">
      <c r="A2266" s="30" t="str">
        <f>IF(C2266&amp;G2266&amp;D2266&lt;&gt;'Funnel setup'!$K$3&amp;'Funnel setup'!$K$4&amp;'Funnel setup'!$K$5,".",IF(A2265=".",1,A2265+1))</f>
        <v>.</v>
      </c>
      <c r="B2266" s="431" t="str">
        <f t="shared" si="35"/>
        <v>Hip Replacement PrimaryProviderEAST AND NORTH HERTFORDSHIRE NHS TRUST (RWH)Oxford Hip Score</v>
      </c>
      <c r="C2266" t="s">
        <v>248</v>
      </c>
      <c r="D2266" t="s">
        <v>1</v>
      </c>
      <c r="E2266" t="s">
        <v>3814</v>
      </c>
      <c r="F2266" t="s">
        <v>3815</v>
      </c>
      <c r="G2266" t="s">
        <v>14</v>
      </c>
      <c r="H2266">
        <v>162</v>
      </c>
      <c r="I2266">
        <v>15.882999999999999</v>
      </c>
      <c r="J2266">
        <v>38.901000000000003</v>
      </c>
      <c r="K2266">
        <v>23.018999999999998</v>
      </c>
      <c r="L2266">
        <v>160</v>
      </c>
      <c r="M2266">
        <v>0</v>
      </c>
      <c r="N2266">
        <v>2</v>
      </c>
      <c r="O2266">
        <v>39.643999999999998</v>
      </c>
      <c r="P2266">
        <v>21.439002009999999</v>
      </c>
      <c r="Q2266">
        <v>8.5180000000000007</v>
      </c>
    </row>
    <row r="2267" spans="1:17" x14ac:dyDescent="0.2">
      <c r="A2267" s="30" t="str">
        <f>IF(C2267&amp;G2267&amp;D2267&lt;&gt;'Funnel setup'!$K$3&amp;'Funnel setup'!$K$4&amp;'Funnel setup'!$K$5,".",IF(A2266=".",1,A2266+1))</f>
        <v>.</v>
      </c>
      <c r="B2267" s="431" t="str">
        <f t="shared" si="35"/>
        <v>Hip Replacement PrimaryProviderEAST CHESHIRE NHS TRUST (RJN)Oxford Hip Score</v>
      </c>
      <c r="C2267" t="s">
        <v>248</v>
      </c>
      <c r="D2267" t="s">
        <v>1</v>
      </c>
      <c r="E2267" t="s">
        <v>3817</v>
      </c>
      <c r="F2267" t="s">
        <v>3818</v>
      </c>
      <c r="G2267" t="s">
        <v>14</v>
      </c>
      <c r="H2267">
        <v>88</v>
      </c>
      <c r="I2267">
        <v>16.920000000000002</v>
      </c>
      <c r="J2267">
        <v>38.045000000000002</v>
      </c>
      <c r="K2267">
        <v>21.125</v>
      </c>
      <c r="L2267">
        <v>85</v>
      </c>
      <c r="M2267">
        <v>0</v>
      </c>
      <c r="N2267">
        <v>3</v>
      </c>
      <c r="O2267">
        <v>38.752000000000002</v>
      </c>
      <c r="P2267">
        <v>20.547686339999998</v>
      </c>
      <c r="Q2267">
        <v>9.1579999999999995</v>
      </c>
    </row>
    <row r="2268" spans="1:17" x14ac:dyDescent="0.2">
      <c r="A2268" s="30" t="str">
        <f>IF(C2268&amp;G2268&amp;D2268&lt;&gt;'Funnel setup'!$K$3&amp;'Funnel setup'!$K$4&amp;'Funnel setup'!$K$5,".",IF(A2267=".",1,A2267+1))</f>
        <v>.</v>
      </c>
      <c r="B2268" s="431" t="str">
        <f t="shared" si="35"/>
        <v>Hip Replacement PrimaryProviderEAST KENT HOSPITALS UNIVERSITY NHS FOUNDATION TRUST (RVV)Oxford Hip Score</v>
      </c>
      <c r="C2268" t="s">
        <v>248</v>
      </c>
      <c r="D2268" t="s">
        <v>1</v>
      </c>
      <c r="E2268" t="s">
        <v>3820</v>
      </c>
      <c r="F2268" t="s">
        <v>3821</v>
      </c>
      <c r="G2268" t="s">
        <v>14</v>
      </c>
      <c r="H2268">
        <v>342</v>
      </c>
      <c r="I2268">
        <v>17.477</v>
      </c>
      <c r="J2268">
        <v>39.892000000000003</v>
      </c>
      <c r="K2268">
        <v>22.414999999999999</v>
      </c>
      <c r="L2268">
        <v>334</v>
      </c>
      <c r="M2268">
        <v>2</v>
      </c>
      <c r="N2268">
        <v>6</v>
      </c>
      <c r="O2268">
        <v>40.396000000000001</v>
      </c>
      <c r="P2268">
        <v>22.19193593</v>
      </c>
      <c r="Q2268">
        <v>7.4</v>
      </c>
    </row>
    <row r="2269" spans="1:17" x14ac:dyDescent="0.2">
      <c r="A2269" s="30" t="str">
        <f>IF(C2269&amp;G2269&amp;D2269&lt;&gt;'Funnel setup'!$K$3&amp;'Funnel setup'!$K$4&amp;'Funnel setup'!$K$5,".",IF(A2268=".",1,A2268+1))</f>
        <v>.</v>
      </c>
      <c r="B2269" s="431" t="str">
        <f t="shared" si="35"/>
        <v>Hip Replacement PrimaryProviderEAST LANCASHIRE HOSPITALS NHS TRUST (RXR)Oxford Hip Score</v>
      </c>
      <c r="C2269" t="s">
        <v>248</v>
      </c>
      <c r="D2269" t="s">
        <v>1</v>
      </c>
      <c r="E2269" t="s">
        <v>3823</v>
      </c>
      <c r="F2269" t="s">
        <v>3824</v>
      </c>
      <c r="G2269" t="s">
        <v>14</v>
      </c>
      <c r="H2269">
        <v>167</v>
      </c>
      <c r="I2269">
        <v>16.12</v>
      </c>
      <c r="J2269">
        <v>38.359000000000002</v>
      </c>
      <c r="K2269">
        <v>22.24</v>
      </c>
      <c r="L2269">
        <v>164</v>
      </c>
      <c r="M2269">
        <v>0</v>
      </c>
      <c r="N2269">
        <v>3</v>
      </c>
      <c r="O2269">
        <v>39.770000000000003</v>
      </c>
      <c r="P2269">
        <v>21.565118080000001</v>
      </c>
      <c r="Q2269">
        <v>8.1850000000000005</v>
      </c>
    </row>
    <row r="2270" spans="1:17" x14ac:dyDescent="0.2">
      <c r="A2270" s="30" t="str">
        <f>IF(C2270&amp;G2270&amp;D2270&lt;&gt;'Funnel setup'!$K$3&amp;'Funnel setup'!$K$4&amp;'Funnel setup'!$K$5,".",IF(A2269=".",1,A2269+1))</f>
        <v>.</v>
      </c>
      <c r="B2270" s="431" t="str">
        <f t="shared" si="35"/>
        <v>Hip Replacement PrimaryProviderEAST SUSSEX HEALTHCARE NHS TRUST (RXC)Oxford Hip Score</v>
      </c>
      <c r="C2270" t="s">
        <v>248</v>
      </c>
      <c r="D2270" t="s">
        <v>1</v>
      </c>
      <c r="E2270" t="s">
        <v>3826</v>
      </c>
      <c r="F2270" t="s">
        <v>3827</v>
      </c>
      <c r="G2270" t="s">
        <v>14</v>
      </c>
      <c r="H2270">
        <v>253</v>
      </c>
      <c r="I2270">
        <v>19.489999999999998</v>
      </c>
      <c r="J2270">
        <v>40.451000000000001</v>
      </c>
      <c r="K2270">
        <v>20.96</v>
      </c>
      <c r="L2270">
        <v>247</v>
      </c>
      <c r="M2270">
        <v>0</v>
      </c>
      <c r="N2270">
        <v>6</v>
      </c>
      <c r="O2270">
        <v>40.738999999999997</v>
      </c>
      <c r="P2270">
        <v>22.534994600000001</v>
      </c>
      <c r="Q2270">
        <v>7.0880000000000001</v>
      </c>
    </row>
    <row r="2271" spans="1:17" x14ac:dyDescent="0.2">
      <c r="A2271" s="30" t="str">
        <f>IF(C2271&amp;G2271&amp;D2271&lt;&gt;'Funnel setup'!$K$3&amp;'Funnel setup'!$K$4&amp;'Funnel setup'!$K$5,".",IF(A2270=".",1,A2270+1))</f>
        <v>.</v>
      </c>
      <c r="B2271" s="431" t="str">
        <f t="shared" si="35"/>
        <v>Hip Replacement PrimaryProviderEMERSONS GREEN NHS TREATMENT CENTRE (NTPH2)Oxford Hip Score</v>
      </c>
      <c r="C2271" t="s">
        <v>248</v>
      </c>
      <c r="D2271" t="s">
        <v>1</v>
      </c>
      <c r="E2271" t="s">
        <v>3829</v>
      </c>
      <c r="F2271" t="s">
        <v>3830</v>
      </c>
      <c r="G2271" t="s">
        <v>14</v>
      </c>
      <c r="H2271">
        <v>396</v>
      </c>
      <c r="I2271">
        <v>19.843</v>
      </c>
      <c r="J2271">
        <v>42.52</v>
      </c>
      <c r="K2271">
        <v>22.677</v>
      </c>
      <c r="L2271">
        <v>389</v>
      </c>
      <c r="M2271">
        <v>1</v>
      </c>
      <c r="N2271">
        <v>6</v>
      </c>
      <c r="O2271">
        <v>41.113</v>
      </c>
      <c r="P2271">
        <v>22.90813223</v>
      </c>
      <c r="Q2271">
        <v>6.3369999999999997</v>
      </c>
    </row>
    <row r="2272" spans="1:17" x14ac:dyDescent="0.2">
      <c r="A2272" s="30" t="str">
        <f>IF(C2272&amp;G2272&amp;D2272&lt;&gt;'Funnel setup'!$K$3&amp;'Funnel setup'!$K$4&amp;'Funnel setup'!$K$5,".",IF(A2271=".",1,A2271+1))</f>
        <v>.</v>
      </c>
      <c r="B2272" s="431" t="str">
        <f t="shared" si="35"/>
        <v>Hip Replacement PrimaryProviderEPSOM AND ST HELIER UNIVERSITY HOSPITALS NHS TRUST (RVR)Oxford Hip Score</v>
      </c>
      <c r="C2272" t="s">
        <v>248</v>
      </c>
      <c r="D2272" t="s">
        <v>1</v>
      </c>
      <c r="E2272" t="s">
        <v>3849</v>
      </c>
      <c r="F2272" t="s">
        <v>3850</v>
      </c>
      <c r="G2272" t="s">
        <v>14</v>
      </c>
      <c r="H2272">
        <v>660</v>
      </c>
      <c r="I2272">
        <v>20.376000000000001</v>
      </c>
      <c r="J2272">
        <v>40.295000000000002</v>
      </c>
      <c r="K2272">
        <v>19.920000000000002</v>
      </c>
      <c r="L2272">
        <v>634</v>
      </c>
      <c r="M2272">
        <v>4</v>
      </c>
      <c r="N2272">
        <v>22</v>
      </c>
      <c r="O2272">
        <v>39.652000000000001</v>
      </c>
      <c r="P2272">
        <v>21.44777547</v>
      </c>
      <c r="Q2272">
        <v>8.0329999999999995</v>
      </c>
    </row>
    <row r="2273" spans="1:17" x14ac:dyDescent="0.2">
      <c r="A2273" s="30" t="str">
        <f>IF(C2273&amp;G2273&amp;D2273&lt;&gt;'Funnel setup'!$K$3&amp;'Funnel setup'!$K$4&amp;'Funnel setup'!$K$5,".",IF(A2272=".",1,A2272+1))</f>
        <v>.</v>
      </c>
      <c r="B2273" s="431" t="str">
        <f t="shared" si="35"/>
        <v>Hip Replacement PrimaryProviderEUXTON HALL HOSPITAL (NVC05)Oxford Hip Score</v>
      </c>
      <c r="C2273" t="s">
        <v>248</v>
      </c>
      <c r="D2273" t="s">
        <v>1</v>
      </c>
      <c r="E2273" t="s">
        <v>3852</v>
      </c>
      <c r="F2273" t="s">
        <v>3853</v>
      </c>
      <c r="G2273" t="s">
        <v>14</v>
      </c>
      <c r="H2273">
        <v>70</v>
      </c>
      <c r="I2273">
        <v>19.843</v>
      </c>
      <c r="J2273">
        <v>41.343000000000004</v>
      </c>
      <c r="K2273">
        <v>21.5</v>
      </c>
      <c r="L2273">
        <v>67</v>
      </c>
      <c r="M2273">
        <v>1</v>
      </c>
      <c r="N2273">
        <v>2</v>
      </c>
      <c r="O2273">
        <v>40.234000000000002</v>
      </c>
      <c r="P2273">
        <v>22.029712679999999</v>
      </c>
      <c r="Q2273">
        <v>7.8879999999999999</v>
      </c>
    </row>
    <row r="2274" spans="1:17" x14ac:dyDescent="0.2">
      <c r="A2274" s="30" t="str">
        <f>IF(C2274&amp;G2274&amp;D2274&lt;&gt;'Funnel setup'!$K$3&amp;'Funnel setup'!$K$4&amp;'Funnel setup'!$K$5,".",IF(A2273=".",1,A2273+1))</f>
        <v>.</v>
      </c>
      <c r="B2274" s="431" t="str">
        <f t="shared" si="35"/>
        <v>Hip Replacement PrimaryProviderFAIRFIELD HOSPITAL (NVG01)Oxford Hip Score</v>
      </c>
      <c r="C2274" t="s">
        <v>248</v>
      </c>
      <c r="D2274" t="s">
        <v>1</v>
      </c>
      <c r="E2274" t="s">
        <v>3855</v>
      </c>
      <c r="F2274" t="s">
        <v>3856</v>
      </c>
      <c r="G2274" t="s">
        <v>14</v>
      </c>
      <c r="H2274">
        <v>7</v>
      </c>
      <c r="I2274">
        <v>16.571000000000002</v>
      </c>
      <c r="J2274">
        <v>41.143000000000001</v>
      </c>
      <c r="K2274">
        <v>24.571000000000002</v>
      </c>
      <c r="L2274">
        <v>7</v>
      </c>
      <c r="M2274">
        <v>0</v>
      </c>
      <c r="N2274">
        <v>0</v>
      </c>
      <c r="O2274" t="s">
        <v>53</v>
      </c>
      <c r="P2274" t="s">
        <v>53</v>
      </c>
      <c r="Q2274" t="s">
        <v>53</v>
      </c>
    </row>
    <row r="2275" spans="1:17" x14ac:dyDescent="0.2">
      <c r="A2275" s="30" t="str">
        <f>IF(C2275&amp;G2275&amp;D2275&lt;&gt;'Funnel setup'!$K$3&amp;'Funnel setup'!$K$4&amp;'Funnel setup'!$K$5,".",IF(A2274=".",1,A2274+1))</f>
        <v>.</v>
      </c>
      <c r="B2275" s="431" t="str">
        <f t="shared" si="35"/>
        <v>Hip Replacement PrimaryProviderFITZWILLIAM HOSPITAL (NVC06)Oxford Hip Score</v>
      </c>
      <c r="C2275" t="s">
        <v>248</v>
      </c>
      <c r="D2275" t="s">
        <v>1</v>
      </c>
      <c r="E2275" t="s">
        <v>3858</v>
      </c>
      <c r="F2275" t="s">
        <v>3859</v>
      </c>
      <c r="G2275" t="s">
        <v>14</v>
      </c>
      <c r="H2275">
        <v>138</v>
      </c>
      <c r="I2275">
        <v>19.905999999999999</v>
      </c>
      <c r="J2275">
        <v>40.058</v>
      </c>
      <c r="K2275">
        <v>20.152000000000001</v>
      </c>
      <c r="L2275">
        <v>134</v>
      </c>
      <c r="M2275">
        <v>0</v>
      </c>
      <c r="N2275">
        <v>4</v>
      </c>
      <c r="O2275">
        <v>38.631999999999998</v>
      </c>
      <c r="P2275">
        <v>20.42702508</v>
      </c>
      <c r="Q2275">
        <v>7.5060000000000002</v>
      </c>
    </row>
    <row r="2276" spans="1:17" x14ac:dyDescent="0.2">
      <c r="A2276" s="30" t="str">
        <f>IF(C2276&amp;G2276&amp;D2276&lt;&gt;'Funnel setup'!$K$3&amp;'Funnel setup'!$K$4&amp;'Funnel setup'!$K$5,".",IF(A2275=".",1,A2275+1))</f>
        <v>.</v>
      </c>
      <c r="B2276" s="431" t="str">
        <f t="shared" si="35"/>
        <v>Hip Replacement PrimaryProviderFOSCOTE COURT (BANBURY) TRUST LTD (AHH)Oxford Hip Score</v>
      </c>
      <c r="C2276" t="s">
        <v>248</v>
      </c>
      <c r="D2276" t="s">
        <v>1</v>
      </c>
      <c r="E2276" t="s">
        <v>3900</v>
      </c>
      <c r="F2276" t="s">
        <v>3901</v>
      </c>
      <c r="G2276" t="s">
        <v>14</v>
      </c>
      <c r="H2276" t="s">
        <v>53</v>
      </c>
      <c r="I2276" t="s">
        <v>53</v>
      </c>
      <c r="J2276" t="s">
        <v>53</v>
      </c>
      <c r="K2276" t="s">
        <v>53</v>
      </c>
      <c r="L2276" t="s">
        <v>53</v>
      </c>
      <c r="M2276" t="s">
        <v>53</v>
      </c>
      <c r="N2276" t="s">
        <v>53</v>
      </c>
      <c r="O2276" t="s">
        <v>53</v>
      </c>
      <c r="P2276" t="s">
        <v>53</v>
      </c>
      <c r="Q2276" t="s">
        <v>53</v>
      </c>
    </row>
    <row r="2277" spans="1:17" x14ac:dyDescent="0.2">
      <c r="A2277" s="30" t="str">
        <f>IF(C2277&amp;G2277&amp;D2277&lt;&gt;'Funnel setup'!$K$3&amp;'Funnel setup'!$K$4&amp;'Funnel setup'!$K$5,".",IF(A2276=".",1,A2276+1))</f>
        <v>.</v>
      </c>
      <c r="B2277" s="431" t="str">
        <f t="shared" si="35"/>
        <v>Hip Replacement PrimaryProviderFRIMLEY HEALTH NHS FOUNDATION TRUST (RDU)Oxford Hip Score</v>
      </c>
      <c r="C2277" t="s">
        <v>248</v>
      </c>
      <c r="D2277" t="s">
        <v>1</v>
      </c>
      <c r="E2277" t="s">
        <v>3861</v>
      </c>
      <c r="F2277" t="s">
        <v>3862</v>
      </c>
      <c r="G2277" t="s">
        <v>14</v>
      </c>
      <c r="H2277">
        <v>506</v>
      </c>
      <c r="I2277">
        <v>20.254999999999999</v>
      </c>
      <c r="J2277">
        <v>40.869999999999997</v>
      </c>
      <c r="K2277">
        <v>20.614999999999998</v>
      </c>
      <c r="L2277">
        <v>493</v>
      </c>
      <c r="M2277">
        <v>4</v>
      </c>
      <c r="N2277">
        <v>9</v>
      </c>
      <c r="O2277">
        <v>39.768000000000001</v>
      </c>
      <c r="P2277">
        <v>21.563291329999998</v>
      </c>
      <c r="Q2277">
        <v>7.202</v>
      </c>
    </row>
    <row r="2278" spans="1:17" x14ac:dyDescent="0.2">
      <c r="A2278" s="30" t="str">
        <f>IF(C2278&amp;G2278&amp;D2278&lt;&gt;'Funnel setup'!$K$3&amp;'Funnel setup'!$K$4&amp;'Funnel setup'!$K$5,".",IF(A2277=".",1,A2277+1))</f>
        <v>.</v>
      </c>
      <c r="B2278" s="431" t="str">
        <f t="shared" si="35"/>
        <v>Hip Replacement PrimaryProviderFULWOOD HALL HOSPITAL (NVC07)Oxford Hip Score</v>
      </c>
      <c r="C2278" t="s">
        <v>248</v>
      </c>
      <c r="D2278" t="s">
        <v>1</v>
      </c>
      <c r="E2278" t="s">
        <v>3864</v>
      </c>
      <c r="F2278" t="s">
        <v>3865</v>
      </c>
      <c r="G2278" t="s">
        <v>14</v>
      </c>
      <c r="H2278">
        <v>186</v>
      </c>
      <c r="I2278">
        <v>19.747</v>
      </c>
      <c r="J2278">
        <v>39.091000000000001</v>
      </c>
      <c r="K2278">
        <v>19.344000000000001</v>
      </c>
      <c r="L2278">
        <v>178</v>
      </c>
      <c r="M2278">
        <v>1</v>
      </c>
      <c r="N2278">
        <v>7</v>
      </c>
      <c r="O2278">
        <v>38.816000000000003</v>
      </c>
      <c r="P2278">
        <v>20.611748739999999</v>
      </c>
      <c r="Q2278">
        <v>8.1389999999999993</v>
      </c>
    </row>
    <row r="2279" spans="1:17" x14ac:dyDescent="0.2">
      <c r="A2279" s="30" t="str">
        <f>IF(C2279&amp;G2279&amp;D2279&lt;&gt;'Funnel setup'!$K$3&amp;'Funnel setup'!$K$4&amp;'Funnel setup'!$K$5,".",IF(A2278=".",1,A2278+1))</f>
        <v>.</v>
      </c>
      <c r="B2279" s="431" t="str">
        <f t="shared" si="35"/>
        <v>Hip Replacement PrimaryProviderGATESHEAD HEALTH NHS FOUNDATION TRUST (RR7)Oxford Hip Score</v>
      </c>
      <c r="C2279" t="s">
        <v>248</v>
      </c>
      <c r="D2279" t="s">
        <v>1</v>
      </c>
      <c r="E2279" t="s">
        <v>3867</v>
      </c>
      <c r="F2279" t="s">
        <v>3868</v>
      </c>
      <c r="G2279" t="s">
        <v>14</v>
      </c>
      <c r="H2279">
        <v>199</v>
      </c>
      <c r="I2279">
        <v>17.302</v>
      </c>
      <c r="J2279">
        <v>37.613</v>
      </c>
      <c r="K2279">
        <v>20.312000000000001</v>
      </c>
      <c r="L2279">
        <v>194</v>
      </c>
      <c r="M2279">
        <v>0</v>
      </c>
      <c r="N2279">
        <v>5</v>
      </c>
      <c r="O2279">
        <v>37.941000000000003</v>
      </c>
      <c r="P2279">
        <v>19.736230089999999</v>
      </c>
      <c r="Q2279">
        <v>8.2579999999999991</v>
      </c>
    </row>
    <row r="2280" spans="1:17" x14ac:dyDescent="0.2">
      <c r="A2280" s="30" t="str">
        <f>IF(C2280&amp;G2280&amp;D2280&lt;&gt;'Funnel setup'!$K$3&amp;'Funnel setup'!$K$4&amp;'Funnel setup'!$K$5,".",IF(A2279=".",1,A2279+1))</f>
        <v>.</v>
      </c>
      <c r="B2280" s="431" t="str">
        <f t="shared" si="35"/>
        <v>Hip Replacement PrimaryProviderGEORGE ELIOT HOSPITAL NHS TRUST (RLT)Oxford Hip Score</v>
      </c>
      <c r="C2280" t="s">
        <v>248</v>
      </c>
      <c r="D2280" t="s">
        <v>1</v>
      </c>
      <c r="E2280" t="s">
        <v>3870</v>
      </c>
      <c r="F2280" t="s">
        <v>3871</v>
      </c>
      <c r="G2280" t="s">
        <v>14</v>
      </c>
      <c r="H2280">
        <v>62</v>
      </c>
      <c r="I2280">
        <v>18.145</v>
      </c>
      <c r="J2280">
        <v>38.177</v>
      </c>
      <c r="K2280">
        <v>20.032</v>
      </c>
      <c r="L2280">
        <v>59</v>
      </c>
      <c r="M2280">
        <v>0</v>
      </c>
      <c r="N2280">
        <v>3</v>
      </c>
      <c r="O2280">
        <v>37.94</v>
      </c>
      <c r="P2280">
        <v>19.735757079999999</v>
      </c>
      <c r="Q2280">
        <v>8.3849999999999998</v>
      </c>
    </row>
    <row r="2281" spans="1:17" x14ac:dyDescent="0.2">
      <c r="A2281" s="30" t="str">
        <f>IF(C2281&amp;G2281&amp;D2281&lt;&gt;'Funnel setup'!$K$3&amp;'Funnel setup'!$K$4&amp;'Funnel setup'!$K$5,".",IF(A2280=".",1,A2280+1))</f>
        <v>.</v>
      </c>
      <c r="B2281" s="431" t="str">
        <f t="shared" si="35"/>
        <v>Hip Replacement PrimaryProviderGLOUCESTERSHIRE HOSPITALS NHS FOUNDATION TRUST (RTE)Oxford Hip Score</v>
      </c>
      <c r="C2281" t="s">
        <v>248</v>
      </c>
      <c r="D2281" t="s">
        <v>1</v>
      </c>
      <c r="E2281" t="s">
        <v>3873</v>
      </c>
      <c r="F2281" t="s">
        <v>3874</v>
      </c>
      <c r="G2281" t="s">
        <v>14</v>
      </c>
      <c r="H2281">
        <v>395</v>
      </c>
      <c r="I2281">
        <v>19.192</v>
      </c>
      <c r="J2281">
        <v>39.79</v>
      </c>
      <c r="K2281">
        <v>20.597000000000001</v>
      </c>
      <c r="L2281">
        <v>382</v>
      </c>
      <c r="M2281">
        <v>2</v>
      </c>
      <c r="N2281">
        <v>11</v>
      </c>
      <c r="O2281">
        <v>39.033000000000001</v>
      </c>
      <c r="P2281">
        <v>20.828522530000001</v>
      </c>
      <c r="Q2281">
        <v>7.6109999999999998</v>
      </c>
    </row>
    <row r="2282" spans="1:17" x14ac:dyDescent="0.2">
      <c r="A2282" s="30" t="str">
        <f>IF(C2282&amp;G2282&amp;D2282&lt;&gt;'Funnel setup'!$K$3&amp;'Funnel setup'!$K$4&amp;'Funnel setup'!$K$5,".",IF(A2281=".",1,A2281+1))</f>
        <v>.</v>
      </c>
      <c r="B2282" s="431" t="str">
        <f t="shared" si="35"/>
        <v>Hip Replacement PrimaryProviderGREAT WESTERN HOSPITALS NHS FOUNDATION TRUST (RN3)Oxford Hip Score</v>
      </c>
      <c r="C2282" t="s">
        <v>248</v>
      </c>
      <c r="D2282" t="s">
        <v>1</v>
      </c>
      <c r="E2282" t="s">
        <v>3876</v>
      </c>
      <c r="F2282" t="s">
        <v>3877</v>
      </c>
      <c r="G2282" t="s">
        <v>14</v>
      </c>
      <c r="H2282">
        <v>230</v>
      </c>
      <c r="I2282">
        <v>15.196</v>
      </c>
      <c r="J2282">
        <v>38.713000000000001</v>
      </c>
      <c r="K2282">
        <v>23.516999999999999</v>
      </c>
      <c r="L2282">
        <v>223</v>
      </c>
      <c r="M2282">
        <v>1</v>
      </c>
      <c r="N2282">
        <v>6</v>
      </c>
      <c r="O2282">
        <v>39.548999999999999</v>
      </c>
      <c r="P2282">
        <v>21.344393579999998</v>
      </c>
      <c r="Q2282">
        <v>8.1850000000000005</v>
      </c>
    </row>
    <row r="2283" spans="1:17" x14ac:dyDescent="0.2">
      <c r="A2283" s="30" t="str">
        <f>IF(C2283&amp;G2283&amp;D2283&lt;&gt;'Funnel setup'!$K$3&amp;'Funnel setup'!$K$4&amp;'Funnel setup'!$K$5,".",IF(A2282=".",1,A2282+1))</f>
        <v>.</v>
      </c>
      <c r="B2283" s="431" t="str">
        <f t="shared" si="35"/>
        <v>Hip Replacement PrimaryProviderGUY'S AND ST THOMAS' NHS FOUNDATION TRUST (RJ1)Oxford Hip Score</v>
      </c>
      <c r="C2283" t="s">
        <v>248</v>
      </c>
      <c r="D2283" t="s">
        <v>1</v>
      </c>
      <c r="E2283" t="s">
        <v>3879</v>
      </c>
      <c r="F2283" t="s">
        <v>3880</v>
      </c>
      <c r="G2283" t="s">
        <v>14</v>
      </c>
      <c r="H2283">
        <v>129</v>
      </c>
      <c r="I2283">
        <v>18.411000000000001</v>
      </c>
      <c r="J2283">
        <v>39.566000000000003</v>
      </c>
      <c r="K2283">
        <v>21.155000000000001</v>
      </c>
      <c r="L2283">
        <v>125</v>
      </c>
      <c r="M2283">
        <v>0</v>
      </c>
      <c r="N2283">
        <v>4</v>
      </c>
      <c r="O2283">
        <v>39.962000000000003</v>
      </c>
      <c r="P2283">
        <v>21.75705962</v>
      </c>
      <c r="Q2283">
        <v>9.4280000000000008</v>
      </c>
    </row>
    <row r="2284" spans="1:17" x14ac:dyDescent="0.2">
      <c r="A2284" s="30" t="str">
        <f>IF(C2284&amp;G2284&amp;D2284&lt;&gt;'Funnel setup'!$K$3&amp;'Funnel setup'!$K$4&amp;'Funnel setup'!$K$5,".",IF(A2283=".",1,A2283+1))</f>
        <v>.</v>
      </c>
      <c r="B2284" s="431" t="str">
        <f t="shared" si="35"/>
        <v>Hip Replacement PrimaryProviderHAMPSHIRE HOSPITALS NHS FOUNDATION TRUST (RN5)Oxford Hip Score</v>
      </c>
      <c r="C2284" t="s">
        <v>248</v>
      </c>
      <c r="D2284" t="s">
        <v>1</v>
      </c>
      <c r="E2284" t="s">
        <v>3882</v>
      </c>
      <c r="F2284" t="s">
        <v>3883</v>
      </c>
      <c r="G2284" t="s">
        <v>14</v>
      </c>
      <c r="H2284">
        <v>315</v>
      </c>
      <c r="I2284">
        <v>19.356000000000002</v>
      </c>
      <c r="J2284">
        <v>40.46</v>
      </c>
      <c r="K2284">
        <v>21.105</v>
      </c>
      <c r="L2284">
        <v>306</v>
      </c>
      <c r="M2284">
        <v>1</v>
      </c>
      <c r="N2284">
        <v>8</v>
      </c>
      <c r="O2284">
        <v>39.633000000000003</v>
      </c>
      <c r="P2284">
        <v>21.428706300000002</v>
      </c>
      <c r="Q2284">
        <v>7.8959999999999999</v>
      </c>
    </row>
    <row r="2285" spans="1:17" x14ac:dyDescent="0.2">
      <c r="A2285" s="30" t="str">
        <f>IF(C2285&amp;G2285&amp;D2285&lt;&gt;'Funnel setup'!$K$3&amp;'Funnel setup'!$K$4&amp;'Funnel setup'!$K$5,".",IF(A2284=".",1,A2284+1))</f>
        <v>.</v>
      </c>
      <c r="B2285" s="431" t="str">
        <f t="shared" si="35"/>
        <v>Hip Replacement PrimaryProviderHARROGATE AND DISTRICT NHS FOUNDATION TRUST (RCD)Oxford Hip Score</v>
      </c>
      <c r="C2285" t="s">
        <v>248</v>
      </c>
      <c r="D2285" t="s">
        <v>1</v>
      </c>
      <c r="E2285" t="s">
        <v>3885</v>
      </c>
      <c r="F2285" t="s">
        <v>3886</v>
      </c>
      <c r="G2285" t="s">
        <v>14</v>
      </c>
      <c r="H2285">
        <v>282</v>
      </c>
      <c r="I2285">
        <v>20.199000000000002</v>
      </c>
      <c r="J2285">
        <v>40.667000000000002</v>
      </c>
      <c r="K2285">
        <v>20.468</v>
      </c>
      <c r="L2285">
        <v>274</v>
      </c>
      <c r="M2285">
        <v>1</v>
      </c>
      <c r="N2285">
        <v>7</v>
      </c>
      <c r="O2285">
        <v>39.386000000000003</v>
      </c>
      <c r="P2285">
        <v>21.181500150000002</v>
      </c>
      <c r="Q2285">
        <v>6.992</v>
      </c>
    </row>
    <row r="2286" spans="1:17" x14ac:dyDescent="0.2">
      <c r="A2286" s="30" t="str">
        <f>IF(C2286&amp;G2286&amp;D2286&lt;&gt;'Funnel setup'!$K$3&amp;'Funnel setup'!$K$4&amp;'Funnel setup'!$K$5,".",IF(A2285=".",1,A2285+1))</f>
        <v>.</v>
      </c>
      <c r="B2286" s="431" t="str">
        <f t="shared" si="35"/>
        <v>Hip Replacement PrimaryProviderHEART OF ENGLAND NHS FOUNDATION TRUST (RR1)Oxford Hip Score</v>
      </c>
      <c r="C2286" t="s">
        <v>248</v>
      </c>
      <c r="D2286" t="s">
        <v>1</v>
      </c>
      <c r="E2286" t="s">
        <v>3888</v>
      </c>
      <c r="F2286" t="s">
        <v>3889</v>
      </c>
      <c r="G2286" t="s">
        <v>14</v>
      </c>
      <c r="H2286">
        <v>393</v>
      </c>
      <c r="I2286">
        <v>16.372</v>
      </c>
      <c r="J2286">
        <v>36.119999999999997</v>
      </c>
      <c r="K2286">
        <v>19.748000000000001</v>
      </c>
      <c r="L2286">
        <v>374</v>
      </c>
      <c r="M2286">
        <v>2</v>
      </c>
      <c r="N2286">
        <v>17</v>
      </c>
      <c r="O2286">
        <v>37.643000000000001</v>
      </c>
      <c r="P2286">
        <v>19.438503090000001</v>
      </c>
      <c r="Q2286">
        <v>8.8970000000000002</v>
      </c>
    </row>
    <row r="2287" spans="1:17" x14ac:dyDescent="0.2">
      <c r="A2287" s="30" t="str">
        <f>IF(C2287&amp;G2287&amp;D2287&lt;&gt;'Funnel setup'!$K$3&amp;'Funnel setup'!$K$4&amp;'Funnel setup'!$K$5,".",IF(A2286=".",1,A2286+1))</f>
        <v>.</v>
      </c>
      <c r="B2287" s="431" t="str">
        <f t="shared" si="35"/>
        <v>Hip Replacement PrimaryProviderHINCHINGBROOKE HEALTH CARE NHS TRUST (RQQ)Oxford Hip Score</v>
      </c>
      <c r="C2287" t="s">
        <v>248</v>
      </c>
      <c r="D2287" t="s">
        <v>1</v>
      </c>
      <c r="E2287" t="s">
        <v>3894</v>
      </c>
      <c r="F2287" t="s">
        <v>3895</v>
      </c>
      <c r="G2287" t="s">
        <v>14</v>
      </c>
      <c r="H2287">
        <v>218</v>
      </c>
      <c r="I2287">
        <v>17.495000000000001</v>
      </c>
      <c r="J2287">
        <v>38.945</v>
      </c>
      <c r="K2287">
        <v>21.45</v>
      </c>
      <c r="L2287">
        <v>209</v>
      </c>
      <c r="M2287">
        <v>3</v>
      </c>
      <c r="N2287">
        <v>6</v>
      </c>
      <c r="O2287">
        <v>39.200000000000003</v>
      </c>
      <c r="P2287">
        <v>20.995529980000001</v>
      </c>
      <c r="Q2287">
        <v>8.7289999999999992</v>
      </c>
    </row>
    <row r="2288" spans="1:17" x14ac:dyDescent="0.2">
      <c r="A2288" s="30" t="str">
        <f>IF(C2288&amp;G2288&amp;D2288&lt;&gt;'Funnel setup'!$K$3&amp;'Funnel setup'!$K$4&amp;'Funnel setup'!$K$5,".",IF(A2287=".",1,A2287+1))</f>
        <v>.</v>
      </c>
      <c r="B2288" s="431" t="str">
        <f t="shared" si="35"/>
        <v>Hip Replacement PrimaryProviderHOMERTON UNIVERSITY HOSPITAL NHS FOUNDATION TRUST (RQX)Oxford Hip Score</v>
      </c>
      <c r="C2288" t="s">
        <v>248</v>
      </c>
      <c r="D2288" t="s">
        <v>1</v>
      </c>
      <c r="E2288" t="s">
        <v>3897</v>
      </c>
      <c r="F2288" t="s">
        <v>3898</v>
      </c>
      <c r="G2288" t="s">
        <v>14</v>
      </c>
      <c r="H2288">
        <v>32</v>
      </c>
      <c r="I2288">
        <v>17.812999999999999</v>
      </c>
      <c r="J2288">
        <v>30.687999999999999</v>
      </c>
      <c r="K2288">
        <v>12.875</v>
      </c>
      <c r="L2288">
        <v>27</v>
      </c>
      <c r="M2288">
        <v>1</v>
      </c>
      <c r="N2288">
        <v>4</v>
      </c>
      <c r="O2288">
        <v>34.234000000000002</v>
      </c>
      <c r="P2288">
        <v>16.029999</v>
      </c>
      <c r="Q2288">
        <v>10.528</v>
      </c>
    </row>
    <row r="2289" spans="1:17" x14ac:dyDescent="0.2">
      <c r="A2289" s="30" t="str">
        <f>IF(C2289&amp;G2289&amp;D2289&lt;&gt;'Funnel setup'!$K$3&amp;'Funnel setup'!$K$4&amp;'Funnel setup'!$K$5,".",IF(A2288=".",1,A2288+1))</f>
        <v>.</v>
      </c>
      <c r="B2289" s="431" t="str">
        <f t="shared" si="35"/>
        <v>Hip Replacement PrimaryProviderHORTON NHS TREATMENT CENTRE (NVC25)Oxford Hip Score</v>
      </c>
      <c r="C2289" t="s">
        <v>248</v>
      </c>
      <c r="D2289" t="s">
        <v>1</v>
      </c>
      <c r="E2289" t="s">
        <v>4553</v>
      </c>
      <c r="F2289" t="s">
        <v>4554</v>
      </c>
      <c r="G2289" t="s">
        <v>14</v>
      </c>
      <c r="H2289">
        <v>186</v>
      </c>
      <c r="I2289">
        <v>18.468</v>
      </c>
      <c r="J2289">
        <v>41.048000000000002</v>
      </c>
      <c r="K2289">
        <v>22.581</v>
      </c>
      <c r="L2289">
        <v>183</v>
      </c>
      <c r="M2289">
        <v>0</v>
      </c>
      <c r="N2289">
        <v>3</v>
      </c>
      <c r="O2289">
        <v>39.662999999999997</v>
      </c>
      <c r="P2289">
        <v>21.458364</v>
      </c>
      <c r="Q2289">
        <v>7.4009999999999998</v>
      </c>
    </row>
    <row r="2290" spans="1:17" x14ac:dyDescent="0.2">
      <c r="A2290" s="30" t="str">
        <f>IF(C2290&amp;G2290&amp;D2290&lt;&gt;'Funnel setup'!$K$3&amp;'Funnel setup'!$K$4&amp;'Funnel setup'!$K$5,".",IF(A2289=".",1,A2289+1))</f>
        <v>.</v>
      </c>
      <c r="B2290" s="431" t="str">
        <f t="shared" si="35"/>
        <v>Hip Replacement PrimaryProviderHULL AND EAST YORKSHIRE HOSPITALS NHS TRUST (RWA)Oxford Hip Score</v>
      </c>
      <c r="C2290" t="s">
        <v>248</v>
      </c>
      <c r="D2290" t="s">
        <v>1</v>
      </c>
      <c r="E2290" t="s">
        <v>3906</v>
      </c>
      <c r="F2290" t="s">
        <v>3907</v>
      </c>
      <c r="G2290" t="s">
        <v>14</v>
      </c>
      <c r="H2290">
        <v>288</v>
      </c>
      <c r="I2290">
        <v>17.503</v>
      </c>
      <c r="J2290">
        <v>37.92</v>
      </c>
      <c r="K2290">
        <v>20.417000000000002</v>
      </c>
      <c r="L2290">
        <v>275</v>
      </c>
      <c r="M2290">
        <v>6</v>
      </c>
      <c r="N2290">
        <v>7</v>
      </c>
      <c r="O2290">
        <v>38.119999999999997</v>
      </c>
      <c r="P2290">
        <v>19.91543222</v>
      </c>
      <c r="Q2290">
        <v>8.6020000000000003</v>
      </c>
    </row>
    <row r="2291" spans="1:17" x14ac:dyDescent="0.2">
      <c r="A2291" s="30" t="str">
        <f>IF(C2291&amp;G2291&amp;D2291&lt;&gt;'Funnel setup'!$K$3&amp;'Funnel setup'!$K$4&amp;'Funnel setup'!$K$5,".",IF(A2290=".",1,A2290+1))</f>
        <v>.</v>
      </c>
      <c r="B2291" s="431" t="str">
        <f t="shared" si="35"/>
        <v>Hip Replacement PrimaryProviderIMPERIAL COLLEGE HEALTHCARE NHS TRUST (RYJ)Oxford Hip Score</v>
      </c>
      <c r="C2291" t="s">
        <v>248</v>
      </c>
      <c r="D2291" t="s">
        <v>1</v>
      </c>
      <c r="E2291" t="s">
        <v>4558</v>
      </c>
      <c r="F2291" t="s">
        <v>4559</v>
      </c>
      <c r="G2291" t="s">
        <v>14</v>
      </c>
      <c r="H2291">
        <v>75</v>
      </c>
      <c r="I2291">
        <v>17.013000000000002</v>
      </c>
      <c r="J2291">
        <v>39.292999999999999</v>
      </c>
      <c r="K2291">
        <v>22.28</v>
      </c>
      <c r="L2291">
        <v>73</v>
      </c>
      <c r="M2291">
        <v>0</v>
      </c>
      <c r="N2291">
        <v>2</v>
      </c>
      <c r="O2291">
        <v>40.895000000000003</v>
      </c>
      <c r="P2291">
        <v>22.690487439999998</v>
      </c>
      <c r="Q2291">
        <v>8.7949999999999999</v>
      </c>
    </row>
    <row r="2292" spans="1:17" x14ac:dyDescent="0.2">
      <c r="A2292" s="30" t="str">
        <f>IF(C2292&amp;G2292&amp;D2292&lt;&gt;'Funnel setup'!$K$3&amp;'Funnel setup'!$K$4&amp;'Funnel setup'!$K$5,".",IF(A2291=".",1,A2291+1))</f>
        <v>.</v>
      </c>
      <c r="B2292" s="431" t="str">
        <f t="shared" si="35"/>
        <v>Hip Replacement PrimaryProviderIPSWICH HOSPITAL NHS TRUST (RGQ)Oxford Hip Score</v>
      </c>
      <c r="C2292" t="s">
        <v>248</v>
      </c>
      <c r="D2292" t="s">
        <v>1</v>
      </c>
      <c r="E2292" t="s">
        <v>3909</v>
      </c>
      <c r="F2292" t="s">
        <v>3910</v>
      </c>
      <c r="G2292" t="s">
        <v>14</v>
      </c>
      <c r="H2292">
        <v>120</v>
      </c>
      <c r="I2292">
        <v>15.417</v>
      </c>
      <c r="J2292">
        <v>38.642000000000003</v>
      </c>
      <c r="K2292">
        <v>23.225000000000001</v>
      </c>
      <c r="L2292">
        <v>117</v>
      </c>
      <c r="M2292">
        <v>1</v>
      </c>
      <c r="N2292">
        <v>2</v>
      </c>
      <c r="O2292">
        <v>40.173000000000002</v>
      </c>
      <c r="P2292">
        <v>21.968807959999999</v>
      </c>
      <c r="Q2292">
        <v>7.8650000000000002</v>
      </c>
    </row>
    <row r="2293" spans="1:17" x14ac:dyDescent="0.2">
      <c r="A2293" s="30" t="str">
        <f>IF(C2293&amp;G2293&amp;D2293&lt;&gt;'Funnel setup'!$K$3&amp;'Funnel setup'!$K$4&amp;'Funnel setup'!$K$5,".",IF(A2292=".",1,A2292+1))</f>
        <v>.</v>
      </c>
      <c r="B2293" s="431" t="str">
        <f t="shared" si="35"/>
        <v>Hip Replacement PrimaryProviderISLE OF WIGHT NHS TRUST (R1F)Oxford Hip Score</v>
      </c>
      <c r="C2293" t="s">
        <v>248</v>
      </c>
      <c r="D2293" t="s">
        <v>1</v>
      </c>
      <c r="E2293" t="s">
        <v>3912</v>
      </c>
      <c r="F2293" t="s">
        <v>3913</v>
      </c>
      <c r="G2293" t="s">
        <v>14</v>
      </c>
      <c r="H2293">
        <v>90</v>
      </c>
      <c r="I2293">
        <v>19.667000000000002</v>
      </c>
      <c r="J2293">
        <v>38.921999999999997</v>
      </c>
      <c r="K2293">
        <v>19.256</v>
      </c>
      <c r="L2293">
        <v>86</v>
      </c>
      <c r="M2293">
        <v>0</v>
      </c>
      <c r="N2293">
        <v>4</v>
      </c>
      <c r="O2293">
        <v>38.927999999999997</v>
      </c>
      <c r="P2293">
        <v>20.723313009999998</v>
      </c>
      <c r="Q2293">
        <v>8.298</v>
      </c>
    </row>
    <row r="2294" spans="1:17" x14ac:dyDescent="0.2">
      <c r="A2294" s="30" t="str">
        <f>IF(C2294&amp;G2294&amp;D2294&lt;&gt;'Funnel setup'!$K$3&amp;'Funnel setup'!$K$4&amp;'Funnel setup'!$K$5,".",IF(A2293=".",1,A2293+1))</f>
        <v>.</v>
      </c>
      <c r="B2294" s="431" t="str">
        <f t="shared" si="35"/>
        <v>Hip Replacement PrimaryProviderJAMES PAGET UNIVERSITY HOSPITALS NHS FOUNDATION TRUST (RGP)Oxford Hip Score</v>
      </c>
      <c r="C2294" t="s">
        <v>248</v>
      </c>
      <c r="D2294" t="s">
        <v>1</v>
      </c>
      <c r="E2294" t="s">
        <v>3915</v>
      </c>
      <c r="F2294" t="s">
        <v>3916</v>
      </c>
      <c r="G2294" t="s">
        <v>14</v>
      </c>
      <c r="H2294">
        <v>157</v>
      </c>
      <c r="I2294">
        <v>17.783000000000001</v>
      </c>
      <c r="J2294">
        <v>40.045000000000002</v>
      </c>
      <c r="K2294">
        <v>22.260999999999999</v>
      </c>
      <c r="L2294">
        <v>150</v>
      </c>
      <c r="M2294">
        <v>0</v>
      </c>
      <c r="N2294">
        <v>7</v>
      </c>
      <c r="O2294">
        <v>40.375999999999998</v>
      </c>
      <c r="P2294">
        <v>22.171380299999999</v>
      </c>
      <c r="Q2294">
        <v>8.7789999999999999</v>
      </c>
    </row>
    <row r="2295" spans="1:17" x14ac:dyDescent="0.2">
      <c r="A2295" s="30" t="str">
        <f>IF(C2295&amp;G2295&amp;D2295&lt;&gt;'Funnel setup'!$K$3&amp;'Funnel setup'!$K$4&amp;'Funnel setup'!$K$5,".",IF(A2294=".",1,A2294+1))</f>
        <v>.</v>
      </c>
      <c r="B2295" s="431" t="str">
        <f t="shared" si="35"/>
        <v>Hip Replacement PrimaryProviderKETTERING GENERAL HOSPITAL NHS FOUNDATION TRUST (RNQ)Oxford Hip Score</v>
      </c>
      <c r="C2295" t="s">
        <v>248</v>
      </c>
      <c r="D2295" t="s">
        <v>1</v>
      </c>
      <c r="E2295" t="s">
        <v>3918</v>
      </c>
      <c r="F2295" t="s">
        <v>3919</v>
      </c>
      <c r="G2295" t="s">
        <v>14</v>
      </c>
      <c r="H2295">
        <v>72</v>
      </c>
      <c r="I2295">
        <v>15.375</v>
      </c>
      <c r="J2295">
        <v>37.055999999999997</v>
      </c>
      <c r="K2295">
        <v>21.681000000000001</v>
      </c>
      <c r="L2295">
        <v>67</v>
      </c>
      <c r="M2295">
        <v>0</v>
      </c>
      <c r="N2295">
        <v>5</v>
      </c>
      <c r="O2295">
        <v>37.909999999999997</v>
      </c>
      <c r="P2295">
        <v>19.705886670000002</v>
      </c>
      <c r="Q2295">
        <v>8.7390000000000008</v>
      </c>
    </row>
    <row r="2296" spans="1:17" x14ac:dyDescent="0.2">
      <c r="A2296" s="30" t="str">
        <f>IF(C2296&amp;G2296&amp;D2296&lt;&gt;'Funnel setup'!$K$3&amp;'Funnel setup'!$K$4&amp;'Funnel setup'!$K$5,".",IF(A2295=".",1,A2295+1))</f>
        <v>.</v>
      </c>
      <c r="B2296" s="431" t="str">
        <f t="shared" si="35"/>
        <v>Hip Replacement PrimaryProviderKING'S COLLEGE HOSPITAL NHS FOUNDATION TRUST (RJZ)Oxford Hip Score</v>
      </c>
      <c r="C2296" t="s">
        <v>248</v>
      </c>
      <c r="D2296" t="s">
        <v>1</v>
      </c>
      <c r="E2296" t="s">
        <v>3924</v>
      </c>
      <c r="F2296" t="s">
        <v>3925</v>
      </c>
      <c r="G2296" t="s">
        <v>14</v>
      </c>
      <c r="H2296">
        <v>197</v>
      </c>
      <c r="I2296">
        <v>17.873000000000001</v>
      </c>
      <c r="J2296">
        <v>40.218000000000004</v>
      </c>
      <c r="K2296">
        <v>22.344999999999999</v>
      </c>
      <c r="L2296">
        <v>192</v>
      </c>
      <c r="M2296">
        <v>1</v>
      </c>
      <c r="N2296">
        <v>4</v>
      </c>
      <c r="O2296">
        <v>40.356000000000002</v>
      </c>
      <c r="P2296">
        <v>22.151311100000001</v>
      </c>
      <c r="Q2296">
        <v>7.6790000000000003</v>
      </c>
    </row>
    <row r="2297" spans="1:17" x14ac:dyDescent="0.2">
      <c r="A2297" s="30" t="str">
        <f>IF(C2297&amp;G2297&amp;D2297&lt;&gt;'Funnel setup'!$K$3&amp;'Funnel setup'!$K$4&amp;'Funnel setup'!$K$5,".",IF(A2296=".",1,A2296+1))</f>
        <v>.</v>
      </c>
      <c r="B2297" s="431" t="str">
        <f t="shared" si="35"/>
        <v>Hip Replacement PrimaryProviderLANCASHIRE TEACHING HOSPITALS NHS FOUNDATION TRUST (RXN)Oxford Hip Score</v>
      </c>
      <c r="C2297" t="s">
        <v>248</v>
      </c>
      <c r="D2297" t="s">
        <v>1</v>
      </c>
      <c r="E2297" t="s">
        <v>3567</v>
      </c>
      <c r="F2297" t="s">
        <v>3568</v>
      </c>
      <c r="G2297" t="s">
        <v>14</v>
      </c>
      <c r="H2297">
        <v>193</v>
      </c>
      <c r="I2297">
        <v>16.248999999999999</v>
      </c>
      <c r="J2297">
        <v>37.01</v>
      </c>
      <c r="K2297">
        <v>20.762</v>
      </c>
      <c r="L2297">
        <v>184</v>
      </c>
      <c r="M2297">
        <v>2</v>
      </c>
      <c r="N2297">
        <v>7</v>
      </c>
      <c r="O2297">
        <v>38.24</v>
      </c>
      <c r="P2297">
        <v>20.03526462</v>
      </c>
      <c r="Q2297">
        <v>9.8640000000000008</v>
      </c>
    </row>
    <row r="2298" spans="1:17" x14ac:dyDescent="0.2">
      <c r="A2298" s="30" t="str">
        <f>IF(C2298&amp;G2298&amp;D2298&lt;&gt;'Funnel setup'!$K$3&amp;'Funnel setup'!$K$4&amp;'Funnel setup'!$K$5,".",IF(A2297=".",1,A2297+1))</f>
        <v>.</v>
      </c>
      <c r="B2298" s="431" t="str">
        <f t="shared" si="35"/>
        <v>Hip Replacement PrimaryProviderLEEDS TEACHING HOSPITALS NHS TRUST (RR8)Oxford Hip Score</v>
      </c>
      <c r="C2298" t="s">
        <v>248</v>
      </c>
      <c r="D2298" t="s">
        <v>1</v>
      </c>
      <c r="E2298" t="s">
        <v>3930</v>
      </c>
      <c r="F2298" t="s">
        <v>344</v>
      </c>
      <c r="G2298" t="s">
        <v>14</v>
      </c>
      <c r="H2298">
        <v>243</v>
      </c>
      <c r="I2298">
        <v>18.312999999999999</v>
      </c>
      <c r="J2298">
        <v>39.110999999999997</v>
      </c>
      <c r="K2298">
        <v>20.797999999999998</v>
      </c>
      <c r="L2298">
        <v>238</v>
      </c>
      <c r="M2298">
        <v>0</v>
      </c>
      <c r="N2298">
        <v>5</v>
      </c>
      <c r="O2298">
        <v>39.466000000000001</v>
      </c>
      <c r="P2298">
        <v>21.26154532</v>
      </c>
      <c r="Q2298">
        <v>8.1890000000000001</v>
      </c>
    </row>
    <row r="2299" spans="1:17" x14ac:dyDescent="0.2">
      <c r="A2299" s="30" t="str">
        <f>IF(C2299&amp;G2299&amp;D2299&lt;&gt;'Funnel setup'!$K$3&amp;'Funnel setup'!$K$4&amp;'Funnel setup'!$K$5,".",IF(A2298=".",1,A2298+1))</f>
        <v>.</v>
      </c>
      <c r="B2299" s="431" t="str">
        <f t="shared" si="35"/>
        <v>Hip Replacement PrimaryProviderLEWISHAM AND GREENWICH NHS TRUST (RJ2)Oxford Hip Score</v>
      </c>
      <c r="C2299" t="s">
        <v>248</v>
      </c>
      <c r="D2299" t="s">
        <v>1</v>
      </c>
      <c r="E2299" t="s">
        <v>3522</v>
      </c>
      <c r="F2299" t="s">
        <v>3523</v>
      </c>
      <c r="G2299" t="s">
        <v>14</v>
      </c>
      <c r="H2299">
        <v>81</v>
      </c>
      <c r="I2299">
        <v>16.457000000000001</v>
      </c>
      <c r="J2299">
        <v>36.234999999999999</v>
      </c>
      <c r="K2299">
        <v>19.777999999999999</v>
      </c>
      <c r="L2299">
        <v>77</v>
      </c>
      <c r="M2299">
        <v>0</v>
      </c>
      <c r="N2299">
        <v>4</v>
      </c>
      <c r="O2299">
        <v>38.155999999999999</v>
      </c>
      <c r="P2299">
        <v>19.951242969999999</v>
      </c>
      <c r="Q2299">
        <v>8.9700000000000006</v>
      </c>
    </row>
    <row r="2300" spans="1:17" x14ac:dyDescent="0.2">
      <c r="A2300" s="30" t="str">
        <f>IF(C2300&amp;G2300&amp;D2300&lt;&gt;'Funnel setup'!$K$3&amp;'Funnel setup'!$K$4&amp;'Funnel setup'!$K$5,".",IF(A2299=".",1,A2299+1))</f>
        <v>.</v>
      </c>
      <c r="B2300" s="431" t="str">
        <f t="shared" si="35"/>
        <v>Hip Replacement PrimaryProviderLONDON NORTH WEST HEALTHCARE NHS TRUST (R1K)Oxford Hip Score</v>
      </c>
      <c r="C2300" t="s">
        <v>248</v>
      </c>
      <c r="D2300" t="s">
        <v>1</v>
      </c>
      <c r="E2300" t="s">
        <v>6515</v>
      </c>
      <c r="F2300" t="s">
        <v>6516</v>
      </c>
      <c r="G2300" t="s">
        <v>14</v>
      </c>
      <c r="H2300">
        <v>110</v>
      </c>
      <c r="I2300">
        <v>19</v>
      </c>
      <c r="J2300">
        <v>37</v>
      </c>
      <c r="K2300">
        <v>18</v>
      </c>
      <c r="L2300">
        <v>102</v>
      </c>
      <c r="M2300">
        <v>1</v>
      </c>
      <c r="N2300">
        <v>7</v>
      </c>
      <c r="O2300">
        <v>38.262999999999998</v>
      </c>
      <c r="P2300">
        <v>20.0585381</v>
      </c>
      <c r="Q2300">
        <v>8.5879999999999992</v>
      </c>
    </row>
    <row r="2301" spans="1:17" x14ac:dyDescent="0.2">
      <c r="A2301" s="30" t="str">
        <f>IF(C2301&amp;G2301&amp;D2301&lt;&gt;'Funnel setup'!$K$3&amp;'Funnel setup'!$K$4&amp;'Funnel setup'!$K$5,".",IF(A2300=".",1,A2300+1))</f>
        <v>.</v>
      </c>
      <c r="B2301" s="431" t="str">
        <f t="shared" si="35"/>
        <v>Hip Replacement PrimaryProviderLUTON AND DUNSTABLE UNIVERSITY HOSPITAL NHS FOUNDATION TRUST (RC9)Oxford Hip Score</v>
      </c>
      <c r="C2301" t="s">
        <v>248</v>
      </c>
      <c r="D2301" t="s">
        <v>1</v>
      </c>
      <c r="E2301" t="s">
        <v>3528</v>
      </c>
      <c r="F2301" t="s">
        <v>3529</v>
      </c>
      <c r="G2301" t="s">
        <v>14</v>
      </c>
      <c r="H2301">
        <v>143</v>
      </c>
      <c r="I2301">
        <v>16.434000000000001</v>
      </c>
      <c r="J2301">
        <v>37.174999999999997</v>
      </c>
      <c r="K2301">
        <v>20.741</v>
      </c>
      <c r="L2301">
        <v>139</v>
      </c>
      <c r="M2301">
        <v>3</v>
      </c>
      <c r="N2301">
        <v>1</v>
      </c>
      <c r="O2301">
        <v>38.151000000000003</v>
      </c>
      <c r="P2301">
        <v>19.946844250000002</v>
      </c>
      <c r="Q2301">
        <v>8.375</v>
      </c>
    </row>
    <row r="2302" spans="1:17" x14ac:dyDescent="0.2">
      <c r="A2302" s="30" t="str">
        <f>IF(C2302&amp;G2302&amp;D2302&lt;&gt;'Funnel setup'!$K$3&amp;'Funnel setup'!$K$4&amp;'Funnel setup'!$K$5,".",IF(A2301=".",1,A2301+1))</f>
        <v>.</v>
      </c>
      <c r="B2302" s="431" t="str">
        <f t="shared" si="35"/>
        <v>Hip Replacement PrimaryProviderMAIDSTONE AND TUNBRIDGE WELLS NHS TRUST (RWF)Oxford Hip Score</v>
      </c>
      <c r="C2302" t="s">
        <v>248</v>
      </c>
      <c r="D2302" t="s">
        <v>1</v>
      </c>
      <c r="E2302" t="s">
        <v>3627</v>
      </c>
      <c r="F2302" t="s">
        <v>3628</v>
      </c>
      <c r="G2302" t="s">
        <v>14</v>
      </c>
      <c r="H2302">
        <v>193</v>
      </c>
      <c r="I2302">
        <v>18.850000000000001</v>
      </c>
      <c r="J2302">
        <v>41.061999999999998</v>
      </c>
      <c r="K2302">
        <v>22.212</v>
      </c>
      <c r="L2302">
        <v>192</v>
      </c>
      <c r="M2302">
        <v>0</v>
      </c>
      <c r="N2302">
        <v>1</v>
      </c>
      <c r="O2302">
        <v>40.941000000000003</v>
      </c>
      <c r="P2302">
        <v>22.736534240000001</v>
      </c>
      <c r="Q2302">
        <v>6.7370000000000001</v>
      </c>
    </row>
    <row r="2303" spans="1:17" x14ac:dyDescent="0.2">
      <c r="A2303" s="30" t="str">
        <f>IF(C2303&amp;G2303&amp;D2303&lt;&gt;'Funnel setup'!$K$3&amp;'Funnel setup'!$K$4&amp;'Funnel setup'!$K$5,".",IF(A2302=".",1,A2302+1))</f>
        <v>.</v>
      </c>
      <c r="B2303" s="431" t="str">
        <f t="shared" si="35"/>
        <v>Hip Replacement PrimaryProviderMEDWAY NHS FOUNDATION TRUST (RPA)Oxford Hip Score</v>
      </c>
      <c r="C2303" t="s">
        <v>248</v>
      </c>
      <c r="D2303" t="s">
        <v>1</v>
      </c>
      <c r="E2303" t="s">
        <v>3630</v>
      </c>
      <c r="F2303" t="s">
        <v>3631</v>
      </c>
      <c r="G2303" t="s">
        <v>14</v>
      </c>
      <c r="H2303">
        <v>151</v>
      </c>
      <c r="I2303">
        <v>16.251999999999999</v>
      </c>
      <c r="J2303">
        <v>40.066000000000003</v>
      </c>
      <c r="K2303">
        <v>23.815000000000001</v>
      </c>
      <c r="L2303">
        <v>150</v>
      </c>
      <c r="M2303">
        <v>0</v>
      </c>
      <c r="N2303">
        <v>1</v>
      </c>
      <c r="O2303">
        <v>41.502000000000002</v>
      </c>
      <c r="P2303">
        <v>23.297320899999999</v>
      </c>
      <c r="Q2303">
        <v>8.3209999999999997</v>
      </c>
    </row>
    <row r="2304" spans="1:17" x14ac:dyDescent="0.2">
      <c r="A2304" s="30" t="str">
        <f>IF(C2304&amp;G2304&amp;D2304&lt;&gt;'Funnel setup'!$K$3&amp;'Funnel setup'!$K$4&amp;'Funnel setup'!$K$5,".",IF(A2303=".",1,A2303+1))</f>
        <v>.</v>
      </c>
      <c r="B2304" s="431" t="str">
        <f t="shared" si="35"/>
        <v>Hip Replacement PrimaryProviderMID CHESHIRE HOSPITALS NHS FOUNDATION TRUST (RBT)Oxford Hip Score</v>
      </c>
      <c r="C2304" t="s">
        <v>248</v>
      </c>
      <c r="D2304" t="s">
        <v>1</v>
      </c>
      <c r="E2304" t="s">
        <v>3633</v>
      </c>
      <c r="F2304" t="s">
        <v>342</v>
      </c>
      <c r="G2304" t="s">
        <v>14</v>
      </c>
      <c r="H2304">
        <v>157</v>
      </c>
      <c r="I2304">
        <v>17.803000000000001</v>
      </c>
      <c r="J2304">
        <v>38.884999999999998</v>
      </c>
      <c r="K2304">
        <v>21.082999999999998</v>
      </c>
      <c r="L2304">
        <v>153</v>
      </c>
      <c r="M2304">
        <v>0</v>
      </c>
      <c r="N2304">
        <v>4</v>
      </c>
      <c r="O2304">
        <v>39.021000000000001</v>
      </c>
      <c r="P2304">
        <v>20.816963659999999</v>
      </c>
      <c r="Q2304">
        <v>7.9249999999999998</v>
      </c>
    </row>
    <row r="2305" spans="1:17" x14ac:dyDescent="0.2">
      <c r="A2305" s="30" t="str">
        <f>IF(C2305&amp;G2305&amp;D2305&lt;&gt;'Funnel setup'!$K$3&amp;'Funnel setup'!$K$4&amp;'Funnel setup'!$K$5,".",IF(A2304=".",1,A2304+1))</f>
        <v>.</v>
      </c>
      <c r="B2305" s="431" t="str">
        <f t="shared" si="35"/>
        <v>Hip Replacement PrimaryProviderMID ESSEX HOSPITAL SERVICES NHS TRUST (RQ8)Oxford Hip Score</v>
      </c>
      <c r="C2305" t="s">
        <v>248</v>
      </c>
      <c r="D2305" t="s">
        <v>1</v>
      </c>
      <c r="E2305" t="s">
        <v>3635</v>
      </c>
      <c r="F2305" t="s">
        <v>3636</v>
      </c>
      <c r="G2305" t="s">
        <v>14</v>
      </c>
      <c r="H2305">
        <v>183</v>
      </c>
      <c r="I2305">
        <v>14.492000000000001</v>
      </c>
      <c r="J2305">
        <v>39.048999999999999</v>
      </c>
      <c r="K2305">
        <v>24.556999999999999</v>
      </c>
      <c r="L2305">
        <v>178</v>
      </c>
      <c r="M2305">
        <v>0</v>
      </c>
      <c r="N2305">
        <v>5</v>
      </c>
      <c r="O2305">
        <v>39.752000000000002</v>
      </c>
      <c r="P2305">
        <v>21.547689800000001</v>
      </c>
      <c r="Q2305">
        <v>8.0139999999999993</v>
      </c>
    </row>
    <row r="2306" spans="1:17" x14ac:dyDescent="0.2">
      <c r="A2306" s="30" t="str">
        <f>IF(C2306&amp;G2306&amp;D2306&lt;&gt;'Funnel setup'!$K$3&amp;'Funnel setup'!$K$4&amp;'Funnel setup'!$K$5,".",IF(A2305=".",1,A2305+1))</f>
        <v>.</v>
      </c>
      <c r="B2306" s="431" t="str">
        <f t="shared" si="35"/>
        <v>Hip Replacement PrimaryProviderMID STAFFORDSHIRE NHS FOUNDATION TRUST (RJD)Oxford Hip Score</v>
      </c>
      <c r="C2306" t="s">
        <v>248</v>
      </c>
      <c r="D2306" t="s">
        <v>1</v>
      </c>
      <c r="E2306" t="s">
        <v>3638</v>
      </c>
      <c r="F2306" t="s">
        <v>3639</v>
      </c>
      <c r="G2306" t="s">
        <v>14</v>
      </c>
      <c r="H2306">
        <v>138</v>
      </c>
      <c r="I2306">
        <v>17.667000000000002</v>
      </c>
      <c r="J2306">
        <v>38</v>
      </c>
      <c r="K2306">
        <v>20.332999999999998</v>
      </c>
      <c r="L2306">
        <v>137</v>
      </c>
      <c r="M2306">
        <v>0</v>
      </c>
      <c r="N2306">
        <v>1</v>
      </c>
      <c r="O2306">
        <v>38.488</v>
      </c>
      <c r="P2306">
        <v>20.28301922</v>
      </c>
      <c r="Q2306">
        <v>7.5860000000000003</v>
      </c>
    </row>
    <row r="2307" spans="1:17" x14ac:dyDescent="0.2">
      <c r="A2307" s="30" t="str">
        <f>IF(C2307&amp;G2307&amp;D2307&lt;&gt;'Funnel setup'!$K$3&amp;'Funnel setup'!$K$4&amp;'Funnel setup'!$K$5,".",IF(A2306=".",1,A2306+1))</f>
        <v>.</v>
      </c>
      <c r="B2307" s="431" t="str">
        <f t="shared" ref="B2307:B2370" si="36">C2307&amp;D2307&amp;F2307&amp;G2307</f>
        <v>Hip Replacement PrimaryProviderMID YORKSHIRE HOSPITALS NHS TRUST (RXF)Oxford Hip Score</v>
      </c>
      <c r="C2307" t="s">
        <v>248</v>
      </c>
      <c r="D2307" t="s">
        <v>1</v>
      </c>
      <c r="E2307" t="s">
        <v>3641</v>
      </c>
      <c r="F2307" t="s">
        <v>3642</v>
      </c>
      <c r="G2307" t="s">
        <v>14</v>
      </c>
      <c r="H2307">
        <v>242</v>
      </c>
      <c r="I2307">
        <v>17.582999999999998</v>
      </c>
      <c r="J2307">
        <v>37.24</v>
      </c>
      <c r="K2307">
        <v>19.657</v>
      </c>
      <c r="L2307">
        <v>232</v>
      </c>
      <c r="M2307">
        <v>2</v>
      </c>
      <c r="N2307">
        <v>8</v>
      </c>
      <c r="O2307">
        <v>37.988</v>
      </c>
      <c r="P2307">
        <v>19.783366959999999</v>
      </c>
      <c r="Q2307">
        <v>8.8520000000000003</v>
      </c>
    </row>
    <row r="2308" spans="1:17" x14ac:dyDescent="0.2">
      <c r="A2308" s="30" t="str">
        <f>IF(C2308&amp;G2308&amp;D2308&lt;&gt;'Funnel setup'!$K$3&amp;'Funnel setup'!$K$4&amp;'Funnel setup'!$K$5,".",IF(A2307=".",1,A2307+1))</f>
        <v>.</v>
      </c>
      <c r="B2308" s="431" t="str">
        <f t="shared" si="36"/>
        <v>Hip Replacement PrimaryProviderMILTON KEYNES UNIVERSITY HOSPITAL NHS FOUNDATION TRUST (RD8)Oxford Hip Score</v>
      </c>
      <c r="C2308" t="s">
        <v>248</v>
      </c>
      <c r="D2308" t="s">
        <v>1</v>
      </c>
      <c r="E2308" t="s">
        <v>3643</v>
      </c>
      <c r="F2308" t="s">
        <v>6580</v>
      </c>
      <c r="G2308" t="s">
        <v>14</v>
      </c>
      <c r="H2308">
        <v>183</v>
      </c>
      <c r="I2308">
        <v>16.093</v>
      </c>
      <c r="J2308">
        <v>39.015999999999998</v>
      </c>
      <c r="K2308">
        <v>22.922999999999998</v>
      </c>
      <c r="L2308">
        <v>180</v>
      </c>
      <c r="M2308">
        <v>1</v>
      </c>
      <c r="N2308">
        <v>2</v>
      </c>
      <c r="O2308">
        <v>39.683</v>
      </c>
      <c r="P2308">
        <v>21.478199650000001</v>
      </c>
      <c r="Q2308">
        <v>8.4640000000000004</v>
      </c>
    </row>
    <row r="2309" spans="1:17" x14ac:dyDescent="0.2">
      <c r="A2309" s="30" t="str">
        <f>IF(C2309&amp;G2309&amp;D2309&lt;&gt;'Funnel setup'!$K$3&amp;'Funnel setup'!$K$4&amp;'Funnel setup'!$K$5,".",IF(A2308=".",1,A2308+1))</f>
        <v>.</v>
      </c>
      <c r="B2309" s="431" t="str">
        <f t="shared" si="36"/>
        <v>Hip Replacement PrimaryProviderMOUNT STUART HOSPITAL (NVC08)Oxford Hip Score</v>
      </c>
      <c r="C2309" t="s">
        <v>248</v>
      </c>
      <c r="D2309" t="s">
        <v>1</v>
      </c>
      <c r="E2309" t="s">
        <v>3645</v>
      </c>
      <c r="F2309" t="s">
        <v>3646</v>
      </c>
      <c r="G2309" t="s">
        <v>14</v>
      </c>
      <c r="H2309">
        <v>151</v>
      </c>
      <c r="I2309">
        <v>21.093</v>
      </c>
      <c r="J2309">
        <v>41.079000000000001</v>
      </c>
      <c r="K2309">
        <v>19.986999999999998</v>
      </c>
      <c r="L2309">
        <v>145</v>
      </c>
      <c r="M2309">
        <v>2</v>
      </c>
      <c r="N2309">
        <v>4</v>
      </c>
      <c r="O2309">
        <v>39.966999999999999</v>
      </c>
      <c r="P2309">
        <v>21.76288808</v>
      </c>
      <c r="Q2309">
        <v>7.4020000000000001</v>
      </c>
    </row>
    <row r="2310" spans="1:17" x14ac:dyDescent="0.2">
      <c r="A2310" s="30" t="str">
        <f>IF(C2310&amp;G2310&amp;D2310&lt;&gt;'Funnel setup'!$K$3&amp;'Funnel setup'!$K$4&amp;'Funnel setup'!$K$5,".",IF(A2309=".",1,A2309+1))</f>
        <v>.</v>
      </c>
      <c r="B2310" s="431" t="str">
        <f t="shared" si="36"/>
        <v>Hip Replacement PrimaryProviderNEW HALL HOSPITAL (NVC09)Oxford Hip Score</v>
      </c>
      <c r="C2310" t="s">
        <v>248</v>
      </c>
      <c r="D2310" t="s">
        <v>1</v>
      </c>
      <c r="E2310" t="s">
        <v>3648</v>
      </c>
      <c r="F2310" t="s">
        <v>3649</v>
      </c>
      <c r="G2310" t="s">
        <v>14</v>
      </c>
      <c r="H2310">
        <v>121</v>
      </c>
      <c r="I2310">
        <v>19.38</v>
      </c>
      <c r="J2310">
        <v>42.438000000000002</v>
      </c>
      <c r="K2310">
        <v>23.058</v>
      </c>
      <c r="L2310">
        <v>121</v>
      </c>
      <c r="M2310">
        <v>0</v>
      </c>
      <c r="N2310">
        <v>0</v>
      </c>
      <c r="O2310">
        <v>41.325000000000003</v>
      </c>
      <c r="P2310">
        <v>23.12036247</v>
      </c>
      <c r="Q2310">
        <v>6.4290000000000003</v>
      </c>
    </row>
    <row r="2311" spans="1:17" x14ac:dyDescent="0.2">
      <c r="A2311" s="30" t="str">
        <f>IF(C2311&amp;G2311&amp;D2311&lt;&gt;'Funnel setup'!$K$3&amp;'Funnel setup'!$K$4&amp;'Funnel setup'!$K$5,".",IF(A2310=".",1,A2310+1))</f>
        <v>.</v>
      </c>
      <c r="B2311" s="431" t="str">
        <f t="shared" si="36"/>
        <v>Hip Replacement PrimaryProviderNORFOLK AND NORWICH UNIVERSITY HOSPITALS NHS FOUNDATION TRUST (RM1)Oxford Hip Score</v>
      </c>
      <c r="C2311" t="s">
        <v>248</v>
      </c>
      <c r="D2311" t="s">
        <v>1</v>
      </c>
      <c r="E2311" t="s">
        <v>3651</v>
      </c>
      <c r="F2311" t="s">
        <v>3652</v>
      </c>
      <c r="G2311" t="s">
        <v>14</v>
      </c>
      <c r="H2311">
        <v>264</v>
      </c>
      <c r="I2311">
        <v>15.746</v>
      </c>
      <c r="J2311">
        <v>37.936</v>
      </c>
      <c r="K2311">
        <v>22.189</v>
      </c>
      <c r="L2311">
        <v>260</v>
      </c>
      <c r="M2311">
        <v>0</v>
      </c>
      <c r="N2311">
        <v>4</v>
      </c>
      <c r="O2311">
        <v>39.110999999999997</v>
      </c>
      <c r="P2311">
        <v>20.906548789999999</v>
      </c>
      <c r="Q2311">
        <v>8.9160000000000004</v>
      </c>
    </row>
    <row r="2312" spans="1:17" x14ac:dyDescent="0.2">
      <c r="A2312" s="30" t="str">
        <f>IF(C2312&amp;G2312&amp;D2312&lt;&gt;'Funnel setup'!$K$3&amp;'Funnel setup'!$K$4&amp;'Funnel setup'!$K$5,".",IF(A2311=".",1,A2311+1))</f>
        <v>.</v>
      </c>
      <c r="B2312" s="431" t="str">
        <f t="shared" si="36"/>
        <v>Hip Replacement PrimaryProviderNORTH BRISTOL NHS TRUST (RVJ)Oxford Hip Score</v>
      </c>
      <c r="C2312" t="s">
        <v>248</v>
      </c>
      <c r="D2312" t="s">
        <v>1</v>
      </c>
      <c r="E2312" t="s">
        <v>3654</v>
      </c>
      <c r="F2312" t="s">
        <v>3655</v>
      </c>
      <c r="G2312" t="s">
        <v>14</v>
      </c>
      <c r="H2312">
        <v>205</v>
      </c>
      <c r="I2312">
        <v>18.288</v>
      </c>
      <c r="J2312">
        <v>39.375999999999998</v>
      </c>
      <c r="K2312">
        <v>21.088000000000001</v>
      </c>
      <c r="L2312">
        <v>201</v>
      </c>
      <c r="M2312">
        <v>1</v>
      </c>
      <c r="N2312">
        <v>3</v>
      </c>
      <c r="O2312">
        <v>39.061999999999998</v>
      </c>
      <c r="P2312">
        <v>20.857976799999999</v>
      </c>
      <c r="Q2312">
        <v>8.0129999999999999</v>
      </c>
    </row>
    <row r="2313" spans="1:17" x14ac:dyDescent="0.2">
      <c r="A2313" s="30" t="str">
        <f>IF(C2313&amp;G2313&amp;D2313&lt;&gt;'Funnel setup'!$K$3&amp;'Funnel setup'!$K$4&amp;'Funnel setup'!$K$5,".",IF(A2312=".",1,A2312+1))</f>
        <v>.</v>
      </c>
      <c r="B2313" s="431" t="str">
        <f t="shared" si="36"/>
        <v>Hip Replacement PrimaryProviderNORTH CUMBRIA UNIVERSITY HOSPITALS NHS TRUST (RNL)Oxford Hip Score</v>
      </c>
      <c r="C2313" t="s">
        <v>248</v>
      </c>
      <c r="D2313" t="s">
        <v>1</v>
      </c>
      <c r="E2313" t="s">
        <v>3657</v>
      </c>
      <c r="F2313" t="s">
        <v>3658</v>
      </c>
      <c r="G2313" t="s">
        <v>14</v>
      </c>
      <c r="H2313">
        <v>139</v>
      </c>
      <c r="I2313">
        <v>17.222999999999999</v>
      </c>
      <c r="J2313">
        <v>39.085999999999999</v>
      </c>
      <c r="K2313">
        <v>21.863</v>
      </c>
      <c r="L2313">
        <v>135</v>
      </c>
      <c r="M2313">
        <v>1</v>
      </c>
      <c r="N2313">
        <v>3</v>
      </c>
      <c r="O2313">
        <v>40.033000000000001</v>
      </c>
      <c r="P2313">
        <v>21.828457369999999</v>
      </c>
      <c r="Q2313">
        <v>7.4139999999999997</v>
      </c>
    </row>
    <row r="2314" spans="1:17" x14ac:dyDescent="0.2">
      <c r="A2314" s="30" t="str">
        <f>IF(C2314&amp;G2314&amp;D2314&lt;&gt;'Funnel setup'!$K$3&amp;'Funnel setup'!$K$4&amp;'Funnel setup'!$K$5,".",IF(A2313=".",1,A2313+1))</f>
        <v>.</v>
      </c>
      <c r="B2314" s="431" t="str">
        <f t="shared" si="36"/>
        <v>Hip Replacement PrimaryProviderNORTH DOWNS HOSPITAL (NVC11)Oxford Hip Score</v>
      </c>
      <c r="C2314" t="s">
        <v>248</v>
      </c>
      <c r="D2314" t="s">
        <v>1</v>
      </c>
      <c r="E2314" t="s">
        <v>3660</v>
      </c>
      <c r="F2314" t="s">
        <v>3661</v>
      </c>
      <c r="G2314" t="s">
        <v>14</v>
      </c>
      <c r="H2314">
        <v>77</v>
      </c>
      <c r="I2314">
        <v>23.13</v>
      </c>
      <c r="J2314">
        <v>43.779000000000003</v>
      </c>
      <c r="K2314">
        <v>20.649000000000001</v>
      </c>
      <c r="L2314">
        <v>77</v>
      </c>
      <c r="M2314">
        <v>0</v>
      </c>
      <c r="N2314">
        <v>0</v>
      </c>
      <c r="O2314">
        <v>41.54</v>
      </c>
      <c r="P2314">
        <v>23.335613760000001</v>
      </c>
      <c r="Q2314">
        <v>4.8410000000000002</v>
      </c>
    </row>
    <row r="2315" spans="1:17" x14ac:dyDescent="0.2">
      <c r="A2315" s="30" t="str">
        <f>IF(C2315&amp;G2315&amp;D2315&lt;&gt;'Funnel setup'!$K$3&amp;'Funnel setup'!$K$4&amp;'Funnel setup'!$K$5,".",IF(A2314=".",1,A2314+1))</f>
        <v>.</v>
      </c>
      <c r="B2315" s="431" t="str">
        <f t="shared" si="36"/>
        <v>Hip Replacement PrimaryProviderNORTH EAST LONDON TREATMENT CENTRE CARE UK (NTP15)Oxford Hip Score</v>
      </c>
      <c r="C2315" t="s">
        <v>248</v>
      </c>
      <c r="D2315" t="s">
        <v>1</v>
      </c>
      <c r="E2315" t="s">
        <v>3663</v>
      </c>
      <c r="F2315" t="s">
        <v>3664</v>
      </c>
      <c r="G2315" t="s">
        <v>14</v>
      </c>
      <c r="H2315">
        <v>100</v>
      </c>
      <c r="I2315">
        <v>17.559999999999999</v>
      </c>
      <c r="J2315">
        <v>39.909999999999997</v>
      </c>
      <c r="K2315">
        <v>22.35</v>
      </c>
      <c r="L2315">
        <v>99</v>
      </c>
      <c r="M2315">
        <v>1</v>
      </c>
      <c r="N2315">
        <v>0</v>
      </c>
      <c r="O2315">
        <v>39.841999999999999</v>
      </c>
      <c r="P2315">
        <v>21.637782269999999</v>
      </c>
      <c r="Q2315">
        <v>7.0720000000000001</v>
      </c>
    </row>
    <row r="2316" spans="1:17" x14ac:dyDescent="0.2">
      <c r="A2316" s="30" t="str">
        <f>IF(C2316&amp;G2316&amp;D2316&lt;&gt;'Funnel setup'!$K$3&amp;'Funnel setup'!$K$4&amp;'Funnel setup'!$K$5,".",IF(A2315=".",1,A2315+1))</f>
        <v>.</v>
      </c>
      <c r="B2316" s="431" t="str">
        <f t="shared" si="36"/>
        <v>Hip Replacement PrimaryProviderNORTH MIDDLESEX UNIVERSITY HOSPITAL NHS TRUST (RAP)Oxford Hip Score</v>
      </c>
      <c r="C2316" t="s">
        <v>248</v>
      </c>
      <c r="D2316" t="s">
        <v>1</v>
      </c>
      <c r="E2316" t="s">
        <v>3666</v>
      </c>
      <c r="F2316" t="s">
        <v>3667</v>
      </c>
      <c r="G2316" t="s">
        <v>14</v>
      </c>
      <c r="H2316">
        <v>38</v>
      </c>
      <c r="I2316">
        <v>12.395</v>
      </c>
      <c r="J2316">
        <v>32.737000000000002</v>
      </c>
      <c r="K2316">
        <v>20.341999999999999</v>
      </c>
      <c r="L2316">
        <v>37</v>
      </c>
      <c r="M2316">
        <v>1</v>
      </c>
      <c r="N2316">
        <v>0</v>
      </c>
      <c r="O2316">
        <v>36.991</v>
      </c>
      <c r="P2316">
        <v>18.786688569999999</v>
      </c>
      <c r="Q2316">
        <v>9.032</v>
      </c>
    </row>
    <row r="2317" spans="1:17" x14ac:dyDescent="0.2">
      <c r="A2317" s="30" t="str">
        <f>IF(C2317&amp;G2317&amp;D2317&lt;&gt;'Funnel setup'!$K$3&amp;'Funnel setup'!$K$4&amp;'Funnel setup'!$K$5,".",IF(A2316=".",1,A2316+1))</f>
        <v>.</v>
      </c>
      <c r="B2317" s="431" t="str">
        <f t="shared" si="36"/>
        <v>Hip Replacement PrimaryProviderNORTH TEES AND HARTLEPOOL NHS FOUNDATION TRUST (RVW)Oxford Hip Score</v>
      </c>
      <c r="C2317" t="s">
        <v>248</v>
      </c>
      <c r="D2317" t="s">
        <v>1</v>
      </c>
      <c r="E2317" t="s">
        <v>3669</v>
      </c>
      <c r="F2317" t="s">
        <v>3670</v>
      </c>
      <c r="G2317" t="s">
        <v>14</v>
      </c>
      <c r="H2317">
        <v>211</v>
      </c>
      <c r="I2317">
        <v>15.558999999999999</v>
      </c>
      <c r="J2317">
        <v>37.250999999999998</v>
      </c>
      <c r="K2317">
        <v>21.692</v>
      </c>
      <c r="L2317">
        <v>206</v>
      </c>
      <c r="M2317">
        <v>0</v>
      </c>
      <c r="N2317">
        <v>5</v>
      </c>
      <c r="O2317">
        <v>39.085999999999999</v>
      </c>
      <c r="P2317">
        <v>20.881322050000001</v>
      </c>
      <c r="Q2317">
        <v>8.7949999999999999</v>
      </c>
    </row>
    <row r="2318" spans="1:17" x14ac:dyDescent="0.2">
      <c r="A2318" s="30" t="str">
        <f>IF(C2318&amp;G2318&amp;D2318&lt;&gt;'Funnel setup'!$K$3&amp;'Funnel setup'!$K$4&amp;'Funnel setup'!$K$5,".",IF(A2317=".",1,A2317+1))</f>
        <v>.</v>
      </c>
      <c r="B2318" s="431" t="str">
        <f t="shared" si="36"/>
        <v>Hip Replacement PrimaryProviderNORTHAMPTON GENERAL HOSPITAL NHS TRUST (RNS)Oxford Hip Score</v>
      </c>
      <c r="C2318" t="s">
        <v>248</v>
      </c>
      <c r="D2318" t="s">
        <v>1</v>
      </c>
      <c r="E2318" t="s">
        <v>3675</v>
      </c>
      <c r="F2318" t="s">
        <v>3676</v>
      </c>
      <c r="G2318" t="s">
        <v>14</v>
      </c>
      <c r="H2318">
        <v>178</v>
      </c>
      <c r="I2318">
        <v>15.106999999999999</v>
      </c>
      <c r="J2318">
        <v>39.713000000000001</v>
      </c>
      <c r="K2318">
        <v>24.606999999999999</v>
      </c>
      <c r="L2318">
        <v>176</v>
      </c>
      <c r="M2318">
        <v>0</v>
      </c>
      <c r="N2318">
        <v>2</v>
      </c>
      <c r="O2318">
        <v>41.140999999999998</v>
      </c>
      <c r="P2318">
        <v>22.936421200000002</v>
      </c>
      <c r="Q2318">
        <v>8.1660000000000004</v>
      </c>
    </row>
    <row r="2319" spans="1:17" x14ac:dyDescent="0.2">
      <c r="A2319" s="30" t="str">
        <f>IF(C2319&amp;G2319&amp;D2319&lt;&gt;'Funnel setup'!$K$3&amp;'Funnel setup'!$K$4&amp;'Funnel setup'!$K$5,".",IF(A2318=".",1,A2318+1))</f>
        <v>.</v>
      </c>
      <c r="B2319" s="431" t="str">
        <f t="shared" si="36"/>
        <v>Hip Replacement PrimaryProviderNORTHERN DEVON HEALTHCARE NHS TRUST (RBZ)Oxford Hip Score</v>
      </c>
      <c r="C2319" t="s">
        <v>248</v>
      </c>
      <c r="D2319" t="s">
        <v>1</v>
      </c>
      <c r="E2319" t="s">
        <v>3678</v>
      </c>
      <c r="F2319" t="s">
        <v>3679</v>
      </c>
      <c r="G2319" t="s">
        <v>14</v>
      </c>
      <c r="H2319">
        <v>280</v>
      </c>
      <c r="I2319">
        <v>18.225000000000001</v>
      </c>
      <c r="J2319">
        <v>39.411000000000001</v>
      </c>
      <c r="K2319">
        <v>21.186</v>
      </c>
      <c r="L2319">
        <v>273</v>
      </c>
      <c r="M2319">
        <v>0</v>
      </c>
      <c r="N2319">
        <v>7</v>
      </c>
      <c r="O2319">
        <v>39.494</v>
      </c>
      <c r="P2319">
        <v>21.289653170000001</v>
      </c>
      <c r="Q2319">
        <v>7.8259999999999996</v>
      </c>
    </row>
    <row r="2320" spans="1:17" x14ac:dyDescent="0.2">
      <c r="A2320" s="30" t="str">
        <f>IF(C2320&amp;G2320&amp;D2320&lt;&gt;'Funnel setup'!$K$3&amp;'Funnel setup'!$K$4&amp;'Funnel setup'!$K$5,".",IF(A2319=".",1,A2319+1))</f>
        <v>.</v>
      </c>
      <c r="B2320" s="431" t="str">
        <f t="shared" si="36"/>
        <v>Hip Replacement PrimaryProviderNORTHERN LINCOLNSHIRE AND GOOLE NHS FOUNDATION TRUST (RJL)Oxford Hip Score</v>
      </c>
      <c r="C2320" t="s">
        <v>248</v>
      </c>
      <c r="D2320" t="s">
        <v>1</v>
      </c>
      <c r="E2320" t="s">
        <v>3681</v>
      </c>
      <c r="F2320" t="s">
        <v>3682</v>
      </c>
      <c r="G2320" t="s">
        <v>14</v>
      </c>
      <c r="H2320">
        <v>256</v>
      </c>
      <c r="I2320">
        <v>19</v>
      </c>
      <c r="J2320">
        <v>39.555</v>
      </c>
      <c r="K2320">
        <v>20.555</v>
      </c>
      <c r="L2320">
        <v>250</v>
      </c>
      <c r="M2320">
        <v>2</v>
      </c>
      <c r="N2320">
        <v>4</v>
      </c>
      <c r="O2320">
        <v>39.579000000000001</v>
      </c>
      <c r="P2320">
        <v>21.374510430000001</v>
      </c>
      <c r="Q2320">
        <v>7.109</v>
      </c>
    </row>
    <row r="2321" spans="1:17" x14ac:dyDescent="0.2">
      <c r="A2321" s="30" t="str">
        <f>IF(C2321&amp;G2321&amp;D2321&lt;&gt;'Funnel setup'!$K$3&amp;'Funnel setup'!$K$4&amp;'Funnel setup'!$K$5,".",IF(A2320=".",1,A2320+1))</f>
        <v>.</v>
      </c>
      <c r="B2321" s="431" t="str">
        <f t="shared" si="36"/>
        <v>Hip Replacement PrimaryProviderNORTHUMBRIA HEALTHCARE NHS FOUNDATION TRUST (RTF)Oxford Hip Score</v>
      </c>
      <c r="C2321" t="s">
        <v>248</v>
      </c>
      <c r="D2321" t="s">
        <v>1</v>
      </c>
      <c r="E2321" t="s">
        <v>3684</v>
      </c>
      <c r="F2321" t="s">
        <v>3685</v>
      </c>
      <c r="G2321" t="s">
        <v>14</v>
      </c>
      <c r="H2321">
        <v>663</v>
      </c>
      <c r="I2321">
        <v>17.890999999999998</v>
      </c>
      <c r="J2321">
        <v>39.893999999999998</v>
      </c>
      <c r="K2321">
        <v>22.003</v>
      </c>
      <c r="L2321">
        <v>650</v>
      </c>
      <c r="M2321">
        <v>3</v>
      </c>
      <c r="N2321">
        <v>10</v>
      </c>
      <c r="O2321">
        <v>40.14</v>
      </c>
      <c r="P2321">
        <v>21.93566963</v>
      </c>
      <c r="Q2321">
        <v>7.8920000000000003</v>
      </c>
    </row>
    <row r="2322" spans="1:17" x14ac:dyDescent="0.2">
      <c r="A2322" s="30" t="str">
        <f>IF(C2322&amp;G2322&amp;D2322&lt;&gt;'Funnel setup'!$K$3&amp;'Funnel setup'!$K$4&amp;'Funnel setup'!$K$5,".",IF(A2321=".",1,A2321+1))</f>
        <v>.</v>
      </c>
      <c r="B2322" s="431" t="str">
        <f t="shared" si="36"/>
        <v>Hip Replacement PrimaryProviderNOTTINGHAM UNIVERSITY HOSPITALS NHS TRUST (RX1)Oxford Hip Score</v>
      </c>
      <c r="C2322" t="s">
        <v>248</v>
      </c>
      <c r="D2322" t="s">
        <v>1</v>
      </c>
      <c r="E2322" t="s">
        <v>3687</v>
      </c>
      <c r="F2322" t="s">
        <v>3688</v>
      </c>
      <c r="G2322" t="s">
        <v>14</v>
      </c>
      <c r="H2322">
        <v>417</v>
      </c>
      <c r="I2322">
        <v>18.373999999999999</v>
      </c>
      <c r="J2322">
        <v>39.814999999999998</v>
      </c>
      <c r="K2322">
        <v>21.440999999999999</v>
      </c>
      <c r="L2322">
        <v>411</v>
      </c>
      <c r="M2322">
        <v>1</v>
      </c>
      <c r="N2322">
        <v>5</v>
      </c>
      <c r="O2322">
        <v>39.970999999999997</v>
      </c>
      <c r="P2322">
        <v>21.766808470000001</v>
      </c>
      <c r="Q2322">
        <v>7.3789999999999996</v>
      </c>
    </row>
    <row r="2323" spans="1:17" x14ac:dyDescent="0.2">
      <c r="A2323" s="30" t="str">
        <f>IF(C2323&amp;G2323&amp;D2323&lt;&gt;'Funnel setup'!$K$3&amp;'Funnel setup'!$K$4&amp;'Funnel setup'!$K$5,".",IF(A2322=".",1,A2322+1))</f>
        <v>.</v>
      </c>
      <c r="B2323" s="431" t="str">
        <f t="shared" si="36"/>
        <v>Hip Replacement PrimaryProviderNUFFIELD HEALTH, BRENTWOOD HOSPITAL (NT204)Oxford Hip Score</v>
      </c>
      <c r="C2323" t="s">
        <v>248</v>
      </c>
      <c r="D2323" t="s">
        <v>1</v>
      </c>
      <c r="E2323" t="s">
        <v>3691</v>
      </c>
      <c r="F2323" t="s">
        <v>3692</v>
      </c>
      <c r="G2323" t="s">
        <v>14</v>
      </c>
      <c r="H2323">
        <v>75</v>
      </c>
      <c r="I2323">
        <v>19.613</v>
      </c>
      <c r="J2323">
        <v>41.32</v>
      </c>
      <c r="K2323">
        <v>21.707000000000001</v>
      </c>
      <c r="L2323">
        <v>73</v>
      </c>
      <c r="M2323">
        <v>1</v>
      </c>
      <c r="N2323">
        <v>1</v>
      </c>
      <c r="O2323">
        <v>39.83</v>
      </c>
      <c r="P2323">
        <v>21.625148620000001</v>
      </c>
      <c r="Q2323">
        <v>6.84</v>
      </c>
    </row>
    <row r="2324" spans="1:17" x14ac:dyDescent="0.2">
      <c r="A2324" s="30" t="str">
        <f>IF(C2324&amp;G2324&amp;D2324&lt;&gt;'Funnel setup'!$K$3&amp;'Funnel setup'!$K$4&amp;'Funnel setup'!$K$5,".",IF(A2323=".",1,A2323+1))</f>
        <v>.</v>
      </c>
      <c r="B2324" s="431" t="str">
        <f t="shared" si="36"/>
        <v>Hip Replacement PrimaryProviderNUFFIELD HEALTH, BRIGHTON HOSPITAL (NT205)Oxford Hip Score</v>
      </c>
      <c r="C2324" t="s">
        <v>248</v>
      </c>
      <c r="D2324" t="s">
        <v>1</v>
      </c>
      <c r="E2324" t="s">
        <v>3697</v>
      </c>
      <c r="F2324" t="s">
        <v>3698</v>
      </c>
      <c r="G2324" t="s">
        <v>14</v>
      </c>
      <c r="H2324" t="s">
        <v>53</v>
      </c>
      <c r="I2324" t="s">
        <v>53</v>
      </c>
      <c r="J2324" t="s">
        <v>53</v>
      </c>
      <c r="K2324" t="s">
        <v>53</v>
      </c>
      <c r="L2324" t="s">
        <v>53</v>
      </c>
      <c r="M2324" t="s">
        <v>53</v>
      </c>
      <c r="N2324" t="s">
        <v>53</v>
      </c>
      <c r="O2324" t="s">
        <v>53</v>
      </c>
      <c r="P2324" t="s">
        <v>53</v>
      </c>
      <c r="Q2324" t="s">
        <v>53</v>
      </c>
    </row>
    <row r="2325" spans="1:17" x14ac:dyDescent="0.2">
      <c r="A2325" s="30" t="str">
        <f>IF(C2325&amp;G2325&amp;D2325&lt;&gt;'Funnel setup'!$K$3&amp;'Funnel setup'!$K$4&amp;'Funnel setup'!$K$5,".",IF(A2324=".",1,A2324+1))</f>
        <v>.</v>
      </c>
      <c r="B2325" s="431" t="str">
        <f t="shared" si="36"/>
        <v>Hip Replacement PrimaryProviderNUFFIELD HEALTH, BRISTOL HOSPITAL (CHESTERFIELD) (NT206)Oxford Hip Score</v>
      </c>
      <c r="C2325" t="s">
        <v>248</v>
      </c>
      <c r="D2325" t="s">
        <v>1</v>
      </c>
      <c r="E2325" t="s">
        <v>3700</v>
      </c>
      <c r="F2325" t="s">
        <v>3701</v>
      </c>
      <c r="G2325" t="s">
        <v>14</v>
      </c>
      <c r="H2325">
        <v>14</v>
      </c>
      <c r="I2325">
        <v>13.5</v>
      </c>
      <c r="J2325">
        <v>37.356999999999999</v>
      </c>
      <c r="K2325">
        <v>23.856999999999999</v>
      </c>
      <c r="L2325">
        <v>14</v>
      </c>
      <c r="M2325">
        <v>0</v>
      </c>
      <c r="N2325">
        <v>0</v>
      </c>
      <c r="O2325" t="s">
        <v>53</v>
      </c>
      <c r="P2325" t="s">
        <v>53</v>
      </c>
      <c r="Q2325" t="s">
        <v>53</v>
      </c>
    </row>
    <row r="2326" spans="1:17" x14ac:dyDescent="0.2">
      <c r="A2326" s="30" t="str">
        <f>IF(C2326&amp;G2326&amp;D2326&lt;&gt;'Funnel setup'!$K$3&amp;'Funnel setup'!$K$4&amp;'Funnel setup'!$K$5,".",IF(A2325=".",1,A2325+1))</f>
        <v>.</v>
      </c>
      <c r="B2326" s="431" t="str">
        <f t="shared" si="36"/>
        <v>Hip Replacement PrimaryProviderNUFFIELD HEALTH, CAMBRIDGE HOSPITAL (NT209)Oxford Hip Score</v>
      </c>
      <c r="C2326" t="s">
        <v>248</v>
      </c>
      <c r="D2326" t="s">
        <v>1</v>
      </c>
      <c r="E2326" t="s">
        <v>4477</v>
      </c>
      <c r="F2326" t="s">
        <v>4478</v>
      </c>
      <c r="G2326" t="s">
        <v>14</v>
      </c>
      <c r="H2326">
        <v>19</v>
      </c>
      <c r="I2326">
        <v>18</v>
      </c>
      <c r="J2326">
        <v>43.789000000000001</v>
      </c>
      <c r="K2326">
        <v>25.789000000000001</v>
      </c>
      <c r="L2326">
        <v>19</v>
      </c>
      <c r="M2326">
        <v>0</v>
      </c>
      <c r="N2326">
        <v>0</v>
      </c>
      <c r="O2326" t="s">
        <v>53</v>
      </c>
      <c r="P2326" t="s">
        <v>53</v>
      </c>
      <c r="Q2326" t="s">
        <v>53</v>
      </c>
    </row>
    <row r="2327" spans="1:17" x14ac:dyDescent="0.2">
      <c r="A2327" s="30" t="str">
        <f>IF(C2327&amp;G2327&amp;D2327&lt;&gt;'Funnel setup'!$K$3&amp;'Funnel setup'!$K$4&amp;'Funnel setup'!$K$5,".",IF(A2326=".",1,A2326+1))</f>
        <v>.</v>
      </c>
      <c r="B2327" s="431" t="str">
        <f t="shared" si="36"/>
        <v>Hip Replacement PrimaryProviderNUFFIELD HEALTH, CHELTENHAM HOSPITAL (NT211)Oxford Hip Score</v>
      </c>
      <c r="C2327" t="s">
        <v>248</v>
      </c>
      <c r="D2327" t="s">
        <v>1</v>
      </c>
      <c r="E2327" t="s">
        <v>3703</v>
      </c>
      <c r="F2327" t="s">
        <v>3704</v>
      </c>
      <c r="G2327" t="s">
        <v>14</v>
      </c>
      <c r="H2327">
        <v>6</v>
      </c>
      <c r="I2327">
        <v>23.167000000000002</v>
      </c>
      <c r="J2327">
        <v>41.5</v>
      </c>
      <c r="K2327">
        <v>18.332999999999998</v>
      </c>
      <c r="L2327">
        <v>6</v>
      </c>
      <c r="M2327">
        <v>0</v>
      </c>
      <c r="N2327">
        <v>0</v>
      </c>
      <c r="O2327" t="s">
        <v>53</v>
      </c>
      <c r="P2327" t="s">
        <v>53</v>
      </c>
      <c r="Q2327" t="s">
        <v>53</v>
      </c>
    </row>
    <row r="2328" spans="1:17" x14ac:dyDescent="0.2">
      <c r="A2328" s="30" t="str">
        <f>IF(C2328&amp;G2328&amp;D2328&lt;&gt;'Funnel setup'!$K$3&amp;'Funnel setup'!$K$4&amp;'Funnel setup'!$K$5,".",IF(A2327=".",1,A2327+1))</f>
        <v>.</v>
      </c>
      <c r="B2328" s="431" t="str">
        <f t="shared" si="36"/>
        <v>Hip Replacement PrimaryProviderNUFFIELD HEALTH, CHICHESTER HOSPITAL (NT212)Oxford Hip Score</v>
      </c>
      <c r="C2328" t="s">
        <v>248</v>
      </c>
      <c r="D2328" t="s">
        <v>1</v>
      </c>
      <c r="E2328" t="s">
        <v>4334</v>
      </c>
      <c r="F2328" t="s">
        <v>4335</v>
      </c>
      <c r="G2328" t="s">
        <v>14</v>
      </c>
      <c r="H2328">
        <v>16</v>
      </c>
      <c r="I2328">
        <v>17.5</v>
      </c>
      <c r="J2328">
        <v>43.125</v>
      </c>
      <c r="K2328">
        <v>25.625</v>
      </c>
      <c r="L2328">
        <v>16</v>
      </c>
      <c r="M2328">
        <v>0</v>
      </c>
      <c r="N2328">
        <v>0</v>
      </c>
      <c r="O2328" t="s">
        <v>53</v>
      </c>
      <c r="P2328" t="s">
        <v>53</v>
      </c>
      <c r="Q2328" t="s">
        <v>53</v>
      </c>
    </row>
    <row r="2329" spans="1:17" x14ac:dyDescent="0.2">
      <c r="A2329" s="30" t="str">
        <f>IF(C2329&amp;G2329&amp;D2329&lt;&gt;'Funnel setup'!$K$3&amp;'Funnel setup'!$K$4&amp;'Funnel setup'!$K$5,".",IF(A2328=".",1,A2328+1))</f>
        <v>.</v>
      </c>
      <c r="B2329" s="431" t="str">
        <f t="shared" si="36"/>
        <v>Hip Replacement PrimaryProviderNUFFIELD HEALTH, DERBY HOSPITAL (NT213)Oxford Hip Score</v>
      </c>
      <c r="C2329" t="s">
        <v>248</v>
      </c>
      <c r="D2329" t="s">
        <v>1</v>
      </c>
      <c r="E2329" t="s">
        <v>3340</v>
      </c>
      <c r="F2329" t="s">
        <v>3341</v>
      </c>
      <c r="G2329" t="s">
        <v>14</v>
      </c>
      <c r="H2329">
        <v>157</v>
      </c>
      <c r="I2329">
        <v>18.408000000000001</v>
      </c>
      <c r="J2329">
        <v>41.21</v>
      </c>
      <c r="K2329">
        <v>22.803000000000001</v>
      </c>
      <c r="L2329">
        <v>155</v>
      </c>
      <c r="M2329">
        <v>2</v>
      </c>
      <c r="N2329">
        <v>0</v>
      </c>
      <c r="O2329">
        <v>40.069000000000003</v>
      </c>
      <c r="P2329">
        <v>21.864496450000001</v>
      </c>
      <c r="Q2329">
        <v>6.9509999999999996</v>
      </c>
    </row>
    <row r="2330" spans="1:17" x14ac:dyDescent="0.2">
      <c r="A2330" s="30" t="str">
        <f>IF(C2330&amp;G2330&amp;D2330&lt;&gt;'Funnel setup'!$K$3&amp;'Funnel setup'!$K$4&amp;'Funnel setup'!$K$5,".",IF(A2329=".",1,A2329+1))</f>
        <v>.</v>
      </c>
      <c r="B2330" s="431" t="str">
        <f t="shared" si="36"/>
        <v>Hip Replacement PrimaryProviderNUFFIELD HEALTH, EXETER HOSPITAL (NT215)Oxford Hip Score</v>
      </c>
      <c r="C2330" t="s">
        <v>248</v>
      </c>
      <c r="D2330" t="s">
        <v>1</v>
      </c>
      <c r="E2330" t="s">
        <v>4339</v>
      </c>
      <c r="F2330" t="s">
        <v>4340</v>
      </c>
      <c r="G2330" t="s">
        <v>14</v>
      </c>
      <c r="H2330">
        <v>43</v>
      </c>
      <c r="I2330">
        <v>20.279</v>
      </c>
      <c r="J2330">
        <v>40.372</v>
      </c>
      <c r="K2330">
        <v>20.093</v>
      </c>
      <c r="L2330">
        <v>40</v>
      </c>
      <c r="M2330">
        <v>0</v>
      </c>
      <c r="N2330">
        <v>3</v>
      </c>
      <c r="O2330">
        <v>38.548999999999999</v>
      </c>
      <c r="P2330">
        <v>20.344818050000001</v>
      </c>
      <c r="Q2330">
        <v>10.414999999999999</v>
      </c>
    </row>
    <row r="2331" spans="1:17" x14ac:dyDescent="0.2">
      <c r="A2331" s="30" t="str">
        <f>IF(C2331&amp;G2331&amp;D2331&lt;&gt;'Funnel setup'!$K$3&amp;'Funnel setup'!$K$4&amp;'Funnel setup'!$K$5,".",IF(A2330=".",1,A2330+1))</f>
        <v>.</v>
      </c>
      <c r="B2331" s="431" t="str">
        <f t="shared" si="36"/>
        <v>Hip Replacement PrimaryProviderNUFFIELD HEALTH, HAYWARDS HEATH HOSPITAL (NT218)Oxford Hip Score</v>
      </c>
      <c r="C2331" t="s">
        <v>248</v>
      </c>
      <c r="D2331" t="s">
        <v>1</v>
      </c>
      <c r="E2331" t="s">
        <v>4342</v>
      </c>
      <c r="F2331" t="s">
        <v>4343</v>
      </c>
      <c r="G2331" t="s">
        <v>14</v>
      </c>
      <c r="H2331">
        <v>26</v>
      </c>
      <c r="I2331">
        <v>23.192</v>
      </c>
      <c r="J2331">
        <v>42.115000000000002</v>
      </c>
      <c r="K2331">
        <v>18.922999999999998</v>
      </c>
      <c r="L2331">
        <v>25</v>
      </c>
      <c r="M2331">
        <v>0</v>
      </c>
      <c r="N2331">
        <v>1</v>
      </c>
      <c r="O2331" t="s">
        <v>53</v>
      </c>
      <c r="P2331" t="s">
        <v>53</v>
      </c>
      <c r="Q2331" t="s">
        <v>53</v>
      </c>
    </row>
    <row r="2332" spans="1:17" x14ac:dyDescent="0.2">
      <c r="A2332" s="30" t="str">
        <f>IF(C2332&amp;G2332&amp;D2332&lt;&gt;'Funnel setup'!$K$3&amp;'Funnel setup'!$K$4&amp;'Funnel setup'!$K$5,".",IF(A2331=".",1,A2331+1))</f>
        <v>.</v>
      </c>
      <c r="B2332" s="431" t="str">
        <f t="shared" si="36"/>
        <v>Hip Replacement PrimaryProviderNUFFIELD HEALTH, HEREFORD HOSPITAL (NT219)Oxford Hip Score</v>
      </c>
      <c r="C2332" t="s">
        <v>248</v>
      </c>
      <c r="D2332" t="s">
        <v>1</v>
      </c>
      <c r="E2332" t="s">
        <v>3343</v>
      </c>
      <c r="F2332" t="s">
        <v>3344</v>
      </c>
      <c r="G2332" t="s">
        <v>14</v>
      </c>
      <c r="H2332">
        <v>69</v>
      </c>
      <c r="I2332">
        <v>20.971</v>
      </c>
      <c r="J2332">
        <v>41.246000000000002</v>
      </c>
      <c r="K2332">
        <v>20.274999999999999</v>
      </c>
      <c r="L2332">
        <v>67</v>
      </c>
      <c r="M2332">
        <v>1</v>
      </c>
      <c r="N2332">
        <v>1</v>
      </c>
      <c r="O2332">
        <v>40.176000000000002</v>
      </c>
      <c r="P2332">
        <v>21.971057160000001</v>
      </c>
      <c r="Q2332">
        <v>6.9560000000000004</v>
      </c>
    </row>
    <row r="2333" spans="1:17" x14ac:dyDescent="0.2">
      <c r="A2333" s="30" t="str">
        <f>IF(C2333&amp;G2333&amp;D2333&lt;&gt;'Funnel setup'!$K$3&amp;'Funnel setup'!$K$4&amp;'Funnel setup'!$K$5,".",IF(A2332=".",1,A2332+1))</f>
        <v>.</v>
      </c>
      <c r="B2333" s="431" t="str">
        <f t="shared" si="36"/>
        <v>Hip Replacement PrimaryProviderNUFFIELD HEALTH, IPSWICH HOSPITAL (NT222)Oxford Hip Score</v>
      </c>
      <c r="C2333" t="s">
        <v>248</v>
      </c>
      <c r="D2333" t="s">
        <v>1</v>
      </c>
      <c r="E2333" t="s">
        <v>3385</v>
      </c>
      <c r="F2333" t="s">
        <v>3386</v>
      </c>
      <c r="G2333" t="s">
        <v>14</v>
      </c>
      <c r="H2333">
        <v>136</v>
      </c>
      <c r="I2333">
        <v>16.074000000000002</v>
      </c>
      <c r="J2333">
        <v>41.896999999999998</v>
      </c>
      <c r="K2333">
        <v>25.824000000000002</v>
      </c>
      <c r="L2333">
        <v>135</v>
      </c>
      <c r="M2333">
        <v>0</v>
      </c>
      <c r="N2333">
        <v>1</v>
      </c>
      <c r="O2333">
        <v>41.32</v>
      </c>
      <c r="P2333">
        <v>23.115626450000001</v>
      </c>
      <c r="Q2333">
        <v>6.76</v>
      </c>
    </row>
    <row r="2334" spans="1:17" x14ac:dyDescent="0.2">
      <c r="A2334" s="30" t="str">
        <f>IF(C2334&amp;G2334&amp;D2334&lt;&gt;'Funnel setup'!$K$3&amp;'Funnel setup'!$K$4&amp;'Funnel setup'!$K$5,".",IF(A2333=".",1,A2333+1))</f>
        <v>.</v>
      </c>
      <c r="B2334" s="431" t="str">
        <f t="shared" si="36"/>
        <v>Hip Replacement PrimaryProviderNUFFIELD HEALTH, LEEDS HOSPITAL (NT225)Oxford Hip Score</v>
      </c>
      <c r="C2334" t="s">
        <v>248</v>
      </c>
      <c r="D2334" t="s">
        <v>1</v>
      </c>
      <c r="E2334" t="s">
        <v>3388</v>
      </c>
      <c r="F2334" t="s">
        <v>3389</v>
      </c>
      <c r="G2334" t="s">
        <v>14</v>
      </c>
      <c r="H2334">
        <v>120</v>
      </c>
      <c r="I2334">
        <v>18.975000000000001</v>
      </c>
      <c r="J2334">
        <v>40.042000000000002</v>
      </c>
      <c r="K2334">
        <v>21.067</v>
      </c>
      <c r="L2334">
        <v>118</v>
      </c>
      <c r="M2334">
        <v>1</v>
      </c>
      <c r="N2334">
        <v>1</v>
      </c>
      <c r="O2334">
        <v>39.078000000000003</v>
      </c>
      <c r="P2334">
        <v>20.873911849999999</v>
      </c>
      <c r="Q2334">
        <v>6.9089999999999998</v>
      </c>
    </row>
    <row r="2335" spans="1:17" x14ac:dyDescent="0.2">
      <c r="A2335" s="30" t="str">
        <f>IF(C2335&amp;G2335&amp;D2335&lt;&gt;'Funnel setup'!$K$3&amp;'Funnel setup'!$K$4&amp;'Funnel setup'!$K$5,".",IF(A2334=".",1,A2334+1))</f>
        <v>.</v>
      </c>
      <c r="B2335" s="431" t="str">
        <f t="shared" si="36"/>
        <v>Hip Replacement PrimaryProviderNUFFIELD HEALTH, LEICESTER HOSPITAL (NT226)Oxford Hip Score</v>
      </c>
      <c r="C2335" t="s">
        <v>248</v>
      </c>
      <c r="D2335" t="s">
        <v>1</v>
      </c>
      <c r="E2335" t="s">
        <v>3391</v>
      </c>
      <c r="F2335" t="s">
        <v>3392</v>
      </c>
      <c r="G2335" t="s">
        <v>14</v>
      </c>
      <c r="H2335">
        <v>27</v>
      </c>
      <c r="I2335">
        <v>19.556000000000001</v>
      </c>
      <c r="J2335">
        <v>41.259</v>
      </c>
      <c r="K2335">
        <v>21.704000000000001</v>
      </c>
      <c r="L2335">
        <v>26</v>
      </c>
      <c r="M2335">
        <v>0</v>
      </c>
      <c r="N2335">
        <v>1</v>
      </c>
      <c r="O2335" t="s">
        <v>53</v>
      </c>
      <c r="P2335" t="s">
        <v>53</v>
      </c>
      <c r="Q2335" t="s">
        <v>53</v>
      </c>
    </row>
    <row r="2336" spans="1:17" x14ac:dyDescent="0.2">
      <c r="A2336" s="30" t="str">
        <f>IF(C2336&amp;G2336&amp;D2336&lt;&gt;'Funnel setup'!$K$3&amp;'Funnel setup'!$K$4&amp;'Funnel setup'!$K$5,".",IF(A2335=".",1,A2335+1))</f>
        <v>.</v>
      </c>
      <c r="B2336" s="431" t="str">
        <f t="shared" si="36"/>
        <v>Hip Replacement PrimaryProviderNUFFIELD HEALTH, NEWCASTLE UPON TYNE HOSPITAL (NT229)Oxford Hip Score</v>
      </c>
      <c r="C2336" t="s">
        <v>248</v>
      </c>
      <c r="D2336" t="s">
        <v>1</v>
      </c>
      <c r="E2336" t="s">
        <v>3394</v>
      </c>
      <c r="F2336" t="s">
        <v>3395</v>
      </c>
      <c r="G2336" t="s">
        <v>14</v>
      </c>
      <c r="H2336">
        <v>36</v>
      </c>
      <c r="I2336">
        <v>20.917000000000002</v>
      </c>
      <c r="J2336">
        <v>41.360999999999997</v>
      </c>
      <c r="K2336">
        <v>20.443999999999999</v>
      </c>
      <c r="L2336">
        <v>34</v>
      </c>
      <c r="M2336">
        <v>2</v>
      </c>
      <c r="N2336">
        <v>0</v>
      </c>
      <c r="O2336">
        <v>40.506</v>
      </c>
      <c r="P2336">
        <v>22.301943009999999</v>
      </c>
      <c r="Q2336">
        <v>5.9870000000000001</v>
      </c>
    </row>
    <row r="2337" spans="1:17" x14ac:dyDescent="0.2">
      <c r="A2337" s="30" t="str">
        <f>IF(C2337&amp;G2337&amp;D2337&lt;&gt;'Funnel setup'!$K$3&amp;'Funnel setup'!$K$4&amp;'Funnel setup'!$K$5,".",IF(A2336=".",1,A2336+1))</f>
        <v>.</v>
      </c>
      <c r="B2337" s="431" t="str">
        <f t="shared" si="36"/>
        <v>Hip Replacement PrimaryProviderNUFFIELD HEALTH, NORTH STAFFORDSHIRE HOSPITAL (NT230)Oxford Hip Score</v>
      </c>
      <c r="C2337" t="s">
        <v>248</v>
      </c>
      <c r="D2337" t="s">
        <v>1</v>
      </c>
      <c r="E2337" t="s">
        <v>3397</v>
      </c>
      <c r="F2337" t="s">
        <v>3398</v>
      </c>
      <c r="G2337" t="s">
        <v>14</v>
      </c>
      <c r="H2337">
        <v>132</v>
      </c>
      <c r="I2337">
        <v>17.038</v>
      </c>
      <c r="J2337">
        <v>41.537999999999997</v>
      </c>
      <c r="K2337">
        <v>24.5</v>
      </c>
      <c r="L2337">
        <v>129</v>
      </c>
      <c r="M2337">
        <v>0</v>
      </c>
      <c r="N2337">
        <v>3</v>
      </c>
      <c r="O2337">
        <v>41.850999999999999</v>
      </c>
      <c r="P2337">
        <v>23.64657768</v>
      </c>
      <c r="Q2337">
        <v>6.5670000000000002</v>
      </c>
    </row>
    <row r="2338" spans="1:17" x14ac:dyDescent="0.2">
      <c r="A2338" s="30" t="str">
        <f>IF(C2338&amp;G2338&amp;D2338&lt;&gt;'Funnel setup'!$K$3&amp;'Funnel setup'!$K$4&amp;'Funnel setup'!$K$5,".",IF(A2337=".",1,A2337+1))</f>
        <v>.</v>
      </c>
      <c r="B2338" s="431" t="str">
        <f t="shared" si="36"/>
        <v>Hip Replacement PrimaryProviderNUFFIELD HEALTH, PLYMOUTH HOSPITAL (NT233)Oxford Hip Score</v>
      </c>
      <c r="C2338" t="s">
        <v>248</v>
      </c>
      <c r="D2338" t="s">
        <v>1</v>
      </c>
      <c r="E2338" t="s">
        <v>3400</v>
      </c>
      <c r="F2338" t="s">
        <v>3401</v>
      </c>
      <c r="G2338" t="s">
        <v>14</v>
      </c>
      <c r="H2338">
        <v>86</v>
      </c>
      <c r="I2338">
        <v>19.942</v>
      </c>
      <c r="J2338">
        <v>41.558</v>
      </c>
      <c r="K2338">
        <v>21.616</v>
      </c>
      <c r="L2338">
        <v>83</v>
      </c>
      <c r="M2338">
        <v>0</v>
      </c>
      <c r="N2338">
        <v>3</v>
      </c>
      <c r="O2338">
        <v>40.463000000000001</v>
      </c>
      <c r="P2338">
        <v>22.258729550000002</v>
      </c>
      <c r="Q2338">
        <v>7.718</v>
      </c>
    </row>
    <row r="2339" spans="1:17" x14ac:dyDescent="0.2">
      <c r="A2339" s="30" t="str">
        <f>IF(C2339&amp;G2339&amp;D2339&lt;&gt;'Funnel setup'!$K$3&amp;'Funnel setup'!$K$4&amp;'Funnel setup'!$K$5,".",IF(A2338=".",1,A2338+1))</f>
        <v>.</v>
      </c>
      <c r="B2339" s="431" t="str">
        <f t="shared" si="36"/>
        <v>Hip Replacement PrimaryProviderNUFFIELD HEALTH, SHREWSBURY HOSPITAL (NT235)Oxford Hip Score</v>
      </c>
      <c r="C2339" t="s">
        <v>248</v>
      </c>
      <c r="D2339" t="s">
        <v>1</v>
      </c>
      <c r="E2339" t="s">
        <v>3240</v>
      </c>
      <c r="F2339" t="s">
        <v>3241</v>
      </c>
      <c r="G2339" t="s">
        <v>14</v>
      </c>
      <c r="H2339" t="s">
        <v>53</v>
      </c>
      <c r="I2339" t="s">
        <v>53</v>
      </c>
      <c r="J2339" t="s">
        <v>53</v>
      </c>
      <c r="K2339" t="s">
        <v>53</v>
      </c>
      <c r="L2339" t="s">
        <v>53</v>
      </c>
      <c r="M2339" t="s">
        <v>53</v>
      </c>
      <c r="N2339" t="s">
        <v>53</v>
      </c>
      <c r="O2339" t="s">
        <v>53</v>
      </c>
      <c r="P2339" t="s">
        <v>53</v>
      </c>
      <c r="Q2339" t="s">
        <v>53</v>
      </c>
    </row>
    <row r="2340" spans="1:17" x14ac:dyDescent="0.2">
      <c r="A2340" s="30" t="str">
        <f>IF(C2340&amp;G2340&amp;D2340&lt;&gt;'Funnel setup'!$K$3&amp;'Funnel setup'!$K$4&amp;'Funnel setup'!$K$5,".",IF(A2339=".",1,A2339+1))</f>
        <v>.</v>
      </c>
      <c r="B2340" s="431" t="str">
        <f t="shared" si="36"/>
        <v>Hip Replacement PrimaryProviderNUFFIELD HEALTH, TAUNTON HOSPITAL (NT238)Oxford Hip Score</v>
      </c>
      <c r="C2340" t="s">
        <v>248</v>
      </c>
      <c r="D2340" t="s">
        <v>1</v>
      </c>
      <c r="E2340" t="s">
        <v>3243</v>
      </c>
      <c r="F2340" t="s">
        <v>3244</v>
      </c>
      <c r="G2340" t="s">
        <v>14</v>
      </c>
      <c r="H2340">
        <v>81</v>
      </c>
      <c r="I2340">
        <v>19.556000000000001</v>
      </c>
      <c r="J2340">
        <v>42.357999999999997</v>
      </c>
      <c r="K2340">
        <v>22.802</v>
      </c>
      <c r="L2340">
        <v>80</v>
      </c>
      <c r="M2340">
        <v>0</v>
      </c>
      <c r="N2340">
        <v>1</v>
      </c>
      <c r="O2340">
        <v>40.835000000000001</v>
      </c>
      <c r="P2340">
        <v>22.630638059999999</v>
      </c>
      <c r="Q2340">
        <v>6.8280000000000003</v>
      </c>
    </row>
    <row r="2341" spans="1:17" x14ac:dyDescent="0.2">
      <c r="A2341" s="30" t="str">
        <f>IF(C2341&amp;G2341&amp;D2341&lt;&gt;'Funnel setup'!$K$3&amp;'Funnel setup'!$K$4&amp;'Funnel setup'!$K$5,".",IF(A2340=".",1,A2340+1))</f>
        <v>.</v>
      </c>
      <c r="B2341" s="431" t="str">
        <f t="shared" si="36"/>
        <v>Hip Replacement PrimaryProviderNUFFIELD HEALTH, TEES HOSPITAL (NT237)Oxford Hip Score</v>
      </c>
      <c r="C2341" t="s">
        <v>248</v>
      </c>
      <c r="D2341" t="s">
        <v>1</v>
      </c>
      <c r="E2341" t="s">
        <v>3246</v>
      </c>
      <c r="F2341" t="s">
        <v>3247</v>
      </c>
      <c r="G2341" t="s">
        <v>14</v>
      </c>
      <c r="H2341">
        <v>114</v>
      </c>
      <c r="I2341">
        <v>20.245999999999999</v>
      </c>
      <c r="J2341">
        <v>39.14</v>
      </c>
      <c r="K2341">
        <v>18.895</v>
      </c>
      <c r="L2341">
        <v>110</v>
      </c>
      <c r="M2341">
        <v>0</v>
      </c>
      <c r="N2341">
        <v>4</v>
      </c>
      <c r="O2341">
        <v>37.877000000000002</v>
      </c>
      <c r="P2341">
        <v>19.672618799999999</v>
      </c>
      <c r="Q2341">
        <v>7.8650000000000002</v>
      </c>
    </row>
    <row r="2342" spans="1:17" x14ac:dyDescent="0.2">
      <c r="A2342" s="30" t="str">
        <f>IF(C2342&amp;G2342&amp;D2342&lt;&gt;'Funnel setup'!$K$3&amp;'Funnel setup'!$K$4&amp;'Funnel setup'!$K$5,".",IF(A2341=".",1,A2341+1))</f>
        <v>.</v>
      </c>
      <c r="B2342" s="431" t="str">
        <f t="shared" si="36"/>
        <v>Hip Replacement PrimaryProviderNUFFIELD HEALTH, THE GROSVENOR HOSPITAL, CHESTER (NT210)Oxford Hip Score</v>
      </c>
      <c r="C2342" t="s">
        <v>248</v>
      </c>
      <c r="D2342" t="s">
        <v>1</v>
      </c>
      <c r="E2342" t="s">
        <v>3249</v>
      </c>
      <c r="F2342" t="s">
        <v>3250</v>
      </c>
      <c r="G2342" t="s">
        <v>14</v>
      </c>
      <c r="H2342">
        <v>61</v>
      </c>
      <c r="I2342">
        <v>17.803000000000001</v>
      </c>
      <c r="J2342">
        <v>39.770000000000003</v>
      </c>
      <c r="K2342">
        <v>21.966999999999999</v>
      </c>
      <c r="L2342">
        <v>61</v>
      </c>
      <c r="M2342">
        <v>0</v>
      </c>
      <c r="N2342">
        <v>0</v>
      </c>
      <c r="O2342">
        <v>38.502000000000002</v>
      </c>
      <c r="P2342">
        <v>20.297471059999999</v>
      </c>
      <c r="Q2342">
        <v>8.3260000000000005</v>
      </c>
    </row>
    <row r="2343" spans="1:17" x14ac:dyDescent="0.2">
      <c r="A2343" s="30" t="str">
        <f>IF(C2343&amp;G2343&amp;D2343&lt;&gt;'Funnel setup'!$K$3&amp;'Funnel setup'!$K$4&amp;'Funnel setup'!$K$5,".",IF(A2342=".",1,A2342+1))</f>
        <v>.</v>
      </c>
      <c r="B2343" s="431" t="str">
        <f t="shared" si="36"/>
        <v>Hip Replacement PrimaryProviderNUFFIELD HEALTH, TUNBRIDGE WELLS HOSPITAL (NT239)Oxford Hip Score</v>
      </c>
      <c r="C2343" t="s">
        <v>248</v>
      </c>
      <c r="D2343" t="s">
        <v>1</v>
      </c>
      <c r="E2343" t="s">
        <v>3252</v>
      </c>
      <c r="F2343" t="s">
        <v>3253</v>
      </c>
      <c r="G2343" t="s">
        <v>14</v>
      </c>
      <c r="H2343" t="s">
        <v>53</v>
      </c>
      <c r="I2343" t="s">
        <v>53</v>
      </c>
      <c r="J2343" t="s">
        <v>53</v>
      </c>
      <c r="K2343" t="s">
        <v>53</v>
      </c>
      <c r="L2343" t="s">
        <v>53</v>
      </c>
      <c r="M2343" t="s">
        <v>53</v>
      </c>
      <c r="N2343" t="s">
        <v>53</v>
      </c>
      <c r="O2343" t="s">
        <v>53</v>
      </c>
      <c r="P2343" t="s">
        <v>53</v>
      </c>
      <c r="Q2343" t="s">
        <v>53</v>
      </c>
    </row>
    <row r="2344" spans="1:17" x14ac:dyDescent="0.2">
      <c r="A2344" s="30" t="str">
        <f>IF(C2344&amp;G2344&amp;D2344&lt;&gt;'Funnel setup'!$K$3&amp;'Funnel setup'!$K$4&amp;'Funnel setup'!$K$5,".",IF(A2343=".",1,A2343+1))</f>
        <v>.</v>
      </c>
      <c r="B2344" s="431" t="str">
        <f t="shared" si="36"/>
        <v>Hip Replacement PrimaryProviderNUFFIELD HEALTH, WARWICKSHIRE HOSPITAL (NT224)Oxford Hip Score</v>
      </c>
      <c r="C2344" t="s">
        <v>248</v>
      </c>
      <c r="D2344" t="s">
        <v>1</v>
      </c>
      <c r="E2344" t="s">
        <v>3255</v>
      </c>
      <c r="F2344" t="s">
        <v>3256</v>
      </c>
      <c r="G2344" t="s">
        <v>14</v>
      </c>
      <c r="H2344">
        <v>10</v>
      </c>
      <c r="I2344">
        <v>24.5</v>
      </c>
      <c r="J2344">
        <v>43.6</v>
      </c>
      <c r="K2344">
        <v>19.100000000000001</v>
      </c>
      <c r="L2344">
        <v>10</v>
      </c>
      <c r="M2344">
        <v>0</v>
      </c>
      <c r="N2344">
        <v>0</v>
      </c>
      <c r="O2344" t="s">
        <v>53</v>
      </c>
      <c r="P2344" t="s">
        <v>53</v>
      </c>
      <c r="Q2344" t="s">
        <v>53</v>
      </c>
    </row>
    <row r="2345" spans="1:17" x14ac:dyDescent="0.2">
      <c r="A2345" s="30" t="str">
        <f>IF(C2345&amp;G2345&amp;D2345&lt;&gt;'Funnel setup'!$K$3&amp;'Funnel setup'!$K$4&amp;'Funnel setup'!$K$5,".",IF(A2344=".",1,A2344+1))</f>
        <v>.</v>
      </c>
      <c r="B2345" s="431" t="str">
        <f t="shared" si="36"/>
        <v>Hip Replacement PrimaryProviderNUFFIELD HEALTH, WESSEX HOSPITAL (NT214)Oxford Hip Score</v>
      </c>
      <c r="C2345" t="s">
        <v>248</v>
      </c>
      <c r="D2345" t="s">
        <v>1</v>
      </c>
      <c r="E2345" t="s">
        <v>3258</v>
      </c>
      <c r="F2345" t="s">
        <v>3259</v>
      </c>
      <c r="G2345" t="s">
        <v>14</v>
      </c>
      <c r="H2345">
        <v>39</v>
      </c>
      <c r="I2345">
        <v>17.436</v>
      </c>
      <c r="J2345">
        <v>41.436</v>
      </c>
      <c r="K2345">
        <v>24</v>
      </c>
      <c r="L2345">
        <v>39</v>
      </c>
      <c r="M2345">
        <v>0</v>
      </c>
      <c r="N2345">
        <v>0</v>
      </c>
      <c r="O2345">
        <v>40.213000000000001</v>
      </c>
      <c r="P2345">
        <v>22.008767590000001</v>
      </c>
      <c r="Q2345">
        <v>5.6849999999999996</v>
      </c>
    </row>
    <row r="2346" spans="1:17" x14ac:dyDescent="0.2">
      <c r="A2346" s="30" t="str">
        <f>IF(C2346&amp;G2346&amp;D2346&lt;&gt;'Funnel setup'!$K$3&amp;'Funnel setup'!$K$4&amp;'Funnel setup'!$K$5,".",IF(A2345=".",1,A2345+1))</f>
        <v>.</v>
      </c>
      <c r="B2346" s="431" t="str">
        <f t="shared" si="36"/>
        <v>Hip Replacement PrimaryProviderNUFFIELD HEALTH, WOKING HOSPITAL (NT241)Oxford Hip Score</v>
      </c>
      <c r="C2346" t="s">
        <v>248</v>
      </c>
      <c r="D2346" t="s">
        <v>1</v>
      </c>
      <c r="E2346" t="s">
        <v>3261</v>
      </c>
      <c r="F2346" t="s">
        <v>3262</v>
      </c>
      <c r="G2346" t="s">
        <v>14</v>
      </c>
      <c r="H2346">
        <v>8</v>
      </c>
      <c r="I2346">
        <v>22.625</v>
      </c>
      <c r="J2346">
        <v>41</v>
      </c>
      <c r="K2346">
        <v>18.375</v>
      </c>
      <c r="L2346">
        <v>8</v>
      </c>
      <c r="M2346">
        <v>0</v>
      </c>
      <c r="N2346">
        <v>0</v>
      </c>
      <c r="O2346" t="s">
        <v>53</v>
      </c>
      <c r="P2346" t="s">
        <v>53</v>
      </c>
      <c r="Q2346" t="s">
        <v>53</v>
      </c>
    </row>
    <row r="2347" spans="1:17" x14ac:dyDescent="0.2">
      <c r="A2347" s="30" t="str">
        <f>IF(C2347&amp;G2347&amp;D2347&lt;&gt;'Funnel setup'!$K$3&amp;'Funnel setup'!$K$4&amp;'Funnel setup'!$K$5,".",IF(A2346=".",1,A2346+1))</f>
        <v>.</v>
      </c>
      <c r="B2347" s="431" t="str">
        <f t="shared" si="36"/>
        <v>Hip Replacement PrimaryProviderNUFFIELD HEALTH, WOLVERHAMPTON HOSPITAL (NT242)Oxford Hip Score</v>
      </c>
      <c r="C2347" t="s">
        <v>248</v>
      </c>
      <c r="D2347" t="s">
        <v>1</v>
      </c>
      <c r="E2347" t="s">
        <v>3264</v>
      </c>
      <c r="F2347" t="s">
        <v>3265</v>
      </c>
      <c r="G2347" t="s">
        <v>14</v>
      </c>
      <c r="H2347">
        <v>86</v>
      </c>
      <c r="I2347">
        <v>19.058</v>
      </c>
      <c r="J2347">
        <v>41.790999999999997</v>
      </c>
      <c r="K2347">
        <v>22.733000000000001</v>
      </c>
      <c r="L2347">
        <v>84</v>
      </c>
      <c r="M2347">
        <v>0</v>
      </c>
      <c r="N2347">
        <v>2</v>
      </c>
      <c r="O2347">
        <v>41.417999999999999</v>
      </c>
      <c r="P2347">
        <v>23.213087219999998</v>
      </c>
      <c r="Q2347">
        <v>6.39</v>
      </c>
    </row>
    <row r="2348" spans="1:17" x14ac:dyDescent="0.2">
      <c r="A2348" s="30" t="str">
        <f>IF(C2348&amp;G2348&amp;D2348&lt;&gt;'Funnel setup'!$K$3&amp;'Funnel setup'!$K$4&amp;'Funnel setup'!$K$5,".",IF(A2347=".",1,A2347+1))</f>
        <v>.</v>
      </c>
      <c r="B2348" s="431" t="str">
        <f t="shared" si="36"/>
        <v>Hip Replacement PrimaryProviderNUFFIELD HEALTH, YORK HOSPITAL (NT245)Oxford Hip Score</v>
      </c>
      <c r="C2348" t="s">
        <v>248</v>
      </c>
      <c r="D2348" t="s">
        <v>1</v>
      </c>
      <c r="E2348" t="s">
        <v>4299</v>
      </c>
      <c r="F2348" t="s">
        <v>4300</v>
      </c>
      <c r="G2348" t="s">
        <v>14</v>
      </c>
      <c r="H2348">
        <v>108</v>
      </c>
      <c r="I2348">
        <v>18.898</v>
      </c>
      <c r="J2348">
        <v>41.676000000000002</v>
      </c>
      <c r="K2348">
        <v>22.777999999999999</v>
      </c>
      <c r="L2348">
        <v>107</v>
      </c>
      <c r="M2348">
        <v>0</v>
      </c>
      <c r="N2348">
        <v>1</v>
      </c>
      <c r="O2348">
        <v>39.942999999999998</v>
      </c>
      <c r="P2348">
        <v>21.738995379999999</v>
      </c>
      <c r="Q2348">
        <v>6.05</v>
      </c>
    </row>
    <row r="2349" spans="1:17" x14ac:dyDescent="0.2">
      <c r="A2349" s="30" t="str">
        <f>IF(C2349&amp;G2349&amp;D2349&lt;&gt;'Funnel setup'!$K$3&amp;'Funnel setup'!$K$4&amp;'Funnel setup'!$K$5,".",IF(A2348=".",1,A2348+1))</f>
        <v>.</v>
      </c>
      <c r="B2349" s="431" t="str">
        <f t="shared" si="36"/>
        <v>Hip Replacement PrimaryProviderNUFFIELD HOSPITAL OXFORD (THE MANOR) (NT244)Oxford Hip Score</v>
      </c>
      <c r="C2349" t="s">
        <v>248</v>
      </c>
      <c r="D2349" t="s">
        <v>1</v>
      </c>
      <c r="E2349" t="s">
        <v>4302</v>
      </c>
      <c r="F2349" t="s">
        <v>4303</v>
      </c>
      <c r="G2349" t="s">
        <v>14</v>
      </c>
      <c r="H2349">
        <v>30</v>
      </c>
      <c r="I2349">
        <v>21.533000000000001</v>
      </c>
      <c r="J2349">
        <v>43.232999999999997</v>
      </c>
      <c r="K2349">
        <v>21.7</v>
      </c>
      <c r="L2349">
        <v>30</v>
      </c>
      <c r="M2349">
        <v>0</v>
      </c>
      <c r="N2349">
        <v>0</v>
      </c>
      <c r="O2349">
        <v>40.838000000000001</v>
      </c>
      <c r="P2349">
        <v>22.633647880000002</v>
      </c>
      <c r="Q2349">
        <v>5.16</v>
      </c>
    </row>
    <row r="2350" spans="1:17" x14ac:dyDescent="0.2">
      <c r="A2350" s="30" t="str">
        <f>IF(C2350&amp;G2350&amp;D2350&lt;&gt;'Funnel setup'!$K$3&amp;'Funnel setup'!$K$4&amp;'Funnel setup'!$K$5,".",IF(A2349=".",1,A2349+1))</f>
        <v>.</v>
      </c>
      <c r="B2350" s="431" t="str">
        <f t="shared" si="36"/>
        <v>Hip Replacement PrimaryProviderOAKLANDS HOSPITAL (NVC12)Oxford Hip Score</v>
      </c>
      <c r="C2350" t="s">
        <v>248</v>
      </c>
      <c r="D2350" t="s">
        <v>1</v>
      </c>
      <c r="E2350" t="s">
        <v>3267</v>
      </c>
      <c r="F2350" t="s">
        <v>3268</v>
      </c>
      <c r="G2350" t="s">
        <v>14</v>
      </c>
      <c r="H2350">
        <v>46</v>
      </c>
      <c r="I2350">
        <v>18.413</v>
      </c>
      <c r="J2350">
        <v>38.957000000000001</v>
      </c>
      <c r="K2350">
        <v>20.542999999999999</v>
      </c>
      <c r="L2350">
        <v>44</v>
      </c>
      <c r="M2350">
        <v>1</v>
      </c>
      <c r="N2350">
        <v>1</v>
      </c>
      <c r="O2350">
        <v>38.823999999999998</v>
      </c>
      <c r="P2350">
        <v>20.619526839999999</v>
      </c>
      <c r="Q2350">
        <v>9.125</v>
      </c>
    </row>
    <row r="2351" spans="1:17" x14ac:dyDescent="0.2">
      <c r="A2351" s="30" t="str">
        <f>IF(C2351&amp;G2351&amp;D2351&lt;&gt;'Funnel setup'!$K$3&amp;'Funnel setup'!$K$4&amp;'Funnel setup'!$K$5,".",IF(A2350=".",1,A2350+1))</f>
        <v>.</v>
      </c>
      <c r="B2351" s="431" t="str">
        <f t="shared" si="36"/>
        <v>Hip Replacement PrimaryProviderOAKS HOSPITAL (NVC13)Oxford Hip Score</v>
      </c>
      <c r="C2351" t="s">
        <v>248</v>
      </c>
      <c r="D2351" t="s">
        <v>1</v>
      </c>
      <c r="E2351" t="s">
        <v>3270</v>
      </c>
      <c r="F2351" t="s">
        <v>3271</v>
      </c>
      <c r="G2351" t="s">
        <v>14</v>
      </c>
      <c r="H2351">
        <v>126</v>
      </c>
      <c r="I2351">
        <v>19.896999999999998</v>
      </c>
      <c r="J2351">
        <v>41.348999999999997</v>
      </c>
      <c r="K2351">
        <v>21.452000000000002</v>
      </c>
      <c r="L2351">
        <v>124</v>
      </c>
      <c r="M2351">
        <v>1</v>
      </c>
      <c r="N2351">
        <v>1</v>
      </c>
      <c r="O2351">
        <v>40.192</v>
      </c>
      <c r="P2351">
        <v>21.98731433</v>
      </c>
      <c r="Q2351">
        <v>6.6849999999999996</v>
      </c>
    </row>
    <row r="2352" spans="1:17" x14ac:dyDescent="0.2">
      <c r="A2352" s="30" t="str">
        <f>IF(C2352&amp;G2352&amp;D2352&lt;&gt;'Funnel setup'!$K$3&amp;'Funnel setup'!$K$4&amp;'Funnel setup'!$K$5,".",IF(A2351=".",1,A2351+1))</f>
        <v>.</v>
      </c>
      <c r="B2352" s="431" t="str">
        <f t="shared" si="36"/>
        <v>Hip Replacement PrimaryProviderONE HEALTH GROUP LTD (NTX01)Oxford Hip Score</v>
      </c>
      <c r="C2352" t="s">
        <v>248</v>
      </c>
      <c r="D2352" t="s">
        <v>1</v>
      </c>
      <c r="E2352" t="s">
        <v>6507</v>
      </c>
      <c r="F2352" t="s">
        <v>6508</v>
      </c>
      <c r="G2352" t="s">
        <v>14</v>
      </c>
      <c r="H2352">
        <v>36</v>
      </c>
      <c r="I2352">
        <v>16.582999999999998</v>
      </c>
      <c r="J2352">
        <v>39.027999999999999</v>
      </c>
      <c r="K2352">
        <v>22.443999999999999</v>
      </c>
      <c r="L2352">
        <v>36</v>
      </c>
      <c r="M2352">
        <v>0</v>
      </c>
      <c r="N2352">
        <v>0</v>
      </c>
      <c r="O2352">
        <v>39.152999999999999</v>
      </c>
      <c r="P2352">
        <v>20.948666580000001</v>
      </c>
      <c r="Q2352">
        <v>7.8029999999999999</v>
      </c>
    </row>
    <row r="2353" spans="1:17" x14ac:dyDescent="0.2">
      <c r="A2353" s="30" t="str">
        <f>IF(C2353&amp;G2353&amp;D2353&lt;&gt;'Funnel setup'!$K$3&amp;'Funnel setup'!$K$4&amp;'Funnel setup'!$K$5,".",IF(A2352=".",1,A2352+1))</f>
        <v>.</v>
      </c>
      <c r="B2353" s="431" t="str">
        <f t="shared" si="36"/>
        <v>Hip Replacement PrimaryProviderOXFORD UNIVERSITY HOSPITALS NHS FOUNDATION TRUST (RTH)Oxford Hip Score</v>
      </c>
      <c r="C2353" t="s">
        <v>248</v>
      </c>
      <c r="D2353" t="s">
        <v>1</v>
      </c>
      <c r="E2353" t="s">
        <v>3278</v>
      </c>
      <c r="F2353" t="s">
        <v>6578</v>
      </c>
      <c r="G2353" t="s">
        <v>14</v>
      </c>
      <c r="H2353">
        <v>537</v>
      </c>
      <c r="I2353">
        <v>18.866</v>
      </c>
      <c r="J2353">
        <v>40.021999999999998</v>
      </c>
      <c r="K2353">
        <v>21.155999999999999</v>
      </c>
      <c r="L2353">
        <v>524</v>
      </c>
      <c r="M2353">
        <v>4</v>
      </c>
      <c r="N2353">
        <v>9</v>
      </c>
      <c r="O2353">
        <v>39.6</v>
      </c>
      <c r="P2353">
        <v>21.395447149999999</v>
      </c>
      <c r="Q2353">
        <v>7.649</v>
      </c>
    </row>
    <row r="2354" spans="1:17" x14ac:dyDescent="0.2">
      <c r="A2354" s="30" t="str">
        <f>IF(C2354&amp;G2354&amp;D2354&lt;&gt;'Funnel setup'!$K$3&amp;'Funnel setup'!$K$4&amp;'Funnel setup'!$K$5,".",IF(A2353=".",1,A2353+1))</f>
        <v>.</v>
      </c>
      <c r="B2354" s="431" t="str">
        <f t="shared" si="36"/>
        <v>Hip Replacement PrimaryProviderPARK HILL HOSPITAL (NVC14)Oxford Hip Score</v>
      </c>
      <c r="C2354" t="s">
        <v>248</v>
      </c>
      <c r="D2354" t="s">
        <v>1</v>
      </c>
      <c r="E2354" t="s">
        <v>3280</v>
      </c>
      <c r="F2354" t="s">
        <v>3281</v>
      </c>
      <c r="G2354" t="s">
        <v>14</v>
      </c>
      <c r="H2354">
        <v>26</v>
      </c>
      <c r="I2354">
        <v>16.231000000000002</v>
      </c>
      <c r="J2354">
        <v>38.308</v>
      </c>
      <c r="K2354">
        <v>22.077000000000002</v>
      </c>
      <c r="L2354">
        <v>25</v>
      </c>
      <c r="M2354">
        <v>0</v>
      </c>
      <c r="N2354">
        <v>1</v>
      </c>
      <c r="O2354" t="s">
        <v>53</v>
      </c>
      <c r="P2354" t="s">
        <v>53</v>
      </c>
      <c r="Q2354" t="s">
        <v>53</v>
      </c>
    </row>
    <row r="2355" spans="1:17" x14ac:dyDescent="0.2">
      <c r="A2355" s="30" t="str">
        <f>IF(C2355&amp;G2355&amp;D2355&lt;&gt;'Funnel setup'!$K$3&amp;'Funnel setup'!$K$4&amp;'Funnel setup'!$K$5,".",IF(A2354=".",1,A2354+1))</f>
        <v>.</v>
      </c>
      <c r="B2355" s="431" t="str">
        <f t="shared" si="36"/>
        <v>Hip Replacement PrimaryProviderPENINSULA NHS TREATMENT CENTRE (NTPH5)Oxford Hip Score</v>
      </c>
      <c r="C2355" t="s">
        <v>248</v>
      </c>
      <c r="D2355" t="s">
        <v>1</v>
      </c>
      <c r="E2355" t="s">
        <v>4285</v>
      </c>
      <c r="F2355" t="s">
        <v>4286</v>
      </c>
      <c r="G2355" t="s">
        <v>14</v>
      </c>
      <c r="H2355">
        <v>209</v>
      </c>
      <c r="I2355">
        <v>21.812999999999999</v>
      </c>
      <c r="J2355">
        <v>42.301000000000002</v>
      </c>
      <c r="K2355">
        <v>20.488</v>
      </c>
      <c r="L2355">
        <v>204</v>
      </c>
      <c r="M2355">
        <v>2</v>
      </c>
      <c r="N2355">
        <v>3</v>
      </c>
      <c r="O2355">
        <v>40.728000000000002</v>
      </c>
      <c r="P2355">
        <v>22.52371587</v>
      </c>
      <c r="Q2355">
        <v>6.2640000000000002</v>
      </c>
    </row>
    <row r="2356" spans="1:17" x14ac:dyDescent="0.2">
      <c r="A2356" s="30" t="str">
        <f>IF(C2356&amp;G2356&amp;D2356&lt;&gt;'Funnel setup'!$K$3&amp;'Funnel setup'!$K$4&amp;'Funnel setup'!$K$5,".",IF(A2355=".",1,A2355+1))</f>
        <v>.</v>
      </c>
      <c r="B2356" s="431" t="str">
        <f t="shared" si="36"/>
        <v>Hip Replacement PrimaryProviderPENNINE ACUTE HOSPITALS NHS TRUST (RW6)Oxford Hip Score</v>
      </c>
      <c r="C2356" t="s">
        <v>248</v>
      </c>
      <c r="D2356" t="s">
        <v>1</v>
      </c>
      <c r="E2356" t="s">
        <v>3216</v>
      </c>
      <c r="F2356" t="s">
        <v>3217</v>
      </c>
      <c r="G2356" t="s">
        <v>14</v>
      </c>
      <c r="H2356">
        <v>137</v>
      </c>
      <c r="I2356">
        <v>13.933999999999999</v>
      </c>
      <c r="J2356">
        <v>35.933999999999997</v>
      </c>
      <c r="K2356">
        <v>22</v>
      </c>
      <c r="L2356">
        <v>134</v>
      </c>
      <c r="M2356">
        <v>0</v>
      </c>
      <c r="N2356">
        <v>3</v>
      </c>
      <c r="O2356">
        <v>39.052</v>
      </c>
      <c r="P2356">
        <v>20.84722842</v>
      </c>
      <c r="Q2356">
        <v>10.128</v>
      </c>
    </row>
    <row r="2357" spans="1:17" x14ac:dyDescent="0.2">
      <c r="A2357" s="30" t="str">
        <f>IF(C2357&amp;G2357&amp;D2357&lt;&gt;'Funnel setup'!$K$3&amp;'Funnel setup'!$K$4&amp;'Funnel setup'!$K$5,".",IF(A2356=".",1,A2356+1))</f>
        <v>.</v>
      </c>
      <c r="B2357" s="431" t="str">
        <f t="shared" si="36"/>
        <v>Hip Replacement PrimaryProviderPETERBOROUGH AND STAMFORD HOSPITALS NHS FOUNDATION TRUST (RGN)Oxford Hip Score</v>
      </c>
      <c r="C2357" t="s">
        <v>248</v>
      </c>
      <c r="D2357" t="s">
        <v>1</v>
      </c>
      <c r="E2357" t="s">
        <v>3219</v>
      </c>
      <c r="F2357" t="s">
        <v>3220</v>
      </c>
      <c r="G2357" t="s">
        <v>14</v>
      </c>
      <c r="H2357">
        <v>189</v>
      </c>
      <c r="I2357">
        <v>16.55</v>
      </c>
      <c r="J2357">
        <v>38.433999999999997</v>
      </c>
      <c r="K2357">
        <v>21.884</v>
      </c>
      <c r="L2357">
        <v>186</v>
      </c>
      <c r="M2357">
        <v>2</v>
      </c>
      <c r="N2357">
        <v>1</v>
      </c>
      <c r="O2357">
        <v>38.820999999999998</v>
      </c>
      <c r="P2357">
        <v>20.616304499999998</v>
      </c>
      <c r="Q2357">
        <v>7.6859999999999999</v>
      </c>
    </row>
    <row r="2358" spans="1:17" x14ac:dyDescent="0.2">
      <c r="A2358" s="30" t="str">
        <f>IF(C2358&amp;G2358&amp;D2358&lt;&gt;'Funnel setup'!$K$3&amp;'Funnel setup'!$K$4&amp;'Funnel setup'!$K$5,".",IF(A2357=".",1,A2357+1))</f>
        <v>.</v>
      </c>
      <c r="B2358" s="431" t="str">
        <f t="shared" si="36"/>
        <v>Hip Replacement PrimaryProviderPINEHILL HOSPITAL (NVC15)Oxford Hip Score</v>
      </c>
      <c r="C2358" t="s">
        <v>248</v>
      </c>
      <c r="D2358" t="s">
        <v>1</v>
      </c>
      <c r="E2358" t="s">
        <v>3222</v>
      </c>
      <c r="F2358" t="s">
        <v>3223</v>
      </c>
      <c r="G2358" t="s">
        <v>14</v>
      </c>
      <c r="H2358">
        <v>80</v>
      </c>
      <c r="I2358">
        <v>19.074999999999999</v>
      </c>
      <c r="J2358">
        <v>41.262999999999998</v>
      </c>
      <c r="K2358">
        <v>22.187999999999999</v>
      </c>
      <c r="L2358">
        <v>80</v>
      </c>
      <c r="M2358">
        <v>0</v>
      </c>
      <c r="N2358">
        <v>0</v>
      </c>
      <c r="O2358">
        <v>40.237000000000002</v>
      </c>
      <c r="P2358">
        <v>22.032930650000001</v>
      </c>
      <c r="Q2358">
        <v>6.8659999999999997</v>
      </c>
    </row>
    <row r="2359" spans="1:17" x14ac:dyDescent="0.2">
      <c r="A2359" s="30" t="str">
        <f>IF(C2359&amp;G2359&amp;D2359&lt;&gt;'Funnel setup'!$K$3&amp;'Funnel setup'!$K$4&amp;'Funnel setup'!$K$5,".",IF(A2358=".",1,A2358+1))</f>
        <v>.</v>
      </c>
      <c r="B2359" s="431" t="str">
        <f t="shared" si="36"/>
        <v>Hip Replacement PrimaryProviderPLYMOUTH HOSPITALS NHS TRUST (RK9)Oxford Hip Score</v>
      </c>
      <c r="C2359" t="s">
        <v>248</v>
      </c>
      <c r="D2359" t="s">
        <v>1</v>
      </c>
      <c r="E2359" t="s">
        <v>3225</v>
      </c>
      <c r="F2359" t="s">
        <v>3226</v>
      </c>
      <c r="G2359" t="s">
        <v>14</v>
      </c>
      <c r="H2359">
        <v>212</v>
      </c>
      <c r="I2359">
        <v>16.315999999999999</v>
      </c>
      <c r="J2359">
        <v>38.027999999999999</v>
      </c>
      <c r="K2359">
        <v>21.712</v>
      </c>
      <c r="L2359">
        <v>207</v>
      </c>
      <c r="M2359">
        <v>0</v>
      </c>
      <c r="N2359">
        <v>5</v>
      </c>
      <c r="O2359">
        <v>39.409999999999997</v>
      </c>
      <c r="P2359">
        <v>21.205948549999999</v>
      </c>
      <c r="Q2359">
        <v>8.1750000000000007</v>
      </c>
    </row>
    <row r="2360" spans="1:17" x14ac:dyDescent="0.2">
      <c r="A2360" s="30" t="str">
        <f>IF(C2360&amp;G2360&amp;D2360&lt;&gt;'Funnel setup'!$K$3&amp;'Funnel setup'!$K$4&amp;'Funnel setup'!$K$5,".",IF(A2359=".",1,A2359+1))</f>
        <v>.</v>
      </c>
      <c r="B2360" s="431" t="str">
        <f t="shared" si="36"/>
        <v>Hip Replacement PrimaryProviderPORTSMOUTH HOSPITALS NHS TRUST (RHU)Oxford Hip Score</v>
      </c>
      <c r="C2360" t="s">
        <v>248</v>
      </c>
      <c r="D2360" t="s">
        <v>1</v>
      </c>
      <c r="E2360" t="s">
        <v>3234</v>
      </c>
      <c r="F2360" t="s">
        <v>3235</v>
      </c>
      <c r="G2360" t="s">
        <v>14</v>
      </c>
      <c r="H2360">
        <v>195</v>
      </c>
      <c r="I2360">
        <v>15.872</v>
      </c>
      <c r="J2360">
        <v>38.831000000000003</v>
      </c>
      <c r="K2360">
        <v>22.959</v>
      </c>
      <c r="L2360">
        <v>191</v>
      </c>
      <c r="M2360">
        <v>2</v>
      </c>
      <c r="N2360">
        <v>2</v>
      </c>
      <c r="O2360">
        <v>39.875</v>
      </c>
      <c r="P2360">
        <v>21.67059824</v>
      </c>
      <c r="Q2360">
        <v>7.7789999999999999</v>
      </c>
    </row>
    <row r="2361" spans="1:17" x14ac:dyDescent="0.2">
      <c r="A2361" s="30" t="str">
        <f>IF(C2361&amp;G2361&amp;D2361&lt;&gt;'Funnel setup'!$K$3&amp;'Funnel setup'!$K$4&amp;'Funnel setup'!$K$5,".",IF(A2360=".",1,A2360+1))</f>
        <v>.</v>
      </c>
      <c r="B2361" s="431" t="str">
        <f t="shared" si="36"/>
        <v>Hip Replacement PrimaryProviderRENACRES HOSPITAL (NVC16)Oxford Hip Score</v>
      </c>
      <c r="C2361" t="s">
        <v>248</v>
      </c>
      <c r="D2361" t="s">
        <v>1</v>
      </c>
      <c r="E2361" t="s">
        <v>3237</v>
      </c>
      <c r="F2361" t="s">
        <v>3238</v>
      </c>
      <c r="G2361" t="s">
        <v>14</v>
      </c>
      <c r="H2361">
        <v>48</v>
      </c>
      <c r="I2361">
        <v>21.646000000000001</v>
      </c>
      <c r="J2361">
        <v>41.042000000000002</v>
      </c>
      <c r="K2361">
        <v>19.396000000000001</v>
      </c>
      <c r="L2361">
        <v>46</v>
      </c>
      <c r="M2361">
        <v>1</v>
      </c>
      <c r="N2361">
        <v>1</v>
      </c>
      <c r="O2361">
        <v>39.045000000000002</v>
      </c>
      <c r="P2361">
        <v>20.840864320000001</v>
      </c>
      <c r="Q2361">
        <v>8.1389999999999993</v>
      </c>
    </row>
    <row r="2362" spans="1:17" x14ac:dyDescent="0.2">
      <c r="A2362" s="30" t="str">
        <f>IF(C2362&amp;G2362&amp;D2362&lt;&gt;'Funnel setup'!$K$3&amp;'Funnel setup'!$K$4&amp;'Funnel setup'!$K$5,".",IF(A2361=".",1,A2361+1))</f>
        <v>.</v>
      </c>
      <c r="B2362" s="431" t="str">
        <f t="shared" si="36"/>
        <v>Hip Replacement PrimaryProviderRIVERS HOSPITAL (NVC19)Oxford Hip Score</v>
      </c>
      <c r="C2362" t="s">
        <v>248</v>
      </c>
      <c r="D2362" t="s">
        <v>1</v>
      </c>
      <c r="E2362" t="s">
        <v>3204</v>
      </c>
      <c r="F2362" t="s">
        <v>3205</v>
      </c>
      <c r="G2362" t="s">
        <v>14</v>
      </c>
      <c r="H2362">
        <v>77</v>
      </c>
      <c r="I2362">
        <v>19.065000000000001</v>
      </c>
      <c r="J2362">
        <v>41.518999999999998</v>
      </c>
      <c r="K2362">
        <v>22.454999999999998</v>
      </c>
      <c r="L2362">
        <v>75</v>
      </c>
      <c r="M2362">
        <v>0</v>
      </c>
      <c r="N2362">
        <v>2</v>
      </c>
      <c r="O2362">
        <v>40.624000000000002</v>
      </c>
      <c r="P2362">
        <v>22.419545020000001</v>
      </c>
      <c r="Q2362">
        <v>8.0389999999999997</v>
      </c>
    </row>
    <row r="2363" spans="1:17" x14ac:dyDescent="0.2">
      <c r="A2363" s="30" t="str">
        <f>IF(C2363&amp;G2363&amp;D2363&lt;&gt;'Funnel setup'!$K$3&amp;'Funnel setup'!$K$4&amp;'Funnel setup'!$K$5,".",IF(A2362=".",1,A2362+1))</f>
        <v>.</v>
      </c>
      <c r="B2363" s="431" t="str">
        <f t="shared" si="36"/>
        <v>Hip Replacement PrimaryProviderROWLEY HALL HOSPITAL (NVC17)Oxford Hip Score</v>
      </c>
      <c r="C2363" t="s">
        <v>248</v>
      </c>
      <c r="D2363" t="s">
        <v>1</v>
      </c>
      <c r="E2363" t="s">
        <v>3207</v>
      </c>
      <c r="F2363" t="s">
        <v>3208</v>
      </c>
      <c r="G2363" t="s">
        <v>14</v>
      </c>
      <c r="H2363">
        <v>101</v>
      </c>
      <c r="I2363">
        <v>19.850999999999999</v>
      </c>
      <c r="J2363">
        <v>40.267000000000003</v>
      </c>
      <c r="K2363">
        <v>20.416</v>
      </c>
      <c r="L2363">
        <v>98</v>
      </c>
      <c r="M2363">
        <v>0</v>
      </c>
      <c r="N2363">
        <v>3</v>
      </c>
      <c r="O2363">
        <v>38.893999999999998</v>
      </c>
      <c r="P2363">
        <v>20.68967151</v>
      </c>
      <c r="Q2363">
        <v>7.2830000000000004</v>
      </c>
    </row>
    <row r="2364" spans="1:17" x14ac:dyDescent="0.2">
      <c r="A2364" s="30" t="str">
        <f>IF(C2364&amp;G2364&amp;D2364&lt;&gt;'Funnel setup'!$K$3&amp;'Funnel setup'!$K$4&amp;'Funnel setup'!$K$5,".",IF(A2363=".",1,A2363+1))</f>
        <v>.</v>
      </c>
      <c r="B2364" s="431" t="str">
        <f t="shared" si="36"/>
        <v>Hip Replacement PrimaryProviderROYAL BERKSHIRE NHS FOUNDATION TRUST (RHW)Oxford Hip Score</v>
      </c>
      <c r="C2364" t="s">
        <v>248</v>
      </c>
      <c r="D2364" t="s">
        <v>1</v>
      </c>
      <c r="E2364" t="s">
        <v>3832</v>
      </c>
      <c r="F2364" t="s">
        <v>3833</v>
      </c>
      <c r="G2364" t="s">
        <v>14</v>
      </c>
      <c r="H2364">
        <v>158</v>
      </c>
      <c r="I2364">
        <v>19.943000000000001</v>
      </c>
      <c r="J2364">
        <v>41.506</v>
      </c>
      <c r="K2364">
        <v>21.562999999999999</v>
      </c>
      <c r="L2364">
        <v>152</v>
      </c>
      <c r="M2364">
        <v>1</v>
      </c>
      <c r="N2364">
        <v>5</v>
      </c>
      <c r="O2364">
        <v>40.701999999999998</v>
      </c>
      <c r="P2364">
        <v>22.497561820000001</v>
      </c>
      <c r="Q2364">
        <v>6.91</v>
      </c>
    </row>
    <row r="2365" spans="1:17" x14ac:dyDescent="0.2">
      <c r="A2365" s="30" t="str">
        <f>IF(C2365&amp;G2365&amp;D2365&lt;&gt;'Funnel setup'!$K$3&amp;'Funnel setup'!$K$4&amp;'Funnel setup'!$K$5,".",IF(A2364=".",1,A2364+1))</f>
        <v>.</v>
      </c>
      <c r="B2365" s="431" t="str">
        <f t="shared" si="36"/>
        <v>Hip Replacement PrimaryProviderROYAL CORNWALL HOSPITALS NHS TRUST (REF)Oxford Hip Score</v>
      </c>
      <c r="C2365" t="s">
        <v>248</v>
      </c>
      <c r="D2365" t="s">
        <v>1</v>
      </c>
      <c r="E2365" t="s">
        <v>3745</v>
      </c>
      <c r="F2365" t="s">
        <v>3746</v>
      </c>
      <c r="G2365" t="s">
        <v>14</v>
      </c>
      <c r="H2365">
        <v>291</v>
      </c>
      <c r="I2365">
        <v>17.504999999999999</v>
      </c>
      <c r="J2365">
        <v>38.347000000000001</v>
      </c>
      <c r="K2365">
        <v>20.841999999999999</v>
      </c>
      <c r="L2365">
        <v>279</v>
      </c>
      <c r="M2365">
        <v>1</v>
      </c>
      <c r="N2365">
        <v>11</v>
      </c>
      <c r="O2365">
        <v>38.877000000000002</v>
      </c>
      <c r="P2365">
        <v>20.67239146</v>
      </c>
      <c r="Q2365">
        <v>8.4969999999999999</v>
      </c>
    </row>
    <row r="2366" spans="1:17" x14ac:dyDescent="0.2">
      <c r="A2366" s="30" t="str">
        <f>IF(C2366&amp;G2366&amp;D2366&lt;&gt;'Funnel setup'!$K$3&amp;'Funnel setup'!$K$4&amp;'Funnel setup'!$K$5,".",IF(A2365=".",1,A2365+1))</f>
        <v>.</v>
      </c>
      <c r="B2366" s="431" t="str">
        <f t="shared" si="36"/>
        <v>Hip Replacement PrimaryProviderROYAL DEVON AND EXETER NHS FOUNDATION TRUST (RH8)Oxford Hip Score</v>
      </c>
      <c r="C2366" t="s">
        <v>248</v>
      </c>
      <c r="D2366" t="s">
        <v>1</v>
      </c>
      <c r="E2366" t="s">
        <v>3442</v>
      </c>
      <c r="F2366" t="s">
        <v>3443</v>
      </c>
      <c r="G2366" t="s">
        <v>14</v>
      </c>
      <c r="H2366">
        <v>511</v>
      </c>
      <c r="I2366">
        <v>19.077999999999999</v>
      </c>
      <c r="J2366">
        <v>41.274000000000001</v>
      </c>
      <c r="K2366">
        <v>22.196000000000002</v>
      </c>
      <c r="L2366">
        <v>504</v>
      </c>
      <c r="M2366">
        <v>2</v>
      </c>
      <c r="N2366">
        <v>5</v>
      </c>
      <c r="O2366">
        <v>41.048999999999999</v>
      </c>
      <c r="P2366">
        <v>22.844452480000001</v>
      </c>
      <c r="Q2366">
        <v>6.7850000000000001</v>
      </c>
    </row>
    <row r="2367" spans="1:17" x14ac:dyDescent="0.2">
      <c r="A2367" s="30" t="str">
        <f>IF(C2367&amp;G2367&amp;D2367&lt;&gt;'Funnel setup'!$K$3&amp;'Funnel setup'!$K$4&amp;'Funnel setup'!$K$5,".",IF(A2366=".",1,A2366+1))</f>
        <v>.</v>
      </c>
      <c r="B2367" s="431" t="str">
        <f t="shared" si="36"/>
        <v>Hip Replacement PrimaryProviderROYAL FREE LONDON NHS FOUNDATION TRUST (RAL)Oxford Hip Score</v>
      </c>
      <c r="C2367" t="s">
        <v>248</v>
      </c>
      <c r="D2367" t="s">
        <v>1</v>
      </c>
      <c r="E2367" t="s">
        <v>3445</v>
      </c>
      <c r="F2367" t="s">
        <v>3446</v>
      </c>
      <c r="G2367" t="s">
        <v>14</v>
      </c>
      <c r="H2367">
        <v>128</v>
      </c>
      <c r="I2367">
        <v>16.023</v>
      </c>
      <c r="J2367">
        <v>37.085999999999999</v>
      </c>
      <c r="K2367">
        <v>21.062999999999999</v>
      </c>
      <c r="L2367">
        <v>126</v>
      </c>
      <c r="M2367">
        <v>0</v>
      </c>
      <c r="N2367">
        <v>2</v>
      </c>
      <c r="O2367">
        <v>38.564999999999998</v>
      </c>
      <c r="P2367">
        <v>20.360704030000001</v>
      </c>
      <c r="Q2367">
        <v>8.5429999999999993</v>
      </c>
    </row>
    <row r="2368" spans="1:17" x14ac:dyDescent="0.2">
      <c r="A2368" s="30" t="str">
        <f>IF(C2368&amp;G2368&amp;D2368&lt;&gt;'Funnel setup'!$K$3&amp;'Funnel setup'!$K$4&amp;'Funnel setup'!$K$5,".",IF(A2367=".",1,A2367+1))</f>
        <v>.</v>
      </c>
      <c r="B2368" s="431" t="str">
        <f t="shared" si="36"/>
        <v>Hip Replacement PrimaryProviderROYAL LIVERPOOL AND BROADGREEN UNIVERSITY HOSPITALS NHS TRUST (RQ6)Oxford Hip Score</v>
      </c>
      <c r="C2368" t="s">
        <v>248</v>
      </c>
      <c r="D2368" t="s">
        <v>1</v>
      </c>
      <c r="E2368" t="s">
        <v>3448</v>
      </c>
      <c r="F2368" t="s">
        <v>3449</v>
      </c>
      <c r="G2368" t="s">
        <v>14</v>
      </c>
      <c r="H2368">
        <v>120</v>
      </c>
      <c r="I2368">
        <v>16.382999999999999</v>
      </c>
      <c r="J2368">
        <v>36.533000000000001</v>
      </c>
      <c r="K2368">
        <v>20.149999999999999</v>
      </c>
      <c r="L2368">
        <v>117</v>
      </c>
      <c r="M2368">
        <v>1</v>
      </c>
      <c r="N2368">
        <v>2</v>
      </c>
      <c r="O2368">
        <v>39.003999999999998</v>
      </c>
      <c r="P2368">
        <v>20.799643029999999</v>
      </c>
      <c r="Q2368">
        <v>8.532</v>
      </c>
    </row>
    <row r="2369" spans="1:17" x14ac:dyDescent="0.2">
      <c r="A2369" s="30" t="str">
        <f>IF(C2369&amp;G2369&amp;D2369&lt;&gt;'Funnel setup'!$K$3&amp;'Funnel setup'!$K$4&amp;'Funnel setup'!$K$5,".",IF(A2368=".",1,A2368+1))</f>
        <v>.</v>
      </c>
      <c r="B2369" s="431" t="str">
        <f t="shared" si="36"/>
        <v>Hip Replacement PrimaryProviderROYAL NATIONAL ORTHOPAEDIC HOSPITAL NHS TRUST (RAN)Oxford Hip Score</v>
      </c>
      <c r="C2369" t="s">
        <v>248</v>
      </c>
      <c r="D2369" t="s">
        <v>1</v>
      </c>
      <c r="E2369" t="s">
        <v>4378</v>
      </c>
      <c r="F2369" t="s">
        <v>4379</v>
      </c>
      <c r="G2369" t="s">
        <v>14</v>
      </c>
      <c r="H2369">
        <v>136</v>
      </c>
      <c r="I2369">
        <v>18.978000000000002</v>
      </c>
      <c r="J2369">
        <v>39.331000000000003</v>
      </c>
      <c r="K2369">
        <v>20.353000000000002</v>
      </c>
      <c r="L2369">
        <v>130</v>
      </c>
      <c r="M2369">
        <v>0</v>
      </c>
      <c r="N2369">
        <v>6</v>
      </c>
      <c r="O2369">
        <v>39.341999999999999</v>
      </c>
      <c r="P2369">
        <v>21.137807899999999</v>
      </c>
      <c r="Q2369">
        <v>9.0009999999999994</v>
      </c>
    </row>
    <row r="2370" spans="1:17" x14ac:dyDescent="0.2">
      <c r="A2370" s="30" t="str">
        <f>IF(C2370&amp;G2370&amp;D2370&lt;&gt;'Funnel setup'!$K$3&amp;'Funnel setup'!$K$4&amp;'Funnel setup'!$K$5,".",IF(A2369=".",1,A2369+1))</f>
        <v>.</v>
      </c>
      <c r="B2370" s="431" t="str">
        <f t="shared" si="36"/>
        <v>Hip Replacement PrimaryProviderROYAL SURREY COUNTY HOSPITAL NHS FOUNDATION TRUST (RA2)Oxford Hip Score</v>
      </c>
      <c r="C2370" t="s">
        <v>248</v>
      </c>
      <c r="D2370" t="s">
        <v>1</v>
      </c>
      <c r="E2370" t="s">
        <v>3451</v>
      </c>
      <c r="F2370" t="s">
        <v>3452</v>
      </c>
      <c r="G2370" t="s">
        <v>14</v>
      </c>
      <c r="H2370">
        <v>144</v>
      </c>
      <c r="I2370">
        <v>19.34</v>
      </c>
      <c r="J2370">
        <v>41.853999999999999</v>
      </c>
      <c r="K2370">
        <v>22.513999999999999</v>
      </c>
      <c r="L2370">
        <v>140</v>
      </c>
      <c r="M2370">
        <v>1</v>
      </c>
      <c r="N2370">
        <v>3</v>
      </c>
      <c r="O2370">
        <v>40.695999999999998</v>
      </c>
      <c r="P2370">
        <v>22.49188573</v>
      </c>
      <c r="Q2370">
        <v>7.0750000000000002</v>
      </c>
    </row>
    <row r="2371" spans="1:17" x14ac:dyDescent="0.2">
      <c r="A2371" s="30" t="str">
        <f>IF(C2371&amp;G2371&amp;D2371&lt;&gt;'Funnel setup'!$K$3&amp;'Funnel setup'!$K$4&amp;'Funnel setup'!$K$5,".",IF(A2370=".",1,A2370+1))</f>
        <v>.</v>
      </c>
      <c r="B2371" s="431" t="str">
        <f t="shared" ref="B2371:B2434" si="37">C2371&amp;D2371&amp;F2371&amp;G2371</f>
        <v>Hip Replacement PrimaryProviderROYAL UNITED HOSPITALS BATH NHS FOUNDATION TRUST (RD1)Oxford Hip Score</v>
      </c>
      <c r="C2371" t="s">
        <v>248</v>
      </c>
      <c r="D2371" t="s">
        <v>1</v>
      </c>
      <c r="E2371" t="s">
        <v>3454</v>
      </c>
      <c r="F2371" t="s">
        <v>3455</v>
      </c>
      <c r="G2371" t="s">
        <v>14</v>
      </c>
      <c r="H2371">
        <v>186</v>
      </c>
      <c r="I2371">
        <v>16.882000000000001</v>
      </c>
      <c r="J2371">
        <v>38.488999999999997</v>
      </c>
      <c r="K2371">
        <v>21.608000000000001</v>
      </c>
      <c r="L2371">
        <v>179</v>
      </c>
      <c r="M2371">
        <v>2</v>
      </c>
      <c r="N2371">
        <v>5</v>
      </c>
      <c r="O2371">
        <v>39.231999999999999</v>
      </c>
      <c r="P2371">
        <v>21.027270049999998</v>
      </c>
      <c r="Q2371">
        <v>7.851</v>
      </c>
    </row>
    <row r="2372" spans="1:17" x14ac:dyDescent="0.2">
      <c r="A2372" s="30" t="str">
        <f>IF(C2372&amp;G2372&amp;D2372&lt;&gt;'Funnel setup'!$K$3&amp;'Funnel setup'!$K$4&amp;'Funnel setup'!$K$5,".",IF(A2371=".",1,A2371+1))</f>
        <v>.</v>
      </c>
      <c r="B2372" s="431" t="str">
        <f t="shared" si="37"/>
        <v>Hip Replacement PrimaryProviderSALFORD ROYAL NHS FOUNDATION TRUST (RM3)Oxford Hip Score</v>
      </c>
      <c r="C2372" t="s">
        <v>248</v>
      </c>
      <c r="D2372" t="s">
        <v>1</v>
      </c>
      <c r="E2372" t="s">
        <v>3457</v>
      </c>
      <c r="F2372" t="s">
        <v>3458</v>
      </c>
      <c r="G2372" t="s">
        <v>14</v>
      </c>
      <c r="H2372">
        <v>84</v>
      </c>
      <c r="I2372">
        <v>16.321000000000002</v>
      </c>
      <c r="J2372">
        <v>39.738</v>
      </c>
      <c r="K2372">
        <v>23.417000000000002</v>
      </c>
      <c r="L2372">
        <v>84</v>
      </c>
      <c r="M2372">
        <v>0</v>
      </c>
      <c r="N2372">
        <v>0</v>
      </c>
      <c r="O2372">
        <v>40.926000000000002</v>
      </c>
      <c r="P2372">
        <v>22.721061590000001</v>
      </c>
      <c r="Q2372">
        <v>7.0979999999999999</v>
      </c>
    </row>
    <row r="2373" spans="1:17" x14ac:dyDescent="0.2">
      <c r="A2373" s="30" t="str">
        <f>IF(C2373&amp;G2373&amp;D2373&lt;&gt;'Funnel setup'!$K$3&amp;'Funnel setup'!$K$4&amp;'Funnel setup'!$K$5,".",IF(A2372=".",1,A2372+1))</f>
        <v>.</v>
      </c>
      <c r="B2373" s="431" t="str">
        <f t="shared" si="37"/>
        <v>Hip Replacement PrimaryProviderSALISBURY NHS FOUNDATION TRUST (RNZ)Oxford Hip Score</v>
      </c>
      <c r="C2373" t="s">
        <v>248</v>
      </c>
      <c r="D2373" t="s">
        <v>1</v>
      </c>
      <c r="E2373" t="s">
        <v>3460</v>
      </c>
      <c r="F2373" t="s">
        <v>3461</v>
      </c>
      <c r="G2373" t="s">
        <v>14</v>
      </c>
      <c r="H2373">
        <v>182</v>
      </c>
      <c r="I2373">
        <v>18.044</v>
      </c>
      <c r="J2373">
        <v>39.735999999999997</v>
      </c>
      <c r="K2373">
        <v>21.692</v>
      </c>
      <c r="L2373">
        <v>179</v>
      </c>
      <c r="M2373">
        <v>1</v>
      </c>
      <c r="N2373">
        <v>2</v>
      </c>
      <c r="O2373">
        <v>40.008000000000003</v>
      </c>
      <c r="P2373">
        <v>21.803792829999999</v>
      </c>
      <c r="Q2373">
        <v>7.2039999999999997</v>
      </c>
    </row>
    <row r="2374" spans="1:17" x14ac:dyDescent="0.2">
      <c r="A2374" s="30" t="str">
        <f>IF(C2374&amp;G2374&amp;D2374&lt;&gt;'Funnel setup'!$K$3&amp;'Funnel setup'!$K$4&amp;'Funnel setup'!$K$5,".",IF(A2373=".",1,A2373+1))</f>
        <v>.</v>
      </c>
      <c r="B2374" s="431" t="str">
        <f t="shared" si="37"/>
        <v>Hip Replacement PrimaryProviderSANDWELL AND WEST BIRMINGHAM HOSPITALS NHS TRUST (RXK)Oxford Hip Score</v>
      </c>
      <c r="C2374" t="s">
        <v>248</v>
      </c>
      <c r="D2374" t="s">
        <v>1</v>
      </c>
      <c r="E2374" t="s">
        <v>3463</v>
      </c>
      <c r="F2374" t="s">
        <v>3464</v>
      </c>
      <c r="G2374" t="s">
        <v>14</v>
      </c>
      <c r="H2374">
        <v>163</v>
      </c>
      <c r="I2374">
        <v>13.853</v>
      </c>
      <c r="J2374">
        <v>35.46</v>
      </c>
      <c r="K2374">
        <v>21.606999999999999</v>
      </c>
      <c r="L2374">
        <v>158</v>
      </c>
      <c r="M2374">
        <v>1</v>
      </c>
      <c r="N2374">
        <v>4</v>
      </c>
      <c r="O2374">
        <v>39.012</v>
      </c>
      <c r="P2374">
        <v>20.807245200000001</v>
      </c>
      <c r="Q2374">
        <v>8.6620000000000008</v>
      </c>
    </row>
    <row r="2375" spans="1:17" x14ac:dyDescent="0.2">
      <c r="A2375" s="30" t="str">
        <f>IF(C2375&amp;G2375&amp;D2375&lt;&gt;'Funnel setup'!$K$3&amp;'Funnel setup'!$K$4&amp;'Funnel setup'!$K$5,".",IF(A2374=".",1,A2374+1))</f>
        <v>.</v>
      </c>
      <c r="B2375" s="431" t="str">
        <f t="shared" si="37"/>
        <v>Hip Replacement PrimaryProviderSHEFFIELD TEACHING HOSPITALS NHS FOUNDATION TRUST (RHQ)Oxford Hip Score</v>
      </c>
      <c r="C2375" t="s">
        <v>248</v>
      </c>
      <c r="D2375" t="s">
        <v>1</v>
      </c>
      <c r="E2375" t="s">
        <v>3466</v>
      </c>
      <c r="F2375" t="s">
        <v>3467</v>
      </c>
      <c r="G2375" t="s">
        <v>14</v>
      </c>
      <c r="H2375">
        <v>348</v>
      </c>
      <c r="I2375">
        <v>16.77</v>
      </c>
      <c r="J2375">
        <v>38.313000000000002</v>
      </c>
      <c r="K2375">
        <v>21.542999999999999</v>
      </c>
      <c r="L2375">
        <v>340</v>
      </c>
      <c r="M2375">
        <v>0</v>
      </c>
      <c r="N2375">
        <v>8</v>
      </c>
      <c r="O2375">
        <v>39.210999999999999</v>
      </c>
      <c r="P2375">
        <v>21.006744900000001</v>
      </c>
      <c r="Q2375">
        <v>8.5030000000000001</v>
      </c>
    </row>
    <row r="2376" spans="1:17" x14ac:dyDescent="0.2">
      <c r="A2376" s="30" t="str">
        <f>IF(C2376&amp;G2376&amp;D2376&lt;&gt;'Funnel setup'!$K$3&amp;'Funnel setup'!$K$4&amp;'Funnel setup'!$K$5,".",IF(A2375=".",1,A2375+1))</f>
        <v>.</v>
      </c>
      <c r="B2376" s="431" t="str">
        <f t="shared" si="37"/>
        <v>Hip Replacement PrimaryProviderSHEPTON MALLET NHS TREATMENT CENTRE (NTPH1)Oxford Hip Score</v>
      </c>
      <c r="C2376" t="s">
        <v>248</v>
      </c>
      <c r="D2376" t="s">
        <v>1</v>
      </c>
      <c r="E2376" t="s">
        <v>3472</v>
      </c>
      <c r="F2376" t="s">
        <v>3473</v>
      </c>
      <c r="G2376" t="s">
        <v>14</v>
      </c>
      <c r="H2376">
        <v>211</v>
      </c>
      <c r="I2376">
        <v>18.018999999999998</v>
      </c>
      <c r="J2376">
        <v>43.530999999999999</v>
      </c>
      <c r="K2376">
        <v>25.512</v>
      </c>
      <c r="L2376">
        <v>211</v>
      </c>
      <c r="M2376">
        <v>0</v>
      </c>
      <c r="N2376">
        <v>0</v>
      </c>
      <c r="O2376">
        <v>42.646000000000001</v>
      </c>
      <c r="P2376">
        <v>24.441787189999999</v>
      </c>
      <c r="Q2376">
        <v>6.125</v>
      </c>
    </row>
    <row r="2377" spans="1:17" x14ac:dyDescent="0.2">
      <c r="A2377" s="30" t="str">
        <f>IF(C2377&amp;G2377&amp;D2377&lt;&gt;'Funnel setup'!$K$3&amp;'Funnel setup'!$K$4&amp;'Funnel setup'!$K$5,".",IF(A2376=".",1,A2376+1))</f>
        <v>.</v>
      </c>
      <c r="B2377" s="431" t="str">
        <f t="shared" si="37"/>
        <v>Hip Replacement PrimaryProviderSHERWOOD FOREST HOSPITALS NHS FOUNDATION TRUST (RK5)Oxford Hip Score</v>
      </c>
      <c r="C2377" t="s">
        <v>248</v>
      </c>
      <c r="D2377" t="s">
        <v>1</v>
      </c>
      <c r="E2377" t="s">
        <v>3475</v>
      </c>
      <c r="F2377" t="s">
        <v>3476</v>
      </c>
      <c r="G2377" t="s">
        <v>14</v>
      </c>
      <c r="H2377">
        <v>151</v>
      </c>
      <c r="I2377">
        <v>16.053000000000001</v>
      </c>
      <c r="J2377">
        <v>36.774999999999999</v>
      </c>
      <c r="K2377">
        <v>20.722000000000001</v>
      </c>
      <c r="L2377">
        <v>148</v>
      </c>
      <c r="M2377">
        <v>0</v>
      </c>
      <c r="N2377">
        <v>3</v>
      </c>
      <c r="O2377">
        <v>38.334000000000003</v>
      </c>
      <c r="P2377">
        <v>20.129480839999999</v>
      </c>
      <c r="Q2377">
        <v>9.0830000000000002</v>
      </c>
    </row>
    <row r="2378" spans="1:17" x14ac:dyDescent="0.2">
      <c r="A2378" s="30" t="str">
        <f>IF(C2378&amp;G2378&amp;D2378&lt;&gt;'Funnel setup'!$K$3&amp;'Funnel setup'!$K$4&amp;'Funnel setup'!$K$5,".",IF(A2377=".",1,A2377+1))</f>
        <v>.</v>
      </c>
      <c r="B2378" s="431" t="str">
        <f t="shared" si="37"/>
        <v>Hip Replacement PrimaryProviderSHREWSBURY AND TELFORD HOSPITAL NHS TRUST (RXW)Oxford Hip Score</v>
      </c>
      <c r="C2378" t="s">
        <v>248</v>
      </c>
      <c r="D2378" t="s">
        <v>1</v>
      </c>
      <c r="E2378" t="s">
        <v>3478</v>
      </c>
      <c r="F2378" t="s">
        <v>3479</v>
      </c>
      <c r="G2378" t="s">
        <v>14</v>
      </c>
      <c r="H2378">
        <v>161</v>
      </c>
      <c r="I2378">
        <v>15.025</v>
      </c>
      <c r="J2378">
        <v>38.030999999999999</v>
      </c>
      <c r="K2378">
        <v>23.006</v>
      </c>
      <c r="L2378">
        <v>159</v>
      </c>
      <c r="M2378">
        <v>0</v>
      </c>
      <c r="N2378">
        <v>2</v>
      </c>
      <c r="O2378">
        <v>39.338999999999999</v>
      </c>
      <c r="P2378">
        <v>21.134006039999999</v>
      </c>
      <c r="Q2378">
        <v>8.6760000000000002</v>
      </c>
    </row>
    <row r="2379" spans="1:17" x14ac:dyDescent="0.2">
      <c r="A2379" s="30" t="str">
        <f>IF(C2379&amp;G2379&amp;D2379&lt;&gt;'Funnel setup'!$K$3&amp;'Funnel setup'!$K$4&amp;'Funnel setup'!$K$5,".",IF(A2378=".",1,A2378+1))</f>
        <v>.</v>
      </c>
      <c r="B2379" s="431" t="str">
        <f t="shared" si="37"/>
        <v>Hip Replacement PrimaryProviderSOUTH TEES HOSPITALS NHS FOUNDATION TRUST (RTR)Oxford Hip Score</v>
      </c>
      <c r="C2379" t="s">
        <v>248</v>
      </c>
      <c r="D2379" t="s">
        <v>1</v>
      </c>
      <c r="E2379" t="s">
        <v>3482</v>
      </c>
      <c r="F2379" t="s">
        <v>3483</v>
      </c>
      <c r="G2379" t="s">
        <v>14</v>
      </c>
      <c r="H2379">
        <v>447</v>
      </c>
      <c r="I2379">
        <v>18.646999999999998</v>
      </c>
      <c r="J2379">
        <v>39.357999999999997</v>
      </c>
      <c r="K2379">
        <v>20.710999999999999</v>
      </c>
      <c r="L2379">
        <v>432</v>
      </c>
      <c r="M2379">
        <v>1</v>
      </c>
      <c r="N2379">
        <v>14</v>
      </c>
      <c r="O2379">
        <v>39.533000000000001</v>
      </c>
      <c r="P2379">
        <v>21.32893378</v>
      </c>
      <c r="Q2379">
        <v>8.0429999999999993</v>
      </c>
    </row>
    <row r="2380" spans="1:17" x14ac:dyDescent="0.2">
      <c r="A2380" s="30" t="str">
        <f>IF(C2380&amp;G2380&amp;D2380&lt;&gt;'Funnel setup'!$K$3&amp;'Funnel setup'!$K$4&amp;'Funnel setup'!$K$5,".",IF(A2379=".",1,A2379+1))</f>
        <v>.</v>
      </c>
      <c r="B2380" s="431" t="str">
        <f t="shared" si="37"/>
        <v>Hip Replacement PrimaryProviderSOUTH TYNESIDE NHS FOUNDATION TRUST (RE9)Oxford Hip Score</v>
      </c>
      <c r="C2380" t="s">
        <v>248</v>
      </c>
      <c r="D2380" t="s">
        <v>1</v>
      </c>
      <c r="E2380" t="s">
        <v>3485</v>
      </c>
      <c r="F2380" t="s">
        <v>3486</v>
      </c>
      <c r="G2380" t="s">
        <v>14</v>
      </c>
      <c r="H2380">
        <v>50</v>
      </c>
      <c r="I2380">
        <v>17.399999999999999</v>
      </c>
      <c r="J2380">
        <v>37.78</v>
      </c>
      <c r="K2380">
        <v>20.38</v>
      </c>
      <c r="L2380">
        <v>50</v>
      </c>
      <c r="M2380">
        <v>0</v>
      </c>
      <c r="N2380">
        <v>0</v>
      </c>
      <c r="O2380">
        <v>38.94</v>
      </c>
      <c r="P2380">
        <v>20.73531423</v>
      </c>
      <c r="Q2380">
        <v>7.6319999999999997</v>
      </c>
    </row>
    <row r="2381" spans="1:17" x14ac:dyDescent="0.2">
      <c r="A2381" s="30" t="str">
        <f>IF(C2381&amp;G2381&amp;D2381&lt;&gt;'Funnel setup'!$K$3&amp;'Funnel setup'!$K$4&amp;'Funnel setup'!$K$5,".",IF(A2380=".",1,A2380+1))</f>
        <v>.</v>
      </c>
      <c r="B2381" s="431" t="str">
        <f t="shared" si="37"/>
        <v>Hip Replacement PrimaryProviderSOUTH WARWICKSHIRE NHS FOUNDATION TRUST (RJC)Oxford Hip Score</v>
      </c>
      <c r="C2381" t="s">
        <v>248</v>
      </c>
      <c r="D2381" t="s">
        <v>1</v>
      </c>
      <c r="E2381" t="s">
        <v>3421</v>
      </c>
      <c r="F2381" t="s">
        <v>3422</v>
      </c>
      <c r="G2381" t="s">
        <v>14</v>
      </c>
      <c r="H2381">
        <v>253</v>
      </c>
      <c r="I2381">
        <v>20.202000000000002</v>
      </c>
      <c r="J2381">
        <v>40.462000000000003</v>
      </c>
      <c r="K2381">
        <v>20.260999999999999</v>
      </c>
      <c r="L2381">
        <v>246</v>
      </c>
      <c r="M2381">
        <v>3</v>
      </c>
      <c r="N2381">
        <v>4</v>
      </c>
      <c r="O2381">
        <v>39.302999999999997</v>
      </c>
      <c r="P2381">
        <v>21.098407859999998</v>
      </c>
      <c r="Q2381">
        <v>7.53</v>
      </c>
    </row>
    <row r="2382" spans="1:17" x14ac:dyDescent="0.2">
      <c r="A2382" s="30" t="str">
        <f>IF(C2382&amp;G2382&amp;D2382&lt;&gt;'Funnel setup'!$K$3&amp;'Funnel setup'!$K$4&amp;'Funnel setup'!$K$5,".",IF(A2381=".",1,A2381+1))</f>
        <v>.</v>
      </c>
      <c r="B2382" s="431" t="str">
        <f t="shared" si="37"/>
        <v>Hip Replacement PrimaryProviderSOUTHAMPTON NHS TREATMENT CENTRE (NTP11)Oxford Hip Score</v>
      </c>
      <c r="C2382" t="s">
        <v>248</v>
      </c>
      <c r="D2382" t="s">
        <v>1</v>
      </c>
      <c r="E2382" t="s">
        <v>3424</v>
      </c>
      <c r="F2382" t="s">
        <v>3425</v>
      </c>
      <c r="G2382" t="s">
        <v>14</v>
      </c>
      <c r="H2382">
        <v>97</v>
      </c>
      <c r="I2382">
        <v>19.411999999999999</v>
      </c>
      <c r="J2382">
        <v>40.072000000000003</v>
      </c>
      <c r="K2382">
        <v>20.66</v>
      </c>
      <c r="L2382">
        <v>96</v>
      </c>
      <c r="M2382">
        <v>0</v>
      </c>
      <c r="N2382">
        <v>1</v>
      </c>
      <c r="O2382">
        <v>39.643000000000001</v>
      </c>
      <c r="P2382">
        <v>21.438388759999999</v>
      </c>
      <c r="Q2382">
        <v>6.6040000000000001</v>
      </c>
    </row>
    <row r="2383" spans="1:17" x14ac:dyDescent="0.2">
      <c r="A2383" s="30" t="str">
        <f>IF(C2383&amp;G2383&amp;D2383&lt;&gt;'Funnel setup'!$K$3&amp;'Funnel setup'!$K$4&amp;'Funnel setup'!$K$5,".",IF(A2382=".",1,A2382+1))</f>
        <v>.</v>
      </c>
      <c r="B2383" s="431" t="str">
        <f t="shared" si="37"/>
        <v>Hip Replacement PrimaryProviderSOUTHEND UNIVERSITY HOSPITAL NHS FOUNDATION TRUST (RAJ)Oxford Hip Score</v>
      </c>
      <c r="C2383" t="s">
        <v>248</v>
      </c>
      <c r="D2383" t="s">
        <v>1</v>
      </c>
      <c r="E2383" t="s">
        <v>3427</v>
      </c>
      <c r="F2383" t="s">
        <v>3428</v>
      </c>
      <c r="G2383" t="s">
        <v>14</v>
      </c>
      <c r="H2383">
        <v>140</v>
      </c>
      <c r="I2383">
        <v>16.279</v>
      </c>
      <c r="J2383">
        <v>37.713999999999999</v>
      </c>
      <c r="K2383">
        <v>21.436</v>
      </c>
      <c r="L2383">
        <v>136</v>
      </c>
      <c r="M2383">
        <v>1</v>
      </c>
      <c r="N2383">
        <v>3</v>
      </c>
      <c r="O2383">
        <v>38.338000000000001</v>
      </c>
      <c r="P2383">
        <v>20.133391490000001</v>
      </c>
      <c r="Q2383">
        <v>7.7350000000000003</v>
      </c>
    </row>
    <row r="2384" spans="1:17" x14ac:dyDescent="0.2">
      <c r="A2384" s="30" t="str">
        <f>IF(C2384&amp;G2384&amp;D2384&lt;&gt;'Funnel setup'!$K$3&amp;'Funnel setup'!$K$4&amp;'Funnel setup'!$K$5,".",IF(A2383=".",1,A2383+1))</f>
        <v>.</v>
      </c>
      <c r="B2384" s="431" t="str">
        <f t="shared" si="37"/>
        <v>Hip Replacement PrimaryProviderSOUTHPORT AND ORMSKIRK HOSPITAL NHS TRUST (RVY)Oxford Hip Score</v>
      </c>
      <c r="C2384" t="s">
        <v>248</v>
      </c>
      <c r="D2384" t="s">
        <v>1</v>
      </c>
      <c r="E2384" t="s">
        <v>3430</v>
      </c>
      <c r="F2384" t="s">
        <v>3431</v>
      </c>
      <c r="G2384" t="s">
        <v>14</v>
      </c>
      <c r="H2384">
        <v>100</v>
      </c>
      <c r="I2384">
        <v>17.47</v>
      </c>
      <c r="J2384">
        <v>38.28</v>
      </c>
      <c r="K2384">
        <v>20.81</v>
      </c>
      <c r="L2384">
        <v>97</v>
      </c>
      <c r="M2384">
        <v>1</v>
      </c>
      <c r="N2384">
        <v>2</v>
      </c>
      <c r="O2384">
        <v>38.680999999999997</v>
      </c>
      <c r="P2384">
        <v>20.476175080000001</v>
      </c>
      <c r="Q2384">
        <v>8.14</v>
      </c>
    </row>
    <row r="2385" spans="1:17" x14ac:dyDescent="0.2">
      <c r="A2385" s="30" t="str">
        <f>IF(C2385&amp;G2385&amp;D2385&lt;&gt;'Funnel setup'!$K$3&amp;'Funnel setup'!$K$4&amp;'Funnel setup'!$K$5,".",IF(A2384=".",1,A2384+1))</f>
        <v>.</v>
      </c>
      <c r="B2385" s="431" t="str">
        <f t="shared" si="37"/>
        <v>Hip Replacement PrimaryProviderSPIRE ALEXANDRA HOSPITAL (NT312)Oxford Hip Score</v>
      </c>
      <c r="C2385" t="s">
        <v>248</v>
      </c>
      <c r="D2385" t="s">
        <v>1</v>
      </c>
      <c r="E2385" t="s">
        <v>3433</v>
      </c>
      <c r="F2385" t="s">
        <v>3434</v>
      </c>
      <c r="G2385" t="s">
        <v>14</v>
      </c>
      <c r="H2385">
        <v>37</v>
      </c>
      <c r="I2385">
        <v>17.541</v>
      </c>
      <c r="J2385">
        <v>39.756999999999998</v>
      </c>
      <c r="K2385">
        <v>22.216000000000001</v>
      </c>
      <c r="L2385">
        <v>35</v>
      </c>
      <c r="M2385">
        <v>0</v>
      </c>
      <c r="N2385">
        <v>2</v>
      </c>
      <c r="O2385">
        <v>39.354999999999997</v>
      </c>
      <c r="P2385">
        <v>21.150203650000002</v>
      </c>
      <c r="Q2385">
        <v>9.4420000000000002</v>
      </c>
    </row>
    <row r="2386" spans="1:17" x14ac:dyDescent="0.2">
      <c r="A2386" s="30" t="str">
        <f>IF(C2386&amp;G2386&amp;D2386&lt;&gt;'Funnel setup'!$K$3&amp;'Funnel setup'!$K$4&amp;'Funnel setup'!$K$5,".",IF(A2385=".",1,A2385+1))</f>
        <v>.</v>
      </c>
      <c r="B2386" s="431" t="str">
        <f t="shared" si="37"/>
        <v>Hip Replacement PrimaryProviderSPIRE BRISTOL HOSPITAL (NT302)Oxford Hip Score</v>
      </c>
      <c r="C2386" t="s">
        <v>248</v>
      </c>
      <c r="D2386" t="s">
        <v>1</v>
      </c>
      <c r="E2386" t="s">
        <v>4381</v>
      </c>
      <c r="F2386" t="s">
        <v>4382</v>
      </c>
      <c r="G2386" t="s">
        <v>14</v>
      </c>
      <c r="H2386">
        <v>102</v>
      </c>
      <c r="I2386">
        <v>21.029</v>
      </c>
      <c r="J2386">
        <v>40.755000000000003</v>
      </c>
      <c r="K2386">
        <v>19.725000000000001</v>
      </c>
      <c r="L2386">
        <v>97</v>
      </c>
      <c r="M2386">
        <v>0</v>
      </c>
      <c r="N2386">
        <v>5</v>
      </c>
      <c r="O2386">
        <v>39.243000000000002</v>
      </c>
      <c r="P2386">
        <v>21.038842580000001</v>
      </c>
      <c r="Q2386">
        <v>7.2670000000000003</v>
      </c>
    </row>
    <row r="2387" spans="1:17" x14ac:dyDescent="0.2">
      <c r="A2387" s="30" t="str">
        <f>IF(C2387&amp;G2387&amp;D2387&lt;&gt;'Funnel setup'!$K$3&amp;'Funnel setup'!$K$4&amp;'Funnel setup'!$K$5,".",IF(A2386=".",1,A2386+1))</f>
        <v>.</v>
      </c>
      <c r="B2387" s="431" t="str">
        <f t="shared" si="37"/>
        <v>Hip Replacement PrimaryProviderSPIRE BUSHEY HOSPITAL (NT315)Oxford Hip Score</v>
      </c>
      <c r="C2387" t="s">
        <v>248</v>
      </c>
      <c r="D2387" t="s">
        <v>1</v>
      </c>
      <c r="E2387" t="s">
        <v>4364</v>
      </c>
      <c r="F2387" t="s">
        <v>4365</v>
      </c>
      <c r="G2387" t="s">
        <v>14</v>
      </c>
      <c r="H2387">
        <v>16</v>
      </c>
      <c r="I2387">
        <v>19.812999999999999</v>
      </c>
      <c r="J2387">
        <v>42.5</v>
      </c>
      <c r="K2387">
        <v>22.687999999999999</v>
      </c>
      <c r="L2387">
        <v>16</v>
      </c>
      <c r="M2387">
        <v>0</v>
      </c>
      <c r="N2387">
        <v>0</v>
      </c>
      <c r="O2387" t="s">
        <v>53</v>
      </c>
      <c r="P2387" t="s">
        <v>53</v>
      </c>
      <c r="Q2387" t="s">
        <v>53</v>
      </c>
    </row>
    <row r="2388" spans="1:17" x14ac:dyDescent="0.2">
      <c r="A2388" s="30" t="str">
        <f>IF(C2388&amp;G2388&amp;D2388&lt;&gt;'Funnel setup'!$K$3&amp;'Funnel setup'!$K$4&amp;'Funnel setup'!$K$5,".",IF(A2387=".",1,A2387+1))</f>
        <v>.</v>
      </c>
      <c r="B2388" s="431" t="str">
        <f t="shared" si="37"/>
        <v>Hip Replacement PrimaryProviderSPIRE CAMBRIDGE LEA HOSPITAL (NT317)Oxford Hip Score</v>
      </c>
      <c r="C2388" t="s">
        <v>248</v>
      </c>
      <c r="D2388" t="s">
        <v>1</v>
      </c>
      <c r="E2388" t="s">
        <v>3436</v>
      </c>
      <c r="F2388" t="s">
        <v>3437</v>
      </c>
      <c r="G2388" t="s">
        <v>14</v>
      </c>
      <c r="H2388">
        <v>61</v>
      </c>
      <c r="I2388">
        <v>22.065999999999999</v>
      </c>
      <c r="J2388">
        <v>43.23</v>
      </c>
      <c r="K2388">
        <v>21.164000000000001</v>
      </c>
      <c r="L2388">
        <v>61</v>
      </c>
      <c r="M2388">
        <v>0</v>
      </c>
      <c r="N2388">
        <v>0</v>
      </c>
      <c r="O2388">
        <v>40.701000000000001</v>
      </c>
      <c r="P2388">
        <v>22.49646061</v>
      </c>
      <c r="Q2388">
        <v>5.71</v>
      </c>
    </row>
    <row r="2389" spans="1:17" x14ac:dyDescent="0.2">
      <c r="A2389" s="30" t="str">
        <f>IF(C2389&amp;G2389&amp;D2389&lt;&gt;'Funnel setup'!$K$3&amp;'Funnel setup'!$K$4&amp;'Funnel setup'!$K$5,".",IF(A2388=".",1,A2388+1))</f>
        <v>.</v>
      </c>
      <c r="B2389" s="431" t="str">
        <f t="shared" si="37"/>
        <v>Hip Replacement PrimaryProviderSPIRE CHESHIRE HOSPITAL (NT324)Oxford Hip Score</v>
      </c>
      <c r="C2389" t="s">
        <v>248</v>
      </c>
      <c r="D2389" t="s">
        <v>1</v>
      </c>
      <c r="E2389" t="s">
        <v>3439</v>
      </c>
      <c r="F2389" t="s">
        <v>3440</v>
      </c>
      <c r="G2389" t="s">
        <v>14</v>
      </c>
      <c r="H2389">
        <v>70</v>
      </c>
      <c r="I2389">
        <v>17.757000000000001</v>
      </c>
      <c r="J2389">
        <v>41.542999999999999</v>
      </c>
      <c r="K2389">
        <v>23.786000000000001</v>
      </c>
      <c r="L2389">
        <v>69</v>
      </c>
      <c r="M2389">
        <v>1</v>
      </c>
      <c r="N2389">
        <v>0</v>
      </c>
      <c r="O2389">
        <v>40.436</v>
      </c>
      <c r="P2389">
        <v>22.231475639999999</v>
      </c>
      <c r="Q2389">
        <v>7.2279999999999998</v>
      </c>
    </row>
    <row r="2390" spans="1:17" x14ac:dyDescent="0.2">
      <c r="A2390" s="30" t="str">
        <f>IF(C2390&amp;G2390&amp;D2390&lt;&gt;'Funnel setup'!$K$3&amp;'Funnel setup'!$K$4&amp;'Funnel setup'!$K$5,".",IF(A2389=".",1,A2389+1))</f>
        <v>.</v>
      </c>
      <c r="B2390" s="431" t="str">
        <f t="shared" si="37"/>
        <v>Hip Replacement PrimaryProviderSPIRE CLARE PARK HOSPITAL (NT345)Oxford Hip Score</v>
      </c>
      <c r="C2390" t="s">
        <v>248</v>
      </c>
      <c r="D2390" t="s">
        <v>1</v>
      </c>
      <c r="E2390" t="s">
        <v>3412</v>
      </c>
      <c r="F2390" t="s">
        <v>3413</v>
      </c>
      <c r="G2390" t="s">
        <v>14</v>
      </c>
      <c r="H2390">
        <v>44</v>
      </c>
      <c r="I2390">
        <v>21.341000000000001</v>
      </c>
      <c r="J2390">
        <v>44.226999999999997</v>
      </c>
      <c r="K2390">
        <v>22.885999999999999</v>
      </c>
      <c r="L2390">
        <v>44</v>
      </c>
      <c r="M2390">
        <v>0</v>
      </c>
      <c r="N2390">
        <v>0</v>
      </c>
      <c r="O2390">
        <v>41.847000000000001</v>
      </c>
      <c r="P2390">
        <v>23.642760079999999</v>
      </c>
      <c r="Q2390">
        <v>4.923</v>
      </c>
    </row>
    <row r="2391" spans="1:17" x14ac:dyDescent="0.2">
      <c r="A2391" s="30" t="str">
        <f>IF(C2391&amp;G2391&amp;D2391&lt;&gt;'Funnel setup'!$K$3&amp;'Funnel setup'!$K$4&amp;'Funnel setup'!$K$5,".",IF(A2390=".",1,A2390+1))</f>
        <v>.</v>
      </c>
      <c r="B2391" s="431" t="str">
        <f t="shared" si="37"/>
        <v>Hip Replacement PrimaryProviderSPIRE DUNEDIN HOSPITAL (NT344)Oxford Hip Score</v>
      </c>
      <c r="C2391" t="s">
        <v>248</v>
      </c>
      <c r="D2391" t="s">
        <v>1</v>
      </c>
      <c r="E2391" t="s">
        <v>3415</v>
      </c>
      <c r="F2391" t="s">
        <v>3416</v>
      </c>
      <c r="G2391" t="s">
        <v>14</v>
      </c>
      <c r="H2391">
        <v>18</v>
      </c>
      <c r="I2391">
        <v>19.888999999999999</v>
      </c>
      <c r="J2391">
        <v>43.332999999999998</v>
      </c>
      <c r="K2391">
        <v>23.443999999999999</v>
      </c>
      <c r="L2391">
        <v>18</v>
      </c>
      <c r="M2391">
        <v>0</v>
      </c>
      <c r="N2391">
        <v>0</v>
      </c>
      <c r="O2391" t="s">
        <v>53</v>
      </c>
      <c r="P2391" t="s">
        <v>53</v>
      </c>
      <c r="Q2391" t="s">
        <v>53</v>
      </c>
    </row>
    <row r="2392" spans="1:17" x14ac:dyDescent="0.2">
      <c r="A2392" s="30" t="str">
        <f>IF(C2392&amp;G2392&amp;D2392&lt;&gt;'Funnel setup'!$K$3&amp;'Funnel setup'!$K$4&amp;'Funnel setup'!$K$5,".",IF(A2391=".",1,A2391+1))</f>
        <v>.</v>
      </c>
      <c r="B2392" s="431" t="str">
        <f t="shared" si="37"/>
        <v>Hip Replacement PrimaryProviderSPIRE ELLAND HOSPITAL (NT348)Oxford Hip Score</v>
      </c>
      <c r="C2392" t="s">
        <v>248</v>
      </c>
      <c r="D2392" t="s">
        <v>1</v>
      </c>
      <c r="E2392" t="s">
        <v>3418</v>
      </c>
      <c r="F2392" t="s">
        <v>3419</v>
      </c>
      <c r="G2392" t="s">
        <v>14</v>
      </c>
      <c r="H2392">
        <v>53</v>
      </c>
      <c r="I2392">
        <v>17.849</v>
      </c>
      <c r="J2392">
        <v>39.225999999999999</v>
      </c>
      <c r="K2392">
        <v>21.376999999999999</v>
      </c>
      <c r="L2392">
        <v>53</v>
      </c>
      <c r="M2392">
        <v>0</v>
      </c>
      <c r="N2392">
        <v>0</v>
      </c>
      <c r="O2392">
        <v>38.622</v>
      </c>
      <c r="P2392">
        <v>20.41728062</v>
      </c>
      <c r="Q2392">
        <v>7.226</v>
      </c>
    </row>
    <row r="2393" spans="1:17" x14ac:dyDescent="0.2">
      <c r="A2393" s="30" t="str">
        <f>IF(C2393&amp;G2393&amp;D2393&lt;&gt;'Funnel setup'!$K$3&amp;'Funnel setup'!$K$4&amp;'Funnel setup'!$K$5,".",IF(A2392=".",1,A2392+1))</f>
        <v>.</v>
      </c>
      <c r="B2393" s="431" t="str">
        <f t="shared" si="37"/>
        <v>Hip Replacement PrimaryProviderSPIRE FYLDE COAST HOSPITAL (NT347)Oxford Hip Score</v>
      </c>
      <c r="C2393" t="s">
        <v>248</v>
      </c>
      <c r="D2393" t="s">
        <v>1</v>
      </c>
      <c r="E2393" t="s">
        <v>4370</v>
      </c>
      <c r="F2393" t="s">
        <v>4371</v>
      </c>
      <c r="G2393" t="s">
        <v>14</v>
      </c>
      <c r="H2393">
        <v>78</v>
      </c>
      <c r="I2393">
        <v>19.614999999999998</v>
      </c>
      <c r="J2393">
        <v>38.231000000000002</v>
      </c>
      <c r="K2393">
        <v>18.614999999999998</v>
      </c>
      <c r="L2393">
        <v>71</v>
      </c>
      <c r="M2393">
        <v>1</v>
      </c>
      <c r="N2393">
        <v>6</v>
      </c>
      <c r="O2393">
        <v>37.792000000000002</v>
      </c>
      <c r="P2393">
        <v>19.587652049999999</v>
      </c>
      <c r="Q2393">
        <v>10.028</v>
      </c>
    </row>
    <row r="2394" spans="1:17" x14ac:dyDescent="0.2">
      <c r="A2394" s="30" t="str">
        <f>IF(C2394&amp;G2394&amp;D2394&lt;&gt;'Funnel setup'!$K$3&amp;'Funnel setup'!$K$4&amp;'Funnel setup'!$K$5,".",IF(A2393=".",1,A2393+1))</f>
        <v>.</v>
      </c>
      <c r="B2394" s="431" t="str">
        <f t="shared" si="37"/>
        <v>Hip Replacement PrimaryProviderSPIRE GATWICK PARK HOSPITAL (NT308)Oxford Hip Score</v>
      </c>
      <c r="C2394" t="s">
        <v>248</v>
      </c>
      <c r="D2394" t="s">
        <v>1</v>
      </c>
      <c r="E2394" t="s">
        <v>3409</v>
      </c>
      <c r="F2394" t="s">
        <v>3410</v>
      </c>
      <c r="G2394" t="s">
        <v>14</v>
      </c>
      <c r="H2394">
        <v>100</v>
      </c>
      <c r="I2394">
        <v>22.96</v>
      </c>
      <c r="J2394">
        <v>41.84</v>
      </c>
      <c r="K2394">
        <v>18.88</v>
      </c>
      <c r="L2394">
        <v>97</v>
      </c>
      <c r="M2394">
        <v>1</v>
      </c>
      <c r="N2394">
        <v>2</v>
      </c>
      <c r="O2394">
        <v>39.537999999999997</v>
      </c>
      <c r="P2394">
        <v>21.333868769999999</v>
      </c>
      <c r="Q2394">
        <v>7.4930000000000003</v>
      </c>
    </row>
    <row r="2395" spans="1:17" x14ac:dyDescent="0.2">
      <c r="A2395" s="30" t="str">
        <f>IF(C2395&amp;G2395&amp;D2395&lt;&gt;'Funnel setup'!$K$3&amp;'Funnel setup'!$K$4&amp;'Funnel setup'!$K$5,".",IF(A2394=".",1,A2394+1))</f>
        <v>.</v>
      </c>
      <c r="B2395" s="431" t="str">
        <f t="shared" si="37"/>
        <v>Hip Replacement PrimaryProviderSPIRE HARPENDEN HOSPITAL (NT316)Oxford Hip Score</v>
      </c>
      <c r="C2395" t="s">
        <v>248</v>
      </c>
      <c r="D2395" t="s">
        <v>1</v>
      </c>
      <c r="E2395" t="s">
        <v>4267</v>
      </c>
      <c r="F2395" t="s">
        <v>4268</v>
      </c>
      <c r="G2395" t="s">
        <v>14</v>
      </c>
      <c r="H2395">
        <v>69</v>
      </c>
      <c r="I2395">
        <v>20.087</v>
      </c>
      <c r="J2395">
        <v>42.087000000000003</v>
      </c>
      <c r="K2395">
        <v>22</v>
      </c>
      <c r="L2395">
        <v>67</v>
      </c>
      <c r="M2395">
        <v>1</v>
      </c>
      <c r="N2395">
        <v>1</v>
      </c>
      <c r="O2395">
        <v>40.841999999999999</v>
      </c>
      <c r="P2395">
        <v>22.637170739999998</v>
      </c>
      <c r="Q2395">
        <v>7.6619999999999999</v>
      </c>
    </row>
    <row r="2396" spans="1:17" x14ac:dyDescent="0.2">
      <c r="A2396" s="30" t="str">
        <f>IF(C2396&amp;G2396&amp;D2396&lt;&gt;'Funnel setup'!$K$3&amp;'Funnel setup'!$K$4&amp;'Funnel setup'!$K$5,".",IF(A2395=".",1,A2395+1))</f>
        <v>.</v>
      </c>
      <c r="B2396" s="431" t="str">
        <f t="shared" si="37"/>
        <v>Hip Replacement PrimaryProviderSPIRE HARTSWOOD HOSPITAL (NT319)Oxford Hip Score</v>
      </c>
      <c r="C2396" t="s">
        <v>248</v>
      </c>
      <c r="D2396" t="s">
        <v>1</v>
      </c>
      <c r="E2396" t="s">
        <v>3210</v>
      </c>
      <c r="F2396" t="s">
        <v>3211</v>
      </c>
      <c r="G2396" t="s">
        <v>14</v>
      </c>
      <c r="H2396">
        <v>10</v>
      </c>
      <c r="I2396">
        <v>21.3</v>
      </c>
      <c r="J2396">
        <v>36.5</v>
      </c>
      <c r="K2396">
        <v>15.2</v>
      </c>
      <c r="L2396">
        <v>9</v>
      </c>
      <c r="M2396">
        <v>0</v>
      </c>
      <c r="N2396">
        <v>1</v>
      </c>
      <c r="O2396" t="s">
        <v>53</v>
      </c>
      <c r="P2396" t="s">
        <v>53</v>
      </c>
      <c r="Q2396" t="s">
        <v>53</v>
      </c>
    </row>
    <row r="2397" spans="1:17" x14ac:dyDescent="0.2">
      <c r="A2397" s="30" t="str">
        <f>IF(C2397&amp;G2397&amp;D2397&lt;&gt;'Funnel setup'!$K$3&amp;'Funnel setup'!$K$4&amp;'Funnel setup'!$K$5,".",IF(A2396=".",1,A2396+1))</f>
        <v>.</v>
      </c>
      <c r="B2397" s="431" t="str">
        <f t="shared" si="37"/>
        <v>Hip Replacement PrimaryProviderSPIRE HULL AND EAST RIDING HOSPITAL (NT351)Oxford Hip Score</v>
      </c>
      <c r="C2397" t="s">
        <v>248</v>
      </c>
      <c r="D2397" t="s">
        <v>1</v>
      </c>
      <c r="E2397" t="s">
        <v>3213</v>
      </c>
      <c r="F2397" t="s">
        <v>3214</v>
      </c>
      <c r="G2397" t="s">
        <v>14</v>
      </c>
      <c r="H2397">
        <v>163</v>
      </c>
      <c r="I2397">
        <v>19.706</v>
      </c>
      <c r="J2397">
        <v>41.491</v>
      </c>
      <c r="K2397">
        <v>21.785</v>
      </c>
      <c r="L2397">
        <v>158</v>
      </c>
      <c r="M2397">
        <v>2</v>
      </c>
      <c r="N2397">
        <v>3</v>
      </c>
      <c r="O2397">
        <v>40.351999999999997</v>
      </c>
      <c r="P2397">
        <v>22.147349219999999</v>
      </c>
      <c r="Q2397">
        <v>7.2309999999999999</v>
      </c>
    </row>
    <row r="2398" spans="1:17" x14ac:dyDescent="0.2">
      <c r="A2398" s="30" t="str">
        <f>IF(C2398&amp;G2398&amp;D2398&lt;&gt;'Funnel setup'!$K$3&amp;'Funnel setup'!$K$4&amp;'Funnel setup'!$K$5,".",IF(A2397=".",1,A2397+1))</f>
        <v>.</v>
      </c>
      <c r="B2398" s="431" t="str">
        <f t="shared" si="37"/>
        <v>Hip Replacement PrimaryProviderSPIRE LEEDS HOSPITAL (NT332)Oxford Hip Score</v>
      </c>
      <c r="C2398" t="s">
        <v>248</v>
      </c>
      <c r="D2398" t="s">
        <v>1</v>
      </c>
      <c r="E2398" t="s">
        <v>3198</v>
      </c>
      <c r="F2398" t="s">
        <v>3199</v>
      </c>
      <c r="G2398" t="s">
        <v>14</v>
      </c>
      <c r="H2398">
        <v>75</v>
      </c>
      <c r="I2398">
        <v>20.146999999999998</v>
      </c>
      <c r="J2398">
        <v>41.307000000000002</v>
      </c>
      <c r="K2398">
        <v>21.16</v>
      </c>
      <c r="L2398">
        <v>73</v>
      </c>
      <c r="M2398">
        <v>2</v>
      </c>
      <c r="N2398">
        <v>0</v>
      </c>
      <c r="O2398">
        <v>40.21</v>
      </c>
      <c r="P2398">
        <v>22.00597621</v>
      </c>
      <c r="Q2398">
        <v>6.5289999999999999</v>
      </c>
    </row>
    <row r="2399" spans="1:17" x14ac:dyDescent="0.2">
      <c r="A2399" s="30" t="str">
        <f>IF(C2399&amp;G2399&amp;D2399&lt;&gt;'Funnel setup'!$K$3&amp;'Funnel setup'!$K$4&amp;'Funnel setup'!$K$5,".",IF(A2398=".",1,A2398+1))</f>
        <v>.</v>
      </c>
      <c r="B2399" s="431" t="str">
        <f t="shared" si="37"/>
        <v>Hip Replacement PrimaryProviderSPIRE LEICESTER HOSPITAL (NT322)Oxford Hip Score</v>
      </c>
      <c r="C2399" t="s">
        <v>248</v>
      </c>
      <c r="D2399" t="s">
        <v>1</v>
      </c>
      <c r="E2399" t="s">
        <v>3201</v>
      </c>
      <c r="F2399" t="s">
        <v>3202</v>
      </c>
      <c r="G2399" t="s">
        <v>14</v>
      </c>
      <c r="H2399">
        <v>90</v>
      </c>
      <c r="I2399">
        <v>17.311</v>
      </c>
      <c r="J2399">
        <v>41.677999999999997</v>
      </c>
      <c r="K2399">
        <v>24.367000000000001</v>
      </c>
      <c r="L2399">
        <v>89</v>
      </c>
      <c r="M2399">
        <v>0</v>
      </c>
      <c r="N2399">
        <v>1</v>
      </c>
      <c r="O2399">
        <v>41.167999999999999</v>
      </c>
      <c r="P2399">
        <v>22.963710429999999</v>
      </c>
      <c r="Q2399">
        <v>6.16</v>
      </c>
    </row>
    <row r="2400" spans="1:17" x14ac:dyDescent="0.2">
      <c r="A2400" s="30" t="str">
        <f>IF(C2400&amp;G2400&amp;D2400&lt;&gt;'Funnel setup'!$K$3&amp;'Funnel setup'!$K$4&amp;'Funnel setup'!$K$5,".",IF(A2399=".",1,A2399+1))</f>
        <v>.</v>
      </c>
      <c r="B2400" s="431" t="str">
        <f t="shared" si="37"/>
        <v>Hip Replacement PrimaryProviderSPIRE LITTLE ASTON HOSPITAL (NT321)Oxford Hip Score</v>
      </c>
      <c r="C2400" t="s">
        <v>248</v>
      </c>
      <c r="D2400" t="s">
        <v>1</v>
      </c>
      <c r="E2400" t="s">
        <v>3921</v>
      </c>
      <c r="F2400" t="s">
        <v>3922</v>
      </c>
      <c r="G2400" t="s">
        <v>14</v>
      </c>
      <c r="H2400">
        <v>77</v>
      </c>
      <c r="I2400">
        <v>18.312000000000001</v>
      </c>
      <c r="J2400">
        <v>38.935000000000002</v>
      </c>
      <c r="K2400">
        <v>20.623000000000001</v>
      </c>
      <c r="L2400">
        <v>75</v>
      </c>
      <c r="M2400">
        <v>0</v>
      </c>
      <c r="N2400">
        <v>2</v>
      </c>
      <c r="O2400">
        <v>39.155999999999999</v>
      </c>
      <c r="P2400">
        <v>20.951761130000001</v>
      </c>
      <c r="Q2400">
        <v>8.9580000000000002</v>
      </c>
    </row>
    <row r="2401" spans="1:17" x14ac:dyDescent="0.2">
      <c r="A2401" s="30" t="str">
        <f>IF(C2401&amp;G2401&amp;D2401&lt;&gt;'Funnel setup'!$K$3&amp;'Funnel setup'!$K$4&amp;'Funnel setup'!$K$5,".",IF(A2400=".",1,A2400+1))</f>
        <v>.</v>
      </c>
      <c r="B2401" s="431" t="str">
        <f t="shared" si="37"/>
        <v>Hip Replacement PrimaryProviderSPIRE LIVERPOOL HOSPITAL (NT337)Oxford Hip Score</v>
      </c>
      <c r="C2401" t="s">
        <v>248</v>
      </c>
      <c r="D2401" t="s">
        <v>1</v>
      </c>
      <c r="E2401" t="s">
        <v>3927</v>
      </c>
      <c r="F2401" t="s">
        <v>3928</v>
      </c>
      <c r="G2401" t="s">
        <v>14</v>
      </c>
      <c r="H2401">
        <v>71</v>
      </c>
      <c r="I2401">
        <v>17.437000000000001</v>
      </c>
      <c r="J2401">
        <v>40.774999999999999</v>
      </c>
      <c r="K2401">
        <v>23.338000000000001</v>
      </c>
      <c r="L2401">
        <v>68</v>
      </c>
      <c r="M2401">
        <v>2</v>
      </c>
      <c r="N2401">
        <v>1</v>
      </c>
      <c r="O2401">
        <v>40.843000000000004</v>
      </c>
      <c r="P2401">
        <v>22.638148359999999</v>
      </c>
      <c r="Q2401">
        <v>7.6509999999999998</v>
      </c>
    </row>
    <row r="2402" spans="1:17" x14ac:dyDescent="0.2">
      <c r="A2402" s="30" t="str">
        <f>IF(C2402&amp;G2402&amp;D2402&lt;&gt;'Funnel setup'!$K$3&amp;'Funnel setup'!$K$4&amp;'Funnel setup'!$K$5,".",IF(A2401=".",1,A2401+1))</f>
        <v>.</v>
      </c>
      <c r="B2402" s="431" t="str">
        <f t="shared" si="37"/>
        <v>Hip Replacement PrimaryProviderSPIRE MANCHESTER HOSPITAL (NT327)Oxford Hip Score</v>
      </c>
      <c r="C2402" t="s">
        <v>248</v>
      </c>
      <c r="D2402" t="s">
        <v>1</v>
      </c>
      <c r="E2402" t="s">
        <v>3154</v>
      </c>
      <c r="F2402" t="s">
        <v>3155</v>
      </c>
      <c r="G2402" t="s">
        <v>14</v>
      </c>
      <c r="H2402">
        <v>21</v>
      </c>
      <c r="I2402">
        <v>19.619</v>
      </c>
      <c r="J2402">
        <v>40.905000000000001</v>
      </c>
      <c r="K2402">
        <v>21.286000000000001</v>
      </c>
      <c r="L2402">
        <v>21</v>
      </c>
      <c r="M2402">
        <v>0</v>
      </c>
      <c r="N2402">
        <v>0</v>
      </c>
      <c r="O2402" t="s">
        <v>53</v>
      </c>
      <c r="P2402" t="s">
        <v>53</v>
      </c>
      <c r="Q2402" t="s">
        <v>53</v>
      </c>
    </row>
    <row r="2403" spans="1:17" x14ac:dyDescent="0.2">
      <c r="A2403" s="30" t="str">
        <f>IF(C2403&amp;G2403&amp;D2403&lt;&gt;'Funnel setup'!$K$3&amp;'Funnel setup'!$K$4&amp;'Funnel setup'!$K$5,".",IF(A2402=".",1,A2402+1))</f>
        <v>.</v>
      </c>
      <c r="B2403" s="431" t="str">
        <f t="shared" si="37"/>
        <v>Hip Replacement PrimaryProviderSPIRE METHLEY PARK HOSPITAL (NT350)Oxford Hip Score</v>
      </c>
      <c r="C2403" t="s">
        <v>248</v>
      </c>
      <c r="D2403" t="s">
        <v>1</v>
      </c>
      <c r="E2403" t="s">
        <v>3157</v>
      </c>
      <c r="F2403" t="s">
        <v>3158</v>
      </c>
      <c r="G2403" t="s">
        <v>14</v>
      </c>
      <c r="H2403">
        <v>60</v>
      </c>
      <c r="I2403">
        <v>19.433</v>
      </c>
      <c r="J2403">
        <v>38.917000000000002</v>
      </c>
      <c r="K2403">
        <v>19.483000000000001</v>
      </c>
      <c r="L2403">
        <v>56</v>
      </c>
      <c r="M2403">
        <v>2</v>
      </c>
      <c r="N2403">
        <v>2</v>
      </c>
      <c r="O2403">
        <v>38.323</v>
      </c>
      <c r="P2403">
        <v>20.118343899999999</v>
      </c>
      <c r="Q2403">
        <v>8.4570000000000007</v>
      </c>
    </row>
    <row r="2404" spans="1:17" x14ac:dyDescent="0.2">
      <c r="A2404" s="30" t="str">
        <f>IF(C2404&amp;G2404&amp;D2404&lt;&gt;'Funnel setup'!$K$3&amp;'Funnel setup'!$K$4&amp;'Funnel setup'!$K$5,".",IF(A2403=".",1,A2403+1))</f>
        <v>.</v>
      </c>
      <c r="B2404" s="431" t="str">
        <f t="shared" si="37"/>
        <v>Hip Replacement PrimaryProviderSPIRE MONTEFIORE HOSPITAL (NT364)Oxford Hip Score</v>
      </c>
      <c r="C2404" t="s">
        <v>248</v>
      </c>
      <c r="D2404" t="s">
        <v>1</v>
      </c>
      <c r="E2404" t="s">
        <v>3160</v>
      </c>
      <c r="F2404" t="s">
        <v>3161</v>
      </c>
      <c r="G2404" t="s">
        <v>14</v>
      </c>
      <c r="H2404">
        <v>63</v>
      </c>
      <c r="I2404">
        <v>21.794</v>
      </c>
      <c r="J2404">
        <v>41.365000000000002</v>
      </c>
      <c r="K2404">
        <v>19.571000000000002</v>
      </c>
      <c r="L2404">
        <v>62</v>
      </c>
      <c r="M2404">
        <v>0</v>
      </c>
      <c r="N2404">
        <v>1</v>
      </c>
      <c r="O2404">
        <v>40.058999999999997</v>
      </c>
      <c r="P2404">
        <v>21.854158649999999</v>
      </c>
      <c r="Q2404">
        <v>5.859</v>
      </c>
    </row>
    <row r="2405" spans="1:17" x14ac:dyDescent="0.2">
      <c r="A2405" s="30" t="str">
        <f>IF(C2405&amp;G2405&amp;D2405&lt;&gt;'Funnel setup'!$K$3&amp;'Funnel setup'!$K$4&amp;'Funnel setup'!$K$5,".",IF(A2404=".",1,A2404+1))</f>
        <v>.</v>
      </c>
      <c r="B2405" s="431" t="str">
        <f t="shared" si="37"/>
        <v>Hip Replacement PrimaryProviderSPIRE MURRAYFIELD HOSPITAL (NT325)Oxford Hip Score</v>
      </c>
      <c r="C2405" t="s">
        <v>248</v>
      </c>
      <c r="D2405" t="s">
        <v>1</v>
      </c>
      <c r="E2405" t="s">
        <v>3163</v>
      </c>
      <c r="F2405" t="s">
        <v>3164</v>
      </c>
      <c r="G2405" t="s">
        <v>14</v>
      </c>
      <c r="H2405">
        <v>65</v>
      </c>
      <c r="I2405">
        <v>21.169</v>
      </c>
      <c r="J2405">
        <v>40.984999999999999</v>
      </c>
      <c r="K2405">
        <v>19.815000000000001</v>
      </c>
      <c r="L2405">
        <v>61</v>
      </c>
      <c r="M2405">
        <v>1</v>
      </c>
      <c r="N2405">
        <v>3</v>
      </c>
      <c r="O2405">
        <v>39.671999999999997</v>
      </c>
      <c r="P2405">
        <v>21.467962490000001</v>
      </c>
      <c r="Q2405">
        <v>7.891</v>
      </c>
    </row>
    <row r="2406" spans="1:17" x14ac:dyDescent="0.2">
      <c r="A2406" s="30" t="str">
        <f>IF(C2406&amp;G2406&amp;D2406&lt;&gt;'Funnel setup'!$K$3&amp;'Funnel setup'!$K$4&amp;'Funnel setup'!$K$5,".",IF(A2405=".",1,A2405+1))</f>
        <v>.</v>
      </c>
      <c r="B2406" s="431" t="str">
        <f t="shared" si="37"/>
        <v>Hip Replacement PrimaryProviderSPIRE NORWICH HOSPITAL (NT318)Oxford Hip Score</v>
      </c>
      <c r="C2406" t="s">
        <v>248</v>
      </c>
      <c r="D2406" t="s">
        <v>1</v>
      </c>
      <c r="E2406" t="s">
        <v>4251</v>
      </c>
      <c r="F2406" t="s">
        <v>4252</v>
      </c>
      <c r="G2406" t="s">
        <v>14</v>
      </c>
      <c r="H2406">
        <v>262</v>
      </c>
      <c r="I2406">
        <v>20.103000000000002</v>
      </c>
      <c r="J2406">
        <v>41.893000000000001</v>
      </c>
      <c r="K2406">
        <v>21.79</v>
      </c>
      <c r="L2406">
        <v>259</v>
      </c>
      <c r="M2406">
        <v>0</v>
      </c>
      <c r="N2406">
        <v>3</v>
      </c>
      <c r="O2406">
        <v>40.695</v>
      </c>
      <c r="P2406">
        <v>22.490130270000002</v>
      </c>
      <c r="Q2406">
        <v>6.4370000000000003</v>
      </c>
    </row>
    <row r="2407" spans="1:17" x14ac:dyDescent="0.2">
      <c r="A2407" s="30" t="str">
        <f>IF(C2407&amp;G2407&amp;D2407&lt;&gt;'Funnel setup'!$K$3&amp;'Funnel setup'!$K$4&amp;'Funnel setup'!$K$5,".",IF(A2406=".",1,A2406+1))</f>
        <v>.</v>
      </c>
      <c r="B2407" s="431" t="str">
        <f t="shared" si="37"/>
        <v>Hip Replacement PrimaryProviderSPIRE PARKWAY HOSPITAL (NT320)Oxford Hip Score</v>
      </c>
      <c r="C2407" t="s">
        <v>248</v>
      </c>
      <c r="D2407" t="s">
        <v>1</v>
      </c>
      <c r="E2407" t="s">
        <v>3166</v>
      </c>
      <c r="F2407" t="s">
        <v>3167</v>
      </c>
      <c r="G2407" t="s">
        <v>14</v>
      </c>
      <c r="H2407">
        <v>79</v>
      </c>
      <c r="I2407">
        <v>22.481000000000002</v>
      </c>
      <c r="J2407">
        <v>41.253</v>
      </c>
      <c r="K2407">
        <v>18.771999999999998</v>
      </c>
      <c r="L2407">
        <v>77</v>
      </c>
      <c r="M2407">
        <v>0</v>
      </c>
      <c r="N2407">
        <v>2</v>
      </c>
      <c r="O2407">
        <v>39.180999999999997</v>
      </c>
      <c r="P2407">
        <v>20.976944400000001</v>
      </c>
      <c r="Q2407">
        <v>6.5940000000000003</v>
      </c>
    </row>
    <row r="2408" spans="1:17" x14ac:dyDescent="0.2">
      <c r="A2408" s="30" t="str">
        <f>IF(C2408&amp;G2408&amp;D2408&lt;&gt;'Funnel setup'!$K$3&amp;'Funnel setup'!$K$4&amp;'Funnel setup'!$K$5,".",IF(A2407=".",1,A2407+1))</f>
        <v>.</v>
      </c>
      <c r="B2408" s="431" t="str">
        <f t="shared" si="37"/>
        <v>Hip Replacement PrimaryProviderSPIRE PORTSMOUTH HOSPITAL (NT305)Oxford Hip Score</v>
      </c>
      <c r="C2408" t="s">
        <v>248</v>
      </c>
      <c r="D2408" t="s">
        <v>1</v>
      </c>
      <c r="E2408" t="s">
        <v>3169</v>
      </c>
      <c r="F2408" t="s">
        <v>340</v>
      </c>
      <c r="G2408" t="s">
        <v>14</v>
      </c>
      <c r="H2408">
        <v>107</v>
      </c>
      <c r="I2408">
        <v>21.635999999999999</v>
      </c>
      <c r="J2408">
        <v>41.896999999999998</v>
      </c>
      <c r="K2408">
        <v>20.262</v>
      </c>
      <c r="L2408">
        <v>106</v>
      </c>
      <c r="M2408">
        <v>0</v>
      </c>
      <c r="N2408">
        <v>1</v>
      </c>
      <c r="O2408">
        <v>40.101999999999997</v>
      </c>
      <c r="P2408">
        <v>21.897865230000001</v>
      </c>
      <c r="Q2408">
        <v>5.9</v>
      </c>
    </row>
    <row r="2409" spans="1:17" x14ac:dyDescent="0.2">
      <c r="A2409" s="30" t="str">
        <f>IF(C2409&amp;G2409&amp;D2409&lt;&gt;'Funnel setup'!$K$3&amp;'Funnel setup'!$K$4&amp;'Funnel setup'!$K$5,".",IF(A2408=".",1,A2408+1))</f>
        <v>.</v>
      </c>
      <c r="B2409" s="431" t="str">
        <f t="shared" si="37"/>
        <v>Hip Replacement PrimaryProviderSPIRE REGENCY HOSPITAL (NT339)Oxford Hip Score</v>
      </c>
      <c r="C2409" t="s">
        <v>248</v>
      </c>
      <c r="D2409" t="s">
        <v>1</v>
      </c>
      <c r="E2409" t="s">
        <v>3171</v>
      </c>
      <c r="F2409" t="s">
        <v>3172</v>
      </c>
      <c r="G2409" t="s">
        <v>14</v>
      </c>
      <c r="H2409">
        <v>48</v>
      </c>
      <c r="I2409">
        <v>19.75</v>
      </c>
      <c r="J2409">
        <v>40.625</v>
      </c>
      <c r="K2409">
        <v>20.875</v>
      </c>
      <c r="L2409">
        <v>47</v>
      </c>
      <c r="M2409">
        <v>0</v>
      </c>
      <c r="N2409">
        <v>1</v>
      </c>
      <c r="O2409">
        <v>39.523000000000003</v>
      </c>
      <c r="P2409">
        <v>21.318274160000001</v>
      </c>
      <c r="Q2409">
        <v>7.2510000000000003</v>
      </c>
    </row>
    <row r="2410" spans="1:17" x14ac:dyDescent="0.2">
      <c r="A2410" s="30" t="str">
        <f>IF(C2410&amp;G2410&amp;D2410&lt;&gt;'Funnel setup'!$K$3&amp;'Funnel setup'!$K$4&amp;'Funnel setup'!$K$5,".",IF(A2409=".",1,A2409+1))</f>
        <v>.</v>
      </c>
      <c r="B2410" s="431" t="str">
        <f t="shared" si="37"/>
        <v>Hip Replacement PrimaryProviderSPIRE RODING HOSPITAL (NT314)Oxford Hip Score</v>
      </c>
      <c r="C2410" t="s">
        <v>248</v>
      </c>
      <c r="D2410" t="s">
        <v>1</v>
      </c>
      <c r="E2410" t="s">
        <v>4254</v>
      </c>
      <c r="F2410" t="s">
        <v>4255</v>
      </c>
      <c r="G2410" t="s">
        <v>14</v>
      </c>
      <c r="H2410">
        <v>12</v>
      </c>
      <c r="I2410">
        <v>18</v>
      </c>
      <c r="J2410">
        <v>41.5</v>
      </c>
      <c r="K2410">
        <v>23.5</v>
      </c>
      <c r="L2410">
        <v>12</v>
      </c>
      <c r="M2410">
        <v>0</v>
      </c>
      <c r="N2410">
        <v>0</v>
      </c>
      <c r="O2410" t="s">
        <v>53</v>
      </c>
      <c r="P2410" t="s">
        <v>53</v>
      </c>
      <c r="Q2410" t="s">
        <v>53</v>
      </c>
    </row>
    <row r="2411" spans="1:17" x14ac:dyDescent="0.2">
      <c r="A2411" s="30" t="str">
        <f>IF(C2411&amp;G2411&amp;D2411&lt;&gt;'Funnel setup'!$K$3&amp;'Funnel setup'!$K$4&amp;'Funnel setup'!$K$5,".",IF(A2410=".",1,A2410+1))</f>
        <v>.</v>
      </c>
      <c r="B2411" s="431" t="str">
        <f t="shared" si="37"/>
        <v>Hip Replacement PrimaryProviderSPIRE SOUTH BANK HOSPITAL (NT301)Oxford Hip Score</v>
      </c>
      <c r="C2411" t="s">
        <v>248</v>
      </c>
      <c r="D2411" t="s">
        <v>1</v>
      </c>
      <c r="E2411" t="s">
        <v>3174</v>
      </c>
      <c r="F2411" t="s">
        <v>3175</v>
      </c>
      <c r="G2411" t="s">
        <v>14</v>
      </c>
      <c r="H2411">
        <v>35</v>
      </c>
      <c r="I2411">
        <v>19.170999999999999</v>
      </c>
      <c r="J2411">
        <v>39.743000000000002</v>
      </c>
      <c r="K2411">
        <v>20.571000000000002</v>
      </c>
      <c r="L2411">
        <v>33</v>
      </c>
      <c r="M2411">
        <v>1</v>
      </c>
      <c r="N2411">
        <v>1</v>
      </c>
      <c r="O2411">
        <v>39.093000000000004</v>
      </c>
      <c r="P2411">
        <v>20.888813420000002</v>
      </c>
      <c r="Q2411">
        <v>6.7539999999999996</v>
      </c>
    </row>
    <row r="2412" spans="1:17" x14ac:dyDescent="0.2">
      <c r="A2412" s="30" t="str">
        <f>IF(C2412&amp;G2412&amp;D2412&lt;&gt;'Funnel setup'!$K$3&amp;'Funnel setup'!$K$4&amp;'Funnel setup'!$K$5,".",IF(A2411=".",1,A2411+1))</f>
        <v>.</v>
      </c>
      <c r="B2412" s="431" t="str">
        <f t="shared" si="37"/>
        <v>Hip Replacement PrimaryProviderSPIRE ST SAVIOURS HOSPITAL (NT346)Oxford Hip Score</v>
      </c>
      <c r="C2412" t="s">
        <v>248</v>
      </c>
      <c r="D2412" t="s">
        <v>1</v>
      </c>
      <c r="E2412" t="s">
        <v>3177</v>
      </c>
      <c r="F2412" t="s">
        <v>3178</v>
      </c>
      <c r="G2412" t="s">
        <v>14</v>
      </c>
      <c r="H2412">
        <v>25</v>
      </c>
      <c r="I2412">
        <v>20.16</v>
      </c>
      <c r="J2412">
        <v>41.64</v>
      </c>
      <c r="K2412">
        <v>21.48</v>
      </c>
      <c r="L2412">
        <v>25</v>
      </c>
      <c r="M2412">
        <v>0</v>
      </c>
      <c r="N2412">
        <v>0</v>
      </c>
      <c r="O2412" t="s">
        <v>53</v>
      </c>
      <c r="P2412" t="s">
        <v>53</v>
      </c>
      <c r="Q2412" t="s">
        <v>53</v>
      </c>
    </row>
    <row r="2413" spans="1:17" x14ac:dyDescent="0.2">
      <c r="A2413" s="30" t="str">
        <f>IF(C2413&amp;G2413&amp;D2413&lt;&gt;'Funnel setup'!$K$3&amp;'Funnel setup'!$K$4&amp;'Funnel setup'!$K$5,".",IF(A2412=".",1,A2412+1))</f>
        <v>.</v>
      </c>
      <c r="B2413" s="431" t="str">
        <f t="shared" si="37"/>
        <v>Hip Replacement PrimaryProviderSPIRE SUSSEX HOSPITAL (NT309)Oxford Hip Score</v>
      </c>
      <c r="C2413" t="s">
        <v>248</v>
      </c>
      <c r="D2413" t="s">
        <v>1</v>
      </c>
      <c r="E2413" t="s">
        <v>3180</v>
      </c>
      <c r="F2413" t="s">
        <v>3181</v>
      </c>
      <c r="G2413" t="s">
        <v>14</v>
      </c>
      <c r="H2413">
        <v>32</v>
      </c>
      <c r="I2413">
        <v>20.780999999999999</v>
      </c>
      <c r="J2413">
        <v>42.5</v>
      </c>
      <c r="K2413">
        <v>21.719000000000001</v>
      </c>
      <c r="L2413">
        <v>32</v>
      </c>
      <c r="M2413">
        <v>0</v>
      </c>
      <c r="N2413">
        <v>0</v>
      </c>
      <c r="O2413">
        <v>41.076999999999998</v>
      </c>
      <c r="P2413">
        <v>22.87264489</v>
      </c>
      <c r="Q2413">
        <v>6.367</v>
      </c>
    </row>
    <row r="2414" spans="1:17" x14ac:dyDescent="0.2">
      <c r="A2414" s="30" t="str">
        <f>IF(C2414&amp;G2414&amp;D2414&lt;&gt;'Funnel setup'!$K$3&amp;'Funnel setup'!$K$4&amp;'Funnel setup'!$K$5,".",IF(A2413=".",1,A2413+1))</f>
        <v>.</v>
      </c>
      <c r="B2414" s="431" t="str">
        <f t="shared" si="37"/>
        <v>Hip Replacement PrimaryProviderSPIRE THAMES VALLEY HOSPITAL (NT343)Oxford Hip Score</v>
      </c>
      <c r="C2414" t="s">
        <v>248</v>
      </c>
      <c r="D2414" t="s">
        <v>1</v>
      </c>
      <c r="E2414" t="s">
        <v>3183</v>
      </c>
      <c r="F2414" t="s">
        <v>3184</v>
      </c>
      <c r="G2414" t="s">
        <v>14</v>
      </c>
      <c r="H2414">
        <v>7</v>
      </c>
      <c r="I2414">
        <v>19.286000000000001</v>
      </c>
      <c r="J2414">
        <v>40.856999999999999</v>
      </c>
      <c r="K2414">
        <v>21.571000000000002</v>
      </c>
      <c r="L2414">
        <v>7</v>
      </c>
      <c r="M2414">
        <v>0</v>
      </c>
      <c r="N2414">
        <v>0</v>
      </c>
      <c r="O2414" t="s">
        <v>53</v>
      </c>
      <c r="P2414" t="s">
        <v>53</v>
      </c>
      <c r="Q2414" t="s">
        <v>53</v>
      </c>
    </row>
    <row r="2415" spans="1:17" x14ac:dyDescent="0.2">
      <c r="A2415" s="30" t="str">
        <f>IF(C2415&amp;G2415&amp;D2415&lt;&gt;'Funnel setup'!$K$3&amp;'Funnel setup'!$K$4&amp;'Funnel setup'!$K$5,".",IF(A2414=".",1,A2414+1))</f>
        <v>.</v>
      </c>
      <c r="B2415" s="431" t="str">
        <f t="shared" si="37"/>
        <v>Hip Replacement PrimaryProviderSPIRE TUNBRIDGE WELLS HOSPITAL (NT310)Oxford Hip Score</v>
      </c>
      <c r="C2415" t="s">
        <v>248</v>
      </c>
      <c r="D2415" t="s">
        <v>1</v>
      </c>
      <c r="E2415" t="s">
        <v>3186</v>
      </c>
      <c r="F2415" t="s">
        <v>3187</v>
      </c>
      <c r="G2415" t="s">
        <v>14</v>
      </c>
      <c r="H2415" t="s">
        <v>53</v>
      </c>
      <c r="I2415" t="s">
        <v>53</v>
      </c>
      <c r="J2415" t="s">
        <v>53</v>
      </c>
      <c r="K2415" t="s">
        <v>53</v>
      </c>
      <c r="L2415" t="s">
        <v>53</v>
      </c>
      <c r="M2415" t="s">
        <v>53</v>
      </c>
      <c r="N2415" t="s">
        <v>53</v>
      </c>
      <c r="O2415" t="s">
        <v>53</v>
      </c>
      <c r="P2415" t="s">
        <v>53</v>
      </c>
      <c r="Q2415" t="s">
        <v>53</v>
      </c>
    </row>
    <row r="2416" spans="1:17" x14ac:dyDescent="0.2">
      <c r="A2416" s="30" t="str">
        <f>IF(C2416&amp;G2416&amp;D2416&lt;&gt;'Funnel setup'!$K$3&amp;'Funnel setup'!$K$4&amp;'Funnel setup'!$K$5,".",IF(A2415=".",1,A2415+1))</f>
        <v>.</v>
      </c>
      <c r="B2416" s="431" t="str">
        <f t="shared" si="37"/>
        <v>Hip Replacement PrimaryProviderSPIRE WASHINGTON HOSPITAL (NT333)Oxford Hip Score</v>
      </c>
      <c r="C2416" t="s">
        <v>248</v>
      </c>
      <c r="D2416" t="s">
        <v>1</v>
      </c>
      <c r="E2416" t="s">
        <v>3189</v>
      </c>
      <c r="F2416" t="s">
        <v>3190</v>
      </c>
      <c r="G2416" t="s">
        <v>14</v>
      </c>
      <c r="H2416">
        <v>68</v>
      </c>
      <c r="I2416">
        <v>17.117999999999999</v>
      </c>
      <c r="J2416">
        <v>40.661999999999999</v>
      </c>
      <c r="K2416">
        <v>23.544</v>
      </c>
      <c r="L2416">
        <v>67</v>
      </c>
      <c r="M2416">
        <v>0</v>
      </c>
      <c r="N2416">
        <v>1</v>
      </c>
      <c r="O2416">
        <v>40.584000000000003</v>
      </c>
      <c r="P2416">
        <v>22.37910239</v>
      </c>
      <c r="Q2416">
        <v>7.0750000000000002</v>
      </c>
    </row>
    <row r="2417" spans="1:17" x14ac:dyDescent="0.2">
      <c r="A2417" s="30" t="str">
        <f>IF(C2417&amp;G2417&amp;D2417&lt;&gt;'Funnel setup'!$K$3&amp;'Funnel setup'!$K$4&amp;'Funnel setup'!$K$5,".",IF(A2416=".",1,A2416+1))</f>
        <v>.</v>
      </c>
      <c r="B2417" s="431" t="str">
        <f t="shared" si="37"/>
        <v>Hip Replacement PrimaryProviderSPIRE WELLESLEY HOSPITAL (NT313)Oxford Hip Score</v>
      </c>
      <c r="C2417" t="s">
        <v>248</v>
      </c>
      <c r="D2417" t="s">
        <v>1</v>
      </c>
      <c r="E2417" t="s">
        <v>3192</v>
      </c>
      <c r="F2417" t="s">
        <v>3193</v>
      </c>
      <c r="G2417" t="s">
        <v>14</v>
      </c>
      <c r="H2417">
        <v>88</v>
      </c>
      <c r="I2417">
        <v>16.943000000000001</v>
      </c>
      <c r="J2417">
        <v>39.783999999999999</v>
      </c>
      <c r="K2417">
        <v>22.841000000000001</v>
      </c>
      <c r="L2417">
        <v>85</v>
      </c>
      <c r="M2417">
        <v>2</v>
      </c>
      <c r="N2417">
        <v>1</v>
      </c>
      <c r="O2417">
        <v>39.915999999999997</v>
      </c>
      <c r="P2417">
        <v>21.71132313</v>
      </c>
      <c r="Q2417">
        <v>8.0210000000000008</v>
      </c>
    </row>
    <row r="2418" spans="1:17" x14ac:dyDescent="0.2">
      <c r="A2418" s="30" t="str">
        <f>IF(C2418&amp;G2418&amp;D2418&lt;&gt;'Funnel setup'!$K$3&amp;'Funnel setup'!$K$4&amp;'Funnel setup'!$K$5,".",IF(A2417=".",1,A2417+1))</f>
        <v>.</v>
      </c>
      <c r="B2418" s="431" t="str">
        <f t="shared" si="37"/>
        <v>Hip Replacement PrimaryProviderSPRINGFIELD HOSPITAL (NVC18)Oxford Hip Score</v>
      </c>
      <c r="C2418" t="s">
        <v>248</v>
      </c>
      <c r="D2418" t="s">
        <v>1</v>
      </c>
      <c r="E2418" t="s">
        <v>3195</v>
      </c>
      <c r="F2418" t="s">
        <v>3196</v>
      </c>
      <c r="G2418" t="s">
        <v>14</v>
      </c>
      <c r="H2418">
        <v>163</v>
      </c>
      <c r="I2418">
        <v>17.515000000000001</v>
      </c>
      <c r="J2418">
        <v>42.281999999999996</v>
      </c>
      <c r="K2418">
        <v>24.766999999999999</v>
      </c>
      <c r="L2418">
        <v>161</v>
      </c>
      <c r="M2418">
        <v>2</v>
      </c>
      <c r="N2418">
        <v>0</v>
      </c>
      <c r="O2418">
        <v>41.865000000000002</v>
      </c>
      <c r="P2418">
        <v>23.660756119999999</v>
      </c>
      <c r="Q2418">
        <v>6.1180000000000003</v>
      </c>
    </row>
    <row r="2419" spans="1:17" x14ac:dyDescent="0.2">
      <c r="A2419" s="30" t="str">
        <f>IF(C2419&amp;G2419&amp;D2419&lt;&gt;'Funnel setup'!$K$3&amp;'Funnel setup'!$K$4&amp;'Funnel setup'!$K$5,".",IF(A2418=".",1,A2418+1))</f>
        <v>.</v>
      </c>
      <c r="B2419" s="431" t="str">
        <f t="shared" si="37"/>
        <v>Hip Replacement PrimaryProviderST GEORGE'S UNIVERSITY HOSPITALS NHS FOUNDATION TRUST (RJ7)Oxford Hip Score</v>
      </c>
      <c r="C2419" t="s">
        <v>248</v>
      </c>
      <c r="D2419" t="s">
        <v>1</v>
      </c>
      <c r="E2419" t="s">
        <v>3124</v>
      </c>
      <c r="F2419" t="s">
        <v>3125</v>
      </c>
      <c r="G2419" t="s">
        <v>14</v>
      </c>
      <c r="H2419" t="s">
        <v>53</v>
      </c>
      <c r="I2419" t="s">
        <v>53</v>
      </c>
      <c r="J2419" t="s">
        <v>53</v>
      </c>
      <c r="K2419" t="s">
        <v>53</v>
      </c>
      <c r="L2419" t="s">
        <v>53</v>
      </c>
      <c r="M2419" t="s">
        <v>53</v>
      </c>
      <c r="N2419" t="s">
        <v>53</v>
      </c>
      <c r="O2419" t="s">
        <v>53</v>
      </c>
      <c r="P2419" t="s">
        <v>53</v>
      </c>
      <c r="Q2419" t="s">
        <v>53</v>
      </c>
    </row>
    <row r="2420" spans="1:17" x14ac:dyDescent="0.2">
      <c r="A2420" s="30" t="str">
        <f>IF(C2420&amp;G2420&amp;D2420&lt;&gt;'Funnel setup'!$K$3&amp;'Funnel setup'!$K$4&amp;'Funnel setup'!$K$5,".",IF(A2419=".",1,A2419+1))</f>
        <v>.</v>
      </c>
      <c r="B2420" s="431" t="str">
        <f t="shared" si="37"/>
        <v>Hip Replacement PrimaryProviderST HELENS AND KNOWSLEY HOSPITALS NHS TRUST (RBN)Oxford Hip Score</v>
      </c>
      <c r="C2420" t="s">
        <v>248</v>
      </c>
      <c r="D2420" t="s">
        <v>1</v>
      </c>
      <c r="E2420" t="s">
        <v>3127</v>
      </c>
      <c r="F2420" t="s">
        <v>3128</v>
      </c>
      <c r="G2420" t="s">
        <v>14</v>
      </c>
      <c r="H2420">
        <v>154</v>
      </c>
      <c r="I2420">
        <v>16.739999999999998</v>
      </c>
      <c r="J2420">
        <v>36.765999999999998</v>
      </c>
      <c r="K2420">
        <v>20.026</v>
      </c>
      <c r="L2420">
        <v>149</v>
      </c>
      <c r="M2420">
        <v>1</v>
      </c>
      <c r="N2420">
        <v>4</v>
      </c>
      <c r="O2420">
        <v>38.58</v>
      </c>
      <c r="P2420">
        <v>20.375385519999998</v>
      </c>
      <c r="Q2420">
        <v>8.9469999999999992</v>
      </c>
    </row>
    <row r="2421" spans="1:17" x14ac:dyDescent="0.2">
      <c r="A2421" s="30" t="str">
        <f>IF(C2421&amp;G2421&amp;D2421&lt;&gt;'Funnel setup'!$K$3&amp;'Funnel setup'!$K$4&amp;'Funnel setup'!$K$5,".",IF(A2420=".",1,A2420+1))</f>
        <v>.</v>
      </c>
      <c r="B2421" s="431" t="str">
        <f t="shared" si="37"/>
        <v>Hip Replacement PrimaryProviderST HUGH'S HOSPITAL (NTE02)Oxford Hip Score</v>
      </c>
      <c r="C2421" t="s">
        <v>248</v>
      </c>
      <c r="D2421" t="s">
        <v>1</v>
      </c>
      <c r="E2421" t="s">
        <v>3130</v>
      </c>
      <c r="F2421" t="s">
        <v>3131</v>
      </c>
      <c r="G2421" t="s">
        <v>14</v>
      </c>
      <c r="H2421">
        <v>45</v>
      </c>
      <c r="I2421">
        <v>19.378</v>
      </c>
      <c r="J2421">
        <v>43.311</v>
      </c>
      <c r="K2421">
        <v>23.933</v>
      </c>
      <c r="L2421">
        <v>45</v>
      </c>
      <c r="M2421">
        <v>0</v>
      </c>
      <c r="N2421">
        <v>0</v>
      </c>
      <c r="O2421">
        <v>42.887999999999998</v>
      </c>
      <c r="P2421">
        <v>24.68347773</v>
      </c>
      <c r="Q2421">
        <v>5.4269999999999996</v>
      </c>
    </row>
    <row r="2422" spans="1:17" x14ac:dyDescent="0.2">
      <c r="A2422" s="30" t="str">
        <f>IF(C2422&amp;G2422&amp;D2422&lt;&gt;'Funnel setup'!$K$3&amp;'Funnel setup'!$K$4&amp;'Funnel setup'!$K$5,".",IF(A2421=".",1,A2421+1))</f>
        <v>.</v>
      </c>
      <c r="B2422" s="431" t="str">
        <f t="shared" si="37"/>
        <v>Hip Replacement PrimaryProviderSTOCKPORT NHS FOUNDATION TRUST (RWJ)Oxford Hip Score</v>
      </c>
      <c r="C2422" t="s">
        <v>248</v>
      </c>
      <c r="D2422" t="s">
        <v>1</v>
      </c>
      <c r="E2422" t="s">
        <v>3142</v>
      </c>
      <c r="F2422" t="s">
        <v>3143</v>
      </c>
      <c r="G2422" t="s">
        <v>14</v>
      </c>
      <c r="H2422">
        <v>232</v>
      </c>
      <c r="I2422">
        <v>17.707000000000001</v>
      </c>
      <c r="J2422">
        <v>41.042999999999999</v>
      </c>
      <c r="K2422">
        <v>23.335999999999999</v>
      </c>
      <c r="L2422">
        <v>229</v>
      </c>
      <c r="M2422">
        <v>0</v>
      </c>
      <c r="N2422">
        <v>3</v>
      </c>
      <c r="O2422">
        <v>40.896999999999998</v>
      </c>
      <c r="P2422">
        <v>22.692925649999999</v>
      </c>
      <c r="Q2422">
        <v>6.4870000000000001</v>
      </c>
    </row>
    <row r="2423" spans="1:17" x14ac:dyDescent="0.2">
      <c r="A2423" s="30" t="str">
        <f>IF(C2423&amp;G2423&amp;D2423&lt;&gt;'Funnel setup'!$K$3&amp;'Funnel setup'!$K$4&amp;'Funnel setup'!$K$5,".",IF(A2422=".",1,A2422+1))</f>
        <v>.</v>
      </c>
      <c r="B2423" s="431" t="str">
        <f t="shared" si="37"/>
        <v>Hip Replacement PrimaryProviderSURREY AND SUSSEX HEALTHCARE NHS TRUST (RTP)Oxford Hip Score</v>
      </c>
      <c r="C2423" t="s">
        <v>248</v>
      </c>
      <c r="D2423" t="s">
        <v>1</v>
      </c>
      <c r="E2423" t="s">
        <v>3145</v>
      </c>
      <c r="F2423" t="s">
        <v>3146</v>
      </c>
      <c r="G2423" t="s">
        <v>14</v>
      </c>
      <c r="H2423">
        <v>102</v>
      </c>
      <c r="I2423">
        <v>17.577999999999999</v>
      </c>
      <c r="J2423">
        <v>39.725000000000001</v>
      </c>
      <c r="K2423">
        <v>22.146999999999998</v>
      </c>
      <c r="L2423">
        <v>99</v>
      </c>
      <c r="M2423">
        <v>0</v>
      </c>
      <c r="N2423">
        <v>3</v>
      </c>
      <c r="O2423">
        <v>39.947000000000003</v>
      </c>
      <c r="P2423">
        <v>21.742370569999999</v>
      </c>
      <c r="Q2423">
        <v>7.2759999999999998</v>
      </c>
    </row>
    <row r="2424" spans="1:17" x14ac:dyDescent="0.2">
      <c r="A2424" s="30" t="str">
        <f>IF(C2424&amp;G2424&amp;D2424&lt;&gt;'Funnel setup'!$K$3&amp;'Funnel setup'!$K$4&amp;'Funnel setup'!$K$5,".",IF(A2423=".",1,A2423+1))</f>
        <v>.</v>
      </c>
      <c r="B2424" s="431" t="str">
        <f t="shared" si="37"/>
        <v>Hip Replacement PrimaryProviderTAMESIDE HOSPITAL NHS FOUNDATION TRUST (RMP)Oxford Hip Score</v>
      </c>
      <c r="C2424" t="s">
        <v>248</v>
      </c>
      <c r="D2424" t="s">
        <v>1</v>
      </c>
      <c r="E2424" t="s">
        <v>3148</v>
      </c>
      <c r="F2424" t="s">
        <v>3149</v>
      </c>
      <c r="G2424" t="s">
        <v>14</v>
      </c>
      <c r="H2424">
        <v>89</v>
      </c>
      <c r="I2424">
        <v>16.225000000000001</v>
      </c>
      <c r="J2424">
        <v>36.371000000000002</v>
      </c>
      <c r="K2424">
        <v>20.146000000000001</v>
      </c>
      <c r="L2424">
        <v>87</v>
      </c>
      <c r="M2424">
        <v>1</v>
      </c>
      <c r="N2424">
        <v>1</v>
      </c>
      <c r="O2424">
        <v>38.091000000000001</v>
      </c>
      <c r="P2424">
        <v>19.886860850000001</v>
      </c>
      <c r="Q2424">
        <v>9.23</v>
      </c>
    </row>
    <row r="2425" spans="1:17" x14ac:dyDescent="0.2">
      <c r="A2425" s="30" t="str">
        <f>IF(C2425&amp;G2425&amp;D2425&lt;&gt;'Funnel setup'!$K$3&amp;'Funnel setup'!$K$4&amp;'Funnel setup'!$K$5,".",IF(A2424=".",1,A2424+1))</f>
        <v>.</v>
      </c>
      <c r="B2425" s="431" t="str">
        <f t="shared" si="37"/>
        <v>Hip Replacement PrimaryProviderTAUNTON AND SOMERSET NHS FOUNDATION TRUST (RBA)Oxford Hip Score</v>
      </c>
      <c r="C2425" t="s">
        <v>248</v>
      </c>
      <c r="D2425" t="s">
        <v>1</v>
      </c>
      <c r="E2425" t="s">
        <v>3151</v>
      </c>
      <c r="F2425" t="s">
        <v>3152</v>
      </c>
      <c r="G2425" t="s">
        <v>14</v>
      </c>
      <c r="H2425">
        <v>85</v>
      </c>
      <c r="I2425">
        <v>18.353000000000002</v>
      </c>
      <c r="J2425">
        <v>40.634999999999998</v>
      </c>
      <c r="K2425">
        <v>22.282</v>
      </c>
      <c r="L2425">
        <v>83</v>
      </c>
      <c r="M2425">
        <v>0</v>
      </c>
      <c r="N2425">
        <v>2</v>
      </c>
      <c r="O2425">
        <v>40.633000000000003</v>
      </c>
      <c r="P2425">
        <v>22.4287606</v>
      </c>
      <c r="Q2425">
        <v>7.5019999999999998</v>
      </c>
    </row>
    <row r="2426" spans="1:17" x14ac:dyDescent="0.2">
      <c r="A2426" s="30" t="str">
        <f>IF(C2426&amp;G2426&amp;D2426&lt;&gt;'Funnel setup'!$K$3&amp;'Funnel setup'!$K$4&amp;'Funnel setup'!$K$5,".",IF(A2425=".",1,A2425+1))</f>
        <v>.</v>
      </c>
      <c r="B2426" s="431" t="str">
        <f t="shared" si="37"/>
        <v>Hip Replacement PrimaryProviderTHE BERKSHIRE INDEPENDENT HOSPITAL (NVC02)Oxford Hip Score</v>
      </c>
      <c r="C2426" t="s">
        <v>248</v>
      </c>
      <c r="D2426" t="s">
        <v>1</v>
      </c>
      <c r="E2426" t="s">
        <v>3118</v>
      </c>
      <c r="F2426" t="s">
        <v>3119</v>
      </c>
      <c r="G2426" t="s">
        <v>14</v>
      </c>
      <c r="H2426">
        <v>27</v>
      </c>
      <c r="I2426">
        <v>22.481000000000002</v>
      </c>
      <c r="J2426">
        <v>43.889000000000003</v>
      </c>
      <c r="K2426">
        <v>21.407</v>
      </c>
      <c r="L2426">
        <v>27</v>
      </c>
      <c r="M2426">
        <v>0</v>
      </c>
      <c r="N2426">
        <v>0</v>
      </c>
      <c r="O2426" t="s">
        <v>53</v>
      </c>
      <c r="P2426" t="s">
        <v>53</v>
      </c>
      <c r="Q2426" t="s">
        <v>53</v>
      </c>
    </row>
    <row r="2427" spans="1:17" x14ac:dyDescent="0.2">
      <c r="A2427" s="30" t="str">
        <f>IF(C2427&amp;G2427&amp;D2427&lt;&gt;'Funnel setup'!$K$3&amp;'Funnel setup'!$K$4&amp;'Funnel setup'!$K$5,".",IF(A2426=".",1,A2426+1))</f>
        <v>.</v>
      </c>
      <c r="B2427" s="431" t="str">
        <f t="shared" si="37"/>
        <v>Hip Replacement PrimaryProviderTHE DUDLEY GROUP NHS FOUNDATION TRUST (RNA)Oxford Hip Score</v>
      </c>
      <c r="C2427" t="s">
        <v>248</v>
      </c>
      <c r="D2427" t="s">
        <v>1</v>
      </c>
      <c r="E2427" t="s">
        <v>3121</v>
      </c>
      <c r="F2427" t="s">
        <v>3122</v>
      </c>
      <c r="G2427" t="s">
        <v>14</v>
      </c>
      <c r="H2427">
        <v>258</v>
      </c>
      <c r="I2427">
        <v>16.248000000000001</v>
      </c>
      <c r="J2427">
        <v>38.256</v>
      </c>
      <c r="K2427">
        <v>22.007999999999999</v>
      </c>
      <c r="L2427">
        <v>251</v>
      </c>
      <c r="M2427">
        <v>1</v>
      </c>
      <c r="N2427">
        <v>6</v>
      </c>
      <c r="O2427">
        <v>39.448999999999998</v>
      </c>
      <c r="P2427">
        <v>21.244863840000001</v>
      </c>
      <c r="Q2427">
        <v>8.3539999999999992</v>
      </c>
    </row>
    <row r="2428" spans="1:17" x14ac:dyDescent="0.2">
      <c r="A2428" s="30" t="str">
        <f>IF(C2428&amp;G2428&amp;D2428&lt;&gt;'Funnel setup'!$K$3&amp;'Funnel setup'!$K$4&amp;'Funnel setup'!$K$5,".",IF(A2427=".",1,A2427+1))</f>
        <v>.</v>
      </c>
      <c r="B2428" s="431" t="str">
        <f t="shared" si="37"/>
        <v>Hip Replacement PrimaryProviderTHE HILLINGDON HOSPITALS NHS FOUNDATION TRUST (RAS)Oxford Hip Score</v>
      </c>
      <c r="C2428" t="s">
        <v>248</v>
      </c>
      <c r="D2428" t="s">
        <v>1</v>
      </c>
      <c r="E2428" t="s">
        <v>3115</v>
      </c>
      <c r="F2428" t="s">
        <v>3116</v>
      </c>
      <c r="G2428" t="s">
        <v>14</v>
      </c>
      <c r="H2428">
        <v>182</v>
      </c>
      <c r="I2428">
        <v>19.335000000000001</v>
      </c>
      <c r="J2428">
        <v>38.845999999999997</v>
      </c>
      <c r="K2428">
        <v>19.510999999999999</v>
      </c>
      <c r="L2428">
        <v>174</v>
      </c>
      <c r="M2428">
        <v>0</v>
      </c>
      <c r="N2428">
        <v>8</v>
      </c>
      <c r="O2428">
        <v>39.03</v>
      </c>
      <c r="P2428">
        <v>20.825182089999998</v>
      </c>
      <c r="Q2428">
        <v>8.5960000000000001</v>
      </c>
    </row>
    <row r="2429" spans="1:17" x14ac:dyDescent="0.2">
      <c r="A2429" s="30" t="str">
        <f>IF(C2429&amp;G2429&amp;D2429&lt;&gt;'Funnel setup'!$K$3&amp;'Funnel setup'!$K$4&amp;'Funnel setup'!$K$5,".",IF(A2428=".",1,A2428+1))</f>
        <v>.</v>
      </c>
      <c r="B2429" s="431" t="str">
        <f t="shared" si="37"/>
        <v>Hip Replacement PrimaryProviderTHE HORDER CENTRE - ST JOHNS ROAD (NXM01)Oxford Hip Score</v>
      </c>
      <c r="C2429" t="s">
        <v>248</v>
      </c>
      <c r="D2429" t="s">
        <v>1</v>
      </c>
      <c r="E2429" t="s">
        <v>4222</v>
      </c>
      <c r="F2429" t="s">
        <v>4223</v>
      </c>
      <c r="G2429" t="s">
        <v>14</v>
      </c>
      <c r="H2429">
        <v>622</v>
      </c>
      <c r="I2429">
        <v>22.445</v>
      </c>
      <c r="J2429">
        <v>42.844000000000001</v>
      </c>
      <c r="K2429">
        <v>20.399000000000001</v>
      </c>
      <c r="L2429">
        <v>605</v>
      </c>
      <c r="M2429">
        <v>2</v>
      </c>
      <c r="N2429">
        <v>15</v>
      </c>
      <c r="O2429">
        <v>41.386000000000003</v>
      </c>
      <c r="P2429">
        <v>23.181336760000001</v>
      </c>
      <c r="Q2429">
        <v>6.32</v>
      </c>
    </row>
    <row r="2430" spans="1:17" x14ac:dyDescent="0.2">
      <c r="A2430" s="30" t="str">
        <f>IF(C2430&amp;G2430&amp;D2430&lt;&gt;'Funnel setup'!$K$3&amp;'Funnel setup'!$K$4&amp;'Funnel setup'!$K$5,".",IF(A2429=".",1,A2429+1))</f>
        <v>.</v>
      </c>
      <c r="B2430" s="431" t="str">
        <f t="shared" si="37"/>
        <v>Hip Replacement PrimaryProviderTHE NEWCASTLE UPON TYNE HOSPITALS NHS FOUNDATION TRUST (RTD)Oxford Hip Score</v>
      </c>
      <c r="C2430" t="s">
        <v>248</v>
      </c>
      <c r="D2430" t="s">
        <v>1</v>
      </c>
      <c r="E2430" t="s">
        <v>3748</v>
      </c>
      <c r="F2430" t="s">
        <v>3749</v>
      </c>
      <c r="G2430" t="s">
        <v>14</v>
      </c>
      <c r="H2430">
        <v>338</v>
      </c>
      <c r="I2430">
        <v>18.888000000000002</v>
      </c>
      <c r="J2430">
        <v>40.024000000000001</v>
      </c>
      <c r="K2430">
        <v>21.135999999999999</v>
      </c>
      <c r="L2430">
        <v>330</v>
      </c>
      <c r="M2430">
        <v>3</v>
      </c>
      <c r="N2430">
        <v>5</v>
      </c>
      <c r="O2430">
        <v>39.844999999999999</v>
      </c>
      <c r="P2430">
        <v>21.640379100000001</v>
      </c>
      <c r="Q2430">
        <v>7.6660000000000004</v>
      </c>
    </row>
    <row r="2431" spans="1:17" x14ac:dyDescent="0.2">
      <c r="A2431" s="30" t="str">
        <f>IF(C2431&amp;G2431&amp;D2431&lt;&gt;'Funnel setup'!$K$3&amp;'Funnel setup'!$K$4&amp;'Funnel setup'!$K$5,".",IF(A2430=".",1,A2430+1))</f>
        <v>.</v>
      </c>
      <c r="B2431" s="431" t="str">
        <f t="shared" si="37"/>
        <v>Hip Replacement PrimaryProviderTHE PRINCESS ALEXANDRA HOSPITAL NHS TRUST (RQW)Oxford Hip Score</v>
      </c>
      <c r="C2431" t="s">
        <v>248</v>
      </c>
      <c r="D2431" t="s">
        <v>1</v>
      </c>
      <c r="E2431" t="s">
        <v>3751</v>
      </c>
      <c r="F2431" t="s">
        <v>3752</v>
      </c>
      <c r="G2431" t="s">
        <v>14</v>
      </c>
      <c r="H2431">
        <v>184</v>
      </c>
      <c r="I2431">
        <v>17.614000000000001</v>
      </c>
      <c r="J2431">
        <v>37.304000000000002</v>
      </c>
      <c r="K2431">
        <v>19.690000000000001</v>
      </c>
      <c r="L2431">
        <v>172</v>
      </c>
      <c r="M2431">
        <v>2</v>
      </c>
      <c r="N2431">
        <v>10</v>
      </c>
      <c r="O2431">
        <v>37.359000000000002</v>
      </c>
      <c r="P2431">
        <v>19.154440919999999</v>
      </c>
      <c r="Q2431">
        <v>8.7739999999999991</v>
      </c>
    </row>
    <row r="2432" spans="1:17" x14ac:dyDescent="0.2">
      <c r="A2432" s="30" t="str">
        <f>IF(C2432&amp;G2432&amp;D2432&lt;&gt;'Funnel setup'!$K$3&amp;'Funnel setup'!$K$4&amp;'Funnel setup'!$K$5,".",IF(A2431=".",1,A2431+1))</f>
        <v>.</v>
      </c>
      <c r="B2432" s="431" t="str">
        <f t="shared" si="37"/>
        <v>Hip Replacement PrimaryProviderTHE QUEEN ELIZABETH HOSPITAL, KING'S LYNN, NHS FOUNDATION TRUST (RCX)Oxford Hip Score</v>
      </c>
      <c r="C2432" t="s">
        <v>248</v>
      </c>
      <c r="D2432" t="s">
        <v>1</v>
      </c>
      <c r="E2432" t="s">
        <v>3754</v>
      </c>
      <c r="F2432" t="s">
        <v>3755</v>
      </c>
      <c r="G2432" t="s">
        <v>14</v>
      </c>
      <c r="H2432">
        <v>172</v>
      </c>
      <c r="I2432">
        <v>17.087</v>
      </c>
      <c r="J2432">
        <v>38.517000000000003</v>
      </c>
      <c r="K2432">
        <v>21.43</v>
      </c>
      <c r="L2432">
        <v>166</v>
      </c>
      <c r="M2432">
        <v>1</v>
      </c>
      <c r="N2432">
        <v>5</v>
      </c>
      <c r="O2432">
        <v>39.298999999999999</v>
      </c>
      <c r="P2432">
        <v>21.0944577</v>
      </c>
      <c r="Q2432">
        <v>8.6539999999999999</v>
      </c>
    </row>
    <row r="2433" spans="1:17" x14ac:dyDescent="0.2">
      <c r="A2433" s="30" t="str">
        <f>IF(C2433&amp;G2433&amp;D2433&lt;&gt;'Funnel setup'!$K$3&amp;'Funnel setup'!$K$4&amp;'Funnel setup'!$K$5,".",IF(A2432=".",1,A2432+1))</f>
        <v>.</v>
      </c>
      <c r="B2433" s="431" t="str">
        <f t="shared" si="37"/>
        <v>Hip Replacement PrimaryProviderTHE ROBERT JONES AND AGNES HUNT ORTHOPAEDIC HOSPITAL NHS FOUNDATION TRUST (RL1)Oxford Hip Score</v>
      </c>
      <c r="C2433" t="s">
        <v>248</v>
      </c>
      <c r="D2433" t="s">
        <v>1</v>
      </c>
      <c r="E2433" t="s">
        <v>4496</v>
      </c>
      <c r="F2433" t="s">
        <v>4497</v>
      </c>
      <c r="G2433" t="s">
        <v>14</v>
      </c>
      <c r="H2433">
        <v>548</v>
      </c>
      <c r="I2433">
        <v>16.62</v>
      </c>
      <c r="J2433">
        <v>40.497999999999998</v>
      </c>
      <c r="K2433">
        <v>23.878</v>
      </c>
      <c r="L2433">
        <v>535</v>
      </c>
      <c r="M2433">
        <v>3</v>
      </c>
      <c r="N2433">
        <v>10</v>
      </c>
      <c r="O2433">
        <v>38.862000000000002</v>
      </c>
      <c r="P2433">
        <v>20.657701930000002</v>
      </c>
      <c r="Q2433">
        <v>7.5979999999999999</v>
      </c>
    </row>
    <row r="2434" spans="1:17" x14ac:dyDescent="0.2">
      <c r="A2434" s="30" t="str">
        <f>IF(C2434&amp;G2434&amp;D2434&lt;&gt;'Funnel setup'!$K$3&amp;'Funnel setup'!$K$4&amp;'Funnel setup'!$K$5,".",IF(A2433=".",1,A2433+1))</f>
        <v>.</v>
      </c>
      <c r="B2434" s="431" t="str">
        <f t="shared" si="37"/>
        <v>Hip Replacement PrimaryProviderTHE ROTHERHAM NHS FOUNDATION TRUST (RFR)Oxford Hip Score</v>
      </c>
      <c r="C2434" t="s">
        <v>248</v>
      </c>
      <c r="D2434" t="s">
        <v>1</v>
      </c>
      <c r="E2434" t="s">
        <v>3739</v>
      </c>
      <c r="F2434" t="s">
        <v>3740</v>
      </c>
      <c r="G2434" t="s">
        <v>14</v>
      </c>
      <c r="H2434">
        <v>152</v>
      </c>
      <c r="I2434">
        <v>15.933999999999999</v>
      </c>
      <c r="J2434">
        <v>39.112000000000002</v>
      </c>
      <c r="K2434">
        <v>23.178000000000001</v>
      </c>
      <c r="L2434">
        <v>148</v>
      </c>
      <c r="M2434">
        <v>0</v>
      </c>
      <c r="N2434">
        <v>4</v>
      </c>
      <c r="O2434">
        <v>40.668999999999997</v>
      </c>
      <c r="P2434">
        <v>22.46465693</v>
      </c>
      <c r="Q2434">
        <v>8.1379999999999999</v>
      </c>
    </row>
    <row r="2435" spans="1:17" x14ac:dyDescent="0.2">
      <c r="A2435" s="30" t="str">
        <f>IF(C2435&amp;G2435&amp;D2435&lt;&gt;'Funnel setup'!$K$3&amp;'Funnel setup'!$K$4&amp;'Funnel setup'!$K$5,".",IF(A2434=".",1,A2434+1))</f>
        <v>.</v>
      </c>
      <c r="B2435" s="431" t="str">
        <f t="shared" ref="B2435:B2498" si="38">C2435&amp;D2435&amp;F2435&amp;G2435</f>
        <v>Hip Replacement PrimaryProviderTHE ROYAL BOURNEMOUTH AND CHRISTCHURCH HOSPITALS NHS FOUNDATION TRUST (RDZ)Oxford Hip Score</v>
      </c>
      <c r="C2435" t="s">
        <v>248</v>
      </c>
      <c r="D2435" t="s">
        <v>1</v>
      </c>
      <c r="E2435" t="s">
        <v>3742</v>
      </c>
      <c r="F2435" t="s">
        <v>3743</v>
      </c>
      <c r="G2435" t="s">
        <v>14</v>
      </c>
      <c r="H2435">
        <v>446</v>
      </c>
      <c r="I2435">
        <v>18.128</v>
      </c>
      <c r="J2435">
        <v>39.496000000000002</v>
      </c>
      <c r="K2435">
        <v>21.367999999999999</v>
      </c>
      <c r="L2435">
        <v>434</v>
      </c>
      <c r="M2435">
        <v>0</v>
      </c>
      <c r="N2435">
        <v>12</v>
      </c>
      <c r="O2435">
        <v>39.515000000000001</v>
      </c>
      <c r="P2435">
        <v>21.310304599999998</v>
      </c>
      <c r="Q2435">
        <v>7.9089999999999998</v>
      </c>
    </row>
    <row r="2436" spans="1:17" x14ac:dyDescent="0.2">
      <c r="A2436" s="30" t="str">
        <f>IF(C2436&amp;G2436&amp;D2436&lt;&gt;'Funnel setup'!$K$3&amp;'Funnel setup'!$K$4&amp;'Funnel setup'!$K$5,".",IF(A2435=".",1,A2435+1))</f>
        <v>.</v>
      </c>
      <c r="B2436" s="431" t="str">
        <f t="shared" si="38"/>
        <v>Hip Replacement PrimaryProviderTHE ROYAL ORTHOPAEDIC HOSPITAL NHS FOUNDATION TRUST (RRJ)Oxford Hip Score</v>
      </c>
      <c r="C2436" t="s">
        <v>248</v>
      </c>
      <c r="D2436" t="s">
        <v>1</v>
      </c>
      <c r="E2436" t="s">
        <v>4480</v>
      </c>
      <c r="F2436" t="s">
        <v>4481</v>
      </c>
      <c r="G2436" t="s">
        <v>14</v>
      </c>
      <c r="H2436">
        <v>399</v>
      </c>
      <c r="I2436">
        <v>18.471</v>
      </c>
      <c r="J2436">
        <v>40.381</v>
      </c>
      <c r="K2436">
        <v>21.91</v>
      </c>
      <c r="L2436">
        <v>390</v>
      </c>
      <c r="M2436">
        <v>1</v>
      </c>
      <c r="N2436">
        <v>8</v>
      </c>
      <c r="O2436">
        <v>40.549999999999997</v>
      </c>
      <c r="P2436">
        <v>22.345362049999999</v>
      </c>
      <c r="Q2436">
        <v>7.8579999999999997</v>
      </c>
    </row>
    <row r="2437" spans="1:17" x14ac:dyDescent="0.2">
      <c r="A2437" s="30" t="str">
        <f>IF(C2437&amp;G2437&amp;D2437&lt;&gt;'Funnel setup'!$K$3&amp;'Funnel setup'!$K$4&amp;'Funnel setup'!$K$5,".",IF(A2436=".",1,A2436+1))</f>
        <v>.</v>
      </c>
      <c r="B2437" s="431" t="str">
        <f t="shared" si="38"/>
        <v>Hip Replacement PrimaryProviderTHE ROYAL WOLVERHAMPTON NHS TRUST (RL4)Oxford Hip Score</v>
      </c>
      <c r="C2437" t="s">
        <v>248</v>
      </c>
      <c r="D2437" t="s">
        <v>1</v>
      </c>
      <c r="E2437" t="s">
        <v>3382</v>
      </c>
      <c r="F2437" t="s">
        <v>3383</v>
      </c>
      <c r="G2437" t="s">
        <v>14</v>
      </c>
      <c r="H2437">
        <v>211</v>
      </c>
      <c r="I2437">
        <v>16.501999999999999</v>
      </c>
      <c r="J2437">
        <v>37.734999999999999</v>
      </c>
      <c r="K2437">
        <v>21.231999999999999</v>
      </c>
      <c r="L2437">
        <v>202</v>
      </c>
      <c r="M2437">
        <v>0</v>
      </c>
      <c r="N2437">
        <v>9</v>
      </c>
      <c r="O2437">
        <v>39.277999999999999</v>
      </c>
      <c r="P2437">
        <v>21.07375236</v>
      </c>
      <c r="Q2437">
        <v>8.8140000000000001</v>
      </c>
    </row>
    <row r="2438" spans="1:17" x14ac:dyDescent="0.2">
      <c r="A2438" s="30" t="str">
        <f>IF(C2438&amp;G2438&amp;D2438&lt;&gt;'Funnel setup'!$K$3&amp;'Funnel setup'!$K$4&amp;'Funnel setup'!$K$5,".",IF(A2437=".",1,A2437+1))</f>
        <v>.</v>
      </c>
      <c r="B2438" s="431" t="str">
        <f t="shared" si="38"/>
        <v>Hip Replacement PrimaryProviderTHE SPENCER WING (RAMSGATE ROAD) (NN801)Oxford Hip Score</v>
      </c>
      <c r="C2438" t="s">
        <v>248</v>
      </c>
      <c r="D2438" t="s">
        <v>1</v>
      </c>
      <c r="E2438" t="s">
        <v>3757</v>
      </c>
      <c r="F2438" t="s">
        <v>3758</v>
      </c>
      <c r="G2438" t="s">
        <v>14</v>
      </c>
      <c r="H2438">
        <v>18</v>
      </c>
      <c r="I2438">
        <v>17.222000000000001</v>
      </c>
      <c r="J2438">
        <v>40.722000000000001</v>
      </c>
      <c r="K2438">
        <v>23.5</v>
      </c>
      <c r="L2438">
        <v>18</v>
      </c>
      <c r="M2438">
        <v>0</v>
      </c>
      <c r="N2438">
        <v>0</v>
      </c>
      <c r="O2438" t="s">
        <v>53</v>
      </c>
      <c r="P2438" t="s">
        <v>53</v>
      </c>
      <c r="Q2438" t="s">
        <v>53</v>
      </c>
    </row>
    <row r="2439" spans="1:17" x14ac:dyDescent="0.2">
      <c r="A2439" s="30" t="str">
        <f>IF(C2439&amp;G2439&amp;D2439&lt;&gt;'Funnel setup'!$K$3&amp;'Funnel setup'!$K$4&amp;'Funnel setup'!$K$5,".",IF(A2438=".",1,A2438+1))</f>
        <v>.</v>
      </c>
      <c r="B2439" s="431" t="str">
        <f t="shared" si="38"/>
        <v>Hip Replacement PrimaryProviderTHE YORKSHIRE CLINIC (NVC20)Oxford Hip Score</v>
      </c>
      <c r="C2439" t="s">
        <v>248</v>
      </c>
      <c r="D2439" t="s">
        <v>1</v>
      </c>
      <c r="E2439" t="s">
        <v>3760</v>
      </c>
      <c r="F2439" t="s">
        <v>3761</v>
      </c>
      <c r="G2439" t="s">
        <v>14</v>
      </c>
      <c r="H2439">
        <v>69</v>
      </c>
      <c r="I2439">
        <v>20.347999999999999</v>
      </c>
      <c r="J2439">
        <v>40.42</v>
      </c>
      <c r="K2439">
        <v>20.071999999999999</v>
      </c>
      <c r="L2439">
        <v>66</v>
      </c>
      <c r="M2439">
        <v>1</v>
      </c>
      <c r="N2439">
        <v>2</v>
      </c>
      <c r="O2439">
        <v>38.938000000000002</v>
      </c>
      <c r="P2439">
        <v>20.733354420000001</v>
      </c>
      <c r="Q2439">
        <v>7.3250000000000002</v>
      </c>
    </row>
    <row r="2440" spans="1:17" x14ac:dyDescent="0.2">
      <c r="A2440" s="30" t="str">
        <f>IF(C2440&amp;G2440&amp;D2440&lt;&gt;'Funnel setup'!$K$3&amp;'Funnel setup'!$K$4&amp;'Funnel setup'!$K$5,".",IF(A2439=".",1,A2439+1))</f>
        <v>.</v>
      </c>
      <c r="B2440" s="431" t="str">
        <f t="shared" si="38"/>
        <v>Hip Replacement PrimaryProviderTORBAY AND SOUTH DEVON NHS FOUNDATION TRUST (RA9)Oxford Hip Score</v>
      </c>
      <c r="C2440" t="s">
        <v>248</v>
      </c>
      <c r="D2440" t="s">
        <v>1</v>
      </c>
      <c r="E2440" t="s">
        <v>3480</v>
      </c>
      <c r="F2440" t="s">
        <v>6584</v>
      </c>
      <c r="G2440" t="s">
        <v>14</v>
      </c>
      <c r="H2440">
        <v>205</v>
      </c>
      <c r="I2440">
        <v>16.765999999999998</v>
      </c>
      <c r="J2440">
        <v>36.249000000000002</v>
      </c>
      <c r="K2440">
        <v>19.483000000000001</v>
      </c>
      <c r="L2440">
        <v>201</v>
      </c>
      <c r="M2440">
        <v>0</v>
      </c>
      <c r="N2440">
        <v>4</v>
      </c>
      <c r="O2440">
        <v>37.878</v>
      </c>
      <c r="P2440">
        <v>19.673800020000002</v>
      </c>
      <c r="Q2440">
        <v>9.2720000000000002</v>
      </c>
    </row>
    <row r="2441" spans="1:17" x14ac:dyDescent="0.2">
      <c r="A2441" s="30" t="str">
        <f>IF(C2441&amp;G2441&amp;D2441&lt;&gt;'Funnel setup'!$K$3&amp;'Funnel setup'!$K$4&amp;'Funnel setup'!$K$5,".",IF(A2440=".",1,A2440+1))</f>
        <v>.</v>
      </c>
      <c r="B2441" s="431" t="str">
        <f t="shared" si="38"/>
        <v>Hip Replacement PrimaryProviderTYNESIDE SURGICAL SERVICES AT THE NORTH EAST NHS SURGERY CENTRE (NN401)Oxford Hip Score</v>
      </c>
      <c r="C2441" t="s">
        <v>248</v>
      </c>
      <c r="D2441" t="s">
        <v>1</v>
      </c>
      <c r="E2441" t="s">
        <v>4506</v>
      </c>
      <c r="F2441" t="s">
        <v>4507</v>
      </c>
      <c r="G2441" t="s">
        <v>14</v>
      </c>
      <c r="H2441">
        <v>9</v>
      </c>
      <c r="I2441">
        <v>13.111000000000001</v>
      </c>
      <c r="J2441">
        <v>36.444000000000003</v>
      </c>
      <c r="K2441">
        <v>23.332999999999998</v>
      </c>
      <c r="L2441">
        <v>8</v>
      </c>
      <c r="M2441">
        <v>0</v>
      </c>
      <c r="N2441">
        <v>1</v>
      </c>
      <c r="O2441" t="s">
        <v>53</v>
      </c>
      <c r="P2441" t="s">
        <v>53</v>
      </c>
      <c r="Q2441" t="s">
        <v>53</v>
      </c>
    </row>
    <row r="2442" spans="1:17" x14ac:dyDescent="0.2">
      <c r="A2442" s="30" t="str">
        <f>IF(C2442&amp;G2442&amp;D2442&lt;&gt;'Funnel setup'!$K$3&amp;'Funnel setup'!$K$4&amp;'Funnel setup'!$K$5,".",IF(A2441=".",1,A2441+1))</f>
        <v>.</v>
      </c>
      <c r="B2442" s="431" t="str">
        <f t="shared" si="38"/>
        <v>Hip Replacement PrimaryProviderUNITED LINCOLNSHIRE HOSPITALS NHS TRUST (RWD)Oxford Hip Score</v>
      </c>
      <c r="C2442" t="s">
        <v>248</v>
      </c>
      <c r="D2442" t="s">
        <v>1</v>
      </c>
      <c r="E2442" t="s">
        <v>3763</v>
      </c>
      <c r="F2442" t="s">
        <v>3764</v>
      </c>
      <c r="G2442" t="s">
        <v>14</v>
      </c>
      <c r="H2442">
        <v>256</v>
      </c>
      <c r="I2442">
        <v>17.780999999999999</v>
      </c>
      <c r="J2442">
        <v>38.921999999999997</v>
      </c>
      <c r="K2442">
        <v>21.140999999999998</v>
      </c>
      <c r="L2442">
        <v>252</v>
      </c>
      <c r="M2442">
        <v>1</v>
      </c>
      <c r="N2442">
        <v>3</v>
      </c>
      <c r="O2442">
        <v>39.398000000000003</v>
      </c>
      <c r="P2442">
        <v>21.193355660000002</v>
      </c>
      <c r="Q2442">
        <v>7.6879999999999997</v>
      </c>
    </row>
    <row r="2443" spans="1:17" x14ac:dyDescent="0.2">
      <c r="A2443" s="30" t="str">
        <f>IF(C2443&amp;G2443&amp;D2443&lt;&gt;'Funnel setup'!$K$3&amp;'Funnel setup'!$K$4&amp;'Funnel setup'!$K$5,".",IF(A2442=".",1,A2442+1))</f>
        <v>.</v>
      </c>
      <c r="B2443" s="431" t="str">
        <f t="shared" si="38"/>
        <v>Hip Replacement PrimaryProviderUNIVERSITY COLLEGE LONDON HOSPITALS NHS FOUNDATION TRUST (RRV)Oxford Hip Score</v>
      </c>
      <c r="C2443" t="s">
        <v>248</v>
      </c>
      <c r="D2443" t="s">
        <v>1</v>
      </c>
      <c r="E2443" t="s">
        <v>3766</v>
      </c>
      <c r="F2443" t="s">
        <v>3767</v>
      </c>
      <c r="G2443" t="s">
        <v>14</v>
      </c>
      <c r="H2443">
        <v>119</v>
      </c>
      <c r="I2443">
        <v>20.832000000000001</v>
      </c>
      <c r="J2443">
        <v>40.765000000000001</v>
      </c>
      <c r="K2443">
        <v>19.933</v>
      </c>
      <c r="L2443">
        <v>114</v>
      </c>
      <c r="M2443">
        <v>3</v>
      </c>
      <c r="N2443">
        <v>2</v>
      </c>
      <c r="O2443">
        <v>41.308</v>
      </c>
      <c r="P2443">
        <v>23.10324988</v>
      </c>
      <c r="Q2443">
        <v>6.86</v>
      </c>
    </row>
    <row r="2444" spans="1:17" x14ac:dyDescent="0.2">
      <c r="A2444" s="30" t="str">
        <f>IF(C2444&amp;G2444&amp;D2444&lt;&gt;'Funnel setup'!$K$3&amp;'Funnel setup'!$K$4&amp;'Funnel setup'!$K$5,".",IF(A2443=".",1,A2443+1))</f>
        <v>.</v>
      </c>
      <c r="B2444" s="431" t="str">
        <f t="shared" si="38"/>
        <v>Hip Replacement PrimaryProviderUNIVERSITY HOSPITAL OF SOUTH MANCHESTER NHS FOUNDATION TRUST (RM2)Oxford Hip Score</v>
      </c>
      <c r="C2444" t="s">
        <v>248</v>
      </c>
      <c r="D2444" t="s">
        <v>1</v>
      </c>
      <c r="E2444" t="s">
        <v>3769</v>
      </c>
      <c r="F2444" t="s">
        <v>3770</v>
      </c>
      <c r="G2444" t="s">
        <v>14</v>
      </c>
      <c r="H2444">
        <v>113</v>
      </c>
      <c r="I2444">
        <v>20.035</v>
      </c>
      <c r="J2444">
        <v>37.478000000000002</v>
      </c>
      <c r="K2444">
        <v>17.442</v>
      </c>
      <c r="L2444">
        <v>106</v>
      </c>
      <c r="M2444">
        <v>4</v>
      </c>
      <c r="N2444">
        <v>3</v>
      </c>
      <c r="O2444">
        <v>37.265999999999998</v>
      </c>
      <c r="P2444">
        <v>19.061946160000002</v>
      </c>
      <c r="Q2444">
        <v>8.2129999999999992</v>
      </c>
    </row>
    <row r="2445" spans="1:17" x14ac:dyDescent="0.2">
      <c r="A2445" s="30" t="str">
        <f>IF(C2445&amp;G2445&amp;D2445&lt;&gt;'Funnel setup'!$K$3&amp;'Funnel setup'!$K$4&amp;'Funnel setup'!$K$5,".",IF(A2444=".",1,A2444+1))</f>
        <v>.</v>
      </c>
      <c r="B2445" s="431" t="str">
        <f t="shared" si="38"/>
        <v>Hip Replacement PrimaryProviderUNIVERSITY HOSPITAL SOUTHAMPTON NHS FOUNDATION TRUST (RHM)Oxford Hip Score</v>
      </c>
      <c r="C2445" t="s">
        <v>248</v>
      </c>
      <c r="D2445" t="s">
        <v>1</v>
      </c>
      <c r="E2445" t="s">
        <v>3772</v>
      </c>
      <c r="F2445" t="s">
        <v>3773</v>
      </c>
      <c r="G2445" t="s">
        <v>14</v>
      </c>
      <c r="H2445">
        <v>179</v>
      </c>
      <c r="I2445">
        <v>16.972000000000001</v>
      </c>
      <c r="J2445">
        <v>38.302</v>
      </c>
      <c r="K2445">
        <v>21.33</v>
      </c>
      <c r="L2445">
        <v>172</v>
      </c>
      <c r="M2445">
        <v>0</v>
      </c>
      <c r="N2445">
        <v>7</v>
      </c>
      <c r="O2445">
        <v>39.417999999999999</v>
      </c>
      <c r="P2445">
        <v>21.213943929999999</v>
      </c>
      <c r="Q2445">
        <v>8.5419999999999998</v>
      </c>
    </row>
    <row r="2446" spans="1:17" x14ac:dyDescent="0.2">
      <c r="A2446" s="30" t="str">
        <f>IF(C2446&amp;G2446&amp;D2446&lt;&gt;'Funnel setup'!$K$3&amp;'Funnel setup'!$K$4&amp;'Funnel setup'!$K$5,".",IF(A2445=".",1,A2445+1))</f>
        <v>.</v>
      </c>
      <c r="B2446" s="431" t="str">
        <f t="shared" si="38"/>
        <v>Hip Replacement PrimaryProviderUNIVERSITY HOSPITALS COVENTRY AND WARWICKSHIRE NHS TRUST (RKB)Oxford Hip Score</v>
      </c>
      <c r="C2446" t="s">
        <v>248</v>
      </c>
      <c r="D2446" t="s">
        <v>1</v>
      </c>
      <c r="E2446" t="s">
        <v>3715</v>
      </c>
      <c r="F2446" t="s">
        <v>3716</v>
      </c>
      <c r="G2446" t="s">
        <v>14</v>
      </c>
      <c r="H2446">
        <v>250</v>
      </c>
      <c r="I2446">
        <v>18.14</v>
      </c>
      <c r="J2446">
        <v>39.747999999999998</v>
      </c>
      <c r="K2446">
        <v>21.608000000000001</v>
      </c>
      <c r="L2446">
        <v>248</v>
      </c>
      <c r="M2446">
        <v>0</v>
      </c>
      <c r="N2446">
        <v>2</v>
      </c>
      <c r="O2446">
        <v>39.872</v>
      </c>
      <c r="P2446">
        <v>21.66726105</v>
      </c>
      <c r="Q2446">
        <v>7.556</v>
      </c>
    </row>
    <row r="2447" spans="1:17" x14ac:dyDescent="0.2">
      <c r="A2447" s="30" t="str">
        <f>IF(C2447&amp;G2447&amp;D2447&lt;&gt;'Funnel setup'!$K$3&amp;'Funnel setup'!$K$4&amp;'Funnel setup'!$K$5,".",IF(A2446=".",1,A2446+1))</f>
        <v>.</v>
      </c>
      <c r="B2447" s="431" t="str">
        <f t="shared" si="38"/>
        <v>Hip Replacement PrimaryProviderUNIVERSITY HOSPITALS OF LEICESTER NHS TRUST (RWE)Oxford Hip Score</v>
      </c>
      <c r="C2447" t="s">
        <v>248</v>
      </c>
      <c r="D2447" t="s">
        <v>1</v>
      </c>
      <c r="E2447" t="s">
        <v>3718</v>
      </c>
      <c r="F2447" t="s">
        <v>3719</v>
      </c>
      <c r="G2447" t="s">
        <v>14</v>
      </c>
      <c r="H2447">
        <v>503</v>
      </c>
      <c r="I2447">
        <v>16.465</v>
      </c>
      <c r="J2447">
        <v>38.65</v>
      </c>
      <c r="K2447">
        <v>22.184999999999999</v>
      </c>
      <c r="L2447">
        <v>491</v>
      </c>
      <c r="M2447">
        <v>3</v>
      </c>
      <c r="N2447">
        <v>9</v>
      </c>
      <c r="O2447">
        <v>39.097999999999999</v>
      </c>
      <c r="P2447">
        <v>20.893462230000001</v>
      </c>
      <c r="Q2447">
        <v>8</v>
      </c>
    </row>
    <row r="2448" spans="1:17" x14ac:dyDescent="0.2">
      <c r="A2448" s="30" t="str">
        <f>IF(C2448&amp;G2448&amp;D2448&lt;&gt;'Funnel setup'!$K$3&amp;'Funnel setup'!$K$4&amp;'Funnel setup'!$K$5,".",IF(A2447=".",1,A2447+1))</f>
        <v>.</v>
      </c>
      <c r="B2448" s="431" t="str">
        <f t="shared" si="38"/>
        <v>Hip Replacement PrimaryProviderUNIVERSITY HOSPITALS OF MORECAMBE BAY NHS FOUNDATION TRUST (RTX)Oxford Hip Score</v>
      </c>
      <c r="C2448" t="s">
        <v>248</v>
      </c>
      <c r="D2448" t="s">
        <v>1</v>
      </c>
      <c r="E2448" t="s">
        <v>3721</v>
      </c>
      <c r="F2448" t="s">
        <v>3722</v>
      </c>
      <c r="G2448" t="s">
        <v>14</v>
      </c>
      <c r="H2448">
        <v>302</v>
      </c>
      <c r="I2448">
        <v>19.109000000000002</v>
      </c>
      <c r="J2448">
        <v>39.404000000000003</v>
      </c>
      <c r="K2448">
        <v>20.295000000000002</v>
      </c>
      <c r="L2448">
        <v>287</v>
      </c>
      <c r="M2448">
        <v>0</v>
      </c>
      <c r="N2448">
        <v>15</v>
      </c>
      <c r="O2448">
        <v>39.281999999999996</v>
      </c>
      <c r="P2448">
        <v>21.077439200000001</v>
      </c>
      <c r="Q2448">
        <v>8.0210000000000008</v>
      </c>
    </row>
    <row r="2449" spans="1:17" x14ac:dyDescent="0.2">
      <c r="A2449" s="30" t="str">
        <f>IF(C2449&amp;G2449&amp;D2449&lt;&gt;'Funnel setup'!$K$3&amp;'Funnel setup'!$K$4&amp;'Funnel setup'!$K$5,".",IF(A2448=".",1,A2448+1))</f>
        <v>.</v>
      </c>
      <c r="B2449" s="431" t="str">
        <f t="shared" si="38"/>
        <v>Hip Replacement PrimaryProviderUNIVERSITY HOSPITALS OF NORTH MIDLANDS NHS TRUST (RJE)Oxford Hip Score</v>
      </c>
      <c r="C2449" t="s">
        <v>248</v>
      </c>
      <c r="D2449" t="s">
        <v>1</v>
      </c>
      <c r="E2449" t="s">
        <v>3724</v>
      </c>
      <c r="F2449" t="s">
        <v>3725</v>
      </c>
      <c r="G2449" t="s">
        <v>14</v>
      </c>
      <c r="H2449">
        <v>236</v>
      </c>
      <c r="I2449">
        <v>13.551</v>
      </c>
      <c r="J2449">
        <v>37.643999999999998</v>
      </c>
      <c r="K2449">
        <v>24.093</v>
      </c>
      <c r="L2449">
        <v>231</v>
      </c>
      <c r="M2449">
        <v>1</v>
      </c>
      <c r="N2449">
        <v>4</v>
      </c>
      <c r="O2449">
        <v>40.094000000000001</v>
      </c>
      <c r="P2449">
        <v>21.88999128</v>
      </c>
      <c r="Q2449">
        <v>8.6560000000000006</v>
      </c>
    </row>
    <row r="2450" spans="1:17" x14ac:dyDescent="0.2">
      <c r="A2450" s="30" t="str">
        <f>IF(C2450&amp;G2450&amp;D2450&lt;&gt;'Funnel setup'!$K$3&amp;'Funnel setup'!$K$4&amp;'Funnel setup'!$K$5,".",IF(A2449=".",1,A2449+1))</f>
        <v>.</v>
      </c>
      <c r="B2450" s="431" t="str">
        <f t="shared" si="38"/>
        <v>Hip Replacement PrimaryProviderWALSALL HEALTHCARE NHS TRUST (RBK)Oxford Hip Score</v>
      </c>
      <c r="C2450" t="s">
        <v>248</v>
      </c>
      <c r="D2450" t="s">
        <v>1</v>
      </c>
      <c r="E2450" t="s">
        <v>3727</v>
      </c>
      <c r="F2450" t="s">
        <v>3728</v>
      </c>
      <c r="G2450" t="s">
        <v>14</v>
      </c>
      <c r="H2450">
        <v>90</v>
      </c>
      <c r="I2450">
        <v>13.278</v>
      </c>
      <c r="J2450">
        <v>31.544</v>
      </c>
      <c r="K2450">
        <v>18.266999999999999</v>
      </c>
      <c r="L2450">
        <v>85</v>
      </c>
      <c r="M2450">
        <v>1</v>
      </c>
      <c r="N2450">
        <v>4</v>
      </c>
      <c r="O2450">
        <v>34.4</v>
      </c>
      <c r="P2450">
        <v>16.19555102</v>
      </c>
      <c r="Q2450">
        <v>10.95</v>
      </c>
    </row>
    <row r="2451" spans="1:17" x14ac:dyDescent="0.2">
      <c r="A2451" s="30" t="str">
        <f>IF(C2451&amp;G2451&amp;D2451&lt;&gt;'Funnel setup'!$K$3&amp;'Funnel setup'!$K$4&amp;'Funnel setup'!$K$5,".",IF(A2450=".",1,A2450+1))</f>
        <v>.</v>
      </c>
      <c r="B2451" s="431" t="str">
        <f t="shared" si="38"/>
        <v>Hip Replacement PrimaryProviderWARRINGTON AND HALTON HOSPITALS NHS FOUNDATION TRUST (RWW)Oxford Hip Score</v>
      </c>
      <c r="C2451" t="s">
        <v>248</v>
      </c>
      <c r="D2451" t="s">
        <v>1</v>
      </c>
      <c r="E2451" t="s">
        <v>3730</v>
      </c>
      <c r="F2451" t="s">
        <v>3731</v>
      </c>
      <c r="G2451" t="s">
        <v>14</v>
      </c>
      <c r="H2451">
        <v>161</v>
      </c>
      <c r="I2451">
        <v>16.434999999999999</v>
      </c>
      <c r="J2451">
        <v>38.595999999999997</v>
      </c>
      <c r="K2451">
        <v>22.161000000000001</v>
      </c>
      <c r="L2451">
        <v>159</v>
      </c>
      <c r="M2451">
        <v>1</v>
      </c>
      <c r="N2451">
        <v>1</v>
      </c>
      <c r="O2451">
        <v>39.454999999999998</v>
      </c>
      <c r="P2451">
        <v>21.2502721</v>
      </c>
      <c r="Q2451">
        <v>7.8810000000000002</v>
      </c>
    </row>
    <row r="2452" spans="1:17" x14ac:dyDescent="0.2">
      <c r="A2452" s="30" t="str">
        <f>IF(C2452&amp;G2452&amp;D2452&lt;&gt;'Funnel setup'!$K$3&amp;'Funnel setup'!$K$4&amp;'Funnel setup'!$K$5,".",IF(A2451=".",1,A2451+1))</f>
        <v>.</v>
      </c>
      <c r="B2452" s="431" t="str">
        <f t="shared" si="38"/>
        <v>Hip Replacement PrimaryProviderWEST HERTFORDSHIRE HOSPITALS NHS TRUST (RWG)Oxford Hip Score</v>
      </c>
      <c r="C2452" t="s">
        <v>248</v>
      </c>
      <c r="D2452" t="s">
        <v>1</v>
      </c>
      <c r="E2452" t="s">
        <v>3733</v>
      </c>
      <c r="F2452" t="s">
        <v>3734</v>
      </c>
      <c r="G2452" t="s">
        <v>14</v>
      </c>
      <c r="H2452">
        <v>189</v>
      </c>
      <c r="I2452">
        <v>18.709</v>
      </c>
      <c r="J2452">
        <v>40.518999999999998</v>
      </c>
      <c r="K2452">
        <v>21.81</v>
      </c>
      <c r="L2452">
        <v>182</v>
      </c>
      <c r="M2452">
        <v>1</v>
      </c>
      <c r="N2452">
        <v>6</v>
      </c>
      <c r="O2452">
        <v>40.110999999999997</v>
      </c>
      <c r="P2452">
        <v>21.906003259999999</v>
      </c>
      <c r="Q2452">
        <v>7.9640000000000004</v>
      </c>
    </row>
    <row r="2453" spans="1:17" x14ac:dyDescent="0.2">
      <c r="A2453" s="30" t="str">
        <f>IF(C2453&amp;G2453&amp;D2453&lt;&gt;'Funnel setup'!$K$3&amp;'Funnel setup'!$K$4&amp;'Funnel setup'!$K$5,".",IF(A2452=".",1,A2452+1))</f>
        <v>.</v>
      </c>
      <c r="B2453" s="431" t="str">
        <f t="shared" si="38"/>
        <v>Hip Replacement PrimaryProviderWEST MIDDLESEX UNIVERSITY HOSPITAL NHS TRUST (RFW)Oxford Hip Score</v>
      </c>
      <c r="C2453" t="s">
        <v>248</v>
      </c>
      <c r="D2453" t="s">
        <v>1</v>
      </c>
      <c r="E2453" t="s">
        <v>3736</v>
      </c>
      <c r="F2453" t="s">
        <v>3737</v>
      </c>
      <c r="G2453" t="s">
        <v>14</v>
      </c>
      <c r="H2453">
        <v>63</v>
      </c>
      <c r="I2453">
        <v>16.524000000000001</v>
      </c>
      <c r="J2453">
        <v>37.491999999999997</v>
      </c>
      <c r="K2453">
        <v>20.968</v>
      </c>
      <c r="L2453">
        <v>62</v>
      </c>
      <c r="M2453">
        <v>0</v>
      </c>
      <c r="N2453">
        <v>1</v>
      </c>
      <c r="O2453">
        <v>38.076999999999998</v>
      </c>
      <c r="P2453">
        <v>19.87219872</v>
      </c>
      <c r="Q2453">
        <v>7.0229999999999997</v>
      </c>
    </row>
    <row r="2454" spans="1:17" x14ac:dyDescent="0.2">
      <c r="A2454" s="30" t="str">
        <f>IF(C2454&amp;G2454&amp;D2454&lt;&gt;'Funnel setup'!$K$3&amp;'Funnel setup'!$K$4&amp;'Funnel setup'!$K$5,".",IF(A2453=".",1,A2453+1))</f>
        <v>.</v>
      </c>
      <c r="B2454" s="431" t="str">
        <f t="shared" si="38"/>
        <v>Hip Replacement PrimaryProviderWEST MIDLANDS HOSPITAL (NVC21)Oxford Hip Score</v>
      </c>
      <c r="C2454" t="s">
        <v>248</v>
      </c>
      <c r="D2454" t="s">
        <v>1</v>
      </c>
      <c r="E2454" t="s">
        <v>3709</v>
      </c>
      <c r="F2454" t="s">
        <v>3710</v>
      </c>
      <c r="G2454" t="s">
        <v>14</v>
      </c>
      <c r="H2454">
        <v>84</v>
      </c>
      <c r="I2454">
        <v>18.393000000000001</v>
      </c>
      <c r="J2454">
        <v>42.048000000000002</v>
      </c>
      <c r="K2454">
        <v>23.655000000000001</v>
      </c>
      <c r="L2454">
        <v>82</v>
      </c>
      <c r="M2454">
        <v>1</v>
      </c>
      <c r="N2454">
        <v>1</v>
      </c>
      <c r="O2454">
        <v>42.014000000000003</v>
      </c>
      <c r="P2454">
        <v>23.809888040000001</v>
      </c>
      <c r="Q2454">
        <v>5.7240000000000002</v>
      </c>
    </row>
    <row r="2455" spans="1:17" x14ac:dyDescent="0.2">
      <c r="A2455" s="30" t="str">
        <f>IF(C2455&amp;G2455&amp;D2455&lt;&gt;'Funnel setup'!$K$3&amp;'Funnel setup'!$K$4&amp;'Funnel setup'!$K$5,".",IF(A2454=".",1,A2454+1))</f>
        <v>.</v>
      </c>
      <c r="B2455" s="431" t="str">
        <f t="shared" si="38"/>
        <v>Hip Replacement PrimaryProviderWEST SUFFOLK NHS FOUNDATION TRUST (RGR)Oxford Hip Score</v>
      </c>
      <c r="C2455" t="s">
        <v>248</v>
      </c>
      <c r="D2455" t="s">
        <v>1</v>
      </c>
      <c r="E2455" t="s">
        <v>3712</v>
      </c>
      <c r="F2455" t="s">
        <v>3713</v>
      </c>
      <c r="G2455" t="s">
        <v>14</v>
      </c>
      <c r="H2455">
        <v>251</v>
      </c>
      <c r="I2455">
        <v>18.178999999999998</v>
      </c>
      <c r="J2455">
        <v>38.829000000000001</v>
      </c>
      <c r="K2455">
        <v>20.649000000000001</v>
      </c>
      <c r="L2455">
        <v>243</v>
      </c>
      <c r="M2455">
        <v>0</v>
      </c>
      <c r="N2455">
        <v>8</v>
      </c>
      <c r="O2455">
        <v>38.85</v>
      </c>
      <c r="P2455">
        <v>20.645041580000001</v>
      </c>
      <c r="Q2455">
        <v>7.8140000000000001</v>
      </c>
    </row>
    <row r="2456" spans="1:17" x14ac:dyDescent="0.2">
      <c r="A2456" s="30" t="str">
        <f>IF(C2456&amp;G2456&amp;D2456&lt;&gt;'Funnel setup'!$K$3&amp;'Funnel setup'!$K$4&amp;'Funnel setup'!$K$5,".",IF(A2455=".",1,A2455+1))</f>
        <v>.</v>
      </c>
      <c r="B2456" s="431" t="str">
        <f t="shared" si="38"/>
        <v>Hip Replacement PrimaryProviderWESTERN SUSSEX HOSPITALS NHS FOUNDATION TRUST (RYR)Oxford Hip Score</v>
      </c>
      <c r="C2456" t="s">
        <v>248</v>
      </c>
      <c r="D2456" t="s">
        <v>1</v>
      </c>
      <c r="E2456" t="s">
        <v>3706</v>
      </c>
      <c r="F2456" t="s">
        <v>3707</v>
      </c>
      <c r="G2456" t="s">
        <v>14</v>
      </c>
      <c r="H2456">
        <v>326</v>
      </c>
      <c r="I2456">
        <v>16.966000000000001</v>
      </c>
      <c r="J2456">
        <v>37.695999999999998</v>
      </c>
      <c r="K2456">
        <v>20.73</v>
      </c>
      <c r="L2456">
        <v>309</v>
      </c>
      <c r="M2456">
        <v>1</v>
      </c>
      <c r="N2456">
        <v>16</v>
      </c>
      <c r="O2456">
        <v>38.286000000000001</v>
      </c>
      <c r="P2456">
        <v>20.08127206</v>
      </c>
      <c r="Q2456">
        <v>9.0299999999999994</v>
      </c>
    </row>
    <row r="2457" spans="1:17" x14ac:dyDescent="0.2">
      <c r="A2457" s="30" t="str">
        <f>IF(C2457&amp;G2457&amp;D2457&lt;&gt;'Funnel setup'!$K$3&amp;'Funnel setup'!$K$4&amp;'Funnel setup'!$K$5,".",IF(A2456=".",1,A2456+1))</f>
        <v>.</v>
      </c>
      <c r="B2457" s="431" t="str">
        <f t="shared" si="38"/>
        <v>Hip Replacement PrimaryProviderWESTON AREA HEALTH NHS TRUST (RA3)Oxford Hip Score</v>
      </c>
      <c r="C2457" t="s">
        <v>248</v>
      </c>
      <c r="D2457" t="s">
        <v>1</v>
      </c>
      <c r="E2457" t="s">
        <v>3525</v>
      </c>
      <c r="F2457" t="s">
        <v>3526</v>
      </c>
      <c r="G2457" t="s">
        <v>14</v>
      </c>
      <c r="H2457">
        <v>100</v>
      </c>
      <c r="I2457">
        <v>17.68</v>
      </c>
      <c r="J2457">
        <v>38.56</v>
      </c>
      <c r="K2457">
        <v>20.88</v>
      </c>
      <c r="L2457">
        <v>97</v>
      </c>
      <c r="M2457">
        <v>1</v>
      </c>
      <c r="N2457">
        <v>2</v>
      </c>
      <c r="O2457">
        <v>38.713999999999999</v>
      </c>
      <c r="P2457">
        <v>20.509497360000001</v>
      </c>
      <c r="Q2457">
        <v>8.7100000000000009</v>
      </c>
    </row>
    <row r="2458" spans="1:17" x14ac:dyDescent="0.2">
      <c r="A2458" s="30" t="str">
        <f>IF(C2458&amp;G2458&amp;D2458&lt;&gt;'Funnel setup'!$K$3&amp;'Funnel setup'!$K$4&amp;'Funnel setup'!$K$5,".",IF(A2457=".",1,A2457+1))</f>
        <v>.</v>
      </c>
      <c r="B2458" s="431" t="str">
        <f t="shared" si="38"/>
        <v>Hip Replacement PrimaryProviderWINFIELD HOSPITAL (NVC22)Oxford Hip Score</v>
      </c>
      <c r="C2458" t="s">
        <v>248</v>
      </c>
      <c r="D2458" t="s">
        <v>1</v>
      </c>
      <c r="E2458" t="s">
        <v>3534</v>
      </c>
      <c r="F2458" t="s">
        <v>3535</v>
      </c>
      <c r="G2458" t="s">
        <v>14</v>
      </c>
      <c r="H2458">
        <v>86</v>
      </c>
      <c r="I2458">
        <v>20.942</v>
      </c>
      <c r="J2458">
        <v>43.256</v>
      </c>
      <c r="K2458">
        <v>22.314</v>
      </c>
      <c r="L2458">
        <v>83</v>
      </c>
      <c r="M2458">
        <v>1</v>
      </c>
      <c r="N2458">
        <v>2</v>
      </c>
      <c r="O2458">
        <v>41.627000000000002</v>
      </c>
      <c r="P2458">
        <v>23.42229261</v>
      </c>
      <c r="Q2458">
        <v>6.5709999999999997</v>
      </c>
    </row>
    <row r="2459" spans="1:17" x14ac:dyDescent="0.2">
      <c r="A2459" s="30" t="str">
        <f>IF(C2459&amp;G2459&amp;D2459&lt;&gt;'Funnel setup'!$K$3&amp;'Funnel setup'!$K$4&amp;'Funnel setup'!$K$5,".",IF(A2458=".",1,A2458+1))</f>
        <v>.</v>
      </c>
      <c r="B2459" s="431" t="str">
        <f t="shared" si="38"/>
        <v>Hip Replacement PrimaryProviderWIRRAL UNIVERSITY TEACHING HOSPITAL NHS FOUNDATION TRUST (RBL)Oxford Hip Score</v>
      </c>
      <c r="C2459" t="s">
        <v>248</v>
      </c>
      <c r="D2459" t="s">
        <v>1</v>
      </c>
      <c r="E2459" t="s">
        <v>3537</v>
      </c>
      <c r="F2459" t="s">
        <v>3538</v>
      </c>
      <c r="G2459" t="s">
        <v>14</v>
      </c>
      <c r="H2459">
        <v>265</v>
      </c>
      <c r="I2459">
        <v>17.823</v>
      </c>
      <c r="J2459">
        <v>37.011000000000003</v>
      </c>
      <c r="K2459">
        <v>19.189</v>
      </c>
      <c r="L2459">
        <v>249</v>
      </c>
      <c r="M2459">
        <v>3</v>
      </c>
      <c r="N2459">
        <v>13</v>
      </c>
      <c r="O2459">
        <v>38.073</v>
      </c>
      <c r="P2459">
        <v>19.868860269999999</v>
      </c>
      <c r="Q2459">
        <v>8.9380000000000006</v>
      </c>
    </row>
    <row r="2460" spans="1:17" x14ac:dyDescent="0.2">
      <c r="A2460" s="30" t="str">
        <f>IF(C2460&amp;G2460&amp;D2460&lt;&gt;'Funnel setup'!$K$3&amp;'Funnel setup'!$K$4&amp;'Funnel setup'!$K$5,".",IF(A2459=".",1,A2459+1))</f>
        <v>.</v>
      </c>
      <c r="B2460" s="431" t="str">
        <f t="shared" si="38"/>
        <v>Hip Replacement PrimaryProviderWOODLAND HOSPITAL (NVC23)Oxford Hip Score</v>
      </c>
      <c r="C2460" t="s">
        <v>248</v>
      </c>
      <c r="D2460" t="s">
        <v>1</v>
      </c>
      <c r="E2460" t="s">
        <v>3540</v>
      </c>
      <c r="F2460" t="s">
        <v>3541</v>
      </c>
      <c r="G2460" t="s">
        <v>14</v>
      </c>
      <c r="H2460">
        <v>136</v>
      </c>
      <c r="I2460">
        <v>14.544</v>
      </c>
      <c r="J2460">
        <v>38.831000000000003</v>
      </c>
      <c r="K2460">
        <v>24.286999999999999</v>
      </c>
      <c r="L2460">
        <v>132</v>
      </c>
      <c r="M2460">
        <v>1</v>
      </c>
      <c r="N2460">
        <v>3</v>
      </c>
      <c r="O2460">
        <v>39.603000000000002</v>
      </c>
      <c r="P2460">
        <v>21.398100240000002</v>
      </c>
      <c r="Q2460">
        <v>9.157</v>
      </c>
    </row>
    <row r="2461" spans="1:17" x14ac:dyDescent="0.2">
      <c r="A2461" s="30" t="str">
        <f>IF(C2461&amp;G2461&amp;D2461&lt;&gt;'Funnel setup'!$K$3&amp;'Funnel setup'!$K$4&amp;'Funnel setup'!$K$5,".",IF(A2460=".",1,A2460+1))</f>
        <v>.</v>
      </c>
      <c r="B2461" s="431" t="str">
        <f t="shared" si="38"/>
        <v>Hip Replacement PrimaryProviderWOODTHORPE HOSPITAL (NVC40)Oxford Hip Score</v>
      </c>
      <c r="C2461" t="s">
        <v>248</v>
      </c>
      <c r="D2461" t="s">
        <v>1</v>
      </c>
      <c r="E2461" t="s">
        <v>3689</v>
      </c>
      <c r="F2461" t="s">
        <v>6576</v>
      </c>
      <c r="G2461" t="s">
        <v>14</v>
      </c>
      <c r="H2461">
        <v>147</v>
      </c>
      <c r="I2461">
        <v>19.734999999999999</v>
      </c>
      <c r="J2461">
        <v>40.81</v>
      </c>
      <c r="K2461">
        <v>21.074999999999999</v>
      </c>
      <c r="L2461">
        <v>144</v>
      </c>
      <c r="M2461">
        <v>1</v>
      </c>
      <c r="N2461">
        <v>2</v>
      </c>
      <c r="O2461">
        <v>39.412999999999997</v>
      </c>
      <c r="P2461">
        <v>21.208565830000001</v>
      </c>
      <c r="Q2461">
        <v>6.7679999999999998</v>
      </c>
    </row>
    <row r="2462" spans="1:17" x14ac:dyDescent="0.2">
      <c r="A2462" s="30" t="str">
        <f>IF(C2462&amp;G2462&amp;D2462&lt;&gt;'Funnel setup'!$K$3&amp;'Funnel setup'!$K$4&amp;'Funnel setup'!$K$5,".",IF(A2461=".",1,A2461+1))</f>
        <v>.</v>
      </c>
      <c r="B2462" s="431" t="str">
        <f t="shared" si="38"/>
        <v>Hip Replacement PrimaryProviderWORCESTERSHIRE ACUTE HOSPITALS NHS TRUST (RWP)Oxford Hip Score</v>
      </c>
      <c r="C2462" t="s">
        <v>248</v>
      </c>
      <c r="D2462" t="s">
        <v>1</v>
      </c>
      <c r="E2462" t="s">
        <v>3543</v>
      </c>
      <c r="F2462" t="s">
        <v>3544</v>
      </c>
      <c r="G2462" t="s">
        <v>14</v>
      </c>
      <c r="H2462">
        <v>300</v>
      </c>
      <c r="I2462">
        <v>17.5</v>
      </c>
      <c r="J2462">
        <v>39.807000000000002</v>
      </c>
      <c r="K2462">
        <v>22.306999999999999</v>
      </c>
      <c r="L2462">
        <v>294</v>
      </c>
      <c r="M2462">
        <v>0</v>
      </c>
      <c r="N2462">
        <v>6</v>
      </c>
      <c r="O2462">
        <v>40.155000000000001</v>
      </c>
      <c r="P2462">
        <v>21.950614349999999</v>
      </c>
      <c r="Q2462">
        <v>7.5659999999999998</v>
      </c>
    </row>
    <row r="2463" spans="1:17" x14ac:dyDescent="0.2">
      <c r="A2463" s="30" t="str">
        <f>IF(C2463&amp;G2463&amp;D2463&lt;&gt;'Funnel setup'!$K$3&amp;'Funnel setup'!$K$4&amp;'Funnel setup'!$K$5,".",IF(A2462=".",1,A2462+1))</f>
        <v>.</v>
      </c>
      <c r="B2463" s="431" t="str">
        <f t="shared" si="38"/>
        <v>Hip Replacement PrimaryProviderWRIGHTINGTON, WIGAN AND LEIGH NHS FOUNDATION TRUST (RRF)Oxford Hip Score</v>
      </c>
      <c r="C2463" t="s">
        <v>248</v>
      </c>
      <c r="D2463" t="s">
        <v>1</v>
      </c>
      <c r="E2463" t="s">
        <v>3546</v>
      </c>
      <c r="F2463" t="s">
        <v>3547</v>
      </c>
      <c r="G2463" t="s">
        <v>14</v>
      </c>
      <c r="H2463">
        <v>266</v>
      </c>
      <c r="I2463">
        <v>18.12</v>
      </c>
      <c r="J2463">
        <v>40.015000000000001</v>
      </c>
      <c r="K2463">
        <v>21.895</v>
      </c>
      <c r="L2463">
        <v>263</v>
      </c>
      <c r="M2463">
        <v>0</v>
      </c>
      <c r="N2463">
        <v>3</v>
      </c>
      <c r="O2463">
        <v>40.128</v>
      </c>
      <c r="P2463">
        <v>21.923210699999998</v>
      </c>
      <c r="Q2463">
        <v>7.1929999999999996</v>
      </c>
    </row>
    <row r="2464" spans="1:17" x14ac:dyDescent="0.2">
      <c r="A2464" s="30" t="str">
        <f>IF(C2464&amp;G2464&amp;D2464&lt;&gt;'Funnel setup'!$K$3&amp;'Funnel setup'!$K$4&amp;'Funnel setup'!$K$5,".",IF(A2463=".",1,A2463+1))</f>
        <v>.</v>
      </c>
      <c r="B2464" s="431" t="str">
        <f t="shared" si="38"/>
        <v>Hip Replacement PrimaryProviderWYE VALLEY NHS TRUST (RLQ)Oxford Hip Score</v>
      </c>
      <c r="C2464" t="s">
        <v>248</v>
      </c>
      <c r="D2464" t="s">
        <v>1</v>
      </c>
      <c r="E2464" t="s">
        <v>3517</v>
      </c>
      <c r="F2464" t="s">
        <v>3518</v>
      </c>
      <c r="G2464" t="s">
        <v>14</v>
      </c>
      <c r="H2464">
        <v>108</v>
      </c>
      <c r="I2464">
        <v>18.222000000000001</v>
      </c>
      <c r="J2464">
        <v>40.694000000000003</v>
      </c>
      <c r="K2464">
        <v>22.472000000000001</v>
      </c>
      <c r="L2464">
        <v>107</v>
      </c>
      <c r="M2464">
        <v>0</v>
      </c>
      <c r="N2464">
        <v>1</v>
      </c>
      <c r="O2464">
        <v>40.665999999999997</v>
      </c>
      <c r="P2464">
        <v>22.461488490000001</v>
      </c>
      <c r="Q2464">
        <v>7.08</v>
      </c>
    </row>
    <row r="2465" spans="1:17" x14ac:dyDescent="0.2">
      <c r="A2465" s="30" t="str">
        <f>IF(C2465&amp;G2465&amp;D2465&lt;&gt;'Funnel setup'!$K$3&amp;'Funnel setup'!$K$4&amp;'Funnel setup'!$K$5,".",IF(A2464=".",1,A2464+1))</f>
        <v>.</v>
      </c>
      <c r="B2465" s="431" t="str">
        <f t="shared" si="38"/>
        <v>Hip Replacement PrimaryProviderYEOVIL DISTRICT HOSPITAL NHS FOUNDATION TRUST (RA4)Oxford Hip Score</v>
      </c>
      <c r="C2465" t="s">
        <v>248</v>
      </c>
      <c r="D2465" t="s">
        <v>1</v>
      </c>
      <c r="E2465" t="s">
        <v>3520</v>
      </c>
      <c r="F2465" t="s">
        <v>341</v>
      </c>
      <c r="G2465" t="s">
        <v>14</v>
      </c>
      <c r="H2465">
        <v>76</v>
      </c>
      <c r="I2465">
        <v>19.632000000000001</v>
      </c>
      <c r="J2465">
        <v>41.131999999999998</v>
      </c>
      <c r="K2465">
        <v>21.5</v>
      </c>
      <c r="L2465">
        <v>75</v>
      </c>
      <c r="M2465">
        <v>0</v>
      </c>
      <c r="N2465">
        <v>1</v>
      </c>
      <c r="O2465">
        <v>40.005000000000003</v>
      </c>
      <c r="P2465">
        <v>21.800893779999999</v>
      </c>
      <c r="Q2465">
        <v>6.35</v>
      </c>
    </row>
    <row r="2466" spans="1:17" x14ac:dyDescent="0.2">
      <c r="A2466" s="30" t="str">
        <f>IF(C2466&amp;G2466&amp;D2466&lt;&gt;'Funnel setup'!$K$3&amp;'Funnel setup'!$K$4&amp;'Funnel setup'!$K$5,".",IF(A2465=".",1,A2465+1))</f>
        <v>.</v>
      </c>
      <c r="B2466" s="431" t="str">
        <f t="shared" si="38"/>
        <v>Hip Replacement PrimaryProviderYORK TEACHING HOSPITAL NHS FOUNDATION TRUST (RCB)Oxford Hip Score</v>
      </c>
      <c r="C2466" t="s">
        <v>248</v>
      </c>
      <c r="D2466" t="s">
        <v>1</v>
      </c>
      <c r="E2466" t="s">
        <v>3515</v>
      </c>
      <c r="F2466" t="s">
        <v>343</v>
      </c>
      <c r="G2466" t="s">
        <v>14</v>
      </c>
      <c r="H2466">
        <v>336</v>
      </c>
      <c r="I2466">
        <v>15.898999999999999</v>
      </c>
      <c r="J2466">
        <v>40.396000000000001</v>
      </c>
      <c r="K2466">
        <v>24.497</v>
      </c>
      <c r="L2466">
        <v>331</v>
      </c>
      <c r="M2466">
        <v>1</v>
      </c>
      <c r="N2466">
        <v>4</v>
      </c>
      <c r="O2466">
        <v>41.170999999999999</v>
      </c>
      <c r="P2466">
        <v>22.966291980000001</v>
      </c>
      <c r="Q2466">
        <v>7.6470000000000002</v>
      </c>
    </row>
    <row r="2467" spans="1:17" x14ac:dyDescent="0.2">
      <c r="A2467" s="30" t="str">
        <f>IF(C2467&amp;G2467&amp;D2467&lt;&gt;'Funnel setup'!$K$3&amp;'Funnel setup'!$K$4&amp;'Funnel setup'!$K$5,".",IF(A2466=".",1,A2466+1))</f>
        <v>.</v>
      </c>
      <c r="B2467" s="431" t="str">
        <f t="shared" si="38"/>
        <v>Hip Replacement RevisionCCG of GP PracticeNATIONAL COMMISSIONING HUB 1 (13Q)EQ VAS</v>
      </c>
      <c r="C2467" t="s">
        <v>247</v>
      </c>
      <c r="D2467" t="s">
        <v>87</v>
      </c>
      <c r="E2467" t="s">
        <v>563</v>
      </c>
      <c r="F2467" t="s">
        <v>564</v>
      </c>
      <c r="G2467" t="s">
        <v>179</v>
      </c>
      <c r="H2467" t="s">
        <v>53</v>
      </c>
      <c r="I2467" t="s">
        <v>53</v>
      </c>
      <c r="J2467" t="s">
        <v>53</v>
      </c>
      <c r="K2467" t="s">
        <v>53</v>
      </c>
      <c r="L2467" t="s">
        <v>53</v>
      </c>
      <c r="M2467" t="s">
        <v>53</v>
      </c>
      <c r="N2467" t="s">
        <v>53</v>
      </c>
      <c r="O2467" t="s">
        <v>53</v>
      </c>
      <c r="P2467" t="s">
        <v>53</v>
      </c>
      <c r="Q2467" t="s">
        <v>53</v>
      </c>
    </row>
    <row r="2468" spans="1:17" x14ac:dyDescent="0.2">
      <c r="A2468" s="30" t="str">
        <f>IF(C2468&amp;G2468&amp;D2468&lt;&gt;'Funnel setup'!$K$3&amp;'Funnel setup'!$K$4&amp;'Funnel setup'!$K$5,".",IF(A2467=".",1,A2467+1))</f>
        <v>.</v>
      </c>
      <c r="B2468" s="431" t="str">
        <f t="shared" si="38"/>
        <v>Hip Replacement RevisionCCG of GP PracticeNHS AIREDALE, WHARFEDALE AND CRAVEN CCG (02N)EQ VAS</v>
      </c>
      <c r="C2468" t="s">
        <v>247</v>
      </c>
      <c r="D2468" t="s">
        <v>87</v>
      </c>
      <c r="E2468" t="s">
        <v>566</v>
      </c>
      <c r="F2468" t="s">
        <v>567</v>
      </c>
      <c r="G2468" t="s">
        <v>179</v>
      </c>
      <c r="H2468">
        <v>7</v>
      </c>
      <c r="I2468">
        <v>66.570999999999998</v>
      </c>
      <c r="J2468">
        <v>80.143000000000001</v>
      </c>
      <c r="K2468">
        <v>13.571</v>
      </c>
      <c r="L2468">
        <v>4</v>
      </c>
      <c r="M2468">
        <v>2</v>
      </c>
      <c r="N2468">
        <v>1</v>
      </c>
      <c r="O2468" t="s">
        <v>53</v>
      </c>
      <c r="P2468" t="s">
        <v>53</v>
      </c>
      <c r="Q2468" t="s">
        <v>53</v>
      </c>
    </row>
    <row r="2469" spans="1:17" x14ac:dyDescent="0.2">
      <c r="A2469" s="30" t="str">
        <f>IF(C2469&amp;G2469&amp;D2469&lt;&gt;'Funnel setup'!$K$3&amp;'Funnel setup'!$K$4&amp;'Funnel setup'!$K$5,".",IF(A2468=".",1,A2468+1))</f>
        <v>.</v>
      </c>
      <c r="B2469" s="431" t="str">
        <f t="shared" si="38"/>
        <v>Hip Replacement RevisionCCG of GP PracticeNHS ASHFORD CCG (09C)EQ VAS</v>
      </c>
      <c r="C2469" t="s">
        <v>247</v>
      </c>
      <c r="D2469" t="s">
        <v>87</v>
      </c>
      <c r="E2469" t="s">
        <v>569</v>
      </c>
      <c r="F2469" t="s">
        <v>339</v>
      </c>
      <c r="G2469" t="s">
        <v>179</v>
      </c>
      <c r="H2469">
        <v>11</v>
      </c>
      <c r="I2469">
        <v>66.545000000000002</v>
      </c>
      <c r="J2469">
        <v>71.817999999999998</v>
      </c>
      <c r="K2469">
        <v>5.2729999999999997</v>
      </c>
      <c r="L2469">
        <v>5</v>
      </c>
      <c r="M2469">
        <v>4</v>
      </c>
      <c r="N2469">
        <v>2</v>
      </c>
      <c r="O2469" t="s">
        <v>53</v>
      </c>
      <c r="P2469" t="s">
        <v>53</v>
      </c>
      <c r="Q2469" t="s">
        <v>53</v>
      </c>
    </row>
    <row r="2470" spans="1:17" x14ac:dyDescent="0.2">
      <c r="A2470" s="30" t="str">
        <f>IF(C2470&amp;G2470&amp;D2470&lt;&gt;'Funnel setup'!$K$3&amp;'Funnel setup'!$K$4&amp;'Funnel setup'!$K$5,".",IF(A2469=".",1,A2469+1))</f>
        <v>.</v>
      </c>
      <c r="B2470" s="431" t="str">
        <f t="shared" si="38"/>
        <v>Hip Replacement RevisionCCG of GP PracticeNHS AYLESBURY VALE CCG (10Y)EQ VAS</v>
      </c>
      <c r="C2470" t="s">
        <v>247</v>
      </c>
      <c r="D2470" t="s">
        <v>87</v>
      </c>
      <c r="E2470" t="s">
        <v>571</v>
      </c>
      <c r="F2470" t="s">
        <v>572</v>
      </c>
      <c r="G2470" t="s">
        <v>179</v>
      </c>
      <c r="H2470">
        <v>7</v>
      </c>
      <c r="I2470">
        <v>65.713999999999999</v>
      </c>
      <c r="J2470">
        <v>79.286000000000001</v>
      </c>
      <c r="K2470">
        <v>13.571</v>
      </c>
      <c r="L2470">
        <v>7</v>
      </c>
      <c r="M2470">
        <v>0</v>
      </c>
      <c r="N2470">
        <v>0</v>
      </c>
      <c r="O2470" t="s">
        <v>53</v>
      </c>
      <c r="P2470" t="s">
        <v>53</v>
      </c>
      <c r="Q2470" t="s">
        <v>53</v>
      </c>
    </row>
    <row r="2471" spans="1:17" x14ac:dyDescent="0.2">
      <c r="A2471" s="30" t="str">
        <f>IF(C2471&amp;G2471&amp;D2471&lt;&gt;'Funnel setup'!$K$3&amp;'Funnel setup'!$K$4&amp;'Funnel setup'!$K$5,".",IF(A2470=".",1,A2470+1))</f>
        <v>.</v>
      </c>
      <c r="B2471" s="431" t="str">
        <f t="shared" si="38"/>
        <v>Hip Replacement RevisionCCG of GP PracticeNHS BARKING AND DAGENHAM CCG (07L)EQ VAS</v>
      </c>
      <c r="C2471" t="s">
        <v>247</v>
      </c>
      <c r="D2471" t="s">
        <v>87</v>
      </c>
      <c r="E2471" t="s">
        <v>574</v>
      </c>
      <c r="F2471" t="s">
        <v>575</v>
      </c>
      <c r="G2471" t="s">
        <v>179</v>
      </c>
      <c r="H2471" t="s">
        <v>53</v>
      </c>
      <c r="I2471" t="s">
        <v>53</v>
      </c>
      <c r="J2471" t="s">
        <v>53</v>
      </c>
      <c r="K2471" t="s">
        <v>53</v>
      </c>
      <c r="L2471" t="s">
        <v>53</v>
      </c>
      <c r="M2471" t="s">
        <v>53</v>
      </c>
      <c r="N2471" t="s">
        <v>53</v>
      </c>
      <c r="O2471" t="s">
        <v>53</v>
      </c>
      <c r="P2471" t="s">
        <v>53</v>
      </c>
      <c r="Q2471" t="s">
        <v>53</v>
      </c>
    </row>
    <row r="2472" spans="1:17" x14ac:dyDescent="0.2">
      <c r="A2472" s="30" t="str">
        <f>IF(C2472&amp;G2472&amp;D2472&lt;&gt;'Funnel setup'!$K$3&amp;'Funnel setup'!$K$4&amp;'Funnel setup'!$K$5,".",IF(A2471=".",1,A2471+1))</f>
        <v>.</v>
      </c>
      <c r="B2472" s="431" t="str">
        <f t="shared" si="38"/>
        <v>Hip Replacement RevisionCCG of GP PracticeNHS BARNET CCG (07M)EQ VAS</v>
      </c>
      <c r="C2472" t="s">
        <v>247</v>
      </c>
      <c r="D2472" t="s">
        <v>87</v>
      </c>
      <c r="E2472" t="s">
        <v>577</v>
      </c>
      <c r="F2472" t="s">
        <v>578</v>
      </c>
      <c r="G2472" t="s">
        <v>179</v>
      </c>
      <c r="H2472" t="s">
        <v>53</v>
      </c>
      <c r="I2472" t="s">
        <v>53</v>
      </c>
      <c r="J2472" t="s">
        <v>53</v>
      </c>
      <c r="K2472" t="s">
        <v>53</v>
      </c>
      <c r="L2472" t="s">
        <v>53</v>
      </c>
      <c r="M2472" t="s">
        <v>53</v>
      </c>
      <c r="N2472" t="s">
        <v>53</v>
      </c>
      <c r="O2472" t="s">
        <v>53</v>
      </c>
      <c r="P2472" t="s">
        <v>53</v>
      </c>
      <c r="Q2472" t="s">
        <v>53</v>
      </c>
    </row>
    <row r="2473" spans="1:17" x14ac:dyDescent="0.2">
      <c r="A2473" s="30" t="str">
        <f>IF(C2473&amp;G2473&amp;D2473&lt;&gt;'Funnel setup'!$K$3&amp;'Funnel setup'!$K$4&amp;'Funnel setup'!$K$5,".",IF(A2472=".",1,A2472+1))</f>
        <v>.</v>
      </c>
      <c r="B2473" s="431" t="str">
        <f t="shared" si="38"/>
        <v>Hip Replacement RevisionCCG of GP PracticeNHS BARNSLEY CCG (02P)EQ VAS</v>
      </c>
      <c r="C2473" t="s">
        <v>247</v>
      </c>
      <c r="D2473" t="s">
        <v>87</v>
      </c>
      <c r="E2473" t="s">
        <v>580</v>
      </c>
      <c r="F2473" t="s">
        <v>581</v>
      </c>
      <c r="G2473" t="s">
        <v>179</v>
      </c>
      <c r="H2473">
        <v>8</v>
      </c>
      <c r="I2473">
        <v>56.875</v>
      </c>
      <c r="J2473">
        <v>61.875</v>
      </c>
      <c r="K2473">
        <v>5</v>
      </c>
      <c r="L2473">
        <v>3</v>
      </c>
      <c r="M2473">
        <v>3</v>
      </c>
      <c r="N2473">
        <v>2</v>
      </c>
      <c r="O2473" t="s">
        <v>53</v>
      </c>
      <c r="P2473" t="s">
        <v>53</v>
      </c>
      <c r="Q2473" t="s">
        <v>53</v>
      </c>
    </row>
    <row r="2474" spans="1:17" x14ac:dyDescent="0.2">
      <c r="A2474" s="30" t="str">
        <f>IF(C2474&amp;G2474&amp;D2474&lt;&gt;'Funnel setup'!$K$3&amp;'Funnel setup'!$K$4&amp;'Funnel setup'!$K$5,".",IF(A2473=".",1,A2473+1))</f>
        <v>.</v>
      </c>
      <c r="B2474" s="431" t="str">
        <f t="shared" si="38"/>
        <v>Hip Replacement RevisionCCG of GP PracticeNHS BASILDON AND BRENTWOOD CCG (99E)EQ VAS</v>
      </c>
      <c r="C2474" t="s">
        <v>247</v>
      </c>
      <c r="D2474" t="s">
        <v>87</v>
      </c>
      <c r="E2474" t="s">
        <v>583</v>
      </c>
      <c r="F2474" t="s">
        <v>584</v>
      </c>
      <c r="G2474" t="s">
        <v>179</v>
      </c>
      <c r="H2474">
        <v>10</v>
      </c>
      <c r="I2474">
        <v>70.8</v>
      </c>
      <c r="J2474">
        <v>78</v>
      </c>
      <c r="K2474">
        <v>7.2</v>
      </c>
      <c r="L2474">
        <v>5</v>
      </c>
      <c r="M2474">
        <v>1</v>
      </c>
      <c r="N2474">
        <v>4</v>
      </c>
      <c r="O2474" t="s">
        <v>53</v>
      </c>
      <c r="P2474" t="s">
        <v>53</v>
      </c>
      <c r="Q2474" t="s">
        <v>53</v>
      </c>
    </row>
    <row r="2475" spans="1:17" x14ac:dyDescent="0.2">
      <c r="A2475" s="30" t="str">
        <f>IF(C2475&amp;G2475&amp;D2475&lt;&gt;'Funnel setup'!$K$3&amp;'Funnel setup'!$K$4&amp;'Funnel setup'!$K$5,".",IF(A2474=".",1,A2474+1))</f>
        <v>.</v>
      </c>
      <c r="B2475" s="431" t="str">
        <f t="shared" si="38"/>
        <v>Hip Replacement RevisionCCG of GP PracticeNHS BASSETLAW CCG (02Q)EQ VAS</v>
      </c>
      <c r="C2475" t="s">
        <v>247</v>
      </c>
      <c r="D2475" t="s">
        <v>87</v>
      </c>
      <c r="E2475" t="s">
        <v>586</v>
      </c>
      <c r="F2475" t="s">
        <v>587</v>
      </c>
      <c r="G2475" t="s">
        <v>179</v>
      </c>
      <c r="H2475" t="s">
        <v>53</v>
      </c>
      <c r="I2475" t="s">
        <v>53</v>
      </c>
      <c r="J2475" t="s">
        <v>53</v>
      </c>
      <c r="K2475" t="s">
        <v>53</v>
      </c>
      <c r="L2475" t="s">
        <v>53</v>
      </c>
      <c r="M2475" t="s">
        <v>53</v>
      </c>
      <c r="N2475" t="s">
        <v>53</v>
      </c>
      <c r="O2475" t="s">
        <v>53</v>
      </c>
      <c r="P2475" t="s">
        <v>53</v>
      </c>
      <c r="Q2475" t="s">
        <v>53</v>
      </c>
    </row>
    <row r="2476" spans="1:17" x14ac:dyDescent="0.2">
      <c r="A2476" s="30" t="str">
        <f>IF(C2476&amp;G2476&amp;D2476&lt;&gt;'Funnel setup'!$K$3&amp;'Funnel setup'!$K$4&amp;'Funnel setup'!$K$5,".",IF(A2475=".",1,A2475+1))</f>
        <v>.</v>
      </c>
      <c r="B2476" s="431" t="str">
        <f t="shared" si="38"/>
        <v>Hip Replacement RevisionCCG of GP PracticeNHS BATH AND NORTH EAST SOMERSET CCG (11E)EQ VAS</v>
      </c>
      <c r="C2476" t="s">
        <v>247</v>
      </c>
      <c r="D2476" t="s">
        <v>87</v>
      </c>
      <c r="E2476" t="s">
        <v>589</v>
      </c>
      <c r="F2476" t="s">
        <v>590</v>
      </c>
      <c r="G2476" t="s">
        <v>179</v>
      </c>
      <c r="H2476">
        <v>19</v>
      </c>
      <c r="I2476">
        <v>71.367999999999995</v>
      </c>
      <c r="J2476">
        <v>73.105000000000004</v>
      </c>
      <c r="K2476">
        <v>1.7370000000000001</v>
      </c>
      <c r="L2476">
        <v>6</v>
      </c>
      <c r="M2476">
        <v>4</v>
      </c>
      <c r="N2476">
        <v>9</v>
      </c>
      <c r="O2476" t="s">
        <v>53</v>
      </c>
      <c r="P2476" t="s">
        <v>53</v>
      </c>
      <c r="Q2476" t="s">
        <v>53</v>
      </c>
    </row>
    <row r="2477" spans="1:17" x14ac:dyDescent="0.2">
      <c r="A2477" s="30" t="str">
        <f>IF(C2477&amp;G2477&amp;D2477&lt;&gt;'Funnel setup'!$K$3&amp;'Funnel setup'!$K$4&amp;'Funnel setup'!$K$5,".",IF(A2476=".",1,A2476+1))</f>
        <v>.</v>
      </c>
      <c r="B2477" s="431" t="str">
        <f t="shared" si="38"/>
        <v>Hip Replacement RevisionCCG of GP PracticeNHS BEDFORDSHIRE CCG (06F)EQ VAS</v>
      </c>
      <c r="C2477" t="s">
        <v>247</v>
      </c>
      <c r="D2477" t="s">
        <v>87</v>
      </c>
      <c r="E2477" t="s">
        <v>592</v>
      </c>
      <c r="F2477" t="s">
        <v>593</v>
      </c>
      <c r="G2477" t="s">
        <v>179</v>
      </c>
      <c r="H2477">
        <v>14</v>
      </c>
      <c r="I2477">
        <v>61.213999999999999</v>
      </c>
      <c r="J2477">
        <v>67.5</v>
      </c>
      <c r="K2477">
        <v>6.2859999999999996</v>
      </c>
      <c r="L2477">
        <v>6</v>
      </c>
      <c r="M2477">
        <v>5</v>
      </c>
      <c r="N2477">
        <v>3</v>
      </c>
      <c r="O2477" t="s">
        <v>53</v>
      </c>
      <c r="P2477" t="s">
        <v>53</v>
      </c>
      <c r="Q2477" t="s">
        <v>53</v>
      </c>
    </row>
    <row r="2478" spans="1:17" x14ac:dyDescent="0.2">
      <c r="A2478" s="30" t="str">
        <f>IF(C2478&amp;G2478&amp;D2478&lt;&gt;'Funnel setup'!$K$3&amp;'Funnel setup'!$K$4&amp;'Funnel setup'!$K$5,".",IF(A2477=".",1,A2477+1))</f>
        <v>.</v>
      </c>
      <c r="B2478" s="431" t="str">
        <f t="shared" si="38"/>
        <v>Hip Replacement RevisionCCG of GP PracticeNHS BEXLEY CCG (07N)EQ VAS</v>
      </c>
      <c r="C2478" t="s">
        <v>247</v>
      </c>
      <c r="D2478" t="s">
        <v>87</v>
      </c>
      <c r="E2478" t="s">
        <v>595</v>
      </c>
      <c r="F2478" t="s">
        <v>596</v>
      </c>
      <c r="G2478" t="s">
        <v>179</v>
      </c>
      <c r="H2478" t="s">
        <v>53</v>
      </c>
      <c r="I2478" t="s">
        <v>53</v>
      </c>
      <c r="J2478" t="s">
        <v>53</v>
      </c>
      <c r="K2478" t="s">
        <v>53</v>
      </c>
      <c r="L2478" t="s">
        <v>53</v>
      </c>
      <c r="M2478" t="s">
        <v>53</v>
      </c>
      <c r="N2478" t="s">
        <v>53</v>
      </c>
      <c r="O2478" t="s">
        <v>53</v>
      </c>
      <c r="P2478" t="s">
        <v>53</v>
      </c>
      <c r="Q2478" t="s">
        <v>53</v>
      </c>
    </row>
    <row r="2479" spans="1:17" x14ac:dyDescent="0.2">
      <c r="A2479" s="30" t="str">
        <f>IF(C2479&amp;G2479&amp;D2479&lt;&gt;'Funnel setup'!$K$3&amp;'Funnel setup'!$K$4&amp;'Funnel setup'!$K$5,".",IF(A2478=".",1,A2478+1))</f>
        <v>.</v>
      </c>
      <c r="B2479" s="431" t="str">
        <f t="shared" si="38"/>
        <v>Hip Replacement RevisionCCG of GP PracticeNHS BIRMINGHAM CROSSCITY CCG (13P)EQ VAS</v>
      </c>
      <c r="C2479" t="s">
        <v>247</v>
      </c>
      <c r="D2479" t="s">
        <v>87</v>
      </c>
      <c r="E2479" t="s">
        <v>598</v>
      </c>
      <c r="F2479" t="s">
        <v>599</v>
      </c>
      <c r="G2479" t="s">
        <v>179</v>
      </c>
      <c r="H2479">
        <v>23</v>
      </c>
      <c r="I2479">
        <v>60.652000000000001</v>
      </c>
      <c r="J2479">
        <v>61.738999999999997</v>
      </c>
      <c r="K2479">
        <v>1.087</v>
      </c>
      <c r="L2479">
        <v>10</v>
      </c>
      <c r="M2479">
        <v>2</v>
      </c>
      <c r="N2479">
        <v>11</v>
      </c>
      <c r="O2479" t="s">
        <v>53</v>
      </c>
      <c r="P2479" t="s">
        <v>53</v>
      </c>
      <c r="Q2479" t="s">
        <v>53</v>
      </c>
    </row>
    <row r="2480" spans="1:17" x14ac:dyDescent="0.2">
      <c r="A2480" s="30" t="str">
        <f>IF(C2480&amp;G2480&amp;D2480&lt;&gt;'Funnel setup'!$K$3&amp;'Funnel setup'!$K$4&amp;'Funnel setup'!$K$5,".",IF(A2479=".",1,A2479+1))</f>
        <v>.</v>
      </c>
      <c r="B2480" s="431" t="str">
        <f t="shared" si="38"/>
        <v>Hip Replacement RevisionCCG of GP PracticeNHS BIRMINGHAM SOUTH AND CENTRAL CCG (04X)EQ VAS</v>
      </c>
      <c r="C2480" t="s">
        <v>247</v>
      </c>
      <c r="D2480" t="s">
        <v>87</v>
      </c>
      <c r="E2480" t="s">
        <v>601</v>
      </c>
      <c r="F2480" t="s">
        <v>602</v>
      </c>
      <c r="G2480" t="s">
        <v>179</v>
      </c>
      <c r="H2480" t="s">
        <v>53</v>
      </c>
      <c r="I2480" t="s">
        <v>53</v>
      </c>
      <c r="J2480" t="s">
        <v>53</v>
      </c>
      <c r="K2480" t="s">
        <v>53</v>
      </c>
      <c r="L2480" t="s">
        <v>53</v>
      </c>
      <c r="M2480" t="s">
        <v>53</v>
      </c>
      <c r="N2480" t="s">
        <v>53</v>
      </c>
      <c r="O2480" t="s">
        <v>53</v>
      </c>
      <c r="P2480" t="s">
        <v>53</v>
      </c>
      <c r="Q2480" t="s">
        <v>53</v>
      </c>
    </row>
    <row r="2481" spans="1:17" x14ac:dyDescent="0.2">
      <c r="A2481" s="30" t="str">
        <f>IF(C2481&amp;G2481&amp;D2481&lt;&gt;'Funnel setup'!$K$3&amp;'Funnel setup'!$K$4&amp;'Funnel setup'!$K$5,".",IF(A2480=".",1,A2480+1))</f>
        <v>.</v>
      </c>
      <c r="B2481" s="431" t="str">
        <f t="shared" si="38"/>
        <v>Hip Replacement RevisionCCG of GP PracticeNHS BLACKBURN WITH DARWEN CCG (00Q)EQ VAS</v>
      </c>
      <c r="C2481" t="s">
        <v>247</v>
      </c>
      <c r="D2481" t="s">
        <v>87</v>
      </c>
      <c r="E2481" t="s">
        <v>604</v>
      </c>
      <c r="F2481" t="s">
        <v>605</v>
      </c>
      <c r="G2481" t="s">
        <v>179</v>
      </c>
      <c r="H2481" t="s">
        <v>53</v>
      </c>
      <c r="I2481" t="s">
        <v>53</v>
      </c>
      <c r="J2481" t="s">
        <v>53</v>
      </c>
      <c r="K2481" t="s">
        <v>53</v>
      </c>
      <c r="L2481" t="s">
        <v>53</v>
      </c>
      <c r="M2481" t="s">
        <v>53</v>
      </c>
      <c r="N2481" t="s">
        <v>53</v>
      </c>
      <c r="O2481" t="s">
        <v>53</v>
      </c>
      <c r="P2481" t="s">
        <v>53</v>
      </c>
      <c r="Q2481" t="s">
        <v>53</v>
      </c>
    </row>
    <row r="2482" spans="1:17" x14ac:dyDescent="0.2">
      <c r="A2482" s="30" t="str">
        <f>IF(C2482&amp;G2482&amp;D2482&lt;&gt;'Funnel setup'!$K$3&amp;'Funnel setup'!$K$4&amp;'Funnel setup'!$K$5,".",IF(A2481=".",1,A2481+1))</f>
        <v>.</v>
      </c>
      <c r="B2482" s="431" t="str">
        <f t="shared" si="38"/>
        <v>Hip Replacement RevisionCCG of GP PracticeNHS BLACKPOOL CCG (00R)EQ VAS</v>
      </c>
      <c r="C2482" t="s">
        <v>247</v>
      </c>
      <c r="D2482" t="s">
        <v>87</v>
      </c>
      <c r="E2482" t="s">
        <v>607</v>
      </c>
      <c r="F2482" t="s">
        <v>608</v>
      </c>
      <c r="G2482" t="s">
        <v>179</v>
      </c>
      <c r="H2482" t="s">
        <v>53</v>
      </c>
      <c r="I2482" t="s">
        <v>53</v>
      </c>
      <c r="J2482" t="s">
        <v>53</v>
      </c>
      <c r="K2482" t="s">
        <v>53</v>
      </c>
      <c r="L2482" t="s">
        <v>53</v>
      </c>
      <c r="M2482" t="s">
        <v>53</v>
      </c>
      <c r="N2482" t="s">
        <v>53</v>
      </c>
      <c r="O2482" t="s">
        <v>53</v>
      </c>
      <c r="P2482" t="s">
        <v>53</v>
      </c>
      <c r="Q2482" t="s">
        <v>53</v>
      </c>
    </row>
    <row r="2483" spans="1:17" x14ac:dyDescent="0.2">
      <c r="A2483" s="30" t="str">
        <f>IF(C2483&amp;G2483&amp;D2483&lt;&gt;'Funnel setup'!$K$3&amp;'Funnel setup'!$K$4&amp;'Funnel setup'!$K$5,".",IF(A2482=".",1,A2482+1))</f>
        <v>.</v>
      </c>
      <c r="B2483" s="431" t="str">
        <f t="shared" si="38"/>
        <v>Hip Replacement RevisionCCG of GP PracticeNHS BOLTON CCG (00T)EQ VAS</v>
      </c>
      <c r="C2483" t="s">
        <v>247</v>
      </c>
      <c r="D2483" t="s">
        <v>87</v>
      </c>
      <c r="E2483" t="s">
        <v>683</v>
      </c>
      <c r="F2483" t="s">
        <v>684</v>
      </c>
      <c r="G2483" t="s">
        <v>179</v>
      </c>
      <c r="H2483" t="s">
        <v>53</v>
      </c>
      <c r="I2483" t="s">
        <v>53</v>
      </c>
      <c r="J2483" t="s">
        <v>53</v>
      </c>
      <c r="K2483" t="s">
        <v>53</v>
      </c>
      <c r="L2483" t="s">
        <v>53</v>
      </c>
      <c r="M2483" t="s">
        <v>53</v>
      </c>
      <c r="N2483" t="s">
        <v>53</v>
      </c>
      <c r="O2483" t="s">
        <v>53</v>
      </c>
      <c r="P2483" t="s">
        <v>53</v>
      </c>
      <c r="Q2483" t="s">
        <v>53</v>
      </c>
    </row>
    <row r="2484" spans="1:17" x14ac:dyDescent="0.2">
      <c r="A2484" s="30" t="str">
        <f>IF(C2484&amp;G2484&amp;D2484&lt;&gt;'Funnel setup'!$K$3&amp;'Funnel setup'!$K$4&amp;'Funnel setup'!$K$5,".",IF(A2483=".",1,A2483+1))</f>
        <v>.</v>
      </c>
      <c r="B2484" s="431" t="str">
        <f t="shared" si="38"/>
        <v>Hip Replacement RevisionCCG of GP PracticeNHS BRACKNELL AND ASCOT CCG (10G)EQ VAS</v>
      </c>
      <c r="C2484" t="s">
        <v>247</v>
      </c>
      <c r="D2484" t="s">
        <v>87</v>
      </c>
      <c r="E2484" t="s">
        <v>686</v>
      </c>
      <c r="F2484" t="s">
        <v>687</v>
      </c>
      <c r="G2484" t="s">
        <v>179</v>
      </c>
      <c r="H2484" t="s">
        <v>53</v>
      </c>
      <c r="I2484" t="s">
        <v>53</v>
      </c>
      <c r="J2484" t="s">
        <v>53</v>
      </c>
      <c r="K2484" t="s">
        <v>53</v>
      </c>
      <c r="L2484" t="s">
        <v>53</v>
      </c>
      <c r="M2484" t="s">
        <v>53</v>
      </c>
      <c r="N2484" t="s">
        <v>53</v>
      </c>
      <c r="O2484" t="s">
        <v>53</v>
      </c>
      <c r="P2484" t="s">
        <v>53</v>
      </c>
      <c r="Q2484" t="s">
        <v>53</v>
      </c>
    </row>
    <row r="2485" spans="1:17" x14ac:dyDescent="0.2">
      <c r="A2485" s="30" t="str">
        <f>IF(C2485&amp;G2485&amp;D2485&lt;&gt;'Funnel setup'!$K$3&amp;'Funnel setup'!$K$4&amp;'Funnel setup'!$K$5,".",IF(A2484=".",1,A2484+1))</f>
        <v>.</v>
      </c>
      <c r="B2485" s="431" t="str">
        <f t="shared" si="38"/>
        <v>Hip Replacement RevisionCCG of GP PracticeNHS BRADFORD DISTRICTS CCG (02R)EQ VAS</v>
      </c>
      <c r="C2485" t="s">
        <v>247</v>
      </c>
      <c r="D2485" t="s">
        <v>87</v>
      </c>
      <c r="E2485" t="s">
        <v>692</v>
      </c>
      <c r="F2485" t="s">
        <v>693</v>
      </c>
      <c r="G2485" t="s">
        <v>179</v>
      </c>
      <c r="H2485">
        <v>10</v>
      </c>
      <c r="I2485">
        <v>61.1</v>
      </c>
      <c r="J2485">
        <v>70.400000000000006</v>
      </c>
      <c r="K2485">
        <v>9.3000000000000007</v>
      </c>
      <c r="L2485">
        <v>6</v>
      </c>
      <c r="M2485">
        <v>2</v>
      </c>
      <c r="N2485">
        <v>2</v>
      </c>
      <c r="O2485" t="s">
        <v>53</v>
      </c>
      <c r="P2485" t="s">
        <v>53</v>
      </c>
      <c r="Q2485" t="s">
        <v>53</v>
      </c>
    </row>
    <row r="2486" spans="1:17" x14ac:dyDescent="0.2">
      <c r="A2486" s="30" t="str">
        <f>IF(C2486&amp;G2486&amp;D2486&lt;&gt;'Funnel setup'!$K$3&amp;'Funnel setup'!$K$4&amp;'Funnel setup'!$K$5,".",IF(A2485=".",1,A2485+1))</f>
        <v>.</v>
      </c>
      <c r="B2486" s="431" t="str">
        <f t="shared" si="38"/>
        <v>Hip Replacement RevisionCCG of GP PracticeNHS BRENT CCG (07P)EQ VAS</v>
      </c>
      <c r="C2486" t="s">
        <v>247</v>
      </c>
      <c r="D2486" t="s">
        <v>87</v>
      </c>
      <c r="E2486" t="s">
        <v>695</v>
      </c>
      <c r="F2486" t="s">
        <v>696</v>
      </c>
      <c r="G2486" t="s">
        <v>179</v>
      </c>
      <c r="H2486" t="s">
        <v>53</v>
      </c>
      <c r="I2486" t="s">
        <v>53</v>
      </c>
      <c r="J2486" t="s">
        <v>53</v>
      </c>
      <c r="K2486" t="s">
        <v>53</v>
      </c>
      <c r="L2486" t="s">
        <v>53</v>
      </c>
      <c r="M2486" t="s">
        <v>53</v>
      </c>
      <c r="N2486" t="s">
        <v>53</v>
      </c>
      <c r="O2486" t="s">
        <v>53</v>
      </c>
      <c r="P2486" t="s">
        <v>53</v>
      </c>
      <c r="Q2486" t="s">
        <v>53</v>
      </c>
    </row>
    <row r="2487" spans="1:17" x14ac:dyDescent="0.2">
      <c r="A2487" s="30" t="str">
        <f>IF(C2487&amp;G2487&amp;D2487&lt;&gt;'Funnel setup'!$K$3&amp;'Funnel setup'!$K$4&amp;'Funnel setup'!$K$5,".",IF(A2486=".",1,A2486+1))</f>
        <v>.</v>
      </c>
      <c r="B2487" s="431" t="str">
        <f t="shared" si="38"/>
        <v>Hip Replacement RevisionCCG of GP PracticeNHS BRIGHTON AND HOVE CCG (09D)EQ VAS</v>
      </c>
      <c r="C2487" t="s">
        <v>247</v>
      </c>
      <c r="D2487" t="s">
        <v>87</v>
      </c>
      <c r="E2487" t="s">
        <v>698</v>
      </c>
      <c r="F2487" t="s">
        <v>699</v>
      </c>
      <c r="G2487" t="s">
        <v>179</v>
      </c>
      <c r="H2487">
        <v>8</v>
      </c>
      <c r="I2487">
        <v>51.875</v>
      </c>
      <c r="J2487">
        <v>50</v>
      </c>
      <c r="K2487">
        <v>-1.875</v>
      </c>
      <c r="L2487">
        <v>3</v>
      </c>
      <c r="M2487">
        <v>1</v>
      </c>
      <c r="N2487">
        <v>4</v>
      </c>
      <c r="O2487" t="s">
        <v>53</v>
      </c>
      <c r="P2487" t="s">
        <v>53</v>
      </c>
      <c r="Q2487" t="s">
        <v>53</v>
      </c>
    </row>
    <row r="2488" spans="1:17" x14ac:dyDescent="0.2">
      <c r="A2488" s="30" t="str">
        <f>IF(C2488&amp;G2488&amp;D2488&lt;&gt;'Funnel setup'!$K$3&amp;'Funnel setup'!$K$4&amp;'Funnel setup'!$K$5,".",IF(A2487=".",1,A2487+1))</f>
        <v>.</v>
      </c>
      <c r="B2488" s="431" t="str">
        <f t="shared" si="38"/>
        <v>Hip Replacement RevisionCCG of GP PracticeNHS BRISTOL CCG (11H)EQ VAS</v>
      </c>
      <c r="C2488" t="s">
        <v>247</v>
      </c>
      <c r="D2488" t="s">
        <v>87</v>
      </c>
      <c r="E2488" t="s">
        <v>701</v>
      </c>
      <c r="F2488" t="s">
        <v>702</v>
      </c>
      <c r="G2488" t="s">
        <v>179</v>
      </c>
      <c r="H2488" t="s">
        <v>53</v>
      </c>
      <c r="I2488" t="s">
        <v>53</v>
      </c>
      <c r="J2488" t="s">
        <v>53</v>
      </c>
      <c r="K2488" t="s">
        <v>53</v>
      </c>
      <c r="L2488" t="s">
        <v>53</v>
      </c>
      <c r="M2488" t="s">
        <v>53</v>
      </c>
      <c r="N2488" t="s">
        <v>53</v>
      </c>
      <c r="O2488" t="s">
        <v>53</v>
      </c>
      <c r="P2488" t="s">
        <v>53</v>
      </c>
      <c r="Q2488" t="s">
        <v>53</v>
      </c>
    </row>
    <row r="2489" spans="1:17" x14ac:dyDescent="0.2">
      <c r="A2489" s="30" t="str">
        <f>IF(C2489&amp;G2489&amp;D2489&lt;&gt;'Funnel setup'!$K$3&amp;'Funnel setup'!$K$4&amp;'Funnel setup'!$K$5,".",IF(A2488=".",1,A2488+1))</f>
        <v>.</v>
      </c>
      <c r="B2489" s="431" t="str">
        <f t="shared" si="38"/>
        <v>Hip Replacement RevisionCCG of GP PracticeNHS BROMLEY CCG (07Q)EQ VAS</v>
      </c>
      <c r="C2489" t="s">
        <v>247</v>
      </c>
      <c r="D2489" t="s">
        <v>87</v>
      </c>
      <c r="E2489" t="s">
        <v>704</v>
      </c>
      <c r="F2489" t="s">
        <v>705</v>
      </c>
      <c r="G2489" t="s">
        <v>179</v>
      </c>
      <c r="H2489" t="s">
        <v>53</v>
      </c>
      <c r="I2489" t="s">
        <v>53</v>
      </c>
      <c r="J2489" t="s">
        <v>53</v>
      </c>
      <c r="K2489" t="s">
        <v>53</v>
      </c>
      <c r="L2489" t="s">
        <v>53</v>
      </c>
      <c r="M2489" t="s">
        <v>53</v>
      </c>
      <c r="N2489" t="s">
        <v>53</v>
      </c>
      <c r="O2489" t="s">
        <v>53</v>
      </c>
      <c r="P2489" t="s">
        <v>53</v>
      </c>
      <c r="Q2489" t="s">
        <v>53</v>
      </c>
    </row>
    <row r="2490" spans="1:17" x14ac:dyDescent="0.2">
      <c r="A2490" s="30" t="str">
        <f>IF(C2490&amp;G2490&amp;D2490&lt;&gt;'Funnel setup'!$K$3&amp;'Funnel setup'!$K$4&amp;'Funnel setup'!$K$5,".",IF(A2489=".",1,A2489+1))</f>
        <v>.</v>
      </c>
      <c r="B2490" s="431" t="str">
        <f t="shared" si="38"/>
        <v>Hip Replacement RevisionCCG of GP PracticeNHS BURY CCG (00V)EQ VAS</v>
      </c>
      <c r="C2490" t="s">
        <v>247</v>
      </c>
      <c r="D2490" t="s">
        <v>87</v>
      </c>
      <c r="E2490" t="s">
        <v>707</v>
      </c>
      <c r="F2490" t="s">
        <v>708</v>
      </c>
      <c r="G2490" t="s">
        <v>179</v>
      </c>
      <c r="H2490" t="s">
        <v>53</v>
      </c>
      <c r="I2490" t="s">
        <v>53</v>
      </c>
      <c r="J2490" t="s">
        <v>53</v>
      </c>
      <c r="K2490" t="s">
        <v>53</v>
      </c>
      <c r="L2490" t="s">
        <v>53</v>
      </c>
      <c r="M2490" t="s">
        <v>53</v>
      </c>
      <c r="N2490" t="s">
        <v>53</v>
      </c>
      <c r="O2490" t="s">
        <v>53</v>
      </c>
      <c r="P2490" t="s">
        <v>53</v>
      </c>
      <c r="Q2490" t="s">
        <v>53</v>
      </c>
    </row>
    <row r="2491" spans="1:17" x14ac:dyDescent="0.2">
      <c r="A2491" s="30" t="str">
        <f>IF(C2491&amp;G2491&amp;D2491&lt;&gt;'Funnel setup'!$K$3&amp;'Funnel setup'!$K$4&amp;'Funnel setup'!$K$5,".",IF(A2490=".",1,A2490+1))</f>
        <v>.</v>
      </c>
      <c r="B2491" s="431" t="str">
        <f t="shared" si="38"/>
        <v>Hip Replacement RevisionCCG of GP PracticeNHS CALDERDALE CCG (02T)EQ VAS</v>
      </c>
      <c r="C2491" t="s">
        <v>247</v>
      </c>
      <c r="D2491" t="s">
        <v>87</v>
      </c>
      <c r="E2491" t="s">
        <v>710</v>
      </c>
      <c r="F2491" t="s">
        <v>711</v>
      </c>
      <c r="G2491" t="s">
        <v>179</v>
      </c>
      <c r="H2491">
        <v>12</v>
      </c>
      <c r="I2491">
        <v>74.667000000000002</v>
      </c>
      <c r="J2491">
        <v>83.332999999999998</v>
      </c>
      <c r="K2491">
        <v>8.6669999999999998</v>
      </c>
      <c r="L2491">
        <v>7</v>
      </c>
      <c r="M2491">
        <v>2</v>
      </c>
      <c r="N2491">
        <v>3</v>
      </c>
      <c r="O2491" t="s">
        <v>53</v>
      </c>
      <c r="P2491" t="s">
        <v>53</v>
      </c>
      <c r="Q2491" t="s">
        <v>53</v>
      </c>
    </row>
    <row r="2492" spans="1:17" x14ac:dyDescent="0.2">
      <c r="A2492" s="30" t="str">
        <f>IF(C2492&amp;G2492&amp;D2492&lt;&gt;'Funnel setup'!$K$3&amp;'Funnel setup'!$K$4&amp;'Funnel setup'!$K$5,".",IF(A2491=".",1,A2491+1))</f>
        <v>.</v>
      </c>
      <c r="B2492" s="431" t="str">
        <f t="shared" si="38"/>
        <v>Hip Replacement RevisionCCG of GP PracticeNHS CAMBRIDGESHIRE AND PETERBOROUGH CCG (06H)EQ VAS</v>
      </c>
      <c r="C2492" t="s">
        <v>247</v>
      </c>
      <c r="D2492" t="s">
        <v>87</v>
      </c>
      <c r="E2492" t="s">
        <v>713</v>
      </c>
      <c r="F2492" t="s">
        <v>714</v>
      </c>
      <c r="G2492" t="s">
        <v>179</v>
      </c>
      <c r="H2492">
        <v>31</v>
      </c>
      <c r="I2492">
        <v>68.548000000000002</v>
      </c>
      <c r="J2492">
        <v>73.774000000000001</v>
      </c>
      <c r="K2492">
        <v>5.226</v>
      </c>
      <c r="L2492">
        <v>16</v>
      </c>
      <c r="M2492">
        <v>6</v>
      </c>
      <c r="N2492">
        <v>9</v>
      </c>
      <c r="O2492">
        <v>72.087000000000003</v>
      </c>
      <c r="P2492">
        <v>7.3162002709999996</v>
      </c>
      <c r="Q2492">
        <v>17.856999999999999</v>
      </c>
    </row>
    <row r="2493" spans="1:17" x14ac:dyDescent="0.2">
      <c r="A2493" s="30" t="str">
        <f>IF(C2493&amp;G2493&amp;D2493&lt;&gt;'Funnel setup'!$K$3&amp;'Funnel setup'!$K$4&amp;'Funnel setup'!$K$5,".",IF(A2492=".",1,A2492+1))</f>
        <v>.</v>
      </c>
      <c r="B2493" s="431" t="str">
        <f t="shared" si="38"/>
        <v>Hip Replacement RevisionCCG of GP PracticeNHS CAMDEN CCG (07R)EQ VAS</v>
      </c>
      <c r="C2493" t="s">
        <v>247</v>
      </c>
      <c r="D2493" t="s">
        <v>87</v>
      </c>
      <c r="E2493" t="s">
        <v>716</v>
      </c>
      <c r="F2493" t="s">
        <v>717</v>
      </c>
      <c r="G2493" t="s">
        <v>179</v>
      </c>
      <c r="H2493" t="s">
        <v>53</v>
      </c>
      <c r="I2493" t="s">
        <v>53</v>
      </c>
      <c r="J2493" t="s">
        <v>53</v>
      </c>
      <c r="K2493" t="s">
        <v>53</v>
      </c>
      <c r="L2493" t="s">
        <v>53</v>
      </c>
      <c r="M2493" t="s">
        <v>53</v>
      </c>
      <c r="N2493" t="s">
        <v>53</v>
      </c>
      <c r="O2493" t="s">
        <v>53</v>
      </c>
      <c r="P2493" t="s">
        <v>53</v>
      </c>
      <c r="Q2493" t="s">
        <v>53</v>
      </c>
    </row>
    <row r="2494" spans="1:17" x14ac:dyDescent="0.2">
      <c r="A2494" s="30" t="str">
        <f>IF(C2494&amp;G2494&amp;D2494&lt;&gt;'Funnel setup'!$K$3&amp;'Funnel setup'!$K$4&amp;'Funnel setup'!$K$5,".",IF(A2493=".",1,A2493+1))</f>
        <v>.</v>
      </c>
      <c r="B2494" s="431" t="str">
        <f t="shared" si="38"/>
        <v>Hip Replacement RevisionCCG of GP PracticeNHS CANNOCK CHASE CCG (04Y)EQ VAS</v>
      </c>
      <c r="C2494" t="s">
        <v>247</v>
      </c>
      <c r="D2494" t="s">
        <v>87</v>
      </c>
      <c r="E2494" t="s">
        <v>719</v>
      </c>
      <c r="F2494" t="s">
        <v>720</v>
      </c>
      <c r="G2494" t="s">
        <v>179</v>
      </c>
      <c r="H2494">
        <v>9</v>
      </c>
      <c r="I2494">
        <v>64.221999999999994</v>
      </c>
      <c r="J2494">
        <v>70.555999999999997</v>
      </c>
      <c r="K2494">
        <v>6.3330000000000002</v>
      </c>
      <c r="L2494">
        <v>6</v>
      </c>
      <c r="M2494">
        <v>1</v>
      </c>
      <c r="N2494">
        <v>2</v>
      </c>
      <c r="O2494" t="s">
        <v>53</v>
      </c>
      <c r="P2494" t="s">
        <v>53</v>
      </c>
      <c r="Q2494" t="s">
        <v>53</v>
      </c>
    </row>
    <row r="2495" spans="1:17" x14ac:dyDescent="0.2">
      <c r="A2495" s="30" t="str">
        <f>IF(C2495&amp;G2495&amp;D2495&lt;&gt;'Funnel setup'!$K$3&amp;'Funnel setup'!$K$4&amp;'Funnel setup'!$K$5,".",IF(A2494=".",1,A2494+1))</f>
        <v>.</v>
      </c>
      <c r="B2495" s="431" t="str">
        <f t="shared" si="38"/>
        <v>Hip Replacement RevisionCCG of GP PracticeNHS CANTERBURY AND COASTAL CCG (09E)EQ VAS</v>
      </c>
      <c r="C2495" t="s">
        <v>247</v>
      </c>
      <c r="D2495" t="s">
        <v>87</v>
      </c>
      <c r="E2495" t="s">
        <v>722</v>
      </c>
      <c r="F2495" t="s">
        <v>723</v>
      </c>
      <c r="G2495" t="s">
        <v>179</v>
      </c>
      <c r="H2495">
        <v>11</v>
      </c>
      <c r="I2495">
        <v>64.545000000000002</v>
      </c>
      <c r="J2495">
        <v>73.182000000000002</v>
      </c>
      <c r="K2495">
        <v>8.6359999999999992</v>
      </c>
      <c r="L2495">
        <v>6</v>
      </c>
      <c r="M2495">
        <v>1</v>
      </c>
      <c r="N2495">
        <v>4</v>
      </c>
      <c r="O2495" t="s">
        <v>53</v>
      </c>
      <c r="P2495" t="s">
        <v>53</v>
      </c>
      <c r="Q2495" t="s">
        <v>53</v>
      </c>
    </row>
    <row r="2496" spans="1:17" x14ac:dyDescent="0.2">
      <c r="A2496" s="30" t="str">
        <f>IF(C2496&amp;G2496&amp;D2496&lt;&gt;'Funnel setup'!$K$3&amp;'Funnel setup'!$K$4&amp;'Funnel setup'!$K$5,".",IF(A2495=".",1,A2495+1))</f>
        <v>.</v>
      </c>
      <c r="B2496" s="431" t="str">
        <f t="shared" si="38"/>
        <v>Hip Replacement RevisionCCG of GP PracticeNHS CASTLE POINT AND ROCHFORD CCG (99F)EQ VAS</v>
      </c>
      <c r="C2496" t="s">
        <v>247</v>
      </c>
      <c r="D2496" t="s">
        <v>87</v>
      </c>
      <c r="E2496" t="s">
        <v>725</v>
      </c>
      <c r="F2496" t="s">
        <v>726</v>
      </c>
      <c r="G2496" t="s">
        <v>179</v>
      </c>
      <c r="H2496">
        <v>13</v>
      </c>
      <c r="I2496">
        <v>75.385000000000005</v>
      </c>
      <c r="J2496">
        <v>74.614999999999995</v>
      </c>
      <c r="K2496">
        <v>-0.76900000000000002</v>
      </c>
      <c r="L2496">
        <v>5</v>
      </c>
      <c r="M2496">
        <v>2</v>
      </c>
      <c r="N2496">
        <v>6</v>
      </c>
      <c r="O2496" t="s">
        <v>53</v>
      </c>
      <c r="P2496" t="s">
        <v>53</v>
      </c>
      <c r="Q2496" t="s">
        <v>53</v>
      </c>
    </row>
    <row r="2497" spans="1:17" x14ac:dyDescent="0.2">
      <c r="A2497" s="30" t="str">
        <f>IF(C2497&amp;G2497&amp;D2497&lt;&gt;'Funnel setup'!$K$3&amp;'Funnel setup'!$K$4&amp;'Funnel setup'!$K$5,".",IF(A2496=".",1,A2496+1))</f>
        <v>.</v>
      </c>
      <c r="B2497" s="431" t="str">
        <f t="shared" si="38"/>
        <v>Hip Replacement RevisionCCG of GP PracticeNHS CENTRAL LONDON (WESTMINSTER) CCG (09A)EQ VAS</v>
      </c>
      <c r="C2497" t="s">
        <v>247</v>
      </c>
      <c r="D2497" t="s">
        <v>87</v>
      </c>
      <c r="E2497" t="s">
        <v>728</v>
      </c>
      <c r="F2497" t="s">
        <v>729</v>
      </c>
      <c r="G2497" t="s">
        <v>179</v>
      </c>
      <c r="H2497" t="s">
        <v>53</v>
      </c>
      <c r="I2497" t="s">
        <v>53</v>
      </c>
      <c r="J2497" t="s">
        <v>53</v>
      </c>
      <c r="K2497" t="s">
        <v>53</v>
      </c>
      <c r="L2497" t="s">
        <v>53</v>
      </c>
      <c r="M2497" t="s">
        <v>53</v>
      </c>
      <c r="N2497" t="s">
        <v>53</v>
      </c>
      <c r="O2497" t="s">
        <v>53</v>
      </c>
      <c r="P2497" t="s">
        <v>53</v>
      </c>
      <c r="Q2497" t="s">
        <v>53</v>
      </c>
    </row>
    <row r="2498" spans="1:17" x14ac:dyDescent="0.2">
      <c r="A2498" s="30" t="str">
        <f>IF(C2498&amp;G2498&amp;D2498&lt;&gt;'Funnel setup'!$K$3&amp;'Funnel setup'!$K$4&amp;'Funnel setup'!$K$5,".",IF(A2497=".",1,A2497+1))</f>
        <v>.</v>
      </c>
      <c r="B2498" s="431" t="str">
        <f t="shared" si="38"/>
        <v>Hip Replacement RevisionCCG of GP PracticeNHS CENTRAL MANCHESTER CCG (00W)EQ VAS</v>
      </c>
      <c r="C2498" t="s">
        <v>247</v>
      </c>
      <c r="D2498" t="s">
        <v>87</v>
      </c>
      <c r="E2498" t="s">
        <v>731</v>
      </c>
      <c r="F2498" t="s">
        <v>732</v>
      </c>
      <c r="G2498" t="s">
        <v>179</v>
      </c>
      <c r="H2498" t="s">
        <v>53</v>
      </c>
      <c r="I2498" t="s">
        <v>53</v>
      </c>
      <c r="J2498" t="s">
        <v>53</v>
      </c>
      <c r="K2498" t="s">
        <v>53</v>
      </c>
      <c r="L2498" t="s">
        <v>53</v>
      </c>
      <c r="M2498" t="s">
        <v>53</v>
      </c>
      <c r="N2498" t="s">
        <v>53</v>
      </c>
      <c r="O2498" t="s">
        <v>53</v>
      </c>
      <c r="P2498" t="s">
        <v>53</v>
      </c>
      <c r="Q2498" t="s">
        <v>53</v>
      </c>
    </row>
    <row r="2499" spans="1:17" x14ac:dyDescent="0.2">
      <c r="A2499" s="30" t="str">
        <f>IF(C2499&amp;G2499&amp;D2499&lt;&gt;'Funnel setup'!$K$3&amp;'Funnel setup'!$K$4&amp;'Funnel setup'!$K$5,".",IF(A2498=".",1,A2498+1))</f>
        <v>.</v>
      </c>
      <c r="B2499" s="431" t="str">
        <f t="shared" ref="B2499:B2562" si="39">C2499&amp;D2499&amp;F2499&amp;G2499</f>
        <v>Hip Replacement RevisionCCG of GP PracticeNHS CHILTERN CCG (10H)EQ VAS</v>
      </c>
      <c r="C2499" t="s">
        <v>247</v>
      </c>
      <c r="D2499" t="s">
        <v>87</v>
      </c>
      <c r="E2499" t="s">
        <v>734</v>
      </c>
      <c r="F2499" t="s">
        <v>735</v>
      </c>
      <c r="G2499" t="s">
        <v>179</v>
      </c>
      <c r="H2499">
        <v>18</v>
      </c>
      <c r="I2499">
        <v>60.277999999999999</v>
      </c>
      <c r="J2499">
        <v>61.444000000000003</v>
      </c>
      <c r="K2499">
        <v>1.167</v>
      </c>
      <c r="L2499">
        <v>11</v>
      </c>
      <c r="M2499">
        <v>1</v>
      </c>
      <c r="N2499">
        <v>6</v>
      </c>
      <c r="O2499" t="s">
        <v>53</v>
      </c>
      <c r="P2499" t="s">
        <v>53</v>
      </c>
      <c r="Q2499" t="s">
        <v>53</v>
      </c>
    </row>
    <row r="2500" spans="1:17" x14ac:dyDescent="0.2">
      <c r="A2500" s="30" t="str">
        <f>IF(C2500&amp;G2500&amp;D2500&lt;&gt;'Funnel setup'!$K$3&amp;'Funnel setup'!$K$4&amp;'Funnel setup'!$K$5,".",IF(A2499=".",1,A2499+1))</f>
        <v>.</v>
      </c>
      <c r="B2500" s="431" t="str">
        <f t="shared" si="39"/>
        <v>Hip Replacement RevisionCCG of GP PracticeNHS CHORLEY AND SOUTH RIBBLE CCG (00X)EQ VAS</v>
      </c>
      <c r="C2500" t="s">
        <v>247</v>
      </c>
      <c r="D2500" t="s">
        <v>87</v>
      </c>
      <c r="E2500" t="s">
        <v>737</v>
      </c>
      <c r="F2500" t="s">
        <v>738</v>
      </c>
      <c r="G2500" t="s">
        <v>179</v>
      </c>
      <c r="H2500">
        <v>7</v>
      </c>
      <c r="I2500">
        <v>69.143000000000001</v>
      </c>
      <c r="J2500">
        <v>69</v>
      </c>
      <c r="K2500">
        <v>-0.14299999999999999</v>
      </c>
      <c r="L2500">
        <v>5</v>
      </c>
      <c r="M2500">
        <v>0</v>
      </c>
      <c r="N2500">
        <v>2</v>
      </c>
      <c r="O2500" t="s">
        <v>53</v>
      </c>
      <c r="P2500" t="s">
        <v>53</v>
      </c>
      <c r="Q2500" t="s">
        <v>53</v>
      </c>
    </row>
    <row r="2501" spans="1:17" x14ac:dyDescent="0.2">
      <c r="A2501" s="30" t="str">
        <f>IF(C2501&amp;G2501&amp;D2501&lt;&gt;'Funnel setup'!$K$3&amp;'Funnel setup'!$K$4&amp;'Funnel setup'!$K$5,".",IF(A2500=".",1,A2500+1))</f>
        <v>.</v>
      </c>
      <c r="B2501" s="431" t="str">
        <f t="shared" si="39"/>
        <v>Hip Replacement RevisionCCG of GP PracticeNHS CITY AND HACKNEY CCG (07T)EQ VAS</v>
      </c>
      <c r="C2501" t="s">
        <v>247</v>
      </c>
      <c r="D2501" t="s">
        <v>87</v>
      </c>
      <c r="E2501" t="s">
        <v>740</v>
      </c>
      <c r="F2501" t="s">
        <v>741</v>
      </c>
      <c r="G2501" t="s">
        <v>179</v>
      </c>
      <c r="H2501" t="s">
        <v>53</v>
      </c>
      <c r="I2501" t="s">
        <v>53</v>
      </c>
      <c r="J2501" t="s">
        <v>53</v>
      </c>
      <c r="K2501" t="s">
        <v>53</v>
      </c>
      <c r="L2501" t="s">
        <v>53</v>
      </c>
      <c r="M2501" t="s">
        <v>53</v>
      </c>
      <c r="N2501" t="s">
        <v>53</v>
      </c>
      <c r="O2501" t="s">
        <v>53</v>
      </c>
      <c r="P2501" t="s">
        <v>53</v>
      </c>
      <c r="Q2501" t="s">
        <v>53</v>
      </c>
    </row>
    <row r="2502" spans="1:17" x14ac:dyDescent="0.2">
      <c r="A2502" s="30" t="str">
        <f>IF(C2502&amp;G2502&amp;D2502&lt;&gt;'Funnel setup'!$K$3&amp;'Funnel setup'!$K$4&amp;'Funnel setup'!$K$5,".",IF(A2501=".",1,A2501+1))</f>
        <v>.</v>
      </c>
      <c r="B2502" s="431" t="str">
        <f t="shared" si="39"/>
        <v>Hip Replacement RevisionCCG of GP PracticeNHS COASTAL WEST SUSSEX CCG (09G)EQ VAS</v>
      </c>
      <c r="C2502" t="s">
        <v>247</v>
      </c>
      <c r="D2502" t="s">
        <v>87</v>
      </c>
      <c r="E2502" t="s">
        <v>743</v>
      </c>
      <c r="F2502" t="s">
        <v>744</v>
      </c>
      <c r="G2502" t="s">
        <v>179</v>
      </c>
      <c r="H2502">
        <v>42</v>
      </c>
      <c r="I2502">
        <v>64.381</v>
      </c>
      <c r="J2502">
        <v>70.332999999999998</v>
      </c>
      <c r="K2502">
        <v>5.952</v>
      </c>
      <c r="L2502">
        <v>26</v>
      </c>
      <c r="M2502">
        <v>3</v>
      </c>
      <c r="N2502">
        <v>13</v>
      </c>
      <c r="O2502">
        <v>71.150000000000006</v>
      </c>
      <c r="P2502">
        <v>6.3799832319999998</v>
      </c>
      <c r="Q2502">
        <v>14.500999999999999</v>
      </c>
    </row>
    <row r="2503" spans="1:17" x14ac:dyDescent="0.2">
      <c r="A2503" s="30" t="str">
        <f>IF(C2503&amp;G2503&amp;D2503&lt;&gt;'Funnel setup'!$K$3&amp;'Funnel setup'!$K$4&amp;'Funnel setup'!$K$5,".",IF(A2502=".",1,A2502+1))</f>
        <v>.</v>
      </c>
      <c r="B2503" s="431" t="str">
        <f t="shared" si="39"/>
        <v>Hip Replacement RevisionCCG of GP PracticeNHS CORBY CCG (03V)EQ VAS</v>
      </c>
      <c r="C2503" t="s">
        <v>247</v>
      </c>
      <c r="D2503" t="s">
        <v>87</v>
      </c>
      <c r="E2503" t="s">
        <v>746</v>
      </c>
      <c r="F2503" t="s">
        <v>747</v>
      </c>
      <c r="G2503" t="s">
        <v>179</v>
      </c>
      <c r="H2503" t="s">
        <v>53</v>
      </c>
      <c r="I2503" t="s">
        <v>53</v>
      </c>
      <c r="J2503" t="s">
        <v>53</v>
      </c>
      <c r="K2503" t="s">
        <v>53</v>
      </c>
      <c r="L2503" t="s">
        <v>53</v>
      </c>
      <c r="M2503" t="s">
        <v>53</v>
      </c>
      <c r="N2503" t="s">
        <v>53</v>
      </c>
      <c r="O2503" t="s">
        <v>53</v>
      </c>
      <c r="P2503" t="s">
        <v>53</v>
      </c>
      <c r="Q2503" t="s">
        <v>53</v>
      </c>
    </row>
    <row r="2504" spans="1:17" x14ac:dyDescent="0.2">
      <c r="A2504" s="30" t="str">
        <f>IF(C2504&amp;G2504&amp;D2504&lt;&gt;'Funnel setup'!$K$3&amp;'Funnel setup'!$K$4&amp;'Funnel setup'!$K$5,".",IF(A2503=".",1,A2503+1))</f>
        <v>.</v>
      </c>
      <c r="B2504" s="431" t="str">
        <f t="shared" si="39"/>
        <v>Hip Replacement RevisionCCG of GP PracticeNHS COVENTRY AND RUGBY CCG (05A)EQ VAS</v>
      </c>
      <c r="C2504" t="s">
        <v>247</v>
      </c>
      <c r="D2504" t="s">
        <v>87</v>
      </c>
      <c r="E2504" t="s">
        <v>749</v>
      </c>
      <c r="F2504" t="s">
        <v>750</v>
      </c>
      <c r="G2504" t="s">
        <v>179</v>
      </c>
      <c r="H2504">
        <v>13</v>
      </c>
      <c r="I2504">
        <v>63.076999999999998</v>
      </c>
      <c r="J2504">
        <v>57.384999999999998</v>
      </c>
      <c r="K2504">
        <v>-5.6920000000000002</v>
      </c>
      <c r="L2504">
        <v>6</v>
      </c>
      <c r="M2504">
        <v>2</v>
      </c>
      <c r="N2504">
        <v>5</v>
      </c>
      <c r="O2504" t="s">
        <v>53</v>
      </c>
      <c r="P2504" t="s">
        <v>53</v>
      </c>
      <c r="Q2504" t="s">
        <v>53</v>
      </c>
    </row>
    <row r="2505" spans="1:17" x14ac:dyDescent="0.2">
      <c r="A2505" s="30" t="str">
        <f>IF(C2505&amp;G2505&amp;D2505&lt;&gt;'Funnel setup'!$K$3&amp;'Funnel setup'!$K$4&amp;'Funnel setup'!$K$5,".",IF(A2504=".",1,A2504+1))</f>
        <v>.</v>
      </c>
      <c r="B2505" s="431" t="str">
        <f t="shared" si="39"/>
        <v>Hip Replacement RevisionCCG of GP PracticeNHS CRAWLEY CCG (09H)EQ VAS</v>
      </c>
      <c r="C2505" t="s">
        <v>247</v>
      </c>
      <c r="D2505" t="s">
        <v>87</v>
      </c>
      <c r="E2505" t="s">
        <v>752</v>
      </c>
      <c r="F2505" t="s">
        <v>753</v>
      </c>
      <c r="G2505" t="s">
        <v>179</v>
      </c>
      <c r="H2505" t="s">
        <v>53</v>
      </c>
      <c r="I2505" t="s">
        <v>53</v>
      </c>
      <c r="J2505" t="s">
        <v>53</v>
      </c>
      <c r="K2505" t="s">
        <v>53</v>
      </c>
      <c r="L2505" t="s">
        <v>53</v>
      </c>
      <c r="M2505" t="s">
        <v>53</v>
      </c>
      <c r="N2505" t="s">
        <v>53</v>
      </c>
      <c r="O2505" t="s">
        <v>53</v>
      </c>
      <c r="P2505" t="s">
        <v>53</v>
      </c>
      <c r="Q2505" t="s">
        <v>53</v>
      </c>
    </row>
    <row r="2506" spans="1:17" x14ac:dyDescent="0.2">
      <c r="A2506" s="30" t="str">
        <f>IF(C2506&amp;G2506&amp;D2506&lt;&gt;'Funnel setup'!$K$3&amp;'Funnel setup'!$K$4&amp;'Funnel setup'!$K$5,".",IF(A2505=".",1,A2505+1))</f>
        <v>.</v>
      </c>
      <c r="B2506" s="431" t="str">
        <f t="shared" si="39"/>
        <v>Hip Replacement RevisionCCG of GP PracticeNHS CROYDON CCG (07V)EQ VAS</v>
      </c>
      <c r="C2506" t="s">
        <v>247</v>
      </c>
      <c r="D2506" t="s">
        <v>87</v>
      </c>
      <c r="E2506" t="s">
        <v>755</v>
      </c>
      <c r="F2506" t="s">
        <v>756</v>
      </c>
      <c r="G2506" t="s">
        <v>179</v>
      </c>
      <c r="H2506">
        <v>11</v>
      </c>
      <c r="I2506">
        <v>65.727000000000004</v>
      </c>
      <c r="J2506">
        <v>78.727000000000004</v>
      </c>
      <c r="K2506">
        <v>13</v>
      </c>
      <c r="L2506">
        <v>9</v>
      </c>
      <c r="M2506">
        <v>0</v>
      </c>
      <c r="N2506">
        <v>2</v>
      </c>
      <c r="O2506" t="s">
        <v>53</v>
      </c>
      <c r="P2506" t="s">
        <v>53</v>
      </c>
      <c r="Q2506" t="s">
        <v>53</v>
      </c>
    </row>
    <row r="2507" spans="1:17" x14ac:dyDescent="0.2">
      <c r="A2507" s="30" t="str">
        <f>IF(C2507&amp;G2507&amp;D2507&lt;&gt;'Funnel setup'!$K$3&amp;'Funnel setup'!$K$4&amp;'Funnel setup'!$K$5,".",IF(A2506=".",1,A2506+1))</f>
        <v>.</v>
      </c>
      <c r="B2507" s="431" t="str">
        <f t="shared" si="39"/>
        <v>Hip Replacement RevisionCCG of GP PracticeNHS CUMBRIA CCG (01H)EQ VAS</v>
      </c>
      <c r="C2507" t="s">
        <v>247</v>
      </c>
      <c r="D2507" t="s">
        <v>87</v>
      </c>
      <c r="E2507" t="s">
        <v>758</v>
      </c>
      <c r="F2507" t="s">
        <v>759</v>
      </c>
      <c r="G2507" t="s">
        <v>179</v>
      </c>
      <c r="H2507">
        <v>25</v>
      </c>
      <c r="I2507">
        <v>64.760000000000005</v>
      </c>
      <c r="J2507">
        <v>69.44</v>
      </c>
      <c r="K2507">
        <v>4.68</v>
      </c>
      <c r="L2507">
        <v>12</v>
      </c>
      <c r="M2507">
        <v>2</v>
      </c>
      <c r="N2507">
        <v>11</v>
      </c>
      <c r="O2507" t="s">
        <v>53</v>
      </c>
      <c r="P2507" t="s">
        <v>53</v>
      </c>
      <c r="Q2507" t="s">
        <v>53</v>
      </c>
    </row>
    <row r="2508" spans="1:17" x14ac:dyDescent="0.2">
      <c r="A2508" s="30" t="str">
        <f>IF(C2508&amp;G2508&amp;D2508&lt;&gt;'Funnel setup'!$K$3&amp;'Funnel setup'!$K$4&amp;'Funnel setup'!$K$5,".",IF(A2507=".",1,A2507+1))</f>
        <v>.</v>
      </c>
      <c r="B2508" s="431" t="str">
        <f t="shared" si="39"/>
        <v>Hip Replacement RevisionCCG of GP PracticeNHS DARLINGTON CCG (00C)EQ VAS</v>
      </c>
      <c r="C2508" t="s">
        <v>247</v>
      </c>
      <c r="D2508" t="s">
        <v>87</v>
      </c>
      <c r="E2508" t="s">
        <v>761</v>
      </c>
      <c r="F2508" t="s">
        <v>762</v>
      </c>
      <c r="G2508" t="s">
        <v>179</v>
      </c>
      <c r="H2508" t="s">
        <v>53</v>
      </c>
      <c r="I2508" t="s">
        <v>53</v>
      </c>
      <c r="J2508" t="s">
        <v>53</v>
      </c>
      <c r="K2508" t="s">
        <v>53</v>
      </c>
      <c r="L2508" t="s">
        <v>53</v>
      </c>
      <c r="M2508" t="s">
        <v>53</v>
      </c>
      <c r="N2508" t="s">
        <v>53</v>
      </c>
      <c r="O2508" t="s">
        <v>53</v>
      </c>
      <c r="P2508" t="s">
        <v>53</v>
      </c>
      <c r="Q2508" t="s">
        <v>53</v>
      </c>
    </row>
    <row r="2509" spans="1:17" x14ac:dyDescent="0.2">
      <c r="A2509" s="30" t="str">
        <f>IF(C2509&amp;G2509&amp;D2509&lt;&gt;'Funnel setup'!$K$3&amp;'Funnel setup'!$K$4&amp;'Funnel setup'!$K$5,".",IF(A2508=".",1,A2508+1))</f>
        <v>.</v>
      </c>
      <c r="B2509" s="431" t="str">
        <f t="shared" si="39"/>
        <v>Hip Replacement RevisionCCG of GP PracticeNHS DARTFORD, GRAVESHAM AND SWANLEY CCG (09J)EQ VAS</v>
      </c>
      <c r="C2509" t="s">
        <v>247</v>
      </c>
      <c r="D2509" t="s">
        <v>87</v>
      </c>
      <c r="E2509" t="s">
        <v>764</v>
      </c>
      <c r="F2509" t="s">
        <v>765</v>
      </c>
      <c r="G2509" t="s">
        <v>179</v>
      </c>
      <c r="H2509">
        <v>9</v>
      </c>
      <c r="I2509">
        <v>60.555999999999997</v>
      </c>
      <c r="J2509">
        <v>67.221999999999994</v>
      </c>
      <c r="K2509">
        <v>6.6669999999999998</v>
      </c>
      <c r="L2509">
        <v>5</v>
      </c>
      <c r="M2509">
        <v>1</v>
      </c>
      <c r="N2509">
        <v>3</v>
      </c>
      <c r="O2509" t="s">
        <v>53</v>
      </c>
      <c r="P2509" t="s">
        <v>53</v>
      </c>
      <c r="Q2509" t="s">
        <v>53</v>
      </c>
    </row>
    <row r="2510" spans="1:17" x14ac:dyDescent="0.2">
      <c r="A2510" s="30" t="str">
        <f>IF(C2510&amp;G2510&amp;D2510&lt;&gt;'Funnel setup'!$K$3&amp;'Funnel setup'!$K$4&amp;'Funnel setup'!$K$5,".",IF(A2509=".",1,A2509+1))</f>
        <v>.</v>
      </c>
      <c r="B2510" s="431" t="str">
        <f t="shared" si="39"/>
        <v>Hip Replacement RevisionCCG of GP PracticeNHS DONCASTER CCG (02X)EQ VAS</v>
      </c>
      <c r="C2510" t="s">
        <v>247</v>
      </c>
      <c r="D2510" t="s">
        <v>87</v>
      </c>
      <c r="E2510" t="s">
        <v>767</v>
      </c>
      <c r="F2510" t="s">
        <v>768</v>
      </c>
      <c r="G2510" t="s">
        <v>179</v>
      </c>
      <c r="H2510">
        <v>22</v>
      </c>
      <c r="I2510">
        <v>51.317999999999998</v>
      </c>
      <c r="J2510">
        <v>58.454999999999998</v>
      </c>
      <c r="K2510">
        <v>7.1360000000000001</v>
      </c>
      <c r="L2510">
        <v>12</v>
      </c>
      <c r="M2510">
        <v>2</v>
      </c>
      <c r="N2510">
        <v>8</v>
      </c>
      <c r="O2510" t="s">
        <v>53</v>
      </c>
      <c r="P2510" t="s">
        <v>53</v>
      </c>
      <c r="Q2510" t="s">
        <v>53</v>
      </c>
    </row>
    <row r="2511" spans="1:17" x14ac:dyDescent="0.2">
      <c r="A2511" s="30" t="str">
        <f>IF(C2511&amp;G2511&amp;D2511&lt;&gt;'Funnel setup'!$K$3&amp;'Funnel setup'!$K$4&amp;'Funnel setup'!$K$5,".",IF(A2510=".",1,A2510+1))</f>
        <v>.</v>
      </c>
      <c r="B2511" s="431" t="str">
        <f t="shared" si="39"/>
        <v>Hip Replacement RevisionCCG of GP PracticeNHS DORSET CCG (11J)EQ VAS</v>
      </c>
      <c r="C2511" t="s">
        <v>247</v>
      </c>
      <c r="D2511" t="s">
        <v>87</v>
      </c>
      <c r="E2511" t="s">
        <v>854</v>
      </c>
      <c r="F2511" t="s">
        <v>855</v>
      </c>
      <c r="G2511" t="s">
        <v>179</v>
      </c>
      <c r="H2511">
        <v>19</v>
      </c>
      <c r="I2511">
        <v>60.316000000000003</v>
      </c>
      <c r="J2511">
        <v>72.841999999999999</v>
      </c>
      <c r="K2511">
        <v>12.526</v>
      </c>
      <c r="L2511">
        <v>13</v>
      </c>
      <c r="M2511">
        <v>2</v>
      </c>
      <c r="N2511">
        <v>4</v>
      </c>
      <c r="O2511" t="s">
        <v>53</v>
      </c>
      <c r="P2511" t="s">
        <v>53</v>
      </c>
      <c r="Q2511" t="s">
        <v>53</v>
      </c>
    </row>
    <row r="2512" spans="1:17" x14ac:dyDescent="0.2">
      <c r="A2512" s="30" t="str">
        <f>IF(C2512&amp;G2512&amp;D2512&lt;&gt;'Funnel setup'!$K$3&amp;'Funnel setup'!$K$4&amp;'Funnel setup'!$K$5,".",IF(A2511=".",1,A2511+1))</f>
        <v>.</v>
      </c>
      <c r="B2512" s="431" t="str">
        <f t="shared" si="39"/>
        <v>Hip Replacement RevisionCCG of GP PracticeNHS DUDLEY CCG (05C)EQ VAS</v>
      </c>
      <c r="C2512" t="s">
        <v>247</v>
      </c>
      <c r="D2512" t="s">
        <v>87</v>
      </c>
      <c r="E2512" t="s">
        <v>857</v>
      </c>
      <c r="F2512" t="s">
        <v>858</v>
      </c>
      <c r="G2512" t="s">
        <v>179</v>
      </c>
      <c r="H2512">
        <v>10</v>
      </c>
      <c r="I2512">
        <v>52.3</v>
      </c>
      <c r="J2512">
        <v>65.900000000000006</v>
      </c>
      <c r="K2512">
        <v>13.6</v>
      </c>
      <c r="L2512">
        <v>5</v>
      </c>
      <c r="M2512">
        <v>0</v>
      </c>
      <c r="N2512">
        <v>5</v>
      </c>
      <c r="O2512" t="s">
        <v>53</v>
      </c>
      <c r="P2512" t="s">
        <v>53</v>
      </c>
      <c r="Q2512" t="s">
        <v>53</v>
      </c>
    </row>
    <row r="2513" spans="1:17" x14ac:dyDescent="0.2">
      <c r="A2513" s="30" t="str">
        <f>IF(C2513&amp;G2513&amp;D2513&lt;&gt;'Funnel setup'!$K$3&amp;'Funnel setup'!$K$4&amp;'Funnel setup'!$K$5,".",IF(A2512=".",1,A2512+1))</f>
        <v>.</v>
      </c>
      <c r="B2513" s="431" t="str">
        <f t="shared" si="39"/>
        <v>Hip Replacement RevisionCCG of GP PracticeNHS DURHAM DALES, EASINGTON AND SEDGEFIELD CCG (00D)EQ VAS</v>
      </c>
      <c r="C2513" t="s">
        <v>247</v>
      </c>
      <c r="D2513" t="s">
        <v>87</v>
      </c>
      <c r="E2513" t="s">
        <v>860</v>
      </c>
      <c r="F2513" t="s">
        <v>861</v>
      </c>
      <c r="G2513" t="s">
        <v>179</v>
      </c>
      <c r="H2513">
        <v>10</v>
      </c>
      <c r="I2513">
        <v>65</v>
      </c>
      <c r="J2513">
        <v>70.900000000000006</v>
      </c>
      <c r="K2513">
        <v>5.9</v>
      </c>
      <c r="L2513">
        <v>4</v>
      </c>
      <c r="M2513">
        <v>2</v>
      </c>
      <c r="N2513">
        <v>4</v>
      </c>
      <c r="O2513" t="s">
        <v>53</v>
      </c>
      <c r="P2513" t="s">
        <v>53</v>
      </c>
      <c r="Q2513" t="s">
        <v>53</v>
      </c>
    </row>
    <row r="2514" spans="1:17" x14ac:dyDescent="0.2">
      <c r="A2514" s="30" t="str">
        <f>IF(C2514&amp;G2514&amp;D2514&lt;&gt;'Funnel setup'!$K$3&amp;'Funnel setup'!$K$4&amp;'Funnel setup'!$K$5,".",IF(A2513=".",1,A2513+1))</f>
        <v>.</v>
      </c>
      <c r="B2514" s="431" t="str">
        <f t="shared" si="39"/>
        <v>Hip Replacement RevisionCCG of GP PracticeNHS EALING CCG (07W)EQ VAS</v>
      </c>
      <c r="C2514" t="s">
        <v>247</v>
      </c>
      <c r="D2514" t="s">
        <v>87</v>
      </c>
      <c r="E2514" t="s">
        <v>863</v>
      </c>
      <c r="F2514" t="s">
        <v>864</v>
      </c>
      <c r="G2514" t="s">
        <v>179</v>
      </c>
      <c r="H2514">
        <v>7</v>
      </c>
      <c r="I2514">
        <v>60.713999999999999</v>
      </c>
      <c r="J2514">
        <v>84</v>
      </c>
      <c r="K2514">
        <v>23.286000000000001</v>
      </c>
      <c r="L2514">
        <v>6</v>
      </c>
      <c r="M2514">
        <v>0</v>
      </c>
      <c r="N2514">
        <v>1</v>
      </c>
      <c r="O2514" t="s">
        <v>53</v>
      </c>
      <c r="P2514" t="s">
        <v>53</v>
      </c>
      <c r="Q2514" t="s">
        <v>53</v>
      </c>
    </row>
    <row r="2515" spans="1:17" x14ac:dyDescent="0.2">
      <c r="A2515" s="30" t="str">
        <f>IF(C2515&amp;G2515&amp;D2515&lt;&gt;'Funnel setup'!$K$3&amp;'Funnel setup'!$K$4&amp;'Funnel setup'!$K$5,".",IF(A2514=".",1,A2514+1))</f>
        <v>.</v>
      </c>
      <c r="B2515" s="431" t="str">
        <f t="shared" si="39"/>
        <v>Hip Replacement RevisionCCG of GP PracticeNHS EAST AND NORTH HERTFORDSHIRE CCG (06K)EQ VAS</v>
      </c>
      <c r="C2515" t="s">
        <v>247</v>
      </c>
      <c r="D2515" t="s">
        <v>87</v>
      </c>
      <c r="E2515" t="s">
        <v>866</v>
      </c>
      <c r="F2515" t="s">
        <v>867</v>
      </c>
      <c r="G2515" t="s">
        <v>179</v>
      </c>
      <c r="H2515">
        <v>24</v>
      </c>
      <c r="I2515">
        <v>62.542000000000002</v>
      </c>
      <c r="J2515">
        <v>68.707999999999998</v>
      </c>
      <c r="K2515">
        <v>6.1669999999999998</v>
      </c>
      <c r="L2515">
        <v>12</v>
      </c>
      <c r="M2515">
        <v>4</v>
      </c>
      <c r="N2515">
        <v>8</v>
      </c>
      <c r="O2515" t="s">
        <v>53</v>
      </c>
      <c r="P2515" t="s">
        <v>53</v>
      </c>
      <c r="Q2515" t="s">
        <v>53</v>
      </c>
    </row>
    <row r="2516" spans="1:17" x14ac:dyDescent="0.2">
      <c r="A2516" s="30" t="str">
        <f>IF(C2516&amp;G2516&amp;D2516&lt;&gt;'Funnel setup'!$K$3&amp;'Funnel setup'!$K$4&amp;'Funnel setup'!$K$5,".",IF(A2515=".",1,A2515+1))</f>
        <v>.</v>
      </c>
      <c r="B2516" s="431" t="str">
        <f t="shared" si="39"/>
        <v>Hip Replacement RevisionCCG of GP PracticeNHS EAST LANCASHIRE CCG (01A)EQ VAS</v>
      </c>
      <c r="C2516" t="s">
        <v>247</v>
      </c>
      <c r="D2516" t="s">
        <v>87</v>
      </c>
      <c r="E2516" t="s">
        <v>869</v>
      </c>
      <c r="F2516" t="s">
        <v>870</v>
      </c>
      <c r="G2516" t="s">
        <v>179</v>
      </c>
      <c r="H2516">
        <v>15</v>
      </c>
      <c r="I2516">
        <v>63.8</v>
      </c>
      <c r="J2516">
        <v>62.6</v>
      </c>
      <c r="K2516">
        <v>-1.2</v>
      </c>
      <c r="L2516">
        <v>5</v>
      </c>
      <c r="M2516">
        <v>6</v>
      </c>
      <c r="N2516">
        <v>4</v>
      </c>
      <c r="O2516" t="s">
        <v>53</v>
      </c>
      <c r="P2516" t="s">
        <v>53</v>
      </c>
      <c r="Q2516" t="s">
        <v>53</v>
      </c>
    </row>
    <row r="2517" spans="1:17" x14ac:dyDescent="0.2">
      <c r="A2517" s="30" t="str">
        <f>IF(C2517&amp;G2517&amp;D2517&lt;&gt;'Funnel setup'!$K$3&amp;'Funnel setup'!$K$4&amp;'Funnel setup'!$K$5,".",IF(A2516=".",1,A2516+1))</f>
        <v>.</v>
      </c>
      <c r="B2517" s="431" t="str">
        <f t="shared" si="39"/>
        <v>Hip Replacement RevisionCCG of GP PracticeNHS EAST LEICESTERSHIRE AND RUTLAND CCG (03W)EQ VAS</v>
      </c>
      <c r="C2517" t="s">
        <v>247</v>
      </c>
      <c r="D2517" t="s">
        <v>87</v>
      </c>
      <c r="E2517" t="s">
        <v>872</v>
      </c>
      <c r="F2517" t="s">
        <v>873</v>
      </c>
      <c r="G2517" t="s">
        <v>179</v>
      </c>
      <c r="H2517">
        <v>16</v>
      </c>
      <c r="I2517">
        <v>65.813000000000002</v>
      </c>
      <c r="J2517">
        <v>72.5</v>
      </c>
      <c r="K2517">
        <v>6.6879999999999997</v>
      </c>
      <c r="L2517">
        <v>8</v>
      </c>
      <c r="M2517">
        <v>3</v>
      </c>
      <c r="N2517">
        <v>5</v>
      </c>
      <c r="O2517" t="s">
        <v>53</v>
      </c>
      <c r="P2517" t="s">
        <v>53</v>
      </c>
      <c r="Q2517" t="s">
        <v>53</v>
      </c>
    </row>
    <row r="2518" spans="1:17" x14ac:dyDescent="0.2">
      <c r="A2518" s="30" t="str">
        <f>IF(C2518&amp;G2518&amp;D2518&lt;&gt;'Funnel setup'!$K$3&amp;'Funnel setup'!$K$4&amp;'Funnel setup'!$K$5,".",IF(A2517=".",1,A2517+1))</f>
        <v>.</v>
      </c>
      <c r="B2518" s="431" t="str">
        <f t="shared" si="39"/>
        <v>Hip Replacement RevisionCCG of GP PracticeNHS EAST RIDING OF YORKSHIRE CCG (02Y)EQ VAS</v>
      </c>
      <c r="C2518" t="s">
        <v>247</v>
      </c>
      <c r="D2518" t="s">
        <v>87</v>
      </c>
      <c r="E2518" t="s">
        <v>875</v>
      </c>
      <c r="F2518" t="s">
        <v>876</v>
      </c>
      <c r="G2518" t="s">
        <v>179</v>
      </c>
      <c r="H2518">
        <v>15</v>
      </c>
      <c r="I2518">
        <v>62.133000000000003</v>
      </c>
      <c r="J2518">
        <v>71</v>
      </c>
      <c r="K2518">
        <v>8.8670000000000009</v>
      </c>
      <c r="L2518">
        <v>10</v>
      </c>
      <c r="M2518">
        <v>1</v>
      </c>
      <c r="N2518">
        <v>4</v>
      </c>
      <c r="O2518" t="s">
        <v>53</v>
      </c>
      <c r="P2518" t="s">
        <v>53</v>
      </c>
      <c r="Q2518" t="s">
        <v>53</v>
      </c>
    </row>
    <row r="2519" spans="1:17" x14ac:dyDescent="0.2">
      <c r="A2519" s="30" t="str">
        <f>IF(C2519&amp;G2519&amp;D2519&lt;&gt;'Funnel setup'!$K$3&amp;'Funnel setup'!$K$4&amp;'Funnel setup'!$K$5,".",IF(A2518=".",1,A2518+1))</f>
        <v>.</v>
      </c>
      <c r="B2519" s="431" t="str">
        <f t="shared" si="39"/>
        <v>Hip Replacement RevisionCCG of GP PracticeNHS EAST STAFFORDSHIRE CCG (05D)EQ VAS</v>
      </c>
      <c r="C2519" t="s">
        <v>247</v>
      </c>
      <c r="D2519" t="s">
        <v>87</v>
      </c>
      <c r="E2519" t="s">
        <v>878</v>
      </c>
      <c r="F2519" t="s">
        <v>879</v>
      </c>
      <c r="G2519" t="s">
        <v>179</v>
      </c>
      <c r="H2519">
        <v>9</v>
      </c>
      <c r="I2519">
        <v>64.778000000000006</v>
      </c>
      <c r="J2519">
        <v>73.888999999999996</v>
      </c>
      <c r="K2519">
        <v>9.1110000000000007</v>
      </c>
      <c r="L2519">
        <v>6</v>
      </c>
      <c r="M2519">
        <v>0</v>
      </c>
      <c r="N2519">
        <v>3</v>
      </c>
      <c r="O2519" t="s">
        <v>53</v>
      </c>
      <c r="P2519" t="s">
        <v>53</v>
      </c>
      <c r="Q2519" t="s">
        <v>53</v>
      </c>
    </row>
    <row r="2520" spans="1:17" x14ac:dyDescent="0.2">
      <c r="A2520" s="30" t="str">
        <f>IF(C2520&amp;G2520&amp;D2520&lt;&gt;'Funnel setup'!$K$3&amp;'Funnel setup'!$K$4&amp;'Funnel setup'!$K$5,".",IF(A2519=".",1,A2519+1))</f>
        <v>.</v>
      </c>
      <c r="B2520" s="431" t="str">
        <f t="shared" si="39"/>
        <v>Hip Replacement RevisionCCG of GP PracticeNHS EAST SURREY CCG (09L)EQ VAS</v>
      </c>
      <c r="C2520" t="s">
        <v>247</v>
      </c>
      <c r="D2520" t="s">
        <v>87</v>
      </c>
      <c r="E2520" t="s">
        <v>881</v>
      </c>
      <c r="F2520" t="s">
        <v>882</v>
      </c>
      <c r="G2520" t="s">
        <v>179</v>
      </c>
      <c r="H2520">
        <v>6</v>
      </c>
      <c r="I2520">
        <v>49.167000000000002</v>
      </c>
      <c r="J2520">
        <v>50.832999999999998</v>
      </c>
      <c r="K2520">
        <v>1.667</v>
      </c>
      <c r="L2520">
        <v>2</v>
      </c>
      <c r="M2520">
        <v>1</v>
      </c>
      <c r="N2520">
        <v>3</v>
      </c>
      <c r="O2520" t="s">
        <v>53</v>
      </c>
      <c r="P2520" t="s">
        <v>53</v>
      </c>
      <c r="Q2520" t="s">
        <v>53</v>
      </c>
    </row>
    <row r="2521" spans="1:17" x14ac:dyDescent="0.2">
      <c r="A2521" s="30" t="str">
        <f>IF(C2521&amp;G2521&amp;D2521&lt;&gt;'Funnel setup'!$K$3&amp;'Funnel setup'!$K$4&amp;'Funnel setup'!$K$5,".",IF(A2520=".",1,A2520+1))</f>
        <v>.</v>
      </c>
      <c r="B2521" s="431" t="str">
        <f t="shared" si="39"/>
        <v>Hip Replacement RevisionCCG of GP PracticeNHS EASTBOURNE, HAILSHAM AND SEAFORD CCG (09F)EQ VAS</v>
      </c>
      <c r="C2521" t="s">
        <v>247</v>
      </c>
      <c r="D2521" t="s">
        <v>87</v>
      </c>
      <c r="E2521" t="s">
        <v>884</v>
      </c>
      <c r="F2521" t="s">
        <v>885</v>
      </c>
      <c r="G2521" t="s">
        <v>179</v>
      </c>
      <c r="H2521">
        <v>21</v>
      </c>
      <c r="I2521">
        <v>65.524000000000001</v>
      </c>
      <c r="J2521">
        <v>73</v>
      </c>
      <c r="K2521">
        <v>7.476</v>
      </c>
      <c r="L2521">
        <v>11</v>
      </c>
      <c r="M2521">
        <v>6</v>
      </c>
      <c r="N2521">
        <v>4</v>
      </c>
      <c r="O2521" t="s">
        <v>53</v>
      </c>
      <c r="P2521" t="s">
        <v>53</v>
      </c>
      <c r="Q2521" t="s">
        <v>53</v>
      </c>
    </row>
    <row r="2522" spans="1:17" x14ac:dyDescent="0.2">
      <c r="A2522" s="30" t="str">
        <f>IF(C2522&amp;G2522&amp;D2522&lt;&gt;'Funnel setup'!$K$3&amp;'Funnel setup'!$K$4&amp;'Funnel setup'!$K$5,".",IF(A2521=".",1,A2521+1))</f>
        <v>.</v>
      </c>
      <c r="B2522" s="431" t="str">
        <f t="shared" si="39"/>
        <v>Hip Replacement RevisionCCG of GP PracticeNHS EASTERN CHESHIRE CCG (01C)EQ VAS</v>
      </c>
      <c r="C2522" t="s">
        <v>247</v>
      </c>
      <c r="D2522" t="s">
        <v>87</v>
      </c>
      <c r="E2522" t="s">
        <v>887</v>
      </c>
      <c r="F2522" t="s">
        <v>888</v>
      </c>
      <c r="G2522" t="s">
        <v>179</v>
      </c>
      <c r="H2522">
        <v>6</v>
      </c>
      <c r="I2522">
        <v>78</v>
      </c>
      <c r="J2522">
        <v>73.667000000000002</v>
      </c>
      <c r="K2522">
        <v>-4.3330000000000002</v>
      </c>
      <c r="L2522">
        <v>2</v>
      </c>
      <c r="M2522">
        <v>1</v>
      </c>
      <c r="N2522">
        <v>3</v>
      </c>
      <c r="O2522" t="s">
        <v>53</v>
      </c>
      <c r="P2522" t="s">
        <v>53</v>
      </c>
      <c r="Q2522" t="s">
        <v>53</v>
      </c>
    </row>
    <row r="2523" spans="1:17" x14ac:dyDescent="0.2">
      <c r="A2523" s="30" t="str">
        <f>IF(C2523&amp;G2523&amp;D2523&lt;&gt;'Funnel setup'!$K$3&amp;'Funnel setup'!$K$4&amp;'Funnel setup'!$K$5,".",IF(A2522=".",1,A2522+1))</f>
        <v>.</v>
      </c>
      <c r="B2523" s="431" t="str">
        <f t="shared" si="39"/>
        <v>Hip Replacement RevisionCCG of GP PracticeNHS ENFIELD CCG (07X)EQ VAS</v>
      </c>
      <c r="C2523" t="s">
        <v>247</v>
      </c>
      <c r="D2523" t="s">
        <v>87</v>
      </c>
      <c r="E2523" t="s">
        <v>890</v>
      </c>
      <c r="F2523" t="s">
        <v>891</v>
      </c>
      <c r="G2523" t="s">
        <v>179</v>
      </c>
      <c r="H2523" t="s">
        <v>53</v>
      </c>
      <c r="I2523" t="s">
        <v>53</v>
      </c>
      <c r="J2523" t="s">
        <v>53</v>
      </c>
      <c r="K2523" t="s">
        <v>53</v>
      </c>
      <c r="L2523" t="s">
        <v>53</v>
      </c>
      <c r="M2523" t="s">
        <v>53</v>
      </c>
      <c r="N2523" t="s">
        <v>53</v>
      </c>
      <c r="O2523" t="s">
        <v>53</v>
      </c>
      <c r="P2523" t="s">
        <v>53</v>
      </c>
      <c r="Q2523" t="s">
        <v>53</v>
      </c>
    </row>
    <row r="2524" spans="1:17" x14ac:dyDescent="0.2">
      <c r="A2524" s="30" t="str">
        <f>IF(C2524&amp;G2524&amp;D2524&lt;&gt;'Funnel setup'!$K$3&amp;'Funnel setup'!$K$4&amp;'Funnel setup'!$K$5,".",IF(A2523=".",1,A2523+1))</f>
        <v>.</v>
      </c>
      <c r="B2524" s="431" t="str">
        <f t="shared" si="39"/>
        <v>Hip Replacement RevisionCCG of GP PracticeNHS EREWASH CCG (03X)EQ VAS</v>
      </c>
      <c r="C2524" t="s">
        <v>247</v>
      </c>
      <c r="D2524" t="s">
        <v>87</v>
      </c>
      <c r="E2524" t="s">
        <v>893</v>
      </c>
      <c r="F2524" t="s">
        <v>894</v>
      </c>
      <c r="G2524" t="s">
        <v>179</v>
      </c>
      <c r="H2524" t="s">
        <v>53</v>
      </c>
      <c r="I2524" t="s">
        <v>53</v>
      </c>
      <c r="J2524" t="s">
        <v>53</v>
      </c>
      <c r="K2524" t="s">
        <v>53</v>
      </c>
      <c r="L2524" t="s">
        <v>53</v>
      </c>
      <c r="M2524" t="s">
        <v>53</v>
      </c>
      <c r="N2524" t="s">
        <v>53</v>
      </c>
      <c r="O2524" t="s">
        <v>53</v>
      </c>
      <c r="P2524" t="s">
        <v>53</v>
      </c>
      <c r="Q2524" t="s">
        <v>53</v>
      </c>
    </row>
    <row r="2525" spans="1:17" x14ac:dyDescent="0.2">
      <c r="A2525" s="30" t="str">
        <f>IF(C2525&amp;G2525&amp;D2525&lt;&gt;'Funnel setup'!$K$3&amp;'Funnel setup'!$K$4&amp;'Funnel setup'!$K$5,".",IF(A2524=".",1,A2524+1))</f>
        <v>.</v>
      </c>
      <c r="B2525" s="431" t="str">
        <f t="shared" si="39"/>
        <v>Hip Replacement RevisionCCG of GP PracticeNHS FAREHAM AND GOSPORT CCG (10K)EQ VAS</v>
      </c>
      <c r="C2525" t="s">
        <v>247</v>
      </c>
      <c r="D2525" t="s">
        <v>87</v>
      </c>
      <c r="E2525" t="s">
        <v>896</v>
      </c>
      <c r="F2525" t="s">
        <v>897</v>
      </c>
      <c r="G2525" t="s">
        <v>179</v>
      </c>
      <c r="H2525" t="s">
        <v>53</v>
      </c>
      <c r="I2525" t="s">
        <v>53</v>
      </c>
      <c r="J2525" t="s">
        <v>53</v>
      </c>
      <c r="K2525" t="s">
        <v>53</v>
      </c>
      <c r="L2525" t="s">
        <v>53</v>
      </c>
      <c r="M2525" t="s">
        <v>53</v>
      </c>
      <c r="N2525" t="s">
        <v>53</v>
      </c>
      <c r="O2525" t="s">
        <v>53</v>
      </c>
      <c r="P2525" t="s">
        <v>53</v>
      </c>
      <c r="Q2525" t="s">
        <v>53</v>
      </c>
    </row>
    <row r="2526" spans="1:17" x14ac:dyDescent="0.2">
      <c r="A2526" s="30" t="str">
        <f>IF(C2526&amp;G2526&amp;D2526&lt;&gt;'Funnel setup'!$K$3&amp;'Funnel setup'!$K$4&amp;'Funnel setup'!$K$5,".",IF(A2525=".",1,A2525+1))</f>
        <v>.</v>
      </c>
      <c r="B2526" s="431" t="str">
        <f t="shared" si="39"/>
        <v>Hip Replacement RevisionCCG of GP PracticeNHS FYLDE &amp; WYRE CCG (02M)EQ VAS</v>
      </c>
      <c r="C2526" t="s">
        <v>247</v>
      </c>
      <c r="D2526" t="s">
        <v>87</v>
      </c>
      <c r="E2526" t="s">
        <v>899</v>
      </c>
      <c r="F2526" t="s">
        <v>900</v>
      </c>
      <c r="G2526" t="s">
        <v>179</v>
      </c>
      <c r="H2526" t="s">
        <v>53</v>
      </c>
      <c r="I2526" t="s">
        <v>53</v>
      </c>
      <c r="J2526" t="s">
        <v>53</v>
      </c>
      <c r="K2526" t="s">
        <v>53</v>
      </c>
      <c r="L2526" t="s">
        <v>53</v>
      </c>
      <c r="M2526" t="s">
        <v>53</v>
      </c>
      <c r="N2526" t="s">
        <v>53</v>
      </c>
      <c r="O2526" t="s">
        <v>53</v>
      </c>
      <c r="P2526" t="s">
        <v>53</v>
      </c>
      <c r="Q2526" t="s">
        <v>53</v>
      </c>
    </row>
    <row r="2527" spans="1:17" x14ac:dyDescent="0.2">
      <c r="A2527" s="30" t="str">
        <f>IF(C2527&amp;G2527&amp;D2527&lt;&gt;'Funnel setup'!$K$3&amp;'Funnel setup'!$K$4&amp;'Funnel setup'!$K$5,".",IF(A2526=".",1,A2526+1))</f>
        <v>.</v>
      </c>
      <c r="B2527" s="431" t="str">
        <f t="shared" si="39"/>
        <v>Hip Replacement RevisionCCG of GP PracticeNHS GLOUCESTERSHIRE CCG (11M)EQ VAS</v>
      </c>
      <c r="C2527" t="s">
        <v>247</v>
      </c>
      <c r="D2527" t="s">
        <v>87</v>
      </c>
      <c r="E2527" t="s">
        <v>902</v>
      </c>
      <c r="F2527" t="s">
        <v>903</v>
      </c>
      <c r="G2527" t="s">
        <v>179</v>
      </c>
      <c r="H2527">
        <v>36</v>
      </c>
      <c r="I2527">
        <v>60.777999999999999</v>
      </c>
      <c r="J2527">
        <v>61.722000000000001</v>
      </c>
      <c r="K2527">
        <v>0.94399999999999995</v>
      </c>
      <c r="L2527">
        <v>17</v>
      </c>
      <c r="M2527">
        <v>3</v>
      </c>
      <c r="N2527">
        <v>16</v>
      </c>
      <c r="O2527">
        <v>62.79</v>
      </c>
      <c r="P2527">
        <v>-1.980022704</v>
      </c>
      <c r="Q2527">
        <v>20.927</v>
      </c>
    </row>
    <row r="2528" spans="1:17" x14ac:dyDescent="0.2">
      <c r="A2528" s="30" t="str">
        <f>IF(C2528&amp;G2528&amp;D2528&lt;&gt;'Funnel setup'!$K$3&amp;'Funnel setup'!$K$4&amp;'Funnel setup'!$K$5,".",IF(A2527=".",1,A2527+1))</f>
        <v>.</v>
      </c>
      <c r="B2528" s="431" t="str">
        <f t="shared" si="39"/>
        <v>Hip Replacement RevisionCCG of GP PracticeNHS GREAT YARMOUTH AND WAVENEY CCG (06M)EQ VAS</v>
      </c>
      <c r="C2528" t="s">
        <v>247</v>
      </c>
      <c r="D2528" t="s">
        <v>87</v>
      </c>
      <c r="E2528" t="s">
        <v>905</v>
      </c>
      <c r="F2528" t="s">
        <v>906</v>
      </c>
      <c r="G2528" t="s">
        <v>179</v>
      </c>
      <c r="H2528">
        <v>8</v>
      </c>
      <c r="I2528">
        <v>71</v>
      </c>
      <c r="J2528">
        <v>73.125</v>
      </c>
      <c r="K2528">
        <v>2.125</v>
      </c>
      <c r="L2528">
        <v>2</v>
      </c>
      <c r="M2528">
        <v>4</v>
      </c>
      <c r="N2528">
        <v>2</v>
      </c>
      <c r="O2528" t="s">
        <v>53</v>
      </c>
      <c r="P2528" t="s">
        <v>53</v>
      </c>
      <c r="Q2528" t="s">
        <v>53</v>
      </c>
    </row>
    <row r="2529" spans="1:17" x14ac:dyDescent="0.2">
      <c r="A2529" s="30" t="str">
        <f>IF(C2529&amp;G2529&amp;D2529&lt;&gt;'Funnel setup'!$K$3&amp;'Funnel setup'!$K$4&amp;'Funnel setup'!$K$5,".",IF(A2528=".",1,A2528+1))</f>
        <v>.</v>
      </c>
      <c r="B2529" s="431" t="str">
        <f t="shared" si="39"/>
        <v>Hip Replacement RevisionCCG of GP PracticeNHS GREATER HUDDERSFIELD CCG (03A)EQ VAS</v>
      </c>
      <c r="C2529" t="s">
        <v>247</v>
      </c>
      <c r="D2529" t="s">
        <v>87</v>
      </c>
      <c r="E2529" t="s">
        <v>908</v>
      </c>
      <c r="F2529" t="s">
        <v>909</v>
      </c>
      <c r="G2529" t="s">
        <v>179</v>
      </c>
      <c r="H2529">
        <v>13</v>
      </c>
      <c r="I2529">
        <v>69.462000000000003</v>
      </c>
      <c r="J2529">
        <v>71.691999999999993</v>
      </c>
      <c r="K2529">
        <v>2.2309999999999999</v>
      </c>
      <c r="L2529">
        <v>5</v>
      </c>
      <c r="M2529">
        <v>2</v>
      </c>
      <c r="N2529">
        <v>6</v>
      </c>
      <c r="O2529" t="s">
        <v>53</v>
      </c>
      <c r="P2529" t="s">
        <v>53</v>
      </c>
      <c r="Q2529" t="s">
        <v>53</v>
      </c>
    </row>
    <row r="2530" spans="1:17" x14ac:dyDescent="0.2">
      <c r="A2530" s="30" t="str">
        <f>IF(C2530&amp;G2530&amp;D2530&lt;&gt;'Funnel setup'!$K$3&amp;'Funnel setup'!$K$4&amp;'Funnel setup'!$K$5,".",IF(A2529=".",1,A2529+1))</f>
        <v>.</v>
      </c>
      <c r="B2530" s="431" t="str">
        <f t="shared" si="39"/>
        <v>Hip Replacement RevisionCCG of GP PracticeNHS GREATER PRESTON CCG (01E)EQ VAS</v>
      </c>
      <c r="C2530" t="s">
        <v>247</v>
      </c>
      <c r="D2530" t="s">
        <v>87</v>
      </c>
      <c r="E2530" t="s">
        <v>486</v>
      </c>
      <c r="F2530" t="s">
        <v>487</v>
      </c>
      <c r="G2530" t="s">
        <v>179</v>
      </c>
      <c r="H2530">
        <v>16</v>
      </c>
      <c r="I2530">
        <v>67.438000000000002</v>
      </c>
      <c r="J2530">
        <v>75</v>
      </c>
      <c r="K2530">
        <v>7.5629999999999997</v>
      </c>
      <c r="L2530">
        <v>13</v>
      </c>
      <c r="M2530">
        <v>0</v>
      </c>
      <c r="N2530">
        <v>3</v>
      </c>
      <c r="O2530" t="s">
        <v>53</v>
      </c>
      <c r="P2530" t="s">
        <v>53</v>
      </c>
      <c r="Q2530" t="s">
        <v>53</v>
      </c>
    </row>
    <row r="2531" spans="1:17" x14ac:dyDescent="0.2">
      <c r="A2531" s="30" t="str">
        <f>IF(C2531&amp;G2531&amp;D2531&lt;&gt;'Funnel setup'!$K$3&amp;'Funnel setup'!$K$4&amp;'Funnel setup'!$K$5,".",IF(A2530=".",1,A2530+1))</f>
        <v>.</v>
      </c>
      <c r="B2531" s="431" t="str">
        <f t="shared" si="39"/>
        <v>Hip Replacement RevisionCCG of GP PracticeNHS GREENWICH CCG (08A)EQ VAS</v>
      </c>
      <c r="C2531" t="s">
        <v>247</v>
      </c>
      <c r="D2531" t="s">
        <v>87</v>
      </c>
      <c r="E2531" t="s">
        <v>489</v>
      </c>
      <c r="F2531" t="s">
        <v>490</v>
      </c>
      <c r="G2531" t="s">
        <v>179</v>
      </c>
      <c r="H2531" t="s">
        <v>53</v>
      </c>
      <c r="I2531" t="s">
        <v>53</v>
      </c>
      <c r="J2531" t="s">
        <v>53</v>
      </c>
      <c r="K2531" t="s">
        <v>53</v>
      </c>
      <c r="L2531" t="s">
        <v>53</v>
      </c>
      <c r="M2531" t="s">
        <v>53</v>
      </c>
      <c r="N2531" t="s">
        <v>53</v>
      </c>
      <c r="O2531" t="s">
        <v>53</v>
      </c>
      <c r="P2531" t="s">
        <v>53</v>
      </c>
      <c r="Q2531" t="s">
        <v>53</v>
      </c>
    </row>
    <row r="2532" spans="1:17" x14ac:dyDescent="0.2">
      <c r="A2532" s="30" t="str">
        <f>IF(C2532&amp;G2532&amp;D2532&lt;&gt;'Funnel setup'!$K$3&amp;'Funnel setup'!$K$4&amp;'Funnel setup'!$K$5,".",IF(A2531=".",1,A2531+1))</f>
        <v>.</v>
      </c>
      <c r="B2532" s="431" t="str">
        <f t="shared" si="39"/>
        <v>Hip Replacement RevisionCCG of GP PracticeNHS GUILDFORD AND WAVERLEY CCG (09N)EQ VAS</v>
      </c>
      <c r="C2532" t="s">
        <v>247</v>
      </c>
      <c r="D2532" t="s">
        <v>87</v>
      </c>
      <c r="E2532" t="s">
        <v>911</v>
      </c>
      <c r="F2532" t="s">
        <v>912</v>
      </c>
      <c r="G2532" t="s">
        <v>179</v>
      </c>
      <c r="H2532">
        <v>6</v>
      </c>
      <c r="I2532">
        <v>54.167000000000002</v>
      </c>
      <c r="J2532">
        <v>55</v>
      </c>
      <c r="K2532">
        <v>0.83299999999999996</v>
      </c>
      <c r="L2532">
        <v>3</v>
      </c>
      <c r="M2532">
        <v>1</v>
      </c>
      <c r="N2532">
        <v>2</v>
      </c>
      <c r="O2532" t="s">
        <v>53</v>
      </c>
      <c r="P2532" t="s">
        <v>53</v>
      </c>
      <c r="Q2532" t="s">
        <v>53</v>
      </c>
    </row>
    <row r="2533" spans="1:17" x14ac:dyDescent="0.2">
      <c r="A2533" s="30" t="str">
        <f>IF(C2533&amp;G2533&amp;D2533&lt;&gt;'Funnel setup'!$K$3&amp;'Funnel setup'!$K$4&amp;'Funnel setup'!$K$5,".",IF(A2532=".",1,A2532+1))</f>
        <v>.</v>
      </c>
      <c r="B2533" s="431" t="str">
        <f t="shared" si="39"/>
        <v>Hip Replacement RevisionCCG of GP PracticeNHS HALTON CCG (01F)EQ VAS</v>
      </c>
      <c r="C2533" t="s">
        <v>247</v>
      </c>
      <c r="D2533" t="s">
        <v>87</v>
      </c>
      <c r="E2533" t="s">
        <v>914</v>
      </c>
      <c r="F2533" t="s">
        <v>915</v>
      </c>
      <c r="G2533" t="s">
        <v>179</v>
      </c>
      <c r="H2533" t="s">
        <v>53</v>
      </c>
      <c r="I2533" t="s">
        <v>53</v>
      </c>
      <c r="J2533" t="s">
        <v>53</v>
      </c>
      <c r="K2533" t="s">
        <v>53</v>
      </c>
      <c r="L2533" t="s">
        <v>53</v>
      </c>
      <c r="M2533" t="s">
        <v>53</v>
      </c>
      <c r="N2533" t="s">
        <v>53</v>
      </c>
      <c r="O2533" t="s">
        <v>53</v>
      </c>
      <c r="P2533" t="s">
        <v>53</v>
      </c>
      <c r="Q2533" t="s">
        <v>53</v>
      </c>
    </row>
    <row r="2534" spans="1:17" x14ac:dyDescent="0.2">
      <c r="A2534" s="30" t="str">
        <f>IF(C2534&amp;G2534&amp;D2534&lt;&gt;'Funnel setup'!$K$3&amp;'Funnel setup'!$K$4&amp;'Funnel setup'!$K$5,".",IF(A2533=".",1,A2533+1))</f>
        <v>.</v>
      </c>
      <c r="B2534" s="431" t="str">
        <f t="shared" si="39"/>
        <v>Hip Replacement RevisionCCG of GP PracticeNHS HAMBLETON, RICHMONDSHIRE AND WHITBY CCG (03D)EQ VAS</v>
      </c>
      <c r="C2534" t="s">
        <v>247</v>
      </c>
      <c r="D2534" t="s">
        <v>87</v>
      </c>
      <c r="E2534" t="s">
        <v>917</v>
      </c>
      <c r="F2534" t="s">
        <v>918</v>
      </c>
      <c r="G2534" t="s">
        <v>179</v>
      </c>
      <c r="H2534">
        <v>18</v>
      </c>
      <c r="I2534">
        <v>66.388999999999996</v>
      </c>
      <c r="J2534">
        <v>72.167000000000002</v>
      </c>
      <c r="K2534">
        <v>5.7779999999999996</v>
      </c>
      <c r="L2534">
        <v>10</v>
      </c>
      <c r="M2534">
        <v>1</v>
      </c>
      <c r="N2534">
        <v>7</v>
      </c>
      <c r="O2534" t="s">
        <v>53</v>
      </c>
      <c r="P2534" t="s">
        <v>53</v>
      </c>
      <c r="Q2534" t="s">
        <v>53</v>
      </c>
    </row>
    <row r="2535" spans="1:17" x14ac:dyDescent="0.2">
      <c r="A2535" s="30" t="str">
        <f>IF(C2535&amp;G2535&amp;D2535&lt;&gt;'Funnel setup'!$K$3&amp;'Funnel setup'!$K$4&amp;'Funnel setup'!$K$5,".",IF(A2534=".",1,A2534+1))</f>
        <v>.</v>
      </c>
      <c r="B2535" s="431" t="str">
        <f t="shared" si="39"/>
        <v>Hip Replacement RevisionCCG of GP PracticeNHS HAMMERSMITH AND FULHAM CCG (08C)EQ VAS</v>
      </c>
      <c r="C2535" t="s">
        <v>247</v>
      </c>
      <c r="D2535" t="s">
        <v>87</v>
      </c>
      <c r="E2535" t="s">
        <v>920</v>
      </c>
      <c r="F2535" t="s">
        <v>921</v>
      </c>
      <c r="G2535" t="s">
        <v>179</v>
      </c>
      <c r="H2535" t="s">
        <v>53</v>
      </c>
      <c r="I2535" t="s">
        <v>53</v>
      </c>
      <c r="J2535" t="s">
        <v>53</v>
      </c>
      <c r="K2535" t="s">
        <v>53</v>
      </c>
      <c r="L2535" t="s">
        <v>53</v>
      </c>
      <c r="M2535" t="s">
        <v>53</v>
      </c>
      <c r="N2535" t="s">
        <v>53</v>
      </c>
      <c r="O2535" t="s">
        <v>53</v>
      </c>
      <c r="P2535" t="s">
        <v>53</v>
      </c>
      <c r="Q2535" t="s">
        <v>53</v>
      </c>
    </row>
    <row r="2536" spans="1:17" x14ac:dyDescent="0.2">
      <c r="A2536" s="30" t="str">
        <f>IF(C2536&amp;G2536&amp;D2536&lt;&gt;'Funnel setup'!$K$3&amp;'Funnel setup'!$K$4&amp;'Funnel setup'!$K$5,".",IF(A2535=".",1,A2535+1))</f>
        <v>.</v>
      </c>
      <c r="B2536" s="431" t="str">
        <f t="shared" si="39"/>
        <v>Hip Replacement RevisionCCG of GP PracticeNHS HARDWICK CCG (03Y)EQ VAS</v>
      </c>
      <c r="C2536" t="s">
        <v>247</v>
      </c>
      <c r="D2536" t="s">
        <v>87</v>
      </c>
      <c r="E2536" t="s">
        <v>923</v>
      </c>
      <c r="F2536" t="s">
        <v>924</v>
      </c>
      <c r="G2536" t="s">
        <v>179</v>
      </c>
      <c r="H2536" t="s">
        <v>53</v>
      </c>
      <c r="I2536" t="s">
        <v>53</v>
      </c>
      <c r="J2536" t="s">
        <v>53</v>
      </c>
      <c r="K2536" t="s">
        <v>53</v>
      </c>
      <c r="L2536" t="s">
        <v>53</v>
      </c>
      <c r="M2536" t="s">
        <v>53</v>
      </c>
      <c r="N2536" t="s">
        <v>53</v>
      </c>
      <c r="O2536" t="s">
        <v>53</v>
      </c>
      <c r="P2536" t="s">
        <v>53</v>
      </c>
      <c r="Q2536" t="s">
        <v>53</v>
      </c>
    </row>
    <row r="2537" spans="1:17" x14ac:dyDescent="0.2">
      <c r="A2537" s="30" t="str">
        <f>IF(C2537&amp;G2537&amp;D2537&lt;&gt;'Funnel setup'!$K$3&amp;'Funnel setup'!$K$4&amp;'Funnel setup'!$K$5,".",IF(A2536=".",1,A2536+1))</f>
        <v>.</v>
      </c>
      <c r="B2537" s="431" t="str">
        <f t="shared" si="39"/>
        <v>Hip Replacement RevisionCCG of GP PracticeNHS HARINGEY CCG (08D)EQ VAS</v>
      </c>
      <c r="C2537" t="s">
        <v>247</v>
      </c>
      <c r="D2537" t="s">
        <v>87</v>
      </c>
      <c r="E2537" t="s">
        <v>926</v>
      </c>
      <c r="F2537" t="s">
        <v>927</v>
      </c>
      <c r="G2537" t="s">
        <v>179</v>
      </c>
      <c r="H2537" t="s">
        <v>53</v>
      </c>
      <c r="I2537" t="s">
        <v>53</v>
      </c>
      <c r="J2537" t="s">
        <v>53</v>
      </c>
      <c r="K2537" t="s">
        <v>53</v>
      </c>
      <c r="L2537" t="s">
        <v>53</v>
      </c>
      <c r="M2537" t="s">
        <v>53</v>
      </c>
      <c r="N2537" t="s">
        <v>53</v>
      </c>
      <c r="O2537" t="s">
        <v>53</v>
      </c>
      <c r="P2537" t="s">
        <v>53</v>
      </c>
      <c r="Q2537" t="s">
        <v>53</v>
      </c>
    </row>
    <row r="2538" spans="1:17" x14ac:dyDescent="0.2">
      <c r="A2538" s="30" t="str">
        <f>IF(C2538&amp;G2538&amp;D2538&lt;&gt;'Funnel setup'!$K$3&amp;'Funnel setup'!$K$4&amp;'Funnel setup'!$K$5,".",IF(A2537=".",1,A2537+1))</f>
        <v>.</v>
      </c>
      <c r="B2538" s="431" t="str">
        <f t="shared" si="39"/>
        <v>Hip Replacement RevisionCCG of GP PracticeNHS HARROGATE AND RURAL DISTRICT CCG (03E)EQ VAS</v>
      </c>
      <c r="C2538" t="s">
        <v>247</v>
      </c>
      <c r="D2538" t="s">
        <v>87</v>
      </c>
      <c r="E2538" t="s">
        <v>929</v>
      </c>
      <c r="F2538" t="s">
        <v>930</v>
      </c>
      <c r="G2538" t="s">
        <v>179</v>
      </c>
      <c r="H2538">
        <v>14</v>
      </c>
      <c r="I2538">
        <v>71.356999999999999</v>
      </c>
      <c r="J2538">
        <v>73.570999999999998</v>
      </c>
      <c r="K2538">
        <v>2.214</v>
      </c>
      <c r="L2538">
        <v>7</v>
      </c>
      <c r="M2538">
        <v>1</v>
      </c>
      <c r="N2538">
        <v>6</v>
      </c>
      <c r="O2538" t="s">
        <v>53</v>
      </c>
      <c r="P2538" t="s">
        <v>53</v>
      </c>
      <c r="Q2538" t="s">
        <v>53</v>
      </c>
    </row>
    <row r="2539" spans="1:17" x14ac:dyDescent="0.2">
      <c r="A2539" s="30" t="str">
        <f>IF(C2539&amp;G2539&amp;D2539&lt;&gt;'Funnel setup'!$K$3&amp;'Funnel setup'!$K$4&amp;'Funnel setup'!$K$5,".",IF(A2538=".",1,A2538+1))</f>
        <v>.</v>
      </c>
      <c r="B2539" s="431" t="str">
        <f t="shared" si="39"/>
        <v>Hip Replacement RevisionCCG of GP PracticeNHS HARROW CCG (08E)EQ VAS</v>
      </c>
      <c r="C2539" t="s">
        <v>247</v>
      </c>
      <c r="D2539" t="s">
        <v>87</v>
      </c>
      <c r="E2539" t="s">
        <v>492</v>
      </c>
      <c r="F2539" t="s">
        <v>493</v>
      </c>
      <c r="G2539" t="s">
        <v>179</v>
      </c>
      <c r="H2539">
        <v>6</v>
      </c>
      <c r="I2539">
        <v>59</v>
      </c>
      <c r="J2539">
        <v>71</v>
      </c>
      <c r="K2539">
        <v>12</v>
      </c>
      <c r="L2539">
        <v>4</v>
      </c>
      <c r="M2539">
        <v>1</v>
      </c>
      <c r="N2539">
        <v>1</v>
      </c>
      <c r="O2539" t="s">
        <v>53</v>
      </c>
      <c r="P2539" t="s">
        <v>53</v>
      </c>
      <c r="Q2539" t="s">
        <v>53</v>
      </c>
    </row>
    <row r="2540" spans="1:17" x14ac:dyDescent="0.2">
      <c r="A2540" s="30" t="str">
        <f>IF(C2540&amp;G2540&amp;D2540&lt;&gt;'Funnel setup'!$K$3&amp;'Funnel setup'!$K$4&amp;'Funnel setup'!$K$5,".",IF(A2539=".",1,A2539+1))</f>
        <v>.</v>
      </c>
      <c r="B2540" s="431" t="str">
        <f t="shared" si="39"/>
        <v>Hip Replacement RevisionCCG of GP PracticeNHS HARTLEPOOL AND STOCKTON-ON-TEES CCG (00K)EQ VAS</v>
      </c>
      <c r="C2540" t="s">
        <v>247</v>
      </c>
      <c r="D2540" t="s">
        <v>87</v>
      </c>
      <c r="E2540" t="s">
        <v>495</v>
      </c>
      <c r="F2540" t="s">
        <v>496</v>
      </c>
      <c r="G2540" t="s">
        <v>179</v>
      </c>
      <c r="H2540">
        <v>22</v>
      </c>
      <c r="I2540">
        <v>55.182000000000002</v>
      </c>
      <c r="J2540">
        <v>74.454999999999998</v>
      </c>
      <c r="K2540">
        <v>19.273</v>
      </c>
      <c r="L2540">
        <v>17</v>
      </c>
      <c r="M2540">
        <v>0</v>
      </c>
      <c r="N2540">
        <v>5</v>
      </c>
      <c r="O2540" t="s">
        <v>53</v>
      </c>
      <c r="P2540" t="s">
        <v>53</v>
      </c>
      <c r="Q2540" t="s">
        <v>53</v>
      </c>
    </row>
    <row r="2541" spans="1:17" x14ac:dyDescent="0.2">
      <c r="A2541" s="30" t="str">
        <f>IF(C2541&amp;G2541&amp;D2541&lt;&gt;'Funnel setup'!$K$3&amp;'Funnel setup'!$K$4&amp;'Funnel setup'!$K$5,".",IF(A2540=".",1,A2540+1))</f>
        <v>.</v>
      </c>
      <c r="B2541" s="431" t="str">
        <f t="shared" si="39"/>
        <v>Hip Replacement RevisionCCG of GP PracticeNHS HASTINGS AND ROTHER CCG (09P)EQ VAS</v>
      </c>
      <c r="C2541" t="s">
        <v>247</v>
      </c>
      <c r="D2541" t="s">
        <v>87</v>
      </c>
      <c r="E2541" t="s">
        <v>498</v>
      </c>
      <c r="F2541" t="s">
        <v>499</v>
      </c>
      <c r="G2541" t="s">
        <v>179</v>
      </c>
      <c r="H2541">
        <v>17</v>
      </c>
      <c r="I2541">
        <v>74.412000000000006</v>
      </c>
      <c r="J2541">
        <v>71.941000000000003</v>
      </c>
      <c r="K2541">
        <v>-2.4710000000000001</v>
      </c>
      <c r="L2541">
        <v>7</v>
      </c>
      <c r="M2541">
        <v>2</v>
      </c>
      <c r="N2541">
        <v>8</v>
      </c>
      <c r="O2541" t="s">
        <v>53</v>
      </c>
      <c r="P2541" t="s">
        <v>53</v>
      </c>
      <c r="Q2541" t="s">
        <v>53</v>
      </c>
    </row>
    <row r="2542" spans="1:17" x14ac:dyDescent="0.2">
      <c r="A2542" s="30" t="str">
        <f>IF(C2542&amp;G2542&amp;D2542&lt;&gt;'Funnel setup'!$K$3&amp;'Funnel setup'!$K$4&amp;'Funnel setup'!$K$5,".",IF(A2541=".",1,A2541+1))</f>
        <v>.</v>
      </c>
      <c r="B2542" s="431" t="str">
        <f t="shared" si="39"/>
        <v>Hip Replacement RevisionCCG of GP PracticeNHS HAVERING CCG (08F)EQ VAS</v>
      </c>
      <c r="C2542" t="s">
        <v>247</v>
      </c>
      <c r="D2542" t="s">
        <v>87</v>
      </c>
      <c r="E2542" t="s">
        <v>501</v>
      </c>
      <c r="F2542" t="s">
        <v>502</v>
      </c>
      <c r="G2542" t="s">
        <v>179</v>
      </c>
      <c r="H2542" t="s">
        <v>53</v>
      </c>
      <c r="I2542" t="s">
        <v>53</v>
      </c>
      <c r="J2542" t="s">
        <v>53</v>
      </c>
      <c r="K2542" t="s">
        <v>53</v>
      </c>
      <c r="L2542" t="s">
        <v>53</v>
      </c>
      <c r="M2542" t="s">
        <v>53</v>
      </c>
      <c r="N2542" t="s">
        <v>53</v>
      </c>
      <c r="O2542" t="s">
        <v>53</v>
      </c>
      <c r="P2542" t="s">
        <v>53</v>
      </c>
      <c r="Q2542" t="s">
        <v>53</v>
      </c>
    </row>
    <row r="2543" spans="1:17" x14ac:dyDescent="0.2">
      <c r="A2543" s="30" t="str">
        <f>IF(C2543&amp;G2543&amp;D2543&lt;&gt;'Funnel setup'!$K$3&amp;'Funnel setup'!$K$4&amp;'Funnel setup'!$K$5,".",IF(A2542=".",1,A2542+1))</f>
        <v>.</v>
      </c>
      <c r="B2543" s="431" t="str">
        <f t="shared" si="39"/>
        <v>Hip Replacement RevisionCCG of GP PracticeNHS HEREFORDSHIRE CCG (05F)EQ VAS</v>
      </c>
      <c r="C2543" t="s">
        <v>247</v>
      </c>
      <c r="D2543" t="s">
        <v>87</v>
      </c>
      <c r="E2543" t="s">
        <v>504</v>
      </c>
      <c r="F2543" t="s">
        <v>505</v>
      </c>
      <c r="G2543" t="s">
        <v>179</v>
      </c>
      <c r="H2543">
        <v>6</v>
      </c>
      <c r="I2543">
        <v>68.332999999999998</v>
      </c>
      <c r="J2543">
        <v>69.167000000000002</v>
      </c>
      <c r="K2543">
        <v>0.83299999999999996</v>
      </c>
      <c r="L2543">
        <v>3</v>
      </c>
      <c r="M2543">
        <v>1</v>
      </c>
      <c r="N2543">
        <v>2</v>
      </c>
      <c r="O2543" t="s">
        <v>53</v>
      </c>
      <c r="P2543" t="s">
        <v>53</v>
      </c>
      <c r="Q2543" t="s">
        <v>53</v>
      </c>
    </row>
    <row r="2544" spans="1:17" x14ac:dyDescent="0.2">
      <c r="A2544" s="30" t="str">
        <f>IF(C2544&amp;G2544&amp;D2544&lt;&gt;'Funnel setup'!$K$3&amp;'Funnel setup'!$K$4&amp;'Funnel setup'!$K$5,".",IF(A2543=".",1,A2543+1))</f>
        <v>.</v>
      </c>
      <c r="B2544" s="431" t="str">
        <f t="shared" si="39"/>
        <v>Hip Replacement RevisionCCG of GP PracticeNHS HERTS VALLEYS CCG (06N)EQ VAS</v>
      </c>
      <c r="C2544" t="s">
        <v>247</v>
      </c>
      <c r="D2544" t="s">
        <v>87</v>
      </c>
      <c r="E2544" t="s">
        <v>507</v>
      </c>
      <c r="F2544" t="s">
        <v>508</v>
      </c>
      <c r="G2544" t="s">
        <v>179</v>
      </c>
      <c r="H2544">
        <v>22</v>
      </c>
      <c r="I2544">
        <v>69.182000000000002</v>
      </c>
      <c r="J2544">
        <v>67.317999999999998</v>
      </c>
      <c r="K2544">
        <v>-1.8640000000000001</v>
      </c>
      <c r="L2544">
        <v>10</v>
      </c>
      <c r="M2544">
        <v>2</v>
      </c>
      <c r="N2544">
        <v>10</v>
      </c>
      <c r="O2544" t="s">
        <v>53</v>
      </c>
      <c r="P2544" t="s">
        <v>53</v>
      </c>
      <c r="Q2544" t="s">
        <v>53</v>
      </c>
    </row>
    <row r="2545" spans="1:17" x14ac:dyDescent="0.2">
      <c r="A2545" s="30" t="str">
        <f>IF(C2545&amp;G2545&amp;D2545&lt;&gt;'Funnel setup'!$K$3&amp;'Funnel setup'!$K$4&amp;'Funnel setup'!$K$5,".",IF(A2544=".",1,A2544+1))</f>
        <v>.</v>
      </c>
      <c r="B2545" s="431" t="str">
        <f t="shared" si="39"/>
        <v>Hip Replacement RevisionCCG of GP PracticeNHS HEYWOOD, MIDDLETON AND ROCHDALE CCG (01D)EQ VAS</v>
      </c>
      <c r="C2545" t="s">
        <v>247</v>
      </c>
      <c r="D2545" t="s">
        <v>87</v>
      </c>
      <c r="E2545" t="s">
        <v>510</v>
      </c>
      <c r="F2545" t="s">
        <v>511</v>
      </c>
      <c r="G2545" t="s">
        <v>179</v>
      </c>
      <c r="H2545">
        <v>12</v>
      </c>
      <c r="I2545">
        <v>67</v>
      </c>
      <c r="J2545">
        <v>72.5</v>
      </c>
      <c r="K2545">
        <v>5.5</v>
      </c>
      <c r="L2545">
        <v>7</v>
      </c>
      <c r="M2545">
        <v>1</v>
      </c>
      <c r="N2545">
        <v>4</v>
      </c>
      <c r="O2545" t="s">
        <v>53</v>
      </c>
      <c r="P2545" t="s">
        <v>53</v>
      </c>
      <c r="Q2545" t="s">
        <v>53</v>
      </c>
    </row>
    <row r="2546" spans="1:17" x14ac:dyDescent="0.2">
      <c r="A2546" s="30" t="str">
        <f>IF(C2546&amp;G2546&amp;D2546&lt;&gt;'Funnel setup'!$K$3&amp;'Funnel setup'!$K$4&amp;'Funnel setup'!$K$5,".",IF(A2545=".",1,A2545+1))</f>
        <v>.</v>
      </c>
      <c r="B2546" s="431" t="str">
        <f t="shared" si="39"/>
        <v>Hip Replacement RevisionCCG of GP PracticeNHS HIGH WEALD LEWES HAVENS CCG (99K)EQ VAS</v>
      </c>
      <c r="C2546" t="s">
        <v>247</v>
      </c>
      <c r="D2546" t="s">
        <v>87</v>
      </c>
      <c r="E2546" t="s">
        <v>513</v>
      </c>
      <c r="F2546" t="s">
        <v>514</v>
      </c>
      <c r="G2546" t="s">
        <v>179</v>
      </c>
      <c r="H2546">
        <v>12</v>
      </c>
      <c r="I2546">
        <v>80.582999999999998</v>
      </c>
      <c r="J2546">
        <v>72.082999999999998</v>
      </c>
      <c r="K2546">
        <v>-8.5</v>
      </c>
      <c r="L2546">
        <v>6</v>
      </c>
      <c r="M2546">
        <v>0</v>
      </c>
      <c r="N2546">
        <v>6</v>
      </c>
      <c r="O2546" t="s">
        <v>53</v>
      </c>
      <c r="P2546" t="s">
        <v>53</v>
      </c>
      <c r="Q2546" t="s">
        <v>53</v>
      </c>
    </row>
    <row r="2547" spans="1:17" x14ac:dyDescent="0.2">
      <c r="A2547" s="30" t="str">
        <f>IF(C2547&amp;G2547&amp;D2547&lt;&gt;'Funnel setup'!$K$3&amp;'Funnel setup'!$K$4&amp;'Funnel setup'!$K$5,".",IF(A2546=".",1,A2546+1))</f>
        <v>.</v>
      </c>
      <c r="B2547" s="431" t="str">
        <f t="shared" si="39"/>
        <v>Hip Replacement RevisionCCG of GP PracticeNHS HILLINGDON CCG (08G)EQ VAS</v>
      </c>
      <c r="C2547" t="s">
        <v>247</v>
      </c>
      <c r="D2547" t="s">
        <v>87</v>
      </c>
      <c r="E2547" t="s">
        <v>516</v>
      </c>
      <c r="F2547" t="s">
        <v>517</v>
      </c>
      <c r="G2547" t="s">
        <v>179</v>
      </c>
      <c r="H2547" t="s">
        <v>53</v>
      </c>
      <c r="I2547" t="s">
        <v>53</v>
      </c>
      <c r="J2547" t="s">
        <v>53</v>
      </c>
      <c r="K2547" t="s">
        <v>53</v>
      </c>
      <c r="L2547" t="s">
        <v>53</v>
      </c>
      <c r="M2547" t="s">
        <v>53</v>
      </c>
      <c r="N2547" t="s">
        <v>53</v>
      </c>
      <c r="O2547" t="s">
        <v>53</v>
      </c>
      <c r="P2547" t="s">
        <v>53</v>
      </c>
      <c r="Q2547" t="s">
        <v>53</v>
      </c>
    </row>
    <row r="2548" spans="1:17" x14ac:dyDescent="0.2">
      <c r="A2548" s="30" t="str">
        <f>IF(C2548&amp;G2548&amp;D2548&lt;&gt;'Funnel setup'!$K$3&amp;'Funnel setup'!$K$4&amp;'Funnel setup'!$K$5,".",IF(A2547=".",1,A2547+1))</f>
        <v>.</v>
      </c>
      <c r="B2548" s="431" t="str">
        <f t="shared" si="39"/>
        <v>Hip Replacement RevisionCCG of GP PracticeNHS HORSHAM AND MID SUSSEX CCG (09X)EQ VAS</v>
      </c>
      <c r="C2548" t="s">
        <v>247</v>
      </c>
      <c r="D2548" t="s">
        <v>87</v>
      </c>
      <c r="E2548" t="s">
        <v>519</v>
      </c>
      <c r="F2548" t="s">
        <v>520</v>
      </c>
      <c r="G2548" t="s">
        <v>179</v>
      </c>
      <c r="H2548">
        <v>15</v>
      </c>
      <c r="I2548">
        <v>62.267000000000003</v>
      </c>
      <c r="J2548">
        <v>73.867000000000004</v>
      </c>
      <c r="K2548">
        <v>11.6</v>
      </c>
      <c r="L2548">
        <v>8</v>
      </c>
      <c r="M2548">
        <v>4</v>
      </c>
      <c r="N2548">
        <v>3</v>
      </c>
      <c r="O2548" t="s">
        <v>53</v>
      </c>
      <c r="P2548" t="s">
        <v>53</v>
      </c>
      <c r="Q2548" t="s">
        <v>53</v>
      </c>
    </row>
    <row r="2549" spans="1:17" x14ac:dyDescent="0.2">
      <c r="A2549" s="30" t="str">
        <f>IF(C2549&amp;G2549&amp;D2549&lt;&gt;'Funnel setup'!$K$3&amp;'Funnel setup'!$K$4&amp;'Funnel setup'!$K$5,".",IF(A2548=".",1,A2548+1))</f>
        <v>.</v>
      </c>
      <c r="B2549" s="431" t="str">
        <f t="shared" si="39"/>
        <v>Hip Replacement RevisionCCG of GP PracticeNHS HOUNSLOW CCG (07Y)EQ VAS</v>
      </c>
      <c r="C2549" t="s">
        <v>247</v>
      </c>
      <c r="D2549" t="s">
        <v>87</v>
      </c>
      <c r="E2549" t="s">
        <v>522</v>
      </c>
      <c r="F2549" t="s">
        <v>523</v>
      </c>
      <c r="G2549" t="s">
        <v>179</v>
      </c>
      <c r="H2549" t="s">
        <v>53</v>
      </c>
      <c r="I2549" t="s">
        <v>53</v>
      </c>
      <c r="J2549" t="s">
        <v>53</v>
      </c>
      <c r="K2549" t="s">
        <v>53</v>
      </c>
      <c r="L2549" t="s">
        <v>53</v>
      </c>
      <c r="M2549" t="s">
        <v>53</v>
      </c>
      <c r="N2549" t="s">
        <v>53</v>
      </c>
      <c r="O2549" t="s">
        <v>53</v>
      </c>
      <c r="P2549" t="s">
        <v>53</v>
      </c>
      <c r="Q2549" t="s">
        <v>53</v>
      </c>
    </row>
    <row r="2550" spans="1:17" x14ac:dyDescent="0.2">
      <c r="A2550" s="30" t="str">
        <f>IF(C2550&amp;G2550&amp;D2550&lt;&gt;'Funnel setup'!$K$3&amp;'Funnel setup'!$K$4&amp;'Funnel setup'!$K$5,".",IF(A2549=".",1,A2549+1))</f>
        <v>.</v>
      </c>
      <c r="B2550" s="431" t="str">
        <f t="shared" si="39"/>
        <v>Hip Replacement RevisionCCG of GP PracticeNHS HULL CCG (03F)EQ VAS</v>
      </c>
      <c r="C2550" t="s">
        <v>247</v>
      </c>
      <c r="D2550" t="s">
        <v>87</v>
      </c>
      <c r="E2550" t="s">
        <v>525</v>
      </c>
      <c r="F2550" t="s">
        <v>526</v>
      </c>
      <c r="G2550" t="s">
        <v>179</v>
      </c>
      <c r="H2550">
        <v>12</v>
      </c>
      <c r="I2550">
        <v>62.167000000000002</v>
      </c>
      <c r="J2550">
        <v>68.082999999999998</v>
      </c>
      <c r="K2550">
        <v>5.9169999999999998</v>
      </c>
      <c r="L2550">
        <v>7</v>
      </c>
      <c r="M2550">
        <v>1</v>
      </c>
      <c r="N2550">
        <v>4</v>
      </c>
      <c r="O2550" t="s">
        <v>53</v>
      </c>
      <c r="P2550" t="s">
        <v>53</v>
      </c>
      <c r="Q2550" t="s">
        <v>53</v>
      </c>
    </row>
    <row r="2551" spans="1:17" x14ac:dyDescent="0.2">
      <c r="A2551" s="30" t="str">
        <f>IF(C2551&amp;G2551&amp;D2551&lt;&gt;'Funnel setup'!$K$3&amp;'Funnel setup'!$K$4&amp;'Funnel setup'!$K$5,".",IF(A2550=".",1,A2550+1))</f>
        <v>.</v>
      </c>
      <c r="B2551" s="431" t="str">
        <f t="shared" si="39"/>
        <v>Hip Replacement RevisionCCG of GP PracticeNHS IPSWICH AND EAST SUFFOLK CCG (06L)EQ VAS</v>
      </c>
      <c r="C2551" t="s">
        <v>247</v>
      </c>
      <c r="D2551" t="s">
        <v>87</v>
      </c>
      <c r="E2551" t="s">
        <v>528</v>
      </c>
      <c r="F2551" t="s">
        <v>529</v>
      </c>
      <c r="G2551" t="s">
        <v>179</v>
      </c>
      <c r="H2551">
        <v>11</v>
      </c>
      <c r="I2551">
        <v>60.817999999999998</v>
      </c>
      <c r="J2551">
        <v>74.817999999999998</v>
      </c>
      <c r="K2551">
        <v>14</v>
      </c>
      <c r="L2551">
        <v>6</v>
      </c>
      <c r="M2551">
        <v>2</v>
      </c>
      <c r="N2551">
        <v>3</v>
      </c>
      <c r="O2551" t="s">
        <v>53</v>
      </c>
      <c r="P2551" t="s">
        <v>53</v>
      </c>
      <c r="Q2551" t="s">
        <v>53</v>
      </c>
    </row>
    <row r="2552" spans="1:17" x14ac:dyDescent="0.2">
      <c r="A2552" s="30" t="str">
        <f>IF(C2552&amp;G2552&amp;D2552&lt;&gt;'Funnel setup'!$K$3&amp;'Funnel setup'!$K$4&amp;'Funnel setup'!$K$5,".",IF(A2551=".",1,A2551+1))</f>
        <v>.</v>
      </c>
      <c r="B2552" s="431" t="str">
        <f t="shared" si="39"/>
        <v>Hip Replacement RevisionCCG of GP PracticeNHS ISLE OF WIGHT CCG (10L)EQ VAS</v>
      </c>
      <c r="C2552" t="s">
        <v>247</v>
      </c>
      <c r="D2552" t="s">
        <v>87</v>
      </c>
      <c r="E2552" t="s">
        <v>531</v>
      </c>
      <c r="F2552" t="s">
        <v>532</v>
      </c>
      <c r="G2552" t="s">
        <v>179</v>
      </c>
      <c r="H2552" t="s">
        <v>53</v>
      </c>
      <c r="I2552" t="s">
        <v>53</v>
      </c>
      <c r="J2552" t="s">
        <v>53</v>
      </c>
      <c r="K2552" t="s">
        <v>53</v>
      </c>
      <c r="L2552" t="s">
        <v>53</v>
      </c>
      <c r="M2552" t="s">
        <v>53</v>
      </c>
      <c r="N2552" t="s">
        <v>53</v>
      </c>
      <c r="O2552" t="s">
        <v>53</v>
      </c>
      <c r="P2552" t="s">
        <v>53</v>
      </c>
      <c r="Q2552" t="s">
        <v>53</v>
      </c>
    </row>
    <row r="2553" spans="1:17" x14ac:dyDescent="0.2">
      <c r="A2553" s="30" t="str">
        <f>IF(C2553&amp;G2553&amp;D2553&lt;&gt;'Funnel setup'!$K$3&amp;'Funnel setup'!$K$4&amp;'Funnel setup'!$K$5,".",IF(A2552=".",1,A2552+1))</f>
        <v>.</v>
      </c>
      <c r="B2553" s="431" t="str">
        <f t="shared" si="39"/>
        <v>Hip Replacement RevisionCCG of GP PracticeNHS ISLINGTON CCG (08H)EQ VAS</v>
      </c>
      <c r="C2553" t="s">
        <v>247</v>
      </c>
      <c r="D2553" t="s">
        <v>87</v>
      </c>
      <c r="E2553" t="s">
        <v>534</v>
      </c>
      <c r="F2553" t="s">
        <v>535</v>
      </c>
      <c r="G2553" t="s">
        <v>179</v>
      </c>
      <c r="H2553" t="s">
        <v>53</v>
      </c>
      <c r="I2553" t="s">
        <v>53</v>
      </c>
      <c r="J2553" t="s">
        <v>53</v>
      </c>
      <c r="K2553" t="s">
        <v>53</v>
      </c>
      <c r="L2553" t="s">
        <v>53</v>
      </c>
      <c r="M2553" t="s">
        <v>53</v>
      </c>
      <c r="N2553" t="s">
        <v>53</v>
      </c>
      <c r="O2553" t="s">
        <v>53</v>
      </c>
      <c r="P2553" t="s">
        <v>53</v>
      </c>
      <c r="Q2553" t="s">
        <v>53</v>
      </c>
    </row>
    <row r="2554" spans="1:17" x14ac:dyDescent="0.2">
      <c r="A2554" s="30" t="str">
        <f>IF(C2554&amp;G2554&amp;D2554&lt;&gt;'Funnel setup'!$K$3&amp;'Funnel setup'!$K$4&amp;'Funnel setup'!$K$5,".",IF(A2553=".",1,A2553+1))</f>
        <v>.</v>
      </c>
      <c r="B2554" s="431" t="str">
        <f t="shared" si="39"/>
        <v>Hip Replacement RevisionCCG of GP PracticeNHS KERNOW CCG (11N)EQ VAS</v>
      </c>
      <c r="C2554" t="s">
        <v>247</v>
      </c>
      <c r="D2554" t="s">
        <v>87</v>
      </c>
      <c r="E2554" t="s">
        <v>537</v>
      </c>
      <c r="F2554" t="s">
        <v>538</v>
      </c>
      <c r="G2554" t="s">
        <v>179</v>
      </c>
      <c r="H2554">
        <v>49</v>
      </c>
      <c r="I2554">
        <v>65.959000000000003</v>
      </c>
      <c r="J2554">
        <v>67.754999999999995</v>
      </c>
      <c r="K2554">
        <v>1.796</v>
      </c>
      <c r="L2554">
        <v>21</v>
      </c>
      <c r="M2554">
        <v>8</v>
      </c>
      <c r="N2554">
        <v>20</v>
      </c>
      <c r="O2554">
        <v>66.626999999999995</v>
      </c>
      <c r="P2554">
        <v>1.856944685</v>
      </c>
      <c r="Q2554">
        <v>18.591000000000001</v>
      </c>
    </row>
    <row r="2555" spans="1:17" x14ac:dyDescent="0.2">
      <c r="A2555" s="30" t="str">
        <f>IF(C2555&amp;G2555&amp;D2555&lt;&gt;'Funnel setup'!$K$3&amp;'Funnel setup'!$K$4&amp;'Funnel setup'!$K$5,".",IF(A2554=".",1,A2554+1))</f>
        <v>.</v>
      </c>
      <c r="B2555" s="431" t="str">
        <f t="shared" si="39"/>
        <v>Hip Replacement RevisionCCG of GP PracticeNHS KINGSTON CCG (08J)EQ VAS</v>
      </c>
      <c r="C2555" t="s">
        <v>247</v>
      </c>
      <c r="D2555" t="s">
        <v>87</v>
      </c>
      <c r="E2555" t="s">
        <v>540</v>
      </c>
      <c r="F2555" t="s">
        <v>541</v>
      </c>
      <c r="G2555" t="s">
        <v>179</v>
      </c>
      <c r="H2555">
        <v>6</v>
      </c>
      <c r="I2555">
        <v>67.5</v>
      </c>
      <c r="J2555">
        <v>73.332999999999998</v>
      </c>
      <c r="K2555">
        <v>5.8330000000000002</v>
      </c>
      <c r="L2555">
        <v>4</v>
      </c>
      <c r="M2555">
        <v>0</v>
      </c>
      <c r="N2555">
        <v>2</v>
      </c>
      <c r="O2555" t="s">
        <v>53</v>
      </c>
      <c r="P2555" t="s">
        <v>53</v>
      </c>
      <c r="Q2555" t="s">
        <v>53</v>
      </c>
    </row>
    <row r="2556" spans="1:17" x14ac:dyDescent="0.2">
      <c r="A2556" s="30" t="str">
        <f>IF(C2556&amp;G2556&amp;D2556&lt;&gt;'Funnel setup'!$K$3&amp;'Funnel setup'!$K$4&amp;'Funnel setup'!$K$5,".",IF(A2555=".",1,A2555+1))</f>
        <v>.</v>
      </c>
      <c r="B2556" s="431" t="str">
        <f t="shared" si="39"/>
        <v>Hip Replacement RevisionCCG of GP PracticeNHS KNOWSLEY CCG (01J)EQ VAS</v>
      </c>
      <c r="C2556" t="s">
        <v>247</v>
      </c>
      <c r="D2556" t="s">
        <v>87</v>
      </c>
      <c r="E2556" t="s">
        <v>543</v>
      </c>
      <c r="F2556" t="s">
        <v>544</v>
      </c>
      <c r="G2556" t="s">
        <v>179</v>
      </c>
      <c r="H2556" t="s">
        <v>53</v>
      </c>
      <c r="I2556" t="s">
        <v>53</v>
      </c>
      <c r="J2556" t="s">
        <v>53</v>
      </c>
      <c r="K2556" t="s">
        <v>53</v>
      </c>
      <c r="L2556" t="s">
        <v>53</v>
      </c>
      <c r="M2556" t="s">
        <v>53</v>
      </c>
      <c r="N2556" t="s">
        <v>53</v>
      </c>
      <c r="O2556" t="s">
        <v>53</v>
      </c>
      <c r="P2556" t="s">
        <v>53</v>
      </c>
      <c r="Q2556" t="s">
        <v>53</v>
      </c>
    </row>
    <row r="2557" spans="1:17" x14ac:dyDescent="0.2">
      <c r="A2557" s="30" t="str">
        <f>IF(C2557&amp;G2557&amp;D2557&lt;&gt;'Funnel setup'!$K$3&amp;'Funnel setup'!$K$4&amp;'Funnel setup'!$K$5,".",IF(A2556=".",1,A2556+1))</f>
        <v>.</v>
      </c>
      <c r="B2557" s="431" t="str">
        <f t="shared" si="39"/>
        <v>Hip Replacement RevisionCCG of GP PracticeNHS LAMBETH CCG (08K)EQ VAS</v>
      </c>
      <c r="C2557" t="s">
        <v>247</v>
      </c>
      <c r="D2557" t="s">
        <v>87</v>
      </c>
      <c r="E2557" t="s">
        <v>546</v>
      </c>
      <c r="F2557" t="s">
        <v>547</v>
      </c>
      <c r="G2557" t="s">
        <v>179</v>
      </c>
      <c r="H2557" t="s">
        <v>53</v>
      </c>
      <c r="I2557" t="s">
        <v>53</v>
      </c>
      <c r="J2557" t="s">
        <v>53</v>
      </c>
      <c r="K2557" t="s">
        <v>53</v>
      </c>
      <c r="L2557" t="s">
        <v>53</v>
      </c>
      <c r="M2557" t="s">
        <v>53</v>
      </c>
      <c r="N2557" t="s">
        <v>53</v>
      </c>
      <c r="O2557" t="s">
        <v>53</v>
      </c>
      <c r="P2557" t="s">
        <v>53</v>
      </c>
      <c r="Q2557" t="s">
        <v>53</v>
      </c>
    </row>
    <row r="2558" spans="1:17" x14ac:dyDescent="0.2">
      <c r="A2558" s="30" t="str">
        <f>IF(C2558&amp;G2558&amp;D2558&lt;&gt;'Funnel setup'!$K$3&amp;'Funnel setup'!$K$4&amp;'Funnel setup'!$K$5,".",IF(A2557=".",1,A2557+1))</f>
        <v>.</v>
      </c>
      <c r="B2558" s="431" t="str">
        <f t="shared" si="39"/>
        <v>Hip Replacement RevisionCCG of GP PracticeNHS LANCASHIRE NORTH CCG (01K)EQ VAS</v>
      </c>
      <c r="C2558" t="s">
        <v>247</v>
      </c>
      <c r="D2558" t="s">
        <v>87</v>
      </c>
      <c r="E2558" t="s">
        <v>549</v>
      </c>
      <c r="F2558" t="s">
        <v>550</v>
      </c>
      <c r="G2558" t="s">
        <v>179</v>
      </c>
      <c r="H2558">
        <v>8</v>
      </c>
      <c r="I2558">
        <v>68.625</v>
      </c>
      <c r="J2558">
        <v>71.125</v>
      </c>
      <c r="K2558">
        <v>2.5</v>
      </c>
      <c r="L2558">
        <v>4</v>
      </c>
      <c r="M2558">
        <v>1</v>
      </c>
      <c r="N2558">
        <v>3</v>
      </c>
      <c r="O2558" t="s">
        <v>53</v>
      </c>
      <c r="P2558" t="s">
        <v>53</v>
      </c>
      <c r="Q2558" t="s">
        <v>53</v>
      </c>
    </row>
    <row r="2559" spans="1:17" x14ac:dyDescent="0.2">
      <c r="A2559" s="30" t="str">
        <f>IF(C2559&amp;G2559&amp;D2559&lt;&gt;'Funnel setup'!$K$3&amp;'Funnel setup'!$K$4&amp;'Funnel setup'!$K$5,".",IF(A2558=".",1,A2558+1))</f>
        <v>.</v>
      </c>
      <c r="B2559" s="431" t="str">
        <f t="shared" si="39"/>
        <v>Hip Replacement RevisionCCG of GP PracticeNHS LEEDS NORTH CCG (02V)EQ VAS</v>
      </c>
      <c r="C2559" t="s">
        <v>247</v>
      </c>
      <c r="D2559" t="s">
        <v>87</v>
      </c>
      <c r="E2559" t="s">
        <v>552</v>
      </c>
      <c r="F2559" t="s">
        <v>337</v>
      </c>
      <c r="G2559" t="s">
        <v>179</v>
      </c>
      <c r="H2559" t="s">
        <v>53</v>
      </c>
      <c r="I2559" t="s">
        <v>53</v>
      </c>
      <c r="J2559" t="s">
        <v>53</v>
      </c>
      <c r="K2559" t="s">
        <v>53</v>
      </c>
      <c r="L2559" t="s">
        <v>53</v>
      </c>
      <c r="M2559" t="s">
        <v>53</v>
      </c>
      <c r="N2559" t="s">
        <v>53</v>
      </c>
      <c r="O2559" t="s">
        <v>53</v>
      </c>
      <c r="P2559" t="s">
        <v>53</v>
      </c>
      <c r="Q2559" t="s">
        <v>53</v>
      </c>
    </row>
    <row r="2560" spans="1:17" x14ac:dyDescent="0.2">
      <c r="A2560" s="30" t="str">
        <f>IF(C2560&amp;G2560&amp;D2560&lt;&gt;'Funnel setup'!$K$3&amp;'Funnel setup'!$K$4&amp;'Funnel setup'!$K$5,".",IF(A2559=".",1,A2559+1))</f>
        <v>.</v>
      </c>
      <c r="B2560" s="431" t="str">
        <f t="shared" si="39"/>
        <v>Hip Replacement RevisionCCG of GP PracticeNHS LEEDS SOUTH AND EAST CCG (03G)EQ VAS</v>
      </c>
      <c r="C2560" t="s">
        <v>247</v>
      </c>
      <c r="D2560" t="s">
        <v>87</v>
      </c>
      <c r="E2560" t="s">
        <v>396</v>
      </c>
      <c r="F2560" t="s">
        <v>397</v>
      </c>
      <c r="G2560" t="s">
        <v>179</v>
      </c>
      <c r="H2560" t="s">
        <v>53</v>
      </c>
      <c r="I2560" t="s">
        <v>53</v>
      </c>
      <c r="J2560" t="s">
        <v>53</v>
      </c>
      <c r="K2560" t="s">
        <v>53</v>
      </c>
      <c r="L2560" t="s">
        <v>53</v>
      </c>
      <c r="M2560" t="s">
        <v>53</v>
      </c>
      <c r="N2560" t="s">
        <v>53</v>
      </c>
      <c r="O2560" t="s">
        <v>53</v>
      </c>
      <c r="P2560" t="s">
        <v>53</v>
      </c>
      <c r="Q2560" t="s">
        <v>53</v>
      </c>
    </row>
    <row r="2561" spans="1:17" x14ac:dyDescent="0.2">
      <c r="A2561" s="30" t="str">
        <f>IF(C2561&amp;G2561&amp;D2561&lt;&gt;'Funnel setup'!$K$3&amp;'Funnel setup'!$K$4&amp;'Funnel setup'!$K$5,".",IF(A2560=".",1,A2560+1))</f>
        <v>.</v>
      </c>
      <c r="B2561" s="431" t="str">
        <f t="shared" si="39"/>
        <v>Hip Replacement RevisionCCG of GP PracticeNHS LEEDS WEST CCG (03C)EQ VAS</v>
      </c>
      <c r="C2561" t="s">
        <v>247</v>
      </c>
      <c r="D2561" t="s">
        <v>87</v>
      </c>
      <c r="E2561" t="s">
        <v>399</v>
      </c>
      <c r="F2561" t="s">
        <v>400</v>
      </c>
      <c r="G2561" t="s">
        <v>179</v>
      </c>
      <c r="H2561">
        <v>7</v>
      </c>
      <c r="I2561">
        <v>75.856999999999999</v>
      </c>
      <c r="J2561">
        <v>73.570999999999998</v>
      </c>
      <c r="K2561">
        <v>-2.286</v>
      </c>
      <c r="L2561">
        <v>2</v>
      </c>
      <c r="M2561">
        <v>1</v>
      </c>
      <c r="N2561">
        <v>4</v>
      </c>
      <c r="O2561" t="s">
        <v>53</v>
      </c>
      <c r="P2561" t="s">
        <v>53</v>
      </c>
      <c r="Q2561" t="s">
        <v>53</v>
      </c>
    </row>
    <row r="2562" spans="1:17" x14ac:dyDescent="0.2">
      <c r="A2562" s="30" t="str">
        <f>IF(C2562&amp;G2562&amp;D2562&lt;&gt;'Funnel setup'!$K$3&amp;'Funnel setup'!$K$4&amp;'Funnel setup'!$K$5,".",IF(A2561=".",1,A2561+1))</f>
        <v>.</v>
      </c>
      <c r="B2562" s="431" t="str">
        <f t="shared" si="39"/>
        <v>Hip Replacement RevisionCCG of GP PracticeNHS LEICESTER CITY CCG (04C)EQ VAS</v>
      </c>
      <c r="C2562" t="s">
        <v>247</v>
      </c>
      <c r="D2562" t="s">
        <v>87</v>
      </c>
      <c r="E2562" t="s">
        <v>554</v>
      </c>
      <c r="F2562" t="s">
        <v>555</v>
      </c>
      <c r="G2562" t="s">
        <v>179</v>
      </c>
      <c r="H2562">
        <v>6</v>
      </c>
      <c r="I2562">
        <v>63.5</v>
      </c>
      <c r="J2562">
        <v>52.5</v>
      </c>
      <c r="K2562">
        <v>-11</v>
      </c>
      <c r="L2562">
        <v>1</v>
      </c>
      <c r="M2562">
        <v>1</v>
      </c>
      <c r="N2562">
        <v>4</v>
      </c>
      <c r="O2562" t="s">
        <v>53</v>
      </c>
      <c r="P2562" t="s">
        <v>53</v>
      </c>
      <c r="Q2562" t="s">
        <v>53</v>
      </c>
    </row>
    <row r="2563" spans="1:17" x14ac:dyDescent="0.2">
      <c r="A2563" s="30" t="str">
        <f>IF(C2563&amp;G2563&amp;D2563&lt;&gt;'Funnel setup'!$K$3&amp;'Funnel setup'!$K$4&amp;'Funnel setup'!$K$5,".",IF(A2562=".",1,A2562+1))</f>
        <v>.</v>
      </c>
      <c r="B2563" s="431" t="str">
        <f t="shared" ref="B2563:B2626" si="40">C2563&amp;D2563&amp;F2563&amp;G2563</f>
        <v>Hip Replacement RevisionCCG of GP PracticeNHS LEWISHAM CCG (08L)EQ VAS</v>
      </c>
      <c r="C2563" t="s">
        <v>247</v>
      </c>
      <c r="D2563" t="s">
        <v>87</v>
      </c>
      <c r="E2563" t="s">
        <v>557</v>
      </c>
      <c r="F2563" t="s">
        <v>558</v>
      </c>
      <c r="G2563" t="s">
        <v>179</v>
      </c>
      <c r="H2563" t="s">
        <v>53</v>
      </c>
      <c r="I2563" t="s">
        <v>53</v>
      </c>
      <c r="J2563" t="s">
        <v>53</v>
      </c>
      <c r="K2563" t="s">
        <v>53</v>
      </c>
      <c r="L2563" t="s">
        <v>53</v>
      </c>
      <c r="M2563" t="s">
        <v>53</v>
      </c>
      <c r="N2563" t="s">
        <v>53</v>
      </c>
      <c r="O2563" t="s">
        <v>53</v>
      </c>
      <c r="P2563" t="s">
        <v>53</v>
      </c>
      <c r="Q2563" t="s">
        <v>53</v>
      </c>
    </row>
    <row r="2564" spans="1:17" x14ac:dyDescent="0.2">
      <c r="A2564" s="30" t="str">
        <f>IF(C2564&amp;G2564&amp;D2564&lt;&gt;'Funnel setup'!$K$3&amp;'Funnel setup'!$K$4&amp;'Funnel setup'!$K$5,".",IF(A2563=".",1,A2563+1))</f>
        <v>.</v>
      </c>
      <c r="B2564" s="431" t="str">
        <f t="shared" si="40"/>
        <v>Hip Replacement RevisionCCG of GP PracticeNHS LINCOLNSHIRE EAST CCG (03T)EQ VAS</v>
      </c>
      <c r="C2564" t="s">
        <v>247</v>
      </c>
      <c r="D2564" t="s">
        <v>87</v>
      </c>
      <c r="E2564" t="s">
        <v>560</v>
      </c>
      <c r="F2564" t="s">
        <v>561</v>
      </c>
      <c r="G2564" t="s">
        <v>179</v>
      </c>
      <c r="H2564">
        <v>23</v>
      </c>
      <c r="I2564">
        <v>66.13</v>
      </c>
      <c r="J2564">
        <v>61.478000000000002</v>
      </c>
      <c r="K2564">
        <v>-4.6520000000000001</v>
      </c>
      <c r="L2564">
        <v>8</v>
      </c>
      <c r="M2564">
        <v>1</v>
      </c>
      <c r="N2564">
        <v>14</v>
      </c>
      <c r="O2564" t="s">
        <v>53</v>
      </c>
      <c r="P2564" t="s">
        <v>53</v>
      </c>
      <c r="Q2564" t="s">
        <v>53</v>
      </c>
    </row>
    <row r="2565" spans="1:17" x14ac:dyDescent="0.2">
      <c r="A2565" s="30" t="str">
        <f>IF(C2565&amp;G2565&amp;D2565&lt;&gt;'Funnel setup'!$K$3&amp;'Funnel setup'!$K$4&amp;'Funnel setup'!$K$5,".",IF(A2564=".",1,A2564+1))</f>
        <v>.</v>
      </c>
      <c r="B2565" s="431" t="str">
        <f t="shared" si="40"/>
        <v>Hip Replacement RevisionCCG of GP PracticeNHS LINCOLNSHIRE WEST CCG (04D)EQ VAS</v>
      </c>
      <c r="C2565" t="s">
        <v>247</v>
      </c>
      <c r="D2565" t="s">
        <v>87</v>
      </c>
      <c r="E2565" t="s">
        <v>408</v>
      </c>
      <c r="F2565" t="s">
        <v>409</v>
      </c>
      <c r="G2565" t="s">
        <v>179</v>
      </c>
      <c r="H2565">
        <v>6</v>
      </c>
      <c r="I2565">
        <v>47</v>
      </c>
      <c r="J2565">
        <v>71.332999999999998</v>
      </c>
      <c r="K2565">
        <v>24.332999999999998</v>
      </c>
      <c r="L2565">
        <v>5</v>
      </c>
      <c r="M2565">
        <v>0</v>
      </c>
      <c r="N2565">
        <v>1</v>
      </c>
      <c r="O2565" t="s">
        <v>53</v>
      </c>
      <c r="P2565" t="s">
        <v>53</v>
      </c>
      <c r="Q2565" t="s">
        <v>53</v>
      </c>
    </row>
    <row r="2566" spans="1:17" x14ac:dyDescent="0.2">
      <c r="A2566" s="30" t="str">
        <f>IF(C2566&amp;G2566&amp;D2566&lt;&gt;'Funnel setup'!$K$3&amp;'Funnel setup'!$K$4&amp;'Funnel setup'!$K$5,".",IF(A2565=".",1,A2565+1))</f>
        <v>.</v>
      </c>
      <c r="B2566" s="431" t="str">
        <f t="shared" si="40"/>
        <v>Hip Replacement RevisionCCG of GP PracticeNHS LIVERPOOL CCG (99A)EQ VAS</v>
      </c>
      <c r="C2566" t="s">
        <v>247</v>
      </c>
      <c r="D2566" t="s">
        <v>87</v>
      </c>
      <c r="E2566" t="s">
        <v>411</v>
      </c>
      <c r="F2566" t="s">
        <v>412</v>
      </c>
      <c r="G2566" t="s">
        <v>179</v>
      </c>
      <c r="H2566">
        <v>10</v>
      </c>
      <c r="I2566">
        <v>52.8</v>
      </c>
      <c r="J2566">
        <v>57.7</v>
      </c>
      <c r="K2566">
        <v>4.9000000000000004</v>
      </c>
      <c r="L2566">
        <v>5</v>
      </c>
      <c r="M2566">
        <v>2</v>
      </c>
      <c r="N2566">
        <v>3</v>
      </c>
      <c r="O2566" t="s">
        <v>53</v>
      </c>
      <c r="P2566" t="s">
        <v>53</v>
      </c>
      <c r="Q2566" t="s">
        <v>53</v>
      </c>
    </row>
    <row r="2567" spans="1:17" x14ac:dyDescent="0.2">
      <c r="A2567" s="30" t="str">
        <f>IF(C2567&amp;G2567&amp;D2567&lt;&gt;'Funnel setup'!$K$3&amp;'Funnel setup'!$K$4&amp;'Funnel setup'!$K$5,".",IF(A2566=".",1,A2566+1))</f>
        <v>.</v>
      </c>
      <c r="B2567" s="431" t="str">
        <f t="shared" si="40"/>
        <v>Hip Replacement RevisionCCG of GP PracticeNHS LUTON CCG (06P)EQ VAS</v>
      </c>
      <c r="C2567" t="s">
        <v>247</v>
      </c>
      <c r="D2567" t="s">
        <v>87</v>
      </c>
      <c r="E2567" t="s">
        <v>414</v>
      </c>
      <c r="F2567" t="s">
        <v>415</v>
      </c>
      <c r="G2567" t="s">
        <v>179</v>
      </c>
      <c r="H2567">
        <v>13</v>
      </c>
      <c r="I2567">
        <v>53.076999999999998</v>
      </c>
      <c r="J2567">
        <v>70.614999999999995</v>
      </c>
      <c r="K2567">
        <v>17.538</v>
      </c>
      <c r="L2567">
        <v>7</v>
      </c>
      <c r="M2567">
        <v>2</v>
      </c>
      <c r="N2567">
        <v>4</v>
      </c>
      <c r="O2567" t="s">
        <v>53</v>
      </c>
      <c r="P2567" t="s">
        <v>53</v>
      </c>
      <c r="Q2567" t="s">
        <v>53</v>
      </c>
    </row>
    <row r="2568" spans="1:17" x14ac:dyDescent="0.2">
      <c r="A2568" s="30" t="str">
        <f>IF(C2568&amp;G2568&amp;D2568&lt;&gt;'Funnel setup'!$K$3&amp;'Funnel setup'!$K$4&amp;'Funnel setup'!$K$5,".",IF(A2567=".",1,A2567+1))</f>
        <v>.</v>
      </c>
      <c r="B2568" s="431" t="str">
        <f t="shared" si="40"/>
        <v>Hip Replacement RevisionCCG of GP PracticeNHS MANSFIELD AND ASHFIELD CCG (04E)EQ VAS</v>
      </c>
      <c r="C2568" t="s">
        <v>247</v>
      </c>
      <c r="D2568" t="s">
        <v>87</v>
      </c>
      <c r="E2568" t="s">
        <v>417</v>
      </c>
      <c r="F2568" t="s">
        <v>418</v>
      </c>
      <c r="G2568" t="s">
        <v>179</v>
      </c>
      <c r="H2568" t="s">
        <v>53</v>
      </c>
      <c r="I2568" t="s">
        <v>53</v>
      </c>
      <c r="J2568" t="s">
        <v>53</v>
      </c>
      <c r="K2568" t="s">
        <v>53</v>
      </c>
      <c r="L2568" t="s">
        <v>53</v>
      </c>
      <c r="M2568" t="s">
        <v>53</v>
      </c>
      <c r="N2568" t="s">
        <v>53</v>
      </c>
      <c r="O2568" t="s">
        <v>53</v>
      </c>
      <c r="P2568" t="s">
        <v>53</v>
      </c>
      <c r="Q2568" t="s">
        <v>53</v>
      </c>
    </row>
    <row r="2569" spans="1:17" x14ac:dyDescent="0.2">
      <c r="A2569" s="30" t="str">
        <f>IF(C2569&amp;G2569&amp;D2569&lt;&gt;'Funnel setup'!$K$3&amp;'Funnel setup'!$K$4&amp;'Funnel setup'!$K$5,".",IF(A2568=".",1,A2568+1))</f>
        <v>.</v>
      </c>
      <c r="B2569" s="431" t="str">
        <f t="shared" si="40"/>
        <v>Hip Replacement RevisionCCG of GP PracticeNHS MEDWAY CCG (09W)EQ VAS</v>
      </c>
      <c r="C2569" t="s">
        <v>247</v>
      </c>
      <c r="D2569" t="s">
        <v>87</v>
      </c>
      <c r="E2569" t="s">
        <v>610</v>
      </c>
      <c r="F2569" t="s">
        <v>611</v>
      </c>
      <c r="G2569" t="s">
        <v>179</v>
      </c>
      <c r="H2569">
        <v>18</v>
      </c>
      <c r="I2569">
        <v>71.111000000000004</v>
      </c>
      <c r="J2569">
        <v>74.332999999999998</v>
      </c>
      <c r="K2569">
        <v>3.222</v>
      </c>
      <c r="L2569">
        <v>8</v>
      </c>
      <c r="M2569">
        <v>3</v>
      </c>
      <c r="N2569">
        <v>7</v>
      </c>
      <c r="O2569" t="s">
        <v>53</v>
      </c>
      <c r="P2569" t="s">
        <v>53</v>
      </c>
      <c r="Q2569" t="s">
        <v>53</v>
      </c>
    </row>
    <row r="2570" spans="1:17" x14ac:dyDescent="0.2">
      <c r="A2570" s="30" t="str">
        <f>IF(C2570&amp;G2570&amp;D2570&lt;&gt;'Funnel setup'!$K$3&amp;'Funnel setup'!$K$4&amp;'Funnel setup'!$K$5,".",IF(A2569=".",1,A2569+1))</f>
        <v>.</v>
      </c>
      <c r="B2570" s="431" t="str">
        <f t="shared" si="40"/>
        <v>Hip Replacement RevisionCCG of GP PracticeNHS MERTON CCG (08R)EQ VAS</v>
      </c>
      <c r="C2570" t="s">
        <v>247</v>
      </c>
      <c r="D2570" t="s">
        <v>87</v>
      </c>
      <c r="E2570" t="s">
        <v>613</v>
      </c>
      <c r="F2570" t="s">
        <v>614</v>
      </c>
      <c r="G2570" t="s">
        <v>179</v>
      </c>
      <c r="H2570" t="s">
        <v>53</v>
      </c>
      <c r="I2570" t="s">
        <v>53</v>
      </c>
      <c r="J2570" t="s">
        <v>53</v>
      </c>
      <c r="K2570" t="s">
        <v>53</v>
      </c>
      <c r="L2570" t="s">
        <v>53</v>
      </c>
      <c r="M2570" t="s">
        <v>53</v>
      </c>
      <c r="N2570" t="s">
        <v>53</v>
      </c>
      <c r="O2570" t="s">
        <v>53</v>
      </c>
      <c r="P2570" t="s">
        <v>53</v>
      </c>
      <c r="Q2570" t="s">
        <v>53</v>
      </c>
    </row>
    <row r="2571" spans="1:17" x14ac:dyDescent="0.2">
      <c r="A2571" s="30" t="str">
        <f>IF(C2571&amp;G2571&amp;D2571&lt;&gt;'Funnel setup'!$K$3&amp;'Funnel setup'!$K$4&amp;'Funnel setup'!$K$5,".",IF(A2570=".",1,A2570+1))</f>
        <v>.</v>
      </c>
      <c r="B2571" s="431" t="str">
        <f t="shared" si="40"/>
        <v>Hip Replacement RevisionCCG of GP PracticeNHS MID ESSEX CCG (06Q)EQ VAS</v>
      </c>
      <c r="C2571" t="s">
        <v>247</v>
      </c>
      <c r="D2571" t="s">
        <v>87</v>
      </c>
      <c r="E2571" t="s">
        <v>616</v>
      </c>
      <c r="F2571" t="s">
        <v>617</v>
      </c>
      <c r="G2571" t="s">
        <v>179</v>
      </c>
      <c r="H2571">
        <v>21</v>
      </c>
      <c r="I2571">
        <v>70.19</v>
      </c>
      <c r="J2571">
        <v>73.19</v>
      </c>
      <c r="K2571">
        <v>3</v>
      </c>
      <c r="L2571">
        <v>8</v>
      </c>
      <c r="M2571">
        <v>7</v>
      </c>
      <c r="N2571">
        <v>6</v>
      </c>
      <c r="O2571" t="s">
        <v>53</v>
      </c>
      <c r="P2571" t="s">
        <v>53</v>
      </c>
      <c r="Q2571" t="s">
        <v>53</v>
      </c>
    </row>
    <row r="2572" spans="1:17" x14ac:dyDescent="0.2">
      <c r="A2572" s="30" t="str">
        <f>IF(C2572&amp;G2572&amp;D2572&lt;&gt;'Funnel setup'!$K$3&amp;'Funnel setup'!$K$4&amp;'Funnel setup'!$K$5,".",IF(A2571=".",1,A2571+1))</f>
        <v>.</v>
      </c>
      <c r="B2572" s="431" t="str">
        <f t="shared" si="40"/>
        <v>Hip Replacement RevisionCCG of GP PracticeNHS MILTON KEYNES CCG (04F)EQ VAS</v>
      </c>
      <c r="C2572" t="s">
        <v>247</v>
      </c>
      <c r="D2572" t="s">
        <v>87</v>
      </c>
      <c r="E2572" t="s">
        <v>619</v>
      </c>
      <c r="F2572" t="s">
        <v>338</v>
      </c>
      <c r="G2572" t="s">
        <v>179</v>
      </c>
      <c r="H2572" t="s">
        <v>53</v>
      </c>
      <c r="I2572" t="s">
        <v>53</v>
      </c>
      <c r="J2572" t="s">
        <v>53</v>
      </c>
      <c r="K2572" t="s">
        <v>53</v>
      </c>
      <c r="L2572" t="s">
        <v>53</v>
      </c>
      <c r="M2572" t="s">
        <v>53</v>
      </c>
      <c r="N2572" t="s">
        <v>53</v>
      </c>
      <c r="O2572" t="s">
        <v>53</v>
      </c>
      <c r="P2572" t="s">
        <v>53</v>
      </c>
      <c r="Q2572" t="s">
        <v>53</v>
      </c>
    </row>
    <row r="2573" spans="1:17" x14ac:dyDescent="0.2">
      <c r="A2573" s="30" t="str">
        <f>IF(C2573&amp;G2573&amp;D2573&lt;&gt;'Funnel setup'!$K$3&amp;'Funnel setup'!$K$4&amp;'Funnel setup'!$K$5,".",IF(A2572=".",1,A2572+1))</f>
        <v>.</v>
      </c>
      <c r="B2573" s="431" t="str">
        <f t="shared" si="40"/>
        <v>Hip Replacement RevisionCCG of GP PracticeNHS NENE CCG (04G)EQ VAS</v>
      </c>
      <c r="C2573" t="s">
        <v>247</v>
      </c>
      <c r="D2573" t="s">
        <v>87</v>
      </c>
      <c r="E2573" t="s">
        <v>621</v>
      </c>
      <c r="F2573" t="s">
        <v>622</v>
      </c>
      <c r="G2573" t="s">
        <v>179</v>
      </c>
      <c r="H2573">
        <v>39</v>
      </c>
      <c r="I2573">
        <v>66.41</v>
      </c>
      <c r="J2573">
        <v>69.872</v>
      </c>
      <c r="K2573">
        <v>3.4620000000000002</v>
      </c>
      <c r="L2573">
        <v>18</v>
      </c>
      <c r="M2573">
        <v>4</v>
      </c>
      <c r="N2573">
        <v>17</v>
      </c>
      <c r="O2573">
        <v>70.122</v>
      </c>
      <c r="P2573">
        <v>5.351093358</v>
      </c>
      <c r="Q2573">
        <v>13.673</v>
      </c>
    </row>
    <row r="2574" spans="1:17" x14ac:dyDescent="0.2">
      <c r="A2574" s="30" t="str">
        <f>IF(C2574&amp;G2574&amp;D2574&lt;&gt;'Funnel setup'!$K$3&amp;'Funnel setup'!$K$4&amp;'Funnel setup'!$K$5,".",IF(A2573=".",1,A2573+1))</f>
        <v>.</v>
      </c>
      <c r="B2574" s="431" t="str">
        <f t="shared" si="40"/>
        <v>Hip Replacement RevisionCCG of GP PracticeNHS NEWARK &amp; SHERWOOD CCG (04H)EQ VAS</v>
      </c>
      <c r="C2574" t="s">
        <v>247</v>
      </c>
      <c r="D2574" t="s">
        <v>87</v>
      </c>
      <c r="E2574" t="s">
        <v>624</v>
      </c>
      <c r="F2574" t="s">
        <v>625</v>
      </c>
      <c r="G2574" t="s">
        <v>179</v>
      </c>
      <c r="H2574">
        <v>6</v>
      </c>
      <c r="I2574">
        <v>58.5</v>
      </c>
      <c r="J2574">
        <v>59.167000000000002</v>
      </c>
      <c r="K2574">
        <v>0.66700000000000004</v>
      </c>
      <c r="L2574">
        <v>4</v>
      </c>
      <c r="M2574">
        <v>0</v>
      </c>
      <c r="N2574">
        <v>2</v>
      </c>
      <c r="O2574" t="s">
        <v>53</v>
      </c>
      <c r="P2574" t="s">
        <v>53</v>
      </c>
      <c r="Q2574" t="s">
        <v>53</v>
      </c>
    </row>
    <row r="2575" spans="1:17" x14ac:dyDescent="0.2">
      <c r="A2575" s="30" t="str">
        <f>IF(C2575&amp;G2575&amp;D2575&lt;&gt;'Funnel setup'!$K$3&amp;'Funnel setup'!$K$4&amp;'Funnel setup'!$K$5,".",IF(A2574=".",1,A2574+1))</f>
        <v>.</v>
      </c>
      <c r="B2575" s="431" t="str">
        <f t="shared" si="40"/>
        <v>Hip Replacement RevisionCCG of GP PracticeNHS NEWBURY AND DISTRICT CCG (10M)EQ VAS</v>
      </c>
      <c r="C2575" t="s">
        <v>247</v>
      </c>
      <c r="D2575" t="s">
        <v>87</v>
      </c>
      <c r="E2575" t="s">
        <v>627</v>
      </c>
      <c r="F2575" t="s">
        <v>628</v>
      </c>
      <c r="G2575" t="s">
        <v>179</v>
      </c>
      <c r="H2575" t="s">
        <v>53</v>
      </c>
      <c r="I2575" t="s">
        <v>53</v>
      </c>
      <c r="J2575" t="s">
        <v>53</v>
      </c>
      <c r="K2575" t="s">
        <v>53</v>
      </c>
      <c r="L2575" t="s">
        <v>53</v>
      </c>
      <c r="M2575" t="s">
        <v>53</v>
      </c>
      <c r="N2575" t="s">
        <v>53</v>
      </c>
      <c r="O2575" t="s">
        <v>53</v>
      </c>
      <c r="P2575" t="s">
        <v>53</v>
      </c>
      <c r="Q2575" t="s">
        <v>53</v>
      </c>
    </row>
    <row r="2576" spans="1:17" x14ac:dyDescent="0.2">
      <c r="A2576" s="30" t="str">
        <f>IF(C2576&amp;G2576&amp;D2576&lt;&gt;'Funnel setup'!$K$3&amp;'Funnel setup'!$K$4&amp;'Funnel setup'!$K$5,".",IF(A2575=".",1,A2575+1))</f>
        <v>.</v>
      </c>
      <c r="B2576" s="431" t="str">
        <f t="shared" si="40"/>
        <v>Hip Replacement RevisionCCG of GP PracticeNHS NEWCASTLE GATESHEAD CCG (13T)EQ VAS</v>
      </c>
      <c r="C2576" t="s">
        <v>247</v>
      </c>
      <c r="D2576" t="s">
        <v>87</v>
      </c>
      <c r="E2576" t="s">
        <v>6553</v>
      </c>
      <c r="F2576" t="s">
        <v>6543</v>
      </c>
      <c r="G2576" t="s">
        <v>179</v>
      </c>
      <c r="H2576">
        <v>22</v>
      </c>
      <c r="I2576">
        <v>62.045000000000002</v>
      </c>
      <c r="J2576">
        <v>74.272999999999996</v>
      </c>
      <c r="K2576">
        <v>12.227</v>
      </c>
      <c r="L2576">
        <v>12</v>
      </c>
      <c r="M2576">
        <v>3</v>
      </c>
      <c r="N2576">
        <v>7</v>
      </c>
      <c r="O2576" t="s">
        <v>53</v>
      </c>
      <c r="P2576" t="s">
        <v>53</v>
      </c>
      <c r="Q2576" t="s">
        <v>53</v>
      </c>
    </row>
    <row r="2577" spans="1:17" x14ac:dyDescent="0.2">
      <c r="A2577" s="30" t="str">
        <f>IF(C2577&amp;G2577&amp;D2577&lt;&gt;'Funnel setup'!$K$3&amp;'Funnel setup'!$K$4&amp;'Funnel setup'!$K$5,".",IF(A2576=".",1,A2576+1))</f>
        <v>.</v>
      </c>
      <c r="B2577" s="431" t="str">
        <f t="shared" si="40"/>
        <v>Hip Replacement RevisionCCG of GP PracticeNHS NEWHAM CCG (08M)EQ VAS</v>
      </c>
      <c r="C2577" t="s">
        <v>247</v>
      </c>
      <c r="D2577" t="s">
        <v>87</v>
      </c>
      <c r="E2577" t="s">
        <v>630</v>
      </c>
      <c r="F2577" t="s">
        <v>631</v>
      </c>
      <c r="G2577" t="s">
        <v>179</v>
      </c>
      <c r="H2577" t="s">
        <v>53</v>
      </c>
      <c r="I2577" t="s">
        <v>53</v>
      </c>
      <c r="J2577" t="s">
        <v>53</v>
      </c>
      <c r="K2577" t="s">
        <v>53</v>
      </c>
      <c r="L2577" t="s">
        <v>53</v>
      </c>
      <c r="M2577" t="s">
        <v>53</v>
      </c>
      <c r="N2577" t="s">
        <v>53</v>
      </c>
      <c r="O2577" t="s">
        <v>53</v>
      </c>
      <c r="P2577" t="s">
        <v>53</v>
      </c>
      <c r="Q2577" t="s">
        <v>53</v>
      </c>
    </row>
    <row r="2578" spans="1:17" x14ac:dyDescent="0.2">
      <c r="A2578" s="30" t="str">
        <f>IF(C2578&amp;G2578&amp;D2578&lt;&gt;'Funnel setup'!$K$3&amp;'Funnel setup'!$K$4&amp;'Funnel setup'!$K$5,".",IF(A2577=".",1,A2577+1))</f>
        <v>.</v>
      </c>
      <c r="B2578" s="431" t="str">
        <f t="shared" si="40"/>
        <v>Hip Replacement RevisionCCG of GP PracticeNHS NORTH &amp; WEST READING CCG (10N)EQ VAS</v>
      </c>
      <c r="C2578" t="s">
        <v>247</v>
      </c>
      <c r="D2578" t="s">
        <v>87</v>
      </c>
      <c r="E2578" t="s">
        <v>633</v>
      </c>
      <c r="F2578" t="s">
        <v>634</v>
      </c>
      <c r="G2578" t="s">
        <v>179</v>
      </c>
      <c r="H2578" t="s">
        <v>53</v>
      </c>
      <c r="I2578" t="s">
        <v>53</v>
      </c>
      <c r="J2578" t="s">
        <v>53</v>
      </c>
      <c r="K2578" t="s">
        <v>53</v>
      </c>
      <c r="L2578" t="s">
        <v>53</v>
      </c>
      <c r="M2578" t="s">
        <v>53</v>
      </c>
      <c r="N2578" t="s">
        <v>53</v>
      </c>
      <c r="O2578" t="s">
        <v>53</v>
      </c>
      <c r="P2578" t="s">
        <v>53</v>
      </c>
      <c r="Q2578" t="s">
        <v>53</v>
      </c>
    </row>
    <row r="2579" spans="1:17" x14ac:dyDescent="0.2">
      <c r="A2579" s="30" t="str">
        <f>IF(C2579&amp;G2579&amp;D2579&lt;&gt;'Funnel setup'!$K$3&amp;'Funnel setup'!$K$4&amp;'Funnel setup'!$K$5,".",IF(A2578=".",1,A2578+1))</f>
        <v>.</v>
      </c>
      <c r="B2579" s="431" t="str">
        <f t="shared" si="40"/>
        <v>Hip Replacement RevisionCCG of GP PracticeNHS NORTH DERBYSHIRE CCG (04J)EQ VAS</v>
      </c>
      <c r="C2579" t="s">
        <v>247</v>
      </c>
      <c r="D2579" t="s">
        <v>87</v>
      </c>
      <c r="E2579" t="s">
        <v>636</v>
      </c>
      <c r="F2579" t="s">
        <v>637</v>
      </c>
      <c r="G2579" t="s">
        <v>179</v>
      </c>
      <c r="H2579">
        <v>17</v>
      </c>
      <c r="I2579">
        <v>62.646999999999998</v>
      </c>
      <c r="J2579">
        <v>70.293999999999997</v>
      </c>
      <c r="K2579">
        <v>7.6470000000000002</v>
      </c>
      <c r="L2579">
        <v>10</v>
      </c>
      <c r="M2579">
        <v>0</v>
      </c>
      <c r="N2579">
        <v>7</v>
      </c>
      <c r="O2579" t="s">
        <v>53</v>
      </c>
      <c r="P2579" t="s">
        <v>53</v>
      </c>
      <c r="Q2579" t="s">
        <v>53</v>
      </c>
    </row>
    <row r="2580" spans="1:17" x14ac:dyDescent="0.2">
      <c r="A2580" s="30" t="str">
        <f>IF(C2580&amp;G2580&amp;D2580&lt;&gt;'Funnel setup'!$K$3&amp;'Funnel setup'!$K$4&amp;'Funnel setup'!$K$5,".",IF(A2579=".",1,A2579+1))</f>
        <v>.</v>
      </c>
      <c r="B2580" s="431" t="str">
        <f t="shared" si="40"/>
        <v>Hip Replacement RevisionCCG of GP PracticeNHS NORTH DURHAM CCG (00J)EQ VAS</v>
      </c>
      <c r="C2580" t="s">
        <v>247</v>
      </c>
      <c r="D2580" t="s">
        <v>87</v>
      </c>
      <c r="E2580" t="s">
        <v>639</v>
      </c>
      <c r="F2580" t="s">
        <v>640</v>
      </c>
      <c r="G2580" t="s">
        <v>179</v>
      </c>
      <c r="H2580">
        <v>10</v>
      </c>
      <c r="I2580">
        <v>62.2</v>
      </c>
      <c r="J2580">
        <v>63.2</v>
      </c>
      <c r="K2580">
        <v>1</v>
      </c>
      <c r="L2580">
        <v>6</v>
      </c>
      <c r="M2580">
        <v>1</v>
      </c>
      <c r="N2580">
        <v>3</v>
      </c>
      <c r="O2580" t="s">
        <v>53</v>
      </c>
      <c r="P2580" t="s">
        <v>53</v>
      </c>
      <c r="Q2580" t="s">
        <v>53</v>
      </c>
    </row>
    <row r="2581" spans="1:17" x14ac:dyDescent="0.2">
      <c r="A2581" s="30" t="str">
        <f>IF(C2581&amp;G2581&amp;D2581&lt;&gt;'Funnel setup'!$K$3&amp;'Funnel setup'!$K$4&amp;'Funnel setup'!$K$5,".",IF(A2580=".",1,A2580+1))</f>
        <v>.</v>
      </c>
      <c r="B2581" s="431" t="str">
        <f t="shared" si="40"/>
        <v>Hip Replacement RevisionCCG of GP PracticeNHS NORTH EAST ESSEX CCG (06T)EQ VAS</v>
      </c>
      <c r="C2581" t="s">
        <v>247</v>
      </c>
      <c r="D2581" t="s">
        <v>87</v>
      </c>
      <c r="E2581" t="s">
        <v>642</v>
      </c>
      <c r="F2581" t="s">
        <v>643</v>
      </c>
      <c r="G2581" t="s">
        <v>179</v>
      </c>
      <c r="H2581">
        <v>19</v>
      </c>
      <c r="I2581">
        <v>59.841999999999999</v>
      </c>
      <c r="J2581">
        <v>73.894999999999996</v>
      </c>
      <c r="K2581">
        <v>14.053000000000001</v>
      </c>
      <c r="L2581">
        <v>15</v>
      </c>
      <c r="M2581">
        <v>1</v>
      </c>
      <c r="N2581">
        <v>3</v>
      </c>
      <c r="O2581" t="s">
        <v>53</v>
      </c>
      <c r="P2581" t="s">
        <v>53</v>
      </c>
      <c r="Q2581" t="s">
        <v>53</v>
      </c>
    </row>
    <row r="2582" spans="1:17" x14ac:dyDescent="0.2">
      <c r="A2582" s="30" t="str">
        <f>IF(C2582&amp;G2582&amp;D2582&lt;&gt;'Funnel setup'!$K$3&amp;'Funnel setup'!$K$4&amp;'Funnel setup'!$K$5,".",IF(A2581=".",1,A2581+1))</f>
        <v>.</v>
      </c>
      <c r="B2582" s="431" t="str">
        <f t="shared" si="40"/>
        <v>Hip Replacement RevisionCCG of GP PracticeNHS NORTH EAST HAMPSHIRE AND FARNHAM CCG (99M)EQ VAS</v>
      </c>
      <c r="C2582" t="s">
        <v>247</v>
      </c>
      <c r="D2582" t="s">
        <v>87</v>
      </c>
      <c r="E2582" t="s">
        <v>645</v>
      </c>
      <c r="F2582" t="s">
        <v>646</v>
      </c>
      <c r="G2582" t="s">
        <v>179</v>
      </c>
      <c r="H2582">
        <v>16</v>
      </c>
      <c r="I2582">
        <v>65.313000000000002</v>
      </c>
      <c r="J2582">
        <v>72.188000000000002</v>
      </c>
      <c r="K2582">
        <v>6.875</v>
      </c>
      <c r="L2582">
        <v>10</v>
      </c>
      <c r="M2582">
        <v>0</v>
      </c>
      <c r="N2582">
        <v>6</v>
      </c>
      <c r="O2582" t="s">
        <v>53</v>
      </c>
      <c r="P2582" t="s">
        <v>53</v>
      </c>
      <c r="Q2582" t="s">
        <v>53</v>
      </c>
    </row>
    <row r="2583" spans="1:17" x14ac:dyDescent="0.2">
      <c r="A2583" s="30" t="str">
        <f>IF(C2583&amp;G2583&amp;D2583&lt;&gt;'Funnel setup'!$K$3&amp;'Funnel setup'!$K$4&amp;'Funnel setup'!$K$5,".",IF(A2582=".",1,A2582+1))</f>
        <v>.</v>
      </c>
      <c r="B2583" s="431" t="str">
        <f t="shared" si="40"/>
        <v>Hip Replacement RevisionCCG of GP PracticeNHS NORTH EAST LINCOLNSHIRE CCG (03H)EQ VAS</v>
      </c>
      <c r="C2583" t="s">
        <v>247</v>
      </c>
      <c r="D2583" t="s">
        <v>87</v>
      </c>
      <c r="E2583" t="s">
        <v>648</v>
      </c>
      <c r="F2583" t="s">
        <v>649</v>
      </c>
      <c r="G2583" t="s">
        <v>179</v>
      </c>
      <c r="H2583" t="s">
        <v>53</v>
      </c>
      <c r="I2583" t="s">
        <v>53</v>
      </c>
      <c r="J2583" t="s">
        <v>53</v>
      </c>
      <c r="K2583" t="s">
        <v>53</v>
      </c>
      <c r="L2583" t="s">
        <v>53</v>
      </c>
      <c r="M2583" t="s">
        <v>53</v>
      </c>
      <c r="N2583" t="s">
        <v>53</v>
      </c>
      <c r="O2583" t="s">
        <v>53</v>
      </c>
      <c r="P2583" t="s">
        <v>53</v>
      </c>
      <c r="Q2583" t="s">
        <v>53</v>
      </c>
    </row>
    <row r="2584" spans="1:17" x14ac:dyDescent="0.2">
      <c r="A2584" s="30" t="str">
        <f>IF(C2584&amp;G2584&amp;D2584&lt;&gt;'Funnel setup'!$K$3&amp;'Funnel setup'!$K$4&amp;'Funnel setup'!$K$5,".",IF(A2583=".",1,A2583+1))</f>
        <v>.</v>
      </c>
      <c r="B2584" s="431" t="str">
        <f t="shared" si="40"/>
        <v>Hip Replacement RevisionCCG of GP PracticeNHS NORTH HAMPSHIRE CCG (10J)EQ VAS</v>
      </c>
      <c r="C2584" t="s">
        <v>247</v>
      </c>
      <c r="D2584" t="s">
        <v>87</v>
      </c>
      <c r="E2584" t="s">
        <v>651</v>
      </c>
      <c r="F2584" t="s">
        <v>652</v>
      </c>
      <c r="G2584" t="s">
        <v>179</v>
      </c>
      <c r="H2584">
        <v>12</v>
      </c>
      <c r="I2584">
        <v>77.75</v>
      </c>
      <c r="J2584">
        <v>76</v>
      </c>
      <c r="K2584">
        <v>-1.75</v>
      </c>
      <c r="L2584">
        <v>3</v>
      </c>
      <c r="M2584">
        <v>2</v>
      </c>
      <c r="N2584">
        <v>7</v>
      </c>
      <c r="O2584" t="s">
        <v>53</v>
      </c>
      <c r="P2584" t="s">
        <v>53</v>
      </c>
      <c r="Q2584" t="s">
        <v>53</v>
      </c>
    </row>
    <row r="2585" spans="1:17" x14ac:dyDescent="0.2">
      <c r="A2585" s="30" t="str">
        <f>IF(C2585&amp;G2585&amp;D2585&lt;&gt;'Funnel setup'!$K$3&amp;'Funnel setup'!$K$4&amp;'Funnel setup'!$K$5,".",IF(A2584=".",1,A2584+1))</f>
        <v>.</v>
      </c>
      <c r="B2585" s="431" t="str">
        <f t="shared" si="40"/>
        <v>Hip Replacement RevisionCCG of GP PracticeNHS NORTH KIRKLEES CCG (03J)EQ VAS</v>
      </c>
      <c r="C2585" t="s">
        <v>247</v>
      </c>
      <c r="D2585" t="s">
        <v>87</v>
      </c>
      <c r="E2585" t="s">
        <v>654</v>
      </c>
      <c r="F2585" t="s">
        <v>655</v>
      </c>
      <c r="G2585" t="s">
        <v>179</v>
      </c>
      <c r="H2585" t="s">
        <v>53</v>
      </c>
      <c r="I2585" t="s">
        <v>53</v>
      </c>
      <c r="J2585" t="s">
        <v>53</v>
      </c>
      <c r="K2585" t="s">
        <v>53</v>
      </c>
      <c r="L2585" t="s">
        <v>53</v>
      </c>
      <c r="M2585" t="s">
        <v>53</v>
      </c>
      <c r="N2585" t="s">
        <v>53</v>
      </c>
      <c r="O2585" t="s">
        <v>53</v>
      </c>
      <c r="P2585" t="s">
        <v>53</v>
      </c>
      <c r="Q2585" t="s">
        <v>53</v>
      </c>
    </row>
    <row r="2586" spans="1:17" x14ac:dyDescent="0.2">
      <c r="A2586" s="30" t="str">
        <f>IF(C2586&amp;G2586&amp;D2586&lt;&gt;'Funnel setup'!$K$3&amp;'Funnel setup'!$K$4&amp;'Funnel setup'!$K$5,".",IF(A2585=".",1,A2585+1))</f>
        <v>.</v>
      </c>
      <c r="B2586" s="431" t="str">
        <f t="shared" si="40"/>
        <v>Hip Replacement RevisionCCG of GP PracticeNHS NORTH LINCOLNSHIRE CCG (03K)EQ VAS</v>
      </c>
      <c r="C2586" t="s">
        <v>247</v>
      </c>
      <c r="D2586" t="s">
        <v>87</v>
      </c>
      <c r="E2586" t="s">
        <v>657</v>
      </c>
      <c r="F2586" t="s">
        <v>658</v>
      </c>
      <c r="G2586" t="s">
        <v>179</v>
      </c>
      <c r="H2586">
        <v>9</v>
      </c>
      <c r="I2586">
        <v>63.667000000000002</v>
      </c>
      <c r="J2586">
        <v>73.888999999999996</v>
      </c>
      <c r="K2586">
        <v>10.222</v>
      </c>
      <c r="L2586">
        <v>5</v>
      </c>
      <c r="M2586">
        <v>0</v>
      </c>
      <c r="N2586">
        <v>4</v>
      </c>
      <c r="O2586" t="s">
        <v>53</v>
      </c>
      <c r="P2586" t="s">
        <v>53</v>
      </c>
      <c r="Q2586" t="s">
        <v>53</v>
      </c>
    </row>
    <row r="2587" spans="1:17" x14ac:dyDescent="0.2">
      <c r="A2587" s="30" t="str">
        <f>IF(C2587&amp;G2587&amp;D2587&lt;&gt;'Funnel setup'!$K$3&amp;'Funnel setup'!$K$4&amp;'Funnel setup'!$K$5,".",IF(A2586=".",1,A2586+1))</f>
        <v>.</v>
      </c>
      <c r="B2587" s="431" t="str">
        <f t="shared" si="40"/>
        <v>Hip Replacement RevisionCCG of GP PracticeNHS NORTH MANCHESTER CCG (01M)EQ VAS</v>
      </c>
      <c r="C2587" t="s">
        <v>247</v>
      </c>
      <c r="D2587" t="s">
        <v>87</v>
      </c>
      <c r="E2587" t="s">
        <v>660</v>
      </c>
      <c r="F2587" t="s">
        <v>661</v>
      </c>
      <c r="G2587" t="s">
        <v>179</v>
      </c>
      <c r="H2587" t="s">
        <v>53</v>
      </c>
      <c r="I2587" t="s">
        <v>53</v>
      </c>
      <c r="J2587" t="s">
        <v>53</v>
      </c>
      <c r="K2587" t="s">
        <v>53</v>
      </c>
      <c r="L2587" t="s">
        <v>53</v>
      </c>
      <c r="M2587" t="s">
        <v>53</v>
      </c>
      <c r="N2587" t="s">
        <v>53</v>
      </c>
      <c r="O2587" t="s">
        <v>53</v>
      </c>
      <c r="P2587" t="s">
        <v>53</v>
      </c>
      <c r="Q2587" t="s">
        <v>53</v>
      </c>
    </row>
    <row r="2588" spans="1:17" x14ac:dyDescent="0.2">
      <c r="A2588" s="30" t="str">
        <f>IF(C2588&amp;G2588&amp;D2588&lt;&gt;'Funnel setup'!$K$3&amp;'Funnel setup'!$K$4&amp;'Funnel setup'!$K$5,".",IF(A2587=".",1,A2587+1))</f>
        <v>.</v>
      </c>
      <c r="B2588" s="431" t="str">
        <f t="shared" si="40"/>
        <v>Hip Replacement RevisionCCG of GP PracticeNHS NORTH NORFOLK CCG (06V)EQ VAS</v>
      </c>
      <c r="C2588" t="s">
        <v>247</v>
      </c>
      <c r="D2588" t="s">
        <v>87</v>
      </c>
      <c r="E2588" t="s">
        <v>663</v>
      </c>
      <c r="F2588" t="s">
        <v>664</v>
      </c>
      <c r="G2588" t="s">
        <v>179</v>
      </c>
      <c r="H2588">
        <v>14</v>
      </c>
      <c r="I2588">
        <v>61.856999999999999</v>
      </c>
      <c r="J2588">
        <v>68.856999999999999</v>
      </c>
      <c r="K2588">
        <v>7</v>
      </c>
      <c r="L2588">
        <v>10</v>
      </c>
      <c r="M2588">
        <v>0</v>
      </c>
      <c r="N2588">
        <v>4</v>
      </c>
      <c r="O2588" t="s">
        <v>53</v>
      </c>
      <c r="P2588" t="s">
        <v>53</v>
      </c>
      <c r="Q2588" t="s">
        <v>53</v>
      </c>
    </row>
    <row r="2589" spans="1:17" x14ac:dyDescent="0.2">
      <c r="A2589" s="30" t="str">
        <f>IF(C2589&amp;G2589&amp;D2589&lt;&gt;'Funnel setup'!$K$3&amp;'Funnel setup'!$K$4&amp;'Funnel setup'!$K$5,".",IF(A2588=".",1,A2588+1))</f>
        <v>.</v>
      </c>
      <c r="B2589" s="431" t="str">
        <f t="shared" si="40"/>
        <v>Hip Replacement RevisionCCG of GP PracticeNHS NORTH SOMERSET CCG (11T)EQ VAS</v>
      </c>
      <c r="C2589" t="s">
        <v>247</v>
      </c>
      <c r="D2589" t="s">
        <v>87</v>
      </c>
      <c r="E2589" t="s">
        <v>666</v>
      </c>
      <c r="F2589" t="s">
        <v>667</v>
      </c>
      <c r="G2589" t="s">
        <v>179</v>
      </c>
      <c r="H2589">
        <v>12</v>
      </c>
      <c r="I2589">
        <v>76.417000000000002</v>
      </c>
      <c r="J2589">
        <v>86.667000000000002</v>
      </c>
      <c r="K2589">
        <v>10.25</v>
      </c>
      <c r="L2589">
        <v>8</v>
      </c>
      <c r="M2589">
        <v>3</v>
      </c>
      <c r="N2589">
        <v>1</v>
      </c>
      <c r="O2589" t="s">
        <v>53</v>
      </c>
      <c r="P2589" t="s">
        <v>53</v>
      </c>
      <c r="Q2589" t="s">
        <v>53</v>
      </c>
    </row>
    <row r="2590" spans="1:17" x14ac:dyDescent="0.2">
      <c r="A2590" s="30" t="str">
        <f>IF(C2590&amp;G2590&amp;D2590&lt;&gt;'Funnel setup'!$K$3&amp;'Funnel setup'!$K$4&amp;'Funnel setup'!$K$5,".",IF(A2589=".",1,A2589+1))</f>
        <v>.</v>
      </c>
      <c r="B2590" s="431" t="str">
        <f t="shared" si="40"/>
        <v>Hip Replacement RevisionCCG of GP PracticeNHS NORTH STAFFORDSHIRE CCG (05G)EQ VAS</v>
      </c>
      <c r="C2590" t="s">
        <v>247</v>
      </c>
      <c r="D2590" t="s">
        <v>87</v>
      </c>
      <c r="E2590" t="s">
        <v>669</v>
      </c>
      <c r="F2590" t="s">
        <v>670</v>
      </c>
      <c r="G2590" t="s">
        <v>179</v>
      </c>
      <c r="H2590">
        <v>9</v>
      </c>
      <c r="I2590">
        <v>81.221999999999994</v>
      </c>
      <c r="J2590">
        <v>76.778000000000006</v>
      </c>
      <c r="K2590">
        <v>-4.444</v>
      </c>
      <c r="L2590">
        <v>4</v>
      </c>
      <c r="M2590">
        <v>0</v>
      </c>
      <c r="N2590">
        <v>5</v>
      </c>
      <c r="O2590" t="s">
        <v>53</v>
      </c>
      <c r="P2590" t="s">
        <v>53</v>
      </c>
      <c r="Q2590" t="s">
        <v>53</v>
      </c>
    </row>
    <row r="2591" spans="1:17" x14ac:dyDescent="0.2">
      <c r="A2591" s="30" t="str">
        <f>IF(C2591&amp;G2591&amp;D2591&lt;&gt;'Funnel setup'!$K$3&amp;'Funnel setup'!$K$4&amp;'Funnel setup'!$K$5,".",IF(A2590=".",1,A2590+1))</f>
        <v>.</v>
      </c>
      <c r="B2591" s="431" t="str">
        <f t="shared" si="40"/>
        <v>Hip Replacement RevisionCCG of GP PracticeNHS NORTH TYNESIDE CCG (99C)EQ VAS</v>
      </c>
      <c r="C2591" t="s">
        <v>247</v>
      </c>
      <c r="D2591" t="s">
        <v>87</v>
      </c>
      <c r="E2591" t="s">
        <v>672</v>
      </c>
      <c r="F2591" t="s">
        <v>673</v>
      </c>
      <c r="G2591" t="s">
        <v>179</v>
      </c>
      <c r="H2591">
        <v>13</v>
      </c>
      <c r="I2591">
        <v>59.154000000000003</v>
      </c>
      <c r="J2591">
        <v>72.462000000000003</v>
      </c>
      <c r="K2591">
        <v>13.308</v>
      </c>
      <c r="L2591">
        <v>8</v>
      </c>
      <c r="M2591">
        <v>2</v>
      </c>
      <c r="N2591">
        <v>3</v>
      </c>
      <c r="O2591" t="s">
        <v>53</v>
      </c>
      <c r="P2591" t="s">
        <v>53</v>
      </c>
      <c r="Q2591" t="s">
        <v>53</v>
      </c>
    </row>
    <row r="2592" spans="1:17" x14ac:dyDescent="0.2">
      <c r="A2592" s="30" t="str">
        <f>IF(C2592&amp;G2592&amp;D2592&lt;&gt;'Funnel setup'!$K$3&amp;'Funnel setup'!$K$4&amp;'Funnel setup'!$K$5,".",IF(A2591=".",1,A2591+1))</f>
        <v>.</v>
      </c>
      <c r="B2592" s="431" t="str">
        <f t="shared" si="40"/>
        <v>Hip Replacement RevisionCCG of GP PracticeNHS NORTH WEST SURREY CCG (09Y)EQ VAS</v>
      </c>
      <c r="C2592" t="s">
        <v>247</v>
      </c>
      <c r="D2592" t="s">
        <v>87</v>
      </c>
      <c r="E2592" t="s">
        <v>675</v>
      </c>
      <c r="F2592" t="s">
        <v>676</v>
      </c>
      <c r="G2592" t="s">
        <v>179</v>
      </c>
      <c r="H2592">
        <v>16</v>
      </c>
      <c r="I2592">
        <v>72.063000000000002</v>
      </c>
      <c r="J2592">
        <v>73.75</v>
      </c>
      <c r="K2592">
        <v>1.6879999999999999</v>
      </c>
      <c r="L2592">
        <v>6</v>
      </c>
      <c r="M2592">
        <v>2</v>
      </c>
      <c r="N2592">
        <v>8</v>
      </c>
      <c r="O2592" t="s">
        <v>53</v>
      </c>
      <c r="P2592" t="s">
        <v>53</v>
      </c>
      <c r="Q2592" t="s">
        <v>53</v>
      </c>
    </row>
    <row r="2593" spans="1:17" x14ac:dyDescent="0.2">
      <c r="A2593" s="30" t="str">
        <f>IF(C2593&amp;G2593&amp;D2593&lt;&gt;'Funnel setup'!$K$3&amp;'Funnel setup'!$K$4&amp;'Funnel setup'!$K$5,".",IF(A2592=".",1,A2592+1))</f>
        <v>.</v>
      </c>
      <c r="B2593" s="431" t="str">
        <f t="shared" si="40"/>
        <v>Hip Replacement RevisionCCG of GP PracticeNHS NORTHERN, EASTERN AND WESTERN DEVON CCG (99P)EQ VAS</v>
      </c>
      <c r="C2593" t="s">
        <v>247</v>
      </c>
      <c r="D2593" t="s">
        <v>87</v>
      </c>
      <c r="E2593" t="s">
        <v>678</v>
      </c>
      <c r="F2593" t="s">
        <v>679</v>
      </c>
      <c r="G2593" t="s">
        <v>179</v>
      </c>
      <c r="H2593">
        <v>69</v>
      </c>
      <c r="I2593">
        <v>64.42</v>
      </c>
      <c r="J2593">
        <v>69.116</v>
      </c>
      <c r="K2593">
        <v>4.6959999999999997</v>
      </c>
      <c r="L2593">
        <v>38</v>
      </c>
      <c r="M2593">
        <v>7</v>
      </c>
      <c r="N2593">
        <v>24</v>
      </c>
      <c r="O2593">
        <v>69.713999999999999</v>
      </c>
      <c r="P2593">
        <v>4.9436701169999999</v>
      </c>
      <c r="Q2593">
        <v>18.818000000000001</v>
      </c>
    </row>
    <row r="2594" spans="1:17" x14ac:dyDescent="0.2">
      <c r="A2594" s="30" t="str">
        <f>IF(C2594&amp;G2594&amp;D2594&lt;&gt;'Funnel setup'!$K$3&amp;'Funnel setup'!$K$4&amp;'Funnel setup'!$K$5,".",IF(A2593=".",1,A2593+1))</f>
        <v>.</v>
      </c>
      <c r="B2594" s="431" t="str">
        <f t="shared" si="40"/>
        <v>Hip Replacement RevisionCCG of GP PracticeNHS NORTHUMBERLAND CCG (00L)EQ VAS</v>
      </c>
      <c r="C2594" t="s">
        <v>247</v>
      </c>
      <c r="D2594" t="s">
        <v>87</v>
      </c>
      <c r="E2594" t="s">
        <v>681</v>
      </c>
      <c r="F2594" t="s">
        <v>336</v>
      </c>
      <c r="G2594" t="s">
        <v>179</v>
      </c>
      <c r="H2594">
        <v>10</v>
      </c>
      <c r="I2594">
        <v>62.6</v>
      </c>
      <c r="J2594">
        <v>65.400000000000006</v>
      </c>
      <c r="K2594">
        <v>2.8</v>
      </c>
      <c r="L2594">
        <v>4</v>
      </c>
      <c r="M2594">
        <v>1</v>
      </c>
      <c r="N2594">
        <v>5</v>
      </c>
      <c r="O2594" t="s">
        <v>53</v>
      </c>
      <c r="P2594" t="s">
        <v>53</v>
      </c>
      <c r="Q2594" t="s">
        <v>53</v>
      </c>
    </row>
    <row r="2595" spans="1:17" x14ac:dyDescent="0.2">
      <c r="A2595" s="30" t="str">
        <f>IF(C2595&amp;G2595&amp;D2595&lt;&gt;'Funnel setup'!$K$3&amp;'Funnel setup'!$K$4&amp;'Funnel setup'!$K$5,".",IF(A2594=".",1,A2594+1))</f>
        <v>.</v>
      </c>
      <c r="B2595" s="431" t="str">
        <f t="shared" si="40"/>
        <v>Hip Replacement RevisionCCG of GP PracticeNHS NORWICH CCG (06W)EQ VAS</v>
      </c>
      <c r="C2595" t="s">
        <v>247</v>
      </c>
      <c r="D2595" t="s">
        <v>87</v>
      </c>
      <c r="E2595" t="s">
        <v>770</v>
      </c>
      <c r="F2595" t="s">
        <v>771</v>
      </c>
      <c r="G2595" t="s">
        <v>179</v>
      </c>
      <c r="H2595">
        <v>12</v>
      </c>
      <c r="I2595">
        <v>70.832999999999998</v>
      </c>
      <c r="J2595">
        <v>79.167000000000002</v>
      </c>
      <c r="K2595">
        <v>8.3330000000000002</v>
      </c>
      <c r="L2595">
        <v>6</v>
      </c>
      <c r="M2595">
        <v>4</v>
      </c>
      <c r="N2595">
        <v>2</v>
      </c>
      <c r="O2595" t="s">
        <v>53</v>
      </c>
      <c r="P2595" t="s">
        <v>53</v>
      </c>
      <c r="Q2595" t="s">
        <v>53</v>
      </c>
    </row>
    <row r="2596" spans="1:17" x14ac:dyDescent="0.2">
      <c r="A2596" s="30" t="str">
        <f>IF(C2596&amp;G2596&amp;D2596&lt;&gt;'Funnel setup'!$K$3&amp;'Funnel setup'!$K$4&amp;'Funnel setup'!$K$5,".",IF(A2595=".",1,A2595+1))</f>
        <v>.</v>
      </c>
      <c r="B2596" s="431" t="str">
        <f t="shared" si="40"/>
        <v>Hip Replacement RevisionCCG of GP PracticeNHS NOTTINGHAM CITY CCG (04K)EQ VAS</v>
      </c>
      <c r="C2596" t="s">
        <v>247</v>
      </c>
      <c r="D2596" t="s">
        <v>87</v>
      </c>
      <c r="E2596" t="s">
        <v>773</v>
      </c>
      <c r="F2596" t="s">
        <v>774</v>
      </c>
      <c r="G2596" t="s">
        <v>179</v>
      </c>
      <c r="H2596">
        <v>8</v>
      </c>
      <c r="I2596">
        <v>63.25</v>
      </c>
      <c r="J2596">
        <v>60.625</v>
      </c>
      <c r="K2596">
        <v>-2.625</v>
      </c>
      <c r="L2596">
        <v>1</v>
      </c>
      <c r="M2596">
        <v>1</v>
      </c>
      <c r="N2596">
        <v>6</v>
      </c>
      <c r="O2596" t="s">
        <v>53</v>
      </c>
      <c r="P2596" t="s">
        <v>53</v>
      </c>
      <c r="Q2596" t="s">
        <v>53</v>
      </c>
    </row>
    <row r="2597" spans="1:17" x14ac:dyDescent="0.2">
      <c r="A2597" s="30" t="str">
        <f>IF(C2597&amp;G2597&amp;D2597&lt;&gt;'Funnel setup'!$K$3&amp;'Funnel setup'!$K$4&amp;'Funnel setup'!$K$5,".",IF(A2596=".",1,A2596+1))</f>
        <v>.</v>
      </c>
      <c r="B2597" s="431" t="str">
        <f t="shared" si="40"/>
        <v>Hip Replacement RevisionCCG of GP PracticeNHS NOTTINGHAM NORTH AND EAST CCG (04L)EQ VAS</v>
      </c>
      <c r="C2597" t="s">
        <v>247</v>
      </c>
      <c r="D2597" t="s">
        <v>87</v>
      </c>
      <c r="E2597" t="s">
        <v>776</v>
      </c>
      <c r="F2597" t="s">
        <v>777</v>
      </c>
      <c r="G2597" t="s">
        <v>179</v>
      </c>
      <c r="H2597">
        <v>7</v>
      </c>
      <c r="I2597">
        <v>53.570999999999998</v>
      </c>
      <c r="J2597">
        <v>66.143000000000001</v>
      </c>
      <c r="K2597">
        <v>12.571</v>
      </c>
      <c r="L2597">
        <v>6</v>
      </c>
      <c r="M2597">
        <v>0</v>
      </c>
      <c r="N2597">
        <v>1</v>
      </c>
      <c r="O2597" t="s">
        <v>53</v>
      </c>
      <c r="P2597" t="s">
        <v>53</v>
      </c>
      <c r="Q2597" t="s">
        <v>53</v>
      </c>
    </row>
    <row r="2598" spans="1:17" x14ac:dyDescent="0.2">
      <c r="A2598" s="30" t="str">
        <f>IF(C2598&amp;G2598&amp;D2598&lt;&gt;'Funnel setup'!$K$3&amp;'Funnel setup'!$K$4&amp;'Funnel setup'!$K$5,".",IF(A2597=".",1,A2597+1))</f>
        <v>.</v>
      </c>
      <c r="B2598" s="431" t="str">
        <f t="shared" si="40"/>
        <v>Hip Replacement RevisionCCG of GP PracticeNHS NOTTINGHAM WEST CCG (04M)EQ VAS</v>
      </c>
      <c r="C2598" t="s">
        <v>247</v>
      </c>
      <c r="D2598" t="s">
        <v>87</v>
      </c>
      <c r="E2598" t="s">
        <v>779</v>
      </c>
      <c r="F2598" t="s">
        <v>780</v>
      </c>
      <c r="G2598" t="s">
        <v>179</v>
      </c>
      <c r="H2598" t="s">
        <v>53</v>
      </c>
      <c r="I2598" t="s">
        <v>53</v>
      </c>
      <c r="J2598" t="s">
        <v>53</v>
      </c>
      <c r="K2598" t="s">
        <v>53</v>
      </c>
      <c r="L2598" t="s">
        <v>53</v>
      </c>
      <c r="M2598" t="s">
        <v>53</v>
      </c>
      <c r="N2598" t="s">
        <v>53</v>
      </c>
      <c r="O2598" t="s">
        <v>53</v>
      </c>
      <c r="P2598" t="s">
        <v>53</v>
      </c>
      <c r="Q2598" t="s">
        <v>53</v>
      </c>
    </row>
    <row r="2599" spans="1:17" x14ac:dyDescent="0.2">
      <c r="A2599" s="30" t="str">
        <f>IF(C2599&amp;G2599&amp;D2599&lt;&gt;'Funnel setup'!$K$3&amp;'Funnel setup'!$K$4&amp;'Funnel setup'!$K$5,".",IF(A2598=".",1,A2598+1))</f>
        <v>.</v>
      </c>
      <c r="B2599" s="431" t="str">
        <f t="shared" si="40"/>
        <v>Hip Replacement RevisionCCG of GP PracticeNHS OLDHAM CCG (00Y)EQ VAS</v>
      </c>
      <c r="C2599" t="s">
        <v>247</v>
      </c>
      <c r="D2599" t="s">
        <v>87</v>
      </c>
      <c r="E2599" t="s">
        <v>782</v>
      </c>
      <c r="F2599" t="s">
        <v>783</v>
      </c>
      <c r="G2599" t="s">
        <v>179</v>
      </c>
      <c r="H2599">
        <v>10</v>
      </c>
      <c r="I2599">
        <v>70.5</v>
      </c>
      <c r="J2599">
        <v>68.5</v>
      </c>
      <c r="K2599">
        <v>-2</v>
      </c>
      <c r="L2599">
        <v>4</v>
      </c>
      <c r="M2599">
        <v>1</v>
      </c>
      <c r="N2599">
        <v>5</v>
      </c>
      <c r="O2599" t="s">
        <v>53</v>
      </c>
      <c r="P2599" t="s">
        <v>53</v>
      </c>
      <c r="Q2599" t="s">
        <v>53</v>
      </c>
    </row>
    <row r="2600" spans="1:17" x14ac:dyDescent="0.2">
      <c r="A2600" s="30" t="str">
        <f>IF(C2600&amp;G2600&amp;D2600&lt;&gt;'Funnel setup'!$K$3&amp;'Funnel setup'!$K$4&amp;'Funnel setup'!$K$5,".",IF(A2599=".",1,A2599+1))</f>
        <v>.</v>
      </c>
      <c r="B2600" s="431" t="str">
        <f t="shared" si="40"/>
        <v>Hip Replacement RevisionCCG of GP PracticeNHS OXFORDSHIRE CCG (10Q)EQ VAS</v>
      </c>
      <c r="C2600" t="s">
        <v>247</v>
      </c>
      <c r="D2600" t="s">
        <v>87</v>
      </c>
      <c r="E2600" t="s">
        <v>785</v>
      </c>
      <c r="F2600" t="s">
        <v>786</v>
      </c>
      <c r="G2600" t="s">
        <v>179</v>
      </c>
      <c r="H2600">
        <v>32</v>
      </c>
      <c r="I2600">
        <v>68.718999999999994</v>
      </c>
      <c r="J2600">
        <v>72.343999999999994</v>
      </c>
      <c r="K2600">
        <v>3.625</v>
      </c>
      <c r="L2600">
        <v>19</v>
      </c>
      <c r="M2600">
        <v>0</v>
      </c>
      <c r="N2600">
        <v>13</v>
      </c>
      <c r="O2600">
        <v>69.17</v>
      </c>
      <c r="P2600">
        <v>4.4000553690000004</v>
      </c>
      <c r="Q2600">
        <v>19.03</v>
      </c>
    </row>
    <row r="2601" spans="1:17" x14ac:dyDescent="0.2">
      <c r="A2601" s="30" t="str">
        <f>IF(C2601&amp;G2601&amp;D2601&lt;&gt;'Funnel setup'!$K$3&amp;'Funnel setup'!$K$4&amp;'Funnel setup'!$K$5,".",IF(A2600=".",1,A2600+1))</f>
        <v>.</v>
      </c>
      <c r="B2601" s="431" t="str">
        <f t="shared" si="40"/>
        <v>Hip Replacement RevisionCCG of GP PracticeNHS PORTSMOUTH CCG (10R)EQ VAS</v>
      </c>
      <c r="C2601" t="s">
        <v>247</v>
      </c>
      <c r="D2601" t="s">
        <v>87</v>
      </c>
      <c r="E2601" t="s">
        <v>788</v>
      </c>
      <c r="F2601" t="s">
        <v>789</v>
      </c>
      <c r="G2601" t="s">
        <v>179</v>
      </c>
      <c r="H2601" t="s">
        <v>53</v>
      </c>
      <c r="I2601" t="s">
        <v>53</v>
      </c>
      <c r="J2601" t="s">
        <v>53</v>
      </c>
      <c r="K2601" t="s">
        <v>53</v>
      </c>
      <c r="L2601" t="s">
        <v>53</v>
      </c>
      <c r="M2601" t="s">
        <v>53</v>
      </c>
      <c r="N2601" t="s">
        <v>53</v>
      </c>
      <c r="O2601" t="s">
        <v>53</v>
      </c>
      <c r="P2601" t="s">
        <v>53</v>
      </c>
      <c r="Q2601" t="s">
        <v>53</v>
      </c>
    </row>
    <row r="2602" spans="1:17" x14ac:dyDescent="0.2">
      <c r="A2602" s="30" t="str">
        <f>IF(C2602&amp;G2602&amp;D2602&lt;&gt;'Funnel setup'!$K$3&amp;'Funnel setup'!$K$4&amp;'Funnel setup'!$K$5,".",IF(A2601=".",1,A2601+1))</f>
        <v>.</v>
      </c>
      <c r="B2602" s="431" t="str">
        <f t="shared" si="40"/>
        <v>Hip Replacement RevisionCCG of GP PracticeNHS REDBRIDGE CCG (08N)EQ VAS</v>
      </c>
      <c r="C2602" t="s">
        <v>247</v>
      </c>
      <c r="D2602" t="s">
        <v>87</v>
      </c>
      <c r="E2602" t="s">
        <v>791</v>
      </c>
      <c r="F2602" t="s">
        <v>792</v>
      </c>
      <c r="G2602" t="s">
        <v>179</v>
      </c>
      <c r="H2602" t="s">
        <v>53</v>
      </c>
      <c r="I2602" t="s">
        <v>53</v>
      </c>
      <c r="J2602" t="s">
        <v>53</v>
      </c>
      <c r="K2602" t="s">
        <v>53</v>
      </c>
      <c r="L2602" t="s">
        <v>53</v>
      </c>
      <c r="M2602" t="s">
        <v>53</v>
      </c>
      <c r="N2602" t="s">
        <v>53</v>
      </c>
      <c r="O2602" t="s">
        <v>53</v>
      </c>
      <c r="P2602" t="s">
        <v>53</v>
      </c>
      <c r="Q2602" t="s">
        <v>53</v>
      </c>
    </row>
    <row r="2603" spans="1:17" x14ac:dyDescent="0.2">
      <c r="A2603" s="30" t="str">
        <f>IF(C2603&amp;G2603&amp;D2603&lt;&gt;'Funnel setup'!$K$3&amp;'Funnel setup'!$K$4&amp;'Funnel setup'!$K$5,".",IF(A2602=".",1,A2602+1))</f>
        <v>.</v>
      </c>
      <c r="B2603" s="431" t="str">
        <f t="shared" si="40"/>
        <v>Hip Replacement RevisionCCG of GP PracticeNHS REDDITCH AND BROMSGROVE CCG (05J)EQ VAS</v>
      </c>
      <c r="C2603" t="s">
        <v>247</v>
      </c>
      <c r="D2603" t="s">
        <v>87</v>
      </c>
      <c r="E2603" t="s">
        <v>794</v>
      </c>
      <c r="F2603" t="s">
        <v>795</v>
      </c>
      <c r="G2603" t="s">
        <v>179</v>
      </c>
      <c r="H2603" t="s">
        <v>53</v>
      </c>
      <c r="I2603" t="s">
        <v>53</v>
      </c>
      <c r="J2603" t="s">
        <v>53</v>
      </c>
      <c r="K2603" t="s">
        <v>53</v>
      </c>
      <c r="L2603" t="s">
        <v>53</v>
      </c>
      <c r="M2603" t="s">
        <v>53</v>
      </c>
      <c r="N2603" t="s">
        <v>53</v>
      </c>
      <c r="O2603" t="s">
        <v>53</v>
      </c>
      <c r="P2603" t="s">
        <v>53</v>
      </c>
      <c r="Q2603" t="s">
        <v>53</v>
      </c>
    </row>
    <row r="2604" spans="1:17" x14ac:dyDescent="0.2">
      <c r="A2604" s="30" t="str">
        <f>IF(C2604&amp;G2604&amp;D2604&lt;&gt;'Funnel setup'!$K$3&amp;'Funnel setup'!$K$4&amp;'Funnel setup'!$K$5,".",IF(A2603=".",1,A2603+1))</f>
        <v>.</v>
      </c>
      <c r="B2604" s="431" t="str">
        <f t="shared" si="40"/>
        <v>Hip Replacement RevisionCCG of GP PracticeNHS RICHMOND CCG (08P)EQ VAS</v>
      </c>
      <c r="C2604" t="s">
        <v>247</v>
      </c>
      <c r="D2604" t="s">
        <v>87</v>
      </c>
      <c r="E2604" t="s">
        <v>797</v>
      </c>
      <c r="F2604" t="s">
        <v>798</v>
      </c>
      <c r="G2604" t="s">
        <v>179</v>
      </c>
      <c r="H2604">
        <v>6</v>
      </c>
      <c r="I2604">
        <v>67.5</v>
      </c>
      <c r="J2604">
        <v>76.332999999999998</v>
      </c>
      <c r="K2604">
        <v>8.8330000000000002</v>
      </c>
      <c r="L2604">
        <v>4</v>
      </c>
      <c r="M2604">
        <v>0</v>
      </c>
      <c r="N2604">
        <v>2</v>
      </c>
      <c r="O2604" t="s">
        <v>53</v>
      </c>
      <c r="P2604" t="s">
        <v>53</v>
      </c>
      <c r="Q2604" t="s">
        <v>53</v>
      </c>
    </row>
    <row r="2605" spans="1:17" x14ac:dyDescent="0.2">
      <c r="A2605" s="30" t="str">
        <f>IF(C2605&amp;G2605&amp;D2605&lt;&gt;'Funnel setup'!$K$3&amp;'Funnel setup'!$K$4&amp;'Funnel setup'!$K$5,".",IF(A2604=".",1,A2604+1))</f>
        <v>.</v>
      </c>
      <c r="B2605" s="431" t="str">
        <f t="shared" si="40"/>
        <v>Hip Replacement RevisionCCG of GP PracticeNHS ROTHERHAM CCG (03L)EQ VAS</v>
      </c>
      <c r="C2605" t="s">
        <v>247</v>
      </c>
      <c r="D2605" t="s">
        <v>87</v>
      </c>
      <c r="E2605" t="s">
        <v>800</v>
      </c>
      <c r="F2605" t="s">
        <v>801</v>
      </c>
      <c r="G2605" t="s">
        <v>179</v>
      </c>
      <c r="H2605">
        <v>15</v>
      </c>
      <c r="I2605">
        <v>70.066999999999993</v>
      </c>
      <c r="J2605">
        <v>74.533000000000001</v>
      </c>
      <c r="K2605">
        <v>4.4669999999999996</v>
      </c>
      <c r="L2605">
        <v>7</v>
      </c>
      <c r="M2605">
        <v>6</v>
      </c>
      <c r="N2605">
        <v>2</v>
      </c>
      <c r="O2605" t="s">
        <v>53</v>
      </c>
      <c r="P2605" t="s">
        <v>53</v>
      </c>
      <c r="Q2605" t="s">
        <v>53</v>
      </c>
    </row>
    <row r="2606" spans="1:17" x14ac:dyDescent="0.2">
      <c r="A2606" s="30" t="str">
        <f>IF(C2606&amp;G2606&amp;D2606&lt;&gt;'Funnel setup'!$K$3&amp;'Funnel setup'!$K$4&amp;'Funnel setup'!$K$5,".",IF(A2605=".",1,A2605+1))</f>
        <v>.</v>
      </c>
      <c r="B2606" s="431" t="str">
        <f t="shared" si="40"/>
        <v>Hip Replacement RevisionCCG of GP PracticeNHS RUSHCLIFFE CCG (04N)EQ VAS</v>
      </c>
      <c r="C2606" t="s">
        <v>247</v>
      </c>
      <c r="D2606" t="s">
        <v>87</v>
      </c>
      <c r="E2606" t="s">
        <v>803</v>
      </c>
      <c r="F2606" t="s">
        <v>804</v>
      </c>
      <c r="G2606" t="s">
        <v>179</v>
      </c>
      <c r="H2606">
        <v>7</v>
      </c>
      <c r="I2606">
        <v>64.286000000000001</v>
      </c>
      <c r="J2606">
        <v>75</v>
      </c>
      <c r="K2606">
        <v>10.714</v>
      </c>
      <c r="L2606">
        <v>4</v>
      </c>
      <c r="M2606">
        <v>3</v>
      </c>
      <c r="N2606">
        <v>0</v>
      </c>
      <c r="O2606" t="s">
        <v>53</v>
      </c>
      <c r="P2606" t="s">
        <v>53</v>
      </c>
      <c r="Q2606" t="s">
        <v>53</v>
      </c>
    </row>
    <row r="2607" spans="1:17" x14ac:dyDescent="0.2">
      <c r="A2607" s="30" t="str">
        <f>IF(C2607&amp;G2607&amp;D2607&lt;&gt;'Funnel setup'!$K$3&amp;'Funnel setup'!$K$4&amp;'Funnel setup'!$K$5,".",IF(A2606=".",1,A2606+1))</f>
        <v>.</v>
      </c>
      <c r="B2607" s="431" t="str">
        <f t="shared" si="40"/>
        <v>Hip Replacement RevisionCCG of GP PracticeNHS SALFORD CCG (01G)EQ VAS</v>
      </c>
      <c r="C2607" t="s">
        <v>247</v>
      </c>
      <c r="D2607" t="s">
        <v>87</v>
      </c>
      <c r="E2607" t="s">
        <v>806</v>
      </c>
      <c r="F2607" t="s">
        <v>807</v>
      </c>
      <c r="G2607" t="s">
        <v>179</v>
      </c>
      <c r="H2607" t="s">
        <v>53</v>
      </c>
      <c r="I2607" t="s">
        <v>53</v>
      </c>
      <c r="J2607" t="s">
        <v>53</v>
      </c>
      <c r="K2607" t="s">
        <v>53</v>
      </c>
      <c r="L2607" t="s">
        <v>53</v>
      </c>
      <c r="M2607" t="s">
        <v>53</v>
      </c>
      <c r="N2607" t="s">
        <v>53</v>
      </c>
      <c r="O2607" t="s">
        <v>53</v>
      </c>
      <c r="P2607" t="s">
        <v>53</v>
      </c>
      <c r="Q2607" t="s">
        <v>53</v>
      </c>
    </row>
    <row r="2608" spans="1:17" x14ac:dyDescent="0.2">
      <c r="A2608" s="30" t="str">
        <f>IF(C2608&amp;G2608&amp;D2608&lt;&gt;'Funnel setup'!$K$3&amp;'Funnel setup'!$K$4&amp;'Funnel setup'!$K$5,".",IF(A2607=".",1,A2607+1))</f>
        <v>.</v>
      </c>
      <c r="B2608" s="431" t="str">
        <f t="shared" si="40"/>
        <v>Hip Replacement RevisionCCG of GP PracticeNHS SANDWELL AND WEST BIRMINGHAM CCG (05L)EQ VAS</v>
      </c>
      <c r="C2608" t="s">
        <v>247</v>
      </c>
      <c r="D2608" t="s">
        <v>87</v>
      </c>
      <c r="E2608" t="s">
        <v>809</v>
      </c>
      <c r="F2608" t="s">
        <v>810</v>
      </c>
      <c r="G2608" t="s">
        <v>179</v>
      </c>
      <c r="H2608">
        <v>8</v>
      </c>
      <c r="I2608">
        <v>67.375</v>
      </c>
      <c r="J2608">
        <v>82.625</v>
      </c>
      <c r="K2608">
        <v>15.25</v>
      </c>
      <c r="L2608">
        <v>6</v>
      </c>
      <c r="M2608">
        <v>2</v>
      </c>
      <c r="N2608">
        <v>0</v>
      </c>
      <c r="O2608" t="s">
        <v>53</v>
      </c>
      <c r="P2608" t="s">
        <v>53</v>
      </c>
      <c r="Q2608" t="s">
        <v>53</v>
      </c>
    </row>
    <row r="2609" spans="1:17" x14ac:dyDescent="0.2">
      <c r="A2609" s="30" t="str">
        <f>IF(C2609&amp;G2609&amp;D2609&lt;&gt;'Funnel setup'!$K$3&amp;'Funnel setup'!$K$4&amp;'Funnel setup'!$K$5,".",IF(A2608=".",1,A2608+1))</f>
        <v>.</v>
      </c>
      <c r="B2609" s="431" t="str">
        <f t="shared" si="40"/>
        <v>Hip Replacement RevisionCCG of GP PracticeNHS SCARBOROUGH AND RYEDALE CCG (03M)EQ VAS</v>
      </c>
      <c r="C2609" t="s">
        <v>247</v>
      </c>
      <c r="D2609" t="s">
        <v>87</v>
      </c>
      <c r="E2609" t="s">
        <v>812</v>
      </c>
      <c r="F2609" t="s">
        <v>813</v>
      </c>
      <c r="G2609" t="s">
        <v>179</v>
      </c>
      <c r="H2609">
        <v>9</v>
      </c>
      <c r="I2609">
        <v>57.222000000000001</v>
      </c>
      <c r="J2609">
        <v>80.778000000000006</v>
      </c>
      <c r="K2609">
        <v>23.556000000000001</v>
      </c>
      <c r="L2609">
        <v>8</v>
      </c>
      <c r="M2609">
        <v>0</v>
      </c>
      <c r="N2609">
        <v>1</v>
      </c>
      <c r="O2609" t="s">
        <v>53</v>
      </c>
      <c r="P2609" t="s">
        <v>53</v>
      </c>
      <c r="Q2609" t="s">
        <v>53</v>
      </c>
    </row>
    <row r="2610" spans="1:17" x14ac:dyDescent="0.2">
      <c r="A2610" s="30" t="str">
        <f>IF(C2610&amp;G2610&amp;D2610&lt;&gt;'Funnel setup'!$K$3&amp;'Funnel setup'!$K$4&amp;'Funnel setup'!$K$5,".",IF(A2609=".",1,A2609+1))</f>
        <v>.</v>
      </c>
      <c r="B2610" s="431" t="str">
        <f t="shared" si="40"/>
        <v>Hip Replacement RevisionCCG of GP PracticeNHS SHEFFIELD CCG (03N)EQ VAS</v>
      </c>
      <c r="C2610" t="s">
        <v>247</v>
      </c>
      <c r="D2610" t="s">
        <v>87</v>
      </c>
      <c r="E2610" t="s">
        <v>815</v>
      </c>
      <c r="F2610" t="s">
        <v>816</v>
      </c>
      <c r="G2610" t="s">
        <v>179</v>
      </c>
      <c r="H2610">
        <v>11</v>
      </c>
      <c r="I2610">
        <v>61.908999999999999</v>
      </c>
      <c r="J2610">
        <v>68.364000000000004</v>
      </c>
      <c r="K2610">
        <v>6.4550000000000001</v>
      </c>
      <c r="L2610">
        <v>7</v>
      </c>
      <c r="M2610">
        <v>1</v>
      </c>
      <c r="N2610">
        <v>3</v>
      </c>
      <c r="O2610" t="s">
        <v>53</v>
      </c>
      <c r="P2610" t="s">
        <v>53</v>
      </c>
      <c r="Q2610" t="s">
        <v>53</v>
      </c>
    </row>
    <row r="2611" spans="1:17" x14ac:dyDescent="0.2">
      <c r="A2611" s="30" t="str">
        <f>IF(C2611&amp;G2611&amp;D2611&lt;&gt;'Funnel setup'!$K$3&amp;'Funnel setup'!$K$4&amp;'Funnel setup'!$K$5,".",IF(A2610=".",1,A2610+1))</f>
        <v>.</v>
      </c>
      <c r="B2611" s="431" t="str">
        <f t="shared" si="40"/>
        <v>Hip Replacement RevisionCCG of GP PracticeNHS SHROPSHIRE CCG (05N)EQ VAS</v>
      </c>
      <c r="C2611" t="s">
        <v>247</v>
      </c>
      <c r="D2611" t="s">
        <v>87</v>
      </c>
      <c r="E2611" t="s">
        <v>818</v>
      </c>
      <c r="F2611" t="s">
        <v>819</v>
      </c>
      <c r="G2611" t="s">
        <v>179</v>
      </c>
      <c r="H2611">
        <v>37</v>
      </c>
      <c r="I2611">
        <v>62.811</v>
      </c>
      <c r="J2611">
        <v>72.215999999999994</v>
      </c>
      <c r="K2611">
        <v>9.4049999999999994</v>
      </c>
      <c r="L2611">
        <v>23</v>
      </c>
      <c r="M2611">
        <v>4</v>
      </c>
      <c r="N2611">
        <v>10</v>
      </c>
      <c r="O2611">
        <v>70.123000000000005</v>
      </c>
      <c r="P2611">
        <v>5.3525494560000002</v>
      </c>
      <c r="Q2611">
        <v>18.204000000000001</v>
      </c>
    </row>
    <row r="2612" spans="1:17" x14ac:dyDescent="0.2">
      <c r="A2612" s="30" t="str">
        <f>IF(C2612&amp;G2612&amp;D2612&lt;&gt;'Funnel setup'!$K$3&amp;'Funnel setup'!$K$4&amp;'Funnel setup'!$K$5,".",IF(A2611=".",1,A2611+1))</f>
        <v>.</v>
      </c>
      <c r="B2612" s="431" t="str">
        <f t="shared" si="40"/>
        <v>Hip Replacement RevisionCCG of GP PracticeNHS SLOUGH CCG (10T)EQ VAS</v>
      </c>
      <c r="C2612" t="s">
        <v>247</v>
      </c>
      <c r="D2612" t="s">
        <v>87</v>
      </c>
      <c r="E2612" t="s">
        <v>821</v>
      </c>
      <c r="F2612" t="s">
        <v>822</v>
      </c>
      <c r="G2612" t="s">
        <v>179</v>
      </c>
      <c r="H2612" t="s">
        <v>53</v>
      </c>
      <c r="I2612" t="s">
        <v>53</v>
      </c>
      <c r="J2612" t="s">
        <v>53</v>
      </c>
      <c r="K2612" t="s">
        <v>53</v>
      </c>
      <c r="L2612" t="s">
        <v>53</v>
      </c>
      <c r="M2612" t="s">
        <v>53</v>
      </c>
      <c r="N2612" t="s">
        <v>53</v>
      </c>
      <c r="O2612" t="s">
        <v>53</v>
      </c>
      <c r="P2612" t="s">
        <v>53</v>
      </c>
      <c r="Q2612" t="s">
        <v>53</v>
      </c>
    </row>
    <row r="2613" spans="1:17" x14ac:dyDescent="0.2">
      <c r="A2613" s="30" t="str">
        <f>IF(C2613&amp;G2613&amp;D2613&lt;&gt;'Funnel setup'!$K$3&amp;'Funnel setup'!$K$4&amp;'Funnel setup'!$K$5,".",IF(A2612=".",1,A2612+1))</f>
        <v>.</v>
      </c>
      <c r="B2613" s="431" t="str">
        <f t="shared" si="40"/>
        <v>Hip Replacement RevisionCCG of GP PracticeNHS SOLIHULL CCG (05P)EQ VAS</v>
      </c>
      <c r="C2613" t="s">
        <v>247</v>
      </c>
      <c r="D2613" t="s">
        <v>87</v>
      </c>
      <c r="E2613" t="s">
        <v>824</v>
      </c>
      <c r="F2613" t="s">
        <v>825</v>
      </c>
      <c r="G2613" t="s">
        <v>179</v>
      </c>
      <c r="H2613">
        <v>10</v>
      </c>
      <c r="I2613">
        <v>53.5</v>
      </c>
      <c r="J2613">
        <v>57.5</v>
      </c>
      <c r="K2613">
        <v>4</v>
      </c>
      <c r="L2613">
        <v>5</v>
      </c>
      <c r="M2613">
        <v>1</v>
      </c>
      <c r="N2613">
        <v>4</v>
      </c>
      <c r="O2613" t="s">
        <v>53</v>
      </c>
      <c r="P2613" t="s">
        <v>53</v>
      </c>
      <c r="Q2613" t="s">
        <v>53</v>
      </c>
    </row>
    <row r="2614" spans="1:17" x14ac:dyDescent="0.2">
      <c r="A2614" s="30" t="str">
        <f>IF(C2614&amp;G2614&amp;D2614&lt;&gt;'Funnel setup'!$K$3&amp;'Funnel setup'!$K$4&amp;'Funnel setup'!$K$5,".",IF(A2613=".",1,A2613+1))</f>
        <v>.</v>
      </c>
      <c r="B2614" s="431" t="str">
        <f t="shared" si="40"/>
        <v>Hip Replacement RevisionCCG of GP PracticeNHS SOMERSET CCG (11X)EQ VAS</v>
      </c>
      <c r="C2614" t="s">
        <v>247</v>
      </c>
      <c r="D2614" t="s">
        <v>87</v>
      </c>
      <c r="E2614" t="s">
        <v>827</v>
      </c>
      <c r="F2614" t="s">
        <v>828</v>
      </c>
      <c r="G2614" t="s">
        <v>179</v>
      </c>
      <c r="H2614">
        <v>47</v>
      </c>
      <c r="I2614">
        <v>71.149000000000001</v>
      </c>
      <c r="J2614">
        <v>79.191000000000003</v>
      </c>
      <c r="K2614">
        <v>8.0429999999999993</v>
      </c>
      <c r="L2614">
        <v>25</v>
      </c>
      <c r="M2614">
        <v>7</v>
      </c>
      <c r="N2614">
        <v>15</v>
      </c>
      <c r="O2614">
        <v>76.495999999999995</v>
      </c>
      <c r="P2614">
        <v>11.72528501</v>
      </c>
      <c r="Q2614">
        <v>11.441000000000001</v>
      </c>
    </row>
    <row r="2615" spans="1:17" x14ac:dyDescent="0.2">
      <c r="A2615" s="30" t="str">
        <f>IF(C2615&amp;G2615&amp;D2615&lt;&gt;'Funnel setup'!$K$3&amp;'Funnel setup'!$K$4&amp;'Funnel setup'!$K$5,".",IF(A2614=".",1,A2614+1))</f>
        <v>.</v>
      </c>
      <c r="B2615" s="431" t="str">
        <f t="shared" si="40"/>
        <v>Hip Replacement RevisionCCG of GP PracticeNHS SOUTH CHESHIRE CCG (01R)EQ VAS</v>
      </c>
      <c r="C2615" t="s">
        <v>247</v>
      </c>
      <c r="D2615" t="s">
        <v>87</v>
      </c>
      <c r="E2615" t="s">
        <v>830</v>
      </c>
      <c r="F2615" t="s">
        <v>831</v>
      </c>
      <c r="G2615" t="s">
        <v>179</v>
      </c>
      <c r="H2615">
        <v>6</v>
      </c>
      <c r="I2615">
        <v>65</v>
      </c>
      <c r="J2615">
        <v>65.667000000000002</v>
      </c>
      <c r="K2615">
        <v>0.66700000000000004</v>
      </c>
      <c r="L2615">
        <v>3</v>
      </c>
      <c r="M2615">
        <v>0</v>
      </c>
      <c r="N2615">
        <v>3</v>
      </c>
      <c r="O2615" t="s">
        <v>53</v>
      </c>
      <c r="P2615" t="s">
        <v>53</v>
      </c>
      <c r="Q2615" t="s">
        <v>53</v>
      </c>
    </row>
    <row r="2616" spans="1:17" x14ac:dyDescent="0.2">
      <c r="A2616" s="30" t="str">
        <f>IF(C2616&amp;G2616&amp;D2616&lt;&gt;'Funnel setup'!$K$3&amp;'Funnel setup'!$K$4&amp;'Funnel setup'!$K$5,".",IF(A2615=".",1,A2615+1))</f>
        <v>.</v>
      </c>
      <c r="B2616" s="431" t="str">
        <f t="shared" si="40"/>
        <v>Hip Replacement RevisionCCG of GP PracticeNHS SOUTH DEVON AND TORBAY CCG (99Q)EQ VAS</v>
      </c>
      <c r="C2616" t="s">
        <v>247</v>
      </c>
      <c r="D2616" t="s">
        <v>87</v>
      </c>
      <c r="E2616" t="s">
        <v>833</v>
      </c>
      <c r="F2616" t="s">
        <v>834</v>
      </c>
      <c r="G2616" t="s">
        <v>179</v>
      </c>
      <c r="H2616">
        <v>29</v>
      </c>
      <c r="I2616">
        <v>72.759</v>
      </c>
      <c r="J2616">
        <v>70.102999999999994</v>
      </c>
      <c r="K2616">
        <v>-2.6549999999999998</v>
      </c>
      <c r="L2616">
        <v>13</v>
      </c>
      <c r="M2616">
        <v>2</v>
      </c>
      <c r="N2616">
        <v>14</v>
      </c>
      <c r="O2616" t="s">
        <v>53</v>
      </c>
      <c r="P2616" t="s">
        <v>53</v>
      </c>
      <c r="Q2616" t="s">
        <v>53</v>
      </c>
    </row>
    <row r="2617" spans="1:17" x14ac:dyDescent="0.2">
      <c r="A2617" s="30" t="str">
        <f>IF(C2617&amp;G2617&amp;D2617&lt;&gt;'Funnel setup'!$K$3&amp;'Funnel setup'!$K$4&amp;'Funnel setup'!$K$5,".",IF(A2616=".",1,A2616+1))</f>
        <v>.</v>
      </c>
      <c r="B2617" s="431" t="str">
        <f t="shared" si="40"/>
        <v>Hip Replacement RevisionCCG of GP PracticeNHS SOUTH EAST STAFFORDSHIRE AND SEISDON PENINSULA CCG (05Q)EQ VAS</v>
      </c>
      <c r="C2617" t="s">
        <v>247</v>
      </c>
      <c r="D2617" t="s">
        <v>87</v>
      </c>
      <c r="E2617" t="s">
        <v>836</v>
      </c>
      <c r="F2617" t="s">
        <v>837</v>
      </c>
      <c r="G2617" t="s">
        <v>179</v>
      </c>
      <c r="H2617">
        <v>8</v>
      </c>
      <c r="I2617">
        <v>63.125</v>
      </c>
      <c r="J2617">
        <v>71.75</v>
      </c>
      <c r="K2617">
        <v>8.625</v>
      </c>
      <c r="L2617">
        <v>5</v>
      </c>
      <c r="M2617">
        <v>1</v>
      </c>
      <c r="N2617">
        <v>2</v>
      </c>
      <c r="O2617" t="s">
        <v>53</v>
      </c>
      <c r="P2617" t="s">
        <v>53</v>
      </c>
      <c r="Q2617" t="s">
        <v>53</v>
      </c>
    </row>
    <row r="2618" spans="1:17" x14ac:dyDescent="0.2">
      <c r="A2618" s="30" t="str">
        <f>IF(C2618&amp;G2618&amp;D2618&lt;&gt;'Funnel setup'!$K$3&amp;'Funnel setup'!$K$4&amp;'Funnel setup'!$K$5,".",IF(A2617=".",1,A2617+1))</f>
        <v>.</v>
      </c>
      <c r="B2618" s="431" t="str">
        <f t="shared" si="40"/>
        <v>Hip Replacement RevisionCCG of GP PracticeNHS SOUTH EASTERN HAMPSHIRE CCG (10V)EQ VAS</v>
      </c>
      <c r="C2618" t="s">
        <v>247</v>
      </c>
      <c r="D2618" t="s">
        <v>87</v>
      </c>
      <c r="E2618" t="s">
        <v>839</v>
      </c>
      <c r="F2618" t="s">
        <v>840</v>
      </c>
      <c r="G2618" t="s">
        <v>179</v>
      </c>
      <c r="H2618">
        <v>7</v>
      </c>
      <c r="I2618">
        <v>52.286000000000001</v>
      </c>
      <c r="J2618">
        <v>65</v>
      </c>
      <c r="K2618">
        <v>12.714</v>
      </c>
      <c r="L2618">
        <v>5</v>
      </c>
      <c r="M2618">
        <v>1</v>
      </c>
      <c r="N2618">
        <v>1</v>
      </c>
      <c r="O2618" t="s">
        <v>53</v>
      </c>
      <c r="P2618" t="s">
        <v>53</v>
      </c>
      <c r="Q2618" t="s">
        <v>53</v>
      </c>
    </row>
    <row r="2619" spans="1:17" x14ac:dyDescent="0.2">
      <c r="A2619" s="30" t="str">
        <f>IF(C2619&amp;G2619&amp;D2619&lt;&gt;'Funnel setup'!$K$3&amp;'Funnel setup'!$K$4&amp;'Funnel setup'!$K$5,".",IF(A2618=".",1,A2618+1))</f>
        <v>.</v>
      </c>
      <c r="B2619" s="431" t="str">
        <f t="shared" si="40"/>
        <v>Hip Replacement RevisionCCG of GP PracticeNHS SOUTH GLOUCESTERSHIRE CCG (12A)EQ VAS</v>
      </c>
      <c r="C2619" t="s">
        <v>247</v>
      </c>
      <c r="D2619" t="s">
        <v>87</v>
      </c>
      <c r="E2619" t="s">
        <v>842</v>
      </c>
      <c r="F2619" t="s">
        <v>843</v>
      </c>
      <c r="G2619" t="s">
        <v>179</v>
      </c>
      <c r="H2619">
        <v>7</v>
      </c>
      <c r="I2619">
        <v>65</v>
      </c>
      <c r="J2619">
        <v>67.429000000000002</v>
      </c>
      <c r="K2619">
        <v>2.4289999999999998</v>
      </c>
      <c r="L2619">
        <v>2</v>
      </c>
      <c r="M2619">
        <v>2</v>
      </c>
      <c r="N2619">
        <v>3</v>
      </c>
      <c r="O2619" t="s">
        <v>53</v>
      </c>
      <c r="P2619" t="s">
        <v>53</v>
      </c>
      <c r="Q2619" t="s">
        <v>53</v>
      </c>
    </row>
    <row r="2620" spans="1:17" x14ac:dyDescent="0.2">
      <c r="A2620" s="30" t="str">
        <f>IF(C2620&amp;G2620&amp;D2620&lt;&gt;'Funnel setup'!$K$3&amp;'Funnel setup'!$K$4&amp;'Funnel setup'!$K$5,".",IF(A2619=".",1,A2619+1))</f>
        <v>.</v>
      </c>
      <c r="B2620" s="431" t="str">
        <f t="shared" si="40"/>
        <v>Hip Replacement RevisionCCG of GP PracticeNHS SOUTH KENT COAST CCG (10A)EQ VAS</v>
      </c>
      <c r="C2620" t="s">
        <v>247</v>
      </c>
      <c r="D2620" t="s">
        <v>87</v>
      </c>
      <c r="E2620" t="s">
        <v>845</v>
      </c>
      <c r="F2620" t="s">
        <v>846</v>
      </c>
      <c r="G2620" t="s">
        <v>179</v>
      </c>
      <c r="H2620">
        <v>8</v>
      </c>
      <c r="I2620">
        <v>54.5</v>
      </c>
      <c r="J2620">
        <v>66.875</v>
      </c>
      <c r="K2620">
        <v>12.375</v>
      </c>
      <c r="L2620">
        <v>5</v>
      </c>
      <c r="M2620">
        <v>1</v>
      </c>
      <c r="N2620">
        <v>2</v>
      </c>
      <c r="O2620" t="s">
        <v>53</v>
      </c>
      <c r="P2620" t="s">
        <v>53</v>
      </c>
      <c r="Q2620" t="s">
        <v>53</v>
      </c>
    </row>
    <row r="2621" spans="1:17" x14ac:dyDescent="0.2">
      <c r="A2621" s="30" t="str">
        <f>IF(C2621&amp;G2621&amp;D2621&lt;&gt;'Funnel setup'!$K$3&amp;'Funnel setup'!$K$4&amp;'Funnel setup'!$K$5,".",IF(A2620=".",1,A2620+1))</f>
        <v>.</v>
      </c>
      <c r="B2621" s="431" t="str">
        <f t="shared" si="40"/>
        <v>Hip Replacement RevisionCCG of GP PracticeNHS SOUTH LINCOLNSHIRE CCG (99D)EQ VAS</v>
      </c>
      <c r="C2621" t="s">
        <v>247</v>
      </c>
      <c r="D2621" t="s">
        <v>87</v>
      </c>
      <c r="E2621" t="s">
        <v>848</v>
      </c>
      <c r="F2621" t="s">
        <v>849</v>
      </c>
      <c r="G2621" t="s">
        <v>179</v>
      </c>
      <c r="H2621">
        <v>6</v>
      </c>
      <c r="I2621">
        <v>68.332999999999998</v>
      </c>
      <c r="J2621">
        <v>69.167000000000002</v>
      </c>
      <c r="K2621">
        <v>0.83299999999999996</v>
      </c>
      <c r="L2621">
        <v>1</v>
      </c>
      <c r="M2621">
        <v>2</v>
      </c>
      <c r="N2621">
        <v>3</v>
      </c>
      <c r="O2621" t="s">
        <v>53</v>
      </c>
      <c r="P2621" t="s">
        <v>53</v>
      </c>
      <c r="Q2621" t="s">
        <v>53</v>
      </c>
    </row>
    <row r="2622" spans="1:17" x14ac:dyDescent="0.2">
      <c r="A2622" s="30" t="str">
        <f>IF(C2622&amp;G2622&amp;D2622&lt;&gt;'Funnel setup'!$K$3&amp;'Funnel setup'!$K$4&amp;'Funnel setup'!$K$5,".",IF(A2621=".",1,A2621+1))</f>
        <v>.</v>
      </c>
      <c r="B2622" s="431" t="str">
        <f t="shared" si="40"/>
        <v>Hip Replacement RevisionCCG of GP PracticeNHS SOUTH MANCHESTER CCG (01N)EQ VAS</v>
      </c>
      <c r="C2622" t="s">
        <v>247</v>
      </c>
      <c r="D2622" t="s">
        <v>87</v>
      </c>
      <c r="E2622" t="s">
        <v>851</v>
      </c>
      <c r="F2622" t="s">
        <v>852</v>
      </c>
      <c r="G2622" t="s">
        <v>179</v>
      </c>
      <c r="H2622" t="s">
        <v>53</v>
      </c>
      <c r="I2622" t="s">
        <v>53</v>
      </c>
      <c r="J2622" t="s">
        <v>53</v>
      </c>
      <c r="K2622" t="s">
        <v>53</v>
      </c>
      <c r="L2622" t="s">
        <v>53</v>
      </c>
      <c r="M2622" t="s">
        <v>53</v>
      </c>
      <c r="N2622" t="s">
        <v>53</v>
      </c>
      <c r="O2622" t="s">
        <v>53</v>
      </c>
      <c r="P2622" t="s">
        <v>53</v>
      </c>
      <c r="Q2622" t="s">
        <v>53</v>
      </c>
    </row>
    <row r="2623" spans="1:17" x14ac:dyDescent="0.2">
      <c r="A2623" s="30" t="str">
        <f>IF(C2623&amp;G2623&amp;D2623&lt;&gt;'Funnel setup'!$K$3&amp;'Funnel setup'!$K$4&amp;'Funnel setup'!$K$5,".",IF(A2622=".",1,A2622+1))</f>
        <v>.</v>
      </c>
      <c r="B2623" s="431" t="str">
        <f t="shared" si="40"/>
        <v>Hip Replacement RevisionCCG of GP PracticeNHS SOUTH NORFOLK CCG (06Y)EQ VAS</v>
      </c>
      <c r="C2623" t="s">
        <v>247</v>
      </c>
      <c r="D2623" t="s">
        <v>87</v>
      </c>
      <c r="E2623" t="s">
        <v>932</v>
      </c>
      <c r="F2623" t="s">
        <v>933</v>
      </c>
      <c r="G2623" t="s">
        <v>179</v>
      </c>
      <c r="H2623">
        <v>18</v>
      </c>
      <c r="I2623">
        <v>65.721999999999994</v>
      </c>
      <c r="J2623">
        <v>71.388999999999996</v>
      </c>
      <c r="K2623">
        <v>5.6669999999999998</v>
      </c>
      <c r="L2623">
        <v>10</v>
      </c>
      <c r="M2623">
        <v>3</v>
      </c>
      <c r="N2623">
        <v>5</v>
      </c>
      <c r="O2623" t="s">
        <v>53</v>
      </c>
      <c r="P2623" t="s">
        <v>53</v>
      </c>
      <c r="Q2623" t="s">
        <v>53</v>
      </c>
    </row>
    <row r="2624" spans="1:17" x14ac:dyDescent="0.2">
      <c r="A2624" s="30" t="str">
        <f>IF(C2624&amp;G2624&amp;D2624&lt;&gt;'Funnel setup'!$K$3&amp;'Funnel setup'!$K$4&amp;'Funnel setup'!$K$5,".",IF(A2623=".",1,A2623+1))</f>
        <v>.</v>
      </c>
      <c r="B2624" s="431" t="str">
        <f t="shared" si="40"/>
        <v>Hip Replacement RevisionCCG of GP PracticeNHS SOUTH READING CCG (10W)EQ VAS</v>
      </c>
      <c r="C2624" t="s">
        <v>247</v>
      </c>
      <c r="D2624" t="s">
        <v>87</v>
      </c>
      <c r="E2624" t="s">
        <v>935</v>
      </c>
      <c r="F2624" t="s">
        <v>936</v>
      </c>
      <c r="G2624" t="s">
        <v>179</v>
      </c>
      <c r="H2624" t="s">
        <v>53</v>
      </c>
      <c r="I2624" t="s">
        <v>53</v>
      </c>
      <c r="J2624" t="s">
        <v>53</v>
      </c>
      <c r="K2624" t="s">
        <v>53</v>
      </c>
      <c r="L2624" t="s">
        <v>53</v>
      </c>
      <c r="M2624" t="s">
        <v>53</v>
      </c>
      <c r="N2624" t="s">
        <v>53</v>
      </c>
      <c r="O2624" t="s">
        <v>53</v>
      </c>
      <c r="P2624" t="s">
        <v>53</v>
      </c>
      <c r="Q2624" t="s">
        <v>53</v>
      </c>
    </row>
    <row r="2625" spans="1:17" x14ac:dyDescent="0.2">
      <c r="A2625" s="30" t="str">
        <f>IF(C2625&amp;G2625&amp;D2625&lt;&gt;'Funnel setup'!$K$3&amp;'Funnel setup'!$K$4&amp;'Funnel setup'!$K$5,".",IF(A2624=".",1,A2624+1))</f>
        <v>.</v>
      </c>
      <c r="B2625" s="431" t="str">
        <f t="shared" si="40"/>
        <v>Hip Replacement RevisionCCG of GP PracticeNHS SOUTH SEFTON CCG (01T)EQ VAS</v>
      </c>
      <c r="C2625" t="s">
        <v>247</v>
      </c>
      <c r="D2625" t="s">
        <v>87</v>
      </c>
      <c r="E2625" t="s">
        <v>938</v>
      </c>
      <c r="F2625" t="s">
        <v>939</v>
      </c>
      <c r="G2625" t="s">
        <v>179</v>
      </c>
      <c r="H2625">
        <v>9</v>
      </c>
      <c r="I2625">
        <v>57.222000000000001</v>
      </c>
      <c r="J2625">
        <v>65.221999999999994</v>
      </c>
      <c r="K2625">
        <v>8</v>
      </c>
      <c r="L2625">
        <v>4</v>
      </c>
      <c r="M2625">
        <v>2</v>
      </c>
      <c r="N2625">
        <v>3</v>
      </c>
      <c r="O2625" t="s">
        <v>53</v>
      </c>
      <c r="P2625" t="s">
        <v>53</v>
      </c>
      <c r="Q2625" t="s">
        <v>53</v>
      </c>
    </row>
    <row r="2626" spans="1:17" x14ac:dyDescent="0.2">
      <c r="A2626" s="30" t="str">
        <f>IF(C2626&amp;G2626&amp;D2626&lt;&gt;'Funnel setup'!$K$3&amp;'Funnel setup'!$K$4&amp;'Funnel setup'!$K$5,".",IF(A2625=".",1,A2625+1))</f>
        <v>.</v>
      </c>
      <c r="B2626" s="431" t="str">
        <f t="shared" si="40"/>
        <v>Hip Replacement RevisionCCG of GP PracticeNHS SOUTH TEES CCG (00M)EQ VAS</v>
      </c>
      <c r="C2626" t="s">
        <v>247</v>
      </c>
      <c r="D2626" t="s">
        <v>87</v>
      </c>
      <c r="E2626" t="s">
        <v>941</v>
      </c>
      <c r="F2626" t="s">
        <v>942</v>
      </c>
      <c r="G2626" t="s">
        <v>179</v>
      </c>
      <c r="H2626">
        <v>17</v>
      </c>
      <c r="I2626">
        <v>70.528999999999996</v>
      </c>
      <c r="J2626">
        <v>59.118000000000002</v>
      </c>
      <c r="K2626">
        <v>-11.412000000000001</v>
      </c>
      <c r="L2626">
        <v>5</v>
      </c>
      <c r="M2626">
        <v>2</v>
      </c>
      <c r="N2626">
        <v>10</v>
      </c>
      <c r="O2626" t="s">
        <v>53</v>
      </c>
      <c r="P2626" t="s">
        <v>53</v>
      </c>
      <c r="Q2626" t="s">
        <v>53</v>
      </c>
    </row>
    <row r="2627" spans="1:17" x14ac:dyDescent="0.2">
      <c r="A2627" s="30" t="str">
        <f>IF(C2627&amp;G2627&amp;D2627&lt;&gt;'Funnel setup'!$K$3&amp;'Funnel setup'!$K$4&amp;'Funnel setup'!$K$5,".",IF(A2626=".",1,A2626+1))</f>
        <v>.</v>
      </c>
      <c r="B2627" s="431" t="str">
        <f t="shared" ref="B2627:B2690" si="41">C2627&amp;D2627&amp;F2627&amp;G2627</f>
        <v>Hip Replacement RevisionCCG of GP PracticeNHS SOUTH TYNESIDE CCG (00N)EQ VAS</v>
      </c>
      <c r="C2627" t="s">
        <v>247</v>
      </c>
      <c r="D2627" t="s">
        <v>87</v>
      </c>
      <c r="E2627" t="s">
        <v>1016</v>
      </c>
      <c r="F2627" t="s">
        <v>1017</v>
      </c>
      <c r="G2627" t="s">
        <v>179</v>
      </c>
      <c r="H2627">
        <v>6</v>
      </c>
      <c r="I2627">
        <v>54.667000000000002</v>
      </c>
      <c r="J2627">
        <v>45</v>
      </c>
      <c r="K2627">
        <v>-9.6669999999999998</v>
      </c>
      <c r="L2627">
        <v>2</v>
      </c>
      <c r="M2627">
        <v>1</v>
      </c>
      <c r="N2627">
        <v>3</v>
      </c>
      <c r="O2627" t="s">
        <v>53</v>
      </c>
      <c r="P2627" t="s">
        <v>53</v>
      </c>
      <c r="Q2627" t="s">
        <v>53</v>
      </c>
    </row>
    <row r="2628" spans="1:17" x14ac:dyDescent="0.2">
      <c r="A2628" s="30" t="str">
        <f>IF(C2628&amp;G2628&amp;D2628&lt;&gt;'Funnel setup'!$K$3&amp;'Funnel setup'!$K$4&amp;'Funnel setup'!$K$5,".",IF(A2627=".",1,A2627+1))</f>
        <v>.</v>
      </c>
      <c r="B2628" s="431" t="str">
        <f t="shared" si="41"/>
        <v>Hip Replacement RevisionCCG of GP PracticeNHS SOUTH WARWICKSHIRE CCG (05R)EQ VAS</v>
      </c>
      <c r="C2628" t="s">
        <v>247</v>
      </c>
      <c r="D2628" t="s">
        <v>87</v>
      </c>
      <c r="E2628" t="s">
        <v>944</v>
      </c>
      <c r="F2628" t="s">
        <v>945</v>
      </c>
      <c r="G2628" t="s">
        <v>179</v>
      </c>
      <c r="H2628">
        <v>15</v>
      </c>
      <c r="I2628">
        <v>62.133000000000003</v>
      </c>
      <c r="J2628">
        <v>66.667000000000002</v>
      </c>
      <c r="K2628">
        <v>4.5330000000000004</v>
      </c>
      <c r="L2628">
        <v>8</v>
      </c>
      <c r="M2628">
        <v>1</v>
      </c>
      <c r="N2628">
        <v>6</v>
      </c>
      <c r="O2628" t="s">
        <v>53</v>
      </c>
      <c r="P2628" t="s">
        <v>53</v>
      </c>
      <c r="Q2628" t="s">
        <v>53</v>
      </c>
    </row>
    <row r="2629" spans="1:17" x14ac:dyDescent="0.2">
      <c r="A2629" s="30" t="str">
        <f>IF(C2629&amp;G2629&amp;D2629&lt;&gt;'Funnel setup'!$K$3&amp;'Funnel setup'!$K$4&amp;'Funnel setup'!$K$5,".",IF(A2628=".",1,A2628+1))</f>
        <v>.</v>
      </c>
      <c r="B2629" s="431" t="str">
        <f t="shared" si="41"/>
        <v>Hip Replacement RevisionCCG of GP PracticeNHS SOUTH WEST LINCOLNSHIRE CCG (04Q)EQ VAS</v>
      </c>
      <c r="C2629" t="s">
        <v>247</v>
      </c>
      <c r="D2629" t="s">
        <v>87</v>
      </c>
      <c r="E2629" t="s">
        <v>947</v>
      </c>
      <c r="F2629" t="s">
        <v>948</v>
      </c>
      <c r="G2629" t="s">
        <v>179</v>
      </c>
      <c r="H2629" t="s">
        <v>53</v>
      </c>
      <c r="I2629" t="s">
        <v>53</v>
      </c>
      <c r="J2629" t="s">
        <v>53</v>
      </c>
      <c r="K2629" t="s">
        <v>53</v>
      </c>
      <c r="L2629" t="s">
        <v>53</v>
      </c>
      <c r="M2629" t="s">
        <v>53</v>
      </c>
      <c r="N2629" t="s">
        <v>53</v>
      </c>
      <c r="O2629" t="s">
        <v>53</v>
      </c>
      <c r="P2629" t="s">
        <v>53</v>
      </c>
      <c r="Q2629" t="s">
        <v>53</v>
      </c>
    </row>
    <row r="2630" spans="1:17" x14ac:dyDescent="0.2">
      <c r="A2630" s="30" t="str">
        <f>IF(C2630&amp;G2630&amp;D2630&lt;&gt;'Funnel setup'!$K$3&amp;'Funnel setup'!$K$4&amp;'Funnel setup'!$K$5,".",IF(A2629=".",1,A2629+1))</f>
        <v>.</v>
      </c>
      <c r="B2630" s="431" t="str">
        <f t="shared" si="41"/>
        <v>Hip Replacement RevisionCCG of GP PracticeNHS SOUTH WORCESTERSHIRE CCG (05T)EQ VAS</v>
      </c>
      <c r="C2630" t="s">
        <v>247</v>
      </c>
      <c r="D2630" t="s">
        <v>87</v>
      </c>
      <c r="E2630" t="s">
        <v>950</v>
      </c>
      <c r="F2630" t="s">
        <v>951</v>
      </c>
      <c r="G2630" t="s">
        <v>179</v>
      </c>
      <c r="H2630">
        <v>15</v>
      </c>
      <c r="I2630">
        <v>59.533000000000001</v>
      </c>
      <c r="J2630">
        <v>74.132999999999996</v>
      </c>
      <c r="K2630">
        <v>14.6</v>
      </c>
      <c r="L2630">
        <v>11</v>
      </c>
      <c r="M2630">
        <v>0</v>
      </c>
      <c r="N2630">
        <v>4</v>
      </c>
      <c r="O2630" t="s">
        <v>53</v>
      </c>
      <c r="P2630" t="s">
        <v>53</v>
      </c>
      <c r="Q2630" t="s">
        <v>53</v>
      </c>
    </row>
    <row r="2631" spans="1:17" x14ac:dyDescent="0.2">
      <c r="A2631" s="30" t="str">
        <f>IF(C2631&amp;G2631&amp;D2631&lt;&gt;'Funnel setup'!$K$3&amp;'Funnel setup'!$K$4&amp;'Funnel setup'!$K$5,".",IF(A2630=".",1,A2630+1))</f>
        <v>.</v>
      </c>
      <c r="B2631" s="431" t="str">
        <f t="shared" si="41"/>
        <v>Hip Replacement RevisionCCG of GP PracticeNHS SOUTHAMPTON CCG (10X)EQ VAS</v>
      </c>
      <c r="C2631" t="s">
        <v>247</v>
      </c>
      <c r="D2631" t="s">
        <v>87</v>
      </c>
      <c r="E2631" t="s">
        <v>953</v>
      </c>
      <c r="F2631" t="s">
        <v>954</v>
      </c>
      <c r="G2631" t="s">
        <v>179</v>
      </c>
      <c r="H2631">
        <v>13</v>
      </c>
      <c r="I2631">
        <v>52.537999999999997</v>
      </c>
      <c r="J2631">
        <v>68.769000000000005</v>
      </c>
      <c r="K2631">
        <v>16.231000000000002</v>
      </c>
      <c r="L2631">
        <v>9</v>
      </c>
      <c r="M2631">
        <v>1</v>
      </c>
      <c r="N2631">
        <v>3</v>
      </c>
      <c r="O2631" t="s">
        <v>53</v>
      </c>
      <c r="P2631" t="s">
        <v>53</v>
      </c>
      <c r="Q2631" t="s">
        <v>53</v>
      </c>
    </row>
    <row r="2632" spans="1:17" x14ac:dyDescent="0.2">
      <c r="A2632" s="30" t="str">
        <f>IF(C2632&amp;G2632&amp;D2632&lt;&gt;'Funnel setup'!$K$3&amp;'Funnel setup'!$K$4&amp;'Funnel setup'!$K$5,".",IF(A2631=".",1,A2631+1))</f>
        <v>.</v>
      </c>
      <c r="B2632" s="431" t="str">
        <f t="shared" si="41"/>
        <v>Hip Replacement RevisionCCG of GP PracticeNHS SOUTHEND CCG (99G)EQ VAS</v>
      </c>
      <c r="C2632" t="s">
        <v>247</v>
      </c>
      <c r="D2632" t="s">
        <v>87</v>
      </c>
      <c r="E2632" t="s">
        <v>956</v>
      </c>
      <c r="F2632" t="s">
        <v>957</v>
      </c>
      <c r="G2632" t="s">
        <v>179</v>
      </c>
      <c r="H2632" t="s">
        <v>53</v>
      </c>
      <c r="I2632" t="s">
        <v>53</v>
      </c>
      <c r="J2632" t="s">
        <v>53</v>
      </c>
      <c r="K2632" t="s">
        <v>53</v>
      </c>
      <c r="L2632" t="s">
        <v>53</v>
      </c>
      <c r="M2632" t="s">
        <v>53</v>
      </c>
      <c r="N2632" t="s">
        <v>53</v>
      </c>
      <c r="O2632" t="s">
        <v>53</v>
      </c>
      <c r="P2632" t="s">
        <v>53</v>
      </c>
      <c r="Q2632" t="s">
        <v>53</v>
      </c>
    </row>
    <row r="2633" spans="1:17" x14ac:dyDescent="0.2">
      <c r="A2633" s="30" t="str">
        <f>IF(C2633&amp;G2633&amp;D2633&lt;&gt;'Funnel setup'!$K$3&amp;'Funnel setup'!$K$4&amp;'Funnel setup'!$K$5,".",IF(A2632=".",1,A2632+1))</f>
        <v>.</v>
      </c>
      <c r="B2633" s="431" t="str">
        <f t="shared" si="41"/>
        <v>Hip Replacement RevisionCCG of GP PracticeNHS SOUTHERN DERBYSHIRE CCG (04R)EQ VAS</v>
      </c>
      <c r="C2633" t="s">
        <v>247</v>
      </c>
      <c r="D2633" t="s">
        <v>87</v>
      </c>
      <c r="E2633" t="s">
        <v>959</v>
      </c>
      <c r="F2633" t="s">
        <v>960</v>
      </c>
      <c r="G2633" t="s">
        <v>179</v>
      </c>
      <c r="H2633">
        <v>21</v>
      </c>
      <c r="I2633">
        <v>66.905000000000001</v>
      </c>
      <c r="J2633">
        <v>70.332999999999998</v>
      </c>
      <c r="K2633">
        <v>3.4289999999999998</v>
      </c>
      <c r="L2633">
        <v>10</v>
      </c>
      <c r="M2633">
        <v>4</v>
      </c>
      <c r="N2633">
        <v>7</v>
      </c>
      <c r="O2633" t="s">
        <v>53</v>
      </c>
      <c r="P2633" t="s">
        <v>53</v>
      </c>
      <c r="Q2633" t="s">
        <v>53</v>
      </c>
    </row>
    <row r="2634" spans="1:17" x14ac:dyDescent="0.2">
      <c r="A2634" s="30" t="str">
        <f>IF(C2634&amp;G2634&amp;D2634&lt;&gt;'Funnel setup'!$K$3&amp;'Funnel setup'!$K$4&amp;'Funnel setup'!$K$5,".",IF(A2633=".",1,A2633+1))</f>
        <v>.</v>
      </c>
      <c r="B2634" s="431" t="str">
        <f t="shared" si="41"/>
        <v>Hip Replacement RevisionCCG of GP PracticeNHS SOUTHPORT AND FORMBY CCG (01V)EQ VAS</v>
      </c>
      <c r="C2634" t="s">
        <v>247</v>
      </c>
      <c r="D2634" t="s">
        <v>87</v>
      </c>
      <c r="E2634" t="s">
        <v>962</v>
      </c>
      <c r="F2634" t="s">
        <v>963</v>
      </c>
      <c r="G2634" t="s">
        <v>179</v>
      </c>
      <c r="H2634" t="s">
        <v>53</v>
      </c>
      <c r="I2634" t="s">
        <v>53</v>
      </c>
      <c r="J2634" t="s">
        <v>53</v>
      </c>
      <c r="K2634" t="s">
        <v>53</v>
      </c>
      <c r="L2634" t="s">
        <v>53</v>
      </c>
      <c r="M2634" t="s">
        <v>53</v>
      </c>
      <c r="N2634" t="s">
        <v>53</v>
      </c>
      <c r="O2634" t="s">
        <v>53</v>
      </c>
      <c r="P2634" t="s">
        <v>53</v>
      </c>
      <c r="Q2634" t="s">
        <v>53</v>
      </c>
    </row>
    <row r="2635" spans="1:17" x14ac:dyDescent="0.2">
      <c r="A2635" s="30" t="str">
        <f>IF(C2635&amp;G2635&amp;D2635&lt;&gt;'Funnel setup'!$K$3&amp;'Funnel setup'!$K$4&amp;'Funnel setup'!$K$5,".",IF(A2634=".",1,A2634+1))</f>
        <v>.</v>
      </c>
      <c r="B2635" s="431" t="str">
        <f t="shared" si="41"/>
        <v>Hip Replacement RevisionCCG of GP PracticeNHS SOUTHWARK CCG (08Q)EQ VAS</v>
      </c>
      <c r="C2635" t="s">
        <v>247</v>
      </c>
      <c r="D2635" t="s">
        <v>87</v>
      </c>
      <c r="E2635" t="s">
        <v>965</v>
      </c>
      <c r="F2635" t="s">
        <v>966</v>
      </c>
      <c r="G2635" t="s">
        <v>179</v>
      </c>
      <c r="H2635" t="s">
        <v>53</v>
      </c>
      <c r="I2635" t="s">
        <v>53</v>
      </c>
      <c r="J2635" t="s">
        <v>53</v>
      </c>
      <c r="K2635" t="s">
        <v>53</v>
      </c>
      <c r="L2635" t="s">
        <v>53</v>
      </c>
      <c r="M2635" t="s">
        <v>53</v>
      </c>
      <c r="N2635" t="s">
        <v>53</v>
      </c>
      <c r="O2635" t="s">
        <v>53</v>
      </c>
      <c r="P2635" t="s">
        <v>53</v>
      </c>
      <c r="Q2635" t="s">
        <v>53</v>
      </c>
    </row>
    <row r="2636" spans="1:17" x14ac:dyDescent="0.2">
      <c r="A2636" s="30" t="str">
        <f>IF(C2636&amp;G2636&amp;D2636&lt;&gt;'Funnel setup'!$K$3&amp;'Funnel setup'!$K$4&amp;'Funnel setup'!$K$5,".",IF(A2635=".",1,A2635+1))</f>
        <v>.</v>
      </c>
      <c r="B2636" s="431" t="str">
        <f t="shared" si="41"/>
        <v>Hip Replacement RevisionCCG of GP PracticeNHS ST HELENS CCG (01X)EQ VAS</v>
      </c>
      <c r="C2636" t="s">
        <v>247</v>
      </c>
      <c r="D2636" t="s">
        <v>87</v>
      </c>
      <c r="E2636" t="s">
        <v>968</v>
      </c>
      <c r="F2636" t="s">
        <v>969</v>
      </c>
      <c r="G2636" t="s">
        <v>179</v>
      </c>
      <c r="H2636">
        <v>12</v>
      </c>
      <c r="I2636">
        <v>64.582999999999998</v>
      </c>
      <c r="J2636">
        <v>64.582999999999998</v>
      </c>
      <c r="K2636">
        <v>0</v>
      </c>
      <c r="L2636">
        <v>7</v>
      </c>
      <c r="M2636">
        <v>0</v>
      </c>
      <c r="N2636">
        <v>5</v>
      </c>
      <c r="O2636" t="s">
        <v>53</v>
      </c>
      <c r="P2636" t="s">
        <v>53</v>
      </c>
      <c r="Q2636" t="s">
        <v>53</v>
      </c>
    </row>
    <row r="2637" spans="1:17" x14ac:dyDescent="0.2">
      <c r="A2637" s="30" t="str">
        <f>IF(C2637&amp;G2637&amp;D2637&lt;&gt;'Funnel setup'!$K$3&amp;'Funnel setup'!$K$4&amp;'Funnel setup'!$K$5,".",IF(A2636=".",1,A2636+1))</f>
        <v>.</v>
      </c>
      <c r="B2637" s="431" t="str">
        <f t="shared" si="41"/>
        <v>Hip Replacement RevisionCCG of GP PracticeNHS STAFFORD AND SURROUNDS CCG (05V)EQ VAS</v>
      </c>
      <c r="C2637" t="s">
        <v>247</v>
      </c>
      <c r="D2637" t="s">
        <v>87</v>
      </c>
      <c r="E2637" t="s">
        <v>971</v>
      </c>
      <c r="F2637" t="s">
        <v>972</v>
      </c>
      <c r="G2637" t="s">
        <v>179</v>
      </c>
      <c r="H2637">
        <v>10</v>
      </c>
      <c r="I2637">
        <v>66.8</v>
      </c>
      <c r="J2637">
        <v>78.2</v>
      </c>
      <c r="K2637">
        <v>11.4</v>
      </c>
      <c r="L2637">
        <v>7</v>
      </c>
      <c r="M2637">
        <v>1</v>
      </c>
      <c r="N2637">
        <v>2</v>
      </c>
      <c r="O2637" t="s">
        <v>53</v>
      </c>
      <c r="P2637" t="s">
        <v>53</v>
      </c>
      <c r="Q2637" t="s">
        <v>53</v>
      </c>
    </row>
    <row r="2638" spans="1:17" x14ac:dyDescent="0.2">
      <c r="A2638" s="30" t="str">
        <f>IF(C2638&amp;G2638&amp;D2638&lt;&gt;'Funnel setup'!$K$3&amp;'Funnel setup'!$K$4&amp;'Funnel setup'!$K$5,".",IF(A2637=".",1,A2637+1))</f>
        <v>.</v>
      </c>
      <c r="B2638" s="431" t="str">
        <f t="shared" si="41"/>
        <v>Hip Replacement RevisionCCG of GP PracticeNHS STOCKPORT CCG (01W)EQ VAS</v>
      </c>
      <c r="C2638" t="s">
        <v>247</v>
      </c>
      <c r="D2638" t="s">
        <v>87</v>
      </c>
      <c r="E2638" t="s">
        <v>974</v>
      </c>
      <c r="F2638" t="s">
        <v>975</v>
      </c>
      <c r="G2638" t="s">
        <v>179</v>
      </c>
      <c r="H2638" t="s">
        <v>53</v>
      </c>
      <c r="I2638" t="s">
        <v>53</v>
      </c>
      <c r="J2638" t="s">
        <v>53</v>
      </c>
      <c r="K2638" t="s">
        <v>53</v>
      </c>
      <c r="L2638" t="s">
        <v>53</v>
      </c>
      <c r="M2638" t="s">
        <v>53</v>
      </c>
      <c r="N2638" t="s">
        <v>53</v>
      </c>
      <c r="O2638" t="s">
        <v>53</v>
      </c>
      <c r="P2638" t="s">
        <v>53</v>
      </c>
      <c r="Q2638" t="s">
        <v>53</v>
      </c>
    </row>
    <row r="2639" spans="1:17" x14ac:dyDescent="0.2">
      <c r="A2639" s="30" t="str">
        <f>IF(C2639&amp;G2639&amp;D2639&lt;&gt;'Funnel setup'!$K$3&amp;'Funnel setup'!$K$4&amp;'Funnel setup'!$K$5,".",IF(A2638=".",1,A2638+1))</f>
        <v>.</v>
      </c>
      <c r="B2639" s="431" t="str">
        <f t="shared" si="41"/>
        <v>Hip Replacement RevisionCCG of GP PracticeNHS STOKE ON TRENT CCG (05W)EQ VAS</v>
      </c>
      <c r="C2639" t="s">
        <v>247</v>
      </c>
      <c r="D2639" t="s">
        <v>87</v>
      </c>
      <c r="E2639" t="s">
        <v>977</v>
      </c>
      <c r="F2639" t="s">
        <v>978</v>
      </c>
      <c r="G2639" t="s">
        <v>179</v>
      </c>
      <c r="H2639" t="s">
        <v>53</v>
      </c>
      <c r="I2639" t="s">
        <v>53</v>
      </c>
      <c r="J2639" t="s">
        <v>53</v>
      </c>
      <c r="K2639" t="s">
        <v>53</v>
      </c>
      <c r="L2639" t="s">
        <v>53</v>
      </c>
      <c r="M2639" t="s">
        <v>53</v>
      </c>
      <c r="N2639" t="s">
        <v>53</v>
      </c>
      <c r="O2639" t="s">
        <v>53</v>
      </c>
      <c r="P2639" t="s">
        <v>53</v>
      </c>
      <c r="Q2639" t="s">
        <v>53</v>
      </c>
    </row>
    <row r="2640" spans="1:17" x14ac:dyDescent="0.2">
      <c r="A2640" s="30" t="str">
        <f>IF(C2640&amp;G2640&amp;D2640&lt;&gt;'Funnel setup'!$K$3&amp;'Funnel setup'!$K$4&amp;'Funnel setup'!$K$5,".",IF(A2639=".",1,A2639+1))</f>
        <v>.</v>
      </c>
      <c r="B2640" s="431" t="str">
        <f t="shared" si="41"/>
        <v>Hip Replacement RevisionCCG of GP PracticeNHS SUNDERLAND CCG (00P)EQ VAS</v>
      </c>
      <c r="C2640" t="s">
        <v>247</v>
      </c>
      <c r="D2640" t="s">
        <v>87</v>
      </c>
      <c r="E2640" t="s">
        <v>980</v>
      </c>
      <c r="F2640" t="s">
        <v>981</v>
      </c>
      <c r="G2640" t="s">
        <v>179</v>
      </c>
      <c r="H2640">
        <v>7</v>
      </c>
      <c r="I2640">
        <v>61.429000000000002</v>
      </c>
      <c r="J2640">
        <v>50.143000000000001</v>
      </c>
      <c r="K2640">
        <v>-11.286</v>
      </c>
      <c r="L2640">
        <v>2</v>
      </c>
      <c r="M2640">
        <v>0</v>
      </c>
      <c r="N2640">
        <v>5</v>
      </c>
      <c r="O2640" t="s">
        <v>53</v>
      </c>
      <c r="P2640" t="s">
        <v>53</v>
      </c>
      <c r="Q2640" t="s">
        <v>53</v>
      </c>
    </row>
    <row r="2641" spans="1:17" x14ac:dyDescent="0.2">
      <c r="A2641" s="30" t="str">
        <f>IF(C2641&amp;G2641&amp;D2641&lt;&gt;'Funnel setup'!$K$3&amp;'Funnel setup'!$K$4&amp;'Funnel setup'!$K$5,".",IF(A2640=".",1,A2640+1))</f>
        <v>.</v>
      </c>
      <c r="B2641" s="431" t="str">
        <f t="shared" si="41"/>
        <v>Hip Replacement RevisionCCG of GP PracticeNHS SURREY DOWNS CCG (99H)EQ VAS</v>
      </c>
      <c r="C2641" t="s">
        <v>247</v>
      </c>
      <c r="D2641" t="s">
        <v>87</v>
      </c>
      <c r="E2641" t="s">
        <v>983</v>
      </c>
      <c r="F2641" t="s">
        <v>984</v>
      </c>
      <c r="G2641" t="s">
        <v>179</v>
      </c>
      <c r="H2641">
        <v>16</v>
      </c>
      <c r="I2641">
        <v>66.125</v>
      </c>
      <c r="J2641">
        <v>62.688000000000002</v>
      </c>
      <c r="K2641">
        <v>-3.4380000000000002</v>
      </c>
      <c r="L2641">
        <v>5</v>
      </c>
      <c r="M2641">
        <v>3</v>
      </c>
      <c r="N2641">
        <v>8</v>
      </c>
      <c r="O2641" t="s">
        <v>53</v>
      </c>
      <c r="P2641" t="s">
        <v>53</v>
      </c>
      <c r="Q2641" t="s">
        <v>53</v>
      </c>
    </row>
    <row r="2642" spans="1:17" x14ac:dyDescent="0.2">
      <c r="A2642" s="30" t="str">
        <f>IF(C2642&amp;G2642&amp;D2642&lt;&gt;'Funnel setup'!$K$3&amp;'Funnel setup'!$K$4&amp;'Funnel setup'!$K$5,".",IF(A2641=".",1,A2641+1))</f>
        <v>.</v>
      </c>
      <c r="B2642" s="431" t="str">
        <f t="shared" si="41"/>
        <v>Hip Replacement RevisionCCG of GP PracticeNHS SURREY HEATH CCG (10C)EQ VAS</v>
      </c>
      <c r="C2642" t="s">
        <v>247</v>
      </c>
      <c r="D2642" t="s">
        <v>87</v>
      </c>
      <c r="E2642" t="s">
        <v>986</v>
      </c>
      <c r="F2642" t="s">
        <v>987</v>
      </c>
      <c r="G2642" t="s">
        <v>179</v>
      </c>
      <c r="H2642">
        <v>6</v>
      </c>
      <c r="I2642">
        <v>68.332999999999998</v>
      </c>
      <c r="J2642">
        <v>69</v>
      </c>
      <c r="K2642">
        <v>0.66700000000000004</v>
      </c>
      <c r="L2642">
        <v>3</v>
      </c>
      <c r="M2642">
        <v>0</v>
      </c>
      <c r="N2642">
        <v>3</v>
      </c>
      <c r="O2642" t="s">
        <v>53</v>
      </c>
      <c r="P2642" t="s">
        <v>53</v>
      </c>
      <c r="Q2642" t="s">
        <v>53</v>
      </c>
    </row>
    <row r="2643" spans="1:17" x14ac:dyDescent="0.2">
      <c r="A2643" s="30" t="str">
        <f>IF(C2643&amp;G2643&amp;D2643&lt;&gt;'Funnel setup'!$K$3&amp;'Funnel setup'!$K$4&amp;'Funnel setup'!$K$5,".",IF(A2642=".",1,A2642+1))</f>
        <v>.</v>
      </c>
      <c r="B2643" s="431" t="str">
        <f t="shared" si="41"/>
        <v>Hip Replacement RevisionCCG of GP PracticeNHS SUTTON CCG (08T)EQ VAS</v>
      </c>
      <c r="C2643" t="s">
        <v>247</v>
      </c>
      <c r="D2643" t="s">
        <v>87</v>
      </c>
      <c r="E2643" t="s">
        <v>989</v>
      </c>
      <c r="F2643" t="s">
        <v>990</v>
      </c>
      <c r="G2643" t="s">
        <v>179</v>
      </c>
      <c r="H2643" t="s">
        <v>53</v>
      </c>
      <c r="I2643" t="s">
        <v>53</v>
      </c>
      <c r="J2643" t="s">
        <v>53</v>
      </c>
      <c r="K2643" t="s">
        <v>53</v>
      </c>
      <c r="L2643" t="s">
        <v>53</v>
      </c>
      <c r="M2643" t="s">
        <v>53</v>
      </c>
      <c r="N2643" t="s">
        <v>53</v>
      </c>
      <c r="O2643" t="s">
        <v>53</v>
      </c>
      <c r="P2643" t="s">
        <v>53</v>
      </c>
      <c r="Q2643" t="s">
        <v>53</v>
      </c>
    </row>
    <row r="2644" spans="1:17" x14ac:dyDescent="0.2">
      <c r="A2644" s="30" t="str">
        <f>IF(C2644&amp;G2644&amp;D2644&lt;&gt;'Funnel setup'!$K$3&amp;'Funnel setup'!$K$4&amp;'Funnel setup'!$K$5,".",IF(A2643=".",1,A2643+1))</f>
        <v>.</v>
      </c>
      <c r="B2644" s="431" t="str">
        <f t="shared" si="41"/>
        <v>Hip Replacement RevisionCCG of GP PracticeNHS SWALE CCG (10D)EQ VAS</v>
      </c>
      <c r="C2644" t="s">
        <v>247</v>
      </c>
      <c r="D2644" t="s">
        <v>87</v>
      </c>
      <c r="E2644" t="s">
        <v>992</v>
      </c>
      <c r="F2644" t="s">
        <v>993</v>
      </c>
      <c r="G2644" t="s">
        <v>179</v>
      </c>
      <c r="H2644">
        <v>9</v>
      </c>
      <c r="I2644">
        <v>73.111000000000004</v>
      </c>
      <c r="J2644">
        <v>66.667000000000002</v>
      </c>
      <c r="K2644">
        <v>-6.444</v>
      </c>
      <c r="L2644">
        <v>3</v>
      </c>
      <c r="M2644">
        <v>0</v>
      </c>
      <c r="N2644">
        <v>6</v>
      </c>
      <c r="O2644" t="s">
        <v>53</v>
      </c>
      <c r="P2644" t="s">
        <v>53</v>
      </c>
      <c r="Q2644" t="s">
        <v>53</v>
      </c>
    </row>
    <row r="2645" spans="1:17" x14ac:dyDescent="0.2">
      <c r="A2645" s="30" t="str">
        <f>IF(C2645&amp;G2645&amp;D2645&lt;&gt;'Funnel setup'!$K$3&amp;'Funnel setup'!$K$4&amp;'Funnel setup'!$K$5,".",IF(A2644=".",1,A2644+1))</f>
        <v>.</v>
      </c>
      <c r="B2645" s="431" t="str">
        <f t="shared" si="41"/>
        <v>Hip Replacement RevisionCCG of GP PracticeNHS SWINDON CCG (12D)EQ VAS</v>
      </c>
      <c r="C2645" t="s">
        <v>247</v>
      </c>
      <c r="D2645" t="s">
        <v>87</v>
      </c>
      <c r="E2645" t="s">
        <v>995</v>
      </c>
      <c r="F2645" t="s">
        <v>996</v>
      </c>
      <c r="G2645" t="s">
        <v>179</v>
      </c>
      <c r="H2645">
        <v>9</v>
      </c>
      <c r="I2645">
        <v>65</v>
      </c>
      <c r="J2645">
        <v>74.778000000000006</v>
      </c>
      <c r="K2645">
        <v>9.7780000000000005</v>
      </c>
      <c r="L2645">
        <v>6</v>
      </c>
      <c r="M2645">
        <v>1</v>
      </c>
      <c r="N2645">
        <v>2</v>
      </c>
      <c r="O2645" t="s">
        <v>53</v>
      </c>
      <c r="P2645" t="s">
        <v>53</v>
      </c>
      <c r="Q2645" t="s">
        <v>53</v>
      </c>
    </row>
    <row r="2646" spans="1:17" x14ac:dyDescent="0.2">
      <c r="A2646" s="30" t="str">
        <f>IF(C2646&amp;G2646&amp;D2646&lt;&gt;'Funnel setup'!$K$3&amp;'Funnel setup'!$K$4&amp;'Funnel setup'!$K$5,".",IF(A2645=".",1,A2645+1))</f>
        <v>.</v>
      </c>
      <c r="B2646" s="431" t="str">
        <f t="shared" si="41"/>
        <v>Hip Replacement RevisionCCG of GP PracticeNHS TELFORD AND WREKIN CCG (05X)EQ VAS</v>
      </c>
      <c r="C2646" t="s">
        <v>247</v>
      </c>
      <c r="D2646" t="s">
        <v>87</v>
      </c>
      <c r="E2646" t="s">
        <v>1001</v>
      </c>
      <c r="F2646" t="s">
        <v>1002</v>
      </c>
      <c r="G2646" t="s">
        <v>179</v>
      </c>
      <c r="H2646">
        <v>14</v>
      </c>
      <c r="I2646">
        <v>61.786000000000001</v>
      </c>
      <c r="J2646">
        <v>66.143000000000001</v>
      </c>
      <c r="K2646">
        <v>4.3570000000000002</v>
      </c>
      <c r="L2646">
        <v>6</v>
      </c>
      <c r="M2646">
        <v>4</v>
      </c>
      <c r="N2646">
        <v>4</v>
      </c>
      <c r="O2646" t="s">
        <v>53</v>
      </c>
      <c r="P2646" t="s">
        <v>53</v>
      </c>
      <c r="Q2646" t="s">
        <v>53</v>
      </c>
    </row>
    <row r="2647" spans="1:17" x14ac:dyDescent="0.2">
      <c r="A2647" s="30" t="str">
        <f>IF(C2647&amp;G2647&amp;D2647&lt;&gt;'Funnel setup'!$K$3&amp;'Funnel setup'!$K$4&amp;'Funnel setup'!$K$5,".",IF(A2646=".",1,A2646+1))</f>
        <v>.</v>
      </c>
      <c r="B2647" s="431" t="str">
        <f t="shared" si="41"/>
        <v>Hip Replacement RevisionCCG of GP PracticeNHS THANET CCG (10E)EQ VAS</v>
      </c>
      <c r="C2647" t="s">
        <v>247</v>
      </c>
      <c r="D2647" t="s">
        <v>87</v>
      </c>
      <c r="E2647" t="s">
        <v>1004</v>
      </c>
      <c r="F2647" t="s">
        <v>1005</v>
      </c>
      <c r="G2647" t="s">
        <v>179</v>
      </c>
      <c r="H2647">
        <v>11</v>
      </c>
      <c r="I2647">
        <v>58.454999999999998</v>
      </c>
      <c r="J2647">
        <v>62.363999999999997</v>
      </c>
      <c r="K2647">
        <v>3.9089999999999998</v>
      </c>
      <c r="L2647">
        <v>5</v>
      </c>
      <c r="M2647">
        <v>1</v>
      </c>
      <c r="N2647">
        <v>5</v>
      </c>
      <c r="O2647" t="s">
        <v>53</v>
      </c>
      <c r="P2647" t="s">
        <v>53</v>
      </c>
      <c r="Q2647" t="s">
        <v>53</v>
      </c>
    </row>
    <row r="2648" spans="1:17" x14ac:dyDescent="0.2">
      <c r="A2648" s="30" t="str">
        <f>IF(C2648&amp;G2648&amp;D2648&lt;&gt;'Funnel setup'!$K$3&amp;'Funnel setup'!$K$4&amp;'Funnel setup'!$K$5,".",IF(A2647=".",1,A2647+1))</f>
        <v>.</v>
      </c>
      <c r="B2648" s="431" t="str">
        <f t="shared" si="41"/>
        <v>Hip Replacement RevisionCCG of GP PracticeNHS THURROCK CCG (07G)EQ VAS</v>
      </c>
      <c r="C2648" t="s">
        <v>247</v>
      </c>
      <c r="D2648" t="s">
        <v>87</v>
      </c>
      <c r="E2648" t="s">
        <v>1007</v>
      </c>
      <c r="F2648" t="s">
        <v>1008</v>
      </c>
      <c r="G2648" t="s">
        <v>179</v>
      </c>
      <c r="H2648" t="s">
        <v>53</v>
      </c>
      <c r="I2648" t="s">
        <v>53</v>
      </c>
      <c r="J2648" t="s">
        <v>53</v>
      </c>
      <c r="K2648" t="s">
        <v>53</v>
      </c>
      <c r="L2648" t="s">
        <v>53</v>
      </c>
      <c r="M2648" t="s">
        <v>53</v>
      </c>
      <c r="N2648" t="s">
        <v>53</v>
      </c>
      <c r="O2648" t="s">
        <v>53</v>
      </c>
      <c r="P2648" t="s">
        <v>53</v>
      </c>
      <c r="Q2648" t="s">
        <v>53</v>
      </c>
    </row>
    <row r="2649" spans="1:17" x14ac:dyDescent="0.2">
      <c r="A2649" s="30" t="str">
        <f>IF(C2649&amp;G2649&amp;D2649&lt;&gt;'Funnel setup'!$K$3&amp;'Funnel setup'!$K$4&amp;'Funnel setup'!$K$5,".",IF(A2648=".",1,A2648+1))</f>
        <v>.</v>
      </c>
      <c r="B2649" s="431" t="str">
        <f t="shared" si="41"/>
        <v>Hip Replacement RevisionCCG of GP PracticeNHS TRAFFORD CCG (02A)EQ VAS</v>
      </c>
      <c r="C2649" t="s">
        <v>247</v>
      </c>
      <c r="D2649" t="s">
        <v>87</v>
      </c>
      <c r="E2649" t="s">
        <v>1013</v>
      </c>
      <c r="F2649" t="s">
        <v>1014</v>
      </c>
      <c r="G2649" t="s">
        <v>179</v>
      </c>
      <c r="H2649" t="s">
        <v>53</v>
      </c>
      <c r="I2649" t="s">
        <v>53</v>
      </c>
      <c r="J2649" t="s">
        <v>53</v>
      </c>
      <c r="K2649" t="s">
        <v>53</v>
      </c>
      <c r="L2649" t="s">
        <v>53</v>
      </c>
      <c r="M2649" t="s">
        <v>53</v>
      </c>
      <c r="N2649" t="s">
        <v>53</v>
      </c>
      <c r="O2649" t="s">
        <v>53</v>
      </c>
      <c r="P2649" t="s">
        <v>53</v>
      </c>
      <c r="Q2649" t="s">
        <v>53</v>
      </c>
    </row>
    <row r="2650" spans="1:17" x14ac:dyDescent="0.2">
      <c r="A2650" s="30" t="str">
        <f>IF(C2650&amp;G2650&amp;D2650&lt;&gt;'Funnel setup'!$K$3&amp;'Funnel setup'!$K$4&amp;'Funnel setup'!$K$5,".",IF(A2649=".",1,A2649+1))</f>
        <v>.</v>
      </c>
      <c r="B2650" s="431" t="str">
        <f t="shared" si="41"/>
        <v>Hip Replacement RevisionCCG of GP PracticeNHS VALE OF YORK CCG (03Q)EQ VAS</v>
      </c>
      <c r="C2650" t="s">
        <v>247</v>
      </c>
      <c r="D2650" t="s">
        <v>87</v>
      </c>
      <c r="E2650" t="s">
        <v>420</v>
      </c>
      <c r="F2650" t="s">
        <v>421</v>
      </c>
      <c r="G2650" t="s">
        <v>179</v>
      </c>
      <c r="H2650">
        <v>30</v>
      </c>
      <c r="I2650">
        <v>70.599999999999994</v>
      </c>
      <c r="J2650">
        <v>70.867000000000004</v>
      </c>
      <c r="K2650">
        <v>0.26700000000000002</v>
      </c>
      <c r="L2650">
        <v>14</v>
      </c>
      <c r="M2650">
        <v>4</v>
      </c>
      <c r="N2650">
        <v>12</v>
      </c>
      <c r="O2650">
        <v>67.281000000000006</v>
      </c>
      <c r="P2650">
        <v>2.5101573350000002</v>
      </c>
      <c r="Q2650">
        <v>15.69</v>
      </c>
    </row>
    <row r="2651" spans="1:17" x14ac:dyDescent="0.2">
      <c r="A2651" s="30" t="str">
        <f>IF(C2651&amp;G2651&amp;D2651&lt;&gt;'Funnel setup'!$K$3&amp;'Funnel setup'!$K$4&amp;'Funnel setup'!$K$5,".",IF(A2650=".",1,A2650+1))</f>
        <v>.</v>
      </c>
      <c r="B2651" s="431" t="str">
        <f t="shared" si="41"/>
        <v>Hip Replacement RevisionCCG of GP PracticeNHS VALE ROYAL CCG (02D)EQ VAS</v>
      </c>
      <c r="C2651" t="s">
        <v>247</v>
      </c>
      <c r="D2651" t="s">
        <v>87</v>
      </c>
      <c r="E2651" t="s">
        <v>423</v>
      </c>
      <c r="F2651" t="s">
        <v>424</v>
      </c>
      <c r="G2651" t="s">
        <v>179</v>
      </c>
      <c r="H2651" t="s">
        <v>53</v>
      </c>
      <c r="I2651" t="s">
        <v>53</v>
      </c>
      <c r="J2651" t="s">
        <v>53</v>
      </c>
      <c r="K2651" t="s">
        <v>53</v>
      </c>
      <c r="L2651" t="s">
        <v>53</v>
      </c>
      <c r="M2651" t="s">
        <v>53</v>
      </c>
      <c r="N2651" t="s">
        <v>53</v>
      </c>
      <c r="O2651" t="s">
        <v>53</v>
      </c>
      <c r="P2651" t="s">
        <v>53</v>
      </c>
      <c r="Q2651" t="s">
        <v>53</v>
      </c>
    </row>
    <row r="2652" spans="1:17" x14ac:dyDescent="0.2">
      <c r="A2652" s="30" t="str">
        <f>IF(C2652&amp;G2652&amp;D2652&lt;&gt;'Funnel setup'!$K$3&amp;'Funnel setup'!$K$4&amp;'Funnel setup'!$K$5,".",IF(A2651=".",1,A2651+1))</f>
        <v>.</v>
      </c>
      <c r="B2652" s="431" t="str">
        <f t="shared" si="41"/>
        <v>Hip Replacement RevisionCCG of GP PracticeNHS WAKEFIELD CCG (03R)EQ VAS</v>
      </c>
      <c r="C2652" t="s">
        <v>247</v>
      </c>
      <c r="D2652" t="s">
        <v>87</v>
      </c>
      <c r="E2652" t="s">
        <v>426</v>
      </c>
      <c r="F2652" t="s">
        <v>427</v>
      </c>
      <c r="G2652" t="s">
        <v>179</v>
      </c>
      <c r="H2652" t="s">
        <v>53</v>
      </c>
      <c r="I2652" t="s">
        <v>53</v>
      </c>
      <c r="J2652" t="s">
        <v>53</v>
      </c>
      <c r="K2652" t="s">
        <v>53</v>
      </c>
      <c r="L2652" t="s">
        <v>53</v>
      </c>
      <c r="M2652" t="s">
        <v>53</v>
      </c>
      <c r="N2652" t="s">
        <v>53</v>
      </c>
      <c r="O2652" t="s">
        <v>53</v>
      </c>
      <c r="P2652" t="s">
        <v>53</v>
      </c>
      <c r="Q2652" t="s">
        <v>53</v>
      </c>
    </row>
    <row r="2653" spans="1:17" x14ac:dyDescent="0.2">
      <c r="A2653" s="30" t="str">
        <f>IF(C2653&amp;G2653&amp;D2653&lt;&gt;'Funnel setup'!$K$3&amp;'Funnel setup'!$K$4&amp;'Funnel setup'!$K$5,".",IF(A2652=".",1,A2652+1))</f>
        <v>.</v>
      </c>
      <c r="B2653" s="431" t="str">
        <f t="shared" si="41"/>
        <v>Hip Replacement RevisionCCG of GP PracticeNHS WALSALL CCG (05Y)EQ VAS</v>
      </c>
      <c r="C2653" t="s">
        <v>247</v>
      </c>
      <c r="D2653" t="s">
        <v>87</v>
      </c>
      <c r="E2653" t="s">
        <v>429</v>
      </c>
      <c r="F2653" t="s">
        <v>430</v>
      </c>
      <c r="G2653" t="s">
        <v>179</v>
      </c>
      <c r="H2653">
        <v>9</v>
      </c>
      <c r="I2653">
        <v>53</v>
      </c>
      <c r="J2653">
        <v>60.889000000000003</v>
      </c>
      <c r="K2653">
        <v>7.8890000000000002</v>
      </c>
      <c r="L2653">
        <v>5</v>
      </c>
      <c r="M2653">
        <v>1</v>
      </c>
      <c r="N2653">
        <v>3</v>
      </c>
      <c r="O2653" t="s">
        <v>53</v>
      </c>
      <c r="P2653" t="s">
        <v>53</v>
      </c>
      <c r="Q2653" t="s">
        <v>53</v>
      </c>
    </row>
    <row r="2654" spans="1:17" x14ac:dyDescent="0.2">
      <c r="A2654" s="30" t="str">
        <f>IF(C2654&amp;G2654&amp;D2654&lt;&gt;'Funnel setup'!$K$3&amp;'Funnel setup'!$K$4&amp;'Funnel setup'!$K$5,".",IF(A2653=".",1,A2653+1))</f>
        <v>.</v>
      </c>
      <c r="B2654" s="431" t="str">
        <f t="shared" si="41"/>
        <v>Hip Replacement RevisionCCG of GP PracticeNHS WALTHAM FOREST CCG (08W)EQ VAS</v>
      </c>
      <c r="C2654" t="s">
        <v>247</v>
      </c>
      <c r="D2654" t="s">
        <v>87</v>
      </c>
      <c r="E2654" t="s">
        <v>432</v>
      </c>
      <c r="F2654" t="s">
        <v>433</v>
      </c>
      <c r="G2654" t="s">
        <v>179</v>
      </c>
      <c r="H2654" t="s">
        <v>53</v>
      </c>
      <c r="I2654" t="s">
        <v>53</v>
      </c>
      <c r="J2654" t="s">
        <v>53</v>
      </c>
      <c r="K2654" t="s">
        <v>53</v>
      </c>
      <c r="L2654" t="s">
        <v>53</v>
      </c>
      <c r="M2654" t="s">
        <v>53</v>
      </c>
      <c r="N2654" t="s">
        <v>53</v>
      </c>
      <c r="O2654" t="s">
        <v>53</v>
      </c>
      <c r="P2654" t="s">
        <v>53</v>
      </c>
      <c r="Q2654" t="s">
        <v>53</v>
      </c>
    </row>
    <row r="2655" spans="1:17" x14ac:dyDescent="0.2">
      <c r="A2655" s="30" t="str">
        <f>IF(C2655&amp;G2655&amp;D2655&lt;&gt;'Funnel setup'!$K$3&amp;'Funnel setup'!$K$4&amp;'Funnel setup'!$K$5,".",IF(A2654=".",1,A2654+1))</f>
        <v>.</v>
      </c>
      <c r="B2655" s="431" t="str">
        <f t="shared" si="41"/>
        <v>Hip Replacement RevisionCCG of GP PracticeNHS WANDSWORTH CCG (08X)EQ VAS</v>
      </c>
      <c r="C2655" t="s">
        <v>247</v>
      </c>
      <c r="D2655" t="s">
        <v>87</v>
      </c>
      <c r="E2655" t="s">
        <v>435</v>
      </c>
      <c r="F2655" t="s">
        <v>436</v>
      </c>
      <c r="G2655" t="s">
        <v>179</v>
      </c>
      <c r="H2655" t="s">
        <v>53</v>
      </c>
      <c r="I2655" t="s">
        <v>53</v>
      </c>
      <c r="J2655" t="s">
        <v>53</v>
      </c>
      <c r="K2655" t="s">
        <v>53</v>
      </c>
      <c r="L2655" t="s">
        <v>53</v>
      </c>
      <c r="M2655" t="s">
        <v>53</v>
      </c>
      <c r="N2655" t="s">
        <v>53</v>
      </c>
      <c r="O2655" t="s">
        <v>53</v>
      </c>
      <c r="P2655" t="s">
        <v>53</v>
      </c>
      <c r="Q2655" t="s">
        <v>53</v>
      </c>
    </row>
    <row r="2656" spans="1:17" x14ac:dyDescent="0.2">
      <c r="A2656" s="30" t="str">
        <f>IF(C2656&amp;G2656&amp;D2656&lt;&gt;'Funnel setup'!$K$3&amp;'Funnel setup'!$K$4&amp;'Funnel setup'!$K$5,".",IF(A2655=".",1,A2655+1))</f>
        <v>.</v>
      </c>
      <c r="B2656" s="431" t="str">
        <f t="shared" si="41"/>
        <v>Hip Replacement RevisionCCG of GP PracticeNHS WARRINGTON CCG (02E)EQ VAS</v>
      </c>
      <c r="C2656" t="s">
        <v>247</v>
      </c>
      <c r="D2656" t="s">
        <v>87</v>
      </c>
      <c r="E2656" t="s">
        <v>441</v>
      </c>
      <c r="F2656" t="s">
        <v>442</v>
      </c>
      <c r="G2656" t="s">
        <v>179</v>
      </c>
      <c r="H2656" t="s">
        <v>53</v>
      </c>
      <c r="I2656" t="s">
        <v>53</v>
      </c>
      <c r="J2656" t="s">
        <v>53</v>
      </c>
      <c r="K2656" t="s">
        <v>53</v>
      </c>
      <c r="L2656" t="s">
        <v>53</v>
      </c>
      <c r="M2656" t="s">
        <v>53</v>
      </c>
      <c r="N2656" t="s">
        <v>53</v>
      </c>
      <c r="O2656" t="s">
        <v>53</v>
      </c>
      <c r="P2656" t="s">
        <v>53</v>
      </c>
      <c r="Q2656" t="s">
        <v>53</v>
      </c>
    </row>
    <row r="2657" spans="1:17" x14ac:dyDescent="0.2">
      <c r="A2657" s="30" t="str">
        <f>IF(C2657&amp;G2657&amp;D2657&lt;&gt;'Funnel setup'!$K$3&amp;'Funnel setup'!$K$4&amp;'Funnel setup'!$K$5,".",IF(A2656=".",1,A2656+1))</f>
        <v>.</v>
      </c>
      <c r="B2657" s="431" t="str">
        <f t="shared" si="41"/>
        <v>Hip Replacement RevisionCCG of GP PracticeNHS WARWICKSHIRE NORTH CCG (05H)EQ VAS</v>
      </c>
      <c r="C2657" t="s">
        <v>247</v>
      </c>
      <c r="D2657" t="s">
        <v>87</v>
      </c>
      <c r="E2657" t="s">
        <v>438</v>
      </c>
      <c r="F2657" t="s">
        <v>439</v>
      </c>
      <c r="G2657" t="s">
        <v>179</v>
      </c>
      <c r="H2657" t="s">
        <v>53</v>
      </c>
      <c r="I2657" t="s">
        <v>53</v>
      </c>
      <c r="J2657" t="s">
        <v>53</v>
      </c>
      <c r="K2657" t="s">
        <v>53</v>
      </c>
      <c r="L2657" t="s">
        <v>53</v>
      </c>
      <c r="M2657" t="s">
        <v>53</v>
      </c>
      <c r="N2657" t="s">
        <v>53</v>
      </c>
      <c r="O2657" t="s">
        <v>53</v>
      </c>
      <c r="P2657" t="s">
        <v>53</v>
      </c>
      <c r="Q2657" t="s">
        <v>53</v>
      </c>
    </row>
    <row r="2658" spans="1:17" x14ac:dyDescent="0.2">
      <c r="A2658" s="30" t="str">
        <f>IF(C2658&amp;G2658&amp;D2658&lt;&gt;'Funnel setup'!$K$3&amp;'Funnel setup'!$K$4&amp;'Funnel setup'!$K$5,".",IF(A2657=".",1,A2657+1))</f>
        <v>.</v>
      </c>
      <c r="B2658" s="431" t="str">
        <f t="shared" si="41"/>
        <v>Hip Replacement RevisionCCG of GP PracticeNHS WEST CHESHIRE CCG (02F)EQ VAS</v>
      </c>
      <c r="C2658" t="s">
        <v>247</v>
      </c>
      <c r="D2658" t="s">
        <v>87</v>
      </c>
      <c r="E2658" t="s">
        <v>402</v>
      </c>
      <c r="F2658" t="s">
        <v>403</v>
      </c>
      <c r="G2658" t="s">
        <v>179</v>
      </c>
      <c r="H2658">
        <v>12</v>
      </c>
      <c r="I2658">
        <v>65.582999999999998</v>
      </c>
      <c r="J2658">
        <v>75.832999999999998</v>
      </c>
      <c r="K2658">
        <v>10.25</v>
      </c>
      <c r="L2658">
        <v>9</v>
      </c>
      <c r="M2658">
        <v>1</v>
      </c>
      <c r="N2658">
        <v>2</v>
      </c>
      <c r="O2658" t="s">
        <v>53</v>
      </c>
      <c r="P2658" t="s">
        <v>53</v>
      </c>
      <c r="Q2658" t="s">
        <v>53</v>
      </c>
    </row>
    <row r="2659" spans="1:17" x14ac:dyDescent="0.2">
      <c r="A2659" s="30" t="str">
        <f>IF(C2659&amp;G2659&amp;D2659&lt;&gt;'Funnel setup'!$K$3&amp;'Funnel setup'!$K$4&amp;'Funnel setup'!$K$5,".",IF(A2658=".",1,A2658+1))</f>
        <v>.</v>
      </c>
      <c r="B2659" s="431" t="str">
        <f t="shared" si="41"/>
        <v>Hip Replacement RevisionCCG of GP PracticeNHS WEST ESSEX CCG (07H)EQ VAS</v>
      </c>
      <c r="C2659" t="s">
        <v>247</v>
      </c>
      <c r="D2659" t="s">
        <v>87</v>
      </c>
      <c r="E2659" t="s">
        <v>405</v>
      </c>
      <c r="F2659" t="s">
        <v>406</v>
      </c>
      <c r="G2659" t="s">
        <v>179</v>
      </c>
      <c r="H2659">
        <v>11</v>
      </c>
      <c r="I2659">
        <v>66.817999999999998</v>
      </c>
      <c r="J2659">
        <v>63.636000000000003</v>
      </c>
      <c r="K2659">
        <v>-3.1819999999999999</v>
      </c>
      <c r="L2659">
        <v>3</v>
      </c>
      <c r="M2659">
        <v>1</v>
      </c>
      <c r="N2659">
        <v>7</v>
      </c>
      <c r="O2659" t="s">
        <v>53</v>
      </c>
      <c r="P2659" t="s">
        <v>53</v>
      </c>
      <c r="Q2659" t="s">
        <v>53</v>
      </c>
    </row>
    <row r="2660" spans="1:17" x14ac:dyDescent="0.2">
      <c r="A2660" s="30" t="str">
        <f>IF(C2660&amp;G2660&amp;D2660&lt;&gt;'Funnel setup'!$K$3&amp;'Funnel setup'!$K$4&amp;'Funnel setup'!$K$5,".",IF(A2659=".",1,A2659+1))</f>
        <v>.</v>
      </c>
      <c r="B2660" s="431" t="str">
        <f t="shared" si="41"/>
        <v>Hip Replacement RevisionCCG of GP PracticeNHS WEST HAMPSHIRE CCG (11A)EQ VAS</v>
      </c>
      <c r="C2660" t="s">
        <v>247</v>
      </c>
      <c r="D2660" t="s">
        <v>87</v>
      </c>
      <c r="E2660" t="s">
        <v>444</v>
      </c>
      <c r="F2660" t="s">
        <v>445</v>
      </c>
      <c r="G2660" t="s">
        <v>179</v>
      </c>
      <c r="H2660">
        <v>27</v>
      </c>
      <c r="I2660">
        <v>62.555999999999997</v>
      </c>
      <c r="J2660">
        <v>74.63</v>
      </c>
      <c r="K2660">
        <v>12.074</v>
      </c>
      <c r="L2660">
        <v>18</v>
      </c>
      <c r="M2660">
        <v>7</v>
      </c>
      <c r="N2660">
        <v>2</v>
      </c>
      <c r="O2660" t="s">
        <v>53</v>
      </c>
      <c r="P2660" t="s">
        <v>53</v>
      </c>
      <c r="Q2660" t="s">
        <v>53</v>
      </c>
    </row>
    <row r="2661" spans="1:17" x14ac:dyDescent="0.2">
      <c r="A2661" s="30" t="str">
        <f>IF(C2661&amp;G2661&amp;D2661&lt;&gt;'Funnel setup'!$K$3&amp;'Funnel setup'!$K$4&amp;'Funnel setup'!$K$5,".",IF(A2660=".",1,A2660+1))</f>
        <v>.</v>
      </c>
      <c r="B2661" s="431" t="str">
        <f t="shared" si="41"/>
        <v>Hip Replacement RevisionCCG of GP PracticeNHS WEST KENT CCG (99J)EQ VAS</v>
      </c>
      <c r="C2661" t="s">
        <v>247</v>
      </c>
      <c r="D2661" t="s">
        <v>87</v>
      </c>
      <c r="E2661" t="s">
        <v>447</v>
      </c>
      <c r="F2661" t="s">
        <v>448</v>
      </c>
      <c r="G2661" t="s">
        <v>179</v>
      </c>
      <c r="H2661">
        <v>22</v>
      </c>
      <c r="I2661">
        <v>73.454999999999998</v>
      </c>
      <c r="J2661">
        <v>78.317999999999998</v>
      </c>
      <c r="K2661">
        <v>4.8639999999999999</v>
      </c>
      <c r="L2661">
        <v>11</v>
      </c>
      <c r="M2661">
        <v>3</v>
      </c>
      <c r="N2661">
        <v>8</v>
      </c>
      <c r="O2661" t="s">
        <v>53</v>
      </c>
      <c r="P2661" t="s">
        <v>53</v>
      </c>
      <c r="Q2661" t="s">
        <v>53</v>
      </c>
    </row>
    <row r="2662" spans="1:17" x14ac:dyDescent="0.2">
      <c r="A2662" s="30" t="str">
        <f>IF(C2662&amp;G2662&amp;D2662&lt;&gt;'Funnel setup'!$K$3&amp;'Funnel setup'!$K$4&amp;'Funnel setup'!$K$5,".",IF(A2661=".",1,A2661+1))</f>
        <v>.</v>
      </c>
      <c r="B2662" s="431" t="str">
        <f t="shared" si="41"/>
        <v>Hip Replacement RevisionCCG of GP PracticeNHS WEST LANCASHIRE CCG (02G)EQ VAS</v>
      </c>
      <c r="C2662" t="s">
        <v>247</v>
      </c>
      <c r="D2662" t="s">
        <v>87</v>
      </c>
      <c r="E2662" t="s">
        <v>450</v>
      </c>
      <c r="F2662" t="s">
        <v>451</v>
      </c>
      <c r="G2662" t="s">
        <v>179</v>
      </c>
      <c r="H2662" t="s">
        <v>53</v>
      </c>
      <c r="I2662" t="s">
        <v>53</v>
      </c>
      <c r="J2662" t="s">
        <v>53</v>
      </c>
      <c r="K2662" t="s">
        <v>53</v>
      </c>
      <c r="L2662" t="s">
        <v>53</v>
      </c>
      <c r="M2662" t="s">
        <v>53</v>
      </c>
      <c r="N2662" t="s">
        <v>53</v>
      </c>
      <c r="O2662" t="s">
        <v>53</v>
      </c>
      <c r="P2662" t="s">
        <v>53</v>
      </c>
      <c r="Q2662" t="s">
        <v>53</v>
      </c>
    </row>
    <row r="2663" spans="1:17" x14ac:dyDescent="0.2">
      <c r="A2663" s="30" t="str">
        <f>IF(C2663&amp;G2663&amp;D2663&lt;&gt;'Funnel setup'!$K$3&amp;'Funnel setup'!$K$4&amp;'Funnel setup'!$K$5,".",IF(A2662=".",1,A2662+1))</f>
        <v>.</v>
      </c>
      <c r="B2663" s="431" t="str">
        <f t="shared" si="41"/>
        <v>Hip Replacement RevisionCCG of GP PracticeNHS WEST LEICESTERSHIRE CCG (04V)EQ VAS</v>
      </c>
      <c r="C2663" t="s">
        <v>247</v>
      </c>
      <c r="D2663" t="s">
        <v>87</v>
      </c>
      <c r="E2663" t="s">
        <v>453</v>
      </c>
      <c r="F2663" t="s">
        <v>454</v>
      </c>
      <c r="G2663" t="s">
        <v>179</v>
      </c>
      <c r="H2663">
        <v>12</v>
      </c>
      <c r="I2663">
        <v>60</v>
      </c>
      <c r="J2663">
        <v>68.75</v>
      </c>
      <c r="K2663">
        <v>8.75</v>
      </c>
      <c r="L2663">
        <v>8</v>
      </c>
      <c r="M2663">
        <v>1</v>
      </c>
      <c r="N2663">
        <v>3</v>
      </c>
      <c r="O2663" t="s">
        <v>53</v>
      </c>
      <c r="P2663" t="s">
        <v>53</v>
      </c>
      <c r="Q2663" t="s">
        <v>53</v>
      </c>
    </row>
    <row r="2664" spans="1:17" x14ac:dyDescent="0.2">
      <c r="A2664" s="30" t="str">
        <f>IF(C2664&amp;G2664&amp;D2664&lt;&gt;'Funnel setup'!$K$3&amp;'Funnel setup'!$K$4&amp;'Funnel setup'!$K$5,".",IF(A2663=".",1,A2663+1))</f>
        <v>.</v>
      </c>
      <c r="B2664" s="431" t="str">
        <f t="shared" si="41"/>
        <v>Hip Replacement RevisionCCG of GP PracticeNHS WEST LONDON CCG (08Y)EQ VAS</v>
      </c>
      <c r="C2664" t="s">
        <v>247</v>
      </c>
      <c r="D2664" t="s">
        <v>87</v>
      </c>
      <c r="E2664" t="s">
        <v>456</v>
      </c>
      <c r="F2664" t="s">
        <v>457</v>
      </c>
      <c r="G2664" t="s">
        <v>179</v>
      </c>
      <c r="H2664" t="s">
        <v>53</v>
      </c>
      <c r="I2664" t="s">
        <v>53</v>
      </c>
      <c r="J2664" t="s">
        <v>53</v>
      </c>
      <c r="K2664" t="s">
        <v>53</v>
      </c>
      <c r="L2664" t="s">
        <v>53</v>
      </c>
      <c r="M2664" t="s">
        <v>53</v>
      </c>
      <c r="N2664" t="s">
        <v>53</v>
      </c>
      <c r="O2664" t="s">
        <v>53</v>
      </c>
      <c r="P2664" t="s">
        <v>53</v>
      </c>
      <c r="Q2664" t="s">
        <v>53</v>
      </c>
    </row>
    <row r="2665" spans="1:17" x14ac:dyDescent="0.2">
      <c r="A2665" s="30" t="str">
        <f>IF(C2665&amp;G2665&amp;D2665&lt;&gt;'Funnel setup'!$K$3&amp;'Funnel setup'!$K$4&amp;'Funnel setup'!$K$5,".",IF(A2664=".",1,A2664+1))</f>
        <v>.</v>
      </c>
      <c r="B2665" s="431" t="str">
        <f t="shared" si="41"/>
        <v>Hip Replacement RevisionCCG of GP PracticeNHS WEST NORFOLK CCG (07J)EQ VAS</v>
      </c>
      <c r="C2665" t="s">
        <v>247</v>
      </c>
      <c r="D2665" t="s">
        <v>87</v>
      </c>
      <c r="E2665" t="s">
        <v>459</v>
      </c>
      <c r="F2665" t="s">
        <v>460</v>
      </c>
      <c r="G2665" t="s">
        <v>179</v>
      </c>
      <c r="H2665">
        <v>8</v>
      </c>
      <c r="I2665">
        <v>67.125</v>
      </c>
      <c r="J2665">
        <v>73.75</v>
      </c>
      <c r="K2665">
        <v>6.625</v>
      </c>
      <c r="L2665">
        <v>4</v>
      </c>
      <c r="M2665">
        <v>2</v>
      </c>
      <c r="N2665">
        <v>2</v>
      </c>
      <c r="O2665" t="s">
        <v>53</v>
      </c>
      <c r="P2665" t="s">
        <v>53</v>
      </c>
      <c r="Q2665" t="s">
        <v>53</v>
      </c>
    </row>
    <row r="2666" spans="1:17" x14ac:dyDescent="0.2">
      <c r="A2666" s="30" t="str">
        <f>IF(C2666&amp;G2666&amp;D2666&lt;&gt;'Funnel setup'!$K$3&amp;'Funnel setup'!$K$4&amp;'Funnel setup'!$K$5,".",IF(A2665=".",1,A2665+1))</f>
        <v>.</v>
      </c>
      <c r="B2666" s="431" t="str">
        <f t="shared" si="41"/>
        <v>Hip Replacement RevisionCCG of GP PracticeNHS WEST SUFFOLK CCG (07K)EQ VAS</v>
      </c>
      <c r="C2666" t="s">
        <v>247</v>
      </c>
      <c r="D2666" t="s">
        <v>87</v>
      </c>
      <c r="E2666" t="s">
        <v>462</v>
      </c>
      <c r="F2666" t="s">
        <v>463</v>
      </c>
      <c r="G2666" t="s">
        <v>179</v>
      </c>
      <c r="H2666">
        <v>10</v>
      </c>
      <c r="I2666">
        <v>59.2</v>
      </c>
      <c r="J2666">
        <v>71</v>
      </c>
      <c r="K2666">
        <v>11.8</v>
      </c>
      <c r="L2666">
        <v>7</v>
      </c>
      <c r="M2666">
        <v>1</v>
      </c>
      <c r="N2666">
        <v>2</v>
      </c>
      <c r="O2666" t="s">
        <v>53</v>
      </c>
      <c r="P2666" t="s">
        <v>53</v>
      </c>
      <c r="Q2666" t="s">
        <v>53</v>
      </c>
    </row>
    <row r="2667" spans="1:17" x14ac:dyDescent="0.2">
      <c r="A2667" s="30" t="str">
        <f>IF(C2667&amp;G2667&amp;D2667&lt;&gt;'Funnel setup'!$K$3&amp;'Funnel setup'!$K$4&amp;'Funnel setup'!$K$5,".",IF(A2666=".",1,A2666+1))</f>
        <v>.</v>
      </c>
      <c r="B2667" s="431" t="str">
        <f t="shared" si="41"/>
        <v>Hip Replacement RevisionCCG of GP PracticeNHS WIGAN BOROUGH CCG (02H)EQ VAS</v>
      </c>
      <c r="C2667" t="s">
        <v>247</v>
      </c>
      <c r="D2667" t="s">
        <v>87</v>
      </c>
      <c r="E2667" t="s">
        <v>465</v>
      </c>
      <c r="F2667" t="s">
        <v>466</v>
      </c>
      <c r="G2667" t="s">
        <v>179</v>
      </c>
      <c r="H2667">
        <v>8</v>
      </c>
      <c r="I2667">
        <v>60</v>
      </c>
      <c r="J2667">
        <v>53.75</v>
      </c>
      <c r="K2667">
        <v>-6.25</v>
      </c>
      <c r="L2667">
        <v>4</v>
      </c>
      <c r="M2667">
        <v>1</v>
      </c>
      <c r="N2667">
        <v>3</v>
      </c>
      <c r="O2667" t="s">
        <v>53</v>
      </c>
      <c r="P2667" t="s">
        <v>53</v>
      </c>
      <c r="Q2667" t="s">
        <v>53</v>
      </c>
    </row>
    <row r="2668" spans="1:17" x14ac:dyDescent="0.2">
      <c r="A2668" s="30" t="str">
        <f>IF(C2668&amp;G2668&amp;D2668&lt;&gt;'Funnel setup'!$K$3&amp;'Funnel setup'!$K$4&amp;'Funnel setup'!$K$5,".",IF(A2667=".",1,A2667+1))</f>
        <v>.</v>
      </c>
      <c r="B2668" s="431" t="str">
        <f t="shared" si="41"/>
        <v>Hip Replacement RevisionCCG of GP PracticeNHS WILTSHIRE CCG (99N)EQ VAS</v>
      </c>
      <c r="C2668" t="s">
        <v>247</v>
      </c>
      <c r="D2668" t="s">
        <v>87</v>
      </c>
      <c r="E2668" t="s">
        <v>468</v>
      </c>
      <c r="F2668" t="s">
        <v>469</v>
      </c>
      <c r="G2668" t="s">
        <v>179</v>
      </c>
      <c r="H2668">
        <v>35</v>
      </c>
      <c r="I2668">
        <v>67.713999999999999</v>
      </c>
      <c r="J2668">
        <v>75.456999999999994</v>
      </c>
      <c r="K2668">
        <v>7.7430000000000003</v>
      </c>
      <c r="L2668">
        <v>17</v>
      </c>
      <c r="M2668">
        <v>7</v>
      </c>
      <c r="N2668">
        <v>11</v>
      </c>
      <c r="O2668">
        <v>72.78</v>
      </c>
      <c r="P2668">
        <v>8.0097721859999993</v>
      </c>
      <c r="Q2668">
        <v>16.350999999999999</v>
      </c>
    </row>
    <row r="2669" spans="1:17" x14ac:dyDescent="0.2">
      <c r="A2669" s="30" t="str">
        <f>IF(C2669&amp;G2669&amp;D2669&lt;&gt;'Funnel setup'!$K$3&amp;'Funnel setup'!$K$4&amp;'Funnel setup'!$K$5,".",IF(A2668=".",1,A2668+1))</f>
        <v>.</v>
      </c>
      <c r="B2669" s="431" t="str">
        <f t="shared" si="41"/>
        <v>Hip Replacement RevisionCCG of GP PracticeNHS WINDSOR, ASCOT AND MAIDENHEAD CCG (11C)EQ VAS</v>
      </c>
      <c r="C2669" t="s">
        <v>247</v>
      </c>
      <c r="D2669" t="s">
        <v>87</v>
      </c>
      <c r="E2669" t="s">
        <v>471</v>
      </c>
      <c r="F2669" t="s">
        <v>472</v>
      </c>
      <c r="G2669" t="s">
        <v>179</v>
      </c>
      <c r="H2669" t="s">
        <v>53</v>
      </c>
      <c r="I2669" t="s">
        <v>53</v>
      </c>
      <c r="J2669" t="s">
        <v>53</v>
      </c>
      <c r="K2669" t="s">
        <v>53</v>
      </c>
      <c r="L2669" t="s">
        <v>53</v>
      </c>
      <c r="M2669" t="s">
        <v>53</v>
      </c>
      <c r="N2669" t="s">
        <v>53</v>
      </c>
      <c r="O2669" t="s">
        <v>53</v>
      </c>
      <c r="P2669" t="s">
        <v>53</v>
      </c>
      <c r="Q2669" t="s">
        <v>53</v>
      </c>
    </row>
    <row r="2670" spans="1:17" x14ac:dyDescent="0.2">
      <c r="A2670" s="30" t="str">
        <f>IF(C2670&amp;G2670&amp;D2670&lt;&gt;'Funnel setup'!$K$3&amp;'Funnel setup'!$K$4&amp;'Funnel setup'!$K$5,".",IF(A2669=".",1,A2669+1))</f>
        <v>.</v>
      </c>
      <c r="B2670" s="431" t="str">
        <f t="shared" si="41"/>
        <v>Hip Replacement RevisionCCG of GP PracticeNHS WIRRAL CCG (12F)EQ VAS</v>
      </c>
      <c r="C2670" t="s">
        <v>247</v>
      </c>
      <c r="D2670" t="s">
        <v>87</v>
      </c>
      <c r="E2670" t="s">
        <v>474</v>
      </c>
      <c r="F2670" t="s">
        <v>475</v>
      </c>
      <c r="G2670" t="s">
        <v>179</v>
      </c>
      <c r="H2670" t="s">
        <v>53</v>
      </c>
      <c r="I2670" t="s">
        <v>53</v>
      </c>
      <c r="J2670" t="s">
        <v>53</v>
      </c>
      <c r="K2670" t="s">
        <v>53</v>
      </c>
      <c r="L2670" t="s">
        <v>53</v>
      </c>
      <c r="M2670" t="s">
        <v>53</v>
      </c>
      <c r="N2670" t="s">
        <v>53</v>
      </c>
      <c r="O2670" t="s">
        <v>53</v>
      </c>
      <c r="P2670" t="s">
        <v>53</v>
      </c>
      <c r="Q2670" t="s">
        <v>53</v>
      </c>
    </row>
    <row r="2671" spans="1:17" x14ac:dyDescent="0.2">
      <c r="A2671" s="30" t="str">
        <f>IF(C2671&amp;G2671&amp;D2671&lt;&gt;'Funnel setup'!$K$3&amp;'Funnel setup'!$K$4&amp;'Funnel setup'!$K$5,".",IF(A2670=".",1,A2670+1))</f>
        <v>.</v>
      </c>
      <c r="B2671" s="431" t="str">
        <f t="shared" si="41"/>
        <v>Hip Replacement RevisionCCG of GP PracticeNHS WOKINGHAM CCG (11D)EQ VAS</v>
      </c>
      <c r="C2671" t="s">
        <v>247</v>
      </c>
      <c r="D2671" t="s">
        <v>87</v>
      </c>
      <c r="E2671" t="s">
        <v>477</v>
      </c>
      <c r="F2671" t="s">
        <v>478</v>
      </c>
      <c r="G2671" t="s">
        <v>179</v>
      </c>
      <c r="H2671" t="s">
        <v>53</v>
      </c>
      <c r="I2671" t="s">
        <v>53</v>
      </c>
      <c r="J2671" t="s">
        <v>53</v>
      </c>
      <c r="K2671" t="s">
        <v>53</v>
      </c>
      <c r="L2671" t="s">
        <v>53</v>
      </c>
      <c r="M2671" t="s">
        <v>53</v>
      </c>
      <c r="N2671" t="s">
        <v>53</v>
      </c>
      <c r="O2671" t="s">
        <v>53</v>
      </c>
      <c r="P2671" t="s">
        <v>53</v>
      </c>
      <c r="Q2671" t="s">
        <v>53</v>
      </c>
    </row>
    <row r="2672" spans="1:17" x14ac:dyDescent="0.2">
      <c r="A2672" s="30" t="str">
        <f>IF(C2672&amp;G2672&amp;D2672&lt;&gt;'Funnel setup'!$K$3&amp;'Funnel setup'!$K$4&amp;'Funnel setup'!$K$5,".",IF(A2671=".",1,A2671+1))</f>
        <v>.</v>
      </c>
      <c r="B2672" s="431" t="str">
        <f t="shared" si="41"/>
        <v>Hip Replacement RevisionCCG of GP PracticeNHS WOLVERHAMPTON CCG (06A)EQ VAS</v>
      </c>
      <c r="C2672" t="s">
        <v>247</v>
      </c>
      <c r="D2672" t="s">
        <v>87</v>
      </c>
      <c r="E2672" t="s">
        <v>480</v>
      </c>
      <c r="F2672" t="s">
        <v>481</v>
      </c>
      <c r="G2672" t="s">
        <v>179</v>
      </c>
      <c r="H2672" t="s">
        <v>53</v>
      </c>
      <c r="I2672" t="s">
        <v>53</v>
      </c>
      <c r="J2672" t="s">
        <v>53</v>
      </c>
      <c r="K2672" t="s">
        <v>53</v>
      </c>
      <c r="L2672" t="s">
        <v>53</v>
      </c>
      <c r="M2672" t="s">
        <v>53</v>
      </c>
      <c r="N2672" t="s">
        <v>53</v>
      </c>
      <c r="O2672" t="s">
        <v>53</v>
      </c>
      <c r="P2672" t="s">
        <v>53</v>
      </c>
      <c r="Q2672" t="s">
        <v>53</v>
      </c>
    </row>
    <row r="2673" spans="1:17" x14ac:dyDescent="0.2">
      <c r="A2673" s="30" t="str">
        <f>IF(C2673&amp;G2673&amp;D2673&lt;&gt;'Funnel setup'!$K$3&amp;'Funnel setup'!$K$4&amp;'Funnel setup'!$K$5,".",IF(A2672=".",1,A2672+1))</f>
        <v>.</v>
      </c>
      <c r="B2673" s="431" t="str">
        <f t="shared" si="41"/>
        <v>Hip Replacement RevisionCCG of GP PracticeNHS WYRE FOREST CCG (06D)EQ VAS</v>
      </c>
      <c r="C2673" t="s">
        <v>247</v>
      </c>
      <c r="D2673" t="s">
        <v>87</v>
      </c>
      <c r="E2673" t="s">
        <v>483</v>
      </c>
      <c r="F2673" t="s">
        <v>484</v>
      </c>
      <c r="G2673" t="s">
        <v>179</v>
      </c>
      <c r="H2673">
        <v>7</v>
      </c>
      <c r="I2673">
        <v>67.856999999999999</v>
      </c>
      <c r="J2673">
        <v>62.143000000000001</v>
      </c>
      <c r="K2673">
        <v>-5.7140000000000004</v>
      </c>
      <c r="L2673">
        <v>3</v>
      </c>
      <c r="M2673">
        <v>1</v>
      </c>
      <c r="N2673">
        <v>3</v>
      </c>
      <c r="O2673" t="s">
        <v>53</v>
      </c>
      <c r="P2673" t="s">
        <v>53</v>
      </c>
      <c r="Q2673" t="s">
        <v>53</v>
      </c>
    </row>
    <row r="2674" spans="1:17" x14ac:dyDescent="0.2">
      <c r="A2674" s="30" t="str">
        <f>IF(C2674&amp;G2674&amp;D2674&lt;&gt;'Funnel setup'!$K$3&amp;'Funnel setup'!$K$4&amp;'Funnel setup'!$K$5,".",IF(A2673=".",1,A2673+1))</f>
        <v>.</v>
      </c>
      <c r="B2674" s="431" t="str">
        <f t="shared" si="41"/>
        <v>Hip Replacement RevisionCCG of GP PracticeNATIONAL COMMISSIONING HUB 1 (13Q)EQ-5D Index</v>
      </c>
      <c r="C2674" t="s">
        <v>247</v>
      </c>
      <c r="D2674" t="s">
        <v>87</v>
      </c>
      <c r="E2674" t="s">
        <v>563</v>
      </c>
      <c r="F2674" t="s">
        <v>564</v>
      </c>
      <c r="G2674" t="s">
        <v>52</v>
      </c>
      <c r="H2674" t="s">
        <v>53</v>
      </c>
      <c r="I2674" t="s">
        <v>53</v>
      </c>
      <c r="J2674" t="s">
        <v>53</v>
      </c>
      <c r="K2674" t="s">
        <v>53</v>
      </c>
      <c r="L2674" t="s">
        <v>53</v>
      </c>
      <c r="M2674" t="s">
        <v>53</v>
      </c>
      <c r="N2674" t="s">
        <v>53</v>
      </c>
      <c r="O2674" t="s">
        <v>53</v>
      </c>
      <c r="P2674" t="s">
        <v>53</v>
      </c>
      <c r="Q2674" t="s">
        <v>53</v>
      </c>
    </row>
    <row r="2675" spans="1:17" x14ac:dyDescent="0.2">
      <c r="A2675" s="30" t="str">
        <f>IF(C2675&amp;G2675&amp;D2675&lt;&gt;'Funnel setup'!$K$3&amp;'Funnel setup'!$K$4&amp;'Funnel setup'!$K$5,".",IF(A2674=".",1,A2674+1))</f>
        <v>.</v>
      </c>
      <c r="B2675" s="431" t="str">
        <f t="shared" si="41"/>
        <v>Hip Replacement RevisionCCG of GP PracticeNHS AIREDALE, WHARFEDALE AND CRAVEN CCG (02N)EQ-5D Index</v>
      </c>
      <c r="C2675" t="s">
        <v>247</v>
      </c>
      <c r="D2675" t="s">
        <v>87</v>
      </c>
      <c r="E2675" t="s">
        <v>566</v>
      </c>
      <c r="F2675" t="s">
        <v>567</v>
      </c>
      <c r="G2675" t="s">
        <v>52</v>
      </c>
      <c r="H2675">
        <v>11</v>
      </c>
      <c r="I2675">
        <v>0.34300000000000003</v>
      </c>
      <c r="J2675">
        <v>0.70099999999999996</v>
      </c>
      <c r="K2675">
        <v>0.35799999999999998</v>
      </c>
      <c r="L2675">
        <v>7</v>
      </c>
      <c r="M2675">
        <v>1</v>
      </c>
      <c r="N2675">
        <v>3</v>
      </c>
      <c r="O2675" t="s">
        <v>53</v>
      </c>
      <c r="P2675" t="s">
        <v>53</v>
      </c>
      <c r="Q2675" t="s">
        <v>53</v>
      </c>
    </row>
    <row r="2676" spans="1:17" x14ac:dyDescent="0.2">
      <c r="A2676" s="30" t="str">
        <f>IF(C2676&amp;G2676&amp;D2676&lt;&gt;'Funnel setup'!$K$3&amp;'Funnel setup'!$K$4&amp;'Funnel setup'!$K$5,".",IF(A2675=".",1,A2675+1))</f>
        <v>.</v>
      </c>
      <c r="B2676" s="431" t="str">
        <f t="shared" si="41"/>
        <v>Hip Replacement RevisionCCG of GP PracticeNHS ASHFORD CCG (09C)EQ-5D Index</v>
      </c>
      <c r="C2676" t="s">
        <v>247</v>
      </c>
      <c r="D2676" t="s">
        <v>87</v>
      </c>
      <c r="E2676" t="s">
        <v>569</v>
      </c>
      <c r="F2676" t="s">
        <v>339</v>
      </c>
      <c r="G2676" t="s">
        <v>52</v>
      </c>
      <c r="H2676">
        <v>10</v>
      </c>
      <c r="I2676">
        <v>0.32500000000000001</v>
      </c>
      <c r="J2676">
        <v>0.72099999999999997</v>
      </c>
      <c r="K2676">
        <v>0.39600000000000002</v>
      </c>
      <c r="L2676">
        <v>9</v>
      </c>
      <c r="M2676">
        <v>0</v>
      </c>
      <c r="N2676">
        <v>1</v>
      </c>
      <c r="O2676" t="s">
        <v>53</v>
      </c>
      <c r="P2676" t="s">
        <v>53</v>
      </c>
      <c r="Q2676" t="s">
        <v>53</v>
      </c>
    </row>
    <row r="2677" spans="1:17" x14ac:dyDescent="0.2">
      <c r="A2677" s="30" t="str">
        <f>IF(C2677&amp;G2677&amp;D2677&lt;&gt;'Funnel setup'!$K$3&amp;'Funnel setup'!$K$4&amp;'Funnel setup'!$K$5,".",IF(A2676=".",1,A2676+1))</f>
        <v>.</v>
      </c>
      <c r="B2677" s="431" t="str">
        <f t="shared" si="41"/>
        <v>Hip Replacement RevisionCCG of GP PracticeNHS AYLESBURY VALE CCG (10Y)EQ-5D Index</v>
      </c>
      <c r="C2677" t="s">
        <v>247</v>
      </c>
      <c r="D2677" t="s">
        <v>87</v>
      </c>
      <c r="E2677" t="s">
        <v>571</v>
      </c>
      <c r="F2677" t="s">
        <v>572</v>
      </c>
      <c r="G2677" t="s">
        <v>52</v>
      </c>
      <c r="H2677">
        <v>7</v>
      </c>
      <c r="I2677">
        <v>0.54100000000000004</v>
      </c>
      <c r="J2677">
        <v>0.82699999999999996</v>
      </c>
      <c r="K2677">
        <v>0.28599999999999998</v>
      </c>
      <c r="L2677">
        <v>6</v>
      </c>
      <c r="M2677">
        <v>1</v>
      </c>
      <c r="N2677">
        <v>0</v>
      </c>
      <c r="O2677" t="s">
        <v>53</v>
      </c>
      <c r="P2677" t="s">
        <v>53</v>
      </c>
      <c r="Q2677" t="s">
        <v>53</v>
      </c>
    </row>
    <row r="2678" spans="1:17" x14ac:dyDescent="0.2">
      <c r="A2678" s="30" t="str">
        <f>IF(C2678&amp;G2678&amp;D2678&lt;&gt;'Funnel setup'!$K$3&amp;'Funnel setup'!$K$4&amp;'Funnel setup'!$K$5,".",IF(A2677=".",1,A2677+1))</f>
        <v>.</v>
      </c>
      <c r="B2678" s="431" t="str">
        <f t="shared" si="41"/>
        <v>Hip Replacement RevisionCCG of GP PracticeNHS BARKING AND DAGENHAM CCG (07L)EQ-5D Index</v>
      </c>
      <c r="C2678" t="s">
        <v>247</v>
      </c>
      <c r="D2678" t="s">
        <v>87</v>
      </c>
      <c r="E2678" t="s">
        <v>574</v>
      </c>
      <c r="F2678" t="s">
        <v>575</v>
      </c>
      <c r="G2678" t="s">
        <v>52</v>
      </c>
      <c r="H2678" t="s">
        <v>53</v>
      </c>
      <c r="I2678" t="s">
        <v>53</v>
      </c>
      <c r="J2678" t="s">
        <v>53</v>
      </c>
      <c r="K2678" t="s">
        <v>53</v>
      </c>
      <c r="L2678" t="s">
        <v>53</v>
      </c>
      <c r="M2678" t="s">
        <v>53</v>
      </c>
      <c r="N2678" t="s">
        <v>53</v>
      </c>
      <c r="O2678" t="s">
        <v>53</v>
      </c>
      <c r="P2678" t="s">
        <v>53</v>
      </c>
      <c r="Q2678" t="s">
        <v>53</v>
      </c>
    </row>
    <row r="2679" spans="1:17" x14ac:dyDescent="0.2">
      <c r="A2679" s="30" t="str">
        <f>IF(C2679&amp;G2679&amp;D2679&lt;&gt;'Funnel setup'!$K$3&amp;'Funnel setup'!$K$4&amp;'Funnel setup'!$K$5,".",IF(A2678=".",1,A2678+1))</f>
        <v>.</v>
      </c>
      <c r="B2679" s="431" t="str">
        <f t="shared" si="41"/>
        <v>Hip Replacement RevisionCCG of GP PracticeNHS BARNET CCG (07M)EQ-5D Index</v>
      </c>
      <c r="C2679" t="s">
        <v>247</v>
      </c>
      <c r="D2679" t="s">
        <v>87</v>
      </c>
      <c r="E2679" t="s">
        <v>577</v>
      </c>
      <c r="F2679" t="s">
        <v>578</v>
      </c>
      <c r="G2679" t="s">
        <v>52</v>
      </c>
      <c r="H2679" t="s">
        <v>53</v>
      </c>
      <c r="I2679" t="s">
        <v>53</v>
      </c>
      <c r="J2679" t="s">
        <v>53</v>
      </c>
      <c r="K2679" t="s">
        <v>53</v>
      </c>
      <c r="L2679" t="s">
        <v>53</v>
      </c>
      <c r="M2679" t="s">
        <v>53</v>
      </c>
      <c r="N2679" t="s">
        <v>53</v>
      </c>
      <c r="O2679" t="s">
        <v>53</v>
      </c>
      <c r="P2679" t="s">
        <v>53</v>
      </c>
      <c r="Q2679" t="s">
        <v>53</v>
      </c>
    </row>
    <row r="2680" spans="1:17" x14ac:dyDescent="0.2">
      <c r="A2680" s="30" t="str">
        <f>IF(C2680&amp;G2680&amp;D2680&lt;&gt;'Funnel setup'!$K$3&amp;'Funnel setup'!$K$4&amp;'Funnel setup'!$K$5,".",IF(A2679=".",1,A2679+1))</f>
        <v>.</v>
      </c>
      <c r="B2680" s="431" t="str">
        <f t="shared" si="41"/>
        <v>Hip Replacement RevisionCCG of GP PracticeNHS BARNSLEY CCG (02P)EQ-5D Index</v>
      </c>
      <c r="C2680" t="s">
        <v>247</v>
      </c>
      <c r="D2680" t="s">
        <v>87</v>
      </c>
      <c r="E2680" t="s">
        <v>580</v>
      </c>
      <c r="F2680" t="s">
        <v>581</v>
      </c>
      <c r="G2680" t="s">
        <v>52</v>
      </c>
      <c r="H2680">
        <v>8</v>
      </c>
      <c r="I2680">
        <v>0.29499999999999998</v>
      </c>
      <c r="J2680">
        <v>0.38700000000000001</v>
      </c>
      <c r="K2680">
        <v>9.1999999999999998E-2</v>
      </c>
      <c r="L2680">
        <v>3</v>
      </c>
      <c r="M2680">
        <v>1</v>
      </c>
      <c r="N2680">
        <v>4</v>
      </c>
      <c r="O2680" t="s">
        <v>53</v>
      </c>
      <c r="P2680" t="s">
        <v>53</v>
      </c>
      <c r="Q2680" t="s">
        <v>53</v>
      </c>
    </row>
    <row r="2681" spans="1:17" x14ac:dyDescent="0.2">
      <c r="A2681" s="30" t="str">
        <f>IF(C2681&amp;G2681&amp;D2681&lt;&gt;'Funnel setup'!$K$3&amp;'Funnel setup'!$K$4&amp;'Funnel setup'!$K$5,".",IF(A2680=".",1,A2680+1))</f>
        <v>.</v>
      </c>
      <c r="B2681" s="431" t="str">
        <f t="shared" si="41"/>
        <v>Hip Replacement RevisionCCG of GP PracticeNHS BASILDON AND BRENTWOOD CCG (99E)EQ-5D Index</v>
      </c>
      <c r="C2681" t="s">
        <v>247</v>
      </c>
      <c r="D2681" t="s">
        <v>87</v>
      </c>
      <c r="E2681" t="s">
        <v>583</v>
      </c>
      <c r="F2681" t="s">
        <v>584</v>
      </c>
      <c r="G2681" t="s">
        <v>52</v>
      </c>
      <c r="H2681">
        <v>9</v>
      </c>
      <c r="I2681">
        <v>0.38700000000000001</v>
      </c>
      <c r="J2681">
        <v>0.68200000000000005</v>
      </c>
      <c r="K2681">
        <v>0.29499999999999998</v>
      </c>
      <c r="L2681">
        <v>6</v>
      </c>
      <c r="M2681">
        <v>2</v>
      </c>
      <c r="N2681">
        <v>1</v>
      </c>
      <c r="O2681" t="s">
        <v>53</v>
      </c>
      <c r="P2681" t="s">
        <v>53</v>
      </c>
      <c r="Q2681" t="s">
        <v>53</v>
      </c>
    </row>
    <row r="2682" spans="1:17" x14ac:dyDescent="0.2">
      <c r="A2682" s="30" t="str">
        <f>IF(C2682&amp;G2682&amp;D2682&lt;&gt;'Funnel setup'!$K$3&amp;'Funnel setup'!$K$4&amp;'Funnel setup'!$K$5,".",IF(A2681=".",1,A2681+1))</f>
        <v>.</v>
      </c>
      <c r="B2682" s="431" t="str">
        <f t="shared" si="41"/>
        <v>Hip Replacement RevisionCCG of GP PracticeNHS BASSETLAW CCG (02Q)EQ-5D Index</v>
      </c>
      <c r="C2682" t="s">
        <v>247</v>
      </c>
      <c r="D2682" t="s">
        <v>87</v>
      </c>
      <c r="E2682" t="s">
        <v>586</v>
      </c>
      <c r="F2682" t="s">
        <v>587</v>
      </c>
      <c r="G2682" t="s">
        <v>52</v>
      </c>
      <c r="H2682" t="s">
        <v>53</v>
      </c>
      <c r="I2682" t="s">
        <v>53</v>
      </c>
      <c r="J2682" t="s">
        <v>53</v>
      </c>
      <c r="K2682" t="s">
        <v>53</v>
      </c>
      <c r="L2682" t="s">
        <v>53</v>
      </c>
      <c r="M2682" t="s">
        <v>53</v>
      </c>
      <c r="N2682" t="s">
        <v>53</v>
      </c>
      <c r="O2682" t="s">
        <v>53</v>
      </c>
      <c r="P2682" t="s">
        <v>53</v>
      </c>
      <c r="Q2682" t="s">
        <v>53</v>
      </c>
    </row>
    <row r="2683" spans="1:17" x14ac:dyDescent="0.2">
      <c r="A2683" s="30" t="str">
        <f>IF(C2683&amp;G2683&amp;D2683&lt;&gt;'Funnel setup'!$K$3&amp;'Funnel setup'!$K$4&amp;'Funnel setup'!$K$5,".",IF(A2682=".",1,A2682+1))</f>
        <v>.</v>
      </c>
      <c r="B2683" s="431" t="str">
        <f t="shared" si="41"/>
        <v>Hip Replacement RevisionCCG of GP PracticeNHS BATH AND NORTH EAST SOMERSET CCG (11E)EQ-5D Index</v>
      </c>
      <c r="C2683" t="s">
        <v>247</v>
      </c>
      <c r="D2683" t="s">
        <v>87</v>
      </c>
      <c r="E2683" t="s">
        <v>589</v>
      </c>
      <c r="F2683" t="s">
        <v>590</v>
      </c>
      <c r="G2683" t="s">
        <v>52</v>
      </c>
      <c r="H2683">
        <v>20</v>
      </c>
      <c r="I2683">
        <v>0.53400000000000003</v>
      </c>
      <c r="J2683">
        <v>0.73099999999999998</v>
      </c>
      <c r="K2683">
        <v>0.19800000000000001</v>
      </c>
      <c r="L2683">
        <v>9</v>
      </c>
      <c r="M2683">
        <v>8</v>
      </c>
      <c r="N2683">
        <v>3</v>
      </c>
      <c r="O2683" t="s">
        <v>53</v>
      </c>
      <c r="P2683" t="s">
        <v>53</v>
      </c>
      <c r="Q2683" t="s">
        <v>53</v>
      </c>
    </row>
    <row r="2684" spans="1:17" x14ac:dyDescent="0.2">
      <c r="A2684" s="30" t="str">
        <f>IF(C2684&amp;G2684&amp;D2684&lt;&gt;'Funnel setup'!$K$3&amp;'Funnel setup'!$K$4&amp;'Funnel setup'!$K$5,".",IF(A2683=".",1,A2683+1))</f>
        <v>.</v>
      </c>
      <c r="B2684" s="431" t="str">
        <f t="shared" si="41"/>
        <v>Hip Replacement RevisionCCG of GP PracticeNHS BEDFORDSHIRE CCG (06F)EQ-5D Index</v>
      </c>
      <c r="C2684" t="s">
        <v>247</v>
      </c>
      <c r="D2684" t="s">
        <v>87</v>
      </c>
      <c r="E2684" t="s">
        <v>592</v>
      </c>
      <c r="F2684" t="s">
        <v>593</v>
      </c>
      <c r="G2684" t="s">
        <v>52</v>
      </c>
      <c r="H2684">
        <v>16</v>
      </c>
      <c r="I2684">
        <v>0.34699999999999998</v>
      </c>
      <c r="J2684">
        <v>0.66500000000000004</v>
      </c>
      <c r="K2684">
        <v>0.318</v>
      </c>
      <c r="L2684">
        <v>12</v>
      </c>
      <c r="M2684">
        <v>4</v>
      </c>
      <c r="N2684">
        <v>0</v>
      </c>
      <c r="O2684" t="s">
        <v>53</v>
      </c>
      <c r="P2684" t="s">
        <v>53</v>
      </c>
      <c r="Q2684" t="s">
        <v>53</v>
      </c>
    </row>
    <row r="2685" spans="1:17" x14ac:dyDescent="0.2">
      <c r="A2685" s="30" t="str">
        <f>IF(C2685&amp;G2685&amp;D2685&lt;&gt;'Funnel setup'!$K$3&amp;'Funnel setup'!$K$4&amp;'Funnel setup'!$K$5,".",IF(A2684=".",1,A2684+1))</f>
        <v>.</v>
      </c>
      <c r="B2685" s="431" t="str">
        <f t="shared" si="41"/>
        <v>Hip Replacement RevisionCCG of GP PracticeNHS BEXLEY CCG (07N)EQ-5D Index</v>
      </c>
      <c r="C2685" t="s">
        <v>247</v>
      </c>
      <c r="D2685" t="s">
        <v>87</v>
      </c>
      <c r="E2685" t="s">
        <v>595</v>
      </c>
      <c r="F2685" t="s">
        <v>596</v>
      </c>
      <c r="G2685" t="s">
        <v>52</v>
      </c>
      <c r="H2685" t="s">
        <v>53</v>
      </c>
      <c r="I2685" t="s">
        <v>53</v>
      </c>
      <c r="J2685" t="s">
        <v>53</v>
      </c>
      <c r="K2685" t="s">
        <v>53</v>
      </c>
      <c r="L2685" t="s">
        <v>53</v>
      </c>
      <c r="M2685" t="s">
        <v>53</v>
      </c>
      <c r="N2685" t="s">
        <v>53</v>
      </c>
      <c r="O2685" t="s">
        <v>53</v>
      </c>
      <c r="P2685" t="s">
        <v>53</v>
      </c>
      <c r="Q2685" t="s">
        <v>53</v>
      </c>
    </row>
    <row r="2686" spans="1:17" x14ac:dyDescent="0.2">
      <c r="A2686" s="30" t="str">
        <f>IF(C2686&amp;G2686&amp;D2686&lt;&gt;'Funnel setup'!$K$3&amp;'Funnel setup'!$K$4&amp;'Funnel setup'!$K$5,".",IF(A2685=".",1,A2685+1))</f>
        <v>.</v>
      </c>
      <c r="B2686" s="431" t="str">
        <f t="shared" si="41"/>
        <v>Hip Replacement RevisionCCG of GP PracticeNHS BIRMINGHAM CROSSCITY CCG (13P)EQ-5D Index</v>
      </c>
      <c r="C2686" t="s">
        <v>247</v>
      </c>
      <c r="D2686" t="s">
        <v>87</v>
      </c>
      <c r="E2686" t="s">
        <v>598</v>
      </c>
      <c r="F2686" t="s">
        <v>599</v>
      </c>
      <c r="G2686" t="s">
        <v>52</v>
      </c>
      <c r="H2686">
        <v>30</v>
      </c>
      <c r="I2686">
        <v>0.36799999999999999</v>
      </c>
      <c r="J2686">
        <v>0.65400000000000003</v>
      </c>
      <c r="K2686">
        <v>0.28699999999999998</v>
      </c>
      <c r="L2686">
        <v>22</v>
      </c>
      <c r="M2686">
        <v>1</v>
      </c>
      <c r="N2686">
        <v>7</v>
      </c>
      <c r="O2686">
        <v>0.67400000000000004</v>
      </c>
      <c r="P2686">
        <v>0.27502773899999999</v>
      </c>
      <c r="Q2686">
        <v>0.17499999999999999</v>
      </c>
    </row>
    <row r="2687" spans="1:17" x14ac:dyDescent="0.2">
      <c r="A2687" s="30" t="str">
        <f>IF(C2687&amp;G2687&amp;D2687&lt;&gt;'Funnel setup'!$K$3&amp;'Funnel setup'!$K$4&amp;'Funnel setup'!$K$5,".",IF(A2686=".",1,A2686+1))</f>
        <v>.</v>
      </c>
      <c r="B2687" s="431" t="str">
        <f t="shared" si="41"/>
        <v>Hip Replacement RevisionCCG of GP PracticeNHS BIRMINGHAM SOUTH AND CENTRAL CCG (04X)EQ-5D Index</v>
      </c>
      <c r="C2687" t="s">
        <v>247</v>
      </c>
      <c r="D2687" t="s">
        <v>87</v>
      </c>
      <c r="E2687" t="s">
        <v>601</v>
      </c>
      <c r="F2687" t="s">
        <v>602</v>
      </c>
      <c r="G2687" t="s">
        <v>52</v>
      </c>
      <c r="H2687">
        <v>6</v>
      </c>
      <c r="I2687">
        <v>0.39500000000000002</v>
      </c>
      <c r="J2687">
        <v>0.69899999999999995</v>
      </c>
      <c r="K2687">
        <v>0.30399999999999999</v>
      </c>
      <c r="L2687">
        <v>4</v>
      </c>
      <c r="M2687">
        <v>1</v>
      </c>
      <c r="N2687">
        <v>1</v>
      </c>
      <c r="O2687" t="s">
        <v>53</v>
      </c>
      <c r="P2687" t="s">
        <v>53</v>
      </c>
      <c r="Q2687" t="s">
        <v>53</v>
      </c>
    </row>
    <row r="2688" spans="1:17" x14ac:dyDescent="0.2">
      <c r="A2688" s="30" t="str">
        <f>IF(C2688&amp;G2688&amp;D2688&lt;&gt;'Funnel setup'!$K$3&amp;'Funnel setup'!$K$4&amp;'Funnel setup'!$K$5,".",IF(A2687=".",1,A2687+1))</f>
        <v>.</v>
      </c>
      <c r="B2688" s="431" t="str">
        <f t="shared" si="41"/>
        <v>Hip Replacement RevisionCCG of GP PracticeNHS BLACKBURN WITH DARWEN CCG (00Q)EQ-5D Index</v>
      </c>
      <c r="C2688" t="s">
        <v>247</v>
      </c>
      <c r="D2688" t="s">
        <v>87</v>
      </c>
      <c r="E2688" t="s">
        <v>604</v>
      </c>
      <c r="F2688" t="s">
        <v>605</v>
      </c>
      <c r="G2688" t="s">
        <v>52</v>
      </c>
      <c r="H2688" t="s">
        <v>53</v>
      </c>
      <c r="I2688" t="s">
        <v>53</v>
      </c>
      <c r="J2688" t="s">
        <v>53</v>
      </c>
      <c r="K2688" t="s">
        <v>53</v>
      </c>
      <c r="L2688" t="s">
        <v>53</v>
      </c>
      <c r="M2688" t="s">
        <v>53</v>
      </c>
      <c r="N2688" t="s">
        <v>53</v>
      </c>
      <c r="O2688" t="s">
        <v>53</v>
      </c>
      <c r="P2688" t="s">
        <v>53</v>
      </c>
      <c r="Q2688" t="s">
        <v>53</v>
      </c>
    </row>
    <row r="2689" spans="1:17" x14ac:dyDescent="0.2">
      <c r="A2689" s="30" t="str">
        <f>IF(C2689&amp;G2689&amp;D2689&lt;&gt;'Funnel setup'!$K$3&amp;'Funnel setup'!$K$4&amp;'Funnel setup'!$K$5,".",IF(A2688=".",1,A2688+1))</f>
        <v>.</v>
      </c>
      <c r="B2689" s="431" t="str">
        <f t="shared" si="41"/>
        <v>Hip Replacement RevisionCCG of GP PracticeNHS BLACKPOOL CCG (00R)EQ-5D Index</v>
      </c>
      <c r="C2689" t="s">
        <v>247</v>
      </c>
      <c r="D2689" t="s">
        <v>87</v>
      </c>
      <c r="E2689" t="s">
        <v>607</v>
      </c>
      <c r="F2689" t="s">
        <v>608</v>
      </c>
      <c r="G2689" t="s">
        <v>52</v>
      </c>
      <c r="H2689" t="s">
        <v>53</v>
      </c>
      <c r="I2689" t="s">
        <v>53</v>
      </c>
      <c r="J2689" t="s">
        <v>53</v>
      </c>
      <c r="K2689" t="s">
        <v>53</v>
      </c>
      <c r="L2689" t="s">
        <v>53</v>
      </c>
      <c r="M2689" t="s">
        <v>53</v>
      </c>
      <c r="N2689" t="s">
        <v>53</v>
      </c>
      <c r="O2689" t="s">
        <v>53</v>
      </c>
      <c r="P2689" t="s">
        <v>53</v>
      </c>
      <c r="Q2689" t="s">
        <v>53</v>
      </c>
    </row>
    <row r="2690" spans="1:17" x14ac:dyDescent="0.2">
      <c r="A2690" s="30" t="str">
        <f>IF(C2690&amp;G2690&amp;D2690&lt;&gt;'Funnel setup'!$K$3&amp;'Funnel setup'!$K$4&amp;'Funnel setup'!$K$5,".",IF(A2689=".",1,A2689+1))</f>
        <v>.</v>
      </c>
      <c r="B2690" s="431" t="str">
        <f t="shared" si="41"/>
        <v>Hip Replacement RevisionCCG of GP PracticeNHS BOLTON CCG (00T)EQ-5D Index</v>
      </c>
      <c r="C2690" t="s">
        <v>247</v>
      </c>
      <c r="D2690" t="s">
        <v>87</v>
      </c>
      <c r="E2690" t="s">
        <v>683</v>
      </c>
      <c r="F2690" t="s">
        <v>684</v>
      </c>
      <c r="G2690" t="s">
        <v>52</v>
      </c>
      <c r="H2690" t="s">
        <v>53</v>
      </c>
      <c r="I2690" t="s">
        <v>53</v>
      </c>
      <c r="J2690" t="s">
        <v>53</v>
      </c>
      <c r="K2690" t="s">
        <v>53</v>
      </c>
      <c r="L2690" t="s">
        <v>53</v>
      </c>
      <c r="M2690" t="s">
        <v>53</v>
      </c>
      <c r="N2690" t="s">
        <v>53</v>
      </c>
      <c r="O2690" t="s">
        <v>53</v>
      </c>
      <c r="P2690" t="s">
        <v>53</v>
      </c>
      <c r="Q2690" t="s">
        <v>53</v>
      </c>
    </row>
    <row r="2691" spans="1:17" x14ac:dyDescent="0.2">
      <c r="A2691" s="30" t="str">
        <f>IF(C2691&amp;G2691&amp;D2691&lt;&gt;'Funnel setup'!$K$3&amp;'Funnel setup'!$K$4&amp;'Funnel setup'!$K$5,".",IF(A2690=".",1,A2690+1))</f>
        <v>.</v>
      </c>
      <c r="B2691" s="431" t="str">
        <f t="shared" ref="B2691:B2754" si="42">C2691&amp;D2691&amp;F2691&amp;G2691</f>
        <v>Hip Replacement RevisionCCG of GP PracticeNHS BRACKNELL AND ASCOT CCG (10G)EQ-5D Index</v>
      </c>
      <c r="C2691" t="s">
        <v>247</v>
      </c>
      <c r="D2691" t="s">
        <v>87</v>
      </c>
      <c r="E2691" t="s">
        <v>686</v>
      </c>
      <c r="F2691" t="s">
        <v>687</v>
      </c>
      <c r="G2691" t="s">
        <v>52</v>
      </c>
      <c r="H2691" t="s">
        <v>53</v>
      </c>
      <c r="I2691" t="s">
        <v>53</v>
      </c>
      <c r="J2691" t="s">
        <v>53</v>
      </c>
      <c r="K2691" t="s">
        <v>53</v>
      </c>
      <c r="L2691" t="s">
        <v>53</v>
      </c>
      <c r="M2691" t="s">
        <v>53</v>
      </c>
      <c r="N2691" t="s">
        <v>53</v>
      </c>
      <c r="O2691" t="s">
        <v>53</v>
      </c>
      <c r="P2691" t="s">
        <v>53</v>
      </c>
      <c r="Q2691" t="s">
        <v>53</v>
      </c>
    </row>
    <row r="2692" spans="1:17" x14ac:dyDescent="0.2">
      <c r="A2692" s="30" t="str">
        <f>IF(C2692&amp;G2692&amp;D2692&lt;&gt;'Funnel setup'!$K$3&amp;'Funnel setup'!$K$4&amp;'Funnel setup'!$K$5,".",IF(A2691=".",1,A2691+1))</f>
        <v>.</v>
      </c>
      <c r="B2692" s="431" t="str">
        <f t="shared" si="42"/>
        <v>Hip Replacement RevisionCCG of GP PracticeNHS BRADFORD DISTRICTS CCG (02R)EQ-5D Index</v>
      </c>
      <c r="C2692" t="s">
        <v>247</v>
      </c>
      <c r="D2692" t="s">
        <v>87</v>
      </c>
      <c r="E2692" t="s">
        <v>692</v>
      </c>
      <c r="F2692" t="s">
        <v>693</v>
      </c>
      <c r="G2692" t="s">
        <v>52</v>
      </c>
      <c r="H2692">
        <v>10</v>
      </c>
      <c r="I2692">
        <v>0.42599999999999999</v>
      </c>
      <c r="J2692">
        <v>0.80700000000000005</v>
      </c>
      <c r="K2692">
        <v>0.38100000000000001</v>
      </c>
      <c r="L2692">
        <v>9</v>
      </c>
      <c r="M2692">
        <v>1</v>
      </c>
      <c r="N2692">
        <v>0</v>
      </c>
      <c r="O2692" t="s">
        <v>53</v>
      </c>
      <c r="P2692" t="s">
        <v>53</v>
      </c>
      <c r="Q2692" t="s">
        <v>53</v>
      </c>
    </row>
    <row r="2693" spans="1:17" x14ac:dyDescent="0.2">
      <c r="A2693" s="30" t="str">
        <f>IF(C2693&amp;G2693&amp;D2693&lt;&gt;'Funnel setup'!$K$3&amp;'Funnel setup'!$K$4&amp;'Funnel setup'!$K$5,".",IF(A2692=".",1,A2692+1))</f>
        <v>.</v>
      </c>
      <c r="B2693" s="431" t="str">
        <f t="shared" si="42"/>
        <v>Hip Replacement RevisionCCG of GP PracticeNHS BRENT CCG (07P)EQ-5D Index</v>
      </c>
      <c r="C2693" t="s">
        <v>247</v>
      </c>
      <c r="D2693" t="s">
        <v>87</v>
      </c>
      <c r="E2693" t="s">
        <v>695</v>
      </c>
      <c r="F2693" t="s">
        <v>696</v>
      </c>
      <c r="G2693" t="s">
        <v>52</v>
      </c>
      <c r="H2693" t="s">
        <v>53</v>
      </c>
      <c r="I2693" t="s">
        <v>53</v>
      </c>
      <c r="J2693" t="s">
        <v>53</v>
      </c>
      <c r="K2693" t="s">
        <v>53</v>
      </c>
      <c r="L2693" t="s">
        <v>53</v>
      </c>
      <c r="M2693" t="s">
        <v>53</v>
      </c>
      <c r="N2693" t="s">
        <v>53</v>
      </c>
      <c r="O2693" t="s">
        <v>53</v>
      </c>
      <c r="P2693" t="s">
        <v>53</v>
      </c>
      <c r="Q2693" t="s">
        <v>53</v>
      </c>
    </row>
    <row r="2694" spans="1:17" x14ac:dyDescent="0.2">
      <c r="A2694" s="30" t="str">
        <f>IF(C2694&amp;G2694&amp;D2694&lt;&gt;'Funnel setup'!$K$3&amp;'Funnel setup'!$K$4&amp;'Funnel setup'!$K$5,".",IF(A2693=".",1,A2693+1))</f>
        <v>.</v>
      </c>
      <c r="B2694" s="431" t="str">
        <f t="shared" si="42"/>
        <v>Hip Replacement RevisionCCG of GP PracticeNHS BRIGHTON AND HOVE CCG (09D)EQ-5D Index</v>
      </c>
      <c r="C2694" t="s">
        <v>247</v>
      </c>
      <c r="D2694" t="s">
        <v>87</v>
      </c>
      <c r="E2694" t="s">
        <v>698</v>
      </c>
      <c r="F2694" t="s">
        <v>699</v>
      </c>
      <c r="G2694" t="s">
        <v>52</v>
      </c>
      <c r="H2694">
        <v>11</v>
      </c>
      <c r="I2694">
        <v>0.34699999999999998</v>
      </c>
      <c r="J2694">
        <v>0.61599999999999999</v>
      </c>
      <c r="K2694">
        <v>0.26900000000000002</v>
      </c>
      <c r="L2694">
        <v>8</v>
      </c>
      <c r="M2694">
        <v>1</v>
      </c>
      <c r="N2694">
        <v>2</v>
      </c>
      <c r="O2694" t="s">
        <v>53</v>
      </c>
      <c r="P2694" t="s">
        <v>53</v>
      </c>
      <c r="Q2694" t="s">
        <v>53</v>
      </c>
    </row>
    <row r="2695" spans="1:17" x14ac:dyDescent="0.2">
      <c r="A2695" s="30" t="str">
        <f>IF(C2695&amp;G2695&amp;D2695&lt;&gt;'Funnel setup'!$K$3&amp;'Funnel setup'!$K$4&amp;'Funnel setup'!$K$5,".",IF(A2694=".",1,A2694+1))</f>
        <v>.</v>
      </c>
      <c r="B2695" s="431" t="str">
        <f t="shared" si="42"/>
        <v>Hip Replacement RevisionCCG of GP PracticeNHS BRISTOL CCG (11H)EQ-5D Index</v>
      </c>
      <c r="C2695" t="s">
        <v>247</v>
      </c>
      <c r="D2695" t="s">
        <v>87</v>
      </c>
      <c r="E2695" t="s">
        <v>701</v>
      </c>
      <c r="F2695" t="s">
        <v>702</v>
      </c>
      <c r="G2695" t="s">
        <v>52</v>
      </c>
      <c r="H2695">
        <v>6</v>
      </c>
      <c r="I2695">
        <v>0.45400000000000001</v>
      </c>
      <c r="J2695">
        <v>0.48299999999999998</v>
      </c>
      <c r="K2695">
        <v>2.9000000000000001E-2</v>
      </c>
      <c r="L2695">
        <v>3</v>
      </c>
      <c r="M2695">
        <v>1</v>
      </c>
      <c r="N2695">
        <v>2</v>
      </c>
      <c r="O2695" t="s">
        <v>53</v>
      </c>
      <c r="P2695" t="s">
        <v>53</v>
      </c>
      <c r="Q2695" t="s">
        <v>53</v>
      </c>
    </row>
    <row r="2696" spans="1:17" x14ac:dyDescent="0.2">
      <c r="A2696" s="30" t="str">
        <f>IF(C2696&amp;G2696&amp;D2696&lt;&gt;'Funnel setup'!$K$3&amp;'Funnel setup'!$K$4&amp;'Funnel setup'!$K$5,".",IF(A2695=".",1,A2695+1))</f>
        <v>.</v>
      </c>
      <c r="B2696" s="431" t="str">
        <f t="shared" si="42"/>
        <v>Hip Replacement RevisionCCG of GP PracticeNHS BROMLEY CCG (07Q)EQ-5D Index</v>
      </c>
      <c r="C2696" t="s">
        <v>247</v>
      </c>
      <c r="D2696" t="s">
        <v>87</v>
      </c>
      <c r="E2696" t="s">
        <v>704</v>
      </c>
      <c r="F2696" t="s">
        <v>705</v>
      </c>
      <c r="G2696" t="s">
        <v>52</v>
      </c>
      <c r="H2696" t="s">
        <v>53</v>
      </c>
      <c r="I2696" t="s">
        <v>53</v>
      </c>
      <c r="J2696" t="s">
        <v>53</v>
      </c>
      <c r="K2696" t="s">
        <v>53</v>
      </c>
      <c r="L2696" t="s">
        <v>53</v>
      </c>
      <c r="M2696" t="s">
        <v>53</v>
      </c>
      <c r="N2696" t="s">
        <v>53</v>
      </c>
      <c r="O2696" t="s">
        <v>53</v>
      </c>
      <c r="P2696" t="s">
        <v>53</v>
      </c>
      <c r="Q2696" t="s">
        <v>53</v>
      </c>
    </row>
    <row r="2697" spans="1:17" x14ac:dyDescent="0.2">
      <c r="A2697" s="30" t="str">
        <f>IF(C2697&amp;G2697&amp;D2697&lt;&gt;'Funnel setup'!$K$3&amp;'Funnel setup'!$K$4&amp;'Funnel setup'!$K$5,".",IF(A2696=".",1,A2696+1))</f>
        <v>.</v>
      </c>
      <c r="B2697" s="431" t="str">
        <f t="shared" si="42"/>
        <v>Hip Replacement RevisionCCG of GP PracticeNHS BURY CCG (00V)EQ-5D Index</v>
      </c>
      <c r="C2697" t="s">
        <v>247</v>
      </c>
      <c r="D2697" t="s">
        <v>87</v>
      </c>
      <c r="E2697" t="s">
        <v>707</v>
      </c>
      <c r="F2697" t="s">
        <v>708</v>
      </c>
      <c r="G2697" t="s">
        <v>52</v>
      </c>
      <c r="H2697" t="s">
        <v>53</v>
      </c>
      <c r="I2697" t="s">
        <v>53</v>
      </c>
      <c r="J2697" t="s">
        <v>53</v>
      </c>
      <c r="K2697" t="s">
        <v>53</v>
      </c>
      <c r="L2697" t="s">
        <v>53</v>
      </c>
      <c r="M2697" t="s">
        <v>53</v>
      </c>
      <c r="N2697" t="s">
        <v>53</v>
      </c>
      <c r="O2697" t="s">
        <v>53</v>
      </c>
      <c r="P2697" t="s">
        <v>53</v>
      </c>
      <c r="Q2697" t="s">
        <v>53</v>
      </c>
    </row>
    <row r="2698" spans="1:17" x14ac:dyDescent="0.2">
      <c r="A2698" s="30" t="str">
        <f>IF(C2698&amp;G2698&amp;D2698&lt;&gt;'Funnel setup'!$K$3&amp;'Funnel setup'!$K$4&amp;'Funnel setup'!$K$5,".",IF(A2697=".",1,A2697+1))</f>
        <v>.</v>
      </c>
      <c r="B2698" s="431" t="str">
        <f t="shared" si="42"/>
        <v>Hip Replacement RevisionCCG of GP PracticeNHS CALDERDALE CCG (02T)EQ-5D Index</v>
      </c>
      <c r="C2698" t="s">
        <v>247</v>
      </c>
      <c r="D2698" t="s">
        <v>87</v>
      </c>
      <c r="E2698" t="s">
        <v>710</v>
      </c>
      <c r="F2698" t="s">
        <v>711</v>
      </c>
      <c r="G2698" t="s">
        <v>52</v>
      </c>
      <c r="H2698">
        <v>13</v>
      </c>
      <c r="I2698">
        <v>0.59299999999999997</v>
      </c>
      <c r="J2698">
        <v>0.77200000000000002</v>
      </c>
      <c r="K2698">
        <v>0.17899999999999999</v>
      </c>
      <c r="L2698">
        <v>9</v>
      </c>
      <c r="M2698">
        <v>2</v>
      </c>
      <c r="N2698">
        <v>2</v>
      </c>
      <c r="O2698" t="s">
        <v>53</v>
      </c>
      <c r="P2698" t="s">
        <v>53</v>
      </c>
      <c r="Q2698" t="s">
        <v>53</v>
      </c>
    </row>
    <row r="2699" spans="1:17" x14ac:dyDescent="0.2">
      <c r="A2699" s="30" t="str">
        <f>IF(C2699&amp;G2699&amp;D2699&lt;&gt;'Funnel setup'!$K$3&amp;'Funnel setup'!$K$4&amp;'Funnel setup'!$K$5,".",IF(A2698=".",1,A2698+1))</f>
        <v>.</v>
      </c>
      <c r="B2699" s="431" t="str">
        <f t="shared" si="42"/>
        <v>Hip Replacement RevisionCCG of GP PracticeNHS CAMBRIDGESHIRE AND PETERBOROUGH CCG (06H)EQ-5D Index</v>
      </c>
      <c r="C2699" t="s">
        <v>247</v>
      </c>
      <c r="D2699" t="s">
        <v>87</v>
      </c>
      <c r="E2699" t="s">
        <v>713</v>
      </c>
      <c r="F2699" t="s">
        <v>714</v>
      </c>
      <c r="G2699" t="s">
        <v>52</v>
      </c>
      <c r="H2699">
        <v>31</v>
      </c>
      <c r="I2699">
        <v>0.41599999999999998</v>
      </c>
      <c r="J2699">
        <v>0.63500000000000001</v>
      </c>
      <c r="K2699">
        <v>0.22</v>
      </c>
      <c r="L2699">
        <v>21</v>
      </c>
      <c r="M2699">
        <v>5</v>
      </c>
      <c r="N2699">
        <v>5</v>
      </c>
      <c r="O2699">
        <v>0.628</v>
      </c>
      <c r="P2699">
        <v>0.22929545600000001</v>
      </c>
      <c r="Q2699">
        <v>0.30099999999999999</v>
      </c>
    </row>
    <row r="2700" spans="1:17" x14ac:dyDescent="0.2">
      <c r="A2700" s="30" t="str">
        <f>IF(C2700&amp;G2700&amp;D2700&lt;&gt;'Funnel setup'!$K$3&amp;'Funnel setup'!$K$4&amp;'Funnel setup'!$K$5,".",IF(A2699=".",1,A2699+1))</f>
        <v>.</v>
      </c>
      <c r="B2700" s="431" t="str">
        <f t="shared" si="42"/>
        <v>Hip Replacement RevisionCCG of GP PracticeNHS CAMDEN CCG (07R)EQ-5D Index</v>
      </c>
      <c r="C2700" t="s">
        <v>247</v>
      </c>
      <c r="D2700" t="s">
        <v>87</v>
      </c>
      <c r="E2700" t="s">
        <v>716</v>
      </c>
      <c r="F2700" t="s">
        <v>717</v>
      </c>
      <c r="G2700" t="s">
        <v>52</v>
      </c>
      <c r="H2700" t="s">
        <v>53</v>
      </c>
      <c r="I2700" t="s">
        <v>53</v>
      </c>
      <c r="J2700" t="s">
        <v>53</v>
      </c>
      <c r="K2700" t="s">
        <v>53</v>
      </c>
      <c r="L2700" t="s">
        <v>53</v>
      </c>
      <c r="M2700" t="s">
        <v>53</v>
      </c>
      <c r="N2700" t="s">
        <v>53</v>
      </c>
      <c r="O2700" t="s">
        <v>53</v>
      </c>
      <c r="P2700" t="s">
        <v>53</v>
      </c>
      <c r="Q2700" t="s">
        <v>53</v>
      </c>
    </row>
    <row r="2701" spans="1:17" x14ac:dyDescent="0.2">
      <c r="A2701" s="30" t="str">
        <f>IF(C2701&amp;G2701&amp;D2701&lt;&gt;'Funnel setup'!$K$3&amp;'Funnel setup'!$K$4&amp;'Funnel setup'!$K$5,".",IF(A2700=".",1,A2700+1))</f>
        <v>.</v>
      </c>
      <c r="B2701" s="431" t="str">
        <f t="shared" si="42"/>
        <v>Hip Replacement RevisionCCG of GP PracticeNHS CANNOCK CHASE CCG (04Y)EQ-5D Index</v>
      </c>
      <c r="C2701" t="s">
        <v>247</v>
      </c>
      <c r="D2701" t="s">
        <v>87</v>
      </c>
      <c r="E2701" t="s">
        <v>719</v>
      </c>
      <c r="F2701" t="s">
        <v>720</v>
      </c>
      <c r="G2701" t="s">
        <v>52</v>
      </c>
      <c r="H2701">
        <v>7</v>
      </c>
      <c r="I2701">
        <v>0.17</v>
      </c>
      <c r="J2701">
        <v>0.57499999999999996</v>
      </c>
      <c r="K2701">
        <v>0.40500000000000003</v>
      </c>
      <c r="L2701">
        <v>5</v>
      </c>
      <c r="M2701">
        <v>0</v>
      </c>
      <c r="N2701">
        <v>2</v>
      </c>
      <c r="O2701" t="s">
        <v>53</v>
      </c>
      <c r="P2701" t="s">
        <v>53</v>
      </c>
      <c r="Q2701" t="s">
        <v>53</v>
      </c>
    </row>
    <row r="2702" spans="1:17" x14ac:dyDescent="0.2">
      <c r="A2702" s="30" t="str">
        <f>IF(C2702&amp;G2702&amp;D2702&lt;&gt;'Funnel setup'!$K$3&amp;'Funnel setup'!$K$4&amp;'Funnel setup'!$K$5,".",IF(A2701=".",1,A2701+1))</f>
        <v>.</v>
      </c>
      <c r="B2702" s="431" t="str">
        <f t="shared" si="42"/>
        <v>Hip Replacement RevisionCCG of GP PracticeNHS CANTERBURY AND COASTAL CCG (09E)EQ-5D Index</v>
      </c>
      <c r="C2702" t="s">
        <v>247</v>
      </c>
      <c r="D2702" t="s">
        <v>87</v>
      </c>
      <c r="E2702" t="s">
        <v>722</v>
      </c>
      <c r="F2702" t="s">
        <v>723</v>
      </c>
      <c r="G2702" t="s">
        <v>52</v>
      </c>
      <c r="H2702">
        <v>11</v>
      </c>
      <c r="I2702">
        <v>0.44700000000000001</v>
      </c>
      <c r="J2702">
        <v>0.76</v>
      </c>
      <c r="K2702">
        <v>0.313</v>
      </c>
      <c r="L2702">
        <v>8</v>
      </c>
      <c r="M2702">
        <v>2</v>
      </c>
      <c r="N2702">
        <v>1</v>
      </c>
      <c r="O2702" t="s">
        <v>53</v>
      </c>
      <c r="P2702" t="s">
        <v>53</v>
      </c>
      <c r="Q2702" t="s">
        <v>53</v>
      </c>
    </row>
    <row r="2703" spans="1:17" x14ac:dyDescent="0.2">
      <c r="A2703" s="30" t="str">
        <f>IF(C2703&amp;G2703&amp;D2703&lt;&gt;'Funnel setup'!$K$3&amp;'Funnel setup'!$K$4&amp;'Funnel setup'!$K$5,".",IF(A2702=".",1,A2702+1))</f>
        <v>.</v>
      </c>
      <c r="B2703" s="431" t="str">
        <f t="shared" si="42"/>
        <v>Hip Replacement RevisionCCG of GP PracticeNHS CASTLE POINT AND ROCHFORD CCG (99F)EQ-5D Index</v>
      </c>
      <c r="C2703" t="s">
        <v>247</v>
      </c>
      <c r="D2703" t="s">
        <v>87</v>
      </c>
      <c r="E2703" t="s">
        <v>725</v>
      </c>
      <c r="F2703" t="s">
        <v>726</v>
      </c>
      <c r="G2703" t="s">
        <v>52</v>
      </c>
      <c r="H2703">
        <v>13</v>
      </c>
      <c r="I2703">
        <v>0.33300000000000002</v>
      </c>
      <c r="J2703">
        <v>0.73299999999999998</v>
      </c>
      <c r="K2703">
        <v>0.4</v>
      </c>
      <c r="L2703">
        <v>11</v>
      </c>
      <c r="M2703">
        <v>1</v>
      </c>
      <c r="N2703">
        <v>1</v>
      </c>
      <c r="O2703" t="s">
        <v>53</v>
      </c>
      <c r="P2703" t="s">
        <v>53</v>
      </c>
      <c r="Q2703" t="s">
        <v>53</v>
      </c>
    </row>
    <row r="2704" spans="1:17" x14ac:dyDescent="0.2">
      <c r="A2704" s="30" t="str">
        <f>IF(C2704&amp;G2704&amp;D2704&lt;&gt;'Funnel setup'!$K$3&amp;'Funnel setup'!$K$4&amp;'Funnel setup'!$K$5,".",IF(A2703=".",1,A2703+1))</f>
        <v>.</v>
      </c>
      <c r="B2704" s="431" t="str">
        <f t="shared" si="42"/>
        <v>Hip Replacement RevisionCCG of GP PracticeNHS CENTRAL LONDON (WESTMINSTER) CCG (09A)EQ-5D Index</v>
      </c>
      <c r="C2704" t="s">
        <v>247</v>
      </c>
      <c r="D2704" t="s">
        <v>87</v>
      </c>
      <c r="E2704" t="s">
        <v>728</v>
      </c>
      <c r="F2704" t="s">
        <v>729</v>
      </c>
      <c r="G2704" t="s">
        <v>52</v>
      </c>
      <c r="H2704" t="s">
        <v>53</v>
      </c>
      <c r="I2704" t="s">
        <v>53</v>
      </c>
      <c r="J2704" t="s">
        <v>53</v>
      </c>
      <c r="K2704" t="s">
        <v>53</v>
      </c>
      <c r="L2704" t="s">
        <v>53</v>
      </c>
      <c r="M2704" t="s">
        <v>53</v>
      </c>
      <c r="N2704" t="s">
        <v>53</v>
      </c>
      <c r="O2704" t="s">
        <v>53</v>
      </c>
      <c r="P2704" t="s">
        <v>53</v>
      </c>
      <c r="Q2704" t="s">
        <v>53</v>
      </c>
    </row>
    <row r="2705" spans="1:17" x14ac:dyDescent="0.2">
      <c r="A2705" s="30" t="str">
        <f>IF(C2705&amp;G2705&amp;D2705&lt;&gt;'Funnel setup'!$K$3&amp;'Funnel setup'!$K$4&amp;'Funnel setup'!$K$5,".",IF(A2704=".",1,A2704+1))</f>
        <v>.</v>
      </c>
      <c r="B2705" s="431" t="str">
        <f t="shared" si="42"/>
        <v>Hip Replacement RevisionCCG of GP PracticeNHS CENTRAL MANCHESTER CCG (00W)EQ-5D Index</v>
      </c>
      <c r="C2705" t="s">
        <v>247</v>
      </c>
      <c r="D2705" t="s">
        <v>87</v>
      </c>
      <c r="E2705" t="s">
        <v>731</v>
      </c>
      <c r="F2705" t="s">
        <v>732</v>
      </c>
      <c r="G2705" t="s">
        <v>52</v>
      </c>
      <c r="H2705" t="s">
        <v>53</v>
      </c>
      <c r="I2705" t="s">
        <v>53</v>
      </c>
      <c r="J2705" t="s">
        <v>53</v>
      </c>
      <c r="K2705" t="s">
        <v>53</v>
      </c>
      <c r="L2705" t="s">
        <v>53</v>
      </c>
      <c r="M2705" t="s">
        <v>53</v>
      </c>
      <c r="N2705" t="s">
        <v>53</v>
      </c>
      <c r="O2705" t="s">
        <v>53</v>
      </c>
      <c r="P2705" t="s">
        <v>53</v>
      </c>
      <c r="Q2705" t="s">
        <v>53</v>
      </c>
    </row>
    <row r="2706" spans="1:17" x14ac:dyDescent="0.2">
      <c r="A2706" s="30" t="str">
        <f>IF(C2706&amp;G2706&amp;D2706&lt;&gt;'Funnel setup'!$K$3&amp;'Funnel setup'!$K$4&amp;'Funnel setup'!$K$5,".",IF(A2705=".",1,A2705+1))</f>
        <v>.</v>
      </c>
      <c r="B2706" s="431" t="str">
        <f t="shared" si="42"/>
        <v>Hip Replacement RevisionCCG of GP PracticeNHS CHILTERN CCG (10H)EQ-5D Index</v>
      </c>
      <c r="C2706" t="s">
        <v>247</v>
      </c>
      <c r="D2706" t="s">
        <v>87</v>
      </c>
      <c r="E2706" t="s">
        <v>734</v>
      </c>
      <c r="F2706" t="s">
        <v>735</v>
      </c>
      <c r="G2706" t="s">
        <v>52</v>
      </c>
      <c r="H2706">
        <v>18</v>
      </c>
      <c r="I2706">
        <v>0.27500000000000002</v>
      </c>
      <c r="J2706">
        <v>0.65</v>
      </c>
      <c r="K2706">
        <v>0.375</v>
      </c>
      <c r="L2706">
        <v>16</v>
      </c>
      <c r="M2706">
        <v>1</v>
      </c>
      <c r="N2706">
        <v>1</v>
      </c>
      <c r="O2706" t="s">
        <v>53</v>
      </c>
      <c r="P2706" t="s">
        <v>53</v>
      </c>
      <c r="Q2706" t="s">
        <v>53</v>
      </c>
    </row>
    <row r="2707" spans="1:17" x14ac:dyDescent="0.2">
      <c r="A2707" s="30" t="str">
        <f>IF(C2707&amp;G2707&amp;D2707&lt;&gt;'Funnel setup'!$K$3&amp;'Funnel setup'!$K$4&amp;'Funnel setup'!$K$5,".",IF(A2706=".",1,A2706+1))</f>
        <v>.</v>
      </c>
      <c r="B2707" s="431" t="str">
        <f t="shared" si="42"/>
        <v>Hip Replacement RevisionCCG of GP PracticeNHS CHORLEY AND SOUTH RIBBLE CCG (00X)EQ-5D Index</v>
      </c>
      <c r="C2707" t="s">
        <v>247</v>
      </c>
      <c r="D2707" t="s">
        <v>87</v>
      </c>
      <c r="E2707" t="s">
        <v>737</v>
      </c>
      <c r="F2707" t="s">
        <v>738</v>
      </c>
      <c r="G2707" t="s">
        <v>52</v>
      </c>
      <c r="H2707">
        <v>8</v>
      </c>
      <c r="I2707">
        <v>0.16300000000000001</v>
      </c>
      <c r="J2707">
        <v>0.61</v>
      </c>
      <c r="K2707">
        <v>0.44700000000000001</v>
      </c>
      <c r="L2707">
        <v>7</v>
      </c>
      <c r="M2707">
        <v>0</v>
      </c>
      <c r="N2707">
        <v>1</v>
      </c>
      <c r="O2707" t="s">
        <v>53</v>
      </c>
      <c r="P2707" t="s">
        <v>53</v>
      </c>
      <c r="Q2707" t="s">
        <v>53</v>
      </c>
    </row>
    <row r="2708" spans="1:17" x14ac:dyDescent="0.2">
      <c r="A2708" s="30" t="str">
        <f>IF(C2708&amp;G2708&amp;D2708&lt;&gt;'Funnel setup'!$K$3&amp;'Funnel setup'!$K$4&amp;'Funnel setup'!$K$5,".",IF(A2707=".",1,A2707+1))</f>
        <v>.</v>
      </c>
      <c r="B2708" s="431" t="str">
        <f t="shared" si="42"/>
        <v>Hip Replacement RevisionCCG of GP PracticeNHS CITY AND HACKNEY CCG (07T)EQ-5D Index</v>
      </c>
      <c r="C2708" t="s">
        <v>247</v>
      </c>
      <c r="D2708" t="s">
        <v>87</v>
      </c>
      <c r="E2708" t="s">
        <v>740</v>
      </c>
      <c r="F2708" t="s">
        <v>741</v>
      </c>
      <c r="G2708" t="s">
        <v>52</v>
      </c>
      <c r="H2708" t="s">
        <v>53</v>
      </c>
      <c r="I2708" t="s">
        <v>53</v>
      </c>
      <c r="J2708" t="s">
        <v>53</v>
      </c>
      <c r="K2708" t="s">
        <v>53</v>
      </c>
      <c r="L2708" t="s">
        <v>53</v>
      </c>
      <c r="M2708" t="s">
        <v>53</v>
      </c>
      <c r="N2708" t="s">
        <v>53</v>
      </c>
      <c r="O2708" t="s">
        <v>53</v>
      </c>
      <c r="P2708" t="s">
        <v>53</v>
      </c>
      <c r="Q2708" t="s">
        <v>53</v>
      </c>
    </row>
    <row r="2709" spans="1:17" x14ac:dyDescent="0.2">
      <c r="A2709" s="30" t="str">
        <f>IF(C2709&amp;G2709&amp;D2709&lt;&gt;'Funnel setup'!$K$3&amp;'Funnel setup'!$K$4&amp;'Funnel setup'!$K$5,".",IF(A2708=".",1,A2708+1))</f>
        <v>.</v>
      </c>
      <c r="B2709" s="431" t="str">
        <f t="shared" si="42"/>
        <v>Hip Replacement RevisionCCG of GP PracticeNHS COASTAL WEST SUSSEX CCG (09G)EQ-5D Index</v>
      </c>
      <c r="C2709" t="s">
        <v>247</v>
      </c>
      <c r="D2709" t="s">
        <v>87</v>
      </c>
      <c r="E2709" t="s">
        <v>743</v>
      </c>
      <c r="F2709" t="s">
        <v>744</v>
      </c>
      <c r="G2709" t="s">
        <v>52</v>
      </c>
      <c r="H2709">
        <v>44</v>
      </c>
      <c r="I2709">
        <v>0.35199999999999998</v>
      </c>
      <c r="J2709">
        <v>0.64300000000000002</v>
      </c>
      <c r="K2709">
        <v>0.29099999999999998</v>
      </c>
      <c r="L2709">
        <v>34</v>
      </c>
      <c r="M2709">
        <v>3</v>
      </c>
      <c r="N2709">
        <v>7</v>
      </c>
      <c r="O2709">
        <v>0.66200000000000003</v>
      </c>
      <c r="P2709">
        <v>0.26309209300000003</v>
      </c>
      <c r="Q2709">
        <v>0.26</v>
      </c>
    </row>
    <row r="2710" spans="1:17" x14ac:dyDescent="0.2">
      <c r="A2710" s="30" t="str">
        <f>IF(C2710&amp;G2710&amp;D2710&lt;&gt;'Funnel setup'!$K$3&amp;'Funnel setup'!$K$4&amp;'Funnel setup'!$K$5,".",IF(A2709=".",1,A2709+1))</f>
        <v>.</v>
      </c>
      <c r="B2710" s="431" t="str">
        <f t="shared" si="42"/>
        <v>Hip Replacement RevisionCCG of GP PracticeNHS CORBY CCG (03V)EQ-5D Index</v>
      </c>
      <c r="C2710" t="s">
        <v>247</v>
      </c>
      <c r="D2710" t="s">
        <v>87</v>
      </c>
      <c r="E2710" t="s">
        <v>746</v>
      </c>
      <c r="F2710" t="s">
        <v>747</v>
      </c>
      <c r="G2710" t="s">
        <v>52</v>
      </c>
      <c r="H2710" t="s">
        <v>53</v>
      </c>
      <c r="I2710" t="s">
        <v>53</v>
      </c>
      <c r="J2710" t="s">
        <v>53</v>
      </c>
      <c r="K2710" t="s">
        <v>53</v>
      </c>
      <c r="L2710" t="s">
        <v>53</v>
      </c>
      <c r="M2710" t="s">
        <v>53</v>
      </c>
      <c r="N2710" t="s">
        <v>53</v>
      </c>
      <c r="O2710" t="s">
        <v>53</v>
      </c>
      <c r="P2710" t="s">
        <v>53</v>
      </c>
      <c r="Q2710" t="s">
        <v>53</v>
      </c>
    </row>
    <row r="2711" spans="1:17" x14ac:dyDescent="0.2">
      <c r="A2711" s="30" t="str">
        <f>IF(C2711&amp;G2711&amp;D2711&lt;&gt;'Funnel setup'!$K$3&amp;'Funnel setup'!$K$4&amp;'Funnel setup'!$K$5,".",IF(A2710=".",1,A2710+1))</f>
        <v>.</v>
      </c>
      <c r="B2711" s="431" t="str">
        <f t="shared" si="42"/>
        <v>Hip Replacement RevisionCCG of GP PracticeNHS COVENTRY AND RUGBY CCG (05A)EQ-5D Index</v>
      </c>
      <c r="C2711" t="s">
        <v>247</v>
      </c>
      <c r="D2711" t="s">
        <v>87</v>
      </c>
      <c r="E2711" t="s">
        <v>749</v>
      </c>
      <c r="F2711" t="s">
        <v>750</v>
      </c>
      <c r="G2711" t="s">
        <v>52</v>
      </c>
      <c r="H2711">
        <v>13</v>
      </c>
      <c r="I2711">
        <v>0.30599999999999999</v>
      </c>
      <c r="J2711">
        <v>0.57799999999999996</v>
      </c>
      <c r="K2711">
        <v>0.27200000000000002</v>
      </c>
      <c r="L2711">
        <v>10</v>
      </c>
      <c r="M2711">
        <v>0</v>
      </c>
      <c r="N2711">
        <v>3</v>
      </c>
      <c r="O2711" t="s">
        <v>53</v>
      </c>
      <c r="P2711" t="s">
        <v>53</v>
      </c>
      <c r="Q2711" t="s">
        <v>53</v>
      </c>
    </row>
    <row r="2712" spans="1:17" x14ac:dyDescent="0.2">
      <c r="A2712" s="30" t="str">
        <f>IF(C2712&amp;G2712&amp;D2712&lt;&gt;'Funnel setup'!$K$3&amp;'Funnel setup'!$K$4&amp;'Funnel setup'!$K$5,".",IF(A2711=".",1,A2711+1))</f>
        <v>.</v>
      </c>
      <c r="B2712" s="431" t="str">
        <f t="shared" si="42"/>
        <v>Hip Replacement RevisionCCG of GP PracticeNHS CRAWLEY CCG (09H)EQ-5D Index</v>
      </c>
      <c r="C2712" t="s">
        <v>247</v>
      </c>
      <c r="D2712" t="s">
        <v>87</v>
      </c>
      <c r="E2712" t="s">
        <v>752</v>
      </c>
      <c r="F2712" t="s">
        <v>753</v>
      </c>
      <c r="G2712" t="s">
        <v>52</v>
      </c>
      <c r="H2712" t="s">
        <v>53</v>
      </c>
      <c r="I2712" t="s">
        <v>53</v>
      </c>
      <c r="J2712" t="s">
        <v>53</v>
      </c>
      <c r="K2712" t="s">
        <v>53</v>
      </c>
      <c r="L2712" t="s">
        <v>53</v>
      </c>
      <c r="M2712" t="s">
        <v>53</v>
      </c>
      <c r="N2712" t="s">
        <v>53</v>
      </c>
      <c r="O2712" t="s">
        <v>53</v>
      </c>
      <c r="P2712" t="s">
        <v>53</v>
      </c>
      <c r="Q2712" t="s">
        <v>53</v>
      </c>
    </row>
    <row r="2713" spans="1:17" x14ac:dyDescent="0.2">
      <c r="A2713" s="30" t="str">
        <f>IF(C2713&amp;G2713&amp;D2713&lt;&gt;'Funnel setup'!$K$3&amp;'Funnel setup'!$K$4&amp;'Funnel setup'!$K$5,".",IF(A2712=".",1,A2712+1))</f>
        <v>.</v>
      </c>
      <c r="B2713" s="431" t="str">
        <f t="shared" si="42"/>
        <v>Hip Replacement RevisionCCG of GP PracticeNHS CROYDON CCG (07V)EQ-5D Index</v>
      </c>
      <c r="C2713" t="s">
        <v>247</v>
      </c>
      <c r="D2713" t="s">
        <v>87</v>
      </c>
      <c r="E2713" t="s">
        <v>755</v>
      </c>
      <c r="F2713" t="s">
        <v>756</v>
      </c>
      <c r="G2713" t="s">
        <v>52</v>
      </c>
      <c r="H2713">
        <v>11</v>
      </c>
      <c r="I2713">
        <v>0.38100000000000001</v>
      </c>
      <c r="J2713">
        <v>0.71199999999999997</v>
      </c>
      <c r="K2713">
        <v>0.33</v>
      </c>
      <c r="L2713">
        <v>8</v>
      </c>
      <c r="M2713">
        <v>3</v>
      </c>
      <c r="N2713">
        <v>0</v>
      </c>
      <c r="O2713" t="s">
        <v>53</v>
      </c>
      <c r="P2713" t="s">
        <v>53</v>
      </c>
      <c r="Q2713" t="s">
        <v>53</v>
      </c>
    </row>
    <row r="2714" spans="1:17" x14ac:dyDescent="0.2">
      <c r="A2714" s="30" t="str">
        <f>IF(C2714&amp;G2714&amp;D2714&lt;&gt;'Funnel setup'!$K$3&amp;'Funnel setup'!$K$4&amp;'Funnel setup'!$K$5,".",IF(A2713=".",1,A2713+1))</f>
        <v>.</v>
      </c>
      <c r="B2714" s="431" t="str">
        <f t="shared" si="42"/>
        <v>Hip Replacement RevisionCCG of GP PracticeNHS CUMBRIA CCG (01H)EQ-5D Index</v>
      </c>
      <c r="C2714" t="s">
        <v>247</v>
      </c>
      <c r="D2714" t="s">
        <v>87</v>
      </c>
      <c r="E2714" t="s">
        <v>758</v>
      </c>
      <c r="F2714" t="s">
        <v>759</v>
      </c>
      <c r="G2714" t="s">
        <v>52</v>
      </c>
      <c r="H2714">
        <v>27</v>
      </c>
      <c r="I2714">
        <v>0.36699999999999999</v>
      </c>
      <c r="J2714">
        <v>0.68200000000000005</v>
      </c>
      <c r="K2714">
        <v>0.316</v>
      </c>
      <c r="L2714">
        <v>20</v>
      </c>
      <c r="M2714">
        <v>5</v>
      </c>
      <c r="N2714">
        <v>2</v>
      </c>
      <c r="O2714" t="s">
        <v>53</v>
      </c>
      <c r="P2714" t="s">
        <v>53</v>
      </c>
      <c r="Q2714" t="s">
        <v>53</v>
      </c>
    </row>
    <row r="2715" spans="1:17" x14ac:dyDescent="0.2">
      <c r="A2715" s="30" t="str">
        <f>IF(C2715&amp;G2715&amp;D2715&lt;&gt;'Funnel setup'!$K$3&amp;'Funnel setup'!$K$4&amp;'Funnel setup'!$K$5,".",IF(A2714=".",1,A2714+1))</f>
        <v>.</v>
      </c>
      <c r="B2715" s="431" t="str">
        <f t="shared" si="42"/>
        <v>Hip Replacement RevisionCCG of GP PracticeNHS DARLINGTON CCG (00C)EQ-5D Index</v>
      </c>
      <c r="C2715" t="s">
        <v>247</v>
      </c>
      <c r="D2715" t="s">
        <v>87</v>
      </c>
      <c r="E2715" t="s">
        <v>761</v>
      </c>
      <c r="F2715" t="s">
        <v>762</v>
      </c>
      <c r="G2715" t="s">
        <v>52</v>
      </c>
      <c r="H2715">
        <v>6</v>
      </c>
      <c r="I2715">
        <v>0.32400000000000001</v>
      </c>
      <c r="J2715">
        <v>0.80600000000000005</v>
      </c>
      <c r="K2715">
        <v>0.48199999999999998</v>
      </c>
      <c r="L2715">
        <v>5</v>
      </c>
      <c r="M2715">
        <v>1</v>
      </c>
      <c r="N2715">
        <v>0</v>
      </c>
      <c r="O2715" t="s">
        <v>53</v>
      </c>
      <c r="P2715" t="s">
        <v>53</v>
      </c>
      <c r="Q2715" t="s">
        <v>53</v>
      </c>
    </row>
    <row r="2716" spans="1:17" x14ac:dyDescent="0.2">
      <c r="A2716" s="30" t="str">
        <f>IF(C2716&amp;G2716&amp;D2716&lt;&gt;'Funnel setup'!$K$3&amp;'Funnel setup'!$K$4&amp;'Funnel setup'!$K$5,".",IF(A2715=".",1,A2715+1))</f>
        <v>.</v>
      </c>
      <c r="B2716" s="431" t="str">
        <f t="shared" si="42"/>
        <v>Hip Replacement RevisionCCG of GP PracticeNHS DARTFORD, GRAVESHAM AND SWANLEY CCG (09J)EQ-5D Index</v>
      </c>
      <c r="C2716" t="s">
        <v>247</v>
      </c>
      <c r="D2716" t="s">
        <v>87</v>
      </c>
      <c r="E2716" t="s">
        <v>764</v>
      </c>
      <c r="F2716" t="s">
        <v>765</v>
      </c>
      <c r="G2716" t="s">
        <v>52</v>
      </c>
      <c r="H2716">
        <v>10</v>
      </c>
      <c r="I2716">
        <v>0.28999999999999998</v>
      </c>
      <c r="J2716">
        <v>0.46300000000000002</v>
      </c>
      <c r="K2716">
        <v>0.17299999999999999</v>
      </c>
      <c r="L2716">
        <v>7</v>
      </c>
      <c r="M2716">
        <v>0</v>
      </c>
      <c r="N2716">
        <v>3</v>
      </c>
      <c r="O2716" t="s">
        <v>53</v>
      </c>
      <c r="P2716" t="s">
        <v>53</v>
      </c>
      <c r="Q2716" t="s">
        <v>53</v>
      </c>
    </row>
    <row r="2717" spans="1:17" x14ac:dyDescent="0.2">
      <c r="A2717" s="30" t="str">
        <f>IF(C2717&amp;G2717&amp;D2717&lt;&gt;'Funnel setup'!$K$3&amp;'Funnel setup'!$K$4&amp;'Funnel setup'!$K$5,".",IF(A2716=".",1,A2716+1))</f>
        <v>.</v>
      </c>
      <c r="B2717" s="431" t="str">
        <f t="shared" si="42"/>
        <v>Hip Replacement RevisionCCG of GP PracticeNHS DONCASTER CCG (02X)EQ-5D Index</v>
      </c>
      <c r="C2717" t="s">
        <v>247</v>
      </c>
      <c r="D2717" t="s">
        <v>87</v>
      </c>
      <c r="E2717" t="s">
        <v>767</v>
      </c>
      <c r="F2717" t="s">
        <v>768</v>
      </c>
      <c r="G2717" t="s">
        <v>52</v>
      </c>
      <c r="H2717">
        <v>21</v>
      </c>
      <c r="I2717">
        <v>0.26200000000000001</v>
      </c>
      <c r="J2717">
        <v>0.62</v>
      </c>
      <c r="K2717">
        <v>0.35799999999999998</v>
      </c>
      <c r="L2717">
        <v>14</v>
      </c>
      <c r="M2717">
        <v>4</v>
      </c>
      <c r="N2717">
        <v>3</v>
      </c>
      <c r="O2717" t="s">
        <v>53</v>
      </c>
      <c r="P2717" t="s">
        <v>53</v>
      </c>
      <c r="Q2717" t="s">
        <v>53</v>
      </c>
    </row>
    <row r="2718" spans="1:17" x14ac:dyDescent="0.2">
      <c r="A2718" s="30" t="str">
        <f>IF(C2718&amp;G2718&amp;D2718&lt;&gt;'Funnel setup'!$K$3&amp;'Funnel setup'!$K$4&amp;'Funnel setup'!$K$5,".",IF(A2717=".",1,A2717+1))</f>
        <v>.</v>
      </c>
      <c r="B2718" s="431" t="str">
        <f t="shared" si="42"/>
        <v>Hip Replacement RevisionCCG of GP PracticeNHS DORSET CCG (11J)EQ-5D Index</v>
      </c>
      <c r="C2718" t="s">
        <v>247</v>
      </c>
      <c r="D2718" t="s">
        <v>87</v>
      </c>
      <c r="E2718" t="s">
        <v>854</v>
      </c>
      <c r="F2718" t="s">
        <v>855</v>
      </c>
      <c r="G2718" t="s">
        <v>52</v>
      </c>
      <c r="H2718">
        <v>19</v>
      </c>
      <c r="I2718">
        <v>0.47599999999999998</v>
      </c>
      <c r="J2718">
        <v>0.65700000000000003</v>
      </c>
      <c r="K2718">
        <v>0.18</v>
      </c>
      <c r="L2718">
        <v>13</v>
      </c>
      <c r="M2718">
        <v>4</v>
      </c>
      <c r="N2718">
        <v>2</v>
      </c>
      <c r="O2718" t="s">
        <v>53</v>
      </c>
      <c r="P2718" t="s">
        <v>53</v>
      </c>
      <c r="Q2718" t="s">
        <v>53</v>
      </c>
    </row>
    <row r="2719" spans="1:17" x14ac:dyDescent="0.2">
      <c r="A2719" s="30" t="str">
        <f>IF(C2719&amp;G2719&amp;D2719&lt;&gt;'Funnel setup'!$K$3&amp;'Funnel setup'!$K$4&amp;'Funnel setup'!$K$5,".",IF(A2718=".",1,A2718+1))</f>
        <v>.</v>
      </c>
      <c r="B2719" s="431" t="str">
        <f t="shared" si="42"/>
        <v>Hip Replacement RevisionCCG of GP PracticeNHS DUDLEY CCG (05C)EQ-5D Index</v>
      </c>
      <c r="C2719" t="s">
        <v>247</v>
      </c>
      <c r="D2719" t="s">
        <v>87</v>
      </c>
      <c r="E2719" t="s">
        <v>857</v>
      </c>
      <c r="F2719" t="s">
        <v>858</v>
      </c>
      <c r="G2719" t="s">
        <v>52</v>
      </c>
      <c r="H2719">
        <v>11</v>
      </c>
      <c r="I2719">
        <v>0.49</v>
      </c>
      <c r="J2719">
        <v>0.69699999999999995</v>
      </c>
      <c r="K2719">
        <v>0.20699999999999999</v>
      </c>
      <c r="L2719">
        <v>7</v>
      </c>
      <c r="M2719">
        <v>1</v>
      </c>
      <c r="N2719">
        <v>3</v>
      </c>
      <c r="O2719" t="s">
        <v>53</v>
      </c>
      <c r="P2719" t="s">
        <v>53</v>
      </c>
      <c r="Q2719" t="s">
        <v>53</v>
      </c>
    </row>
    <row r="2720" spans="1:17" x14ac:dyDescent="0.2">
      <c r="A2720" s="30" t="str">
        <f>IF(C2720&amp;G2720&amp;D2720&lt;&gt;'Funnel setup'!$K$3&amp;'Funnel setup'!$K$4&amp;'Funnel setup'!$K$5,".",IF(A2719=".",1,A2719+1))</f>
        <v>.</v>
      </c>
      <c r="B2720" s="431" t="str">
        <f t="shared" si="42"/>
        <v>Hip Replacement RevisionCCG of GP PracticeNHS DURHAM DALES, EASINGTON AND SEDGEFIELD CCG (00D)EQ-5D Index</v>
      </c>
      <c r="C2720" t="s">
        <v>247</v>
      </c>
      <c r="D2720" t="s">
        <v>87</v>
      </c>
      <c r="E2720" t="s">
        <v>860</v>
      </c>
      <c r="F2720" t="s">
        <v>861</v>
      </c>
      <c r="G2720" t="s">
        <v>52</v>
      </c>
      <c r="H2720">
        <v>9</v>
      </c>
      <c r="I2720">
        <v>0.16400000000000001</v>
      </c>
      <c r="J2720">
        <v>0.70599999999999996</v>
      </c>
      <c r="K2720">
        <v>0.54200000000000004</v>
      </c>
      <c r="L2720">
        <v>9</v>
      </c>
      <c r="M2720">
        <v>0</v>
      </c>
      <c r="N2720">
        <v>0</v>
      </c>
      <c r="O2720" t="s">
        <v>53</v>
      </c>
      <c r="P2720" t="s">
        <v>53</v>
      </c>
      <c r="Q2720" t="s">
        <v>53</v>
      </c>
    </row>
    <row r="2721" spans="1:17" x14ac:dyDescent="0.2">
      <c r="A2721" s="30" t="str">
        <f>IF(C2721&amp;G2721&amp;D2721&lt;&gt;'Funnel setup'!$K$3&amp;'Funnel setup'!$K$4&amp;'Funnel setup'!$K$5,".",IF(A2720=".",1,A2720+1))</f>
        <v>.</v>
      </c>
      <c r="B2721" s="431" t="str">
        <f t="shared" si="42"/>
        <v>Hip Replacement RevisionCCG of GP PracticeNHS EALING CCG (07W)EQ-5D Index</v>
      </c>
      <c r="C2721" t="s">
        <v>247</v>
      </c>
      <c r="D2721" t="s">
        <v>87</v>
      </c>
      <c r="E2721" t="s">
        <v>863</v>
      </c>
      <c r="F2721" t="s">
        <v>864</v>
      </c>
      <c r="G2721" t="s">
        <v>52</v>
      </c>
      <c r="H2721">
        <v>7</v>
      </c>
      <c r="I2721">
        <v>0.28100000000000003</v>
      </c>
      <c r="J2721">
        <v>0.82199999999999995</v>
      </c>
      <c r="K2721">
        <v>0.54200000000000004</v>
      </c>
      <c r="L2721">
        <v>7</v>
      </c>
      <c r="M2721">
        <v>0</v>
      </c>
      <c r="N2721">
        <v>0</v>
      </c>
      <c r="O2721" t="s">
        <v>53</v>
      </c>
      <c r="P2721" t="s">
        <v>53</v>
      </c>
      <c r="Q2721" t="s">
        <v>53</v>
      </c>
    </row>
    <row r="2722" spans="1:17" x14ac:dyDescent="0.2">
      <c r="A2722" s="30" t="str">
        <f>IF(C2722&amp;G2722&amp;D2722&lt;&gt;'Funnel setup'!$K$3&amp;'Funnel setup'!$K$4&amp;'Funnel setup'!$K$5,".",IF(A2721=".",1,A2721+1))</f>
        <v>.</v>
      </c>
      <c r="B2722" s="431" t="str">
        <f t="shared" si="42"/>
        <v>Hip Replacement RevisionCCG of GP PracticeNHS EAST AND NORTH HERTFORDSHIRE CCG (06K)EQ-5D Index</v>
      </c>
      <c r="C2722" t="s">
        <v>247</v>
      </c>
      <c r="D2722" t="s">
        <v>87</v>
      </c>
      <c r="E2722" t="s">
        <v>866</v>
      </c>
      <c r="F2722" t="s">
        <v>867</v>
      </c>
      <c r="G2722" t="s">
        <v>52</v>
      </c>
      <c r="H2722">
        <v>26</v>
      </c>
      <c r="I2722">
        <v>0.36</v>
      </c>
      <c r="J2722">
        <v>0.70199999999999996</v>
      </c>
      <c r="K2722">
        <v>0.34200000000000003</v>
      </c>
      <c r="L2722">
        <v>20</v>
      </c>
      <c r="M2722">
        <v>2</v>
      </c>
      <c r="N2722">
        <v>4</v>
      </c>
      <c r="O2722" t="s">
        <v>53</v>
      </c>
      <c r="P2722" t="s">
        <v>53</v>
      </c>
      <c r="Q2722" t="s">
        <v>53</v>
      </c>
    </row>
    <row r="2723" spans="1:17" x14ac:dyDescent="0.2">
      <c r="A2723" s="30" t="str">
        <f>IF(C2723&amp;G2723&amp;D2723&lt;&gt;'Funnel setup'!$K$3&amp;'Funnel setup'!$K$4&amp;'Funnel setup'!$K$5,".",IF(A2722=".",1,A2722+1))</f>
        <v>.</v>
      </c>
      <c r="B2723" s="431" t="str">
        <f t="shared" si="42"/>
        <v>Hip Replacement RevisionCCG of GP PracticeNHS EAST LANCASHIRE CCG (01A)EQ-5D Index</v>
      </c>
      <c r="C2723" t="s">
        <v>247</v>
      </c>
      <c r="D2723" t="s">
        <v>87</v>
      </c>
      <c r="E2723" t="s">
        <v>869</v>
      </c>
      <c r="F2723" t="s">
        <v>870</v>
      </c>
      <c r="G2723" t="s">
        <v>52</v>
      </c>
      <c r="H2723">
        <v>15</v>
      </c>
      <c r="I2723">
        <v>0.40799999999999997</v>
      </c>
      <c r="J2723">
        <v>0.60699999999999998</v>
      </c>
      <c r="K2723">
        <v>0.19800000000000001</v>
      </c>
      <c r="L2723">
        <v>8</v>
      </c>
      <c r="M2723">
        <v>1</v>
      </c>
      <c r="N2723">
        <v>6</v>
      </c>
      <c r="O2723" t="s">
        <v>53</v>
      </c>
      <c r="P2723" t="s">
        <v>53</v>
      </c>
      <c r="Q2723" t="s">
        <v>53</v>
      </c>
    </row>
    <row r="2724" spans="1:17" x14ac:dyDescent="0.2">
      <c r="A2724" s="30" t="str">
        <f>IF(C2724&amp;G2724&amp;D2724&lt;&gt;'Funnel setup'!$K$3&amp;'Funnel setup'!$K$4&amp;'Funnel setup'!$K$5,".",IF(A2723=".",1,A2723+1))</f>
        <v>.</v>
      </c>
      <c r="B2724" s="431" t="str">
        <f t="shared" si="42"/>
        <v>Hip Replacement RevisionCCG of GP PracticeNHS EAST LEICESTERSHIRE AND RUTLAND CCG (03W)EQ-5D Index</v>
      </c>
      <c r="C2724" t="s">
        <v>247</v>
      </c>
      <c r="D2724" t="s">
        <v>87</v>
      </c>
      <c r="E2724" t="s">
        <v>872</v>
      </c>
      <c r="F2724" t="s">
        <v>873</v>
      </c>
      <c r="G2724" t="s">
        <v>52</v>
      </c>
      <c r="H2724">
        <v>15</v>
      </c>
      <c r="I2724">
        <v>0.36599999999999999</v>
      </c>
      <c r="J2724">
        <v>0.76100000000000001</v>
      </c>
      <c r="K2724">
        <v>0.39500000000000002</v>
      </c>
      <c r="L2724">
        <v>12</v>
      </c>
      <c r="M2724">
        <v>0</v>
      </c>
      <c r="N2724">
        <v>3</v>
      </c>
      <c r="O2724" t="s">
        <v>53</v>
      </c>
      <c r="P2724" t="s">
        <v>53</v>
      </c>
      <c r="Q2724" t="s">
        <v>53</v>
      </c>
    </row>
    <row r="2725" spans="1:17" x14ac:dyDescent="0.2">
      <c r="A2725" s="30" t="str">
        <f>IF(C2725&amp;G2725&amp;D2725&lt;&gt;'Funnel setup'!$K$3&amp;'Funnel setup'!$K$4&amp;'Funnel setup'!$K$5,".",IF(A2724=".",1,A2724+1))</f>
        <v>.</v>
      </c>
      <c r="B2725" s="431" t="str">
        <f t="shared" si="42"/>
        <v>Hip Replacement RevisionCCG of GP PracticeNHS EAST RIDING OF YORKSHIRE CCG (02Y)EQ-5D Index</v>
      </c>
      <c r="C2725" t="s">
        <v>247</v>
      </c>
      <c r="D2725" t="s">
        <v>87</v>
      </c>
      <c r="E2725" t="s">
        <v>875</v>
      </c>
      <c r="F2725" t="s">
        <v>876</v>
      </c>
      <c r="G2725" t="s">
        <v>52</v>
      </c>
      <c r="H2725">
        <v>18</v>
      </c>
      <c r="I2725">
        <v>0.56399999999999995</v>
      </c>
      <c r="J2725">
        <v>0.80500000000000005</v>
      </c>
      <c r="K2725">
        <v>0.24099999999999999</v>
      </c>
      <c r="L2725">
        <v>14</v>
      </c>
      <c r="M2725">
        <v>4</v>
      </c>
      <c r="N2725">
        <v>0</v>
      </c>
      <c r="O2725" t="s">
        <v>53</v>
      </c>
      <c r="P2725" t="s">
        <v>53</v>
      </c>
      <c r="Q2725" t="s">
        <v>53</v>
      </c>
    </row>
    <row r="2726" spans="1:17" x14ac:dyDescent="0.2">
      <c r="A2726" s="30" t="str">
        <f>IF(C2726&amp;G2726&amp;D2726&lt;&gt;'Funnel setup'!$K$3&amp;'Funnel setup'!$K$4&amp;'Funnel setup'!$K$5,".",IF(A2725=".",1,A2725+1))</f>
        <v>.</v>
      </c>
      <c r="B2726" s="431" t="str">
        <f t="shared" si="42"/>
        <v>Hip Replacement RevisionCCG of GP PracticeNHS EAST STAFFORDSHIRE CCG (05D)EQ-5D Index</v>
      </c>
      <c r="C2726" t="s">
        <v>247</v>
      </c>
      <c r="D2726" t="s">
        <v>87</v>
      </c>
      <c r="E2726" t="s">
        <v>878</v>
      </c>
      <c r="F2726" t="s">
        <v>879</v>
      </c>
      <c r="G2726" t="s">
        <v>52</v>
      </c>
      <c r="H2726">
        <v>8</v>
      </c>
      <c r="I2726">
        <v>0.28000000000000003</v>
      </c>
      <c r="J2726">
        <v>0.72099999999999997</v>
      </c>
      <c r="K2726">
        <v>0.441</v>
      </c>
      <c r="L2726">
        <v>6</v>
      </c>
      <c r="M2726">
        <v>1</v>
      </c>
      <c r="N2726">
        <v>1</v>
      </c>
      <c r="O2726" t="s">
        <v>53</v>
      </c>
      <c r="P2726" t="s">
        <v>53</v>
      </c>
      <c r="Q2726" t="s">
        <v>53</v>
      </c>
    </row>
    <row r="2727" spans="1:17" x14ac:dyDescent="0.2">
      <c r="A2727" s="30" t="str">
        <f>IF(C2727&amp;G2727&amp;D2727&lt;&gt;'Funnel setup'!$K$3&amp;'Funnel setup'!$K$4&amp;'Funnel setup'!$K$5,".",IF(A2726=".",1,A2726+1))</f>
        <v>.</v>
      </c>
      <c r="B2727" s="431" t="str">
        <f t="shared" si="42"/>
        <v>Hip Replacement RevisionCCG of GP PracticeNHS EAST SURREY CCG (09L)EQ-5D Index</v>
      </c>
      <c r="C2727" t="s">
        <v>247</v>
      </c>
      <c r="D2727" t="s">
        <v>87</v>
      </c>
      <c r="E2727" t="s">
        <v>881</v>
      </c>
      <c r="F2727" t="s">
        <v>882</v>
      </c>
      <c r="G2727" t="s">
        <v>52</v>
      </c>
      <c r="H2727">
        <v>6</v>
      </c>
      <c r="I2727">
        <v>0.438</v>
      </c>
      <c r="J2727">
        <v>0.52</v>
      </c>
      <c r="K2727">
        <v>8.3000000000000004E-2</v>
      </c>
      <c r="L2727">
        <v>3</v>
      </c>
      <c r="M2727">
        <v>1</v>
      </c>
      <c r="N2727">
        <v>2</v>
      </c>
      <c r="O2727" t="s">
        <v>53</v>
      </c>
      <c r="P2727" t="s">
        <v>53</v>
      </c>
      <c r="Q2727" t="s">
        <v>53</v>
      </c>
    </row>
    <row r="2728" spans="1:17" x14ac:dyDescent="0.2">
      <c r="A2728" s="30" t="str">
        <f>IF(C2728&amp;G2728&amp;D2728&lt;&gt;'Funnel setup'!$K$3&amp;'Funnel setup'!$K$4&amp;'Funnel setup'!$K$5,".",IF(A2727=".",1,A2727+1))</f>
        <v>.</v>
      </c>
      <c r="B2728" s="431" t="str">
        <f t="shared" si="42"/>
        <v>Hip Replacement RevisionCCG of GP PracticeNHS EASTBOURNE, HAILSHAM AND SEAFORD CCG (09F)EQ-5D Index</v>
      </c>
      <c r="C2728" t="s">
        <v>247</v>
      </c>
      <c r="D2728" t="s">
        <v>87</v>
      </c>
      <c r="E2728" t="s">
        <v>884</v>
      </c>
      <c r="F2728" t="s">
        <v>885</v>
      </c>
      <c r="G2728" t="s">
        <v>52</v>
      </c>
      <c r="H2728">
        <v>22</v>
      </c>
      <c r="I2728">
        <v>0.46</v>
      </c>
      <c r="J2728">
        <v>0.71</v>
      </c>
      <c r="K2728">
        <v>0.25</v>
      </c>
      <c r="L2728">
        <v>13</v>
      </c>
      <c r="M2728">
        <v>3</v>
      </c>
      <c r="N2728">
        <v>6</v>
      </c>
      <c r="O2728" t="s">
        <v>53</v>
      </c>
      <c r="P2728" t="s">
        <v>53</v>
      </c>
      <c r="Q2728" t="s">
        <v>53</v>
      </c>
    </row>
    <row r="2729" spans="1:17" x14ac:dyDescent="0.2">
      <c r="A2729" s="30" t="str">
        <f>IF(C2729&amp;G2729&amp;D2729&lt;&gt;'Funnel setup'!$K$3&amp;'Funnel setup'!$K$4&amp;'Funnel setup'!$K$5,".",IF(A2728=".",1,A2728+1))</f>
        <v>.</v>
      </c>
      <c r="B2729" s="431" t="str">
        <f t="shared" si="42"/>
        <v>Hip Replacement RevisionCCG of GP PracticeNHS EASTERN CHESHIRE CCG (01C)EQ-5D Index</v>
      </c>
      <c r="C2729" t="s">
        <v>247</v>
      </c>
      <c r="D2729" t="s">
        <v>87</v>
      </c>
      <c r="E2729" t="s">
        <v>887</v>
      </c>
      <c r="F2729" t="s">
        <v>888</v>
      </c>
      <c r="G2729" t="s">
        <v>52</v>
      </c>
      <c r="H2729">
        <v>6</v>
      </c>
      <c r="I2729">
        <v>0.26800000000000002</v>
      </c>
      <c r="J2729">
        <v>0.64700000000000002</v>
      </c>
      <c r="K2729">
        <v>0.379</v>
      </c>
      <c r="L2729">
        <v>4</v>
      </c>
      <c r="M2729">
        <v>2</v>
      </c>
      <c r="N2729">
        <v>0</v>
      </c>
      <c r="O2729" t="s">
        <v>53</v>
      </c>
      <c r="P2729" t="s">
        <v>53</v>
      </c>
      <c r="Q2729" t="s">
        <v>53</v>
      </c>
    </row>
    <row r="2730" spans="1:17" x14ac:dyDescent="0.2">
      <c r="A2730" s="30" t="str">
        <f>IF(C2730&amp;G2730&amp;D2730&lt;&gt;'Funnel setup'!$K$3&amp;'Funnel setup'!$K$4&amp;'Funnel setup'!$K$5,".",IF(A2729=".",1,A2729+1))</f>
        <v>.</v>
      </c>
      <c r="B2730" s="431" t="str">
        <f t="shared" si="42"/>
        <v>Hip Replacement RevisionCCG of GP PracticeNHS ENFIELD CCG (07X)EQ-5D Index</v>
      </c>
      <c r="C2730" t="s">
        <v>247</v>
      </c>
      <c r="D2730" t="s">
        <v>87</v>
      </c>
      <c r="E2730" t="s">
        <v>890</v>
      </c>
      <c r="F2730" t="s">
        <v>891</v>
      </c>
      <c r="G2730" t="s">
        <v>52</v>
      </c>
      <c r="H2730" t="s">
        <v>53</v>
      </c>
      <c r="I2730" t="s">
        <v>53</v>
      </c>
      <c r="J2730" t="s">
        <v>53</v>
      </c>
      <c r="K2730" t="s">
        <v>53</v>
      </c>
      <c r="L2730" t="s">
        <v>53</v>
      </c>
      <c r="M2730" t="s">
        <v>53</v>
      </c>
      <c r="N2730" t="s">
        <v>53</v>
      </c>
      <c r="O2730" t="s">
        <v>53</v>
      </c>
      <c r="P2730" t="s">
        <v>53</v>
      </c>
      <c r="Q2730" t="s">
        <v>53</v>
      </c>
    </row>
    <row r="2731" spans="1:17" x14ac:dyDescent="0.2">
      <c r="A2731" s="30" t="str">
        <f>IF(C2731&amp;G2731&amp;D2731&lt;&gt;'Funnel setup'!$K$3&amp;'Funnel setup'!$K$4&amp;'Funnel setup'!$K$5,".",IF(A2730=".",1,A2730+1))</f>
        <v>.</v>
      </c>
      <c r="B2731" s="431" t="str">
        <f t="shared" si="42"/>
        <v>Hip Replacement RevisionCCG of GP PracticeNHS EREWASH CCG (03X)EQ-5D Index</v>
      </c>
      <c r="C2731" t="s">
        <v>247</v>
      </c>
      <c r="D2731" t="s">
        <v>87</v>
      </c>
      <c r="E2731" t="s">
        <v>893</v>
      </c>
      <c r="F2731" t="s">
        <v>894</v>
      </c>
      <c r="G2731" t="s">
        <v>52</v>
      </c>
      <c r="H2731">
        <v>6</v>
      </c>
      <c r="I2731">
        <v>0.182</v>
      </c>
      <c r="J2731">
        <v>0.66600000000000004</v>
      </c>
      <c r="K2731">
        <v>0.48499999999999999</v>
      </c>
      <c r="L2731">
        <v>5</v>
      </c>
      <c r="M2731">
        <v>0</v>
      </c>
      <c r="N2731">
        <v>1</v>
      </c>
      <c r="O2731" t="s">
        <v>53</v>
      </c>
      <c r="P2731" t="s">
        <v>53</v>
      </c>
      <c r="Q2731" t="s">
        <v>53</v>
      </c>
    </row>
    <row r="2732" spans="1:17" x14ac:dyDescent="0.2">
      <c r="A2732" s="30" t="str">
        <f>IF(C2732&amp;G2732&amp;D2732&lt;&gt;'Funnel setup'!$K$3&amp;'Funnel setup'!$K$4&amp;'Funnel setup'!$K$5,".",IF(A2731=".",1,A2731+1))</f>
        <v>.</v>
      </c>
      <c r="B2732" s="431" t="str">
        <f t="shared" si="42"/>
        <v>Hip Replacement RevisionCCG of GP PracticeNHS FAREHAM AND GOSPORT CCG (10K)EQ-5D Index</v>
      </c>
      <c r="C2732" t="s">
        <v>247</v>
      </c>
      <c r="D2732" t="s">
        <v>87</v>
      </c>
      <c r="E2732" t="s">
        <v>896</v>
      </c>
      <c r="F2732" t="s">
        <v>897</v>
      </c>
      <c r="G2732" t="s">
        <v>52</v>
      </c>
      <c r="H2732" t="s">
        <v>53</v>
      </c>
      <c r="I2732" t="s">
        <v>53</v>
      </c>
      <c r="J2732" t="s">
        <v>53</v>
      </c>
      <c r="K2732" t="s">
        <v>53</v>
      </c>
      <c r="L2732" t="s">
        <v>53</v>
      </c>
      <c r="M2732" t="s">
        <v>53</v>
      </c>
      <c r="N2732" t="s">
        <v>53</v>
      </c>
      <c r="O2732" t="s">
        <v>53</v>
      </c>
      <c r="P2732" t="s">
        <v>53</v>
      </c>
      <c r="Q2732" t="s">
        <v>53</v>
      </c>
    </row>
    <row r="2733" spans="1:17" x14ac:dyDescent="0.2">
      <c r="A2733" s="30" t="str">
        <f>IF(C2733&amp;G2733&amp;D2733&lt;&gt;'Funnel setup'!$K$3&amp;'Funnel setup'!$K$4&amp;'Funnel setup'!$K$5,".",IF(A2732=".",1,A2732+1))</f>
        <v>.</v>
      </c>
      <c r="B2733" s="431" t="str">
        <f t="shared" si="42"/>
        <v>Hip Replacement RevisionCCG of GP PracticeNHS FYLDE &amp; WYRE CCG (02M)EQ-5D Index</v>
      </c>
      <c r="C2733" t="s">
        <v>247</v>
      </c>
      <c r="D2733" t="s">
        <v>87</v>
      </c>
      <c r="E2733" t="s">
        <v>899</v>
      </c>
      <c r="F2733" t="s">
        <v>900</v>
      </c>
      <c r="G2733" t="s">
        <v>52</v>
      </c>
      <c r="H2733" t="s">
        <v>53</v>
      </c>
      <c r="I2733" t="s">
        <v>53</v>
      </c>
      <c r="J2733" t="s">
        <v>53</v>
      </c>
      <c r="K2733" t="s">
        <v>53</v>
      </c>
      <c r="L2733" t="s">
        <v>53</v>
      </c>
      <c r="M2733" t="s">
        <v>53</v>
      </c>
      <c r="N2733" t="s">
        <v>53</v>
      </c>
      <c r="O2733" t="s">
        <v>53</v>
      </c>
      <c r="P2733" t="s">
        <v>53</v>
      </c>
      <c r="Q2733" t="s">
        <v>53</v>
      </c>
    </row>
    <row r="2734" spans="1:17" x14ac:dyDescent="0.2">
      <c r="A2734" s="30" t="str">
        <f>IF(C2734&amp;G2734&amp;D2734&lt;&gt;'Funnel setup'!$K$3&amp;'Funnel setup'!$K$4&amp;'Funnel setup'!$K$5,".",IF(A2733=".",1,A2733+1))</f>
        <v>.</v>
      </c>
      <c r="B2734" s="431" t="str">
        <f t="shared" si="42"/>
        <v>Hip Replacement RevisionCCG of GP PracticeNHS GLOUCESTERSHIRE CCG (11M)EQ-5D Index</v>
      </c>
      <c r="C2734" t="s">
        <v>247</v>
      </c>
      <c r="D2734" t="s">
        <v>87</v>
      </c>
      <c r="E2734" t="s">
        <v>902</v>
      </c>
      <c r="F2734" t="s">
        <v>903</v>
      </c>
      <c r="G2734" t="s">
        <v>52</v>
      </c>
      <c r="H2734">
        <v>40</v>
      </c>
      <c r="I2734">
        <v>0.42399999999999999</v>
      </c>
      <c r="J2734">
        <v>0.59199999999999997</v>
      </c>
      <c r="K2734">
        <v>0.16800000000000001</v>
      </c>
      <c r="L2734">
        <v>22</v>
      </c>
      <c r="M2734">
        <v>10</v>
      </c>
      <c r="N2734">
        <v>8</v>
      </c>
      <c r="O2734">
        <v>0.59499999999999997</v>
      </c>
      <c r="P2734">
        <v>0.195940911</v>
      </c>
      <c r="Q2734">
        <v>0.26500000000000001</v>
      </c>
    </row>
    <row r="2735" spans="1:17" x14ac:dyDescent="0.2">
      <c r="A2735" s="30" t="str">
        <f>IF(C2735&amp;G2735&amp;D2735&lt;&gt;'Funnel setup'!$K$3&amp;'Funnel setup'!$K$4&amp;'Funnel setup'!$K$5,".",IF(A2734=".",1,A2734+1))</f>
        <v>.</v>
      </c>
      <c r="B2735" s="431" t="str">
        <f t="shared" si="42"/>
        <v>Hip Replacement RevisionCCG of GP PracticeNHS GREAT YARMOUTH AND WAVENEY CCG (06M)EQ-5D Index</v>
      </c>
      <c r="C2735" t="s">
        <v>247</v>
      </c>
      <c r="D2735" t="s">
        <v>87</v>
      </c>
      <c r="E2735" t="s">
        <v>905</v>
      </c>
      <c r="F2735" t="s">
        <v>906</v>
      </c>
      <c r="G2735" t="s">
        <v>52</v>
      </c>
      <c r="H2735">
        <v>10</v>
      </c>
      <c r="I2735">
        <v>0.49399999999999999</v>
      </c>
      <c r="J2735">
        <v>0.745</v>
      </c>
      <c r="K2735">
        <v>0.251</v>
      </c>
      <c r="L2735">
        <v>10</v>
      </c>
      <c r="M2735">
        <v>0</v>
      </c>
      <c r="N2735">
        <v>0</v>
      </c>
      <c r="O2735" t="s">
        <v>53</v>
      </c>
      <c r="P2735" t="s">
        <v>53</v>
      </c>
      <c r="Q2735" t="s">
        <v>53</v>
      </c>
    </row>
    <row r="2736" spans="1:17" x14ac:dyDescent="0.2">
      <c r="A2736" s="30" t="str">
        <f>IF(C2736&amp;G2736&amp;D2736&lt;&gt;'Funnel setup'!$K$3&amp;'Funnel setup'!$K$4&amp;'Funnel setup'!$K$5,".",IF(A2735=".",1,A2735+1))</f>
        <v>.</v>
      </c>
      <c r="B2736" s="431" t="str">
        <f t="shared" si="42"/>
        <v>Hip Replacement RevisionCCG of GP PracticeNHS GREATER HUDDERSFIELD CCG (03A)EQ-5D Index</v>
      </c>
      <c r="C2736" t="s">
        <v>247</v>
      </c>
      <c r="D2736" t="s">
        <v>87</v>
      </c>
      <c r="E2736" t="s">
        <v>908</v>
      </c>
      <c r="F2736" t="s">
        <v>909</v>
      </c>
      <c r="G2736" t="s">
        <v>52</v>
      </c>
      <c r="H2736">
        <v>14</v>
      </c>
      <c r="I2736">
        <v>0.441</v>
      </c>
      <c r="J2736">
        <v>0.81899999999999995</v>
      </c>
      <c r="K2736">
        <v>0.377</v>
      </c>
      <c r="L2736">
        <v>11</v>
      </c>
      <c r="M2736">
        <v>1</v>
      </c>
      <c r="N2736">
        <v>2</v>
      </c>
      <c r="O2736" t="s">
        <v>53</v>
      </c>
      <c r="P2736" t="s">
        <v>53</v>
      </c>
      <c r="Q2736" t="s">
        <v>53</v>
      </c>
    </row>
    <row r="2737" spans="1:17" x14ac:dyDescent="0.2">
      <c r="A2737" s="30" t="str">
        <f>IF(C2737&amp;G2737&amp;D2737&lt;&gt;'Funnel setup'!$K$3&amp;'Funnel setup'!$K$4&amp;'Funnel setup'!$K$5,".",IF(A2736=".",1,A2736+1))</f>
        <v>.</v>
      </c>
      <c r="B2737" s="431" t="str">
        <f t="shared" si="42"/>
        <v>Hip Replacement RevisionCCG of GP PracticeNHS GREATER PRESTON CCG (01E)EQ-5D Index</v>
      </c>
      <c r="C2737" t="s">
        <v>247</v>
      </c>
      <c r="D2737" t="s">
        <v>87</v>
      </c>
      <c r="E2737" t="s">
        <v>486</v>
      </c>
      <c r="F2737" t="s">
        <v>487</v>
      </c>
      <c r="G2737" t="s">
        <v>52</v>
      </c>
      <c r="H2737">
        <v>16</v>
      </c>
      <c r="I2737">
        <v>0.46300000000000002</v>
      </c>
      <c r="J2737">
        <v>0.76500000000000001</v>
      </c>
      <c r="K2737">
        <v>0.30199999999999999</v>
      </c>
      <c r="L2737">
        <v>12</v>
      </c>
      <c r="M2737">
        <v>3</v>
      </c>
      <c r="N2737">
        <v>1</v>
      </c>
      <c r="O2737" t="s">
        <v>53</v>
      </c>
      <c r="P2737" t="s">
        <v>53</v>
      </c>
      <c r="Q2737" t="s">
        <v>53</v>
      </c>
    </row>
    <row r="2738" spans="1:17" x14ac:dyDescent="0.2">
      <c r="A2738" s="30" t="str">
        <f>IF(C2738&amp;G2738&amp;D2738&lt;&gt;'Funnel setup'!$K$3&amp;'Funnel setup'!$K$4&amp;'Funnel setup'!$K$5,".",IF(A2737=".",1,A2737+1))</f>
        <v>.</v>
      </c>
      <c r="B2738" s="431" t="str">
        <f t="shared" si="42"/>
        <v>Hip Replacement RevisionCCG of GP PracticeNHS GREENWICH CCG (08A)EQ-5D Index</v>
      </c>
      <c r="C2738" t="s">
        <v>247</v>
      </c>
      <c r="D2738" t="s">
        <v>87</v>
      </c>
      <c r="E2738" t="s">
        <v>489</v>
      </c>
      <c r="F2738" t="s">
        <v>490</v>
      </c>
      <c r="G2738" t="s">
        <v>52</v>
      </c>
      <c r="H2738" t="s">
        <v>53</v>
      </c>
      <c r="I2738" t="s">
        <v>53</v>
      </c>
      <c r="J2738" t="s">
        <v>53</v>
      </c>
      <c r="K2738" t="s">
        <v>53</v>
      </c>
      <c r="L2738" t="s">
        <v>53</v>
      </c>
      <c r="M2738" t="s">
        <v>53</v>
      </c>
      <c r="N2738" t="s">
        <v>53</v>
      </c>
      <c r="O2738" t="s">
        <v>53</v>
      </c>
      <c r="P2738" t="s">
        <v>53</v>
      </c>
      <c r="Q2738" t="s">
        <v>53</v>
      </c>
    </row>
    <row r="2739" spans="1:17" x14ac:dyDescent="0.2">
      <c r="A2739" s="30" t="str">
        <f>IF(C2739&amp;G2739&amp;D2739&lt;&gt;'Funnel setup'!$K$3&amp;'Funnel setup'!$K$4&amp;'Funnel setup'!$K$5,".",IF(A2738=".",1,A2738+1))</f>
        <v>.</v>
      </c>
      <c r="B2739" s="431" t="str">
        <f t="shared" si="42"/>
        <v>Hip Replacement RevisionCCG of GP PracticeNHS GUILDFORD AND WAVERLEY CCG (09N)EQ-5D Index</v>
      </c>
      <c r="C2739" t="s">
        <v>247</v>
      </c>
      <c r="D2739" t="s">
        <v>87</v>
      </c>
      <c r="E2739" t="s">
        <v>911</v>
      </c>
      <c r="F2739" t="s">
        <v>912</v>
      </c>
      <c r="G2739" t="s">
        <v>52</v>
      </c>
      <c r="H2739">
        <v>7</v>
      </c>
      <c r="I2739">
        <v>0.5</v>
      </c>
      <c r="J2739">
        <v>0.54400000000000004</v>
      </c>
      <c r="K2739">
        <v>4.3999999999999997E-2</v>
      </c>
      <c r="L2739">
        <v>4</v>
      </c>
      <c r="M2739">
        <v>0</v>
      </c>
      <c r="N2739">
        <v>3</v>
      </c>
      <c r="O2739" t="s">
        <v>53</v>
      </c>
      <c r="P2739" t="s">
        <v>53</v>
      </c>
      <c r="Q2739" t="s">
        <v>53</v>
      </c>
    </row>
    <row r="2740" spans="1:17" x14ac:dyDescent="0.2">
      <c r="A2740" s="30" t="str">
        <f>IF(C2740&amp;G2740&amp;D2740&lt;&gt;'Funnel setup'!$K$3&amp;'Funnel setup'!$K$4&amp;'Funnel setup'!$K$5,".",IF(A2739=".",1,A2739+1))</f>
        <v>.</v>
      </c>
      <c r="B2740" s="431" t="str">
        <f t="shared" si="42"/>
        <v>Hip Replacement RevisionCCG of GP PracticeNHS HALTON CCG (01F)EQ-5D Index</v>
      </c>
      <c r="C2740" t="s">
        <v>247</v>
      </c>
      <c r="D2740" t="s">
        <v>87</v>
      </c>
      <c r="E2740" t="s">
        <v>914</v>
      </c>
      <c r="F2740" t="s">
        <v>915</v>
      </c>
      <c r="G2740" t="s">
        <v>52</v>
      </c>
      <c r="H2740" t="s">
        <v>53</v>
      </c>
      <c r="I2740" t="s">
        <v>53</v>
      </c>
      <c r="J2740" t="s">
        <v>53</v>
      </c>
      <c r="K2740" t="s">
        <v>53</v>
      </c>
      <c r="L2740" t="s">
        <v>53</v>
      </c>
      <c r="M2740" t="s">
        <v>53</v>
      </c>
      <c r="N2740" t="s">
        <v>53</v>
      </c>
      <c r="O2740" t="s">
        <v>53</v>
      </c>
      <c r="P2740" t="s">
        <v>53</v>
      </c>
      <c r="Q2740" t="s">
        <v>53</v>
      </c>
    </row>
    <row r="2741" spans="1:17" x14ac:dyDescent="0.2">
      <c r="A2741" s="30" t="str">
        <f>IF(C2741&amp;G2741&amp;D2741&lt;&gt;'Funnel setup'!$K$3&amp;'Funnel setup'!$K$4&amp;'Funnel setup'!$K$5,".",IF(A2740=".",1,A2740+1))</f>
        <v>.</v>
      </c>
      <c r="B2741" s="431" t="str">
        <f t="shared" si="42"/>
        <v>Hip Replacement RevisionCCG of GP PracticeNHS HAMBLETON, RICHMONDSHIRE AND WHITBY CCG (03D)EQ-5D Index</v>
      </c>
      <c r="C2741" t="s">
        <v>247</v>
      </c>
      <c r="D2741" t="s">
        <v>87</v>
      </c>
      <c r="E2741" t="s">
        <v>917</v>
      </c>
      <c r="F2741" t="s">
        <v>918</v>
      </c>
      <c r="G2741" t="s">
        <v>52</v>
      </c>
      <c r="H2741">
        <v>19</v>
      </c>
      <c r="I2741">
        <v>0.35899999999999999</v>
      </c>
      <c r="J2741">
        <v>0.72</v>
      </c>
      <c r="K2741">
        <v>0.36</v>
      </c>
      <c r="L2741">
        <v>14</v>
      </c>
      <c r="M2741">
        <v>4</v>
      </c>
      <c r="N2741">
        <v>1</v>
      </c>
      <c r="O2741" t="s">
        <v>53</v>
      </c>
      <c r="P2741" t="s">
        <v>53</v>
      </c>
      <c r="Q2741" t="s">
        <v>53</v>
      </c>
    </row>
    <row r="2742" spans="1:17" x14ac:dyDescent="0.2">
      <c r="A2742" s="30" t="str">
        <f>IF(C2742&amp;G2742&amp;D2742&lt;&gt;'Funnel setup'!$K$3&amp;'Funnel setup'!$K$4&amp;'Funnel setup'!$K$5,".",IF(A2741=".",1,A2741+1))</f>
        <v>.</v>
      </c>
      <c r="B2742" s="431" t="str">
        <f t="shared" si="42"/>
        <v>Hip Replacement RevisionCCG of GP PracticeNHS HAMMERSMITH AND FULHAM CCG (08C)EQ-5D Index</v>
      </c>
      <c r="C2742" t="s">
        <v>247</v>
      </c>
      <c r="D2742" t="s">
        <v>87</v>
      </c>
      <c r="E2742" t="s">
        <v>920</v>
      </c>
      <c r="F2742" t="s">
        <v>921</v>
      </c>
      <c r="G2742" t="s">
        <v>52</v>
      </c>
      <c r="H2742" t="s">
        <v>53</v>
      </c>
      <c r="I2742" t="s">
        <v>53</v>
      </c>
      <c r="J2742" t="s">
        <v>53</v>
      </c>
      <c r="K2742" t="s">
        <v>53</v>
      </c>
      <c r="L2742" t="s">
        <v>53</v>
      </c>
      <c r="M2742" t="s">
        <v>53</v>
      </c>
      <c r="N2742" t="s">
        <v>53</v>
      </c>
      <c r="O2742" t="s">
        <v>53</v>
      </c>
      <c r="P2742" t="s">
        <v>53</v>
      </c>
      <c r="Q2742" t="s">
        <v>53</v>
      </c>
    </row>
    <row r="2743" spans="1:17" x14ac:dyDescent="0.2">
      <c r="A2743" s="30" t="str">
        <f>IF(C2743&amp;G2743&amp;D2743&lt;&gt;'Funnel setup'!$K$3&amp;'Funnel setup'!$K$4&amp;'Funnel setup'!$K$5,".",IF(A2742=".",1,A2742+1))</f>
        <v>.</v>
      </c>
      <c r="B2743" s="431" t="str">
        <f t="shared" si="42"/>
        <v>Hip Replacement RevisionCCG of GP PracticeNHS HARDWICK CCG (03Y)EQ-5D Index</v>
      </c>
      <c r="C2743" t="s">
        <v>247</v>
      </c>
      <c r="D2743" t="s">
        <v>87</v>
      </c>
      <c r="E2743" t="s">
        <v>923</v>
      </c>
      <c r="F2743" t="s">
        <v>924</v>
      </c>
      <c r="G2743" t="s">
        <v>52</v>
      </c>
      <c r="H2743" t="s">
        <v>53</v>
      </c>
      <c r="I2743" t="s">
        <v>53</v>
      </c>
      <c r="J2743" t="s">
        <v>53</v>
      </c>
      <c r="K2743" t="s">
        <v>53</v>
      </c>
      <c r="L2743" t="s">
        <v>53</v>
      </c>
      <c r="M2743" t="s">
        <v>53</v>
      </c>
      <c r="N2743" t="s">
        <v>53</v>
      </c>
      <c r="O2743" t="s">
        <v>53</v>
      </c>
      <c r="P2743" t="s">
        <v>53</v>
      </c>
      <c r="Q2743" t="s">
        <v>53</v>
      </c>
    </row>
    <row r="2744" spans="1:17" x14ac:dyDescent="0.2">
      <c r="A2744" s="30" t="str">
        <f>IF(C2744&amp;G2744&amp;D2744&lt;&gt;'Funnel setup'!$K$3&amp;'Funnel setup'!$K$4&amp;'Funnel setup'!$K$5,".",IF(A2743=".",1,A2743+1))</f>
        <v>.</v>
      </c>
      <c r="B2744" s="431" t="str">
        <f t="shared" si="42"/>
        <v>Hip Replacement RevisionCCG of GP PracticeNHS HARINGEY CCG (08D)EQ-5D Index</v>
      </c>
      <c r="C2744" t="s">
        <v>247</v>
      </c>
      <c r="D2744" t="s">
        <v>87</v>
      </c>
      <c r="E2744" t="s">
        <v>926</v>
      </c>
      <c r="F2744" t="s">
        <v>927</v>
      </c>
      <c r="G2744" t="s">
        <v>52</v>
      </c>
      <c r="H2744" t="s">
        <v>53</v>
      </c>
      <c r="I2744" t="s">
        <v>53</v>
      </c>
      <c r="J2744" t="s">
        <v>53</v>
      </c>
      <c r="K2744" t="s">
        <v>53</v>
      </c>
      <c r="L2744" t="s">
        <v>53</v>
      </c>
      <c r="M2744" t="s">
        <v>53</v>
      </c>
      <c r="N2744" t="s">
        <v>53</v>
      </c>
      <c r="O2744" t="s">
        <v>53</v>
      </c>
      <c r="P2744" t="s">
        <v>53</v>
      </c>
      <c r="Q2744" t="s">
        <v>53</v>
      </c>
    </row>
    <row r="2745" spans="1:17" x14ac:dyDescent="0.2">
      <c r="A2745" s="30" t="str">
        <f>IF(C2745&amp;G2745&amp;D2745&lt;&gt;'Funnel setup'!$K$3&amp;'Funnel setup'!$K$4&amp;'Funnel setup'!$K$5,".",IF(A2744=".",1,A2744+1))</f>
        <v>.</v>
      </c>
      <c r="B2745" s="431" t="str">
        <f t="shared" si="42"/>
        <v>Hip Replacement RevisionCCG of GP PracticeNHS HARROGATE AND RURAL DISTRICT CCG (03E)EQ-5D Index</v>
      </c>
      <c r="C2745" t="s">
        <v>247</v>
      </c>
      <c r="D2745" t="s">
        <v>87</v>
      </c>
      <c r="E2745" t="s">
        <v>929</v>
      </c>
      <c r="F2745" t="s">
        <v>930</v>
      </c>
      <c r="G2745" t="s">
        <v>52</v>
      </c>
      <c r="H2745">
        <v>14</v>
      </c>
      <c r="I2745">
        <v>0.54900000000000004</v>
      </c>
      <c r="J2745">
        <v>0.75800000000000001</v>
      </c>
      <c r="K2745">
        <v>0.20899999999999999</v>
      </c>
      <c r="L2745">
        <v>9</v>
      </c>
      <c r="M2745">
        <v>2</v>
      </c>
      <c r="N2745">
        <v>3</v>
      </c>
      <c r="O2745" t="s">
        <v>53</v>
      </c>
      <c r="P2745" t="s">
        <v>53</v>
      </c>
      <c r="Q2745" t="s">
        <v>53</v>
      </c>
    </row>
    <row r="2746" spans="1:17" x14ac:dyDescent="0.2">
      <c r="A2746" s="30" t="str">
        <f>IF(C2746&amp;G2746&amp;D2746&lt;&gt;'Funnel setup'!$K$3&amp;'Funnel setup'!$K$4&amp;'Funnel setup'!$K$5,".",IF(A2745=".",1,A2745+1))</f>
        <v>.</v>
      </c>
      <c r="B2746" s="431" t="str">
        <f t="shared" si="42"/>
        <v>Hip Replacement RevisionCCG of GP PracticeNHS HARROW CCG (08E)EQ-5D Index</v>
      </c>
      <c r="C2746" t="s">
        <v>247</v>
      </c>
      <c r="D2746" t="s">
        <v>87</v>
      </c>
      <c r="E2746" t="s">
        <v>492</v>
      </c>
      <c r="F2746" t="s">
        <v>493</v>
      </c>
      <c r="G2746" t="s">
        <v>52</v>
      </c>
      <c r="H2746">
        <v>7</v>
      </c>
      <c r="I2746">
        <v>0.35399999999999998</v>
      </c>
      <c r="J2746">
        <v>0.69499999999999995</v>
      </c>
      <c r="K2746">
        <v>0.34100000000000003</v>
      </c>
      <c r="L2746">
        <v>4</v>
      </c>
      <c r="M2746">
        <v>1</v>
      </c>
      <c r="N2746">
        <v>2</v>
      </c>
      <c r="O2746" t="s">
        <v>53</v>
      </c>
      <c r="P2746" t="s">
        <v>53</v>
      </c>
      <c r="Q2746" t="s">
        <v>53</v>
      </c>
    </row>
    <row r="2747" spans="1:17" x14ac:dyDescent="0.2">
      <c r="A2747" s="30" t="str">
        <f>IF(C2747&amp;G2747&amp;D2747&lt;&gt;'Funnel setup'!$K$3&amp;'Funnel setup'!$K$4&amp;'Funnel setup'!$K$5,".",IF(A2746=".",1,A2746+1))</f>
        <v>.</v>
      </c>
      <c r="B2747" s="431" t="str">
        <f t="shared" si="42"/>
        <v>Hip Replacement RevisionCCG of GP PracticeNHS HARTLEPOOL AND STOCKTON-ON-TEES CCG (00K)EQ-5D Index</v>
      </c>
      <c r="C2747" t="s">
        <v>247</v>
      </c>
      <c r="D2747" t="s">
        <v>87</v>
      </c>
      <c r="E2747" t="s">
        <v>495</v>
      </c>
      <c r="F2747" t="s">
        <v>496</v>
      </c>
      <c r="G2747" t="s">
        <v>52</v>
      </c>
      <c r="H2747">
        <v>26</v>
      </c>
      <c r="I2747">
        <v>0.45100000000000001</v>
      </c>
      <c r="J2747">
        <v>0.65300000000000002</v>
      </c>
      <c r="K2747">
        <v>0.20200000000000001</v>
      </c>
      <c r="L2747">
        <v>18</v>
      </c>
      <c r="M2747">
        <v>3</v>
      </c>
      <c r="N2747">
        <v>5</v>
      </c>
      <c r="O2747" t="s">
        <v>53</v>
      </c>
      <c r="P2747" t="s">
        <v>53</v>
      </c>
      <c r="Q2747" t="s">
        <v>53</v>
      </c>
    </row>
    <row r="2748" spans="1:17" x14ac:dyDescent="0.2">
      <c r="A2748" s="30" t="str">
        <f>IF(C2748&amp;G2748&amp;D2748&lt;&gt;'Funnel setup'!$K$3&amp;'Funnel setup'!$K$4&amp;'Funnel setup'!$K$5,".",IF(A2747=".",1,A2747+1))</f>
        <v>.</v>
      </c>
      <c r="B2748" s="431" t="str">
        <f t="shared" si="42"/>
        <v>Hip Replacement RevisionCCG of GP PracticeNHS HASTINGS AND ROTHER CCG (09P)EQ-5D Index</v>
      </c>
      <c r="C2748" t="s">
        <v>247</v>
      </c>
      <c r="D2748" t="s">
        <v>87</v>
      </c>
      <c r="E2748" t="s">
        <v>498</v>
      </c>
      <c r="F2748" t="s">
        <v>499</v>
      </c>
      <c r="G2748" t="s">
        <v>52</v>
      </c>
      <c r="H2748">
        <v>16</v>
      </c>
      <c r="I2748">
        <v>0.39900000000000002</v>
      </c>
      <c r="J2748">
        <v>0.76800000000000002</v>
      </c>
      <c r="K2748">
        <v>0.37</v>
      </c>
      <c r="L2748">
        <v>13</v>
      </c>
      <c r="M2748">
        <v>2</v>
      </c>
      <c r="N2748">
        <v>1</v>
      </c>
      <c r="O2748" t="s">
        <v>53</v>
      </c>
      <c r="P2748" t="s">
        <v>53</v>
      </c>
      <c r="Q2748" t="s">
        <v>53</v>
      </c>
    </row>
    <row r="2749" spans="1:17" x14ac:dyDescent="0.2">
      <c r="A2749" s="30" t="str">
        <f>IF(C2749&amp;G2749&amp;D2749&lt;&gt;'Funnel setup'!$K$3&amp;'Funnel setup'!$K$4&amp;'Funnel setup'!$K$5,".",IF(A2748=".",1,A2748+1))</f>
        <v>.</v>
      </c>
      <c r="B2749" s="431" t="str">
        <f t="shared" si="42"/>
        <v>Hip Replacement RevisionCCG of GP PracticeNHS HAVERING CCG (08F)EQ-5D Index</v>
      </c>
      <c r="C2749" t="s">
        <v>247</v>
      </c>
      <c r="D2749" t="s">
        <v>87</v>
      </c>
      <c r="E2749" t="s">
        <v>501</v>
      </c>
      <c r="F2749" t="s">
        <v>502</v>
      </c>
      <c r="G2749" t="s">
        <v>52</v>
      </c>
      <c r="H2749">
        <v>6</v>
      </c>
      <c r="I2749">
        <v>0.218</v>
      </c>
      <c r="J2749">
        <v>0.84299999999999997</v>
      </c>
      <c r="K2749">
        <v>0.625</v>
      </c>
      <c r="L2749">
        <v>6</v>
      </c>
      <c r="M2749">
        <v>0</v>
      </c>
      <c r="N2749">
        <v>0</v>
      </c>
      <c r="O2749" t="s">
        <v>53</v>
      </c>
      <c r="P2749" t="s">
        <v>53</v>
      </c>
      <c r="Q2749" t="s">
        <v>53</v>
      </c>
    </row>
    <row r="2750" spans="1:17" x14ac:dyDescent="0.2">
      <c r="A2750" s="30" t="str">
        <f>IF(C2750&amp;G2750&amp;D2750&lt;&gt;'Funnel setup'!$K$3&amp;'Funnel setup'!$K$4&amp;'Funnel setup'!$K$5,".",IF(A2749=".",1,A2749+1))</f>
        <v>.</v>
      </c>
      <c r="B2750" s="431" t="str">
        <f t="shared" si="42"/>
        <v>Hip Replacement RevisionCCG of GP PracticeNHS HEREFORDSHIRE CCG (05F)EQ-5D Index</v>
      </c>
      <c r="C2750" t="s">
        <v>247</v>
      </c>
      <c r="D2750" t="s">
        <v>87</v>
      </c>
      <c r="E2750" t="s">
        <v>504</v>
      </c>
      <c r="F2750" t="s">
        <v>505</v>
      </c>
      <c r="G2750" t="s">
        <v>52</v>
      </c>
      <c r="H2750">
        <v>6</v>
      </c>
      <c r="I2750">
        <v>0.39500000000000002</v>
      </c>
      <c r="J2750">
        <v>0.81799999999999995</v>
      </c>
      <c r="K2750">
        <v>0.42199999999999999</v>
      </c>
      <c r="L2750">
        <v>6</v>
      </c>
      <c r="M2750">
        <v>0</v>
      </c>
      <c r="N2750">
        <v>0</v>
      </c>
      <c r="O2750" t="s">
        <v>53</v>
      </c>
      <c r="P2750" t="s">
        <v>53</v>
      </c>
      <c r="Q2750" t="s">
        <v>53</v>
      </c>
    </row>
    <row r="2751" spans="1:17" x14ac:dyDescent="0.2">
      <c r="A2751" s="30" t="str">
        <f>IF(C2751&amp;G2751&amp;D2751&lt;&gt;'Funnel setup'!$K$3&amp;'Funnel setup'!$K$4&amp;'Funnel setup'!$K$5,".",IF(A2750=".",1,A2750+1))</f>
        <v>.</v>
      </c>
      <c r="B2751" s="431" t="str">
        <f t="shared" si="42"/>
        <v>Hip Replacement RevisionCCG of GP PracticeNHS HERTS VALLEYS CCG (06N)EQ-5D Index</v>
      </c>
      <c r="C2751" t="s">
        <v>247</v>
      </c>
      <c r="D2751" t="s">
        <v>87</v>
      </c>
      <c r="E2751" t="s">
        <v>507</v>
      </c>
      <c r="F2751" t="s">
        <v>508</v>
      </c>
      <c r="G2751" t="s">
        <v>52</v>
      </c>
      <c r="H2751">
        <v>25</v>
      </c>
      <c r="I2751">
        <v>0.44900000000000001</v>
      </c>
      <c r="J2751">
        <v>0.58499999999999996</v>
      </c>
      <c r="K2751">
        <v>0.13600000000000001</v>
      </c>
      <c r="L2751">
        <v>13</v>
      </c>
      <c r="M2751">
        <v>7</v>
      </c>
      <c r="N2751">
        <v>5</v>
      </c>
      <c r="O2751" t="s">
        <v>53</v>
      </c>
      <c r="P2751" t="s">
        <v>53</v>
      </c>
      <c r="Q2751" t="s">
        <v>53</v>
      </c>
    </row>
    <row r="2752" spans="1:17" x14ac:dyDescent="0.2">
      <c r="A2752" s="30" t="str">
        <f>IF(C2752&amp;G2752&amp;D2752&lt;&gt;'Funnel setup'!$K$3&amp;'Funnel setup'!$K$4&amp;'Funnel setup'!$K$5,".",IF(A2751=".",1,A2751+1))</f>
        <v>.</v>
      </c>
      <c r="B2752" s="431" t="str">
        <f t="shared" si="42"/>
        <v>Hip Replacement RevisionCCG of GP PracticeNHS HEYWOOD, MIDDLETON AND ROCHDALE CCG (01D)EQ-5D Index</v>
      </c>
      <c r="C2752" t="s">
        <v>247</v>
      </c>
      <c r="D2752" t="s">
        <v>87</v>
      </c>
      <c r="E2752" t="s">
        <v>510</v>
      </c>
      <c r="F2752" t="s">
        <v>511</v>
      </c>
      <c r="G2752" t="s">
        <v>52</v>
      </c>
      <c r="H2752">
        <v>12</v>
      </c>
      <c r="I2752">
        <v>0.57499999999999996</v>
      </c>
      <c r="J2752">
        <v>0.63200000000000001</v>
      </c>
      <c r="K2752">
        <v>5.7000000000000002E-2</v>
      </c>
      <c r="L2752">
        <v>5</v>
      </c>
      <c r="M2752">
        <v>2</v>
      </c>
      <c r="N2752">
        <v>5</v>
      </c>
      <c r="O2752" t="s">
        <v>53</v>
      </c>
      <c r="P2752" t="s">
        <v>53</v>
      </c>
      <c r="Q2752" t="s">
        <v>53</v>
      </c>
    </row>
    <row r="2753" spans="1:17" x14ac:dyDescent="0.2">
      <c r="A2753" s="30" t="str">
        <f>IF(C2753&amp;G2753&amp;D2753&lt;&gt;'Funnel setup'!$K$3&amp;'Funnel setup'!$K$4&amp;'Funnel setup'!$K$5,".",IF(A2752=".",1,A2752+1))</f>
        <v>.</v>
      </c>
      <c r="B2753" s="431" t="str">
        <f t="shared" si="42"/>
        <v>Hip Replacement RevisionCCG of GP PracticeNHS HIGH WEALD LEWES HAVENS CCG (99K)EQ-5D Index</v>
      </c>
      <c r="C2753" t="s">
        <v>247</v>
      </c>
      <c r="D2753" t="s">
        <v>87</v>
      </c>
      <c r="E2753" t="s">
        <v>513</v>
      </c>
      <c r="F2753" t="s">
        <v>514</v>
      </c>
      <c r="G2753" t="s">
        <v>52</v>
      </c>
      <c r="H2753">
        <v>12</v>
      </c>
      <c r="I2753">
        <v>0.61399999999999999</v>
      </c>
      <c r="J2753">
        <v>0.68500000000000005</v>
      </c>
      <c r="K2753">
        <v>7.0000000000000007E-2</v>
      </c>
      <c r="L2753">
        <v>8</v>
      </c>
      <c r="M2753">
        <v>1</v>
      </c>
      <c r="N2753">
        <v>3</v>
      </c>
      <c r="O2753" t="s">
        <v>53</v>
      </c>
      <c r="P2753" t="s">
        <v>53</v>
      </c>
      <c r="Q2753" t="s">
        <v>53</v>
      </c>
    </row>
    <row r="2754" spans="1:17" x14ac:dyDescent="0.2">
      <c r="A2754" s="30" t="str">
        <f>IF(C2754&amp;G2754&amp;D2754&lt;&gt;'Funnel setup'!$K$3&amp;'Funnel setup'!$K$4&amp;'Funnel setup'!$K$5,".",IF(A2753=".",1,A2753+1))</f>
        <v>.</v>
      </c>
      <c r="B2754" s="431" t="str">
        <f t="shared" si="42"/>
        <v>Hip Replacement RevisionCCG of GP PracticeNHS HILLINGDON CCG (08G)EQ-5D Index</v>
      </c>
      <c r="C2754" t="s">
        <v>247</v>
      </c>
      <c r="D2754" t="s">
        <v>87</v>
      </c>
      <c r="E2754" t="s">
        <v>516</v>
      </c>
      <c r="F2754" t="s">
        <v>517</v>
      </c>
      <c r="G2754" t="s">
        <v>52</v>
      </c>
      <c r="H2754" t="s">
        <v>53</v>
      </c>
      <c r="I2754" t="s">
        <v>53</v>
      </c>
      <c r="J2754" t="s">
        <v>53</v>
      </c>
      <c r="K2754" t="s">
        <v>53</v>
      </c>
      <c r="L2754" t="s">
        <v>53</v>
      </c>
      <c r="M2754" t="s">
        <v>53</v>
      </c>
      <c r="N2754" t="s">
        <v>53</v>
      </c>
      <c r="O2754" t="s">
        <v>53</v>
      </c>
      <c r="P2754" t="s">
        <v>53</v>
      </c>
      <c r="Q2754" t="s">
        <v>53</v>
      </c>
    </row>
    <row r="2755" spans="1:17" x14ac:dyDescent="0.2">
      <c r="A2755" s="30" t="str">
        <f>IF(C2755&amp;G2755&amp;D2755&lt;&gt;'Funnel setup'!$K$3&amp;'Funnel setup'!$K$4&amp;'Funnel setup'!$K$5,".",IF(A2754=".",1,A2754+1))</f>
        <v>.</v>
      </c>
      <c r="B2755" s="431" t="str">
        <f t="shared" ref="B2755:B2818" si="43">C2755&amp;D2755&amp;F2755&amp;G2755</f>
        <v>Hip Replacement RevisionCCG of GP PracticeNHS HORSHAM AND MID SUSSEX CCG (09X)EQ-5D Index</v>
      </c>
      <c r="C2755" t="s">
        <v>247</v>
      </c>
      <c r="D2755" t="s">
        <v>87</v>
      </c>
      <c r="E2755" t="s">
        <v>519</v>
      </c>
      <c r="F2755" t="s">
        <v>520</v>
      </c>
      <c r="G2755" t="s">
        <v>52</v>
      </c>
      <c r="H2755">
        <v>14</v>
      </c>
      <c r="I2755">
        <v>0.39800000000000002</v>
      </c>
      <c r="J2755">
        <v>0.77300000000000002</v>
      </c>
      <c r="K2755">
        <v>0.375</v>
      </c>
      <c r="L2755">
        <v>11</v>
      </c>
      <c r="M2755">
        <v>1</v>
      </c>
      <c r="N2755">
        <v>2</v>
      </c>
      <c r="O2755" t="s">
        <v>53</v>
      </c>
      <c r="P2755" t="s">
        <v>53</v>
      </c>
      <c r="Q2755" t="s">
        <v>53</v>
      </c>
    </row>
    <row r="2756" spans="1:17" x14ac:dyDescent="0.2">
      <c r="A2756" s="30" t="str">
        <f>IF(C2756&amp;G2756&amp;D2756&lt;&gt;'Funnel setup'!$K$3&amp;'Funnel setup'!$K$4&amp;'Funnel setup'!$K$5,".",IF(A2755=".",1,A2755+1))</f>
        <v>.</v>
      </c>
      <c r="B2756" s="431" t="str">
        <f t="shared" si="43"/>
        <v>Hip Replacement RevisionCCG of GP PracticeNHS HOUNSLOW CCG (07Y)EQ-5D Index</v>
      </c>
      <c r="C2756" t="s">
        <v>247</v>
      </c>
      <c r="D2756" t="s">
        <v>87</v>
      </c>
      <c r="E2756" t="s">
        <v>522</v>
      </c>
      <c r="F2756" t="s">
        <v>523</v>
      </c>
      <c r="G2756" t="s">
        <v>52</v>
      </c>
      <c r="H2756" t="s">
        <v>53</v>
      </c>
      <c r="I2756" t="s">
        <v>53</v>
      </c>
      <c r="J2756" t="s">
        <v>53</v>
      </c>
      <c r="K2756" t="s">
        <v>53</v>
      </c>
      <c r="L2756" t="s">
        <v>53</v>
      </c>
      <c r="M2756" t="s">
        <v>53</v>
      </c>
      <c r="N2756" t="s">
        <v>53</v>
      </c>
      <c r="O2756" t="s">
        <v>53</v>
      </c>
      <c r="P2756" t="s">
        <v>53</v>
      </c>
      <c r="Q2756" t="s">
        <v>53</v>
      </c>
    </row>
    <row r="2757" spans="1:17" x14ac:dyDescent="0.2">
      <c r="A2757" s="30" t="str">
        <f>IF(C2757&amp;G2757&amp;D2757&lt;&gt;'Funnel setup'!$K$3&amp;'Funnel setup'!$K$4&amp;'Funnel setup'!$K$5,".",IF(A2756=".",1,A2756+1))</f>
        <v>.</v>
      </c>
      <c r="B2757" s="431" t="str">
        <f t="shared" si="43"/>
        <v>Hip Replacement RevisionCCG of GP PracticeNHS HULL CCG (03F)EQ-5D Index</v>
      </c>
      <c r="C2757" t="s">
        <v>247</v>
      </c>
      <c r="D2757" t="s">
        <v>87</v>
      </c>
      <c r="E2757" t="s">
        <v>525</v>
      </c>
      <c r="F2757" t="s">
        <v>526</v>
      </c>
      <c r="G2757" t="s">
        <v>52</v>
      </c>
      <c r="H2757">
        <v>16</v>
      </c>
      <c r="I2757">
        <v>0.44900000000000001</v>
      </c>
      <c r="J2757">
        <v>0.71299999999999997</v>
      </c>
      <c r="K2757">
        <v>0.26300000000000001</v>
      </c>
      <c r="L2757">
        <v>11</v>
      </c>
      <c r="M2757">
        <v>4</v>
      </c>
      <c r="N2757">
        <v>1</v>
      </c>
      <c r="O2757" t="s">
        <v>53</v>
      </c>
      <c r="P2757" t="s">
        <v>53</v>
      </c>
      <c r="Q2757" t="s">
        <v>53</v>
      </c>
    </row>
    <row r="2758" spans="1:17" x14ac:dyDescent="0.2">
      <c r="A2758" s="30" t="str">
        <f>IF(C2758&amp;G2758&amp;D2758&lt;&gt;'Funnel setup'!$K$3&amp;'Funnel setup'!$K$4&amp;'Funnel setup'!$K$5,".",IF(A2757=".",1,A2757+1))</f>
        <v>.</v>
      </c>
      <c r="B2758" s="431" t="str">
        <f t="shared" si="43"/>
        <v>Hip Replacement RevisionCCG of GP PracticeNHS IPSWICH AND EAST SUFFOLK CCG (06L)EQ-5D Index</v>
      </c>
      <c r="C2758" t="s">
        <v>247</v>
      </c>
      <c r="D2758" t="s">
        <v>87</v>
      </c>
      <c r="E2758" t="s">
        <v>528</v>
      </c>
      <c r="F2758" t="s">
        <v>529</v>
      </c>
      <c r="G2758" t="s">
        <v>52</v>
      </c>
      <c r="H2758">
        <v>11</v>
      </c>
      <c r="I2758">
        <v>0.36399999999999999</v>
      </c>
      <c r="J2758">
        <v>0.69699999999999995</v>
      </c>
      <c r="K2758">
        <v>0.33300000000000002</v>
      </c>
      <c r="L2758">
        <v>10</v>
      </c>
      <c r="M2758">
        <v>1</v>
      </c>
      <c r="N2758">
        <v>0</v>
      </c>
      <c r="O2758" t="s">
        <v>53</v>
      </c>
      <c r="P2758" t="s">
        <v>53</v>
      </c>
      <c r="Q2758" t="s">
        <v>53</v>
      </c>
    </row>
    <row r="2759" spans="1:17" x14ac:dyDescent="0.2">
      <c r="A2759" s="30" t="str">
        <f>IF(C2759&amp;G2759&amp;D2759&lt;&gt;'Funnel setup'!$K$3&amp;'Funnel setup'!$K$4&amp;'Funnel setup'!$K$5,".",IF(A2758=".",1,A2758+1))</f>
        <v>.</v>
      </c>
      <c r="B2759" s="431" t="str">
        <f t="shared" si="43"/>
        <v>Hip Replacement RevisionCCG of GP PracticeNHS ISLE OF WIGHT CCG (10L)EQ-5D Index</v>
      </c>
      <c r="C2759" t="s">
        <v>247</v>
      </c>
      <c r="D2759" t="s">
        <v>87</v>
      </c>
      <c r="E2759" t="s">
        <v>531</v>
      </c>
      <c r="F2759" t="s">
        <v>532</v>
      </c>
      <c r="G2759" t="s">
        <v>52</v>
      </c>
      <c r="H2759" t="s">
        <v>53</v>
      </c>
      <c r="I2759" t="s">
        <v>53</v>
      </c>
      <c r="J2759" t="s">
        <v>53</v>
      </c>
      <c r="K2759" t="s">
        <v>53</v>
      </c>
      <c r="L2759" t="s">
        <v>53</v>
      </c>
      <c r="M2759" t="s">
        <v>53</v>
      </c>
      <c r="N2759" t="s">
        <v>53</v>
      </c>
      <c r="O2759" t="s">
        <v>53</v>
      </c>
      <c r="P2759" t="s">
        <v>53</v>
      </c>
      <c r="Q2759" t="s">
        <v>53</v>
      </c>
    </row>
    <row r="2760" spans="1:17" x14ac:dyDescent="0.2">
      <c r="A2760" s="30" t="str">
        <f>IF(C2760&amp;G2760&amp;D2760&lt;&gt;'Funnel setup'!$K$3&amp;'Funnel setup'!$K$4&amp;'Funnel setup'!$K$5,".",IF(A2759=".",1,A2759+1))</f>
        <v>.</v>
      </c>
      <c r="B2760" s="431" t="str">
        <f t="shared" si="43"/>
        <v>Hip Replacement RevisionCCG of GP PracticeNHS ISLINGTON CCG (08H)EQ-5D Index</v>
      </c>
      <c r="C2760" t="s">
        <v>247</v>
      </c>
      <c r="D2760" t="s">
        <v>87</v>
      </c>
      <c r="E2760" t="s">
        <v>534</v>
      </c>
      <c r="F2760" t="s">
        <v>535</v>
      </c>
      <c r="G2760" t="s">
        <v>52</v>
      </c>
      <c r="H2760" t="s">
        <v>53</v>
      </c>
      <c r="I2760" t="s">
        <v>53</v>
      </c>
      <c r="J2760" t="s">
        <v>53</v>
      </c>
      <c r="K2760" t="s">
        <v>53</v>
      </c>
      <c r="L2760" t="s">
        <v>53</v>
      </c>
      <c r="M2760" t="s">
        <v>53</v>
      </c>
      <c r="N2760" t="s">
        <v>53</v>
      </c>
      <c r="O2760" t="s">
        <v>53</v>
      </c>
      <c r="P2760" t="s">
        <v>53</v>
      </c>
      <c r="Q2760" t="s">
        <v>53</v>
      </c>
    </row>
    <row r="2761" spans="1:17" x14ac:dyDescent="0.2">
      <c r="A2761" s="30" t="str">
        <f>IF(C2761&amp;G2761&amp;D2761&lt;&gt;'Funnel setup'!$K$3&amp;'Funnel setup'!$K$4&amp;'Funnel setup'!$K$5,".",IF(A2760=".",1,A2760+1))</f>
        <v>.</v>
      </c>
      <c r="B2761" s="431" t="str">
        <f t="shared" si="43"/>
        <v>Hip Replacement RevisionCCG of GP PracticeNHS KERNOW CCG (11N)EQ-5D Index</v>
      </c>
      <c r="C2761" t="s">
        <v>247</v>
      </c>
      <c r="D2761" t="s">
        <v>87</v>
      </c>
      <c r="E2761" t="s">
        <v>537</v>
      </c>
      <c r="F2761" t="s">
        <v>538</v>
      </c>
      <c r="G2761" t="s">
        <v>52</v>
      </c>
      <c r="H2761">
        <v>48</v>
      </c>
      <c r="I2761">
        <v>0.51900000000000002</v>
      </c>
      <c r="J2761">
        <v>0.68300000000000005</v>
      </c>
      <c r="K2761">
        <v>0.16400000000000001</v>
      </c>
      <c r="L2761">
        <v>33</v>
      </c>
      <c r="M2761">
        <v>6</v>
      </c>
      <c r="N2761">
        <v>9</v>
      </c>
      <c r="O2761">
        <v>0.64800000000000002</v>
      </c>
      <c r="P2761">
        <v>0.24899732099999999</v>
      </c>
      <c r="Q2761">
        <v>0.26800000000000002</v>
      </c>
    </row>
    <row r="2762" spans="1:17" x14ac:dyDescent="0.2">
      <c r="A2762" s="30" t="str">
        <f>IF(C2762&amp;G2762&amp;D2762&lt;&gt;'Funnel setup'!$K$3&amp;'Funnel setup'!$K$4&amp;'Funnel setup'!$K$5,".",IF(A2761=".",1,A2761+1))</f>
        <v>.</v>
      </c>
      <c r="B2762" s="431" t="str">
        <f t="shared" si="43"/>
        <v>Hip Replacement RevisionCCG of GP PracticeNHS KINGSTON CCG (08J)EQ-5D Index</v>
      </c>
      <c r="C2762" t="s">
        <v>247</v>
      </c>
      <c r="D2762" t="s">
        <v>87</v>
      </c>
      <c r="E2762" t="s">
        <v>540</v>
      </c>
      <c r="F2762" t="s">
        <v>541</v>
      </c>
      <c r="G2762" t="s">
        <v>52</v>
      </c>
      <c r="H2762">
        <v>6</v>
      </c>
      <c r="I2762">
        <v>0.53900000000000003</v>
      </c>
      <c r="J2762">
        <v>0.76200000000000001</v>
      </c>
      <c r="K2762">
        <v>0.223</v>
      </c>
      <c r="L2762">
        <v>6</v>
      </c>
      <c r="M2762">
        <v>0</v>
      </c>
      <c r="N2762">
        <v>0</v>
      </c>
      <c r="O2762" t="s">
        <v>53</v>
      </c>
      <c r="P2762" t="s">
        <v>53</v>
      </c>
      <c r="Q2762" t="s">
        <v>53</v>
      </c>
    </row>
    <row r="2763" spans="1:17" x14ac:dyDescent="0.2">
      <c r="A2763" s="30" t="str">
        <f>IF(C2763&amp;G2763&amp;D2763&lt;&gt;'Funnel setup'!$K$3&amp;'Funnel setup'!$K$4&amp;'Funnel setup'!$K$5,".",IF(A2762=".",1,A2762+1))</f>
        <v>.</v>
      </c>
      <c r="B2763" s="431" t="str">
        <f t="shared" si="43"/>
        <v>Hip Replacement RevisionCCG of GP PracticeNHS KNOWSLEY CCG (01J)EQ-5D Index</v>
      </c>
      <c r="C2763" t="s">
        <v>247</v>
      </c>
      <c r="D2763" t="s">
        <v>87</v>
      </c>
      <c r="E2763" t="s">
        <v>543</v>
      </c>
      <c r="F2763" t="s">
        <v>544</v>
      </c>
      <c r="G2763" t="s">
        <v>52</v>
      </c>
      <c r="H2763" t="s">
        <v>53</v>
      </c>
      <c r="I2763" t="s">
        <v>53</v>
      </c>
      <c r="J2763" t="s">
        <v>53</v>
      </c>
      <c r="K2763" t="s">
        <v>53</v>
      </c>
      <c r="L2763" t="s">
        <v>53</v>
      </c>
      <c r="M2763" t="s">
        <v>53</v>
      </c>
      <c r="N2763" t="s">
        <v>53</v>
      </c>
      <c r="O2763" t="s">
        <v>53</v>
      </c>
      <c r="P2763" t="s">
        <v>53</v>
      </c>
      <c r="Q2763" t="s">
        <v>53</v>
      </c>
    </row>
    <row r="2764" spans="1:17" x14ac:dyDescent="0.2">
      <c r="A2764" s="30" t="str">
        <f>IF(C2764&amp;G2764&amp;D2764&lt;&gt;'Funnel setup'!$K$3&amp;'Funnel setup'!$K$4&amp;'Funnel setup'!$K$5,".",IF(A2763=".",1,A2763+1))</f>
        <v>.</v>
      </c>
      <c r="B2764" s="431" t="str">
        <f t="shared" si="43"/>
        <v>Hip Replacement RevisionCCG of GP PracticeNHS LAMBETH CCG (08K)EQ-5D Index</v>
      </c>
      <c r="C2764" t="s">
        <v>247</v>
      </c>
      <c r="D2764" t="s">
        <v>87</v>
      </c>
      <c r="E2764" t="s">
        <v>546</v>
      </c>
      <c r="F2764" t="s">
        <v>547</v>
      </c>
      <c r="G2764" t="s">
        <v>52</v>
      </c>
      <c r="H2764" t="s">
        <v>53</v>
      </c>
      <c r="I2764" t="s">
        <v>53</v>
      </c>
      <c r="J2764" t="s">
        <v>53</v>
      </c>
      <c r="K2764" t="s">
        <v>53</v>
      </c>
      <c r="L2764" t="s">
        <v>53</v>
      </c>
      <c r="M2764" t="s">
        <v>53</v>
      </c>
      <c r="N2764" t="s">
        <v>53</v>
      </c>
      <c r="O2764" t="s">
        <v>53</v>
      </c>
      <c r="P2764" t="s">
        <v>53</v>
      </c>
      <c r="Q2764" t="s">
        <v>53</v>
      </c>
    </row>
    <row r="2765" spans="1:17" x14ac:dyDescent="0.2">
      <c r="A2765" s="30" t="str">
        <f>IF(C2765&amp;G2765&amp;D2765&lt;&gt;'Funnel setup'!$K$3&amp;'Funnel setup'!$K$4&amp;'Funnel setup'!$K$5,".",IF(A2764=".",1,A2764+1))</f>
        <v>.</v>
      </c>
      <c r="B2765" s="431" t="str">
        <f t="shared" si="43"/>
        <v>Hip Replacement RevisionCCG of GP PracticeNHS LANCASHIRE NORTH CCG (01K)EQ-5D Index</v>
      </c>
      <c r="C2765" t="s">
        <v>247</v>
      </c>
      <c r="D2765" t="s">
        <v>87</v>
      </c>
      <c r="E2765" t="s">
        <v>549</v>
      </c>
      <c r="F2765" t="s">
        <v>550</v>
      </c>
      <c r="G2765" t="s">
        <v>52</v>
      </c>
      <c r="H2765">
        <v>7</v>
      </c>
      <c r="I2765">
        <v>0.30199999999999999</v>
      </c>
      <c r="J2765">
        <v>0.64700000000000002</v>
      </c>
      <c r="K2765">
        <v>0.34499999999999997</v>
      </c>
      <c r="L2765">
        <v>6</v>
      </c>
      <c r="M2765">
        <v>1</v>
      </c>
      <c r="N2765">
        <v>0</v>
      </c>
      <c r="O2765" t="s">
        <v>53</v>
      </c>
      <c r="P2765" t="s">
        <v>53</v>
      </c>
      <c r="Q2765" t="s">
        <v>53</v>
      </c>
    </row>
    <row r="2766" spans="1:17" x14ac:dyDescent="0.2">
      <c r="A2766" s="30" t="str">
        <f>IF(C2766&amp;G2766&amp;D2766&lt;&gt;'Funnel setup'!$K$3&amp;'Funnel setup'!$K$4&amp;'Funnel setup'!$K$5,".",IF(A2765=".",1,A2765+1))</f>
        <v>.</v>
      </c>
      <c r="B2766" s="431" t="str">
        <f t="shared" si="43"/>
        <v>Hip Replacement RevisionCCG of GP PracticeNHS LEEDS NORTH CCG (02V)EQ-5D Index</v>
      </c>
      <c r="C2766" t="s">
        <v>247</v>
      </c>
      <c r="D2766" t="s">
        <v>87</v>
      </c>
      <c r="E2766" t="s">
        <v>552</v>
      </c>
      <c r="F2766" t="s">
        <v>337</v>
      </c>
      <c r="G2766" t="s">
        <v>52</v>
      </c>
      <c r="H2766" t="s">
        <v>53</v>
      </c>
      <c r="I2766" t="s">
        <v>53</v>
      </c>
      <c r="J2766" t="s">
        <v>53</v>
      </c>
      <c r="K2766" t="s">
        <v>53</v>
      </c>
      <c r="L2766" t="s">
        <v>53</v>
      </c>
      <c r="M2766" t="s">
        <v>53</v>
      </c>
      <c r="N2766" t="s">
        <v>53</v>
      </c>
      <c r="O2766" t="s">
        <v>53</v>
      </c>
      <c r="P2766" t="s">
        <v>53</v>
      </c>
      <c r="Q2766" t="s">
        <v>53</v>
      </c>
    </row>
    <row r="2767" spans="1:17" x14ac:dyDescent="0.2">
      <c r="A2767" s="30" t="str">
        <f>IF(C2767&amp;G2767&amp;D2767&lt;&gt;'Funnel setup'!$K$3&amp;'Funnel setup'!$K$4&amp;'Funnel setup'!$K$5,".",IF(A2766=".",1,A2766+1))</f>
        <v>.</v>
      </c>
      <c r="B2767" s="431" t="str">
        <f t="shared" si="43"/>
        <v>Hip Replacement RevisionCCG of GP PracticeNHS LEEDS SOUTH AND EAST CCG (03G)EQ-5D Index</v>
      </c>
      <c r="C2767" t="s">
        <v>247</v>
      </c>
      <c r="D2767" t="s">
        <v>87</v>
      </c>
      <c r="E2767" t="s">
        <v>396</v>
      </c>
      <c r="F2767" t="s">
        <v>397</v>
      </c>
      <c r="G2767" t="s">
        <v>52</v>
      </c>
      <c r="H2767" t="s">
        <v>53</v>
      </c>
      <c r="I2767" t="s">
        <v>53</v>
      </c>
      <c r="J2767" t="s">
        <v>53</v>
      </c>
      <c r="K2767" t="s">
        <v>53</v>
      </c>
      <c r="L2767" t="s">
        <v>53</v>
      </c>
      <c r="M2767" t="s">
        <v>53</v>
      </c>
      <c r="N2767" t="s">
        <v>53</v>
      </c>
      <c r="O2767" t="s">
        <v>53</v>
      </c>
      <c r="P2767" t="s">
        <v>53</v>
      </c>
      <c r="Q2767" t="s">
        <v>53</v>
      </c>
    </row>
    <row r="2768" spans="1:17" x14ac:dyDescent="0.2">
      <c r="A2768" s="30" t="str">
        <f>IF(C2768&amp;G2768&amp;D2768&lt;&gt;'Funnel setup'!$K$3&amp;'Funnel setup'!$K$4&amp;'Funnel setup'!$K$5,".",IF(A2767=".",1,A2767+1))</f>
        <v>.</v>
      </c>
      <c r="B2768" s="431" t="str">
        <f t="shared" si="43"/>
        <v>Hip Replacement RevisionCCG of GP PracticeNHS LEEDS WEST CCG (03C)EQ-5D Index</v>
      </c>
      <c r="C2768" t="s">
        <v>247</v>
      </c>
      <c r="D2768" t="s">
        <v>87</v>
      </c>
      <c r="E2768" t="s">
        <v>399</v>
      </c>
      <c r="F2768" t="s">
        <v>400</v>
      </c>
      <c r="G2768" t="s">
        <v>52</v>
      </c>
      <c r="H2768">
        <v>9</v>
      </c>
      <c r="I2768">
        <v>0.48399999999999999</v>
      </c>
      <c r="J2768">
        <v>0.67400000000000004</v>
      </c>
      <c r="K2768">
        <v>0.19</v>
      </c>
      <c r="L2768">
        <v>6</v>
      </c>
      <c r="M2768">
        <v>0</v>
      </c>
      <c r="N2768">
        <v>3</v>
      </c>
      <c r="O2768" t="s">
        <v>53</v>
      </c>
      <c r="P2768" t="s">
        <v>53</v>
      </c>
      <c r="Q2768" t="s">
        <v>53</v>
      </c>
    </row>
    <row r="2769" spans="1:17" x14ac:dyDescent="0.2">
      <c r="A2769" s="30" t="str">
        <f>IF(C2769&amp;G2769&amp;D2769&lt;&gt;'Funnel setup'!$K$3&amp;'Funnel setup'!$K$4&amp;'Funnel setup'!$K$5,".",IF(A2768=".",1,A2768+1))</f>
        <v>.</v>
      </c>
      <c r="B2769" s="431" t="str">
        <f t="shared" si="43"/>
        <v>Hip Replacement RevisionCCG of GP PracticeNHS LEICESTER CITY CCG (04C)EQ-5D Index</v>
      </c>
      <c r="C2769" t="s">
        <v>247</v>
      </c>
      <c r="D2769" t="s">
        <v>87</v>
      </c>
      <c r="E2769" t="s">
        <v>554</v>
      </c>
      <c r="F2769" t="s">
        <v>555</v>
      </c>
      <c r="G2769" t="s">
        <v>52</v>
      </c>
      <c r="H2769">
        <v>6</v>
      </c>
      <c r="I2769">
        <v>0.19400000000000001</v>
      </c>
      <c r="J2769">
        <v>0.34399999999999997</v>
      </c>
      <c r="K2769">
        <v>0.15</v>
      </c>
      <c r="L2769">
        <v>3</v>
      </c>
      <c r="M2769">
        <v>0</v>
      </c>
      <c r="N2769">
        <v>3</v>
      </c>
      <c r="O2769" t="s">
        <v>53</v>
      </c>
      <c r="P2769" t="s">
        <v>53</v>
      </c>
      <c r="Q2769" t="s">
        <v>53</v>
      </c>
    </row>
    <row r="2770" spans="1:17" x14ac:dyDescent="0.2">
      <c r="A2770" s="30" t="str">
        <f>IF(C2770&amp;G2770&amp;D2770&lt;&gt;'Funnel setup'!$K$3&amp;'Funnel setup'!$K$4&amp;'Funnel setup'!$K$5,".",IF(A2769=".",1,A2769+1))</f>
        <v>.</v>
      </c>
      <c r="B2770" s="431" t="str">
        <f t="shared" si="43"/>
        <v>Hip Replacement RevisionCCG of GP PracticeNHS LEWISHAM CCG (08L)EQ-5D Index</v>
      </c>
      <c r="C2770" t="s">
        <v>247</v>
      </c>
      <c r="D2770" t="s">
        <v>87</v>
      </c>
      <c r="E2770" t="s">
        <v>557</v>
      </c>
      <c r="F2770" t="s">
        <v>558</v>
      </c>
      <c r="G2770" t="s">
        <v>52</v>
      </c>
      <c r="H2770" t="s">
        <v>53</v>
      </c>
      <c r="I2770" t="s">
        <v>53</v>
      </c>
      <c r="J2770" t="s">
        <v>53</v>
      </c>
      <c r="K2770" t="s">
        <v>53</v>
      </c>
      <c r="L2770" t="s">
        <v>53</v>
      </c>
      <c r="M2770" t="s">
        <v>53</v>
      </c>
      <c r="N2770" t="s">
        <v>53</v>
      </c>
      <c r="O2770" t="s">
        <v>53</v>
      </c>
      <c r="P2770" t="s">
        <v>53</v>
      </c>
      <c r="Q2770" t="s">
        <v>53</v>
      </c>
    </row>
    <row r="2771" spans="1:17" x14ac:dyDescent="0.2">
      <c r="A2771" s="30" t="str">
        <f>IF(C2771&amp;G2771&amp;D2771&lt;&gt;'Funnel setup'!$K$3&amp;'Funnel setup'!$K$4&amp;'Funnel setup'!$K$5,".",IF(A2770=".",1,A2770+1))</f>
        <v>.</v>
      </c>
      <c r="B2771" s="431" t="str">
        <f t="shared" si="43"/>
        <v>Hip Replacement RevisionCCG of GP PracticeNHS LINCOLNSHIRE EAST CCG (03T)EQ-5D Index</v>
      </c>
      <c r="C2771" t="s">
        <v>247</v>
      </c>
      <c r="D2771" t="s">
        <v>87</v>
      </c>
      <c r="E2771" t="s">
        <v>560</v>
      </c>
      <c r="F2771" t="s">
        <v>561</v>
      </c>
      <c r="G2771" t="s">
        <v>52</v>
      </c>
      <c r="H2771">
        <v>25</v>
      </c>
      <c r="I2771">
        <v>0.316</v>
      </c>
      <c r="J2771">
        <v>0.59499999999999997</v>
      </c>
      <c r="K2771">
        <v>0.27900000000000003</v>
      </c>
      <c r="L2771">
        <v>16</v>
      </c>
      <c r="M2771">
        <v>3</v>
      </c>
      <c r="N2771">
        <v>6</v>
      </c>
      <c r="O2771" t="s">
        <v>53</v>
      </c>
      <c r="P2771" t="s">
        <v>53</v>
      </c>
      <c r="Q2771" t="s">
        <v>53</v>
      </c>
    </row>
    <row r="2772" spans="1:17" x14ac:dyDescent="0.2">
      <c r="A2772" s="30" t="str">
        <f>IF(C2772&amp;G2772&amp;D2772&lt;&gt;'Funnel setup'!$K$3&amp;'Funnel setup'!$K$4&amp;'Funnel setup'!$K$5,".",IF(A2771=".",1,A2771+1))</f>
        <v>.</v>
      </c>
      <c r="B2772" s="431" t="str">
        <f t="shared" si="43"/>
        <v>Hip Replacement RevisionCCG of GP PracticeNHS LINCOLNSHIRE WEST CCG (04D)EQ-5D Index</v>
      </c>
      <c r="C2772" t="s">
        <v>247</v>
      </c>
      <c r="D2772" t="s">
        <v>87</v>
      </c>
      <c r="E2772" t="s">
        <v>408</v>
      </c>
      <c r="F2772" t="s">
        <v>409</v>
      </c>
      <c r="G2772" t="s">
        <v>52</v>
      </c>
      <c r="H2772">
        <v>6</v>
      </c>
      <c r="I2772">
        <v>0.315</v>
      </c>
      <c r="J2772">
        <v>0.83399999999999996</v>
      </c>
      <c r="K2772">
        <v>0.51900000000000002</v>
      </c>
      <c r="L2772">
        <v>6</v>
      </c>
      <c r="M2772">
        <v>0</v>
      </c>
      <c r="N2772">
        <v>0</v>
      </c>
      <c r="O2772" t="s">
        <v>53</v>
      </c>
      <c r="P2772" t="s">
        <v>53</v>
      </c>
      <c r="Q2772" t="s">
        <v>53</v>
      </c>
    </row>
    <row r="2773" spans="1:17" x14ac:dyDescent="0.2">
      <c r="A2773" s="30" t="str">
        <f>IF(C2773&amp;G2773&amp;D2773&lt;&gt;'Funnel setup'!$K$3&amp;'Funnel setup'!$K$4&amp;'Funnel setup'!$K$5,".",IF(A2772=".",1,A2772+1))</f>
        <v>.</v>
      </c>
      <c r="B2773" s="431" t="str">
        <f t="shared" si="43"/>
        <v>Hip Replacement RevisionCCG of GP PracticeNHS LIVERPOOL CCG (99A)EQ-5D Index</v>
      </c>
      <c r="C2773" t="s">
        <v>247</v>
      </c>
      <c r="D2773" t="s">
        <v>87</v>
      </c>
      <c r="E2773" t="s">
        <v>411</v>
      </c>
      <c r="F2773" t="s">
        <v>412</v>
      </c>
      <c r="G2773" t="s">
        <v>52</v>
      </c>
      <c r="H2773">
        <v>11</v>
      </c>
      <c r="I2773">
        <v>0.122</v>
      </c>
      <c r="J2773">
        <v>0.28999999999999998</v>
      </c>
      <c r="K2773">
        <v>0.16800000000000001</v>
      </c>
      <c r="L2773">
        <v>8</v>
      </c>
      <c r="M2773">
        <v>1</v>
      </c>
      <c r="N2773">
        <v>2</v>
      </c>
      <c r="O2773" t="s">
        <v>53</v>
      </c>
      <c r="P2773" t="s">
        <v>53</v>
      </c>
      <c r="Q2773" t="s">
        <v>53</v>
      </c>
    </row>
    <row r="2774" spans="1:17" x14ac:dyDescent="0.2">
      <c r="A2774" s="30" t="str">
        <f>IF(C2774&amp;G2774&amp;D2774&lt;&gt;'Funnel setup'!$K$3&amp;'Funnel setup'!$K$4&amp;'Funnel setup'!$K$5,".",IF(A2773=".",1,A2773+1))</f>
        <v>.</v>
      </c>
      <c r="B2774" s="431" t="str">
        <f t="shared" si="43"/>
        <v>Hip Replacement RevisionCCG of GP PracticeNHS LUTON CCG (06P)EQ-5D Index</v>
      </c>
      <c r="C2774" t="s">
        <v>247</v>
      </c>
      <c r="D2774" t="s">
        <v>87</v>
      </c>
      <c r="E2774" t="s">
        <v>414</v>
      </c>
      <c r="F2774" t="s">
        <v>415</v>
      </c>
      <c r="G2774" t="s">
        <v>52</v>
      </c>
      <c r="H2774">
        <v>12</v>
      </c>
      <c r="I2774">
        <v>0.34499999999999997</v>
      </c>
      <c r="J2774">
        <v>0.65500000000000003</v>
      </c>
      <c r="K2774">
        <v>0.31</v>
      </c>
      <c r="L2774">
        <v>8</v>
      </c>
      <c r="M2774">
        <v>0</v>
      </c>
      <c r="N2774">
        <v>4</v>
      </c>
      <c r="O2774" t="s">
        <v>53</v>
      </c>
      <c r="P2774" t="s">
        <v>53</v>
      </c>
      <c r="Q2774" t="s">
        <v>53</v>
      </c>
    </row>
    <row r="2775" spans="1:17" x14ac:dyDescent="0.2">
      <c r="A2775" s="30" t="str">
        <f>IF(C2775&amp;G2775&amp;D2775&lt;&gt;'Funnel setup'!$K$3&amp;'Funnel setup'!$K$4&amp;'Funnel setup'!$K$5,".",IF(A2774=".",1,A2774+1))</f>
        <v>.</v>
      </c>
      <c r="B2775" s="431" t="str">
        <f t="shared" si="43"/>
        <v>Hip Replacement RevisionCCG of GP PracticeNHS MANSFIELD AND ASHFIELD CCG (04E)EQ-5D Index</v>
      </c>
      <c r="C2775" t="s">
        <v>247</v>
      </c>
      <c r="D2775" t="s">
        <v>87</v>
      </c>
      <c r="E2775" t="s">
        <v>417</v>
      </c>
      <c r="F2775" t="s">
        <v>418</v>
      </c>
      <c r="G2775" t="s">
        <v>52</v>
      </c>
      <c r="H2775">
        <v>6</v>
      </c>
      <c r="I2775">
        <v>0.53</v>
      </c>
      <c r="J2775">
        <v>0.59</v>
      </c>
      <c r="K2775">
        <v>6.0999999999999999E-2</v>
      </c>
      <c r="L2775">
        <v>3</v>
      </c>
      <c r="M2775">
        <v>0</v>
      </c>
      <c r="N2775">
        <v>3</v>
      </c>
      <c r="O2775" t="s">
        <v>53</v>
      </c>
      <c r="P2775" t="s">
        <v>53</v>
      </c>
      <c r="Q2775" t="s">
        <v>53</v>
      </c>
    </row>
    <row r="2776" spans="1:17" x14ac:dyDescent="0.2">
      <c r="A2776" s="30" t="str">
        <f>IF(C2776&amp;G2776&amp;D2776&lt;&gt;'Funnel setup'!$K$3&amp;'Funnel setup'!$K$4&amp;'Funnel setup'!$K$5,".",IF(A2775=".",1,A2775+1))</f>
        <v>.</v>
      </c>
      <c r="B2776" s="431" t="str">
        <f t="shared" si="43"/>
        <v>Hip Replacement RevisionCCG of GP PracticeNHS MEDWAY CCG (09W)EQ-5D Index</v>
      </c>
      <c r="C2776" t="s">
        <v>247</v>
      </c>
      <c r="D2776" t="s">
        <v>87</v>
      </c>
      <c r="E2776" t="s">
        <v>610</v>
      </c>
      <c r="F2776" t="s">
        <v>611</v>
      </c>
      <c r="G2776" t="s">
        <v>52</v>
      </c>
      <c r="H2776">
        <v>19</v>
      </c>
      <c r="I2776">
        <v>0.35199999999999998</v>
      </c>
      <c r="J2776">
        <v>0.622</v>
      </c>
      <c r="K2776">
        <v>0.26900000000000002</v>
      </c>
      <c r="L2776">
        <v>13</v>
      </c>
      <c r="M2776">
        <v>2</v>
      </c>
      <c r="N2776">
        <v>4</v>
      </c>
      <c r="O2776" t="s">
        <v>53</v>
      </c>
      <c r="P2776" t="s">
        <v>53</v>
      </c>
      <c r="Q2776" t="s">
        <v>53</v>
      </c>
    </row>
    <row r="2777" spans="1:17" x14ac:dyDescent="0.2">
      <c r="A2777" s="30" t="str">
        <f>IF(C2777&amp;G2777&amp;D2777&lt;&gt;'Funnel setup'!$K$3&amp;'Funnel setup'!$K$4&amp;'Funnel setup'!$K$5,".",IF(A2776=".",1,A2776+1))</f>
        <v>.</v>
      </c>
      <c r="B2777" s="431" t="str">
        <f t="shared" si="43"/>
        <v>Hip Replacement RevisionCCG of GP PracticeNHS MERTON CCG (08R)EQ-5D Index</v>
      </c>
      <c r="C2777" t="s">
        <v>247</v>
      </c>
      <c r="D2777" t="s">
        <v>87</v>
      </c>
      <c r="E2777" t="s">
        <v>613</v>
      </c>
      <c r="F2777" t="s">
        <v>614</v>
      </c>
      <c r="G2777" t="s">
        <v>52</v>
      </c>
      <c r="H2777" t="s">
        <v>53</v>
      </c>
      <c r="I2777" t="s">
        <v>53</v>
      </c>
      <c r="J2777" t="s">
        <v>53</v>
      </c>
      <c r="K2777" t="s">
        <v>53</v>
      </c>
      <c r="L2777" t="s">
        <v>53</v>
      </c>
      <c r="M2777" t="s">
        <v>53</v>
      </c>
      <c r="N2777" t="s">
        <v>53</v>
      </c>
      <c r="O2777" t="s">
        <v>53</v>
      </c>
      <c r="P2777" t="s">
        <v>53</v>
      </c>
      <c r="Q2777" t="s">
        <v>53</v>
      </c>
    </row>
    <row r="2778" spans="1:17" x14ac:dyDescent="0.2">
      <c r="A2778" s="30" t="str">
        <f>IF(C2778&amp;G2778&amp;D2778&lt;&gt;'Funnel setup'!$K$3&amp;'Funnel setup'!$K$4&amp;'Funnel setup'!$K$5,".",IF(A2777=".",1,A2777+1))</f>
        <v>.</v>
      </c>
      <c r="B2778" s="431" t="str">
        <f t="shared" si="43"/>
        <v>Hip Replacement RevisionCCG of GP PracticeNHS MID ESSEX CCG (06Q)EQ-5D Index</v>
      </c>
      <c r="C2778" t="s">
        <v>247</v>
      </c>
      <c r="D2778" t="s">
        <v>87</v>
      </c>
      <c r="E2778" t="s">
        <v>616</v>
      </c>
      <c r="F2778" t="s">
        <v>617</v>
      </c>
      <c r="G2778" t="s">
        <v>52</v>
      </c>
      <c r="H2778">
        <v>22</v>
      </c>
      <c r="I2778">
        <v>0.39200000000000002</v>
      </c>
      <c r="J2778">
        <v>0.78500000000000003</v>
      </c>
      <c r="K2778">
        <v>0.39300000000000002</v>
      </c>
      <c r="L2778">
        <v>17</v>
      </c>
      <c r="M2778">
        <v>4</v>
      </c>
      <c r="N2778">
        <v>1</v>
      </c>
      <c r="O2778" t="s">
        <v>53</v>
      </c>
      <c r="P2778" t="s">
        <v>53</v>
      </c>
      <c r="Q2778" t="s">
        <v>53</v>
      </c>
    </row>
    <row r="2779" spans="1:17" x14ac:dyDescent="0.2">
      <c r="A2779" s="30" t="str">
        <f>IF(C2779&amp;G2779&amp;D2779&lt;&gt;'Funnel setup'!$K$3&amp;'Funnel setup'!$K$4&amp;'Funnel setup'!$K$5,".",IF(A2778=".",1,A2778+1))</f>
        <v>.</v>
      </c>
      <c r="B2779" s="431" t="str">
        <f t="shared" si="43"/>
        <v>Hip Replacement RevisionCCG of GP PracticeNHS MILTON KEYNES CCG (04F)EQ-5D Index</v>
      </c>
      <c r="C2779" t="s">
        <v>247</v>
      </c>
      <c r="D2779" t="s">
        <v>87</v>
      </c>
      <c r="E2779" t="s">
        <v>619</v>
      </c>
      <c r="F2779" t="s">
        <v>338</v>
      </c>
      <c r="G2779" t="s">
        <v>52</v>
      </c>
      <c r="H2779" t="s">
        <v>53</v>
      </c>
      <c r="I2779" t="s">
        <v>53</v>
      </c>
      <c r="J2779" t="s">
        <v>53</v>
      </c>
      <c r="K2779" t="s">
        <v>53</v>
      </c>
      <c r="L2779" t="s">
        <v>53</v>
      </c>
      <c r="M2779" t="s">
        <v>53</v>
      </c>
      <c r="N2779" t="s">
        <v>53</v>
      </c>
      <c r="O2779" t="s">
        <v>53</v>
      </c>
      <c r="P2779" t="s">
        <v>53</v>
      </c>
      <c r="Q2779" t="s">
        <v>53</v>
      </c>
    </row>
    <row r="2780" spans="1:17" x14ac:dyDescent="0.2">
      <c r="A2780" s="30" t="str">
        <f>IF(C2780&amp;G2780&amp;D2780&lt;&gt;'Funnel setup'!$K$3&amp;'Funnel setup'!$K$4&amp;'Funnel setup'!$K$5,".",IF(A2779=".",1,A2779+1))</f>
        <v>.</v>
      </c>
      <c r="B2780" s="431" t="str">
        <f t="shared" si="43"/>
        <v>Hip Replacement RevisionCCG of GP PracticeNHS NENE CCG (04G)EQ-5D Index</v>
      </c>
      <c r="C2780" t="s">
        <v>247</v>
      </c>
      <c r="D2780" t="s">
        <v>87</v>
      </c>
      <c r="E2780" t="s">
        <v>621</v>
      </c>
      <c r="F2780" t="s">
        <v>622</v>
      </c>
      <c r="G2780" t="s">
        <v>52</v>
      </c>
      <c r="H2780">
        <v>41</v>
      </c>
      <c r="I2780">
        <v>0.40300000000000002</v>
      </c>
      <c r="J2780">
        <v>0.67600000000000005</v>
      </c>
      <c r="K2780">
        <v>0.27300000000000002</v>
      </c>
      <c r="L2780">
        <v>28</v>
      </c>
      <c r="M2780">
        <v>6</v>
      </c>
      <c r="N2780">
        <v>7</v>
      </c>
      <c r="O2780">
        <v>0.68500000000000005</v>
      </c>
      <c r="P2780">
        <v>0.28622319000000002</v>
      </c>
      <c r="Q2780">
        <v>0.254</v>
      </c>
    </row>
    <row r="2781" spans="1:17" x14ac:dyDescent="0.2">
      <c r="A2781" s="30" t="str">
        <f>IF(C2781&amp;G2781&amp;D2781&lt;&gt;'Funnel setup'!$K$3&amp;'Funnel setup'!$K$4&amp;'Funnel setup'!$K$5,".",IF(A2780=".",1,A2780+1))</f>
        <v>.</v>
      </c>
      <c r="B2781" s="431" t="str">
        <f t="shared" si="43"/>
        <v>Hip Replacement RevisionCCG of GP PracticeNHS NEWARK &amp; SHERWOOD CCG (04H)EQ-5D Index</v>
      </c>
      <c r="C2781" t="s">
        <v>247</v>
      </c>
      <c r="D2781" t="s">
        <v>87</v>
      </c>
      <c r="E2781" t="s">
        <v>624</v>
      </c>
      <c r="F2781" t="s">
        <v>625</v>
      </c>
      <c r="G2781" t="s">
        <v>52</v>
      </c>
      <c r="H2781">
        <v>7</v>
      </c>
      <c r="I2781">
        <v>0.3</v>
      </c>
      <c r="J2781">
        <v>0.56899999999999995</v>
      </c>
      <c r="K2781">
        <v>0.26900000000000002</v>
      </c>
      <c r="L2781">
        <v>5</v>
      </c>
      <c r="M2781">
        <v>0</v>
      </c>
      <c r="N2781">
        <v>2</v>
      </c>
      <c r="O2781" t="s">
        <v>53</v>
      </c>
      <c r="P2781" t="s">
        <v>53</v>
      </c>
      <c r="Q2781" t="s">
        <v>53</v>
      </c>
    </row>
    <row r="2782" spans="1:17" x14ac:dyDescent="0.2">
      <c r="A2782" s="30" t="str">
        <f>IF(C2782&amp;G2782&amp;D2782&lt;&gt;'Funnel setup'!$K$3&amp;'Funnel setup'!$K$4&amp;'Funnel setup'!$K$5,".",IF(A2781=".",1,A2781+1))</f>
        <v>.</v>
      </c>
      <c r="B2782" s="431" t="str">
        <f t="shared" si="43"/>
        <v>Hip Replacement RevisionCCG of GP PracticeNHS NEWBURY AND DISTRICT CCG (10M)EQ-5D Index</v>
      </c>
      <c r="C2782" t="s">
        <v>247</v>
      </c>
      <c r="D2782" t="s">
        <v>87</v>
      </c>
      <c r="E2782" t="s">
        <v>627</v>
      </c>
      <c r="F2782" t="s">
        <v>628</v>
      </c>
      <c r="G2782" t="s">
        <v>52</v>
      </c>
      <c r="H2782" t="s">
        <v>53</v>
      </c>
      <c r="I2782" t="s">
        <v>53</v>
      </c>
      <c r="J2782" t="s">
        <v>53</v>
      </c>
      <c r="K2782" t="s">
        <v>53</v>
      </c>
      <c r="L2782" t="s">
        <v>53</v>
      </c>
      <c r="M2782" t="s">
        <v>53</v>
      </c>
      <c r="N2782" t="s">
        <v>53</v>
      </c>
      <c r="O2782" t="s">
        <v>53</v>
      </c>
      <c r="P2782" t="s">
        <v>53</v>
      </c>
      <c r="Q2782" t="s">
        <v>53</v>
      </c>
    </row>
    <row r="2783" spans="1:17" x14ac:dyDescent="0.2">
      <c r="A2783" s="30" t="str">
        <f>IF(C2783&amp;G2783&amp;D2783&lt;&gt;'Funnel setup'!$K$3&amp;'Funnel setup'!$K$4&amp;'Funnel setup'!$K$5,".",IF(A2782=".",1,A2782+1))</f>
        <v>.</v>
      </c>
      <c r="B2783" s="431" t="str">
        <f t="shared" si="43"/>
        <v>Hip Replacement RevisionCCG of GP PracticeNHS NEWCASTLE GATESHEAD CCG (13T)EQ-5D Index</v>
      </c>
      <c r="C2783" t="s">
        <v>247</v>
      </c>
      <c r="D2783" t="s">
        <v>87</v>
      </c>
      <c r="E2783" t="s">
        <v>6553</v>
      </c>
      <c r="F2783" t="s">
        <v>6543</v>
      </c>
      <c r="G2783" t="s">
        <v>52</v>
      </c>
      <c r="H2783">
        <v>24</v>
      </c>
      <c r="I2783">
        <v>0.42299999999999999</v>
      </c>
      <c r="J2783">
        <v>0.752</v>
      </c>
      <c r="K2783">
        <v>0.32800000000000001</v>
      </c>
      <c r="L2783">
        <v>18</v>
      </c>
      <c r="M2783">
        <v>3</v>
      </c>
      <c r="N2783">
        <v>3</v>
      </c>
      <c r="O2783" t="s">
        <v>53</v>
      </c>
      <c r="P2783" t="s">
        <v>53</v>
      </c>
      <c r="Q2783" t="s">
        <v>53</v>
      </c>
    </row>
    <row r="2784" spans="1:17" x14ac:dyDescent="0.2">
      <c r="A2784" s="30" t="str">
        <f>IF(C2784&amp;G2784&amp;D2784&lt;&gt;'Funnel setup'!$K$3&amp;'Funnel setup'!$K$4&amp;'Funnel setup'!$K$5,".",IF(A2783=".",1,A2783+1))</f>
        <v>.</v>
      </c>
      <c r="B2784" s="431" t="str">
        <f t="shared" si="43"/>
        <v>Hip Replacement RevisionCCG of GP PracticeNHS NEWHAM CCG (08M)EQ-5D Index</v>
      </c>
      <c r="C2784" t="s">
        <v>247</v>
      </c>
      <c r="D2784" t="s">
        <v>87</v>
      </c>
      <c r="E2784" t="s">
        <v>630</v>
      </c>
      <c r="F2784" t="s">
        <v>631</v>
      </c>
      <c r="G2784" t="s">
        <v>52</v>
      </c>
      <c r="H2784" t="s">
        <v>53</v>
      </c>
      <c r="I2784" t="s">
        <v>53</v>
      </c>
      <c r="J2784" t="s">
        <v>53</v>
      </c>
      <c r="K2784" t="s">
        <v>53</v>
      </c>
      <c r="L2784" t="s">
        <v>53</v>
      </c>
      <c r="M2784" t="s">
        <v>53</v>
      </c>
      <c r="N2784" t="s">
        <v>53</v>
      </c>
      <c r="O2784" t="s">
        <v>53</v>
      </c>
      <c r="P2784" t="s">
        <v>53</v>
      </c>
      <c r="Q2784" t="s">
        <v>53</v>
      </c>
    </row>
    <row r="2785" spans="1:17" x14ac:dyDescent="0.2">
      <c r="A2785" s="30" t="str">
        <f>IF(C2785&amp;G2785&amp;D2785&lt;&gt;'Funnel setup'!$K$3&amp;'Funnel setup'!$K$4&amp;'Funnel setup'!$K$5,".",IF(A2784=".",1,A2784+1))</f>
        <v>.</v>
      </c>
      <c r="B2785" s="431" t="str">
        <f t="shared" si="43"/>
        <v>Hip Replacement RevisionCCG of GP PracticeNHS NORTH &amp; WEST READING CCG (10N)EQ-5D Index</v>
      </c>
      <c r="C2785" t="s">
        <v>247</v>
      </c>
      <c r="D2785" t="s">
        <v>87</v>
      </c>
      <c r="E2785" t="s">
        <v>633</v>
      </c>
      <c r="F2785" t="s">
        <v>634</v>
      </c>
      <c r="G2785" t="s">
        <v>52</v>
      </c>
      <c r="H2785">
        <v>7</v>
      </c>
      <c r="I2785">
        <v>0.55700000000000005</v>
      </c>
      <c r="J2785">
        <v>0.67300000000000004</v>
      </c>
      <c r="K2785">
        <v>0.11600000000000001</v>
      </c>
      <c r="L2785">
        <v>4</v>
      </c>
      <c r="M2785">
        <v>1</v>
      </c>
      <c r="N2785">
        <v>2</v>
      </c>
      <c r="O2785" t="s">
        <v>53</v>
      </c>
      <c r="P2785" t="s">
        <v>53</v>
      </c>
      <c r="Q2785" t="s">
        <v>53</v>
      </c>
    </row>
    <row r="2786" spans="1:17" x14ac:dyDescent="0.2">
      <c r="A2786" s="30" t="str">
        <f>IF(C2786&amp;G2786&amp;D2786&lt;&gt;'Funnel setup'!$K$3&amp;'Funnel setup'!$K$4&amp;'Funnel setup'!$K$5,".",IF(A2785=".",1,A2785+1))</f>
        <v>.</v>
      </c>
      <c r="B2786" s="431" t="str">
        <f t="shared" si="43"/>
        <v>Hip Replacement RevisionCCG of GP PracticeNHS NORTH DERBYSHIRE CCG (04J)EQ-5D Index</v>
      </c>
      <c r="C2786" t="s">
        <v>247</v>
      </c>
      <c r="D2786" t="s">
        <v>87</v>
      </c>
      <c r="E2786" t="s">
        <v>636</v>
      </c>
      <c r="F2786" t="s">
        <v>637</v>
      </c>
      <c r="G2786" t="s">
        <v>52</v>
      </c>
      <c r="H2786">
        <v>16</v>
      </c>
      <c r="I2786">
        <v>0.41399999999999998</v>
      </c>
      <c r="J2786">
        <v>0.69399999999999995</v>
      </c>
      <c r="K2786">
        <v>0.28000000000000003</v>
      </c>
      <c r="L2786">
        <v>9</v>
      </c>
      <c r="M2786">
        <v>4</v>
      </c>
      <c r="N2786">
        <v>3</v>
      </c>
      <c r="O2786" t="s">
        <v>53</v>
      </c>
      <c r="P2786" t="s">
        <v>53</v>
      </c>
      <c r="Q2786" t="s">
        <v>53</v>
      </c>
    </row>
    <row r="2787" spans="1:17" x14ac:dyDescent="0.2">
      <c r="A2787" s="30" t="str">
        <f>IF(C2787&amp;G2787&amp;D2787&lt;&gt;'Funnel setup'!$K$3&amp;'Funnel setup'!$K$4&amp;'Funnel setup'!$K$5,".",IF(A2786=".",1,A2786+1))</f>
        <v>.</v>
      </c>
      <c r="B2787" s="431" t="str">
        <f t="shared" si="43"/>
        <v>Hip Replacement RevisionCCG of GP PracticeNHS NORTH DURHAM CCG (00J)EQ-5D Index</v>
      </c>
      <c r="C2787" t="s">
        <v>247</v>
      </c>
      <c r="D2787" t="s">
        <v>87</v>
      </c>
      <c r="E2787" t="s">
        <v>639</v>
      </c>
      <c r="F2787" t="s">
        <v>640</v>
      </c>
      <c r="G2787" t="s">
        <v>52</v>
      </c>
      <c r="H2787">
        <v>13</v>
      </c>
      <c r="I2787">
        <v>0.253</v>
      </c>
      <c r="J2787">
        <v>0.52100000000000002</v>
      </c>
      <c r="K2787">
        <v>0.26800000000000002</v>
      </c>
      <c r="L2787">
        <v>10</v>
      </c>
      <c r="M2787">
        <v>1</v>
      </c>
      <c r="N2787">
        <v>2</v>
      </c>
      <c r="O2787" t="s">
        <v>53</v>
      </c>
      <c r="P2787" t="s">
        <v>53</v>
      </c>
      <c r="Q2787" t="s">
        <v>53</v>
      </c>
    </row>
    <row r="2788" spans="1:17" x14ac:dyDescent="0.2">
      <c r="A2788" s="30" t="str">
        <f>IF(C2788&amp;G2788&amp;D2788&lt;&gt;'Funnel setup'!$K$3&amp;'Funnel setup'!$K$4&amp;'Funnel setup'!$K$5,".",IF(A2787=".",1,A2787+1))</f>
        <v>.</v>
      </c>
      <c r="B2788" s="431" t="str">
        <f t="shared" si="43"/>
        <v>Hip Replacement RevisionCCG of GP PracticeNHS NORTH EAST ESSEX CCG (06T)EQ-5D Index</v>
      </c>
      <c r="C2788" t="s">
        <v>247</v>
      </c>
      <c r="D2788" t="s">
        <v>87</v>
      </c>
      <c r="E2788" t="s">
        <v>642</v>
      </c>
      <c r="F2788" t="s">
        <v>643</v>
      </c>
      <c r="G2788" t="s">
        <v>52</v>
      </c>
      <c r="H2788">
        <v>20</v>
      </c>
      <c r="I2788">
        <v>0.34</v>
      </c>
      <c r="J2788">
        <v>0.66800000000000004</v>
      </c>
      <c r="K2788">
        <v>0.32900000000000001</v>
      </c>
      <c r="L2788">
        <v>18</v>
      </c>
      <c r="M2788">
        <v>1</v>
      </c>
      <c r="N2788">
        <v>1</v>
      </c>
      <c r="O2788" t="s">
        <v>53</v>
      </c>
      <c r="P2788" t="s">
        <v>53</v>
      </c>
      <c r="Q2788" t="s">
        <v>53</v>
      </c>
    </row>
    <row r="2789" spans="1:17" x14ac:dyDescent="0.2">
      <c r="A2789" s="30" t="str">
        <f>IF(C2789&amp;G2789&amp;D2789&lt;&gt;'Funnel setup'!$K$3&amp;'Funnel setup'!$K$4&amp;'Funnel setup'!$K$5,".",IF(A2788=".",1,A2788+1))</f>
        <v>.</v>
      </c>
      <c r="B2789" s="431" t="str">
        <f t="shared" si="43"/>
        <v>Hip Replacement RevisionCCG of GP PracticeNHS NORTH EAST HAMPSHIRE AND FARNHAM CCG (99M)EQ-5D Index</v>
      </c>
      <c r="C2789" t="s">
        <v>247</v>
      </c>
      <c r="D2789" t="s">
        <v>87</v>
      </c>
      <c r="E2789" t="s">
        <v>645</v>
      </c>
      <c r="F2789" t="s">
        <v>646</v>
      </c>
      <c r="G2789" t="s">
        <v>52</v>
      </c>
      <c r="H2789">
        <v>14</v>
      </c>
      <c r="I2789">
        <v>0.45800000000000002</v>
      </c>
      <c r="J2789">
        <v>0.68899999999999995</v>
      </c>
      <c r="K2789">
        <v>0.23200000000000001</v>
      </c>
      <c r="L2789">
        <v>8</v>
      </c>
      <c r="M2789">
        <v>2</v>
      </c>
      <c r="N2789">
        <v>4</v>
      </c>
      <c r="O2789" t="s">
        <v>53</v>
      </c>
      <c r="P2789" t="s">
        <v>53</v>
      </c>
      <c r="Q2789" t="s">
        <v>53</v>
      </c>
    </row>
    <row r="2790" spans="1:17" x14ac:dyDescent="0.2">
      <c r="A2790" s="30" t="str">
        <f>IF(C2790&amp;G2790&amp;D2790&lt;&gt;'Funnel setup'!$K$3&amp;'Funnel setup'!$K$4&amp;'Funnel setup'!$K$5,".",IF(A2789=".",1,A2789+1))</f>
        <v>.</v>
      </c>
      <c r="B2790" s="431" t="str">
        <f t="shared" si="43"/>
        <v>Hip Replacement RevisionCCG of GP PracticeNHS NORTH EAST LINCOLNSHIRE CCG (03H)EQ-5D Index</v>
      </c>
      <c r="C2790" t="s">
        <v>247</v>
      </c>
      <c r="D2790" t="s">
        <v>87</v>
      </c>
      <c r="E2790" t="s">
        <v>648</v>
      </c>
      <c r="F2790" t="s">
        <v>649</v>
      </c>
      <c r="G2790" t="s">
        <v>52</v>
      </c>
      <c r="H2790" t="s">
        <v>53</v>
      </c>
      <c r="I2790" t="s">
        <v>53</v>
      </c>
      <c r="J2790" t="s">
        <v>53</v>
      </c>
      <c r="K2790" t="s">
        <v>53</v>
      </c>
      <c r="L2790" t="s">
        <v>53</v>
      </c>
      <c r="M2790" t="s">
        <v>53</v>
      </c>
      <c r="N2790" t="s">
        <v>53</v>
      </c>
      <c r="O2790" t="s">
        <v>53</v>
      </c>
      <c r="P2790" t="s">
        <v>53</v>
      </c>
      <c r="Q2790" t="s">
        <v>53</v>
      </c>
    </row>
    <row r="2791" spans="1:17" x14ac:dyDescent="0.2">
      <c r="A2791" s="30" t="str">
        <f>IF(C2791&amp;G2791&amp;D2791&lt;&gt;'Funnel setup'!$K$3&amp;'Funnel setup'!$K$4&amp;'Funnel setup'!$K$5,".",IF(A2790=".",1,A2790+1))</f>
        <v>.</v>
      </c>
      <c r="B2791" s="431" t="str">
        <f t="shared" si="43"/>
        <v>Hip Replacement RevisionCCG of GP PracticeNHS NORTH HAMPSHIRE CCG (10J)EQ-5D Index</v>
      </c>
      <c r="C2791" t="s">
        <v>247</v>
      </c>
      <c r="D2791" t="s">
        <v>87</v>
      </c>
      <c r="E2791" t="s">
        <v>651</v>
      </c>
      <c r="F2791" t="s">
        <v>652</v>
      </c>
      <c r="G2791" t="s">
        <v>52</v>
      </c>
      <c r="H2791">
        <v>13</v>
      </c>
      <c r="I2791">
        <v>0.42499999999999999</v>
      </c>
      <c r="J2791">
        <v>0.81899999999999995</v>
      </c>
      <c r="K2791">
        <v>0.39400000000000002</v>
      </c>
      <c r="L2791">
        <v>13</v>
      </c>
      <c r="M2791">
        <v>0</v>
      </c>
      <c r="N2791">
        <v>0</v>
      </c>
      <c r="O2791" t="s">
        <v>53</v>
      </c>
      <c r="P2791" t="s">
        <v>53</v>
      </c>
      <c r="Q2791" t="s">
        <v>53</v>
      </c>
    </row>
    <row r="2792" spans="1:17" x14ac:dyDescent="0.2">
      <c r="A2792" s="30" t="str">
        <f>IF(C2792&amp;G2792&amp;D2792&lt;&gt;'Funnel setup'!$K$3&amp;'Funnel setup'!$K$4&amp;'Funnel setup'!$K$5,".",IF(A2791=".",1,A2791+1))</f>
        <v>.</v>
      </c>
      <c r="B2792" s="431" t="str">
        <f t="shared" si="43"/>
        <v>Hip Replacement RevisionCCG of GP PracticeNHS NORTH KIRKLEES CCG (03J)EQ-5D Index</v>
      </c>
      <c r="C2792" t="s">
        <v>247</v>
      </c>
      <c r="D2792" t="s">
        <v>87</v>
      </c>
      <c r="E2792" t="s">
        <v>654</v>
      </c>
      <c r="F2792" t="s">
        <v>655</v>
      </c>
      <c r="G2792" t="s">
        <v>52</v>
      </c>
      <c r="H2792" t="s">
        <v>53</v>
      </c>
      <c r="I2792" t="s">
        <v>53</v>
      </c>
      <c r="J2792" t="s">
        <v>53</v>
      </c>
      <c r="K2792" t="s">
        <v>53</v>
      </c>
      <c r="L2792" t="s">
        <v>53</v>
      </c>
      <c r="M2792" t="s">
        <v>53</v>
      </c>
      <c r="N2792" t="s">
        <v>53</v>
      </c>
      <c r="O2792" t="s">
        <v>53</v>
      </c>
      <c r="P2792" t="s">
        <v>53</v>
      </c>
      <c r="Q2792" t="s">
        <v>53</v>
      </c>
    </row>
    <row r="2793" spans="1:17" x14ac:dyDescent="0.2">
      <c r="A2793" s="30" t="str">
        <f>IF(C2793&amp;G2793&amp;D2793&lt;&gt;'Funnel setup'!$K$3&amp;'Funnel setup'!$K$4&amp;'Funnel setup'!$K$5,".",IF(A2792=".",1,A2792+1))</f>
        <v>.</v>
      </c>
      <c r="B2793" s="431" t="str">
        <f t="shared" si="43"/>
        <v>Hip Replacement RevisionCCG of GP PracticeNHS NORTH LINCOLNSHIRE CCG (03K)EQ-5D Index</v>
      </c>
      <c r="C2793" t="s">
        <v>247</v>
      </c>
      <c r="D2793" t="s">
        <v>87</v>
      </c>
      <c r="E2793" t="s">
        <v>657</v>
      </c>
      <c r="F2793" t="s">
        <v>658</v>
      </c>
      <c r="G2793" t="s">
        <v>52</v>
      </c>
      <c r="H2793">
        <v>8</v>
      </c>
      <c r="I2793">
        <v>0.40699999999999997</v>
      </c>
      <c r="J2793">
        <v>0.63500000000000001</v>
      </c>
      <c r="K2793">
        <v>0.22800000000000001</v>
      </c>
      <c r="L2793">
        <v>7</v>
      </c>
      <c r="M2793">
        <v>0</v>
      </c>
      <c r="N2793">
        <v>1</v>
      </c>
      <c r="O2793" t="s">
        <v>53</v>
      </c>
      <c r="P2793" t="s">
        <v>53</v>
      </c>
      <c r="Q2793" t="s">
        <v>53</v>
      </c>
    </row>
    <row r="2794" spans="1:17" x14ac:dyDescent="0.2">
      <c r="A2794" s="30" t="str">
        <f>IF(C2794&amp;G2794&amp;D2794&lt;&gt;'Funnel setup'!$K$3&amp;'Funnel setup'!$K$4&amp;'Funnel setup'!$K$5,".",IF(A2793=".",1,A2793+1))</f>
        <v>.</v>
      </c>
      <c r="B2794" s="431" t="str">
        <f t="shared" si="43"/>
        <v>Hip Replacement RevisionCCG of GP PracticeNHS NORTH MANCHESTER CCG (01M)EQ-5D Index</v>
      </c>
      <c r="C2794" t="s">
        <v>247</v>
      </c>
      <c r="D2794" t="s">
        <v>87</v>
      </c>
      <c r="E2794" t="s">
        <v>660</v>
      </c>
      <c r="F2794" t="s">
        <v>661</v>
      </c>
      <c r="G2794" t="s">
        <v>52</v>
      </c>
      <c r="H2794">
        <v>6</v>
      </c>
      <c r="I2794">
        <v>0.44900000000000001</v>
      </c>
      <c r="J2794">
        <v>0.69699999999999995</v>
      </c>
      <c r="K2794">
        <v>0.247</v>
      </c>
      <c r="L2794">
        <v>5</v>
      </c>
      <c r="M2794">
        <v>0</v>
      </c>
      <c r="N2794">
        <v>1</v>
      </c>
      <c r="O2794" t="s">
        <v>53</v>
      </c>
      <c r="P2794" t="s">
        <v>53</v>
      </c>
      <c r="Q2794" t="s">
        <v>53</v>
      </c>
    </row>
    <row r="2795" spans="1:17" x14ac:dyDescent="0.2">
      <c r="A2795" s="30" t="str">
        <f>IF(C2795&amp;G2795&amp;D2795&lt;&gt;'Funnel setup'!$K$3&amp;'Funnel setup'!$K$4&amp;'Funnel setup'!$K$5,".",IF(A2794=".",1,A2794+1))</f>
        <v>.</v>
      </c>
      <c r="B2795" s="431" t="str">
        <f t="shared" si="43"/>
        <v>Hip Replacement RevisionCCG of GP PracticeNHS NORTH NORFOLK CCG (06V)EQ-5D Index</v>
      </c>
      <c r="C2795" t="s">
        <v>247</v>
      </c>
      <c r="D2795" t="s">
        <v>87</v>
      </c>
      <c r="E2795" t="s">
        <v>663</v>
      </c>
      <c r="F2795" t="s">
        <v>664</v>
      </c>
      <c r="G2795" t="s">
        <v>52</v>
      </c>
      <c r="H2795">
        <v>15</v>
      </c>
      <c r="I2795">
        <v>0.42</v>
      </c>
      <c r="J2795">
        <v>0.746</v>
      </c>
      <c r="K2795">
        <v>0.32600000000000001</v>
      </c>
      <c r="L2795">
        <v>13</v>
      </c>
      <c r="M2795">
        <v>1</v>
      </c>
      <c r="N2795">
        <v>1</v>
      </c>
      <c r="O2795" t="s">
        <v>53</v>
      </c>
      <c r="P2795" t="s">
        <v>53</v>
      </c>
      <c r="Q2795" t="s">
        <v>53</v>
      </c>
    </row>
    <row r="2796" spans="1:17" x14ac:dyDescent="0.2">
      <c r="A2796" s="30" t="str">
        <f>IF(C2796&amp;G2796&amp;D2796&lt;&gt;'Funnel setup'!$K$3&amp;'Funnel setup'!$K$4&amp;'Funnel setup'!$K$5,".",IF(A2795=".",1,A2795+1))</f>
        <v>.</v>
      </c>
      <c r="B2796" s="431" t="str">
        <f t="shared" si="43"/>
        <v>Hip Replacement RevisionCCG of GP PracticeNHS NORTH SOMERSET CCG (11T)EQ-5D Index</v>
      </c>
      <c r="C2796" t="s">
        <v>247</v>
      </c>
      <c r="D2796" t="s">
        <v>87</v>
      </c>
      <c r="E2796" t="s">
        <v>666</v>
      </c>
      <c r="F2796" t="s">
        <v>667</v>
      </c>
      <c r="G2796" t="s">
        <v>52</v>
      </c>
      <c r="H2796">
        <v>14</v>
      </c>
      <c r="I2796">
        <v>0.62</v>
      </c>
      <c r="J2796">
        <v>0.85599999999999998</v>
      </c>
      <c r="K2796">
        <v>0.23599999999999999</v>
      </c>
      <c r="L2796">
        <v>8</v>
      </c>
      <c r="M2796">
        <v>5</v>
      </c>
      <c r="N2796">
        <v>1</v>
      </c>
      <c r="O2796" t="s">
        <v>53</v>
      </c>
      <c r="P2796" t="s">
        <v>53</v>
      </c>
      <c r="Q2796" t="s">
        <v>53</v>
      </c>
    </row>
    <row r="2797" spans="1:17" x14ac:dyDescent="0.2">
      <c r="A2797" s="30" t="str">
        <f>IF(C2797&amp;G2797&amp;D2797&lt;&gt;'Funnel setup'!$K$3&amp;'Funnel setup'!$K$4&amp;'Funnel setup'!$K$5,".",IF(A2796=".",1,A2796+1))</f>
        <v>.</v>
      </c>
      <c r="B2797" s="431" t="str">
        <f t="shared" si="43"/>
        <v>Hip Replacement RevisionCCG of GP PracticeNHS NORTH STAFFORDSHIRE CCG (05G)EQ-5D Index</v>
      </c>
      <c r="C2797" t="s">
        <v>247</v>
      </c>
      <c r="D2797" t="s">
        <v>87</v>
      </c>
      <c r="E2797" t="s">
        <v>669</v>
      </c>
      <c r="F2797" t="s">
        <v>670</v>
      </c>
      <c r="G2797" t="s">
        <v>52</v>
      </c>
      <c r="H2797">
        <v>9</v>
      </c>
      <c r="I2797">
        <v>0.32400000000000001</v>
      </c>
      <c r="J2797">
        <v>0.67700000000000005</v>
      </c>
      <c r="K2797">
        <v>0.35299999999999998</v>
      </c>
      <c r="L2797">
        <v>8</v>
      </c>
      <c r="M2797">
        <v>0</v>
      </c>
      <c r="N2797">
        <v>1</v>
      </c>
      <c r="O2797" t="s">
        <v>53</v>
      </c>
      <c r="P2797" t="s">
        <v>53</v>
      </c>
      <c r="Q2797" t="s">
        <v>53</v>
      </c>
    </row>
    <row r="2798" spans="1:17" x14ac:dyDescent="0.2">
      <c r="A2798" s="30" t="str">
        <f>IF(C2798&amp;G2798&amp;D2798&lt;&gt;'Funnel setup'!$K$3&amp;'Funnel setup'!$K$4&amp;'Funnel setup'!$K$5,".",IF(A2797=".",1,A2797+1))</f>
        <v>.</v>
      </c>
      <c r="B2798" s="431" t="str">
        <f t="shared" si="43"/>
        <v>Hip Replacement RevisionCCG of GP PracticeNHS NORTH TYNESIDE CCG (99C)EQ-5D Index</v>
      </c>
      <c r="C2798" t="s">
        <v>247</v>
      </c>
      <c r="D2798" t="s">
        <v>87</v>
      </c>
      <c r="E2798" t="s">
        <v>672</v>
      </c>
      <c r="F2798" t="s">
        <v>673</v>
      </c>
      <c r="G2798" t="s">
        <v>52</v>
      </c>
      <c r="H2798">
        <v>13</v>
      </c>
      <c r="I2798">
        <v>0.42799999999999999</v>
      </c>
      <c r="J2798">
        <v>0.71799999999999997</v>
      </c>
      <c r="K2798">
        <v>0.28999999999999998</v>
      </c>
      <c r="L2798">
        <v>8</v>
      </c>
      <c r="M2798">
        <v>2</v>
      </c>
      <c r="N2798">
        <v>3</v>
      </c>
      <c r="O2798" t="s">
        <v>53</v>
      </c>
      <c r="P2798" t="s">
        <v>53</v>
      </c>
      <c r="Q2798" t="s">
        <v>53</v>
      </c>
    </row>
    <row r="2799" spans="1:17" x14ac:dyDescent="0.2">
      <c r="A2799" s="30" t="str">
        <f>IF(C2799&amp;G2799&amp;D2799&lt;&gt;'Funnel setup'!$K$3&amp;'Funnel setup'!$K$4&amp;'Funnel setup'!$K$5,".",IF(A2798=".",1,A2798+1))</f>
        <v>.</v>
      </c>
      <c r="B2799" s="431" t="str">
        <f t="shared" si="43"/>
        <v>Hip Replacement RevisionCCG of GP PracticeNHS NORTH WEST SURREY CCG (09Y)EQ-5D Index</v>
      </c>
      <c r="C2799" t="s">
        <v>247</v>
      </c>
      <c r="D2799" t="s">
        <v>87</v>
      </c>
      <c r="E2799" t="s">
        <v>675</v>
      </c>
      <c r="F2799" t="s">
        <v>676</v>
      </c>
      <c r="G2799" t="s">
        <v>52</v>
      </c>
      <c r="H2799">
        <v>16</v>
      </c>
      <c r="I2799">
        <v>0.60699999999999998</v>
      </c>
      <c r="J2799">
        <v>0.71599999999999997</v>
      </c>
      <c r="K2799">
        <v>0.109</v>
      </c>
      <c r="L2799">
        <v>8</v>
      </c>
      <c r="M2799">
        <v>6</v>
      </c>
      <c r="N2799">
        <v>2</v>
      </c>
      <c r="O2799" t="s">
        <v>53</v>
      </c>
      <c r="P2799" t="s">
        <v>53</v>
      </c>
      <c r="Q2799" t="s">
        <v>53</v>
      </c>
    </row>
    <row r="2800" spans="1:17" x14ac:dyDescent="0.2">
      <c r="A2800" s="30" t="str">
        <f>IF(C2800&amp;G2800&amp;D2800&lt;&gt;'Funnel setup'!$K$3&amp;'Funnel setup'!$K$4&amp;'Funnel setup'!$K$5,".",IF(A2799=".",1,A2799+1))</f>
        <v>.</v>
      </c>
      <c r="B2800" s="431" t="str">
        <f t="shared" si="43"/>
        <v>Hip Replacement RevisionCCG of GP PracticeNHS NORTHERN, EASTERN AND WESTERN DEVON CCG (99P)EQ-5D Index</v>
      </c>
      <c r="C2800" t="s">
        <v>247</v>
      </c>
      <c r="D2800" t="s">
        <v>87</v>
      </c>
      <c r="E2800" t="s">
        <v>678</v>
      </c>
      <c r="F2800" t="s">
        <v>679</v>
      </c>
      <c r="G2800" t="s">
        <v>52</v>
      </c>
      <c r="H2800">
        <v>70</v>
      </c>
      <c r="I2800">
        <v>0.38600000000000001</v>
      </c>
      <c r="J2800">
        <v>0.65500000000000003</v>
      </c>
      <c r="K2800">
        <v>0.27</v>
      </c>
      <c r="L2800">
        <v>55</v>
      </c>
      <c r="M2800">
        <v>6</v>
      </c>
      <c r="N2800">
        <v>9</v>
      </c>
      <c r="O2800">
        <v>0.66100000000000003</v>
      </c>
      <c r="P2800">
        <v>0.26234974900000002</v>
      </c>
      <c r="Q2800">
        <v>0.27200000000000002</v>
      </c>
    </row>
    <row r="2801" spans="1:17" x14ac:dyDescent="0.2">
      <c r="A2801" s="30" t="str">
        <f>IF(C2801&amp;G2801&amp;D2801&lt;&gt;'Funnel setup'!$K$3&amp;'Funnel setup'!$K$4&amp;'Funnel setup'!$K$5,".",IF(A2800=".",1,A2800+1))</f>
        <v>.</v>
      </c>
      <c r="B2801" s="431" t="str">
        <f t="shared" si="43"/>
        <v>Hip Replacement RevisionCCG of GP PracticeNHS NORTHUMBERLAND CCG (00L)EQ-5D Index</v>
      </c>
      <c r="C2801" t="s">
        <v>247</v>
      </c>
      <c r="D2801" t="s">
        <v>87</v>
      </c>
      <c r="E2801" t="s">
        <v>681</v>
      </c>
      <c r="F2801" t="s">
        <v>336</v>
      </c>
      <c r="G2801" t="s">
        <v>52</v>
      </c>
      <c r="H2801">
        <v>12</v>
      </c>
      <c r="I2801">
        <v>0.253</v>
      </c>
      <c r="J2801">
        <v>0.61499999999999999</v>
      </c>
      <c r="K2801">
        <v>0.36199999999999999</v>
      </c>
      <c r="L2801">
        <v>8</v>
      </c>
      <c r="M2801">
        <v>2</v>
      </c>
      <c r="N2801">
        <v>2</v>
      </c>
      <c r="O2801" t="s">
        <v>53</v>
      </c>
      <c r="P2801" t="s">
        <v>53</v>
      </c>
      <c r="Q2801" t="s">
        <v>53</v>
      </c>
    </row>
    <row r="2802" spans="1:17" x14ac:dyDescent="0.2">
      <c r="A2802" s="30" t="str">
        <f>IF(C2802&amp;G2802&amp;D2802&lt;&gt;'Funnel setup'!$K$3&amp;'Funnel setup'!$K$4&amp;'Funnel setup'!$K$5,".",IF(A2801=".",1,A2801+1))</f>
        <v>.</v>
      </c>
      <c r="B2802" s="431" t="str">
        <f t="shared" si="43"/>
        <v>Hip Replacement RevisionCCG of GP PracticeNHS NORWICH CCG (06W)EQ-5D Index</v>
      </c>
      <c r="C2802" t="s">
        <v>247</v>
      </c>
      <c r="D2802" t="s">
        <v>87</v>
      </c>
      <c r="E2802" t="s">
        <v>770</v>
      </c>
      <c r="F2802" t="s">
        <v>771</v>
      </c>
      <c r="G2802" t="s">
        <v>52</v>
      </c>
      <c r="H2802">
        <v>13</v>
      </c>
      <c r="I2802">
        <v>0.58499999999999996</v>
      </c>
      <c r="J2802">
        <v>0.81</v>
      </c>
      <c r="K2802">
        <v>0.22500000000000001</v>
      </c>
      <c r="L2802">
        <v>11</v>
      </c>
      <c r="M2802">
        <v>0</v>
      </c>
      <c r="N2802">
        <v>2</v>
      </c>
      <c r="O2802" t="s">
        <v>53</v>
      </c>
      <c r="P2802" t="s">
        <v>53</v>
      </c>
      <c r="Q2802" t="s">
        <v>53</v>
      </c>
    </row>
    <row r="2803" spans="1:17" x14ac:dyDescent="0.2">
      <c r="A2803" s="30" t="str">
        <f>IF(C2803&amp;G2803&amp;D2803&lt;&gt;'Funnel setup'!$K$3&amp;'Funnel setup'!$K$4&amp;'Funnel setup'!$K$5,".",IF(A2802=".",1,A2802+1))</f>
        <v>.</v>
      </c>
      <c r="B2803" s="431" t="str">
        <f t="shared" si="43"/>
        <v>Hip Replacement RevisionCCG of GP PracticeNHS NOTTINGHAM CITY CCG (04K)EQ-5D Index</v>
      </c>
      <c r="C2803" t="s">
        <v>247</v>
      </c>
      <c r="D2803" t="s">
        <v>87</v>
      </c>
      <c r="E2803" t="s">
        <v>773</v>
      </c>
      <c r="F2803" t="s">
        <v>774</v>
      </c>
      <c r="G2803" t="s">
        <v>52</v>
      </c>
      <c r="H2803">
        <v>8</v>
      </c>
      <c r="I2803">
        <v>0.47699999999999998</v>
      </c>
      <c r="J2803">
        <v>0.60499999999999998</v>
      </c>
      <c r="K2803">
        <v>0.127</v>
      </c>
      <c r="L2803">
        <v>4</v>
      </c>
      <c r="M2803">
        <v>2</v>
      </c>
      <c r="N2803">
        <v>2</v>
      </c>
      <c r="O2803" t="s">
        <v>53</v>
      </c>
      <c r="P2803" t="s">
        <v>53</v>
      </c>
      <c r="Q2803" t="s">
        <v>53</v>
      </c>
    </row>
    <row r="2804" spans="1:17" x14ac:dyDescent="0.2">
      <c r="A2804" s="30" t="str">
        <f>IF(C2804&amp;G2804&amp;D2804&lt;&gt;'Funnel setup'!$K$3&amp;'Funnel setup'!$K$4&amp;'Funnel setup'!$K$5,".",IF(A2803=".",1,A2803+1))</f>
        <v>.</v>
      </c>
      <c r="B2804" s="431" t="str">
        <f t="shared" si="43"/>
        <v>Hip Replacement RevisionCCG of GP PracticeNHS NOTTINGHAM NORTH AND EAST CCG (04L)EQ-5D Index</v>
      </c>
      <c r="C2804" t="s">
        <v>247</v>
      </c>
      <c r="D2804" t="s">
        <v>87</v>
      </c>
      <c r="E2804" t="s">
        <v>776</v>
      </c>
      <c r="F2804" t="s">
        <v>777</v>
      </c>
      <c r="G2804" t="s">
        <v>52</v>
      </c>
      <c r="H2804">
        <v>9</v>
      </c>
      <c r="I2804">
        <v>0.40500000000000003</v>
      </c>
      <c r="J2804">
        <v>0.66500000000000004</v>
      </c>
      <c r="K2804">
        <v>0.26</v>
      </c>
      <c r="L2804">
        <v>7</v>
      </c>
      <c r="M2804">
        <v>0</v>
      </c>
      <c r="N2804">
        <v>2</v>
      </c>
      <c r="O2804" t="s">
        <v>53</v>
      </c>
      <c r="P2804" t="s">
        <v>53</v>
      </c>
      <c r="Q2804" t="s">
        <v>53</v>
      </c>
    </row>
    <row r="2805" spans="1:17" x14ac:dyDescent="0.2">
      <c r="A2805" s="30" t="str">
        <f>IF(C2805&amp;G2805&amp;D2805&lt;&gt;'Funnel setup'!$K$3&amp;'Funnel setup'!$K$4&amp;'Funnel setup'!$K$5,".",IF(A2804=".",1,A2804+1))</f>
        <v>.</v>
      </c>
      <c r="B2805" s="431" t="str">
        <f t="shared" si="43"/>
        <v>Hip Replacement RevisionCCG of GP PracticeNHS NOTTINGHAM WEST CCG (04M)EQ-5D Index</v>
      </c>
      <c r="C2805" t="s">
        <v>247</v>
      </c>
      <c r="D2805" t="s">
        <v>87</v>
      </c>
      <c r="E2805" t="s">
        <v>779</v>
      </c>
      <c r="F2805" t="s">
        <v>780</v>
      </c>
      <c r="G2805" t="s">
        <v>52</v>
      </c>
      <c r="H2805" t="s">
        <v>53</v>
      </c>
      <c r="I2805" t="s">
        <v>53</v>
      </c>
      <c r="J2805" t="s">
        <v>53</v>
      </c>
      <c r="K2805" t="s">
        <v>53</v>
      </c>
      <c r="L2805" t="s">
        <v>53</v>
      </c>
      <c r="M2805" t="s">
        <v>53</v>
      </c>
      <c r="N2805" t="s">
        <v>53</v>
      </c>
      <c r="O2805" t="s">
        <v>53</v>
      </c>
      <c r="P2805" t="s">
        <v>53</v>
      </c>
      <c r="Q2805" t="s">
        <v>53</v>
      </c>
    </row>
    <row r="2806" spans="1:17" x14ac:dyDescent="0.2">
      <c r="A2806" s="30" t="str">
        <f>IF(C2806&amp;G2806&amp;D2806&lt;&gt;'Funnel setup'!$K$3&amp;'Funnel setup'!$K$4&amp;'Funnel setup'!$K$5,".",IF(A2805=".",1,A2805+1))</f>
        <v>.</v>
      </c>
      <c r="B2806" s="431" t="str">
        <f t="shared" si="43"/>
        <v>Hip Replacement RevisionCCG of GP PracticeNHS OLDHAM CCG (00Y)EQ-5D Index</v>
      </c>
      <c r="C2806" t="s">
        <v>247</v>
      </c>
      <c r="D2806" t="s">
        <v>87</v>
      </c>
      <c r="E2806" t="s">
        <v>782</v>
      </c>
      <c r="F2806" t="s">
        <v>783</v>
      </c>
      <c r="G2806" t="s">
        <v>52</v>
      </c>
      <c r="H2806">
        <v>11</v>
      </c>
      <c r="I2806">
        <v>0.36299999999999999</v>
      </c>
      <c r="J2806">
        <v>0.57399999999999995</v>
      </c>
      <c r="K2806">
        <v>0.21</v>
      </c>
      <c r="L2806">
        <v>7</v>
      </c>
      <c r="M2806">
        <v>3</v>
      </c>
      <c r="N2806">
        <v>1</v>
      </c>
      <c r="O2806" t="s">
        <v>53</v>
      </c>
      <c r="P2806" t="s">
        <v>53</v>
      </c>
      <c r="Q2806" t="s">
        <v>53</v>
      </c>
    </row>
    <row r="2807" spans="1:17" x14ac:dyDescent="0.2">
      <c r="A2807" s="30" t="str">
        <f>IF(C2807&amp;G2807&amp;D2807&lt;&gt;'Funnel setup'!$K$3&amp;'Funnel setup'!$K$4&amp;'Funnel setup'!$K$5,".",IF(A2806=".",1,A2806+1))</f>
        <v>.</v>
      </c>
      <c r="B2807" s="431" t="str">
        <f t="shared" si="43"/>
        <v>Hip Replacement RevisionCCG of GP PracticeNHS OXFORDSHIRE CCG (10Q)EQ-5D Index</v>
      </c>
      <c r="C2807" t="s">
        <v>247</v>
      </c>
      <c r="D2807" t="s">
        <v>87</v>
      </c>
      <c r="E2807" t="s">
        <v>785</v>
      </c>
      <c r="F2807" t="s">
        <v>786</v>
      </c>
      <c r="G2807" t="s">
        <v>52</v>
      </c>
      <c r="H2807">
        <v>35</v>
      </c>
      <c r="I2807">
        <v>0.42099999999999999</v>
      </c>
      <c r="J2807">
        <v>0.753</v>
      </c>
      <c r="K2807">
        <v>0.33200000000000002</v>
      </c>
      <c r="L2807">
        <v>27</v>
      </c>
      <c r="M2807">
        <v>5</v>
      </c>
      <c r="N2807">
        <v>3</v>
      </c>
      <c r="O2807">
        <v>0.71899999999999997</v>
      </c>
      <c r="P2807">
        <v>0.32017842000000002</v>
      </c>
      <c r="Q2807">
        <v>0.23699999999999999</v>
      </c>
    </row>
    <row r="2808" spans="1:17" x14ac:dyDescent="0.2">
      <c r="A2808" s="30" t="str">
        <f>IF(C2808&amp;G2808&amp;D2808&lt;&gt;'Funnel setup'!$K$3&amp;'Funnel setup'!$K$4&amp;'Funnel setup'!$K$5,".",IF(A2807=".",1,A2807+1))</f>
        <v>.</v>
      </c>
      <c r="B2808" s="431" t="str">
        <f t="shared" si="43"/>
        <v>Hip Replacement RevisionCCG of GP PracticeNHS PORTSMOUTH CCG (10R)EQ-5D Index</v>
      </c>
      <c r="C2808" t="s">
        <v>247</v>
      </c>
      <c r="D2808" t="s">
        <v>87</v>
      </c>
      <c r="E2808" t="s">
        <v>788</v>
      </c>
      <c r="F2808" t="s">
        <v>789</v>
      </c>
      <c r="G2808" t="s">
        <v>52</v>
      </c>
      <c r="H2808" t="s">
        <v>53</v>
      </c>
      <c r="I2808" t="s">
        <v>53</v>
      </c>
      <c r="J2808" t="s">
        <v>53</v>
      </c>
      <c r="K2808" t="s">
        <v>53</v>
      </c>
      <c r="L2808" t="s">
        <v>53</v>
      </c>
      <c r="M2808" t="s">
        <v>53</v>
      </c>
      <c r="N2808" t="s">
        <v>53</v>
      </c>
      <c r="O2808" t="s">
        <v>53</v>
      </c>
      <c r="P2808" t="s">
        <v>53</v>
      </c>
      <c r="Q2808" t="s">
        <v>53</v>
      </c>
    </row>
    <row r="2809" spans="1:17" x14ac:dyDescent="0.2">
      <c r="A2809" s="30" t="str">
        <f>IF(C2809&amp;G2809&amp;D2809&lt;&gt;'Funnel setup'!$K$3&amp;'Funnel setup'!$K$4&amp;'Funnel setup'!$K$5,".",IF(A2808=".",1,A2808+1))</f>
        <v>.</v>
      </c>
      <c r="B2809" s="431" t="str">
        <f t="shared" si="43"/>
        <v>Hip Replacement RevisionCCG of GP PracticeNHS REDBRIDGE CCG (08N)EQ-5D Index</v>
      </c>
      <c r="C2809" t="s">
        <v>247</v>
      </c>
      <c r="D2809" t="s">
        <v>87</v>
      </c>
      <c r="E2809" t="s">
        <v>791</v>
      </c>
      <c r="F2809" t="s">
        <v>792</v>
      </c>
      <c r="G2809" t="s">
        <v>52</v>
      </c>
      <c r="H2809" t="s">
        <v>53</v>
      </c>
      <c r="I2809" t="s">
        <v>53</v>
      </c>
      <c r="J2809" t="s">
        <v>53</v>
      </c>
      <c r="K2809" t="s">
        <v>53</v>
      </c>
      <c r="L2809" t="s">
        <v>53</v>
      </c>
      <c r="M2809" t="s">
        <v>53</v>
      </c>
      <c r="N2809" t="s">
        <v>53</v>
      </c>
      <c r="O2809" t="s">
        <v>53</v>
      </c>
      <c r="P2809" t="s">
        <v>53</v>
      </c>
      <c r="Q2809" t="s">
        <v>53</v>
      </c>
    </row>
    <row r="2810" spans="1:17" x14ac:dyDescent="0.2">
      <c r="A2810" s="30" t="str">
        <f>IF(C2810&amp;G2810&amp;D2810&lt;&gt;'Funnel setup'!$K$3&amp;'Funnel setup'!$K$4&amp;'Funnel setup'!$K$5,".",IF(A2809=".",1,A2809+1))</f>
        <v>.</v>
      </c>
      <c r="B2810" s="431" t="str">
        <f t="shared" si="43"/>
        <v>Hip Replacement RevisionCCG of GP PracticeNHS REDDITCH AND BROMSGROVE CCG (05J)EQ-5D Index</v>
      </c>
      <c r="C2810" t="s">
        <v>247</v>
      </c>
      <c r="D2810" t="s">
        <v>87</v>
      </c>
      <c r="E2810" t="s">
        <v>794</v>
      </c>
      <c r="F2810" t="s">
        <v>795</v>
      </c>
      <c r="G2810" t="s">
        <v>52</v>
      </c>
      <c r="H2810" t="s">
        <v>53</v>
      </c>
      <c r="I2810" t="s">
        <v>53</v>
      </c>
      <c r="J2810" t="s">
        <v>53</v>
      </c>
      <c r="K2810" t="s">
        <v>53</v>
      </c>
      <c r="L2810" t="s">
        <v>53</v>
      </c>
      <c r="M2810" t="s">
        <v>53</v>
      </c>
      <c r="N2810" t="s">
        <v>53</v>
      </c>
      <c r="O2810" t="s">
        <v>53</v>
      </c>
      <c r="P2810" t="s">
        <v>53</v>
      </c>
      <c r="Q2810" t="s">
        <v>53</v>
      </c>
    </row>
    <row r="2811" spans="1:17" x14ac:dyDescent="0.2">
      <c r="A2811" s="30" t="str">
        <f>IF(C2811&amp;G2811&amp;D2811&lt;&gt;'Funnel setup'!$K$3&amp;'Funnel setup'!$K$4&amp;'Funnel setup'!$K$5,".",IF(A2810=".",1,A2810+1))</f>
        <v>.</v>
      </c>
      <c r="B2811" s="431" t="str">
        <f t="shared" si="43"/>
        <v>Hip Replacement RevisionCCG of GP PracticeNHS RICHMOND CCG (08P)EQ-5D Index</v>
      </c>
      <c r="C2811" t="s">
        <v>247</v>
      </c>
      <c r="D2811" t="s">
        <v>87</v>
      </c>
      <c r="E2811" t="s">
        <v>797</v>
      </c>
      <c r="F2811" t="s">
        <v>798</v>
      </c>
      <c r="G2811" t="s">
        <v>52</v>
      </c>
      <c r="H2811">
        <v>6</v>
      </c>
      <c r="I2811">
        <v>0.48499999999999999</v>
      </c>
      <c r="J2811">
        <v>0.72599999999999998</v>
      </c>
      <c r="K2811">
        <v>0.24099999999999999</v>
      </c>
      <c r="L2811">
        <v>4</v>
      </c>
      <c r="M2811">
        <v>1</v>
      </c>
      <c r="N2811">
        <v>1</v>
      </c>
      <c r="O2811" t="s">
        <v>53</v>
      </c>
      <c r="P2811" t="s">
        <v>53</v>
      </c>
      <c r="Q2811" t="s">
        <v>53</v>
      </c>
    </row>
    <row r="2812" spans="1:17" x14ac:dyDescent="0.2">
      <c r="A2812" s="30" t="str">
        <f>IF(C2812&amp;G2812&amp;D2812&lt;&gt;'Funnel setup'!$K$3&amp;'Funnel setup'!$K$4&amp;'Funnel setup'!$K$5,".",IF(A2811=".",1,A2811+1))</f>
        <v>.</v>
      </c>
      <c r="B2812" s="431" t="str">
        <f t="shared" si="43"/>
        <v>Hip Replacement RevisionCCG of GP PracticeNHS ROTHERHAM CCG (03L)EQ-5D Index</v>
      </c>
      <c r="C2812" t="s">
        <v>247</v>
      </c>
      <c r="D2812" t="s">
        <v>87</v>
      </c>
      <c r="E2812" t="s">
        <v>800</v>
      </c>
      <c r="F2812" t="s">
        <v>801</v>
      </c>
      <c r="G2812" t="s">
        <v>52</v>
      </c>
      <c r="H2812">
        <v>15</v>
      </c>
      <c r="I2812">
        <v>0.316</v>
      </c>
      <c r="J2812">
        <v>0.71599999999999997</v>
      </c>
      <c r="K2812">
        <v>0.4</v>
      </c>
      <c r="L2812">
        <v>11</v>
      </c>
      <c r="M2812">
        <v>3</v>
      </c>
      <c r="N2812">
        <v>1</v>
      </c>
      <c r="O2812" t="s">
        <v>53</v>
      </c>
      <c r="P2812" t="s">
        <v>53</v>
      </c>
      <c r="Q2812" t="s">
        <v>53</v>
      </c>
    </row>
    <row r="2813" spans="1:17" x14ac:dyDescent="0.2">
      <c r="A2813" s="30" t="str">
        <f>IF(C2813&amp;G2813&amp;D2813&lt;&gt;'Funnel setup'!$K$3&amp;'Funnel setup'!$K$4&amp;'Funnel setup'!$K$5,".",IF(A2812=".",1,A2812+1))</f>
        <v>.</v>
      </c>
      <c r="B2813" s="431" t="str">
        <f t="shared" si="43"/>
        <v>Hip Replacement RevisionCCG of GP PracticeNHS RUSHCLIFFE CCG (04N)EQ-5D Index</v>
      </c>
      <c r="C2813" t="s">
        <v>247</v>
      </c>
      <c r="D2813" t="s">
        <v>87</v>
      </c>
      <c r="E2813" t="s">
        <v>803</v>
      </c>
      <c r="F2813" t="s">
        <v>804</v>
      </c>
      <c r="G2813" t="s">
        <v>52</v>
      </c>
      <c r="H2813">
        <v>7</v>
      </c>
      <c r="I2813">
        <v>0.318</v>
      </c>
      <c r="J2813">
        <v>0.58799999999999997</v>
      </c>
      <c r="K2813">
        <v>0.26900000000000002</v>
      </c>
      <c r="L2813">
        <v>6</v>
      </c>
      <c r="M2813">
        <v>0</v>
      </c>
      <c r="N2813">
        <v>1</v>
      </c>
      <c r="O2813" t="s">
        <v>53</v>
      </c>
      <c r="P2813" t="s">
        <v>53</v>
      </c>
      <c r="Q2813" t="s">
        <v>53</v>
      </c>
    </row>
    <row r="2814" spans="1:17" x14ac:dyDescent="0.2">
      <c r="A2814" s="30" t="str">
        <f>IF(C2814&amp;G2814&amp;D2814&lt;&gt;'Funnel setup'!$K$3&amp;'Funnel setup'!$K$4&amp;'Funnel setup'!$K$5,".",IF(A2813=".",1,A2813+1))</f>
        <v>.</v>
      </c>
      <c r="B2814" s="431" t="str">
        <f t="shared" si="43"/>
        <v>Hip Replacement RevisionCCG of GP PracticeNHS SALFORD CCG (01G)EQ-5D Index</v>
      </c>
      <c r="C2814" t="s">
        <v>247</v>
      </c>
      <c r="D2814" t="s">
        <v>87</v>
      </c>
      <c r="E2814" t="s">
        <v>806</v>
      </c>
      <c r="F2814" t="s">
        <v>807</v>
      </c>
      <c r="G2814" t="s">
        <v>52</v>
      </c>
      <c r="H2814" t="s">
        <v>53</v>
      </c>
      <c r="I2814" t="s">
        <v>53</v>
      </c>
      <c r="J2814" t="s">
        <v>53</v>
      </c>
      <c r="K2814" t="s">
        <v>53</v>
      </c>
      <c r="L2814" t="s">
        <v>53</v>
      </c>
      <c r="M2814" t="s">
        <v>53</v>
      </c>
      <c r="N2814" t="s">
        <v>53</v>
      </c>
      <c r="O2814" t="s">
        <v>53</v>
      </c>
      <c r="P2814" t="s">
        <v>53</v>
      </c>
      <c r="Q2814" t="s">
        <v>53</v>
      </c>
    </row>
    <row r="2815" spans="1:17" x14ac:dyDescent="0.2">
      <c r="A2815" s="30" t="str">
        <f>IF(C2815&amp;G2815&amp;D2815&lt;&gt;'Funnel setup'!$K$3&amp;'Funnel setup'!$K$4&amp;'Funnel setup'!$K$5,".",IF(A2814=".",1,A2814+1))</f>
        <v>.</v>
      </c>
      <c r="B2815" s="431" t="str">
        <f t="shared" si="43"/>
        <v>Hip Replacement RevisionCCG of GP PracticeNHS SANDWELL AND WEST BIRMINGHAM CCG (05L)EQ-5D Index</v>
      </c>
      <c r="C2815" t="s">
        <v>247</v>
      </c>
      <c r="D2815" t="s">
        <v>87</v>
      </c>
      <c r="E2815" t="s">
        <v>809</v>
      </c>
      <c r="F2815" t="s">
        <v>810</v>
      </c>
      <c r="G2815" t="s">
        <v>52</v>
      </c>
      <c r="H2815">
        <v>10</v>
      </c>
      <c r="I2815">
        <v>0.47699999999999998</v>
      </c>
      <c r="J2815">
        <v>0.74399999999999999</v>
      </c>
      <c r="K2815">
        <v>0.26700000000000002</v>
      </c>
      <c r="L2815">
        <v>8</v>
      </c>
      <c r="M2815">
        <v>0</v>
      </c>
      <c r="N2815">
        <v>2</v>
      </c>
      <c r="O2815" t="s">
        <v>53</v>
      </c>
      <c r="P2815" t="s">
        <v>53</v>
      </c>
      <c r="Q2815" t="s">
        <v>53</v>
      </c>
    </row>
    <row r="2816" spans="1:17" x14ac:dyDescent="0.2">
      <c r="A2816" s="30" t="str">
        <f>IF(C2816&amp;G2816&amp;D2816&lt;&gt;'Funnel setup'!$K$3&amp;'Funnel setup'!$K$4&amp;'Funnel setup'!$K$5,".",IF(A2815=".",1,A2815+1))</f>
        <v>.</v>
      </c>
      <c r="B2816" s="431" t="str">
        <f t="shared" si="43"/>
        <v>Hip Replacement RevisionCCG of GP PracticeNHS SCARBOROUGH AND RYEDALE CCG (03M)EQ-5D Index</v>
      </c>
      <c r="C2816" t="s">
        <v>247</v>
      </c>
      <c r="D2816" t="s">
        <v>87</v>
      </c>
      <c r="E2816" t="s">
        <v>812</v>
      </c>
      <c r="F2816" t="s">
        <v>813</v>
      </c>
      <c r="G2816" t="s">
        <v>52</v>
      </c>
      <c r="H2816">
        <v>9</v>
      </c>
      <c r="I2816">
        <v>0.46700000000000003</v>
      </c>
      <c r="J2816">
        <v>0.73399999999999999</v>
      </c>
      <c r="K2816">
        <v>0.26800000000000002</v>
      </c>
      <c r="L2816">
        <v>7</v>
      </c>
      <c r="M2816">
        <v>2</v>
      </c>
      <c r="N2816">
        <v>0</v>
      </c>
      <c r="O2816" t="s">
        <v>53</v>
      </c>
      <c r="P2816" t="s">
        <v>53</v>
      </c>
      <c r="Q2816" t="s">
        <v>53</v>
      </c>
    </row>
    <row r="2817" spans="1:17" x14ac:dyDescent="0.2">
      <c r="A2817" s="30" t="str">
        <f>IF(C2817&amp;G2817&amp;D2817&lt;&gt;'Funnel setup'!$K$3&amp;'Funnel setup'!$K$4&amp;'Funnel setup'!$K$5,".",IF(A2816=".",1,A2816+1))</f>
        <v>.</v>
      </c>
      <c r="B2817" s="431" t="str">
        <f t="shared" si="43"/>
        <v>Hip Replacement RevisionCCG of GP PracticeNHS SHEFFIELD CCG (03N)EQ-5D Index</v>
      </c>
      <c r="C2817" t="s">
        <v>247</v>
      </c>
      <c r="D2817" t="s">
        <v>87</v>
      </c>
      <c r="E2817" t="s">
        <v>815</v>
      </c>
      <c r="F2817" t="s">
        <v>816</v>
      </c>
      <c r="G2817" t="s">
        <v>52</v>
      </c>
      <c r="H2817">
        <v>11</v>
      </c>
      <c r="I2817">
        <v>0.217</v>
      </c>
      <c r="J2817">
        <v>0.67</v>
      </c>
      <c r="K2817">
        <v>0.45300000000000001</v>
      </c>
      <c r="L2817">
        <v>10</v>
      </c>
      <c r="M2817">
        <v>1</v>
      </c>
      <c r="N2817">
        <v>0</v>
      </c>
      <c r="O2817" t="s">
        <v>53</v>
      </c>
      <c r="P2817" t="s">
        <v>53</v>
      </c>
      <c r="Q2817" t="s">
        <v>53</v>
      </c>
    </row>
    <row r="2818" spans="1:17" x14ac:dyDescent="0.2">
      <c r="A2818" s="30" t="str">
        <f>IF(C2818&amp;G2818&amp;D2818&lt;&gt;'Funnel setup'!$K$3&amp;'Funnel setup'!$K$4&amp;'Funnel setup'!$K$5,".",IF(A2817=".",1,A2817+1))</f>
        <v>.</v>
      </c>
      <c r="B2818" s="431" t="str">
        <f t="shared" si="43"/>
        <v>Hip Replacement RevisionCCG of GP PracticeNHS SHROPSHIRE CCG (05N)EQ-5D Index</v>
      </c>
      <c r="C2818" t="s">
        <v>247</v>
      </c>
      <c r="D2818" t="s">
        <v>87</v>
      </c>
      <c r="E2818" t="s">
        <v>818</v>
      </c>
      <c r="F2818" t="s">
        <v>819</v>
      </c>
      <c r="G2818" t="s">
        <v>52</v>
      </c>
      <c r="H2818">
        <v>38</v>
      </c>
      <c r="I2818">
        <v>0.38300000000000001</v>
      </c>
      <c r="J2818">
        <v>0.745</v>
      </c>
      <c r="K2818">
        <v>0.36099999999999999</v>
      </c>
      <c r="L2818">
        <v>31</v>
      </c>
      <c r="M2818">
        <v>3</v>
      </c>
      <c r="N2818">
        <v>4</v>
      </c>
      <c r="O2818">
        <v>0.69499999999999995</v>
      </c>
      <c r="P2818">
        <v>0.29605702</v>
      </c>
      <c r="Q2818">
        <v>0.20899999999999999</v>
      </c>
    </row>
    <row r="2819" spans="1:17" x14ac:dyDescent="0.2">
      <c r="A2819" s="30" t="str">
        <f>IF(C2819&amp;G2819&amp;D2819&lt;&gt;'Funnel setup'!$K$3&amp;'Funnel setup'!$K$4&amp;'Funnel setup'!$K$5,".",IF(A2818=".",1,A2818+1))</f>
        <v>.</v>
      </c>
      <c r="B2819" s="431" t="str">
        <f t="shared" ref="B2819:B2882" si="44">C2819&amp;D2819&amp;F2819&amp;G2819</f>
        <v>Hip Replacement RevisionCCG of GP PracticeNHS SLOUGH CCG (10T)EQ-5D Index</v>
      </c>
      <c r="C2819" t="s">
        <v>247</v>
      </c>
      <c r="D2819" t="s">
        <v>87</v>
      </c>
      <c r="E2819" t="s">
        <v>821</v>
      </c>
      <c r="F2819" t="s">
        <v>822</v>
      </c>
      <c r="G2819" t="s">
        <v>52</v>
      </c>
      <c r="H2819" t="s">
        <v>53</v>
      </c>
      <c r="I2819" t="s">
        <v>53</v>
      </c>
      <c r="J2819" t="s">
        <v>53</v>
      </c>
      <c r="K2819" t="s">
        <v>53</v>
      </c>
      <c r="L2819" t="s">
        <v>53</v>
      </c>
      <c r="M2819" t="s">
        <v>53</v>
      </c>
      <c r="N2819" t="s">
        <v>53</v>
      </c>
      <c r="O2819" t="s">
        <v>53</v>
      </c>
      <c r="P2819" t="s">
        <v>53</v>
      </c>
      <c r="Q2819" t="s">
        <v>53</v>
      </c>
    </row>
    <row r="2820" spans="1:17" x14ac:dyDescent="0.2">
      <c r="A2820" s="30" t="str">
        <f>IF(C2820&amp;G2820&amp;D2820&lt;&gt;'Funnel setup'!$K$3&amp;'Funnel setup'!$K$4&amp;'Funnel setup'!$K$5,".",IF(A2819=".",1,A2819+1))</f>
        <v>.</v>
      </c>
      <c r="B2820" s="431" t="str">
        <f t="shared" si="44"/>
        <v>Hip Replacement RevisionCCG of GP PracticeNHS SOLIHULL CCG (05P)EQ-5D Index</v>
      </c>
      <c r="C2820" t="s">
        <v>247</v>
      </c>
      <c r="D2820" t="s">
        <v>87</v>
      </c>
      <c r="E2820" t="s">
        <v>824</v>
      </c>
      <c r="F2820" t="s">
        <v>825</v>
      </c>
      <c r="G2820" t="s">
        <v>52</v>
      </c>
      <c r="H2820">
        <v>10</v>
      </c>
      <c r="I2820">
        <v>0.254</v>
      </c>
      <c r="J2820">
        <v>0.63600000000000001</v>
      </c>
      <c r="K2820">
        <v>0.38200000000000001</v>
      </c>
      <c r="L2820">
        <v>9</v>
      </c>
      <c r="M2820">
        <v>1</v>
      </c>
      <c r="N2820">
        <v>0</v>
      </c>
      <c r="O2820" t="s">
        <v>53</v>
      </c>
      <c r="P2820" t="s">
        <v>53</v>
      </c>
      <c r="Q2820" t="s">
        <v>53</v>
      </c>
    </row>
    <row r="2821" spans="1:17" x14ac:dyDescent="0.2">
      <c r="A2821" s="30" t="str">
        <f>IF(C2821&amp;G2821&amp;D2821&lt;&gt;'Funnel setup'!$K$3&amp;'Funnel setup'!$K$4&amp;'Funnel setup'!$K$5,".",IF(A2820=".",1,A2820+1))</f>
        <v>.</v>
      </c>
      <c r="B2821" s="431" t="str">
        <f t="shared" si="44"/>
        <v>Hip Replacement RevisionCCG of GP PracticeNHS SOMERSET CCG (11X)EQ-5D Index</v>
      </c>
      <c r="C2821" t="s">
        <v>247</v>
      </c>
      <c r="D2821" t="s">
        <v>87</v>
      </c>
      <c r="E2821" t="s">
        <v>827</v>
      </c>
      <c r="F2821" t="s">
        <v>828</v>
      </c>
      <c r="G2821" t="s">
        <v>52</v>
      </c>
      <c r="H2821">
        <v>48</v>
      </c>
      <c r="I2821">
        <v>0.54600000000000004</v>
      </c>
      <c r="J2821">
        <v>0.78500000000000003</v>
      </c>
      <c r="K2821">
        <v>0.23899999999999999</v>
      </c>
      <c r="L2821">
        <v>29</v>
      </c>
      <c r="M2821">
        <v>12</v>
      </c>
      <c r="N2821">
        <v>7</v>
      </c>
      <c r="O2821">
        <v>0.72499999999999998</v>
      </c>
      <c r="P2821">
        <v>0.32583919300000003</v>
      </c>
      <c r="Q2821">
        <v>0.182</v>
      </c>
    </row>
    <row r="2822" spans="1:17" x14ac:dyDescent="0.2">
      <c r="A2822" s="30" t="str">
        <f>IF(C2822&amp;G2822&amp;D2822&lt;&gt;'Funnel setup'!$K$3&amp;'Funnel setup'!$K$4&amp;'Funnel setup'!$K$5,".",IF(A2821=".",1,A2821+1))</f>
        <v>.</v>
      </c>
      <c r="B2822" s="431" t="str">
        <f t="shared" si="44"/>
        <v>Hip Replacement RevisionCCG of GP PracticeNHS SOUTH CHESHIRE CCG (01R)EQ-5D Index</v>
      </c>
      <c r="C2822" t="s">
        <v>247</v>
      </c>
      <c r="D2822" t="s">
        <v>87</v>
      </c>
      <c r="E2822" t="s">
        <v>830</v>
      </c>
      <c r="F2822" t="s">
        <v>831</v>
      </c>
      <c r="G2822" t="s">
        <v>52</v>
      </c>
      <c r="H2822" t="s">
        <v>53</v>
      </c>
      <c r="I2822" t="s">
        <v>53</v>
      </c>
      <c r="J2822" t="s">
        <v>53</v>
      </c>
      <c r="K2822" t="s">
        <v>53</v>
      </c>
      <c r="L2822" t="s">
        <v>53</v>
      </c>
      <c r="M2822" t="s">
        <v>53</v>
      </c>
      <c r="N2822" t="s">
        <v>53</v>
      </c>
      <c r="O2822" t="s">
        <v>53</v>
      </c>
      <c r="P2822" t="s">
        <v>53</v>
      </c>
      <c r="Q2822" t="s">
        <v>53</v>
      </c>
    </row>
    <row r="2823" spans="1:17" x14ac:dyDescent="0.2">
      <c r="A2823" s="30" t="str">
        <f>IF(C2823&amp;G2823&amp;D2823&lt;&gt;'Funnel setup'!$K$3&amp;'Funnel setup'!$K$4&amp;'Funnel setup'!$K$5,".",IF(A2822=".",1,A2822+1))</f>
        <v>.</v>
      </c>
      <c r="B2823" s="431" t="str">
        <f t="shared" si="44"/>
        <v>Hip Replacement RevisionCCG of GP PracticeNHS SOUTH DEVON AND TORBAY CCG (99Q)EQ-5D Index</v>
      </c>
      <c r="C2823" t="s">
        <v>247</v>
      </c>
      <c r="D2823" t="s">
        <v>87</v>
      </c>
      <c r="E2823" t="s">
        <v>833</v>
      </c>
      <c r="F2823" t="s">
        <v>834</v>
      </c>
      <c r="G2823" t="s">
        <v>52</v>
      </c>
      <c r="H2823">
        <v>28</v>
      </c>
      <c r="I2823">
        <v>0.45600000000000002</v>
      </c>
      <c r="J2823">
        <v>0.59199999999999997</v>
      </c>
      <c r="K2823">
        <v>0.13600000000000001</v>
      </c>
      <c r="L2823">
        <v>12</v>
      </c>
      <c r="M2823">
        <v>9</v>
      </c>
      <c r="N2823">
        <v>7</v>
      </c>
      <c r="O2823" t="s">
        <v>53</v>
      </c>
      <c r="P2823" t="s">
        <v>53</v>
      </c>
      <c r="Q2823" t="s">
        <v>53</v>
      </c>
    </row>
    <row r="2824" spans="1:17" x14ac:dyDescent="0.2">
      <c r="A2824" s="30" t="str">
        <f>IF(C2824&amp;G2824&amp;D2824&lt;&gt;'Funnel setup'!$K$3&amp;'Funnel setup'!$K$4&amp;'Funnel setup'!$K$5,".",IF(A2823=".",1,A2823+1))</f>
        <v>.</v>
      </c>
      <c r="B2824" s="431" t="str">
        <f t="shared" si="44"/>
        <v>Hip Replacement RevisionCCG of GP PracticeNHS SOUTH EAST STAFFORDSHIRE AND SEISDON PENINSULA CCG (05Q)EQ-5D Index</v>
      </c>
      <c r="C2824" t="s">
        <v>247</v>
      </c>
      <c r="D2824" t="s">
        <v>87</v>
      </c>
      <c r="E2824" t="s">
        <v>836</v>
      </c>
      <c r="F2824" t="s">
        <v>837</v>
      </c>
      <c r="G2824" t="s">
        <v>52</v>
      </c>
      <c r="H2824">
        <v>8</v>
      </c>
      <c r="I2824">
        <v>0.28199999999999997</v>
      </c>
      <c r="J2824">
        <v>0.63200000000000001</v>
      </c>
      <c r="K2824">
        <v>0.35</v>
      </c>
      <c r="L2824">
        <v>8</v>
      </c>
      <c r="M2824">
        <v>0</v>
      </c>
      <c r="N2824">
        <v>0</v>
      </c>
      <c r="O2824" t="s">
        <v>53</v>
      </c>
      <c r="P2824" t="s">
        <v>53</v>
      </c>
      <c r="Q2824" t="s">
        <v>53</v>
      </c>
    </row>
    <row r="2825" spans="1:17" x14ac:dyDescent="0.2">
      <c r="A2825" s="30" t="str">
        <f>IF(C2825&amp;G2825&amp;D2825&lt;&gt;'Funnel setup'!$K$3&amp;'Funnel setup'!$K$4&amp;'Funnel setup'!$K$5,".",IF(A2824=".",1,A2824+1))</f>
        <v>.</v>
      </c>
      <c r="B2825" s="431" t="str">
        <f t="shared" si="44"/>
        <v>Hip Replacement RevisionCCG of GP PracticeNHS SOUTH EASTERN HAMPSHIRE CCG (10V)EQ-5D Index</v>
      </c>
      <c r="C2825" t="s">
        <v>247</v>
      </c>
      <c r="D2825" t="s">
        <v>87</v>
      </c>
      <c r="E2825" t="s">
        <v>839</v>
      </c>
      <c r="F2825" t="s">
        <v>840</v>
      </c>
      <c r="G2825" t="s">
        <v>52</v>
      </c>
      <c r="H2825">
        <v>8</v>
      </c>
      <c r="I2825">
        <v>0.312</v>
      </c>
      <c r="J2825">
        <v>0.61</v>
      </c>
      <c r="K2825">
        <v>0.29799999999999999</v>
      </c>
      <c r="L2825">
        <v>5</v>
      </c>
      <c r="M2825">
        <v>0</v>
      </c>
      <c r="N2825">
        <v>3</v>
      </c>
      <c r="O2825" t="s">
        <v>53</v>
      </c>
      <c r="P2825" t="s">
        <v>53</v>
      </c>
      <c r="Q2825" t="s">
        <v>53</v>
      </c>
    </row>
    <row r="2826" spans="1:17" x14ac:dyDescent="0.2">
      <c r="A2826" s="30" t="str">
        <f>IF(C2826&amp;G2826&amp;D2826&lt;&gt;'Funnel setup'!$K$3&amp;'Funnel setup'!$K$4&amp;'Funnel setup'!$K$5,".",IF(A2825=".",1,A2825+1))</f>
        <v>.</v>
      </c>
      <c r="B2826" s="431" t="str">
        <f t="shared" si="44"/>
        <v>Hip Replacement RevisionCCG of GP PracticeNHS SOUTH GLOUCESTERSHIRE CCG (12A)EQ-5D Index</v>
      </c>
      <c r="C2826" t="s">
        <v>247</v>
      </c>
      <c r="D2826" t="s">
        <v>87</v>
      </c>
      <c r="E2826" t="s">
        <v>842</v>
      </c>
      <c r="F2826" t="s">
        <v>843</v>
      </c>
      <c r="G2826" t="s">
        <v>52</v>
      </c>
      <c r="H2826">
        <v>7</v>
      </c>
      <c r="I2826">
        <v>0.52800000000000002</v>
      </c>
      <c r="J2826">
        <v>0.73299999999999998</v>
      </c>
      <c r="K2826">
        <v>0.20499999999999999</v>
      </c>
      <c r="L2826">
        <v>4</v>
      </c>
      <c r="M2826">
        <v>3</v>
      </c>
      <c r="N2826">
        <v>0</v>
      </c>
      <c r="O2826" t="s">
        <v>53</v>
      </c>
      <c r="P2826" t="s">
        <v>53</v>
      </c>
      <c r="Q2826" t="s">
        <v>53</v>
      </c>
    </row>
    <row r="2827" spans="1:17" x14ac:dyDescent="0.2">
      <c r="A2827" s="30" t="str">
        <f>IF(C2827&amp;G2827&amp;D2827&lt;&gt;'Funnel setup'!$K$3&amp;'Funnel setup'!$K$4&amp;'Funnel setup'!$K$5,".",IF(A2826=".",1,A2826+1))</f>
        <v>.</v>
      </c>
      <c r="B2827" s="431" t="str">
        <f t="shared" si="44"/>
        <v>Hip Replacement RevisionCCG of GP PracticeNHS SOUTH KENT COAST CCG (10A)EQ-5D Index</v>
      </c>
      <c r="C2827" t="s">
        <v>247</v>
      </c>
      <c r="D2827" t="s">
        <v>87</v>
      </c>
      <c r="E2827" t="s">
        <v>845</v>
      </c>
      <c r="F2827" t="s">
        <v>846</v>
      </c>
      <c r="G2827" t="s">
        <v>52</v>
      </c>
      <c r="H2827">
        <v>13</v>
      </c>
      <c r="I2827">
        <v>0.314</v>
      </c>
      <c r="J2827">
        <v>0.72899999999999998</v>
      </c>
      <c r="K2827">
        <v>0.41599999999999998</v>
      </c>
      <c r="L2827">
        <v>11</v>
      </c>
      <c r="M2827">
        <v>2</v>
      </c>
      <c r="N2827">
        <v>0</v>
      </c>
      <c r="O2827" t="s">
        <v>53</v>
      </c>
      <c r="P2827" t="s">
        <v>53</v>
      </c>
      <c r="Q2827" t="s">
        <v>53</v>
      </c>
    </row>
    <row r="2828" spans="1:17" x14ac:dyDescent="0.2">
      <c r="A2828" s="30" t="str">
        <f>IF(C2828&amp;G2828&amp;D2828&lt;&gt;'Funnel setup'!$K$3&amp;'Funnel setup'!$K$4&amp;'Funnel setup'!$K$5,".",IF(A2827=".",1,A2827+1))</f>
        <v>.</v>
      </c>
      <c r="B2828" s="431" t="str">
        <f t="shared" si="44"/>
        <v>Hip Replacement RevisionCCG of GP PracticeNHS SOUTH LINCOLNSHIRE CCG (99D)EQ-5D Index</v>
      </c>
      <c r="C2828" t="s">
        <v>247</v>
      </c>
      <c r="D2828" t="s">
        <v>87</v>
      </c>
      <c r="E2828" t="s">
        <v>848</v>
      </c>
      <c r="F2828" t="s">
        <v>849</v>
      </c>
      <c r="G2828" t="s">
        <v>52</v>
      </c>
      <c r="H2828" t="s">
        <v>53</v>
      </c>
      <c r="I2828" t="s">
        <v>53</v>
      </c>
      <c r="J2828" t="s">
        <v>53</v>
      </c>
      <c r="K2828" t="s">
        <v>53</v>
      </c>
      <c r="L2828" t="s">
        <v>53</v>
      </c>
      <c r="M2828" t="s">
        <v>53</v>
      </c>
      <c r="N2828" t="s">
        <v>53</v>
      </c>
      <c r="O2828" t="s">
        <v>53</v>
      </c>
      <c r="P2828" t="s">
        <v>53</v>
      </c>
      <c r="Q2828" t="s">
        <v>53</v>
      </c>
    </row>
    <row r="2829" spans="1:17" x14ac:dyDescent="0.2">
      <c r="A2829" s="30" t="str">
        <f>IF(C2829&amp;G2829&amp;D2829&lt;&gt;'Funnel setup'!$K$3&amp;'Funnel setup'!$K$4&amp;'Funnel setup'!$K$5,".",IF(A2828=".",1,A2828+1))</f>
        <v>.</v>
      </c>
      <c r="B2829" s="431" t="str">
        <f t="shared" si="44"/>
        <v>Hip Replacement RevisionCCG of GP PracticeNHS SOUTH MANCHESTER CCG (01N)EQ-5D Index</v>
      </c>
      <c r="C2829" t="s">
        <v>247</v>
      </c>
      <c r="D2829" t="s">
        <v>87</v>
      </c>
      <c r="E2829" t="s">
        <v>851</v>
      </c>
      <c r="F2829" t="s">
        <v>852</v>
      </c>
      <c r="G2829" t="s">
        <v>52</v>
      </c>
      <c r="H2829" t="s">
        <v>53</v>
      </c>
      <c r="I2829" t="s">
        <v>53</v>
      </c>
      <c r="J2829" t="s">
        <v>53</v>
      </c>
      <c r="K2829" t="s">
        <v>53</v>
      </c>
      <c r="L2829" t="s">
        <v>53</v>
      </c>
      <c r="M2829" t="s">
        <v>53</v>
      </c>
      <c r="N2829" t="s">
        <v>53</v>
      </c>
      <c r="O2829" t="s">
        <v>53</v>
      </c>
      <c r="P2829" t="s">
        <v>53</v>
      </c>
      <c r="Q2829" t="s">
        <v>53</v>
      </c>
    </row>
    <row r="2830" spans="1:17" x14ac:dyDescent="0.2">
      <c r="A2830" s="30" t="str">
        <f>IF(C2830&amp;G2830&amp;D2830&lt;&gt;'Funnel setup'!$K$3&amp;'Funnel setup'!$K$4&amp;'Funnel setup'!$K$5,".",IF(A2829=".",1,A2829+1))</f>
        <v>.</v>
      </c>
      <c r="B2830" s="431" t="str">
        <f t="shared" si="44"/>
        <v>Hip Replacement RevisionCCG of GP PracticeNHS SOUTH NORFOLK CCG (06Y)EQ-5D Index</v>
      </c>
      <c r="C2830" t="s">
        <v>247</v>
      </c>
      <c r="D2830" t="s">
        <v>87</v>
      </c>
      <c r="E2830" t="s">
        <v>932</v>
      </c>
      <c r="F2830" t="s">
        <v>933</v>
      </c>
      <c r="G2830" t="s">
        <v>52</v>
      </c>
      <c r="H2830">
        <v>15</v>
      </c>
      <c r="I2830">
        <v>0.56000000000000005</v>
      </c>
      <c r="J2830">
        <v>0.80800000000000005</v>
      </c>
      <c r="K2830">
        <v>0.249</v>
      </c>
      <c r="L2830">
        <v>11</v>
      </c>
      <c r="M2830">
        <v>2</v>
      </c>
      <c r="N2830">
        <v>2</v>
      </c>
      <c r="O2830" t="s">
        <v>53</v>
      </c>
      <c r="P2830" t="s">
        <v>53</v>
      </c>
      <c r="Q2830" t="s">
        <v>53</v>
      </c>
    </row>
    <row r="2831" spans="1:17" x14ac:dyDescent="0.2">
      <c r="A2831" s="30" t="str">
        <f>IF(C2831&amp;G2831&amp;D2831&lt;&gt;'Funnel setup'!$K$3&amp;'Funnel setup'!$K$4&amp;'Funnel setup'!$K$5,".",IF(A2830=".",1,A2830+1))</f>
        <v>.</v>
      </c>
      <c r="B2831" s="431" t="str">
        <f t="shared" si="44"/>
        <v>Hip Replacement RevisionCCG of GP PracticeNHS SOUTH READING CCG (10W)EQ-5D Index</v>
      </c>
      <c r="C2831" t="s">
        <v>247</v>
      </c>
      <c r="D2831" t="s">
        <v>87</v>
      </c>
      <c r="E2831" t="s">
        <v>935</v>
      </c>
      <c r="F2831" t="s">
        <v>936</v>
      </c>
      <c r="G2831" t="s">
        <v>52</v>
      </c>
      <c r="H2831" t="s">
        <v>53</v>
      </c>
      <c r="I2831" t="s">
        <v>53</v>
      </c>
      <c r="J2831" t="s">
        <v>53</v>
      </c>
      <c r="K2831" t="s">
        <v>53</v>
      </c>
      <c r="L2831" t="s">
        <v>53</v>
      </c>
      <c r="M2831" t="s">
        <v>53</v>
      </c>
      <c r="N2831" t="s">
        <v>53</v>
      </c>
      <c r="O2831" t="s">
        <v>53</v>
      </c>
      <c r="P2831" t="s">
        <v>53</v>
      </c>
      <c r="Q2831" t="s">
        <v>53</v>
      </c>
    </row>
    <row r="2832" spans="1:17" x14ac:dyDescent="0.2">
      <c r="A2832" s="30" t="str">
        <f>IF(C2832&amp;G2832&amp;D2832&lt;&gt;'Funnel setup'!$K$3&amp;'Funnel setup'!$K$4&amp;'Funnel setup'!$K$5,".",IF(A2831=".",1,A2831+1))</f>
        <v>.</v>
      </c>
      <c r="B2832" s="431" t="str">
        <f t="shared" si="44"/>
        <v>Hip Replacement RevisionCCG of GP PracticeNHS SOUTH SEFTON CCG (01T)EQ-5D Index</v>
      </c>
      <c r="C2832" t="s">
        <v>247</v>
      </c>
      <c r="D2832" t="s">
        <v>87</v>
      </c>
      <c r="E2832" t="s">
        <v>938</v>
      </c>
      <c r="F2832" t="s">
        <v>939</v>
      </c>
      <c r="G2832" t="s">
        <v>52</v>
      </c>
      <c r="H2832">
        <v>9</v>
      </c>
      <c r="I2832">
        <v>0.34100000000000003</v>
      </c>
      <c r="J2832">
        <v>0.55700000000000005</v>
      </c>
      <c r="K2832">
        <v>0.215</v>
      </c>
      <c r="L2832">
        <v>5</v>
      </c>
      <c r="M2832">
        <v>2</v>
      </c>
      <c r="N2832">
        <v>2</v>
      </c>
      <c r="O2832" t="s">
        <v>53</v>
      </c>
      <c r="P2832" t="s">
        <v>53</v>
      </c>
      <c r="Q2832" t="s">
        <v>53</v>
      </c>
    </row>
    <row r="2833" spans="1:17" x14ac:dyDescent="0.2">
      <c r="A2833" s="30" t="str">
        <f>IF(C2833&amp;G2833&amp;D2833&lt;&gt;'Funnel setup'!$K$3&amp;'Funnel setup'!$K$4&amp;'Funnel setup'!$K$5,".",IF(A2832=".",1,A2832+1))</f>
        <v>.</v>
      </c>
      <c r="B2833" s="431" t="str">
        <f t="shared" si="44"/>
        <v>Hip Replacement RevisionCCG of GP PracticeNHS SOUTH TEES CCG (00M)EQ-5D Index</v>
      </c>
      <c r="C2833" t="s">
        <v>247</v>
      </c>
      <c r="D2833" t="s">
        <v>87</v>
      </c>
      <c r="E2833" t="s">
        <v>941</v>
      </c>
      <c r="F2833" t="s">
        <v>942</v>
      </c>
      <c r="G2833" t="s">
        <v>52</v>
      </c>
      <c r="H2833">
        <v>17</v>
      </c>
      <c r="I2833">
        <v>0.435</v>
      </c>
      <c r="J2833">
        <v>0.59399999999999997</v>
      </c>
      <c r="K2833">
        <v>0.159</v>
      </c>
      <c r="L2833">
        <v>8</v>
      </c>
      <c r="M2833">
        <v>4</v>
      </c>
      <c r="N2833">
        <v>5</v>
      </c>
      <c r="O2833" t="s">
        <v>53</v>
      </c>
      <c r="P2833" t="s">
        <v>53</v>
      </c>
      <c r="Q2833" t="s">
        <v>53</v>
      </c>
    </row>
    <row r="2834" spans="1:17" x14ac:dyDescent="0.2">
      <c r="A2834" s="30" t="str">
        <f>IF(C2834&amp;G2834&amp;D2834&lt;&gt;'Funnel setup'!$K$3&amp;'Funnel setup'!$K$4&amp;'Funnel setup'!$K$5,".",IF(A2833=".",1,A2833+1))</f>
        <v>.</v>
      </c>
      <c r="B2834" s="431" t="str">
        <f t="shared" si="44"/>
        <v>Hip Replacement RevisionCCG of GP PracticeNHS SOUTH TYNESIDE CCG (00N)EQ-5D Index</v>
      </c>
      <c r="C2834" t="s">
        <v>247</v>
      </c>
      <c r="D2834" t="s">
        <v>87</v>
      </c>
      <c r="E2834" t="s">
        <v>1016</v>
      </c>
      <c r="F2834" t="s">
        <v>1017</v>
      </c>
      <c r="G2834" t="s">
        <v>52</v>
      </c>
      <c r="H2834" t="s">
        <v>53</v>
      </c>
      <c r="I2834" t="s">
        <v>53</v>
      </c>
      <c r="J2834" t="s">
        <v>53</v>
      </c>
      <c r="K2834" t="s">
        <v>53</v>
      </c>
      <c r="L2834" t="s">
        <v>53</v>
      </c>
      <c r="M2834" t="s">
        <v>53</v>
      </c>
      <c r="N2834" t="s">
        <v>53</v>
      </c>
      <c r="O2834" t="s">
        <v>53</v>
      </c>
      <c r="P2834" t="s">
        <v>53</v>
      </c>
      <c r="Q2834" t="s">
        <v>53</v>
      </c>
    </row>
    <row r="2835" spans="1:17" x14ac:dyDescent="0.2">
      <c r="A2835" s="30" t="str">
        <f>IF(C2835&amp;G2835&amp;D2835&lt;&gt;'Funnel setup'!$K$3&amp;'Funnel setup'!$K$4&amp;'Funnel setup'!$K$5,".",IF(A2834=".",1,A2834+1))</f>
        <v>.</v>
      </c>
      <c r="B2835" s="431" t="str">
        <f t="shared" si="44"/>
        <v>Hip Replacement RevisionCCG of GP PracticeNHS SOUTH WARWICKSHIRE CCG (05R)EQ-5D Index</v>
      </c>
      <c r="C2835" t="s">
        <v>247</v>
      </c>
      <c r="D2835" t="s">
        <v>87</v>
      </c>
      <c r="E2835" t="s">
        <v>944</v>
      </c>
      <c r="F2835" t="s">
        <v>945</v>
      </c>
      <c r="G2835" t="s">
        <v>52</v>
      </c>
      <c r="H2835">
        <v>14</v>
      </c>
      <c r="I2835">
        <v>0.45600000000000002</v>
      </c>
      <c r="J2835">
        <v>0.65300000000000002</v>
      </c>
      <c r="K2835">
        <v>0.19700000000000001</v>
      </c>
      <c r="L2835">
        <v>11</v>
      </c>
      <c r="M2835">
        <v>2</v>
      </c>
      <c r="N2835">
        <v>1</v>
      </c>
      <c r="O2835" t="s">
        <v>53</v>
      </c>
      <c r="P2835" t="s">
        <v>53</v>
      </c>
      <c r="Q2835" t="s">
        <v>53</v>
      </c>
    </row>
    <row r="2836" spans="1:17" x14ac:dyDescent="0.2">
      <c r="A2836" s="30" t="str">
        <f>IF(C2836&amp;G2836&amp;D2836&lt;&gt;'Funnel setup'!$K$3&amp;'Funnel setup'!$K$4&amp;'Funnel setup'!$K$5,".",IF(A2835=".",1,A2835+1))</f>
        <v>.</v>
      </c>
      <c r="B2836" s="431" t="str">
        <f t="shared" si="44"/>
        <v>Hip Replacement RevisionCCG of GP PracticeNHS SOUTH WEST LINCOLNSHIRE CCG (04Q)EQ-5D Index</v>
      </c>
      <c r="C2836" t="s">
        <v>247</v>
      </c>
      <c r="D2836" t="s">
        <v>87</v>
      </c>
      <c r="E2836" t="s">
        <v>947</v>
      </c>
      <c r="F2836" t="s">
        <v>948</v>
      </c>
      <c r="G2836" t="s">
        <v>52</v>
      </c>
      <c r="H2836" t="s">
        <v>53</v>
      </c>
      <c r="I2836" t="s">
        <v>53</v>
      </c>
      <c r="J2836" t="s">
        <v>53</v>
      </c>
      <c r="K2836" t="s">
        <v>53</v>
      </c>
      <c r="L2836" t="s">
        <v>53</v>
      </c>
      <c r="M2836" t="s">
        <v>53</v>
      </c>
      <c r="N2836" t="s">
        <v>53</v>
      </c>
      <c r="O2836" t="s">
        <v>53</v>
      </c>
      <c r="P2836" t="s">
        <v>53</v>
      </c>
      <c r="Q2836" t="s">
        <v>53</v>
      </c>
    </row>
    <row r="2837" spans="1:17" x14ac:dyDescent="0.2">
      <c r="A2837" s="30" t="str">
        <f>IF(C2837&amp;G2837&amp;D2837&lt;&gt;'Funnel setup'!$K$3&amp;'Funnel setup'!$K$4&amp;'Funnel setup'!$K$5,".",IF(A2836=".",1,A2836+1))</f>
        <v>.</v>
      </c>
      <c r="B2837" s="431" t="str">
        <f t="shared" si="44"/>
        <v>Hip Replacement RevisionCCG of GP PracticeNHS SOUTH WORCESTERSHIRE CCG (05T)EQ-5D Index</v>
      </c>
      <c r="C2837" t="s">
        <v>247</v>
      </c>
      <c r="D2837" t="s">
        <v>87</v>
      </c>
      <c r="E2837" t="s">
        <v>950</v>
      </c>
      <c r="F2837" t="s">
        <v>951</v>
      </c>
      <c r="G2837" t="s">
        <v>52</v>
      </c>
      <c r="H2837">
        <v>15</v>
      </c>
      <c r="I2837">
        <v>0.33600000000000002</v>
      </c>
      <c r="J2837">
        <v>0.68700000000000006</v>
      </c>
      <c r="K2837">
        <v>0.35099999999999998</v>
      </c>
      <c r="L2837">
        <v>11</v>
      </c>
      <c r="M2837">
        <v>2</v>
      </c>
      <c r="N2837">
        <v>2</v>
      </c>
      <c r="O2837" t="s">
        <v>53</v>
      </c>
      <c r="P2837" t="s">
        <v>53</v>
      </c>
      <c r="Q2837" t="s">
        <v>53</v>
      </c>
    </row>
    <row r="2838" spans="1:17" x14ac:dyDescent="0.2">
      <c r="A2838" s="30" t="str">
        <f>IF(C2838&amp;G2838&amp;D2838&lt;&gt;'Funnel setup'!$K$3&amp;'Funnel setup'!$K$4&amp;'Funnel setup'!$K$5,".",IF(A2837=".",1,A2837+1))</f>
        <v>.</v>
      </c>
      <c r="B2838" s="431" t="str">
        <f t="shared" si="44"/>
        <v>Hip Replacement RevisionCCG of GP PracticeNHS SOUTHAMPTON CCG (10X)EQ-5D Index</v>
      </c>
      <c r="C2838" t="s">
        <v>247</v>
      </c>
      <c r="D2838" t="s">
        <v>87</v>
      </c>
      <c r="E2838" t="s">
        <v>953</v>
      </c>
      <c r="F2838" t="s">
        <v>954</v>
      </c>
      <c r="G2838" t="s">
        <v>52</v>
      </c>
      <c r="H2838">
        <v>12</v>
      </c>
      <c r="I2838">
        <v>0.378</v>
      </c>
      <c r="J2838">
        <v>0.69199999999999995</v>
      </c>
      <c r="K2838">
        <v>0.315</v>
      </c>
      <c r="L2838">
        <v>7</v>
      </c>
      <c r="M2838">
        <v>1</v>
      </c>
      <c r="N2838">
        <v>4</v>
      </c>
      <c r="O2838" t="s">
        <v>53</v>
      </c>
      <c r="P2838" t="s">
        <v>53</v>
      </c>
      <c r="Q2838" t="s">
        <v>53</v>
      </c>
    </row>
    <row r="2839" spans="1:17" x14ac:dyDescent="0.2">
      <c r="A2839" s="30" t="str">
        <f>IF(C2839&amp;G2839&amp;D2839&lt;&gt;'Funnel setup'!$K$3&amp;'Funnel setup'!$K$4&amp;'Funnel setup'!$K$5,".",IF(A2838=".",1,A2838+1))</f>
        <v>.</v>
      </c>
      <c r="B2839" s="431" t="str">
        <f t="shared" si="44"/>
        <v>Hip Replacement RevisionCCG of GP PracticeNHS SOUTHEND CCG (99G)EQ-5D Index</v>
      </c>
      <c r="C2839" t="s">
        <v>247</v>
      </c>
      <c r="D2839" t="s">
        <v>87</v>
      </c>
      <c r="E2839" t="s">
        <v>956</v>
      </c>
      <c r="F2839" t="s">
        <v>957</v>
      </c>
      <c r="G2839" t="s">
        <v>52</v>
      </c>
      <c r="H2839" t="s">
        <v>53</v>
      </c>
      <c r="I2839" t="s">
        <v>53</v>
      </c>
      <c r="J2839" t="s">
        <v>53</v>
      </c>
      <c r="K2839" t="s">
        <v>53</v>
      </c>
      <c r="L2839" t="s">
        <v>53</v>
      </c>
      <c r="M2839" t="s">
        <v>53</v>
      </c>
      <c r="N2839" t="s">
        <v>53</v>
      </c>
      <c r="O2839" t="s">
        <v>53</v>
      </c>
      <c r="P2839" t="s">
        <v>53</v>
      </c>
      <c r="Q2839" t="s">
        <v>53</v>
      </c>
    </row>
    <row r="2840" spans="1:17" x14ac:dyDescent="0.2">
      <c r="A2840" s="30" t="str">
        <f>IF(C2840&amp;G2840&amp;D2840&lt;&gt;'Funnel setup'!$K$3&amp;'Funnel setup'!$K$4&amp;'Funnel setup'!$K$5,".",IF(A2839=".",1,A2839+1))</f>
        <v>.</v>
      </c>
      <c r="B2840" s="431" t="str">
        <f t="shared" si="44"/>
        <v>Hip Replacement RevisionCCG of GP PracticeNHS SOUTHERN DERBYSHIRE CCG (04R)EQ-5D Index</v>
      </c>
      <c r="C2840" t="s">
        <v>247</v>
      </c>
      <c r="D2840" t="s">
        <v>87</v>
      </c>
      <c r="E2840" t="s">
        <v>959</v>
      </c>
      <c r="F2840" t="s">
        <v>960</v>
      </c>
      <c r="G2840" t="s">
        <v>52</v>
      </c>
      <c r="H2840">
        <v>23</v>
      </c>
      <c r="I2840">
        <v>0.48299999999999998</v>
      </c>
      <c r="J2840">
        <v>0.63500000000000001</v>
      </c>
      <c r="K2840">
        <v>0.152</v>
      </c>
      <c r="L2840">
        <v>15</v>
      </c>
      <c r="M2840">
        <v>3</v>
      </c>
      <c r="N2840">
        <v>5</v>
      </c>
      <c r="O2840" t="s">
        <v>53</v>
      </c>
      <c r="P2840" t="s">
        <v>53</v>
      </c>
      <c r="Q2840" t="s">
        <v>53</v>
      </c>
    </row>
    <row r="2841" spans="1:17" x14ac:dyDescent="0.2">
      <c r="A2841" s="30" t="str">
        <f>IF(C2841&amp;G2841&amp;D2841&lt;&gt;'Funnel setup'!$K$3&amp;'Funnel setup'!$K$4&amp;'Funnel setup'!$K$5,".",IF(A2840=".",1,A2840+1))</f>
        <v>.</v>
      </c>
      <c r="B2841" s="431" t="str">
        <f t="shared" si="44"/>
        <v>Hip Replacement RevisionCCG of GP PracticeNHS SOUTHPORT AND FORMBY CCG (01V)EQ-5D Index</v>
      </c>
      <c r="C2841" t="s">
        <v>247</v>
      </c>
      <c r="D2841" t="s">
        <v>87</v>
      </c>
      <c r="E2841" t="s">
        <v>962</v>
      </c>
      <c r="F2841" t="s">
        <v>963</v>
      </c>
      <c r="G2841" t="s">
        <v>52</v>
      </c>
      <c r="H2841" t="s">
        <v>53</v>
      </c>
      <c r="I2841" t="s">
        <v>53</v>
      </c>
      <c r="J2841" t="s">
        <v>53</v>
      </c>
      <c r="K2841" t="s">
        <v>53</v>
      </c>
      <c r="L2841" t="s">
        <v>53</v>
      </c>
      <c r="M2841" t="s">
        <v>53</v>
      </c>
      <c r="N2841" t="s">
        <v>53</v>
      </c>
      <c r="O2841" t="s">
        <v>53</v>
      </c>
      <c r="P2841" t="s">
        <v>53</v>
      </c>
      <c r="Q2841" t="s">
        <v>53</v>
      </c>
    </row>
    <row r="2842" spans="1:17" x14ac:dyDescent="0.2">
      <c r="A2842" s="30" t="str">
        <f>IF(C2842&amp;G2842&amp;D2842&lt;&gt;'Funnel setup'!$K$3&amp;'Funnel setup'!$K$4&amp;'Funnel setup'!$K$5,".",IF(A2841=".",1,A2841+1))</f>
        <v>.</v>
      </c>
      <c r="B2842" s="431" t="str">
        <f t="shared" si="44"/>
        <v>Hip Replacement RevisionCCG of GP PracticeNHS SOUTHWARK CCG (08Q)EQ-5D Index</v>
      </c>
      <c r="C2842" t="s">
        <v>247</v>
      </c>
      <c r="D2842" t="s">
        <v>87</v>
      </c>
      <c r="E2842" t="s">
        <v>965</v>
      </c>
      <c r="F2842" t="s">
        <v>966</v>
      </c>
      <c r="G2842" t="s">
        <v>52</v>
      </c>
      <c r="H2842" t="s">
        <v>53</v>
      </c>
      <c r="I2842" t="s">
        <v>53</v>
      </c>
      <c r="J2842" t="s">
        <v>53</v>
      </c>
      <c r="K2842" t="s">
        <v>53</v>
      </c>
      <c r="L2842" t="s">
        <v>53</v>
      </c>
      <c r="M2842" t="s">
        <v>53</v>
      </c>
      <c r="N2842" t="s">
        <v>53</v>
      </c>
      <c r="O2842" t="s">
        <v>53</v>
      </c>
      <c r="P2842" t="s">
        <v>53</v>
      </c>
      <c r="Q2842" t="s">
        <v>53</v>
      </c>
    </row>
    <row r="2843" spans="1:17" x14ac:dyDescent="0.2">
      <c r="A2843" s="30" t="str">
        <f>IF(C2843&amp;G2843&amp;D2843&lt;&gt;'Funnel setup'!$K$3&amp;'Funnel setup'!$K$4&amp;'Funnel setup'!$K$5,".",IF(A2842=".",1,A2842+1))</f>
        <v>.</v>
      </c>
      <c r="B2843" s="431" t="str">
        <f t="shared" si="44"/>
        <v>Hip Replacement RevisionCCG of GP PracticeNHS ST HELENS CCG (01X)EQ-5D Index</v>
      </c>
      <c r="C2843" t="s">
        <v>247</v>
      </c>
      <c r="D2843" t="s">
        <v>87</v>
      </c>
      <c r="E2843" t="s">
        <v>968</v>
      </c>
      <c r="F2843" t="s">
        <v>969</v>
      </c>
      <c r="G2843" t="s">
        <v>52</v>
      </c>
      <c r="H2843">
        <v>13</v>
      </c>
      <c r="I2843">
        <v>0.34200000000000003</v>
      </c>
      <c r="J2843">
        <v>0.46300000000000002</v>
      </c>
      <c r="K2843">
        <v>0.121</v>
      </c>
      <c r="L2843">
        <v>8</v>
      </c>
      <c r="M2843">
        <v>0</v>
      </c>
      <c r="N2843">
        <v>5</v>
      </c>
      <c r="O2843" t="s">
        <v>53</v>
      </c>
      <c r="P2843" t="s">
        <v>53</v>
      </c>
      <c r="Q2843" t="s">
        <v>53</v>
      </c>
    </row>
    <row r="2844" spans="1:17" x14ac:dyDescent="0.2">
      <c r="A2844" s="30" t="str">
        <f>IF(C2844&amp;G2844&amp;D2844&lt;&gt;'Funnel setup'!$K$3&amp;'Funnel setup'!$K$4&amp;'Funnel setup'!$K$5,".",IF(A2843=".",1,A2843+1))</f>
        <v>.</v>
      </c>
      <c r="B2844" s="431" t="str">
        <f t="shared" si="44"/>
        <v>Hip Replacement RevisionCCG of GP PracticeNHS STAFFORD AND SURROUNDS CCG (05V)EQ-5D Index</v>
      </c>
      <c r="C2844" t="s">
        <v>247</v>
      </c>
      <c r="D2844" t="s">
        <v>87</v>
      </c>
      <c r="E2844" t="s">
        <v>971</v>
      </c>
      <c r="F2844" t="s">
        <v>972</v>
      </c>
      <c r="G2844" t="s">
        <v>52</v>
      </c>
      <c r="H2844">
        <v>11</v>
      </c>
      <c r="I2844">
        <v>0.34599999999999997</v>
      </c>
      <c r="J2844">
        <v>0.63100000000000001</v>
      </c>
      <c r="K2844">
        <v>0.28399999999999997</v>
      </c>
      <c r="L2844">
        <v>9</v>
      </c>
      <c r="M2844">
        <v>0</v>
      </c>
      <c r="N2844">
        <v>2</v>
      </c>
      <c r="O2844" t="s">
        <v>53</v>
      </c>
      <c r="P2844" t="s">
        <v>53</v>
      </c>
      <c r="Q2844" t="s">
        <v>53</v>
      </c>
    </row>
    <row r="2845" spans="1:17" x14ac:dyDescent="0.2">
      <c r="A2845" s="30" t="str">
        <f>IF(C2845&amp;G2845&amp;D2845&lt;&gt;'Funnel setup'!$K$3&amp;'Funnel setup'!$K$4&amp;'Funnel setup'!$K$5,".",IF(A2844=".",1,A2844+1))</f>
        <v>.</v>
      </c>
      <c r="B2845" s="431" t="str">
        <f t="shared" si="44"/>
        <v>Hip Replacement RevisionCCG of GP PracticeNHS STOCKPORT CCG (01W)EQ-5D Index</v>
      </c>
      <c r="C2845" t="s">
        <v>247</v>
      </c>
      <c r="D2845" t="s">
        <v>87</v>
      </c>
      <c r="E2845" t="s">
        <v>974</v>
      </c>
      <c r="F2845" t="s">
        <v>975</v>
      </c>
      <c r="G2845" t="s">
        <v>52</v>
      </c>
      <c r="H2845" t="s">
        <v>53</v>
      </c>
      <c r="I2845" t="s">
        <v>53</v>
      </c>
      <c r="J2845" t="s">
        <v>53</v>
      </c>
      <c r="K2845" t="s">
        <v>53</v>
      </c>
      <c r="L2845" t="s">
        <v>53</v>
      </c>
      <c r="M2845" t="s">
        <v>53</v>
      </c>
      <c r="N2845" t="s">
        <v>53</v>
      </c>
      <c r="O2845" t="s">
        <v>53</v>
      </c>
      <c r="P2845" t="s">
        <v>53</v>
      </c>
      <c r="Q2845" t="s">
        <v>53</v>
      </c>
    </row>
    <row r="2846" spans="1:17" x14ac:dyDescent="0.2">
      <c r="A2846" s="30" t="str">
        <f>IF(C2846&amp;G2846&amp;D2846&lt;&gt;'Funnel setup'!$K$3&amp;'Funnel setup'!$K$4&amp;'Funnel setup'!$K$5,".",IF(A2845=".",1,A2845+1))</f>
        <v>.</v>
      </c>
      <c r="B2846" s="431" t="str">
        <f t="shared" si="44"/>
        <v>Hip Replacement RevisionCCG of GP PracticeNHS STOKE ON TRENT CCG (05W)EQ-5D Index</v>
      </c>
      <c r="C2846" t="s">
        <v>247</v>
      </c>
      <c r="D2846" t="s">
        <v>87</v>
      </c>
      <c r="E2846" t="s">
        <v>977</v>
      </c>
      <c r="F2846" t="s">
        <v>978</v>
      </c>
      <c r="G2846" t="s">
        <v>52</v>
      </c>
      <c r="H2846" t="s">
        <v>53</v>
      </c>
      <c r="I2846" t="s">
        <v>53</v>
      </c>
      <c r="J2846" t="s">
        <v>53</v>
      </c>
      <c r="K2846" t="s">
        <v>53</v>
      </c>
      <c r="L2846" t="s">
        <v>53</v>
      </c>
      <c r="M2846" t="s">
        <v>53</v>
      </c>
      <c r="N2846" t="s">
        <v>53</v>
      </c>
      <c r="O2846" t="s">
        <v>53</v>
      </c>
      <c r="P2846" t="s">
        <v>53</v>
      </c>
      <c r="Q2846" t="s">
        <v>53</v>
      </c>
    </row>
    <row r="2847" spans="1:17" x14ac:dyDescent="0.2">
      <c r="A2847" s="30" t="str">
        <f>IF(C2847&amp;G2847&amp;D2847&lt;&gt;'Funnel setup'!$K$3&amp;'Funnel setup'!$K$4&amp;'Funnel setup'!$K$5,".",IF(A2846=".",1,A2846+1))</f>
        <v>.</v>
      </c>
      <c r="B2847" s="431" t="str">
        <f t="shared" si="44"/>
        <v>Hip Replacement RevisionCCG of GP PracticeNHS SUNDERLAND CCG (00P)EQ-5D Index</v>
      </c>
      <c r="C2847" t="s">
        <v>247</v>
      </c>
      <c r="D2847" t="s">
        <v>87</v>
      </c>
      <c r="E2847" t="s">
        <v>980</v>
      </c>
      <c r="F2847" t="s">
        <v>981</v>
      </c>
      <c r="G2847" t="s">
        <v>52</v>
      </c>
      <c r="H2847">
        <v>8</v>
      </c>
      <c r="I2847">
        <v>0.377</v>
      </c>
      <c r="J2847">
        <v>0.55100000000000005</v>
      </c>
      <c r="K2847">
        <v>0.17499999999999999</v>
      </c>
      <c r="L2847">
        <v>4</v>
      </c>
      <c r="M2847">
        <v>3</v>
      </c>
      <c r="N2847">
        <v>1</v>
      </c>
      <c r="O2847" t="s">
        <v>53</v>
      </c>
      <c r="P2847" t="s">
        <v>53</v>
      </c>
      <c r="Q2847" t="s">
        <v>53</v>
      </c>
    </row>
    <row r="2848" spans="1:17" x14ac:dyDescent="0.2">
      <c r="A2848" s="30" t="str">
        <f>IF(C2848&amp;G2848&amp;D2848&lt;&gt;'Funnel setup'!$K$3&amp;'Funnel setup'!$K$4&amp;'Funnel setup'!$K$5,".",IF(A2847=".",1,A2847+1))</f>
        <v>.</v>
      </c>
      <c r="B2848" s="431" t="str">
        <f t="shared" si="44"/>
        <v>Hip Replacement RevisionCCG of GP PracticeNHS SURREY DOWNS CCG (99H)EQ-5D Index</v>
      </c>
      <c r="C2848" t="s">
        <v>247</v>
      </c>
      <c r="D2848" t="s">
        <v>87</v>
      </c>
      <c r="E2848" t="s">
        <v>983</v>
      </c>
      <c r="F2848" t="s">
        <v>984</v>
      </c>
      <c r="G2848" t="s">
        <v>52</v>
      </c>
      <c r="H2848">
        <v>15</v>
      </c>
      <c r="I2848">
        <v>0.45</v>
      </c>
      <c r="J2848">
        <v>0.63500000000000001</v>
      </c>
      <c r="K2848">
        <v>0.184</v>
      </c>
      <c r="L2848">
        <v>9</v>
      </c>
      <c r="M2848">
        <v>5</v>
      </c>
      <c r="N2848">
        <v>1</v>
      </c>
      <c r="O2848" t="s">
        <v>53</v>
      </c>
      <c r="P2848" t="s">
        <v>53</v>
      </c>
      <c r="Q2848" t="s">
        <v>53</v>
      </c>
    </row>
    <row r="2849" spans="1:17" x14ac:dyDescent="0.2">
      <c r="A2849" s="30" t="str">
        <f>IF(C2849&amp;G2849&amp;D2849&lt;&gt;'Funnel setup'!$K$3&amp;'Funnel setup'!$K$4&amp;'Funnel setup'!$K$5,".",IF(A2848=".",1,A2848+1))</f>
        <v>.</v>
      </c>
      <c r="B2849" s="431" t="str">
        <f t="shared" si="44"/>
        <v>Hip Replacement RevisionCCG of GP PracticeNHS SURREY HEATH CCG (10C)EQ-5D Index</v>
      </c>
      <c r="C2849" t="s">
        <v>247</v>
      </c>
      <c r="D2849" t="s">
        <v>87</v>
      </c>
      <c r="E2849" t="s">
        <v>986</v>
      </c>
      <c r="F2849" t="s">
        <v>987</v>
      </c>
      <c r="G2849" t="s">
        <v>52</v>
      </c>
      <c r="H2849">
        <v>6</v>
      </c>
      <c r="I2849">
        <v>0.41699999999999998</v>
      </c>
      <c r="J2849">
        <v>0.75700000000000001</v>
      </c>
      <c r="K2849">
        <v>0.34</v>
      </c>
      <c r="L2849">
        <v>5</v>
      </c>
      <c r="M2849">
        <v>0</v>
      </c>
      <c r="N2849">
        <v>1</v>
      </c>
      <c r="O2849" t="s">
        <v>53</v>
      </c>
      <c r="P2849" t="s">
        <v>53</v>
      </c>
      <c r="Q2849" t="s">
        <v>53</v>
      </c>
    </row>
    <row r="2850" spans="1:17" x14ac:dyDescent="0.2">
      <c r="A2850" s="30" t="str">
        <f>IF(C2850&amp;G2850&amp;D2850&lt;&gt;'Funnel setup'!$K$3&amp;'Funnel setup'!$K$4&amp;'Funnel setup'!$K$5,".",IF(A2849=".",1,A2849+1))</f>
        <v>.</v>
      </c>
      <c r="B2850" s="431" t="str">
        <f t="shared" si="44"/>
        <v>Hip Replacement RevisionCCG of GP PracticeNHS SUTTON CCG (08T)EQ-5D Index</v>
      </c>
      <c r="C2850" t="s">
        <v>247</v>
      </c>
      <c r="D2850" t="s">
        <v>87</v>
      </c>
      <c r="E2850" t="s">
        <v>989</v>
      </c>
      <c r="F2850" t="s">
        <v>990</v>
      </c>
      <c r="G2850" t="s">
        <v>52</v>
      </c>
      <c r="H2850" t="s">
        <v>53</v>
      </c>
      <c r="I2850" t="s">
        <v>53</v>
      </c>
      <c r="J2850" t="s">
        <v>53</v>
      </c>
      <c r="K2850" t="s">
        <v>53</v>
      </c>
      <c r="L2850" t="s">
        <v>53</v>
      </c>
      <c r="M2850" t="s">
        <v>53</v>
      </c>
      <c r="N2850" t="s">
        <v>53</v>
      </c>
      <c r="O2850" t="s">
        <v>53</v>
      </c>
      <c r="P2850" t="s">
        <v>53</v>
      </c>
      <c r="Q2850" t="s">
        <v>53</v>
      </c>
    </row>
    <row r="2851" spans="1:17" x14ac:dyDescent="0.2">
      <c r="A2851" s="30" t="str">
        <f>IF(C2851&amp;G2851&amp;D2851&lt;&gt;'Funnel setup'!$K$3&amp;'Funnel setup'!$K$4&amp;'Funnel setup'!$K$5,".",IF(A2850=".",1,A2850+1))</f>
        <v>.</v>
      </c>
      <c r="B2851" s="431" t="str">
        <f t="shared" si="44"/>
        <v>Hip Replacement RevisionCCG of GP PracticeNHS SWALE CCG (10D)EQ-5D Index</v>
      </c>
      <c r="C2851" t="s">
        <v>247</v>
      </c>
      <c r="D2851" t="s">
        <v>87</v>
      </c>
      <c r="E2851" t="s">
        <v>992</v>
      </c>
      <c r="F2851" t="s">
        <v>993</v>
      </c>
      <c r="G2851" t="s">
        <v>52</v>
      </c>
      <c r="H2851">
        <v>8</v>
      </c>
      <c r="I2851">
        <v>0.44800000000000001</v>
      </c>
      <c r="J2851">
        <v>0.68400000000000005</v>
      </c>
      <c r="K2851">
        <v>0.23599999999999999</v>
      </c>
      <c r="L2851">
        <v>6</v>
      </c>
      <c r="M2851">
        <v>0</v>
      </c>
      <c r="N2851">
        <v>2</v>
      </c>
      <c r="O2851" t="s">
        <v>53</v>
      </c>
      <c r="P2851" t="s">
        <v>53</v>
      </c>
      <c r="Q2851" t="s">
        <v>53</v>
      </c>
    </row>
    <row r="2852" spans="1:17" x14ac:dyDescent="0.2">
      <c r="A2852" s="30" t="str">
        <f>IF(C2852&amp;G2852&amp;D2852&lt;&gt;'Funnel setup'!$K$3&amp;'Funnel setup'!$K$4&amp;'Funnel setup'!$K$5,".",IF(A2851=".",1,A2851+1))</f>
        <v>.</v>
      </c>
      <c r="B2852" s="431" t="str">
        <f t="shared" si="44"/>
        <v>Hip Replacement RevisionCCG of GP PracticeNHS SWINDON CCG (12D)EQ-5D Index</v>
      </c>
      <c r="C2852" t="s">
        <v>247</v>
      </c>
      <c r="D2852" t="s">
        <v>87</v>
      </c>
      <c r="E2852" t="s">
        <v>995</v>
      </c>
      <c r="F2852" t="s">
        <v>996</v>
      </c>
      <c r="G2852" t="s">
        <v>52</v>
      </c>
      <c r="H2852">
        <v>9</v>
      </c>
      <c r="I2852">
        <v>0.29299999999999998</v>
      </c>
      <c r="J2852">
        <v>0.66700000000000004</v>
      </c>
      <c r="K2852">
        <v>0.373</v>
      </c>
      <c r="L2852">
        <v>8</v>
      </c>
      <c r="M2852">
        <v>0</v>
      </c>
      <c r="N2852">
        <v>1</v>
      </c>
      <c r="O2852" t="s">
        <v>53</v>
      </c>
      <c r="P2852" t="s">
        <v>53</v>
      </c>
      <c r="Q2852" t="s">
        <v>53</v>
      </c>
    </row>
    <row r="2853" spans="1:17" x14ac:dyDescent="0.2">
      <c r="A2853" s="30" t="str">
        <f>IF(C2853&amp;G2853&amp;D2853&lt;&gt;'Funnel setup'!$K$3&amp;'Funnel setup'!$K$4&amp;'Funnel setup'!$K$5,".",IF(A2852=".",1,A2852+1))</f>
        <v>.</v>
      </c>
      <c r="B2853" s="431" t="str">
        <f t="shared" si="44"/>
        <v>Hip Replacement RevisionCCG of GP PracticeNHS TELFORD AND WREKIN CCG (05X)EQ-5D Index</v>
      </c>
      <c r="C2853" t="s">
        <v>247</v>
      </c>
      <c r="D2853" t="s">
        <v>87</v>
      </c>
      <c r="E2853" t="s">
        <v>1001</v>
      </c>
      <c r="F2853" t="s">
        <v>1002</v>
      </c>
      <c r="G2853" t="s">
        <v>52</v>
      </c>
      <c r="H2853">
        <v>15</v>
      </c>
      <c r="I2853">
        <v>0.23</v>
      </c>
      <c r="J2853">
        <v>0.63600000000000001</v>
      </c>
      <c r="K2853">
        <v>0.40600000000000003</v>
      </c>
      <c r="L2853">
        <v>12</v>
      </c>
      <c r="M2853">
        <v>0</v>
      </c>
      <c r="N2853">
        <v>3</v>
      </c>
      <c r="O2853" t="s">
        <v>53</v>
      </c>
      <c r="P2853" t="s">
        <v>53</v>
      </c>
      <c r="Q2853" t="s">
        <v>53</v>
      </c>
    </row>
    <row r="2854" spans="1:17" x14ac:dyDescent="0.2">
      <c r="A2854" s="30" t="str">
        <f>IF(C2854&amp;G2854&amp;D2854&lt;&gt;'Funnel setup'!$K$3&amp;'Funnel setup'!$K$4&amp;'Funnel setup'!$K$5,".",IF(A2853=".",1,A2853+1))</f>
        <v>.</v>
      </c>
      <c r="B2854" s="431" t="str">
        <f t="shared" si="44"/>
        <v>Hip Replacement RevisionCCG of GP PracticeNHS THANET CCG (10E)EQ-5D Index</v>
      </c>
      <c r="C2854" t="s">
        <v>247</v>
      </c>
      <c r="D2854" t="s">
        <v>87</v>
      </c>
      <c r="E2854" t="s">
        <v>1004</v>
      </c>
      <c r="F2854" t="s">
        <v>1005</v>
      </c>
      <c r="G2854" t="s">
        <v>52</v>
      </c>
      <c r="H2854">
        <v>11</v>
      </c>
      <c r="I2854">
        <v>0.189</v>
      </c>
      <c r="J2854">
        <v>0.59099999999999997</v>
      </c>
      <c r="K2854">
        <v>0.40200000000000002</v>
      </c>
      <c r="L2854">
        <v>9</v>
      </c>
      <c r="M2854">
        <v>2</v>
      </c>
      <c r="N2854">
        <v>0</v>
      </c>
      <c r="O2854" t="s">
        <v>53</v>
      </c>
      <c r="P2854" t="s">
        <v>53</v>
      </c>
      <c r="Q2854" t="s">
        <v>53</v>
      </c>
    </row>
    <row r="2855" spans="1:17" x14ac:dyDescent="0.2">
      <c r="A2855" s="30" t="str">
        <f>IF(C2855&amp;G2855&amp;D2855&lt;&gt;'Funnel setup'!$K$3&amp;'Funnel setup'!$K$4&amp;'Funnel setup'!$K$5,".",IF(A2854=".",1,A2854+1))</f>
        <v>.</v>
      </c>
      <c r="B2855" s="431" t="str">
        <f t="shared" si="44"/>
        <v>Hip Replacement RevisionCCG of GP PracticeNHS THURROCK CCG (07G)EQ-5D Index</v>
      </c>
      <c r="C2855" t="s">
        <v>247</v>
      </c>
      <c r="D2855" t="s">
        <v>87</v>
      </c>
      <c r="E2855" t="s">
        <v>1007</v>
      </c>
      <c r="F2855" t="s">
        <v>1008</v>
      </c>
      <c r="G2855" t="s">
        <v>52</v>
      </c>
      <c r="H2855" t="s">
        <v>53</v>
      </c>
      <c r="I2855" t="s">
        <v>53</v>
      </c>
      <c r="J2855" t="s">
        <v>53</v>
      </c>
      <c r="K2855" t="s">
        <v>53</v>
      </c>
      <c r="L2855" t="s">
        <v>53</v>
      </c>
      <c r="M2855" t="s">
        <v>53</v>
      </c>
      <c r="N2855" t="s">
        <v>53</v>
      </c>
      <c r="O2855" t="s">
        <v>53</v>
      </c>
      <c r="P2855" t="s">
        <v>53</v>
      </c>
      <c r="Q2855" t="s">
        <v>53</v>
      </c>
    </row>
    <row r="2856" spans="1:17" x14ac:dyDescent="0.2">
      <c r="A2856" s="30" t="str">
        <f>IF(C2856&amp;G2856&amp;D2856&lt;&gt;'Funnel setup'!$K$3&amp;'Funnel setup'!$K$4&amp;'Funnel setup'!$K$5,".",IF(A2855=".",1,A2855+1))</f>
        <v>.</v>
      </c>
      <c r="B2856" s="431" t="str">
        <f t="shared" si="44"/>
        <v>Hip Replacement RevisionCCG of GP PracticeNHS TOWER HAMLETS CCG (08V)EQ-5D Index</v>
      </c>
      <c r="C2856" t="s">
        <v>247</v>
      </c>
      <c r="D2856" t="s">
        <v>87</v>
      </c>
      <c r="E2856" t="s">
        <v>1010</v>
      </c>
      <c r="F2856" t="s">
        <v>1011</v>
      </c>
      <c r="G2856" t="s">
        <v>52</v>
      </c>
      <c r="H2856" t="s">
        <v>53</v>
      </c>
      <c r="I2856" t="s">
        <v>53</v>
      </c>
      <c r="J2856" t="s">
        <v>53</v>
      </c>
      <c r="K2856" t="s">
        <v>53</v>
      </c>
      <c r="L2856" t="s">
        <v>53</v>
      </c>
      <c r="M2856" t="s">
        <v>53</v>
      </c>
      <c r="N2856" t="s">
        <v>53</v>
      </c>
      <c r="O2856" t="s">
        <v>53</v>
      </c>
      <c r="P2856" t="s">
        <v>53</v>
      </c>
      <c r="Q2856" t="s">
        <v>53</v>
      </c>
    </row>
    <row r="2857" spans="1:17" x14ac:dyDescent="0.2">
      <c r="A2857" s="30" t="str">
        <f>IF(C2857&amp;G2857&amp;D2857&lt;&gt;'Funnel setup'!$K$3&amp;'Funnel setup'!$K$4&amp;'Funnel setup'!$K$5,".",IF(A2856=".",1,A2856+1))</f>
        <v>.</v>
      </c>
      <c r="B2857" s="431" t="str">
        <f t="shared" si="44"/>
        <v>Hip Replacement RevisionCCG of GP PracticeNHS TRAFFORD CCG (02A)EQ-5D Index</v>
      </c>
      <c r="C2857" t="s">
        <v>247</v>
      </c>
      <c r="D2857" t="s">
        <v>87</v>
      </c>
      <c r="E2857" t="s">
        <v>1013</v>
      </c>
      <c r="F2857" t="s">
        <v>1014</v>
      </c>
      <c r="G2857" t="s">
        <v>52</v>
      </c>
      <c r="H2857" t="s">
        <v>53</v>
      </c>
      <c r="I2857" t="s">
        <v>53</v>
      </c>
      <c r="J2857" t="s">
        <v>53</v>
      </c>
      <c r="K2857" t="s">
        <v>53</v>
      </c>
      <c r="L2857" t="s">
        <v>53</v>
      </c>
      <c r="M2857" t="s">
        <v>53</v>
      </c>
      <c r="N2857" t="s">
        <v>53</v>
      </c>
      <c r="O2857" t="s">
        <v>53</v>
      </c>
      <c r="P2857" t="s">
        <v>53</v>
      </c>
      <c r="Q2857" t="s">
        <v>53</v>
      </c>
    </row>
    <row r="2858" spans="1:17" x14ac:dyDescent="0.2">
      <c r="A2858" s="30" t="str">
        <f>IF(C2858&amp;G2858&amp;D2858&lt;&gt;'Funnel setup'!$K$3&amp;'Funnel setup'!$K$4&amp;'Funnel setup'!$K$5,".",IF(A2857=".",1,A2857+1))</f>
        <v>.</v>
      </c>
      <c r="B2858" s="431" t="str">
        <f t="shared" si="44"/>
        <v>Hip Replacement RevisionCCG of GP PracticeNHS VALE OF YORK CCG (03Q)EQ-5D Index</v>
      </c>
      <c r="C2858" t="s">
        <v>247</v>
      </c>
      <c r="D2858" t="s">
        <v>87</v>
      </c>
      <c r="E2858" t="s">
        <v>420</v>
      </c>
      <c r="F2858" t="s">
        <v>421</v>
      </c>
      <c r="G2858" t="s">
        <v>52</v>
      </c>
      <c r="H2858">
        <v>32</v>
      </c>
      <c r="I2858">
        <v>0.55100000000000005</v>
      </c>
      <c r="J2858">
        <v>0.69699999999999995</v>
      </c>
      <c r="K2858">
        <v>0.14599999999999999</v>
      </c>
      <c r="L2858">
        <v>22</v>
      </c>
      <c r="M2858">
        <v>5</v>
      </c>
      <c r="N2858">
        <v>5</v>
      </c>
      <c r="O2858">
        <v>0.63400000000000001</v>
      </c>
      <c r="P2858">
        <v>0.23547652499999999</v>
      </c>
      <c r="Q2858">
        <v>0.27900000000000003</v>
      </c>
    </row>
    <row r="2859" spans="1:17" x14ac:dyDescent="0.2">
      <c r="A2859" s="30" t="str">
        <f>IF(C2859&amp;G2859&amp;D2859&lt;&gt;'Funnel setup'!$K$3&amp;'Funnel setup'!$K$4&amp;'Funnel setup'!$K$5,".",IF(A2858=".",1,A2858+1))</f>
        <v>.</v>
      </c>
      <c r="B2859" s="431" t="str">
        <f t="shared" si="44"/>
        <v>Hip Replacement RevisionCCG of GP PracticeNHS VALE ROYAL CCG (02D)EQ-5D Index</v>
      </c>
      <c r="C2859" t="s">
        <v>247</v>
      </c>
      <c r="D2859" t="s">
        <v>87</v>
      </c>
      <c r="E2859" t="s">
        <v>423</v>
      </c>
      <c r="F2859" t="s">
        <v>424</v>
      </c>
      <c r="G2859" t="s">
        <v>52</v>
      </c>
      <c r="H2859" t="s">
        <v>53</v>
      </c>
      <c r="I2859" t="s">
        <v>53</v>
      </c>
      <c r="J2859" t="s">
        <v>53</v>
      </c>
      <c r="K2859" t="s">
        <v>53</v>
      </c>
      <c r="L2859" t="s">
        <v>53</v>
      </c>
      <c r="M2859" t="s">
        <v>53</v>
      </c>
      <c r="N2859" t="s">
        <v>53</v>
      </c>
      <c r="O2859" t="s">
        <v>53</v>
      </c>
      <c r="P2859" t="s">
        <v>53</v>
      </c>
      <c r="Q2859" t="s">
        <v>53</v>
      </c>
    </row>
    <row r="2860" spans="1:17" x14ac:dyDescent="0.2">
      <c r="A2860" s="30" t="str">
        <f>IF(C2860&amp;G2860&amp;D2860&lt;&gt;'Funnel setup'!$K$3&amp;'Funnel setup'!$K$4&amp;'Funnel setup'!$K$5,".",IF(A2859=".",1,A2859+1))</f>
        <v>.</v>
      </c>
      <c r="B2860" s="431" t="str">
        <f t="shared" si="44"/>
        <v>Hip Replacement RevisionCCG of GP PracticeNHS WAKEFIELD CCG (03R)EQ-5D Index</v>
      </c>
      <c r="C2860" t="s">
        <v>247</v>
      </c>
      <c r="D2860" t="s">
        <v>87</v>
      </c>
      <c r="E2860" t="s">
        <v>426</v>
      </c>
      <c r="F2860" t="s">
        <v>427</v>
      </c>
      <c r="G2860" t="s">
        <v>52</v>
      </c>
      <c r="H2860" t="s">
        <v>53</v>
      </c>
      <c r="I2860" t="s">
        <v>53</v>
      </c>
      <c r="J2860" t="s">
        <v>53</v>
      </c>
      <c r="K2860" t="s">
        <v>53</v>
      </c>
      <c r="L2860" t="s">
        <v>53</v>
      </c>
      <c r="M2860" t="s">
        <v>53</v>
      </c>
      <c r="N2860" t="s">
        <v>53</v>
      </c>
      <c r="O2860" t="s">
        <v>53</v>
      </c>
      <c r="P2860" t="s">
        <v>53</v>
      </c>
      <c r="Q2860" t="s">
        <v>53</v>
      </c>
    </row>
    <row r="2861" spans="1:17" x14ac:dyDescent="0.2">
      <c r="A2861" s="30" t="str">
        <f>IF(C2861&amp;G2861&amp;D2861&lt;&gt;'Funnel setup'!$K$3&amp;'Funnel setup'!$K$4&amp;'Funnel setup'!$K$5,".",IF(A2860=".",1,A2860+1))</f>
        <v>.</v>
      </c>
      <c r="B2861" s="431" t="str">
        <f t="shared" si="44"/>
        <v>Hip Replacement RevisionCCG of GP PracticeNHS WALSALL CCG (05Y)EQ-5D Index</v>
      </c>
      <c r="C2861" t="s">
        <v>247</v>
      </c>
      <c r="D2861" t="s">
        <v>87</v>
      </c>
      <c r="E2861" t="s">
        <v>429</v>
      </c>
      <c r="F2861" t="s">
        <v>430</v>
      </c>
      <c r="G2861" t="s">
        <v>52</v>
      </c>
      <c r="H2861">
        <v>8</v>
      </c>
      <c r="I2861">
        <v>0.45600000000000002</v>
      </c>
      <c r="J2861">
        <v>0.56399999999999995</v>
      </c>
      <c r="K2861">
        <v>0.107</v>
      </c>
      <c r="L2861">
        <v>4</v>
      </c>
      <c r="M2861">
        <v>3</v>
      </c>
      <c r="N2861">
        <v>1</v>
      </c>
      <c r="O2861" t="s">
        <v>53</v>
      </c>
      <c r="P2861" t="s">
        <v>53</v>
      </c>
      <c r="Q2861" t="s">
        <v>53</v>
      </c>
    </row>
    <row r="2862" spans="1:17" x14ac:dyDescent="0.2">
      <c r="A2862" s="30" t="str">
        <f>IF(C2862&amp;G2862&amp;D2862&lt;&gt;'Funnel setup'!$K$3&amp;'Funnel setup'!$K$4&amp;'Funnel setup'!$K$5,".",IF(A2861=".",1,A2861+1))</f>
        <v>.</v>
      </c>
      <c r="B2862" s="431" t="str">
        <f t="shared" si="44"/>
        <v>Hip Replacement RevisionCCG of GP PracticeNHS WALTHAM FOREST CCG (08W)EQ-5D Index</v>
      </c>
      <c r="C2862" t="s">
        <v>247</v>
      </c>
      <c r="D2862" t="s">
        <v>87</v>
      </c>
      <c r="E2862" t="s">
        <v>432</v>
      </c>
      <c r="F2862" t="s">
        <v>433</v>
      </c>
      <c r="G2862" t="s">
        <v>52</v>
      </c>
      <c r="H2862" t="s">
        <v>53</v>
      </c>
      <c r="I2862" t="s">
        <v>53</v>
      </c>
      <c r="J2862" t="s">
        <v>53</v>
      </c>
      <c r="K2862" t="s">
        <v>53</v>
      </c>
      <c r="L2862" t="s">
        <v>53</v>
      </c>
      <c r="M2862" t="s">
        <v>53</v>
      </c>
      <c r="N2862" t="s">
        <v>53</v>
      </c>
      <c r="O2862" t="s">
        <v>53</v>
      </c>
      <c r="P2862" t="s">
        <v>53</v>
      </c>
      <c r="Q2862" t="s">
        <v>53</v>
      </c>
    </row>
    <row r="2863" spans="1:17" x14ac:dyDescent="0.2">
      <c r="A2863" s="30" t="str">
        <f>IF(C2863&amp;G2863&amp;D2863&lt;&gt;'Funnel setup'!$K$3&amp;'Funnel setup'!$K$4&amp;'Funnel setup'!$K$5,".",IF(A2862=".",1,A2862+1))</f>
        <v>.</v>
      </c>
      <c r="B2863" s="431" t="str">
        <f t="shared" si="44"/>
        <v>Hip Replacement RevisionCCG of GP PracticeNHS WANDSWORTH CCG (08X)EQ-5D Index</v>
      </c>
      <c r="C2863" t="s">
        <v>247</v>
      </c>
      <c r="D2863" t="s">
        <v>87</v>
      </c>
      <c r="E2863" t="s">
        <v>435</v>
      </c>
      <c r="F2863" t="s">
        <v>436</v>
      </c>
      <c r="G2863" t="s">
        <v>52</v>
      </c>
      <c r="H2863" t="s">
        <v>53</v>
      </c>
      <c r="I2863" t="s">
        <v>53</v>
      </c>
      <c r="J2863" t="s">
        <v>53</v>
      </c>
      <c r="K2863" t="s">
        <v>53</v>
      </c>
      <c r="L2863" t="s">
        <v>53</v>
      </c>
      <c r="M2863" t="s">
        <v>53</v>
      </c>
      <c r="N2863" t="s">
        <v>53</v>
      </c>
      <c r="O2863" t="s">
        <v>53</v>
      </c>
      <c r="P2863" t="s">
        <v>53</v>
      </c>
      <c r="Q2863" t="s">
        <v>53</v>
      </c>
    </row>
    <row r="2864" spans="1:17" x14ac:dyDescent="0.2">
      <c r="A2864" s="30" t="str">
        <f>IF(C2864&amp;G2864&amp;D2864&lt;&gt;'Funnel setup'!$K$3&amp;'Funnel setup'!$K$4&amp;'Funnel setup'!$K$5,".",IF(A2863=".",1,A2863+1))</f>
        <v>.</v>
      </c>
      <c r="B2864" s="431" t="str">
        <f t="shared" si="44"/>
        <v>Hip Replacement RevisionCCG of GP PracticeNHS WARRINGTON CCG (02E)EQ-5D Index</v>
      </c>
      <c r="C2864" t="s">
        <v>247</v>
      </c>
      <c r="D2864" t="s">
        <v>87</v>
      </c>
      <c r="E2864" t="s">
        <v>441</v>
      </c>
      <c r="F2864" t="s">
        <v>442</v>
      </c>
      <c r="G2864" t="s">
        <v>52</v>
      </c>
      <c r="H2864" t="s">
        <v>53</v>
      </c>
      <c r="I2864" t="s">
        <v>53</v>
      </c>
      <c r="J2864" t="s">
        <v>53</v>
      </c>
      <c r="K2864" t="s">
        <v>53</v>
      </c>
      <c r="L2864" t="s">
        <v>53</v>
      </c>
      <c r="M2864" t="s">
        <v>53</v>
      </c>
      <c r="N2864" t="s">
        <v>53</v>
      </c>
      <c r="O2864" t="s">
        <v>53</v>
      </c>
      <c r="P2864" t="s">
        <v>53</v>
      </c>
      <c r="Q2864" t="s">
        <v>53</v>
      </c>
    </row>
    <row r="2865" spans="1:17" x14ac:dyDescent="0.2">
      <c r="A2865" s="30" t="str">
        <f>IF(C2865&amp;G2865&amp;D2865&lt;&gt;'Funnel setup'!$K$3&amp;'Funnel setup'!$K$4&amp;'Funnel setup'!$K$5,".",IF(A2864=".",1,A2864+1))</f>
        <v>.</v>
      </c>
      <c r="B2865" s="431" t="str">
        <f t="shared" si="44"/>
        <v>Hip Replacement RevisionCCG of GP PracticeNHS WARWICKSHIRE NORTH CCG (05H)EQ-5D Index</v>
      </c>
      <c r="C2865" t="s">
        <v>247</v>
      </c>
      <c r="D2865" t="s">
        <v>87</v>
      </c>
      <c r="E2865" t="s">
        <v>438</v>
      </c>
      <c r="F2865" t="s">
        <v>439</v>
      </c>
      <c r="G2865" t="s">
        <v>52</v>
      </c>
      <c r="H2865" t="s">
        <v>53</v>
      </c>
      <c r="I2865" t="s">
        <v>53</v>
      </c>
      <c r="J2865" t="s">
        <v>53</v>
      </c>
      <c r="K2865" t="s">
        <v>53</v>
      </c>
      <c r="L2865" t="s">
        <v>53</v>
      </c>
      <c r="M2865" t="s">
        <v>53</v>
      </c>
      <c r="N2865" t="s">
        <v>53</v>
      </c>
      <c r="O2865" t="s">
        <v>53</v>
      </c>
      <c r="P2865" t="s">
        <v>53</v>
      </c>
      <c r="Q2865" t="s">
        <v>53</v>
      </c>
    </row>
    <row r="2866" spans="1:17" x14ac:dyDescent="0.2">
      <c r="A2866" s="30" t="str">
        <f>IF(C2866&amp;G2866&amp;D2866&lt;&gt;'Funnel setup'!$K$3&amp;'Funnel setup'!$K$4&amp;'Funnel setup'!$K$5,".",IF(A2865=".",1,A2865+1))</f>
        <v>.</v>
      </c>
      <c r="B2866" s="431" t="str">
        <f t="shared" si="44"/>
        <v>Hip Replacement RevisionCCG of GP PracticeNHS WEST CHESHIRE CCG (02F)EQ-5D Index</v>
      </c>
      <c r="C2866" t="s">
        <v>247</v>
      </c>
      <c r="D2866" t="s">
        <v>87</v>
      </c>
      <c r="E2866" t="s">
        <v>402</v>
      </c>
      <c r="F2866" t="s">
        <v>403</v>
      </c>
      <c r="G2866" t="s">
        <v>52</v>
      </c>
      <c r="H2866">
        <v>14</v>
      </c>
      <c r="I2866">
        <v>0.39800000000000002</v>
      </c>
      <c r="J2866">
        <v>0.66800000000000004</v>
      </c>
      <c r="K2866">
        <v>0.27</v>
      </c>
      <c r="L2866">
        <v>11</v>
      </c>
      <c r="M2866">
        <v>1</v>
      </c>
      <c r="N2866">
        <v>2</v>
      </c>
      <c r="O2866" t="s">
        <v>53</v>
      </c>
      <c r="P2866" t="s">
        <v>53</v>
      </c>
      <c r="Q2866" t="s">
        <v>53</v>
      </c>
    </row>
    <row r="2867" spans="1:17" x14ac:dyDescent="0.2">
      <c r="A2867" s="30" t="str">
        <f>IF(C2867&amp;G2867&amp;D2867&lt;&gt;'Funnel setup'!$K$3&amp;'Funnel setup'!$K$4&amp;'Funnel setup'!$K$5,".",IF(A2866=".",1,A2866+1))</f>
        <v>.</v>
      </c>
      <c r="B2867" s="431" t="str">
        <f t="shared" si="44"/>
        <v>Hip Replacement RevisionCCG of GP PracticeNHS WEST ESSEX CCG (07H)EQ-5D Index</v>
      </c>
      <c r="C2867" t="s">
        <v>247</v>
      </c>
      <c r="D2867" t="s">
        <v>87</v>
      </c>
      <c r="E2867" t="s">
        <v>405</v>
      </c>
      <c r="F2867" t="s">
        <v>406</v>
      </c>
      <c r="G2867" t="s">
        <v>52</v>
      </c>
      <c r="H2867">
        <v>11</v>
      </c>
      <c r="I2867">
        <v>0.39900000000000002</v>
      </c>
      <c r="J2867">
        <v>0.61099999999999999</v>
      </c>
      <c r="K2867">
        <v>0.21199999999999999</v>
      </c>
      <c r="L2867">
        <v>7</v>
      </c>
      <c r="M2867">
        <v>1</v>
      </c>
      <c r="N2867">
        <v>3</v>
      </c>
      <c r="O2867" t="s">
        <v>53</v>
      </c>
      <c r="P2867" t="s">
        <v>53</v>
      </c>
      <c r="Q2867" t="s">
        <v>53</v>
      </c>
    </row>
    <row r="2868" spans="1:17" x14ac:dyDescent="0.2">
      <c r="A2868" s="30" t="str">
        <f>IF(C2868&amp;G2868&amp;D2868&lt;&gt;'Funnel setup'!$K$3&amp;'Funnel setup'!$K$4&amp;'Funnel setup'!$K$5,".",IF(A2867=".",1,A2867+1))</f>
        <v>.</v>
      </c>
      <c r="B2868" s="431" t="str">
        <f t="shared" si="44"/>
        <v>Hip Replacement RevisionCCG of GP PracticeNHS WEST HAMPSHIRE CCG (11A)EQ-5D Index</v>
      </c>
      <c r="C2868" t="s">
        <v>247</v>
      </c>
      <c r="D2868" t="s">
        <v>87</v>
      </c>
      <c r="E2868" t="s">
        <v>444</v>
      </c>
      <c r="F2868" t="s">
        <v>445</v>
      </c>
      <c r="G2868" t="s">
        <v>52</v>
      </c>
      <c r="H2868">
        <v>29</v>
      </c>
      <c r="I2868">
        <v>0.40400000000000003</v>
      </c>
      <c r="J2868">
        <v>0.71099999999999997</v>
      </c>
      <c r="K2868">
        <v>0.30599999999999999</v>
      </c>
      <c r="L2868">
        <v>23</v>
      </c>
      <c r="M2868">
        <v>3</v>
      </c>
      <c r="N2868">
        <v>3</v>
      </c>
      <c r="O2868" t="s">
        <v>53</v>
      </c>
      <c r="P2868" t="s">
        <v>53</v>
      </c>
      <c r="Q2868" t="s">
        <v>53</v>
      </c>
    </row>
    <row r="2869" spans="1:17" x14ac:dyDescent="0.2">
      <c r="A2869" s="30" t="str">
        <f>IF(C2869&amp;G2869&amp;D2869&lt;&gt;'Funnel setup'!$K$3&amp;'Funnel setup'!$K$4&amp;'Funnel setup'!$K$5,".",IF(A2868=".",1,A2868+1))</f>
        <v>.</v>
      </c>
      <c r="B2869" s="431" t="str">
        <f t="shared" si="44"/>
        <v>Hip Replacement RevisionCCG of GP PracticeNHS WEST KENT CCG (99J)EQ-5D Index</v>
      </c>
      <c r="C2869" t="s">
        <v>247</v>
      </c>
      <c r="D2869" t="s">
        <v>87</v>
      </c>
      <c r="E2869" t="s">
        <v>447</v>
      </c>
      <c r="F2869" t="s">
        <v>448</v>
      </c>
      <c r="G2869" t="s">
        <v>52</v>
      </c>
      <c r="H2869">
        <v>22</v>
      </c>
      <c r="I2869">
        <v>0.49199999999999999</v>
      </c>
      <c r="J2869">
        <v>0.77</v>
      </c>
      <c r="K2869">
        <v>0.27700000000000002</v>
      </c>
      <c r="L2869">
        <v>17</v>
      </c>
      <c r="M2869">
        <v>1</v>
      </c>
      <c r="N2869">
        <v>4</v>
      </c>
      <c r="O2869" t="s">
        <v>53</v>
      </c>
      <c r="P2869" t="s">
        <v>53</v>
      </c>
      <c r="Q2869" t="s">
        <v>53</v>
      </c>
    </row>
    <row r="2870" spans="1:17" x14ac:dyDescent="0.2">
      <c r="A2870" s="30" t="str">
        <f>IF(C2870&amp;G2870&amp;D2870&lt;&gt;'Funnel setup'!$K$3&amp;'Funnel setup'!$K$4&amp;'Funnel setup'!$K$5,".",IF(A2869=".",1,A2869+1))</f>
        <v>.</v>
      </c>
      <c r="B2870" s="431" t="str">
        <f t="shared" si="44"/>
        <v>Hip Replacement RevisionCCG of GP PracticeNHS WEST LANCASHIRE CCG (02G)EQ-5D Index</v>
      </c>
      <c r="C2870" t="s">
        <v>247</v>
      </c>
      <c r="D2870" t="s">
        <v>87</v>
      </c>
      <c r="E2870" t="s">
        <v>450</v>
      </c>
      <c r="F2870" t="s">
        <v>451</v>
      </c>
      <c r="G2870" t="s">
        <v>52</v>
      </c>
      <c r="H2870" t="s">
        <v>53</v>
      </c>
      <c r="I2870" t="s">
        <v>53</v>
      </c>
      <c r="J2870" t="s">
        <v>53</v>
      </c>
      <c r="K2870" t="s">
        <v>53</v>
      </c>
      <c r="L2870" t="s">
        <v>53</v>
      </c>
      <c r="M2870" t="s">
        <v>53</v>
      </c>
      <c r="N2870" t="s">
        <v>53</v>
      </c>
      <c r="O2870" t="s">
        <v>53</v>
      </c>
      <c r="P2870" t="s">
        <v>53</v>
      </c>
      <c r="Q2870" t="s">
        <v>53</v>
      </c>
    </row>
    <row r="2871" spans="1:17" x14ac:dyDescent="0.2">
      <c r="A2871" s="30" t="str">
        <f>IF(C2871&amp;G2871&amp;D2871&lt;&gt;'Funnel setup'!$K$3&amp;'Funnel setup'!$K$4&amp;'Funnel setup'!$K$5,".",IF(A2870=".",1,A2870+1))</f>
        <v>.</v>
      </c>
      <c r="B2871" s="431" t="str">
        <f t="shared" si="44"/>
        <v>Hip Replacement RevisionCCG of GP PracticeNHS WEST LEICESTERSHIRE CCG (04V)EQ-5D Index</v>
      </c>
      <c r="C2871" t="s">
        <v>247</v>
      </c>
      <c r="D2871" t="s">
        <v>87</v>
      </c>
      <c r="E2871" t="s">
        <v>453</v>
      </c>
      <c r="F2871" t="s">
        <v>454</v>
      </c>
      <c r="G2871" t="s">
        <v>52</v>
      </c>
      <c r="H2871">
        <v>15</v>
      </c>
      <c r="I2871">
        <v>0.45200000000000001</v>
      </c>
      <c r="J2871">
        <v>0.65700000000000003</v>
      </c>
      <c r="K2871">
        <v>0.20499999999999999</v>
      </c>
      <c r="L2871">
        <v>11</v>
      </c>
      <c r="M2871">
        <v>2</v>
      </c>
      <c r="N2871">
        <v>2</v>
      </c>
      <c r="O2871" t="s">
        <v>53</v>
      </c>
      <c r="P2871" t="s">
        <v>53</v>
      </c>
      <c r="Q2871" t="s">
        <v>53</v>
      </c>
    </row>
    <row r="2872" spans="1:17" x14ac:dyDescent="0.2">
      <c r="A2872" s="30" t="str">
        <f>IF(C2872&amp;G2872&amp;D2872&lt;&gt;'Funnel setup'!$K$3&amp;'Funnel setup'!$K$4&amp;'Funnel setup'!$K$5,".",IF(A2871=".",1,A2871+1))</f>
        <v>.</v>
      </c>
      <c r="B2872" s="431" t="str">
        <f t="shared" si="44"/>
        <v>Hip Replacement RevisionCCG of GP PracticeNHS WEST LONDON CCG (08Y)EQ-5D Index</v>
      </c>
      <c r="C2872" t="s">
        <v>247</v>
      </c>
      <c r="D2872" t="s">
        <v>87</v>
      </c>
      <c r="E2872" t="s">
        <v>456</v>
      </c>
      <c r="F2872" t="s">
        <v>457</v>
      </c>
      <c r="G2872" t="s">
        <v>52</v>
      </c>
      <c r="H2872" t="s">
        <v>53</v>
      </c>
      <c r="I2872" t="s">
        <v>53</v>
      </c>
      <c r="J2872" t="s">
        <v>53</v>
      </c>
      <c r="K2872" t="s">
        <v>53</v>
      </c>
      <c r="L2872" t="s">
        <v>53</v>
      </c>
      <c r="M2872" t="s">
        <v>53</v>
      </c>
      <c r="N2872" t="s">
        <v>53</v>
      </c>
      <c r="O2872" t="s">
        <v>53</v>
      </c>
      <c r="P2872" t="s">
        <v>53</v>
      </c>
      <c r="Q2872" t="s">
        <v>53</v>
      </c>
    </row>
    <row r="2873" spans="1:17" x14ac:dyDescent="0.2">
      <c r="A2873" s="30" t="str">
        <f>IF(C2873&amp;G2873&amp;D2873&lt;&gt;'Funnel setup'!$K$3&amp;'Funnel setup'!$K$4&amp;'Funnel setup'!$K$5,".",IF(A2872=".",1,A2872+1))</f>
        <v>.</v>
      </c>
      <c r="B2873" s="431" t="str">
        <f t="shared" si="44"/>
        <v>Hip Replacement RevisionCCG of GP PracticeNHS WEST NORFOLK CCG (07J)EQ-5D Index</v>
      </c>
      <c r="C2873" t="s">
        <v>247</v>
      </c>
      <c r="D2873" t="s">
        <v>87</v>
      </c>
      <c r="E2873" t="s">
        <v>459</v>
      </c>
      <c r="F2873" t="s">
        <v>460</v>
      </c>
      <c r="G2873" t="s">
        <v>52</v>
      </c>
      <c r="H2873">
        <v>10</v>
      </c>
      <c r="I2873">
        <v>0.51400000000000001</v>
      </c>
      <c r="J2873">
        <v>0.80700000000000005</v>
      </c>
      <c r="K2873">
        <v>0.29399999999999998</v>
      </c>
      <c r="L2873">
        <v>9</v>
      </c>
      <c r="M2873">
        <v>0</v>
      </c>
      <c r="N2873">
        <v>1</v>
      </c>
      <c r="O2873" t="s">
        <v>53</v>
      </c>
      <c r="P2873" t="s">
        <v>53</v>
      </c>
      <c r="Q2873" t="s">
        <v>53</v>
      </c>
    </row>
    <row r="2874" spans="1:17" x14ac:dyDescent="0.2">
      <c r="A2874" s="30" t="str">
        <f>IF(C2874&amp;G2874&amp;D2874&lt;&gt;'Funnel setup'!$K$3&amp;'Funnel setup'!$K$4&amp;'Funnel setup'!$K$5,".",IF(A2873=".",1,A2873+1))</f>
        <v>.</v>
      </c>
      <c r="B2874" s="431" t="str">
        <f t="shared" si="44"/>
        <v>Hip Replacement RevisionCCG of GP PracticeNHS WEST SUFFOLK CCG (07K)EQ-5D Index</v>
      </c>
      <c r="C2874" t="s">
        <v>247</v>
      </c>
      <c r="D2874" t="s">
        <v>87</v>
      </c>
      <c r="E2874" t="s">
        <v>462</v>
      </c>
      <c r="F2874" t="s">
        <v>463</v>
      </c>
      <c r="G2874" t="s">
        <v>52</v>
      </c>
      <c r="H2874">
        <v>14</v>
      </c>
      <c r="I2874">
        <v>0.36799999999999999</v>
      </c>
      <c r="J2874">
        <v>0.73199999999999998</v>
      </c>
      <c r="K2874">
        <v>0.36399999999999999</v>
      </c>
      <c r="L2874">
        <v>13</v>
      </c>
      <c r="M2874">
        <v>0</v>
      </c>
      <c r="N2874">
        <v>1</v>
      </c>
      <c r="O2874" t="s">
        <v>53</v>
      </c>
      <c r="P2874" t="s">
        <v>53</v>
      </c>
      <c r="Q2874" t="s">
        <v>53</v>
      </c>
    </row>
    <row r="2875" spans="1:17" x14ac:dyDescent="0.2">
      <c r="A2875" s="30" t="str">
        <f>IF(C2875&amp;G2875&amp;D2875&lt;&gt;'Funnel setup'!$K$3&amp;'Funnel setup'!$K$4&amp;'Funnel setup'!$K$5,".",IF(A2874=".",1,A2874+1))</f>
        <v>.</v>
      </c>
      <c r="B2875" s="431" t="str">
        <f t="shared" si="44"/>
        <v>Hip Replacement RevisionCCG of GP PracticeNHS WIGAN BOROUGH CCG (02H)EQ-5D Index</v>
      </c>
      <c r="C2875" t="s">
        <v>247</v>
      </c>
      <c r="D2875" t="s">
        <v>87</v>
      </c>
      <c r="E2875" t="s">
        <v>465</v>
      </c>
      <c r="F2875" t="s">
        <v>466</v>
      </c>
      <c r="G2875" t="s">
        <v>52</v>
      </c>
      <c r="H2875">
        <v>10</v>
      </c>
      <c r="I2875">
        <v>0.38</v>
      </c>
      <c r="J2875">
        <v>0.41299999999999998</v>
      </c>
      <c r="K2875">
        <v>3.3000000000000002E-2</v>
      </c>
      <c r="L2875">
        <v>6</v>
      </c>
      <c r="M2875">
        <v>1</v>
      </c>
      <c r="N2875">
        <v>3</v>
      </c>
      <c r="O2875" t="s">
        <v>53</v>
      </c>
      <c r="P2875" t="s">
        <v>53</v>
      </c>
      <c r="Q2875" t="s">
        <v>53</v>
      </c>
    </row>
    <row r="2876" spans="1:17" x14ac:dyDescent="0.2">
      <c r="A2876" s="30" t="str">
        <f>IF(C2876&amp;G2876&amp;D2876&lt;&gt;'Funnel setup'!$K$3&amp;'Funnel setup'!$K$4&amp;'Funnel setup'!$K$5,".",IF(A2875=".",1,A2875+1))</f>
        <v>.</v>
      </c>
      <c r="B2876" s="431" t="str">
        <f t="shared" si="44"/>
        <v>Hip Replacement RevisionCCG of GP PracticeNHS WILTSHIRE CCG (99N)EQ-5D Index</v>
      </c>
      <c r="C2876" t="s">
        <v>247</v>
      </c>
      <c r="D2876" t="s">
        <v>87</v>
      </c>
      <c r="E2876" t="s">
        <v>468</v>
      </c>
      <c r="F2876" t="s">
        <v>469</v>
      </c>
      <c r="G2876" t="s">
        <v>52</v>
      </c>
      <c r="H2876">
        <v>39</v>
      </c>
      <c r="I2876">
        <v>0.39500000000000002</v>
      </c>
      <c r="J2876">
        <v>0.73</v>
      </c>
      <c r="K2876">
        <v>0.33500000000000002</v>
      </c>
      <c r="L2876">
        <v>27</v>
      </c>
      <c r="M2876">
        <v>8</v>
      </c>
      <c r="N2876">
        <v>4</v>
      </c>
      <c r="O2876">
        <v>0.71799999999999997</v>
      </c>
      <c r="P2876">
        <v>0.31918214499999997</v>
      </c>
      <c r="Q2876">
        <v>0.22600000000000001</v>
      </c>
    </row>
    <row r="2877" spans="1:17" x14ac:dyDescent="0.2">
      <c r="A2877" s="30" t="str">
        <f>IF(C2877&amp;G2877&amp;D2877&lt;&gt;'Funnel setup'!$K$3&amp;'Funnel setup'!$K$4&amp;'Funnel setup'!$K$5,".",IF(A2876=".",1,A2876+1))</f>
        <v>.</v>
      </c>
      <c r="B2877" s="431" t="str">
        <f t="shared" si="44"/>
        <v>Hip Replacement RevisionCCG of GP PracticeNHS WINDSOR, ASCOT AND MAIDENHEAD CCG (11C)EQ-5D Index</v>
      </c>
      <c r="C2877" t="s">
        <v>247</v>
      </c>
      <c r="D2877" t="s">
        <v>87</v>
      </c>
      <c r="E2877" t="s">
        <v>471</v>
      </c>
      <c r="F2877" t="s">
        <v>472</v>
      </c>
      <c r="G2877" t="s">
        <v>52</v>
      </c>
      <c r="H2877">
        <v>7</v>
      </c>
      <c r="I2877">
        <v>0.129</v>
      </c>
      <c r="J2877">
        <v>0.55700000000000005</v>
      </c>
      <c r="K2877">
        <v>0.42799999999999999</v>
      </c>
      <c r="L2877">
        <v>6</v>
      </c>
      <c r="M2877">
        <v>0</v>
      </c>
      <c r="N2877">
        <v>1</v>
      </c>
      <c r="O2877" t="s">
        <v>53</v>
      </c>
      <c r="P2877" t="s">
        <v>53</v>
      </c>
      <c r="Q2877" t="s">
        <v>53</v>
      </c>
    </row>
    <row r="2878" spans="1:17" x14ac:dyDescent="0.2">
      <c r="A2878" s="30" t="str">
        <f>IF(C2878&amp;G2878&amp;D2878&lt;&gt;'Funnel setup'!$K$3&amp;'Funnel setup'!$K$4&amp;'Funnel setup'!$K$5,".",IF(A2877=".",1,A2877+1))</f>
        <v>.</v>
      </c>
      <c r="B2878" s="431" t="str">
        <f t="shared" si="44"/>
        <v>Hip Replacement RevisionCCG of GP PracticeNHS WIRRAL CCG (12F)EQ-5D Index</v>
      </c>
      <c r="C2878" t="s">
        <v>247</v>
      </c>
      <c r="D2878" t="s">
        <v>87</v>
      </c>
      <c r="E2878" t="s">
        <v>474</v>
      </c>
      <c r="F2878" t="s">
        <v>475</v>
      </c>
      <c r="G2878" t="s">
        <v>52</v>
      </c>
      <c r="H2878" t="s">
        <v>53</v>
      </c>
      <c r="I2878" t="s">
        <v>53</v>
      </c>
      <c r="J2878" t="s">
        <v>53</v>
      </c>
      <c r="K2878" t="s">
        <v>53</v>
      </c>
      <c r="L2878" t="s">
        <v>53</v>
      </c>
      <c r="M2878" t="s">
        <v>53</v>
      </c>
      <c r="N2878" t="s">
        <v>53</v>
      </c>
      <c r="O2878" t="s">
        <v>53</v>
      </c>
      <c r="P2878" t="s">
        <v>53</v>
      </c>
      <c r="Q2878" t="s">
        <v>53</v>
      </c>
    </row>
    <row r="2879" spans="1:17" x14ac:dyDescent="0.2">
      <c r="A2879" s="30" t="str">
        <f>IF(C2879&amp;G2879&amp;D2879&lt;&gt;'Funnel setup'!$K$3&amp;'Funnel setup'!$K$4&amp;'Funnel setup'!$K$5,".",IF(A2878=".",1,A2878+1))</f>
        <v>.</v>
      </c>
      <c r="B2879" s="431" t="str">
        <f t="shared" si="44"/>
        <v>Hip Replacement RevisionCCG of GP PracticeNHS WOKINGHAM CCG (11D)EQ-5D Index</v>
      </c>
      <c r="C2879" t="s">
        <v>247</v>
      </c>
      <c r="D2879" t="s">
        <v>87</v>
      </c>
      <c r="E2879" t="s">
        <v>477</v>
      </c>
      <c r="F2879" t="s">
        <v>478</v>
      </c>
      <c r="G2879" t="s">
        <v>52</v>
      </c>
      <c r="H2879" t="s">
        <v>53</v>
      </c>
      <c r="I2879" t="s">
        <v>53</v>
      </c>
      <c r="J2879" t="s">
        <v>53</v>
      </c>
      <c r="K2879" t="s">
        <v>53</v>
      </c>
      <c r="L2879" t="s">
        <v>53</v>
      </c>
      <c r="M2879" t="s">
        <v>53</v>
      </c>
      <c r="N2879" t="s">
        <v>53</v>
      </c>
      <c r="O2879" t="s">
        <v>53</v>
      </c>
      <c r="P2879" t="s">
        <v>53</v>
      </c>
      <c r="Q2879" t="s">
        <v>53</v>
      </c>
    </row>
    <row r="2880" spans="1:17" x14ac:dyDescent="0.2">
      <c r="A2880" s="30" t="str">
        <f>IF(C2880&amp;G2880&amp;D2880&lt;&gt;'Funnel setup'!$K$3&amp;'Funnel setup'!$K$4&amp;'Funnel setup'!$K$5,".",IF(A2879=".",1,A2879+1))</f>
        <v>.</v>
      </c>
      <c r="B2880" s="431" t="str">
        <f t="shared" si="44"/>
        <v>Hip Replacement RevisionCCG of GP PracticeNHS WOLVERHAMPTON CCG (06A)EQ-5D Index</v>
      </c>
      <c r="C2880" t="s">
        <v>247</v>
      </c>
      <c r="D2880" t="s">
        <v>87</v>
      </c>
      <c r="E2880" t="s">
        <v>480</v>
      </c>
      <c r="F2880" t="s">
        <v>481</v>
      </c>
      <c r="G2880" t="s">
        <v>52</v>
      </c>
      <c r="H2880">
        <v>6</v>
      </c>
      <c r="I2880">
        <v>0.38300000000000001</v>
      </c>
      <c r="J2880">
        <v>0.66200000000000003</v>
      </c>
      <c r="K2880">
        <v>0.27900000000000003</v>
      </c>
      <c r="L2880">
        <v>5</v>
      </c>
      <c r="M2880">
        <v>0</v>
      </c>
      <c r="N2880">
        <v>1</v>
      </c>
      <c r="O2880" t="s">
        <v>53</v>
      </c>
      <c r="P2880" t="s">
        <v>53</v>
      </c>
      <c r="Q2880" t="s">
        <v>53</v>
      </c>
    </row>
    <row r="2881" spans="1:17" x14ac:dyDescent="0.2">
      <c r="A2881" s="30" t="str">
        <f>IF(C2881&amp;G2881&amp;D2881&lt;&gt;'Funnel setup'!$K$3&amp;'Funnel setup'!$K$4&amp;'Funnel setup'!$K$5,".",IF(A2880=".",1,A2880+1))</f>
        <v>.</v>
      </c>
      <c r="B2881" s="431" t="str">
        <f t="shared" si="44"/>
        <v>Hip Replacement RevisionCCG of GP PracticeNHS WYRE FOREST CCG (06D)EQ-5D Index</v>
      </c>
      <c r="C2881" t="s">
        <v>247</v>
      </c>
      <c r="D2881" t="s">
        <v>87</v>
      </c>
      <c r="E2881" t="s">
        <v>483</v>
      </c>
      <c r="F2881" t="s">
        <v>484</v>
      </c>
      <c r="G2881" t="s">
        <v>52</v>
      </c>
      <c r="H2881">
        <v>6</v>
      </c>
      <c r="I2881">
        <v>0.38300000000000001</v>
      </c>
      <c r="J2881">
        <v>0.63500000000000001</v>
      </c>
      <c r="K2881">
        <v>0.252</v>
      </c>
      <c r="L2881">
        <v>6</v>
      </c>
      <c r="M2881">
        <v>0</v>
      </c>
      <c r="N2881">
        <v>0</v>
      </c>
      <c r="O2881" t="s">
        <v>53</v>
      </c>
      <c r="P2881" t="s">
        <v>53</v>
      </c>
      <c r="Q2881" t="s">
        <v>53</v>
      </c>
    </row>
    <row r="2882" spans="1:17" x14ac:dyDescent="0.2">
      <c r="A2882" s="30" t="str">
        <f>IF(C2882&amp;G2882&amp;D2882&lt;&gt;'Funnel setup'!$K$3&amp;'Funnel setup'!$K$4&amp;'Funnel setup'!$K$5,".",IF(A2881=".",1,A2881+1))</f>
        <v>.</v>
      </c>
      <c r="B2882" s="431" t="str">
        <f t="shared" si="44"/>
        <v>Hip Replacement RevisionCCG of GP PracticeNATIONAL COMMISSIONING HUB 1 (13Q)Oxford Hip Score</v>
      </c>
      <c r="C2882" t="s">
        <v>247</v>
      </c>
      <c r="D2882" t="s">
        <v>87</v>
      </c>
      <c r="E2882" t="s">
        <v>563</v>
      </c>
      <c r="F2882" t="s">
        <v>564</v>
      </c>
      <c r="G2882" t="s">
        <v>14</v>
      </c>
      <c r="H2882" t="s">
        <v>53</v>
      </c>
      <c r="I2882" t="s">
        <v>53</v>
      </c>
      <c r="J2882" t="s">
        <v>53</v>
      </c>
      <c r="K2882" t="s">
        <v>53</v>
      </c>
      <c r="L2882" t="s">
        <v>53</v>
      </c>
      <c r="M2882" t="s">
        <v>53</v>
      </c>
      <c r="N2882" t="s">
        <v>53</v>
      </c>
      <c r="O2882" t="s">
        <v>53</v>
      </c>
      <c r="P2882" t="s">
        <v>53</v>
      </c>
      <c r="Q2882" t="s">
        <v>53</v>
      </c>
    </row>
    <row r="2883" spans="1:17" x14ac:dyDescent="0.2">
      <c r="A2883" s="30" t="str">
        <f>IF(C2883&amp;G2883&amp;D2883&lt;&gt;'Funnel setup'!$K$3&amp;'Funnel setup'!$K$4&amp;'Funnel setup'!$K$5,".",IF(A2882=".",1,A2882+1))</f>
        <v>.</v>
      </c>
      <c r="B2883" s="431" t="str">
        <f t="shared" ref="B2883:B2946" si="45">C2883&amp;D2883&amp;F2883&amp;G2883</f>
        <v>Hip Replacement RevisionCCG of GP PracticeNHS AIREDALE, WHARFEDALE AND CRAVEN CCG (02N)Oxford Hip Score</v>
      </c>
      <c r="C2883" t="s">
        <v>247</v>
      </c>
      <c r="D2883" t="s">
        <v>87</v>
      </c>
      <c r="E2883" t="s">
        <v>566</v>
      </c>
      <c r="F2883" t="s">
        <v>567</v>
      </c>
      <c r="G2883" t="s">
        <v>14</v>
      </c>
      <c r="H2883">
        <v>12</v>
      </c>
      <c r="I2883">
        <v>19.25</v>
      </c>
      <c r="J2883">
        <v>33.917000000000002</v>
      </c>
      <c r="K2883">
        <v>14.667</v>
      </c>
      <c r="L2883">
        <v>11</v>
      </c>
      <c r="M2883">
        <v>0</v>
      </c>
      <c r="N2883">
        <v>1</v>
      </c>
      <c r="O2883" t="s">
        <v>53</v>
      </c>
      <c r="P2883" t="s">
        <v>53</v>
      </c>
      <c r="Q2883" t="s">
        <v>53</v>
      </c>
    </row>
    <row r="2884" spans="1:17" x14ac:dyDescent="0.2">
      <c r="A2884" s="30" t="str">
        <f>IF(C2884&amp;G2884&amp;D2884&lt;&gt;'Funnel setup'!$K$3&amp;'Funnel setup'!$K$4&amp;'Funnel setup'!$K$5,".",IF(A2883=".",1,A2883+1))</f>
        <v>.</v>
      </c>
      <c r="B2884" s="431" t="str">
        <f t="shared" si="45"/>
        <v>Hip Replacement RevisionCCG of GP PracticeNHS ASHFORD CCG (09C)Oxford Hip Score</v>
      </c>
      <c r="C2884" t="s">
        <v>247</v>
      </c>
      <c r="D2884" t="s">
        <v>87</v>
      </c>
      <c r="E2884" t="s">
        <v>569</v>
      </c>
      <c r="F2884" t="s">
        <v>339</v>
      </c>
      <c r="G2884" t="s">
        <v>14</v>
      </c>
      <c r="H2884">
        <v>11</v>
      </c>
      <c r="I2884">
        <v>17.727</v>
      </c>
      <c r="J2884">
        <v>37.182000000000002</v>
      </c>
      <c r="K2884">
        <v>19.454999999999998</v>
      </c>
      <c r="L2884">
        <v>11</v>
      </c>
      <c r="M2884">
        <v>0</v>
      </c>
      <c r="N2884">
        <v>0</v>
      </c>
      <c r="O2884" t="s">
        <v>53</v>
      </c>
      <c r="P2884" t="s">
        <v>53</v>
      </c>
      <c r="Q2884" t="s">
        <v>53</v>
      </c>
    </row>
    <row r="2885" spans="1:17" x14ac:dyDescent="0.2">
      <c r="A2885" s="30" t="str">
        <f>IF(C2885&amp;G2885&amp;D2885&lt;&gt;'Funnel setup'!$K$3&amp;'Funnel setup'!$K$4&amp;'Funnel setup'!$K$5,".",IF(A2884=".",1,A2884+1))</f>
        <v>.</v>
      </c>
      <c r="B2885" s="431" t="str">
        <f t="shared" si="45"/>
        <v>Hip Replacement RevisionCCG of GP PracticeNHS AYLESBURY VALE CCG (10Y)Oxford Hip Score</v>
      </c>
      <c r="C2885" t="s">
        <v>247</v>
      </c>
      <c r="D2885" t="s">
        <v>87</v>
      </c>
      <c r="E2885" t="s">
        <v>571</v>
      </c>
      <c r="F2885" t="s">
        <v>572</v>
      </c>
      <c r="G2885" t="s">
        <v>14</v>
      </c>
      <c r="H2885">
        <v>7</v>
      </c>
      <c r="I2885">
        <v>21.428999999999998</v>
      </c>
      <c r="J2885">
        <v>38.856999999999999</v>
      </c>
      <c r="K2885">
        <v>17.428999999999998</v>
      </c>
      <c r="L2885">
        <v>7</v>
      </c>
      <c r="M2885">
        <v>0</v>
      </c>
      <c r="N2885">
        <v>0</v>
      </c>
      <c r="O2885" t="s">
        <v>53</v>
      </c>
      <c r="P2885" t="s">
        <v>53</v>
      </c>
      <c r="Q2885" t="s">
        <v>53</v>
      </c>
    </row>
    <row r="2886" spans="1:17" x14ac:dyDescent="0.2">
      <c r="A2886" s="30" t="str">
        <f>IF(C2886&amp;G2886&amp;D2886&lt;&gt;'Funnel setup'!$K$3&amp;'Funnel setup'!$K$4&amp;'Funnel setup'!$K$5,".",IF(A2885=".",1,A2885+1))</f>
        <v>.</v>
      </c>
      <c r="B2886" s="431" t="str">
        <f t="shared" si="45"/>
        <v>Hip Replacement RevisionCCG of GP PracticeNHS BARKING AND DAGENHAM CCG (07L)Oxford Hip Score</v>
      </c>
      <c r="C2886" t="s">
        <v>247</v>
      </c>
      <c r="D2886" t="s">
        <v>87</v>
      </c>
      <c r="E2886" t="s">
        <v>574</v>
      </c>
      <c r="F2886" t="s">
        <v>575</v>
      </c>
      <c r="G2886" t="s">
        <v>14</v>
      </c>
      <c r="H2886" t="s">
        <v>53</v>
      </c>
      <c r="I2886" t="s">
        <v>53</v>
      </c>
      <c r="J2886" t="s">
        <v>53</v>
      </c>
      <c r="K2886" t="s">
        <v>53</v>
      </c>
      <c r="L2886" t="s">
        <v>53</v>
      </c>
      <c r="M2886" t="s">
        <v>53</v>
      </c>
      <c r="N2886" t="s">
        <v>53</v>
      </c>
      <c r="O2886" t="s">
        <v>53</v>
      </c>
      <c r="P2886" t="s">
        <v>53</v>
      </c>
      <c r="Q2886" t="s">
        <v>53</v>
      </c>
    </row>
    <row r="2887" spans="1:17" x14ac:dyDescent="0.2">
      <c r="A2887" s="30" t="str">
        <f>IF(C2887&amp;G2887&amp;D2887&lt;&gt;'Funnel setup'!$K$3&amp;'Funnel setup'!$K$4&amp;'Funnel setup'!$K$5,".",IF(A2886=".",1,A2886+1))</f>
        <v>.</v>
      </c>
      <c r="B2887" s="431" t="str">
        <f t="shared" si="45"/>
        <v>Hip Replacement RevisionCCG of GP PracticeNHS BARNET CCG (07M)Oxford Hip Score</v>
      </c>
      <c r="C2887" t="s">
        <v>247</v>
      </c>
      <c r="D2887" t="s">
        <v>87</v>
      </c>
      <c r="E2887" t="s">
        <v>577</v>
      </c>
      <c r="F2887" t="s">
        <v>578</v>
      </c>
      <c r="G2887" t="s">
        <v>14</v>
      </c>
      <c r="H2887" t="s">
        <v>53</v>
      </c>
      <c r="I2887" t="s">
        <v>53</v>
      </c>
      <c r="J2887" t="s">
        <v>53</v>
      </c>
      <c r="K2887" t="s">
        <v>53</v>
      </c>
      <c r="L2887" t="s">
        <v>53</v>
      </c>
      <c r="M2887" t="s">
        <v>53</v>
      </c>
      <c r="N2887" t="s">
        <v>53</v>
      </c>
      <c r="O2887" t="s">
        <v>53</v>
      </c>
      <c r="P2887" t="s">
        <v>53</v>
      </c>
      <c r="Q2887" t="s">
        <v>53</v>
      </c>
    </row>
    <row r="2888" spans="1:17" x14ac:dyDescent="0.2">
      <c r="A2888" s="30" t="str">
        <f>IF(C2888&amp;G2888&amp;D2888&lt;&gt;'Funnel setup'!$K$3&amp;'Funnel setup'!$K$4&amp;'Funnel setup'!$K$5,".",IF(A2887=".",1,A2887+1))</f>
        <v>.</v>
      </c>
      <c r="B2888" s="431" t="str">
        <f t="shared" si="45"/>
        <v>Hip Replacement RevisionCCG of GP PracticeNHS BARNSLEY CCG (02P)Oxford Hip Score</v>
      </c>
      <c r="C2888" t="s">
        <v>247</v>
      </c>
      <c r="D2888" t="s">
        <v>87</v>
      </c>
      <c r="E2888" t="s">
        <v>580</v>
      </c>
      <c r="F2888" t="s">
        <v>581</v>
      </c>
      <c r="G2888" t="s">
        <v>14</v>
      </c>
      <c r="H2888">
        <v>10</v>
      </c>
      <c r="I2888">
        <v>15.4</v>
      </c>
      <c r="J2888">
        <v>26.3</v>
      </c>
      <c r="K2888">
        <v>10.9</v>
      </c>
      <c r="L2888">
        <v>9</v>
      </c>
      <c r="M2888">
        <v>0</v>
      </c>
      <c r="N2888">
        <v>1</v>
      </c>
      <c r="O2888" t="s">
        <v>53</v>
      </c>
      <c r="P2888" t="s">
        <v>53</v>
      </c>
      <c r="Q2888" t="s">
        <v>53</v>
      </c>
    </row>
    <row r="2889" spans="1:17" x14ac:dyDescent="0.2">
      <c r="A2889" s="30" t="str">
        <f>IF(C2889&amp;G2889&amp;D2889&lt;&gt;'Funnel setup'!$K$3&amp;'Funnel setup'!$K$4&amp;'Funnel setup'!$K$5,".",IF(A2888=".",1,A2888+1))</f>
        <v>.</v>
      </c>
      <c r="B2889" s="431" t="str">
        <f t="shared" si="45"/>
        <v>Hip Replacement RevisionCCG of GP PracticeNHS BASILDON AND BRENTWOOD CCG (99E)Oxford Hip Score</v>
      </c>
      <c r="C2889" t="s">
        <v>247</v>
      </c>
      <c r="D2889" t="s">
        <v>87</v>
      </c>
      <c r="E2889" t="s">
        <v>583</v>
      </c>
      <c r="F2889" t="s">
        <v>584</v>
      </c>
      <c r="G2889" t="s">
        <v>14</v>
      </c>
      <c r="H2889">
        <v>14</v>
      </c>
      <c r="I2889">
        <v>15.143000000000001</v>
      </c>
      <c r="J2889">
        <v>28.571000000000002</v>
      </c>
      <c r="K2889">
        <v>13.429</v>
      </c>
      <c r="L2889">
        <v>12</v>
      </c>
      <c r="M2889">
        <v>0</v>
      </c>
      <c r="N2889">
        <v>2</v>
      </c>
      <c r="O2889" t="s">
        <v>53</v>
      </c>
      <c r="P2889" t="s">
        <v>53</v>
      </c>
      <c r="Q2889" t="s">
        <v>53</v>
      </c>
    </row>
    <row r="2890" spans="1:17" x14ac:dyDescent="0.2">
      <c r="A2890" s="30" t="str">
        <f>IF(C2890&amp;G2890&amp;D2890&lt;&gt;'Funnel setup'!$K$3&amp;'Funnel setup'!$K$4&amp;'Funnel setup'!$K$5,".",IF(A2889=".",1,A2889+1))</f>
        <v>.</v>
      </c>
      <c r="B2890" s="431" t="str">
        <f t="shared" si="45"/>
        <v>Hip Replacement RevisionCCG of GP PracticeNHS BASSETLAW CCG (02Q)Oxford Hip Score</v>
      </c>
      <c r="C2890" t="s">
        <v>247</v>
      </c>
      <c r="D2890" t="s">
        <v>87</v>
      </c>
      <c r="E2890" t="s">
        <v>586</v>
      </c>
      <c r="F2890" t="s">
        <v>587</v>
      </c>
      <c r="G2890" t="s">
        <v>14</v>
      </c>
      <c r="H2890" t="s">
        <v>53</v>
      </c>
      <c r="I2890" t="s">
        <v>53</v>
      </c>
      <c r="J2890" t="s">
        <v>53</v>
      </c>
      <c r="K2890" t="s">
        <v>53</v>
      </c>
      <c r="L2890" t="s">
        <v>53</v>
      </c>
      <c r="M2890" t="s">
        <v>53</v>
      </c>
      <c r="N2890" t="s">
        <v>53</v>
      </c>
      <c r="O2890" t="s">
        <v>53</v>
      </c>
      <c r="P2890" t="s">
        <v>53</v>
      </c>
      <c r="Q2890" t="s">
        <v>53</v>
      </c>
    </row>
    <row r="2891" spans="1:17" x14ac:dyDescent="0.2">
      <c r="A2891" s="30" t="str">
        <f>IF(C2891&amp;G2891&amp;D2891&lt;&gt;'Funnel setup'!$K$3&amp;'Funnel setup'!$K$4&amp;'Funnel setup'!$K$5,".",IF(A2890=".",1,A2890+1))</f>
        <v>.</v>
      </c>
      <c r="B2891" s="431" t="str">
        <f t="shared" si="45"/>
        <v>Hip Replacement RevisionCCG of GP PracticeNHS BATH AND NORTH EAST SOMERSET CCG (11E)Oxford Hip Score</v>
      </c>
      <c r="C2891" t="s">
        <v>247</v>
      </c>
      <c r="D2891" t="s">
        <v>87</v>
      </c>
      <c r="E2891" t="s">
        <v>589</v>
      </c>
      <c r="F2891" t="s">
        <v>590</v>
      </c>
      <c r="G2891" t="s">
        <v>14</v>
      </c>
      <c r="H2891">
        <v>22</v>
      </c>
      <c r="I2891">
        <v>29.591000000000001</v>
      </c>
      <c r="J2891">
        <v>38.091000000000001</v>
      </c>
      <c r="K2891">
        <v>8.5</v>
      </c>
      <c r="L2891">
        <v>14</v>
      </c>
      <c r="M2891">
        <v>4</v>
      </c>
      <c r="N2891">
        <v>4</v>
      </c>
      <c r="O2891" t="s">
        <v>53</v>
      </c>
      <c r="P2891" t="s">
        <v>53</v>
      </c>
      <c r="Q2891" t="s">
        <v>53</v>
      </c>
    </row>
    <row r="2892" spans="1:17" x14ac:dyDescent="0.2">
      <c r="A2892" s="30" t="str">
        <f>IF(C2892&amp;G2892&amp;D2892&lt;&gt;'Funnel setup'!$K$3&amp;'Funnel setup'!$K$4&amp;'Funnel setup'!$K$5,".",IF(A2891=".",1,A2891+1))</f>
        <v>.</v>
      </c>
      <c r="B2892" s="431" t="str">
        <f t="shared" si="45"/>
        <v>Hip Replacement RevisionCCG of GP PracticeNHS BEDFORDSHIRE CCG (06F)Oxford Hip Score</v>
      </c>
      <c r="C2892" t="s">
        <v>247</v>
      </c>
      <c r="D2892" t="s">
        <v>87</v>
      </c>
      <c r="E2892" t="s">
        <v>592</v>
      </c>
      <c r="F2892" t="s">
        <v>593</v>
      </c>
      <c r="G2892" t="s">
        <v>14</v>
      </c>
      <c r="H2892">
        <v>18</v>
      </c>
      <c r="I2892">
        <v>18.943999999999999</v>
      </c>
      <c r="J2892">
        <v>32.832999999999998</v>
      </c>
      <c r="K2892">
        <v>13.888999999999999</v>
      </c>
      <c r="L2892">
        <v>16</v>
      </c>
      <c r="M2892">
        <v>0</v>
      </c>
      <c r="N2892">
        <v>2</v>
      </c>
      <c r="O2892" t="s">
        <v>53</v>
      </c>
      <c r="P2892" t="s">
        <v>53</v>
      </c>
      <c r="Q2892" t="s">
        <v>53</v>
      </c>
    </row>
    <row r="2893" spans="1:17" x14ac:dyDescent="0.2">
      <c r="A2893" s="30" t="str">
        <f>IF(C2893&amp;G2893&amp;D2893&lt;&gt;'Funnel setup'!$K$3&amp;'Funnel setup'!$K$4&amp;'Funnel setup'!$K$5,".",IF(A2892=".",1,A2892+1))</f>
        <v>.</v>
      </c>
      <c r="B2893" s="431" t="str">
        <f t="shared" si="45"/>
        <v>Hip Replacement RevisionCCG of GP PracticeNHS BEXLEY CCG (07N)Oxford Hip Score</v>
      </c>
      <c r="C2893" t="s">
        <v>247</v>
      </c>
      <c r="D2893" t="s">
        <v>87</v>
      </c>
      <c r="E2893" t="s">
        <v>595</v>
      </c>
      <c r="F2893" t="s">
        <v>596</v>
      </c>
      <c r="G2893" t="s">
        <v>14</v>
      </c>
      <c r="H2893" t="s">
        <v>53</v>
      </c>
      <c r="I2893" t="s">
        <v>53</v>
      </c>
      <c r="J2893" t="s">
        <v>53</v>
      </c>
      <c r="K2893" t="s">
        <v>53</v>
      </c>
      <c r="L2893" t="s">
        <v>53</v>
      </c>
      <c r="M2893" t="s">
        <v>53</v>
      </c>
      <c r="N2893" t="s">
        <v>53</v>
      </c>
      <c r="O2893" t="s">
        <v>53</v>
      </c>
      <c r="P2893" t="s">
        <v>53</v>
      </c>
      <c r="Q2893" t="s">
        <v>53</v>
      </c>
    </row>
    <row r="2894" spans="1:17" x14ac:dyDescent="0.2">
      <c r="A2894" s="30" t="str">
        <f>IF(C2894&amp;G2894&amp;D2894&lt;&gt;'Funnel setup'!$K$3&amp;'Funnel setup'!$K$4&amp;'Funnel setup'!$K$5,".",IF(A2893=".",1,A2893+1))</f>
        <v>.</v>
      </c>
      <c r="B2894" s="431" t="str">
        <f t="shared" si="45"/>
        <v>Hip Replacement RevisionCCG of GP PracticeNHS BIRMINGHAM CROSSCITY CCG (13P)Oxford Hip Score</v>
      </c>
      <c r="C2894" t="s">
        <v>247</v>
      </c>
      <c r="D2894" t="s">
        <v>87</v>
      </c>
      <c r="E2894" t="s">
        <v>598</v>
      </c>
      <c r="F2894" t="s">
        <v>599</v>
      </c>
      <c r="G2894" t="s">
        <v>14</v>
      </c>
      <c r="H2894">
        <v>33</v>
      </c>
      <c r="I2894">
        <v>20.757999999999999</v>
      </c>
      <c r="J2894">
        <v>32.787999999999997</v>
      </c>
      <c r="K2894">
        <v>12.03</v>
      </c>
      <c r="L2894">
        <v>30</v>
      </c>
      <c r="M2894">
        <v>0</v>
      </c>
      <c r="N2894">
        <v>3</v>
      </c>
      <c r="O2894">
        <v>33.917999999999999</v>
      </c>
      <c r="P2894">
        <v>13.043518150000001</v>
      </c>
      <c r="Q2894">
        <v>9.0510000000000002</v>
      </c>
    </row>
    <row r="2895" spans="1:17" x14ac:dyDescent="0.2">
      <c r="A2895" s="30" t="str">
        <f>IF(C2895&amp;G2895&amp;D2895&lt;&gt;'Funnel setup'!$K$3&amp;'Funnel setup'!$K$4&amp;'Funnel setup'!$K$5,".",IF(A2894=".",1,A2894+1))</f>
        <v>.</v>
      </c>
      <c r="B2895" s="431" t="str">
        <f t="shared" si="45"/>
        <v>Hip Replacement RevisionCCG of GP PracticeNHS BIRMINGHAM SOUTH AND CENTRAL CCG (04X)Oxford Hip Score</v>
      </c>
      <c r="C2895" t="s">
        <v>247</v>
      </c>
      <c r="D2895" t="s">
        <v>87</v>
      </c>
      <c r="E2895" t="s">
        <v>601</v>
      </c>
      <c r="F2895" t="s">
        <v>602</v>
      </c>
      <c r="G2895" t="s">
        <v>14</v>
      </c>
      <c r="H2895">
        <v>6</v>
      </c>
      <c r="I2895">
        <v>21.332999999999998</v>
      </c>
      <c r="J2895">
        <v>34.5</v>
      </c>
      <c r="K2895">
        <v>13.167</v>
      </c>
      <c r="L2895">
        <v>6</v>
      </c>
      <c r="M2895">
        <v>0</v>
      </c>
      <c r="N2895">
        <v>0</v>
      </c>
      <c r="O2895" t="s">
        <v>53</v>
      </c>
      <c r="P2895" t="s">
        <v>53</v>
      </c>
      <c r="Q2895" t="s">
        <v>53</v>
      </c>
    </row>
    <row r="2896" spans="1:17" x14ac:dyDescent="0.2">
      <c r="A2896" s="30" t="str">
        <f>IF(C2896&amp;G2896&amp;D2896&lt;&gt;'Funnel setup'!$K$3&amp;'Funnel setup'!$K$4&amp;'Funnel setup'!$K$5,".",IF(A2895=".",1,A2895+1))</f>
        <v>.</v>
      </c>
      <c r="B2896" s="431" t="str">
        <f t="shared" si="45"/>
        <v>Hip Replacement RevisionCCG of GP PracticeNHS BLACKBURN WITH DARWEN CCG (00Q)Oxford Hip Score</v>
      </c>
      <c r="C2896" t="s">
        <v>247</v>
      </c>
      <c r="D2896" t="s">
        <v>87</v>
      </c>
      <c r="E2896" t="s">
        <v>604</v>
      </c>
      <c r="F2896" t="s">
        <v>605</v>
      </c>
      <c r="G2896" t="s">
        <v>14</v>
      </c>
      <c r="H2896" t="s">
        <v>53</v>
      </c>
      <c r="I2896" t="s">
        <v>53</v>
      </c>
      <c r="J2896" t="s">
        <v>53</v>
      </c>
      <c r="K2896" t="s">
        <v>53</v>
      </c>
      <c r="L2896" t="s">
        <v>53</v>
      </c>
      <c r="M2896" t="s">
        <v>53</v>
      </c>
      <c r="N2896" t="s">
        <v>53</v>
      </c>
      <c r="O2896" t="s">
        <v>53</v>
      </c>
      <c r="P2896" t="s">
        <v>53</v>
      </c>
      <c r="Q2896" t="s">
        <v>53</v>
      </c>
    </row>
    <row r="2897" spans="1:17" x14ac:dyDescent="0.2">
      <c r="A2897" s="30" t="str">
        <f>IF(C2897&amp;G2897&amp;D2897&lt;&gt;'Funnel setup'!$K$3&amp;'Funnel setup'!$K$4&amp;'Funnel setup'!$K$5,".",IF(A2896=".",1,A2896+1))</f>
        <v>.</v>
      </c>
      <c r="B2897" s="431" t="str">
        <f t="shared" si="45"/>
        <v>Hip Replacement RevisionCCG of GP PracticeNHS BLACKPOOL CCG (00R)Oxford Hip Score</v>
      </c>
      <c r="C2897" t="s">
        <v>247</v>
      </c>
      <c r="D2897" t="s">
        <v>87</v>
      </c>
      <c r="E2897" t="s">
        <v>607</v>
      </c>
      <c r="F2897" t="s">
        <v>608</v>
      </c>
      <c r="G2897" t="s">
        <v>14</v>
      </c>
      <c r="H2897" t="s">
        <v>53</v>
      </c>
      <c r="I2897" t="s">
        <v>53</v>
      </c>
      <c r="J2897" t="s">
        <v>53</v>
      </c>
      <c r="K2897" t="s">
        <v>53</v>
      </c>
      <c r="L2897" t="s">
        <v>53</v>
      </c>
      <c r="M2897" t="s">
        <v>53</v>
      </c>
      <c r="N2897" t="s">
        <v>53</v>
      </c>
      <c r="O2897" t="s">
        <v>53</v>
      </c>
      <c r="P2897" t="s">
        <v>53</v>
      </c>
      <c r="Q2897" t="s">
        <v>53</v>
      </c>
    </row>
    <row r="2898" spans="1:17" x14ac:dyDescent="0.2">
      <c r="A2898" s="30" t="str">
        <f>IF(C2898&amp;G2898&amp;D2898&lt;&gt;'Funnel setup'!$K$3&amp;'Funnel setup'!$K$4&amp;'Funnel setup'!$K$5,".",IF(A2897=".",1,A2897+1))</f>
        <v>.</v>
      </c>
      <c r="B2898" s="431" t="str">
        <f t="shared" si="45"/>
        <v>Hip Replacement RevisionCCG of GP PracticeNHS BOLTON CCG (00T)Oxford Hip Score</v>
      </c>
      <c r="C2898" t="s">
        <v>247</v>
      </c>
      <c r="D2898" t="s">
        <v>87</v>
      </c>
      <c r="E2898" t="s">
        <v>683</v>
      </c>
      <c r="F2898" t="s">
        <v>684</v>
      </c>
      <c r="G2898" t="s">
        <v>14</v>
      </c>
      <c r="H2898" t="s">
        <v>53</v>
      </c>
      <c r="I2898" t="s">
        <v>53</v>
      </c>
      <c r="J2898" t="s">
        <v>53</v>
      </c>
      <c r="K2898" t="s">
        <v>53</v>
      </c>
      <c r="L2898" t="s">
        <v>53</v>
      </c>
      <c r="M2898" t="s">
        <v>53</v>
      </c>
      <c r="N2898" t="s">
        <v>53</v>
      </c>
      <c r="O2898" t="s">
        <v>53</v>
      </c>
      <c r="P2898" t="s">
        <v>53</v>
      </c>
      <c r="Q2898" t="s">
        <v>53</v>
      </c>
    </row>
    <row r="2899" spans="1:17" x14ac:dyDescent="0.2">
      <c r="A2899" s="30" t="str">
        <f>IF(C2899&amp;G2899&amp;D2899&lt;&gt;'Funnel setup'!$K$3&amp;'Funnel setup'!$K$4&amp;'Funnel setup'!$K$5,".",IF(A2898=".",1,A2898+1))</f>
        <v>.</v>
      </c>
      <c r="B2899" s="431" t="str">
        <f t="shared" si="45"/>
        <v>Hip Replacement RevisionCCG of GP PracticeNHS BRACKNELL AND ASCOT CCG (10G)Oxford Hip Score</v>
      </c>
      <c r="C2899" t="s">
        <v>247</v>
      </c>
      <c r="D2899" t="s">
        <v>87</v>
      </c>
      <c r="E2899" t="s">
        <v>686</v>
      </c>
      <c r="F2899" t="s">
        <v>687</v>
      </c>
      <c r="G2899" t="s">
        <v>14</v>
      </c>
      <c r="H2899" t="s">
        <v>53</v>
      </c>
      <c r="I2899" t="s">
        <v>53</v>
      </c>
      <c r="J2899" t="s">
        <v>53</v>
      </c>
      <c r="K2899" t="s">
        <v>53</v>
      </c>
      <c r="L2899" t="s">
        <v>53</v>
      </c>
      <c r="M2899" t="s">
        <v>53</v>
      </c>
      <c r="N2899" t="s">
        <v>53</v>
      </c>
      <c r="O2899" t="s">
        <v>53</v>
      </c>
      <c r="P2899" t="s">
        <v>53</v>
      </c>
      <c r="Q2899" t="s">
        <v>53</v>
      </c>
    </row>
    <row r="2900" spans="1:17" x14ac:dyDescent="0.2">
      <c r="A2900" s="30" t="str">
        <f>IF(C2900&amp;G2900&amp;D2900&lt;&gt;'Funnel setup'!$K$3&amp;'Funnel setup'!$K$4&amp;'Funnel setup'!$K$5,".",IF(A2899=".",1,A2899+1))</f>
        <v>.</v>
      </c>
      <c r="B2900" s="431" t="str">
        <f t="shared" si="45"/>
        <v>Hip Replacement RevisionCCG of GP PracticeNHS BRADFORD DISTRICTS CCG (02R)Oxford Hip Score</v>
      </c>
      <c r="C2900" t="s">
        <v>247</v>
      </c>
      <c r="D2900" t="s">
        <v>87</v>
      </c>
      <c r="E2900" t="s">
        <v>692</v>
      </c>
      <c r="F2900" t="s">
        <v>693</v>
      </c>
      <c r="G2900" t="s">
        <v>14</v>
      </c>
      <c r="H2900">
        <v>12</v>
      </c>
      <c r="I2900">
        <v>27</v>
      </c>
      <c r="J2900">
        <v>40.25</v>
      </c>
      <c r="K2900">
        <v>13.25</v>
      </c>
      <c r="L2900">
        <v>11</v>
      </c>
      <c r="M2900">
        <v>0</v>
      </c>
      <c r="N2900">
        <v>1</v>
      </c>
      <c r="O2900" t="s">
        <v>53</v>
      </c>
      <c r="P2900" t="s">
        <v>53</v>
      </c>
      <c r="Q2900" t="s">
        <v>53</v>
      </c>
    </row>
    <row r="2901" spans="1:17" x14ac:dyDescent="0.2">
      <c r="A2901" s="30" t="str">
        <f>IF(C2901&amp;G2901&amp;D2901&lt;&gt;'Funnel setup'!$K$3&amp;'Funnel setup'!$K$4&amp;'Funnel setup'!$K$5,".",IF(A2900=".",1,A2900+1))</f>
        <v>.</v>
      </c>
      <c r="B2901" s="431" t="str">
        <f t="shared" si="45"/>
        <v>Hip Replacement RevisionCCG of GP PracticeNHS BRENT CCG (07P)Oxford Hip Score</v>
      </c>
      <c r="C2901" t="s">
        <v>247</v>
      </c>
      <c r="D2901" t="s">
        <v>87</v>
      </c>
      <c r="E2901" t="s">
        <v>695</v>
      </c>
      <c r="F2901" t="s">
        <v>696</v>
      </c>
      <c r="G2901" t="s">
        <v>14</v>
      </c>
      <c r="H2901" t="s">
        <v>53</v>
      </c>
      <c r="I2901" t="s">
        <v>53</v>
      </c>
      <c r="J2901" t="s">
        <v>53</v>
      </c>
      <c r="K2901" t="s">
        <v>53</v>
      </c>
      <c r="L2901" t="s">
        <v>53</v>
      </c>
      <c r="M2901" t="s">
        <v>53</v>
      </c>
      <c r="N2901" t="s">
        <v>53</v>
      </c>
      <c r="O2901" t="s">
        <v>53</v>
      </c>
      <c r="P2901" t="s">
        <v>53</v>
      </c>
      <c r="Q2901" t="s">
        <v>53</v>
      </c>
    </row>
    <row r="2902" spans="1:17" x14ac:dyDescent="0.2">
      <c r="A2902" s="30" t="str">
        <f>IF(C2902&amp;G2902&amp;D2902&lt;&gt;'Funnel setup'!$K$3&amp;'Funnel setup'!$K$4&amp;'Funnel setup'!$K$5,".",IF(A2901=".",1,A2901+1))</f>
        <v>.</v>
      </c>
      <c r="B2902" s="431" t="str">
        <f t="shared" si="45"/>
        <v>Hip Replacement RevisionCCG of GP PracticeNHS BRIGHTON AND HOVE CCG (09D)Oxford Hip Score</v>
      </c>
      <c r="C2902" t="s">
        <v>247</v>
      </c>
      <c r="D2902" t="s">
        <v>87</v>
      </c>
      <c r="E2902" t="s">
        <v>698</v>
      </c>
      <c r="F2902" t="s">
        <v>699</v>
      </c>
      <c r="G2902" t="s">
        <v>14</v>
      </c>
      <c r="H2902">
        <v>13</v>
      </c>
      <c r="I2902">
        <v>20.692</v>
      </c>
      <c r="J2902">
        <v>32.076999999999998</v>
      </c>
      <c r="K2902">
        <v>11.385</v>
      </c>
      <c r="L2902">
        <v>10</v>
      </c>
      <c r="M2902">
        <v>1</v>
      </c>
      <c r="N2902">
        <v>2</v>
      </c>
      <c r="O2902" t="s">
        <v>53</v>
      </c>
      <c r="P2902" t="s">
        <v>53</v>
      </c>
      <c r="Q2902" t="s">
        <v>53</v>
      </c>
    </row>
    <row r="2903" spans="1:17" x14ac:dyDescent="0.2">
      <c r="A2903" s="30" t="str">
        <f>IF(C2903&amp;G2903&amp;D2903&lt;&gt;'Funnel setup'!$K$3&amp;'Funnel setup'!$K$4&amp;'Funnel setup'!$K$5,".",IF(A2902=".",1,A2902+1))</f>
        <v>.</v>
      </c>
      <c r="B2903" s="431" t="str">
        <f t="shared" si="45"/>
        <v>Hip Replacement RevisionCCG of GP PracticeNHS BRISTOL CCG (11H)Oxford Hip Score</v>
      </c>
      <c r="C2903" t="s">
        <v>247</v>
      </c>
      <c r="D2903" t="s">
        <v>87</v>
      </c>
      <c r="E2903" t="s">
        <v>701</v>
      </c>
      <c r="F2903" t="s">
        <v>702</v>
      </c>
      <c r="G2903" t="s">
        <v>14</v>
      </c>
      <c r="H2903">
        <v>6</v>
      </c>
      <c r="I2903">
        <v>19.667000000000002</v>
      </c>
      <c r="J2903">
        <v>27.5</v>
      </c>
      <c r="K2903">
        <v>7.8330000000000002</v>
      </c>
      <c r="L2903">
        <v>5</v>
      </c>
      <c r="M2903">
        <v>0</v>
      </c>
      <c r="N2903">
        <v>1</v>
      </c>
      <c r="O2903" t="s">
        <v>53</v>
      </c>
      <c r="P2903" t="s">
        <v>53</v>
      </c>
      <c r="Q2903" t="s">
        <v>53</v>
      </c>
    </row>
    <row r="2904" spans="1:17" x14ac:dyDescent="0.2">
      <c r="A2904" s="30" t="str">
        <f>IF(C2904&amp;G2904&amp;D2904&lt;&gt;'Funnel setup'!$K$3&amp;'Funnel setup'!$K$4&amp;'Funnel setup'!$K$5,".",IF(A2903=".",1,A2903+1))</f>
        <v>.</v>
      </c>
      <c r="B2904" s="431" t="str">
        <f t="shared" si="45"/>
        <v>Hip Replacement RevisionCCG of GP PracticeNHS BROMLEY CCG (07Q)Oxford Hip Score</v>
      </c>
      <c r="C2904" t="s">
        <v>247</v>
      </c>
      <c r="D2904" t="s">
        <v>87</v>
      </c>
      <c r="E2904" t="s">
        <v>704</v>
      </c>
      <c r="F2904" t="s">
        <v>705</v>
      </c>
      <c r="G2904" t="s">
        <v>14</v>
      </c>
      <c r="H2904" t="s">
        <v>53</v>
      </c>
      <c r="I2904" t="s">
        <v>53</v>
      </c>
      <c r="J2904" t="s">
        <v>53</v>
      </c>
      <c r="K2904" t="s">
        <v>53</v>
      </c>
      <c r="L2904" t="s">
        <v>53</v>
      </c>
      <c r="M2904" t="s">
        <v>53</v>
      </c>
      <c r="N2904" t="s">
        <v>53</v>
      </c>
      <c r="O2904" t="s">
        <v>53</v>
      </c>
      <c r="P2904" t="s">
        <v>53</v>
      </c>
      <c r="Q2904" t="s">
        <v>53</v>
      </c>
    </row>
    <row r="2905" spans="1:17" x14ac:dyDescent="0.2">
      <c r="A2905" s="30" t="str">
        <f>IF(C2905&amp;G2905&amp;D2905&lt;&gt;'Funnel setup'!$K$3&amp;'Funnel setup'!$K$4&amp;'Funnel setup'!$K$5,".",IF(A2904=".",1,A2904+1))</f>
        <v>.</v>
      </c>
      <c r="B2905" s="431" t="str">
        <f t="shared" si="45"/>
        <v>Hip Replacement RevisionCCG of GP PracticeNHS BURY CCG (00V)Oxford Hip Score</v>
      </c>
      <c r="C2905" t="s">
        <v>247</v>
      </c>
      <c r="D2905" t="s">
        <v>87</v>
      </c>
      <c r="E2905" t="s">
        <v>707</v>
      </c>
      <c r="F2905" t="s">
        <v>708</v>
      </c>
      <c r="G2905" t="s">
        <v>14</v>
      </c>
      <c r="H2905" t="s">
        <v>53</v>
      </c>
      <c r="I2905" t="s">
        <v>53</v>
      </c>
      <c r="J2905" t="s">
        <v>53</v>
      </c>
      <c r="K2905" t="s">
        <v>53</v>
      </c>
      <c r="L2905" t="s">
        <v>53</v>
      </c>
      <c r="M2905" t="s">
        <v>53</v>
      </c>
      <c r="N2905" t="s">
        <v>53</v>
      </c>
      <c r="O2905" t="s">
        <v>53</v>
      </c>
      <c r="P2905" t="s">
        <v>53</v>
      </c>
      <c r="Q2905" t="s">
        <v>53</v>
      </c>
    </row>
    <row r="2906" spans="1:17" x14ac:dyDescent="0.2">
      <c r="A2906" s="30" t="str">
        <f>IF(C2906&amp;G2906&amp;D2906&lt;&gt;'Funnel setup'!$K$3&amp;'Funnel setup'!$K$4&amp;'Funnel setup'!$K$5,".",IF(A2905=".",1,A2905+1))</f>
        <v>.</v>
      </c>
      <c r="B2906" s="431" t="str">
        <f t="shared" si="45"/>
        <v>Hip Replacement RevisionCCG of GP PracticeNHS CALDERDALE CCG (02T)Oxford Hip Score</v>
      </c>
      <c r="C2906" t="s">
        <v>247</v>
      </c>
      <c r="D2906" t="s">
        <v>87</v>
      </c>
      <c r="E2906" t="s">
        <v>710</v>
      </c>
      <c r="F2906" t="s">
        <v>711</v>
      </c>
      <c r="G2906" t="s">
        <v>14</v>
      </c>
      <c r="H2906">
        <v>14</v>
      </c>
      <c r="I2906">
        <v>26.786000000000001</v>
      </c>
      <c r="J2906">
        <v>36.143000000000001</v>
      </c>
      <c r="K2906">
        <v>9.3569999999999993</v>
      </c>
      <c r="L2906">
        <v>12</v>
      </c>
      <c r="M2906">
        <v>0</v>
      </c>
      <c r="N2906">
        <v>2</v>
      </c>
      <c r="O2906" t="s">
        <v>53</v>
      </c>
      <c r="P2906" t="s">
        <v>53</v>
      </c>
      <c r="Q2906" t="s">
        <v>53</v>
      </c>
    </row>
    <row r="2907" spans="1:17" x14ac:dyDescent="0.2">
      <c r="A2907" s="30" t="str">
        <f>IF(C2907&amp;G2907&amp;D2907&lt;&gt;'Funnel setup'!$K$3&amp;'Funnel setup'!$K$4&amp;'Funnel setup'!$K$5,".",IF(A2906=".",1,A2906+1))</f>
        <v>.</v>
      </c>
      <c r="B2907" s="431" t="str">
        <f t="shared" si="45"/>
        <v>Hip Replacement RevisionCCG of GP PracticeNHS CAMBRIDGESHIRE AND PETERBOROUGH CCG (06H)Oxford Hip Score</v>
      </c>
      <c r="C2907" t="s">
        <v>247</v>
      </c>
      <c r="D2907" t="s">
        <v>87</v>
      </c>
      <c r="E2907" t="s">
        <v>713</v>
      </c>
      <c r="F2907" t="s">
        <v>714</v>
      </c>
      <c r="G2907" t="s">
        <v>14</v>
      </c>
      <c r="H2907">
        <v>32</v>
      </c>
      <c r="I2907">
        <v>21.125</v>
      </c>
      <c r="J2907">
        <v>35.75</v>
      </c>
      <c r="K2907">
        <v>14.625</v>
      </c>
      <c r="L2907">
        <v>26</v>
      </c>
      <c r="M2907">
        <v>2</v>
      </c>
      <c r="N2907">
        <v>4</v>
      </c>
      <c r="O2907">
        <v>34.747999999999998</v>
      </c>
      <c r="P2907">
        <v>13.87335536</v>
      </c>
      <c r="Q2907">
        <v>9.6929999999999996</v>
      </c>
    </row>
    <row r="2908" spans="1:17" x14ac:dyDescent="0.2">
      <c r="A2908" s="30" t="str">
        <f>IF(C2908&amp;G2908&amp;D2908&lt;&gt;'Funnel setup'!$K$3&amp;'Funnel setup'!$K$4&amp;'Funnel setup'!$K$5,".",IF(A2907=".",1,A2907+1))</f>
        <v>.</v>
      </c>
      <c r="B2908" s="431" t="str">
        <f t="shared" si="45"/>
        <v>Hip Replacement RevisionCCG of GP PracticeNHS CAMDEN CCG (07R)Oxford Hip Score</v>
      </c>
      <c r="C2908" t="s">
        <v>247</v>
      </c>
      <c r="D2908" t="s">
        <v>87</v>
      </c>
      <c r="E2908" t="s">
        <v>716</v>
      </c>
      <c r="F2908" t="s">
        <v>717</v>
      </c>
      <c r="G2908" t="s">
        <v>14</v>
      </c>
      <c r="H2908" t="s">
        <v>53</v>
      </c>
      <c r="I2908" t="s">
        <v>53</v>
      </c>
      <c r="J2908" t="s">
        <v>53</v>
      </c>
      <c r="K2908" t="s">
        <v>53</v>
      </c>
      <c r="L2908" t="s">
        <v>53</v>
      </c>
      <c r="M2908" t="s">
        <v>53</v>
      </c>
      <c r="N2908" t="s">
        <v>53</v>
      </c>
      <c r="O2908" t="s">
        <v>53</v>
      </c>
      <c r="P2908" t="s">
        <v>53</v>
      </c>
      <c r="Q2908" t="s">
        <v>53</v>
      </c>
    </row>
    <row r="2909" spans="1:17" x14ac:dyDescent="0.2">
      <c r="A2909" s="30" t="str">
        <f>IF(C2909&amp;G2909&amp;D2909&lt;&gt;'Funnel setup'!$K$3&amp;'Funnel setup'!$K$4&amp;'Funnel setup'!$K$5,".",IF(A2908=".",1,A2908+1))</f>
        <v>.</v>
      </c>
      <c r="B2909" s="431" t="str">
        <f t="shared" si="45"/>
        <v>Hip Replacement RevisionCCG of GP PracticeNHS CANNOCK CHASE CCG (04Y)Oxford Hip Score</v>
      </c>
      <c r="C2909" t="s">
        <v>247</v>
      </c>
      <c r="D2909" t="s">
        <v>87</v>
      </c>
      <c r="E2909" t="s">
        <v>719</v>
      </c>
      <c r="F2909" t="s">
        <v>720</v>
      </c>
      <c r="G2909" t="s">
        <v>14</v>
      </c>
      <c r="H2909">
        <v>9</v>
      </c>
      <c r="I2909">
        <v>16.777999999999999</v>
      </c>
      <c r="J2909">
        <v>30</v>
      </c>
      <c r="K2909">
        <v>13.222</v>
      </c>
      <c r="L2909">
        <v>8</v>
      </c>
      <c r="M2909">
        <v>0</v>
      </c>
      <c r="N2909">
        <v>1</v>
      </c>
      <c r="O2909" t="s">
        <v>53</v>
      </c>
      <c r="P2909" t="s">
        <v>53</v>
      </c>
      <c r="Q2909" t="s">
        <v>53</v>
      </c>
    </row>
    <row r="2910" spans="1:17" x14ac:dyDescent="0.2">
      <c r="A2910" s="30" t="str">
        <f>IF(C2910&amp;G2910&amp;D2910&lt;&gt;'Funnel setup'!$K$3&amp;'Funnel setup'!$K$4&amp;'Funnel setup'!$K$5,".",IF(A2909=".",1,A2909+1))</f>
        <v>.</v>
      </c>
      <c r="B2910" s="431" t="str">
        <f t="shared" si="45"/>
        <v>Hip Replacement RevisionCCG of GP PracticeNHS CANTERBURY AND COASTAL CCG (09E)Oxford Hip Score</v>
      </c>
      <c r="C2910" t="s">
        <v>247</v>
      </c>
      <c r="D2910" t="s">
        <v>87</v>
      </c>
      <c r="E2910" t="s">
        <v>722</v>
      </c>
      <c r="F2910" t="s">
        <v>723</v>
      </c>
      <c r="G2910" t="s">
        <v>14</v>
      </c>
      <c r="H2910">
        <v>11</v>
      </c>
      <c r="I2910">
        <v>20.364000000000001</v>
      </c>
      <c r="J2910">
        <v>34.726999999999997</v>
      </c>
      <c r="K2910">
        <v>14.364000000000001</v>
      </c>
      <c r="L2910">
        <v>10</v>
      </c>
      <c r="M2910">
        <v>0</v>
      </c>
      <c r="N2910">
        <v>1</v>
      </c>
      <c r="O2910" t="s">
        <v>53</v>
      </c>
      <c r="P2910" t="s">
        <v>53</v>
      </c>
      <c r="Q2910" t="s">
        <v>53</v>
      </c>
    </row>
    <row r="2911" spans="1:17" x14ac:dyDescent="0.2">
      <c r="A2911" s="30" t="str">
        <f>IF(C2911&amp;G2911&amp;D2911&lt;&gt;'Funnel setup'!$K$3&amp;'Funnel setup'!$K$4&amp;'Funnel setup'!$K$5,".",IF(A2910=".",1,A2910+1))</f>
        <v>.</v>
      </c>
      <c r="B2911" s="431" t="str">
        <f t="shared" si="45"/>
        <v>Hip Replacement RevisionCCG of GP PracticeNHS CASTLE POINT AND ROCHFORD CCG (99F)Oxford Hip Score</v>
      </c>
      <c r="C2911" t="s">
        <v>247</v>
      </c>
      <c r="D2911" t="s">
        <v>87</v>
      </c>
      <c r="E2911" t="s">
        <v>725</v>
      </c>
      <c r="F2911" t="s">
        <v>726</v>
      </c>
      <c r="G2911" t="s">
        <v>14</v>
      </c>
      <c r="H2911">
        <v>13</v>
      </c>
      <c r="I2911">
        <v>16.768999999999998</v>
      </c>
      <c r="J2911">
        <v>32.384999999999998</v>
      </c>
      <c r="K2911">
        <v>15.615</v>
      </c>
      <c r="L2911">
        <v>12</v>
      </c>
      <c r="M2911">
        <v>0</v>
      </c>
      <c r="N2911">
        <v>1</v>
      </c>
      <c r="O2911" t="s">
        <v>53</v>
      </c>
      <c r="P2911" t="s">
        <v>53</v>
      </c>
      <c r="Q2911" t="s">
        <v>53</v>
      </c>
    </row>
    <row r="2912" spans="1:17" x14ac:dyDescent="0.2">
      <c r="A2912" s="30" t="str">
        <f>IF(C2912&amp;G2912&amp;D2912&lt;&gt;'Funnel setup'!$K$3&amp;'Funnel setup'!$K$4&amp;'Funnel setup'!$K$5,".",IF(A2911=".",1,A2911+1))</f>
        <v>.</v>
      </c>
      <c r="B2912" s="431" t="str">
        <f t="shared" si="45"/>
        <v>Hip Replacement RevisionCCG of GP PracticeNHS CENTRAL LONDON (WESTMINSTER) CCG (09A)Oxford Hip Score</v>
      </c>
      <c r="C2912" t="s">
        <v>247</v>
      </c>
      <c r="D2912" t="s">
        <v>87</v>
      </c>
      <c r="E2912" t="s">
        <v>728</v>
      </c>
      <c r="F2912" t="s">
        <v>729</v>
      </c>
      <c r="G2912" t="s">
        <v>14</v>
      </c>
      <c r="H2912" t="s">
        <v>53</v>
      </c>
      <c r="I2912" t="s">
        <v>53</v>
      </c>
      <c r="J2912" t="s">
        <v>53</v>
      </c>
      <c r="K2912" t="s">
        <v>53</v>
      </c>
      <c r="L2912" t="s">
        <v>53</v>
      </c>
      <c r="M2912" t="s">
        <v>53</v>
      </c>
      <c r="N2912" t="s">
        <v>53</v>
      </c>
      <c r="O2912" t="s">
        <v>53</v>
      </c>
      <c r="P2912" t="s">
        <v>53</v>
      </c>
      <c r="Q2912" t="s">
        <v>53</v>
      </c>
    </row>
    <row r="2913" spans="1:17" x14ac:dyDescent="0.2">
      <c r="A2913" s="30" t="str">
        <f>IF(C2913&amp;G2913&amp;D2913&lt;&gt;'Funnel setup'!$K$3&amp;'Funnel setup'!$K$4&amp;'Funnel setup'!$K$5,".",IF(A2912=".",1,A2912+1))</f>
        <v>.</v>
      </c>
      <c r="B2913" s="431" t="str">
        <f t="shared" si="45"/>
        <v>Hip Replacement RevisionCCG of GP PracticeNHS CENTRAL MANCHESTER CCG (00W)Oxford Hip Score</v>
      </c>
      <c r="C2913" t="s">
        <v>247</v>
      </c>
      <c r="D2913" t="s">
        <v>87</v>
      </c>
      <c r="E2913" t="s">
        <v>731</v>
      </c>
      <c r="F2913" t="s">
        <v>732</v>
      </c>
      <c r="G2913" t="s">
        <v>14</v>
      </c>
      <c r="H2913" t="s">
        <v>53</v>
      </c>
      <c r="I2913" t="s">
        <v>53</v>
      </c>
      <c r="J2913" t="s">
        <v>53</v>
      </c>
      <c r="K2913" t="s">
        <v>53</v>
      </c>
      <c r="L2913" t="s">
        <v>53</v>
      </c>
      <c r="M2913" t="s">
        <v>53</v>
      </c>
      <c r="N2913" t="s">
        <v>53</v>
      </c>
      <c r="O2913" t="s">
        <v>53</v>
      </c>
      <c r="P2913" t="s">
        <v>53</v>
      </c>
      <c r="Q2913" t="s">
        <v>53</v>
      </c>
    </row>
    <row r="2914" spans="1:17" x14ac:dyDescent="0.2">
      <c r="A2914" s="30" t="str">
        <f>IF(C2914&amp;G2914&amp;D2914&lt;&gt;'Funnel setup'!$K$3&amp;'Funnel setup'!$K$4&amp;'Funnel setup'!$K$5,".",IF(A2913=".",1,A2913+1))</f>
        <v>.</v>
      </c>
      <c r="B2914" s="431" t="str">
        <f t="shared" si="45"/>
        <v>Hip Replacement RevisionCCG of GP PracticeNHS CHILTERN CCG (10H)Oxford Hip Score</v>
      </c>
      <c r="C2914" t="s">
        <v>247</v>
      </c>
      <c r="D2914" t="s">
        <v>87</v>
      </c>
      <c r="E2914" t="s">
        <v>734</v>
      </c>
      <c r="F2914" t="s">
        <v>735</v>
      </c>
      <c r="G2914" t="s">
        <v>14</v>
      </c>
      <c r="H2914">
        <v>22</v>
      </c>
      <c r="I2914">
        <v>17.454999999999998</v>
      </c>
      <c r="J2914">
        <v>33.591000000000001</v>
      </c>
      <c r="K2914">
        <v>16.135999999999999</v>
      </c>
      <c r="L2914">
        <v>21</v>
      </c>
      <c r="M2914">
        <v>0</v>
      </c>
      <c r="N2914">
        <v>1</v>
      </c>
      <c r="O2914" t="s">
        <v>53</v>
      </c>
      <c r="P2914" t="s">
        <v>53</v>
      </c>
      <c r="Q2914" t="s">
        <v>53</v>
      </c>
    </row>
    <row r="2915" spans="1:17" x14ac:dyDescent="0.2">
      <c r="A2915" s="30" t="str">
        <f>IF(C2915&amp;G2915&amp;D2915&lt;&gt;'Funnel setup'!$K$3&amp;'Funnel setup'!$K$4&amp;'Funnel setup'!$K$5,".",IF(A2914=".",1,A2914+1))</f>
        <v>.</v>
      </c>
      <c r="B2915" s="431" t="str">
        <f t="shared" si="45"/>
        <v>Hip Replacement RevisionCCG of GP PracticeNHS CHORLEY AND SOUTH RIBBLE CCG (00X)Oxford Hip Score</v>
      </c>
      <c r="C2915" t="s">
        <v>247</v>
      </c>
      <c r="D2915" t="s">
        <v>87</v>
      </c>
      <c r="E2915" t="s">
        <v>737</v>
      </c>
      <c r="F2915" t="s">
        <v>738</v>
      </c>
      <c r="G2915" t="s">
        <v>14</v>
      </c>
      <c r="H2915">
        <v>8</v>
      </c>
      <c r="I2915">
        <v>12.75</v>
      </c>
      <c r="J2915">
        <v>26.625</v>
      </c>
      <c r="K2915">
        <v>13.875</v>
      </c>
      <c r="L2915">
        <v>7</v>
      </c>
      <c r="M2915">
        <v>0</v>
      </c>
      <c r="N2915">
        <v>1</v>
      </c>
      <c r="O2915" t="s">
        <v>53</v>
      </c>
      <c r="P2915" t="s">
        <v>53</v>
      </c>
      <c r="Q2915" t="s">
        <v>53</v>
      </c>
    </row>
    <row r="2916" spans="1:17" x14ac:dyDescent="0.2">
      <c r="A2916" s="30" t="str">
        <f>IF(C2916&amp;G2916&amp;D2916&lt;&gt;'Funnel setup'!$K$3&amp;'Funnel setup'!$K$4&amp;'Funnel setup'!$K$5,".",IF(A2915=".",1,A2915+1))</f>
        <v>.</v>
      </c>
      <c r="B2916" s="431" t="str">
        <f t="shared" si="45"/>
        <v>Hip Replacement RevisionCCG of GP PracticeNHS CITY AND HACKNEY CCG (07T)Oxford Hip Score</v>
      </c>
      <c r="C2916" t="s">
        <v>247</v>
      </c>
      <c r="D2916" t="s">
        <v>87</v>
      </c>
      <c r="E2916" t="s">
        <v>740</v>
      </c>
      <c r="F2916" t="s">
        <v>741</v>
      </c>
      <c r="G2916" t="s">
        <v>14</v>
      </c>
      <c r="H2916" t="s">
        <v>53</v>
      </c>
      <c r="I2916" t="s">
        <v>53</v>
      </c>
      <c r="J2916" t="s">
        <v>53</v>
      </c>
      <c r="K2916" t="s">
        <v>53</v>
      </c>
      <c r="L2916" t="s">
        <v>53</v>
      </c>
      <c r="M2916" t="s">
        <v>53</v>
      </c>
      <c r="N2916" t="s">
        <v>53</v>
      </c>
      <c r="O2916" t="s">
        <v>53</v>
      </c>
      <c r="P2916" t="s">
        <v>53</v>
      </c>
      <c r="Q2916" t="s">
        <v>53</v>
      </c>
    </row>
    <row r="2917" spans="1:17" x14ac:dyDescent="0.2">
      <c r="A2917" s="30" t="str">
        <f>IF(C2917&amp;G2917&amp;D2917&lt;&gt;'Funnel setup'!$K$3&amp;'Funnel setup'!$K$4&amp;'Funnel setup'!$K$5,".",IF(A2916=".",1,A2916+1))</f>
        <v>.</v>
      </c>
      <c r="B2917" s="431" t="str">
        <f t="shared" si="45"/>
        <v>Hip Replacement RevisionCCG of GP PracticeNHS COASTAL WEST SUSSEX CCG (09G)Oxford Hip Score</v>
      </c>
      <c r="C2917" t="s">
        <v>247</v>
      </c>
      <c r="D2917" t="s">
        <v>87</v>
      </c>
      <c r="E2917" t="s">
        <v>743</v>
      </c>
      <c r="F2917" t="s">
        <v>744</v>
      </c>
      <c r="G2917" t="s">
        <v>14</v>
      </c>
      <c r="H2917">
        <v>47</v>
      </c>
      <c r="I2917">
        <v>20.914999999999999</v>
      </c>
      <c r="J2917">
        <v>32.085000000000001</v>
      </c>
      <c r="K2917">
        <v>11.17</v>
      </c>
      <c r="L2917">
        <v>41</v>
      </c>
      <c r="M2917">
        <v>3</v>
      </c>
      <c r="N2917">
        <v>3</v>
      </c>
      <c r="O2917">
        <v>32.21</v>
      </c>
      <c r="P2917">
        <v>11.3354768</v>
      </c>
      <c r="Q2917">
        <v>9.3350000000000009</v>
      </c>
    </row>
    <row r="2918" spans="1:17" x14ac:dyDescent="0.2">
      <c r="A2918" s="30" t="str">
        <f>IF(C2918&amp;G2918&amp;D2918&lt;&gt;'Funnel setup'!$K$3&amp;'Funnel setup'!$K$4&amp;'Funnel setup'!$K$5,".",IF(A2917=".",1,A2917+1))</f>
        <v>.</v>
      </c>
      <c r="B2918" s="431" t="str">
        <f t="shared" si="45"/>
        <v>Hip Replacement RevisionCCG of GP PracticeNHS CORBY CCG (03V)Oxford Hip Score</v>
      </c>
      <c r="C2918" t="s">
        <v>247</v>
      </c>
      <c r="D2918" t="s">
        <v>87</v>
      </c>
      <c r="E2918" t="s">
        <v>746</v>
      </c>
      <c r="F2918" t="s">
        <v>747</v>
      </c>
      <c r="G2918" t="s">
        <v>14</v>
      </c>
      <c r="H2918" t="s">
        <v>53</v>
      </c>
      <c r="I2918" t="s">
        <v>53</v>
      </c>
      <c r="J2918" t="s">
        <v>53</v>
      </c>
      <c r="K2918" t="s">
        <v>53</v>
      </c>
      <c r="L2918" t="s">
        <v>53</v>
      </c>
      <c r="M2918" t="s">
        <v>53</v>
      </c>
      <c r="N2918" t="s">
        <v>53</v>
      </c>
      <c r="O2918" t="s">
        <v>53</v>
      </c>
      <c r="P2918" t="s">
        <v>53</v>
      </c>
      <c r="Q2918" t="s">
        <v>53</v>
      </c>
    </row>
    <row r="2919" spans="1:17" x14ac:dyDescent="0.2">
      <c r="A2919" s="30" t="str">
        <f>IF(C2919&amp;G2919&amp;D2919&lt;&gt;'Funnel setup'!$K$3&amp;'Funnel setup'!$K$4&amp;'Funnel setup'!$K$5,".",IF(A2918=".",1,A2918+1))</f>
        <v>.</v>
      </c>
      <c r="B2919" s="431" t="str">
        <f t="shared" si="45"/>
        <v>Hip Replacement RevisionCCG of GP PracticeNHS COVENTRY AND RUGBY CCG (05A)Oxford Hip Score</v>
      </c>
      <c r="C2919" t="s">
        <v>247</v>
      </c>
      <c r="D2919" t="s">
        <v>87</v>
      </c>
      <c r="E2919" t="s">
        <v>749</v>
      </c>
      <c r="F2919" t="s">
        <v>750</v>
      </c>
      <c r="G2919" t="s">
        <v>14</v>
      </c>
      <c r="H2919">
        <v>14</v>
      </c>
      <c r="I2919">
        <v>21.286000000000001</v>
      </c>
      <c r="J2919">
        <v>34.643000000000001</v>
      </c>
      <c r="K2919">
        <v>13.356999999999999</v>
      </c>
      <c r="L2919">
        <v>11</v>
      </c>
      <c r="M2919">
        <v>0</v>
      </c>
      <c r="N2919">
        <v>3</v>
      </c>
      <c r="O2919" t="s">
        <v>53</v>
      </c>
      <c r="P2919" t="s">
        <v>53</v>
      </c>
      <c r="Q2919" t="s">
        <v>53</v>
      </c>
    </row>
    <row r="2920" spans="1:17" x14ac:dyDescent="0.2">
      <c r="A2920" s="30" t="str">
        <f>IF(C2920&amp;G2920&amp;D2920&lt;&gt;'Funnel setup'!$K$3&amp;'Funnel setup'!$K$4&amp;'Funnel setup'!$K$5,".",IF(A2919=".",1,A2919+1))</f>
        <v>.</v>
      </c>
      <c r="B2920" s="431" t="str">
        <f t="shared" si="45"/>
        <v>Hip Replacement RevisionCCG of GP PracticeNHS CRAWLEY CCG (09H)Oxford Hip Score</v>
      </c>
      <c r="C2920" t="s">
        <v>247</v>
      </c>
      <c r="D2920" t="s">
        <v>87</v>
      </c>
      <c r="E2920" t="s">
        <v>752</v>
      </c>
      <c r="F2920" t="s">
        <v>753</v>
      </c>
      <c r="G2920" t="s">
        <v>14</v>
      </c>
      <c r="H2920" t="s">
        <v>53</v>
      </c>
      <c r="I2920" t="s">
        <v>53</v>
      </c>
      <c r="J2920" t="s">
        <v>53</v>
      </c>
      <c r="K2920" t="s">
        <v>53</v>
      </c>
      <c r="L2920" t="s">
        <v>53</v>
      </c>
      <c r="M2920" t="s">
        <v>53</v>
      </c>
      <c r="N2920" t="s">
        <v>53</v>
      </c>
      <c r="O2920" t="s">
        <v>53</v>
      </c>
      <c r="P2920" t="s">
        <v>53</v>
      </c>
      <c r="Q2920" t="s">
        <v>53</v>
      </c>
    </row>
    <row r="2921" spans="1:17" x14ac:dyDescent="0.2">
      <c r="A2921" s="30" t="str">
        <f>IF(C2921&amp;G2921&amp;D2921&lt;&gt;'Funnel setup'!$K$3&amp;'Funnel setup'!$K$4&amp;'Funnel setup'!$K$5,".",IF(A2920=".",1,A2920+1))</f>
        <v>.</v>
      </c>
      <c r="B2921" s="431" t="str">
        <f t="shared" si="45"/>
        <v>Hip Replacement RevisionCCG of GP PracticeNHS CROYDON CCG (07V)Oxford Hip Score</v>
      </c>
      <c r="C2921" t="s">
        <v>247</v>
      </c>
      <c r="D2921" t="s">
        <v>87</v>
      </c>
      <c r="E2921" t="s">
        <v>755</v>
      </c>
      <c r="F2921" t="s">
        <v>756</v>
      </c>
      <c r="G2921" t="s">
        <v>14</v>
      </c>
      <c r="H2921">
        <v>13</v>
      </c>
      <c r="I2921">
        <v>24.231000000000002</v>
      </c>
      <c r="J2921">
        <v>36.076999999999998</v>
      </c>
      <c r="K2921">
        <v>11.846</v>
      </c>
      <c r="L2921">
        <v>12</v>
      </c>
      <c r="M2921">
        <v>0</v>
      </c>
      <c r="N2921">
        <v>1</v>
      </c>
      <c r="O2921" t="s">
        <v>53</v>
      </c>
      <c r="P2921" t="s">
        <v>53</v>
      </c>
      <c r="Q2921" t="s">
        <v>53</v>
      </c>
    </row>
    <row r="2922" spans="1:17" x14ac:dyDescent="0.2">
      <c r="A2922" s="30" t="str">
        <f>IF(C2922&amp;G2922&amp;D2922&lt;&gt;'Funnel setup'!$K$3&amp;'Funnel setup'!$K$4&amp;'Funnel setup'!$K$5,".",IF(A2921=".",1,A2921+1))</f>
        <v>.</v>
      </c>
      <c r="B2922" s="431" t="str">
        <f t="shared" si="45"/>
        <v>Hip Replacement RevisionCCG of GP PracticeNHS CUMBRIA CCG (01H)Oxford Hip Score</v>
      </c>
      <c r="C2922" t="s">
        <v>247</v>
      </c>
      <c r="D2922" t="s">
        <v>87</v>
      </c>
      <c r="E2922" t="s">
        <v>758</v>
      </c>
      <c r="F2922" t="s">
        <v>759</v>
      </c>
      <c r="G2922" t="s">
        <v>14</v>
      </c>
      <c r="H2922">
        <v>31</v>
      </c>
      <c r="I2922">
        <v>20.484000000000002</v>
      </c>
      <c r="J2922">
        <v>34.774000000000001</v>
      </c>
      <c r="K2922">
        <v>14.29</v>
      </c>
      <c r="L2922">
        <v>27</v>
      </c>
      <c r="M2922">
        <v>0</v>
      </c>
      <c r="N2922">
        <v>4</v>
      </c>
      <c r="O2922">
        <v>35.539000000000001</v>
      </c>
      <c r="P2922">
        <v>14.66377628</v>
      </c>
      <c r="Q2922">
        <v>9.359</v>
      </c>
    </row>
    <row r="2923" spans="1:17" x14ac:dyDescent="0.2">
      <c r="A2923" s="30" t="str">
        <f>IF(C2923&amp;G2923&amp;D2923&lt;&gt;'Funnel setup'!$K$3&amp;'Funnel setup'!$K$4&amp;'Funnel setup'!$K$5,".",IF(A2922=".",1,A2922+1))</f>
        <v>.</v>
      </c>
      <c r="B2923" s="431" t="str">
        <f t="shared" si="45"/>
        <v>Hip Replacement RevisionCCG of GP PracticeNHS DARLINGTON CCG (00C)Oxford Hip Score</v>
      </c>
      <c r="C2923" t="s">
        <v>247</v>
      </c>
      <c r="D2923" t="s">
        <v>87</v>
      </c>
      <c r="E2923" t="s">
        <v>761</v>
      </c>
      <c r="F2923" t="s">
        <v>762</v>
      </c>
      <c r="G2923" t="s">
        <v>14</v>
      </c>
      <c r="H2923">
        <v>6</v>
      </c>
      <c r="I2923">
        <v>22</v>
      </c>
      <c r="J2923">
        <v>38.332999999999998</v>
      </c>
      <c r="K2923">
        <v>16.332999999999998</v>
      </c>
      <c r="L2923">
        <v>6</v>
      </c>
      <c r="M2923">
        <v>0</v>
      </c>
      <c r="N2923">
        <v>0</v>
      </c>
      <c r="O2923" t="s">
        <v>53</v>
      </c>
      <c r="P2923" t="s">
        <v>53</v>
      </c>
      <c r="Q2923" t="s">
        <v>53</v>
      </c>
    </row>
    <row r="2924" spans="1:17" x14ac:dyDescent="0.2">
      <c r="A2924" s="30" t="str">
        <f>IF(C2924&amp;G2924&amp;D2924&lt;&gt;'Funnel setup'!$K$3&amp;'Funnel setup'!$K$4&amp;'Funnel setup'!$K$5,".",IF(A2923=".",1,A2923+1))</f>
        <v>.</v>
      </c>
      <c r="B2924" s="431" t="str">
        <f t="shared" si="45"/>
        <v>Hip Replacement RevisionCCG of GP PracticeNHS DARTFORD, GRAVESHAM AND SWANLEY CCG (09J)Oxford Hip Score</v>
      </c>
      <c r="C2924" t="s">
        <v>247</v>
      </c>
      <c r="D2924" t="s">
        <v>87</v>
      </c>
      <c r="E2924" t="s">
        <v>764</v>
      </c>
      <c r="F2924" t="s">
        <v>765</v>
      </c>
      <c r="G2924" t="s">
        <v>14</v>
      </c>
      <c r="H2924">
        <v>11</v>
      </c>
      <c r="I2924">
        <v>18.364000000000001</v>
      </c>
      <c r="J2924">
        <v>29.818000000000001</v>
      </c>
      <c r="K2924">
        <v>11.455</v>
      </c>
      <c r="L2924">
        <v>10</v>
      </c>
      <c r="M2924">
        <v>0</v>
      </c>
      <c r="N2924">
        <v>1</v>
      </c>
      <c r="O2924" t="s">
        <v>53</v>
      </c>
      <c r="P2924" t="s">
        <v>53</v>
      </c>
      <c r="Q2924" t="s">
        <v>53</v>
      </c>
    </row>
    <row r="2925" spans="1:17" x14ac:dyDescent="0.2">
      <c r="A2925" s="30" t="str">
        <f>IF(C2925&amp;G2925&amp;D2925&lt;&gt;'Funnel setup'!$K$3&amp;'Funnel setup'!$K$4&amp;'Funnel setup'!$K$5,".",IF(A2924=".",1,A2924+1))</f>
        <v>.</v>
      </c>
      <c r="B2925" s="431" t="str">
        <f t="shared" si="45"/>
        <v>Hip Replacement RevisionCCG of GP PracticeNHS DONCASTER CCG (02X)Oxford Hip Score</v>
      </c>
      <c r="C2925" t="s">
        <v>247</v>
      </c>
      <c r="D2925" t="s">
        <v>87</v>
      </c>
      <c r="E2925" t="s">
        <v>767</v>
      </c>
      <c r="F2925" t="s">
        <v>768</v>
      </c>
      <c r="G2925" t="s">
        <v>14</v>
      </c>
      <c r="H2925">
        <v>22</v>
      </c>
      <c r="I2925">
        <v>16.545000000000002</v>
      </c>
      <c r="J2925">
        <v>27.408999999999999</v>
      </c>
      <c r="K2925">
        <v>10.864000000000001</v>
      </c>
      <c r="L2925">
        <v>18</v>
      </c>
      <c r="M2925">
        <v>0</v>
      </c>
      <c r="N2925">
        <v>4</v>
      </c>
      <c r="O2925" t="s">
        <v>53</v>
      </c>
      <c r="P2925" t="s">
        <v>53</v>
      </c>
      <c r="Q2925" t="s">
        <v>53</v>
      </c>
    </row>
    <row r="2926" spans="1:17" x14ac:dyDescent="0.2">
      <c r="A2926" s="30" t="str">
        <f>IF(C2926&amp;G2926&amp;D2926&lt;&gt;'Funnel setup'!$K$3&amp;'Funnel setup'!$K$4&amp;'Funnel setup'!$K$5,".",IF(A2925=".",1,A2925+1))</f>
        <v>.</v>
      </c>
      <c r="B2926" s="431" t="str">
        <f t="shared" si="45"/>
        <v>Hip Replacement RevisionCCG of GP PracticeNHS DORSET CCG (11J)Oxford Hip Score</v>
      </c>
      <c r="C2926" t="s">
        <v>247</v>
      </c>
      <c r="D2926" t="s">
        <v>87</v>
      </c>
      <c r="E2926" t="s">
        <v>854</v>
      </c>
      <c r="F2926" t="s">
        <v>855</v>
      </c>
      <c r="G2926" t="s">
        <v>14</v>
      </c>
      <c r="H2926">
        <v>23</v>
      </c>
      <c r="I2926">
        <v>22.652000000000001</v>
      </c>
      <c r="J2926">
        <v>33.521999999999998</v>
      </c>
      <c r="K2926">
        <v>10.87</v>
      </c>
      <c r="L2926">
        <v>18</v>
      </c>
      <c r="M2926">
        <v>3</v>
      </c>
      <c r="N2926">
        <v>2</v>
      </c>
      <c r="O2926" t="s">
        <v>53</v>
      </c>
      <c r="P2926" t="s">
        <v>53</v>
      </c>
      <c r="Q2926" t="s">
        <v>53</v>
      </c>
    </row>
    <row r="2927" spans="1:17" x14ac:dyDescent="0.2">
      <c r="A2927" s="30" t="str">
        <f>IF(C2927&amp;G2927&amp;D2927&lt;&gt;'Funnel setup'!$K$3&amp;'Funnel setup'!$K$4&amp;'Funnel setup'!$K$5,".",IF(A2926=".",1,A2926+1))</f>
        <v>.</v>
      </c>
      <c r="B2927" s="431" t="str">
        <f t="shared" si="45"/>
        <v>Hip Replacement RevisionCCG of GP PracticeNHS DUDLEY CCG (05C)Oxford Hip Score</v>
      </c>
      <c r="C2927" t="s">
        <v>247</v>
      </c>
      <c r="D2927" t="s">
        <v>87</v>
      </c>
      <c r="E2927" t="s">
        <v>857</v>
      </c>
      <c r="F2927" t="s">
        <v>858</v>
      </c>
      <c r="G2927" t="s">
        <v>14</v>
      </c>
      <c r="H2927">
        <v>14</v>
      </c>
      <c r="I2927">
        <v>22.856999999999999</v>
      </c>
      <c r="J2927">
        <v>34.570999999999998</v>
      </c>
      <c r="K2927">
        <v>11.714</v>
      </c>
      <c r="L2927">
        <v>13</v>
      </c>
      <c r="M2927">
        <v>0</v>
      </c>
      <c r="N2927">
        <v>1</v>
      </c>
      <c r="O2927" t="s">
        <v>53</v>
      </c>
      <c r="P2927" t="s">
        <v>53</v>
      </c>
      <c r="Q2927" t="s">
        <v>53</v>
      </c>
    </row>
    <row r="2928" spans="1:17" x14ac:dyDescent="0.2">
      <c r="A2928" s="30" t="str">
        <f>IF(C2928&amp;G2928&amp;D2928&lt;&gt;'Funnel setup'!$K$3&amp;'Funnel setup'!$K$4&amp;'Funnel setup'!$K$5,".",IF(A2927=".",1,A2927+1))</f>
        <v>.</v>
      </c>
      <c r="B2928" s="431" t="str">
        <f t="shared" si="45"/>
        <v>Hip Replacement RevisionCCG of GP PracticeNHS DURHAM DALES, EASINGTON AND SEDGEFIELD CCG (00D)Oxford Hip Score</v>
      </c>
      <c r="C2928" t="s">
        <v>247</v>
      </c>
      <c r="D2928" t="s">
        <v>87</v>
      </c>
      <c r="E2928" t="s">
        <v>860</v>
      </c>
      <c r="F2928" t="s">
        <v>861</v>
      </c>
      <c r="G2928" t="s">
        <v>14</v>
      </c>
      <c r="H2928">
        <v>11</v>
      </c>
      <c r="I2928">
        <v>15.727</v>
      </c>
      <c r="J2928">
        <v>32.817999999999998</v>
      </c>
      <c r="K2928">
        <v>17.091000000000001</v>
      </c>
      <c r="L2928">
        <v>10</v>
      </c>
      <c r="M2928">
        <v>0</v>
      </c>
      <c r="N2928">
        <v>1</v>
      </c>
      <c r="O2928" t="s">
        <v>53</v>
      </c>
      <c r="P2928" t="s">
        <v>53</v>
      </c>
      <c r="Q2928" t="s">
        <v>53</v>
      </c>
    </row>
    <row r="2929" spans="1:17" x14ac:dyDescent="0.2">
      <c r="A2929" s="30" t="str">
        <f>IF(C2929&amp;G2929&amp;D2929&lt;&gt;'Funnel setup'!$K$3&amp;'Funnel setup'!$K$4&amp;'Funnel setup'!$K$5,".",IF(A2928=".",1,A2928+1))</f>
        <v>.</v>
      </c>
      <c r="B2929" s="431" t="str">
        <f t="shared" si="45"/>
        <v>Hip Replacement RevisionCCG of GP PracticeNHS EALING CCG (07W)Oxford Hip Score</v>
      </c>
      <c r="C2929" t="s">
        <v>247</v>
      </c>
      <c r="D2929" t="s">
        <v>87</v>
      </c>
      <c r="E2929" t="s">
        <v>863</v>
      </c>
      <c r="F2929" t="s">
        <v>864</v>
      </c>
      <c r="G2929" t="s">
        <v>14</v>
      </c>
      <c r="H2929">
        <v>8</v>
      </c>
      <c r="I2929">
        <v>15.875</v>
      </c>
      <c r="J2929">
        <v>37.25</v>
      </c>
      <c r="K2929">
        <v>21.375</v>
      </c>
      <c r="L2929">
        <v>8</v>
      </c>
      <c r="M2929">
        <v>0</v>
      </c>
      <c r="N2929">
        <v>0</v>
      </c>
      <c r="O2929" t="s">
        <v>53</v>
      </c>
      <c r="P2929" t="s">
        <v>53</v>
      </c>
      <c r="Q2929" t="s">
        <v>53</v>
      </c>
    </row>
    <row r="2930" spans="1:17" x14ac:dyDescent="0.2">
      <c r="A2930" s="30" t="str">
        <f>IF(C2930&amp;G2930&amp;D2930&lt;&gt;'Funnel setup'!$K$3&amp;'Funnel setup'!$K$4&amp;'Funnel setup'!$K$5,".",IF(A2929=".",1,A2929+1))</f>
        <v>.</v>
      </c>
      <c r="B2930" s="431" t="str">
        <f t="shared" si="45"/>
        <v>Hip Replacement RevisionCCG of GP PracticeNHS EAST AND NORTH HERTFORDSHIRE CCG (06K)Oxford Hip Score</v>
      </c>
      <c r="C2930" t="s">
        <v>247</v>
      </c>
      <c r="D2930" t="s">
        <v>87</v>
      </c>
      <c r="E2930" t="s">
        <v>866</v>
      </c>
      <c r="F2930" t="s">
        <v>867</v>
      </c>
      <c r="G2930" t="s">
        <v>14</v>
      </c>
      <c r="H2930">
        <v>26</v>
      </c>
      <c r="I2930">
        <v>18.538</v>
      </c>
      <c r="J2930">
        <v>33.615000000000002</v>
      </c>
      <c r="K2930">
        <v>15.077</v>
      </c>
      <c r="L2930">
        <v>23</v>
      </c>
      <c r="M2930">
        <v>0</v>
      </c>
      <c r="N2930">
        <v>3</v>
      </c>
      <c r="O2930" t="s">
        <v>53</v>
      </c>
      <c r="P2930" t="s">
        <v>53</v>
      </c>
      <c r="Q2930" t="s">
        <v>53</v>
      </c>
    </row>
    <row r="2931" spans="1:17" x14ac:dyDescent="0.2">
      <c r="A2931" s="30" t="str">
        <f>IF(C2931&amp;G2931&amp;D2931&lt;&gt;'Funnel setup'!$K$3&amp;'Funnel setup'!$K$4&amp;'Funnel setup'!$K$5,".",IF(A2930=".",1,A2930+1))</f>
        <v>.</v>
      </c>
      <c r="B2931" s="431" t="str">
        <f t="shared" si="45"/>
        <v>Hip Replacement RevisionCCG of GP PracticeNHS EAST LANCASHIRE CCG (01A)Oxford Hip Score</v>
      </c>
      <c r="C2931" t="s">
        <v>247</v>
      </c>
      <c r="D2931" t="s">
        <v>87</v>
      </c>
      <c r="E2931" t="s">
        <v>869</v>
      </c>
      <c r="F2931" t="s">
        <v>870</v>
      </c>
      <c r="G2931" t="s">
        <v>14</v>
      </c>
      <c r="H2931">
        <v>17</v>
      </c>
      <c r="I2931">
        <v>19.471</v>
      </c>
      <c r="J2931">
        <v>29.175999999999998</v>
      </c>
      <c r="K2931">
        <v>9.7059999999999995</v>
      </c>
      <c r="L2931">
        <v>13</v>
      </c>
      <c r="M2931">
        <v>0</v>
      </c>
      <c r="N2931">
        <v>4</v>
      </c>
      <c r="O2931" t="s">
        <v>53</v>
      </c>
      <c r="P2931" t="s">
        <v>53</v>
      </c>
      <c r="Q2931" t="s">
        <v>53</v>
      </c>
    </row>
    <row r="2932" spans="1:17" x14ac:dyDescent="0.2">
      <c r="A2932" s="30" t="str">
        <f>IF(C2932&amp;G2932&amp;D2932&lt;&gt;'Funnel setup'!$K$3&amp;'Funnel setup'!$K$4&amp;'Funnel setup'!$K$5,".",IF(A2931=".",1,A2931+1))</f>
        <v>.</v>
      </c>
      <c r="B2932" s="431" t="str">
        <f t="shared" si="45"/>
        <v>Hip Replacement RevisionCCG of GP PracticeNHS EAST LEICESTERSHIRE AND RUTLAND CCG (03W)Oxford Hip Score</v>
      </c>
      <c r="C2932" t="s">
        <v>247</v>
      </c>
      <c r="D2932" t="s">
        <v>87</v>
      </c>
      <c r="E2932" t="s">
        <v>872</v>
      </c>
      <c r="F2932" t="s">
        <v>873</v>
      </c>
      <c r="G2932" t="s">
        <v>14</v>
      </c>
      <c r="H2932">
        <v>16</v>
      </c>
      <c r="I2932">
        <v>20</v>
      </c>
      <c r="J2932">
        <v>35.375</v>
      </c>
      <c r="K2932">
        <v>15.375</v>
      </c>
      <c r="L2932">
        <v>15</v>
      </c>
      <c r="M2932">
        <v>0</v>
      </c>
      <c r="N2932">
        <v>1</v>
      </c>
      <c r="O2932" t="s">
        <v>53</v>
      </c>
      <c r="P2932" t="s">
        <v>53</v>
      </c>
      <c r="Q2932" t="s">
        <v>53</v>
      </c>
    </row>
    <row r="2933" spans="1:17" x14ac:dyDescent="0.2">
      <c r="A2933" s="30" t="str">
        <f>IF(C2933&amp;G2933&amp;D2933&lt;&gt;'Funnel setup'!$K$3&amp;'Funnel setup'!$K$4&amp;'Funnel setup'!$K$5,".",IF(A2932=".",1,A2932+1))</f>
        <v>.</v>
      </c>
      <c r="B2933" s="431" t="str">
        <f t="shared" si="45"/>
        <v>Hip Replacement RevisionCCG of GP PracticeNHS EAST RIDING OF YORKSHIRE CCG (02Y)Oxford Hip Score</v>
      </c>
      <c r="C2933" t="s">
        <v>247</v>
      </c>
      <c r="D2933" t="s">
        <v>87</v>
      </c>
      <c r="E2933" t="s">
        <v>875</v>
      </c>
      <c r="F2933" t="s">
        <v>876</v>
      </c>
      <c r="G2933" t="s">
        <v>14</v>
      </c>
      <c r="H2933">
        <v>18</v>
      </c>
      <c r="I2933">
        <v>23.111000000000001</v>
      </c>
      <c r="J2933">
        <v>39.110999999999997</v>
      </c>
      <c r="K2933">
        <v>16</v>
      </c>
      <c r="L2933">
        <v>17</v>
      </c>
      <c r="M2933">
        <v>1</v>
      </c>
      <c r="N2933">
        <v>0</v>
      </c>
      <c r="O2933" t="s">
        <v>53</v>
      </c>
      <c r="P2933" t="s">
        <v>53</v>
      </c>
      <c r="Q2933" t="s">
        <v>53</v>
      </c>
    </row>
    <row r="2934" spans="1:17" x14ac:dyDescent="0.2">
      <c r="A2934" s="30" t="str">
        <f>IF(C2934&amp;G2934&amp;D2934&lt;&gt;'Funnel setup'!$K$3&amp;'Funnel setup'!$K$4&amp;'Funnel setup'!$K$5,".",IF(A2933=".",1,A2933+1))</f>
        <v>.</v>
      </c>
      <c r="B2934" s="431" t="str">
        <f t="shared" si="45"/>
        <v>Hip Replacement RevisionCCG of GP PracticeNHS EAST STAFFORDSHIRE CCG (05D)Oxford Hip Score</v>
      </c>
      <c r="C2934" t="s">
        <v>247</v>
      </c>
      <c r="D2934" t="s">
        <v>87</v>
      </c>
      <c r="E2934" t="s">
        <v>878</v>
      </c>
      <c r="F2934" t="s">
        <v>879</v>
      </c>
      <c r="G2934" t="s">
        <v>14</v>
      </c>
      <c r="H2934">
        <v>11</v>
      </c>
      <c r="I2934">
        <v>18.273</v>
      </c>
      <c r="J2934">
        <v>36.636000000000003</v>
      </c>
      <c r="K2934">
        <v>18.364000000000001</v>
      </c>
      <c r="L2934">
        <v>11</v>
      </c>
      <c r="M2934">
        <v>0</v>
      </c>
      <c r="N2934">
        <v>0</v>
      </c>
      <c r="O2934" t="s">
        <v>53</v>
      </c>
      <c r="P2934" t="s">
        <v>53</v>
      </c>
      <c r="Q2934" t="s">
        <v>53</v>
      </c>
    </row>
    <row r="2935" spans="1:17" x14ac:dyDescent="0.2">
      <c r="A2935" s="30" t="str">
        <f>IF(C2935&amp;G2935&amp;D2935&lt;&gt;'Funnel setup'!$K$3&amp;'Funnel setup'!$K$4&amp;'Funnel setup'!$K$5,".",IF(A2934=".",1,A2934+1))</f>
        <v>.</v>
      </c>
      <c r="B2935" s="431" t="str">
        <f t="shared" si="45"/>
        <v>Hip Replacement RevisionCCG of GP PracticeNHS EAST SURREY CCG (09L)Oxford Hip Score</v>
      </c>
      <c r="C2935" t="s">
        <v>247</v>
      </c>
      <c r="D2935" t="s">
        <v>87</v>
      </c>
      <c r="E2935" t="s">
        <v>881</v>
      </c>
      <c r="F2935" t="s">
        <v>882</v>
      </c>
      <c r="G2935" t="s">
        <v>14</v>
      </c>
      <c r="H2935">
        <v>6</v>
      </c>
      <c r="I2935">
        <v>28.332999999999998</v>
      </c>
      <c r="J2935">
        <v>32.5</v>
      </c>
      <c r="K2935">
        <v>4.1669999999999998</v>
      </c>
      <c r="L2935">
        <v>4</v>
      </c>
      <c r="M2935">
        <v>0</v>
      </c>
      <c r="N2935">
        <v>2</v>
      </c>
      <c r="O2935" t="s">
        <v>53</v>
      </c>
      <c r="P2935" t="s">
        <v>53</v>
      </c>
      <c r="Q2935" t="s">
        <v>53</v>
      </c>
    </row>
    <row r="2936" spans="1:17" x14ac:dyDescent="0.2">
      <c r="A2936" s="30" t="str">
        <f>IF(C2936&amp;G2936&amp;D2936&lt;&gt;'Funnel setup'!$K$3&amp;'Funnel setup'!$K$4&amp;'Funnel setup'!$K$5,".",IF(A2935=".",1,A2935+1))</f>
        <v>.</v>
      </c>
      <c r="B2936" s="431" t="str">
        <f t="shared" si="45"/>
        <v>Hip Replacement RevisionCCG of GP PracticeNHS EASTBOURNE, HAILSHAM AND SEAFORD CCG (09F)Oxford Hip Score</v>
      </c>
      <c r="C2936" t="s">
        <v>247</v>
      </c>
      <c r="D2936" t="s">
        <v>87</v>
      </c>
      <c r="E2936" t="s">
        <v>884</v>
      </c>
      <c r="F2936" t="s">
        <v>885</v>
      </c>
      <c r="G2936" t="s">
        <v>14</v>
      </c>
      <c r="H2936">
        <v>26</v>
      </c>
      <c r="I2936">
        <v>21.731000000000002</v>
      </c>
      <c r="J2936">
        <v>34.537999999999997</v>
      </c>
      <c r="K2936">
        <v>12.808</v>
      </c>
      <c r="L2936">
        <v>21</v>
      </c>
      <c r="M2936">
        <v>1</v>
      </c>
      <c r="N2936">
        <v>4</v>
      </c>
      <c r="O2936" t="s">
        <v>53</v>
      </c>
      <c r="P2936" t="s">
        <v>53</v>
      </c>
      <c r="Q2936" t="s">
        <v>53</v>
      </c>
    </row>
    <row r="2937" spans="1:17" x14ac:dyDescent="0.2">
      <c r="A2937" s="30" t="str">
        <f>IF(C2937&amp;G2937&amp;D2937&lt;&gt;'Funnel setup'!$K$3&amp;'Funnel setup'!$K$4&amp;'Funnel setup'!$K$5,".",IF(A2936=".",1,A2936+1))</f>
        <v>.</v>
      </c>
      <c r="B2937" s="431" t="str">
        <f t="shared" si="45"/>
        <v>Hip Replacement RevisionCCG of GP PracticeNHS EASTERN CHESHIRE CCG (01C)Oxford Hip Score</v>
      </c>
      <c r="C2937" t="s">
        <v>247</v>
      </c>
      <c r="D2937" t="s">
        <v>87</v>
      </c>
      <c r="E2937" t="s">
        <v>887</v>
      </c>
      <c r="F2937" t="s">
        <v>888</v>
      </c>
      <c r="G2937" t="s">
        <v>14</v>
      </c>
      <c r="H2937">
        <v>6</v>
      </c>
      <c r="I2937">
        <v>15.5</v>
      </c>
      <c r="J2937">
        <v>30.5</v>
      </c>
      <c r="K2937">
        <v>15</v>
      </c>
      <c r="L2937">
        <v>5</v>
      </c>
      <c r="M2937">
        <v>0</v>
      </c>
      <c r="N2937">
        <v>1</v>
      </c>
      <c r="O2937" t="s">
        <v>53</v>
      </c>
      <c r="P2937" t="s">
        <v>53</v>
      </c>
      <c r="Q2937" t="s">
        <v>53</v>
      </c>
    </row>
    <row r="2938" spans="1:17" x14ac:dyDescent="0.2">
      <c r="A2938" s="30" t="str">
        <f>IF(C2938&amp;G2938&amp;D2938&lt;&gt;'Funnel setup'!$K$3&amp;'Funnel setup'!$K$4&amp;'Funnel setup'!$K$5,".",IF(A2937=".",1,A2937+1))</f>
        <v>.</v>
      </c>
      <c r="B2938" s="431" t="str">
        <f t="shared" si="45"/>
        <v>Hip Replacement RevisionCCG of GP PracticeNHS ENFIELD CCG (07X)Oxford Hip Score</v>
      </c>
      <c r="C2938" t="s">
        <v>247</v>
      </c>
      <c r="D2938" t="s">
        <v>87</v>
      </c>
      <c r="E2938" t="s">
        <v>890</v>
      </c>
      <c r="F2938" t="s">
        <v>891</v>
      </c>
      <c r="G2938" t="s">
        <v>14</v>
      </c>
      <c r="H2938" t="s">
        <v>53</v>
      </c>
      <c r="I2938" t="s">
        <v>53</v>
      </c>
      <c r="J2938" t="s">
        <v>53</v>
      </c>
      <c r="K2938" t="s">
        <v>53</v>
      </c>
      <c r="L2938" t="s">
        <v>53</v>
      </c>
      <c r="M2938" t="s">
        <v>53</v>
      </c>
      <c r="N2938" t="s">
        <v>53</v>
      </c>
      <c r="O2938" t="s">
        <v>53</v>
      </c>
      <c r="P2938" t="s">
        <v>53</v>
      </c>
      <c r="Q2938" t="s">
        <v>53</v>
      </c>
    </row>
    <row r="2939" spans="1:17" x14ac:dyDescent="0.2">
      <c r="A2939" s="30" t="str">
        <f>IF(C2939&amp;G2939&amp;D2939&lt;&gt;'Funnel setup'!$K$3&amp;'Funnel setup'!$K$4&amp;'Funnel setup'!$K$5,".",IF(A2938=".",1,A2938+1))</f>
        <v>.</v>
      </c>
      <c r="B2939" s="431" t="str">
        <f t="shared" si="45"/>
        <v>Hip Replacement RevisionCCG of GP PracticeNHS EREWASH CCG (03X)Oxford Hip Score</v>
      </c>
      <c r="C2939" t="s">
        <v>247</v>
      </c>
      <c r="D2939" t="s">
        <v>87</v>
      </c>
      <c r="E2939" t="s">
        <v>893</v>
      </c>
      <c r="F2939" t="s">
        <v>894</v>
      </c>
      <c r="G2939" t="s">
        <v>14</v>
      </c>
      <c r="H2939">
        <v>6</v>
      </c>
      <c r="I2939">
        <v>16.5</v>
      </c>
      <c r="J2939">
        <v>36.667000000000002</v>
      </c>
      <c r="K2939">
        <v>20.167000000000002</v>
      </c>
      <c r="L2939">
        <v>6</v>
      </c>
      <c r="M2939">
        <v>0</v>
      </c>
      <c r="N2939">
        <v>0</v>
      </c>
      <c r="O2939" t="s">
        <v>53</v>
      </c>
      <c r="P2939" t="s">
        <v>53</v>
      </c>
      <c r="Q2939" t="s">
        <v>53</v>
      </c>
    </row>
    <row r="2940" spans="1:17" x14ac:dyDescent="0.2">
      <c r="A2940" s="30" t="str">
        <f>IF(C2940&amp;G2940&amp;D2940&lt;&gt;'Funnel setup'!$K$3&amp;'Funnel setup'!$K$4&amp;'Funnel setup'!$K$5,".",IF(A2939=".",1,A2939+1))</f>
        <v>.</v>
      </c>
      <c r="B2940" s="431" t="str">
        <f t="shared" si="45"/>
        <v>Hip Replacement RevisionCCG of GP PracticeNHS FAREHAM AND GOSPORT CCG (10K)Oxford Hip Score</v>
      </c>
      <c r="C2940" t="s">
        <v>247</v>
      </c>
      <c r="D2940" t="s">
        <v>87</v>
      </c>
      <c r="E2940" t="s">
        <v>896</v>
      </c>
      <c r="F2940" t="s">
        <v>897</v>
      </c>
      <c r="G2940" t="s">
        <v>14</v>
      </c>
      <c r="H2940" t="s">
        <v>53</v>
      </c>
      <c r="I2940" t="s">
        <v>53</v>
      </c>
      <c r="J2940" t="s">
        <v>53</v>
      </c>
      <c r="K2940" t="s">
        <v>53</v>
      </c>
      <c r="L2940" t="s">
        <v>53</v>
      </c>
      <c r="M2940" t="s">
        <v>53</v>
      </c>
      <c r="N2940" t="s">
        <v>53</v>
      </c>
      <c r="O2940" t="s">
        <v>53</v>
      </c>
      <c r="P2940" t="s">
        <v>53</v>
      </c>
      <c r="Q2940" t="s">
        <v>53</v>
      </c>
    </row>
    <row r="2941" spans="1:17" x14ac:dyDescent="0.2">
      <c r="A2941" s="30" t="str">
        <f>IF(C2941&amp;G2941&amp;D2941&lt;&gt;'Funnel setup'!$K$3&amp;'Funnel setup'!$K$4&amp;'Funnel setup'!$K$5,".",IF(A2940=".",1,A2940+1))</f>
        <v>.</v>
      </c>
      <c r="B2941" s="431" t="str">
        <f t="shared" si="45"/>
        <v>Hip Replacement RevisionCCG of GP PracticeNHS FYLDE &amp; WYRE CCG (02M)Oxford Hip Score</v>
      </c>
      <c r="C2941" t="s">
        <v>247</v>
      </c>
      <c r="D2941" t="s">
        <v>87</v>
      </c>
      <c r="E2941" t="s">
        <v>899</v>
      </c>
      <c r="F2941" t="s">
        <v>900</v>
      </c>
      <c r="G2941" t="s">
        <v>14</v>
      </c>
      <c r="H2941" t="s">
        <v>53</v>
      </c>
      <c r="I2941" t="s">
        <v>53</v>
      </c>
      <c r="J2941" t="s">
        <v>53</v>
      </c>
      <c r="K2941" t="s">
        <v>53</v>
      </c>
      <c r="L2941" t="s">
        <v>53</v>
      </c>
      <c r="M2941" t="s">
        <v>53</v>
      </c>
      <c r="N2941" t="s">
        <v>53</v>
      </c>
      <c r="O2941" t="s">
        <v>53</v>
      </c>
      <c r="P2941" t="s">
        <v>53</v>
      </c>
      <c r="Q2941" t="s">
        <v>53</v>
      </c>
    </row>
    <row r="2942" spans="1:17" x14ac:dyDescent="0.2">
      <c r="A2942" s="30" t="str">
        <f>IF(C2942&amp;G2942&amp;D2942&lt;&gt;'Funnel setup'!$K$3&amp;'Funnel setup'!$K$4&amp;'Funnel setup'!$K$5,".",IF(A2941=".",1,A2941+1))</f>
        <v>.</v>
      </c>
      <c r="B2942" s="431" t="str">
        <f t="shared" si="45"/>
        <v>Hip Replacement RevisionCCG of GP PracticeNHS GLOUCESTERSHIRE CCG (11M)Oxford Hip Score</v>
      </c>
      <c r="C2942" t="s">
        <v>247</v>
      </c>
      <c r="D2942" t="s">
        <v>87</v>
      </c>
      <c r="E2942" t="s">
        <v>902</v>
      </c>
      <c r="F2942" t="s">
        <v>903</v>
      </c>
      <c r="G2942" t="s">
        <v>14</v>
      </c>
      <c r="H2942">
        <v>43</v>
      </c>
      <c r="I2942">
        <v>20.814</v>
      </c>
      <c r="J2942">
        <v>30.488</v>
      </c>
      <c r="K2942">
        <v>9.6739999999999995</v>
      </c>
      <c r="L2942">
        <v>35</v>
      </c>
      <c r="M2942">
        <v>3</v>
      </c>
      <c r="N2942">
        <v>5</v>
      </c>
      <c r="O2942">
        <v>30.539000000000001</v>
      </c>
      <c r="P2942">
        <v>9.6645136310000002</v>
      </c>
      <c r="Q2942">
        <v>8.7390000000000008</v>
      </c>
    </row>
    <row r="2943" spans="1:17" x14ac:dyDescent="0.2">
      <c r="A2943" s="30" t="str">
        <f>IF(C2943&amp;G2943&amp;D2943&lt;&gt;'Funnel setup'!$K$3&amp;'Funnel setup'!$K$4&amp;'Funnel setup'!$K$5,".",IF(A2942=".",1,A2942+1))</f>
        <v>.</v>
      </c>
      <c r="B2943" s="431" t="str">
        <f t="shared" si="45"/>
        <v>Hip Replacement RevisionCCG of GP PracticeNHS GREAT YARMOUTH AND WAVENEY CCG (06M)Oxford Hip Score</v>
      </c>
      <c r="C2943" t="s">
        <v>247</v>
      </c>
      <c r="D2943" t="s">
        <v>87</v>
      </c>
      <c r="E2943" t="s">
        <v>905</v>
      </c>
      <c r="F2943" t="s">
        <v>906</v>
      </c>
      <c r="G2943" t="s">
        <v>14</v>
      </c>
      <c r="H2943">
        <v>12</v>
      </c>
      <c r="I2943">
        <v>18.332999999999998</v>
      </c>
      <c r="J2943">
        <v>33.25</v>
      </c>
      <c r="K2943">
        <v>14.917</v>
      </c>
      <c r="L2943">
        <v>11</v>
      </c>
      <c r="M2943">
        <v>0</v>
      </c>
      <c r="N2943">
        <v>1</v>
      </c>
      <c r="O2943" t="s">
        <v>53</v>
      </c>
      <c r="P2943" t="s">
        <v>53</v>
      </c>
      <c r="Q2943" t="s">
        <v>53</v>
      </c>
    </row>
    <row r="2944" spans="1:17" x14ac:dyDescent="0.2">
      <c r="A2944" s="30" t="str">
        <f>IF(C2944&amp;G2944&amp;D2944&lt;&gt;'Funnel setup'!$K$3&amp;'Funnel setup'!$K$4&amp;'Funnel setup'!$K$5,".",IF(A2943=".",1,A2943+1))</f>
        <v>.</v>
      </c>
      <c r="B2944" s="431" t="str">
        <f t="shared" si="45"/>
        <v>Hip Replacement RevisionCCG of GP PracticeNHS GREATER HUDDERSFIELD CCG (03A)Oxford Hip Score</v>
      </c>
      <c r="C2944" t="s">
        <v>247</v>
      </c>
      <c r="D2944" t="s">
        <v>87</v>
      </c>
      <c r="E2944" t="s">
        <v>908</v>
      </c>
      <c r="F2944" t="s">
        <v>909</v>
      </c>
      <c r="G2944" t="s">
        <v>14</v>
      </c>
      <c r="H2944">
        <v>16</v>
      </c>
      <c r="I2944">
        <v>24.937999999999999</v>
      </c>
      <c r="J2944">
        <v>38.188000000000002</v>
      </c>
      <c r="K2944">
        <v>13.25</v>
      </c>
      <c r="L2944">
        <v>14</v>
      </c>
      <c r="M2944">
        <v>2</v>
      </c>
      <c r="N2944">
        <v>0</v>
      </c>
      <c r="O2944" t="s">
        <v>53</v>
      </c>
      <c r="P2944" t="s">
        <v>53</v>
      </c>
      <c r="Q2944" t="s">
        <v>53</v>
      </c>
    </row>
    <row r="2945" spans="1:17" x14ac:dyDescent="0.2">
      <c r="A2945" s="30" t="str">
        <f>IF(C2945&amp;G2945&amp;D2945&lt;&gt;'Funnel setup'!$K$3&amp;'Funnel setup'!$K$4&amp;'Funnel setup'!$K$5,".",IF(A2944=".",1,A2944+1))</f>
        <v>.</v>
      </c>
      <c r="B2945" s="431" t="str">
        <f t="shared" si="45"/>
        <v>Hip Replacement RevisionCCG of GP PracticeNHS GREATER PRESTON CCG (01E)Oxford Hip Score</v>
      </c>
      <c r="C2945" t="s">
        <v>247</v>
      </c>
      <c r="D2945" t="s">
        <v>87</v>
      </c>
      <c r="E2945" t="s">
        <v>486</v>
      </c>
      <c r="F2945" t="s">
        <v>487</v>
      </c>
      <c r="G2945" t="s">
        <v>14</v>
      </c>
      <c r="H2945">
        <v>15</v>
      </c>
      <c r="I2945">
        <v>23.332999999999998</v>
      </c>
      <c r="J2945">
        <v>38.332999999999998</v>
      </c>
      <c r="K2945">
        <v>15</v>
      </c>
      <c r="L2945">
        <v>13</v>
      </c>
      <c r="M2945">
        <v>1</v>
      </c>
      <c r="N2945">
        <v>1</v>
      </c>
      <c r="O2945" t="s">
        <v>53</v>
      </c>
      <c r="P2945" t="s">
        <v>53</v>
      </c>
      <c r="Q2945" t="s">
        <v>53</v>
      </c>
    </row>
    <row r="2946" spans="1:17" x14ac:dyDescent="0.2">
      <c r="A2946" s="30" t="str">
        <f>IF(C2946&amp;G2946&amp;D2946&lt;&gt;'Funnel setup'!$K$3&amp;'Funnel setup'!$K$4&amp;'Funnel setup'!$K$5,".",IF(A2945=".",1,A2945+1))</f>
        <v>.</v>
      </c>
      <c r="B2946" s="431" t="str">
        <f t="shared" si="45"/>
        <v>Hip Replacement RevisionCCG of GP PracticeNHS GREENWICH CCG (08A)Oxford Hip Score</v>
      </c>
      <c r="C2946" t="s">
        <v>247</v>
      </c>
      <c r="D2946" t="s">
        <v>87</v>
      </c>
      <c r="E2946" t="s">
        <v>489</v>
      </c>
      <c r="F2946" t="s">
        <v>490</v>
      </c>
      <c r="G2946" t="s">
        <v>14</v>
      </c>
      <c r="H2946" t="s">
        <v>53</v>
      </c>
      <c r="I2946" t="s">
        <v>53</v>
      </c>
      <c r="J2946" t="s">
        <v>53</v>
      </c>
      <c r="K2946" t="s">
        <v>53</v>
      </c>
      <c r="L2946" t="s">
        <v>53</v>
      </c>
      <c r="M2946" t="s">
        <v>53</v>
      </c>
      <c r="N2946" t="s">
        <v>53</v>
      </c>
      <c r="O2946" t="s">
        <v>53</v>
      </c>
      <c r="P2946" t="s">
        <v>53</v>
      </c>
      <c r="Q2946" t="s">
        <v>53</v>
      </c>
    </row>
    <row r="2947" spans="1:17" x14ac:dyDescent="0.2">
      <c r="A2947" s="30" t="str">
        <f>IF(C2947&amp;G2947&amp;D2947&lt;&gt;'Funnel setup'!$K$3&amp;'Funnel setup'!$K$4&amp;'Funnel setup'!$K$5,".",IF(A2946=".",1,A2946+1))</f>
        <v>.</v>
      </c>
      <c r="B2947" s="431" t="str">
        <f t="shared" ref="B2947:B3010" si="46">C2947&amp;D2947&amp;F2947&amp;G2947</f>
        <v>Hip Replacement RevisionCCG of GP PracticeNHS GUILDFORD AND WAVERLEY CCG (09N)Oxford Hip Score</v>
      </c>
      <c r="C2947" t="s">
        <v>247</v>
      </c>
      <c r="D2947" t="s">
        <v>87</v>
      </c>
      <c r="E2947" t="s">
        <v>911</v>
      </c>
      <c r="F2947" t="s">
        <v>912</v>
      </c>
      <c r="G2947" t="s">
        <v>14</v>
      </c>
      <c r="H2947">
        <v>7</v>
      </c>
      <c r="I2947">
        <v>18</v>
      </c>
      <c r="J2947">
        <v>27.856999999999999</v>
      </c>
      <c r="K2947">
        <v>9.8569999999999993</v>
      </c>
      <c r="L2947">
        <v>6</v>
      </c>
      <c r="M2947">
        <v>0</v>
      </c>
      <c r="N2947">
        <v>1</v>
      </c>
      <c r="O2947" t="s">
        <v>53</v>
      </c>
      <c r="P2947" t="s">
        <v>53</v>
      </c>
      <c r="Q2947" t="s">
        <v>53</v>
      </c>
    </row>
    <row r="2948" spans="1:17" x14ac:dyDescent="0.2">
      <c r="A2948" s="30" t="str">
        <f>IF(C2948&amp;G2948&amp;D2948&lt;&gt;'Funnel setup'!$K$3&amp;'Funnel setup'!$K$4&amp;'Funnel setup'!$K$5,".",IF(A2947=".",1,A2947+1))</f>
        <v>.</v>
      </c>
      <c r="B2948" s="431" t="str">
        <f t="shared" si="46"/>
        <v>Hip Replacement RevisionCCG of GP PracticeNHS HALTON CCG (01F)Oxford Hip Score</v>
      </c>
      <c r="C2948" t="s">
        <v>247</v>
      </c>
      <c r="D2948" t="s">
        <v>87</v>
      </c>
      <c r="E2948" t="s">
        <v>914</v>
      </c>
      <c r="F2948" t="s">
        <v>915</v>
      </c>
      <c r="G2948" t="s">
        <v>14</v>
      </c>
      <c r="H2948" t="s">
        <v>53</v>
      </c>
      <c r="I2948" t="s">
        <v>53</v>
      </c>
      <c r="J2948" t="s">
        <v>53</v>
      </c>
      <c r="K2948" t="s">
        <v>53</v>
      </c>
      <c r="L2948" t="s">
        <v>53</v>
      </c>
      <c r="M2948" t="s">
        <v>53</v>
      </c>
      <c r="N2948" t="s">
        <v>53</v>
      </c>
      <c r="O2948" t="s">
        <v>53</v>
      </c>
      <c r="P2948" t="s">
        <v>53</v>
      </c>
      <c r="Q2948" t="s">
        <v>53</v>
      </c>
    </row>
    <row r="2949" spans="1:17" x14ac:dyDescent="0.2">
      <c r="A2949" s="30" t="str">
        <f>IF(C2949&amp;G2949&amp;D2949&lt;&gt;'Funnel setup'!$K$3&amp;'Funnel setup'!$K$4&amp;'Funnel setup'!$K$5,".",IF(A2948=".",1,A2948+1))</f>
        <v>.</v>
      </c>
      <c r="B2949" s="431" t="str">
        <f t="shared" si="46"/>
        <v>Hip Replacement RevisionCCG of GP PracticeNHS HAMBLETON, RICHMONDSHIRE AND WHITBY CCG (03D)Oxford Hip Score</v>
      </c>
      <c r="C2949" t="s">
        <v>247</v>
      </c>
      <c r="D2949" t="s">
        <v>87</v>
      </c>
      <c r="E2949" t="s">
        <v>917</v>
      </c>
      <c r="F2949" t="s">
        <v>918</v>
      </c>
      <c r="G2949" t="s">
        <v>14</v>
      </c>
      <c r="H2949">
        <v>23</v>
      </c>
      <c r="I2949">
        <v>21.087</v>
      </c>
      <c r="J2949">
        <v>32.738999999999997</v>
      </c>
      <c r="K2949">
        <v>11.651999999999999</v>
      </c>
      <c r="L2949">
        <v>18</v>
      </c>
      <c r="M2949">
        <v>0</v>
      </c>
      <c r="N2949">
        <v>5</v>
      </c>
      <c r="O2949" t="s">
        <v>53</v>
      </c>
      <c r="P2949" t="s">
        <v>53</v>
      </c>
      <c r="Q2949" t="s">
        <v>53</v>
      </c>
    </row>
    <row r="2950" spans="1:17" x14ac:dyDescent="0.2">
      <c r="A2950" s="30" t="str">
        <f>IF(C2950&amp;G2950&amp;D2950&lt;&gt;'Funnel setup'!$K$3&amp;'Funnel setup'!$K$4&amp;'Funnel setup'!$K$5,".",IF(A2949=".",1,A2949+1))</f>
        <v>.</v>
      </c>
      <c r="B2950" s="431" t="str">
        <f t="shared" si="46"/>
        <v>Hip Replacement RevisionCCG of GP PracticeNHS HAMMERSMITH AND FULHAM CCG (08C)Oxford Hip Score</v>
      </c>
      <c r="C2950" t="s">
        <v>247</v>
      </c>
      <c r="D2950" t="s">
        <v>87</v>
      </c>
      <c r="E2950" t="s">
        <v>920</v>
      </c>
      <c r="F2950" t="s">
        <v>921</v>
      </c>
      <c r="G2950" t="s">
        <v>14</v>
      </c>
      <c r="H2950" t="s">
        <v>53</v>
      </c>
      <c r="I2950" t="s">
        <v>53</v>
      </c>
      <c r="J2950" t="s">
        <v>53</v>
      </c>
      <c r="K2950" t="s">
        <v>53</v>
      </c>
      <c r="L2950" t="s">
        <v>53</v>
      </c>
      <c r="M2950" t="s">
        <v>53</v>
      </c>
      <c r="N2950" t="s">
        <v>53</v>
      </c>
      <c r="O2950" t="s">
        <v>53</v>
      </c>
      <c r="P2950" t="s">
        <v>53</v>
      </c>
      <c r="Q2950" t="s">
        <v>53</v>
      </c>
    </row>
    <row r="2951" spans="1:17" x14ac:dyDescent="0.2">
      <c r="A2951" s="30" t="str">
        <f>IF(C2951&amp;G2951&amp;D2951&lt;&gt;'Funnel setup'!$K$3&amp;'Funnel setup'!$K$4&amp;'Funnel setup'!$K$5,".",IF(A2950=".",1,A2950+1))</f>
        <v>.</v>
      </c>
      <c r="B2951" s="431" t="str">
        <f t="shared" si="46"/>
        <v>Hip Replacement RevisionCCG of GP PracticeNHS HARDWICK CCG (03Y)Oxford Hip Score</v>
      </c>
      <c r="C2951" t="s">
        <v>247</v>
      </c>
      <c r="D2951" t="s">
        <v>87</v>
      </c>
      <c r="E2951" t="s">
        <v>923</v>
      </c>
      <c r="F2951" t="s">
        <v>924</v>
      </c>
      <c r="G2951" t="s">
        <v>14</v>
      </c>
      <c r="H2951" t="s">
        <v>53</v>
      </c>
      <c r="I2951" t="s">
        <v>53</v>
      </c>
      <c r="J2951" t="s">
        <v>53</v>
      </c>
      <c r="K2951" t="s">
        <v>53</v>
      </c>
      <c r="L2951" t="s">
        <v>53</v>
      </c>
      <c r="M2951" t="s">
        <v>53</v>
      </c>
      <c r="N2951" t="s">
        <v>53</v>
      </c>
      <c r="O2951" t="s">
        <v>53</v>
      </c>
      <c r="P2951" t="s">
        <v>53</v>
      </c>
      <c r="Q2951" t="s">
        <v>53</v>
      </c>
    </row>
    <row r="2952" spans="1:17" x14ac:dyDescent="0.2">
      <c r="A2952" s="30" t="str">
        <f>IF(C2952&amp;G2952&amp;D2952&lt;&gt;'Funnel setup'!$K$3&amp;'Funnel setup'!$K$4&amp;'Funnel setup'!$K$5,".",IF(A2951=".",1,A2951+1))</f>
        <v>.</v>
      </c>
      <c r="B2952" s="431" t="str">
        <f t="shared" si="46"/>
        <v>Hip Replacement RevisionCCG of GP PracticeNHS HARINGEY CCG (08D)Oxford Hip Score</v>
      </c>
      <c r="C2952" t="s">
        <v>247</v>
      </c>
      <c r="D2952" t="s">
        <v>87</v>
      </c>
      <c r="E2952" t="s">
        <v>926</v>
      </c>
      <c r="F2952" t="s">
        <v>927</v>
      </c>
      <c r="G2952" t="s">
        <v>14</v>
      </c>
      <c r="H2952" t="s">
        <v>53</v>
      </c>
      <c r="I2952" t="s">
        <v>53</v>
      </c>
      <c r="J2952" t="s">
        <v>53</v>
      </c>
      <c r="K2952" t="s">
        <v>53</v>
      </c>
      <c r="L2952" t="s">
        <v>53</v>
      </c>
      <c r="M2952" t="s">
        <v>53</v>
      </c>
      <c r="N2952" t="s">
        <v>53</v>
      </c>
      <c r="O2952" t="s">
        <v>53</v>
      </c>
      <c r="P2952" t="s">
        <v>53</v>
      </c>
      <c r="Q2952" t="s">
        <v>53</v>
      </c>
    </row>
    <row r="2953" spans="1:17" x14ac:dyDescent="0.2">
      <c r="A2953" s="30" t="str">
        <f>IF(C2953&amp;G2953&amp;D2953&lt;&gt;'Funnel setup'!$K$3&amp;'Funnel setup'!$K$4&amp;'Funnel setup'!$K$5,".",IF(A2952=".",1,A2952+1))</f>
        <v>.</v>
      </c>
      <c r="B2953" s="431" t="str">
        <f t="shared" si="46"/>
        <v>Hip Replacement RevisionCCG of GP PracticeNHS HARROGATE AND RURAL DISTRICT CCG (03E)Oxford Hip Score</v>
      </c>
      <c r="C2953" t="s">
        <v>247</v>
      </c>
      <c r="D2953" t="s">
        <v>87</v>
      </c>
      <c r="E2953" t="s">
        <v>929</v>
      </c>
      <c r="F2953" t="s">
        <v>930</v>
      </c>
      <c r="G2953" t="s">
        <v>14</v>
      </c>
      <c r="H2953">
        <v>15</v>
      </c>
      <c r="I2953">
        <v>24.8</v>
      </c>
      <c r="J2953">
        <v>38.466999999999999</v>
      </c>
      <c r="K2953">
        <v>13.667</v>
      </c>
      <c r="L2953">
        <v>13</v>
      </c>
      <c r="M2953">
        <v>0</v>
      </c>
      <c r="N2953">
        <v>2</v>
      </c>
      <c r="O2953" t="s">
        <v>53</v>
      </c>
      <c r="P2953" t="s">
        <v>53</v>
      </c>
      <c r="Q2953" t="s">
        <v>53</v>
      </c>
    </row>
    <row r="2954" spans="1:17" x14ac:dyDescent="0.2">
      <c r="A2954" s="30" t="str">
        <f>IF(C2954&amp;G2954&amp;D2954&lt;&gt;'Funnel setup'!$K$3&amp;'Funnel setup'!$K$4&amp;'Funnel setup'!$K$5,".",IF(A2953=".",1,A2953+1))</f>
        <v>.</v>
      </c>
      <c r="B2954" s="431" t="str">
        <f t="shared" si="46"/>
        <v>Hip Replacement RevisionCCG of GP PracticeNHS HARROW CCG (08E)Oxford Hip Score</v>
      </c>
      <c r="C2954" t="s">
        <v>247</v>
      </c>
      <c r="D2954" t="s">
        <v>87</v>
      </c>
      <c r="E2954" t="s">
        <v>492</v>
      </c>
      <c r="F2954" t="s">
        <v>493</v>
      </c>
      <c r="G2954" t="s">
        <v>14</v>
      </c>
      <c r="H2954">
        <v>7</v>
      </c>
      <c r="I2954">
        <v>18</v>
      </c>
      <c r="J2954">
        <v>27.856999999999999</v>
      </c>
      <c r="K2954">
        <v>9.8569999999999993</v>
      </c>
      <c r="L2954">
        <v>6</v>
      </c>
      <c r="M2954">
        <v>0</v>
      </c>
      <c r="N2954">
        <v>1</v>
      </c>
      <c r="O2954" t="s">
        <v>53</v>
      </c>
      <c r="P2954" t="s">
        <v>53</v>
      </c>
      <c r="Q2954" t="s">
        <v>53</v>
      </c>
    </row>
    <row r="2955" spans="1:17" x14ac:dyDescent="0.2">
      <c r="A2955" s="30" t="str">
        <f>IF(C2955&amp;G2955&amp;D2955&lt;&gt;'Funnel setup'!$K$3&amp;'Funnel setup'!$K$4&amp;'Funnel setup'!$K$5,".",IF(A2954=".",1,A2954+1))</f>
        <v>.</v>
      </c>
      <c r="B2955" s="431" t="str">
        <f t="shared" si="46"/>
        <v>Hip Replacement RevisionCCG of GP PracticeNHS HARTLEPOOL AND STOCKTON-ON-TEES CCG (00K)Oxford Hip Score</v>
      </c>
      <c r="C2955" t="s">
        <v>247</v>
      </c>
      <c r="D2955" t="s">
        <v>87</v>
      </c>
      <c r="E2955" t="s">
        <v>495</v>
      </c>
      <c r="F2955" t="s">
        <v>496</v>
      </c>
      <c r="G2955" t="s">
        <v>14</v>
      </c>
      <c r="H2955">
        <v>27</v>
      </c>
      <c r="I2955">
        <v>21.815000000000001</v>
      </c>
      <c r="J2955">
        <v>30.777999999999999</v>
      </c>
      <c r="K2955">
        <v>8.9629999999999992</v>
      </c>
      <c r="L2955">
        <v>22</v>
      </c>
      <c r="M2955">
        <v>0</v>
      </c>
      <c r="N2955">
        <v>5</v>
      </c>
      <c r="O2955" t="s">
        <v>53</v>
      </c>
      <c r="P2955" t="s">
        <v>53</v>
      </c>
      <c r="Q2955" t="s">
        <v>53</v>
      </c>
    </row>
    <row r="2956" spans="1:17" x14ac:dyDescent="0.2">
      <c r="A2956" s="30" t="str">
        <f>IF(C2956&amp;G2956&amp;D2956&lt;&gt;'Funnel setup'!$K$3&amp;'Funnel setup'!$K$4&amp;'Funnel setup'!$K$5,".",IF(A2955=".",1,A2955+1))</f>
        <v>.</v>
      </c>
      <c r="B2956" s="431" t="str">
        <f t="shared" si="46"/>
        <v>Hip Replacement RevisionCCG of GP PracticeNHS HASTINGS AND ROTHER CCG (09P)Oxford Hip Score</v>
      </c>
      <c r="C2956" t="s">
        <v>247</v>
      </c>
      <c r="D2956" t="s">
        <v>87</v>
      </c>
      <c r="E2956" t="s">
        <v>498</v>
      </c>
      <c r="F2956" t="s">
        <v>499</v>
      </c>
      <c r="G2956" t="s">
        <v>14</v>
      </c>
      <c r="H2956">
        <v>17</v>
      </c>
      <c r="I2956">
        <v>18.940999999999999</v>
      </c>
      <c r="J2956">
        <v>37.941000000000003</v>
      </c>
      <c r="K2956">
        <v>19</v>
      </c>
      <c r="L2956">
        <v>16</v>
      </c>
      <c r="M2956">
        <v>0</v>
      </c>
      <c r="N2956">
        <v>1</v>
      </c>
      <c r="O2956" t="s">
        <v>53</v>
      </c>
      <c r="P2956" t="s">
        <v>53</v>
      </c>
      <c r="Q2956" t="s">
        <v>53</v>
      </c>
    </row>
    <row r="2957" spans="1:17" x14ac:dyDescent="0.2">
      <c r="A2957" s="30" t="str">
        <f>IF(C2957&amp;G2957&amp;D2957&lt;&gt;'Funnel setup'!$K$3&amp;'Funnel setup'!$K$4&amp;'Funnel setup'!$K$5,".",IF(A2956=".",1,A2956+1))</f>
        <v>.</v>
      </c>
      <c r="B2957" s="431" t="str">
        <f t="shared" si="46"/>
        <v>Hip Replacement RevisionCCG of GP PracticeNHS HAVERING CCG (08F)Oxford Hip Score</v>
      </c>
      <c r="C2957" t="s">
        <v>247</v>
      </c>
      <c r="D2957" t="s">
        <v>87</v>
      </c>
      <c r="E2957" t="s">
        <v>501</v>
      </c>
      <c r="F2957" t="s">
        <v>502</v>
      </c>
      <c r="G2957" t="s">
        <v>14</v>
      </c>
      <c r="H2957">
        <v>6</v>
      </c>
      <c r="I2957">
        <v>13.167</v>
      </c>
      <c r="J2957">
        <v>34.832999999999998</v>
      </c>
      <c r="K2957">
        <v>21.667000000000002</v>
      </c>
      <c r="L2957">
        <v>6</v>
      </c>
      <c r="M2957">
        <v>0</v>
      </c>
      <c r="N2957">
        <v>0</v>
      </c>
      <c r="O2957" t="s">
        <v>53</v>
      </c>
      <c r="P2957" t="s">
        <v>53</v>
      </c>
      <c r="Q2957" t="s">
        <v>53</v>
      </c>
    </row>
    <row r="2958" spans="1:17" x14ac:dyDescent="0.2">
      <c r="A2958" s="30" t="str">
        <f>IF(C2958&amp;G2958&amp;D2958&lt;&gt;'Funnel setup'!$K$3&amp;'Funnel setup'!$K$4&amp;'Funnel setup'!$K$5,".",IF(A2957=".",1,A2957+1))</f>
        <v>.</v>
      </c>
      <c r="B2958" s="431" t="str">
        <f t="shared" si="46"/>
        <v>Hip Replacement RevisionCCG of GP PracticeNHS HEREFORDSHIRE CCG (05F)Oxford Hip Score</v>
      </c>
      <c r="C2958" t="s">
        <v>247</v>
      </c>
      <c r="D2958" t="s">
        <v>87</v>
      </c>
      <c r="E2958" t="s">
        <v>504</v>
      </c>
      <c r="F2958" t="s">
        <v>505</v>
      </c>
      <c r="G2958" t="s">
        <v>14</v>
      </c>
      <c r="H2958">
        <v>9</v>
      </c>
      <c r="I2958">
        <v>18.443999999999999</v>
      </c>
      <c r="J2958">
        <v>37.444000000000003</v>
      </c>
      <c r="K2958">
        <v>19</v>
      </c>
      <c r="L2958">
        <v>9</v>
      </c>
      <c r="M2958">
        <v>0</v>
      </c>
      <c r="N2958">
        <v>0</v>
      </c>
      <c r="O2958" t="s">
        <v>53</v>
      </c>
      <c r="P2958" t="s">
        <v>53</v>
      </c>
      <c r="Q2958" t="s">
        <v>53</v>
      </c>
    </row>
    <row r="2959" spans="1:17" x14ac:dyDescent="0.2">
      <c r="A2959" s="30" t="str">
        <f>IF(C2959&amp;G2959&amp;D2959&lt;&gt;'Funnel setup'!$K$3&amp;'Funnel setup'!$K$4&amp;'Funnel setup'!$K$5,".",IF(A2958=".",1,A2958+1))</f>
        <v>.</v>
      </c>
      <c r="B2959" s="431" t="str">
        <f t="shared" si="46"/>
        <v>Hip Replacement RevisionCCG of GP PracticeNHS HERTS VALLEYS CCG (06N)Oxford Hip Score</v>
      </c>
      <c r="C2959" t="s">
        <v>247</v>
      </c>
      <c r="D2959" t="s">
        <v>87</v>
      </c>
      <c r="E2959" t="s">
        <v>507</v>
      </c>
      <c r="F2959" t="s">
        <v>508</v>
      </c>
      <c r="G2959" t="s">
        <v>14</v>
      </c>
      <c r="H2959">
        <v>24</v>
      </c>
      <c r="I2959">
        <v>20.375</v>
      </c>
      <c r="J2959">
        <v>33.5</v>
      </c>
      <c r="K2959">
        <v>13.125</v>
      </c>
      <c r="L2959">
        <v>20</v>
      </c>
      <c r="M2959">
        <v>0</v>
      </c>
      <c r="N2959">
        <v>4</v>
      </c>
      <c r="O2959" t="s">
        <v>53</v>
      </c>
      <c r="P2959" t="s">
        <v>53</v>
      </c>
      <c r="Q2959" t="s">
        <v>53</v>
      </c>
    </row>
    <row r="2960" spans="1:17" x14ac:dyDescent="0.2">
      <c r="A2960" s="30" t="str">
        <f>IF(C2960&amp;G2960&amp;D2960&lt;&gt;'Funnel setup'!$K$3&amp;'Funnel setup'!$K$4&amp;'Funnel setup'!$K$5,".",IF(A2959=".",1,A2959+1))</f>
        <v>.</v>
      </c>
      <c r="B2960" s="431" t="str">
        <f t="shared" si="46"/>
        <v>Hip Replacement RevisionCCG of GP PracticeNHS HEYWOOD, MIDDLETON AND ROCHDALE CCG (01D)Oxford Hip Score</v>
      </c>
      <c r="C2960" t="s">
        <v>247</v>
      </c>
      <c r="D2960" t="s">
        <v>87</v>
      </c>
      <c r="E2960" t="s">
        <v>510</v>
      </c>
      <c r="F2960" t="s">
        <v>511</v>
      </c>
      <c r="G2960" t="s">
        <v>14</v>
      </c>
      <c r="H2960">
        <v>12</v>
      </c>
      <c r="I2960">
        <v>28.25</v>
      </c>
      <c r="J2960">
        <v>31.25</v>
      </c>
      <c r="K2960">
        <v>3</v>
      </c>
      <c r="L2960">
        <v>7</v>
      </c>
      <c r="M2960">
        <v>1</v>
      </c>
      <c r="N2960">
        <v>4</v>
      </c>
      <c r="O2960" t="s">
        <v>53</v>
      </c>
      <c r="P2960" t="s">
        <v>53</v>
      </c>
      <c r="Q2960" t="s">
        <v>53</v>
      </c>
    </row>
    <row r="2961" spans="1:17" x14ac:dyDescent="0.2">
      <c r="A2961" s="30" t="str">
        <f>IF(C2961&amp;G2961&amp;D2961&lt;&gt;'Funnel setup'!$K$3&amp;'Funnel setup'!$K$4&amp;'Funnel setup'!$K$5,".",IF(A2960=".",1,A2960+1))</f>
        <v>.</v>
      </c>
      <c r="B2961" s="431" t="str">
        <f t="shared" si="46"/>
        <v>Hip Replacement RevisionCCG of GP PracticeNHS HIGH WEALD LEWES HAVENS CCG (99K)Oxford Hip Score</v>
      </c>
      <c r="C2961" t="s">
        <v>247</v>
      </c>
      <c r="D2961" t="s">
        <v>87</v>
      </c>
      <c r="E2961" t="s">
        <v>513</v>
      </c>
      <c r="F2961" t="s">
        <v>514</v>
      </c>
      <c r="G2961" t="s">
        <v>14</v>
      </c>
      <c r="H2961">
        <v>14</v>
      </c>
      <c r="I2961">
        <v>27.643000000000001</v>
      </c>
      <c r="J2961">
        <v>33</v>
      </c>
      <c r="K2961">
        <v>5.3570000000000002</v>
      </c>
      <c r="L2961">
        <v>10</v>
      </c>
      <c r="M2961">
        <v>0</v>
      </c>
      <c r="N2961">
        <v>4</v>
      </c>
      <c r="O2961" t="s">
        <v>53</v>
      </c>
      <c r="P2961" t="s">
        <v>53</v>
      </c>
      <c r="Q2961" t="s">
        <v>53</v>
      </c>
    </row>
    <row r="2962" spans="1:17" x14ac:dyDescent="0.2">
      <c r="A2962" s="30" t="str">
        <f>IF(C2962&amp;G2962&amp;D2962&lt;&gt;'Funnel setup'!$K$3&amp;'Funnel setup'!$K$4&amp;'Funnel setup'!$K$5,".",IF(A2961=".",1,A2961+1))</f>
        <v>.</v>
      </c>
      <c r="B2962" s="431" t="str">
        <f t="shared" si="46"/>
        <v>Hip Replacement RevisionCCG of GP PracticeNHS HILLINGDON CCG (08G)Oxford Hip Score</v>
      </c>
      <c r="C2962" t="s">
        <v>247</v>
      </c>
      <c r="D2962" t="s">
        <v>87</v>
      </c>
      <c r="E2962" t="s">
        <v>516</v>
      </c>
      <c r="F2962" t="s">
        <v>517</v>
      </c>
      <c r="G2962" t="s">
        <v>14</v>
      </c>
      <c r="H2962" t="s">
        <v>53</v>
      </c>
      <c r="I2962" t="s">
        <v>53</v>
      </c>
      <c r="J2962" t="s">
        <v>53</v>
      </c>
      <c r="K2962" t="s">
        <v>53</v>
      </c>
      <c r="L2962" t="s">
        <v>53</v>
      </c>
      <c r="M2962" t="s">
        <v>53</v>
      </c>
      <c r="N2962" t="s">
        <v>53</v>
      </c>
      <c r="O2962" t="s">
        <v>53</v>
      </c>
      <c r="P2962" t="s">
        <v>53</v>
      </c>
      <c r="Q2962" t="s">
        <v>53</v>
      </c>
    </row>
    <row r="2963" spans="1:17" x14ac:dyDescent="0.2">
      <c r="A2963" s="30" t="str">
        <f>IF(C2963&amp;G2963&amp;D2963&lt;&gt;'Funnel setup'!$K$3&amp;'Funnel setup'!$K$4&amp;'Funnel setup'!$K$5,".",IF(A2962=".",1,A2962+1))</f>
        <v>.</v>
      </c>
      <c r="B2963" s="431" t="str">
        <f t="shared" si="46"/>
        <v>Hip Replacement RevisionCCG of GP PracticeNHS HORSHAM AND MID SUSSEX CCG (09X)Oxford Hip Score</v>
      </c>
      <c r="C2963" t="s">
        <v>247</v>
      </c>
      <c r="D2963" t="s">
        <v>87</v>
      </c>
      <c r="E2963" t="s">
        <v>519</v>
      </c>
      <c r="F2963" t="s">
        <v>520</v>
      </c>
      <c r="G2963" t="s">
        <v>14</v>
      </c>
      <c r="H2963">
        <v>15</v>
      </c>
      <c r="I2963">
        <v>19.533000000000001</v>
      </c>
      <c r="J2963">
        <v>37</v>
      </c>
      <c r="K2963">
        <v>17.466999999999999</v>
      </c>
      <c r="L2963">
        <v>13</v>
      </c>
      <c r="M2963">
        <v>0</v>
      </c>
      <c r="N2963">
        <v>2</v>
      </c>
      <c r="O2963" t="s">
        <v>53</v>
      </c>
      <c r="P2963" t="s">
        <v>53</v>
      </c>
      <c r="Q2963" t="s">
        <v>53</v>
      </c>
    </row>
    <row r="2964" spans="1:17" x14ac:dyDescent="0.2">
      <c r="A2964" s="30" t="str">
        <f>IF(C2964&amp;G2964&amp;D2964&lt;&gt;'Funnel setup'!$K$3&amp;'Funnel setup'!$K$4&amp;'Funnel setup'!$K$5,".",IF(A2963=".",1,A2963+1))</f>
        <v>.</v>
      </c>
      <c r="B2964" s="431" t="str">
        <f t="shared" si="46"/>
        <v>Hip Replacement RevisionCCG of GP PracticeNHS HOUNSLOW CCG (07Y)Oxford Hip Score</v>
      </c>
      <c r="C2964" t="s">
        <v>247</v>
      </c>
      <c r="D2964" t="s">
        <v>87</v>
      </c>
      <c r="E2964" t="s">
        <v>522</v>
      </c>
      <c r="F2964" t="s">
        <v>523</v>
      </c>
      <c r="G2964" t="s">
        <v>14</v>
      </c>
      <c r="H2964">
        <v>6</v>
      </c>
      <c r="I2964">
        <v>19.332999999999998</v>
      </c>
      <c r="J2964">
        <v>33.832999999999998</v>
      </c>
      <c r="K2964">
        <v>14.5</v>
      </c>
      <c r="L2964">
        <v>6</v>
      </c>
      <c r="M2964">
        <v>0</v>
      </c>
      <c r="N2964">
        <v>0</v>
      </c>
      <c r="O2964" t="s">
        <v>53</v>
      </c>
      <c r="P2964" t="s">
        <v>53</v>
      </c>
      <c r="Q2964" t="s">
        <v>53</v>
      </c>
    </row>
    <row r="2965" spans="1:17" x14ac:dyDescent="0.2">
      <c r="A2965" s="30" t="str">
        <f>IF(C2965&amp;G2965&amp;D2965&lt;&gt;'Funnel setup'!$K$3&amp;'Funnel setup'!$K$4&amp;'Funnel setup'!$K$5,".",IF(A2964=".",1,A2964+1))</f>
        <v>.</v>
      </c>
      <c r="B2965" s="431" t="str">
        <f t="shared" si="46"/>
        <v>Hip Replacement RevisionCCG of GP PracticeNHS HULL CCG (03F)Oxford Hip Score</v>
      </c>
      <c r="C2965" t="s">
        <v>247</v>
      </c>
      <c r="D2965" t="s">
        <v>87</v>
      </c>
      <c r="E2965" t="s">
        <v>525</v>
      </c>
      <c r="F2965" t="s">
        <v>526</v>
      </c>
      <c r="G2965" t="s">
        <v>14</v>
      </c>
      <c r="H2965">
        <v>17</v>
      </c>
      <c r="I2965">
        <v>21.706</v>
      </c>
      <c r="J2965">
        <v>33.529000000000003</v>
      </c>
      <c r="K2965">
        <v>11.824</v>
      </c>
      <c r="L2965">
        <v>15</v>
      </c>
      <c r="M2965">
        <v>1</v>
      </c>
      <c r="N2965">
        <v>1</v>
      </c>
      <c r="O2965" t="s">
        <v>53</v>
      </c>
      <c r="P2965" t="s">
        <v>53</v>
      </c>
      <c r="Q2965" t="s">
        <v>53</v>
      </c>
    </row>
    <row r="2966" spans="1:17" x14ac:dyDescent="0.2">
      <c r="A2966" s="30" t="str">
        <f>IF(C2966&amp;G2966&amp;D2966&lt;&gt;'Funnel setup'!$K$3&amp;'Funnel setup'!$K$4&amp;'Funnel setup'!$K$5,".",IF(A2965=".",1,A2965+1))</f>
        <v>.</v>
      </c>
      <c r="B2966" s="431" t="str">
        <f t="shared" si="46"/>
        <v>Hip Replacement RevisionCCG of GP PracticeNHS IPSWICH AND EAST SUFFOLK CCG (06L)Oxford Hip Score</v>
      </c>
      <c r="C2966" t="s">
        <v>247</v>
      </c>
      <c r="D2966" t="s">
        <v>87</v>
      </c>
      <c r="E2966" t="s">
        <v>528</v>
      </c>
      <c r="F2966" t="s">
        <v>529</v>
      </c>
      <c r="G2966" t="s">
        <v>14</v>
      </c>
      <c r="H2966">
        <v>10</v>
      </c>
      <c r="I2966">
        <v>19.399999999999999</v>
      </c>
      <c r="J2966">
        <v>34.1</v>
      </c>
      <c r="K2966">
        <v>14.7</v>
      </c>
      <c r="L2966">
        <v>9</v>
      </c>
      <c r="M2966">
        <v>1</v>
      </c>
      <c r="N2966">
        <v>0</v>
      </c>
      <c r="O2966" t="s">
        <v>53</v>
      </c>
      <c r="P2966" t="s">
        <v>53</v>
      </c>
      <c r="Q2966" t="s">
        <v>53</v>
      </c>
    </row>
    <row r="2967" spans="1:17" x14ac:dyDescent="0.2">
      <c r="A2967" s="30" t="str">
        <f>IF(C2967&amp;G2967&amp;D2967&lt;&gt;'Funnel setup'!$K$3&amp;'Funnel setup'!$K$4&amp;'Funnel setup'!$K$5,".",IF(A2966=".",1,A2966+1))</f>
        <v>.</v>
      </c>
      <c r="B2967" s="431" t="str">
        <f t="shared" si="46"/>
        <v>Hip Replacement RevisionCCG of GP PracticeNHS ISLE OF WIGHT CCG (10L)Oxford Hip Score</v>
      </c>
      <c r="C2967" t="s">
        <v>247</v>
      </c>
      <c r="D2967" t="s">
        <v>87</v>
      </c>
      <c r="E2967" t="s">
        <v>531</v>
      </c>
      <c r="F2967" t="s">
        <v>532</v>
      </c>
      <c r="G2967" t="s">
        <v>14</v>
      </c>
      <c r="H2967" t="s">
        <v>53</v>
      </c>
      <c r="I2967" t="s">
        <v>53</v>
      </c>
      <c r="J2967" t="s">
        <v>53</v>
      </c>
      <c r="K2967" t="s">
        <v>53</v>
      </c>
      <c r="L2967" t="s">
        <v>53</v>
      </c>
      <c r="M2967" t="s">
        <v>53</v>
      </c>
      <c r="N2967" t="s">
        <v>53</v>
      </c>
      <c r="O2967" t="s">
        <v>53</v>
      </c>
      <c r="P2967" t="s">
        <v>53</v>
      </c>
      <c r="Q2967" t="s">
        <v>53</v>
      </c>
    </row>
    <row r="2968" spans="1:17" x14ac:dyDescent="0.2">
      <c r="A2968" s="30" t="str">
        <f>IF(C2968&amp;G2968&amp;D2968&lt;&gt;'Funnel setup'!$K$3&amp;'Funnel setup'!$K$4&amp;'Funnel setup'!$K$5,".",IF(A2967=".",1,A2967+1))</f>
        <v>.</v>
      </c>
      <c r="B2968" s="431" t="str">
        <f t="shared" si="46"/>
        <v>Hip Replacement RevisionCCG of GP PracticeNHS ISLINGTON CCG (08H)Oxford Hip Score</v>
      </c>
      <c r="C2968" t="s">
        <v>247</v>
      </c>
      <c r="D2968" t="s">
        <v>87</v>
      </c>
      <c r="E2968" t="s">
        <v>534</v>
      </c>
      <c r="F2968" t="s">
        <v>535</v>
      </c>
      <c r="G2968" t="s">
        <v>14</v>
      </c>
      <c r="H2968" t="s">
        <v>53</v>
      </c>
      <c r="I2968" t="s">
        <v>53</v>
      </c>
      <c r="J2968" t="s">
        <v>53</v>
      </c>
      <c r="K2968" t="s">
        <v>53</v>
      </c>
      <c r="L2968" t="s">
        <v>53</v>
      </c>
      <c r="M2968" t="s">
        <v>53</v>
      </c>
      <c r="N2968" t="s">
        <v>53</v>
      </c>
      <c r="O2968" t="s">
        <v>53</v>
      </c>
      <c r="P2968" t="s">
        <v>53</v>
      </c>
      <c r="Q2968" t="s">
        <v>53</v>
      </c>
    </row>
    <row r="2969" spans="1:17" x14ac:dyDescent="0.2">
      <c r="A2969" s="30" t="str">
        <f>IF(C2969&amp;G2969&amp;D2969&lt;&gt;'Funnel setup'!$K$3&amp;'Funnel setup'!$K$4&amp;'Funnel setup'!$K$5,".",IF(A2968=".",1,A2968+1))</f>
        <v>.</v>
      </c>
      <c r="B2969" s="431" t="str">
        <f t="shared" si="46"/>
        <v>Hip Replacement RevisionCCG of GP PracticeNHS KERNOW CCG (11N)Oxford Hip Score</v>
      </c>
      <c r="C2969" t="s">
        <v>247</v>
      </c>
      <c r="D2969" t="s">
        <v>87</v>
      </c>
      <c r="E2969" t="s">
        <v>537</v>
      </c>
      <c r="F2969" t="s">
        <v>538</v>
      </c>
      <c r="G2969" t="s">
        <v>14</v>
      </c>
      <c r="H2969">
        <v>58</v>
      </c>
      <c r="I2969">
        <v>23.552</v>
      </c>
      <c r="J2969">
        <v>33.430999999999997</v>
      </c>
      <c r="K2969">
        <v>9.8789999999999996</v>
      </c>
      <c r="L2969">
        <v>51</v>
      </c>
      <c r="M2969">
        <v>0</v>
      </c>
      <c r="N2969">
        <v>7</v>
      </c>
      <c r="O2969">
        <v>32.53</v>
      </c>
      <c r="P2969">
        <v>11.65527129</v>
      </c>
      <c r="Q2969">
        <v>9.6359999999999992</v>
      </c>
    </row>
    <row r="2970" spans="1:17" x14ac:dyDescent="0.2">
      <c r="A2970" s="30" t="str">
        <f>IF(C2970&amp;G2970&amp;D2970&lt;&gt;'Funnel setup'!$K$3&amp;'Funnel setup'!$K$4&amp;'Funnel setup'!$K$5,".",IF(A2969=".",1,A2969+1))</f>
        <v>.</v>
      </c>
      <c r="B2970" s="431" t="str">
        <f t="shared" si="46"/>
        <v>Hip Replacement RevisionCCG of GP PracticeNHS KINGSTON CCG (08J)Oxford Hip Score</v>
      </c>
      <c r="C2970" t="s">
        <v>247</v>
      </c>
      <c r="D2970" t="s">
        <v>87</v>
      </c>
      <c r="E2970" t="s">
        <v>540</v>
      </c>
      <c r="F2970" t="s">
        <v>541</v>
      </c>
      <c r="G2970" t="s">
        <v>14</v>
      </c>
      <c r="H2970">
        <v>6</v>
      </c>
      <c r="I2970">
        <v>26.5</v>
      </c>
      <c r="J2970">
        <v>35.832999999999998</v>
      </c>
      <c r="K2970">
        <v>9.3330000000000002</v>
      </c>
      <c r="L2970">
        <v>6</v>
      </c>
      <c r="M2970">
        <v>0</v>
      </c>
      <c r="N2970">
        <v>0</v>
      </c>
      <c r="O2970" t="s">
        <v>53</v>
      </c>
      <c r="P2970" t="s">
        <v>53</v>
      </c>
      <c r="Q2970" t="s">
        <v>53</v>
      </c>
    </row>
    <row r="2971" spans="1:17" x14ac:dyDescent="0.2">
      <c r="A2971" s="30" t="str">
        <f>IF(C2971&amp;G2971&amp;D2971&lt;&gt;'Funnel setup'!$K$3&amp;'Funnel setup'!$K$4&amp;'Funnel setup'!$K$5,".",IF(A2970=".",1,A2970+1))</f>
        <v>.</v>
      </c>
      <c r="B2971" s="431" t="str">
        <f t="shared" si="46"/>
        <v>Hip Replacement RevisionCCG of GP PracticeNHS KNOWSLEY CCG (01J)Oxford Hip Score</v>
      </c>
      <c r="C2971" t="s">
        <v>247</v>
      </c>
      <c r="D2971" t="s">
        <v>87</v>
      </c>
      <c r="E2971" t="s">
        <v>543</v>
      </c>
      <c r="F2971" t="s">
        <v>544</v>
      </c>
      <c r="G2971" t="s">
        <v>14</v>
      </c>
      <c r="H2971" t="s">
        <v>53</v>
      </c>
      <c r="I2971" t="s">
        <v>53</v>
      </c>
      <c r="J2971" t="s">
        <v>53</v>
      </c>
      <c r="K2971" t="s">
        <v>53</v>
      </c>
      <c r="L2971" t="s">
        <v>53</v>
      </c>
      <c r="M2971" t="s">
        <v>53</v>
      </c>
      <c r="N2971" t="s">
        <v>53</v>
      </c>
      <c r="O2971" t="s">
        <v>53</v>
      </c>
      <c r="P2971" t="s">
        <v>53</v>
      </c>
      <c r="Q2971" t="s">
        <v>53</v>
      </c>
    </row>
    <row r="2972" spans="1:17" x14ac:dyDescent="0.2">
      <c r="A2972" s="30" t="str">
        <f>IF(C2972&amp;G2972&amp;D2972&lt;&gt;'Funnel setup'!$K$3&amp;'Funnel setup'!$K$4&amp;'Funnel setup'!$K$5,".",IF(A2971=".",1,A2971+1))</f>
        <v>.</v>
      </c>
      <c r="B2972" s="431" t="str">
        <f t="shared" si="46"/>
        <v>Hip Replacement RevisionCCG of GP PracticeNHS LAMBETH CCG (08K)Oxford Hip Score</v>
      </c>
      <c r="C2972" t="s">
        <v>247</v>
      </c>
      <c r="D2972" t="s">
        <v>87</v>
      </c>
      <c r="E2972" t="s">
        <v>546</v>
      </c>
      <c r="F2972" t="s">
        <v>547</v>
      </c>
      <c r="G2972" t="s">
        <v>14</v>
      </c>
      <c r="H2972" t="s">
        <v>53</v>
      </c>
      <c r="I2972" t="s">
        <v>53</v>
      </c>
      <c r="J2972" t="s">
        <v>53</v>
      </c>
      <c r="K2972" t="s">
        <v>53</v>
      </c>
      <c r="L2972" t="s">
        <v>53</v>
      </c>
      <c r="M2972" t="s">
        <v>53</v>
      </c>
      <c r="N2972" t="s">
        <v>53</v>
      </c>
      <c r="O2972" t="s">
        <v>53</v>
      </c>
      <c r="P2972" t="s">
        <v>53</v>
      </c>
      <c r="Q2972" t="s">
        <v>53</v>
      </c>
    </row>
    <row r="2973" spans="1:17" x14ac:dyDescent="0.2">
      <c r="A2973" s="30" t="str">
        <f>IF(C2973&amp;G2973&amp;D2973&lt;&gt;'Funnel setup'!$K$3&amp;'Funnel setup'!$K$4&amp;'Funnel setup'!$K$5,".",IF(A2972=".",1,A2972+1))</f>
        <v>.</v>
      </c>
      <c r="B2973" s="431" t="str">
        <f t="shared" si="46"/>
        <v>Hip Replacement RevisionCCG of GP PracticeNHS LANCASHIRE NORTH CCG (01K)Oxford Hip Score</v>
      </c>
      <c r="C2973" t="s">
        <v>247</v>
      </c>
      <c r="D2973" t="s">
        <v>87</v>
      </c>
      <c r="E2973" t="s">
        <v>549</v>
      </c>
      <c r="F2973" t="s">
        <v>550</v>
      </c>
      <c r="G2973" t="s">
        <v>14</v>
      </c>
      <c r="H2973">
        <v>9</v>
      </c>
      <c r="I2973">
        <v>15.555999999999999</v>
      </c>
      <c r="J2973">
        <v>35.222000000000001</v>
      </c>
      <c r="K2973">
        <v>19.667000000000002</v>
      </c>
      <c r="L2973">
        <v>9</v>
      </c>
      <c r="M2973">
        <v>0</v>
      </c>
      <c r="N2973">
        <v>0</v>
      </c>
      <c r="O2973" t="s">
        <v>53</v>
      </c>
      <c r="P2973" t="s">
        <v>53</v>
      </c>
      <c r="Q2973" t="s">
        <v>53</v>
      </c>
    </row>
    <row r="2974" spans="1:17" x14ac:dyDescent="0.2">
      <c r="A2974" s="30" t="str">
        <f>IF(C2974&amp;G2974&amp;D2974&lt;&gt;'Funnel setup'!$K$3&amp;'Funnel setup'!$K$4&amp;'Funnel setup'!$K$5,".",IF(A2973=".",1,A2973+1))</f>
        <v>.</v>
      </c>
      <c r="B2974" s="431" t="str">
        <f t="shared" si="46"/>
        <v>Hip Replacement RevisionCCG of GP PracticeNHS LEEDS NORTH CCG (02V)Oxford Hip Score</v>
      </c>
      <c r="C2974" t="s">
        <v>247</v>
      </c>
      <c r="D2974" t="s">
        <v>87</v>
      </c>
      <c r="E2974" t="s">
        <v>552</v>
      </c>
      <c r="F2974" t="s">
        <v>337</v>
      </c>
      <c r="G2974" t="s">
        <v>14</v>
      </c>
      <c r="H2974" t="s">
        <v>53</v>
      </c>
      <c r="I2974" t="s">
        <v>53</v>
      </c>
      <c r="J2974" t="s">
        <v>53</v>
      </c>
      <c r="K2974" t="s">
        <v>53</v>
      </c>
      <c r="L2974" t="s">
        <v>53</v>
      </c>
      <c r="M2974" t="s">
        <v>53</v>
      </c>
      <c r="N2974" t="s">
        <v>53</v>
      </c>
      <c r="O2974" t="s">
        <v>53</v>
      </c>
      <c r="P2974" t="s">
        <v>53</v>
      </c>
      <c r="Q2974" t="s">
        <v>53</v>
      </c>
    </row>
    <row r="2975" spans="1:17" x14ac:dyDescent="0.2">
      <c r="A2975" s="30" t="str">
        <f>IF(C2975&amp;G2975&amp;D2975&lt;&gt;'Funnel setup'!$K$3&amp;'Funnel setup'!$K$4&amp;'Funnel setup'!$K$5,".",IF(A2974=".",1,A2974+1))</f>
        <v>.</v>
      </c>
      <c r="B2975" s="431" t="str">
        <f t="shared" si="46"/>
        <v>Hip Replacement RevisionCCG of GP PracticeNHS LEEDS SOUTH AND EAST CCG (03G)Oxford Hip Score</v>
      </c>
      <c r="C2975" t="s">
        <v>247</v>
      </c>
      <c r="D2975" t="s">
        <v>87</v>
      </c>
      <c r="E2975" t="s">
        <v>396</v>
      </c>
      <c r="F2975" t="s">
        <v>397</v>
      </c>
      <c r="G2975" t="s">
        <v>14</v>
      </c>
      <c r="H2975" t="s">
        <v>53</v>
      </c>
      <c r="I2975" t="s">
        <v>53</v>
      </c>
      <c r="J2975" t="s">
        <v>53</v>
      </c>
      <c r="K2975" t="s">
        <v>53</v>
      </c>
      <c r="L2975" t="s">
        <v>53</v>
      </c>
      <c r="M2975" t="s">
        <v>53</v>
      </c>
      <c r="N2975" t="s">
        <v>53</v>
      </c>
      <c r="O2975" t="s">
        <v>53</v>
      </c>
      <c r="P2975" t="s">
        <v>53</v>
      </c>
      <c r="Q2975" t="s">
        <v>53</v>
      </c>
    </row>
    <row r="2976" spans="1:17" x14ac:dyDescent="0.2">
      <c r="A2976" s="30" t="str">
        <f>IF(C2976&amp;G2976&amp;D2976&lt;&gt;'Funnel setup'!$K$3&amp;'Funnel setup'!$K$4&amp;'Funnel setup'!$K$5,".",IF(A2975=".",1,A2975+1))</f>
        <v>.</v>
      </c>
      <c r="B2976" s="431" t="str">
        <f t="shared" si="46"/>
        <v>Hip Replacement RevisionCCG of GP PracticeNHS LEEDS WEST CCG (03C)Oxford Hip Score</v>
      </c>
      <c r="C2976" t="s">
        <v>247</v>
      </c>
      <c r="D2976" t="s">
        <v>87</v>
      </c>
      <c r="E2976" t="s">
        <v>399</v>
      </c>
      <c r="F2976" t="s">
        <v>400</v>
      </c>
      <c r="G2976" t="s">
        <v>14</v>
      </c>
      <c r="H2976">
        <v>9</v>
      </c>
      <c r="I2976">
        <v>24.222000000000001</v>
      </c>
      <c r="J2976">
        <v>38.889000000000003</v>
      </c>
      <c r="K2976">
        <v>14.667</v>
      </c>
      <c r="L2976">
        <v>9</v>
      </c>
      <c r="M2976">
        <v>0</v>
      </c>
      <c r="N2976">
        <v>0</v>
      </c>
      <c r="O2976" t="s">
        <v>53</v>
      </c>
      <c r="P2976" t="s">
        <v>53</v>
      </c>
      <c r="Q2976" t="s">
        <v>53</v>
      </c>
    </row>
    <row r="2977" spans="1:17" x14ac:dyDescent="0.2">
      <c r="A2977" s="30" t="str">
        <f>IF(C2977&amp;G2977&amp;D2977&lt;&gt;'Funnel setup'!$K$3&amp;'Funnel setup'!$K$4&amp;'Funnel setup'!$K$5,".",IF(A2976=".",1,A2976+1))</f>
        <v>.</v>
      </c>
      <c r="B2977" s="431" t="str">
        <f t="shared" si="46"/>
        <v>Hip Replacement RevisionCCG of GP PracticeNHS LEICESTER CITY CCG (04C)Oxford Hip Score</v>
      </c>
      <c r="C2977" t="s">
        <v>247</v>
      </c>
      <c r="D2977" t="s">
        <v>87</v>
      </c>
      <c r="E2977" t="s">
        <v>554</v>
      </c>
      <c r="F2977" t="s">
        <v>555</v>
      </c>
      <c r="G2977" t="s">
        <v>14</v>
      </c>
      <c r="H2977">
        <v>7</v>
      </c>
      <c r="I2977">
        <v>17.428999999999998</v>
      </c>
      <c r="J2977">
        <v>20.713999999999999</v>
      </c>
      <c r="K2977">
        <v>3.286</v>
      </c>
      <c r="L2977">
        <v>5</v>
      </c>
      <c r="M2977">
        <v>0</v>
      </c>
      <c r="N2977">
        <v>2</v>
      </c>
      <c r="O2977" t="s">
        <v>53</v>
      </c>
      <c r="P2977" t="s">
        <v>53</v>
      </c>
      <c r="Q2977" t="s">
        <v>53</v>
      </c>
    </row>
    <row r="2978" spans="1:17" x14ac:dyDescent="0.2">
      <c r="A2978" s="30" t="str">
        <f>IF(C2978&amp;G2978&amp;D2978&lt;&gt;'Funnel setup'!$K$3&amp;'Funnel setup'!$K$4&amp;'Funnel setup'!$K$5,".",IF(A2977=".",1,A2977+1))</f>
        <v>.</v>
      </c>
      <c r="B2978" s="431" t="str">
        <f t="shared" si="46"/>
        <v>Hip Replacement RevisionCCG of GP PracticeNHS LEWISHAM CCG (08L)Oxford Hip Score</v>
      </c>
      <c r="C2978" t="s">
        <v>247</v>
      </c>
      <c r="D2978" t="s">
        <v>87</v>
      </c>
      <c r="E2978" t="s">
        <v>557</v>
      </c>
      <c r="F2978" t="s">
        <v>558</v>
      </c>
      <c r="G2978" t="s">
        <v>14</v>
      </c>
      <c r="H2978" t="s">
        <v>53</v>
      </c>
      <c r="I2978" t="s">
        <v>53</v>
      </c>
      <c r="J2978" t="s">
        <v>53</v>
      </c>
      <c r="K2978" t="s">
        <v>53</v>
      </c>
      <c r="L2978" t="s">
        <v>53</v>
      </c>
      <c r="M2978" t="s">
        <v>53</v>
      </c>
      <c r="N2978" t="s">
        <v>53</v>
      </c>
      <c r="O2978" t="s">
        <v>53</v>
      </c>
      <c r="P2978" t="s">
        <v>53</v>
      </c>
      <c r="Q2978" t="s">
        <v>53</v>
      </c>
    </row>
    <row r="2979" spans="1:17" x14ac:dyDescent="0.2">
      <c r="A2979" s="30" t="str">
        <f>IF(C2979&amp;G2979&amp;D2979&lt;&gt;'Funnel setup'!$K$3&amp;'Funnel setup'!$K$4&amp;'Funnel setup'!$K$5,".",IF(A2978=".",1,A2978+1))</f>
        <v>.</v>
      </c>
      <c r="B2979" s="431" t="str">
        <f t="shared" si="46"/>
        <v>Hip Replacement RevisionCCG of GP PracticeNHS LINCOLNSHIRE EAST CCG (03T)Oxford Hip Score</v>
      </c>
      <c r="C2979" t="s">
        <v>247</v>
      </c>
      <c r="D2979" t="s">
        <v>87</v>
      </c>
      <c r="E2979" t="s">
        <v>560</v>
      </c>
      <c r="F2979" t="s">
        <v>561</v>
      </c>
      <c r="G2979" t="s">
        <v>14</v>
      </c>
      <c r="H2979">
        <v>24</v>
      </c>
      <c r="I2979">
        <v>18.917000000000002</v>
      </c>
      <c r="J2979">
        <v>30.082999999999998</v>
      </c>
      <c r="K2979">
        <v>11.167</v>
      </c>
      <c r="L2979">
        <v>19</v>
      </c>
      <c r="M2979">
        <v>2</v>
      </c>
      <c r="N2979">
        <v>3</v>
      </c>
      <c r="O2979" t="s">
        <v>53</v>
      </c>
      <c r="P2979" t="s">
        <v>53</v>
      </c>
      <c r="Q2979" t="s">
        <v>53</v>
      </c>
    </row>
    <row r="2980" spans="1:17" x14ac:dyDescent="0.2">
      <c r="A2980" s="30" t="str">
        <f>IF(C2980&amp;G2980&amp;D2980&lt;&gt;'Funnel setup'!$K$3&amp;'Funnel setup'!$K$4&amp;'Funnel setup'!$K$5,".",IF(A2979=".",1,A2979+1))</f>
        <v>.</v>
      </c>
      <c r="B2980" s="431" t="str">
        <f t="shared" si="46"/>
        <v>Hip Replacement RevisionCCG of GP PracticeNHS LINCOLNSHIRE WEST CCG (04D)Oxford Hip Score</v>
      </c>
      <c r="C2980" t="s">
        <v>247</v>
      </c>
      <c r="D2980" t="s">
        <v>87</v>
      </c>
      <c r="E2980" t="s">
        <v>408</v>
      </c>
      <c r="F2980" t="s">
        <v>409</v>
      </c>
      <c r="G2980" t="s">
        <v>14</v>
      </c>
      <c r="H2980">
        <v>7</v>
      </c>
      <c r="I2980">
        <v>21.143000000000001</v>
      </c>
      <c r="J2980">
        <v>38.286000000000001</v>
      </c>
      <c r="K2980">
        <v>17.143000000000001</v>
      </c>
      <c r="L2980">
        <v>6</v>
      </c>
      <c r="M2980">
        <v>0</v>
      </c>
      <c r="N2980">
        <v>1</v>
      </c>
      <c r="O2980" t="s">
        <v>53</v>
      </c>
      <c r="P2980" t="s">
        <v>53</v>
      </c>
      <c r="Q2980" t="s">
        <v>53</v>
      </c>
    </row>
    <row r="2981" spans="1:17" x14ac:dyDescent="0.2">
      <c r="A2981" s="30" t="str">
        <f>IF(C2981&amp;G2981&amp;D2981&lt;&gt;'Funnel setup'!$K$3&amp;'Funnel setup'!$K$4&amp;'Funnel setup'!$K$5,".",IF(A2980=".",1,A2980+1))</f>
        <v>.</v>
      </c>
      <c r="B2981" s="431" t="str">
        <f t="shared" si="46"/>
        <v>Hip Replacement RevisionCCG of GP PracticeNHS LIVERPOOL CCG (99A)Oxford Hip Score</v>
      </c>
      <c r="C2981" t="s">
        <v>247</v>
      </c>
      <c r="D2981" t="s">
        <v>87</v>
      </c>
      <c r="E2981" t="s">
        <v>411</v>
      </c>
      <c r="F2981" t="s">
        <v>412</v>
      </c>
      <c r="G2981" t="s">
        <v>14</v>
      </c>
      <c r="H2981">
        <v>10</v>
      </c>
      <c r="I2981">
        <v>11.6</v>
      </c>
      <c r="J2981">
        <v>23.5</v>
      </c>
      <c r="K2981">
        <v>11.9</v>
      </c>
      <c r="L2981">
        <v>8</v>
      </c>
      <c r="M2981">
        <v>0</v>
      </c>
      <c r="N2981">
        <v>2</v>
      </c>
      <c r="O2981" t="s">
        <v>53</v>
      </c>
      <c r="P2981" t="s">
        <v>53</v>
      </c>
      <c r="Q2981" t="s">
        <v>53</v>
      </c>
    </row>
    <row r="2982" spans="1:17" x14ac:dyDescent="0.2">
      <c r="A2982" s="30" t="str">
        <f>IF(C2982&amp;G2982&amp;D2982&lt;&gt;'Funnel setup'!$K$3&amp;'Funnel setup'!$K$4&amp;'Funnel setup'!$K$5,".",IF(A2981=".",1,A2981+1))</f>
        <v>.</v>
      </c>
      <c r="B2982" s="431" t="str">
        <f t="shared" si="46"/>
        <v>Hip Replacement RevisionCCG of GP PracticeNHS LUTON CCG (06P)Oxford Hip Score</v>
      </c>
      <c r="C2982" t="s">
        <v>247</v>
      </c>
      <c r="D2982" t="s">
        <v>87</v>
      </c>
      <c r="E2982" t="s">
        <v>414</v>
      </c>
      <c r="F2982" t="s">
        <v>415</v>
      </c>
      <c r="G2982" t="s">
        <v>14</v>
      </c>
      <c r="H2982">
        <v>13</v>
      </c>
      <c r="I2982">
        <v>18</v>
      </c>
      <c r="J2982">
        <v>38.384999999999998</v>
      </c>
      <c r="K2982">
        <v>20.385000000000002</v>
      </c>
      <c r="L2982">
        <v>13</v>
      </c>
      <c r="M2982">
        <v>0</v>
      </c>
      <c r="N2982">
        <v>0</v>
      </c>
      <c r="O2982" t="s">
        <v>53</v>
      </c>
      <c r="P2982" t="s">
        <v>53</v>
      </c>
      <c r="Q2982" t="s">
        <v>53</v>
      </c>
    </row>
    <row r="2983" spans="1:17" x14ac:dyDescent="0.2">
      <c r="A2983" s="30" t="str">
        <f>IF(C2983&amp;G2983&amp;D2983&lt;&gt;'Funnel setup'!$K$3&amp;'Funnel setup'!$K$4&amp;'Funnel setup'!$K$5,".",IF(A2982=".",1,A2982+1))</f>
        <v>.</v>
      </c>
      <c r="B2983" s="431" t="str">
        <f t="shared" si="46"/>
        <v>Hip Replacement RevisionCCG of GP PracticeNHS MANSFIELD AND ASHFIELD CCG (04E)Oxford Hip Score</v>
      </c>
      <c r="C2983" t="s">
        <v>247</v>
      </c>
      <c r="D2983" t="s">
        <v>87</v>
      </c>
      <c r="E2983" t="s">
        <v>417</v>
      </c>
      <c r="F2983" t="s">
        <v>418</v>
      </c>
      <c r="G2983" t="s">
        <v>14</v>
      </c>
      <c r="H2983">
        <v>6</v>
      </c>
      <c r="I2983">
        <v>24.5</v>
      </c>
      <c r="J2983">
        <v>30.167000000000002</v>
      </c>
      <c r="K2983">
        <v>5.6669999999999998</v>
      </c>
      <c r="L2983">
        <v>5</v>
      </c>
      <c r="M2983">
        <v>0</v>
      </c>
      <c r="N2983">
        <v>1</v>
      </c>
      <c r="O2983" t="s">
        <v>53</v>
      </c>
      <c r="P2983" t="s">
        <v>53</v>
      </c>
      <c r="Q2983" t="s">
        <v>53</v>
      </c>
    </row>
    <row r="2984" spans="1:17" x14ac:dyDescent="0.2">
      <c r="A2984" s="30" t="str">
        <f>IF(C2984&amp;G2984&amp;D2984&lt;&gt;'Funnel setup'!$K$3&amp;'Funnel setup'!$K$4&amp;'Funnel setup'!$K$5,".",IF(A2983=".",1,A2983+1))</f>
        <v>.</v>
      </c>
      <c r="B2984" s="431" t="str">
        <f t="shared" si="46"/>
        <v>Hip Replacement RevisionCCG of GP PracticeNHS MEDWAY CCG (09W)Oxford Hip Score</v>
      </c>
      <c r="C2984" t="s">
        <v>247</v>
      </c>
      <c r="D2984" t="s">
        <v>87</v>
      </c>
      <c r="E2984" t="s">
        <v>610</v>
      </c>
      <c r="F2984" t="s">
        <v>611</v>
      </c>
      <c r="G2984" t="s">
        <v>14</v>
      </c>
      <c r="H2984">
        <v>21</v>
      </c>
      <c r="I2984">
        <v>21.332999999999998</v>
      </c>
      <c r="J2984">
        <v>31.047999999999998</v>
      </c>
      <c r="K2984">
        <v>9.7140000000000004</v>
      </c>
      <c r="L2984">
        <v>16</v>
      </c>
      <c r="M2984">
        <v>1</v>
      </c>
      <c r="N2984">
        <v>4</v>
      </c>
      <c r="O2984" t="s">
        <v>53</v>
      </c>
      <c r="P2984" t="s">
        <v>53</v>
      </c>
      <c r="Q2984" t="s">
        <v>53</v>
      </c>
    </row>
    <row r="2985" spans="1:17" x14ac:dyDescent="0.2">
      <c r="A2985" s="30" t="str">
        <f>IF(C2985&amp;G2985&amp;D2985&lt;&gt;'Funnel setup'!$K$3&amp;'Funnel setup'!$K$4&amp;'Funnel setup'!$K$5,".",IF(A2984=".",1,A2984+1))</f>
        <v>.</v>
      </c>
      <c r="B2985" s="431" t="str">
        <f t="shared" si="46"/>
        <v>Hip Replacement RevisionCCG of GP PracticeNHS MERTON CCG (08R)Oxford Hip Score</v>
      </c>
      <c r="C2985" t="s">
        <v>247</v>
      </c>
      <c r="D2985" t="s">
        <v>87</v>
      </c>
      <c r="E2985" t="s">
        <v>613</v>
      </c>
      <c r="F2985" t="s">
        <v>614</v>
      </c>
      <c r="G2985" t="s">
        <v>14</v>
      </c>
      <c r="H2985" t="s">
        <v>53</v>
      </c>
      <c r="I2985" t="s">
        <v>53</v>
      </c>
      <c r="J2985" t="s">
        <v>53</v>
      </c>
      <c r="K2985" t="s">
        <v>53</v>
      </c>
      <c r="L2985" t="s">
        <v>53</v>
      </c>
      <c r="M2985" t="s">
        <v>53</v>
      </c>
      <c r="N2985" t="s">
        <v>53</v>
      </c>
      <c r="O2985" t="s">
        <v>53</v>
      </c>
      <c r="P2985" t="s">
        <v>53</v>
      </c>
      <c r="Q2985" t="s">
        <v>53</v>
      </c>
    </row>
    <row r="2986" spans="1:17" x14ac:dyDescent="0.2">
      <c r="A2986" s="30" t="str">
        <f>IF(C2986&amp;G2986&amp;D2986&lt;&gt;'Funnel setup'!$K$3&amp;'Funnel setup'!$K$4&amp;'Funnel setup'!$K$5,".",IF(A2985=".",1,A2985+1))</f>
        <v>.</v>
      </c>
      <c r="B2986" s="431" t="str">
        <f t="shared" si="46"/>
        <v>Hip Replacement RevisionCCG of GP PracticeNHS MID ESSEX CCG (06Q)Oxford Hip Score</v>
      </c>
      <c r="C2986" t="s">
        <v>247</v>
      </c>
      <c r="D2986" t="s">
        <v>87</v>
      </c>
      <c r="E2986" t="s">
        <v>616</v>
      </c>
      <c r="F2986" t="s">
        <v>617</v>
      </c>
      <c r="G2986" t="s">
        <v>14</v>
      </c>
      <c r="H2986">
        <v>22</v>
      </c>
      <c r="I2986">
        <v>21.773</v>
      </c>
      <c r="J2986">
        <v>36.454999999999998</v>
      </c>
      <c r="K2986">
        <v>14.682</v>
      </c>
      <c r="L2986">
        <v>19</v>
      </c>
      <c r="M2986">
        <v>0</v>
      </c>
      <c r="N2986">
        <v>3</v>
      </c>
      <c r="O2986" t="s">
        <v>53</v>
      </c>
      <c r="P2986" t="s">
        <v>53</v>
      </c>
      <c r="Q2986" t="s">
        <v>53</v>
      </c>
    </row>
    <row r="2987" spans="1:17" x14ac:dyDescent="0.2">
      <c r="A2987" s="30" t="str">
        <f>IF(C2987&amp;G2987&amp;D2987&lt;&gt;'Funnel setup'!$K$3&amp;'Funnel setup'!$K$4&amp;'Funnel setup'!$K$5,".",IF(A2986=".",1,A2986+1))</f>
        <v>.</v>
      </c>
      <c r="B2987" s="431" t="str">
        <f t="shared" si="46"/>
        <v>Hip Replacement RevisionCCG of GP PracticeNHS MILTON KEYNES CCG (04F)Oxford Hip Score</v>
      </c>
      <c r="C2987" t="s">
        <v>247</v>
      </c>
      <c r="D2987" t="s">
        <v>87</v>
      </c>
      <c r="E2987" t="s">
        <v>619</v>
      </c>
      <c r="F2987" t="s">
        <v>338</v>
      </c>
      <c r="G2987" t="s">
        <v>14</v>
      </c>
      <c r="H2987">
        <v>7</v>
      </c>
      <c r="I2987">
        <v>22.713999999999999</v>
      </c>
      <c r="J2987">
        <v>37.143000000000001</v>
      </c>
      <c r="K2987">
        <v>14.429</v>
      </c>
      <c r="L2987">
        <v>7</v>
      </c>
      <c r="M2987">
        <v>0</v>
      </c>
      <c r="N2987">
        <v>0</v>
      </c>
      <c r="O2987" t="s">
        <v>53</v>
      </c>
      <c r="P2987" t="s">
        <v>53</v>
      </c>
      <c r="Q2987" t="s">
        <v>53</v>
      </c>
    </row>
    <row r="2988" spans="1:17" x14ac:dyDescent="0.2">
      <c r="A2988" s="30" t="str">
        <f>IF(C2988&amp;G2988&amp;D2988&lt;&gt;'Funnel setup'!$K$3&amp;'Funnel setup'!$K$4&amp;'Funnel setup'!$K$5,".",IF(A2987=".",1,A2987+1))</f>
        <v>.</v>
      </c>
      <c r="B2988" s="431" t="str">
        <f t="shared" si="46"/>
        <v>Hip Replacement RevisionCCG of GP PracticeNHS NENE CCG (04G)Oxford Hip Score</v>
      </c>
      <c r="C2988" t="s">
        <v>247</v>
      </c>
      <c r="D2988" t="s">
        <v>87</v>
      </c>
      <c r="E2988" t="s">
        <v>621</v>
      </c>
      <c r="F2988" t="s">
        <v>622</v>
      </c>
      <c r="G2988" t="s">
        <v>14</v>
      </c>
      <c r="H2988">
        <v>43</v>
      </c>
      <c r="I2988">
        <v>21.14</v>
      </c>
      <c r="J2988">
        <v>34.023000000000003</v>
      </c>
      <c r="K2988">
        <v>12.884</v>
      </c>
      <c r="L2988">
        <v>39</v>
      </c>
      <c r="M2988">
        <v>1</v>
      </c>
      <c r="N2988">
        <v>3</v>
      </c>
      <c r="O2988">
        <v>34.508000000000003</v>
      </c>
      <c r="P2988">
        <v>13.63270955</v>
      </c>
      <c r="Q2988">
        <v>8.2789999999999999</v>
      </c>
    </row>
    <row r="2989" spans="1:17" x14ac:dyDescent="0.2">
      <c r="A2989" s="30" t="str">
        <f>IF(C2989&amp;G2989&amp;D2989&lt;&gt;'Funnel setup'!$K$3&amp;'Funnel setup'!$K$4&amp;'Funnel setup'!$K$5,".",IF(A2988=".",1,A2988+1))</f>
        <v>.</v>
      </c>
      <c r="B2989" s="431" t="str">
        <f t="shared" si="46"/>
        <v>Hip Replacement RevisionCCG of GP PracticeNHS NEWARK &amp; SHERWOOD CCG (04H)Oxford Hip Score</v>
      </c>
      <c r="C2989" t="s">
        <v>247</v>
      </c>
      <c r="D2989" t="s">
        <v>87</v>
      </c>
      <c r="E2989" t="s">
        <v>624</v>
      </c>
      <c r="F2989" t="s">
        <v>625</v>
      </c>
      <c r="G2989" t="s">
        <v>14</v>
      </c>
      <c r="H2989">
        <v>7</v>
      </c>
      <c r="I2989">
        <v>17.286000000000001</v>
      </c>
      <c r="J2989">
        <v>30.428999999999998</v>
      </c>
      <c r="K2989">
        <v>13.143000000000001</v>
      </c>
      <c r="L2989">
        <v>7</v>
      </c>
      <c r="M2989">
        <v>0</v>
      </c>
      <c r="N2989">
        <v>0</v>
      </c>
      <c r="O2989" t="s">
        <v>53</v>
      </c>
      <c r="P2989" t="s">
        <v>53</v>
      </c>
      <c r="Q2989" t="s">
        <v>53</v>
      </c>
    </row>
    <row r="2990" spans="1:17" x14ac:dyDescent="0.2">
      <c r="A2990" s="30" t="str">
        <f>IF(C2990&amp;G2990&amp;D2990&lt;&gt;'Funnel setup'!$K$3&amp;'Funnel setup'!$K$4&amp;'Funnel setup'!$K$5,".",IF(A2989=".",1,A2989+1))</f>
        <v>.</v>
      </c>
      <c r="B2990" s="431" t="str">
        <f t="shared" si="46"/>
        <v>Hip Replacement RevisionCCG of GP PracticeNHS NEWBURY AND DISTRICT CCG (10M)Oxford Hip Score</v>
      </c>
      <c r="C2990" t="s">
        <v>247</v>
      </c>
      <c r="D2990" t="s">
        <v>87</v>
      </c>
      <c r="E2990" t="s">
        <v>627</v>
      </c>
      <c r="F2990" t="s">
        <v>628</v>
      </c>
      <c r="G2990" t="s">
        <v>14</v>
      </c>
      <c r="H2990" t="s">
        <v>53</v>
      </c>
      <c r="I2990" t="s">
        <v>53</v>
      </c>
      <c r="J2990" t="s">
        <v>53</v>
      </c>
      <c r="K2990" t="s">
        <v>53</v>
      </c>
      <c r="L2990" t="s">
        <v>53</v>
      </c>
      <c r="M2990" t="s">
        <v>53</v>
      </c>
      <c r="N2990" t="s">
        <v>53</v>
      </c>
      <c r="O2990" t="s">
        <v>53</v>
      </c>
      <c r="P2990" t="s">
        <v>53</v>
      </c>
      <c r="Q2990" t="s">
        <v>53</v>
      </c>
    </row>
    <row r="2991" spans="1:17" x14ac:dyDescent="0.2">
      <c r="A2991" s="30" t="str">
        <f>IF(C2991&amp;G2991&amp;D2991&lt;&gt;'Funnel setup'!$K$3&amp;'Funnel setup'!$K$4&amp;'Funnel setup'!$K$5,".",IF(A2990=".",1,A2990+1))</f>
        <v>.</v>
      </c>
      <c r="B2991" s="431" t="str">
        <f t="shared" si="46"/>
        <v>Hip Replacement RevisionCCG of GP PracticeNHS NEWCASTLE GATESHEAD CCG (13T)Oxford Hip Score</v>
      </c>
      <c r="C2991" t="s">
        <v>247</v>
      </c>
      <c r="D2991" t="s">
        <v>87</v>
      </c>
      <c r="E2991" t="s">
        <v>6553</v>
      </c>
      <c r="F2991" t="s">
        <v>6543</v>
      </c>
      <c r="G2991" t="s">
        <v>14</v>
      </c>
      <c r="H2991">
        <v>25</v>
      </c>
      <c r="I2991">
        <v>23.68</v>
      </c>
      <c r="J2991">
        <v>38.159999999999997</v>
      </c>
      <c r="K2991">
        <v>14.48</v>
      </c>
      <c r="L2991">
        <v>22</v>
      </c>
      <c r="M2991">
        <v>0</v>
      </c>
      <c r="N2991">
        <v>3</v>
      </c>
      <c r="O2991" t="s">
        <v>53</v>
      </c>
      <c r="P2991" t="s">
        <v>53</v>
      </c>
      <c r="Q2991" t="s">
        <v>53</v>
      </c>
    </row>
    <row r="2992" spans="1:17" x14ac:dyDescent="0.2">
      <c r="A2992" s="30" t="str">
        <f>IF(C2992&amp;G2992&amp;D2992&lt;&gt;'Funnel setup'!$K$3&amp;'Funnel setup'!$K$4&amp;'Funnel setup'!$K$5,".",IF(A2991=".",1,A2991+1))</f>
        <v>.</v>
      </c>
      <c r="B2992" s="431" t="str">
        <f t="shared" si="46"/>
        <v>Hip Replacement RevisionCCG of GP PracticeNHS NEWHAM CCG (08M)Oxford Hip Score</v>
      </c>
      <c r="C2992" t="s">
        <v>247</v>
      </c>
      <c r="D2992" t="s">
        <v>87</v>
      </c>
      <c r="E2992" t="s">
        <v>630</v>
      </c>
      <c r="F2992" t="s">
        <v>631</v>
      </c>
      <c r="G2992" t="s">
        <v>14</v>
      </c>
      <c r="H2992" t="s">
        <v>53</v>
      </c>
      <c r="I2992" t="s">
        <v>53</v>
      </c>
      <c r="J2992" t="s">
        <v>53</v>
      </c>
      <c r="K2992" t="s">
        <v>53</v>
      </c>
      <c r="L2992" t="s">
        <v>53</v>
      </c>
      <c r="M2992" t="s">
        <v>53</v>
      </c>
      <c r="N2992" t="s">
        <v>53</v>
      </c>
      <c r="O2992" t="s">
        <v>53</v>
      </c>
      <c r="P2992" t="s">
        <v>53</v>
      </c>
      <c r="Q2992" t="s">
        <v>53</v>
      </c>
    </row>
    <row r="2993" spans="1:17" x14ac:dyDescent="0.2">
      <c r="A2993" s="30" t="str">
        <f>IF(C2993&amp;G2993&amp;D2993&lt;&gt;'Funnel setup'!$K$3&amp;'Funnel setup'!$K$4&amp;'Funnel setup'!$K$5,".",IF(A2992=".",1,A2992+1))</f>
        <v>.</v>
      </c>
      <c r="B2993" s="431" t="str">
        <f t="shared" si="46"/>
        <v>Hip Replacement RevisionCCG of GP PracticeNHS NORTH &amp; WEST READING CCG (10N)Oxford Hip Score</v>
      </c>
      <c r="C2993" t="s">
        <v>247</v>
      </c>
      <c r="D2993" t="s">
        <v>87</v>
      </c>
      <c r="E2993" t="s">
        <v>633</v>
      </c>
      <c r="F2993" t="s">
        <v>634</v>
      </c>
      <c r="G2993" t="s">
        <v>14</v>
      </c>
      <c r="H2993">
        <v>7</v>
      </c>
      <c r="I2993">
        <v>24.856999999999999</v>
      </c>
      <c r="J2993">
        <v>33.429000000000002</v>
      </c>
      <c r="K2993">
        <v>8.5709999999999997</v>
      </c>
      <c r="L2993">
        <v>5</v>
      </c>
      <c r="M2993">
        <v>1</v>
      </c>
      <c r="N2993">
        <v>1</v>
      </c>
      <c r="O2993" t="s">
        <v>53</v>
      </c>
      <c r="P2993" t="s">
        <v>53</v>
      </c>
      <c r="Q2993" t="s">
        <v>53</v>
      </c>
    </row>
    <row r="2994" spans="1:17" x14ac:dyDescent="0.2">
      <c r="A2994" s="30" t="str">
        <f>IF(C2994&amp;G2994&amp;D2994&lt;&gt;'Funnel setup'!$K$3&amp;'Funnel setup'!$K$4&amp;'Funnel setup'!$K$5,".",IF(A2993=".",1,A2993+1))</f>
        <v>.</v>
      </c>
      <c r="B2994" s="431" t="str">
        <f t="shared" si="46"/>
        <v>Hip Replacement RevisionCCG of GP PracticeNHS NORTH DERBYSHIRE CCG (04J)Oxford Hip Score</v>
      </c>
      <c r="C2994" t="s">
        <v>247</v>
      </c>
      <c r="D2994" t="s">
        <v>87</v>
      </c>
      <c r="E2994" t="s">
        <v>636</v>
      </c>
      <c r="F2994" t="s">
        <v>637</v>
      </c>
      <c r="G2994" t="s">
        <v>14</v>
      </c>
      <c r="H2994">
        <v>18</v>
      </c>
      <c r="I2994">
        <v>22.167000000000002</v>
      </c>
      <c r="J2994">
        <v>33.777999999999999</v>
      </c>
      <c r="K2994">
        <v>11.611000000000001</v>
      </c>
      <c r="L2994">
        <v>16</v>
      </c>
      <c r="M2994">
        <v>0</v>
      </c>
      <c r="N2994">
        <v>2</v>
      </c>
      <c r="O2994" t="s">
        <v>53</v>
      </c>
      <c r="P2994" t="s">
        <v>53</v>
      </c>
      <c r="Q2994" t="s">
        <v>53</v>
      </c>
    </row>
    <row r="2995" spans="1:17" x14ac:dyDescent="0.2">
      <c r="A2995" s="30" t="str">
        <f>IF(C2995&amp;G2995&amp;D2995&lt;&gt;'Funnel setup'!$K$3&amp;'Funnel setup'!$K$4&amp;'Funnel setup'!$K$5,".",IF(A2994=".",1,A2994+1))</f>
        <v>.</v>
      </c>
      <c r="B2995" s="431" t="str">
        <f t="shared" si="46"/>
        <v>Hip Replacement RevisionCCG of GP PracticeNHS NORTH DURHAM CCG (00J)Oxford Hip Score</v>
      </c>
      <c r="C2995" t="s">
        <v>247</v>
      </c>
      <c r="D2995" t="s">
        <v>87</v>
      </c>
      <c r="E2995" t="s">
        <v>639</v>
      </c>
      <c r="F2995" t="s">
        <v>640</v>
      </c>
      <c r="G2995" t="s">
        <v>14</v>
      </c>
      <c r="H2995">
        <v>14</v>
      </c>
      <c r="I2995">
        <v>15.5</v>
      </c>
      <c r="J2995">
        <v>28.5</v>
      </c>
      <c r="K2995">
        <v>13</v>
      </c>
      <c r="L2995">
        <v>12</v>
      </c>
      <c r="M2995">
        <v>0</v>
      </c>
      <c r="N2995">
        <v>2</v>
      </c>
      <c r="O2995" t="s">
        <v>53</v>
      </c>
      <c r="P2995" t="s">
        <v>53</v>
      </c>
      <c r="Q2995" t="s">
        <v>53</v>
      </c>
    </row>
    <row r="2996" spans="1:17" x14ac:dyDescent="0.2">
      <c r="A2996" s="30" t="str">
        <f>IF(C2996&amp;G2996&amp;D2996&lt;&gt;'Funnel setup'!$K$3&amp;'Funnel setup'!$K$4&amp;'Funnel setup'!$K$5,".",IF(A2995=".",1,A2995+1))</f>
        <v>.</v>
      </c>
      <c r="B2996" s="431" t="str">
        <f t="shared" si="46"/>
        <v>Hip Replacement RevisionCCG of GP PracticeNHS NORTH EAST ESSEX CCG (06T)Oxford Hip Score</v>
      </c>
      <c r="C2996" t="s">
        <v>247</v>
      </c>
      <c r="D2996" t="s">
        <v>87</v>
      </c>
      <c r="E2996" t="s">
        <v>642</v>
      </c>
      <c r="F2996" t="s">
        <v>643</v>
      </c>
      <c r="G2996" t="s">
        <v>14</v>
      </c>
      <c r="H2996">
        <v>21</v>
      </c>
      <c r="I2996">
        <v>17.190000000000001</v>
      </c>
      <c r="J2996">
        <v>30.238</v>
      </c>
      <c r="K2996">
        <v>13.048</v>
      </c>
      <c r="L2996">
        <v>19</v>
      </c>
      <c r="M2996">
        <v>1</v>
      </c>
      <c r="N2996">
        <v>1</v>
      </c>
      <c r="O2996" t="s">
        <v>53</v>
      </c>
      <c r="P2996" t="s">
        <v>53</v>
      </c>
      <c r="Q2996" t="s">
        <v>53</v>
      </c>
    </row>
    <row r="2997" spans="1:17" x14ac:dyDescent="0.2">
      <c r="A2997" s="30" t="str">
        <f>IF(C2997&amp;G2997&amp;D2997&lt;&gt;'Funnel setup'!$K$3&amp;'Funnel setup'!$K$4&amp;'Funnel setup'!$K$5,".",IF(A2996=".",1,A2996+1))</f>
        <v>.</v>
      </c>
      <c r="B2997" s="431" t="str">
        <f t="shared" si="46"/>
        <v>Hip Replacement RevisionCCG of GP PracticeNHS NORTH EAST HAMPSHIRE AND FARNHAM CCG (99M)Oxford Hip Score</v>
      </c>
      <c r="C2997" t="s">
        <v>247</v>
      </c>
      <c r="D2997" t="s">
        <v>87</v>
      </c>
      <c r="E2997" t="s">
        <v>645</v>
      </c>
      <c r="F2997" t="s">
        <v>646</v>
      </c>
      <c r="G2997" t="s">
        <v>14</v>
      </c>
      <c r="H2997">
        <v>16</v>
      </c>
      <c r="I2997">
        <v>23.812999999999999</v>
      </c>
      <c r="J2997">
        <v>37.688000000000002</v>
      </c>
      <c r="K2997">
        <v>13.875</v>
      </c>
      <c r="L2997">
        <v>14</v>
      </c>
      <c r="M2997">
        <v>0</v>
      </c>
      <c r="N2997">
        <v>2</v>
      </c>
      <c r="O2997" t="s">
        <v>53</v>
      </c>
      <c r="P2997" t="s">
        <v>53</v>
      </c>
      <c r="Q2997" t="s">
        <v>53</v>
      </c>
    </row>
    <row r="2998" spans="1:17" x14ac:dyDescent="0.2">
      <c r="A2998" s="30" t="str">
        <f>IF(C2998&amp;G2998&amp;D2998&lt;&gt;'Funnel setup'!$K$3&amp;'Funnel setup'!$K$4&amp;'Funnel setup'!$K$5,".",IF(A2997=".",1,A2997+1))</f>
        <v>.</v>
      </c>
      <c r="B2998" s="431" t="str">
        <f t="shared" si="46"/>
        <v>Hip Replacement RevisionCCG of GP PracticeNHS NORTH EAST LINCOLNSHIRE CCG (03H)Oxford Hip Score</v>
      </c>
      <c r="C2998" t="s">
        <v>247</v>
      </c>
      <c r="D2998" t="s">
        <v>87</v>
      </c>
      <c r="E2998" t="s">
        <v>648</v>
      </c>
      <c r="F2998" t="s">
        <v>649</v>
      </c>
      <c r="G2998" t="s">
        <v>14</v>
      </c>
      <c r="H2998" t="s">
        <v>53</v>
      </c>
      <c r="I2998" t="s">
        <v>53</v>
      </c>
      <c r="J2998" t="s">
        <v>53</v>
      </c>
      <c r="K2998" t="s">
        <v>53</v>
      </c>
      <c r="L2998" t="s">
        <v>53</v>
      </c>
      <c r="M2998" t="s">
        <v>53</v>
      </c>
      <c r="N2998" t="s">
        <v>53</v>
      </c>
      <c r="O2998" t="s">
        <v>53</v>
      </c>
      <c r="P2998" t="s">
        <v>53</v>
      </c>
      <c r="Q2998" t="s">
        <v>53</v>
      </c>
    </row>
    <row r="2999" spans="1:17" x14ac:dyDescent="0.2">
      <c r="A2999" s="30" t="str">
        <f>IF(C2999&amp;G2999&amp;D2999&lt;&gt;'Funnel setup'!$K$3&amp;'Funnel setup'!$K$4&amp;'Funnel setup'!$K$5,".",IF(A2998=".",1,A2998+1))</f>
        <v>.</v>
      </c>
      <c r="B2999" s="431" t="str">
        <f t="shared" si="46"/>
        <v>Hip Replacement RevisionCCG of GP PracticeNHS NORTH HAMPSHIRE CCG (10J)Oxford Hip Score</v>
      </c>
      <c r="C2999" t="s">
        <v>247</v>
      </c>
      <c r="D2999" t="s">
        <v>87</v>
      </c>
      <c r="E2999" t="s">
        <v>651</v>
      </c>
      <c r="F2999" t="s">
        <v>652</v>
      </c>
      <c r="G2999" t="s">
        <v>14</v>
      </c>
      <c r="H2999">
        <v>15</v>
      </c>
      <c r="I2999">
        <v>26.332999999999998</v>
      </c>
      <c r="J2999">
        <v>38.4</v>
      </c>
      <c r="K2999">
        <v>12.067</v>
      </c>
      <c r="L2999">
        <v>14</v>
      </c>
      <c r="M2999">
        <v>0</v>
      </c>
      <c r="N2999">
        <v>1</v>
      </c>
      <c r="O2999" t="s">
        <v>53</v>
      </c>
      <c r="P2999" t="s">
        <v>53</v>
      </c>
      <c r="Q2999" t="s">
        <v>53</v>
      </c>
    </row>
    <row r="3000" spans="1:17" x14ac:dyDescent="0.2">
      <c r="A3000" s="30" t="str">
        <f>IF(C3000&amp;G3000&amp;D3000&lt;&gt;'Funnel setup'!$K$3&amp;'Funnel setup'!$K$4&amp;'Funnel setup'!$K$5,".",IF(A2999=".",1,A2999+1))</f>
        <v>.</v>
      </c>
      <c r="B3000" s="431" t="str">
        <f t="shared" si="46"/>
        <v>Hip Replacement RevisionCCG of GP PracticeNHS NORTH KIRKLEES CCG (03J)Oxford Hip Score</v>
      </c>
      <c r="C3000" t="s">
        <v>247</v>
      </c>
      <c r="D3000" t="s">
        <v>87</v>
      </c>
      <c r="E3000" t="s">
        <v>654</v>
      </c>
      <c r="F3000" t="s">
        <v>655</v>
      </c>
      <c r="G3000" t="s">
        <v>14</v>
      </c>
      <c r="H3000" t="s">
        <v>53</v>
      </c>
      <c r="I3000" t="s">
        <v>53</v>
      </c>
      <c r="J3000" t="s">
        <v>53</v>
      </c>
      <c r="K3000" t="s">
        <v>53</v>
      </c>
      <c r="L3000" t="s">
        <v>53</v>
      </c>
      <c r="M3000" t="s">
        <v>53</v>
      </c>
      <c r="N3000" t="s">
        <v>53</v>
      </c>
      <c r="O3000" t="s">
        <v>53</v>
      </c>
      <c r="P3000" t="s">
        <v>53</v>
      </c>
      <c r="Q3000" t="s">
        <v>53</v>
      </c>
    </row>
    <row r="3001" spans="1:17" x14ac:dyDescent="0.2">
      <c r="A3001" s="30" t="str">
        <f>IF(C3001&amp;G3001&amp;D3001&lt;&gt;'Funnel setup'!$K$3&amp;'Funnel setup'!$K$4&amp;'Funnel setup'!$K$5,".",IF(A3000=".",1,A3000+1))</f>
        <v>.</v>
      </c>
      <c r="B3001" s="431" t="str">
        <f t="shared" si="46"/>
        <v>Hip Replacement RevisionCCG of GP PracticeNHS NORTH LINCOLNSHIRE CCG (03K)Oxford Hip Score</v>
      </c>
      <c r="C3001" t="s">
        <v>247</v>
      </c>
      <c r="D3001" t="s">
        <v>87</v>
      </c>
      <c r="E3001" t="s">
        <v>657</v>
      </c>
      <c r="F3001" t="s">
        <v>658</v>
      </c>
      <c r="G3001" t="s">
        <v>14</v>
      </c>
      <c r="H3001">
        <v>9</v>
      </c>
      <c r="I3001">
        <v>18.443999999999999</v>
      </c>
      <c r="J3001">
        <v>32.777999999999999</v>
      </c>
      <c r="K3001">
        <v>14.333</v>
      </c>
      <c r="L3001">
        <v>8</v>
      </c>
      <c r="M3001">
        <v>0</v>
      </c>
      <c r="N3001">
        <v>1</v>
      </c>
      <c r="O3001" t="s">
        <v>53</v>
      </c>
      <c r="P3001" t="s">
        <v>53</v>
      </c>
      <c r="Q3001" t="s">
        <v>53</v>
      </c>
    </row>
    <row r="3002" spans="1:17" x14ac:dyDescent="0.2">
      <c r="A3002" s="30" t="str">
        <f>IF(C3002&amp;G3002&amp;D3002&lt;&gt;'Funnel setup'!$K$3&amp;'Funnel setup'!$K$4&amp;'Funnel setup'!$K$5,".",IF(A3001=".",1,A3001+1))</f>
        <v>.</v>
      </c>
      <c r="B3002" s="431" t="str">
        <f t="shared" si="46"/>
        <v>Hip Replacement RevisionCCG of GP PracticeNHS NORTH MANCHESTER CCG (01M)Oxford Hip Score</v>
      </c>
      <c r="C3002" t="s">
        <v>247</v>
      </c>
      <c r="D3002" t="s">
        <v>87</v>
      </c>
      <c r="E3002" t="s">
        <v>660</v>
      </c>
      <c r="F3002" t="s">
        <v>661</v>
      </c>
      <c r="G3002" t="s">
        <v>14</v>
      </c>
      <c r="H3002">
        <v>7</v>
      </c>
      <c r="I3002">
        <v>24.428999999999998</v>
      </c>
      <c r="J3002">
        <v>32.713999999999999</v>
      </c>
      <c r="K3002">
        <v>8.2859999999999996</v>
      </c>
      <c r="L3002">
        <v>5</v>
      </c>
      <c r="M3002">
        <v>0</v>
      </c>
      <c r="N3002">
        <v>2</v>
      </c>
      <c r="O3002" t="s">
        <v>53</v>
      </c>
      <c r="P3002" t="s">
        <v>53</v>
      </c>
      <c r="Q3002" t="s">
        <v>53</v>
      </c>
    </row>
    <row r="3003" spans="1:17" x14ac:dyDescent="0.2">
      <c r="A3003" s="30" t="str">
        <f>IF(C3003&amp;G3003&amp;D3003&lt;&gt;'Funnel setup'!$K$3&amp;'Funnel setup'!$K$4&amp;'Funnel setup'!$K$5,".",IF(A3002=".",1,A3002+1))</f>
        <v>.</v>
      </c>
      <c r="B3003" s="431" t="str">
        <f t="shared" si="46"/>
        <v>Hip Replacement RevisionCCG of GP PracticeNHS NORTH NORFOLK CCG (06V)Oxford Hip Score</v>
      </c>
      <c r="C3003" t="s">
        <v>247</v>
      </c>
      <c r="D3003" t="s">
        <v>87</v>
      </c>
      <c r="E3003" t="s">
        <v>663</v>
      </c>
      <c r="F3003" t="s">
        <v>664</v>
      </c>
      <c r="G3003" t="s">
        <v>14</v>
      </c>
      <c r="H3003">
        <v>16</v>
      </c>
      <c r="I3003">
        <v>20.937999999999999</v>
      </c>
      <c r="J3003">
        <v>32.938000000000002</v>
      </c>
      <c r="K3003">
        <v>12</v>
      </c>
      <c r="L3003">
        <v>14</v>
      </c>
      <c r="M3003">
        <v>0</v>
      </c>
      <c r="N3003">
        <v>2</v>
      </c>
      <c r="O3003" t="s">
        <v>53</v>
      </c>
      <c r="P3003" t="s">
        <v>53</v>
      </c>
      <c r="Q3003" t="s">
        <v>53</v>
      </c>
    </row>
    <row r="3004" spans="1:17" x14ac:dyDescent="0.2">
      <c r="A3004" s="30" t="str">
        <f>IF(C3004&amp;G3004&amp;D3004&lt;&gt;'Funnel setup'!$K$3&amp;'Funnel setup'!$K$4&amp;'Funnel setup'!$K$5,".",IF(A3003=".",1,A3003+1))</f>
        <v>.</v>
      </c>
      <c r="B3004" s="431" t="str">
        <f t="shared" si="46"/>
        <v>Hip Replacement RevisionCCG of GP PracticeNHS NORTH SOMERSET CCG (11T)Oxford Hip Score</v>
      </c>
      <c r="C3004" t="s">
        <v>247</v>
      </c>
      <c r="D3004" t="s">
        <v>87</v>
      </c>
      <c r="E3004" t="s">
        <v>666</v>
      </c>
      <c r="F3004" t="s">
        <v>667</v>
      </c>
      <c r="G3004" t="s">
        <v>14</v>
      </c>
      <c r="H3004">
        <v>16</v>
      </c>
      <c r="I3004">
        <v>27.562999999999999</v>
      </c>
      <c r="J3004">
        <v>37.938000000000002</v>
      </c>
      <c r="K3004">
        <v>10.375</v>
      </c>
      <c r="L3004">
        <v>13</v>
      </c>
      <c r="M3004">
        <v>2</v>
      </c>
      <c r="N3004">
        <v>1</v>
      </c>
      <c r="O3004" t="s">
        <v>53</v>
      </c>
      <c r="P3004" t="s">
        <v>53</v>
      </c>
      <c r="Q3004" t="s">
        <v>53</v>
      </c>
    </row>
    <row r="3005" spans="1:17" x14ac:dyDescent="0.2">
      <c r="A3005" s="30" t="str">
        <f>IF(C3005&amp;G3005&amp;D3005&lt;&gt;'Funnel setup'!$K$3&amp;'Funnel setup'!$K$4&amp;'Funnel setup'!$K$5,".",IF(A3004=".",1,A3004+1))</f>
        <v>.</v>
      </c>
      <c r="B3005" s="431" t="str">
        <f t="shared" si="46"/>
        <v>Hip Replacement RevisionCCG of GP PracticeNHS NORTH STAFFORDSHIRE CCG (05G)Oxford Hip Score</v>
      </c>
      <c r="C3005" t="s">
        <v>247</v>
      </c>
      <c r="D3005" t="s">
        <v>87</v>
      </c>
      <c r="E3005" t="s">
        <v>669</v>
      </c>
      <c r="F3005" t="s">
        <v>670</v>
      </c>
      <c r="G3005" t="s">
        <v>14</v>
      </c>
      <c r="H3005">
        <v>9</v>
      </c>
      <c r="I3005">
        <v>17.888999999999999</v>
      </c>
      <c r="J3005">
        <v>30.667000000000002</v>
      </c>
      <c r="K3005">
        <v>12.778</v>
      </c>
      <c r="L3005">
        <v>8</v>
      </c>
      <c r="M3005">
        <v>0</v>
      </c>
      <c r="N3005">
        <v>1</v>
      </c>
      <c r="O3005" t="s">
        <v>53</v>
      </c>
      <c r="P3005" t="s">
        <v>53</v>
      </c>
      <c r="Q3005" t="s">
        <v>53</v>
      </c>
    </row>
    <row r="3006" spans="1:17" x14ac:dyDescent="0.2">
      <c r="A3006" s="30" t="str">
        <f>IF(C3006&amp;G3006&amp;D3006&lt;&gt;'Funnel setup'!$K$3&amp;'Funnel setup'!$K$4&amp;'Funnel setup'!$K$5,".",IF(A3005=".",1,A3005+1))</f>
        <v>.</v>
      </c>
      <c r="B3006" s="431" t="str">
        <f t="shared" si="46"/>
        <v>Hip Replacement RevisionCCG of GP PracticeNHS NORTH TYNESIDE CCG (99C)Oxford Hip Score</v>
      </c>
      <c r="C3006" t="s">
        <v>247</v>
      </c>
      <c r="D3006" t="s">
        <v>87</v>
      </c>
      <c r="E3006" t="s">
        <v>672</v>
      </c>
      <c r="F3006" t="s">
        <v>673</v>
      </c>
      <c r="G3006" t="s">
        <v>14</v>
      </c>
      <c r="H3006">
        <v>14</v>
      </c>
      <c r="I3006">
        <v>20.856999999999999</v>
      </c>
      <c r="J3006">
        <v>33.429000000000002</v>
      </c>
      <c r="K3006">
        <v>12.571</v>
      </c>
      <c r="L3006">
        <v>13</v>
      </c>
      <c r="M3006">
        <v>0</v>
      </c>
      <c r="N3006">
        <v>1</v>
      </c>
      <c r="O3006" t="s">
        <v>53</v>
      </c>
      <c r="P3006" t="s">
        <v>53</v>
      </c>
      <c r="Q3006" t="s">
        <v>53</v>
      </c>
    </row>
    <row r="3007" spans="1:17" x14ac:dyDescent="0.2">
      <c r="A3007" s="30" t="str">
        <f>IF(C3007&amp;G3007&amp;D3007&lt;&gt;'Funnel setup'!$K$3&amp;'Funnel setup'!$K$4&amp;'Funnel setup'!$K$5,".",IF(A3006=".",1,A3006+1))</f>
        <v>.</v>
      </c>
      <c r="B3007" s="431" t="str">
        <f t="shared" si="46"/>
        <v>Hip Replacement RevisionCCG of GP PracticeNHS NORTH WEST SURREY CCG (09Y)Oxford Hip Score</v>
      </c>
      <c r="C3007" t="s">
        <v>247</v>
      </c>
      <c r="D3007" t="s">
        <v>87</v>
      </c>
      <c r="E3007" t="s">
        <v>675</v>
      </c>
      <c r="F3007" t="s">
        <v>676</v>
      </c>
      <c r="G3007" t="s">
        <v>14</v>
      </c>
      <c r="H3007">
        <v>18</v>
      </c>
      <c r="I3007">
        <v>24.667000000000002</v>
      </c>
      <c r="J3007">
        <v>34.5</v>
      </c>
      <c r="K3007">
        <v>9.8330000000000002</v>
      </c>
      <c r="L3007">
        <v>16</v>
      </c>
      <c r="M3007">
        <v>1</v>
      </c>
      <c r="N3007">
        <v>1</v>
      </c>
      <c r="O3007" t="s">
        <v>53</v>
      </c>
      <c r="P3007" t="s">
        <v>53</v>
      </c>
      <c r="Q3007" t="s">
        <v>53</v>
      </c>
    </row>
    <row r="3008" spans="1:17" x14ac:dyDescent="0.2">
      <c r="A3008" s="30" t="str">
        <f>IF(C3008&amp;G3008&amp;D3008&lt;&gt;'Funnel setup'!$K$3&amp;'Funnel setup'!$K$4&amp;'Funnel setup'!$K$5,".",IF(A3007=".",1,A3007+1))</f>
        <v>.</v>
      </c>
      <c r="B3008" s="431" t="str">
        <f t="shared" si="46"/>
        <v>Hip Replacement RevisionCCG of GP PracticeNHS NORTHERN, EASTERN AND WESTERN DEVON CCG (99P)Oxford Hip Score</v>
      </c>
      <c r="C3008" t="s">
        <v>247</v>
      </c>
      <c r="D3008" t="s">
        <v>87</v>
      </c>
      <c r="E3008" t="s">
        <v>678</v>
      </c>
      <c r="F3008" t="s">
        <v>679</v>
      </c>
      <c r="G3008" t="s">
        <v>14</v>
      </c>
      <c r="H3008">
        <v>78</v>
      </c>
      <c r="I3008">
        <v>21.050999999999998</v>
      </c>
      <c r="J3008">
        <v>35.590000000000003</v>
      </c>
      <c r="K3008">
        <v>14.538</v>
      </c>
      <c r="L3008">
        <v>69</v>
      </c>
      <c r="M3008">
        <v>1</v>
      </c>
      <c r="N3008">
        <v>8</v>
      </c>
      <c r="O3008">
        <v>35.537999999999997</v>
      </c>
      <c r="P3008">
        <v>14.66339616</v>
      </c>
      <c r="Q3008">
        <v>8.1549999999999994</v>
      </c>
    </row>
    <row r="3009" spans="1:17" x14ac:dyDescent="0.2">
      <c r="A3009" s="30" t="str">
        <f>IF(C3009&amp;G3009&amp;D3009&lt;&gt;'Funnel setup'!$K$3&amp;'Funnel setup'!$K$4&amp;'Funnel setup'!$K$5,".",IF(A3008=".",1,A3008+1))</f>
        <v>.</v>
      </c>
      <c r="B3009" s="431" t="str">
        <f t="shared" si="46"/>
        <v>Hip Replacement RevisionCCG of GP PracticeNHS NORTHUMBERLAND CCG (00L)Oxford Hip Score</v>
      </c>
      <c r="C3009" t="s">
        <v>247</v>
      </c>
      <c r="D3009" t="s">
        <v>87</v>
      </c>
      <c r="E3009" t="s">
        <v>681</v>
      </c>
      <c r="F3009" t="s">
        <v>336</v>
      </c>
      <c r="G3009" t="s">
        <v>14</v>
      </c>
      <c r="H3009">
        <v>14</v>
      </c>
      <c r="I3009">
        <v>16.928999999999998</v>
      </c>
      <c r="J3009">
        <v>31.713999999999999</v>
      </c>
      <c r="K3009">
        <v>14.786</v>
      </c>
      <c r="L3009">
        <v>11</v>
      </c>
      <c r="M3009">
        <v>0</v>
      </c>
      <c r="N3009">
        <v>3</v>
      </c>
      <c r="O3009" t="s">
        <v>53</v>
      </c>
      <c r="P3009" t="s">
        <v>53</v>
      </c>
      <c r="Q3009" t="s">
        <v>53</v>
      </c>
    </row>
    <row r="3010" spans="1:17" x14ac:dyDescent="0.2">
      <c r="A3010" s="30" t="str">
        <f>IF(C3010&amp;G3010&amp;D3010&lt;&gt;'Funnel setup'!$K$3&amp;'Funnel setup'!$K$4&amp;'Funnel setup'!$K$5,".",IF(A3009=".",1,A3009+1))</f>
        <v>.</v>
      </c>
      <c r="B3010" s="431" t="str">
        <f t="shared" si="46"/>
        <v>Hip Replacement RevisionCCG of GP PracticeNHS NORWICH CCG (06W)Oxford Hip Score</v>
      </c>
      <c r="C3010" t="s">
        <v>247</v>
      </c>
      <c r="D3010" t="s">
        <v>87</v>
      </c>
      <c r="E3010" t="s">
        <v>770</v>
      </c>
      <c r="F3010" t="s">
        <v>771</v>
      </c>
      <c r="G3010" t="s">
        <v>14</v>
      </c>
      <c r="H3010">
        <v>14</v>
      </c>
      <c r="I3010">
        <v>26.571000000000002</v>
      </c>
      <c r="J3010">
        <v>37.570999999999998</v>
      </c>
      <c r="K3010">
        <v>11</v>
      </c>
      <c r="L3010">
        <v>13</v>
      </c>
      <c r="M3010">
        <v>0</v>
      </c>
      <c r="N3010">
        <v>1</v>
      </c>
      <c r="O3010" t="s">
        <v>53</v>
      </c>
      <c r="P3010" t="s">
        <v>53</v>
      </c>
      <c r="Q3010" t="s">
        <v>53</v>
      </c>
    </row>
    <row r="3011" spans="1:17" x14ac:dyDescent="0.2">
      <c r="A3011" s="30" t="str">
        <f>IF(C3011&amp;G3011&amp;D3011&lt;&gt;'Funnel setup'!$K$3&amp;'Funnel setup'!$K$4&amp;'Funnel setup'!$K$5,".",IF(A3010=".",1,A3010+1))</f>
        <v>.</v>
      </c>
      <c r="B3011" s="431" t="str">
        <f t="shared" ref="B3011:B3074" si="47">C3011&amp;D3011&amp;F3011&amp;G3011</f>
        <v>Hip Replacement RevisionCCG of GP PracticeNHS NOTTINGHAM CITY CCG (04K)Oxford Hip Score</v>
      </c>
      <c r="C3011" t="s">
        <v>247</v>
      </c>
      <c r="D3011" t="s">
        <v>87</v>
      </c>
      <c r="E3011" t="s">
        <v>773</v>
      </c>
      <c r="F3011" t="s">
        <v>774</v>
      </c>
      <c r="G3011" t="s">
        <v>14</v>
      </c>
      <c r="H3011">
        <v>8</v>
      </c>
      <c r="I3011">
        <v>20.5</v>
      </c>
      <c r="J3011">
        <v>32.5</v>
      </c>
      <c r="K3011">
        <v>12</v>
      </c>
      <c r="L3011">
        <v>7</v>
      </c>
      <c r="M3011">
        <v>0</v>
      </c>
      <c r="N3011">
        <v>1</v>
      </c>
      <c r="O3011" t="s">
        <v>53</v>
      </c>
      <c r="P3011" t="s">
        <v>53</v>
      </c>
      <c r="Q3011" t="s">
        <v>53</v>
      </c>
    </row>
    <row r="3012" spans="1:17" x14ac:dyDescent="0.2">
      <c r="A3012" s="30" t="str">
        <f>IF(C3012&amp;G3012&amp;D3012&lt;&gt;'Funnel setup'!$K$3&amp;'Funnel setup'!$K$4&amp;'Funnel setup'!$K$5,".",IF(A3011=".",1,A3011+1))</f>
        <v>.</v>
      </c>
      <c r="B3012" s="431" t="str">
        <f t="shared" si="47"/>
        <v>Hip Replacement RevisionCCG of GP PracticeNHS NOTTINGHAM NORTH AND EAST CCG (04L)Oxford Hip Score</v>
      </c>
      <c r="C3012" t="s">
        <v>247</v>
      </c>
      <c r="D3012" t="s">
        <v>87</v>
      </c>
      <c r="E3012" t="s">
        <v>776</v>
      </c>
      <c r="F3012" t="s">
        <v>777</v>
      </c>
      <c r="G3012" t="s">
        <v>14</v>
      </c>
      <c r="H3012">
        <v>11</v>
      </c>
      <c r="I3012">
        <v>20.908999999999999</v>
      </c>
      <c r="J3012">
        <v>35.182000000000002</v>
      </c>
      <c r="K3012">
        <v>14.273</v>
      </c>
      <c r="L3012">
        <v>11</v>
      </c>
      <c r="M3012">
        <v>0</v>
      </c>
      <c r="N3012">
        <v>0</v>
      </c>
      <c r="O3012" t="s">
        <v>53</v>
      </c>
      <c r="P3012" t="s">
        <v>53</v>
      </c>
      <c r="Q3012" t="s">
        <v>53</v>
      </c>
    </row>
    <row r="3013" spans="1:17" x14ac:dyDescent="0.2">
      <c r="A3013" s="30" t="str">
        <f>IF(C3013&amp;G3013&amp;D3013&lt;&gt;'Funnel setup'!$K$3&amp;'Funnel setup'!$K$4&amp;'Funnel setup'!$K$5,".",IF(A3012=".",1,A3012+1))</f>
        <v>.</v>
      </c>
      <c r="B3013" s="431" t="str">
        <f t="shared" si="47"/>
        <v>Hip Replacement RevisionCCG of GP PracticeNHS NOTTINGHAM WEST CCG (04M)Oxford Hip Score</v>
      </c>
      <c r="C3013" t="s">
        <v>247</v>
      </c>
      <c r="D3013" t="s">
        <v>87</v>
      </c>
      <c r="E3013" t="s">
        <v>779</v>
      </c>
      <c r="F3013" t="s">
        <v>780</v>
      </c>
      <c r="G3013" t="s">
        <v>14</v>
      </c>
      <c r="H3013" t="s">
        <v>53</v>
      </c>
      <c r="I3013" t="s">
        <v>53</v>
      </c>
      <c r="J3013" t="s">
        <v>53</v>
      </c>
      <c r="K3013" t="s">
        <v>53</v>
      </c>
      <c r="L3013" t="s">
        <v>53</v>
      </c>
      <c r="M3013" t="s">
        <v>53</v>
      </c>
      <c r="N3013" t="s">
        <v>53</v>
      </c>
      <c r="O3013" t="s">
        <v>53</v>
      </c>
      <c r="P3013" t="s">
        <v>53</v>
      </c>
      <c r="Q3013" t="s">
        <v>53</v>
      </c>
    </row>
    <row r="3014" spans="1:17" x14ac:dyDescent="0.2">
      <c r="A3014" s="30" t="str">
        <f>IF(C3014&amp;G3014&amp;D3014&lt;&gt;'Funnel setup'!$K$3&amp;'Funnel setup'!$K$4&amp;'Funnel setup'!$K$5,".",IF(A3013=".",1,A3013+1))</f>
        <v>.</v>
      </c>
      <c r="B3014" s="431" t="str">
        <f t="shared" si="47"/>
        <v>Hip Replacement RevisionCCG of GP PracticeNHS OLDHAM CCG (00Y)Oxford Hip Score</v>
      </c>
      <c r="C3014" t="s">
        <v>247</v>
      </c>
      <c r="D3014" t="s">
        <v>87</v>
      </c>
      <c r="E3014" t="s">
        <v>782</v>
      </c>
      <c r="F3014" t="s">
        <v>783</v>
      </c>
      <c r="G3014" t="s">
        <v>14</v>
      </c>
      <c r="H3014">
        <v>12</v>
      </c>
      <c r="I3014">
        <v>22.25</v>
      </c>
      <c r="J3014">
        <v>30.332999999999998</v>
      </c>
      <c r="K3014">
        <v>8.0830000000000002</v>
      </c>
      <c r="L3014">
        <v>8</v>
      </c>
      <c r="M3014">
        <v>0</v>
      </c>
      <c r="N3014">
        <v>4</v>
      </c>
      <c r="O3014" t="s">
        <v>53</v>
      </c>
      <c r="P3014" t="s">
        <v>53</v>
      </c>
      <c r="Q3014" t="s">
        <v>53</v>
      </c>
    </row>
    <row r="3015" spans="1:17" x14ac:dyDescent="0.2">
      <c r="A3015" s="30" t="str">
        <f>IF(C3015&amp;G3015&amp;D3015&lt;&gt;'Funnel setup'!$K$3&amp;'Funnel setup'!$K$4&amp;'Funnel setup'!$K$5,".",IF(A3014=".",1,A3014+1))</f>
        <v>.</v>
      </c>
      <c r="B3015" s="431" t="str">
        <f t="shared" si="47"/>
        <v>Hip Replacement RevisionCCG of GP PracticeNHS OXFORDSHIRE CCG (10Q)Oxford Hip Score</v>
      </c>
      <c r="C3015" t="s">
        <v>247</v>
      </c>
      <c r="D3015" t="s">
        <v>87</v>
      </c>
      <c r="E3015" t="s">
        <v>785</v>
      </c>
      <c r="F3015" t="s">
        <v>786</v>
      </c>
      <c r="G3015" t="s">
        <v>14</v>
      </c>
      <c r="H3015">
        <v>39</v>
      </c>
      <c r="I3015">
        <v>21.359000000000002</v>
      </c>
      <c r="J3015">
        <v>37.103000000000002</v>
      </c>
      <c r="K3015">
        <v>15.744</v>
      </c>
      <c r="L3015">
        <v>35</v>
      </c>
      <c r="M3015">
        <v>1</v>
      </c>
      <c r="N3015">
        <v>3</v>
      </c>
      <c r="O3015">
        <v>35.72</v>
      </c>
      <c r="P3015">
        <v>14.844793689999999</v>
      </c>
      <c r="Q3015">
        <v>8.6530000000000005</v>
      </c>
    </row>
    <row r="3016" spans="1:17" x14ac:dyDescent="0.2">
      <c r="A3016" s="30" t="str">
        <f>IF(C3016&amp;G3016&amp;D3016&lt;&gt;'Funnel setup'!$K$3&amp;'Funnel setup'!$K$4&amp;'Funnel setup'!$K$5,".",IF(A3015=".",1,A3015+1))</f>
        <v>.</v>
      </c>
      <c r="B3016" s="431" t="str">
        <f t="shared" si="47"/>
        <v>Hip Replacement RevisionCCG of GP PracticeNHS PORTSMOUTH CCG (10R)Oxford Hip Score</v>
      </c>
      <c r="C3016" t="s">
        <v>247</v>
      </c>
      <c r="D3016" t="s">
        <v>87</v>
      </c>
      <c r="E3016" t="s">
        <v>788</v>
      </c>
      <c r="F3016" t="s">
        <v>789</v>
      </c>
      <c r="G3016" t="s">
        <v>14</v>
      </c>
      <c r="H3016" t="s">
        <v>53</v>
      </c>
      <c r="I3016" t="s">
        <v>53</v>
      </c>
      <c r="J3016" t="s">
        <v>53</v>
      </c>
      <c r="K3016" t="s">
        <v>53</v>
      </c>
      <c r="L3016" t="s">
        <v>53</v>
      </c>
      <c r="M3016" t="s">
        <v>53</v>
      </c>
      <c r="N3016" t="s">
        <v>53</v>
      </c>
      <c r="O3016" t="s">
        <v>53</v>
      </c>
      <c r="P3016" t="s">
        <v>53</v>
      </c>
      <c r="Q3016" t="s">
        <v>53</v>
      </c>
    </row>
    <row r="3017" spans="1:17" x14ac:dyDescent="0.2">
      <c r="A3017" s="30" t="str">
        <f>IF(C3017&amp;G3017&amp;D3017&lt;&gt;'Funnel setup'!$K$3&amp;'Funnel setup'!$K$4&amp;'Funnel setup'!$K$5,".",IF(A3016=".",1,A3016+1))</f>
        <v>.</v>
      </c>
      <c r="B3017" s="431" t="str">
        <f t="shared" si="47"/>
        <v>Hip Replacement RevisionCCG of GP PracticeNHS REDBRIDGE CCG (08N)Oxford Hip Score</v>
      </c>
      <c r="C3017" t="s">
        <v>247</v>
      </c>
      <c r="D3017" t="s">
        <v>87</v>
      </c>
      <c r="E3017" t="s">
        <v>791</v>
      </c>
      <c r="F3017" t="s">
        <v>792</v>
      </c>
      <c r="G3017" t="s">
        <v>14</v>
      </c>
      <c r="H3017" t="s">
        <v>53</v>
      </c>
      <c r="I3017" t="s">
        <v>53</v>
      </c>
      <c r="J3017" t="s">
        <v>53</v>
      </c>
      <c r="K3017" t="s">
        <v>53</v>
      </c>
      <c r="L3017" t="s">
        <v>53</v>
      </c>
      <c r="M3017" t="s">
        <v>53</v>
      </c>
      <c r="N3017" t="s">
        <v>53</v>
      </c>
      <c r="O3017" t="s">
        <v>53</v>
      </c>
      <c r="P3017" t="s">
        <v>53</v>
      </c>
      <c r="Q3017" t="s">
        <v>53</v>
      </c>
    </row>
    <row r="3018" spans="1:17" x14ac:dyDescent="0.2">
      <c r="A3018" s="30" t="str">
        <f>IF(C3018&amp;G3018&amp;D3018&lt;&gt;'Funnel setup'!$K$3&amp;'Funnel setup'!$K$4&amp;'Funnel setup'!$K$5,".",IF(A3017=".",1,A3017+1))</f>
        <v>.</v>
      </c>
      <c r="B3018" s="431" t="str">
        <f t="shared" si="47"/>
        <v>Hip Replacement RevisionCCG of GP PracticeNHS REDDITCH AND BROMSGROVE CCG (05J)Oxford Hip Score</v>
      </c>
      <c r="C3018" t="s">
        <v>247</v>
      </c>
      <c r="D3018" t="s">
        <v>87</v>
      </c>
      <c r="E3018" t="s">
        <v>794</v>
      </c>
      <c r="F3018" t="s">
        <v>795</v>
      </c>
      <c r="G3018" t="s">
        <v>14</v>
      </c>
      <c r="H3018" t="s">
        <v>53</v>
      </c>
      <c r="I3018" t="s">
        <v>53</v>
      </c>
      <c r="J3018" t="s">
        <v>53</v>
      </c>
      <c r="K3018" t="s">
        <v>53</v>
      </c>
      <c r="L3018" t="s">
        <v>53</v>
      </c>
      <c r="M3018" t="s">
        <v>53</v>
      </c>
      <c r="N3018" t="s">
        <v>53</v>
      </c>
      <c r="O3018" t="s">
        <v>53</v>
      </c>
      <c r="P3018" t="s">
        <v>53</v>
      </c>
      <c r="Q3018" t="s">
        <v>53</v>
      </c>
    </row>
    <row r="3019" spans="1:17" x14ac:dyDescent="0.2">
      <c r="A3019" s="30" t="str">
        <f>IF(C3019&amp;G3019&amp;D3019&lt;&gt;'Funnel setup'!$K$3&amp;'Funnel setup'!$K$4&amp;'Funnel setup'!$K$5,".",IF(A3018=".",1,A3018+1))</f>
        <v>.</v>
      </c>
      <c r="B3019" s="431" t="str">
        <f t="shared" si="47"/>
        <v>Hip Replacement RevisionCCG of GP PracticeNHS RICHMOND CCG (08P)Oxford Hip Score</v>
      </c>
      <c r="C3019" t="s">
        <v>247</v>
      </c>
      <c r="D3019" t="s">
        <v>87</v>
      </c>
      <c r="E3019" t="s">
        <v>797</v>
      </c>
      <c r="F3019" t="s">
        <v>798</v>
      </c>
      <c r="G3019" t="s">
        <v>14</v>
      </c>
      <c r="H3019" t="s">
        <v>53</v>
      </c>
      <c r="I3019" t="s">
        <v>53</v>
      </c>
      <c r="J3019" t="s">
        <v>53</v>
      </c>
      <c r="K3019" t="s">
        <v>53</v>
      </c>
      <c r="L3019" t="s">
        <v>53</v>
      </c>
      <c r="M3019" t="s">
        <v>53</v>
      </c>
      <c r="N3019" t="s">
        <v>53</v>
      </c>
      <c r="O3019" t="s">
        <v>53</v>
      </c>
      <c r="P3019" t="s">
        <v>53</v>
      </c>
      <c r="Q3019" t="s">
        <v>53</v>
      </c>
    </row>
    <row r="3020" spans="1:17" x14ac:dyDescent="0.2">
      <c r="A3020" s="30" t="str">
        <f>IF(C3020&amp;G3020&amp;D3020&lt;&gt;'Funnel setup'!$K$3&amp;'Funnel setup'!$K$4&amp;'Funnel setup'!$K$5,".",IF(A3019=".",1,A3019+1))</f>
        <v>.</v>
      </c>
      <c r="B3020" s="431" t="str">
        <f t="shared" si="47"/>
        <v>Hip Replacement RevisionCCG of GP PracticeNHS ROTHERHAM CCG (03L)Oxford Hip Score</v>
      </c>
      <c r="C3020" t="s">
        <v>247</v>
      </c>
      <c r="D3020" t="s">
        <v>87</v>
      </c>
      <c r="E3020" t="s">
        <v>800</v>
      </c>
      <c r="F3020" t="s">
        <v>801</v>
      </c>
      <c r="G3020" t="s">
        <v>14</v>
      </c>
      <c r="H3020">
        <v>17</v>
      </c>
      <c r="I3020">
        <v>18.882000000000001</v>
      </c>
      <c r="J3020">
        <v>33.765000000000001</v>
      </c>
      <c r="K3020">
        <v>14.882</v>
      </c>
      <c r="L3020">
        <v>15</v>
      </c>
      <c r="M3020">
        <v>0</v>
      </c>
      <c r="N3020">
        <v>2</v>
      </c>
      <c r="O3020" t="s">
        <v>53</v>
      </c>
      <c r="P3020" t="s">
        <v>53</v>
      </c>
      <c r="Q3020" t="s">
        <v>53</v>
      </c>
    </row>
    <row r="3021" spans="1:17" x14ac:dyDescent="0.2">
      <c r="A3021" s="30" t="str">
        <f>IF(C3021&amp;G3021&amp;D3021&lt;&gt;'Funnel setup'!$K$3&amp;'Funnel setup'!$K$4&amp;'Funnel setup'!$K$5,".",IF(A3020=".",1,A3020+1))</f>
        <v>.</v>
      </c>
      <c r="B3021" s="431" t="str">
        <f t="shared" si="47"/>
        <v>Hip Replacement RevisionCCG of GP PracticeNHS RUSHCLIFFE CCG (04N)Oxford Hip Score</v>
      </c>
      <c r="C3021" t="s">
        <v>247</v>
      </c>
      <c r="D3021" t="s">
        <v>87</v>
      </c>
      <c r="E3021" t="s">
        <v>803</v>
      </c>
      <c r="F3021" t="s">
        <v>804</v>
      </c>
      <c r="G3021" t="s">
        <v>14</v>
      </c>
      <c r="H3021">
        <v>8</v>
      </c>
      <c r="I3021">
        <v>15</v>
      </c>
      <c r="J3021">
        <v>37.25</v>
      </c>
      <c r="K3021">
        <v>22.25</v>
      </c>
      <c r="L3021">
        <v>8</v>
      </c>
      <c r="M3021">
        <v>0</v>
      </c>
      <c r="N3021">
        <v>0</v>
      </c>
      <c r="O3021" t="s">
        <v>53</v>
      </c>
      <c r="P3021" t="s">
        <v>53</v>
      </c>
      <c r="Q3021" t="s">
        <v>53</v>
      </c>
    </row>
    <row r="3022" spans="1:17" x14ac:dyDescent="0.2">
      <c r="A3022" s="30" t="str">
        <f>IF(C3022&amp;G3022&amp;D3022&lt;&gt;'Funnel setup'!$K$3&amp;'Funnel setup'!$K$4&amp;'Funnel setup'!$K$5,".",IF(A3021=".",1,A3021+1))</f>
        <v>.</v>
      </c>
      <c r="B3022" s="431" t="str">
        <f t="shared" si="47"/>
        <v>Hip Replacement RevisionCCG of GP PracticeNHS SALFORD CCG (01G)Oxford Hip Score</v>
      </c>
      <c r="C3022" t="s">
        <v>247</v>
      </c>
      <c r="D3022" t="s">
        <v>87</v>
      </c>
      <c r="E3022" t="s">
        <v>806</v>
      </c>
      <c r="F3022" t="s">
        <v>807</v>
      </c>
      <c r="G3022" t="s">
        <v>14</v>
      </c>
      <c r="H3022" t="s">
        <v>53</v>
      </c>
      <c r="I3022" t="s">
        <v>53</v>
      </c>
      <c r="J3022" t="s">
        <v>53</v>
      </c>
      <c r="K3022" t="s">
        <v>53</v>
      </c>
      <c r="L3022" t="s">
        <v>53</v>
      </c>
      <c r="M3022" t="s">
        <v>53</v>
      </c>
      <c r="N3022" t="s">
        <v>53</v>
      </c>
      <c r="O3022" t="s">
        <v>53</v>
      </c>
      <c r="P3022" t="s">
        <v>53</v>
      </c>
      <c r="Q3022" t="s">
        <v>53</v>
      </c>
    </row>
    <row r="3023" spans="1:17" x14ac:dyDescent="0.2">
      <c r="A3023" s="30" t="str">
        <f>IF(C3023&amp;G3023&amp;D3023&lt;&gt;'Funnel setup'!$K$3&amp;'Funnel setup'!$K$4&amp;'Funnel setup'!$K$5,".",IF(A3022=".",1,A3022+1))</f>
        <v>.</v>
      </c>
      <c r="B3023" s="431" t="str">
        <f t="shared" si="47"/>
        <v>Hip Replacement RevisionCCG of GP PracticeNHS SANDWELL AND WEST BIRMINGHAM CCG (05L)Oxford Hip Score</v>
      </c>
      <c r="C3023" t="s">
        <v>247</v>
      </c>
      <c r="D3023" t="s">
        <v>87</v>
      </c>
      <c r="E3023" t="s">
        <v>809</v>
      </c>
      <c r="F3023" t="s">
        <v>810</v>
      </c>
      <c r="G3023" t="s">
        <v>14</v>
      </c>
      <c r="H3023">
        <v>12</v>
      </c>
      <c r="I3023">
        <v>25</v>
      </c>
      <c r="J3023">
        <v>36.667000000000002</v>
      </c>
      <c r="K3023">
        <v>11.667</v>
      </c>
      <c r="L3023">
        <v>10</v>
      </c>
      <c r="M3023">
        <v>0</v>
      </c>
      <c r="N3023">
        <v>2</v>
      </c>
      <c r="O3023" t="s">
        <v>53</v>
      </c>
      <c r="P3023" t="s">
        <v>53</v>
      </c>
      <c r="Q3023" t="s">
        <v>53</v>
      </c>
    </row>
    <row r="3024" spans="1:17" x14ac:dyDescent="0.2">
      <c r="A3024" s="30" t="str">
        <f>IF(C3024&amp;G3024&amp;D3024&lt;&gt;'Funnel setup'!$K$3&amp;'Funnel setup'!$K$4&amp;'Funnel setup'!$K$5,".",IF(A3023=".",1,A3023+1))</f>
        <v>.</v>
      </c>
      <c r="B3024" s="431" t="str">
        <f t="shared" si="47"/>
        <v>Hip Replacement RevisionCCG of GP PracticeNHS SCARBOROUGH AND RYEDALE CCG (03M)Oxford Hip Score</v>
      </c>
      <c r="C3024" t="s">
        <v>247</v>
      </c>
      <c r="D3024" t="s">
        <v>87</v>
      </c>
      <c r="E3024" t="s">
        <v>812</v>
      </c>
      <c r="F3024" t="s">
        <v>813</v>
      </c>
      <c r="G3024" t="s">
        <v>14</v>
      </c>
      <c r="H3024">
        <v>10</v>
      </c>
      <c r="I3024">
        <v>23.7</v>
      </c>
      <c r="J3024">
        <v>37.5</v>
      </c>
      <c r="K3024">
        <v>13.8</v>
      </c>
      <c r="L3024">
        <v>9</v>
      </c>
      <c r="M3024">
        <v>1</v>
      </c>
      <c r="N3024">
        <v>0</v>
      </c>
      <c r="O3024" t="s">
        <v>53</v>
      </c>
      <c r="P3024" t="s">
        <v>53</v>
      </c>
      <c r="Q3024" t="s">
        <v>53</v>
      </c>
    </row>
    <row r="3025" spans="1:17" x14ac:dyDescent="0.2">
      <c r="A3025" s="30" t="str">
        <f>IF(C3025&amp;G3025&amp;D3025&lt;&gt;'Funnel setup'!$K$3&amp;'Funnel setup'!$K$4&amp;'Funnel setup'!$K$5,".",IF(A3024=".",1,A3024+1))</f>
        <v>.</v>
      </c>
      <c r="B3025" s="431" t="str">
        <f t="shared" si="47"/>
        <v>Hip Replacement RevisionCCG of GP PracticeNHS SHEFFIELD CCG (03N)Oxford Hip Score</v>
      </c>
      <c r="C3025" t="s">
        <v>247</v>
      </c>
      <c r="D3025" t="s">
        <v>87</v>
      </c>
      <c r="E3025" t="s">
        <v>815</v>
      </c>
      <c r="F3025" t="s">
        <v>816</v>
      </c>
      <c r="G3025" t="s">
        <v>14</v>
      </c>
      <c r="H3025">
        <v>14</v>
      </c>
      <c r="I3025">
        <v>12.071</v>
      </c>
      <c r="J3025">
        <v>28</v>
      </c>
      <c r="K3025">
        <v>15.929</v>
      </c>
      <c r="L3025">
        <v>14</v>
      </c>
      <c r="M3025">
        <v>0</v>
      </c>
      <c r="N3025">
        <v>0</v>
      </c>
      <c r="O3025" t="s">
        <v>53</v>
      </c>
      <c r="P3025" t="s">
        <v>53</v>
      </c>
      <c r="Q3025" t="s">
        <v>53</v>
      </c>
    </row>
    <row r="3026" spans="1:17" x14ac:dyDescent="0.2">
      <c r="A3026" s="30" t="str">
        <f>IF(C3026&amp;G3026&amp;D3026&lt;&gt;'Funnel setup'!$K$3&amp;'Funnel setup'!$K$4&amp;'Funnel setup'!$K$5,".",IF(A3025=".",1,A3025+1))</f>
        <v>.</v>
      </c>
      <c r="B3026" s="431" t="str">
        <f t="shared" si="47"/>
        <v>Hip Replacement RevisionCCG of GP PracticeNHS SHROPSHIRE CCG (05N)Oxford Hip Score</v>
      </c>
      <c r="C3026" t="s">
        <v>247</v>
      </c>
      <c r="D3026" t="s">
        <v>87</v>
      </c>
      <c r="E3026" t="s">
        <v>818</v>
      </c>
      <c r="F3026" t="s">
        <v>819</v>
      </c>
      <c r="G3026" t="s">
        <v>14</v>
      </c>
      <c r="H3026">
        <v>43</v>
      </c>
      <c r="I3026">
        <v>20.744</v>
      </c>
      <c r="J3026">
        <v>32.720999999999997</v>
      </c>
      <c r="K3026">
        <v>11.977</v>
      </c>
      <c r="L3026">
        <v>34</v>
      </c>
      <c r="M3026">
        <v>5</v>
      </c>
      <c r="N3026">
        <v>4</v>
      </c>
      <c r="O3026">
        <v>31.047000000000001</v>
      </c>
      <c r="P3026">
        <v>10.17242328</v>
      </c>
      <c r="Q3026">
        <v>9.4489999999999998</v>
      </c>
    </row>
    <row r="3027" spans="1:17" x14ac:dyDescent="0.2">
      <c r="A3027" s="30" t="str">
        <f>IF(C3027&amp;G3027&amp;D3027&lt;&gt;'Funnel setup'!$K$3&amp;'Funnel setup'!$K$4&amp;'Funnel setup'!$K$5,".",IF(A3026=".",1,A3026+1))</f>
        <v>.</v>
      </c>
      <c r="B3027" s="431" t="str">
        <f t="shared" si="47"/>
        <v>Hip Replacement RevisionCCG of GP PracticeNHS SLOUGH CCG (10T)Oxford Hip Score</v>
      </c>
      <c r="C3027" t="s">
        <v>247</v>
      </c>
      <c r="D3027" t="s">
        <v>87</v>
      </c>
      <c r="E3027" t="s">
        <v>821</v>
      </c>
      <c r="F3027" t="s">
        <v>822</v>
      </c>
      <c r="G3027" t="s">
        <v>14</v>
      </c>
      <c r="H3027" t="s">
        <v>53</v>
      </c>
      <c r="I3027" t="s">
        <v>53</v>
      </c>
      <c r="J3027" t="s">
        <v>53</v>
      </c>
      <c r="K3027" t="s">
        <v>53</v>
      </c>
      <c r="L3027" t="s">
        <v>53</v>
      </c>
      <c r="M3027" t="s">
        <v>53</v>
      </c>
      <c r="N3027" t="s">
        <v>53</v>
      </c>
      <c r="O3027" t="s">
        <v>53</v>
      </c>
      <c r="P3027" t="s">
        <v>53</v>
      </c>
      <c r="Q3027" t="s">
        <v>53</v>
      </c>
    </row>
    <row r="3028" spans="1:17" x14ac:dyDescent="0.2">
      <c r="A3028" s="30" t="str">
        <f>IF(C3028&amp;G3028&amp;D3028&lt;&gt;'Funnel setup'!$K$3&amp;'Funnel setup'!$K$4&amp;'Funnel setup'!$K$5,".",IF(A3027=".",1,A3027+1))</f>
        <v>.</v>
      </c>
      <c r="B3028" s="431" t="str">
        <f t="shared" si="47"/>
        <v>Hip Replacement RevisionCCG of GP PracticeNHS SOLIHULL CCG (05P)Oxford Hip Score</v>
      </c>
      <c r="C3028" t="s">
        <v>247</v>
      </c>
      <c r="D3028" t="s">
        <v>87</v>
      </c>
      <c r="E3028" t="s">
        <v>824</v>
      </c>
      <c r="F3028" t="s">
        <v>825</v>
      </c>
      <c r="G3028" t="s">
        <v>14</v>
      </c>
      <c r="H3028">
        <v>10</v>
      </c>
      <c r="I3028">
        <v>12.8</v>
      </c>
      <c r="J3028">
        <v>31.3</v>
      </c>
      <c r="K3028">
        <v>18.5</v>
      </c>
      <c r="L3028">
        <v>10</v>
      </c>
      <c r="M3028">
        <v>0</v>
      </c>
      <c r="N3028">
        <v>0</v>
      </c>
      <c r="O3028" t="s">
        <v>53</v>
      </c>
      <c r="P3028" t="s">
        <v>53</v>
      </c>
      <c r="Q3028" t="s">
        <v>53</v>
      </c>
    </row>
    <row r="3029" spans="1:17" x14ac:dyDescent="0.2">
      <c r="A3029" s="30" t="str">
        <f>IF(C3029&amp;G3029&amp;D3029&lt;&gt;'Funnel setup'!$K$3&amp;'Funnel setup'!$K$4&amp;'Funnel setup'!$K$5,".",IF(A3028=".",1,A3028+1))</f>
        <v>.</v>
      </c>
      <c r="B3029" s="431" t="str">
        <f t="shared" si="47"/>
        <v>Hip Replacement RevisionCCG of GP PracticeNHS SOMERSET CCG (11X)Oxford Hip Score</v>
      </c>
      <c r="C3029" t="s">
        <v>247</v>
      </c>
      <c r="D3029" t="s">
        <v>87</v>
      </c>
      <c r="E3029" t="s">
        <v>827</v>
      </c>
      <c r="F3029" t="s">
        <v>828</v>
      </c>
      <c r="G3029" t="s">
        <v>14</v>
      </c>
      <c r="H3029">
        <v>48</v>
      </c>
      <c r="I3029">
        <v>27.457999999999998</v>
      </c>
      <c r="J3029">
        <v>37.082999999999998</v>
      </c>
      <c r="K3029">
        <v>9.625</v>
      </c>
      <c r="L3029">
        <v>32</v>
      </c>
      <c r="M3029">
        <v>4</v>
      </c>
      <c r="N3029">
        <v>12</v>
      </c>
      <c r="O3029">
        <v>34.195</v>
      </c>
      <c r="P3029">
        <v>13.31995337</v>
      </c>
      <c r="Q3029">
        <v>8.9819999999999993</v>
      </c>
    </row>
    <row r="3030" spans="1:17" x14ac:dyDescent="0.2">
      <c r="A3030" s="30" t="str">
        <f>IF(C3030&amp;G3030&amp;D3030&lt;&gt;'Funnel setup'!$K$3&amp;'Funnel setup'!$K$4&amp;'Funnel setup'!$K$5,".",IF(A3029=".",1,A3029+1))</f>
        <v>.</v>
      </c>
      <c r="B3030" s="431" t="str">
        <f t="shared" si="47"/>
        <v>Hip Replacement RevisionCCG of GP PracticeNHS SOUTH CHESHIRE CCG (01R)Oxford Hip Score</v>
      </c>
      <c r="C3030" t="s">
        <v>247</v>
      </c>
      <c r="D3030" t="s">
        <v>87</v>
      </c>
      <c r="E3030" t="s">
        <v>830</v>
      </c>
      <c r="F3030" t="s">
        <v>831</v>
      </c>
      <c r="G3030" t="s">
        <v>14</v>
      </c>
      <c r="H3030">
        <v>6</v>
      </c>
      <c r="I3030">
        <v>15.5</v>
      </c>
      <c r="J3030">
        <v>29</v>
      </c>
      <c r="K3030">
        <v>13.5</v>
      </c>
      <c r="L3030">
        <v>5</v>
      </c>
      <c r="M3030">
        <v>0</v>
      </c>
      <c r="N3030">
        <v>1</v>
      </c>
      <c r="O3030" t="s">
        <v>53</v>
      </c>
      <c r="P3030" t="s">
        <v>53</v>
      </c>
      <c r="Q3030" t="s">
        <v>53</v>
      </c>
    </row>
    <row r="3031" spans="1:17" x14ac:dyDescent="0.2">
      <c r="A3031" s="30" t="str">
        <f>IF(C3031&amp;G3031&amp;D3031&lt;&gt;'Funnel setup'!$K$3&amp;'Funnel setup'!$K$4&amp;'Funnel setup'!$K$5,".",IF(A3030=".",1,A3030+1))</f>
        <v>.</v>
      </c>
      <c r="B3031" s="431" t="str">
        <f t="shared" si="47"/>
        <v>Hip Replacement RevisionCCG of GP PracticeNHS SOUTH DEVON AND TORBAY CCG (99Q)Oxford Hip Score</v>
      </c>
      <c r="C3031" t="s">
        <v>247</v>
      </c>
      <c r="D3031" t="s">
        <v>87</v>
      </c>
      <c r="E3031" t="s">
        <v>833</v>
      </c>
      <c r="F3031" t="s">
        <v>834</v>
      </c>
      <c r="G3031" t="s">
        <v>14</v>
      </c>
      <c r="H3031">
        <v>30</v>
      </c>
      <c r="I3031">
        <v>23.766999999999999</v>
      </c>
      <c r="J3031">
        <v>33.232999999999997</v>
      </c>
      <c r="K3031">
        <v>9.4670000000000005</v>
      </c>
      <c r="L3031">
        <v>20</v>
      </c>
      <c r="M3031">
        <v>3</v>
      </c>
      <c r="N3031">
        <v>7</v>
      </c>
      <c r="O3031">
        <v>32.640999999999998</v>
      </c>
      <c r="P3031">
        <v>11.76627592</v>
      </c>
      <c r="Q3031">
        <v>9.2439999999999998</v>
      </c>
    </row>
    <row r="3032" spans="1:17" x14ac:dyDescent="0.2">
      <c r="A3032" s="30" t="str">
        <f>IF(C3032&amp;G3032&amp;D3032&lt;&gt;'Funnel setup'!$K$3&amp;'Funnel setup'!$K$4&amp;'Funnel setup'!$K$5,".",IF(A3031=".",1,A3031+1))</f>
        <v>.</v>
      </c>
      <c r="B3032" s="431" t="str">
        <f t="shared" si="47"/>
        <v>Hip Replacement RevisionCCG of GP PracticeNHS SOUTH EAST STAFFORDSHIRE AND SEISDON PENINSULA CCG (05Q)Oxford Hip Score</v>
      </c>
      <c r="C3032" t="s">
        <v>247</v>
      </c>
      <c r="D3032" t="s">
        <v>87</v>
      </c>
      <c r="E3032" t="s">
        <v>836</v>
      </c>
      <c r="F3032" t="s">
        <v>837</v>
      </c>
      <c r="G3032" t="s">
        <v>14</v>
      </c>
      <c r="H3032">
        <v>9</v>
      </c>
      <c r="I3032">
        <v>20.332999999999998</v>
      </c>
      <c r="J3032">
        <v>30.222000000000001</v>
      </c>
      <c r="K3032">
        <v>9.8889999999999993</v>
      </c>
      <c r="L3032">
        <v>7</v>
      </c>
      <c r="M3032">
        <v>0</v>
      </c>
      <c r="N3032">
        <v>2</v>
      </c>
      <c r="O3032" t="s">
        <v>53</v>
      </c>
      <c r="P3032" t="s">
        <v>53</v>
      </c>
      <c r="Q3032" t="s">
        <v>53</v>
      </c>
    </row>
    <row r="3033" spans="1:17" x14ac:dyDescent="0.2">
      <c r="A3033" s="30" t="str">
        <f>IF(C3033&amp;G3033&amp;D3033&lt;&gt;'Funnel setup'!$K$3&amp;'Funnel setup'!$K$4&amp;'Funnel setup'!$K$5,".",IF(A3032=".",1,A3032+1))</f>
        <v>.</v>
      </c>
      <c r="B3033" s="431" t="str">
        <f t="shared" si="47"/>
        <v>Hip Replacement RevisionCCG of GP PracticeNHS SOUTH EASTERN HAMPSHIRE CCG (10V)Oxford Hip Score</v>
      </c>
      <c r="C3033" t="s">
        <v>247</v>
      </c>
      <c r="D3033" t="s">
        <v>87</v>
      </c>
      <c r="E3033" t="s">
        <v>839</v>
      </c>
      <c r="F3033" t="s">
        <v>840</v>
      </c>
      <c r="G3033" t="s">
        <v>14</v>
      </c>
      <c r="H3033">
        <v>9</v>
      </c>
      <c r="I3033">
        <v>15.444000000000001</v>
      </c>
      <c r="J3033">
        <v>29.443999999999999</v>
      </c>
      <c r="K3033">
        <v>14</v>
      </c>
      <c r="L3033">
        <v>9</v>
      </c>
      <c r="M3033">
        <v>0</v>
      </c>
      <c r="N3033">
        <v>0</v>
      </c>
      <c r="O3033" t="s">
        <v>53</v>
      </c>
      <c r="P3033" t="s">
        <v>53</v>
      </c>
      <c r="Q3033" t="s">
        <v>53</v>
      </c>
    </row>
    <row r="3034" spans="1:17" x14ac:dyDescent="0.2">
      <c r="A3034" s="30" t="str">
        <f>IF(C3034&amp;G3034&amp;D3034&lt;&gt;'Funnel setup'!$K$3&amp;'Funnel setup'!$K$4&amp;'Funnel setup'!$K$5,".",IF(A3033=".",1,A3033+1))</f>
        <v>.</v>
      </c>
      <c r="B3034" s="431" t="str">
        <f t="shared" si="47"/>
        <v>Hip Replacement RevisionCCG of GP PracticeNHS SOUTH GLOUCESTERSHIRE CCG (12A)Oxford Hip Score</v>
      </c>
      <c r="C3034" t="s">
        <v>247</v>
      </c>
      <c r="D3034" t="s">
        <v>87</v>
      </c>
      <c r="E3034" t="s">
        <v>842</v>
      </c>
      <c r="F3034" t="s">
        <v>843</v>
      </c>
      <c r="G3034" t="s">
        <v>14</v>
      </c>
      <c r="H3034">
        <v>8</v>
      </c>
      <c r="I3034">
        <v>24.125</v>
      </c>
      <c r="J3034">
        <v>34.875</v>
      </c>
      <c r="K3034">
        <v>10.75</v>
      </c>
      <c r="L3034">
        <v>8</v>
      </c>
      <c r="M3034">
        <v>0</v>
      </c>
      <c r="N3034">
        <v>0</v>
      </c>
      <c r="O3034" t="s">
        <v>53</v>
      </c>
      <c r="P3034" t="s">
        <v>53</v>
      </c>
      <c r="Q3034" t="s">
        <v>53</v>
      </c>
    </row>
    <row r="3035" spans="1:17" x14ac:dyDescent="0.2">
      <c r="A3035" s="30" t="str">
        <f>IF(C3035&amp;G3035&amp;D3035&lt;&gt;'Funnel setup'!$K$3&amp;'Funnel setup'!$K$4&amp;'Funnel setup'!$K$5,".",IF(A3034=".",1,A3034+1))</f>
        <v>.</v>
      </c>
      <c r="B3035" s="431" t="str">
        <f t="shared" si="47"/>
        <v>Hip Replacement RevisionCCG of GP PracticeNHS SOUTH KENT COAST CCG (10A)Oxford Hip Score</v>
      </c>
      <c r="C3035" t="s">
        <v>247</v>
      </c>
      <c r="D3035" t="s">
        <v>87</v>
      </c>
      <c r="E3035" t="s">
        <v>845</v>
      </c>
      <c r="F3035" t="s">
        <v>846</v>
      </c>
      <c r="G3035" t="s">
        <v>14</v>
      </c>
      <c r="H3035">
        <v>13</v>
      </c>
      <c r="I3035">
        <v>16.768999999999998</v>
      </c>
      <c r="J3035">
        <v>38.692</v>
      </c>
      <c r="K3035">
        <v>21.922999999999998</v>
      </c>
      <c r="L3035">
        <v>13</v>
      </c>
      <c r="M3035">
        <v>0</v>
      </c>
      <c r="N3035">
        <v>0</v>
      </c>
      <c r="O3035" t="s">
        <v>53</v>
      </c>
      <c r="P3035" t="s">
        <v>53</v>
      </c>
      <c r="Q3035" t="s">
        <v>53</v>
      </c>
    </row>
    <row r="3036" spans="1:17" x14ac:dyDescent="0.2">
      <c r="A3036" s="30" t="str">
        <f>IF(C3036&amp;G3036&amp;D3036&lt;&gt;'Funnel setup'!$K$3&amp;'Funnel setup'!$K$4&amp;'Funnel setup'!$K$5,".",IF(A3035=".",1,A3035+1))</f>
        <v>.</v>
      </c>
      <c r="B3036" s="431" t="str">
        <f t="shared" si="47"/>
        <v>Hip Replacement RevisionCCG of GP PracticeNHS SOUTH LINCOLNSHIRE CCG (99D)Oxford Hip Score</v>
      </c>
      <c r="C3036" t="s">
        <v>247</v>
      </c>
      <c r="D3036" t="s">
        <v>87</v>
      </c>
      <c r="E3036" t="s">
        <v>848</v>
      </c>
      <c r="F3036" t="s">
        <v>849</v>
      </c>
      <c r="G3036" t="s">
        <v>14</v>
      </c>
      <c r="H3036">
        <v>7</v>
      </c>
      <c r="I3036">
        <v>26.856999999999999</v>
      </c>
      <c r="J3036">
        <v>30</v>
      </c>
      <c r="K3036">
        <v>3.1429999999999998</v>
      </c>
      <c r="L3036">
        <v>5</v>
      </c>
      <c r="M3036">
        <v>0</v>
      </c>
      <c r="N3036">
        <v>2</v>
      </c>
      <c r="O3036" t="s">
        <v>53</v>
      </c>
      <c r="P3036" t="s">
        <v>53</v>
      </c>
      <c r="Q3036" t="s">
        <v>53</v>
      </c>
    </row>
    <row r="3037" spans="1:17" x14ac:dyDescent="0.2">
      <c r="A3037" s="30" t="str">
        <f>IF(C3037&amp;G3037&amp;D3037&lt;&gt;'Funnel setup'!$K$3&amp;'Funnel setup'!$K$4&amp;'Funnel setup'!$K$5,".",IF(A3036=".",1,A3036+1))</f>
        <v>.</v>
      </c>
      <c r="B3037" s="431" t="str">
        <f t="shared" si="47"/>
        <v>Hip Replacement RevisionCCG of GP PracticeNHS SOUTH MANCHESTER CCG (01N)Oxford Hip Score</v>
      </c>
      <c r="C3037" t="s">
        <v>247</v>
      </c>
      <c r="D3037" t="s">
        <v>87</v>
      </c>
      <c r="E3037" t="s">
        <v>851</v>
      </c>
      <c r="F3037" t="s">
        <v>852</v>
      </c>
      <c r="G3037" t="s">
        <v>14</v>
      </c>
      <c r="H3037" t="s">
        <v>53</v>
      </c>
      <c r="I3037" t="s">
        <v>53</v>
      </c>
      <c r="J3037" t="s">
        <v>53</v>
      </c>
      <c r="K3037" t="s">
        <v>53</v>
      </c>
      <c r="L3037" t="s">
        <v>53</v>
      </c>
      <c r="M3037" t="s">
        <v>53</v>
      </c>
      <c r="N3037" t="s">
        <v>53</v>
      </c>
      <c r="O3037" t="s">
        <v>53</v>
      </c>
      <c r="P3037" t="s">
        <v>53</v>
      </c>
      <c r="Q3037" t="s">
        <v>53</v>
      </c>
    </row>
    <row r="3038" spans="1:17" x14ac:dyDescent="0.2">
      <c r="A3038" s="30" t="str">
        <f>IF(C3038&amp;G3038&amp;D3038&lt;&gt;'Funnel setup'!$K$3&amp;'Funnel setup'!$K$4&amp;'Funnel setup'!$K$5,".",IF(A3037=".",1,A3037+1))</f>
        <v>.</v>
      </c>
      <c r="B3038" s="431" t="str">
        <f t="shared" si="47"/>
        <v>Hip Replacement RevisionCCG of GP PracticeNHS SOUTH NORFOLK CCG (06Y)Oxford Hip Score</v>
      </c>
      <c r="C3038" t="s">
        <v>247</v>
      </c>
      <c r="D3038" t="s">
        <v>87</v>
      </c>
      <c r="E3038" t="s">
        <v>932</v>
      </c>
      <c r="F3038" t="s">
        <v>933</v>
      </c>
      <c r="G3038" t="s">
        <v>14</v>
      </c>
      <c r="H3038">
        <v>17</v>
      </c>
      <c r="I3038">
        <v>22.529</v>
      </c>
      <c r="J3038">
        <v>36.706000000000003</v>
      </c>
      <c r="K3038">
        <v>14.176</v>
      </c>
      <c r="L3038">
        <v>14</v>
      </c>
      <c r="M3038">
        <v>0</v>
      </c>
      <c r="N3038">
        <v>3</v>
      </c>
      <c r="O3038" t="s">
        <v>53</v>
      </c>
      <c r="P3038" t="s">
        <v>53</v>
      </c>
      <c r="Q3038" t="s">
        <v>53</v>
      </c>
    </row>
    <row r="3039" spans="1:17" x14ac:dyDescent="0.2">
      <c r="A3039" s="30" t="str">
        <f>IF(C3039&amp;G3039&amp;D3039&lt;&gt;'Funnel setup'!$K$3&amp;'Funnel setup'!$K$4&amp;'Funnel setup'!$K$5,".",IF(A3038=".",1,A3038+1))</f>
        <v>.</v>
      </c>
      <c r="B3039" s="431" t="str">
        <f t="shared" si="47"/>
        <v>Hip Replacement RevisionCCG of GP PracticeNHS SOUTH READING CCG (10W)Oxford Hip Score</v>
      </c>
      <c r="C3039" t="s">
        <v>247</v>
      </c>
      <c r="D3039" t="s">
        <v>87</v>
      </c>
      <c r="E3039" t="s">
        <v>935</v>
      </c>
      <c r="F3039" t="s">
        <v>936</v>
      </c>
      <c r="G3039" t="s">
        <v>14</v>
      </c>
      <c r="H3039" t="s">
        <v>53</v>
      </c>
      <c r="I3039" t="s">
        <v>53</v>
      </c>
      <c r="J3039" t="s">
        <v>53</v>
      </c>
      <c r="K3039" t="s">
        <v>53</v>
      </c>
      <c r="L3039" t="s">
        <v>53</v>
      </c>
      <c r="M3039" t="s">
        <v>53</v>
      </c>
      <c r="N3039" t="s">
        <v>53</v>
      </c>
      <c r="O3039" t="s">
        <v>53</v>
      </c>
      <c r="P3039" t="s">
        <v>53</v>
      </c>
      <c r="Q3039" t="s">
        <v>53</v>
      </c>
    </row>
    <row r="3040" spans="1:17" x14ac:dyDescent="0.2">
      <c r="A3040" s="30" t="str">
        <f>IF(C3040&amp;G3040&amp;D3040&lt;&gt;'Funnel setup'!$K$3&amp;'Funnel setup'!$K$4&amp;'Funnel setup'!$K$5,".",IF(A3039=".",1,A3039+1))</f>
        <v>.</v>
      </c>
      <c r="B3040" s="431" t="str">
        <f t="shared" si="47"/>
        <v>Hip Replacement RevisionCCG of GP PracticeNHS SOUTH SEFTON CCG (01T)Oxford Hip Score</v>
      </c>
      <c r="C3040" t="s">
        <v>247</v>
      </c>
      <c r="D3040" t="s">
        <v>87</v>
      </c>
      <c r="E3040" t="s">
        <v>938</v>
      </c>
      <c r="F3040" t="s">
        <v>939</v>
      </c>
      <c r="G3040" t="s">
        <v>14</v>
      </c>
      <c r="H3040">
        <v>9</v>
      </c>
      <c r="I3040">
        <v>20.111000000000001</v>
      </c>
      <c r="J3040">
        <v>31.667000000000002</v>
      </c>
      <c r="K3040">
        <v>11.555999999999999</v>
      </c>
      <c r="L3040">
        <v>7</v>
      </c>
      <c r="M3040">
        <v>0</v>
      </c>
      <c r="N3040">
        <v>2</v>
      </c>
      <c r="O3040" t="s">
        <v>53</v>
      </c>
      <c r="P3040" t="s">
        <v>53</v>
      </c>
      <c r="Q3040" t="s">
        <v>53</v>
      </c>
    </row>
    <row r="3041" spans="1:17" x14ac:dyDescent="0.2">
      <c r="A3041" s="30" t="str">
        <f>IF(C3041&amp;G3041&amp;D3041&lt;&gt;'Funnel setup'!$K$3&amp;'Funnel setup'!$K$4&amp;'Funnel setup'!$K$5,".",IF(A3040=".",1,A3040+1))</f>
        <v>.</v>
      </c>
      <c r="B3041" s="431" t="str">
        <f t="shared" si="47"/>
        <v>Hip Replacement RevisionCCG of GP PracticeNHS SOUTH TEES CCG (00M)Oxford Hip Score</v>
      </c>
      <c r="C3041" t="s">
        <v>247</v>
      </c>
      <c r="D3041" t="s">
        <v>87</v>
      </c>
      <c r="E3041" t="s">
        <v>941</v>
      </c>
      <c r="F3041" t="s">
        <v>942</v>
      </c>
      <c r="G3041" t="s">
        <v>14</v>
      </c>
      <c r="H3041">
        <v>18</v>
      </c>
      <c r="I3041">
        <v>22.443999999999999</v>
      </c>
      <c r="J3041">
        <v>30.332999999999998</v>
      </c>
      <c r="K3041">
        <v>7.8890000000000002</v>
      </c>
      <c r="L3041">
        <v>13</v>
      </c>
      <c r="M3041">
        <v>1</v>
      </c>
      <c r="N3041">
        <v>4</v>
      </c>
      <c r="O3041" t="s">
        <v>53</v>
      </c>
      <c r="P3041" t="s">
        <v>53</v>
      </c>
      <c r="Q3041" t="s">
        <v>53</v>
      </c>
    </row>
    <row r="3042" spans="1:17" x14ac:dyDescent="0.2">
      <c r="A3042" s="30" t="str">
        <f>IF(C3042&amp;G3042&amp;D3042&lt;&gt;'Funnel setup'!$K$3&amp;'Funnel setup'!$K$4&amp;'Funnel setup'!$K$5,".",IF(A3041=".",1,A3041+1))</f>
        <v>.</v>
      </c>
      <c r="B3042" s="431" t="str">
        <f t="shared" si="47"/>
        <v>Hip Replacement RevisionCCG of GP PracticeNHS SOUTH TYNESIDE CCG (00N)Oxford Hip Score</v>
      </c>
      <c r="C3042" t="s">
        <v>247</v>
      </c>
      <c r="D3042" t="s">
        <v>87</v>
      </c>
      <c r="E3042" t="s">
        <v>1016</v>
      </c>
      <c r="F3042" t="s">
        <v>1017</v>
      </c>
      <c r="G3042" t="s">
        <v>14</v>
      </c>
      <c r="H3042" t="s">
        <v>53</v>
      </c>
      <c r="I3042" t="s">
        <v>53</v>
      </c>
      <c r="J3042" t="s">
        <v>53</v>
      </c>
      <c r="K3042" t="s">
        <v>53</v>
      </c>
      <c r="L3042" t="s">
        <v>53</v>
      </c>
      <c r="M3042" t="s">
        <v>53</v>
      </c>
      <c r="N3042" t="s">
        <v>53</v>
      </c>
      <c r="O3042" t="s">
        <v>53</v>
      </c>
      <c r="P3042" t="s">
        <v>53</v>
      </c>
      <c r="Q3042" t="s">
        <v>53</v>
      </c>
    </row>
    <row r="3043" spans="1:17" x14ac:dyDescent="0.2">
      <c r="A3043" s="30" t="str">
        <f>IF(C3043&amp;G3043&amp;D3043&lt;&gt;'Funnel setup'!$K$3&amp;'Funnel setup'!$K$4&amp;'Funnel setup'!$K$5,".",IF(A3042=".",1,A3042+1))</f>
        <v>.</v>
      </c>
      <c r="B3043" s="431" t="str">
        <f t="shared" si="47"/>
        <v>Hip Replacement RevisionCCG of GP PracticeNHS SOUTH WARWICKSHIRE CCG (05R)Oxford Hip Score</v>
      </c>
      <c r="C3043" t="s">
        <v>247</v>
      </c>
      <c r="D3043" t="s">
        <v>87</v>
      </c>
      <c r="E3043" t="s">
        <v>944</v>
      </c>
      <c r="F3043" t="s">
        <v>945</v>
      </c>
      <c r="G3043" t="s">
        <v>14</v>
      </c>
      <c r="H3043">
        <v>16</v>
      </c>
      <c r="I3043">
        <v>23.375</v>
      </c>
      <c r="J3043">
        <v>36.375</v>
      </c>
      <c r="K3043">
        <v>13</v>
      </c>
      <c r="L3043">
        <v>13</v>
      </c>
      <c r="M3043">
        <v>0</v>
      </c>
      <c r="N3043">
        <v>3</v>
      </c>
      <c r="O3043" t="s">
        <v>53</v>
      </c>
      <c r="P3043" t="s">
        <v>53</v>
      </c>
      <c r="Q3043" t="s">
        <v>53</v>
      </c>
    </row>
    <row r="3044" spans="1:17" x14ac:dyDescent="0.2">
      <c r="A3044" s="30" t="str">
        <f>IF(C3044&amp;G3044&amp;D3044&lt;&gt;'Funnel setup'!$K$3&amp;'Funnel setup'!$K$4&amp;'Funnel setup'!$K$5,".",IF(A3043=".",1,A3043+1))</f>
        <v>.</v>
      </c>
      <c r="B3044" s="431" t="str">
        <f t="shared" si="47"/>
        <v>Hip Replacement RevisionCCG of GP PracticeNHS SOUTH WEST LINCOLNSHIRE CCG (04Q)Oxford Hip Score</v>
      </c>
      <c r="C3044" t="s">
        <v>247</v>
      </c>
      <c r="D3044" t="s">
        <v>87</v>
      </c>
      <c r="E3044" t="s">
        <v>947</v>
      </c>
      <c r="F3044" t="s">
        <v>948</v>
      </c>
      <c r="G3044" t="s">
        <v>14</v>
      </c>
      <c r="H3044" t="s">
        <v>53</v>
      </c>
      <c r="I3044" t="s">
        <v>53</v>
      </c>
      <c r="J3044" t="s">
        <v>53</v>
      </c>
      <c r="K3044" t="s">
        <v>53</v>
      </c>
      <c r="L3044" t="s">
        <v>53</v>
      </c>
      <c r="M3044" t="s">
        <v>53</v>
      </c>
      <c r="N3044" t="s">
        <v>53</v>
      </c>
      <c r="O3044" t="s">
        <v>53</v>
      </c>
      <c r="P3044" t="s">
        <v>53</v>
      </c>
      <c r="Q3044" t="s">
        <v>53</v>
      </c>
    </row>
    <row r="3045" spans="1:17" x14ac:dyDescent="0.2">
      <c r="A3045" s="30" t="str">
        <f>IF(C3045&amp;G3045&amp;D3045&lt;&gt;'Funnel setup'!$K$3&amp;'Funnel setup'!$K$4&amp;'Funnel setup'!$K$5,".",IF(A3044=".",1,A3044+1))</f>
        <v>.</v>
      </c>
      <c r="B3045" s="431" t="str">
        <f t="shared" si="47"/>
        <v>Hip Replacement RevisionCCG of GP PracticeNHS SOUTH WORCESTERSHIRE CCG (05T)Oxford Hip Score</v>
      </c>
      <c r="C3045" t="s">
        <v>247</v>
      </c>
      <c r="D3045" t="s">
        <v>87</v>
      </c>
      <c r="E3045" t="s">
        <v>950</v>
      </c>
      <c r="F3045" t="s">
        <v>951</v>
      </c>
      <c r="G3045" t="s">
        <v>14</v>
      </c>
      <c r="H3045">
        <v>18</v>
      </c>
      <c r="I3045">
        <v>20.611000000000001</v>
      </c>
      <c r="J3045">
        <v>31.667000000000002</v>
      </c>
      <c r="K3045">
        <v>11.055999999999999</v>
      </c>
      <c r="L3045">
        <v>13</v>
      </c>
      <c r="M3045">
        <v>0</v>
      </c>
      <c r="N3045">
        <v>5</v>
      </c>
      <c r="O3045" t="s">
        <v>53</v>
      </c>
      <c r="P3045" t="s">
        <v>53</v>
      </c>
      <c r="Q3045" t="s">
        <v>53</v>
      </c>
    </row>
    <row r="3046" spans="1:17" x14ac:dyDescent="0.2">
      <c r="A3046" s="30" t="str">
        <f>IF(C3046&amp;G3046&amp;D3046&lt;&gt;'Funnel setup'!$K$3&amp;'Funnel setup'!$K$4&amp;'Funnel setup'!$K$5,".",IF(A3045=".",1,A3045+1))</f>
        <v>.</v>
      </c>
      <c r="B3046" s="431" t="str">
        <f t="shared" si="47"/>
        <v>Hip Replacement RevisionCCG of GP PracticeNHS SOUTHAMPTON CCG (10X)Oxford Hip Score</v>
      </c>
      <c r="C3046" t="s">
        <v>247</v>
      </c>
      <c r="D3046" t="s">
        <v>87</v>
      </c>
      <c r="E3046" t="s">
        <v>953</v>
      </c>
      <c r="F3046" t="s">
        <v>954</v>
      </c>
      <c r="G3046" t="s">
        <v>14</v>
      </c>
      <c r="H3046">
        <v>13</v>
      </c>
      <c r="I3046">
        <v>17.538</v>
      </c>
      <c r="J3046">
        <v>32.231000000000002</v>
      </c>
      <c r="K3046">
        <v>14.692</v>
      </c>
      <c r="L3046">
        <v>10</v>
      </c>
      <c r="M3046">
        <v>0</v>
      </c>
      <c r="N3046">
        <v>3</v>
      </c>
      <c r="O3046" t="s">
        <v>53</v>
      </c>
      <c r="P3046" t="s">
        <v>53</v>
      </c>
      <c r="Q3046" t="s">
        <v>53</v>
      </c>
    </row>
    <row r="3047" spans="1:17" x14ac:dyDescent="0.2">
      <c r="A3047" s="30" t="str">
        <f>IF(C3047&amp;G3047&amp;D3047&lt;&gt;'Funnel setup'!$K$3&amp;'Funnel setup'!$K$4&amp;'Funnel setup'!$K$5,".",IF(A3046=".",1,A3046+1))</f>
        <v>.</v>
      </c>
      <c r="B3047" s="431" t="str">
        <f t="shared" si="47"/>
        <v>Hip Replacement RevisionCCG of GP PracticeNHS SOUTHEND CCG (99G)Oxford Hip Score</v>
      </c>
      <c r="C3047" t="s">
        <v>247</v>
      </c>
      <c r="D3047" t="s">
        <v>87</v>
      </c>
      <c r="E3047" t="s">
        <v>956</v>
      </c>
      <c r="F3047" t="s">
        <v>957</v>
      </c>
      <c r="G3047" t="s">
        <v>14</v>
      </c>
      <c r="H3047" t="s">
        <v>53</v>
      </c>
      <c r="I3047" t="s">
        <v>53</v>
      </c>
      <c r="J3047" t="s">
        <v>53</v>
      </c>
      <c r="K3047" t="s">
        <v>53</v>
      </c>
      <c r="L3047" t="s">
        <v>53</v>
      </c>
      <c r="M3047" t="s">
        <v>53</v>
      </c>
      <c r="N3047" t="s">
        <v>53</v>
      </c>
      <c r="O3047" t="s">
        <v>53</v>
      </c>
      <c r="P3047" t="s">
        <v>53</v>
      </c>
      <c r="Q3047" t="s">
        <v>53</v>
      </c>
    </row>
    <row r="3048" spans="1:17" x14ac:dyDescent="0.2">
      <c r="A3048" s="30" t="str">
        <f>IF(C3048&amp;G3048&amp;D3048&lt;&gt;'Funnel setup'!$K$3&amp;'Funnel setup'!$K$4&amp;'Funnel setup'!$K$5,".",IF(A3047=".",1,A3047+1))</f>
        <v>.</v>
      </c>
      <c r="B3048" s="431" t="str">
        <f t="shared" si="47"/>
        <v>Hip Replacement RevisionCCG of GP PracticeNHS SOUTHERN DERBYSHIRE CCG (04R)Oxford Hip Score</v>
      </c>
      <c r="C3048" t="s">
        <v>247</v>
      </c>
      <c r="D3048" t="s">
        <v>87</v>
      </c>
      <c r="E3048" t="s">
        <v>959</v>
      </c>
      <c r="F3048" t="s">
        <v>960</v>
      </c>
      <c r="G3048" t="s">
        <v>14</v>
      </c>
      <c r="H3048">
        <v>25</v>
      </c>
      <c r="I3048">
        <v>22.12</v>
      </c>
      <c r="J3048">
        <v>33.76</v>
      </c>
      <c r="K3048">
        <v>11.64</v>
      </c>
      <c r="L3048">
        <v>21</v>
      </c>
      <c r="M3048">
        <v>0</v>
      </c>
      <c r="N3048">
        <v>4</v>
      </c>
      <c r="O3048" t="s">
        <v>53</v>
      </c>
      <c r="P3048" t="s">
        <v>53</v>
      </c>
      <c r="Q3048" t="s">
        <v>53</v>
      </c>
    </row>
    <row r="3049" spans="1:17" x14ac:dyDescent="0.2">
      <c r="A3049" s="30" t="str">
        <f>IF(C3049&amp;G3049&amp;D3049&lt;&gt;'Funnel setup'!$K$3&amp;'Funnel setup'!$K$4&amp;'Funnel setup'!$K$5,".",IF(A3048=".",1,A3048+1))</f>
        <v>.</v>
      </c>
      <c r="B3049" s="431" t="str">
        <f t="shared" si="47"/>
        <v>Hip Replacement RevisionCCG of GP PracticeNHS SOUTHPORT AND FORMBY CCG (01V)Oxford Hip Score</v>
      </c>
      <c r="C3049" t="s">
        <v>247</v>
      </c>
      <c r="D3049" t="s">
        <v>87</v>
      </c>
      <c r="E3049" t="s">
        <v>962</v>
      </c>
      <c r="F3049" t="s">
        <v>963</v>
      </c>
      <c r="G3049" t="s">
        <v>14</v>
      </c>
      <c r="H3049" t="s">
        <v>53</v>
      </c>
      <c r="I3049" t="s">
        <v>53</v>
      </c>
      <c r="J3049" t="s">
        <v>53</v>
      </c>
      <c r="K3049" t="s">
        <v>53</v>
      </c>
      <c r="L3049" t="s">
        <v>53</v>
      </c>
      <c r="M3049" t="s">
        <v>53</v>
      </c>
      <c r="N3049" t="s">
        <v>53</v>
      </c>
      <c r="O3049" t="s">
        <v>53</v>
      </c>
      <c r="P3049" t="s">
        <v>53</v>
      </c>
      <c r="Q3049" t="s">
        <v>53</v>
      </c>
    </row>
    <row r="3050" spans="1:17" x14ac:dyDescent="0.2">
      <c r="A3050" s="30" t="str">
        <f>IF(C3050&amp;G3050&amp;D3050&lt;&gt;'Funnel setup'!$K$3&amp;'Funnel setup'!$K$4&amp;'Funnel setup'!$K$5,".",IF(A3049=".",1,A3049+1))</f>
        <v>.</v>
      </c>
      <c r="B3050" s="431" t="str">
        <f t="shared" si="47"/>
        <v>Hip Replacement RevisionCCG of GP PracticeNHS SOUTHWARK CCG (08Q)Oxford Hip Score</v>
      </c>
      <c r="C3050" t="s">
        <v>247</v>
      </c>
      <c r="D3050" t="s">
        <v>87</v>
      </c>
      <c r="E3050" t="s">
        <v>965</v>
      </c>
      <c r="F3050" t="s">
        <v>966</v>
      </c>
      <c r="G3050" t="s">
        <v>14</v>
      </c>
      <c r="H3050" t="s">
        <v>53</v>
      </c>
      <c r="I3050" t="s">
        <v>53</v>
      </c>
      <c r="J3050" t="s">
        <v>53</v>
      </c>
      <c r="K3050" t="s">
        <v>53</v>
      </c>
      <c r="L3050" t="s">
        <v>53</v>
      </c>
      <c r="M3050" t="s">
        <v>53</v>
      </c>
      <c r="N3050" t="s">
        <v>53</v>
      </c>
      <c r="O3050" t="s">
        <v>53</v>
      </c>
      <c r="P3050" t="s">
        <v>53</v>
      </c>
      <c r="Q3050" t="s">
        <v>53</v>
      </c>
    </row>
    <row r="3051" spans="1:17" x14ac:dyDescent="0.2">
      <c r="A3051" s="30" t="str">
        <f>IF(C3051&amp;G3051&amp;D3051&lt;&gt;'Funnel setup'!$K$3&amp;'Funnel setup'!$K$4&amp;'Funnel setup'!$K$5,".",IF(A3050=".",1,A3050+1))</f>
        <v>.</v>
      </c>
      <c r="B3051" s="431" t="str">
        <f t="shared" si="47"/>
        <v>Hip Replacement RevisionCCG of GP PracticeNHS ST HELENS CCG (01X)Oxford Hip Score</v>
      </c>
      <c r="C3051" t="s">
        <v>247</v>
      </c>
      <c r="D3051" t="s">
        <v>87</v>
      </c>
      <c r="E3051" t="s">
        <v>968</v>
      </c>
      <c r="F3051" t="s">
        <v>969</v>
      </c>
      <c r="G3051" t="s">
        <v>14</v>
      </c>
      <c r="H3051">
        <v>14</v>
      </c>
      <c r="I3051">
        <v>17.428999999999998</v>
      </c>
      <c r="J3051">
        <v>26.928999999999998</v>
      </c>
      <c r="K3051">
        <v>9.5</v>
      </c>
      <c r="L3051">
        <v>10</v>
      </c>
      <c r="M3051">
        <v>0</v>
      </c>
      <c r="N3051">
        <v>4</v>
      </c>
      <c r="O3051" t="s">
        <v>53</v>
      </c>
      <c r="P3051" t="s">
        <v>53</v>
      </c>
      <c r="Q3051" t="s">
        <v>53</v>
      </c>
    </row>
    <row r="3052" spans="1:17" x14ac:dyDescent="0.2">
      <c r="A3052" s="30" t="str">
        <f>IF(C3052&amp;G3052&amp;D3052&lt;&gt;'Funnel setup'!$K$3&amp;'Funnel setup'!$K$4&amp;'Funnel setup'!$K$5,".",IF(A3051=".",1,A3051+1))</f>
        <v>.</v>
      </c>
      <c r="B3052" s="431" t="str">
        <f t="shared" si="47"/>
        <v>Hip Replacement RevisionCCG of GP PracticeNHS STAFFORD AND SURROUNDS CCG (05V)Oxford Hip Score</v>
      </c>
      <c r="C3052" t="s">
        <v>247</v>
      </c>
      <c r="D3052" t="s">
        <v>87</v>
      </c>
      <c r="E3052" t="s">
        <v>971</v>
      </c>
      <c r="F3052" t="s">
        <v>972</v>
      </c>
      <c r="G3052" t="s">
        <v>14</v>
      </c>
      <c r="H3052">
        <v>11</v>
      </c>
      <c r="I3052">
        <v>17.818000000000001</v>
      </c>
      <c r="J3052">
        <v>29.727</v>
      </c>
      <c r="K3052">
        <v>11.909000000000001</v>
      </c>
      <c r="L3052">
        <v>10</v>
      </c>
      <c r="M3052">
        <v>0</v>
      </c>
      <c r="N3052">
        <v>1</v>
      </c>
      <c r="O3052" t="s">
        <v>53</v>
      </c>
      <c r="P3052" t="s">
        <v>53</v>
      </c>
      <c r="Q3052" t="s">
        <v>53</v>
      </c>
    </row>
    <row r="3053" spans="1:17" x14ac:dyDescent="0.2">
      <c r="A3053" s="30" t="str">
        <f>IF(C3053&amp;G3053&amp;D3053&lt;&gt;'Funnel setup'!$K$3&amp;'Funnel setup'!$K$4&amp;'Funnel setup'!$K$5,".",IF(A3052=".",1,A3052+1))</f>
        <v>.</v>
      </c>
      <c r="B3053" s="431" t="str">
        <f t="shared" si="47"/>
        <v>Hip Replacement RevisionCCG of GP PracticeNHS STOCKPORT CCG (01W)Oxford Hip Score</v>
      </c>
      <c r="C3053" t="s">
        <v>247</v>
      </c>
      <c r="D3053" t="s">
        <v>87</v>
      </c>
      <c r="E3053" t="s">
        <v>974</v>
      </c>
      <c r="F3053" t="s">
        <v>975</v>
      </c>
      <c r="G3053" t="s">
        <v>14</v>
      </c>
      <c r="H3053" t="s">
        <v>53</v>
      </c>
      <c r="I3053" t="s">
        <v>53</v>
      </c>
      <c r="J3053" t="s">
        <v>53</v>
      </c>
      <c r="K3053" t="s">
        <v>53</v>
      </c>
      <c r="L3053" t="s">
        <v>53</v>
      </c>
      <c r="M3053" t="s">
        <v>53</v>
      </c>
      <c r="N3053" t="s">
        <v>53</v>
      </c>
      <c r="O3053" t="s">
        <v>53</v>
      </c>
      <c r="P3053" t="s">
        <v>53</v>
      </c>
      <c r="Q3053" t="s">
        <v>53</v>
      </c>
    </row>
    <row r="3054" spans="1:17" x14ac:dyDescent="0.2">
      <c r="A3054" s="30" t="str">
        <f>IF(C3054&amp;G3054&amp;D3054&lt;&gt;'Funnel setup'!$K$3&amp;'Funnel setup'!$K$4&amp;'Funnel setup'!$K$5,".",IF(A3053=".",1,A3053+1))</f>
        <v>.</v>
      </c>
      <c r="B3054" s="431" t="str">
        <f t="shared" si="47"/>
        <v>Hip Replacement RevisionCCG of GP PracticeNHS STOKE ON TRENT CCG (05W)Oxford Hip Score</v>
      </c>
      <c r="C3054" t="s">
        <v>247</v>
      </c>
      <c r="D3054" t="s">
        <v>87</v>
      </c>
      <c r="E3054" t="s">
        <v>977</v>
      </c>
      <c r="F3054" t="s">
        <v>978</v>
      </c>
      <c r="G3054" t="s">
        <v>14</v>
      </c>
      <c r="H3054" t="s">
        <v>53</v>
      </c>
      <c r="I3054" t="s">
        <v>53</v>
      </c>
      <c r="J3054" t="s">
        <v>53</v>
      </c>
      <c r="K3054" t="s">
        <v>53</v>
      </c>
      <c r="L3054" t="s">
        <v>53</v>
      </c>
      <c r="M3054" t="s">
        <v>53</v>
      </c>
      <c r="N3054" t="s">
        <v>53</v>
      </c>
      <c r="O3054" t="s">
        <v>53</v>
      </c>
      <c r="P3054" t="s">
        <v>53</v>
      </c>
      <c r="Q3054" t="s">
        <v>53</v>
      </c>
    </row>
    <row r="3055" spans="1:17" x14ac:dyDescent="0.2">
      <c r="A3055" s="30" t="str">
        <f>IF(C3055&amp;G3055&amp;D3055&lt;&gt;'Funnel setup'!$K$3&amp;'Funnel setup'!$K$4&amp;'Funnel setup'!$K$5,".",IF(A3054=".",1,A3054+1))</f>
        <v>.</v>
      </c>
      <c r="B3055" s="431" t="str">
        <f t="shared" si="47"/>
        <v>Hip Replacement RevisionCCG of GP PracticeNHS SUNDERLAND CCG (00P)Oxford Hip Score</v>
      </c>
      <c r="C3055" t="s">
        <v>247</v>
      </c>
      <c r="D3055" t="s">
        <v>87</v>
      </c>
      <c r="E3055" t="s">
        <v>980</v>
      </c>
      <c r="F3055" t="s">
        <v>981</v>
      </c>
      <c r="G3055" t="s">
        <v>14</v>
      </c>
      <c r="H3055">
        <v>9</v>
      </c>
      <c r="I3055">
        <v>17.777999999999999</v>
      </c>
      <c r="J3055">
        <v>27.667000000000002</v>
      </c>
      <c r="K3055">
        <v>9.8889999999999993</v>
      </c>
      <c r="L3055">
        <v>8</v>
      </c>
      <c r="M3055">
        <v>0</v>
      </c>
      <c r="N3055">
        <v>1</v>
      </c>
      <c r="O3055" t="s">
        <v>53</v>
      </c>
      <c r="P3055" t="s">
        <v>53</v>
      </c>
      <c r="Q3055" t="s">
        <v>53</v>
      </c>
    </row>
    <row r="3056" spans="1:17" x14ac:dyDescent="0.2">
      <c r="A3056" s="30" t="str">
        <f>IF(C3056&amp;G3056&amp;D3056&lt;&gt;'Funnel setup'!$K$3&amp;'Funnel setup'!$K$4&amp;'Funnel setup'!$K$5,".",IF(A3055=".",1,A3055+1))</f>
        <v>.</v>
      </c>
      <c r="B3056" s="431" t="str">
        <f t="shared" si="47"/>
        <v>Hip Replacement RevisionCCG of GP PracticeNHS SURREY DOWNS CCG (99H)Oxford Hip Score</v>
      </c>
      <c r="C3056" t="s">
        <v>247</v>
      </c>
      <c r="D3056" t="s">
        <v>87</v>
      </c>
      <c r="E3056" t="s">
        <v>983</v>
      </c>
      <c r="F3056" t="s">
        <v>984</v>
      </c>
      <c r="G3056" t="s">
        <v>14</v>
      </c>
      <c r="H3056">
        <v>17</v>
      </c>
      <c r="I3056">
        <v>24.294</v>
      </c>
      <c r="J3056">
        <v>31.706</v>
      </c>
      <c r="K3056">
        <v>7.4119999999999999</v>
      </c>
      <c r="L3056">
        <v>11</v>
      </c>
      <c r="M3056">
        <v>1</v>
      </c>
      <c r="N3056">
        <v>5</v>
      </c>
      <c r="O3056" t="s">
        <v>53</v>
      </c>
      <c r="P3056" t="s">
        <v>53</v>
      </c>
      <c r="Q3056" t="s">
        <v>53</v>
      </c>
    </row>
    <row r="3057" spans="1:17" x14ac:dyDescent="0.2">
      <c r="A3057" s="30" t="str">
        <f>IF(C3057&amp;G3057&amp;D3057&lt;&gt;'Funnel setup'!$K$3&amp;'Funnel setup'!$K$4&amp;'Funnel setup'!$K$5,".",IF(A3056=".",1,A3056+1))</f>
        <v>.</v>
      </c>
      <c r="B3057" s="431" t="str">
        <f t="shared" si="47"/>
        <v>Hip Replacement RevisionCCG of GP PracticeNHS SURREY HEATH CCG (10C)Oxford Hip Score</v>
      </c>
      <c r="C3057" t="s">
        <v>247</v>
      </c>
      <c r="D3057" t="s">
        <v>87</v>
      </c>
      <c r="E3057" t="s">
        <v>986</v>
      </c>
      <c r="F3057" t="s">
        <v>987</v>
      </c>
      <c r="G3057" t="s">
        <v>14</v>
      </c>
      <c r="H3057">
        <v>6</v>
      </c>
      <c r="I3057">
        <v>23.167000000000002</v>
      </c>
      <c r="J3057">
        <v>36.5</v>
      </c>
      <c r="K3057">
        <v>13.333</v>
      </c>
      <c r="L3057">
        <v>6</v>
      </c>
      <c r="M3057">
        <v>0</v>
      </c>
      <c r="N3057">
        <v>0</v>
      </c>
      <c r="O3057" t="s">
        <v>53</v>
      </c>
      <c r="P3057" t="s">
        <v>53</v>
      </c>
      <c r="Q3057" t="s">
        <v>53</v>
      </c>
    </row>
    <row r="3058" spans="1:17" x14ac:dyDescent="0.2">
      <c r="A3058" s="30" t="str">
        <f>IF(C3058&amp;G3058&amp;D3058&lt;&gt;'Funnel setup'!$K$3&amp;'Funnel setup'!$K$4&amp;'Funnel setup'!$K$5,".",IF(A3057=".",1,A3057+1))</f>
        <v>.</v>
      </c>
      <c r="B3058" s="431" t="str">
        <f t="shared" si="47"/>
        <v>Hip Replacement RevisionCCG of GP PracticeNHS SUTTON CCG (08T)Oxford Hip Score</v>
      </c>
      <c r="C3058" t="s">
        <v>247</v>
      </c>
      <c r="D3058" t="s">
        <v>87</v>
      </c>
      <c r="E3058" t="s">
        <v>989</v>
      </c>
      <c r="F3058" t="s">
        <v>990</v>
      </c>
      <c r="G3058" t="s">
        <v>14</v>
      </c>
      <c r="H3058" t="s">
        <v>53</v>
      </c>
      <c r="I3058" t="s">
        <v>53</v>
      </c>
      <c r="J3058" t="s">
        <v>53</v>
      </c>
      <c r="K3058" t="s">
        <v>53</v>
      </c>
      <c r="L3058" t="s">
        <v>53</v>
      </c>
      <c r="M3058" t="s">
        <v>53</v>
      </c>
      <c r="N3058" t="s">
        <v>53</v>
      </c>
      <c r="O3058" t="s">
        <v>53</v>
      </c>
      <c r="P3058" t="s">
        <v>53</v>
      </c>
      <c r="Q3058" t="s">
        <v>53</v>
      </c>
    </row>
    <row r="3059" spans="1:17" x14ac:dyDescent="0.2">
      <c r="A3059" s="30" t="str">
        <f>IF(C3059&amp;G3059&amp;D3059&lt;&gt;'Funnel setup'!$K$3&amp;'Funnel setup'!$K$4&amp;'Funnel setup'!$K$5,".",IF(A3058=".",1,A3058+1))</f>
        <v>.</v>
      </c>
      <c r="B3059" s="431" t="str">
        <f t="shared" si="47"/>
        <v>Hip Replacement RevisionCCG of GP PracticeNHS SWALE CCG (10D)Oxford Hip Score</v>
      </c>
      <c r="C3059" t="s">
        <v>247</v>
      </c>
      <c r="D3059" t="s">
        <v>87</v>
      </c>
      <c r="E3059" t="s">
        <v>992</v>
      </c>
      <c r="F3059" t="s">
        <v>993</v>
      </c>
      <c r="G3059" t="s">
        <v>14</v>
      </c>
      <c r="H3059">
        <v>9</v>
      </c>
      <c r="I3059">
        <v>24.777999999999999</v>
      </c>
      <c r="J3059">
        <v>31.888999999999999</v>
      </c>
      <c r="K3059">
        <v>7.1109999999999998</v>
      </c>
      <c r="L3059">
        <v>7</v>
      </c>
      <c r="M3059">
        <v>0</v>
      </c>
      <c r="N3059">
        <v>2</v>
      </c>
      <c r="O3059" t="s">
        <v>53</v>
      </c>
      <c r="P3059" t="s">
        <v>53</v>
      </c>
      <c r="Q3059" t="s">
        <v>53</v>
      </c>
    </row>
    <row r="3060" spans="1:17" x14ac:dyDescent="0.2">
      <c r="A3060" s="30" t="str">
        <f>IF(C3060&amp;G3060&amp;D3060&lt;&gt;'Funnel setup'!$K$3&amp;'Funnel setup'!$K$4&amp;'Funnel setup'!$K$5,".",IF(A3059=".",1,A3059+1))</f>
        <v>.</v>
      </c>
      <c r="B3060" s="431" t="str">
        <f t="shared" si="47"/>
        <v>Hip Replacement RevisionCCG of GP PracticeNHS SWINDON CCG (12D)Oxford Hip Score</v>
      </c>
      <c r="C3060" t="s">
        <v>247</v>
      </c>
      <c r="D3060" t="s">
        <v>87</v>
      </c>
      <c r="E3060" t="s">
        <v>995</v>
      </c>
      <c r="F3060" t="s">
        <v>996</v>
      </c>
      <c r="G3060" t="s">
        <v>14</v>
      </c>
      <c r="H3060">
        <v>9</v>
      </c>
      <c r="I3060">
        <v>17</v>
      </c>
      <c r="J3060">
        <v>33.332999999999998</v>
      </c>
      <c r="K3060">
        <v>16.332999999999998</v>
      </c>
      <c r="L3060">
        <v>8</v>
      </c>
      <c r="M3060">
        <v>0</v>
      </c>
      <c r="N3060">
        <v>1</v>
      </c>
      <c r="O3060" t="s">
        <v>53</v>
      </c>
      <c r="P3060" t="s">
        <v>53</v>
      </c>
      <c r="Q3060" t="s">
        <v>53</v>
      </c>
    </row>
    <row r="3061" spans="1:17" x14ac:dyDescent="0.2">
      <c r="A3061" s="30" t="str">
        <f>IF(C3061&amp;G3061&amp;D3061&lt;&gt;'Funnel setup'!$K$3&amp;'Funnel setup'!$K$4&amp;'Funnel setup'!$K$5,".",IF(A3060=".",1,A3060+1))</f>
        <v>.</v>
      </c>
      <c r="B3061" s="431" t="str">
        <f t="shared" si="47"/>
        <v>Hip Replacement RevisionCCG of GP PracticeNHS TAMESIDE AND GLOSSOP CCG (01Y)Oxford Hip Score</v>
      </c>
      <c r="C3061" t="s">
        <v>247</v>
      </c>
      <c r="D3061" t="s">
        <v>87</v>
      </c>
      <c r="E3061" t="s">
        <v>998</v>
      </c>
      <c r="F3061" t="s">
        <v>999</v>
      </c>
      <c r="G3061" t="s">
        <v>14</v>
      </c>
      <c r="H3061" t="s">
        <v>53</v>
      </c>
      <c r="I3061" t="s">
        <v>53</v>
      </c>
      <c r="J3061" t="s">
        <v>53</v>
      </c>
      <c r="K3061" t="s">
        <v>53</v>
      </c>
      <c r="L3061" t="s">
        <v>53</v>
      </c>
      <c r="M3061" t="s">
        <v>53</v>
      </c>
      <c r="N3061" t="s">
        <v>53</v>
      </c>
      <c r="O3061" t="s">
        <v>53</v>
      </c>
      <c r="P3061" t="s">
        <v>53</v>
      </c>
      <c r="Q3061" t="s">
        <v>53</v>
      </c>
    </row>
    <row r="3062" spans="1:17" x14ac:dyDescent="0.2">
      <c r="A3062" s="30" t="str">
        <f>IF(C3062&amp;G3062&amp;D3062&lt;&gt;'Funnel setup'!$K$3&amp;'Funnel setup'!$K$4&amp;'Funnel setup'!$K$5,".",IF(A3061=".",1,A3061+1))</f>
        <v>.</v>
      </c>
      <c r="B3062" s="431" t="str">
        <f t="shared" si="47"/>
        <v>Hip Replacement RevisionCCG of GP PracticeNHS TELFORD AND WREKIN CCG (05X)Oxford Hip Score</v>
      </c>
      <c r="C3062" t="s">
        <v>247</v>
      </c>
      <c r="D3062" t="s">
        <v>87</v>
      </c>
      <c r="E3062" t="s">
        <v>1001</v>
      </c>
      <c r="F3062" t="s">
        <v>1002</v>
      </c>
      <c r="G3062" t="s">
        <v>14</v>
      </c>
      <c r="H3062">
        <v>18</v>
      </c>
      <c r="I3062">
        <v>17.722000000000001</v>
      </c>
      <c r="J3062">
        <v>29.332999999999998</v>
      </c>
      <c r="K3062">
        <v>11.611000000000001</v>
      </c>
      <c r="L3062">
        <v>16</v>
      </c>
      <c r="M3062">
        <v>0</v>
      </c>
      <c r="N3062">
        <v>2</v>
      </c>
      <c r="O3062" t="s">
        <v>53</v>
      </c>
      <c r="P3062" t="s">
        <v>53</v>
      </c>
      <c r="Q3062" t="s">
        <v>53</v>
      </c>
    </row>
    <row r="3063" spans="1:17" x14ac:dyDescent="0.2">
      <c r="A3063" s="30" t="str">
        <f>IF(C3063&amp;G3063&amp;D3063&lt;&gt;'Funnel setup'!$K$3&amp;'Funnel setup'!$K$4&amp;'Funnel setup'!$K$5,".",IF(A3062=".",1,A3062+1))</f>
        <v>.</v>
      </c>
      <c r="B3063" s="431" t="str">
        <f t="shared" si="47"/>
        <v>Hip Replacement RevisionCCG of GP PracticeNHS THANET CCG (10E)Oxford Hip Score</v>
      </c>
      <c r="C3063" t="s">
        <v>247</v>
      </c>
      <c r="D3063" t="s">
        <v>87</v>
      </c>
      <c r="E3063" t="s">
        <v>1004</v>
      </c>
      <c r="F3063" t="s">
        <v>1005</v>
      </c>
      <c r="G3063" t="s">
        <v>14</v>
      </c>
      <c r="H3063">
        <v>15</v>
      </c>
      <c r="I3063">
        <v>16.132999999999999</v>
      </c>
      <c r="J3063">
        <v>27.733000000000001</v>
      </c>
      <c r="K3063">
        <v>11.6</v>
      </c>
      <c r="L3063">
        <v>12</v>
      </c>
      <c r="M3063">
        <v>0</v>
      </c>
      <c r="N3063">
        <v>3</v>
      </c>
      <c r="O3063" t="s">
        <v>53</v>
      </c>
      <c r="P3063" t="s">
        <v>53</v>
      </c>
      <c r="Q3063" t="s">
        <v>53</v>
      </c>
    </row>
    <row r="3064" spans="1:17" x14ac:dyDescent="0.2">
      <c r="A3064" s="30" t="str">
        <f>IF(C3064&amp;G3064&amp;D3064&lt;&gt;'Funnel setup'!$K$3&amp;'Funnel setup'!$K$4&amp;'Funnel setup'!$K$5,".",IF(A3063=".",1,A3063+1))</f>
        <v>.</v>
      </c>
      <c r="B3064" s="431" t="str">
        <f t="shared" si="47"/>
        <v>Hip Replacement RevisionCCG of GP PracticeNHS THURROCK CCG (07G)Oxford Hip Score</v>
      </c>
      <c r="C3064" t="s">
        <v>247</v>
      </c>
      <c r="D3064" t="s">
        <v>87</v>
      </c>
      <c r="E3064" t="s">
        <v>1007</v>
      </c>
      <c r="F3064" t="s">
        <v>1008</v>
      </c>
      <c r="G3064" t="s">
        <v>14</v>
      </c>
      <c r="H3064" t="s">
        <v>53</v>
      </c>
      <c r="I3064" t="s">
        <v>53</v>
      </c>
      <c r="J3064" t="s">
        <v>53</v>
      </c>
      <c r="K3064" t="s">
        <v>53</v>
      </c>
      <c r="L3064" t="s">
        <v>53</v>
      </c>
      <c r="M3064" t="s">
        <v>53</v>
      </c>
      <c r="N3064" t="s">
        <v>53</v>
      </c>
      <c r="O3064" t="s">
        <v>53</v>
      </c>
      <c r="P3064" t="s">
        <v>53</v>
      </c>
      <c r="Q3064" t="s">
        <v>53</v>
      </c>
    </row>
    <row r="3065" spans="1:17" x14ac:dyDescent="0.2">
      <c r="A3065" s="30" t="str">
        <f>IF(C3065&amp;G3065&amp;D3065&lt;&gt;'Funnel setup'!$K$3&amp;'Funnel setup'!$K$4&amp;'Funnel setup'!$K$5,".",IF(A3064=".",1,A3064+1))</f>
        <v>.</v>
      </c>
      <c r="B3065" s="431" t="str">
        <f t="shared" si="47"/>
        <v>Hip Replacement RevisionCCG of GP PracticeNHS TOWER HAMLETS CCG (08V)Oxford Hip Score</v>
      </c>
      <c r="C3065" t="s">
        <v>247</v>
      </c>
      <c r="D3065" t="s">
        <v>87</v>
      </c>
      <c r="E3065" t="s">
        <v>1010</v>
      </c>
      <c r="F3065" t="s">
        <v>1011</v>
      </c>
      <c r="G3065" t="s">
        <v>14</v>
      </c>
      <c r="H3065" t="s">
        <v>53</v>
      </c>
      <c r="I3065" t="s">
        <v>53</v>
      </c>
      <c r="J3065" t="s">
        <v>53</v>
      </c>
      <c r="K3065" t="s">
        <v>53</v>
      </c>
      <c r="L3065" t="s">
        <v>53</v>
      </c>
      <c r="M3065" t="s">
        <v>53</v>
      </c>
      <c r="N3065" t="s">
        <v>53</v>
      </c>
      <c r="O3065" t="s">
        <v>53</v>
      </c>
      <c r="P3065" t="s">
        <v>53</v>
      </c>
      <c r="Q3065" t="s">
        <v>53</v>
      </c>
    </row>
    <row r="3066" spans="1:17" x14ac:dyDescent="0.2">
      <c r="A3066" s="30" t="str">
        <f>IF(C3066&amp;G3066&amp;D3066&lt;&gt;'Funnel setup'!$K$3&amp;'Funnel setup'!$K$4&amp;'Funnel setup'!$K$5,".",IF(A3065=".",1,A3065+1))</f>
        <v>.</v>
      </c>
      <c r="B3066" s="431" t="str">
        <f t="shared" si="47"/>
        <v>Hip Replacement RevisionCCG of GP PracticeNHS TRAFFORD CCG (02A)Oxford Hip Score</v>
      </c>
      <c r="C3066" t="s">
        <v>247</v>
      </c>
      <c r="D3066" t="s">
        <v>87</v>
      </c>
      <c r="E3066" t="s">
        <v>1013</v>
      </c>
      <c r="F3066" t="s">
        <v>1014</v>
      </c>
      <c r="G3066" t="s">
        <v>14</v>
      </c>
      <c r="H3066" t="s">
        <v>53</v>
      </c>
      <c r="I3066" t="s">
        <v>53</v>
      </c>
      <c r="J3066" t="s">
        <v>53</v>
      </c>
      <c r="K3066" t="s">
        <v>53</v>
      </c>
      <c r="L3066" t="s">
        <v>53</v>
      </c>
      <c r="M3066" t="s">
        <v>53</v>
      </c>
      <c r="N3066" t="s">
        <v>53</v>
      </c>
      <c r="O3066" t="s">
        <v>53</v>
      </c>
      <c r="P3066" t="s">
        <v>53</v>
      </c>
      <c r="Q3066" t="s">
        <v>53</v>
      </c>
    </row>
    <row r="3067" spans="1:17" x14ac:dyDescent="0.2">
      <c r="A3067" s="30" t="str">
        <f>IF(C3067&amp;G3067&amp;D3067&lt;&gt;'Funnel setup'!$K$3&amp;'Funnel setup'!$K$4&amp;'Funnel setup'!$K$5,".",IF(A3066=".",1,A3066+1))</f>
        <v>.</v>
      </c>
      <c r="B3067" s="431" t="str">
        <f t="shared" si="47"/>
        <v>Hip Replacement RevisionCCG of GP PracticeNHS VALE OF YORK CCG (03Q)Oxford Hip Score</v>
      </c>
      <c r="C3067" t="s">
        <v>247</v>
      </c>
      <c r="D3067" t="s">
        <v>87</v>
      </c>
      <c r="E3067" t="s">
        <v>420</v>
      </c>
      <c r="F3067" t="s">
        <v>421</v>
      </c>
      <c r="G3067" t="s">
        <v>14</v>
      </c>
      <c r="H3067">
        <v>36</v>
      </c>
      <c r="I3067">
        <v>23.222000000000001</v>
      </c>
      <c r="J3067">
        <v>34.305999999999997</v>
      </c>
      <c r="K3067">
        <v>11.083</v>
      </c>
      <c r="L3067">
        <v>32</v>
      </c>
      <c r="M3067">
        <v>0</v>
      </c>
      <c r="N3067">
        <v>4</v>
      </c>
      <c r="O3067">
        <v>32.984999999999999</v>
      </c>
      <c r="P3067">
        <v>12.10982798</v>
      </c>
      <c r="Q3067">
        <v>9.7669999999999995</v>
      </c>
    </row>
    <row r="3068" spans="1:17" x14ac:dyDescent="0.2">
      <c r="A3068" s="30" t="str">
        <f>IF(C3068&amp;G3068&amp;D3068&lt;&gt;'Funnel setup'!$K$3&amp;'Funnel setup'!$K$4&amp;'Funnel setup'!$K$5,".",IF(A3067=".",1,A3067+1))</f>
        <v>.</v>
      </c>
      <c r="B3068" s="431" t="str">
        <f t="shared" si="47"/>
        <v>Hip Replacement RevisionCCG of GP PracticeNHS VALE ROYAL CCG (02D)Oxford Hip Score</v>
      </c>
      <c r="C3068" t="s">
        <v>247</v>
      </c>
      <c r="D3068" t="s">
        <v>87</v>
      </c>
      <c r="E3068" t="s">
        <v>423</v>
      </c>
      <c r="F3068" t="s">
        <v>424</v>
      </c>
      <c r="G3068" t="s">
        <v>14</v>
      </c>
      <c r="H3068" t="s">
        <v>53</v>
      </c>
      <c r="I3068" t="s">
        <v>53</v>
      </c>
      <c r="J3068" t="s">
        <v>53</v>
      </c>
      <c r="K3068" t="s">
        <v>53</v>
      </c>
      <c r="L3068" t="s">
        <v>53</v>
      </c>
      <c r="M3068" t="s">
        <v>53</v>
      </c>
      <c r="N3068" t="s">
        <v>53</v>
      </c>
      <c r="O3068" t="s">
        <v>53</v>
      </c>
      <c r="P3068" t="s">
        <v>53</v>
      </c>
      <c r="Q3068" t="s">
        <v>53</v>
      </c>
    </row>
    <row r="3069" spans="1:17" x14ac:dyDescent="0.2">
      <c r="A3069" s="30" t="str">
        <f>IF(C3069&amp;G3069&amp;D3069&lt;&gt;'Funnel setup'!$K$3&amp;'Funnel setup'!$K$4&amp;'Funnel setup'!$K$5,".",IF(A3068=".",1,A3068+1))</f>
        <v>.</v>
      </c>
      <c r="B3069" s="431" t="str">
        <f t="shared" si="47"/>
        <v>Hip Replacement RevisionCCG of GP PracticeNHS WAKEFIELD CCG (03R)Oxford Hip Score</v>
      </c>
      <c r="C3069" t="s">
        <v>247</v>
      </c>
      <c r="D3069" t="s">
        <v>87</v>
      </c>
      <c r="E3069" t="s">
        <v>426</v>
      </c>
      <c r="F3069" t="s">
        <v>427</v>
      </c>
      <c r="G3069" t="s">
        <v>14</v>
      </c>
      <c r="H3069">
        <v>6</v>
      </c>
      <c r="I3069">
        <v>14.5</v>
      </c>
      <c r="J3069">
        <v>34.5</v>
      </c>
      <c r="K3069">
        <v>20</v>
      </c>
      <c r="L3069">
        <v>6</v>
      </c>
      <c r="M3069">
        <v>0</v>
      </c>
      <c r="N3069">
        <v>0</v>
      </c>
      <c r="O3069" t="s">
        <v>53</v>
      </c>
      <c r="P3069" t="s">
        <v>53</v>
      </c>
      <c r="Q3069" t="s">
        <v>53</v>
      </c>
    </row>
    <row r="3070" spans="1:17" x14ac:dyDescent="0.2">
      <c r="A3070" s="30" t="str">
        <f>IF(C3070&amp;G3070&amp;D3070&lt;&gt;'Funnel setup'!$K$3&amp;'Funnel setup'!$K$4&amp;'Funnel setup'!$K$5,".",IF(A3069=".",1,A3069+1))</f>
        <v>.</v>
      </c>
      <c r="B3070" s="431" t="str">
        <f t="shared" si="47"/>
        <v>Hip Replacement RevisionCCG of GP PracticeNHS WALSALL CCG (05Y)Oxford Hip Score</v>
      </c>
      <c r="C3070" t="s">
        <v>247</v>
      </c>
      <c r="D3070" t="s">
        <v>87</v>
      </c>
      <c r="E3070" t="s">
        <v>429</v>
      </c>
      <c r="F3070" t="s">
        <v>430</v>
      </c>
      <c r="G3070" t="s">
        <v>14</v>
      </c>
      <c r="H3070">
        <v>12</v>
      </c>
      <c r="I3070">
        <v>19.25</v>
      </c>
      <c r="J3070">
        <v>29.5</v>
      </c>
      <c r="K3070">
        <v>10.25</v>
      </c>
      <c r="L3070">
        <v>9</v>
      </c>
      <c r="M3070">
        <v>0</v>
      </c>
      <c r="N3070">
        <v>3</v>
      </c>
      <c r="O3070" t="s">
        <v>53</v>
      </c>
      <c r="P3070" t="s">
        <v>53</v>
      </c>
      <c r="Q3070" t="s">
        <v>53</v>
      </c>
    </row>
    <row r="3071" spans="1:17" x14ac:dyDescent="0.2">
      <c r="A3071" s="30" t="str">
        <f>IF(C3071&amp;G3071&amp;D3071&lt;&gt;'Funnel setup'!$K$3&amp;'Funnel setup'!$K$4&amp;'Funnel setup'!$K$5,".",IF(A3070=".",1,A3070+1))</f>
        <v>.</v>
      </c>
      <c r="B3071" s="431" t="str">
        <f t="shared" si="47"/>
        <v>Hip Replacement RevisionCCG of GP PracticeNHS WALTHAM FOREST CCG (08W)Oxford Hip Score</v>
      </c>
      <c r="C3071" t="s">
        <v>247</v>
      </c>
      <c r="D3071" t="s">
        <v>87</v>
      </c>
      <c r="E3071" t="s">
        <v>432</v>
      </c>
      <c r="F3071" t="s">
        <v>433</v>
      </c>
      <c r="G3071" t="s">
        <v>14</v>
      </c>
      <c r="H3071" t="s">
        <v>53</v>
      </c>
      <c r="I3071" t="s">
        <v>53</v>
      </c>
      <c r="J3071" t="s">
        <v>53</v>
      </c>
      <c r="K3071" t="s">
        <v>53</v>
      </c>
      <c r="L3071" t="s">
        <v>53</v>
      </c>
      <c r="M3071" t="s">
        <v>53</v>
      </c>
      <c r="N3071" t="s">
        <v>53</v>
      </c>
      <c r="O3071" t="s">
        <v>53</v>
      </c>
      <c r="P3071" t="s">
        <v>53</v>
      </c>
      <c r="Q3071" t="s">
        <v>53</v>
      </c>
    </row>
    <row r="3072" spans="1:17" x14ac:dyDescent="0.2">
      <c r="A3072" s="30" t="str">
        <f>IF(C3072&amp;G3072&amp;D3072&lt;&gt;'Funnel setup'!$K$3&amp;'Funnel setup'!$K$4&amp;'Funnel setup'!$K$5,".",IF(A3071=".",1,A3071+1))</f>
        <v>.</v>
      </c>
      <c r="B3072" s="431" t="str">
        <f t="shared" si="47"/>
        <v>Hip Replacement RevisionCCG of GP PracticeNHS WANDSWORTH CCG (08X)Oxford Hip Score</v>
      </c>
      <c r="C3072" t="s">
        <v>247</v>
      </c>
      <c r="D3072" t="s">
        <v>87</v>
      </c>
      <c r="E3072" t="s">
        <v>435</v>
      </c>
      <c r="F3072" t="s">
        <v>436</v>
      </c>
      <c r="G3072" t="s">
        <v>14</v>
      </c>
      <c r="H3072" t="s">
        <v>53</v>
      </c>
      <c r="I3072" t="s">
        <v>53</v>
      </c>
      <c r="J3072" t="s">
        <v>53</v>
      </c>
      <c r="K3072" t="s">
        <v>53</v>
      </c>
      <c r="L3072" t="s">
        <v>53</v>
      </c>
      <c r="M3072" t="s">
        <v>53</v>
      </c>
      <c r="N3072" t="s">
        <v>53</v>
      </c>
      <c r="O3072" t="s">
        <v>53</v>
      </c>
      <c r="P3072" t="s">
        <v>53</v>
      </c>
      <c r="Q3072" t="s">
        <v>53</v>
      </c>
    </row>
    <row r="3073" spans="1:17" x14ac:dyDescent="0.2">
      <c r="A3073" s="30" t="str">
        <f>IF(C3073&amp;G3073&amp;D3073&lt;&gt;'Funnel setup'!$K$3&amp;'Funnel setup'!$K$4&amp;'Funnel setup'!$K$5,".",IF(A3072=".",1,A3072+1))</f>
        <v>.</v>
      </c>
      <c r="B3073" s="431" t="str">
        <f t="shared" si="47"/>
        <v>Hip Replacement RevisionCCG of GP PracticeNHS WARRINGTON CCG (02E)Oxford Hip Score</v>
      </c>
      <c r="C3073" t="s">
        <v>247</v>
      </c>
      <c r="D3073" t="s">
        <v>87</v>
      </c>
      <c r="E3073" t="s">
        <v>441</v>
      </c>
      <c r="F3073" t="s">
        <v>442</v>
      </c>
      <c r="G3073" t="s">
        <v>14</v>
      </c>
      <c r="H3073" t="s">
        <v>53</v>
      </c>
      <c r="I3073" t="s">
        <v>53</v>
      </c>
      <c r="J3073" t="s">
        <v>53</v>
      </c>
      <c r="K3073" t="s">
        <v>53</v>
      </c>
      <c r="L3073" t="s">
        <v>53</v>
      </c>
      <c r="M3073" t="s">
        <v>53</v>
      </c>
      <c r="N3073" t="s">
        <v>53</v>
      </c>
      <c r="O3073" t="s">
        <v>53</v>
      </c>
      <c r="P3073" t="s">
        <v>53</v>
      </c>
      <c r="Q3073" t="s">
        <v>53</v>
      </c>
    </row>
    <row r="3074" spans="1:17" x14ac:dyDescent="0.2">
      <c r="A3074" s="30" t="str">
        <f>IF(C3074&amp;G3074&amp;D3074&lt;&gt;'Funnel setup'!$K$3&amp;'Funnel setup'!$K$4&amp;'Funnel setup'!$K$5,".",IF(A3073=".",1,A3073+1))</f>
        <v>.</v>
      </c>
      <c r="B3074" s="431" t="str">
        <f t="shared" si="47"/>
        <v>Hip Replacement RevisionCCG of GP PracticeNHS WARWICKSHIRE NORTH CCG (05H)Oxford Hip Score</v>
      </c>
      <c r="C3074" t="s">
        <v>247</v>
      </c>
      <c r="D3074" t="s">
        <v>87</v>
      </c>
      <c r="E3074" t="s">
        <v>438</v>
      </c>
      <c r="F3074" t="s">
        <v>439</v>
      </c>
      <c r="G3074" t="s">
        <v>14</v>
      </c>
      <c r="H3074" t="s">
        <v>53</v>
      </c>
      <c r="I3074" t="s">
        <v>53</v>
      </c>
      <c r="J3074" t="s">
        <v>53</v>
      </c>
      <c r="K3074" t="s">
        <v>53</v>
      </c>
      <c r="L3074" t="s">
        <v>53</v>
      </c>
      <c r="M3074" t="s">
        <v>53</v>
      </c>
      <c r="N3074" t="s">
        <v>53</v>
      </c>
      <c r="O3074" t="s">
        <v>53</v>
      </c>
      <c r="P3074" t="s">
        <v>53</v>
      </c>
      <c r="Q3074" t="s">
        <v>53</v>
      </c>
    </row>
    <row r="3075" spans="1:17" x14ac:dyDescent="0.2">
      <c r="A3075" s="30" t="str">
        <f>IF(C3075&amp;G3075&amp;D3075&lt;&gt;'Funnel setup'!$K$3&amp;'Funnel setup'!$K$4&amp;'Funnel setup'!$K$5,".",IF(A3074=".",1,A3074+1))</f>
        <v>.</v>
      </c>
      <c r="B3075" s="431" t="str">
        <f t="shared" ref="B3075:B3138" si="48">C3075&amp;D3075&amp;F3075&amp;G3075</f>
        <v>Hip Replacement RevisionCCG of GP PracticeNHS WEST CHESHIRE CCG (02F)Oxford Hip Score</v>
      </c>
      <c r="C3075" t="s">
        <v>247</v>
      </c>
      <c r="D3075" t="s">
        <v>87</v>
      </c>
      <c r="E3075" t="s">
        <v>402</v>
      </c>
      <c r="F3075" t="s">
        <v>403</v>
      </c>
      <c r="G3075" t="s">
        <v>14</v>
      </c>
      <c r="H3075">
        <v>19</v>
      </c>
      <c r="I3075">
        <v>21.105</v>
      </c>
      <c r="J3075">
        <v>32.895000000000003</v>
      </c>
      <c r="K3075">
        <v>11.789</v>
      </c>
      <c r="L3075">
        <v>18</v>
      </c>
      <c r="M3075">
        <v>0</v>
      </c>
      <c r="N3075">
        <v>1</v>
      </c>
      <c r="O3075" t="s">
        <v>53</v>
      </c>
      <c r="P3075" t="s">
        <v>53</v>
      </c>
      <c r="Q3075" t="s">
        <v>53</v>
      </c>
    </row>
    <row r="3076" spans="1:17" x14ac:dyDescent="0.2">
      <c r="A3076" s="30" t="str">
        <f>IF(C3076&amp;G3076&amp;D3076&lt;&gt;'Funnel setup'!$K$3&amp;'Funnel setup'!$K$4&amp;'Funnel setup'!$K$5,".",IF(A3075=".",1,A3075+1))</f>
        <v>.</v>
      </c>
      <c r="B3076" s="431" t="str">
        <f t="shared" si="48"/>
        <v>Hip Replacement RevisionCCG of GP PracticeNHS WEST ESSEX CCG (07H)Oxford Hip Score</v>
      </c>
      <c r="C3076" t="s">
        <v>247</v>
      </c>
      <c r="D3076" t="s">
        <v>87</v>
      </c>
      <c r="E3076" t="s">
        <v>405</v>
      </c>
      <c r="F3076" t="s">
        <v>406</v>
      </c>
      <c r="G3076" t="s">
        <v>14</v>
      </c>
      <c r="H3076">
        <v>11</v>
      </c>
      <c r="I3076">
        <v>22.181999999999999</v>
      </c>
      <c r="J3076">
        <v>31</v>
      </c>
      <c r="K3076">
        <v>8.8179999999999996</v>
      </c>
      <c r="L3076">
        <v>9</v>
      </c>
      <c r="M3076">
        <v>0</v>
      </c>
      <c r="N3076">
        <v>2</v>
      </c>
      <c r="O3076" t="s">
        <v>53</v>
      </c>
      <c r="P3076" t="s">
        <v>53</v>
      </c>
      <c r="Q3076" t="s">
        <v>53</v>
      </c>
    </row>
    <row r="3077" spans="1:17" x14ac:dyDescent="0.2">
      <c r="A3077" s="30" t="str">
        <f>IF(C3077&amp;G3077&amp;D3077&lt;&gt;'Funnel setup'!$K$3&amp;'Funnel setup'!$K$4&amp;'Funnel setup'!$K$5,".",IF(A3076=".",1,A3076+1))</f>
        <v>.</v>
      </c>
      <c r="B3077" s="431" t="str">
        <f t="shared" si="48"/>
        <v>Hip Replacement RevisionCCG of GP PracticeNHS WEST HAMPSHIRE CCG (11A)Oxford Hip Score</v>
      </c>
      <c r="C3077" t="s">
        <v>247</v>
      </c>
      <c r="D3077" t="s">
        <v>87</v>
      </c>
      <c r="E3077" t="s">
        <v>444</v>
      </c>
      <c r="F3077" t="s">
        <v>445</v>
      </c>
      <c r="G3077" t="s">
        <v>14</v>
      </c>
      <c r="H3077">
        <v>30</v>
      </c>
      <c r="I3077">
        <v>22</v>
      </c>
      <c r="J3077">
        <v>34.832999999999998</v>
      </c>
      <c r="K3077">
        <v>12.833</v>
      </c>
      <c r="L3077">
        <v>29</v>
      </c>
      <c r="M3077">
        <v>0</v>
      </c>
      <c r="N3077">
        <v>1</v>
      </c>
      <c r="O3077">
        <v>33.654000000000003</v>
      </c>
      <c r="P3077">
        <v>12.779136919999999</v>
      </c>
      <c r="Q3077">
        <v>8.2739999999999991</v>
      </c>
    </row>
    <row r="3078" spans="1:17" x14ac:dyDescent="0.2">
      <c r="A3078" s="30" t="str">
        <f>IF(C3078&amp;G3078&amp;D3078&lt;&gt;'Funnel setup'!$K$3&amp;'Funnel setup'!$K$4&amp;'Funnel setup'!$K$5,".",IF(A3077=".",1,A3077+1))</f>
        <v>.</v>
      </c>
      <c r="B3078" s="431" t="str">
        <f t="shared" si="48"/>
        <v>Hip Replacement RevisionCCG of GP PracticeNHS WEST KENT CCG (99J)Oxford Hip Score</v>
      </c>
      <c r="C3078" t="s">
        <v>247</v>
      </c>
      <c r="D3078" t="s">
        <v>87</v>
      </c>
      <c r="E3078" t="s">
        <v>447</v>
      </c>
      <c r="F3078" t="s">
        <v>448</v>
      </c>
      <c r="G3078" t="s">
        <v>14</v>
      </c>
      <c r="H3078">
        <v>22</v>
      </c>
      <c r="I3078">
        <v>24.135999999999999</v>
      </c>
      <c r="J3078">
        <v>36.363999999999997</v>
      </c>
      <c r="K3078">
        <v>12.227</v>
      </c>
      <c r="L3078">
        <v>19</v>
      </c>
      <c r="M3078">
        <v>0</v>
      </c>
      <c r="N3078">
        <v>3</v>
      </c>
      <c r="O3078" t="s">
        <v>53</v>
      </c>
      <c r="P3078" t="s">
        <v>53</v>
      </c>
      <c r="Q3078" t="s">
        <v>53</v>
      </c>
    </row>
    <row r="3079" spans="1:17" x14ac:dyDescent="0.2">
      <c r="A3079" s="30" t="str">
        <f>IF(C3079&amp;G3079&amp;D3079&lt;&gt;'Funnel setup'!$K$3&amp;'Funnel setup'!$K$4&amp;'Funnel setup'!$K$5,".",IF(A3078=".",1,A3078+1))</f>
        <v>.</v>
      </c>
      <c r="B3079" s="431" t="str">
        <f t="shared" si="48"/>
        <v>Hip Replacement RevisionCCG of GP PracticeNHS WEST LANCASHIRE CCG (02G)Oxford Hip Score</v>
      </c>
      <c r="C3079" t="s">
        <v>247</v>
      </c>
      <c r="D3079" t="s">
        <v>87</v>
      </c>
      <c r="E3079" t="s">
        <v>450</v>
      </c>
      <c r="F3079" t="s">
        <v>451</v>
      </c>
      <c r="G3079" t="s">
        <v>14</v>
      </c>
      <c r="H3079" t="s">
        <v>53</v>
      </c>
      <c r="I3079" t="s">
        <v>53</v>
      </c>
      <c r="J3079" t="s">
        <v>53</v>
      </c>
      <c r="K3079" t="s">
        <v>53</v>
      </c>
      <c r="L3079" t="s">
        <v>53</v>
      </c>
      <c r="M3079" t="s">
        <v>53</v>
      </c>
      <c r="N3079" t="s">
        <v>53</v>
      </c>
      <c r="O3079" t="s">
        <v>53</v>
      </c>
      <c r="P3079" t="s">
        <v>53</v>
      </c>
      <c r="Q3079" t="s">
        <v>53</v>
      </c>
    </row>
    <row r="3080" spans="1:17" x14ac:dyDescent="0.2">
      <c r="A3080" s="30" t="str">
        <f>IF(C3080&amp;G3080&amp;D3080&lt;&gt;'Funnel setup'!$K$3&amp;'Funnel setup'!$K$4&amp;'Funnel setup'!$K$5,".",IF(A3079=".",1,A3079+1))</f>
        <v>.</v>
      </c>
      <c r="B3080" s="431" t="str">
        <f t="shared" si="48"/>
        <v>Hip Replacement RevisionCCG of GP PracticeNHS WEST LEICESTERSHIRE CCG (04V)Oxford Hip Score</v>
      </c>
      <c r="C3080" t="s">
        <v>247</v>
      </c>
      <c r="D3080" t="s">
        <v>87</v>
      </c>
      <c r="E3080" t="s">
        <v>453</v>
      </c>
      <c r="F3080" t="s">
        <v>454</v>
      </c>
      <c r="G3080" t="s">
        <v>14</v>
      </c>
      <c r="H3080">
        <v>18</v>
      </c>
      <c r="I3080">
        <v>17.667000000000002</v>
      </c>
      <c r="J3080">
        <v>32.667000000000002</v>
      </c>
      <c r="K3080">
        <v>15</v>
      </c>
      <c r="L3080">
        <v>17</v>
      </c>
      <c r="M3080">
        <v>0</v>
      </c>
      <c r="N3080">
        <v>1</v>
      </c>
      <c r="O3080" t="s">
        <v>53</v>
      </c>
      <c r="P3080" t="s">
        <v>53</v>
      </c>
      <c r="Q3080" t="s">
        <v>53</v>
      </c>
    </row>
    <row r="3081" spans="1:17" x14ac:dyDescent="0.2">
      <c r="A3081" s="30" t="str">
        <f>IF(C3081&amp;G3081&amp;D3081&lt;&gt;'Funnel setup'!$K$3&amp;'Funnel setup'!$K$4&amp;'Funnel setup'!$K$5,".",IF(A3080=".",1,A3080+1))</f>
        <v>.</v>
      </c>
      <c r="B3081" s="431" t="str">
        <f t="shared" si="48"/>
        <v>Hip Replacement RevisionCCG of GP PracticeNHS WEST LONDON CCG (08Y)Oxford Hip Score</v>
      </c>
      <c r="C3081" t="s">
        <v>247</v>
      </c>
      <c r="D3081" t="s">
        <v>87</v>
      </c>
      <c r="E3081" t="s">
        <v>456</v>
      </c>
      <c r="F3081" t="s">
        <v>457</v>
      </c>
      <c r="G3081" t="s">
        <v>14</v>
      </c>
      <c r="H3081" t="s">
        <v>53</v>
      </c>
      <c r="I3081" t="s">
        <v>53</v>
      </c>
      <c r="J3081" t="s">
        <v>53</v>
      </c>
      <c r="K3081" t="s">
        <v>53</v>
      </c>
      <c r="L3081" t="s">
        <v>53</v>
      </c>
      <c r="M3081" t="s">
        <v>53</v>
      </c>
      <c r="N3081" t="s">
        <v>53</v>
      </c>
      <c r="O3081" t="s">
        <v>53</v>
      </c>
      <c r="P3081" t="s">
        <v>53</v>
      </c>
      <c r="Q3081" t="s">
        <v>53</v>
      </c>
    </row>
    <row r="3082" spans="1:17" x14ac:dyDescent="0.2">
      <c r="A3082" s="30" t="str">
        <f>IF(C3082&amp;G3082&amp;D3082&lt;&gt;'Funnel setup'!$K$3&amp;'Funnel setup'!$K$4&amp;'Funnel setup'!$K$5,".",IF(A3081=".",1,A3081+1))</f>
        <v>.</v>
      </c>
      <c r="B3082" s="431" t="str">
        <f t="shared" si="48"/>
        <v>Hip Replacement RevisionCCG of GP PracticeNHS WEST NORFOLK CCG (07J)Oxford Hip Score</v>
      </c>
      <c r="C3082" t="s">
        <v>247</v>
      </c>
      <c r="D3082" t="s">
        <v>87</v>
      </c>
      <c r="E3082" t="s">
        <v>459</v>
      </c>
      <c r="F3082" t="s">
        <v>460</v>
      </c>
      <c r="G3082" t="s">
        <v>14</v>
      </c>
      <c r="H3082">
        <v>11</v>
      </c>
      <c r="I3082">
        <v>21</v>
      </c>
      <c r="J3082">
        <v>38.363999999999997</v>
      </c>
      <c r="K3082">
        <v>17.364000000000001</v>
      </c>
      <c r="L3082">
        <v>9</v>
      </c>
      <c r="M3082">
        <v>0</v>
      </c>
      <c r="N3082">
        <v>2</v>
      </c>
      <c r="O3082" t="s">
        <v>53</v>
      </c>
      <c r="P3082" t="s">
        <v>53</v>
      </c>
      <c r="Q3082" t="s">
        <v>53</v>
      </c>
    </row>
    <row r="3083" spans="1:17" x14ac:dyDescent="0.2">
      <c r="A3083" s="30" t="str">
        <f>IF(C3083&amp;G3083&amp;D3083&lt;&gt;'Funnel setup'!$K$3&amp;'Funnel setup'!$K$4&amp;'Funnel setup'!$K$5,".",IF(A3082=".",1,A3082+1))</f>
        <v>.</v>
      </c>
      <c r="B3083" s="431" t="str">
        <f t="shared" si="48"/>
        <v>Hip Replacement RevisionCCG of GP PracticeNHS WEST SUFFOLK CCG (07K)Oxford Hip Score</v>
      </c>
      <c r="C3083" t="s">
        <v>247</v>
      </c>
      <c r="D3083" t="s">
        <v>87</v>
      </c>
      <c r="E3083" t="s">
        <v>462</v>
      </c>
      <c r="F3083" t="s">
        <v>463</v>
      </c>
      <c r="G3083" t="s">
        <v>14</v>
      </c>
      <c r="H3083">
        <v>11</v>
      </c>
      <c r="I3083">
        <v>19.727</v>
      </c>
      <c r="J3083">
        <v>36.273000000000003</v>
      </c>
      <c r="K3083">
        <v>16.545000000000002</v>
      </c>
      <c r="L3083">
        <v>9</v>
      </c>
      <c r="M3083">
        <v>1</v>
      </c>
      <c r="N3083">
        <v>1</v>
      </c>
      <c r="O3083" t="s">
        <v>53</v>
      </c>
      <c r="P3083" t="s">
        <v>53</v>
      </c>
      <c r="Q3083" t="s">
        <v>53</v>
      </c>
    </row>
    <row r="3084" spans="1:17" x14ac:dyDescent="0.2">
      <c r="A3084" s="30" t="str">
        <f>IF(C3084&amp;G3084&amp;D3084&lt;&gt;'Funnel setup'!$K$3&amp;'Funnel setup'!$K$4&amp;'Funnel setup'!$K$5,".",IF(A3083=".",1,A3083+1))</f>
        <v>.</v>
      </c>
      <c r="B3084" s="431" t="str">
        <f t="shared" si="48"/>
        <v>Hip Replacement RevisionCCG of GP PracticeNHS WIGAN BOROUGH CCG (02H)Oxford Hip Score</v>
      </c>
      <c r="C3084" t="s">
        <v>247</v>
      </c>
      <c r="D3084" t="s">
        <v>87</v>
      </c>
      <c r="E3084" t="s">
        <v>465</v>
      </c>
      <c r="F3084" t="s">
        <v>466</v>
      </c>
      <c r="G3084" t="s">
        <v>14</v>
      </c>
      <c r="H3084">
        <v>10</v>
      </c>
      <c r="I3084">
        <v>15.9</v>
      </c>
      <c r="J3084">
        <v>29.3</v>
      </c>
      <c r="K3084">
        <v>13.4</v>
      </c>
      <c r="L3084">
        <v>9</v>
      </c>
      <c r="M3084">
        <v>0</v>
      </c>
      <c r="N3084">
        <v>1</v>
      </c>
      <c r="O3084" t="s">
        <v>53</v>
      </c>
      <c r="P3084" t="s">
        <v>53</v>
      </c>
      <c r="Q3084" t="s">
        <v>53</v>
      </c>
    </row>
    <row r="3085" spans="1:17" x14ac:dyDescent="0.2">
      <c r="A3085" s="30" t="str">
        <f>IF(C3085&amp;G3085&amp;D3085&lt;&gt;'Funnel setup'!$K$3&amp;'Funnel setup'!$K$4&amp;'Funnel setup'!$K$5,".",IF(A3084=".",1,A3084+1))</f>
        <v>.</v>
      </c>
      <c r="B3085" s="431" t="str">
        <f t="shared" si="48"/>
        <v>Hip Replacement RevisionCCG of GP PracticeNHS WILTSHIRE CCG (99N)Oxford Hip Score</v>
      </c>
      <c r="C3085" t="s">
        <v>247</v>
      </c>
      <c r="D3085" t="s">
        <v>87</v>
      </c>
      <c r="E3085" t="s">
        <v>468</v>
      </c>
      <c r="F3085" t="s">
        <v>469</v>
      </c>
      <c r="G3085" t="s">
        <v>14</v>
      </c>
      <c r="H3085">
        <v>41</v>
      </c>
      <c r="I3085">
        <v>22.292999999999999</v>
      </c>
      <c r="J3085">
        <v>35.146000000000001</v>
      </c>
      <c r="K3085">
        <v>12.853999999999999</v>
      </c>
      <c r="L3085">
        <v>36</v>
      </c>
      <c r="M3085">
        <v>1</v>
      </c>
      <c r="N3085">
        <v>4</v>
      </c>
      <c r="O3085">
        <v>34.238</v>
      </c>
      <c r="P3085">
        <v>13.36294992</v>
      </c>
      <c r="Q3085">
        <v>8.1440000000000001</v>
      </c>
    </row>
    <row r="3086" spans="1:17" x14ac:dyDescent="0.2">
      <c r="A3086" s="30" t="str">
        <f>IF(C3086&amp;G3086&amp;D3086&lt;&gt;'Funnel setup'!$K$3&amp;'Funnel setup'!$K$4&amp;'Funnel setup'!$K$5,".",IF(A3085=".",1,A3085+1))</f>
        <v>.</v>
      </c>
      <c r="B3086" s="431" t="str">
        <f t="shared" si="48"/>
        <v>Hip Replacement RevisionCCG of GP PracticeNHS WINDSOR, ASCOT AND MAIDENHEAD CCG (11C)Oxford Hip Score</v>
      </c>
      <c r="C3086" t="s">
        <v>247</v>
      </c>
      <c r="D3086" t="s">
        <v>87</v>
      </c>
      <c r="E3086" t="s">
        <v>471</v>
      </c>
      <c r="F3086" t="s">
        <v>472</v>
      </c>
      <c r="G3086" t="s">
        <v>14</v>
      </c>
      <c r="H3086" t="s">
        <v>53</v>
      </c>
      <c r="I3086" t="s">
        <v>53</v>
      </c>
      <c r="J3086" t="s">
        <v>53</v>
      </c>
      <c r="K3086" t="s">
        <v>53</v>
      </c>
      <c r="L3086" t="s">
        <v>53</v>
      </c>
      <c r="M3086" t="s">
        <v>53</v>
      </c>
      <c r="N3086" t="s">
        <v>53</v>
      </c>
      <c r="O3086" t="s">
        <v>53</v>
      </c>
      <c r="P3086" t="s">
        <v>53</v>
      </c>
      <c r="Q3086" t="s">
        <v>53</v>
      </c>
    </row>
    <row r="3087" spans="1:17" x14ac:dyDescent="0.2">
      <c r="A3087" s="30" t="str">
        <f>IF(C3087&amp;G3087&amp;D3087&lt;&gt;'Funnel setup'!$K$3&amp;'Funnel setup'!$K$4&amp;'Funnel setup'!$K$5,".",IF(A3086=".",1,A3086+1))</f>
        <v>.</v>
      </c>
      <c r="B3087" s="431" t="str">
        <f t="shared" si="48"/>
        <v>Hip Replacement RevisionCCG of GP PracticeNHS WIRRAL CCG (12F)Oxford Hip Score</v>
      </c>
      <c r="C3087" t="s">
        <v>247</v>
      </c>
      <c r="D3087" t="s">
        <v>87</v>
      </c>
      <c r="E3087" t="s">
        <v>474</v>
      </c>
      <c r="F3087" t="s">
        <v>475</v>
      </c>
      <c r="G3087" t="s">
        <v>14</v>
      </c>
      <c r="H3087" t="s">
        <v>53</v>
      </c>
      <c r="I3087" t="s">
        <v>53</v>
      </c>
      <c r="J3087" t="s">
        <v>53</v>
      </c>
      <c r="K3087" t="s">
        <v>53</v>
      </c>
      <c r="L3087" t="s">
        <v>53</v>
      </c>
      <c r="M3087" t="s">
        <v>53</v>
      </c>
      <c r="N3087" t="s">
        <v>53</v>
      </c>
      <c r="O3087" t="s">
        <v>53</v>
      </c>
      <c r="P3087" t="s">
        <v>53</v>
      </c>
      <c r="Q3087" t="s">
        <v>53</v>
      </c>
    </row>
    <row r="3088" spans="1:17" x14ac:dyDescent="0.2">
      <c r="A3088" s="30" t="str">
        <f>IF(C3088&amp;G3088&amp;D3088&lt;&gt;'Funnel setup'!$K$3&amp;'Funnel setup'!$K$4&amp;'Funnel setup'!$K$5,".",IF(A3087=".",1,A3087+1))</f>
        <v>.</v>
      </c>
      <c r="B3088" s="431" t="str">
        <f t="shared" si="48"/>
        <v>Hip Replacement RevisionCCG of GP PracticeNHS WOKINGHAM CCG (11D)Oxford Hip Score</v>
      </c>
      <c r="C3088" t="s">
        <v>247</v>
      </c>
      <c r="D3088" t="s">
        <v>87</v>
      </c>
      <c r="E3088" t="s">
        <v>477</v>
      </c>
      <c r="F3088" t="s">
        <v>478</v>
      </c>
      <c r="G3088" t="s">
        <v>14</v>
      </c>
      <c r="H3088" t="s">
        <v>53</v>
      </c>
      <c r="I3088" t="s">
        <v>53</v>
      </c>
      <c r="J3088" t="s">
        <v>53</v>
      </c>
      <c r="K3088" t="s">
        <v>53</v>
      </c>
      <c r="L3088" t="s">
        <v>53</v>
      </c>
      <c r="M3088" t="s">
        <v>53</v>
      </c>
      <c r="N3088" t="s">
        <v>53</v>
      </c>
      <c r="O3088" t="s">
        <v>53</v>
      </c>
      <c r="P3088" t="s">
        <v>53</v>
      </c>
      <c r="Q3088" t="s">
        <v>53</v>
      </c>
    </row>
    <row r="3089" spans="1:17" x14ac:dyDescent="0.2">
      <c r="A3089" s="30" t="str">
        <f>IF(C3089&amp;G3089&amp;D3089&lt;&gt;'Funnel setup'!$K$3&amp;'Funnel setup'!$K$4&amp;'Funnel setup'!$K$5,".",IF(A3088=".",1,A3088+1))</f>
        <v>.</v>
      </c>
      <c r="B3089" s="431" t="str">
        <f t="shared" si="48"/>
        <v>Hip Replacement RevisionCCG of GP PracticeNHS WOLVERHAMPTON CCG (06A)Oxford Hip Score</v>
      </c>
      <c r="C3089" t="s">
        <v>247</v>
      </c>
      <c r="D3089" t="s">
        <v>87</v>
      </c>
      <c r="E3089" t="s">
        <v>480</v>
      </c>
      <c r="F3089" t="s">
        <v>481</v>
      </c>
      <c r="G3089" t="s">
        <v>14</v>
      </c>
      <c r="H3089">
        <v>6</v>
      </c>
      <c r="I3089">
        <v>19.667000000000002</v>
      </c>
      <c r="J3089">
        <v>30</v>
      </c>
      <c r="K3089">
        <v>10.333</v>
      </c>
      <c r="L3089">
        <v>5</v>
      </c>
      <c r="M3089">
        <v>0</v>
      </c>
      <c r="N3089">
        <v>1</v>
      </c>
      <c r="O3089" t="s">
        <v>53</v>
      </c>
      <c r="P3089" t="s">
        <v>53</v>
      </c>
      <c r="Q3089" t="s">
        <v>53</v>
      </c>
    </row>
    <row r="3090" spans="1:17" x14ac:dyDescent="0.2">
      <c r="A3090" s="30" t="str">
        <f>IF(C3090&amp;G3090&amp;D3090&lt;&gt;'Funnel setup'!$K$3&amp;'Funnel setup'!$K$4&amp;'Funnel setup'!$K$5,".",IF(A3089=".",1,A3089+1))</f>
        <v>.</v>
      </c>
      <c r="B3090" s="431" t="str">
        <f t="shared" si="48"/>
        <v>Hip Replacement RevisionCCG of GP PracticeNHS WYRE FOREST CCG (06D)Oxford Hip Score</v>
      </c>
      <c r="C3090" t="s">
        <v>247</v>
      </c>
      <c r="D3090" t="s">
        <v>87</v>
      </c>
      <c r="E3090" t="s">
        <v>483</v>
      </c>
      <c r="F3090" t="s">
        <v>484</v>
      </c>
      <c r="G3090" t="s">
        <v>14</v>
      </c>
      <c r="H3090">
        <v>7</v>
      </c>
      <c r="I3090">
        <v>17.143000000000001</v>
      </c>
      <c r="J3090">
        <v>32.856999999999999</v>
      </c>
      <c r="K3090">
        <v>15.714</v>
      </c>
      <c r="L3090">
        <v>7</v>
      </c>
      <c r="M3090">
        <v>0</v>
      </c>
      <c r="N3090">
        <v>0</v>
      </c>
      <c r="O3090" t="s">
        <v>53</v>
      </c>
      <c r="P3090" t="s">
        <v>53</v>
      </c>
      <c r="Q3090" t="s">
        <v>53</v>
      </c>
    </row>
    <row r="3091" spans="1:17" x14ac:dyDescent="0.2">
      <c r="A3091" s="30" t="str">
        <f>IF(C3091&amp;G3091&amp;D3091&lt;&gt;'Funnel setup'!$K$3&amp;'Funnel setup'!$K$4&amp;'Funnel setup'!$K$5,".",IF(A3090=".",1,A3090+1))</f>
        <v>.</v>
      </c>
      <c r="B3091" s="431" t="str">
        <f t="shared" si="48"/>
        <v>Hip Replacement RevisionEnglandEnglandEQ VAS</v>
      </c>
      <c r="C3091" t="s">
        <v>247</v>
      </c>
      <c r="D3091" t="s">
        <v>163</v>
      </c>
      <c r="E3091" t="s">
        <v>163</v>
      </c>
      <c r="F3091" t="s">
        <v>163</v>
      </c>
      <c r="G3091" t="s">
        <v>179</v>
      </c>
      <c r="H3091">
        <v>2143</v>
      </c>
      <c r="I3091">
        <v>64.77</v>
      </c>
      <c r="J3091">
        <v>70</v>
      </c>
      <c r="K3091">
        <v>5.23</v>
      </c>
      <c r="L3091">
        <v>1134</v>
      </c>
      <c r="M3091">
        <v>268</v>
      </c>
      <c r="N3091">
        <v>741</v>
      </c>
      <c r="O3091">
        <v>70</v>
      </c>
      <c r="P3091">
        <v>5.2300513300000002</v>
      </c>
      <c r="Q3091">
        <v>17.638000000000002</v>
      </c>
    </row>
    <row r="3092" spans="1:17" x14ac:dyDescent="0.2">
      <c r="A3092" s="30" t="str">
        <f>IF(C3092&amp;G3092&amp;D3092&lt;&gt;'Funnel setup'!$K$3&amp;'Funnel setup'!$K$4&amp;'Funnel setup'!$K$5,".",IF(A3091=".",1,A3091+1))</f>
        <v>.</v>
      </c>
      <c r="B3092" s="431" t="str">
        <f t="shared" si="48"/>
        <v>Hip Replacement RevisionEnglandEnglandEQ-5D Index</v>
      </c>
      <c r="C3092" t="s">
        <v>247</v>
      </c>
      <c r="D3092" t="s">
        <v>163</v>
      </c>
      <c r="E3092" t="s">
        <v>163</v>
      </c>
      <c r="F3092" t="s">
        <v>163</v>
      </c>
      <c r="G3092" t="s">
        <v>52</v>
      </c>
      <c r="H3092">
        <v>2263</v>
      </c>
      <c r="I3092">
        <v>0.39900000000000002</v>
      </c>
      <c r="J3092">
        <v>0.67500000000000004</v>
      </c>
      <c r="K3092">
        <v>0.27700000000000002</v>
      </c>
      <c r="L3092">
        <v>1633</v>
      </c>
      <c r="M3092">
        <v>290</v>
      </c>
      <c r="N3092">
        <v>340</v>
      </c>
      <c r="O3092">
        <v>0.67500000000000004</v>
      </c>
      <c r="P3092">
        <v>0.27656076000000002</v>
      </c>
      <c r="Q3092">
        <v>0.254</v>
      </c>
    </row>
    <row r="3093" spans="1:17" x14ac:dyDescent="0.2">
      <c r="A3093" s="30" t="str">
        <f>IF(C3093&amp;G3093&amp;D3093&lt;&gt;'Funnel setup'!$K$3&amp;'Funnel setup'!$K$4&amp;'Funnel setup'!$K$5,".",IF(A3092=".",1,A3092+1))</f>
        <v>.</v>
      </c>
      <c r="B3093" s="431" t="str">
        <f t="shared" si="48"/>
        <v>Hip Replacement RevisionEnglandEnglandOxford Hip Score</v>
      </c>
      <c r="C3093" t="s">
        <v>247</v>
      </c>
      <c r="D3093" t="s">
        <v>163</v>
      </c>
      <c r="E3093" t="s">
        <v>163</v>
      </c>
      <c r="F3093" t="s">
        <v>163</v>
      </c>
      <c r="G3093" t="s">
        <v>14</v>
      </c>
      <c r="H3093">
        <v>2477</v>
      </c>
      <c r="I3093">
        <v>20.875</v>
      </c>
      <c r="J3093">
        <v>33.6</v>
      </c>
      <c r="K3093">
        <v>12.725</v>
      </c>
      <c r="L3093">
        <v>2123</v>
      </c>
      <c r="M3093">
        <v>56</v>
      </c>
      <c r="N3093">
        <v>298</v>
      </c>
      <c r="O3093">
        <v>33.6</v>
      </c>
      <c r="P3093">
        <v>12.724666940000001</v>
      </c>
      <c r="Q3093">
        <v>9.5359999999999996</v>
      </c>
    </row>
    <row r="3094" spans="1:17" x14ac:dyDescent="0.2">
      <c r="A3094" s="30" t="str">
        <f>IF(C3094&amp;G3094&amp;D3094&lt;&gt;'Funnel setup'!$K$3&amp;'Funnel setup'!$K$4&amp;'Funnel setup'!$K$5,".",IF(A3093=".",1,A3093+1))</f>
        <v>.</v>
      </c>
      <c r="B3094" s="431" t="str">
        <f t="shared" si="48"/>
        <v>Hip Replacement RevisionProviderAINTREE UNIVERSITY HOSPITAL NHS FOUNDATION TRUST (REM)EQ VAS</v>
      </c>
      <c r="C3094" t="s">
        <v>247</v>
      </c>
      <c r="D3094" t="s">
        <v>1</v>
      </c>
      <c r="E3094" t="s">
        <v>3838</v>
      </c>
      <c r="F3094" t="s">
        <v>3839</v>
      </c>
      <c r="G3094" t="s">
        <v>179</v>
      </c>
      <c r="H3094">
        <v>14</v>
      </c>
      <c r="I3094">
        <v>54.5</v>
      </c>
      <c r="J3094">
        <v>61.929000000000002</v>
      </c>
      <c r="K3094">
        <v>7.4290000000000003</v>
      </c>
      <c r="L3094">
        <v>7</v>
      </c>
      <c r="M3094">
        <v>2</v>
      </c>
      <c r="N3094">
        <v>5</v>
      </c>
      <c r="O3094" t="s">
        <v>53</v>
      </c>
      <c r="P3094" t="s">
        <v>53</v>
      </c>
      <c r="Q3094" t="s">
        <v>53</v>
      </c>
    </row>
    <row r="3095" spans="1:17" x14ac:dyDescent="0.2">
      <c r="A3095" s="30" t="str">
        <f>IF(C3095&amp;G3095&amp;D3095&lt;&gt;'Funnel setup'!$K$3&amp;'Funnel setup'!$K$4&amp;'Funnel setup'!$K$5,".",IF(A3094=".",1,A3094+1))</f>
        <v>.</v>
      </c>
      <c r="B3095" s="431" t="str">
        <f t="shared" si="48"/>
        <v>Hip Replacement RevisionProviderAIREDALE NHS FOUNDATION TRUST (RCF)EQ VAS</v>
      </c>
      <c r="C3095" t="s">
        <v>247</v>
      </c>
      <c r="D3095" t="s">
        <v>1</v>
      </c>
      <c r="E3095" t="s">
        <v>3841</v>
      </c>
      <c r="F3095" t="s">
        <v>3842</v>
      </c>
      <c r="G3095" t="s">
        <v>179</v>
      </c>
      <c r="H3095">
        <v>9</v>
      </c>
      <c r="I3095">
        <v>72</v>
      </c>
      <c r="J3095">
        <v>80.111000000000004</v>
      </c>
      <c r="K3095">
        <v>8.1110000000000007</v>
      </c>
      <c r="L3095">
        <v>4</v>
      </c>
      <c r="M3095">
        <v>4</v>
      </c>
      <c r="N3095">
        <v>1</v>
      </c>
      <c r="O3095" t="s">
        <v>53</v>
      </c>
      <c r="P3095" t="s">
        <v>53</v>
      </c>
      <c r="Q3095" t="s">
        <v>53</v>
      </c>
    </row>
    <row r="3096" spans="1:17" x14ac:dyDescent="0.2">
      <c r="A3096" s="30" t="str">
        <f>IF(C3096&amp;G3096&amp;D3096&lt;&gt;'Funnel setup'!$K$3&amp;'Funnel setup'!$K$4&amp;'Funnel setup'!$K$5,".",IF(A3095=".",1,A3095+1))</f>
        <v>.</v>
      </c>
      <c r="B3096" s="431" t="str">
        <f t="shared" si="48"/>
        <v>Hip Replacement RevisionProviderASHFORD AND ST PETER'S HOSPITALS NHS FOUNDATION TRUST (RTK)EQ VAS</v>
      </c>
      <c r="C3096" t="s">
        <v>247</v>
      </c>
      <c r="D3096" t="s">
        <v>1</v>
      </c>
      <c r="E3096" t="s">
        <v>3844</v>
      </c>
      <c r="F3096" t="s">
        <v>345</v>
      </c>
      <c r="G3096" t="s">
        <v>179</v>
      </c>
      <c r="H3096">
        <v>14</v>
      </c>
      <c r="I3096">
        <v>74.143000000000001</v>
      </c>
      <c r="J3096">
        <v>72.856999999999999</v>
      </c>
      <c r="K3096">
        <v>-1.286</v>
      </c>
      <c r="L3096">
        <v>4</v>
      </c>
      <c r="M3096">
        <v>2</v>
      </c>
      <c r="N3096">
        <v>8</v>
      </c>
      <c r="O3096" t="s">
        <v>53</v>
      </c>
      <c r="P3096" t="s">
        <v>53</v>
      </c>
      <c r="Q3096" t="s">
        <v>53</v>
      </c>
    </row>
    <row r="3097" spans="1:17" x14ac:dyDescent="0.2">
      <c r="A3097" s="30" t="str">
        <f>IF(C3097&amp;G3097&amp;D3097&lt;&gt;'Funnel setup'!$K$3&amp;'Funnel setup'!$K$4&amp;'Funnel setup'!$K$5,".",IF(A3096=".",1,A3096+1))</f>
        <v>.</v>
      </c>
      <c r="B3097" s="431" t="str">
        <f t="shared" si="48"/>
        <v>Hip Replacement RevisionProviderASHTEAD HOSPITAL (NVC01)EQ VAS</v>
      </c>
      <c r="C3097" t="s">
        <v>247</v>
      </c>
      <c r="D3097" t="s">
        <v>1</v>
      </c>
      <c r="E3097" t="s">
        <v>3846</v>
      </c>
      <c r="F3097" t="s">
        <v>3847</v>
      </c>
      <c r="G3097" t="s">
        <v>179</v>
      </c>
      <c r="H3097" t="s">
        <v>53</v>
      </c>
      <c r="I3097" t="s">
        <v>53</v>
      </c>
      <c r="J3097" t="s">
        <v>53</v>
      </c>
      <c r="K3097" t="s">
        <v>53</v>
      </c>
      <c r="L3097" t="s">
        <v>53</v>
      </c>
      <c r="M3097" t="s">
        <v>53</v>
      </c>
      <c r="N3097" t="s">
        <v>53</v>
      </c>
      <c r="O3097" t="s">
        <v>53</v>
      </c>
      <c r="P3097" t="s">
        <v>53</v>
      </c>
      <c r="Q3097" t="s">
        <v>53</v>
      </c>
    </row>
    <row r="3098" spans="1:17" x14ac:dyDescent="0.2">
      <c r="A3098" s="30" t="str">
        <f>IF(C3098&amp;G3098&amp;D3098&lt;&gt;'Funnel setup'!$K$3&amp;'Funnel setup'!$K$4&amp;'Funnel setup'!$K$5,".",IF(A3097=".",1,A3097+1))</f>
        <v>.</v>
      </c>
      <c r="B3098" s="431" t="str">
        <f t="shared" si="48"/>
        <v>Hip Replacement RevisionProviderASPEN - CLAREMONT HOSPITAL (NYW04)EQ VAS</v>
      </c>
      <c r="C3098" t="s">
        <v>247</v>
      </c>
      <c r="D3098" t="s">
        <v>1</v>
      </c>
      <c r="E3098" t="s">
        <v>3500</v>
      </c>
      <c r="F3098" t="s">
        <v>3501</v>
      </c>
      <c r="G3098" t="s">
        <v>179</v>
      </c>
      <c r="H3098" t="s">
        <v>53</v>
      </c>
      <c r="I3098" t="s">
        <v>53</v>
      </c>
      <c r="J3098" t="s">
        <v>53</v>
      </c>
      <c r="K3098" t="s">
        <v>53</v>
      </c>
      <c r="L3098" t="s">
        <v>53</v>
      </c>
      <c r="M3098" t="s">
        <v>53</v>
      </c>
      <c r="N3098" t="s">
        <v>53</v>
      </c>
      <c r="O3098" t="s">
        <v>53</v>
      </c>
      <c r="P3098" t="s">
        <v>53</v>
      </c>
      <c r="Q3098" t="s">
        <v>53</v>
      </c>
    </row>
    <row r="3099" spans="1:17" x14ac:dyDescent="0.2">
      <c r="A3099" s="30" t="str">
        <f>IF(C3099&amp;G3099&amp;D3099&lt;&gt;'Funnel setup'!$K$3&amp;'Funnel setup'!$K$4&amp;'Funnel setup'!$K$5,".",IF(A3098=".",1,A3098+1))</f>
        <v>.</v>
      </c>
      <c r="B3099" s="431" t="str">
        <f t="shared" si="48"/>
        <v>Hip Replacement RevisionProviderBARLBOROUGH NHS TREATMENT CENTRE (NTP13)EQ VAS</v>
      </c>
      <c r="C3099" t="s">
        <v>247</v>
      </c>
      <c r="D3099" t="s">
        <v>1</v>
      </c>
      <c r="E3099" t="s">
        <v>4425</v>
      </c>
      <c r="F3099" t="s">
        <v>4426</v>
      </c>
      <c r="G3099" t="s">
        <v>179</v>
      </c>
      <c r="H3099">
        <v>6</v>
      </c>
      <c r="I3099">
        <v>59.167000000000002</v>
      </c>
      <c r="J3099">
        <v>65.667000000000002</v>
      </c>
      <c r="K3099">
        <v>6.5</v>
      </c>
      <c r="L3099">
        <v>3</v>
      </c>
      <c r="M3099">
        <v>0</v>
      </c>
      <c r="N3099">
        <v>3</v>
      </c>
      <c r="O3099" t="s">
        <v>53</v>
      </c>
      <c r="P3099" t="s">
        <v>53</v>
      </c>
      <c r="Q3099" t="s">
        <v>53</v>
      </c>
    </row>
    <row r="3100" spans="1:17" x14ac:dyDescent="0.2">
      <c r="A3100" s="30" t="str">
        <f>IF(C3100&amp;G3100&amp;D3100&lt;&gt;'Funnel setup'!$K$3&amp;'Funnel setup'!$K$4&amp;'Funnel setup'!$K$5,".",IF(A3099=".",1,A3099+1))</f>
        <v>.</v>
      </c>
      <c r="B3100" s="431" t="str">
        <f t="shared" si="48"/>
        <v>Hip Replacement RevisionProviderBARNSLEY HOSPITAL NHS FOUNDATION TRUST (RFF)EQ VAS</v>
      </c>
      <c r="C3100" t="s">
        <v>247</v>
      </c>
      <c r="D3100" t="s">
        <v>1</v>
      </c>
      <c r="E3100" t="s">
        <v>3549</v>
      </c>
      <c r="F3100" t="s">
        <v>3550</v>
      </c>
      <c r="G3100" t="s">
        <v>179</v>
      </c>
      <c r="H3100" t="s">
        <v>53</v>
      </c>
      <c r="I3100" t="s">
        <v>53</v>
      </c>
      <c r="J3100" t="s">
        <v>53</v>
      </c>
      <c r="K3100" t="s">
        <v>53</v>
      </c>
      <c r="L3100" t="s">
        <v>53</v>
      </c>
      <c r="M3100" t="s">
        <v>53</v>
      </c>
      <c r="N3100" t="s">
        <v>53</v>
      </c>
      <c r="O3100" t="s">
        <v>53</v>
      </c>
      <c r="P3100" t="s">
        <v>53</v>
      </c>
      <c r="Q3100" t="s">
        <v>53</v>
      </c>
    </row>
    <row r="3101" spans="1:17" x14ac:dyDescent="0.2">
      <c r="A3101" s="30" t="str">
        <f>IF(C3101&amp;G3101&amp;D3101&lt;&gt;'Funnel setup'!$K$3&amp;'Funnel setup'!$K$4&amp;'Funnel setup'!$K$5,".",IF(A3100=".",1,A3100+1))</f>
        <v>.</v>
      </c>
      <c r="B3101" s="431" t="str">
        <f t="shared" si="48"/>
        <v>Hip Replacement RevisionProviderBARTS HEALTH NHS TRUST (R1H)EQ VAS</v>
      </c>
      <c r="C3101" t="s">
        <v>247</v>
      </c>
      <c r="D3101" t="s">
        <v>1</v>
      </c>
      <c r="E3101" t="s">
        <v>3552</v>
      </c>
      <c r="F3101" t="s">
        <v>3553</v>
      </c>
      <c r="G3101" t="s">
        <v>179</v>
      </c>
      <c r="H3101">
        <v>11</v>
      </c>
      <c r="I3101">
        <v>63.636000000000003</v>
      </c>
      <c r="J3101">
        <v>59.908999999999999</v>
      </c>
      <c r="K3101">
        <v>-3.7269999999999999</v>
      </c>
      <c r="L3101">
        <v>3</v>
      </c>
      <c r="M3101">
        <v>2</v>
      </c>
      <c r="N3101">
        <v>6</v>
      </c>
      <c r="O3101" t="s">
        <v>53</v>
      </c>
      <c r="P3101" t="s">
        <v>53</v>
      </c>
      <c r="Q3101" t="s">
        <v>53</v>
      </c>
    </row>
    <row r="3102" spans="1:17" x14ac:dyDescent="0.2">
      <c r="A3102" s="30" t="str">
        <f>IF(C3102&amp;G3102&amp;D3102&lt;&gt;'Funnel setup'!$K$3&amp;'Funnel setup'!$K$4&amp;'Funnel setup'!$K$5,".",IF(A3101=".",1,A3101+1))</f>
        <v>.</v>
      </c>
      <c r="B3102" s="431" t="str">
        <f t="shared" si="48"/>
        <v>Hip Replacement RevisionProviderBASILDON AND THURROCK UNIVERSITY HOSPITALS NHS FOUNDATION TRUST (RDD)EQ VAS</v>
      </c>
      <c r="C3102" t="s">
        <v>247</v>
      </c>
      <c r="D3102" t="s">
        <v>1</v>
      </c>
      <c r="E3102" t="s">
        <v>3555</v>
      </c>
      <c r="F3102" t="s">
        <v>3556</v>
      </c>
      <c r="G3102" t="s">
        <v>179</v>
      </c>
      <c r="H3102">
        <v>9</v>
      </c>
      <c r="I3102">
        <v>66</v>
      </c>
      <c r="J3102">
        <v>62.110999999999997</v>
      </c>
      <c r="K3102">
        <v>-3.8889999999999998</v>
      </c>
      <c r="L3102">
        <v>3</v>
      </c>
      <c r="M3102">
        <v>1</v>
      </c>
      <c r="N3102">
        <v>5</v>
      </c>
      <c r="O3102" t="s">
        <v>53</v>
      </c>
      <c r="P3102" t="s">
        <v>53</v>
      </c>
      <c r="Q3102" t="s">
        <v>53</v>
      </c>
    </row>
    <row r="3103" spans="1:17" x14ac:dyDescent="0.2">
      <c r="A3103" s="30" t="str">
        <f>IF(C3103&amp;G3103&amp;D3103&lt;&gt;'Funnel setup'!$K$3&amp;'Funnel setup'!$K$4&amp;'Funnel setup'!$K$5,".",IF(A3102=".",1,A3102+1))</f>
        <v>.</v>
      </c>
      <c r="B3103" s="431" t="str">
        <f t="shared" si="48"/>
        <v>Hip Replacement RevisionProviderBEDFORD HOSPITAL NHS TRUST (RC1)EQ VAS</v>
      </c>
      <c r="C3103" t="s">
        <v>247</v>
      </c>
      <c r="D3103" t="s">
        <v>1</v>
      </c>
      <c r="E3103" t="s">
        <v>3558</v>
      </c>
      <c r="F3103" t="s">
        <v>3559</v>
      </c>
      <c r="G3103" t="s">
        <v>179</v>
      </c>
      <c r="H3103" t="s">
        <v>53</v>
      </c>
      <c r="I3103" t="s">
        <v>53</v>
      </c>
      <c r="J3103" t="s">
        <v>53</v>
      </c>
      <c r="K3103" t="s">
        <v>53</v>
      </c>
      <c r="L3103" t="s">
        <v>53</v>
      </c>
      <c r="M3103" t="s">
        <v>53</v>
      </c>
      <c r="N3103" t="s">
        <v>53</v>
      </c>
      <c r="O3103" t="s">
        <v>53</v>
      </c>
      <c r="P3103" t="s">
        <v>53</v>
      </c>
      <c r="Q3103" t="s">
        <v>53</v>
      </c>
    </row>
    <row r="3104" spans="1:17" x14ac:dyDescent="0.2">
      <c r="A3104" s="30" t="str">
        <f>IF(C3104&amp;G3104&amp;D3104&lt;&gt;'Funnel setup'!$K$3&amp;'Funnel setup'!$K$4&amp;'Funnel setup'!$K$5,".",IF(A3103=".",1,A3103+1))</f>
        <v>.</v>
      </c>
      <c r="B3104" s="431" t="str">
        <f t="shared" si="48"/>
        <v>Hip Replacement RevisionProviderBMI - BATH CLINIC (NT402)EQ VAS</v>
      </c>
      <c r="C3104" t="s">
        <v>247</v>
      </c>
      <c r="D3104" t="s">
        <v>1</v>
      </c>
      <c r="E3104" t="s">
        <v>3488</v>
      </c>
      <c r="F3104" t="s">
        <v>3489</v>
      </c>
      <c r="G3104" t="s">
        <v>179</v>
      </c>
      <c r="H3104" t="s">
        <v>53</v>
      </c>
      <c r="I3104" t="s">
        <v>53</v>
      </c>
      <c r="J3104" t="s">
        <v>53</v>
      </c>
      <c r="K3104" t="s">
        <v>53</v>
      </c>
      <c r="L3104" t="s">
        <v>53</v>
      </c>
      <c r="M3104" t="s">
        <v>53</v>
      </c>
      <c r="N3104" t="s">
        <v>53</v>
      </c>
      <c r="O3104" t="s">
        <v>53</v>
      </c>
      <c r="P3104" t="s">
        <v>53</v>
      </c>
      <c r="Q3104" t="s">
        <v>53</v>
      </c>
    </row>
    <row r="3105" spans="1:17" x14ac:dyDescent="0.2">
      <c r="A3105" s="30" t="str">
        <f>IF(C3105&amp;G3105&amp;D3105&lt;&gt;'Funnel setup'!$K$3&amp;'Funnel setup'!$K$4&amp;'Funnel setup'!$K$5,".",IF(A3104=".",1,A3104+1))</f>
        <v>.</v>
      </c>
      <c r="B3105" s="431" t="str">
        <f t="shared" si="48"/>
        <v>Hip Replacement RevisionProviderBMI - BISHOPS WOOD (NT405)EQ VAS</v>
      </c>
      <c r="C3105" t="s">
        <v>247</v>
      </c>
      <c r="D3105" t="s">
        <v>1</v>
      </c>
      <c r="E3105" t="s">
        <v>3491</v>
      </c>
      <c r="F3105" t="s">
        <v>3492</v>
      </c>
      <c r="G3105" t="s">
        <v>179</v>
      </c>
      <c r="H3105" t="s">
        <v>53</v>
      </c>
      <c r="I3105" t="s">
        <v>53</v>
      </c>
      <c r="J3105" t="s">
        <v>53</v>
      </c>
      <c r="K3105" t="s">
        <v>53</v>
      </c>
      <c r="L3105" t="s">
        <v>53</v>
      </c>
      <c r="M3105" t="s">
        <v>53</v>
      </c>
      <c r="N3105" t="s">
        <v>53</v>
      </c>
      <c r="O3105" t="s">
        <v>53</v>
      </c>
      <c r="P3105" t="s">
        <v>53</v>
      </c>
      <c r="Q3105" t="s">
        <v>53</v>
      </c>
    </row>
    <row r="3106" spans="1:17" x14ac:dyDescent="0.2">
      <c r="A3106" s="30" t="str">
        <f>IF(C3106&amp;G3106&amp;D3106&lt;&gt;'Funnel setup'!$K$3&amp;'Funnel setup'!$K$4&amp;'Funnel setup'!$K$5,".",IF(A3105=".",1,A3105+1))</f>
        <v>.</v>
      </c>
      <c r="B3106" s="431" t="str">
        <f t="shared" si="48"/>
        <v>Hip Replacement RevisionProviderBMI - GORING HALL HOSPITAL (NT417)EQ VAS</v>
      </c>
      <c r="C3106" t="s">
        <v>247</v>
      </c>
      <c r="D3106" t="s">
        <v>1</v>
      </c>
      <c r="E3106" t="s">
        <v>3403</v>
      </c>
      <c r="F3106" t="s">
        <v>3404</v>
      </c>
      <c r="G3106" t="s">
        <v>179</v>
      </c>
      <c r="H3106">
        <v>8</v>
      </c>
      <c r="I3106">
        <v>64.625</v>
      </c>
      <c r="J3106">
        <v>76.25</v>
      </c>
      <c r="K3106">
        <v>11.625</v>
      </c>
      <c r="L3106">
        <v>5</v>
      </c>
      <c r="M3106">
        <v>0</v>
      </c>
      <c r="N3106">
        <v>3</v>
      </c>
      <c r="O3106" t="s">
        <v>53</v>
      </c>
      <c r="P3106" t="s">
        <v>53</v>
      </c>
      <c r="Q3106" t="s">
        <v>53</v>
      </c>
    </row>
    <row r="3107" spans="1:17" x14ac:dyDescent="0.2">
      <c r="A3107" s="30" t="str">
        <f>IF(C3107&amp;G3107&amp;D3107&lt;&gt;'Funnel setup'!$K$3&amp;'Funnel setup'!$K$4&amp;'Funnel setup'!$K$5,".",IF(A3106=".",1,A3106+1))</f>
        <v>.</v>
      </c>
      <c r="B3107" s="431" t="str">
        <f t="shared" si="48"/>
        <v>Hip Replacement RevisionProviderBMI - THE CHILTERN HOSPITAL (NT410)EQ VAS</v>
      </c>
      <c r="C3107" t="s">
        <v>247</v>
      </c>
      <c r="D3107" t="s">
        <v>1</v>
      </c>
      <c r="E3107" t="s">
        <v>3594</v>
      </c>
      <c r="F3107" t="s">
        <v>3595</v>
      </c>
      <c r="G3107" t="s">
        <v>179</v>
      </c>
      <c r="H3107" t="s">
        <v>53</v>
      </c>
      <c r="I3107" t="s">
        <v>53</v>
      </c>
      <c r="J3107" t="s">
        <v>53</v>
      </c>
      <c r="K3107" t="s">
        <v>53</v>
      </c>
      <c r="L3107" t="s">
        <v>53</v>
      </c>
      <c r="M3107" t="s">
        <v>53</v>
      </c>
      <c r="N3107" t="s">
        <v>53</v>
      </c>
      <c r="O3107" t="s">
        <v>53</v>
      </c>
      <c r="P3107" t="s">
        <v>53</v>
      </c>
      <c r="Q3107" t="s">
        <v>53</v>
      </c>
    </row>
    <row r="3108" spans="1:17" x14ac:dyDescent="0.2">
      <c r="A3108" s="30" t="str">
        <f>IF(C3108&amp;G3108&amp;D3108&lt;&gt;'Funnel setup'!$K$3&amp;'Funnel setup'!$K$4&amp;'Funnel setup'!$K$5,".",IF(A3107=".",1,A3107+1))</f>
        <v>.</v>
      </c>
      <c r="B3108" s="431" t="str">
        <f t="shared" si="48"/>
        <v>Hip Replacement RevisionProviderBMI - THE MERIDEN HOSPITAL (NT424)EQ VAS</v>
      </c>
      <c r="C3108" t="s">
        <v>247</v>
      </c>
      <c r="D3108" t="s">
        <v>1</v>
      </c>
      <c r="E3108" t="s">
        <v>3283</v>
      </c>
      <c r="F3108" t="s">
        <v>3284</v>
      </c>
      <c r="G3108" t="s">
        <v>179</v>
      </c>
      <c r="H3108" t="s">
        <v>53</v>
      </c>
      <c r="I3108" t="s">
        <v>53</v>
      </c>
      <c r="J3108" t="s">
        <v>53</v>
      </c>
      <c r="K3108" t="s">
        <v>53</v>
      </c>
      <c r="L3108" t="s">
        <v>53</v>
      </c>
      <c r="M3108" t="s">
        <v>53</v>
      </c>
      <c r="N3108" t="s">
        <v>53</v>
      </c>
      <c r="O3108" t="s">
        <v>53</v>
      </c>
      <c r="P3108" t="s">
        <v>53</v>
      </c>
      <c r="Q3108" t="s">
        <v>53</v>
      </c>
    </row>
    <row r="3109" spans="1:17" x14ac:dyDescent="0.2">
      <c r="A3109" s="30" t="str">
        <f>IF(C3109&amp;G3109&amp;D3109&lt;&gt;'Funnel setup'!$K$3&amp;'Funnel setup'!$K$4&amp;'Funnel setup'!$K$5,".",IF(A3108=".",1,A3108+1))</f>
        <v>.</v>
      </c>
      <c r="B3109" s="431" t="str">
        <f t="shared" si="48"/>
        <v>Hip Replacement RevisionProviderBMI - THE RUNNYMEDE HOSPITAL (NT431)EQ VAS</v>
      </c>
      <c r="C3109" t="s">
        <v>247</v>
      </c>
      <c r="D3109" t="s">
        <v>1</v>
      </c>
      <c r="E3109" t="s">
        <v>3295</v>
      </c>
      <c r="F3109" t="s">
        <v>3296</v>
      </c>
      <c r="G3109" t="s">
        <v>179</v>
      </c>
      <c r="H3109" t="s">
        <v>53</v>
      </c>
      <c r="I3109" t="s">
        <v>53</v>
      </c>
      <c r="J3109" t="s">
        <v>53</v>
      </c>
      <c r="K3109" t="s">
        <v>53</v>
      </c>
      <c r="L3109" t="s">
        <v>53</v>
      </c>
      <c r="M3109" t="s">
        <v>53</v>
      </c>
      <c r="N3109" t="s">
        <v>53</v>
      </c>
      <c r="O3109" t="s">
        <v>53</v>
      </c>
      <c r="P3109" t="s">
        <v>53</v>
      </c>
      <c r="Q3109" t="s">
        <v>53</v>
      </c>
    </row>
    <row r="3110" spans="1:17" x14ac:dyDescent="0.2">
      <c r="A3110" s="30" t="str">
        <f>IF(C3110&amp;G3110&amp;D3110&lt;&gt;'Funnel setup'!$K$3&amp;'Funnel setup'!$K$4&amp;'Funnel setup'!$K$5,".",IF(A3109=".",1,A3109+1))</f>
        <v>.</v>
      </c>
      <c r="B3110" s="431" t="str">
        <f t="shared" si="48"/>
        <v>Hip Replacement RevisionProviderBMI - THREE SHIRES HOSPITAL (NT441)EQ VAS</v>
      </c>
      <c r="C3110" t="s">
        <v>247</v>
      </c>
      <c r="D3110" t="s">
        <v>1</v>
      </c>
      <c r="E3110" t="s">
        <v>3316</v>
      </c>
      <c r="F3110" t="s">
        <v>3317</v>
      </c>
      <c r="G3110" t="s">
        <v>179</v>
      </c>
      <c r="H3110" t="s">
        <v>53</v>
      </c>
      <c r="I3110" t="s">
        <v>53</v>
      </c>
      <c r="J3110" t="s">
        <v>53</v>
      </c>
      <c r="K3110" t="s">
        <v>53</v>
      </c>
      <c r="L3110" t="s">
        <v>53</v>
      </c>
      <c r="M3110" t="s">
        <v>53</v>
      </c>
      <c r="N3110" t="s">
        <v>53</v>
      </c>
      <c r="O3110" t="s">
        <v>53</v>
      </c>
      <c r="P3110" t="s">
        <v>53</v>
      </c>
      <c r="Q3110" t="s">
        <v>53</v>
      </c>
    </row>
    <row r="3111" spans="1:17" x14ac:dyDescent="0.2">
      <c r="A3111" s="30" t="str">
        <f>IF(C3111&amp;G3111&amp;D3111&lt;&gt;'Funnel setup'!$K$3&amp;'Funnel setup'!$K$4&amp;'Funnel setup'!$K$5,".",IF(A3110=".",1,A3110+1))</f>
        <v>.</v>
      </c>
      <c r="B3111" s="431" t="str">
        <f t="shared" si="48"/>
        <v>Hip Replacement RevisionProviderBMI ST EDMUNDS HOSPITAL (NT446)EQ VAS</v>
      </c>
      <c r="C3111" t="s">
        <v>247</v>
      </c>
      <c r="D3111" t="s">
        <v>1</v>
      </c>
      <c r="E3111" t="s">
        <v>3328</v>
      </c>
      <c r="F3111" t="s">
        <v>3329</v>
      </c>
      <c r="G3111" t="s">
        <v>179</v>
      </c>
      <c r="H3111" t="s">
        <v>53</v>
      </c>
      <c r="I3111" t="s">
        <v>53</v>
      </c>
      <c r="J3111" t="s">
        <v>53</v>
      </c>
      <c r="K3111" t="s">
        <v>53</v>
      </c>
      <c r="L3111" t="s">
        <v>53</v>
      </c>
      <c r="M3111" t="s">
        <v>53</v>
      </c>
      <c r="N3111" t="s">
        <v>53</v>
      </c>
      <c r="O3111" t="s">
        <v>53</v>
      </c>
      <c r="P3111" t="s">
        <v>53</v>
      </c>
      <c r="Q3111" t="s">
        <v>53</v>
      </c>
    </row>
    <row r="3112" spans="1:17" x14ac:dyDescent="0.2">
      <c r="A3112" s="30" t="str">
        <f>IF(C3112&amp;G3112&amp;D3112&lt;&gt;'Funnel setup'!$K$3&amp;'Funnel setup'!$K$4&amp;'Funnel setup'!$K$5,".",IF(A3111=".",1,A3111+1))</f>
        <v>.</v>
      </c>
      <c r="B3112" s="431" t="str">
        <f t="shared" si="48"/>
        <v>Hip Replacement RevisionProviderBMI THE CAVELL HOSPITAL (NT451)EQ VAS</v>
      </c>
      <c r="C3112" t="s">
        <v>247</v>
      </c>
      <c r="D3112" t="s">
        <v>1</v>
      </c>
      <c r="E3112" t="s">
        <v>3331</v>
      </c>
      <c r="F3112" t="s">
        <v>3332</v>
      </c>
      <c r="G3112" t="s">
        <v>179</v>
      </c>
      <c r="H3112" t="s">
        <v>53</v>
      </c>
      <c r="I3112" t="s">
        <v>53</v>
      </c>
      <c r="J3112" t="s">
        <v>53</v>
      </c>
      <c r="K3112" t="s">
        <v>53</v>
      </c>
      <c r="L3112" t="s">
        <v>53</v>
      </c>
      <c r="M3112" t="s">
        <v>53</v>
      </c>
      <c r="N3112" t="s">
        <v>53</v>
      </c>
      <c r="O3112" t="s">
        <v>53</v>
      </c>
      <c r="P3112" t="s">
        <v>53</v>
      </c>
      <c r="Q3112" t="s">
        <v>53</v>
      </c>
    </row>
    <row r="3113" spans="1:17" x14ac:dyDescent="0.2">
      <c r="A3113" s="30" t="str">
        <f>IF(C3113&amp;G3113&amp;D3113&lt;&gt;'Funnel setup'!$K$3&amp;'Funnel setup'!$K$4&amp;'Funnel setup'!$K$5,".",IF(A3112=".",1,A3112+1))</f>
        <v>.</v>
      </c>
      <c r="B3113" s="431" t="str">
        <f t="shared" si="48"/>
        <v>Hip Replacement RevisionProviderBMI WOODLANDS HOSPITAL (NT457)EQ VAS</v>
      </c>
      <c r="C3113" t="s">
        <v>247</v>
      </c>
      <c r="D3113" t="s">
        <v>1</v>
      </c>
      <c r="E3113" t="s">
        <v>3355</v>
      </c>
      <c r="F3113" t="s">
        <v>3356</v>
      </c>
      <c r="G3113" t="s">
        <v>179</v>
      </c>
      <c r="H3113" t="s">
        <v>53</v>
      </c>
      <c r="I3113" t="s">
        <v>53</v>
      </c>
      <c r="J3113" t="s">
        <v>53</v>
      </c>
      <c r="K3113" t="s">
        <v>53</v>
      </c>
      <c r="L3113" t="s">
        <v>53</v>
      </c>
      <c r="M3113" t="s">
        <v>53</v>
      </c>
      <c r="N3113" t="s">
        <v>53</v>
      </c>
      <c r="O3113" t="s">
        <v>53</v>
      </c>
      <c r="P3113" t="s">
        <v>53</v>
      </c>
      <c r="Q3113" t="s">
        <v>53</v>
      </c>
    </row>
    <row r="3114" spans="1:17" x14ac:dyDescent="0.2">
      <c r="A3114" s="30" t="str">
        <f>IF(C3114&amp;G3114&amp;D3114&lt;&gt;'Funnel setup'!$K$3&amp;'Funnel setup'!$K$4&amp;'Funnel setup'!$K$5,".",IF(A3113=".",1,A3113+1))</f>
        <v>.</v>
      </c>
      <c r="B3114" s="431" t="str">
        <f t="shared" si="48"/>
        <v>Hip Replacement RevisionProviderBOLTON NHS FOUNDATION TRUST (RMC)EQ VAS</v>
      </c>
      <c r="C3114" t="s">
        <v>247</v>
      </c>
      <c r="D3114" t="s">
        <v>1</v>
      </c>
      <c r="E3114" t="s">
        <v>3358</v>
      </c>
      <c r="F3114" t="s">
        <v>3359</v>
      </c>
      <c r="G3114" t="s">
        <v>179</v>
      </c>
      <c r="H3114" t="s">
        <v>53</v>
      </c>
      <c r="I3114" t="s">
        <v>53</v>
      </c>
      <c r="J3114" t="s">
        <v>53</v>
      </c>
      <c r="K3114" t="s">
        <v>53</v>
      </c>
      <c r="L3114" t="s">
        <v>53</v>
      </c>
      <c r="M3114" t="s">
        <v>53</v>
      </c>
      <c r="N3114" t="s">
        <v>53</v>
      </c>
      <c r="O3114" t="s">
        <v>53</v>
      </c>
      <c r="P3114" t="s">
        <v>53</v>
      </c>
      <c r="Q3114" t="s">
        <v>53</v>
      </c>
    </row>
    <row r="3115" spans="1:17" x14ac:dyDescent="0.2">
      <c r="A3115" s="30" t="str">
        <f>IF(C3115&amp;G3115&amp;D3115&lt;&gt;'Funnel setup'!$K$3&amp;'Funnel setup'!$K$4&amp;'Funnel setup'!$K$5,".",IF(A3114=".",1,A3114+1))</f>
        <v>.</v>
      </c>
      <c r="B3115" s="431" t="str">
        <f t="shared" si="48"/>
        <v>Hip Replacement RevisionProviderBRADFORD TEACHING HOSPITALS NHS FOUNDATION TRUST (RAE)EQ VAS</v>
      </c>
      <c r="C3115" t="s">
        <v>247</v>
      </c>
      <c r="D3115" t="s">
        <v>1</v>
      </c>
      <c r="E3115" t="s">
        <v>3361</v>
      </c>
      <c r="F3115" t="s">
        <v>3362</v>
      </c>
      <c r="G3115" t="s">
        <v>179</v>
      </c>
      <c r="H3115">
        <v>7</v>
      </c>
      <c r="I3115">
        <v>61.286000000000001</v>
      </c>
      <c r="J3115">
        <v>67.856999999999999</v>
      </c>
      <c r="K3115">
        <v>6.5709999999999997</v>
      </c>
      <c r="L3115">
        <v>4</v>
      </c>
      <c r="M3115">
        <v>1</v>
      </c>
      <c r="N3115">
        <v>2</v>
      </c>
      <c r="O3115" t="s">
        <v>53</v>
      </c>
      <c r="P3115" t="s">
        <v>53</v>
      </c>
      <c r="Q3115" t="s">
        <v>53</v>
      </c>
    </row>
    <row r="3116" spans="1:17" x14ac:dyDescent="0.2">
      <c r="A3116" s="30" t="str">
        <f>IF(C3116&amp;G3116&amp;D3116&lt;&gt;'Funnel setup'!$K$3&amp;'Funnel setup'!$K$4&amp;'Funnel setup'!$K$5,".",IF(A3115=".",1,A3115+1))</f>
        <v>.</v>
      </c>
      <c r="B3116" s="431" t="str">
        <f t="shared" si="48"/>
        <v>Hip Replacement RevisionProviderBRIGHTON AND SUSSEX UNIVERSITY HOSPITALS NHS TRUST (RXH)EQ VAS</v>
      </c>
      <c r="C3116" t="s">
        <v>247</v>
      </c>
      <c r="D3116" t="s">
        <v>1</v>
      </c>
      <c r="E3116" t="s">
        <v>3367</v>
      </c>
      <c r="F3116" t="s">
        <v>3368</v>
      </c>
      <c r="G3116" t="s">
        <v>179</v>
      </c>
      <c r="H3116">
        <v>16</v>
      </c>
      <c r="I3116">
        <v>53.688000000000002</v>
      </c>
      <c r="J3116">
        <v>59.063000000000002</v>
      </c>
      <c r="K3116">
        <v>5.375</v>
      </c>
      <c r="L3116">
        <v>8</v>
      </c>
      <c r="M3116">
        <v>3</v>
      </c>
      <c r="N3116">
        <v>5</v>
      </c>
      <c r="O3116" t="s">
        <v>53</v>
      </c>
      <c r="P3116" t="s">
        <v>53</v>
      </c>
      <c r="Q3116" t="s">
        <v>53</v>
      </c>
    </row>
    <row r="3117" spans="1:17" x14ac:dyDescent="0.2">
      <c r="A3117" s="30" t="str">
        <f>IF(C3117&amp;G3117&amp;D3117&lt;&gt;'Funnel setup'!$K$3&amp;'Funnel setup'!$K$4&amp;'Funnel setup'!$K$5,".",IF(A3116=".",1,A3116+1))</f>
        <v>.</v>
      </c>
      <c r="B3117" s="431" t="str">
        <f t="shared" si="48"/>
        <v>Hip Replacement RevisionProviderBUCKINGHAMSHIRE HEALTHCARE NHS TRUST (RXQ)EQ VAS</v>
      </c>
      <c r="C3117" t="s">
        <v>247</v>
      </c>
      <c r="D3117" t="s">
        <v>1</v>
      </c>
      <c r="E3117" t="s">
        <v>3370</v>
      </c>
      <c r="F3117" t="s">
        <v>3371</v>
      </c>
      <c r="G3117" t="s">
        <v>179</v>
      </c>
      <c r="H3117">
        <v>8</v>
      </c>
      <c r="I3117">
        <v>53.875</v>
      </c>
      <c r="J3117">
        <v>63.75</v>
      </c>
      <c r="K3117">
        <v>9.875</v>
      </c>
      <c r="L3117">
        <v>6</v>
      </c>
      <c r="M3117">
        <v>1</v>
      </c>
      <c r="N3117">
        <v>1</v>
      </c>
      <c r="O3117" t="s">
        <v>53</v>
      </c>
      <c r="P3117" t="s">
        <v>53</v>
      </c>
      <c r="Q3117" t="s">
        <v>53</v>
      </c>
    </row>
    <row r="3118" spans="1:17" x14ac:dyDescent="0.2">
      <c r="A3118" s="30" t="str">
        <f>IF(C3118&amp;G3118&amp;D3118&lt;&gt;'Funnel setup'!$K$3&amp;'Funnel setup'!$K$4&amp;'Funnel setup'!$K$5,".",IF(A3117=".",1,A3117+1))</f>
        <v>.</v>
      </c>
      <c r="B3118" s="431" t="str">
        <f t="shared" si="48"/>
        <v>Hip Replacement RevisionProviderBURTON HOSPITALS NHS FOUNDATION TRUST (RJF)EQ VAS</v>
      </c>
      <c r="C3118" t="s">
        <v>247</v>
      </c>
      <c r="D3118" t="s">
        <v>1</v>
      </c>
      <c r="E3118" t="s">
        <v>3373</v>
      </c>
      <c r="F3118" t="s">
        <v>3374</v>
      </c>
      <c r="G3118" t="s">
        <v>179</v>
      </c>
      <c r="H3118" t="s">
        <v>53</v>
      </c>
      <c r="I3118" t="s">
        <v>53</v>
      </c>
      <c r="J3118" t="s">
        <v>53</v>
      </c>
      <c r="K3118" t="s">
        <v>53</v>
      </c>
      <c r="L3118" t="s">
        <v>53</v>
      </c>
      <c r="M3118" t="s">
        <v>53</v>
      </c>
      <c r="N3118" t="s">
        <v>53</v>
      </c>
      <c r="O3118" t="s">
        <v>53</v>
      </c>
      <c r="P3118" t="s">
        <v>53</v>
      </c>
      <c r="Q3118" t="s">
        <v>53</v>
      </c>
    </row>
    <row r="3119" spans="1:17" x14ac:dyDescent="0.2">
      <c r="A3119" s="30" t="str">
        <f>IF(C3119&amp;G3119&amp;D3119&lt;&gt;'Funnel setup'!$K$3&amp;'Funnel setup'!$K$4&amp;'Funnel setup'!$K$5,".",IF(A3118=".",1,A3118+1))</f>
        <v>.</v>
      </c>
      <c r="B3119" s="431" t="str">
        <f t="shared" si="48"/>
        <v>Hip Replacement RevisionProviderCALDERDALE AND HUDDERSFIELD NHS FOUNDATION TRUST (RWY)EQ VAS</v>
      </c>
      <c r="C3119" t="s">
        <v>247</v>
      </c>
      <c r="D3119" t="s">
        <v>1</v>
      </c>
      <c r="E3119" t="s">
        <v>3379</v>
      </c>
      <c r="F3119" t="s">
        <v>3380</v>
      </c>
      <c r="G3119" t="s">
        <v>179</v>
      </c>
      <c r="H3119">
        <v>27</v>
      </c>
      <c r="I3119">
        <v>69.962999999999994</v>
      </c>
      <c r="J3119">
        <v>75</v>
      </c>
      <c r="K3119">
        <v>5.0369999999999999</v>
      </c>
      <c r="L3119">
        <v>13</v>
      </c>
      <c r="M3119">
        <v>4</v>
      </c>
      <c r="N3119">
        <v>10</v>
      </c>
      <c r="O3119" t="s">
        <v>53</v>
      </c>
      <c r="P3119" t="s">
        <v>53</v>
      </c>
      <c r="Q3119" t="s">
        <v>53</v>
      </c>
    </row>
    <row r="3120" spans="1:17" x14ac:dyDescent="0.2">
      <c r="A3120" s="30" t="str">
        <f>IF(C3120&amp;G3120&amp;D3120&lt;&gt;'Funnel setup'!$K$3&amp;'Funnel setup'!$K$4&amp;'Funnel setup'!$K$5,".",IF(A3119=".",1,A3119+1))</f>
        <v>.</v>
      </c>
      <c r="B3120" s="431" t="str">
        <f t="shared" si="48"/>
        <v>Hip Replacement RevisionProviderCAMBRIDGE UNIVERSITY HOSPITALS NHS FOUNDATION TRUST (RGT)EQ VAS</v>
      </c>
      <c r="C3120" t="s">
        <v>247</v>
      </c>
      <c r="D3120" t="s">
        <v>1</v>
      </c>
      <c r="E3120" t="s">
        <v>3076</v>
      </c>
      <c r="F3120" t="s">
        <v>3077</v>
      </c>
      <c r="G3120" t="s">
        <v>179</v>
      </c>
      <c r="H3120">
        <v>16</v>
      </c>
      <c r="I3120">
        <v>62.875</v>
      </c>
      <c r="J3120">
        <v>69.938000000000002</v>
      </c>
      <c r="K3120">
        <v>7.0629999999999997</v>
      </c>
      <c r="L3120">
        <v>7</v>
      </c>
      <c r="M3120">
        <v>4</v>
      </c>
      <c r="N3120">
        <v>5</v>
      </c>
      <c r="O3120" t="s">
        <v>53</v>
      </c>
      <c r="P3120" t="s">
        <v>53</v>
      </c>
      <c r="Q3120" t="s">
        <v>53</v>
      </c>
    </row>
    <row r="3121" spans="1:17" x14ac:dyDescent="0.2">
      <c r="A3121" s="30" t="str">
        <f>IF(C3121&amp;G3121&amp;D3121&lt;&gt;'Funnel setup'!$K$3&amp;'Funnel setup'!$K$4&amp;'Funnel setup'!$K$5,".",IF(A3120=".",1,A3120+1))</f>
        <v>.</v>
      </c>
      <c r="B3121" s="431" t="str">
        <f t="shared" si="48"/>
        <v>Hip Replacement RevisionProviderCENTRAL MANCHESTER UNIVERSITY HOSPITALS NHS FOUNDATION TRUST (RW3)EQ VAS</v>
      </c>
      <c r="C3121" t="s">
        <v>247</v>
      </c>
      <c r="D3121" t="s">
        <v>1</v>
      </c>
      <c r="E3121" t="s">
        <v>3079</v>
      </c>
      <c r="F3121" t="s">
        <v>3080</v>
      </c>
      <c r="G3121" t="s">
        <v>179</v>
      </c>
      <c r="H3121" t="s">
        <v>53</v>
      </c>
      <c r="I3121" t="s">
        <v>53</v>
      </c>
      <c r="J3121" t="s">
        <v>53</v>
      </c>
      <c r="K3121" t="s">
        <v>53</v>
      </c>
      <c r="L3121" t="s">
        <v>53</v>
      </c>
      <c r="M3121" t="s">
        <v>53</v>
      </c>
      <c r="N3121" t="s">
        <v>53</v>
      </c>
      <c r="O3121" t="s">
        <v>53</v>
      </c>
      <c r="P3121" t="s">
        <v>53</v>
      </c>
      <c r="Q3121" t="s">
        <v>53</v>
      </c>
    </row>
    <row r="3122" spans="1:17" x14ac:dyDescent="0.2">
      <c r="A3122" s="30" t="str">
        <f>IF(C3122&amp;G3122&amp;D3122&lt;&gt;'Funnel setup'!$K$3&amp;'Funnel setup'!$K$4&amp;'Funnel setup'!$K$5,".",IF(A3121=".",1,A3121+1))</f>
        <v>.</v>
      </c>
      <c r="B3122" s="431" t="str">
        <f t="shared" si="48"/>
        <v>Hip Replacement RevisionProviderCHELSEA AND WESTMINSTER HOSPITAL NHS FOUNDATION TRUST (RQM)EQ VAS</v>
      </c>
      <c r="C3122" t="s">
        <v>247</v>
      </c>
      <c r="D3122" t="s">
        <v>1</v>
      </c>
      <c r="E3122" t="s">
        <v>3082</v>
      </c>
      <c r="F3122" t="s">
        <v>3083</v>
      </c>
      <c r="G3122" t="s">
        <v>179</v>
      </c>
      <c r="H3122" t="s">
        <v>53</v>
      </c>
      <c r="I3122" t="s">
        <v>53</v>
      </c>
      <c r="J3122" t="s">
        <v>53</v>
      </c>
      <c r="K3122" t="s">
        <v>53</v>
      </c>
      <c r="L3122" t="s">
        <v>53</v>
      </c>
      <c r="M3122" t="s">
        <v>53</v>
      </c>
      <c r="N3122" t="s">
        <v>53</v>
      </c>
      <c r="O3122" t="s">
        <v>53</v>
      </c>
      <c r="P3122" t="s">
        <v>53</v>
      </c>
      <c r="Q3122" t="s">
        <v>53</v>
      </c>
    </row>
    <row r="3123" spans="1:17" x14ac:dyDescent="0.2">
      <c r="A3123" s="30" t="str">
        <f>IF(C3123&amp;G3123&amp;D3123&lt;&gt;'Funnel setup'!$K$3&amp;'Funnel setup'!$K$4&amp;'Funnel setup'!$K$5,".",IF(A3122=".",1,A3122+1))</f>
        <v>.</v>
      </c>
      <c r="B3123" s="431" t="str">
        <f t="shared" si="48"/>
        <v>Hip Replacement RevisionProviderCHESTERFIELD ROYAL HOSPITAL NHS FOUNDATION TRUST (RFS)EQ VAS</v>
      </c>
      <c r="C3123" t="s">
        <v>247</v>
      </c>
      <c r="D3123" t="s">
        <v>1</v>
      </c>
      <c r="E3123" t="s">
        <v>3085</v>
      </c>
      <c r="F3123" t="s">
        <v>3086</v>
      </c>
      <c r="G3123" t="s">
        <v>179</v>
      </c>
      <c r="H3123">
        <v>10</v>
      </c>
      <c r="I3123">
        <v>60</v>
      </c>
      <c r="J3123">
        <v>67.5</v>
      </c>
      <c r="K3123">
        <v>7.5</v>
      </c>
      <c r="L3123">
        <v>5</v>
      </c>
      <c r="M3123">
        <v>0</v>
      </c>
      <c r="N3123">
        <v>5</v>
      </c>
      <c r="O3123" t="s">
        <v>53</v>
      </c>
      <c r="P3123" t="s">
        <v>53</v>
      </c>
      <c r="Q3123" t="s">
        <v>53</v>
      </c>
    </row>
    <row r="3124" spans="1:17" x14ac:dyDescent="0.2">
      <c r="A3124" s="30" t="str">
        <f>IF(C3124&amp;G3124&amp;D3124&lt;&gt;'Funnel setup'!$K$3&amp;'Funnel setup'!$K$4&amp;'Funnel setup'!$K$5,".",IF(A3123=".",1,A3123+1))</f>
        <v>.</v>
      </c>
      <c r="B3124" s="431" t="str">
        <f t="shared" si="48"/>
        <v>Hip Replacement RevisionProviderCIRCLE BATH HOSPITAL (NV302)EQ VAS</v>
      </c>
      <c r="C3124" t="s">
        <v>247</v>
      </c>
      <c r="D3124" t="s">
        <v>1</v>
      </c>
      <c r="E3124" t="s">
        <v>3097</v>
      </c>
      <c r="F3124" t="s">
        <v>3098</v>
      </c>
      <c r="G3124" t="s">
        <v>179</v>
      </c>
      <c r="H3124">
        <v>8</v>
      </c>
      <c r="I3124">
        <v>78.125</v>
      </c>
      <c r="J3124">
        <v>83.625</v>
      </c>
      <c r="K3124">
        <v>5.5</v>
      </c>
      <c r="L3124">
        <v>5</v>
      </c>
      <c r="M3124">
        <v>1</v>
      </c>
      <c r="N3124">
        <v>2</v>
      </c>
      <c r="O3124" t="s">
        <v>53</v>
      </c>
      <c r="P3124" t="s">
        <v>53</v>
      </c>
      <c r="Q3124" t="s">
        <v>53</v>
      </c>
    </row>
    <row r="3125" spans="1:17" x14ac:dyDescent="0.2">
      <c r="A3125" s="30" t="str">
        <f>IF(C3125&amp;G3125&amp;D3125&lt;&gt;'Funnel setup'!$K$3&amp;'Funnel setup'!$K$4&amp;'Funnel setup'!$K$5,".",IF(A3124=".",1,A3124+1))</f>
        <v>.</v>
      </c>
      <c r="B3125" s="431" t="str">
        <f t="shared" si="48"/>
        <v>Hip Replacement RevisionProviderCITY HOSPITALS SUNDERLAND NHS FOUNDATION TRUST (RLN)EQ VAS</v>
      </c>
      <c r="C3125" t="s">
        <v>247</v>
      </c>
      <c r="D3125" t="s">
        <v>1</v>
      </c>
      <c r="E3125" t="s">
        <v>3100</v>
      </c>
      <c r="F3125" t="s">
        <v>3101</v>
      </c>
      <c r="G3125" t="s">
        <v>179</v>
      </c>
      <c r="H3125">
        <v>12</v>
      </c>
      <c r="I3125">
        <v>61.25</v>
      </c>
      <c r="J3125">
        <v>53</v>
      </c>
      <c r="K3125">
        <v>-8.25</v>
      </c>
      <c r="L3125">
        <v>4</v>
      </c>
      <c r="M3125">
        <v>0</v>
      </c>
      <c r="N3125">
        <v>8</v>
      </c>
      <c r="O3125" t="s">
        <v>53</v>
      </c>
      <c r="P3125" t="s">
        <v>53</v>
      </c>
      <c r="Q3125" t="s">
        <v>53</v>
      </c>
    </row>
    <row r="3126" spans="1:17" x14ac:dyDescent="0.2">
      <c r="A3126" s="30" t="str">
        <f>IF(C3126&amp;G3126&amp;D3126&lt;&gt;'Funnel setup'!$K$3&amp;'Funnel setup'!$K$4&amp;'Funnel setup'!$K$5,".",IF(A3125=".",1,A3125+1))</f>
        <v>.</v>
      </c>
      <c r="B3126" s="431" t="str">
        <f t="shared" si="48"/>
        <v>Hip Replacement RevisionProviderCLIFTON PARK HOSPITAL (NVC28)EQ VAS</v>
      </c>
      <c r="C3126" t="s">
        <v>247</v>
      </c>
      <c r="D3126" t="s">
        <v>1</v>
      </c>
      <c r="E3126" t="s">
        <v>4229</v>
      </c>
      <c r="F3126" t="s">
        <v>4230</v>
      </c>
      <c r="G3126" t="s">
        <v>179</v>
      </c>
      <c r="H3126">
        <v>11</v>
      </c>
      <c r="I3126">
        <v>74.272999999999996</v>
      </c>
      <c r="J3126">
        <v>79.364000000000004</v>
      </c>
      <c r="K3126">
        <v>5.0910000000000002</v>
      </c>
      <c r="L3126">
        <v>7</v>
      </c>
      <c r="M3126">
        <v>1</v>
      </c>
      <c r="N3126">
        <v>3</v>
      </c>
      <c r="O3126" t="s">
        <v>53</v>
      </c>
      <c r="P3126" t="s">
        <v>53</v>
      </c>
      <c r="Q3126" t="s">
        <v>53</v>
      </c>
    </row>
    <row r="3127" spans="1:17" x14ac:dyDescent="0.2">
      <c r="A3127" s="30" t="str">
        <f>IF(C3127&amp;G3127&amp;D3127&lt;&gt;'Funnel setup'!$K$3&amp;'Funnel setup'!$K$4&amp;'Funnel setup'!$K$5,".",IF(A3126=".",1,A3126+1))</f>
        <v>.</v>
      </c>
      <c r="B3127" s="431" t="str">
        <f t="shared" si="48"/>
        <v>Hip Replacement RevisionProviderCOLCHESTER HOSPITAL UNIVERSITY NHS FOUNDATION TRUST (RDE)EQ VAS</v>
      </c>
      <c r="C3127" t="s">
        <v>247</v>
      </c>
      <c r="D3127" t="s">
        <v>1</v>
      </c>
      <c r="E3127" t="s">
        <v>3109</v>
      </c>
      <c r="F3127" t="s">
        <v>3110</v>
      </c>
      <c r="G3127" t="s">
        <v>179</v>
      </c>
      <c r="H3127">
        <v>22</v>
      </c>
      <c r="I3127">
        <v>62.363999999999997</v>
      </c>
      <c r="J3127">
        <v>76.317999999999998</v>
      </c>
      <c r="K3127">
        <v>13.955</v>
      </c>
      <c r="L3127">
        <v>16</v>
      </c>
      <c r="M3127">
        <v>3</v>
      </c>
      <c r="N3127">
        <v>3</v>
      </c>
      <c r="O3127" t="s">
        <v>53</v>
      </c>
      <c r="P3127" t="s">
        <v>53</v>
      </c>
      <c r="Q3127" t="s">
        <v>53</v>
      </c>
    </row>
    <row r="3128" spans="1:17" x14ac:dyDescent="0.2">
      <c r="A3128" s="30" t="str">
        <f>IF(C3128&amp;G3128&amp;D3128&lt;&gt;'Funnel setup'!$K$3&amp;'Funnel setup'!$K$4&amp;'Funnel setup'!$K$5,".",IF(A3127=".",1,A3127+1))</f>
        <v>.</v>
      </c>
      <c r="B3128" s="431" t="str">
        <f t="shared" si="48"/>
        <v>Hip Replacement RevisionProviderCOUNTESS OF CHESTER HOSPITAL NHS FOUNDATION TRUST (RJR)EQ VAS</v>
      </c>
      <c r="C3128" t="s">
        <v>247</v>
      </c>
      <c r="D3128" t="s">
        <v>1</v>
      </c>
      <c r="E3128" t="s">
        <v>3781</v>
      </c>
      <c r="F3128" t="s">
        <v>3782</v>
      </c>
      <c r="G3128" t="s">
        <v>179</v>
      </c>
      <c r="H3128" t="s">
        <v>53</v>
      </c>
      <c r="I3128" t="s">
        <v>53</v>
      </c>
      <c r="J3128" t="s">
        <v>53</v>
      </c>
      <c r="K3128" t="s">
        <v>53</v>
      </c>
      <c r="L3128" t="s">
        <v>53</v>
      </c>
      <c r="M3128" t="s">
        <v>53</v>
      </c>
      <c r="N3128" t="s">
        <v>53</v>
      </c>
      <c r="O3128" t="s">
        <v>53</v>
      </c>
      <c r="P3128" t="s">
        <v>53</v>
      </c>
      <c r="Q3128" t="s">
        <v>53</v>
      </c>
    </row>
    <row r="3129" spans="1:17" x14ac:dyDescent="0.2">
      <c r="A3129" s="30" t="str">
        <f>IF(C3129&amp;G3129&amp;D3129&lt;&gt;'Funnel setup'!$K$3&amp;'Funnel setup'!$K$4&amp;'Funnel setup'!$K$5,".",IF(A3128=".",1,A3128+1))</f>
        <v>.</v>
      </c>
      <c r="B3129" s="431" t="str">
        <f t="shared" si="48"/>
        <v>Hip Replacement RevisionProviderCOUNTY DURHAM AND DARLINGTON NHS FOUNDATION TRUST (RXP)EQ VAS</v>
      </c>
      <c r="C3129" t="s">
        <v>247</v>
      </c>
      <c r="D3129" t="s">
        <v>1</v>
      </c>
      <c r="E3129" t="s">
        <v>3784</v>
      </c>
      <c r="F3129" t="s">
        <v>3785</v>
      </c>
      <c r="G3129" t="s">
        <v>179</v>
      </c>
      <c r="H3129">
        <v>11</v>
      </c>
      <c r="I3129">
        <v>63.182000000000002</v>
      </c>
      <c r="J3129">
        <v>68</v>
      </c>
      <c r="K3129">
        <v>4.8179999999999996</v>
      </c>
      <c r="L3129">
        <v>7</v>
      </c>
      <c r="M3129">
        <v>1</v>
      </c>
      <c r="N3129">
        <v>3</v>
      </c>
      <c r="O3129" t="s">
        <v>53</v>
      </c>
      <c r="P3129" t="s">
        <v>53</v>
      </c>
      <c r="Q3129" t="s">
        <v>53</v>
      </c>
    </row>
    <row r="3130" spans="1:17" x14ac:dyDescent="0.2">
      <c r="A3130" s="30" t="str">
        <f>IF(C3130&amp;G3130&amp;D3130&lt;&gt;'Funnel setup'!$K$3&amp;'Funnel setup'!$K$4&amp;'Funnel setup'!$K$5,".",IF(A3129=".",1,A3129+1))</f>
        <v>.</v>
      </c>
      <c r="B3130" s="431" t="str">
        <f t="shared" si="48"/>
        <v>Hip Replacement RevisionProviderDARTFORD AND GRAVESHAM NHS TRUST (RN7)EQ VAS</v>
      </c>
      <c r="C3130" t="s">
        <v>247</v>
      </c>
      <c r="D3130" t="s">
        <v>1</v>
      </c>
      <c r="E3130" t="s">
        <v>3787</v>
      </c>
      <c r="F3130" t="s">
        <v>3788</v>
      </c>
      <c r="G3130" t="s">
        <v>179</v>
      </c>
      <c r="H3130">
        <v>6</v>
      </c>
      <c r="I3130">
        <v>70.5</v>
      </c>
      <c r="J3130">
        <v>69.167000000000002</v>
      </c>
      <c r="K3130">
        <v>-1.333</v>
      </c>
      <c r="L3130">
        <v>3</v>
      </c>
      <c r="M3130">
        <v>0</v>
      </c>
      <c r="N3130">
        <v>3</v>
      </c>
      <c r="O3130" t="s">
        <v>53</v>
      </c>
      <c r="P3130" t="s">
        <v>53</v>
      </c>
      <c r="Q3130" t="s">
        <v>53</v>
      </c>
    </row>
    <row r="3131" spans="1:17" x14ac:dyDescent="0.2">
      <c r="A3131" s="30" t="str">
        <f>IF(C3131&amp;G3131&amp;D3131&lt;&gt;'Funnel setup'!$K$3&amp;'Funnel setup'!$K$4&amp;'Funnel setup'!$K$5,".",IF(A3130=".",1,A3130+1))</f>
        <v>.</v>
      </c>
      <c r="B3131" s="431" t="str">
        <f t="shared" si="48"/>
        <v>Hip Replacement RevisionProviderDERBY TEACHING HOSPITALS NHS FOUNDATION TRUST (RTG)EQ VAS</v>
      </c>
      <c r="C3131" t="s">
        <v>247</v>
      </c>
      <c r="D3131" t="s">
        <v>1</v>
      </c>
      <c r="E3131" t="s">
        <v>3790</v>
      </c>
      <c r="F3131" t="s">
        <v>3791</v>
      </c>
      <c r="G3131" t="s">
        <v>179</v>
      </c>
      <c r="H3131">
        <v>27</v>
      </c>
      <c r="I3131">
        <v>66.741</v>
      </c>
      <c r="J3131">
        <v>70.073999999999998</v>
      </c>
      <c r="K3131">
        <v>3.3330000000000002</v>
      </c>
      <c r="L3131">
        <v>13</v>
      </c>
      <c r="M3131">
        <v>4</v>
      </c>
      <c r="N3131">
        <v>10</v>
      </c>
      <c r="O3131" t="s">
        <v>53</v>
      </c>
      <c r="P3131" t="s">
        <v>53</v>
      </c>
      <c r="Q3131" t="s">
        <v>53</v>
      </c>
    </row>
    <row r="3132" spans="1:17" x14ac:dyDescent="0.2">
      <c r="A3132" s="30" t="str">
        <f>IF(C3132&amp;G3132&amp;D3132&lt;&gt;'Funnel setup'!$K$3&amp;'Funnel setup'!$K$4&amp;'Funnel setup'!$K$5,".",IF(A3131=".",1,A3131+1))</f>
        <v>.</v>
      </c>
      <c r="B3132" s="431" t="str">
        <f t="shared" si="48"/>
        <v>Hip Replacement RevisionProviderDONCASTER AND BASSETLAW HOSPITALS NHS FOUNDATION TRUST (RP5)EQ VAS</v>
      </c>
      <c r="C3132" t="s">
        <v>247</v>
      </c>
      <c r="D3132" t="s">
        <v>1</v>
      </c>
      <c r="E3132" t="s">
        <v>3799</v>
      </c>
      <c r="F3132" t="s">
        <v>3800</v>
      </c>
      <c r="G3132" t="s">
        <v>179</v>
      </c>
      <c r="H3132">
        <v>20</v>
      </c>
      <c r="I3132">
        <v>57.95</v>
      </c>
      <c r="J3132">
        <v>57.95</v>
      </c>
      <c r="K3132">
        <v>0</v>
      </c>
      <c r="L3132">
        <v>11</v>
      </c>
      <c r="M3132">
        <v>0</v>
      </c>
      <c r="N3132">
        <v>9</v>
      </c>
      <c r="O3132" t="s">
        <v>53</v>
      </c>
      <c r="P3132" t="s">
        <v>53</v>
      </c>
      <c r="Q3132" t="s">
        <v>53</v>
      </c>
    </row>
    <row r="3133" spans="1:17" x14ac:dyDescent="0.2">
      <c r="A3133" s="30" t="str">
        <f>IF(C3133&amp;G3133&amp;D3133&lt;&gt;'Funnel setup'!$K$3&amp;'Funnel setup'!$K$4&amp;'Funnel setup'!$K$5,".",IF(A3132=".",1,A3132+1))</f>
        <v>.</v>
      </c>
      <c r="B3133" s="431" t="str">
        <f t="shared" si="48"/>
        <v>Hip Replacement RevisionProviderDORSET COUNTY HOSPITAL NHS FOUNDATION TRUST (RBD)EQ VAS</v>
      </c>
      <c r="C3133" t="s">
        <v>247</v>
      </c>
      <c r="D3133" t="s">
        <v>1</v>
      </c>
      <c r="E3133" t="s">
        <v>3802</v>
      </c>
      <c r="F3133" t="s">
        <v>3803</v>
      </c>
      <c r="G3133" t="s">
        <v>179</v>
      </c>
      <c r="H3133">
        <v>12</v>
      </c>
      <c r="I3133">
        <v>55.417000000000002</v>
      </c>
      <c r="J3133">
        <v>77.082999999999998</v>
      </c>
      <c r="K3133">
        <v>21.667000000000002</v>
      </c>
      <c r="L3133">
        <v>9</v>
      </c>
      <c r="M3133">
        <v>2</v>
      </c>
      <c r="N3133">
        <v>1</v>
      </c>
      <c r="O3133" t="s">
        <v>53</v>
      </c>
      <c r="P3133" t="s">
        <v>53</v>
      </c>
      <c r="Q3133" t="s">
        <v>53</v>
      </c>
    </row>
    <row r="3134" spans="1:17" x14ac:dyDescent="0.2">
      <c r="A3134" s="30" t="str">
        <f>IF(C3134&amp;G3134&amp;D3134&lt;&gt;'Funnel setup'!$K$3&amp;'Funnel setup'!$K$4&amp;'Funnel setup'!$K$5,".",IF(A3133=".",1,A3133+1))</f>
        <v>.</v>
      </c>
      <c r="B3134" s="431" t="str">
        <f t="shared" si="48"/>
        <v>Hip Replacement RevisionProviderDUCHY HOSPITAL (NVC04)EQ VAS</v>
      </c>
      <c r="C3134" t="s">
        <v>247</v>
      </c>
      <c r="D3134" t="s">
        <v>1</v>
      </c>
      <c r="E3134" t="s">
        <v>4518</v>
      </c>
      <c r="F3134" t="s">
        <v>4519</v>
      </c>
      <c r="G3134" t="s">
        <v>179</v>
      </c>
      <c r="H3134">
        <v>15</v>
      </c>
      <c r="I3134">
        <v>71.466999999999999</v>
      </c>
      <c r="J3134">
        <v>76.400000000000006</v>
      </c>
      <c r="K3134">
        <v>4.9329999999999998</v>
      </c>
      <c r="L3134">
        <v>9</v>
      </c>
      <c r="M3134">
        <v>1</v>
      </c>
      <c r="N3134">
        <v>5</v>
      </c>
      <c r="O3134" t="s">
        <v>53</v>
      </c>
      <c r="P3134" t="s">
        <v>53</v>
      </c>
      <c r="Q3134" t="s">
        <v>53</v>
      </c>
    </row>
    <row r="3135" spans="1:17" x14ac:dyDescent="0.2">
      <c r="A3135" s="30" t="str">
        <f>IF(C3135&amp;G3135&amp;D3135&lt;&gt;'Funnel setup'!$K$3&amp;'Funnel setup'!$K$4&amp;'Funnel setup'!$K$5,".",IF(A3134=".",1,A3134+1))</f>
        <v>.</v>
      </c>
      <c r="B3135" s="431" t="str">
        <f t="shared" si="48"/>
        <v>Hip Replacement RevisionProviderEAST AND NORTH HERTFORDSHIRE NHS TRUST (RWH)EQ VAS</v>
      </c>
      <c r="C3135" t="s">
        <v>247</v>
      </c>
      <c r="D3135" t="s">
        <v>1</v>
      </c>
      <c r="E3135" t="s">
        <v>3814</v>
      </c>
      <c r="F3135" t="s">
        <v>3815</v>
      </c>
      <c r="G3135" t="s">
        <v>179</v>
      </c>
      <c r="H3135">
        <v>14</v>
      </c>
      <c r="I3135">
        <v>59.929000000000002</v>
      </c>
      <c r="J3135">
        <v>64.856999999999999</v>
      </c>
      <c r="K3135">
        <v>4.9290000000000003</v>
      </c>
      <c r="L3135">
        <v>8</v>
      </c>
      <c r="M3135">
        <v>1</v>
      </c>
      <c r="N3135">
        <v>5</v>
      </c>
      <c r="O3135" t="s">
        <v>53</v>
      </c>
      <c r="P3135" t="s">
        <v>53</v>
      </c>
      <c r="Q3135" t="s">
        <v>53</v>
      </c>
    </row>
    <row r="3136" spans="1:17" x14ac:dyDescent="0.2">
      <c r="A3136" s="30" t="str">
        <f>IF(C3136&amp;G3136&amp;D3136&lt;&gt;'Funnel setup'!$K$3&amp;'Funnel setup'!$K$4&amp;'Funnel setup'!$K$5,".",IF(A3135=".",1,A3135+1))</f>
        <v>.</v>
      </c>
      <c r="B3136" s="431" t="str">
        <f t="shared" si="48"/>
        <v>Hip Replacement RevisionProviderEAST CHESHIRE NHS TRUST (RJN)EQ VAS</v>
      </c>
      <c r="C3136" t="s">
        <v>247</v>
      </c>
      <c r="D3136" t="s">
        <v>1</v>
      </c>
      <c r="E3136" t="s">
        <v>3817</v>
      </c>
      <c r="F3136" t="s">
        <v>3818</v>
      </c>
      <c r="G3136" t="s">
        <v>179</v>
      </c>
      <c r="H3136" t="s">
        <v>53</v>
      </c>
      <c r="I3136" t="s">
        <v>53</v>
      </c>
      <c r="J3136" t="s">
        <v>53</v>
      </c>
      <c r="K3136" t="s">
        <v>53</v>
      </c>
      <c r="L3136" t="s">
        <v>53</v>
      </c>
      <c r="M3136" t="s">
        <v>53</v>
      </c>
      <c r="N3136" t="s">
        <v>53</v>
      </c>
      <c r="O3136" t="s">
        <v>53</v>
      </c>
      <c r="P3136" t="s">
        <v>53</v>
      </c>
      <c r="Q3136" t="s">
        <v>53</v>
      </c>
    </row>
    <row r="3137" spans="1:17" x14ac:dyDescent="0.2">
      <c r="A3137" s="30" t="str">
        <f>IF(C3137&amp;G3137&amp;D3137&lt;&gt;'Funnel setup'!$K$3&amp;'Funnel setup'!$K$4&amp;'Funnel setup'!$K$5,".",IF(A3136=".",1,A3136+1))</f>
        <v>.</v>
      </c>
      <c r="B3137" s="431" t="str">
        <f t="shared" si="48"/>
        <v>Hip Replacement RevisionProviderEAST KENT HOSPITALS UNIVERSITY NHS FOUNDATION TRUST (RVV)EQ VAS</v>
      </c>
      <c r="C3137" t="s">
        <v>247</v>
      </c>
      <c r="D3137" t="s">
        <v>1</v>
      </c>
      <c r="E3137" t="s">
        <v>3820</v>
      </c>
      <c r="F3137" t="s">
        <v>3821</v>
      </c>
      <c r="G3137" t="s">
        <v>179</v>
      </c>
      <c r="H3137">
        <v>35</v>
      </c>
      <c r="I3137">
        <v>62.429000000000002</v>
      </c>
      <c r="J3137">
        <v>68.599999999999994</v>
      </c>
      <c r="K3137">
        <v>6.1710000000000003</v>
      </c>
      <c r="L3137">
        <v>15</v>
      </c>
      <c r="M3137">
        <v>7</v>
      </c>
      <c r="N3137">
        <v>13</v>
      </c>
      <c r="O3137">
        <v>69.379000000000005</v>
      </c>
      <c r="P3137">
        <v>4.6088408149999998</v>
      </c>
      <c r="Q3137">
        <v>18.312000000000001</v>
      </c>
    </row>
    <row r="3138" spans="1:17" x14ac:dyDescent="0.2">
      <c r="A3138" s="30" t="str">
        <f>IF(C3138&amp;G3138&amp;D3138&lt;&gt;'Funnel setup'!$K$3&amp;'Funnel setup'!$K$4&amp;'Funnel setup'!$K$5,".",IF(A3137=".",1,A3137+1))</f>
        <v>.</v>
      </c>
      <c r="B3138" s="431" t="str">
        <f t="shared" si="48"/>
        <v>Hip Replacement RevisionProviderEAST LANCASHIRE HOSPITALS NHS TRUST (RXR)EQ VAS</v>
      </c>
      <c r="C3138" t="s">
        <v>247</v>
      </c>
      <c r="D3138" t="s">
        <v>1</v>
      </c>
      <c r="E3138" t="s">
        <v>3823</v>
      </c>
      <c r="F3138" t="s">
        <v>3824</v>
      </c>
      <c r="G3138" t="s">
        <v>179</v>
      </c>
      <c r="H3138">
        <v>12</v>
      </c>
      <c r="I3138">
        <v>54.75</v>
      </c>
      <c r="J3138">
        <v>59.5</v>
      </c>
      <c r="K3138">
        <v>4.75</v>
      </c>
      <c r="L3138">
        <v>5</v>
      </c>
      <c r="M3138">
        <v>5</v>
      </c>
      <c r="N3138">
        <v>2</v>
      </c>
      <c r="O3138" t="s">
        <v>53</v>
      </c>
      <c r="P3138" t="s">
        <v>53</v>
      </c>
      <c r="Q3138" t="s">
        <v>53</v>
      </c>
    </row>
    <row r="3139" spans="1:17" x14ac:dyDescent="0.2">
      <c r="A3139" s="30" t="str">
        <f>IF(C3139&amp;G3139&amp;D3139&lt;&gt;'Funnel setup'!$K$3&amp;'Funnel setup'!$K$4&amp;'Funnel setup'!$K$5,".",IF(A3138=".",1,A3138+1))</f>
        <v>.</v>
      </c>
      <c r="B3139" s="431" t="str">
        <f t="shared" ref="B3139:B3202" si="49">C3139&amp;D3139&amp;F3139&amp;G3139</f>
        <v>Hip Replacement RevisionProviderEAST SUSSEX HEALTHCARE NHS TRUST (RXC)EQ VAS</v>
      </c>
      <c r="C3139" t="s">
        <v>247</v>
      </c>
      <c r="D3139" t="s">
        <v>1</v>
      </c>
      <c r="E3139" t="s">
        <v>3826</v>
      </c>
      <c r="F3139" t="s">
        <v>3827</v>
      </c>
      <c r="G3139" t="s">
        <v>179</v>
      </c>
      <c r="H3139">
        <v>25</v>
      </c>
      <c r="I3139">
        <v>68.08</v>
      </c>
      <c r="J3139">
        <v>71.319999999999993</v>
      </c>
      <c r="K3139">
        <v>3.24</v>
      </c>
      <c r="L3139">
        <v>14</v>
      </c>
      <c r="M3139">
        <v>4</v>
      </c>
      <c r="N3139">
        <v>7</v>
      </c>
      <c r="O3139" t="s">
        <v>53</v>
      </c>
      <c r="P3139" t="s">
        <v>53</v>
      </c>
      <c r="Q3139" t="s">
        <v>53</v>
      </c>
    </row>
    <row r="3140" spans="1:17" x14ac:dyDescent="0.2">
      <c r="A3140" s="30" t="str">
        <f>IF(C3140&amp;G3140&amp;D3140&lt;&gt;'Funnel setup'!$K$3&amp;'Funnel setup'!$K$4&amp;'Funnel setup'!$K$5,".",IF(A3139=".",1,A3139+1))</f>
        <v>.</v>
      </c>
      <c r="B3140" s="431" t="str">
        <f t="shared" si="49"/>
        <v>Hip Replacement RevisionProviderEMERSONS GREEN NHS TREATMENT CENTRE (NTPH2)EQ VAS</v>
      </c>
      <c r="C3140" t="s">
        <v>247</v>
      </c>
      <c r="D3140" t="s">
        <v>1</v>
      </c>
      <c r="E3140" t="s">
        <v>3829</v>
      </c>
      <c r="F3140" t="s">
        <v>3830</v>
      </c>
      <c r="G3140" t="s">
        <v>179</v>
      </c>
      <c r="H3140">
        <v>6</v>
      </c>
      <c r="I3140">
        <v>58.332999999999998</v>
      </c>
      <c r="J3140">
        <v>74.167000000000002</v>
      </c>
      <c r="K3140">
        <v>15.833</v>
      </c>
      <c r="L3140">
        <v>4</v>
      </c>
      <c r="M3140">
        <v>0</v>
      </c>
      <c r="N3140">
        <v>2</v>
      </c>
      <c r="O3140" t="s">
        <v>53</v>
      </c>
      <c r="P3140" t="s">
        <v>53</v>
      </c>
      <c r="Q3140" t="s">
        <v>53</v>
      </c>
    </row>
    <row r="3141" spans="1:17" x14ac:dyDescent="0.2">
      <c r="A3141" s="30" t="str">
        <f>IF(C3141&amp;G3141&amp;D3141&lt;&gt;'Funnel setup'!$K$3&amp;'Funnel setup'!$K$4&amp;'Funnel setup'!$K$5,".",IF(A3140=".",1,A3140+1))</f>
        <v>.</v>
      </c>
      <c r="B3141" s="431" t="str">
        <f t="shared" si="49"/>
        <v>Hip Replacement RevisionProviderEPSOM AND ST HELIER UNIVERSITY HOSPITALS NHS TRUST (RVR)EQ VAS</v>
      </c>
      <c r="C3141" t="s">
        <v>247</v>
      </c>
      <c r="D3141" t="s">
        <v>1</v>
      </c>
      <c r="E3141" t="s">
        <v>3849</v>
      </c>
      <c r="F3141" t="s">
        <v>3850</v>
      </c>
      <c r="G3141" t="s">
        <v>179</v>
      </c>
      <c r="H3141">
        <v>45</v>
      </c>
      <c r="I3141">
        <v>67.822000000000003</v>
      </c>
      <c r="J3141">
        <v>73.489000000000004</v>
      </c>
      <c r="K3141">
        <v>5.6669999999999998</v>
      </c>
      <c r="L3141">
        <v>26</v>
      </c>
      <c r="M3141">
        <v>5</v>
      </c>
      <c r="N3141">
        <v>14</v>
      </c>
      <c r="O3141">
        <v>71.328999999999994</v>
      </c>
      <c r="P3141">
        <v>6.5590085680000003</v>
      </c>
      <c r="Q3141">
        <v>14.914999999999999</v>
      </c>
    </row>
    <row r="3142" spans="1:17" x14ac:dyDescent="0.2">
      <c r="A3142" s="30" t="str">
        <f>IF(C3142&amp;G3142&amp;D3142&lt;&gt;'Funnel setup'!$K$3&amp;'Funnel setup'!$K$4&amp;'Funnel setup'!$K$5,".",IF(A3141=".",1,A3141+1))</f>
        <v>.</v>
      </c>
      <c r="B3142" s="431" t="str">
        <f t="shared" si="49"/>
        <v>Hip Replacement RevisionProviderFITZWILLIAM HOSPITAL (NVC06)EQ VAS</v>
      </c>
      <c r="C3142" t="s">
        <v>247</v>
      </c>
      <c r="D3142" t="s">
        <v>1</v>
      </c>
      <c r="E3142" t="s">
        <v>3858</v>
      </c>
      <c r="F3142" t="s">
        <v>3859</v>
      </c>
      <c r="G3142" t="s">
        <v>179</v>
      </c>
      <c r="H3142" t="s">
        <v>53</v>
      </c>
      <c r="I3142" t="s">
        <v>53</v>
      </c>
      <c r="J3142" t="s">
        <v>53</v>
      </c>
      <c r="K3142" t="s">
        <v>53</v>
      </c>
      <c r="L3142" t="s">
        <v>53</v>
      </c>
      <c r="M3142" t="s">
        <v>53</v>
      </c>
      <c r="N3142" t="s">
        <v>53</v>
      </c>
      <c r="O3142" t="s">
        <v>53</v>
      </c>
      <c r="P3142" t="s">
        <v>53</v>
      </c>
      <c r="Q3142" t="s">
        <v>53</v>
      </c>
    </row>
    <row r="3143" spans="1:17" x14ac:dyDescent="0.2">
      <c r="A3143" s="30" t="str">
        <f>IF(C3143&amp;G3143&amp;D3143&lt;&gt;'Funnel setup'!$K$3&amp;'Funnel setup'!$K$4&amp;'Funnel setup'!$K$5,".",IF(A3142=".",1,A3142+1))</f>
        <v>.</v>
      </c>
      <c r="B3143" s="431" t="str">
        <f t="shared" si="49"/>
        <v>Hip Replacement RevisionProviderFRIMLEY HEALTH NHS FOUNDATION TRUST (RDU)EQ VAS</v>
      </c>
      <c r="C3143" t="s">
        <v>247</v>
      </c>
      <c r="D3143" t="s">
        <v>1</v>
      </c>
      <c r="E3143" t="s">
        <v>3861</v>
      </c>
      <c r="F3143" t="s">
        <v>3862</v>
      </c>
      <c r="G3143" t="s">
        <v>179</v>
      </c>
      <c r="H3143">
        <v>33</v>
      </c>
      <c r="I3143">
        <v>64.879000000000005</v>
      </c>
      <c r="J3143">
        <v>70.575999999999993</v>
      </c>
      <c r="K3143">
        <v>5.6970000000000001</v>
      </c>
      <c r="L3143">
        <v>20</v>
      </c>
      <c r="M3143">
        <v>1</v>
      </c>
      <c r="N3143">
        <v>12</v>
      </c>
      <c r="O3143">
        <v>69.784999999999997</v>
      </c>
      <c r="P3143">
        <v>5.0143281909999997</v>
      </c>
      <c r="Q3143">
        <v>19.309000000000001</v>
      </c>
    </row>
    <row r="3144" spans="1:17" x14ac:dyDescent="0.2">
      <c r="A3144" s="30" t="str">
        <f>IF(C3144&amp;G3144&amp;D3144&lt;&gt;'Funnel setup'!$K$3&amp;'Funnel setup'!$K$4&amp;'Funnel setup'!$K$5,".",IF(A3143=".",1,A3143+1))</f>
        <v>.</v>
      </c>
      <c r="B3144" s="431" t="str">
        <f t="shared" si="49"/>
        <v>Hip Replacement RevisionProviderFULWOOD HALL HOSPITAL (NVC07)EQ VAS</v>
      </c>
      <c r="C3144" t="s">
        <v>247</v>
      </c>
      <c r="D3144" t="s">
        <v>1</v>
      </c>
      <c r="E3144" t="s">
        <v>3864</v>
      </c>
      <c r="F3144" t="s">
        <v>3865</v>
      </c>
      <c r="G3144" t="s">
        <v>179</v>
      </c>
      <c r="H3144" t="s">
        <v>53</v>
      </c>
      <c r="I3144" t="s">
        <v>53</v>
      </c>
      <c r="J3144" t="s">
        <v>53</v>
      </c>
      <c r="K3144" t="s">
        <v>53</v>
      </c>
      <c r="L3144" t="s">
        <v>53</v>
      </c>
      <c r="M3144" t="s">
        <v>53</v>
      </c>
      <c r="N3144" t="s">
        <v>53</v>
      </c>
      <c r="O3144" t="s">
        <v>53</v>
      </c>
      <c r="P3144" t="s">
        <v>53</v>
      </c>
      <c r="Q3144" t="s">
        <v>53</v>
      </c>
    </row>
    <row r="3145" spans="1:17" x14ac:dyDescent="0.2">
      <c r="A3145" s="30" t="str">
        <f>IF(C3145&amp;G3145&amp;D3145&lt;&gt;'Funnel setup'!$K$3&amp;'Funnel setup'!$K$4&amp;'Funnel setup'!$K$5,".",IF(A3144=".",1,A3144+1))</f>
        <v>.</v>
      </c>
      <c r="B3145" s="431" t="str">
        <f t="shared" si="49"/>
        <v>Hip Replacement RevisionProviderGATESHEAD HEALTH NHS FOUNDATION TRUST (RR7)EQ VAS</v>
      </c>
      <c r="C3145" t="s">
        <v>247</v>
      </c>
      <c r="D3145" t="s">
        <v>1</v>
      </c>
      <c r="E3145" t="s">
        <v>3867</v>
      </c>
      <c r="F3145" t="s">
        <v>3868</v>
      </c>
      <c r="G3145" t="s">
        <v>179</v>
      </c>
      <c r="H3145">
        <v>9</v>
      </c>
      <c r="I3145">
        <v>74.332999999999998</v>
      </c>
      <c r="J3145">
        <v>69.667000000000002</v>
      </c>
      <c r="K3145">
        <v>-4.6669999999999998</v>
      </c>
      <c r="L3145">
        <v>2</v>
      </c>
      <c r="M3145">
        <v>3</v>
      </c>
      <c r="N3145">
        <v>4</v>
      </c>
      <c r="O3145" t="s">
        <v>53</v>
      </c>
      <c r="P3145" t="s">
        <v>53</v>
      </c>
      <c r="Q3145" t="s">
        <v>53</v>
      </c>
    </row>
    <row r="3146" spans="1:17" x14ac:dyDescent="0.2">
      <c r="A3146" s="30" t="str">
        <f>IF(C3146&amp;G3146&amp;D3146&lt;&gt;'Funnel setup'!$K$3&amp;'Funnel setup'!$K$4&amp;'Funnel setup'!$K$5,".",IF(A3145=".",1,A3145+1))</f>
        <v>.</v>
      </c>
      <c r="B3146" s="431" t="str">
        <f t="shared" si="49"/>
        <v>Hip Replacement RevisionProviderGEORGE ELIOT HOSPITAL NHS TRUST (RLT)EQ VAS</v>
      </c>
      <c r="C3146" t="s">
        <v>247</v>
      </c>
      <c r="D3146" t="s">
        <v>1</v>
      </c>
      <c r="E3146" t="s">
        <v>3870</v>
      </c>
      <c r="F3146" t="s">
        <v>3871</v>
      </c>
      <c r="G3146" t="s">
        <v>179</v>
      </c>
      <c r="H3146" t="s">
        <v>53</v>
      </c>
      <c r="I3146" t="s">
        <v>53</v>
      </c>
      <c r="J3146" t="s">
        <v>53</v>
      </c>
      <c r="K3146" t="s">
        <v>53</v>
      </c>
      <c r="L3146" t="s">
        <v>53</v>
      </c>
      <c r="M3146" t="s">
        <v>53</v>
      </c>
      <c r="N3146" t="s">
        <v>53</v>
      </c>
      <c r="O3146" t="s">
        <v>53</v>
      </c>
      <c r="P3146" t="s">
        <v>53</v>
      </c>
      <c r="Q3146" t="s">
        <v>53</v>
      </c>
    </row>
    <row r="3147" spans="1:17" x14ac:dyDescent="0.2">
      <c r="A3147" s="30" t="str">
        <f>IF(C3147&amp;G3147&amp;D3147&lt;&gt;'Funnel setup'!$K$3&amp;'Funnel setup'!$K$4&amp;'Funnel setup'!$K$5,".",IF(A3146=".",1,A3146+1))</f>
        <v>.</v>
      </c>
      <c r="B3147" s="431" t="str">
        <f t="shared" si="49"/>
        <v>Hip Replacement RevisionProviderGLOUCESTERSHIRE HOSPITALS NHS FOUNDATION TRUST (RTE)EQ VAS</v>
      </c>
      <c r="C3147" t="s">
        <v>247</v>
      </c>
      <c r="D3147" t="s">
        <v>1</v>
      </c>
      <c r="E3147" t="s">
        <v>3873</v>
      </c>
      <c r="F3147" t="s">
        <v>3874</v>
      </c>
      <c r="G3147" t="s">
        <v>179</v>
      </c>
      <c r="H3147">
        <v>36</v>
      </c>
      <c r="I3147">
        <v>60.75</v>
      </c>
      <c r="J3147">
        <v>64.417000000000002</v>
      </c>
      <c r="K3147">
        <v>3.6669999999999998</v>
      </c>
      <c r="L3147">
        <v>19</v>
      </c>
      <c r="M3147">
        <v>3</v>
      </c>
      <c r="N3147">
        <v>14</v>
      </c>
      <c r="O3147">
        <v>65.369</v>
      </c>
      <c r="P3147">
        <v>0.598253272</v>
      </c>
      <c r="Q3147">
        <v>21.370999999999999</v>
      </c>
    </row>
    <row r="3148" spans="1:17" x14ac:dyDescent="0.2">
      <c r="A3148" s="30" t="str">
        <f>IF(C3148&amp;G3148&amp;D3148&lt;&gt;'Funnel setup'!$K$3&amp;'Funnel setup'!$K$4&amp;'Funnel setup'!$K$5,".",IF(A3147=".",1,A3147+1))</f>
        <v>.</v>
      </c>
      <c r="B3148" s="431" t="str">
        <f t="shared" si="49"/>
        <v>Hip Replacement RevisionProviderGREAT WESTERN HOSPITALS NHS FOUNDATION TRUST (RN3)EQ VAS</v>
      </c>
      <c r="C3148" t="s">
        <v>247</v>
      </c>
      <c r="D3148" t="s">
        <v>1</v>
      </c>
      <c r="E3148" t="s">
        <v>3876</v>
      </c>
      <c r="F3148" t="s">
        <v>3877</v>
      </c>
      <c r="G3148" t="s">
        <v>179</v>
      </c>
      <c r="H3148">
        <v>12</v>
      </c>
      <c r="I3148">
        <v>68.332999999999998</v>
      </c>
      <c r="J3148">
        <v>70.667000000000002</v>
      </c>
      <c r="K3148">
        <v>2.3330000000000002</v>
      </c>
      <c r="L3148">
        <v>5</v>
      </c>
      <c r="M3148">
        <v>2</v>
      </c>
      <c r="N3148">
        <v>5</v>
      </c>
      <c r="O3148" t="s">
        <v>53</v>
      </c>
      <c r="P3148" t="s">
        <v>53</v>
      </c>
      <c r="Q3148" t="s">
        <v>53</v>
      </c>
    </row>
    <row r="3149" spans="1:17" x14ac:dyDescent="0.2">
      <c r="A3149" s="30" t="str">
        <f>IF(C3149&amp;G3149&amp;D3149&lt;&gt;'Funnel setup'!$K$3&amp;'Funnel setup'!$K$4&amp;'Funnel setup'!$K$5,".",IF(A3148=".",1,A3148+1))</f>
        <v>.</v>
      </c>
      <c r="B3149" s="431" t="str">
        <f t="shared" si="49"/>
        <v>Hip Replacement RevisionProviderGUY'S AND ST THOMAS' NHS FOUNDATION TRUST (RJ1)EQ VAS</v>
      </c>
      <c r="C3149" t="s">
        <v>247</v>
      </c>
      <c r="D3149" t="s">
        <v>1</v>
      </c>
      <c r="E3149" t="s">
        <v>3879</v>
      </c>
      <c r="F3149" t="s">
        <v>3880</v>
      </c>
      <c r="G3149" t="s">
        <v>179</v>
      </c>
      <c r="H3149">
        <v>14</v>
      </c>
      <c r="I3149">
        <v>64.429000000000002</v>
      </c>
      <c r="J3149">
        <v>70.286000000000001</v>
      </c>
      <c r="K3149">
        <v>5.8570000000000002</v>
      </c>
      <c r="L3149">
        <v>9</v>
      </c>
      <c r="M3149">
        <v>1</v>
      </c>
      <c r="N3149">
        <v>4</v>
      </c>
      <c r="O3149" t="s">
        <v>53</v>
      </c>
      <c r="P3149" t="s">
        <v>53</v>
      </c>
      <c r="Q3149" t="s">
        <v>53</v>
      </c>
    </row>
    <row r="3150" spans="1:17" x14ac:dyDescent="0.2">
      <c r="A3150" s="30" t="str">
        <f>IF(C3150&amp;G3150&amp;D3150&lt;&gt;'Funnel setup'!$K$3&amp;'Funnel setup'!$K$4&amp;'Funnel setup'!$K$5,".",IF(A3149=".",1,A3149+1))</f>
        <v>.</v>
      </c>
      <c r="B3150" s="431" t="str">
        <f t="shared" si="49"/>
        <v>Hip Replacement RevisionProviderHAMPSHIRE HOSPITALS NHS FOUNDATION TRUST (RN5)EQ VAS</v>
      </c>
      <c r="C3150" t="s">
        <v>247</v>
      </c>
      <c r="D3150" t="s">
        <v>1</v>
      </c>
      <c r="E3150" t="s">
        <v>3882</v>
      </c>
      <c r="F3150" t="s">
        <v>3883</v>
      </c>
      <c r="G3150" t="s">
        <v>179</v>
      </c>
      <c r="H3150">
        <v>22</v>
      </c>
      <c r="I3150">
        <v>69.909000000000006</v>
      </c>
      <c r="J3150">
        <v>72.272999999999996</v>
      </c>
      <c r="K3150">
        <v>2.3639999999999999</v>
      </c>
      <c r="L3150">
        <v>9</v>
      </c>
      <c r="M3150">
        <v>5</v>
      </c>
      <c r="N3150">
        <v>8</v>
      </c>
      <c r="O3150" t="s">
        <v>53</v>
      </c>
      <c r="P3150" t="s">
        <v>53</v>
      </c>
      <c r="Q3150" t="s">
        <v>53</v>
      </c>
    </row>
    <row r="3151" spans="1:17" x14ac:dyDescent="0.2">
      <c r="A3151" s="30" t="str">
        <f>IF(C3151&amp;G3151&amp;D3151&lt;&gt;'Funnel setup'!$K$3&amp;'Funnel setup'!$K$4&amp;'Funnel setup'!$K$5,".",IF(A3150=".",1,A3150+1))</f>
        <v>.</v>
      </c>
      <c r="B3151" s="431" t="str">
        <f t="shared" si="49"/>
        <v>Hip Replacement RevisionProviderHARROGATE AND DISTRICT NHS FOUNDATION TRUST (RCD)EQ VAS</v>
      </c>
      <c r="C3151" t="s">
        <v>247</v>
      </c>
      <c r="D3151" t="s">
        <v>1</v>
      </c>
      <c r="E3151" t="s">
        <v>3885</v>
      </c>
      <c r="F3151" t="s">
        <v>3886</v>
      </c>
      <c r="G3151" t="s">
        <v>179</v>
      </c>
      <c r="H3151">
        <v>8</v>
      </c>
      <c r="I3151">
        <v>58.625</v>
      </c>
      <c r="J3151">
        <v>65</v>
      </c>
      <c r="K3151">
        <v>6.375</v>
      </c>
      <c r="L3151">
        <v>5</v>
      </c>
      <c r="M3151">
        <v>0</v>
      </c>
      <c r="N3151">
        <v>3</v>
      </c>
      <c r="O3151" t="s">
        <v>53</v>
      </c>
      <c r="P3151" t="s">
        <v>53</v>
      </c>
      <c r="Q3151" t="s">
        <v>53</v>
      </c>
    </row>
    <row r="3152" spans="1:17" x14ac:dyDescent="0.2">
      <c r="A3152" s="30" t="str">
        <f>IF(C3152&amp;G3152&amp;D3152&lt;&gt;'Funnel setup'!$K$3&amp;'Funnel setup'!$K$4&amp;'Funnel setup'!$K$5,".",IF(A3151=".",1,A3151+1))</f>
        <v>.</v>
      </c>
      <c r="B3152" s="431" t="str">
        <f t="shared" si="49"/>
        <v>Hip Replacement RevisionProviderHEART OF ENGLAND NHS FOUNDATION TRUST (RR1)EQ VAS</v>
      </c>
      <c r="C3152" t="s">
        <v>247</v>
      </c>
      <c r="D3152" t="s">
        <v>1</v>
      </c>
      <c r="E3152" t="s">
        <v>3888</v>
      </c>
      <c r="F3152" t="s">
        <v>3889</v>
      </c>
      <c r="G3152" t="s">
        <v>179</v>
      </c>
      <c r="H3152">
        <v>18</v>
      </c>
      <c r="I3152">
        <v>54.444000000000003</v>
      </c>
      <c r="J3152">
        <v>55.889000000000003</v>
      </c>
      <c r="K3152">
        <v>1.444</v>
      </c>
      <c r="L3152">
        <v>8</v>
      </c>
      <c r="M3152">
        <v>2</v>
      </c>
      <c r="N3152">
        <v>8</v>
      </c>
      <c r="O3152" t="s">
        <v>53</v>
      </c>
      <c r="P3152" t="s">
        <v>53</v>
      </c>
      <c r="Q3152" t="s">
        <v>53</v>
      </c>
    </row>
    <row r="3153" spans="1:17" x14ac:dyDescent="0.2">
      <c r="A3153" s="30" t="str">
        <f>IF(C3153&amp;G3153&amp;D3153&lt;&gt;'Funnel setup'!$K$3&amp;'Funnel setup'!$K$4&amp;'Funnel setup'!$K$5,".",IF(A3152=".",1,A3152+1))</f>
        <v>.</v>
      </c>
      <c r="B3153" s="431" t="str">
        <f t="shared" si="49"/>
        <v>Hip Replacement RevisionProviderHINCHINGBROOKE HEALTH CARE NHS TRUST (RQQ)EQ VAS</v>
      </c>
      <c r="C3153" t="s">
        <v>247</v>
      </c>
      <c r="D3153" t="s">
        <v>1</v>
      </c>
      <c r="E3153" t="s">
        <v>3894</v>
      </c>
      <c r="F3153" t="s">
        <v>3895</v>
      </c>
      <c r="G3153" t="s">
        <v>179</v>
      </c>
      <c r="H3153">
        <v>20</v>
      </c>
      <c r="I3153">
        <v>71.55</v>
      </c>
      <c r="J3153">
        <v>76</v>
      </c>
      <c r="K3153">
        <v>4.45</v>
      </c>
      <c r="L3153">
        <v>9</v>
      </c>
      <c r="M3153">
        <v>5</v>
      </c>
      <c r="N3153">
        <v>6</v>
      </c>
      <c r="O3153" t="s">
        <v>53</v>
      </c>
      <c r="P3153" t="s">
        <v>53</v>
      </c>
      <c r="Q3153" t="s">
        <v>53</v>
      </c>
    </row>
    <row r="3154" spans="1:17" x14ac:dyDescent="0.2">
      <c r="A3154" s="30" t="str">
        <f>IF(C3154&amp;G3154&amp;D3154&lt;&gt;'Funnel setup'!$K$3&amp;'Funnel setup'!$K$4&amp;'Funnel setup'!$K$5,".",IF(A3153=".",1,A3153+1))</f>
        <v>.</v>
      </c>
      <c r="B3154" s="431" t="str">
        <f t="shared" si="49"/>
        <v>Hip Replacement RevisionProviderHOMERTON UNIVERSITY HOSPITAL NHS FOUNDATION TRUST (RQX)EQ VAS</v>
      </c>
      <c r="C3154" t="s">
        <v>247</v>
      </c>
      <c r="D3154" t="s">
        <v>1</v>
      </c>
      <c r="E3154" t="s">
        <v>3897</v>
      </c>
      <c r="F3154" t="s">
        <v>3898</v>
      </c>
      <c r="G3154" t="s">
        <v>179</v>
      </c>
      <c r="H3154" t="s">
        <v>53</v>
      </c>
      <c r="I3154" t="s">
        <v>53</v>
      </c>
      <c r="J3154" t="s">
        <v>53</v>
      </c>
      <c r="K3154" t="s">
        <v>53</v>
      </c>
      <c r="L3154" t="s">
        <v>53</v>
      </c>
      <c r="M3154" t="s">
        <v>53</v>
      </c>
      <c r="N3154" t="s">
        <v>53</v>
      </c>
      <c r="O3154" t="s">
        <v>53</v>
      </c>
      <c r="P3154" t="s">
        <v>53</v>
      </c>
      <c r="Q3154" t="s">
        <v>53</v>
      </c>
    </row>
    <row r="3155" spans="1:17" x14ac:dyDescent="0.2">
      <c r="A3155" s="30" t="str">
        <f>IF(C3155&amp;G3155&amp;D3155&lt;&gt;'Funnel setup'!$K$3&amp;'Funnel setup'!$K$4&amp;'Funnel setup'!$K$5,".",IF(A3154=".",1,A3154+1))</f>
        <v>.</v>
      </c>
      <c r="B3155" s="431" t="str">
        <f t="shared" si="49"/>
        <v>Hip Replacement RevisionProviderHORTON NHS TREATMENT CENTRE (NVC25)EQ VAS</v>
      </c>
      <c r="C3155" t="s">
        <v>247</v>
      </c>
      <c r="D3155" t="s">
        <v>1</v>
      </c>
      <c r="E3155" t="s">
        <v>4553</v>
      </c>
      <c r="F3155" t="s">
        <v>4554</v>
      </c>
      <c r="G3155" t="s">
        <v>179</v>
      </c>
      <c r="H3155" t="s">
        <v>53</v>
      </c>
      <c r="I3155" t="s">
        <v>53</v>
      </c>
      <c r="J3155" t="s">
        <v>53</v>
      </c>
      <c r="K3155" t="s">
        <v>53</v>
      </c>
      <c r="L3155" t="s">
        <v>53</v>
      </c>
      <c r="M3155" t="s">
        <v>53</v>
      </c>
      <c r="N3155" t="s">
        <v>53</v>
      </c>
      <c r="O3155" t="s">
        <v>53</v>
      </c>
      <c r="P3155" t="s">
        <v>53</v>
      </c>
      <c r="Q3155" t="s">
        <v>53</v>
      </c>
    </row>
    <row r="3156" spans="1:17" x14ac:dyDescent="0.2">
      <c r="A3156" s="30" t="str">
        <f>IF(C3156&amp;G3156&amp;D3156&lt;&gt;'Funnel setup'!$K$3&amp;'Funnel setup'!$K$4&amp;'Funnel setup'!$K$5,".",IF(A3155=".",1,A3155+1))</f>
        <v>.</v>
      </c>
      <c r="B3156" s="431" t="str">
        <f t="shared" si="49"/>
        <v>Hip Replacement RevisionProviderHULL AND EAST YORKSHIRE HOSPITALS NHS TRUST (RWA)EQ VAS</v>
      </c>
      <c r="C3156" t="s">
        <v>247</v>
      </c>
      <c r="D3156" t="s">
        <v>1</v>
      </c>
      <c r="E3156" t="s">
        <v>3906</v>
      </c>
      <c r="F3156" t="s">
        <v>3907</v>
      </c>
      <c r="G3156" t="s">
        <v>179</v>
      </c>
      <c r="H3156">
        <v>20</v>
      </c>
      <c r="I3156">
        <v>62.55</v>
      </c>
      <c r="J3156">
        <v>73.099999999999994</v>
      </c>
      <c r="K3156">
        <v>10.55</v>
      </c>
      <c r="L3156">
        <v>13</v>
      </c>
      <c r="M3156">
        <v>2</v>
      </c>
      <c r="N3156">
        <v>5</v>
      </c>
      <c r="O3156" t="s">
        <v>53</v>
      </c>
      <c r="P3156" t="s">
        <v>53</v>
      </c>
      <c r="Q3156" t="s">
        <v>53</v>
      </c>
    </row>
    <row r="3157" spans="1:17" x14ac:dyDescent="0.2">
      <c r="A3157" s="30" t="str">
        <f>IF(C3157&amp;G3157&amp;D3157&lt;&gt;'Funnel setup'!$K$3&amp;'Funnel setup'!$K$4&amp;'Funnel setup'!$K$5,".",IF(A3156=".",1,A3156+1))</f>
        <v>.</v>
      </c>
      <c r="B3157" s="431" t="str">
        <f t="shared" si="49"/>
        <v>Hip Replacement RevisionProviderIMPERIAL COLLEGE HEALTHCARE NHS TRUST (RYJ)EQ VAS</v>
      </c>
      <c r="C3157" t="s">
        <v>247</v>
      </c>
      <c r="D3157" t="s">
        <v>1</v>
      </c>
      <c r="E3157" t="s">
        <v>4558</v>
      </c>
      <c r="F3157" t="s">
        <v>4559</v>
      </c>
      <c r="G3157" t="s">
        <v>179</v>
      </c>
      <c r="H3157" t="s">
        <v>53</v>
      </c>
      <c r="I3157" t="s">
        <v>53</v>
      </c>
      <c r="J3157" t="s">
        <v>53</v>
      </c>
      <c r="K3157" t="s">
        <v>53</v>
      </c>
      <c r="L3157" t="s">
        <v>53</v>
      </c>
      <c r="M3157" t="s">
        <v>53</v>
      </c>
      <c r="N3157" t="s">
        <v>53</v>
      </c>
      <c r="O3157" t="s">
        <v>53</v>
      </c>
      <c r="P3157" t="s">
        <v>53</v>
      </c>
      <c r="Q3157" t="s">
        <v>53</v>
      </c>
    </row>
    <row r="3158" spans="1:17" x14ac:dyDescent="0.2">
      <c r="A3158" s="30" t="str">
        <f>IF(C3158&amp;G3158&amp;D3158&lt;&gt;'Funnel setup'!$K$3&amp;'Funnel setup'!$K$4&amp;'Funnel setup'!$K$5,".",IF(A3157=".",1,A3157+1))</f>
        <v>.</v>
      </c>
      <c r="B3158" s="431" t="str">
        <f t="shared" si="49"/>
        <v>Hip Replacement RevisionProviderIPSWICH HOSPITAL NHS TRUST (RGQ)EQ VAS</v>
      </c>
      <c r="C3158" t="s">
        <v>247</v>
      </c>
      <c r="D3158" t="s">
        <v>1</v>
      </c>
      <c r="E3158" t="s">
        <v>3909</v>
      </c>
      <c r="F3158" t="s">
        <v>3910</v>
      </c>
      <c r="G3158" t="s">
        <v>179</v>
      </c>
      <c r="H3158">
        <v>8</v>
      </c>
      <c r="I3158">
        <v>58.75</v>
      </c>
      <c r="J3158">
        <v>75.375</v>
      </c>
      <c r="K3158">
        <v>16.625</v>
      </c>
      <c r="L3158">
        <v>5</v>
      </c>
      <c r="M3158">
        <v>1</v>
      </c>
      <c r="N3158">
        <v>2</v>
      </c>
      <c r="O3158" t="s">
        <v>53</v>
      </c>
      <c r="P3158" t="s">
        <v>53</v>
      </c>
      <c r="Q3158" t="s">
        <v>53</v>
      </c>
    </row>
    <row r="3159" spans="1:17" x14ac:dyDescent="0.2">
      <c r="A3159" s="30" t="str">
        <f>IF(C3159&amp;G3159&amp;D3159&lt;&gt;'Funnel setup'!$K$3&amp;'Funnel setup'!$K$4&amp;'Funnel setup'!$K$5,".",IF(A3158=".",1,A3158+1))</f>
        <v>.</v>
      </c>
      <c r="B3159" s="431" t="str">
        <f t="shared" si="49"/>
        <v>Hip Replacement RevisionProviderISLE OF WIGHT NHS TRUST (R1F)EQ VAS</v>
      </c>
      <c r="C3159" t="s">
        <v>247</v>
      </c>
      <c r="D3159" t="s">
        <v>1</v>
      </c>
      <c r="E3159" t="s">
        <v>3912</v>
      </c>
      <c r="F3159" t="s">
        <v>3913</v>
      </c>
      <c r="G3159" t="s">
        <v>179</v>
      </c>
      <c r="H3159" t="s">
        <v>53</v>
      </c>
      <c r="I3159" t="s">
        <v>53</v>
      </c>
      <c r="J3159" t="s">
        <v>53</v>
      </c>
      <c r="K3159" t="s">
        <v>53</v>
      </c>
      <c r="L3159" t="s">
        <v>53</v>
      </c>
      <c r="M3159" t="s">
        <v>53</v>
      </c>
      <c r="N3159" t="s">
        <v>53</v>
      </c>
      <c r="O3159" t="s">
        <v>53</v>
      </c>
      <c r="P3159" t="s">
        <v>53</v>
      </c>
      <c r="Q3159" t="s">
        <v>53</v>
      </c>
    </row>
    <row r="3160" spans="1:17" x14ac:dyDescent="0.2">
      <c r="A3160" s="30" t="str">
        <f>IF(C3160&amp;G3160&amp;D3160&lt;&gt;'Funnel setup'!$K$3&amp;'Funnel setup'!$K$4&amp;'Funnel setup'!$K$5,".",IF(A3159=".",1,A3159+1))</f>
        <v>.</v>
      </c>
      <c r="B3160" s="431" t="str">
        <f t="shared" si="49"/>
        <v>Hip Replacement RevisionProviderJAMES PAGET UNIVERSITY HOSPITALS NHS FOUNDATION TRUST (RGP)EQ VAS</v>
      </c>
      <c r="C3160" t="s">
        <v>247</v>
      </c>
      <c r="D3160" t="s">
        <v>1</v>
      </c>
      <c r="E3160" t="s">
        <v>3915</v>
      </c>
      <c r="F3160" t="s">
        <v>3916</v>
      </c>
      <c r="G3160" t="s">
        <v>179</v>
      </c>
      <c r="H3160" t="s">
        <v>53</v>
      </c>
      <c r="I3160" t="s">
        <v>53</v>
      </c>
      <c r="J3160" t="s">
        <v>53</v>
      </c>
      <c r="K3160" t="s">
        <v>53</v>
      </c>
      <c r="L3160" t="s">
        <v>53</v>
      </c>
      <c r="M3160" t="s">
        <v>53</v>
      </c>
      <c r="N3160" t="s">
        <v>53</v>
      </c>
      <c r="O3160" t="s">
        <v>53</v>
      </c>
      <c r="P3160" t="s">
        <v>53</v>
      </c>
      <c r="Q3160" t="s">
        <v>53</v>
      </c>
    </row>
    <row r="3161" spans="1:17" x14ac:dyDescent="0.2">
      <c r="A3161" s="30" t="str">
        <f>IF(C3161&amp;G3161&amp;D3161&lt;&gt;'Funnel setup'!$K$3&amp;'Funnel setup'!$K$4&amp;'Funnel setup'!$K$5,".",IF(A3160=".",1,A3160+1))</f>
        <v>.</v>
      </c>
      <c r="B3161" s="431" t="str">
        <f t="shared" si="49"/>
        <v>Hip Replacement RevisionProviderKETTERING GENERAL HOSPITAL NHS FOUNDATION TRUST (RNQ)EQ VAS</v>
      </c>
      <c r="C3161" t="s">
        <v>247</v>
      </c>
      <c r="D3161" t="s">
        <v>1</v>
      </c>
      <c r="E3161" t="s">
        <v>3918</v>
      </c>
      <c r="F3161" t="s">
        <v>3919</v>
      </c>
      <c r="G3161" t="s">
        <v>179</v>
      </c>
      <c r="H3161">
        <v>11</v>
      </c>
      <c r="I3161">
        <v>69.364000000000004</v>
      </c>
      <c r="J3161">
        <v>71.817999999999998</v>
      </c>
      <c r="K3161">
        <v>2.4550000000000001</v>
      </c>
      <c r="L3161">
        <v>6</v>
      </c>
      <c r="M3161">
        <v>1</v>
      </c>
      <c r="N3161">
        <v>4</v>
      </c>
      <c r="O3161" t="s">
        <v>53</v>
      </c>
      <c r="P3161" t="s">
        <v>53</v>
      </c>
      <c r="Q3161" t="s">
        <v>53</v>
      </c>
    </row>
    <row r="3162" spans="1:17" x14ac:dyDescent="0.2">
      <c r="A3162" s="30" t="str">
        <f>IF(C3162&amp;G3162&amp;D3162&lt;&gt;'Funnel setup'!$K$3&amp;'Funnel setup'!$K$4&amp;'Funnel setup'!$K$5,".",IF(A3161=".",1,A3161+1))</f>
        <v>.</v>
      </c>
      <c r="B3162" s="431" t="str">
        <f t="shared" si="49"/>
        <v>Hip Replacement RevisionProviderKING'S COLLEGE HOSPITAL NHS FOUNDATION TRUST (RJZ)EQ VAS</v>
      </c>
      <c r="C3162" t="s">
        <v>247</v>
      </c>
      <c r="D3162" t="s">
        <v>1</v>
      </c>
      <c r="E3162" t="s">
        <v>3924</v>
      </c>
      <c r="F3162" t="s">
        <v>3925</v>
      </c>
      <c r="G3162" t="s">
        <v>179</v>
      </c>
      <c r="H3162" t="s">
        <v>53</v>
      </c>
      <c r="I3162" t="s">
        <v>53</v>
      </c>
      <c r="J3162" t="s">
        <v>53</v>
      </c>
      <c r="K3162" t="s">
        <v>53</v>
      </c>
      <c r="L3162" t="s">
        <v>53</v>
      </c>
      <c r="M3162" t="s">
        <v>53</v>
      </c>
      <c r="N3162" t="s">
        <v>53</v>
      </c>
      <c r="O3162" t="s">
        <v>53</v>
      </c>
      <c r="P3162" t="s">
        <v>53</v>
      </c>
      <c r="Q3162" t="s">
        <v>53</v>
      </c>
    </row>
    <row r="3163" spans="1:17" x14ac:dyDescent="0.2">
      <c r="A3163" s="30" t="str">
        <f>IF(C3163&amp;G3163&amp;D3163&lt;&gt;'Funnel setup'!$K$3&amp;'Funnel setup'!$K$4&amp;'Funnel setup'!$K$5,".",IF(A3162=".",1,A3162+1))</f>
        <v>.</v>
      </c>
      <c r="B3163" s="431" t="str">
        <f t="shared" si="49"/>
        <v>Hip Replacement RevisionProviderLANCASHIRE TEACHING HOSPITALS NHS FOUNDATION TRUST (RXN)EQ VAS</v>
      </c>
      <c r="C3163" t="s">
        <v>247</v>
      </c>
      <c r="D3163" t="s">
        <v>1</v>
      </c>
      <c r="E3163" t="s">
        <v>3567</v>
      </c>
      <c r="F3163" t="s">
        <v>3568</v>
      </c>
      <c r="G3163" t="s">
        <v>179</v>
      </c>
      <c r="H3163">
        <v>23</v>
      </c>
      <c r="I3163">
        <v>70.13</v>
      </c>
      <c r="J3163">
        <v>73.652000000000001</v>
      </c>
      <c r="K3163">
        <v>3.5219999999999998</v>
      </c>
      <c r="L3163">
        <v>16</v>
      </c>
      <c r="M3163">
        <v>1</v>
      </c>
      <c r="N3163">
        <v>6</v>
      </c>
      <c r="O3163" t="s">
        <v>53</v>
      </c>
      <c r="P3163" t="s">
        <v>53</v>
      </c>
      <c r="Q3163" t="s">
        <v>53</v>
      </c>
    </row>
    <row r="3164" spans="1:17" x14ac:dyDescent="0.2">
      <c r="A3164" s="30" t="str">
        <f>IF(C3164&amp;G3164&amp;D3164&lt;&gt;'Funnel setup'!$K$3&amp;'Funnel setup'!$K$4&amp;'Funnel setup'!$K$5,".",IF(A3163=".",1,A3163+1))</f>
        <v>.</v>
      </c>
      <c r="B3164" s="431" t="str">
        <f t="shared" si="49"/>
        <v>Hip Replacement RevisionProviderLEEDS TEACHING HOSPITALS NHS TRUST (RR8)EQ VAS</v>
      </c>
      <c r="C3164" t="s">
        <v>247</v>
      </c>
      <c r="D3164" t="s">
        <v>1</v>
      </c>
      <c r="E3164" t="s">
        <v>3930</v>
      </c>
      <c r="F3164" t="s">
        <v>344</v>
      </c>
      <c r="G3164" t="s">
        <v>179</v>
      </c>
      <c r="H3164">
        <v>17</v>
      </c>
      <c r="I3164">
        <v>68.176000000000002</v>
      </c>
      <c r="J3164">
        <v>70.823999999999998</v>
      </c>
      <c r="K3164">
        <v>2.6469999999999998</v>
      </c>
      <c r="L3164">
        <v>8</v>
      </c>
      <c r="M3164">
        <v>4</v>
      </c>
      <c r="N3164">
        <v>5</v>
      </c>
      <c r="O3164" t="s">
        <v>53</v>
      </c>
      <c r="P3164" t="s">
        <v>53</v>
      </c>
      <c r="Q3164" t="s">
        <v>53</v>
      </c>
    </row>
    <row r="3165" spans="1:17" x14ac:dyDescent="0.2">
      <c r="A3165" s="30" t="str">
        <f>IF(C3165&amp;G3165&amp;D3165&lt;&gt;'Funnel setup'!$K$3&amp;'Funnel setup'!$K$4&amp;'Funnel setup'!$K$5,".",IF(A3164=".",1,A3164+1))</f>
        <v>.</v>
      </c>
      <c r="B3165" s="431" t="str">
        <f t="shared" si="49"/>
        <v>Hip Replacement RevisionProviderLEWISHAM AND GREENWICH NHS TRUST (RJ2)EQ VAS</v>
      </c>
      <c r="C3165" t="s">
        <v>247</v>
      </c>
      <c r="D3165" t="s">
        <v>1</v>
      </c>
      <c r="E3165" t="s">
        <v>3522</v>
      </c>
      <c r="F3165" t="s">
        <v>3523</v>
      </c>
      <c r="G3165" t="s">
        <v>179</v>
      </c>
      <c r="H3165" t="s">
        <v>53</v>
      </c>
      <c r="I3165" t="s">
        <v>53</v>
      </c>
      <c r="J3165" t="s">
        <v>53</v>
      </c>
      <c r="K3165" t="s">
        <v>53</v>
      </c>
      <c r="L3165" t="s">
        <v>53</v>
      </c>
      <c r="M3165" t="s">
        <v>53</v>
      </c>
      <c r="N3165" t="s">
        <v>53</v>
      </c>
      <c r="O3165" t="s">
        <v>53</v>
      </c>
      <c r="P3165" t="s">
        <v>53</v>
      </c>
      <c r="Q3165" t="s">
        <v>53</v>
      </c>
    </row>
    <row r="3166" spans="1:17" x14ac:dyDescent="0.2">
      <c r="A3166" s="30" t="str">
        <f>IF(C3166&amp;G3166&amp;D3166&lt;&gt;'Funnel setup'!$K$3&amp;'Funnel setup'!$K$4&amp;'Funnel setup'!$K$5,".",IF(A3165=".",1,A3165+1))</f>
        <v>.</v>
      </c>
      <c r="B3166" s="431" t="str">
        <f t="shared" si="49"/>
        <v>Hip Replacement RevisionProviderLONDON NORTH WEST HEALTHCARE NHS TRUST (R1K)EQ VAS</v>
      </c>
      <c r="C3166" t="s">
        <v>247</v>
      </c>
      <c r="D3166" t="s">
        <v>1</v>
      </c>
      <c r="E3166" t="s">
        <v>6515</v>
      </c>
      <c r="F3166" t="s">
        <v>6516</v>
      </c>
      <c r="G3166" t="s">
        <v>179</v>
      </c>
      <c r="H3166">
        <v>7</v>
      </c>
      <c r="I3166">
        <v>47.713999999999999</v>
      </c>
      <c r="J3166">
        <v>76.429000000000002</v>
      </c>
      <c r="K3166">
        <v>28.713999999999999</v>
      </c>
      <c r="L3166">
        <v>5</v>
      </c>
      <c r="M3166">
        <v>1</v>
      </c>
      <c r="N3166">
        <v>1</v>
      </c>
      <c r="O3166" t="s">
        <v>53</v>
      </c>
      <c r="P3166" t="s">
        <v>53</v>
      </c>
      <c r="Q3166" t="s">
        <v>53</v>
      </c>
    </row>
    <row r="3167" spans="1:17" x14ac:dyDescent="0.2">
      <c r="A3167" s="30" t="str">
        <f>IF(C3167&amp;G3167&amp;D3167&lt;&gt;'Funnel setup'!$K$3&amp;'Funnel setup'!$K$4&amp;'Funnel setup'!$K$5,".",IF(A3166=".",1,A3166+1))</f>
        <v>.</v>
      </c>
      <c r="B3167" s="431" t="str">
        <f t="shared" si="49"/>
        <v>Hip Replacement RevisionProviderLUTON AND DUNSTABLE UNIVERSITY HOSPITAL NHS FOUNDATION TRUST (RC9)EQ VAS</v>
      </c>
      <c r="C3167" t="s">
        <v>247</v>
      </c>
      <c r="D3167" t="s">
        <v>1</v>
      </c>
      <c r="E3167" t="s">
        <v>3528</v>
      </c>
      <c r="F3167" t="s">
        <v>3529</v>
      </c>
      <c r="G3167" t="s">
        <v>179</v>
      </c>
      <c r="H3167">
        <v>12</v>
      </c>
      <c r="I3167">
        <v>54.582999999999998</v>
      </c>
      <c r="J3167">
        <v>71.917000000000002</v>
      </c>
      <c r="K3167">
        <v>17.332999999999998</v>
      </c>
      <c r="L3167">
        <v>5</v>
      </c>
      <c r="M3167">
        <v>3</v>
      </c>
      <c r="N3167">
        <v>4</v>
      </c>
      <c r="O3167" t="s">
        <v>53</v>
      </c>
      <c r="P3167" t="s">
        <v>53</v>
      </c>
      <c r="Q3167" t="s">
        <v>53</v>
      </c>
    </row>
    <row r="3168" spans="1:17" x14ac:dyDescent="0.2">
      <c r="A3168" s="30" t="str">
        <f>IF(C3168&amp;G3168&amp;D3168&lt;&gt;'Funnel setup'!$K$3&amp;'Funnel setup'!$K$4&amp;'Funnel setup'!$K$5,".",IF(A3167=".",1,A3167+1))</f>
        <v>.</v>
      </c>
      <c r="B3168" s="431" t="str">
        <f t="shared" si="49"/>
        <v>Hip Replacement RevisionProviderMAIDSTONE AND TUNBRIDGE WELLS NHS TRUST (RWF)EQ VAS</v>
      </c>
      <c r="C3168" t="s">
        <v>247</v>
      </c>
      <c r="D3168" t="s">
        <v>1</v>
      </c>
      <c r="E3168" t="s">
        <v>3627</v>
      </c>
      <c r="F3168" t="s">
        <v>3628</v>
      </c>
      <c r="G3168" t="s">
        <v>179</v>
      </c>
      <c r="H3168">
        <v>16</v>
      </c>
      <c r="I3168">
        <v>68.563000000000002</v>
      </c>
      <c r="J3168">
        <v>75.938000000000002</v>
      </c>
      <c r="K3168">
        <v>7.375</v>
      </c>
      <c r="L3168">
        <v>7</v>
      </c>
      <c r="M3168">
        <v>2</v>
      </c>
      <c r="N3168">
        <v>7</v>
      </c>
      <c r="O3168" t="s">
        <v>53</v>
      </c>
      <c r="P3168" t="s">
        <v>53</v>
      </c>
      <c r="Q3168" t="s">
        <v>53</v>
      </c>
    </row>
    <row r="3169" spans="1:17" x14ac:dyDescent="0.2">
      <c r="A3169" s="30" t="str">
        <f>IF(C3169&amp;G3169&amp;D3169&lt;&gt;'Funnel setup'!$K$3&amp;'Funnel setup'!$K$4&amp;'Funnel setup'!$K$5,".",IF(A3168=".",1,A3168+1))</f>
        <v>.</v>
      </c>
      <c r="B3169" s="431" t="str">
        <f t="shared" si="49"/>
        <v>Hip Replacement RevisionProviderMEDWAY NHS FOUNDATION TRUST (RPA)EQ VAS</v>
      </c>
      <c r="C3169" t="s">
        <v>247</v>
      </c>
      <c r="D3169" t="s">
        <v>1</v>
      </c>
      <c r="E3169" t="s">
        <v>3630</v>
      </c>
      <c r="F3169" t="s">
        <v>3631</v>
      </c>
      <c r="G3169" t="s">
        <v>179</v>
      </c>
      <c r="H3169">
        <v>18</v>
      </c>
      <c r="I3169">
        <v>76.611000000000004</v>
      </c>
      <c r="J3169">
        <v>74.388999999999996</v>
      </c>
      <c r="K3169">
        <v>-2.222</v>
      </c>
      <c r="L3169">
        <v>7</v>
      </c>
      <c r="M3169">
        <v>3</v>
      </c>
      <c r="N3169">
        <v>8</v>
      </c>
      <c r="O3169" t="s">
        <v>53</v>
      </c>
      <c r="P3169" t="s">
        <v>53</v>
      </c>
      <c r="Q3169" t="s">
        <v>53</v>
      </c>
    </row>
    <row r="3170" spans="1:17" x14ac:dyDescent="0.2">
      <c r="A3170" s="30" t="str">
        <f>IF(C3170&amp;G3170&amp;D3170&lt;&gt;'Funnel setup'!$K$3&amp;'Funnel setup'!$K$4&amp;'Funnel setup'!$K$5,".",IF(A3169=".",1,A3169+1))</f>
        <v>.</v>
      </c>
      <c r="B3170" s="431" t="str">
        <f t="shared" si="49"/>
        <v>Hip Replacement RevisionProviderMID CHESHIRE HOSPITALS NHS FOUNDATION TRUST (RBT)EQ VAS</v>
      </c>
      <c r="C3170" t="s">
        <v>247</v>
      </c>
      <c r="D3170" t="s">
        <v>1</v>
      </c>
      <c r="E3170" t="s">
        <v>3633</v>
      </c>
      <c r="F3170" t="s">
        <v>342</v>
      </c>
      <c r="G3170" t="s">
        <v>179</v>
      </c>
      <c r="H3170">
        <v>8</v>
      </c>
      <c r="I3170">
        <v>74</v>
      </c>
      <c r="J3170">
        <v>72.125</v>
      </c>
      <c r="K3170">
        <v>-1.875</v>
      </c>
      <c r="L3170">
        <v>4</v>
      </c>
      <c r="M3170">
        <v>0</v>
      </c>
      <c r="N3170">
        <v>4</v>
      </c>
      <c r="O3170" t="s">
        <v>53</v>
      </c>
      <c r="P3170" t="s">
        <v>53</v>
      </c>
      <c r="Q3170" t="s">
        <v>53</v>
      </c>
    </row>
    <row r="3171" spans="1:17" x14ac:dyDescent="0.2">
      <c r="A3171" s="30" t="str">
        <f>IF(C3171&amp;G3171&amp;D3171&lt;&gt;'Funnel setup'!$K$3&amp;'Funnel setup'!$K$4&amp;'Funnel setup'!$K$5,".",IF(A3170=".",1,A3170+1))</f>
        <v>.</v>
      </c>
      <c r="B3171" s="431" t="str">
        <f t="shared" si="49"/>
        <v>Hip Replacement RevisionProviderMID ESSEX HOSPITAL SERVICES NHS TRUST (RQ8)EQ VAS</v>
      </c>
      <c r="C3171" t="s">
        <v>247</v>
      </c>
      <c r="D3171" t="s">
        <v>1</v>
      </c>
      <c r="E3171" t="s">
        <v>3635</v>
      </c>
      <c r="F3171" t="s">
        <v>3636</v>
      </c>
      <c r="G3171" t="s">
        <v>179</v>
      </c>
      <c r="H3171">
        <v>16</v>
      </c>
      <c r="I3171">
        <v>68.563000000000002</v>
      </c>
      <c r="J3171">
        <v>68.563000000000002</v>
      </c>
      <c r="K3171">
        <v>0</v>
      </c>
      <c r="L3171">
        <v>7</v>
      </c>
      <c r="M3171">
        <v>1</v>
      </c>
      <c r="N3171">
        <v>8</v>
      </c>
      <c r="O3171" t="s">
        <v>53</v>
      </c>
      <c r="P3171" t="s">
        <v>53</v>
      </c>
      <c r="Q3171" t="s">
        <v>53</v>
      </c>
    </row>
    <row r="3172" spans="1:17" x14ac:dyDescent="0.2">
      <c r="A3172" s="30" t="str">
        <f>IF(C3172&amp;G3172&amp;D3172&lt;&gt;'Funnel setup'!$K$3&amp;'Funnel setup'!$K$4&amp;'Funnel setup'!$K$5,".",IF(A3171=".",1,A3171+1))</f>
        <v>.</v>
      </c>
      <c r="B3172" s="431" t="str">
        <f t="shared" si="49"/>
        <v>Hip Replacement RevisionProviderMID STAFFORDSHIRE NHS FOUNDATION TRUST (RJD)EQ VAS</v>
      </c>
      <c r="C3172" t="s">
        <v>247</v>
      </c>
      <c r="D3172" t="s">
        <v>1</v>
      </c>
      <c r="E3172" t="s">
        <v>3638</v>
      </c>
      <c r="F3172" t="s">
        <v>3639</v>
      </c>
      <c r="G3172" t="s">
        <v>179</v>
      </c>
      <c r="H3172">
        <v>12</v>
      </c>
      <c r="I3172">
        <v>70.667000000000002</v>
      </c>
      <c r="J3172">
        <v>75.167000000000002</v>
      </c>
      <c r="K3172">
        <v>4.5</v>
      </c>
      <c r="L3172">
        <v>8</v>
      </c>
      <c r="M3172">
        <v>1</v>
      </c>
      <c r="N3172">
        <v>3</v>
      </c>
      <c r="O3172" t="s">
        <v>53</v>
      </c>
      <c r="P3172" t="s">
        <v>53</v>
      </c>
      <c r="Q3172" t="s">
        <v>53</v>
      </c>
    </row>
    <row r="3173" spans="1:17" x14ac:dyDescent="0.2">
      <c r="A3173" s="30" t="str">
        <f>IF(C3173&amp;G3173&amp;D3173&lt;&gt;'Funnel setup'!$K$3&amp;'Funnel setup'!$K$4&amp;'Funnel setup'!$K$5,".",IF(A3172=".",1,A3172+1))</f>
        <v>.</v>
      </c>
      <c r="B3173" s="431" t="str">
        <f t="shared" si="49"/>
        <v>Hip Replacement RevisionProviderMID YORKSHIRE HOSPITALS NHS TRUST (RXF)EQ VAS</v>
      </c>
      <c r="C3173" t="s">
        <v>247</v>
      </c>
      <c r="D3173" t="s">
        <v>1</v>
      </c>
      <c r="E3173" t="s">
        <v>3641</v>
      </c>
      <c r="F3173" t="s">
        <v>3642</v>
      </c>
      <c r="G3173" t="s">
        <v>179</v>
      </c>
      <c r="H3173" t="s">
        <v>53</v>
      </c>
      <c r="I3173" t="s">
        <v>53</v>
      </c>
      <c r="J3173" t="s">
        <v>53</v>
      </c>
      <c r="K3173" t="s">
        <v>53</v>
      </c>
      <c r="L3173" t="s">
        <v>53</v>
      </c>
      <c r="M3173" t="s">
        <v>53</v>
      </c>
      <c r="N3173" t="s">
        <v>53</v>
      </c>
      <c r="O3173" t="s">
        <v>53</v>
      </c>
      <c r="P3173" t="s">
        <v>53</v>
      </c>
      <c r="Q3173" t="s">
        <v>53</v>
      </c>
    </row>
    <row r="3174" spans="1:17" x14ac:dyDescent="0.2">
      <c r="A3174" s="30" t="str">
        <f>IF(C3174&amp;G3174&amp;D3174&lt;&gt;'Funnel setup'!$K$3&amp;'Funnel setup'!$K$4&amp;'Funnel setup'!$K$5,".",IF(A3173=".",1,A3173+1))</f>
        <v>.</v>
      </c>
      <c r="B3174" s="431" t="str">
        <f t="shared" si="49"/>
        <v>Hip Replacement RevisionProviderMILTON KEYNES UNIVERSITY HOSPITAL NHS FOUNDATION TRUST (RD8)EQ VAS</v>
      </c>
      <c r="C3174" t="s">
        <v>247</v>
      </c>
      <c r="D3174" t="s">
        <v>1</v>
      </c>
      <c r="E3174" t="s">
        <v>3643</v>
      </c>
      <c r="F3174" t="s">
        <v>6580</v>
      </c>
      <c r="G3174" t="s">
        <v>179</v>
      </c>
      <c r="H3174" t="s">
        <v>53</v>
      </c>
      <c r="I3174" t="s">
        <v>53</v>
      </c>
      <c r="J3174" t="s">
        <v>53</v>
      </c>
      <c r="K3174" t="s">
        <v>53</v>
      </c>
      <c r="L3174" t="s">
        <v>53</v>
      </c>
      <c r="M3174" t="s">
        <v>53</v>
      </c>
      <c r="N3174" t="s">
        <v>53</v>
      </c>
      <c r="O3174" t="s">
        <v>53</v>
      </c>
      <c r="P3174" t="s">
        <v>53</v>
      </c>
      <c r="Q3174" t="s">
        <v>53</v>
      </c>
    </row>
    <row r="3175" spans="1:17" x14ac:dyDescent="0.2">
      <c r="A3175" s="30" t="str">
        <f>IF(C3175&amp;G3175&amp;D3175&lt;&gt;'Funnel setup'!$K$3&amp;'Funnel setup'!$K$4&amp;'Funnel setup'!$K$5,".",IF(A3174=".",1,A3174+1))</f>
        <v>.</v>
      </c>
      <c r="B3175" s="431" t="str">
        <f t="shared" si="49"/>
        <v>Hip Replacement RevisionProviderMOUNT STUART HOSPITAL (NVC08)EQ VAS</v>
      </c>
      <c r="C3175" t="s">
        <v>247</v>
      </c>
      <c r="D3175" t="s">
        <v>1</v>
      </c>
      <c r="E3175" t="s">
        <v>3645</v>
      </c>
      <c r="F3175" t="s">
        <v>3646</v>
      </c>
      <c r="G3175" t="s">
        <v>179</v>
      </c>
      <c r="H3175" t="s">
        <v>53</v>
      </c>
      <c r="I3175" t="s">
        <v>53</v>
      </c>
      <c r="J3175" t="s">
        <v>53</v>
      </c>
      <c r="K3175" t="s">
        <v>53</v>
      </c>
      <c r="L3175" t="s">
        <v>53</v>
      </c>
      <c r="M3175" t="s">
        <v>53</v>
      </c>
      <c r="N3175" t="s">
        <v>53</v>
      </c>
      <c r="O3175" t="s">
        <v>53</v>
      </c>
      <c r="P3175" t="s">
        <v>53</v>
      </c>
      <c r="Q3175" t="s">
        <v>53</v>
      </c>
    </row>
    <row r="3176" spans="1:17" x14ac:dyDescent="0.2">
      <c r="A3176" s="30" t="str">
        <f>IF(C3176&amp;G3176&amp;D3176&lt;&gt;'Funnel setup'!$K$3&amp;'Funnel setup'!$K$4&amp;'Funnel setup'!$K$5,".",IF(A3175=".",1,A3175+1))</f>
        <v>.</v>
      </c>
      <c r="B3176" s="431" t="str">
        <f t="shared" si="49"/>
        <v>Hip Replacement RevisionProviderNEW HALL HOSPITAL (NVC09)EQ VAS</v>
      </c>
      <c r="C3176" t="s">
        <v>247</v>
      </c>
      <c r="D3176" t="s">
        <v>1</v>
      </c>
      <c r="E3176" t="s">
        <v>3648</v>
      </c>
      <c r="F3176" t="s">
        <v>3649</v>
      </c>
      <c r="G3176" t="s">
        <v>179</v>
      </c>
      <c r="H3176">
        <v>6</v>
      </c>
      <c r="I3176">
        <v>65.167000000000002</v>
      </c>
      <c r="J3176">
        <v>71.667000000000002</v>
      </c>
      <c r="K3176">
        <v>6.5</v>
      </c>
      <c r="L3176">
        <v>4</v>
      </c>
      <c r="M3176">
        <v>1</v>
      </c>
      <c r="N3176">
        <v>1</v>
      </c>
      <c r="O3176" t="s">
        <v>53</v>
      </c>
      <c r="P3176" t="s">
        <v>53</v>
      </c>
      <c r="Q3176" t="s">
        <v>53</v>
      </c>
    </row>
    <row r="3177" spans="1:17" x14ac:dyDescent="0.2">
      <c r="A3177" s="30" t="str">
        <f>IF(C3177&amp;G3177&amp;D3177&lt;&gt;'Funnel setup'!$K$3&amp;'Funnel setup'!$K$4&amp;'Funnel setup'!$K$5,".",IF(A3176=".",1,A3176+1))</f>
        <v>.</v>
      </c>
      <c r="B3177" s="431" t="str">
        <f t="shared" si="49"/>
        <v>Hip Replacement RevisionProviderNORFOLK AND NORWICH UNIVERSITY HOSPITALS NHS FOUNDATION TRUST (RM1)EQ VAS</v>
      </c>
      <c r="C3177" t="s">
        <v>247</v>
      </c>
      <c r="D3177" t="s">
        <v>1</v>
      </c>
      <c r="E3177" t="s">
        <v>3651</v>
      </c>
      <c r="F3177" t="s">
        <v>3652</v>
      </c>
      <c r="G3177" t="s">
        <v>179</v>
      </c>
      <c r="H3177">
        <v>51</v>
      </c>
      <c r="I3177">
        <v>67.078000000000003</v>
      </c>
      <c r="J3177">
        <v>72.528999999999996</v>
      </c>
      <c r="K3177">
        <v>5.4509999999999996</v>
      </c>
      <c r="L3177">
        <v>28</v>
      </c>
      <c r="M3177">
        <v>9</v>
      </c>
      <c r="N3177">
        <v>14</v>
      </c>
      <c r="O3177">
        <v>70.739999999999995</v>
      </c>
      <c r="P3177">
        <v>5.9695070899999996</v>
      </c>
      <c r="Q3177">
        <v>15.336</v>
      </c>
    </row>
    <row r="3178" spans="1:17" x14ac:dyDescent="0.2">
      <c r="A3178" s="30" t="str">
        <f>IF(C3178&amp;G3178&amp;D3178&lt;&gt;'Funnel setup'!$K$3&amp;'Funnel setup'!$K$4&amp;'Funnel setup'!$K$5,".",IF(A3177=".",1,A3177+1))</f>
        <v>.</v>
      </c>
      <c r="B3178" s="431" t="str">
        <f t="shared" si="49"/>
        <v>Hip Replacement RevisionProviderNORTH BRISTOL NHS TRUST (RVJ)EQ VAS</v>
      </c>
      <c r="C3178" t="s">
        <v>247</v>
      </c>
      <c r="D3178" t="s">
        <v>1</v>
      </c>
      <c r="E3178" t="s">
        <v>3654</v>
      </c>
      <c r="F3178" t="s">
        <v>3655</v>
      </c>
      <c r="G3178" t="s">
        <v>179</v>
      </c>
      <c r="H3178">
        <v>10</v>
      </c>
      <c r="I3178">
        <v>61.2</v>
      </c>
      <c r="J3178">
        <v>64.2</v>
      </c>
      <c r="K3178">
        <v>3</v>
      </c>
      <c r="L3178">
        <v>3</v>
      </c>
      <c r="M3178">
        <v>1</v>
      </c>
      <c r="N3178">
        <v>6</v>
      </c>
      <c r="O3178" t="s">
        <v>53</v>
      </c>
      <c r="P3178" t="s">
        <v>53</v>
      </c>
      <c r="Q3178" t="s">
        <v>53</v>
      </c>
    </row>
    <row r="3179" spans="1:17" x14ac:dyDescent="0.2">
      <c r="A3179" s="30" t="str">
        <f>IF(C3179&amp;G3179&amp;D3179&lt;&gt;'Funnel setup'!$K$3&amp;'Funnel setup'!$K$4&amp;'Funnel setup'!$K$5,".",IF(A3178=".",1,A3178+1))</f>
        <v>.</v>
      </c>
      <c r="B3179" s="431" t="str">
        <f t="shared" si="49"/>
        <v>Hip Replacement RevisionProviderNORTH CUMBRIA UNIVERSITY HOSPITALS NHS TRUST (RNL)EQ VAS</v>
      </c>
      <c r="C3179" t="s">
        <v>247</v>
      </c>
      <c r="D3179" t="s">
        <v>1</v>
      </c>
      <c r="E3179" t="s">
        <v>3657</v>
      </c>
      <c r="F3179" t="s">
        <v>3658</v>
      </c>
      <c r="G3179" t="s">
        <v>179</v>
      </c>
      <c r="H3179">
        <v>9</v>
      </c>
      <c r="I3179">
        <v>72.221999999999994</v>
      </c>
      <c r="J3179">
        <v>70.221999999999994</v>
      </c>
      <c r="K3179">
        <v>-2</v>
      </c>
      <c r="L3179">
        <v>4</v>
      </c>
      <c r="M3179">
        <v>1</v>
      </c>
      <c r="N3179">
        <v>4</v>
      </c>
      <c r="O3179" t="s">
        <v>53</v>
      </c>
      <c r="P3179" t="s">
        <v>53</v>
      </c>
      <c r="Q3179" t="s">
        <v>53</v>
      </c>
    </row>
    <row r="3180" spans="1:17" x14ac:dyDescent="0.2">
      <c r="A3180" s="30" t="str">
        <f>IF(C3180&amp;G3180&amp;D3180&lt;&gt;'Funnel setup'!$K$3&amp;'Funnel setup'!$K$4&amp;'Funnel setup'!$K$5,".",IF(A3179=".",1,A3179+1))</f>
        <v>.</v>
      </c>
      <c r="B3180" s="431" t="str">
        <f t="shared" si="49"/>
        <v>Hip Replacement RevisionProviderNORTH DOWNS HOSPITAL (NVC11)EQ VAS</v>
      </c>
      <c r="C3180" t="s">
        <v>247</v>
      </c>
      <c r="D3180" t="s">
        <v>1</v>
      </c>
      <c r="E3180" t="s">
        <v>3660</v>
      </c>
      <c r="F3180" t="s">
        <v>3661</v>
      </c>
      <c r="G3180" t="s">
        <v>179</v>
      </c>
      <c r="H3180" t="s">
        <v>53</v>
      </c>
      <c r="I3180" t="s">
        <v>53</v>
      </c>
      <c r="J3180" t="s">
        <v>53</v>
      </c>
      <c r="K3180" t="s">
        <v>53</v>
      </c>
      <c r="L3180" t="s">
        <v>53</v>
      </c>
      <c r="M3180" t="s">
        <v>53</v>
      </c>
      <c r="N3180" t="s">
        <v>53</v>
      </c>
      <c r="O3180" t="s">
        <v>53</v>
      </c>
      <c r="P3180" t="s">
        <v>53</v>
      </c>
      <c r="Q3180" t="s">
        <v>53</v>
      </c>
    </row>
    <row r="3181" spans="1:17" x14ac:dyDescent="0.2">
      <c r="A3181" s="30" t="str">
        <f>IF(C3181&amp;G3181&amp;D3181&lt;&gt;'Funnel setup'!$K$3&amp;'Funnel setup'!$K$4&amp;'Funnel setup'!$K$5,".",IF(A3180=".",1,A3180+1))</f>
        <v>.</v>
      </c>
      <c r="B3181" s="431" t="str">
        <f t="shared" si="49"/>
        <v>Hip Replacement RevisionProviderNORTH EAST LONDON TREATMENT CENTRE CARE UK (NTP15)EQ VAS</v>
      </c>
      <c r="C3181" t="s">
        <v>247</v>
      </c>
      <c r="D3181" t="s">
        <v>1</v>
      </c>
      <c r="E3181" t="s">
        <v>3663</v>
      </c>
      <c r="F3181" t="s">
        <v>3664</v>
      </c>
      <c r="G3181" t="s">
        <v>179</v>
      </c>
      <c r="H3181" t="s">
        <v>53</v>
      </c>
      <c r="I3181" t="s">
        <v>53</v>
      </c>
      <c r="J3181" t="s">
        <v>53</v>
      </c>
      <c r="K3181" t="s">
        <v>53</v>
      </c>
      <c r="L3181" t="s">
        <v>53</v>
      </c>
      <c r="M3181" t="s">
        <v>53</v>
      </c>
      <c r="N3181" t="s">
        <v>53</v>
      </c>
      <c r="O3181" t="s">
        <v>53</v>
      </c>
      <c r="P3181" t="s">
        <v>53</v>
      </c>
      <c r="Q3181" t="s">
        <v>53</v>
      </c>
    </row>
    <row r="3182" spans="1:17" x14ac:dyDescent="0.2">
      <c r="A3182" s="30" t="str">
        <f>IF(C3182&amp;G3182&amp;D3182&lt;&gt;'Funnel setup'!$K$3&amp;'Funnel setup'!$K$4&amp;'Funnel setup'!$K$5,".",IF(A3181=".",1,A3181+1))</f>
        <v>.</v>
      </c>
      <c r="B3182" s="431" t="str">
        <f t="shared" si="49"/>
        <v>Hip Replacement RevisionProviderNORTH MIDDLESEX UNIVERSITY HOSPITAL NHS TRUST (RAP)EQ VAS</v>
      </c>
      <c r="C3182" t="s">
        <v>247</v>
      </c>
      <c r="D3182" t="s">
        <v>1</v>
      </c>
      <c r="E3182" t="s">
        <v>3666</v>
      </c>
      <c r="F3182" t="s">
        <v>3667</v>
      </c>
      <c r="G3182" t="s">
        <v>179</v>
      </c>
      <c r="H3182" t="s">
        <v>53</v>
      </c>
      <c r="I3182" t="s">
        <v>53</v>
      </c>
      <c r="J3182" t="s">
        <v>53</v>
      </c>
      <c r="K3182" t="s">
        <v>53</v>
      </c>
      <c r="L3182" t="s">
        <v>53</v>
      </c>
      <c r="M3182" t="s">
        <v>53</v>
      </c>
      <c r="N3182" t="s">
        <v>53</v>
      </c>
      <c r="O3182" t="s">
        <v>53</v>
      </c>
      <c r="P3182" t="s">
        <v>53</v>
      </c>
      <c r="Q3182" t="s">
        <v>53</v>
      </c>
    </row>
    <row r="3183" spans="1:17" x14ac:dyDescent="0.2">
      <c r="A3183" s="30" t="str">
        <f>IF(C3183&amp;G3183&amp;D3183&lt;&gt;'Funnel setup'!$K$3&amp;'Funnel setup'!$K$4&amp;'Funnel setup'!$K$5,".",IF(A3182=".",1,A3182+1))</f>
        <v>.</v>
      </c>
      <c r="B3183" s="431" t="str">
        <f t="shared" si="49"/>
        <v>Hip Replacement RevisionProviderNORTH TEES AND HARTLEPOOL NHS FOUNDATION TRUST (RVW)EQ VAS</v>
      </c>
      <c r="C3183" t="s">
        <v>247</v>
      </c>
      <c r="D3183" t="s">
        <v>1</v>
      </c>
      <c r="E3183" t="s">
        <v>3669</v>
      </c>
      <c r="F3183" t="s">
        <v>3670</v>
      </c>
      <c r="G3183" t="s">
        <v>179</v>
      </c>
      <c r="H3183">
        <v>22</v>
      </c>
      <c r="I3183">
        <v>55.773000000000003</v>
      </c>
      <c r="J3183">
        <v>73.454999999999998</v>
      </c>
      <c r="K3183">
        <v>17.681999999999999</v>
      </c>
      <c r="L3183">
        <v>16</v>
      </c>
      <c r="M3183">
        <v>1</v>
      </c>
      <c r="N3183">
        <v>5</v>
      </c>
      <c r="O3183" t="s">
        <v>53</v>
      </c>
      <c r="P3183" t="s">
        <v>53</v>
      </c>
      <c r="Q3183" t="s">
        <v>53</v>
      </c>
    </row>
    <row r="3184" spans="1:17" x14ac:dyDescent="0.2">
      <c r="A3184" s="30" t="str">
        <f>IF(C3184&amp;G3184&amp;D3184&lt;&gt;'Funnel setup'!$K$3&amp;'Funnel setup'!$K$4&amp;'Funnel setup'!$K$5,".",IF(A3183=".",1,A3183+1))</f>
        <v>.</v>
      </c>
      <c r="B3184" s="431" t="str">
        <f t="shared" si="49"/>
        <v>Hip Replacement RevisionProviderNORTHAMPTON GENERAL HOSPITAL NHS TRUST (RNS)EQ VAS</v>
      </c>
      <c r="C3184" t="s">
        <v>247</v>
      </c>
      <c r="D3184" t="s">
        <v>1</v>
      </c>
      <c r="E3184" t="s">
        <v>3675</v>
      </c>
      <c r="F3184" t="s">
        <v>3676</v>
      </c>
      <c r="G3184" t="s">
        <v>179</v>
      </c>
      <c r="H3184">
        <v>17</v>
      </c>
      <c r="I3184">
        <v>70</v>
      </c>
      <c r="J3184">
        <v>72.058999999999997</v>
      </c>
      <c r="K3184">
        <v>2.0590000000000002</v>
      </c>
      <c r="L3184">
        <v>7</v>
      </c>
      <c r="M3184">
        <v>2</v>
      </c>
      <c r="N3184">
        <v>8</v>
      </c>
      <c r="O3184" t="s">
        <v>53</v>
      </c>
      <c r="P3184" t="s">
        <v>53</v>
      </c>
      <c r="Q3184" t="s">
        <v>53</v>
      </c>
    </row>
    <row r="3185" spans="1:17" x14ac:dyDescent="0.2">
      <c r="A3185" s="30" t="str">
        <f>IF(C3185&amp;G3185&amp;D3185&lt;&gt;'Funnel setup'!$K$3&amp;'Funnel setup'!$K$4&amp;'Funnel setup'!$K$5,".",IF(A3184=".",1,A3184+1))</f>
        <v>.</v>
      </c>
      <c r="B3185" s="431" t="str">
        <f t="shared" si="49"/>
        <v>Hip Replacement RevisionProviderNORTHERN DEVON HEALTHCARE NHS TRUST (RBZ)EQ VAS</v>
      </c>
      <c r="C3185" t="s">
        <v>247</v>
      </c>
      <c r="D3185" t="s">
        <v>1</v>
      </c>
      <c r="E3185" t="s">
        <v>3678</v>
      </c>
      <c r="F3185" t="s">
        <v>3679</v>
      </c>
      <c r="G3185" t="s">
        <v>179</v>
      </c>
      <c r="H3185">
        <v>12</v>
      </c>
      <c r="I3185">
        <v>70.417000000000002</v>
      </c>
      <c r="J3185">
        <v>72</v>
      </c>
      <c r="K3185">
        <v>1.583</v>
      </c>
      <c r="L3185">
        <v>7</v>
      </c>
      <c r="M3185">
        <v>1</v>
      </c>
      <c r="N3185">
        <v>4</v>
      </c>
      <c r="O3185" t="s">
        <v>53</v>
      </c>
      <c r="P3185" t="s">
        <v>53</v>
      </c>
      <c r="Q3185" t="s">
        <v>53</v>
      </c>
    </row>
    <row r="3186" spans="1:17" x14ac:dyDescent="0.2">
      <c r="A3186" s="30" t="str">
        <f>IF(C3186&amp;G3186&amp;D3186&lt;&gt;'Funnel setup'!$K$3&amp;'Funnel setup'!$K$4&amp;'Funnel setup'!$K$5,".",IF(A3185=".",1,A3185+1))</f>
        <v>.</v>
      </c>
      <c r="B3186" s="431" t="str">
        <f t="shared" si="49"/>
        <v>Hip Replacement RevisionProviderNORTHERN LINCOLNSHIRE AND GOOLE NHS FOUNDATION TRUST (RJL)EQ VAS</v>
      </c>
      <c r="C3186" t="s">
        <v>247</v>
      </c>
      <c r="D3186" t="s">
        <v>1</v>
      </c>
      <c r="E3186" t="s">
        <v>3681</v>
      </c>
      <c r="F3186" t="s">
        <v>3682</v>
      </c>
      <c r="G3186" t="s">
        <v>179</v>
      </c>
      <c r="H3186">
        <v>14</v>
      </c>
      <c r="I3186">
        <v>62</v>
      </c>
      <c r="J3186">
        <v>65.856999999999999</v>
      </c>
      <c r="K3186">
        <v>3.8570000000000002</v>
      </c>
      <c r="L3186">
        <v>8</v>
      </c>
      <c r="M3186">
        <v>0</v>
      </c>
      <c r="N3186">
        <v>6</v>
      </c>
      <c r="O3186" t="s">
        <v>53</v>
      </c>
      <c r="P3186" t="s">
        <v>53</v>
      </c>
      <c r="Q3186" t="s">
        <v>53</v>
      </c>
    </row>
    <row r="3187" spans="1:17" x14ac:dyDescent="0.2">
      <c r="A3187" s="30" t="str">
        <f>IF(C3187&amp;G3187&amp;D3187&lt;&gt;'Funnel setup'!$K$3&amp;'Funnel setup'!$K$4&amp;'Funnel setup'!$K$5,".",IF(A3186=".",1,A3186+1))</f>
        <v>.</v>
      </c>
      <c r="B3187" s="431" t="str">
        <f t="shared" si="49"/>
        <v>Hip Replacement RevisionProviderNORTHUMBRIA HEALTHCARE NHS FOUNDATION TRUST (RTF)EQ VAS</v>
      </c>
      <c r="C3187" t="s">
        <v>247</v>
      </c>
      <c r="D3187" t="s">
        <v>1</v>
      </c>
      <c r="E3187" t="s">
        <v>3684</v>
      </c>
      <c r="F3187" t="s">
        <v>3685</v>
      </c>
      <c r="G3187" t="s">
        <v>179</v>
      </c>
      <c r="H3187">
        <v>22</v>
      </c>
      <c r="I3187">
        <v>52.636000000000003</v>
      </c>
      <c r="J3187">
        <v>69.864000000000004</v>
      </c>
      <c r="K3187">
        <v>17.227</v>
      </c>
      <c r="L3187">
        <v>16</v>
      </c>
      <c r="M3187">
        <v>1</v>
      </c>
      <c r="N3187">
        <v>5</v>
      </c>
      <c r="O3187" t="s">
        <v>53</v>
      </c>
      <c r="P3187" t="s">
        <v>53</v>
      </c>
      <c r="Q3187" t="s">
        <v>53</v>
      </c>
    </row>
    <row r="3188" spans="1:17" x14ac:dyDescent="0.2">
      <c r="A3188" s="30" t="str">
        <f>IF(C3188&amp;G3188&amp;D3188&lt;&gt;'Funnel setup'!$K$3&amp;'Funnel setup'!$K$4&amp;'Funnel setup'!$K$5,".",IF(A3187=".",1,A3187+1))</f>
        <v>.</v>
      </c>
      <c r="B3188" s="431" t="str">
        <f t="shared" si="49"/>
        <v>Hip Replacement RevisionProviderNOTTINGHAM UNIVERSITY HOSPITALS NHS TRUST (RX1)EQ VAS</v>
      </c>
      <c r="C3188" t="s">
        <v>247</v>
      </c>
      <c r="D3188" t="s">
        <v>1</v>
      </c>
      <c r="E3188" t="s">
        <v>3687</v>
      </c>
      <c r="F3188" t="s">
        <v>3688</v>
      </c>
      <c r="G3188" t="s">
        <v>179</v>
      </c>
      <c r="H3188">
        <v>35</v>
      </c>
      <c r="I3188">
        <v>60.713999999999999</v>
      </c>
      <c r="J3188">
        <v>64.228999999999999</v>
      </c>
      <c r="K3188">
        <v>3.5139999999999998</v>
      </c>
      <c r="L3188">
        <v>19</v>
      </c>
      <c r="M3188">
        <v>4</v>
      </c>
      <c r="N3188">
        <v>12</v>
      </c>
      <c r="O3188">
        <v>68.891000000000005</v>
      </c>
      <c r="P3188">
        <v>4.1203963840000002</v>
      </c>
      <c r="Q3188">
        <v>18.414000000000001</v>
      </c>
    </row>
    <row r="3189" spans="1:17" x14ac:dyDescent="0.2">
      <c r="A3189" s="30" t="str">
        <f>IF(C3189&amp;G3189&amp;D3189&lt;&gt;'Funnel setup'!$K$3&amp;'Funnel setup'!$K$4&amp;'Funnel setup'!$K$5,".",IF(A3188=".",1,A3188+1))</f>
        <v>.</v>
      </c>
      <c r="B3189" s="431" t="str">
        <f t="shared" si="49"/>
        <v>Hip Replacement RevisionProviderNUFFIELD HEALTH, HAYWARDS HEATH HOSPITAL (NT218)EQ VAS</v>
      </c>
      <c r="C3189" t="s">
        <v>247</v>
      </c>
      <c r="D3189" t="s">
        <v>1</v>
      </c>
      <c r="E3189" t="s">
        <v>4342</v>
      </c>
      <c r="F3189" t="s">
        <v>4343</v>
      </c>
      <c r="G3189" t="s">
        <v>179</v>
      </c>
      <c r="H3189" t="s">
        <v>53</v>
      </c>
      <c r="I3189" t="s">
        <v>53</v>
      </c>
      <c r="J3189" t="s">
        <v>53</v>
      </c>
      <c r="K3189" t="s">
        <v>53</v>
      </c>
      <c r="L3189" t="s">
        <v>53</v>
      </c>
      <c r="M3189" t="s">
        <v>53</v>
      </c>
      <c r="N3189" t="s">
        <v>53</v>
      </c>
      <c r="O3189" t="s">
        <v>53</v>
      </c>
      <c r="P3189" t="s">
        <v>53</v>
      </c>
      <c r="Q3189" t="s">
        <v>53</v>
      </c>
    </row>
    <row r="3190" spans="1:17" x14ac:dyDescent="0.2">
      <c r="A3190" s="30" t="str">
        <f>IF(C3190&amp;G3190&amp;D3190&lt;&gt;'Funnel setup'!$K$3&amp;'Funnel setup'!$K$4&amp;'Funnel setup'!$K$5,".",IF(A3189=".",1,A3189+1))</f>
        <v>.</v>
      </c>
      <c r="B3190" s="431" t="str">
        <f t="shared" si="49"/>
        <v>Hip Replacement RevisionProviderNUFFIELD HEALTH, LEEDS HOSPITAL (NT225)EQ VAS</v>
      </c>
      <c r="C3190" t="s">
        <v>247</v>
      </c>
      <c r="D3190" t="s">
        <v>1</v>
      </c>
      <c r="E3190" t="s">
        <v>3388</v>
      </c>
      <c r="F3190" t="s">
        <v>3389</v>
      </c>
      <c r="G3190" t="s">
        <v>179</v>
      </c>
      <c r="H3190" t="s">
        <v>53</v>
      </c>
      <c r="I3190" t="s">
        <v>53</v>
      </c>
      <c r="J3190" t="s">
        <v>53</v>
      </c>
      <c r="K3190" t="s">
        <v>53</v>
      </c>
      <c r="L3190" t="s">
        <v>53</v>
      </c>
      <c r="M3190" t="s">
        <v>53</v>
      </c>
      <c r="N3190" t="s">
        <v>53</v>
      </c>
      <c r="O3190" t="s">
        <v>53</v>
      </c>
      <c r="P3190" t="s">
        <v>53</v>
      </c>
      <c r="Q3190" t="s">
        <v>53</v>
      </c>
    </row>
    <row r="3191" spans="1:17" x14ac:dyDescent="0.2">
      <c r="A3191" s="30" t="str">
        <f>IF(C3191&amp;G3191&amp;D3191&lt;&gt;'Funnel setup'!$K$3&amp;'Funnel setup'!$K$4&amp;'Funnel setup'!$K$5,".",IF(A3190=".",1,A3190+1))</f>
        <v>.</v>
      </c>
      <c r="B3191" s="431" t="str">
        <f t="shared" si="49"/>
        <v>Hip Replacement RevisionProviderNUFFIELD HEALTH, NEWCASTLE UPON TYNE HOSPITAL (NT229)EQ VAS</v>
      </c>
      <c r="C3191" t="s">
        <v>247</v>
      </c>
      <c r="D3191" t="s">
        <v>1</v>
      </c>
      <c r="E3191" t="s">
        <v>3394</v>
      </c>
      <c r="F3191" t="s">
        <v>3395</v>
      </c>
      <c r="G3191" t="s">
        <v>179</v>
      </c>
      <c r="H3191" t="s">
        <v>53</v>
      </c>
      <c r="I3191" t="s">
        <v>53</v>
      </c>
      <c r="J3191" t="s">
        <v>53</v>
      </c>
      <c r="K3191" t="s">
        <v>53</v>
      </c>
      <c r="L3191" t="s">
        <v>53</v>
      </c>
      <c r="M3191" t="s">
        <v>53</v>
      </c>
      <c r="N3191" t="s">
        <v>53</v>
      </c>
      <c r="O3191" t="s">
        <v>53</v>
      </c>
      <c r="P3191" t="s">
        <v>53</v>
      </c>
      <c r="Q3191" t="s">
        <v>53</v>
      </c>
    </row>
    <row r="3192" spans="1:17" x14ac:dyDescent="0.2">
      <c r="A3192" s="30" t="str">
        <f>IF(C3192&amp;G3192&amp;D3192&lt;&gt;'Funnel setup'!$K$3&amp;'Funnel setup'!$K$4&amp;'Funnel setup'!$K$5,".",IF(A3191=".",1,A3191+1))</f>
        <v>.</v>
      </c>
      <c r="B3192" s="431" t="str">
        <f t="shared" si="49"/>
        <v>Hip Replacement RevisionProviderNUFFIELD HEALTH, TEES HOSPITAL (NT237)EQ VAS</v>
      </c>
      <c r="C3192" t="s">
        <v>247</v>
      </c>
      <c r="D3192" t="s">
        <v>1</v>
      </c>
      <c r="E3192" t="s">
        <v>3246</v>
      </c>
      <c r="F3192" t="s">
        <v>3247</v>
      </c>
      <c r="G3192" t="s">
        <v>179</v>
      </c>
      <c r="H3192">
        <v>9</v>
      </c>
      <c r="I3192">
        <v>65.221999999999994</v>
      </c>
      <c r="J3192">
        <v>78.888999999999996</v>
      </c>
      <c r="K3192">
        <v>13.667</v>
      </c>
      <c r="L3192">
        <v>6</v>
      </c>
      <c r="M3192">
        <v>2</v>
      </c>
      <c r="N3192">
        <v>1</v>
      </c>
      <c r="O3192" t="s">
        <v>53</v>
      </c>
      <c r="P3192" t="s">
        <v>53</v>
      </c>
      <c r="Q3192" t="s">
        <v>53</v>
      </c>
    </row>
    <row r="3193" spans="1:17" x14ac:dyDescent="0.2">
      <c r="A3193" s="30" t="str">
        <f>IF(C3193&amp;G3193&amp;D3193&lt;&gt;'Funnel setup'!$K$3&amp;'Funnel setup'!$K$4&amp;'Funnel setup'!$K$5,".",IF(A3192=".",1,A3192+1))</f>
        <v>.</v>
      </c>
      <c r="B3193" s="431" t="str">
        <f t="shared" si="49"/>
        <v>Hip Replacement RevisionProviderNUFFIELD HEALTH, WOKING HOSPITAL (NT241)EQ VAS</v>
      </c>
      <c r="C3193" t="s">
        <v>247</v>
      </c>
      <c r="D3193" t="s">
        <v>1</v>
      </c>
      <c r="E3193" t="s">
        <v>3261</v>
      </c>
      <c r="F3193" t="s">
        <v>3262</v>
      </c>
      <c r="G3193" t="s">
        <v>179</v>
      </c>
      <c r="H3193" t="s">
        <v>53</v>
      </c>
      <c r="I3193" t="s">
        <v>53</v>
      </c>
      <c r="J3193" t="s">
        <v>53</v>
      </c>
      <c r="K3193" t="s">
        <v>53</v>
      </c>
      <c r="L3193" t="s">
        <v>53</v>
      </c>
      <c r="M3193" t="s">
        <v>53</v>
      </c>
      <c r="N3193" t="s">
        <v>53</v>
      </c>
      <c r="O3193" t="s">
        <v>53</v>
      </c>
      <c r="P3193" t="s">
        <v>53</v>
      </c>
      <c r="Q3193" t="s">
        <v>53</v>
      </c>
    </row>
    <row r="3194" spans="1:17" x14ac:dyDescent="0.2">
      <c r="A3194" s="30" t="str">
        <f>IF(C3194&amp;G3194&amp;D3194&lt;&gt;'Funnel setup'!$K$3&amp;'Funnel setup'!$K$4&amp;'Funnel setup'!$K$5,".",IF(A3193=".",1,A3193+1))</f>
        <v>.</v>
      </c>
      <c r="B3194" s="431" t="str">
        <f t="shared" si="49"/>
        <v>Hip Replacement RevisionProviderNUFFIELD HEALTH, YORK HOSPITAL (NT245)EQ VAS</v>
      </c>
      <c r="C3194" t="s">
        <v>247</v>
      </c>
      <c r="D3194" t="s">
        <v>1</v>
      </c>
      <c r="E3194" t="s">
        <v>4299</v>
      </c>
      <c r="F3194" t="s">
        <v>4300</v>
      </c>
      <c r="G3194" t="s">
        <v>179</v>
      </c>
      <c r="H3194" t="s">
        <v>53</v>
      </c>
      <c r="I3194" t="s">
        <v>53</v>
      </c>
      <c r="J3194" t="s">
        <v>53</v>
      </c>
      <c r="K3194" t="s">
        <v>53</v>
      </c>
      <c r="L3194" t="s">
        <v>53</v>
      </c>
      <c r="M3194" t="s">
        <v>53</v>
      </c>
      <c r="N3194" t="s">
        <v>53</v>
      </c>
      <c r="O3194" t="s">
        <v>53</v>
      </c>
      <c r="P3194" t="s">
        <v>53</v>
      </c>
      <c r="Q3194" t="s">
        <v>53</v>
      </c>
    </row>
    <row r="3195" spans="1:17" x14ac:dyDescent="0.2">
      <c r="A3195" s="30" t="str">
        <f>IF(C3195&amp;G3195&amp;D3195&lt;&gt;'Funnel setup'!$K$3&amp;'Funnel setup'!$K$4&amp;'Funnel setup'!$K$5,".",IF(A3194=".",1,A3194+1))</f>
        <v>.</v>
      </c>
      <c r="B3195" s="431" t="str">
        <f t="shared" si="49"/>
        <v>Hip Replacement RevisionProviderOXFORD UNIVERSITY HOSPITALS NHS FOUNDATION TRUST (RTH)EQ VAS</v>
      </c>
      <c r="C3195" t="s">
        <v>247</v>
      </c>
      <c r="D3195" t="s">
        <v>1</v>
      </c>
      <c r="E3195" t="s">
        <v>3278</v>
      </c>
      <c r="F3195" t="s">
        <v>6578</v>
      </c>
      <c r="G3195" t="s">
        <v>179</v>
      </c>
      <c r="H3195">
        <v>76</v>
      </c>
      <c r="I3195">
        <v>63.381999999999998</v>
      </c>
      <c r="J3195">
        <v>70.474000000000004</v>
      </c>
      <c r="K3195">
        <v>7.0919999999999996</v>
      </c>
      <c r="L3195">
        <v>50</v>
      </c>
      <c r="M3195">
        <v>2</v>
      </c>
      <c r="N3195">
        <v>24</v>
      </c>
      <c r="O3195">
        <v>69.712999999999994</v>
      </c>
      <c r="P3195">
        <v>4.9430225170000002</v>
      </c>
      <c r="Q3195">
        <v>18.382999999999999</v>
      </c>
    </row>
    <row r="3196" spans="1:17" x14ac:dyDescent="0.2">
      <c r="A3196" s="30" t="str">
        <f>IF(C3196&amp;G3196&amp;D3196&lt;&gt;'Funnel setup'!$K$3&amp;'Funnel setup'!$K$4&amp;'Funnel setup'!$K$5,".",IF(A3195=".",1,A3195+1))</f>
        <v>.</v>
      </c>
      <c r="B3196" s="431" t="str">
        <f t="shared" si="49"/>
        <v>Hip Replacement RevisionProviderPENINSULA NHS TREATMENT CENTRE (NTPH5)EQ VAS</v>
      </c>
      <c r="C3196" t="s">
        <v>247</v>
      </c>
      <c r="D3196" t="s">
        <v>1</v>
      </c>
      <c r="E3196" t="s">
        <v>4285</v>
      </c>
      <c r="F3196" t="s">
        <v>4286</v>
      </c>
      <c r="G3196" t="s">
        <v>179</v>
      </c>
      <c r="H3196" t="s">
        <v>53</v>
      </c>
      <c r="I3196" t="s">
        <v>53</v>
      </c>
      <c r="J3196" t="s">
        <v>53</v>
      </c>
      <c r="K3196" t="s">
        <v>53</v>
      </c>
      <c r="L3196" t="s">
        <v>53</v>
      </c>
      <c r="M3196" t="s">
        <v>53</v>
      </c>
      <c r="N3196" t="s">
        <v>53</v>
      </c>
      <c r="O3196" t="s">
        <v>53</v>
      </c>
      <c r="P3196" t="s">
        <v>53</v>
      </c>
      <c r="Q3196" t="s">
        <v>53</v>
      </c>
    </row>
    <row r="3197" spans="1:17" x14ac:dyDescent="0.2">
      <c r="A3197" s="30" t="str">
        <f>IF(C3197&amp;G3197&amp;D3197&lt;&gt;'Funnel setup'!$K$3&amp;'Funnel setup'!$K$4&amp;'Funnel setup'!$K$5,".",IF(A3196=".",1,A3196+1))</f>
        <v>.</v>
      </c>
      <c r="B3197" s="431" t="str">
        <f t="shared" si="49"/>
        <v>Hip Replacement RevisionProviderPENNINE ACUTE HOSPITALS NHS TRUST (RW6)EQ VAS</v>
      </c>
      <c r="C3197" t="s">
        <v>247</v>
      </c>
      <c r="D3197" t="s">
        <v>1</v>
      </c>
      <c r="E3197" t="s">
        <v>3216</v>
      </c>
      <c r="F3197" t="s">
        <v>3217</v>
      </c>
      <c r="G3197" t="s">
        <v>179</v>
      </c>
      <c r="H3197">
        <v>28</v>
      </c>
      <c r="I3197">
        <v>73.463999999999999</v>
      </c>
      <c r="J3197">
        <v>75.75</v>
      </c>
      <c r="K3197">
        <v>2.286</v>
      </c>
      <c r="L3197">
        <v>16</v>
      </c>
      <c r="M3197">
        <v>3</v>
      </c>
      <c r="N3197">
        <v>9</v>
      </c>
      <c r="O3197" t="s">
        <v>53</v>
      </c>
      <c r="P3197" t="s">
        <v>53</v>
      </c>
      <c r="Q3197" t="s">
        <v>53</v>
      </c>
    </row>
    <row r="3198" spans="1:17" x14ac:dyDescent="0.2">
      <c r="A3198" s="30" t="str">
        <f>IF(C3198&amp;G3198&amp;D3198&lt;&gt;'Funnel setup'!$K$3&amp;'Funnel setup'!$K$4&amp;'Funnel setup'!$K$5,".",IF(A3197=".",1,A3197+1))</f>
        <v>.</v>
      </c>
      <c r="B3198" s="431" t="str">
        <f t="shared" si="49"/>
        <v>Hip Replacement RevisionProviderPETERBOROUGH AND STAMFORD HOSPITALS NHS FOUNDATION TRUST (RGN)EQ VAS</v>
      </c>
      <c r="C3198" t="s">
        <v>247</v>
      </c>
      <c r="D3198" t="s">
        <v>1</v>
      </c>
      <c r="E3198" t="s">
        <v>3219</v>
      </c>
      <c r="F3198" t="s">
        <v>3220</v>
      </c>
      <c r="G3198" t="s">
        <v>179</v>
      </c>
      <c r="H3198" t="s">
        <v>53</v>
      </c>
      <c r="I3198" t="s">
        <v>53</v>
      </c>
      <c r="J3198" t="s">
        <v>53</v>
      </c>
      <c r="K3198" t="s">
        <v>53</v>
      </c>
      <c r="L3198" t="s">
        <v>53</v>
      </c>
      <c r="M3198" t="s">
        <v>53</v>
      </c>
      <c r="N3198" t="s">
        <v>53</v>
      </c>
      <c r="O3198" t="s">
        <v>53</v>
      </c>
      <c r="P3198" t="s">
        <v>53</v>
      </c>
      <c r="Q3198" t="s">
        <v>53</v>
      </c>
    </row>
    <row r="3199" spans="1:17" x14ac:dyDescent="0.2">
      <c r="A3199" s="30" t="str">
        <f>IF(C3199&amp;G3199&amp;D3199&lt;&gt;'Funnel setup'!$K$3&amp;'Funnel setup'!$K$4&amp;'Funnel setup'!$K$5,".",IF(A3198=".",1,A3198+1))</f>
        <v>.</v>
      </c>
      <c r="B3199" s="431" t="str">
        <f t="shared" si="49"/>
        <v>Hip Replacement RevisionProviderPINEHILL HOSPITAL (NVC15)EQ VAS</v>
      </c>
      <c r="C3199" t="s">
        <v>247</v>
      </c>
      <c r="D3199" t="s">
        <v>1</v>
      </c>
      <c r="E3199" t="s">
        <v>3222</v>
      </c>
      <c r="F3199" t="s">
        <v>3223</v>
      </c>
      <c r="G3199" t="s">
        <v>179</v>
      </c>
      <c r="H3199" t="s">
        <v>53</v>
      </c>
      <c r="I3199" t="s">
        <v>53</v>
      </c>
      <c r="J3199" t="s">
        <v>53</v>
      </c>
      <c r="K3199" t="s">
        <v>53</v>
      </c>
      <c r="L3199" t="s">
        <v>53</v>
      </c>
      <c r="M3199" t="s">
        <v>53</v>
      </c>
      <c r="N3199" t="s">
        <v>53</v>
      </c>
      <c r="O3199" t="s">
        <v>53</v>
      </c>
      <c r="P3199" t="s">
        <v>53</v>
      </c>
      <c r="Q3199" t="s">
        <v>53</v>
      </c>
    </row>
    <row r="3200" spans="1:17" x14ac:dyDescent="0.2">
      <c r="A3200" s="30" t="str">
        <f>IF(C3200&amp;G3200&amp;D3200&lt;&gt;'Funnel setup'!$K$3&amp;'Funnel setup'!$K$4&amp;'Funnel setup'!$K$5,".",IF(A3199=".",1,A3199+1))</f>
        <v>.</v>
      </c>
      <c r="B3200" s="431" t="str">
        <f t="shared" si="49"/>
        <v>Hip Replacement RevisionProviderPLYMOUTH HOSPITALS NHS TRUST (RK9)EQ VAS</v>
      </c>
      <c r="C3200" t="s">
        <v>247</v>
      </c>
      <c r="D3200" t="s">
        <v>1</v>
      </c>
      <c r="E3200" t="s">
        <v>3225</v>
      </c>
      <c r="F3200" t="s">
        <v>3226</v>
      </c>
      <c r="G3200" t="s">
        <v>179</v>
      </c>
      <c r="H3200">
        <v>17</v>
      </c>
      <c r="I3200">
        <v>70</v>
      </c>
      <c r="J3200">
        <v>65</v>
      </c>
      <c r="K3200">
        <v>-5</v>
      </c>
      <c r="L3200">
        <v>4</v>
      </c>
      <c r="M3200">
        <v>2</v>
      </c>
      <c r="N3200">
        <v>11</v>
      </c>
      <c r="O3200" t="s">
        <v>53</v>
      </c>
      <c r="P3200" t="s">
        <v>53</v>
      </c>
      <c r="Q3200" t="s">
        <v>53</v>
      </c>
    </row>
    <row r="3201" spans="1:17" x14ac:dyDescent="0.2">
      <c r="A3201" s="30" t="str">
        <f>IF(C3201&amp;G3201&amp;D3201&lt;&gt;'Funnel setup'!$K$3&amp;'Funnel setup'!$K$4&amp;'Funnel setup'!$K$5,".",IF(A3200=".",1,A3200+1))</f>
        <v>.</v>
      </c>
      <c r="B3201" s="431" t="str">
        <f t="shared" si="49"/>
        <v>Hip Replacement RevisionProviderPORTSMOUTH HOSPITALS NHS TRUST (RHU)EQ VAS</v>
      </c>
      <c r="C3201" t="s">
        <v>247</v>
      </c>
      <c r="D3201" t="s">
        <v>1</v>
      </c>
      <c r="E3201" t="s">
        <v>3234</v>
      </c>
      <c r="F3201" t="s">
        <v>3235</v>
      </c>
      <c r="G3201" t="s">
        <v>179</v>
      </c>
      <c r="H3201" t="s">
        <v>53</v>
      </c>
      <c r="I3201" t="s">
        <v>53</v>
      </c>
      <c r="J3201" t="s">
        <v>53</v>
      </c>
      <c r="K3201" t="s">
        <v>53</v>
      </c>
      <c r="L3201" t="s">
        <v>53</v>
      </c>
      <c r="M3201" t="s">
        <v>53</v>
      </c>
      <c r="N3201" t="s">
        <v>53</v>
      </c>
      <c r="O3201" t="s">
        <v>53</v>
      </c>
      <c r="P3201" t="s">
        <v>53</v>
      </c>
      <c r="Q3201" t="s">
        <v>53</v>
      </c>
    </row>
    <row r="3202" spans="1:17" x14ac:dyDescent="0.2">
      <c r="A3202" s="30" t="str">
        <f>IF(C3202&amp;G3202&amp;D3202&lt;&gt;'Funnel setup'!$K$3&amp;'Funnel setup'!$K$4&amp;'Funnel setup'!$K$5,".",IF(A3201=".",1,A3201+1))</f>
        <v>.</v>
      </c>
      <c r="B3202" s="431" t="str">
        <f t="shared" si="49"/>
        <v>Hip Replacement RevisionProviderRENACRES HOSPITAL (NVC16)EQ VAS</v>
      </c>
      <c r="C3202" t="s">
        <v>247</v>
      </c>
      <c r="D3202" t="s">
        <v>1</v>
      </c>
      <c r="E3202" t="s">
        <v>3237</v>
      </c>
      <c r="F3202" t="s">
        <v>3238</v>
      </c>
      <c r="G3202" t="s">
        <v>179</v>
      </c>
      <c r="H3202" t="s">
        <v>53</v>
      </c>
      <c r="I3202" t="s">
        <v>53</v>
      </c>
      <c r="J3202" t="s">
        <v>53</v>
      </c>
      <c r="K3202" t="s">
        <v>53</v>
      </c>
      <c r="L3202" t="s">
        <v>53</v>
      </c>
      <c r="M3202" t="s">
        <v>53</v>
      </c>
      <c r="N3202" t="s">
        <v>53</v>
      </c>
      <c r="O3202" t="s">
        <v>53</v>
      </c>
      <c r="P3202" t="s">
        <v>53</v>
      </c>
      <c r="Q3202" t="s">
        <v>53</v>
      </c>
    </row>
    <row r="3203" spans="1:17" x14ac:dyDescent="0.2">
      <c r="A3203" s="30" t="str">
        <f>IF(C3203&amp;G3203&amp;D3203&lt;&gt;'Funnel setup'!$K$3&amp;'Funnel setup'!$K$4&amp;'Funnel setup'!$K$5,".",IF(A3202=".",1,A3202+1))</f>
        <v>.</v>
      </c>
      <c r="B3203" s="431" t="str">
        <f t="shared" ref="B3203:B3266" si="50">C3203&amp;D3203&amp;F3203&amp;G3203</f>
        <v>Hip Replacement RevisionProviderRIVERS HOSPITAL (NVC19)EQ VAS</v>
      </c>
      <c r="C3203" t="s">
        <v>247</v>
      </c>
      <c r="D3203" t="s">
        <v>1</v>
      </c>
      <c r="E3203" t="s">
        <v>3204</v>
      </c>
      <c r="F3203" t="s">
        <v>3205</v>
      </c>
      <c r="G3203" t="s">
        <v>179</v>
      </c>
      <c r="H3203" t="s">
        <v>53</v>
      </c>
      <c r="I3203" t="s">
        <v>53</v>
      </c>
      <c r="J3203" t="s">
        <v>53</v>
      </c>
      <c r="K3203" t="s">
        <v>53</v>
      </c>
      <c r="L3203" t="s">
        <v>53</v>
      </c>
      <c r="M3203" t="s">
        <v>53</v>
      </c>
      <c r="N3203" t="s">
        <v>53</v>
      </c>
      <c r="O3203" t="s">
        <v>53</v>
      </c>
      <c r="P3203" t="s">
        <v>53</v>
      </c>
      <c r="Q3203" t="s">
        <v>53</v>
      </c>
    </row>
    <row r="3204" spans="1:17" x14ac:dyDescent="0.2">
      <c r="A3204" s="30" t="str">
        <f>IF(C3204&amp;G3204&amp;D3204&lt;&gt;'Funnel setup'!$K$3&amp;'Funnel setup'!$K$4&amp;'Funnel setup'!$K$5,".",IF(A3203=".",1,A3203+1))</f>
        <v>.</v>
      </c>
      <c r="B3204" s="431" t="str">
        <f t="shared" si="50"/>
        <v>Hip Replacement RevisionProviderROYAL BERKSHIRE NHS FOUNDATION TRUST (RHW)EQ VAS</v>
      </c>
      <c r="C3204" t="s">
        <v>247</v>
      </c>
      <c r="D3204" t="s">
        <v>1</v>
      </c>
      <c r="E3204" t="s">
        <v>3832</v>
      </c>
      <c r="F3204" t="s">
        <v>3833</v>
      </c>
      <c r="G3204" t="s">
        <v>179</v>
      </c>
      <c r="H3204">
        <v>13</v>
      </c>
      <c r="I3204">
        <v>51.231000000000002</v>
      </c>
      <c r="J3204">
        <v>68.462000000000003</v>
      </c>
      <c r="K3204">
        <v>17.231000000000002</v>
      </c>
      <c r="L3204">
        <v>7</v>
      </c>
      <c r="M3204">
        <v>2</v>
      </c>
      <c r="N3204">
        <v>4</v>
      </c>
      <c r="O3204" t="s">
        <v>53</v>
      </c>
      <c r="P3204" t="s">
        <v>53</v>
      </c>
      <c r="Q3204" t="s">
        <v>53</v>
      </c>
    </row>
    <row r="3205" spans="1:17" x14ac:dyDescent="0.2">
      <c r="A3205" s="30" t="str">
        <f>IF(C3205&amp;G3205&amp;D3205&lt;&gt;'Funnel setup'!$K$3&amp;'Funnel setup'!$K$4&amp;'Funnel setup'!$K$5,".",IF(A3204=".",1,A3204+1))</f>
        <v>.</v>
      </c>
      <c r="B3205" s="431" t="str">
        <f t="shared" si="50"/>
        <v>Hip Replacement RevisionProviderROYAL CORNWALL HOSPITALS NHS TRUST (REF)EQ VAS</v>
      </c>
      <c r="C3205" t="s">
        <v>247</v>
      </c>
      <c r="D3205" t="s">
        <v>1</v>
      </c>
      <c r="E3205" t="s">
        <v>3745</v>
      </c>
      <c r="F3205" t="s">
        <v>3746</v>
      </c>
      <c r="G3205" t="s">
        <v>179</v>
      </c>
      <c r="H3205">
        <v>29</v>
      </c>
      <c r="I3205">
        <v>62.482999999999997</v>
      </c>
      <c r="J3205">
        <v>60.378999999999998</v>
      </c>
      <c r="K3205">
        <v>-2.1030000000000002</v>
      </c>
      <c r="L3205">
        <v>11</v>
      </c>
      <c r="M3205">
        <v>5</v>
      </c>
      <c r="N3205">
        <v>13</v>
      </c>
      <c r="O3205" t="s">
        <v>53</v>
      </c>
      <c r="P3205" t="s">
        <v>53</v>
      </c>
      <c r="Q3205" t="s">
        <v>53</v>
      </c>
    </row>
    <row r="3206" spans="1:17" x14ac:dyDescent="0.2">
      <c r="A3206" s="30" t="str">
        <f>IF(C3206&amp;G3206&amp;D3206&lt;&gt;'Funnel setup'!$K$3&amp;'Funnel setup'!$K$4&amp;'Funnel setup'!$K$5,".",IF(A3205=".",1,A3205+1))</f>
        <v>.</v>
      </c>
      <c r="B3206" s="431" t="str">
        <f t="shared" si="50"/>
        <v>Hip Replacement RevisionProviderROYAL DEVON AND EXETER NHS FOUNDATION TRUST (RH8)EQ VAS</v>
      </c>
      <c r="C3206" t="s">
        <v>247</v>
      </c>
      <c r="D3206" t="s">
        <v>1</v>
      </c>
      <c r="E3206" t="s">
        <v>3442</v>
      </c>
      <c r="F3206" t="s">
        <v>3443</v>
      </c>
      <c r="G3206" t="s">
        <v>179</v>
      </c>
      <c r="H3206">
        <v>50</v>
      </c>
      <c r="I3206">
        <v>66</v>
      </c>
      <c r="J3206">
        <v>70.02</v>
      </c>
      <c r="K3206">
        <v>4.0199999999999996</v>
      </c>
      <c r="L3206">
        <v>27</v>
      </c>
      <c r="M3206">
        <v>7</v>
      </c>
      <c r="N3206">
        <v>16</v>
      </c>
      <c r="O3206">
        <v>70.52</v>
      </c>
      <c r="P3206">
        <v>5.7494511910000003</v>
      </c>
      <c r="Q3206">
        <v>19.11</v>
      </c>
    </row>
    <row r="3207" spans="1:17" x14ac:dyDescent="0.2">
      <c r="A3207" s="30" t="str">
        <f>IF(C3207&amp;G3207&amp;D3207&lt;&gt;'Funnel setup'!$K$3&amp;'Funnel setup'!$K$4&amp;'Funnel setup'!$K$5,".",IF(A3206=".",1,A3206+1))</f>
        <v>.</v>
      </c>
      <c r="B3207" s="431" t="str">
        <f t="shared" si="50"/>
        <v>Hip Replacement RevisionProviderROYAL FREE LONDON NHS FOUNDATION TRUST (RAL)EQ VAS</v>
      </c>
      <c r="C3207" t="s">
        <v>247</v>
      </c>
      <c r="D3207" t="s">
        <v>1</v>
      </c>
      <c r="E3207" t="s">
        <v>3445</v>
      </c>
      <c r="F3207" t="s">
        <v>3446</v>
      </c>
      <c r="G3207" t="s">
        <v>179</v>
      </c>
      <c r="H3207">
        <v>12</v>
      </c>
      <c r="I3207">
        <v>67.75</v>
      </c>
      <c r="J3207">
        <v>76.082999999999998</v>
      </c>
      <c r="K3207">
        <v>8.3330000000000002</v>
      </c>
      <c r="L3207">
        <v>9</v>
      </c>
      <c r="M3207">
        <v>2</v>
      </c>
      <c r="N3207">
        <v>1</v>
      </c>
      <c r="O3207" t="s">
        <v>53</v>
      </c>
      <c r="P3207" t="s">
        <v>53</v>
      </c>
      <c r="Q3207" t="s">
        <v>53</v>
      </c>
    </row>
    <row r="3208" spans="1:17" x14ac:dyDescent="0.2">
      <c r="A3208" s="30" t="str">
        <f>IF(C3208&amp;G3208&amp;D3208&lt;&gt;'Funnel setup'!$K$3&amp;'Funnel setup'!$K$4&amp;'Funnel setup'!$K$5,".",IF(A3207=".",1,A3207+1))</f>
        <v>.</v>
      </c>
      <c r="B3208" s="431" t="str">
        <f t="shared" si="50"/>
        <v>Hip Replacement RevisionProviderROYAL LIVERPOOL AND BROADGREEN UNIVERSITY HOSPITALS NHS TRUST (RQ6)EQ VAS</v>
      </c>
      <c r="C3208" t="s">
        <v>247</v>
      </c>
      <c r="D3208" t="s">
        <v>1</v>
      </c>
      <c r="E3208" t="s">
        <v>3448</v>
      </c>
      <c r="F3208" t="s">
        <v>3449</v>
      </c>
      <c r="G3208" t="s">
        <v>179</v>
      </c>
      <c r="H3208" t="s">
        <v>53</v>
      </c>
      <c r="I3208" t="s">
        <v>53</v>
      </c>
      <c r="J3208" t="s">
        <v>53</v>
      </c>
      <c r="K3208" t="s">
        <v>53</v>
      </c>
      <c r="L3208" t="s">
        <v>53</v>
      </c>
      <c r="M3208" t="s">
        <v>53</v>
      </c>
      <c r="N3208" t="s">
        <v>53</v>
      </c>
      <c r="O3208" t="s">
        <v>53</v>
      </c>
      <c r="P3208" t="s">
        <v>53</v>
      </c>
      <c r="Q3208" t="s">
        <v>53</v>
      </c>
    </row>
    <row r="3209" spans="1:17" x14ac:dyDescent="0.2">
      <c r="A3209" s="30" t="str">
        <f>IF(C3209&amp;G3209&amp;D3209&lt;&gt;'Funnel setup'!$K$3&amp;'Funnel setup'!$K$4&amp;'Funnel setup'!$K$5,".",IF(A3208=".",1,A3208+1))</f>
        <v>.</v>
      </c>
      <c r="B3209" s="431" t="str">
        <f t="shared" si="50"/>
        <v>Hip Replacement RevisionProviderROYAL NATIONAL ORTHOPAEDIC HOSPITAL NHS TRUST (RAN)EQ VAS</v>
      </c>
      <c r="C3209" t="s">
        <v>247</v>
      </c>
      <c r="D3209" t="s">
        <v>1</v>
      </c>
      <c r="E3209" t="s">
        <v>4378</v>
      </c>
      <c r="F3209" t="s">
        <v>4379</v>
      </c>
      <c r="G3209" t="s">
        <v>179</v>
      </c>
      <c r="H3209">
        <v>36</v>
      </c>
      <c r="I3209">
        <v>58.917000000000002</v>
      </c>
      <c r="J3209">
        <v>70.278000000000006</v>
      </c>
      <c r="K3209">
        <v>11.361000000000001</v>
      </c>
      <c r="L3209">
        <v>23</v>
      </c>
      <c r="M3209">
        <v>2</v>
      </c>
      <c r="N3209">
        <v>11</v>
      </c>
      <c r="O3209">
        <v>71.653000000000006</v>
      </c>
      <c r="P3209">
        <v>6.88270362</v>
      </c>
      <c r="Q3209">
        <v>22.960999999999999</v>
      </c>
    </row>
    <row r="3210" spans="1:17" x14ac:dyDescent="0.2">
      <c r="A3210" s="30" t="str">
        <f>IF(C3210&amp;G3210&amp;D3210&lt;&gt;'Funnel setup'!$K$3&amp;'Funnel setup'!$K$4&amp;'Funnel setup'!$K$5,".",IF(A3209=".",1,A3209+1))</f>
        <v>.</v>
      </c>
      <c r="B3210" s="431" t="str">
        <f t="shared" si="50"/>
        <v>Hip Replacement RevisionProviderROYAL SURREY COUNTY HOSPITAL NHS FOUNDATION TRUST (RA2)EQ VAS</v>
      </c>
      <c r="C3210" t="s">
        <v>247</v>
      </c>
      <c r="D3210" t="s">
        <v>1</v>
      </c>
      <c r="E3210" t="s">
        <v>3451</v>
      </c>
      <c r="F3210" t="s">
        <v>3452</v>
      </c>
      <c r="G3210" t="s">
        <v>179</v>
      </c>
      <c r="H3210">
        <v>6</v>
      </c>
      <c r="I3210">
        <v>48.332999999999998</v>
      </c>
      <c r="J3210">
        <v>62.5</v>
      </c>
      <c r="K3210">
        <v>14.167</v>
      </c>
      <c r="L3210">
        <v>4</v>
      </c>
      <c r="M3210">
        <v>2</v>
      </c>
      <c r="N3210">
        <v>0</v>
      </c>
      <c r="O3210" t="s">
        <v>53</v>
      </c>
      <c r="P3210" t="s">
        <v>53</v>
      </c>
      <c r="Q3210" t="s">
        <v>53</v>
      </c>
    </row>
    <row r="3211" spans="1:17" x14ac:dyDescent="0.2">
      <c r="A3211" s="30" t="str">
        <f>IF(C3211&amp;G3211&amp;D3211&lt;&gt;'Funnel setup'!$K$3&amp;'Funnel setup'!$K$4&amp;'Funnel setup'!$K$5,".",IF(A3210=".",1,A3210+1))</f>
        <v>.</v>
      </c>
      <c r="B3211" s="431" t="str">
        <f t="shared" si="50"/>
        <v>Hip Replacement RevisionProviderROYAL UNITED HOSPITALS BATH NHS FOUNDATION TRUST (RD1)EQ VAS</v>
      </c>
      <c r="C3211" t="s">
        <v>247</v>
      </c>
      <c r="D3211" t="s">
        <v>1</v>
      </c>
      <c r="E3211" t="s">
        <v>3454</v>
      </c>
      <c r="F3211" t="s">
        <v>3455</v>
      </c>
      <c r="G3211" t="s">
        <v>179</v>
      </c>
      <c r="H3211">
        <v>30</v>
      </c>
      <c r="I3211">
        <v>66.933000000000007</v>
      </c>
      <c r="J3211">
        <v>73.632999999999996</v>
      </c>
      <c r="K3211">
        <v>6.7</v>
      </c>
      <c r="L3211">
        <v>11</v>
      </c>
      <c r="M3211">
        <v>9</v>
      </c>
      <c r="N3211">
        <v>10</v>
      </c>
      <c r="O3211">
        <v>71.906999999999996</v>
      </c>
      <c r="P3211">
        <v>7.1361314800000004</v>
      </c>
      <c r="Q3211">
        <v>14.015000000000001</v>
      </c>
    </row>
    <row r="3212" spans="1:17" x14ac:dyDescent="0.2">
      <c r="A3212" s="30" t="str">
        <f>IF(C3212&amp;G3212&amp;D3212&lt;&gt;'Funnel setup'!$K$3&amp;'Funnel setup'!$K$4&amp;'Funnel setup'!$K$5,".",IF(A3211=".",1,A3211+1))</f>
        <v>.</v>
      </c>
      <c r="B3212" s="431" t="str">
        <f t="shared" si="50"/>
        <v>Hip Replacement RevisionProviderSALFORD ROYAL NHS FOUNDATION TRUST (RM3)EQ VAS</v>
      </c>
      <c r="C3212" t="s">
        <v>247</v>
      </c>
      <c r="D3212" t="s">
        <v>1</v>
      </c>
      <c r="E3212" t="s">
        <v>3457</v>
      </c>
      <c r="F3212" t="s">
        <v>3458</v>
      </c>
      <c r="G3212" t="s">
        <v>179</v>
      </c>
      <c r="H3212" t="s">
        <v>53</v>
      </c>
      <c r="I3212" t="s">
        <v>53</v>
      </c>
      <c r="J3212" t="s">
        <v>53</v>
      </c>
      <c r="K3212" t="s">
        <v>53</v>
      </c>
      <c r="L3212" t="s">
        <v>53</v>
      </c>
      <c r="M3212" t="s">
        <v>53</v>
      </c>
      <c r="N3212" t="s">
        <v>53</v>
      </c>
      <c r="O3212" t="s">
        <v>53</v>
      </c>
      <c r="P3212" t="s">
        <v>53</v>
      </c>
      <c r="Q3212" t="s">
        <v>53</v>
      </c>
    </row>
    <row r="3213" spans="1:17" x14ac:dyDescent="0.2">
      <c r="A3213" s="30" t="str">
        <f>IF(C3213&amp;G3213&amp;D3213&lt;&gt;'Funnel setup'!$K$3&amp;'Funnel setup'!$K$4&amp;'Funnel setup'!$K$5,".",IF(A3212=".",1,A3212+1))</f>
        <v>.</v>
      </c>
      <c r="B3213" s="431" t="str">
        <f t="shared" si="50"/>
        <v>Hip Replacement RevisionProviderSALISBURY NHS FOUNDATION TRUST (RNZ)EQ VAS</v>
      </c>
      <c r="C3213" t="s">
        <v>247</v>
      </c>
      <c r="D3213" t="s">
        <v>1</v>
      </c>
      <c r="E3213" t="s">
        <v>3460</v>
      </c>
      <c r="F3213" t="s">
        <v>3461</v>
      </c>
      <c r="G3213" t="s">
        <v>179</v>
      </c>
      <c r="H3213" t="s">
        <v>53</v>
      </c>
      <c r="I3213" t="s">
        <v>53</v>
      </c>
      <c r="J3213" t="s">
        <v>53</v>
      </c>
      <c r="K3213" t="s">
        <v>53</v>
      </c>
      <c r="L3213" t="s">
        <v>53</v>
      </c>
      <c r="M3213" t="s">
        <v>53</v>
      </c>
      <c r="N3213" t="s">
        <v>53</v>
      </c>
      <c r="O3213" t="s">
        <v>53</v>
      </c>
      <c r="P3213" t="s">
        <v>53</v>
      </c>
      <c r="Q3213" t="s">
        <v>53</v>
      </c>
    </row>
    <row r="3214" spans="1:17" x14ac:dyDescent="0.2">
      <c r="A3214" s="30" t="str">
        <f>IF(C3214&amp;G3214&amp;D3214&lt;&gt;'Funnel setup'!$K$3&amp;'Funnel setup'!$K$4&amp;'Funnel setup'!$K$5,".",IF(A3213=".",1,A3213+1))</f>
        <v>.</v>
      </c>
      <c r="B3214" s="431" t="str">
        <f t="shared" si="50"/>
        <v>Hip Replacement RevisionProviderSANDWELL AND WEST BIRMINGHAM HOSPITALS NHS TRUST (RXK)EQ VAS</v>
      </c>
      <c r="C3214" t="s">
        <v>247</v>
      </c>
      <c r="D3214" t="s">
        <v>1</v>
      </c>
      <c r="E3214" t="s">
        <v>3463</v>
      </c>
      <c r="F3214" t="s">
        <v>3464</v>
      </c>
      <c r="G3214" t="s">
        <v>179</v>
      </c>
      <c r="H3214" t="s">
        <v>53</v>
      </c>
      <c r="I3214" t="s">
        <v>53</v>
      </c>
      <c r="J3214" t="s">
        <v>53</v>
      </c>
      <c r="K3214" t="s">
        <v>53</v>
      </c>
      <c r="L3214" t="s">
        <v>53</v>
      </c>
      <c r="M3214" t="s">
        <v>53</v>
      </c>
      <c r="N3214" t="s">
        <v>53</v>
      </c>
      <c r="O3214" t="s">
        <v>53</v>
      </c>
      <c r="P3214" t="s">
        <v>53</v>
      </c>
      <c r="Q3214" t="s">
        <v>53</v>
      </c>
    </row>
    <row r="3215" spans="1:17" x14ac:dyDescent="0.2">
      <c r="A3215" s="30" t="str">
        <f>IF(C3215&amp;G3215&amp;D3215&lt;&gt;'Funnel setup'!$K$3&amp;'Funnel setup'!$K$4&amp;'Funnel setup'!$K$5,".",IF(A3214=".",1,A3214+1))</f>
        <v>.</v>
      </c>
      <c r="B3215" s="431" t="str">
        <f t="shared" si="50"/>
        <v>Hip Replacement RevisionProviderSHEFFIELD TEACHING HOSPITALS NHS FOUNDATION TRUST (RHQ)EQ VAS</v>
      </c>
      <c r="C3215" t="s">
        <v>247</v>
      </c>
      <c r="D3215" t="s">
        <v>1</v>
      </c>
      <c r="E3215" t="s">
        <v>3466</v>
      </c>
      <c r="F3215" t="s">
        <v>3467</v>
      </c>
      <c r="G3215" t="s">
        <v>179</v>
      </c>
      <c r="H3215">
        <v>44</v>
      </c>
      <c r="I3215">
        <v>57</v>
      </c>
      <c r="J3215">
        <v>66.75</v>
      </c>
      <c r="K3215">
        <v>9.75</v>
      </c>
      <c r="L3215">
        <v>27</v>
      </c>
      <c r="M3215">
        <v>4</v>
      </c>
      <c r="N3215">
        <v>13</v>
      </c>
      <c r="O3215">
        <v>68.739999999999995</v>
      </c>
      <c r="P3215">
        <v>3.9698664560000001</v>
      </c>
      <c r="Q3215">
        <v>18.629000000000001</v>
      </c>
    </row>
    <row r="3216" spans="1:17" x14ac:dyDescent="0.2">
      <c r="A3216" s="30" t="str">
        <f>IF(C3216&amp;G3216&amp;D3216&lt;&gt;'Funnel setup'!$K$3&amp;'Funnel setup'!$K$4&amp;'Funnel setup'!$K$5,".",IF(A3215=".",1,A3215+1))</f>
        <v>.</v>
      </c>
      <c r="B3216" s="431" t="str">
        <f t="shared" si="50"/>
        <v>Hip Replacement RevisionProviderSHEPTON MALLET NHS TREATMENT CENTRE (NTPH1)EQ VAS</v>
      </c>
      <c r="C3216" t="s">
        <v>247</v>
      </c>
      <c r="D3216" t="s">
        <v>1</v>
      </c>
      <c r="E3216" t="s">
        <v>3472</v>
      </c>
      <c r="F3216" t="s">
        <v>3473</v>
      </c>
      <c r="G3216" t="s">
        <v>179</v>
      </c>
      <c r="H3216">
        <v>30</v>
      </c>
      <c r="I3216">
        <v>79.433000000000007</v>
      </c>
      <c r="J3216">
        <v>82.332999999999998</v>
      </c>
      <c r="K3216">
        <v>2.9</v>
      </c>
      <c r="L3216">
        <v>15</v>
      </c>
      <c r="M3216">
        <v>3</v>
      </c>
      <c r="N3216">
        <v>12</v>
      </c>
      <c r="O3216">
        <v>74.013000000000005</v>
      </c>
      <c r="P3216">
        <v>9.2427311099999994</v>
      </c>
      <c r="Q3216">
        <v>12.224</v>
      </c>
    </row>
    <row r="3217" spans="1:17" x14ac:dyDescent="0.2">
      <c r="A3217" s="30" t="str">
        <f>IF(C3217&amp;G3217&amp;D3217&lt;&gt;'Funnel setup'!$K$3&amp;'Funnel setup'!$K$4&amp;'Funnel setup'!$K$5,".",IF(A3216=".",1,A3216+1))</f>
        <v>.</v>
      </c>
      <c r="B3217" s="431" t="str">
        <f t="shared" si="50"/>
        <v>Hip Replacement RevisionProviderSHERWOOD FOREST HOSPITALS NHS FOUNDATION TRUST (RK5)EQ VAS</v>
      </c>
      <c r="C3217" t="s">
        <v>247</v>
      </c>
      <c r="D3217" t="s">
        <v>1</v>
      </c>
      <c r="E3217" t="s">
        <v>3475</v>
      </c>
      <c r="F3217" t="s">
        <v>3476</v>
      </c>
      <c r="G3217" t="s">
        <v>179</v>
      </c>
      <c r="H3217" t="s">
        <v>53</v>
      </c>
      <c r="I3217" t="s">
        <v>53</v>
      </c>
      <c r="J3217" t="s">
        <v>53</v>
      </c>
      <c r="K3217" t="s">
        <v>53</v>
      </c>
      <c r="L3217" t="s">
        <v>53</v>
      </c>
      <c r="M3217" t="s">
        <v>53</v>
      </c>
      <c r="N3217" t="s">
        <v>53</v>
      </c>
      <c r="O3217" t="s">
        <v>53</v>
      </c>
      <c r="P3217" t="s">
        <v>53</v>
      </c>
      <c r="Q3217" t="s">
        <v>53</v>
      </c>
    </row>
    <row r="3218" spans="1:17" x14ac:dyDescent="0.2">
      <c r="A3218" s="30" t="str">
        <f>IF(C3218&amp;G3218&amp;D3218&lt;&gt;'Funnel setup'!$K$3&amp;'Funnel setup'!$K$4&amp;'Funnel setup'!$K$5,".",IF(A3217=".",1,A3217+1))</f>
        <v>.</v>
      </c>
      <c r="B3218" s="431" t="str">
        <f t="shared" si="50"/>
        <v>Hip Replacement RevisionProviderSHREWSBURY AND TELFORD HOSPITAL NHS TRUST (RXW)EQ VAS</v>
      </c>
      <c r="C3218" t="s">
        <v>247</v>
      </c>
      <c r="D3218" t="s">
        <v>1</v>
      </c>
      <c r="E3218" t="s">
        <v>3478</v>
      </c>
      <c r="F3218" t="s">
        <v>3479</v>
      </c>
      <c r="G3218" t="s">
        <v>179</v>
      </c>
      <c r="H3218">
        <v>13</v>
      </c>
      <c r="I3218">
        <v>68.923000000000002</v>
      </c>
      <c r="J3218">
        <v>70.614999999999995</v>
      </c>
      <c r="K3218">
        <v>1.6919999999999999</v>
      </c>
      <c r="L3218">
        <v>5</v>
      </c>
      <c r="M3218">
        <v>3</v>
      </c>
      <c r="N3218">
        <v>5</v>
      </c>
      <c r="O3218" t="s">
        <v>53</v>
      </c>
      <c r="P3218" t="s">
        <v>53</v>
      </c>
      <c r="Q3218" t="s">
        <v>53</v>
      </c>
    </row>
    <row r="3219" spans="1:17" x14ac:dyDescent="0.2">
      <c r="A3219" s="30" t="str">
        <f>IF(C3219&amp;G3219&amp;D3219&lt;&gt;'Funnel setup'!$K$3&amp;'Funnel setup'!$K$4&amp;'Funnel setup'!$K$5,".",IF(A3218=".",1,A3218+1))</f>
        <v>.</v>
      </c>
      <c r="B3219" s="431" t="str">
        <f t="shared" si="50"/>
        <v>Hip Replacement RevisionProviderSOUTH TEES HOSPITALS NHS FOUNDATION TRUST (RTR)EQ VAS</v>
      </c>
      <c r="C3219" t="s">
        <v>247</v>
      </c>
      <c r="D3219" t="s">
        <v>1</v>
      </c>
      <c r="E3219" t="s">
        <v>3482</v>
      </c>
      <c r="F3219" t="s">
        <v>3483</v>
      </c>
      <c r="G3219" t="s">
        <v>179</v>
      </c>
      <c r="H3219">
        <v>41</v>
      </c>
      <c r="I3219">
        <v>67.39</v>
      </c>
      <c r="J3219">
        <v>68.072999999999993</v>
      </c>
      <c r="K3219">
        <v>0.68300000000000005</v>
      </c>
      <c r="L3219">
        <v>18</v>
      </c>
      <c r="M3219">
        <v>3</v>
      </c>
      <c r="N3219">
        <v>20</v>
      </c>
      <c r="O3219">
        <v>67.692999999999998</v>
      </c>
      <c r="P3219">
        <v>2.9226326729999998</v>
      </c>
      <c r="Q3219">
        <v>15.557</v>
      </c>
    </row>
    <row r="3220" spans="1:17" x14ac:dyDescent="0.2">
      <c r="A3220" s="30" t="str">
        <f>IF(C3220&amp;G3220&amp;D3220&lt;&gt;'Funnel setup'!$K$3&amp;'Funnel setup'!$K$4&amp;'Funnel setup'!$K$5,".",IF(A3219=".",1,A3219+1))</f>
        <v>.</v>
      </c>
      <c r="B3220" s="431" t="str">
        <f t="shared" si="50"/>
        <v>Hip Replacement RevisionProviderSOUTH TYNESIDE NHS FOUNDATION TRUST (RE9)EQ VAS</v>
      </c>
      <c r="C3220" t="s">
        <v>247</v>
      </c>
      <c r="D3220" t="s">
        <v>1</v>
      </c>
      <c r="E3220" t="s">
        <v>3485</v>
      </c>
      <c r="F3220" t="s">
        <v>3486</v>
      </c>
      <c r="G3220" t="s">
        <v>179</v>
      </c>
      <c r="H3220" t="s">
        <v>53</v>
      </c>
      <c r="I3220" t="s">
        <v>53</v>
      </c>
      <c r="J3220" t="s">
        <v>53</v>
      </c>
      <c r="K3220" t="s">
        <v>53</v>
      </c>
      <c r="L3220" t="s">
        <v>53</v>
      </c>
      <c r="M3220" t="s">
        <v>53</v>
      </c>
      <c r="N3220" t="s">
        <v>53</v>
      </c>
      <c r="O3220" t="s">
        <v>53</v>
      </c>
      <c r="P3220" t="s">
        <v>53</v>
      </c>
      <c r="Q3220" t="s">
        <v>53</v>
      </c>
    </row>
    <row r="3221" spans="1:17" x14ac:dyDescent="0.2">
      <c r="A3221" s="30" t="str">
        <f>IF(C3221&amp;G3221&amp;D3221&lt;&gt;'Funnel setup'!$K$3&amp;'Funnel setup'!$K$4&amp;'Funnel setup'!$K$5,".",IF(A3220=".",1,A3220+1))</f>
        <v>.</v>
      </c>
      <c r="B3221" s="431" t="str">
        <f t="shared" si="50"/>
        <v>Hip Replacement RevisionProviderSOUTH WARWICKSHIRE NHS FOUNDATION TRUST (RJC)EQ VAS</v>
      </c>
      <c r="C3221" t="s">
        <v>247</v>
      </c>
      <c r="D3221" t="s">
        <v>1</v>
      </c>
      <c r="E3221" t="s">
        <v>3421</v>
      </c>
      <c r="F3221" t="s">
        <v>3422</v>
      </c>
      <c r="G3221" t="s">
        <v>179</v>
      </c>
      <c r="H3221">
        <v>16</v>
      </c>
      <c r="I3221">
        <v>62</v>
      </c>
      <c r="J3221">
        <v>63.75</v>
      </c>
      <c r="K3221">
        <v>1.75</v>
      </c>
      <c r="L3221">
        <v>8</v>
      </c>
      <c r="M3221">
        <v>1</v>
      </c>
      <c r="N3221">
        <v>7</v>
      </c>
      <c r="O3221" t="s">
        <v>53</v>
      </c>
      <c r="P3221" t="s">
        <v>53</v>
      </c>
      <c r="Q3221" t="s">
        <v>53</v>
      </c>
    </row>
    <row r="3222" spans="1:17" x14ac:dyDescent="0.2">
      <c r="A3222" s="30" t="str">
        <f>IF(C3222&amp;G3222&amp;D3222&lt;&gt;'Funnel setup'!$K$3&amp;'Funnel setup'!$K$4&amp;'Funnel setup'!$K$5,".",IF(A3221=".",1,A3221+1))</f>
        <v>.</v>
      </c>
      <c r="B3222" s="431" t="str">
        <f t="shared" si="50"/>
        <v>Hip Replacement RevisionProviderSOUTHEND UNIVERSITY HOSPITAL NHS FOUNDATION TRUST (RAJ)EQ VAS</v>
      </c>
      <c r="C3222" t="s">
        <v>247</v>
      </c>
      <c r="D3222" t="s">
        <v>1</v>
      </c>
      <c r="E3222" t="s">
        <v>3427</v>
      </c>
      <c r="F3222" t="s">
        <v>3428</v>
      </c>
      <c r="G3222" t="s">
        <v>179</v>
      </c>
      <c r="H3222">
        <v>9</v>
      </c>
      <c r="I3222">
        <v>85</v>
      </c>
      <c r="J3222">
        <v>80.111000000000004</v>
      </c>
      <c r="K3222">
        <v>-4.8890000000000002</v>
      </c>
      <c r="L3222">
        <v>3</v>
      </c>
      <c r="M3222">
        <v>1</v>
      </c>
      <c r="N3222">
        <v>5</v>
      </c>
      <c r="O3222" t="s">
        <v>53</v>
      </c>
      <c r="P3222" t="s">
        <v>53</v>
      </c>
      <c r="Q3222" t="s">
        <v>53</v>
      </c>
    </row>
    <row r="3223" spans="1:17" x14ac:dyDescent="0.2">
      <c r="A3223" s="30" t="str">
        <f>IF(C3223&amp;G3223&amp;D3223&lt;&gt;'Funnel setup'!$K$3&amp;'Funnel setup'!$K$4&amp;'Funnel setup'!$K$5,".",IF(A3222=".",1,A3222+1))</f>
        <v>.</v>
      </c>
      <c r="B3223" s="431" t="str">
        <f t="shared" si="50"/>
        <v>Hip Replacement RevisionProviderSOUTHPORT AND ORMSKIRK HOSPITAL NHS TRUST (RVY)EQ VAS</v>
      </c>
      <c r="C3223" t="s">
        <v>247</v>
      </c>
      <c r="D3223" t="s">
        <v>1</v>
      </c>
      <c r="E3223" t="s">
        <v>3430</v>
      </c>
      <c r="F3223" t="s">
        <v>3431</v>
      </c>
      <c r="G3223" t="s">
        <v>179</v>
      </c>
      <c r="H3223" t="s">
        <v>53</v>
      </c>
      <c r="I3223" t="s">
        <v>53</v>
      </c>
      <c r="J3223" t="s">
        <v>53</v>
      </c>
      <c r="K3223" t="s">
        <v>53</v>
      </c>
      <c r="L3223" t="s">
        <v>53</v>
      </c>
      <c r="M3223" t="s">
        <v>53</v>
      </c>
      <c r="N3223" t="s">
        <v>53</v>
      </c>
      <c r="O3223" t="s">
        <v>53</v>
      </c>
      <c r="P3223" t="s">
        <v>53</v>
      </c>
      <c r="Q3223" t="s">
        <v>53</v>
      </c>
    </row>
    <row r="3224" spans="1:17" x14ac:dyDescent="0.2">
      <c r="A3224" s="30" t="str">
        <f>IF(C3224&amp;G3224&amp;D3224&lt;&gt;'Funnel setup'!$K$3&amp;'Funnel setup'!$K$4&amp;'Funnel setup'!$K$5,".",IF(A3223=".",1,A3223+1))</f>
        <v>.</v>
      </c>
      <c r="B3224" s="431" t="str">
        <f t="shared" si="50"/>
        <v>Hip Replacement RevisionProviderSPIRE BRISTOL HOSPITAL (NT302)EQ VAS</v>
      </c>
      <c r="C3224" t="s">
        <v>247</v>
      </c>
      <c r="D3224" t="s">
        <v>1</v>
      </c>
      <c r="E3224" t="s">
        <v>4381</v>
      </c>
      <c r="F3224" t="s">
        <v>4382</v>
      </c>
      <c r="G3224" t="s">
        <v>179</v>
      </c>
      <c r="H3224" t="s">
        <v>53</v>
      </c>
      <c r="I3224" t="s">
        <v>53</v>
      </c>
      <c r="J3224" t="s">
        <v>53</v>
      </c>
      <c r="K3224" t="s">
        <v>53</v>
      </c>
      <c r="L3224" t="s">
        <v>53</v>
      </c>
      <c r="M3224" t="s">
        <v>53</v>
      </c>
      <c r="N3224" t="s">
        <v>53</v>
      </c>
      <c r="O3224" t="s">
        <v>53</v>
      </c>
      <c r="P3224" t="s">
        <v>53</v>
      </c>
      <c r="Q3224" t="s">
        <v>53</v>
      </c>
    </row>
    <row r="3225" spans="1:17" x14ac:dyDescent="0.2">
      <c r="A3225" s="30" t="str">
        <f>IF(C3225&amp;G3225&amp;D3225&lt;&gt;'Funnel setup'!$K$3&amp;'Funnel setup'!$K$4&amp;'Funnel setup'!$K$5,".",IF(A3224=".",1,A3224+1))</f>
        <v>.</v>
      </c>
      <c r="B3225" s="431" t="str">
        <f t="shared" si="50"/>
        <v>Hip Replacement RevisionProviderSPIRE GATWICK PARK HOSPITAL (NT308)EQ VAS</v>
      </c>
      <c r="C3225" t="s">
        <v>247</v>
      </c>
      <c r="D3225" t="s">
        <v>1</v>
      </c>
      <c r="E3225" t="s">
        <v>3409</v>
      </c>
      <c r="F3225" t="s">
        <v>3410</v>
      </c>
      <c r="G3225" t="s">
        <v>179</v>
      </c>
      <c r="H3225" t="s">
        <v>53</v>
      </c>
      <c r="I3225" t="s">
        <v>53</v>
      </c>
      <c r="J3225" t="s">
        <v>53</v>
      </c>
      <c r="K3225" t="s">
        <v>53</v>
      </c>
      <c r="L3225" t="s">
        <v>53</v>
      </c>
      <c r="M3225" t="s">
        <v>53</v>
      </c>
      <c r="N3225" t="s">
        <v>53</v>
      </c>
      <c r="O3225" t="s">
        <v>53</v>
      </c>
      <c r="P3225" t="s">
        <v>53</v>
      </c>
      <c r="Q3225" t="s">
        <v>53</v>
      </c>
    </row>
    <row r="3226" spans="1:17" x14ac:dyDescent="0.2">
      <c r="A3226" s="30" t="str">
        <f>IF(C3226&amp;G3226&amp;D3226&lt;&gt;'Funnel setup'!$K$3&amp;'Funnel setup'!$K$4&amp;'Funnel setup'!$K$5,".",IF(A3225=".",1,A3225+1))</f>
        <v>.</v>
      </c>
      <c r="B3226" s="431" t="str">
        <f t="shared" si="50"/>
        <v>Hip Replacement RevisionProviderSPIRE HARPENDEN HOSPITAL (NT316)EQ VAS</v>
      </c>
      <c r="C3226" t="s">
        <v>247</v>
      </c>
      <c r="D3226" t="s">
        <v>1</v>
      </c>
      <c r="E3226" t="s">
        <v>4267</v>
      </c>
      <c r="F3226" t="s">
        <v>4268</v>
      </c>
      <c r="G3226" t="s">
        <v>179</v>
      </c>
      <c r="H3226" t="s">
        <v>53</v>
      </c>
      <c r="I3226" t="s">
        <v>53</v>
      </c>
      <c r="J3226" t="s">
        <v>53</v>
      </c>
      <c r="K3226" t="s">
        <v>53</v>
      </c>
      <c r="L3226" t="s">
        <v>53</v>
      </c>
      <c r="M3226" t="s">
        <v>53</v>
      </c>
      <c r="N3226" t="s">
        <v>53</v>
      </c>
      <c r="O3226" t="s">
        <v>53</v>
      </c>
      <c r="P3226" t="s">
        <v>53</v>
      </c>
      <c r="Q3226" t="s">
        <v>53</v>
      </c>
    </row>
    <row r="3227" spans="1:17" x14ac:dyDescent="0.2">
      <c r="A3227" s="30" t="str">
        <f>IF(C3227&amp;G3227&amp;D3227&lt;&gt;'Funnel setup'!$K$3&amp;'Funnel setup'!$K$4&amp;'Funnel setup'!$K$5,".",IF(A3226=".",1,A3226+1))</f>
        <v>.</v>
      </c>
      <c r="B3227" s="431" t="str">
        <f t="shared" si="50"/>
        <v>Hip Replacement RevisionProviderSPIRE REGENCY HOSPITAL (NT339)EQ VAS</v>
      </c>
      <c r="C3227" t="s">
        <v>247</v>
      </c>
      <c r="D3227" t="s">
        <v>1</v>
      </c>
      <c r="E3227" t="s">
        <v>3171</v>
      </c>
      <c r="F3227" t="s">
        <v>3172</v>
      </c>
      <c r="G3227" t="s">
        <v>179</v>
      </c>
      <c r="H3227" t="s">
        <v>53</v>
      </c>
      <c r="I3227" t="s">
        <v>53</v>
      </c>
      <c r="J3227" t="s">
        <v>53</v>
      </c>
      <c r="K3227" t="s">
        <v>53</v>
      </c>
      <c r="L3227" t="s">
        <v>53</v>
      </c>
      <c r="M3227" t="s">
        <v>53</v>
      </c>
      <c r="N3227" t="s">
        <v>53</v>
      </c>
      <c r="O3227" t="s">
        <v>53</v>
      </c>
      <c r="P3227" t="s">
        <v>53</v>
      </c>
      <c r="Q3227" t="s">
        <v>53</v>
      </c>
    </row>
    <row r="3228" spans="1:17" x14ac:dyDescent="0.2">
      <c r="A3228" s="30" t="str">
        <f>IF(C3228&amp;G3228&amp;D3228&lt;&gt;'Funnel setup'!$K$3&amp;'Funnel setup'!$K$4&amp;'Funnel setup'!$K$5,".",IF(A3227=".",1,A3227+1))</f>
        <v>.</v>
      </c>
      <c r="B3228" s="431" t="str">
        <f t="shared" si="50"/>
        <v>Hip Replacement RevisionProviderSPIRE SUSSEX HOSPITAL (NT309)EQ VAS</v>
      </c>
      <c r="C3228" t="s">
        <v>247</v>
      </c>
      <c r="D3228" t="s">
        <v>1</v>
      </c>
      <c r="E3228" t="s">
        <v>3180</v>
      </c>
      <c r="F3228" t="s">
        <v>3181</v>
      </c>
      <c r="G3228" t="s">
        <v>179</v>
      </c>
      <c r="H3228" t="s">
        <v>53</v>
      </c>
      <c r="I3228" t="s">
        <v>53</v>
      </c>
      <c r="J3228" t="s">
        <v>53</v>
      </c>
      <c r="K3228" t="s">
        <v>53</v>
      </c>
      <c r="L3228" t="s">
        <v>53</v>
      </c>
      <c r="M3228" t="s">
        <v>53</v>
      </c>
      <c r="N3228" t="s">
        <v>53</v>
      </c>
      <c r="O3228" t="s">
        <v>53</v>
      </c>
      <c r="P3228" t="s">
        <v>53</v>
      </c>
      <c r="Q3228" t="s">
        <v>53</v>
      </c>
    </row>
    <row r="3229" spans="1:17" x14ac:dyDescent="0.2">
      <c r="A3229" s="30" t="str">
        <f>IF(C3229&amp;G3229&amp;D3229&lt;&gt;'Funnel setup'!$K$3&amp;'Funnel setup'!$K$4&amp;'Funnel setup'!$K$5,".",IF(A3228=".",1,A3228+1))</f>
        <v>.</v>
      </c>
      <c r="B3229" s="431" t="str">
        <f t="shared" si="50"/>
        <v>Hip Replacement RevisionProviderSPIRE WELLESLEY HOSPITAL (NT313)EQ VAS</v>
      </c>
      <c r="C3229" t="s">
        <v>247</v>
      </c>
      <c r="D3229" t="s">
        <v>1</v>
      </c>
      <c r="E3229" t="s">
        <v>3192</v>
      </c>
      <c r="F3229" t="s">
        <v>3193</v>
      </c>
      <c r="G3229" t="s">
        <v>179</v>
      </c>
      <c r="H3229" t="s">
        <v>53</v>
      </c>
      <c r="I3229" t="s">
        <v>53</v>
      </c>
      <c r="J3229" t="s">
        <v>53</v>
      </c>
      <c r="K3229" t="s">
        <v>53</v>
      </c>
      <c r="L3229" t="s">
        <v>53</v>
      </c>
      <c r="M3229" t="s">
        <v>53</v>
      </c>
      <c r="N3229" t="s">
        <v>53</v>
      </c>
      <c r="O3229" t="s">
        <v>53</v>
      </c>
      <c r="P3229" t="s">
        <v>53</v>
      </c>
      <c r="Q3229" t="s">
        <v>53</v>
      </c>
    </row>
    <row r="3230" spans="1:17" x14ac:dyDescent="0.2">
      <c r="A3230" s="30" t="str">
        <f>IF(C3230&amp;G3230&amp;D3230&lt;&gt;'Funnel setup'!$K$3&amp;'Funnel setup'!$K$4&amp;'Funnel setup'!$K$5,".",IF(A3229=".",1,A3229+1))</f>
        <v>.</v>
      </c>
      <c r="B3230" s="431" t="str">
        <f t="shared" si="50"/>
        <v>Hip Replacement RevisionProviderSPRINGFIELD HOSPITAL (NVC18)EQ VAS</v>
      </c>
      <c r="C3230" t="s">
        <v>247</v>
      </c>
      <c r="D3230" t="s">
        <v>1</v>
      </c>
      <c r="E3230" t="s">
        <v>3195</v>
      </c>
      <c r="F3230" t="s">
        <v>3196</v>
      </c>
      <c r="G3230" t="s">
        <v>179</v>
      </c>
      <c r="H3230" t="s">
        <v>53</v>
      </c>
      <c r="I3230" t="s">
        <v>53</v>
      </c>
      <c r="J3230" t="s">
        <v>53</v>
      </c>
      <c r="K3230" t="s">
        <v>53</v>
      </c>
      <c r="L3230" t="s">
        <v>53</v>
      </c>
      <c r="M3230" t="s">
        <v>53</v>
      </c>
      <c r="N3230" t="s">
        <v>53</v>
      </c>
      <c r="O3230" t="s">
        <v>53</v>
      </c>
      <c r="P3230" t="s">
        <v>53</v>
      </c>
      <c r="Q3230" t="s">
        <v>53</v>
      </c>
    </row>
    <row r="3231" spans="1:17" x14ac:dyDescent="0.2">
      <c r="A3231" s="30" t="str">
        <f>IF(C3231&amp;G3231&amp;D3231&lt;&gt;'Funnel setup'!$K$3&amp;'Funnel setup'!$K$4&amp;'Funnel setup'!$K$5,".",IF(A3230=".",1,A3230+1))</f>
        <v>.</v>
      </c>
      <c r="B3231" s="431" t="str">
        <f t="shared" si="50"/>
        <v>Hip Replacement RevisionProviderST GEORGE'S UNIVERSITY HOSPITALS NHS FOUNDATION TRUST (RJ7)EQ VAS</v>
      </c>
      <c r="C3231" t="s">
        <v>247</v>
      </c>
      <c r="D3231" t="s">
        <v>1</v>
      </c>
      <c r="E3231" t="s">
        <v>3124</v>
      </c>
      <c r="F3231" t="s">
        <v>3125</v>
      </c>
      <c r="G3231" t="s">
        <v>179</v>
      </c>
      <c r="H3231" t="s">
        <v>53</v>
      </c>
      <c r="I3231" t="s">
        <v>53</v>
      </c>
      <c r="J3231" t="s">
        <v>53</v>
      </c>
      <c r="K3231" t="s">
        <v>53</v>
      </c>
      <c r="L3231" t="s">
        <v>53</v>
      </c>
      <c r="M3231" t="s">
        <v>53</v>
      </c>
      <c r="N3231" t="s">
        <v>53</v>
      </c>
      <c r="O3231" t="s">
        <v>53</v>
      </c>
      <c r="P3231" t="s">
        <v>53</v>
      </c>
      <c r="Q3231" t="s">
        <v>53</v>
      </c>
    </row>
    <row r="3232" spans="1:17" x14ac:dyDescent="0.2">
      <c r="A3232" s="30" t="str">
        <f>IF(C3232&amp;G3232&amp;D3232&lt;&gt;'Funnel setup'!$K$3&amp;'Funnel setup'!$K$4&amp;'Funnel setup'!$K$5,".",IF(A3231=".",1,A3231+1))</f>
        <v>.</v>
      </c>
      <c r="B3232" s="431" t="str">
        <f t="shared" si="50"/>
        <v>Hip Replacement RevisionProviderST HELENS AND KNOWSLEY HOSPITALS NHS TRUST (RBN)EQ VAS</v>
      </c>
      <c r="C3232" t="s">
        <v>247</v>
      </c>
      <c r="D3232" t="s">
        <v>1</v>
      </c>
      <c r="E3232" t="s">
        <v>3127</v>
      </c>
      <c r="F3232" t="s">
        <v>3128</v>
      </c>
      <c r="G3232" t="s">
        <v>179</v>
      </c>
      <c r="H3232">
        <v>12</v>
      </c>
      <c r="I3232">
        <v>60.75</v>
      </c>
      <c r="J3232">
        <v>75.332999999999998</v>
      </c>
      <c r="K3232">
        <v>14.583</v>
      </c>
      <c r="L3232">
        <v>9</v>
      </c>
      <c r="M3232">
        <v>0</v>
      </c>
      <c r="N3232">
        <v>3</v>
      </c>
      <c r="O3232" t="s">
        <v>53</v>
      </c>
      <c r="P3232" t="s">
        <v>53</v>
      </c>
      <c r="Q3232" t="s">
        <v>53</v>
      </c>
    </row>
    <row r="3233" spans="1:17" x14ac:dyDescent="0.2">
      <c r="A3233" s="30" t="str">
        <f>IF(C3233&amp;G3233&amp;D3233&lt;&gt;'Funnel setup'!$K$3&amp;'Funnel setup'!$K$4&amp;'Funnel setup'!$K$5,".",IF(A3232=".",1,A3232+1))</f>
        <v>.</v>
      </c>
      <c r="B3233" s="431" t="str">
        <f t="shared" si="50"/>
        <v>Hip Replacement RevisionProviderSTOCKPORT NHS FOUNDATION TRUST (RWJ)EQ VAS</v>
      </c>
      <c r="C3233" t="s">
        <v>247</v>
      </c>
      <c r="D3233" t="s">
        <v>1</v>
      </c>
      <c r="E3233" t="s">
        <v>3142</v>
      </c>
      <c r="F3233" t="s">
        <v>3143</v>
      </c>
      <c r="G3233" t="s">
        <v>179</v>
      </c>
      <c r="H3233" t="s">
        <v>53</v>
      </c>
      <c r="I3233" t="s">
        <v>53</v>
      </c>
      <c r="J3233" t="s">
        <v>53</v>
      </c>
      <c r="K3233" t="s">
        <v>53</v>
      </c>
      <c r="L3233" t="s">
        <v>53</v>
      </c>
      <c r="M3233" t="s">
        <v>53</v>
      </c>
      <c r="N3233" t="s">
        <v>53</v>
      </c>
      <c r="O3233" t="s">
        <v>53</v>
      </c>
      <c r="P3233" t="s">
        <v>53</v>
      </c>
      <c r="Q3233" t="s">
        <v>53</v>
      </c>
    </row>
    <row r="3234" spans="1:17" x14ac:dyDescent="0.2">
      <c r="A3234" s="30" t="str">
        <f>IF(C3234&amp;G3234&amp;D3234&lt;&gt;'Funnel setup'!$K$3&amp;'Funnel setup'!$K$4&amp;'Funnel setup'!$K$5,".",IF(A3233=".",1,A3233+1))</f>
        <v>.</v>
      </c>
      <c r="B3234" s="431" t="str">
        <f t="shared" si="50"/>
        <v>Hip Replacement RevisionProviderTAUNTON AND SOMERSET NHS FOUNDATION TRUST (RBA)EQ VAS</v>
      </c>
      <c r="C3234" t="s">
        <v>247</v>
      </c>
      <c r="D3234" t="s">
        <v>1</v>
      </c>
      <c r="E3234" t="s">
        <v>3151</v>
      </c>
      <c r="F3234" t="s">
        <v>3152</v>
      </c>
      <c r="G3234" t="s">
        <v>179</v>
      </c>
      <c r="H3234">
        <v>9</v>
      </c>
      <c r="I3234">
        <v>62.889000000000003</v>
      </c>
      <c r="J3234">
        <v>76.667000000000002</v>
      </c>
      <c r="K3234">
        <v>13.778</v>
      </c>
      <c r="L3234">
        <v>6</v>
      </c>
      <c r="M3234">
        <v>2</v>
      </c>
      <c r="N3234">
        <v>1</v>
      </c>
      <c r="O3234" t="s">
        <v>53</v>
      </c>
      <c r="P3234" t="s">
        <v>53</v>
      </c>
      <c r="Q3234" t="s">
        <v>53</v>
      </c>
    </row>
    <row r="3235" spans="1:17" x14ac:dyDescent="0.2">
      <c r="A3235" s="30" t="str">
        <f>IF(C3235&amp;G3235&amp;D3235&lt;&gt;'Funnel setup'!$K$3&amp;'Funnel setup'!$K$4&amp;'Funnel setup'!$K$5,".",IF(A3234=".",1,A3234+1))</f>
        <v>.</v>
      </c>
      <c r="B3235" s="431" t="str">
        <f t="shared" si="50"/>
        <v>Hip Replacement RevisionProviderTHE BERKSHIRE INDEPENDENT HOSPITAL (NVC02)EQ VAS</v>
      </c>
      <c r="C3235" t="s">
        <v>247</v>
      </c>
      <c r="D3235" t="s">
        <v>1</v>
      </c>
      <c r="E3235" t="s">
        <v>3118</v>
      </c>
      <c r="F3235" t="s">
        <v>3119</v>
      </c>
      <c r="G3235" t="s">
        <v>179</v>
      </c>
      <c r="H3235" t="s">
        <v>53</v>
      </c>
      <c r="I3235" t="s">
        <v>53</v>
      </c>
      <c r="J3235" t="s">
        <v>53</v>
      </c>
      <c r="K3235" t="s">
        <v>53</v>
      </c>
      <c r="L3235" t="s">
        <v>53</v>
      </c>
      <c r="M3235" t="s">
        <v>53</v>
      </c>
      <c r="N3235" t="s">
        <v>53</v>
      </c>
      <c r="O3235" t="s">
        <v>53</v>
      </c>
      <c r="P3235" t="s">
        <v>53</v>
      </c>
      <c r="Q3235" t="s">
        <v>53</v>
      </c>
    </row>
    <row r="3236" spans="1:17" x14ac:dyDescent="0.2">
      <c r="A3236" s="30" t="str">
        <f>IF(C3236&amp;G3236&amp;D3236&lt;&gt;'Funnel setup'!$K$3&amp;'Funnel setup'!$K$4&amp;'Funnel setup'!$K$5,".",IF(A3235=".",1,A3235+1))</f>
        <v>.</v>
      </c>
      <c r="B3236" s="431" t="str">
        <f t="shared" si="50"/>
        <v>Hip Replacement RevisionProviderTHE HILLINGDON HOSPITALS NHS FOUNDATION TRUST (RAS)EQ VAS</v>
      </c>
      <c r="C3236" t="s">
        <v>247</v>
      </c>
      <c r="D3236" t="s">
        <v>1</v>
      </c>
      <c r="E3236" t="s">
        <v>3115</v>
      </c>
      <c r="F3236" t="s">
        <v>3116</v>
      </c>
      <c r="G3236" t="s">
        <v>179</v>
      </c>
      <c r="H3236">
        <v>6</v>
      </c>
      <c r="I3236">
        <v>78.332999999999998</v>
      </c>
      <c r="J3236">
        <v>77.332999999999998</v>
      </c>
      <c r="K3236">
        <v>-1</v>
      </c>
      <c r="L3236">
        <v>3</v>
      </c>
      <c r="M3236">
        <v>0</v>
      </c>
      <c r="N3236">
        <v>3</v>
      </c>
      <c r="O3236" t="s">
        <v>53</v>
      </c>
      <c r="P3236" t="s">
        <v>53</v>
      </c>
      <c r="Q3236" t="s">
        <v>53</v>
      </c>
    </row>
    <row r="3237" spans="1:17" x14ac:dyDescent="0.2">
      <c r="A3237" s="30" t="str">
        <f>IF(C3237&amp;G3237&amp;D3237&lt;&gt;'Funnel setup'!$K$3&amp;'Funnel setup'!$K$4&amp;'Funnel setup'!$K$5,".",IF(A3236=".",1,A3236+1))</f>
        <v>.</v>
      </c>
      <c r="B3237" s="431" t="str">
        <f t="shared" si="50"/>
        <v>Hip Replacement RevisionProviderTHE HORDER CENTRE - ST JOHNS ROAD (NXM01)EQ VAS</v>
      </c>
      <c r="C3237" t="s">
        <v>247</v>
      </c>
      <c r="D3237" t="s">
        <v>1</v>
      </c>
      <c r="E3237" t="s">
        <v>4222</v>
      </c>
      <c r="F3237" t="s">
        <v>4223</v>
      </c>
      <c r="G3237" t="s">
        <v>179</v>
      </c>
      <c r="H3237">
        <v>40</v>
      </c>
      <c r="I3237">
        <v>77.05</v>
      </c>
      <c r="J3237">
        <v>74.825000000000003</v>
      </c>
      <c r="K3237">
        <v>-2.2250000000000001</v>
      </c>
      <c r="L3237">
        <v>19</v>
      </c>
      <c r="M3237">
        <v>6</v>
      </c>
      <c r="N3237">
        <v>15</v>
      </c>
      <c r="O3237">
        <v>70.457999999999998</v>
      </c>
      <c r="P3237">
        <v>5.6878216420000003</v>
      </c>
      <c r="Q3237">
        <v>18.420999999999999</v>
      </c>
    </row>
    <row r="3238" spans="1:17" x14ac:dyDescent="0.2">
      <c r="A3238" s="30" t="str">
        <f>IF(C3238&amp;G3238&amp;D3238&lt;&gt;'Funnel setup'!$K$3&amp;'Funnel setup'!$K$4&amp;'Funnel setup'!$K$5,".",IF(A3237=".",1,A3237+1))</f>
        <v>.</v>
      </c>
      <c r="B3238" s="431" t="str">
        <f t="shared" si="50"/>
        <v>Hip Replacement RevisionProviderTHE NEWCASTLE UPON TYNE HOSPITALS NHS FOUNDATION TRUST (RTD)EQ VAS</v>
      </c>
      <c r="C3238" t="s">
        <v>247</v>
      </c>
      <c r="D3238" t="s">
        <v>1</v>
      </c>
      <c r="E3238" t="s">
        <v>3748</v>
      </c>
      <c r="F3238" t="s">
        <v>3749</v>
      </c>
      <c r="G3238" t="s">
        <v>179</v>
      </c>
      <c r="H3238">
        <v>19</v>
      </c>
      <c r="I3238">
        <v>60.052999999999997</v>
      </c>
      <c r="J3238">
        <v>66.474000000000004</v>
      </c>
      <c r="K3238">
        <v>6.4210000000000003</v>
      </c>
      <c r="L3238">
        <v>9</v>
      </c>
      <c r="M3238">
        <v>3</v>
      </c>
      <c r="N3238">
        <v>7</v>
      </c>
      <c r="O3238" t="s">
        <v>53</v>
      </c>
      <c r="P3238" t="s">
        <v>53</v>
      </c>
      <c r="Q3238" t="s">
        <v>53</v>
      </c>
    </row>
    <row r="3239" spans="1:17" x14ac:dyDescent="0.2">
      <c r="A3239" s="30" t="str">
        <f>IF(C3239&amp;G3239&amp;D3239&lt;&gt;'Funnel setup'!$K$3&amp;'Funnel setup'!$K$4&amp;'Funnel setup'!$K$5,".",IF(A3238=".",1,A3238+1))</f>
        <v>.</v>
      </c>
      <c r="B3239" s="431" t="str">
        <f t="shared" si="50"/>
        <v>Hip Replacement RevisionProviderTHE PRINCESS ALEXANDRA HOSPITAL NHS TRUST (RQW)EQ VAS</v>
      </c>
      <c r="C3239" t="s">
        <v>247</v>
      </c>
      <c r="D3239" t="s">
        <v>1</v>
      </c>
      <c r="E3239" t="s">
        <v>3751</v>
      </c>
      <c r="F3239" t="s">
        <v>3752</v>
      </c>
      <c r="G3239" t="s">
        <v>179</v>
      </c>
      <c r="H3239">
        <v>9</v>
      </c>
      <c r="I3239">
        <v>52.777999999999999</v>
      </c>
      <c r="J3239">
        <v>57.222000000000001</v>
      </c>
      <c r="K3239">
        <v>4.444</v>
      </c>
      <c r="L3239">
        <v>4</v>
      </c>
      <c r="M3239">
        <v>0</v>
      </c>
      <c r="N3239">
        <v>5</v>
      </c>
      <c r="O3239" t="s">
        <v>53</v>
      </c>
      <c r="P3239" t="s">
        <v>53</v>
      </c>
      <c r="Q3239" t="s">
        <v>53</v>
      </c>
    </row>
    <row r="3240" spans="1:17" x14ac:dyDescent="0.2">
      <c r="A3240" s="30" t="str">
        <f>IF(C3240&amp;G3240&amp;D3240&lt;&gt;'Funnel setup'!$K$3&amp;'Funnel setup'!$K$4&amp;'Funnel setup'!$K$5,".",IF(A3239=".",1,A3239+1))</f>
        <v>.</v>
      </c>
      <c r="B3240" s="431" t="str">
        <f t="shared" si="50"/>
        <v>Hip Replacement RevisionProviderTHE QUEEN ELIZABETH HOSPITAL, KING'S LYNN, NHS FOUNDATION TRUST (RCX)EQ VAS</v>
      </c>
      <c r="C3240" t="s">
        <v>247</v>
      </c>
      <c r="D3240" t="s">
        <v>1</v>
      </c>
      <c r="E3240" t="s">
        <v>3754</v>
      </c>
      <c r="F3240" t="s">
        <v>3755</v>
      </c>
      <c r="G3240" t="s">
        <v>179</v>
      </c>
      <c r="H3240">
        <v>6</v>
      </c>
      <c r="I3240">
        <v>65</v>
      </c>
      <c r="J3240">
        <v>71.667000000000002</v>
      </c>
      <c r="K3240">
        <v>6.6669999999999998</v>
      </c>
      <c r="L3240">
        <v>3</v>
      </c>
      <c r="M3240">
        <v>2</v>
      </c>
      <c r="N3240">
        <v>1</v>
      </c>
      <c r="O3240" t="s">
        <v>53</v>
      </c>
      <c r="P3240" t="s">
        <v>53</v>
      </c>
      <c r="Q3240" t="s">
        <v>53</v>
      </c>
    </row>
    <row r="3241" spans="1:17" x14ac:dyDescent="0.2">
      <c r="A3241" s="30" t="str">
        <f>IF(C3241&amp;G3241&amp;D3241&lt;&gt;'Funnel setup'!$K$3&amp;'Funnel setup'!$K$4&amp;'Funnel setup'!$K$5,".",IF(A3240=".",1,A3240+1))</f>
        <v>.</v>
      </c>
      <c r="B3241" s="431" t="str">
        <f t="shared" si="50"/>
        <v>Hip Replacement RevisionProviderTHE ROBERT JONES AND AGNES HUNT ORTHOPAEDIC HOSPITAL NHS FOUNDATION TRUST (RL1)EQ VAS</v>
      </c>
      <c r="C3241" t="s">
        <v>247</v>
      </c>
      <c r="D3241" t="s">
        <v>1</v>
      </c>
      <c r="E3241" t="s">
        <v>4496</v>
      </c>
      <c r="F3241" t="s">
        <v>4497</v>
      </c>
      <c r="G3241" t="s">
        <v>179</v>
      </c>
      <c r="H3241">
        <v>53</v>
      </c>
      <c r="I3241">
        <v>63.189</v>
      </c>
      <c r="J3241">
        <v>69.225999999999999</v>
      </c>
      <c r="K3241">
        <v>6.0380000000000003</v>
      </c>
      <c r="L3241">
        <v>29</v>
      </c>
      <c r="M3241">
        <v>6</v>
      </c>
      <c r="N3241">
        <v>18</v>
      </c>
      <c r="O3241">
        <v>65.826999999999998</v>
      </c>
      <c r="P3241">
        <v>1.056513767</v>
      </c>
      <c r="Q3241">
        <v>19.46</v>
      </c>
    </row>
    <row r="3242" spans="1:17" x14ac:dyDescent="0.2">
      <c r="A3242" s="30" t="str">
        <f>IF(C3242&amp;G3242&amp;D3242&lt;&gt;'Funnel setup'!$K$3&amp;'Funnel setup'!$K$4&amp;'Funnel setup'!$K$5,".",IF(A3241=".",1,A3241+1))</f>
        <v>.</v>
      </c>
      <c r="B3242" s="431" t="str">
        <f t="shared" si="50"/>
        <v>Hip Replacement RevisionProviderTHE ROTHERHAM NHS FOUNDATION TRUST (RFR)EQ VAS</v>
      </c>
      <c r="C3242" t="s">
        <v>247</v>
      </c>
      <c r="D3242" t="s">
        <v>1</v>
      </c>
      <c r="E3242" t="s">
        <v>3739</v>
      </c>
      <c r="F3242" t="s">
        <v>3740</v>
      </c>
      <c r="G3242" t="s">
        <v>179</v>
      </c>
      <c r="H3242">
        <v>16</v>
      </c>
      <c r="I3242">
        <v>67.25</v>
      </c>
      <c r="J3242">
        <v>73.438000000000002</v>
      </c>
      <c r="K3242">
        <v>6.1879999999999997</v>
      </c>
      <c r="L3242">
        <v>8</v>
      </c>
      <c r="M3242">
        <v>6</v>
      </c>
      <c r="N3242">
        <v>2</v>
      </c>
      <c r="O3242" t="s">
        <v>53</v>
      </c>
      <c r="P3242" t="s">
        <v>53</v>
      </c>
      <c r="Q3242" t="s">
        <v>53</v>
      </c>
    </row>
    <row r="3243" spans="1:17" x14ac:dyDescent="0.2">
      <c r="A3243" s="30" t="str">
        <f>IF(C3243&amp;G3243&amp;D3243&lt;&gt;'Funnel setup'!$K$3&amp;'Funnel setup'!$K$4&amp;'Funnel setup'!$K$5,".",IF(A3242=".",1,A3242+1))</f>
        <v>.</v>
      </c>
      <c r="B3243" s="431" t="str">
        <f t="shared" si="50"/>
        <v>Hip Replacement RevisionProviderTHE ROYAL BOURNEMOUTH AND CHRISTCHURCH HOSPITALS NHS FOUNDATION TRUST (RDZ)EQ VAS</v>
      </c>
      <c r="C3243" t="s">
        <v>247</v>
      </c>
      <c r="D3243" t="s">
        <v>1</v>
      </c>
      <c r="E3243" t="s">
        <v>3742</v>
      </c>
      <c r="F3243" t="s">
        <v>3743</v>
      </c>
      <c r="G3243" t="s">
        <v>179</v>
      </c>
      <c r="H3243" t="s">
        <v>53</v>
      </c>
      <c r="I3243" t="s">
        <v>53</v>
      </c>
      <c r="J3243" t="s">
        <v>53</v>
      </c>
      <c r="K3243" t="s">
        <v>53</v>
      </c>
      <c r="L3243" t="s">
        <v>53</v>
      </c>
      <c r="M3243" t="s">
        <v>53</v>
      </c>
      <c r="N3243" t="s">
        <v>53</v>
      </c>
      <c r="O3243" t="s">
        <v>53</v>
      </c>
      <c r="P3243" t="s">
        <v>53</v>
      </c>
      <c r="Q3243" t="s">
        <v>53</v>
      </c>
    </row>
    <row r="3244" spans="1:17" x14ac:dyDescent="0.2">
      <c r="A3244" s="30" t="str">
        <f>IF(C3244&amp;G3244&amp;D3244&lt;&gt;'Funnel setup'!$K$3&amp;'Funnel setup'!$K$4&amp;'Funnel setup'!$K$5,".",IF(A3243=".",1,A3243+1))</f>
        <v>.</v>
      </c>
      <c r="B3244" s="431" t="str">
        <f t="shared" si="50"/>
        <v>Hip Replacement RevisionProviderTHE ROYAL ORTHOPAEDIC HOSPITAL NHS FOUNDATION TRUST (RRJ)EQ VAS</v>
      </c>
      <c r="C3244" t="s">
        <v>247</v>
      </c>
      <c r="D3244" t="s">
        <v>1</v>
      </c>
      <c r="E3244" t="s">
        <v>4480</v>
      </c>
      <c r="F3244" t="s">
        <v>4481</v>
      </c>
      <c r="G3244" t="s">
        <v>179</v>
      </c>
      <c r="H3244">
        <v>43</v>
      </c>
      <c r="I3244">
        <v>63.395000000000003</v>
      </c>
      <c r="J3244">
        <v>69.372</v>
      </c>
      <c r="K3244">
        <v>5.9770000000000003</v>
      </c>
      <c r="L3244">
        <v>21</v>
      </c>
      <c r="M3244">
        <v>6</v>
      </c>
      <c r="N3244">
        <v>16</v>
      </c>
      <c r="O3244">
        <v>70.093999999999994</v>
      </c>
      <c r="P3244">
        <v>5.3236043029999998</v>
      </c>
      <c r="Q3244">
        <v>20.434000000000001</v>
      </c>
    </row>
    <row r="3245" spans="1:17" x14ac:dyDescent="0.2">
      <c r="A3245" s="30" t="str">
        <f>IF(C3245&amp;G3245&amp;D3245&lt;&gt;'Funnel setup'!$K$3&amp;'Funnel setup'!$K$4&amp;'Funnel setup'!$K$5,".",IF(A3244=".",1,A3244+1))</f>
        <v>.</v>
      </c>
      <c r="B3245" s="431" t="str">
        <f t="shared" si="50"/>
        <v>Hip Replacement RevisionProviderTHE ROYAL WOLVERHAMPTON NHS TRUST (RL4)EQ VAS</v>
      </c>
      <c r="C3245" t="s">
        <v>247</v>
      </c>
      <c r="D3245" t="s">
        <v>1</v>
      </c>
      <c r="E3245" t="s">
        <v>3382</v>
      </c>
      <c r="F3245" t="s">
        <v>3383</v>
      </c>
      <c r="G3245" t="s">
        <v>179</v>
      </c>
      <c r="H3245">
        <v>10</v>
      </c>
      <c r="I3245">
        <v>61.9</v>
      </c>
      <c r="J3245">
        <v>74.3</v>
      </c>
      <c r="K3245">
        <v>12.4</v>
      </c>
      <c r="L3245">
        <v>6</v>
      </c>
      <c r="M3245">
        <v>2</v>
      </c>
      <c r="N3245">
        <v>2</v>
      </c>
      <c r="O3245" t="s">
        <v>53</v>
      </c>
      <c r="P3245" t="s">
        <v>53</v>
      </c>
      <c r="Q3245" t="s">
        <v>53</v>
      </c>
    </row>
    <row r="3246" spans="1:17" x14ac:dyDescent="0.2">
      <c r="A3246" s="30" t="str">
        <f>IF(C3246&amp;G3246&amp;D3246&lt;&gt;'Funnel setup'!$K$3&amp;'Funnel setup'!$K$4&amp;'Funnel setup'!$K$5,".",IF(A3245=".",1,A3245+1))</f>
        <v>.</v>
      </c>
      <c r="B3246" s="431" t="str">
        <f t="shared" si="50"/>
        <v>Hip Replacement RevisionProviderTHE YORKSHIRE CLINIC (NVC20)EQ VAS</v>
      </c>
      <c r="C3246" t="s">
        <v>247</v>
      </c>
      <c r="D3246" t="s">
        <v>1</v>
      </c>
      <c r="E3246" t="s">
        <v>3760</v>
      </c>
      <c r="F3246" t="s">
        <v>3761</v>
      </c>
      <c r="G3246" t="s">
        <v>179</v>
      </c>
      <c r="H3246" t="s">
        <v>53</v>
      </c>
      <c r="I3246" t="s">
        <v>53</v>
      </c>
      <c r="J3246" t="s">
        <v>53</v>
      </c>
      <c r="K3246" t="s">
        <v>53</v>
      </c>
      <c r="L3246" t="s">
        <v>53</v>
      </c>
      <c r="M3246" t="s">
        <v>53</v>
      </c>
      <c r="N3246" t="s">
        <v>53</v>
      </c>
      <c r="O3246" t="s">
        <v>53</v>
      </c>
      <c r="P3246" t="s">
        <v>53</v>
      </c>
      <c r="Q3246" t="s">
        <v>53</v>
      </c>
    </row>
    <row r="3247" spans="1:17" x14ac:dyDescent="0.2">
      <c r="A3247" s="30" t="str">
        <f>IF(C3247&amp;G3247&amp;D3247&lt;&gt;'Funnel setup'!$K$3&amp;'Funnel setup'!$K$4&amp;'Funnel setup'!$K$5,".",IF(A3246=".",1,A3246+1))</f>
        <v>.</v>
      </c>
      <c r="B3247" s="431" t="str">
        <f t="shared" si="50"/>
        <v>Hip Replacement RevisionProviderTORBAY AND SOUTH DEVON NHS FOUNDATION TRUST (RA9)EQ VAS</v>
      </c>
      <c r="C3247" t="s">
        <v>247</v>
      </c>
      <c r="D3247" t="s">
        <v>1</v>
      </c>
      <c r="E3247" t="s">
        <v>3480</v>
      </c>
      <c r="F3247" t="s">
        <v>6584</v>
      </c>
      <c r="G3247" t="s">
        <v>179</v>
      </c>
      <c r="H3247">
        <v>25</v>
      </c>
      <c r="I3247">
        <v>68.040000000000006</v>
      </c>
      <c r="J3247">
        <v>71.680000000000007</v>
      </c>
      <c r="K3247">
        <v>3.64</v>
      </c>
      <c r="L3247">
        <v>13</v>
      </c>
      <c r="M3247">
        <v>1</v>
      </c>
      <c r="N3247">
        <v>11</v>
      </c>
      <c r="O3247" t="s">
        <v>53</v>
      </c>
      <c r="P3247" t="s">
        <v>53</v>
      </c>
      <c r="Q3247" t="s">
        <v>53</v>
      </c>
    </row>
    <row r="3248" spans="1:17" x14ac:dyDescent="0.2">
      <c r="A3248" s="30" t="str">
        <f>IF(C3248&amp;G3248&amp;D3248&lt;&gt;'Funnel setup'!$K$3&amp;'Funnel setup'!$K$4&amp;'Funnel setup'!$K$5,".",IF(A3247=".",1,A3247+1))</f>
        <v>.</v>
      </c>
      <c r="B3248" s="431" t="str">
        <f t="shared" si="50"/>
        <v>Hip Replacement RevisionProviderUNITED LINCOLNSHIRE HOSPITALS NHS TRUST (RWD)EQ VAS</v>
      </c>
      <c r="C3248" t="s">
        <v>247</v>
      </c>
      <c r="D3248" t="s">
        <v>1</v>
      </c>
      <c r="E3248" t="s">
        <v>3763</v>
      </c>
      <c r="F3248" t="s">
        <v>3764</v>
      </c>
      <c r="G3248" t="s">
        <v>179</v>
      </c>
      <c r="H3248">
        <v>15</v>
      </c>
      <c r="I3248">
        <v>65.667000000000002</v>
      </c>
      <c r="J3248">
        <v>61.933</v>
      </c>
      <c r="K3248">
        <v>-3.7330000000000001</v>
      </c>
      <c r="L3248">
        <v>4</v>
      </c>
      <c r="M3248">
        <v>3</v>
      </c>
      <c r="N3248">
        <v>8</v>
      </c>
      <c r="O3248" t="s">
        <v>53</v>
      </c>
      <c r="P3248" t="s">
        <v>53</v>
      </c>
      <c r="Q3248" t="s">
        <v>53</v>
      </c>
    </row>
    <row r="3249" spans="1:17" x14ac:dyDescent="0.2">
      <c r="A3249" s="30" t="str">
        <f>IF(C3249&amp;G3249&amp;D3249&lt;&gt;'Funnel setup'!$K$3&amp;'Funnel setup'!$K$4&amp;'Funnel setup'!$K$5,".",IF(A3248=".",1,A3248+1))</f>
        <v>.</v>
      </c>
      <c r="B3249" s="431" t="str">
        <f t="shared" si="50"/>
        <v>Hip Replacement RevisionProviderUNIVERSITY COLLEGE LONDON HOSPITALS NHS FOUNDATION TRUST (RRV)EQ VAS</v>
      </c>
      <c r="C3249" t="s">
        <v>247</v>
      </c>
      <c r="D3249" t="s">
        <v>1</v>
      </c>
      <c r="E3249" t="s">
        <v>3766</v>
      </c>
      <c r="F3249" t="s">
        <v>3767</v>
      </c>
      <c r="G3249" t="s">
        <v>179</v>
      </c>
      <c r="H3249" t="s">
        <v>53</v>
      </c>
      <c r="I3249" t="s">
        <v>53</v>
      </c>
      <c r="J3249" t="s">
        <v>53</v>
      </c>
      <c r="K3249" t="s">
        <v>53</v>
      </c>
      <c r="L3249" t="s">
        <v>53</v>
      </c>
      <c r="M3249" t="s">
        <v>53</v>
      </c>
      <c r="N3249" t="s">
        <v>53</v>
      </c>
      <c r="O3249" t="s">
        <v>53</v>
      </c>
      <c r="P3249" t="s">
        <v>53</v>
      </c>
      <c r="Q3249" t="s">
        <v>53</v>
      </c>
    </row>
    <row r="3250" spans="1:17" x14ac:dyDescent="0.2">
      <c r="A3250" s="30" t="str">
        <f>IF(C3250&amp;G3250&amp;D3250&lt;&gt;'Funnel setup'!$K$3&amp;'Funnel setup'!$K$4&amp;'Funnel setup'!$K$5,".",IF(A3249=".",1,A3249+1))</f>
        <v>.</v>
      </c>
      <c r="B3250" s="431" t="str">
        <f t="shared" si="50"/>
        <v>Hip Replacement RevisionProviderUNIVERSITY HOSPITAL OF SOUTH MANCHESTER NHS FOUNDATION TRUST (RM2)EQ VAS</v>
      </c>
      <c r="C3250" t="s">
        <v>247</v>
      </c>
      <c r="D3250" t="s">
        <v>1</v>
      </c>
      <c r="E3250" t="s">
        <v>3769</v>
      </c>
      <c r="F3250" t="s">
        <v>3770</v>
      </c>
      <c r="G3250" t="s">
        <v>179</v>
      </c>
      <c r="H3250" t="s">
        <v>53</v>
      </c>
      <c r="I3250" t="s">
        <v>53</v>
      </c>
      <c r="J3250" t="s">
        <v>53</v>
      </c>
      <c r="K3250" t="s">
        <v>53</v>
      </c>
      <c r="L3250" t="s">
        <v>53</v>
      </c>
      <c r="M3250" t="s">
        <v>53</v>
      </c>
      <c r="N3250" t="s">
        <v>53</v>
      </c>
      <c r="O3250" t="s">
        <v>53</v>
      </c>
      <c r="P3250" t="s">
        <v>53</v>
      </c>
      <c r="Q3250" t="s">
        <v>53</v>
      </c>
    </row>
    <row r="3251" spans="1:17" x14ac:dyDescent="0.2">
      <c r="A3251" s="30" t="str">
        <f>IF(C3251&amp;G3251&amp;D3251&lt;&gt;'Funnel setup'!$K$3&amp;'Funnel setup'!$K$4&amp;'Funnel setup'!$K$5,".",IF(A3250=".",1,A3250+1))</f>
        <v>.</v>
      </c>
      <c r="B3251" s="431" t="str">
        <f t="shared" si="50"/>
        <v>Hip Replacement RevisionProviderUNIVERSITY HOSPITAL SOUTHAMPTON NHS FOUNDATION TRUST (RHM)EQ VAS</v>
      </c>
      <c r="C3251" t="s">
        <v>247</v>
      </c>
      <c r="D3251" t="s">
        <v>1</v>
      </c>
      <c r="E3251" t="s">
        <v>3772</v>
      </c>
      <c r="F3251" t="s">
        <v>3773</v>
      </c>
      <c r="G3251" t="s">
        <v>179</v>
      </c>
      <c r="H3251">
        <v>27</v>
      </c>
      <c r="I3251">
        <v>59.332999999999998</v>
      </c>
      <c r="J3251">
        <v>74.073999999999998</v>
      </c>
      <c r="K3251">
        <v>14.741</v>
      </c>
      <c r="L3251">
        <v>18</v>
      </c>
      <c r="M3251">
        <v>3</v>
      </c>
      <c r="N3251">
        <v>6</v>
      </c>
      <c r="O3251" t="s">
        <v>53</v>
      </c>
      <c r="P3251" t="s">
        <v>53</v>
      </c>
      <c r="Q3251" t="s">
        <v>53</v>
      </c>
    </row>
    <row r="3252" spans="1:17" x14ac:dyDescent="0.2">
      <c r="A3252" s="30" t="str">
        <f>IF(C3252&amp;G3252&amp;D3252&lt;&gt;'Funnel setup'!$K$3&amp;'Funnel setup'!$K$4&amp;'Funnel setup'!$K$5,".",IF(A3251=".",1,A3251+1))</f>
        <v>.</v>
      </c>
      <c r="B3252" s="431" t="str">
        <f t="shared" si="50"/>
        <v>Hip Replacement RevisionProviderUNIVERSITY HOSPITALS COVENTRY AND WARWICKSHIRE NHS TRUST (RKB)EQ VAS</v>
      </c>
      <c r="C3252" t="s">
        <v>247</v>
      </c>
      <c r="D3252" t="s">
        <v>1</v>
      </c>
      <c r="E3252" t="s">
        <v>3715</v>
      </c>
      <c r="F3252" t="s">
        <v>3716</v>
      </c>
      <c r="G3252" t="s">
        <v>179</v>
      </c>
      <c r="H3252">
        <v>13</v>
      </c>
      <c r="I3252">
        <v>63.845999999999997</v>
      </c>
      <c r="J3252">
        <v>60.076999999999998</v>
      </c>
      <c r="K3252">
        <v>-3.7690000000000001</v>
      </c>
      <c r="L3252">
        <v>5</v>
      </c>
      <c r="M3252">
        <v>3</v>
      </c>
      <c r="N3252">
        <v>5</v>
      </c>
      <c r="O3252" t="s">
        <v>53</v>
      </c>
      <c r="P3252" t="s">
        <v>53</v>
      </c>
      <c r="Q3252" t="s">
        <v>53</v>
      </c>
    </row>
    <row r="3253" spans="1:17" x14ac:dyDescent="0.2">
      <c r="A3253" s="30" t="str">
        <f>IF(C3253&amp;G3253&amp;D3253&lt;&gt;'Funnel setup'!$K$3&amp;'Funnel setup'!$K$4&amp;'Funnel setup'!$K$5,".",IF(A3252=".",1,A3252+1))</f>
        <v>.</v>
      </c>
      <c r="B3253" s="431" t="str">
        <f t="shared" si="50"/>
        <v>Hip Replacement RevisionProviderUNIVERSITY HOSPITALS OF LEICESTER NHS TRUST (RWE)EQ VAS</v>
      </c>
      <c r="C3253" t="s">
        <v>247</v>
      </c>
      <c r="D3253" t="s">
        <v>1</v>
      </c>
      <c r="E3253" t="s">
        <v>3718</v>
      </c>
      <c r="F3253" t="s">
        <v>3719</v>
      </c>
      <c r="G3253" t="s">
        <v>179</v>
      </c>
      <c r="H3253">
        <v>30</v>
      </c>
      <c r="I3253">
        <v>60.9</v>
      </c>
      <c r="J3253">
        <v>69</v>
      </c>
      <c r="K3253">
        <v>8.1</v>
      </c>
      <c r="L3253">
        <v>17</v>
      </c>
      <c r="M3253">
        <v>5</v>
      </c>
      <c r="N3253">
        <v>8</v>
      </c>
      <c r="O3253">
        <v>70.411000000000001</v>
      </c>
      <c r="P3253">
        <v>5.6410299149999998</v>
      </c>
      <c r="Q3253">
        <v>14.539</v>
      </c>
    </row>
    <row r="3254" spans="1:17" x14ac:dyDescent="0.2">
      <c r="A3254" s="30" t="str">
        <f>IF(C3254&amp;G3254&amp;D3254&lt;&gt;'Funnel setup'!$K$3&amp;'Funnel setup'!$K$4&amp;'Funnel setup'!$K$5,".",IF(A3253=".",1,A3253+1))</f>
        <v>.</v>
      </c>
      <c r="B3254" s="431" t="str">
        <f t="shared" si="50"/>
        <v>Hip Replacement RevisionProviderUNIVERSITY HOSPITALS OF MORECAMBE BAY NHS FOUNDATION TRUST (RTX)EQ VAS</v>
      </c>
      <c r="C3254" t="s">
        <v>247</v>
      </c>
      <c r="D3254" t="s">
        <v>1</v>
      </c>
      <c r="E3254" t="s">
        <v>3721</v>
      </c>
      <c r="F3254" t="s">
        <v>3722</v>
      </c>
      <c r="G3254" t="s">
        <v>179</v>
      </c>
      <c r="H3254">
        <v>13</v>
      </c>
      <c r="I3254">
        <v>54.615000000000002</v>
      </c>
      <c r="J3254">
        <v>62.154000000000003</v>
      </c>
      <c r="K3254">
        <v>7.5380000000000003</v>
      </c>
      <c r="L3254">
        <v>7</v>
      </c>
      <c r="M3254">
        <v>1</v>
      </c>
      <c r="N3254">
        <v>5</v>
      </c>
      <c r="O3254" t="s">
        <v>53</v>
      </c>
      <c r="P3254" t="s">
        <v>53</v>
      </c>
      <c r="Q3254" t="s">
        <v>53</v>
      </c>
    </row>
    <row r="3255" spans="1:17" x14ac:dyDescent="0.2">
      <c r="A3255" s="30" t="str">
        <f>IF(C3255&amp;G3255&amp;D3255&lt;&gt;'Funnel setup'!$K$3&amp;'Funnel setup'!$K$4&amp;'Funnel setup'!$K$5,".",IF(A3254=".",1,A3254+1))</f>
        <v>.</v>
      </c>
      <c r="B3255" s="431" t="str">
        <f t="shared" si="50"/>
        <v>Hip Replacement RevisionProviderUNIVERSITY HOSPITALS OF NORTH MIDLANDS NHS TRUST (RJE)EQ VAS</v>
      </c>
      <c r="C3255" t="s">
        <v>247</v>
      </c>
      <c r="D3255" t="s">
        <v>1</v>
      </c>
      <c r="E3255" t="s">
        <v>3724</v>
      </c>
      <c r="F3255" t="s">
        <v>3725</v>
      </c>
      <c r="G3255" t="s">
        <v>179</v>
      </c>
      <c r="H3255">
        <v>10</v>
      </c>
      <c r="I3255">
        <v>56.6</v>
      </c>
      <c r="J3255">
        <v>67.099999999999994</v>
      </c>
      <c r="K3255">
        <v>10.5</v>
      </c>
      <c r="L3255">
        <v>7</v>
      </c>
      <c r="M3255">
        <v>0</v>
      </c>
      <c r="N3255">
        <v>3</v>
      </c>
      <c r="O3255" t="s">
        <v>53</v>
      </c>
      <c r="P3255" t="s">
        <v>53</v>
      </c>
      <c r="Q3255" t="s">
        <v>53</v>
      </c>
    </row>
    <row r="3256" spans="1:17" x14ac:dyDescent="0.2">
      <c r="A3256" s="30" t="str">
        <f>IF(C3256&amp;G3256&amp;D3256&lt;&gt;'Funnel setup'!$K$3&amp;'Funnel setup'!$K$4&amp;'Funnel setup'!$K$5,".",IF(A3255=".",1,A3255+1))</f>
        <v>.</v>
      </c>
      <c r="B3256" s="431" t="str">
        <f t="shared" si="50"/>
        <v>Hip Replacement RevisionProviderWALSALL HEALTHCARE NHS TRUST (RBK)EQ VAS</v>
      </c>
      <c r="C3256" t="s">
        <v>247</v>
      </c>
      <c r="D3256" t="s">
        <v>1</v>
      </c>
      <c r="E3256" t="s">
        <v>3727</v>
      </c>
      <c r="F3256" t="s">
        <v>3728</v>
      </c>
      <c r="G3256" t="s">
        <v>179</v>
      </c>
      <c r="H3256">
        <v>10</v>
      </c>
      <c r="I3256">
        <v>56.8</v>
      </c>
      <c r="J3256">
        <v>56.8</v>
      </c>
      <c r="K3256">
        <v>0</v>
      </c>
      <c r="L3256">
        <v>5</v>
      </c>
      <c r="M3256">
        <v>1</v>
      </c>
      <c r="N3256">
        <v>4</v>
      </c>
      <c r="O3256" t="s">
        <v>53</v>
      </c>
      <c r="P3256" t="s">
        <v>53</v>
      </c>
      <c r="Q3256" t="s">
        <v>53</v>
      </c>
    </row>
    <row r="3257" spans="1:17" x14ac:dyDescent="0.2">
      <c r="A3257" s="30" t="str">
        <f>IF(C3257&amp;G3257&amp;D3257&lt;&gt;'Funnel setup'!$K$3&amp;'Funnel setup'!$K$4&amp;'Funnel setup'!$K$5,".",IF(A3256=".",1,A3256+1))</f>
        <v>.</v>
      </c>
      <c r="B3257" s="431" t="str">
        <f t="shared" si="50"/>
        <v>Hip Replacement RevisionProviderWARRINGTON AND HALTON HOSPITALS NHS FOUNDATION TRUST (RWW)EQ VAS</v>
      </c>
      <c r="C3257" t="s">
        <v>247</v>
      </c>
      <c r="D3257" t="s">
        <v>1</v>
      </c>
      <c r="E3257" t="s">
        <v>3730</v>
      </c>
      <c r="F3257" t="s">
        <v>3731</v>
      </c>
      <c r="G3257" t="s">
        <v>179</v>
      </c>
      <c r="H3257">
        <v>13</v>
      </c>
      <c r="I3257">
        <v>61.537999999999997</v>
      </c>
      <c r="J3257">
        <v>66.076999999999998</v>
      </c>
      <c r="K3257">
        <v>4.5380000000000003</v>
      </c>
      <c r="L3257">
        <v>8</v>
      </c>
      <c r="M3257">
        <v>1</v>
      </c>
      <c r="N3257">
        <v>4</v>
      </c>
      <c r="O3257" t="s">
        <v>53</v>
      </c>
      <c r="P3257" t="s">
        <v>53</v>
      </c>
      <c r="Q3257" t="s">
        <v>53</v>
      </c>
    </row>
    <row r="3258" spans="1:17" x14ac:dyDescent="0.2">
      <c r="A3258" s="30" t="str">
        <f>IF(C3258&amp;G3258&amp;D3258&lt;&gt;'Funnel setup'!$K$3&amp;'Funnel setup'!$K$4&amp;'Funnel setup'!$K$5,".",IF(A3257=".",1,A3257+1))</f>
        <v>.</v>
      </c>
      <c r="B3258" s="431" t="str">
        <f t="shared" si="50"/>
        <v>Hip Replacement RevisionProviderWEST HERTFORDSHIRE HOSPITALS NHS TRUST (RWG)EQ VAS</v>
      </c>
      <c r="C3258" t="s">
        <v>247</v>
      </c>
      <c r="D3258" t="s">
        <v>1</v>
      </c>
      <c r="E3258" t="s">
        <v>3733</v>
      </c>
      <c r="F3258" t="s">
        <v>3734</v>
      </c>
      <c r="G3258" t="s">
        <v>179</v>
      </c>
      <c r="H3258">
        <v>10</v>
      </c>
      <c r="I3258">
        <v>63</v>
      </c>
      <c r="J3258">
        <v>61.5</v>
      </c>
      <c r="K3258">
        <v>-1.5</v>
      </c>
      <c r="L3258">
        <v>5</v>
      </c>
      <c r="M3258">
        <v>1</v>
      </c>
      <c r="N3258">
        <v>4</v>
      </c>
      <c r="O3258" t="s">
        <v>53</v>
      </c>
      <c r="P3258" t="s">
        <v>53</v>
      </c>
      <c r="Q3258" t="s">
        <v>53</v>
      </c>
    </row>
    <row r="3259" spans="1:17" x14ac:dyDescent="0.2">
      <c r="A3259" s="30" t="str">
        <f>IF(C3259&amp;G3259&amp;D3259&lt;&gt;'Funnel setup'!$K$3&amp;'Funnel setup'!$K$4&amp;'Funnel setup'!$K$5,".",IF(A3258=".",1,A3258+1))</f>
        <v>.</v>
      </c>
      <c r="B3259" s="431" t="str">
        <f t="shared" si="50"/>
        <v>Hip Replacement RevisionProviderWEST MIDDLESEX UNIVERSITY HOSPITAL NHS TRUST (RFW)EQ VAS</v>
      </c>
      <c r="C3259" t="s">
        <v>247</v>
      </c>
      <c r="D3259" t="s">
        <v>1</v>
      </c>
      <c r="E3259" t="s">
        <v>3736</v>
      </c>
      <c r="F3259" t="s">
        <v>3737</v>
      </c>
      <c r="G3259" t="s">
        <v>179</v>
      </c>
      <c r="H3259" t="s">
        <v>53</v>
      </c>
      <c r="I3259" t="s">
        <v>53</v>
      </c>
      <c r="J3259" t="s">
        <v>53</v>
      </c>
      <c r="K3259" t="s">
        <v>53</v>
      </c>
      <c r="L3259" t="s">
        <v>53</v>
      </c>
      <c r="M3259" t="s">
        <v>53</v>
      </c>
      <c r="N3259" t="s">
        <v>53</v>
      </c>
      <c r="O3259" t="s">
        <v>53</v>
      </c>
      <c r="P3259" t="s">
        <v>53</v>
      </c>
      <c r="Q3259" t="s">
        <v>53</v>
      </c>
    </row>
    <row r="3260" spans="1:17" x14ac:dyDescent="0.2">
      <c r="A3260" s="30" t="str">
        <f>IF(C3260&amp;G3260&amp;D3260&lt;&gt;'Funnel setup'!$K$3&amp;'Funnel setup'!$K$4&amp;'Funnel setup'!$K$5,".",IF(A3259=".",1,A3259+1))</f>
        <v>.</v>
      </c>
      <c r="B3260" s="431" t="str">
        <f t="shared" si="50"/>
        <v>Hip Replacement RevisionProviderWEST SUFFOLK NHS FOUNDATION TRUST (RGR)EQ VAS</v>
      </c>
      <c r="C3260" t="s">
        <v>247</v>
      </c>
      <c r="D3260" t="s">
        <v>1</v>
      </c>
      <c r="E3260" t="s">
        <v>3712</v>
      </c>
      <c r="F3260" t="s">
        <v>3713</v>
      </c>
      <c r="G3260" t="s">
        <v>179</v>
      </c>
      <c r="H3260">
        <v>12</v>
      </c>
      <c r="I3260">
        <v>61</v>
      </c>
      <c r="J3260">
        <v>70.832999999999998</v>
      </c>
      <c r="K3260">
        <v>9.8330000000000002</v>
      </c>
      <c r="L3260">
        <v>7</v>
      </c>
      <c r="M3260">
        <v>2</v>
      </c>
      <c r="N3260">
        <v>3</v>
      </c>
      <c r="O3260" t="s">
        <v>53</v>
      </c>
      <c r="P3260" t="s">
        <v>53</v>
      </c>
      <c r="Q3260" t="s">
        <v>53</v>
      </c>
    </row>
    <row r="3261" spans="1:17" x14ac:dyDescent="0.2">
      <c r="A3261" s="30" t="str">
        <f>IF(C3261&amp;G3261&amp;D3261&lt;&gt;'Funnel setup'!$K$3&amp;'Funnel setup'!$K$4&amp;'Funnel setup'!$K$5,".",IF(A3260=".",1,A3260+1))</f>
        <v>.</v>
      </c>
      <c r="B3261" s="431" t="str">
        <f t="shared" si="50"/>
        <v>Hip Replacement RevisionProviderWESTERN SUSSEX HOSPITALS NHS FOUNDATION TRUST (RYR)EQ VAS</v>
      </c>
      <c r="C3261" t="s">
        <v>247</v>
      </c>
      <c r="D3261" t="s">
        <v>1</v>
      </c>
      <c r="E3261" t="s">
        <v>3706</v>
      </c>
      <c r="F3261" t="s">
        <v>3707</v>
      </c>
      <c r="G3261" t="s">
        <v>179</v>
      </c>
      <c r="H3261">
        <v>36</v>
      </c>
      <c r="I3261">
        <v>62.944000000000003</v>
      </c>
      <c r="J3261">
        <v>68.028000000000006</v>
      </c>
      <c r="K3261">
        <v>5.0830000000000002</v>
      </c>
      <c r="L3261">
        <v>21</v>
      </c>
      <c r="M3261">
        <v>2</v>
      </c>
      <c r="N3261">
        <v>13</v>
      </c>
      <c r="O3261">
        <v>68.953999999999994</v>
      </c>
      <c r="P3261">
        <v>4.1835189079999999</v>
      </c>
      <c r="Q3261">
        <v>15.725</v>
      </c>
    </row>
    <row r="3262" spans="1:17" x14ac:dyDescent="0.2">
      <c r="A3262" s="30" t="str">
        <f>IF(C3262&amp;G3262&amp;D3262&lt;&gt;'Funnel setup'!$K$3&amp;'Funnel setup'!$K$4&amp;'Funnel setup'!$K$5,".",IF(A3261=".",1,A3261+1))</f>
        <v>.</v>
      </c>
      <c r="B3262" s="431" t="str">
        <f t="shared" si="50"/>
        <v>Hip Replacement RevisionProviderWESTON AREA HEALTH NHS TRUST (RA3)EQ VAS</v>
      </c>
      <c r="C3262" t="s">
        <v>247</v>
      </c>
      <c r="D3262" t="s">
        <v>1</v>
      </c>
      <c r="E3262" t="s">
        <v>3525</v>
      </c>
      <c r="F3262" t="s">
        <v>3526</v>
      </c>
      <c r="G3262" t="s">
        <v>179</v>
      </c>
      <c r="H3262">
        <v>7</v>
      </c>
      <c r="I3262">
        <v>67.143000000000001</v>
      </c>
      <c r="J3262">
        <v>78.570999999999998</v>
      </c>
      <c r="K3262">
        <v>11.429</v>
      </c>
      <c r="L3262">
        <v>5</v>
      </c>
      <c r="M3262">
        <v>1</v>
      </c>
      <c r="N3262">
        <v>1</v>
      </c>
      <c r="O3262" t="s">
        <v>53</v>
      </c>
      <c r="P3262" t="s">
        <v>53</v>
      </c>
      <c r="Q3262" t="s">
        <v>53</v>
      </c>
    </row>
    <row r="3263" spans="1:17" x14ac:dyDescent="0.2">
      <c r="A3263" s="30" t="str">
        <f>IF(C3263&amp;G3263&amp;D3263&lt;&gt;'Funnel setup'!$K$3&amp;'Funnel setup'!$K$4&amp;'Funnel setup'!$K$5,".",IF(A3262=".",1,A3262+1))</f>
        <v>.</v>
      </c>
      <c r="B3263" s="431" t="str">
        <f t="shared" si="50"/>
        <v>Hip Replacement RevisionProviderWINFIELD HOSPITAL (NVC22)EQ VAS</v>
      </c>
      <c r="C3263" t="s">
        <v>247</v>
      </c>
      <c r="D3263" t="s">
        <v>1</v>
      </c>
      <c r="E3263" t="s">
        <v>3534</v>
      </c>
      <c r="F3263" t="s">
        <v>3535</v>
      </c>
      <c r="G3263" t="s">
        <v>179</v>
      </c>
      <c r="H3263" t="s">
        <v>53</v>
      </c>
      <c r="I3263" t="s">
        <v>53</v>
      </c>
      <c r="J3263" t="s">
        <v>53</v>
      </c>
      <c r="K3263" t="s">
        <v>53</v>
      </c>
      <c r="L3263" t="s">
        <v>53</v>
      </c>
      <c r="M3263" t="s">
        <v>53</v>
      </c>
      <c r="N3263" t="s">
        <v>53</v>
      </c>
      <c r="O3263" t="s">
        <v>53</v>
      </c>
      <c r="P3263" t="s">
        <v>53</v>
      </c>
      <c r="Q3263" t="s">
        <v>53</v>
      </c>
    </row>
    <row r="3264" spans="1:17" x14ac:dyDescent="0.2">
      <c r="A3264" s="30" t="str">
        <f>IF(C3264&amp;G3264&amp;D3264&lt;&gt;'Funnel setup'!$K$3&amp;'Funnel setup'!$K$4&amp;'Funnel setup'!$K$5,".",IF(A3263=".",1,A3263+1))</f>
        <v>.</v>
      </c>
      <c r="B3264" s="431" t="str">
        <f t="shared" si="50"/>
        <v>Hip Replacement RevisionProviderWIRRAL UNIVERSITY TEACHING HOSPITAL NHS FOUNDATION TRUST (RBL)EQ VAS</v>
      </c>
      <c r="C3264" t="s">
        <v>247</v>
      </c>
      <c r="D3264" t="s">
        <v>1</v>
      </c>
      <c r="E3264" t="s">
        <v>3537</v>
      </c>
      <c r="F3264" t="s">
        <v>3538</v>
      </c>
      <c r="G3264" t="s">
        <v>179</v>
      </c>
      <c r="H3264" t="s">
        <v>53</v>
      </c>
      <c r="I3264" t="s">
        <v>53</v>
      </c>
      <c r="J3264" t="s">
        <v>53</v>
      </c>
      <c r="K3264" t="s">
        <v>53</v>
      </c>
      <c r="L3264" t="s">
        <v>53</v>
      </c>
      <c r="M3264" t="s">
        <v>53</v>
      </c>
      <c r="N3264" t="s">
        <v>53</v>
      </c>
      <c r="O3264" t="s">
        <v>53</v>
      </c>
      <c r="P3264" t="s">
        <v>53</v>
      </c>
      <c r="Q3264" t="s">
        <v>53</v>
      </c>
    </row>
    <row r="3265" spans="1:17" x14ac:dyDescent="0.2">
      <c r="A3265" s="30" t="str">
        <f>IF(C3265&amp;G3265&amp;D3265&lt;&gt;'Funnel setup'!$K$3&amp;'Funnel setup'!$K$4&amp;'Funnel setup'!$K$5,".",IF(A3264=".",1,A3264+1))</f>
        <v>.</v>
      </c>
      <c r="B3265" s="431" t="str">
        <f t="shared" si="50"/>
        <v>Hip Replacement RevisionProviderWOODLAND HOSPITAL (NVC23)EQ VAS</v>
      </c>
      <c r="C3265" t="s">
        <v>247</v>
      </c>
      <c r="D3265" t="s">
        <v>1</v>
      </c>
      <c r="E3265" t="s">
        <v>3540</v>
      </c>
      <c r="F3265" t="s">
        <v>3541</v>
      </c>
      <c r="G3265" t="s">
        <v>179</v>
      </c>
      <c r="H3265" t="s">
        <v>53</v>
      </c>
      <c r="I3265" t="s">
        <v>53</v>
      </c>
      <c r="J3265" t="s">
        <v>53</v>
      </c>
      <c r="K3265" t="s">
        <v>53</v>
      </c>
      <c r="L3265" t="s">
        <v>53</v>
      </c>
      <c r="M3265" t="s">
        <v>53</v>
      </c>
      <c r="N3265" t="s">
        <v>53</v>
      </c>
      <c r="O3265" t="s">
        <v>53</v>
      </c>
      <c r="P3265" t="s">
        <v>53</v>
      </c>
      <c r="Q3265" t="s">
        <v>53</v>
      </c>
    </row>
    <row r="3266" spans="1:17" x14ac:dyDescent="0.2">
      <c r="A3266" s="30" t="str">
        <f>IF(C3266&amp;G3266&amp;D3266&lt;&gt;'Funnel setup'!$K$3&amp;'Funnel setup'!$K$4&amp;'Funnel setup'!$K$5,".",IF(A3265=".",1,A3265+1))</f>
        <v>.</v>
      </c>
      <c r="B3266" s="431" t="str">
        <f t="shared" si="50"/>
        <v>Hip Replacement RevisionProviderWOODTHORPE HOSPITAL (NVC40)EQ VAS</v>
      </c>
      <c r="C3266" t="s">
        <v>247</v>
      </c>
      <c r="D3266" t="s">
        <v>1</v>
      </c>
      <c r="E3266" t="s">
        <v>3689</v>
      </c>
      <c r="F3266" t="s">
        <v>6576</v>
      </c>
      <c r="G3266" t="s">
        <v>179</v>
      </c>
      <c r="H3266" t="s">
        <v>53</v>
      </c>
      <c r="I3266" t="s">
        <v>53</v>
      </c>
      <c r="J3266" t="s">
        <v>53</v>
      </c>
      <c r="K3266" t="s">
        <v>53</v>
      </c>
      <c r="L3266" t="s">
        <v>53</v>
      </c>
      <c r="M3266" t="s">
        <v>53</v>
      </c>
      <c r="N3266" t="s">
        <v>53</v>
      </c>
      <c r="O3266" t="s">
        <v>53</v>
      </c>
      <c r="P3266" t="s">
        <v>53</v>
      </c>
      <c r="Q3266" t="s">
        <v>53</v>
      </c>
    </row>
    <row r="3267" spans="1:17" x14ac:dyDescent="0.2">
      <c r="A3267" s="30" t="str">
        <f>IF(C3267&amp;G3267&amp;D3267&lt;&gt;'Funnel setup'!$K$3&amp;'Funnel setup'!$K$4&amp;'Funnel setup'!$K$5,".",IF(A3266=".",1,A3266+1))</f>
        <v>.</v>
      </c>
      <c r="B3267" s="431" t="str">
        <f t="shared" ref="B3267:B3330" si="51">C3267&amp;D3267&amp;F3267&amp;G3267</f>
        <v>Hip Replacement RevisionProviderWORCESTERSHIRE ACUTE HOSPITALS NHS TRUST (RWP)EQ VAS</v>
      </c>
      <c r="C3267" t="s">
        <v>247</v>
      </c>
      <c r="D3267" t="s">
        <v>1</v>
      </c>
      <c r="E3267" t="s">
        <v>3543</v>
      </c>
      <c r="F3267" t="s">
        <v>3544</v>
      </c>
      <c r="G3267" t="s">
        <v>179</v>
      </c>
      <c r="H3267">
        <v>13</v>
      </c>
      <c r="I3267">
        <v>55.384999999999998</v>
      </c>
      <c r="J3267">
        <v>66.153999999999996</v>
      </c>
      <c r="K3267">
        <v>10.769</v>
      </c>
      <c r="L3267">
        <v>8</v>
      </c>
      <c r="M3267">
        <v>1</v>
      </c>
      <c r="N3267">
        <v>4</v>
      </c>
      <c r="O3267" t="s">
        <v>53</v>
      </c>
      <c r="P3267" t="s">
        <v>53</v>
      </c>
      <c r="Q3267" t="s">
        <v>53</v>
      </c>
    </row>
    <row r="3268" spans="1:17" x14ac:dyDescent="0.2">
      <c r="A3268" s="30" t="str">
        <f>IF(C3268&amp;G3268&amp;D3268&lt;&gt;'Funnel setup'!$K$3&amp;'Funnel setup'!$K$4&amp;'Funnel setup'!$K$5,".",IF(A3267=".",1,A3267+1))</f>
        <v>.</v>
      </c>
      <c r="B3268" s="431" t="str">
        <f t="shared" si="51"/>
        <v>Hip Replacement RevisionProviderWRIGHTINGTON, WIGAN AND LEIGH NHS FOUNDATION TRUST (RRF)EQ VAS</v>
      </c>
      <c r="C3268" t="s">
        <v>247</v>
      </c>
      <c r="D3268" t="s">
        <v>1</v>
      </c>
      <c r="E3268" t="s">
        <v>3546</v>
      </c>
      <c r="F3268" t="s">
        <v>3547</v>
      </c>
      <c r="G3268" t="s">
        <v>179</v>
      </c>
      <c r="H3268">
        <v>38</v>
      </c>
      <c r="I3268">
        <v>63.210999999999999</v>
      </c>
      <c r="J3268">
        <v>61.052999999999997</v>
      </c>
      <c r="K3268">
        <v>-2.1579999999999999</v>
      </c>
      <c r="L3268">
        <v>14</v>
      </c>
      <c r="M3268">
        <v>5</v>
      </c>
      <c r="N3268">
        <v>19</v>
      </c>
      <c r="O3268">
        <v>63.125</v>
      </c>
      <c r="P3268">
        <v>-1.6455226970000001</v>
      </c>
      <c r="Q3268">
        <v>19.835999999999999</v>
      </c>
    </row>
    <row r="3269" spans="1:17" x14ac:dyDescent="0.2">
      <c r="A3269" s="30" t="str">
        <f>IF(C3269&amp;G3269&amp;D3269&lt;&gt;'Funnel setup'!$K$3&amp;'Funnel setup'!$K$4&amp;'Funnel setup'!$K$5,".",IF(A3268=".",1,A3268+1))</f>
        <v>.</v>
      </c>
      <c r="B3269" s="431" t="str">
        <f t="shared" si="51"/>
        <v>Hip Replacement RevisionProviderWYE VALLEY NHS TRUST (RLQ)EQ VAS</v>
      </c>
      <c r="C3269" t="s">
        <v>247</v>
      </c>
      <c r="D3269" t="s">
        <v>1</v>
      </c>
      <c r="E3269" t="s">
        <v>3517</v>
      </c>
      <c r="F3269" t="s">
        <v>3518</v>
      </c>
      <c r="G3269" t="s">
        <v>179</v>
      </c>
      <c r="H3269">
        <v>6</v>
      </c>
      <c r="I3269">
        <v>68.332999999999998</v>
      </c>
      <c r="J3269">
        <v>69.167000000000002</v>
      </c>
      <c r="K3269">
        <v>0.83299999999999996</v>
      </c>
      <c r="L3269">
        <v>3</v>
      </c>
      <c r="M3269">
        <v>1</v>
      </c>
      <c r="N3269">
        <v>2</v>
      </c>
      <c r="O3269" t="s">
        <v>53</v>
      </c>
      <c r="P3269" t="s">
        <v>53</v>
      </c>
      <c r="Q3269" t="s">
        <v>53</v>
      </c>
    </row>
    <row r="3270" spans="1:17" x14ac:dyDescent="0.2">
      <c r="A3270" s="30" t="str">
        <f>IF(C3270&amp;G3270&amp;D3270&lt;&gt;'Funnel setup'!$K$3&amp;'Funnel setup'!$K$4&amp;'Funnel setup'!$K$5,".",IF(A3269=".",1,A3269+1))</f>
        <v>.</v>
      </c>
      <c r="B3270" s="431" t="str">
        <f t="shared" si="51"/>
        <v>Hip Replacement RevisionProviderYEOVIL DISTRICT HOSPITAL NHS FOUNDATION TRUST (RA4)EQ VAS</v>
      </c>
      <c r="C3270" t="s">
        <v>247</v>
      </c>
      <c r="D3270" t="s">
        <v>1</v>
      </c>
      <c r="E3270" t="s">
        <v>3520</v>
      </c>
      <c r="F3270" t="s">
        <v>341</v>
      </c>
      <c r="G3270" t="s">
        <v>179</v>
      </c>
      <c r="H3270">
        <v>6</v>
      </c>
      <c r="I3270">
        <v>67.167000000000002</v>
      </c>
      <c r="J3270">
        <v>79.167000000000002</v>
      </c>
      <c r="K3270">
        <v>12</v>
      </c>
      <c r="L3270">
        <v>4</v>
      </c>
      <c r="M3270">
        <v>1</v>
      </c>
      <c r="N3270">
        <v>1</v>
      </c>
      <c r="O3270" t="s">
        <v>53</v>
      </c>
      <c r="P3270" t="s">
        <v>53</v>
      </c>
      <c r="Q3270" t="s">
        <v>53</v>
      </c>
    </row>
    <row r="3271" spans="1:17" x14ac:dyDescent="0.2">
      <c r="A3271" s="30" t="str">
        <f>IF(C3271&amp;G3271&amp;D3271&lt;&gt;'Funnel setup'!$K$3&amp;'Funnel setup'!$K$4&amp;'Funnel setup'!$K$5,".",IF(A3270=".",1,A3270+1))</f>
        <v>.</v>
      </c>
      <c r="B3271" s="431" t="str">
        <f t="shared" si="51"/>
        <v>Hip Replacement RevisionProviderYORK TEACHING HOSPITAL NHS FOUNDATION TRUST (RCB)EQ VAS</v>
      </c>
      <c r="C3271" t="s">
        <v>247</v>
      </c>
      <c r="D3271" t="s">
        <v>1</v>
      </c>
      <c r="E3271" t="s">
        <v>3515</v>
      </c>
      <c r="F3271" t="s">
        <v>343</v>
      </c>
      <c r="G3271" t="s">
        <v>179</v>
      </c>
      <c r="H3271">
        <v>31</v>
      </c>
      <c r="I3271">
        <v>66.644999999999996</v>
      </c>
      <c r="J3271">
        <v>72.194000000000003</v>
      </c>
      <c r="K3271">
        <v>5.548</v>
      </c>
      <c r="L3271">
        <v>17</v>
      </c>
      <c r="M3271">
        <v>3</v>
      </c>
      <c r="N3271">
        <v>11</v>
      </c>
      <c r="O3271">
        <v>71.623999999999995</v>
      </c>
      <c r="P3271">
        <v>6.8531050870000003</v>
      </c>
      <c r="Q3271">
        <v>18.184999999999999</v>
      </c>
    </row>
    <row r="3272" spans="1:17" x14ac:dyDescent="0.2">
      <c r="A3272" s="30" t="str">
        <f>IF(C3272&amp;G3272&amp;D3272&lt;&gt;'Funnel setup'!$K$3&amp;'Funnel setup'!$K$4&amp;'Funnel setup'!$K$5,".",IF(A3271=".",1,A3271+1))</f>
        <v>.</v>
      </c>
      <c r="B3272" s="431" t="str">
        <f t="shared" si="51"/>
        <v>Hip Replacement RevisionProviderAINTREE UNIVERSITY HOSPITAL NHS FOUNDATION TRUST (REM)EQ-5D Index</v>
      </c>
      <c r="C3272" t="s">
        <v>247</v>
      </c>
      <c r="D3272" t="s">
        <v>1</v>
      </c>
      <c r="E3272" t="s">
        <v>3838</v>
      </c>
      <c r="F3272" t="s">
        <v>3839</v>
      </c>
      <c r="G3272" t="s">
        <v>52</v>
      </c>
      <c r="H3272">
        <v>14</v>
      </c>
      <c r="I3272">
        <v>0.22600000000000001</v>
      </c>
      <c r="J3272">
        <v>0.40400000000000003</v>
      </c>
      <c r="K3272">
        <v>0.17799999999999999</v>
      </c>
      <c r="L3272">
        <v>10</v>
      </c>
      <c r="M3272">
        <v>1</v>
      </c>
      <c r="N3272">
        <v>3</v>
      </c>
      <c r="O3272" t="s">
        <v>53</v>
      </c>
      <c r="P3272" t="s">
        <v>53</v>
      </c>
      <c r="Q3272" t="s">
        <v>53</v>
      </c>
    </row>
    <row r="3273" spans="1:17" x14ac:dyDescent="0.2">
      <c r="A3273" s="30" t="str">
        <f>IF(C3273&amp;G3273&amp;D3273&lt;&gt;'Funnel setup'!$K$3&amp;'Funnel setup'!$K$4&amp;'Funnel setup'!$K$5,".",IF(A3272=".",1,A3272+1))</f>
        <v>.</v>
      </c>
      <c r="B3273" s="431" t="str">
        <f t="shared" si="51"/>
        <v>Hip Replacement RevisionProviderAIREDALE NHS FOUNDATION TRUST (RCF)EQ-5D Index</v>
      </c>
      <c r="C3273" t="s">
        <v>247</v>
      </c>
      <c r="D3273" t="s">
        <v>1</v>
      </c>
      <c r="E3273" t="s">
        <v>3841</v>
      </c>
      <c r="F3273" t="s">
        <v>3842</v>
      </c>
      <c r="G3273" t="s">
        <v>52</v>
      </c>
      <c r="H3273">
        <v>11</v>
      </c>
      <c r="I3273">
        <v>0.48299999999999998</v>
      </c>
      <c r="J3273">
        <v>0.77500000000000002</v>
      </c>
      <c r="K3273">
        <v>0.29199999999999998</v>
      </c>
      <c r="L3273">
        <v>7</v>
      </c>
      <c r="M3273">
        <v>2</v>
      </c>
      <c r="N3273">
        <v>2</v>
      </c>
      <c r="O3273" t="s">
        <v>53</v>
      </c>
      <c r="P3273" t="s">
        <v>53</v>
      </c>
      <c r="Q3273" t="s">
        <v>53</v>
      </c>
    </row>
    <row r="3274" spans="1:17" x14ac:dyDescent="0.2">
      <c r="A3274" s="30" t="str">
        <f>IF(C3274&amp;G3274&amp;D3274&lt;&gt;'Funnel setup'!$K$3&amp;'Funnel setup'!$K$4&amp;'Funnel setup'!$K$5,".",IF(A3273=".",1,A3273+1))</f>
        <v>.</v>
      </c>
      <c r="B3274" s="431" t="str">
        <f t="shared" si="51"/>
        <v>Hip Replacement RevisionProviderASHFORD AND ST PETER'S HOSPITALS NHS FOUNDATION TRUST (RTK)EQ-5D Index</v>
      </c>
      <c r="C3274" t="s">
        <v>247</v>
      </c>
      <c r="D3274" t="s">
        <v>1</v>
      </c>
      <c r="E3274" t="s">
        <v>3844</v>
      </c>
      <c r="F3274" t="s">
        <v>345</v>
      </c>
      <c r="G3274" t="s">
        <v>52</v>
      </c>
      <c r="H3274">
        <v>14</v>
      </c>
      <c r="I3274">
        <v>0.59799999999999998</v>
      </c>
      <c r="J3274">
        <v>0.71199999999999997</v>
      </c>
      <c r="K3274">
        <v>0.115</v>
      </c>
      <c r="L3274">
        <v>8</v>
      </c>
      <c r="M3274">
        <v>4</v>
      </c>
      <c r="N3274">
        <v>2</v>
      </c>
      <c r="O3274" t="s">
        <v>53</v>
      </c>
      <c r="P3274" t="s">
        <v>53</v>
      </c>
      <c r="Q3274" t="s">
        <v>53</v>
      </c>
    </row>
    <row r="3275" spans="1:17" x14ac:dyDescent="0.2">
      <c r="A3275" s="30" t="str">
        <f>IF(C3275&amp;G3275&amp;D3275&lt;&gt;'Funnel setup'!$K$3&amp;'Funnel setup'!$K$4&amp;'Funnel setup'!$K$5,".",IF(A3274=".",1,A3274+1))</f>
        <v>.</v>
      </c>
      <c r="B3275" s="431" t="str">
        <f t="shared" si="51"/>
        <v>Hip Replacement RevisionProviderASHTEAD HOSPITAL (NVC01)EQ-5D Index</v>
      </c>
      <c r="C3275" t="s">
        <v>247</v>
      </c>
      <c r="D3275" t="s">
        <v>1</v>
      </c>
      <c r="E3275" t="s">
        <v>3846</v>
      </c>
      <c r="F3275" t="s">
        <v>3847</v>
      </c>
      <c r="G3275" t="s">
        <v>52</v>
      </c>
      <c r="H3275" t="s">
        <v>53</v>
      </c>
      <c r="I3275" t="s">
        <v>53</v>
      </c>
      <c r="J3275" t="s">
        <v>53</v>
      </c>
      <c r="K3275" t="s">
        <v>53</v>
      </c>
      <c r="L3275" t="s">
        <v>53</v>
      </c>
      <c r="M3275" t="s">
        <v>53</v>
      </c>
      <c r="N3275" t="s">
        <v>53</v>
      </c>
      <c r="O3275" t="s">
        <v>53</v>
      </c>
      <c r="P3275" t="s">
        <v>53</v>
      </c>
      <c r="Q3275" t="s">
        <v>53</v>
      </c>
    </row>
    <row r="3276" spans="1:17" x14ac:dyDescent="0.2">
      <c r="A3276" s="30" t="str">
        <f>IF(C3276&amp;G3276&amp;D3276&lt;&gt;'Funnel setup'!$K$3&amp;'Funnel setup'!$K$4&amp;'Funnel setup'!$K$5,".",IF(A3275=".",1,A3275+1))</f>
        <v>.</v>
      </c>
      <c r="B3276" s="431" t="str">
        <f t="shared" si="51"/>
        <v>Hip Replacement RevisionProviderASPEN - CLAREMONT HOSPITAL (NYW04)EQ-5D Index</v>
      </c>
      <c r="C3276" t="s">
        <v>247</v>
      </c>
      <c r="D3276" t="s">
        <v>1</v>
      </c>
      <c r="E3276" t="s">
        <v>3500</v>
      </c>
      <c r="F3276" t="s">
        <v>3501</v>
      </c>
      <c r="G3276" t="s">
        <v>52</v>
      </c>
      <c r="H3276" t="s">
        <v>53</v>
      </c>
      <c r="I3276" t="s">
        <v>53</v>
      </c>
      <c r="J3276" t="s">
        <v>53</v>
      </c>
      <c r="K3276" t="s">
        <v>53</v>
      </c>
      <c r="L3276" t="s">
        <v>53</v>
      </c>
      <c r="M3276" t="s">
        <v>53</v>
      </c>
      <c r="N3276" t="s">
        <v>53</v>
      </c>
      <c r="O3276" t="s">
        <v>53</v>
      </c>
      <c r="P3276" t="s">
        <v>53</v>
      </c>
      <c r="Q3276" t="s">
        <v>53</v>
      </c>
    </row>
    <row r="3277" spans="1:17" x14ac:dyDescent="0.2">
      <c r="A3277" s="30" t="str">
        <f>IF(C3277&amp;G3277&amp;D3277&lt;&gt;'Funnel setup'!$K$3&amp;'Funnel setup'!$K$4&amp;'Funnel setup'!$K$5,".",IF(A3276=".",1,A3276+1))</f>
        <v>.</v>
      </c>
      <c r="B3277" s="431" t="str">
        <f t="shared" si="51"/>
        <v>Hip Replacement RevisionProviderBARLBOROUGH NHS TREATMENT CENTRE (NTP13)EQ-5D Index</v>
      </c>
      <c r="C3277" t="s">
        <v>247</v>
      </c>
      <c r="D3277" t="s">
        <v>1</v>
      </c>
      <c r="E3277" t="s">
        <v>4425</v>
      </c>
      <c r="F3277" t="s">
        <v>4426</v>
      </c>
      <c r="G3277" t="s">
        <v>52</v>
      </c>
      <c r="H3277">
        <v>6</v>
      </c>
      <c r="I3277">
        <v>0.28999999999999998</v>
      </c>
      <c r="J3277">
        <v>0.59499999999999997</v>
      </c>
      <c r="K3277">
        <v>0.30499999999999999</v>
      </c>
      <c r="L3277">
        <v>5</v>
      </c>
      <c r="M3277">
        <v>0</v>
      </c>
      <c r="N3277">
        <v>1</v>
      </c>
      <c r="O3277" t="s">
        <v>53</v>
      </c>
      <c r="P3277" t="s">
        <v>53</v>
      </c>
      <c r="Q3277" t="s">
        <v>53</v>
      </c>
    </row>
    <row r="3278" spans="1:17" x14ac:dyDescent="0.2">
      <c r="A3278" s="30" t="str">
        <f>IF(C3278&amp;G3278&amp;D3278&lt;&gt;'Funnel setup'!$K$3&amp;'Funnel setup'!$K$4&amp;'Funnel setup'!$K$5,".",IF(A3277=".",1,A3277+1))</f>
        <v>.</v>
      </c>
      <c r="B3278" s="431" t="str">
        <f t="shared" si="51"/>
        <v>Hip Replacement RevisionProviderBARNSLEY HOSPITAL NHS FOUNDATION TRUST (RFF)EQ-5D Index</v>
      </c>
      <c r="C3278" t="s">
        <v>247</v>
      </c>
      <c r="D3278" t="s">
        <v>1</v>
      </c>
      <c r="E3278" t="s">
        <v>3549</v>
      </c>
      <c r="F3278" t="s">
        <v>3550</v>
      </c>
      <c r="G3278" t="s">
        <v>52</v>
      </c>
      <c r="H3278" t="s">
        <v>53</v>
      </c>
      <c r="I3278" t="s">
        <v>53</v>
      </c>
      <c r="J3278" t="s">
        <v>53</v>
      </c>
      <c r="K3278" t="s">
        <v>53</v>
      </c>
      <c r="L3278" t="s">
        <v>53</v>
      </c>
      <c r="M3278" t="s">
        <v>53</v>
      </c>
      <c r="N3278" t="s">
        <v>53</v>
      </c>
      <c r="O3278" t="s">
        <v>53</v>
      </c>
      <c r="P3278" t="s">
        <v>53</v>
      </c>
      <c r="Q3278" t="s">
        <v>53</v>
      </c>
    </row>
    <row r="3279" spans="1:17" x14ac:dyDescent="0.2">
      <c r="A3279" s="30" t="str">
        <f>IF(C3279&amp;G3279&amp;D3279&lt;&gt;'Funnel setup'!$K$3&amp;'Funnel setup'!$K$4&amp;'Funnel setup'!$K$5,".",IF(A3278=".",1,A3278+1))</f>
        <v>.</v>
      </c>
      <c r="B3279" s="431" t="str">
        <f t="shared" si="51"/>
        <v>Hip Replacement RevisionProviderBARTS HEALTH NHS TRUST (R1H)EQ-5D Index</v>
      </c>
      <c r="C3279" t="s">
        <v>247</v>
      </c>
      <c r="D3279" t="s">
        <v>1</v>
      </c>
      <c r="E3279" t="s">
        <v>3552</v>
      </c>
      <c r="F3279" t="s">
        <v>3553</v>
      </c>
      <c r="G3279" t="s">
        <v>52</v>
      </c>
      <c r="H3279">
        <v>13</v>
      </c>
      <c r="I3279">
        <v>0.152</v>
      </c>
      <c r="J3279">
        <v>0.502</v>
      </c>
      <c r="K3279">
        <v>0.35</v>
      </c>
      <c r="L3279">
        <v>10</v>
      </c>
      <c r="M3279">
        <v>3</v>
      </c>
      <c r="N3279">
        <v>0</v>
      </c>
      <c r="O3279" t="s">
        <v>53</v>
      </c>
      <c r="P3279" t="s">
        <v>53</v>
      </c>
      <c r="Q3279" t="s">
        <v>53</v>
      </c>
    </row>
    <row r="3280" spans="1:17" x14ac:dyDescent="0.2">
      <c r="A3280" s="30" t="str">
        <f>IF(C3280&amp;G3280&amp;D3280&lt;&gt;'Funnel setup'!$K$3&amp;'Funnel setup'!$K$4&amp;'Funnel setup'!$K$5,".",IF(A3279=".",1,A3279+1))</f>
        <v>.</v>
      </c>
      <c r="B3280" s="431" t="str">
        <f t="shared" si="51"/>
        <v>Hip Replacement RevisionProviderBASILDON AND THURROCK UNIVERSITY HOSPITALS NHS FOUNDATION TRUST (RDD)EQ-5D Index</v>
      </c>
      <c r="C3280" t="s">
        <v>247</v>
      </c>
      <c r="D3280" t="s">
        <v>1</v>
      </c>
      <c r="E3280" t="s">
        <v>3555</v>
      </c>
      <c r="F3280" t="s">
        <v>3556</v>
      </c>
      <c r="G3280" t="s">
        <v>52</v>
      </c>
      <c r="H3280">
        <v>9</v>
      </c>
      <c r="I3280">
        <v>0.41899999999999998</v>
      </c>
      <c r="J3280">
        <v>0.59</v>
      </c>
      <c r="K3280">
        <v>0.17100000000000001</v>
      </c>
      <c r="L3280">
        <v>5</v>
      </c>
      <c r="M3280">
        <v>3</v>
      </c>
      <c r="N3280">
        <v>1</v>
      </c>
      <c r="O3280" t="s">
        <v>53</v>
      </c>
      <c r="P3280" t="s">
        <v>53</v>
      </c>
      <c r="Q3280" t="s">
        <v>53</v>
      </c>
    </row>
    <row r="3281" spans="1:17" x14ac:dyDescent="0.2">
      <c r="A3281" s="30" t="str">
        <f>IF(C3281&amp;G3281&amp;D3281&lt;&gt;'Funnel setup'!$K$3&amp;'Funnel setup'!$K$4&amp;'Funnel setup'!$K$5,".",IF(A3280=".",1,A3280+1))</f>
        <v>.</v>
      </c>
      <c r="B3281" s="431" t="str">
        <f t="shared" si="51"/>
        <v>Hip Replacement RevisionProviderBEDFORD HOSPITAL NHS TRUST (RC1)EQ-5D Index</v>
      </c>
      <c r="C3281" t="s">
        <v>247</v>
      </c>
      <c r="D3281" t="s">
        <v>1</v>
      </c>
      <c r="E3281" t="s">
        <v>3558</v>
      </c>
      <c r="F3281" t="s">
        <v>3559</v>
      </c>
      <c r="G3281" t="s">
        <v>52</v>
      </c>
      <c r="H3281">
        <v>6</v>
      </c>
      <c r="I3281">
        <v>0.502</v>
      </c>
      <c r="J3281">
        <v>0.70099999999999996</v>
      </c>
      <c r="K3281">
        <v>0.19800000000000001</v>
      </c>
      <c r="L3281">
        <v>4</v>
      </c>
      <c r="M3281">
        <v>2</v>
      </c>
      <c r="N3281">
        <v>0</v>
      </c>
      <c r="O3281" t="s">
        <v>53</v>
      </c>
      <c r="P3281" t="s">
        <v>53</v>
      </c>
      <c r="Q3281" t="s">
        <v>53</v>
      </c>
    </row>
    <row r="3282" spans="1:17" x14ac:dyDescent="0.2">
      <c r="A3282" s="30" t="str">
        <f>IF(C3282&amp;G3282&amp;D3282&lt;&gt;'Funnel setup'!$K$3&amp;'Funnel setup'!$K$4&amp;'Funnel setup'!$K$5,".",IF(A3281=".",1,A3281+1))</f>
        <v>.</v>
      </c>
      <c r="B3282" s="431" t="str">
        <f t="shared" si="51"/>
        <v>Hip Replacement RevisionProviderBMI - BATH CLINIC (NT402)EQ-5D Index</v>
      </c>
      <c r="C3282" t="s">
        <v>247</v>
      </c>
      <c r="D3282" t="s">
        <v>1</v>
      </c>
      <c r="E3282" t="s">
        <v>3488</v>
      </c>
      <c r="F3282" t="s">
        <v>3489</v>
      </c>
      <c r="G3282" t="s">
        <v>52</v>
      </c>
      <c r="H3282" t="s">
        <v>53</v>
      </c>
      <c r="I3282" t="s">
        <v>53</v>
      </c>
      <c r="J3282" t="s">
        <v>53</v>
      </c>
      <c r="K3282" t="s">
        <v>53</v>
      </c>
      <c r="L3282" t="s">
        <v>53</v>
      </c>
      <c r="M3282" t="s">
        <v>53</v>
      </c>
      <c r="N3282" t="s">
        <v>53</v>
      </c>
      <c r="O3282" t="s">
        <v>53</v>
      </c>
      <c r="P3282" t="s">
        <v>53</v>
      </c>
      <c r="Q3282" t="s">
        <v>53</v>
      </c>
    </row>
    <row r="3283" spans="1:17" x14ac:dyDescent="0.2">
      <c r="A3283" s="30" t="str">
        <f>IF(C3283&amp;G3283&amp;D3283&lt;&gt;'Funnel setup'!$K$3&amp;'Funnel setup'!$K$4&amp;'Funnel setup'!$K$5,".",IF(A3282=".",1,A3282+1))</f>
        <v>.</v>
      </c>
      <c r="B3283" s="431" t="str">
        <f t="shared" si="51"/>
        <v>Hip Replacement RevisionProviderBMI - BISHOPS WOOD (NT405)EQ-5D Index</v>
      </c>
      <c r="C3283" t="s">
        <v>247</v>
      </c>
      <c r="D3283" t="s">
        <v>1</v>
      </c>
      <c r="E3283" t="s">
        <v>3491</v>
      </c>
      <c r="F3283" t="s">
        <v>3492</v>
      </c>
      <c r="G3283" t="s">
        <v>52</v>
      </c>
      <c r="H3283" t="s">
        <v>53</v>
      </c>
      <c r="I3283" t="s">
        <v>53</v>
      </c>
      <c r="J3283" t="s">
        <v>53</v>
      </c>
      <c r="K3283" t="s">
        <v>53</v>
      </c>
      <c r="L3283" t="s">
        <v>53</v>
      </c>
      <c r="M3283" t="s">
        <v>53</v>
      </c>
      <c r="N3283" t="s">
        <v>53</v>
      </c>
      <c r="O3283" t="s">
        <v>53</v>
      </c>
      <c r="P3283" t="s">
        <v>53</v>
      </c>
      <c r="Q3283" t="s">
        <v>53</v>
      </c>
    </row>
    <row r="3284" spans="1:17" x14ac:dyDescent="0.2">
      <c r="A3284" s="30" t="str">
        <f>IF(C3284&amp;G3284&amp;D3284&lt;&gt;'Funnel setup'!$K$3&amp;'Funnel setup'!$K$4&amp;'Funnel setup'!$K$5,".",IF(A3283=".",1,A3283+1))</f>
        <v>.</v>
      </c>
      <c r="B3284" s="431" t="str">
        <f t="shared" si="51"/>
        <v>Hip Replacement RevisionProviderBMI - GORING HALL HOSPITAL (NT417)EQ-5D Index</v>
      </c>
      <c r="C3284" t="s">
        <v>247</v>
      </c>
      <c r="D3284" t="s">
        <v>1</v>
      </c>
      <c r="E3284" t="s">
        <v>3403</v>
      </c>
      <c r="F3284" t="s">
        <v>3404</v>
      </c>
      <c r="G3284" t="s">
        <v>52</v>
      </c>
      <c r="H3284">
        <v>8</v>
      </c>
      <c r="I3284">
        <v>0.438</v>
      </c>
      <c r="J3284">
        <v>0.63700000000000001</v>
      </c>
      <c r="K3284">
        <v>0.2</v>
      </c>
      <c r="L3284">
        <v>5</v>
      </c>
      <c r="M3284">
        <v>0</v>
      </c>
      <c r="N3284">
        <v>3</v>
      </c>
      <c r="O3284" t="s">
        <v>53</v>
      </c>
      <c r="P3284" t="s">
        <v>53</v>
      </c>
      <c r="Q3284" t="s">
        <v>53</v>
      </c>
    </row>
    <row r="3285" spans="1:17" x14ac:dyDescent="0.2">
      <c r="A3285" s="30" t="str">
        <f>IF(C3285&amp;G3285&amp;D3285&lt;&gt;'Funnel setup'!$K$3&amp;'Funnel setup'!$K$4&amp;'Funnel setup'!$K$5,".",IF(A3284=".",1,A3284+1))</f>
        <v>.</v>
      </c>
      <c r="B3285" s="431" t="str">
        <f t="shared" si="51"/>
        <v>Hip Replacement RevisionProviderBMI - THE CHILTERN HOSPITAL (NT410)EQ-5D Index</v>
      </c>
      <c r="C3285" t="s">
        <v>247</v>
      </c>
      <c r="D3285" t="s">
        <v>1</v>
      </c>
      <c r="E3285" t="s">
        <v>3594</v>
      </c>
      <c r="F3285" t="s">
        <v>3595</v>
      </c>
      <c r="G3285" t="s">
        <v>52</v>
      </c>
      <c r="H3285" t="s">
        <v>53</v>
      </c>
      <c r="I3285" t="s">
        <v>53</v>
      </c>
      <c r="J3285" t="s">
        <v>53</v>
      </c>
      <c r="K3285" t="s">
        <v>53</v>
      </c>
      <c r="L3285" t="s">
        <v>53</v>
      </c>
      <c r="M3285" t="s">
        <v>53</v>
      </c>
      <c r="N3285" t="s">
        <v>53</v>
      </c>
      <c r="O3285" t="s">
        <v>53</v>
      </c>
      <c r="P3285" t="s">
        <v>53</v>
      </c>
      <c r="Q3285" t="s">
        <v>53</v>
      </c>
    </row>
    <row r="3286" spans="1:17" x14ac:dyDescent="0.2">
      <c r="A3286" s="30" t="str">
        <f>IF(C3286&amp;G3286&amp;D3286&lt;&gt;'Funnel setup'!$K$3&amp;'Funnel setup'!$K$4&amp;'Funnel setup'!$K$5,".",IF(A3285=".",1,A3285+1))</f>
        <v>.</v>
      </c>
      <c r="B3286" s="431" t="str">
        <f t="shared" si="51"/>
        <v>Hip Replacement RevisionProviderBMI - THE MERIDEN HOSPITAL (NT424)EQ-5D Index</v>
      </c>
      <c r="C3286" t="s">
        <v>247</v>
      </c>
      <c r="D3286" t="s">
        <v>1</v>
      </c>
      <c r="E3286" t="s">
        <v>3283</v>
      </c>
      <c r="F3286" t="s">
        <v>3284</v>
      </c>
      <c r="G3286" t="s">
        <v>52</v>
      </c>
      <c r="H3286" t="s">
        <v>53</v>
      </c>
      <c r="I3286" t="s">
        <v>53</v>
      </c>
      <c r="J3286" t="s">
        <v>53</v>
      </c>
      <c r="K3286" t="s">
        <v>53</v>
      </c>
      <c r="L3286" t="s">
        <v>53</v>
      </c>
      <c r="M3286" t="s">
        <v>53</v>
      </c>
      <c r="N3286" t="s">
        <v>53</v>
      </c>
      <c r="O3286" t="s">
        <v>53</v>
      </c>
      <c r="P3286" t="s">
        <v>53</v>
      </c>
      <c r="Q3286" t="s">
        <v>53</v>
      </c>
    </row>
    <row r="3287" spans="1:17" x14ac:dyDescent="0.2">
      <c r="A3287" s="30" t="str">
        <f>IF(C3287&amp;G3287&amp;D3287&lt;&gt;'Funnel setup'!$K$3&amp;'Funnel setup'!$K$4&amp;'Funnel setup'!$K$5,".",IF(A3286=".",1,A3286+1))</f>
        <v>.</v>
      </c>
      <c r="B3287" s="431" t="str">
        <f t="shared" si="51"/>
        <v>Hip Replacement RevisionProviderBMI - THE RUNNYMEDE HOSPITAL (NT431)EQ-5D Index</v>
      </c>
      <c r="C3287" t="s">
        <v>247</v>
      </c>
      <c r="D3287" t="s">
        <v>1</v>
      </c>
      <c r="E3287" t="s">
        <v>3295</v>
      </c>
      <c r="F3287" t="s">
        <v>3296</v>
      </c>
      <c r="G3287" t="s">
        <v>52</v>
      </c>
      <c r="H3287" t="s">
        <v>53</v>
      </c>
      <c r="I3287" t="s">
        <v>53</v>
      </c>
      <c r="J3287" t="s">
        <v>53</v>
      </c>
      <c r="K3287" t="s">
        <v>53</v>
      </c>
      <c r="L3287" t="s">
        <v>53</v>
      </c>
      <c r="M3287" t="s">
        <v>53</v>
      </c>
      <c r="N3287" t="s">
        <v>53</v>
      </c>
      <c r="O3287" t="s">
        <v>53</v>
      </c>
      <c r="P3287" t="s">
        <v>53</v>
      </c>
      <c r="Q3287" t="s">
        <v>53</v>
      </c>
    </row>
    <row r="3288" spans="1:17" x14ac:dyDescent="0.2">
      <c r="A3288" s="30" t="str">
        <f>IF(C3288&amp;G3288&amp;D3288&lt;&gt;'Funnel setup'!$K$3&amp;'Funnel setup'!$K$4&amp;'Funnel setup'!$K$5,".",IF(A3287=".",1,A3287+1))</f>
        <v>.</v>
      </c>
      <c r="B3288" s="431" t="str">
        <f t="shared" si="51"/>
        <v>Hip Replacement RevisionProviderBMI - THREE SHIRES HOSPITAL (NT441)EQ-5D Index</v>
      </c>
      <c r="C3288" t="s">
        <v>247</v>
      </c>
      <c r="D3288" t="s">
        <v>1</v>
      </c>
      <c r="E3288" t="s">
        <v>3316</v>
      </c>
      <c r="F3288" t="s">
        <v>3317</v>
      </c>
      <c r="G3288" t="s">
        <v>52</v>
      </c>
      <c r="H3288" t="s">
        <v>53</v>
      </c>
      <c r="I3288" t="s">
        <v>53</v>
      </c>
      <c r="J3288" t="s">
        <v>53</v>
      </c>
      <c r="K3288" t="s">
        <v>53</v>
      </c>
      <c r="L3288" t="s">
        <v>53</v>
      </c>
      <c r="M3288" t="s">
        <v>53</v>
      </c>
      <c r="N3288" t="s">
        <v>53</v>
      </c>
      <c r="O3288" t="s">
        <v>53</v>
      </c>
      <c r="P3288" t="s">
        <v>53</v>
      </c>
      <c r="Q3288" t="s">
        <v>53</v>
      </c>
    </row>
    <row r="3289" spans="1:17" x14ac:dyDescent="0.2">
      <c r="A3289" s="30" t="str">
        <f>IF(C3289&amp;G3289&amp;D3289&lt;&gt;'Funnel setup'!$K$3&amp;'Funnel setup'!$K$4&amp;'Funnel setup'!$K$5,".",IF(A3288=".",1,A3288+1))</f>
        <v>.</v>
      </c>
      <c r="B3289" s="431" t="str">
        <f t="shared" si="51"/>
        <v>Hip Replacement RevisionProviderBMI ST EDMUNDS HOSPITAL (NT446)EQ-5D Index</v>
      </c>
      <c r="C3289" t="s">
        <v>247</v>
      </c>
      <c r="D3289" t="s">
        <v>1</v>
      </c>
      <c r="E3289" t="s">
        <v>3328</v>
      </c>
      <c r="F3289" t="s">
        <v>3329</v>
      </c>
      <c r="G3289" t="s">
        <v>52</v>
      </c>
      <c r="H3289" t="s">
        <v>53</v>
      </c>
      <c r="I3289" t="s">
        <v>53</v>
      </c>
      <c r="J3289" t="s">
        <v>53</v>
      </c>
      <c r="K3289" t="s">
        <v>53</v>
      </c>
      <c r="L3289" t="s">
        <v>53</v>
      </c>
      <c r="M3289" t="s">
        <v>53</v>
      </c>
      <c r="N3289" t="s">
        <v>53</v>
      </c>
      <c r="O3289" t="s">
        <v>53</v>
      </c>
      <c r="P3289" t="s">
        <v>53</v>
      </c>
      <c r="Q3289" t="s">
        <v>53</v>
      </c>
    </row>
    <row r="3290" spans="1:17" x14ac:dyDescent="0.2">
      <c r="A3290" s="30" t="str">
        <f>IF(C3290&amp;G3290&amp;D3290&lt;&gt;'Funnel setup'!$K$3&amp;'Funnel setup'!$K$4&amp;'Funnel setup'!$K$5,".",IF(A3289=".",1,A3289+1))</f>
        <v>.</v>
      </c>
      <c r="B3290" s="431" t="str">
        <f t="shared" si="51"/>
        <v>Hip Replacement RevisionProviderBMI THE CAVELL HOSPITAL (NT451)EQ-5D Index</v>
      </c>
      <c r="C3290" t="s">
        <v>247</v>
      </c>
      <c r="D3290" t="s">
        <v>1</v>
      </c>
      <c r="E3290" t="s">
        <v>3331</v>
      </c>
      <c r="F3290" t="s">
        <v>3332</v>
      </c>
      <c r="G3290" t="s">
        <v>52</v>
      </c>
      <c r="H3290" t="s">
        <v>53</v>
      </c>
      <c r="I3290" t="s">
        <v>53</v>
      </c>
      <c r="J3290" t="s">
        <v>53</v>
      </c>
      <c r="K3290" t="s">
        <v>53</v>
      </c>
      <c r="L3290" t="s">
        <v>53</v>
      </c>
      <c r="M3290" t="s">
        <v>53</v>
      </c>
      <c r="N3290" t="s">
        <v>53</v>
      </c>
      <c r="O3290" t="s">
        <v>53</v>
      </c>
      <c r="P3290" t="s">
        <v>53</v>
      </c>
      <c r="Q3290" t="s">
        <v>53</v>
      </c>
    </row>
    <row r="3291" spans="1:17" x14ac:dyDescent="0.2">
      <c r="A3291" s="30" t="str">
        <f>IF(C3291&amp;G3291&amp;D3291&lt;&gt;'Funnel setup'!$K$3&amp;'Funnel setup'!$K$4&amp;'Funnel setup'!$K$5,".",IF(A3290=".",1,A3290+1))</f>
        <v>.</v>
      </c>
      <c r="B3291" s="431" t="str">
        <f t="shared" si="51"/>
        <v>Hip Replacement RevisionProviderBMI WOODLANDS HOSPITAL (NT457)EQ-5D Index</v>
      </c>
      <c r="C3291" t="s">
        <v>247</v>
      </c>
      <c r="D3291" t="s">
        <v>1</v>
      </c>
      <c r="E3291" t="s">
        <v>3355</v>
      </c>
      <c r="F3291" t="s">
        <v>3356</v>
      </c>
      <c r="G3291" t="s">
        <v>52</v>
      </c>
      <c r="H3291" t="s">
        <v>53</v>
      </c>
      <c r="I3291" t="s">
        <v>53</v>
      </c>
      <c r="J3291" t="s">
        <v>53</v>
      </c>
      <c r="K3291" t="s">
        <v>53</v>
      </c>
      <c r="L3291" t="s">
        <v>53</v>
      </c>
      <c r="M3291" t="s">
        <v>53</v>
      </c>
      <c r="N3291" t="s">
        <v>53</v>
      </c>
      <c r="O3291" t="s">
        <v>53</v>
      </c>
      <c r="P3291" t="s">
        <v>53</v>
      </c>
      <c r="Q3291" t="s">
        <v>53</v>
      </c>
    </row>
    <row r="3292" spans="1:17" x14ac:dyDescent="0.2">
      <c r="A3292" s="30" t="str">
        <f>IF(C3292&amp;G3292&amp;D3292&lt;&gt;'Funnel setup'!$K$3&amp;'Funnel setup'!$K$4&amp;'Funnel setup'!$K$5,".",IF(A3291=".",1,A3291+1))</f>
        <v>.</v>
      </c>
      <c r="B3292" s="431" t="str">
        <f t="shared" si="51"/>
        <v>Hip Replacement RevisionProviderBOLTON NHS FOUNDATION TRUST (RMC)EQ-5D Index</v>
      </c>
      <c r="C3292" t="s">
        <v>247</v>
      </c>
      <c r="D3292" t="s">
        <v>1</v>
      </c>
      <c r="E3292" t="s">
        <v>3358</v>
      </c>
      <c r="F3292" t="s">
        <v>3359</v>
      </c>
      <c r="G3292" t="s">
        <v>52</v>
      </c>
      <c r="H3292" t="s">
        <v>53</v>
      </c>
      <c r="I3292" t="s">
        <v>53</v>
      </c>
      <c r="J3292" t="s">
        <v>53</v>
      </c>
      <c r="K3292" t="s">
        <v>53</v>
      </c>
      <c r="L3292" t="s">
        <v>53</v>
      </c>
      <c r="M3292" t="s">
        <v>53</v>
      </c>
      <c r="N3292" t="s">
        <v>53</v>
      </c>
      <c r="O3292" t="s">
        <v>53</v>
      </c>
      <c r="P3292" t="s">
        <v>53</v>
      </c>
      <c r="Q3292" t="s">
        <v>53</v>
      </c>
    </row>
    <row r="3293" spans="1:17" x14ac:dyDescent="0.2">
      <c r="A3293" s="30" t="str">
        <f>IF(C3293&amp;G3293&amp;D3293&lt;&gt;'Funnel setup'!$K$3&amp;'Funnel setup'!$K$4&amp;'Funnel setup'!$K$5,".",IF(A3292=".",1,A3292+1))</f>
        <v>.</v>
      </c>
      <c r="B3293" s="431" t="str">
        <f t="shared" si="51"/>
        <v>Hip Replacement RevisionProviderBRADFORD TEACHING HOSPITALS NHS FOUNDATION TRUST (RAE)EQ-5D Index</v>
      </c>
      <c r="C3293" t="s">
        <v>247</v>
      </c>
      <c r="D3293" t="s">
        <v>1</v>
      </c>
      <c r="E3293" t="s">
        <v>3361</v>
      </c>
      <c r="F3293" t="s">
        <v>3362</v>
      </c>
      <c r="G3293" t="s">
        <v>52</v>
      </c>
      <c r="H3293">
        <v>7</v>
      </c>
      <c r="I3293">
        <v>0.36</v>
      </c>
      <c r="J3293">
        <v>0.76900000000000002</v>
      </c>
      <c r="K3293">
        <v>0.40899999999999997</v>
      </c>
      <c r="L3293">
        <v>6</v>
      </c>
      <c r="M3293">
        <v>1</v>
      </c>
      <c r="N3293">
        <v>0</v>
      </c>
      <c r="O3293" t="s">
        <v>53</v>
      </c>
      <c r="P3293" t="s">
        <v>53</v>
      </c>
      <c r="Q3293" t="s">
        <v>53</v>
      </c>
    </row>
    <row r="3294" spans="1:17" x14ac:dyDescent="0.2">
      <c r="A3294" s="30" t="str">
        <f>IF(C3294&amp;G3294&amp;D3294&lt;&gt;'Funnel setup'!$K$3&amp;'Funnel setup'!$K$4&amp;'Funnel setup'!$K$5,".",IF(A3293=".",1,A3293+1))</f>
        <v>.</v>
      </c>
      <c r="B3294" s="431" t="str">
        <f t="shared" si="51"/>
        <v>Hip Replacement RevisionProviderBRIGHTON AND SUSSEX UNIVERSITY HOSPITALS NHS TRUST (RXH)EQ-5D Index</v>
      </c>
      <c r="C3294" t="s">
        <v>247</v>
      </c>
      <c r="D3294" t="s">
        <v>1</v>
      </c>
      <c r="E3294" t="s">
        <v>3367</v>
      </c>
      <c r="F3294" t="s">
        <v>3368</v>
      </c>
      <c r="G3294" t="s">
        <v>52</v>
      </c>
      <c r="H3294">
        <v>18</v>
      </c>
      <c r="I3294">
        <v>0.40500000000000003</v>
      </c>
      <c r="J3294">
        <v>0.65400000000000003</v>
      </c>
      <c r="K3294">
        <v>0.249</v>
      </c>
      <c r="L3294">
        <v>12</v>
      </c>
      <c r="M3294">
        <v>3</v>
      </c>
      <c r="N3294">
        <v>3</v>
      </c>
      <c r="O3294" t="s">
        <v>53</v>
      </c>
      <c r="P3294" t="s">
        <v>53</v>
      </c>
      <c r="Q3294" t="s">
        <v>53</v>
      </c>
    </row>
    <row r="3295" spans="1:17" x14ac:dyDescent="0.2">
      <c r="A3295" s="30" t="str">
        <f>IF(C3295&amp;G3295&amp;D3295&lt;&gt;'Funnel setup'!$K$3&amp;'Funnel setup'!$K$4&amp;'Funnel setup'!$K$5,".",IF(A3294=".",1,A3294+1))</f>
        <v>.</v>
      </c>
      <c r="B3295" s="431" t="str">
        <f t="shared" si="51"/>
        <v>Hip Replacement RevisionProviderBUCKINGHAMSHIRE HEALTHCARE NHS TRUST (RXQ)EQ-5D Index</v>
      </c>
      <c r="C3295" t="s">
        <v>247</v>
      </c>
      <c r="D3295" t="s">
        <v>1</v>
      </c>
      <c r="E3295" t="s">
        <v>3370</v>
      </c>
      <c r="F3295" t="s">
        <v>3371</v>
      </c>
      <c r="G3295" t="s">
        <v>52</v>
      </c>
      <c r="H3295">
        <v>9</v>
      </c>
      <c r="I3295">
        <v>0.217</v>
      </c>
      <c r="J3295">
        <v>0.72899999999999998</v>
      </c>
      <c r="K3295">
        <v>0.51200000000000001</v>
      </c>
      <c r="L3295">
        <v>7</v>
      </c>
      <c r="M3295">
        <v>2</v>
      </c>
      <c r="N3295">
        <v>0</v>
      </c>
      <c r="O3295" t="s">
        <v>53</v>
      </c>
      <c r="P3295" t="s">
        <v>53</v>
      </c>
      <c r="Q3295" t="s">
        <v>53</v>
      </c>
    </row>
    <row r="3296" spans="1:17" x14ac:dyDescent="0.2">
      <c r="A3296" s="30" t="str">
        <f>IF(C3296&amp;G3296&amp;D3296&lt;&gt;'Funnel setup'!$K$3&amp;'Funnel setup'!$K$4&amp;'Funnel setup'!$K$5,".",IF(A3295=".",1,A3295+1))</f>
        <v>.</v>
      </c>
      <c r="B3296" s="431" t="str">
        <f t="shared" si="51"/>
        <v>Hip Replacement RevisionProviderBURTON HOSPITALS NHS FOUNDATION TRUST (RJF)EQ-5D Index</v>
      </c>
      <c r="C3296" t="s">
        <v>247</v>
      </c>
      <c r="D3296" t="s">
        <v>1</v>
      </c>
      <c r="E3296" t="s">
        <v>3373</v>
      </c>
      <c r="F3296" t="s">
        <v>3374</v>
      </c>
      <c r="G3296" t="s">
        <v>52</v>
      </c>
      <c r="H3296" t="s">
        <v>53</v>
      </c>
      <c r="I3296" t="s">
        <v>53</v>
      </c>
      <c r="J3296" t="s">
        <v>53</v>
      </c>
      <c r="K3296" t="s">
        <v>53</v>
      </c>
      <c r="L3296" t="s">
        <v>53</v>
      </c>
      <c r="M3296" t="s">
        <v>53</v>
      </c>
      <c r="N3296" t="s">
        <v>53</v>
      </c>
      <c r="O3296" t="s">
        <v>53</v>
      </c>
      <c r="P3296" t="s">
        <v>53</v>
      </c>
      <c r="Q3296" t="s">
        <v>53</v>
      </c>
    </row>
    <row r="3297" spans="1:17" x14ac:dyDescent="0.2">
      <c r="A3297" s="30" t="str">
        <f>IF(C3297&amp;G3297&amp;D3297&lt;&gt;'Funnel setup'!$K$3&amp;'Funnel setup'!$K$4&amp;'Funnel setup'!$K$5,".",IF(A3296=".",1,A3296+1))</f>
        <v>.</v>
      </c>
      <c r="B3297" s="431" t="str">
        <f t="shared" si="51"/>
        <v>Hip Replacement RevisionProviderCALDERDALE AND HUDDERSFIELD NHS FOUNDATION TRUST (RWY)EQ-5D Index</v>
      </c>
      <c r="C3297" t="s">
        <v>247</v>
      </c>
      <c r="D3297" t="s">
        <v>1</v>
      </c>
      <c r="E3297" t="s">
        <v>3379</v>
      </c>
      <c r="F3297" t="s">
        <v>3380</v>
      </c>
      <c r="G3297" t="s">
        <v>52</v>
      </c>
      <c r="H3297">
        <v>29</v>
      </c>
      <c r="I3297">
        <v>0.52100000000000002</v>
      </c>
      <c r="J3297">
        <v>0.77500000000000002</v>
      </c>
      <c r="K3297">
        <v>0.254</v>
      </c>
      <c r="L3297">
        <v>21</v>
      </c>
      <c r="M3297">
        <v>3</v>
      </c>
      <c r="N3297">
        <v>5</v>
      </c>
      <c r="O3297" t="s">
        <v>53</v>
      </c>
      <c r="P3297" t="s">
        <v>53</v>
      </c>
      <c r="Q3297" t="s">
        <v>53</v>
      </c>
    </row>
    <row r="3298" spans="1:17" x14ac:dyDescent="0.2">
      <c r="A3298" s="30" t="str">
        <f>IF(C3298&amp;G3298&amp;D3298&lt;&gt;'Funnel setup'!$K$3&amp;'Funnel setup'!$K$4&amp;'Funnel setup'!$K$5,".",IF(A3297=".",1,A3297+1))</f>
        <v>.</v>
      </c>
      <c r="B3298" s="431" t="str">
        <f t="shared" si="51"/>
        <v>Hip Replacement RevisionProviderCAMBRIDGE UNIVERSITY HOSPITALS NHS FOUNDATION TRUST (RGT)EQ-5D Index</v>
      </c>
      <c r="C3298" t="s">
        <v>247</v>
      </c>
      <c r="D3298" t="s">
        <v>1</v>
      </c>
      <c r="E3298" t="s">
        <v>3076</v>
      </c>
      <c r="F3298" t="s">
        <v>3077</v>
      </c>
      <c r="G3298" t="s">
        <v>52</v>
      </c>
      <c r="H3298">
        <v>16</v>
      </c>
      <c r="I3298">
        <v>0.34899999999999998</v>
      </c>
      <c r="J3298">
        <v>0.66900000000000004</v>
      </c>
      <c r="K3298">
        <v>0.32</v>
      </c>
      <c r="L3298">
        <v>13</v>
      </c>
      <c r="M3298">
        <v>0</v>
      </c>
      <c r="N3298">
        <v>3</v>
      </c>
      <c r="O3298" t="s">
        <v>53</v>
      </c>
      <c r="P3298" t="s">
        <v>53</v>
      </c>
      <c r="Q3298" t="s">
        <v>53</v>
      </c>
    </row>
    <row r="3299" spans="1:17" x14ac:dyDescent="0.2">
      <c r="A3299" s="30" t="str">
        <f>IF(C3299&amp;G3299&amp;D3299&lt;&gt;'Funnel setup'!$K$3&amp;'Funnel setup'!$K$4&amp;'Funnel setup'!$K$5,".",IF(A3298=".",1,A3298+1))</f>
        <v>.</v>
      </c>
      <c r="B3299" s="431" t="str">
        <f t="shared" si="51"/>
        <v>Hip Replacement RevisionProviderCENTRAL MANCHESTER UNIVERSITY HOSPITALS NHS FOUNDATION TRUST (RW3)EQ-5D Index</v>
      </c>
      <c r="C3299" t="s">
        <v>247</v>
      </c>
      <c r="D3299" t="s">
        <v>1</v>
      </c>
      <c r="E3299" t="s">
        <v>3079</v>
      </c>
      <c r="F3299" t="s">
        <v>3080</v>
      </c>
      <c r="G3299" t="s">
        <v>52</v>
      </c>
      <c r="H3299" t="s">
        <v>53</v>
      </c>
      <c r="I3299" t="s">
        <v>53</v>
      </c>
      <c r="J3299" t="s">
        <v>53</v>
      </c>
      <c r="K3299" t="s">
        <v>53</v>
      </c>
      <c r="L3299" t="s">
        <v>53</v>
      </c>
      <c r="M3299" t="s">
        <v>53</v>
      </c>
      <c r="N3299" t="s">
        <v>53</v>
      </c>
      <c r="O3299" t="s">
        <v>53</v>
      </c>
      <c r="P3299" t="s">
        <v>53</v>
      </c>
      <c r="Q3299" t="s">
        <v>53</v>
      </c>
    </row>
    <row r="3300" spans="1:17" x14ac:dyDescent="0.2">
      <c r="A3300" s="30" t="str">
        <f>IF(C3300&amp;G3300&amp;D3300&lt;&gt;'Funnel setup'!$K$3&amp;'Funnel setup'!$K$4&amp;'Funnel setup'!$K$5,".",IF(A3299=".",1,A3299+1))</f>
        <v>.</v>
      </c>
      <c r="B3300" s="431" t="str">
        <f t="shared" si="51"/>
        <v>Hip Replacement RevisionProviderCHELSEA AND WESTMINSTER HOSPITAL NHS FOUNDATION TRUST (RQM)EQ-5D Index</v>
      </c>
      <c r="C3300" t="s">
        <v>247</v>
      </c>
      <c r="D3300" t="s">
        <v>1</v>
      </c>
      <c r="E3300" t="s">
        <v>3082</v>
      </c>
      <c r="F3300" t="s">
        <v>3083</v>
      </c>
      <c r="G3300" t="s">
        <v>52</v>
      </c>
      <c r="H3300" t="s">
        <v>53</v>
      </c>
      <c r="I3300" t="s">
        <v>53</v>
      </c>
      <c r="J3300" t="s">
        <v>53</v>
      </c>
      <c r="K3300" t="s">
        <v>53</v>
      </c>
      <c r="L3300" t="s">
        <v>53</v>
      </c>
      <c r="M3300" t="s">
        <v>53</v>
      </c>
      <c r="N3300" t="s">
        <v>53</v>
      </c>
      <c r="O3300" t="s">
        <v>53</v>
      </c>
      <c r="P3300" t="s">
        <v>53</v>
      </c>
      <c r="Q3300" t="s">
        <v>53</v>
      </c>
    </row>
    <row r="3301" spans="1:17" x14ac:dyDescent="0.2">
      <c r="A3301" s="30" t="str">
        <f>IF(C3301&amp;G3301&amp;D3301&lt;&gt;'Funnel setup'!$K$3&amp;'Funnel setup'!$K$4&amp;'Funnel setup'!$K$5,".",IF(A3300=".",1,A3300+1))</f>
        <v>.</v>
      </c>
      <c r="B3301" s="431" t="str">
        <f t="shared" si="51"/>
        <v>Hip Replacement RevisionProviderCHESTERFIELD ROYAL HOSPITAL NHS FOUNDATION TRUST (RFS)EQ-5D Index</v>
      </c>
      <c r="C3301" t="s">
        <v>247</v>
      </c>
      <c r="D3301" t="s">
        <v>1</v>
      </c>
      <c r="E3301" t="s">
        <v>3085</v>
      </c>
      <c r="F3301" t="s">
        <v>3086</v>
      </c>
      <c r="G3301" t="s">
        <v>52</v>
      </c>
      <c r="H3301">
        <v>10</v>
      </c>
      <c r="I3301">
        <v>0.375</v>
      </c>
      <c r="J3301">
        <v>0.54800000000000004</v>
      </c>
      <c r="K3301">
        <v>0.17299999999999999</v>
      </c>
      <c r="L3301">
        <v>5</v>
      </c>
      <c r="M3301">
        <v>2</v>
      </c>
      <c r="N3301">
        <v>3</v>
      </c>
      <c r="O3301" t="s">
        <v>53</v>
      </c>
      <c r="P3301" t="s">
        <v>53</v>
      </c>
      <c r="Q3301" t="s">
        <v>53</v>
      </c>
    </row>
    <row r="3302" spans="1:17" x14ac:dyDescent="0.2">
      <c r="A3302" s="30" t="str">
        <f>IF(C3302&amp;G3302&amp;D3302&lt;&gt;'Funnel setup'!$K$3&amp;'Funnel setup'!$K$4&amp;'Funnel setup'!$K$5,".",IF(A3301=".",1,A3301+1))</f>
        <v>.</v>
      </c>
      <c r="B3302" s="431" t="str">
        <f t="shared" si="51"/>
        <v>Hip Replacement RevisionProviderCIRCLE BATH HOSPITAL (NV302)EQ-5D Index</v>
      </c>
      <c r="C3302" t="s">
        <v>247</v>
      </c>
      <c r="D3302" t="s">
        <v>1</v>
      </c>
      <c r="E3302" t="s">
        <v>3097</v>
      </c>
      <c r="F3302" t="s">
        <v>3098</v>
      </c>
      <c r="G3302" t="s">
        <v>52</v>
      </c>
      <c r="H3302">
        <v>8</v>
      </c>
      <c r="I3302">
        <v>0.55500000000000005</v>
      </c>
      <c r="J3302">
        <v>0.85599999999999998</v>
      </c>
      <c r="K3302">
        <v>0.30099999999999999</v>
      </c>
      <c r="L3302">
        <v>6</v>
      </c>
      <c r="M3302">
        <v>2</v>
      </c>
      <c r="N3302">
        <v>0</v>
      </c>
      <c r="O3302" t="s">
        <v>53</v>
      </c>
      <c r="P3302" t="s">
        <v>53</v>
      </c>
      <c r="Q3302" t="s">
        <v>53</v>
      </c>
    </row>
    <row r="3303" spans="1:17" x14ac:dyDescent="0.2">
      <c r="A3303" s="30" t="str">
        <f>IF(C3303&amp;G3303&amp;D3303&lt;&gt;'Funnel setup'!$K$3&amp;'Funnel setup'!$K$4&amp;'Funnel setup'!$K$5,".",IF(A3302=".",1,A3302+1))</f>
        <v>.</v>
      </c>
      <c r="B3303" s="431" t="str">
        <f t="shared" si="51"/>
        <v>Hip Replacement RevisionProviderCIRCLE READING HOSPITAL (NV323)EQ-5D Index</v>
      </c>
      <c r="C3303" t="s">
        <v>247</v>
      </c>
      <c r="D3303" t="s">
        <v>1</v>
      </c>
      <c r="E3303" t="s">
        <v>3091</v>
      </c>
      <c r="F3303" t="s">
        <v>3092</v>
      </c>
      <c r="G3303" t="s">
        <v>52</v>
      </c>
      <c r="H3303" t="s">
        <v>53</v>
      </c>
      <c r="I3303" t="s">
        <v>53</v>
      </c>
      <c r="J3303" t="s">
        <v>53</v>
      </c>
      <c r="K3303" t="s">
        <v>53</v>
      </c>
      <c r="L3303" t="s">
        <v>53</v>
      </c>
      <c r="M3303" t="s">
        <v>53</v>
      </c>
      <c r="N3303" t="s">
        <v>53</v>
      </c>
      <c r="O3303" t="s">
        <v>53</v>
      </c>
      <c r="P3303" t="s">
        <v>53</v>
      </c>
      <c r="Q3303" t="s">
        <v>53</v>
      </c>
    </row>
    <row r="3304" spans="1:17" x14ac:dyDescent="0.2">
      <c r="A3304" s="30" t="str">
        <f>IF(C3304&amp;G3304&amp;D3304&lt;&gt;'Funnel setup'!$K$3&amp;'Funnel setup'!$K$4&amp;'Funnel setup'!$K$5,".",IF(A3303=".",1,A3303+1))</f>
        <v>.</v>
      </c>
      <c r="B3304" s="431" t="str">
        <f t="shared" si="51"/>
        <v>Hip Replacement RevisionProviderCITY HOSPITALS SUNDERLAND NHS FOUNDATION TRUST (RLN)EQ-5D Index</v>
      </c>
      <c r="C3304" t="s">
        <v>247</v>
      </c>
      <c r="D3304" t="s">
        <v>1</v>
      </c>
      <c r="E3304" t="s">
        <v>3100</v>
      </c>
      <c r="F3304" t="s">
        <v>3101</v>
      </c>
      <c r="G3304" t="s">
        <v>52</v>
      </c>
      <c r="H3304">
        <v>11</v>
      </c>
      <c r="I3304">
        <v>0.216</v>
      </c>
      <c r="J3304">
        <v>0.59199999999999997</v>
      </c>
      <c r="K3304">
        <v>0.376</v>
      </c>
      <c r="L3304">
        <v>8</v>
      </c>
      <c r="M3304">
        <v>3</v>
      </c>
      <c r="N3304">
        <v>0</v>
      </c>
      <c r="O3304" t="s">
        <v>53</v>
      </c>
      <c r="P3304" t="s">
        <v>53</v>
      </c>
      <c r="Q3304" t="s">
        <v>53</v>
      </c>
    </row>
    <row r="3305" spans="1:17" x14ac:dyDescent="0.2">
      <c r="A3305" s="30" t="str">
        <f>IF(C3305&amp;G3305&amp;D3305&lt;&gt;'Funnel setup'!$K$3&amp;'Funnel setup'!$K$4&amp;'Funnel setup'!$K$5,".",IF(A3304=".",1,A3304+1))</f>
        <v>.</v>
      </c>
      <c r="B3305" s="431" t="str">
        <f t="shared" si="51"/>
        <v>Hip Replacement RevisionProviderCLIFTON PARK HOSPITAL (NVC28)EQ-5D Index</v>
      </c>
      <c r="C3305" t="s">
        <v>247</v>
      </c>
      <c r="D3305" t="s">
        <v>1</v>
      </c>
      <c r="E3305" t="s">
        <v>4229</v>
      </c>
      <c r="F3305" t="s">
        <v>4230</v>
      </c>
      <c r="G3305" t="s">
        <v>52</v>
      </c>
      <c r="H3305">
        <v>11</v>
      </c>
      <c r="I3305">
        <v>0.55000000000000004</v>
      </c>
      <c r="J3305">
        <v>0.82199999999999995</v>
      </c>
      <c r="K3305">
        <v>0.27200000000000002</v>
      </c>
      <c r="L3305">
        <v>10</v>
      </c>
      <c r="M3305">
        <v>1</v>
      </c>
      <c r="N3305">
        <v>0</v>
      </c>
      <c r="O3305" t="s">
        <v>53</v>
      </c>
      <c r="P3305" t="s">
        <v>53</v>
      </c>
      <c r="Q3305" t="s">
        <v>53</v>
      </c>
    </row>
    <row r="3306" spans="1:17" x14ac:dyDescent="0.2">
      <c r="A3306" s="30" t="str">
        <f>IF(C3306&amp;G3306&amp;D3306&lt;&gt;'Funnel setup'!$K$3&amp;'Funnel setup'!$K$4&amp;'Funnel setup'!$K$5,".",IF(A3305=".",1,A3305+1))</f>
        <v>.</v>
      </c>
      <c r="B3306" s="431" t="str">
        <f t="shared" si="51"/>
        <v>Hip Replacement RevisionProviderCOLCHESTER HOSPITAL UNIVERSITY NHS FOUNDATION TRUST (RDE)EQ-5D Index</v>
      </c>
      <c r="C3306" t="s">
        <v>247</v>
      </c>
      <c r="D3306" t="s">
        <v>1</v>
      </c>
      <c r="E3306" t="s">
        <v>3109</v>
      </c>
      <c r="F3306" t="s">
        <v>3110</v>
      </c>
      <c r="G3306" t="s">
        <v>52</v>
      </c>
      <c r="H3306">
        <v>22</v>
      </c>
      <c r="I3306">
        <v>0.39</v>
      </c>
      <c r="J3306">
        <v>0.71799999999999997</v>
      </c>
      <c r="K3306">
        <v>0.32900000000000001</v>
      </c>
      <c r="L3306">
        <v>20</v>
      </c>
      <c r="M3306">
        <v>1</v>
      </c>
      <c r="N3306">
        <v>1</v>
      </c>
      <c r="O3306" t="s">
        <v>53</v>
      </c>
      <c r="P3306" t="s">
        <v>53</v>
      </c>
      <c r="Q3306" t="s">
        <v>53</v>
      </c>
    </row>
    <row r="3307" spans="1:17" x14ac:dyDescent="0.2">
      <c r="A3307" s="30" t="str">
        <f>IF(C3307&amp;G3307&amp;D3307&lt;&gt;'Funnel setup'!$K$3&amp;'Funnel setup'!$K$4&amp;'Funnel setup'!$K$5,".",IF(A3306=".",1,A3306+1))</f>
        <v>.</v>
      </c>
      <c r="B3307" s="431" t="str">
        <f t="shared" si="51"/>
        <v>Hip Replacement RevisionProviderCOUNTESS OF CHESTER HOSPITAL NHS FOUNDATION TRUST (RJR)EQ-5D Index</v>
      </c>
      <c r="C3307" t="s">
        <v>247</v>
      </c>
      <c r="D3307" t="s">
        <v>1</v>
      </c>
      <c r="E3307" t="s">
        <v>3781</v>
      </c>
      <c r="F3307" t="s">
        <v>3782</v>
      </c>
      <c r="G3307" t="s">
        <v>52</v>
      </c>
      <c r="H3307" t="s">
        <v>53</v>
      </c>
      <c r="I3307" t="s">
        <v>53</v>
      </c>
      <c r="J3307" t="s">
        <v>53</v>
      </c>
      <c r="K3307" t="s">
        <v>53</v>
      </c>
      <c r="L3307" t="s">
        <v>53</v>
      </c>
      <c r="M3307" t="s">
        <v>53</v>
      </c>
      <c r="N3307" t="s">
        <v>53</v>
      </c>
      <c r="O3307" t="s">
        <v>53</v>
      </c>
      <c r="P3307" t="s">
        <v>53</v>
      </c>
      <c r="Q3307" t="s">
        <v>53</v>
      </c>
    </row>
    <row r="3308" spans="1:17" x14ac:dyDescent="0.2">
      <c r="A3308" s="30" t="str">
        <f>IF(C3308&amp;G3308&amp;D3308&lt;&gt;'Funnel setup'!$K$3&amp;'Funnel setup'!$K$4&amp;'Funnel setup'!$K$5,".",IF(A3307=".",1,A3307+1))</f>
        <v>.</v>
      </c>
      <c r="B3308" s="431" t="str">
        <f t="shared" si="51"/>
        <v>Hip Replacement RevisionProviderCOUNTY DURHAM AND DARLINGTON NHS FOUNDATION TRUST (RXP)EQ-5D Index</v>
      </c>
      <c r="C3308" t="s">
        <v>247</v>
      </c>
      <c r="D3308" t="s">
        <v>1</v>
      </c>
      <c r="E3308" t="s">
        <v>3784</v>
      </c>
      <c r="F3308" t="s">
        <v>3785</v>
      </c>
      <c r="G3308" t="s">
        <v>52</v>
      </c>
      <c r="H3308">
        <v>16</v>
      </c>
      <c r="I3308">
        <v>0.27500000000000002</v>
      </c>
      <c r="J3308">
        <v>0.622</v>
      </c>
      <c r="K3308">
        <v>0.34699999999999998</v>
      </c>
      <c r="L3308">
        <v>13</v>
      </c>
      <c r="M3308">
        <v>1</v>
      </c>
      <c r="N3308">
        <v>2</v>
      </c>
      <c r="O3308" t="s">
        <v>53</v>
      </c>
      <c r="P3308" t="s">
        <v>53</v>
      </c>
      <c r="Q3308" t="s">
        <v>53</v>
      </c>
    </row>
    <row r="3309" spans="1:17" x14ac:dyDescent="0.2">
      <c r="A3309" s="30" t="str">
        <f>IF(C3309&amp;G3309&amp;D3309&lt;&gt;'Funnel setup'!$K$3&amp;'Funnel setup'!$K$4&amp;'Funnel setup'!$K$5,".",IF(A3308=".",1,A3308+1))</f>
        <v>.</v>
      </c>
      <c r="B3309" s="431" t="str">
        <f t="shared" si="51"/>
        <v>Hip Replacement RevisionProviderDARTFORD AND GRAVESHAM NHS TRUST (RN7)EQ-5D Index</v>
      </c>
      <c r="C3309" t="s">
        <v>247</v>
      </c>
      <c r="D3309" t="s">
        <v>1</v>
      </c>
      <c r="E3309" t="s">
        <v>3787</v>
      </c>
      <c r="F3309" t="s">
        <v>3788</v>
      </c>
      <c r="G3309" t="s">
        <v>52</v>
      </c>
      <c r="H3309">
        <v>6</v>
      </c>
      <c r="I3309">
        <v>0.42299999999999999</v>
      </c>
      <c r="J3309">
        <v>0.67600000000000005</v>
      </c>
      <c r="K3309">
        <v>0.253</v>
      </c>
      <c r="L3309">
        <v>5</v>
      </c>
      <c r="M3309">
        <v>0</v>
      </c>
      <c r="N3309">
        <v>1</v>
      </c>
      <c r="O3309" t="s">
        <v>53</v>
      </c>
      <c r="P3309" t="s">
        <v>53</v>
      </c>
      <c r="Q3309" t="s">
        <v>53</v>
      </c>
    </row>
    <row r="3310" spans="1:17" x14ac:dyDescent="0.2">
      <c r="A3310" s="30" t="str">
        <f>IF(C3310&amp;G3310&amp;D3310&lt;&gt;'Funnel setup'!$K$3&amp;'Funnel setup'!$K$4&amp;'Funnel setup'!$K$5,".",IF(A3309=".",1,A3309+1))</f>
        <v>.</v>
      </c>
      <c r="B3310" s="431" t="str">
        <f t="shared" si="51"/>
        <v>Hip Replacement RevisionProviderDERBY TEACHING HOSPITALS NHS FOUNDATION TRUST (RTG)EQ-5D Index</v>
      </c>
      <c r="C3310" t="s">
        <v>247</v>
      </c>
      <c r="D3310" t="s">
        <v>1</v>
      </c>
      <c r="E3310" t="s">
        <v>3790</v>
      </c>
      <c r="F3310" t="s">
        <v>3791</v>
      </c>
      <c r="G3310" t="s">
        <v>52</v>
      </c>
      <c r="H3310">
        <v>29</v>
      </c>
      <c r="I3310">
        <v>0.47499999999999998</v>
      </c>
      <c r="J3310">
        <v>0.65500000000000003</v>
      </c>
      <c r="K3310">
        <v>0.18</v>
      </c>
      <c r="L3310">
        <v>19</v>
      </c>
      <c r="M3310">
        <v>4</v>
      </c>
      <c r="N3310">
        <v>6</v>
      </c>
      <c r="O3310" t="s">
        <v>53</v>
      </c>
      <c r="P3310" t="s">
        <v>53</v>
      </c>
      <c r="Q3310" t="s">
        <v>53</v>
      </c>
    </row>
    <row r="3311" spans="1:17" x14ac:dyDescent="0.2">
      <c r="A3311" s="30" t="str">
        <f>IF(C3311&amp;G3311&amp;D3311&lt;&gt;'Funnel setup'!$K$3&amp;'Funnel setup'!$K$4&amp;'Funnel setup'!$K$5,".",IF(A3310=".",1,A3310+1))</f>
        <v>.</v>
      </c>
      <c r="B3311" s="431" t="str">
        <f t="shared" si="51"/>
        <v>Hip Replacement RevisionProviderDONCASTER AND BASSETLAW HOSPITALS NHS FOUNDATION TRUST (RP5)EQ-5D Index</v>
      </c>
      <c r="C3311" t="s">
        <v>247</v>
      </c>
      <c r="D3311" t="s">
        <v>1</v>
      </c>
      <c r="E3311" t="s">
        <v>3799</v>
      </c>
      <c r="F3311" t="s">
        <v>3800</v>
      </c>
      <c r="G3311" t="s">
        <v>52</v>
      </c>
      <c r="H3311">
        <v>20</v>
      </c>
      <c r="I3311">
        <v>0.36799999999999999</v>
      </c>
      <c r="J3311">
        <v>0.61</v>
      </c>
      <c r="K3311">
        <v>0.24199999999999999</v>
      </c>
      <c r="L3311">
        <v>13</v>
      </c>
      <c r="M3311">
        <v>3</v>
      </c>
      <c r="N3311">
        <v>4</v>
      </c>
      <c r="O3311" t="s">
        <v>53</v>
      </c>
      <c r="P3311" t="s">
        <v>53</v>
      </c>
      <c r="Q3311" t="s">
        <v>53</v>
      </c>
    </row>
    <row r="3312" spans="1:17" x14ac:dyDescent="0.2">
      <c r="A3312" s="30" t="str">
        <f>IF(C3312&amp;G3312&amp;D3312&lt;&gt;'Funnel setup'!$K$3&amp;'Funnel setup'!$K$4&amp;'Funnel setup'!$K$5,".",IF(A3311=".",1,A3311+1))</f>
        <v>.</v>
      </c>
      <c r="B3312" s="431" t="str">
        <f t="shared" si="51"/>
        <v>Hip Replacement RevisionProviderDORSET COUNTY HOSPITAL NHS FOUNDATION TRUST (RBD)EQ-5D Index</v>
      </c>
      <c r="C3312" t="s">
        <v>247</v>
      </c>
      <c r="D3312" t="s">
        <v>1</v>
      </c>
      <c r="E3312" t="s">
        <v>3802</v>
      </c>
      <c r="F3312" t="s">
        <v>3803</v>
      </c>
      <c r="G3312" t="s">
        <v>52</v>
      </c>
      <c r="H3312">
        <v>14</v>
      </c>
      <c r="I3312">
        <v>0.41299999999999998</v>
      </c>
      <c r="J3312">
        <v>0.627</v>
      </c>
      <c r="K3312">
        <v>0.21299999999999999</v>
      </c>
      <c r="L3312">
        <v>12</v>
      </c>
      <c r="M3312">
        <v>1</v>
      </c>
      <c r="N3312">
        <v>1</v>
      </c>
      <c r="O3312" t="s">
        <v>53</v>
      </c>
      <c r="P3312" t="s">
        <v>53</v>
      </c>
      <c r="Q3312" t="s">
        <v>53</v>
      </c>
    </row>
    <row r="3313" spans="1:17" x14ac:dyDescent="0.2">
      <c r="A3313" s="30" t="str">
        <f>IF(C3313&amp;G3313&amp;D3313&lt;&gt;'Funnel setup'!$K$3&amp;'Funnel setup'!$K$4&amp;'Funnel setup'!$K$5,".",IF(A3312=".",1,A3312+1))</f>
        <v>.</v>
      </c>
      <c r="B3313" s="431" t="str">
        <f t="shared" si="51"/>
        <v>Hip Replacement RevisionProviderDUCHY HOSPITAL (NVC04)EQ-5D Index</v>
      </c>
      <c r="C3313" t="s">
        <v>247</v>
      </c>
      <c r="D3313" t="s">
        <v>1</v>
      </c>
      <c r="E3313" t="s">
        <v>4518</v>
      </c>
      <c r="F3313" t="s">
        <v>4519</v>
      </c>
      <c r="G3313" t="s">
        <v>52</v>
      </c>
      <c r="H3313">
        <v>14</v>
      </c>
      <c r="I3313">
        <v>0.60699999999999998</v>
      </c>
      <c r="J3313">
        <v>0.79300000000000004</v>
      </c>
      <c r="K3313">
        <v>0.186</v>
      </c>
      <c r="L3313">
        <v>12</v>
      </c>
      <c r="M3313">
        <v>1</v>
      </c>
      <c r="N3313">
        <v>1</v>
      </c>
      <c r="O3313" t="s">
        <v>53</v>
      </c>
      <c r="P3313" t="s">
        <v>53</v>
      </c>
      <c r="Q3313" t="s">
        <v>53</v>
      </c>
    </row>
    <row r="3314" spans="1:17" x14ac:dyDescent="0.2">
      <c r="A3314" s="30" t="str">
        <f>IF(C3314&amp;G3314&amp;D3314&lt;&gt;'Funnel setup'!$K$3&amp;'Funnel setup'!$K$4&amp;'Funnel setup'!$K$5,".",IF(A3313=".",1,A3313+1))</f>
        <v>.</v>
      </c>
      <c r="B3314" s="431" t="str">
        <f t="shared" si="51"/>
        <v>Hip Replacement RevisionProviderEAST AND NORTH HERTFORDSHIRE NHS TRUST (RWH)EQ-5D Index</v>
      </c>
      <c r="C3314" t="s">
        <v>247</v>
      </c>
      <c r="D3314" t="s">
        <v>1</v>
      </c>
      <c r="E3314" t="s">
        <v>3814</v>
      </c>
      <c r="F3314" t="s">
        <v>3815</v>
      </c>
      <c r="G3314" t="s">
        <v>52</v>
      </c>
      <c r="H3314">
        <v>15</v>
      </c>
      <c r="I3314">
        <v>0.378</v>
      </c>
      <c r="J3314">
        <v>0.70199999999999996</v>
      </c>
      <c r="K3314">
        <v>0.32300000000000001</v>
      </c>
      <c r="L3314">
        <v>9</v>
      </c>
      <c r="M3314">
        <v>3</v>
      </c>
      <c r="N3314">
        <v>3</v>
      </c>
      <c r="O3314" t="s">
        <v>53</v>
      </c>
      <c r="P3314" t="s">
        <v>53</v>
      </c>
      <c r="Q3314" t="s">
        <v>53</v>
      </c>
    </row>
    <row r="3315" spans="1:17" x14ac:dyDescent="0.2">
      <c r="A3315" s="30" t="str">
        <f>IF(C3315&amp;G3315&amp;D3315&lt;&gt;'Funnel setup'!$K$3&amp;'Funnel setup'!$K$4&amp;'Funnel setup'!$K$5,".",IF(A3314=".",1,A3314+1))</f>
        <v>.</v>
      </c>
      <c r="B3315" s="431" t="str">
        <f t="shared" si="51"/>
        <v>Hip Replacement RevisionProviderEAST CHESHIRE NHS TRUST (RJN)EQ-5D Index</v>
      </c>
      <c r="C3315" t="s">
        <v>247</v>
      </c>
      <c r="D3315" t="s">
        <v>1</v>
      </c>
      <c r="E3315" t="s">
        <v>3817</v>
      </c>
      <c r="F3315" t="s">
        <v>3818</v>
      </c>
      <c r="G3315" t="s">
        <v>52</v>
      </c>
      <c r="H3315" t="s">
        <v>53</v>
      </c>
      <c r="I3315" t="s">
        <v>53</v>
      </c>
      <c r="J3315" t="s">
        <v>53</v>
      </c>
      <c r="K3315" t="s">
        <v>53</v>
      </c>
      <c r="L3315" t="s">
        <v>53</v>
      </c>
      <c r="M3315" t="s">
        <v>53</v>
      </c>
      <c r="N3315" t="s">
        <v>53</v>
      </c>
      <c r="O3315" t="s">
        <v>53</v>
      </c>
      <c r="P3315" t="s">
        <v>53</v>
      </c>
      <c r="Q3315" t="s">
        <v>53</v>
      </c>
    </row>
    <row r="3316" spans="1:17" x14ac:dyDescent="0.2">
      <c r="A3316" s="30" t="str">
        <f>IF(C3316&amp;G3316&amp;D3316&lt;&gt;'Funnel setup'!$K$3&amp;'Funnel setup'!$K$4&amp;'Funnel setup'!$K$5,".",IF(A3315=".",1,A3315+1))</f>
        <v>.</v>
      </c>
      <c r="B3316" s="431" t="str">
        <f t="shared" si="51"/>
        <v>Hip Replacement RevisionProviderEAST KENT HOSPITALS UNIVERSITY NHS FOUNDATION TRUST (RVV)EQ-5D Index</v>
      </c>
      <c r="C3316" t="s">
        <v>247</v>
      </c>
      <c r="D3316" t="s">
        <v>1</v>
      </c>
      <c r="E3316" t="s">
        <v>3820</v>
      </c>
      <c r="F3316" t="s">
        <v>3821</v>
      </c>
      <c r="G3316" t="s">
        <v>52</v>
      </c>
      <c r="H3316">
        <v>39</v>
      </c>
      <c r="I3316">
        <v>0.33200000000000002</v>
      </c>
      <c r="J3316">
        <v>0.72699999999999998</v>
      </c>
      <c r="K3316">
        <v>0.39600000000000002</v>
      </c>
      <c r="L3316">
        <v>32</v>
      </c>
      <c r="M3316">
        <v>5</v>
      </c>
      <c r="N3316">
        <v>2</v>
      </c>
      <c r="O3316">
        <v>0.74199999999999999</v>
      </c>
      <c r="P3316">
        <v>0.34350756799999999</v>
      </c>
      <c r="Q3316">
        <v>0.252</v>
      </c>
    </row>
    <row r="3317" spans="1:17" x14ac:dyDescent="0.2">
      <c r="A3317" s="30" t="str">
        <f>IF(C3317&amp;G3317&amp;D3317&lt;&gt;'Funnel setup'!$K$3&amp;'Funnel setup'!$K$4&amp;'Funnel setup'!$K$5,".",IF(A3316=".",1,A3316+1))</f>
        <v>.</v>
      </c>
      <c r="B3317" s="431" t="str">
        <f t="shared" si="51"/>
        <v>Hip Replacement RevisionProviderEAST LANCASHIRE HOSPITALS NHS TRUST (RXR)EQ-5D Index</v>
      </c>
      <c r="C3317" t="s">
        <v>247</v>
      </c>
      <c r="D3317" t="s">
        <v>1</v>
      </c>
      <c r="E3317" t="s">
        <v>3823</v>
      </c>
      <c r="F3317" t="s">
        <v>3824</v>
      </c>
      <c r="G3317" t="s">
        <v>52</v>
      </c>
      <c r="H3317">
        <v>12</v>
      </c>
      <c r="I3317">
        <v>0.307</v>
      </c>
      <c r="J3317">
        <v>0.56599999999999995</v>
      </c>
      <c r="K3317">
        <v>0.25900000000000001</v>
      </c>
      <c r="L3317">
        <v>7</v>
      </c>
      <c r="M3317">
        <v>0</v>
      </c>
      <c r="N3317">
        <v>5</v>
      </c>
      <c r="O3317" t="s">
        <v>53</v>
      </c>
      <c r="P3317" t="s">
        <v>53</v>
      </c>
      <c r="Q3317" t="s">
        <v>53</v>
      </c>
    </row>
    <row r="3318" spans="1:17" x14ac:dyDescent="0.2">
      <c r="A3318" s="30" t="str">
        <f>IF(C3318&amp;G3318&amp;D3318&lt;&gt;'Funnel setup'!$K$3&amp;'Funnel setup'!$K$4&amp;'Funnel setup'!$K$5,".",IF(A3317=".",1,A3317+1))</f>
        <v>.</v>
      </c>
      <c r="B3318" s="431" t="str">
        <f t="shared" si="51"/>
        <v>Hip Replacement RevisionProviderEAST SUSSEX HEALTHCARE NHS TRUST (RXC)EQ-5D Index</v>
      </c>
      <c r="C3318" t="s">
        <v>247</v>
      </c>
      <c r="D3318" t="s">
        <v>1</v>
      </c>
      <c r="E3318" t="s">
        <v>3826</v>
      </c>
      <c r="F3318" t="s">
        <v>3827</v>
      </c>
      <c r="G3318" t="s">
        <v>52</v>
      </c>
      <c r="H3318">
        <v>23</v>
      </c>
      <c r="I3318">
        <v>0.43</v>
      </c>
      <c r="J3318">
        <v>0.72899999999999998</v>
      </c>
      <c r="K3318">
        <v>0.29899999999999999</v>
      </c>
      <c r="L3318">
        <v>16</v>
      </c>
      <c r="M3318">
        <v>2</v>
      </c>
      <c r="N3318">
        <v>5</v>
      </c>
      <c r="O3318" t="s">
        <v>53</v>
      </c>
      <c r="P3318" t="s">
        <v>53</v>
      </c>
      <c r="Q3318" t="s">
        <v>53</v>
      </c>
    </row>
    <row r="3319" spans="1:17" x14ac:dyDescent="0.2">
      <c r="A3319" s="30" t="str">
        <f>IF(C3319&amp;G3319&amp;D3319&lt;&gt;'Funnel setup'!$K$3&amp;'Funnel setup'!$K$4&amp;'Funnel setup'!$K$5,".",IF(A3318=".",1,A3318+1))</f>
        <v>.</v>
      </c>
      <c r="B3319" s="431" t="str">
        <f t="shared" si="51"/>
        <v>Hip Replacement RevisionProviderEMERSONS GREEN NHS TREATMENT CENTRE (NTPH2)EQ-5D Index</v>
      </c>
      <c r="C3319" t="s">
        <v>247</v>
      </c>
      <c r="D3319" t="s">
        <v>1</v>
      </c>
      <c r="E3319" t="s">
        <v>3829</v>
      </c>
      <c r="F3319" t="s">
        <v>3830</v>
      </c>
      <c r="G3319" t="s">
        <v>52</v>
      </c>
      <c r="H3319">
        <v>6</v>
      </c>
      <c r="I3319">
        <v>0.35699999999999998</v>
      </c>
      <c r="J3319">
        <v>0.61199999999999999</v>
      </c>
      <c r="K3319">
        <v>0.25600000000000001</v>
      </c>
      <c r="L3319">
        <v>3</v>
      </c>
      <c r="M3319">
        <v>2</v>
      </c>
      <c r="N3319">
        <v>1</v>
      </c>
      <c r="O3319" t="s">
        <v>53</v>
      </c>
      <c r="P3319" t="s">
        <v>53</v>
      </c>
      <c r="Q3319" t="s">
        <v>53</v>
      </c>
    </row>
    <row r="3320" spans="1:17" x14ac:dyDescent="0.2">
      <c r="A3320" s="30" t="str">
        <f>IF(C3320&amp;G3320&amp;D3320&lt;&gt;'Funnel setup'!$K$3&amp;'Funnel setup'!$K$4&amp;'Funnel setup'!$K$5,".",IF(A3319=".",1,A3319+1))</f>
        <v>.</v>
      </c>
      <c r="B3320" s="431" t="str">
        <f t="shared" si="51"/>
        <v>Hip Replacement RevisionProviderEPSOM AND ST HELIER UNIVERSITY HOSPITALS NHS TRUST (RVR)EQ-5D Index</v>
      </c>
      <c r="C3320" t="s">
        <v>247</v>
      </c>
      <c r="D3320" t="s">
        <v>1</v>
      </c>
      <c r="E3320" t="s">
        <v>3849</v>
      </c>
      <c r="F3320" t="s">
        <v>3850</v>
      </c>
      <c r="G3320" t="s">
        <v>52</v>
      </c>
      <c r="H3320">
        <v>41</v>
      </c>
      <c r="I3320">
        <v>0.45</v>
      </c>
      <c r="J3320">
        <v>0.746</v>
      </c>
      <c r="K3320">
        <v>0.29599999999999999</v>
      </c>
      <c r="L3320">
        <v>32</v>
      </c>
      <c r="M3320">
        <v>7</v>
      </c>
      <c r="N3320">
        <v>2</v>
      </c>
      <c r="O3320">
        <v>0.71199999999999997</v>
      </c>
      <c r="P3320">
        <v>0.31303909800000002</v>
      </c>
      <c r="Q3320">
        <v>0.217</v>
      </c>
    </row>
    <row r="3321" spans="1:17" x14ac:dyDescent="0.2">
      <c r="A3321" s="30" t="str">
        <f>IF(C3321&amp;G3321&amp;D3321&lt;&gt;'Funnel setup'!$K$3&amp;'Funnel setup'!$K$4&amp;'Funnel setup'!$K$5,".",IF(A3320=".",1,A3320+1))</f>
        <v>.</v>
      </c>
      <c r="B3321" s="431" t="str">
        <f t="shared" si="51"/>
        <v>Hip Replacement RevisionProviderFITZWILLIAM HOSPITAL (NVC06)EQ-5D Index</v>
      </c>
      <c r="C3321" t="s">
        <v>247</v>
      </c>
      <c r="D3321" t="s">
        <v>1</v>
      </c>
      <c r="E3321" t="s">
        <v>3858</v>
      </c>
      <c r="F3321" t="s">
        <v>3859</v>
      </c>
      <c r="G3321" t="s">
        <v>52</v>
      </c>
      <c r="H3321" t="s">
        <v>53</v>
      </c>
      <c r="I3321" t="s">
        <v>53</v>
      </c>
      <c r="J3321" t="s">
        <v>53</v>
      </c>
      <c r="K3321" t="s">
        <v>53</v>
      </c>
      <c r="L3321" t="s">
        <v>53</v>
      </c>
      <c r="M3321" t="s">
        <v>53</v>
      </c>
      <c r="N3321" t="s">
        <v>53</v>
      </c>
      <c r="O3321" t="s">
        <v>53</v>
      </c>
      <c r="P3321" t="s">
        <v>53</v>
      </c>
      <c r="Q3321" t="s">
        <v>53</v>
      </c>
    </row>
    <row r="3322" spans="1:17" x14ac:dyDescent="0.2">
      <c r="A3322" s="30" t="str">
        <f>IF(C3322&amp;G3322&amp;D3322&lt;&gt;'Funnel setup'!$K$3&amp;'Funnel setup'!$K$4&amp;'Funnel setup'!$K$5,".",IF(A3321=".",1,A3321+1))</f>
        <v>.</v>
      </c>
      <c r="B3322" s="431" t="str">
        <f t="shared" si="51"/>
        <v>Hip Replacement RevisionProviderFRIMLEY HEALTH NHS FOUNDATION TRUST (RDU)EQ-5D Index</v>
      </c>
      <c r="C3322" t="s">
        <v>247</v>
      </c>
      <c r="D3322" t="s">
        <v>1</v>
      </c>
      <c r="E3322" t="s">
        <v>3861</v>
      </c>
      <c r="F3322" t="s">
        <v>3862</v>
      </c>
      <c r="G3322" t="s">
        <v>52</v>
      </c>
      <c r="H3322">
        <v>32</v>
      </c>
      <c r="I3322">
        <v>0.39300000000000002</v>
      </c>
      <c r="J3322">
        <v>0.68700000000000006</v>
      </c>
      <c r="K3322">
        <v>0.29399999999999998</v>
      </c>
      <c r="L3322">
        <v>21</v>
      </c>
      <c r="M3322">
        <v>3</v>
      </c>
      <c r="N3322">
        <v>8</v>
      </c>
      <c r="O3322">
        <v>0.69299999999999995</v>
      </c>
      <c r="P3322">
        <v>0.29401937700000003</v>
      </c>
      <c r="Q3322">
        <v>0.28000000000000003</v>
      </c>
    </row>
    <row r="3323" spans="1:17" x14ac:dyDescent="0.2">
      <c r="A3323" s="30" t="str">
        <f>IF(C3323&amp;G3323&amp;D3323&lt;&gt;'Funnel setup'!$K$3&amp;'Funnel setup'!$K$4&amp;'Funnel setup'!$K$5,".",IF(A3322=".",1,A3322+1))</f>
        <v>.</v>
      </c>
      <c r="B3323" s="431" t="str">
        <f t="shared" si="51"/>
        <v>Hip Replacement RevisionProviderFULWOOD HALL HOSPITAL (NVC07)EQ-5D Index</v>
      </c>
      <c r="C3323" t="s">
        <v>247</v>
      </c>
      <c r="D3323" t="s">
        <v>1</v>
      </c>
      <c r="E3323" t="s">
        <v>3864</v>
      </c>
      <c r="F3323" t="s">
        <v>3865</v>
      </c>
      <c r="G3323" t="s">
        <v>52</v>
      </c>
      <c r="H3323" t="s">
        <v>53</v>
      </c>
      <c r="I3323" t="s">
        <v>53</v>
      </c>
      <c r="J3323" t="s">
        <v>53</v>
      </c>
      <c r="K3323" t="s">
        <v>53</v>
      </c>
      <c r="L3323" t="s">
        <v>53</v>
      </c>
      <c r="M3323" t="s">
        <v>53</v>
      </c>
      <c r="N3323" t="s">
        <v>53</v>
      </c>
      <c r="O3323" t="s">
        <v>53</v>
      </c>
      <c r="P3323" t="s">
        <v>53</v>
      </c>
      <c r="Q3323" t="s">
        <v>53</v>
      </c>
    </row>
    <row r="3324" spans="1:17" x14ac:dyDescent="0.2">
      <c r="A3324" s="30" t="str">
        <f>IF(C3324&amp;G3324&amp;D3324&lt;&gt;'Funnel setup'!$K$3&amp;'Funnel setup'!$K$4&amp;'Funnel setup'!$K$5,".",IF(A3323=".",1,A3323+1))</f>
        <v>.</v>
      </c>
      <c r="B3324" s="431" t="str">
        <f t="shared" si="51"/>
        <v>Hip Replacement RevisionProviderGATESHEAD HEALTH NHS FOUNDATION TRUST (RR7)EQ-5D Index</v>
      </c>
      <c r="C3324" t="s">
        <v>247</v>
      </c>
      <c r="D3324" t="s">
        <v>1</v>
      </c>
      <c r="E3324" t="s">
        <v>3867</v>
      </c>
      <c r="F3324" t="s">
        <v>3868</v>
      </c>
      <c r="G3324" t="s">
        <v>52</v>
      </c>
      <c r="H3324">
        <v>9</v>
      </c>
      <c r="I3324">
        <v>0.47499999999999998</v>
      </c>
      <c r="J3324">
        <v>0.748</v>
      </c>
      <c r="K3324">
        <v>0.27300000000000002</v>
      </c>
      <c r="L3324">
        <v>7</v>
      </c>
      <c r="M3324">
        <v>1</v>
      </c>
      <c r="N3324">
        <v>1</v>
      </c>
      <c r="O3324" t="s">
        <v>53</v>
      </c>
      <c r="P3324" t="s">
        <v>53</v>
      </c>
      <c r="Q3324" t="s">
        <v>53</v>
      </c>
    </row>
    <row r="3325" spans="1:17" x14ac:dyDescent="0.2">
      <c r="A3325" s="30" t="str">
        <f>IF(C3325&amp;G3325&amp;D3325&lt;&gt;'Funnel setup'!$K$3&amp;'Funnel setup'!$K$4&amp;'Funnel setup'!$K$5,".",IF(A3324=".",1,A3324+1))</f>
        <v>.</v>
      </c>
      <c r="B3325" s="431" t="str">
        <f t="shared" si="51"/>
        <v>Hip Replacement RevisionProviderGEORGE ELIOT HOSPITAL NHS TRUST (RLT)EQ-5D Index</v>
      </c>
      <c r="C3325" t="s">
        <v>247</v>
      </c>
      <c r="D3325" t="s">
        <v>1</v>
      </c>
      <c r="E3325" t="s">
        <v>3870</v>
      </c>
      <c r="F3325" t="s">
        <v>3871</v>
      </c>
      <c r="G3325" t="s">
        <v>52</v>
      </c>
      <c r="H3325" t="s">
        <v>53</v>
      </c>
      <c r="I3325" t="s">
        <v>53</v>
      </c>
      <c r="J3325" t="s">
        <v>53</v>
      </c>
      <c r="K3325" t="s">
        <v>53</v>
      </c>
      <c r="L3325" t="s">
        <v>53</v>
      </c>
      <c r="M3325" t="s">
        <v>53</v>
      </c>
      <c r="N3325" t="s">
        <v>53</v>
      </c>
      <c r="O3325" t="s">
        <v>53</v>
      </c>
      <c r="P3325" t="s">
        <v>53</v>
      </c>
      <c r="Q3325" t="s">
        <v>53</v>
      </c>
    </row>
    <row r="3326" spans="1:17" x14ac:dyDescent="0.2">
      <c r="A3326" s="30" t="str">
        <f>IF(C3326&amp;G3326&amp;D3326&lt;&gt;'Funnel setup'!$K$3&amp;'Funnel setup'!$K$4&amp;'Funnel setup'!$K$5,".",IF(A3325=".",1,A3325+1))</f>
        <v>.</v>
      </c>
      <c r="B3326" s="431" t="str">
        <f t="shared" si="51"/>
        <v>Hip Replacement RevisionProviderGLOUCESTERSHIRE HOSPITALS NHS FOUNDATION TRUST (RTE)EQ-5D Index</v>
      </c>
      <c r="C3326" t="s">
        <v>247</v>
      </c>
      <c r="D3326" t="s">
        <v>1</v>
      </c>
      <c r="E3326" t="s">
        <v>3873</v>
      </c>
      <c r="F3326" t="s">
        <v>3874</v>
      </c>
      <c r="G3326" t="s">
        <v>52</v>
      </c>
      <c r="H3326">
        <v>40</v>
      </c>
      <c r="I3326">
        <v>0.47099999999999997</v>
      </c>
      <c r="J3326">
        <v>0.61299999999999999</v>
      </c>
      <c r="K3326">
        <v>0.14199999999999999</v>
      </c>
      <c r="L3326">
        <v>22</v>
      </c>
      <c r="M3326">
        <v>10</v>
      </c>
      <c r="N3326">
        <v>8</v>
      </c>
      <c r="O3326">
        <v>0.59799999999999998</v>
      </c>
      <c r="P3326">
        <v>0.19898080300000001</v>
      </c>
      <c r="Q3326">
        <v>0.252</v>
      </c>
    </row>
    <row r="3327" spans="1:17" x14ac:dyDescent="0.2">
      <c r="A3327" s="30" t="str">
        <f>IF(C3327&amp;G3327&amp;D3327&lt;&gt;'Funnel setup'!$K$3&amp;'Funnel setup'!$K$4&amp;'Funnel setup'!$K$5,".",IF(A3326=".",1,A3326+1))</f>
        <v>.</v>
      </c>
      <c r="B3327" s="431" t="str">
        <f t="shared" si="51"/>
        <v>Hip Replacement RevisionProviderGREAT WESTERN HOSPITALS NHS FOUNDATION TRUST (RN3)EQ-5D Index</v>
      </c>
      <c r="C3327" t="s">
        <v>247</v>
      </c>
      <c r="D3327" t="s">
        <v>1</v>
      </c>
      <c r="E3327" t="s">
        <v>3876</v>
      </c>
      <c r="F3327" t="s">
        <v>3877</v>
      </c>
      <c r="G3327" t="s">
        <v>52</v>
      </c>
      <c r="H3327">
        <v>12</v>
      </c>
      <c r="I3327">
        <v>0.34899999999999998</v>
      </c>
      <c r="J3327">
        <v>0.68100000000000005</v>
      </c>
      <c r="K3327">
        <v>0.33200000000000002</v>
      </c>
      <c r="L3327">
        <v>9</v>
      </c>
      <c r="M3327">
        <v>2</v>
      </c>
      <c r="N3327">
        <v>1</v>
      </c>
      <c r="O3327" t="s">
        <v>53</v>
      </c>
      <c r="P3327" t="s">
        <v>53</v>
      </c>
      <c r="Q3327" t="s">
        <v>53</v>
      </c>
    </row>
    <row r="3328" spans="1:17" x14ac:dyDescent="0.2">
      <c r="A3328" s="30" t="str">
        <f>IF(C3328&amp;G3328&amp;D3328&lt;&gt;'Funnel setup'!$K$3&amp;'Funnel setup'!$K$4&amp;'Funnel setup'!$K$5,".",IF(A3327=".",1,A3327+1))</f>
        <v>.</v>
      </c>
      <c r="B3328" s="431" t="str">
        <f t="shared" si="51"/>
        <v>Hip Replacement RevisionProviderGUY'S AND ST THOMAS' NHS FOUNDATION TRUST (RJ1)EQ-5D Index</v>
      </c>
      <c r="C3328" t="s">
        <v>247</v>
      </c>
      <c r="D3328" t="s">
        <v>1</v>
      </c>
      <c r="E3328" t="s">
        <v>3879</v>
      </c>
      <c r="F3328" t="s">
        <v>3880</v>
      </c>
      <c r="G3328" t="s">
        <v>52</v>
      </c>
      <c r="H3328">
        <v>14</v>
      </c>
      <c r="I3328">
        <v>0.12</v>
      </c>
      <c r="J3328">
        <v>0.58599999999999997</v>
      </c>
      <c r="K3328">
        <v>0.46700000000000003</v>
      </c>
      <c r="L3328">
        <v>12</v>
      </c>
      <c r="M3328">
        <v>0</v>
      </c>
      <c r="N3328">
        <v>2</v>
      </c>
      <c r="O3328" t="s">
        <v>53</v>
      </c>
      <c r="P3328" t="s">
        <v>53</v>
      </c>
      <c r="Q3328" t="s">
        <v>53</v>
      </c>
    </row>
    <row r="3329" spans="1:17" x14ac:dyDescent="0.2">
      <c r="A3329" s="30" t="str">
        <f>IF(C3329&amp;G3329&amp;D3329&lt;&gt;'Funnel setup'!$K$3&amp;'Funnel setup'!$K$4&amp;'Funnel setup'!$K$5,".",IF(A3328=".",1,A3328+1))</f>
        <v>.</v>
      </c>
      <c r="B3329" s="431" t="str">
        <f t="shared" si="51"/>
        <v>Hip Replacement RevisionProviderHAMPSHIRE HOSPITALS NHS FOUNDATION TRUST (RN5)EQ-5D Index</v>
      </c>
      <c r="C3329" t="s">
        <v>247</v>
      </c>
      <c r="D3329" t="s">
        <v>1</v>
      </c>
      <c r="E3329" t="s">
        <v>3882</v>
      </c>
      <c r="F3329" t="s">
        <v>3883</v>
      </c>
      <c r="G3329" t="s">
        <v>52</v>
      </c>
      <c r="H3329">
        <v>26</v>
      </c>
      <c r="I3329">
        <v>0.47699999999999998</v>
      </c>
      <c r="J3329">
        <v>0.76300000000000001</v>
      </c>
      <c r="K3329">
        <v>0.28499999999999998</v>
      </c>
      <c r="L3329">
        <v>20</v>
      </c>
      <c r="M3329">
        <v>3</v>
      </c>
      <c r="N3329">
        <v>3</v>
      </c>
      <c r="O3329" t="s">
        <v>53</v>
      </c>
      <c r="P3329" t="s">
        <v>53</v>
      </c>
      <c r="Q3329" t="s">
        <v>53</v>
      </c>
    </row>
    <row r="3330" spans="1:17" x14ac:dyDescent="0.2">
      <c r="A3330" s="30" t="str">
        <f>IF(C3330&amp;G3330&amp;D3330&lt;&gt;'Funnel setup'!$K$3&amp;'Funnel setup'!$K$4&amp;'Funnel setup'!$K$5,".",IF(A3329=".",1,A3329+1))</f>
        <v>.</v>
      </c>
      <c r="B3330" s="431" t="str">
        <f t="shared" si="51"/>
        <v>Hip Replacement RevisionProviderHARROGATE AND DISTRICT NHS FOUNDATION TRUST (RCD)EQ-5D Index</v>
      </c>
      <c r="C3330" t="s">
        <v>247</v>
      </c>
      <c r="D3330" t="s">
        <v>1</v>
      </c>
      <c r="E3330" t="s">
        <v>3885</v>
      </c>
      <c r="F3330" t="s">
        <v>3886</v>
      </c>
      <c r="G3330" t="s">
        <v>52</v>
      </c>
      <c r="H3330">
        <v>8</v>
      </c>
      <c r="I3330">
        <v>0.40100000000000002</v>
      </c>
      <c r="J3330">
        <v>0.71699999999999997</v>
      </c>
      <c r="K3330">
        <v>0.316</v>
      </c>
      <c r="L3330">
        <v>7</v>
      </c>
      <c r="M3330">
        <v>1</v>
      </c>
      <c r="N3330">
        <v>0</v>
      </c>
      <c r="O3330" t="s">
        <v>53</v>
      </c>
      <c r="P3330" t="s">
        <v>53</v>
      </c>
      <c r="Q3330" t="s">
        <v>53</v>
      </c>
    </row>
    <row r="3331" spans="1:17" x14ac:dyDescent="0.2">
      <c r="A3331" s="30" t="str">
        <f>IF(C3331&amp;G3331&amp;D3331&lt;&gt;'Funnel setup'!$K$3&amp;'Funnel setup'!$K$4&amp;'Funnel setup'!$K$5,".",IF(A3330=".",1,A3330+1))</f>
        <v>.</v>
      </c>
      <c r="B3331" s="431" t="str">
        <f t="shared" ref="B3331:B3394" si="52">C3331&amp;D3331&amp;F3331&amp;G3331</f>
        <v>Hip Replacement RevisionProviderHEART OF ENGLAND NHS FOUNDATION TRUST (RR1)EQ-5D Index</v>
      </c>
      <c r="C3331" t="s">
        <v>247</v>
      </c>
      <c r="D3331" t="s">
        <v>1</v>
      </c>
      <c r="E3331" t="s">
        <v>3888</v>
      </c>
      <c r="F3331" t="s">
        <v>3889</v>
      </c>
      <c r="G3331" t="s">
        <v>52</v>
      </c>
      <c r="H3331">
        <v>18</v>
      </c>
      <c r="I3331">
        <v>0.247</v>
      </c>
      <c r="J3331">
        <v>0.624</v>
      </c>
      <c r="K3331">
        <v>0.377</v>
      </c>
      <c r="L3331">
        <v>15</v>
      </c>
      <c r="M3331">
        <v>2</v>
      </c>
      <c r="N3331">
        <v>1</v>
      </c>
      <c r="O3331" t="s">
        <v>53</v>
      </c>
      <c r="P3331" t="s">
        <v>53</v>
      </c>
      <c r="Q3331" t="s">
        <v>53</v>
      </c>
    </row>
    <row r="3332" spans="1:17" x14ac:dyDescent="0.2">
      <c r="A3332" s="30" t="str">
        <f>IF(C3332&amp;G3332&amp;D3332&lt;&gt;'Funnel setup'!$K$3&amp;'Funnel setup'!$K$4&amp;'Funnel setup'!$K$5,".",IF(A3331=".",1,A3331+1))</f>
        <v>.</v>
      </c>
      <c r="B3332" s="431" t="str">
        <f t="shared" si="52"/>
        <v>Hip Replacement RevisionProviderHINCHINGBROOKE HEALTH CARE NHS TRUST (RQQ)EQ-5D Index</v>
      </c>
      <c r="C3332" t="s">
        <v>247</v>
      </c>
      <c r="D3332" t="s">
        <v>1</v>
      </c>
      <c r="E3332" t="s">
        <v>3894</v>
      </c>
      <c r="F3332" t="s">
        <v>3895</v>
      </c>
      <c r="G3332" t="s">
        <v>52</v>
      </c>
      <c r="H3332">
        <v>19</v>
      </c>
      <c r="I3332">
        <v>0.49199999999999999</v>
      </c>
      <c r="J3332">
        <v>0.68</v>
      </c>
      <c r="K3332">
        <v>0.188</v>
      </c>
      <c r="L3332">
        <v>12</v>
      </c>
      <c r="M3332">
        <v>5</v>
      </c>
      <c r="N3332">
        <v>2</v>
      </c>
      <c r="O3332" t="s">
        <v>53</v>
      </c>
      <c r="P3332" t="s">
        <v>53</v>
      </c>
      <c r="Q3332" t="s">
        <v>53</v>
      </c>
    </row>
    <row r="3333" spans="1:17" x14ac:dyDescent="0.2">
      <c r="A3333" s="30" t="str">
        <f>IF(C3333&amp;G3333&amp;D3333&lt;&gt;'Funnel setup'!$K$3&amp;'Funnel setup'!$K$4&amp;'Funnel setup'!$K$5,".",IF(A3332=".",1,A3332+1))</f>
        <v>.</v>
      </c>
      <c r="B3333" s="431" t="str">
        <f t="shared" si="52"/>
        <v>Hip Replacement RevisionProviderHOMERTON UNIVERSITY HOSPITAL NHS FOUNDATION TRUST (RQX)EQ-5D Index</v>
      </c>
      <c r="C3333" t="s">
        <v>247</v>
      </c>
      <c r="D3333" t="s">
        <v>1</v>
      </c>
      <c r="E3333" t="s">
        <v>3897</v>
      </c>
      <c r="F3333" t="s">
        <v>3898</v>
      </c>
      <c r="G3333" t="s">
        <v>52</v>
      </c>
      <c r="H3333" t="s">
        <v>53</v>
      </c>
      <c r="I3333" t="s">
        <v>53</v>
      </c>
      <c r="J3333" t="s">
        <v>53</v>
      </c>
      <c r="K3333" t="s">
        <v>53</v>
      </c>
      <c r="L3333" t="s">
        <v>53</v>
      </c>
      <c r="M3333" t="s">
        <v>53</v>
      </c>
      <c r="N3333" t="s">
        <v>53</v>
      </c>
      <c r="O3333" t="s">
        <v>53</v>
      </c>
      <c r="P3333" t="s">
        <v>53</v>
      </c>
      <c r="Q3333" t="s">
        <v>53</v>
      </c>
    </row>
    <row r="3334" spans="1:17" x14ac:dyDescent="0.2">
      <c r="A3334" s="30" t="str">
        <f>IF(C3334&amp;G3334&amp;D3334&lt;&gt;'Funnel setup'!$K$3&amp;'Funnel setup'!$K$4&amp;'Funnel setup'!$K$5,".",IF(A3333=".",1,A3333+1))</f>
        <v>.</v>
      </c>
      <c r="B3334" s="431" t="str">
        <f t="shared" si="52"/>
        <v>Hip Replacement RevisionProviderHORTON NHS TREATMENT CENTRE (NVC25)EQ-5D Index</v>
      </c>
      <c r="C3334" t="s">
        <v>247</v>
      </c>
      <c r="D3334" t="s">
        <v>1</v>
      </c>
      <c r="E3334" t="s">
        <v>4553</v>
      </c>
      <c r="F3334" t="s">
        <v>4554</v>
      </c>
      <c r="G3334" t="s">
        <v>52</v>
      </c>
      <c r="H3334" t="s">
        <v>53</v>
      </c>
      <c r="I3334" t="s">
        <v>53</v>
      </c>
      <c r="J3334" t="s">
        <v>53</v>
      </c>
      <c r="K3334" t="s">
        <v>53</v>
      </c>
      <c r="L3334" t="s">
        <v>53</v>
      </c>
      <c r="M3334" t="s">
        <v>53</v>
      </c>
      <c r="N3334" t="s">
        <v>53</v>
      </c>
      <c r="O3334" t="s">
        <v>53</v>
      </c>
      <c r="P3334" t="s">
        <v>53</v>
      </c>
      <c r="Q3334" t="s">
        <v>53</v>
      </c>
    </row>
    <row r="3335" spans="1:17" x14ac:dyDescent="0.2">
      <c r="A3335" s="30" t="str">
        <f>IF(C3335&amp;G3335&amp;D3335&lt;&gt;'Funnel setup'!$K$3&amp;'Funnel setup'!$K$4&amp;'Funnel setup'!$K$5,".",IF(A3334=".",1,A3334+1))</f>
        <v>.</v>
      </c>
      <c r="B3335" s="431" t="str">
        <f t="shared" si="52"/>
        <v>Hip Replacement RevisionProviderHULL AND EAST YORKSHIRE HOSPITALS NHS TRUST (RWA)EQ-5D Index</v>
      </c>
      <c r="C3335" t="s">
        <v>247</v>
      </c>
      <c r="D3335" t="s">
        <v>1</v>
      </c>
      <c r="E3335" t="s">
        <v>3906</v>
      </c>
      <c r="F3335" t="s">
        <v>3907</v>
      </c>
      <c r="G3335" t="s">
        <v>52</v>
      </c>
      <c r="H3335">
        <v>24</v>
      </c>
      <c r="I3335">
        <v>0.51600000000000001</v>
      </c>
      <c r="J3335">
        <v>0.754</v>
      </c>
      <c r="K3335">
        <v>0.23799999999999999</v>
      </c>
      <c r="L3335">
        <v>17</v>
      </c>
      <c r="M3335">
        <v>6</v>
      </c>
      <c r="N3335">
        <v>1</v>
      </c>
      <c r="O3335" t="s">
        <v>53</v>
      </c>
      <c r="P3335" t="s">
        <v>53</v>
      </c>
      <c r="Q3335" t="s">
        <v>53</v>
      </c>
    </row>
    <row r="3336" spans="1:17" x14ac:dyDescent="0.2">
      <c r="A3336" s="30" t="str">
        <f>IF(C3336&amp;G3336&amp;D3336&lt;&gt;'Funnel setup'!$K$3&amp;'Funnel setup'!$K$4&amp;'Funnel setup'!$K$5,".",IF(A3335=".",1,A3335+1))</f>
        <v>.</v>
      </c>
      <c r="B3336" s="431" t="str">
        <f t="shared" si="52"/>
        <v>Hip Replacement RevisionProviderIMPERIAL COLLEGE HEALTHCARE NHS TRUST (RYJ)EQ-5D Index</v>
      </c>
      <c r="C3336" t="s">
        <v>247</v>
      </c>
      <c r="D3336" t="s">
        <v>1</v>
      </c>
      <c r="E3336" t="s">
        <v>4558</v>
      </c>
      <c r="F3336" t="s">
        <v>4559</v>
      </c>
      <c r="G3336" t="s">
        <v>52</v>
      </c>
      <c r="H3336" t="s">
        <v>53</v>
      </c>
      <c r="I3336" t="s">
        <v>53</v>
      </c>
      <c r="J3336" t="s">
        <v>53</v>
      </c>
      <c r="K3336" t="s">
        <v>53</v>
      </c>
      <c r="L3336" t="s">
        <v>53</v>
      </c>
      <c r="M3336" t="s">
        <v>53</v>
      </c>
      <c r="N3336" t="s">
        <v>53</v>
      </c>
      <c r="O3336" t="s">
        <v>53</v>
      </c>
      <c r="P3336" t="s">
        <v>53</v>
      </c>
      <c r="Q3336" t="s">
        <v>53</v>
      </c>
    </row>
    <row r="3337" spans="1:17" x14ac:dyDescent="0.2">
      <c r="A3337" s="30" t="str">
        <f>IF(C3337&amp;G3337&amp;D3337&lt;&gt;'Funnel setup'!$K$3&amp;'Funnel setup'!$K$4&amp;'Funnel setup'!$K$5,".",IF(A3336=".",1,A3336+1))</f>
        <v>.</v>
      </c>
      <c r="B3337" s="431" t="str">
        <f t="shared" si="52"/>
        <v>Hip Replacement RevisionProviderIPSWICH HOSPITAL NHS TRUST (RGQ)EQ-5D Index</v>
      </c>
      <c r="C3337" t="s">
        <v>247</v>
      </c>
      <c r="D3337" t="s">
        <v>1</v>
      </c>
      <c r="E3337" t="s">
        <v>3909</v>
      </c>
      <c r="F3337" t="s">
        <v>3910</v>
      </c>
      <c r="G3337" t="s">
        <v>52</v>
      </c>
      <c r="H3337">
        <v>9</v>
      </c>
      <c r="I3337">
        <v>0.26300000000000001</v>
      </c>
      <c r="J3337">
        <v>0.68899999999999995</v>
      </c>
      <c r="K3337">
        <v>0.42599999999999999</v>
      </c>
      <c r="L3337">
        <v>9</v>
      </c>
      <c r="M3337">
        <v>0</v>
      </c>
      <c r="N3337">
        <v>0</v>
      </c>
      <c r="O3337" t="s">
        <v>53</v>
      </c>
      <c r="P3337" t="s">
        <v>53</v>
      </c>
      <c r="Q3337" t="s">
        <v>53</v>
      </c>
    </row>
    <row r="3338" spans="1:17" x14ac:dyDescent="0.2">
      <c r="A3338" s="30" t="str">
        <f>IF(C3338&amp;G3338&amp;D3338&lt;&gt;'Funnel setup'!$K$3&amp;'Funnel setup'!$K$4&amp;'Funnel setup'!$K$5,".",IF(A3337=".",1,A3337+1))</f>
        <v>.</v>
      </c>
      <c r="B3338" s="431" t="str">
        <f t="shared" si="52"/>
        <v>Hip Replacement RevisionProviderISLE OF WIGHT NHS TRUST (R1F)EQ-5D Index</v>
      </c>
      <c r="C3338" t="s">
        <v>247</v>
      </c>
      <c r="D3338" t="s">
        <v>1</v>
      </c>
      <c r="E3338" t="s">
        <v>3912</v>
      </c>
      <c r="F3338" t="s">
        <v>3913</v>
      </c>
      <c r="G3338" t="s">
        <v>52</v>
      </c>
      <c r="H3338" t="s">
        <v>53</v>
      </c>
      <c r="I3338" t="s">
        <v>53</v>
      </c>
      <c r="J3338" t="s">
        <v>53</v>
      </c>
      <c r="K3338" t="s">
        <v>53</v>
      </c>
      <c r="L3338" t="s">
        <v>53</v>
      </c>
      <c r="M3338" t="s">
        <v>53</v>
      </c>
      <c r="N3338" t="s">
        <v>53</v>
      </c>
      <c r="O3338" t="s">
        <v>53</v>
      </c>
      <c r="P3338" t="s">
        <v>53</v>
      </c>
      <c r="Q3338" t="s">
        <v>53</v>
      </c>
    </row>
    <row r="3339" spans="1:17" x14ac:dyDescent="0.2">
      <c r="A3339" s="30" t="str">
        <f>IF(C3339&amp;G3339&amp;D3339&lt;&gt;'Funnel setup'!$K$3&amp;'Funnel setup'!$K$4&amp;'Funnel setup'!$K$5,".",IF(A3338=".",1,A3338+1))</f>
        <v>.</v>
      </c>
      <c r="B3339" s="431" t="str">
        <f t="shared" si="52"/>
        <v>Hip Replacement RevisionProviderJAMES PAGET UNIVERSITY HOSPITALS NHS FOUNDATION TRUST (RGP)EQ-5D Index</v>
      </c>
      <c r="C3339" t="s">
        <v>247</v>
      </c>
      <c r="D3339" t="s">
        <v>1</v>
      </c>
      <c r="E3339" t="s">
        <v>3915</v>
      </c>
      <c r="F3339" t="s">
        <v>3916</v>
      </c>
      <c r="G3339" t="s">
        <v>52</v>
      </c>
      <c r="H3339" t="s">
        <v>53</v>
      </c>
      <c r="I3339" t="s">
        <v>53</v>
      </c>
      <c r="J3339" t="s">
        <v>53</v>
      </c>
      <c r="K3339" t="s">
        <v>53</v>
      </c>
      <c r="L3339" t="s">
        <v>53</v>
      </c>
      <c r="M3339" t="s">
        <v>53</v>
      </c>
      <c r="N3339" t="s">
        <v>53</v>
      </c>
      <c r="O3339" t="s">
        <v>53</v>
      </c>
      <c r="P3339" t="s">
        <v>53</v>
      </c>
      <c r="Q3339" t="s">
        <v>53</v>
      </c>
    </row>
    <row r="3340" spans="1:17" x14ac:dyDescent="0.2">
      <c r="A3340" s="30" t="str">
        <f>IF(C3340&amp;G3340&amp;D3340&lt;&gt;'Funnel setup'!$K$3&amp;'Funnel setup'!$K$4&amp;'Funnel setup'!$K$5,".",IF(A3339=".",1,A3339+1))</f>
        <v>.</v>
      </c>
      <c r="B3340" s="431" t="str">
        <f t="shared" si="52"/>
        <v>Hip Replacement RevisionProviderKETTERING GENERAL HOSPITAL NHS FOUNDATION TRUST (RNQ)EQ-5D Index</v>
      </c>
      <c r="C3340" t="s">
        <v>247</v>
      </c>
      <c r="D3340" t="s">
        <v>1</v>
      </c>
      <c r="E3340" t="s">
        <v>3918</v>
      </c>
      <c r="F3340" t="s">
        <v>3919</v>
      </c>
      <c r="G3340" t="s">
        <v>52</v>
      </c>
      <c r="H3340">
        <v>12</v>
      </c>
      <c r="I3340">
        <v>0.39700000000000002</v>
      </c>
      <c r="J3340">
        <v>0.70399999999999996</v>
      </c>
      <c r="K3340">
        <v>0.307</v>
      </c>
      <c r="L3340">
        <v>7</v>
      </c>
      <c r="M3340">
        <v>3</v>
      </c>
      <c r="N3340">
        <v>2</v>
      </c>
      <c r="O3340" t="s">
        <v>53</v>
      </c>
      <c r="P3340" t="s">
        <v>53</v>
      </c>
      <c r="Q3340" t="s">
        <v>53</v>
      </c>
    </row>
    <row r="3341" spans="1:17" x14ac:dyDescent="0.2">
      <c r="A3341" s="30" t="str">
        <f>IF(C3341&amp;G3341&amp;D3341&lt;&gt;'Funnel setup'!$K$3&amp;'Funnel setup'!$K$4&amp;'Funnel setup'!$K$5,".",IF(A3340=".",1,A3340+1))</f>
        <v>.</v>
      </c>
      <c r="B3341" s="431" t="str">
        <f t="shared" si="52"/>
        <v>Hip Replacement RevisionProviderKING'S COLLEGE HOSPITAL NHS FOUNDATION TRUST (RJZ)EQ-5D Index</v>
      </c>
      <c r="C3341" t="s">
        <v>247</v>
      </c>
      <c r="D3341" t="s">
        <v>1</v>
      </c>
      <c r="E3341" t="s">
        <v>3924</v>
      </c>
      <c r="F3341" t="s">
        <v>3925</v>
      </c>
      <c r="G3341" t="s">
        <v>52</v>
      </c>
      <c r="H3341" t="s">
        <v>53</v>
      </c>
      <c r="I3341" t="s">
        <v>53</v>
      </c>
      <c r="J3341" t="s">
        <v>53</v>
      </c>
      <c r="K3341" t="s">
        <v>53</v>
      </c>
      <c r="L3341" t="s">
        <v>53</v>
      </c>
      <c r="M3341" t="s">
        <v>53</v>
      </c>
      <c r="N3341" t="s">
        <v>53</v>
      </c>
      <c r="O3341" t="s">
        <v>53</v>
      </c>
      <c r="P3341" t="s">
        <v>53</v>
      </c>
      <c r="Q3341" t="s">
        <v>53</v>
      </c>
    </row>
    <row r="3342" spans="1:17" x14ac:dyDescent="0.2">
      <c r="A3342" s="30" t="str">
        <f>IF(C3342&amp;G3342&amp;D3342&lt;&gt;'Funnel setup'!$K$3&amp;'Funnel setup'!$K$4&amp;'Funnel setup'!$K$5,".",IF(A3341=".",1,A3341+1))</f>
        <v>.</v>
      </c>
      <c r="B3342" s="431" t="str">
        <f t="shared" si="52"/>
        <v>Hip Replacement RevisionProviderLANCASHIRE TEACHING HOSPITALS NHS FOUNDATION TRUST (RXN)EQ-5D Index</v>
      </c>
      <c r="C3342" t="s">
        <v>247</v>
      </c>
      <c r="D3342" t="s">
        <v>1</v>
      </c>
      <c r="E3342" t="s">
        <v>3567</v>
      </c>
      <c r="F3342" t="s">
        <v>3568</v>
      </c>
      <c r="G3342" t="s">
        <v>52</v>
      </c>
      <c r="H3342">
        <v>23</v>
      </c>
      <c r="I3342">
        <v>0.371</v>
      </c>
      <c r="J3342">
        <v>0.77900000000000003</v>
      </c>
      <c r="K3342">
        <v>0.40799999999999997</v>
      </c>
      <c r="L3342">
        <v>19</v>
      </c>
      <c r="M3342">
        <v>3</v>
      </c>
      <c r="N3342">
        <v>1</v>
      </c>
      <c r="O3342" t="s">
        <v>53</v>
      </c>
      <c r="P3342" t="s">
        <v>53</v>
      </c>
      <c r="Q3342" t="s">
        <v>53</v>
      </c>
    </row>
    <row r="3343" spans="1:17" x14ac:dyDescent="0.2">
      <c r="A3343" s="30" t="str">
        <f>IF(C3343&amp;G3343&amp;D3343&lt;&gt;'Funnel setup'!$K$3&amp;'Funnel setup'!$K$4&amp;'Funnel setup'!$K$5,".",IF(A3342=".",1,A3342+1))</f>
        <v>.</v>
      </c>
      <c r="B3343" s="431" t="str">
        <f t="shared" si="52"/>
        <v>Hip Replacement RevisionProviderLEEDS TEACHING HOSPITALS NHS TRUST (RR8)EQ-5D Index</v>
      </c>
      <c r="C3343" t="s">
        <v>247</v>
      </c>
      <c r="D3343" t="s">
        <v>1</v>
      </c>
      <c r="E3343" t="s">
        <v>3930</v>
      </c>
      <c r="F3343" t="s">
        <v>344</v>
      </c>
      <c r="G3343" t="s">
        <v>52</v>
      </c>
      <c r="H3343">
        <v>20</v>
      </c>
      <c r="I3343">
        <v>0.46700000000000003</v>
      </c>
      <c r="J3343">
        <v>0.67700000000000005</v>
      </c>
      <c r="K3343">
        <v>0.21</v>
      </c>
      <c r="L3343">
        <v>12</v>
      </c>
      <c r="M3343">
        <v>2</v>
      </c>
      <c r="N3343">
        <v>6</v>
      </c>
      <c r="O3343" t="s">
        <v>53</v>
      </c>
      <c r="P3343" t="s">
        <v>53</v>
      </c>
      <c r="Q3343" t="s">
        <v>53</v>
      </c>
    </row>
    <row r="3344" spans="1:17" x14ac:dyDescent="0.2">
      <c r="A3344" s="30" t="str">
        <f>IF(C3344&amp;G3344&amp;D3344&lt;&gt;'Funnel setup'!$K$3&amp;'Funnel setup'!$K$4&amp;'Funnel setup'!$K$5,".",IF(A3343=".",1,A3343+1))</f>
        <v>.</v>
      </c>
      <c r="B3344" s="431" t="str">
        <f t="shared" si="52"/>
        <v>Hip Replacement RevisionProviderLEWISHAM AND GREENWICH NHS TRUST (RJ2)EQ-5D Index</v>
      </c>
      <c r="C3344" t="s">
        <v>247</v>
      </c>
      <c r="D3344" t="s">
        <v>1</v>
      </c>
      <c r="E3344" t="s">
        <v>3522</v>
      </c>
      <c r="F3344" t="s">
        <v>3523</v>
      </c>
      <c r="G3344" t="s">
        <v>52</v>
      </c>
      <c r="H3344" t="s">
        <v>53</v>
      </c>
      <c r="I3344" t="s">
        <v>53</v>
      </c>
      <c r="J3344" t="s">
        <v>53</v>
      </c>
      <c r="K3344" t="s">
        <v>53</v>
      </c>
      <c r="L3344" t="s">
        <v>53</v>
      </c>
      <c r="M3344" t="s">
        <v>53</v>
      </c>
      <c r="N3344" t="s">
        <v>53</v>
      </c>
      <c r="O3344" t="s">
        <v>53</v>
      </c>
      <c r="P3344" t="s">
        <v>53</v>
      </c>
      <c r="Q3344" t="s">
        <v>53</v>
      </c>
    </row>
    <row r="3345" spans="1:17" x14ac:dyDescent="0.2">
      <c r="A3345" s="30" t="str">
        <f>IF(C3345&amp;G3345&amp;D3345&lt;&gt;'Funnel setup'!$K$3&amp;'Funnel setup'!$K$4&amp;'Funnel setup'!$K$5,".",IF(A3344=".",1,A3344+1))</f>
        <v>.</v>
      </c>
      <c r="B3345" s="431" t="str">
        <f t="shared" si="52"/>
        <v>Hip Replacement RevisionProviderLONDON NORTH WEST HEALTHCARE NHS TRUST (R1K)EQ-5D Index</v>
      </c>
      <c r="C3345" t="s">
        <v>247</v>
      </c>
      <c r="D3345" t="s">
        <v>1</v>
      </c>
      <c r="E3345" t="s">
        <v>6515</v>
      </c>
      <c r="F3345" t="s">
        <v>6516</v>
      </c>
      <c r="G3345" t="s">
        <v>52</v>
      </c>
      <c r="H3345">
        <v>7</v>
      </c>
      <c r="I3345">
        <v>0.48899999999999999</v>
      </c>
      <c r="J3345">
        <v>0.76800000000000002</v>
      </c>
      <c r="K3345">
        <v>0.28000000000000003</v>
      </c>
      <c r="L3345">
        <v>5</v>
      </c>
      <c r="M3345">
        <v>1</v>
      </c>
      <c r="N3345">
        <v>1</v>
      </c>
      <c r="O3345" t="s">
        <v>53</v>
      </c>
      <c r="P3345" t="s">
        <v>53</v>
      </c>
      <c r="Q3345" t="s">
        <v>53</v>
      </c>
    </row>
    <row r="3346" spans="1:17" x14ac:dyDescent="0.2">
      <c r="A3346" s="30" t="str">
        <f>IF(C3346&amp;G3346&amp;D3346&lt;&gt;'Funnel setup'!$K$3&amp;'Funnel setup'!$K$4&amp;'Funnel setup'!$K$5,".",IF(A3345=".",1,A3345+1))</f>
        <v>.</v>
      </c>
      <c r="B3346" s="431" t="str">
        <f t="shared" si="52"/>
        <v>Hip Replacement RevisionProviderLUTON AND DUNSTABLE UNIVERSITY HOSPITAL NHS FOUNDATION TRUST (RC9)EQ-5D Index</v>
      </c>
      <c r="C3346" t="s">
        <v>247</v>
      </c>
      <c r="D3346" t="s">
        <v>1</v>
      </c>
      <c r="E3346" t="s">
        <v>3528</v>
      </c>
      <c r="F3346" t="s">
        <v>3529</v>
      </c>
      <c r="G3346" t="s">
        <v>52</v>
      </c>
      <c r="H3346">
        <v>12</v>
      </c>
      <c r="I3346">
        <v>0.307</v>
      </c>
      <c r="J3346">
        <v>0.7</v>
      </c>
      <c r="K3346">
        <v>0.39300000000000002</v>
      </c>
      <c r="L3346">
        <v>9</v>
      </c>
      <c r="M3346">
        <v>0</v>
      </c>
      <c r="N3346">
        <v>3</v>
      </c>
      <c r="O3346" t="s">
        <v>53</v>
      </c>
      <c r="P3346" t="s">
        <v>53</v>
      </c>
      <c r="Q3346" t="s">
        <v>53</v>
      </c>
    </row>
    <row r="3347" spans="1:17" x14ac:dyDescent="0.2">
      <c r="A3347" s="30" t="str">
        <f>IF(C3347&amp;G3347&amp;D3347&lt;&gt;'Funnel setup'!$K$3&amp;'Funnel setup'!$K$4&amp;'Funnel setup'!$K$5,".",IF(A3346=".",1,A3346+1))</f>
        <v>.</v>
      </c>
      <c r="B3347" s="431" t="str">
        <f t="shared" si="52"/>
        <v>Hip Replacement RevisionProviderMAIDSTONE AND TUNBRIDGE WELLS NHS TRUST (RWF)EQ-5D Index</v>
      </c>
      <c r="C3347" t="s">
        <v>247</v>
      </c>
      <c r="D3347" t="s">
        <v>1</v>
      </c>
      <c r="E3347" t="s">
        <v>3627</v>
      </c>
      <c r="F3347" t="s">
        <v>3628</v>
      </c>
      <c r="G3347" t="s">
        <v>52</v>
      </c>
      <c r="H3347">
        <v>16</v>
      </c>
      <c r="I3347">
        <v>0.432</v>
      </c>
      <c r="J3347">
        <v>0.75700000000000001</v>
      </c>
      <c r="K3347">
        <v>0.32600000000000001</v>
      </c>
      <c r="L3347">
        <v>11</v>
      </c>
      <c r="M3347">
        <v>2</v>
      </c>
      <c r="N3347">
        <v>3</v>
      </c>
      <c r="O3347" t="s">
        <v>53</v>
      </c>
      <c r="P3347" t="s">
        <v>53</v>
      </c>
      <c r="Q3347" t="s">
        <v>53</v>
      </c>
    </row>
    <row r="3348" spans="1:17" x14ac:dyDescent="0.2">
      <c r="A3348" s="30" t="str">
        <f>IF(C3348&amp;G3348&amp;D3348&lt;&gt;'Funnel setup'!$K$3&amp;'Funnel setup'!$K$4&amp;'Funnel setup'!$K$5,".",IF(A3347=".",1,A3347+1))</f>
        <v>.</v>
      </c>
      <c r="B3348" s="431" t="str">
        <f t="shared" si="52"/>
        <v>Hip Replacement RevisionProviderMEDWAY NHS FOUNDATION TRUST (RPA)EQ-5D Index</v>
      </c>
      <c r="C3348" t="s">
        <v>247</v>
      </c>
      <c r="D3348" t="s">
        <v>1</v>
      </c>
      <c r="E3348" t="s">
        <v>3630</v>
      </c>
      <c r="F3348" t="s">
        <v>3631</v>
      </c>
      <c r="G3348" t="s">
        <v>52</v>
      </c>
      <c r="H3348">
        <v>19</v>
      </c>
      <c r="I3348">
        <v>0.40400000000000003</v>
      </c>
      <c r="J3348">
        <v>0.65500000000000003</v>
      </c>
      <c r="K3348">
        <v>0.25</v>
      </c>
      <c r="L3348">
        <v>14</v>
      </c>
      <c r="M3348">
        <v>1</v>
      </c>
      <c r="N3348">
        <v>4</v>
      </c>
      <c r="O3348" t="s">
        <v>53</v>
      </c>
      <c r="P3348" t="s">
        <v>53</v>
      </c>
      <c r="Q3348" t="s">
        <v>53</v>
      </c>
    </row>
    <row r="3349" spans="1:17" x14ac:dyDescent="0.2">
      <c r="A3349" s="30" t="str">
        <f>IF(C3349&amp;G3349&amp;D3349&lt;&gt;'Funnel setup'!$K$3&amp;'Funnel setup'!$K$4&amp;'Funnel setup'!$K$5,".",IF(A3348=".",1,A3348+1))</f>
        <v>.</v>
      </c>
      <c r="B3349" s="431" t="str">
        <f t="shared" si="52"/>
        <v>Hip Replacement RevisionProviderMID CHESHIRE HOSPITALS NHS FOUNDATION TRUST (RBT)EQ-5D Index</v>
      </c>
      <c r="C3349" t="s">
        <v>247</v>
      </c>
      <c r="D3349" t="s">
        <v>1</v>
      </c>
      <c r="E3349" t="s">
        <v>3633</v>
      </c>
      <c r="F3349" t="s">
        <v>342</v>
      </c>
      <c r="G3349" t="s">
        <v>52</v>
      </c>
      <c r="H3349">
        <v>8</v>
      </c>
      <c r="I3349">
        <v>0.33800000000000002</v>
      </c>
      <c r="J3349">
        <v>0.63600000000000001</v>
      </c>
      <c r="K3349">
        <v>0.29799999999999999</v>
      </c>
      <c r="L3349">
        <v>5</v>
      </c>
      <c r="M3349">
        <v>2</v>
      </c>
      <c r="N3349">
        <v>1</v>
      </c>
      <c r="O3349" t="s">
        <v>53</v>
      </c>
      <c r="P3349" t="s">
        <v>53</v>
      </c>
      <c r="Q3349" t="s">
        <v>53</v>
      </c>
    </row>
    <row r="3350" spans="1:17" x14ac:dyDescent="0.2">
      <c r="A3350" s="30" t="str">
        <f>IF(C3350&amp;G3350&amp;D3350&lt;&gt;'Funnel setup'!$K$3&amp;'Funnel setup'!$K$4&amp;'Funnel setup'!$K$5,".",IF(A3349=".",1,A3349+1))</f>
        <v>.</v>
      </c>
      <c r="B3350" s="431" t="str">
        <f t="shared" si="52"/>
        <v>Hip Replacement RevisionProviderMID ESSEX HOSPITAL SERVICES NHS TRUST (RQ8)EQ-5D Index</v>
      </c>
      <c r="C3350" t="s">
        <v>247</v>
      </c>
      <c r="D3350" t="s">
        <v>1</v>
      </c>
      <c r="E3350" t="s">
        <v>3635</v>
      </c>
      <c r="F3350" t="s">
        <v>3636</v>
      </c>
      <c r="G3350" t="s">
        <v>52</v>
      </c>
      <c r="H3350">
        <v>17</v>
      </c>
      <c r="I3350">
        <v>0.36399999999999999</v>
      </c>
      <c r="J3350">
        <v>0.74199999999999999</v>
      </c>
      <c r="K3350">
        <v>0.378</v>
      </c>
      <c r="L3350">
        <v>11</v>
      </c>
      <c r="M3350">
        <v>5</v>
      </c>
      <c r="N3350">
        <v>1</v>
      </c>
      <c r="O3350" t="s">
        <v>53</v>
      </c>
      <c r="P3350" t="s">
        <v>53</v>
      </c>
      <c r="Q3350" t="s">
        <v>53</v>
      </c>
    </row>
    <row r="3351" spans="1:17" x14ac:dyDescent="0.2">
      <c r="A3351" s="30" t="str">
        <f>IF(C3351&amp;G3351&amp;D3351&lt;&gt;'Funnel setup'!$K$3&amp;'Funnel setup'!$K$4&amp;'Funnel setup'!$K$5,".",IF(A3350=".",1,A3350+1))</f>
        <v>.</v>
      </c>
      <c r="B3351" s="431" t="str">
        <f t="shared" si="52"/>
        <v>Hip Replacement RevisionProviderMID STAFFORDSHIRE NHS FOUNDATION TRUST (RJD)EQ-5D Index</v>
      </c>
      <c r="C3351" t="s">
        <v>247</v>
      </c>
      <c r="D3351" t="s">
        <v>1</v>
      </c>
      <c r="E3351" t="s">
        <v>3638</v>
      </c>
      <c r="F3351" t="s">
        <v>3639</v>
      </c>
      <c r="G3351" t="s">
        <v>52</v>
      </c>
      <c r="H3351">
        <v>12</v>
      </c>
      <c r="I3351">
        <v>0.26</v>
      </c>
      <c r="J3351">
        <v>0.52200000000000002</v>
      </c>
      <c r="K3351">
        <v>0.26100000000000001</v>
      </c>
      <c r="L3351">
        <v>9</v>
      </c>
      <c r="M3351">
        <v>0</v>
      </c>
      <c r="N3351">
        <v>3</v>
      </c>
      <c r="O3351" t="s">
        <v>53</v>
      </c>
      <c r="P3351" t="s">
        <v>53</v>
      </c>
      <c r="Q3351" t="s">
        <v>53</v>
      </c>
    </row>
    <row r="3352" spans="1:17" x14ac:dyDescent="0.2">
      <c r="A3352" s="30" t="str">
        <f>IF(C3352&amp;G3352&amp;D3352&lt;&gt;'Funnel setup'!$K$3&amp;'Funnel setup'!$K$4&amp;'Funnel setup'!$K$5,".",IF(A3351=".",1,A3351+1))</f>
        <v>.</v>
      </c>
      <c r="B3352" s="431" t="str">
        <f t="shared" si="52"/>
        <v>Hip Replacement RevisionProviderMID YORKSHIRE HOSPITALS NHS TRUST (RXF)EQ-5D Index</v>
      </c>
      <c r="C3352" t="s">
        <v>247</v>
      </c>
      <c r="D3352" t="s">
        <v>1</v>
      </c>
      <c r="E3352" t="s">
        <v>3641</v>
      </c>
      <c r="F3352" t="s">
        <v>3642</v>
      </c>
      <c r="G3352" t="s">
        <v>52</v>
      </c>
      <c r="H3352" t="s">
        <v>53</v>
      </c>
      <c r="I3352" t="s">
        <v>53</v>
      </c>
      <c r="J3352" t="s">
        <v>53</v>
      </c>
      <c r="K3352" t="s">
        <v>53</v>
      </c>
      <c r="L3352" t="s">
        <v>53</v>
      </c>
      <c r="M3352" t="s">
        <v>53</v>
      </c>
      <c r="N3352" t="s">
        <v>53</v>
      </c>
      <c r="O3352" t="s">
        <v>53</v>
      </c>
      <c r="P3352" t="s">
        <v>53</v>
      </c>
      <c r="Q3352" t="s">
        <v>53</v>
      </c>
    </row>
    <row r="3353" spans="1:17" x14ac:dyDescent="0.2">
      <c r="A3353" s="30" t="str">
        <f>IF(C3353&amp;G3353&amp;D3353&lt;&gt;'Funnel setup'!$K$3&amp;'Funnel setup'!$K$4&amp;'Funnel setup'!$K$5,".",IF(A3352=".",1,A3352+1))</f>
        <v>.</v>
      </c>
      <c r="B3353" s="431" t="str">
        <f t="shared" si="52"/>
        <v>Hip Replacement RevisionProviderMILTON KEYNES UNIVERSITY HOSPITAL NHS FOUNDATION TRUST (RD8)EQ-5D Index</v>
      </c>
      <c r="C3353" t="s">
        <v>247</v>
      </c>
      <c r="D3353" t="s">
        <v>1</v>
      </c>
      <c r="E3353" t="s">
        <v>3643</v>
      </c>
      <c r="F3353" t="s">
        <v>6580</v>
      </c>
      <c r="G3353" t="s">
        <v>52</v>
      </c>
      <c r="H3353" t="s">
        <v>53</v>
      </c>
      <c r="I3353" t="s">
        <v>53</v>
      </c>
      <c r="J3353" t="s">
        <v>53</v>
      </c>
      <c r="K3353" t="s">
        <v>53</v>
      </c>
      <c r="L3353" t="s">
        <v>53</v>
      </c>
      <c r="M3353" t="s">
        <v>53</v>
      </c>
      <c r="N3353" t="s">
        <v>53</v>
      </c>
      <c r="O3353" t="s">
        <v>53</v>
      </c>
      <c r="P3353" t="s">
        <v>53</v>
      </c>
      <c r="Q3353" t="s">
        <v>53</v>
      </c>
    </row>
    <row r="3354" spans="1:17" x14ac:dyDescent="0.2">
      <c r="A3354" s="30" t="str">
        <f>IF(C3354&amp;G3354&amp;D3354&lt;&gt;'Funnel setup'!$K$3&amp;'Funnel setup'!$K$4&amp;'Funnel setup'!$K$5,".",IF(A3353=".",1,A3353+1))</f>
        <v>.</v>
      </c>
      <c r="B3354" s="431" t="str">
        <f t="shared" si="52"/>
        <v>Hip Replacement RevisionProviderMOUNT STUART HOSPITAL (NVC08)EQ-5D Index</v>
      </c>
      <c r="C3354" t="s">
        <v>247</v>
      </c>
      <c r="D3354" t="s">
        <v>1</v>
      </c>
      <c r="E3354" t="s">
        <v>3645</v>
      </c>
      <c r="F3354" t="s">
        <v>3646</v>
      </c>
      <c r="G3354" t="s">
        <v>52</v>
      </c>
      <c r="H3354" t="s">
        <v>53</v>
      </c>
      <c r="I3354" t="s">
        <v>53</v>
      </c>
      <c r="J3354" t="s">
        <v>53</v>
      </c>
      <c r="K3354" t="s">
        <v>53</v>
      </c>
      <c r="L3354" t="s">
        <v>53</v>
      </c>
      <c r="M3354" t="s">
        <v>53</v>
      </c>
      <c r="N3354" t="s">
        <v>53</v>
      </c>
      <c r="O3354" t="s">
        <v>53</v>
      </c>
      <c r="P3354" t="s">
        <v>53</v>
      </c>
      <c r="Q3354" t="s">
        <v>53</v>
      </c>
    </row>
    <row r="3355" spans="1:17" x14ac:dyDescent="0.2">
      <c r="A3355" s="30" t="str">
        <f>IF(C3355&amp;G3355&amp;D3355&lt;&gt;'Funnel setup'!$K$3&amp;'Funnel setup'!$K$4&amp;'Funnel setup'!$K$5,".",IF(A3354=".",1,A3354+1))</f>
        <v>.</v>
      </c>
      <c r="B3355" s="431" t="str">
        <f t="shared" si="52"/>
        <v>Hip Replacement RevisionProviderNEW HALL HOSPITAL (NVC09)EQ-5D Index</v>
      </c>
      <c r="C3355" t="s">
        <v>247</v>
      </c>
      <c r="D3355" t="s">
        <v>1</v>
      </c>
      <c r="E3355" t="s">
        <v>3648</v>
      </c>
      <c r="F3355" t="s">
        <v>3649</v>
      </c>
      <c r="G3355" t="s">
        <v>52</v>
      </c>
      <c r="H3355" t="s">
        <v>53</v>
      </c>
      <c r="I3355" t="s">
        <v>53</v>
      </c>
      <c r="J3355" t="s">
        <v>53</v>
      </c>
      <c r="K3355" t="s">
        <v>53</v>
      </c>
      <c r="L3355" t="s">
        <v>53</v>
      </c>
      <c r="M3355" t="s">
        <v>53</v>
      </c>
      <c r="N3355" t="s">
        <v>53</v>
      </c>
      <c r="O3355" t="s">
        <v>53</v>
      </c>
      <c r="P3355" t="s">
        <v>53</v>
      </c>
      <c r="Q3355" t="s">
        <v>53</v>
      </c>
    </row>
    <row r="3356" spans="1:17" x14ac:dyDescent="0.2">
      <c r="A3356" s="30" t="str">
        <f>IF(C3356&amp;G3356&amp;D3356&lt;&gt;'Funnel setup'!$K$3&amp;'Funnel setup'!$K$4&amp;'Funnel setup'!$K$5,".",IF(A3355=".",1,A3355+1))</f>
        <v>.</v>
      </c>
      <c r="B3356" s="431" t="str">
        <f t="shared" si="52"/>
        <v>Hip Replacement RevisionProviderNORFOLK AND NORWICH UNIVERSITY HOSPITALS NHS FOUNDATION TRUST (RM1)EQ-5D Index</v>
      </c>
      <c r="C3356" t="s">
        <v>247</v>
      </c>
      <c r="D3356" t="s">
        <v>1</v>
      </c>
      <c r="E3356" t="s">
        <v>3651</v>
      </c>
      <c r="F3356" t="s">
        <v>3652</v>
      </c>
      <c r="G3356" t="s">
        <v>52</v>
      </c>
      <c r="H3356">
        <v>50</v>
      </c>
      <c r="I3356">
        <v>0.53600000000000003</v>
      </c>
      <c r="J3356">
        <v>0.77700000000000002</v>
      </c>
      <c r="K3356">
        <v>0.24099999999999999</v>
      </c>
      <c r="L3356">
        <v>41</v>
      </c>
      <c r="M3356">
        <v>3</v>
      </c>
      <c r="N3356">
        <v>6</v>
      </c>
      <c r="O3356">
        <v>0.73199999999999998</v>
      </c>
      <c r="P3356">
        <v>0.33343280199999997</v>
      </c>
      <c r="Q3356">
        <v>0.19500000000000001</v>
      </c>
    </row>
    <row r="3357" spans="1:17" x14ac:dyDescent="0.2">
      <c r="A3357" s="30" t="str">
        <f>IF(C3357&amp;G3357&amp;D3357&lt;&gt;'Funnel setup'!$K$3&amp;'Funnel setup'!$K$4&amp;'Funnel setup'!$K$5,".",IF(A3356=".",1,A3356+1))</f>
        <v>.</v>
      </c>
      <c r="B3357" s="431" t="str">
        <f t="shared" si="52"/>
        <v>Hip Replacement RevisionProviderNORTH BRISTOL NHS TRUST (RVJ)EQ-5D Index</v>
      </c>
      <c r="C3357" t="s">
        <v>247</v>
      </c>
      <c r="D3357" t="s">
        <v>1</v>
      </c>
      <c r="E3357" t="s">
        <v>3654</v>
      </c>
      <c r="F3357" t="s">
        <v>3655</v>
      </c>
      <c r="G3357" t="s">
        <v>52</v>
      </c>
      <c r="H3357">
        <v>10</v>
      </c>
      <c r="I3357">
        <v>0.38900000000000001</v>
      </c>
      <c r="J3357">
        <v>0.61799999999999999</v>
      </c>
      <c r="K3357">
        <v>0.22900000000000001</v>
      </c>
      <c r="L3357">
        <v>8</v>
      </c>
      <c r="M3357">
        <v>0</v>
      </c>
      <c r="N3357">
        <v>2</v>
      </c>
      <c r="O3357" t="s">
        <v>53</v>
      </c>
      <c r="P3357" t="s">
        <v>53</v>
      </c>
      <c r="Q3357" t="s">
        <v>53</v>
      </c>
    </row>
    <row r="3358" spans="1:17" x14ac:dyDescent="0.2">
      <c r="A3358" s="30" t="str">
        <f>IF(C3358&amp;G3358&amp;D3358&lt;&gt;'Funnel setup'!$K$3&amp;'Funnel setup'!$K$4&amp;'Funnel setup'!$K$5,".",IF(A3357=".",1,A3357+1))</f>
        <v>.</v>
      </c>
      <c r="B3358" s="431" t="str">
        <f t="shared" si="52"/>
        <v>Hip Replacement RevisionProviderNORTH CUMBRIA UNIVERSITY HOSPITALS NHS TRUST (RNL)EQ-5D Index</v>
      </c>
      <c r="C3358" t="s">
        <v>247</v>
      </c>
      <c r="D3358" t="s">
        <v>1</v>
      </c>
      <c r="E3358" t="s">
        <v>3657</v>
      </c>
      <c r="F3358" t="s">
        <v>3658</v>
      </c>
      <c r="G3358" t="s">
        <v>52</v>
      </c>
      <c r="H3358">
        <v>10</v>
      </c>
      <c r="I3358">
        <v>0.32600000000000001</v>
      </c>
      <c r="J3358">
        <v>0.69899999999999995</v>
      </c>
      <c r="K3358">
        <v>0.372</v>
      </c>
      <c r="L3358">
        <v>7</v>
      </c>
      <c r="M3358">
        <v>3</v>
      </c>
      <c r="N3358">
        <v>0</v>
      </c>
      <c r="O3358" t="s">
        <v>53</v>
      </c>
      <c r="P3358" t="s">
        <v>53</v>
      </c>
      <c r="Q3358" t="s">
        <v>53</v>
      </c>
    </row>
    <row r="3359" spans="1:17" x14ac:dyDescent="0.2">
      <c r="A3359" s="30" t="str">
        <f>IF(C3359&amp;G3359&amp;D3359&lt;&gt;'Funnel setup'!$K$3&amp;'Funnel setup'!$K$4&amp;'Funnel setup'!$K$5,".",IF(A3358=".",1,A3358+1))</f>
        <v>.</v>
      </c>
      <c r="B3359" s="431" t="str">
        <f t="shared" si="52"/>
        <v>Hip Replacement RevisionProviderNORTH DOWNS HOSPITAL (NVC11)EQ-5D Index</v>
      </c>
      <c r="C3359" t="s">
        <v>247</v>
      </c>
      <c r="D3359" t="s">
        <v>1</v>
      </c>
      <c r="E3359" t="s">
        <v>3660</v>
      </c>
      <c r="F3359" t="s">
        <v>3661</v>
      </c>
      <c r="G3359" t="s">
        <v>52</v>
      </c>
      <c r="H3359" t="s">
        <v>53</v>
      </c>
      <c r="I3359" t="s">
        <v>53</v>
      </c>
      <c r="J3359" t="s">
        <v>53</v>
      </c>
      <c r="K3359" t="s">
        <v>53</v>
      </c>
      <c r="L3359" t="s">
        <v>53</v>
      </c>
      <c r="M3359" t="s">
        <v>53</v>
      </c>
      <c r="N3359" t="s">
        <v>53</v>
      </c>
      <c r="O3359" t="s">
        <v>53</v>
      </c>
      <c r="P3359" t="s">
        <v>53</v>
      </c>
      <c r="Q3359" t="s">
        <v>53</v>
      </c>
    </row>
    <row r="3360" spans="1:17" x14ac:dyDescent="0.2">
      <c r="A3360" s="30" t="str">
        <f>IF(C3360&amp;G3360&amp;D3360&lt;&gt;'Funnel setup'!$K$3&amp;'Funnel setup'!$K$4&amp;'Funnel setup'!$K$5,".",IF(A3359=".",1,A3359+1))</f>
        <v>.</v>
      </c>
      <c r="B3360" s="431" t="str">
        <f t="shared" si="52"/>
        <v>Hip Replacement RevisionProviderNORTH EAST LONDON TREATMENT CENTRE CARE UK (NTP15)EQ-5D Index</v>
      </c>
      <c r="C3360" t="s">
        <v>247</v>
      </c>
      <c r="D3360" t="s">
        <v>1</v>
      </c>
      <c r="E3360" t="s">
        <v>3663</v>
      </c>
      <c r="F3360" t="s">
        <v>3664</v>
      </c>
      <c r="G3360" t="s">
        <v>52</v>
      </c>
      <c r="H3360" t="s">
        <v>53</v>
      </c>
      <c r="I3360" t="s">
        <v>53</v>
      </c>
      <c r="J3360" t="s">
        <v>53</v>
      </c>
      <c r="K3360" t="s">
        <v>53</v>
      </c>
      <c r="L3360" t="s">
        <v>53</v>
      </c>
      <c r="M3360" t="s">
        <v>53</v>
      </c>
      <c r="N3360" t="s">
        <v>53</v>
      </c>
      <c r="O3360" t="s">
        <v>53</v>
      </c>
      <c r="P3360" t="s">
        <v>53</v>
      </c>
      <c r="Q3360" t="s">
        <v>53</v>
      </c>
    </row>
    <row r="3361" spans="1:17" x14ac:dyDescent="0.2">
      <c r="A3361" s="30" t="str">
        <f>IF(C3361&amp;G3361&amp;D3361&lt;&gt;'Funnel setup'!$K$3&amp;'Funnel setup'!$K$4&amp;'Funnel setup'!$K$5,".",IF(A3360=".",1,A3360+1))</f>
        <v>.</v>
      </c>
      <c r="B3361" s="431" t="str">
        <f t="shared" si="52"/>
        <v>Hip Replacement RevisionProviderNORTH MIDDLESEX UNIVERSITY HOSPITAL NHS TRUST (RAP)EQ-5D Index</v>
      </c>
      <c r="C3361" t="s">
        <v>247</v>
      </c>
      <c r="D3361" t="s">
        <v>1</v>
      </c>
      <c r="E3361" t="s">
        <v>3666</v>
      </c>
      <c r="F3361" t="s">
        <v>3667</v>
      </c>
      <c r="G3361" t="s">
        <v>52</v>
      </c>
      <c r="H3361" t="s">
        <v>53</v>
      </c>
      <c r="I3361" t="s">
        <v>53</v>
      </c>
      <c r="J3361" t="s">
        <v>53</v>
      </c>
      <c r="K3361" t="s">
        <v>53</v>
      </c>
      <c r="L3361" t="s">
        <v>53</v>
      </c>
      <c r="M3361" t="s">
        <v>53</v>
      </c>
      <c r="N3361" t="s">
        <v>53</v>
      </c>
      <c r="O3361" t="s">
        <v>53</v>
      </c>
      <c r="P3361" t="s">
        <v>53</v>
      </c>
      <c r="Q3361" t="s">
        <v>53</v>
      </c>
    </row>
    <row r="3362" spans="1:17" x14ac:dyDescent="0.2">
      <c r="A3362" s="30" t="str">
        <f>IF(C3362&amp;G3362&amp;D3362&lt;&gt;'Funnel setup'!$K$3&amp;'Funnel setup'!$K$4&amp;'Funnel setup'!$K$5,".",IF(A3361=".",1,A3361+1))</f>
        <v>.</v>
      </c>
      <c r="B3362" s="431" t="str">
        <f t="shared" si="52"/>
        <v>Hip Replacement RevisionProviderNORTH TEES AND HARTLEPOOL NHS FOUNDATION TRUST (RVW)EQ-5D Index</v>
      </c>
      <c r="C3362" t="s">
        <v>247</v>
      </c>
      <c r="D3362" t="s">
        <v>1</v>
      </c>
      <c r="E3362" t="s">
        <v>3669</v>
      </c>
      <c r="F3362" t="s">
        <v>3670</v>
      </c>
      <c r="G3362" t="s">
        <v>52</v>
      </c>
      <c r="H3362">
        <v>24</v>
      </c>
      <c r="I3362">
        <v>0.35</v>
      </c>
      <c r="J3362">
        <v>0.64700000000000002</v>
      </c>
      <c r="K3362">
        <v>0.29699999999999999</v>
      </c>
      <c r="L3362">
        <v>18</v>
      </c>
      <c r="M3362">
        <v>0</v>
      </c>
      <c r="N3362">
        <v>6</v>
      </c>
      <c r="O3362" t="s">
        <v>53</v>
      </c>
      <c r="P3362" t="s">
        <v>53</v>
      </c>
      <c r="Q3362" t="s">
        <v>53</v>
      </c>
    </row>
    <row r="3363" spans="1:17" x14ac:dyDescent="0.2">
      <c r="A3363" s="30" t="str">
        <f>IF(C3363&amp;G3363&amp;D3363&lt;&gt;'Funnel setup'!$K$3&amp;'Funnel setup'!$K$4&amp;'Funnel setup'!$K$5,".",IF(A3362=".",1,A3362+1))</f>
        <v>.</v>
      </c>
      <c r="B3363" s="431" t="str">
        <f t="shared" si="52"/>
        <v>Hip Replacement RevisionProviderNORTHAMPTON GENERAL HOSPITAL NHS TRUST (RNS)EQ-5D Index</v>
      </c>
      <c r="C3363" t="s">
        <v>247</v>
      </c>
      <c r="D3363" t="s">
        <v>1</v>
      </c>
      <c r="E3363" t="s">
        <v>3675</v>
      </c>
      <c r="F3363" t="s">
        <v>3676</v>
      </c>
      <c r="G3363" t="s">
        <v>52</v>
      </c>
      <c r="H3363">
        <v>20</v>
      </c>
      <c r="I3363">
        <v>0.41199999999999998</v>
      </c>
      <c r="J3363">
        <v>0.69599999999999995</v>
      </c>
      <c r="K3363">
        <v>0.28499999999999998</v>
      </c>
      <c r="L3363">
        <v>15</v>
      </c>
      <c r="M3363">
        <v>1</v>
      </c>
      <c r="N3363">
        <v>4</v>
      </c>
      <c r="O3363" t="s">
        <v>53</v>
      </c>
      <c r="P3363" t="s">
        <v>53</v>
      </c>
      <c r="Q3363" t="s">
        <v>53</v>
      </c>
    </row>
    <row r="3364" spans="1:17" x14ac:dyDescent="0.2">
      <c r="A3364" s="30" t="str">
        <f>IF(C3364&amp;G3364&amp;D3364&lt;&gt;'Funnel setup'!$K$3&amp;'Funnel setup'!$K$4&amp;'Funnel setup'!$K$5,".",IF(A3363=".",1,A3363+1))</f>
        <v>.</v>
      </c>
      <c r="B3364" s="431" t="str">
        <f t="shared" si="52"/>
        <v>Hip Replacement RevisionProviderNORTHERN DEVON HEALTHCARE NHS TRUST (RBZ)EQ-5D Index</v>
      </c>
      <c r="C3364" t="s">
        <v>247</v>
      </c>
      <c r="D3364" t="s">
        <v>1</v>
      </c>
      <c r="E3364" t="s">
        <v>3678</v>
      </c>
      <c r="F3364" t="s">
        <v>3679</v>
      </c>
      <c r="G3364" t="s">
        <v>52</v>
      </c>
      <c r="H3364">
        <v>12</v>
      </c>
      <c r="I3364">
        <v>0.44800000000000001</v>
      </c>
      <c r="J3364">
        <v>0.73699999999999999</v>
      </c>
      <c r="K3364">
        <v>0.28799999999999998</v>
      </c>
      <c r="L3364">
        <v>10</v>
      </c>
      <c r="M3364">
        <v>0</v>
      </c>
      <c r="N3364">
        <v>2</v>
      </c>
      <c r="O3364" t="s">
        <v>53</v>
      </c>
      <c r="P3364" t="s">
        <v>53</v>
      </c>
      <c r="Q3364" t="s">
        <v>53</v>
      </c>
    </row>
    <row r="3365" spans="1:17" x14ac:dyDescent="0.2">
      <c r="A3365" s="30" t="str">
        <f>IF(C3365&amp;G3365&amp;D3365&lt;&gt;'Funnel setup'!$K$3&amp;'Funnel setup'!$K$4&amp;'Funnel setup'!$K$5,".",IF(A3364=".",1,A3364+1))</f>
        <v>.</v>
      </c>
      <c r="B3365" s="431" t="str">
        <f t="shared" si="52"/>
        <v>Hip Replacement RevisionProviderNORTHERN LINCOLNSHIRE AND GOOLE NHS FOUNDATION TRUST (RJL)EQ-5D Index</v>
      </c>
      <c r="C3365" t="s">
        <v>247</v>
      </c>
      <c r="D3365" t="s">
        <v>1</v>
      </c>
      <c r="E3365" t="s">
        <v>3681</v>
      </c>
      <c r="F3365" t="s">
        <v>3682</v>
      </c>
      <c r="G3365" t="s">
        <v>52</v>
      </c>
      <c r="H3365">
        <v>15</v>
      </c>
      <c r="I3365">
        <v>0.24299999999999999</v>
      </c>
      <c r="J3365">
        <v>0.6</v>
      </c>
      <c r="K3365">
        <v>0.35699999999999998</v>
      </c>
      <c r="L3365">
        <v>12</v>
      </c>
      <c r="M3365">
        <v>1</v>
      </c>
      <c r="N3365">
        <v>2</v>
      </c>
      <c r="O3365" t="s">
        <v>53</v>
      </c>
      <c r="P3365" t="s">
        <v>53</v>
      </c>
      <c r="Q3365" t="s">
        <v>53</v>
      </c>
    </row>
    <row r="3366" spans="1:17" x14ac:dyDescent="0.2">
      <c r="A3366" s="30" t="str">
        <f>IF(C3366&amp;G3366&amp;D3366&lt;&gt;'Funnel setup'!$K$3&amp;'Funnel setup'!$K$4&amp;'Funnel setup'!$K$5,".",IF(A3365=".",1,A3365+1))</f>
        <v>.</v>
      </c>
      <c r="B3366" s="431" t="str">
        <f t="shared" si="52"/>
        <v>Hip Replacement RevisionProviderNORTHUMBRIA HEALTHCARE NHS FOUNDATION TRUST (RTF)EQ-5D Index</v>
      </c>
      <c r="C3366" t="s">
        <v>247</v>
      </c>
      <c r="D3366" t="s">
        <v>1</v>
      </c>
      <c r="E3366" t="s">
        <v>3684</v>
      </c>
      <c r="F3366" t="s">
        <v>3685</v>
      </c>
      <c r="G3366" t="s">
        <v>52</v>
      </c>
      <c r="H3366">
        <v>24</v>
      </c>
      <c r="I3366">
        <v>0.255</v>
      </c>
      <c r="J3366">
        <v>0.66600000000000004</v>
      </c>
      <c r="K3366">
        <v>0.41099999999999998</v>
      </c>
      <c r="L3366">
        <v>17</v>
      </c>
      <c r="M3366">
        <v>5</v>
      </c>
      <c r="N3366">
        <v>2</v>
      </c>
      <c r="O3366" t="s">
        <v>53</v>
      </c>
      <c r="P3366" t="s">
        <v>53</v>
      </c>
      <c r="Q3366" t="s">
        <v>53</v>
      </c>
    </row>
    <row r="3367" spans="1:17" x14ac:dyDescent="0.2">
      <c r="A3367" s="30" t="str">
        <f>IF(C3367&amp;G3367&amp;D3367&lt;&gt;'Funnel setup'!$K$3&amp;'Funnel setup'!$K$4&amp;'Funnel setup'!$K$5,".",IF(A3366=".",1,A3366+1))</f>
        <v>.</v>
      </c>
      <c r="B3367" s="431" t="str">
        <f t="shared" si="52"/>
        <v>Hip Replacement RevisionProviderNOTTINGHAM UNIVERSITY HOSPITALS NHS TRUST (RX1)EQ-5D Index</v>
      </c>
      <c r="C3367" t="s">
        <v>247</v>
      </c>
      <c r="D3367" t="s">
        <v>1</v>
      </c>
      <c r="E3367" t="s">
        <v>3687</v>
      </c>
      <c r="F3367" t="s">
        <v>3688</v>
      </c>
      <c r="G3367" t="s">
        <v>52</v>
      </c>
      <c r="H3367">
        <v>41</v>
      </c>
      <c r="I3367">
        <v>0.31</v>
      </c>
      <c r="J3367">
        <v>0.57199999999999995</v>
      </c>
      <c r="K3367">
        <v>0.26200000000000001</v>
      </c>
      <c r="L3367">
        <v>29</v>
      </c>
      <c r="M3367">
        <v>4</v>
      </c>
      <c r="N3367">
        <v>8</v>
      </c>
      <c r="O3367">
        <v>0.63600000000000001</v>
      </c>
      <c r="P3367">
        <v>0.23727684800000001</v>
      </c>
      <c r="Q3367">
        <v>0.30599999999999999</v>
      </c>
    </row>
    <row r="3368" spans="1:17" x14ac:dyDescent="0.2">
      <c r="A3368" s="30" t="str">
        <f>IF(C3368&amp;G3368&amp;D3368&lt;&gt;'Funnel setup'!$K$3&amp;'Funnel setup'!$K$4&amp;'Funnel setup'!$K$5,".",IF(A3367=".",1,A3367+1))</f>
        <v>.</v>
      </c>
      <c r="B3368" s="431" t="str">
        <f t="shared" si="52"/>
        <v>Hip Replacement RevisionProviderNUFFIELD HEALTH, HAYWARDS HEATH HOSPITAL (NT218)EQ-5D Index</v>
      </c>
      <c r="C3368" t="s">
        <v>247</v>
      </c>
      <c r="D3368" t="s">
        <v>1</v>
      </c>
      <c r="E3368" t="s">
        <v>4342</v>
      </c>
      <c r="F3368" t="s">
        <v>4343</v>
      </c>
      <c r="G3368" t="s">
        <v>52</v>
      </c>
      <c r="H3368" t="s">
        <v>53</v>
      </c>
      <c r="I3368" t="s">
        <v>53</v>
      </c>
      <c r="J3368" t="s">
        <v>53</v>
      </c>
      <c r="K3368" t="s">
        <v>53</v>
      </c>
      <c r="L3368" t="s">
        <v>53</v>
      </c>
      <c r="M3368" t="s">
        <v>53</v>
      </c>
      <c r="N3368" t="s">
        <v>53</v>
      </c>
      <c r="O3368" t="s">
        <v>53</v>
      </c>
      <c r="P3368" t="s">
        <v>53</v>
      </c>
      <c r="Q3368" t="s">
        <v>53</v>
      </c>
    </row>
    <row r="3369" spans="1:17" x14ac:dyDescent="0.2">
      <c r="A3369" s="30" t="str">
        <f>IF(C3369&amp;G3369&amp;D3369&lt;&gt;'Funnel setup'!$K$3&amp;'Funnel setup'!$K$4&amp;'Funnel setup'!$K$5,".",IF(A3368=".",1,A3368+1))</f>
        <v>.</v>
      </c>
      <c r="B3369" s="431" t="str">
        <f t="shared" si="52"/>
        <v>Hip Replacement RevisionProviderNUFFIELD HEALTH, LEEDS HOSPITAL (NT225)EQ-5D Index</v>
      </c>
      <c r="C3369" t="s">
        <v>247</v>
      </c>
      <c r="D3369" t="s">
        <v>1</v>
      </c>
      <c r="E3369" t="s">
        <v>3388</v>
      </c>
      <c r="F3369" t="s">
        <v>3389</v>
      </c>
      <c r="G3369" t="s">
        <v>52</v>
      </c>
      <c r="H3369" t="s">
        <v>53</v>
      </c>
      <c r="I3369" t="s">
        <v>53</v>
      </c>
      <c r="J3369" t="s">
        <v>53</v>
      </c>
      <c r="K3369" t="s">
        <v>53</v>
      </c>
      <c r="L3369" t="s">
        <v>53</v>
      </c>
      <c r="M3369" t="s">
        <v>53</v>
      </c>
      <c r="N3369" t="s">
        <v>53</v>
      </c>
      <c r="O3369" t="s">
        <v>53</v>
      </c>
      <c r="P3369" t="s">
        <v>53</v>
      </c>
      <c r="Q3369" t="s">
        <v>53</v>
      </c>
    </row>
    <row r="3370" spans="1:17" x14ac:dyDescent="0.2">
      <c r="A3370" s="30" t="str">
        <f>IF(C3370&amp;G3370&amp;D3370&lt;&gt;'Funnel setup'!$K$3&amp;'Funnel setup'!$K$4&amp;'Funnel setup'!$K$5,".",IF(A3369=".",1,A3369+1))</f>
        <v>.</v>
      </c>
      <c r="B3370" s="431" t="str">
        <f t="shared" si="52"/>
        <v>Hip Replacement RevisionProviderNUFFIELD HEALTH, NEWCASTLE UPON TYNE HOSPITAL (NT229)EQ-5D Index</v>
      </c>
      <c r="C3370" t="s">
        <v>247</v>
      </c>
      <c r="D3370" t="s">
        <v>1</v>
      </c>
      <c r="E3370" t="s">
        <v>3394</v>
      </c>
      <c r="F3370" t="s">
        <v>3395</v>
      </c>
      <c r="G3370" t="s">
        <v>52</v>
      </c>
      <c r="H3370" t="s">
        <v>53</v>
      </c>
      <c r="I3370" t="s">
        <v>53</v>
      </c>
      <c r="J3370" t="s">
        <v>53</v>
      </c>
      <c r="K3370" t="s">
        <v>53</v>
      </c>
      <c r="L3370" t="s">
        <v>53</v>
      </c>
      <c r="M3370" t="s">
        <v>53</v>
      </c>
      <c r="N3370" t="s">
        <v>53</v>
      </c>
      <c r="O3370" t="s">
        <v>53</v>
      </c>
      <c r="P3370" t="s">
        <v>53</v>
      </c>
      <c r="Q3370" t="s">
        <v>53</v>
      </c>
    </row>
    <row r="3371" spans="1:17" x14ac:dyDescent="0.2">
      <c r="A3371" s="30" t="str">
        <f>IF(C3371&amp;G3371&amp;D3371&lt;&gt;'Funnel setup'!$K$3&amp;'Funnel setup'!$K$4&amp;'Funnel setup'!$K$5,".",IF(A3370=".",1,A3370+1))</f>
        <v>.</v>
      </c>
      <c r="B3371" s="431" t="str">
        <f t="shared" si="52"/>
        <v>Hip Replacement RevisionProviderNUFFIELD HEALTH, TEES HOSPITAL (NT237)EQ-5D Index</v>
      </c>
      <c r="C3371" t="s">
        <v>247</v>
      </c>
      <c r="D3371" t="s">
        <v>1</v>
      </c>
      <c r="E3371" t="s">
        <v>3246</v>
      </c>
      <c r="F3371" t="s">
        <v>3247</v>
      </c>
      <c r="G3371" t="s">
        <v>52</v>
      </c>
      <c r="H3371">
        <v>12</v>
      </c>
      <c r="I3371">
        <v>0.51</v>
      </c>
      <c r="J3371">
        <v>0.81799999999999995</v>
      </c>
      <c r="K3371">
        <v>0.308</v>
      </c>
      <c r="L3371">
        <v>8</v>
      </c>
      <c r="M3371">
        <v>3</v>
      </c>
      <c r="N3371">
        <v>1</v>
      </c>
      <c r="O3371" t="s">
        <v>53</v>
      </c>
      <c r="P3371" t="s">
        <v>53</v>
      </c>
      <c r="Q3371" t="s">
        <v>53</v>
      </c>
    </row>
    <row r="3372" spans="1:17" x14ac:dyDescent="0.2">
      <c r="A3372" s="30" t="str">
        <f>IF(C3372&amp;G3372&amp;D3372&lt;&gt;'Funnel setup'!$K$3&amp;'Funnel setup'!$K$4&amp;'Funnel setup'!$K$5,".",IF(A3371=".",1,A3371+1))</f>
        <v>.</v>
      </c>
      <c r="B3372" s="431" t="str">
        <f t="shared" si="52"/>
        <v>Hip Replacement RevisionProviderNUFFIELD HEALTH, WOKING HOSPITAL (NT241)EQ-5D Index</v>
      </c>
      <c r="C3372" t="s">
        <v>247</v>
      </c>
      <c r="D3372" t="s">
        <v>1</v>
      </c>
      <c r="E3372" t="s">
        <v>3261</v>
      </c>
      <c r="F3372" t="s">
        <v>3262</v>
      </c>
      <c r="G3372" t="s">
        <v>52</v>
      </c>
      <c r="H3372" t="s">
        <v>53</v>
      </c>
      <c r="I3372" t="s">
        <v>53</v>
      </c>
      <c r="J3372" t="s">
        <v>53</v>
      </c>
      <c r="K3372" t="s">
        <v>53</v>
      </c>
      <c r="L3372" t="s">
        <v>53</v>
      </c>
      <c r="M3372" t="s">
        <v>53</v>
      </c>
      <c r="N3372" t="s">
        <v>53</v>
      </c>
      <c r="O3372" t="s">
        <v>53</v>
      </c>
      <c r="P3372" t="s">
        <v>53</v>
      </c>
      <c r="Q3372" t="s">
        <v>53</v>
      </c>
    </row>
    <row r="3373" spans="1:17" x14ac:dyDescent="0.2">
      <c r="A3373" s="30" t="str">
        <f>IF(C3373&amp;G3373&amp;D3373&lt;&gt;'Funnel setup'!$K$3&amp;'Funnel setup'!$K$4&amp;'Funnel setup'!$K$5,".",IF(A3372=".",1,A3372+1))</f>
        <v>.</v>
      </c>
      <c r="B3373" s="431" t="str">
        <f t="shared" si="52"/>
        <v>Hip Replacement RevisionProviderNUFFIELD HEALTH, YORK HOSPITAL (NT245)EQ-5D Index</v>
      </c>
      <c r="C3373" t="s">
        <v>247</v>
      </c>
      <c r="D3373" t="s">
        <v>1</v>
      </c>
      <c r="E3373" t="s">
        <v>4299</v>
      </c>
      <c r="F3373" t="s">
        <v>4300</v>
      </c>
      <c r="G3373" t="s">
        <v>52</v>
      </c>
      <c r="H3373" t="s">
        <v>53</v>
      </c>
      <c r="I3373" t="s">
        <v>53</v>
      </c>
      <c r="J3373" t="s">
        <v>53</v>
      </c>
      <c r="K3373" t="s">
        <v>53</v>
      </c>
      <c r="L3373" t="s">
        <v>53</v>
      </c>
      <c r="M3373" t="s">
        <v>53</v>
      </c>
      <c r="N3373" t="s">
        <v>53</v>
      </c>
      <c r="O3373" t="s">
        <v>53</v>
      </c>
      <c r="P3373" t="s">
        <v>53</v>
      </c>
      <c r="Q3373" t="s">
        <v>53</v>
      </c>
    </row>
    <row r="3374" spans="1:17" x14ac:dyDescent="0.2">
      <c r="A3374" s="30" t="str">
        <f>IF(C3374&amp;G3374&amp;D3374&lt;&gt;'Funnel setup'!$K$3&amp;'Funnel setup'!$K$4&amp;'Funnel setup'!$K$5,".",IF(A3373=".",1,A3373+1))</f>
        <v>.</v>
      </c>
      <c r="B3374" s="431" t="str">
        <f t="shared" si="52"/>
        <v>Hip Replacement RevisionProviderOXFORD UNIVERSITY HOSPITALS NHS FOUNDATION TRUST (RTH)EQ-5D Index</v>
      </c>
      <c r="C3374" t="s">
        <v>247</v>
      </c>
      <c r="D3374" t="s">
        <v>1</v>
      </c>
      <c r="E3374" t="s">
        <v>3278</v>
      </c>
      <c r="F3374" t="s">
        <v>6578</v>
      </c>
      <c r="G3374" t="s">
        <v>52</v>
      </c>
      <c r="H3374">
        <v>75</v>
      </c>
      <c r="I3374">
        <v>0.39400000000000002</v>
      </c>
      <c r="J3374">
        <v>0.66800000000000004</v>
      </c>
      <c r="K3374">
        <v>0.27300000000000002</v>
      </c>
      <c r="L3374">
        <v>56</v>
      </c>
      <c r="M3374">
        <v>8</v>
      </c>
      <c r="N3374">
        <v>11</v>
      </c>
      <c r="O3374">
        <v>0.66500000000000004</v>
      </c>
      <c r="P3374">
        <v>0.26610911500000001</v>
      </c>
      <c r="Q3374">
        <v>0.28199999999999997</v>
      </c>
    </row>
    <row r="3375" spans="1:17" x14ac:dyDescent="0.2">
      <c r="A3375" s="30" t="str">
        <f>IF(C3375&amp;G3375&amp;D3375&lt;&gt;'Funnel setup'!$K$3&amp;'Funnel setup'!$K$4&amp;'Funnel setup'!$K$5,".",IF(A3374=".",1,A3374+1))</f>
        <v>.</v>
      </c>
      <c r="B3375" s="431" t="str">
        <f t="shared" si="52"/>
        <v>Hip Replacement RevisionProviderPENINSULA NHS TREATMENT CENTRE (NTPH5)EQ-5D Index</v>
      </c>
      <c r="C3375" t="s">
        <v>247</v>
      </c>
      <c r="D3375" t="s">
        <v>1</v>
      </c>
      <c r="E3375" t="s">
        <v>4285</v>
      </c>
      <c r="F3375" t="s">
        <v>4286</v>
      </c>
      <c r="G3375" t="s">
        <v>52</v>
      </c>
      <c r="H3375" t="s">
        <v>53</v>
      </c>
      <c r="I3375" t="s">
        <v>53</v>
      </c>
      <c r="J3375" t="s">
        <v>53</v>
      </c>
      <c r="K3375" t="s">
        <v>53</v>
      </c>
      <c r="L3375" t="s">
        <v>53</v>
      </c>
      <c r="M3375" t="s">
        <v>53</v>
      </c>
      <c r="N3375" t="s">
        <v>53</v>
      </c>
      <c r="O3375" t="s">
        <v>53</v>
      </c>
      <c r="P3375" t="s">
        <v>53</v>
      </c>
      <c r="Q3375" t="s">
        <v>53</v>
      </c>
    </row>
    <row r="3376" spans="1:17" x14ac:dyDescent="0.2">
      <c r="A3376" s="30" t="str">
        <f>IF(C3376&amp;G3376&amp;D3376&lt;&gt;'Funnel setup'!$K$3&amp;'Funnel setup'!$K$4&amp;'Funnel setup'!$K$5,".",IF(A3375=".",1,A3375+1))</f>
        <v>.</v>
      </c>
      <c r="B3376" s="431" t="str">
        <f t="shared" si="52"/>
        <v>Hip Replacement RevisionProviderPENNINE ACUTE HOSPITALS NHS TRUST (RW6)EQ-5D Index</v>
      </c>
      <c r="C3376" t="s">
        <v>247</v>
      </c>
      <c r="D3376" t="s">
        <v>1</v>
      </c>
      <c r="E3376" t="s">
        <v>3216</v>
      </c>
      <c r="F3376" t="s">
        <v>3217</v>
      </c>
      <c r="G3376" t="s">
        <v>52</v>
      </c>
      <c r="H3376">
        <v>30</v>
      </c>
      <c r="I3376">
        <v>0.44800000000000001</v>
      </c>
      <c r="J3376">
        <v>0.69399999999999995</v>
      </c>
      <c r="K3376">
        <v>0.245</v>
      </c>
      <c r="L3376">
        <v>20</v>
      </c>
      <c r="M3376">
        <v>4</v>
      </c>
      <c r="N3376">
        <v>6</v>
      </c>
      <c r="O3376">
        <v>0.69599999999999995</v>
      </c>
      <c r="P3376">
        <v>0.29692859700000002</v>
      </c>
      <c r="Q3376">
        <v>0.255</v>
      </c>
    </row>
    <row r="3377" spans="1:17" x14ac:dyDescent="0.2">
      <c r="A3377" s="30" t="str">
        <f>IF(C3377&amp;G3377&amp;D3377&lt;&gt;'Funnel setup'!$K$3&amp;'Funnel setup'!$K$4&amp;'Funnel setup'!$K$5,".",IF(A3376=".",1,A3376+1))</f>
        <v>.</v>
      </c>
      <c r="B3377" s="431" t="str">
        <f t="shared" si="52"/>
        <v>Hip Replacement RevisionProviderPETERBOROUGH AND STAMFORD HOSPITALS NHS FOUNDATION TRUST (RGN)EQ-5D Index</v>
      </c>
      <c r="C3377" t="s">
        <v>247</v>
      </c>
      <c r="D3377" t="s">
        <v>1</v>
      </c>
      <c r="E3377" t="s">
        <v>3219</v>
      </c>
      <c r="F3377" t="s">
        <v>3220</v>
      </c>
      <c r="G3377" t="s">
        <v>52</v>
      </c>
      <c r="H3377" t="s">
        <v>53</v>
      </c>
      <c r="I3377" t="s">
        <v>53</v>
      </c>
      <c r="J3377" t="s">
        <v>53</v>
      </c>
      <c r="K3377" t="s">
        <v>53</v>
      </c>
      <c r="L3377" t="s">
        <v>53</v>
      </c>
      <c r="M3377" t="s">
        <v>53</v>
      </c>
      <c r="N3377" t="s">
        <v>53</v>
      </c>
      <c r="O3377" t="s">
        <v>53</v>
      </c>
      <c r="P3377" t="s">
        <v>53</v>
      </c>
      <c r="Q3377" t="s">
        <v>53</v>
      </c>
    </row>
    <row r="3378" spans="1:17" x14ac:dyDescent="0.2">
      <c r="A3378" s="30" t="str">
        <f>IF(C3378&amp;G3378&amp;D3378&lt;&gt;'Funnel setup'!$K$3&amp;'Funnel setup'!$K$4&amp;'Funnel setup'!$K$5,".",IF(A3377=".",1,A3377+1))</f>
        <v>.</v>
      </c>
      <c r="B3378" s="431" t="str">
        <f t="shared" si="52"/>
        <v>Hip Replacement RevisionProviderPINEHILL HOSPITAL (NVC15)EQ-5D Index</v>
      </c>
      <c r="C3378" t="s">
        <v>247</v>
      </c>
      <c r="D3378" t="s">
        <v>1</v>
      </c>
      <c r="E3378" t="s">
        <v>3222</v>
      </c>
      <c r="F3378" t="s">
        <v>3223</v>
      </c>
      <c r="G3378" t="s">
        <v>52</v>
      </c>
      <c r="H3378" t="s">
        <v>53</v>
      </c>
      <c r="I3378" t="s">
        <v>53</v>
      </c>
      <c r="J3378" t="s">
        <v>53</v>
      </c>
      <c r="K3378" t="s">
        <v>53</v>
      </c>
      <c r="L3378" t="s">
        <v>53</v>
      </c>
      <c r="M3378" t="s">
        <v>53</v>
      </c>
      <c r="N3378" t="s">
        <v>53</v>
      </c>
      <c r="O3378" t="s">
        <v>53</v>
      </c>
      <c r="P3378" t="s">
        <v>53</v>
      </c>
      <c r="Q3378" t="s">
        <v>53</v>
      </c>
    </row>
    <row r="3379" spans="1:17" x14ac:dyDescent="0.2">
      <c r="A3379" s="30" t="str">
        <f>IF(C3379&amp;G3379&amp;D3379&lt;&gt;'Funnel setup'!$K$3&amp;'Funnel setup'!$K$4&amp;'Funnel setup'!$K$5,".",IF(A3378=".",1,A3378+1))</f>
        <v>.</v>
      </c>
      <c r="B3379" s="431" t="str">
        <f t="shared" si="52"/>
        <v>Hip Replacement RevisionProviderPLYMOUTH HOSPITALS NHS TRUST (RK9)EQ-5D Index</v>
      </c>
      <c r="C3379" t="s">
        <v>247</v>
      </c>
      <c r="D3379" t="s">
        <v>1</v>
      </c>
      <c r="E3379" t="s">
        <v>3225</v>
      </c>
      <c r="F3379" t="s">
        <v>3226</v>
      </c>
      <c r="G3379" t="s">
        <v>52</v>
      </c>
      <c r="H3379">
        <v>20</v>
      </c>
      <c r="I3379">
        <v>0.36299999999999999</v>
      </c>
      <c r="J3379">
        <v>0.58699999999999997</v>
      </c>
      <c r="K3379">
        <v>0.224</v>
      </c>
      <c r="L3379">
        <v>15</v>
      </c>
      <c r="M3379">
        <v>1</v>
      </c>
      <c r="N3379">
        <v>4</v>
      </c>
      <c r="O3379" t="s">
        <v>53</v>
      </c>
      <c r="P3379" t="s">
        <v>53</v>
      </c>
      <c r="Q3379" t="s">
        <v>53</v>
      </c>
    </row>
    <row r="3380" spans="1:17" x14ac:dyDescent="0.2">
      <c r="A3380" s="30" t="str">
        <f>IF(C3380&amp;G3380&amp;D3380&lt;&gt;'Funnel setup'!$K$3&amp;'Funnel setup'!$K$4&amp;'Funnel setup'!$K$5,".",IF(A3379=".",1,A3379+1))</f>
        <v>.</v>
      </c>
      <c r="B3380" s="431" t="str">
        <f t="shared" si="52"/>
        <v>Hip Replacement RevisionProviderPORTSMOUTH HOSPITALS NHS TRUST (RHU)EQ-5D Index</v>
      </c>
      <c r="C3380" t="s">
        <v>247</v>
      </c>
      <c r="D3380" t="s">
        <v>1</v>
      </c>
      <c r="E3380" t="s">
        <v>3234</v>
      </c>
      <c r="F3380" t="s">
        <v>3235</v>
      </c>
      <c r="G3380" t="s">
        <v>52</v>
      </c>
      <c r="H3380" t="s">
        <v>53</v>
      </c>
      <c r="I3380" t="s">
        <v>53</v>
      </c>
      <c r="J3380" t="s">
        <v>53</v>
      </c>
      <c r="K3380" t="s">
        <v>53</v>
      </c>
      <c r="L3380" t="s">
        <v>53</v>
      </c>
      <c r="M3380" t="s">
        <v>53</v>
      </c>
      <c r="N3380" t="s">
        <v>53</v>
      </c>
      <c r="O3380" t="s">
        <v>53</v>
      </c>
      <c r="P3380" t="s">
        <v>53</v>
      </c>
      <c r="Q3380" t="s">
        <v>53</v>
      </c>
    </row>
    <row r="3381" spans="1:17" x14ac:dyDescent="0.2">
      <c r="A3381" s="30" t="str">
        <f>IF(C3381&amp;G3381&amp;D3381&lt;&gt;'Funnel setup'!$K$3&amp;'Funnel setup'!$K$4&amp;'Funnel setup'!$K$5,".",IF(A3380=".",1,A3380+1))</f>
        <v>.</v>
      </c>
      <c r="B3381" s="431" t="str">
        <f t="shared" si="52"/>
        <v>Hip Replacement RevisionProviderRENACRES HOSPITAL (NVC16)EQ-5D Index</v>
      </c>
      <c r="C3381" t="s">
        <v>247</v>
      </c>
      <c r="D3381" t="s">
        <v>1</v>
      </c>
      <c r="E3381" t="s">
        <v>3237</v>
      </c>
      <c r="F3381" t="s">
        <v>3238</v>
      </c>
      <c r="G3381" t="s">
        <v>52</v>
      </c>
      <c r="H3381" t="s">
        <v>53</v>
      </c>
      <c r="I3381" t="s">
        <v>53</v>
      </c>
      <c r="J3381" t="s">
        <v>53</v>
      </c>
      <c r="K3381" t="s">
        <v>53</v>
      </c>
      <c r="L3381" t="s">
        <v>53</v>
      </c>
      <c r="M3381" t="s">
        <v>53</v>
      </c>
      <c r="N3381" t="s">
        <v>53</v>
      </c>
      <c r="O3381" t="s">
        <v>53</v>
      </c>
      <c r="P3381" t="s">
        <v>53</v>
      </c>
      <c r="Q3381" t="s">
        <v>53</v>
      </c>
    </row>
    <row r="3382" spans="1:17" x14ac:dyDescent="0.2">
      <c r="A3382" s="30" t="str">
        <f>IF(C3382&amp;G3382&amp;D3382&lt;&gt;'Funnel setup'!$K$3&amp;'Funnel setup'!$K$4&amp;'Funnel setup'!$K$5,".",IF(A3381=".",1,A3381+1))</f>
        <v>.</v>
      </c>
      <c r="B3382" s="431" t="str">
        <f t="shared" si="52"/>
        <v>Hip Replacement RevisionProviderRIVERS HOSPITAL (NVC19)EQ-5D Index</v>
      </c>
      <c r="C3382" t="s">
        <v>247</v>
      </c>
      <c r="D3382" t="s">
        <v>1</v>
      </c>
      <c r="E3382" t="s">
        <v>3204</v>
      </c>
      <c r="F3382" t="s">
        <v>3205</v>
      </c>
      <c r="G3382" t="s">
        <v>52</v>
      </c>
      <c r="H3382" t="s">
        <v>53</v>
      </c>
      <c r="I3382" t="s">
        <v>53</v>
      </c>
      <c r="J3382" t="s">
        <v>53</v>
      </c>
      <c r="K3382" t="s">
        <v>53</v>
      </c>
      <c r="L3382" t="s">
        <v>53</v>
      </c>
      <c r="M3382" t="s">
        <v>53</v>
      </c>
      <c r="N3382" t="s">
        <v>53</v>
      </c>
      <c r="O3382" t="s">
        <v>53</v>
      </c>
      <c r="P3382" t="s">
        <v>53</v>
      </c>
      <c r="Q3382" t="s">
        <v>53</v>
      </c>
    </row>
    <row r="3383" spans="1:17" x14ac:dyDescent="0.2">
      <c r="A3383" s="30" t="str">
        <f>IF(C3383&amp;G3383&amp;D3383&lt;&gt;'Funnel setup'!$K$3&amp;'Funnel setup'!$K$4&amp;'Funnel setup'!$K$5,".",IF(A3382=".",1,A3382+1))</f>
        <v>.</v>
      </c>
      <c r="B3383" s="431" t="str">
        <f t="shared" si="52"/>
        <v>Hip Replacement RevisionProviderROYAL BERKSHIRE NHS FOUNDATION TRUST (RHW)EQ-5D Index</v>
      </c>
      <c r="C3383" t="s">
        <v>247</v>
      </c>
      <c r="D3383" t="s">
        <v>1</v>
      </c>
      <c r="E3383" t="s">
        <v>3832</v>
      </c>
      <c r="F3383" t="s">
        <v>3833</v>
      </c>
      <c r="G3383" t="s">
        <v>52</v>
      </c>
      <c r="H3383">
        <v>14</v>
      </c>
      <c r="I3383">
        <v>0.47899999999999998</v>
      </c>
      <c r="J3383">
        <v>0.7</v>
      </c>
      <c r="K3383">
        <v>0.221</v>
      </c>
      <c r="L3383">
        <v>12</v>
      </c>
      <c r="M3383">
        <v>1</v>
      </c>
      <c r="N3383">
        <v>1</v>
      </c>
      <c r="O3383" t="s">
        <v>53</v>
      </c>
      <c r="P3383" t="s">
        <v>53</v>
      </c>
      <c r="Q3383" t="s">
        <v>53</v>
      </c>
    </row>
    <row r="3384" spans="1:17" x14ac:dyDescent="0.2">
      <c r="A3384" s="30" t="str">
        <f>IF(C3384&amp;G3384&amp;D3384&lt;&gt;'Funnel setup'!$K$3&amp;'Funnel setup'!$K$4&amp;'Funnel setup'!$K$5,".",IF(A3383=".",1,A3383+1))</f>
        <v>.</v>
      </c>
      <c r="B3384" s="431" t="str">
        <f t="shared" si="52"/>
        <v>Hip Replacement RevisionProviderROYAL CORNWALL HOSPITALS NHS TRUST (REF)EQ-5D Index</v>
      </c>
      <c r="C3384" t="s">
        <v>247</v>
      </c>
      <c r="D3384" t="s">
        <v>1</v>
      </c>
      <c r="E3384" t="s">
        <v>3745</v>
      </c>
      <c r="F3384" t="s">
        <v>3746</v>
      </c>
      <c r="G3384" t="s">
        <v>52</v>
      </c>
      <c r="H3384">
        <v>29</v>
      </c>
      <c r="I3384">
        <v>0.48299999999999998</v>
      </c>
      <c r="J3384">
        <v>0.58599999999999997</v>
      </c>
      <c r="K3384">
        <v>0.10299999999999999</v>
      </c>
      <c r="L3384">
        <v>16</v>
      </c>
      <c r="M3384">
        <v>5</v>
      </c>
      <c r="N3384">
        <v>8</v>
      </c>
      <c r="O3384" t="s">
        <v>53</v>
      </c>
      <c r="P3384" t="s">
        <v>53</v>
      </c>
      <c r="Q3384" t="s">
        <v>53</v>
      </c>
    </row>
    <row r="3385" spans="1:17" x14ac:dyDescent="0.2">
      <c r="A3385" s="30" t="str">
        <f>IF(C3385&amp;G3385&amp;D3385&lt;&gt;'Funnel setup'!$K$3&amp;'Funnel setup'!$K$4&amp;'Funnel setup'!$K$5,".",IF(A3384=".",1,A3384+1))</f>
        <v>.</v>
      </c>
      <c r="B3385" s="431" t="str">
        <f t="shared" si="52"/>
        <v>Hip Replacement RevisionProviderROYAL DEVON AND EXETER NHS FOUNDATION TRUST (RH8)EQ-5D Index</v>
      </c>
      <c r="C3385" t="s">
        <v>247</v>
      </c>
      <c r="D3385" t="s">
        <v>1</v>
      </c>
      <c r="E3385" t="s">
        <v>3442</v>
      </c>
      <c r="F3385" t="s">
        <v>3443</v>
      </c>
      <c r="G3385" t="s">
        <v>52</v>
      </c>
      <c r="H3385">
        <v>50</v>
      </c>
      <c r="I3385">
        <v>0.34599999999999997</v>
      </c>
      <c r="J3385">
        <v>0.629</v>
      </c>
      <c r="K3385">
        <v>0.28399999999999997</v>
      </c>
      <c r="L3385">
        <v>39</v>
      </c>
      <c r="M3385">
        <v>6</v>
      </c>
      <c r="N3385">
        <v>5</v>
      </c>
      <c r="O3385">
        <v>0.65200000000000002</v>
      </c>
      <c r="P3385">
        <v>0.25323839599999998</v>
      </c>
      <c r="Q3385">
        <v>0.27300000000000002</v>
      </c>
    </row>
    <row r="3386" spans="1:17" x14ac:dyDescent="0.2">
      <c r="A3386" s="30" t="str">
        <f>IF(C3386&amp;G3386&amp;D3386&lt;&gt;'Funnel setup'!$K$3&amp;'Funnel setup'!$K$4&amp;'Funnel setup'!$K$5,".",IF(A3385=".",1,A3385+1))</f>
        <v>.</v>
      </c>
      <c r="B3386" s="431" t="str">
        <f t="shared" si="52"/>
        <v>Hip Replacement RevisionProviderROYAL FREE LONDON NHS FOUNDATION TRUST (RAL)EQ-5D Index</v>
      </c>
      <c r="C3386" t="s">
        <v>247</v>
      </c>
      <c r="D3386" t="s">
        <v>1</v>
      </c>
      <c r="E3386" t="s">
        <v>3445</v>
      </c>
      <c r="F3386" t="s">
        <v>3446</v>
      </c>
      <c r="G3386" t="s">
        <v>52</v>
      </c>
      <c r="H3386">
        <v>13</v>
      </c>
      <c r="I3386">
        <v>0.45200000000000001</v>
      </c>
      <c r="J3386">
        <v>0.59199999999999997</v>
      </c>
      <c r="K3386">
        <v>0.13900000000000001</v>
      </c>
      <c r="L3386">
        <v>9</v>
      </c>
      <c r="M3386">
        <v>1</v>
      </c>
      <c r="N3386">
        <v>3</v>
      </c>
      <c r="O3386" t="s">
        <v>53</v>
      </c>
      <c r="P3386" t="s">
        <v>53</v>
      </c>
      <c r="Q3386" t="s">
        <v>53</v>
      </c>
    </row>
    <row r="3387" spans="1:17" x14ac:dyDescent="0.2">
      <c r="A3387" s="30" t="str">
        <f>IF(C3387&amp;G3387&amp;D3387&lt;&gt;'Funnel setup'!$K$3&amp;'Funnel setup'!$K$4&amp;'Funnel setup'!$K$5,".",IF(A3386=".",1,A3386+1))</f>
        <v>.</v>
      </c>
      <c r="B3387" s="431" t="str">
        <f t="shared" si="52"/>
        <v>Hip Replacement RevisionProviderROYAL LIVERPOOL AND BROADGREEN UNIVERSITY HOSPITALS NHS TRUST (RQ6)EQ-5D Index</v>
      </c>
      <c r="C3387" t="s">
        <v>247</v>
      </c>
      <c r="D3387" t="s">
        <v>1</v>
      </c>
      <c r="E3387" t="s">
        <v>3448</v>
      </c>
      <c r="F3387" t="s">
        <v>3449</v>
      </c>
      <c r="G3387" t="s">
        <v>52</v>
      </c>
      <c r="H3387">
        <v>6</v>
      </c>
      <c r="I3387">
        <v>0.27500000000000002</v>
      </c>
      <c r="J3387">
        <v>0.184</v>
      </c>
      <c r="K3387">
        <v>-9.0999999999999998E-2</v>
      </c>
      <c r="L3387">
        <v>2</v>
      </c>
      <c r="M3387">
        <v>1</v>
      </c>
      <c r="N3387">
        <v>3</v>
      </c>
      <c r="O3387" t="s">
        <v>53</v>
      </c>
      <c r="P3387" t="s">
        <v>53</v>
      </c>
      <c r="Q3387" t="s">
        <v>53</v>
      </c>
    </row>
    <row r="3388" spans="1:17" x14ac:dyDescent="0.2">
      <c r="A3388" s="30" t="str">
        <f>IF(C3388&amp;G3388&amp;D3388&lt;&gt;'Funnel setup'!$K$3&amp;'Funnel setup'!$K$4&amp;'Funnel setup'!$K$5,".",IF(A3387=".",1,A3387+1))</f>
        <v>.</v>
      </c>
      <c r="B3388" s="431" t="str">
        <f t="shared" si="52"/>
        <v>Hip Replacement RevisionProviderROYAL NATIONAL ORTHOPAEDIC HOSPITAL NHS TRUST (RAN)EQ-5D Index</v>
      </c>
      <c r="C3388" t="s">
        <v>247</v>
      </c>
      <c r="D3388" t="s">
        <v>1</v>
      </c>
      <c r="E3388" t="s">
        <v>4378</v>
      </c>
      <c r="F3388" t="s">
        <v>4379</v>
      </c>
      <c r="G3388" t="s">
        <v>52</v>
      </c>
      <c r="H3388">
        <v>40</v>
      </c>
      <c r="I3388">
        <v>0.29799999999999999</v>
      </c>
      <c r="J3388">
        <v>0.621</v>
      </c>
      <c r="K3388">
        <v>0.32300000000000001</v>
      </c>
      <c r="L3388">
        <v>30</v>
      </c>
      <c r="M3388">
        <v>4</v>
      </c>
      <c r="N3388">
        <v>6</v>
      </c>
      <c r="O3388">
        <v>0.67400000000000004</v>
      </c>
      <c r="P3388">
        <v>0.27507091500000003</v>
      </c>
      <c r="Q3388">
        <v>0.25</v>
      </c>
    </row>
    <row r="3389" spans="1:17" x14ac:dyDescent="0.2">
      <c r="A3389" s="30" t="str">
        <f>IF(C3389&amp;G3389&amp;D3389&lt;&gt;'Funnel setup'!$K$3&amp;'Funnel setup'!$K$4&amp;'Funnel setup'!$K$5,".",IF(A3388=".",1,A3388+1))</f>
        <v>.</v>
      </c>
      <c r="B3389" s="431" t="str">
        <f t="shared" si="52"/>
        <v>Hip Replacement RevisionProviderROYAL SURREY COUNTY HOSPITAL NHS FOUNDATION TRUST (RA2)EQ-5D Index</v>
      </c>
      <c r="C3389" t="s">
        <v>247</v>
      </c>
      <c r="D3389" t="s">
        <v>1</v>
      </c>
      <c r="E3389" t="s">
        <v>3451</v>
      </c>
      <c r="F3389" t="s">
        <v>3452</v>
      </c>
      <c r="G3389" t="s">
        <v>52</v>
      </c>
      <c r="H3389">
        <v>8</v>
      </c>
      <c r="I3389">
        <v>0.34100000000000003</v>
      </c>
      <c r="J3389">
        <v>0.44700000000000001</v>
      </c>
      <c r="K3389">
        <v>0.106</v>
      </c>
      <c r="L3389">
        <v>4</v>
      </c>
      <c r="M3389">
        <v>0</v>
      </c>
      <c r="N3389">
        <v>4</v>
      </c>
      <c r="O3389" t="s">
        <v>53</v>
      </c>
      <c r="P3389" t="s">
        <v>53</v>
      </c>
      <c r="Q3389" t="s">
        <v>53</v>
      </c>
    </row>
    <row r="3390" spans="1:17" x14ac:dyDescent="0.2">
      <c r="A3390" s="30" t="str">
        <f>IF(C3390&amp;G3390&amp;D3390&lt;&gt;'Funnel setup'!$K$3&amp;'Funnel setup'!$K$4&amp;'Funnel setup'!$K$5,".",IF(A3389=".",1,A3389+1))</f>
        <v>.</v>
      </c>
      <c r="B3390" s="431" t="str">
        <f t="shared" si="52"/>
        <v>Hip Replacement RevisionProviderROYAL UNITED HOSPITALS BATH NHS FOUNDATION TRUST (RD1)EQ-5D Index</v>
      </c>
      <c r="C3390" t="s">
        <v>247</v>
      </c>
      <c r="D3390" t="s">
        <v>1</v>
      </c>
      <c r="E3390" t="s">
        <v>3454</v>
      </c>
      <c r="F3390" t="s">
        <v>3455</v>
      </c>
      <c r="G3390" t="s">
        <v>52</v>
      </c>
      <c r="H3390">
        <v>33</v>
      </c>
      <c r="I3390">
        <v>0.45900000000000002</v>
      </c>
      <c r="J3390">
        <v>0.70899999999999996</v>
      </c>
      <c r="K3390">
        <v>0.25</v>
      </c>
      <c r="L3390">
        <v>18</v>
      </c>
      <c r="M3390">
        <v>11</v>
      </c>
      <c r="N3390">
        <v>4</v>
      </c>
      <c r="O3390">
        <v>0.68</v>
      </c>
      <c r="P3390">
        <v>0.28092714099999999</v>
      </c>
      <c r="Q3390">
        <v>0.246</v>
      </c>
    </row>
    <row r="3391" spans="1:17" x14ac:dyDescent="0.2">
      <c r="A3391" s="30" t="str">
        <f>IF(C3391&amp;G3391&amp;D3391&lt;&gt;'Funnel setup'!$K$3&amp;'Funnel setup'!$K$4&amp;'Funnel setup'!$K$5,".",IF(A3390=".",1,A3390+1))</f>
        <v>.</v>
      </c>
      <c r="B3391" s="431" t="str">
        <f t="shared" si="52"/>
        <v>Hip Replacement RevisionProviderSALFORD ROYAL NHS FOUNDATION TRUST (RM3)EQ-5D Index</v>
      </c>
      <c r="C3391" t="s">
        <v>247</v>
      </c>
      <c r="D3391" t="s">
        <v>1</v>
      </c>
      <c r="E3391" t="s">
        <v>3457</v>
      </c>
      <c r="F3391" t="s">
        <v>3458</v>
      </c>
      <c r="G3391" t="s">
        <v>52</v>
      </c>
      <c r="H3391" t="s">
        <v>53</v>
      </c>
      <c r="I3391" t="s">
        <v>53</v>
      </c>
      <c r="J3391" t="s">
        <v>53</v>
      </c>
      <c r="K3391" t="s">
        <v>53</v>
      </c>
      <c r="L3391" t="s">
        <v>53</v>
      </c>
      <c r="M3391" t="s">
        <v>53</v>
      </c>
      <c r="N3391" t="s">
        <v>53</v>
      </c>
      <c r="O3391" t="s">
        <v>53</v>
      </c>
      <c r="P3391" t="s">
        <v>53</v>
      </c>
      <c r="Q3391" t="s">
        <v>53</v>
      </c>
    </row>
    <row r="3392" spans="1:17" x14ac:dyDescent="0.2">
      <c r="A3392" s="30" t="str">
        <f>IF(C3392&amp;G3392&amp;D3392&lt;&gt;'Funnel setup'!$K$3&amp;'Funnel setup'!$K$4&amp;'Funnel setup'!$K$5,".",IF(A3391=".",1,A3391+1))</f>
        <v>.</v>
      </c>
      <c r="B3392" s="431" t="str">
        <f t="shared" si="52"/>
        <v>Hip Replacement RevisionProviderSALISBURY NHS FOUNDATION TRUST (RNZ)EQ-5D Index</v>
      </c>
      <c r="C3392" t="s">
        <v>247</v>
      </c>
      <c r="D3392" t="s">
        <v>1</v>
      </c>
      <c r="E3392" t="s">
        <v>3460</v>
      </c>
      <c r="F3392" t="s">
        <v>3461</v>
      </c>
      <c r="G3392" t="s">
        <v>52</v>
      </c>
      <c r="H3392" t="s">
        <v>53</v>
      </c>
      <c r="I3392" t="s">
        <v>53</v>
      </c>
      <c r="J3392" t="s">
        <v>53</v>
      </c>
      <c r="K3392" t="s">
        <v>53</v>
      </c>
      <c r="L3392" t="s">
        <v>53</v>
      </c>
      <c r="M3392" t="s">
        <v>53</v>
      </c>
      <c r="N3392" t="s">
        <v>53</v>
      </c>
      <c r="O3392" t="s">
        <v>53</v>
      </c>
      <c r="P3392" t="s">
        <v>53</v>
      </c>
      <c r="Q3392" t="s">
        <v>53</v>
      </c>
    </row>
    <row r="3393" spans="1:17" x14ac:dyDescent="0.2">
      <c r="A3393" s="30" t="str">
        <f>IF(C3393&amp;G3393&amp;D3393&lt;&gt;'Funnel setup'!$K$3&amp;'Funnel setup'!$K$4&amp;'Funnel setup'!$K$5,".",IF(A3392=".",1,A3392+1))</f>
        <v>.</v>
      </c>
      <c r="B3393" s="431" t="str">
        <f t="shared" si="52"/>
        <v>Hip Replacement RevisionProviderSANDWELL AND WEST BIRMINGHAM HOSPITALS NHS TRUST (RXK)EQ-5D Index</v>
      </c>
      <c r="C3393" t="s">
        <v>247</v>
      </c>
      <c r="D3393" t="s">
        <v>1</v>
      </c>
      <c r="E3393" t="s">
        <v>3463</v>
      </c>
      <c r="F3393" t="s">
        <v>3464</v>
      </c>
      <c r="G3393" t="s">
        <v>52</v>
      </c>
      <c r="H3393" t="s">
        <v>53</v>
      </c>
      <c r="I3393" t="s">
        <v>53</v>
      </c>
      <c r="J3393" t="s">
        <v>53</v>
      </c>
      <c r="K3393" t="s">
        <v>53</v>
      </c>
      <c r="L3393" t="s">
        <v>53</v>
      </c>
      <c r="M3393" t="s">
        <v>53</v>
      </c>
      <c r="N3393" t="s">
        <v>53</v>
      </c>
      <c r="O3393" t="s">
        <v>53</v>
      </c>
      <c r="P3393" t="s">
        <v>53</v>
      </c>
      <c r="Q3393" t="s">
        <v>53</v>
      </c>
    </row>
    <row r="3394" spans="1:17" x14ac:dyDescent="0.2">
      <c r="A3394" s="30" t="str">
        <f>IF(C3394&amp;G3394&amp;D3394&lt;&gt;'Funnel setup'!$K$3&amp;'Funnel setup'!$K$4&amp;'Funnel setup'!$K$5,".",IF(A3393=".",1,A3393+1))</f>
        <v>.</v>
      </c>
      <c r="B3394" s="431" t="str">
        <f t="shared" si="52"/>
        <v>Hip Replacement RevisionProviderSHEFFIELD TEACHING HOSPITALS NHS FOUNDATION TRUST (RHQ)EQ-5D Index</v>
      </c>
      <c r="C3394" t="s">
        <v>247</v>
      </c>
      <c r="D3394" t="s">
        <v>1</v>
      </c>
      <c r="E3394" t="s">
        <v>3466</v>
      </c>
      <c r="F3394" t="s">
        <v>3467</v>
      </c>
      <c r="G3394" t="s">
        <v>52</v>
      </c>
      <c r="H3394">
        <v>42</v>
      </c>
      <c r="I3394">
        <v>0.252</v>
      </c>
      <c r="J3394">
        <v>0.66200000000000003</v>
      </c>
      <c r="K3394">
        <v>0.40899999999999997</v>
      </c>
      <c r="L3394">
        <v>34</v>
      </c>
      <c r="M3394">
        <v>5</v>
      </c>
      <c r="N3394">
        <v>3</v>
      </c>
      <c r="O3394">
        <v>0.70499999999999996</v>
      </c>
      <c r="P3394">
        <v>0.305783103</v>
      </c>
      <c r="Q3394">
        <v>0.245</v>
      </c>
    </row>
    <row r="3395" spans="1:17" x14ac:dyDescent="0.2">
      <c r="A3395" s="30" t="str">
        <f>IF(C3395&amp;G3395&amp;D3395&lt;&gt;'Funnel setup'!$K$3&amp;'Funnel setup'!$K$4&amp;'Funnel setup'!$K$5,".",IF(A3394=".",1,A3394+1))</f>
        <v>.</v>
      </c>
      <c r="B3395" s="431" t="str">
        <f t="shared" ref="B3395:B3458" si="53">C3395&amp;D3395&amp;F3395&amp;G3395</f>
        <v>Hip Replacement RevisionProviderSHEPTON MALLET NHS TREATMENT CENTRE (NTPH1)EQ-5D Index</v>
      </c>
      <c r="C3395" t="s">
        <v>247</v>
      </c>
      <c r="D3395" t="s">
        <v>1</v>
      </c>
      <c r="E3395" t="s">
        <v>3472</v>
      </c>
      <c r="F3395" t="s">
        <v>3473</v>
      </c>
      <c r="G3395" t="s">
        <v>52</v>
      </c>
      <c r="H3395">
        <v>32</v>
      </c>
      <c r="I3395">
        <v>0.73799999999999999</v>
      </c>
      <c r="J3395">
        <v>0.872</v>
      </c>
      <c r="K3395">
        <v>0.13400000000000001</v>
      </c>
      <c r="L3395">
        <v>12</v>
      </c>
      <c r="M3395">
        <v>15</v>
      </c>
      <c r="N3395">
        <v>5</v>
      </c>
      <c r="O3395">
        <v>0.74199999999999999</v>
      </c>
      <c r="P3395">
        <v>0.34356868299999999</v>
      </c>
      <c r="Q3395">
        <v>0.127</v>
      </c>
    </row>
    <row r="3396" spans="1:17" x14ac:dyDescent="0.2">
      <c r="A3396" s="30" t="str">
        <f>IF(C3396&amp;G3396&amp;D3396&lt;&gt;'Funnel setup'!$K$3&amp;'Funnel setup'!$K$4&amp;'Funnel setup'!$K$5,".",IF(A3395=".",1,A3395+1))</f>
        <v>.</v>
      </c>
      <c r="B3396" s="431" t="str">
        <f t="shared" si="53"/>
        <v>Hip Replacement RevisionProviderSHERWOOD FOREST HOSPITALS NHS FOUNDATION TRUST (RK5)EQ-5D Index</v>
      </c>
      <c r="C3396" t="s">
        <v>247</v>
      </c>
      <c r="D3396" t="s">
        <v>1</v>
      </c>
      <c r="E3396" t="s">
        <v>3475</v>
      </c>
      <c r="F3396" t="s">
        <v>3476</v>
      </c>
      <c r="G3396" t="s">
        <v>52</v>
      </c>
      <c r="H3396" t="s">
        <v>53</v>
      </c>
      <c r="I3396" t="s">
        <v>53</v>
      </c>
      <c r="J3396" t="s">
        <v>53</v>
      </c>
      <c r="K3396" t="s">
        <v>53</v>
      </c>
      <c r="L3396" t="s">
        <v>53</v>
      </c>
      <c r="M3396" t="s">
        <v>53</v>
      </c>
      <c r="N3396" t="s">
        <v>53</v>
      </c>
      <c r="O3396" t="s">
        <v>53</v>
      </c>
      <c r="P3396" t="s">
        <v>53</v>
      </c>
      <c r="Q3396" t="s">
        <v>53</v>
      </c>
    </row>
    <row r="3397" spans="1:17" x14ac:dyDescent="0.2">
      <c r="A3397" s="30" t="str">
        <f>IF(C3397&amp;G3397&amp;D3397&lt;&gt;'Funnel setup'!$K$3&amp;'Funnel setup'!$K$4&amp;'Funnel setup'!$K$5,".",IF(A3396=".",1,A3396+1))</f>
        <v>.</v>
      </c>
      <c r="B3397" s="431" t="str">
        <f t="shared" si="53"/>
        <v>Hip Replacement RevisionProviderSHREWSBURY AND TELFORD HOSPITAL NHS TRUST (RXW)EQ-5D Index</v>
      </c>
      <c r="C3397" t="s">
        <v>247</v>
      </c>
      <c r="D3397" t="s">
        <v>1</v>
      </c>
      <c r="E3397" t="s">
        <v>3478</v>
      </c>
      <c r="F3397" t="s">
        <v>3479</v>
      </c>
      <c r="G3397" t="s">
        <v>52</v>
      </c>
      <c r="H3397">
        <v>13</v>
      </c>
      <c r="I3397">
        <v>0.28399999999999997</v>
      </c>
      <c r="J3397">
        <v>0.64800000000000002</v>
      </c>
      <c r="K3397">
        <v>0.36399999999999999</v>
      </c>
      <c r="L3397">
        <v>10</v>
      </c>
      <c r="M3397">
        <v>0</v>
      </c>
      <c r="N3397">
        <v>3</v>
      </c>
      <c r="O3397" t="s">
        <v>53</v>
      </c>
      <c r="P3397" t="s">
        <v>53</v>
      </c>
      <c r="Q3397" t="s">
        <v>53</v>
      </c>
    </row>
    <row r="3398" spans="1:17" x14ac:dyDescent="0.2">
      <c r="A3398" s="30" t="str">
        <f>IF(C3398&amp;G3398&amp;D3398&lt;&gt;'Funnel setup'!$K$3&amp;'Funnel setup'!$K$4&amp;'Funnel setup'!$K$5,".",IF(A3397=".",1,A3397+1))</f>
        <v>.</v>
      </c>
      <c r="B3398" s="431" t="str">
        <f t="shared" si="53"/>
        <v>Hip Replacement RevisionProviderSOUTH TEES HOSPITALS NHS FOUNDATION TRUST (RTR)EQ-5D Index</v>
      </c>
      <c r="C3398" t="s">
        <v>247</v>
      </c>
      <c r="D3398" t="s">
        <v>1</v>
      </c>
      <c r="E3398" t="s">
        <v>3482</v>
      </c>
      <c r="F3398" t="s">
        <v>3483</v>
      </c>
      <c r="G3398" t="s">
        <v>52</v>
      </c>
      <c r="H3398">
        <v>40</v>
      </c>
      <c r="I3398">
        <v>0.433</v>
      </c>
      <c r="J3398">
        <v>0.64500000000000002</v>
      </c>
      <c r="K3398">
        <v>0.21199999999999999</v>
      </c>
      <c r="L3398">
        <v>24</v>
      </c>
      <c r="M3398">
        <v>10</v>
      </c>
      <c r="N3398">
        <v>6</v>
      </c>
      <c r="O3398">
        <v>0.64600000000000002</v>
      </c>
      <c r="P3398">
        <v>0.247657196</v>
      </c>
      <c r="Q3398">
        <v>0.23200000000000001</v>
      </c>
    </row>
    <row r="3399" spans="1:17" x14ac:dyDescent="0.2">
      <c r="A3399" s="30" t="str">
        <f>IF(C3399&amp;G3399&amp;D3399&lt;&gt;'Funnel setup'!$K$3&amp;'Funnel setup'!$K$4&amp;'Funnel setup'!$K$5,".",IF(A3398=".",1,A3398+1))</f>
        <v>.</v>
      </c>
      <c r="B3399" s="431" t="str">
        <f t="shared" si="53"/>
        <v>Hip Replacement RevisionProviderSOUTH TYNESIDE NHS FOUNDATION TRUST (RE9)EQ-5D Index</v>
      </c>
      <c r="C3399" t="s">
        <v>247</v>
      </c>
      <c r="D3399" t="s">
        <v>1</v>
      </c>
      <c r="E3399" t="s">
        <v>3485</v>
      </c>
      <c r="F3399" t="s">
        <v>3486</v>
      </c>
      <c r="G3399" t="s">
        <v>52</v>
      </c>
      <c r="H3399" t="s">
        <v>53</v>
      </c>
      <c r="I3399" t="s">
        <v>53</v>
      </c>
      <c r="J3399" t="s">
        <v>53</v>
      </c>
      <c r="K3399" t="s">
        <v>53</v>
      </c>
      <c r="L3399" t="s">
        <v>53</v>
      </c>
      <c r="M3399" t="s">
        <v>53</v>
      </c>
      <c r="N3399" t="s">
        <v>53</v>
      </c>
      <c r="O3399" t="s">
        <v>53</v>
      </c>
      <c r="P3399" t="s">
        <v>53</v>
      </c>
      <c r="Q3399" t="s">
        <v>53</v>
      </c>
    </row>
    <row r="3400" spans="1:17" x14ac:dyDescent="0.2">
      <c r="A3400" s="30" t="str">
        <f>IF(C3400&amp;G3400&amp;D3400&lt;&gt;'Funnel setup'!$K$3&amp;'Funnel setup'!$K$4&amp;'Funnel setup'!$K$5,".",IF(A3399=".",1,A3399+1))</f>
        <v>.</v>
      </c>
      <c r="B3400" s="431" t="str">
        <f t="shared" si="53"/>
        <v>Hip Replacement RevisionProviderSOUTH WARWICKSHIRE NHS FOUNDATION TRUST (RJC)EQ-5D Index</v>
      </c>
      <c r="C3400" t="s">
        <v>247</v>
      </c>
      <c r="D3400" t="s">
        <v>1</v>
      </c>
      <c r="E3400" t="s">
        <v>3421</v>
      </c>
      <c r="F3400" t="s">
        <v>3422</v>
      </c>
      <c r="G3400" t="s">
        <v>52</v>
      </c>
      <c r="H3400">
        <v>15</v>
      </c>
      <c r="I3400">
        <v>0.42899999999999999</v>
      </c>
      <c r="J3400">
        <v>0.60499999999999998</v>
      </c>
      <c r="K3400">
        <v>0.17499999999999999</v>
      </c>
      <c r="L3400">
        <v>11</v>
      </c>
      <c r="M3400">
        <v>2</v>
      </c>
      <c r="N3400">
        <v>2</v>
      </c>
      <c r="O3400" t="s">
        <v>53</v>
      </c>
      <c r="P3400" t="s">
        <v>53</v>
      </c>
      <c r="Q3400" t="s">
        <v>53</v>
      </c>
    </row>
    <row r="3401" spans="1:17" x14ac:dyDescent="0.2">
      <c r="A3401" s="30" t="str">
        <f>IF(C3401&amp;G3401&amp;D3401&lt;&gt;'Funnel setup'!$K$3&amp;'Funnel setup'!$K$4&amp;'Funnel setup'!$K$5,".",IF(A3400=".",1,A3400+1))</f>
        <v>.</v>
      </c>
      <c r="B3401" s="431" t="str">
        <f t="shared" si="53"/>
        <v>Hip Replacement RevisionProviderSOUTHAMPTON NHS TREATMENT CENTRE (NTP11)EQ-5D Index</v>
      </c>
      <c r="C3401" t="s">
        <v>247</v>
      </c>
      <c r="D3401" t="s">
        <v>1</v>
      </c>
      <c r="E3401" t="s">
        <v>3424</v>
      </c>
      <c r="F3401" t="s">
        <v>3425</v>
      </c>
      <c r="G3401" t="s">
        <v>52</v>
      </c>
      <c r="H3401" t="s">
        <v>53</v>
      </c>
      <c r="I3401" t="s">
        <v>53</v>
      </c>
      <c r="J3401" t="s">
        <v>53</v>
      </c>
      <c r="K3401" t="s">
        <v>53</v>
      </c>
      <c r="L3401" t="s">
        <v>53</v>
      </c>
      <c r="M3401" t="s">
        <v>53</v>
      </c>
      <c r="N3401" t="s">
        <v>53</v>
      </c>
      <c r="O3401" t="s">
        <v>53</v>
      </c>
      <c r="P3401" t="s">
        <v>53</v>
      </c>
      <c r="Q3401" t="s">
        <v>53</v>
      </c>
    </row>
    <row r="3402" spans="1:17" x14ac:dyDescent="0.2">
      <c r="A3402" s="30" t="str">
        <f>IF(C3402&amp;G3402&amp;D3402&lt;&gt;'Funnel setup'!$K$3&amp;'Funnel setup'!$K$4&amp;'Funnel setup'!$K$5,".",IF(A3401=".",1,A3401+1))</f>
        <v>.</v>
      </c>
      <c r="B3402" s="431" t="str">
        <f t="shared" si="53"/>
        <v>Hip Replacement RevisionProviderSOUTHEND UNIVERSITY HOSPITAL NHS FOUNDATION TRUST (RAJ)EQ-5D Index</v>
      </c>
      <c r="C3402" t="s">
        <v>247</v>
      </c>
      <c r="D3402" t="s">
        <v>1</v>
      </c>
      <c r="E3402" t="s">
        <v>3427</v>
      </c>
      <c r="F3402" t="s">
        <v>3428</v>
      </c>
      <c r="G3402" t="s">
        <v>52</v>
      </c>
      <c r="H3402">
        <v>9</v>
      </c>
      <c r="I3402">
        <v>0.40899999999999997</v>
      </c>
      <c r="J3402">
        <v>0.747</v>
      </c>
      <c r="K3402">
        <v>0.33800000000000002</v>
      </c>
      <c r="L3402">
        <v>6</v>
      </c>
      <c r="M3402">
        <v>2</v>
      </c>
      <c r="N3402">
        <v>1</v>
      </c>
      <c r="O3402" t="s">
        <v>53</v>
      </c>
      <c r="P3402" t="s">
        <v>53</v>
      </c>
      <c r="Q3402" t="s">
        <v>53</v>
      </c>
    </row>
    <row r="3403" spans="1:17" x14ac:dyDescent="0.2">
      <c r="A3403" s="30" t="str">
        <f>IF(C3403&amp;G3403&amp;D3403&lt;&gt;'Funnel setup'!$K$3&amp;'Funnel setup'!$K$4&amp;'Funnel setup'!$K$5,".",IF(A3402=".",1,A3402+1))</f>
        <v>.</v>
      </c>
      <c r="B3403" s="431" t="str">
        <f t="shared" si="53"/>
        <v>Hip Replacement RevisionProviderSOUTHPORT AND ORMSKIRK HOSPITAL NHS TRUST (RVY)EQ-5D Index</v>
      </c>
      <c r="C3403" t="s">
        <v>247</v>
      </c>
      <c r="D3403" t="s">
        <v>1</v>
      </c>
      <c r="E3403" t="s">
        <v>3430</v>
      </c>
      <c r="F3403" t="s">
        <v>3431</v>
      </c>
      <c r="G3403" t="s">
        <v>52</v>
      </c>
      <c r="H3403" t="s">
        <v>53</v>
      </c>
      <c r="I3403" t="s">
        <v>53</v>
      </c>
      <c r="J3403" t="s">
        <v>53</v>
      </c>
      <c r="K3403" t="s">
        <v>53</v>
      </c>
      <c r="L3403" t="s">
        <v>53</v>
      </c>
      <c r="M3403" t="s">
        <v>53</v>
      </c>
      <c r="N3403" t="s">
        <v>53</v>
      </c>
      <c r="O3403" t="s">
        <v>53</v>
      </c>
      <c r="P3403" t="s">
        <v>53</v>
      </c>
      <c r="Q3403" t="s">
        <v>53</v>
      </c>
    </row>
    <row r="3404" spans="1:17" x14ac:dyDescent="0.2">
      <c r="A3404" s="30" t="str">
        <f>IF(C3404&amp;G3404&amp;D3404&lt;&gt;'Funnel setup'!$K$3&amp;'Funnel setup'!$K$4&amp;'Funnel setup'!$K$5,".",IF(A3403=".",1,A3403+1))</f>
        <v>.</v>
      </c>
      <c r="B3404" s="431" t="str">
        <f t="shared" si="53"/>
        <v>Hip Replacement RevisionProviderSPIRE BRISTOL HOSPITAL (NT302)EQ-5D Index</v>
      </c>
      <c r="C3404" t="s">
        <v>247</v>
      </c>
      <c r="D3404" t="s">
        <v>1</v>
      </c>
      <c r="E3404" t="s">
        <v>4381</v>
      </c>
      <c r="F3404" t="s">
        <v>4382</v>
      </c>
      <c r="G3404" t="s">
        <v>52</v>
      </c>
      <c r="H3404" t="s">
        <v>53</v>
      </c>
      <c r="I3404" t="s">
        <v>53</v>
      </c>
      <c r="J3404" t="s">
        <v>53</v>
      </c>
      <c r="K3404" t="s">
        <v>53</v>
      </c>
      <c r="L3404" t="s">
        <v>53</v>
      </c>
      <c r="M3404" t="s">
        <v>53</v>
      </c>
      <c r="N3404" t="s">
        <v>53</v>
      </c>
      <c r="O3404" t="s">
        <v>53</v>
      </c>
      <c r="P3404" t="s">
        <v>53</v>
      </c>
      <c r="Q3404" t="s">
        <v>53</v>
      </c>
    </row>
    <row r="3405" spans="1:17" x14ac:dyDescent="0.2">
      <c r="A3405" s="30" t="str">
        <f>IF(C3405&amp;G3405&amp;D3405&lt;&gt;'Funnel setup'!$K$3&amp;'Funnel setup'!$K$4&amp;'Funnel setup'!$K$5,".",IF(A3404=".",1,A3404+1))</f>
        <v>.</v>
      </c>
      <c r="B3405" s="431" t="str">
        <f t="shared" si="53"/>
        <v>Hip Replacement RevisionProviderSPIRE GATWICK PARK HOSPITAL (NT308)EQ-5D Index</v>
      </c>
      <c r="C3405" t="s">
        <v>247</v>
      </c>
      <c r="D3405" t="s">
        <v>1</v>
      </c>
      <c r="E3405" t="s">
        <v>3409</v>
      </c>
      <c r="F3405" t="s">
        <v>3410</v>
      </c>
      <c r="G3405" t="s">
        <v>52</v>
      </c>
      <c r="H3405" t="s">
        <v>53</v>
      </c>
      <c r="I3405" t="s">
        <v>53</v>
      </c>
      <c r="J3405" t="s">
        <v>53</v>
      </c>
      <c r="K3405" t="s">
        <v>53</v>
      </c>
      <c r="L3405" t="s">
        <v>53</v>
      </c>
      <c r="M3405" t="s">
        <v>53</v>
      </c>
      <c r="N3405" t="s">
        <v>53</v>
      </c>
      <c r="O3405" t="s">
        <v>53</v>
      </c>
      <c r="P3405" t="s">
        <v>53</v>
      </c>
      <c r="Q3405" t="s">
        <v>53</v>
      </c>
    </row>
    <row r="3406" spans="1:17" x14ac:dyDescent="0.2">
      <c r="A3406" s="30" t="str">
        <f>IF(C3406&amp;G3406&amp;D3406&lt;&gt;'Funnel setup'!$K$3&amp;'Funnel setup'!$K$4&amp;'Funnel setup'!$K$5,".",IF(A3405=".",1,A3405+1))</f>
        <v>.</v>
      </c>
      <c r="B3406" s="431" t="str">
        <f t="shared" si="53"/>
        <v>Hip Replacement RevisionProviderSPIRE HARPENDEN HOSPITAL (NT316)EQ-5D Index</v>
      </c>
      <c r="C3406" t="s">
        <v>247</v>
      </c>
      <c r="D3406" t="s">
        <v>1</v>
      </c>
      <c r="E3406" t="s">
        <v>4267</v>
      </c>
      <c r="F3406" t="s">
        <v>4268</v>
      </c>
      <c r="G3406" t="s">
        <v>52</v>
      </c>
      <c r="H3406" t="s">
        <v>53</v>
      </c>
      <c r="I3406" t="s">
        <v>53</v>
      </c>
      <c r="J3406" t="s">
        <v>53</v>
      </c>
      <c r="K3406" t="s">
        <v>53</v>
      </c>
      <c r="L3406" t="s">
        <v>53</v>
      </c>
      <c r="M3406" t="s">
        <v>53</v>
      </c>
      <c r="N3406" t="s">
        <v>53</v>
      </c>
      <c r="O3406" t="s">
        <v>53</v>
      </c>
      <c r="P3406" t="s">
        <v>53</v>
      </c>
      <c r="Q3406" t="s">
        <v>53</v>
      </c>
    </row>
    <row r="3407" spans="1:17" x14ac:dyDescent="0.2">
      <c r="A3407" s="30" t="str">
        <f>IF(C3407&amp;G3407&amp;D3407&lt;&gt;'Funnel setup'!$K$3&amp;'Funnel setup'!$K$4&amp;'Funnel setup'!$K$5,".",IF(A3406=".",1,A3406+1))</f>
        <v>.</v>
      </c>
      <c r="B3407" s="431" t="str">
        <f t="shared" si="53"/>
        <v>Hip Replacement RevisionProviderSPIRE HULL AND EAST RIDING HOSPITAL (NT351)EQ-5D Index</v>
      </c>
      <c r="C3407" t="s">
        <v>247</v>
      </c>
      <c r="D3407" t="s">
        <v>1</v>
      </c>
      <c r="E3407" t="s">
        <v>3213</v>
      </c>
      <c r="F3407" t="s">
        <v>3214</v>
      </c>
      <c r="G3407" t="s">
        <v>52</v>
      </c>
      <c r="H3407" t="s">
        <v>53</v>
      </c>
      <c r="I3407" t="s">
        <v>53</v>
      </c>
      <c r="J3407" t="s">
        <v>53</v>
      </c>
      <c r="K3407" t="s">
        <v>53</v>
      </c>
      <c r="L3407" t="s">
        <v>53</v>
      </c>
      <c r="M3407" t="s">
        <v>53</v>
      </c>
      <c r="N3407" t="s">
        <v>53</v>
      </c>
      <c r="O3407" t="s">
        <v>53</v>
      </c>
      <c r="P3407" t="s">
        <v>53</v>
      </c>
      <c r="Q3407" t="s">
        <v>53</v>
      </c>
    </row>
    <row r="3408" spans="1:17" x14ac:dyDescent="0.2">
      <c r="A3408" s="30" t="str">
        <f>IF(C3408&amp;G3408&amp;D3408&lt;&gt;'Funnel setup'!$K$3&amp;'Funnel setup'!$K$4&amp;'Funnel setup'!$K$5,".",IF(A3407=".",1,A3407+1))</f>
        <v>.</v>
      </c>
      <c r="B3408" s="431" t="str">
        <f t="shared" si="53"/>
        <v>Hip Replacement RevisionProviderSPIRE REGENCY HOSPITAL (NT339)EQ-5D Index</v>
      </c>
      <c r="C3408" t="s">
        <v>247</v>
      </c>
      <c r="D3408" t="s">
        <v>1</v>
      </c>
      <c r="E3408" t="s">
        <v>3171</v>
      </c>
      <c r="F3408" t="s">
        <v>3172</v>
      </c>
      <c r="G3408" t="s">
        <v>52</v>
      </c>
      <c r="H3408" t="s">
        <v>53</v>
      </c>
      <c r="I3408" t="s">
        <v>53</v>
      </c>
      <c r="J3408" t="s">
        <v>53</v>
      </c>
      <c r="K3408" t="s">
        <v>53</v>
      </c>
      <c r="L3408" t="s">
        <v>53</v>
      </c>
      <c r="M3408" t="s">
        <v>53</v>
      </c>
      <c r="N3408" t="s">
        <v>53</v>
      </c>
      <c r="O3408" t="s">
        <v>53</v>
      </c>
      <c r="P3408" t="s">
        <v>53</v>
      </c>
      <c r="Q3408" t="s">
        <v>53</v>
      </c>
    </row>
    <row r="3409" spans="1:17" x14ac:dyDescent="0.2">
      <c r="A3409" s="30" t="str">
        <f>IF(C3409&amp;G3409&amp;D3409&lt;&gt;'Funnel setup'!$K$3&amp;'Funnel setup'!$K$4&amp;'Funnel setup'!$K$5,".",IF(A3408=".",1,A3408+1))</f>
        <v>.</v>
      </c>
      <c r="B3409" s="431" t="str">
        <f t="shared" si="53"/>
        <v>Hip Replacement RevisionProviderSPIRE SUSSEX HOSPITAL (NT309)EQ-5D Index</v>
      </c>
      <c r="C3409" t="s">
        <v>247</v>
      </c>
      <c r="D3409" t="s">
        <v>1</v>
      </c>
      <c r="E3409" t="s">
        <v>3180</v>
      </c>
      <c r="F3409" t="s">
        <v>3181</v>
      </c>
      <c r="G3409" t="s">
        <v>52</v>
      </c>
      <c r="H3409" t="s">
        <v>53</v>
      </c>
      <c r="I3409" t="s">
        <v>53</v>
      </c>
      <c r="J3409" t="s">
        <v>53</v>
      </c>
      <c r="K3409" t="s">
        <v>53</v>
      </c>
      <c r="L3409" t="s">
        <v>53</v>
      </c>
      <c r="M3409" t="s">
        <v>53</v>
      </c>
      <c r="N3409" t="s">
        <v>53</v>
      </c>
      <c r="O3409" t="s">
        <v>53</v>
      </c>
      <c r="P3409" t="s">
        <v>53</v>
      </c>
      <c r="Q3409" t="s">
        <v>53</v>
      </c>
    </row>
    <row r="3410" spans="1:17" x14ac:dyDescent="0.2">
      <c r="A3410" s="30" t="str">
        <f>IF(C3410&amp;G3410&amp;D3410&lt;&gt;'Funnel setup'!$K$3&amp;'Funnel setup'!$K$4&amp;'Funnel setup'!$K$5,".",IF(A3409=".",1,A3409+1))</f>
        <v>.</v>
      </c>
      <c r="B3410" s="431" t="str">
        <f t="shared" si="53"/>
        <v>Hip Replacement RevisionProviderSPIRE WELLESLEY HOSPITAL (NT313)EQ-5D Index</v>
      </c>
      <c r="C3410" t="s">
        <v>247</v>
      </c>
      <c r="D3410" t="s">
        <v>1</v>
      </c>
      <c r="E3410" t="s">
        <v>3192</v>
      </c>
      <c r="F3410" t="s">
        <v>3193</v>
      </c>
      <c r="G3410" t="s">
        <v>52</v>
      </c>
      <c r="H3410" t="s">
        <v>53</v>
      </c>
      <c r="I3410" t="s">
        <v>53</v>
      </c>
      <c r="J3410" t="s">
        <v>53</v>
      </c>
      <c r="K3410" t="s">
        <v>53</v>
      </c>
      <c r="L3410" t="s">
        <v>53</v>
      </c>
      <c r="M3410" t="s">
        <v>53</v>
      </c>
      <c r="N3410" t="s">
        <v>53</v>
      </c>
      <c r="O3410" t="s">
        <v>53</v>
      </c>
      <c r="P3410" t="s">
        <v>53</v>
      </c>
      <c r="Q3410" t="s">
        <v>53</v>
      </c>
    </row>
    <row r="3411" spans="1:17" x14ac:dyDescent="0.2">
      <c r="A3411" s="30" t="str">
        <f>IF(C3411&amp;G3411&amp;D3411&lt;&gt;'Funnel setup'!$K$3&amp;'Funnel setup'!$K$4&amp;'Funnel setup'!$K$5,".",IF(A3410=".",1,A3410+1))</f>
        <v>.</v>
      </c>
      <c r="B3411" s="431" t="str">
        <f t="shared" si="53"/>
        <v>Hip Replacement RevisionProviderSPRINGFIELD HOSPITAL (NVC18)EQ-5D Index</v>
      </c>
      <c r="C3411" t="s">
        <v>247</v>
      </c>
      <c r="D3411" t="s">
        <v>1</v>
      </c>
      <c r="E3411" t="s">
        <v>3195</v>
      </c>
      <c r="F3411" t="s">
        <v>3196</v>
      </c>
      <c r="G3411" t="s">
        <v>52</v>
      </c>
      <c r="H3411" t="s">
        <v>53</v>
      </c>
      <c r="I3411" t="s">
        <v>53</v>
      </c>
      <c r="J3411" t="s">
        <v>53</v>
      </c>
      <c r="K3411" t="s">
        <v>53</v>
      </c>
      <c r="L3411" t="s">
        <v>53</v>
      </c>
      <c r="M3411" t="s">
        <v>53</v>
      </c>
      <c r="N3411" t="s">
        <v>53</v>
      </c>
      <c r="O3411" t="s">
        <v>53</v>
      </c>
      <c r="P3411" t="s">
        <v>53</v>
      </c>
      <c r="Q3411" t="s">
        <v>53</v>
      </c>
    </row>
    <row r="3412" spans="1:17" x14ac:dyDescent="0.2">
      <c r="A3412" s="30" t="str">
        <f>IF(C3412&amp;G3412&amp;D3412&lt;&gt;'Funnel setup'!$K$3&amp;'Funnel setup'!$K$4&amp;'Funnel setup'!$K$5,".",IF(A3411=".",1,A3411+1))</f>
        <v>.</v>
      </c>
      <c r="B3412" s="431" t="str">
        <f t="shared" si="53"/>
        <v>Hip Replacement RevisionProviderST GEORGE'S UNIVERSITY HOSPITALS NHS FOUNDATION TRUST (RJ7)EQ-5D Index</v>
      </c>
      <c r="C3412" t="s">
        <v>247</v>
      </c>
      <c r="D3412" t="s">
        <v>1</v>
      </c>
      <c r="E3412" t="s">
        <v>3124</v>
      </c>
      <c r="F3412" t="s">
        <v>3125</v>
      </c>
      <c r="G3412" t="s">
        <v>52</v>
      </c>
      <c r="H3412" t="s">
        <v>53</v>
      </c>
      <c r="I3412" t="s">
        <v>53</v>
      </c>
      <c r="J3412" t="s">
        <v>53</v>
      </c>
      <c r="K3412" t="s">
        <v>53</v>
      </c>
      <c r="L3412" t="s">
        <v>53</v>
      </c>
      <c r="M3412" t="s">
        <v>53</v>
      </c>
      <c r="N3412" t="s">
        <v>53</v>
      </c>
      <c r="O3412" t="s">
        <v>53</v>
      </c>
      <c r="P3412" t="s">
        <v>53</v>
      </c>
      <c r="Q3412" t="s">
        <v>53</v>
      </c>
    </row>
    <row r="3413" spans="1:17" x14ac:dyDescent="0.2">
      <c r="A3413" s="30" t="str">
        <f>IF(C3413&amp;G3413&amp;D3413&lt;&gt;'Funnel setup'!$K$3&amp;'Funnel setup'!$K$4&amp;'Funnel setup'!$K$5,".",IF(A3412=".",1,A3412+1))</f>
        <v>.</v>
      </c>
      <c r="B3413" s="431" t="str">
        <f t="shared" si="53"/>
        <v>Hip Replacement RevisionProviderST HELENS AND KNOWSLEY HOSPITALS NHS TRUST (RBN)EQ-5D Index</v>
      </c>
      <c r="C3413" t="s">
        <v>247</v>
      </c>
      <c r="D3413" t="s">
        <v>1</v>
      </c>
      <c r="E3413" t="s">
        <v>3127</v>
      </c>
      <c r="F3413" t="s">
        <v>3128</v>
      </c>
      <c r="G3413" t="s">
        <v>52</v>
      </c>
      <c r="H3413">
        <v>13</v>
      </c>
      <c r="I3413">
        <v>0.39900000000000002</v>
      </c>
      <c r="J3413">
        <v>0.44600000000000001</v>
      </c>
      <c r="K3413">
        <v>4.7E-2</v>
      </c>
      <c r="L3413">
        <v>8</v>
      </c>
      <c r="M3413">
        <v>1</v>
      </c>
      <c r="N3413">
        <v>4</v>
      </c>
      <c r="O3413" t="s">
        <v>53</v>
      </c>
      <c r="P3413" t="s">
        <v>53</v>
      </c>
      <c r="Q3413" t="s">
        <v>53</v>
      </c>
    </row>
    <row r="3414" spans="1:17" x14ac:dyDescent="0.2">
      <c r="A3414" s="30" t="str">
        <f>IF(C3414&amp;G3414&amp;D3414&lt;&gt;'Funnel setup'!$K$3&amp;'Funnel setup'!$K$4&amp;'Funnel setup'!$K$5,".",IF(A3413=".",1,A3413+1))</f>
        <v>.</v>
      </c>
      <c r="B3414" s="431" t="str">
        <f t="shared" si="53"/>
        <v>Hip Replacement RevisionProviderSTOCKPORT NHS FOUNDATION TRUST (RWJ)EQ-5D Index</v>
      </c>
      <c r="C3414" t="s">
        <v>247</v>
      </c>
      <c r="D3414" t="s">
        <v>1</v>
      </c>
      <c r="E3414" t="s">
        <v>3142</v>
      </c>
      <c r="F3414" t="s">
        <v>3143</v>
      </c>
      <c r="G3414" t="s">
        <v>52</v>
      </c>
      <c r="H3414" t="s">
        <v>53</v>
      </c>
      <c r="I3414" t="s">
        <v>53</v>
      </c>
      <c r="J3414" t="s">
        <v>53</v>
      </c>
      <c r="K3414" t="s">
        <v>53</v>
      </c>
      <c r="L3414" t="s">
        <v>53</v>
      </c>
      <c r="M3414" t="s">
        <v>53</v>
      </c>
      <c r="N3414" t="s">
        <v>53</v>
      </c>
      <c r="O3414" t="s">
        <v>53</v>
      </c>
      <c r="P3414" t="s">
        <v>53</v>
      </c>
      <c r="Q3414" t="s">
        <v>53</v>
      </c>
    </row>
    <row r="3415" spans="1:17" x14ac:dyDescent="0.2">
      <c r="A3415" s="30" t="str">
        <f>IF(C3415&amp;G3415&amp;D3415&lt;&gt;'Funnel setup'!$K$3&amp;'Funnel setup'!$K$4&amp;'Funnel setup'!$K$5,".",IF(A3414=".",1,A3414+1))</f>
        <v>.</v>
      </c>
      <c r="B3415" s="431" t="str">
        <f t="shared" si="53"/>
        <v>Hip Replacement RevisionProviderTAUNTON AND SOMERSET NHS FOUNDATION TRUST (RBA)EQ-5D Index</v>
      </c>
      <c r="C3415" t="s">
        <v>247</v>
      </c>
      <c r="D3415" t="s">
        <v>1</v>
      </c>
      <c r="E3415" t="s">
        <v>3151</v>
      </c>
      <c r="F3415" t="s">
        <v>3152</v>
      </c>
      <c r="G3415" t="s">
        <v>52</v>
      </c>
      <c r="H3415">
        <v>9</v>
      </c>
      <c r="I3415">
        <v>0.378</v>
      </c>
      <c r="J3415">
        <v>0.746</v>
      </c>
      <c r="K3415">
        <v>0.36799999999999999</v>
      </c>
      <c r="L3415">
        <v>7</v>
      </c>
      <c r="M3415">
        <v>1</v>
      </c>
      <c r="N3415">
        <v>1</v>
      </c>
      <c r="O3415" t="s">
        <v>53</v>
      </c>
      <c r="P3415" t="s">
        <v>53</v>
      </c>
      <c r="Q3415" t="s">
        <v>53</v>
      </c>
    </row>
    <row r="3416" spans="1:17" x14ac:dyDescent="0.2">
      <c r="A3416" s="30" t="str">
        <f>IF(C3416&amp;G3416&amp;D3416&lt;&gt;'Funnel setup'!$K$3&amp;'Funnel setup'!$K$4&amp;'Funnel setup'!$K$5,".",IF(A3415=".",1,A3415+1))</f>
        <v>.</v>
      </c>
      <c r="B3416" s="431" t="str">
        <f t="shared" si="53"/>
        <v>Hip Replacement RevisionProviderTHE BERKSHIRE INDEPENDENT HOSPITAL (NVC02)EQ-5D Index</v>
      </c>
      <c r="C3416" t="s">
        <v>247</v>
      </c>
      <c r="D3416" t="s">
        <v>1</v>
      </c>
      <c r="E3416" t="s">
        <v>3118</v>
      </c>
      <c r="F3416" t="s">
        <v>3119</v>
      </c>
      <c r="G3416" t="s">
        <v>52</v>
      </c>
      <c r="H3416" t="s">
        <v>53</v>
      </c>
      <c r="I3416" t="s">
        <v>53</v>
      </c>
      <c r="J3416" t="s">
        <v>53</v>
      </c>
      <c r="K3416" t="s">
        <v>53</v>
      </c>
      <c r="L3416" t="s">
        <v>53</v>
      </c>
      <c r="M3416" t="s">
        <v>53</v>
      </c>
      <c r="N3416" t="s">
        <v>53</v>
      </c>
      <c r="O3416" t="s">
        <v>53</v>
      </c>
      <c r="P3416" t="s">
        <v>53</v>
      </c>
      <c r="Q3416" t="s">
        <v>53</v>
      </c>
    </row>
    <row r="3417" spans="1:17" x14ac:dyDescent="0.2">
      <c r="A3417" s="30" t="str">
        <f>IF(C3417&amp;G3417&amp;D3417&lt;&gt;'Funnel setup'!$K$3&amp;'Funnel setup'!$K$4&amp;'Funnel setup'!$K$5,".",IF(A3416=".",1,A3416+1))</f>
        <v>.</v>
      </c>
      <c r="B3417" s="431" t="str">
        <f t="shared" si="53"/>
        <v>Hip Replacement RevisionProviderTHE HILLINGDON HOSPITALS NHS FOUNDATION TRUST (RAS)EQ-5D Index</v>
      </c>
      <c r="C3417" t="s">
        <v>247</v>
      </c>
      <c r="D3417" t="s">
        <v>1</v>
      </c>
      <c r="E3417" t="s">
        <v>3115</v>
      </c>
      <c r="F3417" t="s">
        <v>3116</v>
      </c>
      <c r="G3417" t="s">
        <v>52</v>
      </c>
      <c r="H3417">
        <v>6</v>
      </c>
      <c r="I3417">
        <v>0.32</v>
      </c>
      <c r="J3417">
        <v>0.79900000000000004</v>
      </c>
      <c r="K3417">
        <v>0.47899999999999998</v>
      </c>
      <c r="L3417">
        <v>5</v>
      </c>
      <c r="M3417">
        <v>0</v>
      </c>
      <c r="N3417">
        <v>1</v>
      </c>
      <c r="O3417" t="s">
        <v>53</v>
      </c>
      <c r="P3417" t="s">
        <v>53</v>
      </c>
      <c r="Q3417" t="s">
        <v>53</v>
      </c>
    </row>
    <row r="3418" spans="1:17" x14ac:dyDescent="0.2">
      <c r="A3418" s="30" t="str">
        <f>IF(C3418&amp;G3418&amp;D3418&lt;&gt;'Funnel setup'!$K$3&amp;'Funnel setup'!$K$4&amp;'Funnel setup'!$K$5,".",IF(A3417=".",1,A3417+1))</f>
        <v>.</v>
      </c>
      <c r="B3418" s="431" t="str">
        <f t="shared" si="53"/>
        <v>Hip Replacement RevisionProviderTHE HORDER CENTRE - ST JOHNS ROAD (NXM01)EQ-5D Index</v>
      </c>
      <c r="C3418" t="s">
        <v>247</v>
      </c>
      <c r="D3418" t="s">
        <v>1</v>
      </c>
      <c r="E3418" t="s">
        <v>4222</v>
      </c>
      <c r="F3418" t="s">
        <v>4223</v>
      </c>
      <c r="G3418" t="s">
        <v>52</v>
      </c>
      <c r="H3418">
        <v>39</v>
      </c>
      <c r="I3418">
        <v>0.497</v>
      </c>
      <c r="J3418">
        <v>0.71099999999999997</v>
      </c>
      <c r="K3418">
        <v>0.214</v>
      </c>
      <c r="L3418">
        <v>28</v>
      </c>
      <c r="M3418">
        <v>4</v>
      </c>
      <c r="N3418">
        <v>7</v>
      </c>
      <c r="O3418">
        <v>0.66300000000000003</v>
      </c>
      <c r="P3418">
        <v>0.26451189200000003</v>
      </c>
      <c r="Q3418">
        <v>0.29199999999999998</v>
      </c>
    </row>
    <row r="3419" spans="1:17" x14ac:dyDescent="0.2">
      <c r="A3419" s="30" t="str">
        <f>IF(C3419&amp;G3419&amp;D3419&lt;&gt;'Funnel setup'!$K$3&amp;'Funnel setup'!$K$4&amp;'Funnel setup'!$K$5,".",IF(A3418=".",1,A3418+1))</f>
        <v>.</v>
      </c>
      <c r="B3419" s="431" t="str">
        <f t="shared" si="53"/>
        <v>Hip Replacement RevisionProviderTHE NEWCASTLE UPON TYNE HOSPITALS NHS FOUNDATION TRUST (RTD)EQ-5D Index</v>
      </c>
      <c r="C3419" t="s">
        <v>247</v>
      </c>
      <c r="D3419" t="s">
        <v>1</v>
      </c>
      <c r="E3419" t="s">
        <v>3748</v>
      </c>
      <c r="F3419" t="s">
        <v>3749</v>
      </c>
      <c r="G3419" t="s">
        <v>52</v>
      </c>
      <c r="H3419">
        <v>20</v>
      </c>
      <c r="I3419">
        <v>0.439</v>
      </c>
      <c r="J3419">
        <v>0.65300000000000002</v>
      </c>
      <c r="K3419">
        <v>0.214</v>
      </c>
      <c r="L3419">
        <v>13</v>
      </c>
      <c r="M3419">
        <v>2</v>
      </c>
      <c r="N3419">
        <v>5</v>
      </c>
      <c r="O3419" t="s">
        <v>53</v>
      </c>
      <c r="P3419" t="s">
        <v>53</v>
      </c>
      <c r="Q3419" t="s">
        <v>53</v>
      </c>
    </row>
    <row r="3420" spans="1:17" x14ac:dyDescent="0.2">
      <c r="A3420" s="30" t="str">
        <f>IF(C3420&amp;G3420&amp;D3420&lt;&gt;'Funnel setup'!$K$3&amp;'Funnel setup'!$K$4&amp;'Funnel setup'!$K$5,".",IF(A3419=".",1,A3419+1))</f>
        <v>.</v>
      </c>
      <c r="B3420" s="431" t="str">
        <f t="shared" si="53"/>
        <v>Hip Replacement RevisionProviderTHE PRINCESS ALEXANDRA HOSPITAL NHS TRUST (RQW)EQ-5D Index</v>
      </c>
      <c r="C3420" t="s">
        <v>247</v>
      </c>
      <c r="D3420" t="s">
        <v>1</v>
      </c>
      <c r="E3420" t="s">
        <v>3751</v>
      </c>
      <c r="F3420" t="s">
        <v>3752</v>
      </c>
      <c r="G3420" t="s">
        <v>52</v>
      </c>
      <c r="H3420">
        <v>8</v>
      </c>
      <c r="I3420">
        <v>0.214</v>
      </c>
      <c r="J3420">
        <v>0.41599999999999998</v>
      </c>
      <c r="K3420">
        <v>0.20200000000000001</v>
      </c>
      <c r="L3420">
        <v>5</v>
      </c>
      <c r="M3420">
        <v>0</v>
      </c>
      <c r="N3420">
        <v>3</v>
      </c>
      <c r="O3420" t="s">
        <v>53</v>
      </c>
      <c r="P3420" t="s">
        <v>53</v>
      </c>
      <c r="Q3420" t="s">
        <v>53</v>
      </c>
    </row>
    <row r="3421" spans="1:17" x14ac:dyDescent="0.2">
      <c r="A3421" s="30" t="str">
        <f>IF(C3421&amp;G3421&amp;D3421&lt;&gt;'Funnel setup'!$K$3&amp;'Funnel setup'!$K$4&amp;'Funnel setup'!$K$5,".",IF(A3420=".",1,A3420+1))</f>
        <v>.</v>
      </c>
      <c r="B3421" s="431" t="str">
        <f t="shared" si="53"/>
        <v>Hip Replacement RevisionProviderTHE QUEEN ELIZABETH HOSPITAL, KING'S LYNN, NHS FOUNDATION TRUST (RCX)EQ-5D Index</v>
      </c>
      <c r="C3421" t="s">
        <v>247</v>
      </c>
      <c r="D3421" t="s">
        <v>1</v>
      </c>
      <c r="E3421" t="s">
        <v>3754</v>
      </c>
      <c r="F3421" t="s">
        <v>3755</v>
      </c>
      <c r="G3421" t="s">
        <v>52</v>
      </c>
      <c r="H3421">
        <v>8</v>
      </c>
      <c r="I3421">
        <v>0.39600000000000002</v>
      </c>
      <c r="J3421">
        <v>0.81599999999999995</v>
      </c>
      <c r="K3421">
        <v>0.42</v>
      </c>
      <c r="L3421">
        <v>8</v>
      </c>
      <c r="M3421">
        <v>0</v>
      </c>
      <c r="N3421">
        <v>0</v>
      </c>
      <c r="O3421" t="s">
        <v>53</v>
      </c>
      <c r="P3421" t="s">
        <v>53</v>
      </c>
      <c r="Q3421" t="s">
        <v>53</v>
      </c>
    </row>
    <row r="3422" spans="1:17" x14ac:dyDescent="0.2">
      <c r="A3422" s="30" t="str">
        <f>IF(C3422&amp;G3422&amp;D3422&lt;&gt;'Funnel setup'!$K$3&amp;'Funnel setup'!$K$4&amp;'Funnel setup'!$K$5,".",IF(A3421=".",1,A3421+1))</f>
        <v>.</v>
      </c>
      <c r="B3422" s="431" t="str">
        <f t="shared" si="53"/>
        <v>Hip Replacement RevisionProviderTHE ROBERT JONES AND AGNES HUNT ORTHOPAEDIC HOSPITAL NHS FOUNDATION TRUST (RL1)EQ-5D Index</v>
      </c>
      <c r="C3422" t="s">
        <v>247</v>
      </c>
      <c r="D3422" t="s">
        <v>1</v>
      </c>
      <c r="E3422" t="s">
        <v>4496</v>
      </c>
      <c r="F3422" t="s">
        <v>4497</v>
      </c>
      <c r="G3422" t="s">
        <v>52</v>
      </c>
      <c r="H3422">
        <v>55</v>
      </c>
      <c r="I3422">
        <v>0.34599999999999997</v>
      </c>
      <c r="J3422">
        <v>0.69399999999999995</v>
      </c>
      <c r="K3422">
        <v>0.34799999999999998</v>
      </c>
      <c r="L3422">
        <v>44</v>
      </c>
      <c r="M3422">
        <v>4</v>
      </c>
      <c r="N3422">
        <v>7</v>
      </c>
      <c r="O3422">
        <v>0.63200000000000001</v>
      </c>
      <c r="P3422">
        <v>0.23294777799999999</v>
      </c>
      <c r="Q3422">
        <v>0.246</v>
      </c>
    </row>
    <row r="3423" spans="1:17" x14ac:dyDescent="0.2">
      <c r="A3423" s="30" t="str">
        <f>IF(C3423&amp;G3423&amp;D3423&lt;&gt;'Funnel setup'!$K$3&amp;'Funnel setup'!$K$4&amp;'Funnel setup'!$K$5,".",IF(A3422=".",1,A3422+1))</f>
        <v>.</v>
      </c>
      <c r="B3423" s="431" t="str">
        <f t="shared" si="53"/>
        <v>Hip Replacement RevisionProviderTHE ROTHERHAM NHS FOUNDATION TRUST (RFR)EQ-5D Index</v>
      </c>
      <c r="C3423" t="s">
        <v>247</v>
      </c>
      <c r="D3423" t="s">
        <v>1</v>
      </c>
      <c r="E3423" t="s">
        <v>3739</v>
      </c>
      <c r="F3423" t="s">
        <v>3740</v>
      </c>
      <c r="G3423" t="s">
        <v>52</v>
      </c>
      <c r="H3423">
        <v>15</v>
      </c>
      <c r="I3423">
        <v>0.39900000000000002</v>
      </c>
      <c r="J3423">
        <v>0.77</v>
      </c>
      <c r="K3423">
        <v>0.372</v>
      </c>
      <c r="L3423">
        <v>10</v>
      </c>
      <c r="M3423">
        <v>3</v>
      </c>
      <c r="N3423">
        <v>2</v>
      </c>
      <c r="O3423" t="s">
        <v>53</v>
      </c>
      <c r="P3423" t="s">
        <v>53</v>
      </c>
      <c r="Q3423" t="s">
        <v>53</v>
      </c>
    </row>
    <row r="3424" spans="1:17" x14ac:dyDescent="0.2">
      <c r="A3424" s="30" t="str">
        <f>IF(C3424&amp;G3424&amp;D3424&lt;&gt;'Funnel setup'!$K$3&amp;'Funnel setup'!$K$4&amp;'Funnel setup'!$K$5,".",IF(A3423=".",1,A3423+1))</f>
        <v>.</v>
      </c>
      <c r="B3424" s="431" t="str">
        <f t="shared" si="53"/>
        <v>Hip Replacement RevisionProviderTHE ROYAL BOURNEMOUTH AND CHRISTCHURCH HOSPITALS NHS FOUNDATION TRUST (RDZ)EQ-5D Index</v>
      </c>
      <c r="C3424" t="s">
        <v>247</v>
      </c>
      <c r="D3424" t="s">
        <v>1</v>
      </c>
      <c r="E3424" t="s">
        <v>3742</v>
      </c>
      <c r="F3424" t="s">
        <v>3743</v>
      </c>
      <c r="G3424" t="s">
        <v>52</v>
      </c>
      <c r="H3424" t="s">
        <v>53</v>
      </c>
      <c r="I3424" t="s">
        <v>53</v>
      </c>
      <c r="J3424" t="s">
        <v>53</v>
      </c>
      <c r="K3424" t="s">
        <v>53</v>
      </c>
      <c r="L3424" t="s">
        <v>53</v>
      </c>
      <c r="M3424" t="s">
        <v>53</v>
      </c>
      <c r="N3424" t="s">
        <v>53</v>
      </c>
      <c r="O3424" t="s">
        <v>53</v>
      </c>
      <c r="P3424" t="s">
        <v>53</v>
      </c>
      <c r="Q3424" t="s">
        <v>53</v>
      </c>
    </row>
    <row r="3425" spans="1:17" x14ac:dyDescent="0.2">
      <c r="A3425" s="30" t="str">
        <f>IF(C3425&amp;G3425&amp;D3425&lt;&gt;'Funnel setup'!$K$3&amp;'Funnel setup'!$K$4&amp;'Funnel setup'!$K$5,".",IF(A3424=".",1,A3424+1))</f>
        <v>.</v>
      </c>
      <c r="B3425" s="431" t="str">
        <f t="shared" si="53"/>
        <v>Hip Replacement RevisionProviderTHE ROYAL ORTHOPAEDIC HOSPITAL NHS FOUNDATION TRUST (RRJ)EQ-5D Index</v>
      </c>
      <c r="C3425" t="s">
        <v>247</v>
      </c>
      <c r="D3425" t="s">
        <v>1</v>
      </c>
      <c r="E3425" t="s">
        <v>4480</v>
      </c>
      <c r="F3425" t="s">
        <v>4481</v>
      </c>
      <c r="G3425" t="s">
        <v>52</v>
      </c>
      <c r="H3425">
        <v>62</v>
      </c>
      <c r="I3425">
        <v>0.42499999999999999</v>
      </c>
      <c r="J3425">
        <v>0.71499999999999997</v>
      </c>
      <c r="K3425">
        <v>0.28999999999999998</v>
      </c>
      <c r="L3425">
        <v>46</v>
      </c>
      <c r="M3425">
        <v>5</v>
      </c>
      <c r="N3425">
        <v>11</v>
      </c>
      <c r="O3425">
        <v>0.72199999999999998</v>
      </c>
      <c r="P3425">
        <v>0.32347778500000002</v>
      </c>
      <c r="Q3425">
        <v>0.20499999999999999</v>
      </c>
    </row>
    <row r="3426" spans="1:17" x14ac:dyDescent="0.2">
      <c r="A3426" s="30" t="str">
        <f>IF(C3426&amp;G3426&amp;D3426&lt;&gt;'Funnel setup'!$K$3&amp;'Funnel setup'!$K$4&amp;'Funnel setup'!$K$5,".",IF(A3425=".",1,A3425+1))</f>
        <v>.</v>
      </c>
      <c r="B3426" s="431" t="str">
        <f t="shared" si="53"/>
        <v>Hip Replacement RevisionProviderTHE ROYAL WOLVERHAMPTON NHS TRUST (RL4)EQ-5D Index</v>
      </c>
      <c r="C3426" t="s">
        <v>247</v>
      </c>
      <c r="D3426" t="s">
        <v>1</v>
      </c>
      <c r="E3426" t="s">
        <v>3382</v>
      </c>
      <c r="F3426" t="s">
        <v>3383</v>
      </c>
      <c r="G3426" t="s">
        <v>52</v>
      </c>
      <c r="H3426">
        <v>11</v>
      </c>
      <c r="I3426">
        <v>0.45100000000000001</v>
      </c>
      <c r="J3426">
        <v>0.71499999999999997</v>
      </c>
      <c r="K3426">
        <v>0.26400000000000001</v>
      </c>
      <c r="L3426">
        <v>10</v>
      </c>
      <c r="M3426">
        <v>0</v>
      </c>
      <c r="N3426">
        <v>1</v>
      </c>
      <c r="O3426" t="s">
        <v>53</v>
      </c>
      <c r="P3426" t="s">
        <v>53</v>
      </c>
      <c r="Q3426" t="s">
        <v>53</v>
      </c>
    </row>
    <row r="3427" spans="1:17" x14ac:dyDescent="0.2">
      <c r="A3427" s="30" t="str">
        <f>IF(C3427&amp;G3427&amp;D3427&lt;&gt;'Funnel setup'!$K$3&amp;'Funnel setup'!$K$4&amp;'Funnel setup'!$K$5,".",IF(A3426=".",1,A3426+1))</f>
        <v>.</v>
      </c>
      <c r="B3427" s="431" t="str">
        <f t="shared" si="53"/>
        <v>Hip Replacement RevisionProviderTHE YORKSHIRE CLINIC (NVC20)EQ-5D Index</v>
      </c>
      <c r="C3427" t="s">
        <v>247</v>
      </c>
      <c r="D3427" t="s">
        <v>1</v>
      </c>
      <c r="E3427" t="s">
        <v>3760</v>
      </c>
      <c r="F3427" t="s">
        <v>3761</v>
      </c>
      <c r="G3427" t="s">
        <v>52</v>
      </c>
      <c r="H3427" t="s">
        <v>53</v>
      </c>
      <c r="I3427" t="s">
        <v>53</v>
      </c>
      <c r="J3427" t="s">
        <v>53</v>
      </c>
      <c r="K3427" t="s">
        <v>53</v>
      </c>
      <c r="L3427" t="s">
        <v>53</v>
      </c>
      <c r="M3427" t="s">
        <v>53</v>
      </c>
      <c r="N3427" t="s">
        <v>53</v>
      </c>
      <c r="O3427" t="s">
        <v>53</v>
      </c>
      <c r="P3427" t="s">
        <v>53</v>
      </c>
      <c r="Q3427" t="s">
        <v>53</v>
      </c>
    </row>
    <row r="3428" spans="1:17" x14ac:dyDescent="0.2">
      <c r="A3428" s="30" t="str">
        <f>IF(C3428&amp;G3428&amp;D3428&lt;&gt;'Funnel setup'!$K$3&amp;'Funnel setup'!$K$4&amp;'Funnel setup'!$K$5,".",IF(A3427=".",1,A3427+1))</f>
        <v>.</v>
      </c>
      <c r="B3428" s="431" t="str">
        <f t="shared" si="53"/>
        <v>Hip Replacement RevisionProviderTORBAY AND SOUTH DEVON NHS FOUNDATION TRUST (RA9)EQ-5D Index</v>
      </c>
      <c r="C3428" t="s">
        <v>247</v>
      </c>
      <c r="D3428" t="s">
        <v>1</v>
      </c>
      <c r="E3428" t="s">
        <v>3480</v>
      </c>
      <c r="F3428" t="s">
        <v>6584</v>
      </c>
      <c r="G3428" t="s">
        <v>52</v>
      </c>
      <c r="H3428">
        <v>23</v>
      </c>
      <c r="I3428">
        <v>0.47599999999999998</v>
      </c>
      <c r="J3428">
        <v>0.65500000000000003</v>
      </c>
      <c r="K3428">
        <v>0.17899999999999999</v>
      </c>
      <c r="L3428">
        <v>13</v>
      </c>
      <c r="M3428">
        <v>7</v>
      </c>
      <c r="N3428">
        <v>3</v>
      </c>
      <c r="O3428" t="s">
        <v>53</v>
      </c>
      <c r="P3428" t="s">
        <v>53</v>
      </c>
      <c r="Q3428" t="s">
        <v>53</v>
      </c>
    </row>
    <row r="3429" spans="1:17" x14ac:dyDescent="0.2">
      <c r="A3429" s="30" t="str">
        <f>IF(C3429&amp;G3429&amp;D3429&lt;&gt;'Funnel setup'!$K$3&amp;'Funnel setup'!$K$4&amp;'Funnel setup'!$K$5,".",IF(A3428=".",1,A3428+1))</f>
        <v>.</v>
      </c>
      <c r="B3429" s="431" t="str">
        <f t="shared" si="53"/>
        <v>Hip Replacement RevisionProviderUNITED LINCOLNSHIRE HOSPITALS NHS TRUST (RWD)EQ-5D Index</v>
      </c>
      <c r="C3429" t="s">
        <v>247</v>
      </c>
      <c r="D3429" t="s">
        <v>1</v>
      </c>
      <c r="E3429" t="s">
        <v>3763</v>
      </c>
      <c r="F3429" t="s">
        <v>3764</v>
      </c>
      <c r="G3429" t="s">
        <v>52</v>
      </c>
      <c r="H3429">
        <v>18</v>
      </c>
      <c r="I3429">
        <v>0.44400000000000001</v>
      </c>
      <c r="J3429">
        <v>0.65200000000000002</v>
      </c>
      <c r="K3429">
        <v>0.20799999999999999</v>
      </c>
      <c r="L3429">
        <v>11</v>
      </c>
      <c r="M3429">
        <v>2</v>
      </c>
      <c r="N3429">
        <v>5</v>
      </c>
      <c r="O3429" t="s">
        <v>53</v>
      </c>
      <c r="P3429" t="s">
        <v>53</v>
      </c>
      <c r="Q3429" t="s">
        <v>53</v>
      </c>
    </row>
    <row r="3430" spans="1:17" x14ac:dyDescent="0.2">
      <c r="A3430" s="30" t="str">
        <f>IF(C3430&amp;G3430&amp;D3430&lt;&gt;'Funnel setup'!$K$3&amp;'Funnel setup'!$K$4&amp;'Funnel setup'!$K$5,".",IF(A3429=".",1,A3429+1))</f>
        <v>.</v>
      </c>
      <c r="B3430" s="431" t="str">
        <f t="shared" si="53"/>
        <v>Hip Replacement RevisionProviderUNIVERSITY COLLEGE LONDON HOSPITALS NHS FOUNDATION TRUST (RRV)EQ-5D Index</v>
      </c>
      <c r="C3430" t="s">
        <v>247</v>
      </c>
      <c r="D3430" t="s">
        <v>1</v>
      </c>
      <c r="E3430" t="s">
        <v>3766</v>
      </c>
      <c r="F3430" t="s">
        <v>3767</v>
      </c>
      <c r="G3430" t="s">
        <v>52</v>
      </c>
      <c r="H3430">
        <v>7</v>
      </c>
      <c r="I3430">
        <v>0.60299999999999998</v>
      </c>
      <c r="J3430">
        <v>0.80400000000000005</v>
      </c>
      <c r="K3430">
        <v>0.20100000000000001</v>
      </c>
      <c r="L3430">
        <v>4</v>
      </c>
      <c r="M3430">
        <v>1</v>
      </c>
      <c r="N3430">
        <v>2</v>
      </c>
      <c r="O3430" t="s">
        <v>53</v>
      </c>
      <c r="P3430" t="s">
        <v>53</v>
      </c>
      <c r="Q3430" t="s">
        <v>53</v>
      </c>
    </row>
    <row r="3431" spans="1:17" x14ac:dyDescent="0.2">
      <c r="A3431" s="30" t="str">
        <f>IF(C3431&amp;G3431&amp;D3431&lt;&gt;'Funnel setup'!$K$3&amp;'Funnel setup'!$K$4&amp;'Funnel setup'!$K$5,".",IF(A3430=".",1,A3430+1))</f>
        <v>.</v>
      </c>
      <c r="B3431" s="431" t="str">
        <f t="shared" si="53"/>
        <v>Hip Replacement RevisionProviderUNIVERSITY HOSPITAL OF SOUTH MANCHESTER NHS FOUNDATION TRUST (RM2)EQ-5D Index</v>
      </c>
      <c r="C3431" t="s">
        <v>247</v>
      </c>
      <c r="D3431" t="s">
        <v>1</v>
      </c>
      <c r="E3431" t="s">
        <v>3769</v>
      </c>
      <c r="F3431" t="s">
        <v>3770</v>
      </c>
      <c r="G3431" t="s">
        <v>52</v>
      </c>
      <c r="H3431" t="s">
        <v>53</v>
      </c>
      <c r="I3431" t="s">
        <v>53</v>
      </c>
      <c r="J3431" t="s">
        <v>53</v>
      </c>
      <c r="K3431" t="s">
        <v>53</v>
      </c>
      <c r="L3431" t="s">
        <v>53</v>
      </c>
      <c r="M3431" t="s">
        <v>53</v>
      </c>
      <c r="N3431" t="s">
        <v>53</v>
      </c>
      <c r="O3431" t="s">
        <v>53</v>
      </c>
      <c r="P3431" t="s">
        <v>53</v>
      </c>
      <c r="Q3431" t="s">
        <v>53</v>
      </c>
    </row>
    <row r="3432" spans="1:17" x14ac:dyDescent="0.2">
      <c r="A3432" s="30" t="str">
        <f>IF(C3432&amp;G3432&amp;D3432&lt;&gt;'Funnel setup'!$K$3&amp;'Funnel setup'!$K$4&amp;'Funnel setup'!$K$5,".",IF(A3431=".",1,A3431+1))</f>
        <v>.</v>
      </c>
      <c r="B3432" s="431" t="str">
        <f t="shared" si="53"/>
        <v>Hip Replacement RevisionProviderUNIVERSITY HOSPITAL SOUTHAMPTON NHS FOUNDATION TRUST (RHM)EQ-5D Index</v>
      </c>
      <c r="C3432" t="s">
        <v>247</v>
      </c>
      <c r="D3432" t="s">
        <v>1</v>
      </c>
      <c r="E3432" t="s">
        <v>3772</v>
      </c>
      <c r="F3432" t="s">
        <v>3773</v>
      </c>
      <c r="G3432" t="s">
        <v>52</v>
      </c>
      <c r="H3432">
        <v>28</v>
      </c>
      <c r="I3432">
        <v>0.44600000000000001</v>
      </c>
      <c r="J3432">
        <v>0.752</v>
      </c>
      <c r="K3432">
        <v>0.30599999999999999</v>
      </c>
      <c r="L3432">
        <v>22</v>
      </c>
      <c r="M3432">
        <v>2</v>
      </c>
      <c r="N3432">
        <v>4</v>
      </c>
      <c r="O3432" t="s">
        <v>53</v>
      </c>
      <c r="P3432" t="s">
        <v>53</v>
      </c>
      <c r="Q3432" t="s">
        <v>53</v>
      </c>
    </row>
    <row r="3433" spans="1:17" x14ac:dyDescent="0.2">
      <c r="A3433" s="30" t="str">
        <f>IF(C3433&amp;G3433&amp;D3433&lt;&gt;'Funnel setup'!$K$3&amp;'Funnel setup'!$K$4&amp;'Funnel setup'!$K$5,".",IF(A3432=".",1,A3432+1))</f>
        <v>.</v>
      </c>
      <c r="B3433" s="431" t="str">
        <f t="shared" si="53"/>
        <v>Hip Replacement RevisionProviderUNIVERSITY HOSPITALS COVENTRY AND WARWICKSHIRE NHS TRUST (RKB)EQ-5D Index</v>
      </c>
      <c r="C3433" t="s">
        <v>247</v>
      </c>
      <c r="D3433" t="s">
        <v>1</v>
      </c>
      <c r="E3433" t="s">
        <v>3715</v>
      </c>
      <c r="F3433" t="s">
        <v>3716</v>
      </c>
      <c r="G3433" t="s">
        <v>52</v>
      </c>
      <c r="H3433">
        <v>11</v>
      </c>
      <c r="I3433">
        <v>0.32800000000000001</v>
      </c>
      <c r="J3433">
        <v>0.57999999999999996</v>
      </c>
      <c r="K3433">
        <v>0.252</v>
      </c>
      <c r="L3433">
        <v>9</v>
      </c>
      <c r="M3433">
        <v>0</v>
      </c>
      <c r="N3433">
        <v>2</v>
      </c>
      <c r="O3433" t="s">
        <v>53</v>
      </c>
      <c r="P3433" t="s">
        <v>53</v>
      </c>
      <c r="Q3433" t="s">
        <v>53</v>
      </c>
    </row>
    <row r="3434" spans="1:17" x14ac:dyDescent="0.2">
      <c r="A3434" s="30" t="str">
        <f>IF(C3434&amp;G3434&amp;D3434&lt;&gt;'Funnel setup'!$K$3&amp;'Funnel setup'!$K$4&amp;'Funnel setup'!$K$5,".",IF(A3433=".",1,A3433+1))</f>
        <v>.</v>
      </c>
      <c r="B3434" s="431" t="str">
        <f t="shared" si="53"/>
        <v>Hip Replacement RevisionProviderUNIVERSITY HOSPITALS OF LEICESTER NHS TRUST (RWE)EQ-5D Index</v>
      </c>
      <c r="C3434" t="s">
        <v>247</v>
      </c>
      <c r="D3434" t="s">
        <v>1</v>
      </c>
      <c r="E3434" t="s">
        <v>3718</v>
      </c>
      <c r="F3434" t="s">
        <v>3719</v>
      </c>
      <c r="G3434" t="s">
        <v>52</v>
      </c>
      <c r="H3434">
        <v>31</v>
      </c>
      <c r="I3434">
        <v>0.41299999999999998</v>
      </c>
      <c r="J3434">
        <v>0.68500000000000005</v>
      </c>
      <c r="K3434">
        <v>0.27200000000000002</v>
      </c>
      <c r="L3434">
        <v>22</v>
      </c>
      <c r="M3434">
        <v>2</v>
      </c>
      <c r="N3434">
        <v>7</v>
      </c>
      <c r="O3434">
        <v>0.67</v>
      </c>
      <c r="P3434">
        <v>0.27091897500000001</v>
      </c>
      <c r="Q3434">
        <v>0.28299999999999997</v>
      </c>
    </row>
    <row r="3435" spans="1:17" x14ac:dyDescent="0.2">
      <c r="A3435" s="30" t="str">
        <f>IF(C3435&amp;G3435&amp;D3435&lt;&gt;'Funnel setup'!$K$3&amp;'Funnel setup'!$K$4&amp;'Funnel setup'!$K$5,".",IF(A3434=".",1,A3434+1))</f>
        <v>.</v>
      </c>
      <c r="B3435" s="431" t="str">
        <f t="shared" si="53"/>
        <v>Hip Replacement RevisionProviderUNIVERSITY HOSPITALS OF MORECAMBE BAY NHS FOUNDATION TRUST (RTX)EQ-5D Index</v>
      </c>
      <c r="C3435" t="s">
        <v>247</v>
      </c>
      <c r="D3435" t="s">
        <v>1</v>
      </c>
      <c r="E3435" t="s">
        <v>3721</v>
      </c>
      <c r="F3435" t="s">
        <v>3722</v>
      </c>
      <c r="G3435" t="s">
        <v>52</v>
      </c>
      <c r="H3435">
        <v>14</v>
      </c>
      <c r="I3435">
        <v>0.315</v>
      </c>
      <c r="J3435">
        <v>0.60699999999999998</v>
      </c>
      <c r="K3435">
        <v>0.29199999999999998</v>
      </c>
      <c r="L3435">
        <v>9</v>
      </c>
      <c r="M3435">
        <v>3</v>
      </c>
      <c r="N3435">
        <v>2</v>
      </c>
      <c r="O3435" t="s">
        <v>53</v>
      </c>
      <c r="P3435" t="s">
        <v>53</v>
      </c>
      <c r="Q3435" t="s">
        <v>53</v>
      </c>
    </row>
    <row r="3436" spans="1:17" x14ac:dyDescent="0.2">
      <c r="A3436" s="30" t="str">
        <f>IF(C3436&amp;G3436&amp;D3436&lt;&gt;'Funnel setup'!$K$3&amp;'Funnel setup'!$K$4&amp;'Funnel setup'!$K$5,".",IF(A3435=".",1,A3435+1))</f>
        <v>.</v>
      </c>
      <c r="B3436" s="431" t="str">
        <f t="shared" si="53"/>
        <v>Hip Replacement RevisionProviderUNIVERSITY HOSPITALS OF NORTH MIDLANDS NHS TRUST (RJE)EQ-5D Index</v>
      </c>
      <c r="C3436" t="s">
        <v>247</v>
      </c>
      <c r="D3436" t="s">
        <v>1</v>
      </c>
      <c r="E3436" t="s">
        <v>3724</v>
      </c>
      <c r="F3436" t="s">
        <v>3725</v>
      </c>
      <c r="G3436" t="s">
        <v>52</v>
      </c>
      <c r="H3436">
        <v>10</v>
      </c>
      <c r="I3436">
        <v>0.27500000000000002</v>
      </c>
      <c r="J3436">
        <v>0.629</v>
      </c>
      <c r="K3436">
        <v>0.35399999999999998</v>
      </c>
      <c r="L3436">
        <v>8</v>
      </c>
      <c r="M3436">
        <v>1</v>
      </c>
      <c r="N3436">
        <v>1</v>
      </c>
      <c r="O3436" t="s">
        <v>53</v>
      </c>
      <c r="P3436" t="s">
        <v>53</v>
      </c>
      <c r="Q3436" t="s">
        <v>53</v>
      </c>
    </row>
    <row r="3437" spans="1:17" x14ac:dyDescent="0.2">
      <c r="A3437" s="30" t="str">
        <f>IF(C3437&amp;G3437&amp;D3437&lt;&gt;'Funnel setup'!$K$3&amp;'Funnel setup'!$K$4&amp;'Funnel setup'!$K$5,".",IF(A3436=".",1,A3436+1))</f>
        <v>.</v>
      </c>
      <c r="B3437" s="431" t="str">
        <f t="shared" si="53"/>
        <v>Hip Replacement RevisionProviderWALSALL HEALTHCARE NHS TRUST (RBK)EQ-5D Index</v>
      </c>
      <c r="C3437" t="s">
        <v>247</v>
      </c>
      <c r="D3437" t="s">
        <v>1</v>
      </c>
      <c r="E3437" t="s">
        <v>3727</v>
      </c>
      <c r="F3437" t="s">
        <v>3728</v>
      </c>
      <c r="G3437" t="s">
        <v>52</v>
      </c>
      <c r="H3437">
        <v>8</v>
      </c>
      <c r="I3437">
        <v>0.28699999999999998</v>
      </c>
      <c r="J3437">
        <v>0.53400000000000003</v>
      </c>
      <c r="K3437">
        <v>0.247</v>
      </c>
      <c r="L3437">
        <v>5</v>
      </c>
      <c r="M3437">
        <v>2</v>
      </c>
      <c r="N3437">
        <v>1</v>
      </c>
      <c r="O3437" t="s">
        <v>53</v>
      </c>
      <c r="P3437" t="s">
        <v>53</v>
      </c>
      <c r="Q3437" t="s">
        <v>53</v>
      </c>
    </row>
    <row r="3438" spans="1:17" x14ac:dyDescent="0.2">
      <c r="A3438" s="30" t="str">
        <f>IF(C3438&amp;G3438&amp;D3438&lt;&gt;'Funnel setup'!$K$3&amp;'Funnel setup'!$K$4&amp;'Funnel setup'!$K$5,".",IF(A3437=".",1,A3437+1))</f>
        <v>.</v>
      </c>
      <c r="B3438" s="431" t="str">
        <f t="shared" si="53"/>
        <v>Hip Replacement RevisionProviderWARRINGTON AND HALTON HOSPITALS NHS FOUNDATION TRUST (RWW)EQ-5D Index</v>
      </c>
      <c r="C3438" t="s">
        <v>247</v>
      </c>
      <c r="D3438" t="s">
        <v>1</v>
      </c>
      <c r="E3438" t="s">
        <v>3730</v>
      </c>
      <c r="F3438" t="s">
        <v>3731</v>
      </c>
      <c r="G3438" t="s">
        <v>52</v>
      </c>
      <c r="H3438">
        <v>13</v>
      </c>
      <c r="I3438">
        <v>0.39600000000000002</v>
      </c>
      <c r="J3438">
        <v>0.64200000000000002</v>
      </c>
      <c r="K3438">
        <v>0.246</v>
      </c>
      <c r="L3438">
        <v>12</v>
      </c>
      <c r="M3438">
        <v>1</v>
      </c>
      <c r="N3438">
        <v>0</v>
      </c>
      <c r="O3438" t="s">
        <v>53</v>
      </c>
      <c r="P3438" t="s">
        <v>53</v>
      </c>
      <c r="Q3438" t="s">
        <v>53</v>
      </c>
    </row>
    <row r="3439" spans="1:17" x14ac:dyDescent="0.2">
      <c r="A3439" s="30" t="str">
        <f>IF(C3439&amp;G3439&amp;D3439&lt;&gt;'Funnel setup'!$K$3&amp;'Funnel setup'!$K$4&amp;'Funnel setup'!$K$5,".",IF(A3438=".",1,A3438+1))</f>
        <v>.</v>
      </c>
      <c r="B3439" s="431" t="str">
        <f t="shared" si="53"/>
        <v>Hip Replacement RevisionProviderWEST HERTFORDSHIRE HOSPITALS NHS TRUST (RWG)EQ-5D Index</v>
      </c>
      <c r="C3439" t="s">
        <v>247</v>
      </c>
      <c r="D3439" t="s">
        <v>1</v>
      </c>
      <c r="E3439" t="s">
        <v>3733</v>
      </c>
      <c r="F3439" t="s">
        <v>3734</v>
      </c>
      <c r="G3439" t="s">
        <v>52</v>
      </c>
      <c r="H3439">
        <v>11</v>
      </c>
      <c r="I3439">
        <v>0.27800000000000002</v>
      </c>
      <c r="J3439">
        <v>0.51</v>
      </c>
      <c r="K3439">
        <v>0.23100000000000001</v>
      </c>
      <c r="L3439">
        <v>5</v>
      </c>
      <c r="M3439">
        <v>4</v>
      </c>
      <c r="N3439">
        <v>2</v>
      </c>
      <c r="O3439" t="s">
        <v>53</v>
      </c>
      <c r="P3439" t="s">
        <v>53</v>
      </c>
      <c r="Q3439" t="s">
        <v>53</v>
      </c>
    </row>
    <row r="3440" spans="1:17" x14ac:dyDescent="0.2">
      <c r="A3440" s="30" t="str">
        <f>IF(C3440&amp;G3440&amp;D3440&lt;&gt;'Funnel setup'!$K$3&amp;'Funnel setup'!$K$4&amp;'Funnel setup'!$K$5,".",IF(A3439=".",1,A3439+1))</f>
        <v>.</v>
      </c>
      <c r="B3440" s="431" t="str">
        <f t="shared" si="53"/>
        <v>Hip Replacement RevisionProviderWEST MIDDLESEX UNIVERSITY HOSPITAL NHS TRUST (RFW)EQ-5D Index</v>
      </c>
      <c r="C3440" t="s">
        <v>247</v>
      </c>
      <c r="D3440" t="s">
        <v>1</v>
      </c>
      <c r="E3440" t="s">
        <v>3736</v>
      </c>
      <c r="F3440" t="s">
        <v>3737</v>
      </c>
      <c r="G3440" t="s">
        <v>52</v>
      </c>
      <c r="H3440" t="s">
        <v>53</v>
      </c>
      <c r="I3440" t="s">
        <v>53</v>
      </c>
      <c r="J3440" t="s">
        <v>53</v>
      </c>
      <c r="K3440" t="s">
        <v>53</v>
      </c>
      <c r="L3440" t="s">
        <v>53</v>
      </c>
      <c r="M3440" t="s">
        <v>53</v>
      </c>
      <c r="N3440" t="s">
        <v>53</v>
      </c>
      <c r="O3440" t="s">
        <v>53</v>
      </c>
      <c r="P3440" t="s">
        <v>53</v>
      </c>
      <c r="Q3440" t="s">
        <v>53</v>
      </c>
    </row>
    <row r="3441" spans="1:17" x14ac:dyDescent="0.2">
      <c r="A3441" s="30" t="str">
        <f>IF(C3441&amp;G3441&amp;D3441&lt;&gt;'Funnel setup'!$K$3&amp;'Funnel setup'!$K$4&amp;'Funnel setup'!$K$5,".",IF(A3440=".",1,A3440+1))</f>
        <v>.</v>
      </c>
      <c r="B3441" s="431" t="str">
        <f t="shared" si="53"/>
        <v>Hip Replacement RevisionProviderWEST SUFFOLK NHS FOUNDATION TRUST (RGR)EQ-5D Index</v>
      </c>
      <c r="C3441" t="s">
        <v>247</v>
      </c>
      <c r="D3441" t="s">
        <v>1</v>
      </c>
      <c r="E3441" t="s">
        <v>3712</v>
      </c>
      <c r="F3441" t="s">
        <v>3713</v>
      </c>
      <c r="G3441" t="s">
        <v>52</v>
      </c>
      <c r="H3441">
        <v>16</v>
      </c>
      <c r="I3441">
        <v>0.45200000000000001</v>
      </c>
      <c r="J3441">
        <v>0.70699999999999996</v>
      </c>
      <c r="K3441">
        <v>0.255</v>
      </c>
      <c r="L3441">
        <v>14</v>
      </c>
      <c r="M3441">
        <v>1</v>
      </c>
      <c r="N3441">
        <v>1</v>
      </c>
      <c r="O3441" t="s">
        <v>53</v>
      </c>
      <c r="P3441" t="s">
        <v>53</v>
      </c>
      <c r="Q3441" t="s">
        <v>53</v>
      </c>
    </row>
    <row r="3442" spans="1:17" x14ac:dyDescent="0.2">
      <c r="A3442" s="30" t="str">
        <f>IF(C3442&amp;G3442&amp;D3442&lt;&gt;'Funnel setup'!$K$3&amp;'Funnel setup'!$K$4&amp;'Funnel setup'!$K$5,".",IF(A3441=".",1,A3441+1))</f>
        <v>.</v>
      </c>
      <c r="B3442" s="431" t="str">
        <f t="shared" si="53"/>
        <v>Hip Replacement RevisionProviderWESTERN SUSSEX HOSPITALS NHS FOUNDATION TRUST (RYR)EQ-5D Index</v>
      </c>
      <c r="C3442" t="s">
        <v>247</v>
      </c>
      <c r="D3442" t="s">
        <v>1</v>
      </c>
      <c r="E3442" t="s">
        <v>3706</v>
      </c>
      <c r="F3442" t="s">
        <v>3707</v>
      </c>
      <c r="G3442" t="s">
        <v>52</v>
      </c>
      <c r="H3442">
        <v>38</v>
      </c>
      <c r="I3442">
        <v>0.32600000000000001</v>
      </c>
      <c r="J3442">
        <v>0.64500000000000002</v>
      </c>
      <c r="K3442">
        <v>0.31900000000000001</v>
      </c>
      <c r="L3442">
        <v>30</v>
      </c>
      <c r="M3442">
        <v>2</v>
      </c>
      <c r="N3442">
        <v>6</v>
      </c>
      <c r="O3442">
        <v>0.65800000000000003</v>
      </c>
      <c r="P3442">
        <v>0.25934511300000002</v>
      </c>
      <c r="Q3442">
        <v>0.23400000000000001</v>
      </c>
    </row>
    <row r="3443" spans="1:17" x14ac:dyDescent="0.2">
      <c r="A3443" s="30" t="str">
        <f>IF(C3443&amp;G3443&amp;D3443&lt;&gt;'Funnel setup'!$K$3&amp;'Funnel setup'!$K$4&amp;'Funnel setup'!$K$5,".",IF(A3442=".",1,A3442+1))</f>
        <v>.</v>
      </c>
      <c r="B3443" s="431" t="str">
        <f t="shared" si="53"/>
        <v>Hip Replacement RevisionProviderWESTON AREA HEALTH NHS TRUST (RA3)EQ-5D Index</v>
      </c>
      <c r="C3443" t="s">
        <v>247</v>
      </c>
      <c r="D3443" t="s">
        <v>1</v>
      </c>
      <c r="E3443" t="s">
        <v>3525</v>
      </c>
      <c r="F3443" t="s">
        <v>3526</v>
      </c>
      <c r="G3443" t="s">
        <v>52</v>
      </c>
      <c r="H3443">
        <v>9</v>
      </c>
      <c r="I3443">
        <v>0.57599999999999996</v>
      </c>
      <c r="J3443">
        <v>0.79800000000000004</v>
      </c>
      <c r="K3443">
        <v>0.223</v>
      </c>
      <c r="L3443">
        <v>5</v>
      </c>
      <c r="M3443">
        <v>3</v>
      </c>
      <c r="N3443">
        <v>1</v>
      </c>
      <c r="O3443" t="s">
        <v>53</v>
      </c>
      <c r="P3443" t="s">
        <v>53</v>
      </c>
      <c r="Q3443" t="s">
        <v>53</v>
      </c>
    </row>
    <row r="3444" spans="1:17" x14ac:dyDescent="0.2">
      <c r="A3444" s="30" t="str">
        <f>IF(C3444&amp;G3444&amp;D3444&lt;&gt;'Funnel setup'!$K$3&amp;'Funnel setup'!$K$4&amp;'Funnel setup'!$K$5,".",IF(A3443=".",1,A3443+1))</f>
        <v>.</v>
      </c>
      <c r="B3444" s="431" t="str">
        <f t="shared" si="53"/>
        <v>Hip Replacement RevisionProviderWINFIELD HOSPITAL (NVC22)EQ-5D Index</v>
      </c>
      <c r="C3444" t="s">
        <v>247</v>
      </c>
      <c r="D3444" t="s">
        <v>1</v>
      </c>
      <c r="E3444" t="s">
        <v>3534</v>
      </c>
      <c r="F3444" t="s">
        <v>3535</v>
      </c>
      <c r="G3444" t="s">
        <v>52</v>
      </c>
      <c r="H3444" t="s">
        <v>53</v>
      </c>
      <c r="I3444" t="s">
        <v>53</v>
      </c>
      <c r="J3444" t="s">
        <v>53</v>
      </c>
      <c r="K3444" t="s">
        <v>53</v>
      </c>
      <c r="L3444" t="s">
        <v>53</v>
      </c>
      <c r="M3444" t="s">
        <v>53</v>
      </c>
      <c r="N3444" t="s">
        <v>53</v>
      </c>
      <c r="O3444" t="s">
        <v>53</v>
      </c>
      <c r="P3444" t="s">
        <v>53</v>
      </c>
      <c r="Q3444" t="s">
        <v>53</v>
      </c>
    </row>
    <row r="3445" spans="1:17" x14ac:dyDescent="0.2">
      <c r="A3445" s="30" t="str">
        <f>IF(C3445&amp;G3445&amp;D3445&lt;&gt;'Funnel setup'!$K$3&amp;'Funnel setup'!$K$4&amp;'Funnel setup'!$K$5,".",IF(A3444=".",1,A3444+1))</f>
        <v>.</v>
      </c>
      <c r="B3445" s="431" t="str">
        <f t="shared" si="53"/>
        <v>Hip Replacement RevisionProviderWIRRAL UNIVERSITY TEACHING HOSPITAL NHS FOUNDATION TRUST (RBL)EQ-5D Index</v>
      </c>
      <c r="C3445" t="s">
        <v>247</v>
      </c>
      <c r="D3445" t="s">
        <v>1</v>
      </c>
      <c r="E3445" t="s">
        <v>3537</v>
      </c>
      <c r="F3445" t="s">
        <v>3538</v>
      </c>
      <c r="G3445" t="s">
        <v>52</v>
      </c>
      <c r="H3445" t="s">
        <v>53</v>
      </c>
      <c r="I3445" t="s">
        <v>53</v>
      </c>
      <c r="J3445" t="s">
        <v>53</v>
      </c>
      <c r="K3445" t="s">
        <v>53</v>
      </c>
      <c r="L3445" t="s">
        <v>53</v>
      </c>
      <c r="M3445" t="s">
        <v>53</v>
      </c>
      <c r="N3445" t="s">
        <v>53</v>
      </c>
      <c r="O3445" t="s">
        <v>53</v>
      </c>
      <c r="P3445" t="s">
        <v>53</v>
      </c>
      <c r="Q3445" t="s">
        <v>53</v>
      </c>
    </row>
    <row r="3446" spans="1:17" x14ac:dyDescent="0.2">
      <c r="A3446" s="30" t="str">
        <f>IF(C3446&amp;G3446&amp;D3446&lt;&gt;'Funnel setup'!$K$3&amp;'Funnel setup'!$K$4&amp;'Funnel setup'!$K$5,".",IF(A3445=".",1,A3445+1))</f>
        <v>.</v>
      </c>
      <c r="B3446" s="431" t="str">
        <f t="shared" si="53"/>
        <v>Hip Replacement RevisionProviderWOODLAND HOSPITAL (NVC23)EQ-5D Index</v>
      </c>
      <c r="C3446" t="s">
        <v>247</v>
      </c>
      <c r="D3446" t="s">
        <v>1</v>
      </c>
      <c r="E3446" t="s">
        <v>3540</v>
      </c>
      <c r="F3446" t="s">
        <v>3541</v>
      </c>
      <c r="G3446" t="s">
        <v>52</v>
      </c>
      <c r="H3446" t="s">
        <v>53</v>
      </c>
      <c r="I3446" t="s">
        <v>53</v>
      </c>
      <c r="J3446" t="s">
        <v>53</v>
      </c>
      <c r="K3446" t="s">
        <v>53</v>
      </c>
      <c r="L3446" t="s">
        <v>53</v>
      </c>
      <c r="M3446" t="s">
        <v>53</v>
      </c>
      <c r="N3446" t="s">
        <v>53</v>
      </c>
      <c r="O3446" t="s">
        <v>53</v>
      </c>
      <c r="P3446" t="s">
        <v>53</v>
      </c>
      <c r="Q3446" t="s">
        <v>53</v>
      </c>
    </row>
    <row r="3447" spans="1:17" x14ac:dyDescent="0.2">
      <c r="A3447" s="30" t="str">
        <f>IF(C3447&amp;G3447&amp;D3447&lt;&gt;'Funnel setup'!$K$3&amp;'Funnel setup'!$K$4&amp;'Funnel setup'!$K$5,".",IF(A3446=".",1,A3446+1))</f>
        <v>.</v>
      </c>
      <c r="B3447" s="431" t="str">
        <f t="shared" si="53"/>
        <v>Hip Replacement RevisionProviderWOODTHORPE HOSPITAL (NVC40)EQ-5D Index</v>
      </c>
      <c r="C3447" t="s">
        <v>247</v>
      </c>
      <c r="D3447" t="s">
        <v>1</v>
      </c>
      <c r="E3447" t="s">
        <v>3689</v>
      </c>
      <c r="F3447" t="s">
        <v>6576</v>
      </c>
      <c r="G3447" t="s">
        <v>52</v>
      </c>
      <c r="H3447" t="s">
        <v>53</v>
      </c>
      <c r="I3447" t="s">
        <v>53</v>
      </c>
      <c r="J3447" t="s">
        <v>53</v>
      </c>
      <c r="K3447" t="s">
        <v>53</v>
      </c>
      <c r="L3447" t="s">
        <v>53</v>
      </c>
      <c r="M3447" t="s">
        <v>53</v>
      </c>
      <c r="N3447" t="s">
        <v>53</v>
      </c>
      <c r="O3447" t="s">
        <v>53</v>
      </c>
      <c r="P3447" t="s">
        <v>53</v>
      </c>
      <c r="Q3447" t="s">
        <v>53</v>
      </c>
    </row>
    <row r="3448" spans="1:17" x14ac:dyDescent="0.2">
      <c r="A3448" s="30" t="str">
        <f>IF(C3448&amp;G3448&amp;D3448&lt;&gt;'Funnel setup'!$K$3&amp;'Funnel setup'!$K$4&amp;'Funnel setup'!$K$5,".",IF(A3447=".",1,A3447+1))</f>
        <v>.</v>
      </c>
      <c r="B3448" s="431" t="str">
        <f t="shared" si="53"/>
        <v>Hip Replacement RevisionProviderWORCESTERSHIRE ACUTE HOSPITALS NHS TRUST (RWP)EQ-5D Index</v>
      </c>
      <c r="C3448" t="s">
        <v>247</v>
      </c>
      <c r="D3448" t="s">
        <v>1</v>
      </c>
      <c r="E3448" t="s">
        <v>3543</v>
      </c>
      <c r="F3448" t="s">
        <v>3544</v>
      </c>
      <c r="G3448" t="s">
        <v>52</v>
      </c>
      <c r="H3448">
        <v>13</v>
      </c>
      <c r="I3448">
        <v>0.29699999999999999</v>
      </c>
      <c r="J3448">
        <v>0.77400000000000002</v>
      </c>
      <c r="K3448">
        <v>0.47699999999999998</v>
      </c>
      <c r="L3448">
        <v>13</v>
      </c>
      <c r="M3448">
        <v>0</v>
      </c>
      <c r="N3448">
        <v>0</v>
      </c>
      <c r="O3448" t="s">
        <v>53</v>
      </c>
      <c r="P3448" t="s">
        <v>53</v>
      </c>
      <c r="Q3448" t="s">
        <v>53</v>
      </c>
    </row>
    <row r="3449" spans="1:17" x14ac:dyDescent="0.2">
      <c r="A3449" s="30" t="str">
        <f>IF(C3449&amp;G3449&amp;D3449&lt;&gt;'Funnel setup'!$K$3&amp;'Funnel setup'!$K$4&amp;'Funnel setup'!$K$5,".",IF(A3448=".",1,A3448+1))</f>
        <v>.</v>
      </c>
      <c r="B3449" s="431" t="str">
        <f t="shared" si="53"/>
        <v>Hip Replacement RevisionProviderWRIGHTINGTON, WIGAN AND LEIGH NHS FOUNDATION TRUST (RRF)EQ-5D Index</v>
      </c>
      <c r="C3449" t="s">
        <v>247</v>
      </c>
      <c r="D3449" t="s">
        <v>1</v>
      </c>
      <c r="E3449" t="s">
        <v>3546</v>
      </c>
      <c r="F3449" t="s">
        <v>3547</v>
      </c>
      <c r="G3449" t="s">
        <v>52</v>
      </c>
      <c r="H3449">
        <v>41</v>
      </c>
      <c r="I3449">
        <v>0.32200000000000001</v>
      </c>
      <c r="J3449">
        <v>0.55100000000000005</v>
      </c>
      <c r="K3449">
        <v>0.22800000000000001</v>
      </c>
      <c r="L3449">
        <v>28</v>
      </c>
      <c r="M3449">
        <v>4</v>
      </c>
      <c r="N3449">
        <v>9</v>
      </c>
      <c r="O3449">
        <v>0.59399999999999997</v>
      </c>
      <c r="P3449">
        <v>0.19538283000000001</v>
      </c>
      <c r="Q3449">
        <v>0.33</v>
      </c>
    </row>
    <row r="3450" spans="1:17" x14ac:dyDescent="0.2">
      <c r="A3450" s="30" t="str">
        <f>IF(C3450&amp;G3450&amp;D3450&lt;&gt;'Funnel setup'!$K$3&amp;'Funnel setup'!$K$4&amp;'Funnel setup'!$K$5,".",IF(A3449=".",1,A3449+1))</f>
        <v>.</v>
      </c>
      <c r="B3450" s="431" t="str">
        <f t="shared" si="53"/>
        <v>Hip Replacement RevisionProviderWYE VALLEY NHS TRUST (RLQ)EQ-5D Index</v>
      </c>
      <c r="C3450" t="s">
        <v>247</v>
      </c>
      <c r="D3450" t="s">
        <v>1</v>
      </c>
      <c r="E3450" t="s">
        <v>3517</v>
      </c>
      <c r="F3450" t="s">
        <v>3518</v>
      </c>
      <c r="G3450" t="s">
        <v>52</v>
      </c>
      <c r="H3450">
        <v>6</v>
      </c>
      <c r="I3450">
        <v>0.39500000000000002</v>
      </c>
      <c r="J3450">
        <v>0.81799999999999995</v>
      </c>
      <c r="K3450">
        <v>0.42199999999999999</v>
      </c>
      <c r="L3450">
        <v>6</v>
      </c>
      <c r="M3450">
        <v>0</v>
      </c>
      <c r="N3450">
        <v>0</v>
      </c>
      <c r="O3450" t="s">
        <v>53</v>
      </c>
      <c r="P3450" t="s">
        <v>53</v>
      </c>
      <c r="Q3450" t="s">
        <v>53</v>
      </c>
    </row>
    <row r="3451" spans="1:17" x14ac:dyDescent="0.2">
      <c r="A3451" s="30" t="str">
        <f>IF(C3451&amp;G3451&amp;D3451&lt;&gt;'Funnel setup'!$K$3&amp;'Funnel setup'!$K$4&amp;'Funnel setup'!$K$5,".",IF(A3450=".",1,A3450+1))</f>
        <v>.</v>
      </c>
      <c r="B3451" s="431" t="str">
        <f t="shared" si="53"/>
        <v>Hip Replacement RevisionProviderYEOVIL DISTRICT HOSPITAL NHS FOUNDATION TRUST (RA4)EQ-5D Index</v>
      </c>
      <c r="C3451" t="s">
        <v>247</v>
      </c>
      <c r="D3451" t="s">
        <v>1</v>
      </c>
      <c r="E3451" t="s">
        <v>3520</v>
      </c>
      <c r="F3451" t="s">
        <v>341</v>
      </c>
      <c r="G3451" t="s">
        <v>52</v>
      </c>
      <c r="H3451">
        <v>7</v>
      </c>
      <c r="I3451">
        <v>0.33600000000000002</v>
      </c>
      <c r="J3451">
        <v>0.73299999999999998</v>
      </c>
      <c r="K3451">
        <v>0.39700000000000002</v>
      </c>
      <c r="L3451">
        <v>5</v>
      </c>
      <c r="M3451">
        <v>1</v>
      </c>
      <c r="N3451">
        <v>1</v>
      </c>
      <c r="O3451" t="s">
        <v>53</v>
      </c>
      <c r="P3451" t="s">
        <v>53</v>
      </c>
      <c r="Q3451" t="s">
        <v>53</v>
      </c>
    </row>
    <row r="3452" spans="1:17" x14ac:dyDescent="0.2">
      <c r="A3452" s="30" t="str">
        <f>IF(C3452&amp;G3452&amp;D3452&lt;&gt;'Funnel setup'!$K$3&amp;'Funnel setup'!$K$4&amp;'Funnel setup'!$K$5,".",IF(A3451=".",1,A3451+1))</f>
        <v>.</v>
      </c>
      <c r="B3452" s="431" t="str">
        <f t="shared" si="53"/>
        <v>Hip Replacement RevisionProviderYORK TEACHING HOSPITAL NHS FOUNDATION TRUST (RCB)EQ-5D Index</v>
      </c>
      <c r="C3452" t="s">
        <v>247</v>
      </c>
      <c r="D3452" t="s">
        <v>1</v>
      </c>
      <c r="E3452" t="s">
        <v>3515</v>
      </c>
      <c r="F3452" t="s">
        <v>343</v>
      </c>
      <c r="G3452" t="s">
        <v>52</v>
      </c>
      <c r="H3452">
        <v>34</v>
      </c>
      <c r="I3452">
        <v>0.54300000000000004</v>
      </c>
      <c r="J3452">
        <v>0.69599999999999995</v>
      </c>
      <c r="K3452">
        <v>0.153</v>
      </c>
      <c r="L3452">
        <v>23</v>
      </c>
      <c r="M3452">
        <v>6</v>
      </c>
      <c r="N3452">
        <v>5</v>
      </c>
      <c r="O3452">
        <v>0.65500000000000003</v>
      </c>
      <c r="P3452">
        <v>0.255833017</v>
      </c>
      <c r="Q3452">
        <v>0.27500000000000002</v>
      </c>
    </row>
    <row r="3453" spans="1:17" x14ac:dyDescent="0.2">
      <c r="A3453" s="30" t="str">
        <f>IF(C3453&amp;G3453&amp;D3453&lt;&gt;'Funnel setup'!$K$3&amp;'Funnel setup'!$K$4&amp;'Funnel setup'!$K$5,".",IF(A3452=".",1,A3452+1))</f>
        <v>.</v>
      </c>
      <c r="B3453" s="431" t="str">
        <f t="shared" si="53"/>
        <v>Hip Replacement RevisionProviderAINTREE UNIVERSITY HOSPITAL NHS FOUNDATION TRUST (REM)Oxford Hip Score</v>
      </c>
      <c r="C3453" t="s">
        <v>247</v>
      </c>
      <c r="D3453" t="s">
        <v>1</v>
      </c>
      <c r="E3453" t="s">
        <v>3838</v>
      </c>
      <c r="F3453" t="s">
        <v>3839</v>
      </c>
      <c r="G3453" t="s">
        <v>14</v>
      </c>
      <c r="H3453">
        <v>13</v>
      </c>
      <c r="I3453">
        <v>16.614999999999998</v>
      </c>
      <c r="J3453">
        <v>27.231000000000002</v>
      </c>
      <c r="K3453">
        <v>10.615</v>
      </c>
      <c r="L3453">
        <v>10</v>
      </c>
      <c r="M3453">
        <v>0</v>
      </c>
      <c r="N3453">
        <v>3</v>
      </c>
      <c r="O3453" t="s">
        <v>53</v>
      </c>
      <c r="P3453" t="s">
        <v>53</v>
      </c>
      <c r="Q3453" t="s">
        <v>53</v>
      </c>
    </row>
    <row r="3454" spans="1:17" x14ac:dyDescent="0.2">
      <c r="A3454" s="30" t="str">
        <f>IF(C3454&amp;G3454&amp;D3454&lt;&gt;'Funnel setup'!$K$3&amp;'Funnel setup'!$K$4&amp;'Funnel setup'!$K$5,".",IF(A3453=".",1,A3453+1))</f>
        <v>.</v>
      </c>
      <c r="B3454" s="431" t="str">
        <f t="shared" si="53"/>
        <v>Hip Replacement RevisionProviderAIREDALE NHS FOUNDATION TRUST (RCF)Oxford Hip Score</v>
      </c>
      <c r="C3454" t="s">
        <v>247</v>
      </c>
      <c r="D3454" t="s">
        <v>1</v>
      </c>
      <c r="E3454" t="s">
        <v>3841</v>
      </c>
      <c r="F3454" t="s">
        <v>3842</v>
      </c>
      <c r="G3454" t="s">
        <v>14</v>
      </c>
      <c r="H3454">
        <v>13</v>
      </c>
      <c r="I3454">
        <v>23.922999999999998</v>
      </c>
      <c r="J3454">
        <v>35.308</v>
      </c>
      <c r="K3454">
        <v>11.385</v>
      </c>
      <c r="L3454">
        <v>11</v>
      </c>
      <c r="M3454">
        <v>0</v>
      </c>
      <c r="N3454">
        <v>2</v>
      </c>
      <c r="O3454" t="s">
        <v>53</v>
      </c>
      <c r="P3454" t="s">
        <v>53</v>
      </c>
      <c r="Q3454" t="s">
        <v>53</v>
      </c>
    </row>
    <row r="3455" spans="1:17" x14ac:dyDescent="0.2">
      <c r="A3455" s="30" t="str">
        <f>IF(C3455&amp;G3455&amp;D3455&lt;&gt;'Funnel setup'!$K$3&amp;'Funnel setup'!$K$4&amp;'Funnel setup'!$K$5,".",IF(A3454=".",1,A3454+1))</f>
        <v>.</v>
      </c>
      <c r="B3455" s="431" t="str">
        <f t="shared" si="53"/>
        <v>Hip Replacement RevisionProviderASHFORD AND ST PETER'S HOSPITALS NHS FOUNDATION TRUST (RTK)Oxford Hip Score</v>
      </c>
      <c r="C3455" t="s">
        <v>247</v>
      </c>
      <c r="D3455" t="s">
        <v>1</v>
      </c>
      <c r="E3455" t="s">
        <v>3844</v>
      </c>
      <c r="F3455" t="s">
        <v>345</v>
      </c>
      <c r="G3455" t="s">
        <v>14</v>
      </c>
      <c r="H3455">
        <v>15</v>
      </c>
      <c r="I3455">
        <v>23.867000000000001</v>
      </c>
      <c r="J3455">
        <v>34.067</v>
      </c>
      <c r="K3455">
        <v>10.199999999999999</v>
      </c>
      <c r="L3455">
        <v>13</v>
      </c>
      <c r="M3455">
        <v>1</v>
      </c>
      <c r="N3455">
        <v>1</v>
      </c>
      <c r="O3455" t="s">
        <v>53</v>
      </c>
      <c r="P3455" t="s">
        <v>53</v>
      </c>
      <c r="Q3455" t="s">
        <v>53</v>
      </c>
    </row>
    <row r="3456" spans="1:17" x14ac:dyDescent="0.2">
      <c r="A3456" s="30" t="str">
        <f>IF(C3456&amp;G3456&amp;D3456&lt;&gt;'Funnel setup'!$K$3&amp;'Funnel setup'!$K$4&amp;'Funnel setup'!$K$5,".",IF(A3455=".",1,A3455+1))</f>
        <v>.</v>
      </c>
      <c r="B3456" s="431" t="str">
        <f t="shared" si="53"/>
        <v>Hip Replacement RevisionProviderASHTEAD HOSPITAL (NVC01)Oxford Hip Score</v>
      </c>
      <c r="C3456" t="s">
        <v>247</v>
      </c>
      <c r="D3456" t="s">
        <v>1</v>
      </c>
      <c r="E3456" t="s">
        <v>3846</v>
      </c>
      <c r="F3456" t="s">
        <v>3847</v>
      </c>
      <c r="G3456" t="s">
        <v>14</v>
      </c>
      <c r="H3456" t="s">
        <v>53</v>
      </c>
      <c r="I3456" t="s">
        <v>53</v>
      </c>
      <c r="J3456" t="s">
        <v>53</v>
      </c>
      <c r="K3456" t="s">
        <v>53</v>
      </c>
      <c r="L3456" t="s">
        <v>53</v>
      </c>
      <c r="M3456" t="s">
        <v>53</v>
      </c>
      <c r="N3456" t="s">
        <v>53</v>
      </c>
      <c r="O3456" t="s">
        <v>53</v>
      </c>
      <c r="P3456" t="s">
        <v>53</v>
      </c>
      <c r="Q3456" t="s">
        <v>53</v>
      </c>
    </row>
    <row r="3457" spans="1:17" x14ac:dyDescent="0.2">
      <c r="A3457" s="30" t="str">
        <f>IF(C3457&amp;G3457&amp;D3457&lt;&gt;'Funnel setup'!$K$3&amp;'Funnel setup'!$K$4&amp;'Funnel setup'!$K$5,".",IF(A3456=".",1,A3456+1))</f>
        <v>.</v>
      </c>
      <c r="B3457" s="431" t="str">
        <f t="shared" si="53"/>
        <v>Hip Replacement RevisionProviderASPEN - CLAREMONT HOSPITAL (NYW04)Oxford Hip Score</v>
      </c>
      <c r="C3457" t="s">
        <v>247</v>
      </c>
      <c r="D3457" t="s">
        <v>1</v>
      </c>
      <c r="E3457" t="s">
        <v>3500</v>
      </c>
      <c r="F3457" t="s">
        <v>3501</v>
      </c>
      <c r="G3457" t="s">
        <v>14</v>
      </c>
      <c r="H3457" t="s">
        <v>53</v>
      </c>
      <c r="I3457" t="s">
        <v>53</v>
      </c>
      <c r="J3457" t="s">
        <v>53</v>
      </c>
      <c r="K3457" t="s">
        <v>53</v>
      </c>
      <c r="L3457" t="s">
        <v>53</v>
      </c>
      <c r="M3457" t="s">
        <v>53</v>
      </c>
      <c r="N3457" t="s">
        <v>53</v>
      </c>
      <c r="O3457" t="s">
        <v>53</v>
      </c>
      <c r="P3457" t="s">
        <v>53</v>
      </c>
      <c r="Q3457" t="s">
        <v>53</v>
      </c>
    </row>
    <row r="3458" spans="1:17" x14ac:dyDescent="0.2">
      <c r="A3458" s="30" t="str">
        <f>IF(C3458&amp;G3458&amp;D3458&lt;&gt;'Funnel setup'!$K$3&amp;'Funnel setup'!$K$4&amp;'Funnel setup'!$K$5,".",IF(A3457=".",1,A3457+1))</f>
        <v>.</v>
      </c>
      <c r="B3458" s="431" t="str">
        <f t="shared" si="53"/>
        <v>Hip Replacement RevisionProviderBARLBOROUGH NHS TREATMENT CENTRE (NTP13)Oxford Hip Score</v>
      </c>
      <c r="C3458" t="s">
        <v>247</v>
      </c>
      <c r="D3458" t="s">
        <v>1</v>
      </c>
      <c r="E3458" t="s">
        <v>4425</v>
      </c>
      <c r="F3458" t="s">
        <v>4426</v>
      </c>
      <c r="G3458" t="s">
        <v>14</v>
      </c>
      <c r="H3458">
        <v>7</v>
      </c>
      <c r="I3458">
        <v>17</v>
      </c>
      <c r="J3458">
        <v>27.286000000000001</v>
      </c>
      <c r="K3458">
        <v>10.286</v>
      </c>
      <c r="L3458">
        <v>5</v>
      </c>
      <c r="M3458">
        <v>0</v>
      </c>
      <c r="N3458">
        <v>2</v>
      </c>
      <c r="O3458" t="s">
        <v>53</v>
      </c>
      <c r="P3458" t="s">
        <v>53</v>
      </c>
      <c r="Q3458" t="s">
        <v>53</v>
      </c>
    </row>
    <row r="3459" spans="1:17" x14ac:dyDescent="0.2">
      <c r="A3459" s="30" t="str">
        <f>IF(C3459&amp;G3459&amp;D3459&lt;&gt;'Funnel setup'!$K$3&amp;'Funnel setup'!$K$4&amp;'Funnel setup'!$K$5,".",IF(A3458=".",1,A3458+1))</f>
        <v>.</v>
      </c>
      <c r="B3459" s="431" t="str">
        <f t="shared" ref="B3459:B3522" si="54">C3459&amp;D3459&amp;F3459&amp;G3459</f>
        <v>Hip Replacement RevisionProviderBARNSLEY HOSPITAL NHS FOUNDATION TRUST (RFF)Oxford Hip Score</v>
      </c>
      <c r="C3459" t="s">
        <v>247</v>
      </c>
      <c r="D3459" t="s">
        <v>1</v>
      </c>
      <c r="E3459" t="s">
        <v>3549</v>
      </c>
      <c r="F3459" t="s">
        <v>3550</v>
      </c>
      <c r="G3459" t="s">
        <v>14</v>
      </c>
      <c r="H3459">
        <v>6</v>
      </c>
      <c r="I3459">
        <v>11.167</v>
      </c>
      <c r="J3459">
        <v>23.832999999999998</v>
      </c>
      <c r="K3459">
        <v>12.667</v>
      </c>
      <c r="L3459">
        <v>5</v>
      </c>
      <c r="M3459">
        <v>0</v>
      </c>
      <c r="N3459">
        <v>1</v>
      </c>
      <c r="O3459" t="s">
        <v>53</v>
      </c>
      <c r="P3459" t="s">
        <v>53</v>
      </c>
      <c r="Q3459" t="s">
        <v>53</v>
      </c>
    </row>
    <row r="3460" spans="1:17" x14ac:dyDescent="0.2">
      <c r="A3460" s="30" t="str">
        <f>IF(C3460&amp;G3460&amp;D3460&lt;&gt;'Funnel setup'!$K$3&amp;'Funnel setup'!$K$4&amp;'Funnel setup'!$K$5,".",IF(A3459=".",1,A3459+1))</f>
        <v>.</v>
      </c>
      <c r="B3460" s="431" t="str">
        <f t="shared" si="54"/>
        <v>Hip Replacement RevisionProviderBARTS HEALTH NHS TRUST (R1H)Oxford Hip Score</v>
      </c>
      <c r="C3460" t="s">
        <v>247</v>
      </c>
      <c r="D3460" t="s">
        <v>1</v>
      </c>
      <c r="E3460" t="s">
        <v>3552</v>
      </c>
      <c r="F3460" t="s">
        <v>3553</v>
      </c>
      <c r="G3460" t="s">
        <v>14</v>
      </c>
      <c r="H3460">
        <v>15</v>
      </c>
      <c r="I3460">
        <v>15.933</v>
      </c>
      <c r="J3460">
        <v>29</v>
      </c>
      <c r="K3460">
        <v>13.067</v>
      </c>
      <c r="L3460">
        <v>12</v>
      </c>
      <c r="M3460">
        <v>0</v>
      </c>
      <c r="N3460">
        <v>3</v>
      </c>
      <c r="O3460" t="s">
        <v>53</v>
      </c>
      <c r="P3460" t="s">
        <v>53</v>
      </c>
      <c r="Q3460" t="s">
        <v>53</v>
      </c>
    </row>
    <row r="3461" spans="1:17" x14ac:dyDescent="0.2">
      <c r="A3461" s="30" t="str">
        <f>IF(C3461&amp;G3461&amp;D3461&lt;&gt;'Funnel setup'!$K$3&amp;'Funnel setup'!$K$4&amp;'Funnel setup'!$K$5,".",IF(A3460=".",1,A3460+1))</f>
        <v>.</v>
      </c>
      <c r="B3461" s="431" t="str">
        <f t="shared" si="54"/>
        <v>Hip Replacement RevisionProviderBASILDON AND THURROCK UNIVERSITY HOSPITALS NHS FOUNDATION TRUST (RDD)Oxford Hip Score</v>
      </c>
      <c r="C3461" t="s">
        <v>247</v>
      </c>
      <c r="D3461" t="s">
        <v>1</v>
      </c>
      <c r="E3461" t="s">
        <v>3555</v>
      </c>
      <c r="F3461" t="s">
        <v>3556</v>
      </c>
      <c r="G3461" t="s">
        <v>14</v>
      </c>
      <c r="H3461">
        <v>13</v>
      </c>
      <c r="I3461">
        <v>16.922999999999998</v>
      </c>
      <c r="J3461">
        <v>27.308</v>
      </c>
      <c r="K3461">
        <v>10.385</v>
      </c>
      <c r="L3461">
        <v>11</v>
      </c>
      <c r="M3461">
        <v>0</v>
      </c>
      <c r="N3461">
        <v>2</v>
      </c>
      <c r="O3461" t="s">
        <v>53</v>
      </c>
      <c r="P3461" t="s">
        <v>53</v>
      </c>
      <c r="Q3461" t="s">
        <v>53</v>
      </c>
    </row>
    <row r="3462" spans="1:17" x14ac:dyDescent="0.2">
      <c r="A3462" s="30" t="str">
        <f>IF(C3462&amp;G3462&amp;D3462&lt;&gt;'Funnel setup'!$K$3&amp;'Funnel setup'!$K$4&amp;'Funnel setup'!$K$5,".",IF(A3461=".",1,A3461+1))</f>
        <v>.</v>
      </c>
      <c r="B3462" s="431" t="str">
        <f t="shared" si="54"/>
        <v>Hip Replacement RevisionProviderBEDFORD HOSPITAL NHS TRUST (RC1)Oxford Hip Score</v>
      </c>
      <c r="C3462" t="s">
        <v>247</v>
      </c>
      <c r="D3462" t="s">
        <v>1</v>
      </c>
      <c r="E3462" t="s">
        <v>3558</v>
      </c>
      <c r="F3462" t="s">
        <v>3559</v>
      </c>
      <c r="G3462" t="s">
        <v>14</v>
      </c>
      <c r="H3462">
        <v>7</v>
      </c>
      <c r="I3462">
        <v>22.856999999999999</v>
      </c>
      <c r="J3462">
        <v>35.429000000000002</v>
      </c>
      <c r="K3462">
        <v>12.571</v>
      </c>
      <c r="L3462">
        <v>6</v>
      </c>
      <c r="M3462">
        <v>0</v>
      </c>
      <c r="N3462">
        <v>1</v>
      </c>
      <c r="O3462" t="s">
        <v>53</v>
      </c>
      <c r="P3462" t="s">
        <v>53</v>
      </c>
      <c r="Q3462" t="s">
        <v>53</v>
      </c>
    </row>
    <row r="3463" spans="1:17" x14ac:dyDescent="0.2">
      <c r="A3463" s="30" t="str">
        <f>IF(C3463&amp;G3463&amp;D3463&lt;&gt;'Funnel setup'!$K$3&amp;'Funnel setup'!$K$4&amp;'Funnel setup'!$K$5,".",IF(A3462=".",1,A3462+1))</f>
        <v>.</v>
      </c>
      <c r="B3463" s="431" t="str">
        <f t="shared" si="54"/>
        <v>Hip Replacement RevisionProviderBMI - BATH CLINIC (NT402)Oxford Hip Score</v>
      </c>
      <c r="C3463" t="s">
        <v>247</v>
      </c>
      <c r="D3463" t="s">
        <v>1</v>
      </c>
      <c r="E3463" t="s">
        <v>3488</v>
      </c>
      <c r="F3463" t="s">
        <v>3489</v>
      </c>
      <c r="G3463" t="s">
        <v>14</v>
      </c>
      <c r="H3463" t="s">
        <v>53</v>
      </c>
      <c r="I3463" t="s">
        <v>53</v>
      </c>
      <c r="J3463" t="s">
        <v>53</v>
      </c>
      <c r="K3463" t="s">
        <v>53</v>
      </c>
      <c r="L3463" t="s">
        <v>53</v>
      </c>
      <c r="M3463" t="s">
        <v>53</v>
      </c>
      <c r="N3463" t="s">
        <v>53</v>
      </c>
      <c r="O3463" t="s">
        <v>53</v>
      </c>
      <c r="P3463" t="s">
        <v>53</v>
      </c>
      <c r="Q3463" t="s">
        <v>53</v>
      </c>
    </row>
    <row r="3464" spans="1:17" x14ac:dyDescent="0.2">
      <c r="A3464" s="30" t="str">
        <f>IF(C3464&amp;G3464&amp;D3464&lt;&gt;'Funnel setup'!$K$3&amp;'Funnel setup'!$K$4&amp;'Funnel setup'!$K$5,".",IF(A3463=".",1,A3463+1))</f>
        <v>.</v>
      </c>
      <c r="B3464" s="431" t="str">
        <f t="shared" si="54"/>
        <v>Hip Replacement RevisionProviderBMI - BISHOPS WOOD (NT405)Oxford Hip Score</v>
      </c>
      <c r="C3464" t="s">
        <v>247</v>
      </c>
      <c r="D3464" t="s">
        <v>1</v>
      </c>
      <c r="E3464" t="s">
        <v>3491</v>
      </c>
      <c r="F3464" t="s">
        <v>3492</v>
      </c>
      <c r="G3464" t="s">
        <v>14</v>
      </c>
      <c r="H3464" t="s">
        <v>53</v>
      </c>
      <c r="I3464" t="s">
        <v>53</v>
      </c>
      <c r="J3464" t="s">
        <v>53</v>
      </c>
      <c r="K3464" t="s">
        <v>53</v>
      </c>
      <c r="L3464" t="s">
        <v>53</v>
      </c>
      <c r="M3464" t="s">
        <v>53</v>
      </c>
      <c r="N3464" t="s">
        <v>53</v>
      </c>
      <c r="O3464" t="s">
        <v>53</v>
      </c>
      <c r="P3464" t="s">
        <v>53</v>
      </c>
      <c r="Q3464" t="s">
        <v>53</v>
      </c>
    </row>
    <row r="3465" spans="1:17" x14ac:dyDescent="0.2">
      <c r="A3465" s="30" t="str">
        <f>IF(C3465&amp;G3465&amp;D3465&lt;&gt;'Funnel setup'!$K$3&amp;'Funnel setup'!$K$4&amp;'Funnel setup'!$K$5,".",IF(A3464=".",1,A3464+1))</f>
        <v>.</v>
      </c>
      <c r="B3465" s="431" t="str">
        <f t="shared" si="54"/>
        <v>Hip Replacement RevisionProviderBMI - GORING HALL HOSPITAL (NT417)Oxford Hip Score</v>
      </c>
      <c r="C3465" t="s">
        <v>247</v>
      </c>
      <c r="D3465" t="s">
        <v>1</v>
      </c>
      <c r="E3465" t="s">
        <v>3403</v>
      </c>
      <c r="F3465" t="s">
        <v>3404</v>
      </c>
      <c r="G3465" t="s">
        <v>14</v>
      </c>
      <c r="H3465">
        <v>9</v>
      </c>
      <c r="I3465">
        <v>24.222000000000001</v>
      </c>
      <c r="J3465">
        <v>35.667000000000002</v>
      </c>
      <c r="K3465">
        <v>11.444000000000001</v>
      </c>
      <c r="L3465">
        <v>8</v>
      </c>
      <c r="M3465">
        <v>0</v>
      </c>
      <c r="N3465">
        <v>1</v>
      </c>
      <c r="O3465" t="s">
        <v>53</v>
      </c>
      <c r="P3465" t="s">
        <v>53</v>
      </c>
      <c r="Q3465" t="s">
        <v>53</v>
      </c>
    </row>
    <row r="3466" spans="1:17" x14ac:dyDescent="0.2">
      <c r="A3466" s="30" t="str">
        <f>IF(C3466&amp;G3466&amp;D3466&lt;&gt;'Funnel setup'!$K$3&amp;'Funnel setup'!$K$4&amp;'Funnel setup'!$K$5,".",IF(A3465=".",1,A3465+1))</f>
        <v>.</v>
      </c>
      <c r="B3466" s="431" t="str">
        <f t="shared" si="54"/>
        <v>Hip Replacement RevisionProviderBMI - THE CHILTERN HOSPITAL (NT410)Oxford Hip Score</v>
      </c>
      <c r="C3466" t="s">
        <v>247</v>
      </c>
      <c r="D3466" t="s">
        <v>1</v>
      </c>
      <c r="E3466" t="s">
        <v>3594</v>
      </c>
      <c r="F3466" t="s">
        <v>3595</v>
      </c>
      <c r="G3466" t="s">
        <v>14</v>
      </c>
      <c r="H3466" t="s">
        <v>53</v>
      </c>
      <c r="I3466" t="s">
        <v>53</v>
      </c>
      <c r="J3466" t="s">
        <v>53</v>
      </c>
      <c r="K3466" t="s">
        <v>53</v>
      </c>
      <c r="L3466" t="s">
        <v>53</v>
      </c>
      <c r="M3466" t="s">
        <v>53</v>
      </c>
      <c r="N3466" t="s">
        <v>53</v>
      </c>
      <c r="O3466" t="s">
        <v>53</v>
      </c>
      <c r="P3466" t="s">
        <v>53</v>
      </c>
      <c r="Q3466" t="s">
        <v>53</v>
      </c>
    </row>
    <row r="3467" spans="1:17" x14ac:dyDescent="0.2">
      <c r="A3467" s="30" t="str">
        <f>IF(C3467&amp;G3467&amp;D3467&lt;&gt;'Funnel setup'!$K$3&amp;'Funnel setup'!$K$4&amp;'Funnel setup'!$K$5,".",IF(A3466=".",1,A3466+1))</f>
        <v>.</v>
      </c>
      <c r="B3467" s="431" t="str">
        <f t="shared" si="54"/>
        <v>Hip Replacement RevisionProviderBMI - THE MERIDEN HOSPITAL (NT424)Oxford Hip Score</v>
      </c>
      <c r="C3467" t="s">
        <v>247</v>
      </c>
      <c r="D3467" t="s">
        <v>1</v>
      </c>
      <c r="E3467" t="s">
        <v>3283</v>
      </c>
      <c r="F3467" t="s">
        <v>3284</v>
      </c>
      <c r="G3467" t="s">
        <v>14</v>
      </c>
      <c r="H3467" t="s">
        <v>53</v>
      </c>
      <c r="I3467" t="s">
        <v>53</v>
      </c>
      <c r="J3467" t="s">
        <v>53</v>
      </c>
      <c r="K3467" t="s">
        <v>53</v>
      </c>
      <c r="L3467" t="s">
        <v>53</v>
      </c>
      <c r="M3467" t="s">
        <v>53</v>
      </c>
      <c r="N3467" t="s">
        <v>53</v>
      </c>
      <c r="O3467" t="s">
        <v>53</v>
      </c>
      <c r="P3467" t="s">
        <v>53</v>
      </c>
      <c r="Q3467" t="s">
        <v>53</v>
      </c>
    </row>
    <row r="3468" spans="1:17" x14ac:dyDescent="0.2">
      <c r="A3468" s="30" t="str">
        <f>IF(C3468&amp;G3468&amp;D3468&lt;&gt;'Funnel setup'!$K$3&amp;'Funnel setup'!$K$4&amp;'Funnel setup'!$K$5,".",IF(A3467=".",1,A3467+1))</f>
        <v>.</v>
      </c>
      <c r="B3468" s="431" t="str">
        <f t="shared" si="54"/>
        <v>Hip Replacement RevisionProviderBMI - THE RUNNYMEDE HOSPITAL (NT431)Oxford Hip Score</v>
      </c>
      <c r="C3468" t="s">
        <v>247</v>
      </c>
      <c r="D3468" t="s">
        <v>1</v>
      </c>
      <c r="E3468" t="s">
        <v>3295</v>
      </c>
      <c r="F3468" t="s">
        <v>3296</v>
      </c>
      <c r="G3468" t="s">
        <v>14</v>
      </c>
      <c r="H3468" t="s">
        <v>53</v>
      </c>
      <c r="I3468" t="s">
        <v>53</v>
      </c>
      <c r="J3468" t="s">
        <v>53</v>
      </c>
      <c r="K3468" t="s">
        <v>53</v>
      </c>
      <c r="L3468" t="s">
        <v>53</v>
      </c>
      <c r="M3468" t="s">
        <v>53</v>
      </c>
      <c r="N3468" t="s">
        <v>53</v>
      </c>
      <c r="O3468" t="s">
        <v>53</v>
      </c>
      <c r="P3468" t="s">
        <v>53</v>
      </c>
      <c r="Q3468" t="s">
        <v>53</v>
      </c>
    </row>
    <row r="3469" spans="1:17" x14ac:dyDescent="0.2">
      <c r="A3469" s="30" t="str">
        <f>IF(C3469&amp;G3469&amp;D3469&lt;&gt;'Funnel setup'!$K$3&amp;'Funnel setup'!$K$4&amp;'Funnel setup'!$K$5,".",IF(A3468=".",1,A3468+1))</f>
        <v>.</v>
      </c>
      <c r="B3469" s="431" t="str">
        <f t="shared" si="54"/>
        <v>Hip Replacement RevisionProviderBMI - THREE SHIRES HOSPITAL (NT441)Oxford Hip Score</v>
      </c>
      <c r="C3469" t="s">
        <v>247</v>
      </c>
      <c r="D3469" t="s">
        <v>1</v>
      </c>
      <c r="E3469" t="s">
        <v>3316</v>
      </c>
      <c r="F3469" t="s">
        <v>3317</v>
      </c>
      <c r="G3469" t="s">
        <v>14</v>
      </c>
      <c r="H3469" t="s">
        <v>53</v>
      </c>
      <c r="I3469" t="s">
        <v>53</v>
      </c>
      <c r="J3469" t="s">
        <v>53</v>
      </c>
      <c r="K3469" t="s">
        <v>53</v>
      </c>
      <c r="L3469" t="s">
        <v>53</v>
      </c>
      <c r="M3469" t="s">
        <v>53</v>
      </c>
      <c r="N3469" t="s">
        <v>53</v>
      </c>
      <c r="O3469" t="s">
        <v>53</v>
      </c>
      <c r="P3469" t="s">
        <v>53</v>
      </c>
      <c r="Q3469" t="s">
        <v>53</v>
      </c>
    </row>
    <row r="3470" spans="1:17" x14ac:dyDescent="0.2">
      <c r="A3470" s="30" t="str">
        <f>IF(C3470&amp;G3470&amp;D3470&lt;&gt;'Funnel setup'!$K$3&amp;'Funnel setup'!$K$4&amp;'Funnel setup'!$K$5,".",IF(A3469=".",1,A3469+1))</f>
        <v>.</v>
      </c>
      <c r="B3470" s="431" t="str">
        <f t="shared" si="54"/>
        <v>Hip Replacement RevisionProviderBMI ST EDMUNDS HOSPITAL (NT446)Oxford Hip Score</v>
      </c>
      <c r="C3470" t="s">
        <v>247</v>
      </c>
      <c r="D3470" t="s">
        <v>1</v>
      </c>
      <c r="E3470" t="s">
        <v>3328</v>
      </c>
      <c r="F3470" t="s">
        <v>3329</v>
      </c>
      <c r="G3470" t="s">
        <v>14</v>
      </c>
      <c r="H3470" t="s">
        <v>53</v>
      </c>
      <c r="I3470" t="s">
        <v>53</v>
      </c>
      <c r="J3470" t="s">
        <v>53</v>
      </c>
      <c r="K3470" t="s">
        <v>53</v>
      </c>
      <c r="L3470" t="s">
        <v>53</v>
      </c>
      <c r="M3470" t="s">
        <v>53</v>
      </c>
      <c r="N3470" t="s">
        <v>53</v>
      </c>
      <c r="O3470" t="s">
        <v>53</v>
      </c>
      <c r="P3470" t="s">
        <v>53</v>
      </c>
      <c r="Q3470" t="s">
        <v>53</v>
      </c>
    </row>
    <row r="3471" spans="1:17" x14ac:dyDescent="0.2">
      <c r="A3471" s="30" t="str">
        <f>IF(C3471&amp;G3471&amp;D3471&lt;&gt;'Funnel setup'!$K$3&amp;'Funnel setup'!$K$4&amp;'Funnel setup'!$K$5,".",IF(A3470=".",1,A3470+1))</f>
        <v>.</v>
      </c>
      <c r="B3471" s="431" t="str">
        <f t="shared" si="54"/>
        <v>Hip Replacement RevisionProviderBMI THE CAVELL HOSPITAL (NT451)Oxford Hip Score</v>
      </c>
      <c r="C3471" t="s">
        <v>247</v>
      </c>
      <c r="D3471" t="s">
        <v>1</v>
      </c>
      <c r="E3471" t="s">
        <v>3331</v>
      </c>
      <c r="F3471" t="s">
        <v>3332</v>
      </c>
      <c r="G3471" t="s">
        <v>14</v>
      </c>
      <c r="H3471" t="s">
        <v>53</v>
      </c>
      <c r="I3471" t="s">
        <v>53</v>
      </c>
      <c r="J3471" t="s">
        <v>53</v>
      </c>
      <c r="K3471" t="s">
        <v>53</v>
      </c>
      <c r="L3471" t="s">
        <v>53</v>
      </c>
      <c r="M3471" t="s">
        <v>53</v>
      </c>
      <c r="N3471" t="s">
        <v>53</v>
      </c>
      <c r="O3471" t="s">
        <v>53</v>
      </c>
      <c r="P3471" t="s">
        <v>53</v>
      </c>
      <c r="Q3471" t="s">
        <v>53</v>
      </c>
    </row>
    <row r="3472" spans="1:17" x14ac:dyDescent="0.2">
      <c r="A3472" s="30" t="str">
        <f>IF(C3472&amp;G3472&amp;D3472&lt;&gt;'Funnel setup'!$K$3&amp;'Funnel setup'!$K$4&amp;'Funnel setup'!$K$5,".",IF(A3471=".",1,A3471+1))</f>
        <v>.</v>
      </c>
      <c r="B3472" s="431" t="str">
        <f t="shared" si="54"/>
        <v>Hip Replacement RevisionProviderBMI WOODLANDS HOSPITAL (NT457)Oxford Hip Score</v>
      </c>
      <c r="C3472" t="s">
        <v>247</v>
      </c>
      <c r="D3472" t="s">
        <v>1</v>
      </c>
      <c r="E3472" t="s">
        <v>3355</v>
      </c>
      <c r="F3472" t="s">
        <v>3356</v>
      </c>
      <c r="G3472" t="s">
        <v>14</v>
      </c>
      <c r="H3472" t="s">
        <v>53</v>
      </c>
      <c r="I3472" t="s">
        <v>53</v>
      </c>
      <c r="J3472" t="s">
        <v>53</v>
      </c>
      <c r="K3472" t="s">
        <v>53</v>
      </c>
      <c r="L3472" t="s">
        <v>53</v>
      </c>
      <c r="M3472" t="s">
        <v>53</v>
      </c>
      <c r="N3472" t="s">
        <v>53</v>
      </c>
      <c r="O3472" t="s">
        <v>53</v>
      </c>
      <c r="P3472" t="s">
        <v>53</v>
      </c>
      <c r="Q3472" t="s">
        <v>53</v>
      </c>
    </row>
    <row r="3473" spans="1:17" x14ac:dyDescent="0.2">
      <c r="A3473" s="30" t="str">
        <f>IF(C3473&amp;G3473&amp;D3473&lt;&gt;'Funnel setup'!$K$3&amp;'Funnel setup'!$K$4&amp;'Funnel setup'!$K$5,".",IF(A3472=".",1,A3472+1))</f>
        <v>.</v>
      </c>
      <c r="B3473" s="431" t="str">
        <f t="shared" si="54"/>
        <v>Hip Replacement RevisionProviderBOLTON NHS FOUNDATION TRUST (RMC)Oxford Hip Score</v>
      </c>
      <c r="C3473" t="s">
        <v>247</v>
      </c>
      <c r="D3473" t="s">
        <v>1</v>
      </c>
      <c r="E3473" t="s">
        <v>3358</v>
      </c>
      <c r="F3473" t="s">
        <v>3359</v>
      </c>
      <c r="G3473" t="s">
        <v>14</v>
      </c>
      <c r="H3473" t="s">
        <v>53</v>
      </c>
      <c r="I3473" t="s">
        <v>53</v>
      </c>
      <c r="J3473" t="s">
        <v>53</v>
      </c>
      <c r="K3473" t="s">
        <v>53</v>
      </c>
      <c r="L3473" t="s">
        <v>53</v>
      </c>
      <c r="M3473" t="s">
        <v>53</v>
      </c>
      <c r="N3473" t="s">
        <v>53</v>
      </c>
      <c r="O3473" t="s">
        <v>53</v>
      </c>
      <c r="P3473" t="s">
        <v>53</v>
      </c>
      <c r="Q3473" t="s">
        <v>53</v>
      </c>
    </row>
    <row r="3474" spans="1:17" x14ac:dyDescent="0.2">
      <c r="A3474" s="30" t="str">
        <f>IF(C3474&amp;G3474&amp;D3474&lt;&gt;'Funnel setup'!$K$3&amp;'Funnel setup'!$K$4&amp;'Funnel setup'!$K$5,".",IF(A3473=".",1,A3473+1))</f>
        <v>.</v>
      </c>
      <c r="B3474" s="431" t="str">
        <f t="shared" si="54"/>
        <v>Hip Replacement RevisionProviderBRADFORD TEACHING HOSPITALS NHS FOUNDATION TRUST (RAE)Oxford Hip Score</v>
      </c>
      <c r="C3474" t="s">
        <v>247</v>
      </c>
      <c r="D3474" t="s">
        <v>1</v>
      </c>
      <c r="E3474" t="s">
        <v>3361</v>
      </c>
      <c r="F3474" t="s">
        <v>3362</v>
      </c>
      <c r="G3474" t="s">
        <v>14</v>
      </c>
      <c r="H3474">
        <v>8</v>
      </c>
      <c r="I3474">
        <v>23.625</v>
      </c>
      <c r="J3474">
        <v>38.25</v>
      </c>
      <c r="K3474">
        <v>14.625</v>
      </c>
      <c r="L3474">
        <v>7</v>
      </c>
      <c r="M3474">
        <v>0</v>
      </c>
      <c r="N3474">
        <v>1</v>
      </c>
      <c r="O3474" t="s">
        <v>53</v>
      </c>
      <c r="P3474" t="s">
        <v>53</v>
      </c>
      <c r="Q3474" t="s">
        <v>53</v>
      </c>
    </row>
    <row r="3475" spans="1:17" x14ac:dyDescent="0.2">
      <c r="A3475" s="30" t="str">
        <f>IF(C3475&amp;G3475&amp;D3475&lt;&gt;'Funnel setup'!$K$3&amp;'Funnel setup'!$K$4&amp;'Funnel setup'!$K$5,".",IF(A3474=".",1,A3474+1))</f>
        <v>.</v>
      </c>
      <c r="B3475" s="431" t="str">
        <f t="shared" si="54"/>
        <v>Hip Replacement RevisionProviderBRIGHTON AND SUSSEX UNIVERSITY HOSPITALS NHS TRUST (RXH)Oxford Hip Score</v>
      </c>
      <c r="C3475" t="s">
        <v>247</v>
      </c>
      <c r="D3475" t="s">
        <v>1</v>
      </c>
      <c r="E3475" t="s">
        <v>3367</v>
      </c>
      <c r="F3475" t="s">
        <v>3368</v>
      </c>
      <c r="G3475" t="s">
        <v>14</v>
      </c>
      <c r="H3475">
        <v>20</v>
      </c>
      <c r="I3475">
        <v>19.45</v>
      </c>
      <c r="J3475">
        <v>32.799999999999997</v>
      </c>
      <c r="K3475">
        <v>13.35</v>
      </c>
      <c r="L3475">
        <v>16</v>
      </c>
      <c r="M3475">
        <v>1</v>
      </c>
      <c r="N3475">
        <v>3</v>
      </c>
      <c r="O3475" t="s">
        <v>53</v>
      </c>
      <c r="P3475" t="s">
        <v>53</v>
      </c>
      <c r="Q3475" t="s">
        <v>53</v>
      </c>
    </row>
    <row r="3476" spans="1:17" x14ac:dyDescent="0.2">
      <c r="A3476" s="30" t="str">
        <f>IF(C3476&amp;G3476&amp;D3476&lt;&gt;'Funnel setup'!$K$3&amp;'Funnel setup'!$K$4&amp;'Funnel setup'!$K$5,".",IF(A3475=".",1,A3475+1))</f>
        <v>.</v>
      </c>
      <c r="B3476" s="431" t="str">
        <f t="shared" si="54"/>
        <v>Hip Replacement RevisionProviderBUCKINGHAMSHIRE HEALTHCARE NHS TRUST (RXQ)Oxford Hip Score</v>
      </c>
      <c r="C3476" t="s">
        <v>247</v>
      </c>
      <c r="D3476" t="s">
        <v>1</v>
      </c>
      <c r="E3476" t="s">
        <v>3370</v>
      </c>
      <c r="F3476" t="s">
        <v>3371</v>
      </c>
      <c r="G3476" t="s">
        <v>14</v>
      </c>
      <c r="H3476">
        <v>12</v>
      </c>
      <c r="I3476">
        <v>19</v>
      </c>
      <c r="J3476">
        <v>35.75</v>
      </c>
      <c r="K3476">
        <v>16.75</v>
      </c>
      <c r="L3476">
        <v>11</v>
      </c>
      <c r="M3476">
        <v>0</v>
      </c>
      <c r="N3476">
        <v>1</v>
      </c>
      <c r="O3476" t="s">
        <v>53</v>
      </c>
      <c r="P3476" t="s">
        <v>53</v>
      </c>
      <c r="Q3476" t="s">
        <v>53</v>
      </c>
    </row>
    <row r="3477" spans="1:17" x14ac:dyDescent="0.2">
      <c r="A3477" s="30" t="str">
        <f>IF(C3477&amp;G3477&amp;D3477&lt;&gt;'Funnel setup'!$K$3&amp;'Funnel setup'!$K$4&amp;'Funnel setup'!$K$5,".",IF(A3476=".",1,A3476+1))</f>
        <v>.</v>
      </c>
      <c r="B3477" s="431" t="str">
        <f t="shared" si="54"/>
        <v>Hip Replacement RevisionProviderBURTON HOSPITALS NHS FOUNDATION TRUST (RJF)Oxford Hip Score</v>
      </c>
      <c r="C3477" t="s">
        <v>247</v>
      </c>
      <c r="D3477" t="s">
        <v>1</v>
      </c>
      <c r="E3477" t="s">
        <v>3373</v>
      </c>
      <c r="F3477" t="s">
        <v>3374</v>
      </c>
      <c r="G3477" t="s">
        <v>14</v>
      </c>
      <c r="H3477">
        <v>6</v>
      </c>
      <c r="I3477">
        <v>20</v>
      </c>
      <c r="J3477">
        <v>33</v>
      </c>
      <c r="K3477">
        <v>13</v>
      </c>
      <c r="L3477">
        <v>6</v>
      </c>
      <c r="M3477">
        <v>0</v>
      </c>
      <c r="N3477">
        <v>0</v>
      </c>
      <c r="O3477" t="s">
        <v>53</v>
      </c>
      <c r="P3477" t="s">
        <v>53</v>
      </c>
      <c r="Q3477" t="s">
        <v>53</v>
      </c>
    </row>
    <row r="3478" spans="1:17" x14ac:dyDescent="0.2">
      <c r="A3478" s="30" t="str">
        <f>IF(C3478&amp;G3478&amp;D3478&lt;&gt;'Funnel setup'!$K$3&amp;'Funnel setup'!$K$4&amp;'Funnel setup'!$K$5,".",IF(A3477=".",1,A3477+1))</f>
        <v>.</v>
      </c>
      <c r="B3478" s="431" t="str">
        <f t="shared" si="54"/>
        <v>Hip Replacement RevisionProviderCALDERDALE AND HUDDERSFIELD NHS FOUNDATION TRUST (RWY)Oxford Hip Score</v>
      </c>
      <c r="C3478" t="s">
        <v>247</v>
      </c>
      <c r="D3478" t="s">
        <v>1</v>
      </c>
      <c r="E3478" t="s">
        <v>3379</v>
      </c>
      <c r="F3478" t="s">
        <v>3380</v>
      </c>
      <c r="G3478" t="s">
        <v>14</v>
      </c>
      <c r="H3478">
        <v>32</v>
      </c>
      <c r="I3478">
        <v>25.844000000000001</v>
      </c>
      <c r="J3478">
        <v>36</v>
      </c>
      <c r="K3478">
        <v>10.156000000000001</v>
      </c>
      <c r="L3478">
        <v>26</v>
      </c>
      <c r="M3478">
        <v>2</v>
      </c>
      <c r="N3478">
        <v>4</v>
      </c>
      <c r="O3478">
        <v>33.14</v>
      </c>
      <c r="P3478">
        <v>12.265481189999999</v>
      </c>
      <c r="Q3478">
        <v>9.7029999999999994</v>
      </c>
    </row>
    <row r="3479" spans="1:17" x14ac:dyDescent="0.2">
      <c r="A3479" s="30" t="str">
        <f>IF(C3479&amp;G3479&amp;D3479&lt;&gt;'Funnel setup'!$K$3&amp;'Funnel setup'!$K$4&amp;'Funnel setup'!$K$5,".",IF(A3478=".",1,A3478+1))</f>
        <v>.</v>
      </c>
      <c r="B3479" s="431" t="str">
        <f t="shared" si="54"/>
        <v>Hip Replacement RevisionProviderCAMBRIDGE UNIVERSITY HOSPITALS NHS FOUNDATION TRUST (RGT)Oxford Hip Score</v>
      </c>
      <c r="C3479" t="s">
        <v>247</v>
      </c>
      <c r="D3479" t="s">
        <v>1</v>
      </c>
      <c r="E3479" t="s">
        <v>3076</v>
      </c>
      <c r="F3479" t="s">
        <v>3077</v>
      </c>
      <c r="G3479" t="s">
        <v>14</v>
      </c>
      <c r="H3479">
        <v>18</v>
      </c>
      <c r="I3479">
        <v>17.556000000000001</v>
      </c>
      <c r="J3479">
        <v>32.832999999999998</v>
      </c>
      <c r="K3479">
        <v>15.278</v>
      </c>
      <c r="L3479">
        <v>15</v>
      </c>
      <c r="M3479">
        <v>1</v>
      </c>
      <c r="N3479">
        <v>2</v>
      </c>
      <c r="O3479" t="s">
        <v>53</v>
      </c>
      <c r="P3479" t="s">
        <v>53</v>
      </c>
      <c r="Q3479" t="s">
        <v>53</v>
      </c>
    </row>
    <row r="3480" spans="1:17" x14ac:dyDescent="0.2">
      <c r="A3480" s="30" t="str">
        <f>IF(C3480&amp;G3480&amp;D3480&lt;&gt;'Funnel setup'!$K$3&amp;'Funnel setup'!$K$4&amp;'Funnel setup'!$K$5,".",IF(A3479=".",1,A3479+1))</f>
        <v>.</v>
      </c>
      <c r="B3480" s="431" t="str">
        <f t="shared" si="54"/>
        <v>Hip Replacement RevisionProviderCENTRAL MANCHESTER UNIVERSITY HOSPITALS NHS FOUNDATION TRUST (RW3)Oxford Hip Score</v>
      </c>
      <c r="C3480" t="s">
        <v>247</v>
      </c>
      <c r="D3480" t="s">
        <v>1</v>
      </c>
      <c r="E3480" t="s">
        <v>3079</v>
      </c>
      <c r="F3480" t="s">
        <v>3080</v>
      </c>
      <c r="G3480" t="s">
        <v>14</v>
      </c>
      <c r="H3480" t="s">
        <v>53</v>
      </c>
      <c r="I3480" t="s">
        <v>53</v>
      </c>
      <c r="J3480" t="s">
        <v>53</v>
      </c>
      <c r="K3480" t="s">
        <v>53</v>
      </c>
      <c r="L3480" t="s">
        <v>53</v>
      </c>
      <c r="M3480" t="s">
        <v>53</v>
      </c>
      <c r="N3480" t="s">
        <v>53</v>
      </c>
      <c r="O3480" t="s">
        <v>53</v>
      </c>
      <c r="P3480" t="s">
        <v>53</v>
      </c>
      <c r="Q3480" t="s">
        <v>53</v>
      </c>
    </row>
    <row r="3481" spans="1:17" x14ac:dyDescent="0.2">
      <c r="A3481" s="30" t="str">
        <f>IF(C3481&amp;G3481&amp;D3481&lt;&gt;'Funnel setup'!$K$3&amp;'Funnel setup'!$K$4&amp;'Funnel setup'!$K$5,".",IF(A3480=".",1,A3480+1))</f>
        <v>.</v>
      </c>
      <c r="B3481" s="431" t="str">
        <f t="shared" si="54"/>
        <v>Hip Replacement RevisionProviderCHELSEA AND WESTMINSTER HOSPITAL NHS FOUNDATION TRUST (RQM)Oxford Hip Score</v>
      </c>
      <c r="C3481" t="s">
        <v>247</v>
      </c>
      <c r="D3481" t="s">
        <v>1</v>
      </c>
      <c r="E3481" t="s">
        <v>3082</v>
      </c>
      <c r="F3481" t="s">
        <v>3083</v>
      </c>
      <c r="G3481" t="s">
        <v>14</v>
      </c>
      <c r="H3481" t="s">
        <v>53</v>
      </c>
      <c r="I3481" t="s">
        <v>53</v>
      </c>
      <c r="J3481" t="s">
        <v>53</v>
      </c>
      <c r="K3481" t="s">
        <v>53</v>
      </c>
      <c r="L3481" t="s">
        <v>53</v>
      </c>
      <c r="M3481" t="s">
        <v>53</v>
      </c>
      <c r="N3481" t="s">
        <v>53</v>
      </c>
      <c r="O3481" t="s">
        <v>53</v>
      </c>
      <c r="P3481" t="s">
        <v>53</v>
      </c>
      <c r="Q3481" t="s">
        <v>53</v>
      </c>
    </row>
    <row r="3482" spans="1:17" x14ac:dyDescent="0.2">
      <c r="A3482" s="30" t="str">
        <f>IF(C3482&amp;G3482&amp;D3482&lt;&gt;'Funnel setup'!$K$3&amp;'Funnel setup'!$K$4&amp;'Funnel setup'!$K$5,".",IF(A3481=".",1,A3481+1))</f>
        <v>.</v>
      </c>
      <c r="B3482" s="431" t="str">
        <f t="shared" si="54"/>
        <v>Hip Replacement RevisionProviderCHESTERFIELD ROYAL HOSPITAL NHS FOUNDATION TRUST (RFS)Oxford Hip Score</v>
      </c>
      <c r="C3482" t="s">
        <v>247</v>
      </c>
      <c r="D3482" t="s">
        <v>1</v>
      </c>
      <c r="E3482" t="s">
        <v>3085</v>
      </c>
      <c r="F3482" t="s">
        <v>3086</v>
      </c>
      <c r="G3482" t="s">
        <v>14</v>
      </c>
      <c r="H3482">
        <v>13</v>
      </c>
      <c r="I3482">
        <v>20.846</v>
      </c>
      <c r="J3482">
        <v>29.462</v>
      </c>
      <c r="K3482">
        <v>8.6150000000000002</v>
      </c>
      <c r="L3482">
        <v>10</v>
      </c>
      <c r="M3482">
        <v>0</v>
      </c>
      <c r="N3482">
        <v>3</v>
      </c>
      <c r="O3482" t="s">
        <v>53</v>
      </c>
      <c r="P3482" t="s">
        <v>53</v>
      </c>
      <c r="Q3482" t="s">
        <v>53</v>
      </c>
    </row>
    <row r="3483" spans="1:17" x14ac:dyDescent="0.2">
      <c r="A3483" s="30" t="str">
        <f>IF(C3483&amp;G3483&amp;D3483&lt;&gt;'Funnel setup'!$K$3&amp;'Funnel setup'!$K$4&amp;'Funnel setup'!$K$5,".",IF(A3482=".",1,A3482+1))</f>
        <v>.</v>
      </c>
      <c r="B3483" s="431" t="str">
        <f t="shared" si="54"/>
        <v>Hip Replacement RevisionProviderCIRCLE BATH HOSPITAL (NV302)Oxford Hip Score</v>
      </c>
      <c r="C3483" t="s">
        <v>247</v>
      </c>
      <c r="D3483" t="s">
        <v>1</v>
      </c>
      <c r="E3483" t="s">
        <v>3097</v>
      </c>
      <c r="F3483" t="s">
        <v>3098</v>
      </c>
      <c r="G3483" t="s">
        <v>14</v>
      </c>
      <c r="H3483">
        <v>9</v>
      </c>
      <c r="I3483">
        <v>29.556000000000001</v>
      </c>
      <c r="J3483">
        <v>39.777999999999999</v>
      </c>
      <c r="K3483">
        <v>10.222</v>
      </c>
      <c r="L3483">
        <v>8</v>
      </c>
      <c r="M3483">
        <v>0</v>
      </c>
      <c r="N3483">
        <v>1</v>
      </c>
      <c r="O3483" t="s">
        <v>53</v>
      </c>
      <c r="P3483" t="s">
        <v>53</v>
      </c>
      <c r="Q3483" t="s">
        <v>53</v>
      </c>
    </row>
    <row r="3484" spans="1:17" x14ac:dyDescent="0.2">
      <c r="A3484" s="30" t="str">
        <f>IF(C3484&amp;G3484&amp;D3484&lt;&gt;'Funnel setup'!$K$3&amp;'Funnel setup'!$K$4&amp;'Funnel setup'!$K$5,".",IF(A3483=".",1,A3483+1))</f>
        <v>.</v>
      </c>
      <c r="B3484" s="431" t="str">
        <f t="shared" si="54"/>
        <v>Hip Replacement RevisionProviderCIRCLE READING HOSPITAL (NV323)Oxford Hip Score</v>
      </c>
      <c r="C3484" t="s">
        <v>247</v>
      </c>
      <c r="D3484" t="s">
        <v>1</v>
      </c>
      <c r="E3484" t="s">
        <v>3091</v>
      </c>
      <c r="F3484" t="s">
        <v>3092</v>
      </c>
      <c r="G3484" t="s">
        <v>14</v>
      </c>
      <c r="H3484" t="s">
        <v>53</v>
      </c>
      <c r="I3484" t="s">
        <v>53</v>
      </c>
      <c r="J3484" t="s">
        <v>53</v>
      </c>
      <c r="K3484" t="s">
        <v>53</v>
      </c>
      <c r="L3484" t="s">
        <v>53</v>
      </c>
      <c r="M3484" t="s">
        <v>53</v>
      </c>
      <c r="N3484" t="s">
        <v>53</v>
      </c>
      <c r="O3484" t="s">
        <v>53</v>
      </c>
      <c r="P3484" t="s">
        <v>53</v>
      </c>
      <c r="Q3484" t="s">
        <v>53</v>
      </c>
    </row>
    <row r="3485" spans="1:17" x14ac:dyDescent="0.2">
      <c r="A3485" s="30" t="str">
        <f>IF(C3485&amp;G3485&amp;D3485&lt;&gt;'Funnel setup'!$K$3&amp;'Funnel setup'!$K$4&amp;'Funnel setup'!$K$5,".",IF(A3484=".",1,A3484+1))</f>
        <v>.</v>
      </c>
      <c r="B3485" s="431" t="str">
        <f t="shared" si="54"/>
        <v>Hip Replacement RevisionProviderCITY HOSPITALS SUNDERLAND NHS FOUNDATION TRUST (RLN)Oxford Hip Score</v>
      </c>
      <c r="C3485" t="s">
        <v>247</v>
      </c>
      <c r="D3485" t="s">
        <v>1</v>
      </c>
      <c r="E3485" t="s">
        <v>3100</v>
      </c>
      <c r="F3485" t="s">
        <v>3101</v>
      </c>
      <c r="G3485" t="s">
        <v>14</v>
      </c>
      <c r="H3485">
        <v>13</v>
      </c>
      <c r="I3485">
        <v>16.462</v>
      </c>
      <c r="J3485">
        <v>28.846</v>
      </c>
      <c r="K3485">
        <v>12.385</v>
      </c>
      <c r="L3485">
        <v>12</v>
      </c>
      <c r="M3485">
        <v>0</v>
      </c>
      <c r="N3485">
        <v>1</v>
      </c>
      <c r="O3485" t="s">
        <v>53</v>
      </c>
      <c r="P3485" t="s">
        <v>53</v>
      </c>
      <c r="Q3485" t="s">
        <v>53</v>
      </c>
    </row>
    <row r="3486" spans="1:17" x14ac:dyDescent="0.2">
      <c r="A3486" s="30" t="str">
        <f>IF(C3486&amp;G3486&amp;D3486&lt;&gt;'Funnel setup'!$K$3&amp;'Funnel setup'!$K$4&amp;'Funnel setup'!$K$5,".",IF(A3485=".",1,A3485+1))</f>
        <v>.</v>
      </c>
      <c r="B3486" s="431" t="str">
        <f t="shared" si="54"/>
        <v>Hip Replacement RevisionProviderCLIFTON PARK HOSPITAL (NVC28)Oxford Hip Score</v>
      </c>
      <c r="C3486" t="s">
        <v>247</v>
      </c>
      <c r="D3486" t="s">
        <v>1</v>
      </c>
      <c r="E3486" t="s">
        <v>4229</v>
      </c>
      <c r="F3486" t="s">
        <v>4230</v>
      </c>
      <c r="G3486" t="s">
        <v>14</v>
      </c>
      <c r="H3486">
        <v>12</v>
      </c>
      <c r="I3486">
        <v>24.167000000000002</v>
      </c>
      <c r="J3486">
        <v>36.332999999999998</v>
      </c>
      <c r="K3486">
        <v>12.167</v>
      </c>
      <c r="L3486">
        <v>11</v>
      </c>
      <c r="M3486">
        <v>0</v>
      </c>
      <c r="N3486">
        <v>1</v>
      </c>
      <c r="O3486" t="s">
        <v>53</v>
      </c>
      <c r="P3486" t="s">
        <v>53</v>
      </c>
      <c r="Q3486" t="s">
        <v>53</v>
      </c>
    </row>
    <row r="3487" spans="1:17" x14ac:dyDescent="0.2">
      <c r="A3487" s="30" t="str">
        <f>IF(C3487&amp;G3487&amp;D3487&lt;&gt;'Funnel setup'!$K$3&amp;'Funnel setup'!$K$4&amp;'Funnel setup'!$K$5,".",IF(A3486=".",1,A3486+1))</f>
        <v>.</v>
      </c>
      <c r="B3487" s="431" t="str">
        <f t="shared" si="54"/>
        <v>Hip Replacement RevisionProviderCOLCHESTER HOSPITAL UNIVERSITY NHS FOUNDATION TRUST (RDE)Oxford Hip Score</v>
      </c>
      <c r="C3487" t="s">
        <v>247</v>
      </c>
      <c r="D3487" t="s">
        <v>1</v>
      </c>
      <c r="E3487" t="s">
        <v>3109</v>
      </c>
      <c r="F3487" t="s">
        <v>3110</v>
      </c>
      <c r="G3487" t="s">
        <v>14</v>
      </c>
      <c r="H3487">
        <v>23</v>
      </c>
      <c r="I3487">
        <v>17.652000000000001</v>
      </c>
      <c r="J3487">
        <v>32.173999999999999</v>
      </c>
      <c r="K3487">
        <v>14.522</v>
      </c>
      <c r="L3487">
        <v>21</v>
      </c>
      <c r="M3487">
        <v>1</v>
      </c>
      <c r="N3487">
        <v>1</v>
      </c>
      <c r="O3487" t="s">
        <v>53</v>
      </c>
      <c r="P3487" t="s">
        <v>53</v>
      </c>
      <c r="Q3487" t="s">
        <v>53</v>
      </c>
    </row>
    <row r="3488" spans="1:17" x14ac:dyDescent="0.2">
      <c r="A3488" s="30" t="str">
        <f>IF(C3488&amp;G3488&amp;D3488&lt;&gt;'Funnel setup'!$K$3&amp;'Funnel setup'!$K$4&amp;'Funnel setup'!$K$5,".",IF(A3487=".",1,A3487+1))</f>
        <v>.</v>
      </c>
      <c r="B3488" s="431" t="str">
        <f t="shared" si="54"/>
        <v>Hip Replacement RevisionProviderCOUNTESS OF CHESTER HOSPITAL NHS FOUNDATION TRUST (RJR)Oxford Hip Score</v>
      </c>
      <c r="C3488" t="s">
        <v>247</v>
      </c>
      <c r="D3488" t="s">
        <v>1</v>
      </c>
      <c r="E3488" t="s">
        <v>3781</v>
      </c>
      <c r="F3488" t="s">
        <v>3782</v>
      </c>
      <c r="G3488" t="s">
        <v>14</v>
      </c>
      <c r="H3488">
        <v>6</v>
      </c>
      <c r="I3488">
        <v>18.667000000000002</v>
      </c>
      <c r="J3488">
        <v>28.832999999999998</v>
      </c>
      <c r="K3488">
        <v>10.167</v>
      </c>
      <c r="L3488">
        <v>6</v>
      </c>
      <c r="M3488">
        <v>0</v>
      </c>
      <c r="N3488">
        <v>0</v>
      </c>
      <c r="O3488" t="s">
        <v>53</v>
      </c>
      <c r="P3488" t="s">
        <v>53</v>
      </c>
      <c r="Q3488" t="s">
        <v>53</v>
      </c>
    </row>
    <row r="3489" spans="1:17" x14ac:dyDescent="0.2">
      <c r="A3489" s="30" t="str">
        <f>IF(C3489&amp;G3489&amp;D3489&lt;&gt;'Funnel setup'!$K$3&amp;'Funnel setup'!$K$4&amp;'Funnel setup'!$K$5,".",IF(A3488=".",1,A3488+1))</f>
        <v>.</v>
      </c>
      <c r="B3489" s="431" t="str">
        <f t="shared" si="54"/>
        <v>Hip Replacement RevisionProviderCOUNTY DURHAM AND DARLINGTON NHS FOUNDATION TRUST (RXP)Oxford Hip Score</v>
      </c>
      <c r="C3489" t="s">
        <v>247</v>
      </c>
      <c r="D3489" t="s">
        <v>1</v>
      </c>
      <c r="E3489" t="s">
        <v>3784</v>
      </c>
      <c r="F3489" t="s">
        <v>3785</v>
      </c>
      <c r="G3489" t="s">
        <v>14</v>
      </c>
      <c r="H3489">
        <v>19</v>
      </c>
      <c r="I3489">
        <v>15.737</v>
      </c>
      <c r="J3489">
        <v>30.158000000000001</v>
      </c>
      <c r="K3489">
        <v>14.420999999999999</v>
      </c>
      <c r="L3489">
        <v>15</v>
      </c>
      <c r="M3489">
        <v>0</v>
      </c>
      <c r="N3489">
        <v>4</v>
      </c>
      <c r="O3489" t="s">
        <v>53</v>
      </c>
      <c r="P3489" t="s">
        <v>53</v>
      </c>
      <c r="Q3489" t="s">
        <v>53</v>
      </c>
    </row>
    <row r="3490" spans="1:17" x14ac:dyDescent="0.2">
      <c r="A3490" s="30" t="str">
        <f>IF(C3490&amp;G3490&amp;D3490&lt;&gt;'Funnel setup'!$K$3&amp;'Funnel setup'!$K$4&amp;'Funnel setup'!$K$5,".",IF(A3489=".",1,A3489+1))</f>
        <v>.</v>
      </c>
      <c r="B3490" s="431" t="str">
        <f t="shared" si="54"/>
        <v>Hip Replacement RevisionProviderDARTFORD AND GRAVESHAM NHS TRUST (RN7)Oxford Hip Score</v>
      </c>
      <c r="C3490" t="s">
        <v>247</v>
      </c>
      <c r="D3490" t="s">
        <v>1</v>
      </c>
      <c r="E3490" t="s">
        <v>3787</v>
      </c>
      <c r="F3490" t="s">
        <v>3788</v>
      </c>
      <c r="G3490" t="s">
        <v>14</v>
      </c>
      <c r="H3490">
        <v>7</v>
      </c>
      <c r="I3490">
        <v>20.143000000000001</v>
      </c>
      <c r="J3490">
        <v>34.429000000000002</v>
      </c>
      <c r="K3490">
        <v>14.286</v>
      </c>
      <c r="L3490">
        <v>6</v>
      </c>
      <c r="M3490">
        <v>0</v>
      </c>
      <c r="N3490">
        <v>1</v>
      </c>
      <c r="O3490" t="s">
        <v>53</v>
      </c>
      <c r="P3490" t="s">
        <v>53</v>
      </c>
      <c r="Q3490" t="s">
        <v>53</v>
      </c>
    </row>
    <row r="3491" spans="1:17" x14ac:dyDescent="0.2">
      <c r="A3491" s="30" t="str">
        <f>IF(C3491&amp;G3491&amp;D3491&lt;&gt;'Funnel setup'!$K$3&amp;'Funnel setup'!$K$4&amp;'Funnel setup'!$K$5,".",IF(A3490=".",1,A3490+1))</f>
        <v>.</v>
      </c>
      <c r="B3491" s="431" t="str">
        <f t="shared" si="54"/>
        <v>Hip Replacement RevisionProviderDERBY TEACHING HOSPITALS NHS FOUNDATION TRUST (RTG)Oxford Hip Score</v>
      </c>
      <c r="C3491" t="s">
        <v>247</v>
      </c>
      <c r="D3491" t="s">
        <v>1</v>
      </c>
      <c r="E3491" t="s">
        <v>3790</v>
      </c>
      <c r="F3491" t="s">
        <v>3791</v>
      </c>
      <c r="G3491" t="s">
        <v>14</v>
      </c>
      <c r="H3491">
        <v>32</v>
      </c>
      <c r="I3491">
        <v>22</v>
      </c>
      <c r="J3491">
        <v>34.25</v>
      </c>
      <c r="K3491">
        <v>12.25</v>
      </c>
      <c r="L3491">
        <v>28</v>
      </c>
      <c r="M3491">
        <v>0</v>
      </c>
      <c r="N3491">
        <v>4</v>
      </c>
      <c r="O3491">
        <v>33.469000000000001</v>
      </c>
      <c r="P3491">
        <v>12.594046199999999</v>
      </c>
      <c r="Q3491">
        <v>8.7089999999999996</v>
      </c>
    </row>
    <row r="3492" spans="1:17" x14ac:dyDescent="0.2">
      <c r="A3492" s="30" t="str">
        <f>IF(C3492&amp;G3492&amp;D3492&lt;&gt;'Funnel setup'!$K$3&amp;'Funnel setup'!$K$4&amp;'Funnel setup'!$K$5,".",IF(A3491=".",1,A3491+1))</f>
        <v>.</v>
      </c>
      <c r="B3492" s="431" t="str">
        <f t="shared" si="54"/>
        <v>Hip Replacement RevisionProviderDONCASTER AND BASSETLAW HOSPITALS NHS FOUNDATION TRUST (RP5)Oxford Hip Score</v>
      </c>
      <c r="C3492" t="s">
        <v>247</v>
      </c>
      <c r="D3492" t="s">
        <v>1</v>
      </c>
      <c r="E3492" t="s">
        <v>3799</v>
      </c>
      <c r="F3492" t="s">
        <v>3800</v>
      </c>
      <c r="G3492" t="s">
        <v>14</v>
      </c>
      <c r="H3492">
        <v>22</v>
      </c>
      <c r="I3492">
        <v>18.045000000000002</v>
      </c>
      <c r="J3492">
        <v>29.454999999999998</v>
      </c>
      <c r="K3492">
        <v>11.409000000000001</v>
      </c>
      <c r="L3492">
        <v>19</v>
      </c>
      <c r="M3492">
        <v>0</v>
      </c>
      <c r="N3492">
        <v>3</v>
      </c>
      <c r="O3492" t="s">
        <v>53</v>
      </c>
      <c r="P3492" t="s">
        <v>53</v>
      </c>
      <c r="Q3492" t="s">
        <v>53</v>
      </c>
    </row>
    <row r="3493" spans="1:17" x14ac:dyDescent="0.2">
      <c r="A3493" s="30" t="str">
        <f>IF(C3493&amp;G3493&amp;D3493&lt;&gt;'Funnel setup'!$K$3&amp;'Funnel setup'!$K$4&amp;'Funnel setup'!$K$5,".",IF(A3492=".",1,A3492+1))</f>
        <v>.</v>
      </c>
      <c r="B3493" s="431" t="str">
        <f t="shared" si="54"/>
        <v>Hip Replacement RevisionProviderDORSET COUNTY HOSPITAL NHS FOUNDATION TRUST (RBD)Oxford Hip Score</v>
      </c>
      <c r="C3493" t="s">
        <v>247</v>
      </c>
      <c r="D3493" t="s">
        <v>1</v>
      </c>
      <c r="E3493" t="s">
        <v>3802</v>
      </c>
      <c r="F3493" t="s">
        <v>3803</v>
      </c>
      <c r="G3493" t="s">
        <v>14</v>
      </c>
      <c r="H3493">
        <v>15</v>
      </c>
      <c r="I3493">
        <v>18.2</v>
      </c>
      <c r="J3493">
        <v>32.200000000000003</v>
      </c>
      <c r="K3493">
        <v>14</v>
      </c>
      <c r="L3493">
        <v>14</v>
      </c>
      <c r="M3493">
        <v>0</v>
      </c>
      <c r="N3493">
        <v>1</v>
      </c>
      <c r="O3493" t="s">
        <v>53</v>
      </c>
      <c r="P3493" t="s">
        <v>53</v>
      </c>
      <c r="Q3493" t="s">
        <v>53</v>
      </c>
    </row>
    <row r="3494" spans="1:17" x14ac:dyDescent="0.2">
      <c r="A3494" s="30" t="str">
        <f>IF(C3494&amp;G3494&amp;D3494&lt;&gt;'Funnel setup'!$K$3&amp;'Funnel setup'!$K$4&amp;'Funnel setup'!$K$5,".",IF(A3493=".",1,A3493+1))</f>
        <v>.</v>
      </c>
      <c r="B3494" s="431" t="str">
        <f t="shared" si="54"/>
        <v>Hip Replacement RevisionProviderDUCHY HOSPITAL (NVC04)Oxford Hip Score</v>
      </c>
      <c r="C3494" t="s">
        <v>247</v>
      </c>
      <c r="D3494" t="s">
        <v>1</v>
      </c>
      <c r="E3494" t="s">
        <v>4518</v>
      </c>
      <c r="F3494" t="s">
        <v>4519</v>
      </c>
      <c r="G3494" t="s">
        <v>14</v>
      </c>
      <c r="H3494">
        <v>15</v>
      </c>
      <c r="I3494">
        <v>25.867000000000001</v>
      </c>
      <c r="J3494">
        <v>37.933</v>
      </c>
      <c r="K3494">
        <v>12.067</v>
      </c>
      <c r="L3494">
        <v>15</v>
      </c>
      <c r="M3494">
        <v>0</v>
      </c>
      <c r="N3494">
        <v>0</v>
      </c>
      <c r="O3494" t="s">
        <v>53</v>
      </c>
      <c r="P3494" t="s">
        <v>53</v>
      </c>
      <c r="Q3494" t="s">
        <v>53</v>
      </c>
    </row>
    <row r="3495" spans="1:17" x14ac:dyDescent="0.2">
      <c r="A3495" s="30" t="str">
        <f>IF(C3495&amp;G3495&amp;D3495&lt;&gt;'Funnel setup'!$K$3&amp;'Funnel setup'!$K$4&amp;'Funnel setup'!$K$5,".",IF(A3494=".",1,A3494+1))</f>
        <v>.</v>
      </c>
      <c r="B3495" s="431" t="str">
        <f t="shared" si="54"/>
        <v>Hip Replacement RevisionProviderEAST AND NORTH HERTFORDSHIRE NHS TRUST (RWH)Oxford Hip Score</v>
      </c>
      <c r="C3495" t="s">
        <v>247</v>
      </c>
      <c r="D3495" t="s">
        <v>1</v>
      </c>
      <c r="E3495" t="s">
        <v>3814</v>
      </c>
      <c r="F3495" t="s">
        <v>3815</v>
      </c>
      <c r="G3495" t="s">
        <v>14</v>
      </c>
      <c r="H3495">
        <v>15</v>
      </c>
      <c r="I3495">
        <v>18.667000000000002</v>
      </c>
      <c r="J3495">
        <v>31.733000000000001</v>
      </c>
      <c r="K3495">
        <v>13.067</v>
      </c>
      <c r="L3495">
        <v>11</v>
      </c>
      <c r="M3495">
        <v>0</v>
      </c>
      <c r="N3495">
        <v>4</v>
      </c>
      <c r="O3495" t="s">
        <v>53</v>
      </c>
      <c r="P3495" t="s">
        <v>53</v>
      </c>
      <c r="Q3495" t="s">
        <v>53</v>
      </c>
    </row>
    <row r="3496" spans="1:17" x14ac:dyDescent="0.2">
      <c r="A3496" s="30" t="str">
        <f>IF(C3496&amp;G3496&amp;D3496&lt;&gt;'Funnel setup'!$K$3&amp;'Funnel setup'!$K$4&amp;'Funnel setup'!$K$5,".",IF(A3495=".",1,A3495+1))</f>
        <v>.</v>
      </c>
      <c r="B3496" s="431" t="str">
        <f t="shared" si="54"/>
        <v>Hip Replacement RevisionProviderEAST CHESHIRE NHS TRUST (RJN)Oxford Hip Score</v>
      </c>
      <c r="C3496" t="s">
        <v>247</v>
      </c>
      <c r="D3496" t="s">
        <v>1</v>
      </c>
      <c r="E3496" t="s">
        <v>3817</v>
      </c>
      <c r="F3496" t="s">
        <v>3818</v>
      </c>
      <c r="G3496" t="s">
        <v>14</v>
      </c>
      <c r="H3496" t="s">
        <v>53</v>
      </c>
      <c r="I3496" t="s">
        <v>53</v>
      </c>
      <c r="J3496" t="s">
        <v>53</v>
      </c>
      <c r="K3496" t="s">
        <v>53</v>
      </c>
      <c r="L3496" t="s">
        <v>53</v>
      </c>
      <c r="M3496" t="s">
        <v>53</v>
      </c>
      <c r="N3496" t="s">
        <v>53</v>
      </c>
      <c r="O3496" t="s">
        <v>53</v>
      </c>
      <c r="P3496" t="s">
        <v>53</v>
      </c>
      <c r="Q3496" t="s">
        <v>53</v>
      </c>
    </row>
    <row r="3497" spans="1:17" x14ac:dyDescent="0.2">
      <c r="A3497" s="30" t="str">
        <f>IF(C3497&amp;G3497&amp;D3497&lt;&gt;'Funnel setup'!$K$3&amp;'Funnel setup'!$K$4&amp;'Funnel setup'!$K$5,".",IF(A3496=".",1,A3496+1))</f>
        <v>.</v>
      </c>
      <c r="B3497" s="431" t="str">
        <f t="shared" si="54"/>
        <v>Hip Replacement RevisionProviderEAST KENT HOSPITALS UNIVERSITY NHS FOUNDATION TRUST (RVV)Oxford Hip Score</v>
      </c>
      <c r="C3497" t="s">
        <v>247</v>
      </c>
      <c r="D3497" t="s">
        <v>1</v>
      </c>
      <c r="E3497" t="s">
        <v>3820</v>
      </c>
      <c r="F3497" t="s">
        <v>3821</v>
      </c>
      <c r="G3497" t="s">
        <v>14</v>
      </c>
      <c r="H3497">
        <v>44</v>
      </c>
      <c r="I3497">
        <v>18.431999999999999</v>
      </c>
      <c r="J3497">
        <v>34.976999999999997</v>
      </c>
      <c r="K3497">
        <v>16.545000000000002</v>
      </c>
      <c r="L3497">
        <v>40</v>
      </c>
      <c r="M3497">
        <v>0</v>
      </c>
      <c r="N3497">
        <v>4</v>
      </c>
      <c r="O3497">
        <v>36.003</v>
      </c>
      <c r="P3497">
        <v>15.12844724</v>
      </c>
      <c r="Q3497">
        <v>10.092000000000001</v>
      </c>
    </row>
    <row r="3498" spans="1:17" x14ac:dyDescent="0.2">
      <c r="A3498" s="30" t="str">
        <f>IF(C3498&amp;G3498&amp;D3498&lt;&gt;'Funnel setup'!$K$3&amp;'Funnel setup'!$K$4&amp;'Funnel setup'!$K$5,".",IF(A3497=".",1,A3497+1))</f>
        <v>.</v>
      </c>
      <c r="B3498" s="431" t="str">
        <f t="shared" si="54"/>
        <v>Hip Replacement RevisionProviderEAST LANCASHIRE HOSPITALS NHS TRUST (RXR)Oxford Hip Score</v>
      </c>
      <c r="C3498" t="s">
        <v>247</v>
      </c>
      <c r="D3498" t="s">
        <v>1</v>
      </c>
      <c r="E3498" t="s">
        <v>3823</v>
      </c>
      <c r="F3498" t="s">
        <v>3824</v>
      </c>
      <c r="G3498" t="s">
        <v>14</v>
      </c>
      <c r="H3498">
        <v>13</v>
      </c>
      <c r="I3498">
        <v>18.231000000000002</v>
      </c>
      <c r="J3498">
        <v>26.077000000000002</v>
      </c>
      <c r="K3498">
        <v>7.8460000000000001</v>
      </c>
      <c r="L3498">
        <v>10</v>
      </c>
      <c r="M3498">
        <v>0</v>
      </c>
      <c r="N3498">
        <v>3</v>
      </c>
      <c r="O3498" t="s">
        <v>53</v>
      </c>
      <c r="P3498" t="s">
        <v>53</v>
      </c>
      <c r="Q3498" t="s">
        <v>53</v>
      </c>
    </row>
    <row r="3499" spans="1:17" x14ac:dyDescent="0.2">
      <c r="A3499" s="30" t="str">
        <f>IF(C3499&amp;G3499&amp;D3499&lt;&gt;'Funnel setup'!$K$3&amp;'Funnel setup'!$K$4&amp;'Funnel setup'!$K$5,".",IF(A3498=".",1,A3498+1))</f>
        <v>.</v>
      </c>
      <c r="B3499" s="431" t="str">
        <f t="shared" si="54"/>
        <v>Hip Replacement RevisionProviderEAST SUSSEX HEALTHCARE NHS TRUST (RXC)Oxford Hip Score</v>
      </c>
      <c r="C3499" t="s">
        <v>247</v>
      </c>
      <c r="D3499" t="s">
        <v>1</v>
      </c>
      <c r="E3499" t="s">
        <v>3826</v>
      </c>
      <c r="F3499" t="s">
        <v>3827</v>
      </c>
      <c r="G3499" t="s">
        <v>14</v>
      </c>
      <c r="H3499">
        <v>27</v>
      </c>
      <c r="I3499">
        <v>19.222000000000001</v>
      </c>
      <c r="J3499">
        <v>34.110999999999997</v>
      </c>
      <c r="K3499">
        <v>14.888999999999999</v>
      </c>
      <c r="L3499">
        <v>24</v>
      </c>
      <c r="M3499">
        <v>0</v>
      </c>
      <c r="N3499">
        <v>3</v>
      </c>
      <c r="O3499" t="s">
        <v>53</v>
      </c>
      <c r="P3499" t="s">
        <v>53</v>
      </c>
      <c r="Q3499" t="s">
        <v>53</v>
      </c>
    </row>
    <row r="3500" spans="1:17" x14ac:dyDescent="0.2">
      <c r="A3500" s="30" t="str">
        <f>IF(C3500&amp;G3500&amp;D3500&lt;&gt;'Funnel setup'!$K$3&amp;'Funnel setup'!$K$4&amp;'Funnel setup'!$K$5,".",IF(A3499=".",1,A3499+1))</f>
        <v>.</v>
      </c>
      <c r="B3500" s="431" t="str">
        <f t="shared" si="54"/>
        <v>Hip Replacement RevisionProviderEMERSONS GREEN NHS TREATMENT CENTRE (NTPH2)Oxford Hip Score</v>
      </c>
      <c r="C3500" t="s">
        <v>247</v>
      </c>
      <c r="D3500" t="s">
        <v>1</v>
      </c>
      <c r="E3500" t="s">
        <v>3829</v>
      </c>
      <c r="F3500" t="s">
        <v>3830</v>
      </c>
      <c r="G3500" t="s">
        <v>14</v>
      </c>
      <c r="H3500">
        <v>7</v>
      </c>
      <c r="I3500">
        <v>17.856999999999999</v>
      </c>
      <c r="J3500">
        <v>29.286000000000001</v>
      </c>
      <c r="K3500">
        <v>11.429</v>
      </c>
      <c r="L3500">
        <v>7</v>
      </c>
      <c r="M3500">
        <v>0</v>
      </c>
      <c r="N3500">
        <v>0</v>
      </c>
      <c r="O3500" t="s">
        <v>53</v>
      </c>
      <c r="P3500" t="s">
        <v>53</v>
      </c>
      <c r="Q3500" t="s">
        <v>53</v>
      </c>
    </row>
    <row r="3501" spans="1:17" x14ac:dyDescent="0.2">
      <c r="A3501" s="30" t="str">
        <f>IF(C3501&amp;G3501&amp;D3501&lt;&gt;'Funnel setup'!$K$3&amp;'Funnel setup'!$K$4&amp;'Funnel setup'!$K$5,".",IF(A3500=".",1,A3500+1))</f>
        <v>.</v>
      </c>
      <c r="B3501" s="431" t="str">
        <f t="shared" si="54"/>
        <v>Hip Replacement RevisionProviderEPSOM AND ST HELIER UNIVERSITY HOSPITALS NHS TRUST (RVR)Oxford Hip Score</v>
      </c>
      <c r="C3501" t="s">
        <v>247</v>
      </c>
      <c r="D3501" t="s">
        <v>1</v>
      </c>
      <c r="E3501" t="s">
        <v>3849</v>
      </c>
      <c r="F3501" t="s">
        <v>3850</v>
      </c>
      <c r="G3501" t="s">
        <v>14</v>
      </c>
      <c r="H3501">
        <v>46</v>
      </c>
      <c r="I3501">
        <v>23.803999999999998</v>
      </c>
      <c r="J3501">
        <v>35.435000000000002</v>
      </c>
      <c r="K3501">
        <v>11.63</v>
      </c>
      <c r="L3501">
        <v>40</v>
      </c>
      <c r="M3501">
        <v>1</v>
      </c>
      <c r="N3501">
        <v>5</v>
      </c>
      <c r="O3501">
        <v>33.503</v>
      </c>
      <c r="P3501">
        <v>12.62860088</v>
      </c>
      <c r="Q3501">
        <v>8.8219999999999992</v>
      </c>
    </row>
    <row r="3502" spans="1:17" x14ac:dyDescent="0.2">
      <c r="A3502" s="30" t="str">
        <f>IF(C3502&amp;G3502&amp;D3502&lt;&gt;'Funnel setup'!$K$3&amp;'Funnel setup'!$K$4&amp;'Funnel setup'!$K$5,".",IF(A3501=".",1,A3501+1))</f>
        <v>.</v>
      </c>
      <c r="B3502" s="431" t="str">
        <f t="shared" si="54"/>
        <v>Hip Replacement RevisionProviderFITZWILLIAM HOSPITAL (NVC06)Oxford Hip Score</v>
      </c>
      <c r="C3502" t="s">
        <v>247</v>
      </c>
      <c r="D3502" t="s">
        <v>1</v>
      </c>
      <c r="E3502" t="s">
        <v>3858</v>
      </c>
      <c r="F3502" t="s">
        <v>3859</v>
      </c>
      <c r="G3502" t="s">
        <v>14</v>
      </c>
      <c r="H3502" t="s">
        <v>53</v>
      </c>
      <c r="I3502" t="s">
        <v>53</v>
      </c>
      <c r="J3502" t="s">
        <v>53</v>
      </c>
      <c r="K3502" t="s">
        <v>53</v>
      </c>
      <c r="L3502" t="s">
        <v>53</v>
      </c>
      <c r="M3502" t="s">
        <v>53</v>
      </c>
      <c r="N3502" t="s">
        <v>53</v>
      </c>
      <c r="O3502" t="s">
        <v>53</v>
      </c>
      <c r="P3502" t="s">
        <v>53</v>
      </c>
      <c r="Q3502" t="s">
        <v>53</v>
      </c>
    </row>
    <row r="3503" spans="1:17" x14ac:dyDescent="0.2">
      <c r="A3503" s="30" t="str">
        <f>IF(C3503&amp;G3503&amp;D3503&lt;&gt;'Funnel setup'!$K$3&amp;'Funnel setup'!$K$4&amp;'Funnel setup'!$K$5,".",IF(A3502=".",1,A3502+1))</f>
        <v>.</v>
      </c>
      <c r="B3503" s="431" t="str">
        <f t="shared" si="54"/>
        <v>Hip Replacement RevisionProviderFRIMLEY HEALTH NHS FOUNDATION TRUST (RDU)Oxford Hip Score</v>
      </c>
      <c r="C3503" t="s">
        <v>247</v>
      </c>
      <c r="D3503" t="s">
        <v>1</v>
      </c>
      <c r="E3503" t="s">
        <v>3861</v>
      </c>
      <c r="F3503" t="s">
        <v>3862</v>
      </c>
      <c r="G3503" t="s">
        <v>14</v>
      </c>
      <c r="H3503">
        <v>34</v>
      </c>
      <c r="I3503">
        <v>22.175999999999998</v>
      </c>
      <c r="J3503">
        <v>35.941000000000003</v>
      </c>
      <c r="K3503">
        <v>13.765000000000001</v>
      </c>
      <c r="L3503">
        <v>29</v>
      </c>
      <c r="M3503">
        <v>0</v>
      </c>
      <c r="N3503">
        <v>5</v>
      </c>
      <c r="O3503">
        <v>35.457000000000001</v>
      </c>
      <c r="P3503">
        <v>14.582130980000001</v>
      </c>
      <c r="Q3503">
        <v>10.101000000000001</v>
      </c>
    </row>
    <row r="3504" spans="1:17" x14ac:dyDescent="0.2">
      <c r="A3504" s="30" t="str">
        <f>IF(C3504&amp;G3504&amp;D3504&lt;&gt;'Funnel setup'!$K$3&amp;'Funnel setup'!$K$4&amp;'Funnel setup'!$K$5,".",IF(A3503=".",1,A3503+1))</f>
        <v>.</v>
      </c>
      <c r="B3504" s="431" t="str">
        <f t="shared" si="54"/>
        <v>Hip Replacement RevisionProviderFULWOOD HALL HOSPITAL (NVC07)Oxford Hip Score</v>
      </c>
      <c r="C3504" t="s">
        <v>247</v>
      </c>
      <c r="D3504" t="s">
        <v>1</v>
      </c>
      <c r="E3504" t="s">
        <v>3864</v>
      </c>
      <c r="F3504" t="s">
        <v>3865</v>
      </c>
      <c r="G3504" t="s">
        <v>14</v>
      </c>
      <c r="H3504" t="s">
        <v>53</v>
      </c>
      <c r="I3504" t="s">
        <v>53</v>
      </c>
      <c r="J3504" t="s">
        <v>53</v>
      </c>
      <c r="K3504" t="s">
        <v>53</v>
      </c>
      <c r="L3504" t="s">
        <v>53</v>
      </c>
      <c r="M3504" t="s">
        <v>53</v>
      </c>
      <c r="N3504" t="s">
        <v>53</v>
      </c>
      <c r="O3504" t="s">
        <v>53</v>
      </c>
      <c r="P3504" t="s">
        <v>53</v>
      </c>
      <c r="Q3504" t="s">
        <v>53</v>
      </c>
    </row>
    <row r="3505" spans="1:17" x14ac:dyDescent="0.2">
      <c r="A3505" s="30" t="str">
        <f>IF(C3505&amp;G3505&amp;D3505&lt;&gt;'Funnel setup'!$K$3&amp;'Funnel setup'!$K$4&amp;'Funnel setup'!$K$5,".",IF(A3504=".",1,A3504+1))</f>
        <v>.</v>
      </c>
      <c r="B3505" s="431" t="str">
        <f t="shared" si="54"/>
        <v>Hip Replacement RevisionProviderGATESHEAD HEALTH NHS FOUNDATION TRUST (RR7)Oxford Hip Score</v>
      </c>
      <c r="C3505" t="s">
        <v>247</v>
      </c>
      <c r="D3505" t="s">
        <v>1</v>
      </c>
      <c r="E3505" t="s">
        <v>3867</v>
      </c>
      <c r="F3505" t="s">
        <v>3868</v>
      </c>
      <c r="G3505" t="s">
        <v>14</v>
      </c>
      <c r="H3505">
        <v>9</v>
      </c>
      <c r="I3505">
        <v>21.556000000000001</v>
      </c>
      <c r="J3505">
        <v>37.667000000000002</v>
      </c>
      <c r="K3505">
        <v>16.111000000000001</v>
      </c>
      <c r="L3505">
        <v>8</v>
      </c>
      <c r="M3505">
        <v>0</v>
      </c>
      <c r="N3505">
        <v>1</v>
      </c>
      <c r="O3505" t="s">
        <v>53</v>
      </c>
      <c r="P3505" t="s">
        <v>53</v>
      </c>
      <c r="Q3505" t="s">
        <v>53</v>
      </c>
    </row>
    <row r="3506" spans="1:17" x14ac:dyDescent="0.2">
      <c r="A3506" s="30" t="str">
        <f>IF(C3506&amp;G3506&amp;D3506&lt;&gt;'Funnel setup'!$K$3&amp;'Funnel setup'!$K$4&amp;'Funnel setup'!$K$5,".",IF(A3505=".",1,A3505+1))</f>
        <v>.</v>
      </c>
      <c r="B3506" s="431" t="str">
        <f t="shared" si="54"/>
        <v>Hip Replacement RevisionProviderGEORGE ELIOT HOSPITAL NHS TRUST (RLT)Oxford Hip Score</v>
      </c>
      <c r="C3506" t="s">
        <v>247</v>
      </c>
      <c r="D3506" t="s">
        <v>1</v>
      </c>
      <c r="E3506" t="s">
        <v>3870</v>
      </c>
      <c r="F3506" t="s">
        <v>3871</v>
      </c>
      <c r="G3506" t="s">
        <v>14</v>
      </c>
      <c r="H3506" t="s">
        <v>53</v>
      </c>
      <c r="I3506" t="s">
        <v>53</v>
      </c>
      <c r="J3506" t="s">
        <v>53</v>
      </c>
      <c r="K3506" t="s">
        <v>53</v>
      </c>
      <c r="L3506" t="s">
        <v>53</v>
      </c>
      <c r="M3506" t="s">
        <v>53</v>
      </c>
      <c r="N3506" t="s">
        <v>53</v>
      </c>
      <c r="O3506" t="s">
        <v>53</v>
      </c>
      <c r="P3506" t="s">
        <v>53</v>
      </c>
      <c r="Q3506" t="s">
        <v>53</v>
      </c>
    </row>
    <row r="3507" spans="1:17" x14ac:dyDescent="0.2">
      <c r="A3507" s="30" t="str">
        <f>IF(C3507&amp;G3507&amp;D3507&lt;&gt;'Funnel setup'!$K$3&amp;'Funnel setup'!$K$4&amp;'Funnel setup'!$K$5,".",IF(A3506=".",1,A3506+1))</f>
        <v>.</v>
      </c>
      <c r="B3507" s="431" t="str">
        <f t="shared" si="54"/>
        <v>Hip Replacement RevisionProviderGLOUCESTERSHIRE HOSPITALS NHS FOUNDATION TRUST (RTE)Oxford Hip Score</v>
      </c>
      <c r="C3507" t="s">
        <v>247</v>
      </c>
      <c r="D3507" t="s">
        <v>1</v>
      </c>
      <c r="E3507" t="s">
        <v>3873</v>
      </c>
      <c r="F3507" t="s">
        <v>3874</v>
      </c>
      <c r="G3507" t="s">
        <v>14</v>
      </c>
      <c r="H3507">
        <v>43</v>
      </c>
      <c r="I3507">
        <v>22.279</v>
      </c>
      <c r="J3507">
        <v>30.907</v>
      </c>
      <c r="K3507">
        <v>8.6280000000000001</v>
      </c>
      <c r="L3507">
        <v>33</v>
      </c>
      <c r="M3507">
        <v>3</v>
      </c>
      <c r="N3507">
        <v>7</v>
      </c>
      <c r="O3507">
        <v>30.135000000000002</v>
      </c>
      <c r="P3507">
        <v>9.2601887759999997</v>
      </c>
      <c r="Q3507">
        <v>8.6910000000000007</v>
      </c>
    </row>
    <row r="3508" spans="1:17" x14ac:dyDescent="0.2">
      <c r="A3508" s="30" t="str">
        <f>IF(C3508&amp;G3508&amp;D3508&lt;&gt;'Funnel setup'!$K$3&amp;'Funnel setup'!$K$4&amp;'Funnel setup'!$K$5,".",IF(A3507=".",1,A3507+1))</f>
        <v>.</v>
      </c>
      <c r="B3508" s="431" t="str">
        <f t="shared" si="54"/>
        <v>Hip Replacement RevisionProviderGREAT WESTERN HOSPITALS NHS FOUNDATION TRUST (RN3)Oxford Hip Score</v>
      </c>
      <c r="C3508" t="s">
        <v>247</v>
      </c>
      <c r="D3508" t="s">
        <v>1</v>
      </c>
      <c r="E3508" t="s">
        <v>3876</v>
      </c>
      <c r="F3508" t="s">
        <v>3877</v>
      </c>
      <c r="G3508" t="s">
        <v>14</v>
      </c>
      <c r="H3508">
        <v>13</v>
      </c>
      <c r="I3508">
        <v>22.614999999999998</v>
      </c>
      <c r="J3508">
        <v>33</v>
      </c>
      <c r="K3508">
        <v>10.385</v>
      </c>
      <c r="L3508">
        <v>11</v>
      </c>
      <c r="M3508">
        <v>1</v>
      </c>
      <c r="N3508">
        <v>1</v>
      </c>
      <c r="O3508" t="s">
        <v>53</v>
      </c>
      <c r="P3508" t="s">
        <v>53</v>
      </c>
      <c r="Q3508" t="s">
        <v>53</v>
      </c>
    </row>
    <row r="3509" spans="1:17" x14ac:dyDescent="0.2">
      <c r="A3509" s="30" t="str">
        <f>IF(C3509&amp;G3509&amp;D3509&lt;&gt;'Funnel setup'!$K$3&amp;'Funnel setup'!$K$4&amp;'Funnel setup'!$K$5,".",IF(A3508=".",1,A3508+1))</f>
        <v>.</v>
      </c>
      <c r="B3509" s="431" t="str">
        <f t="shared" si="54"/>
        <v>Hip Replacement RevisionProviderGUY'S AND ST THOMAS' NHS FOUNDATION TRUST (RJ1)Oxford Hip Score</v>
      </c>
      <c r="C3509" t="s">
        <v>247</v>
      </c>
      <c r="D3509" t="s">
        <v>1</v>
      </c>
      <c r="E3509" t="s">
        <v>3879</v>
      </c>
      <c r="F3509" t="s">
        <v>3880</v>
      </c>
      <c r="G3509" t="s">
        <v>14</v>
      </c>
      <c r="H3509">
        <v>14</v>
      </c>
      <c r="I3509">
        <v>14.856999999999999</v>
      </c>
      <c r="J3509">
        <v>29.286000000000001</v>
      </c>
      <c r="K3509">
        <v>14.429</v>
      </c>
      <c r="L3509">
        <v>10</v>
      </c>
      <c r="M3509">
        <v>2</v>
      </c>
      <c r="N3509">
        <v>2</v>
      </c>
      <c r="O3509" t="s">
        <v>53</v>
      </c>
      <c r="P3509" t="s">
        <v>53</v>
      </c>
      <c r="Q3509" t="s">
        <v>53</v>
      </c>
    </row>
    <row r="3510" spans="1:17" x14ac:dyDescent="0.2">
      <c r="A3510" s="30" t="str">
        <f>IF(C3510&amp;G3510&amp;D3510&lt;&gt;'Funnel setup'!$K$3&amp;'Funnel setup'!$K$4&amp;'Funnel setup'!$K$5,".",IF(A3509=".",1,A3509+1))</f>
        <v>.</v>
      </c>
      <c r="B3510" s="431" t="str">
        <f t="shared" si="54"/>
        <v>Hip Replacement RevisionProviderHAMPSHIRE HOSPITALS NHS FOUNDATION TRUST (RN5)Oxford Hip Score</v>
      </c>
      <c r="C3510" t="s">
        <v>247</v>
      </c>
      <c r="D3510" t="s">
        <v>1</v>
      </c>
      <c r="E3510" t="s">
        <v>3882</v>
      </c>
      <c r="F3510" t="s">
        <v>3883</v>
      </c>
      <c r="G3510" t="s">
        <v>14</v>
      </c>
      <c r="H3510">
        <v>27</v>
      </c>
      <c r="I3510">
        <v>24.556000000000001</v>
      </c>
      <c r="J3510">
        <v>35.814999999999998</v>
      </c>
      <c r="K3510">
        <v>11.259</v>
      </c>
      <c r="L3510">
        <v>25</v>
      </c>
      <c r="M3510">
        <v>0</v>
      </c>
      <c r="N3510">
        <v>2</v>
      </c>
      <c r="O3510" t="s">
        <v>53</v>
      </c>
      <c r="P3510" t="s">
        <v>53</v>
      </c>
      <c r="Q3510" t="s">
        <v>53</v>
      </c>
    </row>
    <row r="3511" spans="1:17" x14ac:dyDescent="0.2">
      <c r="A3511" s="30" t="str">
        <f>IF(C3511&amp;G3511&amp;D3511&lt;&gt;'Funnel setup'!$K$3&amp;'Funnel setup'!$K$4&amp;'Funnel setup'!$K$5,".",IF(A3510=".",1,A3510+1))</f>
        <v>.</v>
      </c>
      <c r="B3511" s="431" t="str">
        <f t="shared" si="54"/>
        <v>Hip Replacement RevisionProviderHARROGATE AND DISTRICT NHS FOUNDATION TRUST (RCD)Oxford Hip Score</v>
      </c>
      <c r="C3511" t="s">
        <v>247</v>
      </c>
      <c r="D3511" t="s">
        <v>1</v>
      </c>
      <c r="E3511" t="s">
        <v>3885</v>
      </c>
      <c r="F3511" t="s">
        <v>3886</v>
      </c>
      <c r="G3511" t="s">
        <v>14</v>
      </c>
      <c r="H3511">
        <v>10</v>
      </c>
      <c r="I3511">
        <v>22.5</v>
      </c>
      <c r="J3511">
        <v>38.4</v>
      </c>
      <c r="K3511">
        <v>15.9</v>
      </c>
      <c r="L3511">
        <v>10</v>
      </c>
      <c r="M3511">
        <v>0</v>
      </c>
      <c r="N3511">
        <v>0</v>
      </c>
      <c r="O3511" t="s">
        <v>53</v>
      </c>
      <c r="P3511" t="s">
        <v>53</v>
      </c>
      <c r="Q3511" t="s">
        <v>53</v>
      </c>
    </row>
    <row r="3512" spans="1:17" x14ac:dyDescent="0.2">
      <c r="A3512" s="30" t="str">
        <f>IF(C3512&amp;G3512&amp;D3512&lt;&gt;'Funnel setup'!$K$3&amp;'Funnel setup'!$K$4&amp;'Funnel setup'!$K$5,".",IF(A3511=".",1,A3511+1))</f>
        <v>.</v>
      </c>
      <c r="B3512" s="431" t="str">
        <f t="shared" si="54"/>
        <v>Hip Replacement RevisionProviderHEART OF ENGLAND NHS FOUNDATION TRUST (RR1)Oxford Hip Score</v>
      </c>
      <c r="C3512" t="s">
        <v>247</v>
      </c>
      <c r="D3512" t="s">
        <v>1</v>
      </c>
      <c r="E3512" t="s">
        <v>3888</v>
      </c>
      <c r="F3512" t="s">
        <v>3889</v>
      </c>
      <c r="G3512" t="s">
        <v>14</v>
      </c>
      <c r="H3512">
        <v>22</v>
      </c>
      <c r="I3512">
        <v>14.682</v>
      </c>
      <c r="J3512">
        <v>28.181999999999999</v>
      </c>
      <c r="K3512">
        <v>13.5</v>
      </c>
      <c r="L3512">
        <v>21</v>
      </c>
      <c r="M3512">
        <v>0</v>
      </c>
      <c r="N3512">
        <v>1</v>
      </c>
      <c r="O3512" t="s">
        <v>53</v>
      </c>
      <c r="P3512" t="s">
        <v>53</v>
      </c>
      <c r="Q3512" t="s">
        <v>53</v>
      </c>
    </row>
    <row r="3513" spans="1:17" x14ac:dyDescent="0.2">
      <c r="A3513" s="30" t="str">
        <f>IF(C3513&amp;G3513&amp;D3513&lt;&gt;'Funnel setup'!$K$3&amp;'Funnel setup'!$K$4&amp;'Funnel setup'!$K$5,".",IF(A3512=".",1,A3512+1))</f>
        <v>.</v>
      </c>
      <c r="B3513" s="431" t="str">
        <f t="shared" si="54"/>
        <v>Hip Replacement RevisionProviderHINCHINGBROOKE HEALTH CARE NHS TRUST (RQQ)Oxford Hip Score</v>
      </c>
      <c r="C3513" t="s">
        <v>247</v>
      </c>
      <c r="D3513" t="s">
        <v>1</v>
      </c>
      <c r="E3513" t="s">
        <v>3894</v>
      </c>
      <c r="F3513" t="s">
        <v>3895</v>
      </c>
      <c r="G3513" t="s">
        <v>14</v>
      </c>
      <c r="H3513">
        <v>21</v>
      </c>
      <c r="I3513">
        <v>23.952000000000002</v>
      </c>
      <c r="J3513">
        <v>36.713999999999999</v>
      </c>
      <c r="K3513">
        <v>12.762</v>
      </c>
      <c r="L3513">
        <v>17</v>
      </c>
      <c r="M3513">
        <v>1</v>
      </c>
      <c r="N3513">
        <v>3</v>
      </c>
      <c r="O3513" t="s">
        <v>53</v>
      </c>
      <c r="P3513" t="s">
        <v>53</v>
      </c>
      <c r="Q3513" t="s">
        <v>53</v>
      </c>
    </row>
    <row r="3514" spans="1:17" x14ac:dyDescent="0.2">
      <c r="A3514" s="30" t="str">
        <f>IF(C3514&amp;G3514&amp;D3514&lt;&gt;'Funnel setup'!$K$3&amp;'Funnel setup'!$K$4&amp;'Funnel setup'!$K$5,".",IF(A3513=".",1,A3513+1))</f>
        <v>.</v>
      </c>
      <c r="B3514" s="431" t="str">
        <f t="shared" si="54"/>
        <v>Hip Replacement RevisionProviderHOMERTON UNIVERSITY HOSPITAL NHS FOUNDATION TRUST (RQX)Oxford Hip Score</v>
      </c>
      <c r="C3514" t="s">
        <v>247</v>
      </c>
      <c r="D3514" t="s">
        <v>1</v>
      </c>
      <c r="E3514" t="s">
        <v>3897</v>
      </c>
      <c r="F3514" t="s">
        <v>3898</v>
      </c>
      <c r="G3514" t="s">
        <v>14</v>
      </c>
      <c r="H3514" t="s">
        <v>53</v>
      </c>
      <c r="I3514" t="s">
        <v>53</v>
      </c>
      <c r="J3514" t="s">
        <v>53</v>
      </c>
      <c r="K3514" t="s">
        <v>53</v>
      </c>
      <c r="L3514" t="s">
        <v>53</v>
      </c>
      <c r="M3514" t="s">
        <v>53</v>
      </c>
      <c r="N3514" t="s">
        <v>53</v>
      </c>
      <c r="O3514" t="s">
        <v>53</v>
      </c>
      <c r="P3514" t="s">
        <v>53</v>
      </c>
      <c r="Q3514" t="s">
        <v>53</v>
      </c>
    </row>
    <row r="3515" spans="1:17" x14ac:dyDescent="0.2">
      <c r="A3515" s="30" t="str">
        <f>IF(C3515&amp;G3515&amp;D3515&lt;&gt;'Funnel setup'!$K$3&amp;'Funnel setup'!$K$4&amp;'Funnel setup'!$K$5,".",IF(A3514=".",1,A3514+1))</f>
        <v>.</v>
      </c>
      <c r="B3515" s="431" t="str">
        <f t="shared" si="54"/>
        <v>Hip Replacement RevisionProviderHORTON NHS TREATMENT CENTRE (NVC25)Oxford Hip Score</v>
      </c>
      <c r="C3515" t="s">
        <v>247</v>
      </c>
      <c r="D3515" t="s">
        <v>1</v>
      </c>
      <c r="E3515" t="s">
        <v>4553</v>
      </c>
      <c r="F3515" t="s">
        <v>4554</v>
      </c>
      <c r="G3515" t="s">
        <v>14</v>
      </c>
      <c r="H3515" t="s">
        <v>53</v>
      </c>
      <c r="I3515" t="s">
        <v>53</v>
      </c>
      <c r="J3515" t="s">
        <v>53</v>
      </c>
      <c r="K3515" t="s">
        <v>53</v>
      </c>
      <c r="L3515" t="s">
        <v>53</v>
      </c>
      <c r="M3515" t="s">
        <v>53</v>
      </c>
      <c r="N3515" t="s">
        <v>53</v>
      </c>
      <c r="O3515" t="s">
        <v>53</v>
      </c>
      <c r="P3515" t="s">
        <v>53</v>
      </c>
      <c r="Q3515" t="s">
        <v>53</v>
      </c>
    </row>
    <row r="3516" spans="1:17" x14ac:dyDescent="0.2">
      <c r="A3516" s="30" t="str">
        <f>IF(C3516&amp;G3516&amp;D3516&lt;&gt;'Funnel setup'!$K$3&amp;'Funnel setup'!$K$4&amp;'Funnel setup'!$K$5,".",IF(A3515=".",1,A3515+1))</f>
        <v>.</v>
      </c>
      <c r="B3516" s="431" t="str">
        <f t="shared" si="54"/>
        <v>Hip Replacement RevisionProviderHULL AND EAST YORKSHIRE HOSPITALS NHS TRUST (RWA)Oxford Hip Score</v>
      </c>
      <c r="C3516" t="s">
        <v>247</v>
      </c>
      <c r="D3516" t="s">
        <v>1</v>
      </c>
      <c r="E3516" t="s">
        <v>3906</v>
      </c>
      <c r="F3516" t="s">
        <v>3907</v>
      </c>
      <c r="G3516" t="s">
        <v>14</v>
      </c>
      <c r="H3516">
        <v>25</v>
      </c>
      <c r="I3516">
        <v>22.64</v>
      </c>
      <c r="J3516">
        <v>36</v>
      </c>
      <c r="K3516">
        <v>13.36</v>
      </c>
      <c r="L3516">
        <v>22</v>
      </c>
      <c r="M3516">
        <v>2</v>
      </c>
      <c r="N3516">
        <v>1</v>
      </c>
      <c r="O3516" t="s">
        <v>53</v>
      </c>
      <c r="P3516" t="s">
        <v>53</v>
      </c>
      <c r="Q3516" t="s">
        <v>53</v>
      </c>
    </row>
    <row r="3517" spans="1:17" x14ac:dyDescent="0.2">
      <c r="A3517" s="30" t="str">
        <f>IF(C3517&amp;G3517&amp;D3517&lt;&gt;'Funnel setup'!$K$3&amp;'Funnel setup'!$K$4&amp;'Funnel setup'!$K$5,".",IF(A3516=".",1,A3516+1))</f>
        <v>.</v>
      </c>
      <c r="B3517" s="431" t="str">
        <f t="shared" si="54"/>
        <v>Hip Replacement RevisionProviderIMPERIAL COLLEGE HEALTHCARE NHS TRUST (RYJ)Oxford Hip Score</v>
      </c>
      <c r="C3517" t="s">
        <v>247</v>
      </c>
      <c r="D3517" t="s">
        <v>1</v>
      </c>
      <c r="E3517" t="s">
        <v>4558</v>
      </c>
      <c r="F3517" t="s">
        <v>4559</v>
      </c>
      <c r="G3517" t="s">
        <v>14</v>
      </c>
      <c r="H3517">
        <v>6</v>
      </c>
      <c r="I3517">
        <v>15.833</v>
      </c>
      <c r="J3517">
        <v>29.667000000000002</v>
      </c>
      <c r="K3517">
        <v>13.833</v>
      </c>
      <c r="L3517">
        <v>5</v>
      </c>
      <c r="M3517">
        <v>0</v>
      </c>
      <c r="N3517">
        <v>1</v>
      </c>
      <c r="O3517" t="s">
        <v>53</v>
      </c>
      <c r="P3517" t="s">
        <v>53</v>
      </c>
      <c r="Q3517" t="s">
        <v>53</v>
      </c>
    </row>
    <row r="3518" spans="1:17" x14ac:dyDescent="0.2">
      <c r="A3518" s="30" t="str">
        <f>IF(C3518&amp;G3518&amp;D3518&lt;&gt;'Funnel setup'!$K$3&amp;'Funnel setup'!$K$4&amp;'Funnel setup'!$K$5,".",IF(A3517=".",1,A3517+1))</f>
        <v>.</v>
      </c>
      <c r="B3518" s="431" t="str">
        <f t="shared" si="54"/>
        <v>Hip Replacement RevisionProviderIPSWICH HOSPITAL NHS TRUST (RGQ)Oxford Hip Score</v>
      </c>
      <c r="C3518" t="s">
        <v>247</v>
      </c>
      <c r="D3518" t="s">
        <v>1</v>
      </c>
      <c r="E3518" t="s">
        <v>3909</v>
      </c>
      <c r="F3518" t="s">
        <v>3910</v>
      </c>
      <c r="G3518" t="s">
        <v>14</v>
      </c>
      <c r="H3518">
        <v>8</v>
      </c>
      <c r="I3518">
        <v>16</v>
      </c>
      <c r="J3518">
        <v>33.5</v>
      </c>
      <c r="K3518">
        <v>17.5</v>
      </c>
      <c r="L3518">
        <v>7</v>
      </c>
      <c r="M3518">
        <v>1</v>
      </c>
      <c r="N3518">
        <v>0</v>
      </c>
      <c r="O3518" t="s">
        <v>53</v>
      </c>
      <c r="P3518" t="s">
        <v>53</v>
      </c>
      <c r="Q3518" t="s">
        <v>53</v>
      </c>
    </row>
    <row r="3519" spans="1:17" x14ac:dyDescent="0.2">
      <c r="A3519" s="30" t="str">
        <f>IF(C3519&amp;G3519&amp;D3519&lt;&gt;'Funnel setup'!$K$3&amp;'Funnel setup'!$K$4&amp;'Funnel setup'!$K$5,".",IF(A3518=".",1,A3518+1))</f>
        <v>.</v>
      </c>
      <c r="B3519" s="431" t="str">
        <f t="shared" si="54"/>
        <v>Hip Replacement RevisionProviderISLE OF WIGHT NHS TRUST (R1F)Oxford Hip Score</v>
      </c>
      <c r="C3519" t="s">
        <v>247</v>
      </c>
      <c r="D3519" t="s">
        <v>1</v>
      </c>
      <c r="E3519" t="s">
        <v>3912</v>
      </c>
      <c r="F3519" t="s">
        <v>3913</v>
      </c>
      <c r="G3519" t="s">
        <v>14</v>
      </c>
      <c r="H3519" t="s">
        <v>53</v>
      </c>
      <c r="I3519" t="s">
        <v>53</v>
      </c>
      <c r="J3519" t="s">
        <v>53</v>
      </c>
      <c r="K3519" t="s">
        <v>53</v>
      </c>
      <c r="L3519" t="s">
        <v>53</v>
      </c>
      <c r="M3519" t="s">
        <v>53</v>
      </c>
      <c r="N3519" t="s">
        <v>53</v>
      </c>
      <c r="O3519" t="s">
        <v>53</v>
      </c>
      <c r="P3519" t="s">
        <v>53</v>
      </c>
      <c r="Q3519" t="s">
        <v>53</v>
      </c>
    </row>
    <row r="3520" spans="1:17" x14ac:dyDescent="0.2">
      <c r="A3520" s="30" t="str">
        <f>IF(C3520&amp;G3520&amp;D3520&lt;&gt;'Funnel setup'!$K$3&amp;'Funnel setup'!$K$4&amp;'Funnel setup'!$K$5,".",IF(A3519=".",1,A3519+1))</f>
        <v>.</v>
      </c>
      <c r="B3520" s="431" t="str">
        <f t="shared" si="54"/>
        <v>Hip Replacement RevisionProviderJAMES PAGET UNIVERSITY HOSPITALS NHS FOUNDATION TRUST (RGP)Oxford Hip Score</v>
      </c>
      <c r="C3520" t="s">
        <v>247</v>
      </c>
      <c r="D3520" t="s">
        <v>1</v>
      </c>
      <c r="E3520" t="s">
        <v>3915</v>
      </c>
      <c r="F3520" t="s">
        <v>3916</v>
      </c>
      <c r="G3520" t="s">
        <v>14</v>
      </c>
      <c r="H3520" t="s">
        <v>53</v>
      </c>
      <c r="I3520" t="s">
        <v>53</v>
      </c>
      <c r="J3520" t="s">
        <v>53</v>
      </c>
      <c r="K3520" t="s">
        <v>53</v>
      </c>
      <c r="L3520" t="s">
        <v>53</v>
      </c>
      <c r="M3520" t="s">
        <v>53</v>
      </c>
      <c r="N3520" t="s">
        <v>53</v>
      </c>
      <c r="O3520" t="s">
        <v>53</v>
      </c>
      <c r="P3520" t="s">
        <v>53</v>
      </c>
      <c r="Q3520" t="s">
        <v>53</v>
      </c>
    </row>
    <row r="3521" spans="1:17" x14ac:dyDescent="0.2">
      <c r="A3521" s="30" t="str">
        <f>IF(C3521&amp;G3521&amp;D3521&lt;&gt;'Funnel setup'!$K$3&amp;'Funnel setup'!$K$4&amp;'Funnel setup'!$K$5,".",IF(A3520=".",1,A3520+1))</f>
        <v>.</v>
      </c>
      <c r="B3521" s="431" t="str">
        <f t="shared" si="54"/>
        <v>Hip Replacement RevisionProviderKETTERING GENERAL HOSPITAL NHS FOUNDATION TRUST (RNQ)Oxford Hip Score</v>
      </c>
      <c r="C3521" t="s">
        <v>247</v>
      </c>
      <c r="D3521" t="s">
        <v>1</v>
      </c>
      <c r="E3521" t="s">
        <v>3918</v>
      </c>
      <c r="F3521" t="s">
        <v>3919</v>
      </c>
      <c r="G3521" t="s">
        <v>14</v>
      </c>
      <c r="H3521">
        <v>11</v>
      </c>
      <c r="I3521">
        <v>21.545000000000002</v>
      </c>
      <c r="J3521">
        <v>33.817999999999998</v>
      </c>
      <c r="K3521">
        <v>12.273</v>
      </c>
      <c r="L3521">
        <v>10</v>
      </c>
      <c r="M3521">
        <v>0</v>
      </c>
      <c r="N3521">
        <v>1</v>
      </c>
      <c r="O3521" t="s">
        <v>53</v>
      </c>
      <c r="P3521" t="s">
        <v>53</v>
      </c>
      <c r="Q3521" t="s">
        <v>53</v>
      </c>
    </row>
    <row r="3522" spans="1:17" x14ac:dyDescent="0.2">
      <c r="A3522" s="30" t="str">
        <f>IF(C3522&amp;G3522&amp;D3522&lt;&gt;'Funnel setup'!$K$3&amp;'Funnel setup'!$K$4&amp;'Funnel setup'!$K$5,".",IF(A3521=".",1,A3521+1))</f>
        <v>.</v>
      </c>
      <c r="B3522" s="431" t="str">
        <f t="shared" si="54"/>
        <v>Hip Replacement RevisionProviderKING'S COLLEGE HOSPITAL NHS FOUNDATION TRUST (RJZ)Oxford Hip Score</v>
      </c>
      <c r="C3522" t="s">
        <v>247</v>
      </c>
      <c r="D3522" t="s">
        <v>1</v>
      </c>
      <c r="E3522" t="s">
        <v>3924</v>
      </c>
      <c r="F3522" t="s">
        <v>3925</v>
      </c>
      <c r="G3522" t="s">
        <v>14</v>
      </c>
      <c r="H3522" t="s">
        <v>53</v>
      </c>
      <c r="I3522" t="s">
        <v>53</v>
      </c>
      <c r="J3522" t="s">
        <v>53</v>
      </c>
      <c r="K3522" t="s">
        <v>53</v>
      </c>
      <c r="L3522" t="s">
        <v>53</v>
      </c>
      <c r="M3522" t="s">
        <v>53</v>
      </c>
      <c r="N3522" t="s">
        <v>53</v>
      </c>
      <c r="O3522" t="s">
        <v>53</v>
      </c>
      <c r="P3522" t="s">
        <v>53</v>
      </c>
      <c r="Q3522" t="s">
        <v>53</v>
      </c>
    </row>
    <row r="3523" spans="1:17" x14ac:dyDescent="0.2">
      <c r="A3523" s="30" t="str">
        <f>IF(C3523&amp;G3523&amp;D3523&lt;&gt;'Funnel setup'!$K$3&amp;'Funnel setup'!$K$4&amp;'Funnel setup'!$K$5,".",IF(A3522=".",1,A3522+1))</f>
        <v>.</v>
      </c>
      <c r="B3523" s="431" t="str">
        <f t="shared" ref="B3523:B3586" si="55">C3523&amp;D3523&amp;F3523&amp;G3523</f>
        <v>Hip Replacement RevisionProviderLANCASHIRE TEACHING HOSPITALS NHS FOUNDATION TRUST (RXN)Oxford Hip Score</v>
      </c>
      <c r="C3523" t="s">
        <v>247</v>
      </c>
      <c r="D3523" t="s">
        <v>1</v>
      </c>
      <c r="E3523" t="s">
        <v>3567</v>
      </c>
      <c r="F3523" t="s">
        <v>3568</v>
      </c>
      <c r="G3523" t="s">
        <v>14</v>
      </c>
      <c r="H3523">
        <v>22</v>
      </c>
      <c r="I3523">
        <v>19.273</v>
      </c>
      <c r="J3523">
        <v>36.454999999999998</v>
      </c>
      <c r="K3523">
        <v>17.181999999999999</v>
      </c>
      <c r="L3523">
        <v>20</v>
      </c>
      <c r="M3523">
        <v>0</v>
      </c>
      <c r="N3523">
        <v>2</v>
      </c>
      <c r="O3523" t="s">
        <v>53</v>
      </c>
      <c r="P3523" t="s">
        <v>53</v>
      </c>
      <c r="Q3523" t="s">
        <v>53</v>
      </c>
    </row>
    <row r="3524" spans="1:17" x14ac:dyDescent="0.2">
      <c r="A3524" s="30" t="str">
        <f>IF(C3524&amp;G3524&amp;D3524&lt;&gt;'Funnel setup'!$K$3&amp;'Funnel setup'!$K$4&amp;'Funnel setup'!$K$5,".",IF(A3523=".",1,A3523+1))</f>
        <v>.</v>
      </c>
      <c r="B3524" s="431" t="str">
        <f t="shared" si="55"/>
        <v>Hip Replacement RevisionProviderLEEDS TEACHING HOSPITALS NHS TRUST (RR8)Oxford Hip Score</v>
      </c>
      <c r="C3524" t="s">
        <v>247</v>
      </c>
      <c r="D3524" t="s">
        <v>1</v>
      </c>
      <c r="E3524" t="s">
        <v>3930</v>
      </c>
      <c r="F3524" t="s">
        <v>344</v>
      </c>
      <c r="G3524" t="s">
        <v>14</v>
      </c>
      <c r="H3524">
        <v>19</v>
      </c>
      <c r="I3524">
        <v>21.053000000000001</v>
      </c>
      <c r="J3524">
        <v>35.526000000000003</v>
      </c>
      <c r="K3524">
        <v>14.474</v>
      </c>
      <c r="L3524">
        <v>18</v>
      </c>
      <c r="M3524">
        <v>0</v>
      </c>
      <c r="N3524">
        <v>1</v>
      </c>
      <c r="O3524" t="s">
        <v>53</v>
      </c>
      <c r="P3524" t="s">
        <v>53</v>
      </c>
      <c r="Q3524" t="s">
        <v>53</v>
      </c>
    </row>
    <row r="3525" spans="1:17" x14ac:dyDescent="0.2">
      <c r="A3525" s="30" t="str">
        <f>IF(C3525&amp;G3525&amp;D3525&lt;&gt;'Funnel setup'!$K$3&amp;'Funnel setup'!$K$4&amp;'Funnel setup'!$K$5,".",IF(A3524=".",1,A3524+1))</f>
        <v>.</v>
      </c>
      <c r="B3525" s="431" t="str">
        <f t="shared" si="55"/>
        <v>Hip Replacement RevisionProviderLEWISHAM AND GREENWICH NHS TRUST (RJ2)Oxford Hip Score</v>
      </c>
      <c r="C3525" t="s">
        <v>247</v>
      </c>
      <c r="D3525" t="s">
        <v>1</v>
      </c>
      <c r="E3525" t="s">
        <v>3522</v>
      </c>
      <c r="F3525" t="s">
        <v>3523</v>
      </c>
      <c r="G3525" t="s">
        <v>14</v>
      </c>
      <c r="H3525" t="s">
        <v>53</v>
      </c>
      <c r="I3525" t="s">
        <v>53</v>
      </c>
      <c r="J3525" t="s">
        <v>53</v>
      </c>
      <c r="K3525" t="s">
        <v>53</v>
      </c>
      <c r="L3525" t="s">
        <v>53</v>
      </c>
      <c r="M3525" t="s">
        <v>53</v>
      </c>
      <c r="N3525" t="s">
        <v>53</v>
      </c>
      <c r="O3525" t="s">
        <v>53</v>
      </c>
      <c r="P3525" t="s">
        <v>53</v>
      </c>
      <c r="Q3525" t="s">
        <v>53</v>
      </c>
    </row>
    <row r="3526" spans="1:17" x14ac:dyDescent="0.2">
      <c r="A3526" s="30" t="str">
        <f>IF(C3526&amp;G3526&amp;D3526&lt;&gt;'Funnel setup'!$K$3&amp;'Funnel setup'!$K$4&amp;'Funnel setup'!$K$5,".",IF(A3525=".",1,A3525+1))</f>
        <v>.</v>
      </c>
      <c r="B3526" s="431" t="str">
        <f t="shared" si="55"/>
        <v>Hip Replacement RevisionProviderLONDON NORTH WEST HEALTHCARE NHS TRUST (R1K)Oxford Hip Score</v>
      </c>
      <c r="C3526" t="s">
        <v>247</v>
      </c>
      <c r="D3526" t="s">
        <v>1</v>
      </c>
      <c r="E3526" t="s">
        <v>6515</v>
      </c>
      <c r="F3526" t="s">
        <v>6516</v>
      </c>
      <c r="G3526" t="s">
        <v>14</v>
      </c>
      <c r="H3526">
        <v>7</v>
      </c>
      <c r="I3526">
        <v>22.856999999999999</v>
      </c>
      <c r="J3526">
        <v>35.713999999999999</v>
      </c>
      <c r="K3526">
        <v>12.856999999999999</v>
      </c>
      <c r="L3526">
        <v>6</v>
      </c>
      <c r="M3526">
        <v>0</v>
      </c>
      <c r="N3526">
        <v>1</v>
      </c>
      <c r="O3526" t="s">
        <v>53</v>
      </c>
      <c r="P3526" t="s">
        <v>53</v>
      </c>
      <c r="Q3526" t="s">
        <v>53</v>
      </c>
    </row>
    <row r="3527" spans="1:17" x14ac:dyDescent="0.2">
      <c r="A3527" s="30" t="str">
        <f>IF(C3527&amp;G3527&amp;D3527&lt;&gt;'Funnel setup'!$K$3&amp;'Funnel setup'!$K$4&amp;'Funnel setup'!$K$5,".",IF(A3526=".",1,A3526+1))</f>
        <v>.</v>
      </c>
      <c r="B3527" s="431" t="str">
        <f t="shared" si="55"/>
        <v>Hip Replacement RevisionProviderLUTON AND DUNSTABLE UNIVERSITY HOSPITAL NHS FOUNDATION TRUST (RC9)Oxford Hip Score</v>
      </c>
      <c r="C3527" t="s">
        <v>247</v>
      </c>
      <c r="D3527" t="s">
        <v>1</v>
      </c>
      <c r="E3527" t="s">
        <v>3528</v>
      </c>
      <c r="F3527" t="s">
        <v>3529</v>
      </c>
      <c r="G3527" t="s">
        <v>14</v>
      </c>
      <c r="H3527">
        <v>13</v>
      </c>
      <c r="I3527">
        <v>15.231</v>
      </c>
      <c r="J3527">
        <v>36.768999999999998</v>
      </c>
      <c r="K3527">
        <v>21.538</v>
      </c>
      <c r="L3527">
        <v>13</v>
      </c>
      <c r="M3527">
        <v>0</v>
      </c>
      <c r="N3527">
        <v>0</v>
      </c>
      <c r="O3527" t="s">
        <v>53</v>
      </c>
      <c r="P3527" t="s">
        <v>53</v>
      </c>
      <c r="Q3527" t="s">
        <v>53</v>
      </c>
    </row>
    <row r="3528" spans="1:17" x14ac:dyDescent="0.2">
      <c r="A3528" s="30" t="str">
        <f>IF(C3528&amp;G3528&amp;D3528&lt;&gt;'Funnel setup'!$K$3&amp;'Funnel setup'!$K$4&amp;'Funnel setup'!$K$5,".",IF(A3527=".",1,A3527+1))</f>
        <v>.</v>
      </c>
      <c r="B3528" s="431" t="str">
        <f t="shared" si="55"/>
        <v>Hip Replacement RevisionProviderMAIDSTONE AND TUNBRIDGE WELLS NHS TRUST (RWF)Oxford Hip Score</v>
      </c>
      <c r="C3528" t="s">
        <v>247</v>
      </c>
      <c r="D3528" t="s">
        <v>1</v>
      </c>
      <c r="E3528" t="s">
        <v>3627</v>
      </c>
      <c r="F3528" t="s">
        <v>3628</v>
      </c>
      <c r="G3528" t="s">
        <v>14</v>
      </c>
      <c r="H3528">
        <v>16</v>
      </c>
      <c r="I3528">
        <v>22.812999999999999</v>
      </c>
      <c r="J3528">
        <v>36.375</v>
      </c>
      <c r="K3528">
        <v>13.563000000000001</v>
      </c>
      <c r="L3528">
        <v>13</v>
      </c>
      <c r="M3528">
        <v>0</v>
      </c>
      <c r="N3528">
        <v>3</v>
      </c>
      <c r="O3528" t="s">
        <v>53</v>
      </c>
      <c r="P3528" t="s">
        <v>53</v>
      </c>
      <c r="Q3528" t="s">
        <v>53</v>
      </c>
    </row>
    <row r="3529" spans="1:17" x14ac:dyDescent="0.2">
      <c r="A3529" s="30" t="str">
        <f>IF(C3529&amp;G3529&amp;D3529&lt;&gt;'Funnel setup'!$K$3&amp;'Funnel setup'!$K$4&amp;'Funnel setup'!$K$5,".",IF(A3528=".",1,A3528+1))</f>
        <v>.</v>
      </c>
      <c r="B3529" s="431" t="str">
        <f t="shared" si="55"/>
        <v>Hip Replacement RevisionProviderMEDWAY NHS FOUNDATION TRUST (RPA)Oxford Hip Score</v>
      </c>
      <c r="C3529" t="s">
        <v>247</v>
      </c>
      <c r="D3529" t="s">
        <v>1</v>
      </c>
      <c r="E3529" t="s">
        <v>3630</v>
      </c>
      <c r="F3529" t="s">
        <v>3631</v>
      </c>
      <c r="G3529" t="s">
        <v>14</v>
      </c>
      <c r="H3529">
        <v>21</v>
      </c>
      <c r="I3529">
        <v>22.952000000000002</v>
      </c>
      <c r="J3529">
        <v>32.619</v>
      </c>
      <c r="K3529">
        <v>9.6669999999999998</v>
      </c>
      <c r="L3529">
        <v>18</v>
      </c>
      <c r="M3529">
        <v>0</v>
      </c>
      <c r="N3529">
        <v>3</v>
      </c>
      <c r="O3529" t="s">
        <v>53</v>
      </c>
      <c r="P3529" t="s">
        <v>53</v>
      </c>
      <c r="Q3529" t="s">
        <v>53</v>
      </c>
    </row>
    <row r="3530" spans="1:17" x14ac:dyDescent="0.2">
      <c r="A3530" s="30" t="str">
        <f>IF(C3530&amp;G3530&amp;D3530&lt;&gt;'Funnel setup'!$K$3&amp;'Funnel setup'!$K$4&amp;'Funnel setup'!$K$5,".",IF(A3529=".",1,A3529+1))</f>
        <v>.</v>
      </c>
      <c r="B3530" s="431" t="str">
        <f t="shared" si="55"/>
        <v>Hip Replacement RevisionProviderMID CHESHIRE HOSPITALS NHS FOUNDATION TRUST (RBT)Oxford Hip Score</v>
      </c>
      <c r="C3530" t="s">
        <v>247</v>
      </c>
      <c r="D3530" t="s">
        <v>1</v>
      </c>
      <c r="E3530" t="s">
        <v>3633</v>
      </c>
      <c r="F3530" t="s">
        <v>342</v>
      </c>
      <c r="G3530" t="s">
        <v>14</v>
      </c>
      <c r="H3530">
        <v>8</v>
      </c>
      <c r="I3530">
        <v>15.5</v>
      </c>
      <c r="J3530">
        <v>34.125</v>
      </c>
      <c r="K3530">
        <v>18.625</v>
      </c>
      <c r="L3530">
        <v>7</v>
      </c>
      <c r="M3530">
        <v>0</v>
      </c>
      <c r="N3530">
        <v>1</v>
      </c>
      <c r="O3530" t="s">
        <v>53</v>
      </c>
      <c r="P3530" t="s">
        <v>53</v>
      </c>
      <c r="Q3530" t="s">
        <v>53</v>
      </c>
    </row>
    <row r="3531" spans="1:17" x14ac:dyDescent="0.2">
      <c r="A3531" s="30" t="str">
        <f>IF(C3531&amp;G3531&amp;D3531&lt;&gt;'Funnel setup'!$K$3&amp;'Funnel setup'!$K$4&amp;'Funnel setup'!$K$5,".",IF(A3530=".",1,A3530+1))</f>
        <v>.</v>
      </c>
      <c r="B3531" s="431" t="str">
        <f t="shared" si="55"/>
        <v>Hip Replacement RevisionProviderMID ESSEX HOSPITAL SERVICES NHS TRUST (RQ8)Oxford Hip Score</v>
      </c>
      <c r="C3531" t="s">
        <v>247</v>
      </c>
      <c r="D3531" t="s">
        <v>1</v>
      </c>
      <c r="E3531" t="s">
        <v>3635</v>
      </c>
      <c r="F3531" t="s">
        <v>3636</v>
      </c>
      <c r="G3531" t="s">
        <v>14</v>
      </c>
      <c r="H3531">
        <v>17</v>
      </c>
      <c r="I3531">
        <v>21.765000000000001</v>
      </c>
      <c r="J3531">
        <v>34.765000000000001</v>
      </c>
      <c r="K3531">
        <v>13</v>
      </c>
      <c r="L3531">
        <v>14</v>
      </c>
      <c r="M3531">
        <v>0</v>
      </c>
      <c r="N3531">
        <v>3</v>
      </c>
      <c r="O3531" t="s">
        <v>53</v>
      </c>
      <c r="P3531" t="s">
        <v>53</v>
      </c>
      <c r="Q3531" t="s">
        <v>53</v>
      </c>
    </row>
    <row r="3532" spans="1:17" x14ac:dyDescent="0.2">
      <c r="A3532" s="30" t="str">
        <f>IF(C3532&amp;G3532&amp;D3532&lt;&gt;'Funnel setup'!$K$3&amp;'Funnel setup'!$K$4&amp;'Funnel setup'!$K$5,".",IF(A3531=".",1,A3531+1))</f>
        <v>.</v>
      </c>
      <c r="B3532" s="431" t="str">
        <f t="shared" si="55"/>
        <v>Hip Replacement RevisionProviderMID STAFFORDSHIRE NHS FOUNDATION TRUST (RJD)Oxford Hip Score</v>
      </c>
      <c r="C3532" t="s">
        <v>247</v>
      </c>
      <c r="D3532" t="s">
        <v>1</v>
      </c>
      <c r="E3532" t="s">
        <v>3638</v>
      </c>
      <c r="F3532" t="s">
        <v>3639</v>
      </c>
      <c r="G3532" t="s">
        <v>14</v>
      </c>
      <c r="H3532">
        <v>13</v>
      </c>
      <c r="I3532">
        <v>17.692</v>
      </c>
      <c r="J3532">
        <v>27.231000000000002</v>
      </c>
      <c r="K3532">
        <v>9.5380000000000003</v>
      </c>
      <c r="L3532">
        <v>11</v>
      </c>
      <c r="M3532">
        <v>0</v>
      </c>
      <c r="N3532">
        <v>2</v>
      </c>
      <c r="O3532" t="s">
        <v>53</v>
      </c>
      <c r="P3532" t="s">
        <v>53</v>
      </c>
      <c r="Q3532" t="s">
        <v>53</v>
      </c>
    </row>
    <row r="3533" spans="1:17" x14ac:dyDescent="0.2">
      <c r="A3533" s="30" t="str">
        <f>IF(C3533&amp;G3533&amp;D3533&lt;&gt;'Funnel setup'!$K$3&amp;'Funnel setup'!$K$4&amp;'Funnel setup'!$K$5,".",IF(A3532=".",1,A3532+1))</f>
        <v>.</v>
      </c>
      <c r="B3533" s="431" t="str">
        <f t="shared" si="55"/>
        <v>Hip Replacement RevisionProviderMID YORKSHIRE HOSPITALS NHS TRUST (RXF)Oxford Hip Score</v>
      </c>
      <c r="C3533" t="s">
        <v>247</v>
      </c>
      <c r="D3533" t="s">
        <v>1</v>
      </c>
      <c r="E3533" t="s">
        <v>3641</v>
      </c>
      <c r="F3533" t="s">
        <v>3642</v>
      </c>
      <c r="G3533" t="s">
        <v>14</v>
      </c>
      <c r="H3533" t="s">
        <v>53</v>
      </c>
      <c r="I3533" t="s">
        <v>53</v>
      </c>
      <c r="J3533" t="s">
        <v>53</v>
      </c>
      <c r="K3533" t="s">
        <v>53</v>
      </c>
      <c r="L3533" t="s">
        <v>53</v>
      </c>
      <c r="M3533" t="s">
        <v>53</v>
      </c>
      <c r="N3533" t="s">
        <v>53</v>
      </c>
      <c r="O3533" t="s">
        <v>53</v>
      </c>
      <c r="P3533" t="s">
        <v>53</v>
      </c>
      <c r="Q3533" t="s">
        <v>53</v>
      </c>
    </row>
    <row r="3534" spans="1:17" x14ac:dyDescent="0.2">
      <c r="A3534" s="30" t="str">
        <f>IF(C3534&amp;G3534&amp;D3534&lt;&gt;'Funnel setup'!$K$3&amp;'Funnel setup'!$K$4&amp;'Funnel setup'!$K$5,".",IF(A3533=".",1,A3533+1))</f>
        <v>.</v>
      </c>
      <c r="B3534" s="431" t="str">
        <f t="shared" si="55"/>
        <v>Hip Replacement RevisionProviderMILTON KEYNES UNIVERSITY HOSPITAL NHS FOUNDATION TRUST (RD8)Oxford Hip Score</v>
      </c>
      <c r="C3534" t="s">
        <v>247</v>
      </c>
      <c r="D3534" t="s">
        <v>1</v>
      </c>
      <c r="E3534" t="s">
        <v>3643</v>
      </c>
      <c r="F3534" t="s">
        <v>6580</v>
      </c>
      <c r="G3534" t="s">
        <v>14</v>
      </c>
      <c r="H3534" t="s">
        <v>53</v>
      </c>
      <c r="I3534" t="s">
        <v>53</v>
      </c>
      <c r="J3534" t="s">
        <v>53</v>
      </c>
      <c r="K3534" t="s">
        <v>53</v>
      </c>
      <c r="L3534" t="s">
        <v>53</v>
      </c>
      <c r="M3534" t="s">
        <v>53</v>
      </c>
      <c r="N3534" t="s">
        <v>53</v>
      </c>
      <c r="O3534" t="s">
        <v>53</v>
      </c>
      <c r="P3534" t="s">
        <v>53</v>
      </c>
      <c r="Q3534" t="s">
        <v>53</v>
      </c>
    </row>
    <row r="3535" spans="1:17" x14ac:dyDescent="0.2">
      <c r="A3535" s="30" t="str">
        <f>IF(C3535&amp;G3535&amp;D3535&lt;&gt;'Funnel setup'!$K$3&amp;'Funnel setup'!$K$4&amp;'Funnel setup'!$K$5,".",IF(A3534=".",1,A3534+1))</f>
        <v>.</v>
      </c>
      <c r="B3535" s="431" t="str">
        <f t="shared" si="55"/>
        <v>Hip Replacement RevisionProviderMOUNT STUART HOSPITAL (NVC08)Oxford Hip Score</v>
      </c>
      <c r="C3535" t="s">
        <v>247</v>
      </c>
      <c r="D3535" t="s">
        <v>1</v>
      </c>
      <c r="E3535" t="s">
        <v>3645</v>
      </c>
      <c r="F3535" t="s">
        <v>3646</v>
      </c>
      <c r="G3535" t="s">
        <v>14</v>
      </c>
      <c r="H3535" t="s">
        <v>53</v>
      </c>
      <c r="I3535" t="s">
        <v>53</v>
      </c>
      <c r="J3535" t="s">
        <v>53</v>
      </c>
      <c r="K3535" t="s">
        <v>53</v>
      </c>
      <c r="L3535" t="s">
        <v>53</v>
      </c>
      <c r="M3535" t="s">
        <v>53</v>
      </c>
      <c r="N3535" t="s">
        <v>53</v>
      </c>
      <c r="O3535" t="s">
        <v>53</v>
      </c>
      <c r="P3535" t="s">
        <v>53</v>
      </c>
      <c r="Q3535" t="s">
        <v>53</v>
      </c>
    </row>
    <row r="3536" spans="1:17" x14ac:dyDescent="0.2">
      <c r="A3536" s="30" t="str">
        <f>IF(C3536&amp;G3536&amp;D3536&lt;&gt;'Funnel setup'!$K$3&amp;'Funnel setup'!$K$4&amp;'Funnel setup'!$K$5,".",IF(A3535=".",1,A3535+1))</f>
        <v>.</v>
      </c>
      <c r="B3536" s="431" t="str">
        <f t="shared" si="55"/>
        <v>Hip Replacement RevisionProviderNEW HALL HOSPITAL (NVC09)Oxford Hip Score</v>
      </c>
      <c r="C3536" t="s">
        <v>247</v>
      </c>
      <c r="D3536" t="s">
        <v>1</v>
      </c>
      <c r="E3536" t="s">
        <v>3648</v>
      </c>
      <c r="F3536" t="s">
        <v>3649</v>
      </c>
      <c r="G3536" t="s">
        <v>14</v>
      </c>
      <c r="H3536">
        <v>6</v>
      </c>
      <c r="I3536">
        <v>25.667000000000002</v>
      </c>
      <c r="J3536">
        <v>33.332999999999998</v>
      </c>
      <c r="K3536">
        <v>7.6669999999999998</v>
      </c>
      <c r="L3536">
        <v>6</v>
      </c>
      <c r="M3536">
        <v>0</v>
      </c>
      <c r="N3536">
        <v>0</v>
      </c>
      <c r="O3536" t="s">
        <v>53</v>
      </c>
      <c r="P3536" t="s">
        <v>53</v>
      </c>
      <c r="Q3536" t="s">
        <v>53</v>
      </c>
    </row>
    <row r="3537" spans="1:17" x14ac:dyDescent="0.2">
      <c r="A3537" s="30" t="str">
        <f>IF(C3537&amp;G3537&amp;D3537&lt;&gt;'Funnel setup'!$K$3&amp;'Funnel setup'!$K$4&amp;'Funnel setup'!$K$5,".",IF(A3536=".",1,A3536+1))</f>
        <v>.</v>
      </c>
      <c r="B3537" s="431" t="str">
        <f t="shared" si="55"/>
        <v>Hip Replacement RevisionProviderNORFOLK AND NORWICH UNIVERSITY HOSPITALS NHS FOUNDATION TRUST (RM1)Oxford Hip Score</v>
      </c>
      <c r="C3537" t="s">
        <v>247</v>
      </c>
      <c r="D3537" t="s">
        <v>1</v>
      </c>
      <c r="E3537" t="s">
        <v>3651</v>
      </c>
      <c r="F3537" t="s">
        <v>3652</v>
      </c>
      <c r="G3537" t="s">
        <v>14</v>
      </c>
      <c r="H3537">
        <v>55</v>
      </c>
      <c r="I3537">
        <v>22.890999999999998</v>
      </c>
      <c r="J3537">
        <v>35.381999999999998</v>
      </c>
      <c r="K3537">
        <v>12.491</v>
      </c>
      <c r="L3537">
        <v>47</v>
      </c>
      <c r="M3537">
        <v>0</v>
      </c>
      <c r="N3537">
        <v>8</v>
      </c>
      <c r="O3537">
        <v>34.582000000000001</v>
      </c>
      <c r="P3537">
        <v>13.70719366</v>
      </c>
      <c r="Q3537">
        <v>9.0350000000000001</v>
      </c>
    </row>
    <row r="3538" spans="1:17" x14ac:dyDescent="0.2">
      <c r="A3538" s="30" t="str">
        <f>IF(C3538&amp;G3538&amp;D3538&lt;&gt;'Funnel setup'!$K$3&amp;'Funnel setup'!$K$4&amp;'Funnel setup'!$K$5,".",IF(A3537=".",1,A3537+1))</f>
        <v>.</v>
      </c>
      <c r="B3538" s="431" t="str">
        <f t="shared" si="55"/>
        <v>Hip Replacement RevisionProviderNORTH BRISTOL NHS TRUST (RVJ)Oxford Hip Score</v>
      </c>
      <c r="C3538" t="s">
        <v>247</v>
      </c>
      <c r="D3538" t="s">
        <v>1</v>
      </c>
      <c r="E3538" t="s">
        <v>3654</v>
      </c>
      <c r="F3538" t="s">
        <v>3655</v>
      </c>
      <c r="G3538" t="s">
        <v>14</v>
      </c>
      <c r="H3538">
        <v>11</v>
      </c>
      <c r="I3538">
        <v>19.273</v>
      </c>
      <c r="J3538">
        <v>30.454999999999998</v>
      </c>
      <c r="K3538">
        <v>11.182</v>
      </c>
      <c r="L3538">
        <v>10</v>
      </c>
      <c r="M3538">
        <v>0</v>
      </c>
      <c r="N3538">
        <v>1</v>
      </c>
      <c r="O3538" t="s">
        <v>53</v>
      </c>
      <c r="P3538" t="s">
        <v>53</v>
      </c>
      <c r="Q3538" t="s">
        <v>53</v>
      </c>
    </row>
    <row r="3539" spans="1:17" x14ac:dyDescent="0.2">
      <c r="A3539" s="30" t="str">
        <f>IF(C3539&amp;G3539&amp;D3539&lt;&gt;'Funnel setup'!$K$3&amp;'Funnel setup'!$K$4&amp;'Funnel setup'!$K$5,".",IF(A3538=".",1,A3538+1))</f>
        <v>.</v>
      </c>
      <c r="B3539" s="431" t="str">
        <f t="shared" si="55"/>
        <v>Hip Replacement RevisionProviderNORTH CUMBRIA UNIVERSITY HOSPITALS NHS TRUST (RNL)Oxford Hip Score</v>
      </c>
      <c r="C3539" t="s">
        <v>247</v>
      </c>
      <c r="D3539" t="s">
        <v>1</v>
      </c>
      <c r="E3539" t="s">
        <v>3657</v>
      </c>
      <c r="F3539" t="s">
        <v>3658</v>
      </c>
      <c r="G3539" t="s">
        <v>14</v>
      </c>
      <c r="H3539">
        <v>12</v>
      </c>
      <c r="I3539">
        <v>21.332999999999998</v>
      </c>
      <c r="J3539">
        <v>36.75</v>
      </c>
      <c r="K3539">
        <v>15.417</v>
      </c>
      <c r="L3539">
        <v>10</v>
      </c>
      <c r="M3539">
        <v>0</v>
      </c>
      <c r="N3539">
        <v>2</v>
      </c>
      <c r="O3539" t="s">
        <v>53</v>
      </c>
      <c r="P3539" t="s">
        <v>53</v>
      </c>
      <c r="Q3539" t="s">
        <v>53</v>
      </c>
    </row>
    <row r="3540" spans="1:17" x14ac:dyDescent="0.2">
      <c r="A3540" s="30" t="str">
        <f>IF(C3540&amp;G3540&amp;D3540&lt;&gt;'Funnel setup'!$K$3&amp;'Funnel setup'!$K$4&amp;'Funnel setup'!$K$5,".",IF(A3539=".",1,A3539+1))</f>
        <v>.</v>
      </c>
      <c r="B3540" s="431" t="str">
        <f t="shared" si="55"/>
        <v>Hip Replacement RevisionProviderNORTH DOWNS HOSPITAL (NVC11)Oxford Hip Score</v>
      </c>
      <c r="C3540" t="s">
        <v>247</v>
      </c>
      <c r="D3540" t="s">
        <v>1</v>
      </c>
      <c r="E3540" t="s">
        <v>3660</v>
      </c>
      <c r="F3540" t="s">
        <v>3661</v>
      </c>
      <c r="G3540" t="s">
        <v>14</v>
      </c>
      <c r="H3540" t="s">
        <v>53</v>
      </c>
      <c r="I3540" t="s">
        <v>53</v>
      </c>
      <c r="J3540" t="s">
        <v>53</v>
      </c>
      <c r="K3540" t="s">
        <v>53</v>
      </c>
      <c r="L3540" t="s">
        <v>53</v>
      </c>
      <c r="M3540" t="s">
        <v>53</v>
      </c>
      <c r="N3540" t="s">
        <v>53</v>
      </c>
      <c r="O3540" t="s">
        <v>53</v>
      </c>
      <c r="P3540" t="s">
        <v>53</v>
      </c>
      <c r="Q3540" t="s">
        <v>53</v>
      </c>
    </row>
    <row r="3541" spans="1:17" x14ac:dyDescent="0.2">
      <c r="A3541" s="30" t="str">
        <f>IF(C3541&amp;G3541&amp;D3541&lt;&gt;'Funnel setup'!$K$3&amp;'Funnel setup'!$K$4&amp;'Funnel setup'!$K$5,".",IF(A3540=".",1,A3540+1))</f>
        <v>.</v>
      </c>
      <c r="B3541" s="431" t="str">
        <f t="shared" si="55"/>
        <v>Hip Replacement RevisionProviderNORTH EAST LONDON TREATMENT CENTRE CARE UK (NTP15)Oxford Hip Score</v>
      </c>
      <c r="C3541" t="s">
        <v>247</v>
      </c>
      <c r="D3541" t="s">
        <v>1</v>
      </c>
      <c r="E3541" t="s">
        <v>3663</v>
      </c>
      <c r="F3541" t="s">
        <v>3664</v>
      </c>
      <c r="G3541" t="s">
        <v>14</v>
      </c>
      <c r="H3541" t="s">
        <v>53</v>
      </c>
      <c r="I3541" t="s">
        <v>53</v>
      </c>
      <c r="J3541" t="s">
        <v>53</v>
      </c>
      <c r="K3541" t="s">
        <v>53</v>
      </c>
      <c r="L3541" t="s">
        <v>53</v>
      </c>
      <c r="M3541" t="s">
        <v>53</v>
      </c>
      <c r="N3541" t="s">
        <v>53</v>
      </c>
      <c r="O3541" t="s">
        <v>53</v>
      </c>
      <c r="P3541" t="s">
        <v>53</v>
      </c>
      <c r="Q3541" t="s">
        <v>53</v>
      </c>
    </row>
    <row r="3542" spans="1:17" x14ac:dyDescent="0.2">
      <c r="A3542" s="30" t="str">
        <f>IF(C3542&amp;G3542&amp;D3542&lt;&gt;'Funnel setup'!$K$3&amp;'Funnel setup'!$K$4&amp;'Funnel setup'!$K$5,".",IF(A3541=".",1,A3541+1))</f>
        <v>.</v>
      </c>
      <c r="B3542" s="431" t="str">
        <f t="shared" si="55"/>
        <v>Hip Replacement RevisionProviderNORTH MIDDLESEX UNIVERSITY HOSPITAL NHS TRUST (RAP)Oxford Hip Score</v>
      </c>
      <c r="C3542" t="s">
        <v>247</v>
      </c>
      <c r="D3542" t="s">
        <v>1</v>
      </c>
      <c r="E3542" t="s">
        <v>3666</v>
      </c>
      <c r="F3542" t="s">
        <v>3667</v>
      </c>
      <c r="G3542" t="s">
        <v>14</v>
      </c>
      <c r="H3542" t="s">
        <v>53</v>
      </c>
      <c r="I3542" t="s">
        <v>53</v>
      </c>
      <c r="J3542" t="s">
        <v>53</v>
      </c>
      <c r="K3542" t="s">
        <v>53</v>
      </c>
      <c r="L3542" t="s">
        <v>53</v>
      </c>
      <c r="M3542" t="s">
        <v>53</v>
      </c>
      <c r="N3542" t="s">
        <v>53</v>
      </c>
      <c r="O3542" t="s">
        <v>53</v>
      </c>
      <c r="P3542" t="s">
        <v>53</v>
      </c>
      <c r="Q3542" t="s">
        <v>53</v>
      </c>
    </row>
    <row r="3543" spans="1:17" x14ac:dyDescent="0.2">
      <c r="A3543" s="30" t="str">
        <f>IF(C3543&amp;G3543&amp;D3543&lt;&gt;'Funnel setup'!$K$3&amp;'Funnel setup'!$K$4&amp;'Funnel setup'!$K$5,".",IF(A3542=".",1,A3542+1))</f>
        <v>.</v>
      </c>
      <c r="B3543" s="431" t="str">
        <f t="shared" si="55"/>
        <v>Hip Replacement RevisionProviderNORTH TEES AND HARTLEPOOL NHS FOUNDATION TRUST (RVW)Oxford Hip Score</v>
      </c>
      <c r="C3543" t="s">
        <v>247</v>
      </c>
      <c r="D3543" t="s">
        <v>1</v>
      </c>
      <c r="E3543" t="s">
        <v>3669</v>
      </c>
      <c r="F3543" t="s">
        <v>3670</v>
      </c>
      <c r="G3543" t="s">
        <v>14</v>
      </c>
      <c r="H3543">
        <v>24</v>
      </c>
      <c r="I3543">
        <v>21.957999999999998</v>
      </c>
      <c r="J3543">
        <v>32.167000000000002</v>
      </c>
      <c r="K3543">
        <v>10.208</v>
      </c>
      <c r="L3543">
        <v>20</v>
      </c>
      <c r="M3543">
        <v>0</v>
      </c>
      <c r="N3543">
        <v>4</v>
      </c>
      <c r="O3543" t="s">
        <v>53</v>
      </c>
      <c r="P3543" t="s">
        <v>53</v>
      </c>
      <c r="Q3543" t="s">
        <v>53</v>
      </c>
    </row>
    <row r="3544" spans="1:17" x14ac:dyDescent="0.2">
      <c r="A3544" s="30" t="str">
        <f>IF(C3544&amp;G3544&amp;D3544&lt;&gt;'Funnel setup'!$K$3&amp;'Funnel setup'!$K$4&amp;'Funnel setup'!$K$5,".",IF(A3543=".",1,A3543+1))</f>
        <v>.</v>
      </c>
      <c r="B3544" s="431" t="str">
        <f t="shared" si="55"/>
        <v>Hip Replacement RevisionProviderNORTHAMPTON GENERAL HOSPITAL NHS TRUST (RNS)Oxford Hip Score</v>
      </c>
      <c r="C3544" t="s">
        <v>247</v>
      </c>
      <c r="D3544" t="s">
        <v>1</v>
      </c>
      <c r="E3544" t="s">
        <v>3675</v>
      </c>
      <c r="F3544" t="s">
        <v>3676</v>
      </c>
      <c r="G3544" t="s">
        <v>14</v>
      </c>
      <c r="H3544">
        <v>20</v>
      </c>
      <c r="I3544">
        <v>22.9</v>
      </c>
      <c r="J3544">
        <v>35.75</v>
      </c>
      <c r="K3544">
        <v>12.85</v>
      </c>
      <c r="L3544">
        <v>19</v>
      </c>
      <c r="M3544">
        <v>1</v>
      </c>
      <c r="N3544">
        <v>0</v>
      </c>
      <c r="O3544" t="s">
        <v>53</v>
      </c>
      <c r="P3544" t="s">
        <v>53</v>
      </c>
      <c r="Q3544" t="s">
        <v>53</v>
      </c>
    </row>
    <row r="3545" spans="1:17" x14ac:dyDescent="0.2">
      <c r="A3545" s="30" t="str">
        <f>IF(C3545&amp;G3545&amp;D3545&lt;&gt;'Funnel setup'!$K$3&amp;'Funnel setup'!$K$4&amp;'Funnel setup'!$K$5,".",IF(A3544=".",1,A3544+1))</f>
        <v>.</v>
      </c>
      <c r="B3545" s="431" t="str">
        <f t="shared" si="55"/>
        <v>Hip Replacement RevisionProviderNORTHERN DEVON HEALTHCARE NHS TRUST (RBZ)Oxford Hip Score</v>
      </c>
      <c r="C3545" t="s">
        <v>247</v>
      </c>
      <c r="D3545" t="s">
        <v>1</v>
      </c>
      <c r="E3545" t="s">
        <v>3678</v>
      </c>
      <c r="F3545" t="s">
        <v>3679</v>
      </c>
      <c r="G3545" t="s">
        <v>14</v>
      </c>
      <c r="H3545">
        <v>13</v>
      </c>
      <c r="I3545">
        <v>23.692</v>
      </c>
      <c r="J3545">
        <v>36</v>
      </c>
      <c r="K3545">
        <v>12.308</v>
      </c>
      <c r="L3545">
        <v>11</v>
      </c>
      <c r="M3545">
        <v>0</v>
      </c>
      <c r="N3545">
        <v>2</v>
      </c>
      <c r="O3545" t="s">
        <v>53</v>
      </c>
      <c r="P3545" t="s">
        <v>53</v>
      </c>
      <c r="Q3545" t="s">
        <v>53</v>
      </c>
    </row>
    <row r="3546" spans="1:17" x14ac:dyDescent="0.2">
      <c r="A3546" s="30" t="str">
        <f>IF(C3546&amp;G3546&amp;D3546&lt;&gt;'Funnel setup'!$K$3&amp;'Funnel setup'!$K$4&amp;'Funnel setup'!$K$5,".",IF(A3545=".",1,A3545+1))</f>
        <v>.</v>
      </c>
      <c r="B3546" s="431" t="str">
        <f t="shared" si="55"/>
        <v>Hip Replacement RevisionProviderNORTHERN LINCOLNSHIRE AND GOOLE NHS FOUNDATION TRUST (RJL)Oxford Hip Score</v>
      </c>
      <c r="C3546" t="s">
        <v>247</v>
      </c>
      <c r="D3546" t="s">
        <v>1</v>
      </c>
      <c r="E3546" t="s">
        <v>3681</v>
      </c>
      <c r="F3546" t="s">
        <v>3682</v>
      </c>
      <c r="G3546" t="s">
        <v>14</v>
      </c>
      <c r="H3546">
        <v>16</v>
      </c>
      <c r="I3546">
        <v>16.75</v>
      </c>
      <c r="J3546">
        <v>30.375</v>
      </c>
      <c r="K3546">
        <v>13.625</v>
      </c>
      <c r="L3546">
        <v>14</v>
      </c>
      <c r="M3546">
        <v>0</v>
      </c>
      <c r="N3546">
        <v>2</v>
      </c>
      <c r="O3546" t="s">
        <v>53</v>
      </c>
      <c r="P3546" t="s">
        <v>53</v>
      </c>
      <c r="Q3546" t="s">
        <v>53</v>
      </c>
    </row>
    <row r="3547" spans="1:17" x14ac:dyDescent="0.2">
      <c r="A3547" s="30" t="str">
        <f>IF(C3547&amp;G3547&amp;D3547&lt;&gt;'Funnel setup'!$K$3&amp;'Funnel setup'!$K$4&amp;'Funnel setup'!$K$5,".",IF(A3546=".",1,A3546+1))</f>
        <v>.</v>
      </c>
      <c r="B3547" s="431" t="str">
        <f t="shared" si="55"/>
        <v>Hip Replacement RevisionProviderNORTHUMBRIA HEALTHCARE NHS FOUNDATION TRUST (RTF)Oxford Hip Score</v>
      </c>
      <c r="C3547" t="s">
        <v>247</v>
      </c>
      <c r="D3547" t="s">
        <v>1</v>
      </c>
      <c r="E3547" t="s">
        <v>3684</v>
      </c>
      <c r="F3547" t="s">
        <v>3685</v>
      </c>
      <c r="G3547" t="s">
        <v>14</v>
      </c>
      <c r="H3547">
        <v>26</v>
      </c>
      <c r="I3547">
        <v>17.231000000000002</v>
      </c>
      <c r="J3547">
        <v>32.692</v>
      </c>
      <c r="K3547">
        <v>15.462</v>
      </c>
      <c r="L3547">
        <v>24</v>
      </c>
      <c r="M3547">
        <v>0</v>
      </c>
      <c r="N3547">
        <v>2</v>
      </c>
      <c r="O3547" t="s">
        <v>53</v>
      </c>
      <c r="P3547" t="s">
        <v>53</v>
      </c>
      <c r="Q3547" t="s">
        <v>53</v>
      </c>
    </row>
    <row r="3548" spans="1:17" x14ac:dyDescent="0.2">
      <c r="A3548" s="30" t="str">
        <f>IF(C3548&amp;G3548&amp;D3548&lt;&gt;'Funnel setup'!$K$3&amp;'Funnel setup'!$K$4&amp;'Funnel setup'!$K$5,".",IF(A3547=".",1,A3547+1))</f>
        <v>.</v>
      </c>
      <c r="B3548" s="431" t="str">
        <f t="shared" si="55"/>
        <v>Hip Replacement RevisionProviderNOTTINGHAM UNIVERSITY HOSPITALS NHS TRUST (RX1)Oxford Hip Score</v>
      </c>
      <c r="C3548" t="s">
        <v>247</v>
      </c>
      <c r="D3548" t="s">
        <v>1</v>
      </c>
      <c r="E3548" t="s">
        <v>3687</v>
      </c>
      <c r="F3548" t="s">
        <v>3688</v>
      </c>
      <c r="G3548" t="s">
        <v>14</v>
      </c>
      <c r="H3548">
        <v>44</v>
      </c>
      <c r="I3548">
        <v>17.364000000000001</v>
      </c>
      <c r="J3548">
        <v>31.158999999999999</v>
      </c>
      <c r="K3548">
        <v>13.795</v>
      </c>
      <c r="L3548">
        <v>39</v>
      </c>
      <c r="M3548">
        <v>3</v>
      </c>
      <c r="N3548">
        <v>2</v>
      </c>
      <c r="O3548">
        <v>33.86</v>
      </c>
      <c r="P3548">
        <v>12.98491954</v>
      </c>
      <c r="Q3548">
        <v>9.7140000000000004</v>
      </c>
    </row>
    <row r="3549" spans="1:17" x14ac:dyDescent="0.2">
      <c r="A3549" s="30" t="str">
        <f>IF(C3549&amp;G3549&amp;D3549&lt;&gt;'Funnel setup'!$K$3&amp;'Funnel setup'!$K$4&amp;'Funnel setup'!$K$5,".",IF(A3548=".",1,A3548+1))</f>
        <v>.</v>
      </c>
      <c r="B3549" s="431" t="str">
        <f t="shared" si="55"/>
        <v>Hip Replacement RevisionProviderNUFFIELD HEALTH, HAYWARDS HEATH HOSPITAL (NT218)Oxford Hip Score</v>
      </c>
      <c r="C3549" t="s">
        <v>247</v>
      </c>
      <c r="D3549" t="s">
        <v>1</v>
      </c>
      <c r="E3549" t="s">
        <v>4342</v>
      </c>
      <c r="F3549" t="s">
        <v>4343</v>
      </c>
      <c r="G3549" t="s">
        <v>14</v>
      </c>
      <c r="H3549" t="s">
        <v>53</v>
      </c>
      <c r="I3549" t="s">
        <v>53</v>
      </c>
      <c r="J3549" t="s">
        <v>53</v>
      </c>
      <c r="K3549" t="s">
        <v>53</v>
      </c>
      <c r="L3549" t="s">
        <v>53</v>
      </c>
      <c r="M3549" t="s">
        <v>53</v>
      </c>
      <c r="N3549" t="s">
        <v>53</v>
      </c>
      <c r="O3549" t="s">
        <v>53</v>
      </c>
      <c r="P3549" t="s">
        <v>53</v>
      </c>
      <c r="Q3549" t="s">
        <v>53</v>
      </c>
    </row>
    <row r="3550" spans="1:17" x14ac:dyDescent="0.2">
      <c r="A3550" s="30" t="str">
        <f>IF(C3550&amp;G3550&amp;D3550&lt;&gt;'Funnel setup'!$K$3&amp;'Funnel setup'!$K$4&amp;'Funnel setup'!$K$5,".",IF(A3549=".",1,A3549+1))</f>
        <v>.</v>
      </c>
      <c r="B3550" s="431" t="str">
        <f t="shared" si="55"/>
        <v>Hip Replacement RevisionProviderNUFFIELD HEALTH, LEEDS HOSPITAL (NT225)Oxford Hip Score</v>
      </c>
      <c r="C3550" t="s">
        <v>247</v>
      </c>
      <c r="D3550" t="s">
        <v>1</v>
      </c>
      <c r="E3550" t="s">
        <v>3388</v>
      </c>
      <c r="F3550" t="s">
        <v>3389</v>
      </c>
      <c r="G3550" t="s">
        <v>14</v>
      </c>
      <c r="H3550" t="s">
        <v>53</v>
      </c>
      <c r="I3550" t="s">
        <v>53</v>
      </c>
      <c r="J3550" t="s">
        <v>53</v>
      </c>
      <c r="K3550" t="s">
        <v>53</v>
      </c>
      <c r="L3550" t="s">
        <v>53</v>
      </c>
      <c r="M3550" t="s">
        <v>53</v>
      </c>
      <c r="N3550" t="s">
        <v>53</v>
      </c>
      <c r="O3550" t="s">
        <v>53</v>
      </c>
      <c r="P3550" t="s">
        <v>53</v>
      </c>
      <c r="Q3550" t="s">
        <v>53</v>
      </c>
    </row>
    <row r="3551" spans="1:17" x14ac:dyDescent="0.2">
      <c r="A3551" s="30" t="str">
        <f>IF(C3551&amp;G3551&amp;D3551&lt;&gt;'Funnel setup'!$K$3&amp;'Funnel setup'!$K$4&amp;'Funnel setup'!$K$5,".",IF(A3550=".",1,A3550+1))</f>
        <v>.</v>
      </c>
      <c r="B3551" s="431" t="str">
        <f t="shared" si="55"/>
        <v>Hip Replacement RevisionProviderNUFFIELD HEALTH, NEWCASTLE UPON TYNE HOSPITAL (NT229)Oxford Hip Score</v>
      </c>
      <c r="C3551" t="s">
        <v>247</v>
      </c>
      <c r="D3551" t="s">
        <v>1</v>
      </c>
      <c r="E3551" t="s">
        <v>3394</v>
      </c>
      <c r="F3551" t="s">
        <v>3395</v>
      </c>
      <c r="G3551" t="s">
        <v>14</v>
      </c>
      <c r="H3551" t="s">
        <v>53</v>
      </c>
      <c r="I3551" t="s">
        <v>53</v>
      </c>
      <c r="J3551" t="s">
        <v>53</v>
      </c>
      <c r="K3551" t="s">
        <v>53</v>
      </c>
      <c r="L3551" t="s">
        <v>53</v>
      </c>
      <c r="M3551" t="s">
        <v>53</v>
      </c>
      <c r="N3551" t="s">
        <v>53</v>
      </c>
      <c r="O3551" t="s">
        <v>53</v>
      </c>
      <c r="P3551" t="s">
        <v>53</v>
      </c>
      <c r="Q3551" t="s">
        <v>53</v>
      </c>
    </row>
    <row r="3552" spans="1:17" x14ac:dyDescent="0.2">
      <c r="A3552" s="30" t="str">
        <f>IF(C3552&amp;G3552&amp;D3552&lt;&gt;'Funnel setup'!$K$3&amp;'Funnel setup'!$K$4&amp;'Funnel setup'!$K$5,".",IF(A3551=".",1,A3551+1))</f>
        <v>.</v>
      </c>
      <c r="B3552" s="431" t="str">
        <f t="shared" si="55"/>
        <v>Hip Replacement RevisionProviderNUFFIELD HEALTH, TEES HOSPITAL (NT237)Oxford Hip Score</v>
      </c>
      <c r="C3552" t="s">
        <v>247</v>
      </c>
      <c r="D3552" t="s">
        <v>1</v>
      </c>
      <c r="E3552" t="s">
        <v>3246</v>
      </c>
      <c r="F3552" t="s">
        <v>3247</v>
      </c>
      <c r="G3552" t="s">
        <v>14</v>
      </c>
      <c r="H3552">
        <v>13</v>
      </c>
      <c r="I3552">
        <v>24.077000000000002</v>
      </c>
      <c r="J3552">
        <v>37.154000000000003</v>
      </c>
      <c r="K3552">
        <v>13.077</v>
      </c>
      <c r="L3552">
        <v>11</v>
      </c>
      <c r="M3552">
        <v>0</v>
      </c>
      <c r="N3552">
        <v>2</v>
      </c>
      <c r="O3552" t="s">
        <v>53</v>
      </c>
      <c r="P3552" t="s">
        <v>53</v>
      </c>
      <c r="Q3552" t="s">
        <v>53</v>
      </c>
    </row>
    <row r="3553" spans="1:17" x14ac:dyDescent="0.2">
      <c r="A3553" s="30" t="str">
        <f>IF(C3553&amp;G3553&amp;D3553&lt;&gt;'Funnel setup'!$K$3&amp;'Funnel setup'!$K$4&amp;'Funnel setup'!$K$5,".",IF(A3552=".",1,A3552+1))</f>
        <v>.</v>
      </c>
      <c r="B3553" s="431" t="str">
        <f t="shared" si="55"/>
        <v>Hip Replacement RevisionProviderNUFFIELD HEALTH, WOKING HOSPITAL (NT241)Oxford Hip Score</v>
      </c>
      <c r="C3553" t="s">
        <v>247</v>
      </c>
      <c r="D3553" t="s">
        <v>1</v>
      </c>
      <c r="E3553" t="s">
        <v>3261</v>
      </c>
      <c r="F3553" t="s">
        <v>3262</v>
      </c>
      <c r="G3553" t="s">
        <v>14</v>
      </c>
      <c r="H3553" t="s">
        <v>53</v>
      </c>
      <c r="I3553" t="s">
        <v>53</v>
      </c>
      <c r="J3553" t="s">
        <v>53</v>
      </c>
      <c r="K3553" t="s">
        <v>53</v>
      </c>
      <c r="L3553" t="s">
        <v>53</v>
      </c>
      <c r="M3553" t="s">
        <v>53</v>
      </c>
      <c r="N3553" t="s">
        <v>53</v>
      </c>
      <c r="O3553" t="s">
        <v>53</v>
      </c>
      <c r="P3553" t="s">
        <v>53</v>
      </c>
      <c r="Q3553" t="s">
        <v>53</v>
      </c>
    </row>
    <row r="3554" spans="1:17" x14ac:dyDescent="0.2">
      <c r="A3554" s="30" t="str">
        <f>IF(C3554&amp;G3554&amp;D3554&lt;&gt;'Funnel setup'!$K$3&amp;'Funnel setup'!$K$4&amp;'Funnel setup'!$K$5,".",IF(A3553=".",1,A3553+1))</f>
        <v>.</v>
      </c>
      <c r="B3554" s="431" t="str">
        <f t="shared" si="55"/>
        <v>Hip Replacement RevisionProviderNUFFIELD HEALTH, YORK HOSPITAL (NT245)Oxford Hip Score</v>
      </c>
      <c r="C3554" t="s">
        <v>247</v>
      </c>
      <c r="D3554" t="s">
        <v>1</v>
      </c>
      <c r="E3554" t="s">
        <v>4299</v>
      </c>
      <c r="F3554" t="s">
        <v>4300</v>
      </c>
      <c r="G3554" t="s">
        <v>14</v>
      </c>
      <c r="H3554" t="s">
        <v>53</v>
      </c>
      <c r="I3554" t="s">
        <v>53</v>
      </c>
      <c r="J3554" t="s">
        <v>53</v>
      </c>
      <c r="K3554" t="s">
        <v>53</v>
      </c>
      <c r="L3554" t="s">
        <v>53</v>
      </c>
      <c r="M3554" t="s">
        <v>53</v>
      </c>
      <c r="N3554" t="s">
        <v>53</v>
      </c>
      <c r="O3554" t="s">
        <v>53</v>
      </c>
      <c r="P3554" t="s">
        <v>53</v>
      </c>
      <c r="Q3554" t="s">
        <v>53</v>
      </c>
    </row>
    <row r="3555" spans="1:17" x14ac:dyDescent="0.2">
      <c r="A3555" s="30" t="str">
        <f>IF(C3555&amp;G3555&amp;D3555&lt;&gt;'Funnel setup'!$K$3&amp;'Funnel setup'!$K$4&amp;'Funnel setup'!$K$5,".",IF(A3554=".",1,A3554+1))</f>
        <v>.</v>
      </c>
      <c r="B3555" s="431" t="str">
        <f t="shared" si="55"/>
        <v>Hip Replacement RevisionProviderOXFORD UNIVERSITY HOSPITALS NHS FOUNDATION TRUST (RTH)Oxford Hip Score</v>
      </c>
      <c r="C3555" t="s">
        <v>247</v>
      </c>
      <c r="D3555" t="s">
        <v>1</v>
      </c>
      <c r="E3555" t="s">
        <v>3278</v>
      </c>
      <c r="F3555" t="s">
        <v>6578</v>
      </c>
      <c r="G3555" t="s">
        <v>14</v>
      </c>
      <c r="H3555">
        <v>84</v>
      </c>
      <c r="I3555">
        <v>19.417000000000002</v>
      </c>
      <c r="J3555">
        <v>33.786000000000001</v>
      </c>
      <c r="K3555">
        <v>14.369</v>
      </c>
      <c r="L3555">
        <v>72</v>
      </c>
      <c r="M3555">
        <v>1</v>
      </c>
      <c r="N3555">
        <v>11</v>
      </c>
      <c r="O3555">
        <v>34.25</v>
      </c>
      <c r="P3555">
        <v>13.37561678</v>
      </c>
      <c r="Q3555">
        <v>9.7219999999999995</v>
      </c>
    </row>
    <row r="3556" spans="1:17" x14ac:dyDescent="0.2">
      <c r="A3556" s="30" t="str">
        <f>IF(C3556&amp;G3556&amp;D3556&lt;&gt;'Funnel setup'!$K$3&amp;'Funnel setup'!$K$4&amp;'Funnel setup'!$K$5,".",IF(A3555=".",1,A3555+1))</f>
        <v>.</v>
      </c>
      <c r="B3556" s="431" t="str">
        <f t="shared" si="55"/>
        <v>Hip Replacement RevisionProviderPENINSULA NHS TREATMENT CENTRE (NTPH5)Oxford Hip Score</v>
      </c>
      <c r="C3556" t="s">
        <v>247</v>
      </c>
      <c r="D3556" t="s">
        <v>1</v>
      </c>
      <c r="E3556" t="s">
        <v>4285</v>
      </c>
      <c r="F3556" t="s">
        <v>4286</v>
      </c>
      <c r="G3556" t="s">
        <v>14</v>
      </c>
      <c r="H3556" t="s">
        <v>53</v>
      </c>
      <c r="I3556" t="s">
        <v>53</v>
      </c>
      <c r="J3556" t="s">
        <v>53</v>
      </c>
      <c r="K3556" t="s">
        <v>53</v>
      </c>
      <c r="L3556" t="s">
        <v>53</v>
      </c>
      <c r="M3556" t="s">
        <v>53</v>
      </c>
      <c r="N3556" t="s">
        <v>53</v>
      </c>
      <c r="O3556" t="s">
        <v>53</v>
      </c>
      <c r="P3556" t="s">
        <v>53</v>
      </c>
      <c r="Q3556" t="s">
        <v>53</v>
      </c>
    </row>
    <row r="3557" spans="1:17" x14ac:dyDescent="0.2">
      <c r="A3557" s="30" t="str">
        <f>IF(C3557&amp;G3557&amp;D3557&lt;&gt;'Funnel setup'!$K$3&amp;'Funnel setup'!$K$4&amp;'Funnel setup'!$K$5,".",IF(A3556=".",1,A3556+1))</f>
        <v>.</v>
      </c>
      <c r="B3557" s="431" t="str">
        <f t="shared" si="55"/>
        <v>Hip Replacement RevisionProviderPENNINE ACUTE HOSPITALS NHS TRUST (RW6)Oxford Hip Score</v>
      </c>
      <c r="C3557" t="s">
        <v>247</v>
      </c>
      <c r="D3557" t="s">
        <v>1</v>
      </c>
      <c r="E3557" t="s">
        <v>3216</v>
      </c>
      <c r="F3557" t="s">
        <v>3217</v>
      </c>
      <c r="G3557" t="s">
        <v>14</v>
      </c>
      <c r="H3557">
        <v>31</v>
      </c>
      <c r="I3557">
        <v>23.225999999999999</v>
      </c>
      <c r="J3557">
        <v>33.902999999999999</v>
      </c>
      <c r="K3557">
        <v>10.677</v>
      </c>
      <c r="L3557">
        <v>22</v>
      </c>
      <c r="M3557">
        <v>1</v>
      </c>
      <c r="N3557">
        <v>8</v>
      </c>
      <c r="O3557">
        <v>33.435000000000002</v>
      </c>
      <c r="P3557">
        <v>12.559801820000001</v>
      </c>
      <c r="Q3557">
        <v>11.56</v>
      </c>
    </row>
    <row r="3558" spans="1:17" x14ac:dyDescent="0.2">
      <c r="A3558" s="30" t="str">
        <f>IF(C3558&amp;G3558&amp;D3558&lt;&gt;'Funnel setup'!$K$3&amp;'Funnel setup'!$K$4&amp;'Funnel setup'!$K$5,".",IF(A3557=".",1,A3557+1))</f>
        <v>.</v>
      </c>
      <c r="B3558" s="431" t="str">
        <f t="shared" si="55"/>
        <v>Hip Replacement RevisionProviderPETERBOROUGH AND STAMFORD HOSPITALS NHS FOUNDATION TRUST (RGN)Oxford Hip Score</v>
      </c>
      <c r="C3558" t="s">
        <v>247</v>
      </c>
      <c r="D3558" t="s">
        <v>1</v>
      </c>
      <c r="E3558" t="s">
        <v>3219</v>
      </c>
      <c r="F3558" t="s">
        <v>3220</v>
      </c>
      <c r="G3558" t="s">
        <v>14</v>
      </c>
      <c r="H3558" t="s">
        <v>53</v>
      </c>
      <c r="I3558" t="s">
        <v>53</v>
      </c>
      <c r="J3558" t="s">
        <v>53</v>
      </c>
      <c r="K3558" t="s">
        <v>53</v>
      </c>
      <c r="L3558" t="s">
        <v>53</v>
      </c>
      <c r="M3558" t="s">
        <v>53</v>
      </c>
      <c r="N3558" t="s">
        <v>53</v>
      </c>
      <c r="O3558" t="s">
        <v>53</v>
      </c>
      <c r="P3558" t="s">
        <v>53</v>
      </c>
      <c r="Q3558" t="s">
        <v>53</v>
      </c>
    </row>
    <row r="3559" spans="1:17" x14ac:dyDescent="0.2">
      <c r="A3559" s="30" t="str">
        <f>IF(C3559&amp;G3559&amp;D3559&lt;&gt;'Funnel setup'!$K$3&amp;'Funnel setup'!$K$4&amp;'Funnel setup'!$K$5,".",IF(A3558=".",1,A3558+1))</f>
        <v>.</v>
      </c>
      <c r="B3559" s="431" t="str">
        <f t="shared" si="55"/>
        <v>Hip Replacement RevisionProviderPINEHILL HOSPITAL (NVC15)Oxford Hip Score</v>
      </c>
      <c r="C3559" t="s">
        <v>247</v>
      </c>
      <c r="D3559" t="s">
        <v>1</v>
      </c>
      <c r="E3559" t="s">
        <v>3222</v>
      </c>
      <c r="F3559" t="s">
        <v>3223</v>
      </c>
      <c r="G3559" t="s">
        <v>14</v>
      </c>
      <c r="H3559" t="s">
        <v>53</v>
      </c>
      <c r="I3559" t="s">
        <v>53</v>
      </c>
      <c r="J3559" t="s">
        <v>53</v>
      </c>
      <c r="K3559" t="s">
        <v>53</v>
      </c>
      <c r="L3559" t="s">
        <v>53</v>
      </c>
      <c r="M3559" t="s">
        <v>53</v>
      </c>
      <c r="N3559" t="s">
        <v>53</v>
      </c>
      <c r="O3559" t="s">
        <v>53</v>
      </c>
      <c r="P3559" t="s">
        <v>53</v>
      </c>
      <c r="Q3559" t="s">
        <v>53</v>
      </c>
    </row>
    <row r="3560" spans="1:17" x14ac:dyDescent="0.2">
      <c r="A3560" s="30" t="str">
        <f>IF(C3560&amp;G3560&amp;D3560&lt;&gt;'Funnel setup'!$K$3&amp;'Funnel setup'!$K$4&amp;'Funnel setup'!$K$5,".",IF(A3559=".",1,A3559+1))</f>
        <v>.</v>
      </c>
      <c r="B3560" s="431" t="str">
        <f t="shared" si="55"/>
        <v>Hip Replacement RevisionProviderPLYMOUTH HOSPITALS NHS TRUST (RK9)Oxford Hip Score</v>
      </c>
      <c r="C3560" t="s">
        <v>247</v>
      </c>
      <c r="D3560" t="s">
        <v>1</v>
      </c>
      <c r="E3560" t="s">
        <v>3225</v>
      </c>
      <c r="F3560" t="s">
        <v>3226</v>
      </c>
      <c r="G3560" t="s">
        <v>14</v>
      </c>
      <c r="H3560">
        <v>25</v>
      </c>
      <c r="I3560">
        <v>23.16</v>
      </c>
      <c r="J3560">
        <v>34.76</v>
      </c>
      <c r="K3560">
        <v>11.6</v>
      </c>
      <c r="L3560">
        <v>20</v>
      </c>
      <c r="M3560">
        <v>1</v>
      </c>
      <c r="N3560">
        <v>4</v>
      </c>
      <c r="O3560" t="s">
        <v>53</v>
      </c>
      <c r="P3560" t="s">
        <v>53</v>
      </c>
      <c r="Q3560" t="s">
        <v>53</v>
      </c>
    </row>
    <row r="3561" spans="1:17" x14ac:dyDescent="0.2">
      <c r="A3561" s="30" t="str">
        <f>IF(C3561&amp;G3561&amp;D3561&lt;&gt;'Funnel setup'!$K$3&amp;'Funnel setup'!$K$4&amp;'Funnel setup'!$K$5,".",IF(A3560=".",1,A3560+1))</f>
        <v>.</v>
      </c>
      <c r="B3561" s="431" t="str">
        <f t="shared" si="55"/>
        <v>Hip Replacement RevisionProviderPORTSMOUTH HOSPITALS NHS TRUST (RHU)Oxford Hip Score</v>
      </c>
      <c r="C3561" t="s">
        <v>247</v>
      </c>
      <c r="D3561" t="s">
        <v>1</v>
      </c>
      <c r="E3561" t="s">
        <v>3234</v>
      </c>
      <c r="F3561" t="s">
        <v>3235</v>
      </c>
      <c r="G3561" t="s">
        <v>14</v>
      </c>
      <c r="H3561">
        <v>6</v>
      </c>
      <c r="I3561">
        <v>16.5</v>
      </c>
      <c r="J3561">
        <v>30.167000000000002</v>
      </c>
      <c r="K3561">
        <v>13.667</v>
      </c>
      <c r="L3561">
        <v>6</v>
      </c>
      <c r="M3561">
        <v>0</v>
      </c>
      <c r="N3561">
        <v>0</v>
      </c>
      <c r="O3561" t="s">
        <v>53</v>
      </c>
      <c r="P3561" t="s">
        <v>53</v>
      </c>
      <c r="Q3561" t="s">
        <v>53</v>
      </c>
    </row>
    <row r="3562" spans="1:17" x14ac:dyDescent="0.2">
      <c r="A3562" s="30" t="str">
        <f>IF(C3562&amp;G3562&amp;D3562&lt;&gt;'Funnel setup'!$K$3&amp;'Funnel setup'!$K$4&amp;'Funnel setup'!$K$5,".",IF(A3561=".",1,A3561+1))</f>
        <v>.</v>
      </c>
      <c r="B3562" s="431" t="str">
        <f t="shared" si="55"/>
        <v>Hip Replacement RevisionProviderRENACRES HOSPITAL (NVC16)Oxford Hip Score</v>
      </c>
      <c r="C3562" t="s">
        <v>247</v>
      </c>
      <c r="D3562" t="s">
        <v>1</v>
      </c>
      <c r="E3562" t="s">
        <v>3237</v>
      </c>
      <c r="F3562" t="s">
        <v>3238</v>
      </c>
      <c r="G3562" t="s">
        <v>14</v>
      </c>
      <c r="H3562" t="s">
        <v>53</v>
      </c>
      <c r="I3562" t="s">
        <v>53</v>
      </c>
      <c r="J3562" t="s">
        <v>53</v>
      </c>
      <c r="K3562" t="s">
        <v>53</v>
      </c>
      <c r="L3562" t="s">
        <v>53</v>
      </c>
      <c r="M3562" t="s">
        <v>53</v>
      </c>
      <c r="N3562" t="s">
        <v>53</v>
      </c>
      <c r="O3562" t="s">
        <v>53</v>
      </c>
      <c r="P3562" t="s">
        <v>53</v>
      </c>
      <c r="Q3562" t="s">
        <v>53</v>
      </c>
    </row>
    <row r="3563" spans="1:17" x14ac:dyDescent="0.2">
      <c r="A3563" s="30" t="str">
        <f>IF(C3563&amp;G3563&amp;D3563&lt;&gt;'Funnel setup'!$K$3&amp;'Funnel setup'!$K$4&amp;'Funnel setup'!$K$5,".",IF(A3562=".",1,A3562+1))</f>
        <v>.</v>
      </c>
      <c r="B3563" s="431" t="str">
        <f t="shared" si="55"/>
        <v>Hip Replacement RevisionProviderRIVERS HOSPITAL (NVC19)Oxford Hip Score</v>
      </c>
      <c r="C3563" t="s">
        <v>247</v>
      </c>
      <c r="D3563" t="s">
        <v>1</v>
      </c>
      <c r="E3563" t="s">
        <v>3204</v>
      </c>
      <c r="F3563" t="s">
        <v>3205</v>
      </c>
      <c r="G3563" t="s">
        <v>14</v>
      </c>
      <c r="H3563" t="s">
        <v>53</v>
      </c>
      <c r="I3563" t="s">
        <v>53</v>
      </c>
      <c r="J3563" t="s">
        <v>53</v>
      </c>
      <c r="K3563" t="s">
        <v>53</v>
      </c>
      <c r="L3563" t="s">
        <v>53</v>
      </c>
      <c r="M3563" t="s">
        <v>53</v>
      </c>
      <c r="N3563" t="s">
        <v>53</v>
      </c>
      <c r="O3563" t="s">
        <v>53</v>
      </c>
      <c r="P3563" t="s">
        <v>53</v>
      </c>
      <c r="Q3563" t="s">
        <v>53</v>
      </c>
    </row>
    <row r="3564" spans="1:17" x14ac:dyDescent="0.2">
      <c r="A3564" s="30" t="str">
        <f>IF(C3564&amp;G3564&amp;D3564&lt;&gt;'Funnel setup'!$K$3&amp;'Funnel setup'!$K$4&amp;'Funnel setup'!$K$5,".",IF(A3563=".",1,A3563+1))</f>
        <v>.</v>
      </c>
      <c r="B3564" s="431" t="str">
        <f t="shared" si="55"/>
        <v>Hip Replacement RevisionProviderROYAL BERKSHIRE NHS FOUNDATION TRUST (RHW)Oxford Hip Score</v>
      </c>
      <c r="C3564" t="s">
        <v>247</v>
      </c>
      <c r="D3564" t="s">
        <v>1</v>
      </c>
      <c r="E3564" t="s">
        <v>3832</v>
      </c>
      <c r="F3564" t="s">
        <v>3833</v>
      </c>
      <c r="G3564" t="s">
        <v>14</v>
      </c>
      <c r="H3564">
        <v>16</v>
      </c>
      <c r="I3564">
        <v>22.812999999999999</v>
      </c>
      <c r="J3564">
        <v>34.313000000000002</v>
      </c>
      <c r="K3564">
        <v>11.5</v>
      </c>
      <c r="L3564">
        <v>16</v>
      </c>
      <c r="M3564">
        <v>0</v>
      </c>
      <c r="N3564">
        <v>0</v>
      </c>
      <c r="O3564" t="s">
        <v>53</v>
      </c>
      <c r="P3564" t="s">
        <v>53</v>
      </c>
      <c r="Q3564" t="s">
        <v>53</v>
      </c>
    </row>
    <row r="3565" spans="1:17" x14ac:dyDescent="0.2">
      <c r="A3565" s="30" t="str">
        <f>IF(C3565&amp;G3565&amp;D3565&lt;&gt;'Funnel setup'!$K$3&amp;'Funnel setup'!$K$4&amp;'Funnel setup'!$K$5,".",IF(A3564=".",1,A3564+1))</f>
        <v>.</v>
      </c>
      <c r="B3565" s="431" t="str">
        <f t="shared" si="55"/>
        <v>Hip Replacement RevisionProviderROYAL CORNWALL HOSPITALS NHS TRUST (REF)Oxford Hip Score</v>
      </c>
      <c r="C3565" t="s">
        <v>247</v>
      </c>
      <c r="D3565" t="s">
        <v>1</v>
      </c>
      <c r="E3565" t="s">
        <v>3745</v>
      </c>
      <c r="F3565" t="s">
        <v>3746</v>
      </c>
      <c r="G3565" t="s">
        <v>14</v>
      </c>
      <c r="H3565">
        <v>35</v>
      </c>
      <c r="I3565">
        <v>21.343</v>
      </c>
      <c r="J3565">
        <v>29.657</v>
      </c>
      <c r="K3565">
        <v>8.3140000000000001</v>
      </c>
      <c r="L3565">
        <v>29</v>
      </c>
      <c r="M3565">
        <v>0</v>
      </c>
      <c r="N3565">
        <v>6</v>
      </c>
      <c r="O3565">
        <v>29.960999999999999</v>
      </c>
      <c r="P3565">
        <v>9.0858318209999993</v>
      </c>
      <c r="Q3565">
        <v>10.021000000000001</v>
      </c>
    </row>
    <row r="3566" spans="1:17" x14ac:dyDescent="0.2">
      <c r="A3566" s="30" t="str">
        <f>IF(C3566&amp;G3566&amp;D3566&lt;&gt;'Funnel setup'!$K$3&amp;'Funnel setup'!$K$4&amp;'Funnel setup'!$K$5,".",IF(A3565=".",1,A3565+1))</f>
        <v>.</v>
      </c>
      <c r="B3566" s="431" t="str">
        <f t="shared" si="55"/>
        <v>Hip Replacement RevisionProviderROYAL DEVON AND EXETER NHS FOUNDATION TRUST (RH8)Oxford Hip Score</v>
      </c>
      <c r="C3566" t="s">
        <v>247</v>
      </c>
      <c r="D3566" t="s">
        <v>1</v>
      </c>
      <c r="E3566" t="s">
        <v>3442</v>
      </c>
      <c r="F3566" t="s">
        <v>3443</v>
      </c>
      <c r="G3566" t="s">
        <v>14</v>
      </c>
      <c r="H3566">
        <v>53</v>
      </c>
      <c r="I3566">
        <v>19.905999999999999</v>
      </c>
      <c r="J3566">
        <v>35.472000000000001</v>
      </c>
      <c r="K3566">
        <v>15.566000000000001</v>
      </c>
      <c r="L3566">
        <v>50</v>
      </c>
      <c r="M3566">
        <v>0</v>
      </c>
      <c r="N3566">
        <v>3</v>
      </c>
      <c r="O3566">
        <v>35.776000000000003</v>
      </c>
      <c r="P3566">
        <v>14.901537879999999</v>
      </c>
      <c r="Q3566">
        <v>8.6180000000000003</v>
      </c>
    </row>
    <row r="3567" spans="1:17" x14ac:dyDescent="0.2">
      <c r="A3567" s="30" t="str">
        <f>IF(C3567&amp;G3567&amp;D3567&lt;&gt;'Funnel setup'!$K$3&amp;'Funnel setup'!$K$4&amp;'Funnel setup'!$K$5,".",IF(A3566=".",1,A3566+1))</f>
        <v>.</v>
      </c>
      <c r="B3567" s="431" t="str">
        <f t="shared" si="55"/>
        <v>Hip Replacement RevisionProviderROYAL FREE LONDON NHS FOUNDATION TRUST (RAL)Oxford Hip Score</v>
      </c>
      <c r="C3567" t="s">
        <v>247</v>
      </c>
      <c r="D3567" t="s">
        <v>1</v>
      </c>
      <c r="E3567" t="s">
        <v>3445</v>
      </c>
      <c r="F3567" t="s">
        <v>3446</v>
      </c>
      <c r="G3567" t="s">
        <v>14</v>
      </c>
      <c r="H3567">
        <v>14</v>
      </c>
      <c r="I3567">
        <v>20.571000000000002</v>
      </c>
      <c r="J3567">
        <v>34.070999999999998</v>
      </c>
      <c r="K3567">
        <v>13.5</v>
      </c>
      <c r="L3567">
        <v>12</v>
      </c>
      <c r="M3567">
        <v>0</v>
      </c>
      <c r="N3567">
        <v>2</v>
      </c>
      <c r="O3567" t="s">
        <v>53</v>
      </c>
      <c r="P3567" t="s">
        <v>53</v>
      </c>
      <c r="Q3567" t="s">
        <v>53</v>
      </c>
    </row>
    <row r="3568" spans="1:17" x14ac:dyDescent="0.2">
      <c r="A3568" s="30" t="str">
        <f>IF(C3568&amp;G3568&amp;D3568&lt;&gt;'Funnel setup'!$K$3&amp;'Funnel setup'!$K$4&amp;'Funnel setup'!$K$5,".",IF(A3567=".",1,A3567+1))</f>
        <v>.</v>
      </c>
      <c r="B3568" s="431" t="str">
        <f t="shared" si="55"/>
        <v>Hip Replacement RevisionProviderROYAL LIVERPOOL AND BROADGREEN UNIVERSITY HOSPITALS NHS TRUST (RQ6)Oxford Hip Score</v>
      </c>
      <c r="C3568" t="s">
        <v>247</v>
      </c>
      <c r="D3568" t="s">
        <v>1</v>
      </c>
      <c r="E3568" t="s">
        <v>3448</v>
      </c>
      <c r="F3568" t="s">
        <v>3449</v>
      </c>
      <c r="G3568" t="s">
        <v>14</v>
      </c>
      <c r="H3568">
        <v>6</v>
      </c>
      <c r="I3568">
        <v>16.167000000000002</v>
      </c>
      <c r="J3568">
        <v>19.832999999999998</v>
      </c>
      <c r="K3568">
        <v>3.6669999999999998</v>
      </c>
      <c r="L3568">
        <v>4</v>
      </c>
      <c r="M3568">
        <v>0</v>
      </c>
      <c r="N3568">
        <v>2</v>
      </c>
      <c r="O3568" t="s">
        <v>53</v>
      </c>
      <c r="P3568" t="s">
        <v>53</v>
      </c>
      <c r="Q3568" t="s">
        <v>53</v>
      </c>
    </row>
    <row r="3569" spans="1:17" x14ac:dyDescent="0.2">
      <c r="A3569" s="30" t="str">
        <f>IF(C3569&amp;G3569&amp;D3569&lt;&gt;'Funnel setup'!$K$3&amp;'Funnel setup'!$K$4&amp;'Funnel setup'!$K$5,".",IF(A3568=".",1,A3568+1))</f>
        <v>.</v>
      </c>
      <c r="B3569" s="431" t="str">
        <f t="shared" si="55"/>
        <v>Hip Replacement RevisionProviderROYAL NATIONAL ORTHOPAEDIC HOSPITAL NHS TRUST (RAN)Oxford Hip Score</v>
      </c>
      <c r="C3569" t="s">
        <v>247</v>
      </c>
      <c r="D3569" t="s">
        <v>1</v>
      </c>
      <c r="E3569" t="s">
        <v>4378</v>
      </c>
      <c r="F3569" t="s">
        <v>4379</v>
      </c>
      <c r="G3569" t="s">
        <v>14</v>
      </c>
      <c r="H3569">
        <v>39</v>
      </c>
      <c r="I3569">
        <v>16.922999999999998</v>
      </c>
      <c r="J3569">
        <v>30.949000000000002</v>
      </c>
      <c r="K3569">
        <v>14.026</v>
      </c>
      <c r="L3569">
        <v>33</v>
      </c>
      <c r="M3569">
        <v>0</v>
      </c>
      <c r="N3569">
        <v>6</v>
      </c>
      <c r="O3569">
        <v>33.878999999999998</v>
      </c>
      <c r="P3569">
        <v>13.004573069999999</v>
      </c>
      <c r="Q3569">
        <v>10.276999999999999</v>
      </c>
    </row>
    <row r="3570" spans="1:17" x14ac:dyDescent="0.2">
      <c r="A3570" s="30" t="str">
        <f>IF(C3570&amp;G3570&amp;D3570&lt;&gt;'Funnel setup'!$K$3&amp;'Funnel setup'!$K$4&amp;'Funnel setup'!$K$5,".",IF(A3569=".",1,A3569+1))</f>
        <v>.</v>
      </c>
      <c r="B3570" s="431" t="str">
        <f t="shared" si="55"/>
        <v>Hip Replacement RevisionProviderROYAL SURREY COUNTY HOSPITAL NHS FOUNDATION TRUST (RA2)Oxford Hip Score</v>
      </c>
      <c r="C3570" t="s">
        <v>247</v>
      </c>
      <c r="D3570" t="s">
        <v>1</v>
      </c>
      <c r="E3570" t="s">
        <v>3451</v>
      </c>
      <c r="F3570" t="s">
        <v>3452</v>
      </c>
      <c r="G3570" t="s">
        <v>14</v>
      </c>
      <c r="H3570">
        <v>8</v>
      </c>
      <c r="I3570">
        <v>15.875</v>
      </c>
      <c r="J3570">
        <v>26.625</v>
      </c>
      <c r="K3570">
        <v>10.75</v>
      </c>
      <c r="L3570">
        <v>7</v>
      </c>
      <c r="M3570">
        <v>0</v>
      </c>
      <c r="N3570">
        <v>1</v>
      </c>
      <c r="O3570" t="s">
        <v>53</v>
      </c>
      <c r="P3570" t="s">
        <v>53</v>
      </c>
      <c r="Q3570" t="s">
        <v>53</v>
      </c>
    </row>
    <row r="3571" spans="1:17" x14ac:dyDescent="0.2">
      <c r="A3571" s="30" t="str">
        <f>IF(C3571&amp;G3571&amp;D3571&lt;&gt;'Funnel setup'!$K$3&amp;'Funnel setup'!$K$4&amp;'Funnel setup'!$K$5,".",IF(A3570=".",1,A3570+1))</f>
        <v>.</v>
      </c>
      <c r="B3571" s="431" t="str">
        <f t="shared" si="55"/>
        <v>Hip Replacement RevisionProviderROYAL UNITED HOSPITALS BATH NHS FOUNDATION TRUST (RD1)Oxford Hip Score</v>
      </c>
      <c r="C3571" t="s">
        <v>247</v>
      </c>
      <c r="D3571" t="s">
        <v>1</v>
      </c>
      <c r="E3571" t="s">
        <v>3454</v>
      </c>
      <c r="F3571" t="s">
        <v>3455</v>
      </c>
      <c r="G3571" t="s">
        <v>14</v>
      </c>
      <c r="H3571">
        <v>34</v>
      </c>
      <c r="I3571">
        <v>24.059000000000001</v>
      </c>
      <c r="J3571">
        <v>35.853000000000002</v>
      </c>
      <c r="K3571">
        <v>11.794</v>
      </c>
      <c r="L3571">
        <v>25</v>
      </c>
      <c r="M3571">
        <v>4</v>
      </c>
      <c r="N3571">
        <v>5</v>
      </c>
      <c r="O3571">
        <v>33.951000000000001</v>
      </c>
      <c r="P3571">
        <v>13.07637808</v>
      </c>
      <c r="Q3571">
        <v>8.3710000000000004</v>
      </c>
    </row>
    <row r="3572" spans="1:17" x14ac:dyDescent="0.2">
      <c r="A3572" s="30" t="str">
        <f>IF(C3572&amp;G3572&amp;D3572&lt;&gt;'Funnel setup'!$K$3&amp;'Funnel setup'!$K$4&amp;'Funnel setup'!$K$5,".",IF(A3571=".",1,A3571+1))</f>
        <v>.</v>
      </c>
      <c r="B3572" s="431" t="str">
        <f t="shared" si="55"/>
        <v>Hip Replacement RevisionProviderSALFORD ROYAL NHS FOUNDATION TRUST (RM3)Oxford Hip Score</v>
      </c>
      <c r="C3572" t="s">
        <v>247</v>
      </c>
      <c r="D3572" t="s">
        <v>1</v>
      </c>
      <c r="E3572" t="s">
        <v>3457</v>
      </c>
      <c r="F3572" t="s">
        <v>3458</v>
      </c>
      <c r="G3572" t="s">
        <v>14</v>
      </c>
      <c r="H3572" t="s">
        <v>53</v>
      </c>
      <c r="I3572" t="s">
        <v>53</v>
      </c>
      <c r="J3572" t="s">
        <v>53</v>
      </c>
      <c r="K3572" t="s">
        <v>53</v>
      </c>
      <c r="L3572" t="s">
        <v>53</v>
      </c>
      <c r="M3572" t="s">
        <v>53</v>
      </c>
      <c r="N3572" t="s">
        <v>53</v>
      </c>
      <c r="O3572" t="s">
        <v>53</v>
      </c>
      <c r="P3572" t="s">
        <v>53</v>
      </c>
      <c r="Q3572" t="s">
        <v>53</v>
      </c>
    </row>
    <row r="3573" spans="1:17" x14ac:dyDescent="0.2">
      <c r="A3573" s="30" t="str">
        <f>IF(C3573&amp;G3573&amp;D3573&lt;&gt;'Funnel setup'!$K$3&amp;'Funnel setup'!$K$4&amp;'Funnel setup'!$K$5,".",IF(A3572=".",1,A3572+1))</f>
        <v>.</v>
      </c>
      <c r="B3573" s="431" t="str">
        <f t="shared" si="55"/>
        <v>Hip Replacement RevisionProviderSALISBURY NHS FOUNDATION TRUST (RNZ)Oxford Hip Score</v>
      </c>
      <c r="C3573" t="s">
        <v>247</v>
      </c>
      <c r="D3573" t="s">
        <v>1</v>
      </c>
      <c r="E3573" t="s">
        <v>3460</v>
      </c>
      <c r="F3573" t="s">
        <v>3461</v>
      </c>
      <c r="G3573" t="s">
        <v>14</v>
      </c>
      <c r="H3573" t="s">
        <v>53</v>
      </c>
      <c r="I3573" t="s">
        <v>53</v>
      </c>
      <c r="J3573" t="s">
        <v>53</v>
      </c>
      <c r="K3573" t="s">
        <v>53</v>
      </c>
      <c r="L3573" t="s">
        <v>53</v>
      </c>
      <c r="M3573" t="s">
        <v>53</v>
      </c>
      <c r="N3573" t="s">
        <v>53</v>
      </c>
      <c r="O3573" t="s">
        <v>53</v>
      </c>
      <c r="P3573" t="s">
        <v>53</v>
      </c>
      <c r="Q3573" t="s">
        <v>53</v>
      </c>
    </row>
    <row r="3574" spans="1:17" x14ac:dyDescent="0.2">
      <c r="A3574" s="30" t="str">
        <f>IF(C3574&amp;G3574&amp;D3574&lt;&gt;'Funnel setup'!$K$3&amp;'Funnel setup'!$K$4&amp;'Funnel setup'!$K$5,".",IF(A3573=".",1,A3573+1))</f>
        <v>.</v>
      </c>
      <c r="B3574" s="431" t="str">
        <f t="shared" si="55"/>
        <v>Hip Replacement RevisionProviderSANDWELL AND WEST BIRMINGHAM HOSPITALS NHS TRUST (RXK)Oxford Hip Score</v>
      </c>
      <c r="C3574" t="s">
        <v>247</v>
      </c>
      <c r="D3574" t="s">
        <v>1</v>
      </c>
      <c r="E3574" t="s">
        <v>3463</v>
      </c>
      <c r="F3574" t="s">
        <v>3464</v>
      </c>
      <c r="G3574" t="s">
        <v>14</v>
      </c>
      <c r="H3574" t="s">
        <v>53</v>
      </c>
      <c r="I3574" t="s">
        <v>53</v>
      </c>
      <c r="J3574" t="s">
        <v>53</v>
      </c>
      <c r="K3574" t="s">
        <v>53</v>
      </c>
      <c r="L3574" t="s">
        <v>53</v>
      </c>
      <c r="M3574" t="s">
        <v>53</v>
      </c>
      <c r="N3574" t="s">
        <v>53</v>
      </c>
      <c r="O3574" t="s">
        <v>53</v>
      </c>
      <c r="P3574" t="s">
        <v>53</v>
      </c>
      <c r="Q3574" t="s">
        <v>53</v>
      </c>
    </row>
    <row r="3575" spans="1:17" x14ac:dyDescent="0.2">
      <c r="A3575" s="30" t="str">
        <f>IF(C3575&amp;G3575&amp;D3575&lt;&gt;'Funnel setup'!$K$3&amp;'Funnel setup'!$K$4&amp;'Funnel setup'!$K$5,".",IF(A3574=".",1,A3574+1))</f>
        <v>.</v>
      </c>
      <c r="B3575" s="431" t="str">
        <f t="shared" si="55"/>
        <v>Hip Replacement RevisionProviderSHEFFIELD TEACHING HOSPITALS NHS FOUNDATION TRUST (RHQ)Oxford Hip Score</v>
      </c>
      <c r="C3575" t="s">
        <v>247</v>
      </c>
      <c r="D3575" t="s">
        <v>1</v>
      </c>
      <c r="E3575" t="s">
        <v>3466</v>
      </c>
      <c r="F3575" t="s">
        <v>3467</v>
      </c>
      <c r="G3575" t="s">
        <v>14</v>
      </c>
      <c r="H3575">
        <v>45</v>
      </c>
      <c r="I3575">
        <v>15.8</v>
      </c>
      <c r="J3575">
        <v>31.556000000000001</v>
      </c>
      <c r="K3575">
        <v>15.756</v>
      </c>
      <c r="L3575">
        <v>43</v>
      </c>
      <c r="M3575">
        <v>0</v>
      </c>
      <c r="N3575">
        <v>2</v>
      </c>
      <c r="O3575">
        <v>34.597999999999999</v>
      </c>
      <c r="P3575">
        <v>13.72343974</v>
      </c>
      <c r="Q3575">
        <v>9.3239999999999998</v>
      </c>
    </row>
    <row r="3576" spans="1:17" x14ac:dyDescent="0.2">
      <c r="A3576" s="30" t="str">
        <f>IF(C3576&amp;G3576&amp;D3576&lt;&gt;'Funnel setup'!$K$3&amp;'Funnel setup'!$K$4&amp;'Funnel setup'!$K$5,".",IF(A3575=".",1,A3575+1))</f>
        <v>.</v>
      </c>
      <c r="B3576" s="431" t="str">
        <f t="shared" si="55"/>
        <v>Hip Replacement RevisionProviderSHEPTON MALLET NHS TREATMENT CENTRE (NTPH1)Oxford Hip Score</v>
      </c>
      <c r="C3576" t="s">
        <v>247</v>
      </c>
      <c r="D3576" t="s">
        <v>1</v>
      </c>
      <c r="E3576" t="s">
        <v>3472</v>
      </c>
      <c r="F3576" t="s">
        <v>3473</v>
      </c>
      <c r="G3576" t="s">
        <v>14</v>
      </c>
      <c r="H3576">
        <v>33</v>
      </c>
      <c r="I3576">
        <v>37.363999999999997</v>
      </c>
      <c r="J3576">
        <v>41.758000000000003</v>
      </c>
      <c r="K3576">
        <v>4.3940000000000001</v>
      </c>
      <c r="L3576">
        <v>15</v>
      </c>
      <c r="M3576">
        <v>9</v>
      </c>
      <c r="N3576">
        <v>9</v>
      </c>
      <c r="O3576">
        <v>35.347000000000001</v>
      </c>
      <c r="P3576">
        <v>14.472568089999999</v>
      </c>
      <c r="Q3576">
        <v>7.343</v>
      </c>
    </row>
    <row r="3577" spans="1:17" x14ac:dyDescent="0.2">
      <c r="A3577" s="30" t="str">
        <f>IF(C3577&amp;G3577&amp;D3577&lt;&gt;'Funnel setup'!$K$3&amp;'Funnel setup'!$K$4&amp;'Funnel setup'!$K$5,".",IF(A3576=".",1,A3576+1))</f>
        <v>.</v>
      </c>
      <c r="B3577" s="431" t="str">
        <f t="shared" si="55"/>
        <v>Hip Replacement RevisionProviderSHERWOOD FOREST HOSPITALS NHS FOUNDATION TRUST (RK5)Oxford Hip Score</v>
      </c>
      <c r="C3577" t="s">
        <v>247</v>
      </c>
      <c r="D3577" t="s">
        <v>1</v>
      </c>
      <c r="E3577" t="s">
        <v>3475</v>
      </c>
      <c r="F3577" t="s">
        <v>3476</v>
      </c>
      <c r="G3577" t="s">
        <v>14</v>
      </c>
      <c r="H3577" t="s">
        <v>53</v>
      </c>
      <c r="I3577" t="s">
        <v>53</v>
      </c>
      <c r="J3577" t="s">
        <v>53</v>
      </c>
      <c r="K3577" t="s">
        <v>53</v>
      </c>
      <c r="L3577" t="s">
        <v>53</v>
      </c>
      <c r="M3577" t="s">
        <v>53</v>
      </c>
      <c r="N3577" t="s">
        <v>53</v>
      </c>
      <c r="O3577" t="s">
        <v>53</v>
      </c>
      <c r="P3577" t="s">
        <v>53</v>
      </c>
      <c r="Q3577" t="s">
        <v>53</v>
      </c>
    </row>
    <row r="3578" spans="1:17" x14ac:dyDescent="0.2">
      <c r="A3578" s="30" t="str">
        <f>IF(C3578&amp;G3578&amp;D3578&lt;&gt;'Funnel setup'!$K$3&amp;'Funnel setup'!$K$4&amp;'Funnel setup'!$K$5,".",IF(A3577=".",1,A3577+1))</f>
        <v>.</v>
      </c>
      <c r="B3578" s="431" t="str">
        <f t="shared" si="55"/>
        <v>Hip Replacement RevisionProviderSHREWSBURY AND TELFORD HOSPITAL NHS TRUST (RXW)Oxford Hip Score</v>
      </c>
      <c r="C3578" t="s">
        <v>247</v>
      </c>
      <c r="D3578" t="s">
        <v>1</v>
      </c>
      <c r="E3578" t="s">
        <v>3478</v>
      </c>
      <c r="F3578" t="s">
        <v>3479</v>
      </c>
      <c r="G3578" t="s">
        <v>14</v>
      </c>
      <c r="H3578">
        <v>14</v>
      </c>
      <c r="I3578">
        <v>20.713999999999999</v>
      </c>
      <c r="J3578">
        <v>30</v>
      </c>
      <c r="K3578">
        <v>9.2859999999999996</v>
      </c>
      <c r="L3578">
        <v>12</v>
      </c>
      <c r="M3578">
        <v>1</v>
      </c>
      <c r="N3578">
        <v>1</v>
      </c>
      <c r="O3578" t="s">
        <v>53</v>
      </c>
      <c r="P3578" t="s">
        <v>53</v>
      </c>
      <c r="Q3578" t="s">
        <v>53</v>
      </c>
    </row>
    <row r="3579" spans="1:17" x14ac:dyDescent="0.2">
      <c r="A3579" s="30" t="str">
        <f>IF(C3579&amp;G3579&amp;D3579&lt;&gt;'Funnel setup'!$K$3&amp;'Funnel setup'!$K$4&amp;'Funnel setup'!$K$5,".",IF(A3578=".",1,A3578+1))</f>
        <v>.</v>
      </c>
      <c r="B3579" s="431" t="str">
        <f t="shared" si="55"/>
        <v>Hip Replacement RevisionProviderSOUTH TEES HOSPITALS NHS FOUNDATION TRUST (RTR)Oxford Hip Score</v>
      </c>
      <c r="C3579" t="s">
        <v>247</v>
      </c>
      <c r="D3579" t="s">
        <v>1</v>
      </c>
      <c r="E3579" t="s">
        <v>3482</v>
      </c>
      <c r="F3579" t="s">
        <v>3483</v>
      </c>
      <c r="G3579" t="s">
        <v>14</v>
      </c>
      <c r="H3579">
        <v>43</v>
      </c>
      <c r="I3579">
        <v>21.814</v>
      </c>
      <c r="J3579">
        <v>31.512</v>
      </c>
      <c r="K3579">
        <v>9.6980000000000004</v>
      </c>
      <c r="L3579">
        <v>32</v>
      </c>
      <c r="M3579">
        <v>1</v>
      </c>
      <c r="N3579">
        <v>10</v>
      </c>
      <c r="O3579">
        <v>31.611999999999998</v>
      </c>
      <c r="P3579">
        <v>10.737544789999999</v>
      </c>
      <c r="Q3579">
        <v>8.6560000000000006</v>
      </c>
    </row>
    <row r="3580" spans="1:17" x14ac:dyDescent="0.2">
      <c r="A3580" s="30" t="str">
        <f>IF(C3580&amp;G3580&amp;D3580&lt;&gt;'Funnel setup'!$K$3&amp;'Funnel setup'!$K$4&amp;'Funnel setup'!$K$5,".",IF(A3579=".",1,A3579+1))</f>
        <v>.</v>
      </c>
      <c r="B3580" s="431" t="str">
        <f t="shared" si="55"/>
        <v>Hip Replacement RevisionProviderSOUTH TYNESIDE NHS FOUNDATION TRUST (RE9)Oxford Hip Score</v>
      </c>
      <c r="C3580" t="s">
        <v>247</v>
      </c>
      <c r="D3580" t="s">
        <v>1</v>
      </c>
      <c r="E3580" t="s">
        <v>3485</v>
      </c>
      <c r="F3580" t="s">
        <v>3486</v>
      </c>
      <c r="G3580" t="s">
        <v>14</v>
      </c>
      <c r="H3580" t="s">
        <v>53</v>
      </c>
      <c r="I3580" t="s">
        <v>53</v>
      </c>
      <c r="J3580" t="s">
        <v>53</v>
      </c>
      <c r="K3580" t="s">
        <v>53</v>
      </c>
      <c r="L3580" t="s">
        <v>53</v>
      </c>
      <c r="M3580" t="s">
        <v>53</v>
      </c>
      <c r="N3580" t="s">
        <v>53</v>
      </c>
      <c r="O3580" t="s">
        <v>53</v>
      </c>
      <c r="P3580" t="s">
        <v>53</v>
      </c>
      <c r="Q3580" t="s">
        <v>53</v>
      </c>
    </row>
    <row r="3581" spans="1:17" x14ac:dyDescent="0.2">
      <c r="A3581" s="30" t="str">
        <f>IF(C3581&amp;G3581&amp;D3581&lt;&gt;'Funnel setup'!$K$3&amp;'Funnel setup'!$K$4&amp;'Funnel setup'!$K$5,".",IF(A3580=".",1,A3580+1))</f>
        <v>.</v>
      </c>
      <c r="B3581" s="431" t="str">
        <f t="shared" si="55"/>
        <v>Hip Replacement RevisionProviderSOUTH WARWICKSHIRE NHS FOUNDATION TRUST (RJC)Oxford Hip Score</v>
      </c>
      <c r="C3581" t="s">
        <v>247</v>
      </c>
      <c r="D3581" t="s">
        <v>1</v>
      </c>
      <c r="E3581" t="s">
        <v>3421</v>
      </c>
      <c r="F3581" t="s">
        <v>3422</v>
      </c>
      <c r="G3581" t="s">
        <v>14</v>
      </c>
      <c r="H3581">
        <v>16</v>
      </c>
      <c r="I3581">
        <v>22.562999999999999</v>
      </c>
      <c r="J3581">
        <v>34</v>
      </c>
      <c r="K3581">
        <v>11.438000000000001</v>
      </c>
      <c r="L3581">
        <v>12</v>
      </c>
      <c r="M3581">
        <v>0</v>
      </c>
      <c r="N3581">
        <v>4</v>
      </c>
      <c r="O3581" t="s">
        <v>53</v>
      </c>
      <c r="P3581" t="s">
        <v>53</v>
      </c>
      <c r="Q3581" t="s">
        <v>53</v>
      </c>
    </row>
    <row r="3582" spans="1:17" x14ac:dyDescent="0.2">
      <c r="A3582" s="30" t="str">
        <f>IF(C3582&amp;G3582&amp;D3582&lt;&gt;'Funnel setup'!$K$3&amp;'Funnel setup'!$K$4&amp;'Funnel setup'!$K$5,".",IF(A3581=".",1,A3581+1))</f>
        <v>.</v>
      </c>
      <c r="B3582" s="431" t="str">
        <f t="shared" si="55"/>
        <v>Hip Replacement RevisionProviderSOUTHAMPTON NHS TREATMENT CENTRE (NTP11)Oxford Hip Score</v>
      </c>
      <c r="C3582" t="s">
        <v>247</v>
      </c>
      <c r="D3582" t="s">
        <v>1</v>
      </c>
      <c r="E3582" t="s">
        <v>3424</v>
      </c>
      <c r="F3582" t="s">
        <v>3425</v>
      </c>
      <c r="G3582" t="s">
        <v>14</v>
      </c>
      <c r="H3582" t="s">
        <v>53</v>
      </c>
      <c r="I3582" t="s">
        <v>53</v>
      </c>
      <c r="J3582" t="s">
        <v>53</v>
      </c>
      <c r="K3582" t="s">
        <v>53</v>
      </c>
      <c r="L3582" t="s">
        <v>53</v>
      </c>
      <c r="M3582" t="s">
        <v>53</v>
      </c>
      <c r="N3582" t="s">
        <v>53</v>
      </c>
      <c r="O3582" t="s">
        <v>53</v>
      </c>
      <c r="P3582" t="s">
        <v>53</v>
      </c>
      <c r="Q3582" t="s">
        <v>53</v>
      </c>
    </row>
    <row r="3583" spans="1:17" x14ac:dyDescent="0.2">
      <c r="A3583" s="30" t="str">
        <f>IF(C3583&amp;G3583&amp;D3583&lt;&gt;'Funnel setup'!$K$3&amp;'Funnel setup'!$K$4&amp;'Funnel setup'!$K$5,".",IF(A3582=".",1,A3582+1))</f>
        <v>.</v>
      </c>
      <c r="B3583" s="431" t="str">
        <f t="shared" si="55"/>
        <v>Hip Replacement RevisionProviderSOUTHEND UNIVERSITY HOSPITAL NHS FOUNDATION TRUST (RAJ)Oxford Hip Score</v>
      </c>
      <c r="C3583" t="s">
        <v>247</v>
      </c>
      <c r="D3583" t="s">
        <v>1</v>
      </c>
      <c r="E3583" t="s">
        <v>3427</v>
      </c>
      <c r="F3583" t="s">
        <v>3428</v>
      </c>
      <c r="G3583" t="s">
        <v>14</v>
      </c>
      <c r="H3583">
        <v>9</v>
      </c>
      <c r="I3583">
        <v>18.888999999999999</v>
      </c>
      <c r="J3583">
        <v>32.555999999999997</v>
      </c>
      <c r="K3583">
        <v>13.667</v>
      </c>
      <c r="L3583">
        <v>8</v>
      </c>
      <c r="M3583">
        <v>0</v>
      </c>
      <c r="N3583">
        <v>1</v>
      </c>
      <c r="O3583" t="s">
        <v>53</v>
      </c>
      <c r="P3583" t="s">
        <v>53</v>
      </c>
      <c r="Q3583" t="s">
        <v>53</v>
      </c>
    </row>
    <row r="3584" spans="1:17" x14ac:dyDescent="0.2">
      <c r="A3584" s="30" t="str">
        <f>IF(C3584&amp;G3584&amp;D3584&lt;&gt;'Funnel setup'!$K$3&amp;'Funnel setup'!$K$4&amp;'Funnel setup'!$K$5,".",IF(A3583=".",1,A3583+1))</f>
        <v>.</v>
      </c>
      <c r="B3584" s="431" t="str">
        <f t="shared" si="55"/>
        <v>Hip Replacement RevisionProviderSOUTHPORT AND ORMSKIRK HOSPITAL NHS TRUST (RVY)Oxford Hip Score</v>
      </c>
      <c r="C3584" t="s">
        <v>247</v>
      </c>
      <c r="D3584" t="s">
        <v>1</v>
      </c>
      <c r="E3584" t="s">
        <v>3430</v>
      </c>
      <c r="F3584" t="s">
        <v>3431</v>
      </c>
      <c r="G3584" t="s">
        <v>14</v>
      </c>
      <c r="H3584" t="s">
        <v>53</v>
      </c>
      <c r="I3584" t="s">
        <v>53</v>
      </c>
      <c r="J3584" t="s">
        <v>53</v>
      </c>
      <c r="K3584" t="s">
        <v>53</v>
      </c>
      <c r="L3584" t="s">
        <v>53</v>
      </c>
      <c r="M3584" t="s">
        <v>53</v>
      </c>
      <c r="N3584" t="s">
        <v>53</v>
      </c>
      <c r="O3584" t="s">
        <v>53</v>
      </c>
      <c r="P3584" t="s">
        <v>53</v>
      </c>
      <c r="Q3584" t="s">
        <v>53</v>
      </c>
    </row>
    <row r="3585" spans="1:17" x14ac:dyDescent="0.2">
      <c r="A3585" s="30" t="str">
        <f>IF(C3585&amp;G3585&amp;D3585&lt;&gt;'Funnel setup'!$K$3&amp;'Funnel setup'!$K$4&amp;'Funnel setup'!$K$5,".",IF(A3584=".",1,A3584+1))</f>
        <v>.</v>
      </c>
      <c r="B3585" s="431" t="str">
        <f t="shared" si="55"/>
        <v>Hip Replacement RevisionProviderSPIRE BRISTOL HOSPITAL (NT302)Oxford Hip Score</v>
      </c>
      <c r="C3585" t="s">
        <v>247</v>
      </c>
      <c r="D3585" t="s">
        <v>1</v>
      </c>
      <c r="E3585" t="s">
        <v>4381</v>
      </c>
      <c r="F3585" t="s">
        <v>4382</v>
      </c>
      <c r="G3585" t="s">
        <v>14</v>
      </c>
      <c r="H3585" t="s">
        <v>53</v>
      </c>
      <c r="I3585" t="s">
        <v>53</v>
      </c>
      <c r="J3585" t="s">
        <v>53</v>
      </c>
      <c r="K3585" t="s">
        <v>53</v>
      </c>
      <c r="L3585" t="s">
        <v>53</v>
      </c>
      <c r="M3585" t="s">
        <v>53</v>
      </c>
      <c r="N3585" t="s">
        <v>53</v>
      </c>
      <c r="O3585" t="s">
        <v>53</v>
      </c>
      <c r="P3585" t="s">
        <v>53</v>
      </c>
      <c r="Q3585" t="s">
        <v>53</v>
      </c>
    </row>
    <row r="3586" spans="1:17" x14ac:dyDescent="0.2">
      <c r="A3586" s="30" t="str">
        <f>IF(C3586&amp;G3586&amp;D3586&lt;&gt;'Funnel setup'!$K$3&amp;'Funnel setup'!$K$4&amp;'Funnel setup'!$K$5,".",IF(A3585=".",1,A3585+1))</f>
        <v>.</v>
      </c>
      <c r="B3586" s="431" t="str">
        <f t="shared" si="55"/>
        <v>Hip Replacement RevisionProviderSPIRE GATWICK PARK HOSPITAL (NT308)Oxford Hip Score</v>
      </c>
      <c r="C3586" t="s">
        <v>247</v>
      </c>
      <c r="D3586" t="s">
        <v>1</v>
      </c>
      <c r="E3586" t="s">
        <v>3409</v>
      </c>
      <c r="F3586" t="s">
        <v>3410</v>
      </c>
      <c r="G3586" t="s">
        <v>14</v>
      </c>
      <c r="H3586" t="s">
        <v>53</v>
      </c>
      <c r="I3586" t="s">
        <v>53</v>
      </c>
      <c r="J3586" t="s">
        <v>53</v>
      </c>
      <c r="K3586" t="s">
        <v>53</v>
      </c>
      <c r="L3586" t="s">
        <v>53</v>
      </c>
      <c r="M3586" t="s">
        <v>53</v>
      </c>
      <c r="N3586" t="s">
        <v>53</v>
      </c>
      <c r="O3586" t="s">
        <v>53</v>
      </c>
      <c r="P3586" t="s">
        <v>53</v>
      </c>
      <c r="Q3586" t="s">
        <v>53</v>
      </c>
    </row>
    <row r="3587" spans="1:17" x14ac:dyDescent="0.2">
      <c r="A3587" s="30" t="str">
        <f>IF(C3587&amp;G3587&amp;D3587&lt;&gt;'Funnel setup'!$K$3&amp;'Funnel setup'!$K$4&amp;'Funnel setup'!$K$5,".",IF(A3586=".",1,A3586+1))</f>
        <v>.</v>
      </c>
      <c r="B3587" s="431" t="str">
        <f t="shared" ref="B3587:B3650" si="56">C3587&amp;D3587&amp;F3587&amp;G3587</f>
        <v>Hip Replacement RevisionProviderSPIRE HARPENDEN HOSPITAL (NT316)Oxford Hip Score</v>
      </c>
      <c r="C3587" t="s">
        <v>247</v>
      </c>
      <c r="D3587" t="s">
        <v>1</v>
      </c>
      <c r="E3587" t="s">
        <v>4267</v>
      </c>
      <c r="F3587" t="s">
        <v>4268</v>
      </c>
      <c r="G3587" t="s">
        <v>14</v>
      </c>
      <c r="H3587" t="s">
        <v>53</v>
      </c>
      <c r="I3587" t="s">
        <v>53</v>
      </c>
      <c r="J3587" t="s">
        <v>53</v>
      </c>
      <c r="K3587" t="s">
        <v>53</v>
      </c>
      <c r="L3587" t="s">
        <v>53</v>
      </c>
      <c r="M3587" t="s">
        <v>53</v>
      </c>
      <c r="N3587" t="s">
        <v>53</v>
      </c>
      <c r="O3587" t="s">
        <v>53</v>
      </c>
      <c r="P3587" t="s">
        <v>53</v>
      </c>
      <c r="Q3587" t="s">
        <v>53</v>
      </c>
    </row>
    <row r="3588" spans="1:17" x14ac:dyDescent="0.2">
      <c r="A3588" s="30" t="str">
        <f>IF(C3588&amp;G3588&amp;D3588&lt;&gt;'Funnel setup'!$K$3&amp;'Funnel setup'!$K$4&amp;'Funnel setup'!$K$5,".",IF(A3587=".",1,A3587+1))</f>
        <v>.</v>
      </c>
      <c r="B3588" s="431" t="str">
        <f t="shared" si="56"/>
        <v>Hip Replacement RevisionProviderSPIRE HULL AND EAST RIDING HOSPITAL (NT351)Oxford Hip Score</v>
      </c>
      <c r="C3588" t="s">
        <v>247</v>
      </c>
      <c r="D3588" t="s">
        <v>1</v>
      </c>
      <c r="E3588" t="s">
        <v>3213</v>
      </c>
      <c r="F3588" t="s">
        <v>3214</v>
      </c>
      <c r="G3588" t="s">
        <v>14</v>
      </c>
      <c r="H3588" t="s">
        <v>53</v>
      </c>
      <c r="I3588" t="s">
        <v>53</v>
      </c>
      <c r="J3588" t="s">
        <v>53</v>
      </c>
      <c r="K3588" t="s">
        <v>53</v>
      </c>
      <c r="L3588" t="s">
        <v>53</v>
      </c>
      <c r="M3588" t="s">
        <v>53</v>
      </c>
      <c r="N3588" t="s">
        <v>53</v>
      </c>
      <c r="O3588" t="s">
        <v>53</v>
      </c>
      <c r="P3588" t="s">
        <v>53</v>
      </c>
      <c r="Q3588" t="s">
        <v>53</v>
      </c>
    </row>
    <row r="3589" spans="1:17" x14ac:dyDescent="0.2">
      <c r="A3589" s="30" t="str">
        <f>IF(C3589&amp;G3589&amp;D3589&lt;&gt;'Funnel setup'!$K$3&amp;'Funnel setup'!$K$4&amp;'Funnel setup'!$K$5,".",IF(A3588=".",1,A3588+1))</f>
        <v>.</v>
      </c>
      <c r="B3589" s="431" t="str">
        <f t="shared" si="56"/>
        <v>Hip Replacement RevisionProviderSPIRE REGENCY HOSPITAL (NT339)Oxford Hip Score</v>
      </c>
      <c r="C3589" t="s">
        <v>247</v>
      </c>
      <c r="D3589" t="s">
        <v>1</v>
      </c>
      <c r="E3589" t="s">
        <v>3171</v>
      </c>
      <c r="F3589" t="s">
        <v>3172</v>
      </c>
      <c r="G3589" t="s">
        <v>14</v>
      </c>
      <c r="H3589" t="s">
        <v>53</v>
      </c>
      <c r="I3589" t="s">
        <v>53</v>
      </c>
      <c r="J3589" t="s">
        <v>53</v>
      </c>
      <c r="K3589" t="s">
        <v>53</v>
      </c>
      <c r="L3589" t="s">
        <v>53</v>
      </c>
      <c r="M3589" t="s">
        <v>53</v>
      </c>
      <c r="N3589" t="s">
        <v>53</v>
      </c>
      <c r="O3589" t="s">
        <v>53</v>
      </c>
      <c r="P3589" t="s">
        <v>53</v>
      </c>
      <c r="Q3589" t="s">
        <v>53</v>
      </c>
    </row>
    <row r="3590" spans="1:17" x14ac:dyDescent="0.2">
      <c r="A3590" s="30" t="str">
        <f>IF(C3590&amp;G3590&amp;D3590&lt;&gt;'Funnel setup'!$K$3&amp;'Funnel setup'!$K$4&amp;'Funnel setup'!$K$5,".",IF(A3589=".",1,A3589+1))</f>
        <v>.</v>
      </c>
      <c r="B3590" s="431" t="str">
        <f t="shared" si="56"/>
        <v>Hip Replacement RevisionProviderSPIRE SUSSEX HOSPITAL (NT309)Oxford Hip Score</v>
      </c>
      <c r="C3590" t="s">
        <v>247</v>
      </c>
      <c r="D3590" t="s">
        <v>1</v>
      </c>
      <c r="E3590" t="s">
        <v>3180</v>
      </c>
      <c r="F3590" t="s">
        <v>3181</v>
      </c>
      <c r="G3590" t="s">
        <v>14</v>
      </c>
      <c r="H3590" t="s">
        <v>53</v>
      </c>
      <c r="I3590" t="s">
        <v>53</v>
      </c>
      <c r="J3590" t="s">
        <v>53</v>
      </c>
      <c r="K3590" t="s">
        <v>53</v>
      </c>
      <c r="L3590" t="s">
        <v>53</v>
      </c>
      <c r="M3590" t="s">
        <v>53</v>
      </c>
      <c r="N3590" t="s">
        <v>53</v>
      </c>
      <c r="O3590" t="s">
        <v>53</v>
      </c>
      <c r="P3590" t="s">
        <v>53</v>
      </c>
      <c r="Q3590" t="s">
        <v>53</v>
      </c>
    </row>
    <row r="3591" spans="1:17" x14ac:dyDescent="0.2">
      <c r="A3591" s="30" t="str">
        <f>IF(C3591&amp;G3591&amp;D3591&lt;&gt;'Funnel setup'!$K$3&amp;'Funnel setup'!$K$4&amp;'Funnel setup'!$K$5,".",IF(A3590=".",1,A3590+1))</f>
        <v>.</v>
      </c>
      <c r="B3591" s="431" t="str">
        <f t="shared" si="56"/>
        <v>Hip Replacement RevisionProviderSPIRE WELLESLEY HOSPITAL (NT313)Oxford Hip Score</v>
      </c>
      <c r="C3591" t="s">
        <v>247</v>
      </c>
      <c r="D3591" t="s">
        <v>1</v>
      </c>
      <c r="E3591" t="s">
        <v>3192</v>
      </c>
      <c r="F3591" t="s">
        <v>3193</v>
      </c>
      <c r="G3591" t="s">
        <v>14</v>
      </c>
      <c r="H3591" t="s">
        <v>53</v>
      </c>
      <c r="I3591" t="s">
        <v>53</v>
      </c>
      <c r="J3591" t="s">
        <v>53</v>
      </c>
      <c r="K3591" t="s">
        <v>53</v>
      </c>
      <c r="L3591" t="s">
        <v>53</v>
      </c>
      <c r="M3591" t="s">
        <v>53</v>
      </c>
      <c r="N3591" t="s">
        <v>53</v>
      </c>
      <c r="O3591" t="s">
        <v>53</v>
      </c>
      <c r="P3591" t="s">
        <v>53</v>
      </c>
      <c r="Q3591" t="s">
        <v>53</v>
      </c>
    </row>
    <row r="3592" spans="1:17" x14ac:dyDescent="0.2">
      <c r="A3592" s="30" t="str">
        <f>IF(C3592&amp;G3592&amp;D3592&lt;&gt;'Funnel setup'!$K$3&amp;'Funnel setup'!$K$4&amp;'Funnel setup'!$K$5,".",IF(A3591=".",1,A3591+1))</f>
        <v>.</v>
      </c>
      <c r="B3592" s="431" t="str">
        <f t="shared" si="56"/>
        <v>Hip Replacement RevisionProviderSPRINGFIELD HOSPITAL (NVC18)Oxford Hip Score</v>
      </c>
      <c r="C3592" t="s">
        <v>247</v>
      </c>
      <c r="D3592" t="s">
        <v>1</v>
      </c>
      <c r="E3592" t="s">
        <v>3195</v>
      </c>
      <c r="F3592" t="s">
        <v>3196</v>
      </c>
      <c r="G3592" t="s">
        <v>14</v>
      </c>
      <c r="H3592" t="s">
        <v>53</v>
      </c>
      <c r="I3592" t="s">
        <v>53</v>
      </c>
      <c r="J3592" t="s">
        <v>53</v>
      </c>
      <c r="K3592" t="s">
        <v>53</v>
      </c>
      <c r="L3592" t="s">
        <v>53</v>
      </c>
      <c r="M3592" t="s">
        <v>53</v>
      </c>
      <c r="N3592" t="s">
        <v>53</v>
      </c>
      <c r="O3592" t="s">
        <v>53</v>
      </c>
      <c r="P3592" t="s">
        <v>53</v>
      </c>
      <c r="Q3592" t="s">
        <v>53</v>
      </c>
    </row>
    <row r="3593" spans="1:17" x14ac:dyDescent="0.2">
      <c r="A3593" s="30" t="str">
        <f>IF(C3593&amp;G3593&amp;D3593&lt;&gt;'Funnel setup'!$K$3&amp;'Funnel setup'!$K$4&amp;'Funnel setup'!$K$5,".",IF(A3592=".",1,A3592+1))</f>
        <v>.</v>
      </c>
      <c r="B3593" s="431" t="str">
        <f t="shared" si="56"/>
        <v>Hip Replacement RevisionProviderST GEORGE'S UNIVERSITY HOSPITALS NHS FOUNDATION TRUST (RJ7)Oxford Hip Score</v>
      </c>
      <c r="C3593" t="s">
        <v>247</v>
      </c>
      <c r="D3593" t="s">
        <v>1</v>
      </c>
      <c r="E3593" t="s">
        <v>3124</v>
      </c>
      <c r="F3593" t="s">
        <v>3125</v>
      </c>
      <c r="G3593" t="s">
        <v>14</v>
      </c>
      <c r="H3593" t="s">
        <v>53</v>
      </c>
      <c r="I3593" t="s">
        <v>53</v>
      </c>
      <c r="J3593" t="s">
        <v>53</v>
      </c>
      <c r="K3593" t="s">
        <v>53</v>
      </c>
      <c r="L3593" t="s">
        <v>53</v>
      </c>
      <c r="M3593" t="s">
        <v>53</v>
      </c>
      <c r="N3593" t="s">
        <v>53</v>
      </c>
      <c r="O3593" t="s">
        <v>53</v>
      </c>
      <c r="P3593" t="s">
        <v>53</v>
      </c>
      <c r="Q3593" t="s">
        <v>53</v>
      </c>
    </row>
    <row r="3594" spans="1:17" x14ac:dyDescent="0.2">
      <c r="A3594" s="30" t="str">
        <f>IF(C3594&amp;G3594&amp;D3594&lt;&gt;'Funnel setup'!$K$3&amp;'Funnel setup'!$K$4&amp;'Funnel setup'!$K$5,".",IF(A3593=".",1,A3593+1))</f>
        <v>.</v>
      </c>
      <c r="B3594" s="431" t="str">
        <f t="shared" si="56"/>
        <v>Hip Replacement RevisionProviderST HELENS AND KNOWSLEY HOSPITALS NHS TRUST (RBN)Oxford Hip Score</v>
      </c>
      <c r="C3594" t="s">
        <v>247</v>
      </c>
      <c r="D3594" t="s">
        <v>1</v>
      </c>
      <c r="E3594" t="s">
        <v>3127</v>
      </c>
      <c r="F3594" t="s">
        <v>3128</v>
      </c>
      <c r="G3594" t="s">
        <v>14</v>
      </c>
      <c r="H3594">
        <v>14</v>
      </c>
      <c r="I3594">
        <v>16.428999999999998</v>
      </c>
      <c r="J3594">
        <v>28.713999999999999</v>
      </c>
      <c r="K3594">
        <v>12.286</v>
      </c>
      <c r="L3594">
        <v>12</v>
      </c>
      <c r="M3594">
        <v>0</v>
      </c>
      <c r="N3594">
        <v>2</v>
      </c>
      <c r="O3594" t="s">
        <v>53</v>
      </c>
      <c r="P3594" t="s">
        <v>53</v>
      </c>
      <c r="Q3594" t="s">
        <v>53</v>
      </c>
    </row>
    <row r="3595" spans="1:17" x14ac:dyDescent="0.2">
      <c r="A3595" s="30" t="str">
        <f>IF(C3595&amp;G3595&amp;D3595&lt;&gt;'Funnel setup'!$K$3&amp;'Funnel setup'!$K$4&amp;'Funnel setup'!$K$5,".",IF(A3594=".",1,A3594+1))</f>
        <v>.</v>
      </c>
      <c r="B3595" s="431" t="str">
        <f t="shared" si="56"/>
        <v>Hip Replacement RevisionProviderSTOCKPORT NHS FOUNDATION TRUST (RWJ)Oxford Hip Score</v>
      </c>
      <c r="C3595" t="s">
        <v>247</v>
      </c>
      <c r="D3595" t="s">
        <v>1</v>
      </c>
      <c r="E3595" t="s">
        <v>3142</v>
      </c>
      <c r="F3595" t="s">
        <v>3143</v>
      </c>
      <c r="G3595" t="s">
        <v>14</v>
      </c>
      <c r="H3595" t="s">
        <v>53</v>
      </c>
      <c r="I3595" t="s">
        <v>53</v>
      </c>
      <c r="J3595" t="s">
        <v>53</v>
      </c>
      <c r="K3595" t="s">
        <v>53</v>
      </c>
      <c r="L3595" t="s">
        <v>53</v>
      </c>
      <c r="M3595" t="s">
        <v>53</v>
      </c>
      <c r="N3595" t="s">
        <v>53</v>
      </c>
      <c r="O3595" t="s">
        <v>53</v>
      </c>
      <c r="P3595" t="s">
        <v>53</v>
      </c>
      <c r="Q3595" t="s">
        <v>53</v>
      </c>
    </row>
    <row r="3596" spans="1:17" x14ac:dyDescent="0.2">
      <c r="A3596" s="30" t="str">
        <f>IF(C3596&amp;G3596&amp;D3596&lt;&gt;'Funnel setup'!$K$3&amp;'Funnel setup'!$K$4&amp;'Funnel setup'!$K$5,".",IF(A3595=".",1,A3595+1))</f>
        <v>.</v>
      </c>
      <c r="B3596" s="431" t="str">
        <f t="shared" si="56"/>
        <v>Hip Replacement RevisionProviderTAUNTON AND SOMERSET NHS FOUNDATION TRUST (RBA)Oxford Hip Score</v>
      </c>
      <c r="C3596" t="s">
        <v>247</v>
      </c>
      <c r="D3596" t="s">
        <v>1</v>
      </c>
      <c r="E3596" t="s">
        <v>3151</v>
      </c>
      <c r="F3596" t="s">
        <v>3152</v>
      </c>
      <c r="G3596" t="s">
        <v>14</v>
      </c>
      <c r="H3596">
        <v>9</v>
      </c>
      <c r="I3596">
        <v>18.667000000000002</v>
      </c>
      <c r="J3596">
        <v>33.777999999999999</v>
      </c>
      <c r="K3596">
        <v>15.111000000000001</v>
      </c>
      <c r="L3596">
        <v>9</v>
      </c>
      <c r="M3596">
        <v>0</v>
      </c>
      <c r="N3596">
        <v>0</v>
      </c>
      <c r="O3596" t="s">
        <v>53</v>
      </c>
      <c r="P3596" t="s">
        <v>53</v>
      </c>
      <c r="Q3596" t="s">
        <v>53</v>
      </c>
    </row>
    <row r="3597" spans="1:17" x14ac:dyDescent="0.2">
      <c r="A3597" s="30" t="str">
        <f>IF(C3597&amp;G3597&amp;D3597&lt;&gt;'Funnel setup'!$K$3&amp;'Funnel setup'!$K$4&amp;'Funnel setup'!$K$5,".",IF(A3596=".",1,A3596+1))</f>
        <v>.</v>
      </c>
      <c r="B3597" s="431" t="str">
        <f t="shared" si="56"/>
        <v>Hip Replacement RevisionProviderTHE BERKSHIRE INDEPENDENT HOSPITAL (NVC02)Oxford Hip Score</v>
      </c>
      <c r="C3597" t="s">
        <v>247</v>
      </c>
      <c r="D3597" t="s">
        <v>1</v>
      </c>
      <c r="E3597" t="s">
        <v>3118</v>
      </c>
      <c r="F3597" t="s">
        <v>3119</v>
      </c>
      <c r="G3597" t="s">
        <v>14</v>
      </c>
      <c r="H3597" t="s">
        <v>53</v>
      </c>
      <c r="I3597" t="s">
        <v>53</v>
      </c>
      <c r="J3597" t="s">
        <v>53</v>
      </c>
      <c r="K3597" t="s">
        <v>53</v>
      </c>
      <c r="L3597" t="s">
        <v>53</v>
      </c>
      <c r="M3597" t="s">
        <v>53</v>
      </c>
      <c r="N3597" t="s">
        <v>53</v>
      </c>
      <c r="O3597" t="s">
        <v>53</v>
      </c>
      <c r="P3597" t="s">
        <v>53</v>
      </c>
      <c r="Q3597" t="s">
        <v>53</v>
      </c>
    </row>
    <row r="3598" spans="1:17" x14ac:dyDescent="0.2">
      <c r="A3598" s="30" t="str">
        <f>IF(C3598&amp;G3598&amp;D3598&lt;&gt;'Funnel setup'!$K$3&amp;'Funnel setup'!$K$4&amp;'Funnel setup'!$K$5,".",IF(A3597=".",1,A3597+1))</f>
        <v>.</v>
      </c>
      <c r="B3598" s="431" t="str">
        <f t="shared" si="56"/>
        <v>Hip Replacement RevisionProviderTHE DUDLEY GROUP NHS FOUNDATION TRUST (RNA)Oxford Hip Score</v>
      </c>
      <c r="C3598" t="s">
        <v>247</v>
      </c>
      <c r="D3598" t="s">
        <v>1</v>
      </c>
      <c r="E3598" t="s">
        <v>3121</v>
      </c>
      <c r="F3598" t="s">
        <v>3122</v>
      </c>
      <c r="G3598" t="s">
        <v>14</v>
      </c>
      <c r="H3598" t="s">
        <v>53</v>
      </c>
      <c r="I3598" t="s">
        <v>53</v>
      </c>
      <c r="J3598" t="s">
        <v>53</v>
      </c>
      <c r="K3598" t="s">
        <v>53</v>
      </c>
      <c r="L3598" t="s">
        <v>53</v>
      </c>
      <c r="M3598" t="s">
        <v>53</v>
      </c>
      <c r="N3598" t="s">
        <v>53</v>
      </c>
      <c r="O3598" t="s">
        <v>53</v>
      </c>
      <c r="P3598" t="s">
        <v>53</v>
      </c>
      <c r="Q3598" t="s">
        <v>53</v>
      </c>
    </row>
    <row r="3599" spans="1:17" x14ac:dyDescent="0.2">
      <c r="A3599" s="30" t="str">
        <f>IF(C3599&amp;G3599&amp;D3599&lt;&gt;'Funnel setup'!$K$3&amp;'Funnel setup'!$K$4&amp;'Funnel setup'!$K$5,".",IF(A3598=".",1,A3598+1))</f>
        <v>.</v>
      </c>
      <c r="B3599" s="431" t="str">
        <f t="shared" si="56"/>
        <v>Hip Replacement RevisionProviderTHE HILLINGDON HOSPITALS NHS FOUNDATION TRUST (RAS)Oxford Hip Score</v>
      </c>
      <c r="C3599" t="s">
        <v>247</v>
      </c>
      <c r="D3599" t="s">
        <v>1</v>
      </c>
      <c r="E3599" t="s">
        <v>3115</v>
      </c>
      <c r="F3599" t="s">
        <v>3116</v>
      </c>
      <c r="G3599" t="s">
        <v>14</v>
      </c>
      <c r="H3599">
        <v>7</v>
      </c>
      <c r="I3599">
        <v>17.428999999999998</v>
      </c>
      <c r="J3599">
        <v>35.429000000000002</v>
      </c>
      <c r="K3599">
        <v>18</v>
      </c>
      <c r="L3599">
        <v>7</v>
      </c>
      <c r="M3599">
        <v>0</v>
      </c>
      <c r="N3599">
        <v>0</v>
      </c>
      <c r="O3599" t="s">
        <v>53</v>
      </c>
      <c r="P3599" t="s">
        <v>53</v>
      </c>
      <c r="Q3599" t="s">
        <v>53</v>
      </c>
    </row>
    <row r="3600" spans="1:17" x14ac:dyDescent="0.2">
      <c r="A3600" s="30" t="str">
        <f>IF(C3600&amp;G3600&amp;D3600&lt;&gt;'Funnel setup'!$K$3&amp;'Funnel setup'!$K$4&amp;'Funnel setup'!$K$5,".",IF(A3599=".",1,A3599+1))</f>
        <v>.</v>
      </c>
      <c r="B3600" s="431" t="str">
        <f t="shared" si="56"/>
        <v>Hip Replacement RevisionProviderTHE HORDER CENTRE - ST JOHNS ROAD (NXM01)Oxford Hip Score</v>
      </c>
      <c r="C3600" t="s">
        <v>247</v>
      </c>
      <c r="D3600" t="s">
        <v>1</v>
      </c>
      <c r="E3600" t="s">
        <v>4222</v>
      </c>
      <c r="F3600" t="s">
        <v>4223</v>
      </c>
      <c r="G3600" t="s">
        <v>14</v>
      </c>
      <c r="H3600">
        <v>44</v>
      </c>
      <c r="I3600">
        <v>24.091000000000001</v>
      </c>
      <c r="J3600">
        <v>35.704999999999998</v>
      </c>
      <c r="K3600">
        <v>11.614000000000001</v>
      </c>
      <c r="L3600">
        <v>36</v>
      </c>
      <c r="M3600">
        <v>1</v>
      </c>
      <c r="N3600">
        <v>7</v>
      </c>
      <c r="O3600">
        <v>33.353000000000002</v>
      </c>
      <c r="P3600">
        <v>12.47845774</v>
      </c>
      <c r="Q3600">
        <v>9.5440000000000005</v>
      </c>
    </row>
    <row r="3601" spans="1:17" x14ac:dyDescent="0.2">
      <c r="A3601" s="30" t="str">
        <f>IF(C3601&amp;G3601&amp;D3601&lt;&gt;'Funnel setup'!$K$3&amp;'Funnel setup'!$K$4&amp;'Funnel setup'!$K$5,".",IF(A3600=".",1,A3600+1))</f>
        <v>.</v>
      </c>
      <c r="B3601" s="431" t="str">
        <f t="shared" si="56"/>
        <v>Hip Replacement RevisionProviderTHE NEWCASTLE UPON TYNE HOSPITALS NHS FOUNDATION TRUST (RTD)Oxford Hip Score</v>
      </c>
      <c r="C3601" t="s">
        <v>247</v>
      </c>
      <c r="D3601" t="s">
        <v>1</v>
      </c>
      <c r="E3601" t="s">
        <v>3748</v>
      </c>
      <c r="F3601" t="s">
        <v>3749</v>
      </c>
      <c r="G3601" t="s">
        <v>14</v>
      </c>
      <c r="H3601">
        <v>22</v>
      </c>
      <c r="I3601">
        <v>21.954999999999998</v>
      </c>
      <c r="J3601">
        <v>33.773000000000003</v>
      </c>
      <c r="K3601">
        <v>11.818</v>
      </c>
      <c r="L3601">
        <v>18</v>
      </c>
      <c r="M3601">
        <v>0</v>
      </c>
      <c r="N3601">
        <v>4</v>
      </c>
      <c r="O3601" t="s">
        <v>53</v>
      </c>
      <c r="P3601" t="s">
        <v>53</v>
      </c>
      <c r="Q3601" t="s">
        <v>53</v>
      </c>
    </row>
    <row r="3602" spans="1:17" x14ac:dyDescent="0.2">
      <c r="A3602" s="30" t="str">
        <f>IF(C3602&amp;G3602&amp;D3602&lt;&gt;'Funnel setup'!$K$3&amp;'Funnel setup'!$K$4&amp;'Funnel setup'!$K$5,".",IF(A3601=".",1,A3601+1))</f>
        <v>.</v>
      </c>
      <c r="B3602" s="431" t="str">
        <f t="shared" si="56"/>
        <v>Hip Replacement RevisionProviderTHE PRINCESS ALEXANDRA HOSPITAL NHS TRUST (RQW)Oxford Hip Score</v>
      </c>
      <c r="C3602" t="s">
        <v>247</v>
      </c>
      <c r="D3602" t="s">
        <v>1</v>
      </c>
      <c r="E3602" t="s">
        <v>3751</v>
      </c>
      <c r="F3602" t="s">
        <v>3752</v>
      </c>
      <c r="G3602" t="s">
        <v>14</v>
      </c>
      <c r="H3602">
        <v>8</v>
      </c>
      <c r="I3602">
        <v>17.375</v>
      </c>
      <c r="J3602">
        <v>26.125</v>
      </c>
      <c r="K3602">
        <v>8.75</v>
      </c>
      <c r="L3602">
        <v>7</v>
      </c>
      <c r="M3602">
        <v>0</v>
      </c>
      <c r="N3602">
        <v>1</v>
      </c>
      <c r="O3602" t="s">
        <v>53</v>
      </c>
      <c r="P3602" t="s">
        <v>53</v>
      </c>
      <c r="Q3602" t="s">
        <v>53</v>
      </c>
    </row>
    <row r="3603" spans="1:17" x14ac:dyDescent="0.2">
      <c r="A3603" s="30" t="str">
        <f>IF(C3603&amp;G3603&amp;D3603&lt;&gt;'Funnel setup'!$K$3&amp;'Funnel setup'!$K$4&amp;'Funnel setup'!$K$5,".",IF(A3602=".",1,A3602+1))</f>
        <v>.</v>
      </c>
      <c r="B3603" s="431" t="str">
        <f t="shared" si="56"/>
        <v>Hip Replacement RevisionProviderTHE QUEEN ELIZABETH HOSPITAL, KING'S LYNN, NHS FOUNDATION TRUST (RCX)Oxford Hip Score</v>
      </c>
      <c r="C3603" t="s">
        <v>247</v>
      </c>
      <c r="D3603" t="s">
        <v>1</v>
      </c>
      <c r="E3603" t="s">
        <v>3754</v>
      </c>
      <c r="F3603" t="s">
        <v>3755</v>
      </c>
      <c r="G3603" t="s">
        <v>14</v>
      </c>
      <c r="H3603">
        <v>9</v>
      </c>
      <c r="I3603">
        <v>20</v>
      </c>
      <c r="J3603">
        <v>35.889000000000003</v>
      </c>
      <c r="K3603">
        <v>15.888999999999999</v>
      </c>
      <c r="L3603">
        <v>8</v>
      </c>
      <c r="M3603">
        <v>0</v>
      </c>
      <c r="N3603">
        <v>1</v>
      </c>
      <c r="O3603" t="s">
        <v>53</v>
      </c>
      <c r="P3603" t="s">
        <v>53</v>
      </c>
      <c r="Q3603" t="s">
        <v>53</v>
      </c>
    </row>
    <row r="3604" spans="1:17" x14ac:dyDescent="0.2">
      <c r="A3604" s="30" t="str">
        <f>IF(C3604&amp;G3604&amp;D3604&lt;&gt;'Funnel setup'!$K$3&amp;'Funnel setup'!$K$4&amp;'Funnel setup'!$K$5,".",IF(A3603=".",1,A3603+1))</f>
        <v>.</v>
      </c>
      <c r="B3604" s="431" t="str">
        <f t="shared" si="56"/>
        <v>Hip Replacement RevisionProviderTHE ROBERT JONES AND AGNES HUNT ORTHOPAEDIC HOSPITAL NHS FOUNDATION TRUST (RL1)Oxford Hip Score</v>
      </c>
      <c r="C3604" t="s">
        <v>247</v>
      </c>
      <c r="D3604" t="s">
        <v>1</v>
      </c>
      <c r="E3604" t="s">
        <v>4496</v>
      </c>
      <c r="F3604" t="s">
        <v>4497</v>
      </c>
      <c r="G3604" t="s">
        <v>14</v>
      </c>
      <c r="H3604">
        <v>66</v>
      </c>
      <c r="I3604">
        <v>19.818000000000001</v>
      </c>
      <c r="J3604">
        <v>32.152000000000001</v>
      </c>
      <c r="K3604">
        <v>12.333</v>
      </c>
      <c r="L3604">
        <v>54</v>
      </c>
      <c r="M3604">
        <v>4</v>
      </c>
      <c r="N3604">
        <v>8</v>
      </c>
      <c r="O3604">
        <v>29.463000000000001</v>
      </c>
      <c r="P3604">
        <v>8.5884646379999996</v>
      </c>
      <c r="Q3604">
        <v>9.8209999999999997</v>
      </c>
    </row>
    <row r="3605" spans="1:17" x14ac:dyDescent="0.2">
      <c r="A3605" s="30" t="str">
        <f>IF(C3605&amp;G3605&amp;D3605&lt;&gt;'Funnel setup'!$K$3&amp;'Funnel setup'!$K$4&amp;'Funnel setup'!$K$5,".",IF(A3604=".",1,A3604+1))</f>
        <v>.</v>
      </c>
      <c r="B3605" s="431" t="str">
        <f t="shared" si="56"/>
        <v>Hip Replacement RevisionProviderTHE ROTHERHAM NHS FOUNDATION TRUST (RFR)Oxford Hip Score</v>
      </c>
      <c r="C3605" t="s">
        <v>247</v>
      </c>
      <c r="D3605" t="s">
        <v>1</v>
      </c>
      <c r="E3605" t="s">
        <v>3739</v>
      </c>
      <c r="F3605" t="s">
        <v>3740</v>
      </c>
      <c r="G3605" t="s">
        <v>14</v>
      </c>
      <c r="H3605">
        <v>18</v>
      </c>
      <c r="I3605">
        <v>20.888999999999999</v>
      </c>
      <c r="J3605">
        <v>35.889000000000003</v>
      </c>
      <c r="K3605">
        <v>15</v>
      </c>
      <c r="L3605">
        <v>17</v>
      </c>
      <c r="M3605">
        <v>0</v>
      </c>
      <c r="N3605">
        <v>1</v>
      </c>
      <c r="O3605" t="s">
        <v>53</v>
      </c>
      <c r="P3605" t="s">
        <v>53</v>
      </c>
      <c r="Q3605" t="s">
        <v>53</v>
      </c>
    </row>
    <row r="3606" spans="1:17" x14ac:dyDescent="0.2">
      <c r="A3606" s="30" t="str">
        <f>IF(C3606&amp;G3606&amp;D3606&lt;&gt;'Funnel setup'!$K$3&amp;'Funnel setup'!$K$4&amp;'Funnel setup'!$K$5,".",IF(A3605=".",1,A3605+1))</f>
        <v>.</v>
      </c>
      <c r="B3606" s="431" t="str">
        <f t="shared" si="56"/>
        <v>Hip Replacement RevisionProviderTHE ROYAL BOURNEMOUTH AND CHRISTCHURCH HOSPITALS NHS FOUNDATION TRUST (RDZ)Oxford Hip Score</v>
      </c>
      <c r="C3606" t="s">
        <v>247</v>
      </c>
      <c r="D3606" t="s">
        <v>1</v>
      </c>
      <c r="E3606" t="s">
        <v>3742</v>
      </c>
      <c r="F3606" t="s">
        <v>3743</v>
      </c>
      <c r="G3606" t="s">
        <v>14</v>
      </c>
      <c r="H3606" t="s">
        <v>53</v>
      </c>
      <c r="I3606" t="s">
        <v>53</v>
      </c>
      <c r="J3606" t="s">
        <v>53</v>
      </c>
      <c r="K3606" t="s">
        <v>53</v>
      </c>
      <c r="L3606" t="s">
        <v>53</v>
      </c>
      <c r="M3606" t="s">
        <v>53</v>
      </c>
      <c r="N3606" t="s">
        <v>53</v>
      </c>
      <c r="O3606" t="s">
        <v>53</v>
      </c>
      <c r="P3606" t="s">
        <v>53</v>
      </c>
      <c r="Q3606" t="s">
        <v>53</v>
      </c>
    </row>
    <row r="3607" spans="1:17" x14ac:dyDescent="0.2">
      <c r="A3607" s="30" t="str">
        <f>IF(C3607&amp;G3607&amp;D3607&lt;&gt;'Funnel setup'!$K$3&amp;'Funnel setup'!$K$4&amp;'Funnel setup'!$K$5,".",IF(A3606=".",1,A3606+1))</f>
        <v>.</v>
      </c>
      <c r="B3607" s="431" t="str">
        <f t="shared" si="56"/>
        <v>Hip Replacement RevisionProviderTHE ROYAL ORTHOPAEDIC HOSPITAL NHS FOUNDATION TRUST (RRJ)Oxford Hip Score</v>
      </c>
      <c r="C3607" t="s">
        <v>247</v>
      </c>
      <c r="D3607" t="s">
        <v>1</v>
      </c>
      <c r="E3607" t="s">
        <v>4480</v>
      </c>
      <c r="F3607" t="s">
        <v>4481</v>
      </c>
      <c r="G3607" t="s">
        <v>14</v>
      </c>
      <c r="H3607">
        <v>66</v>
      </c>
      <c r="I3607">
        <v>23.908999999999999</v>
      </c>
      <c r="J3607">
        <v>36.439</v>
      </c>
      <c r="K3607">
        <v>12.53</v>
      </c>
      <c r="L3607">
        <v>59</v>
      </c>
      <c r="M3607">
        <v>0</v>
      </c>
      <c r="N3607">
        <v>7</v>
      </c>
      <c r="O3607">
        <v>35.881999999999998</v>
      </c>
      <c r="P3607">
        <v>15.0074585</v>
      </c>
      <c r="Q3607">
        <v>9</v>
      </c>
    </row>
    <row r="3608" spans="1:17" x14ac:dyDescent="0.2">
      <c r="A3608" s="30" t="str">
        <f>IF(C3608&amp;G3608&amp;D3608&lt;&gt;'Funnel setup'!$K$3&amp;'Funnel setup'!$K$4&amp;'Funnel setup'!$K$5,".",IF(A3607=".",1,A3607+1))</f>
        <v>.</v>
      </c>
      <c r="B3608" s="431" t="str">
        <f t="shared" si="56"/>
        <v>Hip Replacement RevisionProviderTHE ROYAL WOLVERHAMPTON NHS TRUST (RL4)Oxford Hip Score</v>
      </c>
      <c r="C3608" t="s">
        <v>247</v>
      </c>
      <c r="D3608" t="s">
        <v>1</v>
      </c>
      <c r="E3608" t="s">
        <v>3382</v>
      </c>
      <c r="F3608" t="s">
        <v>3383</v>
      </c>
      <c r="G3608" t="s">
        <v>14</v>
      </c>
      <c r="H3608">
        <v>11</v>
      </c>
      <c r="I3608">
        <v>20.727</v>
      </c>
      <c r="J3608">
        <v>33.454999999999998</v>
      </c>
      <c r="K3608">
        <v>12.727</v>
      </c>
      <c r="L3608">
        <v>10</v>
      </c>
      <c r="M3608">
        <v>0</v>
      </c>
      <c r="N3608">
        <v>1</v>
      </c>
      <c r="O3608" t="s">
        <v>53</v>
      </c>
      <c r="P3608" t="s">
        <v>53</v>
      </c>
      <c r="Q3608" t="s">
        <v>53</v>
      </c>
    </row>
    <row r="3609" spans="1:17" x14ac:dyDescent="0.2">
      <c r="A3609" s="30" t="str">
        <f>IF(C3609&amp;G3609&amp;D3609&lt;&gt;'Funnel setup'!$K$3&amp;'Funnel setup'!$K$4&amp;'Funnel setup'!$K$5,".",IF(A3608=".",1,A3608+1))</f>
        <v>.</v>
      </c>
      <c r="B3609" s="431" t="str">
        <f t="shared" si="56"/>
        <v>Hip Replacement RevisionProviderTHE YORKSHIRE CLINIC (NVC20)Oxford Hip Score</v>
      </c>
      <c r="C3609" t="s">
        <v>247</v>
      </c>
      <c r="D3609" t="s">
        <v>1</v>
      </c>
      <c r="E3609" t="s">
        <v>3760</v>
      </c>
      <c r="F3609" t="s">
        <v>3761</v>
      </c>
      <c r="G3609" t="s">
        <v>14</v>
      </c>
      <c r="H3609" t="s">
        <v>53</v>
      </c>
      <c r="I3609" t="s">
        <v>53</v>
      </c>
      <c r="J3609" t="s">
        <v>53</v>
      </c>
      <c r="K3609" t="s">
        <v>53</v>
      </c>
      <c r="L3609" t="s">
        <v>53</v>
      </c>
      <c r="M3609" t="s">
        <v>53</v>
      </c>
      <c r="N3609" t="s">
        <v>53</v>
      </c>
      <c r="O3609" t="s">
        <v>53</v>
      </c>
      <c r="P3609" t="s">
        <v>53</v>
      </c>
      <c r="Q3609" t="s">
        <v>53</v>
      </c>
    </row>
    <row r="3610" spans="1:17" x14ac:dyDescent="0.2">
      <c r="A3610" s="30" t="str">
        <f>IF(C3610&amp;G3610&amp;D3610&lt;&gt;'Funnel setup'!$K$3&amp;'Funnel setup'!$K$4&amp;'Funnel setup'!$K$5,".",IF(A3609=".",1,A3609+1))</f>
        <v>.</v>
      </c>
      <c r="B3610" s="431" t="str">
        <f t="shared" si="56"/>
        <v>Hip Replacement RevisionProviderTORBAY AND SOUTH DEVON NHS FOUNDATION TRUST (RA9)Oxford Hip Score</v>
      </c>
      <c r="C3610" t="s">
        <v>247</v>
      </c>
      <c r="D3610" t="s">
        <v>1</v>
      </c>
      <c r="E3610" t="s">
        <v>3480</v>
      </c>
      <c r="F3610" t="s">
        <v>6584</v>
      </c>
      <c r="G3610" t="s">
        <v>14</v>
      </c>
      <c r="H3610">
        <v>26</v>
      </c>
      <c r="I3610">
        <v>23.654</v>
      </c>
      <c r="J3610">
        <v>34.923000000000002</v>
      </c>
      <c r="K3610">
        <v>11.269</v>
      </c>
      <c r="L3610">
        <v>18</v>
      </c>
      <c r="M3610">
        <v>3</v>
      </c>
      <c r="N3610">
        <v>5</v>
      </c>
      <c r="O3610" t="s">
        <v>53</v>
      </c>
      <c r="P3610" t="s">
        <v>53</v>
      </c>
      <c r="Q3610" t="s">
        <v>53</v>
      </c>
    </row>
    <row r="3611" spans="1:17" x14ac:dyDescent="0.2">
      <c r="A3611" s="30" t="str">
        <f>IF(C3611&amp;G3611&amp;D3611&lt;&gt;'Funnel setup'!$K$3&amp;'Funnel setup'!$K$4&amp;'Funnel setup'!$K$5,".",IF(A3610=".",1,A3610+1))</f>
        <v>.</v>
      </c>
      <c r="B3611" s="431" t="str">
        <f t="shared" si="56"/>
        <v>Hip Replacement RevisionProviderUNITED LINCOLNSHIRE HOSPITALS NHS TRUST (RWD)Oxford Hip Score</v>
      </c>
      <c r="C3611" t="s">
        <v>247</v>
      </c>
      <c r="D3611" t="s">
        <v>1</v>
      </c>
      <c r="E3611" t="s">
        <v>3763</v>
      </c>
      <c r="F3611" t="s">
        <v>3764</v>
      </c>
      <c r="G3611" t="s">
        <v>14</v>
      </c>
      <c r="H3611">
        <v>18</v>
      </c>
      <c r="I3611">
        <v>22.056000000000001</v>
      </c>
      <c r="J3611">
        <v>30.777999999999999</v>
      </c>
      <c r="K3611">
        <v>8.7219999999999995</v>
      </c>
      <c r="L3611">
        <v>14</v>
      </c>
      <c r="M3611">
        <v>1</v>
      </c>
      <c r="N3611">
        <v>3</v>
      </c>
      <c r="O3611" t="s">
        <v>53</v>
      </c>
      <c r="P3611" t="s">
        <v>53</v>
      </c>
      <c r="Q3611" t="s">
        <v>53</v>
      </c>
    </row>
    <row r="3612" spans="1:17" x14ac:dyDescent="0.2">
      <c r="A3612" s="30" t="str">
        <f>IF(C3612&amp;G3612&amp;D3612&lt;&gt;'Funnel setup'!$K$3&amp;'Funnel setup'!$K$4&amp;'Funnel setup'!$K$5,".",IF(A3611=".",1,A3611+1))</f>
        <v>.</v>
      </c>
      <c r="B3612" s="431" t="str">
        <f t="shared" si="56"/>
        <v>Hip Replacement RevisionProviderUNIVERSITY COLLEGE LONDON HOSPITALS NHS FOUNDATION TRUST (RRV)Oxford Hip Score</v>
      </c>
      <c r="C3612" t="s">
        <v>247</v>
      </c>
      <c r="D3612" t="s">
        <v>1</v>
      </c>
      <c r="E3612" t="s">
        <v>3766</v>
      </c>
      <c r="F3612" t="s">
        <v>3767</v>
      </c>
      <c r="G3612" t="s">
        <v>14</v>
      </c>
      <c r="H3612">
        <v>7</v>
      </c>
      <c r="I3612">
        <v>28.571000000000002</v>
      </c>
      <c r="J3612">
        <v>43</v>
      </c>
      <c r="K3612">
        <v>14.429</v>
      </c>
      <c r="L3612">
        <v>6</v>
      </c>
      <c r="M3612">
        <v>0</v>
      </c>
      <c r="N3612">
        <v>1</v>
      </c>
      <c r="O3612" t="s">
        <v>53</v>
      </c>
      <c r="P3612" t="s">
        <v>53</v>
      </c>
      <c r="Q3612" t="s">
        <v>53</v>
      </c>
    </row>
    <row r="3613" spans="1:17" x14ac:dyDescent="0.2">
      <c r="A3613" s="30" t="str">
        <f>IF(C3613&amp;G3613&amp;D3613&lt;&gt;'Funnel setup'!$K$3&amp;'Funnel setup'!$K$4&amp;'Funnel setup'!$K$5,".",IF(A3612=".",1,A3612+1))</f>
        <v>.</v>
      </c>
      <c r="B3613" s="431" t="str">
        <f t="shared" si="56"/>
        <v>Hip Replacement RevisionProviderUNIVERSITY HOSPITAL OF SOUTH MANCHESTER NHS FOUNDATION TRUST (RM2)Oxford Hip Score</v>
      </c>
      <c r="C3613" t="s">
        <v>247</v>
      </c>
      <c r="D3613" t="s">
        <v>1</v>
      </c>
      <c r="E3613" t="s">
        <v>3769</v>
      </c>
      <c r="F3613" t="s">
        <v>3770</v>
      </c>
      <c r="G3613" t="s">
        <v>14</v>
      </c>
      <c r="H3613" t="s">
        <v>53</v>
      </c>
      <c r="I3613" t="s">
        <v>53</v>
      </c>
      <c r="J3613" t="s">
        <v>53</v>
      </c>
      <c r="K3613" t="s">
        <v>53</v>
      </c>
      <c r="L3613" t="s">
        <v>53</v>
      </c>
      <c r="M3613" t="s">
        <v>53</v>
      </c>
      <c r="N3613" t="s">
        <v>53</v>
      </c>
      <c r="O3613" t="s">
        <v>53</v>
      </c>
      <c r="P3613" t="s">
        <v>53</v>
      </c>
      <c r="Q3613" t="s">
        <v>53</v>
      </c>
    </row>
    <row r="3614" spans="1:17" x14ac:dyDescent="0.2">
      <c r="A3614" s="30" t="str">
        <f>IF(C3614&amp;G3614&amp;D3614&lt;&gt;'Funnel setup'!$K$3&amp;'Funnel setup'!$K$4&amp;'Funnel setup'!$K$5,".",IF(A3613=".",1,A3613+1))</f>
        <v>.</v>
      </c>
      <c r="B3614" s="431" t="str">
        <f t="shared" si="56"/>
        <v>Hip Replacement RevisionProviderUNIVERSITY HOSPITAL SOUTHAMPTON NHS FOUNDATION TRUST (RHM)Oxford Hip Score</v>
      </c>
      <c r="C3614" t="s">
        <v>247</v>
      </c>
      <c r="D3614" t="s">
        <v>1</v>
      </c>
      <c r="E3614" t="s">
        <v>3772</v>
      </c>
      <c r="F3614" t="s">
        <v>3773</v>
      </c>
      <c r="G3614" t="s">
        <v>14</v>
      </c>
      <c r="H3614">
        <v>30</v>
      </c>
      <c r="I3614">
        <v>20.667000000000002</v>
      </c>
      <c r="J3614">
        <v>34.6</v>
      </c>
      <c r="K3614">
        <v>13.933</v>
      </c>
      <c r="L3614">
        <v>27</v>
      </c>
      <c r="M3614">
        <v>0</v>
      </c>
      <c r="N3614">
        <v>3</v>
      </c>
      <c r="O3614">
        <v>35.652999999999999</v>
      </c>
      <c r="P3614">
        <v>14.777998269999999</v>
      </c>
      <c r="Q3614">
        <v>10.279</v>
      </c>
    </row>
    <row r="3615" spans="1:17" x14ac:dyDescent="0.2">
      <c r="A3615" s="30" t="str">
        <f>IF(C3615&amp;G3615&amp;D3615&lt;&gt;'Funnel setup'!$K$3&amp;'Funnel setup'!$K$4&amp;'Funnel setup'!$K$5,".",IF(A3614=".",1,A3614+1))</f>
        <v>.</v>
      </c>
      <c r="B3615" s="431" t="str">
        <f t="shared" si="56"/>
        <v>Hip Replacement RevisionProviderUNIVERSITY HOSPITALS COVENTRY AND WARWICKSHIRE NHS TRUST (RKB)Oxford Hip Score</v>
      </c>
      <c r="C3615" t="s">
        <v>247</v>
      </c>
      <c r="D3615" t="s">
        <v>1</v>
      </c>
      <c r="E3615" t="s">
        <v>3715</v>
      </c>
      <c r="F3615" t="s">
        <v>3716</v>
      </c>
      <c r="G3615" t="s">
        <v>14</v>
      </c>
      <c r="H3615">
        <v>13</v>
      </c>
      <c r="I3615">
        <v>20.308</v>
      </c>
      <c r="J3615">
        <v>36.231000000000002</v>
      </c>
      <c r="K3615">
        <v>15.923</v>
      </c>
      <c r="L3615">
        <v>11</v>
      </c>
      <c r="M3615">
        <v>0</v>
      </c>
      <c r="N3615">
        <v>2</v>
      </c>
      <c r="O3615" t="s">
        <v>53</v>
      </c>
      <c r="P3615" t="s">
        <v>53</v>
      </c>
      <c r="Q3615" t="s">
        <v>53</v>
      </c>
    </row>
    <row r="3616" spans="1:17" x14ac:dyDescent="0.2">
      <c r="A3616" s="30" t="str">
        <f>IF(C3616&amp;G3616&amp;D3616&lt;&gt;'Funnel setup'!$K$3&amp;'Funnel setup'!$K$4&amp;'Funnel setup'!$K$5,".",IF(A3615=".",1,A3615+1))</f>
        <v>.</v>
      </c>
      <c r="B3616" s="431" t="str">
        <f t="shared" si="56"/>
        <v>Hip Replacement RevisionProviderUNIVERSITY HOSPITALS OF LEICESTER NHS TRUST (RWE)Oxford Hip Score</v>
      </c>
      <c r="C3616" t="s">
        <v>247</v>
      </c>
      <c r="D3616" t="s">
        <v>1</v>
      </c>
      <c r="E3616" t="s">
        <v>3718</v>
      </c>
      <c r="F3616" t="s">
        <v>3719</v>
      </c>
      <c r="G3616" t="s">
        <v>14</v>
      </c>
      <c r="H3616">
        <v>37</v>
      </c>
      <c r="I3616">
        <v>18.838000000000001</v>
      </c>
      <c r="J3616">
        <v>32.459000000000003</v>
      </c>
      <c r="K3616">
        <v>13.622</v>
      </c>
      <c r="L3616">
        <v>35</v>
      </c>
      <c r="M3616">
        <v>0</v>
      </c>
      <c r="N3616">
        <v>2</v>
      </c>
      <c r="O3616">
        <v>32.61</v>
      </c>
      <c r="P3616">
        <v>11.735372119999999</v>
      </c>
      <c r="Q3616">
        <v>9.2170000000000005</v>
      </c>
    </row>
    <row r="3617" spans="1:17" x14ac:dyDescent="0.2">
      <c r="A3617" s="30" t="str">
        <f>IF(C3617&amp;G3617&amp;D3617&lt;&gt;'Funnel setup'!$K$3&amp;'Funnel setup'!$K$4&amp;'Funnel setup'!$K$5,".",IF(A3616=".",1,A3616+1))</f>
        <v>.</v>
      </c>
      <c r="B3617" s="431" t="str">
        <f t="shared" si="56"/>
        <v>Hip Replacement RevisionProviderUNIVERSITY HOSPITALS OF MORECAMBE BAY NHS FOUNDATION TRUST (RTX)Oxford Hip Score</v>
      </c>
      <c r="C3617" t="s">
        <v>247</v>
      </c>
      <c r="D3617" t="s">
        <v>1</v>
      </c>
      <c r="E3617" t="s">
        <v>3721</v>
      </c>
      <c r="F3617" t="s">
        <v>3722</v>
      </c>
      <c r="G3617" t="s">
        <v>14</v>
      </c>
      <c r="H3617">
        <v>16</v>
      </c>
      <c r="I3617">
        <v>16.437999999999999</v>
      </c>
      <c r="J3617">
        <v>31.375</v>
      </c>
      <c r="K3617">
        <v>14.938000000000001</v>
      </c>
      <c r="L3617">
        <v>14</v>
      </c>
      <c r="M3617">
        <v>0</v>
      </c>
      <c r="N3617">
        <v>2</v>
      </c>
      <c r="O3617" t="s">
        <v>53</v>
      </c>
      <c r="P3617" t="s">
        <v>53</v>
      </c>
      <c r="Q3617" t="s">
        <v>53</v>
      </c>
    </row>
    <row r="3618" spans="1:17" x14ac:dyDescent="0.2">
      <c r="A3618" s="30" t="str">
        <f>IF(C3618&amp;G3618&amp;D3618&lt;&gt;'Funnel setup'!$K$3&amp;'Funnel setup'!$K$4&amp;'Funnel setup'!$K$5,".",IF(A3617=".",1,A3617+1))</f>
        <v>.</v>
      </c>
      <c r="B3618" s="431" t="str">
        <f t="shared" si="56"/>
        <v>Hip Replacement RevisionProviderUNIVERSITY HOSPITALS OF NORTH MIDLANDS NHS TRUST (RJE)Oxford Hip Score</v>
      </c>
      <c r="C3618" t="s">
        <v>247</v>
      </c>
      <c r="D3618" t="s">
        <v>1</v>
      </c>
      <c r="E3618" t="s">
        <v>3724</v>
      </c>
      <c r="F3618" t="s">
        <v>3725</v>
      </c>
      <c r="G3618" t="s">
        <v>14</v>
      </c>
      <c r="H3618">
        <v>10</v>
      </c>
      <c r="I3618">
        <v>12.5</v>
      </c>
      <c r="J3618">
        <v>30</v>
      </c>
      <c r="K3618">
        <v>17.5</v>
      </c>
      <c r="L3618">
        <v>10</v>
      </c>
      <c r="M3618">
        <v>0</v>
      </c>
      <c r="N3618">
        <v>0</v>
      </c>
      <c r="O3618" t="s">
        <v>53</v>
      </c>
      <c r="P3618" t="s">
        <v>53</v>
      </c>
      <c r="Q3618" t="s">
        <v>53</v>
      </c>
    </row>
    <row r="3619" spans="1:17" x14ac:dyDescent="0.2">
      <c r="A3619" s="30" t="str">
        <f>IF(C3619&amp;G3619&amp;D3619&lt;&gt;'Funnel setup'!$K$3&amp;'Funnel setup'!$K$4&amp;'Funnel setup'!$K$5,".",IF(A3618=".",1,A3618+1))</f>
        <v>.</v>
      </c>
      <c r="B3619" s="431" t="str">
        <f t="shared" si="56"/>
        <v>Hip Replacement RevisionProviderWALSALL HEALTHCARE NHS TRUST (RBK)Oxford Hip Score</v>
      </c>
      <c r="C3619" t="s">
        <v>247</v>
      </c>
      <c r="D3619" t="s">
        <v>1</v>
      </c>
      <c r="E3619" t="s">
        <v>3727</v>
      </c>
      <c r="F3619" t="s">
        <v>3728</v>
      </c>
      <c r="G3619" t="s">
        <v>14</v>
      </c>
      <c r="H3619">
        <v>12</v>
      </c>
      <c r="I3619">
        <v>17.75</v>
      </c>
      <c r="J3619">
        <v>27.417000000000002</v>
      </c>
      <c r="K3619">
        <v>9.6669999999999998</v>
      </c>
      <c r="L3619">
        <v>9</v>
      </c>
      <c r="M3619">
        <v>0</v>
      </c>
      <c r="N3619">
        <v>3</v>
      </c>
      <c r="O3619" t="s">
        <v>53</v>
      </c>
      <c r="P3619" t="s">
        <v>53</v>
      </c>
      <c r="Q3619" t="s">
        <v>53</v>
      </c>
    </row>
    <row r="3620" spans="1:17" x14ac:dyDescent="0.2">
      <c r="A3620" s="30" t="str">
        <f>IF(C3620&amp;G3620&amp;D3620&lt;&gt;'Funnel setup'!$K$3&amp;'Funnel setup'!$K$4&amp;'Funnel setup'!$K$5,".",IF(A3619=".",1,A3619+1))</f>
        <v>.</v>
      </c>
      <c r="B3620" s="431" t="str">
        <f t="shared" si="56"/>
        <v>Hip Replacement RevisionProviderWARRINGTON AND HALTON HOSPITALS NHS FOUNDATION TRUST (RWW)Oxford Hip Score</v>
      </c>
      <c r="C3620" t="s">
        <v>247</v>
      </c>
      <c r="D3620" t="s">
        <v>1</v>
      </c>
      <c r="E3620" t="s">
        <v>3730</v>
      </c>
      <c r="F3620" t="s">
        <v>3731</v>
      </c>
      <c r="G3620" t="s">
        <v>14</v>
      </c>
      <c r="H3620">
        <v>13</v>
      </c>
      <c r="I3620">
        <v>20.614999999999998</v>
      </c>
      <c r="J3620">
        <v>33.615000000000002</v>
      </c>
      <c r="K3620">
        <v>13</v>
      </c>
      <c r="L3620">
        <v>12</v>
      </c>
      <c r="M3620">
        <v>0</v>
      </c>
      <c r="N3620">
        <v>1</v>
      </c>
      <c r="O3620" t="s">
        <v>53</v>
      </c>
      <c r="P3620" t="s">
        <v>53</v>
      </c>
      <c r="Q3620" t="s">
        <v>53</v>
      </c>
    </row>
    <row r="3621" spans="1:17" x14ac:dyDescent="0.2">
      <c r="A3621" s="30" t="str">
        <f>IF(C3621&amp;G3621&amp;D3621&lt;&gt;'Funnel setup'!$K$3&amp;'Funnel setup'!$K$4&amp;'Funnel setup'!$K$5,".",IF(A3620=".",1,A3620+1))</f>
        <v>.</v>
      </c>
      <c r="B3621" s="431" t="str">
        <f t="shared" si="56"/>
        <v>Hip Replacement RevisionProviderWEST HERTFORDSHIRE HOSPITALS NHS TRUST (RWG)Oxford Hip Score</v>
      </c>
      <c r="C3621" t="s">
        <v>247</v>
      </c>
      <c r="D3621" t="s">
        <v>1</v>
      </c>
      <c r="E3621" t="s">
        <v>3733</v>
      </c>
      <c r="F3621" t="s">
        <v>3734</v>
      </c>
      <c r="G3621" t="s">
        <v>14</v>
      </c>
      <c r="H3621">
        <v>11</v>
      </c>
      <c r="I3621">
        <v>14.635999999999999</v>
      </c>
      <c r="J3621">
        <v>30.091000000000001</v>
      </c>
      <c r="K3621">
        <v>15.455</v>
      </c>
      <c r="L3621">
        <v>10</v>
      </c>
      <c r="M3621">
        <v>0</v>
      </c>
      <c r="N3621">
        <v>1</v>
      </c>
      <c r="O3621" t="s">
        <v>53</v>
      </c>
      <c r="P3621" t="s">
        <v>53</v>
      </c>
      <c r="Q3621" t="s">
        <v>53</v>
      </c>
    </row>
    <row r="3622" spans="1:17" x14ac:dyDescent="0.2">
      <c r="A3622" s="30" t="str">
        <f>IF(C3622&amp;G3622&amp;D3622&lt;&gt;'Funnel setup'!$K$3&amp;'Funnel setup'!$K$4&amp;'Funnel setup'!$K$5,".",IF(A3621=".",1,A3621+1))</f>
        <v>.</v>
      </c>
      <c r="B3622" s="431" t="str">
        <f t="shared" si="56"/>
        <v>Hip Replacement RevisionProviderWEST MIDDLESEX UNIVERSITY HOSPITAL NHS TRUST (RFW)Oxford Hip Score</v>
      </c>
      <c r="C3622" t="s">
        <v>247</v>
      </c>
      <c r="D3622" t="s">
        <v>1</v>
      </c>
      <c r="E3622" t="s">
        <v>3736</v>
      </c>
      <c r="F3622" t="s">
        <v>3737</v>
      </c>
      <c r="G3622" t="s">
        <v>14</v>
      </c>
      <c r="H3622" t="s">
        <v>53</v>
      </c>
      <c r="I3622" t="s">
        <v>53</v>
      </c>
      <c r="J3622" t="s">
        <v>53</v>
      </c>
      <c r="K3622" t="s">
        <v>53</v>
      </c>
      <c r="L3622" t="s">
        <v>53</v>
      </c>
      <c r="M3622" t="s">
        <v>53</v>
      </c>
      <c r="N3622" t="s">
        <v>53</v>
      </c>
      <c r="O3622" t="s">
        <v>53</v>
      </c>
      <c r="P3622" t="s">
        <v>53</v>
      </c>
      <c r="Q3622" t="s">
        <v>53</v>
      </c>
    </row>
    <row r="3623" spans="1:17" x14ac:dyDescent="0.2">
      <c r="A3623" s="30" t="str">
        <f>IF(C3623&amp;G3623&amp;D3623&lt;&gt;'Funnel setup'!$K$3&amp;'Funnel setup'!$K$4&amp;'Funnel setup'!$K$5,".",IF(A3622=".",1,A3622+1))</f>
        <v>.</v>
      </c>
      <c r="B3623" s="431" t="str">
        <f t="shared" si="56"/>
        <v>Hip Replacement RevisionProviderWEST SUFFOLK NHS FOUNDATION TRUST (RGR)Oxford Hip Score</v>
      </c>
      <c r="C3623" t="s">
        <v>247</v>
      </c>
      <c r="D3623" t="s">
        <v>1</v>
      </c>
      <c r="E3623" t="s">
        <v>3712</v>
      </c>
      <c r="F3623" t="s">
        <v>3713</v>
      </c>
      <c r="G3623" t="s">
        <v>14</v>
      </c>
      <c r="H3623">
        <v>14</v>
      </c>
      <c r="I3623">
        <v>21.643000000000001</v>
      </c>
      <c r="J3623">
        <v>35.213999999999999</v>
      </c>
      <c r="K3623">
        <v>13.571</v>
      </c>
      <c r="L3623">
        <v>12</v>
      </c>
      <c r="M3623">
        <v>1</v>
      </c>
      <c r="N3623">
        <v>1</v>
      </c>
      <c r="O3623" t="s">
        <v>53</v>
      </c>
      <c r="P3623" t="s">
        <v>53</v>
      </c>
      <c r="Q3623" t="s">
        <v>53</v>
      </c>
    </row>
    <row r="3624" spans="1:17" x14ac:dyDescent="0.2">
      <c r="A3624" s="30" t="str">
        <f>IF(C3624&amp;G3624&amp;D3624&lt;&gt;'Funnel setup'!$K$3&amp;'Funnel setup'!$K$4&amp;'Funnel setup'!$K$5,".",IF(A3623=".",1,A3623+1))</f>
        <v>.</v>
      </c>
      <c r="B3624" s="431" t="str">
        <f t="shared" si="56"/>
        <v>Hip Replacement RevisionProviderWESTERN SUSSEX HOSPITALS NHS FOUNDATION TRUST (RYR)Oxford Hip Score</v>
      </c>
      <c r="C3624" t="s">
        <v>247</v>
      </c>
      <c r="D3624" t="s">
        <v>1</v>
      </c>
      <c r="E3624" t="s">
        <v>3706</v>
      </c>
      <c r="F3624" t="s">
        <v>3707</v>
      </c>
      <c r="G3624" t="s">
        <v>14</v>
      </c>
      <c r="H3624">
        <v>40</v>
      </c>
      <c r="I3624">
        <v>19.925000000000001</v>
      </c>
      <c r="J3624">
        <v>30.375</v>
      </c>
      <c r="K3624">
        <v>10.45</v>
      </c>
      <c r="L3624">
        <v>33</v>
      </c>
      <c r="M3624">
        <v>3</v>
      </c>
      <c r="N3624">
        <v>4</v>
      </c>
      <c r="O3624">
        <v>30.544</v>
      </c>
      <c r="P3624">
        <v>9.6692793609999992</v>
      </c>
      <c r="Q3624">
        <v>9.6370000000000005</v>
      </c>
    </row>
    <row r="3625" spans="1:17" x14ac:dyDescent="0.2">
      <c r="A3625" s="30" t="str">
        <f>IF(C3625&amp;G3625&amp;D3625&lt;&gt;'Funnel setup'!$K$3&amp;'Funnel setup'!$K$4&amp;'Funnel setup'!$K$5,".",IF(A3624=".",1,A3624+1))</f>
        <v>.</v>
      </c>
      <c r="B3625" s="431" t="str">
        <f t="shared" si="56"/>
        <v>Hip Replacement RevisionProviderWESTON AREA HEALTH NHS TRUST (RA3)Oxford Hip Score</v>
      </c>
      <c r="C3625" t="s">
        <v>247</v>
      </c>
      <c r="D3625" t="s">
        <v>1</v>
      </c>
      <c r="E3625" t="s">
        <v>3525</v>
      </c>
      <c r="F3625" t="s">
        <v>3526</v>
      </c>
      <c r="G3625" t="s">
        <v>14</v>
      </c>
      <c r="H3625">
        <v>10</v>
      </c>
      <c r="I3625">
        <v>27.7</v>
      </c>
      <c r="J3625">
        <v>36</v>
      </c>
      <c r="K3625">
        <v>8.3000000000000007</v>
      </c>
      <c r="L3625">
        <v>7</v>
      </c>
      <c r="M3625">
        <v>0</v>
      </c>
      <c r="N3625">
        <v>3</v>
      </c>
      <c r="O3625" t="s">
        <v>53</v>
      </c>
      <c r="P3625" t="s">
        <v>53</v>
      </c>
      <c r="Q3625" t="s">
        <v>53</v>
      </c>
    </row>
    <row r="3626" spans="1:17" x14ac:dyDescent="0.2">
      <c r="A3626" s="30" t="str">
        <f>IF(C3626&amp;G3626&amp;D3626&lt;&gt;'Funnel setup'!$K$3&amp;'Funnel setup'!$K$4&amp;'Funnel setup'!$K$5,".",IF(A3625=".",1,A3625+1))</f>
        <v>.</v>
      </c>
      <c r="B3626" s="431" t="str">
        <f t="shared" si="56"/>
        <v>Hip Replacement RevisionProviderWINFIELD HOSPITAL (NVC22)Oxford Hip Score</v>
      </c>
      <c r="C3626" t="s">
        <v>247</v>
      </c>
      <c r="D3626" t="s">
        <v>1</v>
      </c>
      <c r="E3626" t="s">
        <v>3534</v>
      </c>
      <c r="F3626" t="s">
        <v>3535</v>
      </c>
      <c r="G3626" t="s">
        <v>14</v>
      </c>
      <c r="H3626" t="s">
        <v>53</v>
      </c>
      <c r="I3626" t="s">
        <v>53</v>
      </c>
      <c r="J3626" t="s">
        <v>53</v>
      </c>
      <c r="K3626" t="s">
        <v>53</v>
      </c>
      <c r="L3626" t="s">
        <v>53</v>
      </c>
      <c r="M3626" t="s">
        <v>53</v>
      </c>
      <c r="N3626" t="s">
        <v>53</v>
      </c>
      <c r="O3626" t="s">
        <v>53</v>
      </c>
      <c r="P3626" t="s">
        <v>53</v>
      </c>
      <c r="Q3626" t="s">
        <v>53</v>
      </c>
    </row>
    <row r="3627" spans="1:17" x14ac:dyDescent="0.2">
      <c r="A3627" s="30" t="str">
        <f>IF(C3627&amp;G3627&amp;D3627&lt;&gt;'Funnel setup'!$K$3&amp;'Funnel setup'!$K$4&amp;'Funnel setup'!$K$5,".",IF(A3626=".",1,A3626+1))</f>
        <v>.</v>
      </c>
      <c r="B3627" s="431" t="str">
        <f t="shared" si="56"/>
        <v>Hip Replacement RevisionProviderWIRRAL UNIVERSITY TEACHING HOSPITAL NHS FOUNDATION TRUST (RBL)Oxford Hip Score</v>
      </c>
      <c r="C3627" t="s">
        <v>247</v>
      </c>
      <c r="D3627" t="s">
        <v>1</v>
      </c>
      <c r="E3627" t="s">
        <v>3537</v>
      </c>
      <c r="F3627" t="s">
        <v>3538</v>
      </c>
      <c r="G3627" t="s">
        <v>14</v>
      </c>
      <c r="H3627" t="s">
        <v>53</v>
      </c>
      <c r="I3627" t="s">
        <v>53</v>
      </c>
      <c r="J3627" t="s">
        <v>53</v>
      </c>
      <c r="K3627" t="s">
        <v>53</v>
      </c>
      <c r="L3627" t="s">
        <v>53</v>
      </c>
      <c r="M3627" t="s">
        <v>53</v>
      </c>
      <c r="N3627" t="s">
        <v>53</v>
      </c>
      <c r="O3627" t="s">
        <v>53</v>
      </c>
      <c r="P3627" t="s">
        <v>53</v>
      </c>
      <c r="Q3627" t="s">
        <v>53</v>
      </c>
    </row>
    <row r="3628" spans="1:17" x14ac:dyDescent="0.2">
      <c r="A3628" s="30" t="str">
        <f>IF(C3628&amp;G3628&amp;D3628&lt;&gt;'Funnel setup'!$K$3&amp;'Funnel setup'!$K$4&amp;'Funnel setup'!$K$5,".",IF(A3627=".",1,A3627+1))</f>
        <v>.</v>
      </c>
      <c r="B3628" s="431" t="str">
        <f t="shared" si="56"/>
        <v>Hip Replacement RevisionProviderWOODLAND HOSPITAL (NVC23)Oxford Hip Score</v>
      </c>
      <c r="C3628" t="s">
        <v>247</v>
      </c>
      <c r="D3628" t="s">
        <v>1</v>
      </c>
      <c r="E3628" t="s">
        <v>3540</v>
      </c>
      <c r="F3628" t="s">
        <v>3541</v>
      </c>
      <c r="G3628" t="s">
        <v>14</v>
      </c>
      <c r="H3628" t="s">
        <v>53</v>
      </c>
      <c r="I3628" t="s">
        <v>53</v>
      </c>
      <c r="J3628" t="s">
        <v>53</v>
      </c>
      <c r="K3628" t="s">
        <v>53</v>
      </c>
      <c r="L3628" t="s">
        <v>53</v>
      </c>
      <c r="M3628" t="s">
        <v>53</v>
      </c>
      <c r="N3628" t="s">
        <v>53</v>
      </c>
      <c r="O3628" t="s">
        <v>53</v>
      </c>
      <c r="P3628" t="s">
        <v>53</v>
      </c>
      <c r="Q3628" t="s">
        <v>53</v>
      </c>
    </row>
    <row r="3629" spans="1:17" x14ac:dyDescent="0.2">
      <c r="A3629" s="30" t="str">
        <f>IF(C3629&amp;G3629&amp;D3629&lt;&gt;'Funnel setup'!$K$3&amp;'Funnel setup'!$K$4&amp;'Funnel setup'!$K$5,".",IF(A3628=".",1,A3628+1))</f>
        <v>.</v>
      </c>
      <c r="B3629" s="431" t="str">
        <f t="shared" si="56"/>
        <v>Hip Replacement RevisionProviderWOODTHORPE HOSPITAL (NVC40)Oxford Hip Score</v>
      </c>
      <c r="C3629" t="s">
        <v>247</v>
      </c>
      <c r="D3629" t="s">
        <v>1</v>
      </c>
      <c r="E3629" t="s">
        <v>3689</v>
      </c>
      <c r="F3629" t="s">
        <v>6576</v>
      </c>
      <c r="G3629" t="s">
        <v>14</v>
      </c>
      <c r="H3629" t="s">
        <v>53</v>
      </c>
      <c r="I3629" t="s">
        <v>53</v>
      </c>
      <c r="J3629" t="s">
        <v>53</v>
      </c>
      <c r="K3629" t="s">
        <v>53</v>
      </c>
      <c r="L3629" t="s">
        <v>53</v>
      </c>
      <c r="M3629" t="s">
        <v>53</v>
      </c>
      <c r="N3629" t="s">
        <v>53</v>
      </c>
      <c r="O3629" t="s">
        <v>53</v>
      </c>
      <c r="P3629" t="s">
        <v>53</v>
      </c>
      <c r="Q3629" t="s">
        <v>53</v>
      </c>
    </row>
    <row r="3630" spans="1:17" x14ac:dyDescent="0.2">
      <c r="A3630" s="30" t="str">
        <f>IF(C3630&amp;G3630&amp;D3630&lt;&gt;'Funnel setup'!$K$3&amp;'Funnel setup'!$K$4&amp;'Funnel setup'!$K$5,".",IF(A3629=".",1,A3629+1))</f>
        <v>.</v>
      </c>
      <c r="B3630" s="431" t="str">
        <f t="shared" si="56"/>
        <v>Hip Replacement RevisionProviderWORCESTERSHIRE ACUTE HOSPITALS NHS TRUST (RWP)Oxford Hip Score</v>
      </c>
      <c r="C3630" t="s">
        <v>247</v>
      </c>
      <c r="D3630" t="s">
        <v>1</v>
      </c>
      <c r="E3630" t="s">
        <v>3543</v>
      </c>
      <c r="F3630" t="s">
        <v>3544</v>
      </c>
      <c r="G3630" t="s">
        <v>14</v>
      </c>
      <c r="H3630">
        <v>17</v>
      </c>
      <c r="I3630">
        <v>17.175999999999998</v>
      </c>
      <c r="J3630">
        <v>34.411999999999999</v>
      </c>
      <c r="K3630">
        <v>17.234999999999999</v>
      </c>
      <c r="L3630">
        <v>16</v>
      </c>
      <c r="M3630">
        <v>0</v>
      </c>
      <c r="N3630">
        <v>1</v>
      </c>
      <c r="O3630" t="s">
        <v>53</v>
      </c>
      <c r="P3630" t="s">
        <v>53</v>
      </c>
      <c r="Q3630" t="s">
        <v>53</v>
      </c>
    </row>
    <row r="3631" spans="1:17" x14ac:dyDescent="0.2">
      <c r="A3631" s="30" t="str">
        <f>IF(C3631&amp;G3631&amp;D3631&lt;&gt;'Funnel setup'!$K$3&amp;'Funnel setup'!$K$4&amp;'Funnel setup'!$K$5,".",IF(A3630=".",1,A3630+1))</f>
        <v>.</v>
      </c>
      <c r="B3631" s="431" t="str">
        <f t="shared" si="56"/>
        <v>Hip Replacement RevisionProviderWRIGHTINGTON, WIGAN AND LEIGH NHS FOUNDATION TRUST (RRF)Oxford Hip Score</v>
      </c>
      <c r="C3631" t="s">
        <v>247</v>
      </c>
      <c r="D3631" t="s">
        <v>1</v>
      </c>
      <c r="E3631" t="s">
        <v>3546</v>
      </c>
      <c r="F3631" t="s">
        <v>3547</v>
      </c>
      <c r="G3631" t="s">
        <v>14</v>
      </c>
      <c r="H3631">
        <v>46</v>
      </c>
      <c r="I3631">
        <v>19.173999999999999</v>
      </c>
      <c r="J3631">
        <v>30.13</v>
      </c>
      <c r="K3631">
        <v>10.957000000000001</v>
      </c>
      <c r="L3631">
        <v>38</v>
      </c>
      <c r="M3631">
        <v>1</v>
      </c>
      <c r="N3631">
        <v>7</v>
      </c>
      <c r="O3631">
        <v>31.556000000000001</v>
      </c>
      <c r="P3631">
        <v>10.68143572</v>
      </c>
      <c r="Q3631">
        <v>10.218</v>
      </c>
    </row>
    <row r="3632" spans="1:17" x14ac:dyDescent="0.2">
      <c r="A3632" s="30" t="str">
        <f>IF(C3632&amp;G3632&amp;D3632&lt;&gt;'Funnel setup'!$K$3&amp;'Funnel setup'!$K$4&amp;'Funnel setup'!$K$5,".",IF(A3631=".",1,A3631+1))</f>
        <v>.</v>
      </c>
      <c r="B3632" s="431" t="str">
        <f t="shared" si="56"/>
        <v>Hip Replacement RevisionProviderWYE VALLEY NHS TRUST (RLQ)Oxford Hip Score</v>
      </c>
      <c r="C3632" t="s">
        <v>247</v>
      </c>
      <c r="D3632" t="s">
        <v>1</v>
      </c>
      <c r="E3632" t="s">
        <v>3517</v>
      </c>
      <c r="F3632" t="s">
        <v>3518</v>
      </c>
      <c r="G3632" t="s">
        <v>14</v>
      </c>
      <c r="H3632">
        <v>9</v>
      </c>
      <c r="I3632">
        <v>18.443999999999999</v>
      </c>
      <c r="J3632">
        <v>37.444000000000003</v>
      </c>
      <c r="K3632">
        <v>19</v>
      </c>
      <c r="L3632">
        <v>9</v>
      </c>
      <c r="M3632">
        <v>0</v>
      </c>
      <c r="N3632">
        <v>0</v>
      </c>
      <c r="O3632" t="s">
        <v>53</v>
      </c>
      <c r="P3632" t="s">
        <v>53</v>
      </c>
      <c r="Q3632" t="s">
        <v>53</v>
      </c>
    </row>
    <row r="3633" spans="1:17" x14ac:dyDescent="0.2">
      <c r="A3633" s="30" t="str">
        <f>IF(C3633&amp;G3633&amp;D3633&lt;&gt;'Funnel setup'!$K$3&amp;'Funnel setup'!$K$4&amp;'Funnel setup'!$K$5,".",IF(A3632=".",1,A3632+1))</f>
        <v>.</v>
      </c>
      <c r="B3633" s="431" t="str">
        <f t="shared" si="56"/>
        <v>Hip Replacement RevisionProviderYEOVIL DISTRICT HOSPITAL NHS FOUNDATION TRUST (RA4)Oxford Hip Score</v>
      </c>
      <c r="C3633" t="s">
        <v>247</v>
      </c>
      <c r="D3633" t="s">
        <v>1</v>
      </c>
      <c r="E3633" t="s">
        <v>3520</v>
      </c>
      <c r="F3633" t="s">
        <v>341</v>
      </c>
      <c r="G3633" t="s">
        <v>14</v>
      </c>
      <c r="H3633">
        <v>7</v>
      </c>
      <c r="I3633">
        <v>22.713999999999999</v>
      </c>
      <c r="J3633">
        <v>34.429000000000002</v>
      </c>
      <c r="K3633">
        <v>11.714</v>
      </c>
      <c r="L3633">
        <v>6</v>
      </c>
      <c r="M3633">
        <v>0</v>
      </c>
      <c r="N3633">
        <v>1</v>
      </c>
      <c r="O3633" t="s">
        <v>53</v>
      </c>
      <c r="P3633" t="s">
        <v>53</v>
      </c>
      <c r="Q3633" t="s">
        <v>53</v>
      </c>
    </row>
    <row r="3634" spans="1:17" x14ac:dyDescent="0.2">
      <c r="A3634" s="30" t="str">
        <f>IF(C3634&amp;G3634&amp;D3634&lt;&gt;'Funnel setup'!$K$3&amp;'Funnel setup'!$K$4&amp;'Funnel setup'!$K$5,".",IF(A3633=".",1,A3633+1))</f>
        <v>.</v>
      </c>
      <c r="B3634" s="431" t="str">
        <f t="shared" si="56"/>
        <v>Hip Replacement RevisionProviderYORK TEACHING HOSPITAL NHS FOUNDATION TRUST (RCB)Oxford Hip Score</v>
      </c>
      <c r="C3634" t="s">
        <v>247</v>
      </c>
      <c r="D3634" t="s">
        <v>1</v>
      </c>
      <c r="E3634" t="s">
        <v>3515</v>
      </c>
      <c r="F3634" t="s">
        <v>343</v>
      </c>
      <c r="G3634" t="s">
        <v>14</v>
      </c>
      <c r="H3634">
        <v>38</v>
      </c>
      <c r="I3634">
        <v>23.446999999999999</v>
      </c>
      <c r="J3634">
        <v>35.5</v>
      </c>
      <c r="K3634">
        <v>12.053000000000001</v>
      </c>
      <c r="L3634">
        <v>34</v>
      </c>
      <c r="M3634">
        <v>1</v>
      </c>
      <c r="N3634">
        <v>3</v>
      </c>
      <c r="O3634">
        <v>34.381999999999998</v>
      </c>
      <c r="P3634">
        <v>13.50711675</v>
      </c>
      <c r="Q3634">
        <v>9.8379999999999992</v>
      </c>
    </row>
    <row r="3635" spans="1:17" x14ac:dyDescent="0.2">
      <c r="A3635" s="30" t="str">
        <f>IF(C3635&amp;G3635&amp;D3635&lt;&gt;'Funnel setup'!$K$3&amp;'Funnel setup'!$K$4&amp;'Funnel setup'!$K$5,".",IF(A3634=".",1,A3634+1))</f>
        <v>.</v>
      </c>
      <c r="B3635" s="431" t="str">
        <f t="shared" si="56"/>
        <v>Knee Replacement PrimaryCCG of GP PracticeNATIONAL COMMISSIONING HUB 1 (13Q)EQ VAS</v>
      </c>
      <c r="C3635" t="s">
        <v>249</v>
      </c>
      <c r="D3635" t="s">
        <v>87</v>
      </c>
      <c r="E3635" t="s">
        <v>563</v>
      </c>
      <c r="F3635" t="s">
        <v>564</v>
      </c>
      <c r="G3635" t="s">
        <v>179</v>
      </c>
      <c r="H3635" t="s">
        <v>53</v>
      </c>
      <c r="I3635" t="s">
        <v>53</v>
      </c>
      <c r="J3635" t="s">
        <v>53</v>
      </c>
      <c r="K3635" t="s">
        <v>53</v>
      </c>
      <c r="L3635" t="s">
        <v>53</v>
      </c>
      <c r="M3635" t="s">
        <v>53</v>
      </c>
      <c r="N3635" t="s">
        <v>53</v>
      </c>
      <c r="O3635" t="s">
        <v>53</v>
      </c>
      <c r="P3635" t="s">
        <v>53</v>
      </c>
      <c r="Q3635" t="s">
        <v>53</v>
      </c>
    </row>
    <row r="3636" spans="1:17" x14ac:dyDescent="0.2">
      <c r="A3636" s="30" t="str">
        <f>IF(C3636&amp;G3636&amp;D3636&lt;&gt;'Funnel setup'!$K$3&amp;'Funnel setup'!$K$4&amp;'Funnel setup'!$K$5,".",IF(A3635=".",1,A3635+1))</f>
        <v>.</v>
      </c>
      <c r="B3636" s="431" t="str">
        <f t="shared" si="56"/>
        <v>Knee Replacement PrimaryCCG of GP PracticeNHS AIREDALE, WHARFEDALE AND CRAVEN CCG (02N)EQ VAS</v>
      </c>
      <c r="C3636" t="s">
        <v>249</v>
      </c>
      <c r="D3636" t="s">
        <v>87</v>
      </c>
      <c r="E3636" t="s">
        <v>566</v>
      </c>
      <c r="F3636" t="s">
        <v>567</v>
      </c>
      <c r="G3636" t="s">
        <v>179</v>
      </c>
      <c r="H3636">
        <v>126</v>
      </c>
      <c r="I3636">
        <v>68.159000000000006</v>
      </c>
      <c r="J3636">
        <v>76.238</v>
      </c>
      <c r="K3636">
        <v>8.0790000000000006</v>
      </c>
      <c r="L3636">
        <v>74</v>
      </c>
      <c r="M3636">
        <v>15</v>
      </c>
      <c r="N3636">
        <v>37</v>
      </c>
      <c r="O3636">
        <v>74.795000000000002</v>
      </c>
      <c r="P3636">
        <v>6.1367414890000003</v>
      </c>
      <c r="Q3636">
        <v>14.243</v>
      </c>
    </row>
    <row r="3637" spans="1:17" x14ac:dyDescent="0.2">
      <c r="A3637" s="30" t="str">
        <f>IF(C3637&amp;G3637&amp;D3637&lt;&gt;'Funnel setup'!$K$3&amp;'Funnel setup'!$K$4&amp;'Funnel setup'!$K$5,".",IF(A3636=".",1,A3636+1))</f>
        <v>.</v>
      </c>
      <c r="B3637" s="431" t="str">
        <f t="shared" si="56"/>
        <v>Knee Replacement PrimaryCCG of GP PracticeNHS ASHFORD CCG (09C)EQ VAS</v>
      </c>
      <c r="C3637" t="s">
        <v>249</v>
      </c>
      <c r="D3637" t="s">
        <v>87</v>
      </c>
      <c r="E3637" t="s">
        <v>569</v>
      </c>
      <c r="F3637" t="s">
        <v>339</v>
      </c>
      <c r="G3637" t="s">
        <v>179</v>
      </c>
      <c r="H3637">
        <v>61</v>
      </c>
      <c r="I3637">
        <v>72.197000000000003</v>
      </c>
      <c r="J3637">
        <v>75.835999999999999</v>
      </c>
      <c r="K3637">
        <v>3.6389999999999998</v>
      </c>
      <c r="L3637">
        <v>22</v>
      </c>
      <c r="M3637">
        <v>13</v>
      </c>
      <c r="N3637">
        <v>26</v>
      </c>
      <c r="O3637">
        <v>74.622</v>
      </c>
      <c r="P3637">
        <v>5.9634060690000004</v>
      </c>
      <c r="Q3637">
        <v>13.413</v>
      </c>
    </row>
    <row r="3638" spans="1:17" x14ac:dyDescent="0.2">
      <c r="A3638" s="30" t="str">
        <f>IF(C3638&amp;G3638&amp;D3638&lt;&gt;'Funnel setup'!$K$3&amp;'Funnel setup'!$K$4&amp;'Funnel setup'!$K$5,".",IF(A3637=".",1,A3637+1))</f>
        <v>.</v>
      </c>
      <c r="B3638" s="431" t="str">
        <f t="shared" si="56"/>
        <v>Knee Replacement PrimaryCCG of GP PracticeNHS AYLESBURY VALE CCG (10Y)EQ VAS</v>
      </c>
      <c r="C3638" t="s">
        <v>249</v>
      </c>
      <c r="D3638" t="s">
        <v>87</v>
      </c>
      <c r="E3638" t="s">
        <v>571</v>
      </c>
      <c r="F3638" t="s">
        <v>572</v>
      </c>
      <c r="G3638" t="s">
        <v>179</v>
      </c>
      <c r="H3638">
        <v>129</v>
      </c>
      <c r="I3638">
        <v>69.884</v>
      </c>
      <c r="J3638">
        <v>76.534999999999997</v>
      </c>
      <c r="K3638">
        <v>6.6509999999999998</v>
      </c>
      <c r="L3638">
        <v>73</v>
      </c>
      <c r="M3638">
        <v>15</v>
      </c>
      <c r="N3638">
        <v>41</v>
      </c>
      <c r="O3638">
        <v>74.542000000000002</v>
      </c>
      <c r="P3638">
        <v>5.8840403300000004</v>
      </c>
      <c r="Q3638">
        <v>13.484</v>
      </c>
    </row>
    <row r="3639" spans="1:17" x14ac:dyDescent="0.2">
      <c r="A3639" s="30" t="str">
        <f>IF(C3639&amp;G3639&amp;D3639&lt;&gt;'Funnel setup'!$K$3&amp;'Funnel setup'!$K$4&amp;'Funnel setup'!$K$5,".",IF(A3638=".",1,A3638+1))</f>
        <v>.</v>
      </c>
      <c r="B3639" s="431" t="str">
        <f t="shared" si="56"/>
        <v>Knee Replacement PrimaryCCG of GP PracticeNHS BARKING AND DAGENHAM CCG (07L)EQ VAS</v>
      </c>
      <c r="C3639" t="s">
        <v>249</v>
      </c>
      <c r="D3639" t="s">
        <v>87</v>
      </c>
      <c r="E3639" t="s">
        <v>574</v>
      </c>
      <c r="F3639" t="s">
        <v>575</v>
      </c>
      <c r="G3639" t="s">
        <v>179</v>
      </c>
      <c r="H3639">
        <v>46</v>
      </c>
      <c r="I3639">
        <v>66.260999999999996</v>
      </c>
      <c r="J3639">
        <v>67.216999999999999</v>
      </c>
      <c r="K3639">
        <v>0.95699999999999996</v>
      </c>
      <c r="L3639">
        <v>17</v>
      </c>
      <c r="M3639">
        <v>7</v>
      </c>
      <c r="N3639">
        <v>22</v>
      </c>
      <c r="O3639">
        <v>71.489999999999995</v>
      </c>
      <c r="P3639">
        <v>2.8317659919999998</v>
      </c>
      <c r="Q3639">
        <v>16.306999999999999</v>
      </c>
    </row>
    <row r="3640" spans="1:17" x14ac:dyDescent="0.2">
      <c r="A3640" s="30" t="str">
        <f>IF(C3640&amp;G3640&amp;D3640&lt;&gt;'Funnel setup'!$K$3&amp;'Funnel setup'!$K$4&amp;'Funnel setup'!$K$5,".",IF(A3639=".",1,A3639+1))</f>
        <v>.</v>
      </c>
      <c r="B3640" s="431" t="str">
        <f t="shared" si="56"/>
        <v>Knee Replacement PrimaryCCG of GP PracticeNHS BARNET CCG (07M)EQ VAS</v>
      </c>
      <c r="C3640" t="s">
        <v>249</v>
      </c>
      <c r="D3640" t="s">
        <v>87</v>
      </c>
      <c r="E3640" t="s">
        <v>577</v>
      </c>
      <c r="F3640" t="s">
        <v>578</v>
      </c>
      <c r="G3640" t="s">
        <v>179</v>
      </c>
      <c r="H3640">
        <v>75</v>
      </c>
      <c r="I3640">
        <v>64.52</v>
      </c>
      <c r="J3640">
        <v>70.706999999999994</v>
      </c>
      <c r="K3640">
        <v>6.1870000000000003</v>
      </c>
      <c r="L3640">
        <v>41</v>
      </c>
      <c r="M3640">
        <v>6</v>
      </c>
      <c r="N3640">
        <v>28</v>
      </c>
      <c r="O3640">
        <v>72.665000000000006</v>
      </c>
      <c r="P3640">
        <v>4.0062319679999998</v>
      </c>
      <c r="Q3640">
        <v>15.829000000000001</v>
      </c>
    </row>
    <row r="3641" spans="1:17" x14ac:dyDescent="0.2">
      <c r="A3641" s="30" t="str">
        <f>IF(C3641&amp;G3641&amp;D3641&lt;&gt;'Funnel setup'!$K$3&amp;'Funnel setup'!$K$4&amp;'Funnel setup'!$K$5,".",IF(A3640=".",1,A3640+1))</f>
        <v>.</v>
      </c>
      <c r="B3641" s="431" t="str">
        <f t="shared" si="56"/>
        <v>Knee Replacement PrimaryCCG of GP PracticeNHS BARNSLEY CCG (02P)EQ VAS</v>
      </c>
      <c r="C3641" t="s">
        <v>249</v>
      </c>
      <c r="D3641" t="s">
        <v>87</v>
      </c>
      <c r="E3641" t="s">
        <v>580</v>
      </c>
      <c r="F3641" t="s">
        <v>581</v>
      </c>
      <c r="G3641" t="s">
        <v>179</v>
      </c>
      <c r="H3641">
        <v>278</v>
      </c>
      <c r="I3641">
        <v>62.856000000000002</v>
      </c>
      <c r="J3641">
        <v>72.046999999999997</v>
      </c>
      <c r="K3641">
        <v>9.1910000000000007</v>
      </c>
      <c r="L3641">
        <v>169</v>
      </c>
      <c r="M3641">
        <v>34</v>
      </c>
      <c r="N3641">
        <v>75</v>
      </c>
      <c r="O3641">
        <v>74.516000000000005</v>
      </c>
      <c r="P3641">
        <v>5.8581508590000002</v>
      </c>
      <c r="Q3641">
        <v>17.045999999999999</v>
      </c>
    </row>
    <row r="3642" spans="1:17" x14ac:dyDescent="0.2">
      <c r="A3642" s="30" t="str">
        <f>IF(C3642&amp;G3642&amp;D3642&lt;&gt;'Funnel setup'!$K$3&amp;'Funnel setup'!$K$4&amp;'Funnel setup'!$K$5,".",IF(A3641=".",1,A3641+1))</f>
        <v>.</v>
      </c>
      <c r="B3642" s="431" t="str">
        <f t="shared" si="56"/>
        <v>Knee Replacement PrimaryCCG of GP PracticeNHS BASILDON AND BRENTWOOD CCG (99E)EQ VAS</v>
      </c>
      <c r="C3642" t="s">
        <v>249</v>
      </c>
      <c r="D3642" t="s">
        <v>87</v>
      </c>
      <c r="E3642" t="s">
        <v>583</v>
      </c>
      <c r="F3642" t="s">
        <v>584</v>
      </c>
      <c r="G3642" t="s">
        <v>179</v>
      </c>
      <c r="H3642">
        <v>161</v>
      </c>
      <c r="I3642">
        <v>68.366</v>
      </c>
      <c r="J3642">
        <v>74.924999999999997</v>
      </c>
      <c r="K3642">
        <v>6.5590000000000002</v>
      </c>
      <c r="L3642">
        <v>93</v>
      </c>
      <c r="M3642">
        <v>21</v>
      </c>
      <c r="N3642">
        <v>47</v>
      </c>
      <c r="O3642">
        <v>74.953999999999994</v>
      </c>
      <c r="P3642">
        <v>6.295752309</v>
      </c>
      <c r="Q3642">
        <v>16.062000000000001</v>
      </c>
    </row>
    <row r="3643" spans="1:17" x14ac:dyDescent="0.2">
      <c r="A3643" s="30" t="str">
        <f>IF(C3643&amp;G3643&amp;D3643&lt;&gt;'Funnel setup'!$K$3&amp;'Funnel setup'!$K$4&amp;'Funnel setup'!$K$5,".",IF(A3642=".",1,A3642+1))</f>
        <v>.</v>
      </c>
      <c r="B3643" s="431" t="str">
        <f t="shared" si="56"/>
        <v>Knee Replacement PrimaryCCG of GP PracticeNHS BASSETLAW CCG (02Q)EQ VAS</v>
      </c>
      <c r="C3643" t="s">
        <v>249</v>
      </c>
      <c r="D3643" t="s">
        <v>87</v>
      </c>
      <c r="E3643" t="s">
        <v>586</v>
      </c>
      <c r="F3643" t="s">
        <v>587</v>
      </c>
      <c r="G3643" t="s">
        <v>179</v>
      </c>
      <c r="H3643">
        <v>114</v>
      </c>
      <c r="I3643">
        <v>71.236999999999995</v>
      </c>
      <c r="J3643">
        <v>74.158000000000001</v>
      </c>
      <c r="K3643">
        <v>2.9209999999999998</v>
      </c>
      <c r="L3643">
        <v>59</v>
      </c>
      <c r="M3643">
        <v>13</v>
      </c>
      <c r="N3643">
        <v>42</v>
      </c>
      <c r="O3643">
        <v>73.688000000000002</v>
      </c>
      <c r="P3643">
        <v>5.0299323109999996</v>
      </c>
      <c r="Q3643">
        <v>16.106999999999999</v>
      </c>
    </row>
    <row r="3644" spans="1:17" x14ac:dyDescent="0.2">
      <c r="A3644" s="30" t="str">
        <f>IF(C3644&amp;G3644&amp;D3644&lt;&gt;'Funnel setup'!$K$3&amp;'Funnel setup'!$K$4&amp;'Funnel setup'!$K$5,".",IF(A3643=".",1,A3643+1))</f>
        <v>.</v>
      </c>
      <c r="B3644" s="431" t="str">
        <f t="shared" si="56"/>
        <v>Knee Replacement PrimaryCCG of GP PracticeNHS BATH AND NORTH EAST SOMERSET CCG (11E)EQ VAS</v>
      </c>
      <c r="C3644" t="s">
        <v>249</v>
      </c>
      <c r="D3644" t="s">
        <v>87</v>
      </c>
      <c r="E3644" t="s">
        <v>589</v>
      </c>
      <c r="F3644" t="s">
        <v>590</v>
      </c>
      <c r="G3644" t="s">
        <v>179</v>
      </c>
      <c r="H3644">
        <v>141</v>
      </c>
      <c r="I3644">
        <v>70.921999999999997</v>
      </c>
      <c r="J3644">
        <v>76.518000000000001</v>
      </c>
      <c r="K3644">
        <v>5.5960000000000001</v>
      </c>
      <c r="L3644">
        <v>67</v>
      </c>
      <c r="M3644">
        <v>28</v>
      </c>
      <c r="N3644">
        <v>46</v>
      </c>
      <c r="O3644">
        <v>74.546000000000006</v>
      </c>
      <c r="P3644">
        <v>5.887455009</v>
      </c>
      <c r="Q3644">
        <v>15.125999999999999</v>
      </c>
    </row>
    <row r="3645" spans="1:17" x14ac:dyDescent="0.2">
      <c r="A3645" s="30" t="str">
        <f>IF(C3645&amp;G3645&amp;D3645&lt;&gt;'Funnel setup'!$K$3&amp;'Funnel setup'!$K$4&amp;'Funnel setup'!$K$5,".",IF(A3644=".",1,A3644+1))</f>
        <v>.</v>
      </c>
      <c r="B3645" s="431" t="str">
        <f t="shared" si="56"/>
        <v>Knee Replacement PrimaryCCG of GP PracticeNHS BEDFORDSHIRE CCG (06F)EQ VAS</v>
      </c>
      <c r="C3645" t="s">
        <v>249</v>
      </c>
      <c r="D3645" t="s">
        <v>87</v>
      </c>
      <c r="E3645" t="s">
        <v>592</v>
      </c>
      <c r="F3645" t="s">
        <v>593</v>
      </c>
      <c r="G3645" t="s">
        <v>179</v>
      </c>
      <c r="H3645">
        <v>320</v>
      </c>
      <c r="I3645">
        <v>68.281000000000006</v>
      </c>
      <c r="J3645">
        <v>74.430999999999997</v>
      </c>
      <c r="K3645">
        <v>6.15</v>
      </c>
      <c r="L3645">
        <v>187</v>
      </c>
      <c r="M3645">
        <v>37</v>
      </c>
      <c r="N3645">
        <v>96</v>
      </c>
      <c r="O3645">
        <v>74.034000000000006</v>
      </c>
      <c r="P3645">
        <v>5.3760000049999999</v>
      </c>
      <c r="Q3645">
        <v>15.989000000000001</v>
      </c>
    </row>
    <row r="3646" spans="1:17" x14ac:dyDescent="0.2">
      <c r="A3646" s="30" t="str">
        <f>IF(C3646&amp;G3646&amp;D3646&lt;&gt;'Funnel setup'!$K$3&amp;'Funnel setup'!$K$4&amp;'Funnel setup'!$K$5,".",IF(A3645=".",1,A3645+1))</f>
        <v>.</v>
      </c>
      <c r="B3646" s="431" t="str">
        <f t="shared" si="56"/>
        <v>Knee Replacement PrimaryCCG of GP PracticeNHS BEXLEY CCG (07N)EQ VAS</v>
      </c>
      <c r="C3646" t="s">
        <v>249</v>
      </c>
      <c r="D3646" t="s">
        <v>87</v>
      </c>
      <c r="E3646" t="s">
        <v>595</v>
      </c>
      <c r="F3646" t="s">
        <v>596</v>
      </c>
      <c r="G3646" t="s">
        <v>179</v>
      </c>
      <c r="H3646">
        <v>88</v>
      </c>
      <c r="I3646">
        <v>68.875</v>
      </c>
      <c r="J3646">
        <v>72.545000000000002</v>
      </c>
      <c r="K3646">
        <v>3.67</v>
      </c>
      <c r="L3646">
        <v>47</v>
      </c>
      <c r="M3646">
        <v>14</v>
      </c>
      <c r="N3646">
        <v>27</v>
      </c>
      <c r="O3646">
        <v>72.575000000000003</v>
      </c>
      <c r="P3646">
        <v>3.9170741150000001</v>
      </c>
      <c r="Q3646">
        <v>15.342000000000001</v>
      </c>
    </row>
    <row r="3647" spans="1:17" x14ac:dyDescent="0.2">
      <c r="A3647" s="30" t="str">
        <f>IF(C3647&amp;G3647&amp;D3647&lt;&gt;'Funnel setup'!$K$3&amp;'Funnel setup'!$K$4&amp;'Funnel setup'!$K$5,".",IF(A3646=".",1,A3646+1))</f>
        <v>.</v>
      </c>
      <c r="B3647" s="431" t="str">
        <f t="shared" si="56"/>
        <v>Knee Replacement PrimaryCCG of GP PracticeNHS BIRMINGHAM CROSSCITY CCG (13P)EQ VAS</v>
      </c>
      <c r="C3647" t="s">
        <v>249</v>
      </c>
      <c r="D3647" t="s">
        <v>87</v>
      </c>
      <c r="E3647" t="s">
        <v>598</v>
      </c>
      <c r="F3647" t="s">
        <v>599</v>
      </c>
      <c r="G3647" t="s">
        <v>179</v>
      </c>
      <c r="H3647">
        <v>337</v>
      </c>
      <c r="I3647">
        <v>66.122</v>
      </c>
      <c r="J3647">
        <v>72.777000000000001</v>
      </c>
      <c r="K3647">
        <v>6.6559999999999997</v>
      </c>
      <c r="L3647">
        <v>208</v>
      </c>
      <c r="M3647">
        <v>33</v>
      </c>
      <c r="N3647">
        <v>96</v>
      </c>
      <c r="O3647">
        <v>74.975999999999999</v>
      </c>
      <c r="P3647">
        <v>6.3177378839999996</v>
      </c>
      <c r="Q3647">
        <v>17.329000000000001</v>
      </c>
    </row>
    <row r="3648" spans="1:17" x14ac:dyDescent="0.2">
      <c r="A3648" s="30" t="str">
        <f>IF(C3648&amp;G3648&amp;D3648&lt;&gt;'Funnel setup'!$K$3&amp;'Funnel setup'!$K$4&amp;'Funnel setup'!$K$5,".",IF(A3647=".",1,A3647+1))</f>
        <v>.</v>
      </c>
      <c r="B3648" s="431" t="str">
        <f t="shared" si="56"/>
        <v>Knee Replacement PrimaryCCG of GP PracticeNHS BIRMINGHAM SOUTH AND CENTRAL CCG (04X)EQ VAS</v>
      </c>
      <c r="C3648" t="s">
        <v>249</v>
      </c>
      <c r="D3648" t="s">
        <v>87</v>
      </c>
      <c r="E3648" t="s">
        <v>601</v>
      </c>
      <c r="F3648" t="s">
        <v>602</v>
      </c>
      <c r="G3648" t="s">
        <v>179</v>
      </c>
      <c r="H3648">
        <v>64</v>
      </c>
      <c r="I3648">
        <v>68.468999999999994</v>
      </c>
      <c r="J3648">
        <v>77.343999999999994</v>
      </c>
      <c r="K3648">
        <v>8.875</v>
      </c>
      <c r="L3648">
        <v>37</v>
      </c>
      <c r="M3648">
        <v>10</v>
      </c>
      <c r="N3648">
        <v>17</v>
      </c>
      <c r="O3648">
        <v>79.686000000000007</v>
      </c>
      <c r="P3648">
        <v>11.027758779999999</v>
      </c>
      <c r="Q3648">
        <v>15.688000000000001</v>
      </c>
    </row>
    <row r="3649" spans="1:17" x14ac:dyDescent="0.2">
      <c r="A3649" s="30" t="str">
        <f>IF(C3649&amp;G3649&amp;D3649&lt;&gt;'Funnel setup'!$K$3&amp;'Funnel setup'!$K$4&amp;'Funnel setup'!$K$5,".",IF(A3648=".",1,A3648+1))</f>
        <v>.</v>
      </c>
      <c r="B3649" s="431" t="str">
        <f t="shared" si="56"/>
        <v>Knee Replacement PrimaryCCG of GP PracticeNHS BLACKBURN WITH DARWEN CCG (00Q)EQ VAS</v>
      </c>
      <c r="C3649" t="s">
        <v>249</v>
      </c>
      <c r="D3649" t="s">
        <v>87</v>
      </c>
      <c r="E3649" t="s">
        <v>604</v>
      </c>
      <c r="F3649" t="s">
        <v>605</v>
      </c>
      <c r="G3649" t="s">
        <v>179</v>
      </c>
      <c r="H3649">
        <v>80</v>
      </c>
      <c r="I3649">
        <v>67.986999999999995</v>
      </c>
      <c r="J3649">
        <v>75</v>
      </c>
      <c r="K3649">
        <v>7.0129999999999999</v>
      </c>
      <c r="L3649">
        <v>44</v>
      </c>
      <c r="M3649">
        <v>16</v>
      </c>
      <c r="N3649">
        <v>20</v>
      </c>
      <c r="O3649">
        <v>77.052999999999997</v>
      </c>
      <c r="P3649">
        <v>8.3948089750000001</v>
      </c>
      <c r="Q3649">
        <v>16.132999999999999</v>
      </c>
    </row>
    <row r="3650" spans="1:17" x14ac:dyDescent="0.2">
      <c r="A3650" s="30" t="str">
        <f>IF(C3650&amp;G3650&amp;D3650&lt;&gt;'Funnel setup'!$K$3&amp;'Funnel setup'!$K$4&amp;'Funnel setup'!$K$5,".",IF(A3649=".",1,A3649+1))</f>
        <v>.</v>
      </c>
      <c r="B3650" s="431" t="str">
        <f t="shared" si="56"/>
        <v>Knee Replacement PrimaryCCG of GP PracticeNHS BLACKPOOL CCG (00R)EQ VAS</v>
      </c>
      <c r="C3650" t="s">
        <v>249</v>
      </c>
      <c r="D3650" t="s">
        <v>87</v>
      </c>
      <c r="E3650" t="s">
        <v>607</v>
      </c>
      <c r="F3650" t="s">
        <v>608</v>
      </c>
      <c r="G3650" t="s">
        <v>179</v>
      </c>
      <c r="H3650">
        <v>41</v>
      </c>
      <c r="I3650">
        <v>66.268000000000001</v>
      </c>
      <c r="J3650">
        <v>71.659000000000006</v>
      </c>
      <c r="K3650">
        <v>5.39</v>
      </c>
      <c r="L3650">
        <v>20</v>
      </c>
      <c r="M3650">
        <v>5</v>
      </c>
      <c r="N3650">
        <v>16</v>
      </c>
      <c r="O3650">
        <v>72.507999999999996</v>
      </c>
      <c r="P3650">
        <v>3.8498079999999999</v>
      </c>
      <c r="Q3650">
        <v>15.082000000000001</v>
      </c>
    </row>
    <row r="3651" spans="1:17" x14ac:dyDescent="0.2">
      <c r="A3651" s="30" t="str">
        <f>IF(C3651&amp;G3651&amp;D3651&lt;&gt;'Funnel setup'!$K$3&amp;'Funnel setup'!$K$4&amp;'Funnel setup'!$K$5,".",IF(A3650=".",1,A3650+1))</f>
        <v>.</v>
      </c>
      <c r="B3651" s="431" t="str">
        <f t="shared" ref="B3651:B3714" si="57">C3651&amp;D3651&amp;F3651&amp;G3651</f>
        <v>Knee Replacement PrimaryCCG of GP PracticeNHS BOLTON CCG (00T)EQ VAS</v>
      </c>
      <c r="C3651" t="s">
        <v>249</v>
      </c>
      <c r="D3651" t="s">
        <v>87</v>
      </c>
      <c r="E3651" t="s">
        <v>683</v>
      </c>
      <c r="F3651" t="s">
        <v>684</v>
      </c>
      <c r="G3651" t="s">
        <v>179</v>
      </c>
      <c r="H3651">
        <v>130</v>
      </c>
      <c r="I3651">
        <v>64.707999999999998</v>
      </c>
      <c r="J3651">
        <v>72.138000000000005</v>
      </c>
      <c r="K3651">
        <v>7.431</v>
      </c>
      <c r="L3651">
        <v>78</v>
      </c>
      <c r="M3651">
        <v>16</v>
      </c>
      <c r="N3651">
        <v>36</v>
      </c>
      <c r="O3651">
        <v>74.441000000000003</v>
      </c>
      <c r="P3651">
        <v>5.7829234779999998</v>
      </c>
      <c r="Q3651">
        <v>14.975</v>
      </c>
    </row>
    <row r="3652" spans="1:17" x14ac:dyDescent="0.2">
      <c r="A3652" s="30" t="str">
        <f>IF(C3652&amp;G3652&amp;D3652&lt;&gt;'Funnel setup'!$K$3&amp;'Funnel setup'!$K$4&amp;'Funnel setup'!$K$5,".",IF(A3651=".",1,A3651+1))</f>
        <v>.</v>
      </c>
      <c r="B3652" s="431" t="str">
        <f t="shared" si="57"/>
        <v>Knee Replacement PrimaryCCG of GP PracticeNHS BRACKNELL AND ASCOT CCG (10G)EQ VAS</v>
      </c>
      <c r="C3652" t="s">
        <v>249</v>
      </c>
      <c r="D3652" t="s">
        <v>87</v>
      </c>
      <c r="E3652" t="s">
        <v>686</v>
      </c>
      <c r="F3652" t="s">
        <v>687</v>
      </c>
      <c r="G3652" t="s">
        <v>179</v>
      </c>
      <c r="H3652">
        <v>74</v>
      </c>
      <c r="I3652">
        <v>68.823999999999998</v>
      </c>
      <c r="J3652">
        <v>73.040999999999997</v>
      </c>
      <c r="K3652">
        <v>4.2160000000000002</v>
      </c>
      <c r="L3652">
        <v>41</v>
      </c>
      <c r="M3652">
        <v>9</v>
      </c>
      <c r="N3652">
        <v>24</v>
      </c>
      <c r="O3652">
        <v>73.230999999999995</v>
      </c>
      <c r="P3652">
        <v>4.572481282</v>
      </c>
      <c r="Q3652">
        <v>14.491</v>
      </c>
    </row>
    <row r="3653" spans="1:17" x14ac:dyDescent="0.2">
      <c r="A3653" s="30" t="str">
        <f>IF(C3653&amp;G3653&amp;D3653&lt;&gt;'Funnel setup'!$K$3&amp;'Funnel setup'!$K$4&amp;'Funnel setup'!$K$5,".",IF(A3652=".",1,A3652+1))</f>
        <v>.</v>
      </c>
      <c r="B3653" s="431" t="str">
        <f t="shared" si="57"/>
        <v>Knee Replacement PrimaryCCG of GP PracticeNHS BRADFORD CITY CCG (02W)EQ VAS</v>
      </c>
      <c r="C3653" t="s">
        <v>249</v>
      </c>
      <c r="D3653" t="s">
        <v>87</v>
      </c>
      <c r="E3653" t="s">
        <v>689</v>
      </c>
      <c r="F3653" t="s">
        <v>690</v>
      </c>
      <c r="G3653" t="s">
        <v>179</v>
      </c>
      <c r="H3653">
        <v>25</v>
      </c>
      <c r="I3653">
        <v>53.68</v>
      </c>
      <c r="J3653">
        <v>67.48</v>
      </c>
      <c r="K3653">
        <v>13.8</v>
      </c>
      <c r="L3653">
        <v>15</v>
      </c>
      <c r="M3653">
        <v>2</v>
      </c>
      <c r="N3653">
        <v>8</v>
      </c>
      <c r="O3653" t="s">
        <v>53</v>
      </c>
      <c r="P3653" t="s">
        <v>53</v>
      </c>
      <c r="Q3653" t="s">
        <v>53</v>
      </c>
    </row>
    <row r="3654" spans="1:17" x14ac:dyDescent="0.2">
      <c r="A3654" s="30" t="str">
        <f>IF(C3654&amp;G3654&amp;D3654&lt;&gt;'Funnel setup'!$K$3&amp;'Funnel setup'!$K$4&amp;'Funnel setup'!$K$5,".",IF(A3653=".",1,A3653+1))</f>
        <v>.</v>
      </c>
      <c r="B3654" s="431" t="str">
        <f t="shared" si="57"/>
        <v>Knee Replacement PrimaryCCG of GP PracticeNHS BRADFORD DISTRICTS CCG (02R)EQ VAS</v>
      </c>
      <c r="C3654" t="s">
        <v>249</v>
      </c>
      <c r="D3654" t="s">
        <v>87</v>
      </c>
      <c r="E3654" t="s">
        <v>692</v>
      </c>
      <c r="F3654" t="s">
        <v>693</v>
      </c>
      <c r="G3654" t="s">
        <v>179</v>
      </c>
      <c r="H3654">
        <v>153</v>
      </c>
      <c r="I3654">
        <v>66.477000000000004</v>
      </c>
      <c r="J3654">
        <v>72.078000000000003</v>
      </c>
      <c r="K3654">
        <v>5.601</v>
      </c>
      <c r="L3654">
        <v>89</v>
      </c>
      <c r="M3654">
        <v>17</v>
      </c>
      <c r="N3654">
        <v>47</v>
      </c>
      <c r="O3654">
        <v>73.956000000000003</v>
      </c>
      <c r="P3654">
        <v>5.2977261569999996</v>
      </c>
      <c r="Q3654">
        <v>16.899999999999999</v>
      </c>
    </row>
    <row r="3655" spans="1:17" x14ac:dyDescent="0.2">
      <c r="A3655" s="30" t="str">
        <f>IF(C3655&amp;G3655&amp;D3655&lt;&gt;'Funnel setup'!$K$3&amp;'Funnel setup'!$K$4&amp;'Funnel setup'!$K$5,".",IF(A3654=".",1,A3654+1))</f>
        <v>.</v>
      </c>
      <c r="B3655" s="431" t="str">
        <f t="shared" si="57"/>
        <v>Knee Replacement PrimaryCCG of GP PracticeNHS BRENT CCG (07P)EQ VAS</v>
      </c>
      <c r="C3655" t="s">
        <v>249</v>
      </c>
      <c r="D3655" t="s">
        <v>87</v>
      </c>
      <c r="E3655" t="s">
        <v>695</v>
      </c>
      <c r="F3655" t="s">
        <v>696</v>
      </c>
      <c r="G3655" t="s">
        <v>179</v>
      </c>
      <c r="H3655">
        <v>84</v>
      </c>
      <c r="I3655">
        <v>60.69</v>
      </c>
      <c r="J3655">
        <v>66.655000000000001</v>
      </c>
      <c r="K3655">
        <v>5.9640000000000004</v>
      </c>
      <c r="L3655">
        <v>44</v>
      </c>
      <c r="M3655">
        <v>11</v>
      </c>
      <c r="N3655">
        <v>29</v>
      </c>
      <c r="O3655">
        <v>72.411000000000001</v>
      </c>
      <c r="P3655">
        <v>3.7527200710000002</v>
      </c>
      <c r="Q3655">
        <v>17.433</v>
      </c>
    </row>
    <row r="3656" spans="1:17" x14ac:dyDescent="0.2">
      <c r="A3656" s="30" t="str">
        <f>IF(C3656&amp;G3656&amp;D3656&lt;&gt;'Funnel setup'!$K$3&amp;'Funnel setup'!$K$4&amp;'Funnel setup'!$K$5,".",IF(A3655=".",1,A3655+1))</f>
        <v>.</v>
      </c>
      <c r="B3656" s="431" t="str">
        <f t="shared" si="57"/>
        <v>Knee Replacement PrimaryCCG of GP PracticeNHS BRIGHTON AND HOVE CCG (09D)EQ VAS</v>
      </c>
      <c r="C3656" t="s">
        <v>249</v>
      </c>
      <c r="D3656" t="s">
        <v>87</v>
      </c>
      <c r="E3656" t="s">
        <v>698</v>
      </c>
      <c r="F3656" t="s">
        <v>699</v>
      </c>
      <c r="G3656" t="s">
        <v>179</v>
      </c>
      <c r="H3656">
        <v>147</v>
      </c>
      <c r="I3656">
        <v>68.075000000000003</v>
      </c>
      <c r="J3656">
        <v>71.319999999999993</v>
      </c>
      <c r="K3656">
        <v>3.2450000000000001</v>
      </c>
      <c r="L3656">
        <v>81</v>
      </c>
      <c r="M3656">
        <v>14</v>
      </c>
      <c r="N3656">
        <v>52</v>
      </c>
      <c r="O3656">
        <v>72.188000000000002</v>
      </c>
      <c r="P3656">
        <v>3.5301528260000001</v>
      </c>
      <c r="Q3656">
        <v>17.010999999999999</v>
      </c>
    </row>
    <row r="3657" spans="1:17" x14ac:dyDescent="0.2">
      <c r="A3657" s="30" t="str">
        <f>IF(C3657&amp;G3657&amp;D3657&lt;&gt;'Funnel setup'!$K$3&amp;'Funnel setup'!$K$4&amp;'Funnel setup'!$K$5,".",IF(A3656=".",1,A3656+1))</f>
        <v>.</v>
      </c>
      <c r="B3657" s="431" t="str">
        <f t="shared" si="57"/>
        <v>Knee Replacement PrimaryCCG of GP PracticeNHS BRISTOL CCG (11H)EQ VAS</v>
      </c>
      <c r="C3657" t="s">
        <v>249</v>
      </c>
      <c r="D3657" t="s">
        <v>87</v>
      </c>
      <c r="E3657" t="s">
        <v>701</v>
      </c>
      <c r="F3657" t="s">
        <v>702</v>
      </c>
      <c r="G3657" t="s">
        <v>179</v>
      </c>
      <c r="H3657">
        <v>201</v>
      </c>
      <c r="I3657">
        <v>69.647000000000006</v>
      </c>
      <c r="J3657">
        <v>74.756</v>
      </c>
      <c r="K3657">
        <v>5.109</v>
      </c>
      <c r="L3657">
        <v>101</v>
      </c>
      <c r="M3657">
        <v>28</v>
      </c>
      <c r="N3657">
        <v>72</v>
      </c>
      <c r="O3657">
        <v>74.320999999999998</v>
      </c>
      <c r="P3657">
        <v>5.6629519879999997</v>
      </c>
      <c r="Q3657">
        <v>14.17</v>
      </c>
    </row>
    <row r="3658" spans="1:17" x14ac:dyDescent="0.2">
      <c r="A3658" s="30" t="str">
        <f>IF(C3658&amp;G3658&amp;D3658&lt;&gt;'Funnel setup'!$K$3&amp;'Funnel setup'!$K$4&amp;'Funnel setup'!$K$5,".",IF(A3657=".",1,A3657+1))</f>
        <v>.</v>
      </c>
      <c r="B3658" s="431" t="str">
        <f t="shared" si="57"/>
        <v>Knee Replacement PrimaryCCG of GP PracticeNHS BROMLEY CCG (07Q)EQ VAS</v>
      </c>
      <c r="C3658" t="s">
        <v>249</v>
      </c>
      <c r="D3658" t="s">
        <v>87</v>
      </c>
      <c r="E3658" t="s">
        <v>704</v>
      </c>
      <c r="F3658" t="s">
        <v>705</v>
      </c>
      <c r="G3658" t="s">
        <v>179</v>
      </c>
      <c r="H3658">
        <v>109</v>
      </c>
      <c r="I3658">
        <v>70.037000000000006</v>
      </c>
      <c r="J3658">
        <v>76.513999999999996</v>
      </c>
      <c r="K3658">
        <v>6.4770000000000003</v>
      </c>
      <c r="L3658">
        <v>58</v>
      </c>
      <c r="M3658">
        <v>14</v>
      </c>
      <c r="N3658">
        <v>37</v>
      </c>
      <c r="O3658">
        <v>74.299000000000007</v>
      </c>
      <c r="P3658">
        <v>5.6410631359999996</v>
      </c>
      <c r="Q3658">
        <v>13.569000000000001</v>
      </c>
    </row>
    <row r="3659" spans="1:17" x14ac:dyDescent="0.2">
      <c r="A3659" s="30" t="str">
        <f>IF(C3659&amp;G3659&amp;D3659&lt;&gt;'Funnel setup'!$K$3&amp;'Funnel setup'!$K$4&amp;'Funnel setup'!$K$5,".",IF(A3658=".",1,A3658+1))</f>
        <v>.</v>
      </c>
      <c r="B3659" s="431" t="str">
        <f t="shared" si="57"/>
        <v>Knee Replacement PrimaryCCG of GP PracticeNHS BURY CCG (00V)EQ VAS</v>
      </c>
      <c r="C3659" t="s">
        <v>249</v>
      </c>
      <c r="D3659" t="s">
        <v>87</v>
      </c>
      <c r="E3659" t="s">
        <v>707</v>
      </c>
      <c r="F3659" t="s">
        <v>708</v>
      </c>
      <c r="G3659" t="s">
        <v>179</v>
      </c>
      <c r="H3659">
        <v>88</v>
      </c>
      <c r="I3659">
        <v>61.966000000000001</v>
      </c>
      <c r="J3659">
        <v>68.864000000000004</v>
      </c>
      <c r="K3659">
        <v>6.8979999999999997</v>
      </c>
      <c r="L3659">
        <v>43</v>
      </c>
      <c r="M3659">
        <v>12</v>
      </c>
      <c r="N3659">
        <v>33</v>
      </c>
      <c r="O3659">
        <v>72.257000000000005</v>
      </c>
      <c r="P3659">
        <v>3.5987238879999999</v>
      </c>
      <c r="Q3659">
        <v>16.201000000000001</v>
      </c>
    </row>
    <row r="3660" spans="1:17" x14ac:dyDescent="0.2">
      <c r="A3660" s="30" t="str">
        <f>IF(C3660&amp;G3660&amp;D3660&lt;&gt;'Funnel setup'!$K$3&amp;'Funnel setup'!$K$4&amp;'Funnel setup'!$K$5,".",IF(A3659=".",1,A3659+1))</f>
        <v>.</v>
      </c>
      <c r="B3660" s="431" t="str">
        <f t="shared" si="57"/>
        <v>Knee Replacement PrimaryCCG of GP PracticeNHS CALDERDALE CCG (02T)EQ VAS</v>
      </c>
      <c r="C3660" t="s">
        <v>249</v>
      </c>
      <c r="D3660" t="s">
        <v>87</v>
      </c>
      <c r="E3660" t="s">
        <v>710</v>
      </c>
      <c r="F3660" t="s">
        <v>711</v>
      </c>
      <c r="G3660" t="s">
        <v>179</v>
      </c>
      <c r="H3660">
        <v>156</v>
      </c>
      <c r="I3660">
        <v>68.962000000000003</v>
      </c>
      <c r="J3660">
        <v>76.628</v>
      </c>
      <c r="K3660">
        <v>7.6669999999999998</v>
      </c>
      <c r="L3660">
        <v>101</v>
      </c>
      <c r="M3660">
        <v>18</v>
      </c>
      <c r="N3660">
        <v>37</v>
      </c>
      <c r="O3660">
        <v>76.373000000000005</v>
      </c>
      <c r="P3660">
        <v>7.7151326019999997</v>
      </c>
      <c r="Q3660">
        <v>13.272</v>
      </c>
    </row>
    <row r="3661" spans="1:17" x14ac:dyDescent="0.2">
      <c r="A3661" s="30" t="str">
        <f>IF(C3661&amp;G3661&amp;D3661&lt;&gt;'Funnel setup'!$K$3&amp;'Funnel setup'!$K$4&amp;'Funnel setup'!$K$5,".",IF(A3660=".",1,A3660+1))</f>
        <v>.</v>
      </c>
      <c r="B3661" s="431" t="str">
        <f t="shared" si="57"/>
        <v>Knee Replacement PrimaryCCG of GP PracticeNHS CAMBRIDGESHIRE AND PETERBOROUGH CCG (06H)EQ VAS</v>
      </c>
      <c r="C3661" t="s">
        <v>249</v>
      </c>
      <c r="D3661" t="s">
        <v>87</v>
      </c>
      <c r="E3661" t="s">
        <v>713</v>
      </c>
      <c r="F3661" t="s">
        <v>714</v>
      </c>
      <c r="G3661" t="s">
        <v>179</v>
      </c>
      <c r="H3661">
        <v>520</v>
      </c>
      <c r="I3661">
        <v>68.114999999999995</v>
      </c>
      <c r="J3661">
        <v>75.245999999999995</v>
      </c>
      <c r="K3661">
        <v>7.1310000000000002</v>
      </c>
      <c r="L3661">
        <v>314</v>
      </c>
      <c r="M3661">
        <v>57</v>
      </c>
      <c r="N3661">
        <v>149</v>
      </c>
      <c r="O3661">
        <v>75.356999999999999</v>
      </c>
      <c r="P3661">
        <v>6.6989631630000002</v>
      </c>
      <c r="Q3661">
        <v>15.058999999999999</v>
      </c>
    </row>
    <row r="3662" spans="1:17" x14ac:dyDescent="0.2">
      <c r="A3662" s="30" t="str">
        <f>IF(C3662&amp;G3662&amp;D3662&lt;&gt;'Funnel setup'!$K$3&amp;'Funnel setup'!$K$4&amp;'Funnel setup'!$K$5,".",IF(A3661=".",1,A3661+1))</f>
        <v>.</v>
      </c>
      <c r="B3662" s="431" t="str">
        <f t="shared" si="57"/>
        <v>Knee Replacement PrimaryCCG of GP PracticeNHS CAMDEN CCG (07R)EQ VAS</v>
      </c>
      <c r="C3662" t="s">
        <v>249</v>
      </c>
      <c r="D3662" t="s">
        <v>87</v>
      </c>
      <c r="E3662" t="s">
        <v>716</v>
      </c>
      <c r="F3662" t="s">
        <v>717</v>
      </c>
      <c r="G3662" t="s">
        <v>179</v>
      </c>
      <c r="H3662">
        <v>24</v>
      </c>
      <c r="I3662">
        <v>64.207999999999998</v>
      </c>
      <c r="J3662">
        <v>72.082999999999998</v>
      </c>
      <c r="K3662">
        <v>7.875</v>
      </c>
      <c r="L3662">
        <v>14</v>
      </c>
      <c r="M3662">
        <v>2</v>
      </c>
      <c r="N3662">
        <v>8</v>
      </c>
      <c r="O3662" t="s">
        <v>53</v>
      </c>
      <c r="P3662" t="s">
        <v>53</v>
      </c>
      <c r="Q3662" t="s">
        <v>53</v>
      </c>
    </row>
    <row r="3663" spans="1:17" x14ac:dyDescent="0.2">
      <c r="A3663" s="30" t="str">
        <f>IF(C3663&amp;G3663&amp;D3663&lt;&gt;'Funnel setup'!$K$3&amp;'Funnel setup'!$K$4&amp;'Funnel setup'!$K$5,".",IF(A3662=".",1,A3662+1))</f>
        <v>.</v>
      </c>
      <c r="B3663" s="431" t="str">
        <f t="shared" si="57"/>
        <v>Knee Replacement PrimaryCCG of GP PracticeNHS CANNOCK CHASE CCG (04Y)EQ VAS</v>
      </c>
      <c r="C3663" t="s">
        <v>249</v>
      </c>
      <c r="D3663" t="s">
        <v>87</v>
      </c>
      <c r="E3663" t="s">
        <v>719</v>
      </c>
      <c r="F3663" t="s">
        <v>720</v>
      </c>
      <c r="G3663" t="s">
        <v>179</v>
      </c>
      <c r="H3663">
        <v>154</v>
      </c>
      <c r="I3663">
        <v>69.480999999999995</v>
      </c>
      <c r="J3663">
        <v>72.694999999999993</v>
      </c>
      <c r="K3663">
        <v>3.214</v>
      </c>
      <c r="L3663">
        <v>78</v>
      </c>
      <c r="M3663">
        <v>20</v>
      </c>
      <c r="N3663">
        <v>56</v>
      </c>
      <c r="O3663">
        <v>73.021000000000001</v>
      </c>
      <c r="P3663">
        <v>4.3622881869999999</v>
      </c>
      <c r="Q3663">
        <v>16.591999999999999</v>
      </c>
    </row>
    <row r="3664" spans="1:17" x14ac:dyDescent="0.2">
      <c r="A3664" s="30" t="str">
        <f>IF(C3664&amp;G3664&amp;D3664&lt;&gt;'Funnel setup'!$K$3&amp;'Funnel setup'!$K$4&amp;'Funnel setup'!$K$5,".",IF(A3663=".",1,A3663+1))</f>
        <v>.</v>
      </c>
      <c r="B3664" s="431" t="str">
        <f t="shared" si="57"/>
        <v>Knee Replacement PrimaryCCG of GP PracticeNHS CANTERBURY AND COASTAL CCG (09E)EQ VAS</v>
      </c>
      <c r="C3664" t="s">
        <v>249</v>
      </c>
      <c r="D3664" t="s">
        <v>87</v>
      </c>
      <c r="E3664" t="s">
        <v>722</v>
      </c>
      <c r="F3664" t="s">
        <v>723</v>
      </c>
      <c r="G3664" t="s">
        <v>179</v>
      </c>
      <c r="H3664">
        <v>134</v>
      </c>
      <c r="I3664">
        <v>72.97</v>
      </c>
      <c r="J3664">
        <v>74.671999999999997</v>
      </c>
      <c r="K3664">
        <v>1.7010000000000001</v>
      </c>
      <c r="L3664">
        <v>65</v>
      </c>
      <c r="M3664">
        <v>22</v>
      </c>
      <c r="N3664">
        <v>47</v>
      </c>
      <c r="O3664">
        <v>72.7</v>
      </c>
      <c r="P3664">
        <v>4.0415061559999996</v>
      </c>
      <c r="Q3664">
        <v>14.843</v>
      </c>
    </row>
    <row r="3665" spans="1:17" x14ac:dyDescent="0.2">
      <c r="A3665" s="30" t="str">
        <f>IF(C3665&amp;G3665&amp;D3665&lt;&gt;'Funnel setup'!$K$3&amp;'Funnel setup'!$K$4&amp;'Funnel setup'!$K$5,".",IF(A3664=".",1,A3664+1))</f>
        <v>.</v>
      </c>
      <c r="B3665" s="431" t="str">
        <f t="shared" si="57"/>
        <v>Knee Replacement PrimaryCCG of GP PracticeNHS CASTLE POINT AND ROCHFORD CCG (99F)EQ VAS</v>
      </c>
      <c r="C3665" t="s">
        <v>249</v>
      </c>
      <c r="D3665" t="s">
        <v>87</v>
      </c>
      <c r="E3665" t="s">
        <v>725</v>
      </c>
      <c r="F3665" t="s">
        <v>726</v>
      </c>
      <c r="G3665" t="s">
        <v>179</v>
      </c>
      <c r="H3665">
        <v>153</v>
      </c>
      <c r="I3665">
        <v>70.275000000000006</v>
      </c>
      <c r="J3665">
        <v>74.242000000000004</v>
      </c>
      <c r="K3665">
        <v>3.9670000000000001</v>
      </c>
      <c r="L3665">
        <v>80</v>
      </c>
      <c r="M3665">
        <v>17</v>
      </c>
      <c r="N3665">
        <v>56</v>
      </c>
      <c r="O3665">
        <v>73.013000000000005</v>
      </c>
      <c r="P3665">
        <v>4.3547147229999998</v>
      </c>
      <c r="Q3665">
        <v>16.387</v>
      </c>
    </row>
    <row r="3666" spans="1:17" x14ac:dyDescent="0.2">
      <c r="A3666" s="30" t="str">
        <f>IF(C3666&amp;G3666&amp;D3666&lt;&gt;'Funnel setup'!$K$3&amp;'Funnel setup'!$K$4&amp;'Funnel setup'!$K$5,".",IF(A3665=".",1,A3665+1))</f>
        <v>.</v>
      </c>
      <c r="B3666" s="431" t="str">
        <f t="shared" si="57"/>
        <v>Knee Replacement PrimaryCCG of GP PracticeNHS CENTRAL LONDON (WESTMINSTER) CCG (09A)EQ VAS</v>
      </c>
      <c r="C3666" t="s">
        <v>249</v>
      </c>
      <c r="D3666" t="s">
        <v>87</v>
      </c>
      <c r="E3666" t="s">
        <v>728</v>
      </c>
      <c r="F3666" t="s">
        <v>729</v>
      </c>
      <c r="G3666" t="s">
        <v>179</v>
      </c>
      <c r="H3666">
        <v>16</v>
      </c>
      <c r="I3666">
        <v>58.5</v>
      </c>
      <c r="J3666">
        <v>75.313000000000002</v>
      </c>
      <c r="K3666">
        <v>16.812999999999999</v>
      </c>
      <c r="L3666">
        <v>10</v>
      </c>
      <c r="M3666">
        <v>3</v>
      </c>
      <c r="N3666">
        <v>3</v>
      </c>
      <c r="O3666" t="s">
        <v>53</v>
      </c>
      <c r="P3666" t="s">
        <v>53</v>
      </c>
      <c r="Q3666" t="s">
        <v>53</v>
      </c>
    </row>
    <row r="3667" spans="1:17" x14ac:dyDescent="0.2">
      <c r="A3667" s="30" t="str">
        <f>IF(C3667&amp;G3667&amp;D3667&lt;&gt;'Funnel setup'!$K$3&amp;'Funnel setup'!$K$4&amp;'Funnel setup'!$K$5,".",IF(A3666=".",1,A3666+1))</f>
        <v>.</v>
      </c>
      <c r="B3667" s="431" t="str">
        <f t="shared" si="57"/>
        <v>Knee Replacement PrimaryCCG of GP PracticeNHS CENTRAL MANCHESTER CCG (00W)EQ VAS</v>
      </c>
      <c r="C3667" t="s">
        <v>249</v>
      </c>
      <c r="D3667" t="s">
        <v>87</v>
      </c>
      <c r="E3667" t="s">
        <v>731</v>
      </c>
      <c r="F3667" t="s">
        <v>732</v>
      </c>
      <c r="G3667" t="s">
        <v>179</v>
      </c>
      <c r="H3667">
        <v>23</v>
      </c>
      <c r="I3667">
        <v>63.695999999999998</v>
      </c>
      <c r="J3667">
        <v>71.216999999999999</v>
      </c>
      <c r="K3667">
        <v>7.5220000000000002</v>
      </c>
      <c r="L3667">
        <v>13</v>
      </c>
      <c r="M3667">
        <v>3</v>
      </c>
      <c r="N3667">
        <v>7</v>
      </c>
      <c r="O3667" t="s">
        <v>53</v>
      </c>
      <c r="P3667" t="s">
        <v>53</v>
      </c>
      <c r="Q3667" t="s">
        <v>53</v>
      </c>
    </row>
    <row r="3668" spans="1:17" x14ac:dyDescent="0.2">
      <c r="A3668" s="30" t="str">
        <f>IF(C3668&amp;G3668&amp;D3668&lt;&gt;'Funnel setup'!$K$3&amp;'Funnel setup'!$K$4&amp;'Funnel setup'!$K$5,".",IF(A3667=".",1,A3667+1))</f>
        <v>.</v>
      </c>
      <c r="B3668" s="431" t="str">
        <f t="shared" si="57"/>
        <v>Knee Replacement PrimaryCCG of GP PracticeNHS CHILTERN CCG (10H)EQ VAS</v>
      </c>
      <c r="C3668" t="s">
        <v>249</v>
      </c>
      <c r="D3668" t="s">
        <v>87</v>
      </c>
      <c r="E3668" t="s">
        <v>734</v>
      </c>
      <c r="F3668" t="s">
        <v>735</v>
      </c>
      <c r="G3668" t="s">
        <v>179</v>
      </c>
      <c r="H3668">
        <v>171</v>
      </c>
      <c r="I3668">
        <v>70.977000000000004</v>
      </c>
      <c r="J3668">
        <v>75.959000000000003</v>
      </c>
      <c r="K3668">
        <v>4.9820000000000002</v>
      </c>
      <c r="L3668">
        <v>90</v>
      </c>
      <c r="M3668">
        <v>32</v>
      </c>
      <c r="N3668">
        <v>49</v>
      </c>
      <c r="O3668">
        <v>73.98</v>
      </c>
      <c r="P3668">
        <v>5.3213647010000003</v>
      </c>
      <c r="Q3668">
        <v>14.782</v>
      </c>
    </row>
    <row r="3669" spans="1:17" x14ac:dyDescent="0.2">
      <c r="A3669" s="30" t="str">
        <f>IF(C3669&amp;G3669&amp;D3669&lt;&gt;'Funnel setup'!$K$3&amp;'Funnel setup'!$K$4&amp;'Funnel setup'!$K$5,".",IF(A3668=".",1,A3668+1))</f>
        <v>.</v>
      </c>
      <c r="B3669" s="431" t="str">
        <f t="shared" si="57"/>
        <v>Knee Replacement PrimaryCCG of GP PracticeNHS CHORLEY AND SOUTH RIBBLE CCG (00X)EQ VAS</v>
      </c>
      <c r="C3669" t="s">
        <v>249</v>
      </c>
      <c r="D3669" t="s">
        <v>87</v>
      </c>
      <c r="E3669" t="s">
        <v>737</v>
      </c>
      <c r="F3669" t="s">
        <v>738</v>
      </c>
      <c r="G3669" t="s">
        <v>179</v>
      </c>
      <c r="H3669">
        <v>193</v>
      </c>
      <c r="I3669">
        <v>69.605999999999995</v>
      </c>
      <c r="J3669">
        <v>74.626999999999995</v>
      </c>
      <c r="K3669">
        <v>5.0209999999999999</v>
      </c>
      <c r="L3669">
        <v>107</v>
      </c>
      <c r="M3669">
        <v>29</v>
      </c>
      <c r="N3669">
        <v>57</v>
      </c>
      <c r="O3669">
        <v>74.22</v>
      </c>
      <c r="P3669">
        <v>5.561881069</v>
      </c>
      <c r="Q3669">
        <v>15.098000000000001</v>
      </c>
    </row>
    <row r="3670" spans="1:17" x14ac:dyDescent="0.2">
      <c r="A3670" s="30" t="str">
        <f>IF(C3670&amp;G3670&amp;D3670&lt;&gt;'Funnel setup'!$K$3&amp;'Funnel setup'!$K$4&amp;'Funnel setup'!$K$5,".",IF(A3669=".",1,A3669+1))</f>
        <v>.</v>
      </c>
      <c r="B3670" s="431" t="str">
        <f t="shared" si="57"/>
        <v>Knee Replacement PrimaryCCG of GP PracticeNHS CITY AND HACKNEY CCG (07T)EQ VAS</v>
      </c>
      <c r="C3670" t="s">
        <v>249</v>
      </c>
      <c r="D3670" t="s">
        <v>87</v>
      </c>
      <c r="E3670" t="s">
        <v>740</v>
      </c>
      <c r="F3670" t="s">
        <v>741</v>
      </c>
      <c r="G3670" t="s">
        <v>179</v>
      </c>
      <c r="H3670">
        <v>46</v>
      </c>
      <c r="I3670">
        <v>59.283000000000001</v>
      </c>
      <c r="J3670">
        <v>64.216999999999999</v>
      </c>
      <c r="K3670">
        <v>4.9349999999999996</v>
      </c>
      <c r="L3670">
        <v>23</v>
      </c>
      <c r="M3670">
        <v>6</v>
      </c>
      <c r="N3670">
        <v>17</v>
      </c>
      <c r="O3670">
        <v>71.831999999999994</v>
      </c>
      <c r="P3670">
        <v>3.1736254289999999</v>
      </c>
      <c r="Q3670">
        <v>15.404</v>
      </c>
    </row>
    <row r="3671" spans="1:17" x14ac:dyDescent="0.2">
      <c r="A3671" s="30" t="str">
        <f>IF(C3671&amp;G3671&amp;D3671&lt;&gt;'Funnel setup'!$K$3&amp;'Funnel setup'!$K$4&amp;'Funnel setup'!$K$5,".",IF(A3670=".",1,A3670+1))</f>
        <v>.</v>
      </c>
      <c r="B3671" s="431" t="str">
        <f t="shared" si="57"/>
        <v>Knee Replacement PrimaryCCG of GP PracticeNHS COASTAL WEST SUSSEX CCG (09G)EQ VAS</v>
      </c>
      <c r="C3671" t="s">
        <v>249</v>
      </c>
      <c r="D3671" t="s">
        <v>87</v>
      </c>
      <c r="E3671" t="s">
        <v>743</v>
      </c>
      <c r="F3671" t="s">
        <v>744</v>
      </c>
      <c r="G3671" t="s">
        <v>179</v>
      </c>
      <c r="H3671">
        <v>397</v>
      </c>
      <c r="I3671">
        <v>70.183999999999997</v>
      </c>
      <c r="J3671">
        <v>74.673000000000002</v>
      </c>
      <c r="K3671">
        <v>4.4889999999999999</v>
      </c>
      <c r="L3671">
        <v>194</v>
      </c>
      <c r="M3671">
        <v>59</v>
      </c>
      <c r="N3671">
        <v>144</v>
      </c>
      <c r="O3671">
        <v>73.921000000000006</v>
      </c>
      <c r="P3671">
        <v>5.2621676500000003</v>
      </c>
      <c r="Q3671">
        <v>14.688000000000001</v>
      </c>
    </row>
    <row r="3672" spans="1:17" x14ac:dyDescent="0.2">
      <c r="A3672" s="30" t="str">
        <f>IF(C3672&amp;G3672&amp;D3672&lt;&gt;'Funnel setup'!$K$3&amp;'Funnel setup'!$K$4&amp;'Funnel setup'!$K$5,".",IF(A3671=".",1,A3671+1))</f>
        <v>.</v>
      </c>
      <c r="B3672" s="431" t="str">
        <f t="shared" si="57"/>
        <v>Knee Replacement PrimaryCCG of GP PracticeNHS CORBY CCG (03V)EQ VAS</v>
      </c>
      <c r="C3672" t="s">
        <v>249</v>
      </c>
      <c r="D3672" t="s">
        <v>87</v>
      </c>
      <c r="E3672" t="s">
        <v>746</v>
      </c>
      <c r="F3672" t="s">
        <v>747</v>
      </c>
      <c r="G3672" t="s">
        <v>179</v>
      </c>
      <c r="H3672">
        <v>32</v>
      </c>
      <c r="I3672">
        <v>61.155999999999999</v>
      </c>
      <c r="J3672">
        <v>70.906000000000006</v>
      </c>
      <c r="K3672">
        <v>9.75</v>
      </c>
      <c r="L3672">
        <v>17</v>
      </c>
      <c r="M3672">
        <v>8</v>
      </c>
      <c r="N3672">
        <v>7</v>
      </c>
      <c r="O3672">
        <v>76.412999999999997</v>
      </c>
      <c r="P3672">
        <v>7.7547961340000002</v>
      </c>
      <c r="Q3672">
        <v>14.717000000000001</v>
      </c>
    </row>
    <row r="3673" spans="1:17" x14ac:dyDescent="0.2">
      <c r="A3673" s="30" t="str">
        <f>IF(C3673&amp;G3673&amp;D3673&lt;&gt;'Funnel setup'!$K$3&amp;'Funnel setup'!$K$4&amp;'Funnel setup'!$K$5,".",IF(A3672=".",1,A3672+1))</f>
        <v>.</v>
      </c>
      <c r="B3673" s="431" t="str">
        <f t="shared" si="57"/>
        <v>Knee Replacement PrimaryCCG of GP PracticeNHS COVENTRY AND RUGBY CCG (05A)EQ VAS</v>
      </c>
      <c r="C3673" t="s">
        <v>249</v>
      </c>
      <c r="D3673" t="s">
        <v>87</v>
      </c>
      <c r="E3673" t="s">
        <v>749</v>
      </c>
      <c r="F3673" t="s">
        <v>750</v>
      </c>
      <c r="G3673" t="s">
        <v>179</v>
      </c>
      <c r="H3673">
        <v>285</v>
      </c>
      <c r="I3673">
        <v>68.480999999999995</v>
      </c>
      <c r="J3673">
        <v>73.34</v>
      </c>
      <c r="K3673">
        <v>4.8600000000000003</v>
      </c>
      <c r="L3673">
        <v>163</v>
      </c>
      <c r="M3673">
        <v>37</v>
      </c>
      <c r="N3673">
        <v>85</v>
      </c>
      <c r="O3673">
        <v>73.748000000000005</v>
      </c>
      <c r="P3673">
        <v>5.0894375460000001</v>
      </c>
      <c r="Q3673">
        <v>16.087</v>
      </c>
    </row>
    <row r="3674" spans="1:17" x14ac:dyDescent="0.2">
      <c r="A3674" s="30" t="str">
        <f>IF(C3674&amp;G3674&amp;D3674&lt;&gt;'Funnel setup'!$K$3&amp;'Funnel setup'!$K$4&amp;'Funnel setup'!$K$5,".",IF(A3673=".",1,A3673+1))</f>
        <v>.</v>
      </c>
      <c r="B3674" s="431" t="str">
        <f t="shared" si="57"/>
        <v>Knee Replacement PrimaryCCG of GP PracticeNHS CRAWLEY CCG (09H)EQ VAS</v>
      </c>
      <c r="C3674" t="s">
        <v>249</v>
      </c>
      <c r="D3674" t="s">
        <v>87</v>
      </c>
      <c r="E3674" t="s">
        <v>752</v>
      </c>
      <c r="F3674" t="s">
        <v>753</v>
      </c>
      <c r="G3674" t="s">
        <v>179</v>
      </c>
      <c r="H3674">
        <v>71</v>
      </c>
      <c r="I3674">
        <v>72.084999999999994</v>
      </c>
      <c r="J3674">
        <v>75.887</v>
      </c>
      <c r="K3674">
        <v>3.8029999999999999</v>
      </c>
      <c r="L3674">
        <v>34</v>
      </c>
      <c r="M3674">
        <v>13</v>
      </c>
      <c r="N3674">
        <v>24</v>
      </c>
      <c r="O3674">
        <v>74.111999999999995</v>
      </c>
      <c r="P3674">
        <v>5.4541144370000003</v>
      </c>
      <c r="Q3674">
        <v>12.054</v>
      </c>
    </row>
    <row r="3675" spans="1:17" x14ac:dyDescent="0.2">
      <c r="A3675" s="30" t="str">
        <f>IF(C3675&amp;G3675&amp;D3675&lt;&gt;'Funnel setup'!$K$3&amp;'Funnel setup'!$K$4&amp;'Funnel setup'!$K$5,".",IF(A3674=".",1,A3674+1))</f>
        <v>.</v>
      </c>
      <c r="B3675" s="431" t="str">
        <f t="shared" si="57"/>
        <v>Knee Replacement PrimaryCCG of GP PracticeNHS CROYDON CCG (07V)EQ VAS</v>
      </c>
      <c r="C3675" t="s">
        <v>249</v>
      </c>
      <c r="D3675" t="s">
        <v>87</v>
      </c>
      <c r="E3675" t="s">
        <v>755</v>
      </c>
      <c r="F3675" t="s">
        <v>756</v>
      </c>
      <c r="G3675" t="s">
        <v>179</v>
      </c>
      <c r="H3675">
        <v>110</v>
      </c>
      <c r="I3675">
        <v>66.718000000000004</v>
      </c>
      <c r="J3675">
        <v>73.745000000000005</v>
      </c>
      <c r="K3675">
        <v>7.0270000000000001</v>
      </c>
      <c r="L3675">
        <v>61</v>
      </c>
      <c r="M3675">
        <v>20</v>
      </c>
      <c r="N3675">
        <v>29</v>
      </c>
      <c r="O3675">
        <v>75.117000000000004</v>
      </c>
      <c r="P3675">
        <v>6.4583573459999997</v>
      </c>
      <c r="Q3675">
        <v>13.105</v>
      </c>
    </row>
    <row r="3676" spans="1:17" x14ac:dyDescent="0.2">
      <c r="A3676" s="30" t="str">
        <f>IF(C3676&amp;G3676&amp;D3676&lt;&gt;'Funnel setup'!$K$3&amp;'Funnel setup'!$K$4&amp;'Funnel setup'!$K$5,".",IF(A3675=".",1,A3675+1))</f>
        <v>.</v>
      </c>
      <c r="B3676" s="431" t="str">
        <f t="shared" si="57"/>
        <v>Knee Replacement PrimaryCCG of GP PracticeNHS CUMBRIA CCG (01H)EQ VAS</v>
      </c>
      <c r="C3676" t="s">
        <v>249</v>
      </c>
      <c r="D3676" t="s">
        <v>87</v>
      </c>
      <c r="E3676" t="s">
        <v>758</v>
      </c>
      <c r="F3676" t="s">
        <v>759</v>
      </c>
      <c r="G3676" t="s">
        <v>179</v>
      </c>
      <c r="H3676">
        <v>623</v>
      </c>
      <c r="I3676">
        <v>67.739999999999995</v>
      </c>
      <c r="J3676">
        <v>75.180999999999997</v>
      </c>
      <c r="K3676">
        <v>7.4409999999999998</v>
      </c>
      <c r="L3676">
        <v>354</v>
      </c>
      <c r="M3676">
        <v>100</v>
      </c>
      <c r="N3676">
        <v>169</v>
      </c>
      <c r="O3676">
        <v>75.331999999999994</v>
      </c>
      <c r="P3676">
        <v>6.6739758050000004</v>
      </c>
      <c r="Q3676">
        <v>14.657</v>
      </c>
    </row>
    <row r="3677" spans="1:17" x14ac:dyDescent="0.2">
      <c r="A3677" s="30" t="str">
        <f>IF(C3677&amp;G3677&amp;D3677&lt;&gt;'Funnel setup'!$K$3&amp;'Funnel setup'!$K$4&amp;'Funnel setup'!$K$5,".",IF(A3676=".",1,A3676+1))</f>
        <v>.</v>
      </c>
      <c r="B3677" s="431" t="str">
        <f t="shared" si="57"/>
        <v>Knee Replacement PrimaryCCG of GP PracticeNHS DARLINGTON CCG (00C)EQ VAS</v>
      </c>
      <c r="C3677" t="s">
        <v>249</v>
      </c>
      <c r="D3677" t="s">
        <v>87</v>
      </c>
      <c r="E3677" t="s">
        <v>761</v>
      </c>
      <c r="F3677" t="s">
        <v>762</v>
      </c>
      <c r="G3677" t="s">
        <v>179</v>
      </c>
      <c r="H3677">
        <v>69</v>
      </c>
      <c r="I3677">
        <v>64.564999999999998</v>
      </c>
      <c r="J3677">
        <v>74.855000000000004</v>
      </c>
      <c r="K3677">
        <v>10.29</v>
      </c>
      <c r="L3677">
        <v>44</v>
      </c>
      <c r="M3677">
        <v>9</v>
      </c>
      <c r="N3677">
        <v>16</v>
      </c>
      <c r="O3677">
        <v>76.585999999999999</v>
      </c>
      <c r="P3677">
        <v>7.9280119830000002</v>
      </c>
      <c r="Q3677">
        <v>13.846</v>
      </c>
    </row>
    <row r="3678" spans="1:17" x14ac:dyDescent="0.2">
      <c r="A3678" s="30" t="str">
        <f>IF(C3678&amp;G3678&amp;D3678&lt;&gt;'Funnel setup'!$K$3&amp;'Funnel setup'!$K$4&amp;'Funnel setup'!$K$5,".",IF(A3677=".",1,A3677+1))</f>
        <v>.</v>
      </c>
      <c r="B3678" s="431" t="str">
        <f t="shared" si="57"/>
        <v>Knee Replacement PrimaryCCG of GP PracticeNHS DARTFORD, GRAVESHAM AND SWANLEY CCG (09J)EQ VAS</v>
      </c>
      <c r="C3678" t="s">
        <v>249</v>
      </c>
      <c r="D3678" t="s">
        <v>87</v>
      </c>
      <c r="E3678" t="s">
        <v>764</v>
      </c>
      <c r="F3678" t="s">
        <v>765</v>
      </c>
      <c r="G3678" t="s">
        <v>179</v>
      </c>
      <c r="H3678">
        <v>148</v>
      </c>
      <c r="I3678">
        <v>69.953000000000003</v>
      </c>
      <c r="J3678">
        <v>75.350999999999999</v>
      </c>
      <c r="K3678">
        <v>5.399</v>
      </c>
      <c r="L3678">
        <v>80</v>
      </c>
      <c r="M3678">
        <v>22</v>
      </c>
      <c r="N3678">
        <v>46</v>
      </c>
      <c r="O3678">
        <v>74.994</v>
      </c>
      <c r="P3678">
        <v>6.3357679659999997</v>
      </c>
      <c r="Q3678">
        <v>14.936</v>
      </c>
    </row>
    <row r="3679" spans="1:17" x14ac:dyDescent="0.2">
      <c r="A3679" s="30" t="str">
        <f>IF(C3679&amp;G3679&amp;D3679&lt;&gt;'Funnel setup'!$K$3&amp;'Funnel setup'!$K$4&amp;'Funnel setup'!$K$5,".",IF(A3678=".",1,A3678+1))</f>
        <v>.</v>
      </c>
      <c r="B3679" s="431" t="str">
        <f t="shared" si="57"/>
        <v>Knee Replacement PrimaryCCG of GP PracticeNHS DONCASTER CCG (02X)EQ VAS</v>
      </c>
      <c r="C3679" t="s">
        <v>249</v>
      </c>
      <c r="D3679" t="s">
        <v>87</v>
      </c>
      <c r="E3679" t="s">
        <v>767</v>
      </c>
      <c r="F3679" t="s">
        <v>768</v>
      </c>
      <c r="G3679" t="s">
        <v>179</v>
      </c>
      <c r="H3679">
        <v>261</v>
      </c>
      <c r="I3679">
        <v>69.307000000000002</v>
      </c>
      <c r="J3679">
        <v>71.424999999999997</v>
      </c>
      <c r="K3679">
        <v>2.1190000000000002</v>
      </c>
      <c r="L3679">
        <v>127</v>
      </c>
      <c r="M3679">
        <v>44</v>
      </c>
      <c r="N3679">
        <v>90</v>
      </c>
      <c r="O3679">
        <v>72.293999999999997</v>
      </c>
      <c r="P3679">
        <v>3.6357178480000001</v>
      </c>
      <c r="Q3679">
        <v>17.256</v>
      </c>
    </row>
    <row r="3680" spans="1:17" x14ac:dyDescent="0.2">
      <c r="A3680" s="30" t="str">
        <f>IF(C3680&amp;G3680&amp;D3680&lt;&gt;'Funnel setup'!$K$3&amp;'Funnel setup'!$K$4&amp;'Funnel setup'!$K$5,".",IF(A3679=".",1,A3679+1))</f>
        <v>.</v>
      </c>
      <c r="B3680" s="431" t="str">
        <f t="shared" si="57"/>
        <v>Knee Replacement PrimaryCCG of GP PracticeNHS DORSET CCG (11J)EQ VAS</v>
      </c>
      <c r="C3680" t="s">
        <v>249</v>
      </c>
      <c r="D3680" t="s">
        <v>87</v>
      </c>
      <c r="E3680" t="s">
        <v>854</v>
      </c>
      <c r="F3680" t="s">
        <v>855</v>
      </c>
      <c r="G3680" t="s">
        <v>179</v>
      </c>
      <c r="H3680">
        <v>629</v>
      </c>
      <c r="I3680">
        <v>70.727000000000004</v>
      </c>
      <c r="J3680">
        <v>76.307000000000002</v>
      </c>
      <c r="K3680">
        <v>5.58</v>
      </c>
      <c r="L3680">
        <v>343</v>
      </c>
      <c r="M3680">
        <v>80</v>
      </c>
      <c r="N3680">
        <v>206</v>
      </c>
      <c r="O3680">
        <v>75.2</v>
      </c>
      <c r="P3680">
        <v>6.541363145</v>
      </c>
      <c r="Q3680">
        <v>14.202</v>
      </c>
    </row>
    <row r="3681" spans="1:17" x14ac:dyDescent="0.2">
      <c r="A3681" s="30" t="str">
        <f>IF(C3681&amp;G3681&amp;D3681&lt;&gt;'Funnel setup'!$K$3&amp;'Funnel setup'!$K$4&amp;'Funnel setup'!$K$5,".",IF(A3680=".",1,A3680+1))</f>
        <v>.</v>
      </c>
      <c r="B3681" s="431" t="str">
        <f t="shared" si="57"/>
        <v>Knee Replacement PrimaryCCG of GP PracticeNHS DUDLEY CCG (05C)EQ VAS</v>
      </c>
      <c r="C3681" t="s">
        <v>249</v>
      </c>
      <c r="D3681" t="s">
        <v>87</v>
      </c>
      <c r="E3681" t="s">
        <v>857</v>
      </c>
      <c r="F3681" t="s">
        <v>858</v>
      </c>
      <c r="G3681" t="s">
        <v>179</v>
      </c>
      <c r="H3681">
        <v>279</v>
      </c>
      <c r="I3681">
        <v>67.796000000000006</v>
      </c>
      <c r="J3681">
        <v>73.501999999999995</v>
      </c>
      <c r="K3681">
        <v>5.7060000000000004</v>
      </c>
      <c r="L3681">
        <v>164</v>
      </c>
      <c r="M3681">
        <v>31</v>
      </c>
      <c r="N3681">
        <v>84</v>
      </c>
      <c r="O3681">
        <v>74.632000000000005</v>
      </c>
      <c r="P3681">
        <v>5.9737521259999999</v>
      </c>
      <c r="Q3681">
        <v>15.722</v>
      </c>
    </row>
    <row r="3682" spans="1:17" x14ac:dyDescent="0.2">
      <c r="A3682" s="30" t="str">
        <f>IF(C3682&amp;G3682&amp;D3682&lt;&gt;'Funnel setup'!$K$3&amp;'Funnel setup'!$K$4&amp;'Funnel setup'!$K$5,".",IF(A3681=".",1,A3681+1))</f>
        <v>.</v>
      </c>
      <c r="B3682" s="431" t="str">
        <f t="shared" si="57"/>
        <v>Knee Replacement PrimaryCCG of GP PracticeNHS DURHAM DALES, EASINGTON AND SEDGEFIELD CCG (00D)EQ VAS</v>
      </c>
      <c r="C3682" t="s">
        <v>249</v>
      </c>
      <c r="D3682" t="s">
        <v>87</v>
      </c>
      <c r="E3682" t="s">
        <v>860</v>
      </c>
      <c r="F3682" t="s">
        <v>861</v>
      </c>
      <c r="G3682" t="s">
        <v>179</v>
      </c>
      <c r="H3682">
        <v>265</v>
      </c>
      <c r="I3682">
        <v>67.331999999999994</v>
      </c>
      <c r="J3682">
        <v>71.268000000000001</v>
      </c>
      <c r="K3682">
        <v>3.9359999999999999</v>
      </c>
      <c r="L3682">
        <v>149</v>
      </c>
      <c r="M3682">
        <v>34</v>
      </c>
      <c r="N3682">
        <v>82</v>
      </c>
      <c r="O3682">
        <v>73.674999999999997</v>
      </c>
      <c r="P3682">
        <v>5.0169965879999996</v>
      </c>
      <c r="Q3682">
        <v>16.779</v>
      </c>
    </row>
    <row r="3683" spans="1:17" x14ac:dyDescent="0.2">
      <c r="A3683" s="30" t="str">
        <f>IF(C3683&amp;G3683&amp;D3683&lt;&gt;'Funnel setup'!$K$3&amp;'Funnel setup'!$K$4&amp;'Funnel setup'!$K$5,".",IF(A3682=".",1,A3682+1))</f>
        <v>.</v>
      </c>
      <c r="B3683" s="431" t="str">
        <f t="shared" si="57"/>
        <v>Knee Replacement PrimaryCCG of GP PracticeNHS EALING CCG (07W)EQ VAS</v>
      </c>
      <c r="C3683" t="s">
        <v>249</v>
      </c>
      <c r="D3683" t="s">
        <v>87</v>
      </c>
      <c r="E3683" t="s">
        <v>863</v>
      </c>
      <c r="F3683" t="s">
        <v>864</v>
      </c>
      <c r="G3683" t="s">
        <v>179</v>
      </c>
      <c r="H3683">
        <v>81</v>
      </c>
      <c r="I3683">
        <v>58.481000000000002</v>
      </c>
      <c r="J3683">
        <v>70.197999999999993</v>
      </c>
      <c r="K3683">
        <v>11.715999999999999</v>
      </c>
      <c r="L3683">
        <v>57</v>
      </c>
      <c r="M3683">
        <v>10</v>
      </c>
      <c r="N3683">
        <v>14</v>
      </c>
      <c r="O3683">
        <v>75.975999999999999</v>
      </c>
      <c r="P3683">
        <v>7.3173097690000004</v>
      </c>
      <c r="Q3683">
        <v>14.997</v>
      </c>
    </row>
    <row r="3684" spans="1:17" x14ac:dyDescent="0.2">
      <c r="A3684" s="30" t="str">
        <f>IF(C3684&amp;G3684&amp;D3684&lt;&gt;'Funnel setup'!$K$3&amp;'Funnel setup'!$K$4&amp;'Funnel setup'!$K$5,".",IF(A3683=".",1,A3683+1))</f>
        <v>.</v>
      </c>
      <c r="B3684" s="431" t="str">
        <f t="shared" si="57"/>
        <v>Knee Replacement PrimaryCCG of GP PracticeNHS EAST AND NORTH HERTFORDSHIRE CCG (06K)EQ VAS</v>
      </c>
      <c r="C3684" t="s">
        <v>249</v>
      </c>
      <c r="D3684" t="s">
        <v>87</v>
      </c>
      <c r="E3684" t="s">
        <v>866</v>
      </c>
      <c r="F3684" t="s">
        <v>867</v>
      </c>
      <c r="G3684" t="s">
        <v>179</v>
      </c>
      <c r="H3684">
        <v>300</v>
      </c>
      <c r="I3684">
        <v>68.626999999999995</v>
      </c>
      <c r="J3684">
        <v>74.106999999999999</v>
      </c>
      <c r="K3684">
        <v>5.48</v>
      </c>
      <c r="L3684">
        <v>167</v>
      </c>
      <c r="M3684">
        <v>43</v>
      </c>
      <c r="N3684">
        <v>90</v>
      </c>
      <c r="O3684">
        <v>73.447000000000003</v>
      </c>
      <c r="P3684">
        <v>4.7882654929999999</v>
      </c>
      <c r="Q3684">
        <v>16.187000000000001</v>
      </c>
    </row>
    <row r="3685" spans="1:17" x14ac:dyDescent="0.2">
      <c r="A3685" s="30" t="str">
        <f>IF(C3685&amp;G3685&amp;D3685&lt;&gt;'Funnel setup'!$K$3&amp;'Funnel setup'!$K$4&amp;'Funnel setup'!$K$5,".",IF(A3684=".",1,A3684+1))</f>
        <v>.</v>
      </c>
      <c r="B3685" s="431" t="str">
        <f t="shared" si="57"/>
        <v>Knee Replacement PrimaryCCG of GP PracticeNHS EAST LANCASHIRE CCG (01A)EQ VAS</v>
      </c>
      <c r="C3685" t="s">
        <v>249</v>
      </c>
      <c r="D3685" t="s">
        <v>87</v>
      </c>
      <c r="E3685" t="s">
        <v>869</v>
      </c>
      <c r="F3685" t="s">
        <v>870</v>
      </c>
      <c r="G3685" t="s">
        <v>179</v>
      </c>
      <c r="H3685">
        <v>182</v>
      </c>
      <c r="I3685">
        <v>64.593000000000004</v>
      </c>
      <c r="J3685">
        <v>75.466999999999999</v>
      </c>
      <c r="K3685">
        <v>10.874000000000001</v>
      </c>
      <c r="L3685">
        <v>118</v>
      </c>
      <c r="M3685">
        <v>16</v>
      </c>
      <c r="N3685">
        <v>48</v>
      </c>
      <c r="O3685">
        <v>77.284000000000006</v>
      </c>
      <c r="P3685">
        <v>8.6261481629999999</v>
      </c>
      <c r="Q3685">
        <v>14.901999999999999</v>
      </c>
    </row>
    <row r="3686" spans="1:17" x14ac:dyDescent="0.2">
      <c r="A3686" s="30" t="str">
        <f>IF(C3686&amp;G3686&amp;D3686&lt;&gt;'Funnel setup'!$K$3&amp;'Funnel setup'!$K$4&amp;'Funnel setup'!$K$5,".",IF(A3685=".",1,A3685+1))</f>
        <v>.</v>
      </c>
      <c r="B3686" s="431" t="str">
        <f t="shared" si="57"/>
        <v>Knee Replacement PrimaryCCG of GP PracticeNHS EAST LEICESTERSHIRE AND RUTLAND CCG (03W)EQ VAS</v>
      </c>
      <c r="C3686" t="s">
        <v>249</v>
      </c>
      <c r="D3686" t="s">
        <v>87</v>
      </c>
      <c r="E3686" t="s">
        <v>872</v>
      </c>
      <c r="F3686" t="s">
        <v>873</v>
      </c>
      <c r="G3686" t="s">
        <v>179</v>
      </c>
      <c r="H3686">
        <v>322</v>
      </c>
      <c r="I3686">
        <v>66.698999999999998</v>
      </c>
      <c r="J3686">
        <v>74.77</v>
      </c>
      <c r="K3686">
        <v>8.0709999999999997</v>
      </c>
      <c r="L3686">
        <v>196</v>
      </c>
      <c r="M3686">
        <v>45</v>
      </c>
      <c r="N3686">
        <v>81</v>
      </c>
      <c r="O3686">
        <v>74.631</v>
      </c>
      <c r="P3686">
        <v>5.9726385569999998</v>
      </c>
      <c r="Q3686">
        <v>14.263</v>
      </c>
    </row>
    <row r="3687" spans="1:17" x14ac:dyDescent="0.2">
      <c r="A3687" s="30" t="str">
        <f>IF(C3687&amp;G3687&amp;D3687&lt;&gt;'Funnel setup'!$K$3&amp;'Funnel setup'!$K$4&amp;'Funnel setup'!$K$5,".",IF(A3686=".",1,A3686+1))</f>
        <v>.</v>
      </c>
      <c r="B3687" s="431" t="str">
        <f t="shared" si="57"/>
        <v>Knee Replacement PrimaryCCG of GP PracticeNHS EAST RIDING OF YORKSHIRE CCG (02Y)EQ VAS</v>
      </c>
      <c r="C3687" t="s">
        <v>249</v>
      </c>
      <c r="D3687" t="s">
        <v>87</v>
      </c>
      <c r="E3687" t="s">
        <v>875</v>
      </c>
      <c r="F3687" t="s">
        <v>876</v>
      </c>
      <c r="G3687" t="s">
        <v>179</v>
      </c>
      <c r="H3687">
        <v>345</v>
      </c>
      <c r="I3687">
        <v>67.599999999999994</v>
      </c>
      <c r="J3687">
        <v>74.442999999999998</v>
      </c>
      <c r="K3687">
        <v>6.843</v>
      </c>
      <c r="L3687">
        <v>196</v>
      </c>
      <c r="M3687">
        <v>48</v>
      </c>
      <c r="N3687">
        <v>101</v>
      </c>
      <c r="O3687">
        <v>73.921999999999997</v>
      </c>
      <c r="P3687">
        <v>5.2641634049999997</v>
      </c>
      <c r="Q3687">
        <v>16.128</v>
      </c>
    </row>
    <row r="3688" spans="1:17" x14ac:dyDescent="0.2">
      <c r="A3688" s="30" t="str">
        <f>IF(C3688&amp;G3688&amp;D3688&lt;&gt;'Funnel setup'!$K$3&amp;'Funnel setup'!$K$4&amp;'Funnel setup'!$K$5,".",IF(A3687=".",1,A3687+1))</f>
        <v>.</v>
      </c>
      <c r="B3688" s="431" t="str">
        <f t="shared" si="57"/>
        <v>Knee Replacement PrimaryCCG of GP PracticeNHS EAST STAFFORDSHIRE CCG (05D)EQ VAS</v>
      </c>
      <c r="C3688" t="s">
        <v>249</v>
      </c>
      <c r="D3688" t="s">
        <v>87</v>
      </c>
      <c r="E3688" t="s">
        <v>878</v>
      </c>
      <c r="F3688" t="s">
        <v>879</v>
      </c>
      <c r="G3688" t="s">
        <v>179</v>
      </c>
      <c r="H3688">
        <v>128</v>
      </c>
      <c r="I3688">
        <v>69.944999999999993</v>
      </c>
      <c r="J3688">
        <v>74.555000000000007</v>
      </c>
      <c r="K3688">
        <v>4.609</v>
      </c>
      <c r="L3688">
        <v>68</v>
      </c>
      <c r="M3688">
        <v>13</v>
      </c>
      <c r="N3688">
        <v>47</v>
      </c>
      <c r="O3688">
        <v>73.41</v>
      </c>
      <c r="P3688">
        <v>4.751365625</v>
      </c>
      <c r="Q3688">
        <v>16.016999999999999</v>
      </c>
    </row>
    <row r="3689" spans="1:17" x14ac:dyDescent="0.2">
      <c r="A3689" s="30" t="str">
        <f>IF(C3689&amp;G3689&amp;D3689&lt;&gt;'Funnel setup'!$K$3&amp;'Funnel setup'!$K$4&amp;'Funnel setup'!$K$5,".",IF(A3688=".",1,A3688+1))</f>
        <v>.</v>
      </c>
      <c r="B3689" s="431" t="str">
        <f t="shared" si="57"/>
        <v>Knee Replacement PrimaryCCG of GP PracticeNHS EAST SURREY CCG (09L)EQ VAS</v>
      </c>
      <c r="C3689" t="s">
        <v>249</v>
      </c>
      <c r="D3689" t="s">
        <v>87</v>
      </c>
      <c r="E3689" t="s">
        <v>881</v>
      </c>
      <c r="F3689" t="s">
        <v>882</v>
      </c>
      <c r="G3689" t="s">
        <v>179</v>
      </c>
      <c r="H3689">
        <v>113</v>
      </c>
      <c r="I3689">
        <v>67.132999999999996</v>
      </c>
      <c r="J3689">
        <v>73.938000000000002</v>
      </c>
      <c r="K3689">
        <v>6.8049999999999997</v>
      </c>
      <c r="L3689">
        <v>61</v>
      </c>
      <c r="M3689">
        <v>16</v>
      </c>
      <c r="N3689">
        <v>36</v>
      </c>
      <c r="O3689">
        <v>74.009</v>
      </c>
      <c r="P3689">
        <v>5.3510387750000001</v>
      </c>
      <c r="Q3689">
        <v>13.862</v>
      </c>
    </row>
    <row r="3690" spans="1:17" x14ac:dyDescent="0.2">
      <c r="A3690" s="30" t="str">
        <f>IF(C3690&amp;G3690&amp;D3690&lt;&gt;'Funnel setup'!$K$3&amp;'Funnel setup'!$K$4&amp;'Funnel setup'!$K$5,".",IF(A3689=".",1,A3689+1))</f>
        <v>.</v>
      </c>
      <c r="B3690" s="431" t="str">
        <f t="shared" si="57"/>
        <v>Knee Replacement PrimaryCCG of GP PracticeNHS EASTBOURNE, HAILSHAM AND SEAFORD CCG (09F)EQ VAS</v>
      </c>
      <c r="C3690" t="s">
        <v>249</v>
      </c>
      <c r="D3690" t="s">
        <v>87</v>
      </c>
      <c r="E3690" t="s">
        <v>884</v>
      </c>
      <c r="F3690" t="s">
        <v>885</v>
      </c>
      <c r="G3690" t="s">
        <v>179</v>
      </c>
      <c r="H3690">
        <v>282</v>
      </c>
      <c r="I3690">
        <v>69.956999999999994</v>
      </c>
      <c r="J3690">
        <v>75.784000000000006</v>
      </c>
      <c r="K3690">
        <v>5.8259999999999996</v>
      </c>
      <c r="L3690">
        <v>154</v>
      </c>
      <c r="M3690">
        <v>37</v>
      </c>
      <c r="N3690">
        <v>91</v>
      </c>
      <c r="O3690">
        <v>74.754999999999995</v>
      </c>
      <c r="P3690">
        <v>6.0961792790000002</v>
      </c>
      <c r="Q3690">
        <v>14.516</v>
      </c>
    </row>
    <row r="3691" spans="1:17" x14ac:dyDescent="0.2">
      <c r="A3691" s="30" t="str">
        <f>IF(C3691&amp;G3691&amp;D3691&lt;&gt;'Funnel setup'!$K$3&amp;'Funnel setup'!$K$4&amp;'Funnel setup'!$K$5,".",IF(A3690=".",1,A3690+1))</f>
        <v>.</v>
      </c>
      <c r="B3691" s="431" t="str">
        <f t="shared" si="57"/>
        <v>Knee Replacement PrimaryCCG of GP PracticeNHS EASTERN CHESHIRE CCG (01C)EQ VAS</v>
      </c>
      <c r="C3691" t="s">
        <v>249</v>
      </c>
      <c r="D3691" t="s">
        <v>87</v>
      </c>
      <c r="E3691" t="s">
        <v>887</v>
      </c>
      <c r="F3691" t="s">
        <v>888</v>
      </c>
      <c r="G3691" t="s">
        <v>179</v>
      </c>
      <c r="H3691">
        <v>123</v>
      </c>
      <c r="I3691">
        <v>68.667000000000002</v>
      </c>
      <c r="J3691">
        <v>77.260000000000005</v>
      </c>
      <c r="K3691">
        <v>8.593</v>
      </c>
      <c r="L3691">
        <v>77</v>
      </c>
      <c r="M3691">
        <v>16</v>
      </c>
      <c r="N3691">
        <v>30</v>
      </c>
      <c r="O3691">
        <v>75.415999999999997</v>
      </c>
      <c r="P3691">
        <v>6.7577476499999998</v>
      </c>
      <c r="Q3691">
        <v>14.7</v>
      </c>
    </row>
    <row r="3692" spans="1:17" x14ac:dyDescent="0.2">
      <c r="A3692" s="30" t="str">
        <f>IF(C3692&amp;G3692&amp;D3692&lt;&gt;'Funnel setup'!$K$3&amp;'Funnel setup'!$K$4&amp;'Funnel setup'!$K$5,".",IF(A3691=".",1,A3691+1))</f>
        <v>.</v>
      </c>
      <c r="B3692" s="431" t="str">
        <f t="shared" si="57"/>
        <v>Knee Replacement PrimaryCCG of GP PracticeNHS ENFIELD CCG (07X)EQ VAS</v>
      </c>
      <c r="C3692" t="s">
        <v>249</v>
      </c>
      <c r="D3692" t="s">
        <v>87</v>
      </c>
      <c r="E3692" t="s">
        <v>890</v>
      </c>
      <c r="F3692" t="s">
        <v>891</v>
      </c>
      <c r="G3692" t="s">
        <v>179</v>
      </c>
      <c r="H3692">
        <v>96</v>
      </c>
      <c r="I3692">
        <v>60.563000000000002</v>
      </c>
      <c r="J3692">
        <v>70.792000000000002</v>
      </c>
      <c r="K3692">
        <v>10.228999999999999</v>
      </c>
      <c r="L3692">
        <v>64</v>
      </c>
      <c r="M3692">
        <v>7</v>
      </c>
      <c r="N3692">
        <v>25</v>
      </c>
      <c r="O3692">
        <v>74.197999999999993</v>
      </c>
      <c r="P3692">
        <v>5.5393018390000002</v>
      </c>
      <c r="Q3692">
        <v>16.852</v>
      </c>
    </row>
    <row r="3693" spans="1:17" x14ac:dyDescent="0.2">
      <c r="A3693" s="30" t="str">
        <f>IF(C3693&amp;G3693&amp;D3693&lt;&gt;'Funnel setup'!$K$3&amp;'Funnel setup'!$K$4&amp;'Funnel setup'!$K$5,".",IF(A3692=".",1,A3692+1))</f>
        <v>.</v>
      </c>
      <c r="B3693" s="431" t="str">
        <f t="shared" si="57"/>
        <v>Knee Replacement PrimaryCCG of GP PracticeNHS EREWASH CCG (03X)EQ VAS</v>
      </c>
      <c r="C3693" t="s">
        <v>249</v>
      </c>
      <c r="D3693" t="s">
        <v>87</v>
      </c>
      <c r="E3693" t="s">
        <v>893</v>
      </c>
      <c r="F3693" t="s">
        <v>894</v>
      </c>
      <c r="G3693" t="s">
        <v>179</v>
      </c>
      <c r="H3693">
        <v>116</v>
      </c>
      <c r="I3693">
        <v>71.706999999999994</v>
      </c>
      <c r="J3693">
        <v>75.233000000000004</v>
      </c>
      <c r="K3693">
        <v>3.5259999999999998</v>
      </c>
      <c r="L3693">
        <v>62</v>
      </c>
      <c r="M3693">
        <v>21</v>
      </c>
      <c r="N3693">
        <v>33</v>
      </c>
      <c r="O3693">
        <v>73.552000000000007</v>
      </c>
      <c r="P3693">
        <v>4.8936323240000004</v>
      </c>
      <c r="Q3693">
        <v>14.913</v>
      </c>
    </row>
    <row r="3694" spans="1:17" x14ac:dyDescent="0.2">
      <c r="A3694" s="30" t="str">
        <f>IF(C3694&amp;G3694&amp;D3694&lt;&gt;'Funnel setup'!$K$3&amp;'Funnel setup'!$K$4&amp;'Funnel setup'!$K$5,".",IF(A3693=".",1,A3693+1))</f>
        <v>.</v>
      </c>
      <c r="B3694" s="431" t="str">
        <f t="shared" si="57"/>
        <v>Knee Replacement PrimaryCCG of GP PracticeNHS FAREHAM AND GOSPORT CCG (10K)EQ VAS</v>
      </c>
      <c r="C3694" t="s">
        <v>249</v>
      </c>
      <c r="D3694" t="s">
        <v>87</v>
      </c>
      <c r="E3694" t="s">
        <v>896</v>
      </c>
      <c r="F3694" t="s">
        <v>897</v>
      </c>
      <c r="G3694" t="s">
        <v>179</v>
      </c>
      <c r="H3694">
        <v>90</v>
      </c>
      <c r="I3694">
        <v>71.367000000000004</v>
      </c>
      <c r="J3694">
        <v>76.033000000000001</v>
      </c>
      <c r="K3694">
        <v>4.6669999999999998</v>
      </c>
      <c r="L3694">
        <v>54</v>
      </c>
      <c r="M3694">
        <v>6</v>
      </c>
      <c r="N3694">
        <v>30</v>
      </c>
      <c r="O3694">
        <v>73.951999999999998</v>
      </c>
      <c r="P3694">
        <v>5.2934743380000002</v>
      </c>
      <c r="Q3694">
        <v>18.599</v>
      </c>
    </row>
    <row r="3695" spans="1:17" x14ac:dyDescent="0.2">
      <c r="A3695" s="30" t="str">
        <f>IF(C3695&amp;G3695&amp;D3695&lt;&gt;'Funnel setup'!$K$3&amp;'Funnel setup'!$K$4&amp;'Funnel setup'!$K$5,".",IF(A3694=".",1,A3694+1))</f>
        <v>.</v>
      </c>
      <c r="B3695" s="431" t="str">
        <f t="shared" si="57"/>
        <v>Knee Replacement PrimaryCCG of GP PracticeNHS FYLDE &amp; WYRE CCG (02M)EQ VAS</v>
      </c>
      <c r="C3695" t="s">
        <v>249</v>
      </c>
      <c r="D3695" t="s">
        <v>87</v>
      </c>
      <c r="E3695" t="s">
        <v>899</v>
      </c>
      <c r="F3695" t="s">
        <v>900</v>
      </c>
      <c r="G3695" t="s">
        <v>179</v>
      </c>
      <c r="H3695">
        <v>70</v>
      </c>
      <c r="I3695">
        <v>69.257000000000005</v>
      </c>
      <c r="J3695">
        <v>73.456999999999994</v>
      </c>
      <c r="K3695">
        <v>4.2</v>
      </c>
      <c r="L3695">
        <v>42</v>
      </c>
      <c r="M3695">
        <v>9</v>
      </c>
      <c r="N3695">
        <v>19</v>
      </c>
      <c r="O3695">
        <v>72.617999999999995</v>
      </c>
      <c r="P3695">
        <v>3.9594713970000002</v>
      </c>
      <c r="Q3695">
        <v>19.292999999999999</v>
      </c>
    </row>
    <row r="3696" spans="1:17" x14ac:dyDescent="0.2">
      <c r="A3696" s="30" t="str">
        <f>IF(C3696&amp;G3696&amp;D3696&lt;&gt;'Funnel setup'!$K$3&amp;'Funnel setup'!$K$4&amp;'Funnel setup'!$K$5,".",IF(A3695=".",1,A3695+1))</f>
        <v>.</v>
      </c>
      <c r="B3696" s="431" t="str">
        <f t="shared" si="57"/>
        <v>Knee Replacement PrimaryCCG of GP PracticeNHS GLOUCESTERSHIRE CCG (11M)EQ VAS</v>
      </c>
      <c r="C3696" t="s">
        <v>249</v>
      </c>
      <c r="D3696" t="s">
        <v>87</v>
      </c>
      <c r="E3696" t="s">
        <v>902</v>
      </c>
      <c r="F3696" t="s">
        <v>903</v>
      </c>
      <c r="G3696" t="s">
        <v>179</v>
      </c>
      <c r="H3696">
        <v>381</v>
      </c>
      <c r="I3696">
        <v>72.575000000000003</v>
      </c>
      <c r="J3696">
        <v>76.614000000000004</v>
      </c>
      <c r="K3696">
        <v>4.0389999999999997</v>
      </c>
      <c r="L3696">
        <v>196</v>
      </c>
      <c r="M3696">
        <v>52</v>
      </c>
      <c r="N3696">
        <v>133</v>
      </c>
      <c r="O3696">
        <v>74.061000000000007</v>
      </c>
      <c r="P3696">
        <v>5.4026713160000002</v>
      </c>
      <c r="Q3696">
        <v>14.476000000000001</v>
      </c>
    </row>
    <row r="3697" spans="1:17" x14ac:dyDescent="0.2">
      <c r="A3697" s="30" t="str">
        <f>IF(C3697&amp;G3697&amp;D3697&lt;&gt;'Funnel setup'!$K$3&amp;'Funnel setup'!$K$4&amp;'Funnel setup'!$K$5,".",IF(A3696=".",1,A3696+1))</f>
        <v>.</v>
      </c>
      <c r="B3697" s="431" t="str">
        <f t="shared" si="57"/>
        <v>Knee Replacement PrimaryCCG of GP PracticeNHS GREAT YARMOUTH AND WAVENEY CCG (06M)EQ VAS</v>
      </c>
      <c r="C3697" t="s">
        <v>249</v>
      </c>
      <c r="D3697" t="s">
        <v>87</v>
      </c>
      <c r="E3697" t="s">
        <v>905</v>
      </c>
      <c r="F3697" t="s">
        <v>906</v>
      </c>
      <c r="G3697" t="s">
        <v>179</v>
      </c>
      <c r="H3697">
        <v>190</v>
      </c>
      <c r="I3697">
        <v>69.2</v>
      </c>
      <c r="J3697">
        <v>74.311000000000007</v>
      </c>
      <c r="K3697">
        <v>5.1109999999999998</v>
      </c>
      <c r="L3697">
        <v>112</v>
      </c>
      <c r="M3697">
        <v>19</v>
      </c>
      <c r="N3697">
        <v>59</v>
      </c>
      <c r="O3697">
        <v>74.539000000000001</v>
      </c>
      <c r="P3697">
        <v>5.8810778069999996</v>
      </c>
      <c r="Q3697">
        <v>14.911</v>
      </c>
    </row>
    <row r="3698" spans="1:17" x14ac:dyDescent="0.2">
      <c r="A3698" s="30" t="str">
        <f>IF(C3698&amp;G3698&amp;D3698&lt;&gt;'Funnel setup'!$K$3&amp;'Funnel setup'!$K$4&amp;'Funnel setup'!$K$5,".",IF(A3697=".",1,A3697+1))</f>
        <v>.</v>
      </c>
      <c r="B3698" s="431" t="str">
        <f t="shared" si="57"/>
        <v>Knee Replacement PrimaryCCG of GP PracticeNHS GREATER HUDDERSFIELD CCG (03A)EQ VAS</v>
      </c>
      <c r="C3698" t="s">
        <v>249</v>
      </c>
      <c r="D3698" t="s">
        <v>87</v>
      </c>
      <c r="E3698" t="s">
        <v>908</v>
      </c>
      <c r="F3698" t="s">
        <v>909</v>
      </c>
      <c r="G3698" t="s">
        <v>179</v>
      </c>
      <c r="H3698">
        <v>161</v>
      </c>
      <c r="I3698">
        <v>68.956999999999994</v>
      </c>
      <c r="J3698">
        <v>73.596000000000004</v>
      </c>
      <c r="K3698">
        <v>4.6399999999999997</v>
      </c>
      <c r="L3698">
        <v>84</v>
      </c>
      <c r="M3698">
        <v>24</v>
      </c>
      <c r="N3698">
        <v>53</v>
      </c>
      <c r="O3698">
        <v>73.171999999999997</v>
      </c>
      <c r="P3698">
        <v>4.5132877919999999</v>
      </c>
      <c r="Q3698">
        <v>17.123999999999999</v>
      </c>
    </row>
    <row r="3699" spans="1:17" x14ac:dyDescent="0.2">
      <c r="A3699" s="30" t="str">
        <f>IF(C3699&amp;G3699&amp;D3699&lt;&gt;'Funnel setup'!$K$3&amp;'Funnel setup'!$K$4&amp;'Funnel setup'!$K$5,".",IF(A3698=".",1,A3698+1))</f>
        <v>.</v>
      </c>
      <c r="B3699" s="431" t="str">
        <f t="shared" si="57"/>
        <v>Knee Replacement PrimaryCCG of GP PracticeNHS GREATER PRESTON CCG (01E)EQ VAS</v>
      </c>
      <c r="C3699" t="s">
        <v>249</v>
      </c>
      <c r="D3699" t="s">
        <v>87</v>
      </c>
      <c r="E3699" t="s">
        <v>486</v>
      </c>
      <c r="F3699" t="s">
        <v>487</v>
      </c>
      <c r="G3699" t="s">
        <v>179</v>
      </c>
      <c r="H3699">
        <v>234</v>
      </c>
      <c r="I3699">
        <v>70.09</v>
      </c>
      <c r="J3699">
        <v>75.415000000000006</v>
      </c>
      <c r="K3699">
        <v>5.3250000000000002</v>
      </c>
      <c r="L3699">
        <v>129</v>
      </c>
      <c r="M3699">
        <v>43</v>
      </c>
      <c r="N3699">
        <v>62</v>
      </c>
      <c r="O3699">
        <v>74.896000000000001</v>
      </c>
      <c r="P3699">
        <v>6.237367141</v>
      </c>
      <c r="Q3699">
        <v>15.212</v>
      </c>
    </row>
    <row r="3700" spans="1:17" x14ac:dyDescent="0.2">
      <c r="A3700" s="30" t="str">
        <f>IF(C3700&amp;G3700&amp;D3700&lt;&gt;'Funnel setup'!$K$3&amp;'Funnel setup'!$K$4&amp;'Funnel setup'!$K$5,".",IF(A3699=".",1,A3699+1))</f>
        <v>.</v>
      </c>
      <c r="B3700" s="431" t="str">
        <f t="shared" si="57"/>
        <v>Knee Replacement PrimaryCCG of GP PracticeNHS GREENWICH CCG (08A)EQ VAS</v>
      </c>
      <c r="C3700" t="s">
        <v>249</v>
      </c>
      <c r="D3700" t="s">
        <v>87</v>
      </c>
      <c r="E3700" t="s">
        <v>489</v>
      </c>
      <c r="F3700" t="s">
        <v>490</v>
      </c>
      <c r="G3700" t="s">
        <v>179</v>
      </c>
      <c r="H3700">
        <v>55</v>
      </c>
      <c r="I3700">
        <v>68.144999999999996</v>
      </c>
      <c r="J3700">
        <v>73.891000000000005</v>
      </c>
      <c r="K3700">
        <v>5.7450000000000001</v>
      </c>
      <c r="L3700">
        <v>35</v>
      </c>
      <c r="M3700">
        <v>7</v>
      </c>
      <c r="N3700">
        <v>13</v>
      </c>
      <c r="O3700">
        <v>74.918000000000006</v>
      </c>
      <c r="P3700">
        <v>6.2596017179999999</v>
      </c>
      <c r="Q3700">
        <v>18.093</v>
      </c>
    </row>
    <row r="3701" spans="1:17" x14ac:dyDescent="0.2">
      <c r="A3701" s="30" t="str">
        <f>IF(C3701&amp;G3701&amp;D3701&lt;&gt;'Funnel setup'!$K$3&amp;'Funnel setup'!$K$4&amp;'Funnel setup'!$K$5,".",IF(A3700=".",1,A3700+1))</f>
        <v>.</v>
      </c>
      <c r="B3701" s="431" t="str">
        <f t="shared" si="57"/>
        <v>Knee Replacement PrimaryCCG of GP PracticeNHS GUILDFORD AND WAVERLEY CCG (09N)EQ VAS</v>
      </c>
      <c r="C3701" t="s">
        <v>249</v>
      </c>
      <c r="D3701" t="s">
        <v>87</v>
      </c>
      <c r="E3701" t="s">
        <v>911</v>
      </c>
      <c r="F3701" t="s">
        <v>912</v>
      </c>
      <c r="G3701" t="s">
        <v>179</v>
      </c>
      <c r="H3701">
        <v>87</v>
      </c>
      <c r="I3701">
        <v>70.552000000000007</v>
      </c>
      <c r="J3701">
        <v>77.620999999999995</v>
      </c>
      <c r="K3701">
        <v>7.069</v>
      </c>
      <c r="L3701">
        <v>52</v>
      </c>
      <c r="M3701">
        <v>9</v>
      </c>
      <c r="N3701">
        <v>26</v>
      </c>
      <c r="O3701">
        <v>75.117000000000004</v>
      </c>
      <c r="P3701">
        <v>6.4590138220000002</v>
      </c>
      <c r="Q3701">
        <v>14.037000000000001</v>
      </c>
    </row>
    <row r="3702" spans="1:17" x14ac:dyDescent="0.2">
      <c r="A3702" s="30" t="str">
        <f>IF(C3702&amp;G3702&amp;D3702&lt;&gt;'Funnel setup'!$K$3&amp;'Funnel setup'!$K$4&amp;'Funnel setup'!$K$5,".",IF(A3701=".",1,A3701+1))</f>
        <v>.</v>
      </c>
      <c r="B3702" s="431" t="str">
        <f t="shared" si="57"/>
        <v>Knee Replacement PrimaryCCG of GP PracticeNHS HALTON CCG (01F)EQ VAS</v>
      </c>
      <c r="C3702" t="s">
        <v>249</v>
      </c>
      <c r="D3702" t="s">
        <v>87</v>
      </c>
      <c r="E3702" t="s">
        <v>914</v>
      </c>
      <c r="F3702" t="s">
        <v>915</v>
      </c>
      <c r="G3702" t="s">
        <v>179</v>
      </c>
      <c r="H3702">
        <v>81</v>
      </c>
      <c r="I3702">
        <v>63.395000000000003</v>
      </c>
      <c r="J3702">
        <v>73.049000000000007</v>
      </c>
      <c r="K3702">
        <v>9.6539999999999999</v>
      </c>
      <c r="L3702">
        <v>50</v>
      </c>
      <c r="M3702">
        <v>9</v>
      </c>
      <c r="N3702">
        <v>22</v>
      </c>
      <c r="O3702">
        <v>76.010999999999996</v>
      </c>
      <c r="P3702">
        <v>7.3521783660000004</v>
      </c>
      <c r="Q3702">
        <v>15.75</v>
      </c>
    </row>
    <row r="3703" spans="1:17" x14ac:dyDescent="0.2">
      <c r="A3703" s="30" t="str">
        <f>IF(C3703&amp;G3703&amp;D3703&lt;&gt;'Funnel setup'!$K$3&amp;'Funnel setup'!$K$4&amp;'Funnel setup'!$K$5,".",IF(A3702=".",1,A3702+1))</f>
        <v>.</v>
      </c>
      <c r="B3703" s="431" t="str">
        <f t="shared" si="57"/>
        <v>Knee Replacement PrimaryCCG of GP PracticeNHS HAMBLETON, RICHMONDSHIRE AND WHITBY CCG (03D)EQ VAS</v>
      </c>
      <c r="C3703" t="s">
        <v>249</v>
      </c>
      <c r="D3703" t="s">
        <v>87</v>
      </c>
      <c r="E3703" t="s">
        <v>917</v>
      </c>
      <c r="F3703" t="s">
        <v>918</v>
      </c>
      <c r="G3703" t="s">
        <v>179</v>
      </c>
      <c r="H3703">
        <v>196</v>
      </c>
      <c r="I3703">
        <v>70.173000000000002</v>
      </c>
      <c r="J3703">
        <v>76.555999999999997</v>
      </c>
      <c r="K3703">
        <v>6.383</v>
      </c>
      <c r="L3703">
        <v>115</v>
      </c>
      <c r="M3703">
        <v>27</v>
      </c>
      <c r="N3703">
        <v>54</v>
      </c>
      <c r="O3703">
        <v>75.775999999999996</v>
      </c>
      <c r="P3703">
        <v>7.117717914</v>
      </c>
      <c r="Q3703">
        <v>13.141</v>
      </c>
    </row>
    <row r="3704" spans="1:17" x14ac:dyDescent="0.2">
      <c r="A3704" s="30" t="str">
        <f>IF(C3704&amp;G3704&amp;D3704&lt;&gt;'Funnel setup'!$K$3&amp;'Funnel setup'!$K$4&amp;'Funnel setup'!$K$5,".",IF(A3703=".",1,A3703+1))</f>
        <v>.</v>
      </c>
      <c r="B3704" s="431" t="str">
        <f t="shared" si="57"/>
        <v>Knee Replacement PrimaryCCG of GP PracticeNHS HAMMERSMITH AND FULHAM CCG (08C)EQ VAS</v>
      </c>
      <c r="C3704" t="s">
        <v>249</v>
      </c>
      <c r="D3704" t="s">
        <v>87</v>
      </c>
      <c r="E3704" t="s">
        <v>920</v>
      </c>
      <c r="F3704" t="s">
        <v>921</v>
      </c>
      <c r="G3704" t="s">
        <v>179</v>
      </c>
      <c r="H3704">
        <v>18</v>
      </c>
      <c r="I3704">
        <v>66.111000000000004</v>
      </c>
      <c r="J3704">
        <v>72.388999999999996</v>
      </c>
      <c r="K3704">
        <v>6.2779999999999996</v>
      </c>
      <c r="L3704">
        <v>11</v>
      </c>
      <c r="M3704">
        <v>3</v>
      </c>
      <c r="N3704">
        <v>4</v>
      </c>
      <c r="O3704" t="s">
        <v>53</v>
      </c>
      <c r="P3704" t="s">
        <v>53</v>
      </c>
      <c r="Q3704" t="s">
        <v>53</v>
      </c>
    </row>
    <row r="3705" spans="1:17" x14ac:dyDescent="0.2">
      <c r="A3705" s="30" t="str">
        <f>IF(C3705&amp;G3705&amp;D3705&lt;&gt;'Funnel setup'!$K$3&amp;'Funnel setup'!$K$4&amp;'Funnel setup'!$K$5,".",IF(A3704=".",1,A3704+1))</f>
        <v>.</v>
      </c>
      <c r="B3705" s="431" t="str">
        <f t="shared" si="57"/>
        <v>Knee Replacement PrimaryCCG of GP PracticeNHS HARDWICK CCG (03Y)EQ VAS</v>
      </c>
      <c r="C3705" t="s">
        <v>249</v>
      </c>
      <c r="D3705" t="s">
        <v>87</v>
      </c>
      <c r="E3705" t="s">
        <v>923</v>
      </c>
      <c r="F3705" t="s">
        <v>924</v>
      </c>
      <c r="G3705" t="s">
        <v>179</v>
      </c>
      <c r="H3705">
        <v>121</v>
      </c>
      <c r="I3705">
        <v>66.587000000000003</v>
      </c>
      <c r="J3705">
        <v>70.917000000000002</v>
      </c>
      <c r="K3705">
        <v>4.3310000000000004</v>
      </c>
      <c r="L3705">
        <v>57</v>
      </c>
      <c r="M3705">
        <v>19</v>
      </c>
      <c r="N3705">
        <v>45</v>
      </c>
      <c r="O3705">
        <v>73.090999999999994</v>
      </c>
      <c r="P3705">
        <v>4.433042092</v>
      </c>
      <c r="Q3705">
        <v>15.423</v>
      </c>
    </row>
    <row r="3706" spans="1:17" x14ac:dyDescent="0.2">
      <c r="A3706" s="30" t="str">
        <f>IF(C3706&amp;G3706&amp;D3706&lt;&gt;'Funnel setup'!$K$3&amp;'Funnel setup'!$K$4&amp;'Funnel setup'!$K$5,".",IF(A3705=".",1,A3705+1))</f>
        <v>.</v>
      </c>
      <c r="B3706" s="431" t="str">
        <f t="shared" si="57"/>
        <v>Knee Replacement PrimaryCCG of GP PracticeNHS HARINGEY CCG (08D)EQ VAS</v>
      </c>
      <c r="C3706" t="s">
        <v>249</v>
      </c>
      <c r="D3706" t="s">
        <v>87</v>
      </c>
      <c r="E3706" t="s">
        <v>926</v>
      </c>
      <c r="F3706" t="s">
        <v>927</v>
      </c>
      <c r="G3706" t="s">
        <v>179</v>
      </c>
      <c r="H3706">
        <v>23</v>
      </c>
      <c r="I3706">
        <v>58.826000000000001</v>
      </c>
      <c r="J3706">
        <v>59.304000000000002</v>
      </c>
      <c r="K3706">
        <v>0.47799999999999998</v>
      </c>
      <c r="L3706">
        <v>13</v>
      </c>
      <c r="M3706">
        <v>0</v>
      </c>
      <c r="N3706">
        <v>10</v>
      </c>
      <c r="O3706" t="s">
        <v>53</v>
      </c>
      <c r="P3706" t="s">
        <v>53</v>
      </c>
      <c r="Q3706" t="s">
        <v>53</v>
      </c>
    </row>
    <row r="3707" spans="1:17" x14ac:dyDescent="0.2">
      <c r="A3707" s="30" t="str">
        <f>IF(C3707&amp;G3707&amp;D3707&lt;&gt;'Funnel setup'!$K$3&amp;'Funnel setup'!$K$4&amp;'Funnel setup'!$K$5,".",IF(A3706=".",1,A3706+1))</f>
        <v>.</v>
      </c>
      <c r="B3707" s="431" t="str">
        <f t="shared" si="57"/>
        <v>Knee Replacement PrimaryCCG of GP PracticeNHS HARROGATE AND RURAL DISTRICT CCG (03E)EQ VAS</v>
      </c>
      <c r="C3707" t="s">
        <v>249</v>
      </c>
      <c r="D3707" t="s">
        <v>87</v>
      </c>
      <c r="E3707" t="s">
        <v>929</v>
      </c>
      <c r="F3707" t="s">
        <v>930</v>
      </c>
      <c r="G3707" t="s">
        <v>179</v>
      </c>
      <c r="H3707">
        <v>131</v>
      </c>
      <c r="I3707">
        <v>71.947000000000003</v>
      </c>
      <c r="J3707">
        <v>78.572999999999993</v>
      </c>
      <c r="K3707">
        <v>6.6260000000000003</v>
      </c>
      <c r="L3707">
        <v>80</v>
      </c>
      <c r="M3707">
        <v>20</v>
      </c>
      <c r="N3707">
        <v>31</v>
      </c>
      <c r="O3707">
        <v>76.194000000000003</v>
      </c>
      <c r="P3707">
        <v>7.5355934070000004</v>
      </c>
      <c r="Q3707">
        <v>13.818</v>
      </c>
    </row>
    <row r="3708" spans="1:17" x14ac:dyDescent="0.2">
      <c r="A3708" s="30" t="str">
        <f>IF(C3708&amp;G3708&amp;D3708&lt;&gt;'Funnel setup'!$K$3&amp;'Funnel setup'!$K$4&amp;'Funnel setup'!$K$5,".",IF(A3707=".",1,A3707+1))</f>
        <v>.</v>
      </c>
      <c r="B3708" s="431" t="str">
        <f t="shared" si="57"/>
        <v>Knee Replacement PrimaryCCG of GP PracticeNHS HARROW CCG (08E)EQ VAS</v>
      </c>
      <c r="C3708" t="s">
        <v>249</v>
      </c>
      <c r="D3708" t="s">
        <v>87</v>
      </c>
      <c r="E3708" t="s">
        <v>492</v>
      </c>
      <c r="F3708" t="s">
        <v>493</v>
      </c>
      <c r="G3708" t="s">
        <v>179</v>
      </c>
      <c r="H3708">
        <v>109</v>
      </c>
      <c r="I3708">
        <v>61.412999999999997</v>
      </c>
      <c r="J3708">
        <v>71.063999999999993</v>
      </c>
      <c r="K3708">
        <v>9.6509999999999998</v>
      </c>
      <c r="L3708">
        <v>62</v>
      </c>
      <c r="M3708">
        <v>15</v>
      </c>
      <c r="N3708">
        <v>32</v>
      </c>
      <c r="O3708">
        <v>74.823999999999998</v>
      </c>
      <c r="P3708">
        <v>6.1656735520000003</v>
      </c>
      <c r="Q3708">
        <v>16.068000000000001</v>
      </c>
    </row>
    <row r="3709" spans="1:17" x14ac:dyDescent="0.2">
      <c r="A3709" s="30" t="str">
        <f>IF(C3709&amp;G3709&amp;D3709&lt;&gt;'Funnel setup'!$K$3&amp;'Funnel setup'!$K$4&amp;'Funnel setup'!$K$5,".",IF(A3708=".",1,A3708+1))</f>
        <v>.</v>
      </c>
      <c r="B3709" s="431" t="str">
        <f t="shared" si="57"/>
        <v>Knee Replacement PrimaryCCG of GP PracticeNHS HARTLEPOOL AND STOCKTON-ON-TEES CCG (00K)EQ VAS</v>
      </c>
      <c r="C3709" t="s">
        <v>249</v>
      </c>
      <c r="D3709" t="s">
        <v>87</v>
      </c>
      <c r="E3709" t="s">
        <v>495</v>
      </c>
      <c r="F3709" t="s">
        <v>496</v>
      </c>
      <c r="G3709" t="s">
        <v>179</v>
      </c>
      <c r="H3709">
        <v>307</v>
      </c>
      <c r="I3709">
        <v>65.950999999999993</v>
      </c>
      <c r="J3709">
        <v>74.201999999999998</v>
      </c>
      <c r="K3709">
        <v>8.2509999999999994</v>
      </c>
      <c r="L3709">
        <v>172</v>
      </c>
      <c r="M3709">
        <v>42</v>
      </c>
      <c r="N3709">
        <v>93</v>
      </c>
      <c r="O3709">
        <v>75.590999999999994</v>
      </c>
      <c r="P3709">
        <v>6.9328169810000002</v>
      </c>
      <c r="Q3709">
        <v>15.263</v>
      </c>
    </row>
    <row r="3710" spans="1:17" x14ac:dyDescent="0.2">
      <c r="A3710" s="30" t="str">
        <f>IF(C3710&amp;G3710&amp;D3710&lt;&gt;'Funnel setup'!$K$3&amp;'Funnel setup'!$K$4&amp;'Funnel setup'!$K$5,".",IF(A3709=".",1,A3709+1))</f>
        <v>.</v>
      </c>
      <c r="B3710" s="431" t="str">
        <f t="shared" si="57"/>
        <v>Knee Replacement PrimaryCCG of GP PracticeNHS HASTINGS AND ROTHER CCG (09P)EQ VAS</v>
      </c>
      <c r="C3710" t="s">
        <v>249</v>
      </c>
      <c r="D3710" t="s">
        <v>87</v>
      </c>
      <c r="E3710" t="s">
        <v>498</v>
      </c>
      <c r="F3710" t="s">
        <v>499</v>
      </c>
      <c r="G3710" t="s">
        <v>179</v>
      </c>
      <c r="H3710">
        <v>207</v>
      </c>
      <c r="I3710">
        <v>71.391000000000005</v>
      </c>
      <c r="J3710">
        <v>75.709999999999994</v>
      </c>
      <c r="K3710">
        <v>4.319</v>
      </c>
      <c r="L3710">
        <v>113</v>
      </c>
      <c r="M3710">
        <v>25</v>
      </c>
      <c r="N3710">
        <v>69</v>
      </c>
      <c r="O3710">
        <v>74.465999999999994</v>
      </c>
      <c r="P3710">
        <v>5.8078952140000002</v>
      </c>
      <c r="Q3710">
        <v>15.023</v>
      </c>
    </row>
    <row r="3711" spans="1:17" x14ac:dyDescent="0.2">
      <c r="A3711" s="30" t="str">
        <f>IF(C3711&amp;G3711&amp;D3711&lt;&gt;'Funnel setup'!$K$3&amp;'Funnel setup'!$K$4&amp;'Funnel setup'!$K$5,".",IF(A3710=".",1,A3710+1))</f>
        <v>.</v>
      </c>
      <c r="B3711" s="431" t="str">
        <f t="shared" si="57"/>
        <v>Knee Replacement PrimaryCCG of GP PracticeNHS HAVERING CCG (08F)EQ VAS</v>
      </c>
      <c r="C3711" t="s">
        <v>249</v>
      </c>
      <c r="D3711" t="s">
        <v>87</v>
      </c>
      <c r="E3711" t="s">
        <v>501</v>
      </c>
      <c r="F3711" t="s">
        <v>502</v>
      </c>
      <c r="G3711" t="s">
        <v>179</v>
      </c>
      <c r="H3711">
        <v>107</v>
      </c>
      <c r="I3711">
        <v>72.195999999999998</v>
      </c>
      <c r="J3711">
        <v>73.709999999999994</v>
      </c>
      <c r="K3711">
        <v>1.514</v>
      </c>
      <c r="L3711">
        <v>49</v>
      </c>
      <c r="M3711">
        <v>14</v>
      </c>
      <c r="N3711">
        <v>44</v>
      </c>
      <c r="O3711">
        <v>72.731999999999999</v>
      </c>
      <c r="P3711">
        <v>4.0740145170000002</v>
      </c>
      <c r="Q3711">
        <v>16.356000000000002</v>
      </c>
    </row>
    <row r="3712" spans="1:17" x14ac:dyDescent="0.2">
      <c r="A3712" s="30" t="str">
        <f>IF(C3712&amp;G3712&amp;D3712&lt;&gt;'Funnel setup'!$K$3&amp;'Funnel setup'!$K$4&amp;'Funnel setup'!$K$5,".",IF(A3711=".",1,A3711+1))</f>
        <v>.</v>
      </c>
      <c r="B3712" s="431" t="str">
        <f t="shared" si="57"/>
        <v>Knee Replacement PrimaryCCG of GP PracticeNHS HEREFORDSHIRE CCG (05F)EQ VAS</v>
      </c>
      <c r="C3712" t="s">
        <v>249</v>
      </c>
      <c r="D3712" t="s">
        <v>87</v>
      </c>
      <c r="E3712" t="s">
        <v>504</v>
      </c>
      <c r="F3712" t="s">
        <v>505</v>
      </c>
      <c r="G3712" t="s">
        <v>179</v>
      </c>
      <c r="H3712">
        <v>157</v>
      </c>
      <c r="I3712">
        <v>70.337999999999994</v>
      </c>
      <c r="J3712">
        <v>77.471000000000004</v>
      </c>
      <c r="K3712">
        <v>7.1340000000000003</v>
      </c>
      <c r="L3712">
        <v>95</v>
      </c>
      <c r="M3712">
        <v>11</v>
      </c>
      <c r="N3712">
        <v>51</v>
      </c>
      <c r="O3712">
        <v>76.239000000000004</v>
      </c>
      <c r="P3712">
        <v>7.58096558</v>
      </c>
      <c r="Q3712">
        <v>14.855</v>
      </c>
    </row>
    <row r="3713" spans="1:17" x14ac:dyDescent="0.2">
      <c r="A3713" s="30" t="str">
        <f>IF(C3713&amp;G3713&amp;D3713&lt;&gt;'Funnel setup'!$K$3&amp;'Funnel setup'!$K$4&amp;'Funnel setup'!$K$5,".",IF(A3712=".",1,A3712+1))</f>
        <v>.</v>
      </c>
      <c r="B3713" s="431" t="str">
        <f t="shared" si="57"/>
        <v>Knee Replacement PrimaryCCG of GP PracticeNHS HERTS VALLEYS CCG (06N)EQ VAS</v>
      </c>
      <c r="C3713" t="s">
        <v>249</v>
      </c>
      <c r="D3713" t="s">
        <v>87</v>
      </c>
      <c r="E3713" t="s">
        <v>507</v>
      </c>
      <c r="F3713" t="s">
        <v>508</v>
      </c>
      <c r="G3713" t="s">
        <v>179</v>
      </c>
      <c r="H3713">
        <v>344</v>
      </c>
      <c r="I3713">
        <v>69.506</v>
      </c>
      <c r="J3713">
        <v>75.400999999999996</v>
      </c>
      <c r="K3713">
        <v>5.8949999999999996</v>
      </c>
      <c r="L3713">
        <v>198</v>
      </c>
      <c r="M3713">
        <v>40</v>
      </c>
      <c r="N3713">
        <v>106</v>
      </c>
      <c r="O3713">
        <v>74.436000000000007</v>
      </c>
      <c r="P3713">
        <v>5.7780288610000001</v>
      </c>
      <c r="Q3713">
        <v>14.96</v>
      </c>
    </row>
    <row r="3714" spans="1:17" x14ac:dyDescent="0.2">
      <c r="A3714" s="30" t="str">
        <f>IF(C3714&amp;G3714&amp;D3714&lt;&gt;'Funnel setup'!$K$3&amp;'Funnel setup'!$K$4&amp;'Funnel setup'!$K$5,".",IF(A3713=".",1,A3713+1))</f>
        <v>.</v>
      </c>
      <c r="B3714" s="431" t="str">
        <f t="shared" si="57"/>
        <v>Knee Replacement PrimaryCCG of GP PracticeNHS HEYWOOD, MIDDLETON AND ROCHDALE CCG (01D)EQ VAS</v>
      </c>
      <c r="C3714" t="s">
        <v>249</v>
      </c>
      <c r="D3714" t="s">
        <v>87</v>
      </c>
      <c r="E3714" t="s">
        <v>510</v>
      </c>
      <c r="F3714" t="s">
        <v>511</v>
      </c>
      <c r="G3714" t="s">
        <v>179</v>
      </c>
      <c r="H3714">
        <v>79</v>
      </c>
      <c r="I3714">
        <v>68.986999999999995</v>
      </c>
      <c r="J3714">
        <v>70.911000000000001</v>
      </c>
      <c r="K3714">
        <v>1.9239999999999999</v>
      </c>
      <c r="L3714">
        <v>35</v>
      </c>
      <c r="M3714">
        <v>15</v>
      </c>
      <c r="N3714">
        <v>29</v>
      </c>
      <c r="O3714">
        <v>72.704999999999998</v>
      </c>
      <c r="P3714">
        <v>4.0464272149999996</v>
      </c>
      <c r="Q3714">
        <v>15.315</v>
      </c>
    </row>
    <row r="3715" spans="1:17" x14ac:dyDescent="0.2">
      <c r="A3715" s="30" t="str">
        <f>IF(C3715&amp;G3715&amp;D3715&lt;&gt;'Funnel setup'!$K$3&amp;'Funnel setup'!$K$4&amp;'Funnel setup'!$K$5,".",IF(A3714=".",1,A3714+1))</f>
        <v>.</v>
      </c>
      <c r="B3715" s="431" t="str">
        <f t="shared" ref="B3715:B3778" si="58">C3715&amp;D3715&amp;F3715&amp;G3715</f>
        <v>Knee Replacement PrimaryCCG of GP PracticeNHS HIGH WEALD LEWES HAVENS CCG (99K)EQ VAS</v>
      </c>
      <c r="C3715" t="s">
        <v>249</v>
      </c>
      <c r="D3715" t="s">
        <v>87</v>
      </c>
      <c r="E3715" t="s">
        <v>513</v>
      </c>
      <c r="F3715" t="s">
        <v>514</v>
      </c>
      <c r="G3715" t="s">
        <v>179</v>
      </c>
      <c r="H3715">
        <v>238</v>
      </c>
      <c r="I3715">
        <v>73.819000000000003</v>
      </c>
      <c r="J3715">
        <v>76.622</v>
      </c>
      <c r="K3715">
        <v>2.8029999999999999</v>
      </c>
      <c r="L3715">
        <v>129</v>
      </c>
      <c r="M3715">
        <v>27</v>
      </c>
      <c r="N3715">
        <v>82</v>
      </c>
      <c r="O3715">
        <v>73.807000000000002</v>
      </c>
      <c r="P3715">
        <v>5.1488936120000002</v>
      </c>
      <c r="Q3715">
        <v>16.03</v>
      </c>
    </row>
    <row r="3716" spans="1:17" x14ac:dyDescent="0.2">
      <c r="A3716" s="30" t="str">
        <f>IF(C3716&amp;G3716&amp;D3716&lt;&gt;'Funnel setup'!$K$3&amp;'Funnel setup'!$K$4&amp;'Funnel setup'!$K$5,".",IF(A3715=".",1,A3715+1))</f>
        <v>.</v>
      </c>
      <c r="B3716" s="431" t="str">
        <f t="shared" si="58"/>
        <v>Knee Replacement PrimaryCCG of GP PracticeNHS HILLINGDON CCG (08G)EQ VAS</v>
      </c>
      <c r="C3716" t="s">
        <v>249</v>
      </c>
      <c r="D3716" t="s">
        <v>87</v>
      </c>
      <c r="E3716" t="s">
        <v>516</v>
      </c>
      <c r="F3716" t="s">
        <v>517</v>
      </c>
      <c r="G3716" t="s">
        <v>179</v>
      </c>
      <c r="H3716">
        <v>111</v>
      </c>
      <c r="I3716">
        <v>71</v>
      </c>
      <c r="J3716">
        <v>71.936999999999998</v>
      </c>
      <c r="K3716">
        <v>0.93700000000000006</v>
      </c>
      <c r="L3716">
        <v>47</v>
      </c>
      <c r="M3716">
        <v>25</v>
      </c>
      <c r="N3716">
        <v>39</v>
      </c>
      <c r="O3716">
        <v>72.546000000000006</v>
      </c>
      <c r="P3716">
        <v>3.8876271330000001</v>
      </c>
      <c r="Q3716">
        <v>14.72</v>
      </c>
    </row>
    <row r="3717" spans="1:17" x14ac:dyDescent="0.2">
      <c r="A3717" s="30" t="str">
        <f>IF(C3717&amp;G3717&amp;D3717&lt;&gt;'Funnel setup'!$K$3&amp;'Funnel setup'!$K$4&amp;'Funnel setup'!$K$5,".",IF(A3716=".",1,A3716+1))</f>
        <v>.</v>
      </c>
      <c r="B3717" s="431" t="str">
        <f t="shared" si="58"/>
        <v>Knee Replacement PrimaryCCG of GP PracticeNHS HORSHAM AND MID SUSSEX CCG (09X)EQ VAS</v>
      </c>
      <c r="C3717" t="s">
        <v>249</v>
      </c>
      <c r="D3717" t="s">
        <v>87</v>
      </c>
      <c r="E3717" t="s">
        <v>519</v>
      </c>
      <c r="F3717" t="s">
        <v>520</v>
      </c>
      <c r="G3717" t="s">
        <v>179</v>
      </c>
      <c r="H3717">
        <v>161</v>
      </c>
      <c r="I3717">
        <v>73.626999999999995</v>
      </c>
      <c r="J3717">
        <v>78.459999999999994</v>
      </c>
      <c r="K3717">
        <v>4.8319999999999999</v>
      </c>
      <c r="L3717">
        <v>96</v>
      </c>
      <c r="M3717">
        <v>22</v>
      </c>
      <c r="N3717">
        <v>43</v>
      </c>
      <c r="O3717">
        <v>74.936999999999998</v>
      </c>
      <c r="P3717">
        <v>6.2790315899999998</v>
      </c>
      <c r="Q3717">
        <v>13.397</v>
      </c>
    </row>
    <row r="3718" spans="1:17" x14ac:dyDescent="0.2">
      <c r="A3718" s="30" t="str">
        <f>IF(C3718&amp;G3718&amp;D3718&lt;&gt;'Funnel setup'!$K$3&amp;'Funnel setup'!$K$4&amp;'Funnel setup'!$K$5,".",IF(A3717=".",1,A3717+1))</f>
        <v>.</v>
      </c>
      <c r="B3718" s="431" t="str">
        <f t="shared" si="58"/>
        <v>Knee Replacement PrimaryCCG of GP PracticeNHS HOUNSLOW CCG (07Y)EQ VAS</v>
      </c>
      <c r="C3718" t="s">
        <v>249</v>
      </c>
      <c r="D3718" t="s">
        <v>87</v>
      </c>
      <c r="E3718" t="s">
        <v>522</v>
      </c>
      <c r="F3718" t="s">
        <v>523</v>
      </c>
      <c r="G3718" t="s">
        <v>179</v>
      </c>
      <c r="H3718">
        <v>60</v>
      </c>
      <c r="I3718">
        <v>55.1</v>
      </c>
      <c r="J3718">
        <v>64.632999999999996</v>
      </c>
      <c r="K3718">
        <v>9.5329999999999995</v>
      </c>
      <c r="L3718">
        <v>35</v>
      </c>
      <c r="M3718">
        <v>10</v>
      </c>
      <c r="N3718">
        <v>15</v>
      </c>
      <c r="O3718">
        <v>71.933999999999997</v>
      </c>
      <c r="P3718">
        <v>3.2755239700000001</v>
      </c>
      <c r="Q3718">
        <v>14.920999999999999</v>
      </c>
    </row>
    <row r="3719" spans="1:17" x14ac:dyDescent="0.2">
      <c r="A3719" s="30" t="str">
        <f>IF(C3719&amp;G3719&amp;D3719&lt;&gt;'Funnel setup'!$K$3&amp;'Funnel setup'!$K$4&amp;'Funnel setup'!$K$5,".",IF(A3718=".",1,A3718+1))</f>
        <v>.</v>
      </c>
      <c r="B3719" s="431" t="str">
        <f t="shared" si="58"/>
        <v>Knee Replacement PrimaryCCG of GP PracticeNHS HULL CCG (03F)EQ VAS</v>
      </c>
      <c r="C3719" t="s">
        <v>249</v>
      </c>
      <c r="D3719" t="s">
        <v>87</v>
      </c>
      <c r="E3719" t="s">
        <v>525</v>
      </c>
      <c r="F3719" t="s">
        <v>526</v>
      </c>
      <c r="G3719" t="s">
        <v>179</v>
      </c>
      <c r="H3719">
        <v>207</v>
      </c>
      <c r="I3719">
        <v>64.337999999999994</v>
      </c>
      <c r="J3719">
        <v>70.676000000000002</v>
      </c>
      <c r="K3719">
        <v>6.3380000000000001</v>
      </c>
      <c r="L3719">
        <v>116</v>
      </c>
      <c r="M3719">
        <v>25</v>
      </c>
      <c r="N3719">
        <v>66</v>
      </c>
      <c r="O3719">
        <v>73.212000000000003</v>
      </c>
      <c r="P3719">
        <v>4.5537269260000004</v>
      </c>
      <c r="Q3719">
        <v>17.506</v>
      </c>
    </row>
    <row r="3720" spans="1:17" x14ac:dyDescent="0.2">
      <c r="A3720" s="30" t="str">
        <f>IF(C3720&amp;G3720&amp;D3720&lt;&gt;'Funnel setup'!$K$3&amp;'Funnel setup'!$K$4&amp;'Funnel setup'!$K$5,".",IF(A3719=".",1,A3719+1))</f>
        <v>.</v>
      </c>
      <c r="B3720" s="431" t="str">
        <f t="shared" si="58"/>
        <v>Knee Replacement PrimaryCCG of GP PracticeNHS IPSWICH AND EAST SUFFOLK CCG (06L)EQ VAS</v>
      </c>
      <c r="C3720" t="s">
        <v>249</v>
      </c>
      <c r="D3720" t="s">
        <v>87</v>
      </c>
      <c r="E3720" t="s">
        <v>528</v>
      </c>
      <c r="F3720" t="s">
        <v>529</v>
      </c>
      <c r="G3720" t="s">
        <v>179</v>
      </c>
      <c r="H3720">
        <v>227</v>
      </c>
      <c r="I3720">
        <v>71.471000000000004</v>
      </c>
      <c r="J3720">
        <v>77.942999999999998</v>
      </c>
      <c r="K3720">
        <v>6.4710000000000001</v>
      </c>
      <c r="L3720">
        <v>118</v>
      </c>
      <c r="M3720">
        <v>40</v>
      </c>
      <c r="N3720">
        <v>69</v>
      </c>
      <c r="O3720">
        <v>76.463999999999999</v>
      </c>
      <c r="P3720">
        <v>7.8059245949999996</v>
      </c>
      <c r="Q3720">
        <v>13.865</v>
      </c>
    </row>
    <row r="3721" spans="1:17" x14ac:dyDescent="0.2">
      <c r="A3721" s="30" t="str">
        <f>IF(C3721&amp;G3721&amp;D3721&lt;&gt;'Funnel setup'!$K$3&amp;'Funnel setup'!$K$4&amp;'Funnel setup'!$K$5,".",IF(A3720=".",1,A3720+1))</f>
        <v>.</v>
      </c>
      <c r="B3721" s="431" t="str">
        <f t="shared" si="58"/>
        <v>Knee Replacement PrimaryCCG of GP PracticeNHS ISLE OF WIGHT CCG (10L)EQ VAS</v>
      </c>
      <c r="C3721" t="s">
        <v>249</v>
      </c>
      <c r="D3721" t="s">
        <v>87</v>
      </c>
      <c r="E3721" t="s">
        <v>531</v>
      </c>
      <c r="F3721" t="s">
        <v>532</v>
      </c>
      <c r="G3721" t="s">
        <v>179</v>
      </c>
      <c r="H3721">
        <v>96</v>
      </c>
      <c r="I3721">
        <v>68.646000000000001</v>
      </c>
      <c r="J3721">
        <v>73.521000000000001</v>
      </c>
      <c r="K3721">
        <v>4.875</v>
      </c>
      <c r="L3721">
        <v>46</v>
      </c>
      <c r="M3721">
        <v>12</v>
      </c>
      <c r="N3721">
        <v>38</v>
      </c>
      <c r="O3721">
        <v>73.667000000000002</v>
      </c>
      <c r="P3721">
        <v>5.0087576829999998</v>
      </c>
      <c r="Q3721">
        <v>17.181000000000001</v>
      </c>
    </row>
    <row r="3722" spans="1:17" x14ac:dyDescent="0.2">
      <c r="A3722" s="30" t="str">
        <f>IF(C3722&amp;G3722&amp;D3722&lt;&gt;'Funnel setup'!$K$3&amp;'Funnel setup'!$K$4&amp;'Funnel setup'!$K$5,".",IF(A3721=".",1,A3721+1))</f>
        <v>.</v>
      </c>
      <c r="B3722" s="431" t="str">
        <f t="shared" si="58"/>
        <v>Knee Replacement PrimaryCCG of GP PracticeNHS ISLINGTON CCG (08H)EQ VAS</v>
      </c>
      <c r="C3722" t="s">
        <v>249</v>
      </c>
      <c r="D3722" t="s">
        <v>87</v>
      </c>
      <c r="E3722" t="s">
        <v>534</v>
      </c>
      <c r="F3722" t="s">
        <v>535</v>
      </c>
      <c r="G3722" t="s">
        <v>179</v>
      </c>
      <c r="H3722">
        <v>18</v>
      </c>
      <c r="I3722">
        <v>62.5</v>
      </c>
      <c r="J3722">
        <v>73.721999999999994</v>
      </c>
      <c r="K3722">
        <v>11.222</v>
      </c>
      <c r="L3722">
        <v>12</v>
      </c>
      <c r="M3722">
        <v>2</v>
      </c>
      <c r="N3722">
        <v>4</v>
      </c>
      <c r="O3722" t="s">
        <v>53</v>
      </c>
      <c r="P3722" t="s">
        <v>53</v>
      </c>
      <c r="Q3722" t="s">
        <v>53</v>
      </c>
    </row>
    <row r="3723" spans="1:17" x14ac:dyDescent="0.2">
      <c r="A3723" s="30" t="str">
        <f>IF(C3723&amp;G3723&amp;D3723&lt;&gt;'Funnel setup'!$K$3&amp;'Funnel setup'!$K$4&amp;'Funnel setup'!$K$5,".",IF(A3722=".",1,A3722+1))</f>
        <v>.</v>
      </c>
      <c r="B3723" s="431" t="str">
        <f t="shared" si="58"/>
        <v>Knee Replacement PrimaryCCG of GP PracticeNHS KERNOW CCG (11N)EQ VAS</v>
      </c>
      <c r="C3723" t="s">
        <v>249</v>
      </c>
      <c r="D3723" t="s">
        <v>87</v>
      </c>
      <c r="E3723" t="s">
        <v>537</v>
      </c>
      <c r="F3723" t="s">
        <v>538</v>
      </c>
      <c r="G3723" t="s">
        <v>179</v>
      </c>
      <c r="H3723">
        <v>602</v>
      </c>
      <c r="I3723">
        <v>70.620999999999995</v>
      </c>
      <c r="J3723">
        <v>77.356999999999999</v>
      </c>
      <c r="K3723">
        <v>6.7359999999999998</v>
      </c>
      <c r="L3723">
        <v>352</v>
      </c>
      <c r="M3723">
        <v>82</v>
      </c>
      <c r="N3723">
        <v>168</v>
      </c>
      <c r="O3723">
        <v>76.686999999999998</v>
      </c>
      <c r="P3723">
        <v>8.0291364630000004</v>
      </c>
      <c r="Q3723">
        <v>14.449</v>
      </c>
    </row>
    <row r="3724" spans="1:17" x14ac:dyDescent="0.2">
      <c r="A3724" s="30" t="str">
        <f>IF(C3724&amp;G3724&amp;D3724&lt;&gt;'Funnel setup'!$K$3&amp;'Funnel setup'!$K$4&amp;'Funnel setup'!$K$5,".",IF(A3723=".",1,A3723+1))</f>
        <v>.</v>
      </c>
      <c r="B3724" s="431" t="str">
        <f t="shared" si="58"/>
        <v>Knee Replacement PrimaryCCG of GP PracticeNHS KINGSTON CCG (08J)EQ VAS</v>
      </c>
      <c r="C3724" t="s">
        <v>249</v>
      </c>
      <c r="D3724" t="s">
        <v>87</v>
      </c>
      <c r="E3724" t="s">
        <v>540</v>
      </c>
      <c r="F3724" t="s">
        <v>541</v>
      </c>
      <c r="G3724" t="s">
        <v>179</v>
      </c>
      <c r="H3724">
        <v>46</v>
      </c>
      <c r="I3724">
        <v>67.716999999999999</v>
      </c>
      <c r="J3724">
        <v>79.260999999999996</v>
      </c>
      <c r="K3724">
        <v>11.542999999999999</v>
      </c>
      <c r="L3724">
        <v>30</v>
      </c>
      <c r="M3724">
        <v>5</v>
      </c>
      <c r="N3724">
        <v>11</v>
      </c>
      <c r="O3724">
        <v>78.698999999999998</v>
      </c>
      <c r="P3724">
        <v>10.040514160000001</v>
      </c>
      <c r="Q3724">
        <v>13.621</v>
      </c>
    </row>
    <row r="3725" spans="1:17" x14ac:dyDescent="0.2">
      <c r="A3725" s="30" t="str">
        <f>IF(C3725&amp;G3725&amp;D3725&lt;&gt;'Funnel setup'!$K$3&amp;'Funnel setup'!$K$4&amp;'Funnel setup'!$K$5,".",IF(A3724=".",1,A3724+1))</f>
        <v>.</v>
      </c>
      <c r="B3725" s="431" t="str">
        <f t="shared" si="58"/>
        <v>Knee Replacement PrimaryCCG of GP PracticeNHS KNOWSLEY CCG (01J)EQ VAS</v>
      </c>
      <c r="C3725" t="s">
        <v>249</v>
      </c>
      <c r="D3725" t="s">
        <v>87</v>
      </c>
      <c r="E3725" t="s">
        <v>543</v>
      </c>
      <c r="F3725" t="s">
        <v>544</v>
      </c>
      <c r="G3725" t="s">
        <v>179</v>
      </c>
      <c r="H3725">
        <v>97</v>
      </c>
      <c r="I3725">
        <v>69.155000000000001</v>
      </c>
      <c r="J3725">
        <v>70.959000000000003</v>
      </c>
      <c r="K3725">
        <v>1.804</v>
      </c>
      <c r="L3725">
        <v>45</v>
      </c>
      <c r="M3725">
        <v>16</v>
      </c>
      <c r="N3725">
        <v>36</v>
      </c>
      <c r="O3725">
        <v>73.073999999999998</v>
      </c>
      <c r="P3725">
        <v>4.4156503540000003</v>
      </c>
      <c r="Q3725">
        <v>16.114000000000001</v>
      </c>
    </row>
    <row r="3726" spans="1:17" x14ac:dyDescent="0.2">
      <c r="A3726" s="30" t="str">
        <f>IF(C3726&amp;G3726&amp;D3726&lt;&gt;'Funnel setup'!$K$3&amp;'Funnel setup'!$K$4&amp;'Funnel setup'!$K$5,".",IF(A3725=".",1,A3725+1))</f>
        <v>.</v>
      </c>
      <c r="B3726" s="431" t="str">
        <f t="shared" si="58"/>
        <v>Knee Replacement PrimaryCCG of GP PracticeNHS LAMBETH CCG (08K)EQ VAS</v>
      </c>
      <c r="C3726" t="s">
        <v>249</v>
      </c>
      <c r="D3726" t="s">
        <v>87</v>
      </c>
      <c r="E3726" t="s">
        <v>546</v>
      </c>
      <c r="F3726" t="s">
        <v>547</v>
      </c>
      <c r="G3726" t="s">
        <v>179</v>
      </c>
      <c r="H3726">
        <v>35</v>
      </c>
      <c r="I3726">
        <v>61.085999999999999</v>
      </c>
      <c r="J3726">
        <v>67.629000000000005</v>
      </c>
      <c r="K3726">
        <v>6.5430000000000001</v>
      </c>
      <c r="L3726">
        <v>19</v>
      </c>
      <c r="M3726">
        <v>4</v>
      </c>
      <c r="N3726">
        <v>12</v>
      </c>
      <c r="O3726">
        <v>72.260000000000005</v>
      </c>
      <c r="P3726">
        <v>3.6019695970000001</v>
      </c>
      <c r="Q3726">
        <v>17.882999999999999</v>
      </c>
    </row>
    <row r="3727" spans="1:17" x14ac:dyDescent="0.2">
      <c r="A3727" s="30" t="str">
        <f>IF(C3727&amp;G3727&amp;D3727&lt;&gt;'Funnel setup'!$K$3&amp;'Funnel setup'!$K$4&amp;'Funnel setup'!$K$5,".",IF(A3726=".",1,A3726+1))</f>
        <v>.</v>
      </c>
      <c r="B3727" s="431" t="str">
        <f t="shared" si="58"/>
        <v>Knee Replacement PrimaryCCG of GP PracticeNHS LANCASHIRE NORTH CCG (01K)EQ VAS</v>
      </c>
      <c r="C3727" t="s">
        <v>249</v>
      </c>
      <c r="D3727" t="s">
        <v>87</v>
      </c>
      <c r="E3727" t="s">
        <v>549</v>
      </c>
      <c r="F3727" t="s">
        <v>550</v>
      </c>
      <c r="G3727" t="s">
        <v>179</v>
      </c>
      <c r="H3727">
        <v>162</v>
      </c>
      <c r="I3727">
        <v>70.278000000000006</v>
      </c>
      <c r="J3727">
        <v>75.802000000000007</v>
      </c>
      <c r="K3727">
        <v>5.5250000000000004</v>
      </c>
      <c r="L3727">
        <v>89</v>
      </c>
      <c r="M3727">
        <v>20</v>
      </c>
      <c r="N3727">
        <v>53</v>
      </c>
      <c r="O3727">
        <v>74.361000000000004</v>
      </c>
      <c r="P3727">
        <v>5.7029481239999997</v>
      </c>
      <c r="Q3727">
        <v>14.007999999999999</v>
      </c>
    </row>
    <row r="3728" spans="1:17" x14ac:dyDescent="0.2">
      <c r="A3728" s="30" t="str">
        <f>IF(C3728&amp;G3728&amp;D3728&lt;&gt;'Funnel setup'!$K$3&amp;'Funnel setup'!$K$4&amp;'Funnel setup'!$K$5,".",IF(A3727=".",1,A3727+1))</f>
        <v>.</v>
      </c>
      <c r="B3728" s="431" t="str">
        <f t="shared" si="58"/>
        <v>Knee Replacement PrimaryCCG of GP PracticeNHS LEEDS NORTH CCG (02V)EQ VAS</v>
      </c>
      <c r="C3728" t="s">
        <v>249</v>
      </c>
      <c r="D3728" t="s">
        <v>87</v>
      </c>
      <c r="E3728" t="s">
        <v>552</v>
      </c>
      <c r="F3728" t="s">
        <v>337</v>
      </c>
      <c r="G3728" t="s">
        <v>179</v>
      </c>
      <c r="H3728">
        <v>140</v>
      </c>
      <c r="I3728">
        <v>70.614000000000004</v>
      </c>
      <c r="J3728">
        <v>75.349999999999994</v>
      </c>
      <c r="K3728">
        <v>4.7359999999999998</v>
      </c>
      <c r="L3728">
        <v>74</v>
      </c>
      <c r="M3728">
        <v>19</v>
      </c>
      <c r="N3728">
        <v>47</v>
      </c>
      <c r="O3728">
        <v>74.506</v>
      </c>
      <c r="P3728">
        <v>5.8472749339999996</v>
      </c>
      <c r="Q3728">
        <v>14.855</v>
      </c>
    </row>
    <row r="3729" spans="1:17" x14ac:dyDescent="0.2">
      <c r="A3729" s="30" t="str">
        <f>IF(C3729&amp;G3729&amp;D3729&lt;&gt;'Funnel setup'!$K$3&amp;'Funnel setup'!$K$4&amp;'Funnel setup'!$K$5,".",IF(A3728=".",1,A3728+1))</f>
        <v>.</v>
      </c>
      <c r="B3729" s="431" t="str">
        <f t="shared" si="58"/>
        <v>Knee Replacement PrimaryCCG of GP PracticeNHS LEEDS SOUTH AND EAST CCG (03G)EQ VAS</v>
      </c>
      <c r="C3729" t="s">
        <v>249</v>
      </c>
      <c r="D3729" t="s">
        <v>87</v>
      </c>
      <c r="E3729" t="s">
        <v>396</v>
      </c>
      <c r="F3729" t="s">
        <v>397</v>
      </c>
      <c r="G3729" t="s">
        <v>179</v>
      </c>
      <c r="H3729">
        <v>197</v>
      </c>
      <c r="I3729">
        <v>70.293999999999997</v>
      </c>
      <c r="J3729">
        <v>75.650000000000006</v>
      </c>
      <c r="K3729">
        <v>5.3550000000000004</v>
      </c>
      <c r="L3729">
        <v>106</v>
      </c>
      <c r="M3729">
        <v>36</v>
      </c>
      <c r="N3729">
        <v>55</v>
      </c>
      <c r="O3729">
        <v>75.412000000000006</v>
      </c>
      <c r="P3729">
        <v>6.7534470659999997</v>
      </c>
      <c r="Q3729">
        <v>13.916</v>
      </c>
    </row>
    <row r="3730" spans="1:17" x14ac:dyDescent="0.2">
      <c r="A3730" s="30" t="str">
        <f>IF(C3730&amp;G3730&amp;D3730&lt;&gt;'Funnel setup'!$K$3&amp;'Funnel setup'!$K$4&amp;'Funnel setup'!$K$5,".",IF(A3729=".",1,A3729+1))</f>
        <v>.</v>
      </c>
      <c r="B3730" s="431" t="str">
        <f t="shared" si="58"/>
        <v>Knee Replacement PrimaryCCG of GP PracticeNHS LEEDS WEST CCG (03C)EQ VAS</v>
      </c>
      <c r="C3730" t="s">
        <v>249</v>
      </c>
      <c r="D3730" t="s">
        <v>87</v>
      </c>
      <c r="E3730" t="s">
        <v>399</v>
      </c>
      <c r="F3730" t="s">
        <v>400</v>
      </c>
      <c r="G3730" t="s">
        <v>179</v>
      </c>
      <c r="H3730">
        <v>217</v>
      </c>
      <c r="I3730">
        <v>70.852999999999994</v>
      </c>
      <c r="J3730">
        <v>73.760000000000005</v>
      </c>
      <c r="K3730">
        <v>2.9079999999999999</v>
      </c>
      <c r="L3730">
        <v>103</v>
      </c>
      <c r="M3730">
        <v>35</v>
      </c>
      <c r="N3730">
        <v>79</v>
      </c>
      <c r="O3730">
        <v>73.272000000000006</v>
      </c>
      <c r="P3730">
        <v>4.6137136029999999</v>
      </c>
      <c r="Q3730">
        <v>15.862</v>
      </c>
    </row>
    <row r="3731" spans="1:17" x14ac:dyDescent="0.2">
      <c r="A3731" s="30" t="str">
        <f>IF(C3731&amp;G3731&amp;D3731&lt;&gt;'Funnel setup'!$K$3&amp;'Funnel setup'!$K$4&amp;'Funnel setup'!$K$5,".",IF(A3730=".",1,A3730+1))</f>
        <v>.</v>
      </c>
      <c r="B3731" s="431" t="str">
        <f t="shared" si="58"/>
        <v>Knee Replacement PrimaryCCG of GP PracticeNHS LEICESTER CITY CCG (04C)EQ VAS</v>
      </c>
      <c r="C3731" t="s">
        <v>249</v>
      </c>
      <c r="D3731" t="s">
        <v>87</v>
      </c>
      <c r="E3731" t="s">
        <v>554</v>
      </c>
      <c r="F3731" t="s">
        <v>555</v>
      </c>
      <c r="G3731" t="s">
        <v>179</v>
      </c>
      <c r="H3731">
        <v>157</v>
      </c>
      <c r="I3731">
        <v>64.222999999999999</v>
      </c>
      <c r="J3731">
        <v>71.471000000000004</v>
      </c>
      <c r="K3731">
        <v>7.2480000000000002</v>
      </c>
      <c r="L3731">
        <v>92</v>
      </c>
      <c r="M3731">
        <v>17</v>
      </c>
      <c r="N3731">
        <v>48</v>
      </c>
      <c r="O3731">
        <v>76.203999999999994</v>
      </c>
      <c r="P3731">
        <v>7.5452247080000001</v>
      </c>
      <c r="Q3731">
        <v>16.215</v>
      </c>
    </row>
    <row r="3732" spans="1:17" x14ac:dyDescent="0.2">
      <c r="A3732" s="30" t="str">
        <f>IF(C3732&amp;G3732&amp;D3732&lt;&gt;'Funnel setup'!$K$3&amp;'Funnel setup'!$K$4&amp;'Funnel setup'!$K$5,".",IF(A3731=".",1,A3731+1))</f>
        <v>.</v>
      </c>
      <c r="B3732" s="431" t="str">
        <f t="shared" si="58"/>
        <v>Knee Replacement PrimaryCCG of GP PracticeNHS LEWISHAM CCG (08L)EQ VAS</v>
      </c>
      <c r="C3732" t="s">
        <v>249</v>
      </c>
      <c r="D3732" t="s">
        <v>87</v>
      </c>
      <c r="E3732" t="s">
        <v>557</v>
      </c>
      <c r="F3732" t="s">
        <v>558</v>
      </c>
      <c r="G3732" t="s">
        <v>179</v>
      </c>
      <c r="H3732">
        <v>58</v>
      </c>
      <c r="I3732">
        <v>65.516999999999996</v>
      </c>
      <c r="J3732">
        <v>70.552000000000007</v>
      </c>
      <c r="K3732">
        <v>5.0339999999999998</v>
      </c>
      <c r="L3732">
        <v>31</v>
      </c>
      <c r="M3732">
        <v>5</v>
      </c>
      <c r="N3732">
        <v>22</v>
      </c>
      <c r="O3732">
        <v>73.664000000000001</v>
      </c>
      <c r="P3732">
        <v>5.0057715710000004</v>
      </c>
      <c r="Q3732">
        <v>15.592000000000001</v>
      </c>
    </row>
    <row r="3733" spans="1:17" x14ac:dyDescent="0.2">
      <c r="A3733" s="30" t="str">
        <f>IF(C3733&amp;G3733&amp;D3733&lt;&gt;'Funnel setup'!$K$3&amp;'Funnel setup'!$K$4&amp;'Funnel setup'!$K$5,".",IF(A3732=".",1,A3732+1))</f>
        <v>.</v>
      </c>
      <c r="B3733" s="431" t="str">
        <f t="shared" si="58"/>
        <v>Knee Replacement PrimaryCCG of GP PracticeNHS LINCOLNSHIRE EAST CCG (03T)EQ VAS</v>
      </c>
      <c r="C3733" t="s">
        <v>249</v>
      </c>
      <c r="D3733" t="s">
        <v>87</v>
      </c>
      <c r="E3733" t="s">
        <v>560</v>
      </c>
      <c r="F3733" t="s">
        <v>561</v>
      </c>
      <c r="G3733" t="s">
        <v>179</v>
      </c>
      <c r="H3733">
        <v>214</v>
      </c>
      <c r="I3733">
        <v>73</v>
      </c>
      <c r="J3733">
        <v>75.022999999999996</v>
      </c>
      <c r="K3733">
        <v>2.0230000000000001</v>
      </c>
      <c r="L3733">
        <v>107</v>
      </c>
      <c r="M3733">
        <v>33</v>
      </c>
      <c r="N3733">
        <v>74</v>
      </c>
      <c r="O3733">
        <v>73.959999999999994</v>
      </c>
      <c r="P3733">
        <v>5.3020285190000003</v>
      </c>
      <c r="Q3733">
        <v>18.530999999999999</v>
      </c>
    </row>
    <row r="3734" spans="1:17" x14ac:dyDescent="0.2">
      <c r="A3734" s="30" t="str">
        <f>IF(C3734&amp;G3734&amp;D3734&lt;&gt;'Funnel setup'!$K$3&amp;'Funnel setup'!$K$4&amp;'Funnel setup'!$K$5,".",IF(A3733=".",1,A3733+1))</f>
        <v>.</v>
      </c>
      <c r="B3734" s="431" t="str">
        <f t="shared" si="58"/>
        <v>Knee Replacement PrimaryCCG of GP PracticeNHS LINCOLNSHIRE WEST CCG (04D)EQ VAS</v>
      </c>
      <c r="C3734" t="s">
        <v>249</v>
      </c>
      <c r="D3734" t="s">
        <v>87</v>
      </c>
      <c r="E3734" t="s">
        <v>408</v>
      </c>
      <c r="F3734" t="s">
        <v>409</v>
      </c>
      <c r="G3734" t="s">
        <v>179</v>
      </c>
      <c r="H3734">
        <v>177</v>
      </c>
      <c r="I3734">
        <v>67.497</v>
      </c>
      <c r="J3734">
        <v>76.977000000000004</v>
      </c>
      <c r="K3734">
        <v>9.48</v>
      </c>
      <c r="L3734">
        <v>110</v>
      </c>
      <c r="M3734">
        <v>19</v>
      </c>
      <c r="N3734">
        <v>48</v>
      </c>
      <c r="O3734">
        <v>76.248999999999995</v>
      </c>
      <c r="P3734">
        <v>7.591135886</v>
      </c>
      <c r="Q3734">
        <v>14.553000000000001</v>
      </c>
    </row>
    <row r="3735" spans="1:17" x14ac:dyDescent="0.2">
      <c r="A3735" s="30" t="str">
        <f>IF(C3735&amp;G3735&amp;D3735&lt;&gt;'Funnel setup'!$K$3&amp;'Funnel setup'!$K$4&amp;'Funnel setup'!$K$5,".",IF(A3734=".",1,A3734+1))</f>
        <v>.</v>
      </c>
      <c r="B3735" s="431" t="str">
        <f t="shared" si="58"/>
        <v>Knee Replacement PrimaryCCG of GP PracticeNHS LIVERPOOL CCG (99A)EQ VAS</v>
      </c>
      <c r="C3735" t="s">
        <v>249</v>
      </c>
      <c r="D3735" t="s">
        <v>87</v>
      </c>
      <c r="E3735" t="s">
        <v>411</v>
      </c>
      <c r="F3735" t="s">
        <v>412</v>
      </c>
      <c r="G3735" t="s">
        <v>179</v>
      </c>
      <c r="H3735">
        <v>211</v>
      </c>
      <c r="I3735">
        <v>67.013999999999996</v>
      </c>
      <c r="J3735">
        <v>71.635000000000005</v>
      </c>
      <c r="K3735">
        <v>4.6210000000000004</v>
      </c>
      <c r="L3735">
        <v>111</v>
      </c>
      <c r="M3735">
        <v>25</v>
      </c>
      <c r="N3735">
        <v>75</v>
      </c>
      <c r="O3735">
        <v>73.835999999999999</v>
      </c>
      <c r="P3735">
        <v>5.1776270980000003</v>
      </c>
      <c r="Q3735">
        <v>15.317</v>
      </c>
    </row>
    <row r="3736" spans="1:17" x14ac:dyDescent="0.2">
      <c r="A3736" s="30" t="str">
        <f>IF(C3736&amp;G3736&amp;D3736&lt;&gt;'Funnel setup'!$K$3&amp;'Funnel setup'!$K$4&amp;'Funnel setup'!$K$5,".",IF(A3735=".",1,A3735+1))</f>
        <v>.</v>
      </c>
      <c r="B3736" s="431" t="str">
        <f t="shared" si="58"/>
        <v>Knee Replacement PrimaryCCG of GP PracticeNHS LUTON CCG (06P)EQ VAS</v>
      </c>
      <c r="C3736" t="s">
        <v>249</v>
      </c>
      <c r="D3736" t="s">
        <v>87</v>
      </c>
      <c r="E3736" t="s">
        <v>414</v>
      </c>
      <c r="F3736" t="s">
        <v>415</v>
      </c>
      <c r="G3736" t="s">
        <v>179</v>
      </c>
      <c r="H3736">
        <v>112</v>
      </c>
      <c r="I3736">
        <v>65.634</v>
      </c>
      <c r="J3736">
        <v>73.491</v>
      </c>
      <c r="K3736">
        <v>7.8570000000000002</v>
      </c>
      <c r="L3736">
        <v>69</v>
      </c>
      <c r="M3736">
        <v>10</v>
      </c>
      <c r="N3736">
        <v>33</v>
      </c>
      <c r="O3736">
        <v>76.162999999999997</v>
      </c>
      <c r="P3736">
        <v>7.5044558959999996</v>
      </c>
      <c r="Q3736">
        <v>17.920000000000002</v>
      </c>
    </row>
    <row r="3737" spans="1:17" x14ac:dyDescent="0.2">
      <c r="A3737" s="30" t="str">
        <f>IF(C3737&amp;G3737&amp;D3737&lt;&gt;'Funnel setup'!$K$3&amp;'Funnel setup'!$K$4&amp;'Funnel setup'!$K$5,".",IF(A3736=".",1,A3736+1))</f>
        <v>.</v>
      </c>
      <c r="B3737" s="431" t="str">
        <f t="shared" si="58"/>
        <v>Knee Replacement PrimaryCCG of GP PracticeNHS MANSFIELD AND ASHFIELD CCG (04E)EQ VAS</v>
      </c>
      <c r="C3737" t="s">
        <v>249</v>
      </c>
      <c r="D3737" t="s">
        <v>87</v>
      </c>
      <c r="E3737" t="s">
        <v>417</v>
      </c>
      <c r="F3737" t="s">
        <v>418</v>
      </c>
      <c r="G3737" t="s">
        <v>179</v>
      </c>
      <c r="H3737">
        <v>118</v>
      </c>
      <c r="I3737">
        <v>64.271000000000001</v>
      </c>
      <c r="J3737">
        <v>69.703000000000003</v>
      </c>
      <c r="K3737">
        <v>5.4320000000000004</v>
      </c>
      <c r="L3737">
        <v>72</v>
      </c>
      <c r="M3737">
        <v>12</v>
      </c>
      <c r="N3737">
        <v>34</v>
      </c>
      <c r="O3737">
        <v>72.781999999999996</v>
      </c>
      <c r="P3737">
        <v>4.1234875219999996</v>
      </c>
      <c r="Q3737">
        <v>17.109000000000002</v>
      </c>
    </row>
    <row r="3738" spans="1:17" x14ac:dyDescent="0.2">
      <c r="A3738" s="30" t="str">
        <f>IF(C3738&amp;G3738&amp;D3738&lt;&gt;'Funnel setup'!$K$3&amp;'Funnel setup'!$K$4&amp;'Funnel setup'!$K$5,".",IF(A3737=".",1,A3737+1))</f>
        <v>.</v>
      </c>
      <c r="B3738" s="431" t="str">
        <f t="shared" si="58"/>
        <v>Knee Replacement PrimaryCCG of GP PracticeNHS MEDWAY CCG (09W)EQ VAS</v>
      </c>
      <c r="C3738" t="s">
        <v>249</v>
      </c>
      <c r="D3738" t="s">
        <v>87</v>
      </c>
      <c r="E3738" t="s">
        <v>610</v>
      </c>
      <c r="F3738" t="s">
        <v>611</v>
      </c>
      <c r="G3738" t="s">
        <v>179</v>
      </c>
      <c r="H3738">
        <v>152</v>
      </c>
      <c r="I3738">
        <v>67.775999999999996</v>
      </c>
      <c r="J3738">
        <v>73.796000000000006</v>
      </c>
      <c r="K3738">
        <v>6.02</v>
      </c>
      <c r="L3738">
        <v>89</v>
      </c>
      <c r="M3738">
        <v>19</v>
      </c>
      <c r="N3738">
        <v>44</v>
      </c>
      <c r="O3738">
        <v>74.091999999999999</v>
      </c>
      <c r="P3738">
        <v>5.4341004670000004</v>
      </c>
      <c r="Q3738">
        <v>17.404</v>
      </c>
    </row>
    <row r="3739" spans="1:17" x14ac:dyDescent="0.2">
      <c r="A3739" s="30" t="str">
        <f>IF(C3739&amp;G3739&amp;D3739&lt;&gt;'Funnel setup'!$K$3&amp;'Funnel setup'!$K$4&amp;'Funnel setup'!$K$5,".",IF(A3738=".",1,A3738+1))</f>
        <v>.</v>
      </c>
      <c r="B3739" s="431" t="str">
        <f t="shared" si="58"/>
        <v>Knee Replacement PrimaryCCG of GP PracticeNHS MERTON CCG (08R)EQ VAS</v>
      </c>
      <c r="C3739" t="s">
        <v>249</v>
      </c>
      <c r="D3739" t="s">
        <v>87</v>
      </c>
      <c r="E3739" t="s">
        <v>613</v>
      </c>
      <c r="F3739" t="s">
        <v>614</v>
      </c>
      <c r="G3739" t="s">
        <v>179</v>
      </c>
      <c r="H3739">
        <v>54</v>
      </c>
      <c r="I3739">
        <v>69.480999999999995</v>
      </c>
      <c r="J3739">
        <v>70.63</v>
      </c>
      <c r="K3739">
        <v>1.1479999999999999</v>
      </c>
      <c r="L3739">
        <v>30</v>
      </c>
      <c r="M3739">
        <v>11</v>
      </c>
      <c r="N3739">
        <v>13</v>
      </c>
      <c r="O3739">
        <v>70.488</v>
      </c>
      <c r="P3739">
        <v>1.8293453930000001</v>
      </c>
      <c r="Q3739">
        <v>16.625</v>
      </c>
    </row>
    <row r="3740" spans="1:17" x14ac:dyDescent="0.2">
      <c r="A3740" s="30" t="str">
        <f>IF(C3740&amp;G3740&amp;D3740&lt;&gt;'Funnel setup'!$K$3&amp;'Funnel setup'!$K$4&amp;'Funnel setup'!$K$5,".",IF(A3739=".",1,A3739+1))</f>
        <v>.</v>
      </c>
      <c r="B3740" s="431" t="str">
        <f t="shared" si="58"/>
        <v>Knee Replacement PrimaryCCG of GP PracticeNHS MID ESSEX CCG (06Q)EQ VAS</v>
      </c>
      <c r="C3740" t="s">
        <v>249</v>
      </c>
      <c r="D3740" t="s">
        <v>87</v>
      </c>
      <c r="E3740" t="s">
        <v>616</v>
      </c>
      <c r="F3740" t="s">
        <v>617</v>
      </c>
      <c r="G3740" t="s">
        <v>179</v>
      </c>
      <c r="H3740">
        <v>269</v>
      </c>
      <c r="I3740">
        <v>69.48</v>
      </c>
      <c r="J3740">
        <v>73.954999999999998</v>
      </c>
      <c r="K3740">
        <v>4.476</v>
      </c>
      <c r="L3740">
        <v>146</v>
      </c>
      <c r="M3740">
        <v>37</v>
      </c>
      <c r="N3740">
        <v>86</v>
      </c>
      <c r="O3740">
        <v>72.694000000000003</v>
      </c>
      <c r="P3740">
        <v>4.0356179440000002</v>
      </c>
      <c r="Q3740">
        <v>16.001999999999999</v>
      </c>
    </row>
    <row r="3741" spans="1:17" x14ac:dyDescent="0.2">
      <c r="A3741" s="30" t="str">
        <f>IF(C3741&amp;G3741&amp;D3741&lt;&gt;'Funnel setup'!$K$3&amp;'Funnel setup'!$K$4&amp;'Funnel setup'!$K$5,".",IF(A3740=".",1,A3740+1))</f>
        <v>.</v>
      </c>
      <c r="B3741" s="431" t="str">
        <f t="shared" si="58"/>
        <v>Knee Replacement PrimaryCCG of GP PracticeNHS MILTON KEYNES CCG (04F)EQ VAS</v>
      </c>
      <c r="C3741" t="s">
        <v>249</v>
      </c>
      <c r="D3741" t="s">
        <v>87</v>
      </c>
      <c r="E3741" t="s">
        <v>619</v>
      </c>
      <c r="F3741" t="s">
        <v>338</v>
      </c>
      <c r="G3741" t="s">
        <v>179</v>
      </c>
      <c r="H3741">
        <v>127</v>
      </c>
      <c r="I3741">
        <v>66.983999999999995</v>
      </c>
      <c r="J3741">
        <v>75.756</v>
      </c>
      <c r="K3741">
        <v>8.7720000000000002</v>
      </c>
      <c r="L3741">
        <v>83</v>
      </c>
      <c r="M3741">
        <v>10</v>
      </c>
      <c r="N3741">
        <v>34</v>
      </c>
      <c r="O3741">
        <v>75.983000000000004</v>
      </c>
      <c r="P3741">
        <v>7.3249268890000003</v>
      </c>
      <c r="Q3741">
        <v>16.577000000000002</v>
      </c>
    </row>
    <row r="3742" spans="1:17" x14ac:dyDescent="0.2">
      <c r="A3742" s="30" t="str">
        <f>IF(C3742&amp;G3742&amp;D3742&lt;&gt;'Funnel setup'!$K$3&amp;'Funnel setup'!$K$4&amp;'Funnel setup'!$K$5,".",IF(A3741=".",1,A3741+1))</f>
        <v>.</v>
      </c>
      <c r="B3742" s="431" t="str">
        <f t="shared" si="58"/>
        <v>Knee Replacement PrimaryCCG of GP PracticeNHS NENE CCG (04G)EQ VAS</v>
      </c>
      <c r="C3742" t="s">
        <v>249</v>
      </c>
      <c r="D3742" t="s">
        <v>87</v>
      </c>
      <c r="E3742" t="s">
        <v>621</v>
      </c>
      <c r="F3742" t="s">
        <v>622</v>
      </c>
      <c r="G3742" t="s">
        <v>179</v>
      </c>
      <c r="H3742">
        <v>399</v>
      </c>
      <c r="I3742">
        <v>64.465999999999994</v>
      </c>
      <c r="J3742">
        <v>74.965000000000003</v>
      </c>
      <c r="K3742">
        <v>10.499000000000001</v>
      </c>
      <c r="L3742">
        <v>247</v>
      </c>
      <c r="M3742">
        <v>44</v>
      </c>
      <c r="N3742">
        <v>108</v>
      </c>
      <c r="O3742">
        <v>76.590999999999994</v>
      </c>
      <c r="P3742">
        <v>7.9329772529999998</v>
      </c>
      <c r="Q3742">
        <v>16.475000000000001</v>
      </c>
    </row>
    <row r="3743" spans="1:17" x14ac:dyDescent="0.2">
      <c r="A3743" s="30" t="str">
        <f>IF(C3743&amp;G3743&amp;D3743&lt;&gt;'Funnel setup'!$K$3&amp;'Funnel setup'!$K$4&amp;'Funnel setup'!$K$5,".",IF(A3742=".",1,A3742+1))</f>
        <v>.</v>
      </c>
      <c r="B3743" s="431" t="str">
        <f t="shared" si="58"/>
        <v>Knee Replacement PrimaryCCG of GP PracticeNHS NEWARK &amp; SHERWOOD CCG (04H)EQ VAS</v>
      </c>
      <c r="C3743" t="s">
        <v>249</v>
      </c>
      <c r="D3743" t="s">
        <v>87</v>
      </c>
      <c r="E3743" t="s">
        <v>624</v>
      </c>
      <c r="F3743" t="s">
        <v>625</v>
      </c>
      <c r="G3743" t="s">
        <v>179</v>
      </c>
      <c r="H3743">
        <v>98</v>
      </c>
      <c r="I3743">
        <v>66.296000000000006</v>
      </c>
      <c r="J3743">
        <v>73.275999999999996</v>
      </c>
      <c r="K3743">
        <v>6.98</v>
      </c>
      <c r="L3743">
        <v>57</v>
      </c>
      <c r="M3743">
        <v>11</v>
      </c>
      <c r="N3743">
        <v>30</v>
      </c>
      <c r="O3743">
        <v>74.415999999999997</v>
      </c>
      <c r="P3743">
        <v>5.7577505330000003</v>
      </c>
      <c r="Q3743">
        <v>16.481999999999999</v>
      </c>
    </row>
    <row r="3744" spans="1:17" x14ac:dyDescent="0.2">
      <c r="A3744" s="30" t="str">
        <f>IF(C3744&amp;G3744&amp;D3744&lt;&gt;'Funnel setup'!$K$3&amp;'Funnel setup'!$K$4&amp;'Funnel setup'!$K$5,".",IF(A3743=".",1,A3743+1))</f>
        <v>.</v>
      </c>
      <c r="B3744" s="431" t="str">
        <f t="shared" si="58"/>
        <v>Knee Replacement PrimaryCCG of GP PracticeNHS NEWBURY AND DISTRICT CCG (10M)EQ VAS</v>
      </c>
      <c r="C3744" t="s">
        <v>249</v>
      </c>
      <c r="D3744" t="s">
        <v>87</v>
      </c>
      <c r="E3744" t="s">
        <v>627</v>
      </c>
      <c r="F3744" t="s">
        <v>628</v>
      </c>
      <c r="G3744" t="s">
        <v>179</v>
      </c>
      <c r="H3744">
        <v>50</v>
      </c>
      <c r="I3744">
        <v>76.040000000000006</v>
      </c>
      <c r="J3744">
        <v>77.72</v>
      </c>
      <c r="K3744">
        <v>1.68</v>
      </c>
      <c r="L3744">
        <v>18</v>
      </c>
      <c r="M3744">
        <v>18</v>
      </c>
      <c r="N3744">
        <v>14</v>
      </c>
      <c r="O3744">
        <v>72.873999999999995</v>
      </c>
      <c r="P3744">
        <v>4.2152532459999996</v>
      </c>
      <c r="Q3744">
        <v>11.818</v>
      </c>
    </row>
    <row r="3745" spans="1:17" x14ac:dyDescent="0.2">
      <c r="A3745" s="30" t="str">
        <f>IF(C3745&amp;G3745&amp;D3745&lt;&gt;'Funnel setup'!$K$3&amp;'Funnel setup'!$K$4&amp;'Funnel setup'!$K$5,".",IF(A3744=".",1,A3744+1))</f>
        <v>.</v>
      </c>
      <c r="B3745" s="431" t="str">
        <f t="shared" si="58"/>
        <v>Knee Replacement PrimaryCCG of GP PracticeNHS NEWCASTLE GATESHEAD CCG (13T)EQ VAS</v>
      </c>
      <c r="C3745" t="s">
        <v>249</v>
      </c>
      <c r="D3745" t="s">
        <v>87</v>
      </c>
      <c r="E3745" t="s">
        <v>6553</v>
      </c>
      <c r="F3745" t="s">
        <v>6543</v>
      </c>
      <c r="G3745" t="s">
        <v>179</v>
      </c>
      <c r="H3745">
        <v>461</v>
      </c>
      <c r="I3745">
        <v>68.965000000000003</v>
      </c>
      <c r="J3745">
        <v>73.007000000000005</v>
      </c>
      <c r="K3745">
        <v>4.0410000000000004</v>
      </c>
      <c r="L3745">
        <v>238</v>
      </c>
      <c r="M3745">
        <v>69</v>
      </c>
      <c r="N3745">
        <v>154</v>
      </c>
      <c r="O3745">
        <v>73.947000000000003</v>
      </c>
      <c r="P3745">
        <v>5.2883887630000004</v>
      </c>
      <c r="Q3745">
        <v>16.274999999999999</v>
      </c>
    </row>
    <row r="3746" spans="1:17" x14ac:dyDescent="0.2">
      <c r="A3746" s="30" t="str">
        <f>IF(C3746&amp;G3746&amp;D3746&lt;&gt;'Funnel setup'!$K$3&amp;'Funnel setup'!$K$4&amp;'Funnel setup'!$K$5,".",IF(A3745=".",1,A3745+1))</f>
        <v>.</v>
      </c>
      <c r="B3746" s="431" t="str">
        <f t="shared" si="58"/>
        <v>Knee Replacement PrimaryCCG of GP PracticeNHS NEWHAM CCG (08M)EQ VAS</v>
      </c>
      <c r="C3746" t="s">
        <v>249</v>
      </c>
      <c r="D3746" t="s">
        <v>87</v>
      </c>
      <c r="E3746" t="s">
        <v>630</v>
      </c>
      <c r="F3746" t="s">
        <v>631</v>
      </c>
      <c r="G3746" t="s">
        <v>179</v>
      </c>
      <c r="H3746">
        <v>80</v>
      </c>
      <c r="I3746">
        <v>58.512999999999998</v>
      </c>
      <c r="J3746">
        <v>62.787999999999997</v>
      </c>
      <c r="K3746">
        <v>4.2750000000000004</v>
      </c>
      <c r="L3746">
        <v>41</v>
      </c>
      <c r="M3746">
        <v>12</v>
      </c>
      <c r="N3746">
        <v>27</v>
      </c>
      <c r="O3746">
        <v>71.760000000000005</v>
      </c>
      <c r="P3746">
        <v>3.1021103160000001</v>
      </c>
      <c r="Q3746">
        <v>17.791</v>
      </c>
    </row>
    <row r="3747" spans="1:17" x14ac:dyDescent="0.2">
      <c r="A3747" s="30" t="str">
        <f>IF(C3747&amp;G3747&amp;D3747&lt;&gt;'Funnel setup'!$K$3&amp;'Funnel setup'!$K$4&amp;'Funnel setup'!$K$5,".",IF(A3746=".",1,A3746+1))</f>
        <v>.</v>
      </c>
      <c r="B3747" s="431" t="str">
        <f t="shared" si="58"/>
        <v>Knee Replacement PrimaryCCG of GP PracticeNHS NORTH &amp; WEST READING CCG (10N)EQ VAS</v>
      </c>
      <c r="C3747" t="s">
        <v>249</v>
      </c>
      <c r="D3747" t="s">
        <v>87</v>
      </c>
      <c r="E3747" t="s">
        <v>633</v>
      </c>
      <c r="F3747" t="s">
        <v>634</v>
      </c>
      <c r="G3747" t="s">
        <v>179</v>
      </c>
      <c r="H3747">
        <v>69</v>
      </c>
      <c r="I3747">
        <v>70.652000000000001</v>
      </c>
      <c r="J3747">
        <v>77.986000000000004</v>
      </c>
      <c r="K3747">
        <v>7.3330000000000002</v>
      </c>
      <c r="L3747">
        <v>42</v>
      </c>
      <c r="M3747">
        <v>7</v>
      </c>
      <c r="N3747">
        <v>20</v>
      </c>
      <c r="O3747">
        <v>75.105000000000004</v>
      </c>
      <c r="P3747">
        <v>6.4462103820000003</v>
      </c>
      <c r="Q3747">
        <v>14.576000000000001</v>
      </c>
    </row>
    <row r="3748" spans="1:17" x14ac:dyDescent="0.2">
      <c r="A3748" s="30" t="str">
        <f>IF(C3748&amp;G3748&amp;D3748&lt;&gt;'Funnel setup'!$K$3&amp;'Funnel setup'!$K$4&amp;'Funnel setup'!$K$5,".",IF(A3747=".",1,A3747+1))</f>
        <v>.</v>
      </c>
      <c r="B3748" s="431" t="str">
        <f t="shared" si="58"/>
        <v>Knee Replacement PrimaryCCG of GP PracticeNHS NORTH DERBYSHIRE CCG (04J)EQ VAS</v>
      </c>
      <c r="C3748" t="s">
        <v>249</v>
      </c>
      <c r="D3748" t="s">
        <v>87</v>
      </c>
      <c r="E3748" t="s">
        <v>636</v>
      </c>
      <c r="F3748" t="s">
        <v>637</v>
      </c>
      <c r="G3748" t="s">
        <v>179</v>
      </c>
      <c r="H3748">
        <v>308</v>
      </c>
      <c r="I3748">
        <v>68.795000000000002</v>
      </c>
      <c r="J3748">
        <v>75.36</v>
      </c>
      <c r="K3748">
        <v>6.5650000000000004</v>
      </c>
      <c r="L3748">
        <v>169</v>
      </c>
      <c r="M3748">
        <v>47</v>
      </c>
      <c r="N3748">
        <v>92</v>
      </c>
      <c r="O3748">
        <v>74.789000000000001</v>
      </c>
      <c r="P3748">
        <v>6.1304715879999998</v>
      </c>
      <c r="Q3748">
        <v>15.045</v>
      </c>
    </row>
    <row r="3749" spans="1:17" x14ac:dyDescent="0.2">
      <c r="A3749" s="30" t="str">
        <f>IF(C3749&amp;G3749&amp;D3749&lt;&gt;'Funnel setup'!$K$3&amp;'Funnel setup'!$K$4&amp;'Funnel setup'!$K$5,".",IF(A3748=".",1,A3748+1))</f>
        <v>.</v>
      </c>
      <c r="B3749" s="431" t="str">
        <f t="shared" si="58"/>
        <v>Knee Replacement PrimaryCCG of GP PracticeNHS NORTH DURHAM CCG (00J)EQ VAS</v>
      </c>
      <c r="C3749" t="s">
        <v>249</v>
      </c>
      <c r="D3749" t="s">
        <v>87</v>
      </c>
      <c r="E3749" t="s">
        <v>639</v>
      </c>
      <c r="F3749" t="s">
        <v>640</v>
      </c>
      <c r="G3749" t="s">
        <v>179</v>
      </c>
      <c r="H3749">
        <v>223</v>
      </c>
      <c r="I3749">
        <v>70.456999999999994</v>
      </c>
      <c r="J3749">
        <v>72.721999999999994</v>
      </c>
      <c r="K3749">
        <v>2.2650000000000001</v>
      </c>
      <c r="L3749">
        <v>107</v>
      </c>
      <c r="M3749">
        <v>19</v>
      </c>
      <c r="N3749">
        <v>97</v>
      </c>
      <c r="O3749">
        <v>72.768000000000001</v>
      </c>
      <c r="P3749">
        <v>4.1098483620000001</v>
      </c>
      <c r="Q3749">
        <v>15.534000000000001</v>
      </c>
    </row>
    <row r="3750" spans="1:17" x14ac:dyDescent="0.2">
      <c r="A3750" s="30" t="str">
        <f>IF(C3750&amp;G3750&amp;D3750&lt;&gt;'Funnel setup'!$K$3&amp;'Funnel setup'!$K$4&amp;'Funnel setup'!$K$5,".",IF(A3749=".",1,A3749+1))</f>
        <v>.</v>
      </c>
      <c r="B3750" s="431" t="str">
        <f t="shared" si="58"/>
        <v>Knee Replacement PrimaryCCG of GP PracticeNHS NORTH EAST ESSEX CCG (06T)EQ VAS</v>
      </c>
      <c r="C3750" t="s">
        <v>249</v>
      </c>
      <c r="D3750" t="s">
        <v>87</v>
      </c>
      <c r="E3750" t="s">
        <v>642</v>
      </c>
      <c r="F3750" t="s">
        <v>643</v>
      </c>
      <c r="G3750" t="s">
        <v>179</v>
      </c>
      <c r="H3750">
        <v>306</v>
      </c>
      <c r="I3750">
        <v>68.879000000000005</v>
      </c>
      <c r="J3750">
        <v>76.569000000000003</v>
      </c>
      <c r="K3750">
        <v>7.69</v>
      </c>
      <c r="L3750">
        <v>185</v>
      </c>
      <c r="M3750">
        <v>42</v>
      </c>
      <c r="N3750">
        <v>79</v>
      </c>
      <c r="O3750">
        <v>76.7</v>
      </c>
      <c r="P3750">
        <v>8.0419978319999998</v>
      </c>
      <c r="Q3750">
        <v>13.712</v>
      </c>
    </row>
    <row r="3751" spans="1:17" x14ac:dyDescent="0.2">
      <c r="A3751" s="30" t="str">
        <f>IF(C3751&amp;G3751&amp;D3751&lt;&gt;'Funnel setup'!$K$3&amp;'Funnel setup'!$K$4&amp;'Funnel setup'!$K$5,".",IF(A3750=".",1,A3750+1))</f>
        <v>.</v>
      </c>
      <c r="B3751" s="431" t="str">
        <f t="shared" si="58"/>
        <v>Knee Replacement PrimaryCCG of GP PracticeNHS NORTH EAST HAMPSHIRE AND FARNHAM CCG (99M)EQ VAS</v>
      </c>
      <c r="C3751" t="s">
        <v>249</v>
      </c>
      <c r="D3751" t="s">
        <v>87</v>
      </c>
      <c r="E3751" t="s">
        <v>645</v>
      </c>
      <c r="F3751" t="s">
        <v>646</v>
      </c>
      <c r="G3751" t="s">
        <v>179</v>
      </c>
      <c r="H3751">
        <v>167</v>
      </c>
      <c r="I3751">
        <v>71.497</v>
      </c>
      <c r="J3751">
        <v>76.084000000000003</v>
      </c>
      <c r="K3751">
        <v>4.5869999999999997</v>
      </c>
      <c r="L3751">
        <v>91</v>
      </c>
      <c r="M3751">
        <v>19</v>
      </c>
      <c r="N3751">
        <v>57</v>
      </c>
      <c r="O3751">
        <v>73.188000000000002</v>
      </c>
      <c r="P3751">
        <v>4.5301431450000003</v>
      </c>
      <c r="Q3751">
        <v>14.952</v>
      </c>
    </row>
    <row r="3752" spans="1:17" x14ac:dyDescent="0.2">
      <c r="A3752" s="30" t="str">
        <f>IF(C3752&amp;G3752&amp;D3752&lt;&gt;'Funnel setup'!$K$3&amp;'Funnel setup'!$K$4&amp;'Funnel setup'!$K$5,".",IF(A3751=".",1,A3751+1))</f>
        <v>.</v>
      </c>
      <c r="B3752" s="431" t="str">
        <f t="shared" si="58"/>
        <v>Knee Replacement PrimaryCCG of GP PracticeNHS NORTH EAST LINCOLNSHIRE CCG (03H)EQ VAS</v>
      </c>
      <c r="C3752" t="s">
        <v>249</v>
      </c>
      <c r="D3752" t="s">
        <v>87</v>
      </c>
      <c r="E3752" t="s">
        <v>648</v>
      </c>
      <c r="F3752" t="s">
        <v>649</v>
      </c>
      <c r="G3752" t="s">
        <v>179</v>
      </c>
      <c r="H3752">
        <v>87</v>
      </c>
      <c r="I3752">
        <v>67.022999999999996</v>
      </c>
      <c r="J3752">
        <v>76.977000000000004</v>
      </c>
      <c r="K3752">
        <v>9.9540000000000006</v>
      </c>
      <c r="L3752">
        <v>54</v>
      </c>
      <c r="M3752">
        <v>17</v>
      </c>
      <c r="N3752">
        <v>16</v>
      </c>
      <c r="O3752">
        <v>76.971999999999994</v>
      </c>
      <c r="P3752">
        <v>8.313901521</v>
      </c>
      <c r="Q3752">
        <v>14.27</v>
      </c>
    </row>
    <row r="3753" spans="1:17" x14ac:dyDescent="0.2">
      <c r="A3753" s="30" t="str">
        <f>IF(C3753&amp;G3753&amp;D3753&lt;&gt;'Funnel setup'!$K$3&amp;'Funnel setup'!$K$4&amp;'Funnel setup'!$K$5,".",IF(A3752=".",1,A3752+1))</f>
        <v>.</v>
      </c>
      <c r="B3753" s="431" t="str">
        <f t="shared" si="58"/>
        <v>Knee Replacement PrimaryCCG of GP PracticeNHS NORTH HAMPSHIRE CCG (10J)EQ VAS</v>
      </c>
      <c r="C3753" t="s">
        <v>249</v>
      </c>
      <c r="D3753" t="s">
        <v>87</v>
      </c>
      <c r="E3753" t="s">
        <v>651</v>
      </c>
      <c r="F3753" t="s">
        <v>652</v>
      </c>
      <c r="G3753" t="s">
        <v>179</v>
      </c>
      <c r="H3753">
        <v>106</v>
      </c>
      <c r="I3753">
        <v>73.396000000000001</v>
      </c>
      <c r="J3753">
        <v>72.274000000000001</v>
      </c>
      <c r="K3753">
        <v>-1.123</v>
      </c>
      <c r="L3753">
        <v>44</v>
      </c>
      <c r="M3753">
        <v>19</v>
      </c>
      <c r="N3753">
        <v>43</v>
      </c>
      <c r="O3753">
        <v>70.709000000000003</v>
      </c>
      <c r="P3753">
        <v>2.0510858719999998</v>
      </c>
      <c r="Q3753">
        <v>14.813000000000001</v>
      </c>
    </row>
    <row r="3754" spans="1:17" x14ac:dyDescent="0.2">
      <c r="A3754" s="30" t="str">
        <f>IF(C3754&amp;G3754&amp;D3754&lt;&gt;'Funnel setup'!$K$3&amp;'Funnel setup'!$K$4&amp;'Funnel setup'!$K$5,".",IF(A3753=".",1,A3753+1))</f>
        <v>.</v>
      </c>
      <c r="B3754" s="431" t="str">
        <f t="shared" si="58"/>
        <v>Knee Replacement PrimaryCCG of GP PracticeNHS NORTH KIRKLEES CCG (03J)EQ VAS</v>
      </c>
      <c r="C3754" t="s">
        <v>249</v>
      </c>
      <c r="D3754" t="s">
        <v>87</v>
      </c>
      <c r="E3754" t="s">
        <v>654</v>
      </c>
      <c r="F3754" t="s">
        <v>655</v>
      </c>
      <c r="G3754" t="s">
        <v>179</v>
      </c>
      <c r="H3754">
        <v>128</v>
      </c>
      <c r="I3754">
        <v>69.421999999999997</v>
      </c>
      <c r="J3754">
        <v>74.414000000000001</v>
      </c>
      <c r="K3754">
        <v>4.992</v>
      </c>
      <c r="L3754">
        <v>73</v>
      </c>
      <c r="M3754">
        <v>14</v>
      </c>
      <c r="N3754">
        <v>41</v>
      </c>
      <c r="O3754">
        <v>75.156000000000006</v>
      </c>
      <c r="P3754">
        <v>6.4973711730000003</v>
      </c>
      <c r="Q3754">
        <v>16.542999999999999</v>
      </c>
    </row>
    <row r="3755" spans="1:17" x14ac:dyDescent="0.2">
      <c r="A3755" s="30" t="str">
        <f>IF(C3755&amp;G3755&amp;D3755&lt;&gt;'Funnel setup'!$K$3&amp;'Funnel setup'!$K$4&amp;'Funnel setup'!$K$5,".",IF(A3754=".",1,A3754+1))</f>
        <v>.</v>
      </c>
      <c r="B3755" s="431" t="str">
        <f t="shared" si="58"/>
        <v>Knee Replacement PrimaryCCG of GP PracticeNHS NORTH LINCOLNSHIRE CCG (03K)EQ VAS</v>
      </c>
      <c r="C3755" t="s">
        <v>249</v>
      </c>
      <c r="D3755" t="s">
        <v>87</v>
      </c>
      <c r="E3755" t="s">
        <v>657</v>
      </c>
      <c r="F3755" t="s">
        <v>658</v>
      </c>
      <c r="G3755" t="s">
        <v>179</v>
      </c>
      <c r="H3755">
        <v>166</v>
      </c>
      <c r="I3755">
        <v>67.259</v>
      </c>
      <c r="J3755">
        <v>74.078000000000003</v>
      </c>
      <c r="K3755">
        <v>6.819</v>
      </c>
      <c r="L3755">
        <v>93</v>
      </c>
      <c r="M3755">
        <v>26</v>
      </c>
      <c r="N3755">
        <v>47</v>
      </c>
      <c r="O3755">
        <v>73.680999999999997</v>
      </c>
      <c r="P3755">
        <v>5.0228489810000001</v>
      </c>
      <c r="Q3755">
        <v>15.259</v>
      </c>
    </row>
    <row r="3756" spans="1:17" x14ac:dyDescent="0.2">
      <c r="A3756" s="30" t="str">
        <f>IF(C3756&amp;G3756&amp;D3756&lt;&gt;'Funnel setup'!$K$3&amp;'Funnel setup'!$K$4&amp;'Funnel setup'!$K$5,".",IF(A3755=".",1,A3755+1))</f>
        <v>.</v>
      </c>
      <c r="B3756" s="431" t="str">
        <f t="shared" si="58"/>
        <v>Knee Replacement PrimaryCCG of GP PracticeNHS NORTH MANCHESTER CCG (01M)EQ VAS</v>
      </c>
      <c r="C3756" t="s">
        <v>249</v>
      </c>
      <c r="D3756" t="s">
        <v>87</v>
      </c>
      <c r="E3756" t="s">
        <v>660</v>
      </c>
      <c r="F3756" t="s">
        <v>661</v>
      </c>
      <c r="G3756" t="s">
        <v>179</v>
      </c>
      <c r="H3756">
        <v>86</v>
      </c>
      <c r="I3756">
        <v>67.244</v>
      </c>
      <c r="J3756">
        <v>72.697999999999993</v>
      </c>
      <c r="K3756">
        <v>5.4530000000000003</v>
      </c>
      <c r="L3756">
        <v>46</v>
      </c>
      <c r="M3756">
        <v>10</v>
      </c>
      <c r="N3756">
        <v>30</v>
      </c>
      <c r="O3756">
        <v>75.400000000000006</v>
      </c>
      <c r="P3756">
        <v>6.7416695659999997</v>
      </c>
      <c r="Q3756">
        <v>17.294</v>
      </c>
    </row>
    <row r="3757" spans="1:17" x14ac:dyDescent="0.2">
      <c r="A3757" s="30" t="str">
        <f>IF(C3757&amp;G3757&amp;D3757&lt;&gt;'Funnel setup'!$K$3&amp;'Funnel setup'!$K$4&amp;'Funnel setup'!$K$5,".",IF(A3756=".",1,A3756+1))</f>
        <v>.</v>
      </c>
      <c r="B3757" s="431" t="str">
        <f t="shared" si="58"/>
        <v>Knee Replacement PrimaryCCG of GP PracticeNHS NORTH NORFOLK CCG (06V)EQ VAS</v>
      </c>
      <c r="C3757" t="s">
        <v>249</v>
      </c>
      <c r="D3757" t="s">
        <v>87</v>
      </c>
      <c r="E3757" t="s">
        <v>663</v>
      </c>
      <c r="F3757" t="s">
        <v>664</v>
      </c>
      <c r="G3757" t="s">
        <v>179</v>
      </c>
      <c r="H3757">
        <v>175</v>
      </c>
      <c r="I3757">
        <v>69.245999999999995</v>
      </c>
      <c r="J3757">
        <v>76.319999999999993</v>
      </c>
      <c r="K3757">
        <v>7.0739999999999998</v>
      </c>
      <c r="L3757">
        <v>103</v>
      </c>
      <c r="M3757">
        <v>22</v>
      </c>
      <c r="N3757">
        <v>50</v>
      </c>
      <c r="O3757">
        <v>76.007000000000005</v>
      </c>
      <c r="P3757">
        <v>7.3487291949999998</v>
      </c>
      <c r="Q3757">
        <v>14.462</v>
      </c>
    </row>
    <row r="3758" spans="1:17" x14ac:dyDescent="0.2">
      <c r="A3758" s="30" t="str">
        <f>IF(C3758&amp;G3758&amp;D3758&lt;&gt;'Funnel setup'!$K$3&amp;'Funnel setup'!$K$4&amp;'Funnel setup'!$K$5,".",IF(A3757=".",1,A3757+1))</f>
        <v>.</v>
      </c>
      <c r="B3758" s="431" t="str">
        <f t="shared" si="58"/>
        <v>Knee Replacement PrimaryCCG of GP PracticeNHS NORTH SOMERSET CCG (11T)EQ VAS</v>
      </c>
      <c r="C3758" t="s">
        <v>249</v>
      </c>
      <c r="D3758" t="s">
        <v>87</v>
      </c>
      <c r="E3758" t="s">
        <v>666</v>
      </c>
      <c r="F3758" t="s">
        <v>667</v>
      </c>
      <c r="G3758" t="s">
        <v>179</v>
      </c>
      <c r="H3758">
        <v>181</v>
      </c>
      <c r="I3758">
        <v>69.569000000000003</v>
      </c>
      <c r="J3758">
        <v>77.590999999999994</v>
      </c>
      <c r="K3758">
        <v>8.0220000000000002</v>
      </c>
      <c r="L3758">
        <v>103</v>
      </c>
      <c r="M3758">
        <v>34</v>
      </c>
      <c r="N3758">
        <v>44</v>
      </c>
      <c r="O3758">
        <v>75.804000000000002</v>
      </c>
      <c r="P3758">
        <v>7.1458180579999997</v>
      </c>
      <c r="Q3758">
        <v>13.579000000000001</v>
      </c>
    </row>
    <row r="3759" spans="1:17" x14ac:dyDescent="0.2">
      <c r="A3759" s="30" t="str">
        <f>IF(C3759&amp;G3759&amp;D3759&lt;&gt;'Funnel setup'!$K$3&amp;'Funnel setup'!$K$4&amp;'Funnel setup'!$K$5,".",IF(A3758=".",1,A3758+1))</f>
        <v>.</v>
      </c>
      <c r="B3759" s="431" t="str">
        <f t="shared" si="58"/>
        <v>Knee Replacement PrimaryCCG of GP PracticeNHS NORTH STAFFORDSHIRE CCG (05G)EQ VAS</v>
      </c>
      <c r="C3759" t="s">
        <v>249</v>
      </c>
      <c r="D3759" t="s">
        <v>87</v>
      </c>
      <c r="E3759" t="s">
        <v>669</v>
      </c>
      <c r="F3759" t="s">
        <v>670</v>
      </c>
      <c r="G3759" t="s">
        <v>179</v>
      </c>
      <c r="H3759">
        <v>169</v>
      </c>
      <c r="I3759">
        <v>66.230999999999995</v>
      </c>
      <c r="J3759">
        <v>72.775000000000006</v>
      </c>
      <c r="K3759">
        <v>6.5439999999999996</v>
      </c>
      <c r="L3759">
        <v>92</v>
      </c>
      <c r="M3759">
        <v>22</v>
      </c>
      <c r="N3759">
        <v>55</v>
      </c>
      <c r="O3759">
        <v>74.613</v>
      </c>
      <c r="P3759">
        <v>5.9547295660000001</v>
      </c>
      <c r="Q3759">
        <v>15.551</v>
      </c>
    </row>
    <row r="3760" spans="1:17" x14ac:dyDescent="0.2">
      <c r="A3760" s="30" t="str">
        <f>IF(C3760&amp;G3760&amp;D3760&lt;&gt;'Funnel setup'!$K$3&amp;'Funnel setup'!$K$4&amp;'Funnel setup'!$K$5,".",IF(A3759=".",1,A3759+1))</f>
        <v>.</v>
      </c>
      <c r="B3760" s="431" t="str">
        <f t="shared" si="58"/>
        <v>Knee Replacement PrimaryCCG of GP PracticeNHS NORTH TYNESIDE CCG (99C)EQ VAS</v>
      </c>
      <c r="C3760" t="s">
        <v>249</v>
      </c>
      <c r="D3760" t="s">
        <v>87</v>
      </c>
      <c r="E3760" t="s">
        <v>672</v>
      </c>
      <c r="F3760" t="s">
        <v>673</v>
      </c>
      <c r="G3760" t="s">
        <v>179</v>
      </c>
      <c r="H3760">
        <v>246</v>
      </c>
      <c r="I3760">
        <v>66.475999999999999</v>
      </c>
      <c r="J3760">
        <v>73.739999999999995</v>
      </c>
      <c r="K3760">
        <v>7.2640000000000002</v>
      </c>
      <c r="L3760">
        <v>140</v>
      </c>
      <c r="M3760">
        <v>39</v>
      </c>
      <c r="N3760">
        <v>67</v>
      </c>
      <c r="O3760">
        <v>74.655000000000001</v>
      </c>
      <c r="P3760">
        <v>5.996934134</v>
      </c>
      <c r="Q3760">
        <v>14.035</v>
      </c>
    </row>
    <row r="3761" spans="1:17" x14ac:dyDescent="0.2">
      <c r="A3761" s="30" t="str">
        <f>IF(C3761&amp;G3761&amp;D3761&lt;&gt;'Funnel setup'!$K$3&amp;'Funnel setup'!$K$4&amp;'Funnel setup'!$K$5,".",IF(A3760=".",1,A3760+1))</f>
        <v>.</v>
      </c>
      <c r="B3761" s="431" t="str">
        <f t="shared" si="58"/>
        <v>Knee Replacement PrimaryCCG of GP PracticeNHS NORTH WEST SURREY CCG (09Y)EQ VAS</v>
      </c>
      <c r="C3761" t="s">
        <v>249</v>
      </c>
      <c r="D3761" t="s">
        <v>87</v>
      </c>
      <c r="E3761" t="s">
        <v>675</v>
      </c>
      <c r="F3761" t="s">
        <v>676</v>
      </c>
      <c r="G3761" t="s">
        <v>179</v>
      </c>
      <c r="H3761">
        <v>267</v>
      </c>
      <c r="I3761">
        <v>68.992999999999995</v>
      </c>
      <c r="J3761">
        <v>75.277000000000001</v>
      </c>
      <c r="K3761">
        <v>6.2850000000000001</v>
      </c>
      <c r="L3761">
        <v>147</v>
      </c>
      <c r="M3761">
        <v>41</v>
      </c>
      <c r="N3761">
        <v>79</v>
      </c>
      <c r="O3761">
        <v>74.031999999999996</v>
      </c>
      <c r="P3761">
        <v>5.373186682</v>
      </c>
      <c r="Q3761">
        <v>14.484999999999999</v>
      </c>
    </row>
    <row r="3762" spans="1:17" x14ac:dyDescent="0.2">
      <c r="A3762" s="30" t="str">
        <f>IF(C3762&amp;G3762&amp;D3762&lt;&gt;'Funnel setup'!$K$3&amp;'Funnel setup'!$K$4&amp;'Funnel setup'!$K$5,".",IF(A3761=".",1,A3761+1))</f>
        <v>.</v>
      </c>
      <c r="B3762" s="431" t="str">
        <f t="shared" si="58"/>
        <v>Knee Replacement PrimaryCCG of GP PracticeNHS NORTHERN, EASTERN AND WESTERN DEVON CCG (99P)EQ VAS</v>
      </c>
      <c r="C3762" t="s">
        <v>249</v>
      </c>
      <c r="D3762" t="s">
        <v>87</v>
      </c>
      <c r="E3762" t="s">
        <v>678</v>
      </c>
      <c r="F3762" t="s">
        <v>679</v>
      </c>
      <c r="G3762" t="s">
        <v>179</v>
      </c>
      <c r="H3762">
        <v>960</v>
      </c>
      <c r="I3762">
        <v>69.563000000000002</v>
      </c>
      <c r="J3762">
        <v>75.481999999999999</v>
      </c>
      <c r="K3762">
        <v>5.92</v>
      </c>
      <c r="L3762">
        <v>540</v>
      </c>
      <c r="M3762">
        <v>128</v>
      </c>
      <c r="N3762">
        <v>292</v>
      </c>
      <c r="O3762">
        <v>74.787999999999997</v>
      </c>
      <c r="P3762">
        <v>6.1292882689999999</v>
      </c>
      <c r="Q3762">
        <v>14.951000000000001</v>
      </c>
    </row>
    <row r="3763" spans="1:17" x14ac:dyDescent="0.2">
      <c r="A3763" s="30" t="str">
        <f>IF(C3763&amp;G3763&amp;D3763&lt;&gt;'Funnel setup'!$K$3&amp;'Funnel setup'!$K$4&amp;'Funnel setup'!$K$5,".",IF(A3762=".",1,A3762+1))</f>
        <v>.</v>
      </c>
      <c r="B3763" s="431" t="str">
        <f t="shared" si="58"/>
        <v>Knee Replacement PrimaryCCG of GP PracticeNHS NORTHUMBERLAND CCG (00L)EQ VAS</v>
      </c>
      <c r="C3763" t="s">
        <v>249</v>
      </c>
      <c r="D3763" t="s">
        <v>87</v>
      </c>
      <c r="E3763" t="s">
        <v>681</v>
      </c>
      <c r="F3763" t="s">
        <v>336</v>
      </c>
      <c r="G3763" t="s">
        <v>179</v>
      </c>
      <c r="H3763">
        <v>384</v>
      </c>
      <c r="I3763">
        <v>67.082999999999998</v>
      </c>
      <c r="J3763">
        <v>75.397999999999996</v>
      </c>
      <c r="K3763">
        <v>8.3149999999999995</v>
      </c>
      <c r="L3763">
        <v>232</v>
      </c>
      <c r="M3763">
        <v>64</v>
      </c>
      <c r="N3763">
        <v>88</v>
      </c>
      <c r="O3763">
        <v>76.058999999999997</v>
      </c>
      <c r="P3763">
        <v>7.4003740899999997</v>
      </c>
      <c r="Q3763">
        <v>14.826000000000001</v>
      </c>
    </row>
    <row r="3764" spans="1:17" x14ac:dyDescent="0.2">
      <c r="A3764" s="30" t="str">
        <f>IF(C3764&amp;G3764&amp;D3764&lt;&gt;'Funnel setup'!$K$3&amp;'Funnel setup'!$K$4&amp;'Funnel setup'!$K$5,".",IF(A3763=".",1,A3763+1))</f>
        <v>.</v>
      </c>
      <c r="B3764" s="431" t="str">
        <f t="shared" si="58"/>
        <v>Knee Replacement PrimaryCCG of GP PracticeNHS NORWICH CCG (06W)EQ VAS</v>
      </c>
      <c r="C3764" t="s">
        <v>249</v>
      </c>
      <c r="D3764" t="s">
        <v>87</v>
      </c>
      <c r="E3764" t="s">
        <v>770</v>
      </c>
      <c r="F3764" t="s">
        <v>771</v>
      </c>
      <c r="G3764" t="s">
        <v>179</v>
      </c>
      <c r="H3764">
        <v>119</v>
      </c>
      <c r="I3764">
        <v>67.025000000000006</v>
      </c>
      <c r="J3764">
        <v>72.992000000000004</v>
      </c>
      <c r="K3764">
        <v>5.9660000000000002</v>
      </c>
      <c r="L3764">
        <v>65</v>
      </c>
      <c r="M3764">
        <v>19</v>
      </c>
      <c r="N3764">
        <v>35</v>
      </c>
      <c r="O3764">
        <v>74.215000000000003</v>
      </c>
      <c r="P3764">
        <v>5.5566535410000002</v>
      </c>
      <c r="Q3764">
        <v>15.542999999999999</v>
      </c>
    </row>
    <row r="3765" spans="1:17" x14ac:dyDescent="0.2">
      <c r="A3765" s="30" t="str">
        <f>IF(C3765&amp;G3765&amp;D3765&lt;&gt;'Funnel setup'!$K$3&amp;'Funnel setup'!$K$4&amp;'Funnel setup'!$K$5,".",IF(A3764=".",1,A3764+1))</f>
        <v>.</v>
      </c>
      <c r="B3765" s="431" t="str">
        <f t="shared" si="58"/>
        <v>Knee Replacement PrimaryCCG of GP PracticeNHS NOTTINGHAM CITY CCG (04K)EQ VAS</v>
      </c>
      <c r="C3765" t="s">
        <v>249</v>
      </c>
      <c r="D3765" t="s">
        <v>87</v>
      </c>
      <c r="E3765" t="s">
        <v>773</v>
      </c>
      <c r="F3765" t="s">
        <v>774</v>
      </c>
      <c r="G3765" t="s">
        <v>179</v>
      </c>
      <c r="H3765">
        <v>139</v>
      </c>
      <c r="I3765">
        <v>64.05</v>
      </c>
      <c r="J3765">
        <v>69.927999999999997</v>
      </c>
      <c r="K3765">
        <v>5.8780000000000001</v>
      </c>
      <c r="L3765">
        <v>77</v>
      </c>
      <c r="M3765">
        <v>12</v>
      </c>
      <c r="N3765">
        <v>50</v>
      </c>
      <c r="O3765">
        <v>73.525000000000006</v>
      </c>
      <c r="P3765">
        <v>4.8666135089999996</v>
      </c>
      <c r="Q3765">
        <v>18.309999999999999</v>
      </c>
    </row>
    <row r="3766" spans="1:17" x14ac:dyDescent="0.2">
      <c r="A3766" s="30" t="str">
        <f>IF(C3766&amp;G3766&amp;D3766&lt;&gt;'Funnel setup'!$K$3&amp;'Funnel setup'!$K$4&amp;'Funnel setup'!$K$5,".",IF(A3765=".",1,A3765+1))</f>
        <v>.</v>
      </c>
      <c r="B3766" s="431" t="str">
        <f t="shared" si="58"/>
        <v>Knee Replacement PrimaryCCG of GP PracticeNHS NOTTINGHAM NORTH AND EAST CCG (04L)EQ VAS</v>
      </c>
      <c r="C3766" t="s">
        <v>249</v>
      </c>
      <c r="D3766" t="s">
        <v>87</v>
      </c>
      <c r="E3766" t="s">
        <v>776</v>
      </c>
      <c r="F3766" t="s">
        <v>777</v>
      </c>
      <c r="G3766" t="s">
        <v>179</v>
      </c>
      <c r="H3766">
        <v>124</v>
      </c>
      <c r="I3766">
        <v>69.120999999999995</v>
      </c>
      <c r="J3766">
        <v>74.879000000000005</v>
      </c>
      <c r="K3766">
        <v>5.758</v>
      </c>
      <c r="L3766">
        <v>70</v>
      </c>
      <c r="M3766">
        <v>15</v>
      </c>
      <c r="N3766">
        <v>39</v>
      </c>
      <c r="O3766">
        <v>74.257999999999996</v>
      </c>
      <c r="P3766">
        <v>5.5993535769999996</v>
      </c>
      <c r="Q3766">
        <v>12.92</v>
      </c>
    </row>
    <row r="3767" spans="1:17" x14ac:dyDescent="0.2">
      <c r="A3767" s="30" t="str">
        <f>IF(C3767&amp;G3767&amp;D3767&lt;&gt;'Funnel setup'!$K$3&amp;'Funnel setup'!$K$4&amp;'Funnel setup'!$K$5,".",IF(A3766=".",1,A3766+1))</f>
        <v>.</v>
      </c>
      <c r="B3767" s="431" t="str">
        <f t="shared" si="58"/>
        <v>Knee Replacement PrimaryCCG of GP PracticeNHS NOTTINGHAM WEST CCG (04M)EQ VAS</v>
      </c>
      <c r="C3767" t="s">
        <v>249</v>
      </c>
      <c r="D3767" t="s">
        <v>87</v>
      </c>
      <c r="E3767" t="s">
        <v>779</v>
      </c>
      <c r="F3767" t="s">
        <v>780</v>
      </c>
      <c r="G3767" t="s">
        <v>179</v>
      </c>
      <c r="H3767">
        <v>91</v>
      </c>
      <c r="I3767">
        <v>68.263999999999996</v>
      </c>
      <c r="J3767">
        <v>71.856999999999999</v>
      </c>
      <c r="K3767">
        <v>3.593</v>
      </c>
      <c r="L3767">
        <v>51</v>
      </c>
      <c r="M3767">
        <v>12</v>
      </c>
      <c r="N3767">
        <v>28</v>
      </c>
      <c r="O3767">
        <v>71.335999999999999</v>
      </c>
      <c r="P3767">
        <v>2.6778060950000002</v>
      </c>
      <c r="Q3767">
        <v>16.190999999999999</v>
      </c>
    </row>
    <row r="3768" spans="1:17" x14ac:dyDescent="0.2">
      <c r="A3768" s="30" t="str">
        <f>IF(C3768&amp;G3768&amp;D3768&lt;&gt;'Funnel setup'!$K$3&amp;'Funnel setup'!$K$4&amp;'Funnel setup'!$K$5,".",IF(A3767=".",1,A3767+1))</f>
        <v>.</v>
      </c>
      <c r="B3768" s="431" t="str">
        <f t="shared" si="58"/>
        <v>Knee Replacement PrimaryCCG of GP PracticeNHS OLDHAM CCG (00Y)EQ VAS</v>
      </c>
      <c r="C3768" t="s">
        <v>249</v>
      </c>
      <c r="D3768" t="s">
        <v>87</v>
      </c>
      <c r="E3768" t="s">
        <v>782</v>
      </c>
      <c r="F3768" t="s">
        <v>783</v>
      </c>
      <c r="G3768" t="s">
        <v>179</v>
      </c>
      <c r="H3768">
        <v>135</v>
      </c>
      <c r="I3768">
        <v>70.784999999999997</v>
      </c>
      <c r="J3768">
        <v>73.378</v>
      </c>
      <c r="K3768">
        <v>2.593</v>
      </c>
      <c r="L3768">
        <v>55</v>
      </c>
      <c r="M3768">
        <v>24</v>
      </c>
      <c r="N3768">
        <v>56</v>
      </c>
      <c r="O3768">
        <v>73.153999999999996</v>
      </c>
      <c r="P3768">
        <v>4.4956560799999998</v>
      </c>
      <c r="Q3768">
        <v>15.816000000000001</v>
      </c>
    </row>
    <row r="3769" spans="1:17" x14ac:dyDescent="0.2">
      <c r="A3769" s="30" t="str">
        <f>IF(C3769&amp;G3769&amp;D3769&lt;&gt;'Funnel setup'!$K$3&amp;'Funnel setup'!$K$4&amp;'Funnel setup'!$K$5,".",IF(A3768=".",1,A3768+1))</f>
        <v>.</v>
      </c>
      <c r="B3769" s="431" t="str">
        <f t="shared" si="58"/>
        <v>Knee Replacement PrimaryCCG of GP PracticeNHS OXFORDSHIRE CCG (10Q)EQ VAS</v>
      </c>
      <c r="C3769" t="s">
        <v>249</v>
      </c>
      <c r="D3769" t="s">
        <v>87</v>
      </c>
      <c r="E3769" t="s">
        <v>785</v>
      </c>
      <c r="F3769" t="s">
        <v>786</v>
      </c>
      <c r="G3769" t="s">
        <v>179</v>
      </c>
      <c r="H3769">
        <v>276</v>
      </c>
      <c r="I3769">
        <v>68.486000000000004</v>
      </c>
      <c r="J3769">
        <v>75.768000000000001</v>
      </c>
      <c r="K3769">
        <v>7.2830000000000004</v>
      </c>
      <c r="L3769">
        <v>158</v>
      </c>
      <c r="M3769">
        <v>36</v>
      </c>
      <c r="N3769">
        <v>82</v>
      </c>
      <c r="O3769">
        <v>75.156999999999996</v>
      </c>
      <c r="P3769">
        <v>6.4988658990000001</v>
      </c>
      <c r="Q3769">
        <v>16.170000000000002</v>
      </c>
    </row>
    <row r="3770" spans="1:17" x14ac:dyDescent="0.2">
      <c r="A3770" s="30" t="str">
        <f>IF(C3770&amp;G3770&amp;D3770&lt;&gt;'Funnel setup'!$K$3&amp;'Funnel setup'!$K$4&amp;'Funnel setup'!$K$5,".",IF(A3769=".",1,A3769+1))</f>
        <v>.</v>
      </c>
      <c r="B3770" s="431" t="str">
        <f t="shared" si="58"/>
        <v>Knee Replacement PrimaryCCG of GP PracticeNHS PORTSMOUTH CCG (10R)EQ VAS</v>
      </c>
      <c r="C3770" t="s">
        <v>249</v>
      </c>
      <c r="D3770" t="s">
        <v>87</v>
      </c>
      <c r="E3770" t="s">
        <v>788</v>
      </c>
      <c r="F3770" t="s">
        <v>789</v>
      </c>
      <c r="G3770" t="s">
        <v>179</v>
      </c>
      <c r="H3770">
        <v>49</v>
      </c>
      <c r="I3770">
        <v>72.183999999999997</v>
      </c>
      <c r="J3770">
        <v>75.694000000000003</v>
      </c>
      <c r="K3770">
        <v>3.51</v>
      </c>
      <c r="L3770">
        <v>21</v>
      </c>
      <c r="M3770">
        <v>7</v>
      </c>
      <c r="N3770">
        <v>21</v>
      </c>
      <c r="O3770">
        <v>74.408000000000001</v>
      </c>
      <c r="P3770">
        <v>5.749488232</v>
      </c>
      <c r="Q3770">
        <v>11.914999999999999</v>
      </c>
    </row>
    <row r="3771" spans="1:17" x14ac:dyDescent="0.2">
      <c r="A3771" s="30" t="str">
        <f>IF(C3771&amp;G3771&amp;D3771&lt;&gt;'Funnel setup'!$K$3&amp;'Funnel setup'!$K$4&amp;'Funnel setup'!$K$5,".",IF(A3770=".",1,A3770+1))</f>
        <v>.</v>
      </c>
      <c r="B3771" s="431" t="str">
        <f t="shared" si="58"/>
        <v>Knee Replacement PrimaryCCG of GP PracticeNHS REDBRIDGE CCG (08N)EQ VAS</v>
      </c>
      <c r="C3771" t="s">
        <v>249</v>
      </c>
      <c r="D3771" t="s">
        <v>87</v>
      </c>
      <c r="E3771" t="s">
        <v>791</v>
      </c>
      <c r="F3771" t="s">
        <v>792</v>
      </c>
      <c r="G3771" t="s">
        <v>179</v>
      </c>
      <c r="H3771">
        <v>84</v>
      </c>
      <c r="I3771">
        <v>62.619</v>
      </c>
      <c r="J3771">
        <v>72.31</v>
      </c>
      <c r="K3771">
        <v>9.69</v>
      </c>
      <c r="L3771">
        <v>56</v>
      </c>
      <c r="M3771">
        <v>9</v>
      </c>
      <c r="N3771">
        <v>19</v>
      </c>
      <c r="O3771">
        <v>76.03</v>
      </c>
      <c r="P3771">
        <v>7.3712355059999997</v>
      </c>
      <c r="Q3771">
        <v>15.36</v>
      </c>
    </row>
    <row r="3772" spans="1:17" x14ac:dyDescent="0.2">
      <c r="A3772" s="30" t="str">
        <f>IF(C3772&amp;G3772&amp;D3772&lt;&gt;'Funnel setup'!$K$3&amp;'Funnel setup'!$K$4&amp;'Funnel setup'!$K$5,".",IF(A3771=".",1,A3771+1))</f>
        <v>.</v>
      </c>
      <c r="B3772" s="431" t="str">
        <f t="shared" si="58"/>
        <v>Knee Replacement PrimaryCCG of GP PracticeNHS REDDITCH AND BROMSGROVE CCG (05J)EQ VAS</v>
      </c>
      <c r="C3772" t="s">
        <v>249</v>
      </c>
      <c r="D3772" t="s">
        <v>87</v>
      </c>
      <c r="E3772" t="s">
        <v>794</v>
      </c>
      <c r="F3772" t="s">
        <v>795</v>
      </c>
      <c r="G3772" t="s">
        <v>179</v>
      </c>
      <c r="H3772">
        <v>126</v>
      </c>
      <c r="I3772">
        <v>76.262</v>
      </c>
      <c r="J3772">
        <v>78.055999999999997</v>
      </c>
      <c r="K3772">
        <v>1.794</v>
      </c>
      <c r="L3772">
        <v>59</v>
      </c>
      <c r="M3772">
        <v>30</v>
      </c>
      <c r="N3772">
        <v>37</v>
      </c>
      <c r="O3772">
        <v>75.067999999999998</v>
      </c>
      <c r="P3772">
        <v>6.4100774530000004</v>
      </c>
      <c r="Q3772">
        <v>14.718</v>
      </c>
    </row>
    <row r="3773" spans="1:17" x14ac:dyDescent="0.2">
      <c r="A3773" s="30" t="str">
        <f>IF(C3773&amp;G3773&amp;D3773&lt;&gt;'Funnel setup'!$K$3&amp;'Funnel setup'!$K$4&amp;'Funnel setup'!$K$5,".",IF(A3772=".",1,A3772+1))</f>
        <v>.</v>
      </c>
      <c r="B3773" s="431" t="str">
        <f t="shared" si="58"/>
        <v>Knee Replacement PrimaryCCG of GP PracticeNHS RICHMOND CCG (08P)EQ VAS</v>
      </c>
      <c r="C3773" t="s">
        <v>249</v>
      </c>
      <c r="D3773" t="s">
        <v>87</v>
      </c>
      <c r="E3773" t="s">
        <v>797</v>
      </c>
      <c r="F3773" t="s">
        <v>798</v>
      </c>
      <c r="G3773" t="s">
        <v>179</v>
      </c>
      <c r="H3773">
        <v>51</v>
      </c>
      <c r="I3773">
        <v>67.98</v>
      </c>
      <c r="J3773">
        <v>75.510000000000005</v>
      </c>
      <c r="K3773">
        <v>7.5289999999999999</v>
      </c>
      <c r="L3773">
        <v>30</v>
      </c>
      <c r="M3773">
        <v>6</v>
      </c>
      <c r="N3773">
        <v>15</v>
      </c>
      <c r="O3773">
        <v>75.674999999999997</v>
      </c>
      <c r="P3773">
        <v>7.0163818730000003</v>
      </c>
      <c r="Q3773">
        <v>15.253</v>
      </c>
    </row>
    <row r="3774" spans="1:17" x14ac:dyDescent="0.2">
      <c r="A3774" s="30" t="str">
        <f>IF(C3774&amp;G3774&amp;D3774&lt;&gt;'Funnel setup'!$K$3&amp;'Funnel setup'!$K$4&amp;'Funnel setup'!$K$5,".",IF(A3773=".",1,A3773+1))</f>
        <v>.</v>
      </c>
      <c r="B3774" s="431" t="str">
        <f t="shared" si="58"/>
        <v>Knee Replacement PrimaryCCG of GP PracticeNHS ROTHERHAM CCG (03L)EQ VAS</v>
      </c>
      <c r="C3774" t="s">
        <v>249</v>
      </c>
      <c r="D3774" t="s">
        <v>87</v>
      </c>
      <c r="E3774" t="s">
        <v>800</v>
      </c>
      <c r="F3774" t="s">
        <v>801</v>
      </c>
      <c r="G3774" t="s">
        <v>179</v>
      </c>
      <c r="H3774">
        <v>182</v>
      </c>
      <c r="I3774">
        <v>70.033000000000001</v>
      </c>
      <c r="J3774">
        <v>75.22</v>
      </c>
      <c r="K3774">
        <v>5.1870000000000003</v>
      </c>
      <c r="L3774">
        <v>97</v>
      </c>
      <c r="M3774">
        <v>32</v>
      </c>
      <c r="N3774">
        <v>53</v>
      </c>
      <c r="O3774">
        <v>75.186999999999998</v>
      </c>
      <c r="P3774">
        <v>6.5281835560000001</v>
      </c>
      <c r="Q3774">
        <v>13.744</v>
      </c>
    </row>
    <row r="3775" spans="1:17" x14ac:dyDescent="0.2">
      <c r="A3775" s="30" t="str">
        <f>IF(C3775&amp;G3775&amp;D3775&lt;&gt;'Funnel setup'!$K$3&amp;'Funnel setup'!$K$4&amp;'Funnel setup'!$K$5,".",IF(A3774=".",1,A3774+1))</f>
        <v>.</v>
      </c>
      <c r="B3775" s="431" t="str">
        <f t="shared" si="58"/>
        <v>Knee Replacement PrimaryCCG of GP PracticeNHS RUSHCLIFFE CCG (04N)EQ VAS</v>
      </c>
      <c r="C3775" t="s">
        <v>249</v>
      </c>
      <c r="D3775" t="s">
        <v>87</v>
      </c>
      <c r="E3775" t="s">
        <v>803</v>
      </c>
      <c r="F3775" t="s">
        <v>804</v>
      </c>
      <c r="G3775" t="s">
        <v>179</v>
      </c>
      <c r="H3775">
        <v>97</v>
      </c>
      <c r="I3775">
        <v>71.052000000000007</v>
      </c>
      <c r="J3775">
        <v>76.463999999999999</v>
      </c>
      <c r="K3775">
        <v>5.4119999999999999</v>
      </c>
      <c r="L3775">
        <v>56</v>
      </c>
      <c r="M3775">
        <v>11</v>
      </c>
      <c r="N3775">
        <v>30</v>
      </c>
      <c r="O3775">
        <v>73.355000000000004</v>
      </c>
      <c r="P3775">
        <v>4.6964510659999998</v>
      </c>
      <c r="Q3775">
        <v>15.606999999999999</v>
      </c>
    </row>
    <row r="3776" spans="1:17" x14ac:dyDescent="0.2">
      <c r="A3776" s="30" t="str">
        <f>IF(C3776&amp;G3776&amp;D3776&lt;&gt;'Funnel setup'!$K$3&amp;'Funnel setup'!$K$4&amp;'Funnel setup'!$K$5,".",IF(A3775=".",1,A3775+1))</f>
        <v>.</v>
      </c>
      <c r="B3776" s="431" t="str">
        <f t="shared" si="58"/>
        <v>Knee Replacement PrimaryCCG of GP PracticeNHS SALFORD CCG (01G)EQ VAS</v>
      </c>
      <c r="C3776" t="s">
        <v>249</v>
      </c>
      <c r="D3776" t="s">
        <v>87</v>
      </c>
      <c r="E3776" t="s">
        <v>806</v>
      </c>
      <c r="F3776" t="s">
        <v>807</v>
      </c>
      <c r="G3776" t="s">
        <v>179</v>
      </c>
      <c r="H3776">
        <v>131</v>
      </c>
      <c r="I3776">
        <v>68.382000000000005</v>
      </c>
      <c r="J3776">
        <v>69.251999999999995</v>
      </c>
      <c r="K3776">
        <v>0.87</v>
      </c>
      <c r="L3776">
        <v>59</v>
      </c>
      <c r="M3776">
        <v>18</v>
      </c>
      <c r="N3776">
        <v>54</v>
      </c>
      <c r="O3776">
        <v>71.332999999999998</v>
      </c>
      <c r="P3776">
        <v>2.6741798569999999</v>
      </c>
      <c r="Q3776">
        <v>18.698</v>
      </c>
    </row>
    <row r="3777" spans="1:17" x14ac:dyDescent="0.2">
      <c r="A3777" s="30" t="str">
        <f>IF(C3777&amp;G3777&amp;D3777&lt;&gt;'Funnel setup'!$K$3&amp;'Funnel setup'!$K$4&amp;'Funnel setup'!$K$5,".",IF(A3776=".",1,A3776+1))</f>
        <v>.</v>
      </c>
      <c r="B3777" s="431" t="str">
        <f t="shared" si="58"/>
        <v>Knee Replacement PrimaryCCG of GP PracticeNHS SANDWELL AND WEST BIRMINGHAM CCG (05L)EQ VAS</v>
      </c>
      <c r="C3777" t="s">
        <v>249</v>
      </c>
      <c r="D3777" t="s">
        <v>87</v>
      </c>
      <c r="E3777" t="s">
        <v>809</v>
      </c>
      <c r="F3777" t="s">
        <v>810</v>
      </c>
      <c r="G3777" t="s">
        <v>179</v>
      </c>
      <c r="H3777">
        <v>221</v>
      </c>
      <c r="I3777">
        <v>65.33</v>
      </c>
      <c r="J3777">
        <v>70.253</v>
      </c>
      <c r="K3777">
        <v>4.923</v>
      </c>
      <c r="L3777">
        <v>118</v>
      </c>
      <c r="M3777">
        <v>27</v>
      </c>
      <c r="N3777">
        <v>76</v>
      </c>
      <c r="O3777">
        <v>74.5</v>
      </c>
      <c r="P3777">
        <v>5.8414116600000003</v>
      </c>
      <c r="Q3777">
        <v>16.748999999999999</v>
      </c>
    </row>
    <row r="3778" spans="1:17" x14ac:dyDescent="0.2">
      <c r="A3778" s="30" t="str">
        <f>IF(C3778&amp;G3778&amp;D3778&lt;&gt;'Funnel setup'!$K$3&amp;'Funnel setup'!$K$4&amp;'Funnel setup'!$K$5,".",IF(A3777=".",1,A3777+1))</f>
        <v>.</v>
      </c>
      <c r="B3778" s="431" t="str">
        <f t="shared" si="58"/>
        <v>Knee Replacement PrimaryCCG of GP PracticeNHS SCARBOROUGH AND RYEDALE CCG (03M)EQ VAS</v>
      </c>
      <c r="C3778" t="s">
        <v>249</v>
      </c>
      <c r="D3778" t="s">
        <v>87</v>
      </c>
      <c r="E3778" t="s">
        <v>812</v>
      </c>
      <c r="F3778" t="s">
        <v>813</v>
      </c>
      <c r="G3778" t="s">
        <v>179</v>
      </c>
      <c r="H3778">
        <v>123</v>
      </c>
      <c r="I3778">
        <v>68.504000000000005</v>
      </c>
      <c r="J3778">
        <v>74.739999999999995</v>
      </c>
      <c r="K3778">
        <v>6.2359999999999998</v>
      </c>
      <c r="L3778">
        <v>74</v>
      </c>
      <c r="M3778">
        <v>15</v>
      </c>
      <c r="N3778">
        <v>34</v>
      </c>
      <c r="O3778">
        <v>74.858999999999995</v>
      </c>
      <c r="P3778">
        <v>6.2011629460000002</v>
      </c>
      <c r="Q3778">
        <v>15.747999999999999</v>
      </c>
    </row>
    <row r="3779" spans="1:17" x14ac:dyDescent="0.2">
      <c r="A3779" s="30" t="str">
        <f>IF(C3779&amp;G3779&amp;D3779&lt;&gt;'Funnel setup'!$K$3&amp;'Funnel setup'!$K$4&amp;'Funnel setup'!$K$5,".",IF(A3778=".",1,A3778+1))</f>
        <v>.</v>
      </c>
      <c r="B3779" s="431" t="str">
        <f t="shared" ref="B3779:B3842" si="59">C3779&amp;D3779&amp;F3779&amp;G3779</f>
        <v>Knee Replacement PrimaryCCG of GP PracticeNHS SHEFFIELD CCG (03N)EQ VAS</v>
      </c>
      <c r="C3779" t="s">
        <v>249</v>
      </c>
      <c r="D3779" t="s">
        <v>87</v>
      </c>
      <c r="E3779" t="s">
        <v>815</v>
      </c>
      <c r="F3779" t="s">
        <v>816</v>
      </c>
      <c r="G3779" t="s">
        <v>179</v>
      </c>
      <c r="H3779">
        <v>441</v>
      </c>
      <c r="I3779">
        <v>67.546000000000006</v>
      </c>
      <c r="J3779">
        <v>74.057000000000002</v>
      </c>
      <c r="K3779">
        <v>6.51</v>
      </c>
      <c r="L3779">
        <v>244</v>
      </c>
      <c r="M3779">
        <v>59</v>
      </c>
      <c r="N3779">
        <v>138</v>
      </c>
      <c r="O3779">
        <v>74.569000000000003</v>
      </c>
      <c r="P3779">
        <v>5.9111196960000001</v>
      </c>
      <c r="Q3779">
        <v>14.616</v>
      </c>
    </row>
    <row r="3780" spans="1:17" x14ac:dyDescent="0.2">
      <c r="A3780" s="30" t="str">
        <f>IF(C3780&amp;G3780&amp;D3780&lt;&gt;'Funnel setup'!$K$3&amp;'Funnel setup'!$K$4&amp;'Funnel setup'!$K$5,".",IF(A3779=".",1,A3779+1))</f>
        <v>.</v>
      </c>
      <c r="B3780" s="431" t="str">
        <f t="shared" si="59"/>
        <v>Knee Replacement PrimaryCCG of GP PracticeNHS SHROPSHIRE CCG (05N)EQ VAS</v>
      </c>
      <c r="C3780" t="s">
        <v>249</v>
      </c>
      <c r="D3780" t="s">
        <v>87</v>
      </c>
      <c r="E3780" t="s">
        <v>818</v>
      </c>
      <c r="F3780" t="s">
        <v>819</v>
      </c>
      <c r="G3780" t="s">
        <v>179</v>
      </c>
      <c r="H3780">
        <v>277</v>
      </c>
      <c r="I3780">
        <v>67.971000000000004</v>
      </c>
      <c r="J3780">
        <v>76.78</v>
      </c>
      <c r="K3780">
        <v>8.8089999999999993</v>
      </c>
      <c r="L3780">
        <v>162</v>
      </c>
      <c r="M3780">
        <v>49</v>
      </c>
      <c r="N3780">
        <v>66</v>
      </c>
      <c r="O3780">
        <v>74.409000000000006</v>
      </c>
      <c r="P3780">
        <v>5.7509006109999996</v>
      </c>
      <c r="Q3780">
        <v>14.781000000000001</v>
      </c>
    </row>
    <row r="3781" spans="1:17" x14ac:dyDescent="0.2">
      <c r="A3781" s="30" t="str">
        <f>IF(C3781&amp;G3781&amp;D3781&lt;&gt;'Funnel setup'!$K$3&amp;'Funnel setup'!$K$4&amp;'Funnel setup'!$K$5,".",IF(A3780=".",1,A3780+1))</f>
        <v>.</v>
      </c>
      <c r="B3781" s="431" t="str">
        <f t="shared" si="59"/>
        <v>Knee Replacement PrimaryCCG of GP PracticeNHS SLOUGH CCG (10T)EQ VAS</v>
      </c>
      <c r="C3781" t="s">
        <v>249</v>
      </c>
      <c r="D3781" t="s">
        <v>87</v>
      </c>
      <c r="E3781" t="s">
        <v>821</v>
      </c>
      <c r="F3781" t="s">
        <v>822</v>
      </c>
      <c r="G3781" t="s">
        <v>179</v>
      </c>
      <c r="H3781">
        <v>46</v>
      </c>
      <c r="I3781">
        <v>65.739000000000004</v>
      </c>
      <c r="J3781">
        <v>67.043000000000006</v>
      </c>
      <c r="K3781">
        <v>1.304</v>
      </c>
      <c r="L3781">
        <v>18</v>
      </c>
      <c r="M3781">
        <v>7</v>
      </c>
      <c r="N3781">
        <v>21</v>
      </c>
      <c r="O3781">
        <v>70.218000000000004</v>
      </c>
      <c r="P3781">
        <v>1.559915905</v>
      </c>
      <c r="Q3781">
        <v>15.076000000000001</v>
      </c>
    </row>
    <row r="3782" spans="1:17" x14ac:dyDescent="0.2">
      <c r="A3782" s="30" t="str">
        <f>IF(C3782&amp;G3782&amp;D3782&lt;&gt;'Funnel setup'!$K$3&amp;'Funnel setup'!$K$4&amp;'Funnel setup'!$K$5,".",IF(A3781=".",1,A3781+1))</f>
        <v>.</v>
      </c>
      <c r="B3782" s="431" t="str">
        <f t="shared" si="59"/>
        <v>Knee Replacement PrimaryCCG of GP PracticeNHS SOLIHULL CCG (05P)EQ VAS</v>
      </c>
      <c r="C3782" t="s">
        <v>249</v>
      </c>
      <c r="D3782" t="s">
        <v>87</v>
      </c>
      <c r="E3782" t="s">
        <v>824</v>
      </c>
      <c r="F3782" t="s">
        <v>825</v>
      </c>
      <c r="G3782" t="s">
        <v>179</v>
      </c>
      <c r="H3782">
        <v>243</v>
      </c>
      <c r="I3782">
        <v>63.106999999999999</v>
      </c>
      <c r="J3782">
        <v>73.206000000000003</v>
      </c>
      <c r="K3782">
        <v>10.099</v>
      </c>
      <c r="L3782">
        <v>154</v>
      </c>
      <c r="M3782">
        <v>26</v>
      </c>
      <c r="N3782">
        <v>63</v>
      </c>
      <c r="O3782">
        <v>75.715999999999994</v>
      </c>
      <c r="P3782">
        <v>7.057403592</v>
      </c>
      <c r="Q3782">
        <v>18.748999999999999</v>
      </c>
    </row>
    <row r="3783" spans="1:17" x14ac:dyDescent="0.2">
      <c r="A3783" s="30" t="str">
        <f>IF(C3783&amp;G3783&amp;D3783&lt;&gt;'Funnel setup'!$K$3&amp;'Funnel setup'!$K$4&amp;'Funnel setup'!$K$5,".",IF(A3782=".",1,A3782+1))</f>
        <v>.</v>
      </c>
      <c r="B3783" s="431" t="str">
        <f t="shared" si="59"/>
        <v>Knee Replacement PrimaryCCG of GP PracticeNHS SOMERSET CCG (11X)EQ VAS</v>
      </c>
      <c r="C3783" t="s">
        <v>249</v>
      </c>
      <c r="D3783" t="s">
        <v>87</v>
      </c>
      <c r="E3783" t="s">
        <v>827</v>
      </c>
      <c r="F3783" t="s">
        <v>828</v>
      </c>
      <c r="G3783" t="s">
        <v>179</v>
      </c>
      <c r="H3783">
        <v>376</v>
      </c>
      <c r="I3783">
        <v>71.180999999999997</v>
      </c>
      <c r="J3783">
        <v>77.861999999999995</v>
      </c>
      <c r="K3783">
        <v>6.681</v>
      </c>
      <c r="L3783">
        <v>227</v>
      </c>
      <c r="M3783">
        <v>57</v>
      </c>
      <c r="N3783">
        <v>92</v>
      </c>
      <c r="O3783">
        <v>75.510999999999996</v>
      </c>
      <c r="P3783">
        <v>6.8531559739999999</v>
      </c>
      <c r="Q3783">
        <v>14.507999999999999</v>
      </c>
    </row>
    <row r="3784" spans="1:17" x14ac:dyDescent="0.2">
      <c r="A3784" s="30" t="str">
        <f>IF(C3784&amp;G3784&amp;D3784&lt;&gt;'Funnel setup'!$K$3&amp;'Funnel setup'!$K$4&amp;'Funnel setup'!$K$5,".",IF(A3783=".",1,A3783+1))</f>
        <v>.</v>
      </c>
      <c r="B3784" s="431" t="str">
        <f t="shared" si="59"/>
        <v>Knee Replacement PrimaryCCG of GP PracticeNHS SOUTH CHESHIRE CCG (01R)EQ VAS</v>
      </c>
      <c r="C3784" t="s">
        <v>249</v>
      </c>
      <c r="D3784" t="s">
        <v>87</v>
      </c>
      <c r="E3784" t="s">
        <v>830</v>
      </c>
      <c r="F3784" t="s">
        <v>831</v>
      </c>
      <c r="G3784" t="s">
        <v>179</v>
      </c>
      <c r="H3784">
        <v>150</v>
      </c>
      <c r="I3784">
        <v>72.453000000000003</v>
      </c>
      <c r="J3784">
        <v>75.787000000000006</v>
      </c>
      <c r="K3784">
        <v>3.3330000000000002</v>
      </c>
      <c r="L3784">
        <v>78</v>
      </c>
      <c r="M3784">
        <v>24</v>
      </c>
      <c r="N3784">
        <v>48</v>
      </c>
      <c r="O3784">
        <v>72.558000000000007</v>
      </c>
      <c r="P3784">
        <v>3.8996109209999998</v>
      </c>
      <c r="Q3784">
        <v>15.831</v>
      </c>
    </row>
    <row r="3785" spans="1:17" x14ac:dyDescent="0.2">
      <c r="A3785" s="30" t="str">
        <f>IF(C3785&amp;G3785&amp;D3785&lt;&gt;'Funnel setup'!$K$3&amp;'Funnel setup'!$K$4&amp;'Funnel setup'!$K$5,".",IF(A3784=".",1,A3784+1))</f>
        <v>.</v>
      </c>
      <c r="B3785" s="431" t="str">
        <f t="shared" si="59"/>
        <v>Knee Replacement PrimaryCCG of GP PracticeNHS SOUTH DEVON AND TORBAY CCG (99Q)EQ VAS</v>
      </c>
      <c r="C3785" t="s">
        <v>249</v>
      </c>
      <c r="D3785" t="s">
        <v>87</v>
      </c>
      <c r="E3785" t="s">
        <v>833</v>
      </c>
      <c r="F3785" t="s">
        <v>834</v>
      </c>
      <c r="G3785" t="s">
        <v>179</v>
      </c>
      <c r="H3785">
        <v>313</v>
      </c>
      <c r="I3785">
        <v>70.412000000000006</v>
      </c>
      <c r="J3785">
        <v>75.754000000000005</v>
      </c>
      <c r="K3785">
        <v>5.3419999999999996</v>
      </c>
      <c r="L3785">
        <v>176</v>
      </c>
      <c r="M3785">
        <v>37</v>
      </c>
      <c r="N3785">
        <v>100</v>
      </c>
      <c r="O3785">
        <v>75.462000000000003</v>
      </c>
      <c r="P3785">
        <v>6.803899973</v>
      </c>
      <c r="Q3785">
        <v>15.647</v>
      </c>
    </row>
    <row r="3786" spans="1:17" x14ac:dyDescent="0.2">
      <c r="A3786" s="30" t="str">
        <f>IF(C3786&amp;G3786&amp;D3786&lt;&gt;'Funnel setup'!$K$3&amp;'Funnel setup'!$K$4&amp;'Funnel setup'!$K$5,".",IF(A3785=".",1,A3785+1))</f>
        <v>.</v>
      </c>
      <c r="B3786" s="431" t="str">
        <f t="shared" si="59"/>
        <v>Knee Replacement PrimaryCCG of GP PracticeNHS SOUTH EAST STAFFORDSHIRE AND SEISDON PENINSULA CCG (05Q)EQ VAS</v>
      </c>
      <c r="C3786" t="s">
        <v>249</v>
      </c>
      <c r="D3786" t="s">
        <v>87</v>
      </c>
      <c r="E3786" t="s">
        <v>836</v>
      </c>
      <c r="F3786" t="s">
        <v>837</v>
      </c>
      <c r="G3786" t="s">
        <v>179</v>
      </c>
      <c r="H3786">
        <v>220</v>
      </c>
      <c r="I3786">
        <v>69.504999999999995</v>
      </c>
      <c r="J3786">
        <v>75.608999999999995</v>
      </c>
      <c r="K3786">
        <v>6.1050000000000004</v>
      </c>
      <c r="L3786">
        <v>126</v>
      </c>
      <c r="M3786">
        <v>25</v>
      </c>
      <c r="N3786">
        <v>69</v>
      </c>
      <c r="O3786">
        <v>74.909000000000006</v>
      </c>
      <c r="P3786">
        <v>6.2504942200000002</v>
      </c>
      <c r="Q3786">
        <v>14.103</v>
      </c>
    </row>
    <row r="3787" spans="1:17" x14ac:dyDescent="0.2">
      <c r="A3787" s="30" t="str">
        <f>IF(C3787&amp;G3787&amp;D3787&lt;&gt;'Funnel setup'!$K$3&amp;'Funnel setup'!$K$4&amp;'Funnel setup'!$K$5,".",IF(A3786=".",1,A3786+1))</f>
        <v>.</v>
      </c>
      <c r="B3787" s="431" t="str">
        <f t="shared" si="59"/>
        <v>Knee Replacement PrimaryCCG of GP PracticeNHS SOUTH EASTERN HAMPSHIRE CCG (10V)EQ VAS</v>
      </c>
      <c r="C3787" t="s">
        <v>249</v>
      </c>
      <c r="D3787" t="s">
        <v>87</v>
      </c>
      <c r="E3787" t="s">
        <v>839</v>
      </c>
      <c r="F3787" t="s">
        <v>840</v>
      </c>
      <c r="G3787" t="s">
        <v>179</v>
      </c>
      <c r="H3787">
        <v>107</v>
      </c>
      <c r="I3787">
        <v>70.551000000000002</v>
      </c>
      <c r="J3787">
        <v>77.542000000000002</v>
      </c>
      <c r="K3787">
        <v>6.9909999999999997</v>
      </c>
      <c r="L3787">
        <v>61</v>
      </c>
      <c r="M3787">
        <v>20</v>
      </c>
      <c r="N3787">
        <v>26</v>
      </c>
      <c r="O3787">
        <v>75.501999999999995</v>
      </c>
      <c r="P3787">
        <v>6.8439761969999999</v>
      </c>
      <c r="Q3787">
        <v>13.791</v>
      </c>
    </row>
    <row r="3788" spans="1:17" x14ac:dyDescent="0.2">
      <c r="A3788" s="30" t="str">
        <f>IF(C3788&amp;G3788&amp;D3788&lt;&gt;'Funnel setup'!$K$3&amp;'Funnel setup'!$K$4&amp;'Funnel setup'!$K$5,".",IF(A3787=".",1,A3787+1))</f>
        <v>.</v>
      </c>
      <c r="B3788" s="431" t="str">
        <f t="shared" si="59"/>
        <v>Knee Replacement PrimaryCCG of GP PracticeNHS SOUTH GLOUCESTERSHIRE CCG (12A)EQ VAS</v>
      </c>
      <c r="C3788" t="s">
        <v>249</v>
      </c>
      <c r="D3788" t="s">
        <v>87</v>
      </c>
      <c r="E3788" t="s">
        <v>842</v>
      </c>
      <c r="F3788" t="s">
        <v>843</v>
      </c>
      <c r="G3788" t="s">
        <v>179</v>
      </c>
      <c r="H3788">
        <v>201</v>
      </c>
      <c r="I3788">
        <v>72.835999999999999</v>
      </c>
      <c r="J3788">
        <v>78.248999999999995</v>
      </c>
      <c r="K3788">
        <v>5.4130000000000003</v>
      </c>
      <c r="L3788">
        <v>115</v>
      </c>
      <c r="M3788">
        <v>26</v>
      </c>
      <c r="N3788">
        <v>60</v>
      </c>
      <c r="O3788">
        <v>74.840999999999994</v>
      </c>
      <c r="P3788">
        <v>6.1829176229999998</v>
      </c>
      <c r="Q3788">
        <v>14.48</v>
      </c>
    </row>
    <row r="3789" spans="1:17" x14ac:dyDescent="0.2">
      <c r="A3789" s="30" t="str">
        <f>IF(C3789&amp;G3789&amp;D3789&lt;&gt;'Funnel setup'!$K$3&amp;'Funnel setup'!$K$4&amp;'Funnel setup'!$K$5,".",IF(A3788=".",1,A3788+1))</f>
        <v>.</v>
      </c>
      <c r="B3789" s="431" t="str">
        <f t="shared" si="59"/>
        <v>Knee Replacement PrimaryCCG of GP PracticeNHS SOUTH KENT COAST CCG (10A)EQ VAS</v>
      </c>
      <c r="C3789" t="s">
        <v>249</v>
      </c>
      <c r="D3789" t="s">
        <v>87</v>
      </c>
      <c r="E3789" t="s">
        <v>845</v>
      </c>
      <c r="F3789" t="s">
        <v>846</v>
      </c>
      <c r="G3789" t="s">
        <v>179</v>
      </c>
      <c r="H3789">
        <v>146</v>
      </c>
      <c r="I3789">
        <v>70.171000000000006</v>
      </c>
      <c r="J3789">
        <v>71.828999999999994</v>
      </c>
      <c r="K3789">
        <v>1.6579999999999999</v>
      </c>
      <c r="L3789">
        <v>59</v>
      </c>
      <c r="M3789">
        <v>25</v>
      </c>
      <c r="N3789">
        <v>62</v>
      </c>
      <c r="O3789">
        <v>71.117000000000004</v>
      </c>
      <c r="P3789">
        <v>2.4591141379999999</v>
      </c>
      <c r="Q3789">
        <v>16.521000000000001</v>
      </c>
    </row>
    <row r="3790" spans="1:17" x14ac:dyDescent="0.2">
      <c r="A3790" s="30" t="str">
        <f>IF(C3790&amp;G3790&amp;D3790&lt;&gt;'Funnel setup'!$K$3&amp;'Funnel setup'!$K$4&amp;'Funnel setup'!$K$5,".",IF(A3789=".",1,A3789+1))</f>
        <v>.</v>
      </c>
      <c r="B3790" s="431" t="str">
        <f t="shared" si="59"/>
        <v>Knee Replacement PrimaryCCG of GP PracticeNHS SOUTH LINCOLNSHIRE CCG (99D)EQ VAS</v>
      </c>
      <c r="C3790" t="s">
        <v>249</v>
      </c>
      <c r="D3790" t="s">
        <v>87</v>
      </c>
      <c r="E3790" t="s">
        <v>848</v>
      </c>
      <c r="F3790" t="s">
        <v>849</v>
      </c>
      <c r="G3790" t="s">
        <v>179</v>
      </c>
      <c r="H3790">
        <v>188</v>
      </c>
      <c r="I3790">
        <v>73.686000000000007</v>
      </c>
      <c r="J3790">
        <v>76.947000000000003</v>
      </c>
      <c r="K3790">
        <v>3.2610000000000001</v>
      </c>
      <c r="L3790">
        <v>95</v>
      </c>
      <c r="M3790">
        <v>24</v>
      </c>
      <c r="N3790">
        <v>69</v>
      </c>
      <c r="O3790">
        <v>73.953000000000003</v>
      </c>
      <c r="P3790">
        <v>5.2948379880000003</v>
      </c>
      <c r="Q3790">
        <v>15.478999999999999</v>
      </c>
    </row>
    <row r="3791" spans="1:17" x14ac:dyDescent="0.2">
      <c r="A3791" s="30" t="str">
        <f>IF(C3791&amp;G3791&amp;D3791&lt;&gt;'Funnel setup'!$K$3&amp;'Funnel setup'!$K$4&amp;'Funnel setup'!$K$5,".",IF(A3790=".",1,A3790+1))</f>
        <v>.</v>
      </c>
      <c r="B3791" s="431" t="str">
        <f t="shared" si="59"/>
        <v>Knee Replacement PrimaryCCG of GP PracticeNHS SOUTH MANCHESTER CCG (01N)EQ VAS</v>
      </c>
      <c r="C3791" t="s">
        <v>249</v>
      </c>
      <c r="D3791" t="s">
        <v>87</v>
      </c>
      <c r="E3791" t="s">
        <v>851</v>
      </c>
      <c r="F3791" t="s">
        <v>852</v>
      </c>
      <c r="G3791" t="s">
        <v>179</v>
      </c>
      <c r="H3791">
        <v>56</v>
      </c>
      <c r="I3791">
        <v>65.070999999999998</v>
      </c>
      <c r="J3791">
        <v>67.963999999999999</v>
      </c>
      <c r="K3791">
        <v>2.8929999999999998</v>
      </c>
      <c r="L3791">
        <v>25</v>
      </c>
      <c r="M3791">
        <v>9</v>
      </c>
      <c r="N3791">
        <v>22</v>
      </c>
      <c r="O3791">
        <v>71.28</v>
      </c>
      <c r="P3791">
        <v>2.6212247940000002</v>
      </c>
      <c r="Q3791">
        <v>20.771000000000001</v>
      </c>
    </row>
    <row r="3792" spans="1:17" x14ac:dyDescent="0.2">
      <c r="A3792" s="30" t="str">
        <f>IF(C3792&amp;G3792&amp;D3792&lt;&gt;'Funnel setup'!$K$3&amp;'Funnel setup'!$K$4&amp;'Funnel setup'!$K$5,".",IF(A3791=".",1,A3791+1))</f>
        <v>.</v>
      </c>
      <c r="B3792" s="431" t="str">
        <f t="shared" si="59"/>
        <v>Knee Replacement PrimaryCCG of GP PracticeNHS SOUTH NORFOLK CCG (06Y)EQ VAS</v>
      </c>
      <c r="C3792" t="s">
        <v>249</v>
      </c>
      <c r="D3792" t="s">
        <v>87</v>
      </c>
      <c r="E3792" t="s">
        <v>932</v>
      </c>
      <c r="F3792" t="s">
        <v>933</v>
      </c>
      <c r="G3792" t="s">
        <v>179</v>
      </c>
      <c r="H3792">
        <v>178</v>
      </c>
      <c r="I3792">
        <v>68.253</v>
      </c>
      <c r="J3792">
        <v>75.994</v>
      </c>
      <c r="K3792">
        <v>7.742</v>
      </c>
      <c r="L3792">
        <v>107</v>
      </c>
      <c r="M3792">
        <v>24</v>
      </c>
      <c r="N3792">
        <v>47</v>
      </c>
      <c r="O3792">
        <v>74.888999999999996</v>
      </c>
      <c r="P3792">
        <v>6.2303909089999996</v>
      </c>
      <c r="Q3792">
        <v>15.835000000000001</v>
      </c>
    </row>
    <row r="3793" spans="1:17" x14ac:dyDescent="0.2">
      <c r="A3793" s="30" t="str">
        <f>IF(C3793&amp;G3793&amp;D3793&lt;&gt;'Funnel setup'!$K$3&amp;'Funnel setup'!$K$4&amp;'Funnel setup'!$K$5,".",IF(A3792=".",1,A3792+1))</f>
        <v>.</v>
      </c>
      <c r="B3793" s="431" t="str">
        <f t="shared" si="59"/>
        <v>Knee Replacement PrimaryCCG of GP PracticeNHS SOUTH READING CCG (10W)EQ VAS</v>
      </c>
      <c r="C3793" t="s">
        <v>249</v>
      </c>
      <c r="D3793" t="s">
        <v>87</v>
      </c>
      <c r="E3793" t="s">
        <v>935</v>
      </c>
      <c r="F3793" t="s">
        <v>936</v>
      </c>
      <c r="G3793" t="s">
        <v>179</v>
      </c>
      <c r="H3793">
        <v>28</v>
      </c>
      <c r="I3793">
        <v>65.786000000000001</v>
      </c>
      <c r="J3793">
        <v>78.143000000000001</v>
      </c>
      <c r="K3793">
        <v>12.356999999999999</v>
      </c>
      <c r="L3793">
        <v>18</v>
      </c>
      <c r="M3793">
        <v>3</v>
      </c>
      <c r="N3793">
        <v>7</v>
      </c>
      <c r="O3793" t="s">
        <v>53</v>
      </c>
      <c r="P3793" t="s">
        <v>53</v>
      </c>
      <c r="Q3793" t="s">
        <v>53</v>
      </c>
    </row>
    <row r="3794" spans="1:17" x14ac:dyDescent="0.2">
      <c r="A3794" s="30" t="str">
        <f>IF(C3794&amp;G3794&amp;D3794&lt;&gt;'Funnel setup'!$K$3&amp;'Funnel setup'!$K$4&amp;'Funnel setup'!$K$5,".",IF(A3793=".",1,A3793+1))</f>
        <v>.</v>
      </c>
      <c r="B3794" s="431" t="str">
        <f t="shared" si="59"/>
        <v>Knee Replacement PrimaryCCG of GP PracticeNHS SOUTH SEFTON CCG (01T)EQ VAS</v>
      </c>
      <c r="C3794" t="s">
        <v>249</v>
      </c>
      <c r="D3794" t="s">
        <v>87</v>
      </c>
      <c r="E3794" t="s">
        <v>938</v>
      </c>
      <c r="F3794" t="s">
        <v>939</v>
      </c>
      <c r="G3794" t="s">
        <v>179</v>
      </c>
      <c r="H3794">
        <v>104</v>
      </c>
      <c r="I3794">
        <v>64.25</v>
      </c>
      <c r="J3794">
        <v>70.528999999999996</v>
      </c>
      <c r="K3794">
        <v>6.2789999999999999</v>
      </c>
      <c r="L3794">
        <v>58</v>
      </c>
      <c r="M3794">
        <v>13</v>
      </c>
      <c r="N3794">
        <v>33</v>
      </c>
      <c r="O3794">
        <v>73.528000000000006</v>
      </c>
      <c r="P3794">
        <v>4.8700471399999996</v>
      </c>
      <c r="Q3794">
        <v>17.818000000000001</v>
      </c>
    </row>
    <row r="3795" spans="1:17" x14ac:dyDescent="0.2">
      <c r="A3795" s="30" t="str">
        <f>IF(C3795&amp;G3795&amp;D3795&lt;&gt;'Funnel setup'!$K$3&amp;'Funnel setup'!$K$4&amp;'Funnel setup'!$K$5,".",IF(A3794=".",1,A3794+1))</f>
        <v>.</v>
      </c>
      <c r="B3795" s="431" t="str">
        <f t="shared" si="59"/>
        <v>Knee Replacement PrimaryCCG of GP PracticeNHS SOUTH TEES CCG (00M)EQ VAS</v>
      </c>
      <c r="C3795" t="s">
        <v>249</v>
      </c>
      <c r="D3795" t="s">
        <v>87</v>
      </c>
      <c r="E3795" t="s">
        <v>941</v>
      </c>
      <c r="F3795" t="s">
        <v>942</v>
      </c>
      <c r="G3795" t="s">
        <v>179</v>
      </c>
      <c r="H3795">
        <v>300</v>
      </c>
      <c r="I3795">
        <v>67.266999999999996</v>
      </c>
      <c r="J3795">
        <v>73.903000000000006</v>
      </c>
      <c r="K3795">
        <v>6.6369999999999996</v>
      </c>
      <c r="L3795">
        <v>176</v>
      </c>
      <c r="M3795">
        <v>37</v>
      </c>
      <c r="N3795">
        <v>87</v>
      </c>
      <c r="O3795">
        <v>76.028000000000006</v>
      </c>
      <c r="P3795">
        <v>7.3701473310000001</v>
      </c>
      <c r="Q3795">
        <v>15.367000000000001</v>
      </c>
    </row>
    <row r="3796" spans="1:17" x14ac:dyDescent="0.2">
      <c r="A3796" s="30" t="str">
        <f>IF(C3796&amp;G3796&amp;D3796&lt;&gt;'Funnel setup'!$K$3&amp;'Funnel setup'!$K$4&amp;'Funnel setup'!$K$5,".",IF(A3795=".",1,A3795+1))</f>
        <v>.</v>
      </c>
      <c r="B3796" s="431" t="str">
        <f t="shared" si="59"/>
        <v>Knee Replacement PrimaryCCG of GP PracticeNHS SOUTH TYNESIDE CCG (00N)EQ VAS</v>
      </c>
      <c r="C3796" t="s">
        <v>249</v>
      </c>
      <c r="D3796" t="s">
        <v>87</v>
      </c>
      <c r="E3796" t="s">
        <v>1016</v>
      </c>
      <c r="F3796" t="s">
        <v>1017</v>
      </c>
      <c r="G3796" t="s">
        <v>179</v>
      </c>
      <c r="H3796">
        <v>143</v>
      </c>
      <c r="I3796">
        <v>68.706000000000003</v>
      </c>
      <c r="J3796">
        <v>73.86</v>
      </c>
      <c r="K3796">
        <v>5.1539999999999999</v>
      </c>
      <c r="L3796">
        <v>77</v>
      </c>
      <c r="M3796">
        <v>22</v>
      </c>
      <c r="N3796">
        <v>44</v>
      </c>
      <c r="O3796">
        <v>74.266999999999996</v>
      </c>
      <c r="P3796">
        <v>5.6082126429999999</v>
      </c>
      <c r="Q3796">
        <v>15.237</v>
      </c>
    </row>
    <row r="3797" spans="1:17" x14ac:dyDescent="0.2">
      <c r="A3797" s="30" t="str">
        <f>IF(C3797&amp;G3797&amp;D3797&lt;&gt;'Funnel setup'!$K$3&amp;'Funnel setup'!$K$4&amp;'Funnel setup'!$K$5,".",IF(A3796=".",1,A3796+1))</f>
        <v>.</v>
      </c>
      <c r="B3797" s="431" t="str">
        <f t="shared" si="59"/>
        <v>Knee Replacement PrimaryCCG of GP PracticeNHS SOUTH WARWICKSHIRE CCG (05R)EQ VAS</v>
      </c>
      <c r="C3797" t="s">
        <v>249</v>
      </c>
      <c r="D3797" t="s">
        <v>87</v>
      </c>
      <c r="E3797" t="s">
        <v>944</v>
      </c>
      <c r="F3797" t="s">
        <v>945</v>
      </c>
      <c r="G3797" t="s">
        <v>179</v>
      </c>
      <c r="H3797">
        <v>260</v>
      </c>
      <c r="I3797">
        <v>70.281000000000006</v>
      </c>
      <c r="J3797">
        <v>75.188000000000002</v>
      </c>
      <c r="K3797">
        <v>4.9080000000000004</v>
      </c>
      <c r="L3797">
        <v>143</v>
      </c>
      <c r="M3797">
        <v>31</v>
      </c>
      <c r="N3797">
        <v>86</v>
      </c>
      <c r="O3797">
        <v>74.102000000000004</v>
      </c>
      <c r="P3797">
        <v>5.4433983650000002</v>
      </c>
      <c r="Q3797">
        <v>15.573</v>
      </c>
    </row>
    <row r="3798" spans="1:17" x14ac:dyDescent="0.2">
      <c r="A3798" s="30" t="str">
        <f>IF(C3798&amp;G3798&amp;D3798&lt;&gt;'Funnel setup'!$K$3&amp;'Funnel setup'!$K$4&amp;'Funnel setup'!$K$5,".",IF(A3797=".",1,A3797+1))</f>
        <v>.</v>
      </c>
      <c r="B3798" s="431" t="str">
        <f t="shared" si="59"/>
        <v>Knee Replacement PrimaryCCG of GP PracticeNHS SOUTH WEST LINCOLNSHIRE CCG (04Q)EQ VAS</v>
      </c>
      <c r="C3798" t="s">
        <v>249</v>
      </c>
      <c r="D3798" t="s">
        <v>87</v>
      </c>
      <c r="E3798" t="s">
        <v>947</v>
      </c>
      <c r="F3798" t="s">
        <v>948</v>
      </c>
      <c r="G3798" t="s">
        <v>179</v>
      </c>
      <c r="H3798">
        <v>102</v>
      </c>
      <c r="I3798">
        <v>66.363</v>
      </c>
      <c r="J3798">
        <v>73.813999999999993</v>
      </c>
      <c r="K3798">
        <v>7.4509999999999996</v>
      </c>
      <c r="L3798">
        <v>59</v>
      </c>
      <c r="M3798">
        <v>7</v>
      </c>
      <c r="N3798">
        <v>36</v>
      </c>
      <c r="O3798">
        <v>73.703999999999994</v>
      </c>
      <c r="P3798">
        <v>5.0461618980000003</v>
      </c>
      <c r="Q3798">
        <v>16.754000000000001</v>
      </c>
    </row>
    <row r="3799" spans="1:17" x14ac:dyDescent="0.2">
      <c r="A3799" s="30" t="str">
        <f>IF(C3799&amp;G3799&amp;D3799&lt;&gt;'Funnel setup'!$K$3&amp;'Funnel setup'!$K$4&amp;'Funnel setup'!$K$5,".",IF(A3798=".",1,A3798+1))</f>
        <v>.</v>
      </c>
      <c r="B3799" s="431" t="str">
        <f t="shared" si="59"/>
        <v>Knee Replacement PrimaryCCG of GP PracticeNHS SOUTH WORCESTERSHIRE CCG (05T)EQ VAS</v>
      </c>
      <c r="C3799" t="s">
        <v>249</v>
      </c>
      <c r="D3799" t="s">
        <v>87</v>
      </c>
      <c r="E3799" t="s">
        <v>950</v>
      </c>
      <c r="F3799" t="s">
        <v>951</v>
      </c>
      <c r="G3799" t="s">
        <v>179</v>
      </c>
      <c r="H3799">
        <v>162</v>
      </c>
      <c r="I3799">
        <v>72.16</v>
      </c>
      <c r="J3799">
        <v>78.241</v>
      </c>
      <c r="K3799">
        <v>6.08</v>
      </c>
      <c r="L3799">
        <v>85</v>
      </c>
      <c r="M3799">
        <v>28</v>
      </c>
      <c r="N3799">
        <v>49</v>
      </c>
      <c r="O3799">
        <v>75.671000000000006</v>
      </c>
      <c r="P3799">
        <v>7.0131079129999998</v>
      </c>
      <c r="Q3799">
        <v>15.11</v>
      </c>
    </row>
    <row r="3800" spans="1:17" x14ac:dyDescent="0.2">
      <c r="A3800" s="30" t="str">
        <f>IF(C3800&amp;G3800&amp;D3800&lt;&gt;'Funnel setup'!$K$3&amp;'Funnel setup'!$K$4&amp;'Funnel setup'!$K$5,".",IF(A3799=".",1,A3799+1))</f>
        <v>.</v>
      </c>
      <c r="B3800" s="431" t="str">
        <f t="shared" si="59"/>
        <v>Knee Replacement PrimaryCCG of GP PracticeNHS SOUTHAMPTON CCG (10X)EQ VAS</v>
      </c>
      <c r="C3800" t="s">
        <v>249</v>
      </c>
      <c r="D3800" t="s">
        <v>87</v>
      </c>
      <c r="E3800" t="s">
        <v>953</v>
      </c>
      <c r="F3800" t="s">
        <v>954</v>
      </c>
      <c r="G3800" t="s">
        <v>179</v>
      </c>
      <c r="H3800">
        <v>158</v>
      </c>
      <c r="I3800">
        <v>68.841999999999999</v>
      </c>
      <c r="J3800">
        <v>73.671000000000006</v>
      </c>
      <c r="K3800">
        <v>4.8289999999999997</v>
      </c>
      <c r="L3800">
        <v>83</v>
      </c>
      <c r="M3800">
        <v>29</v>
      </c>
      <c r="N3800">
        <v>46</v>
      </c>
      <c r="O3800">
        <v>73.977999999999994</v>
      </c>
      <c r="P3800">
        <v>5.3200792510000001</v>
      </c>
      <c r="Q3800">
        <v>14.315</v>
      </c>
    </row>
    <row r="3801" spans="1:17" x14ac:dyDescent="0.2">
      <c r="A3801" s="30" t="str">
        <f>IF(C3801&amp;G3801&amp;D3801&lt;&gt;'Funnel setup'!$K$3&amp;'Funnel setup'!$K$4&amp;'Funnel setup'!$K$5,".",IF(A3800=".",1,A3800+1))</f>
        <v>.</v>
      </c>
      <c r="B3801" s="431" t="str">
        <f t="shared" si="59"/>
        <v>Knee Replacement PrimaryCCG of GP PracticeNHS SOUTHEND CCG (99G)EQ VAS</v>
      </c>
      <c r="C3801" t="s">
        <v>249</v>
      </c>
      <c r="D3801" t="s">
        <v>87</v>
      </c>
      <c r="E3801" t="s">
        <v>956</v>
      </c>
      <c r="F3801" t="s">
        <v>957</v>
      </c>
      <c r="G3801" t="s">
        <v>179</v>
      </c>
      <c r="H3801">
        <v>119</v>
      </c>
      <c r="I3801">
        <v>66.521000000000001</v>
      </c>
      <c r="J3801">
        <v>75.570999999999998</v>
      </c>
      <c r="K3801">
        <v>9.0500000000000007</v>
      </c>
      <c r="L3801">
        <v>65</v>
      </c>
      <c r="M3801">
        <v>21</v>
      </c>
      <c r="N3801">
        <v>33</v>
      </c>
      <c r="O3801">
        <v>76.748999999999995</v>
      </c>
      <c r="P3801">
        <v>8.0907122299999994</v>
      </c>
      <c r="Q3801">
        <v>14.648999999999999</v>
      </c>
    </row>
    <row r="3802" spans="1:17" x14ac:dyDescent="0.2">
      <c r="A3802" s="30" t="str">
        <f>IF(C3802&amp;G3802&amp;D3802&lt;&gt;'Funnel setup'!$K$3&amp;'Funnel setup'!$K$4&amp;'Funnel setup'!$K$5,".",IF(A3801=".",1,A3801+1))</f>
        <v>.</v>
      </c>
      <c r="B3802" s="431" t="str">
        <f t="shared" si="59"/>
        <v>Knee Replacement PrimaryCCG of GP PracticeNHS SOUTHERN DERBYSHIRE CCG (04R)EQ VAS</v>
      </c>
      <c r="C3802" t="s">
        <v>249</v>
      </c>
      <c r="D3802" t="s">
        <v>87</v>
      </c>
      <c r="E3802" t="s">
        <v>959</v>
      </c>
      <c r="F3802" t="s">
        <v>960</v>
      </c>
      <c r="G3802" t="s">
        <v>179</v>
      </c>
      <c r="H3802">
        <v>419</v>
      </c>
      <c r="I3802">
        <v>69.768000000000001</v>
      </c>
      <c r="J3802">
        <v>74.980999999999995</v>
      </c>
      <c r="K3802">
        <v>5.2119999999999997</v>
      </c>
      <c r="L3802">
        <v>230</v>
      </c>
      <c r="M3802">
        <v>52</v>
      </c>
      <c r="N3802">
        <v>137</v>
      </c>
      <c r="O3802">
        <v>74.138999999999996</v>
      </c>
      <c r="P3802">
        <v>5.4805672940000001</v>
      </c>
      <c r="Q3802">
        <v>15.436999999999999</v>
      </c>
    </row>
    <row r="3803" spans="1:17" x14ac:dyDescent="0.2">
      <c r="A3803" s="30" t="str">
        <f>IF(C3803&amp;G3803&amp;D3803&lt;&gt;'Funnel setup'!$K$3&amp;'Funnel setup'!$K$4&amp;'Funnel setup'!$K$5,".",IF(A3802=".",1,A3802+1))</f>
        <v>.</v>
      </c>
      <c r="B3803" s="431" t="str">
        <f t="shared" si="59"/>
        <v>Knee Replacement PrimaryCCG of GP PracticeNHS SOUTHPORT AND FORMBY CCG (01V)EQ VAS</v>
      </c>
      <c r="C3803" t="s">
        <v>249</v>
      </c>
      <c r="D3803" t="s">
        <v>87</v>
      </c>
      <c r="E3803" t="s">
        <v>962</v>
      </c>
      <c r="F3803" t="s">
        <v>963</v>
      </c>
      <c r="G3803" t="s">
        <v>179</v>
      </c>
      <c r="H3803">
        <v>78</v>
      </c>
      <c r="I3803">
        <v>69</v>
      </c>
      <c r="J3803">
        <v>73.808000000000007</v>
      </c>
      <c r="K3803">
        <v>4.8079999999999998</v>
      </c>
      <c r="L3803">
        <v>40</v>
      </c>
      <c r="M3803">
        <v>14</v>
      </c>
      <c r="N3803">
        <v>24</v>
      </c>
      <c r="O3803">
        <v>73.338999999999999</v>
      </c>
      <c r="P3803">
        <v>4.6808342820000002</v>
      </c>
      <c r="Q3803">
        <v>14.808</v>
      </c>
    </row>
    <row r="3804" spans="1:17" x14ac:dyDescent="0.2">
      <c r="A3804" s="30" t="str">
        <f>IF(C3804&amp;G3804&amp;D3804&lt;&gt;'Funnel setup'!$K$3&amp;'Funnel setup'!$K$4&amp;'Funnel setup'!$K$5,".",IF(A3803=".",1,A3803+1))</f>
        <v>.</v>
      </c>
      <c r="B3804" s="431" t="str">
        <f t="shared" si="59"/>
        <v>Knee Replacement PrimaryCCG of GP PracticeNHS SOUTHWARK CCG (08Q)EQ VAS</v>
      </c>
      <c r="C3804" t="s">
        <v>249</v>
      </c>
      <c r="D3804" t="s">
        <v>87</v>
      </c>
      <c r="E3804" t="s">
        <v>965</v>
      </c>
      <c r="F3804" t="s">
        <v>966</v>
      </c>
      <c r="G3804" t="s">
        <v>179</v>
      </c>
      <c r="H3804">
        <v>44</v>
      </c>
      <c r="I3804">
        <v>67.022999999999996</v>
      </c>
      <c r="J3804">
        <v>71.727000000000004</v>
      </c>
      <c r="K3804">
        <v>4.7050000000000001</v>
      </c>
      <c r="L3804">
        <v>24</v>
      </c>
      <c r="M3804">
        <v>8</v>
      </c>
      <c r="N3804">
        <v>12</v>
      </c>
      <c r="O3804">
        <v>75.975999999999999</v>
      </c>
      <c r="P3804">
        <v>7.317951324</v>
      </c>
      <c r="Q3804">
        <v>17.140999999999998</v>
      </c>
    </row>
    <row r="3805" spans="1:17" x14ac:dyDescent="0.2">
      <c r="A3805" s="30" t="str">
        <f>IF(C3805&amp;G3805&amp;D3805&lt;&gt;'Funnel setup'!$K$3&amp;'Funnel setup'!$K$4&amp;'Funnel setup'!$K$5,".",IF(A3804=".",1,A3804+1))</f>
        <v>.</v>
      </c>
      <c r="B3805" s="431" t="str">
        <f t="shared" si="59"/>
        <v>Knee Replacement PrimaryCCG of GP PracticeNHS ST HELENS CCG (01X)EQ VAS</v>
      </c>
      <c r="C3805" t="s">
        <v>249</v>
      </c>
      <c r="D3805" t="s">
        <v>87</v>
      </c>
      <c r="E3805" t="s">
        <v>968</v>
      </c>
      <c r="F3805" t="s">
        <v>969</v>
      </c>
      <c r="G3805" t="s">
        <v>179</v>
      </c>
      <c r="H3805">
        <v>171</v>
      </c>
      <c r="I3805">
        <v>69.221999999999994</v>
      </c>
      <c r="J3805">
        <v>72.186999999999998</v>
      </c>
      <c r="K3805">
        <v>2.9649999999999999</v>
      </c>
      <c r="L3805">
        <v>80</v>
      </c>
      <c r="M3805">
        <v>23</v>
      </c>
      <c r="N3805">
        <v>68</v>
      </c>
      <c r="O3805">
        <v>73.075999999999993</v>
      </c>
      <c r="P3805">
        <v>4.4175767920000002</v>
      </c>
      <c r="Q3805">
        <v>16.919</v>
      </c>
    </row>
    <row r="3806" spans="1:17" x14ac:dyDescent="0.2">
      <c r="A3806" s="30" t="str">
        <f>IF(C3806&amp;G3806&amp;D3806&lt;&gt;'Funnel setup'!$K$3&amp;'Funnel setup'!$K$4&amp;'Funnel setup'!$K$5,".",IF(A3805=".",1,A3805+1))</f>
        <v>.</v>
      </c>
      <c r="B3806" s="431" t="str">
        <f t="shared" si="59"/>
        <v>Knee Replacement PrimaryCCG of GP PracticeNHS STAFFORD AND SURROUNDS CCG (05V)EQ VAS</v>
      </c>
      <c r="C3806" t="s">
        <v>249</v>
      </c>
      <c r="D3806" t="s">
        <v>87</v>
      </c>
      <c r="E3806" t="s">
        <v>971</v>
      </c>
      <c r="F3806" t="s">
        <v>972</v>
      </c>
      <c r="G3806" t="s">
        <v>179</v>
      </c>
      <c r="H3806">
        <v>129</v>
      </c>
      <c r="I3806">
        <v>70.721000000000004</v>
      </c>
      <c r="J3806">
        <v>75.201999999999998</v>
      </c>
      <c r="K3806">
        <v>4.4809999999999999</v>
      </c>
      <c r="L3806">
        <v>68</v>
      </c>
      <c r="M3806">
        <v>22</v>
      </c>
      <c r="N3806">
        <v>39</v>
      </c>
      <c r="O3806">
        <v>73.778000000000006</v>
      </c>
      <c r="P3806">
        <v>5.1193152619999998</v>
      </c>
      <c r="Q3806">
        <v>15.278</v>
      </c>
    </row>
    <row r="3807" spans="1:17" x14ac:dyDescent="0.2">
      <c r="A3807" s="30" t="str">
        <f>IF(C3807&amp;G3807&amp;D3807&lt;&gt;'Funnel setup'!$K$3&amp;'Funnel setup'!$K$4&amp;'Funnel setup'!$K$5,".",IF(A3806=".",1,A3806+1))</f>
        <v>.</v>
      </c>
      <c r="B3807" s="431" t="str">
        <f t="shared" si="59"/>
        <v>Knee Replacement PrimaryCCG of GP PracticeNHS STOCKPORT CCG (01W)EQ VAS</v>
      </c>
      <c r="C3807" t="s">
        <v>249</v>
      </c>
      <c r="D3807" t="s">
        <v>87</v>
      </c>
      <c r="E3807" t="s">
        <v>974</v>
      </c>
      <c r="F3807" t="s">
        <v>975</v>
      </c>
      <c r="G3807" t="s">
        <v>179</v>
      </c>
      <c r="H3807">
        <v>165</v>
      </c>
      <c r="I3807">
        <v>68.012</v>
      </c>
      <c r="J3807">
        <v>76.569999999999993</v>
      </c>
      <c r="K3807">
        <v>8.5579999999999998</v>
      </c>
      <c r="L3807">
        <v>109</v>
      </c>
      <c r="M3807">
        <v>16</v>
      </c>
      <c r="N3807">
        <v>40</v>
      </c>
      <c r="O3807">
        <v>76.066000000000003</v>
      </c>
      <c r="P3807">
        <v>7.4079073070000003</v>
      </c>
      <c r="Q3807">
        <v>13.815</v>
      </c>
    </row>
    <row r="3808" spans="1:17" x14ac:dyDescent="0.2">
      <c r="A3808" s="30" t="str">
        <f>IF(C3808&amp;G3808&amp;D3808&lt;&gt;'Funnel setup'!$K$3&amp;'Funnel setup'!$K$4&amp;'Funnel setup'!$K$5,".",IF(A3807=".",1,A3807+1))</f>
        <v>.</v>
      </c>
      <c r="B3808" s="431" t="str">
        <f t="shared" si="59"/>
        <v>Knee Replacement PrimaryCCG of GP PracticeNHS STOKE ON TRENT CCG (05W)EQ VAS</v>
      </c>
      <c r="C3808" t="s">
        <v>249</v>
      </c>
      <c r="D3808" t="s">
        <v>87</v>
      </c>
      <c r="E3808" t="s">
        <v>977</v>
      </c>
      <c r="F3808" t="s">
        <v>978</v>
      </c>
      <c r="G3808" t="s">
        <v>179</v>
      </c>
      <c r="H3808">
        <v>158</v>
      </c>
      <c r="I3808">
        <v>64.486999999999995</v>
      </c>
      <c r="J3808">
        <v>69.543999999999997</v>
      </c>
      <c r="K3808">
        <v>5.0570000000000004</v>
      </c>
      <c r="L3808">
        <v>86</v>
      </c>
      <c r="M3808">
        <v>13</v>
      </c>
      <c r="N3808">
        <v>59</v>
      </c>
      <c r="O3808">
        <v>72.709000000000003</v>
      </c>
      <c r="P3808">
        <v>4.0509330669999999</v>
      </c>
      <c r="Q3808">
        <v>16.587</v>
      </c>
    </row>
    <row r="3809" spans="1:17" x14ac:dyDescent="0.2">
      <c r="A3809" s="30" t="str">
        <f>IF(C3809&amp;G3809&amp;D3809&lt;&gt;'Funnel setup'!$K$3&amp;'Funnel setup'!$K$4&amp;'Funnel setup'!$K$5,".",IF(A3808=".",1,A3808+1))</f>
        <v>.</v>
      </c>
      <c r="B3809" s="431" t="str">
        <f t="shared" si="59"/>
        <v>Knee Replacement PrimaryCCG of GP PracticeNHS SUNDERLAND CCG (00P)EQ VAS</v>
      </c>
      <c r="C3809" t="s">
        <v>249</v>
      </c>
      <c r="D3809" t="s">
        <v>87</v>
      </c>
      <c r="E3809" t="s">
        <v>980</v>
      </c>
      <c r="F3809" t="s">
        <v>981</v>
      </c>
      <c r="G3809" t="s">
        <v>179</v>
      </c>
      <c r="H3809">
        <v>247</v>
      </c>
      <c r="I3809">
        <v>66.813999999999993</v>
      </c>
      <c r="J3809">
        <v>71.53</v>
      </c>
      <c r="K3809">
        <v>4.7169999999999996</v>
      </c>
      <c r="L3809">
        <v>130</v>
      </c>
      <c r="M3809">
        <v>37</v>
      </c>
      <c r="N3809">
        <v>80</v>
      </c>
      <c r="O3809">
        <v>73.620999999999995</v>
      </c>
      <c r="P3809">
        <v>4.9630045620000001</v>
      </c>
      <c r="Q3809">
        <v>16.010000000000002</v>
      </c>
    </row>
    <row r="3810" spans="1:17" x14ac:dyDescent="0.2">
      <c r="A3810" s="30" t="str">
        <f>IF(C3810&amp;G3810&amp;D3810&lt;&gt;'Funnel setup'!$K$3&amp;'Funnel setup'!$K$4&amp;'Funnel setup'!$K$5,".",IF(A3809=".",1,A3809+1))</f>
        <v>.</v>
      </c>
      <c r="B3810" s="431" t="str">
        <f t="shared" si="59"/>
        <v>Knee Replacement PrimaryCCG of GP PracticeNHS SURREY DOWNS CCG (99H)EQ VAS</v>
      </c>
      <c r="C3810" t="s">
        <v>249</v>
      </c>
      <c r="D3810" t="s">
        <v>87</v>
      </c>
      <c r="E3810" t="s">
        <v>983</v>
      </c>
      <c r="F3810" t="s">
        <v>984</v>
      </c>
      <c r="G3810" t="s">
        <v>179</v>
      </c>
      <c r="H3810">
        <v>155</v>
      </c>
      <c r="I3810">
        <v>71.935000000000002</v>
      </c>
      <c r="J3810">
        <v>75.968000000000004</v>
      </c>
      <c r="K3810">
        <v>4.032</v>
      </c>
      <c r="L3810">
        <v>79</v>
      </c>
      <c r="M3810">
        <v>26</v>
      </c>
      <c r="N3810">
        <v>50</v>
      </c>
      <c r="O3810">
        <v>73.418000000000006</v>
      </c>
      <c r="P3810">
        <v>4.7597138909999996</v>
      </c>
      <c r="Q3810">
        <v>14.718</v>
      </c>
    </row>
    <row r="3811" spans="1:17" x14ac:dyDescent="0.2">
      <c r="A3811" s="30" t="str">
        <f>IF(C3811&amp;G3811&amp;D3811&lt;&gt;'Funnel setup'!$K$3&amp;'Funnel setup'!$K$4&amp;'Funnel setup'!$K$5,".",IF(A3810=".",1,A3810+1))</f>
        <v>.</v>
      </c>
      <c r="B3811" s="431" t="str">
        <f t="shared" si="59"/>
        <v>Knee Replacement PrimaryCCG of GP PracticeNHS SURREY HEATH CCG (10C)EQ VAS</v>
      </c>
      <c r="C3811" t="s">
        <v>249</v>
      </c>
      <c r="D3811" t="s">
        <v>87</v>
      </c>
      <c r="E3811" t="s">
        <v>986</v>
      </c>
      <c r="F3811" t="s">
        <v>987</v>
      </c>
      <c r="G3811" t="s">
        <v>179</v>
      </c>
      <c r="H3811">
        <v>66</v>
      </c>
      <c r="I3811">
        <v>70.757999999999996</v>
      </c>
      <c r="J3811">
        <v>73.879000000000005</v>
      </c>
      <c r="K3811">
        <v>3.121</v>
      </c>
      <c r="L3811">
        <v>32</v>
      </c>
      <c r="M3811">
        <v>12</v>
      </c>
      <c r="N3811">
        <v>22</v>
      </c>
      <c r="O3811">
        <v>71.299000000000007</v>
      </c>
      <c r="P3811">
        <v>2.6408400040000002</v>
      </c>
      <c r="Q3811">
        <v>14.371</v>
      </c>
    </row>
    <row r="3812" spans="1:17" x14ac:dyDescent="0.2">
      <c r="A3812" s="30" t="str">
        <f>IF(C3812&amp;G3812&amp;D3812&lt;&gt;'Funnel setup'!$K$3&amp;'Funnel setup'!$K$4&amp;'Funnel setup'!$K$5,".",IF(A3811=".",1,A3811+1))</f>
        <v>.</v>
      </c>
      <c r="B3812" s="431" t="str">
        <f t="shared" si="59"/>
        <v>Knee Replacement PrimaryCCG of GP PracticeNHS SUTTON CCG (08T)EQ VAS</v>
      </c>
      <c r="C3812" t="s">
        <v>249</v>
      </c>
      <c r="D3812" t="s">
        <v>87</v>
      </c>
      <c r="E3812" t="s">
        <v>989</v>
      </c>
      <c r="F3812" t="s">
        <v>990</v>
      </c>
      <c r="G3812" t="s">
        <v>179</v>
      </c>
      <c r="H3812">
        <v>65</v>
      </c>
      <c r="I3812">
        <v>71</v>
      </c>
      <c r="J3812">
        <v>77.923000000000002</v>
      </c>
      <c r="K3812">
        <v>6.923</v>
      </c>
      <c r="L3812">
        <v>38</v>
      </c>
      <c r="M3812">
        <v>12</v>
      </c>
      <c r="N3812">
        <v>15</v>
      </c>
      <c r="O3812">
        <v>75.668000000000006</v>
      </c>
      <c r="P3812">
        <v>7.0097231720000002</v>
      </c>
      <c r="Q3812">
        <v>12.351000000000001</v>
      </c>
    </row>
    <row r="3813" spans="1:17" x14ac:dyDescent="0.2">
      <c r="A3813" s="30" t="str">
        <f>IF(C3813&amp;G3813&amp;D3813&lt;&gt;'Funnel setup'!$K$3&amp;'Funnel setup'!$K$4&amp;'Funnel setup'!$K$5,".",IF(A3812=".",1,A3812+1))</f>
        <v>.</v>
      </c>
      <c r="B3813" s="431" t="str">
        <f t="shared" si="59"/>
        <v>Knee Replacement PrimaryCCG of GP PracticeNHS SWALE CCG (10D)EQ VAS</v>
      </c>
      <c r="C3813" t="s">
        <v>249</v>
      </c>
      <c r="D3813" t="s">
        <v>87</v>
      </c>
      <c r="E3813" t="s">
        <v>992</v>
      </c>
      <c r="F3813" t="s">
        <v>993</v>
      </c>
      <c r="G3813" t="s">
        <v>179</v>
      </c>
      <c r="H3813">
        <v>56</v>
      </c>
      <c r="I3813">
        <v>68.606999999999999</v>
      </c>
      <c r="J3813">
        <v>75.768000000000001</v>
      </c>
      <c r="K3813">
        <v>7.1609999999999996</v>
      </c>
      <c r="L3813">
        <v>31</v>
      </c>
      <c r="M3813">
        <v>7</v>
      </c>
      <c r="N3813">
        <v>18</v>
      </c>
      <c r="O3813">
        <v>76.161000000000001</v>
      </c>
      <c r="P3813">
        <v>7.5026809549999998</v>
      </c>
      <c r="Q3813">
        <v>15.276</v>
      </c>
    </row>
    <row r="3814" spans="1:17" x14ac:dyDescent="0.2">
      <c r="A3814" s="30" t="str">
        <f>IF(C3814&amp;G3814&amp;D3814&lt;&gt;'Funnel setup'!$K$3&amp;'Funnel setup'!$K$4&amp;'Funnel setup'!$K$5,".",IF(A3813=".",1,A3813+1))</f>
        <v>.</v>
      </c>
      <c r="B3814" s="431" t="str">
        <f t="shared" si="59"/>
        <v>Knee Replacement PrimaryCCG of GP PracticeNHS SWINDON CCG (12D)EQ VAS</v>
      </c>
      <c r="C3814" t="s">
        <v>249</v>
      </c>
      <c r="D3814" t="s">
        <v>87</v>
      </c>
      <c r="E3814" t="s">
        <v>995</v>
      </c>
      <c r="F3814" t="s">
        <v>996</v>
      </c>
      <c r="G3814" t="s">
        <v>179</v>
      </c>
      <c r="H3814">
        <v>143</v>
      </c>
      <c r="I3814">
        <v>71.287000000000006</v>
      </c>
      <c r="J3814">
        <v>76.587000000000003</v>
      </c>
      <c r="K3814">
        <v>5.3010000000000002</v>
      </c>
      <c r="L3814">
        <v>83</v>
      </c>
      <c r="M3814">
        <v>18</v>
      </c>
      <c r="N3814">
        <v>42</v>
      </c>
      <c r="O3814">
        <v>74.819999999999993</v>
      </c>
      <c r="P3814">
        <v>6.1616462260000002</v>
      </c>
      <c r="Q3814">
        <v>16.518000000000001</v>
      </c>
    </row>
    <row r="3815" spans="1:17" x14ac:dyDescent="0.2">
      <c r="A3815" s="30" t="str">
        <f>IF(C3815&amp;G3815&amp;D3815&lt;&gt;'Funnel setup'!$K$3&amp;'Funnel setup'!$K$4&amp;'Funnel setup'!$K$5,".",IF(A3814=".",1,A3814+1))</f>
        <v>.</v>
      </c>
      <c r="B3815" s="431" t="str">
        <f t="shared" si="59"/>
        <v>Knee Replacement PrimaryCCG of GP PracticeNHS TAMESIDE AND GLOSSOP CCG (01Y)EQ VAS</v>
      </c>
      <c r="C3815" t="s">
        <v>249</v>
      </c>
      <c r="D3815" t="s">
        <v>87</v>
      </c>
      <c r="E3815" t="s">
        <v>998</v>
      </c>
      <c r="F3815" t="s">
        <v>999</v>
      </c>
      <c r="G3815" t="s">
        <v>179</v>
      </c>
      <c r="H3815">
        <v>159</v>
      </c>
      <c r="I3815">
        <v>67.106999999999999</v>
      </c>
      <c r="J3815">
        <v>71.887</v>
      </c>
      <c r="K3815">
        <v>4.78</v>
      </c>
      <c r="L3815">
        <v>85</v>
      </c>
      <c r="M3815">
        <v>17</v>
      </c>
      <c r="N3815">
        <v>57</v>
      </c>
      <c r="O3815">
        <v>72.978999999999999</v>
      </c>
      <c r="P3815">
        <v>4.3208312380000002</v>
      </c>
      <c r="Q3815">
        <v>15.635999999999999</v>
      </c>
    </row>
    <row r="3816" spans="1:17" x14ac:dyDescent="0.2">
      <c r="A3816" s="30" t="str">
        <f>IF(C3816&amp;G3816&amp;D3816&lt;&gt;'Funnel setup'!$K$3&amp;'Funnel setup'!$K$4&amp;'Funnel setup'!$K$5,".",IF(A3815=".",1,A3815+1))</f>
        <v>.</v>
      </c>
      <c r="B3816" s="431" t="str">
        <f t="shared" si="59"/>
        <v>Knee Replacement PrimaryCCG of GP PracticeNHS TELFORD AND WREKIN CCG (05X)EQ VAS</v>
      </c>
      <c r="C3816" t="s">
        <v>249</v>
      </c>
      <c r="D3816" t="s">
        <v>87</v>
      </c>
      <c r="E3816" t="s">
        <v>1001</v>
      </c>
      <c r="F3816" t="s">
        <v>1002</v>
      </c>
      <c r="G3816" t="s">
        <v>179</v>
      </c>
      <c r="H3816">
        <v>125</v>
      </c>
      <c r="I3816">
        <v>64.552000000000007</v>
      </c>
      <c r="J3816">
        <v>72.688000000000002</v>
      </c>
      <c r="K3816">
        <v>8.1359999999999992</v>
      </c>
      <c r="L3816">
        <v>75</v>
      </c>
      <c r="M3816">
        <v>18</v>
      </c>
      <c r="N3816">
        <v>32</v>
      </c>
      <c r="O3816">
        <v>75.061999999999998</v>
      </c>
      <c r="P3816">
        <v>6.403809807</v>
      </c>
      <c r="Q3816">
        <v>15.462999999999999</v>
      </c>
    </row>
    <row r="3817" spans="1:17" x14ac:dyDescent="0.2">
      <c r="A3817" s="30" t="str">
        <f>IF(C3817&amp;G3817&amp;D3817&lt;&gt;'Funnel setup'!$K$3&amp;'Funnel setup'!$K$4&amp;'Funnel setup'!$K$5,".",IF(A3816=".",1,A3816+1))</f>
        <v>.</v>
      </c>
      <c r="B3817" s="431" t="str">
        <f t="shared" si="59"/>
        <v>Knee Replacement PrimaryCCG of GP PracticeNHS THANET CCG (10E)EQ VAS</v>
      </c>
      <c r="C3817" t="s">
        <v>249</v>
      </c>
      <c r="D3817" t="s">
        <v>87</v>
      </c>
      <c r="E3817" t="s">
        <v>1004</v>
      </c>
      <c r="F3817" t="s">
        <v>1005</v>
      </c>
      <c r="G3817" t="s">
        <v>179</v>
      </c>
      <c r="H3817">
        <v>121</v>
      </c>
      <c r="I3817">
        <v>74.156999999999996</v>
      </c>
      <c r="J3817">
        <v>76.569999999999993</v>
      </c>
      <c r="K3817">
        <v>2.4129999999999998</v>
      </c>
      <c r="L3817">
        <v>56</v>
      </c>
      <c r="M3817">
        <v>25</v>
      </c>
      <c r="N3817">
        <v>40</v>
      </c>
      <c r="O3817">
        <v>74.676000000000002</v>
      </c>
      <c r="P3817">
        <v>6.0173144719999998</v>
      </c>
      <c r="Q3817">
        <v>15.78</v>
      </c>
    </row>
    <row r="3818" spans="1:17" x14ac:dyDescent="0.2">
      <c r="A3818" s="30" t="str">
        <f>IF(C3818&amp;G3818&amp;D3818&lt;&gt;'Funnel setup'!$K$3&amp;'Funnel setup'!$K$4&amp;'Funnel setup'!$K$5,".",IF(A3817=".",1,A3817+1))</f>
        <v>.</v>
      </c>
      <c r="B3818" s="431" t="str">
        <f t="shared" si="59"/>
        <v>Knee Replacement PrimaryCCG of GP PracticeNHS THURROCK CCG (07G)EQ VAS</v>
      </c>
      <c r="C3818" t="s">
        <v>249</v>
      </c>
      <c r="D3818" t="s">
        <v>87</v>
      </c>
      <c r="E3818" t="s">
        <v>1007</v>
      </c>
      <c r="F3818" t="s">
        <v>1008</v>
      </c>
      <c r="G3818" t="s">
        <v>179</v>
      </c>
      <c r="H3818">
        <v>79</v>
      </c>
      <c r="I3818">
        <v>70.861000000000004</v>
      </c>
      <c r="J3818">
        <v>72.19</v>
      </c>
      <c r="K3818">
        <v>1.329</v>
      </c>
      <c r="L3818">
        <v>39</v>
      </c>
      <c r="M3818">
        <v>10</v>
      </c>
      <c r="N3818">
        <v>30</v>
      </c>
      <c r="O3818">
        <v>72.122</v>
      </c>
      <c r="P3818">
        <v>3.463675126</v>
      </c>
      <c r="Q3818">
        <v>16.314</v>
      </c>
    </row>
    <row r="3819" spans="1:17" x14ac:dyDescent="0.2">
      <c r="A3819" s="30" t="str">
        <f>IF(C3819&amp;G3819&amp;D3819&lt;&gt;'Funnel setup'!$K$3&amp;'Funnel setup'!$K$4&amp;'Funnel setup'!$K$5,".",IF(A3818=".",1,A3818+1))</f>
        <v>.</v>
      </c>
      <c r="B3819" s="431" t="str">
        <f t="shared" si="59"/>
        <v>Knee Replacement PrimaryCCG of GP PracticeNHS TOWER HAMLETS CCG (08V)EQ VAS</v>
      </c>
      <c r="C3819" t="s">
        <v>249</v>
      </c>
      <c r="D3819" t="s">
        <v>87</v>
      </c>
      <c r="E3819" t="s">
        <v>1010</v>
      </c>
      <c r="F3819" t="s">
        <v>1011</v>
      </c>
      <c r="G3819" t="s">
        <v>179</v>
      </c>
      <c r="H3819">
        <v>27</v>
      </c>
      <c r="I3819">
        <v>60.518999999999998</v>
      </c>
      <c r="J3819">
        <v>62.073999999999998</v>
      </c>
      <c r="K3819">
        <v>1.556</v>
      </c>
      <c r="L3819">
        <v>14</v>
      </c>
      <c r="M3819">
        <v>2</v>
      </c>
      <c r="N3819">
        <v>11</v>
      </c>
      <c r="O3819" t="s">
        <v>53</v>
      </c>
      <c r="P3819" t="s">
        <v>53</v>
      </c>
      <c r="Q3819" t="s">
        <v>53</v>
      </c>
    </row>
    <row r="3820" spans="1:17" x14ac:dyDescent="0.2">
      <c r="A3820" s="30" t="str">
        <f>IF(C3820&amp;G3820&amp;D3820&lt;&gt;'Funnel setup'!$K$3&amp;'Funnel setup'!$K$4&amp;'Funnel setup'!$K$5,".",IF(A3819=".",1,A3819+1))</f>
        <v>.</v>
      </c>
      <c r="B3820" s="431" t="str">
        <f t="shared" si="59"/>
        <v>Knee Replacement PrimaryCCG of GP PracticeNHS TRAFFORD CCG (02A)EQ VAS</v>
      </c>
      <c r="C3820" t="s">
        <v>249</v>
      </c>
      <c r="D3820" t="s">
        <v>87</v>
      </c>
      <c r="E3820" t="s">
        <v>1013</v>
      </c>
      <c r="F3820" t="s">
        <v>1014</v>
      </c>
      <c r="G3820" t="s">
        <v>179</v>
      </c>
      <c r="H3820">
        <v>99</v>
      </c>
      <c r="I3820">
        <v>71.120999999999995</v>
      </c>
      <c r="J3820">
        <v>73.677000000000007</v>
      </c>
      <c r="K3820">
        <v>2.556</v>
      </c>
      <c r="L3820">
        <v>45</v>
      </c>
      <c r="M3820">
        <v>14</v>
      </c>
      <c r="N3820">
        <v>40</v>
      </c>
      <c r="O3820">
        <v>72.275000000000006</v>
      </c>
      <c r="P3820">
        <v>3.6162094680000001</v>
      </c>
      <c r="Q3820">
        <v>17.991</v>
      </c>
    </row>
    <row r="3821" spans="1:17" x14ac:dyDescent="0.2">
      <c r="A3821" s="30" t="str">
        <f>IF(C3821&amp;G3821&amp;D3821&lt;&gt;'Funnel setup'!$K$3&amp;'Funnel setup'!$K$4&amp;'Funnel setup'!$K$5,".",IF(A3820=".",1,A3820+1))</f>
        <v>.</v>
      </c>
      <c r="B3821" s="431" t="str">
        <f t="shared" si="59"/>
        <v>Knee Replacement PrimaryCCG of GP PracticeNHS VALE OF YORK CCG (03Q)EQ VAS</v>
      </c>
      <c r="C3821" t="s">
        <v>249</v>
      </c>
      <c r="D3821" t="s">
        <v>87</v>
      </c>
      <c r="E3821" t="s">
        <v>420</v>
      </c>
      <c r="F3821" t="s">
        <v>421</v>
      </c>
      <c r="G3821" t="s">
        <v>179</v>
      </c>
      <c r="H3821">
        <v>318</v>
      </c>
      <c r="I3821">
        <v>68.716999999999999</v>
      </c>
      <c r="J3821">
        <v>75.063000000000002</v>
      </c>
      <c r="K3821">
        <v>6.3460000000000001</v>
      </c>
      <c r="L3821">
        <v>197</v>
      </c>
      <c r="M3821">
        <v>33</v>
      </c>
      <c r="N3821">
        <v>88</v>
      </c>
      <c r="O3821">
        <v>73.278000000000006</v>
      </c>
      <c r="P3821">
        <v>4.6200491240000003</v>
      </c>
      <c r="Q3821">
        <v>14.962999999999999</v>
      </c>
    </row>
    <row r="3822" spans="1:17" x14ac:dyDescent="0.2">
      <c r="A3822" s="30" t="str">
        <f>IF(C3822&amp;G3822&amp;D3822&lt;&gt;'Funnel setup'!$K$3&amp;'Funnel setup'!$K$4&amp;'Funnel setup'!$K$5,".",IF(A3821=".",1,A3821+1))</f>
        <v>.</v>
      </c>
      <c r="B3822" s="431" t="str">
        <f t="shared" si="59"/>
        <v>Knee Replacement PrimaryCCG of GP PracticeNHS VALE ROYAL CCG (02D)EQ VAS</v>
      </c>
      <c r="C3822" t="s">
        <v>249</v>
      </c>
      <c r="D3822" t="s">
        <v>87</v>
      </c>
      <c r="E3822" t="s">
        <v>423</v>
      </c>
      <c r="F3822" t="s">
        <v>424</v>
      </c>
      <c r="G3822" t="s">
        <v>179</v>
      </c>
      <c r="H3822">
        <v>76</v>
      </c>
      <c r="I3822">
        <v>66.210999999999999</v>
      </c>
      <c r="J3822">
        <v>74.644999999999996</v>
      </c>
      <c r="K3822">
        <v>8.4339999999999993</v>
      </c>
      <c r="L3822">
        <v>47</v>
      </c>
      <c r="M3822">
        <v>8</v>
      </c>
      <c r="N3822">
        <v>21</v>
      </c>
      <c r="O3822">
        <v>74.980999999999995</v>
      </c>
      <c r="P3822">
        <v>6.3224692310000004</v>
      </c>
      <c r="Q3822">
        <v>14.583</v>
      </c>
    </row>
    <row r="3823" spans="1:17" x14ac:dyDescent="0.2">
      <c r="A3823" s="30" t="str">
        <f>IF(C3823&amp;G3823&amp;D3823&lt;&gt;'Funnel setup'!$K$3&amp;'Funnel setup'!$K$4&amp;'Funnel setup'!$K$5,".",IF(A3822=".",1,A3822+1))</f>
        <v>.</v>
      </c>
      <c r="B3823" s="431" t="str">
        <f t="shared" si="59"/>
        <v>Knee Replacement PrimaryCCG of GP PracticeNHS WAKEFIELD CCG (03R)EQ VAS</v>
      </c>
      <c r="C3823" t="s">
        <v>249</v>
      </c>
      <c r="D3823" t="s">
        <v>87</v>
      </c>
      <c r="E3823" t="s">
        <v>426</v>
      </c>
      <c r="F3823" t="s">
        <v>427</v>
      </c>
      <c r="G3823" t="s">
        <v>179</v>
      </c>
      <c r="H3823">
        <v>281</v>
      </c>
      <c r="I3823">
        <v>67.509</v>
      </c>
      <c r="J3823">
        <v>72.783000000000001</v>
      </c>
      <c r="K3823">
        <v>5.274</v>
      </c>
      <c r="L3823">
        <v>167</v>
      </c>
      <c r="M3823">
        <v>26</v>
      </c>
      <c r="N3823">
        <v>88</v>
      </c>
      <c r="O3823">
        <v>73.722999999999999</v>
      </c>
      <c r="P3823">
        <v>5.0645224730000002</v>
      </c>
      <c r="Q3823">
        <v>17.824999999999999</v>
      </c>
    </row>
    <row r="3824" spans="1:17" x14ac:dyDescent="0.2">
      <c r="A3824" s="30" t="str">
        <f>IF(C3824&amp;G3824&amp;D3824&lt;&gt;'Funnel setup'!$K$3&amp;'Funnel setup'!$K$4&amp;'Funnel setup'!$K$5,".",IF(A3823=".",1,A3823+1))</f>
        <v>.</v>
      </c>
      <c r="B3824" s="431" t="str">
        <f t="shared" si="59"/>
        <v>Knee Replacement PrimaryCCG of GP PracticeNHS WALSALL CCG (05Y)EQ VAS</v>
      </c>
      <c r="C3824" t="s">
        <v>249</v>
      </c>
      <c r="D3824" t="s">
        <v>87</v>
      </c>
      <c r="E3824" t="s">
        <v>429</v>
      </c>
      <c r="F3824" t="s">
        <v>430</v>
      </c>
      <c r="G3824" t="s">
        <v>179</v>
      </c>
      <c r="H3824">
        <v>166</v>
      </c>
      <c r="I3824">
        <v>62.734999999999999</v>
      </c>
      <c r="J3824">
        <v>71.102000000000004</v>
      </c>
      <c r="K3824">
        <v>8.3670000000000009</v>
      </c>
      <c r="L3824">
        <v>104</v>
      </c>
      <c r="M3824">
        <v>17</v>
      </c>
      <c r="N3824">
        <v>45</v>
      </c>
      <c r="O3824">
        <v>75.155000000000001</v>
      </c>
      <c r="P3824">
        <v>6.4965001710000001</v>
      </c>
      <c r="Q3824">
        <v>16.920999999999999</v>
      </c>
    </row>
    <row r="3825" spans="1:17" x14ac:dyDescent="0.2">
      <c r="A3825" s="30" t="str">
        <f>IF(C3825&amp;G3825&amp;D3825&lt;&gt;'Funnel setup'!$K$3&amp;'Funnel setup'!$K$4&amp;'Funnel setup'!$K$5,".",IF(A3824=".",1,A3824+1))</f>
        <v>.</v>
      </c>
      <c r="B3825" s="431" t="str">
        <f t="shared" si="59"/>
        <v>Knee Replacement PrimaryCCG of GP PracticeNHS WALTHAM FOREST CCG (08W)EQ VAS</v>
      </c>
      <c r="C3825" t="s">
        <v>249</v>
      </c>
      <c r="D3825" t="s">
        <v>87</v>
      </c>
      <c r="E3825" t="s">
        <v>432</v>
      </c>
      <c r="F3825" t="s">
        <v>433</v>
      </c>
      <c r="G3825" t="s">
        <v>179</v>
      </c>
      <c r="H3825">
        <v>80</v>
      </c>
      <c r="I3825">
        <v>67.325000000000003</v>
      </c>
      <c r="J3825">
        <v>73.712999999999994</v>
      </c>
      <c r="K3825">
        <v>6.3879999999999999</v>
      </c>
      <c r="L3825">
        <v>47</v>
      </c>
      <c r="M3825">
        <v>12</v>
      </c>
      <c r="N3825">
        <v>21</v>
      </c>
      <c r="O3825">
        <v>76.238</v>
      </c>
      <c r="P3825">
        <v>7.5792140310000002</v>
      </c>
      <c r="Q3825">
        <v>15.356</v>
      </c>
    </row>
    <row r="3826" spans="1:17" x14ac:dyDescent="0.2">
      <c r="A3826" s="30" t="str">
        <f>IF(C3826&amp;G3826&amp;D3826&lt;&gt;'Funnel setup'!$K$3&amp;'Funnel setup'!$K$4&amp;'Funnel setup'!$K$5,".",IF(A3825=".",1,A3825+1))</f>
        <v>.</v>
      </c>
      <c r="B3826" s="431" t="str">
        <f t="shared" si="59"/>
        <v>Knee Replacement PrimaryCCG of GP PracticeNHS WANDSWORTH CCG (08X)EQ VAS</v>
      </c>
      <c r="C3826" t="s">
        <v>249</v>
      </c>
      <c r="D3826" t="s">
        <v>87</v>
      </c>
      <c r="E3826" t="s">
        <v>435</v>
      </c>
      <c r="F3826" t="s">
        <v>436</v>
      </c>
      <c r="G3826" t="s">
        <v>179</v>
      </c>
      <c r="H3826">
        <v>53</v>
      </c>
      <c r="I3826">
        <v>66.358000000000004</v>
      </c>
      <c r="J3826">
        <v>75.188999999999993</v>
      </c>
      <c r="K3826">
        <v>8.83</v>
      </c>
      <c r="L3826">
        <v>32</v>
      </c>
      <c r="M3826">
        <v>8</v>
      </c>
      <c r="N3826">
        <v>13</v>
      </c>
      <c r="O3826">
        <v>75.989999999999995</v>
      </c>
      <c r="P3826">
        <v>7.3316872890000004</v>
      </c>
      <c r="Q3826">
        <v>13.186999999999999</v>
      </c>
    </row>
    <row r="3827" spans="1:17" x14ac:dyDescent="0.2">
      <c r="A3827" s="30" t="str">
        <f>IF(C3827&amp;G3827&amp;D3827&lt;&gt;'Funnel setup'!$K$3&amp;'Funnel setup'!$K$4&amp;'Funnel setup'!$K$5,".",IF(A3826=".",1,A3826+1))</f>
        <v>.</v>
      </c>
      <c r="B3827" s="431" t="str">
        <f t="shared" si="59"/>
        <v>Knee Replacement PrimaryCCG of GP PracticeNHS WARRINGTON CCG (02E)EQ VAS</v>
      </c>
      <c r="C3827" t="s">
        <v>249</v>
      </c>
      <c r="D3827" t="s">
        <v>87</v>
      </c>
      <c r="E3827" t="s">
        <v>441</v>
      </c>
      <c r="F3827" t="s">
        <v>442</v>
      </c>
      <c r="G3827" t="s">
        <v>179</v>
      </c>
      <c r="H3827">
        <v>178</v>
      </c>
      <c r="I3827">
        <v>67.129000000000005</v>
      </c>
      <c r="J3827">
        <v>73.388000000000005</v>
      </c>
      <c r="K3827">
        <v>6.258</v>
      </c>
      <c r="L3827">
        <v>103</v>
      </c>
      <c r="M3827">
        <v>28</v>
      </c>
      <c r="N3827">
        <v>47</v>
      </c>
      <c r="O3827">
        <v>73.435000000000002</v>
      </c>
      <c r="P3827">
        <v>4.7766989029999998</v>
      </c>
      <c r="Q3827">
        <v>15.202999999999999</v>
      </c>
    </row>
    <row r="3828" spans="1:17" x14ac:dyDescent="0.2">
      <c r="A3828" s="30" t="str">
        <f>IF(C3828&amp;G3828&amp;D3828&lt;&gt;'Funnel setup'!$K$3&amp;'Funnel setup'!$K$4&amp;'Funnel setup'!$K$5,".",IF(A3827=".",1,A3827+1))</f>
        <v>.</v>
      </c>
      <c r="B3828" s="431" t="str">
        <f t="shared" si="59"/>
        <v>Knee Replacement PrimaryCCG of GP PracticeNHS WARWICKSHIRE NORTH CCG (05H)EQ VAS</v>
      </c>
      <c r="C3828" t="s">
        <v>249</v>
      </c>
      <c r="D3828" t="s">
        <v>87</v>
      </c>
      <c r="E3828" t="s">
        <v>438</v>
      </c>
      <c r="F3828" t="s">
        <v>439</v>
      </c>
      <c r="G3828" t="s">
        <v>179</v>
      </c>
      <c r="H3828">
        <v>79</v>
      </c>
      <c r="I3828">
        <v>68.924000000000007</v>
      </c>
      <c r="J3828">
        <v>74.796999999999997</v>
      </c>
      <c r="K3828">
        <v>5.8730000000000002</v>
      </c>
      <c r="L3828">
        <v>40</v>
      </c>
      <c r="M3828">
        <v>13</v>
      </c>
      <c r="N3828">
        <v>26</v>
      </c>
      <c r="O3828">
        <v>74.093999999999994</v>
      </c>
      <c r="P3828">
        <v>5.4359265810000004</v>
      </c>
      <c r="Q3828">
        <v>17.062000000000001</v>
      </c>
    </row>
    <row r="3829" spans="1:17" x14ac:dyDescent="0.2">
      <c r="A3829" s="30" t="str">
        <f>IF(C3829&amp;G3829&amp;D3829&lt;&gt;'Funnel setup'!$K$3&amp;'Funnel setup'!$K$4&amp;'Funnel setup'!$K$5,".",IF(A3828=".",1,A3828+1))</f>
        <v>.</v>
      </c>
      <c r="B3829" s="431" t="str">
        <f t="shared" si="59"/>
        <v>Knee Replacement PrimaryCCG of GP PracticeNHS WEST CHESHIRE CCG (02F)EQ VAS</v>
      </c>
      <c r="C3829" t="s">
        <v>249</v>
      </c>
      <c r="D3829" t="s">
        <v>87</v>
      </c>
      <c r="E3829" t="s">
        <v>402</v>
      </c>
      <c r="F3829" t="s">
        <v>403</v>
      </c>
      <c r="G3829" t="s">
        <v>179</v>
      </c>
      <c r="H3829">
        <v>241</v>
      </c>
      <c r="I3829">
        <v>69.622</v>
      </c>
      <c r="J3829">
        <v>75.075000000000003</v>
      </c>
      <c r="K3829">
        <v>5.452</v>
      </c>
      <c r="L3829">
        <v>127</v>
      </c>
      <c r="M3829">
        <v>29</v>
      </c>
      <c r="N3829">
        <v>85</v>
      </c>
      <c r="O3829">
        <v>74.010999999999996</v>
      </c>
      <c r="P3829">
        <v>5.3523294400000001</v>
      </c>
      <c r="Q3829">
        <v>14.571</v>
      </c>
    </row>
    <row r="3830" spans="1:17" x14ac:dyDescent="0.2">
      <c r="A3830" s="30" t="str">
        <f>IF(C3830&amp;G3830&amp;D3830&lt;&gt;'Funnel setup'!$K$3&amp;'Funnel setup'!$K$4&amp;'Funnel setup'!$K$5,".",IF(A3829=".",1,A3829+1))</f>
        <v>.</v>
      </c>
      <c r="B3830" s="431" t="str">
        <f t="shared" si="59"/>
        <v>Knee Replacement PrimaryCCG of GP PracticeNHS WEST ESSEX CCG (07H)EQ VAS</v>
      </c>
      <c r="C3830" t="s">
        <v>249</v>
      </c>
      <c r="D3830" t="s">
        <v>87</v>
      </c>
      <c r="E3830" t="s">
        <v>405</v>
      </c>
      <c r="F3830" t="s">
        <v>406</v>
      </c>
      <c r="G3830" t="s">
        <v>179</v>
      </c>
      <c r="H3830">
        <v>199</v>
      </c>
      <c r="I3830">
        <v>69.171000000000006</v>
      </c>
      <c r="J3830">
        <v>75.697999999999993</v>
      </c>
      <c r="K3830">
        <v>6.5279999999999996</v>
      </c>
      <c r="L3830">
        <v>115</v>
      </c>
      <c r="M3830">
        <v>27</v>
      </c>
      <c r="N3830">
        <v>57</v>
      </c>
      <c r="O3830">
        <v>75.915999999999997</v>
      </c>
      <c r="P3830">
        <v>7.2576507149999996</v>
      </c>
      <c r="Q3830">
        <v>17.452999999999999</v>
      </c>
    </row>
    <row r="3831" spans="1:17" x14ac:dyDescent="0.2">
      <c r="A3831" s="30" t="str">
        <f>IF(C3831&amp;G3831&amp;D3831&lt;&gt;'Funnel setup'!$K$3&amp;'Funnel setup'!$K$4&amp;'Funnel setup'!$K$5,".",IF(A3830=".",1,A3830+1))</f>
        <v>.</v>
      </c>
      <c r="B3831" s="431" t="str">
        <f t="shared" si="59"/>
        <v>Knee Replacement PrimaryCCG of GP PracticeNHS WEST HAMPSHIRE CCG (11A)EQ VAS</v>
      </c>
      <c r="C3831" t="s">
        <v>249</v>
      </c>
      <c r="D3831" t="s">
        <v>87</v>
      </c>
      <c r="E3831" t="s">
        <v>444</v>
      </c>
      <c r="F3831" t="s">
        <v>445</v>
      </c>
      <c r="G3831" t="s">
        <v>179</v>
      </c>
      <c r="H3831">
        <v>402</v>
      </c>
      <c r="I3831">
        <v>71.072000000000003</v>
      </c>
      <c r="J3831">
        <v>76.885999999999996</v>
      </c>
      <c r="K3831">
        <v>5.8129999999999997</v>
      </c>
      <c r="L3831">
        <v>223</v>
      </c>
      <c r="M3831">
        <v>57</v>
      </c>
      <c r="N3831">
        <v>122</v>
      </c>
      <c r="O3831">
        <v>74.566999999999993</v>
      </c>
      <c r="P3831">
        <v>5.9082666570000004</v>
      </c>
      <c r="Q3831">
        <v>15.291</v>
      </c>
    </row>
    <row r="3832" spans="1:17" x14ac:dyDescent="0.2">
      <c r="A3832" s="30" t="str">
        <f>IF(C3832&amp;G3832&amp;D3832&lt;&gt;'Funnel setup'!$K$3&amp;'Funnel setup'!$K$4&amp;'Funnel setup'!$K$5,".",IF(A3831=".",1,A3831+1))</f>
        <v>.</v>
      </c>
      <c r="B3832" s="431" t="str">
        <f t="shared" si="59"/>
        <v>Knee Replacement PrimaryCCG of GP PracticeNHS WEST KENT CCG (99J)EQ VAS</v>
      </c>
      <c r="C3832" t="s">
        <v>249</v>
      </c>
      <c r="D3832" t="s">
        <v>87</v>
      </c>
      <c r="E3832" t="s">
        <v>447</v>
      </c>
      <c r="F3832" t="s">
        <v>448</v>
      </c>
      <c r="G3832" t="s">
        <v>179</v>
      </c>
      <c r="H3832">
        <v>309</v>
      </c>
      <c r="I3832">
        <v>71.912999999999997</v>
      </c>
      <c r="J3832">
        <v>78.521000000000001</v>
      </c>
      <c r="K3832">
        <v>6.6079999999999997</v>
      </c>
      <c r="L3832">
        <v>173</v>
      </c>
      <c r="M3832">
        <v>51</v>
      </c>
      <c r="N3832">
        <v>85</v>
      </c>
      <c r="O3832">
        <v>76.135000000000005</v>
      </c>
      <c r="P3832">
        <v>7.4761812220000001</v>
      </c>
      <c r="Q3832">
        <v>13.657</v>
      </c>
    </row>
    <row r="3833" spans="1:17" x14ac:dyDescent="0.2">
      <c r="A3833" s="30" t="str">
        <f>IF(C3833&amp;G3833&amp;D3833&lt;&gt;'Funnel setup'!$K$3&amp;'Funnel setup'!$K$4&amp;'Funnel setup'!$K$5,".",IF(A3832=".",1,A3832+1))</f>
        <v>.</v>
      </c>
      <c r="B3833" s="431" t="str">
        <f t="shared" si="59"/>
        <v>Knee Replacement PrimaryCCG of GP PracticeNHS WEST LANCASHIRE CCG (02G)EQ VAS</v>
      </c>
      <c r="C3833" t="s">
        <v>249</v>
      </c>
      <c r="D3833" t="s">
        <v>87</v>
      </c>
      <c r="E3833" t="s">
        <v>450</v>
      </c>
      <c r="F3833" t="s">
        <v>451</v>
      </c>
      <c r="G3833" t="s">
        <v>179</v>
      </c>
      <c r="H3833">
        <v>75</v>
      </c>
      <c r="I3833">
        <v>68.106999999999999</v>
      </c>
      <c r="J3833">
        <v>72.400000000000006</v>
      </c>
      <c r="K3833">
        <v>4.2930000000000001</v>
      </c>
      <c r="L3833">
        <v>35</v>
      </c>
      <c r="M3833">
        <v>5</v>
      </c>
      <c r="N3833">
        <v>35</v>
      </c>
      <c r="O3833">
        <v>72.403000000000006</v>
      </c>
      <c r="P3833">
        <v>3.7447558679999999</v>
      </c>
      <c r="Q3833">
        <v>16.065999999999999</v>
      </c>
    </row>
    <row r="3834" spans="1:17" x14ac:dyDescent="0.2">
      <c r="A3834" s="30" t="str">
        <f>IF(C3834&amp;G3834&amp;D3834&lt;&gt;'Funnel setup'!$K$3&amp;'Funnel setup'!$K$4&amp;'Funnel setup'!$K$5,".",IF(A3833=".",1,A3833+1))</f>
        <v>.</v>
      </c>
      <c r="B3834" s="431" t="str">
        <f t="shared" si="59"/>
        <v>Knee Replacement PrimaryCCG of GP PracticeNHS WEST LEICESTERSHIRE CCG (04V)EQ VAS</v>
      </c>
      <c r="C3834" t="s">
        <v>249</v>
      </c>
      <c r="D3834" t="s">
        <v>87</v>
      </c>
      <c r="E3834" t="s">
        <v>453</v>
      </c>
      <c r="F3834" t="s">
        <v>454</v>
      </c>
      <c r="G3834" t="s">
        <v>179</v>
      </c>
      <c r="H3834">
        <v>312</v>
      </c>
      <c r="I3834">
        <v>69.441999999999993</v>
      </c>
      <c r="J3834">
        <v>75.980999999999995</v>
      </c>
      <c r="K3834">
        <v>6.5380000000000003</v>
      </c>
      <c r="L3834">
        <v>188</v>
      </c>
      <c r="M3834">
        <v>43</v>
      </c>
      <c r="N3834">
        <v>81</v>
      </c>
      <c r="O3834">
        <v>75.671999999999997</v>
      </c>
      <c r="P3834">
        <v>7.0139616680000003</v>
      </c>
      <c r="Q3834">
        <v>14.926</v>
      </c>
    </row>
    <row r="3835" spans="1:17" x14ac:dyDescent="0.2">
      <c r="A3835" s="30" t="str">
        <f>IF(C3835&amp;G3835&amp;D3835&lt;&gt;'Funnel setup'!$K$3&amp;'Funnel setup'!$K$4&amp;'Funnel setup'!$K$5,".",IF(A3834=".",1,A3834+1))</f>
        <v>.</v>
      </c>
      <c r="B3835" s="431" t="str">
        <f t="shared" si="59"/>
        <v>Knee Replacement PrimaryCCG of GP PracticeNHS WEST LONDON CCG (08Y)EQ VAS</v>
      </c>
      <c r="C3835" t="s">
        <v>249</v>
      </c>
      <c r="D3835" t="s">
        <v>87</v>
      </c>
      <c r="E3835" t="s">
        <v>456</v>
      </c>
      <c r="F3835" t="s">
        <v>457</v>
      </c>
      <c r="G3835" t="s">
        <v>179</v>
      </c>
      <c r="H3835">
        <v>17</v>
      </c>
      <c r="I3835">
        <v>67.941000000000003</v>
      </c>
      <c r="J3835">
        <v>71.647000000000006</v>
      </c>
      <c r="K3835">
        <v>3.706</v>
      </c>
      <c r="L3835">
        <v>11</v>
      </c>
      <c r="M3835">
        <v>0</v>
      </c>
      <c r="N3835">
        <v>6</v>
      </c>
      <c r="O3835" t="s">
        <v>53</v>
      </c>
      <c r="P3835" t="s">
        <v>53</v>
      </c>
      <c r="Q3835" t="s">
        <v>53</v>
      </c>
    </row>
    <row r="3836" spans="1:17" x14ac:dyDescent="0.2">
      <c r="A3836" s="30" t="str">
        <f>IF(C3836&amp;G3836&amp;D3836&lt;&gt;'Funnel setup'!$K$3&amp;'Funnel setup'!$K$4&amp;'Funnel setup'!$K$5,".",IF(A3835=".",1,A3835+1))</f>
        <v>.</v>
      </c>
      <c r="B3836" s="431" t="str">
        <f t="shared" si="59"/>
        <v>Knee Replacement PrimaryCCG of GP PracticeNHS WEST NORFOLK CCG (07J)EQ VAS</v>
      </c>
      <c r="C3836" t="s">
        <v>249</v>
      </c>
      <c r="D3836" t="s">
        <v>87</v>
      </c>
      <c r="E3836" t="s">
        <v>459</v>
      </c>
      <c r="F3836" t="s">
        <v>460</v>
      </c>
      <c r="G3836" t="s">
        <v>179</v>
      </c>
      <c r="H3836">
        <v>141</v>
      </c>
      <c r="I3836">
        <v>68.787000000000006</v>
      </c>
      <c r="J3836">
        <v>72.793999999999997</v>
      </c>
      <c r="K3836">
        <v>4.0069999999999997</v>
      </c>
      <c r="L3836">
        <v>70</v>
      </c>
      <c r="M3836">
        <v>23</v>
      </c>
      <c r="N3836">
        <v>48</v>
      </c>
      <c r="O3836">
        <v>72.998999999999995</v>
      </c>
      <c r="P3836">
        <v>4.3404115990000003</v>
      </c>
      <c r="Q3836">
        <v>16.132999999999999</v>
      </c>
    </row>
    <row r="3837" spans="1:17" x14ac:dyDescent="0.2">
      <c r="A3837" s="30" t="str">
        <f>IF(C3837&amp;G3837&amp;D3837&lt;&gt;'Funnel setup'!$K$3&amp;'Funnel setup'!$K$4&amp;'Funnel setup'!$K$5,".",IF(A3836=".",1,A3836+1))</f>
        <v>.</v>
      </c>
      <c r="B3837" s="431" t="str">
        <f t="shared" si="59"/>
        <v>Knee Replacement PrimaryCCG of GP PracticeNHS WEST SUFFOLK CCG (07K)EQ VAS</v>
      </c>
      <c r="C3837" t="s">
        <v>249</v>
      </c>
      <c r="D3837" t="s">
        <v>87</v>
      </c>
      <c r="E3837" t="s">
        <v>462</v>
      </c>
      <c r="F3837" t="s">
        <v>463</v>
      </c>
      <c r="G3837" t="s">
        <v>179</v>
      </c>
      <c r="H3837">
        <v>175</v>
      </c>
      <c r="I3837">
        <v>68.873999999999995</v>
      </c>
      <c r="J3837">
        <v>75.257000000000005</v>
      </c>
      <c r="K3837">
        <v>6.383</v>
      </c>
      <c r="L3837">
        <v>103</v>
      </c>
      <c r="M3837">
        <v>24</v>
      </c>
      <c r="N3837">
        <v>48</v>
      </c>
      <c r="O3837">
        <v>74.881</v>
      </c>
      <c r="P3837">
        <v>6.2223981860000004</v>
      </c>
      <c r="Q3837">
        <v>16.411999999999999</v>
      </c>
    </row>
    <row r="3838" spans="1:17" x14ac:dyDescent="0.2">
      <c r="A3838" s="30" t="str">
        <f>IF(C3838&amp;G3838&amp;D3838&lt;&gt;'Funnel setup'!$K$3&amp;'Funnel setup'!$K$4&amp;'Funnel setup'!$K$5,".",IF(A3837=".",1,A3837+1))</f>
        <v>.</v>
      </c>
      <c r="B3838" s="431" t="str">
        <f t="shared" si="59"/>
        <v>Knee Replacement PrimaryCCG of GP PracticeNHS WIGAN BOROUGH CCG (02H)EQ VAS</v>
      </c>
      <c r="C3838" t="s">
        <v>249</v>
      </c>
      <c r="D3838" t="s">
        <v>87</v>
      </c>
      <c r="E3838" t="s">
        <v>465</v>
      </c>
      <c r="F3838" t="s">
        <v>466</v>
      </c>
      <c r="G3838" t="s">
        <v>179</v>
      </c>
      <c r="H3838">
        <v>154</v>
      </c>
      <c r="I3838">
        <v>66.896000000000001</v>
      </c>
      <c r="J3838">
        <v>71.070999999999998</v>
      </c>
      <c r="K3838">
        <v>4.1749999999999998</v>
      </c>
      <c r="L3838">
        <v>82</v>
      </c>
      <c r="M3838">
        <v>19</v>
      </c>
      <c r="N3838">
        <v>53</v>
      </c>
      <c r="O3838">
        <v>73.198999999999998</v>
      </c>
      <c r="P3838">
        <v>4.5410067639999996</v>
      </c>
      <c r="Q3838">
        <v>14.502000000000001</v>
      </c>
    </row>
    <row r="3839" spans="1:17" x14ac:dyDescent="0.2">
      <c r="A3839" s="30" t="str">
        <f>IF(C3839&amp;G3839&amp;D3839&lt;&gt;'Funnel setup'!$K$3&amp;'Funnel setup'!$K$4&amp;'Funnel setup'!$K$5,".",IF(A3838=".",1,A3838+1))</f>
        <v>.</v>
      </c>
      <c r="B3839" s="431" t="str">
        <f t="shared" si="59"/>
        <v>Knee Replacement PrimaryCCG of GP PracticeNHS WILTSHIRE CCG (99N)EQ VAS</v>
      </c>
      <c r="C3839" t="s">
        <v>249</v>
      </c>
      <c r="D3839" t="s">
        <v>87</v>
      </c>
      <c r="E3839" t="s">
        <v>468</v>
      </c>
      <c r="F3839" t="s">
        <v>469</v>
      </c>
      <c r="G3839" t="s">
        <v>179</v>
      </c>
      <c r="H3839">
        <v>482</v>
      </c>
      <c r="I3839">
        <v>69.078999999999994</v>
      </c>
      <c r="J3839">
        <v>76.257000000000005</v>
      </c>
      <c r="K3839">
        <v>7.1779999999999999</v>
      </c>
      <c r="L3839">
        <v>293</v>
      </c>
      <c r="M3839">
        <v>52</v>
      </c>
      <c r="N3839">
        <v>137</v>
      </c>
      <c r="O3839">
        <v>75.31</v>
      </c>
      <c r="P3839">
        <v>6.6519099749999997</v>
      </c>
      <c r="Q3839">
        <v>15.058</v>
      </c>
    </row>
    <row r="3840" spans="1:17" x14ac:dyDescent="0.2">
      <c r="A3840" s="30" t="str">
        <f>IF(C3840&amp;G3840&amp;D3840&lt;&gt;'Funnel setup'!$K$3&amp;'Funnel setup'!$K$4&amp;'Funnel setup'!$K$5,".",IF(A3839=".",1,A3839+1))</f>
        <v>.</v>
      </c>
      <c r="B3840" s="431" t="str">
        <f t="shared" si="59"/>
        <v>Knee Replacement PrimaryCCG of GP PracticeNHS WINDSOR, ASCOT AND MAIDENHEAD CCG (11C)EQ VAS</v>
      </c>
      <c r="C3840" t="s">
        <v>249</v>
      </c>
      <c r="D3840" t="s">
        <v>87</v>
      </c>
      <c r="E3840" t="s">
        <v>471</v>
      </c>
      <c r="F3840" t="s">
        <v>472</v>
      </c>
      <c r="G3840" t="s">
        <v>179</v>
      </c>
      <c r="H3840">
        <v>59</v>
      </c>
      <c r="I3840">
        <v>70.203000000000003</v>
      </c>
      <c r="J3840">
        <v>78.186000000000007</v>
      </c>
      <c r="K3840">
        <v>7.9829999999999997</v>
      </c>
      <c r="L3840">
        <v>33</v>
      </c>
      <c r="M3840">
        <v>4</v>
      </c>
      <c r="N3840">
        <v>22</v>
      </c>
      <c r="O3840">
        <v>76.515000000000001</v>
      </c>
      <c r="P3840">
        <v>7.8570157910000002</v>
      </c>
      <c r="Q3840">
        <v>14.454000000000001</v>
      </c>
    </row>
    <row r="3841" spans="1:17" x14ac:dyDescent="0.2">
      <c r="A3841" s="30" t="str">
        <f>IF(C3841&amp;G3841&amp;D3841&lt;&gt;'Funnel setup'!$K$3&amp;'Funnel setup'!$K$4&amp;'Funnel setup'!$K$5,".",IF(A3840=".",1,A3840+1))</f>
        <v>.</v>
      </c>
      <c r="B3841" s="431" t="str">
        <f t="shared" si="59"/>
        <v>Knee Replacement PrimaryCCG of GP PracticeNHS WIRRAL CCG (12F)EQ VAS</v>
      </c>
      <c r="C3841" t="s">
        <v>249</v>
      </c>
      <c r="D3841" t="s">
        <v>87</v>
      </c>
      <c r="E3841" t="s">
        <v>474</v>
      </c>
      <c r="F3841" t="s">
        <v>475</v>
      </c>
      <c r="G3841" t="s">
        <v>179</v>
      </c>
      <c r="H3841">
        <v>284</v>
      </c>
      <c r="I3841">
        <v>68.978999999999999</v>
      </c>
      <c r="J3841">
        <v>73.792000000000002</v>
      </c>
      <c r="K3841">
        <v>4.8129999999999997</v>
      </c>
      <c r="L3841">
        <v>147</v>
      </c>
      <c r="M3841">
        <v>36</v>
      </c>
      <c r="N3841">
        <v>101</v>
      </c>
      <c r="O3841">
        <v>74.132999999999996</v>
      </c>
      <c r="P3841">
        <v>5.4749688909999996</v>
      </c>
      <c r="Q3841">
        <v>16.585000000000001</v>
      </c>
    </row>
    <row r="3842" spans="1:17" x14ac:dyDescent="0.2">
      <c r="A3842" s="30" t="str">
        <f>IF(C3842&amp;G3842&amp;D3842&lt;&gt;'Funnel setup'!$K$3&amp;'Funnel setup'!$K$4&amp;'Funnel setup'!$K$5,".",IF(A3841=".",1,A3841+1))</f>
        <v>.</v>
      </c>
      <c r="B3842" s="431" t="str">
        <f t="shared" si="59"/>
        <v>Knee Replacement PrimaryCCG of GP PracticeNHS WOKINGHAM CCG (11D)EQ VAS</v>
      </c>
      <c r="C3842" t="s">
        <v>249</v>
      </c>
      <c r="D3842" t="s">
        <v>87</v>
      </c>
      <c r="E3842" t="s">
        <v>477</v>
      </c>
      <c r="F3842" t="s">
        <v>478</v>
      </c>
      <c r="G3842" t="s">
        <v>179</v>
      </c>
      <c r="H3842">
        <v>94</v>
      </c>
      <c r="I3842">
        <v>74.872</v>
      </c>
      <c r="J3842">
        <v>76.552999999999997</v>
      </c>
      <c r="K3842">
        <v>1.681</v>
      </c>
      <c r="L3842">
        <v>45</v>
      </c>
      <c r="M3842">
        <v>13</v>
      </c>
      <c r="N3842">
        <v>36</v>
      </c>
      <c r="O3842">
        <v>72.379000000000005</v>
      </c>
      <c r="P3842">
        <v>3.720634649</v>
      </c>
      <c r="Q3842">
        <v>14.545</v>
      </c>
    </row>
    <row r="3843" spans="1:17" x14ac:dyDescent="0.2">
      <c r="A3843" s="30" t="str">
        <f>IF(C3843&amp;G3843&amp;D3843&lt;&gt;'Funnel setup'!$K$3&amp;'Funnel setup'!$K$4&amp;'Funnel setup'!$K$5,".",IF(A3842=".",1,A3842+1))</f>
        <v>.</v>
      </c>
      <c r="B3843" s="431" t="str">
        <f t="shared" ref="B3843:B3906" si="60">C3843&amp;D3843&amp;F3843&amp;G3843</f>
        <v>Knee Replacement PrimaryCCG of GP PracticeNHS WOLVERHAMPTON CCG (06A)EQ VAS</v>
      </c>
      <c r="C3843" t="s">
        <v>249</v>
      </c>
      <c r="D3843" t="s">
        <v>87</v>
      </c>
      <c r="E3843" t="s">
        <v>480</v>
      </c>
      <c r="F3843" t="s">
        <v>481</v>
      </c>
      <c r="G3843" t="s">
        <v>179</v>
      </c>
      <c r="H3843">
        <v>207</v>
      </c>
      <c r="I3843">
        <v>66.295000000000002</v>
      </c>
      <c r="J3843">
        <v>70.783000000000001</v>
      </c>
      <c r="K3843">
        <v>4.4880000000000004</v>
      </c>
      <c r="L3843">
        <v>110</v>
      </c>
      <c r="M3843">
        <v>28</v>
      </c>
      <c r="N3843">
        <v>69</v>
      </c>
      <c r="O3843">
        <v>74.212999999999994</v>
      </c>
      <c r="P3843">
        <v>5.5547386799999998</v>
      </c>
      <c r="Q3843">
        <v>15.433</v>
      </c>
    </row>
    <row r="3844" spans="1:17" x14ac:dyDescent="0.2">
      <c r="A3844" s="30" t="str">
        <f>IF(C3844&amp;G3844&amp;D3844&lt;&gt;'Funnel setup'!$K$3&amp;'Funnel setup'!$K$4&amp;'Funnel setup'!$K$5,".",IF(A3843=".",1,A3843+1))</f>
        <v>.</v>
      </c>
      <c r="B3844" s="431" t="str">
        <f t="shared" si="60"/>
        <v>Knee Replacement PrimaryCCG of GP PracticeNHS WYRE FOREST CCG (06D)EQ VAS</v>
      </c>
      <c r="C3844" t="s">
        <v>249</v>
      </c>
      <c r="D3844" t="s">
        <v>87</v>
      </c>
      <c r="E3844" t="s">
        <v>483</v>
      </c>
      <c r="F3844" t="s">
        <v>484</v>
      </c>
      <c r="G3844" t="s">
        <v>179</v>
      </c>
      <c r="H3844">
        <v>70</v>
      </c>
      <c r="I3844">
        <v>69.843000000000004</v>
      </c>
      <c r="J3844">
        <v>76.8</v>
      </c>
      <c r="K3844">
        <v>6.9569999999999999</v>
      </c>
      <c r="L3844">
        <v>41</v>
      </c>
      <c r="M3844">
        <v>7</v>
      </c>
      <c r="N3844">
        <v>22</v>
      </c>
      <c r="O3844">
        <v>75.582999999999998</v>
      </c>
      <c r="P3844">
        <v>6.9244501559999998</v>
      </c>
      <c r="Q3844">
        <v>13.224</v>
      </c>
    </row>
    <row r="3845" spans="1:17" x14ac:dyDescent="0.2">
      <c r="A3845" s="30" t="str">
        <f>IF(C3845&amp;G3845&amp;D3845&lt;&gt;'Funnel setup'!$K$3&amp;'Funnel setup'!$K$4&amp;'Funnel setup'!$K$5,".",IF(A3844=".",1,A3844+1))</f>
        <v>.</v>
      </c>
      <c r="B3845" s="431" t="str">
        <f t="shared" si="60"/>
        <v>Knee Replacement PrimaryCCG of GP PracticeNATIONAL COMMISSIONING HUB 1 (13Q)EQ-5D Index</v>
      </c>
      <c r="C3845" t="s">
        <v>249</v>
      </c>
      <c r="D3845" t="s">
        <v>87</v>
      </c>
      <c r="E3845" t="s">
        <v>563</v>
      </c>
      <c r="F3845" t="s">
        <v>564</v>
      </c>
      <c r="G3845" t="s">
        <v>52</v>
      </c>
      <c r="H3845" t="s">
        <v>53</v>
      </c>
      <c r="I3845" t="s">
        <v>53</v>
      </c>
      <c r="J3845" t="s">
        <v>53</v>
      </c>
      <c r="K3845" t="s">
        <v>53</v>
      </c>
      <c r="L3845" t="s">
        <v>53</v>
      </c>
      <c r="M3845" t="s">
        <v>53</v>
      </c>
      <c r="N3845" t="s">
        <v>53</v>
      </c>
      <c r="O3845" t="s">
        <v>53</v>
      </c>
      <c r="P3845" t="s">
        <v>53</v>
      </c>
      <c r="Q3845" t="s">
        <v>53</v>
      </c>
    </row>
    <row r="3846" spans="1:17" x14ac:dyDescent="0.2">
      <c r="A3846" s="30" t="str">
        <f>IF(C3846&amp;G3846&amp;D3846&lt;&gt;'Funnel setup'!$K$3&amp;'Funnel setup'!$K$4&amp;'Funnel setup'!$K$5,".",IF(A3845=".",1,A3845+1))</f>
        <v>.</v>
      </c>
      <c r="B3846" s="431" t="str">
        <f t="shared" si="60"/>
        <v>Knee Replacement PrimaryCCG of GP PracticeNHS AIREDALE, WHARFEDALE AND CRAVEN CCG (02N)EQ-5D Index</v>
      </c>
      <c r="C3846" t="s">
        <v>249</v>
      </c>
      <c r="D3846" t="s">
        <v>87</v>
      </c>
      <c r="E3846" t="s">
        <v>566</v>
      </c>
      <c r="F3846" t="s">
        <v>567</v>
      </c>
      <c r="G3846" t="s">
        <v>52</v>
      </c>
      <c r="H3846">
        <v>136</v>
      </c>
      <c r="I3846">
        <v>0.498</v>
      </c>
      <c r="J3846">
        <v>0.79300000000000004</v>
      </c>
      <c r="K3846">
        <v>0.29499999999999998</v>
      </c>
      <c r="L3846">
        <v>115</v>
      </c>
      <c r="M3846">
        <v>11</v>
      </c>
      <c r="N3846">
        <v>10</v>
      </c>
      <c r="O3846">
        <v>0.754</v>
      </c>
      <c r="P3846">
        <v>0.32938943799999998</v>
      </c>
      <c r="Q3846">
        <v>0.21099999999999999</v>
      </c>
    </row>
    <row r="3847" spans="1:17" x14ac:dyDescent="0.2">
      <c r="A3847" s="30" t="str">
        <f>IF(C3847&amp;G3847&amp;D3847&lt;&gt;'Funnel setup'!$K$3&amp;'Funnel setup'!$K$4&amp;'Funnel setup'!$K$5,".",IF(A3846=".",1,A3846+1))</f>
        <v>.</v>
      </c>
      <c r="B3847" s="431" t="str">
        <f t="shared" si="60"/>
        <v>Knee Replacement PrimaryCCG of GP PracticeNHS ASHFORD CCG (09C)EQ-5D Index</v>
      </c>
      <c r="C3847" t="s">
        <v>249</v>
      </c>
      <c r="D3847" t="s">
        <v>87</v>
      </c>
      <c r="E3847" t="s">
        <v>569</v>
      </c>
      <c r="F3847" t="s">
        <v>339</v>
      </c>
      <c r="G3847" t="s">
        <v>52</v>
      </c>
      <c r="H3847">
        <v>60</v>
      </c>
      <c r="I3847">
        <v>0.503</v>
      </c>
      <c r="J3847">
        <v>0.76300000000000001</v>
      </c>
      <c r="K3847">
        <v>0.26</v>
      </c>
      <c r="L3847">
        <v>47</v>
      </c>
      <c r="M3847">
        <v>8</v>
      </c>
      <c r="N3847">
        <v>5</v>
      </c>
      <c r="O3847">
        <v>0.749</v>
      </c>
      <c r="P3847">
        <v>0.32376771500000001</v>
      </c>
      <c r="Q3847">
        <v>0.248</v>
      </c>
    </row>
    <row r="3848" spans="1:17" x14ac:dyDescent="0.2">
      <c r="A3848" s="30" t="str">
        <f>IF(C3848&amp;G3848&amp;D3848&lt;&gt;'Funnel setup'!$K$3&amp;'Funnel setup'!$K$4&amp;'Funnel setup'!$K$5,".",IF(A3847=".",1,A3847+1))</f>
        <v>.</v>
      </c>
      <c r="B3848" s="431" t="str">
        <f t="shared" si="60"/>
        <v>Knee Replacement PrimaryCCG of GP PracticeNHS AYLESBURY VALE CCG (10Y)EQ-5D Index</v>
      </c>
      <c r="C3848" t="s">
        <v>249</v>
      </c>
      <c r="D3848" t="s">
        <v>87</v>
      </c>
      <c r="E3848" t="s">
        <v>571</v>
      </c>
      <c r="F3848" t="s">
        <v>572</v>
      </c>
      <c r="G3848" t="s">
        <v>52</v>
      </c>
      <c r="H3848">
        <v>146</v>
      </c>
      <c r="I3848">
        <v>0.47499999999999998</v>
      </c>
      <c r="J3848">
        <v>0.76600000000000001</v>
      </c>
      <c r="K3848">
        <v>0.29099999999999998</v>
      </c>
      <c r="L3848">
        <v>113</v>
      </c>
      <c r="M3848">
        <v>19</v>
      </c>
      <c r="N3848">
        <v>14</v>
      </c>
      <c r="O3848">
        <v>0.73599999999999999</v>
      </c>
      <c r="P3848">
        <v>0.31100995399999998</v>
      </c>
      <c r="Q3848">
        <v>0.215</v>
      </c>
    </row>
    <row r="3849" spans="1:17" x14ac:dyDescent="0.2">
      <c r="A3849" s="30" t="str">
        <f>IF(C3849&amp;G3849&amp;D3849&lt;&gt;'Funnel setup'!$K$3&amp;'Funnel setup'!$K$4&amp;'Funnel setup'!$K$5,".",IF(A3848=".",1,A3848+1))</f>
        <v>.</v>
      </c>
      <c r="B3849" s="431" t="str">
        <f t="shared" si="60"/>
        <v>Knee Replacement PrimaryCCG of GP PracticeNHS BARKING AND DAGENHAM CCG (07L)EQ-5D Index</v>
      </c>
      <c r="C3849" t="s">
        <v>249</v>
      </c>
      <c r="D3849" t="s">
        <v>87</v>
      </c>
      <c r="E3849" t="s">
        <v>574</v>
      </c>
      <c r="F3849" t="s">
        <v>575</v>
      </c>
      <c r="G3849" t="s">
        <v>52</v>
      </c>
      <c r="H3849">
        <v>48</v>
      </c>
      <c r="I3849">
        <v>0.371</v>
      </c>
      <c r="J3849">
        <v>0.68200000000000005</v>
      </c>
      <c r="K3849">
        <v>0.311</v>
      </c>
      <c r="L3849">
        <v>40</v>
      </c>
      <c r="M3849">
        <v>3</v>
      </c>
      <c r="N3849">
        <v>5</v>
      </c>
      <c r="O3849">
        <v>0.73299999999999998</v>
      </c>
      <c r="P3849">
        <v>0.30828481299999999</v>
      </c>
      <c r="Q3849">
        <v>0.217</v>
      </c>
    </row>
    <row r="3850" spans="1:17" x14ac:dyDescent="0.2">
      <c r="A3850" s="30" t="str">
        <f>IF(C3850&amp;G3850&amp;D3850&lt;&gt;'Funnel setup'!$K$3&amp;'Funnel setup'!$K$4&amp;'Funnel setup'!$K$5,".",IF(A3849=".",1,A3849+1))</f>
        <v>.</v>
      </c>
      <c r="B3850" s="431" t="str">
        <f t="shared" si="60"/>
        <v>Knee Replacement PrimaryCCG of GP PracticeNHS BARNET CCG (07M)EQ-5D Index</v>
      </c>
      <c r="C3850" t="s">
        <v>249</v>
      </c>
      <c r="D3850" t="s">
        <v>87</v>
      </c>
      <c r="E3850" t="s">
        <v>577</v>
      </c>
      <c r="F3850" t="s">
        <v>578</v>
      </c>
      <c r="G3850" t="s">
        <v>52</v>
      </c>
      <c r="H3850">
        <v>84</v>
      </c>
      <c r="I3850">
        <v>0.44900000000000001</v>
      </c>
      <c r="J3850">
        <v>0.68899999999999995</v>
      </c>
      <c r="K3850">
        <v>0.24</v>
      </c>
      <c r="L3850">
        <v>64</v>
      </c>
      <c r="M3850">
        <v>5</v>
      </c>
      <c r="N3850">
        <v>15</v>
      </c>
      <c r="O3850">
        <v>0.68400000000000005</v>
      </c>
      <c r="P3850">
        <v>0.25904195000000002</v>
      </c>
      <c r="Q3850">
        <v>0.23</v>
      </c>
    </row>
    <row r="3851" spans="1:17" x14ac:dyDescent="0.2">
      <c r="A3851" s="30" t="str">
        <f>IF(C3851&amp;G3851&amp;D3851&lt;&gt;'Funnel setup'!$K$3&amp;'Funnel setup'!$K$4&amp;'Funnel setup'!$K$5,".",IF(A3850=".",1,A3850+1))</f>
        <v>.</v>
      </c>
      <c r="B3851" s="431" t="str">
        <f t="shared" si="60"/>
        <v>Knee Replacement PrimaryCCG of GP PracticeNHS BARNSLEY CCG (02P)EQ-5D Index</v>
      </c>
      <c r="C3851" t="s">
        <v>249</v>
      </c>
      <c r="D3851" t="s">
        <v>87</v>
      </c>
      <c r="E3851" t="s">
        <v>580</v>
      </c>
      <c r="F3851" t="s">
        <v>581</v>
      </c>
      <c r="G3851" t="s">
        <v>52</v>
      </c>
      <c r="H3851">
        <v>296</v>
      </c>
      <c r="I3851">
        <v>0.372</v>
      </c>
      <c r="J3851">
        <v>0.70799999999999996</v>
      </c>
      <c r="K3851">
        <v>0.33600000000000002</v>
      </c>
      <c r="L3851">
        <v>246</v>
      </c>
      <c r="M3851">
        <v>25</v>
      </c>
      <c r="N3851">
        <v>25</v>
      </c>
      <c r="O3851">
        <v>0.73899999999999999</v>
      </c>
      <c r="P3851">
        <v>0.31422356299999998</v>
      </c>
      <c r="Q3851">
        <v>0.23400000000000001</v>
      </c>
    </row>
    <row r="3852" spans="1:17" x14ac:dyDescent="0.2">
      <c r="A3852" s="30" t="str">
        <f>IF(C3852&amp;G3852&amp;D3852&lt;&gt;'Funnel setup'!$K$3&amp;'Funnel setup'!$K$4&amp;'Funnel setup'!$K$5,".",IF(A3851=".",1,A3851+1))</f>
        <v>.</v>
      </c>
      <c r="B3852" s="431" t="str">
        <f t="shared" si="60"/>
        <v>Knee Replacement PrimaryCCG of GP PracticeNHS BASILDON AND BRENTWOOD CCG (99E)EQ-5D Index</v>
      </c>
      <c r="C3852" t="s">
        <v>249</v>
      </c>
      <c r="D3852" t="s">
        <v>87</v>
      </c>
      <c r="E3852" t="s">
        <v>583</v>
      </c>
      <c r="F3852" t="s">
        <v>584</v>
      </c>
      <c r="G3852" t="s">
        <v>52</v>
      </c>
      <c r="H3852">
        <v>168</v>
      </c>
      <c r="I3852">
        <v>0.40400000000000003</v>
      </c>
      <c r="J3852">
        <v>0.74299999999999999</v>
      </c>
      <c r="K3852">
        <v>0.33900000000000002</v>
      </c>
      <c r="L3852">
        <v>136</v>
      </c>
      <c r="M3852">
        <v>12</v>
      </c>
      <c r="N3852">
        <v>20</v>
      </c>
      <c r="O3852">
        <v>0.74</v>
      </c>
      <c r="P3852">
        <v>0.314511021</v>
      </c>
      <c r="Q3852">
        <v>0.24</v>
      </c>
    </row>
    <row r="3853" spans="1:17" x14ac:dyDescent="0.2">
      <c r="A3853" s="30" t="str">
        <f>IF(C3853&amp;G3853&amp;D3853&lt;&gt;'Funnel setup'!$K$3&amp;'Funnel setup'!$K$4&amp;'Funnel setup'!$K$5,".",IF(A3852=".",1,A3852+1))</f>
        <v>.</v>
      </c>
      <c r="B3853" s="431" t="str">
        <f t="shared" si="60"/>
        <v>Knee Replacement PrimaryCCG of GP PracticeNHS BASSETLAW CCG (02Q)EQ-5D Index</v>
      </c>
      <c r="C3853" t="s">
        <v>249</v>
      </c>
      <c r="D3853" t="s">
        <v>87</v>
      </c>
      <c r="E3853" t="s">
        <v>586</v>
      </c>
      <c r="F3853" t="s">
        <v>587</v>
      </c>
      <c r="G3853" t="s">
        <v>52</v>
      </c>
      <c r="H3853">
        <v>122</v>
      </c>
      <c r="I3853">
        <v>0.40899999999999997</v>
      </c>
      <c r="J3853">
        <v>0.73599999999999999</v>
      </c>
      <c r="K3853">
        <v>0.32600000000000001</v>
      </c>
      <c r="L3853">
        <v>99</v>
      </c>
      <c r="M3853">
        <v>10</v>
      </c>
      <c r="N3853">
        <v>13</v>
      </c>
      <c r="O3853">
        <v>0.745</v>
      </c>
      <c r="P3853">
        <v>0.32047844199999997</v>
      </c>
      <c r="Q3853">
        <v>0.23</v>
      </c>
    </row>
    <row r="3854" spans="1:17" x14ac:dyDescent="0.2">
      <c r="A3854" s="30" t="str">
        <f>IF(C3854&amp;G3854&amp;D3854&lt;&gt;'Funnel setup'!$K$3&amp;'Funnel setup'!$K$4&amp;'Funnel setup'!$K$5,".",IF(A3853=".",1,A3853+1))</f>
        <v>.</v>
      </c>
      <c r="B3854" s="431" t="str">
        <f t="shared" si="60"/>
        <v>Knee Replacement PrimaryCCG of GP PracticeNHS BATH AND NORTH EAST SOMERSET CCG (11E)EQ-5D Index</v>
      </c>
      <c r="C3854" t="s">
        <v>249</v>
      </c>
      <c r="D3854" t="s">
        <v>87</v>
      </c>
      <c r="E3854" t="s">
        <v>589</v>
      </c>
      <c r="F3854" t="s">
        <v>590</v>
      </c>
      <c r="G3854" t="s">
        <v>52</v>
      </c>
      <c r="H3854">
        <v>149</v>
      </c>
      <c r="I3854">
        <v>0.44800000000000001</v>
      </c>
      <c r="J3854">
        <v>0.76200000000000001</v>
      </c>
      <c r="K3854">
        <v>0.313</v>
      </c>
      <c r="L3854">
        <v>124</v>
      </c>
      <c r="M3854">
        <v>15</v>
      </c>
      <c r="N3854">
        <v>10</v>
      </c>
      <c r="O3854">
        <v>0.73699999999999999</v>
      </c>
      <c r="P3854">
        <v>0.312420588</v>
      </c>
      <c r="Q3854">
        <v>0.224</v>
      </c>
    </row>
    <row r="3855" spans="1:17" x14ac:dyDescent="0.2">
      <c r="A3855" s="30" t="str">
        <f>IF(C3855&amp;G3855&amp;D3855&lt;&gt;'Funnel setup'!$K$3&amp;'Funnel setup'!$K$4&amp;'Funnel setup'!$K$5,".",IF(A3854=".",1,A3854+1))</f>
        <v>.</v>
      </c>
      <c r="B3855" s="431" t="str">
        <f t="shared" si="60"/>
        <v>Knee Replacement PrimaryCCG of GP PracticeNHS BEDFORDSHIRE CCG (06F)EQ-5D Index</v>
      </c>
      <c r="C3855" t="s">
        <v>249</v>
      </c>
      <c r="D3855" t="s">
        <v>87</v>
      </c>
      <c r="E3855" t="s">
        <v>592</v>
      </c>
      <c r="F3855" t="s">
        <v>593</v>
      </c>
      <c r="G3855" t="s">
        <v>52</v>
      </c>
      <c r="H3855">
        <v>331</v>
      </c>
      <c r="I3855">
        <v>0.435</v>
      </c>
      <c r="J3855">
        <v>0.73599999999999999</v>
      </c>
      <c r="K3855">
        <v>0.30099999999999999</v>
      </c>
      <c r="L3855">
        <v>274</v>
      </c>
      <c r="M3855">
        <v>30</v>
      </c>
      <c r="N3855">
        <v>27</v>
      </c>
      <c r="O3855">
        <v>0.72699999999999998</v>
      </c>
      <c r="P3855">
        <v>0.30200781199999999</v>
      </c>
      <c r="Q3855">
        <v>0.23699999999999999</v>
      </c>
    </row>
    <row r="3856" spans="1:17" x14ac:dyDescent="0.2">
      <c r="A3856" s="30" t="str">
        <f>IF(C3856&amp;G3856&amp;D3856&lt;&gt;'Funnel setup'!$K$3&amp;'Funnel setup'!$K$4&amp;'Funnel setup'!$K$5,".",IF(A3855=".",1,A3855+1))</f>
        <v>.</v>
      </c>
      <c r="B3856" s="431" t="str">
        <f t="shared" si="60"/>
        <v>Knee Replacement PrimaryCCG of GP PracticeNHS BEXLEY CCG (07N)EQ-5D Index</v>
      </c>
      <c r="C3856" t="s">
        <v>249</v>
      </c>
      <c r="D3856" t="s">
        <v>87</v>
      </c>
      <c r="E3856" t="s">
        <v>595</v>
      </c>
      <c r="F3856" t="s">
        <v>596</v>
      </c>
      <c r="G3856" t="s">
        <v>52</v>
      </c>
      <c r="H3856">
        <v>99</v>
      </c>
      <c r="I3856">
        <v>0.35899999999999999</v>
      </c>
      <c r="J3856">
        <v>0.73699999999999999</v>
      </c>
      <c r="K3856">
        <v>0.377</v>
      </c>
      <c r="L3856">
        <v>78</v>
      </c>
      <c r="M3856">
        <v>15</v>
      </c>
      <c r="N3856">
        <v>6</v>
      </c>
      <c r="O3856">
        <v>0.755</v>
      </c>
      <c r="P3856">
        <v>0.32982804599999999</v>
      </c>
      <c r="Q3856">
        <v>0.24099999999999999</v>
      </c>
    </row>
    <row r="3857" spans="1:17" x14ac:dyDescent="0.2">
      <c r="A3857" s="30" t="str">
        <f>IF(C3857&amp;G3857&amp;D3857&lt;&gt;'Funnel setup'!$K$3&amp;'Funnel setup'!$K$4&amp;'Funnel setup'!$K$5,".",IF(A3856=".",1,A3856+1))</f>
        <v>.</v>
      </c>
      <c r="B3857" s="431" t="str">
        <f t="shared" si="60"/>
        <v>Knee Replacement PrimaryCCG of GP PracticeNHS BIRMINGHAM CROSSCITY CCG (13P)EQ-5D Index</v>
      </c>
      <c r="C3857" t="s">
        <v>249</v>
      </c>
      <c r="D3857" t="s">
        <v>87</v>
      </c>
      <c r="E3857" t="s">
        <v>598</v>
      </c>
      <c r="F3857" t="s">
        <v>599</v>
      </c>
      <c r="G3857" t="s">
        <v>52</v>
      </c>
      <c r="H3857">
        <v>378</v>
      </c>
      <c r="I3857">
        <v>0.39700000000000002</v>
      </c>
      <c r="J3857">
        <v>0.68600000000000005</v>
      </c>
      <c r="K3857">
        <v>0.28999999999999998</v>
      </c>
      <c r="L3857">
        <v>296</v>
      </c>
      <c r="M3857">
        <v>34</v>
      </c>
      <c r="N3857">
        <v>48</v>
      </c>
      <c r="O3857">
        <v>0.71499999999999997</v>
      </c>
      <c r="P3857">
        <v>0.290133751</v>
      </c>
      <c r="Q3857">
        <v>0.246</v>
      </c>
    </row>
    <row r="3858" spans="1:17" x14ac:dyDescent="0.2">
      <c r="A3858" s="30" t="str">
        <f>IF(C3858&amp;G3858&amp;D3858&lt;&gt;'Funnel setup'!$K$3&amp;'Funnel setup'!$K$4&amp;'Funnel setup'!$K$5,".",IF(A3857=".",1,A3857+1))</f>
        <v>.</v>
      </c>
      <c r="B3858" s="431" t="str">
        <f t="shared" si="60"/>
        <v>Knee Replacement PrimaryCCG of GP PracticeNHS BIRMINGHAM SOUTH AND CENTRAL CCG (04X)EQ-5D Index</v>
      </c>
      <c r="C3858" t="s">
        <v>249</v>
      </c>
      <c r="D3858" t="s">
        <v>87</v>
      </c>
      <c r="E3858" t="s">
        <v>601</v>
      </c>
      <c r="F3858" t="s">
        <v>602</v>
      </c>
      <c r="G3858" t="s">
        <v>52</v>
      </c>
      <c r="H3858">
        <v>94</v>
      </c>
      <c r="I3858">
        <v>0.39400000000000002</v>
      </c>
      <c r="J3858">
        <v>0.71799999999999997</v>
      </c>
      <c r="K3858">
        <v>0.32400000000000001</v>
      </c>
      <c r="L3858">
        <v>80</v>
      </c>
      <c r="M3858">
        <v>6</v>
      </c>
      <c r="N3858">
        <v>8</v>
      </c>
      <c r="O3858">
        <v>0.75</v>
      </c>
      <c r="P3858">
        <v>0.32454797000000002</v>
      </c>
      <c r="Q3858">
        <v>0.26700000000000002</v>
      </c>
    </row>
    <row r="3859" spans="1:17" x14ac:dyDescent="0.2">
      <c r="A3859" s="30" t="str">
        <f>IF(C3859&amp;G3859&amp;D3859&lt;&gt;'Funnel setup'!$K$3&amp;'Funnel setup'!$K$4&amp;'Funnel setup'!$K$5,".",IF(A3858=".",1,A3858+1))</f>
        <v>.</v>
      </c>
      <c r="B3859" s="431" t="str">
        <f t="shared" si="60"/>
        <v>Knee Replacement PrimaryCCG of GP PracticeNHS BLACKBURN WITH DARWEN CCG (00Q)EQ-5D Index</v>
      </c>
      <c r="C3859" t="s">
        <v>249</v>
      </c>
      <c r="D3859" t="s">
        <v>87</v>
      </c>
      <c r="E3859" t="s">
        <v>604</v>
      </c>
      <c r="F3859" t="s">
        <v>605</v>
      </c>
      <c r="G3859" t="s">
        <v>52</v>
      </c>
      <c r="H3859">
        <v>91</v>
      </c>
      <c r="I3859">
        <v>0.41199999999999998</v>
      </c>
      <c r="J3859">
        <v>0.77500000000000002</v>
      </c>
      <c r="K3859">
        <v>0.36299999999999999</v>
      </c>
      <c r="L3859">
        <v>79</v>
      </c>
      <c r="M3859">
        <v>7</v>
      </c>
      <c r="N3859">
        <v>5</v>
      </c>
      <c r="O3859">
        <v>0.8</v>
      </c>
      <c r="P3859">
        <v>0.37538783599999997</v>
      </c>
      <c r="Q3859">
        <v>0.20300000000000001</v>
      </c>
    </row>
    <row r="3860" spans="1:17" x14ac:dyDescent="0.2">
      <c r="A3860" s="30" t="str">
        <f>IF(C3860&amp;G3860&amp;D3860&lt;&gt;'Funnel setup'!$K$3&amp;'Funnel setup'!$K$4&amp;'Funnel setup'!$K$5,".",IF(A3859=".",1,A3859+1))</f>
        <v>.</v>
      </c>
      <c r="B3860" s="431" t="str">
        <f t="shared" si="60"/>
        <v>Knee Replacement PrimaryCCG of GP PracticeNHS BLACKPOOL CCG (00R)EQ-5D Index</v>
      </c>
      <c r="C3860" t="s">
        <v>249</v>
      </c>
      <c r="D3860" t="s">
        <v>87</v>
      </c>
      <c r="E3860" t="s">
        <v>607</v>
      </c>
      <c r="F3860" t="s">
        <v>608</v>
      </c>
      <c r="G3860" t="s">
        <v>52</v>
      </c>
      <c r="H3860">
        <v>41</v>
      </c>
      <c r="I3860">
        <v>0.45100000000000001</v>
      </c>
      <c r="J3860">
        <v>0.69</v>
      </c>
      <c r="K3860">
        <v>0.23899999999999999</v>
      </c>
      <c r="L3860">
        <v>29</v>
      </c>
      <c r="M3860">
        <v>7</v>
      </c>
      <c r="N3860">
        <v>5</v>
      </c>
      <c r="O3860">
        <v>0.70099999999999996</v>
      </c>
      <c r="P3860">
        <v>0.27611953900000002</v>
      </c>
      <c r="Q3860">
        <v>0.22500000000000001</v>
      </c>
    </row>
    <row r="3861" spans="1:17" x14ac:dyDescent="0.2">
      <c r="A3861" s="30" t="str">
        <f>IF(C3861&amp;G3861&amp;D3861&lt;&gt;'Funnel setup'!$K$3&amp;'Funnel setup'!$K$4&amp;'Funnel setup'!$K$5,".",IF(A3860=".",1,A3860+1))</f>
        <v>.</v>
      </c>
      <c r="B3861" s="431" t="str">
        <f t="shared" si="60"/>
        <v>Knee Replacement PrimaryCCG of GP PracticeNHS BOLTON CCG (00T)EQ-5D Index</v>
      </c>
      <c r="C3861" t="s">
        <v>249</v>
      </c>
      <c r="D3861" t="s">
        <v>87</v>
      </c>
      <c r="E3861" t="s">
        <v>683</v>
      </c>
      <c r="F3861" t="s">
        <v>684</v>
      </c>
      <c r="G3861" t="s">
        <v>52</v>
      </c>
      <c r="H3861">
        <v>136</v>
      </c>
      <c r="I3861">
        <v>0.35499999999999998</v>
      </c>
      <c r="J3861">
        <v>0.66600000000000004</v>
      </c>
      <c r="K3861">
        <v>0.31</v>
      </c>
      <c r="L3861">
        <v>103</v>
      </c>
      <c r="M3861">
        <v>10</v>
      </c>
      <c r="N3861">
        <v>23</v>
      </c>
      <c r="O3861">
        <v>0.69699999999999995</v>
      </c>
      <c r="P3861">
        <v>0.27197462900000002</v>
      </c>
      <c r="Q3861">
        <v>0.26800000000000002</v>
      </c>
    </row>
    <row r="3862" spans="1:17" x14ac:dyDescent="0.2">
      <c r="A3862" s="30" t="str">
        <f>IF(C3862&amp;G3862&amp;D3862&lt;&gt;'Funnel setup'!$K$3&amp;'Funnel setup'!$K$4&amp;'Funnel setup'!$K$5,".",IF(A3861=".",1,A3861+1))</f>
        <v>.</v>
      </c>
      <c r="B3862" s="431" t="str">
        <f t="shared" si="60"/>
        <v>Knee Replacement PrimaryCCG of GP PracticeNHS BRACKNELL AND ASCOT CCG (10G)EQ-5D Index</v>
      </c>
      <c r="C3862" t="s">
        <v>249</v>
      </c>
      <c r="D3862" t="s">
        <v>87</v>
      </c>
      <c r="E3862" t="s">
        <v>686</v>
      </c>
      <c r="F3862" t="s">
        <v>687</v>
      </c>
      <c r="G3862" t="s">
        <v>52</v>
      </c>
      <c r="H3862">
        <v>77</v>
      </c>
      <c r="I3862">
        <v>0.434</v>
      </c>
      <c r="J3862">
        <v>0.75900000000000001</v>
      </c>
      <c r="K3862">
        <v>0.32400000000000001</v>
      </c>
      <c r="L3862">
        <v>63</v>
      </c>
      <c r="M3862">
        <v>8</v>
      </c>
      <c r="N3862">
        <v>6</v>
      </c>
      <c r="O3862">
        <v>0.75</v>
      </c>
      <c r="P3862">
        <v>0.324794207</v>
      </c>
      <c r="Q3862">
        <v>0.221</v>
      </c>
    </row>
    <row r="3863" spans="1:17" x14ac:dyDescent="0.2">
      <c r="A3863" s="30" t="str">
        <f>IF(C3863&amp;G3863&amp;D3863&lt;&gt;'Funnel setup'!$K$3&amp;'Funnel setup'!$K$4&amp;'Funnel setup'!$K$5,".",IF(A3862=".",1,A3862+1))</f>
        <v>.</v>
      </c>
      <c r="B3863" s="431" t="str">
        <f t="shared" si="60"/>
        <v>Knee Replacement PrimaryCCG of GP PracticeNHS BRADFORD CITY CCG (02W)EQ-5D Index</v>
      </c>
      <c r="C3863" t="s">
        <v>249</v>
      </c>
      <c r="D3863" t="s">
        <v>87</v>
      </c>
      <c r="E3863" t="s">
        <v>689</v>
      </c>
      <c r="F3863" t="s">
        <v>690</v>
      </c>
      <c r="G3863" t="s">
        <v>52</v>
      </c>
      <c r="H3863">
        <v>26</v>
      </c>
      <c r="I3863">
        <v>0.224</v>
      </c>
      <c r="J3863">
        <v>0.68200000000000005</v>
      </c>
      <c r="K3863">
        <v>0.45800000000000002</v>
      </c>
      <c r="L3863">
        <v>22</v>
      </c>
      <c r="M3863">
        <v>2</v>
      </c>
      <c r="N3863">
        <v>2</v>
      </c>
      <c r="O3863" t="s">
        <v>53</v>
      </c>
      <c r="P3863" t="s">
        <v>53</v>
      </c>
      <c r="Q3863" t="s">
        <v>53</v>
      </c>
    </row>
    <row r="3864" spans="1:17" x14ac:dyDescent="0.2">
      <c r="A3864" s="30" t="str">
        <f>IF(C3864&amp;G3864&amp;D3864&lt;&gt;'Funnel setup'!$K$3&amp;'Funnel setup'!$K$4&amp;'Funnel setup'!$K$5,".",IF(A3863=".",1,A3863+1))</f>
        <v>.</v>
      </c>
      <c r="B3864" s="431" t="str">
        <f t="shared" si="60"/>
        <v>Knee Replacement PrimaryCCG of GP PracticeNHS BRADFORD DISTRICTS CCG (02R)EQ-5D Index</v>
      </c>
      <c r="C3864" t="s">
        <v>249</v>
      </c>
      <c r="D3864" t="s">
        <v>87</v>
      </c>
      <c r="E3864" t="s">
        <v>692</v>
      </c>
      <c r="F3864" t="s">
        <v>693</v>
      </c>
      <c r="G3864" t="s">
        <v>52</v>
      </c>
      <c r="H3864">
        <v>155</v>
      </c>
      <c r="I3864">
        <v>0.434</v>
      </c>
      <c r="J3864">
        <v>0.74399999999999999</v>
      </c>
      <c r="K3864">
        <v>0.31</v>
      </c>
      <c r="L3864">
        <v>123</v>
      </c>
      <c r="M3864">
        <v>18</v>
      </c>
      <c r="N3864">
        <v>14</v>
      </c>
      <c r="O3864">
        <v>0.751</v>
      </c>
      <c r="P3864">
        <v>0.32584498200000001</v>
      </c>
      <c r="Q3864">
        <v>0.23699999999999999</v>
      </c>
    </row>
    <row r="3865" spans="1:17" x14ac:dyDescent="0.2">
      <c r="A3865" s="30" t="str">
        <f>IF(C3865&amp;G3865&amp;D3865&lt;&gt;'Funnel setup'!$K$3&amp;'Funnel setup'!$K$4&amp;'Funnel setup'!$K$5,".",IF(A3864=".",1,A3864+1))</f>
        <v>.</v>
      </c>
      <c r="B3865" s="431" t="str">
        <f t="shared" si="60"/>
        <v>Knee Replacement PrimaryCCG of GP PracticeNHS BRENT CCG (07P)EQ-5D Index</v>
      </c>
      <c r="C3865" t="s">
        <v>249</v>
      </c>
      <c r="D3865" t="s">
        <v>87</v>
      </c>
      <c r="E3865" t="s">
        <v>695</v>
      </c>
      <c r="F3865" t="s">
        <v>696</v>
      </c>
      <c r="G3865" t="s">
        <v>52</v>
      </c>
      <c r="H3865">
        <v>92</v>
      </c>
      <c r="I3865">
        <v>0.33600000000000002</v>
      </c>
      <c r="J3865">
        <v>0.57099999999999995</v>
      </c>
      <c r="K3865">
        <v>0.23499999999999999</v>
      </c>
      <c r="L3865">
        <v>63</v>
      </c>
      <c r="M3865">
        <v>11</v>
      </c>
      <c r="N3865">
        <v>18</v>
      </c>
      <c r="O3865">
        <v>0.63600000000000001</v>
      </c>
      <c r="P3865">
        <v>0.21106409800000001</v>
      </c>
      <c r="Q3865">
        <v>0.27200000000000002</v>
      </c>
    </row>
    <row r="3866" spans="1:17" x14ac:dyDescent="0.2">
      <c r="A3866" s="30" t="str">
        <f>IF(C3866&amp;G3866&amp;D3866&lt;&gt;'Funnel setup'!$K$3&amp;'Funnel setup'!$K$4&amp;'Funnel setup'!$K$5,".",IF(A3865=".",1,A3865+1))</f>
        <v>.</v>
      </c>
      <c r="B3866" s="431" t="str">
        <f t="shared" si="60"/>
        <v>Knee Replacement PrimaryCCG of GP PracticeNHS BRIGHTON AND HOVE CCG (09D)EQ-5D Index</v>
      </c>
      <c r="C3866" t="s">
        <v>249</v>
      </c>
      <c r="D3866" t="s">
        <v>87</v>
      </c>
      <c r="E3866" t="s">
        <v>698</v>
      </c>
      <c r="F3866" t="s">
        <v>699</v>
      </c>
      <c r="G3866" t="s">
        <v>52</v>
      </c>
      <c r="H3866">
        <v>155</v>
      </c>
      <c r="I3866">
        <v>0.46500000000000002</v>
      </c>
      <c r="J3866">
        <v>0.69899999999999995</v>
      </c>
      <c r="K3866">
        <v>0.23400000000000001</v>
      </c>
      <c r="L3866">
        <v>113</v>
      </c>
      <c r="M3866">
        <v>21</v>
      </c>
      <c r="N3866">
        <v>21</v>
      </c>
      <c r="O3866">
        <v>0.69499999999999995</v>
      </c>
      <c r="P3866">
        <v>0.27023776900000002</v>
      </c>
      <c r="Q3866">
        <v>0.26500000000000001</v>
      </c>
    </row>
    <row r="3867" spans="1:17" x14ac:dyDescent="0.2">
      <c r="A3867" s="30" t="str">
        <f>IF(C3867&amp;G3867&amp;D3867&lt;&gt;'Funnel setup'!$K$3&amp;'Funnel setup'!$K$4&amp;'Funnel setup'!$K$5,".",IF(A3866=".",1,A3866+1))</f>
        <v>.</v>
      </c>
      <c r="B3867" s="431" t="str">
        <f t="shared" si="60"/>
        <v>Knee Replacement PrimaryCCG of GP PracticeNHS BRISTOL CCG (11H)EQ-5D Index</v>
      </c>
      <c r="C3867" t="s">
        <v>249</v>
      </c>
      <c r="D3867" t="s">
        <v>87</v>
      </c>
      <c r="E3867" t="s">
        <v>701</v>
      </c>
      <c r="F3867" t="s">
        <v>702</v>
      </c>
      <c r="G3867" t="s">
        <v>52</v>
      </c>
      <c r="H3867">
        <v>219</v>
      </c>
      <c r="I3867">
        <v>0.42</v>
      </c>
      <c r="J3867">
        <v>0.751</v>
      </c>
      <c r="K3867">
        <v>0.33100000000000002</v>
      </c>
      <c r="L3867">
        <v>182</v>
      </c>
      <c r="M3867">
        <v>21</v>
      </c>
      <c r="N3867">
        <v>16</v>
      </c>
      <c r="O3867">
        <v>0.751</v>
      </c>
      <c r="P3867">
        <v>0.32641853900000001</v>
      </c>
      <c r="Q3867">
        <v>0.20599999999999999</v>
      </c>
    </row>
    <row r="3868" spans="1:17" x14ac:dyDescent="0.2">
      <c r="A3868" s="30" t="str">
        <f>IF(C3868&amp;G3868&amp;D3868&lt;&gt;'Funnel setup'!$K$3&amp;'Funnel setup'!$K$4&amp;'Funnel setup'!$K$5,".",IF(A3867=".",1,A3867+1))</f>
        <v>.</v>
      </c>
      <c r="B3868" s="431" t="str">
        <f t="shared" si="60"/>
        <v>Knee Replacement PrimaryCCG of GP PracticeNHS BROMLEY CCG (07Q)EQ-5D Index</v>
      </c>
      <c r="C3868" t="s">
        <v>249</v>
      </c>
      <c r="D3868" t="s">
        <v>87</v>
      </c>
      <c r="E3868" t="s">
        <v>704</v>
      </c>
      <c r="F3868" t="s">
        <v>705</v>
      </c>
      <c r="G3868" t="s">
        <v>52</v>
      </c>
      <c r="H3868">
        <v>111</v>
      </c>
      <c r="I3868">
        <v>0.47299999999999998</v>
      </c>
      <c r="J3868">
        <v>0.77900000000000003</v>
      </c>
      <c r="K3868">
        <v>0.30599999999999999</v>
      </c>
      <c r="L3868">
        <v>96</v>
      </c>
      <c r="M3868">
        <v>9</v>
      </c>
      <c r="N3868">
        <v>6</v>
      </c>
      <c r="O3868">
        <v>0.74199999999999999</v>
      </c>
      <c r="P3868">
        <v>0.31733324899999998</v>
      </c>
      <c r="Q3868">
        <v>0.17899999999999999</v>
      </c>
    </row>
    <row r="3869" spans="1:17" x14ac:dyDescent="0.2">
      <c r="A3869" s="30" t="str">
        <f>IF(C3869&amp;G3869&amp;D3869&lt;&gt;'Funnel setup'!$K$3&amp;'Funnel setup'!$K$4&amp;'Funnel setup'!$K$5,".",IF(A3868=".",1,A3868+1))</f>
        <v>.</v>
      </c>
      <c r="B3869" s="431" t="str">
        <f t="shared" si="60"/>
        <v>Knee Replacement PrimaryCCG of GP PracticeNHS BURY CCG (00V)EQ-5D Index</v>
      </c>
      <c r="C3869" t="s">
        <v>249</v>
      </c>
      <c r="D3869" t="s">
        <v>87</v>
      </c>
      <c r="E3869" t="s">
        <v>707</v>
      </c>
      <c r="F3869" t="s">
        <v>708</v>
      </c>
      <c r="G3869" t="s">
        <v>52</v>
      </c>
      <c r="H3869">
        <v>91</v>
      </c>
      <c r="I3869">
        <v>0.27500000000000002</v>
      </c>
      <c r="J3869">
        <v>0.67500000000000004</v>
      </c>
      <c r="K3869">
        <v>0.39900000000000002</v>
      </c>
      <c r="L3869">
        <v>73</v>
      </c>
      <c r="M3869">
        <v>11</v>
      </c>
      <c r="N3869">
        <v>7</v>
      </c>
      <c r="O3869">
        <v>0.72899999999999998</v>
      </c>
      <c r="P3869">
        <v>0.30434321199999997</v>
      </c>
      <c r="Q3869">
        <v>0.24099999999999999</v>
      </c>
    </row>
    <row r="3870" spans="1:17" x14ac:dyDescent="0.2">
      <c r="A3870" s="30" t="str">
        <f>IF(C3870&amp;G3870&amp;D3870&lt;&gt;'Funnel setup'!$K$3&amp;'Funnel setup'!$K$4&amp;'Funnel setup'!$K$5,".",IF(A3869=".",1,A3869+1))</f>
        <v>.</v>
      </c>
      <c r="B3870" s="431" t="str">
        <f t="shared" si="60"/>
        <v>Knee Replacement PrimaryCCG of GP PracticeNHS CALDERDALE CCG (02T)EQ-5D Index</v>
      </c>
      <c r="C3870" t="s">
        <v>249</v>
      </c>
      <c r="D3870" t="s">
        <v>87</v>
      </c>
      <c r="E3870" t="s">
        <v>710</v>
      </c>
      <c r="F3870" t="s">
        <v>711</v>
      </c>
      <c r="G3870" t="s">
        <v>52</v>
      </c>
      <c r="H3870">
        <v>164</v>
      </c>
      <c r="I3870">
        <v>0.46800000000000003</v>
      </c>
      <c r="J3870">
        <v>0.79</v>
      </c>
      <c r="K3870">
        <v>0.32200000000000001</v>
      </c>
      <c r="L3870">
        <v>141</v>
      </c>
      <c r="M3870">
        <v>11</v>
      </c>
      <c r="N3870">
        <v>12</v>
      </c>
      <c r="O3870">
        <v>0.78100000000000003</v>
      </c>
      <c r="P3870">
        <v>0.35590742199999997</v>
      </c>
      <c r="Q3870">
        <v>0.20499999999999999</v>
      </c>
    </row>
    <row r="3871" spans="1:17" x14ac:dyDescent="0.2">
      <c r="A3871" s="30" t="str">
        <f>IF(C3871&amp;G3871&amp;D3871&lt;&gt;'Funnel setup'!$K$3&amp;'Funnel setup'!$K$4&amp;'Funnel setup'!$K$5,".",IF(A3870=".",1,A3870+1))</f>
        <v>.</v>
      </c>
      <c r="B3871" s="431" t="str">
        <f t="shared" si="60"/>
        <v>Knee Replacement PrimaryCCG of GP PracticeNHS CAMBRIDGESHIRE AND PETERBOROUGH CCG (06H)EQ-5D Index</v>
      </c>
      <c r="C3871" t="s">
        <v>249</v>
      </c>
      <c r="D3871" t="s">
        <v>87</v>
      </c>
      <c r="E3871" t="s">
        <v>713</v>
      </c>
      <c r="F3871" t="s">
        <v>714</v>
      </c>
      <c r="G3871" t="s">
        <v>52</v>
      </c>
      <c r="H3871">
        <v>541</v>
      </c>
      <c r="I3871">
        <v>0.42199999999999999</v>
      </c>
      <c r="J3871">
        <v>0.74399999999999999</v>
      </c>
      <c r="K3871">
        <v>0.32200000000000001</v>
      </c>
      <c r="L3871">
        <v>442</v>
      </c>
      <c r="M3871">
        <v>47</v>
      </c>
      <c r="N3871">
        <v>52</v>
      </c>
      <c r="O3871">
        <v>0.74</v>
      </c>
      <c r="P3871">
        <v>0.31496438599999999</v>
      </c>
      <c r="Q3871">
        <v>0.23100000000000001</v>
      </c>
    </row>
    <row r="3872" spans="1:17" x14ac:dyDescent="0.2">
      <c r="A3872" s="30" t="str">
        <f>IF(C3872&amp;G3872&amp;D3872&lt;&gt;'Funnel setup'!$K$3&amp;'Funnel setup'!$K$4&amp;'Funnel setup'!$K$5,".",IF(A3871=".",1,A3871+1))</f>
        <v>.</v>
      </c>
      <c r="B3872" s="431" t="str">
        <f t="shared" si="60"/>
        <v>Knee Replacement PrimaryCCG of GP PracticeNHS CAMDEN CCG (07R)EQ-5D Index</v>
      </c>
      <c r="C3872" t="s">
        <v>249</v>
      </c>
      <c r="D3872" t="s">
        <v>87</v>
      </c>
      <c r="E3872" t="s">
        <v>716</v>
      </c>
      <c r="F3872" t="s">
        <v>717</v>
      </c>
      <c r="G3872" t="s">
        <v>52</v>
      </c>
      <c r="H3872">
        <v>27</v>
      </c>
      <c r="I3872">
        <v>0.50600000000000001</v>
      </c>
      <c r="J3872">
        <v>0.624</v>
      </c>
      <c r="K3872">
        <v>0.11899999999999999</v>
      </c>
      <c r="L3872">
        <v>16</v>
      </c>
      <c r="M3872">
        <v>4</v>
      </c>
      <c r="N3872">
        <v>7</v>
      </c>
      <c r="O3872" t="s">
        <v>53</v>
      </c>
      <c r="P3872" t="s">
        <v>53</v>
      </c>
      <c r="Q3872" t="s">
        <v>53</v>
      </c>
    </row>
    <row r="3873" spans="1:17" x14ac:dyDescent="0.2">
      <c r="A3873" s="30" t="str">
        <f>IF(C3873&amp;G3873&amp;D3873&lt;&gt;'Funnel setup'!$K$3&amp;'Funnel setup'!$K$4&amp;'Funnel setup'!$K$5,".",IF(A3872=".",1,A3872+1))</f>
        <v>.</v>
      </c>
      <c r="B3873" s="431" t="str">
        <f t="shared" si="60"/>
        <v>Knee Replacement PrimaryCCG of GP PracticeNHS CANNOCK CHASE CCG (04Y)EQ-5D Index</v>
      </c>
      <c r="C3873" t="s">
        <v>249</v>
      </c>
      <c r="D3873" t="s">
        <v>87</v>
      </c>
      <c r="E3873" t="s">
        <v>719</v>
      </c>
      <c r="F3873" t="s">
        <v>720</v>
      </c>
      <c r="G3873" t="s">
        <v>52</v>
      </c>
      <c r="H3873">
        <v>158</v>
      </c>
      <c r="I3873">
        <v>0.38400000000000001</v>
      </c>
      <c r="J3873">
        <v>0.72599999999999998</v>
      </c>
      <c r="K3873">
        <v>0.34200000000000003</v>
      </c>
      <c r="L3873">
        <v>125</v>
      </c>
      <c r="M3873">
        <v>14</v>
      </c>
      <c r="N3873">
        <v>19</v>
      </c>
      <c r="O3873">
        <v>0.74199999999999999</v>
      </c>
      <c r="P3873">
        <v>0.31679992200000001</v>
      </c>
      <c r="Q3873">
        <v>0.223</v>
      </c>
    </row>
    <row r="3874" spans="1:17" x14ac:dyDescent="0.2">
      <c r="A3874" s="30" t="str">
        <f>IF(C3874&amp;G3874&amp;D3874&lt;&gt;'Funnel setup'!$K$3&amp;'Funnel setup'!$K$4&amp;'Funnel setup'!$K$5,".",IF(A3873=".",1,A3873+1))</f>
        <v>.</v>
      </c>
      <c r="B3874" s="431" t="str">
        <f t="shared" si="60"/>
        <v>Knee Replacement PrimaryCCG of GP PracticeNHS CANTERBURY AND COASTAL CCG (09E)EQ-5D Index</v>
      </c>
      <c r="C3874" t="s">
        <v>249</v>
      </c>
      <c r="D3874" t="s">
        <v>87</v>
      </c>
      <c r="E3874" t="s">
        <v>722</v>
      </c>
      <c r="F3874" t="s">
        <v>723</v>
      </c>
      <c r="G3874" t="s">
        <v>52</v>
      </c>
      <c r="H3874">
        <v>132</v>
      </c>
      <c r="I3874">
        <v>0.45300000000000001</v>
      </c>
      <c r="J3874">
        <v>0.78400000000000003</v>
      </c>
      <c r="K3874">
        <v>0.33100000000000002</v>
      </c>
      <c r="L3874">
        <v>113</v>
      </c>
      <c r="M3874">
        <v>9</v>
      </c>
      <c r="N3874">
        <v>10</v>
      </c>
      <c r="O3874">
        <v>0.77</v>
      </c>
      <c r="P3874">
        <v>0.34524116500000002</v>
      </c>
      <c r="Q3874">
        <v>0.20200000000000001</v>
      </c>
    </row>
    <row r="3875" spans="1:17" x14ac:dyDescent="0.2">
      <c r="A3875" s="30" t="str">
        <f>IF(C3875&amp;G3875&amp;D3875&lt;&gt;'Funnel setup'!$K$3&amp;'Funnel setup'!$K$4&amp;'Funnel setup'!$K$5,".",IF(A3874=".",1,A3874+1))</f>
        <v>.</v>
      </c>
      <c r="B3875" s="431" t="str">
        <f t="shared" si="60"/>
        <v>Knee Replacement PrimaryCCG of GP PracticeNHS CASTLE POINT AND ROCHFORD CCG (99F)EQ-5D Index</v>
      </c>
      <c r="C3875" t="s">
        <v>249</v>
      </c>
      <c r="D3875" t="s">
        <v>87</v>
      </c>
      <c r="E3875" t="s">
        <v>725</v>
      </c>
      <c r="F3875" t="s">
        <v>726</v>
      </c>
      <c r="G3875" t="s">
        <v>52</v>
      </c>
      <c r="H3875">
        <v>156</v>
      </c>
      <c r="I3875">
        <v>0.41399999999999998</v>
      </c>
      <c r="J3875">
        <v>0.74399999999999999</v>
      </c>
      <c r="K3875">
        <v>0.33</v>
      </c>
      <c r="L3875">
        <v>131</v>
      </c>
      <c r="M3875">
        <v>12</v>
      </c>
      <c r="N3875">
        <v>13</v>
      </c>
      <c r="O3875">
        <v>0.73799999999999999</v>
      </c>
      <c r="P3875">
        <v>0.31309882300000003</v>
      </c>
      <c r="Q3875">
        <v>0.20899999999999999</v>
      </c>
    </row>
    <row r="3876" spans="1:17" x14ac:dyDescent="0.2">
      <c r="A3876" s="30" t="str">
        <f>IF(C3876&amp;G3876&amp;D3876&lt;&gt;'Funnel setup'!$K$3&amp;'Funnel setup'!$K$4&amp;'Funnel setup'!$K$5,".",IF(A3875=".",1,A3875+1))</f>
        <v>.</v>
      </c>
      <c r="B3876" s="431" t="str">
        <f t="shared" si="60"/>
        <v>Knee Replacement PrimaryCCG of GP PracticeNHS CENTRAL LONDON (WESTMINSTER) CCG (09A)EQ-5D Index</v>
      </c>
      <c r="C3876" t="s">
        <v>249</v>
      </c>
      <c r="D3876" t="s">
        <v>87</v>
      </c>
      <c r="E3876" t="s">
        <v>728</v>
      </c>
      <c r="F3876" t="s">
        <v>729</v>
      </c>
      <c r="G3876" t="s">
        <v>52</v>
      </c>
      <c r="H3876">
        <v>17</v>
      </c>
      <c r="I3876">
        <v>0.25</v>
      </c>
      <c r="J3876">
        <v>0.63400000000000001</v>
      </c>
      <c r="K3876">
        <v>0.38400000000000001</v>
      </c>
      <c r="L3876">
        <v>14</v>
      </c>
      <c r="M3876">
        <v>1</v>
      </c>
      <c r="N3876">
        <v>2</v>
      </c>
      <c r="O3876" t="s">
        <v>53</v>
      </c>
      <c r="P3876" t="s">
        <v>53</v>
      </c>
      <c r="Q3876" t="s">
        <v>53</v>
      </c>
    </row>
    <row r="3877" spans="1:17" x14ac:dyDescent="0.2">
      <c r="A3877" s="30" t="str">
        <f>IF(C3877&amp;G3877&amp;D3877&lt;&gt;'Funnel setup'!$K$3&amp;'Funnel setup'!$K$4&amp;'Funnel setup'!$K$5,".",IF(A3876=".",1,A3876+1))</f>
        <v>.</v>
      </c>
      <c r="B3877" s="431" t="str">
        <f t="shared" si="60"/>
        <v>Knee Replacement PrimaryCCG of GP PracticeNHS CENTRAL MANCHESTER CCG (00W)EQ-5D Index</v>
      </c>
      <c r="C3877" t="s">
        <v>249</v>
      </c>
      <c r="D3877" t="s">
        <v>87</v>
      </c>
      <c r="E3877" t="s">
        <v>731</v>
      </c>
      <c r="F3877" t="s">
        <v>732</v>
      </c>
      <c r="G3877" t="s">
        <v>52</v>
      </c>
      <c r="H3877">
        <v>26</v>
      </c>
      <c r="I3877">
        <v>0.38700000000000001</v>
      </c>
      <c r="J3877">
        <v>0.65200000000000002</v>
      </c>
      <c r="K3877">
        <v>0.26500000000000001</v>
      </c>
      <c r="L3877">
        <v>20</v>
      </c>
      <c r="M3877">
        <v>3</v>
      </c>
      <c r="N3877">
        <v>3</v>
      </c>
      <c r="O3877" t="s">
        <v>53</v>
      </c>
      <c r="P3877" t="s">
        <v>53</v>
      </c>
      <c r="Q3877" t="s">
        <v>53</v>
      </c>
    </row>
    <row r="3878" spans="1:17" x14ac:dyDescent="0.2">
      <c r="A3878" s="30" t="str">
        <f>IF(C3878&amp;G3878&amp;D3878&lt;&gt;'Funnel setup'!$K$3&amp;'Funnel setup'!$K$4&amp;'Funnel setup'!$K$5,".",IF(A3877=".",1,A3877+1))</f>
        <v>.</v>
      </c>
      <c r="B3878" s="431" t="str">
        <f t="shared" si="60"/>
        <v>Knee Replacement PrimaryCCG of GP PracticeNHS CHILTERN CCG (10H)EQ-5D Index</v>
      </c>
      <c r="C3878" t="s">
        <v>249</v>
      </c>
      <c r="D3878" t="s">
        <v>87</v>
      </c>
      <c r="E3878" t="s">
        <v>734</v>
      </c>
      <c r="F3878" t="s">
        <v>735</v>
      </c>
      <c r="G3878" t="s">
        <v>52</v>
      </c>
      <c r="H3878">
        <v>186</v>
      </c>
      <c r="I3878">
        <v>0.45900000000000002</v>
      </c>
      <c r="J3878">
        <v>0.78600000000000003</v>
      </c>
      <c r="K3878">
        <v>0.32600000000000001</v>
      </c>
      <c r="L3878">
        <v>150</v>
      </c>
      <c r="M3878">
        <v>24</v>
      </c>
      <c r="N3878">
        <v>12</v>
      </c>
      <c r="O3878">
        <v>0.75800000000000001</v>
      </c>
      <c r="P3878">
        <v>0.33314915000000001</v>
      </c>
      <c r="Q3878">
        <v>0.19900000000000001</v>
      </c>
    </row>
    <row r="3879" spans="1:17" x14ac:dyDescent="0.2">
      <c r="A3879" s="30" t="str">
        <f>IF(C3879&amp;G3879&amp;D3879&lt;&gt;'Funnel setup'!$K$3&amp;'Funnel setup'!$K$4&amp;'Funnel setup'!$K$5,".",IF(A3878=".",1,A3878+1))</f>
        <v>.</v>
      </c>
      <c r="B3879" s="431" t="str">
        <f t="shared" si="60"/>
        <v>Knee Replacement PrimaryCCG of GP PracticeNHS CHORLEY AND SOUTH RIBBLE CCG (00X)EQ-5D Index</v>
      </c>
      <c r="C3879" t="s">
        <v>249</v>
      </c>
      <c r="D3879" t="s">
        <v>87</v>
      </c>
      <c r="E3879" t="s">
        <v>737</v>
      </c>
      <c r="F3879" t="s">
        <v>738</v>
      </c>
      <c r="G3879" t="s">
        <v>52</v>
      </c>
      <c r="H3879">
        <v>194</v>
      </c>
      <c r="I3879">
        <v>0.45600000000000002</v>
      </c>
      <c r="J3879">
        <v>0.75600000000000001</v>
      </c>
      <c r="K3879">
        <v>0.3</v>
      </c>
      <c r="L3879">
        <v>153</v>
      </c>
      <c r="M3879">
        <v>18</v>
      </c>
      <c r="N3879">
        <v>23</v>
      </c>
      <c r="O3879">
        <v>0.74</v>
      </c>
      <c r="P3879">
        <v>0.31467326800000001</v>
      </c>
      <c r="Q3879">
        <v>0.214</v>
      </c>
    </row>
    <row r="3880" spans="1:17" x14ac:dyDescent="0.2">
      <c r="A3880" s="30" t="str">
        <f>IF(C3880&amp;G3880&amp;D3880&lt;&gt;'Funnel setup'!$K$3&amp;'Funnel setup'!$K$4&amp;'Funnel setup'!$K$5,".",IF(A3879=".",1,A3879+1))</f>
        <v>.</v>
      </c>
      <c r="B3880" s="431" t="str">
        <f t="shared" si="60"/>
        <v>Knee Replacement PrimaryCCG of GP PracticeNHS CITY AND HACKNEY CCG (07T)EQ-5D Index</v>
      </c>
      <c r="C3880" t="s">
        <v>249</v>
      </c>
      <c r="D3880" t="s">
        <v>87</v>
      </c>
      <c r="E3880" t="s">
        <v>740</v>
      </c>
      <c r="F3880" t="s">
        <v>741</v>
      </c>
      <c r="G3880" t="s">
        <v>52</v>
      </c>
      <c r="H3880">
        <v>48</v>
      </c>
      <c r="I3880">
        <v>0.40100000000000002</v>
      </c>
      <c r="J3880">
        <v>0.57399999999999995</v>
      </c>
      <c r="K3880">
        <v>0.17199999999999999</v>
      </c>
      <c r="L3880">
        <v>27</v>
      </c>
      <c r="M3880">
        <v>6</v>
      </c>
      <c r="N3880">
        <v>15</v>
      </c>
      <c r="O3880">
        <v>0.65900000000000003</v>
      </c>
      <c r="P3880">
        <v>0.23400390300000001</v>
      </c>
      <c r="Q3880">
        <v>0.28999999999999998</v>
      </c>
    </row>
    <row r="3881" spans="1:17" x14ac:dyDescent="0.2">
      <c r="A3881" s="30" t="str">
        <f>IF(C3881&amp;G3881&amp;D3881&lt;&gt;'Funnel setup'!$K$3&amp;'Funnel setup'!$K$4&amp;'Funnel setup'!$K$5,".",IF(A3880=".",1,A3880+1))</f>
        <v>.</v>
      </c>
      <c r="B3881" s="431" t="str">
        <f t="shared" si="60"/>
        <v>Knee Replacement PrimaryCCG of GP PracticeNHS COASTAL WEST SUSSEX CCG (09G)EQ-5D Index</v>
      </c>
      <c r="C3881" t="s">
        <v>249</v>
      </c>
      <c r="D3881" t="s">
        <v>87</v>
      </c>
      <c r="E3881" t="s">
        <v>743</v>
      </c>
      <c r="F3881" t="s">
        <v>744</v>
      </c>
      <c r="G3881" t="s">
        <v>52</v>
      </c>
      <c r="H3881">
        <v>401</v>
      </c>
      <c r="I3881">
        <v>0.441</v>
      </c>
      <c r="J3881">
        <v>0.73799999999999999</v>
      </c>
      <c r="K3881">
        <v>0.29699999999999999</v>
      </c>
      <c r="L3881">
        <v>319</v>
      </c>
      <c r="M3881">
        <v>35</v>
      </c>
      <c r="N3881">
        <v>47</v>
      </c>
      <c r="O3881">
        <v>0.72499999999999998</v>
      </c>
      <c r="P3881">
        <v>0.29987888000000001</v>
      </c>
      <c r="Q3881">
        <v>0.23100000000000001</v>
      </c>
    </row>
    <row r="3882" spans="1:17" x14ac:dyDescent="0.2">
      <c r="A3882" s="30" t="str">
        <f>IF(C3882&amp;G3882&amp;D3882&lt;&gt;'Funnel setup'!$K$3&amp;'Funnel setup'!$K$4&amp;'Funnel setup'!$K$5,".",IF(A3881=".",1,A3881+1))</f>
        <v>.</v>
      </c>
      <c r="B3882" s="431" t="str">
        <f t="shared" si="60"/>
        <v>Knee Replacement PrimaryCCG of GP PracticeNHS CORBY CCG (03V)EQ-5D Index</v>
      </c>
      <c r="C3882" t="s">
        <v>249</v>
      </c>
      <c r="D3882" t="s">
        <v>87</v>
      </c>
      <c r="E3882" t="s">
        <v>746</v>
      </c>
      <c r="F3882" t="s">
        <v>747</v>
      </c>
      <c r="G3882" t="s">
        <v>52</v>
      </c>
      <c r="H3882">
        <v>33</v>
      </c>
      <c r="I3882">
        <v>0.36599999999999999</v>
      </c>
      <c r="J3882">
        <v>0.67300000000000004</v>
      </c>
      <c r="K3882">
        <v>0.307</v>
      </c>
      <c r="L3882">
        <v>26</v>
      </c>
      <c r="M3882">
        <v>4</v>
      </c>
      <c r="N3882">
        <v>3</v>
      </c>
      <c r="O3882">
        <v>0.71699999999999997</v>
      </c>
      <c r="P3882">
        <v>0.29181711900000001</v>
      </c>
      <c r="Q3882">
        <v>0.217</v>
      </c>
    </row>
    <row r="3883" spans="1:17" x14ac:dyDescent="0.2">
      <c r="A3883" s="30" t="str">
        <f>IF(C3883&amp;G3883&amp;D3883&lt;&gt;'Funnel setup'!$K$3&amp;'Funnel setup'!$K$4&amp;'Funnel setup'!$K$5,".",IF(A3882=".",1,A3882+1))</f>
        <v>.</v>
      </c>
      <c r="B3883" s="431" t="str">
        <f t="shared" si="60"/>
        <v>Knee Replacement PrimaryCCG of GP PracticeNHS COVENTRY AND RUGBY CCG (05A)EQ-5D Index</v>
      </c>
      <c r="C3883" t="s">
        <v>249</v>
      </c>
      <c r="D3883" t="s">
        <v>87</v>
      </c>
      <c r="E3883" t="s">
        <v>749</v>
      </c>
      <c r="F3883" t="s">
        <v>750</v>
      </c>
      <c r="G3883" t="s">
        <v>52</v>
      </c>
      <c r="H3883">
        <v>312</v>
      </c>
      <c r="I3883">
        <v>0.433</v>
      </c>
      <c r="J3883">
        <v>0.72599999999999998</v>
      </c>
      <c r="K3883">
        <v>0.29299999999999998</v>
      </c>
      <c r="L3883">
        <v>233</v>
      </c>
      <c r="M3883">
        <v>42</v>
      </c>
      <c r="N3883">
        <v>37</v>
      </c>
      <c r="O3883">
        <v>0.72799999999999998</v>
      </c>
      <c r="P3883">
        <v>0.30309569200000003</v>
      </c>
      <c r="Q3883">
        <v>0.23400000000000001</v>
      </c>
    </row>
    <row r="3884" spans="1:17" x14ac:dyDescent="0.2">
      <c r="A3884" s="30" t="str">
        <f>IF(C3884&amp;G3884&amp;D3884&lt;&gt;'Funnel setup'!$K$3&amp;'Funnel setup'!$K$4&amp;'Funnel setup'!$K$5,".",IF(A3883=".",1,A3883+1))</f>
        <v>.</v>
      </c>
      <c r="B3884" s="431" t="str">
        <f t="shared" si="60"/>
        <v>Knee Replacement PrimaryCCG of GP PracticeNHS CRAWLEY CCG (09H)EQ-5D Index</v>
      </c>
      <c r="C3884" t="s">
        <v>249</v>
      </c>
      <c r="D3884" t="s">
        <v>87</v>
      </c>
      <c r="E3884" t="s">
        <v>752</v>
      </c>
      <c r="F3884" t="s">
        <v>753</v>
      </c>
      <c r="G3884" t="s">
        <v>52</v>
      </c>
      <c r="H3884">
        <v>73</v>
      </c>
      <c r="I3884">
        <v>0.46500000000000002</v>
      </c>
      <c r="J3884">
        <v>0.69599999999999995</v>
      </c>
      <c r="K3884">
        <v>0.23100000000000001</v>
      </c>
      <c r="L3884">
        <v>58</v>
      </c>
      <c r="M3884">
        <v>8</v>
      </c>
      <c r="N3884">
        <v>7</v>
      </c>
      <c r="O3884">
        <v>0.68100000000000005</v>
      </c>
      <c r="P3884">
        <v>0.25614649099999998</v>
      </c>
      <c r="Q3884">
        <v>0.20899999999999999</v>
      </c>
    </row>
    <row r="3885" spans="1:17" x14ac:dyDescent="0.2">
      <c r="A3885" s="30" t="str">
        <f>IF(C3885&amp;G3885&amp;D3885&lt;&gt;'Funnel setup'!$K$3&amp;'Funnel setup'!$K$4&amp;'Funnel setup'!$K$5,".",IF(A3884=".",1,A3884+1))</f>
        <v>.</v>
      </c>
      <c r="B3885" s="431" t="str">
        <f t="shared" si="60"/>
        <v>Knee Replacement PrimaryCCG of GP PracticeNHS CROYDON CCG (07V)EQ-5D Index</v>
      </c>
      <c r="C3885" t="s">
        <v>249</v>
      </c>
      <c r="D3885" t="s">
        <v>87</v>
      </c>
      <c r="E3885" t="s">
        <v>755</v>
      </c>
      <c r="F3885" t="s">
        <v>756</v>
      </c>
      <c r="G3885" t="s">
        <v>52</v>
      </c>
      <c r="H3885">
        <v>116</v>
      </c>
      <c r="I3885">
        <v>0.439</v>
      </c>
      <c r="J3885">
        <v>0.67600000000000005</v>
      </c>
      <c r="K3885">
        <v>0.23599999999999999</v>
      </c>
      <c r="L3885">
        <v>82</v>
      </c>
      <c r="M3885">
        <v>18</v>
      </c>
      <c r="N3885">
        <v>16</v>
      </c>
      <c r="O3885">
        <v>0.67800000000000005</v>
      </c>
      <c r="P3885">
        <v>0.25266625599999998</v>
      </c>
      <c r="Q3885">
        <v>0.23300000000000001</v>
      </c>
    </row>
    <row r="3886" spans="1:17" x14ac:dyDescent="0.2">
      <c r="A3886" s="30" t="str">
        <f>IF(C3886&amp;G3886&amp;D3886&lt;&gt;'Funnel setup'!$K$3&amp;'Funnel setup'!$K$4&amp;'Funnel setup'!$K$5,".",IF(A3885=".",1,A3885+1))</f>
        <v>.</v>
      </c>
      <c r="B3886" s="431" t="str">
        <f t="shared" si="60"/>
        <v>Knee Replacement PrimaryCCG of GP PracticeNHS CUMBRIA CCG (01H)EQ-5D Index</v>
      </c>
      <c r="C3886" t="s">
        <v>249</v>
      </c>
      <c r="D3886" t="s">
        <v>87</v>
      </c>
      <c r="E3886" t="s">
        <v>758</v>
      </c>
      <c r="F3886" t="s">
        <v>759</v>
      </c>
      <c r="G3886" t="s">
        <v>52</v>
      </c>
      <c r="H3886">
        <v>660</v>
      </c>
      <c r="I3886">
        <v>0.45100000000000001</v>
      </c>
      <c r="J3886">
        <v>0.76700000000000002</v>
      </c>
      <c r="K3886">
        <v>0.316</v>
      </c>
      <c r="L3886">
        <v>549</v>
      </c>
      <c r="M3886">
        <v>54</v>
      </c>
      <c r="N3886">
        <v>57</v>
      </c>
      <c r="O3886">
        <v>0.76400000000000001</v>
      </c>
      <c r="P3886">
        <v>0.33881262000000001</v>
      </c>
      <c r="Q3886">
        <v>0.21299999999999999</v>
      </c>
    </row>
    <row r="3887" spans="1:17" x14ac:dyDescent="0.2">
      <c r="A3887" s="30" t="str">
        <f>IF(C3887&amp;G3887&amp;D3887&lt;&gt;'Funnel setup'!$K$3&amp;'Funnel setup'!$K$4&amp;'Funnel setup'!$K$5,".",IF(A3886=".",1,A3886+1))</f>
        <v>.</v>
      </c>
      <c r="B3887" s="431" t="str">
        <f t="shared" si="60"/>
        <v>Knee Replacement PrimaryCCG of GP PracticeNHS DARLINGTON CCG (00C)EQ-5D Index</v>
      </c>
      <c r="C3887" t="s">
        <v>249</v>
      </c>
      <c r="D3887" t="s">
        <v>87</v>
      </c>
      <c r="E3887" t="s">
        <v>761</v>
      </c>
      <c r="F3887" t="s">
        <v>762</v>
      </c>
      <c r="G3887" t="s">
        <v>52</v>
      </c>
      <c r="H3887">
        <v>72</v>
      </c>
      <c r="I3887">
        <v>0.432</v>
      </c>
      <c r="J3887">
        <v>0.68300000000000005</v>
      </c>
      <c r="K3887">
        <v>0.251</v>
      </c>
      <c r="L3887">
        <v>52</v>
      </c>
      <c r="M3887">
        <v>13</v>
      </c>
      <c r="N3887">
        <v>7</v>
      </c>
      <c r="O3887">
        <v>0.70099999999999996</v>
      </c>
      <c r="P3887">
        <v>0.27631432299999997</v>
      </c>
      <c r="Q3887">
        <v>0.25800000000000001</v>
      </c>
    </row>
    <row r="3888" spans="1:17" x14ac:dyDescent="0.2">
      <c r="A3888" s="30" t="str">
        <f>IF(C3888&amp;G3888&amp;D3888&lt;&gt;'Funnel setup'!$K$3&amp;'Funnel setup'!$K$4&amp;'Funnel setup'!$K$5,".",IF(A3887=".",1,A3887+1))</f>
        <v>.</v>
      </c>
      <c r="B3888" s="431" t="str">
        <f t="shared" si="60"/>
        <v>Knee Replacement PrimaryCCG of GP PracticeNHS DARTFORD, GRAVESHAM AND SWANLEY CCG (09J)EQ-5D Index</v>
      </c>
      <c r="C3888" t="s">
        <v>249</v>
      </c>
      <c r="D3888" t="s">
        <v>87</v>
      </c>
      <c r="E3888" t="s">
        <v>764</v>
      </c>
      <c r="F3888" t="s">
        <v>765</v>
      </c>
      <c r="G3888" t="s">
        <v>52</v>
      </c>
      <c r="H3888">
        <v>169</v>
      </c>
      <c r="I3888">
        <v>0.41499999999999998</v>
      </c>
      <c r="J3888">
        <v>0.75900000000000001</v>
      </c>
      <c r="K3888">
        <v>0.34399999999999997</v>
      </c>
      <c r="L3888">
        <v>149</v>
      </c>
      <c r="M3888">
        <v>12</v>
      </c>
      <c r="N3888">
        <v>8</v>
      </c>
      <c r="O3888">
        <v>0.75800000000000001</v>
      </c>
      <c r="P3888">
        <v>0.33336280699999998</v>
      </c>
      <c r="Q3888">
        <v>0.19700000000000001</v>
      </c>
    </row>
    <row r="3889" spans="1:17" x14ac:dyDescent="0.2">
      <c r="A3889" s="30" t="str">
        <f>IF(C3889&amp;G3889&amp;D3889&lt;&gt;'Funnel setup'!$K$3&amp;'Funnel setup'!$K$4&amp;'Funnel setup'!$K$5,".",IF(A3888=".",1,A3888+1))</f>
        <v>.</v>
      </c>
      <c r="B3889" s="431" t="str">
        <f t="shared" si="60"/>
        <v>Knee Replacement PrimaryCCG of GP PracticeNHS DONCASTER CCG (02X)EQ-5D Index</v>
      </c>
      <c r="C3889" t="s">
        <v>249</v>
      </c>
      <c r="D3889" t="s">
        <v>87</v>
      </c>
      <c r="E3889" t="s">
        <v>767</v>
      </c>
      <c r="F3889" t="s">
        <v>768</v>
      </c>
      <c r="G3889" t="s">
        <v>52</v>
      </c>
      <c r="H3889">
        <v>267</v>
      </c>
      <c r="I3889">
        <v>0.40300000000000002</v>
      </c>
      <c r="J3889">
        <v>0.68799999999999994</v>
      </c>
      <c r="K3889">
        <v>0.28499999999999998</v>
      </c>
      <c r="L3889">
        <v>200</v>
      </c>
      <c r="M3889">
        <v>36</v>
      </c>
      <c r="N3889">
        <v>31</v>
      </c>
      <c r="O3889">
        <v>0.70799999999999996</v>
      </c>
      <c r="P3889">
        <v>0.282874758</v>
      </c>
      <c r="Q3889">
        <v>0.24199999999999999</v>
      </c>
    </row>
    <row r="3890" spans="1:17" x14ac:dyDescent="0.2">
      <c r="A3890" s="30" t="str">
        <f>IF(C3890&amp;G3890&amp;D3890&lt;&gt;'Funnel setup'!$K$3&amp;'Funnel setup'!$K$4&amp;'Funnel setup'!$K$5,".",IF(A3889=".",1,A3889+1))</f>
        <v>.</v>
      </c>
      <c r="B3890" s="431" t="str">
        <f t="shared" si="60"/>
        <v>Knee Replacement PrimaryCCG of GP PracticeNHS DORSET CCG (11J)EQ-5D Index</v>
      </c>
      <c r="C3890" t="s">
        <v>249</v>
      </c>
      <c r="D3890" t="s">
        <v>87</v>
      </c>
      <c r="E3890" t="s">
        <v>854</v>
      </c>
      <c r="F3890" t="s">
        <v>855</v>
      </c>
      <c r="G3890" t="s">
        <v>52</v>
      </c>
      <c r="H3890">
        <v>643</v>
      </c>
      <c r="I3890">
        <v>0.46400000000000002</v>
      </c>
      <c r="J3890">
        <v>0.755</v>
      </c>
      <c r="K3890">
        <v>0.29099999999999998</v>
      </c>
      <c r="L3890">
        <v>520</v>
      </c>
      <c r="M3890">
        <v>63</v>
      </c>
      <c r="N3890">
        <v>60</v>
      </c>
      <c r="O3890">
        <v>0.73899999999999999</v>
      </c>
      <c r="P3890">
        <v>0.31375267099999998</v>
      </c>
      <c r="Q3890">
        <v>0.218</v>
      </c>
    </row>
    <row r="3891" spans="1:17" x14ac:dyDescent="0.2">
      <c r="A3891" s="30" t="str">
        <f>IF(C3891&amp;G3891&amp;D3891&lt;&gt;'Funnel setup'!$K$3&amp;'Funnel setup'!$K$4&amp;'Funnel setup'!$K$5,".",IF(A3890=".",1,A3890+1))</f>
        <v>.</v>
      </c>
      <c r="B3891" s="431" t="str">
        <f t="shared" si="60"/>
        <v>Knee Replacement PrimaryCCG of GP PracticeNHS DUDLEY CCG (05C)EQ-5D Index</v>
      </c>
      <c r="C3891" t="s">
        <v>249</v>
      </c>
      <c r="D3891" t="s">
        <v>87</v>
      </c>
      <c r="E3891" t="s">
        <v>857</v>
      </c>
      <c r="F3891" t="s">
        <v>858</v>
      </c>
      <c r="G3891" t="s">
        <v>52</v>
      </c>
      <c r="H3891">
        <v>308</v>
      </c>
      <c r="I3891">
        <v>0.377</v>
      </c>
      <c r="J3891">
        <v>0.73699999999999999</v>
      </c>
      <c r="K3891">
        <v>0.36</v>
      </c>
      <c r="L3891">
        <v>261</v>
      </c>
      <c r="M3891">
        <v>24</v>
      </c>
      <c r="N3891">
        <v>23</v>
      </c>
      <c r="O3891">
        <v>0.75800000000000001</v>
      </c>
      <c r="P3891">
        <v>0.33275659099999999</v>
      </c>
      <c r="Q3891">
        <v>0.22700000000000001</v>
      </c>
    </row>
    <row r="3892" spans="1:17" x14ac:dyDescent="0.2">
      <c r="A3892" s="30" t="str">
        <f>IF(C3892&amp;G3892&amp;D3892&lt;&gt;'Funnel setup'!$K$3&amp;'Funnel setup'!$K$4&amp;'Funnel setup'!$K$5,".",IF(A3891=".",1,A3891+1))</f>
        <v>.</v>
      </c>
      <c r="B3892" s="431" t="str">
        <f t="shared" si="60"/>
        <v>Knee Replacement PrimaryCCG of GP PracticeNHS DURHAM DALES, EASINGTON AND SEDGEFIELD CCG (00D)EQ-5D Index</v>
      </c>
      <c r="C3892" t="s">
        <v>249</v>
      </c>
      <c r="D3892" t="s">
        <v>87</v>
      </c>
      <c r="E3892" t="s">
        <v>860</v>
      </c>
      <c r="F3892" t="s">
        <v>861</v>
      </c>
      <c r="G3892" t="s">
        <v>52</v>
      </c>
      <c r="H3892">
        <v>270</v>
      </c>
      <c r="I3892">
        <v>0.38900000000000001</v>
      </c>
      <c r="J3892">
        <v>0.70399999999999996</v>
      </c>
      <c r="K3892">
        <v>0.316</v>
      </c>
      <c r="L3892">
        <v>219</v>
      </c>
      <c r="M3892">
        <v>28</v>
      </c>
      <c r="N3892">
        <v>23</v>
      </c>
      <c r="O3892">
        <v>0.746</v>
      </c>
      <c r="P3892">
        <v>0.32127587400000002</v>
      </c>
      <c r="Q3892">
        <v>0.23699999999999999</v>
      </c>
    </row>
    <row r="3893" spans="1:17" x14ac:dyDescent="0.2">
      <c r="A3893" s="30" t="str">
        <f>IF(C3893&amp;G3893&amp;D3893&lt;&gt;'Funnel setup'!$K$3&amp;'Funnel setup'!$K$4&amp;'Funnel setup'!$K$5,".",IF(A3892=".",1,A3892+1))</f>
        <v>.</v>
      </c>
      <c r="B3893" s="431" t="str">
        <f t="shared" si="60"/>
        <v>Knee Replacement PrimaryCCG of GP PracticeNHS EALING CCG (07W)EQ-5D Index</v>
      </c>
      <c r="C3893" t="s">
        <v>249</v>
      </c>
      <c r="D3893" t="s">
        <v>87</v>
      </c>
      <c r="E3893" t="s">
        <v>863</v>
      </c>
      <c r="F3893" t="s">
        <v>864</v>
      </c>
      <c r="G3893" t="s">
        <v>52</v>
      </c>
      <c r="H3893">
        <v>82</v>
      </c>
      <c r="I3893">
        <v>0.32200000000000001</v>
      </c>
      <c r="J3893">
        <v>0.66100000000000003</v>
      </c>
      <c r="K3893">
        <v>0.33900000000000002</v>
      </c>
      <c r="L3893">
        <v>70</v>
      </c>
      <c r="M3893">
        <v>3</v>
      </c>
      <c r="N3893">
        <v>9</v>
      </c>
      <c r="O3893">
        <v>0.71</v>
      </c>
      <c r="P3893">
        <v>0.28462526500000002</v>
      </c>
      <c r="Q3893">
        <v>0.23899999999999999</v>
      </c>
    </row>
    <row r="3894" spans="1:17" x14ac:dyDescent="0.2">
      <c r="A3894" s="30" t="str">
        <f>IF(C3894&amp;G3894&amp;D3894&lt;&gt;'Funnel setup'!$K$3&amp;'Funnel setup'!$K$4&amp;'Funnel setup'!$K$5,".",IF(A3893=".",1,A3893+1))</f>
        <v>.</v>
      </c>
      <c r="B3894" s="431" t="str">
        <f t="shared" si="60"/>
        <v>Knee Replacement PrimaryCCG of GP PracticeNHS EAST AND NORTH HERTFORDSHIRE CCG (06K)EQ-5D Index</v>
      </c>
      <c r="C3894" t="s">
        <v>249</v>
      </c>
      <c r="D3894" t="s">
        <v>87</v>
      </c>
      <c r="E3894" t="s">
        <v>866</v>
      </c>
      <c r="F3894" t="s">
        <v>867</v>
      </c>
      <c r="G3894" t="s">
        <v>52</v>
      </c>
      <c r="H3894">
        <v>316</v>
      </c>
      <c r="I3894">
        <v>0.39300000000000002</v>
      </c>
      <c r="J3894">
        <v>0.74</v>
      </c>
      <c r="K3894">
        <v>0.34699999999999998</v>
      </c>
      <c r="L3894">
        <v>261</v>
      </c>
      <c r="M3894">
        <v>28</v>
      </c>
      <c r="N3894">
        <v>27</v>
      </c>
      <c r="O3894">
        <v>0.73199999999999998</v>
      </c>
      <c r="P3894">
        <v>0.30682962200000002</v>
      </c>
      <c r="Q3894">
        <v>0.24199999999999999</v>
      </c>
    </row>
    <row r="3895" spans="1:17" x14ac:dyDescent="0.2">
      <c r="A3895" s="30" t="str">
        <f>IF(C3895&amp;G3895&amp;D3895&lt;&gt;'Funnel setup'!$K$3&amp;'Funnel setup'!$K$4&amp;'Funnel setup'!$K$5,".",IF(A3894=".",1,A3894+1))</f>
        <v>.</v>
      </c>
      <c r="B3895" s="431" t="str">
        <f t="shared" si="60"/>
        <v>Knee Replacement PrimaryCCG of GP PracticeNHS EAST LANCASHIRE CCG (01A)EQ-5D Index</v>
      </c>
      <c r="C3895" t="s">
        <v>249</v>
      </c>
      <c r="D3895" t="s">
        <v>87</v>
      </c>
      <c r="E3895" t="s">
        <v>869</v>
      </c>
      <c r="F3895" t="s">
        <v>870</v>
      </c>
      <c r="G3895" t="s">
        <v>52</v>
      </c>
      <c r="H3895">
        <v>187</v>
      </c>
      <c r="I3895">
        <v>0.36199999999999999</v>
      </c>
      <c r="J3895">
        <v>0.76500000000000001</v>
      </c>
      <c r="K3895">
        <v>0.40200000000000002</v>
      </c>
      <c r="L3895">
        <v>164</v>
      </c>
      <c r="M3895">
        <v>14</v>
      </c>
      <c r="N3895">
        <v>9</v>
      </c>
      <c r="O3895">
        <v>0.78900000000000003</v>
      </c>
      <c r="P3895">
        <v>0.36392495699999999</v>
      </c>
      <c r="Q3895">
        <v>0.215</v>
      </c>
    </row>
    <row r="3896" spans="1:17" x14ac:dyDescent="0.2">
      <c r="A3896" s="30" t="str">
        <f>IF(C3896&amp;G3896&amp;D3896&lt;&gt;'Funnel setup'!$K$3&amp;'Funnel setup'!$K$4&amp;'Funnel setup'!$K$5,".",IF(A3895=".",1,A3895+1))</f>
        <v>.</v>
      </c>
      <c r="B3896" s="431" t="str">
        <f t="shared" si="60"/>
        <v>Knee Replacement PrimaryCCG of GP PracticeNHS EAST LEICESTERSHIRE AND RUTLAND CCG (03W)EQ-5D Index</v>
      </c>
      <c r="C3896" t="s">
        <v>249</v>
      </c>
      <c r="D3896" t="s">
        <v>87</v>
      </c>
      <c r="E3896" t="s">
        <v>872</v>
      </c>
      <c r="F3896" t="s">
        <v>873</v>
      </c>
      <c r="G3896" t="s">
        <v>52</v>
      </c>
      <c r="H3896">
        <v>339</v>
      </c>
      <c r="I3896">
        <v>0.41199999999999998</v>
      </c>
      <c r="J3896">
        <v>0.75900000000000001</v>
      </c>
      <c r="K3896">
        <v>0.34599999999999997</v>
      </c>
      <c r="L3896">
        <v>289</v>
      </c>
      <c r="M3896">
        <v>30</v>
      </c>
      <c r="N3896">
        <v>20</v>
      </c>
      <c r="O3896">
        <v>0.752</v>
      </c>
      <c r="P3896">
        <v>0.327480508</v>
      </c>
      <c r="Q3896">
        <v>0.183</v>
      </c>
    </row>
    <row r="3897" spans="1:17" x14ac:dyDescent="0.2">
      <c r="A3897" s="30" t="str">
        <f>IF(C3897&amp;G3897&amp;D3897&lt;&gt;'Funnel setup'!$K$3&amp;'Funnel setup'!$K$4&amp;'Funnel setup'!$K$5,".",IF(A3896=".",1,A3896+1))</f>
        <v>.</v>
      </c>
      <c r="B3897" s="431" t="str">
        <f t="shared" si="60"/>
        <v>Knee Replacement PrimaryCCG of GP PracticeNHS EAST RIDING OF YORKSHIRE CCG (02Y)EQ-5D Index</v>
      </c>
      <c r="C3897" t="s">
        <v>249</v>
      </c>
      <c r="D3897" t="s">
        <v>87</v>
      </c>
      <c r="E3897" t="s">
        <v>875</v>
      </c>
      <c r="F3897" t="s">
        <v>876</v>
      </c>
      <c r="G3897" t="s">
        <v>52</v>
      </c>
      <c r="H3897">
        <v>360</v>
      </c>
      <c r="I3897">
        <v>0.47199999999999998</v>
      </c>
      <c r="J3897">
        <v>0.76800000000000002</v>
      </c>
      <c r="K3897">
        <v>0.29599999999999999</v>
      </c>
      <c r="L3897">
        <v>289</v>
      </c>
      <c r="M3897">
        <v>37</v>
      </c>
      <c r="N3897">
        <v>34</v>
      </c>
      <c r="O3897">
        <v>0.747</v>
      </c>
      <c r="P3897">
        <v>0.32196545900000001</v>
      </c>
      <c r="Q3897">
        <v>0.21199999999999999</v>
      </c>
    </row>
    <row r="3898" spans="1:17" x14ac:dyDescent="0.2">
      <c r="A3898" s="30" t="str">
        <f>IF(C3898&amp;G3898&amp;D3898&lt;&gt;'Funnel setup'!$K$3&amp;'Funnel setup'!$K$4&amp;'Funnel setup'!$K$5,".",IF(A3897=".",1,A3897+1))</f>
        <v>.</v>
      </c>
      <c r="B3898" s="431" t="str">
        <f t="shared" si="60"/>
        <v>Knee Replacement PrimaryCCG of GP PracticeNHS EAST STAFFORDSHIRE CCG (05D)EQ-5D Index</v>
      </c>
      <c r="C3898" t="s">
        <v>249</v>
      </c>
      <c r="D3898" t="s">
        <v>87</v>
      </c>
      <c r="E3898" t="s">
        <v>878</v>
      </c>
      <c r="F3898" t="s">
        <v>879</v>
      </c>
      <c r="G3898" t="s">
        <v>52</v>
      </c>
      <c r="H3898">
        <v>134</v>
      </c>
      <c r="I3898">
        <v>0.47599999999999998</v>
      </c>
      <c r="J3898">
        <v>0.76100000000000001</v>
      </c>
      <c r="K3898">
        <v>0.28499999999999998</v>
      </c>
      <c r="L3898">
        <v>102</v>
      </c>
      <c r="M3898">
        <v>19</v>
      </c>
      <c r="N3898">
        <v>13</v>
      </c>
      <c r="O3898">
        <v>0.73499999999999999</v>
      </c>
      <c r="P3898">
        <v>0.30993533099999998</v>
      </c>
      <c r="Q3898">
        <v>0.221</v>
      </c>
    </row>
    <row r="3899" spans="1:17" x14ac:dyDescent="0.2">
      <c r="A3899" s="30" t="str">
        <f>IF(C3899&amp;G3899&amp;D3899&lt;&gt;'Funnel setup'!$K$3&amp;'Funnel setup'!$K$4&amp;'Funnel setup'!$K$5,".",IF(A3898=".",1,A3898+1))</f>
        <v>.</v>
      </c>
      <c r="B3899" s="431" t="str">
        <f t="shared" si="60"/>
        <v>Knee Replacement PrimaryCCG of GP PracticeNHS EAST SURREY CCG (09L)EQ-5D Index</v>
      </c>
      <c r="C3899" t="s">
        <v>249</v>
      </c>
      <c r="D3899" t="s">
        <v>87</v>
      </c>
      <c r="E3899" t="s">
        <v>881</v>
      </c>
      <c r="F3899" t="s">
        <v>882</v>
      </c>
      <c r="G3899" t="s">
        <v>52</v>
      </c>
      <c r="H3899">
        <v>119</v>
      </c>
      <c r="I3899">
        <v>0.45600000000000002</v>
      </c>
      <c r="J3899">
        <v>0.72299999999999998</v>
      </c>
      <c r="K3899">
        <v>0.26700000000000002</v>
      </c>
      <c r="L3899">
        <v>90</v>
      </c>
      <c r="M3899">
        <v>18</v>
      </c>
      <c r="N3899">
        <v>11</v>
      </c>
      <c r="O3899">
        <v>0.70599999999999996</v>
      </c>
      <c r="P3899">
        <v>0.28074576899999998</v>
      </c>
      <c r="Q3899">
        <v>0.22</v>
      </c>
    </row>
    <row r="3900" spans="1:17" x14ac:dyDescent="0.2">
      <c r="A3900" s="30" t="str">
        <f>IF(C3900&amp;G3900&amp;D3900&lt;&gt;'Funnel setup'!$K$3&amp;'Funnel setup'!$K$4&amp;'Funnel setup'!$K$5,".",IF(A3899=".",1,A3899+1))</f>
        <v>.</v>
      </c>
      <c r="B3900" s="431" t="str">
        <f t="shared" si="60"/>
        <v>Knee Replacement PrimaryCCG of GP PracticeNHS EASTBOURNE, HAILSHAM AND SEAFORD CCG (09F)EQ-5D Index</v>
      </c>
      <c r="C3900" t="s">
        <v>249</v>
      </c>
      <c r="D3900" t="s">
        <v>87</v>
      </c>
      <c r="E3900" t="s">
        <v>884</v>
      </c>
      <c r="F3900" t="s">
        <v>885</v>
      </c>
      <c r="G3900" t="s">
        <v>52</v>
      </c>
      <c r="H3900">
        <v>308</v>
      </c>
      <c r="I3900">
        <v>0.48799999999999999</v>
      </c>
      <c r="J3900">
        <v>0.78100000000000003</v>
      </c>
      <c r="K3900">
        <v>0.29299999999999998</v>
      </c>
      <c r="L3900">
        <v>254</v>
      </c>
      <c r="M3900">
        <v>26</v>
      </c>
      <c r="N3900">
        <v>28</v>
      </c>
      <c r="O3900">
        <v>0.75800000000000001</v>
      </c>
      <c r="P3900">
        <v>0.33340451300000001</v>
      </c>
      <c r="Q3900">
        <v>0.19700000000000001</v>
      </c>
    </row>
    <row r="3901" spans="1:17" x14ac:dyDescent="0.2">
      <c r="A3901" s="30" t="str">
        <f>IF(C3901&amp;G3901&amp;D3901&lt;&gt;'Funnel setup'!$K$3&amp;'Funnel setup'!$K$4&amp;'Funnel setup'!$K$5,".",IF(A3900=".",1,A3900+1))</f>
        <v>.</v>
      </c>
      <c r="B3901" s="431" t="str">
        <f t="shared" si="60"/>
        <v>Knee Replacement PrimaryCCG of GP PracticeNHS EASTERN CHESHIRE CCG (01C)EQ-5D Index</v>
      </c>
      <c r="C3901" t="s">
        <v>249</v>
      </c>
      <c r="D3901" t="s">
        <v>87</v>
      </c>
      <c r="E3901" t="s">
        <v>887</v>
      </c>
      <c r="F3901" t="s">
        <v>888</v>
      </c>
      <c r="G3901" t="s">
        <v>52</v>
      </c>
      <c r="H3901">
        <v>122</v>
      </c>
      <c r="I3901">
        <v>0.44700000000000001</v>
      </c>
      <c r="J3901">
        <v>0.77</v>
      </c>
      <c r="K3901">
        <v>0.32300000000000001</v>
      </c>
      <c r="L3901">
        <v>100</v>
      </c>
      <c r="M3901">
        <v>13</v>
      </c>
      <c r="N3901">
        <v>9</v>
      </c>
      <c r="O3901">
        <v>0.73</v>
      </c>
      <c r="P3901">
        <v>0.305090525</v>
      </c>
      <c r="Q3901">
        <v>0.20300000000000001</v>
      </c>
    </row>
    <row r="3902" spans="1:17" x14ac:dyDescent="0.2">
      <c r="A3902" s="30" t="str">
        <f>IF(C3902&amp;G3902&amp;D3902&lt;&gt;'Funnel setup'!$K$3&amp;'Funnel setup'!$K$4&amp;'Funnel setup'!$K$5,".",IF(A3901=".",1,A3901+1))</f>
        <v>.</v>
      </c>
      <c r="B3902" s="431" t="str">
        <f t="shared" si="60"/>
        <v>Knee Replacement PrimaryCCG of GP PracticeNHS ENFIELD CCG (07X)EQ-5D Index</v>
      </c>
      <c r="C3902" t="s">
        <v>249</v>
      </c>
      <c r="D3902" t="s">
        <v>87</v>
      </c>
      <c r="E3902" t="s">
        <v>890</v>
      </c>
      <c r="F3902" t="s">
        <v>891</v>
      </c>
      <c r="G3902" t="s">
        <v>52</v>
      </c>
      <c r="H3902">
        <v>103</v>
      </c>
      <c r="I3902">
        <v>0.35799999999999998</v>
      </c>
      <c r="J3902">
        <v>0.69199999999999995</v>
      </c>
      <c r="K3902">
        <v>0.33400000000000002</v>
      </c>
      <c r="L3902">
        <v>87</v>
      </c>
      <c r="M3902">
        <v>11</v>
      </c>
      <c r="N3902">
        <v>5</v>
      </c>
      <c r="O3902">
        <v>0.72</v>
      </c>
      <c r="P3902">
        <v>0.295326321</v>
      </c>
      <c r="Q3902">
        <v>0.23100000000000001</v>
      </c>
    </row>
    <row r="3903" spans="1:17" x14ac:dyDescent="0.2">
      <c r="A3903" s="30" t="str">
        <f>IF(C3903&amp;G3903&amp;D3903&lt;&gt;'Funnel setup'!$K$3&amp;'Funnel setup'!$K$4&amp;'Funnel setup'!$K$5,".",IF(A3902=".",1,A3902+1))</f>
        <v>.</v>
      </c>
      <c r="B3903" s="431" t="str">
        <f t="shared" si="60"/>
        <v>Knee Replacement PrimaryCCG of GP PracticeNHS EREWASH CCG (03X)EQ-5D Index</v>
      </c>
      <c r="C3903" t="s">
        <v>249</v>
      </c>
      <c r="D3903" t="s">
        <v>87</v>
      </c>
      <c r="E3903" t="s">
        <v>893</v>
      </c>
      <c r="F3903" t="s">
        <v>894</v>
      </c>
      <c r="G3903" t="s">
        <v>52</v>
      </c>
      <c r="H3903">
        <v>123</v>
      </c>
      <c r="I3903">
        <v>0.47</v>
      </c>
      <c r="J3903">
        <v>0.77500000000000002</v>
      </c>
      <c r="K3903">
        <v>0.30599999999999999</v>
      </c>
      <c r="L3903">
        <v>103</v>
      </c>
      <c r="M3903">
        <v>9</v>
      </c>
      <c r="N3903">
        <v>11</v>
      </c>
      <c r="O3903">
        <v>0.752</v>
      </c>
      <c r="P3903">
        <v>0.32698781999999998</v>
      </c>
      <c r="Q3903">
        <v>0.23</v>
      </c>
    </row>
    <row r="3904" spans="1:17" x14ac:dyDescent="0.2">
      <c r="A3904" s="30" t="str">
        <f>IF(C3904&amp;G3904&amp;D3904&lt;&gt;'Funnel setup'!$K$3&amp;'Funnel setup'!$K$4&amp;'Funnel setup'!$K$5,".",IF(A3903=".",1,A3903+1))</f>
        <v>.</v>
      </c>
      <c r="B3904" s="431" t="str">
        <f t="shared" si="60"/>
        <v>Knee Replacement PrimaryCCG of GP PracticeNHS FAREHAM AND GOSPORT CCG (10K)EQ-5D Index</v>
      </c>
      <c r="C3904" t="s">
        <v>249</v>
      </c>
      <c r="D3904" t="s">
        <v>87</v>
      </c>
      <c r="E3904" t="s">
        <v>896</v>
      </c>
      <c r="F3904" t="s">
        <v>897</v>
      </c>
      <c r="G3904" t="s">
        <v>52</v>
      </c>
      <c r="H3904">
        <v>96</v>
      </c>
      <c r="I3904">
        <v>0.439</v>
      </c>
      <c r="J3904">
        <v>0.76600000000000001</v>
      </c>
      <c r="K3904">
        <v>0.32700000000000001</v>
      </c>
      <c r="L3904">
        <v>82</v>
      </c>
      <c r="M3904">
        <v>8</v>
      </c>
      <c r="N3904">
        <v>6</v>
      </c>
      <c r="O3904">
        <v>0.74099999999999999</v>
      </c>
      <c r="P3904">
        <v>0.31582635999999997</v>
      </c>
      <c r="Q3904">
        <v>0.20699999999999999</v>
      </c>
    </row>
    <row r="3905" spans="1:17" x14ac:dyDescent="0.2">
      <c r="A3905" s="30" t="str">
        <f>IF(C3905&amp;G3905&amp;D3905&lt;&gt;'Funnel setup'!$K$3&amp;'Funnel setup'!$K$4&amp;'Funnel setup'!$K$5,".",IF(A3904=".",1,A3904+1))</f>
        <v>.</v>
      </c>
      <c r="B3905" s="431" t="str">
        <f t="shared" si="60"/>
        <v>Knee Replacement PrimaryCCG of GP PracticeNHS FYLDE &amp; WYRE CCG (02M)EQ-5D Index</v>
      </c>
      <c r="C3905" t="s">
        <v>249</v>
      </c>
      <c r="D3905" t="s">
        <v>87</v>
      </c>
      <c r="E3905" t="s">
        <v>899</v>
      </c>
      <c r="F3905" t="s">
        <v>900</v>
      </c>
      <c r="G3905" t="s">
        <v>52</v>
      </c>
      <c r="H3905">
        <v>74</v>
      </c>
      <c r="I3905">
        <v>0.45600000000000002</v>
      </c>
      <c r="J3905">
        <v>0.72399999999999998</v>
      </c>
      <c r="K3905">
        <v>0.26800000000000002</v>
      </c>
      <c r="L3905">
        <v>59</v>
      </c>
      <c r="M3905">
        <v>4</v>
      </c>
      <c r="N3905">
        <v>11</v>
      </c>
      <c r="O3905">
        <v>0.71499999999999997</v>
      </c>
      <c r="P3905">
        <v>0.28975904400000002</v>
      </c>
      <c r="Q3905">
        <v>0.25600000000000001</v>
      </c>
    </row>
    <row r="3906" spans="1:17" x14ac:dyDescent="0.2">
      <c r="A3906" s="30" t="str">
        <f>IF(C3906&amp;G3906&amp;D3906&lt;&gt;'Funnel setup'!$K$3&amp;'Funnel setup'!$K$4&amp;'Funnel setup'!$K$5,".",IF(A3905=".",1,A3905+1))</f>
        <v>.</v>
      </c>
      <c r="B3906" s="431" t="str">
        <f t="shared" si="60"/>
        <v>Knee Replacement PrimaryCCG of GP PracticeNHS GLOUCESTERSHIRE CCG (11M)EQ-5D Index</v>
      </c>
      <c r="C3906" t="s">
        <v>249</v>
      </c>
      <c r="D3906" t="s">
        <v>87</v>
      </c>
      <c r="E3906" t="s">
        <v>902</v>
      </c>
      <c r="F3906" t="s">
        <v>903</v>
      </c>
      <c r="G3906" t="s">
        <v>52</v>
      </c>
      <c r="H3906">
        <v>402</v>
      </c>
      <c r="I3906">
        <v>0.48599999999999999</v>
      </c>
      <c r="J3906">
        <v>0.79600000000000004</v>
      </c>
      <c r="K3906">
        <v>0.31</v>
      </c>
      <c r="L3906">
        <v>333</v>
      </c>
      <c r="M3906">
        <v>37</v>
      </c>
      <c r="N3906">
        <v>32</v>
      </c>
      <c r="O3906">
        <v>0.76</v>
      </c>
      <c r="P3906">
        <v>0.33527522799999998</v>
      </c>
      <c r="Q3906">
        <v>0.19600000000000001</v>
      </c>
    </row>
    <row r="3907" spans="1:17" x14ac:dyDescent="0.2">
      <c r="A3907" s="30" t="str">
        <f>IF(C3907&amp;G3907&amp;D3907&lt;&gt;'Funnel setup'!$K$3&amp;'Funnel setup'!$K$4&amp;'Funnel setup'!$K$5,".",IF(A3906=".",1,A3906+1))</f>
        <v>.</v>
      </c>
      <c r="B3907" s="431" t="str">
        <f t="shared" ref="B3907:B3970" si="61">C3907&amp;D3907&amp;F3907&amp;G3907</f>
        <v>Knee Replacement PrimaryCCG of GP PracticeNHS GREAT YARMOUTH AND WAVENEY CCG (06M)EQ-5D Index</v>
      </c>
      <c r="C3907" t="s">
        <v>249</v>
      </c>
      <c r="D3907" t="s">
        <v>87</v>
      </c>
      <c r="E3907" t="s">
        <v>905</v>
      </c>
      <c r="F3907" t="s">
        <v>906</v>
      </c>
      <c r="G3907" t="s">
        <v>52</v>
      </c>
      <c r="H3907">
        <v>197</v>
      </c>
      <c r="I3907">
        <v>0.42499999999999999</v>
      </c>
      <c r="J3907">
        <v>0.748</v>
      </c>
      <c r="K3907">
        <v>0.32300000000000001</v>
      </c>
      <c r="L3907">
        <v>163</v>
      </c>
      <c r="M3907">
        <v>21</v>
      </c>
      <c r="N3907">
        <v>13</v>
      </c>
      <c r="O3907">
        <v>0.753</v>
      </c>
      <c r="P3907">
        <v>0.32836030799999999</v>
      </c>
      <c r="Q3907">
        <v>0.23200000000000001</v>
      </c>
    </row>
    <row r="3908" spans="1:17" x14ac:dyDescent="0.2">
      <c r="A3908" s="30" t="str">
        <f>IF(C3908&amp;G3908&amp;D3908&lt;&gt;'Funnel setup'!$K$3&amp;'Funnel setup'!$K$4&amp;'Funnel setup'!$K$5,".",IF(A3907=".",1,A3907+1))</f>
        <v>.</v>
      </c>
      <c r="B3908" s="431" t="str">
        <f t="shared" si="61"/>
        <v>Knee Replacement PrimaryCCG of GP PracticeNHS GREATER HUDDERSFIELD CCG (03A)EQ-5D Index</v>
      </c>
      <c r="C3908" t="s">
        <v>249</v>
      </c>
      <c r="D3908" t="s">
        <v>87</v>
      </c>
      <c r="E3908" t="s">
        <v>908</v>
      </c>
      <c r="F3908" t="s">
        <v>909</v>
      </c>
      <c r="G3908" t="s">
        <v>52</v>
      </c>
      <c r="H3908">
        <v>175</v>
      </c>
      <c r="I3908">
        <v>0.45700000000000002</v>
      </c>
      <c r="J3908">
        <v>0.73699999999999999</v>
      </c>
      <c r="K3908">
        <v>0.28000000000000003</v>
      </c>
      <c r="L3908">
        <v>142</v>
      </c>
      <c r="M3908">
        <v>22</v>
      </c>
      <c r="N3908">
        <v>11</v>
      </c>
      <c r="O3908">
        <v>0.73399999999999999</v>
      </c>
      <c r="P3908">
        <v>0.30932095300000001</v>
      </c>
      <c r="Q3908">
        <v>0.224</v>
      </c>
    </row>
    <row r="3909" spans="1:17" x14ac:dyDescent="0.2">
      <c r="A3909" s="30" t="str">
        <f>IF(C3909&amp;G3909&amp;D3909&lt;&gt;'Funnel setup'!$K$3&amp;'Funnel setup'!$K$4&amp;'Funnel setup'!$K$5,".",IF(A3908=".",1,A3908+1))</f>
        <v>.</v>
      </c>
      <c r="B3909" s="431" t="str">
        <f t="shared" si="61"/>
        <v>Knee Replacement PrimaryCCG of GP PracticeNHS GREATER PRESTON CCG (01E)EQ-5D Index</v>
      </c>
      <c r="C3909" t="s">
        <v>249</v>
      </c>
      <c r="D3909" t="s">
        <v>87</v>
      </c>
      <c r="E3909" t="s">
        <v>486</v>
      </c>
      <c r="F3909" t="s">
        <v>487</v>
      </c>
      <c r="G3909" t="s">
        <v>52</v>
      </c>
      <c r="H3909">
        <v>236</v>
      </c>
      <c r="I3909">
        <v>0.44900000000000001</v>
      </c>
      <c r="J3909">
        <v>0.77200000000000002</v>
      </c>
      <c r="K3909">
        <v>0.32300000000000001</v>
      </c>
      <c r="L3909">
        <v>202</v>
      </c>
      <c r="M3909">
        <v>17</v>
      </c>
      <c r="N3909">
        <v>17</v>
      </c>
      <c r="O3909">
        <v>0.76200000000000001</v>
      </c>
      <c r="P3909">
        <v>0.33662741499999999</v>
      </c>
      <c r="Q3909">
        <v>0.186</v>
      </c>
    </row>
    <row r="3910" spans="1:17" x14ac:dyDescent="0.2">
      <c r="A3910" s="30" t="str">
        <f>IF(C3910&amp;G3910&amp;D3910&lt;&gt;'Funnel setup'!$K$3&amp;'Funnel setup'!$K$4&amp;'Funnel setup'!$K$5,".",IF(A3909=".",1,A3909+1))</f>
        <v>.</v>
      </c>
      <c r="B3910" s="431" t="str">
        <f t="shared" si="61"/>
        <v>Knee Replacement PrimaryCCG of GP PracticeNHS GREENWICH CCG (08A)EQ-5D Index</v>
      </c>
      <c r="C3910" t="s">
        <v>249</v>
      </c>
      <c r="D3910" t="s">
        <v>87</v>
      </c>
      <c r="E3910" t="s">
        <v>489</v>
      </c>
      <c r="F3910" t="s">
        <v>490</v>
      </c>
      <c r="G3910" t="s">
        <v>52</v>
      </c>
      <c r="H3910">
        <v>67</v>
      </c>
      <c r="I3910">
        <v>0.377</v>
      </c>
      <c r="J3910">
        <v>0.70799999999999996</v>
      </c>
      <c r="K3910">
        <v>0.33100000000000002</v>
      </c>
      <c r="L3910">
        <v>58</v>
      </c>
      <c r="M3910">
        <v>2</v>
      </c>
      <c r="N3910">
        <v>7</v>
      </c>
      <c r="O3910">
        <v>0.73099999999999998</v>
      </c>
      <c r="P3910">
        <v>0.30618474600000001</v>
      </c>
      <c r="Q3910">
        <v>0.26200000000000001</v>
      </c>
    </row>
    <row r="3911" spans="1:17" x14ac:dyDescent="0.2">
      <c r="A3911" s="30" t="str">
        <f>IF(C3911&amp;G3911&amp;D3911&lt;&gt;'Funnel setup'!$K$3&amp;'Funnel setup'!$K$4&amp;'Funnel setup'!$K$5,".",IF(A3910=".",1,A3910+1))</f>
        <v>.</v>
      </c>
      <c r="B3911" s="431" t="str">
        <f t="shared" si="61"/>
        <v>Knee Replacement PrimaryCCG of GP PracticeNHS GUILDFORD AND WAVERLEY CCG (09N)EQ-5D Index</v>
      </c>
      <c r="C3911" t="s">
        <v>249</v>
      </c>
      <c r="D3911" t="s">
        <v>87</v>
      </c>
      <c r="E3911" t="s">
        <v>911</v>
      </c>
      <c r="F3911" t="s">
        <v>912</v>
      </c>
      <c r="G3911" t="s">
        <v>52</v>
      </c>
      <c r="H3911">
        <v>89</v>
      </c>
      <c r="I3911">
        <v>0.45200000000000001</v>
      </c>
      <c r="J3911">
        <v>0.79500000000000004</v>
      </c>
      <c r="K3911">
        <v>0.34300000000000003</v>
      </c>
      <c r="L3911">
        <v>77</v>
      </c>
      <c r="M3911">
        <v>5</v>
      </c>
      <c r="N3911">
        <v>7</v>
      </c>
      <c r="O3911">
        <v>0.76300000000000001</v>
      </c>
      <c r="P3911">
        <v>0.33848451699999998</v>
      </c>
      <c r="Q3911">
        <v>0.19900000000000001</v>
      </c>
    </row>
    <row r="3912" spans="1:17" x14ac:dyDescent="0.2">
      <c r="A3912" s="30" t="str">
        <f>IF(C3912&amp;G3912&amp;D3912&lt;&gt;'Funnel setup'!$K$3&amp;'Funnel setup'!$K$4&amp;'Funnel setup'!$K$5,".",IF(A3911=".",1,A3911+1))</f>
        <v>.</v>
      </c>
      <c r="B3912" s="431" t="str">
        <f t="shared" si="61"/>
        <v>Knee Replacement PrimaryCCG of GP PracticeNHS HALTON CCG (01F)EQ-5D Index</v>
      </c>
      <c r="C3912" t="s">
        <v>249</v>
      </c>
      <c r="D3912" t="s">
        <v>87</v>
      </c>
      <c r="E3912" t="s">
        <v>914</v>
      </c>
      <c r="F3912" t="s">
        <v>915</v>
      </c>
      <c r="G3912" t="s">
        <v>52</v>
      </c>
      <c r="H3912">
        <v>82</v>
      </c>
      <c r="I3912">
        <v>0.38400000000000001</v>
      </c>
      <c r="J3912">
        <v>0.71499999999999997</v>
      </c>
      <c r="K3912">
        <v>0.33100000000000002</v>
      </c>
      <c r="L3912">
        <v>66</v>
      </c>
      <c r="M3912">
        <v>11</v>
      </c>
      <c r="N3912">
        <v>5</v>
      </c>
      <c r="O3912">
        <v>0.753</v>
      </c>
      <c r="P3912">
        <v>0.32834179400000002</v>
      </c>
      <c r="Q3912">
        <v>0.17799999999999999</v>
      </c>
    </row>
    <row r="3913" spans="1:17" x14ac:dyDescent="0.2">
      <c r="A3913" s="30" t="str">
        <f>IF(C3913&amp;G3913&amp;D3913&lt;&gt;'Funnel setup'!$K$3&amp;'Funnel setup'!$K$4&amp;'Funnel setup'!$K$5,".",IF(A3912=".",1,A3912+1))</f>
        <v>.</v>
      </c>
      <c r="B3913" s="431" t="str">
        <f t="shared" si="61"/>
        <v>Knee Replacement PrimaryCCG of GP PracticeNHS HAMBLETON, RICHMONDSHIRE AND WHITBY CCG (03D)EQ-5D Index</v>
      </c>
      <c r="C3913" t="s">
        <v>249</v>
      </c>
      <c r="D3913" t="s">
        <v>87</v>
      </c>
      <c r="E3913" t="s">
        <v>917</v>
      </c>
      <c r="F3913" t="s">
        <v>918</v>
      </c>
      <c r="G3913" t="s">
        <v>52</v>
      </c>
      <c r="H3913">
        <v>211</v>
      </c>
      <c r="I3913">
        <v>0.44400000000000001</v>
      </c>
      <c r="J3913">
        <v>0.78900000000000003</v>
      </c>
      <c r="K3913">
        <v>0.34599999999999997</v>
      </c>
      <c r="L3913">
        <v>178</v>
      </c>
      <c r="M3913">
        <v>20</v>
      </c>
      <c r="N3913">
        <v>13</v>
      </c>
      <c r="O3913">
        <v>0.78100000000000003</v>
      </c>
      <c r="P3913">
        <v>0.355910746</v>
      </c>
      <c r="Q3913">
        <v>0.20300000000000001</v>
      </c>
    </row>
    <row r="3914" spans="1:17" x14ac:dyDescent="0.2">
      <c r="A3914" s="30" t="str">
        <f>IF(C3914&amp;G3914&amp;D3914&lt;&gt;'Funnel setup'!$K$3&amp;'Funnel setup'!$K$4&amp;'Funnel setup'!$K$5,".",IF(A3913=".",1,A3913+1))</f>
        <v>.</v>
      </c>
      <c r="B3914" s="431" t="str">
        <f t="shared" si="61"/>
        <v>Knee Replacement PrimaryCCG of GP PracticeNHS HAMMERSMITH AND FULHAM CCG (08C)EQ-5D Index</v>
      </c>
      <c r="C3914" t="s">
        <v>249</v>
      </c>
      <c r="D3914" t="s">
        <v>87</v>
      </c>
      <c r="E3914" t="s">
        <v>920</v>
      </c>
      <c r="F3914" t="s">
        <v>921</v>
      </c>
      <c r="G3914" t="s">
        <v>52</v>
      </c>
      <c r="H3914">
        <v>19</v>
      </c>
      <c r="I3914">
        <v>0.26500000000000001</v>
      </c>
      <c r="J3914">
        <v>0.60399999999999998</v>
      </c>
      <c r="K3914">
        <v>0.33900000000000002</v>
      </c>
      <c r="L3914">
        <v>16</v>
      </c>
      <c r="M3914">
        <v>0</v>
      </c>
      <c r="N3914">
        <v>3</v>
      </c>
      <c r="O3914" t="s">
        <v>53</v>
      </c>
      <c r="P3914" t="s">
        <v>53</v>
      </c>
      <c r="Q3914" t="s">
        <v>53</v>
      </c>
    </row>
    <row r="3915" spans="1:17" x14ac:dyDescent="0.2">
      <c r="A3915" s="30" t="str">
        <f>IF(C3915&amp;G3915&amp;D3915&lt;&gt;'Funnel setup'!$K$3&amp;'Funnel setup'!$K$4&amp;'Funnel setup'!$K$5,".",IF(A3914=".",1,A3914+1))</f>
        <v>.</v>
      </c>
      <c r="B3915" s="431" t="str">
        <f t="shared" si="61"/>
        <v>Knee Replacement PrimaryCCG of GP PracticeNHS HARDWICK CCG (03Y)EQ-5D Index</v>
      </c>
      <c r="C3915" t="s">
        <v>249</v>
      </c>
      <c r="D3915" t="s">
        <v>87</v>
      </c>
      <c r="E3915" t="s">
        <v>923</v>
      </c>
      <c r="F3915" t="s">
        <v>924</v>
      </c>
      <c r="G3915" t="s">
        <v>52</v>
      </c>
      <c r="H3915">
        <v>131</v>
      </c>
      <c r="I3915">
        <v>0.38900000000000001</v>
      </c>
      <c r="J3915">
        <v>0.66600000000000004</v>
      </c>
      <c r="K3915">
        <v>0.27800000000000002</v>
      </c>
      <c r="L3915">
        <v>100</v>
      </c>
      <c r="M3915">
        <v>13</v>
      </c>
      <c r="N3915">
        <v>18</v>
      </c>
      <c r="O3915">
        <v>0.70299999999999996</v>
      </c>
      <c r="P3915">
        <v>0.27816274600000002</v>
      </c>
      <c r="Q3915">
        <v>0.23499999999999999</v>
      </c>
    </row>
    <row r="3916" spans="1:17" x14ac:dyDescent="0.2">
      <c r="A3916" s="30" t="str">
        <f>IF(C3916&amp;G3916&amp;D3916&lt;&gt;'Funnel setup'!$K$3&amp;'Funnel setup'!$K$4&amp;'Funnel setup'!$K$5,".",IF(A3915=".",1,A3915+1))</f>
        <v>.</v>
      </c>
      <c r="B3916" s="431" t="str">
        <f t="shared" si="61"/>
        <v>Knee Replacement PrimaryCCG of GP PracticeNHS HARINGEY CCG (08D)EQ-5D Index</v>
      </c>
      <c r="C3916" t="s">
        <v>249</v>
      </c>
      <c r="D3916" t="s">
        <v>87</v>
      </c>
      <c r="E3916" t="s">
        <v>926</v>
      </c>
      <c r="F3916" t="s">
        <v>927</v>
      </c>
      <c r="G3916" t="s">
        <v>52</v>
      </c>
      <c r="H3916">
        <v>27</v>
      </c>
      <c r="I3916">
        <v>0.34799999999999998</v>
      </c>
      <c r="J3916">
        <v>0.63600000000000001</v>
      </c>
      <c r="K3916">
        <v>0.28799999999999998</v>
      </c>
      <c r="L3916">
        <v>22</v>
      </c>
      <c r="M3916">
        <v>2</v>
      </c>
      <c r="N3916">
        <v>3</v>
      </c>
      <c r="O3916" t="s">
        <v>53</v>
      </c>
      <c r="P3916" t="s">
        <v>53</v>
      </c>
      <c r="Q3916" t="s">
        <v>53</v>
      </c>
    </row>
    <row r="3917" spans="1:17" x14ac:dyDescent="0.2">
      <c r="A3917" s="30" t="str">
        <f>IF(C3917&amp;G3917&amp;D3917&lt;&gt;'Funnel setup'!$K$3&amp;'Funnel setup'!$K$4&amp;'Funnel setup'!$K$5,".",IF(A3916=".",1,A3916+1))</f>
        <v>.</v>
      </c>
      <c r="B3917" s="431" t="str">
        <f t="shared" si="61"/>
        <v>Knee Replacement PrimaryCCG of GP PracticeNHS HARROGATE AND RURAL DISTRICT CCG (03E)EQ-5D Index</v>
      </c>
      <c r="C3917" t="s">
        <v>249</v>
      </c>
      <c r="D3917" t="s">
        <v>87</v>
      </c>
      <c r="E3917" t="s">
        <v>929</v>
      </c>
      <c r="F3917" t="s">
        <v>930</v>
      </c>
      <c r="G3917" t="s">
        <v>52</v>
      </c>
      <c r="H3917">
        <v>140</v>
      </c>
      <c r="I3917">
        <v>0.48799999999999999</v>
      </c>
      <c r="J3917">
        <v>0.80400000000000005</v>
      </c>
      <c r="K3917">
        <v>0.316</v>
      </c>
      <c r="L3917">
        <v>115</v>
      </c>
      <c r="M3917">
        <v>14</v>
      </c>
      <c r="N3917">
        <v>11</v>
      </c>
      <c r="O3917">
        <v>0.76700000000000002</v>
      </c>
      <c r="P3917">
        <v>0.34182824499999998</v>
      </c>
      <c r="Q3917">
        <v>0.20100000000000001</v>
      </c>
    </row>
    <row r="3918" spans="1:17" x14ac:dyDescent="0.2">
      <c r="A3918" s="30" t="str">
        <f>IF(C3918&amp;G3918&amp;D3918&lt;&gt;'Funnel setup'!$K$3&amp;'Funnel setup'!$K$4&amp;'Funnel setup'!$K$5,".",IF(A3917=".",1,A3917+1))</f>
        <v>.</v>
      </c>
      <c r="B3918" s="431" t="str">
        <f t="shared" si="61"/>
        <v>Knee Replacement PrimaryCCG of GP PracticeNHS HARROW CCG (08E)EQ-5D Index</v>
      </c>
      <c r="C3918" t="s">
        <v>249</v>
      </c>
      <c r="D3918" t="s">
        <v>87</v>
      </c>
      <c r="E3918" t="s">
        <v>492</v>
      </c>
      <c r="F3918" t="s">
        <v>493</v>
      </c>
      <c r="G3918" t="s">
        <v>52</v>
      </c>
      <c r="H3918">
        <v>121</v>
      </c>
      <c r="I3918">
        <v>0.36699999999999999</v>
      </c>
      <c r="J3918">
        <v>0.67200000000000004</v>
      </c>
      <c r="K3918">
        <v>0.30499999999999999</v>
      </c>
      <c r="L3918">
        <v>92</v>
      </c>
      <c r="M3918">
        <v>14</v>
      </c>
      <c r="N3918">
        <v>15</v>
      </c>
      <c r="O3918">
        <v>0.68899999999999995</v>
      </c>
      <c r="P3918">
        <v>0.26369259499999997</v>
      </c>
      <c r="Q3918">
        <v>0.23599999999999999</v>
      </c>
    </row>
    <row r="3919" spans="1:17" x14ac:dyDescent="0.2">
      <c r="A3919" s="30" t="str">
        <f>IF(C3919&amp;G3919&amp;D3919&lt;&gt;'Funnel setup'!$K$3&amp;'Funnel setup'!$K$4&amp;'Funnel setup'!$K$5,".",IF(A3918=".",1,A3918+1))</f>
        <v>.</v>
      </c>
      <c r="B3919" s="431" t="str">
        <f t="shared" si="61"/>
        <v>Knee Replacement PrimaryCCG of GP PracticeNHS HARTLEPOOL AND STOCKTON-ON-TEES CCG (00K)EQ-5D Index</v>
      </c>
      <c r="C3919" t="s">
        <v>249</v>
      </c>
      <c r="D3919" t="s">
        <v>87</v>
      </c>
      <c r="E3919" t="s">
        <v>495</v>
      </c>
      <c r="F3919" t="s">
        <v>496</v>
      </c>
      <c r="G3919" t="s">
        <v>52</v>
      </c>
      <c r="H3919">
        <v>327</v>
      </c>
      <c r="I3919">
        <v>0.34599999999999997</v>
      </c>
      <c r="J3919">
        <v>0.73799999999999999</v>
      </c>
      <c r="K3919">
        <v>0.39200000000000002</v>
      </c>
      <c r="L3919">
        <v>286</v>
      </c>
      <c r="M3919">
        <v>20</v>
      </c>
      <c r="N3919">
        <v>21</v>
      </c>
      <c r="O3919">
        <v>0.76700000000000002</v>
      </c>
      <c r="P3919">
        <v>0.342505744</v>
      </c>
      <c r="Q3919">
        <v>0.23200000000000001</v>
      </c>
    </row>
    <row r="3920" spans="1:17" x14ac:dyDescent="0.2">
      <c r="A3920" s="30" t="str">
        <f>IF(C3920&amp;G3920&amp;D3920&lt;&gt;'Funnel setup'!$K$3&amp;'Funnel setup'!$K$4&amp;'Funnel setup'!$K$5,".",IF(A3919=".",1,A3919+1))</f>
        <v>.</v>
      </c>
      <c r="B3920" s="431" t="str">
        <f t="shared" si="61"/>
        <v>Knee Replacement PrimaryCCG of GP PracticeNHS HASTINGS AND ROTHER CCG (09P)EQ-5D Index</v>
      </c>
      <c r="C3920" t="s">
        <v>249</v>
      </c>
      <c r="D3920" t="s">
        <v>87</v>
      </c>
      <c r="E3920" t="s">
        <v>498</v>
      </c>
      <c r="F3920" t="s">
        <v>499</v>
      </c>
      <c r="G3920" t="s">
        <v>52</v>
      </c>
      <c r="H3920">
        <v>222</v>
      </c>
      <c r="I3920">
        <v>0.497</v>
      </c>
      <c r="J3920">
        <v>0.752</v>
      </c>
      <c r="K3920">
        <v>0.254</v>
      </c>
      <c r="L3920">
        <v>182</v>
      </c>
      <c r="M3920">
        <v>15</v>
      </c>
      <c r="N3920">
        <v>25</v>
      </c>
      <c r="O3920">
        <v>0.73199999999999998</v>
      </c>
      <c r="P3920">
        <v>0.30669673400000003</v>
      </c>
      <c r="Q3920">
        <v>0.245</v>
      </c>
    </row>
    <row r="3921" spans="1:17" x14ac:dyDescent="0.2">
      <c r="A3921" s="30" t="str">
        <f>IF(C3921&amp;G3921&amp;D3921&lt;&gt;'Funnel setup'!$K$3&amp;'Funnel setup'!$K$4&amp;'Funnel setup'!$K$5,".",IF(A3920=".",1,A3920+1))</f>
        <v>.</v>
      </c>
      <c r="B3921" s="431" t="str">
        <f t="shared" si="61"/>
        <v>Knee Replacement PrimaryCCG of GP PracticeNHS HAVERING CCG (08F)EQ-5D Index</v>
      </c>
      <c r="C3921" t="s">
        <v>249</v>
      </c>
      <c r="D3921" t="s">
        <v>87</v>
      </c>
      <c r="E3921" t="s">
        <v>501</v>
      </c>
      <c r="F3921" t="s">
        <v>502</v>
      </c>
      <c r="G3921" t="s">
        <v>52</v>
      </c>
      <c r="H3921">
        <v>116</v>
      </c>
      <c r="I3921">
        <v>0.372</v>
      </c>
      <c r="J3921">
        <v>0.747</v>
      </c>
      <c r="K3921">
        <v>0.375</v>
      </c>
      <c r="L3921">
        <v>97</v>
      </c>
      <c r="M3921">
        <v>10</v>
      </c>
      <c r="N3921">
        <v>9</v>
      </c>
      <c r="O3921">
        <v>0.745</v>
      </c>
      <c r="P3921">
        <v>0.319535821</v>
      </c>
      <c r="Q3921">
        <v>0.253</v>
      </c>
    </row>
    <row r="3922" spans="1:17" x14ac:dyDescent="0.2">
      <c r="A3922" s="30" t="str">
        <f>IF(C3922&amp;G3922&amp;D3922&lt;&gt;'Funnel setup'!$K$3&amp;'Funnel setup'!$K$4&amp;'Funnel setup'!$K$5,".",IF(A3921=".",1,A3921+1))</f>
        <v>.</v>
      </c>
      <c r="B3922" s="431" t="str">
        <f t="shared" si="61"/>
        <v>Knee Replacement PrimaryCCG of GP PracticeNHS HEREFORDSHIRE CCG (05F)EQ-5D Index</v>
      </c>
      <c r="C3922" t="s">
        <v>249</v>
      </c>
      <c r="D3922" t="s">
        <v>87</v>
      </c>
      <c r="E3922" t="s">
        <v>504</v>
      </c>
      <c r="F3922" t="s">
        <v>505</v>
      </c>
      <c r="G3922" t="s">
        <v>52</v>
      </c>
      <c r="H3922">
        <v>167</v>
      </c>
      <c r="I3922">
        <v>0.496</v>
      </c>
      <c r="J3922">
        <v>0.78100000000000003</v>
      </c>
      <c r="K3922">
        <v>0.28499999999999998</v>
      </c>
      <c r="L3922">
        <v>132</v>
      </c>
      <c r="M3922">
        <v>17</v>
      </c>
      <c r="N3922">
        <v>18</v>
      </c>
      <c r="O3922">
        <v>0.76</v>
      </c>
      <c r="P3922">
        <v>0.335435284</v>
      </c>
      <c r="Q3922">
        <v>0.222</v>
      </c>
    </row>
    <row r="3923" spans="1:17" x14ac:dyDescent="0.2">
      <c r="A3923" s="30" t="str">
        <f>IF(C3923&amp;G3923&amp;D3923&lt;&gt;'Funnel setup'!$K$3&amp;'Funnel setup'!$K$4&amp;'Funnel setup'!$K$5,".",IF(A3922=".",1,A3922+1))</f>
        <v>.</v>
      </c>
      <c r="B3923" s="431" t="str">
        <f t="shared" si="61"/>
        <v>Knee Replacement PrimaryCCG of GP PracticeNHS HERTS VALLEYS CCG (06N)EQ-5D Index</v>
      </c>
      <c r="C3923" t="s">
        <v>249</v>
      </c>
      <c r="D3923" t="s">
        <v>87</v>
      </c>
      <c r="E3923" t="s">
        <v>507</v>
      </c>
      <c r="F3923" t="s">
        <v>508</v>
      </c>
      <c r="G3923" t="s">
        <v>52</v>
      </c>
      <c r="H3923">
        <v>363</v>
      </c>
      <c r="I3923">
        <v>0.438</v>
      </c>
      <c r="J3923">
        <v>0.749</v>
      </c>
      <c r="K3923">
        <v>0.312</v>
      </c>
      <c r="L3923">
        <v>295</v>
      </c>
      <c r="M3923">
        <v>37</v>
      </c>
      <c r="N3923">
        <v>31</v>
      </c>
      <c r="O3923">
        <v>0.73599999999999999</v>
      </c>
      <c r="P3923">
        <v>0.31070285800000003</v>
      </c>
      <c r="Q3923">
        <v>0.23499999999999999</v>
      </c>
    </row>
    <row r="3924" spans="1:17" x14ac:dyDescent="0.2">
      <c r="A3924" s="30" t="str">
        <f>IF(C3924&amp;G3924&amp;D3924&lt;&gt;'Funnel setup'!$K$3&amp;'Funnel setup'!$K$4&amp;'Funnel setup'!$K$5,".",IF(A3923=".",1,A3923+1))</f>
        <v>.</v>
      </c>
      <c r="B3924" s="431" t="str">
        <f t="shared" si="61"/>
        <v>Knee Replacement PrimaryCCG of GP PracticeNHS HEYWOOD, MIDDLETON AND ROCHDALE CCG (01D)EQ-5D Index</v>
      </c>
      <c r="C3924" t="s">
        <v>249</v>
      </c>
      <c r="D3924" t="s">
        <v>87</v>
      </c>
      <c r="E3924" t="s">
        <v>510</v>
      </c>
      <c r="F3924" t="s">
        <v>511</v>
      </c>
      <c r="G3924" t="s">
        <v>52</v>
      </c>
      <c r="H3924">
        <v>78</v>
      </c>
      <c r="I3924">
        <v>0.35599999999999998</v>
      </c>
      <c r="J3924">
        <v>0.70299999999999996</v>
      </c>
      <c r="K3924">
        <v>0.34699999999999998</v>
      </c>
      <c r="L3924">
        <v>65</v>
      </c>
      <c r="M3924">
        <v>7</v>
      </c>
      <c r="N3924">
        <v>6</v>
      </c>
      <c r="O3924">
        <v>0.75700000000000001</v>
      </c>
      <c r="P3924">
        <v>0.331989704</v>
      </c>
      <c r="Q3924">
        <v>0.252</v>
      </c>
    </row>
    <row r="3925" spans="1:17" x14ac:dyDescent="0.2">
      <c r="A3925" s="30" t="str">
        <f>IF(C3925&amp;G3925&amp;D3925&lt;&gt;'Funnel setup'!$K$3&amp;'Funnel setup'!$K$4&amp;'Funnel setup'!$K$5,".",IF(A3924=".",1,A3924+1))</f>
        <v>.</v>
      </c>
      <c r="B3925" s="431" t="str">
        <f t="shared" si="61"/>
        <v>Knee Replacement PrimaryCCG of GP PracticeNHS HIGH WEALD LEWES HAVENS CCG (99K)EQ-5D Index</v>
      </c>
      <c r="C3925" t="s">
        <v>249</v>
      </c>
      <c r="D3925" t="s">
        <v>87</v>
      </c>
      <c r="E3925" t="s">
        <v>513</v>
      </c>
      <c r="F3925" t="s">
        <v>514</v>
      </c>
      <c r="G3925" t="s">
        <v>52</v>
      </c>
      <c r="H3925">
        <v>242</v>
      </c>
      <c r="I3925">
        <v>0.52300000000000002</v>
      </c>
      <c r="J3925">
        <v>0.78</v>
      </c>
      <c r="K3925">
        <v>0.25700000000000001</v>
      </c>
      <c r="L3925">
        <v>189</v>
      </c>
      <c r="M3925">
        <v>28</v>
      </c>
      <c r="N3925">
        <v>25</v>
      </c>
      <c r="O3925">
        <v>0.746</v>
      </c>
      <c r="P3925">
        <v>0.32116801699999997</v>
      </c>
      <c r="Q3925">
        <v>0.20699999999999999</v>
      </c>
    </row>
    <row r="3926" spans="1:17" x14ac:dyDescent="0.2">
      <c r="A3926" s="30" t="str">
        <f>IF(C3926&amp;G3926&amp;D3926&lt;&gt;'Funnel setup'!$K$3&amp;'Funnel setup'!$K$4&amp;'Funnel setup'!$K$5,".",IF(A3925=".",1,A3925+1))</f>
        <v>.</v>
      </c>
      <c r="B3926" s="431" t="str">
        <f t="shared" si="61"/>
        <v>Knee Replacement PrimaryCCG of GP PracticeNHS HILLINGDON CCG (08G)EQ-5D Index</v>
      </c>
      <c r="C3926" t="s">
        <v>249</v>
      </c>
      <c r="D3926" t="s">
        <v>87</v>
      </c>
      <c r="E3926" t="s">
        <v>516</v>
      </c>
      <c r="F3926" t="s">
        <v>517</v>
      </c>
      <c r="G3926" t="s">
        <v>52</v>
      </c>
      <c r="H3926">
        <v>117</v>
      </c>
      <c r="I3926">
        <v>0.435</v>
      </c>
      <c r="J3926">
        <v>0.67200000000000004</v>
      </c>
      <c r="K3926">
        <v>0.23699999999999999</v>
      </c>
      <c r="L3926">
        <v>87</v>
      </c>
      <c r="M3926">
        <v>14</v>
      </c>
      <c r="N3926">
        <v>16</v>
      </c>
      <c r="O3926">
        <v>0.67900000000000005</v>
      </c>
      <c r="P3926">
        <v>0.253676964</v>
      </c>
      <c r="Q3926">
        <v>0.28799999999999998</v>
      </c>
    </row>
    <row r="3927" spans="1:17" x14ac:dyDescent="0.2">
      <c r="A3927" s="30" t="str">
        <f>IF(C3927&amp;G3927&amp;D3927&lt;&gt;'Funnel setup'!$K$3&amp;'Funnel setup'!$K$4&amp;'Funnel setup'!$K$5,".",IF(A3926=".",1,A3926+1))</f>
        <v>.</v>
      </c>
      <c r="B3927" s="431" t="str">
        <f t="shared" si="61"/>
        <v>Knee Replacement PrimaryCCG of GP PracticeNHS HORSHAM AND MID SUSSEX CCG (09X)EQ-5D Index</v>
      </c>
      <c r="C3927" t="s">
        <v>249</v>
      </c>
      <c r="D3927" t="s">
        <v>87</v>
      </c>
      <c r="E3927" t="s">
        <v>519</v>
      </c>
      <c r="F3927" t="s">
        <v>520</v>
      </c>
      <c r="G3927" t="s">
        <v>52</v>
      </c>
      <c r="H3927">
        <v>172</v>
      </c>
      <c r="I3927">
        <v>0.56699999999999995</v>
      </c>
      <c r="J3927">
        <v>0.81499999999999995</v>
      </c>
      <c r="K3927">
        <v>0.248</v>
      </c>
      <c r="L3927">
        <v>134</v>
      </c>
      <c r="M3927">
        <v>21</v>
      </c>
      <c r="N3927">
        <v>17</v>
      </c>
      <c r="O3927">
        <v>0.755</v>
      </c>
      <c r="P3927">
        <v>0.33036702699999998</v>
      </c>
      <c r="Q3927">
        <v>0.17399999999999999</v>
      </c>
    </row>
    <row r="3928" spans="1:17" x14ac:dyDescent="0.2">
      <c r="A3928" s="30" t="str">
        <f>IF(C3928&amp;G3928&amp;D3928&lt;&gt;'Funnel setup'!$K$3&amp;'Funnel setup'!$K$4&amp;'Funnel setup'!$K$5,".",IF(A3927=".",1,A3927+1))</f>
        <v>.</v>
      </c>
      <c r="B3928" s="431" t="str">
        <f t="shared" si="61"/>
        <v>Knee Replacement PrimaryCCG of GP PracticeNHS HOUNSLOW CCG (07Y)EQ-5D Index</v>
      </c>
      <c r="C3928" t="s">
        <v>249</v>
      </c>
      <c r="D3928" t="s">
        <v>87</v>
      </c>
      <c r="E3928" t="s">
        <v>522</v>
      </c>
      <c r="F3928" t="s">
        <v>523</v>
      </c>
      <c r="G3928" t="s">
        <v>52</v>
      </c>
      <c r="H3928">
        <v>64</v>
      </c>
      <c r="I3928">
        <v>0.245</v>
      </c>
      <c r="J3928">
        <v>0.628</v>
      </c>
      <c r="K3928">
        <v>0.38400000000000001</v>
      </c>
      <c r="L3928">
        <v>54</v>
      </c>
      <c r="M3928">
        <v>7</v>
      </c>
      <c r="N3928">
        <v>3</v>
      </c>
      <c r="O3928">
        <v>0.7</v>
      </c>
      <c r="P3928">
        <v>0.27509231499999998</v>
      </c>
      <c r="Q3928">
        <v>0.26600000000000001</v>
      </c>
    </row>
    <row r="3929" spans="1:17" x14ac:dyDescent="0.2">
      <c r="A3929" s="30" t="str">
        <f>IF(C3929&amp;G3929&amp;D3929&lt;&gt;'Funnel setup'!$K$3&amp;'Funnel setup'!$K$4&amp;'Funnel setup'!$K$5,".",IF(A3928=".",1,A3928+1))</f>
        <v>.</v>
      </c>
      <c r="B3929" s="431" t="str">
        <f t="shared" si="61"/>
        <v>Knee Replacement PrimaryCCG of GP PracticeNHS HULL CCG (03F)EQ-5D Index</v>
      </c>
      <c r="C3929" t="s">
        <v>249</v>
      </c>
      <c r="D3929" t="s">
        <v>87</v>
      </c>
      <c r="E3929" t="s">
        <v>525</v>
      </c>
      <c r="F3929" t="s">
        <v>526</v>
      </c>
      <c r="G3929" t="s">
        <v>52</v>
      </c>
      <c r="H3929">
        <v>219</v>
      </c>
      <c r="I3929">
        <v>0.38500000000000001</v>
      </c>
      <c r="J3929">
        <v>0.69399999999999995</v>
      </c>
      <c r="K3929">
        <v>0.309</v>
      </c>
      <c r="L3929">
        <v>176</v>
      </c>
      <c r="M3929">
        <v>20</v>
      </c>
      <c r="N3929">
        <v>23</v>
      </c>
      <c r="O3929">
        <v>0.72199999999999998</v>
      </c>
      <c r="P3929">
        <v>0.29665306899999999</v>
      </c>
      <c r="Q3929">
        <v>0.25700000000000001</v>
      </c>
    </row>
    <row r="3930" spans="1:17" x14ac:dyDescent="0.2">
      <c r="A3930" s="30" t="str">
        <f>IF(C3930&amp;G3930&amp;D3930&lt;&gt;'Funnel setup'!$K$3&amp;'Funnel setup'!$K$4&amp;'Funnel setup'!$K$5,".",IF(A3929=".",1,A3929+1))</f>
        <v>.</v>
      </c>
      <c r="B3930" s="431" t="str">
        <f t="shared" si="61"/>
        <v>Knee Replacement PrimaryCCG of GP PracticeNHS IPSWICH AND EAST SUFFOLK CCG (06L)EQ-5D Index</v>
      </c>
      <c r="C3930" t="s">
        <v>249</v>
      </c>
      <c r="D3930" t="s">
        <v>87</v>
      </c>
      <c r="E3930" t="s">
        <v>528</v>
      </c>
      <c r="F3930" t="s">
        <v>529</v>
      </c>
      <c r="G3930" t="s">
        <v>52</v>
      </c>
      <c r="H3930">
        <v>232</v>
      </c>
      <c r="I3930">
        <v>0.39600000000000002</v>
      </c>
      <c r="J3930">
        <v>0.78900000000000003</v>
      </c>
      <c r="K3930">
        <v>0.39300000000000002</v>
      </c>
      <c r="L3930">
        <v>204</v>
      </c>
      <c r="M3930">
        <v>13</v>
      </c>
      <c r="N3930">
        <v>15</v>
      </c>
      <c r="O3930">
        <v>0.77800000000000002</v>
      </c>
      <c r="P3930">
        <v>0.35253231800000001</v>
      </c>
      <c r="Q3930">
        <v>0.19800000000000001</v>
      </c>
    </row>
    <row r="3931" spans="1:17" x14ac:dyDescent="0.2">
      <c r="A3931" s="30" t="str">
        <f>IF(C3931&amp;G3931&amp;D3931&lt;&gt;'Funnel setup'!$K$3&amp;'Funnel setup'!$K$4&amp;'Funnel setup'!$K$5,".",IF(A3930=".",1,A3930+1))</f>
        <v>.</v>
      </c>
      <c r="B3931" s="431" t="str">
        <f t="shared" si="61"/>
        <v>Knee Replacement PrimaryCCG of GP PracticeNHS ISLE OF WIGHT CCG (10L)EQ-5D Index</v>
      </c>
      <c r="C3931" t="s">
        <v>249</v>
      </c>
      <c r="D3931" t="s">
        <v>87</v>
      </c>
      <c r="E3931" t="s">
        <v>531</v>
      </c>
      <c r="F3931" t="s">
        <v>532</v>
      </c>
      <c r="G3931" t="s">
        <v>52</v>
      </c>
      <c r="H3931">
        <v>99</v>
      </c>
      <c r="I3931">
        <v>0.44900000000000001</v>
      </c>
      <c r="J3931">
        <v>0.70299999999999996</v>
      </c>
      <c r="K3931">
        <v>0.253</v>
      </c>
      <c r="L3931">
        <v>80</v>
      </c>
      <c r="M3931">
        <v>4</v>
      </c>
      <c r="N3931">
        <v>15</v>
      </c>
      <c r="O3931">
        <v>0.71</v>
      </c>
      <c r="P3931">
        <v>0.284793764</v>
      </c>
      <c r="Q3931">
        <v>0.26800000000000002</v>
      </c>
    </row>
    <row r="3932" spans="1:17" x14ac:dyDescent="0.2">
      <c r="A3932" s="30" t="str">
        <f>IF(C3932&amp;G3932&amp;D3932&lt;&gt;'Funnel setup'!$K$3&amp;'Funnel setup'!$K$4&amp;'Funnel setup'!$K$5,".",IF(A3931=".",1,A3931+1))</f>
        <v>.</v>
      </c>
      <c r="B3932" s="431" t="str">
        <f t="shared" si="61"/>
        <v>Knee Replacement PrimaryCCG of GP PracticeNHS ISLINGTON CCG (08H)EQ-5D Index</v>
      </c>
      <c r="C3932" t="s">
        <v>249</v>
      </c>
      <c r="D3932" t="s">
        <v>87</v>
      </c>
      <c r="E3932" t="s">
        <v>534</v>
      </c>
      <c r="F3932" t="s">
        <v>535</v>
      </c>
      <c r="G3932" t="s">
        <v>52</v>
      </c>
      <c r="H3932">
        <v>19</v>
      </c>
      <c r="I3932">
        <v>0.435</v>
      </c>
      <c r="J3932">
        <v>0.69099999999999995</v>
      </c>
      <c r="K3932">
        <v>0.25600000000000001</v>
      </c>
      <c r="L3932">
        <v>13</v>
      </c>
      <c r="M3932">
        <v>3</v>
      </c>
      <c r="N3932">
        <v>3</v>
      </c>
      <c r="O3932" t="s">
        <v>53</v>
      </c>
      <c r="P3932" t="s">
        <v>53</v>
      </c>
      <c r="Q3932" t="s">
        <v>53</v>
      </c>
    </row>
    <row r="3933" spans="1:17" x14ac:dyDescent="0.2">
      <c r="A3933" s="30" t="str">
        <f>IF(C3933&amp;G3933&amp;D3933&lt;&gt;'Funnel setup'!$K$3&amp;'Funnel setup'!$K$4&amp;'Funnel setup'!$K$5,".",IF(A3932=".",1,A3932+1))</f>
        <v>.</v>
      </c>
      <c r="B3933" s="431" t="str">
        <f t="shared" si="61"/>
        <v>Knee Replacement PrimaryCCG of GP PracticeNHS KERNOW CCG (11N)EQ-5D Index</v>
      </c>
      <c r="C3933" t="s">
        <v>249</v>
      </c>
      <c r="D3933" t="s">
        <v>87</v>
      </c>
      <c r="E3933" t="s">
        <v>537</v>
      </c>
      <c r="F3933" t="s">
        <v>538</v>
      </c>
      <c r="G3933" t="s">
        <v>52</v>
      </c>
      <c r="H3933">
        <v>606</v>
      </c>
      <c r="I3933">
        <v>0.46899999999999997</v>
      </c>
      <c r="J3933">
        <v>0.77900000000000003</v>
      </c>
      <c r="K3933">
        <v>0.31</v>
      </c>
      <c r="L3933">
        <v>507</v>
      </c>
      <c r="M3933">
        <v>55</v>
      </c>
      <c r="N3933">
        <v>44</v>
      </c>
      <c r="O3933">
        <v>0.76800000000000002</v>
      </c>
      <c r="P3933">
        <v>0.34272352299999997</v>
      </c>
      <c r="Q3933">
        <v>0.218</v>
      </c>
    </row>
    <row r="3934" spans="1:17" x14ac:dyDescent="0.2">
      <c r="A3934" s="30" t="str">
        <f>IF(C3934&amp;G3934&amp;D3934&lt;&gt;'Funnel setup'!$K$3&amp;'Funnel setup'!$K$4&amp;'Funnel setup'!$K$5,".",IF(A3933=".",1,A3933+1))</f>
        <v>.</v>
      </c>
      <c r="B3934" s="431" t="str">
        <f t="shared" si="61"/>
        <v>Knee Replacement PrimaryCCG of GP PracticeNHS KINGSTON CCG (08J)EQ-5D Index</v>
      </c>
      <c r="C3934" t="s">
        <v>249</v>
      </c>
      <c r="D3934" t="s">
        <v>87</v>
      </c>
      <c r="E3934" t="s">
        <v>540</v>
      </c>
      <c r="F3934" t="s">
        <v>541</v>
      </c>
      <c r="G3934" t="s">
        <v>52</v>
      </c>
      <c r="H3934">
        <v>48</v>
      </c>
      <c r="I3934">
        <v>0.40600000000000003</v>
      </c>
      <c r="J3934">
        <v>0.79800000000000004</v>
      </c>
      <c r="K3934">
        <v>0.39200000000000002</v>
      </c>
      <c r="L3934">
        <v>42</v>
      </c>
      <c r="M3934">
        <v>5</v>
      </c>
      <c r="N3934">
        <v>1</v>
      </c>
      <c r="O3934">
        <v>0.77600000000000002</v>
      </c>
      <c r="P3934">
        <v>0.35095932400000002</v>
      </c>
      <c r="Q3934">
        <v>0.14899999999999999</v>
      </c>
    </row>
    <row r="3935" spans="1:17" x14ac:dyDescent="0.2">
      <c r="A3935" s="30" t="str">
        <f>IF(C3935&amp;G3935&amp;D3935&lt;&gt;'Funnel setup'!$K$3&amp;'Funnel setup'!$K$4&amp;'Funnel setup'!$K$5,".",IF(A3934=".",1,A3934+1))</f>
        <v>.</v>
      </c>
      <c r="B3935" s="431" t="str">
        <f t="shared" si="61"/>
        <v>Knee Replacement PrimaryCCG of GP PracticeNHS KNOWSLEY CCG (01J)EQ-5D Index</v>
      </c>
      <c r="C3935" t="s">
        <v>249</v>
      </c>
      <c r="D3935" t="s">
        <v>87</v>
      </c>
      <c r="E3935" t="s">
        <v>543</v>
      </c>
      <c r="F3935" t="s">
        <v>544</v>
      </c>
      <c r="G3935" t="s">
        <v>52</v>
      </c>
      <c r="H3935">
        <v>116</v>
      </c>
      <c r="I3935">
        <v>0.35899999999999999</v>
      </c>
      <c r="J3935">
        <v>0.625</v>
      </c>
      <c r="K3935">
        <v>0.26600000000000001</v>
      </c>
      <c r="L3935">
        <v>83</v>
      </c>
      <c r="M3935">
        <v>17</v>
      </c>
      <c r="N3935">
        <v>16</v>
      </c>
      <c r="O3935">
        <v>0.67100000000000004</v>
      </c>
      <c r="P3935">
        <v>0.246387309</v>
      </c>
      <c r="Q3935">
        <v>0.28599999999999998</v>
      </c>
    </row>
    <row r="3936" spans="1:17" x14ac:dyDescent="0.2">
      <c r="A3936" s="30" t="str">
        <f>IF(C3936&amp;G3936&amp;D3936&lt;&gt;'Funnel setup'!$K$3&amp;'Funnel setup'!$K$4&amp;'Funnel setup'!$K$5,".",IF(A3935=".",1,A3935+1))</f>
        <v>.</v>
      </c>
      <c r="B3936" s="431" t="str">
        <f t="shared" si="61"/>
        <v>Knee Replacement PrimaryCCG of GP PracticeNHS LAMBETH CCG (08K)EQ-5D Index</v>
      </c>
      <c r="C3936" t="s">
        <v>249</v>
      </c>
      <c r="D3936" t="s">
        <v>87</v>
      </c>
      <c r="E3936" t="s">
        <v>546</v>
      </c>
      <c r="F3936" t="s">
        <v>547</v>
      </c>
      <c r="G3936" t="s">
        <v>52</v>
      </c>
      <c r="H3936">
        <v>38</v>
      </c>
      <c r="I3936">
        <v>0.36499999999999999</v>
      </c>
      <c r="J3936">
        <v>0.66200000000000003</v>
      </c>
      <c r="K3936">
        <v>0.29699999999999999</v>
      </c>
      <c r="L3936">
        <v>30</v>
      </c>
      <c r="M3936">
        <v>4</v>
      </c>
      <c r="N3936">
        <v>4</v>
      </c>
      <c r="O3936">
        <v>0.70699999999999996</v>
      </c>
      <c r="P3936">
        <v>0.28168654500000001</v>
      </c>
      <c r="Q3936">
        <v>0.25600000000000001</v>
      </c>
    </row>
    <row r="3937" spans="1:17" x14ac:dyDescent="0.2">
      <c r="A3937" s="30" t="str">
        <f>IF(C3937&amp;G3937&amp;D3937&lt;&gt;'Funnel setup'!$K$3&amp;'Funnel setup'!$K$4&amp;'Funnel setup'!$K$5,".",IF(A3936=".",1,A3936+1))</f>
        <v>.</v>
      </c>
      <c r="B3937" s="431" t="str">
        <f t="shared" si="61"/>
        <v>Knee Replacement PrimaryCCG of GP PracticeNHS LANCASHIRE NORTH CCG (01K)EQ-5D Index</v>
      </c>
      <c r="C3937" t="s">
        <v>249</v>
      </c>
      <c r="D3937" t="s">
        <v>87</v>
      </c>
      <c r="E3937" t="s">
        <v>549</v>
      </c>
      <c r="F3937" t="s">
        <v>550</v>
      </c>
      <c r="G3937" t="s">
        <v>52</v>
      </c>
      <c r="H3937">
        <v>166</v>
      </c>
      <c r="I3937">
        <v>0.48399999999999999</v>
      </c>
      <c r="J3937">
        <v>0.77200000000000002</v>
      </c>
      <c r="K3937">
        <v>0.28799999999999998</v>
      </c>
      <c r="L3937">
        <v>134</v>
      </c>
      <c r="M3937">
        <v>18</v>
      </c>
      <c r="N3937">
        <v>14</v>
      </c>
      <c r="O3937">
        <v>0.751</v>
      </c>
      <c r="P3937">
        <v>0.32581938799999999</v>
      </c>
      <c r="Q3937">
        <v>0.19800000000000001</v>
      </c>
    </row>
    <row r="3938" spans="1:17" x14ac:dyDescent="0.2">
      <c r="A3938" s="30" t="str">
        <f>IF(C3938&amp;G3938&amp;D3938&lt;&gt;'Funnel setup'!$K$3&amp;'Funnel setup'!$K$4&amp;'Funnel setup'!$K$5,".",IF(A3937=".",1,A3937+1))</f>
        <v>.</v>
      </c>
      <c r="B3938" s="431" t="str">
        <f t="shared" si="61"/>
        <v>Knee Replacement PrimaryCCG of GP PracticeNHS LEEDS NORTH CCG (02V)EQ-5D Index</v>
      </c>
      <c r="C3938" t="s">
        <v>249</v>
      </c>
      <c r="D3938" t="s">
        <v>87</v>
      </c>
      <c r="E3938" t="s">
        <v>552</v>
      </c>
      <c r="F3938" t="s">
        <v>337</v>
      </c>
      <c r="G3938" t="s">
        <v>52</v>
      </c>
      <c r="H3938">
        <v>153</v>
      </c>
      <c r="I3938">
        <v>0.48699999999999999</v>
      </c>
      <c r="J3938">
        <v>0.76</v>
      </c>
      <c r="K3938">
        <v>0.27300000000000002</v>
      </c>
      <c r="L3938">
        <v>129</v>
      </c>
      <c r="M3938">
        <v>12</v>
      </c>
      <c r="N3938">
        <v>12</v>
      </c>
      <c r="O3938">
        <v>0.74099999999999999</v>
      </c>
      <c r="P3938">
        <v>0.31577379500000002</v>
      </c>
      <c r="Q3938">
        <v>0.192</v>
      </c>
    </row>
    <row r="3939" spans="1:17" x14ac:dyDescent="0.2">
      <c r="A3939" s="30" t="str">
        <f>IF(C3939&amp;G3939&amp;D3939&lt;&gt;'Funnel setup'!$K$3&amp;'Funnel setup'!$K$4&amp;'Funnel setup'!$K$5,".",IF(A3938=".",1,A3938+1))</f>
        <v>.</v>
      </c>
      <c r="B3939" s="431" t="str">
        <f t="shared" si="61"/>
        <v>Knee Replacement PrimaryCCG of GP PracticeNHS LEEDS SOUTH AND EAST CCG (03G)EQ-5D Index</v>
      </c>
      <c r="C3939" t="s">
        <v>249</v>
      </c>
      <c r="D3939" t="s">
        <v>87</v>
      </c>
      <c r="E3939" t="s">
        <v>396</v>
      </c>
      <c r="F3939" t="s">
        <v>397</v>
      </c>
      <c r="G3939" t="s">
        <v>52</v>
      </c>
      <c r="H3939">
        <v>210</v>
      </c>
      <c r="I3939">
        <v>0.45400000000000001</v>
      </c>
      <c r="J3939">
        <v>0.748</v>
      </c>
      <c r="K3939">
        <v>0.29399999999999998</v>
      </c>
      <c r="L3939">
        <v>166</v>
      </c>
      <c r="M3939">
        <v>22</v>
      </c>
      <c r="N3939">
        <v>22</v>
      </c>
      <c r="O3939">
        <v>0.747</v>
      </c>
      <c r="P3939">
        <v>0.321591829</v>
      </c>
      <c r="Q3939">
        <v>0.22</v>
      </c>
    </row>
    <row r="3940" spans="1:17" x14ac:dyDescent="0.2">
      <c r="A3940" s="30" t="str">
        <f>IF(C3940&amp;G3940&amp;D3940&lt;&gt;'Funnel setup'!$K$3&amp;'Funnel setup'!$K$4&amp;'Funnel setup'!$K$5,".",IF(A3939=".",1,A3939+1))</f>
        <v>.</v>
      </c>
      <c r="B3940" s="431" t="str">
        <f t="shared" si="61"/>
        <v>Knee Replacement PrimaryCCG of GP PracticeNHS LEEDS WEST CCG (03C)EQ-5D Index</v>
      </c>
      <c r="C3940" t="s">
        <v>249</v>
      </c>
      <c r="D3940" t="s">
        <v>87</v>
      </c>
      <c r="E3940" t="s">
        <v>399</v>
      </c>
      <c r="F3940" t="s">
        <v>400</v>
      </c>
      <c r="G3940" t="s">
        <v>52</v>
      </c>
      <c r="H3940">
        <v>241</v>
      </c>
      <c r="I3940">
        <v>0.433</v>
      </c>
      <c r="J3940">
        <v>0.71899999999999997</v>
      </c>
      <c r="K3940">
        <v>0.28499999999999998</v>
      </c>
      <c r="L3940">
        <v>183</v>
      </c>
      <c r="M3940">
        <v>26</v>
      </c>
      <c r="N3940">
        <v>32</v>
      </c>
      <c r="O3940">
        <v>0.71399999999999997</v>
      </c>
      <c r="P3940">
        <v>0.28859722199999999</v>
      </c>
      <c r="Q3940">
        <v>0.24299999999999999</v>
      </c>
    </row>
    <row r="3941" spans="1:17" x14ac:dyDescent="0.2">
      <c r="A3941" s="30" t="str">
        <f>IF(C3941&amp;G3941&amp;D3941&lt;&gt;'Funnel setup'!$K$3&amp;'Funnel setup'!$K$4&amp;'Funnel setup'!$K$5,".",IF(A3940=".",1,A3940+1))</f>
        <v>.</v>
      </c>
      <c r="B3941" s="431" t="str">
        <f t="shared" si="61"/>
        <v>Knee Replacement PrimaryCCG of GP PracticeNHS LEICESTER CITY CCG (04C)EQ-5D Index</v>
      </c>
      <c r="C3941" t="s">
        <v>249</v>
      </c>
      <c r="D3941" t="s">
        <v>87</v>
      </c>
      <c r="E3941" t="s">
        <v>554</v>
      </c>
      <c r="F3941" t="s">
        <v>555</v>
      </c>
      <c r="G3941" t="s">
        <v>52</v>
      </c>
      <c r="H3941">
        <v>175</v>
      </c>
      <c r="I3941">
        <v>0.28599999999999998</v>
      </c>
      <c r="J3941">
        <v>0.70199999999999996</v>
      </c>
      <c r="K3941">
        <v>0.41599999999999998</v>
      </c>
      <c r="L3941">
        <v>153</v>
      </c>
      <c r="M3941">
        <v>10</v>
      </c>
      <c r="N3941">
        <v>12</v>
      </c>
      <c r="O3941">
        <v>0.77</v>
      </c>
      <c r="P3941">
        <v>0.34464958800000001</v>
      </c>
      <c r="Q3941">
        <v>0.216</v>
      </c>
    </row>
    <row r="3942" spans="1:17" x14ac:dyDescent="0.2">
      <c r="A3942" s="30" t="str">
        <f>IF(C3942&amp;G3942&amp;D3942&lt;&gt;'Funnel setup'!$K$3&amp;'Funnel setup'!$K$4&amp;'Funnel setup'!$K$5,".",IF(A3941=".",1,A3941+1))</f>
        <v>.</v>
      </c>
      <c r="B3942" s="431" t="str">
        <f t="shared" si="61"/>
        <v>Knee Replacement PrimaryCCG of GP PracticeNHS LEWISHAM CCG (08L)EQ-5D Index</v>
      </c>
      <c r="C3942" t="s">
        <v>249</v>
      </c>
      <c r="D3942" t="s">
        <v>87</v>
      </c>
      <c r="E3942" t="s">
        <v>557</v>
      </c>
      <c r="F3942" t="s">
        <v>558</v>
      </c>
      <c r="G3942" t="s">
        <v>52</v>
      </c>
      <c r="H3942">
        <v>61</v>
      </c>
      <c r="I3942">
        <v>0.33600000000000002</v>
      </c>
      <c r="J3942">
        <v>0.61</v>
      </c>
      <c r="K3942">
        <v>0.27400000000000002</v>
      </c>
      <c r="L3942">
        <v>49</v>
      </c>
      <c r="M3942">
        <v>4</v>
      </c>
      <c r="N3942">
        <v>8</v>
      </c>
      <c r="O3942">
        <v>0.67100000000000004</v>
      </c>
      <c r="P3942">
        <v>0.245768018</v>
      </c>
      <c r="Q3942">
        <v>0.28599999999999998</v>
      </c>
    </row>
    <row r="3943" spans="1:17" x14ac:dyDescent="0.2">
      <c r="A3943" s="30" t="str">
        <f>IF(C3943&amp;G3943&amp;D3943&lt;&gt;'Funnel setup'!$K$3&amp;'Funnel setup'!$K$4&amp;'Funnel setup'!$K$5,".",IF(A3942=".",1,A3942+1))</f>
        <v>.</v>
      </c>
      <c r="B3943" s="431" t="str">
        <f t="shared" si="61"/>
        <v>Knee Replacement PrimaryCCG of GP PracticeNHS LINCOLNSHIRE EAST CCG (03T)EQ-5D Index</v>
      </c>
      <c r="C3943" t="s">
        <v>249</v>
      </c>
      <c r="D3943" t="s">
        <v>87</v>
      </c>
      <c r="E3943" t="s">
        <v>560</v>
      </c>
      <c r="F3943" t="s">
        <v>561</v>
      </c>
      <c r="G3943" t="s">
        <v>52</v>
      </c>
      <c r="H3943">
        <v>226</v>
      </c>
      <c r="I3943">
        <v>0.44</v>
      </c>
      <c r="J3943">
        <v>0.752</v>
      </c>
      <c r="K3943">
        <v>0.311</v>
      </c>
      <c r="L3943">
        <v>184</v>
      </c>
      <c r="M3943">
        <v>16</v>
      </c>
      <c r="N3943">
        <v>26</v>
      </c>
      <c r="O3943">
        <v>0.752</v>
      </c>
      <c r="P3943">
        <v>0.327190588</v>
      </c>
      <c r="Q3943">
        <v>0.22600000000000001</v>
      </c>
    </row>
    <row r="3944" spans="1:17" x14ac:dyDescent="0.2">
      <c r="A3944" s="30" t="str">
        <f>IF(C3944&amp;G3944&amp;D3944&lt;&gt;'Funnel setup'!$K$3&amp;'Funnel setup'!$K$4&amp;'Funnel setup'!$K$5,".",IF(A3943=".",1,A3943+1))</f>
        <v>.</v>
      </c>
      <c r="B3944" s="431" t="str">
        <f t="shared" si="61"/>
        <v>Knee Replacement PrimaryCCG of GP PracticeNHS LINCOLNSHIRE WEST CCG (04D)EQ-5D Index</v>
      </c>
      <c r="C3944" t="s">
        <v>249</v>
      </c>
      <c r="D3944" t="s">
        <v>87</v>
      </c>
      <c r="E3944" t="s">
        <v>408</v>
      </c>
      <c r="F3944" t="s">
        <v>409</v>
      </c>
      <c r="G3944" t="s">
        <v>52</v>
      </c>
      <c r="H3944">
        <v>187</v>
      </c>
      <c r="I3944">
        <v>0.45300000000000001</v>
      </c>
      <c r="J3944">
        <v>0.78200000000000003</v>
      </c>
      <c r="K3944">
        <v>0.32900000000000001</v>
      </c>
      <c r="L3944">
        <v>158</v>
      </c>
      <c r="M3944">
        <v>21</v>
      </c>
      <c r="N3944">
        <v>8</v>
      </c>
      <c r="O3944">
        <v>0.76300000000000001</v>
      </c>
      <c r="P3944">
        <v>0.33821240000000002</v>
      </c>
      <c r="Q3944">
        <v>0.19400000000000001</v>
      </c>
    </row>
    <row r="3945" spans="1:17" x14ac:dyDescent="0.2">
      <c r="A3945" s="30" t="str">
        <f>IF(C3945&amp;G3945&amp;D3945&lt;&gt;'Funnel setup'!$K$3&amp;'Funnel setup'!$K$4&amp;'Funnel setup'!$K$5,".",IF(A3944=".",1,A3944+1))</f>
        <v>.</v>
      </c>
      <c r="B3945" s="431" t="str">
        <f t="shared" si="61"/>
        <v>Knee Replacement PrimaryCCG of GP PracticeNHS LIVERPOOL CCG (99A)EQ-5D Index</v>
      </c>
      <c r="C3945" t="s">
        <v>249</v>
      </c>
      <c r="D3945" t="s">
        <v>87</v>
      </c>
      <c r="E3945" t="s">
        <v>411</v>
      </c>
      <c r="F3945" t="s">
        <v>412</v>
      </c>
      <c r="G3945" t="s">
        <v>52</v>
      </c>
      <c r="H3945">
        <v>251</v>
      </c>
      <c r="I3945">
        <v>0.34399999999999997</v>
      </c>
      <c r="J3945">
        <v>0.66600000000000004</v>
      </c>
      <c r="K3945">
        <v>0.32200000000000001</v>
      </c>
      <c r="L3945">
        <v>192</v>
      </c>
      <c r="M3945">
        <v>32</v>
      </c>
      <c r="N3945">
        <v>27</v>
      </c>
      <c r="O3945">
        <v>0.71799999999999997</v>
      </c>
      <c r="P3945">
        <v>0.292557224</v>
      </c>
      <c r="Q3945">
        <v>0.23400000000000001</v>
      </c>
    </row>
    <row r="3946" spans="1:17" x14ac:dyDescent="0.2">
      <c r="A3946" s="30" t="str">
        <f>IF(C3946&amp;G3946&amp;D3946&lt;&gt;'Funnel setup'!$K$3&amp;'Funnel setup'!$K$4&amp;'Funnel setup'!$K$5,".",IF(A3945=".",1,A3945+1))</f>
        <v>.</v>
      </c>
      <c r="B3946" s="431" t="str">
        <f t="shared" si="61"/>
        <v>Knee Replacement PrimaryCCG of GP PracticeNHS LUTON CCG (06P)EQ-5D Index</v>
      </c>
      <c r="C3946" t="s">
        <v>249</v>
      </c>
      <c r="D3946" t="s">
        <v>87</v>
      </c>
      <c r="E3946" t="s">
        <v>414</v>
      </c>
      <c r="F3946" t="s">
        <v>415</v>
      </c>
      <c r="G3946" t="s">
        <v>52</v>
      </c>
      <c r="H3946">
        <v>113</v>
      </c>
      <c r="I3946">
        <v>0.309</v>
      </c>
      <c r="J3946">
        <v>0.68700000000000006</v>
      </c>
      <c r="K3946">
        <v>0.378</v>
      </c>
      <c r="L3946">
        <v>96</v>
      </c>
      <c r="M3946">
        <v>8</v>
      </c>
      <c r="N3946">
        <v>9</v>
      </c>
      <c r="O3946">
        <v>0.72299999999999998</v>
      </c>
      <c r="P3946">
        <v>0.29820595700000002</v>
      </c>
      <c r="Q3946">
        <v>0.23799999999999999</v>
      </c>
    </row>
    <row r="3947" spans="1:17" x14ac:dyDescent="0.2">
      <c r="A3947" s="30" t="str">
        <f>IF(C3947&amp;G3947&amp;D3947&lt;&gt;'Funnel setup'!$K$3&amp;'Funnel setup'!$K$4&amp;'Funnel setup'!$K$5,".",IF(A3946=".",1,A3946+1))</f>
        <v>.</v>
      </c>
      <c r="B3947" s="431" t="str">
        <f t="shared" si="61"/>
        <v>Knee Replacement PrimaryCCG of GP PracticeNHS MANSFIELD AND ASHFIELD CCG (04E)EQ-5D Index</v>
      </c>
      <c r="C3947" t="s">
        <v>249</v>
      </c>
      <c r="D3947" t="s">
        <v>87</v>
      </c>
      <c r="E3947" t="s">
        <v>417</v>
      </c>
      <c r="F3947" t="s">
        <v>418</v>
      </c>
      <c r="G3947" t="s">
        <v>52</v>
      </c>
      <c r="H3947">
        <v>128</v>
      </c>
      <c r="I3947">
        <v>0.36899999999999999</v>
      </c>
      <c r="J3947">
        <v>0.67800000000000005</v>
      </c>
      <c r="K3947">
        <v>0.309</v>
      </c>
      <c r="L3947">
        <v>100</v>
      </c>
      <c r="M3947">
        <v>14</v>
      </c>
      <c r="N3947">
        <v>14</v>
      </c>
      <c r="O3947">
        <v>0.71099999999999997</v>
      </c>
      <c r="P3947">
        <v>0.285904029</v>
      </c>
      <c r="Q3947">
        <v>0.26200000000000001</v>
      </c>
    </row>
    <row r="3948" spans="1:17" x14ac:dyDescent="0.2">
      <c r="A3948" s="30" t="str">
        <f>IF(C3948&amp;G3948&amp;D3948&lt;&gt;'Funnel setup'!$K$3&amp;'Funnel setup'!$K$4&amp;'Funnel setup'!$K$5,".",IF(A3947=".",1,A3947+1))</f>
        <v>.</v>
      </c>
      <c r="B3948" s="431" t="str">
        <f t="shared" si="61"/>
        <v>Knee Replacement PrimaryCCG of GP PracticeNHS MEDWAY CCG (09W)EQ-5D Index</v>
      </c>
      <c r="C3948" t="s">
        <v>249</v>
      </c>
      <c r="D3948" t="s">
        <v>87</v>
      </c>
      <c r="E3948" t="s">
        <v>610</v>
      </c>
      <c r="F3948" t="s">
        <v>611</v>
      </c>
      <c r="G3948" t="s">
        <v>52</v>
      </c>
      <c r="H3948">
        <v>167</v>
      </c>
      <c r="I3948">
        <v>0.40100000000000002</v>
      </c>
      <c r="J3948">
        <v>0.74</v>
      </c>
      <c r="K3948">
        <v>0.33900000000000002</v>
      </c>
      <c r="L3948">
        <v>141</v>
      </c>
      <c r="M3948">
        <v>11</v>
      </c>
      <c r="N3948">
        <v>15</v>
      </c>
      <c r="O3948">
        <v>0.751</v>
      </c>
      <c r="P3948">
        <v>0.32576055799999998</v>
      </c>
      <c r="Q3948">
        <v>0.21299999999999999</v>
      </c>
    </row>
    <row r="3949" spans="1:17" x14ac:dyDescent="0.2">
      <c r="A3949" s="30" t="str">
        <f>IF(C3949&amp;G3949&amp;D3949&lt;&gt;'Funnel setup'!$K$3&amp;'Funnel setup'!$K$4&amp;'Funnel setup'!$K$5,".",IF(A3948=".",1,A3948+1))</f>
        <v>.</v>
      </c>
      <c r="B3949" s="431" t="str">
        <f t="shared" si="61"/>
        <v>Knee Replacement PrimaryCCG of GP PracticeNHS MERTON CCG (08R)EQ-5D Index</v>
      </c>
      <c r="C3949" t="s">
        <v>249</v>
      </c>
      <c r="D3949" t="s">
        <v>87</v>
      </c>
      <c r="E3949" t="s">
        <v>613</v>
      </c>
      <c r="F3949" t="s">
        <v>614</v>
      </c>
      <c r="G3949" t="s">
        <v>52</v>
      </c>
      <c r="H3949">
        <v>58</v>
      </c>
      <c r="I3949">
        <v>0.36399999999999999</v>
      </c>
      <c r="J3949">
        <v>0.66600000000000004</v>
      </c>
      <c r="K3949">
        <v>0.30199999999999999</v>
      </c>
      <c r="L3949">
        <v>47</v>
      </c>
      <c r="M3949">
        <v>4</v>
      </c>
      <c r="N3949">
        <v>7</v>
      </c>
      <c r="O3949">
        <v>0.67700000000000005</v>
      </c>
      <c r="P3949">
        <v>0.25168871100000001</v>
      </c>
      <c r="Q3949">
        <v>0.26100000000000001</v>
      </c>
    </row>
    <row r="3950" spans="1:17" x14ac:dyDescent="0.2">
      <c r="A3950" s="30" t="str">
        <f>IF(C3950&amp;G3950&amp;D3950&lt;&gt;'Funnel setup'!$K$3&amp;'Funnel setup'!$K$4&amp;'Funnel setup'!$K$5,".",IF(A3949=".",1,A3949+1))</f>
        <v>.</v>
      </c>
      <c r="B3950" s="431" t="str">
        <f t="shared" si="61"/>
        <v>Knee Replacement PrimaryCCG of GP PracticeNHS MID ESSEX CCG (06Q)EQ-5D Index</v>
      </c>
      <c r="C3950" t="s">
        <v>249</v>
      </c>
      <c r="D3950" t="s">
        <v>87</v>
      </c>
      <c r="E3950" t="s">
        <v>616</v>
      </c>
      <c r="F3950" t="s">
        <v>617</v>
      </c>
      <c r="G3950" t="s">
        <v>52</v>
      </c>
      <c r="H3950">
        <v>276</v>
      </c>
      <c r="I3950">
        <v>0.35399999999999998</v>
      </c>
      <c r="J3950">
        <v>0.71299999999999997</v>
      </c>
      <c r="K3950">
        <v>0.35899999999999999</v>
      </c>
      <c r="L3950">
        <v>227</v>
      </c>
      <c r="M3950">
        <v>23</v>
      </c>
      <c r="N3950">
        <v>26</v>
      </c>
      <c r="O3950">
        <v>0.71099999999999997</v>
      </c>
      <c r="P3950">
        <v>0.28605838300000003</v>
      </c>
      <c r="Q3950">
        <v>0.24199999999999999</v>
      </c>
    </row>
    <row r="3951" spans="1:17" x14ac:dyDescent="0.2">
      <c r="A3951" s="30" t="str">
        <f>IF(C3951&amp;G3951&amp;D3951&lt;&gt;'Funnel setup'!$K$3&amp;'Funnel setup'!$K$4&amp;'Funnel setup'!$K$5,".",IF(A3950=".",1,A3950+1))</f>
        <v>.</v>
      </c>
      <c r="B3951" s="431" t="str">
        <f t="shared" si="61"/>
        <v>Knee Replacement PrimaryCCG of GP PracticeNHS MILTON KEYNES CCG (04F)EQ-5D Index</v>
      </c>
      <c r="C3951" t="s">
        <v>249</v>
      </c>
      <c r="D3951" t="s">
        <v>87</v>
      </c>
      <c r="E3951" t="s">
        <v>619</v>
      </c>
      <c r="F3951" t="s">
        <v>338</v>
      </c>
      <c r="G3951" t="s">
        <v>52</v>
      </c>
      <c r="H3951">
        <v>131</v>
      </c>
      <c r="I3951">
        <v>0.35799999999999998</v>
      </c>
      <c r="J3951">
        <v>0.78500000000000003</v>
      </c>
      <c r="K3951">
        <v>0.42799999999999999</v>
      </c>
      <c r="L3951">
        <v>114</v>
      </c>
      <c r="M3951">
        <v>11</v>
      </c>
      <c r="N3951">
        <v>6</v>
      </c>
      <c r="O3951">
        <v>0.79900000000000004</v>
      </c>
      <c r="P3951">
        <v>0.37381088099999998</v>
      </c>
      <c r="Q3951">
        <v>0.23400000000000001</v>
      </c>
    </row>
    <row r="3952" spans="1:17" x14ac:dyDescent="0.2">
      <c r="A3952" s="30" t="str">
        <f>IF(C3952&amp;G3952&amp;D3952&lt;&gt;'Funnel setup'!$K$3&amp;'Funnel setup'!$K$4&amp;'Funnel setup'!$K$5,".",IF(A3951=".",1,A3951+1))</f>
        <v>.</v>
      </c>
      <c r="B3952" s="431" t="str">
        <f t="shared" si="61"/>
        <v>Knee Replacement PrimaryCCG of GP PracticeNHS NENE CCG (04G)EQ-5D Index</v>
      </c>
      <c r="C3952" t="s">
        <v>249</v>
      </c>
      <c r="D3952" t="s">
        <v>87</v>
      </c>
      <c r="E3952" t="s">
        <v>621</v>
      </c>
      <c r="F3952" t="s">
        <v>622</v>
      </c>
      <c r="G3952" t="s">
        <v>52</v>
      </c>
      <c r="H3952">
        <v>416</v>
      </c>
      <c r="I3952">
        <v>0.35799999999999998</v>
      </c>
      <c r="J3952">
        <v>0.746</v>
      </c>
      <c r="K3952">
        <v>0.38800000000000001</v>
      </c>
      <c r="L3952">
        <v>356</v>
      </c>
      <c r="M3952">
        <v>26</v>
      </c>
      <c r="N3952">
        <v>34</v>
      </c>
      <c r="O3952">
        <v>0.76400000000000001</v>
      </c>
      <c r="P3952">
        <v>0.339267178</v>
      </c>
      <c r="Q3952">
        <v>0.249</v>
      </c>
    </row>
    <row r="3953" spans="1:17" x14ac:dyDescent="0.2">
      <c r="A3953" s="30" t="str">
        <f>IF(C3953&amp;G3953&amp;D3953&lt;&gt;'Funnel setup'!$K$3&amp;'Funnel setup'!$K$4&amp;'Funnel setup'!$K$5,".",IF(A3952=".",1,A3952+1))</f>
        <v>.</v>
      </c>
      <c r="B3953" s="431" t="str">
        <f t="shared" si="61"/>
        <v>Knee Replacement PrimaryCCG of GP PracticeNHS NEWARK &amp; SHERWOOD CCG (04H)EQ-5D Index</v>
      </c>
      <c r="C3953" t="s">
        <v>249</v>
      </c>
      <c r="D3953" t="s">
        <v>87</v>
      </c>
      <c r="E3953" t="s">
        <v>624</v>
      </c>
      <c r="F3953" t="s">
        <v>625</v>
      </c>
      <c r="G3953" t="s">
        <v>52</v>
      </c>
      <c r="H3953">
        <v>102</v>
      </c>
      <c r="I3953">
        <v>0.35499999999999998</v>
      </c>
      <c r="J3953">
        <v>0.66800000000000004</v>
      </c>
      <c r="K3953">
        <v>0.313</v>
      </c>
      <c r="L3953">
        <v>82</v>
      </c>
      <c r="M3953">
        <v>9</v>
      </c>
      <c r="N3953">
        <v>11</v>
      </c>
      <c r="O3953">
        <v>0.69199999999999995</v>
      </c>
      <c r="P3953">
        <v>0.26719438000000001</v>
      </c>
      <c r="Q3953">
        <v>0.26700000000000002</v>
      </c>
    </row>
    <row r="3954" spans="1:17" x14ac:dyDescent="0.2">
      <c r="A3954" s="30" t="str">
        <f>IF(C3954&amp;G3954&amp;D3954&lt;&gt;'Funnel setup'!$K$3&amp;'Funnel setup'!$K$4&amp;'Funnel setup'!$K$5,".",IF(A3953=".",1,A3953+1))</f>
        <v>.</v>
      </c>
      <c r="B3954" s="431" t="str">
        <f t="shared" si="61"/>
        <v>Knee Replacement PrimaryCCG of GP PracticeNHS NEWBURY AND DISTRICT CCG (10M)EQ-5D Index</v>
      </c>
      <c r="C3954" t="s">
        <v>249</v>
      </c>
      <c r="D3954" t="s">
        <v>87</v>
      </c>
      <c r="E3954" t="s">
        <v>627</v>
      </c>
      <c r="F3954" t="s">
        <v>628</v>
      </c>
      <c r="G3954" t="s">
        <v>52</v>
      </c>
      <c r="H3954">
        <v>50</v>
      </c>
      <c r="I3954">
        <v>0.497</v>
      </c>
      <c r="J3954">
        <v>0.76600000000000001</v>
      </c>
      <c r="K3954">
        <v>0.26900000000000002</v>
      </c>
      <c r="L3954">
        <v>36</v>
      </c>
      <c r="M3954">
        <v>6</v>
      </c>
      <c r="N3954">
        <v>8</v>
      </c>
      <c r="O3954">
        <v>0.71699999999999997</v>
      </c>
      <c r="P3954">
        <v>0.29159475699999998</v>
      </c>
      <c r="Q3954">
        <v>0.19</v>
      </c>
    </row>
    <row r="3955" spans="1:17" x14ac:dyDescent="0.2">
      <c r="A3955" s="30" t="str">
        <f>IF(C3955&amp;G3955&amp;D3955&lt;&gt;'Funnel setup'!$K$3&amp;'Funnel setup'!$K$4&amp;'Funnel setup'!$K$5,".",IF(A3954=".",1,A3954+1))</f>
        <v>.</v>
      </c>
      <c r="B3955" s="431" t="str">
        <f t="shared" si="61"/>
        <v>Knee Replacement PrimaryCCG of GP PracticeNHS NEWCASTLE GATESHEAD CCG (13T)EQ-5D Index</v>
      </c>
      <c r="C3955" t="s">
        <v>249</v>
      </c>
      <c r="D3955" t="s">
        <v>87</v>
      </c>
      <c r="E3955" t="s">
        <v>6553</v>
      </c>
      <c r="F3955" t="s">
        <v>6543</v>
      </c>
      <c r="G3955" t="s">
        <v>52</v>
      </c>
      <c r="H3955">
        <v>475</v>
      </c>
      <c r="I3955">
        <v>0.38700000000000001</v>
      </c>
      <c r="J3955">
        <v>0.71299999999999997</v>
      </c>
      <c r="K3955">
        <v>0.32600000000000001</v>
      </c>
      <c r="L3955">
        <v>380</v>
      </c>
      <c r="M3955">
        <v>45</v>
      </c>
      <c r="N3955">
        <v>50</v>
      </c>
      <c r="O3955">
        <v>0.73799999999999999</v>
      </c>
      <c r="P3955">
        <v>0.31344561300000001</v>
      </c>
      <c r="Q3955">
        <v>0.223</v>
      </c>
    </row>
    <row r="3956" spans="1:17" x14ac:dyDescent="0.2">
      <c r="A3956" s="30" t="str">
        <f>IF(C3956&amp;G3956&amp;D3956&lt;&gt;'Funnel setup'!$K$3&amp;'Funnel setup'!$K$4&amp;'Funnel setup'!$K$5,".",IF(A3955=".",1,A3955+1))</f>
        <v>.</v>
      </c>
      <c r="B3956" s="431" t="str">
        <f t="shared" si="61"/>
        <v>Knee Replacement PrimaryCCG of GP PracticeNHS NEWHAM CCG (08M)EQ-5D Index</v>
      </c>
      <c r="C3956" t="s">
        <v>249</v>
      </c>
      <c r="D3956" t="s">
        <v>87</v>
      </c>
      <c r="E3956" t="s">
        <v>630</v>
      </c>
      <c r="F3956" t="s">
        <v>631</v>
      </c>
      <c r="G3956" t="s">
        <v>52</v>
      </c>
      <c r="H3956">
        <v>88</v>
      </c>
      <c r="I3956">
        <v>0.32500000000000001</v>
      </c>
      <c r="J3956">
        <v>0.54900000000000004</v>
      </c>
      <c r="K3956">
        <v>0.224</v>
      </c>
      <c r="L3956">
        <v>59</v>
      </c>
      <c r="M3956">
        <v>11</v>
      </c>
      <c r="N3956">
        <v>18</v>
      </c>
      <c r="O3956">
        <v>0.65700000000000003</v>
      </c>
      <c r="P3956">
        <v>0.23244335399999999</v>
      </c>
      <c r="Q3956">
        <v>0.28499999999999998</v>
      </c>
    </row>
    <row r="3957" spans="1:17" x14ac:dyDescent="0.2">
      <c r="A3957" s="30" t="str">
        <f>IF(C3957&amp;G3957&amp;D3957&lt;&gt;'Funnel setup'!$K$3&amp;'Funnel setup'!$K$4&amp;'Funnel setup'!$K$5,".",IF(A3956=".",1,A3956+1))</f>
        <v>.</v>
      </c>
      <c r="B3957" s="431" t="str">
        <f t="shared" si="61"/>
        <v>Knee Replacement PrimaryCCG of GP PracticeNHS NORTH &amp; WEST READING CCG (10N)EQ-5D Index</v>
      </c>
      <c r="C3957" t="s">
        <v>249</v>
      </c>
      <c r="D3957" t="s">
        <v>87</v>
      </c>
      <c r="E3957" t="s">
        <v>633</v>
      </c>
      <c r="F3957" t="s">
        <v>634</v>
      </c>
      <c r="G3957" t="s">
        <v>52</v>
      </c>
      <c r="H3957">
        <v>72</v>
      </c>
      <c r="I3957">
        <v>0.53900000000000003</v>
      </c>
      <c r="J3957">
        <v>0.76400000000000001</v>
      </c>
      <c r="K3957">
        <v>0.22500000000000001</v>
      </c>
      <c r="L3957">
        <v>50</v>
      </c>
      <c r="M3957">
        <v>14</v>
      </c>
      <c r="N3957">
        <v>8</v>
      </c>
      <c r="O3957">
        <v>0.70399999999999996</v>
      </c>
      <c r="P3957">
        <v>0.27890996000000001</v>
      </c>
      <c r="Q3957">
        <v>0.19600000000000001</v>
      </c>
    </row>
    <row r="3958" spans="1:17" x14ac:dyDescent="0.2">
      <c r="A3958" s="30" t="str">
        <f>IF(C3958&amp;G3958&amp;D3958&lt;&gt;'Funnel setup'!$K$3&amp;'Funnel setup'!$K$4&amp;'Funnel setup'!$K$5,".",IF(A3957=".",1,A3957+1))</f>
        <v>.</v>
      </c>
      <c r="B3958" s="431" t="str">
        <f t="shared" si="61"/>
        <v>Knee Replacement PrimaryCCG of GP PracticeNHS NORTH DERBYSHIRE CCG (04J)EQ-5D Index</v>
      </c>
      <c r="C3958" t="s">
        <v>249</v>
      </c>
      <c r="D3958" t="s">
        <v>87</v>
      </c>
      <c r="E3958" t="s">
        <v>636</v>
      </c>
      <c r="F3958" t="s">
        <v>637</v>
      </c>
      <c r="G3958" t="s">
        <v>52</v>
      </c>
      <c r="H3958">
        <v>321</v>
      </c>
      <c r="I3958">
        <v>0.46100000000000002</v>
      </c>
      <c r="J3958">
        <v>0.77100000000000002</v>
      </c>
      <c r="K3958">
        <v>0.311</v>
      </c>
      <c r="L3958">
        <v>268</v>
      </c>
      <c r="M3958">
        <v>29</v>
      </c>
      <c r="N3958">
        <v>24</v>
      </c>
      <c r="O3958">
        <v>0.75900000000000001</v>
      </c>
      <c r="P3958">
        <v>0.33422889900000002</v>
      </c>
      <c r="Q3958">
        <v>0.215</v>
      </c>
    </row>
    <row r="3959" spans="1:17" x14ac:dyDescent="0.2">
      <c r="A3959" s="30" t="str">
        <f>IF(C3959&amp;G3959&amp;D3959&lt;&gt;'Funnel setup'!$K$3&amp;'Funnel setup'!$K$4&amp;'Funnel setup'!$K$5,".",IF(A3958=".",1,A3958+1))</f>
        <v>.</v>
      </c>
      <c r="B3959" s="431" t="str">
        <f t="shared" si="61"/>
        <v>Knee Replacement PrimaryCCG of GP PracticeNHS NORTH DURHAM CCG (00J)EQ-5D Index</v>
      </c>
      <c r="C3959" t="s">
        <v>249</v>
      </c>
      <c r="D3959" t="s">
        <v>87</v>
      </c>
      <c r="E3959" t="s">
        <v>639</v>
      </c>
      <c r="F3959" t="s">
        <v>640</v>
      </c>
      <c r="G3959" t="s">
        <v>52</v>
      </c>
      <c r="H3959">
        <v>225</v>
      </c>
      <c r="I3959">
        <v>0.35299999999999998</v>
      </c>
      <c r="J3959">
        <v>0.71099999999999997</v>
      </c>
      <c r="K3959">
        <v>0.35799999999999998</v>
      </c>
      <c r="L3959">
        <v>185</v>
      </c>
      <c r="M3959">
        <v>21</v>
      </c>
      <c r="N3959">
        <v>19</v>
      </c>
      <c r="O3959">
        <v>0.73799999999999999</v>
      </c>
      <c r="P3959">
        <v>0.31303400100000001</v>
      </c>
      <c r="Q3959">
        <v>0.246</v>
      </c>
    </row>
    <row r="3960" spans="1:17" x14ac:dyDescent="0.2">
      <c r="A3960" s="30" t="str">
        <f>IF(C3960&amp;G3960&amp;D3960&lt;&gt;'Funnel setup'!$K$3&amp;'Funnel setup'!$K$4&amp;'Funnel setup'!$K$5,".",IF(A3959=".",1,A3959+1))</f>
        <v>.</v>
      </c>
      <c r="B3960" s="431" t="str">
        <f t="shared" si="61"/>
        <v>Knee Replacement PrimaryCCG of GP PracticeNHS NORTH EAST ESSEX CCG (06T)EQ-5D Index</v>
      </c>
      <c r="C3960" t="s">
        <v>249</v>
      </c>
      <c r="D3960" t="s">
        <v>87</v>
      </c>
      <c r="E3960" t="s">
        <v>642</v>
      </c>
      <c r="F3960" t="s">
        <v>643</v>
      </c>
      <c r="G3960" t="s">
        <v>52</v>
      </c>
      <c r="H3960">
        <v>315</v>
      </c>
      <c r="I3960">
        <v>0.45900000000000002</v>
      </c>
      <c r="J3960">
        <v>0.75900000000000001</v>
      </c>
      <c r="K3960">
        <v>0.3</v>
      </c>
      <c r="L3960">
        <v>256</v>
      </c>
      <c r="M3960">
        <v>33</v>
      </c>
      <c r="N3960">
        <v>26</v>
      </c>
      <c r="O3960">
        <v>0.753</v>
      </c>
      <c r="P3960">
        <v>0.328411601</v>
      </c>
      <c r="Q3960">
        <v>0.22</v>
      </c>
    </row>
    <row r="3961" spans="1:17" x14ac:dyDescent="0.2">
      <c r="A3961" s="30" t="str">
        <f>IF(C3961&amp;G3961&amp;D3961&lt;&gt;'Funnel setup'!$K$3&amp;'Funnel setup'!$K$4&amp;'Funnel setup'!$K$5,".",IF(A3960=".",1,A3960+1))</f>
        <v>.</v>
      </c>
      <c r="B3961" s="431" t="str">
        <f t="shared" si="61"/>
        <v>Knee Replacement PrimaryCCG of GP PracticeNHS NORTH EAST HAMPSHIRE AND FARNHAM CCG (99M)EQ-5D Index</v>
      </c>
      <c r="C3961" t="s">
        <v>249</v>
      </c>
      <c r="D3961" t="s">
        <v>87</v>
      </c>
      <c r="E3961" t="s">
        <v>645</v>
      </c>
      <c r="F3961" t="s">
        <v>646</v>
      </c>
      <c r="G3961" t="s">
        <v>52</v>
      </c>
      <c r="H3961">
        <v>176</v>
      </c>
      <c r="I3961">
        <v>0.53</v>
      </c>
      <c r="J3961">
        <v>0.8</v>
      </c>
      <c r="K3961">
        <v>0.27</v>
      </c>
      <c r="L3961">
        <v>143</v>
      </c>
      <c r="M3961">
        <v>17</v>
      </c>
      <c r="N3961">
        <v>16</v>
      </c>
      <c r="O3961">
        <v>0.747</v>
      </c>
      <c r="P3961">
        <v>0.32153700699999999</v>
      </c>
      <c r="Q3961">
        <v>0.17699999999999999</v>
      </c>
    </row>
    <row r="3962" spans="1:17" x14ac:dyDescent="0.2">
      <c r="A3962" s="30" t="str">
        <f>IF(C3962&amp;G3962&amp;D3962&lt;&gt;'Funnel setup'!$K$3&amp;'Funnel setup'!$K$4&amp;'Funnel setup'!$K$5,".",IF(A3961=".",1,A3961+1))</f>
        <v>.</v>
      </c>
      <c r="B3962" s="431" t="str">
        <f t="shared" si="61"/>
        <v>Knee Replacement PrimaryCCG of GP PracticeNHS NORTH EAST LINCOLNSHIRE CCG (03H)EQ-5D Index</v>
      </c>
      <c r="C3962" t="s">
        <v>249</v>
      </c>
      <c r="D3962" t="s">
        <v>87</v>
      </c>
      <c r="E3962" t="s">
        <v>648</v>
      </c>
      <c r="F3962" t="s">
        <v>649</v>
      </c>
      <c r="G3962" t="s">
        <v>52</v>
      </c>
      <c r="H3962">
        <v>94</v>
      </c>
      <c r="I3962">
        <v>0.39500000000000002</v>
      </c>
      <c r="J3962">
        <v>0.752</v>
      </c>
      <c r="K3962">
        <v>0.35699999999999998</v>
      </c>
      <c r="L3962">
        <v>77</v>
      </c>
      <c r="M3962">
        <v>11</v>
      </c>
      <c r="N3962">
        <v>6</v>
      </c>
      <c r="O3962">
        <v>0.752</v>
      </c>
      <c r="P3962">
        <v>0.32658034000000002</v>
      </c>
      <c r="Q3962">
        <v>0.224</v>
      </c>
    </row>
    <row r="3963" spans="1:17" x14ac:dyDescent="0.2">
      <c r="A3963" s="30" t="str">
        <f>IF(C3963&amp;G3963&amp;D3963&lt;&gt;'Funnel setup'!$K$3&amp;'Funnel setup'!$K$4&amp;'Funnel setup'!$K$5,".",IF(A3962=".",1,A3962+1))</f>
        <v>.</v>
      </c>
      <c r="B3963" s="431" t="str">
        <f t="shared" si="61"/>
        <v>Knee Replacement PrimaryCCG of GP PracticeNHS NORTH HAMPSHIRE CCG (10J)EQ-5D Index</v>
      </c>
      <c r="C3963" t="s">
        <v>249</v>
      </c>
      <c r="D3963" t="s">
        <v>87</v>
      </c>
      <c r="E3963" t="s">
        <v>651</v>
      </c>
      <c r="F3963" t="s">
        <v>652</v>
      </c>
      <c r="G3963" t="s">
        <v>52</v>
      </c>
      <c r="H3963">
        <v>115</v>
      </c>
      <c r="I3963">
        <v>0.48299999999999998</v>
      </c>
      <c r="J3963">
        <v>0.75</v>
      </c>
      <c r="K3963">
        <v>0.26700000000000002</v>
      </c>
      <c r="L3963">
        <v>91</v>
      </c>
      <c r="M3963">
        <v>12</v>
      </c>
      <c r="N3963">
        <v>12</v>
      </c>
      <c r="O3963">
        <v>0.73299999999999998</v>
      </c>
      <c r="P3963">
        <v>0.30756884200000001</v>
      </c>
      <c r="Q3963">
        <v>0.218</v>
      </c>
    </row>
    <row r="3964" spans="1:17" x14ac:dyDescent="0.2">
      <c r="A3964" s="30" t="str">
        <f>IF(C3964&amp;G3964&amp;D3964&lt;&gt;'Funnel setup'!$K$3&amp;'Funnel setup'!$K$4&amp;'Funnel setup'!$K$5,".",IF(A3963=".",1,A3963+1))</f>
        <v>.</v>
      </c>
      <c r="B3964" s="431" t="str">
        <f t="shared" si="61"/>
        <v>Knee Replacement PrimaryCCG of GP PracticeNHS NORTH KIRKLEES CCG (03J)EQ-5D Index</v>
      </c>
      <c r="C3964" t="s">
        <v>249</v>
      </c>
      <c r="D3964" t="s">
        <v>87</v>
      </c>
      <c r="E3964" t="s">
        <v>654</v>
      </c>
      <c r="F3964" t="s">
        <v>655</v>
      </c>
      <c r="G3964" t="s">
        <v>52</v>
      </c>
      <c r="H3964">
        <v>144</v>
      </c>
      <c r="I3964">
        <v>0.45900000000000002</v>
      </c>
      <c r="J3964">
        <v>0.751</v>
      </c>
      <c r="K3964">
        <v>0.29199999999999998</v>
      </c>
      <c r="L3964">
        <v>112</v>
      </c>
      <c r="M3964">
        <v>16</v>
      </c>
      <c r="N3964">
        <v>16</v>
      </c>
      <c r="O3964">
        <v>0.76</v>
      </c>
      <c r="P3964">
        <v>0.33478386799999998</v>
      </c>
      <c r="Q3964">
        <v>0.20100000000000001</v>
      </c>
    </row>
    <row r="3965" spans="1:17" x14ac:dyDescent="0.2">
      <c r="A3965" s="30" t="str">
        <f>IF(C3965&amp;G3965&amp;D3965&lt;&gt;'Funnel setup'!$K$3&amp;'Funnel setup'!$K$4&amp;'Funnel setup'!$K$5,".",IF(A3964=".",1,A3964+1))</f>
        <v>.</v>
      </c>
      <c r="B3965" s="431" t="str">
        <f t="shared" si="61"/>
        <v>Knee Replacement PrimaryCCG of GP PracticeNHS NORTH LINCOLNSHIRE CCG (03K)EQ-5D Index</v>
      </c>
      <c r="C3965" t="s">
        <v>249</v>
      </c>
      <c r="D3965" t="s">
        <v>87</v>
      </c>
      <c r="E3965" t="s">
        <v>657</v>
      </c>
      <c r="F3965" t="s">
        <v>658</v>
      </c>
      <c r="G3965" t="s">
        <v>52</v>
      </c>
      <c r="H3965">
        <v>183</v>
      </c>
      <c r="I3965">
        <v>0.39800000000000002</v>
      </c>
      <c r="J3965">
        <v>0.749</v>
      </c>
      <c r="K3965">
        <v>0.35099999999999998</v>
      </c>
      <c r="L3965">
        <v>150</v>
      </c>
      <c r="M3965">
        <v>18</v>
      </c>
      <c r="N3965">
        <v>15</v>
      </c>
      <c r="O3965">
        <v>0.753</v>
      </c>
      <c r="P3965">
        <v>0.32825339199999998</v>
      </c>
      <c r="Q3965">
        <v>0.24</v>
      </c>
    </row>
    <row r="3966" spans="1:17" x14ac:dyDescent="0.2">
      <c r="A3966" s="30" t="str">
        <f>IF(C3966&amp;G3966&amp;D3966&lt;&gt;'Funnel setup'!$K$3&amp;'Funnel setup'!$K$4&amp;'Funnel setup'!$K$5,".",IF(A3965=".",1,A3965+1))</f>
        <v>.</v>
      </c>
      <c r="B3966" s="431" t="str">
        <f t="shared" si="61"/>
        <v>Knee Replacement PrimaryCCG of GP PracticeNHS NORTH MANCHESTER CCG (01M)EQ-5D Index</v>
      </c>
      <c r="C3966" t="s">
        <v>249</v>
      </c>
      <c r="D3966" t="s">
        <v>87</v>
      </c>
      <c r="E3966" t="s">
        <v>660</v>
      </c>
      <c r="F3966" t="s">
        <v>661</v>
      </c>
      <c r="G3966" t="s">
        <v>52</v>
      </c>
      <c r="H3966">
        <v>94</v>
      </c>
      <c r="I3966">
        <v>0.34100000000000003</v>
      </c>
      <c r="J3966">
        <v>0.66200000000000003</v>
      </c>
      <c r="K3966">
        <v>0.32100000000000001</v>
      </c>
      <c r="L3966">
        <v>73</v>
      </c>
      <c r="M3966">
        <v>9</v>
      </c>
      <c r="N3966">
        <v>12</v>
      </c>
      <c r="O3966">
        <v>0.73199999999999998</v>
      </c>
      <c r="P3966">
        <v>0.30681204200000001</v>
      </c>
      <c r="Q3966">
        <v>0.29699999999999999</v>
      </c>
    </row>
    <row r="3967" spans="1:17" x14ac:dyDescent="0.2">
      <c r="A3967" s="30" t="str">
        <f>IF(C3967&amp;G3967&amp;D3967&lt;&gt;'Funnel setup'!$K$3&amp;'Funnel setup'!$K$4&amp;'Funnel setup'!$K$5,".",IF(A3966=".",1,A3966+1))</f>
        <v>.</v>
      </c>
      <c r="B3967" s="431" t="str">
        <f t="shared" si="61"/>
        <v>Knee Replacement PrimaryCCG of GP PracticeNHS NORTH NORFOLK CCG (06V)EQ-5D Index</v>
      </c>
      <c r="C3967" t="s">
        <v>249</v>
      </c>
      <c r="D3967" t="s">
        <v>87</v>
      </c>
      <c r="E3967" t="s">
        <v>663</v>
      </c>
      <c r="F3967" t="s">
        <v>664</v>
      </c>
      <c r="G3967" t="s">
        <v>52</v>
      </c>
      <c r="H3967">
        <v>183</v>
      </c>
      <c r="I3967">
        <v>0.442</v>
      </c>
      <c r="J3967">
        <v>0.75</v>
      </c>
      <c r="K3967">
        <v>0.307</v>
      </c>
      <c r="L3967">
        <v>152</v>
      </c>
      <c r="M3967">
        <v>16</v>
      </c>
      <c r="N3967">
        <v>15</v>
      </c>
      <c r="O3967">
        <v>0.73799999999999999</v>
      </c>
      <c r="P3967">
        <v>0.31339204300000001</v>
      </c>
      <c r="Q3967">
        <v>0.23300000000000001</v>
      </c>
    </row>
    <row r="3968" spans="1:17" x14ac:dyDescent="0.2">
      <c r="A3968" s="30" t="str">
        <f>IF(C3968&amp;G3968&amp;D3968&lt;&gt;'Funnel setup'!$K$3&amp;'Funnel setup'!$K$4&amp;'Funnel setup'!$K$5,".",IF(A3967=".",1,A3967+1))</f>
        <v>.</v>
      </c>
      <c r="B3968" s="431" t="str">
        <f t="shared" si="61"/>
        <v>Knee Replacement PrimaryCCG of GP PracticeNHS NORTH SOMERSET CCG (11T)EQ-5D Index</v>
      </c>
      <c r="C3968" t="s">
        <v>249</v>
      </c>
      <c r="D3968" t="s">
        <v>87</v>
      </c>
      <c r="E3968" t="s">
        <v>666</v>
      </c>
      <c r="F3968" t="s">
        <v>667</v>
      </c>
      <c r="G3968" t="s">
        <v>52</v>
      </c>
      <c r="H3968">
        <v>183</v>
      </c>
      <c r="I3968">
        <v>0.443</v>
      </c>
      <c r="J3968">
        <v>0.78</v>
      </c>
      <c r="K3968">
        <v>0.33700000000000002</v>
      </c>
      <c r="L3968">
        <v>149</v>
      </c>
      <c r="M3968">
        <v>20</v>
      </c>
      <c r="N3968">
        <v>14</v>
      </c>
      <c r="O3968">
        <v>0.75600000000000001</v>
      </c>
      <c r="P3968">
        <v>0.33106686499999999</v>
      </c>
      <c r="Q3968">
        <v>0.218</v>
      </c>
    </row>
    <row r="3969" spans="1:17" x14ac:dyDescent="0.2">
      <c r="A3969" s="30" t="str">
        <f>IF(C3969&amp;G3969&amp;D3969&lt;&gt;'Funnel setup'!$K$3&amp;'Funnel setup'!$K$4&amp;'Funnel setup'!$K$5,".",IF(A3968=".",1,A3968+1))</f>
        <v>.</v>
      </c>
      <c r="B3969" s="431" t="str">
        <f t="shared" si="61"/>
        <v>Knee Replacement PrimaryCCG of GP PracticeNHS NORTH STAFFORDSHIRE CCG (05G)EQ-5D Index</v>
      </c>
      <c r="C3969" t="s">
        <v>249</v>
      </c>
      <c r="D3969" t="s">
        <v>87</v>
      </c>
      <c r="E3969" t="s">
        <v>669</v>
      </c>
      <c r="F3969" t="s">
        <v>670</v>
      </c>
      <c r="G3969" t="s">
        <v>52</v>
      </c>
      <c r="H3969">
        <v>183</v>
      </c>
      <c r="I3969">
        <v>0.38600000000000001</v>
      </c>
      <c r="J3969">
        <v>0.70699999999999996</v>
      </c>
      <c r="K3969">
        <v>0.32100000000000001</v>
      </c>
      <c r="L3969">
        <v>146</v>
      </c>
      <c r="M3969">
        <v>21</v>
      </c>
      <c r="N3969">
        <v>16</v>
      </c>
      <c r="O3969">
        <v>0.73199999999999998</v>
      </c>
      <c r="P3969">
        <v>0.30697434200000001</v>
      </c>
      <c r="Q3969">
        <v>0.23300000000000001</v>
      </c>
    </row>
    <row r="3970" spans="1:17" x14ac:dyDescent="0.2">
      <c r="A3970" s="30" t="str">
        <f>IF(C3970&amp;G3970&amp;D3970&lt;&gt;'Funnel setup'!$K$3&amp;'Funnel setup'!$K$4&amp;'Funnel setup'!$K$5,".",IF(A3969=".",1,A3969+1))</f>
        <v>.</v>
      </c>
      <c r="B3970" s="431" t="str">
        <f t="shared" si="61"/>
        <v>Knee Replacement PrimaryCCG of GP PracticeNHS NORTH TYNESIDE CCG (99C)EQ-5D Index</v>
      </c>
      <c r="C3970" t="s">
        <v>249</v>
      </c>
      <c r="D3970" t="s">
        <v>87</v>
      </c>
      <c r="E3970" t="s">
        <v>672</v>
      </c>
      <c r="F3970" t="s">
        <v>673</v>
      </c>
      <c r="G3970" t="s">
        <v>52</v>
      </c>
      <c r="H3970">
        <v>261</v>
      </c>
      <c r="I3970">
        <v>0.39500000000000002</v>
      </c>
      <c r="J3970">
        <v>0.74199999999999999</v>
      </c>
      <c r="K3970">
        <v>0.34699999999999998</v>
      </c>
      <c r="L3970">
        <v>222</v>
      </c>
      <c r="M3970">
        <v>22</v>
      </c>
      <c r="N3970">
        <v>17</v>
      </c>
      <c r="O3970">
        <v>0.755</v>
      </c>
      <c r="P3970">
        <v>0.32952932099999999</v>
      </c>
      <c r="Q3970">
        <v>0.19500000000000001</v>
      </c>
    </row>
    <row r="3971" spans="1:17" x14ac:dyDescent="0.2">
      <c r="A3971" s="30" t="str">
        <f>IF(C3971&amp;G3971&amp;D3971&lt;&gt;'Funnel setup'!$K$3&amp;'Funnel setup'!$K$4&amp;'Funnel setup'!$K$5,".",IF(A3970=".",1,A3970+1))</f>
        <v>.</v>
      </c>
      <c r="B3971" s="431" t="str">
        <f t="shared" ref="B3971:B4034" si="62">C3971&amp;D3971&amp;F3971&amp;G3971</f>
        <v>Knee Replacement PrimaryCCG of GP PracticeNHS NORTH WEST SURREY CCG (09Y)EQ-5D Index</v>
      </c>
      <c r="C3971" t="s">
        <v>249</v>
      </c>
      <c r="D3971" t="s">
        <v>87</v>
      </c>
      <c r="E3971" t="s">
        <v>675</v>
      </c>
      <c r="F3971" t="s">
        <v>676</v>
      </c>
      <c r="G3971" t="s">
        <v>52</v>
      </c>
      <c r="H3971">
        <v>287</v>
      </c>
      <c r="I3971">
        <v>0.45600000000000002</v>
      </c>
      <c r="J3971">
        <v>0.76200000000000001</v>
      </c>
      <c r="K3971">
        <v>0.30599999999999999</v>
      </c>
      <c r="L3971">
        <v>237</v>
      </c>
      <c r="M3971">
        <v>26</v>
      </c>
      <c r="N3971">
        <v>24</v>
      </c>
      <c r="O3971">
        <v>0.73499999999999999</v>
      </c>
      <c r="P3971">
        <v>0.30997006300000002</v>
      </c>
      <c r="Q3971">
        <v>0.214</v>
      </c>
    </row>
    <row r="3972" spans="1:17" x14ac:dyDescent="0.2">
      <c r="A3972" s="30" t="str">
        <f>IF(C3972&amp;G3972&amp;D3972&lt;&gt;'Funnel setup'!$K$3&amp;'Funnel setup'!$K$4&amp;'Funnel setup'!$K$5,".",IF(A3971=".",1,A3971+1))</f>
        <v>.</v>
      </c>
      <c r="B3972" s="431" t="str">
        <f t="shared" si="62"/>
        <v>Knee Replacement PrimaryCCG of GP PracticeNHS NORTHERN, EASTERN AND WESTERN DEVON CCG (99P)EQ-5D Index</v>
      </c>
      <c r="C3972" t="s">
        <v>249</v>
      </c>
      <c r="D3972" t="s">
        <v>87</v>
      </c>
      <c r="E3972" t="s">
        <v>678</v>
      </c>
      <c r="F3972" t="s">
        <v>679</v>
      </c>
      <c r="G3972" t="s">
        <v>52</v>
      </c>
      <c r="H3972">
        <v>991</v>
      </c>
      <c r="I3972">
        <v>0.46600000000000003</v>
      </c>
      <c r="J3972">
        <v>0.77</v>
      </c>
      <c r="K3972">
        <v>0.30499999999999999</v>
      </c>
      <c r="L3972">
        <v>814</v>
      </c>
      <c r="M3972">
        <v>94</v>
      </c>
      <c r="N3972">
        <v>83</v>
      </c>
      <c r="O3972">
        <v>0.753</v>
      </c>
      <c r="P3972">
        <v>0.327965548</v>
      </c>
      <c r="Q3972">
        <v>0.20699999999999999</v>
      </c>
    </row>
    <row r="3973" spans="1:17" x14ac:dyDescent="0.2">
      <c r="A3973" s="30" t="str">
        <f>IF(C3973&amp;G3973&amp;D3973&lt;&gt;'Funnel setup'!$K$3&amp;'Funnel setup'!$K$4&amp;'Funnel setup'!$K$5,".",IF(A3972=".",1,A3972+1))</f>
        <v>.</v>
      </c>
      <c r="B3973" s="431" t="str">
        <f t="shared" si="62"/>
        <v>Knee Replacement PrimaryCCG of GP PracticeNHS NORTHUMBERLAND CCG (00L)EQ-5D Index</v>
      </c>
      <c r="C3973" t="s">
        <v>249</v>
      </c>
      <c r="D3973" t="s">
        <v>87</v>
      </c>
      <c r="E3973" t="s">
        <v>681</v>
      </c>
      <c r="F3973" t="s">
        <v>336</v>
      </c>
      <c r="G3973" t="s">
        <v>52</v>
      </c>
      <c r="H3973">
        <v>396</v>
      </c>
      <c r="I3973">
        <v>0.44900000000000001</v>
      </c>
      <c r="J3973">
        <v>0.755</v>
      </c>
      <c r="K3973">
        <v>0.30599999999999999</v>
      </c>
      <c r="L3973">
        <v>322</v>
      </c>
      <c r="M3973">
        <v>41</v>
      </c>
      <c r="N3973">
        <v>33</v>
      </c>
      <c r="O3973">
        <v>0.753</v>
      </c>
      <c r="P3973">
        <v>0.32814934800000001</v>
      </c>
      <c r="Q3973">
        <v>0.21299999999999999</v>
      </c>
    </row>
    <row r="3974" spans="1:17" x14ac:dyDescent="0.2">
      <c r="A3974" s="30" t="str">
        <f>IF(C3974&amp;G3974&amp;D3974&lt;&gt;'Funnel setup'!$K$3&amp;'Funnel setup'!$K$4&amp;'Funnel setup'!$K$5,".",IF(A3973=".",1,A3973+1))</f>
        <v>.</v>
      </c>
      <c r="B3974" s="431" t="str">
        <f t="shared" si="62"/>
        <v>Knee Replacement PrimaryCCG of GP PracticeNHS NORWICH CCG (06W)EQ-5D Index</v>
      </c>
      <c r="C3974" t="s">
        <v>249</v>
      </c>
      <c r="D3974" t="s">
        <v>87</v>
      </c>
      <c r="E3974" t="s">
        <v>770</v>
      </c>
      <c r="F3974" t="s">
        <v>771</v>
      </c>
      <c r="G3974" t="s">
        <v>52</v>
      </c>
      <c r="H3974">
        <v>132</v>
      </c>
      <c r="I3974">
        <v>0.39600000000000002</v>
      </c>
      <c r="J3974">
        <v>0.70799999999999996</v>
      </c>
      <c r="K3974">
        <v>0.312</v>
      </c>
      <c r="L3974">
        <v>103</v>
      </c>
      <c r="M3974">
        <v>13</v>
      </c>
      <c r="N3974">
        <v>16</v>
      </c>
      <c r="O3974">
        <v>0.72099999999999997</v>
      </c>
      <c r="P3974">
        <v>0.29556389599999999</v>
      </c>
      <c r="Q3974">
        <v>0.23899999999999999</v>
      </c>
    </row>
    <row r="3975" spans="1:17" x14ac:dyDescent="0.2">
      <c r="A3975" s="30" t="str">
        <f>IF(C3975&amp;G3975&amp;D3975&lt;&gt;'Funnel setup'!$K$3&amp;'Funnel setup'!$K$4&amp;'Funnel setup'!$K$5,".",IF(A3974=".",1,A3974+1))</f>
        <v>.</v>
      </c>
      <c r="B3975" s="431" t="str">
        <f t="shared" si="62"/>
        <v>Knee Replacement PrimaryCCG of GP PracticeNHS NOTTINGHAM CITY CCG (04K)EQ-5D Index</v>
      </c>
      <c r="C3975" t="s">
        <v>249</v>
      </c>
      <c r="D3975" t="s">
        <v>87</v>
      </c>
      <c r="E3975" t="s">
        <v>773</v>
      </c>
      <c r="F3975" t="s">
        <v>774</v>
      </c>
      <c r="G3975" t="s">
        <v>52</v>
      </c>
      <c r="H3975">
        <v>157</v>
      </c>
      <c r="I3975">
        <v>0.38700000000000001</v>
      </c>
      <c r="J3975">
        <v>0.65900000000000003</v>
      </c>
      <c r="K3975">
        <v>0.27200000000000002</v>
      </c>
      <c r="L3975">
        <v>108</v>
      </c>
      <c r="M3975">
        <v>27</v>
      </c>
      <c r="N3975">
        <v>22</v>
      </c>
      <c r="O3975">
        <v>0.69899999999999995</v>
      </c>
      <c r="P3975">
        <v>0.27444442200000002</v>
      </c>
      <c r="Q3975">
        <v>0.249</v>
      </c>
    </row>
    <row r="3976" spans="1:17" x14ac:dyDescent="0.2">
      <c r="A3976" s="30" t="str">
        <f>IF(C3976&amp;G3976&amp;D3976&lt;&gt;'Funnel setup'!$K$3&amp;'Funnel setup'!$K$4&amp;'Funnel setup'!$K$5,".",IF(A3975=".",1,A3975+1))</f>
        <v>.</v>
      </c>
      <c r="B3976" s="431" t="str">
        <f t="shared" si="62"/>
        <v>Knee Replacement PrimaryCCG of GP PracticeNHS NOTTINGHAM NORTH AND EAST CCG (04L)EQ-5D Index</v>
      </c>
      <c r="C3976" t="s">
        <v>249</v>
      </c>
      <c r="D3976" t="s">
        <v>87</v>
      </c>
      <c r="E3976" t="s">
        <v>776</v>
      </c>
      <c r="F3976" t="s">
        <v>777</v>
      </c>
      <c r="G3976" t="s">
        <v>52</v>
      </c>
      <c r="H3976">
        <v>127</v>
      </c>
      <c r="I3976">
        <v>0.438</v>
      </c>
      <c r="J3976">
        <v>0.76</v>
      </c>
      <c r="K3976">
        <v>0.32200000000000001</v>
      </c>
      <c r="L3976">
        <v>103</v>
      </c>
      <c r="M3976">
        <v>18</v>
      </c>
      <c r="N3976">
        <v>6</v>
      </c>
      <c r="O3976">
        <v>0.753</v>
      </c>
      <c r="P3976">
        <v>0.32769678400000002</v>
      </c>
      <c r="Q3976">
        <v>0.191</v>
      </c>
    </row>
    <row r="3977" spans="1:17" x14ac:dyDescent="0.2">
      <c r="A3977" s="30" t="str">
        <f>IF(C3977&amp;G3977&amp;D3977&lt;&gt;'Funnel setup'!$K$3&amp;'Funnel setup'!$K$4&amp;'Funnel setup'!$K$5,".",IF(A3976=".",1,A3976+1))</f>
        <v>.</v>
      </c>
      <c r="B3977" s="431" t="str">
        <f t="shared" si="62"/>
        <v>Knee Replacement PrimaryCCG of GP PracticeNHS NOTTINGHAM WEST CCG (04M)EQ-5D Index</v>
      </c>
      <c r="C3977" t="s">
        <v>249</v>
      </c>
      <c r="D3977" t="s">
        <v>87</v>
      </c>
      <c r="E3977" t="s">
        <v>779</v>
      </c>
      <c r="F3977" t="s">
        <v>780</v>
      </c>
      <c r="G3977" t="s">
        <v>52</v>
      </c>
      <c r="H3977">
        <v>100</v>
      </c>
      <c r="I3977">
        <v>0.40600000000000003</v>
      </c>
      <c r="J3977">
        <v>0.71599999999999997</v>
      </c>
      <c r="K3977">
        <v>0.31</v>
      </c>
      <c r="L3977">
        <v>72</v>
      </c>
      <c r="M3977">
        <v>15</v>
      </c>
      <c r="N3977">
        <v>13</v>
      </c>
      <c r="O3977">
        <v>0.71499999999999997</v>
      </c>
      <c r="P3977">
        <v>0.29001303899999997</v>
      </c>
      <c r="Q3977">
        <v>0.23100000000000001</v>
      </c>
    </row>
    <row r="3978" spans="1:17" x14ac:dyDescent="0.2">
      <c r="A3978" s="30" t="str">
        <f>IF(C3978&amp;G3978&amp;D3978&lt;&gt;'Funnel setup'!$K$3&amp;'Funnel setup'!$K$4&amp;'Funnel setup'!$K$5,".",IF(A3977=".",1,A3977+1))</f>
        <v>.</v>
      </c>
      <c r="B3978" s="431" t="str">
        <f t="shared" si="62"/>
        <v>Knee Replacement PrimaryCCG of GP PracticeNHS OLDHAM CCG (00Y)EQ-5D Index</v>
      </c>
      <c r="C3978" t="s">
        <v>249</v>
      </c>
      <c r="D3978" t="s">
        <v>87</v>
      </c>
      <c r="E3978" t="s">
        <v>782</v>
      </c>
      <c r="F3978" t="s">
        <v>783</v>
      </c>
      <c r="G3978" t="s">
        <v>52</v>
      </c>
      <c r="H3978">
        <v>141</v>
      </c>
      <c r="I3978">
        <v>0.41199999999999998</v>
      </c>
      <c r="J3978">
        <v>0.70699999999999996</v>
      </c>
      <c r="K3978">
        <v>0.29499999999999998</v>
      </c>
      <c r="L3978">
        <v>112</v>
      </c>
      <c r="M3978">
        <v>16</v>
      </c>
      <c r="N3978">
        <v>13</v>
      </c>
      <c r="O3978">
        <v>0.72799999999999998</v>
      </c>
      <c r="P3978">
        <v>0.30264603299999998</v>
      </c>
      <c r="Q3978">
        <v>0.245</v>
      </c>
    </row>
    <row r="3979" spans="1:17" x14ac:dyDescent="0.2">
      <c r="A3979" s="30" t="str">
        <f>IF(C3979&amp;G3979&amp;D3979&lt;&gt;'Funnel setup'!$K$3&amp;'Funnel setup'!$K$4&amp;'Funnel setup'!$K$5,".",IF(A3978=".",1,A3978+1))</f>
        <v>.</v>
      </c>
      <c r="B3979" s="431" t="str">
        <f t="shared" si="62"/>
        <v>Knee Replacement PrimaryCCG of GP PracticeNHS OXFORDSHIRE CCG (10Q)EQ-5D Index</v>
      </c>
      <c r="C3979" t="s">
        <v>249</v>
      </c>
      <c r="D3979" t="s">
        <v>87</v>
      </c>
      <c r="E3979" t="s">
        <v>785</v>
      </c>
      <c r="F3979" t="s">
        <v>786</v>
      </c>
      <c r="G3979" t="s">
        <v>52</v>
      </c>
      <c r="H3979">
        <v>282</v>
      </c>
      <c r="I3979">
        <v>0.42399999999999999</v>
      </c>
      <c r="J3979">
        <v>0.74299999999999999</v>
      </c>
      <c r="K3979">
        <v>0.32</v>
      </c>
      <c r="L3979">
        <v>234</v>
      </c>
      <c r="M3979">
        <v>28</v>
      </c>
      <c r="N3979">
        <v>20</v>
      </c>
      <c r="O3979">
        <v>0.72799999999999998</v>
      </c>
      <c r="P3979">
        <v>0.30313205199999999</v>
      </c>
      <c r="Q3979">
        <v>0.20899999999999999</v>
      </c>
    </row>
    <row r="3980" spans="1:17" x14ac:dyDescent="0.2">
      <c r="A3980" s="30" t="str">
        <f>IF(C3980&amp;G3980&amp;D3980&lt;&gt;'Funnel setup'!$K$3&amp;'Funnel setup'!$K$4&amp;'Funnel setup'!$K$5,".",IF(A3979=".",1,A3979+1))</f>
        <v>.</v>
      </c>
      <c r="B3980" s="431" t="str">
        <f t="shared" si="62"/>
        <v>Knee Replacement PrimaryCCG of GP PracticeNHS PORTSMOUTH CCG (10R)EQ-5D Index</v>
      </c>
      <c r="C3980" t="s">
        <v>249</v>
      </c>
      <c r="D3980" t="s">
        <v>87</v>
      </c>
      <c r="E3980" t="s">
        <v>788</v>
      </c>
      <c r="F3980" t="s">
        <v>789</v>
      </c>
      <c r="G3980" t="s">
        <v>52</v>
      </c>
      <c r="H3980">
        <v>53</v>
      </c>
      <c r="I3980">
        <v>0.38300000000000001</v>
      </c>
      <c r="J3980">
        <v>0.70099999999999996</v>
      </c>
      <c r="K3980">
        <v>0.317</v>
      </c>
      <c r="L3980">
        <v>43</v>
      </c>
      <c r="M3980">
        <v>6</v>
      </c>
      <c r="N3980">
        <v>4</v>
      </c>
      <c r="O3980">
        <v>0.70799999999999996</v>
      </c>
      <c r="P3980">
        <v>0.283049995</v>
      </c>
      <c r="Q3980">
        <v>0.252</v>
      </c>
    </row>
    <row r="3981" spans="1:17" x14ac:dyDescent="0.2">
      <c r="A3981" s="30" t="str">
        <f>IF(C3981&amp;G3981&amp;D3981&lt;&gt;'Funnel setup'!$K$3&amp;'Funnel setup'!$K$4&amp;'Funnel setup'!$K$5,".",IF(A3980=".",1,A3980+1))</f>
        <v>.</v>
      </c>
      <c r="B3981" s="431" t="str">
        <f t="shared" si="62"/>
        <v>Knee Replacement PrimaryCCG of GP PracticeNHS REDBRIDGE CCG (08N)EQ-5D Index</v>
      </c>
      <c r="C3981" t="s">
        <v>249</v>
      </c>
      <c r="D3981" t="s">
        <v>87</v>
      </c>
      <c r="E3981" t="s">
        <v>791</v>
      </c>
      <c r="F3981" t="s">
        <v>792</v>
      </c>
      <c r="G3981" t="s">
        <v>52</v>
      </c>
      <c r="H3981">
        <v>91</v>
      </c>
      <c r="I3981">
        <v>0.376</v>
      </c>
      <c r="J3981">
        <v>0.69399999999999995</v>
      </c>
      <c r="K3981">
        <v>0.318</v>
      </c>
      <c r="L3981">
        <v>75</v>
      </c>
      <c r="M3981">
        <v>9</v>
      </c>
      <c r="N3981">
        <v>7</v>
      </c>
      <c r="O3981">
        <v>0.72899999999999998</v>
      </c>
      <c r="P3981">
        <v>0.30358249500000001</v>
      </c>
      <c r="Q3981">
        <v>0.20799999999999999</v>
      </c>
    </row>
    <row r="3982" spans="1:17" x14ac:dyDescent="0.2">
      <c r="A3982" s="30" t="str">
        <f>IF(C3982&amp;G3982&amp;D3982&lt;&gt;'Funnel setup'!$K$3&amp;'Funnel setup'!$K$4&amp;'Funnel setup'!$K$5,".",IF(A3981=".",1,A3981+1))</f>
        <v>.</v>
      </c>
      <c r="B3982" s="431" t="str">
        <f t="shared" si="62"/>
        <v>Knee Replacement PrimaryCCG of GP PracticeNHS REDDITCH AND BROMSGROVE CCG (05J)EQ-5D Index</v>
      </c>
      <c r="C3982" t="s">
        <v>249</v>
      </c>
      <c r="D3982" t="s">
        <v>87</v>
      </c>
      <c r="E3982" t="s">
        <v>794</v>
      </c>
      <c r="F3982" t="s">
        <v>795</v>
      </c>
      <c r="G3982" t="s">
        <v>52</v>
      </c>
      <c r="H3982">
        <v>149</v>
      </c>
      <c r="I3982">
        <v>0.46400000000000002</v>
      </c>
      <c r="J3982">
        <v>0.751</v>
      </c>
      <c r="K3982">
        <v>0.28799999999999998</v>
      </c>
      <c r="L3982">
        <v>122</v>
      </c>
      <c r="M3982">
        <v>10</v>
      </c>
      <c r="N3982">
        <v>17</v>
      </c>
      <c r="O3982">
        <v>0.746</v>
      </c>
      <c r="P3982">
        <v>0.321283928</v>
      </c>
      <c r="Q3982">
        <v>0.24399999999999999</v>
      </c>
    </row>
    <row r="3983" spans="1:17" x14ac:dyDescent="0.2">
      <c r="A3983" s="30" t="str">
        <f>IF(C3983&amp;G3983&amp;D3983&lt;&gt;'Funnel setup'!$K$3&amp;'Funnel setup'!$K$4&amp;'Funnel setup'!$K$5,".",IF(A3982=".",1,A3982+1))</f>
        <v>.</v>
      </c>
      <c r="B3983" s="431" t="str">
        <f t="shared" si="62"/>
        <v>Knee Replacement PrimaryCCG of GP PracticeNHS RICHMOND CCG (08P)EQ-5D Index</v>
      </c>
      <c r="C3983" t="s">
        <v>249</v>
      </c>
      <c r="D3983" t="s">
        <v>87</v>
      </c>
      <c r="E3983" t="s">
        <v>797</v>
      </c>
      <c r="F3983" t="s">
        <v>798</v>
      </c>
      <c r="G3983" t="s">
        <v>52</v>
      </c>
      <c r="H3983">
        <v>54</v>
      </c>
      <c r="I3983">
        <v>0.436</v>
      </c>
      <c r="J3983">
        <v>0.76100000000000001</v>
      </c>
      <c r="K3983">
        <v>0.32500000000000001</v>
      </c>
      <c r="L3983">
        <v>47</v>
      </c>
      <c r="M3983">
        <v>6</v>
      </c>
      <c r="N3983">
        <v>1</v>
      </c>
      <c r="O3983">
        <v>0.75</v>
      </c>
      <c r="P3983">
        <v>0.32480776099999997</v>
      </c>
      <c r="Q3983">
        <v>0.19700000000000001</v>
      </c>
    </row>
    <row r="3984" spans="1:17" x14ac:dyDescent="0.2">
      <c r="A3984" s="30" t="str">
        <f>IF(C3984&amp;G3984&amp;D3984&lt;&gt;'Funnel setup'!$K$3&amp;'Funnel setup'!$K$4&amp;'Funnel setup'!$K$5,".",IF(A3983=".",1,A3983+1))</f>
        <v>.</v>
      </c>
      <c r="B3984" s="431" t="str">
        <f t="shared" si="62"/>
        <v>Knee Replacement PrimaryCCG of GP PracticeNHS ROTHERHAM CCG (03L)EQ-5D Index</v>
      </c>
      <c r="C3984" t="s">
        <v>249</v>
      </c>
      <c r="D3984" t="s">
        <v>87</v>
      </c>
      <c r="E3984" t="s">
        <v>800</v>
      </c>
      <c r="F3984" t="s">
        <v>801</v>
      </c>
      <c r="G3984" t="s">
        <v>52</v>
      </c>
      <c r="H3984">
        <v>197</v>
      </c>
      <c r="I3984">
        <v>0.376</v>
      </c>
      <c r="J3984">
        <v>0.73499999999999999</v>
      </c>
      <c r="K3984">
        <v>0.35899999999999999</v>
      </c>
      <c r="L3984">
        <v>165</v>
      </c>
      <c r="M3984">
        <v>19</v>
      </c>
      <c r="N3984">
        <v>13</v>
      </c>
      <c r="O3984">
        <v>0.75600000000000001</v>
      </c>
      <c r="P3984">
        <v>0.33059123699999998</v>
      </c>
      <c r="Q3984">
        <v>0.224</v>
      </c>
    </row>
    <row r="3985" spans="1:17" x14ac:dyDescent="0.2">
      <c r="A3985" s="30" t="str">
        <f>IF(C3985&amp;G3985&amp;D3985&lt;&gt;'Funnel setup'!$K$3&amp;'Funnel setup'!$K$4&amp;'Funnel setup'!$K$5,".",IF(A3984=".",1,A3984+1))</f>
        <v>.</v>
      </c>
      <c r="B3985" s="431" t="str">
        <f t="shared" si="62"/>
        <v>Knee Replacement PrimaryCCG of GP PracticeNHS RUSHCLIFFE CCG (04N)EQ-5D Index</v>
      </c>
      <c r="C3985" t="s">
        <v>249</v>
      </c>
      <c r="D3985" t="s">
        <v>87</v>
      </c>
      <c r="E3985" t="s">
        <v>803</v>
      </c>
      <c r="F3985" t="s">
        <v>804</v>
      </c>
      <c r="G3985" t="s">
        <v>52</v>
      </c>
      <c r="H3985">
        <v>106</v>
      </c>
      <c r="I3985">
        <v>0.54100000000000004</v>
      </c>
      <c r="J3985">
        <v>0.78200000000000003</v>
      </c>
      <c r="K3985">
        <v>0.24099999999999999</v>
      </c>
      <c r="L3985">
        <v>84</v>
      </c>
      <c r="M3985">
        <v>8</v>
      </c>
      <c r="N3985">
        <v>14</v>
      </c>
      <c r="O3985">
        <v>0.72099999999999997</v>
      </c>
      <c r="P3985">
        <v>0.29648400600000002</v>
      </c>
      <c r="Q3985">
        <v>0.20200000000000001</v>
      </c>
    </row>
    <row r="3986" spans="1:17" x14ac:dyDescent="0.2">
      <c r="A3986" s="30" t="str">
        <f>IF(C3986&amp;G3986&amp;D3986&lt;&gt;'Funnel setup'!$K$3&amp;'Funnel setup'!$K$4&amp;'Funnel setup'!$K$5,".",IF(A3985=".",1,A3985+1))</f>
        <v>.</v>
      </c>
      <c r="B3986" s="431" t="str">
        <f t="shared" si="62"/>
        <v>Knee Replacement PrimaryCCG of GP PracticeNHS SALFORD CCG (01G)EQ-5D Index</v>
      </c>
      <c r="C3986" t="s">
        <v>249</v>
      </c>
      <c r="D3986" t="s">
        <v>87</v>
      </c>
      <c r="E3986" t="s">
        <v>806</v>
      </c>
      <c r="F3986" t="s">
        <v>807</v>
      </c>
      <c r="G3986" t="s">
        <v>52</v>
      </c>
      <c r="H3986">
        <v>149</v>
      </c>
      <c r="I3986">
        <v>0.34</v>
      </c>
      <c r="J3986">
        <v>0.67700000000000005</v>
      </c>
      <c r="K3986">
        <v>0.33700000000000002</v>
      </c>
      <c r="L3986">
        <v>119</v>
      </c>
      <c r="M3986">
        <v>13</v>
      </c>
      <c r="N3986">
        <v>17</v>
      </c>
      <c r="O3986">
        <v>0.72299999999999998</v>
      </c>
      <c r="P3986">
        <v>0.29761189999999998</v>
      </c>
      <c r="Q3986">
        <v>0.24399999999999999</v>
      </c>
    </row>
    <row r="3987" spans="1:17" x14ac:dyDescent="0.2">
      <c r="A3987" s="30" t="str">
        <f>IF(C3987&amp;G3987&amp;D3987&lt;&gt;'Funnel setup'!$K$3&amp;'Funnel setup'!$K$4&amp;'Funnel setup'!$K$5,".",IF(A3986=".",1,A3986+1))</f>
        <v>.</v>
      </c>
      <c r="B3987" s="431" t="str">
        <f t="shared" si="62"/>
        <v>Knee Replacement PrimaryCCG of GP PracticeNHS SANDWELL AND WEST BIRMINGHAM CCG (05L)EQ-5D Index</v>
      </c>
      <c r="C3987" t="s">
        <v>249</v>
      </c>
      <c r="D3987" t="s">
        <v>87</v>
      </c>
      <c r="E3987" t="s">
        <v>809</v>
      </c>
      <c r="F3987" t="s">
        <v>810</v>
      </c>
      <c r="G3987" t="s">
        <v>52</v>
      </c>
      <c r="H3987">
        <v>262</v>
      </c>
      <c r="I3987">
        <v>0.35099999999999998</v>
      </c>
      <c r="J3987">
        <v>0.65800000000000003</v>
      </c>
      <c r="K3987">
        <v>0.307</v>
      </c>
      <c r="L3987">
        <v>206</v>
      </c>
      <c r="M3987">
        <v>29</v>
      </c>
      <c r="N3987">
        <v>27</v>
      </c>
      <c r="O3987">
        <v>0.71599999999999997</v>
      </c>
      <c r="P3987">
        <v>0.29055843599999998</v>
      </c>
      <c r="Q3987">
        <v>0.254</v>
      </c>
    </row>
    <row r="3988" spans="1:17" x14ac:dyDescent="0.2">
      <c r="A3988" s="30" t="str">
        <f>IF(C3988&amp;G3988&amp;D3988&lt;&gt;'Funnel setup'!$K$3&amp;'Funnel setup'!$K$4&amp;'Funnel setup'!$K$5,".",IF(A3987=".",1,A3987+1))</f>
        <v>.</v>
      </c>
      <c r="B3988" s="431" t="str">
        <f t="shared" si="62"/>
        <v>Knee Replacement PrimaryCCG of GP PracticeNHS SCARBOROUGH AND RYEDALE CCG (03M)EQ-5D Index</v>
      </c>
      <c r="C3988" t="s">
        <v>249</v>
      </c>
      <c r="D3988" t="s">
        <v>87</v>
      </c>
      <c r="E3988" t="s">
        <v>812</v>
      </c>
      <c r="F3988" t="s">
        <v>813</v>
      </c>
      <c r="G3988" t="s">
        <v>52</v>
      </c>
      <c r="H3988">
        <v>127</v>
      </c>
      <c r="I3988">
        <v>0.432</v>
      </c>
      <c r="J3988">
        <v>0.748</v>
      </c>
      <c r="K3988">
        <v>0.316</v>
      </c>
      <c r="L3988">
        <v>104</v>
      </c>
      <c r="M3988">
        <v>9</v>
      </c>
      <c r="N3988">
        <v>14</v>
      </c>
      <c r="O3988">
        <v>0.749</v>
      </c>
      <c r="P3988">
        <v>0.32450045300000002</v>
      </c>
      <c r="Q3988">
        <v>0.223</v>
      </c>
    </row>
    <row r="3989" spans="1:17" x14ac:dyDescent="0.2">
      <c r="A3989" s="30" t="str">
        <f>IF(C3989&amp;G3989&amp;D3989&lt;&gt;'Funnel setup'!$K$3&amp;'Funnel setup'!$K$4&amp;'Funnel setup'!$K$5,".",IF(A3988=".",1,A3988+1))</f>
        <v>.</v>
      </c>
      <c r="B3989" s="431" t="str">
        <f t="shared" si="62"/>
        <v>Knee Replacement PrimaryCCG of GP PracticeNHS SHEFFIELD CCG (03N)EQ-5D Index</v>
      </c>
      <c r="C3989" t="s">
        <v>249</v>
      </c>
      <c r="D3989" t="s">
        <v>87</v>
      </c>
      <c r="E3989" t="s">
        <v>815</v>
      </c>
      <c r="F3989" t="s">
        <v>816</v>
      </c>
      <c r="G3989" t="s">
        <v>52</v>
      </c>
      <c r="H3989">
        <v>481</v>
      </c>
      <c r="I3989">
        <v>0.41199999999999998</v>
      </c>
      <c r="J3989">
        <v>0.74299999999999999</v>
      </c>
      <c r="K3989">
        <v>0.33100000000000002</v>
      </c>
      <c r="L3989">
        <v>384</v>
      </c>
      <c r="M3989">
        <v>53</v>
      </c>
      <c r="N3989">
        <v>44</v>
      </c>
      <c r="O3989">
        <v>0.751</v>
      </c>
      <c r="P3989">
        <v>0.325585809</v>
      </c>
      <c r="Q3989">
        <v>0.221</v>
      </c>
    </row>
    <row r="3990" spans="1:17" x14ac:dyDescent="0.2">
      <c r="A3990" s="30" t="str">
        <f>IF(C3990&amp;G3990&amp;D3990&lt;&gt;'Funnel setup'!$K$3&amp;'Funnel setup'!$K$4&amp;'Funnel setup'!$K$5,".",IF(A3989=".",1,A3989+1))</f>
        <v>.</v>
      </c>
      <c r="B3990" s="431" t="str">
        <f t="shared" si="62"/>
        <v>Knee Replacement PrimaryCCG of GP PracticeNHS SHROPSHIRE CCG (05N)EQ-5D Index</v>
      </c>
      <c r="C3990" t="s">
        <v>249</v>
      </c>
      <c r="D3990" t="s">
        <v>87</v>
      </c>
      <c r="E3990" t="s">
        <v>818</v>
      </c>
      <c r="F3990" t="s">
        <v>819</v>
      </c>
      <c r="G3990" t="s">
        <v>52</v>
      </c>
      <c r="H3990">
        <v>334</v>
      </c>
      <c r="I3990">
        <v>0.39500000000000002</v>
      </c>
      <c r="J3990">
        <v>0.78200000000000003</v>
      </c>
      <c r="K3990">
        <v>0.38700000000000001</v>
      </c>
      <c r="L3990">
        <v>297</v>
      </c>
      <c r="M3990">
        <v>15</v>
      </c>
      <c r="N3990">
        <v>22</v>
      </c>
      <c r="O3990">
        <v>0.74399999999999999</v>
      </c>
      <c r="P3990">
        <v>0.31872420200000001</v>
      </c>
      <c r="Q3990">
        <v>0.21099999999999999</v>
      </c>
    </row>
    <row r="3991" spans="1:17" x14ac:dyDescent="0.2">
      <c r="A3991" s="30" t="str">
        <f>IF(C3991&amp;G3991&amp;D3991&lt;&gt;'Funnel setup'!$K$3&amp;'Funnel setup'!$K$4&amp;'Funnel setup'!$K$5,".",IF(A3990=".",1,A3990+1))</f>
        <v>.</v>
      </c>
      <c r="B3991" s="431" t="str">
        <f t="shared" si="62"/>
        <v>Knee Replacement PrimaryCCG of GP PracticeNHS SLOUGH CCG (10T)EQ-5D Index</v>
      </c>
      <c r="C3991" t="s">
        <v>249</v>
      </c>
      <c r="D3991" t="s">
        <v>87</v>
      </c>
      <c r="E3991" t="s">
        <v>821</v>
      </c>
      <c r="F3991" t="s">
        <v>822</v>
      </c>
      <c r="G3991" t="s">
        <v>52</v>
      </c>
      <c r="H3991">
        <v>52</v>
      </c>
      <c r="I3991">
        <v>0.373</v>
      </c>
      <c r="J3991">
        <v>0.63300000000000001</v>
      </c>
      <c r="K3991">
        <v>0.25900000000000001</v>
      </c>
      <c r="L3991">
        <v>39</v>
      </c>
      <c r="M3991">
        <v>6</v>
      </c>
      <c r="N3991">
        <v>7</v>
      </c>
      <c r="O3991">
        <v>0.66300000000000003</v>
      </c>
      <c r="P3991">
        <v>0.23847296100000001</v>
      </c>
      <c r="Q3991">
        <v>0.20599999999999999</v>
      </c>
    </row>
    <row r="3992" spans="1:17" x14ac:dyDescent="0.2">
      <c r="A3992" s="30" t="str">
        <f>IF(C3992&amp;G3992&amp;D3992&lt;&gt;'Funnel setup'!$K$3&amp;'Funnel setup'!$K$4&amp;'Funnel setup'!$K$5,".",IF(A3991=".",1,A3991+1))</f>
        <v>.</v>
      </c>
      <c r="B3992" s="431" t="str">
        <f t="shared" si="62"/>
        <v>Knee Replacement PrimaryCCG of GP PracticeNHS SOLIHULL CCG (05P)EQ-5D Index</v>
      </c>
      <c r="C3992" t="s">
        <v>249</v>
      </c>
      <c r="D3992" t="s">
        <v>87</v>
      </c>
      <c r="E3992" t="s">
        <v>824</v>
      </c>
      <c r="F3992" t="s">
        <v>825</v>
      </c>
      <c r="G3992" t="s">
        <v>52</v>
      </c>
      <c r="H3992">
        <v>249</v>
      </c>
      <c r="I3992">
        <v>0.43</v>
      </c>
      <c r="J3992">
        <v>0.71499999999999997</v>
      </c>
      <c r="K3992">
        <v>0.28499999999999998</v>
      </c>
      <c r="L3992">
        <v>193</v>
      </c>
      <c r="M3992">
        <v>30</v>
      </c>
      <c r="N3992">
        <v>26</v>
      </c>
      <c r="O3992">
        <v>0.72899999999999998</v>
      </c>
      <c r="P3992">
        <v>0.304014689</v>
      </c>
      <c r="Q3992">
        <v>0.25</v>
      </c>
    </row>
    <row r="3993" spans="1:17" x14ac:dyDescent="0.2">
      <c r="A3993" s="30" t="str">
        <f>IF(C3993&amp;G3993&amp;D3993&lt;&gt;'Funnel setup'!$K$3&amp;'Funnel setup'!$K$4&amp;'Funnel setup'!$K$5,".",IF(A3992=".",1,A3992+1))</f>
        <v>.</v>
      </c>
      <c r="B3993" s="431" t="str">
        <f t="shared" si="62"/>
        <v>Knee Replacement PrimaryCCG of GP PracticeNHS SOMERSET CCG (11X)EQ-5D Index</v>
      </c>
      <c r="C3993" t="s">
        <v>249</v>
      </c>
      <c r="D3993" t="s">
        <v>87</v>
      </c>
      <c r="E3993" t="s">
        <v>827</v>
      </c>
      <c r="F3993" t="s">
        <v>828</v>
      </c>
      <c r="G3993" t="s">
        <v>52</v>
      </c>
      <c r="H3993">
        <v>405</v>
      </c>
      <c r="I3993">
        <v>0.45200000000000001</v>
      </c>
      <c r="J3993">
        <v>0.78500000000000003</v>
      </c>
      <c r="K3993">
        <v>0.33300000000000002</v>
      </c>
      <c r="L3993">
        <v>344</v>
      </c>
      <c r="M3993">
        <v>35</v>
      </c>
      <c r="N3993">
        <v>26</v>
      </c>
      <c r="O3993">
        <v>0.76</v>
      </c>
      <c r="P3993">
        <v>0.33517603800000001</v>
      </c>
      <c r="Q3993">
        <v>0.215</v>
      </c>
    </row>
    <row r="3994" spans="1:17" x14ac:dyDescent="0.2">
      <c r="A3994" s="30" t="str">
        <f>IF(C3994&amp;G3994&amp;D3994&lt;&gt;'Funnel setup'!$K$3&amp;'Funnel setup'!$K$4&amp;'Funnel setup'!$K$5,".",IF(A3993=".",1,A3993+1))</f>
        <v>.</v>
      </c>
      <c r="B3994" s="431" t="str">
        <f t="shared" si="62"/>
        <v>Knee Replacement PrimaryCCG of GP PracticeNHS SOUTH CHESHIRE CCG (01R)EQ-5D Index</v>
      </c>
      <c r="C3994" t="s">
        <v>249</v>
      </c>
      <c r="D3994" t="s">
        <v>87</v>
      </c>
      <c r="E3994" t="s">
        <v>830</v>
      </c>
      <c r="F3994" t="s">
        <v>831</v>
      </c>
      <c r="G3994" t="s">
        <v>52</v>
      </c>
      <c r="H3994">
        <v>164</v>
      </c>
      <c r="I3994">
        <v>0.496</v>
      </c>
      <c r="J3994">
        <v>0.76700000000000002</v>
      </c>
      <c r="K3994">
        <v>0.27100000000000002</v>
      </c>
      <c r="L3994">
        <v>121</v>
      </c>
      <c r="M3994">
        <v>27</v>
      </c>
      <c r="N3994">
        <v>16</v>
      </c>
      <c r="O3994">
        <v>0.71699999999999997</v>
      </c>
      <c r="P3994">
        <v>0.29158315400000001</v>
      </c>
      <c r="Q3994">
        <v>0.21199999999999999</v>
      </c>
    </row>
    <row r="3995" spans="1:17" x14ac:dyDescent="0.2">
      <c r="A3995" s="30" t="str">
        <f>IF(C3995&amp;G3995&amp;D3995&lt;&gt;'Funnel setup'!$K$3&amp;'Funnel setup'!$K$4&amp;'Funnel setup'!$K$5,".",IF(A3994=".",1,A3994+1))</f>
        <v>.</v>
      </c>
      <c r="B3995" s="431" t="str">
        <f t="shared" si="62"/>
        <v>Knee Replacement PrimaryCCG of GP PracticeNHS SOUTH DEVON AND TORBAY CCG (99Q)EQ-5D Index</v>
      </c>
      <c r="C3995" t="s">
        <v>249</v>
      </c>
      <c r="D3995" t="s">
        <v>87</v>
      </c>
      <c r="E3995" t="s">
        <v>833</v>
      </c>
      <c r="F3995" t="s">
        <v>834</v>
      </c>
      <c r="G3995" t="s">
        <v>52</v>
      </c>
      <c r="H3995">
        <v>315</v>
      </c>
      <c r="I3995">
        <v>0.46600000000000003</v>
      </c>
      <c r="J3995">
        <v>0.755</v>
      </c>
      <c r="K3995">
        <v>0.28899999999999998</v>
      </c>
      <c r="L3995">
        <v>252</v>
      </c>
      <c r="M3995">
        <v>38</v>
      </c>
      <c r="N3995">
        <v>25</v>
      </c>
      <c r="O3995">
        <v>0.752</v>
      </c>
      <c r="P3995">
        <v>0.32711265299999998</v>
      </c>
      <c r="Q3995">
        <v>0.219</v>
      </c>
    </row>
    <row r="3996" spans="1:17" x14ac:dyDescent="0.2">
      <c r="A3996" s="30" t="str">
        <f>IF(C3996&amp;G3996&amp;D3996&lt;&gt;'Funnel setup'!$K$3&amp;'Funnel setup'!$K$4&amp;'Funnel setup'!$K$5,".",IF(A3995=".",1,A3995+1))</f>
        <v>.</v>
      </c>
      <c r="B3996" s="431" t="str">
        <f t="shared" si="62"/>
        <v>Knee Replacement PrimaryCCG of GP PracticeNHS SOUTH EAST STAFFORDSHIRE AND SEISDON PENINSULA CCG (05Q)EQ-5D Index</v>
      </c>
      <c r="C3996" t="s">
        <v>249</v>
      </c>
      <c r="D3996" t="s">
        <v>87</v>
      </c>
      <c r="E3996" t="s">
        <v>836</v>
      </c>
      <c r="F3996" t="s">
        <v>837</v>
      </c>
      <c r="G3996" t="s">
        <v>52</v>
      </c>
      <c r="H3996">
        <v>223</v>
      </c>
      <c r="I3996">
        <v>0.41599999999999998</v>
      </c>
      <c r="J3996">
        <v>0.73199999999999998</v>
      </c>
      <c r="K3996">
        <v>0.316</v>
      </c>
      <c r="L3996">
        <v>182</v>
      </c>
      <c r="M3996">
        <v>24</v>
      </c>
      <c r="N3996">
        <v>17</v>
      </c>
      <c r="O3996">
        <v>0.72599999999999998</v>
      </c>
      <c r="P3996">
        <v>0.30078114</v>
      </c>
      <c r="Q3996">
        <v>0.22500000000000001</v>
      </c>
    </row>
    <row r="3997" spans="1:17" x14ac:dyDescent="0.2">
      <c r="A3997" s="30" t="str">
        <f>IF(C3997&amp;G3997&amp;D3997&lt;&gt;'Funnel setup'!$K$3&amp;'Funnel setup'!$K$4&amp;'Funnel setup'!$K$5,".",IF(A3996=".",1,A3996+1))</f>
        <v>.</v>
      </c>
      <c r="B3997" s="431" t="str">
        <f t="shared" si="62"/>
        <v>Knee Replacement PrimaryCCG of GP PracticeNHS SOUTH EASTERN HAMPSHIRE CCG (10V)EQ-5D Index</v>
      </c>
      <c r="C3997" t="s">
        <v>249</v>
      </c>
      <c r="D3997" t="s">
        <v>87</v>
      </c>
      <c r="E3997" t="s">
        <v>839</v>
      </c>
      <c r="F3997" t="s">
        <v>840</v>
      </c>
      <c r="G3997" t="s">
        <v>52</v>
      </c>
      <c r="H3997">
        <v>112</v>
      </c>
      <c r="I3997">
        <v>0.44500000000000001</v>
      </c>
      <c r="J3997">
        <v>0.76100000000000001</v>
      </c>
      <c r="K3997">
        <v>0.316</v>
      </c>
      <c r="L3997">
        <v>95</v>
      </c>
      <c r="M3997">
        <v>11</v>
      </c>
      <c r="N3997">
        <v>6</v>
      </c>
      <c r="O3997">
        <v>0.73699999999999999</v>
      </c>
      <c r="P3997">
        <v>0.311745524</v>
      </c>
      <c r="Q3997">
        <v>0.193</v>
      </c>
    </row>
    <row r="3998" spans="1:17" x14ac:dyDescent="0.2">
      <c r="A3998" s="30" t="str">
        <f>IF(C3998&amp;G3998&amp;D3998&lt;&gt;'Funnel setup'!$K$3&amp;'Funnel setup'!$K$4&amp;'Funnel setup'!$K$5,".",IF(A3997=".",1,A3997+1))</f>
        <v>.</v>
      </c>
      <c r="B3998" s="431" t="str">
        <f t="shared" si="62"/>
        <v>Knee Replacement PrimaryCCG of GP PracticeNHS SOUTH GLOUCESTERSHIRE CCG (12A)EQ-5D Index</v>
      </c>
      <c r="C3998" t="s">
        <v>249</v>
      </c>
      <c r="D3998" t="s">
        <v>87</v>
      </c>
      <c r="E3998" t="s">
        <v>842</v>
      </c>
      <c r="F3998" t="s">
        <v>843</v>
      </c>
      <c r="G3998" t="s">
        <v>52</v>
      </c>
      <c r="H3998">
        <v>210</v>
      </c>
      <c r="I3998">
        <v>0.46400000000000002</v>
      </c>
      <c r="J3998">
        <v>0.78300000000000003</v>
      </c>
      <c r="K3998">
        <v>0.318</v>
      </c>
      <c r="L3998">
        <v>170</v>
      </c>
      <c r="M3998">
        <v>19</v>
      </c>
      <c r="N3998">
        <v>21</v>
      </c>
      <c r="O3998">
        <v>0.745</v>
      </c>
      <c r="P3998">
        <v>0.319993162</v>
      </c>
      <c r="Q3998">
        <v>0.20399999999999999</v>
      </c>
    </row>
    <row r="3999" spans="1:17" x14ac:dyDescent="0.2">
      <c r="A3999" s="30" t="str">
        <f>IF(C3999&amp;G3999&amp;D3999&lt;&gt;'Funnel setup'!$K$3&amp;'Funnel setup'!$K$4&amp;'Funnel setup'!$K$5,".",IF(A3998=".",1,A3998+1))</f>
        <v>.</v>
      </c>
      <c r="B3999" s="431" t="str">
        <f t="shared" si="62"/>
        <v>Knee Replacement PrimaryCCG of GP PracticeNHS SOUTH KENT COAST CCG (10A)EQ-5D Index</v>
      </c>
      <c r="C3999" t="s">
        <v>249</v>
      </c>
      <c r="D3999" t="s">
        <v>87</v>
      </c>
      <c r="E3999" t="s">
        <v>845</v>
      </c>
      <c r="F3999" t="s">
        <v>846</v>
      </c>
      <c r="G3999" t="s">
        <v>52</v>
      </c>
      <c r="H3999">
        <v>148</v>
      </c>
      <c r="I3999">
        <v>0.441</v>
      </c>
      <c r="J3999">
        <v>0.70699999999999996</v>
      </c>
      <c r="K3999">
        <v>0.26600000000000001</v>
      </c>
      <c r="L3999">
        <v>111</v>
      </c>
      <c r="M3999">
        <v>19</v>
      </c>
      <c r="N3999">
        <v>18</v>
      </c>
      <c r="O3999">
        <v>0.70399999999999996</v>
      </c>
      <c r="P3999">
        <v>0.27868020999999998</v>
      </c>
      <c r="Q3999">
        <v>0.23599999999999999</v>
      </c>
    </row>
    <row r="4000" spans="1:17" x14ac:dyDescent="0.2">
      <c r="A4000" s="30" t="str">
        <f>IF(C4000&amp;G4000&amp;D4000&lt;&gt;'Funnel setup'!$K$3&amp;'Funnel setup'!$K$4&amp;'Funnel setup'!$K$5,".",IF(A3999=".",1,A3999+1))</f>
        <v>.</v>
      </c>
      <c r="B4000" s="431" t="str">
        <f t="shared" si="62"/>
        <v>Knee Replacement PrimaryCCG of GP PracticeNHS SOUTH LINCOLNSHIRE CCG (99D)EQ-5D Index</v>
      </c>
      <c r="C4000" t="s">
        <v>249</v>
      </c>
      <c r="D4000" t="s">
        <v>87</v>
      </c>
      <c r="E4000" t="s">
        <v>848</v>
      </c>
      <c r="F4000" t="s">
        <v>849</v>
      </c>
      <c r="G4000" t="s">
        <v>52</v>
      </c>
      <c r="H4000">
        <v>200</v>
      </c>
      <c r="I4000">
        <v>0.46400000000000002</v>
      </c>
      <c r="J4000">
        <v>0.77100000000000002</v>
      </c>
      <c r="K4000">
        <v>0.307</v>
      </c>
      <c r="L4000">
        <v>164</v>
      </c>
      <c r="M4000">
        <v>19</v>
      </c>
      <c r="N4000">
        <v>17</v>
      </c>
      <c r="O4000">
        <v>0.745</v>
      </c>
      <c r="P4000">
        <v>0.31955724299999999</v>
      </c>
      <c r="Q4000">
        <v>0.20100000000000001</v>
      </c>
    </row>
    <row r="4001" spans="1:17" x14ac:dyDescent="0.2">
      <c r="A4001" s="30" t="str">
        <f>IF(C4001&amp;G4001&amp;D4001&lt;&gt;'Funnel setup'!$K$3&amp;'Funnel setup'!$K$4&amp;'Funnel setup'!$K$5,".",IF(A4000=".",1,A4000+1))</f>
        <v>.</v>
      </c>
      <c r="B4001" s="431" t="str">
        <f t="shared" si="62"/>
        <v>Knee Replacement PrimaryCCG of GP PracticeNHS SOUTH MANCHESTER CCG (01N)EQ-5D Index</v>
      </c>
      <c r="C4001" t="s">
        <v>249</v>
      </c>
      <c r="D4001" t="s">
        <v>87</v>
      </c>
      <c r="E4001" t="s">
        <v>851</v>
      </c>
      <c r="F4001" t="s">
        <v>852</v>
      </c>
      <c r="G4001" t="s">
        <v>52</v>
      </c>
      <c r="H4001">
        <v>61</v>
      </c>
      <c r="I4001">
        <v>0.371</v>
      </c>
      <c r="J4001">
        <v>0.63500000000000001</v>
      </c>
      <c r="K4001">
        <v>0.26400000000000001</v>
      </c>
      <c r="L4001">
        <v>41</v>
      </c>
      <c r="M4001">
        <v>8</v>
      </c>
      <c r="N4001">
        <v>12</v>
      </c>
      <c r="O4001">
        <v>0.69299999999999995</v>
      </c>
      <c r="P4001">
        <v>0.26825555299999998</v>
      </c>
      <c r="Q4001">
        <v>0.309</v>
      </c>
    </row>
    <row r="4002" spans="1:17" x14ac:dyDescent="0.2">
      <c r="A4002" s="30" t="str">
        <f>IF(C4002&amp;G4002&amp;D4002&lt;&gt;'Funnel setup'!$K$3&amp;'Funnel setup'!$K$4&amp;'Funnel setup'!$K$5,".",IF(A4001=".",1,A4001+1))</f>
        <v>.</v>
      </c>
      <c r="B4002" s="431" t="str">
        <f t="shared" si="62"/>
        <v>Knee Replacement PrimaryCCG of GP PracticeNHS SOUTH NORFOLK CCG (06Y)EQ-5D Index</v>
      </c>
      <c r="C4002" t="s">
        <v>249</v>
      </c>
      <c r="D4002" t="s">
        <v>87</v>
      </c>
      <c r="E4002" t="s">
        <v>932</v>
      </c>
      <c r="F4002" t="s">
        <v>933</v>
      </c>
      <c r="G4002" t="s">
        <v>52</v>
      </c>
      <c r="H4002">
        <v>188</v>
      </c>
      <c r="I4002">
        <v>0.43</v>
      </c>
      <c r="J4002">
        <v>0.751</v>
      </c>
      <c r="K4002">
        <v>0.32</v>
      </c>
      <c r="L4002">
        <v>149</v>
      </c>
      <c r="M4002">
        <v>24</v>
      </c>
      <c r="N4002">
        <v>15</v>
      </c>
      <c r="O4002">
        <v>0.73199999999999998</v>
      </c>
      <c r="P4002">
        <v>0.306599648</v>
      </c>
      <c r="Q4002">
        <v>0.21099999999999999</v>
      </c>
    </row>
    <row r="4003" spans="1:17" x14ac:dyDescent="0.2">
      <c r="A4003" s="30" t="str">
        <f>IF(C4003&amp;G4003&amp;D4003&lt;&gt;'Funnel setup'!$K$3&amp;'Funnel setup'!$K$4&amp;'Funnel setup'!$K$5,".",IF(A4002=".",1,A4002+1))</f>
        <v>.</v>
      </c>
      <c r="B4003" s="431" t="str">
        <f t="shared" si="62"/>
        <v>Knee Replacement PrimaryCCG of GP PracticeNHS SOUTH READING CCG (10W)EQ-5D Index</v>
      </c>
      <c r="C4003" t="s">
        <v>249</v>
      </c>
      <c r="D4003" t="s">
        <v>87</v>
      </c>
      <c r="E4003" t="s">
        <v>935</v>
      </c>
      <c r="F4003" t="s">
        <v>936</v>
      </c>
      <c r="G4003" t="s">
        <v>52</v>
      </c>
      <c r="H4003">
        <v>32</v>
      </c>
      <c r="I4003">
        <v>0.48199999999999998</v>
      </c>
      <c r="J4003">
        <v>0.76900000000000002</v>
      </c>
      <c r="K4003">
        <v>0.28699999999999998</v>
      </c>
      <c r="L4003">
        <v>26</v>
      </c>
      <c r="M4003">
        <v>2</v>
      </c>
      <c r="N4003">
        <v>4</v>
      </c>
      <c r="O4003">
        <v>0.73799999999999999</v>
      </c>
      <c r="P4003">
        <v>0.31325420199999998</v>
      </c>
      <c r="Q4003">
        <v>0.22800000000000001</v>
      </c>
    </row>
    <row r="4004" spans="1:17" x14ac:dyDescent="0.2">
      <c r="A4004" s="30" t="str">
        <f>IF(C4004&amp;G4004&amp;D4004&lt;&gt;'Funnel setup'!$K$3&amp;'Funnel setup'!$K$4&amp;'Funnel setup'!$K$5,".",IF(A4003=".",1,A4003+1))</f>
        <v>.</v>
      </c>
      <c r="B4004" s="431" t="str">
        <f t="shared" si="62"/>
        <v>Knee Replacement PrimaryCCG of GP PracticeNHS SOUTH SEFTON CCG (01T)EQ-5D Index</v>
      </c>
      <c r="C4004" t="s">
        <v>249</v>
      </c>
      <c r="D4004" t="s">
        <v>87</v>
      </c>
      <c r="E4004" t="s">
        <v>938</v>
      </c>
      <c r="F4004" t="s">
        <v>939</v>
      </c>
      <c r="G4004" t="s">
        <v>52</v>
      </c>
      <c r="H4004">
        <v>113</v>
      </c>
      <c r="I4004">
        <v>0.307</v>
      </c>
      <c r="J4004">
        <v>0.66600000000000004</v>
      </c>
      <c r="K4004">
        <v>0.36</v>
      </c>
      <c r="L4004">
        <v>93</v>
      </c>
      <c r="M4004">
        <v>7</v>
      </c>
      <c r="N4004">
        <v>13</v>
      </c>
      <c r="O4004">
        <v>0.71899999999999997</v>
      </c>
      <c r="P4004">
        <v>0.29396684200000001</v>
      </c>
      <c r="Q4004">
        <v>0.253</v>
      </c>
    </row>
    <row r="4005" spans="1:17" x14ac:dyDescent="0.2">
      <c r="A4005" s="30" t="str">
        <f>IF(C4005&amp;G4005&amp;D4005&lt;&gt;'Funnel setup'!$K$3&amp;'Funnel setup'!$K$4&amp;'Funnel setup'!$K$5,".",IF(A4004=".",1,A4004+1))</f>
        <v>.</v>
      </c>
      <c r="B4005" s="431" t="str">
        <f t="shared" si="62"/>
        <v>Knee Replacement PrimaryCCG of GP PracticeNHS SOUTH TEES CCG (00M)EQ-5D Index</v>
      </c>
      <c r="C4005" t="s">
        <v>249</v>
      </c>
      <c r="D4005" t="s">
        <v>87</v>
      </c>
      <c r="E4005" t="s">
        <v>941</v>
      </c>
      <c r="F4005" t="s">
        <v>942</v>
      </c>
      <c r="G4005" t="s">
        <v>52</v>
      </c>
      <c r="H4005">
        <v>334</v>
      </c>
      <c r="I4005">
        <v>0.39200000000000002</v>
      </c>
      <c r="J4005">
        <v>0.74</v>
      </c>
      <c r="K4005">
        <v>0.34799999999999998</v>
      </c>
      <c r="L4005">
        <v>279</v>
      </c>
      <c r="M4005">
        <v>29</v>
      </c>
      <c r="N4005">
        <v>26</v>
      </c>
      <c r="O4005">
        <v>0.77200000000000002</v>
      </c>
      <c r="P4005">
        <v>0.34740036800000001</v>
      </c>
      <c r="Q4005">
        <v>0.22700000000000001</v>
      </c>
    </row>
    <row r="4006" spans="1:17" x14ac:dyDescent="0.2">
      <c r="A4006" s="30" t="str">
        <f>IF(C4006&amp;G4006&amp;D4006&lt;&gt;'Funnel setup'!$K$3&amp;'Funnel setup'!$K$4&amp;'Funnel setup'!$K$5,".",IF(A4005=".",1,A4005+1))</f>
        <v>.</v>
      </c>
      <c r="B4006" s="431" t="str">
        <f t="shared" si="62"/>
        <v>Knee Replacement PrimaryCCG of GP PracticeNHS SOUTH TYNESIDE CCG (00N)EQ-5D Index</v>
      </c>
      <c r="C4006" t="s">
        <v>249</v>
      </c>
      <c r="D4006" t="s">
        <v>87</v>
      </c>
      <c r="E4006" t="s">
        <v>1016</v>
      </c>
      <c r="F4006" t="s">
        <v>1017</v>
      </c>
      <c r="G4006" t="s">
        <v>52</v>
      </c>
      <c r="H4006">
        <v>146</v>
      </c>
      <c r="I4006">
        <v>0.38600000000000001</v>
      </c>
      <c r="J4006">
        <v>0.71599999999999997</v>
      </c>
      <c r="K4006">
        <v>0.32900000000000001</v>
      </c>
      <c r="L4006">
        <v>114</v>
      </c>
      <c r="M4006">
        <v>12</v>
      </c>
      <c r="N4006">
        <v>20</v>
      </c>
      <c r="O4006">
        <v>0.73299999999999998</v>
      </c>
      <c r="P4006">
        <v>0.307910815</v>
      </c>
      <c r="Q4006">
        <v>0.247</v>
      </c>
    </row>
    <row r="4007" spans="1:17" x14ac:dyDescent="0.2">
      <c r="A4007" s="30" t="str">
        <f>IF(C4007&amp;G4007&amp;D4007&lt;&gt;'Funnel setup'!$K$3&amp;'Funnel setup'!$K$4&amp;'Funnel setup'!$K$5,".",IF(A4006=".",1,A4006+1))</f>
        <v>.</v>
      </c>
      <c r="B4007" s="431" t="str">
        <f t="shared" si="62"/>
        <v>Knee Replacement PrimaryCCG of GP PracticeNHS SOUTH WARWICKSHIRE CCG (05R)EQ-5D Index</v>
      </c>
      <c r="C4007" t="s">
        <v>249</v>
      </c>
      <c r="D4007" t="s">
        <v>87</v>
      </c>
      <c r="E4007" t="s">
        <v>944</v>
      </c>
      <c r="F4007" t="s">
        <v>945</v>
      </c>
      <c r="G4007" t="s">
        <v>52</v>
      </c>
      <c r="H4007">
        <v>259</v>
      </c>
      <c r="I4007">
        <v>0.47299999999999998</v>
      </c>
      <c r="J4007">
        <v>0.751</v>
      </c>
      <c r="K4007">
        <v>0.27800000000000002</v>
      </c>
      <c r="L4007">
        <v>209</v>
      </c>
      <c r="M4007">
        <v>26</v>
      </c>
      <c r="N4007">
        <v>24</v>
      </c>
      <c r="O4007">
        <v>0.72599999999999998</v>
      </c>
      <c r="P4007">
        <v>0.30077854700000001</v>
      </c>
      <c r="Q4007">
        <v>0.20799999999999999</v>
      </c>
    </row>
    <row r="4008" spans="1:17" x14ac:dyDescent="0.2">
      <c r="A4008" s="30" t="str">
        <f>IF(C4008&amp;G4008&amp;D4008&lt;&gt;'Funnel setup'!$K$3&amp;'Funnel setup'!$K$4&amp;'Funnel setup'!$K$5,".",IF(A4007=".",1,A4007+1))</f>
        <v>.</v>
      </c>
      <c r="B4008" s="431" t="str">
        <f t="shared" si="62"/>
        <v>Knee Replacement PrimaryCCG of GP PracticeNHS SOUTH WEST LINCOLNSHIRE CCG (04Q)EQ-5D Index</v>
      </c>
      <c r="C4008" t="s">
        <v>249</v>
      </c>
      <c r="D4008" t="s">
        <v>87</v>
      </c>
      <c r="E4008" t="s">
        <v>947</v>
      </c>
      <c r="F4008" t="s">
        <v>948</v>
      </c>
      <c r="G4008" t="s">
        <v>52</v>
      </c>
      <c r="H4008">
        <v>110</v>
      </c>
      <c r="I4008">
        <v>0.42099999999999999</v>
      </c>
      <c r="J4008">
        <v>0.73899999999999999</v>
      </c>
      <c r="K4008">
        <v>0.317</v>
      </c>
      <c r="L4008">
        <v>85</v>
      </c>
      <c r="M4008">
        <v>12</v>
      </c>
      <c r="N4008">
        <v>13</v>
      </c>
      <c r="O4008">
        <v>0.73199999999999998</v>
      </c>
      <c r="P4008">
        <v>0.30652716400000002</v>
      </c>
      <c r="Q4008">
        <v>0.26900000000000002</v>
      </c>
    </row>
    <row r="4009" spans="1:17" x14ac:dyDescent="0.2">
      <c r="A4009" s="30" t="str">
        <f>IF(C4009&amp;G4009&amp;D4009&lt;&gt;'Funnel setup'!$K$3&amp;'Funnel setup'!$K$4&amp;'Funnel setup'!$K$5,".",IF(A4008=".",1,A4008+1))</f>
        <v>.</v>
      </c>
      <c r="B4009" s="431" t="str">
        <f t="shared" si="62"/>
        <v>Knee Replacement PrimaryCCG of GP PracticeNHS SOUTH WORCESTERSHIRE CCG (05T)EQ-5D Index</v>
      </c>
      <c r="C4009" t="s">
        <v>249</v>
      </c>
      <c r="D4009" t="s">
        <v>87</v>
      </c>
      <c r="E4009" t="s">
        <v>950</v>
      </c>
      <c r="F4009" t="s">
        <v>951</v>
      </c>
      <c r="G4009" t="s">
        <v>52</v>
      </c>
      <c r="H4009">
        <v>169</v>
      </c>
      <c r="I4009">
        <v>0.43099999999999999</v>
      </c>
      <c r="J4009">
        <v>0.78700000000000003</v>
      </c>
      <c r="K4009">
        <v>0.35599999999999998</v>
      </c>
      <c r="L4009">
        <v>140</v>
      </c>
      <c r="M4009">
        <v>18</v>
      </c>
      <c r="N4009">
        <v>11</v>
      </c>
      <c r="O4009">
        <v>0.77</v>
      </c>
      <c r="P4009">
        <v>0.34536363599999997</v>
      </c>
      <c r="Q4009">
        <v>0.20799999999999999</v>
      </c>
    </row>
    <row r="4010" spans="1:17" x14ac:dyDescent="0.2">
      <c r="A4010" s="30" t="str">
        <f>IF(C4010&amp;G4010&amp;D4010&lt;&gt;'Funnel setup'!$K$3&amp;'Funnel setup'!$K$4&amp;'Funnel setup'!$K$5,".",IF(A4009=".",1,A4009+1))</f>
        <v>.</v>
      </c>
      <c r="B4010" s="431" t="str">
        <f t="shared" si="62"/>
        <v>Knee Replacement PrimaryCCG of GP PracticeNHS SOUTHAMPTON CCG (10X)EQ-5D Index</v>
      </c>
      <c r="C4010" t="s">
        <v>249</v>
      </c>
      <c r="D4010" t="s">
        <v>87</v>
      </c>
      <c r="E4010" t="s">
        <v>953</v>
      </c>
      <c r="F4010" t="s">
        <v>954</v>
      </c>
      <c r="G4010" t="s">
        <v>52</v>
      </c>
      <c r="H4010">
        <v>171</v>
      </c>
      <c r="I4010">
        <v>0.34300000000000003</v>
      </c>
      <c r="J4010">
        <v>0.68899999999999995</v>
      </c>
      <c r="K4010">
        <v>0.34499999999999997</v>
      </c>
      <c r="L4010">
        <v>141</v>
      </c>
      <c r="M4010">
        <v>12</v>
      </c>
      <c r="N4010">
        <v>18</v>
      </c>
      <c r="O4010">
        <v>0.71499999999999997</v>
      </c>
      <c r="P4010">
        <v>0.28968265999999998</v>
      </c>
      <c r="Q4010">
        <v>0.255</v>
      </c>
    </row>
    <row r="4011" spans="1:17" x14ac:dyDescent="0.2">
      <c r="A4011" s="30" t="str">
        <f>IF(C4011&amp;G4011&amp;D4011&lt;&gt;'Funnel setup'!$K$3&amp;'Funnel setup'!$K$4&amp;'Funnel setup'!$K$5,".",IF(A4010=".",1,A4010+1))</f>
        <v>.</v>
      </c>
      <c r="B4011" s="431" t="str">
        <f t="shared" si="62"/>
        <v>Knee Replacement PrimaryCCG of GP PracticeNHS SOUTHEND CCG (99G)EQ-5D Index</v>
      </c>
      <c r="C4011" t="s">
        <v>249</v>
      </c>
      <c r="D4011" t="s">
        <v>87</v>
      </c>
      <c r="E4011" t="s">
        <v>956</v>
      </c>
      <c r="F4011" t="s">
        <v>957</v>
      </c>
      <c r="G4011" t="s">
        <v>52</v>
      </c>
      <c r="H4011">
        <v>117</v>
      </c>
      <c r="I4011">
        <v>0.38200000000000001</v>
      </c>
      <c r="J4011">
        <v>0.71399999999999997</v>
      </c>
      <c r="K4011">
        <v>0.33100000000000002</v>
      </c>
      <c r="L4011">
        <v>93</v>
      </c>
      <c r="M4011">
        <v>13</v>
      </c>
      <c r="N4011">
        <v>11</v>
      </c>
      <c r="O4011">
        <v>0.73299999999999998</v>
      </c>
      <c r="P4011">
        <v>0.30841141900000002</v>
      </c>
      <c r="Q4011">
        <v>0.219</v>
      </c>
    </row>
    <row r="4012" spans="1:17" x14ac:dyDescent="0.2">
      <c r="A4012" s="30" t="str">
        <f>IF(C4012&amp;G4012&amp;D4012&lt;&gt;'Funnel setup'!$K$3&amp;'Funnel setup'!$K$4&amp;'Funnel setup'!$K$5,".",IF(A4011=".",1,A4011+1))</f>
        <v>.</v>
      </c>
      <c r="B4012" s="431" t="str">
        <f t="shared" si="62"/>
        <v>Knee Replacement PrimaryCCG of GP PracticeNHS SOUTHERN DERBYSHIRE CCG (04R)EQ-5D Index</v>
      </c>
      <c r="C4012" t="s">
        <v>249</v>
      </c>
      <c r="D4012" t="s">
        <v>87</v>
      </c>
      <c r="E4012" t="s">
        <v>959</v>
      </c>
      <c r="F4012" t="s">
        <v>960</v>
      </c>
      <c r="G4012" t="s">
        <v>52</v>
      </c>
      <c r="H4012">
        <v>447</v>
      </c>
      <c r="I4012">
        <v>0.44700000000000001</v>
      </c>
      <c r="J4012">
        <v>0.75600000000000001</v>
      </c>
      <c r="K4012">
        <v>0.309</v>
      </c>
      <c r="L4012">
        <v>360</v>
      </c>
      <c r="M4012">
        <v>39</v>
      </c>
      <c r="N4012">
        <v>48</v>
      </c>
      <c r="O4012">
        <v>0.745</v>
      </c>
      <c r="P4012">
        <v>0.32010960399999999</v>
      </c>
      <c r="Q4012">
        <v>0.218</v>
      </c>
    </row>
    <row r="4013" spans="1:17" x14ac:dyDescent="0.2">
      <c r="A4013" s="30" t="str">
        <f>IF(C4013&amp;G4013&amp;D4013&lt;&gt;'Funnel setup'!$K$3&amp;'Funnel setup'!$K$4&amp;'Funnel setup'!$K$5,".",IF(A4012=".",1,A4012+1))</f>
        <v>.</v>
      </c>
      <c r="B4013" s="431" t="str">
        <f t="shared" si="62"/>
        <v>Knee Replacement PrimaryCCG of GP PracticeNHS SOUTHPORT AND FORMBY CCG (01V)EQ-5D Index</v>
      </c>
      <c r="C4013" t="s">
        <v>249</v>
      </c>
      <c r="D4013" t="s">
        <v>87</v>
      </c>
      <c r="E4013" t="s">
        <v>962</v>
      </c>
      <c r="F4013" t="s">
        <v>963</v>
      </c>
      <c r="G4013" t="s">
        <v>52</v>
      </c>
      <c r="H4013">
        <v>86</v>
      </c>
      <c r="I4013">
        <v>0.375</v>
      </c>
      <c r="J4013">
        <v>0.72799999999999998</v>
      </c>
      <c r="K4013">
        <v>0.35299999999999998</v>
      </c>
      <c r="L4013">
        <v>70</v>
      </c>
      <c r="M4013">
        <v>8</v>
      </c>
      <c r="N4013">
        <v>8</v>
      </c>
      <c r="O4013">
        <v>0.72799999999999998</v>
      </c>
      <c r="P4013">
        <v>0.30345455399999999</v>
      </c>
      <c r="Q4013">
        <v>0.22500000000000001</v>
      </c>
    </row>
    <row r="4014" spans="1:17" x14ac:dyDescent="0.2">
      <c r="A4014" s="30" t="str">
        <f>IF(C4014&amp;G4014&amp;D4014&lt;&gt;'Funnel setup'!$K$3&amp;'Funnel setup'!$K$4&amp;'Funnel setup'!$K$5,".",IF(A4013=".",1,A4013+1))</f>
        <v>.</v>
      </c>
      <c r="B4014" s="431" t="str">
        <f t="shared" si="62"/>
        <v>Knee Replacement PrimaryCCG of GP PracticeNHS SOUTHWARK CCG (08Q)EQ-5D Index</v>
      </c>
      <c r="C4014" t="s">
        <v>249</v>
      </c>
      <c r="D4014" t="s">
        <v>87</v>
      </c>
      <c r="E4014" t="s">
        <v>965</v>
      </c>
      <c r="F4014" t="s">
        <v>966</v>
      </c>
      <c r="G4014" t="s">
        <v>52</v>
      </c>
      <c r="H4014">
        <v>49</v>
      </c>
      <c r="I4014">
        <v>0.23400000000000001</v>
      </c>
      <c r="J4014">
        <v>0.628</v>
      </c>
      <c r="K4014">
        <v>0.39400000000000002</v>
      </c>
      <c r="L4014">
        <v>43</v>
      </c>
      <c r="M4014">
        <v>2</v>
      </c>
      <c r="N4014">
        <v>4</v>
      </c>
      <c r="O4014">
        <v>0.71899999999999997</v>
      </c>
      <c r="P4014">
        <v>0.29407522400000002</v>
      </c>
      <c r="Q4014">
        <v>0.29299999999999998</v>
      </c>
    </row>
    <row r="4015" spans="1:17" x14ac:dyDescent="0.2">
      <c r="A4015" s="30" t="str">
        <f>IF(C4015&amp;G4015&amp;D4015&lt;&gt;'Funnel setup'!$K$3&amp;'Funnel setup'!$K$4&amp;'Funnel setup'!$K$5,".",IF(A4014=".",1,A4014+1))</f>
        <v>.</v>
      </c>
      <c r="B4015" s="431" t="str">
        <f t="shared" si="62"/>
        <v>Knee Replacement PrimaryCCG of GP PracticeNHS ST HELENS CCG (01X)EQ-5D Index</v>
      </c>
      <c r="C4015" t="s">
        <v>249</v>
      </c>
      <c r="D4015" t="s">
        <v>87</v>
      </c>
      <c r="E4015" t="s">
        <v>968</v>
      </c>
      <c r="F4015" t="s">
        <v>969</v>
      </c>
      <c r="G4015" t="s">
        <v>52</v>
      </c>
      <c r="H4015">
        <v>181</v>
      </c>
      <c r="I4015">
        <v>0.42199999999999999</v>
      </c>
      <c r="J4015">
        <v>0.71399999999999997</v>
      </c>
      <c r="K4015">
        <v>0.29199999999999998</v>
      </c>
      <c r="L4015">
        <v>137</v>
      </c>
      <c r="M4015">
        <v>30</v>
      </c>
      <c r="N4015">
        <v>14</v>
      </c>
      <c r="O4015">
        <v>0.73</v>
      </c>
      <c r="P4015">
        <v>0.30539068400000002</v>
      </c>
      <c r="Q4015">
        <v>0.23100000000000001</v>
      </c>
    </row>
    <row r="4016" spans="1:17" x14ac:dyDescent="0.2">
      <c r="A4016" s="30" t="str">
        <f>IF(C4016&amp;G4016&amp;D4016&lt;&gt;'Funnel setup'!$K$3&amp;'Funnel setup'!$K$4&amp;'Funnel setup'!$K$5,".",IF(A4015=".",1,A4015+1))</f>
        <v>.</v>
      </c>
      <c r="B4016" s="431" t="str">
        <f t="shared" si="62"/>
        <v>Knee Replacement PrimaryCCG of GP PracticeNHS STAFFORD AND SURROUNDS CCG (05V)EQ-5D Index</v>
      </c>
      <c r="C4016" t="s">
        <v>249</v>
      </c>
      <c r="D4016" t="s">
        <v>87</v>
      </c>
      <c r="E4016" t="s">
        <v>971</v>
      </c>
      <c r="F4016" t="s">
        <v>972</v>
      </c>
      <c r="G4016" t="s">
        <v>52</v>
      </c>
      <c r="H4016">
        <v>136</v>
      </c>
      <c r="I4016">
        <v>0.42699999999999999</v>
      </c>
      <c r="J4016">
        <v>0.75600000000000001</v>
      </c>
      <c r="K4016">
        <v>0.32900000000000001</v>
      </c>
      <c r="L4016">
        <v>115</v>
      </c>
      <c r="M4016">
        <v>12</v>
      </c>
      <c r="N4016">
        <v>9</v>
      </c>
      <c r="O4016">
        <v>0.74299999999999999</v>
      </c>
      <c r="P4016">
        <v>0.31786066600000001</v>
      </c>
      <c r="Q4016">
        <v>0.215</v>
      </c>
    </row>
    <row r="4017" spans="1:17" x14ac:dyDescent="0.2">
      <c r="A4017" s="30" t="str">
        <f>IF(C4017&amp;G4017&amp;D4017&lt;&gt;'Funnel setup'!$K$3&amp;'Funnel setup'!$K$4&amp;'Funnel setup'!$K$5,".",IF(A4016=".",1,A4016+1))</f>
        <v>.</v>
      </c>
      <c r="B4017" s="431" t="str">
        <f t="shared" si="62"/>
        <v>Knee Replacement PrimaryCCG of GP PracticeNHS STOCKPORT CCG (01W)EQ-5D Index</v>
      </c>
      <c r="C4017" t="s">
        <v>249</v>
      </c>
      <c r="D4017" t="s">
        <v>87</v>
      </c>
      <c r="E4017" t="s">
        <v>974</v>
      </c>
      <c r="F4017" t="s">
        <v>975</v>
      </c>
      <c r="G4017" t="s">
        <v>52</v>
      </c>
      <c r="H4017">
        <v>171</v>
      </c>
      <c r="I4017">
        <v>0.40100000000000002</v>
      </c>
      <c r="J4017">
        <v>0.77200000000000002</v>
      </c>
      <c r="K4017">
        <v>0.37</v>
      </c>
      <c r="L4017">
        <v>149</v>
      </c>
      <c r="M4017">
        <v>15</v>
      </c>
      <c r="N4017">
        <v>7</v>
      </c>
      <c r="O4017">
        <v>0.76700000000000002</v>
      </c>
      <c r="P4017">
        <v>0.34244418199999999</v>
      </c>
      <c r="Q4017">
        <v>0.17</v>
      </c>
    </row>
    <row r="4018" spans="1:17" x14ac:dyDescent="0.2">
      <c r="A4018" s="30" t="str">
        <f>IF(C4018&amp;G4018&amp;D4018&lt;&gt;'Funnel setup'!$K$3&amp;'Funnel setup'!$K$4&amp;'Funnel setup'!$K$5,".",IF(A4017=".",1,A4017+1))</f>
        <v>.</v>
      </c>
      <c r="B4018" s="431" t="str">
        <f t="shared" si="62"/>
        <v>Knee Replacement PrimaryCCG of GP PracticeNHS STOKE ON TRENT CCG (05W)EQ-5D Index</v>
      </c>
      <c r="C4018" t="s">
        <v>249</v>
      </c>
      <c r="D4018" t="s">
        <v>87</v>
      </c>
      <c r="E4018" t="s">
        <v>977</v>
      </c>
      <c r="F4018" t="s">
        <v>978</v>
      </c>
      <c r="G4018" t="s">
        <v>52</v>
      </c>
      <c r="H4018">
        <v>170</v>
      </c>
      <c r="I4018">
        <v>0.26300000000000001</v>
      </c>
      <c r="J4018">
        <v>0.63500000000000001</v>
      </c>
      <c r="K4018">
        <v>0.372</v>
      </c>
      <c r="L4018">
        <v>139</v>
      </c>
      <c r="M4018">
        <v>16</v>
      </c>
      <c r="N4018">
        <v>15</v>
      </c>
      <c r="O4018">
        <v>0.69899999999999995</v>
      </c>
      <c r="P4018">
        <v>0.273685805</v>
      </c>
      <c r="Q4018">
        <v>0.246</v>
      </c>
    </row>
    <row r="4019" spans="1:17" x14ac:dyDescent="0.2">
      <c r="A4019" s="30" t="str">
        <f>IF(C4019&amp;G4019&amp;D4019&lt;&gt;'Funnel setup'!$K$3&amp;'Funnel setup'!$K$4&amp;'Funnel setup'!$K$5,".",IF(A4018=".",1,A4018+1))</f>
        <v>.</v>
      </c>
      <c r="B4019" s="431" t="str">
        <f t="shared" si="62"/>
        <v>Knee Replacement PrimaryCCG of GP PracticeNHS SUNDERLAND CCG (00P)EQ-5D Index</v>
      </c>
      <c r="C4019" t="s">
        <v>249</v>
      </c>
      <c r="D4019" t="s">
        <v>87</v>
      </c>
      <c r="E4019" t="s">
        <v>980</v>
      </c>
      <c r="F4019" t="s">
        <v>981</v>
      </c>
      <c r="G4019" t="s">
        <v>52</v>
      </c>
      <c r="H4019">
        <v>255</v>
      </c>
      <c r="I4019">
        <v>0.375</v>
      </c>
      <c r="J4019">
        <v>0.70499999999999996</v>
      </c>
      <c r="K4019">
        <v>0.33</v>
      </c>
      <c r="L4019">
        <v>209</v>
      </c>
      <c r="M4019">
        <v>20</v>
      </c>
      <c r="N4019">
        <v>26</v>
      </c>
      <c r="O4019">
        <v>0.746</v>
      </c>
      <c r="P4019">
        <v>0.320703656</v>
      </c>
      <c r="Q4019">
        <v>0.22500000000000001</v>
      </c>
    </row>
    <row r="4020" spans="1:17" x14ac:dyDescent="0.2">
      <c r="A4020" s="30" t="str">
        <f>IF(C4020&amp;G4020&amp;D4020&lt;&gt;'Funnel setup'!$K$3&amp;'Funnel setup'!$K$4&amp;'Funnel setup'!$K$5,".",IF(A4019=".",1,A4019+1))</f>
        <v>.</v>
      </c>
      <c r="B4020" s="431" t="str">
        <f t="shared" si="62"/>
        <v>Knee Replacement PrimaryCCG of GP PracticeNHS SURREY DOWNS CCG (99H)EQ-5D Index</v>
      </c>
      <c r="C4020" t="s">
        <v>249</v>
      </c>
      <c r="D4020" t="s">
        <v>87</v>
      </c>
      <c r="E4020" t="s">
        <v>983</v>
      </c>
      <c r="F4020" t="s">
        <v>984</v>
      </c>
      <c r="G4020" t="s">
        <v>52</v>
      </c>
      <c r="H4020">
        <v>158</v>
      </c>
      <c r="I4020">
        <v>0.50800000000000001</v>
      </c>
      <c r="J4020">
        <v>0.75700000000000001</v>
      </c>
      <c r="K4020">
        <v>0.249</v>
      </c>
      <c r="L4020">
        <v>115</v>
      </c>
      <c r="M4020">
        <v>22</v>
      </c>
      <c r="N4020">
        <v>21</v>
      </c>
      <c r="O4020">
        <v>0.71199999999999997</v>
      </c>
      <c r="P4020">
        <v>0.28678680699999998</v>
      </c>
      <c r="Q4020">
        <v>0.21199999999999999</v>
      </c>
    </row>
    <row r="4021" spans="1:17" x14ac:dyDescent="0.2">
      <c r="A4021" s="30" t="str">
        <f>IF(C4021&amp;G4021&amp;D4021&lt;&gt;'Funnel setup'!$K$3&amp;'Funnel setup'!$K$4&amp;'Funnel setup'!$K$5,".",IF(A4020=".",1,A4020+1))</f>
        <v>.</v>
      </c>
      <c r="B4021" s="431" t="str">
        <f t="shared" si="62"/>
        <v>Knee Replacement PrimaryCCG of GP PracticeNHS SURREY HEATH CCG (10C)EQ-5D Index</v>
      </c>
      <c r="C4021" t="s">
        <v>249</v>
      </c>
      <c r="D4021" t="s">
        <v>87</v>
      </c>
      <c r="E4021" t="s">
        <v>986</v>
      </c>
      <c r="F4021" t="s">
        <v>987</v>
      </c>
      <c r="G4021" t="s">
        <v>52</v>
      </c>
      <c r="H4021">
        <v>72</v>
      </c>
      <c r="I4021">
        <v>0.48699999999999999</v>
      </c>
      <c r="J4021">
        <v>0.77300000000000002</v>
      </c>
      <c r="K4021">
        <v>0.28599999999999998</v>
      </c>
      <c r="L4021">
        <v>55</v>
      </c>
      <c r="M4021">
        <v>5</v>
      </c>
      <c r="N4021">
        <v>12</v>
      </c>
      <c r="O4021">
        <v>0.72799999999999998</v>
      </c>
      <c r="P4021">
        <v>0.30259183899999997</v>
      </c>
      <c r="Q4021">
        <v>0.222</v>
      </c>
    </row>
    <row r="4022" spans="1:17" x14ac:dyDescent="0.2">
      <c r="A4022" s="30" t="str">
        <f>IF(C4022&amp;G4022&amp;D4022&lt;&gt;'Funnel setup'!$K$3&amp;'Funnel setup'!$K$4&amp;'Funnel setup'!$K$5,".",IF(A4021=".",1,A4021+1))</f>
        <v>.</v>
      </c>
      <c r="B4022" s="431" t="str">
        <f t="shared" si="62"/>
        <v>Knee Replacement PrimaryCCG of GP PracticeNHS SUTTON CCG (08T)EQ-5D Index</v>
      </c>
      <c r="C4022" t="s">
        <v>249</v>
      </c>
      <c r="D4022" t="s">
        <v>87</v>
      </c>
      <c r="E4022" t="s">
        <v>989</v>
      </c>
      <c r="F4022" t="s">
        <v>990</v>
      </c>
      <c r="G4022" t="s">
        <v>52</v>
      </c>
      <c r="H4022">
        <v>71</v>
      </c>
      <c r="I4022">
        <v>0.438</v>
      </c>
      <c r="J4022">
        <v>0.747</v>
      </c>
      <c r="K4022">
        <v>0.309</v>
      </c>
      <c r="L4022">
        <v>55</v>
      </c>
      <c r="M4022">
        <v>10</v>
      </c>
      <c r="N4022">
        <v>6</v>
      </c>
      <c r="O4022">
        <v>0.72399999999999998</v>
      </c>
      <c r="P4022">
        <v>0.299155634</v>
      </c>
      <c r="Q4022">
        <v>0.19800000000000001</v>
      </c>
    </row>
    <row r="4023" spans="1:17" x14ac:dyDescent="0.2">
      <c r="A4023" s="30" t="str">
        <f>IF(C4023&amp;G4023&amp;D4023&lt;&gt;'Funnel setup'!$K$3&amp;'Funnel setup'!$K$4&amp;'Funnel setup'!$K$5,".",IF(A4022=".",1,A4022+1))</f>
        <v>.</v>
      </c>
      <c r="B4023" s="431" t="str">
        <f t="shared" si="62"/>
        <v>Knee Replacement PrimaryCCG of GP PracticeNHS SWALE CCG (10D)EQ-5D Index</v>
      </c>
      <c r="C4023" t="s">
        <v>249</v>
      </c>
      <c r="D4023" t="s">
        <v>87</v>
      </c>
      <c r="E4023" t="s">
        <v>992</v>
      </c>
      <c r="F4023" t="s">
        <v>993</v>
      </c>
      <c r="G4023" t="s">
        <v>52</v>
      </c>
      <c r="H4023">
        <v>65</v>
      </c>
      <c r="I4023">
        <v>0.39100000000000001</v>
      </c>
      <c r="J4023">
        <v>0.748</v>
      </c>
      <c r="K4023">
        <v>0.35699999999999998</v>
      </c>
      <c r="L4023">
        <v>53</v>
      </c>
      <c r="M4023">
        <v>4</v>
      </c>
      <c r="N4023">
        <v>8</v>
      </c>
      <c r="O4023">
        <v>0.76400000000000001</v>
      </c>
      <c r="P4023">
        <v>0.339457542</v>
      </c>
      <c r="Q4023">
        <v>0.20799999999999999</v>
      </c>
    </row>
    <row r="4024" spans="1:17" x14ac:dyDescent="0.2">
      <c r="A4024" s="30" t="str">
        <f>IF(C4024&amp;G4024&amp;D4024&lt;&gt;'Funnel setup'!$K$3&amp;'Funnel setup'!$K$4&amp;'Funnel setup'!$K$5,".",IF(A4023=".",1,A4023+1))</f>
        <v>.</v>
      </c>
      <c r="B4024" s="431" t="str">
        <f t="shared" si="62"/>
        <v>Knee Replacement PrimaryCCG of GP PracticeNHS SWINDON CCG (12D)EQ-5D Index</v>
      </c>
      <c r="C4024" t="s">
        <v>249</v>
      </c>
      <c r="D4024" t="s">
        <v>87</v>
      </c>
      <c r="E4024" t="s">
        <v>995</v>
      </c>
      <c r="F4024" t="s">
        <v>996</v>
      </c>
      <c r="G4024" t="s">
        <v>52</v>
      </c>
      <c r="H4024">
        <v>139</v>
      </c>
      <c r="I4024">
        <v>0.433</v>
      </c>
      <c r="J4024">
        <v>0.75800000000000001</v>
      </c>
      <c r="K4024">
        <v>0.32400000000000001</v>
      </c>
      <c r="L4024">
        <v>116</v>
      </c>
      <c r="M4024">
        <v>10</v>
      </c>
      <c r="N4024">
        <v>13</v>
      </c>
      <c r="O4024">
        <v>0.73799999999999999</v>
      </c>
      <c r="P4024">
        <v>0.31291174999999999</v>
      </c>
      <c r="Q4024">
        <v>0.23699999999999999</v>
      </c>
    </row>
    <row r="4025" spans="1:17" x14ac:dyDescent="0.2">
      <c r="A4025" s="30" t="str">
        <f>IF(C4025&amp;G4025&amp;D4025&lt;&gt;'Funnel setup'!$K$3&amp;'Funnel setup'!$K$4&amp;'Funnel setup'!$K$5,".",IF(A4024=".",1,A4024+1))</f>
        <v>.</v>
      </c>
      <c r="B4025" s="431" t="str">
        <f t="shared" si="62"/>
        <v>Knee Replacement PrimaryCCG of GP PracticeNHS TAMESIDE AND GLOSSOP CCG (01Y)EQ-5D Index</v>
      </c>
      <c r="C4025" t="s">
        <v>249</v>
      </c>
      <c r="D4025" t="s">
        <v>87</v>
      </c>
      <c r="E4025" t="s">
        <v>998</v>
      </c>
      <c r="F4025" t="s">
        <v>999</v>
      </c>
      <c r="G4025" t="s">
        <v>52</v>
      </c>
      <c r="H4025">
        <v>158</v>
      </c>
      <c r="I4025">
        <v>0.39800000000000002</v>
      </c>
      <c r="J4025">
        <v>0.71699999999999997</v>
      </c>
      <c r="K4025">
        <v>0.31900000000000001</v>
      </c>
      <c r="L4025">
        <v>123</v>
      </c>
      <c r="M4025">
        <v>15</v>
      </c>
      <c r="N4025">
        <v>20</v>
      </c>
      <c r="O4025">
        <v>0.73599999999999999</v>
      </c>
      <c r="P4025">
        <v>0.31132561800000003</v>
      </c>
      <c r="Q4025">
        <v>0.25700000000000001</v>
      </c>
    </row>
    <row r="4026" spans="1:17" x14ac:dyDescent="0.2">
      <c r="A4026" s="30" t="str">
        <f>IF(C4026&amp;G4026&amp;D4026&lt;&gt;'Funnel setup'!$K$3&amp;'Funnel setup'!$K$4&amp;'Funnel setup'!$K$5,".",IF(A4025=".",1,A4025+1))</f>
        <v>.</v>
      </c>
      <c r="B4026" s="431" t="str">
        <f t="shared" si="62"/>
        <v>Knee Replacement PrimaryCCG of GP PracticeNHS TELFORD AND WREKIN CCG (05X)EQ-5D Index</v>
      </c>
      <c r="C4026" t="s">
        <v>249</v>
      </c>
      <c r="D4026" t="s">
        <v>87</v>
      </c>
      <c r="E4026" t="s">
        <v>1001</v>
      </c>
      <c r="F4026" t="s">
        <v>1002</v>
      </c>
      <c r="G4026" t="s">
        <v>52</v>
      </c>
      <c r="H4026">
        <v>130</v>
      </c>
      <c r="I4026">
        <v>0.34100000000000003</v>
      </c>
      <c r="J4026">
        <v>0.72299999999999998</v>
      </c>
      <c r="K4026">
        <v>0.38100000000000001</v>
      </c>
      <c r="L4026">
        <v>109</v>
      </c>
      <c r="M4026">
        <v>9</v>
      </c>
      <c r="N4026">
        <v>12</v>
      </c>
      <c r="O4026">
        <v>0.74</v>
      </c>
      <c r="P4026">
        <v>0.31474724300000001</v>
      </c>
      <c r="Q4026">
        <v>0.24199999999999999</v>
      </c>
    </row>
    <row r="4027" spans="1:17" x14ac:dyDescent="0.2">
      <c r="A4027" s="30" t="str">
        <f>IF(C4027&amp;G4027&amp;D4027&lt;&gt;'Funnel setup'!$K$3&amp;'Funnel setup'!$K$4&amp;'Funnel setup'!$K$5,".",IF(A4026=".",1,A4026+1))</f>
        <v>.</v>
      </c>
      <c r="B4027" s="431" t="str">
        <f t="shared" si="62"/>
        <v>Knee Replacement PrimaryCCG of GP PracticeNHS THANET CCG (10E)EQ-5D Index</v>
      </c>
      <c r="C4027" t="s">
        <v>249</v>
      </c>
      <c r="D4027" t="s">
        <v>87</v>
      </c>
      <c r="E4027" t="s">
        <v>1004</v>
      </c>
      <c r="F4027" t="s">
        <v>1005</v>
      </c>
      <c r="G4027" t="s">
        <v>52</v>
      </c>
      <c r="H4027">
        <v>124</v>
      </c>
      <c r="I4027">
        <v>0.48199999999999998</v>
      </c>
      <c r="J4027">
        <v>0.77300000000000002</v>
      </c>
      <c r="K4027">
        <v>0.29099999999999998</v>
      </c>
      <c r="L4027">
        <v>97</v>
      </c>
      <c r="M4027">
        <v>14</v>
      </c>
      <c r="N4027">
        <v>13</v>
      </c>
      <c r="O4027">
        <v>0.76600000000000001</v>
      </c>
      <c r="P4027">
        <v>0.34092472200000001</v>
      </c>
      <c r="Q4027">
        <v>0.223</v>
      </c>
    </row>
    <row r="4028" spans="1:17" x14ac:dyDescent="0.2">
      <c r="A4028" s="30" t="str">
        <f>IF(C4028&amp;G4028&amp;D4028&lt;&gt;'Funnel setup'!$K$3&amp;'Funnel setup'!$K$4&amp;'Funnel setup'!$K$5,".",IF(A4027=".",1,A4027+1))</f>
        <v>.</v>
      </c>
      <c r="B4028" s="431" t="str">
        <f t="shared" si="62"/>
        <v>Knee Replacement PrimaryCCG of GP PracticeNHS THURROCK CCG (07G)EQ-5D Index</v>
      </c>
      <c r="C4028" t="s">
        <v>249</v>
      </c>
      <c r="D4028" t="s">
        <v>87</v>
      </c>
      <c r="E4028" t="s">
        <v>1007</v>
      </c>
      <c r="F4028" t="s">
        <v>1008</v>
      </c>
      <c r="G4028" t="s">
        <v>52</v>
      </c>
      <c r="H4028">
        <v>88</v>
      </c>
      <c r="I4028">
        <v>0.47899999999999998</v>
      </c>
      <c r="J4028">
        <v>0.75600000000000001</v>
      </c>
      <c r="K4028">
        <v>0.27700000000000002</v>
      </c>
      <c r="L4028">
        <v>66</v>
      </c>
      <c r="M4028">
        <v>14</v>
      </c>
      <c r="N4028">
        <v>8</v>
      </c>
      <c r="O4028">
        <v>0.74099999999999999</v>
      </c>
      <c r="P4028">
        <v>0.31641225699999997</v>
      </c>
      <c r="Q4028">
        <v>0.222</v>
      </c>
    </row>
    <row r="4029" spans="1:17" x14ac:dyDescent="0.2">
      <c r="A4029" s="30" t="str">
        <f>IF(C4029&amp;G4029&amp;D4029&lt;&gt;'Funnel setup'!$K$3&amp;'Funnel setup'!$K$4&amp;'Funnel setup'!$K$5,".",IF(A4028=".",1,A4028+1))</f>
        <v>.</v>
      </c>
      <c r="B4029" s="431" t="str">
        <f t="shared" si="62"/>
        <v>Knee Replacement PrimaryCCG of GP PracticeNHS TOWER HAMLETS CCG (08V)EQ-5D Index</v>
      </c>
      <c r="C4029" t="s">
        <v>249</v>
      </c>
      <c r="D4029" t="s">
        <v>87</v>
      </c>
      <c r="E4029" t="s">
        <v>1010</v>
      </c>
      <c r="F4029" t="s">
        <v>1011</v>
      </c>
      <c r="G4029" t="s">
        <v>52</v>
      </c>
      <c r="H4029">
        <v>27</v>
      </c>
      <c r="I4029">
        <v>0.17399999999999999</v>
      </c>
      <c r="J4029">
        <v>0.52800000000000002</v>
      </c>
      <c r="K4029">
        <v>0.35399999999999998</v>
      </c>
      <c r="L4029">
        <v>23</v>
      </c>
      <c r="M4029">
        <v>3</v>
      </c>
      <c r="N4029">
        <v>1</v>
      </c>
      <c r="O4029" t="s">
        <v>53</v>
      </c>
      <c r="P4029" t="s">
        <v>53</v>
      </c>
      <c r="Q4029" t="s">
        <v>53</v>
      </c>
    </row>
    <row r="4030" spans="1:17" x14ac:dyDescent="0.2">
      <c r="A4030" s="30" t="str">
        <f>IF(C4030&amp;G4030&amp;D4030&lt;&gt;'Funnel setup'!$K$3&amp;'Funnel setup'!$K$4&amp;'Funnel setup'!$K$5,".",IF(A4029=".",1,A4029+1))</f>
        <v>.</v>
      </c>
      <c r="B4030" s="431" t="str">
        <f t="shared" si="62"/>
        <v>Knee Replacement PrimaryCCG of GP PracticeNHS TRAFFORD CCG (02A)EQ-5D Index</v>
      </c>
      <c r="C4030" t="s">
        <v>249</v>
      </c>
      <c r="D4030" t="s">
        <v>87</v>
      </c>
      <c r="E4030" t="s">
        <v>1013</v>
      </c>
      <c r="F4030" t="s">
        <v>1014</v>
      </c>
      <c r="G4030" t="s">
        <v>52</v>
      </c>
      <c r="H4030">
        <v>104</v>
      </c>
      <c r="I4030">
        <v>0.45900000000000002</v>
      </c>
      <c r="J4030">
        <v>0.71</v>
      </c>
      <c r="K4030">
        <v>0.251</v>
      </c>
      <c r="L4030">
        <v>84</v>
      </c>
      <c r="M4030">
        <v>10</v>
      </c>
      <c r="N4030">
        <v>10</v>
      </c>
      <c r="O4030">
        <v>0.69299999999999995</v>
      </c>
      <c r="P4030">
        <v>0.26751841700000001</v>
      </c>
      <c r="Q4030">
        <v>0.25600000000000001</v>
      </c>
    </row>
    <row r="4031" spans="1:17" x14ac:dyDescent="0.2">
      <c r="A4031" s="30" t="str">
        <f>IF(C4031&amp;G4031&amp;D4031&lt;&gt;'Funnel setup'!$K$3&amp;'Funnel setup'!$K$4&amp;'Funnel setup'!$K$5,".",IF(A4030=".",1,A4030+1))</f>
        <v>.</v>
      </c>
      <c r="B4031" s="431" t="str">
        <f t="shared" si="62"/>
        <v>Knee Replacement PrimaryCCG of GP PracticeNHS VALE OF YORK CCG (03Q)EQ-5D Index</v>
      </c>
      <c r="C4031" t="s">
        <v>249</v>
      </c>
      <c r="D4031" t="s">
        <v>87</v>
      </c>
      <c r="E4031" t="s">
        <v>420</v>
      </c>
      <c r="F4031" t="s">
        <v>421</v>
      </c>
      <c r="G4031" t="s">
        <v>52</v>
      </c>
      <c r="H4031">
        <v>334</v>
      </c>
      <c r="I4031">
        <v>0.51700000000000002</v>
      </c>
      <c r="J4031">
        <v>0.78600000000000003</v>
      </c>
      <c r="K4031">
        <v>0.26900000000000002</v>
      </c>
      <c r="L4031">
        <v>272</v>
      </c>
      <c r="M4031">
        <v>33</v>
      </c>
      <c r="N4031">
        <v>29</v>
      </c>
      <c r="O4031">
        <v>0.73499999999999999</v>
      </c>
      <c r="P4031">
        <v>0.30986813099999999</v>
      </c>
      <c r="Q4031">
        <v>0.19700000000000001</v>
      </c>
    </row>
    <row r="4032" spans="1:17" x14ac:dyDescent="0.2">
      <c r="A4032" s="30" t="str">
        <f>IF(C4032&amp;G4032&amp;D4032&lt;&gt;'Funnel setup'!$K$3&amp;'Funnel setup'!$K$4&amp;'Funnel setup'!$K$5,".",IF(A4031=".",1,A4031+1))</f>
        <v>.</v>
      </c>
      <c r="B4032" s="431" t="str">
        <f t="shared" si="62"/>
        <v>Knee Replacement PrimaryCCG of GP PracticeNHS VALE ROYAL CCG (02D)EQ-5D Index</v>
      </c>
      <c r="C4032" t="s">
        <v>249</v>
      </c>
      <c r="D4032" t="s">
        <v>87</v>
      </c>
      <c r="E4032" t="s">
        <v>423</v>
      </c>
      <c r="F4032" t="s">
        <v>424</v>
      </c>
      <c r="G4032" t="s">
        <v>52</v>
      </c>
      <c r="H4032">
        <v>79</v>
      </c>
      <c r="I4032">
        <v>0.42499999999999999</v>
      </c>
      <c r="J4032">
        <v>0.76</v>
      </c>
      <c r="K4032">
        <v>0.33500000000000002</v>
      </c>
      <c r="L4032">
        <v>61</v>
      </c>
      <c r="M4032">
        <v>10</v>
      </c>
      <c r="N4032">
        <v>8</v>
      </c>
      <c r="O4032">
        <v>0.748</v>
      </c>
      <c r="P4032">
        <v>0.32317795599999999</v>
      </c>
      <c r="Q4032">
        <v>0.17499999999999999</v>
      </c>
    </row>
    <row r="4033" spans="1:17" x14ac:dyDescent="0.2">
      <c r="A4033" s="30" t="str">
        <f>IF(C4033&amp;G4033&amp;D4033&lt;&gt;'Funnel setup'!$K$3&amp;'Funnel setup'!$K$4&amp;'Funnel setup'!$K$5,".",IF(A4032=".",1,A4032+1))</f>
        <v>.</v>
      </c>
      <c r="B4033" s="431" t="str">
        <f t="shared" si="62"/>
        <v>Knee Replacement PrimaryCCG of GP PracticeNHS WAKEFIELD CCG (03R)EQ-5D Index</v>
      </c>
      <c r="C4033" t="s">
        <v>249</v>
      </c>
      <c r="D4033" t="s">
        <v>87</v>
      </c>
      <c r="E4033" t="s">
        <v>426</v>
      </c>
      <c r="F4033" t="s">
        <v>427</v>
      </c>
      <c r="G4033" t="s">
        <v>52</v>
      </c>
      <c r="H4033">
        <v>296</v>
      </c>
      <c r="I4033">
        <v>0.38200000000000001</v>
      </c>
      <c r="J4033">
        <v>0.73799999999999999</v>
      </c>
      <c r="K4033">
        <v>0.35499999999999998</v>
      </c>
      <c r="L4033">
        <v>237</v>
      </c>
      <c r="M4033">
        <v>28</v>
      </c>
      <c r="N4033">
        <v>31</v>
      </c>
      <c r="O4033">
        <v>0.76</v>
      </c>
      <c r="P4033">
        <v>0.33519501400000001</v>
      </c>
      <c r="Q4033">
        <v>0.224</v>
      </c>
    </row>
    <row r="4034" spans="1:17" x14ac:dyDescent="0.2">
      <c r="A4034" s="30" t="str">
        <f>IF(C4034&amp;G4034&amp;D4034&lt;&gt;'Funnel setup'!$K$3&amp;'Funnel setup'!$K$4&amp;'Funnel setup'!$K$5,".",IF(A4033=".",1,A4033+1))</f>
        <v>.</v>
      </c>
      <c r="B4034" s="431" t="str">
        <f t="shared" si="62"/>
        <v>Knee Replacement PrimaryCCG of GP PracticeNHS WALSALL CCG (05Y)EQ-5D Index</v>
      </c>
      <c r="C4034" t="s">
        <v>249</v>
      </c>
      <c r="D4034" t="s">
        <v>87</v>
      </c>
      <c r="E4034" t="s">
        <v>429</v>
      </c>
      <c r="F4034" t="s">
        <v>430</v>
      </c>
      <c r="G4034" t="s">
        <v>52</v>
      </c>
      <c r="H4034">
        <v>187</v>
      </c>
      <c r="I4034">
        <v>0.33300000000000002</v>
      </c>
      <c r="J4034">
        <v>0.68100000000000005</v>
      </c>
      <c r="K4034">
        <v>0.34799999999999998</v>
      </c>
      <c r="L4034">
        <v>156</v>
      </c>
      <c r="M4034">
        <v>16</v>
      </c>
      <c r="N4034">
        <v>15</v>
      </c>
      <c r="O4034">
        <v>0.72599999999999998</v>
      </c>
      <c r="P4034">
        <v>0.30097505000000002</v>
      </c>
      <c r="Q4034">
        <v>0.23899999999999999</v>
      </c>
    </row>
    <row r="4035" spans="1:17" x14ac:dyDescent="0.2">
      <c r="A4035" s="30" t="str">
        <f>IF(C4035&amp;G4035&amp;D4035&lt;&gt;'Funnel setup'!$K$3&amp;'Funnel setup'!$K$4&amp;'Funnel setup'!$K$5,".",IF(A4034=".",1,A4034+1))</f>
        <v>.</v>
      </c>
      <c r="B4035" s="431" t="str">
        <f t="shared" ref="B4035:B4098" si="63">C4035&amp;D4035&amp;F4035&amp;G4035</f>
        <v>Knee Replacement PrimaryCCG of GP PracticeNHS WALTHAM FOREST CCG (08W)EQ-5D Index</v>
      </c>
      <c r="C4035" t="s">
        <v>249</v>
      </c>
      <c r="D4035" t="s">
        <v>87</v>
      </c>
      <c r="E4035" t="s">
        <v>432</v>
      </c>
      <c r="F4035" t="s">
        <v>433</v>
      </c>
      <c r="G4035" t="s">
        <v>52</v>
      </c>
      <c r="H4035">
        <v>84</v>
      </c>
      <c r="I4035">
        <v>0.42</v>
      </c>
      <c r="J4035">
        <v>0.75900000000000001</v>
      </c>
      <c r="K4035">
        <v>0.33900000000000002</v>
      </c>
      <c r="L4035">
        <v>73</v>
      </c>
      <c r="M4035">
        <v>8</v>
      </c>
      <c r="N4035">
        <v>3</v>
      </c>
      <c r="O4035">
        <v>0.78</v>
      </c>
      <c r="P4035">
        <v>0.354924564</v>
      </c>
      <c r="Q4035">
        <v>0.16800000000000001</v>
      </c>
    </row>
    <row r="4036" spans="1:17" x14ac:dyDescent="0.2">
      <c r="A4036" s="30" t="str">
        <f>IF(C4036&amp;G4036&amp;D4036&lt;&gt;'Funnel setup'!$K$3&amp;'Funnel setup'!$K$4&amp;'Funnel setup'!$K$5,".",IF(A4035=".",1,A4035+1))</f>
        <v>.</v>
      </c>
      <c r="B4036" s="431" t="str">
        <f t="shared" si="63"/>
        <v>Knee Replacement PrimaryCCG of GP PracticeNHS WANDSWORTH CCG (08X)EQ-5D Index</v>
      </c>
      <c r="C4036" t="s">
        <v>249</v>
      </c>
      <c r="D4036" t="s">
        <v>87</v>
      </c>
      <c r="E4036" t="s">
        <v>435</v>
      </c>
      <c r="F4036" t="s">
        <v>436</v>
      </c>
      <c r="G4036" t="s">
        <v>52</v>
      </c>
      <c r="H4036">
        <v>50</v>
      </c>
      <c r="I4036">
        <v>0.44800000000000001</v>
      </c>
      <c r="J4036">
        <v>0.69599999999999995</v>
      </c>
      <c r="K4036">
        <v>0.248</v>
      </c>
      <c r="L4036">
        <v>34</v>
      </c>
      <c r="M4036">
        <v>8</v>
      </c>
      <c r="N4036">
        <v>8</v>
      </c>
      <c r="O4036">
        <v>0.69799999999999995</v>
      </c>
      <c r="P4036">
        <v>0.27265124800000001</v>
      </c>
      <c r="Q4036">
        <v>0.23599999999999999</v>
      </c>
    </row>
    <row r="4037" spans="1:17" x14ac:dyDescent="0.2">
      <c r="A4037" s="30" t="str">
        <f>IF(C4037&amp;G4037&amp;D4037&lt;&gt;'Funnel setup'!$K$3&amp;'Funnel setup'!$K$4&amp;'Funnel setup'!$K$5,".",IF(A4036=".",1,A4036+1))</f>
        <v>.</v>
      </c>
      <c r="B4037" s="431" t="str">
        <f t="shared" si="63"/>
        <v>Knee Replacement PrimaryCCG of GP PracticeNHS WARRINGTON CCG (02E)EQ-5D Index</v>
      </c>
      <c r="C4037" t="s">
        <v>249</v>
      </c>
      <c r="D4037" t="s">
        <v>87</v>
      </c>
      <c r="E4037" t="s">
        <v>441</v>
      </c>
      <c r="F4037" t="s">
        <v>442</v>
      </c>
      <c r="G4037" t="s">
        <v>52</v>
      </c>
      <c r="H4037">
        <v>182</v>
      </c>
      <c r="I4037">
        <v>0.41399999999999998</v>
      </c>
      <c r="J4037">
        <v>0.73899999999999999</v>
      </c>
      <c r="K4037">
        <v>0.32600000000000001</v>
      </c>
      <c r="L4037">
        <v>146</v>
      </c>
      <c r="M4037">
        <v>21</v>
      </c>
      <c r="N4037">
        <v>15</v>
      </c>
      <c r="O4037">
        <v>0.73499999999999999</v>
      </c>
      <c r="P4037">
        <v>0.31004998299999997</v>
      </c>
      <c r="Q4037">
        <v>0.192</v>
      </c>
    </row>
    <row r="4038" spans="1:17" x14ac:dyDescent="0.2">
      <c r="A4038" s="30" t="str">
        <f>IF(C4038&amp;G4038&amp;D4038&lt;&gt;'Funnel setup'!$K$3&amp;'Funnel setup'!$K$4&amp;'Funnel setup'!$K$5,".",IF(A4037=".",1,A4037+1))</f>
        <v>.</v>
      </c>
      <c r="B4038" s="431" t="str">
        <f t="shared" si="63"/>
        <v>Knee Replacement PrimaryCCG of GP PracticeNHS WARWICKSHIRE NORTH CCG (05H)EQ-5D Index</v>
      </c>
      <c r="C4038" t="s">
        <v>249</v>
      </c>
      <c r="D4038" t="s">
        <v>87</v>
      </c>
      <c r="E4038" t="s">
        <v>438</v>
      </c>
      <c r="F4038" t="s">
        <v>439</v>
      </c>
      <c r="G4038" t="s">
        <v>52</v>
      </c>
      <c r="H4038">
        <v>83</v>
      </c>
      <c r="I4038">
        <v>0.375</v>
      </c>
      <c r="J4038">
        <v>0.752</v>
      </c>
      <c r="K4038">
        <v>0.377</v>
      </c>
      <c r="L4038">
        <v>72</v>
      </c>
      <c r="M4038">
        <v>7</v>
      </c>
      <c r="N4038">
        <v>4</v>
      </c>
      <c r="O4038">
        <v>0.753</v>
      </c>
      <c r="P4038">
        <v>0.328051598</v>
      </c>
      <c r="Q4038">
        <v>0.21199999999999999</v>
      </c>
    </row>
    <row r="4039" spans="1:17" x14ac:dyDescent="0.2">
      <c r="A4039" s="30" t="str">
        <f>IF(C4039&amp;G4039&amp;D4039&lt;&gt;'Funnel setup'!$K$3&amp;'Funnel setup'!$K$4&amp;'Funnel setup'!$K$5,".",IF(A4038=".",1,A4038+1))</f>
        <v>.</v>
      </c>
      <c r="B4039" s="431" t="str">
        <f t="shared" si="63"/>
        <v>Knee Replacement PrimaryCCG of GP PracticeNHS WEST CHESHIRE CCG (02F)EQ-5D Index</v>
      </c>
      <c r="C4039" t="s">
        <v>249</v>
      </c>
      <c r="D4039" t="s">
        <v>87</v>
      </c>
      <c r="E4039" t="s">
        <v>402</v>
      </c>
      <c r="F4039" t="s">
        <v>403</v>
      </c>
      <c r="G4039" t="s">
        <v>52</v>
      </c>
      <c r="H4039">
        <v>256</v>
      </c>
      <c r="I4039">
        <v>0.42299999999999999</v>
      </c>
      <c r="J4039">
        <v>0.72499999999999998</v>
      </c>
      <c r="K4039">
        <v>0.30299999999999999</v>
      </c>
      <c r="L4039">
        <v>204</v>
      </c>
      <c r="M4039">
        <v>26</v>
      </c>
      <c r="N4039">
        <v>26</v>
      </c>
      <c r="O4039">
        <v>0.71199999999999997</v>
      </c>
      <c r="P4039">
        <v>0.28747601299999997</v>
      </c>
      <c r="Q4039">
        <v>0.23400000000000001</v>
      </c>
    </row>
    <row r="4040" spans="1:17" x14ac:dyDescent="0.2">
      <c r="A4040" s="30" t="str">
        <f>IF(C4040&amp;G4040&amp;D4040&lt;&gt;'Funnel setup'!$K$3&amp;'Funnel setup'!$K$4&amp;'Funnel setup'!$K$5,".",IF(A4039=".",1,A4039+1))</f>
        <v>.</v>
      </c>
      <c r="B4040" s="431" t="str">
        <f t="shared" si="63"/>
        <v>Knee Replacement PrimaryCCG of GP PracticeNHS WEST ESSEX CCG (07H)EQ-5D Index</v>
      </c>
      <c r="C4040" t="s">
        <v>249</v>
      </c>
      <c r="D4040" t="s">
        <v>87</v>
      </c>
      <c r="E4040" t="s">
        <v>405</v>
      </c>
      <c r="F4040" t="s">
        <v>406</v>
      </c>
      <c r="G4040" t="s">
        <v>52</v>
      </c>
      <c r="H4040">
        <v>198</v>
      </c>
      <c r="I4040">
        <v>0.42599999999999999</v>
      </c>
      <c r="J4040">
        <v>0.74</v>
      </c>
      <c r="K4040">
        <v>0.314</v>
      </c>
      <c r="L4040">
        <v>166</v>
      </c>
      <c r="M4040">
        <v>9</v>
      </c>
      <c r="N4040">
        <v>23</v>
      </c>
      <c r="O4040">
        <v>0.747</v>
      </c>
      <c r="P4040">
        <v>0.32209800900000002</v>
      </c>
      <c r="Q4040">
        <v>0.248</v>
      </c>
    </row>
    <row r="4041" spans="1:17" x14ac:dyDescent="0.2">
      <c r="A4041" s="30" t="str">
        <f>IF(C4041&amp;G4041&amp;D4041&lt;&gt;'Funnel setup'!$K$3&amp;'Funnel setup'!$K$4&amp;'Funnel setup'!$K$5,".",IF(A4040=".",1,A4040+1))</f>
        <v>.</v>
      </c>
      <c r="B4041" s="431" t="str">
        <f t="shared" si="63"/>
        <v>Knee Replacement PrimaryCCG of GP PracticeNHS WEST HAMPSHIRE CCG (11A)EQ-5D Index</v>
      </c>
      <c r="C4041" t="s">
        <v>249</v>
      </c>
      <c r="D4041" t="s">
        <v>87</v>
      </c>
      <c r="E4041" t="s">
        <v>444</v>
      </c>
      <c r="F4041" t="s">
        <v>445</v>
      </c>
      <c r="G4041" t="s">
        <v>52</v>
      </c>
      <c r="H4041">
        <v>412</v>
      </c>
      <c r="I4041">
        <v>0.497</v>
      </c>
      <c r="J4041">
        <v>0.77500000000000002</v>
      </c>
      <c r="K4041">
        <v>0.27800000000000002</v>
      </c>
      <c r="L4041">
        <v>344</v>
      </c>
      <c r="M4041">
        <v>36</v>
      </c>
      <c r="N4041">
        <v>32</v>
      </c>
      <c r="O4041">
        <v>0.73799999999999999</v>
      </c>
      <c r="P4041">
        <v>0.31311709599999998</v>
      </c>
      <c r="Q4041">
        <v>0.20699999999999999</v>
      </c>
    </row>
    <row r="4042" spans="1:17" x14ac:dyDescent="0.2">
      <c r="A4042" s="30" t="str">
        <f>IF(C4042&amp;G4042&amp;D4042&lt;&gt;'Funnel setup'!$K$3&amp;'Funnel setup'!$K$4&amp;'Funnel setup'!$K$5,".",IF(A4041=".",1,A4041+1))</f>
        <v>.</v>
      </c>
      <c r="B4042" s="431" t="str">
        <f t="shared" si="63"/>
        <v>Knee Replacement PrimaryCCG of GP PracticeNHS WEST KENT CCG (99J)EQ-5D Index</v>
      </c>
      <c r="C4042" t="s">
        <v>249</v>
      </c>
      <c r="D4042" t="s">
        <v>87</v>
      </c>
      <c r="E4042" t="s">
        <v>447</v>
      </c>
      <c r="F4042" t="s">
        <v>448</v>
      </c>
      <c r="G4042" t="s">
        <v>52</v>
      </c>
      <c r="H4042">
        <v>319</v>
      </c>
      <c r="I4042">
        <v>0.52400000000000002</v>
      </c>
      <c r="J4042">
        <v>0.78800000000000003</v>
      </c>
      <c r="K4042">
        <v>0.26400000000000001</v>
      </c>
      <c r="L4042">
        <v>260</v>
      </c>
      <c r="M4042">
        <v>31</v>
      </c>
      <c r="N4042">
        <v>28</v>
      </c>
      <c r="O4042">
        <v>0.748</v>
      </c>
      <c r="P4042">
        <v>0.32253224000000003</v>
      </c>
      <c r="Q4042">
        <v>0.20100000000000001</v>
      </c>
    </row>
    <row r="4043" spans="1:17" x14ac:dyDescent="0.2">
      <c r="A4043" s="30" t="str">
        <f>IF(C4043&amp;G4043&amp;D4043&lt;&gt;'Funnel setup'!$K$3&amp;'Funnel setup'!$K$4&amp;'Funnel setup'!$K$5,".",IF(A4042=".",1,A4042+1))</f>
        <v>.</v>
      </c>
      <c r="B4043" s="431" t="str">
        <f t="shared" si="63"/>
        <v>Knee Replacement PrimaryCCG of GP PracticeNHS WEST LANCASHIRE CCG (02G)EQ-5D Index</v>
      </c>
      <c r="C4043" t="s">
        <v>249</v>
      </c>
      <c r="D4043" t="s">
        <v>87</v>
      </c>
      <c r="E4043" t="s">
        <v>450</v>
      </c>
      <c r="F4043" t="s">
        <v>451</v>
      </c>
      <c r="G4043" t="s">
        <v>52</v>
      </c>
      <c r="H4043">
        <v>84</v>
      </c>
      <c r="I4043">
        <v>0.443</v>
      </c>
      <c r="J4043">
        <v>0.74399999999999999</v>
      </c>
      <c r="K4043">
        <v>0.30099999999999999</v>
      </c>
      <c r="L4043">
        <v>63</v>
      </c>
      <c r="M4043">
        <v>7</v>
      </c>
      <c r="N4043">
        <v>14</v>
      </c>
      <c r="O4043">
        <v>0.74099999999999999</v>
      </c>
      <c r="P4043">
        <v>0.31604476100000001</v>
      </c>
      <c r="Q4043">
        <v>0.214</v>
      </c>
    </row>
    <row r="4044" spans="1:17" x14ac:dyDescent="0.2">
      <c r="A4044" s="30" t="str">
        <f>IF(C4044&amp;G4044&amp;D4044&lt;&gt;'Funnel setup'!$K$3&amp;'Funnel setup'!$K$4&amp;'Funnel setup'!$K$5,".",IF(A4043=".",1,A4043+1))</f>
        <v>.</v>
      </c>
      <c r="B4044" s="431" t="str">
        <f t="shared" si="63"/>
        <v>Knee Replacement PrimaryCCG of GP PracticeNHS WEST LEICESTERSHIRE CCG (04V)EQ-5D Index</v>
      </c>
      <c r="C4044" t="s">
        <v>249</v>
      </c>
      <c r="D4044" t="s">
        <v>87</v>
      </c>
      <c r="E4044" t="s">
        <v>453</v>
      </c>
      <c r="F4044" t="s">
        <v>454</v>
      </c>
      <c r="G4044" t="s">
        <v>52</v>
      </c>
      <c r="H4044">
        <v>330</v>
      </c>
      <c r="I4044">
        <v>0.41799999999999998</v>
      </c>
      <c r="J4044">
        <v>0.75600000000000001</v>
      </c>
      <c r="K4044">
        <v>0.33800000000000002</v>
      </c>
      <c r="L4044">
        <v>272</v>
      </c>
      <c r="M4044">
        <v>33</v>
      </c>
      <c r="N4044">
        <v>25</v>
      </c>
      <c r="O4044">
        <v>0.752</v>
      </c>
      <c r="P4044">
        <v>0.326987323</v>
      </c>
      <c r="Q4044">
        <v>0.21</v>
      </c>
    </row>
    <row r="4045" spans="1:17" x14ac:dyDescent="0.2">
      <c r="A4045" s="30" t="str">
        <f>IF(C4045&amp;G4045&amp;D4045&lt;&gt;'Funnel setup'!$K$3&amp;'Funnel setup'!$K$4&amp;'Funnel setup'!$K$5,".",IF(A4044=".",1,A4044+1))</f>
        <v>.</v>
      </c>
      <c r="B4045" s="431" t="str">
        <f t="shared" si="63"/>
        <v>Knee Replacement PrimaryCCG of GP PracticeNHS WEST LONDON CCG (08Y)EQ-5D Index</v>
      </c>
      <c r="C4045" t="s">
        <v>249</v>
      </c>
      <c r="D4045" t="s">
        <v>87</v>
      </c>
      <c r="E4045" t="s">
        <v>456</v>
      </c>
      <c r="F4045" t="s">
        <v>457</v>
      </c>
      <c r="G4045" t="s">
        <v>52</v>
      </c>
      <c r="H4045">
        <v>19</v>
      </c>
      <c r="I4045">
        <v>0.35499999999999998</v>
      </c>
      <c r="J4045">
        <v>0.69</v>
      </c>
      <c r="K4045">
        <v>0.33500000000000002</v>
      </c>
      <c r="L4045">
        <v>14</v>
      </c>
      <c r="M4045">
        <v>3</v>
      </c>
      <c r="N4045">
        <v>2</v>
      </c>
      <c r="O4045" t="s">
        <v>53</v>
      </c>
      <c r="P4045" t="s">
        <v>53</v>
      </c>
      <c r="Q4045" t="s">
        <v>53</v>
      </c>
    </row>
    <row r="4046" spans="1:17" x14ac:dyDescent="0.2">
      <c r="A4046" s="30" t="str">
        <f>IF(C4046&amp;G4046&amp;D4046&lt;&gt;'Funnel setup'!$K$3&amp;'Funnel setup'!$K$4&amp;'Funnel setup'!$K$5,".",IF(A4045=".",1,A4045+1))</f>
        <v>.</v>
      </c>
      <c r="B4046" s="431" t="str">
        <f t="shared" si="63"/>
        <v>Knee Replacement PrimaryCCG of GP PracticeNHS WEST NORFOLK CCG (07J)EQ-5D Index</v>
      </c>
      <c r="C4046" t="s">
        <v>249</v>
      </c>
      <c r="D4046" t="s">
        <v>87</v>
      </c>
      <c r="E4046" t="s">
        <v>459</v>
      </c>
      <c r="F4046" t="s">
        <v>460</v>
      </c>
      <c r="G4046" t="s">
        <v>52</v>
      </c>
      <c r="H4046">
        <v>147</v>
      </c>
      <c r="I4046">
        <v>0.45</v>
      </c>
      <c r="J4046">
        <v>0.73399999999999999</v>
      </c>
      <c r="K4046">
        <v>0.28399999999999997</v>
      </c>
      <c r="L4046">
        <v>114</v>
      </c>
      <c r="M4046">
        <v>17</v>
      </c>
      <c r="N4046">
        <v>16</v>
      </c>
      <c r="O4046">
        <v>0.72599999999999998</v>
      </c>
      <c r="P4046">
        <v>0.30127308899999999</v>
      </c>
      <c r="Q4046">
        <v>0.20399999999999999</v>
      </c>
    </row>
    <row r="4047" spans="1:17" x14ac:dyDescent="0.2">
      <c r="A4047" s="30" t="str">
        <f>IF(C4047&amp;G4047&amp;D4047&lt;&gt;'Funnel setup'!$K$3&amp;'Funnel setup'!$K$4&amp;'Funnel setup'!$K$5,".",IF(A4046=".",1,A4046+1))</f>
        <v>.</v>
      </c>
      <c r="B4047" s="431" t="str">
        <f t="shared" si="63"/>
        <v>Knee Replacement PrimaryCCG of GP PracticeNHS WEST SUFFOLK CCG (07K)EQ-5D Index</v>
      </c>
      <c r="C4047" t="s">
        <v>249</v>
      </c>
      <c r="D4047" t="s">
        <v>87</v>
      </c>
      <c r="E4047" t="s">
        <v>462</v>
      </c>
      <c r="F4047" t="s">
        <v>463</v>
      </c>
      <c r="G4047" t="s">
        <v>52</v>
      </c>
      <c r="H4047">
        <v>184</v>
      </c>
      <c r="I4047">
        <v>0.42199999999999999</v>
      </c>
      <c r="J4047">
        <v>0.72799999999999998</v>
      </c>
      <c r="K4047">
        <v>0.30599999999999999</v>
      </c>
      <c r="L4047">
        <v>148</v>
      </c>
      <c r="M4047">
        <v>19</v>
      </c>
      <c r="N4047">
        <v>17</v>
      </c>
      <c r="O4047">
        <v>0.71899999999999997</v>
      </c>
      <c r="P4047">
        <v>0.29366671900000002</v>
      </c>
      <c r="Q4047">
        <v>0.26</v>
      </c>
    </row>
    <row r="4048" spans="1:17" x14ac:dyDescent="0.2">
      <c r="A4048" s="30" t="str">
        <f>IF(C4048&amp;G4048&amp;D4048&lt;&gt;'Funnel setup'!$K$3&amp;'Funnel setup'!$K$4&amp;'Funnel setup'!$K$5,".",IF(A4047=".",1,A4047+1))</f>
        <v>.</v>
      </c>
      <c r="B4048" s="431" t="str">
        <f t="shared" si="63"/>
        <v>Knee Replacement PrimaryCCG of GP PracticeNHS WIGAN BOROUGH CCG (02H)EQ-5D Index</v>
      </c>
      <c r="C4048" t="s">
        <v>249</v>
      </c>
      <c r="D4048" t="s">
        <v>87</v>
      </c>
      <c r="E4048" t="s">
        <v>465</v>
      </c>
      <c r="F4048" t="s">
        <v>466</v>
      </c>
      <c r="G4048" t="s">
        <v>52</v>
      </c>
      <c r="H4048">
        <v>165</v>
      </c>
      <c r="I4048">
        <v>0.33700000000000002</v>
      </c>
      <c r="J4048">
        <v>0.67300000000000004</v>
      </c>
      <c r="K4048">
        <v>0.33600000000000002</v>
      </c>
      <c r="L4048">
        <v>129</v>
      </c>
      <c r="M4048">
        <v>22</v>
      </c>
      <c r="N4048">
        <v>14</v>
      </c>
      <c r="O4048">
        <v>0.72499999999999998</v>
      </c>
      <c r="P4048">
        <v>0.29988523299999997</v>
      </c>
      <c r="Q4048">
        <v>0.214</v>
      </c>
    </row>
    <row r="4049" spans="1:17" x14ac:dyDescent="0.2">
      <c r="A4049" s="30" t="str">
        <f>IF(C4049&amp;G4049&amp;D4049&lt;&gt;'Funnel setup'!$K$3&amp;'Funnel setup'!$K$4&amp;'Funnel setup'!$K$5,".",IF(A4048=".",1,A4048+1))</f>
        <v>.</v>
      </c>
      <c r="B4049" s="431" t="str">
        <f t="shared" si="63"/>
        <v>Knee Replacement PrimaryCCG of GP PracticeNHS WILTSHIRE CCG (99N)EQ-5D Index</v>
      </c>
      <c r="C4049" t="s">
        <v>249</v>
      </c>
      <c r="D4049" t="s">
        <v>87</v>
      </c>
      <c r="E4049" t="s">
        <v>468</v>
      </c>
      <c r="F4049" t="s">
        <v>469</v>
      </c>
      <c r="G4049" t="s">
        <v>52</v>
      </c>
      <c r="H4049">
        <v>491</v>
      </c>
      <c r="I4049">
        <v>0.47099999999999997</v>
      </c>
      <c r="J4049">
        <v>0.76900000000000002</v>
      </c>
      <c r="K4049">
        <v>0.29899999999999999</v>
      </c>
      <c r="L4049">
        <v>396</v>
      </c>
      <c r="M4049">
        <v>57</v>
      </c>
      <c r="N4049">
        <v>38</v>
      </c>
      <c r="O4049">
        <v>0.746</v>
      </c>
      <c r="P4049">
        <v>0.32146742099999998</v>
      </c>
      <c r="Q4049">
        <v>0.21199999999999999</v>
      </c>
    </row>
    <row r="4050" spans="1:17" x14ac:dyDescent="0.2">
      <c r="A4050" s="30" t="str">
        <f>IF(C4050&amp;G4050&amp;D4050&lt;&gt;'Funnel setup'!$K$3&amp;'Funnel setup'!$K$4&amp;'Funnel setup'!$K$5,".",IF(A4049=".",1,A4049+1))</f>
        <v>.</v>
      </c>
      <c r="B4050" s="431" t="str">
        <f t="shared" si="63"/>
        <v>Knee Replacement PrimaryCCG of GP PracticeNHS WINDSOR, ASCOT AND MAIDENHEAD CCG (11C)EQ-5D Index</v>
      </c>
      <c r="C4050" t="s">
        <v>249</v>
      </c>
      <c r="D4050" t="s">
        <v>87</v>
      </c>
      <c r="E4050" t="s">
        <v>471</v>
      </c>
      <c r="F4050" t="s">
        <v>472</v>
      </c>
      <c r="G4050" t="s">
        <v>52</v>
      </c>
      <c r="H4050">
        <v>57</v>
      </c>
      <c r="I4050">
        <v>0.48199999999999998</v>
      </c>
      <c r="J4050">
        <v>0.79900000000000004</v>
      </c>
      <c r="K4050">
        <v>0.317</v>
      </c>
      <c r="L4050">
        <v>49</v>
      </c>
      <c r="M4050">
        <v>4</v>
      </c>
      <c r="N4050">
        <v>4</v>
      </c>
      <c r="O4050">
        <v>0.77</v>
      </c>
      <c r="P4050">
        <v>0.34542683600000001</v>
      </c>
      <c r="Q4050">
        <v>0.193</v>
      </c>
    </row>
    <row r="4051" spans="1:17" x14ac:dyDescent="0.2">
      <c r="A4051" s="30" t="str">
        <f>IF(C4051&amp;G4051&amp;D4051&lt;&gt;'Funnel setup'!$K$3&amp;'Funnel setup'!$K$4&amp;'Funnel setup'!$K$5,".",IF(A4050=".",1,A4050+1))</f>
        <v>.</v>
      </c>
      <c r="B4051" s="431" t="str">
        <f t="shared" si="63"/>
        <v>Knee Replacement PrimaryCCG of GP PracticeNHS WIRRAL CCG (12F)EQ-5D Index</v>
      </c>
      <c r="C4051" t="s">
        <v>249</v>
      </c>
      <c r="D4051" t="s">
        <v>87</v>
      </c>
      <c r="E4051" t="s">
        <v>474</v>
      </c>
      <c r="F4051" t="s">
        <v>475</v>
      </c>
      <c r="G4051" t="s">
        <v>52</v>
      </c>
      <c r="H4051">
        <v>306</v>
      </c>
      <c r="I4051">
        <v>0.37</v>
      </c>
      <c r="J4051">
        <v>0.71599999999999997</v>
      </c>
      <c r="K4051">
        <v>0.34599999999999997</v>
      </c>
      <c r="L4051">
        <v>247</v>
      </c>
      <c r="M4051">
        <v>29</v>
      </c>
      <c r="N4051">
        <v>30</v>
      </c>
      <c r="O4051">
        <v>0.745</v>
      </c>
      <c r="P4051">
        <v>0.320339233</v>
      </c>
      <c r="Q4051">
        <v>0.22900000000000001</v>
      </c>
    </row>
    <row r="4052" spans="1:17" x14ac:dyDescent="0.2">
      <c r="A4052" s="30" t="str">
        <f>IF(C4052&amp;G4052&amp;D4052&lt;&gt;'Funnel setup'!$K$3&amp;'Funnel setup'!$K$4&amp;'Funnel setup'!$K$5,".",IF(A4051=".",1,A4051+1))</f>
        <v>.</v>
      </c>
      <c r="B4052" s="431" t="str">
        <f t="shared" si="63"/>
        <v>Knee Replacement PrimaryCCG of GP PracticeNHS WOKINGHAM CCG (11D)EQ-5D Index</v>
      </c>
      <c r="C4052" t="s">
        <v>249</v>
      </c>
      <c r="D4052" t="s">
        <v>87</v>
      </c>
      <c r="E4052" t="s">
        <v>477</v>
      </c>
      <c r="F4052" t="s">
        <v>478</v>
      </c>
      <c r="G4052" t="s">
        <v>52</v>
      </c>
      <c r="H4052">
        <v>103</v>
      </c>
      <c r="I4052">
        <v>0.46</v>
      </c>
      <c r="J4052">
        <v>0.8</v>
      </c>
      <c r="K4052">
        <v>0.34</v>
      </c>
      <c r="L4052">
        <v>84</v>
      </c>
      <c r="M4052">
        <v>10</v>
      </c>
      <c r="N4052">
        <v>9</v>
      </c>
      <c r="O4052">
        <v>0.752</v>
      </c>
      <c r="P4052">
        <v>0.32701547399999997</v>
      </c>
      <c r="Q4052">
        <v>0.17399999999999999</v>
      </c>
    </row>
    <row r="4053" spans="1:17" x14ac:dyDescent="0.2">
      <c r="A4053" s="30" t="str">
        <f>IF(C4053&amp;G4053&amp;D4053&lt;&gt;'Funnel setup'!$K$3&amp;'Funnel setup'!$K$4&amp;'Funnel setup'!$K$5,".",IF(A4052=".",1,A4052+1))</f>
        <v>.</v>
      </c>
      <c r="B4053" s="431" t="str">
        <f t="shared" si="63"/>
        <v>Knee Replacement PrimaryCCG of GP PracticeNHS WOLVERHAMPTON CCG (06A)EQ-5D Index</v>
      </c>
      <c r="C4053" t="s">
        <v>249</v>
      </c>
      <c r="D4053" t="s">
        <v>87</v>
      </c>
      <c r="E4053" t="s">
        <v>480</v>
      </c>
      <c r="F4053" t="s">
        <v>481</v>
      </c>
      <c r="G4053" t="s">
        <v>52</v>
      </c>
      <c r="H4053">
        <v>216</v>
      </c>
      <c r="I4053">
        <v>0.36</v>
      </c>
      <c r="J4053">
        <v>0.68</v>
      </c>
      <c r="K4053">
        <v>0.32</v>
      </c>
      <c r="L4053">
        <v>170</v>
      </c>
      <c r="M4053">
        <v>21</v>
      </c>
      <c r="N4053">
        <v>25</v>
      </c>
      <c r="O4053">
        <v>0.73599999999999999</v>
      </c>
      <c r="P4053">
        <v>0.31089986400000003</v>
      </c>
      <c r="Q4053">
        <v>0.25800000000000001</v>
      </c>
    </row>
    <row r="4054" spans="1:17" x14ac:dyDescent="0.2">
      <c r="A4054" s="30" t="str">
        <f>IF(C4054&amp;G4054&amp;D4054&lt;&gt;'Funnel setup'!$K$3&amp;'Funnel setup'!$K$4&amp;'Funnel setup'!$K$5,".",IF(A4053=".",1,A4053+1))</f>
        <v>.</v>
      </c>
      <c r="B4054" s="431" t="str">
        <f t="shared" si="63"/>
        <v>Knee Replacement PrimaryCCG of GP PracticeNHS WYRE FOREST CCG (06D)EQ-5D Index</v>
      </c>
      <c r="C4054" t="s">
        <v>249</v>
      </c>
      <c r="D4054" t="s">
        <v>87</v>
      </c>
      <c r="E4054" t="s">
        <v>483</v>
      </c>
      <c r="F4054" t="s">
        <v>484</v>
      </c>
      <c r="G4054" t="s">
        <v>52</v>
      </c>
      <c r="H4054">
        <v>70</v>
      </c>
      <c r="I4054">
        <v>0.48199999999999998</v>
      </c>
      <c r="J4054">
        <v>0.77600000000000002</v>
      </c>
      <c r="K4054">
        <v>0.29399999999999998</v>
      </c>
      <c r="L4054">
        <v>56</v>
      </c>
      <c r="M4054">
        <v>9</v>
      </c>
      <c r="N4054">
        <v>5</v>
      </c>
      <c r="O4054">
        <v>0.746</v>
      </c>
      <c r="P4054">
        <v>0.32065520199999997</v>
      </c>
      <c r="Q4054">
        <v>0.17100000000000001</v>
      </c>
    </row>
    <row r="4055" spans="1:17" x14ac:dyDescent="0.2">
      <c r="A4055" s="30" t="str">
        <f>IF(C4055&amp;G4055&amp;D4055&lt;&gt;'Funnel setup'!$K$3&amp;'Funnel setup'!$K$4&amp;'Funnel setup'!$K$5,".",IF(A4054=".",1,A4054+1))</f>
        <v>.</v>
      </c>
      <c r="B4055" s="431" t="str">
        <f t="shared" si="63"/>
        <v>Knee Replacement PrimaryCCG of GP PracticeNATIONAL COMMISSIONING HUB 1 (13Q)Oxford Knee Score</v>
      </c>
      <c r="C4055" t="s">
        <v>249</v>
      </c>
      <c r="D4055" t="s">
        <v>87</v>
      </c>
      <c r="E4055" t="s">
        <v>563</v>
      </c>
      <c r="F4055" t="s">
        <v>564</v>
      </c>
      <c r="G4055" t="s">
        <v>16</v>
      </c>
      <c r="H4055" t="s">
        <v>53</v>
      </c>
      <c r="I4055" t="s">
        <v>53</v>
      </c>
      <c r="J4055" t="s">
        <v>53</v>
      </c>
      <c r="K4055" t="s">
        <v>53</v>
      </c>
      <c r="L4055" t="s">
        <v>53</v>
      </c>
      <c r="M4055" t="s">
        <v>53</v>
      </c>
      <c r="N4055" t="s">
        <v>53</v>
      </c>
      <c r="O4055" t="s">
        <v>53</v>
      </c>
      <c r="P4055" t="s">
        <v>53</v>
      </c>
      <c r="Q4055" t="s">
        <v>53</v>
      </c>
    </row>
    <row r="4056" spans="1:17" x14ac:dyDescent="0.2">
      <c r="A4056" s="30" t="str">
        <f>IF(C4056&amp;G4056&amp;D4056&lt;&gt;'Funnel setup'!$K$3&amp;'Funnel setup'!$K$4&amp;'Funnel setup'!$K$5,".",IF(A4055=".",1,A4055+1))</f>
        <v>.</v>
      </c>
      <c r="B4056" s="431" t="str">
        <f t="shared" si="63"/>
        <v>Knee Replacement PrimaryCCG of GP PracticeNHS AIREDALE, WHARFEDALE AND CRAVEN CCG (02N)Oxford Knee Score</v>
      </c>
      <c r="C4056" t="s">
        <v>249</v>
      </c>
      <c r="D4056" t="s">
        <v>87</v>
      </c>
      <c r="E4056" t="s">
        <v>566</v>
      </c>
      <c r="F4056" t="s">
        <v>567</v>
      </c>
      <c r="G4056" t="s">
        <v>16</v>
      </c>
      <c r="H4056">
        <v>146</v>
      </c>
      <c r="I4056">
        <v>21.11</v>
      </c>
      <c r="J4056">
        <v>37.719000000000001</v>
      </c>
      <c r="K4056">
        <v>16.61</v>
      </c>
      <c r="L4056">
        <v>137</v>
      </c>
      <c r="M4056">
        <v>1</v>
      </c>
      <c r="N4056">
        <v>8</v>
      </c>
      <c r="O4056">
        <v>36.268000000000001</v>
      </c>
      <c r="P4056">
        <v>16.982463559999999</v>
      </c>
      <c r="Q4056">
        <v>7.9089999999999998</v>
      </c>
    </row>
    <row r="4057" spans="1:17" x14ac:dyDescent="0.2">
      <c r="A4057" s="30" t="str">
        <f>IF(C4057&amp;G4057&amp;D4057&lt;&gt;'Funnel setup'!$K$3&amp;'Funnel setup'!$K$4&amp;'Funnel setup'!$K$5,".",IF(A4056=".",1,A4056+1))</f>
        <v>.</v>
      </c>
      <c r="B4057" s="431" t="str">
        <f t="shared" si="63"/>
        <v>Knee Replacement PrimaryCCG of GP PracticeNHS ASHFORD CCG (09C)Oxford Knee Score</v>
      </c>
      <c r="C4057" t="s">
        <v>249</v>
      </c>
      <c r="D4057" t="s">
        <v>87</v>
      </c>
      <c r="E4057" t="s">
        <v>569</v>
      </c>
      <c r="F4057" t="s">
        <v>339</v>
      </c>
      <c r="G4057" t="s">
        <v>16</v>
      </c>
      <c r="H4057">
        <v>67</v>
      </c>
      <c r="I4057">
        <v>21.850999999999999</v>
      </c>
      <c r="J4057">
        <v>36.478000000000002</v>
      </c>
      <c r="K4057">
        <v>14.627000000000001</v>
      </c>
      <c r="L4057">
        <v>63</v>
      </c>
      <c r="M4057">
        <v>0</v>
      </c>
      <c r="N4057">
        <v>4</v>
      </c>
      <c r="O4057">
        <v>35.585000000000001</v>
      </c>
      <c r="P4057">
        <v>16.299784500000001</v>
      </c>
      <c r="Q4057">
        <v>7.32</v>
      </c>
    </row>
    <row r="4058" spans="1:17" x14ac:dyDescent="0.2">
      <c r="A4058" s="30" t="str">
        <f>IF(C4058&amp;G4058&amp;D4058&lt;&gt;'Funnel setup'!$K$3&amp;'Funnel setup'!$K$4&amp;'Funnel setup'!$K$5,".",IF(A4057=".",1,A4057+1))</f>
        <v>.</v>
      </c>
      <c r="B4058" s="431" t="str">
        <f t="shared" si="63"/>
        <v>Knee Replacement PrimaryCCG of GP PracticeNHS AYLESBURY VALE CCG (10Y)Oxford Knee Score</v>
      </c>
      <c r="C4058" t="s">
        <v>249</v>
      </c>
      <c r="D4058" t="s">
        <v>87</v>
      </c>
      <c r="E4058" t="s">
        <v>571</v>
      </c>
      <c r="F4058" t="s">
        <v>572</v>
      </c>
      <c r="G4058" t="s">
        <v>16</v>
      </c>
      <c r="H4058">
        <v>148</v>
      </c>
      <c r="I4058">
        <v>21.736000000000001</v>
      </c>
      <c r="J4058">
        <v>36.372</v>
      </c>
      <c r="K4058">
        <v>14.635</v>
      </c>
      <c r="L4058">
        <v>139</v>
      </c>
      <c r="M4058">
        <v>2</v>
      </c>
      <c r="N4058">
        <v>7</v>
      </c>
      <c r="O4058">
        <v>34.823999999999998</v>
      </c>
      <c r="P4058">
        <v>15.53849129</v>
      </c>
      <c r="Q4058">
        <v>8.1240000000000006</v>
      </c>
    </row>
    <row r="4059" spans="1:17" x14ac:dyDescent="0.2">
      <c r="A4059" s="30" t="str">
        <f>IF(C4059&amp;G4059&amp;D4059&lt;&gt;'Funnel setup'!$K$3&amp;'Funnel setup'!$K$4&amp;'Funnel setup'!$K$5,".",IF(A4058=".",1,A4058+1))</f>
        <v>.</v>
      </c>
      <c r="B4059" s="431" t="str">
        <f t="shared" si="63"/>
        <v>Knee Replacement PrimaryCCG of GP PracticeNHS BARKING AND DAGENHAM CCG (07L)Oxford Knee Score</v>
      </c>
      <c r="C4059" t="s">
        <v>249</v>
      </c>
      <c r="D4059" t="s">
        <v>87</v>
      </c>
      <c r="E4059" t="s">
        <v>574</v>
      </c>
      <c r="F4059" t="s">
        <v>575</v>
      </c>
      <c r="G4059" t="s">
        <v>16</v>
      </c>
      <c r="H4059">
        <v>56</v>
      </c>
      <c r="I4059">
        <v>16.981999999999999</v>
      </c>
      <c r="J4059">
        <v>30.553999999999998</v>
      </c>
      <c r="K4059">
        <v>13.571</v>
      </c>
      <c r="L4059">
        <v>50</v>
      </c>
      <c r="M4059">
        <v>2</v>
      </c>
      <c r="N4059">
        <v>4</v>
      </c>
      <c r="O4059">
        <v>33.136000000000003</v>
      </c>
      <c r="P4059">
        <v>13.85021882</v>
      </c>
      <c r="Q4059">
        <v>8.6820000000000004</v>
      </c>
    </row>
    <row r="4060" spans="1:17" x14ac:dyDescent="0.2">
      <c r="A4060" s="30" t="str">
        <f>IF(C4060&amp;G4060&amp;D4060&lt;&gt;'Funnel setup'!$K$3&amp;'Funnel setup'!$K$4&amp;'Funnel setup'!$K$5,".",IF(A4059=".",1,A4059+1))</f>
        <v>.</v>
      </c>
      <c r="B4060" s="431" t="str">
        <f t="shared" si="63"/>
        <v>Knee Replacement PrimaryCCG of GP PracticeNHS BARNET CCG (07M)Oxford Knee Score</v>
      </c>
      <c r="C4060" t="s">
        <v>249</v>
      </c>
      <c r="D4060" t="s">
        <v>87</v>
      </c>
      <c r="E4060" t="s">
        <v>577</v>
      </c>
      <c r="F4060" t="s">
        <v>578</v>
      </c>
      <c r="G4060" t="s">
        <v>16</v>
      </c>
      <c r="H4060">
        <v>94</v>
      </c>
      <c r="I4060">
        <v>19.382999999999999</v>
      </c>
      <c r="J4060">
        <v>31.222999999999999</v>
      </c>
      <c r="K4060">
        <v>11.84</v>
      </c>
      <c r="L4060">
        <v>77</v>
      </c>
      <c r="M4060">
        <v>1</v>
      </c>
      <c r="N4060">
        <v>16</v>
      </c>
      <c r="O4060">
        <v>31.882999999999999</v>
      </c>
      <c r="P4060">
        <v>12.59737981</v>
      </c>
      <c r="Q4060">
        <v>9.5009999999999994</v>
      </c>
    </row>
    <row r="4061" spans="1:17" x14ac:dyDescent="0.2">
      <c r="A4061" s="30" t="str">
        <f>IF(C4061&amp;G4061&amp;D4061&lt;&gt;'Funnel setup'!$K$3&amp;'Funnel setup'!$K$4&amp;'Funnel setup'!$K$5,".",IF(A4060=".",1,A4060+1))</f>
        <v>.</v>
      </c>
      <c r="B4061" s="431" t="str">
        <f t="shared" si="63"/>
        <v>Knee Replacement PrimaryCCG of GP PracticeNHS BARNSLEY CCG (02P)Oxford Knee Score</v>
      </c>
      <c r="C4061" t="s">
        <v>249</v>
      </c>
      <c r="D4061" t="s">
        <v>87</v>
      </c>
      <c r="E4061" t="s">
        <v>580</v>
      </c>
      <c r="F4061" t="s">
        <v>581</v>
      </c>
      <c r="G4061" t="s">
        <v>16</v>
      </c>
      <c r="H4061">
        <v>307</v>
      </c>
      <c r="I4061">
        <v>18.085000000000001</v>
      </c>
      <c r="J4061">
        <v>33.792000000000002</v>
      </c>
      <c r="K4061">
        <v>15.707000000000001</v>
      </c>
      <c r="L4061">
        <v>291</v>
      </c>
      <c r="M4061">
        <v>3</v>
      </c>
      <c r="N4061">
        <v>13</v>
      </c>
      <c r="O4061">
        <v>34.837000000000003</v>
      </c>
      <c r="P4061">
        <v>15.55177918</v>
      </c>
      <c r="Q4061">
        <v>8.8970000000000002</v>
      </c>
    </row>
    <row r="4062" spans="1:17" x14ac:dyDescent="0.2">
      <c r="A4062" s="30" t="str">
        <f>IF(C4062&amp;G4062&amp;D4062&lt;&gt;'Funnel setup'!$K$3&amp;'Funnel setup'!$K$4&amp;'Funnel setup'!$K$5,".",IF(A4061=".",1,A4061+1))</f>
        <v>.</v>
      </c>
      <c r="B4062" s="431" t="str">
        <f t="shared" si="63"/>
        <v>Knee Replacement PrimaryCCG of GP PracticeNHS BASILDON AND BRENTWOOD CCG (99E)Oxford Knee Score</v>
      </c>
      <c r="C4062" t="s">
        <v>249</v>
      </c>
      <c r="D4062" t="s">
        <v>87</v>
      </c>
      <c r="E4062" t="s">
        <v>583</v>
      </c>
      <c r="F4062" t="s">
        <v>584</v>
      </c>
      <c r="G4062" t="s">
        <v>16</v>
      </c>
      <c r="H4062">
        <v>171</v>
      </c>
      <c r="I4062">
        <v>18.661000000000001</v>
      </c>
      <c r="J4062">
        <v>35.795000000000002</v>
      </c>
      <c r="K4062">
        <v>17.135000000000002</v>
      </c>
      <c r="L4062">
        <v>162</v>
      </c>
      <c r="M4062">
        <v>1</v>
      </c>
      <c r="N4062">
        <v>8</v>
      </c>
      <c r="O4062">
        <v>35.679000000000002</v>
      </c>
      <c r="P4062">
        <v>16.393619300000001</v>
      </c>
      <c r="Q4062">
        <v>8.6329999999999991</v>
      </c>
    </row>
    <row r="4063" spans="1:17" x14ac:dyDescent="0.2">
      <c r="A4063" s="30" t="str">
        <f>IF(C4063&amp;G4063&amp;D4063&lt;&gt;'Funnel setup'!$K$3&amp;'Funnel setup'!$K$4&amp;'Funnel setup'!$K$5,".",IF(A4062=".",1,A4062+1))</f>
        <v>.</v>
      </c>
      <c r="B4063" s="431" t="str">
        <f t="shared" si="63"/>
        <v>Knee Replacement PrimaryCCG of GP PracticeNHS BASSETLAW CCG (02Q)Oxford Knee Score</v>
      </c>
      <c r="C4063" t="s">
        <v>249</v>
      </c>
      <c r="D4063" t="s">
        <v>87</v>
      </c>
      <c r="E4063" t="s">
        <v>586</v>
      </c>
      <c r="F4063" t="s">
        <v>587</v>
      </c>
      <c r="G4063" t="s">
        <v>16</v>
      </c>
      <c r="H4063">
        <v>122</v>
      </c>
      <c r="I4063">
        <v>18.541</v>
      </c>
      <c r="J4063">
        <v>35.508000000000003</v>
      </c>
      <c r="K4063">
        <v>16.966999999999999</v>
      </c>
      <c r="L4063">
        <v>115</v>
      </c>
      <c r="M4063">
        <v>0</v>
      </c>
      <c r="N4063">
        <v>7</v>
      </c>
      <c r="O4063">
        <v>35.683999999999997</v>
      </c>
      <c r="P4063">
        <v>16.399099199999998</v>
      </c>
      <c r="Q4063">
        <v>8.1609999999999996</v>
      </c>
    </row>
    <row r="4064" spans="1:17" x14ac:dyDescent="0.2">
      <c r="A4064" s="30" t="str">
        <f>IF(C4064&amp;G4064&amp;D4064&lt;&gt;'Funnel setup'!$K$3&amp;'Funnel setup'!$K$4&amp;'Funnel setup'!$K$5,".",IF(A4063=".",1,A4063+1))</f>
        <v>.</v>
      </c>
      <c r="B4064" s="431" t="str">
        <f t="shared" si="63"/>
        <v>Knee Replacement PrimaryCCG of GP PracticeNHS BATH AND NORTH EAST SOMERSET CCG (11E)Oxford Knee Score</v>
      </c>
      <c r="C4064" t="s">
        <v>249</v>
      </c>
      <c r="D4064" t="s">
        <v>87</v>
      </c>
      <c r="E4064" t="s">
        <v>589</v>
      </c>
      <c r="F4064" t="s">
        <v>590</v>
      </c>
      <c r="G4064" t="s">
        <v>16</v>
      </c>
      <c r="H4064">
        <v>162</v>
      </c>
      <c r="I4064">
        <v>19.876999999999999</v>
      </c>
      <c r="J4064">
        <v>38.130000000000003</v>
      </c>
      <c r="K4064">
        <v>18.253</v>
      </c>
      <c r="L4064">
        <v>156</v>
      </c>
      <c r="M4064">
        <v>0</v>
      </c>
      <c r="N4064">
        <v>6</v>
      </c>
      <c r="O4064">
        <v>37.204000000000001</v>
      </c>
      <c r="P4064">
        <v>17.918412239999999</v>
      </c>
      <c r="Q4064">
        <v>7.5119999999999996</v>
      </c>
    </row>
    <row r="4065" spans="1:17" x14ac:dyDescent="0.2">
      <c r="A4065" s="30" t="str">
        <f>IF(C4065&amp;G4065&amp;D4065&lt;&gt;'Funnel setup'!$K$3&amp;'Funnel setup'!$K$4&amp;'Funnel setup'!$K$5,".",IF(A4064=".",1,A4064+1))</f>
        <v>.</v>
      </c>
      <c r="B4065" s="431" t="str">
        <f t="shared" si="63"/>
        <v>Knee Replacement PrimaryCCG of GP PracticeNHS BEDFORDSHIRE CCG (06F)Oxford Knee Score</v>
      </c>
      <c r="C4065" t="s">
        <v>249</v>
      </c>
      <c r="D4065" t="s">
        <v>87</v>
      </c>
      <c r="E4065" t="s">
        <v>592</v>
      </c>
      <c r="F4065" t="s">
        <v>593</v>
      </c>
      <c r="G4065" t="s">
        <v>16</v>
      </c>
      <c r="H4065">
        <v>350</v>
      </c>
      <c r="I4065">
        <v>19.582999999999998</v>
      </c>
      <c r="J4065">
        <v>35.790999999999997</v>
      </c>
      <c r="K4065">
        <v>16.209</v>
      </c>
      <c r="L4065">
        <v>331</v>
      </c>
      <c r="M4065">
        <v>4</v>
      </c>
      <c r="N4065">
        <v>15</v>
      </c>
      <c r="O4065">
        <v>35.264000000000003</v>
      </c>
      <c r="P4065">
        <v>15.97893163</v>
      </c>
      <c r="Q4065">
        <v>8.1959999999999997</v>
      </c>
    </row>
    <row r="4066" spans="1:17" x14ac:dyDescent="0.2">
      <c r="A4066" s="30" t="str">
        <f>IF(C4066&amp;G4066&amp;D4066&lt;&gt;'Funnel setup'!$K$3&amp;'Funnel setup'!$K$4&amp;'Funnel setup'!$K$5,".",IF(A4065=".",1,A4065+1))</f>
        <v>.</v>
      </c>
      <c r="B4066" s="431" t="str">
        <f t="shared" si="63"/>
        <v>Knee Replacement PrimaryCCG of GP PracticeNHS BEXLEY CCG (07N)Oxford Knee Score</v>
      </c>
      <c r="C4066" t="s">
        <v>249</v>
      </c>
      <c r="D4066" t="s">
        <v>87</v>
      </c>
      <c r="E4066" t="s">
        <v>595</v>
      </c>
      <c r="F4066" t="s">
        <v>596</v>
      </c>
      <c r="G4066" t="s">
        <v>16</v>
      </c>
      <c r="H4066">
        <v>104</v>
      </c>
      <c r="I4066">
        <v>17.297999999999998</v>
      </c>
      <c r="J4066">
        <v>34.24</v>
      </c>
      <c r="K4066">
        <v>16.942</v>
      </c>
      <c r="L4066">
        <v>97</v>
      </c>
      <c r="M4066">
        <v>0</v>
      </c>
      <c r="N4066">
        <v>7</v>
      </c>
      <c r="O4066">
        <v>35.136000000000003</v>
      </c>
      <c r="P4066">
        <v>15.850504669999999</v>
      </c>
      <c r="Q4066">
        <v>9.7279999999999998</v>
      </c>
    </row>
    <row r="4067" spans="1:17" x14ac:dyDescent="0.2">
      <c r="A4067" s="30" t="str">
        <f>IF(C4067&amp;G4067&amp;D4067&lt;&gt;'Funnel setup'!$K$3&amp;'Funnel setup'!$K$4&amp;'Funnel setup'!$K$5,".",IF(A4066=".",1,A4066+1))</f>
        <v>.</v>
      </c>
      <c r="B4067" s="431" t="str">
        <f t="shared" si="63"/>
        <v>Knee Replacement PrimaryCCG of GP PracticeNHS BIRMINGHAM CROSSCITY CCG (13P)Oxford Knee Score</v>
      </c>
      <c r="C4067" t="s">
        <v>249</v>
      </c>
      <c r="D4067" t="s">
        <v>87</v>
      </c>
      <c r="E4067" t="s">
        <v>598</v>
      </c>
      <c r="F4067" t="s">
        <v>599</v>
      </c>
      <c r="G4067" t="s">
        <v>16</v>
      </c>
      <c r="H4067">
        <v>403</v>
      </c>
      <c r="I4067">
        <v>18.475999999999999</v>
      </c>
      <c r="J4067">
        <v>33.511000000000003</v>
      </c>
      <c r="K4067">
        <v>15.035</v>
      </c>
      <c r="L4067">
        <v>366</v>
      </c>
      <c r="M4067">
        <v>4</v>
      </c>
      <c r="N4067">
        <v>33</v>
      </c>
      <c r="O4067">
        <v>34.847999999999999</v>
      </c>
      <c r="P4067">
        <v>15.56306468</v>
      </c>
      <c r="Q4067">
        <v>9.4109999999999996</v>
      </c>
    </row>
    <row r="4068" spans="1:17" x14ac:dyDescent="0.2">
      <c r="A4068" s="30" t="str">
        <f>IF(C4068&amp;G4068&amp;D4068&lt;&gt;'Funnel setup'!$K$3&amp;'Funnel setup'!$K$4&amp;'Funnel setup'!$K$5,".",IF(A4067=".",1,A4067+1))</f>
        <v>.</v>
      </c>
      <c r="B4068" s="431" t="str">
        <f t="shared" si="63"/>
        <v>Knee Replacement PrimaryCCG of GP PracticeNHS BIRMINGHAM SOUTH AND CENTRAL CCG (04X)Oxford Knee Score</v>
      </c>
      <c r="C4068" t="s">
        <v>249</v>
      </c>
      <c r="D4068" t="s">
        <v>87</v>
      </c>
      <c r="E4068" t="s">
        <v>601</v>
      </c>
      <c r="F4068" t="s">
        <v>602</v>
      </c>
      <c r="G4068" t="s">
        <v>16</v>
      </c>
      <c r="H4068">
        <v>100</v>
      </c>
      <c r="I4068">
        <v>17.78</v>
      </c>
      <c r="J4068">
        <v>34.26</v>
      </c>
      <c r="K4068">
        <v>16.48</v>
      </c>
      <c r="L4068">
        <v>97</v>
      </c>
      <c r="M4068">
        <v>1</v>
      </c>
      <c r="N4068">
        <v>2</v>
      </c>
      <c r="O4068">
        <v>36.164000000000001</v>
      </c>
      <c r="P4068">
        <v>16.878991800000001</v>
      </c>
      <c r="Q4068">
        <v>8.2240000000000002</v>
      </c>
    </row>
    <row r="4069" spans="1:17" x14ac:dyDescent="0.2">
      <c r="A4069" s="30" t="str">
        <f>IF(C4069&amp;G4069&amp;D4069&lt;&gt;'Funnel setup'!$K$3&amp;'Funnel setup'!$K$4&amp;'Funnel setup'!$K$5,".",IF(A4068=".",1,A4068+1))</f>
        <v>.</v>
      </c>
      <c r="B4069" s="431" t="str">
        <f t="shared" si="63"/>
        <v>Knee Replacement PrimaryCCG of GP PracticeNHS BLACKBURN WITH DARWEN CCG (00Q)Oxford Knee Score</v>
      </c>
      <c r="C4069" t="s">
        <v>249</v>
      </c>
      <c r="D4069" t="s">
        <v>87</v>
      </c>
      <c r="E4069" t="s">
        <v>604</v>
      </c>
      <c r="F4069" t="s">
        <v>605</v>
      </c>
      <c r="G4069" t="s">
        <v>16</v>
      </c>
      <c r="H4069">
        <v>99</v>
      </c>
      <c r="I4069">
        <v>18.152000000000001</v>
      </c>
      <c r="J4069">
        <v>35.758000000000003</v>
      </c>
      <c r="K4069">
        <v>17.606000000000002</v>
      </c>
      <c r="L4069">
        <v>97</v>
      </c>
      <c r="M4069">
        <v>0</v>
      </c>
      <c r="N4069">
        <v>2</v>
      </c>
      <c r="O4069">
        <v>37.225999999999999</v>
      </c>
      <c r="P4069">
        <v>17.940207619999999</v>
      </c>
      <c r="Q4069">
        <v>8.093</v>
      </c>
    </row>
    <row r="4070" spans="1:17" x14ac:dyDescent="0.2">
      <c r="A4070" s="30" t="str">
        <f>IF(C4070&amp;G4070&amp;D4070&lt;&gt;'Funnel setup'!$K$3&amp;'Funnel setup'!$K$4&amp;'Funnel setup'!$K$5,".",IF(A4069=".",1,A4069+1))</f>
        <v>.</v>
      </c>
      <c r="B4070" s="431" t="str">
        <f t="shared" si="63"/>
        <v>Knee Replacement PrimaryCCG of GP PracticeNHS BLACKPOOL CCG (00R)Oxford Knee Score</v>
      </c>
      <c r="C4070" t="s">
        <v>249</v>
      </c>
      <c r="D4070" t="s">
        <v>87</v>
      </c>
      <c r="E4070" t="s">
        <v>607</v>
      </c>
      <c r="F4070" t="s">
        <v>608</v>
      </c>
      <c r="G4070" t="s">
        <v>16</v>
      </c>
      <c r="H4070">
        <v>43</v>
      </c>
      <c r="I4070">
        <v>20.442</v>
      </c>
      <c r="J4070">
        <v>33.906999999999996</v>
      </c>
      <c r="K4070">
        <v>13.465</v>
      </c>
      <c r="L4070">
        <v>39</v>
      </c>
      <c r="M4070">
        <v>1</v>
      </c>
      <c r="N4070">
        <v>3</v>
      </c>
      <c r="O4070">
        <v>34.161000000000001</v>
      </c>
      <c r="P4070">
        <v>14.8756222</v>
      </c>
      <c r="Q4070">
        <v>8.3230000000000004</v>
      </c>
    </row>
    <row r="4071" spans="1:17" x14ac:dyDescent="0.2">
      <c r="A4071" s="30" t="str">
        <f>IF(C4071&amp;G4071&amp;D4071&lt;&gt;'Funnel setup'!$K$3&amp;'Funnel setup'!$K$4&amp;'Funnel setup'!$K$5,".",IF(A4070=".",1,A4070+1))</f>
        <v>.</v>
      </c>
      <c r="B4071" s="431" t="str">
        <f t="shared" si="63"/>
        <v>Knee Replacement PrimaryCCG of GP PracticeNHS BOLTON CCG (00T)Oxford Knee Score</v>
      </c>
      <c r="C4071" t="s">
        <v>249</v>
      </c>
      <c r="D4071" t="s">
        <v>87</v>
      </c>
      <c r="E4071" t="s">
        <v>683</v>
      </c>
      <c r="F4071" t="s">
        <v>684</v>
      </c>
      <c r="G4071" t="s">
        <v>16</v>
      </c>
      <c r="H4071">
        <v>144</v>
      </c>
      <c r="I4071">
        <v>17.507000000000001</v>
      </c>
      <c r="J4071">
        <v>33.340000000000003</v>
      </c>
      <c r="K4071">
        <v>15.833</v>
      </c>
      <c r="L4071">
        <v>133</v>
      </c>
      <c r="M4071">
        <v>0</v>
      </c>
      <c r="N4071">
        <v>11</v>
      </c>
      <c r="O4071">
        <v>34.631</v>
      </c>
      <c r="P4071">
        <v>15.34541347</v>
      </c>
      <c r="Q4071">
        <v>9.3179999999999996</v>
      </c>
    </row>
    <row r="4072" spans="1:17" x14ac:dyDescent="0.2">
      <c r="A4072" s="30" t="str">
        <f>IF(C4072&amp;G4072&amp;D4072&lt;&gt;'Funnel setup'!$K$3&amp;'Funnel setup'!$K$4&amp;'Funnel setup'!$K$5,".",IF(A4071=".",1,A4071+1))</f>
        <v>.</v>
      </c>
      <c r="B4072" s="431" t="str">
        <f t="shared" si="63"/>
        <v>Knee Replacement PrimaryCCG of GP PracticeNHS BRACKNELL AND ASCOT CCG (10G)Oxford Knee Score</v>
      </c>
      <c r="C4072" t="s">
        <v>249</v>
      </c>
      <c r="D4072" t="s">
        <v>87</v>
      </c>
      <c r="E4072" t="s">
        <v>686</v>
      </c>
      <c r="F4072" t="s">
        <v>687</v>
      </c>
      <c r="G4072" t="s">
        <v>16</v>
      </c>
      <c r="H4072">
        <v>79</v>
      </c>
      <c r="I4072">
        <v>19.937000000000001</v>
      </c>
      <c r="J4072">
        <v>36.253</v>
      </c>
      <c r="K4072">
        <v>16.315999999999999</v>
      </c>
      <c r="L4072">
        <v>72</v>
      </c>
      <c r="M4072">
        <v>0</v>
      </c>
      <c r="N4072">
        <v>7</v>
      </c>
      <c r="O4072">
        <v>35.835999999999999</v>
      </c>
      <c r="P4072">
        <v>16.550898050000001</v>
      </c>
      <c r="Q4072">
        <v>8.8460000000000001</v>
      </c>
    </row>
    <row r="4073" spans="1:17" x14ac:dyDescent="0.2">
      <c r="A4073" s="30" t="str">
        <f>IF(C4073&amp;G4073&amp;D4073&lt;&gt;'Funnel setup'!$K$3&amp;'Funnel setup'!$K$4&amp;'Funnel setup'!$K$5,".",IF(A4072=".",1,A4072+1))</f>
        <v>.</v>
      </c>
      <c r="B4073" s="431" t="str">
        <f t="shared" si="63"/>
        <v>Knee Replacement PrimaryCCG of GP PracticeNHS BRADFORD CITY CCG (02W)Oxford Knee Score</v>
      </c>
      <c r="C4073" t="s">
        <v>249</v>
      </c>
      <c r="D4073" t="s">
        <v>87</v>
      </c>
      <c r="E4073" t="s">
        <v>689</v>
      </c>
      <c r="F4073" t="s">
        <v>690</v>
      </c>
      <c r="G4073" t="s">
        <v>16</v>
      </c>
      <c r="H4073">
        <v>29</v>
      </c>
      <c r="I4073">
        <v>15.792999999999999</v>
      </c>
      <c r="J4073">
        <v>30.896999999999998</v>
      </c>
      <c r="K4073">
        <v>15.103</v>
      </c>
      <c r="L4073">
        <v>28</v>
      </c>
      <c r="M4073">
        <v>0</v>
      </c>
      <c r="N4073">
        <v>1</v>
      </c>
      <c r="O4073" t="s">
        <v>53</v>
      </c>
      <c r="P4073" t="s">
        <v>53</v>
      </c>
      <c r="Q4073" t="s">
        <v>53</v>
      </c>
    </row>
    <row r="4074" spans="1:17" x14ac:dyDescent="0.2">
      <c r="A4074" s="30" t="str">
        <f>IF(C4074&amp;G4074&amp;D4074&lt;&gt;'Funnel setup'!$K$3&amp;'Funnel setup'!$K$4&amp;'Funnel setup'!$K$5,".",IF(A4073=".",1,A4073+1))</f>
        <v>.</v>
      </c>
      <c r="B4074" s="431" t="str">
        <f t="shared" si="63"/>
        <v>Knee Replacement PrimaryCCG of GP PracticeNHS BRADFORD DISTRICTS CCG (02R)Oxford Knee Score</v>
      </c>
      <c r="C4074" t="s">
        <v>249</v>
      </c>
      <c r="D4074" t="s">
        <v>87</v>
      </c>
      <c r="E4074" t="s">
        <v>692</v>
      </c>
      <c r="F4074" t="s">
        <v>693</v>
      </c>
      <c r="G4074" t="s">
        <v>16</v>
      </c>
      <c r="H4074">
        <v>168</v>
      </c>
      <c r="I4074">
        <v>20.042000000000002</v>
      </c>
      <c r="J4074">
        <v>34.820999999999998</v>
      </c>
      <c r="K4074">
        <v>14.78</v>
      </c>
      <c r="L4074">
        <v>153</v>
      </c>
      <c r="M4074">
        <v>1</v>
      </c>
      <c r="N4074">
        <v>14</v>
      </c>
      <c r="O4074">
        <v>35.097999999999999</v>
      </c>
      <c r="P4074">
        <v>15.81241193</v>
      </c>
      <c r="Q4074">
        <v>9.0630000000000006</v>
      </c>
    </row>
    <row r="4075" spans="1:17" x14ac:dyDescent="0.2">
      <c r="A4075" s="30" t="str">
        <f>IF(C4075&amp;G4075&amp;D4075&lt;&gt;'Funnel setup'!$K$3&amp;'Funnel setup'!$K$4&amp;'Funnel setup'!$K$5,".",IF(A4074=".",1,A4074+1))</f>
        <v>.</v>
      </c>
      <c r="B4075" s="431" t="str">
        <f t="shared" si="63"/>
        <v>Knee Replacement PrimaryCCG of GP PracticeNHS BRENT CCG (07P)Oxford Knee Score</v>
      </c>
      <c r="C4075" t="s">
        <v>249</v>
      </c>
      <c r="D4075" t="s">
        <v>87</v>
      </c>
      <c r="E4075" t="s">
        <v>695</v>
      </c>
      <c r="F4075" t="s">
        <v>696</v>
      </c>
      <c r="G4075" t="s">
        <v>16</v>
      </c>
      <c r="H4075">
        <v>98</v>
      </c>
      <c r="I4075">
        <v>15.5</v>
      </c>
      <c r="J4075">
        <v>26.582000000000001</v>
      </c>
      <c r="K4075">
        <v>11.082000000000001</v>
      </c>
      <c r="L4075">
        <v>84</v>
      </c>
      <c r="M4075">
        <v>2</v>
      </c>
      <c r="N4075">
        <v>12</v>
      </c>
      <c r="O4075">
        <v>30.675999999999998</v>
      </c>
      <c r="P4075">
        <v>11.390297589999999</v>
      </c>
      <c r="Q4075">
        <v>9.0779999999999994</v>
      </c>
    </row>
    <row r="4076" spans="1:17" x14ac:dyDescent="0.2">
      <c r="A4076" s="30" t="str">
        <f>IF(C4076&amp;G4076&amp;D4076&lt;&gt;'Funnel setup'!$K$3&amp;'Funnel setup'!$K$4&amp;'Funnel setup'!$K$5,".",IF(A4075=".",1,A4075+1))</f>
        <v>.</v>
      </c>
      <c r="B4076" s="431" t="str">
        <f t="shared" si="63"/>
        <v>Knee Replacement PrimaryCCG of GP PracticeNHS BRIGHTON AND HOVE CCG (09D)Oxford Knee Score</v>
      </c>
      <c r="C4076" t="s">
        <v>249</v>
      </c>
      <c r="D4076" t="s">
        <v>87</v>
      </c>
      <c r="E4076" t="s">
        <v>698</v>
      </c>
      <c r="F4076" t="s">
        <v>699</v>
      </c>
      <c r="G4076" t="s">
        <v>16</v>
      </c>
      <c r="H4076">
        <v>169</v>
      </c>
      <c r="I4076">
        <v>20.478999999999999</v>
      </c>
      <c r="J4076">
        <v>34.561999999999998</v>
      </c>
      <c r="K4076">
        <v>14.083</v>
      </c>
      <c r="L4076">
        <v>148</v>
      </c>
      <c r="M4076">
        <v>3</v>
      </c>
      <c r="N4076">
        <v>18</v>
      </c>
      <c r="O4076">
        <v>34.463999999999999</v>
      </c>
      <c r="P4076">
        <v>15.178360570000001</v>
      </c>
      <c r="Q4076">
        <v>9.5129999999999999</v>
      </c>
    </row>
    <row r="4077" spans="1:17" x14ac:dyDescent="0.2">
      <c r="A4077" s="30" t="str">
        <f>IF(C4077&amp;G4077&amp;D4077&lt;&gt;'Funnel setup'!$K$3&amp;'Funnel setup'!$K$4&amp;'Funnel setup'!$K$5,".",IF(A4076=".",1,A4076+1))</f>
        <v>.</v>
      </c>
      <c r="B4077" s="431" t="str">
        <f t="shared" si="63"/>
        <v>Knee Replacement PrimaryCCG of GP PracticeNHS BRISTOL CCG (11H)Oxford Knee Score</v>
      </c>
      <c r="C4077" t="s">
        <v>249</v>
      </c>
      <c r="D4077" t="s">
        <v>87</v>
      </c>
      <c r="E4077" t="s">
        <v>701</v>
      </c>
      <c r="F4077" t="s">
        <v>702</v>
      </c>
      <c r="G4077" t="s">
        <v>16</v>
      </c>
      <c r="H4077">
        <v>232</v>
      </c>
      <c r="I4077">
        <v>18.97</v>
      </c>
      <c r="J4077">
        <v>35.241</v>
      </c>
      <c r="K4077">
        <v>16.271999999999998</v>
      </c>
      <c r="L4077">
        <v>218</v>
      </c>
      <c r="M4077">
        <v>5</v>
      </c>
      <c r="N4077">
        <v>9</v>
      </c>
      <c r="O4077">
        <v>35.386000000000003</v>
      </c>
      <c r="P4077">
        <v>16.100892940000001</v>
      </c>
      <c r="Q4077">
        <v>8.3810000000000002</v>
      </c>
    </row>
    <row r="4078" spans="1:17" x14ac:dyDescent="0.2">
      <c r="A4078" s="30" t="str">
        <f>IF(C4078&amp;G4078&amp;D4078&lt;&gt;'Funnel setup'!$K$3&amp;'Funnel setup'!$K$4&amp;'Funnel setup'!$K$5,".",IF(A4077=".",1,A4077+1))</f>
        <v>.</v>
      </c>
      <c r="B4078" s="431" t="str">
        <f t="shared" si="63"/>
        <v>Knee Replacement PrimaryCCG of GP PracticeNHS BROMLEY CCG (07Q)Oxford Knee Score</v>
      </c>
      <c r="C4078" t="s">
        <v>249</v>
      </c>
      <c r="D4078" t="s">
        <v>87</v>
      </c>
      <c r="E4078" t="s">
        <v>704</v>
      </c>
      <c r="F4078" t="s">
        <v>705</v>
      </c>
      <c r="G4078" t="s">
        <v>16</v>
      </c>
      <c r="H4078">
        <v>122</v>
      </c>
      <c r="I4078">
        <v>21.402000000000001</v>
      </c>
      <c r="J4078">
        <v>36.524999999999999</v>
      </c>
      <c r="K4078">
        <v>15.122999999999999</v>
      </c>
      <c r="L4078">
        <v>115</v>
      </c>
      <c r="M4078">
        <v>1</v>
      </c>
      <c r="N4078">
        <v>6</v>
      </c>
      <c r="O4078">
        <v>34.881</v>
      </c>
      <c r="P4078">
        <v>15.59583578</v>
      </c>
      <c r="Q4078">
        <v>8.1539999999999999</v>
      </c>
    </row>
    <row r="4079" spans="1:17" x14ac:dyDescent="0.2">
      <c r="A4079" s="30" t="str">
        <f>IF(C4079&amp;G4079&amp;D4079&lt;&gt;'Funnel setup'!$K$3&amp;'Funnel setup'!$K$4&amp;'Funnel setup'!$K$5,".",IF(A4078=".",1,A4078+1))</f>
        <v>.</v>
      </c>
      <c r="B4079" s="431" t="str">
        <f t="shared" si="63"/>
        <v>Knee Replacement PrimaryCCG of GP PracticeNHS BURY CCG (00V)Oxford Knee Score</v>
      </c>
      <c r="C4079" t="s">
        <v>249</v>
      </c>
      <c r="D4079" t="s">
        <v>87</v>
      </c>
      <c r="E4079" t="s">
        <v>707</v>
      </c>
      <c r="F4079" t="s">
        <v>708</v>
      </c>
      <c r="G4079" t="s">
        <v>16</v>
      </c>
      <c r="H4079">
        <v>97</v>
      </c>
      <c r="I4079">
        <v>15.701000000000001</v>
      </c>
      <c r="J4079">
        <v>32.649000000000001</v>
      </c>
      <c r="K4079">
        <v>16.948</v>
      </c>
      <c r="L4079">
        <v>93</v>
      </c>
      <c r="M4079">
        <v>1</v>
      </c>
      <c r="N4079">
        <v>3</v>
      </c>
      <c r="O4079">
        <v>34.813000000000002</v>
      </c>
      <c r="P4079">
        <v>15.52733761</v>
      </c>
      <c r="Q4079">
        <v>9.8580000000000005</v>
      </c>
    </row>
    <row r="4080" spans="1:17" x14ac:dyDescent="0.2">
      <c r="A4080" s="30" t="str">
        <f>IF(C4080&amp;G4080&amp;D4080&lt;&gt;'Funnel setup'!$K$3&amp;'Funnel setup'!$K$4&amp;'Funnel setup'!$K$5,".",IF(A4079=".",1,A4079+1))</f>
        <v>.</v>
      </c>
      <c r="B4080" s="431" t="str">
        <f t="shared" si="63"/>
        <v>Knee Replacement PrimaryCCG of GP PracticeNHS CALDERDALE CCG (02T)Oxford Knee Score</v>
      </c>
      <c r="C4080" t="s">
        <v>249</v>
      </c>
      <c r="D4080" t="s">
        <v>87</v>
      </c>
      <c r="E4080" t="s">
        <v>710</v>
      </c>
      <c r="F4080" t="s">
        <v>711</v>
      </c>
      <c r="G4080" t="s">
        <v>16</v>
      </c>
      <c r="H4080">
        <v>176</v>
      </c>
      <c r="I4080">
        <v>19.812999999999999</v>
      </c>
      <c r="J4080">
        <v>37.347000000000001</v>
      </c>
      <c r="K4080">
        <v>17.533999999999999</v>
      </c>
      <c r="L4080">
        <v>168</v>
      </c>
      <c r="M4080">
        <v>2</v>
      </c>
      <c r="N4080">
        <v>6</v>
      </c>
      <c r="O4080">
        <v>37.293999999999997</v>
      </c>
      <c r="P4080">
        <v>18.00821711</v>
      </c>
      <c r="Q4080">
        <v>7.9690000000000003</v>
      </c>
    </row>
    <row r="4081" spans="1:17" x14ac:dyDescent="0.2">
      <c r="A4081" s="30" t="str">
        <f>IF(C4081&amp;G4081&amp;D4081&lt;&gt;'Funnel setup'!$K$3&amp;'Funnel setup'!$K$4&amp;'Funnel setup'!$K$5,".",IF(A4080=".",1,A4080+1))</f>
        <v>.</v>
      </c>
      <c r="B4081" s="431" t="str">
        <f t="shared" si="63"/>
        <v>Knee Replacement PrimaryCCG of GP PracticeNHS CAMBRIDGESHIRE AND PETERBOROUGH CCG (06H)Oxford Knee Score</v>
      </c>
      <c r="C4081" t="s">
        <v>249</v>
      </c>
      <c r="D4081" t="s">
        <v>87</v>
      </c>
      <c r="E4081" t="s">
        <v>713</v>
      </c>
      <c r="F4081" t="s">
        <v>714</v>
      </c>
      <c r="G4081" t="s">
        <v>16</v>
      </c>
      <c r="H4081">
        <v>601</v>
      </c>
      <c r="I4081">
        <v>18.658999999999999</v>
      </c>
      <c r="J4081">
        <v>35.753999999999998</v>
      </c>
      <c r="K4081">
        <v>17.094999999999999</v>
      </c>
      <c r="L4081">
        <v>576</v>
      </c>
      <c r="M4081">
        <v>1</v>
      </c>
      <c r="N4081">
        <v>24</v>
      </c>
      <c r="O4081">
        <v>35.718000000000004</v>
      </c>
      <c r="P4081">
        <v>16.43300846</v>
      </c>
      <c r="Q4081">
        <v>8.41</v>
      </c>
    </row>
    <row r="4082" spans="1:17" x14ac:dyDescent="0.2">
      <c r="A4082" s="30" t="str">
        <f>IF(C4082&amp;G4082&amp;D4082&lt;&gt;'Funnel setup'!$K$3&amp;'Funnel setup'!$K$4&amp;'Funnel setup'!$K$5,".",IF(A4081=".",1,A4081+1))</f>
        <v>.</v>
      </c>
      <c r="B4082" s="431" t="str">
        <f t="shared" si="63"/>
        <v>Knee Replacement PrimaryCCG of GP PracticeNHS CAMDEN CCG (07R)Oxford Knee Score</v>
      </c>
      <c r="C4082" t="s">
        <v>249</v>
      </c>
      <c r="D4082" t="s">
        <v>87</v>
      </c>
      <c r="E4082" t="s">
        <v>716</v>
      </c>
      <c r="F4082" t="s">
        <v>717</v>
      </c>
      <c r="G4082" t="s">
        <v>16</v>
      </c>
      <c r="H4082">
        <v>30</v>
      </c>
      <c r="I4082">
        <v>19.332999999999998</v>
      </c>
      <c r="J4082">
        <v>29.667000000000002</v>
      </c>
      <c r="K4082">
        <v>10.333</v>
      </c>
      <c r="L4082">
        <v>23</v>
      </c>
      <c r="M4082">
        <v>1</v>
      </c>
      <c r="N4082">
        <v>6</v>
      </c>
      <c r="O4082">
        <v>30.754999999999999</v>
      </c>
      <c r="P4082">
        <v>11.46928572</v>
      </c>
      <c r="Q4082">
        <v>9.5809999999999995</v>
      </c>
    </row>
    <row r="4083" spans="1:17" x14ac:dyDescent="0.2">
      <c r="A4083" s="30" t="str">
        <f>IF(C4083&amp;G4083&amp;D4083&lt;&gt;'Funnel setup'!$K$3&amp;'Funnel setup'!$K$4&amp;'Funnel setup'!$K$5,".",IF(A4082=".",1,A4082+1))</f>
        <v>.</v>
      </c>
      <c r="B4083" s="431" t="str">
        <f t="shared" si="63"/>
        <v>Knee Replacement PrimaryCCG of GP PracticeNHS CANNOCK CHASE CCG (04Y)Oxford Knee Score</v>
      </c>
      <c r="C4083" t="s">
        <v>249</v>
      </c>
      <c r="D4083" t="s">
        <v>87</v>
      </c>
      <c r="E4083" t="s">
        <v>719</v>
      </c>
      <c r="F4083" t="s">
        <v>720</v>
      </c>
      <c r="G4083" t="s">
        <v>16</v>
      </c>
      <c r="H4083">
        <v>166</v>
      </c>
      <c r="I4083">
        <v>17.97</v>
      </c>
      <c r="J4083">
        <v>34.319000000000003</v>
      </c>
      <c r="K4083">
        <v>16.349</v>
      </c>
      <c r="L4083">
        <v>148</v>
      </c>
      <c r="M4083">
        <v>3</v>
      </c>
      <c r="N4083">
        <v>15</v>
      </c>
      <c r="O4083">
        <v>35.204999999999998</v>
      </c>
      <c r="P4083">
        <v>15.919596139999999</v>
      </c>
      <c r="Q4083">
        <v>9.7609999999999992</v>
      </c>
    </row>
    <row r="4084" spans="1:17" x14ac:dyDescent="0.2">
      <c r="A4084" s="30" t="str">
        <f>IF(C4084&amp;G4084&amp;D4084&lt;&gt;'Funnel setup'!$K$3&amp;'Funnel setup'!$K$4&amp;'Funnel setup'!$K$5,".",IF(A4083=".",1,A4083+1))</f>
        <v>.</v>
      </c>
      <c r="B4084" s="431" t="str">
        <f t="shared" si="63"/>
        <v>Knee Replacement PrimaryCCG of GP PracticeNHS CANTERBURY AND COASTAL CCG (09E)Oxford Knee Score</v>
      </c>
      <c r="C4084" t="s">
        <v>249</v>
      </c>
      <c r="D4084" t="s">
        <v>87</v>
      </c>
      <c r="E4084" t="s">
        <v>722</v>
      </c>
      <c r="F4084" t="s">
        <v>723</v>
      </c>
      <c r="G4084" t="s">
        <v>16</v>
      </c>
      <c r="H4084">
        <v>146</v>
      </c>
      <c r="I4084">
        <v>20.568000000000001</v>
      </c>
      <c r="J4084">
        <v>36.959000000000003</v>
      </c>
      <c r="K4084">
        <v>16.39</v>
      </c>
      <c r="L4084">
        <v>139</v>
      </c>
      <c r="M4084">
        <v>2</v>
      </c>
      <c r="N4084">
        <v>5</v>
      </c>
      <c r="O4084">
        <v>36.067</v>
      </c>
      <c r="P4084">
        <v>16.78142325</v>
      </c>
      <c r="Q4084">
        <v>7.7619999999999996</v>
      </c>
    </row>
    <row r="4085" spans="1:17" x14ac:dyDescent="0.2">
      <c r="A4085" s="30" t="str">
        <f>IF(C4085&amp;G4085&amp;D4085&lt;&gt;'Funnel setup'!$K$3&amp;'Funnel setup'!$K$4&amp;'Funnel setup'!$K$5,".",IF(A4084=".",1,A4084+1))</f>
        <v>.</v>
      </c>
      <c r="B4085" s="431" t="str">
        <f t="shared" si="63"/>
        <v>Knee Replacement PrimaryCCG of GP PracticeNHS CASTLE POINT AND ROCHFORD CCG (99F)Oxford Knee Score</v>
      </c>
      <c r="C4085" t="s">
        <v>249</v>
      </c>
      <c r="D4085" t="s">
        <v>87</v>
      </c>
      <c r="E4085" t="s">
        <v>725</v>
      </c>
      <c r="F4085" t="s">
        <v>726</v>
      </c>
      <c r="G4085" t="s">
        <v>16</v>
      </c>
      <c r="H4085">
        <v>161</v>
      </c>
      <c r="I4085">
        <v>18.236000000000001</v>
      </c>
      <c r="J4085">
        <v>35.838999999999999</v>
      </c>
      <c r="K4085">
        <v>17.602</v>
      </c>
      <c r="L4085">
        <v>151</v>
      </c>
      <c r="M4085">
        <v>1</v>
      </c>
      <c r="N4085">
        <v>9</v>
      </c>
      <c r="O4085">
        <v>35.716999999999999</v>
      </c>
      <c r="P4085">
        <v>16.4313571</v>
      </c>
      <c r="Q4085">
        <v>8.4969999999999999</v>
      </c>
    </row>
    <row r="4086" spans="1:17" x14ac:dyDescent="0.2">
      <c r="A4086" s="30" t="str">
        <f>IF(C4086&amp;G4086&amp;D4086&lt;&gt;'Funnel setup'!$K$3&amp;'Funnel setup'!$K$4&amp;'Funnel setup'!$K$5,".",IF(A4085=".",1,A4085+1))</f>
        <v>.</v>
      </c>
      <c r="B4086" s="431" t="str">
        <f t="shared" si="63"/>
        <v>Knee Replacement PrimaryCCG of GP PracticeNHS CENTRAL LONDON (WESTMINSTER) CCG (09A)Oxford Knee Score</v>
      </c>
      <c r="C4086" t="s">
        <v>249</v>
      </c>
      <c r="D4086" t="s">
        <v>87</v>
      </c>
      <c r="E4086" t="s">
        <v>728</v>
      </c>
      <c r="F4086" t="s">
        <v>729</v>
      </c>
      <c r="G4086" t="s">
        <v>16</v>
      </c>
      <c r="H4086">
        <v>17</v>
      </c>
      <c r="I4086">
        <v>18.646999999999998</v>
      </c>
      <c r="J4086">
        <v>31.765000000000001</v>
      </c>
      <c r="K4086">
        <v>13.118</v>
      </c>
      <c r="L4086">
        <v>15</v>
      </c>
      <c r="M4086">
        <v>0</v>
      </c>
      <c r="N4086">
        <v>2</v>
      </c>
      <c r="O4086" t="s">
        <v>53</v>
      </c>
      <c r="P4086" t="s">
        <v>53</v>
      </c>
      <c r="Q4086" t="s">
        <v>53</v>
      </c>
    </row>
    <row r="4087" spans="1:17" x14ac:dyDescent="0.2">
      <c r="A4087" s="30" t="str">
        <f>IF(C4087&amp;G4087&amp;D4087&lt;&gt;'Funnel setup'!$K$3&amp;'Funnel setup'!$K$4&amp;'Funnel setup'!$K$5,".",IF(A4086=".",1,A4086+1))</f>
        <v>.</v>
      </c>
      <c r="B4087" s="431" t="str">
        <f t="shared" si="63"/>
        <v>Knee Replacement PrimaryCCG of GP PracticeNHS CENTRAL MANCHESTER CCG (00W)Oxford Knee Score</v>
      </c>
      <c r="C4087" t="s">
        <v>249</v>
      </c>
      <c r="D4087" t="s">
        <v>87</v>
      </c>
      <c r="E4087" t="s">
        <v>731</v>
      </c>
      <c r="F4087" t="s">
        <v>732</v>
      </c>
      <c r="G4087" t="s">
        <v>16</v>
      </c>
      <c r="H4087">
        <v>29</v>
      </c>
      <c r="I4087">
        <v>16.620999999999999</v>
      </c>
      <c r="J4087">
        <v>30.379000000000001</v>
      </c>
      <c r="K4087">
        <v>13.759</v>
      </c>
      <c r="L4087">
        <v>27</v>
      </c>
      <c r="M4087">
        <v>1</v>
      </c>
      <c r="N4087">
        <v>1</v>
      </c>
      <c r="O4087" t="s">
        <v>53</v>
      </c>
      <c r="P4087" t="s">
        <v>53</v>
      </c>
      <c r="Q4087" t="s">
        <v>53</v>
      </c>
    </row>
    <row r="4088" spans="1:17" x14ac:dyDescent="0.2">
      <c r="A4088" s="30" t="str">
        <f>IF(C4088&amp;G4088&amp;D4088&lt;&gt;'Funnel setup'!$K$3&amp;'Funnel setup'!$K$4&amp;'Funnel setup'!$K$5,".",IF(A4087=".",1,A4087+1))</f>
        <v>.</v>
      </c>
      <c r="B4088" s="431" t="str">
        <f t="shared" si="63"/>
        <v>Knee Replacement PrimaryCCG of GP PracticeNHS CHILTERN CCG (10H)Oxford Knee Score</v>
      </c>
      <c r="C4088" t="s">
        <v>249</v>
      </c>
      <c r="D4088" t="s">
        <v>87</v>
      </c>
      <c r="E4088" t="s">
        <v>734</v>
      </c>
      <c r="F4088" t="s">
        <v>735</v>
      </c>
      <c r="G4088" t="s">
        <v>16</v>
      </c>
      <c r="H4088">
        <v>197</v>
      </c>
      <c r="I4088">
        <v>20.518000000000001</v>
      </c>
      <c r="J4088">
        <v>36.512999999999998</v>
      </c>
      <c r="K4088">
        <v>15.994999999999999</v>
      </c>
      <c r="L4088">
        <v>188</v>
      </c>
      <c r="M4088">
        <v>2</v>
      </c>
      <c r="N4088">
        <v>7</v>
      </c>
      <c r="O4088">
        <v>35.207000000000001</v>
      </c>
      <c r="P4088">
        <v>15.92191474</v>
      </c>
      <c r="Q4088">
        <v>8.1280000000000001</v>
      </c>
    </row>
    <row r="4089" spans="1:17" x14ac:dyDescent="0.2">
      <c r="A4089" s="30" t="str">
        <f>IF(C4089&amp;G4089&amp;D4089&lt;&gt;'Funnel setup'!$K$3&amp;'Funnel setup'!$K$4&amp;'Funnel setup'!$K$5,".",IF(A4088=".",1,A4088+1))</f>
        <v>.</v>
      </c>
      <c r="B4089" s="431" t="str">
        <f t="shared" si="63"/>
        <v>Knee Replacement PrimaryCCG of GP PracticeNHS CHORLEY AND SOUTH RIBBLE CCG (00X)Oxford Knee Score</v>
      </c>
      <c r="C4089" t="s">
        <v>249</v>
      </c>
      <c r="D4089" t="s">
        <v>87</v>
      </c>
      <c r="E4089" t="s">
        <v>737</v>
      </c>
      <c r="F4089" t="s">
        <v>738</v>
      </c>
      <c r="G4089" t="s">
        <v>16</v>
      </c>
      <c r="H4089">
        <v>213</v>
      </c>
      <c r="I4089">
        <v>19.745999999999999</v>
      </c>
      <c r="J4089">
        <v>35.853999999999999</v>
      </c>
      <c r="K4089">
        <v>16.108000000000001</v>
      </c>
      <c r="L4089">
        <v>203</v>
      </c>
      <c r="M4089">
        <v>1</v>
      </c>
      <c r="N4089">
        <v>9</v>
      </c>
      <c r="O4089">
        <v>35.338999999999999</v>
      </c>
      <c r="P4089">
        <v>16.053326309999999</v>
      </c>
      <c r="Q4089">
        <v>8.5419999999999998</v>
      </c>
    </row>
    <row r="4090" spans="1:17" x14ac:dyDescent="0.2">
      <c r="A4090" s="30" t="str">
        <f>IF(C4090&amp;G4090&amp;D4090&lt;&gt;'Funnel setup'!$K$3&amp;'Funnel setup'!$K$4&amp;'Funnel setup'!$K$5,".",IF(A4089=".",1,A4089+1))</f>
        <v>.</v>
      </c>
      <c r="B4090" s="431" t="str">
        <f t="shared" si="63"/>
        <v>Knee Replacement PrimaryCCG of GP PracticeNHS CITY AND HACKNEY CCG (07T)Oxford Knee Score</v>
      </c>
      <c r="C4090" t="s">
        <v>249</v>
      </c>
      <c r="D4090" t="s">
        <v>87</v>
      </c>
      <c r="E4090" t="s">
        <v>740</v>
      </c>
      <c r="F4090" t="s">
        <v>741</v>
      </c>
      <c r="G4090" t="s">
        <v>16</v>
      </c>
      <c r="H4090">
        <v>49</v>
      </c>
      <c r="I4090">
        <v>19.734999999999999</v>
      </c>
      <c r="J4090">
        <v>28.245000000000001</v>
      </c>
      <c r="K4090">
        <v>8.51</v>
      </c>
      <c r="L4090">
        <v>39</v>
      </c>
      <c r="M4090">
        <v>0</v>
      </c>
      <c r="N4090">
        <v>10</v>
      </c>
      <c r="O4090">
        <v>31.152000000000001</v>
      </c>
      <c r="P4090">
        <v>11.86683195</v>
      </c>
      <c r="Q4090">
        <v>8.4190000000000005</v>
      </c>
    </row>
    <row r="4091" spans="1:17" x14ac:dyDescent="0.2">
      <c r="A4091" s="30" t="str">
        <f>IF(C4091&amp;G4091&amp;D4091&lt;&gt;'Funnel setup'!$K$3&amp;'Funnel setup'!$K$4&amp;'Funnel setup'!$K$5,".",IF(A4090=".",1,A4090+1))</f>
        <v>.</v>
      </c>
      <c r="B4091" s="431" t="str">
        <f t="shared" si="63"/>
        <v>Knee Replacement PrimaryCCG of GP PracticeNHS COASTAL WEST SUSSEX CCG (09G)Oxford Knee Score</v>
      </c>
      <c r="C4091" t="s">
        <v>249</v>
      </c>
      <c r="D4091" t="s">
        <v>87</v>
      </c>
      <c r="E4091" t="s">
        <v>743</v>
      </c>
      <c r="F4091" t="s">
        <v>744</v>
      </c>
      <c r="G4091" t="s">
        <v>16</v>
      </c>
      <c r="H4091">
        <v>429</v>
      </c>
      <c r="I4091">
        <v>18.907</v>
      </c>
      <c r="J4091">
        <v>35.557000000000002</v>
      </c>
      <c r="K4091">
        <v>16.649999999999999</v>
      </c>
      <c r="L4091">
        <v>396</v>
      </c>
      <c r="M4091">
        <v>8</v>
      </c>
      <c r="N4091">
        <v>25</v>
      </c>
      <c r="O4091">
        <v>35.256</v>
      </c>
      <c r="P4091">
        <v>15.97082174</v>
      </c>
      <c r="Q4091">
        <v>8.7309999999999999</v>
      </c>
    </row>
    <row r="4092" spans="1:17" x14ac:dyDescent="0.2">
      <c r="A4092" s="30" t="str">
        <f>IF(C4092&amp;G4092&amp;D4092&lt;&gt;'Funnel setup'!$K$3&amp;'Funnel setup'!$K$4&amp;'Funnel setup'!$K$5,".",IF(A4091=".",1,A4091+1))</f>
        <v>.</v>
      </c>
      <c r="B4092" s="431" t="str">
        <f t="shared" si="63"/>
        <v>Knee Replacement PrimaryCCG of GP PracticeNHS CORBY CCG (03V)Oxford Knee Score</v>
      </c>
      <c r="C4092" t="s">
        <v>249</v>
      </c>
      <c r="D4092" t="s">
        <v>87</v>
      </c>
      <c r="E4092" t="s">
        <v>746</v>
      </c>
      <c r="F4092" t="s">
        <v>747</v>
      </c>
      <c r="G4092" t="s">
        <v>16</v>
      </c>
      <c r="H4092">
        <v>36</v>
      </c>
      <c r="I4092">
        <v>15.417</v>
      </c>
      <c r="J4092">
        <v>33.5</v>
      </c>
      <c r="K4092">
        <v>18.082999999999998</v>
      </c>
      <c r="L4092">
        <v>36</v>
      </c>
      <c r="M4092">
        <v>0</v>
      </c>
      <c r="N4092">
        <v>0</v>
      </c>
      <c r="O4092">
        <v>36.073</v>
      </c>
      <c r="P4092">
        <v>16.78806325</v>
      </c>
      <c r="Q4092">
        <v>7.7489999999999997</v>
      </c>
    </row>
    <row r="4093" spans="1:17" x14ac:dyDescent="0.2">
      <c r="A4093" s="30" t="str">
        <f>IF(C4093&amp;G4093&amp;D4093&lt;&gt;'Funnel setup'!$K$3&amp;'Funnel setup'!$K$4&amp;'Funnel setup'!$K$5,".",IF(A4092=".",1,A4092+1))</f>
        <v>.</v>
      </c>
      <c r="B4093" s="431" t="str">
        <f t="shared" si="63"/>
        <v>Knee Replacement PrimaryCCG of GP PracticeNHS COVENTRY AND RUGBY CCG (05A)Oxford Knee Score</v>
      </c>
      <c r="C4093" t="s">
        <v>249</v>
      </c>
      <c r="D4093" t="s">
        <v>87</v>
      </c>
      <c r="E4093" t="s">
        <v>749</v>
      </c>
      <c r="F4093" t="s">
        <v>750</v>
      </c>
      <c r="G4093" t="s">
        <v>16</v>
      </c>
      <c r="H4093">
        <v>342</v>
      </c>
      <c r="I4093">
        <v>19.98</v>
      </c>
      <c r="J4093">
        <v>34.383000000000003</v>
      </c>
      <c r="K4093">
        <v>14.404</v>
      </c>
      <c r="L4093">
        <v>314</v>
      </c>
      <c r="M4093">
        <v>4</v>
      </c>
      <c r="N4093">
        <v>24</v>
      </c>
      <c r="O4093">
        <v>34.433</v>
      </c>
      <c r="P4093">
        <v>15.14739617</v>
      </c>
      <c r="Q4093">
        <v>8.83</v>
      </c>
    </row>
    <row r="4094" spans="1:17" x14ac:dyDescent="0.2">
      <c r="A4094" s="30" t="str">
        <f>IF(C4094&amp;G4094&amp;D4094&lt;&gt;'Funnel setup'!$K$3&amp;'Funnel setup'!$K$4&amp;'Funnel setup'!$K$5,".",IF(A4093=".",1,A4093+1))</f>
        <v>.</v>
      </c>
      <c r="B4094" s="431" t="str">
        <f t="shared" si="63"/>
        <v>Knee Replacement PrimaryCCG of GP PracticeNHS CRAWLEY CCG (09H)Oxford Knee Score</v>
      </c>
      <c r="C4094" t="s">
        <v>249</v>
      </c>
      <c r="D4094" t="s">
        <v>87</v>
      </c>
      <c r="E4094" t="s">
        <v>752</v>
      </c>
      <c r="F4094" t="s">
        <v>753</v>
      </c>
      <c r="G4094" t="s">
        <v>16</v>
      </c>
      <c r="H4094">
        <v>81</v>
      </c>
      <c r="I4094">
        <v>20.198</v>
      </c>
      <c r="J4094">
        <v>33.406999999999996</v>
      </c>
      <c r="K4094">
        <v>13.21</v>
      </c>
      <c r="L4094">
        <v>75</v>
      </c>
      <c r="M4094">
        <v>2</v>
      </c>
      <c r="N4094">
        <v>4</v>
      </c>
      <c r="O4094">
        <v>32.89</v>
      </c>
      <c r="P4094">
        <v>13.604709079999999</v>
      </c>
      <c r="Q4094">
        <v>8.0289999999999999</v>
      </c>
    </row>
    <row r="4095" spans="1:17" x14ac:dyDescent="0.2">
      <c r="A4095" s="30" t="str">
        <f>IF(C4095&amp;G4095&amp;D4095&lt;&gt;'Funnel setup'!$K$3&amp;'Funnel setup'!$K$4&amp;'Funnel setup'!$K$5,".",IF(A4094=".",1,A4094+1))</f>
        <v>.</v>
      </c>
      <c r="B4095" s="431" t="str">
        <f t="shared" si="63"/>
        <v>Knee Replacement PrimaryCCG of GP PracticeNHS CROYDON CCG (07V)Oxford Knee Score</v>
      </c>
      <c r="C4095" t="s">
        <v>249</v>
      </c>
      <c r="D4095" t="s">
        <v>87</v>
      </c>
      <c r="E4095" t="s">
        <v>755</v>
      </c>
      <c r="F4095" t="s">
        <v>756</v>
      </c>
      <c r="G4095" t="s">
        <v>16</v>
      </c>
      <c r="H4095">
        <v>126</v>
      </c>
      <c r="I4095">
        <v>19.302</v>
      </c>
      <c r="J4095">
        <v>33.048000000000002</v>
      </c>
      <c r="K4095">
        <v>13.746</v>
      </c>
      <c r="L4095">
        <v>117</v>
      </c>
      <c r="M4095">
        <v>0</v>
      </c>
      <c r="N4095">
        <v>9</v>
      </c>
      <c r="O4095">
        <v>33.540999999999997</v>
      </c>
      <c r="P4095">
        <v>14.25602456</v>
      </c>
      <c r="Q4095">
        <v>8.6479999999999997</v>
      </c>
    </row>
    <row r="4096" spans="1:17" x14ac:dyDescent="0.2">
      <c r="A4096" s="30" t="str">
        <f>IF(C4096&amp;G4096&amp;D4096&lt;&gt;'Funnel setup'!$K$3&amp;'Funnel setup'!$K$4&amp;'Funnel setup'!$K$5,".",IF(A4095=".",1,A4095+1))</f>
        <v>.</v>
      </c>
      <c r="B4096" s="431" t="str">
        <f t="shared" si="63"/>
        <v>Knee Replacement PrimaryCCG of GP PracticeNHS CUMBRIA CCG (01H)Oxford Knee Score</v>
      </c>
      <c r="C4096" t="s">
        <v>249</v>
      </c>
      <c r="D4096" t="s">
        <v>87</v>
      </c>
      <c r="E4096" t="s">
        <v>758</v>
      </c>
      <c r="F4096" t="s">
        <v>759</v>
      </c>
      <c r="G4096" t="s">
        <v>16</v>
      </c>
      <c r="H4096">
        <v>739</v>
      </c>
      <c r="I4096">
        <v>19.777999999999999</v>
      </c>
      <c r="J4096">
        <v>36.762999999999998</v>
      </c>
      <c r="K4096">
        <v>16.984999999999999</v>
      </c>
      <c r="L4096">
        <v>700</v>
      </c>
      <c r="M4096">
        <v>6</v>
      </c>
      <c r="N4096">
        <v>33</v>
      </c>
      <c r="O4096">
        <v>36.534999999999997</v>
      </c>
      <c r="P4096">
        <v>17.249819840000001</v>
      </c>
      <c r="Q4096">
        <v>8.0830000000000002</v>
      </c>
    </row>
    <row r="4097" spans="1:17" x14ac:dyDescent="0.2">
      <c r="A4097" s="30" t="str">
        <f>IF(C4097&amp;G4097&amp;D4097&lt;&gt;'Funnel setup'!$K$3&amp;'Funnel setup'!$K$4&amp;'Funnel setup'!$K$5,".",IF(A4096=".",1,A4096+1))</f>
        <v>.</v>
      </c>
      <c r="B4097" s="431" t="str">
        <f t="shared" si="63"/>
        <v>Knee Replacement PrimaryCCG of GP PracticeNHS DARLINGTON CCG (00C)Oxford Knee Score</v>
      </c>
      <c r="C4097" t="s">
        <v>249</v>
      </c>
      <c r="D4097" t="s">
        <v>87</v>
      </c>
      <c r="E4097" t="s">
        <v>761</v>
      </c>
      <c r="F4097" t="s">
        <v>762</v>
      </c>
      <c r="G4097" t="s">
        <v>16</v>
      </c>
      <c r="H4097">
        <v>80</v>
      </c>
      <c r="I4097">
        <v>19.600000000000001</v>
      </c>
      <c r="J4097">
        <v>35.225000000000001</v>
      </c>
      <c r="K4097">
        <v>15.625</v>
      </c>
      <c r="L4097">
        <v>76</v>
      </c>
      <c r="M4097">
        <v>0</v>
      </c>
      <c r="N4097">
        <v>4</v>
      </c>
      <c r="O4097">
        <v>35.520000000000003</v>
      </c>
      <c r="P4097">
        <v>16.234223610000001</v>
      </c>
      <c r="Q4097">
        <v>8.2759999999999998</v>
      </c>
    </row>
    <row r="4098" spans="1:17" x14ac:dyDescent="0.2">
      <c r="A4098" s="30" t="str">
        <f>IF(C4098&amp;G4098&amp;D4098&lt;&gt;'Funnel setup'!$K$3&amp;'Funnel setup'!$K$4&amp;'Funnel setup'!$K$5,".",IF(A4097=".",1,A4097+1))</f>
        <v>.</v>
      </c>
      <c r="B4098" s="431" t="str">
        <f t="shared" si="63"/>
        <v>Knee Replacement PrimaryCCG of GP PracticeNHS DARTFORD, GRAVESHAM AND SWANLEY CCG (09J)Oxford Knee Score</v>
      </c>
      <c r="C4098" t="s">
        <v>249</v>
      </c>
      <c r="D4098" t="s">
        <v>87</v>
      </c>
      <c r="E4098" t="s">
        <v>764</v>
      </c>
      <c r="F4098" t="s">
        <v>765</v>
      </c>
      <c r="G4098" t="s">
        <v>16</v>
      </c>
      <c r="H4098">
        <v>178</v>
      </c>
      <c r="I4098">
        <v>19.404</v>
      </c>
      <c r="J4098">
        <v>36.837000000000003</v>
      </c>
      <c r="K4098">
        <v>17.433</v>
      </c>
      <c r="L4098">
        <v>176</v>
      </c>
      <c r="M4098">
        <v>0</v>
      </c>
      <c r="N4098">
        <v>2</v>
      </c>
      <c r="O4098">
        <v>36.847000000000001</v>
      </c>
      <c r="P4098">
        <v>17.56170638</v>
      </c>
      <c r="Q4098">
        <v>7.4589999999999996</v>
      </c>
    </row>
    <row r="4099" spans="1:17" x14ac:dyDescent="0.2">
      <c r="A4099" s="30" t="str">
        <f>IF(C4099&amp;G4099&amp;D4099&lt;&gt;'Funnel setup'!$K$3&amp;'Funnel setup'!$K$4&amp;'Funnel setup'!$K$5,".",IF(A4098=".",1,A4098+1))</f>
        <v>.</v>
      </c>
      <c r="B4099" s="431" t="str">
        <f t="shared" ref="B4099:B4162" si="64">C4099&amp;D4099&amp;F4099&amp;G4099</f>
        <v>Knee Replacement PrimaryCCG of GP PracticeNHS DONCASTER CCG (02X)Oxford Knee Score</v>
      </c>
      <c r="C4099" t="s">
        <v>249</v>
      </c>
      <c r="D4099" t="s">
        <v>87</v>
      </c>
      <c r="E4099" t="s">
        <v>767</v>
      </c>
      <c r="F4099" t="s">
        <v>768</v>
      </c>
      <c r="G4099" t="s">
        <v>16</v>
      </c>
      <c r="H4099">
        <v>294</v>
      </c>
      <c r="I4099">
        <v>18.292999999999999</v>
      </c>
      <c r="J4099">
        <v>33.514000000000003</v>
      </c>
      <c r="K4099">
        <v>15.221</v>
      </c>
      <c r="L4099">
        <v>273</v>
      </c>
      <c r="M4099">
        <v>3</v>
      </c>
      <c r="N4099">
        <v>18</v>
      </c>
      <c r="O4099">
        <v>34.366999999999997</v>
      </c>
      <c r="P4099">
        <v>15.081845189999999</v>
      </c>
      <c r="Q4099">
        <v>9.2989999999999995</v>
      </c>
    </row>
    <row r="4100" spans="1:17" x14ac:dyDescent="0.2">
      <c r="A4100" s="30" t="str">
        <f>IF(C4100&amp;G4100&amp;D4100&lt;&gt;'Funnel setup'!$K$3&amp;'Funnel setup'!$K$4&amp;'Funnel setup'!$K$5,".",IF(A4099=".",1,A4099+1))</f>
        <v>.</v>
      </c>
      <c r="B4100" s="431" t="str">
        <f t="shared" si="64"/>
        <v>Knee Replacement PrimaryCCG of GP PracticeNHS DORSET CCG (11J)Oxford Knee Score</v>
      </c>
      <c r="C4100" t="s">
        <v>249</v>
      </c>
      <c r="D4100" t="s">
        <v>87</v>
      </c>
      <c r="E4100" t="s">
        <v>854</v>
      </c>
      <c r="F4100" t="s">
        <v>855</v>
      </c>
      <c r="G4100" t="s">
        <v>16</v>
      </c>
      <c r="H4100">
        <v>700</v>
      </c>
      <c r="I4100">
        <v>20.245999999999999</v>
      </c>
      <c r="J4100">
        <v>35.767000000000003</v>
      </c>
      <c r="K4100">
        <v>15.521000000000001</v>
      </c>
      <c r="L4100">
        <v>649</v>
      </c>
      <c r="M4100">
        <v>9</v>
      </c>
      <c r="N4100">
        <v>42</v>
      </c>
      <c r="O4100">
        <v>34.972000000000001</v>
      </c>
      <c r="P4100">
        <v>15.68654044</v>
      </c>
      <c r="Q4100">
        <v>8.5839999999999996</v>
      </c>
    </row>
    <row r="4101" spans="1:17" x14ac:dyDescent="0.2">
      <c r="A4101" s="30" t="str">
        <f>IF(C4101&amp;G4101&amp;D4101&lt;&gt;'Funnel setup'!$K$3&amp;'Funnel setup'!$K$4&amp;'Funnel setup'!$K$5,".",IF(A4100=".",1,A4100+1))</f>
        <v>.</v>
      </c>
      <c r="B4101" s="431" t="str">
        <f t="shared" si="64"/>
        <v>Knee Replacement PrimaryCCG of GP PracticeNHS DUDLEY CCG (05C)Oxford Knee Score</v>
      </c>
      <c r="C4101" t="s">
        <v>249</v>
      </c>
      <c r="D4101" t="s">
        <v>87</v>
      </c>
      <c r="E4101" t="s">
        <v>857</v>
      </c>
      <c r="F4101" t="s">
        <v>858</v>
      </c>
      <c r="G4101" t="s">
        <v>16</v>
      </c>
      <c r="H4101">
        <v>329</v>
      </c>
      <c r="I4101">
        <v>17.923999999999999</v>
      </c>
      <c r="J4101">
        <v>35.662999999999997</v>
      </c>
      <c r="K4101">
        <v>17.739000000000001</v>
      </c>
      <c r="L4101">
        <v>318</v>
      </c>
      <c r="M4101">
        <v>4</v>
      </c>
      <c r="N4101">
        <v>7</v>
      </c>
      <c r="O4101">
        <v>36.497</v>
      </c>
      <c r="P4101">
        <v>17.21120986</v>
      </c>
      <c r="Q4101">
        <v>8.298</v>
      </c>
    </row>
    <row r="4102" spans="1:17" x14ac:dyDescent="0.2">
      <c r="A4102" s="30" t="str">
        <f>IF(C4102&amp;G4102&amp;D4102&lt;&gt;'Funnel setup'!$K$3&amp;'Funnel setup'!$K$4&amp;'Funnel setup'!$K$5,".",IF(A4101=".",1,A4101+1))</f>
        <v>.</v>
      </c>
      <c r="B4102" s="431" t="str">
        <f t="shared" si="64"/>
        <v>Knee Replacement PrimaryCCG of GP PracticeNHS DURHAM DALES, EASINGTON AND SEDGEFIELD CCG (00D)Oxford Knee Score</v>
      </c>
      <c r="C4102" t="s">
        <v>249</v>
      </c>
      <c r="D4102" t="s">
        <v>87</v>
      </c>
      <c r="E4102" t="s">
        <v>860</v>
      </c>
      <c r="F4102" t="s">
        <v>861</v>
      </c>
      <c r="G4102" t="s">
        <v>16</v>
      </c>
      <c r="H4102">
        <v>289</v>
      </c>
      <c r="I4102">
        <v>17.931000000000001</v>
      </c>
      <c r="J4102">
        <v>33.975999999999999</v>
      </c>
      <c r="K4102">
        <v>16.045000000000002</v>
      </c>
      <c r="L4102">
        <v>271</v>
      </c>
      <c r="M4102">
        <v>2</v>
      </c>
      <c r="N4102">
        <v>16</v>
      </c>
      <c r="O4102">
        <v>35.621000000000002</v>
      </c>
      <c r="P4102">
        <v>16.335944690000002</v>
      </c>
      <c r="Q4102">
        <v>9.3439999999999994</v>
      </c>
    </row>
    <row r="4103" spans="1:17" x14ac:dyDescent="0.2">
      <c r="A4103" s="30" t="str">
        <f>IF(C4103&amp;G4103&amp;D4103&lt;&gt;'Funnel setup'!$K$3&amp;'Funnel setup'!$K$4&amp;'Funnel setup'!$K$5,".",IF(A4102=".",1,A4102+1))</f>
        <v>.</v>
      </c>
      <c r="B4103" s="431" t="str">
        <f t="shared" si="64"/>
        <v>Knee Replacement PrimaryCCG of GP PracticeNHS EALING CCG (07W)Oxford Knee Score</v>
      </c>
      <c r="C4103" t="s">
        <v>249</v>
      </c>
      <c r="D4103" t="s">
        <v>87</v>
      </c>
      <c r="E4103" t="s">
        <v>863</v>
      </c>
      <c r="F4103" t="s">
        <v>864</v>
      </c>
      <c r="G4103" t="s">
        <v>16</v>
      </c>
      <c r="H4103">
        <v>89</v>
      </c>
      <c r="I4103">
        <v>17.876000000000001</v>
      </c>
      <c r="J4103">
        <v>31.562000000000001</v>
      </c>
      <c r="K4103">
        <v>13.685</v>
      </c>
      <c r="L4103">
        <v>81</v>
      </c>
      <c r="M4103">
        <v>1</v>
      </c>
      <c r="N4103">
        <v>7</v>
      </c>
      <c r="O4103">
        <v>34.01</v>
      </c>
      <c r="P4103">
        <v>14.72495807</v>
      </c>
      <c r="Q4103">
        <v>8.9169999999999998</v>
      </c>
    </row>
    <row r="4104" spans="1:17" x14ac:dyDescent="0.2">
      <c r="A4104" s="30" t="str">
        <f>IF(C4104&amp;G4104&amp;D4104&lt;&gt;'Funnel setup'!$K$3&amp;'Funnel setup'!$K$4&amp;'Funnel setup'!$K$5,".",IF(A4103=".",1,A4103+1))</f>
        <v>.</v>
      </c>
      <c r="B4104" s="431" t="str">
        <f t="shared" si="64"/>
        <v>Knee Replacement PrimaryCCG of GP PracticeNHS EAST AND NORTH HERTFORDSHIRE CCG (06K)Oxford Knee Score</v>
      </c>
      <c r="C4104" t="s">
        <v>249</v>
      </c>
      <c r="D4104" t="s">
        <v>87</v>
      </c>
      <c r="E4104" t="s">
        <v>866</v>
      </c>
      <c r="F4104" t="s">
        <v>867</v>
      </c>
      <c r="G4104" t="s">
        <v>16</v>
      </c>
      <c r="H4104">
        <v>338</v>
      </c>
      <c r="I4104">
        <v>19.077000000000002</v>
      </c>
      <c r="J4104">
        <v>35.651000000000003</v>
      </c>
      <c r="K4104">
        <v>16.574000000000002</v>
      </c>
      <c r="L4104">
        <v>315</v>
      </c>
      <c r="M4104">
        <v>3</v>
      </c>
      <c r="N4104">
        <v>20</v>
      </c>
      <c r="O4104">
        <v>35.179000000000002</v>
      </c>
      <c r="P4104">
        <v>15.893852259999999</v>
      </c>
      <c r="Q4104">
        <v>8.7750000000000004</v>
      </c>
    </row>
    <row r="4105" spans="1:17" x14ac:dyDescent="0.2">
      <c r="A4105" s="30" t="str">
        <f>IF(C4105&amp;G4105&amp;D4105&lt;&gt;'Funnel setup'!$K$3&amp;'Funnel setup'!$K$4&amp;'Funnel setup'!$K$5,".",IF(A4104=".",1,A4104+1))</f>
        <v>.</v>
      </c>
      <c r="B4105" s="431" t="str">
        <f t="shared" si="64"/>
        <v>Knee Replacement PrimaryCCG of GP PracticeNHS EAST LANCASHIRE CCG (01A)Oxford Knee Score</v>
      </c>
      <c r="C4105" t="s">
        <v>249</v>
      </c>
      <c r="D4105" t="s">
        <v>87</v>
      </c>
      <c r="E4105" t="s">
        <v>869</v>
      </c>
      <c r="F4105" t="s">
        <v>870</v>
      </c>
      <c r="G4105" t="s">
        <v>16</v>
      </c>
      <c r="H4105">
        <v>214</v>
      </c>
      <c r="I4105">
        <v>18.620999999999999</v>
      </c>
      <c r="J4105">
        <v>36.491</v>
      </c>
      <c r="K4105">
        <v>17.869</v>
      </c>
      <c r="L4105">
        <v>207</v>
      </c>
      <c r="M4105">
        <v>1</v>
      </c>
      <c r="N4105">
        <v>6</v>
      </c>
      <c r="O4105">
        <v>37.24</v>
      </c>
      <c r="P4105">
        <v>17.954257550000001</v>
      </c>
      <c r="Q4105">
        <v>8.7040000000000006</v>
      </c>
    </row>
    <row r="4106" spans="1:17" x14ac:dyDescent="0.2">
      <c r="A4106" s="30" t="str">
        <f>IF(C4106&amp;G4106&amp;D4106&lt;&gt;'Funnel setup'!$K$3&amp;'Funnel setup'!$K$4&amp;'Funnel setup'!$K$5,".",IF(A4105=".",1,A4105+1))</f>
        <v>.</v>
      </c>
      <c r="B4106" s="431" t="str">
        <f t="shared" si="64"/>
        <v>Knee Replacement PrimaryCCG of GP PracticeNHS EAST LEICESTERSHIRE AND RUTLAND CCG (03W)Oxford Knee Score</v>
      </c>
      <c r="C4106" t="s">
        <v>249</v>
      </c>
      <c r="D4106" t="s">
        <v>87</v>
      </c>
      <c r="E4106" t="s">
        <v>872</v>
      </c>
      <c r="F4106" t="s">
        <v>873</v>
      </c>
      <c r="G4106" t="s">
        <v>16</v>
      </c>
      <c r="H4106">
        <v>376</v>
      </c>
      <c r="I4106">
        <v>18.425999999999998</v>
      </c>
      <c r="J4106">
        <v>35.218000000000004</v>
      </c>
      <c r="K4106">
        <v>16.792999999999999</v>
      </c>
      <c r="L4106">
        <v>356</v>
      </c>
      <c r="M4106">
        <v>5</v>
      </c>
      <c r="N4106">
        <v>15</v>
      </c>
      <c r="O4106">
        <v>35.14</v>
      </c>
      <c r="P4106">
        <v>15.854631810000001</v>
      </c>
      <c r="Q4106">
        <v>8.42</v>
      </c>
    </row>
    <row r="4107" spans="1:17" x14ac:dyDescent="0.2">
      <c r="A4107" s="30" t="str">
        <f>IF(C4107&amp;G4107&amp;D4107&lt;&gt;'Funnel setup'!$K$3&amp;'Funnel setup'!$K$4&amp;'Funnel setup'!$K$5,".",IF(A4106=".",1,A4106+1))</f>
        <v>.</v>
      </c>
      <c r="B4107" s="431" t="str">
        <f t="shared" si="64"/>
        <v>Knee Replacement PrimaryCCG of GP PracticeNHS EAST RIDING OF YORKSHIRE CCG (02Y)Oxford Knee Score</v>
      </c>
      <c r="C4107" t="s">
        <v>249</v>
      </c>
      <c r="D4107" t="s">
        <v>87</v>
      </c>
      <c r="E4107" t="s">
        <v>875</v>
      </c>
      <c r="F4107" t="s">
        <v>876</v>
      </c>
      <c r="G4107" t="s">
        <v>16</v>
      </c>
      <c r="H4107">
        <v>390</v>
      </c>
      <c r="I4107">
        <v>20.335999999999999</v>
      </c>
      <c r="J4107">
        <v>36.296999999999997</v>
      </c>
      <c r="K4107">
        <v>15.962</v>
      </c>
      <c r="L4107">
        <v>363</v>
      </c>
      <c r="M4107">
        <v>2</v>
      </c>
      <c r="N4107">
        <v>25</v>
      </c>
      <c r="O4107">
        <v>35.433999999999997</v>
      </c>
      <c r="P4107">
        <v>16.14877096</v>
      </c>
      <c r="Q4107">
        <v>7.9640000000000004</v>
      </c>
    </row>
    <row r="4108" spans="1:17" x14ac:dyDescent="0.2">
      <c r="A4108" s="30" t="str">
        <f>IF(C4108&amp;G4108&amp;D4108&lt;&gt;'Funnel setup'!$K$3&amp;'Funnel setup'!$K$4&amp;'Funnel setup'!$K$5,".",IF(A4107=".",1,A4107+1))</f>
        <v>.</v>
      </c>
      <c r="B4108" s="431" t="str">
        <f t="shared" si="64"/>
        <v>Knee Replacement PrimaryCCG of GP PracticeNHS EAST STAFFORDSHIRE CCG (05D)Oxford Knee Score</v>
      </c>
      <c r="C4108" t="s">
        <v>249</v>
      </c>
      <c r="D4108" t="s">
        <v>87</v>
      </c>
      <c r="E4108" t="s">
        <v>878</v>
      </c>
      <c r="F4108" t="s">
        <v>879</v>
      </c>
      <c r="G4108" t="s">
        <v>16</v>
      </c>
      <c r="H4108">
        <v>142</v>
      </c>
      <c r="I4108">
        <v>20.393999999999998</v>
      </c>
      <c r="J4108">
        <v>36.908000000000001</v>
      </c>
      <c r="K4108">
        <v>16.513999999999999</v>
      </c>
      <c r="L4108">
        <v>136</v>
      </c>
      <c r="M4108">
        <v>1</v>
      </c>
      <c r="N4108">
        <v>5</v>
      </c>
      <c r="O4108">
        <v>35.808999999999997</v>
      </c>
      <c r="P4108">
        <v>16.523867150000001</v>
      </c>
      <c r="Q4108">
        <v>7.66</v>
      </c>
    </row>
    <row r="4109" spans="1:17" x14ac:dyDescent="0.2">
      <c r="A4109" s="30" t="str">
        <f>IF(C4109&amp;G4109&amp;D4109&lt;&gt;'Funnel setup'!$K$3&amp;'Funnel setup'!$K$4&amp;'Funnel setup'!$K$5,".",IF(A4108=".",1,A4108+1))</f>
        <v>.</v>
      </c>
      <c r="B4109" s="431" t="str">
        <f t="shared" si="64"/>
        <v>Knee Replacement PrimaryCCG of GP PracticeNHS EAST SURREY CCG (09L)Oxford Knee Score</v>
      </c>
      <c r="C4109" t="s">
        <v>249</v>
      </c>
      <c r="D4109" t="s">
        <v>87</v>
      </c>
      <c r="E4109" t="s">
        <v>881</v>
      </c>
      <c r="F4109" t="s">
        <v>882</v>
      </c>
      <c r="G4109" t="s">
        <v>16</v>
      </c>
      <c r="H4109">
        <v>128</v>
      </c>
      <c r="I4109">
        <v>19.515999999999998</v>
      </c>
      <c r="J4109">
        <v>35.078000000000003</v>
      </c>
      <c r="K4109">
        <v>15.563000000000001</v>
      </c>
      <c r="L4109">
        <v>117</v>
      </c>
      <c r="M4109">
        <v>4</v>
      </c>
      <c r="N4109">
        <v>7</v>
      </c>
      <c r="O4109">
        <v>34.588999999999999</v>
      </c>
      <c r="P4109">
        <v>15.30383232</v>
      </c>
      <c r="Q4109">
        <v>8.2959999999999994</v>
      </c>
    </row>
    <row r="4110" spans="1:17" x14ac:dyDescent="0.2">
      <c r="A4110" s="30" t="str">
        <f>IF(C4110&amp;G4110&amp;D4110&lt;&gt;'Funnel setup'!$K$3&amp;'Funnel setup'!$K$4&amp;'Funnel setup'!$K$5,".",IF(A4109=".",1,A4109+1))</f>
        <v>.</v>
      </c>
      <c r="B4110" s="431" t="str">
        <f t="shared" si="64"/>
        <v>Knee Replacement PrimaryCCG of GP PracticeNHS EASTBOURNE, HAILSHAM AND SEAFORD CCG (09F)Oxford Knee Score</v>
      </c>
      <c r="C4110" t="s">
        <v>249</v>
      </c>
      <c r="D4110" t="s">
        <v>87</v>
      </c>
      <c r="E4110" t="s">
        <v>884</v>
      </c>
      <c r="F4110" t="s">
        <v>885</v>
      </c>
      <c r="G4110" t="s">
        <v>16</v>
      </c>
      <c r="H4110">
        <v>326</v>
      </c>
      <c r="I4110">
        <v>21.472000000000001</v>
      </c>
      <c r="J4110">
        <v>36.65</v>
      </c>
      <c r="K4110">
        <v>15.178000000000001</v>
      </c>
      <c r="L4110">
        <v>300</v>
      </c>
      <c r="M4110">
        <v>3</v>
      </c>
      <c r="N4110">
        <v>23</v>
      </c>
      <c r="O4110">
        <v>35.478999999999999</v>
      </c>
      <c r="P4110">
        <v>16.193699039999998</v>
      </c>
      <c r="Q4110">
        <v>8.0589999999999993</v>
      </c>
    </row>
    <row r="4111" spans="1:17" x14ac:dyDescent="0.2">
      <c r="A4111" s="30" t="str">
        <f>IF(C4111&amp;G4111&amp;D4111&lt;&gt;'Funnel setup'!$K$3&amp;'Funnel setup'!$K$4&amp;'Funnel setup'!$K$5,".",IF(A4110=".",1,A4110+1))</f>
        <v>.</v>
      </c>
      <c r="B4111" s="431" t="str">
        <f t="shared" si="64"/>
        <v>Knee Replacement PrimaryCCG of GP PracticeNHS EASTERN CHESHIRE CCG (01C)Oxford Knee Score</v>
      </c>
      <c r="C4111" t="s">
        <v>249</v>
      </c>
      <c r="D4111" t="s">
        <v>87</v>
      </c>
      <c r="E4111" t="s">
        <v>887</v>
      </c>
      <c r="F4111" t="s">
        <v>888</v>
      </c>
      <c r="G4111" t="s">
        <v>16</v>
      </c>
      <c r="H4111">
        <v>134</v>
      </c>
      <c r="I4111">
        <v>19.678999999999998</v>
      </c>
      <c r="J4111">
        <v>37.887999999999998</v>
      </c>
      <c r="K4111">
        <v>18.209</v>
      </c>
      <c r="L4111">
        <v>130</v>
      </c>
      <c r="M4111">
        <v>0</v>
      </c>
      <c r="N4111">
        <v>4</v>
      </c>
      <c r="O4111">
        <v>36.51</v>
      </c>
      <c r="P4111">
        <v>17.224831890000001</v>
      </c>
      <c r="Q4111">
        <v>8.3539999999999992</v>
      </c>
    </row>
    <row r="4112" spans="1:17" x14ac:dyDescent="0.2">
      <c r="A4112" s="30" t="str">
        <f>IF(C4112&amp;G4112&amp;D4112&lt;&gt;'Funnel setup'!$K$3&amp;'Funnel setup'!$K$4&amp;'Funnel setup'!$K$5,".",IF(A4111=".",1,A4111+1))</f>
        <v>.</v>
      </c>
      <c r="B4112" s="431" t="str">
        <f t="shared" si="64"/>
        <v>Knee Replacement PrimaryCCG of GP PracticeNHS ENFIELD CCG (07X)Oxford Knee Score</v>
      </c>
      <c r="C4112" t="s">
        <v>249</v>
      </c>
      <c r="D4112" t="s">
        <v>87</v>
      </c>
      <c r="E4112" t="s">
        <v>890</v>
      </c>
      <c r="F4112" t="s">
        <v>891</v>
      </c>
      <c r="G4112" t="s">
        <v>16</v>
      </c>
      <c r="H4112">
        <v>114</v>
      </c>
      <c r="I4112">
        <v>17.271999999999998</v>
      </c>
      <c r="J4112">
        <v>33.228000000000002</v>
      </c>
      <c r="K4112">
        <v>15.956</v>
      </c>
      <c r="L4112">
        <v>108</v>
      </c>
      <c r="M4112">
        <v>1</v>
      </c>
      <c r="N4112">
        <v>5</v>
      </c>
      <c r="O4112">
        <v>34.716000000000001</v>
      </c>
      <c r="P4112">
        <v>15.430779019999999</v>
      </c>
      <c r="Q4112">
        <v>9.0150000000000006</v>
      </c>
    </row>
    <row r="4113" spans="1:17" x14ac:dyDescent="0.2">
      <c r="A4113" s="30" t="str">
        <f>IF(C4113&amp;G4113&amp;D4113&lt;&gt;'Funnel setup'!$K$3&amp;'Funnel setup'!$K$4&amp;'Funnel setup'!$K$5,".",IF(A4112=".",1,A4112+1))</f>
        <v>.</v>
      </c>
      <c r="B4113" s="431" t="str">
        <f t="shared" si="64"/>
        <v>Knee Replacement PrimaryCCG of GP PracticeNHS EREWASH CCG (03X)Oxford Knee Score</v>
      </c>
      <c r="C4113" t="s">
        <v>249</v>
      </c>
      <c r="D4113" t="s">
        <v>87</v>
      </c>
      <c r="E4113" t="s">
        <v>893</v>
      </c>
      <c r="F4113" t="s">
        <v>894</v>
      </c>
      <c r="G4113" t="s">
        <v>16</v>
      </c>
      <c r="H4113">
        <v>134</v>
      </c>
      <c r="I4113">
        <v>20.41</v>
      </c>
      <c r="J4113">
        <v>36.612000000000002</v>
      </c>
      <c r="K4113">
        <v>16.201000000000001</v>
      </c>
      <c r="L4113">
        <v>130</v>
      </c>
      <c r="M4113">
        <v>0</v>
      </c>
      <c r="N4113">
        <v>4</v>
      </c>
      <c r="O4113">
        <v>35.927</v>
      </c>
      <c r="P4113">
        <v>16.641470819999999</v>
      </c>
      <c r="Q4113">
        <v>8.3989999999999991</v>
      </c>
    </row>
    <row r="4114" spans="1:17" x14ac:dyDescent="0.2">
      <c r="A4114" s="30" t="str">
        <f>IF(C4114&amp;G4114&amp;D4114&lt;&gt;'Funnel setup'!$K$3&amp;'Funnel setup'!$K$4&amp;'Funnel setup'!$K$5,".",IF(A4113=".",1,A4113+1))</f>
        <v>.</v>
      </c>
      <c r="B4114" s="431" t="str">
        <f t="shared" si="64"/>
        <v>Knee Replacement PrimaryCCG of GP PracticeNHS FAREHAM AND GOSPORT CCG (10K)Oxford Knee Score</v>
      </c>
      <c r="C4114" t="s">
        <v>249</v>
      </c>
      <c r="D4114" t="s">
        <v>87</v>
      </c>
      <c r="E4114" t="s">
        <v>896</v>
      </c>
      <c r="F4114" t="s">
        <v>897</v>
      </c>
      <c r="G4114" t="s">
        <v>16</v>
      </c>
      <c r="H4114">
        <v>103</v>
      </c>
      <c r="I4114">
        <v>19.155000000000001</v>
      </c>
      <c r="J4114">
        <v>36.981000000000002</v>
      </c>
      <c r="K4114">
        <v>17.824999999999999</v>
      </c>
      <c r="L4114">
        <v>100</v>
      </c>
      <c r="M4114">
        <v>0</v>
      </c>
      <c r="N4114">
        <v>3</v>
      </c>
      <c r="O4114">
        <v>36.173000000000002</v>
      </c>
      <c r="P4114">
        <v>16.88808152</v>
      </c>
      <c r="Q4114">
        <v>7.1689999999999996</v>
      </c>
    </row>
    <row r="4115" spans="1:17" x14ac:dyDescent="0.2">
      <c r="A4115" s="30" t="str">
        <f>IF(C4115&amp;G4115&amp;D4115&lt;&gt;'Funnel setup'!$K$3&amp;'Funnel setup'!$K$4&amp;'Funnel setup'!$K$5,".",IF(A4114=".",1,A4114+1))</f>
        <v>.</v>
      </c>
      <c r="B4115" s="431" t="str">
        <f t="shared" si="64"/>
        <v>Knee Replacement PrimaryCCG of GP PracticeNHS FYLDE &amp; WYRE CCG (02M)Oxford Knee Score</v>
      </c>
      <c r="C4115" t="s">
        <v>249</v>
      </c>
      <c r="D4115" t="s">
        <v>87</v>
      </c>
      <c r="E4115" t="s">
        <v>899</v>
      </c>
      <c r="F4115" t="s">
        <v>900</v>
      </c>
      <c r="G4115" t="s">
        <v>16</v>
      </c>
      <c r="H4115">
        <v>77</v>
      </c>
      <c r="I4115">
        <v>19.416</v>
      </c>
      <c r="J4115">
        <v>34.377000000000002</v>
      </c>
      <c r="K4115">
        <v>14.961</v>
      </c>
      <c r="L4115">
        <v>67</v>
      </c>
      <c r="M4115">
        <v>0</v>
      </c>
      <c r="N4115">
        <v>10</v>
      </c>
      <c r="O4115">
        <v>34.186999999999998</v>
      </c>
      <c r="P4115">
        <v>14.90171366</v>
      </c>
      <c r="Q4115">
        <v>9.7590000000000003</v>
      </c>
    </row>
    <row r="4116" spans="1:17" x14ac:dyDescent="0.2">
      <c r="A4116" s="30" t="str">
        <f>IF(C4116&amp;G4116&amp;D4116&lt;&gt;'Funnel setup'!$K$3&amp;'Funnel setup'!$K$4&amp;'Funnel setup'!$K$5,".",IF(A4115=".",1,A4115+1))</f>
        <v>.</v>
      </c>
      <c r="B4116" s="431" t="str">
        <f t="shared" si="64"/>
        <v>Knee Replacement PrimaryCCG of GP PracticeNHS GLOUCESTERSHIRE CCG (11M)Oxford Knee Score</v>
      </c>
      <c r="C4116" t="s">
        <v>249</v>
      </c>
      <c r="D4116" t="s">
        <v>87</v>
      </c>
      <c r="E4116" t="s">
        <v>902</v>
      </c>
      <c r="F4116" t="s">
        <v>903</v>
      </c>
      <c r="G4116" t="s">
        <v>16</v>
      </c>
      <c r="H4116">
        <v>447</v>
      </c>
      <c r="I4116">
        <v>21.3</v>
      </c>
      <c r="J4116">
        <v>37.488</v>
      </c>
      <c r="K4116">
        <v>16.187999999999999</v>
      </c>
      <c r="L4116">
        <v>430</v>
      </c>
      <c r="M4116">
        <v>5</v>
      </c>
      <c r="N4116">
        <v>12</v>
      </c>
      <c r="O4116">
        <v>35.831000000000003</v>
      </c>
      <c r="P4116">
        <v>16.545455919999998</v>
      </c>
      <c r="Q4116">
        <v>7.2519999999999998</v>
      </c>
    </row>
    <row r="4117" spans="1:17" x14ac:dyDescent="0.2">
      <c r="A4117" s="30" t="str">
        <f>IF(C4117&amp;G4117&amp;D4117&lt;&gt;'Funnel setup'!$K$3&amp;'Funnel setup'!$K$4&amp;'Funnel setup'!$K$5,".",IF(A4116=".",1,A4116+1))</f>
        <v>.</v>
      </c>
      <c r="B4117" s="431" t="str">
        <f t="shared" si="64"/>
        <v>Knee Replacement PrimaryCCG of GP PracticeNHS GREAT YARMOUTH AND WAVENEY CCG (06M)Oxford Knee Score</v>
      </c>
      <c r="C4117" t="s">
        <v>249</v>
      </c>
      <c r="D4117" t="s">
        <v>87</v>
      </c>
      <c r="E4117" t="s">
        <v>905</v>
      </c>
      <c r="F4117" t="s">
        <v>906</v>
      </c>
      <c r="G4117" t="s">
        <v>16</v>
      </c>
      <c r="H4117">
        <v>199</v>
      </c>
      <c r="I4117">
        <v>19.542999999999999</v>
      </c>
      <c r="J4117">
        <v>35.417000000000002</v>
      </c>
      <c r="K4117">
        <v>15.874000000000001</v>
      </c>
      <c r="L4117">
        <v>186</v>
      </c>
      <c r="M4117">
        <v>7</v>
      </c>
      <c r="N4117">
        <v>6</v>
      </c>
      <c r="O4117">
        <v>35.402999999999999</v>
      </c>
      <c r="P4117">
        <v>16.117877799999999</v>
      </c>
      <c r="Q4117">
        <v>8.2579999999999991</v>
      </c>
    </row>
    <row r="4118" spans="1:17" x14ac:dyDescent="0.2">
      <c r="A4118" s="30" t="str">
        <f>IF(C4118&amp;G4118&amp;D4118&lt;&gt;'Funnel setup'!$K$3&amp;'Funnel setup'!$K$4&amp;'Funnel setup'!$K$5,".",IF(A4117=".",1,A4117+1))</f>
        <v>.</v>
      </c>
      <c r="B4118" s="431" t="str">
        <f t="shared" si="64"/>
        <v>Knee Replacement PrimaryCCG of GP PracticeNHS GREATER HUDDERSFIELD CCG (03A)Oxford Knee Score</v>
      </c>
      <c r="C4118" t="s">
        <v>249</v>
      </c>
      <c r="D4118" t="s">
        <v>87</v>
      </c>
      <c r="E4118" t="s">
        <v>908</v>
      </c>
      <c r="F4118" t="s">
        <v>909</v>
      </c>
      <c r="G4118" t="s">
        <v>16</v>
      </c>
      <c r="H4118">
        <v>189</v>
      </c>
      <c r="I4118">
        <v>20.106000000000002</v>
      </c>
      <c r="J4118">
        <v>35.450000000000003</v>
      </c>
      <c r="K4118">
        <v>15.343999999999999</v>
      </c>
      <c r="L4118">
        <v>180</v>
      </c>
      <c r="M4118">
        <v>0</v>
      </c>
      <c r="N4118">
        <v>9</v>
      </c>
      <c r="O4118">
        <v>35.04</v>
      </c>
      <c r="P4118">
        <v>15.754846819999999</v>
      </c>
      <c r="Q4118">
        <v>8.17</v>
      </c>
    </row>
    <row r="4119" spans="1:17" x14ac:dyDescent="0.2">
      <c r="A4119" s="30" t="str">
        <f>IF(C4119&amp;G4119&amp;D4119&lt;&gt;'Funnel setup'!$K$3&amp;'Funnel setup'!$K$4&amp;'Funnel setup'!$K$5,".",IF(A4118=".",1,A4118+1))</f>
        <v>.</v>
      </c>
      <c r="B4119" s="431" t="str">
        <f t="shared" si="64"/>
        <v>Knee Replacement PrimaryCCG of GP PracticeNHS GREATER PRESTON CCG (01E)Oxford Knee Score</v>
      </c>
      <c r="C4119" t="s">
        <v>249</v>
      </c>
      <c r="D4119" t="s">
        <v>87</v>
      </c>
      <c r="E4119" t="s">
        <v>486</v>
      </c>
      <c r="F4119" t="s">
        <v>487</v>
      </c>
      <c r="G4119" t="s">
        <v>16</v>
      </c>
      <c r="H4119">
        <v>250</v>
      </c>
      <c r="I4119">
        <v>19.84</v>
      </c>
      <c r="J4119">
        <v>35.552</v>
      </c>
      <c r="K4119">
        <v>15.712</v>
      </c>
      <c r="L4119">
        <v>235</v>
      </c>
      <c r="M4119">
        <v>2</v>
      </c>
      <c r="N4119">
        <v>13</v>
      </c>
      <c r="O4119">
        <v>35.360999999999997</v>
      </c>
      <c r="P4119">
        <v>16.07566212</v>
      </c>
      <c r="Q4119">
        <v>8.1739999999999995</v>
      </c>
    </row>
    <row r="4120" spans="1:17" x14ac:dyDescent="0.2">
      <c r="A4120" s="30" t="str">
        <f>IF(C4120&amp;G4120&amp;D4120&lt;&gt;'Funnel setup'!$K$3&amp;'Funnel setup'!$K$4&amp;'Funnel setup'!$K$5,".",IF(A4119=".",1,A4119+1))</f>
        <v>.</v>
      </c>
      <c r="B4120" s="431" t="str">
        <f t="shared" si="64"/>
        <v>Knee Replacement PrimaryCCG of GP PracticeNHS GREENWICH CCG (08A)Oxford Knee Score</v>
      </c>
      <c r="C4120" t="s">
        <v>249</v>
      </c>
      <c r="D4120" t="s">
        <v>87</v>
      </c>
      <c r="E4120" t="s">
        <v>489</v>
      </c>
      <c r="F4120" t="s">
        <v>490</v>
      </c>
      <c r="G4120" t="s">
        <v>16</v>
      </c>
      <c r="H4120">
        <v>69</v>
      </c>
      <c r="I4120">
        <v>18.594000000000001</v>
      </c>
      <c r="J4120">
        <v>33.116</v>
      </c>
      <c r="K4120">
        <v>14.522</v>
      </c>
      <c r="L4120">
        <v>64</v>
      </c>
      <c r="M4120">
        <v>0</v>
      </c>
      <c r="N4120">
        <v>5</v>
      </c>
      <c r="O4120">
        <v>34.229999999999997</v>
      </c>
      <c r="P4120">
        <v>14.9446078</v>
      </c>
      <c r="Q4120">
        <v>9.6669999999999998</v>
      </c>
    </row>
    <row r="4121" spans="1:17" x14ac:dyDescent="0.2">
      <c r="A4121" s="30" t="str">
        <f>IF(C4121&amp;G4121&amp;D4121&lt;&gt;'Funnel setup'!$K$3&amp;'Funnel setup'!$K$4&amp;'Funnel setup'!$K$5,".",IF(A4120=".",1,A4120+1))</f>
        <v>.</v>
      </c>
      <c r="B4121" s="431" t="str">
        <f t="shared" si="64"/>
        <v>Knee Replacement PrimaryCCG of GP PracticeNHS GUILDFORD AND WAVERLEY CCG (09N)Oxford Knee Score</v>
      </c>
      <c r="C4121" t="s">
        <v>249</v>
      </c>
      <c r="D4121" t="s">
        <v>87</v>
      </c>
      <c r="E4121" t="s">
        <v>911</v>
      </c>
      <c r="F4121" t="s">
        <v>912</v>
      </c>
      <c r="G4121" t="s">
        <v>16</v>
      </c>
      <c r="H4121">
        <v>103</v>
      </c>
      <c r="I4121">
        <v>21.068000000000001</v>
      </c>
      <c r="J4121">
        <v>37.67</v>
      </c>
      <c r="K4121">
        <v>16.602</v>
      </c>
      <c r="L4121">
        <v>97</v>
      </c>
      <c r="M4121">
        <v>1</v>
      </c>
      <c r="N4121">
        <v>5</v>
      </c>
      <c r="O4121">
        <v>35.979999999999997</v>
      </c>
      <c r="P4121">
        <v>16.6950611</v>
      </c>
      <c r="Q4121">
        <v>7.5</v>
      </c>
    </row>
    <row r="4122" spans="1:17" x14ac:dyDescent="0.2">
      <c r="A4122" s="30" t="str">
        <f>IF(C4122&amp;G4122&amp;D4122&lt;&gt;'Funnel setup'!$K$3&amp;'Funnel setup'!$K$4&amp;'Funnel setup'!$K$5,".",IF(A4121=".",1,A4121+1))</f>
        <v>.</v>
      </c>
      <c r="B4122" s="431" t="str">
        <f t="shared" si="64"/>
        <v>Knee Replacement PrimaryCCG of GP PracticeNHS HALTON CCG (01F)Oxford Knee Score</v>
      </c>
      <c r="C4122" t="s">
        <v>249</v>
      </c>
      <c r="D4122" t="s">
        <v>87</v>
      </c>
      <c r="E4122" t="s">
        <v>914</v>
      </c>
      <c r="F4122" t="s">
        <v>915</v>
      </c>
      <c r="G4122" t="s">
        <v>16</v>
      </c>
      <c r="H4122">
        <v>88</v>
      </c>
      <c r="I4122">
        <v>17.260999999999999</v>
      </c>
      <c r="J4122">
        <v>34.601999999999997</v>
      </c>
      <c r="K4122">
        <v>17.341000000000001</v>
      </c>
      <c r="L4122">
        <v>82</v>
      </c>
      <c r="M4122">
        <v>2</v>
      </c>
      <c r="N4122">
        <v>4</v>
      </c>
      <c r="O4122">
        <v>36.264000000000003</v>
      </c>
      <c r="P4122">
        <v>16.97836964</v>
      </c>
      <c r="Q4122">
        <v>8.6790000000000003</v>
      </c>
    </row>
    <row r="4123" spans="1:17" x14ac:dyDescent="0.2">
      <c r="A4123" s="30" t="str">
        <f>IF(C4123&amp;G4123&amp;D4123&lt;&gt;'Funnel setup'!$K$3&amp;'Funnel setup'!$K$4&amp;'Funnel setup'!$K$5,".",IF(A4122=".",1,A4122+1))</f>
        <v>.</v>
      </c>
      <c r="B4123" s="431" t="str">
        <f t="shared" si="64"/>
        <v>Knee Replacement PrimaryCCG of GP PracticeNHS HAMBLETON, RICHMONDSHIRE AND WHITBY CCG (03D)Oxford Knee Score</v>
      </c>
      <c r="C4123" t="s">
        <v>249</v>
      </c>
      <c r="D4123" t="s">
        <v>87</v>
      </c>
      <c r="E4123" t="s">
        <v>917</v>
      </c>
      <c r="F4123" t="s">
        <v>918</v>
      </c>
      <c r="G4123" t="s">
        <v>16</v>
      </c>
      <c r="H4123">
        <v>226</v>
      </c>
      <c r="I4123">
        <v>19.888999999999999</v>
      </c>
      <c r="J4123">
        <v>36.92</v>
      </c>
      <c r="K4123">
        <v>17.030999999999999</v>
      </c>
      <c r="L4123">
        <v>217</v>
      </c>
      <c r="M4123">
        <v>3</v>
      </c>
      <c r="N4123">
        <v>6</v>
      </c>
      <c r="O4123">
        <v>36.344000000000001</v>
      </c>
      <c r="P4123">
        <v>17.058671759999999</v>
      </c>
      <c r="Q4123">
        <v>7.8650000000000002</v>
      </c>
    </row>
    <row r="4124" spans="1:17" x14ac:dyDescent="0.2">
      <c r="A4124" s="30" t="str">
        <f>IF(C4124&amp;G4124&amp;D4124&lt;&gt;'Funnel setup'!$K$3&amp;'Funnel setup'!$K$4&amp;'Funnel setup'!$K$5,".",IF(A4123=".",1,A4123+1))</f>
        <v>.</v>
      </c>
      <c r="B4124" s="431" t="str">
        <f t="shared" si="64"/>
        <v>Knee Replacement PrimaryCCG of GP PracticeNHS HAMMERSMITH AND FULHAM CCG (08C)Oxford Knee Score</v>
      </c>
      <c r="C4124" t="s">
        <v>249</v>
      </c>
      <c r="D4124" t="s">
        <v>87</v>
      </c>
      <c r="E4124" t="s">
        <v>920</v>
      </c>
      <c r="F4124" t="s">
        <v>921</v>
      </c>
      <c r="G4124" t="s">
        <v>16</v>
      </c>
      <c r="H4124">
        <v>22</v>
      </c>
      <c r="I4124">
        <v>16.454999999999998</v>
      </c>
      <c r="J4124">
        <v>29.545000000000002</v>
      </c>
      <c r="K4124">
        <v>13.090999999999999</v>
      </c>
      <c r="L4124">
        <v>20</v>
      </c>
      <c r="M4124">
        <v>0</v>
      </c>
      <c r="N4124">
        <v>2</v>
      </c>
      <c r="O4124" t="s">
        <v>53</v>
      </c>
      <c r="P4124" t="s">
        <v>53</v>
      </c>
      <c r="Q4124" t="s">
        <v>53</v>
      </c>
    </row>
    <row r="4125" spans="1:17" x14ac:dyDescent="0.2">
      <c r="A4125" s="30" t="str">
        <f>IF(C4125&amp;G4125&amp;D4125&lt;&gt;'Funnel setup'!$K$3&amp;'Funnel setup'!$K$4&amp;'Funnel setup'!$K$5,".",IF(A4124=".",1,A4124+1))</f>
        <v>.</v>
      </c>
      <c r="B4125" s="431" t="str">
        <f t="shared" si="64"/>
        <v>Knee Replacement PrimaryCCG of GP PracticeNHS HARDWICK CCG (03Y)Oxford Knee Score</v>
      </c>
      <c r="C4125" t="s">
        <v>249</v>
      </c>
      <c r="D4125" t="s">
        <v>87</v>
      </c>
      <c r="E4125" t="s">
        <v>923</v>
      </c>
      <c r="F4125" t="s">
        <v>924</v>
      </c>
      <c r="G4125" t="s">
        <v>16</v>
      </c>
      <c r="H4125">
        <v>140</v>
      </c>
      <c r="I4125">
        <v>16.907</v>
      </c>
      <c r="J4125">
        <v>32.936</v>
      </c>
      <c r="K4125">
        <v>16.029</v>
      </c>
      <c r="L4125">
        <v>129</v>
      </c>
      <c r="M4125">
        <v>1</v>
      </c>
      <c r="N4125">
        <v>10</v>
      </c>
      <c r="O4125">
        <v>34.795999999999999</v>
      </c>
      <c r="P4125">
        <v>15.51090473</v>
      </c>
      <c r="Q4125">
        <v>9.3650000000000002</v>
      </c>
    </row>
    <row r="4126" spans="1:17" x14ac:dyDescent="0.2">
      <c r="A4126" s="30" t="str">
        <f>IF(C4126&amp;G4126&amp;D4126&lt;&gt;'Funnel setup'!$K$3&amp;'Funnel setup'!$K$4&amp;'Funnel setup'!$K$5,".",IF(A4125=".",1,A4125+1))</f>
        <v>.</v>
      </c>
      <c r="B4126" s="431" t="str">
        <f t="shared" si="64"/>
        <v>Knee Replacement PrimaryCCG of GP PracticeNHS HARINGEY CCG (08D)Oxford Knee Score</v>
      </c>
      <c r="C4126" t="s">
        <v>249</v>
      </c>
      <c r="D4126" t="s">
        <v>87</v>
      </c>
      <c r="E4126" t="s">
        <v>926</v>
      </c>
      <c r="F4126" t="s">
        <v>927</v>
      </c>
      <c r="G4126" t="s">
        <v>16</v>
      </c>
      <c r="H4126">
        <v>29</v>
      </c>
      <c r="I4126">
        <v>14.792999999999999</v>
      </c>
      <c r="J4126">
        <v>28.138000000000002</v>
      </c>
      <c r="K4126">
        <v>13.345000000000001</v>
      </c>
      <c r="L4126">
        <v>26</v>
      </c>
      <c r="M4126">
        <v>1</v>
      </c>
      <c r="N4126">
        <v>2</v>
      </c>
      <c r="O4126" t="s">
        <v>53</v>
      </c>
      <c r="P4126" t="s">
        <v>53</v>
      </c>
      <c r="Q4126" t="s">
        <v>53</v>
      </c>
    </row>
    <row r="4127" spans="1:17" x14ac:dyDescent="0.2">
      <c r="A4127" s="30" t="str">
        <f>IF(C4127&amp;G4127&amp;D4127&lt;&gt;'Funnel setup'!$K$3&amp;'Funnel setup'!$K$4&amp;'Funnel setup'!$K$5,".",IF(A4126=".",1,A4126+1))</f>
        <v>.</v>
      </c>
      <c r="B4127" s="431" t="str">
        <f t="shared" si="64"/>
        <v>Knee Replacement PrimaryCCG of GP PracticeNHS HARROGATE AND RURAL DISTRICT CCG (03E)Oxford Knee Score</v>
      </c>
      <c r="C4127" t="s">
        <v>249</v>
      </c>
      <c r="D4127" t="s">
        <v>87</v>
      </c>
      <c r="E4127" t="s">
        <v>929</v>
      </c>
      <c r="F4127" t="s">
        <v>930</v>
      </c>
      <c r="G4127" t="s">
        <v>16</v>
      </c>
      <c r="H4127">
        <v>150</v>
      </c>
      <c r="I4127">
        <v>21.32</v>
      </c>
      <c r="J4127">
        <v>38.56</v>
      </c>
      <c r="K4127">
        <v>17.239999999999998</v>
      </c>
      <c r="L4127">
        <v>145</v>
      </c>
      <c r="M4127">
        <v>0</v>
      </c>
      <c r="N4127">
        <v>5</v>
      </c>
      <c r="O4127">
        <v>36.97</v>
      </c>
      <c r="P4127">
        <v>17.68505691</v>
      </c>
      <c r="Q4127">
        <v>7.5490000000000004</v>
      </c>
    </row>
    <row r="4128" spans="1:17" x14ac:dyDescent="0.2">
      <c r="A4128" s="30" t="str">
        <f>IF(C4128&amp;G4128&amp;D4128&lt;&gt;'Funnel setup'!$K$3&amp;'Funnel setup'!$K$4&amp;'Funnel setup'!$K$5,".",IF(A4127=".",1,A4127+1))</f>
        <v>.</v>
      </c>
      <c r="B4128" s="431" t="str">
        <f t="shared" si="64"/>
        <v>Knee Replacement PrimaryCCG of GP PracticeNHS HARROW CCG (08E)Oxford Knee Score</v>
      </c>
      <c r="C4128" t="s">
        <v>249</v>
      </c>
      <c r="D4128" t="s">
        <v>87</v>
      </c>
      <c r="E4128" t="s">
        <v>492</v>
      </c>
      <c r="F4128" t="s">
        <v>493</v>
      </c>
      <c r="G4128" t="s">
        <v>16</v>
      </c>
      <c r="H4128">
        <v>133</v>
      </c>
      <c r="I4128">
        <v>18.789000000000001</v>
      </c>
      <c r="J4128">
        <v>31.887</v>
      </c>
      <c r="K4128">
        <v>13.098000000000001</v>
      </c>
      <c r="L4128">
        <v>121</v>
      </c>
      <c r="M4128">
        <v>3</v>
      </c>
      <c r="N4128">
        <v>9</v>
      </c>
      <c r="O4128">
        <v>32.872</v>
      </c>
      <c r="P4128">
        <v>13.586377219999999</v>
      </c>
      <c r="Q4128">
        <v>8.5589999999999993</v>
      </c>
    </row>
    <row r="4129" spans="1:17" x14ac:dyDescent="0.2">
      <c r="A4129" s="30" t="str">
        <f>IF(C4129&amp;G4129&amp;D4129&lt;&gt;'Funnel setup'!$K$3&amp;'Funnel setup'!$K$4&amp;'Funnel setup'!$K$5,".",IF(A4128=".",1,A4128+1))</f>
        <v>.</v>
      </c>
      <c r="B4129" s="431" t="str">
        <f t="shared" si="64"/>
        <v>Knee Replacement PrimaryCCG of GP PracticeNHS HARTLEPOOL AND STOCKTON-ON-TEES CCG (00K)Oxford Knee Score</v>
      </c>
      <c r="C4129" t="s">
        <v>249</v>
      </c>
      <c r="D4129" t="s">
        <v>87</v>
      </c>
      <c r="E4129" t="s">
        <v>495</v>
      </c>
      <c r="F4129" t="s">
        <v>496</v>
      </c>
      <c r="G4129" t="s">
        <v>16</v>
      </c>
      <c r="H4129">
        <v>358</v>
      </c>
      <c r="I4129">
        <v>18.215</v>
      </c>
      <c r="J4129">
        <v>35.936</v>
      </c>
      <c r="K4129">
        <v>17.721</v>
      </c>
      <c r="L4129">
        <v>342</v>
      </c>
      <c r="M4129">
        <v>4</v>
      </c>
      <c r="N4129">
        <v>12</v>
      </c>
      <c r="O4129">
        <v>36.637</v>
      </c>
      <c r="P4129">
        <v>17.351943309999999</v>
      </c>
      <c r="Q4129">
        <v>8.7279999999999998</v>
      </c>
    </row>
    <row r="4130" spans="1:17" x14ac:dyDescent="0.2">
      <c r="A4130" s="30" t="str">
        <f>IF(C4130&amp;G4130&amp;D4130&lt;&gt;'Funnel setup'!$K$3&amp;'Funnel setup'!$K$4&amp;'Funnel setup'!$K$5,".",IF(A4129=".",1,A4129+1))</f>
        <v>.</v>
      </c>
      <c r="B4130" s="431" t="str">
        <f t="shared" si="64"/>
        <v>Knee Replacement PrimaryCCG of GP PracticeNHS HASTINGS AND ROTHER CCG (09P)Oxford Knee Score</v>
      </c>
      <c r="C4130" t="s">
        <v>249</v>
      </c>
      <c r="D4130" t="s">
        <v>87</v>
      </c>
      <c r="E4130" t="s">
        <v>498</v>
      </c>
      <c r="F4130" t="s">
        <v>499</v>
      </c>
      <c r="G4130" t="s">
        <v>16</v>
      </c>
      <c r="H4130">
        <v>231</v>
      </c>
      <c r="I4130">
        <v>21.381</v>
      </c>
      <c r="J4130">
        <v>37.039000000000001</v>
      </c>
      <c r="K4130">
        <v>15.657999999999999</v>
      </c>
      <c r="L4130">
        <v>217</v>
      </c>
      <c r="M4130">
        <v>1</v>
      </c>
      <c r="N4130">
        <v>13</v>
      </c>
      <c r="O4130">
        <v>36.079000000000001</v>
      </c>
      <c r="P4130">
        <v>16.794060349999999</v>
      </c>
      <c r="Q4130">
        <v>8.0129999999999999</v>
      </c>
    </row>
    <row r="4131" spans="1:17" x14ac:dyDescent="0.2">
      <c r="A4131" s="30" t="str">
        <f>IF(C4131&amp;G4131&amp;D4131&lt;&gt;'Funnel setup'!$K$3&amp;'Funnel setup'!$K$4&amp;'Funnel setup'!$K$5,".",IF(A4130=".",1,A4130+1))</f>
        <v>.</v>
      </c>
      <c r="B4131" s="431" t="str">
        <f t="shared" si="64"/>
        <v>Knee Replacement PrimaryCCG of GP PracticeNHS HAVERING CCG (08F)Oxford Knee Score</v>
      </c>
      <c r="C4131" t="s">
        <v>249</v>
      </c>
      <c r="D4131" t="s">
        <v>87</v>
      </c>
      <c r="E4131" t="s">
        <v>501</v>
      </c>
      <c r="F4131" t="s">
        <v>502</v>
      </c>
      <c r="G4131" t="s">
        <v>16</v>
      </c>
      <c r="H4131">
        <v>132</v>
      </c>
      <c r="I4131">
        <v>18.689</v>
      </c>
      <c r="J4131">
        <v>34.847999999999999</v>
      </c>
      <c r="K4131">
        <v>16.158999999999999</v>
      </c>
      <c r="L4131">
        <v>124</v>
      </c>
      <c r="M4131">
        <v>3</v>
      </c>
      <c r="N4131">
        <v>5</v>
      </c>
      <c r="O4131">
        <v>34.738999999999997</v>
      </c>
      <c r="P4131">
        <v>15.4537684</v>
      </c>
      <c r="Q4131">
        <v>8.6270000000000007</v>
      </c>
    </row>
    <row r="4132" spans="1:17" x14ac:dyDescent="0.2">
      <c r="A4132" s="30" t="str">
        <f>IF(C4132&amp;G4132&amp;D4132&lt;&gt;'Funnel setup'!$K$3&amp;'Funnel setup'!$K$4&amp;'Funnel setup'!$K$5,".",IF(A4131=".",1,A4131+1))</f>
        <v>.</v>
      </c>
      <c r="B4132" s="431" t="str">
        <f t="shared" si="64"/>
        <v>Knee Replacement PrimaryCCG of GP PracticeNHS HEREFORDSHIRE CCG (05F)Oxford Knee Score</v>
      </c>
      <c r="C4132" t="s">
        <v>249</v>
      </c>
      <c r="D4132" t="s">
        <v>87</v>
      </c>
      <c r="E4132" t="s">
        <v>504</v>
      </c>
      <c r="F4132" t="s">
        <v>505</v>
      </c>
      <c r="G4132" t="s">
        <v>16</v>
      </c>
      <c r="H4132">
        <v>179</v>
      </c>
      <c r="I4132">
        <v>20.983000000000001</v>
      </c>
      <c r="J4132">
        <v>37.619999999999997</v>
      </c>
      <c r="K4132">
        <v>16.637</v>
      </c>
      <c r="L4132">
        <v>172</v>
      </c>
      <c r="M4132">
        <v>2</v>
      </c>
      <c r="N4132">
        <v>5</v>
      </c>
      <c r="O4132">
        <v>36.700000000000003</v>
      </c>
      <c r="P4132">
        <v>17.415053799999999</v>
      </c>
      <c r="Q4132">
        <v>7.7869999999999999</v>
      </c>
    </row>
    <row r="4133" spans="1:17" x14ac:dyDescent="0.2">
      <c r="A4133" s="30" t="str">
        <f>IF(C4133&amp;G4133&amp;D4133&lt;&gt;'Funnel setup'!$K$3&amp;'Funnel setup'!$K$4&amp;'Funnel setup'!$K$5,".",IF(A4132=".",1,A4132+1))</f>
        <v>.</v>
      </c>
      <c r="B4133" s="431" t="str">
        <f t="shared" si="64"/>
        <v>Knee Replacement PrimaryCCG of GP PracticeNHS HERTS VALLEYS CCG (06N)Oxford Knee Score</v>
      </c>
      <c r="C4133" t="s">
        <v>249</v>
      </c>
      <c r="D4133" t="s">
        <v>87</v>
      </c>
      <c r="E4133" t="s">
        <v>507</v>
      </c>
      <c r="F4133" t="s">
        <v>508</v>
      </c>
      <c r="G4133" t="s">
        <v>16</v>
      </c>
      <c r="H4133">
        <v>385</v>
      </c>
      <c r="I4133">
        <v>19.597000000000001</v>
      </c>
      <c r="J4133">
        <v>35.667999999999999</v>
      </c>
      <c r="K4133">
        <v>16.07</v>
      </c>
      <c r="L4133">
        <v>357</v>
      </c>
      <c r="M4133">
        <v>5</v>
      </c>
      <c r="N4133">
        <v>23</v>
      </c>
      <c r="O4133">
        <v>35.081000000000003</v>
      </c>
      <c r="P4133">
        <v>15.795215000000001</v>
      </c>
      <c r="Q4133">
        <v>8.7780000000000005</v>
      </c>
    </row>
    <row r="4134" spans="1:17" x14ac:dyDescent="0.2">
      <c r="A4134" s="30" t="str">
        <f>IF(C4134&amp;G4134&amp;D4134&lt;&gt;'Funnel setup'!$K$3&amp;'Funnel setup'!$K$4&amp;'Funnel setup'!$K$5,".",IF(A4133=".",1,A4133+1))</f>
        <v>.</v>
      </c>
      <c r="B4134" s="431" t="str">
        <f t="shared" si="64"/>
        <v>Knee Replacement PrimaryCCG of GP PracticeNHS HEYWOOD, MIDDLETON AND ROCHDALE CCG (01D)Oxford Knee Score</v>
      </c>
      <c r="C4134" t="s">
        <v>249</v>
      </c>
      <c r="D4134" t="s">
        <v>87</v>
      </c>
      <c r="E4134" t="s">
        <v>510</v>
      </c>
      <c r="F4134" t="s">
        <v>511</v>
      </c>
      <c r="G4134" t="s">
        <v>16</v>
      </c>
      <c r="H4134">
        <v>90</v>
      </c>
      <c r="I4134">
        <v>16.933</v>
      </c>
      <c r="J4134">
        <v>34.244</v>
      </c>
      <c r="K4134">
        <v>17.311</v>
      </c>
      <c r="L4134">
        <v>85</v>
      </c>
      <c r="M4134">
        <v>1</v>
      </c>
      <c r="N4134">
        <v>4</v>
      </c>
      <c r="O4134">
        <v>36.204000000000001</v>
      </c>
      <c r="P4134">
        <v>16.918341170000001</v>
      </c>
      <c r="Q4134">
        <v>9.5429999999999993</v>
      </c>
    </row>
    <row r="4135" spans="1:17" x14ac:dyDescent="0.2">
      <c r="A4135" s="30" t="str">
        <f>IF(C4135&amp;G4135&amp;D4135&lt;&gt;'Funnel setup'!$K$3&amp;'Funnel setup'!$K$4&amp;'Funnel setup'!$K$5,".",IF(A4134=".",1,A4134+1))</f>
        <v>.</v>
      </c>
      <c r="B4135" s="431" t="str">
        <f t="shared" si="64"/>
        <v>Knee Replacement PrimaryCCG of GP PracticeNHS HIGH WEALD LEWES HAVENS CCG (99K)Oxford Knee Score</v>
      </c>
      <c r="C4135" t="s">
        <v>249</v>
      </c>
      <c r="D4135" t="s">
        <v>87</v>
      </c>
      <c r="E4135" t="s">
        <v>513</v>
      </c>
      <c r="F4135" t="s">
        <v>514</v>
      </c>
      <c r="G4135" t="s">
        <v>16</v>
      </c>
      <c r="H4135">
        <v>259</v>
      </c>
      <c r="I4135">
        <v>23.564</v>
      </c>
      <c r="J4135">
        <v>37.354999999999997</v>
      </c>
      <c r="K4135">
        <v>13.792</v>
      </c>
      <c r="L4135">
        <v>238</v>
      </c>
      <c r="M4135">
        <v>5</v>
      </c>
      <c r="N4135">
        <v>16</v>
      </c>
      <c r="O4135">
        <v>35.203000000000003</v>
      </c>
      <c r="P4135">
        <v>15.917961829999999</v>
      </c>
      <c r="Q4135">
        <v>7.8979999999999997</v>
      </c>
    </row>
    <row r="4136" spans="1:17" x14ac:dyDescent="0.2">
      <c r="A4136" s="30" t="str">
        <f>IF(C4136&amp;G4136&amp;D4136&lt;&gt;'Funnel setup'!$K$3&amp;'Funnel setup'!$K$4&amp;'Funnel setup'!$K$5,".",IF(A4135=".",1,A4135+1))</f>
        <v>.</v>
      </c>
      <c r="B4136" s="431" t="str">
        <f t="shared" si="64"/>
        <v>Knee Replacement PrimaryCCG of GP PracticeNHS HILLINGDON CCG (08G)Oxford Knee Score</v>
      </c>
      <c r="C4136" t="s">
        <v>249</v>
      </c>
      <c r="D4136" t="s">
        <v>87</v>
      </c>
      <c r="E4136" t="s">
        <v>516</v>
      </c>
      <c r="F4136" t="s">
        <v>517</v>
      </c>
      <c r="G4136" t="s">
        <v>16</v>
      </c>
      <c r="H4136">
        <v>132</v>
      </c>
      <c r="I4136">
        <v>19.826000000000001</v>
      </c>
      <c r="J4136">
        <v>32.143999999999998</v>
      </c>
      <c r="K4136">
        <v>12.318</v>
      </c>
      <c r="L4136">
        <v>121</v>
      </c>
      <c r="M4136">
        <v>1</v>
      </c>
      <c r="N4136">
        <v>10</v>
      </c>
      <c r="O4136">
        <v>32.363</v>
      </c>
      <c r="P4136">
        <v>13.077150509999999</v>
      </c>
      <c r="Q4136">
        <v>8.5169999999999995</v>
      </c>
    </row>
    <row r="4137" spans="1:17" x14ac:dyDescent="0.2">
      <c r="A4137" s="30" t="str">
        <f>IF(C4137&amp;G4137&amp;D4137&lt;&gt;'Funnel setup'!$K$3&amp;'Funnel setup'!$K$4&amp;'Funnel setup'!$K$5,".",IF(A4136=".",1,A4136+1))</f>
        <v>.</v>
      </c>
      <c r="B4137" s="431" t="str">
        <f t="shared" si="64"/>
        <v>Knee Replacement PrimaryCCG of GP PracticeNHS HORSHAM AND MID SUSSEX CCG (09X)Oxford Knee Score</v>
      </c>
      <c r="C4137" t="s">
        <v>249</v>
      </c>
      <c r="D4137" t="s">
        <v>87</v>
      </c>
      <c r="E4137" t="s">
        <v>519</v>
      </c>
      <c r="F4137" t="s">
        <v>520</v>
      </c>
      <c r="G4137" t="s">
        <v>16</v>
      </c>
      <c r="H4137">
        <v>179</v>
      </c>
      <c r="I4137">
        <v>23.57</v>
      </c>
      <c r="J4137">
        <v>37.893999999999998</v>
      </c>
      <c r="K4137">
        <v>14.324</v>
      </c>
      <c r="L4137">
        <v>172</v>
      </c>
      <c r="M4137">
        <v>0</v>
      </c>
      <c r="N4137">
        <v>7</v>
      </c>
      <c r="O4137">
        <v>35.32</v>
      </c>
      <c r="P4137">
        <v>16.03435588</v>
      </c>
      <c r="Q4137">
        <v>7.0179999999999998</v>
      </c>
    </row>
    <row r="4138" spans="1:17" x14ac:dyDescent="0.2">
      <c r="A4138" s="30" t="str">
        <f>IF(C4138&amp;G4138&amp;D4138&lt;&gt;'Funnel setup'!$K$3&amp;'Funnel setup'!$K$4&amp;'Funnel setup'!$K$5,".",IF(A4137=".",1,A4137+1))</f>
        <v>.</v>
      </c>
      <c r="B4138" s="431" t="str">
        <f t="shared" si="64"/>
        <v>Knee Replacement PrimaryCCG of GP PracticeNHS HOUNSLOW CCG (07Y)Oxford Knee Score</v>
      </c>
      <c r="C4138" t="s">
        <v>249</v>
      </c>
      <c r="D4138" t="s">
        <v>87</v>
      </c>
      <c r="E4138" t="s">
        <v>522</v>
      </c>
      <c r="F4138" t="s">
        <v>523</v>
      </c>
      <c r="G4138" t="s">
        <v>16</v>
      </c>
      <c r="H4138">
        <v>75</v>
      </c>
      <c r="I4138">
        <v>15.693</v>
      </c>
      <c r="J4138">
        <v>31.227</v>
      </c>
      <c r="K4138">
        <v>15.532999999999999</v>
      </c>
      <c r="L4138">
        <v>69</v>
      </c>
      <c r="M4138">
        <v>0</v>
      </c>
      <c r="N4138">
        <v>6</v>
      </c>
      <c r="O4138">
        <v>34.283999999999999</v>
      </c>
      <c r="P4138">
        <v>14.998976369999999</v>
      </c>
      <c r="Q4138">
        <v>10.198</v>
      </c>
    </row>
    <row r="4139" spans="1:17" x14ac:dyDescent="0.2">
      <c r="A4139" s="30" t="str">
        <f>IF(C4139&amp;G4139&amp;D4139&lt;&gt;'Funnel setup'!$K$3&amp;'Funnel setup'!$K$4&amp;'Funnel setup'!$K$5,".",IF(A4138=".",1,A4138+1))</f>
        <v>.</v>
      </c>
      <c r="B4139" s="431" t="str">
        <f t="shared" si="64"/>
        <v>Knee Replacement PrimaryCCG of GP PracticeNHS HULL CCG (03F)Oxford Knee Score</v>
      </c>
      <c r="C4139" t="s">
        <v>249</v>
      </c>
      <c r="D4139" t="s">
        <v>87</v>
      </c>
      <c r="E4139" t="s">
        <v>525</v>
      </c>
      <c r="F4139" t="s">
        <v>526</v>
      </c>
      <c r="G4139" t="s">
        <v>16</v>
      </c>
      <c r="H4139">
        <v>243</v>
      </c>
      <c r="I4139">
        <v>18.690999999999999</v>
      </c>
      <c r="J4139">
        <v>33.86</v>
      </c>
      <c r="K4139">
        <v>15.169</v>
      </c>
      <c r="L4139">
        <v>221</v>
      </c>
      <c r="M4139">
        <v>3</v>
      </c>
      <c r="N4139">
        <v>19</v>
      </c>
      <c r="O4139">
        <v>34.796999999999997</v>
      </c>
      <c r="P4139">
        <v>15.511210609999999</v>
      </c>
      <c r="Q4139">
        <v>9.4789999999999992</v>
      </c>
    </row>
    <row r="4140" spans="1:17" x14ac:dyDescent="0.2">
      <c r="A4140" s="30" t="str">
        <f>IF(C4140&amp;G4140&amp;D4140&lt;&gt;'Funnel setup'!$K$3&amp;'Funnel setup'!$K$4&amp;'Funnel setup'!$K$5,".",IF(A4139=".",1,A4139+1))</f>
        <v>.</v>
      </c>
      <c r="B4140" s="431" t="str">
        <f t="shared" si="64"/>
        <v>Knee Replacement PrimaryCCG of GP PracticeNHS IPSWICH AND EAST SUFFOLK CCG (06L)Oxford Knee Score</v>
      </c>
      <c r="C4140" t="s">
        <v>249</v>
      </c>
      <c r="D4140" t="s">
        <v>87</v>
      </c>
      <c r="E4140" t="s">
        <v>528</v>
      </c>
      <c r="F4140" t="s">
        <v>529</v>
      </c>
      <c r="G4140" t="s">
        <v>16</v>
      </c>
      <c r="H4140">
        <v>245</v>
      </c>
      <c r="I4140">
        <v>18.905999999999999</v>
      </c>
      <c r="J4140">
        <v>37.673000000000002</v>
      </c>
      <c r="K4140">
        <v>18.766999999999999</v>
      </c>
      <c r="L4140">
        <v>237</v>
      </c>
      <c r="M4140">
        <v>3</v>
      </c>
      <c r="N4140">
        <v>5</v>
      </c>
      <c r="O4140">
        <v>36.777000000000001</v>
      </c>
      <c r="P4140">
        <v>17.492009029999998</v>
      </c>
      <c r="Q4140">
        <v>7.6689999999999996</v>
      </c>
    </row>
    <row r="4141" spans="1:17" x14ac:dyDescent="0.2">
      <c r="A4141" s="30" t="str">
        <f>IF(C4141&amp;G4141&amp;D4141&lt;&gt;'Funnel setup'!$K$3&amp;'Funnel setup'!$K$4&amp;'Funnel setup'!$K$5,".",IF(A4140=".",1,A4140+1))</f>
        <v>.</v>
      </c>
      <c r="B4141" s="431" t="str">
        <f t="shared" si="64"/>
        <v>Knee Replacement PrimaryCCG of GP PracticeNHS ISLE OF WIGHT CCG (10L)Oxford Knee Score</v>
      </c>
      <c r="C4141" t="s">
        <v>249</v>
      </c>
      <c r="D4141" t="s">
        <v>87</v>
      </c>
      <c r="E4141" t="s">
        <v>531</v>
      </c>
      <c r="F4141" t="s">
        <v>532</v>
      </c>
      <c r="G4141" t="s">
        <v>16</v>
      </c>
      <c r="H4141">
        <v>113</v>
      </c>
      <c r="I4141">
        <v>18.646000000000001</v>
      </c>
      <c r="J4141">
        <v>34.265000000000001</v>
      </c>
      <c r="K4141">
        <v>15.619</v>
      </c>
      <c r="L4141">
        <v>105</v>
      </c>
      <c r="M4141">
        <v>0</v>
      </c>
      <c r="N4141">
        <v>8</v>
      </c>
      <c r="O4141">
        <v>34.67</v>
      </c>
      <c r="P4141">
        <v>15.38464716</v>
      </c>
      <c r="Q4141">
        <v>9.3680000000000003</v>
      </c>
    </row>
    <row r="4142" spans="1:17" x14ac:dyDescent="0.2">
      <c r="A4142" s="30" t="str">
        <f>IF(C4142&amp;G4142&amp;D4142&lt;&gt;'Funnel setup'!$K$3&amp;'Funnel setup'!$K$4&amp;'Funnel setup'!$K$5,".",IF(A4141=".",1,A4141+1))</f>
        <v>.</v>
      </c>
      <c r="B4142" s="431" t="str">
        <f t="shared" si="64"/>
        <v>Knee Replacement PrimaryCCG of GP PracticeNHS ISLINGTON CCG (08H)Oxford Knee Score</v>
      </c>
      <c r="C4142" t="s">
        <v>249</v>
      </c>
      <c r="D4142" t="s">
        <v>87</v>
      </c>
      <c r="E4142" t="s">
        <v>534</v>
      </c>
      <c r="F4142" t="s">
        <v>535</v>
      </c>
      <c r="G4142" t="s">
        <v>16</v>
      </c>
      <c r="H4142">
        <v>20</v>
      </c>
      <c r="I4142">
        <v>19</v>
      </c>
      <c r="J4142">
        <v>32.450000000000003</v>
      </c>
      <c r="K4142">
        <v>13.45</v>
      </c>
      <c r="L4142">
        <v>18</v>
      </c>
      <c r="M4142">
        <v>0</v>
      </c>
      <c r="N4142">
        <v>2</v>
      </c>
      <c r="O4142" t="s">
        <v>53</v>
      </c>
      <c r="P4142" t="s">
        <v>53</v>
      </c>
      <c r="Q4142" t="s">
        <v>53</v>
      </c>
    </row>
    <row r="4143" spans="1:17" x14ac:dyDescent="0.2">
      <c r="A4143" s="30" t="str">
        <f>IF(C4143&amp;G4143&amp;D4143&lt;&gt;'Funnel setup'!$K$3&amp;'Funnel setup'!$K$4&amp;'Funnel setup'!$K$5,".",IF(A4142=".",1,A4142+1))</f>
        <v>.</v>
      </c>
      <c r="B4143" s="431" t="str">
        <f t="shared" si="64"/>
        <v>Knee Replacement PrimaryCCG of GP PracticeNHS KERNOW CCG (11N)Oxford Knee Score</v>
      </c>
      <c r="C4143" t="s">
        <v>249</v>
      </c>
      <c r="D4143" t="s">
        <v>87</v>
      </c>
      <c r="E4143" t="s">
        <v>537</v>
      </c>
      <c r="F4143" t="s">
        <v>538</v>
      </c>
      <c r="G4143" t="s">
        <v>16</v>
      </c>
      <c r="H4143">
        <v>661</v>
      </c>
      <c r="I4143">
        <v>20.67</v>
      </c>
      <c r="J4143">
        <v>37.473999999999997</v>
      </c>
      <c r="K4143">
        <v>16.803000000000001</v>
      </c>
      <c r="L4143">
        <v>628</v>
      </c>
      <c r="M4143">
        <v>9</v>
      </c>
      <c r="N4143">
        <v>24</v>
      </c>
      <c r="O4143">
        <v>36.875</v>
      </c>
      <c r="P4143">
        <v>17.589772880000002</v>
      </c>
      <c r="Q4143">
        <v>7.8440000000000003</v>
      </c>
    </row>
    <row r="4144" spans="1:17" x14ac:dyDescent="0.2">
      <c r="A4144" s="30" t="str">
        <f>IF(C4144&amp;G4144&amp;D4144&lt;&gt;'Funnel setup'!$K$3&amp;'Funnel setup'!$K$4&amp;'Funnel setup'!$K$5,".",IF(A4143=".",1,A4143+1))</f>
        <v>.</v>
      </c>
      <c r="B4144" s="431" t="str">
        <f t="shared" si="64"/>
        <v>Knee Replacement PrimaryCCG of GP PracticeNHS KINGSTON CCG (08J)Oxford Knee Score</v>
      </c>
      <c r="C4144" t="s">
        <v>249</v>
      </c>
      <c r="D4144" t="s">
        <v>87</v>
      </c>
      <c r="E4144" t="s">
        <v>540</v>
      </c>
      <c r="F4144" t="s">
        <v>541</v>
      </c>
      <c r="G4144" t="s">
        <v>16</v>
      </c>
      <c r="H4144">
        <v>52</v>
      </c>
      <c r="I4144">
        <v>18.25</v>
      </c>
      <c r="J4144">
        <v>37.115000000000002</v>
      </c>
      <c r="K4144">
        <v>18.864999999999998</v>
      </c>
      <c r="L4144">
        <v>51</v>
      </c>
      <c r="M4144">
        <v>0</v>
      </c>
      <c r="N4144">
        <v>1</v>
      </c>
      <c r="O4144">
        <v>36.804000000000002</v>
      </c>
      <c r="P4144">
        <v>17.518890720000002</v>
      </c>
      <c r="Q4144">
        <v>7.4870000000000001</v>
      </c>
    </row>
    <row r="4145" spans="1:17" x14ac:dyDescent="0.2">
      <c r="A4145" s="30" t="str">
        <f>IF(C4145&amp;G4145&amp;D4145&lt;&gt;'Funnel setup'!$K$3&amp;'Funnel setup'!$K$4&amp;'Funnel setup'!$K$5,".",IF(A4144=".",1,A4144+1))</f>
        <v>.</v>
      </c>
      <c r="B4145" s="431" t="str">
        <f t="shared" si="64"/>
        <v>Knee Replacement PrimaryCCG of GP PracticeNHS KNOWSLEY CCG (01J)Oxford Knee Score</v>
      </c>
      <c r="C4145" t="s">
        <v>249</v>
      </c>
      <c r="D4145" t="s">
        <v>87</v>
      </c>
      <c r="E4145" t="s">
        <v>543</v>
      </c>
      <c r="F4145" t="s">
        <v>544</v>
      </c>
      <c r="G4145" t="s">
        <v>16</v>
      </c>
      <c r="H4145">
        <v>127</v>
      </c>
      <c r="I4145">
        <v>17.945</v>
      </c>
      <c r="J4145">
        <v>30.204999999999998</v>
      </c>
      <c r="K4145">
        <v>12.26</v>
      </c>
      <c r="L4145">
        <v>110</v>
      </c>
      <c r="M4145">
        <v>0</v>
      </c>
      <c r="N4145">
        <v>17</v>
      </c>
      <c r="O4145">
        <v>32.134</v>
      </c>
      <c r="P4145">
        <v>12.848456390000001</v>
      </c>
      <c r="Q4145">
        <v>9.99</v>
      </c>
    </row>
    <row r="4146" spans="1:17" x14ac:dyDescent="0.2">
      <c r="A4146" s="30" t="str">
        <f>IF(C4146&amp;G4146&amp;D4146&lt;&gt;'Funnel setup'!$K$3&amp;'Funnel setup'!$K$4&amp;'Funnel setup'!$K$5,".",IF(A4145=".",1,A4145+1))</f>
        <v>.</v>
      </c>
      <c r="B4146" s="431" t="str">
        <f t="shared" si="64"/>
        <v>Knee Replacement PrimaryCCG of GP PracticeNHS LAMBETH CCG (08K)Oxford Knee Score</v>
      </c>
      <c r="C4146" t="s">
        <v>249</v>
      </c>
      <c r="D4146" t="s">
        <v>87</v>
      </c>
      <c r="E4146" t="s">
        <v>546</v>
      </c>
      <c r="F4146" t="s">
        <v>547</v>
      </c>
      <c r="G4146" t="s">
        <v>16</v>
      </c>
      <c r="H4146">
        <v>40</v>
      </c>
      <c r="I4146">
        <v>15.975</v>
      </c>
      <c r="J4146">
        <v>30.35</v>
      </c>
      <c r="K4146">
        <v>14.375</v>
      </c>
      <c r="L4146">
        <v>37</v>
      </c>
      <c r="M4146">
        <v>0</v>
      </c>
      <c r="N4146">
        <v>3</v>
      </c>
      <c r="O4146">
        <v>33.161000000000001</v>
      </c>
      <c r="P4146">
        <v>13.875373160000001</v>
      </c>
      <c r="Q4146">
        <v>10.025</v>
      </c>
    </row>
    <row r="4147" spans="1:17" x14ac:dyDescent="0.2">
      <c r="A4147" s="30" t="str">
        <f>IF(C4147&amp;G4147&amp;D4147&lt;&gt;'Funnel setup'!$K$3&amp;'Funnel setup'!$K$4&amp;'Funnel setup'!$K$5,".",IF(A4146=".",1,A4146+1))</f>
        <v>.</v>
      </c>
      <c r="B4147" s="431" t="str">
        <f t="shared" si="64"/>
        <v>Knee Replacement PrimaryCCG of GP PracticeNHS LANCASHIRE NORTH CCG (01K)Oxford Knee Score</v>
      </c>
      <c r="C4147" t="s">
        <v>249</v>
      </c>
      <c r="D4147" t="s">
        <v>87</v>
      </c>
      <c r="E4147" t="s">
        <v>549</v>
      </c>
      <c r="F4147" t="s">
        <v>550</v>
      </c>
      <c r="G4147" t="s">
        <v>16</v>
      </c>
      <c r="H4147">
        <v>179</v>
      </c>
      <c r="I4147">
        <v>20.324000000000002</v>
      </c>
      <c r="J4147">
        <v>36.927</v>
      </c>
      <c r="K4147">
        <v>16.603000000000002</v>
      </c>
      <c r="L4147">
        <v>172</v>
      </c>
      <c r="M4147">
        <v>0</v>
      </c>
      <c r="N4147">
        <v>7</v>
      </c>
      <c r="O4147">
        <v>36.22</v>
      </c>
      <c r="P4147">
        <v>16.934893840000001</v>
      </c>
      <c r="Q4147">
        <v>8.2469999999999999</v>
      </c>
    </row>
    <row r="4148" spans="1:17" x14ac:dyDescent="0.2">
      <c r="A4148" s="30" t="str">
        <f>IF(C4148&amp;G4148&amp;D4148&lt;&gt;'Funnel setup'!$K$3&amp;'Funnel setup'!$K$4&amp;'Funnel setup'!$K$5,".",IF(A4147=".",1,A4147+1))</f>
        <v>.</v>
      </c>
      <c r="B4148" s="431" t="str">
        <f t="shared" si="64"/>
        <v>Knee Replacement PrimaryCCG of GP PracticeNHS LEEDS NORTH CCG (02V)Oxford Knee Score</v>
      </c>
      <c r="C4148" t="s">
        <v>249</v>
      </c>
      <c r="D4148" t="s">
        <v>87</v>
      </c>
      <c r="E4148" t="s">
        <v>552</v>
      </c>
      <c r="F4148" t="s">
        <v>337</v>
      </c>
      <c r="G4148" t="s">
        <v>16</v>
      </c>
      <c r="H4148">
        <v>160</v>
      </c>
      <c r="I4148">
        <v>21.969000000000001</v>
      </c>
      <c r="J4148">
        <v>36.337000000000003</v>
      </c>
      <c r="K4148">
        <v>14.369</v>
      </c>
      <c r="L4148">
        <v>150</v>
      </c>
      <c r="M4148">
        <v>2</v>
      </c>
      <c r="N4148">
        <v>8</v>
      </c>
      <c r="O4148">
        <v>35.284999999999997</v>
      </c>
      <c r="P4148">
        <v>15.999805719999999</v>
      </c>
      <c r="Q4148">
        <v>7.569</v>
      </c>
    </row>
    <row r="4149" spans="1:17" x14ac:dyDescent="0.2">
      <c r="A4149" s="30" t="str">
        <f>IF(C4149&amp;G4149&amp;D4149&lt;&gt;'Funnel setup'!$K$3&amp;'Funnel setup'!$K$4&amp;'Funnel setup'!$K$5,".",IF(A4148=".",1,A4148+1))</f>
        <v>.</v>
      </c>
      <c r="B4149" s="431" t="str">
        <f t="shared" si="64"/>
        <v>Knee Replacement PrimaryCCG of GP PracticeNHS LEEDS SOUTH AND EAST CCG (03G)Oxford Knee Score</v>
      </c>
      <c r="C4149" t="s">
        <v>249</v>
      </c>
      <c r="D4149" t="s">
        <v>87</v>
      </c>
      <c r="E4149" t="s">
        <v>396</v>
      </c>
      <c r="F4149" t="s">
        <v>397</v>
      </c>
      <c r="G4149" t="s">
        <v>16</v>
      </c>
      <c r="H4149">
        <v>233</v>
      </c>
      <c r="I4149">
        <v>20.175999999999998</v>
      </c>
      <c r="J4149">
        <v>36.082000000000001</v>
      </c>
      <c r="K4149">
        <v>15.906000000000001</v>
      </c>
      <c r="L4149">
        <v>221</v>
      </c>
      <c r="M4149">
        <v>5</v>
      </c>
      <c r="N4149">
        <v>7</v>
      </c>
      <c r="O4149">
        <v>36.006999999999998</v>
      </c>
      <c r="P4149">
        <v>16.72129748</v>
      </c>
      <c r="Q4149">
        <v>8.0609999999999999</v>
      </c>
    </row>
    <row r="4150" spans="1:17" x14ac:dyDescent="0.2">
      <c r="A4150" s="30" t="str">
        <f>IF(C4150&amp;G4150&amp;D4150&lt;&gt;'Funnel setup'!$K$3&amp;'Funnel setup'!$K$4&amp;'Funnel setup'!$K$5,".",IF(A4149=".",1,A4149+1))</f>
        <v>.</v>
      </c>
      <c r="B4150" s="431" t="str">
        <f t="shared" si="64"/>
        <v>Knee Replacement PrimaryCCG of GP PracticeNHS LEEDS WEST CCG (03C)Oxford Knee Score</v>
      </c>
      <c r="C4150" t="s">
        <v>249</v>
      </c>
      <c r="D4150" t="s">
        <v>87</v>
      </c>
      <c r="E4150" t="s">
        <v>399</v>
      </c>
      <c r="F4150" t="s">
        <v>400</v>
      </c>
      <c r="G4150" t="s">
        <v>16</v>
      </c>
      <c r="H4150">
        <v>256</v>
      </c>
      <c r="I4150">
        <v>20</v>
      </c>
      <c r="J4150">
        <v>34.988</v>
      </c>
      <c r="K4150">
        <v>14.988</v>
      </c>
      <c r="L4150">
        <v>236</v>
      </c>
      <c r="M4150">
        <v>5</v>
      </c>
      <c r="N4150">
        <v>15</v>
      </c>
      <c r="O4150">
        <v>34.679000000000002</v>
      </c>
      <c r="P4150">
        <v>15.39328132</v>
      </c>
      <c r="Q4150">
        <v>8.782</v>
      </c>
    </row>
    <row r="4151" spans="1:17" x14ac:dyDescent="0.2">
      <c r="A4151" s="30" t="str">
        <f>IF(C4151&amp;G4151&amp;D4151&lt;&gt;'Funnel setup'!$K$3&amp;'Funnel setup'!$K$4&amp;'Funnel setup'!$K$5,".",IF(A4150=".",1,A4150+1))</f>
        <v>.</v>
      </c>
      <c r="B4151" s="431" t="str">
        <f t="shared" si="64"/>
        <v>Knee Replacement PrimaryCCG of GP PracticeNHS LEICESTER CITY CCG (04C)Oxford Knee Score</v>
      </c>
      <c r="C4151" t="s">
        <v>249</v>
      </c>
      <c r="D4151" t="s">
        <v>87</v>
      </c>
      <c r="E4151" t="s">
        <v>554</v>
      </c>
      <c r="F4151" t="s">
        <v>555</v>
      </c>
      <c r="G4151" t="s">
        <v>16</v>
      </c>
      <c r="H4151">
        <v>197</v>
      </c>
      <c r="I4151">
        <v>14.807</v>
      </c>
      <c r="J4151">
        <v>31.584</v>
      </c>
      <c r="K4151">
        <v>16.777000000000001</v>
      </c>
      <c r="L4151">
        <v>187</v>
      </c>
      <c r="M4151">
        <v>3</v>
      </c>
      <c r="N4151">
        <v>7</v>
      </c>
      <c r="O4151">
        <v>35.619999999999997</v>
      </c>
      <c r="P4151">
        <v>16.33504439</v>
      </c>
      <c r="Q4151">
        <v>8.702</v>
      </c>
    </row>
    <row r="4152" spans="1:17" x14ac:dyDescent="0.2">
      <c r="A4152" s="30" t="str">
        <f>IF(C4152&amp;G4152&amp;D4152&lt;&gt;'Funnel setup'!$K$3&amp;'Funnel setup'!$K$4&amp;'Funnel setup'!$K$5,".",IF(A4151=".",1,A4151+1))</f>
        <v>.</v>
      </c>
      <c r="B4152" s="431" t="str">
        <f t="shared" si="64"/>
        <v>Knee Replacement PrimaryCCG of GP PracticeNHS LEWISHAM CCG (08L)Oxford Knee Score</v>
      </c>
      <c r="C4152" t="s">
        <v>249</v>
      </c>
      <c r="D4152" t="s">
        <v>87</v>
      </c>
      <c r="E4152" t="s">
        <v>557</v>
      </c>
      <c r="F4152" t="s">
        <v>558</v>
      </c>
      <c r="G4152" t="s">
        <v>16</v>
      </c>
      <c r="H4152">
        <v>61</v>
      </c>
      <c r="I4152">
        <v>18.492000000000001</v>
      </c>
      <c r="J4152">
        <v>31.704999999999998</v>
      </c>
      <c r="K4152">
        <v>13.212999999999999</v>
      </c>
      <c r="L4152">
        <v>52</v>
      </c>
      <c r="M4152">
        <v>0</v>
      </c>
      <c r="N4152">
        <v>9</v>
      </c>
      <c r="O4152">
        <v>33.834000000000003</v>
      </c>
      <c r="P4152">
        <v>14.548260089999999</v>
      </c>
      <c r="Q4152">
        <v>9.2669999999999995</v>
      </c>
    </row>
    <row r="4153" spans="1:17" x14ac:dyDescent="0.2">
      <c r="A4153" s="30" t="str">
        <f>IF(C4153&amp;G4153&amp;D4153&lt;&gt;'Funnel setup'!$K$3&amp;'Funnel setup'!$K$4&amp;'Funnel setup'!$K$5,".",IF(A4152=".",1,A4152+1))</f>
        <v>.</v>
      </c>
      <c r="B4153" s="431" t="str">
        <f t="shared" si="64"/>
        <v>Knee Replacement PrimaryCCG of GP PracticeNHS LINCOLNSHIRE EAST CCG (03T)Oxford Knee Score</v>
      </c>
      <c r="C4153" t="s">
        <v>249</v>
      </c>
      <c r="D4153" t="s">
        <v>87</v>
      </c>
      <c r="E4153" t="s">
        <v>560</v>
      </c>
      <c r="F4153" t="s">
        <v>561</v>
      </c>
      <c r="G4153" t="s">
        <v>16</v>
      </c>
      <c r="H4153">
        <v>246</v>
      </c>
      <c r="I4153">
        <v>18.736000000000001</v>
      </c>
      <c r="J4153">
        <v>35.927</v>
      </c>
      <c r="K4153">
        <v>17.190999999999999</v>
      </c>
      <c r="L4153">
        <v>227</v>
      </c>
      <c r="M4153">
        <v>6</v>
      </c>
      <c r="N4153">
        <v>13</v>
      </c>
      <c r="O4153">
        <v>36.200000000000003</v>
      </c>
      <c r="P4153">
        <v>16.914860279999999</v>
      </c>
      <c r="Q4153">
        <v>9.1660000000000004</v>
      </c>
    </row>
    <row r="4154" spans="1:17" x14ac:dyDescent="0.2">
      <c r="A4154" s="30" t="str">
        <f>IF(C4154&amp;G4154&amp;D4154&lt;&gt;'Funnel setup'!$K$3&amp;'Funnel setup'!$K$4&amp;'Funnel setup'!$K$5,".",IF(A4153=".",1,A4153+1))</f>
        <v>.</v>
      </c>
      <c r="B4154" s="431" t="str">
        <f t="shared" si="64"/>
        <v>Knee Replacement PrimaryCCG of GP PracticeNHS LINCOLNSHIRE WEST CCG (04D)Oxford Knee Score</v>
      </c>
      <c r="C4154" t="s">
        <v>249</v>
      </c>
      <c r="D4154" t="s">
        <v>87</v>
      </c>
      <c r="E4154" t="s">
        <v>408</v>
      </c>
      <c r="F4154" t="s">
        <v>409</v>
      </c>
      <c r="G4154" t="s">
        <v>16</v>
      </c>
      <c r="H4154">
        <v>203</v>
      </c>
      <c r="I4154">
        <v>20.207000000000001</v>
      </c>
      <c r="J4154">
        <v>36.851999999999997</v>
      </c>
      <c r="K4154">
        <v>16.645</v>
      </c>
      <c r="L4154">
        <v>193</v>
      </c>
      <c r="M4154">
        <v>3</v>
      </c>
      <c r="N4154">
        <v>7</v>
      </c>
      <c r="O4154">
        <v>35.896999999999998</v>
      </c>
      <c r="P4154">
        <v>16.611669580000001</v>
      </c>
      <c r="Q4154">
        <v>7.2869999999999999</v>
      </c>
    </row>
    <row r="4155" spans="1:17" x14ac:dyDescent="0.2">
      <c r="A4155" s="30" t="str">
        <f>IF(C4155&amp;G4155&amp;D4155&lt;&gt;'Funnel setup'!$K$3&amp;'Funnel setup'!$K$4&amp;'Funnel setup'!$K$5,".",IF(A4154=".",1,A4154+1))</f>
        <v>.</v>
      </c>
      <c r="B4155" s="431" t="str">
        <f t="shared" si="64"/>
        <v>Knee Replacement PrimaryCCG of GP PracticeNHS LIVERPOOL CCG (99A)Oxford Knee Score</v>
      </c>
      <c r="C4155" t="s">
        <v>249</v>
      </c>
      <c r="D4155" t="s">
        <v>87</v>
      </c>
      <c r="E4155" t="s">
        <v>411</v>
      </c>
      <c r="F4155" t="s">
        <v>412</v>
      </c>
      <c r="G4155" t="s">
        <v>16</v>
      </c>
      <c r="H4155">
        <v>269</v>
      </c>
      <c r="I4155">
        <v>16.832999999999998</v>
      </c>
      <c r="J4155">
        <v>32.554000000000002</v>
      </c>
      <c r="K4155">
        <v>15.721</v>
      </c>
      <c r="L4155">
        <v>254</v>
      </c>
      <c r="M4155">
        <v>3</v>
      </c>
      <c r="N4155">
        <v>12</v>
      </c>
      <c r="O4155">
        <v>34.825000000000003</v>
      </c>
      <c r="P4155">
        <v>15.539510829999999</v>
      </c>
      <c r="Q4155">
        <v>8.7899999999999991</v>
      </c>
    </row>
    <row r="4156" spans="1:17" x14ac:dyDescent="0.2">
      <c r="A4156" s="30" t="str">
        <f>IF(C4156&amp;G4156&amp;D4156&lt;&gt;'Funnel setup'!$K$3&amp;'Funnel setup'!$K$4&amp;'Funnel setup'!$K$5,".",IF(A4155=".",1,A4155+1))</f>
        <v>.</v>
      </c>
      <c r="B4156" s="431" t="str">
        <f t="shared" si="64"/>
        <v>Knee Replacement PrimaryCCG of GP PracticeNHS LUTON CCG (06P)Oxford Knee Score</v>
      </c>
      <c r="C4156" t="s">
        <v>249</v>
      </c>
      <c r="D4156" t="s">
        <v>87</v>
      </c>
      <c r="E4156" t="s">
        <v>414</v>
      </c>
      <c r="F4156" t="s">
        <v>415</v>
      </c>
      <c r="G4156" t="s">
        <v>16</v>
      </c>
      <c r="H4156">
        <v>118</v>
      </c>
      <c r="I4156">
        <v>16.033999999999999</v>
      </c>
      <c r="J4156">
        <v>33.372999999999998</v>
      </c>
      <c r="K4156">
        <v>17.338999999999999</v>
      </c>
      <c r="L4156">
        <v>112</v>
      </c>
      <c r="M4156">
        <v>2</v>
      </c>
      <c r="N4156">
        <v>4</v>
      </c>
      <c r="O4156">
        <v>35.619</v>
      </c>
      <c r="P4156">
        <v>16.333320830000002</v>
      </c>
      <c r="Q4156">
        <v>9.3510000000000009</v>
      </c>
    </row>
    <row r="4157" spans="1:17" x14ac:dyDescent="0.2">
      <c r="A4157" s="30" t="str">
        <f>IF(C4157&amp;G4157&amp;D4157&lt;&gt;'Funnel setup'!$K$3&amp;'Funnel setup'!$K$4&amp;'Funnel setup'!$K$5,".",IF(A4156=".",1,A4156+1))</f>
        <v>.</v>
      </c>
      <c r="B4157" s="431" t="str">
        <f t="shared" si="64"/>
        <v>Knee Replacement PrimaryCCG of GP PracticeNHS MANSFIELD AND ASHFIELD CCG (04E)Oxford Knee Score</v>
      </c>
      <c r="C4157" t="s">
        <v>249</v>
      </c>
      <c r="D4157" t="s">
        <v>87</v>
      </c>
      <c r="E4157" t="s">
        <v>417</v>
      </c>
      <c r="F4157" t="s">
        <v>418</v>
      </c>
      <c r="G4157" t="s">
        <v>16</v>
      </c>
      <c r="H4157">
        <v>130</v>
      </c>
      <c r="I4157">
        <v>16.053999999999998</v>
      </c>
      <c r="J4157">
        <v>31.661999999999999</v>
      </c>
      <c r="K4157">
        <v>15.608000000000001</v>
      </c>
      <c r="L4157">
        <v>118</v>
      </c>
      <c r="M4157">
        <v>0</v>
      </c>
      <c r="N4157">
        <v>12</v>
      </c>
      <c r="O4157">
        <v>33.476999999999997</v>
      </c>
      <c r="P4157">
        <v>14.191430349999999</v>
      </c>
      <c r="Q4157">
        <v>10.122999999999999</v>
      </c>
    </row>
    <row r="4158" spans="1:17" x14ac:dyDescent="0.2">
      <c r="A4158" s="30" t="str">
        <f>IF(C4158&amp;G4158&amp;D4158&lt;&gt;'Funnel setup'!$K$3&amp;'Funnel setup'!$K$4&amp;'Funnel setup'!$K$5,".",IF(A4157=".",1,A4157+1))</f>
        <v>.</v>
      </c>
      <c r="B4158" s="431" t="str">
        <f t="shared" si="64"/>
        <v>Knee Replacement PrimaryCCG of GP PracticeNHS MEDWAY CCG (09W)Oxford Knee Score</v>
      </c>
      <c r="C4158" t="s">
        <v>249</v>
      </c>
      <c r="D4158" t="s">
        <v>87</v>
      </c>
      <c r="E4158" t="s">
        <v>610</v>
      </c>
      <c r="F4158" t="s">
        <v>611</v>
      </c>
      <c r="G4158" t="s">
        <v>16</v>
      </c>
      <c r="H4158">
        <v>179</v>
      </c>
      <c r="I4158">
        <v>18.536000000000001</v>
      </c>
      <c r="J4158">
        <v>34.899000000000001</v>
      </c>
      <c r="K4158">
        <v>16.363</v>
      </c>
      <c r="L4158">
        <v>165</v>
      </c>
      <c r="M4158">
        <v>2</v>
      </c>
      <c r="N4158">
        <v>12</v>
      </c>
      <c r="O4158">
        <v>35.299999999999997</v>
      </c>
      <c r="P4158">
        <v>16.014380639999999</v>
      </c>
      <c r="Q4158">
        <v>9.0389999999999997</v>
      </c>
    </row>
    <row r="4159" spans="1:17" x14ac:dyDescent="0.2">
      <c r="A4159" s="30" t="str">
        <f>IF(C4159&amp;G4159&amp;D4159&lt;&gt;'Funnel setup'!$K$3&amp;'Funnel setup'!$K$4&amp;'Funnel setup'!$K$5,".",IF(A4158=".",1,A4158+1))</f>
        <v>.</v>
      </c>
      <c r="B4159" s="431" t="str">
        <f t="shared" si="64"/>
        <v>Knee Replacement PrimaryCCG of GP PracticeNHS MERTON CCG (08R)Oxford Knee Score</v>
      </c>
      <c r="C4159" t="s">
        <v>249</v>
      </c>
      <c r="D4159" t="s">
        <v>87</v>
      </c>
      <c r="E4159" t="s">
        <v>613</v>
      </c>
      <c r="F4159" t="s">
        <v>614</v>
      </c>
      <c r="G4159" t="s">
        <v>16</v>
      </c>
      <c r="H4159">
        <v>57</v>
      </c>
      <c r="I4159">
        <v>19.404</v>
      </c>
      <c r="J4159">
        <v>31.719000000000001</v>
      </c>
      <c r="K4159">
        <v>12.316000000000001</v>
      </c>
      <c r="L4159">
        <v>49</v>
      </c>
      <c r="M4159">
        <v>2</v>
      </c>
      <c r="N4159">
        <v>6</v>
      </c>
      <c r="O4159">
        <v>32.079000000000001</v>
      </c>
      <c r="P4159">
        <v>12.79325307</v>
      </c>
      <c r="Q4159">
        <v>9.3670000000000009</v>
      </c>
    </row>
    <row r="4160" spans="1:17" x14ac:dyDescent="0.2">
      <c r="A4160" s="30" t="str">
        <f>IF(C4160&amp;G4160&amp;D4160&lt;&gt;'Funnel setup'!$K$3&amp;'Funnel setup'!$K$4&amp;'Funnel setup'!$K$5,".",IF(A4159=".",1,A4159+1))</f>
        <v>.</v>
      </c>
      <c r="B4160" s="431" t="str">
        <f t="shared" si="64"/>
        <v>Knee Replacement PrimaryCCG of GP PracticeNHS MID ESSEX CCG (06Q)Oxford Knee Score</v>
      </c>
      <c r="C4160" t="s">
        <v>249</v>
      </c>
      <c r="D4160" t="s">
        <v>87</v>
      </c>
      <c r="E4160" t="s">
        <v>616</v>
      </c>
      <c r="F4160" t="s">
        <v>617</v>
      </c>
      <c r="G4160" t="s">
        <v>16</v>
      </c>
      <c r="H4160">
        <v>298</v>
      </c>
      <c r="I4160">
        <v>17.315000000000001</v>
      </c>
      <c r="J4160">
        <v>35.375999999999998</v>
      </c>
      <c r="K4160">
        <v>18.059999999999999</v>
      </c>
      <c r="L4160">
        <v>284</v>
      </c>
      <c r="M4160">
        <v>4</v>
      </c>
      <c r="N4160">
        <v>10</v>
      </c>
      <c r="O4160">
        <v>35.529000000000003</v>
      </c>
      <c r="P4160">
        <v>16.243289919999999</v>
      </c>
      <c r="Q4160">
        <v>8.5069999999999997</v>
      </c>
    </row>
    <row r="4161" spans="1:17" x14ac:dyDescent="0.2">
      <c r="A4161" s="30" t="str">
        <f>IF(C4161&amp;G4161&amp;D4161&lt;&gt;'Funnel setup'!$K$3&amp;'Funnel setup'!$K$4&amp;'Funnel setup'!$K$5,".",IF(A4160=".",1,A4160+1))</f>
        <v>.</v>
      </c>
      <c r="B4161" s="431" t="str">
        <f t="shared" si="64"/>
        <v>Knee Replacement PrimaryCCG of GP PracticeNHS MILTON KEYNES CCG (04F)Oxford Knee Score</v>
      </c>
      <c r="C4161" t="s">
        <v>249</v>
      </c>
      <c r="D4161" t="s">
        <v>87</v>
      </c>
      <c r="E4161" t="s">
        <v>619</v>
      </c>
      <c r="F4161" t="s">
        <v>338</v>
      </c>
      <c r="G4161" t="s">
        <v>16</v>
      </c>
      <c r="H4161">
        <v>138</v>
      </c>
      <c r="I4161">
        <v>17.942</v>
      </c>
      <c r="J4161">
        <v>36.42</v>
      </c>
      <c r="K4161">
        <v>18.478000000000002</v>
      </c>
      <c r="L4161">
        <v>134</v>
      </c>
      <c r="M4161">
        <v>1</v>
      </c>
      <c r="N4161">
        <v>3</v>
      </c>
      <c r="O4161">
        <v>36.890999999999998</v>
      </c>
      <c r="P4161">
        <v>17.60610934</v>
      </c>
      <c r="Q4161">
        <v>8.1980000000000004</v>
      </c>
    </row>
    <row r="4162" spans="1:17" x14ac:dyDescent="0.2">
      <c r="A4162" s="30" t="str">
        <f>IF(C4162&amp;G4162&amp;D4162&lt;&gt;'Funnel setup'!$K$3&amp;'Funnel setup'!$K$4&amp;'Funnel setup'!$K$5,".",IF(A4161=".",1,A4161+1))</f>
        <v>.</v>
      </c>
      <c r="B4162" s="431" t="str">
        <f t="shared" si="64"/>
        <v>Knee Replacement PrimaryCCG of GP PracticeNHS NENE CCG (04G)Oxford Knee Score</v>
      </c>
      <c r="C4162" t="s">
        <v>249</v>
      </c>
      <c r="D4162" t="s">
        <v>87</v>
      </c>
      <c r="E4162" t="s">
        <v>621</v>
      </c>
      <c r="F4162" t="s">
        <v>622</v>
      </c>
      <c r="G4162" t="s">
        <v>16</v>
      </c>
      <c r="H4162">
        <v>437</v>
      </c>
      <c r="I4162">
        <v>17.419</v>
      </c>
      <c r="J4162">
        <v>35.905999999999999</v>
      </c>
      <c r="K4162">
        <v>18.486999999999998</v>
      </c>
      <c r="L4162">
        <v>415</v>
      </c>
      <c r="M4162">
        <v>8</v>
      </c>
      <c r="N4162">
        <v>14</v>
      </c>
      <c r="O4162">
        <v>36.515000000000001</v>
      </c>
      <c r="P4162">
        <v>17.22979449</v>
      </c>
      <c r="Q4162">
        <v>8.718</v>
      </c>
    </row>
    <row r="4163" spans="1:17" x14ac:dyDescent="0.2">
      <c r="A4163" s="30" t="str">
        <f>IF(C4163&amp;G4163&amp;D4163&lt;&gt;'Funnel setup'!$K$3&amp;'Funnel setup'!$K$4&amp;'Funnel setup'!$K$5,".",IF(A4162=".",1,A4162+1))</f>
        <v>.</v>
      </c>
      <c r="B4163" s="431" t="str">
        <f t="shared" ref="B4163:B4226" si="65">C4163&amp;D4163&amp;F4163&amp;G4163</f>
        <v>Knee Replacement PrimaryCCG of GP PracticeNHS NEWARK &amp; SHERWOOD CCG (04H)Oxford Knee Score</v>
      </c>
      <c r="C4163" t="s">
        <v>249</v>
      </c>
      <c r="D4163" t="s">
        <v>87</v>
      </c>
      <c r="E4163" t="s">
        <v>624</v>
      </c>
      <c r="F4163" t="s">
        <v>625</v>
      </c>
      <c r="G4163" t="s">
        <v>16</v>
      </c>
      <c r="H4163">
        <v>115</v>
      </c>
      <c r="I4163">
        <v>18.443000000000001</v>
      </c>
      <c r="J4163">
        <v>32.808999999999997</v>
      </c>
      <c r="K4163">
        <v>14.365</v>
      </c>
      <c r="L4163">
        <v>104</v>
      </c>
      <c r="M4163">
        <v>5</v>
      </c>
      <c r="N4163">
        <v>6</v>
      </c>
      <c r="O4163">
        <v>33.286999999999999</v>
      </c>
      <c r="P4163">
        <v>14.00179378</v>
      </c>
      <c r="Q4163">
        <v>9.4870000000000001</v>
      </c>
    </row>
    <row r="4164" spans="1:17" x14ac:dyDescent="0.2">
      <c r="A4164" s="30" t="str">
        <f>IF(C4164&amp;G4164&amp;D4164&lt;&gt;'Funnel setup'!$K$3&amp;'Funnel setup'!$K$4&amp;'Funnel setup'!$K$5,".",IF(A4163=".",1,A4163+1))</f>
        <v>.</v>
      </c>
      <c r="B4164" s="431" t="str">
        <f t="shared" si="65"/>
        <v>Knee Replacement PrimaryCCG of GP PracticeNHS NEWBURY AND DISTRICT CCG (10M)Oxford Knee Score</v>
      </c>
      <c r="C4164" t="s">
        <v>249</v>
      </c>
      <c r="D4164" t="s">
        <v>87</v>
      </c>
      <c r="E4164" t="s">
        <v>627</v>
      </c>
      <c r="F4164" t="s">
        <v>628</v>
      </c>
      <c r="G4164" t="s">
        <v>16</v>
      </c>
      <c r="H4164">
        <v>56</v>
      </c>
      <c r="I4164">
        <v>21.768000000000001</v>
      </c>
      <c r="J4164">
        <v>35.268000000000001</v>
      </c>
      <c r="K4164">
        <v>13.5</v>
      </c>
      <c r="L4164">
        <v>50</v>
      </c>
      <c r="M4164">
        <v>0</v>
      </c>
      <c r="N4164">
        <v>6</v>
      </c>
      <c r="O4164">
        <v>33.207000000000001</v>
      </c>
      <c r="P4164">
        <v>13.92130233</v>
      </c>
      <c r="Q4164">
        <v>8.2240000000000002</v>
      </c>
    </row>
    <row r="4165" spans="1:17" x14ac:dyDescent="0.2">
      <c r="A4165" s="30" t="str">
        <f>IF(C4165&amp;G4165&amp;D4165&lt;&gt;'Funnel setup'!$K$3&amp;'Funnel setup'!$K$4&amp;'Funnel setup'!$K$5,".",IF(A4164=".",1,A4164+1))</f>
        <v>.</v>
      </c>
      <c r="B4165" s="431" t="str">
        <f t="shared" si="65"/>
        <v>Knee Replacement PrimaryCCG of GP PracticeNHS NEWCASTLE GATESHEAD CCG (13T)Oxford Knee Score</v>
      </c>
      <c r="C4165" t="s">
        <v>249</v>
      </c>
      <c r="D4165" t="s">
        <v>87</v>
      </c>
      <c r="E4165" t="s">
        <v>6553</v>
      </c>
      <c r="F4165" t="s">
        <v>6543</v>
      </c>
      <c r="G4165" t="s">
        <v>16</v>
      </c>
      <c r="H4165">
        <v>504</v>
      </c>
      <c r="I4165">
        <v>18.751999999999999</v>
      </c>
      <c r="J4165">
        <v>34.326999999999998</v>
      </c>
      <c r="K4165">
        <v>15.574999999999999</v>
      </c>
      <c r="L4165">
        <v>468</v>
      </c>
      <c r="M4165">
        <v>8</v>
      </c>
      <c r="N4165">
        <v>28</v>
      </c>
      <c r="O4165">
        <v>35.113</v>
      </c>
      <c r="P4165">
        <v>15.82749563</v>
      </c>
      <c r="Q4165">
        <v>8.4459999999999997</v>
      </c>
    </row>
    <row r="4166" spans="1:17" x14ac:dyDescent="0.2">
      <c r="A4166" s="30" t="str">
        <f>IF(C4166&amp;G4166&amp;D4166&lt;&gt;'Funnel setup'!$K$3&amp;'Funnel setup'!$K$4&amp;'Funnel setup'!$K$5,".",IF(A4165=".",1,A4165+1))</f>
        <v>.</v>
      </c>
      <c r="B4166" s="431" t="str">
        <f t="shared" si="65"/>
        <v>Knee Replacement PrimaryCCG of GP PracticeNHS NEWHAM CCG (08M)Oxford Knee Score</v>
      </c>
      <c r="C4166" t="s">
        <v>249</v>
      </c>
      <c r="D4166" t="s">
        <v>87</v>
      </c>
      <c r="E4166" t="s">
        <v>630</v>
      </c>
      <c r="F4166" t="s">
        <v>631</v>
      </c>
      <c r="G4166" t="s">
        <v>16</v>
      </c>
      <c r="H4166">
        <v>96</v>
      </c>
      <c r="I4166">
        <v>17.280999999999999</v>
      </c>
      <c r="J4166">
        <v>28.478999999999999</v>
      </c>
      <c r="K4166">
        <v>11.198</v>
      </c>
      <c r="L4166">
        <v>83</v>
      </c>
      <c r="M4166">
        <v>0</v>
      </c>
      <c r="N4166">
        <v>13</v>
      </c>
      <c r="O4166">
        <v>32.863</v>
      </c>
      <c r="P4166">
        <v>13.57758228</v>
      </c>
      <c r="Q4166">
        <v>9.6679999999999993</v>
      </c>
    </row>
    <row r="4167" spans="1:17" x14ac:dyDescent="0.2">
      <c r="A4167" s="30" t="str">
        <f>IF(C4167&amp;G4167&amp;D4167&lt;&gt;'Funnel setup'!$K$3&amp;'Funnel setup'!$K$4&amp;'Funnel setup'!$K$5,".",IF(A4166=".",1,A4166+1))</f>
        <v>.</v>
      </c>
      <c r="B4167" s="431" t="str">
        <f t="shared" si="65"/>
        <v>Knee Replacement PrimaryCCG of GP PracticeNHS NORTH &amp; WEST READING CCG (10N)Oxford Knee Score</v>
      </c>
      <c r="C4167" t="s">
        <v>249</v>
      </c>
      <c r="D4167" t="s">
        <v>87</v>
      </c>
      <c r="E4167" t="s">
        <v>633</v>
      </c>
      <c r="F4167" t="s">
        <v>634</v>
      </c>
      <c r="G4167" t="s">
        <v>16</v>
      </c>
      <c r="H4167">
        <v>78</v>
      </c>
      <c r="I4167">
        <v>23.41</v>
      </c>
      <c r="J4167">
        <v>35.973999999999997</v>
      </c>
      <c r="K4167">
        <v>12.564</v>
      </c>
      <c r="L4167">
        <v>68</v>
      </c>
      <c r="M4167">
        <v>3</v>
      </c>
      <c r="N4167">
        <v>7</v>
      </c>
      <c r="O4167">
        <v>33.426000000000002</v>
      </c>
      <c r="P4167">
        <v>14.140558110000001</v>
      </c>
      <c r="Q4167">
        <v>7.6360000000000001</v>
      </c>
    </row>
    <row r="4168" spans="1:17" x14ac:dyDescent="0.2">
      <c r="A4168" s="30" t="str">
        <f>IF(C4168&amp;G4168&amp;D4168&lt;&gt;'Funnel setup'!$K$3&amp;'Funnel setup'!$K$4&amp;'Funnel setup'!$K$5,".",IF(A4167=".",1,A4167+1))</f>
        <v>.</v>
      </c>
      <c r="B4168" s="431" t="str">
        <f t="shared" si="65"/>
        <v>Knee Replacement PrimaryCCG of GP PracticeNHS NORTH DERBYSHIRE CCG (04J)Oxford Knee Score</v>
      </c>
      <c r="C4168" t="s">
        <v>249</v>
      </c>
      <c r="D4168" t="s">
        <v>87</v>
      </c>
      <c r="E4168" t="s">
        <v>636</v>
      </c>
      <c r="F4168" t="s">
        <v>637</v>
      </c>
      <c r="G4168" t="s">
        <v>16</v>
      </c>
      <c r="H4168">
        <v>349</v>
      </c>
      <c r="I4168">
        <v>19.635999999999999</v>
      </c>
      <c r="J4168">
        <v>36.576000000000001</v>
      </c>
      <c r="K4168">
        <v>16.940000000000001</v>
      </c>
      <c r="L4168">
        <v>330</v>
      </c>
      <c r="M4168">
        <v>3</v>
      </c>
      <c r="N4168">
        <v>16</v>
      </c>
      <c r="O4168">
        <v>36.161000000000001</v>
      </c>
      <c r="P4168">
        <v>16.875517179999999</v>
      </c>
      <c r="Q4168">
        <v>9.0250000000000004</v>
      </c>
    </row>
    <row r="4169" spans="1:17" x14ac:dyDescent="0.2">
      <c r="A4169" s="30" t="str">
        <f>IF(C4169&amp;G4169&amp;D4169&lt;&gt;'Funnel setup'!$K$3&amp;'Funnel setup'!$K$4&amp;'Funnel setup'!$K$5,".",IF(A4168=".",1,A4168+1))</f>
        <v>.</v>
      </c>
      <c r="B4169" s="431" t="str">
        <f t="shared" si="65"/>
        <v>Knee Replacement PrimaryCCG of GP PracticeNHS NORTH DURHAM CCG (00J)Oxford Knee Score</v>
      </c>
      <c r="C4169" t="s">
        <v>249</v>
      </c>
      <c r="D4169" t="s">
        <v>87</v>
      </c>
      <c r="E4169" t="s">
        <v>639</v>
      </c>
      <c r="F4169" t="s">
        <v>640</v>
      </c>
      <c r="G4169" t="s">
        <v>16</v>
      </c>
      <c r="H4169">
        <v>237</v>
      </c>
      <c r="I4169">
        <v>18.417999999999999</v>
      </c>
      <c r="J4169">
        <v>34.835000000000001</v>
      </c>
      <c r="K4169">
        <v>16.417999999999999</v>
      </c>
      <c r="L4169">
        <v>225</v>
      </c>
      <c r="M4169">
        <v>2</v>
      </c>
      <c r="N4169">
        <v>10</v>
      </c>
      <c r="O4169">
        <v>35.406999999999996</v>
      </c>
      <c r="P4169">
        <v>16.121739309999999</v>
      </c>
      <c r="Q4169">
        <v>9.1259999999999994</v>
      </c>
    </row>
    <row r="4170" spans="1:17" x14ac:dyDescent="0.2">
      <c r="A4170" s="30" t="str">
        <f>IF(C4170&amp;G4170&amp;D4170&lt;&gt;'Funnel setup'!$K$3&amp;'Funnel setup'!$K$4&amp;'Funnel setup'!$K$5,".",IF(A4169=".",1,A4169+1))</f>
        <v>.</v>
      </c>
      <c r="B4170" s="431" t="str">
        <f t="shared" si="65"/>
        <v>Knee Replacement PrimaryCCG of GP PracticeNHS NORTH EAST ESSEX CCG (06T)Oxford Knee Score</v>
      </c>
      <c r="C4170" t="s">
        <v>249</v>
      </c>
      <c r="D4170" t="s">
        <v>87</v>
      </c>
      <c r="E4170" t="s">
        <v>642</v>
      </c>
      <c r="F4170" t="s">
        <v>643</v>
      </c>
      <c r="G4170" t="s">
        <v>16</v>
      </c>
      <c r="H4170">
        <v>335</v>
      </c>
      <c r="I4170">
        <v>20.454000000000001</v>
      </c>
      <c r="J4170">
        <v>36.212000000000003</v>
      </c>
      <c r="K4170">
        <v>15.757999999999999</v>
      </c>
      <c r="L4170">
        <v>314</v>
      </c>
      <c r="M4170">
        <v>4</v>
      </c>
      <c r="N4170">
        <v>17</v>
      </c>
      <c r="O4170">
        <v>35.704999999999998</v>
      </c>
      <c r="P4170">
        <v>16.419470069999999</v>
      </c>
      <c r="Q4170">
        <v>8.0980000000000008</v>
      </c>
    </row>
    <row r="4171" spans="1:17" x14ac:dyDescent="0.2">
      <c r="A4171" s="30" t="str">
        <f>IF(C4171&amp;G4171&amp;D4171&lt;&gt;'Funnel setup'!$K$3&amp;'Funnel setup'!$K$4&amp;'Funnel setup'!$K$5,".",IF(A4170=".",1,A4170+1))</f>
        <v>.</v>
      </c>
      <c r="B4171" s="431" t="str">
        <f t="shared" si="65"/>
        <v>Knee Replacement PrimaryCCG of GP PracticeNHS NORTH EAST HAMPSHIRE AND FARNHAM CCG (99M)Oxford Knee Score</v>
      </c>
      <c r="C4171" t="s">
        <v>249</v>
      </c>
      <c r="D4171" t="s">
        <v>87</v>
      </c>
      <c r="E4171" t="s">
        <v>645</v>
      </c>
      <c r="F4171" t="s">
        <v>646</v>
      </c>
      <c r="G4171" t="s">
        <v>16</v>
      </c>
      <c r="H4171">
        <v>189</v>
      </c>
      <c r="I4171">
        <v>21.978999999999999</v>
      </c>
      <c r="J4171">
        <v>37.332999999999998</v>
      </c>
      <c r="K4171">
        <v>15.353999999999999</v>
      </c>
      <c r="L4171">
        <v>176</v>
      </c>
      <c r="M4171">
        <v>0</v>
      </c>
      <c r="N4171">
        <v>13</v>
      </c>
      <c r="O4171">
        <v>35.179000000000002</v>
      </c>
      <c r="P4171">
        <v>15.89385356</v>
      </c>
      <c r="Q4171">
        <v>7.8259999999999996</v>
      </c>
    </row>
    <row r="4172" spans="1:17" x14ac:dyDescent="0.2">
      <c r="A4172" s="30" t="str">
        <f>IF(C4172&amp;G4172&amp;D4172&lt;&gt;'Funnel setup'!$K$3&amp;'Funnel setup'!$K$4&amp;'Funnel setup'!$K$5,".",IF(A4171=".",1,A4171+1))</f>
        <v>.</v>
      </c>
      <c r="B4172" s="431" t="str">
        <f t="shared" si="65"/>
        <v>Knee Replacement PrimaryCCG of GP PracticeNHS NORTH EAST LINCOLNSHIRE CCG (03H)Oxford Knee Score</v>
      </c>
      <c r="C4172" t="s">
        <v>249</v>
      </c>
      <c r="D4172" t="s">
        <v>87</v>
      </c>
      <c r="E4172" t="s">
        <v>648</v>
      </c>
      <c r="F4172" t="s">
        <v>649</v>
      </c>
      <c r="G4172" t="s">
        <v>16</v>
      </c>
      <c r="H4172">
        <v>95</v>
      </c>
      <c r="I4172">
        <v>18.420999999999999</v>
      </c>
      <c r="J4172">
        <v>35.820999999999998</v>
      </c>
      <c r="K4172">
        <v>17.399999999999999</v>
      </c>
      <c r="L4172">
        <v>91</v>
      </c>
      <c r="M4172">
        <v>1</v>
      </c>
      <c r="N4172">
        <v>3</v>
      </c>
      <c r="O4172">
        <v>36.090000000000003</v>
      </c>
      <c r="P4172">
        <v>16.804608909999999</v>
      </c>
      <c r="Q4172">
        <v>8.7319999999999993</v>
      </c>
    </row>
    <row r="4173" spans="1:17" x14ac:dyDescent="0.2">
      <c r="A4173" s="30" t="str">
        <f>IF(C4173&amp;G4173&amp;D4173&lt;&gt;'Funnel setup'!$K$3&amp;'Funnel setup'!$K$4&amp;'Funnel setup'!$K$5,".",IF(A4172=".",1,A4172+1))</f>
        <v>.</v>
      </c>
      <c r="B4173" s="431" t="str">
        <f t="shared" si="65"/>
        <v>Knee Replacement PrimaryCCG of GP PracticeNHS NORTH HAMPSHIRE CCG (10J)Oxford Knee Score</v>
      </c>
      <c r="C4173" t="s">
        <v>249</v>
      </c>
      <c r="D4173" t="s">
        <v>87</v>
      </c>
      <c r="E4173" t="s">
        <v>651</v>
      </c>
      <c r="F4173" t="s">
        <v>652</v>
      </c>
      <c r="G4173" t="s">
        <v>16</v>
      </c>
      <c r="H4173">
        <v>126</v>
      </c>
      <c r="I4173">
        <v>20.888999999999999</v>
      </c>
      <c r="J4173">
        <v>36.04</v>
      </c>
      <c r="K4173">
        <v>15.151</v>
      </c>
      <c r="L4173">
        <v>120</v>
      </c>
      <c r="M4173">
        <v>0</v>
      </c>
      <c r="N4173">
        <v>6</v>
      </c>
      <c r="O4173">
        <v>35.222999999999999</v>
      </c>
      <c r="P4173">
        <v>15.937937939999999</v>
      </c>
      <c r="Q4173">
        <v>7.94</v>
      </c>
    </row>
    <row r="4174" spans="1:17" x14ac:dyDescent="0.2">
      <c r="A4174" s="30" t="str">
        <f>IF(C4174&amp;G4174&amp;D4174&lt;&gt;'Funnel setup'!$K$3&amp;'Funnel setup'!$K$4&amp;'Funnel setup'!$K$5,".",IF(A4173=".",1,A4173+1))</f>
        <v>.</v>
      </c>
      <c r="B4174" s="431" t="str">
        <f t="shared" si="65"/>
        <v>Knee Replacement PrimaryCCG of GP PracticeNHS NORTH KIRKLEES CCG (03J)Oxford Knee Score</v>
      </c>
      <c r="C4174" t="s">
        <v>249</v>
      </c>
      <c r="D4174" t="s">
        <v>87</v>
      </c>
      <c r="E4174" t="s">
        <v>654</v>
      </c>
      <c r="F4174" t="s">
        <v>655</v>
      </c>
      <c r="G4174" t="s">
        <v>16</v>
      </c>
      <c r="H4174">
        <v>148</v>
      </c>
      <c r="I4174">
        <v>20.709</v>
      </c>
      <c r="J4174">
        <v>35.75</v>
      </c>
      <c r="K4174">
        <v>15.041</v>
      </c>
      <c r="L4174">
        <v>136</v>
      </c>
      <c r="M4174">
        <v>1</v>
      </c>
      <c r="N4174">
        <v>11</v>
      </c>
      <c r="O4174">
        <v>35.86</v>
      </c>
      <c r="P4174">
        <v>16.574965339999999</v>
      </c>
      <c r="Q4174">
        <v>8.2739999999999991</v>
      </c>
    </row>
    <row r="4175" spans="1:17" x14ac:dyDescent="0.2">
      <c r="A4175" s="30" t="str">
        <f>IF(C4175&amp;G4175&amp;D4175&lt;&gt;'Funnel setup'!$K$3&amp;'Funnel setup'!$K$4&amp;'Funnel setup'!$K$5,".",IF(A4174=".",1,A4174+1))</f>
        <v>.</v>
      </c>
      <c r="B4175" s="431" t="str">
        <f t="shared" si="65"/>
        <v>Knee Replacement PrimaryCCG of GP PracticeNHS NORTH LINCOLNSHIRE CCG (03K)Oxford Knee Score</v>
      </c>
      <c r="C4175" t="s">
        <v>249</v>
      </c>
      <c r="D4175" t="s">
        <v>87</v>
      </c>
      <c r="E4175" t="s">
        <v>657</v>
      </c>
      <c r="F4175" t="s">
        <v>658</v>
      </c>
      <c r="G4175" t="s">
        <v>16</v>
      </c>
      <c r="H4175">
        <v>200</v>
      </c>
      <c r="I4175">
        <v>18.835000000000001</v>
      </c>
      <c r="J4175">
        <v>35.984999999999999</v>
      </c>
      <c r="K4175">
        <v>17.149999999999999</v>
      </c>
      <c r="L4175">
        <v>188</v>
      </c>
      <c r="M4175">
        <v>4</v>
      </c>
      <c r="N4175">
        <v>8</v>
      </c>
      <c r="O4175">
        <v>35.991999999999997</v>
      </c>
      <c r="P4175">
        <v>16.706225759999999</v>
      </c>
      <c r="Q4175">
        <v>8.8480000000000008</v>
      </c>
    </row>
    <row r="4176" spans="1:17" x14ac:dyDescent="0.2">
      <c r="A4176" s="30" t="str">
        <f>IF(C4176&amp;G4176&amp;D4176&lt;&gt;'Funnel setup'!$K$3&amp;'Funnel setup'!$K$4&amp;'Funnel setup'!$K$5,".",IF(A4175=".",1,A4175+1))</f>
        <v>.</v>
      </c>
      <c r="B4176" s="431" t="str">
        <f t="shared" si="65"/>
        <v>Knee Replacement PrimaryCCG of GP PracticeNHS NORTH MANCHESTER CCG (01M)Oxford Knee Score</v>
      </c>
      <c r="C4176" t="s">
        <v>249</v>
      </c>
      <c r="D4176" t="s">
        <v>87</v>
      </c>
      <c r="E4176" t="s">
        <v>660</v>
      </c>
      <c r="F4176" t="s">
        <v>661</v>
      </c>
      <c r="G4176" t="s">
        <v>16</v>
      </c>
      <c r="H4176">
        <v>101</v>
      </c>
      <c r="I4176">
        <v>16.722999999999999</v>
      </c>
      <c r="J4176">
        <v>32.930999999999997</v>
      </c>
      <c r="K4176">
        <v>16.207999999999998</v>
      </c>
      <c r="L4176">
        <v>94</v>
      </c>
      <c r="M4176">
        <v>0</v>
      </c>
      <c r="N4176">
        <v>7</v>
      </c>
      <c r="O4176">
        <v>35.942</v>
      </c>
      <c r="P4176">
        <v>16.6565932</v>
      </c>
      <c r="Q4176">
        <v>10.223000000000001</v>
      </c>
    </row>
    <row r="4177" spans="1:17" x14ac:dyDescent="0.2">
      <c r="A4177" s="30" t="str">
        <f>IF(C4177&amp;G4177&amp;D4177&lt;&gt;'Funnel setup'!$K$3&amp;'Funnel setup'!$K$4&amp;'Funnel setup'!$K$5,".",IF(A4176=".",1,A4176+1))</f>
        <v>.</v>
      </c>
      <c r="B4177" s="431" t="str">
        <f t="shared" si="65"/>
        <v>Knee Replacement PrimaryCCG of GP PracticeNHS NORTH NORFOLK CCG (06V)Oxford Knee Score</v>
      </c>
      <c r="C4177" t="s">
        <v>249</v>
      </c>
      <c r="D4177" t="s">
        <v>87</v>
      </c>
      <c r="E4177" t="s">
        <v>663</v>
      </c>
      <c r="F4177" t="s">
        <v>664</v>
      </c>
      <c r="G4177" t="s">
        <v>16</v>
      </c>
      <c r="H4177">
        <v>187</v>
      </c>
      <c r="I4177">
        <v>20.079999999999998</v>
      </c>
      <c r="J4177">
        <v>36.625999999999998</v>
      </c>
      <c r="K4177">
        <v>16.545000000000002</v>
      </c>
      <c r="L4177">
        <v>175</v>
      </c>
      <c r="M4177">
        <v>3</v>
      </c>
      <c r="N4177">
        <v>9</v>
      </c>
      <c r="O4177">
        <v>35.951999999999998</v>
      </c>
      <c r="P4177">
        <v>16.667036070000002</v>
      </c>
      <c r="Q4177">
        <v>8.8019999999999996</v>
      </c>
    </row>
    <row r="4178" spans="1:17" x14ac:dyDescent="0.2">
      <c r="A4178" s="30" t="str">
        <f>IF(C4178&amp;G4178&amp;D4178&lt;&gt;'Funnel setup'!$K$3&amp;'Funnel setup'!$K$4&amp;'Funnel setup'!$K$5,".",IF(A4177=".",1,A4177+1))</f>
        <v>.</v>
      </c>
      <c r="B4178" s="431" t="str">
        <f t="shared" si="65"/>
        <v>Knee Replacement PrimaryCCG of GP PracticeNHS NORTH SOMERSET CCG (11T)Oxford Knee Score</v>
      </c>
      <c r="C4178" t="s">
        <v>249</v>
      </c>
      <c r="D4178" t="s">
        <v>87</v>
      </c>
      <c r="E4178" t="s">
        <v>666</v>
      </c>
      <c r="F4178" t="s">
        <v>667</v>
      </c>
      <c r="G4178" t="s">
        <v>16</v>
      </c>
      <c r="H4178">
        <v>201</v>
      </c>
      <c r="I4178">
        <v>19.507000000000001</v>
      </c>
      <c r="J4178">
        <v>37.209000000000003</v>
      </c>
      <c r="K4178">
        <v>17.701000000000001</v>
      </c>
      <c r="L4178">
        <v>198</v>
      </c>
      <c r="M4178">
        <v>0</v>
      </c>
      <c r="N4178">
        <v>3</v>
      </c>
      <c r="O4178">
        <v>36.402000000000001</v>
      </c>
      <c r="P4178">
        <v>17.116238169999999</v>
      </c>
      <c r="Q4178">
        <v>7.6779999999999999</v>
      </c>
    </row>
    <row r="4179" spans="1:17" x14ac:dyDescent="0.2">
      <c r="A4179" s="30" t="str">
        <f>IF(C4179&amp;G4179&amp;D4179&lt;&gt;'Funnel setup'!$K$3&amp;'Funnel setup'!$K$4&amp;'Funnel setup'!$K$5,".",IF(A4178=".",1,A4178+1))</f>
        <v>.</v>
      </c>
      <c r="B4179" s="431" t="str">
        <f t="shared" si="65"/>
        <v>Knee Replacement PrimaryCCG of GP PracticeNHS NORTH STAFFORDSHIRE CCG (05G)Oxford Knee Score</v>
      </c>
      <c r="C4179" t="s">
        <v>249</v>
      </c>
      <c r="D4179" t="s">
        <v>87</v>
      </c>
      <c r="E4179" t="s">
        <v>669</v>
      </c>
      <c r="F4179" t="s">
        <v>670</v>
      </c>
      <c r="G4179" t="s">
        <v>16</v>
      </c>
      <c r="H4179">
        <v>192</v>
      </c>
      <c r="I4179">
        <v>17.364999999999998</v>
      </c>
      <c r="J4179">
        <v>33.223999999999997</v>
      </c>
      <c r="K4179">
        <v>15.859</v>
      </c>
      <c r="L4179">
        <v>176</v>
      </c>
      <c r="M4179">
        <v>1</v>
      </c>
      <c r="N4179">
        <v>15</v>
      </c>
      <c r="O4179">
        <v>34.167999999999999</v>
      </c>
      <c r="P4179">
        <v>14.88221755</v>
      </c>
      <c r="Q4179">
        <v>9.1639999999999997</v>
      </c>
    </row>
    <row r="4180" spans="1:17" x14ac:dyDescent="0.2">
      <c r="A4180" s="30" t="str">
        <f>IF(C4180&amp;G4180&amp;D4180&lt;&gt;'Funnel setup'!$K$3&amp;'Funnel setup'!$K$4&amp;'Funnel setup'!$K$5,".",IF(A4179=".",1,A4179+1))</f>
        <v>.</v>
      </c>
      <c r="B4180" s="431" t="str">
        <f t="shared" si="65"/>
        <v>Knee Replacement PrimaryCCG of GP PracticeNHS NORTH TYNESIDE CCG (99C)Oxford Knee Score</v>
      </c>
      <c r="C4180" t="s">
        <v>249</v>
      </c>
      <c r="D4180" t="s">
        <v>87</v>
      </c>
      <c r="E4180" t="s">
        <v>672</v>
      </c>
      <c r="F4180" t="s">
        <v>673</v>
      </c>
      <c r="G4180" t="s">
        <v>16</v>
      </c>
      <c r="H4180">
        <v>283</v>
      </c>
      <c r="I4180">
        <v>18.375</v>
      </c>
      <c r="J4180">
        <v>35.186999999999998</v>
      </c>
      <c r="K4180">
        <v>16.812999999999999</v>
      </c>
      <c r="L4180">
        <v>273</v>
      </c>
      <c r="M4180">
        <v>1</v>
      </c>
      <c r="N4180">
        <v>9</v>
      </c>
      <c r="O4180">
        <v>35.670999999999999</v>
      </c>
      <c r="P4180">
        <v>16.385576400000001</v>
      </c>
      <c r="Q4180">
        <v>8.4039999999999999</v>
      </c>
    </row>
    <row r="4181" spans="1:17" x14ac:dyDescent="0.2">
      <c r="A4181" s="30" t="str">
        <f>IF(C4181&amp;G4181&amp;D4181&lt;&gt;'Funnel setup'!$K$3&amp;'Funnel setup'!$K$4&amp;'Funnel setup'!$K$5,".",IF(A4180=".",1,A4180+1))</f>
        <v>.</v>
      </c>
      <c r="B4181" s="431" t="str">
        <f t="shared" si="65"/>
        <v>Knee Replacement PrimaryCCG of GP PracticeNHS NORTH WEST SURREY CCG (09Y)Oxford Knee Score</v>
      </c>
      <c r="C4181" t="s">
        <v>249</v>
      </c>
      <c r="D4181" t="s">
        <v>87</v>
      </c>
      <c r="E4181" t="s">
        <v>675</v>
      </c>
      <c r="F4181" t="s">
        <v>676</v>
      </c>
      <c r="G4181" t="s">
        <v>16</v>
      </c>
      <c r="H4181">
        <v>303</v>
      </c>
      <c r="I4181">
        <v>20.439</v>
      </c>
      <c r="J4181">
        <v>35.911000000000001</v>
      </c>
      <c r="K4181">
        <v>15.472</v>
      </c>
      <c r="L4181">
        <v>282</v>
      </c>
      <c r="M4181">
        <v>2</v>
      </c>
      <c r="N4181">
        <v>19</v>
      </c>
      <c r="O4181">
        <v>34.823999999999998</v>
      </c>
      <c r="P4181">
        <v>15.53883038</v>
      </c>
      <c r="Q4181">
        <v>8.2889999999999997</v>
      </c>
    </row>
    <row r="4182" spans="1:17" x14ac:dyDescent="0.2">
      <c r="A4182" s="30" t="str">
        <f>IF(C4182&amp;G4182&amp;D4182&lt;&gt;'Funnel setup'!$K$3&amp;'Funnel setup'!$K$4&amp;'Funnel setup'!$K$5,".",IF(A4181=".",1,A4181+1))</f>
        <v>.</v>
      </c>
      <c r="B4182" s="431" t="str">
        <f t="shared" si="65"/>
        <v>Knee Replacement PrimaryCCG of GP PracticeNHS NORTHERN, EASTERN AND WESTERN DEVON CCG (99P)Oxford Knee Score</v>
      </c>
      <c r="C4182" t="s">
        <v>249</v>
      </c>
      <c r="D4182" t="s">
        <v>87</v>
      </c>
      <c r="E4182" t="s">
        <v>678</v>
      </c>
      <c r="F4182" t="s">
        <v>679</v>
      </c>
      <c r="G4182" t="s">
        <v>16</v>
      </c>
      <c r="H4182">
        <v>1063</v>
      </c>
      <c r="I4182">
        <v>19.887</v>
      </c>
      <c r="J4182">
        <v>36.786000000000001</v>
      </c>
      <c r="K4182">
        <v>16.898</v>
      </c>
      <c r="L4182">
        <v>1014</v>
      </c>
      <c r="M4182">
        <v>12</v>
      </c>
      <c r="N4182">
        <v>37</v>
      </c>
      <c r="O4182">
        <v>36.222999999999999</v>
      </c>
      <c r="P4182">
        <v>16.937332699999999</v>
      </c>
      <c r="Q4182">
        <v>8.0749999999999993</v>
      </c>
    </row>
    <row r="4183" spans="1:17" x14ac:dyDescent="0.2">
      <c r="A4183" s="30" t="str">
        <f>IF(C4183&amp;G4183&amp;D4183&lt;&gt;'Funnel setup'!$K$3&amp;'Funnel setup'!$K$4&amp;'Funnel setup'!$K$5,".",IF(A4182=".",1,A4182+1))</f>
        <v>.</v>
      </c>
      <c r="B4183" s="431" t="str">
        <f t="shared" si="65"/>
        <v>Knee Replacement PrimaryCCG of GP PracticeNHS NORTHUMBERLAND CCG (00L)Oxford Knee Score</v>
      </c>
      <c r="C4183" t="s">
        <v>249</v>
      </c>
      <c r="D4183" t="s">
        <v>87</v>
      </c>
      <c r="E4183" t="s">
        <v>681</v>
      </c>
      <c r="F4183" t="s">
        <v>336</v>
      </c>
      <c r="G4183" t="s">
        <v>16</v>
      </c>
      <c r="H4183">
        <v>423</v>
      </c>
      <c r="I4183">
        <v>19.898</v>
      </c>
      <c r="J4183">
        <v>36.427999999999997</v>
      </c>
      <c r="K4183">
        <v>16.53</v>
      </c>
      <c r="L4183">
        <v>400</v>
      </c>
      <c r="M4183">
        <v>4</v>
      </c>
      <c r="N4183">
        <v>19</v>
      </c>
      <c r="O4183">
        <v>36.222000000000001</v>
      </c>
      <c r="P4183">
        <v>16.93685297</v>
      </c>
      <c r="Q4183">
        <v>8.3079999999999998</v>
      </c>
    </row>
    <row r="4184" spans="1:17" x14ac:dyDescent="0.2">
      <c r="A4184" s="30" t="str">
        <f>IF(C4184&amp;G4184&amp;D4184&lt;&gt;'Funnel setup'!$K$3&amp;'Funnel setup'!$K$4&amp;'Funnel setup'!$K$5,".",IF(A4183=".",1,A4183+1))</f>
        <v>.</v>
      </c>
      <c r="B4184" s="431" t="str">
        <f t="shared" si="65"/>
        <v>Knee Replacement PrimaryCCG of GP PracticeNHS NORWICH CCG (06W)Oxford Knee Score</v>
      </c>
      <c r="C4184" t="s">
        <v>249</v>
      </c>
      <c r="D4184" t="s">
        <v>87</v>
      </c>
      <c r="E4184" t="s">
        <v>770</v>
      </c>
      <c r="F4184" t="s">
        <v>771</v>
      </c>
      <c r="G4184" t="s">
        <v>16</v>
      </c>
      <c r="H4184">
        <v>141</v>
      </c>
      <c r="I4184">
        <v>17.872</v>
      </c>
      <c r="J4184">
        <v>33.39</v>
      </c>
      <c r="K4184">
        <v>15.518000000000001</v>
      </c>
      <c r="L4184">
        <v>125</v>
      </c>
      <c r="M4184">
        <v>5</v>
      </c>
      <c r="N4184">
        <v>11</v>
      </c>
      <c r="O4184">
        <v>34.116</v>
      </c>
      <c r="P4184">
        <v>14.83093575</v>
      </c>
      <c r="Q4184">
        <v>9.2629999999999999</v>
      </c>
    </row>
    <row r="4185" spans="1:17" x14ac:dyDescent="0.2">
      <c r="A4185" s="30" t="str">
        <f>IF(C4185&amp;G4185&amp;D4185&lt;&gt;'Funnel setup'!$K$3&amp;'Funnel setup'!$K$4&amp;'Funnel setup'!$K$5,".",IF(A4184=".",1,A4184+1))</f>
        <v>.</v>
      </c>
      <c r="B4185" s="431" t="str">
        <f t="shared" si="65"/>
        <v>Knee Replacement PrimaryCCG of GP PracticeNHS NOTTINGHAM CITY CCG (04K)Oxford Knee Score</v>
      </c>
      <c r="C4185" t="s">
        <v>249</v>
      </c>
      <c r="D4185" t="s">
        <v>87</v>
      </c>
      <c r="E4185" t="s">
        <v>773</v>
      </c>
      <c r="F4185" t="s">
        <v>774</v>
      </c>
      <c r="G4185" t="s">
        <v>16</v>
      </c>
      <c r="H4185">
        <v>171</v>
      </c>
      <c r="I4185">
        <v>18.228000000000002</v>
      </c>
      <c r="J4185">
        <v>33.326999999999998</v>
      </c>
      <c r="K4185">
        <v>15.099</v>
      </c>
      <c r="L4185">
        <v>157</v>
      </c>
      <c r="M4185">
        <v>2</v>
      </c>
      <c r="N4185">
        <v>12</v>
      </c>
      <c r="O4185">
        <v>34.904000000000003</v>
      </c>
      <c r="P4185">
        <v>15.618660909999999</v>
      </c>
      <c r="Q4185">
        <v>9.0630000000000006</v>
      </c>
    </row>
    <row r="4186" spans="1:17" x14ac:dyDescent="0.2">
      <c r="A4186" s="30" t="str">
        <f>IF(C4186&amp;G4186&amp;D4186&lt;&gt;'Funnel setup'!$K$3&amp;'Funnel setup'!$K$4&amp;'Funnel setup'!$K$5,".",IF(A4185=".",1,A4185+1))</f>
        <v>.</v>
      </c>
      <c r="B4186" s="431" t="str">
        <f t="shared" si="65"/>
        <v>Knee Replacement PrimaryCCG of GP PracticeNHS NOTTINGHAM NORTH AND EAST CCG (04L)Oxford Knee Score</v>
      </c>
      <c r="C4186" t="s">
        <v>249</v>
      </c>
      <c r="D4186" t="s">
        <v>87</v>
      </c>
      <c r="E4186" t="s">
        <v>776</v>
      </c>
      <c r="F4186" t="s">
        <v>777</v>
      </c>
      <c r="G4186" t="s">
        <v>16</v>
      </c>
      <c r="H4186">
        <v>140</v>
      </c>
      <c r="I4186">
        <v>20.029</v>
      </c>
      <c r="J4186">
        <v>36.493000000000002</v>
      </c>
      <c r="K4186">
        <v>16.463999999999999</v>
      </c>
      <c r="L4186">
        <v>131</v>
      </c>
      <c r="M4186">
        <v>0</v>
      </c>
      <c r="N4186">
        <v>9</v>
      </c>
      <c r="O4186">
        <v>36.06</v>
      </c>
      <c r="P4186">
        <v>16.775042729999999</v>
      </c>
      <c r="Q4186">
        <v>7.657</v>
      </c>
    </row>
    <row r="4187" spans="1:17" x14ac:dyDescent="0.2">
      <c r="A4187" s="30" t="str">
        <f>IF(C4187&amp;G4187&amp;D4187&lt;&gt;'Funnel setup'!$K$3&amp;'Funnel setup'!$K$4&amp;'Funnel setup'!$K$5,".",IF(A4186=".",1,A4186+1))</f>
        <v>.</v>
      </c>
      <c r="B4187" s="431" t="str">
        <f t="shared" si="65"/>
        <v>Knee Replacement PrimaryCCG of GP PracticeNHS NOTTINGHAM WEST CCG (04M)Oxford Knee Score</v>
      </c>
      <c r="C4187" t="s">
        <v>249</v>
      </c>
      <c r="D4187" t="s">
        <v>87</v>
      </c>
      <c r="E4187" t="s">
        <v>779</v>
      </c>
      <c r="F4187" t="s">
        <v>780</v>
      </c>
      <c r="G4187" t="s">
        <v>16</v>
      </c>
      <c r="H4187">
        <v>107</v>
      </c>
      <c r="I4187">
        <v>19.271000000000001</v>
      </c>
      <c r="J4187">
        <v>35.055999999999997</v>
      </c>
      <c r="K4187">
        <v>15.785</v>
      </c>
      <c r="L4187">
        <v>101</v>
      </c>
      <c r="M4187">
        <v>1</v>
      </c>
      <c r="N4187">
        <v>5</v>
      </c>
      <c r="O4187">
        <v>34.838999999999999</v>
      </c>
      <c r="P4187">
        <v>15.55362923</v>
      </c>
      <c r="Q4187">
        <v>7.7619999999999996</v>
      </c>
    </row>
    <row r="4188" spans="1:17" x14ac:dyDescent="0.2">
      <c r="A4188" s="30" t="str">
        <f>IF(C4188&amp;G4188&amp;D4188&lt;&gt;'Funnel setup'!$K$3&amp;'Funnel setup'!$K$4&amp;'Funnel setup'!$K$5,".",IF(A4187=".",1,A4187+1))</f>
        <v>.</v>
      </c>
      <c r="B4188" s="431" t="str">
        <f t="shared" si="65"/>
        <v>Knee Replacement PrimaryCCG of GP PracticeNHS OLDHAM CCG (00Y)Oxford Knee Score</v>
      </c>
      <c r="C4188" t="s">
        <v>249</v>
      </c>
      <c r="D4188" t="s">
        <v>87</v>
      </c>
      <c r="E4188" t="s">
        <v>782</v>
      </c>
      <c r="F4188" t="s">
        <v>783</v>
      </c>
      <c r="G4188" t="s">
        <v>16</v>
      </c>
      <c r="H4188">
        <v>151</v>
      </c>
      <c r="I4188">
        <v>17.821000000000002</v>
      </c>
      <c r="J4188">
        <v>33.098999999999997</v>
      </c>
      <c r="K4188">
        <v>15.278</v>
      </c>
      <c r="L4188">
        <v>137</v>
      </c>
      <c r="M4188">
        <v>0</v>
      </c>
      <c r="N4188">
        <v>14</v>
      </c>
      <c r="O4188">
        <v>34.15</v>
      </c>
      <c r="P4188">
        <v>14.865089429999999</v>
      </c>
      <c r="Q4188">
        <v>9.3580000000000005</v>
      </c>
    </row>
    <row r="4189" spans="1:17" x14ac:dyDescent="0.2">
      <c r="A4189" s="30" t="str">
        <f>IF(C4189&amp;G4189&amp;D4189&lt;&gt;'Funnel setup'!$K$3&amp;'Funnel setup'!$K$4&amp;'Funnel setup'!$K$5,".",IF(A4188=".",1,A4188+1))</f>
        <v>.</v>
      </c>
      <c r="B4189" s="431" t="str">
        <f t="shared" si="65"/>
        <v>Knee Replacement PrimaryCCG of GP PracticeNHS OXFORDSHIRE CCG (10Q)Oxford Knee Score</v>
      </c>
      <c r="C4189" t="s">
        <v>249</v>
      </c>
      <c r="D4189" t="s">
        <v>87</v>
      </c>
      <c r="E4189" t="s">
        <v>785</v>
      </c>
      <c r="F4189" t="s">
        <v>786</v>
      </c>
      <c r="G4189" t="s">
        <v>16</v>
      </c>
      <c r="H4189">
        <v>320</v>
      </c>
      <c r="I4189">
        <v>19.158999999999999</v>
      </c>
      <c r="J4189">
        <v>35.447000000000003</v>
      </c>
      <c r="K4189">
        <v>16.288</v>
      </c>
      <c r="L4189">
        <v>307</v>
      </c>
      <c r="M4189">
        <v>3</v>
      </c>
      <c r="N4189">
        <v>10</v>
      </c>
      <c r="O4189">
        <v>34.814999999999998</v>
      </c>
      <c r="P4189">
        <v>15.529596420000001</v>
      </c>
      <c r="Q4189">
        <v>7.8360000000000003</v>
      </c>
    </row>
    <row r="4190" spans="1:17" x14ac:dyDescent="0.2">
      <c r="A4190" s="30" t="str">
        <f>IF(C4190&amp;G4190&amp;D4190&lt;&gt;'Funnel setup'!$K$3&amp;'Funnel setup'!$K$4&amp;'Funnel setup'!$K$5,".",IF(A4189=".",1,A4189+1))</f>
        <v>.</v>
      </c>
      <c r="B4190" s="431" t="str">
        <f t="shared" si="65"/>
        <v>Knee Replacement PrimaryCCG of GP PracticeNHS PORTSMOUTH CCG (10R)Oxford Knee Score</v>
      </c>
      <c r="C4190" t="s">
        <v>249</v>
      </c>
      <c r="D4190" t="s">
        <v>87</v>
      </c>
      <c r="E4190" t="s">
        <v>788</v>
      </c>
      <c r="F4190" t="s">
        <v>789</v>
      </c>
      <c r="G4190" t="s">
        <v>16</v>
      </c>
      <c r="H4190">
        <v>57</v>
      </c>
      <c r="I4190">
        <v>17.420999999999999</v>
      </c>
      <c r="J4190">
        <v>33.456000000000003</v>
      </c>
      <c r="K4190">
        <v>16.035</v>
      </c>
      <c r="L4190">
        <v>54</v>
      </c>
      <c r="M4190">
        <v>0</v>
      </c>
      <c r="N4190">
        <v>3</v>
      </c>
      <c r="O4190">
        <v>34.125999999999998</v>
      </c>
      <c r="P4190">
        <v>14.84067331</v>
      </c>
      <c r="Q4190">
        <v>9.0830000000000002</v>
      </c>
    </row>
    <row r="4191" spans="1:17" x14ac:dyDescent="0.2">
      <c r="A4191" s="30" t="str">
        <f>IF(C4191&amp;G4191&amp;D4191&lt;&gt;'Funnel setup'!$K$3&amp;'Funnel setup'!$K$4&amp;'Funnel setup'!$K$5,".",IF(A4190=".",1,A4190+1))</f>
        <v>.</v>
      </c>
      <c r="B4191" s="431" t="str">
        <f t="shared" si="65"/>
        <v>Knee Replacement PrimaryCCG of GP PracticeNHS REDBRIDGE CCG (08N)Oxford Knee Score</v>
      </c>
      <c r="C4191" t="s">
        <v>249</v>
      </c>
      <c r="D4191" t="s">
        <v>87</v>
      </c>
      <c r="E4191" t="s">
        <v>791</v>
      </c>
      <c r="F4191" t="s">
        <v>792</v>
      </c>
      <c r="G4191" t="s">
        <v>16</v>
      </c>
      <c r="H4191">
        <v>98</v>
      </c>
      <c r="I4191">
        <v>16.989999999999998</v>
      </c>
      <c r="J4191">
        <v>32.448999999999998</v>
      </c>
      <c r="K4191">
        <v>15.459</v>
      </c>
      <c r="L4191">
        <v>93</v>
      </c>
      <c r="M4191">
        <v>0</v>
      </c>
      <c r="N4191">
        <v>5</v>
      </c>
      <c r="O4191">
        <v>34.651000000000003</v>
      </c>
      <c r="P4191">
        <v>15.366028310000001</v>
      </c>
      <c r="Q4191">
        <v>9.1020000000000003</v>
      </c>
    </row>
    <row r="4192" spans="1:17" x14ac:dyDescent="0.2">
      <c r="A4192" s="30" t="str">
        <f>IF(C4192&amp;G4192&amp;D4192&lt;&gt;'Funnel setup'!$K$3&amp;'Funnel setup'!$K$4&amp;'Funnel setup'!$K$5,".",IF(A4191=".",1,A4191+1))</f>
        <v>.</v>
      </c>
      <c r="B4192" s="431" t="str">
        <f t="shared" si="65"/>
        <v>Knee Replacement PrimaryCCG of GP PracticeNHS REDDITCH AND BROMSGROVE CCG (05J)Oxford Knee Score</v>
      </c>
      <c r="C4192" t="s">
        <v>249</v>
      </c>
      <c r="D4192" t="s">
        <v>87</v>
      </c>
      <c r="E4192" t="s">
        <v>794</v>
      </c>
      <c r="F4192" t="s">
        <v>795</v>
      </c>
      <c r="G4192" t="s">
        <v>16</v>
      </c>
      <c r="H4192">
        <v>150</v>
      </c>
      <c r="I4192">
        <v>20.466999999999999</v>
      </c>
      <c r="J4192">
        <v>36.747</v>
      </c>
      <c r="K4192">
        <v>16.28</v>
      </c>
      <c r="L4192">
        <v>142</v>
      </c>
      <c r="M4192">
        <v>2</v>
      </c>
      <c r="N4192">
        <v>6</v>
      </c>
      <c r="O4192">
        <v>36.109000000000002</v>
      </c>
      <c r="P4192">
        <v>16.824069349999998</v>
      </c>
      <c r="Q4192">
        <v>8.1709999999999994</v>
      </c>
    </row>
    <row r="4193" spans="1:17" x14ac:dyDescent="0.2">
      <c r="A4193" s="30" t="str">
        <f>IF(C4193&amp;G4193&amp;D4193&lt;&gt;'Funnel setup'!$K$3&amp;'Funnel setup'!$K$4&amp;'Funnel setup'!$K$5,".",IF(A4192=".",1,A4192+1))</f>
        <v>.</v>
      </c>
      <c r="B4193" s="431" t="str">
        <f t="shared" si="65"/>
        <v>Knee Replacement PrimaryCCG of GP PracticeNHS RICHMOND CCG (08P)Oxford Knee Score</v>
      </c>
      <c r="C4193" t="s">
        <v>249</v>
      </c>
      <c r="D4193" t="s">
        <v>87</v>
      </c>
      <c r="E4193" t="s">
        <v>797</v>
      </c>
      <c r="F4193" t="s">
        <v>798</v>
      </c>
      <c r="G4193" t="s">
        <v>16</v>
      </c>
      <c r="H4193">
        <v>58</v>
      </c>
      <c r="I4193">
        <v>20.585999999999999</v>
      </c>
      <c r="J4193">
        <v>37.31</v>
      </c>
      <c r="K4193">
        <v>16.724</v>
      </c>
      <c r="L4193">
        <v>58</v>
      </c>
      <c r="M4193">
        <v>0</v>
      </c>
      <c r="N4193">
        <v>0</v>
      </c>
      <c r="O4193">
        <v>36.08</v>
      </c>
      <c r="P4193">
        <v>16.795033190000002</v>
      </c>
      <c r="Q4193">
        <v>7.3540000000000001</v>
      </c>
    </row>
    <row r="4194" spans="1:17" x14ac:dyDescent="0.2">
      <c r="A4194" s="30" t="str">
        <f>IF(C4194&amp;G4194&amp;D4194&lt;&gt;'Funnel setup'!$K$3&amp;'Funnel setup'!$K$4&amp;'Funnel setup'!$K$5,".",IF(A4193=".",1,A4193+1))</f>
        <v>.</v>
      </c>
      <c r="B4194" s="431" t="str">
        <f t="shared" si="65"/>
        <v>Knee Replacement PrimaryCCG of GP PracticeNHS ROTHERHAM CCG (03L)Oxford Knee Score</v>
      </c>
      <c r="C4194" t="s">
        <v>249</v>
      </c>
      <c r="D4194" t="s">
        <v>87</v>
      </c>
      <c r="E4194" t="s">
        <v>800</v>
      </c>
      <c r="F4194" t="s">
        <v>801</v>
      </c>
      <c r="G4194" t="s">
        <v>16</v>
      </c>
      <c r="H4194">
        <v>211</v>
      </c>
      <c r="I4194">
        <v>17.009</v>
      </c>
      <c r="J4194">
        <v>34.909999999999997</v>
      </c>
      <c r="K4194">
        <v>17.899999999999999</v>
      </c>
      <c r="L4194">
        <v>201</v>
      </c>
      <c r="M4194">
        <v>2</v>
      </c>
      <c r="N4194">
        <v>8</v>
      </c>
      <c r="O4194">
        <v>36.125999999999998</v>
      </c>
      <c r="P4194">
        <v>16.840704970000001</v>
      </c>
      <c r="Q4194">
        <v>8.4139999999999997</v>
      </c>
    </row>
    <row r="4195" spans="1:17" x14ac:dyDescent="0.2">
      <c r="A4195" s="30" t="str">
        <f>IF(C4195&amp;G4195&amp;D4195&lt;&gt;'Funnel setup'!$K$3&amp;'Funnel setup'!$K$4&amp;'Funnel setup'!$K$5,".",IF(A4194=".",1,A4194+1))</f>
        <v>.</v>
      </c>
      <c r="B4195" s="431" t="str">
        <f t="shared" si="65"/>
        <v>Knee Replacement PrimaryCCG of GP PracticeNHS RUSHCLIFFE CCG (04N)Oxford Knee Score</v>
      </c>
      <c r="C4195" t="s">
        <v>249</v>
      </c>
      <c r="D4195" t="s">
        <v>87</v>
      </c>
      <c r="E4195" t="s">
        <v>803</v>
      </c>
      <c r="F4195" t="s">
        <v>804</v>
      </c>
      <c r="G4195" t="s">
        <v>16</v>
      </c>
      <c r="H4195">
        <v>112</v>
      </c>
      <c r="I4195">
        <v>21.795000000000002</v>
      </c>
      <c r="J4195">
        <v>36.204999999999998</v>
      </c>
      <c r="K4195">
        <v>14.411</v>
      </c>
      <c r="L4195">
        <v>101</v>
      </c>
      <c r="M4195">
        <v>1</v>
      </c>
      <c r="N4195">
        <v>10</v>
      </c>
      <c r="O4195">
        <v>34.031999999999996</v>
      </c>
      <c r="P4195">
        <v>14.74624672</v>
      </c>
      <c r="Q4195">
        <v>8.8699999999999992</v>
      </c>
    </row>
    <row r="4196" spans="1:17" x14ac:dyDescent="0.2">
      <c r="A4196" s="30" t="str">
        <f>IF(C4196&amp;G4196&amp;D4196&lt;&gt;'Funnel setup'!$K$3&amp;'Funnel setup'!$K$4&amp;'Funnel setup'!$K$5,".",IF(A4195=".",1,A4195+1))</f>
        <v>.</v>
      </c>
      <c r="B4196" s="431" t="str">
        <f t="shared" si="65"/>
        <v>Knee Replacement PrimaryCCG of GP PracticeNHS SALFORD CCG (01G)Oxford Knee Score</v>
      </c>
      <c r="C4196" t="s">
        <v>249</v>
      </c>
      <c r="D4196" t="s">
        <v>87</v>
      </c>
      <c r="E4196" t="s">
        <v>806</v>
      </c>
      <c r="F4196" t="s">
        <v>807</v>
      </c>
      <c r="G4196" t="s">
        <v>16</v>
      </c>
      <c r="H4196">
        <v>159</v>
      </c>
      <c r="I4196">
        <v>18.181999999999999</v>
      </c>
      <c r="J4196">
        <v>32.131999999999998</v>
      </c>
      <c r="K4196">
        <v>13.95</v>
      </c>
      <c r="L4196">
        <v>145</v>
      </c>
      <c r="M4196">
        <v>1</v>
      </c>
      <c r="N4196">
        <v>13</v>
      </c>
      <c r="O4196">
        <v>33.466999999999999</v>
      </c>
      <c r="P4196">
        <v>14.18159507</v>
      </c>
      <c r="Q4196">
        <v>9.5210000000000008</v>
      </c>
    </row>
    <row r="4197" spans="1:17" x14ac:dyDescent="0.2">
      <c r="A4197" s="30" t="str">
        <f>IF(C4197&amp;G4197&amp;D4197&lt;&gt;'Funnel setup'!$K$3&amp;'Funnel setup'!$K$4&amp;'Funnel setup'!$K$5,".",IF(A4196=".",1,A4196+1))</f>
        <v>.</v>
      </c>
      <c r="B4197" s="431" t="str">
        <f t="shared" si="65"/>
        <v>Knee Replacement PrimaryCCG of GP PracticeNHS SANDWELL AND WEST BIRMINGHAM CCG (05L)Oxford Knee Score</v>
      </c>
      <c r="C4197" t="s">
        <v>249</v>
      </c>
      <c r="D4197" t="s">
        <v>87</v>
      </c>
      <c r="E4197" t="s">
        <v>809</v>
      </c>
      <c r="F4197" t="s">
        <v>810</v>
      </c>
      <c r="G4197" t="s">
        <v>16</v>
      </c>
      <c r="H4197">
        <v>293</v>
      </c>
      <c r="I4197">
        <v>16.13</v>
      </c>
      <c r="J4197">
        <v>32.191000000000003</v>
      </c>
      <c r="K4197">
        <v>16.061</v>
      </c>
      <c r="L4197">
        <v>274</v>
      </c>
      <c r="M4197">
        <v>3</v>
      </c>
      <c r="N4197">
        <v>16</v>
      </c>
      <c r="O4197">
        <v>35.252000000000002</v>
      </c>
      <c r="P4197">
        <v>15.966205370000001</v>
      </c>
      <c r="Q4197">
        <v>9.4489999999999998</v>
      </c>
    </row>
    <row r="4198" spans="1:17" x14ac:dyDescent="0.2">
      <c r="A4198" s="30" t="str">
        <f>IF(C4198&amp;G4198&amp;D4198&lt;&gt;'Funnel setup'!$K$3&amp;'Funnel setup'!$K$4&amp;'Funnel setup'!$K$5,".",IF(A4197=".",1,A4197+1))</f>
        <v>.</v>
      </c>
      <c r="B4198" s="431" t="str">
        <f t="shared" si="65"/>
        <v>Knee Replacement PrimaryCCG of GP PracticeNHS SCARBOROUGH AND RYEDALE CCG (03M)Oxford Knee Score</v>
      </c>
      <c r="C4198" t="s">
        <v>249</v>
      </c>
      <c r="D4198" t="s">
        <v>87</v>
      </c>
      <c r="E4198" t="s">
        <v>812</v>
      </c>
      <c r="F4198" t="s">
        <v>813</v>
      </c>
      <c r="G4198" t="s">
        <v>16</v>
      </c>
      <c r="H4198">
        <v>143</v>
      </c>
      <c r="I4198">
        <v>18.378</v>
      </c>
      <c r="J4198">
        <v>35.335999999999999</v>
      </c>
      <c r="K4198">
        <v>16.957999999999998</v>
      </c>
      <c r="L4198">
        <v>136</v>
      </c>
      <c r="M4198">
        <v>1</v>
      </c>
      <c r="N4198">
        <v>6</v>
      </c>
      <c r="O4198">
        <v>35.731999999999999</v>
      </c>
      <c r="P4198">
        <v>16.446859790000001</v>
      </c>
      <c r="Q4198">
        <v>8.7100000000000009</v>
      </c>
    </row>
    <row r="4199" spans="1:17" x14ac:dyDescent="0.2">
      <c r="A4199" s="30" t="str">
        <f>IF(C4199&amp;G4199&amp;D4199&lt;&gt;'Funnel setup'!$K$3&amp;'Funnel setup'!$K$4&amp;'Funnel setup'!$K$5,".",IF(A4198=".",1,A4198+1))</f>
        <v>.</v>
      </c>
      <c r="B4199" s="431" t="str">
        <f t="shared" si="65"/>
        <v>Knee Replacement PrimaryCCG of GP PracticeNHS SHEFFIELD CCG (03N)Oxford Knee Score</v>
      </c>
      <c r="C4199" t="s">
        <v>249</v>
      </c>
      <c r="D4199" t="s">
        <v>87</v>
      </c>
      <c r="E4199" t="s">
        <v>815</v>
      </c>
      <c r="F4199" t="s">
        <v>816</v>
      </c>
      <c r="G4199" t="s">
        <v>16</v>
      </c>
      <c r="H4199">
        <v>520</v>
      </c>
      <c r="I4199">
        <v>17.763000000000002</v>
      </c>
      <c r="J4199">
        <v>35.268999999999998</v>
      </c>
      <c r="K4199">
        <v>17.506</v>
      </c>
      <c r="L4199">
        <v>497</v>
      </c>
      <c r="M4199">
        <v>4</v>
      </c>
      <c r="N4199">
        <v>19</v>
      </c>
      <c r="O4199">
        <v>35.994999999999997</v>
      </c>
      <c r="P4199">
        <v>16.710076990000001</v>
      </c>
      <c r="Q4199">
        <v>8.4909999999999997</v>
      </c>
    </row>
    <row r="4200" spans="1:17" x14ac:dyDescent="0.2">
      <c r="A4200" s="30" t="str">
        <f>IF(C4200&amp;G4200&amp;D4200&lt;&gt;'Funnel setup'!$K$3&amp;'Funnel setup'!$K$4&amp;'Funnel setup'!$K$5,".",IF(A4199=".",1,A4199+1))</f>
        <v>.</v>
      </c>
      <c r="B4200" s="431" t="str">
        <f t="shared" si="65"/>
        <v>Knee Replacement PrimaryCCG of GP PracticeNHS SHROPSHIRE CCG (05N)Oxford Knee Score</v>
      </c>
      <c r="C4200" t="s">
        <v>249</v>
      </c>
      <c r="D4200" t="s">
        <v>87</v>
      </c>
      <c r="E4200" t="s">
        <v>818</v>
      </c>
      <c r="F4200" t="s">
        <v>819</v>
      </c>
      <c r="G4200" t="s">
        <v>16</v>
      </c>
      <c r="H4200">
        <v>383</v>
      </c>
      <c r="I4200">
        <v>18.381</v>
      </c>
      <c r="J4200">
        <v>36.942999999999998</v>
      </c>
      <c r="K4200">
        <v>18.561</v>
      </c>
      <c r="L4200">
        <v>371</v>
      </c>
      <c r="M4200">
        <v>0</v>
      </c>
      <c r="N4200">
        <v>12</v>
      </c>
      <c r="O4200">
        <v>35.732999999999997</v>
      </c>
      <c r="P4200">
        <v>16.447572059999999</v>
      </c>
      <c r="Q4200">
        <v>8.2219999999999995</v>
      </c>
    </row>
    <row r="4201" spans="1:17" x14ac:dyDescent="0.2">
      <c r="A4201" s="30" t="str">
        <f>IF(C4201&amp;G4201&amp;D4201&lt;&gt;'Funnel setup'!$K$3&amp;'Funnel setup'!$K$4&amp;'Funnel setup'!$K$5,".",IF(A4200=".",1,A4200+1))</f>
        <v>.</v>
      </c>
      <c r="B4201" s="431" t="str">
        <f t="shared" si="65"/>
        <v>Knee Replacement PrimaryCCG of GP PracticeNHS SLOUGH CCG (10T)Oxford Knee Score</v>
      </c>
      <c r="C4201" t="s">
        <v>249</v>
      </c>
      <c r="D4201" t="s">
        <v>87</v>
      </c>
      <c r="E4201" t="s">
        <v>821</v>
      </c>
      <c r="F4201" t="s">
        <v>822</v>
      </c>
      <c r="G4201" t="s">
        <v>16</v>
      </c>
      <c r="H4201">
        <v>55</v>
      </c>
      <c r="I4201">
        <v>18.364000000000001</v>
      </c>
      <c r="J4201">
        <v>31.527000000000001</v>
      </c>
      <c r="K4201">
        <v>13.164</v>
      </c>
      <c r="L4201">
        <v>50</v>
      </c>
      <c r="M4201">
        <v>0</v>
      </c>
      <c r="N4201">
        <v>5</v>
      </c>
      <c r="O4201">
        <v>32.997</v>
      </c>
      <c r="P4201">
        <v>13.71190021</v>
      </c>
      <c r="Q4201">
        <v>8.1470000000000002</v>
      </c>
    </row>
    <row r="4202" spans="1:17" x14ac:dyDescent="0.2">
      <c r="A4202" s="30" t="str">
        <f>IF(C4202&amp;G4202&amp;D4202&lt;&gt;'Funnel setup'!$K$3&amp;'Funnel setup'!$K$4&amp;'Funnel setup'!$K$5,".",IF(A4201=".",1,A4201+1))</f>
        <v>.</v>
      </c>
      <c r="B4202" s="431" t="str">
        <f t="shared" si="65"/>
        <v>Knee Replacement PrimaryCCG of GP PracticeNHS SOLIHULL CCG (05P)Oxford Knee Score</v>
      </c>
      <c r="C4202" t="s">
        <v>249</v>
      </c>
      <c r="D4202" t="s">
        <v>87</v>
      </c>
      <c r="E4202" t="s">
        <v>824</v>
      </c>
      <c r="F4202" t="s">
        <v>825</v>
      </c>
      <c r="G4202" t="s">
        <v>16</v>
      </c>
      <c r="H4202">
        <v>262</v>
      </c>
      <c r="I4202">
        <v>19.481000000000002</v>
      </c>
      <c r="J4202">
        <v>34.655999999999999</v>
      </c>
      <c r="K4202">
        <v>15.176</v>
      </c>
      <c r="L4202">
        <v>237</v>
      </c>
      <c r="M4202">
        <v>3</v>
      </c>
      <c r="N4202">
        <v>22</v>
      </c>
      <c r="O4202">
        <v>35.005000000000003</v>
      </c>
      <c r="P4202">
        <v>15.71944972</v>
      </c>
      <c r="Q4202">
        <v>8.81</v>
      </c>
    </row>
    <row r="4203" spans="1:17" x14ac:dyDescent="0.2">
      <c r="A4203" s="30" t="str">
        <f>IF(C4203&amp;G4203&amp;D4203&lt;&gt;'Funnel setup'!$K$3&amp;'Funnel setup'!$K$4&amp;'Funnel setup'!$K$5,".",IF(A4202=".",1,A4202+1))</f>
        <v>.</v>
      </c>
      <c r="B4203" s="431" t="str">
        <f t="shared" si="65"/>
        <v>Knee Replacement PrimaryCCG of GP PracticeNHS SOMERSET CCG (11X)Oxford Knee Score</v>
      </c>
      <c r="C4203" t="s">
        <v>249</v>
      </c>
      <c r="D4203" t="s">
        <v>87</v>
      </c>
      <c r="E4203" t="s">
        <v>827</v>
      </c>
      <c r="F4203" t="s">
        <v>828</v>
      </c>
      <c r="G4203" t="s">
        <v>16</v>
      </c>
      <c r="H4203">
        <v>443</v>
      </c>
      <c r="I4203">
        <v>19.856000000000002</v>
      </c>
      <c r="J4203">
        <v>38.072000000000003</v>
      </c>
      <c r="K4203">
        <v>18.216999999999999</v>
      </c>
      <c r="L4203">
        <v>425</v>
      </c>
      <c r="M4203">
        <v>5</v>
      </c>
      <c r="N4203">
        <v>13</v>
      </c>
      <c r="O4203">
        <v>37.167000000000002</v>
      </c>
      <c r="P4203">
        <v>17.881370050000001</v>
      </c>
      <c r="Q4203">
        <v>7.7640000000000002</v>
      </c>
    </row>
    <row r="4204" spans="1:17" x14ac:dyDescent="0.2">
      <c r="A4204" s="30" t="str">
        <f>IF(C4204&amp;G4204&amp;D4204&lt;&gt;'Funnel setup'!$K$3&amp;'Funnel setup'!$K$4&amp;'Funnel setup'!$K$5,".",IF(A4203=".",1,A4203+1))</f>
        <v>.</v>
      </c>
      <c r="B4204" s="431" t="str">
        <f t="shared" si="65"/>
        <v>Knee Replacement PrimaryCCG of GP PracticeNHS SOUTH CHESHIRE CCG (01R)Oxford Knee Score</v>
      </c>
      <c r="C4204" t="s">
        <v>249</v>
      </c>
      <c r="D4204" t="s">
        <v>87</v>
      </c>
      <c r="E4204" t="s">
        <v>830</v>
      </c>
      <c r="F4204" t="s">
        <v>831</v>
      </c>
      <c r="G4204" t="s">
        <v>16</v>
      </c>
      <c r="H4204">
        <v>180</v>
      </c>
      <c r="I4204">
        <v>20.861000000000001</v>
      </c>
      <c r="J4204">
        <v>36.478000000000002</v>
      </c>
      <c r="K4204">
        <v>15.617000000000001</v>
      </c>
      <c r="L4204">
        <v>164</v>
      </c>
      <c r="M4204">
        <v>2</v>
      </c>
      <c r="N4204">
        <v>14</v>
      </c>
      <c r="O4204">
        <v>34.688000000000002</v>
      </c>
      <c r="P4204">
        <v>15.40298482</v>
      </c>
      <c r="Q4204">
        <v>7.9720000000000004</v>
      </c>
    </row>
    <row r="4205" spans="1:17" x14ac:dyDescent="0.2">
      <c r="A4205" s="30" t="str">
        <f>IF(C4205&amp;G4205&amp;D4205&lt;&gt;'Funnel setup'!$K$3&amp;'Funnel setup'!$K$4&amp;'Funnel setup'!$K$5,".",IF(A4204=".",1,A4204+1))</f>
        <v>.</v>
      </c>
      <c r="B4205" s="431" t="str">
        <f t="shared" si="65"/>
        <v>Knee Replacement PrimaryCCG of GP PracticeNHS SOUTH DEVON AND TORBAY CCG (99Q)Oxford Knee Score</v>
      </c>
      <c r="C4205" t="s">
        <v>249</v>
      </c>
      <c r="D4205" t="s">
        <v>87</v>
      </c>
      <c r="E4205" t="s">
        <v>833</v>
      </c>
      <c r="F4205" t="s">
        <v>834</v>
      </c>
      <c r="G4205" t="s">
        <v>16</v>
      </c>
      <c r="H4205">
        <v>342</v>
      </c>
      <c r="I4205">
        <v>19.544</v>
      </c>
      <c r="J4205">
        <v>35.57</v>
      </c>
      <c r="K4205">
        <v>16.026</v>
      </c>
      <c r="L4205">
        <v>323</v>
      </c>
      <c r="M4205">
        <v>4</v>
      </c>
      <c r="N4205">
        <v>15</v>
      </c>
      <c r="O4205">
        <v>35.57</v>
      </c>
      <c r="P4205">
        <v>16.284159880000001</v>
      </c>
      <c r="Q4205">
        <v>8.6750000000000007</v>
      </c>
    </row>
    <row r="4206" spans="1:17" x14ac:dyDescent="0.2">
      <c r="A4206" s="30" t="str">
        <f>IF(C4206&amp;G4206&amp;D4206&lt;&gt;'Funnel setup'!$K$3&amp;'Funnel setup'!$K$4&amp;'Funnel setup'!$K$5,".",IF(A4205=".",1,A4205+1))</f>
        <v>.</v>
      </c>
      <c r="B4206" s="431" t="str">
        <f t="shared" si="65"/>
        <v>Knee Replacement PrimaryCCG of GP PracticeNHS SOUTH EAST STAFFORDSHIRE AND SEISDON PENINSULA CCG (05Q)Oxford Knee Score</v>
      </c>
      <c r="C4206" t="s">
        <v>249</v>
      </c>
      <c r="D4206" t="s">
        <v>87</v>
      </c>
      <c r="E4206" t="s">
        <v>836</v>
      </c>
      <c r="F4206" t="s">
        <v>837</v>
      </c>
      <c r="G4206" t="s">
        <v>16</v>
      </c>
      <c r="H4206">
        <v>235</v>
      </c>
      <c r="I4206">
        <v>18.719000000000001</v>
      </c>
      <c r="J4206">
        <v>35.442999999999998</v>
      </c>
      <c r="K4206">
        <v>16.722999999999999</v>
      </c>
      <c r="L4206">
        <v>221</v>
      </c>
      <c r="M4206">
        <v>2</v>
      </c>
      <c r="N4206">
        <v>12</v>
      </c>
      <c r="O4206">
        <v>35.279000000000003</v>
      </c>
      <c r="P4206">
        <v>15.99373495</v>
      </c>
      <c r="Q4206">
        <v>8.6669999999999998</v>
      </c>
    </row>
    <row r="4207" spans="1:17" x14ac:dyDescent="0.2">
      <c r="A4207" s="30" t="str">
        <f>IF(C4207&amp;G4207&amp;D4207&lt;&gt;'Funnel setup'!$K$3&amp;'Funnel setup'!$K$4&amp;'Funnel setup'!$K$5,".",IF(A4206=".",1,A4206+1))</f>
        <v>.</v>
      </c>
      <c r="B4207" s="431" t="str">
        <f t="shared" si="65"/>
        <v>Knee Replacement PrimaryCCG of GP PracticeNHS SOUTH EASTERN HAMPSHIRE CCG (10V)Oxford Knee Score</v>
      </c>
      <c r="C4207" t="s">
        <v>249</v>
      </c>
      <c r="D4207" t="s">
        <v>87</v>
      </c>
      <c r="E4207" t="s">
        <v>839</v>
      </c>
      <c r="F4207" t="s">
        <v>840</v>
      </c>
      <c r="G4207" t="s">
        <v>16</v>
      </c>
      <c r="H4207">
        <v>121</v>
      </c>
      <c r="I4207">
        <v>20.364000000000001</v>
      </c>
      <c r="J4207">
        <v>37.81</v>
      </c>
      <c r="K4207">
        <v>17.446000000000002</v>
      </c>
      <c r="L4207">
        <v>119</v>
      </c>
      <c r="M4207">
        <v>0</v>
      </c>
      <c r="N4207">
        <v>2</v>
      </c>
      <c r="O4207">
        <v>36.521000000000001</v>
      </c>
      <c r="P4207">
        <v>17.23534463</v>
      </c>
      <c r="Q4207">
        <v>7.1360000000000001</v>
      </c>
    </row>
    <row r="4208" spans="1:17" x14ac:dyDescent="0.2">
      <c r="A4208" s="30" t="str">
        <f>IF(C4208&amp;G4208&amp;D4208&lt;&gt;'Funnel setup'!$K$3&amp;'Funnel setup'!$K$4&amp;'Funnel setup'!$K$5,".",IF(A4207=".",1,A4207+1))</f>
        <v>.</v>
      </c>
      <c r="B4208" s="431" t="str">
        <f t="shared" si="65"/>
        <v>Knee Replacement PrimaryCCG of GP PracticeNHS SOUTH GLOUCESTERSHIRE CCG (12A)Oxford Knee Score</v>
      </c>
      <c r="C4208" t="s">
        <v>249</v>
      </c>
      <c r="D4208" t="s">
        <v>87</v>
      </c>
      <c r="E4208" t="s">
        <v>842</v>
      </c>
      <c r="F4208" t="s">
        <v>843</v>
      </c>
      <c r="G4208" t="s">
        <v>16</v>
      </c>
      <c r="H4208">
        <v>228</v>
      </c>
      <c r="I4208">
        <v>20.013000000000002</v>
      </c>
      <c r="J4208">
        <v>37.654000000000003</v>
      </c>
      <c r="K4208">
        <v>17.64</v>
      </c>
      <c r="L4208">
        <v>218</v>
      </c>
      <c r="M4208">
        <v>2</v>
      </c>
      <c r="N4208">
        <v>8</v>
      </c>
      <c r="O4208">
        <v>36.256999999999998</v>
      </c>
      <c r="P4208">
        <v>16.971829549999999</v>
      </c>
      <c r="Q4208">
        <v>7.6589999999999998</v>
      </c>
    </row>
    <row r="4209" spans="1:17" x14ac:dyDescent="0.2">
      <c r="A4209" s="30" t="str">
        <f>IF(C4209&amp;G4209&amp;D4209&lt;&gt;'Funnel setup'!$K$3&amp;'Funnel setup'!$K$4&amp;'Funnel setup'!$K$5,".",IF(A4208=".",1,A4208+1))</f>
        <v>.</v>
      </c>
      <c r="B4209" s="431" t="str">
        <f t="shared" si="65"/>
        <v>Knee Replacement PrimaryCCG of GP PracticeNHS SOUTH KENT COAST CCG (10A)Oxford Knee Score</v>
      </c>
      <c r="C4209" t="s">
        <v>249</v>
      </c>
      <c r="D4209" t="s">
        <v>87</v>
      </c>
      <c r="E4209" t="s">
        <v>845</v>
      </c>
      <c r="F4209" t="s">
        <v>846</v>
      </c>
      <c r="G4209" t="s">
        <v>16</v>
      </c>
      <c r="H4209">
        <v>163</v>
      </c>
      <c r="I4209">
        <v>19.428999999999998</v>
      </c>
      <c r="J4209">
        <v>34.552</v>
      </c>
      <c r="K4209">
        <v>15.122999999999999</v>
      </c>
      <c r="L4209">
        <v>145</v>
      </c>
      <c r="M4209">
        <v>3</v>
      </c>
      <c r="N4209">
        <v>15</v>
      </c>
      <c r="O4209">
        <v>34.533000000000001</v>
      </c>
      <c r="P4209">
        <v>15.247286040000001</v>
      </c>
      <c r="Q4209">
        <v>8.8930000000000007</v>
      </c>
    </row>
    <row r="4210" spans="1:17" x14ac:dyDescent="0.2">
      <c r="A4210" s="30" t="str">
        <f>IF(C4210&amp;G4210&amp;D4210&lt;&gt;'Funnel setup'!$K$3&amp;'Funnel setup'!$K$4&amp;'Funnel setup'!$K$5,".",IF(A4209=".",1,A4209+1))</f>
        <v>.</v>
      </c>
      <c r="B4210" s="431" t="str">
        <f t="shared" si="65"/>
        <v>Knee Replacement PrimaryCCG of GP PracticeNHS SOUTH LINCOLNSHIRE CCG (99D)Oxford Knee Score</v>
      </c>
      <c r="C4210" t="s">
        <v>249</v>
      </c>
      <c r="D4210" t="s">
        <v>87</v>
      </c>
      <c r="E4210" t="s">
        <v>848</v>
      </c>
      <c r="F4210" t="s">
        <v>849</v>
      </c>
      <c r="G4210" t="s">
        <v>16</v>
      </c>
      <c r="H4210">
        <v>215</v>
      </c>
      <c r="I4210">
        <v>20.628</v>
      </c>
      <c r="J4210">
        <v>35.93</v>
      </c>
      <c r="K4210">
        <v>15.302</v>
      </c>
      <c r="L4210">
        <v>198</v>
      </c>
      <c r="M4210">
        <v>1</v>
      </c>
      <c r="N4210">
        <v>16</v>
      </c>
      <c r="O4210">
        <v>34.728999999999999</v>
      </c>
      <c r="P4210">
        <v>15.443229430000001</v>
      </c>
      <c r="Q4210">
        <v>8.6199999999999992</v>
      </c>
    </row>
    <row r="4211" spans="1:17" x14ac:dyDescent="0.2">
      <c r="A4211" s="30" t="str">
        <f>IF(C4211&amp;G4211&amp;D4211&lt;&gt;'Funnel setup'!$K$3&amp;'Funnel setup'!$K$4&amp;'Funnel setup'!$K$5,".",IF(A4210=".",1,A4210+1))</f>
        <v>.</v>
      </c>
      <c r="B4211" s="431" t="str">
        <f t="shared" si="65"/>
        <v>Knee Replacement PrimaryCCG of GP PracticeNHS SOUTH MANCHESTER CCG (01N)Oxford Knee Score</v>
      </c>
      <c r="C4211" t="s">
        <v>249</v>
      </c>
      <c r="D4211" t="s">
        <v>87</v>
      </c>
      <c r="E4211" t="s">
        <v>851</v>
      </c>
      <c r="F4211" t="s">
        <v>852</v>
      </c>
      <c r="G4211" t="s">
        <v>16</v>
      </c>
      <c r="H4211">
        <v>66</v>
      </c>
      <c r="I4211">
        <v>18.954999999999998</v>
      </c>
      <c r="J4211">
        <v>32.863999999999997</v>
      </c>
      <c r="K4211">
        <v>13.909000000000001</v>
      </c>
      <c r="L4211">
        <v>59</v>
      </c>
      <c r="M4211">
        <v>1</v>
      </c>
      <c r="N4211">
        <v>6</v>
      </c>
      <c r="O4211">
        <v>34.792999999999999</v>
      </c>
      <c r="P4211">
        <v>15.50739411</v>
      </c>
      <c r="Q4211">
        <v>9.2840000000000007</v>
      </c>
    </row>
    <row r="4212" spans="1:17" x14ac:dyDescent="0.2">
      <c r="A4212" s="30" t="str">
        <f>IF(C4212&amp;G4212&amp;D4212&lt;&gt;'Funnel setup'!$K$3&amp;'Funnel setup'!$K$4&amp;'Funnel setup'!$K$5,".",IF(A4211=".",1,A4211+1))</f>
        <v>.</v>
      </c>
      <c r="B4212" s="431" t="str">
        <f t="shared" si="65"/>
        <v>Knee Replacement PrimaryCCG of GP PracticeNHS SOUTH NORFOLK CCG (06Y)Oxford Knee Score</v>
      </c>
      <c r="C4212" t="s">
        <v>249</v>
      </c>
      <c r="D4212" t="s">
        <v>87</v>
      </c>
      <c r="E4212" t="s">
        <v>932</v>
      </c>
      <c r="F4212" t="s">
        <v>933</v>
      </c>
      <c r="G4212" t="s">
        <v>16</v>
      </c>
      <c r="H4212">
        <v>198</v>
      </c>
      <c r="I4212">
        <v>19.581</v>
      </c>
      <c r="J4212">
        <v>35.308</v>
      </c>
      <c r="K4212">
        <v>15.727</v>
      </c>
      <c r="L4212">
        <v>185</v>
      </c>
      <c r="M4212">
        <v>2</v>
      </c>
      <c r="N4212">
        <v>11</v>
      </c>
      <c r="O4212">
        <v>34.503999999999998</v>
      </c>
      <c r="P4212">
        <v>15.21887663</v>
      </c>
      <c r="Q4212">
        <v>8.7970000000000006</v>
      </c>
    </row>
    <row r="4213" spans="1:17" x14ac:dyDescent="0.2">
      <c r="A4213" s="30" t="str">
        <f>IF(C4213&amp;G4213&amp;D4213&lt;&gt;'Funnel setup'!$K$3&amp;'Funnel setup'!$K$4&amp;'Funnel setup'!$K$5,".",IF(A4212=".",1,A4212+1))</f>
        <v>.</v>
      </c>
      <c r="B4213" s="431" t="str">
        <f t="shared" si="65"/>
        <v>Knee Replacement PrimaryCCG of GP PracticeNHS SOUTH READING CCG (10W)Oxford Knee Score</v>
      </c>
      <c r="C4213" t="s">
        <v>249</v>
      </c>
      <c r="D4213" t="s">
        <v>87</v>
      </c>
      <c r="E4213" t="s">
        <v>935</v>
      </c>
      <c r="F4213" t="s">
        <v>936</v>
      </c>
      <c r="G4213" t="s">
        <v>16</v>
      </c>
      <c r="H4213">
        <v>36</v>
      </c>
      <c r="I4213">
        <v>21</v>
      </c>
      <c r="J4213">
        <v>36.082999999999998</v>
      </c>
      <c r="K4213">
        <v>15.083</v>
      </c>
      <c r="L4213">
        <v>34</v>
      </c>
      <c r="M4213">
        <v>0</v>
      </c>
      <c r="N4213">
        <v>2</v>
      </c>
      <c r="O4213">
        <v>35.097000000000001</v>
      </c>
      <c r="P4213">
        <v>15.811756040000001</v>
      </c>
      <c r="Q4213">
        <v>7.4889999999999999</v>
      </c>
    </row>
    <row r="4214" spans="1:17" x14ac:dyDescent="0.2">
      <c r="A4214" s="30" t="str">
        <f>IF(C4214&amp;G4214&amp;D4214&lt;&gt;'Funnel setup'!$K$3&amp;'Funnel setup'!$K$4&amp;'Funnel setup'!$K$5,".",IF(A4213=".",1,A4213+1))</f>
        <v>.</v>
      </c>
      <c r="B4214" s="431" t="str">
        <f t="shared" si="65"/>
        <v>Knee Replacement PrimaryCCG of GP PracticeNHS SOUTH SEFTON CCG (01T)Oxford Knee Score</v>
      </c>
      <c r="C4214" t="s">
        <v>249</v>
      </c>
      <c r="D4214" t="s">
        <v>87</v>
      </c>
      <c r="E4214" t="s">
        <v>938</v>
      </c>
      <c r="F4214" t="s">
        <v>939</v>
      </c>
      <c r="G4214" t="s">
        <v>16</v>
      </c>
      <c r="H4214">
        <v>121</v>
      </c>
      <c r="I4214">
        <v>17.62</v>
      </c>
      <c r="J4214">
        <v>33.289000000000001</v>
      </c>
      <c r="K4214">
        <v>15.669</v>
      </c>
      <c r="L4214">
        <v>115</v>
      </c>
      <c r="M4214">
        <v>0</v>
      </c>
      <c r="N4214">
        <v>6</v>
      </c>
      <c r="O4214">
        <v>34.984999999999999</v>
      </c>
      <c r="P4214">
        <v>15.69958589</v>
      </c>
      <c r="Q4214">
        <v>8.9649999999999999</v>
      </c>
    </row>
    <row r="4215" spans="1:17" x14ac:dyDescent="0.2">
      <c r="A4215" s="30" t="str">
        <f>IF(C4215&amp;G4215&amp;D4215&lt;&gt;'Funnel setup'!$K$3&amp;'Funnel setup'!$K$4&amp;'Funnel setup'!$K$5,".",IF(A4214=".",1,A4214+1))</f>
        <v>.</v>
      </c>
      <c r="B4215" s="431" t="str">
        <f t="shared" si="65"/>
        <v>Knee Replacement PrimaryCCG of GP PracticeNHS SOUTH TEES CCG (00M)Oxford Knee Score</v>
      </c>
      <c r="C4215" t="s">
        <v>249</v>
      </c>
      <c r="D4215" t="s">
        <v>87</v>
      </c>
      <c r="E4215" t="s">
        <v>941</v>
      </c>
      <c r="F4215" t="s">
        <v>942</v>
      </c>
      <c r="G4215" t="s">
        <v>16</v>
      </c>
      <c r="H4215">
        <v>363</v>
      </c>
      <c r="I4215">
        <v>18.812999999999999</v>
      </c>
      <c r="J4215">
        <v>35.686</v>
      </c>
      <c r="K4215">
        <v>16.873000000000001</v>
      </c>
      <c r="L4215">
        <v>344</v>
      </c>
      <c r="M4215">
        <v>5</v>
      </c>
      <c r="N4215">
        <v>14</v>
      </c>
      <c r="O4215">
        <v>36.729999999999997</v>
      </c>
      <c r="P4215">
        <v>17.444923930000002</v>
      </c>
      <c r="Q4215">
        <v>8.3840000000000003</v>
      </c>
    </row>
    <row r="4216" spans="1:17" x14ac:dyDescent="0.2">
      <c r="A4216" s="30" t="str">
        <f>IF(C4216&amp;G4216&amp;D4216&lt;&gt;'Funnel setup'!$K$3&amp;'Funnel setup'!$K$4&amp;'Funnel setup'!$K$5,".",IF(A4215=".",1,A4215+1))</f>
        <v>.</v>
      </c>
      <c r="B4216" s="431" t="str">
        <f t="shared" si="65"/>
        <v>Knee Replacement PrimaryCCG of GP PracticeNHS SOUTH TYNESIDE CCG (00N)Oxford Knee Score</v>
      </c>
      <c r="C4216" t="s">
        <v>249</v>
      </c>
      <c r="D4216" t="s">
        <v>87</v>
      </c>
      <c r="E4216" t="s">
        <v>1016</v>
      </c>
      <c r="F4216" t="s">
        <v>1017</v>
      </c>
      <c r="G4216" t="s">
        <v>16</v>
      </c>
      <c r="H4216">
        <v>142</v>
      </c>
      <c r="I4216">
        <v>18.57</v>
      </c>
      <c r="J4216">
        <v>33.5</v>
      </c>
      <c r="K4216">
        <v>14.93</v>
      </c>
      <c r="L4216">
        <v>126</v>
      </c>
      <c r="M4216">
        <v>1</v>
      </c>
      <c r="N4216">
        <v>15</v>
      </c>
      <c r="O4216">
        <v>34.091000000000001</v>
      </c>
      <c r="P4216">
        <v>14.80535047</v>
      </c>
      <c r="Q4216">
        <v>10.227</v>
      </c>
    </row>
    <row r="4217" spans="1:17" x14ac:dyDescent="0.2">
      <c r="A4217" s="30" t="str">
        <f>IF(C4217&amp;G4217&amp;D4217&lt;&gt;'Funnel setup'!$K$3&amp;'Funnel setup'!$K$4&amp;'Funnel setup'!$K$5,".",IF(A4216=".",1,A4216+1))</f>
        <v>.</v>
      </c>
      <c r="B4217" s="431" t="str">
        <f t="shared" si="65"/>
        <v>Knee Replacement PrimaryCCG of GP PracticeNHS SOUTH WARWICKSHIRE CCG (05R)Oxford Knee Score</v>
      </c>
      <c r="C4217" t="s">
        <v>249</v>
      </c>
      <c r="D4217" t="s">
        <v>87</v>
      </c>
      <c r="E4217" t="s">
        <v>944</v>
      </c>
      <c r="F4217" t="s">
        <v>945</v>
      </c>
      <c r="G4217" t="s">
        <v>16</v>
      </c>
      <c r="H4217">
        <v>277</v>
      </c>
      <c r="I4217">
        <v>20.971</v>
      </c>
      <c r="J4217">
        <v>35.819000000000003</v>
      </c>
      <c r="K4217">
        <v>14.848000000000001</v>
      </c>
      <c r="L4217">
        <v>256</v>
      </c>
      <c r="M4217">
        <v>3</v>
      </c>
      <c r="N4217">
        <v>18</v>
      </c>
      <c r="O4217">
        <v>34.613</v>
      </c>
      <c r="P4217">
        <v>15.32731427</v>
      </c>
      <c r="Q4217">
        <v>8.5839999999999996</v>
      </c>
    </row>
    <row r="4218" spans="1:17" x14ac:dyDescent="0.2">
      <c r="A4218" s="30" t="str">
        <f>IF(C4218&amp;G4218&amp;D4218&lt;&gt;'Funnel setup'!$K$3&amp;'Funnel setup'!$K$4&amp;'Funnel setup'!$K$5,".",IF(A4217=".",1,A4217+1))</f>
        <v>.</v>
      </c>
      <c r="B4218" s="431" t="str">
        <f t="shared" si="65"/>
        <v>Knee Replacement PrimaryCCG of GP PracticeNHS SOUTH WEST LINCOLNSHIRE CCG (04Q)Oxford Knee Score</v>
      </c>
      <c r="C4218" t="s">
        <v>249</v>
      </c>
      <c r="D4218" t="s">
        <v>87</v>
      </c>
      <c r="E4218" t="s">
        <v>947</v>
      </c>
      <c r="F4218" t="s">
        <v>948</v>
      </c>
      <c r="G4218" t="s">
        <v>16</v>
      </c>
      <c r="H4218">
        <v>125</v>
      </c>
      <c r="I4218">
        <v>19.559999999999999</v>
      </c>
      <c r="J4218">
        <v>35.591999999999999</v>
      </c>
      <c r="K4218">
        <v>16.032</v>
      </c>
      <c r="L4218">
        <v>112</v>
      </c>
      <c r="M4218">
        <v>2</v>
      </c>
      <c r="N4218">
        <v>11</v>
      </c>
      <c r="O4218">
        <v>35.177</v>
      </c>
      <c r="P4218">
        <v>15.891806770000001</v>
      </c>
      <c r="Q4218">
        <v>9.5289999999999999</v>
      </c>
    </row>
    <row r="4219" spans="1:17" x14ac:dyDescent="0.2">
      <c r="A4219" s="30" t="str">
        <f>IF(C4219&amp;G4219&amp;D4219&lt;&gt;'Funnel setup'!$K$3&amp;'Funnel setup'!$K$4&amp;'Funnel setup'!$K$5,".",IF(A4218=".",1,A4218+1))</f>
        <v>.</v>
      </c>
      <c r="B4219" s="431" t="str">
        <f t="shared" si="65"/>
        <v>Knee Replacement PrimaryCCG of GP PracticeNHS SOUTH WORCESTERSHIRE CCG (05T)Oxford Knee Score</v>
      </c>
      <c r="C4219" t="s">
        <v>249</v>
      </c>
      <c r="D4219" t="s">
        <v>87</v>
      </c>
      <c r="E4219" t="s">
        <v>950</v>
      </c>
      <c r="F4219" t="s">
        <v>951</v>
      </c>
      <c r="G4219" t="s">
        <v>16</v>
      </c>
      <c r="H4219">
        <v>184</v>
      </c>
      <c r="I4219">
        <v>21.510999999999999</v>
      </c>
      <c r="J4219">
        <v>37.097999999999999</v>
      </c>
      <c r="K4219">
        <v>15.587</v>
      </c>
      <c r="L4219">
        <v>173</v>
      </c>
      <c r="M4219">
        <v>3</v>
      </c>
      <c r="N4219">
        <v>8</v>
      </c>
      <c r="O4219">
        <v>35.731000000000002</v>
      </c>
      <c r="P4219">
        <v>16.446062049999998</v>
      </c>
      <c r="Q4219">
        <v>8.0839999999999996</v>
      </c>
    </row>
    <row r="4220" spans="1:17" x14ac:dyDescent="0.2">
      <c r="A4220" s="30" t="str">
        <f>IF(C4220&amp;G4220&amp;D4220&lt;&gt;'Funnel setup'!$K$3&amp;'Funnel setup'!$K$4&amp;'Funnel setup'!$K$5,".",IF(A4219=".",1,A4219+1))</f>
        <v>.</v>
      </c>
      <c r="B4220" s="431" t="str">
        <f t="shared" si="65"/>
        <v>Knee Replacement PrimaryCCG of GP PracticeNHS SOUTHAMPTON CCG (10X)Oxford Knee Score</v>
      </c>
      <c r="C4220" t="s">
        <v>249</v>
      </c>
      <c r="D4220" t="s">
        <v>87</v>
      </c>
      <c r="E4220" t="s">
        <v>953</v>
      </c>
      <c r="F4220" t="s">
        <v>954</v>
      </c>
      <c r="G4220" t="s">
        <v>16</v>
      </c>
      <c r="H4220">
        <v>182</v>
      </c>
      <c r="I4220">
        <v>18.28</v>
      </c>
      <c r="J4220">
        <v>34.505000000000003</v>
      </c>
      <c r="K4220">
        <v>16.225000000000001</v>
      </c>
      <c r="L4220">
        <v>170</v>
      </c>
      <c r="M4220">
        <v>1</v>
      </c>
      <c r="N4220">
        <v>11</v>
      </c>
      <c r="O4220">
        <v>35.131</v>
      </c>
      <c r="P4220">
        <v>15.84590317</v>
      </c>
      <c r="Q4220">
        <v>8.875</v>
      </c>
    </row>
    <row r="4221" spans="1:17" x14ac:dyDescent="0.2">
      <c r="A4221" s="30" t="str">
        <f>IF(C4221&amp;G4221&amp;D4221&lt;&gt;'Funnel setup'!$K$3&amp;'Funnel setup'!$K$4&amp;'Funnel setup'!$K$5,".",IF(A4220=".",1,A4220+1))</f>
        <v>.</v>
      </c>
      <c r="B4221" s="431" t="str">
        <f t="shared" si="65"/>
        <v>Knee Replacement PrimaryCCG of GP PracticeNHS SOUTHEND CCG (99G)Oxford Knee Score</v>
      </c>
      <c r="C4221" t="s">
        <v>249</v>
      </c>
      <c r="D4221" t="s">
        <v>87</v>
      </c>
      <c r="E4221" t="s">
        <v>956</v>
      </c>
      <c r="F4221" t="s">
        <v>957</v>
      </c>
      <c r="G4221" t="s">
        <v>16</v>
      </c>
      <c r="H4221">
        <v>122</v>
      </c>
      <c r="I4221">
        <v>18.574000000000002</v>
      </c>
      <c r="J4221">
        <v>34.466999999999999</v>
      </c>
      <c r="K4221">
        <v>15.893000000000001</v>
      </c>
      <c r="L4221">
        <v>112</v>
      </c>
      <c r="M4221">
        <v>2</v>
      </c>
      <c r="N4221">
        <v>8</v>
      </c>
      <c r="O4221">
        <v>34.933999999999997</v>
      </c>
      <c r="P4221">
        <v>15.64847168</v>
      </c>
      <c r="Q4221">
        <v>8.4260000000000002</v>
      </c>
    </row>
    <row r="4222" spans="1:17" x14ac:dyDescent="0.2">
      <c r="A4222" s="30" t="str">
        <f>IF(C4222&amp;G4222&amp;D4222&lt;&gt;'Funnel setup'!$K$3&amp;'Funnel setup'!$K$4&amp;'Funnel setup'!$K$5,".",IF(A4221=".",1,A4221+1))</f>
        <v>.</v>
      </c>
      <c r="B4222" s="431" t="str">
        <f t="shared" si="65"/>
        <v>Knee Replacement PrimaryCCG of GP PracticeNHS SOUTHERN DERBYSHIRE CCG (04R)Oxford Knee Score</v>
      </c>
      <c r="C4222" t="s">
        <v>249</v>
      </c>
      <c r="D4222" t="s">
        <v>87</v>
      </c>
      <c r="E4222" t="s">
        <v>959</v>
      </c>
      <c r="F4222" t="s">
        <v>960</v>
      </c>
      <c r="G4222" t="s">
        <v>16</v>
      </c>
      <c r="H4222">
        <v>484</v>
      </c>
      <c r="I4222">
        <v>20.192</v>
      </c>
      <c r="J4222">
        <v>36.374000000000002</v>
      </c>
      <c r="K4222">
        <v>16.181999999999999</v>
      </c>
      <c r="L4222">
        <v>459</v>
      </c>
      <c r="M4222">
        <v>5</v>
      </c>
      <c r="N4222">
        <v>20</v>
      </c>
      <c r="O4222">
        <v>35.795999999999999</v>
      </c>
      <c r="P4222">
        <v>16.510368759999999</v>
      </c>
      <c r="Q4222">
        <v>7.8330000000000002</v>
      </c>
    </row>
    <row r="4223" spans="1:17" x14ac:dyDescent="0.2">
      <c r="A4223" s="30" t="str">
        <f>IF(C4223&amp;G4223&amp;D4223&lt;&gt;'Funnel setup'!$K$3&amp;'Funnel setup'!$K$4&amp;'Funnel setup'!$K$5,".",IF(A4222=".",1,A4222+1))</f>
        <v>.</v>
      </c>
      <c r="B4223" s="431" t="str">
        <f t="shared" si="65"/>
        <v>Knee Replacement PrimaryCCG of GP PracticeNHS SOUTHPORT AND FORMBY CCG (01V)Oxford Knee Score</v>
      </c>
      <c r="C4223" t="s">
        <v>249</v>
      </c>
      <c r="D4223" t="s">
        <v>87</v>
      </c>
      <c r="E4223" t="s">
        <v>962</v>
      </c>
      <c r="F4223" t="s">
        <v>963</v>
      </c>
      <c r="G4223" t="s">
        <v>16</v>
      </c>
      <c r="H4223">
        <v>98</v>
      </c>
      <c r="I4223">
        <v>18.632999999999999</v>
      </c>
      <c r="J4223">
        <v>34.683999999999997</v>
      </c>
      <c r="K4223">
        <v>16.050999999999998</v>
      </c>
      <c r="L4223">
        <v>93</v>
      </c>
      <c r="M4223">
        <v>0</v>
      </c>
      <c r="N4223">
        <v>5</v>
      </c>
      <c r="O4223">
        <v>34.478000000000002</v>
      </c>
      <c r="P4223">
        <v>15.192875600000001</v>
      </c>
      <c r="Q4223">
        <v>8.6760000000000002</v>
      </c>
    </row>
    <row r="4224" spans="1:17" x14ac:dyDescent="0.2">
      <c r="A4224" s="30" t="str">
        <f>IF(C4224&amp;G4224&amp;D4224&lt;&gt;'Funnel setup'!$K$3&amp;'Funnel setup'!$K$4&amp;'Funnel setup'!$K$5,".",IF(A4223=".",1,A4223+1))</f>
        <v>.</v>
      </c>
      <c r="B4224" s="431" t="str">
        <f t="shared" si="65"/>
        <v>Knee Replacement PrimaryCCG of GP PracticeNHS SOUTHWARK CCG (08Q)Oxford Knee Score</v>
      </c>
      <c r="C4224" t="s">
        <v>249</v>
      </c>
      <c r="D4224" t="s">
        <v>87</v>
      </c>
      <c r="E4224" t="s">
        <v>965</v>
      </c>
      <c r="F4224" t="s">
        <v>966</v>
      </c>
      <c r="G4224" t="s">
        <v>16</v>
      </c>
      <c r="H4224">
        <v>54</v>
      </c>
      <c r="I4224">
        <v>14.333</v>
      </c>
      <c r="J4224">
        <v>30.5</v>
      </c>
      <c r="K4224">
        <v>16.167000000000002</v>
      </c>
      <c r="L4224">
        <v>49</v>
      </c>
      <c r="M4224">
        <v>1</v>
      </c>
      <c r="N4224">
        <v>4</v>
      </c>
      <c r="O4224">
        <v>34.716000000000001</v>
      </c>
      <c r="P4224">
        <v>15.43023198</v>
      </c>
      <c r="Q4224">
        <v>10.044</v>
      </c>
    </row>
    <row r="4225" spans="1:17" x14ac:dyDescent="0.2">
      <c r="A4225" s="30" t="str">
        <f>IF(C4225&amp;G4225&amp;D4225&lt;&gt;'Funnel setup'!$K$3&amp;'Funnel setup'!$K$4&amp;'Funnel setup'!$K$5,".",IF(A4224=".",1,A4224+1))</f>
        <v>.</v>
      </c>
      <c r="B4225" s="431" t="str">
        <f t="shared" si="65"/>
        <v>Knee Replacement PrimaryCCG of GP PracticeNHS ST HELENS CCG (01X)Oxford Knee Score</v>
      </c>
      <c r="C4225" t="s">
        <v>249</v>
      </c>
      <c r="D4225" t="s">
        <v>87</v>
      </c>
      <c r="E4225" t="s">
        <v>968</v>
      </c>
      <c r="F4225" t="s">
        <v>969</v>
      </c>
      <c r="G4225" t="s">
        <v>16</v>
      </c>
      <c r="H4225">
        <v>200</v>
      </c>
      <c r="I4225">
        <v>18.664999999999999</v>
      </c>
      <c r="J4225">
        <v>33.89</v>
      </c>
      <c r="K4225">
        <v>15.225</v>
      </c>
      <c r="L4225">
        <v>184</v>
      </c>
      <c r="M4225">
        <v>2</v>
      </c>
      <c r="N4225">
        <v>14</v>
      </c>
      <c r="O4225">
        <v>34.771999999999998</v>
      </c>
      <c r="P4225">
        <v>15.486468370000001</v>
      </c>
      <c r="Q4225">
        <v>8.6310000000000002</v>
      </c>
    </row>
    <row r="4226" spans="1:17" x14ac:dyDescent="0.2">
      <c r="A4226" s="30" t="str">
        <f>IF(C4226&amp;G4226&amp;D4226&lt;&gt;'Funnel setup'!$K$3&amp;'Funnel setup'!$K$4&amp;'Funnel setup'!$K$5,".",IF(A4225=".",1,A4225+1))</f>
        <v>.</v>
      </c>
      <c r="B4226" s="431" t="str">
        <f t="shared" si="65"/>
        <v>Knee Replacement PrimaryCCG of GP PracticeNHS STAFFORD AND SURROUNDS CCG (05V)Oxford Knee Score</v>
      </c>
      <c r="C4226" t="s">
        <v>249</v>
      </c>
      <c r="D4226" t="s">
        <v>87</v>
      </c>
      <c r="E4226" t="s">
        <v>971</v>
      </c>
      <c r="F4226" t="s">
        <v>972</v>
      </c>
      <c r="G4226" t="s">
        <v>16</v>
      </c>
      <c r="H4226">
        <v>146</v>
      </c>
      <c r="I4226">
        <v>20.041</v>
      </c>
      <c r="J4226">
        <v>36.822000000000003</v>
      </c>
      <c r="K4226">
        <v>16.780999999999999</v>
      </c>
      <c r="L4226">
        <v>140</v>
      </c>
      <c r="M4226">
        <v>1</v>
      </c>
      <c r="N4226">
        <v>5</v>
      </c>
      <c r="O4226">
        <v>35.959000000000003</v>
      </c>
      <c r="P4226">
        <v>16.673260490000001</v>
      </c>
      <c r="Q4226">
        <v>7.6459999999999999</v>
      </c>
    </row>
    <row r="4227" spans="1:17" x14ac:dyDescent="0.2">
      <c r="A4227" s="30" t="str">
        <f>IF(C4227&amp;G4227&amp;D4227&lt;&gt;'Funnel setup'!$K$3&amp;'Funnel setup'!$K$4&amp;'Funnel setup'!$K$5,".",IF(A4226=".",1,A4226+1))</f>
        <v>.</v>
      </c>
      <c r="B4227" s="431" t="str">
        <f t="shared" ref="B4227:B4290" si="66">C4227&amp;D4227&amp;F4227&amp;G4227</f>
        <v>Knee Replacement PrimaryCCG of GP PracticeNHS STOCKPORT CCG (01W)Oxford Knee Score</v>
      </c>
      <c r="C4227" t="s">
        <v>249</v>
      </c>
      <c r="D4227" t="s">
        <v>87</v>
      </c>
      <c r="E4227" t="s">
        <v>974</v>
      </c>
      <c r="F4227" t="s">
        <v>975</v>
      </c>
      <c r="G4227" t="s">
        <v>16</v>
      </c>
      <c r="H4227">
        <v>180</v>
      </c>
      <c r="I4227">
        <v>19.128</v>
      </c>
      <c r="J4227">
        <v>37.200000000000003</v>
      </c>
      <c r="K4227">
        <v>18.071999999999999</v>
      </c>
      <c r="L4227">
        <v>175</v>
      </c>
      <c r="M4227">
        <v>1</v>
      </c>
      <c r="N4227">
        <v>4</v>
      </c>
      <c r="O4227">
        <v>36.878999999999998</v>
      </c>
      <c r="P4227">
        <v>17.59349752</v>
      </c>
      <c r="Q4227">
        <v>7.1180000000000003</v>
      </c>
    </row>
    <row r="4228" spans="1:17" x14ac:dyDescent="0.2">
      <c r="A4228" s="30" t="str">
        <f>IF(C4228&amp;G4228&amp;D4228&lt;&gt;'Funnel setup'!$K$3&amp;'Funnel setup'!$K$4&amp;'Funnel setup'!$K$5,".",IF(A4227=".",1,A4227+1))</f>
        <v>.</v>
      </c>
      <c r="B4228" s="431" t="str">
        <f t="shared" si="66"/>
        <v>Knee Replacement PrimaryCCG of GP PracticeNHS STOKE ON TRENT CCG (05W)Oxford Knee Score</v>
      </c>
      <c r="C4228" t="s">
        <v>249</v>
      </c>
      <c r="D4228" t="s">
        <v>87</v>
      </c>
      <c r="E4228" t="s">
        <v>977</v>
      </c>
      <c r="F4228" t="s">
        <v>978</v>
      </c>
      <c r="G4228" t="s">
        <v>16</v>
      </c>
      <c r="H4228">
        <v>182</v>
      </c>
      <c r="I4228">
        <v>15.121</v>
      </c>
      <c r="J4228">
        <v>30.962</v>
      </c>
      <c r="K4228">
        <v>15.840999999999999</v>
      </c>
      <c r="L4228">
        <v>168</v>
      </c>
      <c r="M4228">
        <v>3</v>
      </c>
      <c r="N4228">
        <v>11</v>
      </c>
      <c r="O4228">
        <v>33.585999999999999</v>
      </c>
      <c r="P4228">
        <v>14.300386250000001</v>
      </c>
      <c r="Q4228">
        <v>9.1039999999999992</v>
      </c>
    </row>
    <row r="4229" spans="1:17" x14ac:dyDescent="0.2">
      <c r="A4229" s="30" t="str">
        <f>IF(C4229&amp;G4229&amp;D4229&lt;&gt;'Funnel setup'!$K$3&amp;'Funnel setup'!$K$4&amp;'Funnel setup'!$K$5,".",IF(A4228=".",1,A4228+1))</f>
        <v>.</v>
      </c>
      <c r="B4229" s="431" t="str">
        <f t="shared" si="66"/>
        <v>Knee Replacement PrimaryCCG of GP PracticeNHS SUNDERLAND CCG (00P)Oxford Knee Score</v>
      </c>
      <c r="C4229" t="s">
        <v>249</v>
      </c>
      <c r="D4229" t="s">
        <v>87</v>
      </c>
      <c r="E4229" t="s">
        <v>980</v>
      </c>
      <c r="F4229" t="s">
        <v>981</v>
      </c>
      <c r="G4229" t="s">
        <v>16</v>
      </c>
      <c r="H4229">
        <v>282</v>
      </c>
      <c r="I4229">
        <v>17.832999999999998</v>
      </c>
      <c r="J4229">
        <v>33.259</v>
      </c>
      <c r="K4229">
        <v>15.426</v>
      </c>
      <c r="L4229">
        <v>263</v>
      </c>
      <c r="M4229">
        <v>2</v>
      </c>
      <c r="N4229">
        <v>17</v>
      </c>
      <c r="O4229">
        <v>34.863999999999997</v>
      </c>
      <c r="P4229">
        <v>15.57859419</v>
      </c>
      <c r="Q4229">
        <v>8.9969999999999999</v>
      </c>
    </row>
    <row r="4230" spans="1:17" x14ac:dyDescent="0.2">
      <c r="A4230" s="30" t="str">
        <f>IF(C4230&amp;G4230&amp;D4230&lt;&gt;'Funnel setup'!$K$3&amp;'Funnel setup'!$K$4&amp;'Funnel setup'!$K$5,".",IF(A4229=".",1,A4229+1))</f>
        <v>.</v>
      </c>
      <c r="B4230" s="431" t="str">
        <f t="shared" si="66"/>
        <v>Knee Replacement PrimaryCCG of GP PracticeNHS SURREY DOWNS CCG (99H)Oxford Knee Score</v>
      </c>
      <c r="C4230" t="s">
        <v>249</v>
      </c>
      <c r="D4230" t="s">
        <v>87</v>
      </c>
      <c r="E4230" t="s">
        <v>983</v>
      </c>
      <c r="F4230" t="s">
        <v>984</v>
      </c>
      <c r="G4230" t="s">
        <v>16</v>
      </c>
      <c r="H4230">
        <v>164</v>
      </c>
      <c r="I4230">
        <v>21.798999999999999</v>
      </c>
      <c r="J4230">
        <v>36.091000000000001</v>
      </c>
      <c r="K4230">
        <v>14.292999999999999</v>
      </c>
      <c r="L4230">
        <v>153</v>
      </c>
      <c r="M4230">
        <v>2</v>
      </c>
      <c r="N4230">
        <v>9</v>
      </c>
      <c r="O4230">
        <v>34.249000000000002</v>
      </c>
      <c r="P4230">
        <v>14.96368481</v>
      </c>
      <c r="Q4230">
        <v>8.6150000000000002</v>
      </c>
    </row>
    <row r="4231" spans="1:17" x14ac:dyDescent="0.2">
      <c r="A4231" s="30" t="str">
        <f>IF(C4231&amp;G4231&amp;D4231&lt;&gt;'Funnel setup'!$K$3&amp;'Funnel setup'!$K$4&amp;'Funnel setup'!$K$5,".",IF(A4230=".",1,A4230+1))</f>
        <v>.</v>
      </c>
      <c r="B4231" s="431" t="str">
        <f t="shared" si="66"/>
        <v>Knee Replacement PrimaryCCG of GP PracticeNHS SURREY HEATH CCG (10C)Oxford Knee Score</v>
      </c>
      <c r="C4231" t="s">
        <v>249</v>
      </c>
      <c r="D4231" t="s">
        <v>87</v>
      </c>
      <c r="E4231" t="s">
        <v>986</v>
      </c>
      <c r="F4231" t="s">
        <v>987</v>
      </c>
      <c r="G4231" t="s">
        <v>16</v>
      </c>
      <c r="H4231">
        <v>74</v>
      </c>
      <c r="I4231">
        <v>21.905000000000001</v>
      </c>
      <c r="J4231">
        <v>37.323999999999998</v>
      </c>
      <c r="K4231">
        <v>15.419</v>
      </c>
      <c r="L4231">
        <v>68</v>
      </c>
      <c r="M4231">
        <v>1</v>
      </c>
      <c r="N4231">
        <v>5</v>
      </c>
      <c r="O4231">
        <v>35.088999999999999</v>
      </c>
      <c r="P4231">
        <v>15.80376365</v>
      </c>
      <c r="Q4231">
        <v>7.992</v>
      </c>
    </row>
    <row r="4232" spans="1:17" x14ac:dyDescent="0.2">
      <c r="A4232" s="30" t="str">
        <f>IF(C4232&amp;G4232&amp;D4232&lt;&gt;'Funnel setup'!$K$3&amp;'Funnel setup'!$K$4&amp;'Funnel setup'!$K$5,".",IF(A4231=".",1,A4231+1))</f>
        <v>.</v>
      </c>
      <c r="B4232" s="431" t="str">
        <f t="shared" si="66"/>
        <v>Knee Replacement PrimaryCCG of GP PracticeNHS SUTTON CCG (08T)Oxford Knee Score</v>
      </c>
      <c r="C4232" t="s">
        <v>249</v>
      </c>
      <c r="D4232" t="s">
        <v>87</v>
      </c>
      <c r="E4232" t="s">
        <v>989</v>
      </c>
      <c r="F4232" t="s">
        <v>990</v>
      </c>
      <c r="G4232" t="s">
        <v>16</v>
      </c>
      <c r="H4232">
        <v>73</v>
      </c>
      <c r="I4232">
        <v>19.658000000000001</v>
      </c>
      <c r="J4232">
        <v>34.917999999999999</v>
      </c>
      <c r="K4232">
        <v>15.26</v>
      </c>
      <c r="L4232">
        <v>68</v>
      </c>
      <c r="M4232">
        <v>0</v>
      </c>
      <c r="N4232">
        <v>5</v>
      </c>
      <c r="O4232">
        <v>34.375</v>
      </c>
      <c r="P4232">
        <v>15.089229250000001</v>
      </c>
      <c r="Q4232">
        <v>8.2889999999999997</v>
      </c>
    </row>
    <row r="4233" spans="1:17" x14ac:dyDescent="0.2">
      <c r="A4233" s="30" t="str">
        <f>IF(C4233&amp;G4233&amp;D4233&lt;&gt;'Funnel setup'!$K$3&amp;'Funnel setup'!$K$4&amp;'Funnel setup'!$K$5,".",IF(A4232=".",1,A4232+1))</f>
        <v>.</v>
      </c>
      <c r="B4233" s="431" t="str">
        <f t="shared" si="66"/>
        <v>Knee Replacement PrimaryCCG of GP PracticeNHS SWALE CCG (10D)Oxford Knee Score</v>
      </c>
      <c r="C4233" t="s">
        <v>249</v>
      </c>
      <c r="D4233" t="s">
        <v>87</v>
      </c>
      <c r="E4233" t="s">
        <v>992</v>
      </c>
      <c r="F4233" t="s">
        <v>993</v>
      </c>
      <c r="G4233" t="s">
        <v>16</v>
      </c>
      <c r="H4233">
        <v>73</v>
      </c>
      <c r="I4233">
        <v>18.082000000000001</v>
      </c>
      <c r="J4233">
        <v>34.917999999999999</v>
      </c>
      <c r="K4233">
        <v>16.835999999999999</v>
      </c>
      <c r="L4233">
        <v>67</v>
      </c>
      <c r="M4233">
        <v>0</v>
      </c>
      <c r="N4233">
        <v>6</v>
      </c>
      <c r="O4233">
        <v>35.648000000000003</v>
      </c>
      <c r="P4233">
        <v>16.362141999999999</v>
      </c>
      <c r="Q4233">
        <v>9.8780000000000001</v>
      </c>
    </row>
    <row r="4234" spans="1:17" x14ac:dyDescent="0.2">
      <c r="A4234" s="30" t="str">
        <f>IF(C4234&amp;G4234&amp;D4234&lt;&gt;'Funnel setup'!$K$3&amp;'Funnel setup'!$K$4&amp;'Funnel setup'!$K$5,".",IF(A4233=".",1,A4233+1))</f>
        <v>.</v>
      </c>
      <c r="B4234" s="431" t="str">
        <f t="shared" si="66"/>
        <v>Knee Replacement PrimaryCCG of GP PracticeNHS SWINDON CCG (12D)Oxford Knee Score</v>
      </c>
      <c r="C4234" t="s">
        <v>249</v>
      </c>
      <c r="D4234" t="s">
        <v>87</v>
      </c>
      <c r="E4234" t="s">
        <v>995</v>
      </c>
      <c r="F4234" t="s">
        <v>996</v>
      </c>
      <c r="G4234" t="s">
        <v>16</v>
      </c>
      <c r="H4234">
        <v>150</v>
      </c>
      <c r="I4234">
        <v>19.367000000000001</v>
      </c>
      <c r="J4234">
        <v>36.226999999999997</v>
      </c>
      <c r="K4234">
        <v>16.86</v>
      </c>
      <c r="L4234">
        <v>144</v>
      </c>
      <c r="M4234">
        <v>1</v>
      </c>
      <c r="N4234">
        <v>5</v>
      </c>
      <c r="O4234">
        <v>35.555999999999997</v>
      </c>
      <c r="P4234">
        <v>16.27070243</v>
      </c>
      <c r="Q4234">
        <v>8.0690000000000008</v>
      </c>
    </row>
    <row r="4235" spans="1:17" x14ac:dyDescent="0.2">
      <c r="A4235" s="30" t="str">
        <f>IF(C4235&amp;G4235&amp;D4235&lt;&gt;'Funnel setup'!$K$3&amp;'Funnel setup'!$K$4&amp;'Funnel setup'!$K$5,".",IF(A4234=".",1,A4234+1))</f>
        <v>.</v>
      </c>
      <c r="B4235" s="431" t="str">
        <f t="shared" si="66"/>
        <v>Knee Replacement PrimaryCCG of GP PracticeNHS TAMESIDE AND GLOSSOP CCG (01Y)Oxford Knee Score</v>
      </c>
      <c r="C4235" t="s">
        <v>249</v>
      </c>
      <c r="D4235" t="s">
        <v>87</v>
      </c>
      <c r="E4235" t="s">
        <v>998</v>
      </c>
      <c r="F4235" t="s">
        <v>999</v>
      </c>
      <c r="G4235" t="s">
        <v>16</v>
      </c>
      <c r="H4235">
        <v>174</v>
      </c>
      <c r="I4235">
        <v>18.298999999999999</v>
      </c>
      <c r="J4235">
        <v>34.701000000000001</v>
      </c>
      <c r="K4235">
        <v>16.402000000000001</v>
      </c>
      <c r="L4235">
        <v>161</v>
      </c>
      <c r="M4235">
        <v>5</v>
      </c>
      <c r="N4235">
        <v>8</v>
      </c>
      <c r="O4235">
        <v>35.549999999999997</v>
      </c>
      <c r="P4235">
        <v>16.26429345</v>
      </c>
      <c r="Q4235">
        <v>8.7189999999999994</v>
      </c>
    </row>
    <row r="4236" spans="1:17" x14ac:dyDescent="0.2">
      <c r="A4236" s="30" t="str">
        <f>IF(C4236&amp;G4236&amp;D4236&lt;&gt;'Funnel setup'!$K$3&amp;'Funnel setup'!$K$4&amp;'Funnel setup'!$K$5,".",IF(A4235=".",1,A4235+1))</f>
        <v>.</v>
      </c>
      <c r="B4236" s="431" t="str">
        <f t="shared" si="66"/>
        <v>Knee Replacement PrimaryCCG of GP PracticeNHS TELFORD AND WREKIN CCG (05X)Oxford Knee Score</v>
      </c>
      <c r="C4236" t="s">
        <v>249</v>
      </c>
      <c r="D4236" t="s">
        <v>87</v>
      </c>
      <c r="E4236" t="s">
        <v>1001</v>
      </c>
      <c r="F4236" t="s">
        <v>1002</v>
      </c>
      <c r="G4236" t="s">
        <v>16</v>
      </c>
      <c r="H4236">
        <v>147</v>
      </c>
      <c r="I4236">
        <v>15.476000000000001</v>
      </c>
      <c r="J4236">
        <v>34.795999999999999</v>
      </c>
      <c r="K4236">
        <v>19.32</v>
      </c>
      <c r="L4236">
        <v>145</v>
      </c>
      <c r="M4236">
        <v>0</v>
      </c>
      <c r="N4236">
        <v>2</v>
      </c>
      <c r="O4236">
        <v>36.515000000000001</v>
      </c>
      <c r="P4236">
        <v>17.229584549999998</v>
      </c>
      <c r="Q4236">
        <v>8.5670000000000002</v>
      </c>
    </row>
    <row r="4237" spans="1:17" x14ac:dyDescent="0.2">
      <c r="A4237" s="30" t="str">
        <f>IF(C4237&amp;G4237&amp;D4237&lt;&gt;'Funnel setup'!$K$3&amp;'Funnel setup'!$K$4&amp;'Funnel setup'!$K$5,".",IF(A4236=".",1,A4236+1))</f>
        <v>.</v>
      </c>
      <c r="B4237" s="431" t="str">
        <f t="shared" si="66"/>
        <v>Knee Replacement PrimaryCCG of GP PracticeNHS THANET CCG (10E)Oxford Knee Score</v>
      </c>
      <c r="C4237" t="s">
        <v>249</v>
      </c>
      <c r="D4237" t="s">
        <v>87</v>
      </c>
      <c r="E4237" t="s">
        <v>1004</v>
      </c>
      <c r="F4237" t="s">
        <v>1005</v>
      </c>
      <c r="G4237" t="s">
        <v>16</v>
      </c>
      <c r="H4237">
        <v>131</v>
      </c>
      <c r="I4237">
        <v>21.702000000000002</v>
      </c>
      <c r="J4237">
        <v>36.252000000000002</v>
      </c>
      <c r="K4237">
        <v>14.55</v>
      </c>
      <c r="L4237">
        <v>122</v>
      </c>
      <c r="M4237">
        <v>3</v>
      </c>
      <c r="N4237">
        <v>6</v>
      </c>
      <c r="O4237">
        <v>35.578000000000003</v>
      </c>
      <c r="P4237">
        <v>16.293024630000001</v>
      </c>
      <c r="Q4237">
        <v>8.3710000000000004</v>
      </c>
    </row>
    <row r="4238" spans="1:17" x14ac:dyDescent="0.2">
      <c r="A4238" s="30" t="str">
        <f>IF(C4238&amp;G4238&amp;D4238&lt;&gt;'Funnel setup'!$K$3&amp;'Funnel setup'!$K$4&amp;'Funnel setup'!$K$5,".",IF(A4237=".",1,A4237+1))</f>
        <v>.</v>
      </c>
      <c r="B4238" s="431" t="str">
        <f t="shared" si="66"/>
        <v>Knee Replacement PrimaryCCG of GP PracticeNHS THURROCK CCG (07G)Oxford Knee Score</v>
      </c>
      <c r="C4238" t="s">
        <v>249</v>
      </c>
      <c r="D4238" t="s">
        <v>87</v>
      </c>
      <c r="E4238" t="s">
        <v>1007</v>
      </c>
      <c r="F4238" t="s">
        <v>1008</v>
      </c>
      <c r="G4238" t="s">
        <v>16</v>
      </c>
      <c r="H4238">
        <v>95</v>
      </c>
      <c r="I4238">
        <v>18.146999999999998</v>
      </c>
      <c r="J4238">
        <v>33.725999999999999</v>
      </c>
      <c r="K4238">
        <v>15.579000000000001</v>
      </c>
      <c r="L4238">
        <v>91</v>
      </c>
      <c r="M4238">
        <v>0</v>
      </c>
      <c r="N4238">
        <v>4</v>
      </c>
      <c r="O4238">
        <v>34.113999999999997</v>
      </c>
      <c r="P4238">
        <v>14.829073299999999</v>
      </c>
      <c r="Q4238">
        <v>9.18</v>
      </c>
    </row>
    <row r="4239" spans="1:17" x14ac:dyDescent="0.2">
      <c r="A4239" s="30" t="str">
        <f>IF(C4239&amp;G4239&amp;D4239&lt;&gt;'Funnel setup'!$K$3&amp;'Funnel setup'!$K$4&amp;'Funnel setup'!$K$5,".",IF(A4238=".",1,A4238+1))</f>
        <v>.</v>
      </c>
      <c r="B4239" s="431" t="str">
        <f t="shared" si="66"/>
        <v>Knee Replacement PrimaryCCG of GP PracticeNHS TOWER HAMLETS CCG (08V)Oxford Knee Score</v>
      </c>
      <c r="C4239" t="s">
        <v>249</v>
      </c>
      <c r="D4239" t="s">
        <v>87</v>
      </c>
      <c r="E4239" t="s">
        <v>1010</v>
      </c>
      <c r="F4239" t="s">
        <v>1011</v>
      </c>
      <c r="G4239" t="s">
        <v>16</v>
      </c>
      <c r="H4239">
        <v>34</v>
      </c>
      <c r="I4239">
        <v>15.265000000000001</v>
      </c>
      <c r="J4239">
        <v>28.5</v>
      </c>
      <c r="K4239">
        <v>13.234999999999999</v>
      </c>
      <c r="L4239">
        <v>31</v>
      </c>
      <c r="M4239">
        <v>0</v>
      </c>
      <c r="N4239">
        <v>3</v>
      </c>
      <c r="O4239">
        <v>32.795000000000002</v>
      </c>
      <c r="P4239">
        <v>13.50964763</v>
      </c>
      <c r="Q4239">
        <v>10.423</v>
      </c>
    </row>
    <row r="4240" spans="1:17" x14ac:dyDescent="0.2">
      <c r="A4240" s="30" t="str">
        <f>IF(C4240&amp;G4240&amp;D4240&lt;&gt;'Funnel setup'!$K$3&amp;'Funnel setup'!$K$4&amp;'Funnel setup'!$K$5,".",IF(A4239=".",1,A4239+1))</f>
        <v>.</v>
      </c>
      <c r="B4240" s="431" t="str">
        <f t="shared" si="66"/>
        <v>Knee Replacement PrimaryCCG of GP PracticeNHS TRAFFORD CCG (02A)Oxford Knee Score</v>
      </c>
      <c r="C4240" t="s">
        <v>249</v>
      </c>
      <c r="D4240" t="s">
        <v>87</v>
      </c>
      <c r="E4240" t="s">
        <v>1013</v>
      </c>
      <c r="F4240" t="s">
        <v>1014</v>
      </c>
      <c r="G4240" t="s">
        <v>16</v>
      </c>
      <c r="H4240">
        <v>108</v>
      </c>
      <c r="I4240">
        <v>20.518999999999998</v>
      </c>
      <c r="J4240">
        <v>35.093000000000004</v>
      </c>
      <c r="K4240">
        <v>14.574</v>
      </c>
      <c r="L4240">
        <v>100</v>
      </c>
      <c r="M4240">
        <v>0</v>
      </c>
      <c r="N4240">
        <v>8</v>
      </c>
      <c r="O4240">
        <v>34.386000000000003</v>
      </c>
      <c r="P4240">
        <v>15.10041706</v>
      </c>
      <c r="Q4240">
        <v>8.9559999999999995</v>
      </c>
    </row>
    <row r="4241" spans="1:17" x14ac:dyDescent="0.2">
      <c r="A4241" s="30" t="str">
        <f>IF(C4241&amp;G4241&amp;D4241&lt;&gt;'Funnel setup'!$K$3&amp;'Funnel setup'!$K$4&amp;'Funnel setup'!$K$5,".",IF(A4240=".",1,A4240+1))</f>
        <v>.</v>
      </c>
      <c r="B4241" s="431" t="str">
        <f t="shared" si="66"/>
        <v>Knee Replacement PrimaryCCG of GP PracticeNHS VALE OF YORK CCG (03Q)Oxford Knee Score</v>
      </c>
      <c r="C4241" t="s">
        <v>249</v>
      </c>
      <c r="D4241" t="s">
        <v>87</v>
      </c>
      <c r="E4241" t="s">
        <v>420</v>
      </c>
      <c r="F4241" t="s">
        <v>421</v>
      </c>
      <c r="G4241" t="s">
        <v>16</v>
      </c>
      <c r="H4241">
        <v>366</v>
      </c>
      <c r="I4241">
        <v>21.196999999999999</v>
      </c>
      <c r="J4241">
        <v>37.32</v>
      </c>
      <c r="K4241">
        <v>16.123000000000001</v>
      </c>
      <c r="L4241">
        <v>344</v>
      </c>
      <c r="M4241">
        <v>5</v>
      </c>
      <c r="N4241">
        <v>17</v>
      </c>
      <c r="O4241">
        <v>35.423000000000002</v>
      </c>
      <c r="P4241">
        <v>16.137692879999999</v>
      </c>
      <c r="Q4241">
        <v>7.7309999999999999</v>
      </c>
    </row>
    <row r="4242" spans="1:17" x14ac:dyDescent="0.2">
      <c r="A4242" s="30" t="str">
        <f>IF(C4242&amp;G4242&amp;D4242&lt;&gt;'Funnel setup'!$K$3&amp;'Funnel setup'!$K$4&amp;'Funnel setup'!$K$5,".",IF(A4241=".",1,A4241+1))</f>
        <v>.</v>
      </c>
      <c r="B4242" s="431" t="str">
        <f t="shared" si="66"/>
        <v>Knee Replacement PrimaryCCG of GP PracticeNHS VALE ROYAL CCG (02D)Oxford Knee Score</v>
      </c>
      <c r="C4242" t="s">
        <v>249</v>
      </c>
      <c r="D4242" t="s">
        <v>87</v>
      </c>
      <c r="E4242" t="s">
        <v>423</v>
      </c>
      <c r="F4242" t="s">
        <v>424</v>
      </c>
      <c r="G4242" t="s">
        <v>16</v>
      </c>
      <c r="H4242">
        <v>81</v>
      </c>
      <c r="I4242">
        <v>18.901</v>
      </c>
      <c r="J4242">
        <v>35.542999999999999</v>
      </c>
      <c r="K4242">
        <v>16.641999999999999</v>
      </c>
      <c r="L4242">
        <v>75</v>
      </c>
      <c r="M4242">
        <v>1</v>
      </c>
      <c r="N4242">
        <v>5</v>
      </c>
      <c r="O4242">
        <v>35.408999999999999</v>
      </c>
      <c r="P4242">
        <v>16.123445109999999</v>
      </c>
      <c r="Q4242">
        <v>8.4130000000000003</v>
      </c>
    </row>
    <row r="4243" spans="1:17" x14ac:dyDescent="0.2">
      <c r="A4243" s="30" t="str">
        <f>IF(C4243&amp;G4243&amp;D4243&lt;&gt;'Funnel setup'!$K$3&amp;'Funnel setup'!$K$4&amp;'Funnel setup'!$K$5,".",IF(A4242=".",1,A4242+1))</f>
        <v>.</v>
      </c>
      <c r="B4243" s="431" t="str">
        <f t="shared" si="66"/>
        <v>Knee Replacement PrimaryCCG of GP PracticeNHS WAKEFIELD CCG (03R)Oxford Knee Score</v>
      </c>
      <c r="C4243" t="s">
        <v>249</v>
      </c>
      <c r="D4243" t="s">
        <v>87</v>
      </c>
      <c r="E4243" t="s">
        <v>426</v>
      </c>
      <c r="F4243" t="s">
        <v>427</v>
      </c>
      <c r="G4243" t="s">
        <v>16</v>
      </c>
      <c r="H4243">
        <v>329</v>
      </c>
      <c r="I4243">
        <v>18.93</v>
      </c>
      <c r="J4243">
        <v>34.622999999999998</v>
      </c>
      <c r="K4243">
        <v>15.693</v>
      </c>
      <c r="L4243">
        <v>302</v>
      </c>
      <c r="M4243">
        <v>5</v>
      </c>
      <c r="N4243">
        <v>22</v>
      </c>
      <c r="O4243">
        <v>35.127000000000002</v>
      </c>
      <c r="P4243">
        <v>15.841500269999999</v>
      </c>
      <c r="Q4243">
        <v>9.15</v>
      </c>
    </row>
    <row r="4244" spans="1:17" x14ac:dyDescent="0.2">
      <c r="A4244" s="30" t="str">
        <f>IF(C4244&amp;G4244&amp;D4244&lt;&gt;'Funnel setup'!$K$3&amp;'Funnel setup'!$K$4&amp;'Funnel setup'!$K$5,".",IF(A4243=".",1,A4243+1))</f>
        <v>.</v>
      </c>
      <c r="B4244" s="431" t="str">
        <f t="shared" si="66"/>
        <v>Knee Replacement PrimaryCCG of GP PracticeNHS WALSALL CCG (05Y)Oxford Knee Score</v>
      </c>
      <c r="C4244" t="s">
        <v>249</v>
      </c>
      <c r="D4244" t="s">
        <v>87</v>
      </c>
      <c r="E4244" t="s">
        <v>429</v>
      </c>
      <c r="F4244" t="s">
        <v>430</v>
      </c>
      <c r="G4244" t="s">
        <v>16</v>
      </c>
      <c r="H4244">
        <v>203</v>
      </c>
      <c r="I4244">
        <v>16.792999999999999</v>
      </c>
      <c r="J4244">
        <v>32.930999999999997</v>
      </c>
      <c r="K4244">
        <v>16.138000000000002</v>
      </c>
      <c r="L4244">
        <v>192</v>
      </c>
      <c r="M4244">
        <v>3</v>
      </c>
      <c r="N4244">
        <v>8</v>
      </c>
      <c r="O4244">
        <v>34.835999999999999</v>
      </c>
      <c r="P4244">
        <v>15.550152750000001</v>
      </c>
      <c r="Q4244">
        <v>8.6989999999999998</v>
      </c>
    </row>
    <row r="4245" spans="1:17" x14ac:dyDescent="0.2">
      <c r="A4245" s="30" t="str">
        <f>IF(C4245&amp;G4245&amp;D4245&lt;&gt;'Funnel setup'!$K$3&amp;'Funnel setup'!$K$4&amp;'Funnel setup'!$K$5,".",IF(A4244=".",1,A4244+1))</f>
        <v>.</v>
      </c>
      <c r="B4245" s="431" t="str">
        <f t="shared" si="66"/>
        <v>Knee Replacement PrimaryCCG of GP PracticeNHS WALTHAM FOREST CCG (08W)Oxford Knee Score</v>
      </c>
      <c r="C4245" t="s">
        <v>249</v>
      </c>
      <c r="D4245" t="s">
        <v>87</v>
      </c>
      <c r="E4245" t="s">
        <v>432</v>
      </c>
      <c r="F4245" t="s">
        <v>433</v>
      </c>
      <c r="G4245" t="s">
        <v>16</v>
      </c>
      <c r="H4245">
        <v>91</v>
      </c>
      <c r="I4245">
        <v>18.945</v>
      </c>
      <c r="J4245">
        <v>34.933999999999997</v>
      </c>
      <c r="K4245">
        <v>15.989000000000001</v>
      </c>
      <c r="L4245">
        <v>86</v>
      </c>
      <c r="M4245">
        <v>1</v>
      </c>
      <c r="N4245">
        <v>4</v>
      </c>
      <c r="O4245">
        <v>36.475999999999999</v>
      </c>
      <c r="P4245">
        <v>17.190488179999999</v>
      </c>
      <c r="Q4245">
        <v>7.7990000000000004</v>
      </c>
    </row>
    <row r="4246" spans="1:17" x14ac:dyDescent="0.2">
      <c r="A4246" s="30" t="str">
        <f>IF(C4246&amp;G4246&amp;D4246&lt;&gt;'Funnel setup'!$K$3&amp;'Funnel setup'!$K$4&amp;'Funnel setup'!$K$5,".",IF(A4245=".",1,A4245+1))</f>
        <v>.</v>
      </c>
      <c r="B4246" s="431" t="str">
        <f t="shared" si="66"/>
        <v>Knee Replacement PrimaryCCG of GP PracticeNHS WANDSWORTH CCG (08X)Oxford Knee Score</v>
      </c>
      <c r="C4246" t="s">
        <v>249</v>
      </c>
      <c r="D4246" t="s">
        <v>87</v>
      </c>
      <c r="E4246" t="s">
        <v>435</v>
      </c>
      <c r="F4246" t="s">
        <v>436</v>
      </c>
      <c r="G4246" t="s">
        <v>16</v>
      </c>
      <c r="H4246">
        <v>54</v>
      </c>
      <c r="I4246">
        <v>21.204000000000001</v>
      </c>
      <c r="J4246">
        <v>34.426000000000002</v>
      </c>
      <c r="K4246">
        <v>13.222</v>
      </c>
      <c r="L4246">
        <v>51</v>
      </c>
      <c r="M4246">
        <v>2</v>
      </c>
      <c r="N4246">
        <v>1</v>
      </c>
      <c r="O4246">
        <v>33.893000000000001</v>
      </c>
      <c r="P4246">
        <v>14.60731786</v>
      </c>
      <c r="Q4246">
        <v>6.6870000000000003</v>
      </c>
    </row>
    <row r="4247" spans="1:17" x14ac:dyDescent="0.2">
      <c r="A4247" s="30" t="str">
        <f>IF(C4247&amp;G4247&amp;D4247&lt;&gt;'Funnel setup'!$K$3&amp;'Funnel setup'!$K$4&amp;'Funnel setup'!$K$5,".",IF(A4246=".",1,A4246+1))</f>
        <v>.</v>
      </c>
      <c r="B4247" s="431" t="str">
        <f t="shared" si="66"/>
        <v>Knee Replacement PrimaryCCG of GP PracticeNHS WARRINGTON CCG (02E)Oxford Knee Score</v>
      </c>
      <c r="C4247" t="s">
        <v>249</v>
      </c>
      <c r="D4247" t="s">
        <v>87</v>
      </c>
      <c r="E4247" t="s">
        <v>441</v>
      </c>
      <c r="F4247" t="s">
        <v>442</v>
      </c>
      <c r="G4247" t="s">
        <v>16</v>
      </c>
      <c r="H4247">
        <v>190</v>
      </c>
      <c r="I4247">
        <v>17.920999999999999</v>
      </c>
      <c r="J4247">
        <v>36.725999999999999</v>
      </c>
      <c r="K4247">
        <v>18.805</v>
      </c>
      <c r="L4247">
        <v>182</v>
      </c>
      <c r="M4247">
        <v>2</v>
      </c>
      <c r="N4247">
        <v>6</v>
      </c>
      <c r="O4247">
        <v>36.987000000000002</v>
      </c>
      <c r="P4247">
        <v>17.701536650000001</v>
      </c>
      <c r="Q4247">
        <v>7.9020000000000001</v>
      </c>
    </row>
    <row r="4248" spans="1:17" x14ac:dyDescent="0.2">
      <c r="A4248" s="30" t="str">
        <f>IF(C4248&amp;G4248&amp;D4248&lt;&gt;'Funnel setup'!$K$3&amp;'Funnel setup'!$K$4&amp;'Funnel setup'!$K$5,".",IF(A4247=".",1,A4247+1))</f>
        <v>.</v>
      </c>
      <c r="B4248" s="431" t="str">
        <f t="shared" si="66"/>
        <v>Knee Replacement PrimaryCCG of GP PracticeNHS WARWICKSHIRE NORTH CCG (05H)Oxford Knee Score</v>
      </c>
      <c r="C4248" t="s">
        <v>249</v>
      </c>
      <c r="D4248" t="s">
        <v>87</v>
      </c>
      <c r="E4248" t="s">
        <v>438</v>
      </c>
      <c r="F4248" t="s">
        <v>439</v>
      </c>
      <c r="G4248" t="s">
        <v>16</v>
      </c>
      <c r="H4248">
        <v>93</v>
      </c>
      <c r="I4248">
        <v>18.699000000000002</v>
      </c>
      <c r="J4248">
        <v>34.805999999999997</v>
      </c>
      <c r="K4248">
        <v>16.108000000000001</v>
      </c>
      <c r="L4248">
        <v>87</v>
      </c>
      <c r="M4248">
        <v>3</v>
      </c>
      <c r="N4248">
        <v>3</v>
      </c>
      <c r="O4248">
        <v>34.932000000000002</v>
      </c>
      <c r="P4248">
        <v>15.64689901</v>
      </c>
      <c r="Q4248">
        <v>8.8260000000000005</v>
      </c>
    </row>
    <row r="4249" spans="1:17" x14ac:dyDescent="0.2">
      <c r="A4249" s="30" t="str">
        <f>IF(C4249&amp;G4249&amp;D4249&lt;&gt;'Funnel setup'!$K$3&amp;'Funnel setup'!$K$4&amp;'Funnel setup'!$K$5,".",IF(A4248=".",1,A4248+1))</f>
        <v>.</v>
      </c>
      <c r="B4249" s="431" t="str">
        <f t="shared" si="66"/>
        <v>Knee Replacement PrimaryCCG of GP PracticeNHS WEST CHESHIRE CCG (02F)Oxford Knee Score</v>
      </c>
      <c r="C4249" t="s">
        <v>249</v>
      </c>
      <c r="D4249" t="s">
        <v>87</v>
      </c>
      <c r="E4249" t="s">
        <v>402</v>
      </c>
      <c r="F4249" t="s">
        <v>403</v>
      </c>
      <c r="G4249" t="s">
        <v>16</v>
      </c>
      <c r="H4249">
        <v>271</v>
      </c>
      <c r="I4249">
        <v>19.527999999999999</v>
      </c>
      <c r="J4249">
        <v>35.262</v>
      </c>
      <c r="K4249">
        <v>15.734</v>
      </c>
      <c r="L4249">
        <v>254</v>
      </c>
      <c r="M4249">
        <v>5</v>
      </c>
      <c r="N4249">
        <v>12</v>
      </c>
      <c r="O4249">
        <v>34.633000000000003</v>
      </c>
      <c r="P4249">
        <v>15.347595330000001</v>
      </c>
      <c r="Q4249">
        <v>8.2840000000000007</v>
      </c>
    </row>
    <row r="4250" spans="1:17" x14ac:dyDescent="0.2">
      <c r="A4250" s="30" t="str">
        <f>IF(C4250&amp;G4250&amp;D4250&lt;&gt;'Funnel setup'!$K$3&amp;'Funnel setup'!$K$4&amp;'Funnel setup'!$K$5,".",IF(A4249=".",1,A4249+1))</f>
        <v>.</v>
      </c>
      <c r="B4250" s="431" t="str">
        <f t="shared" si="66"/>
        <v>Knee Replacement PrimaryCCG of GP PracticeNHS WEST ESSEX CCG (07H)Oxford Knee Score</v>
      </c>
      <c r="C4250" t="s">
        <v>249</v>
      </c>
      <c r="D4250" t="s">
        <v>87</v>
      </c>
      <c r="E4250" t="s">
        <v>405</v>
      </c>
      <c r="F4250" t="s">
        <v>406</v>
      </c>
      <c r="G4250" t="s">
        <v>16</v>
      </c>
      <c r="H4250">
        <v>212</v>
      </c>
      <c r="I4250">
        <v>20.5</v>
      </c>
      <c r="J4250">
        <v>35.924999999999997</v>
      </c>
      <c r="K4250">
        <v>15.425000000000001</v>
      </c>
      <c r="L4250">
        <v>195</v>
      </c>
      <c r="M4250">
        <v>4</v>
      </c>
      <c r="N4250">
        <v>13</v>
      </c>
      <c r="O4250">
        <v>35.503</v>
      </c>
      <c r="P4250">
        <v>16.21743871</v>
      </c>
      <c r="Q4250">
        <v>8.7149999999999999</v>
      </c>
    </row>
    <row r="4251" spans="1:17" x14ac:dyDescent="0.2">
      <c r="A4251" s="30" t="str">
        <f>IF(C4251&amp;G4251&amp;D4251&lt;&gt;'Funnel setup'!$K$3&amp;'Funnel setup'!$K$4&amp;'Funnel setup'!$K$5,".",IF(A4250=".",1,A4250+1))</f>
        <v>.</v>
      </c>
      <c r="B4251" s="431" t="str">
        <f t="shared" si="66"/>
        <v>Knee Replacement PrimaryCCG of GP PracticeNHS WEST HAMPSHIRE CCG (11A)Oxford Knee Score</v>
      </c>
      <c r="C4251" t="s">
        <v>249</v>
      </c>
      <c r="D4251" t="s">
        <v>87</v>
      </c>
      <c r="E4251" t="s">
        <v>444</v>
      </c>
      <c r="F4251" t="s">
        <v>445</v>
      </c>
      <c r="G4251" t="s">
        <v>16</v>
      </c>
      <c r="H4251">
        <v>445</v>
      </c>
      <c r="I4251">
        <v>20.867000000000001</v>
      </c>
      <c r="J4251">
        <v>36.652000000000001</v>
      </c>
      <c r="K4251">
        <v>15.784000000000001</v>
      </c>
      <c r="L4251">
        <v>421</v>
      </c>
      <c r="M4251">
        <v>2</v>
      </c>
      <c r="N4251">
        <v>22</v>
      </c>
      <c r="O4251">
        <v>35.210999999999999</v>
      </c>
      <c r="P4251">
        <v>15.92528353</v>
      </c>
      <c r="Q4251">
        <v>7.9950000000000001</v>
      </c>
    </row>
    <row r="4252" spans="1:17" x14ac:dyDescent="0.2">
      <c r="A4252" s="30" t="str">
        <f>IF(C4252&amp;G4252&amp;D4252&lt;&gt;'Funnel setup'!$K$3&amp;'Funnel setup'!$K$4&amp;'Funnel setup'!$K$5,".",IF(A4251=".",1,A4251+1))</f>
        <v>.</v>
      </c>
      <c r="B4252" s="431" t="str">
        <f t="shared" si="66"/>
        <v>Knee Replacement PrimaryCCG of GP PracticeNHS WEST KENT CCG (99J)Oxford Knee Score</v>
      </c>
      <c r="C4252" t="s">
        <v>249</v>
      </c>
      <c r="D4252" t="s">
        <v>87</v>
      </c>
      <c r="E4252" t="s">
        <v>447</v>
      </c>
      <c r="F4252" t="s">
        <v>448</v>
      </c>
      <c r="G4252" t="s">
        <v>16</v>
      </c>
      <c r="H4252">
        <v>348</v>
      </c>
      <c r="I4252">
        <v>22.032</v>
      </c>
      <c r="J4252">
        <v>37.726999999999997</v>
      </c>
      <c r="K4252">
        <v>15.695</v>
      </c>
      <c r="L4252">
        <v>330</v>
      </c>
      <c r="M4252">
        <v>3</v>
      </c>
      <c r="N4252">
        <v>15</v>
      </c>
      <c r="O4252">
        <v>35.923000000000002</v>
      </c>
      <c r="P4252">
        <v>16.637907729999998</v>
      </c>
      <c r="Q4252">
        <v>7.9180000000000001</v>
      </c>
    </row>
    <row r="4253" spans="1:17" x14ac:dyDescent="0.2">
      <c r="A4253" s="30" t="str">
        <f>IF(C4253&amp;G4253&amp;D4253&lt;&gt;'Funnel setup'!$K$3&amp;'Funnel setup'!$K$4&amp;'Funnel setup'!$K$5,".",IF(A4252=".",1,A4252+1))</f>
        <v>.</v>
      </c>
      <c r="B4253" s="431" t="str">
        <f t="shared" si="66"/>
        <v>Knee Replacement PrimaryCCG of GP PracticeNHS WEST LANCASHIRE CCG (02G)Oxford Knee Score</v>
      </c>
      <c r="C4253" t="s">
        <v>249</v>
      </c>
      <c r="D4253" t="s">
        <v>87</v>
      </c>
      <c r="E4253" t="s">
        <v>450</v>
      </c>
      <c r="F4253" t="s">
        <v>451</v>
      </c>
      <c r="G4253" t="s">
        <v>16</v>
      </c>
      <c r="H4253">
        <v>87</v>
      </c>
      <c r="I4253">
        <v>19.356000000000002</v>
      </c>
      <c r="J4253">
        <v>35.69</v>
      </c>
      <c r="K4253">
        <v>16.332999999999998</v>
      </c>
      <c r="L4253">
        <v>79</v>
      </c>
      <c r="M4253">
        <v>2</v>
      </c>
      <c r="N4253">
        <v>6</v>
      </c>
      <c r="O4253">
        <v>35.726999999999997</v>
      </c>
      <c r="P4253">
        <v>16.441998120000001</v>
      </c>
      <c r="Q4253">
        <v>9.4280000000000008</v>
      </c>
    </row>
    <row r="4254" spans="1:17" x14ac:dyDescent="0.2">
      <c r="A4254" s="30" t="str">
        <f>IF(C4254&amp;G4254&amp;D4254&lt;&gt;'Funnel setup'!$K$3&amp;'Funnel setup'!$K$4&amp;'Funnel setup'!$K$5,".",IF(A4253=".",1,A4253+1))</f>
        <v>.</v>
      </c>
      <c r="B4254" s="431" t="str">
        <f t="shared" si="66"/>
        <v>Knee Replacement PrimaryCCG of GP PracticeNHS WEST LEICESTERSHIRE CCG (04V)Oxford Knee Score</v>
      </c>
      <c r="C4254" t="s">
        <v>249</v>
      </c>
      <c r="D4254" t="s">
        <v>87</v>
      </c>
      <c r="E4254" t="s">
        <v>453</v>
      </c>
      <c r="F4254" t="s">
        <v>454</v>
      </c>
      <c r="G4254" t="s">
        <v>16</v>
      </c>
      <c r="H4254">
        <v>361</v>
      </c>
      <c r="I4254">
        <v>18.356999999999999</v>
      </c>
      <c r="J4254">
        <v>35.930999999999997</v>
      </c>
      <c r="K4254">
        <v>17.573</v>
      </c>
      <c r="L4254">
        <v>348</v>
      </c>
      <c r="M4254">
        <v>5</v>
      </c>
      <c r="N4254">
        <v>8</v>
      </c>
      <c r="O4254">
        <v>36.049999999999997</v>
      </c>
      <c r="P4254">
        <v>16.76498067</v>
      </c>
      <c r="Q4254">
        <v>7.7309999999999999</v>
      </c>
    </row>
    <row r="4255" spans="1:17" x14ac:dyDescent="0.2">
      <c r="A4255" s="30" t="str">
        <f>IF(C4255&amp;G4255&amp;D4255&lt;&gt;'Funnel setup'!$K$3&amp;'Funnel setup'!$K$4&amp;'Funnel setup'!$K$5,".",IF(A4254=".",1,A4254+1))</f>
        <v>.</v>
      </c>
      <c r="B4255" s="431" t="str">
        <f t="shared" si="66"/>
        <v>Knee Replacement PrimaryCCG of GP PracticeNHS WEST LONDON CCG (08Y)Oxford Knee Score</v>
      </c>
      <c r="C4255" t="s">
        <v>249</v>
      </c>
      <c r="D4255" t="s">
        <v>87</v>
      </c>
      <c r="E4255" t="s">
        <v>456</v>
      </c>
      <c r="F4255" t="s">
        <v>457</v>
      </c>
      <c r="G4255" t="s">
        <v>16</v>
      </c>
      <c r="H4255">
        <v>22</v>
      </c>
      <c r="I4255">
        <v>17.864000000000001</v>
      </c>
      <c r="J4255">
        <v>29.135999999999999</v>
      </c>
      <c r="K4255">
        <v>11.273</v>
      </c>
      <c r="L4255">
        <v>17</v>
      </c>
      <c r="M4255">
        <v>0</v>
      </c>
      <c r="N4255">
        <v>5</v>
      </c>
      <c r="O4255" t="s">
        <v>53</v>
      </c>
      <c r="P4255" t="s">
        <v>53</v>
      </c>
      <c r="Q4255" t="s">
        <v>53</v>
      </c>
    </row>
    <row r="4256" spans="1:17" x14ac:dyDescent="0.2">
      <c r="A4256" s="30" t="str">
        <f>IF(C4256&amp;G4256&amp;D4256&lt;&gt;'Funnel setup'!$K$3&amp;'Funnel setup'!$K$4&amp;'Funnel setup'!$K$5,".",IF(A4255=".",1,A4255+1))</f>
        <v>.</v>
      </c>
      <c r="B4256" s="431" t="str">
        <f t="shared" si="66"/>
        <v>Knee Replacement PrimaryCCG of GP PracticeNHS WEST NORFOLK CCG (07J)Oxford Knee Score</v>
      </c>
      <c r="C4256" t="s">
        <v>249</v>
      </c>
      <c r="D4256" t="s">
        <v>87</v>
      </c>
      <c r="E4256" t="s">
        <v>459</v>
      </c>
      <c r="F4256" t="s">
        <v>460</v>
      </c>
      <c r="G4256" t="s">
        <v>16</v>
      </c>
      <c r="H4256">
        <v>168</v>
      </c>
      <c r="I4256">
        <v>19.297999999999998</v>
      </c>
      <c r="J4256">
        <v>34.619</v>
      </c>
      <c r="K4256">
        <v>15.321</v>
      </c>
      <c r="L4256">
        <v>154</v>
      </c>
      <c r="M4256">
        <v>2</v>
      </c>
      <c r="N4256">
        <v>12</v>
      </c>
      <c r="O4256">
        <v>34.624000000000002</v>
      </c>
      <c r="P4256">
        <v>15.33877635</v>
      </c>
      <c r="Q4256">
        <v>9.093</v>
      </c>
    </row>
    <row r="4257" spans="1:17" x14ac:dyDescent="0.2">
      <c r="A4257" s="30" t="str">
        <f>IF(C4257&amp;G4257&amp;D4257&lt;&gt;'Funnel setup'!$K$3&amp;'Funnel setup'!$K$4&amp;'Funnel setup'!$K$5,".",IF(A4256=".",1,A4256+1))</f>
        <v>.</v>
      </c>
      <c r="B4257" s="431" t="str">
        <f t="shared" si="66"/>
        <v>Knee Replacement PrimaryCCG of GP PracticeNHS WEST SUFFOLK CCG (07K)Oxford Knee Score</v>
      </c>
      <c r="C4257" t="s">
        <v>249</v>
      </c>
      <c r="D4257" t="s">
        <v>87</v>
      </c>
      <c r="E4257" t="s">
        <v>462</v>
      </c>
      <c r="F4257" t="s">
        <v>463</v>
      </c>
      <c r="G4257" t="s">
        <v>16</v>
      </c>
      <c r="H4257">
        <v>197</v>
      </c>
      <c r="I4257">
        <v>19.486999999999998</v>
      </c>
      <c r="J4257">
        <v>34.244</v>
      </c>
      <c r="K4257">
        <v>14.756</v>
      </c>
      <c r="L4257">
        <v>178</v>
      </c>
      <c r="M4257">
        <v>3</v>
      </c>
      <c r="N4257">
        <v>16</v>
      </c>
      <c r="O4257">
        <v>33.691000000000003</v>
      </c>
      <c r="P4257">
        <v>14.40586828</v>
      </c>
      <c r="Q4257">
        <v>8.8000000000000007</v>
      </c>
    </row>
    <row r="4258" spans="1:17" x14ac:dyDescent="0.2">
      <c r="A4258" s="30" t="str">
        <f>IF(C4258&amp;G4258&amp;D4258&lt;&gt;'Funnel setup'!$K$3&amp;'Funnel setup'!$K$4&amp;'Funnel setup'!$K$5,".",IF(A4257=".",1,A4257+1))</f>
        <v>.</v>
      </c>
      <c r="B4258" s="431" t="str">
        <f t="shared" si="66"/>
        <v>Knee Replacement PrimaryCCG of GP PracticeNHS WIGAN BOROUGH CCG (02H)Oxford Knee Score</v>
      </c>
      <c r="C4258" t="s">
        <v>249</v>
      </c>
      <c r="D4258" t="s">
        <v>87</v>
      </c>
      <c r="E4258" t="s">
        <v>465</v>
      </c>
      <c r="F4258" t="s">
        <v>466</v>
      </c>
      <c r="G4258" t="s">
        <v>16</v>
      </c>
      <c r="H4258">
        <v>186</v>
      </c>
      <c r="I4258">
        <v>16.934999999999999</v>
      </c>
      <c r="J4258">
        <v>33.031999999999996</v>
      </c>
      <c r="K4258">
        <v>16.097000000000001</v>
      </c>
      <c r="L4258">
        <v>171</v>
      </c>
      <c r="M4258">
        <v>5</v>
      </c>
      <c r="N4258">
        <v>10</v>
      </c>
      <c r="O4258">
        <v>34.981000000000002</v>
      </c>
      <c r="P4258">
        <v>15.69598513</v>
      </c>
      <c r="Q4258">
        <v>8.093</v>
      </c>
    </row>
    <row r="4259" spans="1:17" x14ac:dyDescent="0.2">
      <c r="A4259" s="30" t="str">
        <f>IF(C4259&amp;G4259&amp;D4259&lt;&gt;'Funnel setup'!$K$3&amp;'Funnel setup'!$K$4&amp;'Funnel setup'!$K$5,".",IF(A4258=".",1,A4258+1))</f>
        <v>.</v>
      </c>
      <c r="B4259" s="431" t="str">
        <f t="shared" si="66"/>
        <v>Knee Replacement PrimaryCCG of GP PracticeNHS WILTSHIRE CCG (99N)Oxford Knee Score</v>
      </c>
      <c r="C4259" t="s">
        <v>249</v>
      </c>
      <c r="D4259" t="s">
        <v>87</v>
      </c>
      <c r="E4259" t="s">
        <v>468</v>
      </c>
      <c r="F4259" t="s">
        <v>469</v>
      </c>
      <c r="G4259" t="s">
        <v>16</v>
      </c>
      <c r="H4259">
        <v>523</v>
      </c>
      <c r="I4259">
        <v>20.164000000000001</v>
      </c>
      <c r="J4259">
        <v>37.223999999999997</v>
      </c>
      <c r="K4259">
        <v>17.059000000000001</v>
      </c>
      <c r="L4259">
        <v>491</v>
      </c>
      <c r="M4259">
        <v>7</v>
      </c>
      <c r="N4259">
        <v>25</v>
      </c>
      <c r="O4259">
        <v>36.347999999999999</v>
      </c>
      <c r="P4259">
        <v>17.0631126</v>
      </c>
      <c r="Q4259">
        <v>7.976</v>
      </c>
    </row>
    <row r="4260" spans="1:17" x14ac:dyDescent="0.2">
      <c r="A4260" s="30" t="str">
        <f>IF(C4260&amp;G4260&amp;D4260&lt;&gt;'Funnel setup'!$K$3&amp;'Funnel setup'!$K$4&amp;'Funnel setup'!$K$5,".",IF(A4259=".",1,A4259+1))</f>
        <v>.</v>
      </c>
      <c r="B4260" s="431" t="str">
        <f t="shared" si="66"/>
        <v>Knee Replacement PrimaryCCG of GP PracticeNHS WINDSOR, ASCOT AND MAIDENHEAD CCG (11C)Oxford Knee Score</v>
      </c>
      <c r="C4260" t="s">
        <v>249</v>
      </c>
      <c r="D4260" t="s">
        <v>87</v>
      </c>
      <c r="E4260" t="s">
        <v>471</v>
      </c>
      <c r="F4260" t="s">
        <v>472</v>
      </c>
      <c r="G4260" t="s">
        <v>16</v>
      </c>
      <c r="H4260">
        <v>66</v>
      </c>
      <c r="I4260">
        <v>21.288</v>
      </c>
      <c r="J4260">
        <v>36.241999999999997</v>
      </c>
      <c r="K4260">
        <v>14.955</v>
      </c>
      <c r="L4260">
        <v>61</v>
      </c>
      <c r="M4260">
        <v>2</v>
      </c>
      <c r="N4260">
        <v>3</v>
      </c>
      <c r="O4260">
        <v>34.872</v>
      </c>
      <c r="P4260">
        <v>15.58704895</v>
      </c>
      <c r="Q4260">
        <v>8.859</v>
      </c>
    </row>
    <row r="4261" spans="1:17" x14ac:dyDescent="0.2">
      <c r="A4261" s="30" t="str">
        <f>IF(C4261&amp;G4261&amp;D4261&lt;&gt;'Funnel setup'!$K$3&amp;'Funnel setup'!$K$4&amp;'Funnel setup'!$K$5,".",IF(A4260=".",1,A4260+1))</f>
        <v>.</v>
      </c>
      <c r="B4261" s="431" t="str">
        <f t="shared" si="66"/>
        <v>Knee Replacement PrimaryCCG of GP PracticeNHS WIRRAL CCG (12F)Oxford Knee Score</v>
      </c>
      <c r="C4261" t="s">
        <v>249</v>
      </c>
      <c r="D4261" t="s">
        <v>87</v>
      </c>
      <c r="E4261" t="s">
        <v>474</v>
      </c>
      <c r="F4261" t="s">
        <v>475</v>
      </c>
      <c r="G4261" t="s">
        <v>16</v>
      </c>
      <c r="H4261">
        <v>320</v>
      </c>
      <c r="I4261">
        <v>18.853000000000002</v>
      </c>
      <c r="J4261">
        <v>35.049999999999997</v>
      </c>
      <c r="K4261">
        <v>16.196999999999999</v>
      </c>
      <c r="L4261">
        <v>301</v>
      </c>
      <c r="M4261">
        <v>2</v>
      </c>
      <c r="N4261">
        <v>17</v>
      </c>
      <c r="O4261">
        <v>35.72</v>
      </c>
      <c r="P4261">
        <v>16.435069309999999</v>
      </c>
      <c r="Q4261">
        <v>8.7669999999999995</v>
      </c>
    </row>
    <row r="4262" spans="1:17" x14ac:dyDescent="0.2">
      <c r="A4262" s="30" t="str">
        <f>IF(C4262&amp;G4262&amp;D4262&lt;&gt;'Funnel setup'!$K$3&amp;'Funnel setup'!$K$4&amp;'Funnel setup'!$K$5,".",IF(A4261=".",1,A4261+1))</f>
        <v>.</v>
      </c>
      <c r="B4262" s="431" t="str">
        <f t="shared" si="66"/>
        <v>Knee Replacement PrimaryCCG of GP PracticeNHS WOKINGHAM CCG (11D)Oxford Knee Score</v>
      </c>
      <c r="C4262" t="s">
        <v>249</v>
      </c>
      <c r="D4262" t="s">
        <v>87</v>
      </c>
      <c r="E4262" t="s">
        <v>477</v>
      </c>
      <c r="F4262" t="s">
        <v>478</v>
      </c>
      <c r="G4262" t="s">
        <v>16</v>
      </c>
      <c r="H4262">
        <v>108</v>
      </c>
      <c r="I4262">
        <v>22.111000000000001</v>
      </c>
      <c r="J4262">
        <v>37.119999999999997</v>
      </c>
      <c r="K4262">
        <v>15.009</v>
      </c>
      <c r="L4262">
        <v>104</v>
      </c>
      <c r="M4262">
        <v>0</v>
      </c>
      <c r="N4262">
        <v>4</v>
      </c>
      <c r="O4262">
        <v>34.668999999999997</v>
      </c>
      <c r="P4262">
        <v>15.38368249</v>
      </c>
      <c r="Q4262">
        <v>7.9279999999999999</v>
      </c>
    </row>
    <row r="4263" spans="1:17" x14ac:dyDescent="0.2">
      <c r="A4263" s="30" t="str">
        <f>IF(C4263&amp;G4263&amp;D4263&lt;&gt;'Funnel setup'!$K$3&amp;'Funnel setup'!$K$4&amp;'Funnel setup'!$K$5,".",IF(A4262=".",1,A4262+1))</f>
        <v>.</v>
      </c>
      <c r="B4263" s="431" t="str">
        <f t="shared" si="66"/>
        <v>Knee Replacement PrimaryCCG of GP PracticeNHS WOLVERHAMPTON CCG (06A)Oxford Knee Score</v>
      </c>
      <c r="C4263" t="s">
        <v>249</v>
      </c>
      <c r="D4263" t="s">
        <v>87</v>
      </c>
      <c r="E4263" t="s">
        <v>480</v>
      </c>
      <c r="F4263" t="s">
        <v>481</v>
      </c>
      <c r="G4263" t="s">
        <v>16</v>
      </c>
      <c r="H4263">
        <v>226</v>
      </c>
      <c r="I4263">
        <v>17.748000000000001</v>
      </c>
      <c r="J4263">
        <v>33.774000000000001</v>
      </c>
      <c r="K4263">
        <v>16.027000000000001</v>
      </c>
      <c r="L4263">
        <v>209</v>
      </c>
      <c r="M4263">
        <v>2</v>
      </c>
      <c r="N4263">
        <v>15</v>
      </c>
      <c r="O4263">
        <v>36.22</v>
      </c>
      <c r="P4263">
        <v>16.934431</v>
      </c>
      <c r="Q4263">
        <v>8.9280000000000008</v>
      </c>
    </row>
    <row r="4264" spans="1:17" x14ac:dyDescent="0.2">
      <c r="A4264" s="30" t="str">
        <f>IF(C4264&amp;G4264&amp;D4264&lt;&gt;'Funnel setup'!$K$3&amp;'Funnel setup'!$K$4&amp;'Funnel setup'!$K$5,".",IF(A4263=".",1,A4263+1))</f>
        <v>.</v>
      </c>
      <c r="B4264" s="431" t="str">
        <f t="shared" si="66"/>
        <v>Knee Replacement PrimaryCCG of GP PracticeNHS WYRE FOREST CCG (06D)Oxford Knee Score</v>
      </c>
      <c r="C4264" t="s">
        <v>249</v>
      </c>
      <c r="D4264" t="s">
        <v>87</v>
      </c>
      <c r="E4264" t="s">
        <v>483</v>
      </c>
      <c r="F4264" t="s">
        <v>484</v>
      </c>
      <c r="G4264" t="s">
        <v>16</v>
      </c>
      <c r="H4264">
        <v>73</v>
      </c>
      <c r="I4264">
        <v>19.917999999999999</v>
      </c>
      <c r="J4264">
        <v>36.89</v>
      </c>
      <c r="K4264">
        <v>16.972999999999999</v>
      </c>
      <c r="L4264">
        <v>71</v>
      </c>
      <c r="M4264">
        <v>0</v>
      </c>
      <c r="N4264">
        <v>2</v>
      </c>
      <c r="O4264">
        <v>36.348999999999997</v>
      </c>
      <c r="P4264">
        <v>17.063767009999999</v>
      </c>
      <c r="Q4264">
        <v>8.048</v>
      </c>
    </row>
    <row r="4265" spans="1:17" x14ac:dyDescent="0.2">
      <c r="A4265" s="30" t="str">
        <f>IF(C4265&amp;G4265&amp;D4265&lt;&gt;'Funnel setup'!$K$3&amp;'Funnel setup'!$K$4&amp;'Funnel setup'!$K$5,".",IF(A4264=".",1,A4264+1))</f>
        <v>.</v>
      </c>
      <c r="B4265" s="431" t="str">
        <f t="shared" si="66"/>
        <v>Knee Replacement PrimaryEnglandEnglandEQ VAS</v>
      </c>
      <c r="C4265" t="s">
        <v>249</v>
      </c>
      <c r="D4265" t="s">
        <v>163</v>
      </c>
      <c r="E4265" t="s">
        <v>163</v>
      </c>
      <c r="F4265" t="s">
        <v>163</v>
      </c>
      <c r="G4265" t="s">
        <v>179</v>
      </c>
      <c r="H4265">
        <v>35839</v>
      </c>
      <c r="I4265">
        <v>68.658000000000001</v>
      </c>
      <c r="J4265">
        <v>74.513000000000005</v>
      </c>
      <c r="K4265">
        <v>5.8550000000000004</v>
      </c>
      <c r="L4265">
        <v>19955</v>
      </c>
      <c r="M4265">
        <v>4841</v>
      </c>
      <c r="N4265">
        <v>11043</v>
      </c>
      <c r="O4265">
        <v>74.513000000000005</v>
      </c>
      <c r="P4265">
        <v>5.8550461790000004</v>
      </c>
      <c r="Q4265">
        <v>15.462</v>
      </c>
    </row>
    <row r="4266" spans="1:17" x14ac:dyDescent="0.2">
      <c r="A4266" s="30" t="str">
        <f>IF(C4266&amp;G4266&amp;D4266&lt;&gt;'Funnel setup'!$K$3&amp;'Funnel setup'!$K$4&amp;'Funnel setup'!$K$5,".",IF(A4265=".",1,A4265+1))</f>
        <v>.</v>
      </c>
      <c r="B4266" s="431" t="str">
        <f t="shared" si="66"/>
        <v>Knee Replacement PrimaryEnglandEnglandEQ-5D Index</v>
      </c>
      <c r="C4266" t="s">
        <v>249</v>
      </c>
      <c r="D4266" t="s">
        <v>163</v>
      </c>
      <c r="E4266" t="s">
        <v>163</v>
      </c>
      <c r="F4266" t="s">
        <v>163</v>
      </c>
      <c r="G4266" t="s">
        <v>52</v>
      </c>
      <c r="H4266">
        <v>37855</v>
      </c>
      <c r="I4266">
        <v>0.42499999999999999</v>
      </c>
      <c r="J4266">
        <v>0.74</v>
      </c>
      <c r="K4266">
        <v>0.315</v>
      </c>
      <c r="L4266">
        <v>30702</v>
      </c>
      <c r="M4266">
        <v>3678</v>
      </c>
      <c r="N4266">
        <v>3475</v>
      </c>
      <c r="O4266">
        <v>0.74</v>
      </c>
      <c r="P4266">
        <v>0.31506112800000002</v>
      </c>
      <c r="Q4266">
        <v>0.22500000000000001</v>
      </c>
    </row>
    <row r="4267" spans="1:17" x14ac:dyDescent="0.2">
      <c r="A4267" s="30" t="str">
        <f>IF(C4267&amp;G4267&amp;D4267&lt;&gt;'Funnel setup'!$K$3&amp;'Funnel setup'!$K$4&amp;'Funnel setup'!$K$5,".",IF(A4266=".",1,A4266+1))</f>
        <v>.</v>
      </c>
      <c r="B4267" s="431" t="str">
        <f t="shared" si="66"/>
        <v>Knee Replacement PrimaryEnglandEnglandOxford Knee Score</v>
      </c>
      <c r="C4267" t="s">
        <v>249</v>
      </c>
      <c r="D4267" t="s">
        <v>163</v>
      </c>
      <c r="E4267" t="s">
        <v>163</v>
      </c>
      <c r="F4267" t="s">
        <v>163</v>
      </c>
      <c r="G4267" t="s">
        <v>16</v>
      </c>
      <c r="H4267">
        <v>40818</v>
      </c>
      <c r="I4267">
        <v>19.285</v>
      </c>
      <c r="J4267">
        <v>35.427</v>
      </c>
      <c r="K4267">
        <v>16.141999999999999</v>
      </c>
      <c r="L4267">
        <v>38289</v>
      </c>
      <c r="M4267">
        <v>432</v>
      </c>
      <c r="N4267">
        <v>2097</v>
      </c>
      <c r="O4267">
        <v>35.427</v>
      </c>
      <c r="P4267">
        <v>16.141555199999999</v>
      </c>
      <c r="Q4267">
        <v>8.5210000000000008</v>
      </c>
    </row>
    <row r="4268" spans="1:17" x14ac:dyDescent="0.2">
      <c r="A4268" s="30" t="str">
        <f>IF(C4268&amp;G4268&amp;D4268&lt;&gt;'Funnel setup'!$K$3&amp;'Funnel setup'!$K$4&amp;'Funnel setup'!$K$5,".",IF(A4267=".",1,A4267+1))</f>
        <v>.</v>
      </c>
      <c r="B4268" s="431" t="str">
        <f t="shared" si="66"/>
        <v>Knee Replacement PrimaryProviderAINTREE UNIVERSITY HOSPITAL NHS FOUNDATION TRUST (REM)EQ VAS</v>
      </c>
      <c r="C4268" t="s">
        <v>249</v>
      </c>
      <c r="D4268" t="s">
        <v>1</v>
      </c>
      <c r="E4268" t="s">
        <v>3838</v>
      </c>
      <c r="F4268" t="s">
        <v>3839</v>
      </c>
      <c r="G4268" t="s">
        <v>179</v>
      </c>
      <c r="H4268">
        <v>119</v>
      </c>
      <c r="I4268">
        <v>61.319000000000003</v>
      </c>
      <c r="J4268">
        <v>67.933000000000007</v>
      </c>
      <c r="K4268">
        <v>6.6130000000000004</v>
      </c>
      <c r="L4268">
        <v>66</v>
      </c>
      <c r="M4268">
        <v>12</v>
      </c>
      <c r="N4268">
        <v>41</v>
      </c>
      <c r="O4268">
        <v>73.284000000000006</v>
      </c>
      <c r="P4268">
        <v>4.6255944119999999</v>
      </c>
      <c r="Q4268">
        <v>15.603</v>
      </c>
    </row>
    <row r="4269" spans="1:17" x14ac:dyDescent="0.2">
      <c r="A4269" s="30" t="str">
        <f>IF(C4269&amp;G4269&amp;D4269&lt;&gt;'Funnel setup'!$K$3&amp;'Funnel setup'!$K$4&amp;'Funnel setup'!$K$5,".",IF(A4268=".",1,A4268+1))</f>
        <v>.</v>
      </c>
      <c r="B4269" s="431" t="str">
        <f t="shared" si="66"/>
        <v>Knee Replacement PrimaryProviderAIREDALE NHS FOUNDATION TRUST (RCF)EQ VAS</v>
      </c>
      <c r="C4269" t="s">
        <v>249</v>
      </c>
      <c r="D4269" t="s">
        <v>1</v>
      </c>
      <c r="E4269" t="s">
        <v>3841</v>
      </c>
      <c r="F4269" t="s">
        <v>3842</v>
      </c>
      <c r="G4269" t="s">
        <v>179</v>
      </c>
      <c r="H4269">
        <v>127</v>
      </c>
      <c r="I4269">
        <v>68.873999999999995</v>
      </c>
      <c r="J4269">
        <v>75.528000000000006</v>
      </c>
      <c r="K4269">
        <v>6.6539999999999999</v>
      </c>
      <c r="L4269">
        <v>70</v>
      </c>
      <c r="M4269">
        <v>17</v>
      </c>
      <c r="N4269">
        <v>40</v>
      </c>
      <c r="O4269">
        <v>73.989999999999995</v>
      </c>
      <c r="P4269">
        <v>5.3316640150000003</v>
      </c>
      <c r="Q4269">
        <v>14.057</v>
      </c>
    </row>
    <row r="4270" spans="1:17" x14ac:dyDescent="0.2">
      <c r="A4270" s="30" t="str">
        <f>IF(C4270&amp;G4270&amp;D4270&lt;&gt;'Funnel setup'!$K$3&amp;'Funnel setup'!$K$4&amp;'Funnel setup'!$K$5,".",IF(A4269=".",1,A4269+1))</f>
        <v>.</v>
      </c>
      <c r="B4270" s="431" t="str">
        <f t="shared" si="66"/>
        <v>Knee Replacement PrimaryProviderASHFORD AND ST PETER'S HOSPITALS NHS FOUNDATION TRUST (RTK)EQ VAS</v>
      </c>
      <c r="C4270" t="s">
        <v>249</v>
      </c>
      <c r="D4270" t="s">
        <v>1</v>
      </c>
      <c r="E4270" t="s">
        <v>3844</v>
      </c>
      <c r="F4270" t="s">
        <v>345</v>
      </c>
      <c r="G4270" t="s">
        <v>179</v>
      </c>
      <c r="H4270">
        <v>240</v>
      </c>
      <c r="I4270">
        <v>67.453999999999994</v>
      </c>
      <c r="J4270">
        <v>74.304000000000002</v>
      </c>
      <c r="K4270">
        <v>6.85</v>
      </c>
      <c r="L4270">
        <v>134</v>
      </c>
      <c r="M4270">
        <v>35</v>
      </c>
      <c r="N4270">
        <v>71</v>
      </c>
      <c r="O4270">
        <v>74.165000000000006</v>
      </c>
      <c r="P4270">
        <v>5.5067695460000001</v>
      </c>
      <c r="Q4270">
        <v>14.494999999999999</v>
      </c>
    </row>
    <row r="4271" spans="1:17" x14ac:dyDescent="0.2">
      <c r="A4271" s="30" t="str">
        <f>IF(C4271&amp;G4271&amp;D4271&lt;&gt;'Funnel setup'!$K$3&amp;'Funnel setup'!$K$4&amp;'Funnel setup'!$K$5,".",IF(A4270=".",1,A4270+1))</f>
        <v>.</v>
      </c>
      <c r="B4271" s="431" t="str">
        <f t="shared" si="66"/>
        <v>Knee Replacement PrimaryProviderASHTEAD HOSPITAL (NVC01)EQ VAS</v>
      </c>
      <c r="C4271" t="s">
        <v>249</v>
      </c>
      <c r="D4271" t="s">
        <v>1</v>
      </c>
      <c r="E4271" t="s">
        <v>3846</v>
      </c>
      <c r="F4271" t="s">
        <v>3847</v>
      </c>
      <c r="G4271" t="s">
        <v>179</v>
      </c>
      <c r="H4271">
        <v>49</v>
      </c>
      <c r="I4271">
        <v>72</v>
      </c>
      <c r="J4271">
        <v>78.611999999999995</v>
      </c>
      <c r="K4271">
        <v>6.6120000000000001</v>
      </c>
      <c r="L4271">
        <v>25</v>
      </c>
      <c r="M4271">
        <v>10</v>
      </c>
      <c r="N4271">
        <v>14</v>
      </c>
      <c r="O4271">
        <v>75.257000000000005</v>
      </c>
      <c r="P4271">
        <v>6.5989571099999997</v>
      </c>
      <c r="Q4271">
        <v>13.497999999999999</v>
      </c>
    </row>
    <row r="4272" spans="1:17" x14ac:dyDescent="0.2">
      <c r="A4272" s="30" t="str">
        <f>IF(C4272&amp;G4272&amp;D4272&lt;&gt;'Funnel setup'!$K$3&amp;'Funnel setup'!$K$4&amp;'Funnel setup'!$K$5,".",IF(A4271=".",1,A4271+1))</f>
        <v>.</v>
      </c>
      <c r="B4272" s="431" t="str">
        <f t="shared" si="66"/>
        <v>Knee Replacement PrimaryProviderASPEN - CLAREMONT HOSPITAL (NYW04)EQ VAS</v>
      </c>
      <c r="C4272" t="s">
        <v>249</v>
      </c>
      <c r="D4272" t="s">
        <v>1</v>
      </c>
      <c r="E4272" t="s">
        <v>3500</v>
      </c>
      <c r="F4272" t="s">
        <v>3501</v>
      </c>
      <c r="G4272" t="s">
        <v>179</v>
      </c>
      <c r="H4272">
        <v>68</v>
      </c>
      <c r="I4272">
        <v>65.971000000000004</v>
      </c>
      <c r="J4272">
        <v>75.5</v>
      </c>
      <c r="K4272">
        <v>9.5289999999999999</v>
      </c>
      <c r="L4272">
        <v>43</v>
      </c>
      <c r="M4272">
        <v>10</v>
      </c>
      <c r="N4272">
        <v>15</v>
      </c>
      <c r="O4272">
        <v>75.197000000000003</v>
      </c>
      <c r="P4272">
        <v>6.5390845909999999</v>
      </c>
      <c r="Q4272">
        <v>16.625</v>
      </c>
    </row>
    <row r="4273" spans="1:17" x14ac:dyDescent="0.2">
      <c r="A4273" s="30" t="str">
        <f>IF(C4273&amp;G4273&amp;D4273&lt;&gt;'Funnel setup'!$K$3&amp;'Funnel setup'!$K$4&amp;'Funnel setup'!$K$5,".",IF(A4272=".",1,A4272+1))</f>
        <v>.</v>
      </c>
      <c r="B4273" s="431" t="str">
        <f t="shared" si="66"/>
        <v>Knee Replacement PrimaryProviderASPEN - HIGHGATE HOSPITAL (NYW03)EQ VAS</v>
      </c>
      <c r="C4273" t="s">
        <v>249</v>
      </c>
      <c r="D4273" t="s">
        <v>1</v>
      </c>
      <c r="E4273" t="s">
        <v>3503</v>
      </c>
      <c r="F4273" t="s">
        <v>3504</v>
      </c>
      <c r="G4273" t="s">
        <v>179</v>
      </c>
      <c r="H4273" t="s">
        <v>53</v>
      </c>
      <c r="I4273" t="s">
        <v>53</v>
      </c>
      <c r="J4273" t="s">
        <v>53</v>
      </c>
      <c r="K4273" t="s">
        <v>53</v>
      </c>
      <c r="L4273" t="s">
        <v>53</v>
      </c>
      <c r="M4273" t="s">
        <v>53</v>
      </c>
      <c r="N4273" t="s">
        <v>53</v>
      </c>
      <c r="O4273" t="s">
        <v>53</v>
      </c>
      <c r="P4273" t="s">
        <v>53</v>
      </c>
      <c r="Q4273" t="s">
        <v>53</v>
      </c>
    </row>
    <row r="4274" spans="1:17" x14ac:dyDescent="0.2">
      <c r="A4274" s="30" t="str">
        <f>IF(C4274&amp;G4274&amp;D4274&lt;&gt;'Funnel setup'!$K$3&amp;'Funnel setup'!$K$4&amp;'Funnel setup'!$K$5,".",IF(A4273=".",1,A4273+1))</f>
        <v>.</v>
      </c>
      <c r="B4274" s="431" t="str">
        <f t="shared" si="66"/>
        <v>Knee Replacement PrimaryProviderASPEN - HOLLY HOUSE HOSPITAL (NYW01)EQ VAS</v>
      </c>
      <c r="C4274" t="s">
        <v>249</v>
      </c>
      <c r="D4274" t="s">
        <v>1</v>
      </c>
      <c r="E4274" t="s">
        <v>3506</v>
      </c>
      <c r="F4274" t="s">
        <v>3507</v>
      </c>
      <c r="G4274" t="s">
        <v>179</v>
      </c>
      <c r="H4274">
        <v>34</v>
      </c>
      <c r="I4274">
        <v>63.588000000000001</v>
      </c>
      <c r="J4274">
        <v>73.176000000000002</v>
      </c>
      <c r="K4274">
        <v>9.5879999999999992</v>
      </c>
      <c r="L4274">
        <v>24</v>
      </c>
      <c r="M4274">
        <v>2</v>
      </c>
      <c r="N4274">
        <v>8</v>
      </c>
      <c r="O4274">
        <v>74.031000000000006</v>
      </c>
      <c r="P4274">
        <v>5.3729215630000002</v>
      </c>
      <c r="Q4274">
        <v>15.893000000000001</v>
      </c>
    </row>
    <row r="4275" spans="1:17" x14ac:dyDescent="0.2">
      <c r="A4275" s="30" t="str">
        <f>IF(C4275&amp;G4275&amp;D4275&lt;&gt;'Funnel setup'!$K$3&amp;'Funnel setup'!$K$4&amp;'Funnel setup'!$K$5,".",IF(A4274=".",1,A4274+1))</f>
        <v>.</v>
      </c>
      <c r="B4275" s="431" t="str">
        <f t="shared" si="66"/>
        <v>Knee Replacement PrimaryProviderBARKING, HAVERING AND REDBRIDGE UNIVERSITY HOSPITALS NHS TRUST (RF4)EQ VAS</v>
      </c>
      <c r="C4275" t="s">
        <v>249</v>
      </c>
      <c r="D4275" t="s">
        <v>1</v>
      </c>
      <c r="E4275" t="s">
        <v>3509</v>
      </c>
      <c r="F4275" t="s">
        <v>3510</v>
      </c>
      <c r="G4275" t="s">
        <v>179</v>
      </c>
      <c r="H4275">
        <v>74</v>
      </c>
      <c r="I4275">
        <v>66.932000000000002</v>
      </c>
      <c r="J4275">
        <v>67.715999999999994</v>
      </c>
      <c r="K4275">
        <v>0.78400000000000003</v>
      </c>
      <c r="L4275">
        <v>35</v>
      </c>
      <c r="M4275">
        <v>10</v>
      </c>
      <c r="N4275">
        <v>29</v>
      </c>
      <c r="O4275">
        <v>70.638000000000005</v>
      </c>
      <c r="P4275">
        <v>1.9794656639999999</v>
      </c>
      <c r="Q4275">
        <v>18.548999999999999</v>
      </c>
    </row>
    <row r="4276" spans="1:17" x14ac:dyDescent="0.2">
      <c r="A4276" s="30" t="str">
        <f>IF(C4276&amp;G4276&amp;D4276&lt;&gt;'Funnel setup'!$K$3&amp;'Funnel setup'!$K$4&amp;'Funnel setup'!$K$5,".",IF(A4275=".",1,A4275+1))</f>
        <v>.</v>
      </c>
      <c r="B4276" s="431" t="str">
        <f t="shared" si="66"/>
        <v>Knee Replacement PrimaryProviderBARLBOROUGH NHS TREATMENT CENTRE (NTP13)EQ VAS</v>
      </c>
      <c r="C4276" t="s">
        <v>249</v>
      </c>
      <c r="D4276" t="s">
        <v>1</v>
      </c>
      <c r="E4276" t="s">
        <v>4425</v>
      </c>
      <c r="F4276" t="s">
        <v>4426</v>
      </c>
      <c r="G4276" t="s">
        <v>179</v>
      </c>
      <c r="H4276">
        <v>384</v>
      </c>
      <c r="I4276">
        <v>73.63</v>
      </c>
      <c r="J4276">
        <v>76.447999999999993</v>
      </c>
      <c r="K4276">
        <v>2.8180000000000001</v>
      </c>
      <c r="L4276">
        <v>188</v>
      </c>
      <c r="M4276">
        <v>56</v>
      </c>
      <c r="N4276">
        <v>140</v>
      </c>
      <c r="O4276">
        <v>73.725999999999999</v>
      </c>
      <c r="P4276">
        <v>5.0676188470000003</v>
      </c>
      <c r="Q4276">
        <v>13.823</v>
      </c>
    </row>
    <row r="4277" spans="1:17" x14ac:dyDescent="0.2">
      <c r="A4277" s="30" t="str">
        <f>IF(C4277&amp;G4277&amp;D4277&lt;&gt;'Funnel setup'!$K$3&amp;'Funnel setup'!$K$4&amp;'Funnel setup'!$K$5,".",IF(A4276=".",1,A4276+1))</f>
        <v>.</v>
      </c>
      <c r="B4277" s="431" t="str">
        <f t="shared" si="66"/>
        <v>Knee Replacement PrimaryProviderBARNSLEY HOSPITAL NHS FOUNDATION TRUST (RFF)EQ VAS</v>
      </c>
      <c r="C4277" t="s">
        <v>249</v>
      </c>
      <c r="D4277" t="s">
        <v>1</v>
      </c>
      <c r="E4277" t="s">
        <v>3549</v>
      </c>
      <c r="F4277" t="s">
        <v>3550</v>
      </c>
      <c r="G4277" t="s">
        <v>179</v>
      </c>
      <c r="H4277">
        <v>186</v>
      </c>
      <c r="I4277">
        <v>59.237000000000002</v>
      </c>
      <c r="J4277">
        <v>69.866</v>
      </c>
      <c r="K4277">
        <v>10.629</v>
      </c>
      <c r="L4277">
        <v>111</v>
      </c>
      <c r="M4277">
        <v>22</v>
      </c>
      <c r="N4277">
        <v>53</v>
      </c>
      <c r="O4277">
        <v>73.064999999999998</v>
      </c>
      <c r="P4277">
        <v>4.4067838960000003</v>
      </c>
      <c r="Q4277">
        <v>18.018000000000001</v>
      </c>
    </row>
    <row r="4278" spans="1:17" x14ac:dyDescent="0.2">
      <c r="A4278" s="30" t="str">
        <f>IF(C4278&amp;G4278&amp;D4278&lt;&gt;'Funnel setup'!$K$3&amp;'Funnel setup'!$K$4&amp;'Funnel setup'!$K$5,".",IF(A4277=".",1,A4277+1))</f>
        <v>.</v>
      </c>
      <c r="B4278" s="431" t="str">
        <f t="shared" si="66"/>
        <v>Knee Replacement PrimaryProviderBARTS HEALTH NHS TRUST (R1H)EQ VAS</v>
      </c>
      <c r="C4278" t="s">
        <v>249</v>
      </c>
      <c r="D4278" t="s">
        <v>1</v>
      </c>
      <c r="E4278" t="s">
        <v>3552</v>
      </c>
      <c r="F4278" t="s">
        <v>3553</v>
      </c>
      <c r="G4278" t="s">
        <v>179</v>
      </c>
      <c r="H4278">
        <v>191</v>
      </c>
      <c r="I4278">
        <v>60.707000000000001</v>
      </c>
      <c r="J4278">
        <v>67.298000000000002</v>
      </c>
      <c r="K4278">
        <v>6.5919999999999996</v>
      </c>
      <c r="L4278">
        <v>109</v>
      </c>
      <c r="M4278">
        <v>27</v>
      </c>
      <c r="N4278">
        <v>55</v>
      </c>
      <c r="O4278">
        <v>73.869</v>
      </c>
      <c r="P4278">
        <v>5.2109636410000002</v>
      </c>
      <c r="Q4278">
        <v>18.128</v>
      </c>
    </row>
    <row r="4279" spans="1:17" x14ac:dyDescent="0.2">
      <c r="A4279" s="30" t="str">
        <f>IF(C4279&amp;G4279&amp;D4279&lt;&gt;'Funnel setup'!$K$3&amp;'Funnel setup'!$K$4&amp;'Funnel setup'!$K$5,".",IF(A4278=".",1,A4278+1))</f>
        <v>.</v>
      </c>
      <c r="B4279" s="431" t="str">
        <f t="shared" si="66"/>
        <v>Knee Replacement PrimaryProviderBASILDON AND THURROCK UNIVERSITY HOSPITALS NHS FOUNDATION TRUST (RDD)EQ VAS</v>
      </c>
      <c r="C4279" t="s">
        <v>249</v>
      </c>
      <c r="D4279" t="s">
        <v>1</v>
      </c>
      <c r="E4279" t="s">
        <v>3555</v>
      </c>
      <c r="F4279" t="s">
        <v>3556</v>
      </c>
      <c r="G4279" t="s">
        <v>179</v>
      </c>
      <c r="H4279">
        <v>134</v>
      </c>
      <c r="I4279">
        <v>69.209000000000003</v>
      </c>
      <c r="J4279">
        <v>71.664000000000001</v>
      </c>
      <c r="K4279">
        <v>2.4550000000000001</v>
      </c>
      <c r="L4279">
        <v>66</v>
      </c>
      <c r="M4279">
        <v>18</v>
      </c>
      <c r="N4279">
        <v>50</v>
      </c>
      <c r="O4279">
        <v>72.378</v>
      </c>
      <c r="P4279">
        <v>3.7192867870000001</v>
      </c>
      <c r="Q4279">
        <v>17.29</v>
      </c>
    </row>
    <row r="4280" spans="1:17" x14ac:dyDescent="0.2">
      <c r="A4280" s="30" t="str">
        <f>IF(C4280&amp;G4280&amp;D4280&lt;&gt;'Funnel setup'!$K$3&amp;'Funnel setup'!$K$4&amp;'Funnel setup'!$K$5,".",IF(A4279=".",1,A4279+1))</f>
        <v>.</v>
      </c>
      <c r="B4280" s="431" t="str">
        <f t="shared" si="66"/>
        <v>Knee Replacement PrimaryProviderBEDFORD HOSPITAL NHS TRUST (RC1)EQ VAS</v>
      </c>
      <c r="C4280" t="s">
        <v>249</v>
      </c>
      <c r="D4280" t="s">
        <v>1</v>
      </c>
      <c r="E4280" t="s">
        <v>3558</v>
      </c>
      <c r="F4280" t="s">
        <v>3559</v>
      </c>
      <c r="G4280" t="s">
        <v>179</v>
      </c>
      <c r="H4280">
        <v>131</v>
      </c>
      <c r="I4280">
        <v>66.58</v>
      </c>
      <c r="J4280">
        <v>71.206000000000003</v>
      </c>
      <c r="K4280">
        <v>4.6260000000000003</v>
      </c>
      <c r="L4280">
        <v>67</v>
      </c>
      <c r="M4280">
        <v>20</v>
      </c>
      <c r="N4280">
        <v>44</v>
      </c>
      <c r="O4280">
        <v>71.835999999999999</v>
      </c>
      <c r="P4280">
        <v>3.1772107890000001</v>
      </c>
      <c r="Q4280">
        <v>15.728</v>
      </c>
    </row>
    <row r="4281" spans="1:17" x14ac:dyDescent="0.2">
      <c r="A4281" s="30" t="str">
        <f>IF(C4281&amp;G4281&amp;D4281&lt;&gt;'Funnel setup'!$K$3&amp;'Funnel setup'!$K$4&amp;'Funnel setup'!$K$5,".",IF(A4280=".",1,A4280+1))</f>
        <v>.</v>
      </c>
      <c r="B4281" s="431" t="str">
        <f t="shared" si="66"/>
        <v>Knee Replacement PrimaryProviderBENENDEN HOSPITAL (NWF01)EQ VAS</v>
      </c>
      <c r="C4281" t="s">
        <v>249</v>
      </c>
      <c r="D4281" t="s">
        <v>1</v>
      </c>
      <c r="E4281" t="s">
        <v>4428</v>
      </c>
      <c r="F4281" t="s">
        <v>4429</v>
      </c>
      <c r="G4281" t="s">
        <v>179</v>
      </c>
      <c r="H4281">
        <v>33</v>
      </c>
      <c r="I4281">
        <v>75.454999999999998</v>
      </c>
      <c r="J4281">
        <v>80.484999999999999</v>
      </c>
      <c r="K4281">
        <v>5.03</v>
      </c>
      <c r="L4281">
        <v>15</v>
      </c>
      <c r="M4281">
        <v>10</v>
      </c>
      <c r="N4281">
        <v>8</v>
      </c>
      <c r="O4281">
        <v>78.248999999999995</v>
      </c>
      <c r="P4281">
        <v>9.5909136890000006</v>
      </c>
      <c r="Q4281">
        <v>12.491</v>
      </c>
    </row>
    <row r="4282" spans="1:17" x14ac:dyDescent="0.2">
      <c r="A4282" s="30" t="str">
        <f>IF(C4282&amp;G4282&amp;D4282&lt;&gt;'Funnel setup'!$K$3&amp;'Funnel setup'!$K$4&amp;'Funnel setup'!$K$5,".",IF(A4281=".",1,A4281+1))</f>
        <v>.</v>
      </c>
      <c r="B4282" s="431" t="str">
        <f t="shared" si="66"/>
        <v>Knee Replacement PrimaryProviderBLACKPOOL TEACHING HOSPITALS NHS FOUNDATION TRUST (RXL)EQ VAS</v>
      </c>
      <c r="C4282" t="s">
        <v>249</v>
      </c>
      <c r="D4282" t="s">
        <v>1</v>
      </c>
      <c r="E4282" t="s">
        <v>3561</v>
      </c>
      <c r="F4282" t="s">
        <v>3562</v>
      </c>
      <c r="G4282" t="s">
        <v>179</v>
      </c>
      <c r="H4282">
        <v>24</v>
      </c>
      <c r="I4282">
        <v>62.167000000000002</v>
      </c>
      <c r="J4282">
        <v>69.292000000000002</v>
      </c>
      <c r="K4282">
        <v>7.125</v>
      </c>
      <c r="L4282">
        <v>11</v>
      </c>
      <c r="M4282">
        <v>5</v>
      </c>
      <c r="N4282">
        <v>8</v>
      </c>
      <c r="O4282" t="s">
        <v>53</v>
      </c>
      <c r="P4282" t="s">
        <v>53</v>
      </c>
      <c r="Q4282" t="s">
        <v>53</v>
      </c>
    </row>
    <row r="4283" spans="1:17" x14ac:dyDescent="0.2">
      <c r="A4283" s="30" t="str">
        <f>IF(C4283&amp;G4283&amp;D4283&lt;&gt;'Funnel setup'!$K$3&amp;'Funnel setup'!$K$4&amp;'Funnel setup'!$K$5,".",IF(A4282=".",1,A4282+1))</f>
        <v>.</v>
      </c>
      <c r="B4283" s="431" t="str">
        <f t="shared" si="66"/>
        <v>Knee Replacement PrimaryProviderBMI - BATH CLINIC (NT402)EQ VAS</v>
      </c>
      <c r="C4283" t="s">
        <v>249</v>
      </c>
      <c r="D4283" t="s">
        <v>1</v>
      </c>
      <c r="E4283" t="s">
        <v>3488</v>
      </c>
      <c r="F4283" t="s">
        <v>3489</v>
      </c>
      <c r="G4283" t="s">
        <v>179</v>
      </c>
      <c r="H4283">
        <v>43</v>
      </c>
      <c r="I4283">
        <v>68.349000000000004</v>
      </c>
      <c r="J4283">
        <v>78.86</v>
      </c>
      <c r="K4283">
        <v>10.512</v>
      </c>
      <c r="L4283">
        <v>30</v>
      </c>
      <c r="M4283">
        <v>3</v>
      </c>
      <c r="N4283">
        <v>10</v>
      </c>
      <c r="O4283">
        <v>76.831999999999994</v>
      </c>
      <c r="P4283">
        <v>8.1732086020000008</v>
      </c>
      <c r="Q4283">
        <v>11.468999999999999</v>
      </c>
    </row>
    <row r="4284" spans="1:17" x14ac:dyDescent="0.2">
      <c r="A4284" s="30" t="str">
        <f>IF(C4284&amp;G4284&amp;D4284&lt;&gt;'Funnel setup'!$K$3&amp;'Funnel setup'!$K$4&amp;'Funnel setup'!$K$5,".",IF(A4283=".",1,A4283+1))</f>
        <v>.</v>
      </c>
      <c r="B4284" s="431" t="str">
        <f t="shared" si="66"/>
        <v>Knee Replacement PrimaryProviderBMI - BISHOPS WOOD (NT405)EQ VAS</v>
      </c>
      <c r="C4284" t="s">
        <v>249</v>
      </c>
      <c r="D4284" t="s">
        <v>1</v>
      </c>
      <c r="E4284" t="s">
        <v>3491</v>
      </c>
      <c r="F4284" t="s">
        <v>3492</v>
      </c>
      <c r="G4284" t="s">
        <v>179</v>
      </c>
      <c r="H4284">
        <v>13</v>
      </c>
      <c r="I4284">
        <v>78.230999999999995</v>
      </c>
      <c r="J4284">
        <v>76.308000000000007</v>
      </c>
      <c r="K4284">
        <v>-1.923</v>
      </c>
      <c r="L4284">
        <v>4</v>
      </c>
      <c r="M4284">
        <v>4</v>
      </c>
      <c r="N4284">
        <v>5</v>
      </c>
      <c r="O4284" t="s">
        <v>53</v>
      </c>
      <c r="P4284" t="s">
        <v>53</v>
      </c>
      <c r="Q4284" t="s">
        <v>53</v>
      </c>
    </row>
    <row r="4285" spans="1:17" x14ac:dyDescent="0.2">
      <c r="A4285" s="30" t="str">
        <f>IF(C4285&amp;G4285&amp;D4285&lt;&gt;'Funnel setup'!$K$3&amp;'Funnel setup'!$K$4&amp;'Funnel setup'!$K$5,".",IF(A4284=".",1,A4284+1))</f>
        <v>.</v>
      </c>
      <c r="B4285" s="431" t="str">
        <f t="shared" si="66"/>
        <v>Knee Replacement PrimaryProviderBMI - CHELSFIELD PARK HOSPITAL (NT409)EQ VAS</v>
      </c>
      <c r="C4285" t="s">
        <v>249</v>
      </c>
      <c r="D4285" t="s">
        <v>1</v>
      </c>
      <c r="E4285" t="s">
        <v>3494</v>
      </c>
      <c r="F4285" t="s">
        <v>3495</v>
      </c>
      <c r="G4285" t="s">
        <v>179</v>
      </c>
      <c r="H4285">
        <v>13</v>
      </c>
      <c r="I4285">
        <v>68.462000000000003</v>
      </c>
      <c r="J4285">
        <v>75.923000000000002</v>
      </c>
      <c r="K4285">
        <v>7.4619999999999997</v>
      </c>
      <c r="L4285">
        <v>7</v>
      </c>
      <c r="M4285">
        <v>2</v>
      </c>
      <c r="N4285">
        <v>4</v>
      </c>
      <c r="O4285" t="s">
        <v>53</v>
      </c>
      <c r="P4285" t="s">
        <v>53</v>
      </c>
      <c r="Q4285" t="s">
        <v>53</v>
      </c>
    </row>
    <row r="4286" spans="1:17" x14ac:dyDescent="0.2">
      <c r="A4286" s="30" t="str">
        <f>IF(C4286&amp;G4286&amp;D4286&lt;&gt;'Funnel setup'!$K$3&amp;'Funnel setup'!$K$4&amp;'Funnel setup'!$K$5,".",IF(A4285=".",1,A4285+1))</f>
        <v>.</v>
      </c>
      <c r="B4286" s="431" t="str">
        <f t="shared" si="66"/>
        <v>Knee Replacement PrimaryProviderBMI - FAWKHAM MANOR HOSPITAL (NT414)EQ VAS</v>
      </c>
      <c r="C4286" t="s">
        <v>249</v>
      </c>
      <c r="D4286" t="s">
        <v>1</v>
      </c>
      <c r="E4286" t="s">
        <v>3497</v>
      </c>
      <c r="F4286" t="s">
        <v>3498</v>
      </c>
      <c r="G4286" t="s">
        <v>179</v>
      </c>
      <c r="H4286">
        <v>23</v>
      </c>
      <c r="I4286">
        <v>73.260999999999996</v>
      </c>
      <c r="J4286">
        <v>78.956999999999994</v>
      </c>
      <c r="K4286">
        <v>5.6959999999999997</v>
      </c>
      <c r="L4286">
        <v>13</v>
      </c>
      <c r="M4286">
        <v>5</v>
      </c>
      <c r="N4286">
        <v>5</v>
      </c>
      <c r="O4286" t="s">
        <v>53</v>
      </c>
      <c r="P4286" t="s">
        <v>53</v>
      </c>
      <c r="Q4286" t="s">
        <v>53</v>
      </c>
    </row>
    <row r="4287" spans="1:17" x14ac:dyDescent="0.2">
      <c r="A4287" s="30" t="str">
        <f>IF(C4287&amp;G4287&amp;D4287&lt;&gt;'Funnel setup'!$K$3&amp;'Funnel setup'!$K$4&amp;'Funnel setup'!$K$5,".",IF(A4286=".",1,A4286+1))</f>
        <v>.</v>
      </c>
      <c r="B4287" s="431" t="str">
        <f t="shared" si="66"/>
        <v>Knee Replacement PrimaryProviderBMI - GORING HALL HOSPITAL (NT417)EQ VAS</v>
      </c>
      <c r="C4287" t="s">
        <v>249</v>
      </c>
      <c r="D4287" t="s">
        <v>1</v>
      </c>
      <c r="E4287" t="s">
        <v>3403</v>
      </c>
      <c r="F4287" t="s">
        <v>3404</v>
      </c>
      <c r="G4287" t="s">
        <v>179</v>
      </c>
      <c r="H4287">
        <v>97</v>
      </c>
      <c r="I4287">
        <v>73.381</v>
      </c>
      <c r="J4287">
        <v>76.412000000000006</v>
      </c>
      <c r="K4287">
        <v>3.0310000000000001</v>
      </c>
      <c r="L4287">
        <v>44</v>
      </c>
      <c r="M4287">
        <v>12</v>
      </c>
      <c r="N4287">
        <v>41</v>
      </c>
      <c r="O4287">
        <v>73.58</v>
      </c>
      <c r="P4287">
        <v>4.922156406</v>
      </c>
      <c r="Q4287">
        <v>13.571</v>
      </c>
    </row>
    <row r="4288" spans="1:17" x14ac:dyDescent="0.2">
      <c r="A4288" s="30" t="str">
        <f>IF(C4288&amp;G4288&amp;D4288&lt;&gt;'Funnel setup'!$K$3&amp;'Funnel setup'!$K$4&amp;'Funnel setup'!$K$5,".",IF(A4287=".",1,A4287+1))</f>
        <v>.</v>
      </c>
      <c r="B4288" s="431" t="str">
        <f t="shared" si="66"/>
        <v>Knee Replacement PrimaryProviderBMI - HENDON HOSPITAL (NT416)EQ VAS</v>
      </c>
      <c r="C4288" t="s">
        <v>249</v>
      </c>
      <c r="D4288" t="s">
        <v>1</v>
      </c>
      <c r="E4288" t="s">
        <v>3570</v>
      </c>
      <c r="F4288" t="s">
        <v>3571</v>
      </c>
      <c r="G4288" t="s">
        <v>179</v>
      </c>
      <c r="H4288" t="s">
        <v>53</v>
      </c>
      <c r="I4288" t="s">
        <v>53</v>
      </c>
      <c r="J4288" t="s">
        <v>53</v>
      </c>
      <c r="K4288" t="s">
        <v>53</v>
      </c>
      <c r="L4288" t="s">
        <v>53</v>
      </c>
      <c r="M4288" t="s">
        <v>53</v>
      </c>
      <c r="N4288" t="s">
        <v>53</v>
      </c>
      <c r="O4288" t="s">
        <v>53</v>
      </c>
      <c r="P4288" t="s">
        <v>53</v>
      </c>
      <c r="Q4288" t="s">
        <v>53</v>
      </c>
    </row>
    <row r="4289" spans="1:17" x14ac:dyDescent="0.2">
      <c r="A4289" s="30" t="str">
        <f>IF(C4289&amp;G4289&amp;D4289&lt;&gt;'Funnel setup'!$K$3&amp;'Funnel setup'!$K$4&amp;'Funnel setup'!$K$5,".",IF(A4288=".",1,A4288+1))</f>
        <v>.</v>
      </c>
      <c r="B4289" s="431" t="str">
        <f t="shared" si="66"/>
        <v>Knee Replacement PrimaryProviderBMI - SARUM ROAD HOSPITAL (NT433)EQ VAS</v>
      </c>
      <c r="C4289" t="s">
        <v>249</v>
      </c>
      <c r="D4289" t="s">
        <v>1</v>
      </c>
      <c r="E4289" t="s">
        <v>3573</v>
      </c>
      <c r="F4289" t="s">
        <v>3574</v>
      </c>
      <c r="G4289" t="s">
        <v>179</v>
      </c>
      <c r="H4289">
        <v>24</v>
      </c>
      <c r="I4289">
        <v>79.625</v>
      </c>
      <c r="J4289">
        <v>79.792000000000002</v>
      </c>
      <c r="K4289">
        <v>0.16700000000000001</v>
      </c>
      <c r="L4289">
        <v>8</v>
      </c>
      <c r="M4289">
        <v>6</v>
      </c>
      <c r="N4289">
        <v>10</v>
      </c>
      <c r="O4289" t="s">
        <v>53</v>
      </c>
      <c r="P4289" t="s">
        <v>53</v>
      </c>
      <c r="Q4289" t="s">
        <v>53</v>
      </c>
    </row>
    <row r="4290" spans="1:17" x14ac:dyDescent="0.2">
      <c r="A4290" s="30" t="str">
        <f>IF(C4290&amp;G4290&amp;D4290&lt;&gt;'Funnel setup'!$K$3&amp;'Funnel setup'!$K$4&amp;'Funnel setup'!$K$5,".",IF(A4289=".",1,A4289+1))</f>
        <v>.</v>
      </c>
      <c r="B4290" s="431" t="str">
        <f t="shared" si="66"/>
        <v>Knee Replacement PrimaryProviderBMI - SHIRLEY OAKS HOSPITAL (NT436)EQ VAS</v>
      </c>
      <c r="C4290" t="s">
        <v>249</v>
      </c>
      <c r="D4290" t="s">
        <v>1</v>
      </c>
      <c r="E4290" t="s">
        <v>3576</v>
      </c>
      <c r="F4290" t="s">
        <v>3577</v>
      </c>
      <c r="G4290" t="s">
        <v>179</v>
      </c>
      <c r="H4290">
        <v>15</v>
      </c>
      <c r="I4290">
        <v>67.400000000000006</v>
      </c>
      <c r="J4290">
        <v>73</v>
      </c>
      <c r="K4290">
        <v>5.6</v>
      </c>
      <c r="L4290">
        <v>7</v>
      </c>
      <c r="M4290">
        <v>5</v>
      </c>
      <c r="N4290">
        <v>3</v>
      </c>
      <c r="O4290" t="s">
        <v>53</v>
      </c>
      <c r="P4290" t="s">
        <v>53</v>
      </c>
      <c r="Q4290" t="s">
        <v>53</v>
      </c>
    </row>
    <row r="4291" spans="1:17" x14ac:dyDescent="0.2">
      <c r="A4291" s="30" t="str">
        <f>IF(C4291&amp;G4291&amp;D4291&lt;&gt;'Funnel setup'!$K$3&amp;'Funnel setup'!$K$4&amp;'Funnel setup'!$K$5,".",IF(A4290=".",1,A4290+1))</f>
        <v>.</v>
      </c>
      <c r="B4291" s="431" t="str">
        <f t="shared" ref="B4291:B4354" si="67">C4291&amp;D4291&amp;F4291&amp;G4291</f>
        <v>Knee Replacement PrimaryProviderBMI - THE ALEXANDRA HOSPITAL (NT401)EQ VAS</v>
      </c>
      <c r="C4291" t="s">
        <v>249</v>
      </c>
      <c r="D4291" t="s">
        <v>1</v>
      </c>
      <c r="E4291" t="s">
        <v>3579</v>
      </c>
      <c r="F4291" t="s">
        <v>3580</v>
      </c>
      <c r="G4291" t="s">
        <v>179</v>
      </c>
      <c r="H4291">
        <v>69</v>
      </c>
      <c r="I4291">
        <v>71.159000000000006</v>
      </c>
      <c r="J4291">
        <v>78.332999999999998</v>
      </c>
      <c r="K4291">
        <v>7.1740000000000004</v>
      </c>
      <c r="L4291">
        <v>42</v>
      </c>
      <c r="M4291">
        <v>9</v>
      </c>
      <c r="N4291">
        <v>18</v>
      </c>
      <c r="O4291">
        <v>77.116</v>
      </c>
      <c r="P4291">
        <v>8.4576266340000004</v>
      </c>
      <c r="Q4291">
        <v>12.449</v>
      </c>
    </row>
    <row r="4292" spans="1:17" x14ac:dyDescent="0.2">
      <c r="A4292" s="30" t="str">
        <f>IF(C4292&amp;G4292&amp;D4292&lt;&gt;'Funnel setup'!$K$3&amp;'Funnel setup'!$K$4&amp;'Funnel setup'!$K$5,".",IF(A4291=".",1,A4291+1))</f>
        <v>.</v>
      </c>
      <c r="B4292" s="431" t="str">
        <f t="shared" si="67"/>
        <v>Knee Replacement PrimaryProviderBMI - THE BEARDWOOD HOSPITAL (NT403)EQ VAS</v>
      </c>
      <c r="C4292" t="s">
        <v>249</v>
      </c>
      <c r="D4292" t="s">
        <v>1</v>
      </c>
      <c r="E4292" t="s">
        <v>3582</v>
      </c>
      <c r="F4292" t="s">
        <v>3583</v>
      </c>
      <c r="G4292" t="s">
        <v>179</v>
      </c>
      <c r="H4292">
        <v>41</v>
      </c>
      <c r="I4292">
        <v>67.22</v>
      </c>
      <c r="J4292">
        <v>75.659000000000006</v>
      </c>
      <c r="K4292">
        <v>8.4390000000000001</v>
      </c>
      <c r="L4292">
        <v>23</v>
      </c>
      <c r="M4292">
        <v>10</v>
      </c>
      <c r="N4292">
        <v>8</v>
      </c>
      <c r="O4292">
        <v>75.094999999999999</v>
      </c>
      <c r="P4292">
        <v>6.4366164919999997</v>
      </c>
      <c r="Q4292">
        <v>12.022</v>
      </c>
    </row>
    <row r="4293" spans="1:17" x14ac:dyDescent="0.2">
      <c r="A4293" s="30" t="str">
        <f>IF(C4293&amp;G4293&amp;D4293&lt;&gt;'Funnel setup'!$K$3&amp;'Funnel setup'!$K$4&amp;'Funnel setup'!$K$5,".",IF(A4292=".",1,A4292+1))</f>
        <v>.</v>
      </c>
      <c r="B4293" s="431" t="str">
        <f t="shared" si="67"/>
        <v>Knee Replacement PrimaryProviderBMI - THE BEAUMONT HOSPITAL (NT404)EQ VAS</v>
      </c>
      <c r="C4293" t="s">
        <v>249</v>
      </c>
      <c r="D4293" t="s">
        <v>1</v>
      </c>
      <c r="E4293" t="s">
        <v>3585</v>
      </c>
      <c r="F4293" t="s">
        <v>3586</v>
      </c>
      <c r="G4293" t="s">
        <v>179</v>
      </c>
      <c r="H4293">
        <v>37</v>
      </c>
      <c r="I4293">
        <v>70.108000000000004</v>
      </c>
      <c r="J4293">
        <v>78.73</v>
      </c>
      <c r="K4293">
        <v>8.6219999999999999</v>
      </c>
      <c r="L4293">
        <v>24</v>
      </c>
      <c r="M4293">
        <v>6</v>
      </c>
      <c r="N4293">
        <v>7</v>
      </c>
      <c r="O4293">
        <v>77.001000000000005</v>
      </c>
      <c r="P4293">
        <v>8.3424385640000001</v>
      </c>
      <c r="Q4293">
        <v>13.929</v>
      </c>
    </row>
    <row r="4294" spans="1:17" x14ac:dyDescent="0.2">
      <c r="A4294" s="30" t="str">
        <f>IF(C4294&amp;G4294&amp;D4294&lt;&gt;'Funnel setup'!$K$3&amp;'Funnel setup'!$K$4&amp;'Funnel setup'!$K$5,".",IF(A4293=".",1,A4293+1))</f>
        <v>.</v>
      </c>
      <c r="B4294" s="431" t="str">
        <f t="shared" si="67"/>
        <v>Knee Replacement PrimaryProviderBMI - THE BLACKHEATH HOSPITAL (NT406)EQ VAS</v>
      </c>
      <c r="C4294" t="s">
        <v>249</v>
      </c>
      <c r="D4294" t="s">
        <v>1</v>
      </c>
      <c r="E4294" t="s">
        <v>3588</v>
      </c>
      <c r="F4294" t="s">
        <v>3589</v>
      </c>
      <c r="G4294" t="s">
        <v>179</v>
      </c>
      <c r="H4294">
        <v>11</v>
      </c>
      <c r="I4294">
        <v>59.908999999999999</v>
      </c>
      <c r="J4294">
        <v>66.182000000000002</v>
      </c>
      <c r="K4294">
        <v>6.2729999999999997</v>
      </c>
      <c r="L4294">
        <v>7</v>
      </c>
      <c r="M4294">
        <v>1</v>
      </c>
      <c r="N4294">
        <v>3</v>
      </c>
      <c r="O4294" t="s">
        <v>53</v>
      </c>
      <c r="P4294" t="s">
        <v>53</v>
      </c>
      <c r="Q4294" t="s">
        <v>53</v>
      </c>
    </row>
    <row r="4295" spans="1:17" x14ac:dyDescent="0.2">
      <c r="A4295" s="30" t="str">
        <f>IF(C4295&amp;G4295&amp;D4295&lt;&gt;'Funnel setup'!$K$3&amp;'Funnel setup'!$K$4&amp;'Funnel setup'!$K$5,".",IF(A4294=".",1,A4294+1))</f>
        <v>.</v>
      </c>
      <c r="B4295" s="431" t="str">
        <f t="shared" si="67"/>
        <v>Knee Replacement PrimaryProviderBMI - THE CHAUCER HOSPITAL (NT408)EQ VAS</v>
      </c>
      <c r="C4295" t="s">
        <v>249</v>
      </c>
      <c r="D4295" t="s">
        <v>1</v>
      </c>
      <c r="E4295" t="s">
        <v>3591</v>
      </c>
      <c r="F4295" t="s">
        <v>3592</v>
      </c>
      <c r="G4295" t="s">
        <v>179</v>
      </c>
      <c r="H4295">
        <v>9</v>
      </c>
      <c r="I4295">
        <v>70.221999999999994</v>
      </c>
      <c r="J4295">
        <v>81.778000000000006</v>
      </c>
      <c r="K4295">
        <v>11.555999999999999</v>
      </c>
      <c r="L4295">
        <v>7</v>
      </c>
      <c r="M4295">
        <v>1</v>
      </c>
      <c r="N4295">
        <v>1</v>
      </c>
      <c r="O4295" t="s">
        <v>53</v>
      </c>
      <c r="P4295" t="s">
        <v>53</v>
      </c>
      <c r="Q4295" t="s">
        <v>53</v>
      </c>
    </row>
    <row r="4296" spans="1:17" x14ac:dyDescent="0.2">
      <c r="A4296" s="30" t="str">
        <f>IF(C4296&amp;G4296&amp;D4296&lt;&gt;'Funnel setup'!$K$3&amp;'Funnel setup'!$K$4&amp;'Funnel setup'!$K$5,".",IF(A4295=".",1,A4295+1))</f>
        <v>.</v>
      </c>
      <c r="B4296" s="431" t="str">
        <f t="shared" si="67"/>
        <v>Knee Replacement PrimaryProviderBMI - THE CHILTERN HOSPITAL (NT410)EQ VAS</v>
      </c>
      <c r="C4296" t="s">
        <v>249</v>
      </c>
      <c r="D4296" t="s">
        <v>1</v>
      </c>
      <c r="E4296" t="s">
        <v>3594</v>
      </c>
      <c r="F4296" t="s">
        <v>3595</v>
      </c>
      <c r="G4296" t="s">
        <v>179</v>
      </c>
      <c r="H4296">
        <v>64</v>
      </c>
      <c r="I4296">
        <v>71.766000000000005</v>
      </c>
      <c r="J4296">
        <v>80.75</v>
      </c>
      <c r="K4296">
        <v>8.984</v>
      </c>
      <c r="L4296">
        <v>45</v>
      </c>
      <c r="M4296">
        <v>5</v>
      </c>
      <c r="N4296">
        <v>14</v>
      </c>
      <c r="O4296">
        <v>76.763000000000005</v>
      </c>
      <c r="P4296">
        <v>8.1050698570000002</v>
      </c>
      <c r="Q4296">
        <v>13.068</v>
      </c>
    </row>
    <row r="4297" spans="1:17" x14ac:dyDescent="0.2">
      <c r="A4297" s="30" t="str">
        <f>IF(C4297&amp;G4297&amp;D4297&lt;&gt;'Funnel setup'!$K$3&amp;'Funnel setup'!$K$4&amp;'Funnel setup'!$K$5,".",IF(A4296=".",1,A4296+1))</f>
        <v>.</v>
      </c>
      <c r="B4297" s="431" t="str">
        <f t="shared" si="67"/>
        <v>Knee Replacement PrimaryProviderBMI - THE CLEMENTINE CHURCHILL HOSPITAL (NT411)EQ VAS</v>
      </c>
      <c r="C4297" t="s">
        <v>249</v>
      </c>
      <c r="D4297" t="s">
        <v>1</v>
      </c>
      <c r="E4297" t="s">
        <v>3597</v>
      </c>
      <c r="F4297" t="s">
        <v>3598</v>
      </c>
      <c r="G4297" t="s">
        <v>179</v>
      </c>
      <c r="H4297">
        <v>39</v>
      </c>
      <c r="I4297">
        <v>64.102999999999994</v>
      </c>
      <c r="J4297">
        <v>75.358999999999995</v>
      </c>
      <c r="K4297">
        <v>11.256</v>
      </c>
      <c r="L4297">
        <v>23</v>
      </c>
      <c r="M4297">
        <v>5</v>
      </c>
      <c r="N4297">
        <v>11</v>
      </c>
      <c r="O4297">
        <v>77.703000000000003</v>
      </c>
      <c r="P4297">
        <v>9.0451111930000003</v>
      </c>
      <c r="Q4297">
        <v>13.67</v>
      </c>
    </row>
    <row r="4298" spans="1:17" x14ac:dyDescent="0.2">
      <c r="A4298" s="30" t="str">
        <f>IF(C4298&amp;G4298&amp;D4298&lt;&gt;'Funnel setup'!$K$3&amp;'Funnel setup'!$K$4&amp;'Funnel setup'!$K$5,".",IF(A4297=".",1,A4297+1))</f>
        <v>.</v>
      </c>
      <c r="B4298" s="431" t="str">
        <f t="shared" si="67"/>
        <v>Knee Replacement PrimaryProviderBMI - THE DROITWICH SPA HOSPITAL (NT412)EQ VAS</v>
      </c>
      <c r="C4298" t="s">
        <v>249</v>
      </c>
      <c r="D4298" t="s">
        <v>1</v>
      </c>
      <c r="E4298" t="s">
        <v>3600</v>
      </c>
      <c r="F4298" t="s">
        <v>3601</v>
      </c>
      <c r="G4298" t="s">
        <v>179</v>
      </c>
      <c r="H4298">
        <v>83</v>
      </c>
      <c r="I4298">
        <v>73.325000000000003</v>
      </c>
      <c r="J4298">
        <v>78.421999999999997</v>
      </c>
      <c r="K4298">
        <v>5.0960000000000001</v>
      </c>
      <c r="L4298">
        <v>42</v>
      </c>
      <c r="M4298">
        <v>20</v>
      </c>
      <c r="N4298">
        <v>21</v>
      </c>
      <c r="O4298">
        <v>75.67</v>
      </c>
      <c r="P4298">
        <v>7.0114216630000001</v>
      </c>
      <c r="Q4298">
        <v>13.151</v>
      </c>
    </row>
    <row r="4299" spans="1:17" x14ac:dyDescent="0.2">
      <c r="A4299" s="30" t="str">
        <f>IF(C4299&amp;G4299&amp;D4299&lt;&gt;'Funnel setup'!$K$3&amp;'Funnel setup'!$K$4&amp;'Funnel setup'!$K$5,".",IF(A4298=".",1,A4298+1))</f>
        <v>.</v>
      </c>
      <c r="B4299" s="431" t="str">
        <f t="shared" si="67"/>
        <v>Knee Replacement PrimaryProviderBMI - THE ESPERANCE HOSPITAL (NT413)EQ VAS</v>
      </c>
      <c r="C4299" t="s">
        <v>249</v>
      </c>
      <c r="D4299" t="s">
        <v>1</v>
      </c>
      <c r="E4299" t="s">
        <v>3603</v>
      </c>
      <c r="F4299" t="s">
        <v>3604</v>
      </c>
      <c r="G4299" t="s">
        <v>179</v>
      </c>
      <c r="H4299" t="s">
        <v>53</v>
      </c>
      <c r="I4299" t="s">
        <v>53</v>
      </c>
      <c r="J4299" t="s">
        <v>53</v>
      </c>
      <c r="K4299" t="s">
        <v>53</v>
      </c>
      <c r="L4299" t="s">
        <v>53</v>
      </c>
      <c r="M4299" t="s">
        <v>53</v>
      </c>
      <c r="N4299" t="s">
        <v>53</v>
      </c>
      <c r="O4299" t="s">
        <v>53</v>
      </c>
      <c r="P4299" t="s">
        <v>53</v>
      </c>
      <c r="Q4299" t="s">
        <v>53</v>
      </c>
    </row>
    <row r="4300" spans="1:17" x14ac:dyDescent="0.2">
      <c r="A4300" s="30" t="str">
        <f>IF(C4300&amp;G4300&amp;D4300&lt;&gt;'Funnel setup'!$K$3&amp;'Funnel setup'!$K$4&amp;'Funnel setup'!$K$5,".",IF(A4299=".",1,A4299+1))</f>
        <v>.</v>
      </c>
      <c r="B4300" s="431" t="str">
        <f t="shared" si="67"/>
        <v>Knee Replacement PrimaryProviderBMI - THE HAMPSHIRE CLINIC (NT418)EQ VAS</v>
      </c>
      <c r="C4300" t="s">
        <v>249</v>
      </c>
      <c r="D4300" t="s">
        <v>1</v>
      </c>
      <c r="E4300" t="s">
        <v>3609</v>
      </c>
      <c r="F4300" t="s">
        <v>3610</v>
      </c>
      <c r="G4300" t="s">
        <v>179</v>
      </c>
      <c r="H4300">
        <v>18</v>
      </c>
      <c r="I4300">
        <v>71.388999999999996</v>
      </c>
      <c r="J4300">
        <v>79.221999999999994</v>
      </c>
      <c r="K4300">
        <v>7.8330000000000002</v>
      </c>
      <c r="L4300">
        <v>12</v>
      </c>
      <c r="M4300">
        <v>1</v>
      </c>
      <c r="N4300">
        <v>5</v>
      </c>
      <c r="O4300" t="s">
        <v>53</v>
      </c>
      <c r="P4300" t="s">
        <v>53</v>
      </c>
      <c r="Q4300" t="s">
        <v>53</v>
      </c>
    </row>
    <row r="4301" spans="1:17" x14ac:dyDescent="0.2">
      <c r="A4301" s="30" t="str">
        <f>IF(C4301&amp;G4301&amp;D4301&lt;&gt;'Funnel setup'!$K$3&amp;'Funnel setup'!$K$4&amp;'Funnel setup'!$K$5,".",IF(A4300=".",1,A4300+1))</f>
        <v>.</v>
      </c>
      <c r="B4301" s="431" t="str">
        <f t="shared" si="67"/>
        <v>Knee Replacement PrimaryProviderBMI - THE HARBOUR HOSPITAL (NT419)EQ VAS</v>
      </c>
      <c r="C4301" t="s">
        <v>249</v>
      </c>
      <c r="D4301" t="s">
        <v>1</v>
      </c>
      <c r="E4301" t="s">
        <v>3612</v>
      </c>
      <c r="F4301" t="s">
        <v>3613</v>
      </c>
      <c r="G4301" t="s">
        <v>179</v>
      </c>
      <c r="H4301">
        <v>17</v>
      </c>
      <c r="I4301">
        <v>70.293999999999997</v>
      </c>
      <c r="J4301">
        <v>77.471000000000004</v>
      </c>
      <c r="K4301">
        <v>7.1760000000000002</v>
      </c>
      <c r="L4301">
        <v>7</v>
      </c>
      <c r="M4301">
        <v>7</v>
      </c>
      <c r="N4301">
        <v>3</v>
      </c>
      <c r="O4301" t="s">
        <v>53</v>
      </c>
      <c r="P4301" t="s">
        <v>53</v>
      </c>
      <c r="Q4301" t="s">
        <v>53</v>
      </c>
    </row>
    <row r="4302" spans="1:17" x14ac:dyDescent="0.2">
      <c r="A4302" s="30" t="str">
        <f>IF(C4302&amp;G4302&amp;D4302&lt;&gt;'Funnel setup'!$K$3&amp;'Funnel setup'!$K$4&amp;'Funnel setup'!$K$5,".",IF(A4301=".",1,A4301+1))</f>
        <v>.</v>
      </c>
      <c r="B4302" s="431" t="str">
        <f t="shared" si="67"/>
        <v>Knee Replacement PrimaryProviderBMI - THE HIGHFIELD HOSPITAL (NT420)EQ VAS</v>
      </c>
      <c r="C4302" t="s">
        <v>249</v>
      </c>
      <c r="D4302" t="s">
        <v>1</v>
      </c>
      <c r="E4302" t="s">
        <v>3615</v>
      </c>
      <c r="F4302" t="s">
        <v>3616</v>
      </c>
      <c r="G4302" t="s">
        <v>179</v>
      </c>
      <c r="H4302">
        <v>124</v>
      </c>
      <c r="I4302">
        <v>75.620999999999995</v>
      </c>
      <c r="J4302">
        <v>75.305999999999997</v>
      </c>
      <c r="K4302">
        <v>-0.315</v>
      </c>
      <c r="L4302">
        <v>48</v>
      </c>
      <c r="M4302">
        <v>19</v>
      </c>
      <c r="N4302">
        <v>57</v>
      </c>
      <c r="O4302">
        <v>72.242000000000004</v>
      </c>
      <c r="P4302">
        <v>3.5837340160000002</v>
      </c>
      <c r="Q4302">
        <v>15.037000000000001</v>
      </c>
    </row>
    <row r="4303" spans="1:17" x14ac:dyDescent="0.2">
      <c r="A4303" s="30" t="str">
        <f>IF(C4303&amp;G4303&amp;D4303&lt;&gt;'Funnel setup'!$K$3&amp;'Funnel setup'!$K$4&amp;'Funnel setup'!$K$5,".",IF(A4302=".",1,A4302+1))</f>
        <v>.</v>
      </c>
      <c r="B4303" s="431" t="str">
        <f t="shared" si="67"/>
        <v>Knee Replacement PrimaryProviderBMI - THE KINGS OAK HOSPITAL (NT421)EQ VAS</v>
      </c>
      <c r="C4303" t="s">
        <v>249</v>
      </c>
      <c r="D4303" t="s">
        <v>1</v>
      </c>
      <c r="E4303" t="s">
        <v>3618</v>
      </c>
      <c r="F4303" t="s">
        <v>3619</v>
      </c>
      <c r="G4303" t="s">
        <v>179</v>
      </c>
      <c r="H4303">
        <v>20</v>
      </c>
      <c r="I4303">
        <v>58.5</v>
      </c>
      <c r="J4303">
        <v>74.8</v>
      </c>
      <c r="K4303">
        <v>16.3</v>
      </c>
      <c r="L4303">
        <v>14</v>
      </c>
      <c r="M4303">
        <v>2</v>
      </c>
      <c r="N4303">
        <v>4</v>
      </c>
      <c r="O4303" t="s">
        <v>53</v>
      </c>
      <c r="P4303" t="s">
        <v>53</v>
      </c>
      <c r="Q4303" t="s">
        <v>53</v>
      </c>
    </row>
    <row r="4304" spans="1:17" x14ac:dyDescent="0.2">
      <c r="A4304" s="30" t="str">
        <f>IF(C4304&amp;G4304&amp;D4304&lt;&gt;'Funnel setup'!$K$3&amp;'Funnel setup'!$K$4&amp;'Funnel setup'!$K$5,".",IF(A4303=".",1,A4303+1))</f>
        <v>.</v>
      </c>
      <c r="B4304" s="431" t="str">
        <f t="shared" si="67"/>
        <v>Knee Replacement PrimaryProviderBMI - THE LONDON INDEPENDENT HOSPITAL (NT422)EQ VAS</v>
      </c>
      <c r="C4304" t="s">
        <v>249</v>
      </c>
      <c r="D4304" t="s">
        <v>1</v>
      </c>
      <c r="E4304" t="s">
        <v>3621</v>
      </c>
      <c r="F4304" t="s">
        <v>3622</v>
      </c>
      <c r="G4304" t="s">
        <v>179</v>
      </c>
      <c r="H4304" t="s">
        <v>53</v>
      </c>
      <c r="I4304" t="s">
        <v>53</v>
      </c>
      <c r="J4304" t="s">
        <v>53</v>
      </c>
      <c r="K4304" t="s">
        <v>53</v>
      </c>
      <c r="L4304" t="s">
        <v>53</v>
      </c>
      <c r="M4304" t="s">
        <v>53</v>
      </c>
      <c r="N4304" t="s">
        <v>53</v>
      </c>
      <c r="O4304" t="s">
        <v>53</v>
      </c>
      <c r="P4304" t="s">
        <v>53</v>
      </c>
      <c r="Q4304" t="s">
        <v>53</v>
      </c>
    </row>
    <row r="4305" spans="1:17" x14ac:dyDescent="0.2">
      <c r="A4305" s="30" t="str">
        <f>IF(C4305&amp;G4305&amp;D4305&lt;&gt;'Funnel setup'!$K$3&amp;'Funnel setup'!$K$4&amp;'Funnel setup'!$K$5,".",IF(A4304=".",1,A4304+1))</f>
        <v>.</v>
      </c>
      <c r="B4305" s="431" t="str">
        <f t="shared" si="67"/>
        <v>Knee Replacement PrimaryProviderBMI - THE MANOR HOSPITAL (NT423)EQ VAS</v>
      </c>
      <c r="C4305" t="s">
        <v>249</v>
      </c>
      <c r="D4305" t="s">
        <v>1</v>
      </c>
      <c r="E4305" t="s">
        <v>3624</v>
      </c>
      <c r="F4305" t="s">
        <v>3625</v>
      </c>
      <c r="G4305" t="s">
        <v>179</v>
      </c>
      <c r="H4305">
        <v>22</v>
      </c>
      <c r="I4305">
        <v>72.090999999999994</v>
      </c>
      <c r="J4305">
        <v>81.590999999999994</v>
      </c>
      <c r="K4305">
        <v>9.5</v>
      </c>
      <c r="L4305">
        <v>14</v>
      </c>
      <c r="M4305">
        <v>3</v>
      </c>
      <c r="N4305">
        <v>5</v>
      </c>
      <c r="O4305" t="s">
        <v>53</v>
      </c>
      <c r="P4305" t="s">
        <v>53</v>
      </c>
      <c r="Q4305" t="s">
        <v>53</v>
      </c>
    </row>
    <row r="4306" spans="1:17" x14ac:dyDescent="0.2">
      <c r="A4306" s="30" t="str">
        <f>IF(C4306&amp;G4306&amp;D4306&lt;&gt;'Funnel setup'!$K$3&amp;'Funnel setup'!$K$4&amp;'Funnel setup'!$K$5,".",IF(A4305=".",1,A4305+1))</f>
        <v>.</v>
      </c>
      <c r="B4306" s="431" t="str">
        <f t="shared" si="67"/>
        <v>Knee Replacement PrimaryProviderBMI - THE MERIDEN HOSPITAL (NT424)EQ VAS</v>
      </c>
      <c r="C4306" t="s">
        <v>249</v>
      </c>
      <c r="D4306" t="s">
        <v>1</v>
      </c>
      <c r="E4306" t="s">
        <v>3283</v>
      </c>
      <c r="F4306" t="s">
        <v>3284</v>
      </c>
      <c r="G4306" t="s">
        <v>179</v>
      </c>
      <c r="H4306">
        <v>66</v>
      </c>
      <c r="I4306">
        <v>71.302999999999997</v>
      </c>
      <c r="J4306">
        <v>75.394000000000005</v>
      </c>
      <c r="K4306">
        <v>4.0910000000000002</v>
      </c>
      <c r="L4306">
        <v>38</v>
      </c>
      <c r="M4306">
        <v>12</v>
      </c>
      <c r="N4306">
        <v>16</v>
      </c>
      <c r="O4306">
        <v>73.587000000000003</v>
      </c>
      <c r="P4306">
        <v>4.9290594419999998</v>
      </c>
      <c r="Q4306">
        <v>17.861000000000001</v>
      </c>
    </row>
    <row r="4307" spans="1:17" x14ac:dyDescent="0.2">
      <c r="A4307" s="30" t="str">
        <f>IF(C4307&amp;G4307&amp;D4307&lt;&gt;'Funnel setup'!$K$3&amp;'Funnel setup'!$K$4&amp;'Funnel setup'!$K$5,".",IF(A4306=".",1,A4306+1))</f>
        <v>.</v>
      </c>
      <c r="B4307" s="431" t="str">
        <f t="shared" si="67"/>
        <v>Knee Replacement PrimaryProviderBMI - THE PARK HOSPITAL (NT427)EQ VAS</v>
      </c>
      <c r="C4307" t="s">
        <v>249</v>
      </c>
      <c r="D4307" t="s">
        <v>1</v>
      </c>
      <c r="E4307" t="s">
        <v>3286</v>
      </c>
      <c r="F4307" t="s">
        <v>3287</v>
      </c>
      <c r="G4307" t="s">
        <v>179</v>
      </c>
      <c r="H4307">
        <v>31</v>
      </c>
      <c r="I4307">
        <v>66.451999999999998</v>
      </c>
      <c r="J4307">
        <v>75.742000000000004</v>
      </c>
      <c r="K4307">
        <v>9.2899999999999991</v>
      </c>
      <c r="L4307">
        <v>20</v>
      </c>
      <c r="M4307">
        <v>5</v>
      </c>
      <c r="N4307">
        <v>6</v>
      </c>
      <c r="O4307">
        <v>76.102999999999994</v>
      </c>
      <c r="P4307">
        <v>7.4449989130000001</v>
      </c>
      <c r="Q4307">
        <v>18.736999999999998</v>
      </c>
    </row>
    <row r="4308" spans="1:17" x14ac:dyDescent="0.2">
      <c r="A4308" s="30" t="str">
        <f>IF(C4308&amp;G4308&amp;D4308&lt;&gt;'Funnel setup'!$K$3&amp;'Funnel setup'!$K$4&amp;'Funnel setup'!$K$5,".",IF(A4307=".",1,A4307+1))</f>
        <v>.</v>
      </c>
      <c r="B4308" s="431" t="str">
        <f t="shared" si="67"/>
        <v>Knee Replacement PrimaryProviderBMI - THE PRINCESS MARGARET HOSPITAL (NT428)EQ VAS</v>
      </c>
      <c r="C4308" t="s">
        <v>249</v>
      </c>
      <c r="D4308" t="s">
        <v>1</v>
      </c>
      <c r="E4308" t="s">
        <v>3289</v>
      </c>
      <c r="F4308" t="s">
        <v>3290</v>
      </c>
      <c r="G4308" t="s">
        <v>179</v>
      </c>
      <c r="H4308">
        <v>12</v>
      </c>
      <c r="I4308">
        <v>67.082999999999998</v>
      </c>
      <c r="J4308">
        <v>73.332999999999998</v>
      </c>
      <c r="K4308">
        <v>6.25</v>
      </c>
      <c r="L4308">
        <v>6</v>
      </c>
      <c r="M4308">
        <v>2</v>
      </c>
      <c r="N4308">
        <v>4</v>
      </c>
      <c r="O4308" t="s">
        <v>53</v>
      </c>
      <c r="P4308" t="s">
        <v>53</v>
      </c>
      <c r="Q4308" t="s">
        <v>53</v>
      </c>
    </row>
    <row r="4309" spans="1:17" x14ac:dyDescent="0.2">
      <c r="A4309" s="30" t="str">
        <f>IF(C4309&amp;G4309&amp;D4309&lt;&gt;'Funnel setup'!$K$3&amp;'Funnel setup'!$K$4&amp;'Funnel setup'!$K$5,".",IF(A4308=".",1,A4308+1))</f>
        <v>.</v>
      </c>
      <c r="B4309" s="431" t="str">
        <f t="shared" si="67"/>
        <v>Knee Replacement PrimaryProviderBMI - THE PRIORY HOSPITAL (NT429)EQ VAS</v>
      </c>
      <c r="C4309" t="s">
        <v>249</v>
      </c>
      <c r="D4309" t="s">
        <v>1</v>
      </c>
      <c r="E4309" t="s">
        <v>4776</v>
      </c>
      <c r="F4309" t="s">
        <v>4777</v>
      </c>
      <c r="G4309" t="s">
        <v>179</v>
      </c>
      <c r="H4309">
        <v>6</v>
      </c>
      <c r="I4309">
        <v>77.667000000000002</v>
      </c>
      <c r="J4309">
        <v>72.5</v>
      </c>
      <c r="K4309">
        <v>-5.1669999999999998</v>
      </c>
      <c r="L4309">
        <v>5</v>
      </c>
      <c r="M4309">
        <v>0</v>
      </c>
      <c r="N4309">
        <v>1</v>
      </c>
      <c r="O4309" t="s">
        <v>53</v>
      </c>
      <c r="P4309" t="s">
        <v>53</v>
      </c>
      <c r="Q4309" t="s">
        <v>53</v>
      </c>
    </row>
    <row r="4310" spans="1:17" x14ac:dyDescent="0.2">
      <c r="A4310" s="30" t="str">
        <f>IF(C4310&amp;G4310&amp;D4310&lt;&gt;'Funnel setup'!$K$3&amp;'Funnel setup'!$K$4&amp;'Funnel setup'!$K$5,".",IF(A4309=".",1,A4309+1))</f>
        <v>.</v>
      </c>
      <c r="B4310" s="431" t="str">
        <f t="shared" si="67"/>
        <v>Knee Replacement PrimaryProviderBMI - THE RIDGEWAY HOSPITAL (NT430)EQ VAS</v>
      </c>
      <c r="C4310" t="s">
        <v>249</v>
      </c>
      <c r="D4310" t="s">
        <v>1</v>
      </c>
      <c r="E4310" t="s">
        <v>3292</v>
      </c>
      <c r="F4310" t="s">
        <v>3293</v>
      </c>
      <c r="G4310" t="s">
        <v>179</v>
      </c>
      <c r="H4310">
        <v>39</v>
      </c>
      <c r="I4310">
        <v>74.256</v>
      </c>
      <c r="J4310">
        <v>80.846000000000004</v>
      </c>
      <c r="K4310">
        <v>6.59</v>
      </c>
      <c r="L4310">
        <v>25</v>
      </c>
      <c r="M4310">
        <v>5</v>
      </c>
      <c r="N4310">
        <v>9</v>
      </c>
      <c r="O4310">
        <v>76.507000000000005</v>
      </c>
      <c r="P4310">
        <v>7.8489230799999996</v>
      </c>
      <c r="Q4310">
        <v>16.844000000000001</v>
      </c>
    </row>
    <row r="4311" spans="1:17" x14ac:dyDescent="0.2">
      <c r="A4311" s="30" t="str">
        <f>IF(C4311&amp;G4311&amp;D4311&lt;&gt;'Funnel setup'!$K$3&amp;'Funnel setup'!$K$4&amp;'Funnel setup'!$K$5,".",IF(A4310=".",1,A4310+1))</f>
        <v>.</v>
      </c>
      <c r="B4311" s="431" t="str">
        <f t="shared" si="67"/>
        <v>Knee Replacement PrimaryProviderBMI - THE RUNNYMEDE HOSPITAL (NT431)EQ VAS</v>
      </c>
      <c r="C4311" t="s">
        <v>249</v>
      </c>
      <c r="D4311" t="s">
        <v>1</v>
      </c>
      <c r="E4311" t="s">
        <v>3295</v>
      </c>
      <c r="F4311" t="s">
        <v>3296</v>
      </c>
      <c r="G4311" t="s">
        <v>179</v>
      </c>
      <c r="H4311">
        <v>27</v>
      </c>
      <c r="I4311">
        <v>71.185000000000002</v>
      </c>
      <c r="J4311">
        <v>78.519000000000005</v>
      </c>
      <c r="K4311">
        <v>7.3330000000000002</v>
      </c>
      <c r="L4311">
        <v>14</v>
      </c>
      <c r="M4311">
        <v>6</v>
      </c>
      <c r="N4311">
        <v>7</v>
      </c>
      <c r="O4311" t="s">
        <v>53</v>
      </c>
      <c r="P4311" t="s">
        <v>53</v>
      </c>
      <c r="Q4311" t="s">
        <v>53</v>
      </c>
    </row>
    <row r="4312" spans="1:17" x14ac:dyDescent="0.2">
      <c r="A4312" s="30" t="str">
        <f>IF(C4312&amp;G4312&amp;D4312&lt;&gt;'Funnel setup'!$K$3&amp;'Funnel setup'!$K$4&amp;'Funnel setup'!$K$5,".",IF(A4311=".",1,A4311+1))</f>
        <v>.</v>
      </c>
      <c r="B4312" s="431" t="str">
        <f t="shared" si="67"/>
        <v>Knee Replacement PrimaryProviderBMI - THE SANDRINGHAM HOSPITAL (NT432)EQ VAS</v>
      </c>
      <c r="C4312" t="s">
        <v>249</v>
      </c>
      <c r="D4312" t="s">
        <v>1</v>
      </c>
      <c r="E4312" t="s">
        <v>3298</v>
      </c>
      <c r="F4312" t="s">
        <v>3299</v>
      </c>
      <c r="G4312" t="s">
        <v>179</v>
      </c>
      <c r="H4312">
        <v>89</v>
      </c>
      <c r="I4312">
        <v>72.471999999999994</v>
      </c>
      <c r="J4312">
        <v>75.347999999999999</v>
      </c>
      <c r="K4312">
        <v>2.8759999999999999</v>
      </c>
      <c r="L4312">
        <v>47</v>
      </c>
      <c r="M4312">
        <v>19</v>
      </c>
      <c r="N4312">
        <v>23</v>
      </c>
      <c r="O4312">
        <v>73.266999999999996</v>
      </c>
      <c r="P4312">
        <v>4.608828452</v>
      </c>
      <c r="Q4312">
        <v>15.842000000000001</v>
      </c>
    </row>
    <row r="4313" spans="1:17" x14ac:dyDescent="0.2">
      <c r="A4313" s="30" t="str">
        <f>IF(C4313&amp;G4313&amp;D4313&lt;&gt;'Funnel setup'!$K$3&amp;'Funnel setup'!$K$4&amp;'Funnel setup'!$K$5,".",IF(A4312=".",1,A4312+1))</f>
        <v>.</v>
      </c>
      <c r="B4313" s="431" t="str">
        <f t="shared" si="67"/>
        <v>Knee Replacement PrimaryProviderBMI - THE SAXON CLINIC (NT434)EQ VAS</v>
      </c>
      <c r="C4313" t="s">
        <v>249</v>
      </c>
      <c r="D4313" t="s">
        <v>1</v>
      </c>
      <c r="E4313" t="s">
        <v>3301</v>
      </c>
      <c r="F4313" t="s">
        <v>3302</v>
      </c>
      <c r="G4313" t="s">
        <v>179</v>
      </c>
      <c r="H4313">
        <v>32</v>
      </c>
      <c r="I4313">
        <v>78.5</v>
      </c>
      <c r="J4313">
        <v>77.813000000000002</v>
      </c>
      <c r="K4313">
        <v>-0.68799999999999994</v>
      </c>
      <c r="L4313">
        <v>17</v>
      </c>
      <c r="M4313">
        <v>2</v>
      </c>
      <c r="N4313">
        <v>13</v>
      </c>
      <c r="O4313">
        <v>72.168000000000006</v>
      </c>
      <c r="P4313">
        <v>3.5097634979999999</v>
      </c>
      <c r="Q4313">
        <v>18.689</v>
      </c>
    </row>
    <row r="4314" spans="1:17" x14ac:dyDescent="0.2">
      <c r="A4314" s="30" t="str">
        <f>IF(C4314&amp;G4314&amp;D4314&lt;&gt;'Funnel setup'!$K$3&amp;'Funnel setup'!$K$4&amp;'Funnel setup'!$K$5,".",IF(A4313=".",1,A4313+1))</f>
        <v>.</v>
      </c>
      <c r="B4314" s="431" t="str">
        <f t="shared" si="67"/>
        <v>Knee Replacement PrimaryProviderBMI - THE SHELBURNE HOSPITAL (NT435)EQ VAS</v>
      </c>
      <c r="C4314" t="s">
        <v>249</v>
      </c>
      <c r="D4314" t="s">
        <v>1</v>
      </c>
      <c r="E4314" t="s">
        <v>4318</v>
      </c>
      <c r="F4314" t="s">
        <v>4319</v>
      </c>
      <c r="G4314" t="s">
        <v>179</v>
      </c>
      <c r="H4314">
        <v>18</v>
      </c>
      <c r="I4314">
        <v>74.444000000000003</v>
      </c>
      <c r="J4314">
        <v>79.332999999999998</v>
      </c>
      <c r="K4314">
        <v>4.8890000000000002</v>
      </c>
      <c r="L4314">
        <v>10</v>
      </c>
      <c r="M4314">
        <v>4</v>
      </c>
      <c r="N4314">
        <v>4</v>
      </c>
      <c r="O4314" t="s">
        <v>53</v>
      </c>
      <c r="P4314" t="s">
        <v>53</v>
      </c>
      <c r="Q4314" t="s">
        <v>53</v>
      </c>
    </row>
    <row r="4315" spans="1:17" x14ac:dyDescent="0.2">
      <c r="A4315" s="30" t="str">
        <f>IF(C4315&amp;G4315&amp;D4315&lt;&gt;'Funnel setup'!$K$3&amp;'Funnel setup'!$K$4&amp;'Funnel setup'!$K$5,".",IF(A4314=".",1,A4314+1))</f>
        <v>.</v>
      </c>
      <c r="B4315" s="431" t="str">
        <f t="shared" si="67"/>
        <v>Knee Replacement PrimaryProviderBMI - THE SLOANE HOSPITAL (NT437)EQ VAS</v>
      </c>
      <c r="C4315" t="s">
        <v>249</v>
      </c>
      <c r="D4315" t="s">
        <v>1</v>
      </c>
      <c r="E4315" t="s">
        <v>4327</v>
      </c>
      <c r="F4315" t="s">
        <v>4328</v>
      </c>
      <c r="G4315" t="s">
        <v>179</v>
      </c>
      <c r="H4315">
        <v>8</v>
      </c>
      <c r="I4315">
        <v>76.25</v>
      </c>
      <c r="J4315">
        <v>86.875</v>
      </c>
      <c r="K4315">
        <v>10.625</v>
      </c>
      <c r="L4315">
        <v>7</v>
      </c>
      <c r="M4315">
        <v>0</v>
      </c>
      <c r="N4315">
        <v>1</v>
      </c>
      <c r="O4315" t="s">
        <v>53</v>
      </c>
      <c r="P4315" t="s">
        <v>53</v>
      </c>
      <c r="Q4315" t="s">
        <v>53</v>
      </c>
    </row>
    <row r="4316" spans="1:17" x14ac:dyDescent="0.2">
      <c r="A4316" s="30" t="str">
        <f>IF(C4316&amp;G4316&amp;D4316&lt;&gt;'Funnel setup'!$K$3&amp;'Funnel setup'!$K$4&amp;'Funnel setup'!$K$5,".",IF(A4315=".",1,A4315+1))</f>
        <v>.</v>
      </c>
      <c r="B4316" s="431" t="str">
        <f t="shared" si="67"/>
        <v>Knee Replacement PrimaryProviderBMI - THE SOMERFIELD HOSPITAL (NT438)EQ VAS</v>
      </c>
      <c r="C4316" t="s">
        <v>249</v>
      </c>
      <c r="D4316" t="s">
        <v>1</v>
      </c>
      <c r="E4316" t="s">
        <v>3304</v>
      </c>
      <c r="F4316" t="s">
        <v>3305</v>
      </c>
      <c r="G4316" t="s">
        <v>179</v>
      </c>
      <c r="H4316">
        <v>25</v>
      </c>
      <c r="I4316">
        <v>70.88</v>
      </c>
      <c r="J4316">
        <v>83.24</v>
      </c>
      <c r="K4316">
        <v>12.36</v>
      </c>
      <c r="L4316">
        <v>16</v>
      </c>
      <c r="M4316">
        <v>3</v>
      </c>
      <c r="N4316">
        <v>6</v>
      </c>
      <c r="O4316" t="s">
        <v>53</v>
      </c>
      <c r="P4316" t="s">
        <v>53</v>
      </c>
      <c r="Q4316" t="s">
        <v>53</v>
      </c>
    </row>
    <row r="4317" spans="1:17" x14ac:dyDescent="0.2">
      <c r="A4317" s="30" t="str">
        <f>IF(C4317&amp;G4317&amp;D4317&lt;&gt;'Funnel setup'!$K$3&amp;'Funnel setup'!$K$4&amp;'Funnel setup'!$K$5,".",IF(A4316=".",1,A4316+1))</f>
        <v>.</v>
      </c>
      <c r="B4317" s="431" t="str">
        <f t="shared" si="67"/>
        <v>Knee Replacement PrimaryProviderBMI - THE SOUTH CHESHIRE PRIVATE HOSPITAL (NT439)EQ VAS</v>
      </c>
      <c r="C4317" t="s">
        <v>249</v>
      </c>
      <c r="D4317" t="s">
        <v>1</v>
      </c>
      <c r="E4317" t="s">
        <v>3307</v>
      </c>
      <c r="F4317" t="s">
        <v>3308</v>
      </c>
      <c r="G4317" t="s">
        <v>179</v>
      </c>
      <c r="H4317">
        <v>25</v>
      </c>
      <c r="I4317">
        <v>72.08</v>
      </c>
      <c r="J4317">
        <v>75.599999999999994</v>
      </c>
      <c r="K4317">
        <v>3.52</v>
      </c>
      <c r="L4317">
        <v>13</v>
      </c>
      <c r="M4317">
        <v>3</v>
      </c>
      <c r="N4317">
        <v>9</v>
      </c>
      <c r="O4317" t="s">
        <v>53</v>
      </c>
      <c r="P4317" t="s">
        <v>53</v>
      </c>
      <c r="Q4317" t="s">
        <v>53</v>
      </c>
    </row>
    <row r="4318" spans="1:17" x14ac:dyDescent="0.2">
      <c r="A4318" s="30" t="str">
        <f>IF(C4318&amp;G4318&amp;D4318&lt;&gt;'Funnel setup'!$K$3&amp;'Funnel setup'!$K$4&amp;'Funnel setup'!$K$5,".",IF(A4317=".",1,A4317+1))</f>
        <v>.</v>
      </c>
      <c r="B4318" s="431" t="str">
        <f t="shared" si="67"/>
        <v>Knee Replacement PrimaryProviderBMI - THE WINTERBOURNE HOSPITAL (NT443)EQ VAS</v>
      </c>
      <c r="C4318" t="s">
        <v>249</v>
      </c>
      <c r="D4318" t="s">
        <v>1</v>
      </c>
      <c r="E4318" t="s">
        <v>3310</v>
      </c>
      <c r="F4318" t="s">
        <v>3311</v>
      </c>
      <c r="G4318" t="s">
        <v>179</v>
      </c>
      <c r="H4318">
        <v>51</v>
      </c>
      <c r="I4318">
        <v>69.352999999999994</v>
      </c>
      <c r="J4318">
        <v>79.587999999999994</v>
      </c>
      <c r="K4318">
        <v>10.234999999999999</v>
      </c>
      <c r="L4318">
        <v>32</v>
      </c>
      <c r="M4318">
        <v>9</v>
      </c>
      <c r="N4318">
        <v>10</v>
      </c>
      <c r="O4318">
        <v>77.272000000000006</v>
      </c>
      <c r="P4318">
        <v>8.6141548070000002</v>
      </c>
      <c r="Q4318">
        <v>10.516</v>
      </c>
    </row>
    <row r="4319" spans="1:17" x14ac:dyDescent="0.2">
      <c r="A4319" s="30" t="str">
        <f>IF(C4319&amp;G4319&amp;D4319&lt;&gt;'Funnel setup'!$K$3&amp;'Funnel setup'!$K$4&amp;'Funnel setup'!$K$5,".",IF(A4318=".",1,A4318+1))</f>
        <v>.</v>
      </c>
      <c r="B4319" s="431" t="str">
        <f t="shared" si="67"/>
        <v>Knee Replacement PrimaryProviderBMI - THORNBURY HOSPITAL (NT440)EQ VAS</v>
      </c>
      <c r="C4319" t="s">
        <v>249</v>
      </c>
      <c r="D4319" t="s">
        <v>1</v>
      </c>
      <c r="E4319" t="s">
        <v>3313</v>
      </c>
      <c r="F4319" t="s">
        <v>3314</v>
      </c>
      <c r="G4319" t="s">
        <v>179</v>
      </c>
      <c r="H4319">
        <v>38</v>
      </c>
      <c r="I4319">
        <v>63.973999999999997</v>
      </c>
      <c r="J4319">
        <v>75.894999999999996</v>
      </c>
      <c r="K4319">
        <v>11.920999999999999</v>
      </c>
      <c r="L4319">
        <v>29</v>
      </c>
      <c r="M4319">
        <v>2</v>
      </c>
      <c r="N4319">
        <v>7</v>
      </c>
      <c r="O4319">
        <v>75.244</v>
      </c>
      <c r="P4319">
        <v>6.5856210830000004</v>
      </c>
      <c r="Q4319">
        <v>13.472</v>
      </c>
    </row>
    <row r="4320" spans="1:17" x14ac:dyDescent="0.2">
      <c r="A4320" s="30" t="str">
        <f>IF(C4320&amp;G4320&amp;D4320&lt;&gt;'Funnel setup'!$K$3&amp;'Funnel setup'!$K$4&amp;'Funnel setup'!$K$5,".",IF(A4319=".",1,A4319+1))</f>
        <v>.</v>
      </c>
      <c r="B4320" s="431" t="str">
        <f t="shared" si="67"/>
        <v>Knee Replacement PrimaryProviderBMI - THREE SHIRES HOSPITAL (NT441)EQ VAS</v>
      </c>
      <c r="C4320" t="s">
        <v>249</v>
      </c>
      <c r="D4320" t="s">
        <v>1</v>
      </c>
      <c r="E4320" t="s">
        <v>3316</v>
      </c>
      <c r="F4320" t="s">
        <v>3317</v>
      </c>
      <c r="G4320" t="s">
        <v>179</v>
      </c>
      <c r="H4320">
        <v>43</v>
      </c>
      <c r="I4320">
        <v>67.766999999999996</v>
      </c>
      <c r="J4320">
        <v>75.302000000000007</v>
      </c>
      <c r="K4320">
        <v>7.5350000000000001</v>
      </c>
      <c r="L4320">
        <v>25</v>
      </c>
      <c r="M4320">
        <v>4</v>
      </c>
      <c r="N4320">
        <v>14</v>
      </c>
      <c r="O4320">
        <v>75.350999999999999</v>
      </c>
      <c r="P4320">
        <v>6.692188764</v>
      </c>
      <c r="Q4320">
        <v>13.717000000000001</v>
      </c>
    </row>
    <row r="4321" spans="1:17" x14ac:dyDescent="0.2">
      <c r="A4321" s="30" t="str">
        <f>IF(C4321&amp;G4321&amp;D4321&lt;&gt;'Funnel setup'!$K$3&amp;'Funnel setup'!$K$4&amp;'Funnel setup'!$K$5,".",IF(A4320=".",1,A4320+1))</f>
        <v>.</v>
      </c>
      <c r="B4321" s="431" t="str">
        <f t="shared" si="67"/>
        <v>Knee Replacement PrimaryProviderBMI GISBURNE PARK HOSPITAL (NT497)EQ VAS</v>
      </c>
      <c r="C4321" t="s">
        <v>249</v>
      </c>
      <c r="D4321" t="s">
        <v>1</v>
      </c>
      <c r="E4321" t="s">
        <v>3319</v>
      </c>
      <c r="F4321" t="s">
        <v>3320</v>
      </c>
      <c r="G4321" t="s">
        <v>179</v>
      </c>
      <c r="H4321">
        <v>48</v>
      </c>
      <c r="I4321">
        <v>65.832999999999998</v>
      </c>
      <c r="J4321">
        <v>77.728999999999999</v>
      </c>
      <c r="K4321">
        <v>11.896000000000001</v>
      </c>
      <c r="L4321">
        <v>35</v>
      </c>
      <c r="M4321">
        <v>6</v>
      </c>
      <c r="N4321">
        <v>7</v>
      </c>
      <c r="O4321">
        <v>78.448999999999998</v>
      </c>
      <c r="P4321">
        <v>9.7908189730000004</v>
      </c>
      <c r="Q4321">
        <v>14.247</v>
      </c>
    </row>
    <row r="4322" spans="1:17" x14ac:dyDescent="0.2">
      <c r="A4322" s="30" t="str">
        <f>IF(C4322&amp;G4322&amp;D4322&lt;&gt;'Funnel setup'!$K$3&amp;'Funnel setup'!$K$4&amp;'Funnel setup'!$K$5,".",IF(A4321=".",1,A4321+1))</f>
        <v>.</v>
      </c>
      <c r="B4322" s="431" t="str">
        <f t="shared" si="67"/>
        <v>Knee Replacement PrimaryProviderBMI ST EDMUNDS HOSPITAL (NT446)EQ VAS</v>
      </c>
      <c r="C4322" t="s">
        <v>249</v>
      </c>
      <c r="D4322" t="s">
        <v>1</v>
      </c>
      <c r="E4322" t="s">
        <v>3328</v>
      </c>
      <c r="F4322" t="s">
        <v>3329</v>
      </c>
      <c r="G4322" t="s">
        <v>179</v>
      </c>
      <c r="H4322">
        <v>71</v>
      </c>
      <c r="I4322">
        <v>69.099000000000004</v>
      </c>
      <c r="J4322">
        <v>77.224999999999994</v>
      </c>
      <c r="K4322">
        <v>8.1270000000000007</v>
      </c>
      <c r="L4322">
        <v>42</v>
      </c>
      <c r="M4322">
        <v>5</v>
      </c>
      <c r="N4322">
        <v>24</v>
      </c>
      <c r="O4322">
        <v>75.210999999999999</v>
      </c>
      <c r="P4322">
        <v>6.5522392710000004</v>
      </c>
      <c r="Q4322">
        <v>18.277999999999999</v>
      </c>
    </row>
    <row r="4323" spans="1:17" x14ac:dyDescent="0.2">
      <c r="A4323" s="30" t="str">
        <f>IF(C4323&amp;G4323&amp;D4323&lt;&gt;'Funnel setup'!$K$3&amp;'Funnel setup'!$K$4&amp;'Funnel setup'!$K$5,".",IF(A4322=".",1,A4322+1))</f>
        <v>.</v>
      </c>
      <c r="B4323" s="431" t="str">
        <f t="shared" si="67"/>
        <v>Knee Replacement PrimaryProviderBMI THE CAVELL HOSPITAL (NT451)EQ VAS</v>
      </c>
      <c r="C4323" t="s">
        <v>249</v>
      </c>
      <c r="D4323" t="s">
        <v>1</v>
      </c>
      <c r="E4323" t="s">
        <v>3331</v>
      </c>
      <c r="F4323" t="s">
        <v>3332</v>
      </c>
      <c r="G4323" t="s">
        <v>179</v>
      </c>
      <c r="H4323">
        <v>27</v>
      </c>
      <c r="I4323">
        <v>68.519000000000005</v>
      </c>
      <c r="J4323">
        <v>73.852000000000004</v>
      </c>
      <c r="K4323">
        <v>5.3330000000000002</v>
      </c>
      <c r="L4323">
        <v>16</v>
      </c>
      <c r="M4323">
        <v>4</v>
      </c>
      <c r="N4323">
        <v>7</v>
      </c>
      <c r="O4323" t="s">
        <v>53</v>
      </c>
      <c r="P4323" t="s">
        <v>53</v>
      </c>
      <c r="Q4323" t="s">
        <v>53</v>
      </c>
    </row>
    <row r="4324" spans="1:17" x14ac:dyDescent="0.2">
      <c r="A4324" s="30" t="str">
        <f>IF(C4324&amp;G4324&amp;D4324&lt;&gt;'Funnel setup'!$K$3&amp;'Funnel setup'!$K$4&amp;'Funnel setup'!$K$5,".",IF(A4323=".",1,A4323+1))</f>
        <v>.</v>
      </c>
      <c r="B4324" s="431" t="str">
        <f t="shared" si="67"/>
        <v>Knee Replacement PrimaryProviderBMI THE DUCHY HOSPITAL (NT447)EQ VAS</v>
      </c>
      <c r="C4324" t="s">
        <v>249</v>
      </c>
      <c r="D4324" t="s">
        <v>1</v>
      </c>
      <c r="E4324" t="s">
        <v>3334</v>
      </c>
      <c r="F4324" t="s">
        <v>3335</v>
      </c>
      <c r="G4324" t="s">
        <v>179</v>
      </c>
      <c r="H4324">
        <v>25</v>
      </c>
      <c r="I4324">
        <v>72.400000000000006</v>
      </c>
      <c r="J4324">
        <v>80.8</v>
      </c>
      <c r="K4324">
        <v>8.4</v>
      </c>
      <c r="L4324">
        <v>17</v>
      </c>
      <c r="M4324">
        <v>3</v>
      </c>
      <c r="N4324">
        <v>5</v>
      </c>
      <c r="O4324" t="s">
        <v>53</v>
      </c>
      <c r="P4324" t="s">
        <v>53</v>
      </c>
      <c r="Q4324" t="s">
        <v>53</v>
      </c>
    </row>
    <row r="4325" spans="1:17" x14ac:dyDescent="0.2">
      <c r="A4325" s="30" t="str">
        <f>IF(C4325&amp;G4325&amp;D4325&lt;&gt;'Funnel setup'!$K$3&amp;'Funnel setup'!$K$4&amp;'Funnel setup'!$K$5,".",IF(A4324=".",1,A4324+1))</f>
        <v>.</v>
      </c>
      <c r="B4325" s="431" t="str">
        <f t="shared" si="67"/>
        <v>Knee Replacement PrimaryProviderBMI THE EDGBASTON HOSPITAL (NT445)EQ VAS</v>
      </c>
      <c r="C4325" t="s">
        <v>249</v>
      </c>
      <c r="D4325" t="s">
        <v>1</v>
      </c>
      <c r="E4325" t="s">
        <v>3337</v>
      </c>
      <c r="F4325" t="s">
        <v>3338</v>
      </c>
      <c r="G4325" t="s">
        <v>179</v>
      </c>
      <c r="H4325">
        <v>39</v>
      </c>
      <c r="I4325">
        <v>70.846000000000004</v>
      </c>
      <c r="J4325">
        <v>78.204999999999998</v>
      </c>
      <c r="K4325">
        <v>7.359</v>
      </c>
      <c r="L4325">
        <v>21</v>
      </c>
      <c r="M4325">
        <v>11</v>
      </c>
      <c r="N4325">
        <v>7</v>
      </c>
      <c r="O4325">
        <v>77.340999999999994</v>
      </c>
      <c r="P4325">
        <v>8.6822130889999993</v>
      </c>
      <c r="Q4325">
        <v>10.946999999999999</v>
      </c>
    </row>
    <row r="4326" spans="1:17" x14ac:dyDescent="0.2">
      <c r="A4326" s="30" t="str">
        <f>IF(C4326&amp;G4326&amp;D4326&lt;&gt;'Funnel setup'!$K$3&amp;'Funnel setup'!$K$4&amp;'Funnel setup'!$K$5,".",IF(A4325=".",1,A4325+1))</f>
        <v>.</v>
      </c>
      <c r="B4326" s="431" t="str">
        <f t="shared" si="67"/>
        <v>Knee Replacement PrimaryProviderBMI THE HUDDERSFIELD HOSPITAL (NT448)EQ VAS</v>
      </c>
      <c r="C4326" t="s">
        <v>249</v>
      </c>
      <c r="D4326" t="s">
        <v>1</v>
      </c>
      <c r="E4326" t="s">
        <v>3346</v>
      </c>
      <c r="F4326" t="s">
        <v>3347</v>
      </c>
      <c r="G4326" t="s">
        <v>179</v>
      </c>
      <c r="H4326">
        <v>76</v>
      </c>
      <c r="I4326">
        <v>70.171000000000006</v>
      </c>
      <c r="J4326">
        <v>76.986999999999995</v>
      </c>
      <c r="K4326">
        <v>6.8159999999999998</v>
      </c>
      <c r="L4326">
        <v>40</v>
      </c>
      <c r="M4326">
        <v>11</v>
      </c>
      <c r="N4326">
        <v>25</v>
      </c>
      <c r="O4326">
        <v>75.132000000000005</v>
      </c>
      <c r="P4326">
        <v>6.4734624639999998</v>
      </c>
      <c r="Q4326">
        <v>16.033999999999999</v>
      </c>
    </row>
    <row r="4327" spans="1:17" x14ac:dyDescent="0.2">
      <c r="A4327" s="30" t="str">
        <f>IF(C4327&amp;G4327&amp;D4327&lt;&gt;'Funnel setup'!$K$3&amp;'Funnel setup'!$K$4&amp;'Funnel setup'!$K$5,".",IF(A4326=".",1,A4326+1))</f>
        <v>.</v>
      </c>
      <c r="B4327" s="431" t="str">
        <f t="shared" si="67"/>
        <v>Knee Replacement PrimaryProviderBMI THE LANCASTER HOSPITAL (NT449)EQ VAS</v>
      </c>
      <c r="C4327" t="s">
        <v>249</v>
      </c>
      <c r="D4327" t="s">
        <v>1</v>
      </c>
      <c r="E4327" t="s">
        <v>3349</v>
      </c>
      <c r="F4327" t="s">
        <v>3350</v>
      </c>
      <c r="G4327" t="s">
        <v>179</v>
      </c>
      <c r="H4327">
        <v>50</v>
      </c>
      <c r="I4327">
        <v>72.56</v>
      </c>
      <c r="J4327">
        <v>80.62</v>
      </c>
      <c r="K4327">
        <v>8.06</v>
      </c>
      <c r="L4327">
        <v>34</v>
      </c>
      <c r="M4327">
        <v>7</v>
      </c>
      <c r="N4327">
        <v>9</v>
      </c>
      <c r="O4327">
        <v>76.841999999999999</v>
      </c>
      <c r="P4327">
        <v>8.1835892660000003</v>
      </c>
      <c r="Q4327">
        <v>12.55</v>
      </c>
    </row>
    <row r="4328" spans="1:17" x14ac:dyDescent="0.2">
      <c r="A4328" s="30" t="str">
        <f>IF(C4328&amp;G4328&amp;D4328&lt;&gt;'Funnel setup'!$K$3&amp;'Funnel setup'!$K$4&amp;'Funnel setup'!$K$5,".",IF(A4327=".",1,A4327+1))</f>
        <v>.</v>
      </c>
      <c r="B4328" s="431" t="str">
        <f t="shared" si="67"/>
        <v>Knee Replacement PrimaryProviderBMI THE LINCOLN HOSPITAL (NT450)EQ VAS</v>
      </c>
      <c r="C4328" t="s">
        <v>249</v>
      </c>
      <c r="D4328" t="s">
        <v>1</v>
      </c>
      <c r="E4328" t="s">
        <v>3352</v>
      </c>
      <c r="F4328" t="s">
        <v>3353</v>
      </c>
      <c r="G4328" t="s">
        <v>179</v>
      </c>
      <c r="H4328">
        <v>79</v>
      </c>
      <c r="I4328">
        <v>63.962000000000003</v>
      </c>
      <c r="J4328">
        <v>81.126999999999995</v>
      </c>
      <c r="K4328">
        <v>17.164999999999999</v>
      </c>
      <c r="L4328">
        <v>61</v>
      </c>
      <c r="M4328">
        <v>12</v>
      </c>
      <c r="N4328">
        <v>6</v>
      </c>
      <c r="O4328">
        <v>81.174000000000007</v>
      </c>
      <c r="P4328">
        <v>12.515806960000001</v>
      </c>
      <c r="Q4328">
        <v>11.179</v>
      </c>
    </row>
    <row r="4329" spans="1:17" x14ac:dyDescent="0.2">
      <c r="A4329" s="30" t="str">
        <f>IF(C4329&amp;G4329&amp;D4329&lt;&gt;'Funnel setup'!$K$3&amp;'Funnel setup'!$K$4&amp;'Funnel setup'!$K$5,".",IF(A4328=".",1,A4328+1))</f>
        <v>.</v>
      </c>
      <c r="B4329" s="431" t="str">
        <f t="shared" si="67"/>
        <v>Knee Replacement PrimaryProviderBMI WOODLANDS HOSPITAL (NT457)EQ VAS</v>
      </c>
      <c r="C4329" t="s">
        <v>249</v>
      </c>
      <c r="D4329" t="s">
        <v>1</v>
      </c>
      <c r="E4329" t="s">
        <v>3355</v>
      </c>
      <c r="F4329" t="s">
        <v>3356</v>
      </c>
      <c r="G4329" t="s">
        <v>179</v>
      </c>
      <c r="H4329">
        <v>72</v>
      </c>
      <c r="I4329">
        <v>66.736000000000004</v>
      </c>
      <c r="J4329">
        <v>76.375</v>
      </c>
      <c r="K4329">
        <v>9.6389999999999993</v>
      </c>
      <c r="L4329">
        <v>44</v>
      </c>
      <c r="M4329">
        <v>8</v>
      </c>
      <c r="N4329">
        <v>20</v>
      </c>
      <c r="O4329">
        <v>76.325000000000003</v>
      </c>
      <c r="P4329">
        <v>7.6667687430000004</v>
      </c>
      <c r="Q4329">
        <v>15.359</v>
      </c>
    </row>
    <row r="4330" spans="1:17" x14ac:dyDescent="0.2">
      <c r="A4330" s="30" t="str">
        <f>IF(C4330&amp;G4330&amp;D4330&lt;&gt;'Funnel setup'!$K$3&amp;'Funnel setup'!$K$4&amp;'Funnel setup'!$K$5,".",IF(A4329=".",1,A4329+1))</f>
        <v>.</v>
      </c>
      <c r="B4330" s="431" t="str">
        <f t="shared" si="67"/>
        <v>Knee Replacement PrimaryProviderBOLTON NHS FOUNDATION TRUST (RMC)EQ VAS</v>
      </c>
      <c r="C4330" t="s">
        <v>249</v>
      </c>
      <c r="D4330" t="s">
        <v>1</v>
      </c>
      <c r="E4330" t="s">
        <v>3358</v>
      </c>
      <c r="F4330" t="s">
        <v>3359</v>
      </c>
      <c r="G4330" t="s">
        <v>179</v>
      </c>
      <c r="H4330">
        <v>76</v>
      </c>
      <c r="I4330">
        <v>63.395000000000003</v>
      </c>
      <c r="J4330">
        <v>70.867999999999995</v>
      </c>
      <c r="K4330">
        <v>7.4740000000000002</v>
      </c>
      <c r="L4330">
        <v>45</v>
      </c>
      <c r="M4330">
        <v>8</v>
      </c>
      <c r="N4330">
        <v>23</v>
      </c>
      <c r="O4330">
        <v>74.36</v>
      </c>
      <c r="P4330">
        <v>5.7015413449999999</v>
      </c>
      <c r="Q4330">
        <v>14.57</v>
      </c>
    </row>
    <row r="4331" spans="1:17" x14ac:dyDescent="0.2">
      <c r="A4331" s="30" t="str">
        <f>IF(C4331&amp;G4331&amp;D4331&lt;&gt;'Funnel setup'!$K$3&amp;'Funnel setup'!$K$4&amp;'Funnel setup'!$K$5,".",IF(A4330=".",1,A4330+1))</f>
        <v>.</v>
      </c>
      <c r="B4331" s="431" t="str">
        <f t="shared" si="67"/>
        <v>Knee Replacement PrimaryProviderBRADFORD TEACHING HOSPITALS NHS FOUNDATION TRUST (RAE)EQ VAS</v>
      </c>
      <c r="C4331" t="s">
        <v>249</v>
      </c>
      <c r="D4331" t="s">
        <v>1</v>
      </c>
      <c r="E4331" t="s">
        <v>3361</v>
      </c>
      <c r="F4331" t="s">
        <v>3362</v>
      </c>
      <c r="G4331" t="s">
        <v>179</v>
      </c>
      <c r="H4331">
        <v>134</v>
      </c>
      <c r="I4331">
        <v>62.366</v>
      </c>
      <c r="J4331">
        <v>69.954999999999998</v>
      </c>
      <c r="K4331">
        <v>7.59</v>
      </c>
      <c r="L4331">
        <v>74</v>
      </c>
      <c r="M4331">
        <v>14</v>
      </c>
      <c r="N4331">
        <v>46</v>
      </c>
      <c r="O4331">
        <v>75.004999999999995</v>
      </c>
      <c r="P4331">
        <v>6.3462868309999996</v>
      </c>
      <c r="Q4331">
        <v>17.629000000000001</v>
      </c>
    </row>
    <row r="4332" spans="1:17" x14ac:dyDescent="0.2">
      <c r="A4332" s="30" t="str">
        <f>IF(C4332&amp;G4332&amp;D4332&lt;&gt;'Funnel setup'!$K$3&amp;'Funnel setup'!$K$4&amp;'Funnel setup'!$K$5,".",IF(A4331=".",1,A4331+1))</f>
        <v>.</v>
      </c>
      <c r="B4332" s="431" t="str">
        <f t="shared" si="67"/>
        <v>Knee Replacement PrimaryProviderBRIGHTON AND SUSSEX UNIVERSITY HOSPITALS NHS TRUST (RXH)EQ VAS</v>
      </c>
      <c r="C4332" t="s">
        <v>249</v>
      </c>
      <c r="D4332" t="s">
        <v>1</v>
      </c>
      <c r="E4332" t="s">
        <v>3367</v>
      </c>
      <c r="F4332" t="s">
        <v>3368</v>
      </c>
      <c r="G4332" t="s">
        <v>179</v>
      </c>
      <c r="H4332">
        <v>259</v>
      </c>
      <c r="I4332">
        <v>70.242999999999995</v>
      </c>
      <c r="J4332">
        <v>71.555999999999997</v>
      </c>
      <c r="K4332">
        <v>1.3129999999999999</v>
      </c>
      <c r="L4332">
        <v>122</v>
      </c>
      <c r="M4332">
        <v>37</v>
      </c>
      <c r="N4332">
        <v>100</v>
      </c>
      <c r="O4332">
        <v>71.290999999999997</v>
      </c>
      <c r="P4332">
        <v>2.6328341690000001</v>
      </c>
      <c r="Q4332">
        <v>17.137</v>
      </c>
    </row>
    <row r="4333" spans="1:17" x14ac:dyDescent="0.2">
      <c r="A4333" s="30" t="str">
        <f>IF(C4333&amp;G4333&amp;D4333&lt;&gt;'Funnel setup'!$K$3&amp;'Funnel setup'!$K$4&amp;'Funnel setup'!$K$5,".",IF(A4332=".",1,A4332+1))</f>
        <v>.</v>
      </c>
      <c r="B4333" s="431" t="str">
        <f t="shared" si="67"/>
        <v>Knee Replacement PrimaryProviderBUCKINGHAMSHIRE HEALTHCARE NHS TRUST (RXQ)EQ VAS</v>
      </c>
      <c r="C4333" t="s">
        <v>249</v>
      </c>
      <c r="D4333" t="s">
        <v>1</v>
      </c>
      <c r="E4333" t="s">
        <v>3370</v>
      </c>
      <c r="F4333" t="s">
        <v>3371</v>
      </c>
      <c r="G4333" t="s">
        <v>179</v>
      </c>
      <c r="H4333">
        <v>146</v>
      </c>
      <c r="I4333">
        <v>67.992999999999995</v>
      </c>
      <c r="J4333">
        <v>73.685000000000002</v>
      </c>
      <c r="K4333">
        <v>5.6920000000000002</v>
      </c>
      <c r="L4333">
        <v>73</v>
      </c>
      <c r="M4333">
        <v>26</v>
      </c>
      <c r="N4333">
        <v>47</v>
      </c>
      <c r="O4333">
        <v>73.623000000000005</v>
      </c>
      <c r="P4333">
        <v>4.9648210769999999</v>
      </c>
      <c r="Q4333">
        <v>15.442</v>
      </c>
    </row>
    <row r="4334" spans="1:17" x14ac:dyDescent="0.2">
      <c r="A4334" s="30" t="str">
        <f>IF(C4334&amp;G4334&amp;D4334&lt;&gt;'Funnel setup'!$K$3&amp;'Funnel setup'!$K$4&amp;'Funnel setup'!$K$5,".",IF(A4333=".",1,A4333+1))</f>
        <v>.</v>
      </c>
      <c r="B4334" s="431" t="str">
        <f t="shared" si="67"/>
        <v>Knee Replacement PrimaryProviderBURTON HOSPITALS NHS FOUNDATION TRUST (RJF)EQ VAS</v>
      </c>
      <c r="C4334" t="s">
        <v>249</v>
      </c>
      <c r="D4334" t="s">
        <v>1</v>
      </c>
      <c r="E4334" t="s">
        <v>3373</v>
      </c>
      <c r="F4334" t="s">
        <v>3374</v>
      </c>
      <c r="G4334" t="s">
        <v>179</v>
      </c>
      <c r="H4334">
        <v>200</v>
      </c>
      <c r="I4334">
        <v>71.094999999999999</v>
      </c>
      <c r="J4334">
        <v>77.084999999999994</v>
      </c>
      <c r="K4334">
        <v>5.99</v>
      </c>
      <c r="L4334">
        <v>113</v>
      </c>
      <c r="M4334">
        <v>23</v>
      </c>
      <c r="N4334">
        <v>64</v>
      </c>
      <c r="O4334">
        <v>75.186000000000007</v>
      </c>
      <c r="P4334">
        <v>6.5274905969999999</v>
      </c>
      <c r="Q4334">
        <v>14.795999999999999</v>
      </c>
    </row>
    <row r="4335" spans="1:17" x14ac:dyDescent="0.2">
      <c r="A4335" s="30" t="str">
        <f>IF(C4335&amp;G4335&amp;D4335&lt;&gt;'Funnel setup'!$K$3&amp;'Funnel setup'!$K$4&amp;'Funnel setup'!$K$5,".",IF(A4334=".",1,A4334+1))</f>
        <v>.</v>
      </c>
      <c r="B4335" s="431" t="str">
        <f t="shared" si="67"/>
        <v>Knee Replacement PrimaryProviderCALDERDALE AND HUDDERSFIELD NHS FOUNDATION TRUST (RWY)EQ VAS</v>
      </c>
      <c r="C4335" t="s">
        <v>249</v>
      </c>
      <c r="D4335" t="s">
        <v>1</v>
      </c>
      <c r="E4335" t="s">
        <v>3379</v>
      </c>
      <c r="F4335" t="s">
        <v>3380</v>
      </c>
      <c r="G4335" t="s">
        <v>179</v>
      </c>
      <c r="H4335">
        <v>209</v>
      </c>
      <c r="I4335">
        <v>68.602999999999994</v>
      </c>
      <c r="J4335">
        <v>74.123999999999995</v>
      </c>
      <c r="K4335">
        <v>5.5220000000000002</v>
      </c>
      <c r="L4335">
        <v>124</v>
      </c>
      <c r="M4335">
        <v>25</v>
      </c>
      <c r="N4335">
        <v>60</v>
      </c>
      <c r="O4335">
        <v>74.665999999999997</v>
      </c>
      <c r="P4335">
        <v>6.0081518640000002</v>
      </c>
      <c r="Q4335">
        <v>15.771000000000001</v>
      </c>
    </row>
    <row r="4336" spans="1:17" x14ac:dyDescent="0.2">
      <c r="A4336" s="30" t="str">
        <f>IF(C4336&amp;G4336&amp;D4336&lt;&gt;'Funnel setup'!$K$3&amp;'Funnel setup'!$K$4&amp;'Funnel setup'!$K$5,".",IF(A4335=".",1,A4335+1))</f>
        <v>.</v>
      </c>
      <c r="B4336" s="431" t="str">
        <f t="shared" si="67"/>
        <v>Knee Replacement PrimaryProviderCAMBRIDGE UNIVERSITY HOSPITALS NHS FOUNDATION TRUST (RGT)EQ VAS</v>
      </c>
      <c r="C4336" t="s">
        <v>249</v>
      </c>
      <c r="D4336" t="s">
        <v>1</v>
      </c>
      <c r="E4336" t="s">
        <v>3076</v>
      </c>
      <c r="F4336" t="s">
        <v>3077</v>
      </c>
      <c r="G4336" t="s">
        <v>179</v>
      </c>
      <c r="H4336">
        <v>192</v>
      </c>
      <c r="I4336">
        <v>66.875</v>
      </c>
      <c r="J4336">
        <v>75.406000000000006</v>
      </c>
      <c r="K4336">
        <v>8.5310000000000006</v>
      </c>
      <c r="L4336">
        <v>119</v>
      </c>
      <c r="M4336">
        <v>21</v>
      </c>
      <c r="N4336">
        <v>52</v>
      </c>
      <c r="O4336">
        <v>75.894999999999996</v>
      </c>
      <c r="P4336">
        <v>7.236708149</v>
      </c>
      <c r="Q4336">
        <v>16.823</v>
      </c>
    </row>
    <row r="4337" spans="1:17" x14ac:dyDescent="0.2">
      <c r="A4337" s="30" t="str">
        <f>IF(C4337&amp;G4337&amp;D4337&lt;&gt;'Funnel setup'!$K$3&amp;'Funnel setup'!$K$4&amp;'Funnel setup'!$K$5,".",IF(A4336=".",1,A4336+1))</f>
        <v>.</v>
      </c>
      <c r="B4337" s="431" t="str">
        <f t="shared" si="67"/>
        <v>Knee Replacement PrimaryProviderCENTRAL MANCHESTER UNIVERSITY HOSPITALS NHS FOUNDATION TRUST (RW3)EQ VAS</v>
      </c>
      <c r="C4337" t="s">
        <v>249</v>
      </c>
      <c r="D4337" t="s">
        <v>1</v>
      </c>
      <c r="E4337" t="s">
        <v>3079</v>
      </c>
      <c r="F4337" t="s">
        <v>3080</v>
      </c>
      <c r="G4337" t="s">
        <v>179</v>
      </c>
      <c r="H4337">
        <v>76</v>
      </c>
      <c r="I4337">
        <v>67.697000000000003</v>
      </c>
      <c r="J4337">
        <v>69.302999999999997</v>
      </c>
      <c r="K4337">
        <v>1.605</v>
      </c>
      <c r="L4337">
        <v>34</v>
      </c>
      <c r="M4337">
        <v>9</v>
      </c>
      <c r="N4337">
        <v>33</v>
      </c>
      <c r="O4337">
        <v>70.582999999999998</v>
      </c>
      <c r="P4337">
        <v>1.9251527799999999</v>
      </c>
      <c r="Q4337">
        <v>16.997</v>
      </c>
    </row>
    <row r="4338" spans="1:17" x14ac:dyDescent="0.2">
      <c r="A4338" s="30" t="str">
        <f>IF(C4338&amp;G4338&amp;D4338&lt;&gt;'Funnel setup'!$K$3&amp;'Funnel setup'!$K$4&amp;'Funnel setup'!$K$5,".",IF(A4337=".",1,A4337+1))</f>
        <v>.</v>
      </c>
      <c r="B4338" s="431" t="str">
        <f t="shared" si="67"/>
        <v>Knee Replacement PrimaryProviderCHELSEA AND WESTMINSTER HOSPITAL NHS FOUNDATION TRUST (RQM)EQ VAS</v>
      </c>
      <c r="C4338" t="s">
        <v>249</v>
      </c>
      <c r="D4338" t="s">
        <v>1</v>
      </c>
      <c r="E4338" t="s">
        <v>3082</v>
      </c>
      <c r="F4338" t="s">
        <v>3083</v>
      </c>
      <c r="G4338" t="s">
        <v>179</v>
      </c>
      <c r="H4338">
        <v>17</v>
      </c>
      <c r="I4338">
        <v>64.706000000000003</v>
      </c>
      <c r="J4338">
        <v>76.117999999999995</v>
      </c>
      <c r="K4338">
        <v>11.412000000000001</v>
      </c>
      <c r="L4338">
        <v>12</v>
      </c>
      <c r="M4338">
        <v>2</v>
      </c>
      <c r="N4338">
        <v>3</v>
      </c>
      <c r="O4338" t="s">
        <v>53</v>
      </c>
      <c r="P4338" t="s">
        <v>53</v>
      </c>
      <c r="Q4338" t="s">
        <v>53</v>
      </c>
    </row>
    <row r="4339" spans="1:17" x14ac:dyDescent="0.2">
      <c r="A4339" s="30" t="str">
        <f>IF(C4339&amp;G4339&amp;D4339&lt;&gt;'Funnel setup'!$K$3&amp;'Funnel setup'!$K$4&amp;'Funnel setup'!$K$5,".",IF(A4338=".",1,A4338+1))</f>
        <v>.</v>
      </c>
      <c r="B4339" s="431" t="str">
        <f t="shared" si="67"/>
        <v>Knee Replacement PrimaryProviderCHESTERFIELD ROYAL HOSPITAL NHS FOUNDATION TRUST (RFS)EQ VAS</v>
      </c>
      <c r="C4339" t="s">
        <v>249</v>
      </c>
      <c r="D4339" t="s">
        <v>1</v>
      </c>
      <c r="E4339" t="s">
        <v>3085</v>
      </c>
      <c r="F4339" t="s">
        <v>3086</v>
      </c>
      <c r="G4339" t="s">
        <v>179</v>
      </c>
      <c r="H4339">
        <v>223</v>
      </c>
      <c r="I4339">
        <v>67.340999999999994</v>
      </c>
      <c r="J4339">
        <v>73.238</v>
      </c>
      <c r="K4339">
        <v>5.8970000000000002</v>
      </c>
      <c r="L4339">
        <v>118</v>
      </c>
      <c r="M4339">
        <v>31</v>
      </c>
      <c r="N4339">
        <v>74</v>
      </c>
      <c r="O4339">
        <v>74.344999999999999</v>
      </c>
      <c r="P4339">
        <v>5.6864267990000004</v>
      </c>
      <c r="Q4339">
        <v>15.586</v>
      </c>
    </row>
    <row r="4340" spans="1:17" x14ac:dyDescent="0.2">
      <c r="A4340" s="30" t="str">
        <f>IF(C4340&amp;G4340&amp;D4340&lt;&gt;'Funnel setup'!$K$3&amp;'Funnel setup'!$K$4&amp;'Funnel setup'!$K$5,".",IF(A4339=".",1,A4339+1))</f>
        <v>.</v>
      </c>
      <c r="B4340" s="431" t="str">
        <f t="shared" si="67"/>
        <v>Knee Replacement PrimaryProviderCIRCLE - NOTTINGHAM NHS TREATMENT CENTRE (NV313)EQ VAS</v>
      </c>
      <c r="C4340" t="s">
        <v>249</v>
      </c>
      <c r="D4340" t="s">
        <v>1</v>
      </c>
      <c r="E4340" t="s">
        <v>3094</v>
      </c>
      <c r="F4340" t="s">
        <v>3095</v>
      </c>
      <c r="G4340" t="s">
        <v>179</v>
      </c>
      <c r="H4340" t="s">
        <v>53</v>
      </c>
      <c r="I4340" t="s">
        <v>53</v>
      </c>
      <c r="J4340" t="s">
        <v>53</v>
      </c>
      <c r="K4340" t="s">
        <v>53</v>
      </c>
      <c r="L4340" t="s">
        <v>53</v>
      </c>
      <c r="M4340" t="s">
        <v>53</v>
      </c>
      <c r="N4340" t="s">
        <v>53</v>
      </c>
      <c r="O4340" t="s">
        <v>53</v>
      </c>
      <c r="P4340" t="s">
        <v>53</v>
      </c>
      <c r="Q4340" t="s">
        <v>53</v>
      </c>
    </row>
    <row r="4341" spans="1:17" x14ac:dyDescent="0.2">
      <c r="A4341" s="30" t="str">
        <f>IF(C4341&amp;G4341&amp;D4341&lt;&gt;'Funnel setup'!$K$3&amp;'Funnel setup'!$K$4&amp;'Funnel setup'!$K$5,".",IF(A4340=".",1,A4340+1))</f>
        <v>.</v>
      </c>
      <c r="B4341" s="431" t="str">
        <f t="shared" si="67"/>
        <v>Knee Replacement PrimaryProviderCIRCLE BATH HOSPITAL (NV302)EQ VAS</v>
      </c>
      <c r="C4341" t="s">
        <v>249</v>
      </c>
      <c r="D4341" t="s">
        <v>1</v>
      </c>
      <c r="E4341" t="s">
        <v>3097</v>
      </c>
      <c r="F4341" t="s">
        <v>3098</v>
      </c>
      <c r="G4341" t="s">
        <v>179</v>
      </c>
      <c r="H4341">
        <v>138</v>
      </c>
      <c r="I4341">
        <v>72.92</v>
      </c>
      <c r="J4341">
        <v>78.551000000000002</v>
      </c>
      <c r="K4341">
        <v>5.63</v>
      </c>
      <c r="L4341">
        <v>73</v>
      </c>
      <c r="M4341">
        <v>23</v>
      </c>
      <c r="N4341">
        <v>42</v>
      </c>
      <c r="O4341">
        <v>74.981999999999999</v>
      </c>
      <c r="P4341">
        <v>6.3231916650000004</v>
      </c>
      <c r="Q4341">
        <v>14.411</v>
      </c>
    </row>
    <row r="4342" spans="1:17" x14ac:dyDescent="0.2">
      <c r="A4342" s="30" t="str">
        <f>IF(C4342&amp;G4342&amp;D4342&lt;&gt;'Funnel setup'!$K$3&amp;'Funnel setup'!$K$4&amp;'Funnel setup'!$K$5,".",IF(A4341=".",1,A4341+1))</f>
        <v>.</v>
      </c>
      <c r="B4342" s="431" t="str">
        <f t="shared" si="67"/>
        <v>Knee Replacement PrimaryProviderCIRCLE READING HOSPITAL (NV323)EQ VAS</v>
      </c>
      <c r="C4342" t="s">
        <v>249</v>
      </c>
      <c r="D4342" t="s">
        <v>1</v>
      </c>
      <c r="E4342" t="s">
        <v>3091</v>
      </c>
      <c r="F4342" t="s">
        <v>3092</v>
      </c>
      <c r="G4342" t="s">
        <v>179</v>
      </c>
      <c r="H4342">
        <v>92</v>
      </c>
      <c r="I4342">
        <v>76.033000000000001</v>
      </c>
      <c r="J4342">
        <v>77.347999999999999</v>
      </c>
      <c r="K4342">
        <v>1.3149999999999999</v>
      </c>
      <c r="L4342">
        <v>44</v>
      </c>
      <c r="M4342">
        <v>13</v>
      </c>
      <c r="N4342">
        <v>35</v>
      </c>
      <c r="O4342">
        <v>71.072999999999993</v>
      </c>
      <c r="P4342">
        <v>2.4151551339999999</v>
      </c>
      <c r="Q4342">
        <v>15.275</v>
      </c>
    </row>
    <row r="4343" spans="1:17" x14ac:dyDescent="0.2">
      <c r="A4343" s="30" t="str">
        <f>IF(C4343&amp;G4343&amp;D4343&lt;&gt;'Funnel setup'!$K$3&amp;'Funnel setup'!$K$4&amp;'Funnel setup'!$K$5,".",IF(A4342=".",1,A4342+1))</f>
        <v>.</v>
      </c>
      <c r="B4343" s="431" t="str">
        <f t="shared" si="67"/>
        <v>Knee Replacement PrimaryProviderCITY HOSPITALS SUNDERLAND NHS FOUNDATION TRUST (RLN)EQ VAS</v>
      </c>
      <c r="C4343" t="s">
        <v>249</v>
      </c>
      <c r="D4343" t="s">
        <v>1</v>
      </c>
      <c r="E4343" t="s">
        <v>3100</v>
      </c>
      <c r="F4343" t="s">
        <v>3101</v>
      </c>
      <c r="G4343" t="s">
        <v>179</v>
      </c>
      <c r="H4343">
        <v>255</v>
      </c>
      <c r="I4343">
        <v>63.529000000000003</v>
      </c>
      <c r="J4343">
        <v>69.988</v>
      </c>
      <c r="K4343">
        <v>6.4589999999999996</v>
      </c>
      <c r="L4343">
        <v>144</v>
      </c>
      <c r="M4343">
        <v>33</v>
      </c>
      <c r="N4343">
        <v>78</v>
      </c>
      <c r="O4343">
        <v>74.44</v>
      </c>
      <c r="P4343">
        <v>5.7820512180000003</v>
      </c>
      <c r="Q4343">
        <v>16.251999999999999</v>
      </c>
    </row>
    <row r="4344" spans="1:17" x14ac:dyDescent="0.2">
      <c r="A4344" s="30" t="str">
        <f>IF(C4344&amp;G4344&amp;D4344&lt;&gt;'Funnel setup'!$K$3&amp;'Funnel setup'!$K$4&amp;'Funnel setup'!$K$5,".",IF(A4343=".",1,A4343+1))</f>
        <v>.</v>
      </c>
      <c r="B4344" s="431" t="str">
        <f t="shared" si="67"/>
        <v>Knee Replacement PrimaryProviderCLIFTON PARK HOSPITAL (NVC28)EQ VAS</v>
      </c>
      <c r="C4344" t="s">
        <v>249</v>
      </c>
      <c r="D4344" t="s">
        <v>1</v>
      </c>
      <c r="E4344" t="s">
        <v>4229</v>
      </c>
      <c r="F4344" t="s">
        <v>4230</v>
      </c>
      <c r="G4344" t="s">
        <v>179</v>
      </c>
      <c r="H4344">
        <v>190</v>
      </c>
      <c r="I4344">
        <v>71.147000000000006</v>
      </c>
      <c r="J4344">
        <v>76.105000000000004</v>
      </c>
      <c r="K4344">
        <v>4.9580000000000002</v>
      </c>
      <c r="L4344">
        <v>112</v>
      </c>
      <c r="M4344">
        <v>22</v>
      </c>
      <c r="N4344">
        <v>56</v>
      </c>
      <c r="O4344">
        <v>73.159000000000006</v>
      </c>
      <c r="P4344">
        <v>4.5002798220000004</v>
      </c>
      <c r="Q4344">
        <v>14.361000000000001</v>
      </c>
    </row>
    <row r="4345" spans="1:17" x14ac:dyDescent="0.2">
      <c r="A4345" s="30" t="str">
        <f>IF(C4345&amp;G4345&amp;D4345&lt;&gt;'Funnel setup'!$K$3&amp;'Funnel setup'!$K$4&amp;'Funnel setup'!$K$5,".",IF(A4344=".",1,A4344+1))</f>
        <v>.</v>
      </c>
      <c r="B4345" s="431" t="str">
        <f t="shared" si="67"/>
        <v>Knee Replacement PrimaryProviderCOLCHESTER HOSPITAL UNIVERSITY NHS FOUNDATION TRUST (RDE)EQ VAS</v>
      </c>
      <c r="C4345" t="s">
        <v>249</v>
      </c>
      <c r="D4345" t="s">
        <v>1</v>
      </c>
      <c r="E4345" t="s">
        <v>3109</v>
      </c>
      <c r="F4345" t="s">
        <v>3110</v>
      </c>
      <c r="G4345" t="s">
        <v>179</v>
      </c>
      <c r="H4345">
        <v>183</v>
      </c>
      <c r="I4345">
        <v>64.617000000000004</v>
      </c>
      <c r="J4345">
        <v>75.191000000000003</v>
      </c>
      <c r="K4345">
        <v>10.574</v>
      </c>
      <c r="L4345">
        <v>119</v>
      </c>
      <c r="M4345">
        <v>25</v>
      </c>
      <c r="N4345">
        <v>39</v>
      </c>
      <c r="O4345">
        <v>77.215999999999994</v>
      </c>
      <c r="P4345">
        <v>8.5575515539999998</v>
      </c>
      <c r="Q4345">
        <v>14.295</v>
      </c>
    </row>
    <row r="4346" spans="1:17" x14ac:dyDescent="0.2">
      <c r="A4346" s="30" t="str">
        <f>IF(C4346&amp;G4346&amp;D4346&lt;&gt;'Funnel setup'!$K$3&amp;'Funnel setup'!$K$4&amp;'Funnel setup'!$K$5,".",IF(A4345=".",1,A4345+1))</f>
        <v>.</v>
      </c>
      <c r="B4346" s="431" t="str">
        <f t="shared" si="67"/>
        <v>Knee Replacement PrimaryProviderCOUNTESS OF CHESTER HOSPITAL NHS FOUNDATION TRUST (RJR)EQ VAS</v>
      </c>
      <c r="C4346" t="s">
        <v>249</v>
      </c>
      <c r="D4346" t="s">
        <v>1</v>
      </c>
      <c r="E4346" t="s">
        <v>3781</v>
      </c>
      <c r="F4346" t="s">
        <v>3782</v>
      </c>
      <c r="G4346" t="s">
        <v>179</v>
      </c>
      <c r="H4346">
        <v>81</v>
      </c>
      <c r="I4346">
        <v>71.852000000000004</v>
      </c>
      <c r="J4346">
        <v>71.727999999999994</v>
      </c>
      <c r="K4346">
        <v>-0.123</v>
      </c>
      <c r="L4346">
        <v>31</v>
      </c>
      <c r="M4346">
        <v>10</v>
      </c>
      <c r="N4346">
        <v>40</v>
      </c>
      <c r="O4346">
        <v>71.465999999999994</v>
      </c>
      <c r="P4346">
        <v>2.807315585</v>
      </c>
      <c r="Q4346">
        <v>16.242999999999999</v>
      </c>
    </row>
    <row r="4347" spans="1:17" x14ac:dyDescent="0.2">
      <c r="A4347" s="30" t="str">
        <f>IF(C4347&amp;G4347&amp;D4347&lt;&gt;'Funnel setup'!$K$3&amp;'Funnel setup'!$K$4&amp;'Funnel setup'!$K$5,".",IF(A4346=".",1,A4346+1))</f>
        <v>.</v>
      </c>
      <c r="B4347" s="431" t="str">
        <f t="shared" si="67"/>
        <v>Knee Replacement PrimaryProviderCOUNTY DURHAM AND DARLINGTON NHS FOUNDATION TRUST (RXP)EQ VAS</v>
      </c>
      <c r="C4347" t="s">
        <v>249</v>
      </c>
      <c r="D4347" t="s">
        <v>1</v>
      </c>
      <c r="E4347" t="s">
        <v>3784</v>
      </c>
      <c r="F4347" t="s">
        <v>3785</v>
      </c>
      <c r="G4347" t="s">
        <v>179</v>
      </c>
      <c r="H4347">
        <v>298</v>
      </c>
      <c r="I4347">
        <v>68.486999999999995</v>
      </c>
      <c r="J4347">
        <v>73.180999999999997</v>
      </c>
      <c r="K4347">
        <v>4.6950000000000003</v>
      </c>
      <c r="L4347">
        <v>163</v>
      </c>
      <c r="M4347">
        <v>38</v>
      </c>
      <c r="N4347">
        <v>97</v>
      </c>
      <c r="O4347">
        <v>74.099000000000004</v>
      </c>
      <c r="P4347">
        <v>5.4409396570000004</v>
      </c>
      <c r="Q4347">
        <v>15.98</v>
      </c>
    </row>
    <row r="4348" spans="1:17" x14ac:dyDescent="0.2">
      <c r="A4348" s="30" t="str">
        <f>IF(C4348&amp;G4348&amp;D4348&lt;&gt;'Funnel setup'!$K$3&amp;'Funnel setup'!$K$4&amp;'Funnel setup'!$K$5,".",IF(A4347=".",1,A4347+1))</f>
        <v>.</v>
      </c>
      <c r="B4348" s="431" t="str">
        <f t="shared" si="67"/>
        <v>Knee Replacement PrimaryProviderDARTFORD AND GRAVESHAM NHS TRUST (RN7)EQ VAS</v>
      </c>
      <c r="C4348" t="s">
        <v>249</v>
      </c>
      <c r="D4348" t="s">
        <v>1</v>
      </c>
      <c r="E4348" t="s">
        <v>3787</v>
      </c>
      <c r="F4348" t="s">
        <v>3788</v>
      </c>
      <c r="G4348" t="s">
        <v>179</v>
      </c>
      <c r="H4348">
        <v>182</v>
      </c>
      <c r="I4348">
        <v>69.581999999999994</v>
      </c>
      <c r="J4348">
        <v>73.977999999999994</v>
      </c>
      <c r="K4348">
        <v>4.3959999999999999</v>
      </c>
      <c r="L4348">
        <v>96</v>
      </c>
      <c r="M4348">
        <v>24</v>
      </c>
      <c r="N4348">
        <v>62</v>
      </c>
      <c r="O4348">
        <v>73.915999999999997</v>
      </c>
      <c r="P4348">
        <v>5.2574560740000003</v>
      </c>
      <c r="Q4348">
        <v>15.275</v>
      </c>
    </row>
    <row r="4349" spans="1:17" x14ac:dyDescent="0.2">
      <c r="A4349" s="30" t="str">
        <f>IF(C4349&amp;G4349&amp;D4349&lt;&gt;'Funnel setup'!$K$3&amp;'Funnel setup'!$K$4&amp;'Funnel setup'!$K$5,".",IF(A4348=".",1,A4348+1))</f>
        <v>.</v>
      </c>
      <c r="B4349" s="431" t="str">
        <f t="shared" si="67"/>
        <v>Knee Replacement PrimaryProviderDERBY TEACHING HOSPITALS NHS FOUNDATION TRUST (RTG)EQ VAS</v>
      </c>
      <c r="C4349" t="s">
        <v>249</v>
      </c>
      <c r="D4349" t="s">
        <v>1</v>
      </c>
      <c r="E4349" t="s">
        <v>3790</v>
      </c>
      <c r="F4349" t="s">
        <v>3791</v>
      </c>
      <c r="G4349" t="s">
        <v>179</v>
      </c>
      <c r="H4349">
        <v>362</v>
      </c>
      <c r="I4349">
        <v>69.391999999999996</v>
      </c>
      <c r="J4349">
        <v>73.122</v>
      </c>
      <c r="K4349">
        <v>3.7290000000000001</v>
      </c>
      <c r="L4349">
        <v>191</v>
      </c>
      <c r="M4349">
        <v>50</v>
      </c>
      <c r="N4349">
        <v>121</v>
      </c>
      <c r="O4349">
        <v>73.260999999999996</v>
      </c>
      <c r="P4349">
        <v>4.6026411019999998</v>
      </c>
      <c r="Q4349">
        <v>15.79</v>
      </c>
    </row>
    <row r="4350" spans="1:17" x14ac:dyDescent="0.2">
      <c r="A4350" s="30" t="str">
        <f>IF(C4350&amp;G4350&amp;D4350&lt;&gt;'Funnel setup'!$K$3&amp;'Funnel setup'!$K$4&amp;'Funnel setup'!$K$5,".",IF(A4349=".",1,A4349+1))</f>
        <v>.</v>
      </c>
      <c r="B4350" s="431" t="str">
        <f t="shared" si="67"/>
        <v>Knee Replacement PrimaryProviderDONCASTER AND BASSETLAW HOSPITALS NHS FOUNDATION TRUST (RP5)EQ VAS</v>
      </c>
      <c r="C4350" t="s">
        <v>249</v>
      </c>
      <c r="D4350" t="s">
        <v>1</v>
      </c>
      <c r="E4350" t="s">
        <v>3799</v>
      </c>
      <c r="F4350" t="s">
        <v>3800</v>
      </c>
      <c r="G4350" t="s">
        <v>179</v>
      </c>
      <c r="H4350">
        <v>313</v>
      </c>
      <c r="I4350">
        <v>69.093000000000004</v>
      </c>
      <c r="J4350">
        <v>72.236000000000004</v>
      </c>
      <c r="K4350">
        <v>3.1440000000000001</v>
      </c>
      <c r="L4350">
        <v>169</v>
      </c>
      <c r="M4350">
        <v>44</v>
      </c>
      <c r="N4350">
        <v>100</v>
      </c>
      <c r="O4350">
        <v>73.266999999999996</v>
      </c>
      <c r="P4350">
        <v>4.6089518399999996</v>
      </c>
      <c r="Q4350">
        <v>16.446000000000002</v>
      </c>
    </row>
    <row r="4351" spans="1:17" x14ac:dyDescent="0.2">
      <c r="A4351" s="30" t="str">
        <f>IF(C4351&amp;G4351&amp;D4351&lt;&gt;'Funnel setup'!$K$3&amp;'Funnel setup'!$K$4&amp;'Funnel setup'!$K$5,".",IF(A4350=".",1,A4350+1))</f>
        <v>.</v>
      </c>
      <c r="B4351" s="431" t="str">
        <f t="shared" si="67"/>
        <v>Knee Replacement PrimaryProviderDORSET COUNTY HOSPITAL NHS FOUNDATION TRUST (RBD)EQ VAS</v>
      </c>
      <c r="C4351" t="s">
        <v>249</v>
      </c>
      <c r="D4351" t="s">
        <v>1</v>
      </c>
      <c r="E4351" t="s">
        <v>3802</v>
      </c>
      <c r="F4351" t="s">
        <v>3803</v>
      </c>
      <c r="G4351" t="s">
        <v>179</v>
      </c>
      <c r="H4351">
        <v>158</v>
      </c>
      <c r="I4351">
        <v>72.013000000000005</v>
      </c>
      <c r="J4351">
        <v>74.69</v>
      </c>
      <c r="K4351">
        <v>2.677</v>
      </c>
      <c r="L4351">
        <v>82</v>
      </c>
      <c r="M4351">
        <v>17</v>
      </c>
      <c r="N4351">
        <v>59</v>
      </c>
      <c r="O4351">
        <v>73.001999999999995</v>
      </c>
      <c r="P4351">
        <v>4.3432421489999999</v>
      </c>
      <c r="Q4351">
        <v>15.606999999999999</v>
      </c>
    </row>
    <row r="4352" spans="1:17" x14ac:dyDescent="0.2">
      <c r="A4352" s="30" t="str">
        <f>IF(C4352&amp;G4352&amp;D4352&lt;&gt;'Funnel setup'!$K$3&amp;'Funnel setup'!$K$4&amp;'Funnel setup'!$K$5,".",IF(A4351=".",1,A4351+1))</f>
        <v>.</v>
      </c>
      <c r="B4352" s="431" t="str">
        <f t="shared" si="67"/>
        <v>Knee Replacement PrimaryProviderDUCHY HOSPITAL (NVC04)EQ VAS</v>
      </c>
      <c r="C4352" t="s">
        <v>249</v>
      </c>
      <c r="D4352" t="s">
        <v>1</v>
      </c>
      <c r="E4352" t="s">
        <v>4518</v>
      </c>
      <c r="F4352" t="s">
        <v>4519</v>
      </c>
      <c r="G4352" t="s">
        <v>179</v>
      </c>
      <c r="H4352">
        <v>202</v>
      </c>
      <c r="I4352">
        <v>73.634</v>
      </c>
      <c r="J4352">
        <v>79.683000000000007</v>
      </c>
      <c r="K4352">
        <v>6.05</v>
      </c>
      <c r="L4352">
        <v>112</v>
      </c>
      <c r="M4352">
        <v>27</v>
      </c>
      <c r="N4352">
        <v>63</v>
      </c>
      <c r="O4352">
        <v>77.373000000000005</v>
      </c>
      <c r="P4352">
        <v>8.7145762609999995</v>
      </c>
      <c r="Q4352">
        <v>13.012</v>
      </c>
    </row>
    <row r="4353" spans="1:17" x14ac:dyDescent="0.2">
      <c r="A4353" s="30" t="str">
        <f>IF(C4353&amp;G4353&amp;D4353&lt;&gt;'Funnel setup'!$K$3&amp;'Funnel setup'!$K$4&amp;'Funnel setup'!$K$5,".",IF(A4352=".",1,A4352+1))</f>
        <v>.</v>
      </c>
      <c r="B4353" s="431" t="str">
        <f t="shared" si="67"/>
        <v>Knee Replacement PrimaryProviderEAST AND NORTH HERTFORDSHIRE NHS TRUST (RWH)EQ VAS</v>
      </c>
      <c r="C4353" t="s">
        <v>249</v>
      </c>
      <c r="D4353" t="s">
        <v>1</v>
      </c>
      <c r="E4353" t="s">
        <v>3814</v>
      </c>
      <c r="F4353" t="s">
        <v>3815</v>
      </c>
      <c r="G4353" t="s">
        <v>179</v>
      </c>
      <c r="H4353">
        <v>109</v>
      </c>
      <c r="I4353">
        <v>69.421999999999997</v>
      </c>
      <c r="J4353">
        <v>74.174000000000007</v>
      </c>
      <c r="K4353">
        <v>4.7519999999999998</v>
      </c>
      <c r="L4353">
        <v>56</v>
      </c>
      <c r="M4353">
        <v>16</v>
      </c>
      <c r="N4353">
        <v>37</v>
      </c>
      <c r="O4353">
        <v>73.462999999999994</v>
      </c>
      <c r="P4353">
        <v>4.8043669449999999</v>
      </c>
      <c r="Q4353">
        <v>15.815</v>
      </c>
    </row>
    <row r="4354" spans="1:17" x14ac:dyDescent="0.2">
      <c r="A4354" s="30" t="str">
        <f>IF(C4354&amp;G4354&amp;D4354&lt;&gt;'Funnel setup'!$K$3&amp;'Funnel setup'!$K$4&amp;'Funnel setup'!$K$5,".",IF(A4353=".",1,A4353+1))</f>
        <v>.</v>
      </c>
      <c r="B4354" s="431" t="str">
        <f t="shared" si="67"/>
        <v>Knee Replacement PrimaryProviderEAST CHESHIRE NHS TRUST (RJN)EQ VAS</v>
      </c>
      <c r="C4354" t="s">
        <v>249</v>
      </c>
      <c r="D4354" t="s">
        <v>1</v>
      </c>
      <c r="E4354" t="s">
        <v>3817</v>
      </c>
      <c r="F4354" t="s">
        <v>3818</v>
      </c>
      <c r="G4354" t="s">
        <v>179</v>
      </c>
      <c r="H4354">
        <v>82</v>
      </c>
      <c r="I4354">
        <v>70.146000000000001</v>
      </c>
      <c r="J4354">
        <v>79.828999999999994</v>
      </c>
      <c r="K4354">
        <v>9.6829999999999998</v>
      </c>
      <c r="L4354">
        <v>60</v>
      </c>
      <c r="M4354">
        <v>6</v>
      </c>
      <c r="N4354">
        <v>16</v>
      </c>
      <c r="O4354">
        <v>77.784000000000006</v>
      </c>
      <c r="P4354">
        <v>9.1255098889999999</v>
      </c>
      <c r="Q4354">
        <v>13.715999999999999</v>
      </c>
    </row>
    <row r="4355" spans="1:17" x14ac:dyDescent="0.2">
      <c r="A4355" s="30" t="str">
        <f>IF(C4355&amp;G4355&amp;D4355&lt;&gt;'Funnel setup'!$K$3&amp;'Funnel setup'!$K$4&amp;'Funnel setup'!$K$5,".",IF(A4354=".",1,A4354+1))</f>
        <v>.</v>
      </c>
      <c r="B4355" s="431" t="str">
        <f t="shared" ref="B4355:B4418" si="68">C4355&amp;D4355&amp;F4355&amp;G4355</f>
        <v>Knee Replacement PrimaryProviderEAST KENT HOSPITALS UNIVERSITY NHS FOUNDATION TRUST (RVV)EQ VAS</v>
      </c>
      <c r="C4355" t="s">
        <v>249</v>
      </c>
      <c r="D4355" t="s">
        <v>1</v>
      </c>
      <c r="E4355" t="s">
        <v>3820</v>
      </c>
      <c r="F4355" t="s">
        <v>3821</v>
      </c>
      <c r="G4355" t="s">
        <v>179</v>
      </c>
      <c r="H4355">
        <v>385</v>
      </c>
      <c r="I4355">
        <v>71.932000000000002</v>
      </c>
      <c r="J4355">
        <v>73.468000000000004</v>
      </c>
      <c r="K4355">
        <v>1.5349999999999999</v>
      </c>
      <c r="L4355">
        <v>170</v>
      </c>
      <c r="M4355">
        <v>62</v>
      </c>
      <c r="N4355">
        <v>153</v>
      </c>
      <c r="O4355">
        <v>72.518000000000001</v>
      </c>
      <c r="P4355">
        <v>3.859967342</v>
      </c>
      <c r="Q4355">
        <v>16.03</v>
      </c>
    </row>
    <row r="4356" spans="1:17" x14ac:dyDescent="0.2">
      <c r="A4356" s="30" t="str">
        <f>IF(C4356&amp;G4356&amp;D4356&lt;&gt;'Funnel setup'!$K$3&amp;'Funnel setup'!$K$4&amp;'Funnel setup'!$K$5,".",IF(A4355=".",1,A4355+1))</f>
        <v>.</v>
      </c>
      <c r="B4356" s="431" t="str">
        <f t="shared" si="68"/>
        <v>Knee Replacement PrimaryProviderEAST LANCASHIRE HOSPITALS NHS TRUST (RXR)EQ VAS</v>
      </c>
      <c r="C4356" t="s">
        <v>249</v>
      </c>
      <c r="D4356" t="s">
        <v>1</v>
      </c>
      <c r="E4356" t="s">
        <v>3823</v>
      </c>
      <c r="F4356" t="s">
        <v>3824</v>
      </c>
      <c r="G4356" t="s">
        <v>179</v>
      </c>
      <c r="H4356">
        <v>141</v>
      </c>
      <c r="I4356">
        <v>63.837000000000003</v>
      </c>
      <c r="J4356">
        <v>73.652000000000001</v>
      </c>
      <c r="K4356">
        <v>9.8160000000000007</v>
      </c>
      <c r="L4356">
        <v>84</v>
      </c>
      <c r="M4356">
        <v>13</v>
      </c>
      <c r="N4356">
        <v>44</v>
      </c>
      <c r="O4356">
        <v>76.88</v>
      </c>
      <c r="P4356">
        <v>8.2212721490000007</v>
      </c>
      <c r="Q4356">
        <v>16.902000000000001</v>
      </c>
    </row>
    <row r="4357" spans="1:17" x14ac:dyDescent="0.2">
      <c r="A4357" s="30" t="str">
        <f>IF(C4357&amp;G4357&amp;D4357&lt;&gt;'Funnel setup'!$K$3&amp;'Funnel setup'!$K$4&amp;'Funnel setup'!$K$5,".",IF(A4356=".",1,A4356+1))</f>
        <v>.</v>
      </c>
      <c r="B4357" s="431" t="str">
        <f t="shared" si="68"/>
        <v>Knee Replacement PrimaryProviderEAST SUSSEX HEALTHCARE NHS TRUST (RXC)EQ VAS</v>
      </c>
      <c r="C4357" t="s">
        <v>249</v>
      </c>
      <c r="D4357" t="s">
        <v>1</v>
      </c>
      <c r="E4357" t="s">
        <v>3826</v>
      </c>
      <c r="F4357" t="s">
        <v>3827</v>
      </c>
      <c r="G4357" t="s">
        <v>179</v>
      </c>
      <c r="H4357">
        <v>260</v>
      </c>
      <c r="I4357">
        <v>66.138000000000005</v>
      </c>
      <c r="J4357">
        <v>72.292000000000002</v>
      </c>
      <c r="K4357">
        <v>6.1539999999999999</v>
      </c>
      <c r="L4357">
        <v>153</v>
      </c>
      <c r="M4357">
        <v>29</v>
      </c>
      <c r="N4357">
        <v>78</v>
      </c>
      <c r="O4357">
        <v>73.873000000000005</v>
      </c>
      <c r="P4357">
        <v>5.2149967899999998</v>
      </c>
      <c r="Q4357">
        <v>15.204000000000001</v>
      </c>
    </row>
    <row r="4358" spans="1:17" x14ac:dyDescent="0.2">
      <c r="A4358" s="30" t="str">
        <f>IF(C4358&amp;G4358&amp;D4358&lt;&gt;'Funnel setup'!$K$3&amp;'Funnel setup'!$K$4&amp;'Funnel setup'!$K$5,".",IF(A4357=".",1,A4357+1))</f>
        <v>.</v>
      </c>
      <c r="B4358" s="431" t="str">
        <f t="shared" si="68"/>
        <v>Knee Replacement PrimaryProviderEMERSONS GREEN NHS TREATMENT CENTRE (NTPH2)EQ VAS</v>
      </c>
      <c r="C4358" t="s">
        <v>249</v>
      </c>
      <c r="D4358" t="s">
        <v>1</v>
      </c>
      <c r="E4358" t="s">
        <v>3829</v>
      </c>
      <c r="F4358" t="s">
        <v>3830</v>
      </c>
      <c r="G4358" t="s">
        <v>179</v>
      </c>
      <c r="H4358">
        <v>326</v>
      </c>
      <c r="I4358">
        <v>74.38</v>
      </c>
      <c r="J4358">
        <v>80.037000000000006</v>
      </c>
      <c r="K4358">
        <v>5.6559999999999997</v>
      </c>
      <c r="L4358">
        <v>180</v>
      </c>
      <c r="M4358">
        <v>45</v>
      </c>
      <c r="N4358">
        <v>101</v>
      </c>
      <c r="O4358">
        <v>75.909000000000006</v>
      </c>
      <c r="P4358">
        <v>7.2505034000000004</v>
      </c>
      <c r="Q4358">
        <v>12.771000000000001</v>
      </c>
    </row>
    <row r="4359" spans="1:17" x14ac:dyDescent="0.2">
      <c r="A4359" s="30" t="str">
        <f>IF(C4359&amp;G4359&amp;D4359&lt;&gt;'Funnel setup'!$K$3&amp;'Funnel setup'!$K$4&amp;'Funnel setup'!$K$5,".",IF(A4358=".",1,A4358+1))</f>
        <v>.</v>
      </c>
      <c r="B4359" s="431" t="str">
        <f t="shared" si="68"/>
        <v>Knee Replacement PrimaryProviderEPSOM AND ST HELIER UNIVERSITY HOSPITALS NHS TRUST (RVR)EQ VAS</v>
      </c>
      <c r="C4359" t="s">
        <v>249</v>
      </c>
      <c r="D4359" t="s">
        <v>1</v>
      </c>
      <c r="E4359" t="s">
        <v>3849</v>
      </c>
      <c r="F4359" t="s">
        <v>3850</v>
      </c>
      <c r="G4359" t="s">
        <v>179</v>
      </c>
      <c r="H4359">
        <v>419</v>
      </c>
      <c r="I4359">
        <v>68.561000000000007</v>
      </c>
      <c r="J4359">
        <v>74.84</v>
      </c>
      <c r="K4359">
        <v>6.2789999999999999</v>
      </c>
      <c r="L4359">
        <v>240</v>
      </c>
      <c r="M4359">
        <v>62</v>
      </c>
      <c r="N4359">
        <v>117</v>
      </c>
      <c r="O4359">
        <v>74.658000000000001</v>
      </c>
      <c r="P4359">
        <v>6.0000685349999996</v>
      </c>
      <c r="Q4359">
        <v>14.259</v>
      </c>
    </row>
    <row r="4360" spans="1:17" x14ac:dyDescent="0.2">
      <c r="A4360" s="30" t="str">
        <f>IF(C4360&amp;G4360&amp;D4360&lt;&gt;'Funnel setup'!$K$3&amp;'Funnel setup'!$K$4&amp;'Funnel setup'!$K$5,".",IF(A4359=".",1,A4359+1))</f>
        <v>.</v>
      </c>
      <c r="B4360" s="431" t="str">
        <f t="shared" si="68"/>
        <v>Knee Replacement PrimaryProviderEUXTON HALL HOSPITAL (NVC05)EQ VAS</v>
      </c>
      <c r="C4360" t="s">
        <v>249</v>
      </c>
      <c r="D4360" t="s">
        <v>1</v>
      </c>
      <c r="E4360" t="s">
        <v>3852</v>
      </c>
      <c r="F4360" t="s">
        <v>3853</v>
      </c>
      <c r="G4360" t="s">
        <v>179</v>
      </c>
      <c r="H4360">
        <v>85</v>
      </c>
      <c r="I4360">
        <v>73.259</v>
      </c>
      <c r="J4360">
        <v>78.965000000000003</v>
      </c>
      <c r="K4360">
        <v>5.7060000000000004</v>
      </c>
      <c r="L4360">
        <v>51</v>
      </c>
      <c r="M4360">
        <v>14</v>
      </c>
      <c r="N4360">
        <v>20</v>
      </c>
      <c r="O4360">
        <v>75.638000000000005</v>
      </c>
      <c r="P4360">
        <v>6.9799095170000003</v>
      </c>
      <c r="Q4360">
        <v>12.906000000000001</v>
      </c>
    </row>
    <row r="4361" spans="1:17" x14ac:dyDescent="0.2">
      <c r="A4361" s="30" t="str">
        <f>IF(C4361&amp;G4361&amp;D4361&lt;&gt;'Funnel setup'!$K$3&amp;'Funnel setup'!$K$4&amp;'Funnel setup'!$K$5,".",IF(A4360=".",1,A4360+1))</f>
        <v>.</v>
      </c>
      <c r="B4361" s="431" t="str">
        <f t="shared" si="68"/>
        <v>Knee Replacement PrimaryProviderFAIRFIELD HOSPITAL (NVG01)EQ VAS</v>
      </c>
      <c r="C4361" t="s">
        <v>249</v>
      </c>
      <c r="D4361" t="s">
        <v>1</v>
      </c>
      <c r="E4361" t="s">
        <v>3855</v>
      </c>
      <c r="F4361" t="s">
        <v>3856</v>
      </c>
      <c r="G4361" t="s">
        <v>179</v>
      </c>
      <c r="H4361">
        <v>7</v>
      </c>
      <c r="I4361">
        <v>60</v>
      </c>
      <c r="J4361">
        <v>67.143000000000001</v>
      </c>
      <c r="K4361">
        <v>7.1429999999999998</v>
      </c>
      <c r="L4361">
        <v>3</v>
      </c>
      <c r="M4361">
        <v>2</v>
      </c>
      <c r="N4361">
        <v>2</v>
      </c>
      <c r="O4361" t="s">
        <v>53</v>
      </c>
      <c r="P4361" t="s">
        <v>53</v>
      </c>
      <c r="Q4361" t="s">
        <v>53</v>
      </c>
    </row>
    <row r="4362" spans="1:17" x14ac:dyDescent="0.2">
      <c r="A4362" s="30" t="str">
        <f>IF(C4362&amp;G4362&amp;D4362&lt;&gt;'Funnel setup'!$K$3&amp;'Funnel setup'!$K$4&amp;'Funnel setup'!$K$5,".",IF(A4361=".",1,A4361+1))</f>
        <v>.</v>
      </c>
      <c r="B4362" s="431" t="str">
        <f t="shared" si="68"/>
        <v>Knee Replacement PrimaryProviderFITZWILLIAM HOSPITAL (NVC06)EQ VAS</v>
      </c>
      <c r="C4362" t="s">
        <v>249</v>
      </c>
      <c r="D4362" t="s">
        <v>1</v>
      </c>
      <c r="E4362" t="s">
        <v>3858</v>
      </c>
      <c r="F4362" t="s">
        <v>3859</v>
      </c>
      <c r="G4362" t="s">
        <v>179</v>
      </c>
      <c r="H4362">
        <v>123</v>
      </c>
      <c r="I4362">
        <v>73.584999999999994</v>
      </c>
      <c r="J4362">
        <v>77.552999999999997</v>
      </c>
      <c r="K4362">
        <v>3.9670000000000001</v>
      </c>
      <c r="L4362">
        <v>69</v>
      </c>
      <c r="M4362">
        <v>16</v>
      </c>
      <c r="N4362">
        <v>38</v>
      </c>
      <c r="O4362">
        <v>74.566999999999993</v>
      </c>
      <c r="P4362">
        <v>5.9085135119999999</v>
      </c>
      <c r="Q4362">
        <v>14.595000000000001</v>
      </c>
    </row>
    <row r="4363" spans="1:17" x14ac:dyDescent="0.2">
      <c r="A4363" s="30" t="str">
        <f>IF(C4363&amp;G4363&amp;D4363&lt;&gt;'Funnel setup'!$K$3&amp;'Funnel setup'!$K$4&amp;'Funnel setup'!$K$5,".",IF(A4362=".",1,A4362+1))</f>
        <v>.</v>
      </c>
      <c r="B4363" s="431" t="str">
        <f t="shared" si="68"/>
        <v>Knee Replacement PrimaryProviderFOSCOTE COURT (BANBURY) TRUST LTD (AHH)EQ VAS</v>
      </c>
      <c r="C4363" t="s">
        <v>249</v>
      </c>
      <c r="D4363" t="s">
        <v>1</v>
      </c>
      <c r="E4363" t="s">
        <v>3900</v>
      </c>
      <c r="F4363" t="s">
        <v>3901</v>
      </c>
      <c r="G4363" t="s">
        <v>179</v>
      </c>
      <c r="H4363" t="s">
        <v>53</v>
      </c>
      <c r="I4363" t="s">
        <v>53</v>
      </c>
      <c r="J4363" t="s">
        <v>53</v>
      </c>
      <c r="K4363" t="s">
        <v>53</v>
      </c>
      <c r="L4363" t="s">
        <v>53</v>
      </c>
      <c r="M4363" t="s">
        <v>53</v>
      </c>
      <c r="N4363" t="s">
        <v>53</v>
      </c>
      <c r="O4363" t="s">
        <v>53</v>
      </c>
      <c r="P4363" t="s">
        <v>53</v>
      </c>
      <c r="Q4363" t="s">
        <v>53</v>
      </c>
    </row>
    <row r="4364" spans="1:17" x14ac:dyDescent="0.2">
      <c r="A4364" s="30" t="str">
        <f>IF(C4364&amp;G4364&amp;D4364&lt;&gt;'Funnel setup'!$K$3&amp;'Funnel setup'!$K$4&amp;'Funnel setup'!$K$5,".",IF(A4363=".",1,A4363+1))</f>
        <v>.</v>
      </c>
      <c r="B4364" s="431" t="str">
        <f t="shared" si="68"/>
        <v>Knee Replacement PrimaryProviderFRIMLEY HEALTH NHS FOUNDATION TRUST (RDU)EQ VAS</v>
      </c>
      <c r="C4364" t="s">
        <v>249</v>
      </c>
      <c r="D4364" t="s">
        <v>1</v>
      </c>
      <c r="E4364" t="s">
        <v>3861</v>
      </c>
      <c r="F4364" t="s">
        <v>3862</v>
      </c>
      <c r="G4364" t="s">
        <v>179</v>
      </c>
      <c r="H4364">
        <v>405</v>
      </c>
      <c r="I4364">
        <v>69.763000000000005</v>
      </c>
      <c r="J4364">
        <v>74.319000000000003</v>
      </c>
      <c r="K4364">
        <v>4.556</v>
      </c>
      <c r="L4364">
        <v>214</v>
      </c>
      <c r="M4364">
        <v>53</v>
      </c>
      <c r="N4364">
        <v>138</v>
      </c>
      <c r="O4364">
        <v>73.078000000000003</v>
      </c>
      <c r="P4364">
        <v>4.4195727829999996</v>
      </c>
      <c r="Q4364">
        <v>14.756</v>
      </c>
    </row>
    <row r="4365" spans="1:17" x14ac:dyDescent="0.2">
      <c r="A4365" s="30" t="str">
        <f>IF(C4365&amp;G4365&amp;D4365&lt;&gt;'Funnel setup'!$K$3&amp;'Funnel setup'!$K$4&amp;'Funnel setup'!$K$5,".",IF(A4364=".",1,A4364+1))</f>
        <v>.</v>
      </c>
      <c r="B4365" s="431" t="str">
        <f t="shared" si="68"/>
        <v>Knee Replacement PrimaryProviderFULWOOD HALL HOSPITAL (NVC07)EQ VAS</v>
      </c>
      <c r="C4365" t="s">
        <v>249</v>
      </c>
      <c r="D4365" t="s">
        <v>1</v>
      </c>
      <c r="E4365" t="s">
        <v>3864</v>
      </c>
      <c r="F4365" t="s">
        <v>3865</v>
      </c>
      <c r="G4365" t="s">
        <v>179</v>
      </c>
      <c r="H4365">
        <v>203</v>
      </c>
      <c r="I4365">
        <v>70.802999999999997</v>
      </c>
      <c r="J4365">
        <v>76.201999999999998</v>
      </c>
      <c r="K4365">
        <v>5.399</v>
      </c>
      <c r="L4365">
        <v>110</v>
      </c>
      <c r="M4365">
        <v>32</v>
      </c>
      <c r="N4365">
        <v>61</v>
      </c>
      <c r="O4365">
        <v>74.474999999999994</v>
      </c>
      <c r="P4365">
        <v>5.816637074</v>
      </c>
      <c r="Q4365">
        <v>14.093</v>
      </c>
    </row>
    <row r="4366" spans="1:17" x14ac:dyDescent="0.2">
      <c r="A4366" s="30" t="str">
        <f>IF(C4366&amp;G4366&amp;D4366&lt;&gt;'Funnel setup'!$K$3&amp;'Funnel setup'!$K$4&amp;'Funnel setup'!$K$5,".",IF(A4365=".",1,A4365+1))</f>
        <v>.</v>
      </c>
      <c r="B4366" s="431" t="str">
        <f t="shared" si="68"/>
        <v>Knee Replacement PrimaryProviderGATESHEAD HEALTH NHS FOUNDATION TRUST (RR7)EQ VAS</v>
      </c>
      <c r="C4366" t="s">
        <v>249</v>
      </c>
      <c r="D4366" t="s">
        <v>1</v>
      </c>
      <c r="E4366" t="s">
        <v>3867</v>
      </c>
      <c r="F4366" t="s">
        <v>3868</v>
      </c>
      <c r="G4366" t="s">
        <v>179</v>
      </c>
      <c r="H4366">
        <v>256</v>
      </c>
      <c r="I4366">
        <v>69.512</v>
      </c>
      <c r="J4366">
        <v>71.301000000000002</v>
      </c>
      <c r="K4366">
        <v>1.7889999999999999</v>
      </c>
      <c r="L4366">
        <v>119</v>
      </c>
      <c r="M4366">
        <v>32</v>
      </c>
      <c r="N4366">
        <v>105</v>
      </c>
      <c r="O4366">
        <v>71.941000000000003</v>
      </c>
      <c r="P4366">
        <v>3.2825928599999998</v>
      </c>
      <c r="Q4366">
        <v>16.018999999999998</v>
      </c>
    </row>
    <row r="4367" spans="1:17" x14ac:dyDescent="0.2">
      <c r="A4367" s="30" t="str">
        <f>IF(C4367&amp;G4367&amp;D4367&lt;&gt;'Funnel setup'!$K$3&amp;'Funnel setup'!$K$4&amp;'Funnel setup'!$K$5,".",IF(A4366=".",1,A4366+1))</f>
        <v>.</v>
      </c>
      <c r="B4367" s="431" t="str">
        <f t="shared" si="68"/>
        <v>Knee Replacement PrimaryProviderGEORGE ELIOT HOSPITAL NHS TRUST (RLT)EQ VAS</v>
      </c>
      <c r="C4367" t="s">
        <v>249</v>
      </c>
      <c r="D4367" t="s">
        <v>1</v>
      </c>
      <c r="E4367" t="s">
        <v>3870</v>
      </c>
      <c r="F4367" t="s">
        <v>3871</v>
      </c>
      <c r="G4367" t="s">
        <v>179</v>
      </c>
      <c r="H4367">
        <v>40</v>
      </c>
      <c r="I4367">
        <v>65.974999999999994</v>
      </c>
      <c r="J4367">
        <v>71.400000000000006</v>
      </c>
      <c r="K4367">
        <v>5.4249999999999998</v>
      </c>
      <c r="L4367">
        <v>23</v>
      </c>
      <c r="M4367">
        <v>4</v>
      </c>
      <c r="N4367">
        <v>13</v>
      </c>
      <c r="O4367">
        <v>73.465000000000003</v>
      </c>
      <c r="P4367">
        <v>4.8064609750000002</v>
      </c>
      <c r="Q4367">
        <v>17.292999999999999</v>
      </c>
    </row>
    <row r="4368" spans="1:17" x14ac:dyDescent="0.2">
      <c r="A4368" s="30" t="str">
        <f>IF(C4368&amp;G4368&amp;D4368&lt;&gt;'Funnel setup'!$K$3&amp;'Funnel setup'!$K$4&amp;'Funnel setup'!$K$5,".",IF(A4367=".",1,A4367+1))</f>
        <v>.</v>
      </c>
      <c r="B4368" s="431" t="str">
        <f t="shared" si="68"/>
        <v>Knee Replacement PrimaryProviderGLOUCESTERSHIRE HOSPITALS NHS FOUNDATION TRUST (RTE)EQ VAS</v>
      </c>
      <c r="C4368" t="s">
        <v>249</v>
      </c>
      <c r="D4368" t="s">
        <v>1</v>
      </c>
      <c r="E4368" t="s">
        <v>3873</v>
      </c>
      <c r="F4368" t="s">
        <v>3874</v>
      </c>
      <c r="G4368" t="s">
        <v>179</v>
      </c>
      <c r="H4368">
        <v>287</v>
      </c>
      <c r="I4368">
        <v>72.671999999999997</v>
      </c>
      <c r="J4368">
        <v>75.954999999999998</v>
      </c>
      <c r="K4368">
        <v>3.282</v>
      </c>
      <c r="L4368">
        <v>146</v>
      </c>
      <c r="M4368">
        <v>39</v>
      </c>
      <c r="N4368">
        <v>102</v>
      </c>
      <c r="O4368">
        <v>73.725999999999999</v>
      </c>
      <c r="P4368">
        <v>5.0673303250000004</v>
      </c>
      <c r="Q4368">
        <v>15.621</v>
      </c>
    </row>
    <row r="4369" spans="1:17" x14ac:dyDescent="0.2">
      <c r="A4369" s="30" t="str">
        <f>IF(C4369&amp;G4369&amp;D4369&lt;&gt;'Funnel setup'!$K$3&amp;'Funnel setup'!$K$4&amp;'Funnel setup'!$K$5,".",IF(A4368=".",1,A4368+1))</f>
        <v>.</v>
      </c>
      <c r="B4369" s="431" t="str">
        <f t="shared" si="68"/>
        <v>Knee Replacement PrimaryProviderGREAT WESTERN HOSPITALS NHS FOUNDATION TRUST (RN3)EQ VAS</v>
      </c>
      <c r="C4369" t="s">
        <v>249</v>
      </c>
      <c r="D4369" t="s">
        <v>1</v>
      </c>
      <c r="E4369" t="s">
        <v>3876</v>
      </c>
      <c r="F4369" t="s">
        <v>3877</v>
      </c>
      <c r="G4369" t="s">
        <v>179</v>
      </c>
      <c r="H4369">
        <v>208</v>
      </c>
      <c r="I4369">
        <v>70.912999999999997</v>
      </c>
      <c r="J4369">
        <v>74.808000000000007</v>
      </c>
      <c r="K4369">
        <v>3.8940000000000001</v>
      </c>
      <c r="L4369">
        <v>113</v>
      </c>
      <c r="M4369">
        <v>22</v>
      </c>
      <c r="N4369">
        <v>73</v>
      </c>
      <c r="O4369">
        <v>73.918000000000006</v>
      </c>
      <c r="P4369">
        <v>5.2591947279999998</v>
      </c>
      <c r="Q4369">
        <v>17.609000000000002</v>
      </c>
    </row>
    <row r="4370" spans="1:17" x14ac:dyDescent="0.2">
      <c r="A4370" s="30" t="str">
        <f>IF(C4370&amp;G4370&amp;D4370&lt;&gt;'Funnel setup'!$K$3&amp;'Funnel setup'!$K$4&amp;'Funnel setup'!$K$5,".",IF(A4369=".",1,A4369+1))</f>
        <v>.</v>
      </c>
      <c r="B4370" s="431" t="str">
        <f t="shared" si="68"/>
        <v>Knee Replacement PrimaryProviderGUY'S AND ST THOMAS' NHS FOUNDATION TRUST (RJ1)EQ VAS</v>
      </c>
      <c r="C4370" t="s">
        <v>249</v>
      </c>
      <c r="D4370" t="s">
        <v>1</v>
      </c>
      <c r="E4370" t="s">
        <v>3879</v>
      </c>
      <c r="F4370" t="s">
        <v>3880</v>
      </c>
      <c r="G4370" t="s">
        <v>179</v>
      </c>
      <c r="H4370">
        <v>96</v>
      </c>
      <c r="I4370">
        <v>62.313000000000002</v>
      </c>
      <c r="J4370">
        <v>70.322999999999993</v>
      </c>
      <c r="K4370">
        <v>8.01</v>
      </c>
      <c r="L4370">
        <v>57</v>
      </c>
      <c r="M4370">
        <v>15</v>
      </c>
      <c r="N4370">
        <v>24</v>
      </c>
      <c r="O4370">
        <v>74.742999999999995</v>
      </c>
      <c r="P4370">
        <v>6.0843964509999999</v>
      </c>
      <c r="Q4370">
        <v>15.602</v>
      </c>
    </row>
    <row r="4371" spans="1:17" x14ac:dyDescent="0.2">
      <c r="A4371" s="30" t="str">
        <f>IF(C4371&amp;G4371&amp;D4371&lt;&gt;'Funnel setup'!$K$3&amp;'Funnel setup'!$K$4&amp;'Funnel setup'!$K$5,".",IF(A4370=".",1,A4370+1))</f>
        <v>.</v>
      </c>
      <c r="B4371" s="431" t="str">
        <f t="shared" si="68"/>
        <v>Knee Replacement PrimaryProviderHAMPSHIRE HOSPITALS NHS FOUNDATION TRUST (RN5)EQ VAS</v>
      </c>
      <c r="C4371" t="s">
        <v>249</v>
      </c>
      <c r="D4371" t="s">
        <v>1</v>
      </c>
      <c r="E4371" t="s">
        <v>3882</v>
      </c>
      <c r="F4371" t="s">
        <v>3883</v>
      </c>
      <c r="G4371" t="s">
        <v>179</v>
      </c>
      <c r="H4371">
        <v>248</v>
      </c>
      <c r="I4371">
        <v>72.766000000000005</v>
      </c>
      <c r="J4371">
        <v>75.322999999999993</v>
      </c>
      <c r="K4371">
        <v>2.556</v>
      </c>
      <c r="L4371">
        <v>124</v>
      </c>
      <c r="M4371">
        <v>39</v>
      </c>
      <c r="N4371">
        <v>85</v>
      </c>
      <c r="O4371">
        <v>73.138000000000005</v>
      </c>
      <c r="P4371">
        <v>4.47983932</v>
      </c>
      <c r="Q4371">
        <v>14.175000000000001</v>
      </c>
    </row>
    <row r="4372" spans="1:17" x14ac:dyDescent="0.2">
      <c r="A4372" s="30" t="str">
        <f>IF(C4372&amp;G4372&amp;D4372&lt;&gt;'Funnel setup'!$K$3&amp;'Funnel setup'!$K$4&amp;'Funnel setup'!$K$5,".",IF(A4371=".",1,A4371+1))</f>
        <v>.</v>
      </c>
      <c r="B4372" s="431" t="str">
        <f t="shared" si="68"/>
        <v>Knee Replacement PrimaryProviderHARROGATE AND DISTRICT NHS FOUNDATION TRUST (RCD)EQ VAS</v>
      </c>
      <c r="C4372" t="s">
        <v>249</v>
      </c>
      <c r="D4372" t="s">
        <v>1</v>
      </c>
      <c r="E4372" t="s">
        <v>3885</v>
      </c>
      <c r="F4372" t="s">
        <v>3886</v>
      </c>
      <c r="G4372" t="s">
        <v>179</v>
      </c>
      <c r="H4372">
        <v>197</v>
      </c>
      <c r="I4372">
        <v>72.492000000000004</v>
      </c>
      <c r="J4372">
        <v>77.471999999999994</v>
      </c>
      <c r="K4372">
        <v>4.9800000000000004</v>
      </c>
      <c r="L4372">
        <v>110</v>
      </c>
      <c r="M4372">
        <v>34</v>
      </c>
      <c r="N4372">
        <v>53</v>
      </c>
      <c r="O4372">
        <v>74.781000000000006</v>
      </c>
      <c r="P4372">
        <v>6.1223484959999999</v>
      </c>
      <c r="Q4372">
        <v>13.653</v>
      </c>
    </row>
    <row r="4373" spans="1:17" x14ac:dyDescent="0.2">
      <c r="A4373" s="30" t="str">
        <f>IF(C4373&amp;G4373&amp;D4373&lt;&gt;'Funnel setup'!$K$3&amp;'Funnel setup'!$K$4&amp;'Funnel setup'!$K$5,".",IF(A4372=".",1,A4372+1))</f>
        <v>.</v>
      </c>
      <c r="B4373" s="431" t="str">
        <f t="shared" si="68"/>
        <v>Knee Replacement PrimaryProviderHEART OF ENGLAND NHS FOUNDATION TRUST (RR1)EQ VAS</v>
      </c>
      <c r="C4373" t="s">
        <v>249</v>
      </c>
      <c r="D4373" t="s">
        <v>1</v>
      </c>
      <c r="E4373" t="s">
        <v>3888</v>
      </c>
      <c r="F4373" t="s">
        <v>3889</v>
      </c>
      <c r="G4373" t="s">
        <v>179</v>
      </c>
      <c r="H4373">
        <v>466</v>
      </c>
      <c r="I4373">
        <v>65.369</v>
      </c>
      <c r="J4373">
        <v>72.403000000000006</v>
      </c>
      <c r="K4373">
        <v>7.0339999999999998</v>
      </c>
      <c r="L4373">
        <v>275</v>
      </c>
      <c r="M4373">
        <v>51</v>
      </c>
      <c r="N4373">
        <v>140</v>
      </c>
      <c r="O4373">
        <v>74.58</v>
      </c>
      <c r="P4373">
        <v>5.9213488080000003</v>
      </c>
      <c r="Q4373">
        <v>18.030999999999999</v>
      </c>
    </row>
    <row r="4374" spans="1:17" x14ac:dyDescent="0.2">
      <c r="A4374" s="30" t="str">
        <f>IF(C4374&amp;G4374&amp;D4374&lt;&gt;'Funnel setup'!$K$3&amp;'Funnel setup'!$K$4&amp;'Funnel setup'!$K$5,".",IF(A4373=".",1,A4373+1))</f>
        <v>.</v>
      </c>
      <c r="B4374" s="431" t="str">
        <f t="shared" si="68"/>
        <v>Knee Replacement PrimaryProviderHINCHINGBROOKE HEALTH CARE NHS TRUST (RQQ)EQ VAS</v>
      </c>
      <c r="C4374" t="s">
        <v>249</v>
      </c>
      <c r="D4374" t="s">
        <v>1</v>
      </c>
      <c r="E4374" t="s">
        <v>3894</v>
      </c>
      <c r="F4374" t="s">
        <v>3895</v>
      </c>
      <c r="G4374" t="s">
        <v>179</v>
      </c>
      <c r="H4374">
        <v>171</v>
      </c>
      <c r="I4374">
        <v>66.724999999999994</v>
      </c>
      <c r="J4374">
        <v>75.105000000000004</v>
      </c>
      <c r="K4374">
        <v>8.3800000000000008</v>
      </c>
      <c r="L4374">
        <v>109</v>
      </c>
      <c r="M4374">
        <v>16</v>
      </c>
      <c r="N4374">
        <v>46</v>
      </c>
      <c r="O4374">
        <v>75.765000000000001</v>
      </c>
      <c r="P4374">
        <v>7.1068238629999998</v>
      </c>
      <c r="Q4374">
        <v>14.913</v>
      </c>
    </row>
    <row r="4375" spans="1:17" x14ac:dyDescent="0.2">
      <c r="A4375" s="30" t="str">
        <f>IF(C4375&amp;G4375&amp;D4375&lt;&gt;'Funnel setup'!$K$3&amp;'Funnel setup'!$K$4&amp;'Funnel setup'!$K$5,".",IF(A4374=".",1,A4374+1))</f>
        <v>.</v>
      </c>
      <c r="B4375" s="431" t="str">
        <f t="shared" si="68"/>
        <v>Knee Replacement PrimaryProviderHOMERTON UNIVERSITY HOSPITAL NHS FOUNDATION TRUST (RQX)EQ VAS</v>
      </c>
      <c r="C4375" t="s">
        <v>249</v>
      </c>
      <c r="D4375" t="s">
        <v>1</v>
      </c>
      <c r="E4375" t="s">
        <v>3897</v>
      </c>
      <c r="F4375" t="s">
        <v>3898</v>
      </c>
      <c r="G4375" t="s">
        <v>179</v>
      </c>
      <c r="H4375">
        <v>52</v>
      </c>
      <c r="I4375">
        <v>59.981000000000002</v>
      </c>
      <c r="J4375">
        <v>62.5</v>
      </c>
      <c r="K4375">
        <v>2.5190000000000001</v>
      </c>
      <c r="L4375">
        <v>24</v>
      </c>
      <c r="M4375">
        <v>5</v>
      </c>
      <c r="N4375">
        <v>23</v>
      </c>
      <c r="O4375">
        <v>70.361999999999995</v>
      </c>
      <c r="P4375">
        <v>1.704152479</v>
      </c>
      <c r="Q4375">
        <v>16.481999999999999</v>
      </c>
    </row>
    <row r="4376" spans="1:17" x14ac:dyDescent="0.2">
      <c r="A4376" s="30" t="str">
        <f>IF(C4376&amp;G4376&amp;D4376&lt;&gt;'Funnel setup'!$K$3&amp;'Funnel setup'!$K$4&amp;'Funnel setup'!$K$5,".",IF(A4375=".",1,A4375+1))</f>
        <v>.</v>
      </c>
      <c r="B4376" s="431" t="str">
        <f t="shared" si="68"/>
        <v>Knee Replacement PrimaryProviderHORTON NHS TREATMENT CENTRE (NVC25)EQ VAS</v>
      </c>
      <c r="C4376" t="s">
        <v>249</v>
      </c>
      <c r="D4376" t="s">
        <v>1</v>
      </c>
      <c r="E4376" t="s">
        <v>4553</v>
      </c>
      <c r="F4376" t="s">
        <v>4554</v>
      </c>
      <c r="G4376" t="s">
        <v>179</v>
      </c>
      <c r="H4376">
        <v>138</v>
      </c>
      <c r="I4376">
        <v>69.108999999999995</v>
      </c>
      <c r="J4376">
        <v>76.819000000000003</v>
      </c>
      <c r="K4376">
        <v>7.71</v>
      </c>
      <c r="L4376">
        <v>81</v>
      </c>
      <c r="M4376">
        <v>13</v>
      </c>
      <c r="N4376">
        <v>44</v>
      </c>
      <c r="O4376">
        <v>74.680999999999997</v>
      </c>
      <c r="P4376">
        <v>6.0229069429999997</v>
      </c>
      <c r="Q4376">
        <v>16.475999999999999</v>
      </c>
    </row>
    <row r="4377" spans="1:17" x14ac:dyDescent="0.2">
      <c r="A4377" s="30" t="str">
        <f>IF(C4377&amp;G4377&amp;D4377&lt;&gt;'Funnel setup'!$K$3&amp;'Funnel setup'!$K$4&amp;'Funnel setup'!$K$5,".",IF(A4376=".",1,A4376+1))</f>
        <v>.</v>
      </c>
      <c r="B4377" s="431" t="str">
        <f t="shared" si="68"/>
        <v>Knee Replacement PrimaryProviderHULL AND EAST YORKSHIRE HOSPITALS NHS TRUST (RWA)EQ VAS</v>
      </c>
      <c r="C4377" t="s">
        <v>249</v>
      </c>
      <c r="D4377" t="s">
        <v>1</v>
      </c>
      <c r="E4377" t="s">
        <v>3906</v>
      </c>
      <c r="F4377" t="s">
        <v>3907</v>
      </c>
      <c r="G4377" t="s">
        <v>179</v>
      </c>
      <c r="H4377">
        <v>247</v>
      </c>
      <c r="I4377">
        <v>64.494</v>
      </c>
      <c r="J4377">
        <v>70.98</v>
      </c>
      <c r="K4377">
        <v>6.4859999999999998</v>
      </c>
      <c r="L4377">
        <v>142</v>
      </c>
      <c r="M4377">
        <v>25</v>
      </c>
      <c r="N4377">
        <v>80</v>
      </c>
      <c r="O4377">
        <v>72.825999999999993</v>
      </c>
      <c r="P4377">
        <v>4.1677350889999998</v>
      </c>
      <c r="Q4377">
        <v>16.712</v>
      </c>
    </row>
    <row r="4378" spans="1:17" x14ac:dyDescent="0.2">
      <c r="A4378" s="30" t="str">
        <f>IF(C4378&amp;G4378&amp;D4378&lt;&gt;'Funnel setup'!$K$3&amp;'Funnel setup'!$K$4&amp;'Funnel setup'!$K$5,".",IF(A4377=".",1,A4377+1))</f>
        <v>.</v>
      </c>
      <c r="B4378" s="431" t="str">
        <f t="shared" si="68"/>
        <v>Knee Replacement PrimaryProviderIMPERIAL COLLEGE HEALTHCARE NHS TRUST (RYJ)EQ VAS</v>
      </c>
      <c r="C4378" t="s">
        <v>249</v>
      </c>
      <c r="D4378" t="s">
        <v>1</v>
      </c>
      <c r="E4378" t="s">
        <v>4558</v>
      </c>
      <c r="F4378" t="s">
        <v>4559</v>
      </c>
      <c r="G4378" t="s">
        <v>179</v>
      </c>
      <c r="H4378">
        <v>54</v>
      </c>
      <c r="I4378">
        <v>60.259</v>
      </c>
      <c r="J4378">
        <v>74.147999999999996</v>
      </c>
      <c r="K4378">
        <v>13.888999999999999</v>
      </c>
      <c r="L4378">
        <v>37</v>
      </c>
      <c r="M4378">
        <v>7</v>
      </c>
      <c r="N4378">
        <v>10</v>
      </c>
      <c r="O4378">
        <v>79.373999999999995</v>
      </c>
      <c r="P4378">
        <v>10.716096739999999</v>
      </c>
      <c r="Q4378">
        <v>15.422000000000001</v>
      </c>
    </row>
    <row r="4379" spans="1:17" x14ac:dyDescent="0.2">
      <c r="A4379" s="30" t="str">
        <f>IF(C4379&amp;G4379&amp;D4379&lt;&gt;'Funnel setup'!$K$3&amp;'Funnel setup'!$K$4&amp;'Funnel setup'!$K$5,".",IF(A4378=".",1,A4378+1))</f>
        <v>.</v>
      </c>
      <c r="B4379" s="431" t="str">
        <f t="shared" si="68"/>
        <v>Knee Replacement PrimaryProviderIPSWICH HOSPITAL NHS TRUST (RGQ)EQ VAS</v>
      </c>
      <c r="C4379" t="s">
        <v>249</v>
      </c>
      <c r="D4379" t="s">
        <v>1</v>
      </c>
      <c r="E4379" t="s">
        <v>3909</v>
      </c>
      <c r="F4379" t="s">
        <v>3910</v>
      </c>
      <c r="G4379" t="s">
        <v>179</v>
      </c>
      <c r="H4379">
        <v>105</v>
      </c>
      <c r="I4379">
        <v>72.876000000000005</v>
      </c>
      <c r="J4379">
        <v>79.19</v>
      </c>
      <c r="K4379">
        <v>6.3140000000000001</v>
      </c>
      <c r="L4379">
        <v>55</v>
      </c>
      <c r="M4379">
        <v>22</v>
      </c>
      <c r="N4379">
        <v>28</v>
      </c>
      <c r="O4379">
        <v>76.981999999999999</v>
      </c>
      <c r="P4379">
        <v>8.3238093210000006</v>
      </c>
      <c r="Q4379">
        <v>12.667999999999999</v>
      </c>
    </row>
    <row r="4380" spans="1:17" x14ac:dyDescent="0.2">
      <c r="A4380" s="30" t="str">
        <f>IF(C4380&amp;G4380&amp;D4380&lt;&gt;'Funnel setup'!$K$3&amp;'Funnel setup'!$K$4&amp;'Funnel setup'!$K$5,".",IF(A4379=".",1,A4379+1))</f>
        <v>.</v>
      </c>
      <c r="B4380" s="431" t="str">
        <f t="shared" si="68"/>
        <v>Knee Replacement PrimaryProviderISLE OF WIGHT NHS TRUST (R1F)EQ VAS</v>
      </c>
      <c r="C4380" t="s">
        <v>249</v>
      </c>
      <c r="D4380" t="s">
        <v>1</v>
      </c>
      <c r="E4380" t="s">
        <v>3912</v>
      </c>
      <c r="F4380" t="s">
        <v>3913</v>
      </c>
      <c r="G4380" t="s">
        <v>179</v>
      </c>
      <c r="H4380">
        <v>80</v>
      </c>
      <c r="I4380">
        <v>68.938000000000002</v>
      </c>
      <c r="J4380">
        <v>74.162000000000006</v>
      </c>
      <c r="K4380">
        <v>5.2249999999999996</v>
      </c>
      <c r="L4380">
        <v>40</v>
      </c>
      <c r="M4380">
        <v>10</v>
      </c>
      <c r="N4380">
        <v>30</v>
      </c>
      <c r="O4380">
        <v>74.427000000000007</v>
      </c>
      <c r="P4380">
        <v>5.7685953339999996</v>
      </c>
      <c r="Q4380">
        <v>15.631</v>
      </c>
    </row>
    <row r="4381" spans="1:17" x14ac:dyDescent="0.2">
      <c r="A4381" s="30" t="str">
        <f>IF(C4381&amp;G4381&amp;D4381&lt;&gt;'Funnel setup'!$K$3&amp;'Funnel setup'!$K$4&amp;'Funnel setup'!$K$5,".",IF(A4380=".",1,A4380+1))</f>
        <v>.</v>
      </c>
      <c r="B4381" s="431" t="str">
        <f t="shared" si="68"/>
        <v>Knee Replacement PrimaryProviderJAMES PAGET UNIVERSITY HOSPITALS NHS FOUNDATION TRUST (RGP)EQ VAS</v>
      </c>
      <c r="C4381" t="s">
        <v>249</v>
      </c>
      <c r="D4381" t="s">
        <v>1</v>
      </c>
      <c r="E4381" t="s">
        <v>3915</v>
      </c>
      <c r="F4381" t="s">
        <v>3916</v>
      </c>
      <c r="G4381" t="s">
        <v>179</v>
      </c>
      <c r="H4381">
        <v>159</v>
      </c>
      <c r="I4381">
        <v>68.629000000000005</v>
      </c>
      <c r="J4381">
        <v>73.811000000000007</v>
      </c>
      <c r="K4381">
        <v>5.1820000000000004</v>
      </c>
      <c r="L4381">
        <v>92</v>
      </c>
      <c r="M4381">
        <v>19</v>
      </c>
      <c r="N4381">
        <v>48</v>
      </c>
      <c r="O4381">
        <v>74.411000000000001</v>
      </c>
      <c r="P4381">
        <v>5.7528399459999999</v>
      </c>
      <c r="Q4381">
        <v>13.538</v>
      </c>
    </row>
    <row r="4382" spans="1:17" x14ac:dyDescent="0.2">
      <c r="A4382" s="30" t="str">
        <f>IF(C4382&amp;G4382&amp;D4382&lt;&gt;'Funnel setup'!$K$3&amp;'Funnel setup'!$K$4&amp;'Funnel setup'!$K$5,".",IF(A4381=".",1,A4381+1))</f>
        <v>.</v>
      </c>
      <c r="B4382" s="431" t="str">
        <f t="shared" si="68"/>
        <v>Knee Replacement PrimaryProviderKETTERING GENERAL HOSPITAL NHS FOUNDATION TRUST (RNQ)EQ VAS</v>
      </c>
      <c r="C4382" t="s">
        <v>249</v>
      </c>
      <c r="D4382" t="s">
        <v>1</v>
      </c>
      <c r="E4382" t="s">
        <v>3918</v>
      </c>
      <c r="F4382" t="s">
        <v>3919</v>
      </c>
      <c r="G4382" t="s">
        <v>179</v>
      </c>
      <c r="H4382">
        <v>86</v>
      </c>
      <c r="I4382">
        <v>64.894999999999996</v>
      </c>
      <c r="J4382">
        <v>75.418999999999997</v>
      </c>
      <c r="K4382">
        <v>10.523</v>
      </c>
      <c r="L4382">
        <v>52</v>
      </c>
      <c r="M4382">
        <v>14</v>
      </c>
      <c r="N4382">
        <v>20</v>
      </c>
      <c r="O4382">
        <v>78.561999999999998</v>
      </c>
      <c r="P4382">
        <v>9.903784022</v>
      </c>
      <c r="Q4382">
        <v>16.466000000000001</v>
      </c>
    </row>
    <row r="4383" spans="1:17" x14ac:dyDescent="0.2">
      <c r="A4383" s="30" t="str">
        <f>IF(C4383&amp;G4383&amp;D4383&lt;&gt;'Funnel setup'!$K$3&amp;'Funnel setup'!$K$4&amp;'Funnel setup'!$K$5,".",IF(A4382=".",1,A4382+1))</f>
        <v>.</v>
      </c>
      <c r="B4383" s="431" t="str">
        <f t="shared" si="68"/>
        <v>Knee Replacement PrimaryProviderKING'S COLLEGE HOSPITAL NHS FOUNDATION TRUST (RJZ)EQ VAS</v>
      </c>
      <c r="C4383" t="s">
        <v>249</v>
      </c>
      <c r="D4383" t="s">
        <v>1</v>
      </c>
      <c r="E4383" t="s">
        <v>3924</v>
      </c>
      <c r="F4383" t="s">
        <v>3925</v>
      </c>
      <c r="G4383" t="s">
        <v>179</v>
      </c>
      <c r="H4383">
        <v>129</v>
      </c>
      <c r="I4383">
        <v>66.256</v>
      </c>
      <c r="J4383">
        <v>71.728999999999999</v>
      </c>
      <c r="K4383">
        <v>5.4729999999999999</v>
      </c>
      <c r="L4383">
        <v>70</v>
      </c>
      <c r="M4383">
        <v>15</v>
      </c>
      <c r="N4383">
        <v>44</v>
      </c>
      <c r="O4383">
        <v>72.382000000000005</v>
      </c>
      <c r="P4383">
        <v>3.7239541219999999</v>
      </c>
      <c r="Q4383">
        <v>16.155000000000001</v>
      </c>
    </row>
    <row r="4384" spans="1:17" x14ac:dyDescent="0.2">
      <c r="A4384" s="30" t="str">
        <f>IF(C4384&amp;G4384&amp;D4384&lt;&gt;'Funnel setup'!$K$3&amp;'Funnel setup'!$K$4&amp;'Funnel setup'!$K$5,".",IF(A4383=".",1,A4383+1))</f>
        <v>.</v>
      </c>
      <c r="B4384" s="431" t="str">
        <f t="shared" si="68"/>
        <v>Knee Replacement PrimaryProviderLANCASHIRE TEACHING HOSPITALS NHS FOUNDATION TRUST (RXN)EQ VAS</v>
      </c>
      <c r="C4384" t="s">
        <v>249</v>
      </c>
      <c r="D4384" t="s">
        <v>1</v>
      </c>
      <c r="E4384" t="s">
        <v>3567</v>
      </c>
      <c r="F4384" t="s">
        <v>3568</v>
      </c>
      <c r="G4384" t="s">
        <v>179</v>
      </c>
      <c r="H4384">
        <v>219</v>
      </c>
      <c r="I4384">
        <v>67.903999999999996</v>
      </c>
      <c r="J4384">
        <v>71.753</v>
      </c>
      <c r="K4384">
        <v>3.8490000000000002</v>
      </c>
      <c r="L4384">
        <v>122</v>
      </c>
      <c r="M4384">
        <v>34</v>
      </c>
      <c r="N4384">
        <v>63</v>
      </c>
      <c r="O4384">
        <v>73.167000000000002</v>
      </c>
      <c r="P4384">
        <v>4.5090020380000002</v>
      </c>
      <c r="Q4384">
        <v>18.007000000000001</v>
      </c>
    </row>
    <row r="4385" spans="1:17" x14ac:dyDescent="0.2">
      <c r="A4385" s="30" t="str">
        <f>IF(C4385&amp;G4385&amp;D4385&lt;&gt;'Funnel setup'!$K$3&amp;'Funnel setup'!$K$4&amp;'Funnel setup'!$K$5,".",IF(A4384=".",1,A4384+1))</f>
        <v>.</v>
      </c>
      <c r="B4385" s="431" t="str">
        <f t="shared" si="68"/>
        <v>Knee Replacement PrimaryProviderLEEDS TEACHING HOSPITALS NHS TRUST (RR8)EQ VAS</v>
      </c>
      <c r="C4385" t="s">
        <v>249</v>
      </c>
      <c r="D4385" t="s">
        <v>1</v>
      </c>
      <c r="E4385" t="s">
        <v>3930</v>
      </c>
      <c r="F4385" t="s">
        <v>344</v>
      </c>
      <c r="G4385" t="s">
        <v>179</v>
      </c>
      <c r="H4385">
        <v>233</v>
      </c>
      <c r="I4385">
        <v>68.554000000000002</v>
      </c>
      <c r="J4385">
        <v>73.129000000000005</v>
      </c>
      <c r="K4385">
        <v>4.5750000000000002</v>
      </c>
      <c r="L4385">
        <v>123</v>
      </c>
      <c r="M4385">
        <v>36</v>
      </c>
      <c r="N4385">
        <v>74</v>
      </c>
      <c r="O4385">
        <v>74.47</v>
      </c>
      <c r="P4385">
        <v>5.8119874539999996</v>
      </c>
      <c r="Q4385">
        <v>16.488</v>
      </c>
    </row>
    <row r="4386" spans="1:17" x14ac:dyDescent="0.2">
      <c r="A4386" s="30" t="str">
        <f>IF(C4386&amp;G4386&amp;D4386&lt;&gt;'Funnel setup'!$K$3&amp;'Funnel setup'!$K$4&amp;'Funnel setup'!$K$5,".",IF(A4385=".",1,A4385+1))</f>
        <v>.</v>
      </c>
      <c r="B4386" s="431" t="str">
        <f t="shared" si="68"/>
        <v>Knee Replacement PrimaryProviderLEWISHAM AND GREENWICH NHS TRUST (RJ2)EQ VAS</v>
      </c>
      <c r="C4386" t="s">
        <v>249</v>
      </c>
      <c r="D4386" t="s">
        <v>1</v>
      </c>
      <c r="E4386" t="s">
        <v>3522</v>
      </c>
      <c r="F4386" t="s">
        <v>3523</v>
      </c>
      <c r="G4386" t="s">
        <v>179</v>
      </c>
      <c r="H4386">
        <v>77</v>
      </c>
      <c r="I4386">
        <v>68.506</v>
      </c>
      <c r="J4386">
        <v>72.429000000000002</v>
      </c>
      <c r="K4386">
        <v>3.9220000000000002</v>
      </c>
      <c r="L4386">
        <v>45</v>
      </c>
      <c r="M4386">
        <v>6</v>
      </c>
      <c r="N4386">
        <v>26</v>
      </c>
      <c r="O4386">
        <v>74.578999999999994</v>
      </c>
      <c r="P4386">
        <v>5.9202079510000001</v>
      </c>
      <c r="Q4386">
        <v>15.102</v>
      </c>
    </row>
    <row r="4387" spans="1:17" x14ac:dyDescent="0.2">
      <c r="A4387" s="30" t="str">
        <f>IF(C4387&amp;G4387&amp;D4387&lt;&gt;'Funnel setup'!$K$3&amp;'Funnel setup'!$K$4&amp;'Funnel setup'!$K$5,".",IF(A4386=".",1,A4386+1))</f>
        <v>.</v>
      </c>
      <c r="B4387" s="431" t="str">
        <f t="shared" si="68"/>
        <v>Knee Replacement PrimaryProviderLONDON NORTH WEST HEALTHCARE NHS TRUST (R1K)EQ VAS</v>
      </c>
      <c r="C4387" t="s">
        <v>249</v>
      </c>
      <c r="D4387" t="s">
        <v>1</v>
      </c>
      <c r="E4387" t="s">
        <v>6515</v>
      </c>
      <c r="F4387" t="s">
        <v>6516</v>
      </c>
      <c r="G4387" t="s">
        <v>179</v>
      </c>
      <c r="H4387">
        <v>152</v>
      </c>
      <c r="I4387">
        <v>59.558999999999997</v>
      </c>
      <c r="J4387">
        <v>67.625</v>
      </c>
      <c r="K4387">
        <v>8.0660000000000007</v>
      </c>
      <c r="L4387">
        <v>91</v>
      </c>
      <c r="M4387">
        <v>17</v>
      </c>
      <c r="N4387">
        <v>44</v>
      </c>
      <c r="O4387">
        <v>73.42</v>
      </c>
      <c r="P4387">
        <v>4.7619374380000004</v>
      </c>
      <c r="Q4387">
        <v>16.998000000000001</v>
      </c>
    </row>
    <row r="4388" spans="1:17" x14ac:dyDescent="0.2">
      <c r="A4388" s="30" t="str">
        <f>IF(C4388&amp;G4388&amp;D4388&lt;&gt;'Funnel setup'!$K$3&amp;'Funnel setup'!$K$4&amp;'Funnel setup'!$K$5,".",IF(A4387=".",1,A4387+1))</f>
        <v>.</v>
      </c>
      <c r="B4388" s="431" t="str">
        <f t="shared" si="68"/>
        <v>Knee Replacement PrimaryProviderLUTON AND DUNSTABLE UNIVERSITY HOSPITAL NHS FOUNDATION TRUST (RC9)EQ VAS</v>
      </c>
      <c r="C4388" t="s">
        <v>249</v>
      </c>
      <c r="D4388" t="s">
        <v>1</v>
      </c>
      <c r="E4388" t="s">
        <v>3528</v>
      </c>
      <c r="F4388" t="s">
        <v>3529</v>
      </c>
      <c r="G4388" t="s">
        <v>179</v>
      </c>
      <c r="H4388">
        <v>166</v>
      </c>
      <c r="I4388">
        <v>65.325000000000003</v>
      </c>
      <c r="J4388">
        <v>72.734999999999999</v>
      </c>
      <c r="K4388">
        <v>7.41</v>
      </c>
      <c r="L4388">
        <v>103</v>
      </c>
      <c r="M4388">
        <v>14</v>
      </c>
      <c r="N4388">
        <v>49</v>
      </c>
      <c r="O4388">
        <v>75.394999999999996</v>
      </c>
      <c r="P4388">
        <v>6.7370839409999999</v>
      </c>
      <c r="Q4388">
        <v>17.375</v>
      </c>
    </row>
    <row r="4389" spans="1:17" x14ac:dyDescent="0.2">
      <c r="A4389" s="30" t="str">
        <f>IF(C4389&amp;G4389&amp;D4389&lt;&gt;'Funnel setup'!$K$3&amp;'Funnel setup'!$K$4&amp;'Funnel setup'!$K$5,".",IF(A4388=".",1,A4388+1))</f>
        <v>.</v>
      </c>
      <c r="B4389" s="431" t="str">
        <f t="shared" si="68"/>
        <v>Knee Replacement PrimaryProviderMAIDSTONE AND TUNBRIDGE WELLS NHS TRUST (RWF)EQ VAS</v>
      </c>
      <c r="C4389" t="s">
        <v>249</v>
      </c>
      <c r="D4389" t="s">
        <v>1</v>
      </c>
      <c r="E4389" t="s">
        <v>3627</v>
      </c>
      <c r="F4389" t="s">
        <v>3628</v>
      </c>
      <c r="G4389" t="s">
        <v>179</v>
      </c>
      <c r="H4389">
        <v>177</v>
      </c>
      <c r="I4389">
        <v>70.718000000000004</v>
      </c>
      <c r="J4389">
        <v>77.010999999999996</v>
      </c>
      <c r="K4389">
        <v>6.2939999999999996</v>
      </c>
      <c r="L4389">
        <v>95</v>
      </c>
      <c r="M4389">
        <v>33</v>
      </c>
      <c r="N4389">
        <v>49</v>
      </c>
      <c r="O4389">
        <v>75</v>
      </c>
      <c r="P4389">
        <v>6.3421126619999999</v>
      </c>
      <c r="Q4389">
        <v>13.622</v>
      </c>
    </row>
    <row r="4390" spans="1:17" x14ac:dyDescent="0.2">
      <c r="A4390" s="30" t="str">
        <f>IF(C4390&amp;G4390&amp;D4390&lt;&gt;'Funnel setup'!$K$3&amp;'Funnel setup'!$K$4&amp;'Funnel setup'!$K$5,".",IF(A4389=".",1,A4389+1))</f>
        <v>.</v>
      </c>
      <c r="B4390" s="431" t="str">
        <f t="shared" si="68"/>
        <v>Knee Replacement PrimaryProviderMEDWAY NHS FOUNDATION TRUST (RPA)EQ VAS</v>
      </c>
      <c r="C4390" t="s">
        <v>249</v>
      </c>
      <c r="D4390" t="s">
        <v>1</v>
      </c>
      <c r="E4390" t="s">
        <v>3630</v>
      </c>
      <c r="F4390" t="s">
        <v>3631</v>
      </c>
      <c r="G4390" t="s">
        <v>179</v>
      </c>
      <c r="H4390">
        <v>115</v>
      </c>
      <c r="I4390">
        <v>67.564999999999998</v>
      </c>
      <c r="J4390">
        <v>71.903999999999996</v>
      </c>
      <c r="K4390">
        <v>4.3390000000000004</v>
      </c>
      <c r="L4390">
        <v>65</v>
      </c>
      <c r="M4390">
        <v>12</v>
      </c>
      <c r="N4390">
        <v>38</v>
      </c>
      <c r="O4390">
        <v>73.244</v>
      </c>
      <c r="P4390">
        <v>4.5861379380000002</v>
      </c>
      <c r="Q4390">
        <v>19.257000000000001</v>
      </c>
    </row>
    <row r="4391" spans="1:17" x14ac:dyDescent="0.2">
      <c r="A4391" s="30" t="str">
        <f>IF(C4391&amp;G4391&amp;D4391&lt;&gt;'Funnel setup'!$K$3&amp;'Funnel setup'!$K$4&amp;'Funnel setup'!$K$5,".",IF(A4390=".",1,A4390+1))</f>
        <v>.</v>
      </c>
      <c r="B4391" s="431" t="str">
        <f t="shared" si="68"/>
        <v>Knee Replacement PrimaryProviderMID CHESHIRE HOSPITALS NHS FOUNDATION TRUST (RBT)EQ VAS</v>
      </c>
      <c r="C4391" t="s">
        <v>249</v>
      </c>
      <c r="D4391" t="s">
        <v>1</v>
      </c>
      <c r="E4391" t="s">
        <v>3633</v>
      </c>
      <c r="F4391" t="s">
        <v>342</v>
      </c>
      <c r="G4391" t="s">
        <v>179</v>
      </c>
      <c r="H4391">
        <v>155</v>
      </c>
      <c r="I4391">
        <v>74.045000000000002</v>
      </c>
      <c r="J4391">
        <v>76.593999999999994</v>
      </c>
      <c r="K4391">
        <v>2.548</v>
      </c>
      <c r="L4391">
        <v>79</v>
      </c>
      <c r="M4391">
        <v>22</v>
      </c>
      <c r="N4391">
        <v>54</v>
      </c>
      <c r="O4391">
        <v>73.111999999999995</v>
      </c>
      <c r="P4391">
        <v>4.4533188849999998</v>
      </c>
      <c r="Q4391">
        <v>13.923999999999999</v>
      </c>
    </row>
    <row r="4392" spans="1:17" x14ac:dyDescent="0.2">
      <c r="A4392" s="30" t="str">
        <f>IF(C4392&amp;G4392&amp;D4392&lt;&gt;'Funnel setup'!$K$3&amp;'Funnel setup'!$K$4&amp;'Funnel setup'!$K$5,".",IF(A4391=".",1,A4391+1))</f>
        <v>.</v>
      </c>
      <c r="B4392" s="431" t="str">
        <f t="shared" si="68"/>
        <v>Knee Replacement PrimaryProviderMID ESSEX HOSPITAL SERVICES NHS TRUST (RQ8)EQ VAS</v>
      </c>
      <c r="C4392" t="s">
        <v>249</v>
      </c>
      <c r="D4392" t="s">
        <v>1</v>
      </c>
      <c r="E4392" t="s">
        <v>3635</v>
      </c>
      <c r="F4392" t="s">
        <v>3636</v>
      </c>
      <c r="G4392" t="s">
        <v>179</v>
      </c>
      <c r="H4392">
        <v>160</v>
      </c>
      <c r="I4392">
        <v>67.180999999999997</v>
      </c>
      <c r="J4392">
        <v>71.006</v>
      </c>
      <c r="K4392">
        <v>3.8250000000000002</v>
      </c>
      <c r="L4392">
        <v>88</v>
      </c>
      <c r="M4392">
        <v>15</v>
      </c>
      <c r="N4392">
        <v>57</v>
      </c>
      <c r="O4392">
        <v>70.932000000000002</v>
      </c>
      <c r="P4392">
        <v>2.2732785949999998</v>
      </c>
      <c r="Q4392">
        <v>18.100000000000001</v>
      </c>
    </row>
    <row r="4393" spans="1:17" x14ac:dyDescent="0.2">
      <c r="A4393" s="30" t="str">
        <f>IF(C4393&amp;G4393&amp;D4393&lt;&gt;'Funnel setup'!$K$3&amp;'Funnel setup'!$K$4&amp;'Funnel setup'!$K$5,".",IF(A4392=".",1,A4392+1))</f>
        <v>.</v>
      </c>
      <c r="B4393" s="431" t="str">
        <f t="shared" si="68"/>
        <v>Knee Replacement PrimaryProviderMID STAFFORDSHIRE NHS FOUNDATION TRUST (RJD)EQ VAS</v>
      </c>
      <c r="C4393" t="s">
        <v>249</v>
      </c>
      <c r="D4393" t="s">
        <v>1</v>
      </c>
      <c r="E4393" t="s">
        <v>3638</v>
      </c>
      <c r="F4393" t="s">
        <v>3639</v>
      </c>
      <c r="G4393" t="s">
        <v>179</v>
      </c>
      <c r="H4393">
        <v>122</v>
      </c>
      <c r="I4393">
        <v>69.631</v>
      </c>
      <c r="J4393">
        <v>72.843999999999994</v>
      </c>
      <c r="K4393">
        <v>3.2130000000000001</v>
      </c>
      <c r="L4393">
        <v>59</v>
      </c>
      <c r="M4393">
        <v>17</v>
      </c>
      <c r="N4393">
        <v>46</v>
      </c>
      <c r="O4393">
        <v>73.253</v>
      </c>
      <c r="P4393">
        <v>4.5948016889999996</v>
      </c>
      <c r="Q4393">
        <v>16.167000000000002</v>
      </c>
    </row>
    <row r="4394" spans="1:17" x14ac:dyDescent="0.2">
      <c r="A4394" s="30" t="str">
        <f>IF(C4394&amp;G4394&amp;D4394&lt;&gt;'Funnel setup'!$K$3&amp;'Funnel setup'!$K$4&amp;'Funnel setup'!$K$5,".",IF(A4393=".",1,A4393+1))</f>
        <v>.</v>
      </c>
      <c r="B4394" s="431" t="str">
        <f t="shared" si="68"/>
        <v>Knee Replacement PrimaryProviderMID YORKSHIRE HOSPITALS NHS TRUST (RXF)EQ VAS</v>
      </c>
      <c r="C4394" t="s">
        <v>249</v>
      </c>
      <c r="D4394" t="s">
        <v>1</v>
      </c>
      <c r="E4394" t="s">
        <v>3641</v>
      </c>
      <c r="F4394" t="s">
        <v>3642</v>
      </c>
      <c r="G4394" t="s">
        <v>179</v>
      </c>
      <c r="H4394">
        <v>258</v>
      </c>
      <c r="I4394">
        <v>66.504000000000005</v>
      </c>
      <c r="J4394">
        <v>71.263999999999996</v>
      </c>
      <c r="K4394">
        <v>4.76</v>
      </c>
      <c r="L4394">
        <v>154</v>
      </c>
      <c r="M4394">
        <v>25</v>
      </c>
      <c r="N4394">
        <v>79</v>
      </c>
      <c r="O4394">
        <v>73.293999999999997</v>
      </c>
      <c r="P4394">
        <v>4.6357993090000003</v>
      </c>
      <c r="Q4394">
        <v>17.350999999999999</v>
      </c>
    </row>
    <row r="4395" spans="1:17" x14ac:dyDescent="0.2">
      <c r="A4395" s="30" t="str">
        <f>IF(C4395&amp;G4395&amp;D4395&lt;&gt;'Funnel setup'!$K$3&amp;'Funnel setup'!$K$4&amp;'Funnel setup'!$K$5,".",IF(A4394=".",1,A4394+1))</f>
        <v>.</v>
      </c>
      <c r="B4395" s="431" t="str">
        <f t="shared" si="68"/>
        <v>Knee Replacement PrimaryProviderMILTON KEYNES UNIVERSITY HOSPITAL NHS FOUNDATION TRUST (RD8)EQ VAS</v>
      </c>
      <c r="C4395" t="s">
        <v>249</v>
      </c>
      <c r="D4395" t="s">
        <v>1</v>
      </c>
      <c r="E4395" t="s">
        <v>3643</v>
      </c>
      <c r="F4395" t="s">
        <v>6580</v>
      </c>
      <c r="G4395" t="s">
        <v>179</v>
      </c>
      <c r="H4395">
        <v>135</v>
      </c>
      <c r="I4395">
        <v>67.933000000000007</v>
      </c>
      <c r="J4395">
        <v>76.385000000000005</v>
      </c>
      <c r="K4395">
        <v>8.452</v>
      </c>
      <c r="L4395">
        <v>88</v>
      </c>
      <c r="M4395">
        <v>14</v>
      </c>
      <c r="N4395">
        <v>33</v>
      </c>
      <c r="O4395">
        <v>76.126999999999995</v>
      </c>
      <c r="P4395">
        <v>7.4685332149999999</v>
      </c>
      <c r="Q4395">
        <v>15.598000000000001</v>
      </c>
    </row>
    <row r="4396" spans="1:17" x14ac:dyDescent="0.2">
      <c r="A4396" s="30" t="str">
        <f>IF(C4396&amp;G4396&amp;D4396&lt;&gt;'Funnel setup'!$K$3&amp;'Funnel setup'!$K$4&amp;'Funnel setup'!$K$5,".",IF(A4395=".",1,A4395+1))</f>
        <v>.</v>
      </c>
      <c r="B4396" s="431" t="str">
        <f t="shared" si="68"/>
        <v>Knee Replacement PrimaryProviderMOUNT STUART HOSPITAL (NVC08)EQ VAS</v>
      </c>
      <c r="C4396" t="s">
        <v>249</v>
      </c>
      <c r="D4396" t="s">
        <v>1</v>
      </c>
      <c r="E4396" t="s">
        <v>3645</v>
      </c>
      <c r="F4396" t="s">
        <v>3646</v>
      </c>
      <c r="G4396" t="s">
        <v>179</v>
      </c>
      <c r="H4396">
        <v>81</v>
      </c>
      <c r="I4396">
        <v>75.567999999999998</v>
      </c>
      <c r="J4396">
        <v>80.111000000000004</v>
      </c>
      <c r="K4396">
        <v>4.5430000000000001</v>
      </c>
      <c r="L4396">
        <v>42</v>
      </c>
      <c r="M4396">
        <v>10</v>
      </c>
      <c r="N4396">
        <v>29</v>
      </c>
      <c r="O4396">
        <v>76.527000000000001</v>
      </c>
      <c r="P4396">
        <v>7.8687082850000003</v>
      </c>
      <c r="Q4396">
        <v>14.712</v>
      </c>
    </row>
    <row r="4397" spans="1:17" x14ac:dyDescent="0.2">
      <c r="A4397" s="30" t="str">
        <f>IF(C4397&amp;G4397&amp;D4397&lt;&gt;'Funnel setup'!$K$3&amp;'Funnel setup'!$K$4&amp;'Funnel setup'!$K$5,".",IF(A4396=".",1,A4396+1))</f>
        <v>.</v>
      </c>
      <c r="B4397" s="431" t="str">
        <f t="shared" si="68"/>
        <v>Knee Replacement PrimaryProviderNEW HALL HOSPITAL (NVC09)EQ VAS</v>
      </c>
      <c r="C4397" t="s">
        <v>249</v>
      </c>
      <c r="D4397" t="s">
        <v>1</v>
      </c>
      <c r="E4397" t="s">
        <v>3648</v>
      </c>
      <c r="F4397" t="s">
        <v>3649</v>
      </c>
      <c r="G4397" t="s">
        <v>179</v>
      </c>
      <c r="H4397">
        <v>123</v>
      </c>
      <c r="I4397">
        <v>71.504000000000005</v>
      </c>
      <c r="J4397">
        <v>79.260000000000005</v>
      </c>
      <c r="K4397">
        <v>7.7560000000000002</v>
      </c>
      <c r="L4397">
        <v>72</v>
      </c>
      <c r="M4397">
        <v>21</v>
      </c>
      <c r="N4397">
        <v>30</v>
      </c>
      <c r="O4397">
        <v>75.974000000000004</v>
      </c>
      <c r="P4397">
        <v>7.3154170450000002</v>
      </c>
      <c r="Q4397">
        <v>12.823</v>
      </c>
    </row>
    <row r="4398" spans="1:17" x14ac:dyDescent="0.2">
      <c r="A4398" s="30" t="str">
        <f>IF(C4398&amp;G4398&amp;D4398&lt;&gt;'Funnel setup'!$K$3&amp;'Funnel setup'!$K$4&amp;'Funnel setup'!$K$5,".",IF(A4397=".",1,A4397+1))</f>
        <v>.</v>
      </c>
      <c r="B4398" s="431" t="str">
        <f t="shared" si="68"/>
        <v>Knee Replacement PrimaryProviderNORFOLK AND NORWICH UNIVERSITY HOSPITALS NHS FOUNDATION TRUST (RM1)EQ VAS</v>
      </c>
      <c r="C4398" t="s">
        <v>249</v>
      </c>
      <c r="D4398" t="s">
        <v>1</v>
      </c>
      <c r="E4398" t="s">
        <v>3651</v>
      </c>
      <c r="F4398" t="s">
        <v>3652</v>
      </c>
      <c r="G4398" t="s">
        <v>179</v>
      </c>
      <c r="H4398">
        <v>198</v>
      </c>
      <c r="I4398">
        <v>61.399000000000001</v>
      </c>
      <c r="J4398">
        <v>70.652000000000001</v>
      </c>
      <c r="K4398">
        <v>9.2530000000000001</v>
      </c>
      <c r="L4398">
        <v>116</v>
      </c>
      <c r="M4398">
        <v>24</v>
      </c>
      <c r="N4398">
        <v>58</v>
      </c>
      <c r="O4398">
        <v>73.971000000000004</v>
      </c>
      <c r="P4398">
        <v>5.3125453650000001</v>
      </c>
      <c r="Q4398">
        <v>16.152000000000001</v>
      </c>
    </row>
    <row r="4399" spans="1:17" x14ac:dyDescent="0.2">
      <c r="A4399" s="30" t="str">
        <f>IF(C4399&amp;G4399&amp;D4399&lt;&gt;'Funnel setup'!$K$3&amp;'Funnel setup'!$K$4&amp;'Funnel setup'!$K$5,".",IF(A4398=".",1,A4398+1))</f>
        <v>.</v>
      </c>
      <c r="B4399" s="431" t="str">
        <f t="shared" si="68"/>
        <v>Knee Replacement PrimaryProviderNORTH BRISTOL NHS TRUST (RVJ)EQ VAS</v>
      </c>
      <c r="C4399" t="s">
        <v>249</v>
      </c>
      <c r="D4399" t="s">
        <v>1</v>
      </c>
      <c r="E4399" t="s">
        <v>3654</v>
      </c>
      <c r="F4399" t="s">
        <v>3655</v>
      </c>
      <c r="G4399" t="s">
        <v>179</v>
      </c>
      <c r="H4399">
        <v>194</v>
      </c>
      <c r="I4399">
        <v>65.587999999999994</v>
      </c>
      <c r="J4399">
        <v>73.844999999999999</v>
      </c>
      <c r="K4399">
        <v>8.2579999999999991</v>
      </c>
      <c r="L4399">
        <v>106</v>
      </c>
      <c r="M4399">
        <v>31</v>
      </c>
      <c r="N4399">
        <v>57</v>
      </c>
      <c r="O4399">
        <v>74.293999999999997</v>
      </c>
      <c r="P4399">
        <v>5.6354560610000002</v>
      </c>
      <c r="Q4399">
        <v>14.016</v>
      </c>
    </row>
    <row r="4400" spans="1:17" x14ac:dyDescent="0.2">
      <c r="A4400" s="30" t="str">
        <f>IF(C4400&amp;G4400&amp;D4400&lt;&gt;'Funnel setup'!$K$3&amp;'Funnel setup'!$K$4&amp;'Funnel setup'!$K$5,".",IF(A4399=".",1,A4399+1))</f>
        <v>.</v>
      </c>
      <c r="B4400" s="431" t="str">
        <f t="shared" si="68"/>
        <v>Knee Replacement PrimaryProviderNORTH CUMBRIA UNIVERSITY HOSPITALS NHS TRUST (RNL)EQ VAS</v>
      </c>
      <c r="C4400" t="s">
        <v>249</v>
      </c>
      <c r="D4400" t="s">
        <v>1</v>
      </c>
      <c r="E4400" t="s">
        <v>3657</v>
      </c>
      <c r="F4400" t="s">
        <v>3658</v>
      </c>
      <c r="G4400" t="s">
        <v>179</v>
      </c>
      <c r="H4400">
        <v>158</v>
      </c>
      <c r="I4400">
        <v>64.373000000000005</v>
      </c>
      <c r="J4400">
        <v>71.146000000000001</v>
      </c>
      <c r="K4400">
        <v>6.7720000000000002</v>
      </c>
      <c r="L4400">
        <v>86</v>
      </c>
      <c r="M4400">
        <v>22</v>
      </c>
      <c r="N4400">
        <v>50</v>
      </c>
      <c r="O4400">
        <v>73.662000000000006</v>
      </c>
      <c r="P4400">
        <v>5.00394103</v>
      </c>
      <c r="Q4400">
        <v>15.885999999999999</v>
      </c>
    </row>
    <row r="4401" spans="1:17" x14ac:dyDescent="0.2">
      <c r="A4401" s="30" t="str">
        <f>IF(C4401&amp;G4401&amp;D4401&lt;&gt;'Funnel setup'!$K$3&amp;'Funnel setup'!$K$4&amp;'Funnel setup'!$K$5,".",IF(A4400=".",1,A4400+1))</f>
        <v>.</v>
      </c>
      <c r="B4401" s="431" t="str">
        <f t="shared" si="68"/>
        <v>Knee Replacement PrimaryProviderNORTH DOWNS HOSPITAL (NVC11)EQ VAS</v>
      </c>
      <c r="C4401" t="s">
        <v>249</v>
      </c>
      <c r="D4401" t="s">
        <v>1</v>
      </c>
      <c r="E4401" t="s">
        <v>3660</v>
      </c>
      <c r="F4401" t="s">
        <v>3661</v>
      </c>
      <c r="G4401" t="s">
        <v>179</v>
      </c>
      <c r="H4401">
        <v>45</v>
      </c>
      <c r="I4401">
        <v>71.933000000000007</v>
      </c>
      <c r="J4401">
        <v>77.977999999999994</v>
      </c>
      <c r="K4401">
        <v>6.0439999999999996</v>
      </c>
      <c r="L4401">
        <v>22</v>
      </c>
      <c r="M4401">
        <v>8</v>
      </c>
      <c r="N4401">
        <v>15</v>
      </c>
      <c r="O4401">
        <v>75.340999999999994</v>
      </c>
      <c r="P4401">
        <v>6.6831514429999999</v>
      </c>
      <c r="Q4401">
        <v>11.358000000000001</v>
      </c>
    </row>
    <row r="4402" spans="1:17" x14ac:dyDescent="0.2">
      <c r="A4402" s="30" t="str">
        <f>IF(C4402&amp;G4402&amp;D4402&lt;&gt;'Funnel setup'!$K$3&amp;'Funnel setup'!$K$4&amp;'Funnel setup'!$K$5,".",IF(A4401=".",1,A4401+1))</f>
        <v>.</v>
      </c>
      <c r="B4402" s="431" t="str">
        <f t="shared" si="68"/>
        <v>Knee Replacement PrimaryProviderNORTH EAST LONDON TREATMENT CENTRE CARE UK (NTP15)EQ VAS</v>
      </c>
      <c r="C4402" t="s">
        <v>249</v>
      </c>
      <c r="D4402" t="s">
        <v>1</v>
      </c>
      <c r="E4402" t="s">
        <v>3663</v>
      </c>
      <c r="F4402" t="s">
        <v>3664</v>
      </c>
      <c r="G4402" t="s">
        <v>179</v>
      </c>
      <c r="H4402">
        <v>83</v>
      </c>
      <c r="I4402">
        <v>73.096000000000004</v>
      </c>
      <c r="J4402">
        <v>76.132999999999996</v>
      </c>
      <c r="K4402">
        <v>3.036</v>
      </c>
      <c r="L4402">
        <v>41</v>
      </c>
      <c r="M4402">
        <v>7</v>
      </c>
      <c r="N4402">
        <v>35</v>
      </c>
      <c r="O4402">
        <v>75.397999999999996</v>
      </c>
      <c r="P4402">
        <v>6.7399472989999998</v>
      </c>
      <c r="Q4402">
        <v>13.930999999999999</v>
      </c>
    </row>
    <row r="4403" spans="1:17" x14ac:dyDescent="0.2">
      <c r="A4403" s="30" t="str">
        <f>IF(C4403&amp;G4403&amp;D4403&lt;&gt;'Funnel setup'!$K$3&amp;'Funnel setup'!$K$4&amp;'Funnel setup'!$K$5,".",IF(A4402=".",1,A4402+1))</f>
        <v>.</v>
      </c>
      <c r="B4403" s="431" t="str">
        <f t="shared" si="68"/>
        <v>Knee Replacement PrimaryProviderNORTH MIDDLESEX UNIVERSITY HOSPITAL NHS TRUST (RAP)EQ VAS</v>
      </c>
      <c r="C4403" t="s">
        <v>249</v>
      </c>
      <c r="D4403" t="s">
        <v>1</v>
      </c>
      <c r="E4403" t="s">
        <v>3666</v>
      </c>
      <c r="F4403" t="s">
        <v>3667</v>
      </c>
      <c r="G4403" t="s">
        <v>179</v>
      </c>
      <c r="H4403">
        <v>40</v>
      </c>
      <c r="I4403">
        <v>55.774999999999999</v>
      </c>
      <c r="J4403">
        <v>67.3</v>
      </c>
      <c r="K4403">
        <v>11.525</v>
      </c>
      <c r="L4403">
        <v>28</v>
      </c>
      <c r="M4403">
        <v>1</v>
      </c>
      <c r="N4403">
        <v>11</v>
      </c>
      <c r="O4403">
        <v>75.156999999999996</v>
      </c>
      <c r="P4403">
        <v>6.498476235</v>
      </c>
      <c r="Q4403">
        <v>19.042000000000002</v>
      </c>
    </row>
    <row r="4404" spans="1:17" x14ac:dyDescent="0.2">
      <c r="A4404" s="30" t="str">
        <f>IF(C4404&amp;G4404&amp;D4404&lt;&gt;'Funnel setup'!$K$3&amp;'Funnel setup'!$K$4&amp;'Funnel setup'!$K$5,".",IF(A4403=".",1,A4403+1))</f>
        <v>.</v>
      </c>
      <c r="B4404" s="431" t="str">
        <f t="shared" si="68"/>
        <v>Knee Replacement PrimaryProviderNORTH TEES AND HARTLEPOOL NHS FOUNDATION TRUST (RVW)EQ VAS</v>
      </c>
      <c r="C4404" t="s">
        <v>249</v>
      </c>
      <c r="D4404" t="s">
        <v>1</v>
      </c>
      <c r="E4404" t="s">
        <v>3669</v>
      </c>
      <c r="F4404" t="s">
        <v>3670</v>
      </c>
      <c r="G4404" t="s">
        <v>179</v>
      </c>
      <c r="H4404">
        <v>247</v>
      </c>
      <c r="I4404">
        <v>63.655999999999999</v>
      </c>
      <c r="J4404">
        <v>70.861999999999995</v>
      </c>
      <c r="K4404">
        <v>7.2060000000000004</v>
      </c>
      <c r="L4404">
        <v>143</v>
      </c>
      <c r="M4404">
        <v>27</v>
      </c>
      <c r="N4404">
        <v>77</v>
      </c>
      <c r="O4404">
        <v>74.930000000000007</v>
      </c>
      <c r="P4404">
        <v>6.271661784</v>
      </c>
      <c r="Q4404">
        <v>17.597000000000001</v>
      </c>
    </row>
    <row r="4405" spans="1:17" x14ac:dyDescent="0.2">
      <c r="A4405" s="30" t="str">
        <f>IF(C4405&amp;G4405&amp;D4405&lt;&gt;'Funnel setup'!$K$3&amp;'Funnel setup'!$K$4&amp;'Funnel setup'!$K$5,".",IF(A4404=".",1,A4404+1))</f>
        <v>.</v>
      </c>
      <c r="B4405" s="431" t="str">
        <f t="shared" si="68"/>
        <v>Knee Replacement PrimaryProviderNORTHAMPTON GENERAL HOSPITAL NHS TRUST (RNS)EQ VAS</v>
      </c>
      <c r="C4405" t="s">
        <v>249</v>
      </c>
      <c r="D4405" t="s">
        <v>1</v>
      </c>
      <c r="E4405" t="s">
        <v>3675</v>
      </c>
      <c r="F4405" t="s">
        <v>3676</v>
      </c>
      <c r="G4405" t="s">
        <v>179</v>
      </c>
      <c r="H4405">
        <v>140</v>
      </c>
      <c r="I4405">
        <v>69.320999999999998</v>
      </c>
      <c r="J4405">
        <v>75.75</v>
      </c>
      <c r="K4405">
        <v>6.4290000000000003</v>
      </c>
      <c r="L4405">
        <v>80</v>
      </c>
      <c r="M4405">
        <v>19</v>
      </c>
      <c r="N4405">
        <v>41</v>
      </c>
      <c r="O4405">
        <v>76.308999999999997</v>
      </c>
      <c r="P4405">
        <v>7.6502483520000002</v>
      </c>
      <c r="Q4405">
        <v>15.491</v>
      </c>
    </row>
    <row r="4406" spans="1:17" x14ac:dyDescent="0.2">
      <c r="A4406" s="30" t="str">
        <f>IF(C4406&amp;G4406&amp;D4406&lt;&gt;'Funnel setup'!$K$3&amp;'Funnel setup'!$K$4&amp;'Funnel setup'!$K$5,".",IF(A4405=".",1,A4405+1))</f>
        <v>.</v>
      </c>
      <c r="B4406" s="431" t="str">
        <f t="shared" si="68"/>
        <v>Knee Replacement PrimaryProviderNORTHERN DEVON HEALTHCARE NHS TRUST (RBZ)EQ VAS</v>
      </c>
      <c r="C4406" t="s">
        <v>249</v>
      </c>
      <c r="D4406" t="s">
        <v>1</v>
      </c>
      <c r="E4406" t="s">
        <v>3678</v>
      </c>
      <c r="F4406" t="s">
        <v>3679</v>
      </c>
      <c r="G4406" t="s">
        <v>179</v>
      </c>
      <c r="H4406">
        <v>186</v>
      </c>
      <c r="I4406">
        <v>70.816999999999993</v>
      </c>
      <c r="J4406">
        <v>75.489000000000004</v>
      </c>
      <c r="K4406">
        <v>4.6719999999999997</v>
      </c>
      <c r="L4406">
        <v>102</v>
      </c>
      <c r="M4406">
        <v>30</v>
      </c>
      <c r="N4406">
        <v>54</v>
      </c>
      <c r="O4406">
        <v>75.186999999999998</v>
      </c>
      <c r="P4406">
        <v>6.5289182549999998</v>
      </c>
      <c r="Q4406">
        <v>13.872999999999999</v>
      </c>
    </row>
    <row r="4407" spans="1:17" x14ac:dyDescent="0.2">
      <c r="A4407" s="30" t="str">
        <f>IF(C4407&amp;G4407&amp;D4407&lt;&gt;'Funnel setup'!$K$3&amp;'Funnel setup'!$K$4&amp;'Funnel setup'!$K$5,".",IF(A4406=".",1,A4406+1))</f>
        <v>.</v>
      </c>
      <c r="B4407" s="431" t="str">
        <f t="shared" si="68"/>
        <v>Knee Replacement PrimaryProviderNORTHERN LINCOLNSHIRE AND GOOLE NHS FOUNDATION TRUST (RJL)EQ VAS</v>
      </c>
      <c r="C4407" t="s">
        <v>249</v>
      </c>
      <c r="D4407" t="s">
        <v>1</v>
      </c>
      <c r="E4407" t="s">
        <v>3681</v>
      </c>
      <c r="F4407" t="s">
        <v>3682</v>
      </c>
      <c r="G4407" t="s">
        <v>179</v>
      </c>
      <c r="H4407">
        <v>253</v>
      </c>
      <c r="I4407">
        <v>67.162000000000006</v>
      </c>
      <c r="J4407">
        <v>74.394999999999996</v>
      </c>
      <c r="K4407">
        <v>7.2329999999999997</v>
      </c>
      <c r="L4407">
        <v>142</v>
      </c>
      <c r="M4407">
        <v>47</v>
      </c>
      <c r="N4407">
        <v>64</v>
      </c>
      <c r="O4407">
        <v>74.793999999999997</v>
      </c>
      <c r="P4407">
        <v>6.1360725240000003</v>
      </c>
      <c r="Q4407">
        <v>15.699</v>
      </c>
    </row>
    <row r="4408" spans="1:17" x14ac:dyDescent="0.2">
      <c r="A4408" s="30" t="str">
        <f>IF(C4408&amp;G4408&amp;D4408&lt;&gt;'Funnel setup'!$K$3&amp;'Funnel setup'!$K$4&amp;'Funnel setup'!$K$5,".",IF(A4407=".",1,A4407+1))</f>
        <v>.</v>
      </c>
      <c r="B4408" s="431" t="str">
        <f t="shared" si="68"/>
        <v>Knee Replacement PrimaryProviderNORTHUMBRIA HEALTHCARE NHS FOUNDATION TRUST (RTF)EQ VAS</v>
      </c>
      <c r="C4408" t="s">
        <v>249</v>
      </c>
      <c r="D4408" t="s">
        <v>1</v>
      </c>
      <c r="E4408" t="s">
        <v>3684</v>
      </c>
      <c r="F4408" t="s">
        <v>3685</v>
      </c>
      <c r="G4408" t="s">
        <v>179</v>
      </c>
      <c r="H4408">
        <v>730</v>
      </c>
      <c r="I4408">
        <v>66.313999999999993</v>
      </c>
      <c r="J4408">
        <v>75.510999999999996</v>
      </c>
      <c r="K4408">
        <v>9.1969999999999992</v>
      </c>
      <c r="L4408">
        <v>455</v>
      </c>
      <c r="M4408">
        <v>121</v>
      </c>
      <c r="N4408">
        <v>154</v>
      </c>
      <c r="O4408">
        <v>76.536000000000001</v>
      </c>
      <c r="P4408">
        <v>7.8779896559999996</v>
      </c>
      <c r="Q4408">
        <v>14.061</v>
      </c>
    </row>
    <row r="4409" spans="1:17" x14ac:dyDescent="0.2">
      <c r="A4409" s="30" t="str">
        <f>IF(C4409&amp;G4409&amp;D4409&lt;&gt;'Funnel setup'!$K$3&amp;'Funnel setup'!$K$4&amp;'Funnel setup'!$K$5,".",IF(A4408=".",1,A4408+1))</f>
        <v>.</v>
      </c>
      <c r="B4409" s="431" t="str">
        <f t="shared" si="68"/>
        <v>Knee Replacement PrimaryProviderNOTTINGHAM UNIVERSITY HOSPITALS NHS TRUST (RX1)EQ VAS</v>
      </c>
      <c r="C4409" t="s">
        <v>249</v>
      </c>
      <c r="D4409" t="s">
        <v>1</v>
      </c>
      <c r="E4409" t="s">
        <v>3687</v>
      </c>
      <c r="F4409" t="s">
        <v>3688</v>
      </c>
      <c r="G4409" t="s">
        <v>179</v>
      </c>
      <c r="H4409">
        <v>406</v>
      </c>
      <c r="I4409">
        <v>66.911000000000001</v>
      </c>
      <c r="J4409">
        <v>71.736000000000004</v>
      </c>
      <c r="K4409">
        <v>4.8250000000000002</v>
      </c>
      <c r="L4409">
        <v>215</v>
      </c>
      <c r="M4409">
        <v>47</v>
      </c>
      <c r="N4409">
        <v>144</v>
      </c>
      <c r="O4409">
        <v>72.834999999999994</v>
      </c>
      <c r="P4409">
        <v>4.1770042590000003</v>
      </c>
      <c r="Q4409">
        <v>16.664999999999999</v>
      </c>
    </row>
    <row r="4410" spans="1:17" x14ac:dyDescent="0.2">
      <c r="A4410" s="30" t="str">
        <f>IF(C4410&amp;G4410&amp;D4410&lt;&gt;'Funnel setup'!$K$3&amp;'Funnel setup'!$K$4&amp;'Funnel setup'!$K$5,".",IF(A4409=".",1,A4409+1))</f>
        <v>.</v>
      </c>
      <c r="B4410" s="431" t="str">
        <f t="shared" si="68"/>
        <v>Knee Replacement PrimaryProviderNUFFIELD HEALTH, BRENTWOOD HOSPITAL (NT204)EQ VAS</v>
      </c>
      <c r="C4410" t="s">
        <v>249</v>
      </c>
      <c r="D4410" t="s">
        <v>1</v>
      </c>
      <c r="E4410" t="s">
        <v>3691</v>
      </c>
      <c r="F4410" t="s">
        <v>3692</v>
      </c>
      <c r="G4410" t="s">
        <v>179</v>
      </c>
      <c r="H4410">
        <v>69</v>
      </c>
      <c r="I4410">
        <v>72.072000000000003</v>
      </c>
      <c r="J4410">
        <v>77.912999999999997</v>
      </c>
      <c r="K4410">
        <v>5.8410000000000002</v>
      </c>
      <c r="L4410">
        <v>45</v>
      </c>
      <c r="M4410">
        <v>10</v>
      </c>
      <c r="N4410">
        <v>14</v>
      </c>
      <c r="O4410">
        <v>75.495000000000005</v>
      </c>
      <c r="P4410">
        <v>6.8369384599999998</v>
      </c>
      <c r="Q4410">
        <v>12.173</v>
      </c>
    </row>
    <row r="4411" spans="1:17" x14ac:dyDescent="0.2">
      <c r="A4411" s="30" t="str">
        <f>IF(C4411&amp;G4411&amp;D4411&lt;&gt;'Funnel setup'!$K$3&amp;'Funnel setup'!$K$4&amp;'Funnel setup'!$K$5,".",IF(A4410=".",1,A4410+1))</f>
        <v>.</v>
      </c>
      <c r="B4411" s="431" t="str">
        <f t="shared" si="68"/>
        <v>Knee Replacement PrimaryProviderNUFFIELD HEALTH, BRIGHTON HOSPITAL (NT205)EQ VAS</v>
      </c>
      <c r="C4411" t="s">
        <v>249</v>
      </c>
      <c r="D4411" t="s">
        <v>1</v>
      </c>
      <c r="E4411" t="s">
        <v>3697</v>
      </c>
      <c r="F4411" t="s">
        <v>3698</v>
      </c>
      <c r="G4411" t="s">
        <v>179</v>
      </c>
      <c r="H4411">
        <v>6</v>
      </c>
      <c r="I4411">
        <v>65</v>
      </c>
      <c r="J4411">
        <v>81.667000000000002</v>
      </c>
      <c r="K4411">
        <v>16.667000000000002</v>
      </c>
      <c r="L4411">
        <v>6</v>
      </c>
      <c r="M4411">
        <v>0</v>
      </c>
      <c r="N4411">
        <v>0</v>
      </c>
      <c r="O4411" t="s">
        <v>53</v>
      </c>
      <c r="P4411" t="s">
        <v>53</v>
      </c>
      <c r="Q4411" t="s">
        <v>53</v>
      </c>
    </row>
    <row r="4412" spans="1:17" x14ac:dyDescent="0.2">
      <c r="A4412" s="30" t="str">
        <f>IF(C4412&amp;G4412&amp;D4412&lt;&gt;'Funnel setup'!$K$3&amp;'Funnel setup'!$K$4&amp;'Funnel setup'!$K$5,".",IF(A4411=".",1,A4411+1))</f>
        <v>.</v>
      </c>
      <c r="B4412" s="431" t="str">
        <f t="shared" si="68"/>
        <v>Knee Replacement PrimaryProviderNUFFIELD HEALTH, BRISTOL HOSPITAL (CHESTERFIELD) (NT206)EQ VAS</v>
      </c>
      <c r="C4412" t="s">
        <v>249</v>
      </c>
      <c r="D4412" t="s">
        <v>1</v>
      </c>
      <c r="E4412" t="s">
        <v>3700</v>
      </c>
      <c r="F4412" t="s">
        <v>3701</v>
      </c>
      <c r="G4412" t="s">
        <v>179</v>
      </c>
      <c r="H4412">
        <v>12</v>
      </c>
      <c r="I4412">
        <v>70.332999999999998</v>
      </c>
      <c r="J4412">
        <v>77.917000000000002</v>
      </c>
      <c r="K4412">
        <v>7.5830000000000002</v>
      </c>
      <c r="L4412">
        <v>7</v>
      </c>
      <c r="M4412">
        <v>0</v>
      </c>
      <c r="N4412">
        <v>5</v>
      </c>
      <c r="O4412" t="s">
        <v>53</v>
      </c>
      <c r="P4412" t="s">
        <v>53</v>
      </c>
      <c r="Q4412" t="s">
        <v>53</v>
      </c>
    </row>
    <row r="4413" spans="1:17" x14ac:dyDescent="0.2">
      <c r="A4413" s="30" t="str">
        <f>IF(C4413&amp;G4413&amp;D4413&lt;&gt;'Funnel setup'!$K$3&amp;'Funnel setup'!$K$4&amp;'Funnel setup'!$K$5,".",IF(A4412=".",1,A4412+1))</f>
        <v>.</v>
      </c>
      <c r="B4413" s="431" t="str">
        <f t="shared" si="68"/>
        <v>Knee Replacement PrimaryProviderNUFFIELD HEALTH, CAMBRIDGE HOSPITAL (NT209)EQ VAS</v>
      </c>
      <c r="C4413" t="s">
        <v>249</v>
      </c>
      <c r="D4413" t="s">
        <v>1</v>
      </c>
      <c r="E4413" t="s">
        <v>4477</v>
      </c>
      <c r="F4413" t="s">
        <v>4478</v>
      </c>
      <c r="G4413" t="s">
        <v>179</v>
      </c>
      <c r="H4413">
        <v>34</v>
      </c>
      <c r="I4413">
        <v>68.912000000000006</v>
      </c>
      <c r="J4413">
        <v>85</v>
      </c>
      <c r="K4413">
        <v>16.088000000000001</v>
      </c>
      <c r="L4413">
        <v>29</v>
      </c>
      <c r="M4413">
        <v>1</v>
      </c>
      <c r="N4413">
        <v>4</v>
      </c>
      <c r="O4413">
        <v>84.198999999999998</v>
      </c>
      <c r="P4413">
        <v>15.54038718</v>
      </c>
      <c r="Q4413">
        <v>9.7100000000000009</v>
      </c>
    </row>
    <row r="4414" spans="1:17" x14ac:dyDescent="0.2">
      <c r="A4414" s="30" t="str">
        <f>IF(C4414&amp;G4414&amp;D4414&lt;&gt;'Funnel setup'!$K$3&amp;'Funnel setup'!$K$4&amp;'Funnel setup'!$K$5,".",IF(A4413=".",1,A4413+1))</f>
        <v>.</v>
      </c>
      <c r="B4414" s="431" t="str">
        <f t="shared" si="68"/>
        <v>Knee Replacement PrimaryProviderNUFFIELD HEALTH, CHELTENHAM HOSPITAL (NT211)EQ VAS</v>
      </c>
      <c r="C4414" t="s">
        <v>249</v>
      </c>
      <c r="D4414" t="s">
        <v>1</v>
      </c>
      <c r="E4414" t="s">
        <v>3703</v>
      </c>
      <c r="F4414" t="s">
        <v>3704</v>
      </c>
      <c r="G4414" t="s">
        <v>179</v>
      </c>
      <c r="H4414">
        <v>6</v>
      </c>
      <c r="I4414">
        <v>75</v>
      </c>
      <c r="J4414">
        <v>79.167000000000002</v>
      </c>
      <c r="K4414">
        <v>4.1669999999999998</v>
      </c>
      <c r="L4414">
        <v>1</v>
      </c>
      <c r="M4414">
        <v>4</v>
      </c>
      <c r="N4414">
        <v>1</v>
      </c>
      <c r="O4414" t="s">
        <v>53</v>
      </c>
      <c r="P4414" t="s">
        <v>53</v>
      </c>
      <c r="Q4414" t="s">
        <v>53</v>
      </c>
    </row>
    <row r="4415" spans="1:17" x14ac:dyDescent="0.2">
      <c r="A4415" s="30" t="str">
        <f>IF(C4415&amp;G4415&amp;D4415&lt;&gt;'Funnel setup'!$K$3&amp;'Funnel setup'!$K$4&amp;'Funnel setup'!$K$5,".",IF(A4414=".",1,A4414+1))</f>
        <v>.</v>
      </c>
      <c r="B4415" s="431" t="str">
        <f t="shared" si="68"/>
        <v>Knee Replacement PrimaryProviderNUFFIELD HEALTH, CHICHESTER HOSPITAL (NT212)EQ VAS</v>
      </c>
      <c r="C4415" t="s">
        <v>249</v>
      </c>
      <c r="D4415" t="s">
        <v>1</v>
      </c>
      <c r="E4415" t="s">
        <v>4334</v>
      </c>
      <c r="F4415" t="s">
        <v>4335</v>
      </c>
      <c r="G4415" t="s">
        <v>179</v>
      </c>
      <c r="H4415">
        <v>10</v>
      </c>
      <c r="I4415">
        <v>68.400000000000006</v>
      </c>
      <c r="J4415">
        <v>80</v>
      </c>
      <c r="K4415">
        <v>11.6</v>
      </c>
      <c r="L4415">
        <v>7</v>
      </c>
      <c r="M4415">
        <v>2</v>
      </c>
      <c r="N4415">
        <v>1</v>
      </c>
      <c r="O4415" t="s">
        <v>53</v>
      </c>
      <c r="P4415" t="s">
        <v>53</v>
      </c>
      <c r="Q4415" t="s">
        <v>53</v>
      </c>
    </row>
    <row r="4416" spans="1:17" x14ac:dyDescent="0.2">
      <c r="A4416" s="30" t="str">
        <f>IF(C4416&amp;G4416&amp;D4416&lt;&gt;'Funnel setup'!$K$3&amp;'Funnel setup'!$K$4&amp;'Funnel setup'!$K$5,".",IF(A4415=".",1,A4415+1))</f>
        <v>.</v>
      </c>
      <c r="B4416" s="431" t="str">
        <f t="shared" si="68"/>
        <v>Knee Replacement PrimaryProviderNUFFIELD HEALTH, DERBY HOSPITAL (NT213)EQ VAS</v>
      </c>
      <c r="C4416" t="s">
        <v>249</v>
      </c>
      <c r="D4416" t="s">
        <v>1</v>
      </c>
      <c r="E4416" t="s">
        <v>3340</v>
      </c>
      <c r="F4416" t="s">
        <v>3341</v>
      </c>
      <c r="G4416" t="s">
        <v>179</v>
      </c>
      <c r="H4416">
        <v>144</v>
      </c>
      <c r="I4416">
        <v>71.430999999999997</v>
      </c>
      <c r="J4416">
        <v>78.117999999999995</v>
      </c>
      <c r="K4416">
        <v>6.6879999999999997</v>
      </c>
      <c r="L4416">
        <v>78</v>
      </c>
      <c r="M4416">
        <v>21</v>
      </c>
      <c r="N4416">
        <v>45</v>
      </c>
      <c r="O4416">
        <v>75.058000000000007</v>
      </c>
      <c r="P4416">
        <v>6.4000129340000003</v>
      </c>
      <c r="Q4416">
        <v>13.923</v>
      </c>
    </row>
    <row r="4417" spans="1:17" x14ac:dyDescent="0.2">
      <c r="A4417" s="30" t="str">
        <f>IF(C4417&amp;G4417&amp;D4417&lt;&gt;'Funnel setup'!$K$3&amp;'Funnel setup'!$K$4&amp;'Funnel setup'!$K$5,".",IF(A4416=".",1,A4416+1))</f>
        <v>.</v>
      </c>
      <c r="B4417" s="431" t="str">
        <f t="shared" si="68"/>
        <v>Knee Replacement PrimaryProviderNUFFIELD HEALTH, EXETER HOSPITAL (NT215)EQ VAS</v>
      </c>
      <c r="C4417" t="s">
        <v>249</v>
      </c>
      <c r="D4417" t="s">
        <v>1</v>
      </c>
      <c r="E4417" t="s">
        <v>4339</v>
      </c>
      <c r="F4417" t="s">
        <v>4340</v>
      </c>
      <c r="G4417" t="s">
        <v>179</v>
      </c>
      <c r="H4417">
        <v>109</v>
      </c>
      <c r="I4417">
        <v>70.650999999999996</v>
      </c>
      <c r="J4417">
        <v>78.513999999999996</v>
      </c>
      <c r="K4417">
        <v>7.8620000000000001</v>
      </c>
      <c r="L4417">
        <v>66</v>
      </c>
      <c r="M4417">
        <v>18</v>
      </c>
      <c r="N4417">
        <v>25</v>
      </c>
      <c r="O4417">
        <v>75.896000000000001</v>
      </c>
      <c r="P4417">
        <v>7.2378809019999997</v>
      </c>
      <c r="Q4417">
        <v>14.465</v>
      </c>
    </row>
    <row r="4418" spans="1:17" x14ac:dyDescent="0.2">
      <c r="A4418" s="30" t="str">
        <f>IF(C4418&amp;G4418&amp;D4418&lt;&gt;'Funnel setup'!$K$3&amp;'Funnel setup'!$K$4&amp;'Funnel setup'!$K$5,".",IF(A4417=".",1,A4417+1))</f>
        <v>.</v>
      </c>
      <c r="B4418" s="431" t="str">
        <f t="shared" si="68"/>
        <v>Knee Replacement PrimaryProviderNUFFIELD HEALTH, HAYWARDS HEATH HOSPITAL (NT218)EQ VAS</v>
      </c>
      <c r="C4418" t="s">
        <v>249</v>
      </c>
      <c r="D4418" t="s">
        <v>1</v>
      </c>
      <c r="E4418" t="s">
        <v>4342</v>
      </c>
      <c r="F4418" t="s">
        <v>4343</v>
      </c>
      <c r="G4418" t="s">
        <v>179</v>
      </c>
      <c r="H4418">
        <v>18</v>
      </c>
      <c r="I4418">
        <v>70.832999999999998</v>
      </c>
      <c r="J4418">
        <v>76.055999999999997</v>
      </c>
      <c r="K4418">
        <v>5.2220000000000004</v>
      </c>
      <c r="L4418">
        <v>12</v>
      </c>
      <c r="M4418">
        <v>2</v>
      </c>
      <c r="N4418">
        <v>4</v>
      </c>
      <c r="O4418" t="s">
        <v>53</v>
      </c>
      <c r="P4418" t="s">
        <v>53</v>
      </c>
      <c r="Q4418" t="s">
        <v>53</v>
      </c>
    </row>
    <row r="4419" spans="1:17" x14ac:dyDescent="0.2">
      <c r="A4419" s="30" t="str">
        <f>IF(C4419&amp;G4419&amp;D4419&lt;&gt;'Funnel setup'!$K$3&amp;'Funnel setup'!$K$4&amp;'Funnel setup'!$K$5,".",IF(A4418=".",1,A4418+1))</f>
        <v>.</v>
      </c>
      <c r="B4419" s="431" t="str">
        <f t="shared" ref="B4419:B4482" si="69">C4419&amp;D4419&amp;F4419&amp;G4419</f>
        <v>Knee Replacement PrimaryProviderNUFFIELD HEALTH, HEREFORD HOSPITAL (NT219)EQ VAS</v>
      </c>
      <c r="C4419" t="s">
        <v>249</v>
      </c>
      <c r="D4419" t="s">
        <v>1</v>
      </c>
      <c r="E4419" t="s">
        <v>3343</v>
      </c>
      <c r="F4419" t="s">
        <v>3344</v>
      </c>
      <c r="G4419" t="s">
        <v>179</v>
      </c>
      <c r="H4419">
        <v>63</v>
      </c>
      <c r="I4419">
        <v>65.968000000000004</v>
      </c>
      <c r="J4419">
        <v>76.238</v>
      </c>
      <c r="K4419">
        <v>10.27</v>
      </c>
      <c r="L4419">
        <v>43</v>
      </c>
      <c r="M4419">
        <v>4</v>
      </c>
      <c r="N4419">
        <v>16</v>
      </c>
      <c r="O4419">
        <v>76.204999999999998</v>
      </c>
      <c r="P4419">
        <v>7.5462082720000003</v>
      </c>
      <c r="Q4419">
        <v>16.962</v>
      </c>
    </row>
    <row r="4420" spans="1:17" x14ac:dyDescent="0.2">
      <c r="A4420" s="30" t="str">
        <f>IF(C4420&amp;G4420&amp;D4420&lt;&gt;'Funnel setup'!$K$3&amp;'Funnel setup'!$K$4&amp;'Funnel setup'!$K$5,".",IF(A4419=".",1,A4419+1))</f>
        <v>.</v>
      </c>
      <c r="B4420" s="431" t="str">
        <f t="shared" si="69"/>
        <v>Knee Replacement PrimaryProviderNUFFIELD HEALTH, IPSWICH HOSPITAL (NT222)EQ VAS</v>
      </c>
      <c r="C4420" t="s">
        <v>249</v>
      </c>
      <c r="D4420" t="s">
        <v>1</v>
      </c>
      <c r="E4420" t="s">
        <v>3385</v>
      </c>
      <c r="F4420" t="s">
        <v>3386</v>
      </c>
      <c r="G4420" t="s">
        <v>179</v>
      </c>
      <c r="H4420">
        <v>93</v>
      </c>
      <c r="I4420">
        <v>71.569999999999993</v>
      </c>
      <c r="J4420">
        <v>77.548000000000002</v>
      </c>
      <c r="K4420">
        <v>5.9779999999999998</v>
      </c>
      <c r="L4420">
        <v>49</v>
      </c>
      <c r="M4420">
        <v>13</v>
      </c>
      <c r="N4420">
        <v>31</v>
      </c>
      <c r="O4420">
        <v>76.188999999999993</v>
      </c>
      <c r="P4420">
        <v>7.5305199610000004</v>
      </c>
      <c r="Q4420">
        <v>13.831</v>
      </c>
    </row>
    <row r="4421" spans="1:17" x14ac:dyDescent="0.2">
      <c r="A4421" s="30" t="str">
        <f>IF(C4421&amp;G4421&amp;D4421&lt;&gt;'Funnel setup'!$K$3&amp;'Funnel setup'!$K$4&amp;'Funnel setup'!$K$5,".",IF(A4420=".",1,A4420+1))</f>
        <v>.</v>
      </c>
      <c r="B4421" s="431" t="str">
        <f t="shared" si="69"/>
        <v>Knee Replacement PrimaryProviderNUFFIELD HEALTH, LEEDS HOSPITAL (NT225)EQ VAS</v>
      </c>
      <c r="C4421" t="s">
        <v>249</v>
      </c>
      <c r="D4421" t="s">
        <v>1</v>
      </c>
      <c r="E4421" t="s">
        <v>3388</v>
      </c>
      <c r="F4421" t="s">
        <v>3389</v>
      </c>
      <c r="G4421" t="s">
        <v>179</v>
      </c>
      <c r="H4421">
        <v>123</v>
      </c>
      <c r="I4421">
        <v>71.885999999999996</v>
      </c>
      <c r="J4421">
        <v>76.706999999999994</v>
      </c>
      <c r="K4421">
        <v>4.8209999999999997</v>
      </c>
      <c r="L4421">
        <v>57</v>
      </c>
      <c r="M4421">
        <v>24</v>
      </c>
      <c r="N4421">
        <v>42</v>
      </c>
      <c r="O4421">
        <v>75.295000000000002</v>
      </c>
      <c r="P4421">
        <v>6.6370428319999997</v>
      </c>
      <c r="Q4421">
        <v>13.532</v>
      </c>
    </row>
    <row r="4422" spans="1:17" x14ac:dyDescent="0.2">
      <c r="A4422" s="30" t="str">
        <f>IF(C4422&amp;G4422&amp;D4422&lt;&gt;'Funnel setup'!$K$3&amp;'Funnel setup'!$K$4&amp;'Funnel setup'!$K$5,".",IF(A4421=".",1,A4421+1))</f>
        <v>.</v>
      </c>
      <c r="B4422" s="431" t="str">
        <f t="shared" si="69"/>
        <v>Knee Replacement PrimaryProviderNUFFIELD HEALTH, LEICESTER HOSPITAL (NT226)EQ VAS</v>
      </c>
      <c r="C4422" t="s">
        <v>249</v>
      </c>
      <c r="D4422" t="s">
        <v>1</v>
      </c>
      <c r="E4422" t="s">
        <v>3391</v>
      </c>
      <c r="F4422" t="s">
        <v>3392</v>
      </c>
      <c r="G4422" t="s">
        <v>179</v>
      </c>
      <c r="H4422">
        <v>47</v>
      </c>
      <c r="I4422">
        <v>68.212999999999994</v>
      </c>
      <c r="J4422">
        <v>77.233999999999995</v>
      </c>
      <c r="K4422">
        <v>9.0210000000000008</v>
      </c>
      <c r="L4422">
        <v>29</v>
      </c>
      <c r="M4422">
        <v>6</v>
      </c>
      <c r="N4422">
        <v>12</v>
      </c>
      <c r="O4422">
        <v>75.938000000000002</v>
      </c>
      <c r="P4422">
        <v>7.279925081</v>
      </c>
      <c r="Q4422">
        <v>15.406000000000001</v>
      </c>
    </row>
    <row r="4423" spans="1:17" x14ac:dyDescent="0.2">
      <c r="A4423" s="30" t="str">
        <f>IF(C4423&amp;G4423&amp;D4423&lt;&gt;'Funnel setup'!$K$3&amp;'Funnel setup'!$K$4&amp;'Funnel setup'!$K$5,".",IF(A4422=".",1,A4422+1))</f>
        <v>.</v>
      </c>
      <c r="B4423" s="431" t="str">
        <f t="shared" si="69"/>
        <v>Knee Replacement PrimaryProviderNUFFIELD HEALTH, NEWCASTLE UPON TYNE HOSPITAL (NT229)EQ VAS</v>
      </c>
      <c r="C4423" t="s">
        <v>249</v>
      </c>
      <c r="D4423" t="s">
        <v>1</v>
      </c>
      <c r="E4423" t="s">
        <v>3394</v>
      </c>
      <c r="F4423" t="s">
        <v>3395</v>
      </c>
      <c r="G4423" t="s">
        <v>179</v>
      </c>
      <c r="H4423">
        <v>37</v>
      </c>
      <c r="I4423">
        <v>73.350999999999999</v>
      </c>
      <c r="J4423">
        <v>77.540999999999997</v>
      </c>
      <c r="K4423">
        <v>4.1890000000000001</v>
      </c>
      <c r="L4423">
        <v>19</v>
      </c>
      <c r="M4423">
        <v>6</v>
      </c>
      <c r="N4423">
        <v>12</v>
      </c>
      <c r="O4423">
        <v>75.015000000000001</v>
      </c>
      <c r="P4423">
        <v>6.356907358</v>
      </c>
      <c r="Q4423">
        <v>15.603</v>
      </c>
    </row>
    <row r="4424" spans="1:17" x14ac:dyDescent="0.2">
      <c r="A4424" s="30" t="str">
        <f>IF(C4424&amp;G4424&amp;D4424&lt;&gt;'Funnel setup'!$K$3&amp;'Funnel setup'!$K$4&amp;'Funnel setup'!$K$5,".",IF(A4423=".",1,A4423+1))</f>
        <v>.</v>
      </c>
      <c r="B4424" s="431" t="str">
        <f t="shared" si="69"/>
        <v>Knee Replacement PrimaryProviderNUFFIELD HEALTH, NORTH STAFFORDSHIRE HOSPITAL (NT230)EQ VAS</v>
      </c>
      <c r="C4424" t="s">
        <v>249</v>
      </c>
      <c r="D4424" t="s">
        <v>1</v>
      </c>
      <c r="E4424" t="s">
        <v>3397</v>
      </c>
      <c r="F4424" t="s">
        <v>3398</v>
      </c>
      <c r="G4424" t="s">
        <v>179</v>
      </c>
      <c r="H4424">
        <v>98</v>
      </c>
      <c r="I4424">
        <v>65.724000000000004</v>
      </c>
      <c r="J4424">
        <v>70.662999999999997</v>
      </c>
      <c r="K4424">
        <v>4.9390000000000001</v>
      </c>
      <c r="L4424">
        <v>50</v>
      </c>
      <c r="M4424">
        <v>11</v>
      </c>
      <c r="N4424">
        <v>37</v>
      </c>
      <c r="O4424">
        <v>72.203999999999994</v>
      </c>
      <c r="P4424">
        <v>3.5458923000000002</v>
      </c>
      <c r="Q4424">
        <v>15.269</v>
      </c>
    </row>
    <row r="4425" spans="1:17" x14ac:dyDescent="0.2">
      <c r="A4425" s="30" t="str">
        <f>IF(C4425&amp;G4425&amp;D4425&lt;&gt;'Funnel setup'!$K$3&amp;'Funnel setup'!$K$4&amp;'Funnel setup'!$K$5,".",IF(A4424=".",1,A4424+1))</f>
        <v>.</v>
      </c>
      <c r="B4425" s="431" t="str">
        <f t="shared" si="69"/>
        <v>Knee Replacement PrimaryProviderNUFFIELD HEALTH, PLYMOUTH HOSPITAL (NT233)EQ VAS</v>
      </c>
      <c r="C4425" t="s">
        <v>249</v>
      </c>
      <c r="D4425" t="s">
        <v>1</v>
      </c>
      <c r="E4425" t="s">
        <v>3400</v>
      </c>
      <c r="F4425" t="s">
        <v>3401</v>
      </c>
      <c r="G4425" t="s">
        <v>179</v>
      </c>
      <c r="H4425">
        <v>100</v>
      </c>
      <c r="I4425">
        <v>69.47</v>
      </c>
      <c r="J4425">
        <v>75.290000000000006</v>
      </c>
      <c r="K4425">
        <v>5.82</v>
      </c>
      <c r="L4425">
        <v>59</v>
      </c>
      <c r="M4425">
        <v>13</v>
      </c>
      <c r="N4425">
        <v>28</v>
      </c>
      <c r="O4425">
        <v>74.08</v>
      </c>
      <c r="P4425">
        <v>5.4217781489999997</v>
      </c>
      <c r="Q4425">
        <v>14.167999999999999</v>
      </c>
    </row>
    <row r="4426" spans="1:17" x14ac:dyDescent="0.2">
      <c r="A4426" s="30" t="str">
        <f>IF(C4426&amp;G4426&amp;D4426&lt;&gt;'Funnel setup'!$K$3&amp;'Funnel setup'!$K$4&amp;'Funnel setup'!$K$5,".",IF(A4425=".",1,A4425+1))</f>
        <v>.</v>
      </c>
      <c r="B4426" s="431" t="str">
        <f t="shared" si="69"/>
        <v>Knee Replacement PrimaryProviderNUFFIELD HEALTH, SHREWSBURY HOSPITAL (NT235)EQ VAS</v>
      </c>
      <c r="C4426" t="s">
        <v>249</v>
      </c>
      <c r="D4426" t="s">
        <v>1</v>
      </c>
      <c r="E4426" t="s">
        <v>3240</v>
      </c>
      <c r="F4426" t="s">
        <v>3241</v>
      </c>
      <c r="G4426" t="s">
        <v>179</v>
      </c>
      <c r="H4426" t="s">
        <v>53</v>
      </c>
      <c r="I4426" t="s">
        <v>53</v>
      </c>
      <c r="J4426" t="s">
        <v>53</v>
      </c>
      <c r="K4426" t="s">
        <v>53</v>
      </c>
      <c r="L4426" t="s">
        <v>53</v>
      </c>
      <c r="M4426" t="s">
        <v>53</v>
      </c>
      <c r="N4426" t="s">
        <v>53</v>
      </c>
      <c r="O4426" t="s">
        <v>53</v>
      </c>
      <c r="P4426" t="s">
        <v>53</v>
      </c>
      <c r="Q4426" t="s">
        <v>53</v>
      </c>
    </row>
    <row r="4427" spans="1:17" x14ac:dyDescent="0.2">
      <c r="A4427" s="30" t="str">
        <f>IF(C4427&amp;G4427&amp;D4427&lt;&gt;'Funnel setup'!$K$3&amp;'Funnel setup'!$K$4&amp;'Funnel setup'!$K$5,".",IF(A4426=".",1,A4426+1))</f>
        <v>.</v>
      </c>
      <c r="B4427" s="431" t="str">
        <f t="shared" si="69"/>
        <v>Knee Replacement PrimaryProviderNUFFIELD HEALTH, TAUNTON HOSPITAL (NT238)EQ VAS</v>
      </c>
      <c r="C4427" t="s">
        <v>249</v>
      </c>
      <c r="D4427" t="s">
        <v>1</v>
      </c>
      <c r="E4427" t="s">
        <v>3243</v>
      </c>
      <c r="F4427" t="s">
        <v>3244</v>
      </c>
      <c r="G4427" t="s">
        <v>179</v>
      </c>
      <c r="H4427">
        <v>67</v>
      </c>
      <c r="I4427">
        <v>75.045000000000002</v>
      </c>
      <c r="J4427">
        <v>78.850999999999999</v>
      </c>
      <c r="K4427">
        <v>3.806</v>
      </c>
      <c r="L4427">
        <v>37</v>
      </c>
      <c r="M4427">
        <v>8</v>
      </c>
      <c r="N4427">
        <v>22</v>
      </c>
      <c r="O4427">
        <v>73.772000000000006</v>
      </c>
      <c r="P4427">
        <v>5.1133789419999998</v>
      </c>
      <c r="Q4427">
        <v>14.731999999999999</v>
      </c>
    </row>
    <row r="4428" spans="1:17" x14ac:dyDescent="0.2">
      <c r="A4428" s="30" t="str">
        <f>IF(C4428&amp;G4428&amp;D4428&lt;&gt;'Funnel setup'!$K$3&amp;'Funnel setup'!$K$4&amp;'Funnel setup'!$K$5,".",IF(A4427=".",1,A4427+1))</f>
        <v>.</v>
      </c>
      <c r="B4428" s="431" t="str">
        <f t="shared" si="69"/>
        <v>Knee Replacement PrimaryProviderNUFFIELD HEALTH, TEES HOSPITAL (NT237)EQ VAS</v>
      </c>
      <c r="C4428" t="s">
        <v>249</v>
      </c>
      <c r="D4428" t="s">
        <v>1</v>
      </c>
      <c r="E4428" t="s">
        <v>3246</v>
      </c>
      <c r="F4428" t="s">
        <v>3247</v>
      </c>
      <c r="G4428" t="s">
        <v>179</v>
      </c>
      <c r="H4428">
        <v>134</v>
      </c>
      <c r="I4428">
        <v>70.754000000000005</v>
      </c>
      <c r="J4428">
        <v>78.805999999999997</v>
      </c>
      <c r="K4428">
        <v>8.0519999999999996</v>
      </c>
      <c r="L4428">
        <v>75</v>
      </c>
      <c r="M4428">
        <v>20</v>
      </c>
      <c r="N4428">
        <v>39</v>
      </c>
      <c r="O4428">
        <v>76.313000000000002</v>
      </c>
      <c r="P4428">
        <v>7.654800625</v>
      </c>
      <c r="Q4428">
        <v>11.397</v>
      </c>
    </row>
    <row r="4429" spans="1:17" x14ac:dyDescent="0.2">
      <c r="A4429" s="30" t="str">
        <f>IF(C4429&amp;G4429&amp;D4429&lt;&gt;'Funnel setup'!$K$3&amp;'Funnel setup'!$K$4&amp;'Funnel setup'!$K$5,".",IF(A4428=".",1,A4428+1))</f>
        <v>.</v>
      </c>
      <c r="B4429" s="431" t="str">
        <f t="shared" si="69"/>
        <v>Knee Replacement PrimaryProviderNUFFIELD HEALTH, THE GROSVENOR HOSPITAL, CHESTER (NT210)EQ VAS</v>
      </c>
      <c r="C4429" t="s">
        <v>249</v>
      </c>
      <c r="D4429" t="s">
        <v>1</v>
      </c>
      <c r="E4429" t="s">
        <v>3249</v>
      </c>
      <c r="F4429" t="s">
        <v>3250</v>
      </c>
      <c r="G4429" t="s">
        <v>179</v>
      </c>
      <c r="H4429">
        <v>60</v>
      </c>
      <c r="I4429">
        <v>73.05</v>
      </c>
      <c r="J4429">
        <v>81.167000000000002</v>
      </c>
      <c r="K4429">
        <v>8.1170000000000009</v>
      </c>
      <c r="L4429">
        <v>39</v>
      </c>
      <c r="M4429">
        <v>7</v>
      </c>
      <c r="N4429">
        <v>14</v>
      </c>
      <c r="O4429">
        <v>79.061999999999998</v>
      </c>
      <c r="P4429">
        <v>10.403472669999999</v>
      </c>
      <c r="Q4429">
        <v>11.955</v>
      </c>
    </row>
    <row r="4430" spans="1:17" x14ac:dyDescent="0.2">
      <c r="A4430" s="30" t="str">
        <f>IF(C4430&amp;G4430&amp;D4430&lt;&gt;'Funnel setup'!$K$3&amp;'Funnel setup'!$K$4&amp;'Funnel setup'!$K$5,".",IF(A4429=".",1,A4429+1))</f>
        <v>.</v>
      </c>
      <c r="B4430" s="431" t="str">
        <f t="shared" si="69"/>
        <v>Knee Replacement PrimaryProviderNUFFIELD HEALTH, TUNBRIDGE WELLS HOSPITAL (NT239)EQ VAS</v>
      </c>
      <c r="C4430" t="s">
        <v>249</v>
      </c>
      <c r="D4430" t="s">
        <v>1</v>
      </c>
      <c r="E4430" t="s">
        <v>3252</v>
      </c>
      <c r="F4430" t="s">
        <v>3253</v>
      </c>
      <c r="G4430" t="s">
        <v>179</v>
      </c>
      <c r="H4430" t="s">
        <v>53</v>
      </c>
      <c r="I4430" t="s">
        <v>53</v>
      </c>
      <c r="J4430" t="s">
        <v>53</v>
      </c>
      <c r="K4430" t="s">
        <v>53</v>
      </c>
      <c r="L4430" t="s">
        <v>53</v>
      </c>
      <c r="M4430" t="s">
        <v>53</v>
      </c>
      <c r="N4430" t="s">
        <v>53</v>
      </c>
      <c r="O4430" t="s">
        <v>53</v>
      </c>
      <c r="P4430" t="s">
        <v>53</v>
      </c>
      <c r="Q4430" t="s">
        <v>53</v>
      </c>
    </row>
    <row r="4431" spans="1:17" x14ac:dyDescent="0.2">
      <c r="A4431" s="30" t="str">
        <f>IF(C4431&amp;G4431&amp;D4431&lt;&gt;'Funnel setup'!$K$3&amp;'Funnel setup'!$K$4&amp;'Funnel setup'!$K$5,".",IF(A4430=".",1,A4430+1))</f>
        <v>.</v>
      </c>
      <c r="B4431" s="431" t="str">
        <f t="shared" si="69"/>
        <v>Knee Replacement PrimaryProviderNUFFIELD HEALTH, WARWICKSHIRE HOSPITAL (NT224)EQ VAS</v>
      </c>
      <c r="C4431" t="s">
        <v>249</v>
      </c>
      <c r="D4431" t="s">
        <v>1</v>
      </c>
      <c r="E4431" t="s">
        <v>3255</v>
      </c>
      <c r="F4431" t="s">
        <v>3256</v>
      </c>
      <c r="G4431" t="s">
        <v>179</v>
      </c>
      <c r="H4431" t="s">
        <v>53</v>
      </c>
      <c r="I4431" t="s">
        <v>53</v>
      </c>
      <c r="J4431" t="s">
        <v>53</v>
      </c>
      <c r="K4431" t="s">
        <v>53</v>
      </c>
      <c r="L4431" t="s">
        <v>53</v>
      </c>
      <c r="M4431" t="s">
        <v>53</v>
      </c>
      <c r="N4431" t="s">
        <v>53</v>
      </c>
      <c r="O4431" t="s">
        <v>53</v>
      </c>
      <c r="P4431" t="s">
        <v>53</v>
      </c>
      <c r="Q4431" t="s">
        <v>53</v>
      </c>
    </row>
    <row r="4432" spans="1:17" x14ac:dyDescent="0.2">
      <c r="A4432" s="30" t="str">
        <f>IF(C4432&amp;G4432&amp;D4432&lt;&gt;'Funnel setup'!$K$3&amp;'Funnel setup'!$K$4&amp;'Funnel setup'!$K$5,".",IF(A4431=".",1,A4431+1))</f>
        <v>.</v>
      </c>
      <c r="B4432" s="431" t="str">
        <f t="shared" si="69"/>
        <v>Knee Replacement PrimaryProviderNUFFIELD HEALTH, WESSEX HOSPITAL (NT214)EQ VAS</v>
      </c>
      <c r="C4432" t="s">
        <v>249</v>
      </c>
      <c r="D4432" t="s">
        <v>1</v>
      </c>
      <c r="E4432" t="s">
        <v>3258</v>
      </c>
      <c r="F4432" t="s">
        <v>3259</v>
      </c>
      <c r="G4432" t="s">
        <v>179</v>
      </c>
      <c r="H4432">
        <v>43</v>
      </c>
      <c r="I4432">
        <v>70.325999999999993</v>
      </c>
      <c r="J4432">
        <v>74.278999999999996</v>
      </c>
      <c r="K4432">
        <v>3.9529999999999998</v>
      </c>
      <c r="L4432">
        <v>21</v>
      </c>
      <c r="M4432">
        <v>9</v>
      </c>
      <c r="N4432">
        <v>13</v>
      </c>
      <c r="O4432">
        <v>71.649000000000001</v>
      </c>
      <c r="P4432">
        <v>2.990352895</v>
      </c>
      <c r="Q4432">
        <v>19.052</v>
      </c>
    </row>
    <row r="4433" spans="1:17" x14ac:dyDescent="0.2">
      <c r="A4433" s="30" t="str">
        <f>IF(C4433&amp;G4433&amp;D4433&lt;&gt;'Funnel setup'!$K$3&amp;'Funnel setup'!$K$4&amp;'Funnel setup'!$K$5,".",IF(A4432=".",1,A4432+1))</f>
        <v>.</v>
      </c>
      <c r="B4433" s="431" t="str">
        <f t="shared" si="69"/>
        <v>Knee Replacement PrimaryProviderNUFFIELD HEALTH, WOKING HOSPITAL (NT241)EQ VAS</v>
      </c>
      <c r="C4433" t="s">
        <v>249</v>
      </c>
      <c r="D4433" t="s">
        <v>1</v>
      </c>
      <c r="E4433" t="s">
        <v>3261</v>
      </c>
      <c r="F4433" t="s">
        <v>3262</v>
      </c>
      <c r="G4433" t="s">
        <v>179</v>
      </c>
      <c r="H4433">
        <v>17</v>
      </c>
      <c r="I4433">
        <v>82.765000000000001</v>
      </c>
      <c r="J4433">
        <v>83.471000000000004</v>
      </c>
      <c r="K4433">
        <v>0.70599999999999996</v>
      </c>
      <c r="L4433">
        <v>8</v>
      </c>
      <c r="M4433">
        <v>1</v>
      </c>
      <c r="N4433">
        <v>8</v>
      </c>
      <c r="O4433" t="s">
        <v>53</v>
      </c>
      <c r="P4433" t="s">
        <v>53</v>
      </c>
      <c r="Q4433" t="s">
        <v>53</v>
      </c>
    </row>
    <row r="4434" spans="1:17" x14ac:dyDescent="0.2">
      <c r="A4434" s="30" t="str">
        <f>IF(C4434&amp;G4434&amp;D4434&lt;&gt;'Funnel setup'!$K$3&amp;'Funnel setup'!$K$4&amp;'Funnel setup'!$K$5,".",IF(A4433=".",1,A4433+1))</f>
        <v>.</v>
      </c>
      <c r="B4434" s="431" t="str">
        <f t="shared" si="69"/>
        <v>Knee Replacement PrimaryProviderNUFFIELD HEALTH, WOLVERHAMPTON HOSPITAL (NT242)EQ VAS</v>
      </c>
      <c r="C4434" t="s">
        <v>249</v>
      </c>
      <c r="D4434" t="s">
        <v>1</v>
      </c>
      <c r="E4434" t="s">
        <v>3264</v>
      </c>
      <c r="F4434" t="s">
        <v>3265</v>
      </c>
      <c r="G4434" t="s">
        <v>179</v>
      </c>
      <c r="H4434">
        <v>73</v>
      </c>
      <c r="I4434">
        <v>74.781000000000006</v>
      </c>
      <c r="J4434">
        <v>76.355999999999995</v>
      </c>
      <c r="K4434">
        <v>1.575</v>
      </c>
      <c r="L4434">
        <v>33</v>
      </c>
      <c r="M4434">
        <v>16</v>
      </c>
      <c r="N4434">
        <v>24</v>
      </c>
      <c r="O4434">
        <v>73.614000000000004</v>
      </c>
      <c r="P4434">
        <v>4.9559277599999998</v>
      </c>
      <c r="Q4434">
        <v>12.057</v>
      </c>
    </row>
    <row r="4435" spans="1:17" x14ac:dyDescent="0.2">
      <c r="A4435" s="30" t="str">
        <f>IF(C4435&amp;G4435&amp;D4435&lt;&gt;'Funnel setup'!$K$3&amp;'Funnel setup'!$K$4&amp;'Funnel setup'!$K$5,".",IF(A4434=".",1,A4434+1))</f>
        <v>.</v>
      </c>
      <c r="B4435" s="431" t="str">
        <f t="shared" si="69"/>
        <v>Knee Replacement PrimaryProviderNUFFIELD HEALTH, YORK HOSPITAL (NT245)EQ VAS</v>
      </c>
      <c r="C4435" t="s">
        <v>249</v>
      </c>
      <c r="D4435" t="s">
        <v>1</v>
      </c>
      <c r="E4435" t="s">
        <v>4299</v>
      </c>
      <c r="F4435" t="s">
        <v>4300</v>
      </c>
      <c r="G4435" t="s">
        <v>179</v>
      </c>
      <c r="H4435">
        <v>131</v>
      </c>
      <c r="I4435">
        <v>68.679000000000002</v>
      </c>
      <c r="J4435">
        <v>78.015000000000001</v>
      </c>
      <c r="K4435">
        <v>9.3360000000000003</v>
      </c>
      <c r="L4435">
        <v>87</v>
      </c>
      <c r="M4435">
        <v>13</v>
      </c>
      <c r="N4435">
        <v>31</v>
      </c>
      <c r="O4435">
        <v>75.680000000000007</v>
      </c>
      <c r="P4435">
        <v>7.0217403550000004</v>
      </c>
      <c r="Q4435">
        <v>13.212</v>
      </c>
    </row>
    <row r="4436" spans="1:17" x14ac:dyDescent="0.2">
      <c r="A4436" s="30" t="str">
        <f>IF(C4436&amp;G4436&amp;D4436&lt;&gt;'Funnel setup'!$K$3&amp;'Funnel setup'!$K$4&amp;'Funnel setup'!$K$5,".",IF(A4435=".",1,A4435+1))</f>
        <v>.</v>
      </c>
      <c r="B4436" s="431" t="str">
        <f t="shared" si="69"/>
        <v>Knee Replacement PrimaryProviderNUFFIELD HOSPITAL OXFORD (THE MANOR) (NT244)EQ VAS</v>
      </c>
      <c r="C4436" t="s">
        <v>249</v>
      </c>
      <c r="D4436" t="s">
        <v>1</v>
      </c>
      <c r="E4436" t="s">
        <v>4302</v>
      </c>
      <c r="F4436" t="s">
        <v>4303</v>
      </c>
      <c r="G4436" t="s">
        <v>179</v>
      </c>
      <c r="H4436">
        <v>8</v>
      </c>
      <c r="I4436">
        <v>68.125</v>
      </c>
      <c r="J4436">
        <v>82.75</v>
      </c>
      <c r="K4436">
        <v>14.625</v>
      </c>
      <c r="L4436">
        <v>6</v>
      </c>
      <c r="M4436">
        <v>1</v>
      </c>
      <c r="N4436">
        <v>1</v>
      </c>
      <c r="O4436" t="s">
        <v>53</v>
      </c>
      <c r="P4436" t="s">
        <v>53</v>
      </c>
      <c r="Q4436" t="s">
        <v>53</v>
      </c>
    </row>
    <row r="4437" spans="1:17" x14ac:dyDescent="0.2">
      <c r="A4437" s="30" t="str">
        <f>IF(C4437&amp;G4437&amp;D4437&lt;&gt;'Funnel setup'!$K$3&amp;'Funnel setup'!$K$4&amp;'Funnel setup'!$K$5,".",IF(A4436=".",1,A4436+1))</f>
        <v>.</v>
      </c>
      <c r="B4437" s="431" t="str">
        <f t="shared" si="69"/>
        <v>Knee Replacement PrimaryProviderOAKLANDS HOSPITAL (NVC12)EQ VAS</v>
      </c>
      <c r="C4437" t="s">
        <v>249</v>
      </c>
      <c r="D4437" t="s">
        <v>1</v>
      </c>
      <c r="E4437" t="s">
        <v>3267</v>
      </c>
      <c r="F4437" t="s">
        <v>3268</v>
      </c>
      <c r="G4437" t="s">
        <v>179</v>
      </c>
      <c r="H4437">
        <v>123</v>
      </c>
      <c r="I4437">
        <v>74.894000000000005</v>
      </c>
      <c r="J4437">
        <v>73.861999999999995</v>
      </c>
      <c r="K4437">
        <v>-1.0329999999999999</v>
      </c>
      <c r="L4437">
        <v>53</v>
      </c>
      <c r="M4437">
        <v>16</v>
      </c>
      <c r="N4437">
        <v>54</v>
      </c>
      <c r="O4437">
        <v>73.113</v>
      </c>
      <c r="P4437">
        <v>4.4544156629999998</v>
      </c>
      <c r="Q4437">
        <v>17.849</v>
      </c>
    </row>
    <row r="4438" spans="1:17" x14ac:dyDescent="0.2">
      <c r="A4438" s="30" t="str">
        <f>IF(C4438&amp;G4438&amp;D4438&lt;&gt;'Funnel setup'!$K$3&amp;'Funnel setup'!$K$4&amp;'Funnel setup'!$K$5,".",IF(A4437=".",1,A4437+1))</f>
        <v>.</v>
      </c>
      <c r="B4438" s="431" t="str">
        <f t="shared" si="69"/>
        <v>Knee Replacement PrimaryProviderOAKS HOSPITAL (NVC13)EQ VAS</v>
      </c>
      <c r="C4438" t="s">
        <v>249</v>
      </c>
      <c r="D4438" t="s">
        <v>1</v>
      </c>
      <c r="E4438" t="s">
        <v>3270</v>
      </c>
      <c r="F4438" t="s">
        <v>3271</v>
      </c>
      <c r="G4438" t="s">
        <v>179</v>
      </c>
      <c r="H4438">
        <v>147</v>
      </c>
      <c r="I4438">
        <v>71.98</v>
      </c>
      <c r="J4438">
        <v>78.135999999999996</v>
      </c>
      <c r="K4438">
        <v>6.1559999999999997</v>
      </c>
      <c r="L4438">
        <v>83</v>
      </c>
      <c r="M4438">
        <v>20</v>
      </c>
      <c r="N4438">
        <v>44</v>
      </c>
      <c r="O4438">
        <v>76.433999999999997</v>
      </c>
      <c r="P4438">
        <v>7.7757176259999996</v>
      </c>
      <c r="Q4438">
        <v>13.026999999999999</v>
      </c>
    </row>
    <row r="4439" spans="1:17" x14ac:dyDescent="0.2">
      <c r="A4439" s="30" t="str">
        <f>IF(C4439&amp;G4439&amp;D4439&lt;&gt;'Funnel setup'!$K$3&amp;'Funnel setup'!$K$4&amp;'Funnel setup'!$K$5,".",IF(A4438=".",1,A4438+1))</f>
        <v>.</v>
      </c>
      <c r="B4439" s="431" t="str">
        <f t="shared" si="69"/>
        <v>Knee Replacement PrimaryProviderONE HEALTH GROUP LTD (NTX01)EQ VAS</v>
      </c>
      <c r="C4439" t="s">
        <v>249</v>
      </c>
      <c r="D4439" t="s">
        <v>1</v>
      </c>
      <c r="E4439" t="s">
        <v>6507</v>
      </c>
      <c r="F4439" t="s">
        <v>6508</v>
      </c>
      <c r="G4439" t="s">
        <v>179</v>
      </c>
      <c r="H4439">
        <v>34</v>
      </c>
      <c r="I4439">
        <v>71.234999999999999</v>
      </c>
      <c r="J4439">
        <v>77.058999999999997</v>
      </c>
      <c r="K4439">
        <v>5.8239999999999998</v>
      </c>
      <c r="L4439">
        <v>18</v>
      </c>
      <c r="M4439">
        <v>7</v>
      </c>
      <c r="N4439">
        <v>9</v>
      </c>
      <c r="O4439">
        <v>73.674999999999997</v>
      </c>
      <c r="P4439">
        <v>5.0163725379999997</v>
      </c>
      <c r="Q4439">
        <v>14.497999999999999</v>
      </c>
    </row>
    <row r="4440" spans="1:17" x14ac:dyDescent="0.2">
      <c r="A4440" s="30" t="str">
        <f>IF(C4440&amp;G4440&amp;D4440&lt;&gt;'Funnel setup'!$K$3&amp;'Funnel setup'!$K$4&amp;'Funnel setup'!$K$5,".",IF(A4439=".",1,A4439+1))</f>
        <v>.</v>
      </c>
      <c r="B4440" s="431" t="str">
        <f t="shared" si="69"/>
        <v>Knee Replacement PrimaryProviderOXFORD UNIVERSITY HOSPITALS NHS FOUNDATION TRUST (RTH)EQ VAS</v>
      </c>
      <c r="C4440" t="s">
        <v>249</v>
      </c>
      <c r="D4440" t="s">
        <v>1</v>
      </c>
      <c r="E4440" t="s">
        <v>3278</v>
      </c>
      <c r="F4440" t="s">
        <v>6578</v>
      </c>
      <c r="G4440" t="s">
        <v>179</v>
      </c>
      <c r="H4440">
        <v>241</v>
      </c>
      <c r="I4440">
        <v>67.876000000000005</v>
      </c>
      <c r="J4440">
        <v>74.314999999999998</v>
      </c>
      <c r="K4440">
        <v>6.44</v>
      </c>
      <c r="L4440">
        <v>139</v>
      </c>
      <c r="M4440">
        <v>30</v>
      </c>
      <c r="N4440">
        <v>72</v>
      </c>
      <c r="O4440">
        <v>74.364000000000004</v>
      </c>
      <c r="P4440">
        <v>5.7057587620000003</v>
      </c>
      <c r="Q4440">
        <v>16.530999999999999</v>
      </c>
    </row>
    <row r="4441" spans="1:17" x14ac:dyDescent="0.2">
      <c r="A4441" s="30" t="str">
        <f>IF(C4441&amp;G4441&amp;D4441&lt;&gt;'Funnel setup'!$K$3&amp;'Funnel setup'!$K$4&amp;'Funnel setup'!$K$5,".",IF(A4440=".",1,A4440+1))</f>
        <v>.</v>
      </c>
      <c r="B4441" s="431" t="str">
        <f t="shared" si="69"/>
        <v>Knee Replacement PrimaryProviderPARK HILL HOSPITAL (NVC14)EQ VAS</v>
      </c>
      <c r="C4441" t="s">
        <v>249</v>
      </c>
      <c r="D4441" t="s">
        <v>1</v>
      </c>
      <c r="E4441" t="s">
        <v>3280</v>
      </c>
      <c r="F4441" t="s">
        <v>3281</v>
      </c>
      <c r="G4441" t="s">
        <v>179</v>
      </c>
      <c r="H4441">
        <v>30</v>
      </c>
      <c r="I4441">
        <v>71.533000000000001</v>
      </c>
      <c r="J4441">
        <v>74.766999999999996</v>
      </c>
      <c r="K4441">
        <v>3.2330000000000001</v>
      </c>
      <c r="L4441">
        <v>14</v>
      </c>
      <c r="M4441">
        <v>5</v>
      </c>
      <c r="N4441">
        <v>11</v>
      </c>
      <c r="O4441">
        <v>74.478999999999999</v>
      </c>
      <c r="P4441">
        <v>5.82106952</v>
      </c>
      <c r="Q4441">
        <v>17.667999999999999</v>
      </c>
    </row>
    <row r="4442" spans="1:17" x14ac:dyDescent="0.2">
      <c r="A4442" s="30" t="str">
        <f>IF(C4442&amp;G4442&amp;D4442&lt;&gt;'Funnel setup'!$K$3&amp;'Funnel setup'!$K$4&amp;'Funnel setup'!$K$5,".",IF(A4441=".",1,A4441+1))</f>
        <v>.</v>
      </c>
      <c r="B4442" s="431" t="str">
        <f t="shared" si="69"/>
        <v>Knee Replacement PrimaryProviderPENINSULA NHS TREATMENT CENTRE (NTPH5)EQ VAS</v>
      </c>
      <c r="C4442" t="s">
        <v>249</v>
      </c>
      <c r="D4442" t="s">
        <v>1</v>
      </c>
      <c r="E4442" t="s">
        <v>4285</v>
      </c>
      <c r="F4442" t="s">
        <v>4286</v>
      </c>
      <c r="G4442" t="s">
        <v>179</v>
      </c>
      <c r="H4442">
        <v>213</v>
      </c>
      <c r="I4442">
        <v>74.957999999999998</v>
      </c>
      <c r="J4442">
        <v>79.600999999999999</v>
      </c>
      <c r="K4442">
        <v>4.6429999999999998</v>
      </c>
      <c r="L4442">
        <v>107</v>
      </c>
      <c r="M4442">
        <v>34</v>
      </c>
      <c r="N4442">
        <v>72</v>
      </c>
      <c r="O4442">
        <v>75.593000000000004</v>
      </c>
      <c r="P4442">
        <v>6.9345920980000004</v>
      </c>
      <c r="Q4442">
        <v>14.388</v>
      </c>
    </row>
    <row r="4443" spans="1:17" x14ac:dyDescent="0.2">
      <c r="A4443" s="30" t="str">
        <f>IF(C4443&amp;G4443&amp;D4443&lt;&gt;'Funnel setup'!$K$3&amp;'Funnel setup'!$K$4&amp;'Funnel setup'!$K$5,".",IF(A4442=".",1,A4442+1))</f>
        <v>.</v>
      </c>
      <c r="B4443" s="431" t="str">
        <f t="shared" si="69"/>
        <v>Knee Replacement PrimaryProviderPENNINE ACUTE HOSPITALS NHS TRUST (RW6)EQ VAS</v>
      </c>
      <c r="C4443" t="s">
        <v>249</v>
      </c>
      <c r="D4443" t="s">
        <v>1</v>
      </c>
      <c r="E4443" t="s">
        <v>3216</v>
      </c>
      <c r="F4443" t="s">
        <v>3217</v>
      </c>
      <c r="G4443" t="s">
        <v>179</v>
      </c>
      <c r="H4443">
        <v>159</v>
      </c>
      <c r="I4443">
        <v>62.207999999999998</v>
      </c>
      <c r="J4443">
        <v>68.126000000000005</v>
      </c>
      <c r="K4443">
        <v>5.9180000000000001</v>
      </c>
      <c r="L4443">
        <v>81</v>
      </c>
      <c r="M4443">
        <v>23</v>
      </c>
      <c r="N4443">
        <v>55</v>
      </c>
      <c r="O4443">
        <v>72.772000000000006</v>
      </c>
      <c r="P4443">
        <v>4.1139822019999999</v>
      </c>
      <c r="Q4443">
        <v>17.292999999999999</v>
      </c>
    </row>
    <row r="4444" spans="1:17" x14ac:dyDescent="0.2">
      <c r="A4444" s="30" t="str">
        <f>IF(C4444&amp;G4444&amp;D4444&lt;&gt;'Funnel setup'!$K$3&amp;'Funnel setup'!$K$4&amp;'Funnel setup'!$K$5,".",IF(A4443=".",1,A4443+1))</f>
        <v>.</v>
      </c>
      <c r="B4444" s="431" t="str">
        <f t="shared" si="69"/>
        <v>Knee Replacement PrimaryProviderPETERBOROUGH AND STAMFORD HOSPITALS NHS FOUNDATION TRUST (RGN)EQ VAS</v>
      </c>
      <c r="C4444" t="s">
        <v>249</v>
      </c>
      <c r="D4444" t="s">
        <v>1</v>
      </c>
      <c r="E4444" t="s">
        <v>3219</v>
      </c>
      <c r="F4444" t="s">
        <v>3220</v>
      </c>
      <c r="G4444" t="s">
        <v>179</v>
      </c>
      <c r="H4444">
        <v>211</v>
      </c>
      <c r="I4444">
        <v>68.980999999999995</v>
      </c>
      <c r="J4444">
        <v>74.787000000000006</v>
      </c>
      <c r="K4444">
        <v>5.806</v>
      </c>
      <c r="L4444">
        <v>112</v>
      </c>
      <c r="M4444">
        <v>30</v>
      </c>
      <c r="N4444">
        <v>69</v>
      </c>
      <c r="O4444">
        <v>74.304000000000002</v>
      </c>
      <c r="P4444">
        <v>5.6457271340000004</v>
      </c>
      <c r="Q4444">
        <v>16.143000000000001</v>
      </c>
    </row>
    <row r="4445" spans="1:17" x14ac:dyDescent="0.2">
      <c r="A4445" s="30" t="str">
        <f>IF(C4445&amp;G4445&amp;D4445&lt;&gt;'Funnel setup'!$K$3&amp;'Funnel setup'!$K$4&amp;'Funnel setup'!$K$5,".",IF(A4444=".",1,A4444+1))</f>
        <v>.</v>
      </c>
      <c r="B4445" s="431" t="str">
        <f t="shared" si="69"/>
        <v>Knee Replacement PrimaryProviderPINEHILL HOSPITAL (NVC15)EQ VAS</v>
      </c>
      <c r="C4445" t="s">
        <v>249</v>
      </c>
      <c r="D4445" t="s">
        <v>1</v>
      </c>
      <c r="E4445" t="s">
        <v>3222</v>
      </c>
      <c r="F4445" t="s">
        <v>3223</v>
      </c>
      <c r="G4445" t="s">
        <v>179</v>
      </c>
      <c r="H4445">
        <v>33</v>
      </c>
      <c r="I4445">
        <v>76.817999999999998</v>
      </c>
      <c r="J4445">
        <v>76.152000000000001</v>
      </c>
      <c r="K4445">
        <v>-0.66700000000000004</v>
      </c>
      <c r="L4445">
        <v>17</v>
      </c>
      <c r="M4445">
        <v>1</v>
      </c>
      <c r="N4445">
        <v>15</v>
      </c>
      <c r="O4445">
        <v>73.739000000000004</v>
      </c>
      <c r="P4445">
        <v>5.080287223</v>
      </c>
      <c r="Q4445">
        <v>16.815000000000001</v>
      </c>
    </row>
    <row r="4446" spans="1:17" x14ac:dyDescent="0.2">
      <c r="A4446" s="30" t="str">
        <f>IF(C4446&amp;G4446&amp;D4446&lt;&gt;'Funnel setup'!$K$3&amp;'Funnel setup'!$K$4&amp;'Funnel setup'!$K$5,".",IF(A4445=".",1,A4445+1))</f>
        <v>.</v>
      </c>
      <c r="B4446" s="431" t="str">
        <f t="shared" si="69"/>
        <v>Knee Replacement PrimaryProviderPLYMOUTH HOSPITALS NHS TRUST (RK9)EQ VAS</v>
      </c>
      <c r="C4446" t="s">
        <v>249</v>
      </c>
      <c r="D4446" t="s">
        <v>1</v>
      </c>
      <c r="E4446" t="s">
        <v>3225</v>
      </c>
      <c r="F4446" t="s">
        <v>3226</v>
      </c>
      <c r="G4446" t="s">
        <v>179</v>
      </c>
      <c r="H4446">
        <v>199</v>
      </c>
      <c r="I4446">
        <v>64.221000000000004</v>
      </c>
      <c r="J4446">
        <v>71.165999999999997</v>
      </c>
      <c r="K4446">
        <v>6.9450000000000003</v>
      </c>
      <c r="L4446">
        <v>120</v>
      </c>
      <c r="M4446">
        <v>20</v>
      </c>
      <c r="N4446">
        <v>59</v>
      </c>
      <c r="O4446">
        <v>73.287000000000006</v>
      </c>
      <c r="P4446">
        <v>4.6290983399999996</v>
      </c>
      <c r="Q4446">
        <v>16.192</v>
      </c>
    </row>
    <row r="4447" spans="1:17" x14ac:dyDescent="0.2">
      <c r="A4447" s="30" t="str">
        <f>IF(C4447&amp;G4447&amp;D4447&lt;&gt;'Funnel setup'!$K$3&amp;'Funnel setup'!$K$4&amp;'Funnel setup'!$K$5,".",IF(A4446=".",1,A4446+1))</f>
        <v>.</v>
      </c>
      <c r="B4447" s="431" t="str">
        <f t="shared" si="69"/>
        <v>Knee Replacement PrimaryProviderPORTSMOUTH HOSPITALS NHS TRUST (RHU)EQ VAS</v>
      </c>
      <c r="C4447" t="s">
        <v>249</v>
      </c>
      <c r="D4447" t="s">
        <v>1</v>
      </c>
      <c r="E4447" t="s">
        <v>3234</v>
      </c>
      <c r="F4447" t="s">
        <v>3235</v>
      </c>
      <c r="G4447" t="s">
        <v>179</v>
      </c>
      <c r="H4447">
        <v>134</v>
      </c>
      <c r="I4447">
        <v>70.507000000000005</v>
      </c>
      <c r="J4447">
        <v>74.881</v>
      </c>
      <c r="K4447">
        <v>4.3730000000000002</v>
      </c>
      <c r="L4447">
        <v>75</v>
      </c>
      <c r="M4447">
        <v>22</v>
      </c>
      <c r="N4447">
        <v>37</v>
      </c>
      <c r="O4447">
        <v>73.87</v>
      </c>
      <c r="P4447">
        <v>5.2115353320000004</v>
      </c>
      <c r="Q4447">
        <v>16.861000000000001</v>
      </c>
    </row>
    <row r="4448" spans="1:17" x14ac:dyDescent="0.2">
      <c r="A4448" s="30" t="str">
        <f>IF(C4448&amp;G4448&amp;D4448&lt;&gt;'Funnel setup'!$K$3&amp;'Funnel setup'!$K$4&amp;'Funnel setup'!$K$5,".",IF(A4447=".",1,A4447+1))</f>
        <v>.</v>
      </c>
      <c r="B4448" s="431" t="str">
        <f t="shared" si="69"/>
        <v>Knee Replacement PrimaryProviderRENACRES HOSPITAL (NVC16)EQ VAS</v>
      </c>
      <c r="C4448" t="s">
        <v>249</v>
      </c>
      <c r="D4448" t="s">
        <v>1</v>
      </c>
      <c r="E4448" t="s">
        <v>3237</v>
      </c>
      <c r="F4448" t="s">
        <v>3238</v>
      </c>
      <c r="G4448" t="s">
        <v>179</v>
      </c>
      <c r="H4448">
        <v>49</v>
      </c>
      <c r="I4448">
        <v>71.489999999999995</v>
      </c>
      <c r="J4448">
        <v>74.653000000000006</v>
      </c>
      <c r="K4448">
        <v>3.1629999999999998</v>
      </c>
      <c r="L4448">
        <v>23</v>
      </c>
      <c r="M4448">
        <v>4</v>
      </c>
      <c r="N4448">
        <v>22</v>
      </c>
      <c r="O4448">
        <v>71.826999999999998</v>
      </c>
      <c r="P4448">
        <v>3.1682122939999999</v>
      </c>
      <c r="Q4448">
        <v>14.956</v>
      </c>
    </row>
    <row r="4449" spans="1:17" x14ac:dyDescent="0.2">
      <c r="A4449" s="30" t="str">
        <f>IF(C4449&amp;G4449&amp;D4449&lt;&gt;'Funnel setup'!$K$3&amp;'Funnel setup'!$K$4&amp;'Funnel setup'!$K$5,".",IF(A4448=".",1,A4448+1))</f>
        <v>.</v>
      </c>
      <c r="B4449" s="431" t="str">
        <f t="shared" si="69"/>
        <v>Knee Replacement PrimaryProviderRIVERS HOSPITAL (NVC19)EQ VAS</v>
      </c>
      <c r="C4449" t="s">
        <v>249</v>
      </c>
      <c r="D4449" t="s">
        <v>1</v>
      </c>
      <c r="E4449" t="s">
        <v>3204</v>
      </c>
      <c r="F4449" t="s">
        <v>3205</v>
      </c>
      <c r="G4449" t="s">
        <v>179</v>
      </c>
      <c r="H4449">
        <v>71</v>
      </c>
      <c r="I4449">
        <v>68.760999999999996</v>
      </c>
      <c r="J4449">
        <v>76.408000000000001</v>
      </c>
      <c r="K4449">
        <v>7.6479999999999997</v>
      </c>
      <c r="L4449">
        <v>45</v>
      </c>
      <c r="M4449">
        <v>11</v>
      </c>
      <c r="N4449">
        <v>15</v>
      </c>
      <c r="O4449">
        <v>74.97</v>
      </c>
      <c r="P4449">
        <v>6.3117929950000002</v>
      </c>
      <c r="Q4449">
        <v>14.954000000000001</v>
      </c>
    </row>
    <row r="4450" spans="1:17" x14ac:dyDescent="0.2">
      <c r="A4450" s="30" t="str">
        <f>IF(C4450&amp;G4450&amp;D4450&lt;&gt;'Funnel setup'!$K$3&amp;'Funnel setup'!$K$4&amp;'Funnel setup'!$K$5,".",IF(A4449=".",1,A4449+1))</f>
        <v>.</v>
      </c>
      <c r="B4450" s="431" t="str">
        <f t="shared" si="69"/>
        <v>Knee Replacement PrimaryProviderROWLEY HALL HOSPITAL (NVC17)EQ VAS</v>
      </c>
      <c r="C4450" t="s">
        <v>249</v>
      </c>
      <c r="D4450" t="s">
        <v>1</v>
      </c>
      <c r="E4450" t="s">
        <v>3207</v>
      </c>
      <c r="F4450" t="s">
        <v>3208</v>
      </c>
      <c r="G4450" t="s">
        <v>179</v>
      </c>
      <c r="H4450">
        <v>42</v>
      </c>
      <c r="I4450">
        <v>65.881</v>
      </c>
      <c r="J4450">
        <v>71.19</v>
      </c>
      <c r="K4450">
        <v>5.31</v>
      </c>
      <c r="L4450">
        <v>25</v>
      </c>
      <c r="M4450">
        <v>4</v>
      </c>
      <c r="N4450">
        <v>13</v>
      </c>
      <c r="O4450">
        <v>71.561000000000007</v>
      </c>
      <c r="P4450">
        <v>2.9022191130000001</v>
      </c>
      <c r="Q4450">
        <v>19.093</v>
      </c>
    </row>
    <row r="4451" spans="1:17" x14ac:dyDescent="0.2">
      <c r="A4451" s="30" t="str">
        <f>IF(C4451&amp;G4451&amp;D4451&lt;&gt;'Funnel setup'!$K$3&amp;'Funnel setup'!$K$4&amp;'Funnel setup'!$K$5,".",IF(A4450=".",1,A4450+1))</f>
        <v>.</v>
      </c>
      <c r="B4451" s="431" t="str">
        <f t="shared" si="69"/>
        <v>Knee Replacement PrimaryProviderROYAL BERKSHIRE NHS FOUNDATION TRUST (RHW)EQ VAS</v>
      </c>
      <c r="C4451" t="s">
        <v>249</v>
      </c>
      <c r="D4451" t="s">
        <v>1</v>
      </c>
      <c r="E4451" t="s">
        <v>3832</v>
      </c>
      <c r="F4451" t="s">
        <v>3833</v>
      </c>
      <c r="G4451" t="s">
        <v>179</v>
      </c>
      <c r="H4451">
        <v>115</v>
      </c>
      <c r="I4451">
        <v>69.147999999999996</v>
      </c>
      <c r="J4451">
        <v>76.183000000000007</v>
      </c>
      <c r="K4451">
        <v>7.0350000000000001</v>
      </c>
      <c r="L4451">
        <v>63</v>
      </c>
      <c r="M4451">
        <v>18</v>
      </c>
      <c r="N4451">
        <v>34</v>
      </c>
      <c r="O4451">
        <v>74.787000000000006</v>
      </c>
      <c r="P4451">
        <v>6.1282472129999999</v>
      </c>
      <c r="Q4451">
        <v>15.638999999999999</v>
      </c>
    </row>
    <row r="4452" spans="1:17" x14ac:dyDescent="0.2">
      <c r="A4452" s="30" t="str">
        <f>IF(C4452&amp;G4452&amp;D4452&lt;&gt;'Funnel setup'!$K$3&amp;'Funnel setup'!$K$4&amp;'Funnel setup'!$K$5,".",IF(A4451=".",1,A4451+1))</f>
        <v>.</v>
      </c>
      <c r="B4452" s="431" t="str">
        <f t="shared" si="69"/>
        <v>Knee Replacement PrimaryProviderROYAL CORNWALL HOSPITALS NHS TRUST (REF)EQ VAS</v>
      </c>
      <c r="C4452" t="s">
        <v>249</v>
      </c>
      <c r="D4452" t="s">
        <v>1</v>
      </c>
      <c r="E4452" t="s">
        <v>3745</v>
      </c>
      <c r="F4452" t="s">
        <v>3746</v>
      </c>
      <c r="G4452" t="s">
        <v>179</v>
      </c>
      <c r="H4452">
        <v>214</v>
      </c>
      <c r="I4452">
        <v>67.564999999999998</v>
      </c>
      <c r="J4452">
        <v>74.971999999999994</v>
      </c>
      <c r="K4452">
        <v>7.407</v>
      </c>
      <c r="L4452">
        <v>127</v>
      </c>
      <c r="M4452">
        <v>28</v>
      </c>
      <c r="N4452">
        <v>59</v>
      </c>
      <c r="O4452">
        <v>76.340999999999994</v>
      </c>
      <c r="P4452">
        <v>7.6822521940000001</v>
      </c>
      <c r="Q4452">
        <v>15.648</v>
      </c>
    </row>
    <row r="4453" spans="1:17" x14ac:dyDescent="0.2">
      <c r="A4453" s="30" t="str">
        <f>IF(C4453&amp;G4453&amp;D4453&lt;&gt;'Funnel setup'!$K$3&amp;'Funnel setup'!$K$4&amp;'Funnel setup'!$K$5,".",IF(A4452=".",1,A4452+1))</f>
        <v>.</v>
      </c>
      <c r="B4453" s="431" t="str">
        <f t="shared" si="69"/>
        <v>Knee Replacement PrimaryProviderROYAL DEVON AND EXETER NHS FOUNDATION TRUST (RH8)EQ VAS</v>
      </c>
      <c r="C4453" t="s">
        <v>249</v>
      </c>
      <c r="D4453" t="s">
        <v>1</v>
      </c>
      <c r="E4453" t="s">
        <v>3442</v>
      </c>
      <c r="F4453" t="s">
        <v>3443</v>
      </c>
      <c r="G4453" t="s">
        <v>179</v>
      </c>
      <c r="H4453">
        <v>403</v>
      </c>
      <c r="I4453">
        <v>69.691999999999993</v>
      </c>
      <c r="J4453">
        <v>76</v>
      </c>
      <c r="K4453">
        <v>6.3079999999999998</v>
      </c>
      <c r="L4453">
        <v>240</v>
      </c>
      <c r="M4453">
        <v>44</v>
      </c>
      <c r="N4453">
        <v>119</v>
      </c>
      <c r="O4453">
        <v>75.69</v>
      </c>
      <c r="P4453">
        <v>7.0319280830000004</v>
      </c>
      <c r="Q4453">
        <v>15.228</v>
      </c>
    </row>
    <row r="4454" spans="1:17" x14ac:dyDescent="0.2">
      <c r="A4454" s="30" t="str">
        <f>IF(C4454&amp;G4454&amp;D4454&lt;&gt;'Funnel setup'!$K$3&amp;'Funnel setup'!$K$4&amp;'Funnel setup'!$K$5,".",IF(A4453=".",1,A4453+1))</f>
        <v>.</v>
      </c>
      <c r="B4454" s="431" t="str">
        <f t="shared" si="69"/>
        <v>Knee Replacement PrimaryProviderROYAL FREE LONDON NHS FOUNDATION TRUST (RAL)EQ VAS</v>
      </c>
      <c r="C4454" t="s">
        <v>249</v>
      </c>
      <c r="D4454" t="s">
        <v>1</v>
      </c>
      <c r="E4454" t="s">
        <v>3445</v>
      </c>
      <c r="F4454" t="s">
        <v>3446</v>
      </c>
      <c r="G4454" t="s">
        <v>179</v>
      </c>
      <c r="H4454">
        <v>150</v>
      </c>
      <c r="I4454">
        <v>60.9</v>
      </c>
      <c r="J4454">
        <v>68.192999999999998</v>
      </c>
      <c r="K4454">
        <v>7.2930000000000001</v>
      </c>
      <c r="L4454">
        <v>86</v>
      </c>
      <c r="M4454">
        <v>15</v>
      </c>
      <c r="N4454">
        <v>49</v>
      </c>
      <c r="O4454">
        <v>72.491</v>
      </c>
      <c r="P4454">
        <v>3.8322693760000002</v>
      </c>
      <c r="Q4454">
        <v>17.356999999999999</v>
      </c>
    </row>
    <row r="4455" spans="1:17" x14ac:dyDescent="0.2">
      <c r="A4455" s="30" t="str">
        <f>IF(C4455&amp;G4455&amp;D4455&lt;&gt;'Funnel setup'!$K$3&amp;'Funnel setup'!$K$4&amp;'Funnel setup'!$K$5,".",IF(A4454=".",1,A4454+1))</f>
        <v>.</v>
      </c>
      <c r="B4455" s="431" t="str">
        <f t="shared" si="69"/>
        <v>Knee Replacement PrimaryProviderROYAL LIVERPOOL AND BROADGREEN UNIVERSITY HOSPITALS NHS TRUST (RQ6)EQ VAS</v>
      </c>
      <c r="C4455" t="s">
        <v>249</v>
      </c>
      <c r="D4455" t="s">
        <v>1</v>
      </c>
      <c r="E4455" t="s">
        <v>3448</v>
      </c>
      <c r="F4455" t="s">
        <v>3449</v>
      </c>
      <c r="G4455" t="s">
        <v>179</v>
      </c>
      <c r="H4455">
        <v>129</v>
      </c>
      <c r="I4455">
        <v>65.775000000000006</v>
      </c>
      <c r="J4455">
        <v>70.349000000000004</v>
      </c>
      <c r="K4455">
        <v>4.5739999999999998</v>
      </c>
      <c r="L4455">
        <v>65</v>
      </c>
      <c r="M4455">
        <v>14</v>
      </c>
      <c r="N4455">
        <v>50</v>
      </c>
      <c r="O4455">
        <v>72.941999999999993</v>
      </c>
      <c r="P4455">
        <v>4.2841022820000001</v>
      </c>
      <c r="Q4455">
        <v>15.558</v>
      </c>
    </row>
    <row r="4456" spans="1:17" x14ac:dyDescent="0.2">
      <c r="A4456" s="30" t="str">
        <f>IF(C4456&amp;G4456&amp;D4456&lt;&gt;'Funnel setup'!$K$3&amp;'Funnel setup'!$K$4&amp;'Funnel setup'!$K$5,".",IF(A4455=".",1,A4455+1))</f>
        <v>.</v>
      </c>
      <c r="B4456" s="431" t="str">
        <f t="shared" si="69"/>
        <v>Knee Replacement PrimaryProviderROYAL NATIONAL ORTHOPAEDIC HOSPITAL NHS TRUST (RAN)EQ VAS</v>
      </c>
      <c r="C4456" t="s">
        <v>249</v>
      </c>
      <c r="D4456" t="s">
        <v>1</v>
      </c>
      <c r="E4456" t="s">
        <v>4378</v>
      </c>
      <c r="F4456" t="s">
        <v>4379</v>
      </c>
      <c r="G4456" t="s">
        <v>179</v>
      </c>
      <c r="H4456">
        <v>94</v>
      </c>
      <c r="I4456">
        <v>65.956999999999994</v>
      </c>
      <c r="J4456">
        <v>71.552999999999997</v>
      </c>
      <c r="K4456">
        <v>5.5960000000000001</v>
      </c>
      <c r="L4456">
        <v>52</v>
      </c>
      <c r="M4456">
        <v>15</v>
      </c>
      <c r="N4456">
        <v>27</v>
      </c>
      <c r="O4456">
        <v>73.87</v>
      </c>
      <c r="P4456">
        <v>5.2112068010000003</v>
      </c>
      <c r="Q4456">
        <v>13.84</v>
      </c>
    </row>
    <row r="4457" spans="1:17" x14ac:dyDescent="0.2">
      <c r="A4457" s="30" t="str">
        <f>IF(C4457&amp;G4457&amp;D4457&lt;&gt;'Funnel setup'!$K$3&amp;'Funnel setup'!$K$4&amp;'Funnel setup'!$K$5,".",IF(A4456=".",1,A4456+1))</f>
        <v>.</v>
      </c>
      <c r="B4457" s="431" t="str">
        <f t="shared" si="69"/>
        <v>Knee Replacement PrimaryProviderROYAL SURREY COUNTY HOSPITAL NHS FOUNDATION TRUST (RA2)EQ VAS</v>
      </c>
      <c r="C4457" t="s">
        <v>249</v>
      </c>
      <c r="D4457" t="s">
        <v>1</v>
      </c>
      <c r="E4457" t="s">
        <v>3451</v>
      </c>
      <c r="F4457" t="s">
        <v>3452</v>
      </c>
      <c r="G4457" t="s">
        <v>179</v>
      </c>
      <c r="H4457">
        <v>101</v>
      </c>
      <c r="I4457">
        <v>70.058999999999997</v>
      </c>
      <c r="J4457">
        <v>78.376000000000005</v>
      </c>
      <c r="K4457">
        <v>8.3170000000000002</v>
      </c>
      <c r="L4457">
        <v>62</v>
      </c>
      <c r="M4457">
        <v>10</v>
      </c>
      <c r="N4457">
        <v>29</v>
      </c>
      <c r="O4457">
        <v>75.945999999999998</v>
      </c>
      <c r="P4457">
        <v>7.2873406559999996</v>
      </c>
      <c r="Q4457">
        <v>13.891999999999999</v>
      </c>
    </row>
    <row r="4458" spans="1:17" x14ac:dyDescent="0.2">
      <c r="A4458" s="30" t="str">
        <f>IF(C4458&amp;G4458&amp;D4458&lt;&gt;'Funnel setup'!$K$3&amp;'Funnel setup'!$K$4&amp;'Funnel setup'!$K$5,".",IF(A4457=".",1,A4457+1))</f>
        <v>.</v>
      </c>
      <c r="B4458" s="431" t="str">
        <f t="shared" si="69"/>
        <v>Knee Replacement PrimaryProviderROYAL UNITED HOSPITALS BATH NHS FOUNDATION TRUST (RD1)EQ VAS</v>
      </c>
      <c r="C4458" t="s">
        <v>249</v>
      </c>
      <c r="D4458" t="s">
        <v>1</v>
      </c>
      <c r="E4458" t="s">
        <v>3454</v>
      </c>
      <c r="F4458" t="s">
        <v>3455</v>
      </c>
      <c r="G4458" t="s">
        <v>179</v>
      </c>
      <c r="H4458">
        <v>156</v>
      </c>
      <c r="I4458">
        <v>65.34</v>
      </c>
      <c r="J4458">
        <v>72.936000000000007</v>
      </c>
      <c r="K4458">
        <v>7.5960000000000001</v>
      </c>
      <c r="L4458">
        <v>87</v>
      </c>
      <c r="M4458">
        <v>25</v>
      </c>
      <c r="N4458">
        <v>44</v>
      </c>
      <c r="O4458">
        <v>74.721000000000004</v>
      </c>
      <c r="P4458">
        <v>6.0627995160000001</v>
      </c>
      <c r="Q4458">
        <v>15.628</v>
      </c>
    </row>
    <row r="4459" spans="1:17" x14ac:dyDescent="0.2">
      <c r="A4459" s="30" t="str">
        <f>IF(C4459&amp;G4459&amp;D4459&lt;&gt;'Funnel setup'!$K$3&amp;'Funnel setup'!$K$4&amp;'Funnel setup'!$K$5,".",IF(A4458=".",1,A4458+1))</f>
        <v>.</v>
      </c>
      <c r="B4459" s="431" t="str">
        <f t="shared" si="69"/>
        <v>Knee Replacement PrimaryProviderSALFORD ROYAL NHS FOUNDATION TRUST (RM3)EQ VAS</v>
      </c>
      <c r="C4459" t="s">
        <v>249</v>
      </c>
      <c r="D4459" t="s">
        <v>1</v>
      </c>
      <c r="E4459" t="s">
        <v>3457</v>
      </c>
      <c r="F4459" t="s">
        <v>3458</v>
      </c>
      <c r="G4459" t="s">
        <v>179</v>
      </c>
      <c r="H4459">
        <v>78</v>
      </c>
      <c r="I4459">
        <v>62.128</v>
      </c>
      <c r="J4459">
        <v>68.281999999999996</v>
      </c>
      <c r="K4459">
        <v>6.1539999999999999</v>
      </c>
      <c r="L4459">
        <v>43</v>
      </c>
      <c r="M4459">
        <v>10</v>
      </c>
      <c r="N4459">
        <v>25</v>
      </c>
      <c r="O4459">
        <v>73.176000000000002</v>
      </c>
      <c r="P4459">
        <v>4.5181496389999998</v>
      </c>
      <c r="Q4459">
        <v>17.298999999999999</v>
      </c>
    </row>
    <row r="4460" spans="1:17" x14ac:dyDescent="0.2">
      <c r="A4460" s="30" t="str">
        <f>IF(C4460&amp;G4460&amp;D4460&lt;&gt;'Funnel setup'!$K$3&amp;'Funnel setup'!$K$4&amp;'Funnel setup'!$K$5,".",IF(A4459=".",1,A4459+1))</f>
        <v>.</v>
      </c>
      <c r="B4460" s="431" t="str">
        <f t="shared" si="69"/>
        <v>Knee Replacement PrimaryProviderSALISBURY NHS FOUNDATION TRUST (RNZ)EQ VAS</v>
      </c>
      <c r="C4460" t="s">
        <v>249</v>
      </c>
      <c r="D4460" t="s">
        <v>1</v>
      </c>
      <c r="E4460" t="s">
        <v>3460</v>
      </c>
      <c r="F4460" t="s">
        <v>3461</v>
      </c>
      <c r="G4460" t="s">
        <v>179</v>
      </c>
      <c r="H4460">
        <v>190</v>
      </c>
      <c r="I4460">
        <v>69.863</v>
      </c>
      <c r="J4460">
        <v>75.558000000000007</v>
      </c>
      <c r="K4460">
        <v>5.6950000000000003</v>
      </c>
      <c r="L4460">
        <v>105</v>
      </c>
      <c r="M4460">
        <v>27</v>
      </c>
      <c r="N4460">
        <v>58</v>
      </c>
      <c r="O4460">
        <v>74.408000000000001</v>
      </c>
      <c r="P4460">
        <v>5.7494647900000002</v>
      </c>
      <c r="Q4460">
        <v>14.877000000000001</v>
      </c>
    </row>
    <row r="4461" spans="1:17" x14ac:dyDescent="0.2">
      <c r="A4461" s="30" t="str">
        <f>IF(C4461&amp;G4461&amp;D4461&lt;&gt;'Funnel setup'!$K$3&amp;'Funnel setup'!$K$4&amp;'Funnel setup'!$K$5,".",IF(A4460=".",1,A4460+1))</f>
        <v>.</v>
      </c>
      <c r="B4461" s="431" t="str">
        <f t="shared" si="69"/>
        <v>Knee Replacement PrimaryProviderSANDWELL AND WEST BIRMINGHAM HOSPITALS NHS TRUST (RXK)EQ VAS</v>
      </c>
      <c r="C4461" t="s">
        <v>249</v>
      </c>
      <c r="D4461" t="s">
        <v>1</v>
      </c>
      <c r="E4461" t="s">
        <v>3463</v>
      </c>
      <c r="F4461" t="s">
        <v>3464</v>
      </c>
      <c r="G4461" t="s">
        <v>179</v>
      </c>
      <c r="H4461">
        <v>156</v>
      </c>
      <c r="I4461">
        <v>64.179000000000002</v>
      </c>
      <c r="J4461">
        <v>70.519000000000005</v>
      </c>
      <c r="K4461">
        <v>6.34</v>
      </c>
      <c r="L4461">
        <v>84</v>
      </c>
      <c r="M4461">
        <v>21</v>
      </c>
      <c r="N4461">
        <v>51</v>
      </c>
      <c r="O4461">
        <v>75.497</v>
      </c>
      <c r="P4461">
        <v>6.8386326740000003</v>
      </c>
      <c r="Q4461">
        <v>17.303999999999998</v>
      </c>
    </row>
    <row r="4462" spans="1:17" x14ac:dyDescent="0.2">
      <c r="A4462" s="30" t="str">
        <f>IF(C4462&amp;G4462&amp;D4462&lt;&gt;'Funnel setup'!$K$3&amp;'Funnel setup'!$K$4&amp;'Funnel setup'!$K$5,".",IF(A4461=".",1,A4461+1))</f>
        <v>.</v>
      </c>
      <c r="B4462" s="431" t="str">
        <f t="shared" si="69"/>
        <v>Knee Replacement PrimaryProviderSHEFFIELD TEACHING HOSPITALS NHS FOUNDATION TRUST (RHQ)EQ VAS</v>
      </c>
      <c r="C4462" t="s">
        <v>249</v>
      </c>
      <c r="D4462" t="s">
        <v>1</v>
      </c>
      <c r="E4462" t="s">
        <v>3466</v>
      </c>
      <c r="F4462" t="s">
        <v>3467</v>
      </c>
      <c r="G4462" t="s">
        <v>179</v>
      </c>
      <c r="H4462">
        <v>451</v>
      </c>
      <c r="I4462">
        <v>67.745000000000005</v>
      </c>
      <c r="J4462">
        <v>73.981999999999999</v>
      </c>
      <c r="K4462">
        <v>6.2370000000000001</v>
      </c>
      <c r="L4462">
        <v>243</v>
      </c>
      <c r="M4462">
        <v>60</v>
      </c>
      <c r="N4462">
        <v>148</v>
      </c>
      <c r="O4462">
        <v>74.84</v>
      </c>
      <c r="P4462">
        <v>6.1815276729999997</v>
      </c>
      <c r="Q4462">
        <v>14.782999999999999</v>
      </c>
    </row>
    <row r="4463" spans="1:17" x14ac:dyDescent="0.2">
      <c r="A4463" s="30" t="str">
        <f>IF(C4463&amp;G4463&amp;D4463&lt;&gt;'Funnel setup'!$K$3&amp;'Funnel setup'!$K$4&amp;'Funnel setup'!$K$5,".",IF(A4462=".",1,A4462+1))</f>
        <v>.</v>
      </c>
      <c r="B4463" s="431" t="str">
        <f t="shared" si="69"/>
        <v>Knee Replacement PrimaryProviderSHEPTON MALLET NHS TREATMENT CENTRE (NTPH1)EQ VAS</v>
      </c>
      <c r="C4463" t="s">
        <v>249</v>
      </c>
      <c r="D4463" t="s">
        <v>1</v>
      </c>
      <c r="E4463" t="s">
        <v>3472</v>
      </c>
      <c r="F4463" t="s">
        <v>3473</v>
      </c>
      <c r="G4463" t="s">
        <v>179</v>
      </c>
      <c r="H4463">
        <v>156</v>
      </c>
      <c r="I4463">
        <v>73.063999999999993</v>
      </c>
      <c r="J4463">
        <v>81.326999999999998</v>
      </c>
      <c r="K4463">
        <v>8.2629999999999999</v>
      </c>
      <c r="L4463">
        <v>94</v>
      </c>
      <c r="M4463">
        <v>25</v>
      </c>
      <c r="N4463">
        <v>37</v>
      </c>
      <c r="O4463">
        <v>77.715000000000003</v>
      </c>
      <c r="P4463">
        <v>9.0565523550000009</v>
      </c>
      <c r="Q4463">
        <v>12.946</v>
      </c>
    </row>
    <row r="4464" spans="1:17" x14ac:dyDescent="0.2">
      <c r="A4464" s="30" t="str">
        <f>IF(C4464&amp;G4464&amp;D4464&lt;&gt;'Funnel setup'!$K$3&amp;'Funnel setup'!$K$4&amp;'Funnel setup'!$K$5,".",IF(A4463=".",1,A4463+1))</f>
        <v>.</v>
      </c>
      <c r="B4464" s="431" t="str">
        <f t="shared" si="69"/>
        <v>Knee Replacement PrimaryProviderSHERWOOD FOREST HOSPITALS NHS FOUNDATION TRUST (RK5)EQ VAS</v>
      </c>
      <c r="C4464" t="s">
        <v>249</v>
      </c>
      <c r="D4464" t="s">
        <v>1</v>
      </c>
      <c r="E4464" t="s">
        <v>3475</v>
      </c>
      <c r="F4464" t="s">
        <v>3476</v>
      </c>
      <c r="G4464" t="s">
        <v>179</v>
      </c>
      <c r="H4464">
        <v>151</v>
      </c>
      <c r="I4464">
        <v>64.337999999999994</v>
      </c>
      <c r="J4464">
        <v>69.847999999999999</v>
      </c>
      <c r="K4464">
        <v>5.51</v>
      </c>
      <c r="L4464">
        <v>88</v>
      </c>
      <c r="M4464">
        <v>17</v>
      </c>
      <c r="N4464">
        <v>46</v>
      </c>
      <c r="O4464">
        <v>73.230999999999995</v>
      </c>
      <c r="P4464">
        <v>4.5731002949999997</v>
      </c>
      <c r="Q4464">
        <v>17.699000000000002</v>
      </c>
    </row>
    <row r="4465" spans="1:17" x14ac:dyDescent="0.2">
      <c r="A4465" s="30" t="str">
        <f>IF(C4465&amp;G4465&amp;D4465&lt;&gt;'Funnel setup'!$K$3&amp;'Funnel setup'!$K$4&amp;'Funnel setup'!$K$5,".",IF(A4464=".",1,A4464+1))</f>
        <v>.</v>
      </c>
      <c r="B4465" s="431" t="str">
        <f t="shared" si="69"/>
        <v>Knee Replacement PrimaryProviderSHREWSBURY AND TELFORD HOSPITAL NHS TRUST (RXW)EQ VAS</v>
      </c>
      <c r="C4465" t="s">
        <v>249</v>
      </c>
      <c r="D4465" t="s">
        <v>1</v>
      </c>
      <c r="E4465" t="s">
        <v>3478</v>
      </c>
      <c r="F4465" t="s">
        <v>3479</v>
      </c>
      <c r="G4465" t="s">
        <v>179</v>
      </c>
      <c r="H4465">
        <v>139</v>
      </c>
      <c r="I4465">
        <v>66.200999999999993</v>
      </c>
      <c r="J4465">
        <v>72.424000000000007</v>
      </c>
      <c r="K4465">
        <v>6.2229999999999999</v>
      </c>
      <c r="L4465">
        <v>80</v>
      </c>
      <c r="M4465">
        <v>21</v>
      </c>
      <c r="N4465">
        <v>38</v>
      </c>
      <c r="O4465">
        <v>74.325000000000003</v>
      </c>
      <c r="P4465">
        <v>5.6671505409999998</v>
      </c>
      <c r="Q4465">
        <v>15.038</v>
      </c>
    </row>
    <row r="4466" spans="1:17" x14ac:dyDescent="0.2">
      <c r="A4466" s="30" t="str">
        <f>IF(C4466&amp;G4466&amp;D4466&lt;&gt;'Funnel setup'!$K$3&amp;'Funnel setup'!$K$4&amp;'Funnel setup'!$K$5,".",IF(A4465=".",1,A4465+1))</f>
        <v>.</v>
      </c>
      <c r="B4466" s="431" t="str">
        <f t="shared" si="69"/>
        <v>Knee Replacement PrimaryProviderSOUTH TEES HOSPITALS NHS FOUNDATION TRUST (RTR)EQ VAS</v>
      </c>
      <c r="C4466" t="s">
        <v>249</v>
      </c>
      <c r="D4466" t="s">
        <v>1</v>
      </c>
      <c r="E4466" t="s">
        <v>3482</v>
      </c>
      <c r="F4466" t="s">
        <v>3483</v>
      </c>
      <c r="G4466" t="s">
        <v>179</v>
      </c>
      <c r="H4466">
        <v>481</v>
      </c>
      <c r="I4466">
        <v>68.084999999999994</v>
      </c>
      <c r="J4466">
        <v>74.448999999999998</v>
      </c>
      <c r="K4466">
        <v>6.3639999999999999</v>
      </c>
      <c r="L4466">
        <v>275</v>
      </c>
      <c r="M4466">
        <v>64</v>
      </c>
      <c r="N4466">
        <v>142</v>
      </c>
      <c r="O4466">
        <v>75.650000000000006</v>
      </c>
      <c r="P4466">
        <v>6.9913105199999999</v>
      </c>
      <c r="Q4466">
        <v>14.856</v>
      </c>
    </row>
    <row r="4467" spans="1:17" x14ac:dyDescent="0.2">
      <c r="A4467" s="30" t="str">
        <f>IF(C4467&amp;G4467&amp;D4467&lt;&gt;'Funnel setup'!$K$3&amp;'Funnel setup'!$K$4&amp;'Funnel setup'!$K$5,".",IF(A4466=".",1,A4466+1))</f>
        <v>.</v>
      </c>
      <c r="B4467" s="431" t="str">
        <f t="shared" si="69"/>
        <v>Knee Replacement PrimaryProviderSOUTH TYNESIDE NHS FOUNDATION TRUST (RE9)EQ VAS</v>
      </c>
      <c r="C4467" t="s">
        <v>249</v>
      </c>
      <c r="D4467" t="s">
        <v>1</v>
      </c>
      <c r="E4467" t="s">
        <v>3485</v>
      </c>
      <c r="F4467" t="s">
        <v>3486</v>
      </c>
      <c r="G4467" t="s">
        <v>179</v>
      </c>
      <c r="H4467">
        <v>66</v>
      </c>
      <c r="I4467">
        <v>67.635999999999996</v>
      </c>
      <c r="J4467">
        <v>71.97</v>
      </c>
      <c r="K4467">
        <v>4.3330000000000002</v>
      </c>
      <c r="L4467">
        <v>35</v>
      </c>
      <c r="M4467">
        <v>9</v>
      </c>
      <c r="N4467">
        <v>22</v>
      </c>
      <c r="O4467">
        <v>73.105000000000004</v>
      </c>
      <c r="P4467">
        <v>4.4462617829999997</v>
      </c>
      <c r="Q4467">
        <v>16.393000000000001</v>
      </c>
    </row>
    <row r="4468" spans="1:17" x14ac:dyDescent="0.2">
      <c r="A4468" s="30" t="str">
        <f>IF(C4468&amp;G4468&amp;D4468&lt;&gt;'Funnel setup'!$K$3&amp;'Funnel setup'!$K$4&amp;'Funnel setup'!$K$5,".",IF(A4467=".",1,A4467+1))</f>
        <v>.</v>
      </c>
      <c r="B4468" s="431" t="str">
        <f t="shared" si="69"/>
        <v>Knee Replacement PrimaryProviderSOUTH WARWICKSHIRE NHS FOUNDATION TRUST (RJC)EQ VAS</v>
      </c>
      <c r="C4468" t="s">
        <v>249</v>
      </c>
      <c r="D4468" t="s">
        <v>1</v>
      </c>
      <c r="E4468" t="s">
        <v>3421</v>
      </c>
      <c r="F4468" t="s">
        <v>3422</v>
      </c>
      <c r="G4468" t="s">
        <v>179</v>
      </c>
      <c r="H4468">
        <v>229</v>
      </c>
      <c r="I4468">
        <v>68.55</v>
      </c>
      <c r="J4468">
        <v>74.114000000000004</v>
      </c>
      <c r="K4468">
        <v>5.5629999999999997</v>
      </c>
      <c r="L4468">
        <v>135</v>
      </c>
      <c r="M4468">
        <v>20</v>
      </c>
      <c r="N4468">
        <v>74</v>
      </c>
      <c r="O4468">
        <v>73.972999999999999</v>
      </c>
      <c r="P4468">
        <v>5.3150427200000001</v>
      </c>
      <c r="Q4468">
        <v>16.61</v>
      </c>
    </row>
    <row r="4469" spans="1:17" x14ac:dyDescent="0.2">
      <c r="A4469" s="30" t="str">
        <f>IF(C4469&amp;G4469&amp;D4469&lt;&gt;'Funnel setup'!$K$3&amp;'Funnel setup'!$K$4&amp;'Funnel setup'!$K$5,".",IF(A4468=".",1,A4468+1))</f>
        <v>.</v>
      </c>
      <c r="B4469" s="431" t="str">
        <f t="shared" si="69"/>
        <v>Knee Replacement PrimaryProviderSOUTHAMPTON NHS TREATMENT CENTRE (NTP11)EQ VAS</v>
      </c>
      <c r="C4469" t="s">
        <v>249</v>
      </c>
      <c r="D4469" t="s">
        <v>1</v>
      </c>
      <c r="E4469" t="s">
        <v>3424</v>
      </c>
      <c r="F4469" t="s">
        <v>3425</v>
      </c>
      <c r="G4469" t="s">
        <v>179</v>
      </c>
      <c r="H4469">
        <v>106</v>
      </c>
      <c r="I4469">
        <v>73.274000000000001</v>
      </c>
      <c r="J4469">
        <v>75.093999999999994</v>
      </c>
      <c r="K4469">
        <v>1.821</v>
      </c>
      <c r="L4469">
        <v>46</v>
      </c>
      <c r="M4469">
        <v>18</v>
      </c>
      <c r="N4469">
        <v>42</v>
      </c>
      <c r="O4469">
        <v>72.459999999999994</v>
      </c>
      <c r="P4469">
        <v>3.8019263410000002</v>
      </c>
      <c r="Q4469">
        <v>14.188000000000001</v>
      </c>
    </row>
    <row r="4470" spans="1:17" x14ac:dyDescent="0.2">
      <c r="A4470" s="30" t="str">
        <f>IF(C4470&amp;G4470&amp;D4470&lt;&gt;'Funnel setup'!$K$3&amp;'Funnel setup'!$K$4&amp;'Funnel setup'!$K$5,".",IF(A4469=".",1,A4469+1))</f>
        <v>.</v>
      </c>
      <c r="B4470" s="431" t="str">
        <f t="shared" si="69"/>
        <v>Knee Replacement PrimaryProviderSOUTHEND UNIVERSITY HOSPITAL NHS FOUNDATION TRUST (RAJ)EQ VAS</v>
      </c>
      <c r="C4470" t="s">
        <v>249</v>
      </c>
      <c r="D4470" t="s">
        <v>1</v>
      </c>
      <c r="E4470" t="s">
        <v>3427</v>
      </c>
      <c r="F4470" t="s">
        <v>3428</v>
      </c>
      <c r="G4470" t="s">
        <v>179</v>
      </c>
      <c r="H4470">
        <v>168</v>
      </c>
      <c r="I4470">
        <v>68.838999999999999</v>
      </c>
      <c r="J4470">
        <v>75.655000000000001</v>
      </c>
      <c r="K4470">
        <v>6.8150000000000004</v>
      </c>
      <c r="L4470">
        <v>88</v>
      </c>
      <c r="M4470">
        <v>23</v>
      </c>
      <c r="N4470">
        <v>57</v>
      </c>
      <c r="O4470">
        <v>75.748000000000005</v>
      </c>
      <c r="P4470">
        <v>7.0898700879999996</v>
      </c>
      <c r="Q4470">
        <v>14.54</v>
      </c>
    </row>
    <row r="4471" spans="1:17" x14ac:dyDescent="0.2">
      <c r="A4471" s="30" t="str">
        <f>IF(C4471&amp;G4471&amp;D4471&lt;&gt;'Funnel setup'!$K$3&amp;'Funnel setup'!$K$4&amp;'Funnel setup'!$K$5,".",IF(A4470=".",1,A4470+1))</f>
        <v>.</v>
      </c>
      <c r="B4471" s="431" t="str">
        <f t="shared" si="69"/>
        <v>Knee Replacement PrimaryProviderSOUTHPORT AND ORMSKIRK HOSPITAL NHS TRUST (RVY)EQ VAS</v>
      </c>
      <c r="C4471" t="s">
        <v>249</v>
      </c>
      <c r="D4471" t="s">
        <v>1</v>
      </c>
      <c r="E4471" t="s">
        <v>3430</v>
      </c>
      <c r="F4471" t="s">
        <v>3431</v>
      </c>
      <c r="G4471" t="s">
        <v>179</v>
      </c>
      <c r="H4471">
        <v>94</v>
      </c>
      <c r="I4471">
        <v>67.691000000000003</v>
      </c>
      <c r="J4471">
        <v>70.478999999999999</v>
      </c>
      <c r="K4471">
        <v>2.7869999999999999</v>
      </c>
      <c r="L4471">
        <v>47</v>
      </c>
      <c r="M4471">
        <v>13</v>
      </c>
      <c r="N4471">
        <v>34</v>
      </c>
      <c r="O4471">
        <v>71.903999999999996</v>
      </c>
      <c r="P4471">
        <v>3.245691871</v>
      </c>
      <c r="Q4471">
        <v>17.071000000000002</v>
      </c>
    </row>
    <row r="4472" spans="1:17" x14ac:dyDescent="0.2">
      <c r="A4472" s="30" t="str">
        <f>IF(C4472&amp;G4472&amp;D4472&lt;&gt;'Funnel setup'!$K$3&amp;'Funnel setup'!$K$4&amp;'Funnel setup'!$K$5,".",IF(A4471=".",1,A4471+1))</f>
        <v>.</v>
      </c>
      <c r="B4472" s="431" t="str">
        <f t="shared" si="69"/>
        <v>Knee Replacement PrimaryProviderSPIRE ALEXANDRA HOSPITAL (NT312)EQ VAS</v>
      </c>
      <c r="C4472" t="s">
        <v>249</v>
      </c>
      <c r="D4472" t="s">
        <v>1</v>
      </c>
      <c r="E4472" t="s">
        <v>3433</v>
      </c>
      <c r="F4472" t="s">
        <v>3434</v>
      </c>
      <c r="G4472" t="s">
        <v>179</v>
      </c>
      <c r="H4472">
        <v>47</v>
      </c>
      <c r="I4472">
        <v>70.34</v>
      </c>
      <c r="J4472">
        <v>78</v>
      </c>
      <c r="K4472">
        <v>7.66</v>
      </c>
      <c r="L4472">
        <v>24</v>
      </c>
      <c r="M4472">
        <v>10</v>
      </c>
      <c r="N4472">
        <v>13</v>
      </c>
      <c r="O4472">
        <v>76.846000000000004</v>
      </c>
      <c r="P4472">
        <v>8.1875360179999994</v>
      </c>
      <c r="Q4472">
        <v>12.503</v>
      </c>
    </row>
    <row r="4473" spans="1:17" x14ac:dyDescent="0.2">
      <c r="A4473" s="30" t="str">
        <f>IF(C4473&amp;G4473&amp;D4473&lt;&gt;'Funnel setup'!$K$3&amp;'Funnel setup'!$K$4&amp;'Funnel setup'!$K$5,".",IF(A4472=".",1,A4472+1))</f>
        <v>.</v>
      </c>
      <c r="B4473" s="431" t="str">
        <f t="shared" si="69"/>
        <v>Knee Replacement PrimaryProviderSPIRE BRISTOL HOSPITAL (NT302)EQ VAS</v>
      </c>
      <c r="C4473" t="s">
        <v>249</v>
      </c>
      <c r="D4473" t="s">
        <v>1</v>
      </c>
      <c r="E4473" t="s">
        <v>4381</v>
      </c>
      <c r="F4473" t="s">
        <v>4382</v>
      </c>
      <c r="G4473" t="s">
        <v>179</v>
      </c>
      <c r="H4473">
        <v>76</v>
      </c>
      <c r="I4473">
        <v>72.867999999999995</v>
      </c>
      <c r="J4473">
        <v>77.775999999999996</v>
      </c>
      <c r="K4473">
        <v>4.9080000000000004</v>
      </c>
      <c r="L4473">
        <v>44</v>
      </c>
      <c r="M4473">
        <v>7</v>
      </c>
      <c r="N4473">
        <v>25</v>
      </c>
      <c r="O4473">
        <v>74.605000000000004</v>
      </c>
      <c r="P4473">
        <v>5.9463457799999997</v>
      </c>
      <c r="Q4473">
        <v>14.301</v>
      </c>
    </row>
    <row r="4474" spans="1:17" x14ac:dyDescent="0.2">
      <c r="A4474" s="30" t="str">
        <f>IF(C4474&amp;G4474&amp;D4474&lt;&gt;'Funnel setup'!$K$3&amp;'Funnel setup'!$K$4&amp;'Funnel setup'!$K$5,".",IF(A4473=".",1,A4473+1))</f>
        <v>.</v>
      </c>
      <c r="B4474" s="431" t="str">
        <f t="shared" si="69"/>
        <v>Knee Replacement PrimaryProviderSPIRE BUSHEY HOSPITAL (NT315)EQ VAS</v>
      </c>
      <c r="C4474" t="s">
        <v>249</v>
      </c>
      <c r="D4474" t="s">
        <v>1</v>
      </c>
      <c r="E4474" t="s">
        <v>4364</v>
      </c>
      <c r="F4474" t="s">
        <v>4365</v>
      </c>
      <c r="G4474" t="s">
        <v>179</v>
      </c>
      <c r="H4474">
        <v>18</v>
      </c>
      <c r="I4474">
        <v>71.944000000000003</v>
      </c>
      <c r="J4474">
        <v>79.055999999999997</v>
      </c>
      <c r="K4474">
        <v>7.1109999999999998</v>
      </c>
      <c r="L4474">
        <v>11</v>
      </c>
      <c r="M4474">
        <v>3</v>
      </c>
      <c r="N4474">
        <v>4</v>
      </c>
      <c r="O4474" t="s">
        <v>53</v>
      </c>
      <c r="P4474" t="s">
        <v>53</v>
      </c>
      <c r="Q4474" t="s">
        <v>53</v>
      </c>
    </row>
    <row r="4475" spans="1:17" x14ac:dyDescent="0.2">
      <c r="A4475" s="30" t="str">
        <f>IF(C4475&amp;G4475&amp;D4475&lt;&gt;'Funnel setup'!$K$3&amp;'Funnel setup'!$K$4&amp;'Funnel setup'!$K$5,".",IF(A4474=".",1,A4474+1))</f>
        <v>.</v>
      </c>
      <c r="B4475" s="431" t="str">
        <f t="shared" si="69"/>
        <v>Knee Replacement PrimaryProviderSPIRE CAMBRIDGE LEA HOSPITAL (NT317)EQ VAS</v>
      </c>
      <c r="C4475" t="s">
        <v>249</v>
      </c>
      <c r="D4475" t="s">
        <v>1</v>
      </c>
      <c r="E4475" t="s">
        <v>3436</v>
      </c>
      <c r="F4475" t="s">
        <v>3437</v>
      </c>
      <c r="G4475" t="s">
        <v>179</v>
      </c>
      <c r="H4475">
        <v>60</v>
      </c>
      <c r="I4475">
        <v>73.016999999999996</v>
      </c>
      <c r="J4475">
        <v>80.882999999999996</v>
      </c>
      <c r="K4475">
        <v>7.867</v>
      </c>
      <c r="L4475">
        <v>37</v>
      </c>
      <c r="M4475">
        <v>6</v>
      </c>
      <c r="N4475">
        <v>17</v>
      </c>
      <c r="O4475">
        <v>77.018000000000001</v>
      </c>
      <c r="P4475">
        <v>8.3591854160000008</v>
      </c>
      <c r="Q4475">
        <v>12.888999999999999</v>
      </c>
    </row>
    <row r="4476" spans="1:17" x14ac:dyDescent="0.2">
      <c r="A4476" s="30" t="str">
        <f>IF(C4476&amp;G4476&amp;D4476&lt;&gt;'Funnel setup'!$K$3&amp;'Funnel setup'!$K$4&amp;'Funnel setup'!$K$5,".",IF(A4475=".",1,A4475+1))</f>
        <v>.</v>
      </c>
      <c r="B4476" s="431" t="str">
        <f t="shared" si="69"/>
        <v>Knee Replacement PrimaryProviderSPIRE CHESHIRE HOSPITAL (NT324)EQ VAS</v>
      </c>
      <c r="C4476" t="s">
        <v>249</v>
      </c>
      <c r="D4476" t="s">
        <v>1</v>
      </c>
      <c r="E4476" t="s">
        <v>3439</v>
      </c>
      <c r="F4476" t="s">
        <v>3440</v>
      </c>
      <c r="G4476" t="s">
        <v>179</v>
      </c>
      <c r="H4476">
        <v>78</v>
      </c>
      <c r="I4476">
        <v>68.372</v>
      </c>
      <c r="J4476">
        <v>75.923000000000002</v>
      </c>
      <c r="K4476">
        <v>7.5510000000000002</v>
      </c>
      <c r="L4476">
        <v>50</v>
      </c>
      <c r="M4476">
        <v>10</v>
      </c>
      <c r="N4476">
        <v>18</v>
      </c>
      <c r="O4476">
        <v>74.671000000000006</v>
      </c>
      <c r="P4476">
        <v>6.0123618069999996</v>
      </c>
      <c r="Q4476">
        <v>16.439</v>
      </c>
    </row>
    <row r="4477" spans="1:17" x14ac:dyDescent="0.2">
      <c r="A4477" s="30" t="str">
        <f>IF(C4477&amp;G4477&amp;D4477&lt;&gt;'Funnel setup'!$K$3&amp;'Funnel setup'!$K$4&amp;'Funnel setup'!$K$5,".",IF(A4476=".",1,A4476+1))</f>
        <v>.</v>
      </c>
      <c r="B4477" s="431" t="str">
        <f t="shared" si="69"/>
        <v>Knee Replacement PrimaryProviderSPIRE CLARE PARK HOSPITAL (NT345)EQ VAS</v>
      </c>
      <c r="C4477" t="s">
        <v>249</v>
      </c>
      <c r="D4477" t="s">
        <v>1</v>
      </c>
      <c r="E4477" t="s">
        <v>3412</v>
      </c>
      <c r="F4477" t="s">
        <v>3413</v>
      </c>
      <c r="G4477" t="s">
        <v>179</v>
      </c>
      <c r="H4477">
        <v>35</v>
      </c>
      <c r="I4477">
        <v>68.114000000000004</v>
      </c>
      <c r="J4477">
        <v>77.313999999999993</v>
      </c>
      <c r="K4477">
        <v>9.1999999999999993</v>
      </c>
      <c r="L4477">
        <v>22</v>
      </c>
      <c r="M4477">
        <v>3</v>
      </c>
      <c r="N4477">
        <v>10</v>
      </c>
      <c r="O4477">
        <v>75.290000000000006</v>
      </c>
      <c r="P4477">
        <v>6.6319149450000001</v>
      </c>
      <c r="Q4477">
        <v>12.73</v>
      </c>
    </row>
    <row r="4478" spans="1:17" x14ac:dyDescent="0.2">
      <c r="A4478" s="30" t="str">
        <f>IF(C4478&amp;G4478&amp;D4478&lt;&gt;'Funnel setup'!$K$3&amp;'Funnel setup'!$K$4&amp;'Funnel setup'!$K$5,".",IF(A4477=".",1,A4477+1))</f>
        <v>.</v>
      </c>
      <c r="B4478" s="431" t="str">
        <f t="shared" si="69"/>
        <v>Knee Replacement PrimaryProviderSPIRE DUNEDIN HOSPITAL (NT344)EQ VAS</v>
      </c>
      <c r="C4478" t="s">
        <v>249</v>
      </c>
      <c r="D4478" t="s">
        <v>1</v>
      </c>
      <c r="E4478" t="s">
        <v>3415</v>
      </c>
      <c r="F4478" t="s">
        <v>3416</v>
      </c>
      <c r="G4478" t="s">
        <v>179</v>
      </c>
      <c r="H4478">
        <v>13</v>
      </c>
      <c r="I4478">
        <v>73.537999999999997</v>
      </c>
      <c r="J4478">
        <v>77.691999999999993</v>
      </c>
      <c r="K4478">
        <v>4.1539999999999999</v>
      </c>
      <c r="L4478">
        <v>9</v>
      </c>
      <c r="M4478">
        <v>0</v>
      </c>
      <c r="N4478">
        <v>4</v>
      </c>
      <c r="O4478" t="s">
        <v>53</v>
      </c>
      <c r="P4478" t="s">
        <v>53</v>
      </c>
      <c r="Q4478" t="s">
        <v>53</v>
      </c>
    </row>
    <row r="4479" spans="1:17" x14ac:dyDescent="0.2">
      <c r="A4479" s="30" t="str">
        <f>IF(C4479&amp;G4479&amp;D4479&lt;&gt;'Funnel setup'!$K$3&amp;'Funnel setup'!$K$4&amp;'Funnel setup'!$K$5,".",IF(A4478=".",1,A4478+1))</f>
        <v>.</v>
      </c>
      <c r="B4479" s="431" t="str">
        <f t="shared" si="69"/>
        <v>Knee Replacement PrimaryProviderSPIRE ELLAND HOSPITAL (NT348)EQ VAS</v>
      </c>
      <c r="C4479" t="s">
        <v>249</v>
      </c>
      <c r="D4479" t="s">
        <v>1</v>
      </c>
      <c r="E4479" t="s">
        <v>3418</v>
      </c>
      <c r="F4479" t="s">
        <v>3419</v>
      </c>
      <c r="G4479" t="s">
        <v>179</v>
      </c>
      <c r="H4479">
        <v>56</v>
      </c>
      <c r="I4479">
        <v>71.463999999999999</v>
      </c>
      <c r="J4479">
        <v>81.356999999999999</v>
      </c>
      <c r="K4479">
        <v>9.8930000000000007</v>
      </c>
      <c r="L4479">
        <v>41</v>
      </c>
      <c r="M4479">
        <v>5</v>
      </c>
      <c r="N4479">
        <v>10</v>
      </c>
      <c r="O4479">
        <v>79.248999999999995</v>
      </c>
      <c r="P4479">
        <v>10.59110158</v>
      </c>
      <c r="Q4479">
        <v>12.555</v>
      </c>
    </row>
    <row r="4480" spans="1:17" x14ac:dyDescent="0.2">
      <c r="A4480" s="30" t="str">
        <f>IF(C4480&amp;G4480&amp;D4480&lt;&gt;'Funnel setup'!$K$3&amp;'Funnel setup'!$K$4&amp;'Funnel setup'!$K$5,".",IF(A4479=".",1,A4479+1))</f>
        <v>.</v>
      </c>
      <c r="B4480" s="431" t="str">
        <f t="shared" si="69"/>
        <v>Knee Replacement PrimaryProviderSPIRE FYLDE COAST HOSPITAL (NT347)EQ VAS</v>
      </c>
      <c r="C4480" t="s">
        <v>249</v>
      </c>
      <c r="D4480" t="s">
        <v>1</v>
      </c>
      <c r="E4480" t="s">
        <v>4370</v>
      </c>
      <c r="F4480" t="s">
        <v>4371</v>
      </c>
      <c r="G4480" t="s">
        <v>179</v>
      </c>
      <c r="H4480">
        <v>42</v>
      </c>
      <c r="I4480">
        <v>68.286000000000001</v>
      </c>
      <c r="J4480">
        <v>73.881</v>
      </c>
      <c r="K4480">
        <v>5.5949999999999998</v>
      </c>
      <c r="L4480">
        <v>21</v>
      </c>
      <c r="M4480">
        <v>6</v>
      </c>
      <c r="N4480">
        <v>15</v>
      </c>
      <c r="O4480">
        <v>73.712999999999994</v>
      </c>
      <c r="P4480">
        <v>5.0545574609999999</v>
      </c>
      <c r="Q4480">
        <v>11.465999999999999</v>
      </c>
    </row>
    <row r="4481" spans="1:17" x14ac:dyDescent="0.2">
      <c r="A4481" s="30" t="str">
        <f>IF(C4481&amp;G4481&amp;D4481&lt;&gt;'Funnel setup'!$K$3&amp;'Funnel setup'!$K$4&amp;'Funnel setup'!$K$5,".",IF(A4480=".",1,A4480+1))</f>
        <v>.</v>
      </c>
      <c r="B4481" s="431" t="str">
        <f t="shared" si="69"/>
        <v>Knee Replacement PrimaryProviderSPIRE GATWICK PARK HOSPITAL (NT308)EQ VAS</v>
      </c>
      <c r="C4481" t="s">
        <v>249</v>
      </c>
      <c r="D4481" t="s">
        <v>1</v>
      </c>
      <c r="E4481" t="s">
        <v>3409</v>
      </c>
      <c r="F4481" t="s">
        <v>3410</v>
      </c>
      <c r="G4481" t="s">
        <v>179</v>
      </c>
      <c r="H4481">
        <v>54</v>
      </c>
      <c r="I4481">
        <v>70.37</v>
      </c>
      <c r="J4481">
        <v>75.555999999999997</v>
      </c>
      <c r="K4481">
        <v>5.1849999999999996</v>
      </c>
      <c r="L4481">
        <v>29</v>
      </c>
      <c r="M4481">
        <v>12</v>
      </c>
      <c r="N4481">
        <v>13</v>
      </c>
      <c r="O4481">
        <v>73.900999999999996</v>
      </c>
      <c r="P4481">
        <v>5.2426714490000004</v>
      </c>
      <c r="Q4481">
        <v>14.773</v>
      </c>
    </row>
    <row r="4482" spans="1:17" x14ac:dyDescent="0.2">
      <c r="A4482" s="30" t="str">
        <f>IF(C4482&amp;G4482&amp;D4482&lt;&gt;'Funnel setup'!$K$3&amp;'Funnel setup'!$K$4&amp;'Funnel setup'!$K$5,".",IF(A4481=".",1,A4481+1))</f>
        <v>.</v>
      </c>
      <c r="B4482" s="431" t="str">
        <f t="shared" si="69"/>
        <v>Knee Replacement PrimaryProviderSPIRE HARPENDEN HOSPITAL (NT316)EQ VAS</v>
      </c>
      <c r="C4482" t="s">
        <v>249</v>
      </c>
      <c r="D4482" t="s">
        <v>1</v>
      </c>
      <c r="E4482" t="s">
        <v>4267</v>
      </c>
      <c r="F4482" t="s">
        <v>4268</v>
      </c>
      <c r="G4482" t="s">
        <v>179</v>
      </c>
      <c r="H4482">
        <v>42</v>
      </c>
      <c r="I4482">
        <v>73.951999999999998</v>
      </c>
      <c r="J4482">
        <v>79.881</v>
      </c>
      <c r="K4482">
        <v>5.9290000000000003</v>
      </c>
      <c r="L4482">
        <v>27</v>
      </c>
      <c r="M4482">
        <v>3</v>
      </c>
      <c r="N4482">
        <v>12</v>
      </c>
      <c r="O4482">
        <v>76.894999999999996</v>
      </c>
      <c r="P4482">
        <v>8.2361685209999997</v>
      </c>
      <c r="Q4482">
        <v>14.478999999999999</v>
      </c>
    </row>
    <row r="4483" spans="1:17" x14ac:dyDescent="0.2">
      <c r="A4483" s="30" t="str">
        <f>IF(C4483&amp;G4483&amp;D4483&lt;&gt;'Funnel setup'!$K$3&amp;'Funnel setup'!$K$4&amp;'Funnel setup'!$K$5,".",IF(A4482=".",1,A4482+1))</f>
        <v>.</v>
      </c>
      <c r="B4483" s="431" t="str">
        <f t="shared" ref="B4483:B4546" si="70">C4483&amp;D4483&amp;F4483&amp;G4483</f>
        <v>Knee Replacement PrimaryProviderSPIRE HARTSWOOD HOSPITAL (NT319)EQ VAS</v>
      </c>
      <c r="C4483" t="s">
        <v>249</v>
      </c>
      <c r="D4483" t="s">
        <v>1</v>
      </c>
      <c r="E4483" t="s">
        <v>3210</v>
      </c>
      <c r="F4483" t="s">
        <v>3211</v>
      </c>
      <c r="G4483" t="s">
        <v>179</v>
      </c>
      <c r="H4483">
        <v>13</v>
      </c>
      <c r="I4483">
        <v>73.076999999999998</v>
      </c>
      <c r="J4483">
        <v>81.614999999999995</v>
      </c>
      <c r="K4483">
        <v>8.5380000000000003</v>
      </c>
      <c r="L4483">
        <v>7</v>
      </c>
      <c r="M4483">
        <v>4</v>
      </c>
      <c r="N4483">
        <v>2</v>
      </c>
      <c r="O4483" t="s">
        <v>53</v>
      </c>
      <c r="P4483" t="s">
        <v>53</v>
      </c>
      <c r="Q4483" t="s">
        <v>53</v>
      </c>
    </row>
    <row r="4484" spans="1:17" x14ac:dyDescent="0.2">
      <c r="A4484" s="30" t="str">
        <f>IF(C4484&amp;G4484&amp;D4484&lt;&gt;'Funnel setup'!$K$3&amp;'Funnel setup'!$K$4&amp;'Funnel setup'!$K$5,".",IF(A4483=".",1,A4483+1))</f>
        <v>.</v>
      </c>
      <c r="B4484" s="431" t="str">
        <f t="shared" si="70"/>
        <v>Knee Replacement PrimaryProviderSPIRE HULL AND EAST RIDING HOSPITAL (NT351)EQ VAS</v>
      </c>
      <c r="C4484" t="s">
        <v>249</v>
      </c>
      <c r="D4484" t="s">
        <v>1</v>
      </c>
      <c r="E4484" t="s">
        <v>3213</v>
      </c>
      <c r="F4484" t="s">
        <v>3214</v>
      </c>
      <c r="G4484" t="s">
        <v>179</v>
      </c>
      <c r="H4484">
        <v>191</v>
      </c>
      <c r="I4484">
        <v>65.968999999999994</v>
      </c>
      <c r="J4484">
        <v>73.188000000000002</v>
      </c>
      <c r="K4484">
        <v>7.22</v>
      </c>
      <c r="L4484">
        <v>114</v>
      </c>
      <c r="M4484">
        <v>21</v>
      </c>
      <c r="N4484">
        <v>56</v>
      </c>
      <c r="O4484">
        <v>73.55</v>
      </c>
      <c r="P4484">
        <v>4.8916640349999998</v>
      </c>
      <c r="Q4484">
        <v>17.864999999999998</v>
      </c>
    </row>
    <row r="4485" spans="1:17" x14ac:dyDescent="0.2">
      <c r="A4485" s="30" t="str">
        <f>IF(C4485&amp;G4485&amp;D4485&lt;&gt;'Funnel setup'!$K$3&amp;'Funnel setup'!$K$4&amp;'Funnel setup'!$K$5,".",IF(A4484=".",1,A4484+1))</f>
        <v>.</v>
      </c>
      <c r="B4485" s="431" t="str">
        <f t="shared" si="70"/>
        <v>Knee Replacement PrimaryProviderSPIRE LEEDS HOSPITAL (NT332)EQ VAS</v>
      </c>
      <c r="C4485" t="s">
        <v>249</v>
      </c>
      <c r="D4485" t="s">
        <v>1</v>
      </c>
      <c r="E4485" t="s">
        <v>3198</v>
      </c>
      <c r="F4485" t="s">
        <v>3199</v>
      </c>
      <c r="G4485" t="s">
        <v>179</v>
      </c>
      <c r="H4485">
        <v>86</v>
      </c>
      <c r="I4485">
        <v>71.069999999999993</v>
      </c>
      <c r="J4485">
        <v>76.186000000000007</v>
      </c>
      <c r="K4485">
        <v>5.1159999999999997</v>
      </c>
      <c r="L4485">
        <v>45</v>
      </c>
      <c r="M4485">
        <v>13</v>
      </c>
      <c r="N4485">
        <v>28</v>
      </c>
      <c r="O4485">
        <v>74.725999999999999</v>
      </c>
      <c r="P4485">
        <v>6.0678007909999998</v>
      </c>
      <c r="Q4485">
        <v>14.095000000000001</v>
      </c>
    </row>
    <row r="4486" spans="1:17" x14ac:dyDescent="0.2">
      <c r="A4486" s="30" t="str">
        <f>IF(C4486&amp;G4486&amp;D4486&lt;&gt;'Funnel setup'!$K$3&amp;'Funnel setup'!$K$4&amp;'Funnel setup'!$K$5,".",IF(A4485=".",1,A4485+1))</f>
        <v>.</v>
      </c>
      <c r="B4486" s="431" t="str">
        <f t="shared" si="70"/>
        <v>Knee Replacement PrimaryProviderSPIRE LEICESTER HOSPITAL (NT322)EQ VAS</v>
      </c>
      <c r="C4486" t="s">
        <v>249</v>
      </c>
      <c r="D4486" t="s">
        <v>1</v>
      </c>
      <c r="E4486" t="s">
        <v>3201</v>
      </c>
      <c r="F4486" t="s">
        <v>3202</v>
      </c>
      <c r="G4486" t="s">
        <v>179</v>
      </c>
      <c r="H4486">
        <v>97</v>
      </c>
      <c r="I4486">
        <v>68.834999999999994</v>
      </c>
      <c r="J4486">
        <v>75.174999999999997</v>
      </c>
      <c r="K4486">
        <v>6.34</v>
      </c>
      <c r="L4486">
        <v>60</v>
      </c>
      <c r="M4486">
        <v>9</v>
      </c>
      <c r="N4486">
        <v>28</v>
      </c>
      <c r="O4486">
        <v>75.706999999999994</v>
      </c>
      <c r="P4486">
        <v>7.0486612390000003</v>
      </c>
      <c r="Q4486">
        <v>14.622</v>
      </c>
    </row>
    <row r="4487" spans="1:17" x14ac:dyDescent="0.2">
      <c r="A4487" s="30" t="str">
        <f>IF(C4487&amp;G4487&amp;D4487&lt;&gt;'Funnel setup'!$K$3&amp;'Funnel setup'!$K$4&amp;'Funnel setup'!$K$5,".",IF(A4486=".",1,A4486+1))</f>
        <v>.</v>
      </c>
      <c r="B4487" s="431" t="str">
        <f t="shared" si="70"/>
        <v>Knee Replacement PrimaryProviderSPIRE LITTLE ASTON HOSPITAL (NT321)EQ VAS</v>
      </c>
      <c r="C4487" t="s">
        <v>249</v>
      </c>
      <c r="D4487" t="s">
        <v>1</v>
      </c>
      <c r="E4487" t="s">
        <v>3921</v>
      </c>
      <c r="F4487" t="s">
        <v>3922</v>
      </c>
      <c r="G4487" t="s">
        <v>179</v>
      </c>
      <c r="H4487">
        <v>121</v>
      </c>
      <c r="I4487">
        <v>65.528999999999996</v>
      </c>
      <c r="J4487">
        <v>77.116</v>
      </c>
      <c r="K4487">
        <v>11.587</v>
      </c>
      <c r="L4487">
        <v>84</v>
      </c>
      <c r="M4487">
        <v>10</v>
      </c>
      <c r="N4487">
        <v>27</v>
      </c>
      <c r="O4487">
        <v>77.585999999999999</v>
      </c>
      <c r="P4487">
        <v>8.9277047819999993</v>
      </c>
      <c r="Q4487">
        <v>14.099</v>
      </c>
    </row>
    <row r="4488" spans="1:17" x14ac:dyDescent="0.2">
      <c r="A4488" s="30" t="str">
        <f>IF(C4488&amp;G4488&amp;D4488&lt;&gt;'Funnel setup'!$K$3&amp;'Funnel setup'!$K$4&amp;'Funnel setup'!$K$5,".",IF(A4487=".",1,A4487+1))</f>
        <v>.</v>
      </c>
      <c r="B4488" s="431" t="str">
        <f t="shared" si="70"/>
        <v>Knee Replacement PrimaryProviderSPIRE LIVERPOOL HOSPITAL (NT337)EQ VAS</v>
      </c>
      <c r="C4488" t="s">
        <v>249</v>
      </c>
      <c r="D4488" t="s">
        <v>1</v>
      </c>
      <c r="E4488" t="s">
        <v>3927</v>
      </c>
      <c r="F4488" t="s">
        <v>3928</v>
      </c>
      <c r="G4488" t="s">
        <v>179</v>
      </c>
      <c r="H4488">
        <v>81</v>
      </c>
      <c r="I4488">
        <v>72.641999999999996</v>
      </c>
      <c r="J4488">
        <v>74.864000000000004</v>
      </c>
      <c r="K4488">
        <v>2.222</v>
      </c>
      <c r="L4488">
        <v>39</v>
      </c>
      <c r="M4488">
        <v>16</v>
      </c>
      <c r="N4488">
        <v>26</v>
      </c>
      <c r="O4488">
        <v>74.195999999999998</v>
      </c>
      <c r="P4488">
        <v>5.5374252930000001</v>
      </c>
      <c r="Q4488">
        <v>16.454999999999998</v>
      </c>
    </row>
    <row r="4489" spans="1:17" x14ac:dyDescent="0.2">
      <c r="A4489" s="30" t="str">
        <f>IF(C4489&amp;G4489&amp;D4489&lt;&gt;'Funnel setup'!$K$3&amp;'Funnel setup'!$K$4&amp;'Funnel setup'!$K$5,".",IF(A4488=".",1,A4488+1))</f>
        <v>.</v>
      </c>
      <c r="B4489" s="431" t="str">
        <f t="shared" si="70"/>
        <v>Knee Replacement PrimaryProviderSPIRE MANCHESTER HOSPITAL (NT327)EQ VAS</v>
      </c>
      <c r="C4489" t="s">
        <v>249</v>
      </c>
      <c r="D4489" t="s">
        <v>1</v>
      </c>
      <c r="E4489" t="s">
        <v>3154</v>
      </c>
      <c r="F4489" t="s">
        <v>3155</v>
      </c>
      <c r="G4489" t="s">
        <v>179</v>
      </c>
      <c r="H4489">
        <v>39</v>
      </c>
      <c r="I4489">
        <v>71.897000000000006</v>
      </c>
      <c r="J4489">
        <v>74.308000000000007</v>
      </c>
      <c r="K4489">
        <v>2.41</v>
      </c>
      <c r="L4489">
        <v>20</v>
      </c>
      <c r="M4489">
        <v>6</v>
      </c>
      <c r="N4489">
        <v>13</v>
      </c>
      <c r="O4489">
        <v>72.638999999999996</v>
      </c>
      <c r="P4489">
        <v>3.9807094030000001</v>
      </c>
      <c r="Q4489">
        <v>17.018999999999998</v>
      </c>
    </row>
    <row r="4490" spans="1:17" x14ac:dyDescent="0.2">
      <c r="A4490" s="30" t="str">
        <f>IF(C4490&amp;G4490&amp;D4490&lt;&gt;'Funnel setup'!$K$3&amp;'Funnel setup'!$K$4&amp;'Funnel setup'!$K$5,".",IF(A4489=".",1,A4489+1))</f>
        <v>.</v>
      </c>
      <c r="B4490" s="431" t="str">
        <f t="shared" si="70"/>
        <v>Knee Replacement PrimaryProviderSPIRE METHLEY PARK HOSPITAL (NT350)EQ VAS</v>
      </c>
      <c r="C4490" t="s">
        <v>249</v>
      </c>
      <c r="D4490" t="s">
        <v>1</v>
      </c>
      <c r="E4490" t="s">
        <v>3157</v>
      </c>
      <c r="F4490" t="s">
        <v>3158</v>
      </c>
      <c r="G4490" t="s">
        <v>179</v>
      </c>
      <c r="H4490">
        <v>111</v>
      </c>
      <c r="I4490">
        <v>70.936999999999998</v>
      </c>
      <c r="J4490">
        <v>76.864999999999995</v>
      </c>
      <c r="K4490">
        <v>5.9279999999999999</v>
      </c>
      <c r="L4490">
        <v>61</v>
      </c>
      <c r="M4490">
        <v>15</v>
      </c>
      <c r="N4490">
        <v>35</v>
      </c>
      <c r="O4490">
        <v>75.38</v>
      </c>
      <c r="P4490">
        <v>6.7219760580000001</v>
      </c>
      <c r="Q4490">
        <v>16.3</v>
      </c>
    </row>
    <row r="4491" spans="1:17" x14ac:dyDescent="0.2">
      <c r="A4491" s="30" t="str">
        <f>IF(C4491&amp;G4491&amp;D4491&lt;&gt;'Funnel setup'!$K$3&amp;'Funnel setup'!$K$4&amp;'Funnel setup'!$K$5,".",IF(A4490=".",1,A4490+1))</f>
        <v>.</v>
      </c>
      <c r="B4491" s="431" t="str">
        <f t="shared" si="70"/>
        <v>Knee Replacement PrimaryProviderSPIRE MONTEFIORE HOSPITAL (NT364)EQ VAS</v>
      </c>
      <c r="C4491" t="s">
        <v>249</v>
      </c>
      <c r="D4491" t="s">
        <v>1</v>
      </c>
      <c r="E4491" t="s">
        <v>3160</v>
      </c>
      <c r="F4491" t="s">
        <v>3161</v>
      </c>
      <c r="G4491" t="s">
        <v>179</v>
      </c>
      <c r="H4491">
        <v>35</v>
      </c>
      <c r="I4491">
        <v>71.828999999999994</v>
      </c>
      <c r="J4491">
        <v>81.057000000000002</v>
      </c>
      <c r="K4491">
        <v>9.2289999999999992</v>
      </c>
      <c r="L4491">
        <v>27</v>
      </c>
      <c r="M4491">
        <v>0</v>
      </c>
      <c r="N4491">
        <v>8</v>
      </c>
      <c r="O4491">
        <v>77.460999999999999</v>
      </c>
      <c r="P4491">
        <v>8.8023548819999995</v>
      </c>
      <c r="Q4491">
        <v>13.456</v>
      </c>
    </row>
    <row r="4492" spans="1:17" x14ac:dyDescent="0.2">
      <c r="A4492" s="30" t="str">
        <f>IF(C4492&amp;G4492&amp;D4492&lt;&gt;'Funnel setup'!$K$3&amp;'Funnel setup'!$K$4&amp;'Funnel setup'!$K$5,".",IF(A4491=".",1,A4491+1))</f>
        <v>.</v>
      </c>
      <c r="B4492" s="431" t="str">
        <f t="shared" si="70"/>
        <v>Knee Replacement PrimaryProviderSPIRE MURRAYFIELD HOSPITAL (NT325)EQ VAS</v>
      </c>
      <c r="C4492" t="s">
        <v>249</v>
      </c>
      <c r="D4492" t="s">
        <v>1</v>
      </c>
      <c r="E4492" t="s">
        <v>3163</v>
      </c>
      <c r="F4492" t="s">
        <v>3164</v>
      </c>
      <c r="G4492" t="s">
        <v>179</v>
      </c>
      <c r="H4492">
        <v>81</v>
      </c>
      <c r="I4492">
        <v>71.480999999999995</v>
      </c>
      <c r="J4492">
        <v>77.049000000000007</v>
      </c>
      <c r="K4492">
        <v>5.5679999999999996</v>
      </c>
      <c r="L4492">
        <v>38</v>
      </c>
      <c r="M4492">
        <v>14</v>
      </c>
      <c r="N4492">
        <v>29</v>
      </c>
      <c r="O4492">
        <v>75.066999999999993</v>
      </c>
      <c r="P4492">
        <v>6.4087522229999996</v>
      </c>
      <c r="Q4492">
        <v>14.32</v>
      </c>
    </row>
    <row r="4493" spans="1:17" x14ac:dyDescent="0.2">
      <c r="A4493" s="30" t="str">
        <f>IF(C4493&amp;G4493&amp;D4493&lt;&gt;'Funnel setup'!$K$3&amp;'Funnel setup'!$K$4&amp;'Funnel setup'!$K$5,".",IF(A4492=".",1,A4492+1))</f>
        <v>.</v>
      </c>
      <c r="B4493" s="431" t="str">
        <f t="shared" si="70"/>
        <v>Knee Replacement PrimaryProviderSPIRE NORWICH HOSPITAL (NT318)EQ VAS</v>
      </c>
      <c r="C4493" t="s">
        <v>249</v>
      </c>
      <c r="D4493" t="s">
        <v>1</v>
      </c>
      <c r="E4493" t="s">
        <v>4251</v>
      </c>
      <c r="F4493" t="s">
        <v>4252</v>
      </c>
      <c r="G4493" t="s">
        <v>179</v>
      </c>
      <c r="H4493">
        <v>188</v>
      </c>
      <c r="I4493">
        <v>75.277000000000001</v>
      </c>
      <c r="J4493">
        <v>78.813999999999993</v>
      </c>
      <c r="K4493">
        <v>3.5369999999999999</v>
      </c>
      <c r="L4493">
        <v>100</v>
      </c>
      <c r="M4493">
        <v>26</v>
      </c>
      <c r="N4493">
        <v>62</v>
      </c>
      <c r="O4493">
        <v>75.534000000000006</v>
      </c>
      <c r="P4493">
        <v>6.8753734399999997</v>
      </c>
      <c r="Q4493">
        <v>14.457000000000001</v>
      </c>
    </row>
    <row r="4494" spans="1:17" x14ac:dyDescent="0.2">
      <c r="A4494" s="30" t="str">
        <f>IF(C4494&amp;G4494&amp;D4494&lt;&gt;'Funnel setup'!$K$3&amp;'Funnel setup'!$K$4&amp;'Funnel setup'!$K$5,".",IF(A4493=".",1,A4493+1))</f>
        <v>.</v>
      </c>
      <c r="B4494" s="431" t="str">
        <f t="shared" si="70"/>
        <v>Knee Replacement PrimaryProviderSPIRE PARKWAY HOSPITAL (NT320)EQ VAS</v>
      </c>
      <c r="C4494" t="s">
        <v>249</v>
      </c>
      <c r="D4494" t="s">
        <v>1</v>
      </c>
      <c r="E4494" t="s">
        <v>3166</v>
      </c>
      <c r="F4494" t="s">
        <v>3167</v>
      </c>
      <c r="G4494" t="s">
        <v>179</v>
      </c>
      <c r="H4494">
        <v>72</v>
      </c>
      <c r="I4494">
        <v>62.735999999999997</v>
      </c>
      <c r="J4494">
        <v>76.444000000000003</v>
      </c>
      <c r="K4494">
        <v>13.708</v>
      </c>
      <c r="L4494">
        <v>49</v>
      </c>
      <c r="M4494">
        <v>8</v>
      </c>
      <c r="N4494">
        <v>15</v>
      </c>
      <c r="O4494">
        <v>78.241</v>
      </c>
      <c r="P4494">
        <v>9.5830857730000005</v>
      </c>
      <c r="Q4494">
        <v>15.87</v>
      </c>
    </row>
    <row r="4495" spans="1:17" x14ac:dyDescent="0.2">
      <c r="A4495" s="30" t="str">
        <f>IF(C4495&amp;G4495&amp;D4495&lt;&gt;'Funnel setup'!$K$3&amp;'Funnel setup'!$K$4&amp;'Funnel setup'!$K$5,".",IF(A4494=".",1,A4494+1))</f>
        <v>.</v>
      </c>
      <c r="B4495" s="431" t="str">
        <f t="shared" si="70"/>
        <v>Knee Replacement PrimaryProviderSPIRE PORTSMOUTH HOSPITAL (NT305)EQ VAS</v>
      </c>
      <c r="C4495" t="s">
        <v>249</v>
      </c>
      <c r="D4495" t="s">
        <v>1</v>
      </c>
      <c r="E4495" t="s">
        <v>3169</v>
      </c>
      <c r="F4495" t="s">
        <v>340</v>
      </c>
      <c r="G4495" t="s">
        <v>179</v>
      </c>
      <c r="H4495">
        <v>86</v>
      </c>
      <c r="I4495">
        <v>76.162999999999997</v>
      </c>
      <c r="J4495">
        <v>80.174000000000007</v>
      </c>
      <c r="K4495">
        <v>4.0119999999999996</v>
      </c>
      <c r="L4495">
        <v>42</v>
      </c>
      <c r="M4495">
        <v>9</v>
      </c>
      <c r="N4495">
        <v>35</v>
      </c>
      <c r="O4495">
        <v>75.971999999999994</v>
      </c>
      <c r="P4495">
        <v>7.3139144119999999</v>
      </c>
      <c r="Q4495">
        <v>14.077999999999999</v>
      </c>
    </row>
    <row r="4496" spans="1:17" x14ac:dyDescent="0.2">
      <c r="A4496" s="30" t="str">
        <f>IF(C4496&amp;G4496&amp;D4496&lt;&gt;'Funnel setup'!$K$3&amp;'Funnel setup'!$K$4&amp;'Funnel setup'!$K$5,".",IF(A4495=".",1,A4495+1))</f>
        <v>.</v>
      </c>
      <c r="B4496" s="431" t="str">
        <f t="shared" si="70"/>
        <v>Knee Replacement PrimaryProviderSPIRE REGENCY HOSPITAL (NT339)EQ VAS</v>
      </c>
      <c r="C4496" t="s">
        <v>249</v>
      </c>
      <c r="D4496" t="s">
        <v>1</v>
      </c>
      <c r="E4496" t="s">
        <v>3171</v>
      </c>
      <c r="F4496" t="s">
        <v>3172</v>
      </c>
      <c r="G4496" t="s">
        <v>179</v>
      </c>
      <c r="H4496">
        <v>45</v>
      </c>
      <c r="I4496">
        <v>67.289000000000001</v>
      </c>
      <c r="J4496">
        <v>75.8</v>
      </c>
      <c r="K4496">
        <v>8.5109999999999992</v>
      </c>
      <c r="L4496">
        <v>29</v>
      </c>
      <c r="M4496">
        <v>4</v>
      </c>
      <c r="N4496">
        <v>12</v>
      </c>
      <c r="O4496">
        <v>74.602999999999994</v>
      </c>
      <c r="P4496">
        <v>5.9447126370000003</v>
      </c>
      <c r="Q4496">
        <v>16.216999999999999</v>
      </c>
    </row>
    <row r="4497" spans="1:17" x14ac:dyDescent="0.2">
      <c r="A4497" s="30" t="str">
        <f>IF(C4497&amp;G4497&amp;D4497&lt;&gt;'Funnel setup'!$K$3&amp;'Funnel setup'!$K$4&amp;'Funnel setup'!$K$5,".",IF(A4496=".",1,A4496+1))</f>
        <v>.</v>
      </c>
      <c r="B4497" s="431" t="str">
        <f t="shared" si="70"/>
        <v>Knee Replacement PrimaryProviderSPIRE RODING HOSPITAL (NT314)EQ VAS</v>
      </c>
      <c r="C4497" t="s">
        <v>249</v>
      </c>
      <c r="D4497" t="s">
        <v>1</v>
      </c>
      <c r="E4497" t="s">
        <v>4254</v>
      </c>
      <c r="F4497" t="s">
        <v>4255</v>
      </c>
      <c r="G4497" t="s">
        <v>179</v>
      </c>
      <c r="H4497">
        <v>29</v>
      </c>
      <c r="I4497">
        <v>64.724000000000004</v>
      </c>
      <c r="J4497">
        <v>66.206999999999994</v>
      </c>
      <c r="K4497">
        <v>1.4830000000000001</v>
      </c>
      <c r="L4497">
        <v>13</v>
      </c>
      <c r="M4497">
        <v>5</v>
      </c>
      <c r="N4497">
        <v>11</v>
      </c>
      <c r="O4497" t="s">
        <v>53</v>
      </c>
      <c r="P4497" t="s">
        <v>53</v>
      </c>
      <c r="Q4497" t="s">
        <v>53</v>
      </c>
    </row>
    <row r="4498" spans="1:17" x14ac:dyDescent="0.2">
      <c r="A4498" s="30" t="str">
        <f>IF(C4498&amp;G4498&amp;D4498&lt;&gt;'Funnel setup'!$K$3&amp;'Funnel setup'!$K$4&amp;'Funnel setup'!$K$5,".",IF(A4497=".",1,A4497+1))</f>
        <v>.</v>
      </c>
      <c r="B4498" s="431" t="str">
        <f t="shared" si="70"/>
        <v>Knee Replacement PrimaryProviderSPIRE SOUTH BANK HOSPITAL (NT301)EQ VAS</v>
      </c>
      <c r="C4498" t="s">
        <v>249</v>
      </c>
      <c r="D4498" t="s">
        <v>1</v>
      </c>
      <c r="E4498" t="s">
        <v>3174</v>
      </c>
      <c r="F4498" t="s">
        <v>3175</v>
      </c>
      <c r="G4498" t="s">
        <v>179</v>
      </c>
      <c r="H4498">
        <v>40</v>
      </c>
      <c r="I4498">
        <v>74</v>
      </c>
      <c r="J4498">
        <v>77.55</v>
      </c>
      <c r="K4498">
        <v>3.55</v>
      </c>
      <c r="L4498">
        <v>22</v>
      </c>
      <c r="M4498">
        <v>5</v>
      </c>
      <c r="N4498">
        <v>13</v>
      </c>
      <c r="O4498">
        <v>74.122</v>
      </c>
      <c r="P4498">
        <v>5.4639590189999998</v>
      </c>
      <c r="Q4498">
        <v>16.87</v>
      </c>
    </row>
    <row r="4499" spans="1:17" x14ac:dyDescent="0.2">
      <c r="A4499" s="30" t="str">
        <f>IF(C4499&amp;G4499&amp;D4499&lt;&gt;'Funnel setup'!$K$3&amp;'Funnel setup'!$K$4&amp;'Funnel setup'!$K$5,".",IF(A4498=".",1,A4498+1))</f>
        <v>.</v>
      </c>
      <c r="B4499" s="431" t="str">
        <f t="shared" si="70"/>
        <v>Knee Replacement PrimaryProviderSPIRE ST SAVIOURS HOSPITAL (NT346)EQ VAS</v>
      </c>
      <c r="C4499" t="s">
        <v>249</v>
      </c>
      <c r="D4499" t="s">
        <v>1</v>
      </c>
      <c r="E4499" t="s">
        <v>3177</v>
      </c>
      <c r="F4499" t="s">
        <v>3178</v>
      </c>
      <c r="G4499" t="s">
        <v>179</v>
      </c>
      <c r="H4499">
        <v>11</v>
      </c>
      <c r="I4499">
        <v>81.817999999999998</v>
      </c>
      <c r="J4499">
        <v>89.545000000000002</v>
      </c>
      <c r="K4499">
        <v>7.7270000000000003</v>
      </c>
      <c r="L4499">
        <v>5</v>
      </c>
      <c r="M4499">
        <v>5</v>
      </c>
      <c r="N4499">
        <v>1</v>
      </c>
      <c r="O4499" t="s">
        <v>53</v>
      </c>
      <c r="P4499" t="s">
        <v>53</v>
      </c>
      <c r="Q4499" t="s">
        <v>53</v>
      </c>
    </row>
    <row r="4500" spans="1:17" x14ac:dyDescent="0.2">
      <c r="A4500" s="30" t="str">
        <f>IF(C4500&amp;G4500&amp;D4500&lt;&gt;'Funnel setup'!$K$3&amp;'Funnel setup'!$K$4&amp;'Funnel setup'!$K$5,".",IF(A4499=".",1,A4499+1))</f>
        <v>.</v>
      </c>
      <c r="B4500" s="431" t="str">
        <f t="shared" si="70"/>
        <v>Knee Replacement PrimaryProviderSPIRE SUSSEX HOSPITAL (NT309)EQ VAS</v>
      </c>
      <c r="C4500" t="s">
        <v>249</v>
      </c>
      <c r="D4500" t="s">
        <v>1</v>
      </c>
      <c r="E4500" t="s">
        <v>3180</v>
      </c>
      <c r="F4500" t="s">
        <v>3181</v>
      </c>
      <c r="G4500" t="s">
        <v>179</v>
      </c>
      <c r="H4500">
        <v>43</v>
      </c>
      <c r="I4500">
        <v>68.721000000000004</v>
      </c>
      <c r="J4500">
        <v>76.046999999999997</v>
      </c>
      <c r="K4500">
        <v>7.3259999999999996</v>
      </c>
      <c r="L4500">
        <v>27</v>
      </c>
      <c r="M4500">
        <v>6</v>
      </c>
      <c r="N4500">
        <v>10</v>
      </c>
      <c r="O4500">
        <v>74.771000000000001</v>
      </c>
      <c r="P4500">
        <v>6.1124970769999996</v>
      </c>
      <c r="Q4500">
        <v>18.324000000000002</v>
      </c>
    </row>
    <row r="4501" spans="1:17" x14ac:dyDescent="0.2">
      <c r="A4501" s="30" t="str">
        <f>IF(C4501&amp;G4501&amp;D4501&lt;&gt;'Funnel setup'!$K$3&amp;'Funnel setup'!$K$4&amp;'Funnel setup'!$K$5,".",IF(A4500=".",1,A4500+1))</f>
        <v>.</v>
      </c>
      <c r="B4501" s="431" t="str">
        <f t="shared" si="70"/>
        <v>Knee Replacement PrimaryProviderSPIRE THAMES VALLEY HOSPITAL (NT343)EQ VAS</v>
      </c>
      <c r="C4501" t="s">
        <v>249</v>
      </c>
      <c r="D4501" t="s">
        <v>1</v>
      </c>
      <c r="E4501" t="s">
        <v>3183</v>
      </c>
      <c r="F4501" t="s">
        <v>3184</v>
      </c>
      <c r="G4501" t="s">
        <v>179</v>
      </c>
      <c r="H4501" t="s">
        <v>53</v>
      </c>
      <c r="I4501" t="s">
        <v>53</v>
      </c>
      <c r="J4501" t="s">
        <v>53</v>
      </c>
      <c r="K4501" t="s">
        <v>53</v>
      </c>
      <c r="L4501" t="s">
        <v>53</v>
      </c>
      <c r="M4501" t="s">
        <v>53</v>
      </c>
      <c r="N4501" t="s">
        <v>53</v>
      </c>
      <c r="O4501" t="s">
        <v>53</v>
      </c>
      <c r="P4501" t="s">
        <v>53</v>
      </c>
      <c r="Q4501" t="s">
        <v>53</v>
      </c>
    </row>
    <row r="4502" spans="1:17" x14ac:dyDescent="0.2">
      <c r="A4502" s="30" t="str">
        <f>IF(C4502&amp;G4502&amp;D4502&lt;&gt;'Funnel setup'!$K$3&amp;'Funnel setup'!$K$4&amp;'Funnel setup'!$K$5,".",IF(A4501=".",1,A4501+1))</f>
        <v>.</v>
      </c>
      <c r="B4502" s="431" t="str">
        <f t="shared" si="70"/>
        <v>Knee Replacement PrimaryProviderSPIRE TUNBRIDGE WELLS HOSPITAL (NT310)EQ VAS</v>
      </c>
      <c r="C4502" t="s">
        <v>249</v>
      </c>
      <c r="D4502" t="s">
        <v>1</v>
      </c>
      <c r="E4502" t="s">
        <v>3186</v>
      </c>
      <c r="F4502" t="s">
        <v>3187</v>
      </c>
      <c r="G4502" t="s">
        <v>179</v>
      </c>
      <c r="H4502" t="s">
        <v>53</v>
      </c>
      <c r="I4502" t="s">
        <v>53</v>
      </c>
      <c r="J4502" t="s">
        <v>53</v>
      </c>
      <c r="K4502" t="s">
        <v>53</v>
      </c>
      <c r="L4502" t="s">
        <v>53</v>
      </c>
      <c r="M4502" t="s">
        <v>53</v>
      </c>
      <c r="N4502" t="s">
        <v>53</v>
      </c>
      <c r="O4502" t="s">
        <v>53</v>
      </c>
      <c r="P4502" t="s">
        <v>53</v>
      </c>
      <c r="Q4502" t="s">
        <v>53</v>
      </c>
    </row>
    <row r="4503" spans="1:17" x14ac:dyDescent="0.2">
      <c r="A4503" s="30" t="str">
        <f>IF(C4503&amp;G4503&amp;D4503&lt;&gt;'Funnel setup'!$K$3&amp;'Funnel setup'!$K$4&amp;'Funnel setup'!$K$5,".",IF(A4502=".",1,A4502+1))</f>
        <v>.</v>
      </c>
      <c r="B4503" s="431" t="str">
        <f t="shared" si="70"/>
        <v>Knee Replacement PrimaryProviderSPIRE WASHINGTON HOSPITAL (NT333)EQ VAS</v>
      </c>
      <c r="C4503" t="s">
        <v>249</v>
      </c>
      <c r="D4503" t="s">
        <v>1</v>
      </c>
      <c r="E4503" t="s">
        <v>3189</v>
      </c>
      <c r="F4503" t="s">
        <v>3190</v>
      </c>
      <c r="G4503" t="s">
        <v>179</v>
      </c>
      <c r="H4503">
        <v>79</v>
      </c>
      <c r="I4503">
        <v>80.772000000000006</v>
      </c>
      <c r="J4503">
        <v>80.38</v>
      </c>
      <c r="K4503">
        <v>-0.39200000000000002</v>
      </c>
      <c r="L4503">
        <v>33</v>
      </c>
      <c r="M4503">
        <v>12</v>
      </c>
      <c r="N4503">
        <v>34</v>
      </c>
      <c r="O4503">
        <v>74.462999999999994</v>
      </c>
      <c r="P4503">
        <v>5.8049343159999998</v>
      </c>
      <c r="Q4503">
        <v>12.048999999999999</v>
      </c>
    </row>
    <row r="4504" spans="1:17" x14ac:dyDescent="0.2">
      <c r="A4504" s="30" t="str">
        <f>IF(C4504&amp;G4504&amp;D4504&lt;&gt;'Funnel setup'!$K$3&amp;'Funnel setup'!$K$4&amp;'Funnel setup'!$K$5,".",IF(A4503=".",1,A4503+1))</f>
        <v>.</v>
      </c>
      <c r="B4504" s="431" t="str">
        <f t="shared" si="70"/>
        <v>Knee Replacement PrimaryProviderSPIRE WELLESLEY HOSPITAL (NT313)EQ VAS</v>
      </c>
      <c r="C4504" t="s">
        <v>249</v>
      </c>
      <c r="D4504" t="s">
        <v>1</v>
      </c>
      <c r="E4504" t="s">
        <v>3192</v>
      </c>
      <c r="F4504" t="s">
        <v>3193</v>
      </c>
      <c r="G4504" t="s">
        <v>179</v>
      </c>
      <c r="H4504">
        <v>103</v>
      </c>
      <c r="I4504">
        <v>68.290999999999997</v>
      </c>
      <c r="J4504">
        <v>73.456000000000003</v>
      </c>
      <c r="K4504">
        <v>5.165</v>
      </c>
      <c r="L4504">
        <v>55</v>
      </c>
      <c r="M4504">
        <v>15</v>
      </c>
      <c r="N4504">
        <v>33</v>
      </c>
      <c r="O4504">
        <v>72.8</v>
      </c>
      <c r="P4504">
        <v>4.1415422089999998</v>
      </c>
      <c r="Q4504">
        <v>16.963000000000001</v>
      </c>
    </row>
    <row r="4505" spans="1:17" x14ac:dyDescent="0.2">
      <c r="A4505" s="30" t="str">
        <f>IF(C4505&amp;G4505&amp;D4505&lt;&gt;'Funnel setup'!$K$3&amp;'Funnel setup'!$K$4&amp;'Funnel setup'!$K$5,".",IF(A4504=".",1,A4504+1))</f>
        <v>.</v>
      </c>
      <c r="B4505" s="431" t="str">
        <f t="shared" si="70"/>
        <v>Knee Replacement PrimaryProviderSPRINGFIELD HOSPITAL (NVC18)EQ VAS</v>
      </c>
      <c r="C4505" t="s">
        <v>249</v>
      </c>
      <c r="D4505" t="s">
        <v>1</v>
      </c>
      <c r="E4505" t="s">
        <v>3195</v>
      </c>
      <c r="F4505" t="s">
        <v>3196</v>
      </c>
      <c r="G4505" t="s">
        <v>179</v>
      </c>
      <c r="H4505">
        <v>114</v>
      </c>
      <c r="I4505">
        <v>72.86</v>
      </c>
      <c r="J4505">
        <v>78.438999999999993</v>
      </c>
      <c r="K4505">
        <v>5.5789999999999997</v>
      </c>
      <c r="L4505">
        <v>61</v>
      </c>
      <c r="M4505">
        <v>19</v>
      </c>
      <c r="N4505">
        <v>34</v>
      </c>
      <c r="O4505">
        <v>75.253</v>
      </c>
      <c r="P4505">
        <v>6.5944000970000003</v>
      </c>
      <c r="Q4505">
        <v>13.298999999999999</v>
      </c>
    </row>
    <row r="4506" spans="1:17" x14ac:dyDescent="0.2">
      <c r="A4506" s="30" t="str">
        <f>IF(C4506&amp;G4506&amp;D4506&lt;&gt;'Funnel setup'!$K$3&amp;'Funnel setup'!$K$4&amp;'Funnel setup'!$K$5,".",IF(A4505=".",1,A4505+1))</f>
        <v>.</v>
      </c>
      <c r="B4506" s="431" t="str">
        <f t="shared" si="70"/>
        <v>Knee Replacement PrimaryProviderST GEORGE'S UNIVERSITY HOSPITALS NHS FOUNDATION TRUST (RJ7)EQ VAS</v>
      </c>
      <c r="C4506" t="s">
        <v>249</v>
      </c>
      <c r="D4506" t="s">
        <v>1</v>
      </c>
      <c r="E4506" t="s">
        <v>3124</v>
      </c>
      <c r="F4506" t="s">
        <v>3125</v>
      </c>
      <c r="G4506" t="s">
        <v>179</v>
      </c>
      <c r="H4506" t="s">
        <v>53</v>
      </c>
      <c r="I4506" t="s">
        <v>53</v>
      </c>
      <c r="J4506" t="s">
        <v>53</v>
      </c>
      <c r="K4506" t="s">
        <v>53</v>
      </c>
      <c r="L4506" t="s">
        <v>53</v>
      </c>
      <c r="M4506" t="s">
        <v>53</v>
      </c>
      <c r="N4506" t="s">
        <v>53</v>
      </c>
      <c r="O4506" t="s">
        <v>53</v>
      </c>
      <c r="P4506" t="s">
        <v>53</v>
      </c>
      <c r="Q4506" t="s">
        <v>53</v>
      </c>
    </row>
    <row r="4507" spans="1:17" x14ac:dyDescent="0.2">
      <c r="A4507" s="30" t="str">
        <f>IF(C4507&amp;G4507&amp;D4507&lt;&gt;'Funnel setup'!$K$3&amp;'Funnel setup'!$K$4&amp;'Funnel setup'!$K$5,".",IF(A4506=".",1,A4506+1))</f>
        <v>.</v>
      </c>
      <c r="B4507" s="431" t="str">
        <f t="shared" si="70"/>
        <v>Knee Replacement PrimaryProviderST HELENS AND KNOWSLEY HOSPITALS NHS TRUST (RBN)EQ VAS</v>
      </c>
      <c r="C4507" t="s">
        <v>249</v>
      </c>
      <c r="D4507" t="s">
        <v>1</v>
      </c>
      <c r="E4507" t="s">
        <v>3127</v>
      </c>
      <c r="F4507" t="s">
        <v>3128</v>
      </c>
      <c r="G4507" t="s">
        <v>179</v>
      </c>
      <c r="H4507">
        <v>222</v>
      </c>
      <c r="I4507">
        <v>70.013999999999996</v>
      </c>
      <c r="J4507">
        <v>72.194000000000003</v>
      </c>
      <c r="K4507">
        <v>2.1800000000000002</v>
      </c>
      <c r="L4507">
        <v>109</v>
      </c>
      <c r="M4507">
        <v>27</v>
      </c>
      <c r="N4507">
        <v>86</v>
      </c>
      <c r="O4507">
        <v>73.198999999999998</v>
      </c>
      <c r="P4507">
        <v>4.5405787589999997</v>
      </c>
      <c r="Q4507">
        <v>16.218</v>
      </c>
    </row>
    <row r="4508" spans="1:17" x14ac:dyDescent="0.2">
      <c r="A4508" s="30" t="str">
        <f>IF(C4508&amp;G4508&amp;D4508&lt;&gt;'Funnel setup'!$K$3&amp;'Funnel setup'!$K$4&amp;'Funnel setup'!$K$5,".",IF(A4507=".",1,A4507+1))</f>
        <v>.</v>
      </c>
      <c r="B4508" s="431" t="str">
        <f t="shared" si="70"/>
        <v>Knee Replacement PrimaryProviderST HUGH'S HOSPITAL (NTE02)EQ VAS</v>
      </c>
      <c r="C4508" t="s">
        <v>249</v>
      </c>
      <c r="D4508" t="s">
        <v>1</v>
      </c>
      <c r="E4508" t="s">
        <v>3130</v>
      </c>
      <c r="F4508" t="s">
        <v>3131</v>
      </c>
      <c r="G4508" t="s">
        <v>179</v>
      </c>
      <c r="H4508">
        <v>44</v>
      </c>
      <c r="I4508">
        <v>73.864000000000004</v>
      </c>
      <c r="J4508">
        <v>80.682000000000002</v>
      </c>
      <c r="K4508">
        <v>6.8179999999999996</v>
      </c>
      <c r="L4508">
        <v>24</v>
      </c>
      <c r="M4508">
        <v>9</v>
      </c>
      <c r="N4508">
        <v>11</v>
      </c>
      <c r="O4508">
        <v>76.186000000000007</v>
      </c>
      <c r="P4508">
        <v>7.5271870789999999</v>
      </c>
      <c r="Q4508">
        <v>12.246</v>
      </c>
    </row>
    <row r="4509" spans="1:17" x14ac:dyDescent="0.2">
      <c r="A4509" s="30" t="str">
        <f>IF(C4509&amp;G4509&amp;D4509&lt;&gt;'Funnel setup'!$K$3&amp;'Funnel setup'!$K$4&amp;'Funnel setup'!$K$5,".",IF(A4508=".",1,A4508+1))</f>
        <v>.</v>
      </c>
      <c r="B4509" s="431" t="str">
        <f t="shared" si="70"/>
        <v>Knee Replacement PrimaryProviderSTOCKPORT NHS FOUNDATION TRUST (RWJ)EQ VAS</v>
      </c>
      <c r="C4509" t="s">
        <v>249</v>
      </c>
      <c r="D4509" t="s">
        <v>1</v>
      </c>
      <c r="E4509" t="s">
        <v>3142</v>
      </c>
      <c r="F4509" t="s">
        <v>3143</v>
      </c>
      <c r="G4509" t="s">
        <v>179</v>
      </c>
      <c r="H4509">
        <v>168</v>
      </c>
      <c r="I4509">
        <v>65.826999999999998</v>
      </c>
      <c r="J4509">
        <v>75.613</v>
      </c>
      <c r="K4509">
        <v>9.7859999999999996</v>
      </c>
      <c r="L4509">
        <v>111</v>
      </c>
      <c r="M4509">
        <v>18</v>
      </c>
      <c r="N4509">
        <v>39</v>
      </c>
      <c r="O4509">
        <v>75.427999999999997</v>
      </c>
      <c r="P4509">
        <v>6.7698047539999999</v>
      </c>
      <c r="Q4509">
        <v>14.428000000000001</v>
      </c>
    </row>
    <row r="4510" spans="1:17" x14ac:dyDescent="0.2">
      <c r="A4510" s="30" t="str">
        <f>IF(C4510&amp;G4510&amp;D4510&lt;&gt;'Funnel setup'!$K$3&amp;'Funnel setup'!$K$4&amp;'Funnel setup'!$K$5,".",IF(A4509=".",1,A4509+1))</f>
        <v>.</v>
      </c>
      <c r="B4510" s="431" t="str">
        <f t="shared" si="70"/>
        <v>Knee Replacement PrimaryProviderSURREY AND SUSSEX HEALTHCARE NHS TRUST (RTP)EQ VAS</v>
      </c>
      <c r="C4510" t="s">
        <v>249</v>
      </c>
      <c r="D4510" t="s">
        <v>1</v>
      </c>
      <c r="E4510" t="s">
        <v>3145</v>
      </c>
      <c r="F4510" t="s">
        <v>3146</v>
      </c>
      <c r="G4510" t="s">
        <v>179</v>
      </c>
      <c r="H4510">
        <v>110</v>
      </c>
      <c r="I4510">
        <v>68.790999999999997</v>
      </c>
      <c r="J4510">
        <v>74.364000000000004</v>
      </c>
      <c r="K4510">
        <v>5.5730000000000004</v>
      </c>
      <c r="L4510">
        <v>60</v>
      </c>
      <c r="M4510">
        <v>17</v>
      </c>
      <c r="N4510">
        <v>33</v>
      </c>
      <c r="O4510">
        <v>74.171000000000006</v>
      </c>
      <c r="P4510">
        <v>5.5125030170000002</v>
      </c>
      <c r="Q4510">
        <v>13.459</v>
      </c>
    </row>
    <row r="4511" spans="1:17" x14ac:dyDescent="0.2">
      <c r="A4511" s="30" t="str">
        <f>IF(C4511&amp;G4511&amp;D4511&lt;&gt;'Funnel setup'!$K$3&amp;'Funnel setup'!$K$4&amp;'Funnel setup'!$K$5,".",IF(A4510=".",1,A4510+1))</f>
        <v>.</v>
      </c>
      <c r="B4511" s="431" t="str">
        <f t="shared" si="70"/>
        <v>Knee Replacement PrimaryProviderTAMESIDE HOSPITAL NHS FOUNDATION TRUST (RMP)EQ VAS</v>
      </c>
      <c r="C4511" t="s">
        <v>249</v>
      </c>
      <c r="D4511" t="s">
        <v>1</v>
      </c>
      <c r="E4511" t="s">
        <v>3148</v>
      </c>
      <c r="F4511" t="s">
        <v>3149</v>
      </c>
      <c r="G4511" t="s">
        <v>179</v>
      </c>
      <c r="H4511">
        <v>128</v>
      </c>
      <c r="I4511">
        <v>64.656000000000006</v>
      </c>
      <c r="J4511">
        <v>71.914000000000001</v>
      </c>
      <c r="K4511">
        <v>7.258</v>
      </c>
      <c r="L4511">
        <v>69</v>
      </c>
      <c r="M4511">
        <v>15</v>
      </c>
      <c r="N4511">
        <v>44</v>
      </c>
      <c r="O4511">
        <v>75.003</v>
      </c>
      <c r="P4511">
        <v>6.3447506870000003</v>
      </c>
      <c r="Q4511">
        <v>14.923</v>
      </c>
    </row>
    <row r="4512" spans="1:17" x14ac:dyDescent="0.2">
      <c r="A4512" s="30" t="str">
        <f>IF(C4512&amp;G4512&amp;D4512&lt;&gt;'Funnel setup'!$K$3&amp;'Funnel setup'!$K$4&amp;'Funnel setup'!$K$5,".",IF(A4511=".",1,A4511+1))</f>
        <v>.</v>
      </c>
      <c r="B4512" s="431" t="str">
        <f t="shared" si="70"/>
        <v>Knee Replacement PrimaryProviderTAUNTON AND SOMERSET NHS FOUNDATION TRUST (RBA)EQ VAS</v>
      </c>
      <c r="C4512" t="s">
        <v>249</v>
      </c>
      <c r="D4512" t="s">
        <v>1</v>
      </c>
      <c r="E4512" t="s">
        <v>3151</v>
      </c>
      <c r="F4512" t="s">
        <v>3152</v>
      </c>
      <c r="G4512" t="s">
        <v>179</v>
      </c>
      <c r="H4512">
        <v>68</v>
      </c>
      <c r="I4512">
        <v>67.897000000000006</v>
      </c>
      <c r="J4512">
        <v>74.043999999999997</v>
      </c>
      <c r="K4512">
        <v>6.1470000000000002</v>
      </c>
      <c r="L4512">
        <v>40</v>
      </c>
      <c r="M4512">
        <v>17</v>
      </c>
      <c r="N4512">
        <v>11</v>
      </c>
      <c r="O4512">
        <v>75.007999999999996</v>
      </c>
      <c r="P4512">
        <v>6.3497095989999996</v>
      </c>
      <c r="Q4512">
        <v>17.114000000000001</v>
      </c>
    </row>
    <row r="4513" spans="1:17" x14ac:dyDescent="0.2">
      <c r="A4513" s="30" t="str">
        <f>IF(C4513&amp;G4513&amp;D4513&lt;&gt;'Funnel setup'!$K$3&amp;'Funnel setup'!$K$4&amp;'Funnel setup'!$K$5,".",IF(A4512=".",1,A4512+1))</f>
        <v>.</v>
      </c>
      <c r="B4513" s="431" t="str">
        <f t="shared" si="70"/>
        <v>Knee Replacement PrimaryProviderTHE BERKSHIRE INDEPENDENT HOSPITAL (NVC02)EQ VAS</v>
      </c>
      <c r="C4513" t="s">
        <v>249</v>
      </c>
      <c r="D4513" t="s">
        <v>1</v>
      </c>
      <c r="E4513" t="s">
        <v>3118</v>
      </c>
      <c r="F4513" t="s">
        <v>3119</v>
      </c>
      <c r="G4513" t="s">
        <v>179</v>
      </c>
      <c r="H4513">
        <v>41</v>
      </c>
      <c r="I4513">
        <v>74.293000000000006</v>
      </c>
      <c r="J4513">
        <v>79.049000000000007</v>
      </c>
      <c r="K4513">
        <v>4.7560000000000002</v>
      </c>
      <c r="L4513">
        <v>18</v>
      </c>
      <c r="M4513">
        <v>9</v>
      </c>
      <c r="N4513">
        <v>14</v>
      </c>
      <c r="O4513">
        <v>75.537000000000006</v>
      </c>
      <c r="P4513">
        <v>6.8788117089999998</v>
      </c>
      <c r="Q4513">
        <v>11.978999999999999</v>
      </c>
    </row>
    <row r="4514" spans="1:17" x14ac:dyDescent="0.2">
      <c r="A4514" s="30" t="str">
        <f>IF(C4514&amp;G4514&amp;D4514&lt;&gt;'Funnel setup'!$K$3&amp;'Funnel setup'!$K$4&amp;'Funnel setup'!$K$5,".",IF(A4513=".",1,A4513+1))</f>
        <v>.</v>
      </c>
      <c r="B4514" s="431" t="str">
        <f t="shared" si="70"/>
        <v>Knee Replacement PrimaryProviderTHE DUDLEY GROUP NHS FOUNDATION TRUST (RNA)EQ VAS</v>
      </c>
      <c r="C4514" t="s">
        <v>249</v>
      </c>
      <c r="D4514" t="s">
        <v>1</v>
      </c>
      <c r="E4514" t="s">
        <v>3121</v>
      </c>
      <c r="F4514" t="s">
        <v>3122</v>
      </c>
      <c r="G4514" t="s">
        <v>179</v>
      </c>
      <c r="H4514">
        <v>278</v>
      </c>
      <c r="I4514">
        <v>67.680000000000007</v>
      </c>
      <c r="J4514">
        <v>72.704999999999998</v>
      </c>
      <c r="K4514">
        <v>5.0250000000000004</v>
      </c>
      <c r="L4514">
        <v>160</v>
      </c>
      <c r="M4514">
        <v>29</v>
      </c>
      <c r="N4514">
        <v>89</v>
      </c>
      <c r="O4514">
        <v>74.334000000000003</v>
      </c>
      <c r="P4514">
        <v>5.6752641070000003</v>
      </c>
      <c r="Q4514">
        <v>16.067</v>
      </c>
    </row>
    <row r="4515" spans="1:17" x14ac:dyDescent="0.2">
      <c r="A4515" s="30" t="str">
        <f>IF(C4515&amp;G4515&amp;D4515&lt;&gt;'Funnel setup'!$K$3&amp;'Funnel setup'!$K$4&amp;'Funnel setup'!$K$5,".",IF(A4514=".",1,A4514+1))</f>
        <v>.</v>
      </c>
      <c r="B4515" s="431" t="str">
        <f t="shared" si="70"/>
        <v>Knee Replacement PrimaryProviderTHE HILLINGDON HOSPITALS NHS FOUNDATION TRUST (RAS)EQ VAS</v>
      </c>
      <c r="C4515" t="s">
        <v>249</v>
      </c>
      <c r="D4515" t="s">
        <v>1</v>
      </c>
      <c r="E4515" t="s">
        <v>3115</v>
      </c>
      <c r="F4515" t="s">
        <v>3116</v>
      </c>
      <c r="G4515" t="s">
        <v>179</v>
      </c>
      <c r="H4515">
        <v>156</v>
      </c>
      <c r="I4515">
        <v>69.885000000000005</v>
      </c>
      <c r="J4515">
        <v>72</v>
      </c>
      <c r="K4515">
        <v>2.1150000000000002</v>
      </c>
      <c r="L4515">
        <v>71</v>
      </c>
      <c r="M4515">
        <v>34</v>
      </c>
      <c r="N4515">
        <v>51</v>
      </c>
      <c r="O4515">
        <v>72.864000000000004</v>
      </c>
      <c r="P4515">
        <v>4.205881862</v>
      </c>
      <c r="Q4515">
        <v>14.096</v>
      </c>
    </row>
    <row r="4516" spans="1:17" x14ac:dyDescent="0.2">
      <c r="A4516" s="30" t="str">
        <f>IF(C4516&amp;G4516&amp;D4516&lt;&gt;'Funnel setup'!$K$3&amp;'Funnel setup'!$K$4&amp;'Funnel setup'!$K$5,".",IF(A4515=".",1,A4515+1))</f>
        <v>.</v>
      </c>
      <c r="B4516" s="431" t="str">
        <f t="shared" si="70"/>
        <v>Knee Replacement PrimaryProviderTHE HORDER CENTRE - ST JOHNS ROAD (NXM01)EQ VAS</v>
      </c>
      <c r="C4516" t="s">
        <v>249</v>
      </c>
      <c r="D4516" t="s">
        <v>1</v>
      </c>
      <c r="E4516" t="s">
        <v>4222</v>
      </c>
      <c r="F4516" t="s">
        <v>4223</v>
      </c>
      <c r="G4516" t="s">
        <v>179</v>
      </c>
      <c r="H4516">
        <v>617</v>
      </c>
      <c r="I4516">
        <v>75.63</v>
      </c>
      <c r="J4516">
        <v>79.921999999999997</v>
      </c>
      <c r="K4516">
        <v>4.2919999999999998</v>
      </c>
      <c r="L4516">
        <v>326</v>
      </c>
      <c r="M4516">
        <v>87</v>
      </c>
      <c r="N4516">
        <v>204</v>
      </c>
      <c r="O4516">
        <v>75.965000000000003</v>
      </c>
      <c r="P4516">
        <v>7.3070631820000003</v>
      </c>
      <c r="Q4516">
        <v>13.071999999999999</v>
      </c>
    </row>
    <row r="4517" spans="1:17" x14ac:dyDescent="0.2">
      <c r="A4517" s="30" t="str">
        <f>IF(C4517&amp;G4517&amp;D4517&lt;&gt;'Funnel setup'!$K$3&amp;'Funnel setup'!$K$4&amp;'Funnel setup'!$K$5,".",IF(A4516=".",1,A4516+1))</f>
        <v>.</v>
      </c>
      <c r="B4517" s="431" t="str">
        <f t="shared" si="70"/>
        <v>Knee Replacement PrimaryProviderTHE NEWCASTLE UPON TYNE HOSPITALS NHS FOUNDATION TRUST (RTD)EQ VAS</v>
      </c>
      <c r="C4517" t="s">
        <v>249</v>
      </c>
      <c r="D4517" t="s">
        <v>1</v>
      </c>
      <c r="E4517" t="s">
        <v>3748</v>
      </c>
      <c r="F4517" t="s">
        <v>3749</v>
      </c>
      <c r="G4517" t="s">
        <v>179</v>
      </c>
      <c r="H4517">
        <v>381</v>
      </c>
      <c r="I4517">
        <v>68.233999999999995</v>
      </c>
      <c r="J4517">
        <v>73.826999999999998</v>
      </c>
      <c r="K4517">
        <v>5.593</v>
      </c>
      <c r="L4517">
        <v>214</v>
      </c>
      <c r="M4517">
        <v>56</v>
      </c>
      <c r="N4517">
        <v>111</v>
      </c>
      <c r="O4517">
        <v>74.528999999999996</v>
      </c>
      <c r="P4517">
        <v>5.8704424560000001</v>
      </c>
      <c r="Q4517">
        <v>16.198</v>
      </c>
    </row>
    <row r="4518" spans="1:17" x14ac:dyDescent="0.2">
      <c r="A4518" s="30" t="str">
        <f>IF(C4518&amp;G4518&amp;D4518&lt;&gt;'Funnel setup'!$K$3&amp;'Funnel setup'!$K$4&amp;'Funnel setup'!$K$5,".",IF(A4517=".",1,A4517+1))</f>
        <v>.</v>
      </c>
      <c r="B4518" s="431" t="str">
        <f t="shared" si="70"/>
        <v>Knee Replacement PrimaryProviderTHE PRINCESS ALEXANDRA HOSPITAL NHS TRUST (RQW)EQ VAS</v>
      </c>
      <c r="C4518" t="s">
        <v>249</v>
      </c>
      <c r="D4518" t="s">
        <v>1</v>
      </c>
      <c r="E4518" t="s">
        <v>3751</v>
      </c>
      <c r="F4518" t="s">
        <v>3752</v>
      </c>
      <c r="G4518" t="s">
        <v>179</v>
      </c>
      <c r="H4518">
        <v>192</v>
      </c>
      <c r="I4518">
        <v>69.093999999999994</v>
      </c>
      <c r="J4518">
        <v>73.766000000000005</v>
      </c>
      <c r="K4518">
        <v>4.6719999999999997</v>
      </c>
      <c r="L4518">
        <v>100</v>
      </c>
      <c r="M4518">
        <v>34</v>
      </c>
      <c r="N4518">
        <v>58</v>
      </c>
      <c r="O4518">
        <v>73.900000000000006</v>
      </c>
      <c r="P4518">
        <v>5.2420433219999998</v>
      </c>
      <c r="Q4518">
        <v>16.803999999999998</v>
      </c>
    </row>
    <row r="4519" spans="1:17" x14ac:dyDescent="0.2">
      <c r="A4519" s="30" t="str">
        <f>IF(C4519&amp;G4519&amp;D4519&lt;&gt;'Funnel setup'!$K$3&amp;'Funnel setup'!$K$4&amp;'Funnel setup'!$K$5,".",IF(A4518=".",1,A4518+1))</f>
        <v>.</v>
      </c>
      <c r="B4519" s="431" t="str">
        <f t="shared" si="70"/>
        <v>Knee Replacement PrimaryProviderTHE QUEEN ELIZABETH HOSPITAL, KING'S LYNN, NHS FOUNDATION TRUST (RCX)EQ VAS</v>
      </c>
      <c r="C4519" t="s">
        <v>249</v>
      </c>
      <c r="D4519" t="s">
        <v>1</v>
      </c>
      <c r="E4519" t="s">
        <v>3754</v>
      </c>
      <c r="F4519" t="s">
        <v>3755</v>
      </c>
      <c r="G4519" t="s">
        <v>179</v>
      </c>
      <c r="H4519">
        <v>132</v>
      </c>
      <c r="I4519">
        <v>69.212000000000003</v>
      </c>
      <c r="J4519">
        <v>73.007999999999996</v>
      </c>
      <c r="K4519">
        <v>3.7949999999999999</v>
      </c>
      <c r="L4519">
        <v>66</v>
      </c>
      <c r="M4519">
        <v>20</v>
      </c>
      <c r="N4519">
        <v>46</v>
      </c>
      <c r="O4519">
        <v>73.510999999999996</v>
      </c>
      <c r="P4519">
        <v>4.8525778040000001</v>
      </c>
      <c r="Q4519">
        <v>15.345000000000001</v>
      </c>
    </row>
    <row r="4520" spans="1:17" x14ac:dyDescent="0.2">
      <c r="A4520" s="30" t="str">
        <f>IF(C4520&amp;G4520&amp;D4520&lt;&gt;'Funnel setup'!$K$3&amp;'Funnel setup'!$K$4&amp;'Funnel setup'!$K$5,".",IF(A4519=".",1,A4519+1))</f>
        <v>.</v>
      </c>
      <c r="B4520" s="431" t="str">
        <f t="shared" si="70"/>
        <v>Knee Replacement PrimaryProviderTHE ROBERT JONES AND AGNES HUNT ORTHOPAEDIC HOSPITAL NHS FOUNDATION TRUST (RL1)EQ VAS</v>
      </c>
      <c r="C4520" t="s">
        <v>249</v>
      </c>
      <c r="D4520" t="s">
        <v>1</v>
      </c>
      <c r="E4520" t="s">
        <v>4496</v>
      </c>
      <c r="F4520" t="s">
        <v>4497</v>
      </c>
      <c r="G4520" t="s">
        <v>179</v>
      </c>
      <c r="H4520">
        <v>348</v>
      </c>
      <c r="I4520">
        <v>66.049000000000007</v>
      </c>
      <c r="J4520">
        <v>77.655000000000001</v>
      </c>
      <c r="K4520">
        <v>11.606</v>
      </c>
      <c r="L4520">
        <v>226</v>
      </c>
      <c r="M4520">
        <v>58</v>
      </c>
      <c r="N4520">
        <v>64</v>
      </c>
      <c r="O4520">
        <v>75.406999999999996</v>
      </c>
      <c r="P4520">
        <v>6.7486736269999996</v>
      </c>
      <c r="Q4520">
        <v>14.914</v>
      </c>
    </row>
    <row r="4521" spans="1:17" x14ac:dyDescent="0.2">
      <c r="A4521" s="30" t="str">
        <f>IF(C4521&amp;G4521&amp;D4521&lt;&gt;'Funnel setup'!$K$3&amp;'Funnel setup'!$K$4&amp;'Funnel setup'!$K$5,".",IF(A4520=".",1,A4520+1))</f>
        <v>.</v>
      </c>
      <c r="B4521" s="431" t="str">
        <f t="shared" si="70"/>
        <v>Knee Replacement PrimaryProviderTHE ROTHERHAM NHS FOUNDATION TRUST (RFR)EQ VAS</v>
      </c>
      <c r="C4521" t="s">
        <v>249</v>
      </c>
      <c r="D4521" t="s">
        <v>1</v>
      </c>
      <c r="E4521" t="s">
        <v>3739</v>
      </c>
      <c r="F4521" t="s">
        <v>3740</v>
      </c>
      <c r="G4521" t="s">
        <v>179</v>
      </c>
      <c r="H4521">
        <v>160</v>
      </c>
      <c r="I4521">
        <v>69.230999999999995</v>
      </c>
      <c r="J4521">
        <v>74.105999999999995</v>
      </c>
      <c r="K4521">
        <v>4.875</v>
      </c>
      <c r="L4521">
        <v>86</v>
      </c>
      <c r="M4521">
        <v>28</v>
      </c>
      <c r="N4521">
        <v>46</v>
      </c>
      <c r="O4521">
        <v>74.852999999999994</v>
      </c>
      <c r="P4521">
        <v>6.1947710259999997</v>
      </c>
      <c r="Q4521">
        <v>14.69</v>
      </c>
    </row>
    <row r="4522" spans="1:17" x14ac:dyDescent="0.2">
      <c r="A4522" s="30" t="str">
        <f>IF(C4522&amp;G4522&amp;D4522&lt;&gt;'Funnel setup'!$K$3&amp;'Funnel setup'!$K$4&amp;'Funnel setup'!$K$5,".",IF(A4521=".",1,A4521+1))</f>
        <v>.</v>
      </c>
      <c r="B4522" s="431" t="str">
        <f t="shared" si="70"/>
        <v>Knee Replacement PrimaryProviderTHE ROYAL BOURNEMOUTH AND CHRISTCHURCH HOSPITALS NHS FOUNDATION TRUST (RDZ)EQ VAS</v>
      </c>
      <c r="C4522" t="s">
        <v>249</v>
      </c>
      <c r="D4522" t="s">
        <v>1</v>
      </c>
      <c r="E4522" t="s">
        <v>3742</v>
      </c>
      <c r="F4522" t="s">
        <v>3743</v>
      </c>
      <c r="G4522" t="s">
        <v>179</v>
      </c>
      <c r="H4522">
        <v>363</v>
      </c>
      <c r="I4522">
        <v>70.522999999999996</v>
      </c>
      <c r="J4522">
        <v>76.222999999999999</v>
      </c>
      <c r="K4522">
        <v>5.7</v>
      </c>
      <c r="L4522">
        <v>195</v>
      </c>
      <c r="M4522">
        <v>38</v>
      </c>
      <c r="N4522">
        <v>130</v>
      </c>
      <c r="O4522">
        <v>75.606999999999999</v>
      </c>
      <c r="P4522">
        <v>6.9487520800000002</v>
      </c>
      <c r="Q4522">
        <v>14.15</v>
      </c>
    </row>
    <row r="4523" spans="1:17" x14ac:dyDescent="0.2">
      <c r="A4523" s="30" t="str">
        <f>IF(C4523&amp;G4523&amp;D4523&lt;&gt;'Funnel setup'!$K$3&amp;'Funnel setup'!$K$4&amp;'Funnel setup'!$K$5,".",IF(A4522=".",1,A4522+1))</f>
        <v>.</v>
      </c>
      <c r="B4523" s="431" t="str">
        <f t="shared" si="70"/>
        <v>Knee Replacement PrimaryProviderTHE ROYAL ORTHOPAEDIC HOSPITAL NHS FOUNDATION TRUST (RRJ)EQ VAS</v>
      </c>
      <c r="C4523" t="s">
        <v>249</v>
      </c>
      <c r="D4523" t="s">
        <v>1</v>
      </c>
      <c r="E4523" t="s">
        <v>4480</v>
      </c>
      <c r="F4523" t="s">
        <v>4481</v>
      </c>
      <c r="G4523" t="s">
        <v>179</v>
      </c>
      <c r="H4523">
        <v>171</v>
      </c>
      <c r="I4523">
        <v>67.778000000000006</v>
      </c>
      <c r="J4523">
        <v>74.643000000000001</v>
      </c>
      <c r="K4523">
        <v>6.8650000000000002</v>
      </c>
      <c r="L4523">
        <v>100</v>
      </c>
      <c r="M4523">
        <v>16</v>
      </c>
      <c r="N4523">
        <v>55</v>
      </c>
      <c r="O4523">
        <v>76.763000000000005</v>
      </c>
      <c r="P4523">
        <v>8.1043060540000003</v>
      </c>
      <c r="Q4523">
        <v>15.928000000000001</v>
      </c>
    </row>
    <row r="4524" spans="1:17" x14ac:dyDescent="0.2">
      <c r="A4524" s="30" t="str">
        <f>IF(C4524&amp;G4524&amp;D4524&lt;&gt;'Funnel setup'!$K$3&amp;'Funnel setup'!$K$4&amp;'Funnel setup'!$K$5,".",IF(A4523=".",1,A4523+1))</f>
        <v>.</v>
      </c>
      <c r="B4524" s="431" t="str">
        <f t="shared" si="70"/>
        <v>Knee Replacement PrimaryProviderTHE ROYAL WOLVERHAMPTON NHS TRUST (RL4)EQ VAS</v>
      </c>
      <c r="C4524" t="s">
        <v>249</v>
      </c>
      <c r="D4524" t="s">
        <v>1</v>
      </c>
      <c r="E4524" t="s">
        <v>3382</v>
      </c>
      <c r="F4524" t="s">
        <v>3383</v>
      </c>
      <c r="G4524" t="s">
        <v>179</v>
      </c>
      <c r="H4524">
        <v>295</v>
      </c>
      <c r="I4524">
        <v>65.983000000000004</v>
      </c>
      <c r="J4524">
        <v>69.840999999999994</v>
      </c>
      <c r="K4524">
        <v>3.8580000000000001</v>
      </c>
      <c r="L4524">
        <v>154</v>
      </c>
      <c r="M4524">
        <v>35</v>
      </c>
      <c r="N4524">
        <v>106</v>
      </c>
      <c r="O4524">
        <v>73.076999999999998</v>
      </c>
      <c r="P4524">
        <v>4.4185107820000002</v>
      </c>
      <c r="Q4524">
        <v>16.187999999999999</v>
      </c>
    </row>
    <row r="4525" spans="1:17" x14ac:dyDescent="0.2">
      <c r="A4525" s="30" t="str">
        <f>IF(C4525&amp;G4525&amp;D4525&lt;&gt;'Funnel setup'!$K$3&amp;'Funnel setup'!$K$4&amp;'Funnel setup'!$K$5,".",IF(A4524=".",1,A4524+1))</f>
        <v>.</v>
      </c>
      <c r="B4525" s="431" t="str">
        <f t="shared" si="70"/>
        <v>Knee Replacement PrimaryProviderTHE SPENCER WING (RAMSGATE ROAD) (NN801)EQ VAS</v>
      </c>
      <c r="C4525" t="s">
        <v>249</v>
      </c>
      <c r="D4525" t="s">
        <v>1</v>
      </c>
      <c r="E4525" t="s">
        <v>3757</v>
      </c>
      <c r="F4525" t="s">
        <v>3758</v>
      </c>
      <c r="G4525" t="s">
        <v>179</v>
      </c>
      <c r="H4525">
        <v>23</v>
      </c>
      <c r="I4525">
        <v>71.347999999999999</v>
      </c>
      <c r="J4525">
        <v>80.695999999999998</v>
      </c>
      <c r="K4525">
        <v>9.3480000000000008</v>
      </c>
      <c r="L4525">
        <v>13</v>
      </c>
      <c r="M4525">
        <v>4</v>
      </c>
      <c r="N4525">
        <v>6</v>
      </c>
      <c r="O4525" t="s">
        <v>53</v>
      </c>
      <c r="P4525" t="s">
        <v>53</v>
      </c>
      <c r="Q4525" t="s">
        <v>53</v>
      </c>
    </row>
    <row r="4526" spans="1:17" x14ac:dyDescent="0.2">
      <c r="A4526" s="30" t="str">
        <f>IF(C4526&amp;G4526&amp;D4526&lt;&gt;'Funnel setup'!$K$3&amp;'Funnel setup'!$K$4&amp;'Funnel setup'!$K$5,".",IF(A4525=".",1,A4525+1))</f>
        <v>.</v>
      </c>
      <c r="B4526" s="431" t="str">
        <f t="shared" si="70"/>
        <v>Knee Replacement PrimaryProviderTHE YORKSHIRE CLINIC (NVC20)EQ VAS</v>
      </c>
      <c r="C4526" t="s">
        <v>249</v>
      </c>
      <c r="D4526" t="s">
        <v>1</v>
      </c>
      <c r="E4526" t="s">
        <v>3760</v>
      </c>
      <c r="F4526" t="s">
        <v>3761</v>
      </c>
      <c r="G4526" t="s">
        <v>179</v>
      </c>
      <c r="H4526">
        <v>48</v>
      </c>
      <c r="I4526">
        <v>70.792000000000002</v>
      </c>
      <c r="J4526">
        <v>77.207999999999998</v>
      </c>
      <c r="K4526">
        <v>6.4169999999999998</v>
      </c>
      <c r="L4526">
        <v>33</v>
      </c>
      <c r="M4526">
        <v>3</v>
      </c>
      <c r="N4526">
        <v>12</v>
      </c>
      <c r="O4526">
        <v>74.977000000000004</v>
      </c>
      <c r="P4526">
        <v>6.3189801560000003</v>
      </c>
      <c r="Q4526">
        <v>15.257</v>
      </c>
    </row>
    <row r="4527" spans="1:17" x14ac:dyDescent="0.2">
      <c r="A4527" s="30" t="str">
        <f>IF(C4527&amp;G4527&amp;D4527&lt;&gt;'Funnel setup'!$K$3&amp;'Funnel setup'!$K$4&amp;'Funnel setup'!$K$5,".",IF(A4526=".",1,A4526+1))</f>
        <v>.</v>
      </c>
      <c r="B4527" s="431" t="str">
        <f t="shared" si="70"/>
        <v>Knee Replacement PrimaryProviderTORBAY AND SOUTH DEVON NHS FOUNDATION TRUST (RA9)EQ VAS</v>
      </c>
      <c r="C4527" t="s">
        <v>249</v>
      </c>
      <c r="D4527" t="s">
        <v>1</v>
      </c>
      <c r="E4527" t="s">
        <v>3480</v>
      </c>
      <c r="F4527" t="s">
        <v>6584</v>
      </c>
      <c r="G4527" t="s">
        <v>179</v>
      </c>
      <c r="H4527">
        <v>201</v>
      </c>
      <c r="I4527">
        <v>67.715999999999994</v>
      </c>
      <c r="J4527">
        <v>73.134</v>
      </c>
      <c r="K4527">
        <v>5.4180000000000001</v>
      </c>
      <c r="L4527">
        <v>113</v>
      </c>
      <c r="M4527">
        <v>22</v>
      </c>
      <c r="N4527">
        <v>66</v>
      </c>
      <c r="O4527">
        <v>74.491</v>
      </c>
      <c r="P4527">
        <v>5.8328444319999999</v>
      </c>
      <c r="Q4527">
        <v>16.524000000000001</v>
      </c>
    </row>
    <row r="4528" spans="1:17" x14ac:dyDescent="0.2">
      <c r="A4528" s="30" t="str">
        <f>IF(C4528&amp;G4528&amp;D4528&lt;&gt;'Funnel setup'!$K$3&amp;'Funnel setup'!$K$4&amp;'Funnel setup'!$K$5,".",IF(A4527=".",1,A4527+1))</f>
        <v>.</v>
      </c>
      <c r="B4528" s="431" t="str">
        <f t="shared" si="70"/>
        <v>Knee Replacement PrimaryProviderTYNESIDE SURGICAL SERVICES AT THE NORTH EAST NHS SURGERY CENTRE (NN401)EQ VAS</v>
      </c>
      <c r="C4528" t="s">
        <v>249</v>
      </c>
      <c r="D4528" t="s">
        <v>1</v>
      </c>
      <c r="E4528" t="s">
        <v>4506</v>
      </c>
      <c r="F4528" t="s">
        <v>4507</v>
      </c>
      <c r="G4528" t="s">
        <v>179</v>
      </c>
      <c r="H4528">
        <v>7</v>
      </c>
      <c r="I4528">
        <v>72.856999999999999</v>
      </c>
      <c r="J4528">
        <v>80</v>
      </c>
      <c r="K4528">
        <v>7.1429999999999998</v>
      </c>
      <c r="L4528">
        <v>3</v>
      </c>
      <c r="M4528">
        <v>3</v>
      </c>
      <c r="N4528">
        <v>1</v>
      </c>
      <c r="O4528" t="s">
        <v>53</v>
      </c>
      <c r="P4528" t="s">
        <v>53</v>
      </c>
      <c r="Q4528" t="s">
        <v>53</v>
      </c>
    </row>
    <row r="4529" spans="1:17" x14ac:dyDescent="0.2">
      <c r="A4529" s="30" t="str">
        <f>IF(C4529&amp;G4529&amp;D4529&lt;&gt;'Funnel setup'!$K$3&amp;'Funnel setup'!$K$4&amp;'Funnel setup'!$K$5,".",IF(A4528=".",1,A4528+1))</f>
        <v>.</v>
      </c>
      <c r="B4529" s="431" t="str">
        <f t="shared" si="70"/>
        <v>Knee Replacement PrimaryProviderUNITED LINCOLNSHIRE HOSPITALS NHS TRUST (RWD)EQ VAS</v>
      </c>
      <c r="C4529" t="s">
        <v>249</v>
      </c>
      <c r="D4529" t="s">
        <v>1</v>
      </c>
      <c r="E4529" t="s">
        <v>3763</v>
      </c>
      <c r="F4529" t="s">
        <v>3764</v>
      </c>
      <c r="G4529" t="s">
        <v>179</v>
      </c>
      <c r="H4529">
        <v>239</v>
      </c>
      <c r="I4529">
        <v>70.385000000000005</v>
      </c>
      <c r="J4529">
        <v>73.204999999999998</v>
      </c>
      <c r="K4529">
        <v>2.82</v>
      </c>
      <c r="L4529">
        <v>121</v>
      </c>
      <c r="M4529">
        <v>22</v>
      </c>
      <c r="N4529">
        <v>96</v>
      </c>
      <c r="O4529">
        <v>72.563999999999993</v>
      </c>
      <c r="P4529">
        <v>3.905260942</v>
      </c>
      <c r="Q4529">
        <v>18.661000000000001</v>
      </c>
    </row>
    <row r="4530" spans="1:17" x14ac:dyDescent="0.2">
      <c r="A4530" s="30" t="str">
        <f>IF(C4530&amp;G4530&amp;D4530&lt;&gt;'Funnel setup'!$K$3&amp;'Funnel setup'!$K$4&amp;'Funnel setup'!$K$5,".",IF(A4529=".",1,A4529+1))</f>
        <v>.</v>
      </c>
      <c r="B4530" s="431" t="str">
        <f t="shared" si="70"/>
        <v>Knee Replacement PrimaryProviderUNIVERSITY COLLEGE LONDON HOSPITALS NHS FOUNDATION TRUST (RRV)EQ VAS</v>
      </c>
      <c r="C4530" t="s">
        <v>249</v>
      </c>
      <c r="D4530" t="s">
        <v>1</v>
      </c>
      <c r="E4530" t="s">
        <v>3766</v>
      </c>
      <c r="F4530" t="s">
        <v>3767</v>
      </c>
      <c r="G4530" t="s">
        <v>179</v>
      </c>
      <c r="H4530">
        <v>57</v>
      </c>
      <c r="I4530">
        <v>68.86</v>
      </c>
      <c r="J4530">
        <v>73.930000000000007</v>
      </c>
      <c r="K4530">
        <v>5.07</v>
      </c>
      <c r="L4530">
        <v>30</v>
      </c>
      <c r="M4530">
        <v>8</v>
      </c>
      <c r="N4530">
        <v>19</v>
      </c>
      <c r="O4530">
        <v>76.572999999999993</v>
      </c>
      <c r="P4530">
        <v>7.9143753859999997</v>
      </c>
      <c r="Q4530">
        <v>14.567</v>
      </c>
    </row>
    <row r="4531" spans="1:17" x14ac:dyDescent="0.2">
      <c r="A4531" s="30" t="str">
        <f>IF(C4531&amp;G4531&amp;D4531&lt;&gt;'Funnel setup'!$K$3&amp;'Funnel setup'!$K$4&amp;'Funnel setup'!$K$5,".",IF(A4530=".",1,A4530+1))</f>
        <v>.</v>
      </c>
      <c r="B4531" s="431" t="str">
        <f t="shared" si="70"/>
        <v>Knee Replacement PrimaryProviderUNIVERSITY HOSPITAL OF SOUTH MANCHESTER NHS FOUNDATION TRUST (RM2)EQ VAS</v>
      </c>
      <c r="C4531" t="s">
        <v>249</v>
      </c>
      <c r="D4531" t="s">
        <v>1</v>
      </c>
      <c r="E4531" t="s">
        <v>3769</v>
      </c>
      <c r="F4531" t="s">
        <v>3770</v>
      </c>
      <c r="G4531" t="s">
        <v>179</v>
      </c>
      <c r="H4531">
        <v>108</v>
      </c>
      <c r="I4531">
        <v>69.721999999999994</v>
      </c>
      <c r="J4531">
        <v>71.75</v>
      </c>
      <c r="K4531">
        <v>2.028</v>
      </c>
      <c r="L4531">
        <v>47</v>
      </c>
      <c r="M4531">
        <v>18</v>
      </c>
      <c r="N4531">
        <v>43</v>
      </c>
      <c r="O4531">
        <v>72.144000000000005</v>
      </c>
      <c r="P4531">
        <v>3.485872289</v>
      </c>
      <c r="Q4531">
        <v>19.562000000000001</v>
      </c>
    </row>
    <row r="4532" spans="1:17" x14ac:dyDescent="0.2">
      <c r="A4532" s="30" t="str">
        <f>IF(C4532&amp;G4532&amp;D4532&lt;&gt;'Funnel setup'!$K$3&amp;'Funnel setup'!$K$4&amp;'Funnel setup'!$K$5,".",IF(A4531=".",1,A4531+1))</f>
        <v>.</v>
      </c>
      <c r="B4532" s="431" t="str">
        <f t="shared" si="70"/>
        <v>Knee Replacement PrimaryProviderUNIVERSITY HOSPITAL SOUTHAMPTON NHS FOUNDATION TRUST (RHM)EQ VAS</v>
      </c>
      <c r="C4532" t="s">
        <v>249</v>
      </c>
      <c r="D4532" t="s">
        <v>1</v>
      </c>
      <c r="E4532" t="s">
        <v>3772</v>
      </c>
      <c r="F4532" t="s">
        <v>3773</v>
      </c>
      <c r="G4532" t="s">
        <v>179</v>
      </c>
      <c r="H4532">
        <v>162</v>
      </c>
      <c r="I4532">
        <v>64.611000000000004</v>
      </c>
      <c r="J4532">
        <v>73.388999999999996</v>
      </c>
      <c r="K4532">
        <v>8.7780000000000005</v>
      </c>
      <c r="L4532">
        <v>103</v>
      </c>
      <c r="M4532">
        <v>18</v>
      </c>
      <c r="N4532">
        <v>41</v>
      </c>
      <c r="O4532">
        <v>74.995999999999995</v>
      </c>
      <c r="P4532">
        <v>6.3376704750000004</v>
      </c>
      <c r="Q4532">
        <v>16.602</v>
      </c>
    </row>
    <row r="4533" spans="1:17" x14ac:dyDescent="0.2">
      <c r="A4533" s="30" t="str">
        <f>IF(C4533&amp;G4533&amp;D4533&lt;&gt;'Funnel setup'!$K$3&amp;'Funnel setup'!$K$4&amp;'Funnel setup'!$K$5,".",IF(A4532=".",1,A4532+1))</f>
        <v>.</v>
      </c>
      <c r="B4533" s="431" t="str">
        <f t="shared" si="70"/>
        <v>Knee Replacement PrimaryProviderUNIVERSITY HOSPITALS COVENTRY AND WARWICKSHIRE NHS TRUST (RKB)EQ VAS</v>
      </c>
      <c r="C4533" t="s">
        <v>249</v>
      </c>
      <c r="D4533" t="s">
        <v>1</v>
      </c>
      <c r="E4533" t="s">
        <v>3715</v>
      </c>
      <c r="F4533" t="s">
        <v>3716</v>
      </c>
      <c r="G4533" t="s">
        <v>179</v>
      </c>
      <c r="H4533">
        <v>266</v>
      </c>
      <c r="I4533">
        <v>67.778000000000006</v>
      </c>
      <c r="J4533">
        <v>74.191999999999993</v>
      </c>
      <c r="K4533">
        <v>6.4139999999999997</v>
      </c>
      <c r="L4533">
        <v>153</v>
      </c>
      <c r="M4533">
        <v>35</v>
      </c>
      <c r="N4533">
        <v>78</v>
      </c>
      <c r="O4533">
        <v>74.811000000000007</v>
      </c>
      <c r="P4533">
        <v>6.1528791629999997</v>
      </c>
      <c r="Q4533">
        <v>15.4</v>
      </c>
    </row>
    <row r="4534" spans="1:17" x14ac:dyDescent="0.2">
      <c r="A4534" s="30" t="str">
        <f>IF(C4534&amp;G4534&amp;D4534&lt;&gt;'Funnel setup'!$K$3&amp;'Funnel setup'!$K$4&amp;'Funnel setup'!$K$5,".",IF(A4533=".",1,A4533+1))</f>
        <v>.</v>
      </c>
      <c r="B4534" s="431" t="str">
        <f t="shared" si="70"/>
        <v>Knee Replacement PrimaryProviderUNIVERSITY HOSPITALS OF LEICESTER NHS TRUST (RWE)EQ VAS</v>
      </c>
      <c r="C4534" t="s">
        <v>249</v>
      </c>
      <c r="D4534" t="s">
        <v>1</v>
      </c>
      <c r="E4534" t="s">
        <v>3718</v>
      </c>
      <c r="F4534" t="s">
        <v>3719</v>
      </c>
      <c r="G4534" t="s">
        <v>179</v>
      </c>
      <c r="H4534">
        <v>528</v>
      </c>
      <c r="I4534">
        <v>66.403000000000006</v>
      </c>
      <c r="J4534">
        <v>73.177999999999997</v>
      </c>
      <c r="K4534">
        <v>6.7750000000000004</v>
      </c>
      <c r="L4534">
        <v>312</v>
      </c>
      <c r="M4534">
        <v>73</v>
      </c>
      <c r="N4534">
        <v>143</v>
      </c>
      <c r="O4534">
        <v>74.73</v>
      </c>
      <c r="P4534">
        <v>6.0720923850000004</v>
      </c>
      <c r="Q4534">
        <v>15.439</v>
      </c>
    </row>
    <row r="4535" spans="1:17" x14ac:dyDescent="0.2">
      <c r="A4535" s="30" t="str">
        <f>IF(C4535&amp;G4535&amp;D4535&lt;&gt;'Funnel setup'!$K$3&amp;'Funnel setup'!$K$4&amp;'Funnel setup'!$K$5,".",IF(A4534=".",1,A4534+1))</f>
        <v>.</v>
      </c>
      <c r="B4535" s="431" t="str">
        <f t="shared" si="70"/>
        <v>Knee Replacement PrimaryProviderUNIVERSITY HOSPITALS OF MORECAMBE BAY NHS FOUNDATION TRUST (RTX)EQ VAS</v>
      </c>
      <c r="C4535" t="s">
        <v>249</v>
      </c>
      <c r="D4535" t="s">
        <v>1</v>
      </c>
      <c r="E4535" t="s">
        <v>3721</v>
      </c>
      <c r="F4535" t="s">
        <v>3722</v>
      </c>
      <c r="G4535" t="s">
        <v>179</v>
      </c>
      <c r="H4535">
        <v>321</v>
      </c>
      <c r="I4535">
        <v>71.031000000000006</v>
      </c>
      <c r="J4535">
        <v>74.320999999999998</v>
      </c>
      <c r="K4535">
        <v>3.29</v>
      </c>
      <c r="L4535">
        <v>147</v>
      </c>
      <c r="M4535">
        <v>53</v>
      </c>
      <c r="N4535">
        <v>121</v>
      </c>
      <c r="O4535">
        <v>72.930000000000007</v>
      </c>
      <c r="P4535">
        <v>4.2719675779999999</v>
      </c>
      <c r="Q4535">
        <v>14.262</v>
      </c>
    </row>
    <row r="4536" spans="1:17" x14ac:dyDescent="0.2">
      <c r="A4536" s="30" t="str">
        <f>IF(C4536&amp;G4536&amp;D4536&lt;&gt;'Funnel setup'!$K$3&amp;'Funnel setup'!$K$4&amp;'Funnel setup'!$K$5,".",IF(A4535=".",1,A4535+1))</f>
        <v>.</v>
      </c>
      <c r="B4536" s="431" t="str">
        <f t="shared" si="70"/>
        <v>Knee Replacement PrimaryProviderUNIVERSITY HOSPITALS OF NORTH MIDLANDS NHS TRUST (RJE)EQ VAS</v>
      </c>
      <c r="C4536" t="s">
        <v>249</v>
      </c>
      <c r="D4536" t="s">
        <v>1</v>
      </c>
      <c r="E4536" t="s">
        <v>3724</v>
      </c>
      <c r="F4536" t="s">
        <v>3725</v>
      </c>
      <c r="G4536" t="s">
        <v>179</v>
      </c>
      <c r="H4536">
        <v>190</v>
      </c>
      <c r="I4536">
        <v>63.558</v>
      </c>
      <c r="J4536">
        <v>69.525999999999996</v>
      </c>
      <c r="K4536">
        <v>5.968</v>
      </c>
      <c r="L4536">
        <v>101</v>
      </c>
      <c r="M4536">
        <v>22</v>
      </c>
      <c r="N4536">
        <v>67</v>
      </c>
      <c r="O4536">
        <v>73.543999999999997</v>
      </c>
      <c r="P4536">
        <v>4.88556626</v>
      </c>
      <c r="Q4536">
        <v>17.05</v>
      </c>
    </row>
    <row r="4537" spans="1:17" x14ac:dyDescent="0.2">
      <c r="A4537" s="30" t="str">
        <f>IF(C4537&amp;G4537&amp;D4537&lt;&gt;'Funnel setup'!$K$3&amp;'Funnel setup'!$K$4&amp;'Funnel setup'!$K$5,".",IF(A4536=".",1,A4536+1))</f>
        <v>.</v>
      </c>
      <c r="B4537" s="431" t="str">
        <f t="shared" si="70"/>
        <v>Knee Replacement PrimaryProviderWALSALL HEALTHCARE NHS TRUST (RBK)EQ VAS</v>
      </c>
      <c r="C4537" t="s">
        <v>249</v>
      </c>
      <c r="D4537" t="s">
        <v>1</v>
      </c>
      <c r="E4537" t="s">
        <v>3727</v>
      </c>
      <c r="F4537" t="s">
        <v>3728</v>
      </c>
      <c r="G4537" t="s">
        <v>179</v>
      </c>
      <c r="H4537">
        <v>87</v>
      </c>
      <c r="I4537">
        <v>64.700999999999993</v>
      </c>
      <c r="J4537">
        <v>69.102999999999994</v>
      </c>
      <c r="K4537">
        <v>4.4020000000000001</v>
      </c>
      <c r="L4537">
        <v>51</v>
      </c>
      <c r="M4537">
        <v>11</v>
      </c>
      <c r="N4537">
        <v>25</v>
      </c>
      <c r="O4537">
        <v>73.281000000000006</v>
      </c>
      <c r="P4537">
        <v>4.6222444200000004</v>
      </c>
      <c r="Q4537">
        <v>17.597999999999999</v>
      </c>
    </row>
    <row r="4538" spans="1:17" x14ac:dyDescent="0.2">
      <c r="A4538" s="30" t="str">
        <f>IF(C4538&amp;G4538&amp;D4538&lt;&gt;'Funnel setup'!$K$3&amp;'Funnel setup'!$K$4&amp;'Funnel setup'!$K$5,".",IF(A4537=".",1,A4537+1))</f>
        <v>.</v>
      </c>
      <c r="B4538" s="431" t="str">
        <f t="shared" si="70"/>
        <v>Knee Replacement PrimaryProviderWARRINGTON AND HALTON HOSPITALS NHS FOUNDATION TRUST (RWW)EQ VAS</v>
      </c>
      <c r="C4538" t="s">
        <v>249</v>
      </c>
      <c r="D4538" t="s">
        <v>1</v>
      </c>
      <c r="E4538" t="s">
        <v>3730</v>
      </c>
      <c r="F4538" t="s">
        <v>3731</v>
      </c>
      <c r="G4538" t="s">
        <v>179</v>
      </c>
      <c r="H4538">
        <v>233</v>
      </c>
      <c r="I4538">
        <v>64.798000000000002</v>
      </c>
      <c r="J4538">
        <v>73.870999999999995</v>
      </c>
      <c r="K4538">
        <v>9.0730000000000004</v>
      </c>
      <c r="L4538">
        <v>139</v>
      </c>
      <c r="M4538">
        <v>35</v>
      </c>
      <c r="N4538">
        <v>59</v>
      </c>
      <c r="O4538">
        <v>75.290000000000006</v>
      </c>
      <c r="P4538">
        <v>6.6320035900000001</v>
      </c>
      <c r="Q4538">
        <v>15.282</v>
      </c>
    </row>
    <row r="4539" spans="1:17" x14ac:dyDescent="0.2">
      <c r="A4539" s="30" t="str">
        <f>IF(C4539&amp;G4539&amp;D4539&lt;&gt;'Funnel setup'!$K$3&amp;'Funnel setup'!$K$4&amp;'Funnel setup'!$K$5,".",IF(A4538=".",1,A4538+1))</f>
        <v>.</v>
      </c>
      <c r="B4539" s="431" t="str">
        <f t="shared" si="70"/>
        <v>Knee Replacement PrimaryProviderWEST HERTFORDSHIRE HOSPITALS NHS TRUST (RWG)EQ VAS</v>
      </c>
      <c r="C4539" t="s">
        <v>249</v>
      </c>
      <c r="D4539" t="s">
        <v>1</v>
      </c>
      <c r="E4539" t="s">
        <v>3733</v>
      </c>
      <c r="F4539" t="s">
        <v>3734</v>
      </c>
      <c r="G4539" t="s">
        <v>179</v>
      </c>
      <c r="H4539">
        <v>216</v>
      </c>
      <c r="I4539">
        <v>68.069000000000003</v>
      </c>
      <c r="J4539">
        <v>74.769000000000005</v>
      </c>
      <c r="K4539">
        <v>6.6989999999999998</v>
      </c>
      <c r="L4539">
        <v>126</v>
      </c>
      <c r="M4539">
        <v>21</v>
      </c>
      <c r="N4539">
        <v>69</v>
      </c>
      <c r="O4539">
        <v>74.48</v>
      </c>
      <c r="P4539">
        <v>5.821183188</v>
      </c>
      <c r="Q4539">
        <v>16.067</v>
      </c>
    </row>
    <row r="4540" spans="1:17" x14ac:dyDescent="0.2">
      <c r="A4540" s="30" t="str">
        <f>IF(C4540&amp;G4540&amp;D4540&lt;&gt;'Funnel setup'!$K$3&amp;'Funnel setup'!$K$4&amp;'Funnel setup'!$K$5,".",IF(A4539=".",1,A4539+1))</f>
        <v>.</v>
      </c>
      <c r="B4540" s="431" t="str">
        <f t="shared" si="70"/>
        <v>Knee Replacement PrimaryProviderWEST MIDDLESEX UNIVERSITY HOSPITAL NHS TRUST (RFW)EQ VAS</v>
      </c>
      <c r="C4540" t="s">
        <v>249</v>
      </c>
      <c r="D4540" t="s">
        <v>1</v>
      </c>
      <c r="E4540" t="s">
        <v>3736</v>
      </c>
      <c r="F4540" t="s">
        <v>3737</v>
      </c>
      <c r="G4540" t="s">
        <v>179</v>
      </c>
      <c r="H4540">
        <v>51</v>
      </c>
      <c r="I4540">
        <v>59.118000000000002</v>
      </c>
      <c r="J4540">
        <v>67.176000000000002</v>
      </c>
      <c r="K4540">
        <v>8.0589999999999993</v>
      </c>
      <c r="L4540">
        <v>30</v>
      </c>
      <c r="M4540">
        <v>9</v>
      </c>
      <c r="N4540">
        <v>12</v>
      </c>
      <c r="O4540">
        <v>71.543999999999997</v>
      </c>
      <c r="P4540">
        <v>2.8857911569999999</v>
      </c>
      <c r="Q4540">
        <v>13.144</v>
      </c>
    </row>
    <row r="4541" spans="1:17" x14ac:dyDescent="0.2">
      <c r="A4541" s="30" t="str">
        <f>IF(C4541&amp;G4541&amp;D4541&lt;&gt;'Funnel setup'!$K$3&amp;'Funnel setup'!$K$4&amp;'Funnel setup'!$K$5,".",IF(A4540=".",1,A4540+1))</f>
        <v>.</v>
      </c>
      <c r="B4541" s="431" t="str">
        <f t="shared" si="70"/>
        <v>Knee Replacement PrimaryProviderWEST MIDLANDS HOSPITAL (NVC21)EQ VAS</v>
      </c>
      <c r="C4541" t="s">
        <v>249</v>
      </c>
      <c r="D4541" t="s">
        <v>1</v>
      </c>
      <c r="E4541" t="s">
        <v>3709</v>
      </c>
      <c r="F4541" t="s">
        <v>3710</v>
      </c>
      <c r="G4541" t="s">
        <v>179</v>
      </c>
      <c r="H4541">
        <v>51</v>
      </c>
      <c r="I4541">
        <v>69.843000000000004</v>
      </c>
      <c r="J4541">
        <v>75.176000000000002</v>
      </c>
      <c r="K4541">
        <v>5.3330000000000002</v>
      </c>
      <c r="L4541">
        <v>31</v>
      </c>
      <c r="M4541">
        <v>6</v>
      </c>
      <c r="N4541">
        <v>14</v>
      </c>
      <c r="O4541">
        <v>75.537999999999997</v>
      </c>
      <c r="P4541">
        <v>6.8799171640000001</v>
      </c>
      <c r="Q4541">
        <v>16.954000000000001</v>
      </c>
    </row>
    <row r="4542" spans="1:17" x14ac:dyDescent="0.2">
      <c r="A4542" s="30" t="str">
        <f>IF(C4542&amp;G4542&amp;D4542&lt;&gt;'Funnel setup'!$K$3&amp;'Funnel setup'!$K$4&amp;'Funnel setup'!$K$5,".",IF(A4541=".",1,A4541+1))</f>
        <v>.</v>
      </c>
      <c r="B4542" s="431" t="str">
        <f t="shared" si="70"/>
        <v>Knee Replacement PrimaryProviderWEST SUFFOLK NHS FOUNDATION TRUST (RGR)EQ VAS</v>
      </c>
      <c r="C4542" t="s">
        <v>249</v>
      </c>
      <c r="D4542" t="s">
        <v>1</v>
      </c>
      <c r="E4542" t="s">
        <v>3712</v>
      </c>
      <c r="F4542" t="s">
        <v>3713</v>
      </c>
      <c r="G4542" t="s">
        <v>179</v>
      </c>
      <c r="H4542">
        <v>167</v>
      </c>
      <c r="I4542">
        <v>68.521000000000001</v>
      </c>
      <c r="J4542">
        <v>75.418999999999997</v>
      </c>
      <c r="K4542">
        <v>6.8979999999999997</v>
      </c>
      <c r="L4542">
        <v>106</v>
      </c>
      <c r="M4542">
        <v>19</v>
      </c>
      <c r="N4542">
        <v>42</v>
      </c>
      <c r="O4542">
        <v>75.284999999999997</v>
      </c>
      <c r="P4542">
        <v>6.6270916929999997</v>
      </c>
      <c r="Q4542">
        <v>15.242000000000001</v>
      </c>
    </row>
    <row r="4543" spans="1:17" x14ac:dyDescent="0.2">
      <c r="A4543" s="30" t="str">
        <f>IF(C4543&amp;G4543&amp;D4543&lt;&gt;'Funnel setup'!$K$3&amp;'Funnel setup'!$K$4&amp;'Funnel setup'!$K$5,".",IF(A4542=".",1,A4542+1))</f>
        <v>.</v>
      </c>
      <c r="B4543" s="431" t="str">
        <f t="shared" si="70"/>
        <v>Knee Replacement PrimaryProviderWESTERN SUSSEX HOSPITALS NHS FOUNDATION TRUST (RYR)EQ VAS</v>
      </c>
      <c r="C4543" t="s">
        <v>249</v>
      </c>
      <c r="D4543" t="s">
        <v>1</v>
      </c>
      <c r="E4543" t="s">
        <v>3706</v>
      </c>
      <c r="F4543" t="s">
        <v>3707</v>
      </c>
      <c r="G4543" t="s">
        <v>179</v>
      </c>
      <c r="H4543">
        <v>254</v>
      </c>
      <c r="I4543">
        <v>68.185000000000002</v>
      </c>
      <c r="J4543">
        <v>72.52</v>
      </c>
      <c r="K4543">
        <v>4.335</v>
      </c>
      <c r="L4543">
        <v>132</v>
      </c>
      <c r="M4543">
        <v>34</v>
      </c>
      <c r="N4543">
        <v>88</v>
      </c>
      <c r="O4543">
        <v>73.075000000000003</v>
      </c>
      <c r="P4543">
        <v>4.4171545739999996</v>
      </c>
      <c r="Q4543">
        <v>15.704000000000001</v>
      </c>
    </row>
    <row r="4544" spans="1:17" x14ac:dyDescent="0.2">
      <c r="A4544" s="30" t="str">
        <f>IF(C4544&amp;G4544&amp;D4544&lt;&gt;'Funnel setup'!$K$3&amp;'Funnel setup'!$K$4&amp;'Funnel setup'!$K$5,".",IF(A4543=".",1,A4543+1))</f>
        <v>.</v>
      </c>
      <c r="B4544" s="431" t="str">
        <f t="shared" si="70"/>
        <v>Knee Replacement PrimaryProviderWESTON AREA HEALTH NHS TRUST (RA3)EQ VAS</v>
      </c>
      <c r="C4544" t="s">
        <v>249</v>
      </c>
      <c r="D4544" t="s">
        <v>1</v>
      </c>
      <c r="E4544" t="s">
        <v>3525</v>
      </c>
      <c r="F4544" t="s">
        <v>3526</v>
      </c>
      <c r="G4544" t="s">
        <v>179</v>
      </c>
      <c r="H4544">
        <v>84</v>
      </c>
      <c r="I4544">
        <v>69.917000000000002</v>
      </c>
      <c r="J4544">
        <v>74.201999999999998</v>
      </c>
      <c r="K4544">
        <v>4.2859999999999996</v>
      </c>
      <c r="L4544">
        <v>43</v>
      </c>
      <c r="M4544">
        <v>17</v>
      </c>
      <c r="N4544">
        <v>24</v>
      </c>
      <c r="O4544">
        <v>73.567999999999998</v>
      </c>
      <c r="P4544">
        <v>4.909932553</v>
      </c>
      <c r="Q4544">
        <v>15.935</v>
      </c>
    </row>
    <row r="4545" spans="1:17" x14ac:dyDescent="0.2">
      <c r="A4545" s="30" t="str">
        <f>IF(C4545&amp;G4545&amp;D4545&lt;&gt;'Funnel setup'!$K$3&amp;'Funnel setup'!$K$4&amp;'Funnel setup'!$K$5,".",IF(A4544=".",1,A4544+1))</f>
        <v>.</v>
      </c>
      <c r="B4545" s="431" t="str">
        <f t="shared" si="70"/>
        <v>Knee Replacement PrimaryProviderWINFIELD HOSPITAL (NVC22)EQ VAS</v>
      </c>
      <c r="C4545" t="s">
        <v>249</v>
      </c>
      <c r="D4545" t="s">
        <v>1</v>
      </c>
      <c r="E4545" t="s">
        <v>3534</v>
      </c>
      <c r="F4545" t="s">
        <v>3535</v>
      </c>
      <c r="G4545" t="s">
        <v>179</v>
      </c>
      <c r="H4545">
        <v>43</v>
      </c>
      <c r="I4545">
        <v>74.674000000000007</v>
      </c>
      <c r="J4545">
        <v>76.186000000000007</v>
      </c>
      <c r="K4545">
        <v>1.512</v>
      </c>
      <c r="L4545">
        <v>19</v>
      </c>
      <c r="M4545">
        <v>7</v>
      </c>
      <c r="N4545">
        <v>17</v>
      </c>
      <c r="O4545">
        <v>72.054000000000002</v>
      </c>
      <c r="P4545">
        <v>3.3960457329999998</v>
      </c>
      <c r="Q4545">
        <v>9.8670000000000009</v>
      </c>
    </row>
    <row r="4546" spans="1:17" x14ac:dyDescent="0.2">
      <c r="A4546" s="30" t="str">
        <f>IF(C4546&amp;G4546&amp;D4546&lt;&gt;'Funnel setup'!$K$3&amp;'Funnel setup'!$K$4&amp;'Funnel setup'!$K$5,".",IF(A4545=".",1,A4545+1))</f>
        <v>.</v>
      </c>
      <c r="B4546" s="431" t="str">
        <f t="shared" si="70"/>
        <v>Knee Replacement PrimaryProviderWIRRAL UNIVERSITY TEACHING HOSPITAL NHS FOUNDATION TRUST (RBL)EQ VAS</v>
      </c>
      <c r="C4546" t="s">
        <v>249</v>
      </c>
      <c r="D4546" t="s">
        <v>1</v>
      </c>
      <c r="E4546" t="s">
        <v>3537</v>
      </c>
      <c r="F4546" t="s">
        <v>3538</v>
      </c>
      <c r="G4546" t="s">
        <v>179</v>
      </c>
      <c r="H4546">
        <v>247</v>
      </c>
      <c r="I4546">
        <v>68.304000000000002</v>
      </c>
      <c r="J4546">
        <v>72.081000000000003</v>
      </c>
      <c r="K4546">
        <v>3.7770000000000001</v>
      </c>
      <c r="L4546">
        <v>127</v>
      </c>
      <c r="M4546">
        <v>28</v>
      </c>
      <c r="N4546">
        <v>92</v>
      </c>
      <c r="O4546">
        <v>73.063999999999993</v>
      </c>
      <c r="P4546">
        <v>4.406022611</v>
      </c>
      <c r="Q4546">
        <v>16.73</v>
      </c>
    </row>
    <row r="4547" spans="1:17" x14ac:dyDescent="0.2">
      <c r="A4547" s="30" t="str">
        <f>IF(C4547&amp;G4547&amp;D4547&lt;&gt;'Funnel setup'!$K$3&amp;'Funnel setup'!$K$4&amp;'Funnel setup'!$K$5,".",IF(A4546=".",1,A4546+1))</f>
        <v>.</v>
      </c>
      <c r="B4547" s="431" t="str">
        <f t="shared" ref="B4547:B4610" si="71">C4547&amp;D4547&amp;F4547&amp;G4547</f>
        <v>Knee Replacement PrimaryProviderWOODLAND HOSPITAL (NVC23)EQ VAS</v>
      </c>
      <c r="C4547" t="s">
        <v>249</v>
      </c>
      <c r="D4547" t="s">
        <v>1</v>
      </c>
      <c r="E4547" t="s">
        <v>3540</v>
      </c>
      <c r="F4547" t="s">
        <v>3541</v>
      </c>
      <c r="G4547" t="s">
        <v>179</v>
      </c>
      <c r="H4547">
        <v>138</v>
      </c>
      <c r="I4547">
        <v>55.622999999999998</v>
      </c>
      <c r="J4547">
        <v>73.304000000000002</v>
      </c>
      <c r="K4547">
        <v>17.681000000000001</v>
      </c>
      <c r="L4547">
        <v>96</v>
      </c>
      <c r="M4547">
        <v>15</v>
      </c>
      <c r="N4547">
        <v>27</v>
      </c>
      <c r="O4547">
        <v>76.989000000000004</v>
      </c>
      <c r="P4547">
        <v>8.3307411689999995</v>
      </c>
      <c r="Q4547">
        <v>17.16</v>
      </c>
    </row>
    <row r="4548" spans="1:17" x14ac:dyDescent="0.2">
      <c r="A4548" s="30" t="str">
        <f>IF(C4548&amp;G4548&amp;D4548&lt;&gt;'Funnel setup'!$K$3&amp;'Funnel setup'!$K$4&amp;'Funnel setup'!$K$5,".",IF(A4547=".",1,A4547+1))</f>
        <v>.</v>
      </c>
      <c r="B4548" s="431" t="str">
        <f t="shared" si="71"/>
        <v>Knee Replacement PrimaryProviderWOODTHORPE HOSPITAL (NVC40)EQ VAS</v>
      </c>
      <c r="C4548" t="s">
        <v>249</v>
      </c>
      <c r="D4548" t="s">
        <v>1</v>
      </c>
      <c r="E4548" t="s">
        <v>3689</v>
      </c>
      <c r="F4548" t="s">
        <v>6576</v>
      </c>
      <c r="G4548" t="s">
        <v>179</v>
      </c>
      <c r="H4548">
        <v>151</v>
      </c>
      <c r="I4548">
        <v>68.906999999999996</v>
      </c>
      <c r="J4548">
        <v>76.986999999999995</v>
      </c>
      <c r="K4548">
        <v>8.0790000000000006</v>
      </c>
      <c r="L4548">
        <v>98</v>
      </c>
      <c r="M4548">
        <v>19</v>
      </c>
      <c r="N4548">
        <v>34</v>
      </c>
      <c r="O4548">
        <v>74.656000000000006</v>
      </c>
      <c r="P4548">
        <v>5.9979662830000002</v>
      </c>
      <c r="Q4548">
        <v>14.417</v>
      </c>
    </row>
    <row r="4549" spans="1:17" x14ac:dyDescent="0.2">
      <c r="A4549" s="30" t="str">
        <f>IF(C4549&amp;G4549&amp;D4549&lt;&gt;'Funnel setup'!$K$3&amp;'Funnel setup'!$K$4&amp;'Funnel setup'!$K$5,".",IF(A4548=".",1,A4548+1))</f>
        <v>.</v>
      </c>
      <c r="B4549" s="431" t="str">
        <f t="shared" si="71"/>
        <v>Knee Replacement PrimaryProviderWORCESTERSHIRE ACUTE HOSPITALS NHS TRUST (RWP)EQ VAS</v>
      </c>
      <c r="C4549" t="s">
        <v>249</v>
      </c>
      <c r="D4549" t="s">
        <v>1</v>
      </c>
      <c r="E4549" t="s">
        <v>3543</v>
      </c>
      <c r="F4549" t="s">
        <v>3544</v>
      </c>
      <c r="G4549" t="s">
        <v>179</v>
      </c>
      <c r="H4549">
        <v>229</v>
      </c>
      <c r="I4549">
        <v>72.977999999999994</v>
      </c>
      <c r="J4549">
        <v>77.686000000000007</v>
      </c>
      <c r="K4549">
        <v>4.7069999999999999</v>
      </c>
      <c r="L4549">
        <v>114</v>
      </c>
      <c r="M4549">
        <v>40</v>
      </c>
      <c r="N4549">
        <v>75</v>
      </c>
      <c r="O4549">
        <v>75.355999999999995</v>
      </c>
      <c r="P4549">
        <v>6.6980386090000001</v>
      </c>
      <c r="Q4549">
        <v>13.945</v>
      </c>
    </row>
    <row r="4550" spans="1:17" x14ac:dyDescent="0.2">
      <c r="A4550" s="30" t="str">
        <f>IF(C4550&amp;G4550&amp;D4550&lt;&gt;'Funnel setup'!$K$3&amp;'Funnel setup'!$K$4&amp;'Funnel setup'!$K$5,".",IF(A4549=".",1,A4549+1))</f>
        <v>.</v>
      </c>
      <c r="B4550" s="431" t="str">
        <f t="shared" si="71"/>
        <v>Knee Replacement PrimaryProviderWRIGHTINGTON, WIGAN AND LEIGH NHS FOUNDATION TRUST (RRF)EQ VAS</v>
      </c>
      <c r="C4550" t="s">
        <v>249</v>
      </c>
      <c r="D4550" t="s">
        <v>1</v>
      </c>
      <c r="E4550" t="s">
        <v>3546</v>
      </c>
      <c r="F4550" t="s">
        <v>3547</v>
      </c>
      <c r="G4550" t="s">
        <v>179</v>
      </c>
      <c r="H4550">
        <v>253</v>
      </c>
      <c r="I4550">
        <v>64.228999999999999</v>
      </c>
      <c r="J4550">
        <v>71.328000000000003</v>
      </c>
      <c r="K4550">
        <v>7.0990000000000002</v>
      </c>
      <c r="L4550">
        <v>135</v>
      </c>
      <c r="M4550">
        <v>38</v>
      </c>
      <c r="N4550">
        <v>80</v>
      </c>
      <c r="O4550">
        <v>74.23</v>
      </c>
      <c r="P4550">
        <v>5.5719326269999998</v>
      </c>
      <c r="Q4550">
        <v>16.065000000000001</v>
      </c>
    </row>
    <row r="4551" spans="1:17" x14ac:dyDescent="0.2">
      <c r="A4551" s="30" t="str">
        <f>IF(C4551&amp;G4551&amp;D4551&lt;&gt;'Funnel setup'!$K$3&amp;'Funnel setup'!$K$4&amp;'Funnel setup'!$K$5,".",IF(A4550=".",1,A4550+1))</f>
        <v>.</v>
      </c>
      <c r="B4551" s="431" t="str">
        <f t="shared" si="71"/>
        <v>Knee Replacement PrimaryProviderWYE VALLEY NHS TRUST (RLQ)EQ VAS</v>
      </c>
      <c r="C4551" t="s">
        <v>249</v>
      </c>
      <c r="D4551" t="s">
        <v>1</v>
      </c>
      <c r="E4551" t="s">
        <v>3517</v>
      </c>
      <c r="F4551" t="s">
        <v>3518</v>
      </c>
      <c r="G4551" t="s">
        <v>179</v>
      </c>
      <c r="H4551">
        <v>93</v>
      </c>
      <c r="I4551">
        <v>74.891999999999996</v>
      </c>
      <c r="J4551">
        <v>78.108000000000004</v>
      </c>
      <c r="K4551">
        <v>3.2149999999999999</v>
      </c>
      <c r="L4551">
        <v>48</v>
      </c>
      <c r="M4551">
        <v>11</v>
      </c>
      <c r="N4551">
        <v>34</v>
      </c>
      <c r="O4551">
        <v>75.739999999999995</v>
      </c>
      <c r="P4551">
        <v>7.0819610539999998</v>
      </c>
      <c r="Q4551">
        <v>13.449</v>
      </c>
    </row>
    <row r="4552" spans="1:17" x14ac:dyDescent="0.2">
      <c r="A4552" s="30" t="str">
        <f>IF(C4552&amp;G4552&amp;D4552&lt;&gt;'Funnel setup'!$K$3&amp;'Funnel setup'!$K$4&amp;'Funnel setup'!$K$5,".",IF(A4551=".",1,A4551+1))</f>
        <v>.</v>
      </c>
      <c r="B4552" s="431" t="str">
        <f t="shared" si="71"/>
        <v>Knee Replacement PrimaryProviderYEOVIL DISTRICT HOSPITAL NHS FOUNDATION TRUST (RA4)EQ VAS</v>
      </c>
      <c r="C4552" t="s">
        <v>249</v>
      </c>
      <c r="D4552" t="s">
        <v>1</v>
      </c>
      <c r="E4552" t="s">
        <v>3520</v>
      </c>
      <c r="F4552" t="s">
        <v>341</v>
      </c>
      <c r="G4552" t="s">
        <v>179</v>
      </c>
      <c r="H4552">
        <v>60</v>
      </c>
      <c r="I4552">
        <v>65.766999999999996</v>
      </c>
      <c r="J4552">
        <v>74.483000000000004</v>
      </c>
      <c r="K4552">
        <v>8.7170000000000005</v>
      </c>
      <c r="L4552">
        <v>43</v>
      </c>
      <c r="M4552">
        <v>5</v>
      </c>
      <c r="N4552">
        <v>12</v>
      </c>
      <c r="O4552">
        <v>75.137</v>
      </c>
      <c r="P4552">
        <v>6.4787070660000001</v>
      </c>
      <c r="Q4552">
        <v>14.35</v>
      </c>
    </row>
    <row r="4553" spans="1:17" x14ac:dyDescent="0.2">
      <c r="A4553" s="30" t="str">
        <f>IF(C4553&amp;G4553&amp;D4553&lt;&gt;'Funnel setup'!$K$3&amp;'Funnel setup'!$K$4&amp;'Funnel setup'!$K$5,".",IF(A4552=".",1,A4552+1))</f>
        <v>.</v>
      </c>
      <c r="B4553" s="431" t="str">
        <f t="shared" si="71"/>
        <v>Knee Replacement PrimaryProviderYORK TEACHING HOSPITAL NHS FOUNDATION TRUST (RCB)EQ VAS</v>
      </c>
      <c r="C4553" t="s">
        <v>249</v>
      </c>
      <c r="D4553" t="s">
        <v>1</v>
      </c>
      <c r="E4553" t="s">
        <v>3515</v>
      </c>
      <c r="F4553" t="s">
        <v>343</v>
      </c>
      <c r="G4553" t="s">
        <v>179</v>
      </c>
      <c r="H4553">
        <v>247</v>
      </c>
      <c r="I4553">
        <v>67.506</v>
      </c>
      <c r="J4553">
        <v>72.278999999999996</v>
      </c>
      <c r="K4553">
        <v>4.7729999999999997</v>
      </c>
      <c r="L4553">
        <v>139</v>
      </c>
      <c r="M4553">
        <v>35</v>
      </c>
      <c r="N4553">
        <v>73</v>
      </c>
      <c r="O4553">
        <v>72.900000000000006</v>
      </c>
      <c r="P4553">
        <v>4.2414282009999997</v>
      </c>
      <c r="Q4553">
        <v>16.155999999999999</v>
      </c>
    </row>
    <row r="4554" spans="1:17" x14ac:dyDescent="0.2">
      <c r="A4554" s="30" t="str">
        <f>IF(C4554&amp;G4554&amp;D4554&lt;&gt;'Funnel setup'!$K$3&amp;'Funnel setup'!$K$4&amp;'Funnel setup'!$K$5,".",IF(A4553=".",1,A4553+1))</f>
        <v>.</v>
      </c>
      <c r="B4554" s="431" t="str">
        <f t="shared" si="71"/>
        <v>Knee Replacement PrimaryProviderAINTREE UNIVERSITY HOSPITAL NHS FOUNDATION TRUST (REM)EQ-5D Index</v>
      </c>
      <c r="C4554" t="s">
        <v>249</v>
      </c>
      <c r="D4554" t="s">
        <v>1</v>
      </c>
      <c r="E4554" t="s">
        <v>3838</v>
      </c>
      <c r="F4554" t="s">
        <v>3839</v>
      </c>
      <c r="G4554" t="s">
        <v>52</v>
      </c>
      <c r="H4554">
        <v>131</v>
      </c>
      <c r="I4554">
        <v>0.246</v>
      </c>
      <c r="J4554">
        <v>0.61399999999999999</v>
      </c>
      <c r="K4554">
        <v>0.36799999999999999</v>
      </c>
      <c r="L4554">
        <v>101</v>
      </c>
      <c r="M4554">
        <v>14</v>
      </c>
      <c r="N4554">
        <v>16</v>
      </c>
      <c r="O4554">
        <v>0.70499999999999996</v>
      </c>
      <c r="P4554">
        <v>0.28042054799999999</v>
      </c>
      <c r="Q4554">
        <v>0.254</v>
      </c>
    </row>
    <row r="4555" spans="1:17" x14ac:dyDescent="0.2">
      <c r="A4555" s="30" t="str">
        <f>IF(C4555&amp;G4555&amp;D4555&lt;&gt;'Funnel setup'!$K$3&amp;'Funnel setup'!$K$4&amp;'Funnel setup'!$K$5,".",IF(A4554=".",1,A4554+1))</f>
        <v>.</v>
      </c>
      <c r="B4555" s="431" t="str">
        <f t="shared" si="71"/>
        <v>Knee Replacement PrimaryProviderAIREDALE NHS FOUNDATION TRUST (RCF)EQ-5D Index</v>
      </c>
      <c r="C4555" t="s">
        <v>249</v>
      </c>
      <c r="D4555" t="s">
        <v>1</v>
      </c>
      <c r="E4555" t="s">
        <v>3841</v>
      </c>
      <c r="F4555" t="s">
        <v>3842</v>
      </c>
      <c r="G4555" t="s">
        <v>52</v>
      </c>
      <c r="H4555">
        <v>138</v>
      </c>
      <c r="I4555">
        <v>0.48199999999999998</v>
      </c>
      <c r="J4555">
        <v>0.79</v>
      </c>
      <c r="K4555">
        <v>0.308</v>
      </c>
      <c r="L4555">
        <v>118</v>
      </c>
      <c r="M4555">
        <v>10</v>
      </c>
      <c r="N4555">
        <v>10</v>
      </c>
      <c r="O4555">
        <v>0.755</v>
      </c>
      <c r="P4555">
        <v>0.33049315000000001</v>
      </c>
      <c r="Q4555">
        <v>0.221</v>
      </c>
    </row>
    <row r="4556" spans="1:17" x14ac:dyDescent="0.2">
      <c r="A4556" s="30" t="str">
        <f>IF(C4556&amp;G4556&amp;D4556&lt;&gt;'Funnel setup'!$K$3&amp;'Funnel setup'!$K$4&amp;'Funnel setup'!$K$5,".",IF(A4555=".",1,A4555+1))</f>
        <v>.</v>
      </c>
      <c r="B4556" s="431" t="str">
        <f t="shared" si="71"/>
        <v>Knee Replacement PrimaryProviderASHFORD AND ST PETER'S HOSPITALS NHS FOUNDATION TRUST (RTK)EQ-5D Index</v>
      </c>
      <c r="C4556" t="s">
        <v>249</v>
      </c>
      <c r="D4556" t="s">
        <v>1</v>
      </c>
      <c r="E4556" t="s">
        <v>3844</v>
      </c>
      <c r="F4556" t="s">
        <v>345</v>
      </c>
      <c r="G4556" t="s">
        <v>52</v>
      </c>
      <c r="H4556">
        <v>247</v>
      </c>
      <c r="I4556">
        <v>0.438</v>
      </c>
      <c r="J4556">
        <v>0.73899999999999999</v>
      </c>
      <c r="K4556">
        <v>0.30099999999999999</v>
      </c>
      <c r="L4556">
        <v>202</v>
      </c>
      <c r="M4556">
        <v>25</v>
      </c>
      <c r="N4556">
        <v>20</v>
      </c>
      <c r="O4556">
        <v>0.72699999999999998</v>
      </c>
      <c r="P4556">
        <v>0.30209757799999998</v>
      </c>
      <c r="Q4556">
        <v>0.218</v>
      </c>
    </row>
    <row r="4557" spans="1:17" x14ac:dyDescent="0.2">
      <c r="A4557" s="30" t="str">
        <f>IF(C4557&amp;G4557&amp;D4557&lt;&gt;'Funnel setup'!$K$3&amp;'Funnel setup'!$K$4&amp;'Funnel setup'!$K$5,".",IF(A4556=".",1,A4556+1))</f>
        <v>.</v>
      </c>
      <c r="B4557" s="431" t="str">
        <f t="shared" si="71"/>
        <v>Knee Replacement PrimaryProviderASHTEAD HOSPITAL (NVC01)EQ-5D Index</v>
      </c>
      <c r="C4557" t="s">
        <v>249</v>
      </c>
      <c r="D4557" t="s">
        <v>1</v>
      </c>
      <c r="E4557" t="s">
        <v>3846</v>
      </c>
      <c r="F4557" t="s">
        <v>3847</v>
      </c>
      <c r="G4557" t="s">
        <v>52</v>
      </c>
      <c r="H4557">
        <v>50</v>
      </c>
      <c r="I4557">
        <v>0.48</v>
      </c>
      <c r="J4557">
        <v>0.79300000000000004</v>
      </c>
      <c r="K4557">
        <v>0.313</v>
      </c>
      <c r="L4557">
        <v>41</v>
      </c>
      <c r="M4557">
        <v>5</v>
      </c>
      <c r="N4557">
        <v>4</v>
      </c>
      <c r="O4557">
        <v>0.753</v>
      </c>
      <c r="P4557">
        <v>0.32771948200000001</v>
      </c>
      <c r="Q4557">
        <v>0.19700000000000001</v>
      </c>
    </row>
    <row r="4558" spans="1:17" x14ac:dyDescent="0.2">
      <c r="A4558" s="30" t="str">
        <f>IF(C4558&amp;G4558&amp;D4558&lt;&gt;'Funnel setup'!$K$3&amp;'Funnel setup'!$K$4&amp;'Funnel setup'!$K$5,".",IF(A4557=".",1,A4557+1))</f>
        <v>.</v>
      </c>
      <c r="B4558" s="431" t="str">
        <f t="shared" si="71"/>
        <v>Knee Replacement PrimaryProviderASPEN - CLAREMONT HOSPITAL (NYW04)EQ-5D Index</v>
      </c>
      <c r="C4558" t="s">
        <v>249</v>
      </c>
      <c r="D4558" t="s">
        <v>1</v>
      </c>
      <c r="E4558" t="s">
        <v>3500</v>
      </c>
      <c r="F4558" t="s">
        <v>3501</v>
      </c>
      <c r="G4558" t="s">
        <v>52</v>
      </c>
      <c r="H4558">
        <v>69</v>
      </c>
      <c r="I4558">
        <v>0.51</v>
      </c>
      <c r="J4558">
        <v>0.78400000000000003</v>
      </c>
      <c r="K4558">
        <v>0.27400000000000002</v>
      </c>
      <c r="L4558">
        <v>51</v>
      </c>
      <c r="M4558">
        <v>10</v>
      </c>
      <c r="N4558">
        <v>8</v>
      </c>
      <c r="O4558">
        <v>0.752</v>
      </c>
      <c r="P4558">
        <v>0.32689856</v>
      </c>
      <c r="Q4558">
        <v>0.184</v>
      </c>
    </row>
    <row r="4559" spans="1:17" x14ac:dyDescent="0.2">
      <c r="A4559" s="30" t="str">
        <f>IF(C4559&amp;G4559&amp;D4559&lt;&gt;'Funnel setup'!$K$3&amp;'Funnel setup'!$K$4&amp;'Funnel setup'!$K$5,".",IF(A4558=".",1,A4558+1))</f>
        <v>.</v>
      </c>
      <c r="B4559" s="431" t="str">
        <f t="shared" si="71"/>
        <v>Knee Replacement PrimaryProviderASPEN - HIGHGATE HOSPITAL (NYW03)EQ-5D Index</v>
      </c>
      <c r="C4559" t="s">
        <v>249</v>
      </c>
      <c r="D4559" t="s">
        <v>1</v>
      </c>
      <c r="E4559" t="s">
        <v>3503</v>
      </c>
      <c r="F4559" t="s">
        <v>3504</v>
      </c>
      <c r="G4559" t="s">
        <v>52</v>
      </c>
      <c r="H4559" t="s">
        <v>53</v>
      </c>
      <c r="I4559" t="s">
        <v>53</v>
      </c>
      <c r="J4559" t="s">
        <v>53</v>
      </c>
      <c r="K4559" t="s">
        <v>53</v>
      </c>
      <c r="L4559" t="s">
        <v>53</v>
      </c>
      <c r="M4559" t="s">
        <v>53</v>
      </c>
      <c r="N4559" t="s">
        <v>53</v>
      </c>
      <c r="O4559" t="s">
        <v>53</v>
      </c>
      <c r="P4559" t="s">
        <v>53</v>
      </c>
      <c r="Q4559" t="s">
        <v>53</v>
      </c>
    </row>
    <row r="4560" spans="1:17" x14ac:dyDescent="0.2">
      <c r="A4560" s="30" t="str">
        <f>IF(C4560&amp;G4560&amp;D4560&lt;&gt;'Funnel setup'!$K$3&amp;'Funnel setup'!$K$4&amp;'Funnel setup'!$K$5,".",IF(A4559=".",1,A4559+1))</f>
        <v>.</v>
      </c>
      <c r="B4560" s="431" t="str">
        <f t="shared" si="71"/>
        <v>Knee Replacement PrimaryProviderASPEN - HOLLY HOUSE HOSPITAL (NYW01)EQ-5D Index</v>
      </c>
      <c r="C4560" t="s">
        <v>249</v>
      </c>
      <c r="D4560" t="s">
        <v>1</v>
      </c>
      <c r="E4560" t="s">
        <v>3506</v>
      </c>
      <c r="F4560" t="s">
        <v>3507</v>
      </c>
      <c r="G4560" t="s">
        <v>52</v>
      </c>
      <c r="H4560">
        <v>32</v>
      </c>
      <c r="I4560">
        <v>0.42599999999999999</v>
      </c>
      <c r="J4560">
        <v>0.67100000000000004</v>
      </c>
      <c r="K4560">
        <v>0.245</v>
      </c>
      <c r="L4560">
        <v>24</v>
      </c>
      <c r="M4560">
        <v>3</v>
      </c>
      <c r="N4560">
        <v>5</v>
      </c>
      <c r="O4560">
        <v>0.65700000000000003</v>
      </c>
      <c r="P4560">
        <v>0.23187653799999999</v>
      </c>
      <c r="Q4560">
        <v>0.20100000000000001</v>
      </c>
    </row>
    <row r="4561" spans="1:17" x14ac:dyDescent="0.2">
      <c r="A4561" s="30" t="str">
        <f>IF(C4561&amp;G4561&amp;D4561&lt;&gt;'Funnel setup'!$K$3&amp;'Funnel setup'!$K$4&amp;'Funnel setup'!$K$5,".",IF(A4560=".",1,A4560+1))</f>
        <v>.</v>
      </c>
      <c r="B4561" s="431" t="str">
        <f t="shared" si="71"/>
        <v>Knee Replacement PrimaryProviderBARKING, HAVERING AND REDBRIDGE UNIVERSITY HOSPITALS NHS TRUST (RF4)EQ-5D Index</v>
      </c>
      <c r="C4561" t="s">
        <v>249</v>
      </c>
      <c r="D4561" t="s">
        <v>1</v>
      </c>
      <c r="E4561" t="s">
        <v>3509</v>
      </c>
      <c r="F4561" t="s">
        <v>3510</v>
      </c>
      <c r="G4561" t="s">
        <v>52</v>
      </c>
      <c r="H4561">
        <v>82</v>
      </c>
      <c r="I4561">
        <v>0.29199999999999998</v>
      </c>
      <c r="J4561">
        <v>0.63300000000000001</v>
      </c>
      <c r="K4561">
        <v>0.34100000000000003</v>
      </c>
      <c r="L4561">
        <v>67</v>
      </c>
      <c r="M4561">
        <v>7</v>
      </c>
      <c r="N4561">
        <v>8</v>
      </c>
      <c r="O4561">
        <v>0.68799999999999994</v>
      </c>
      <c r="P4561">
        <v>0.26259802599999998</v>
      </c>
      <c r="Q4561">
        <v>0.28000000000000003</v>
      </c>
    </row>
    <row r="4562" spans="1:17" x14ac:dyDescent="0.2">
      <c r="A4562" s="30" t="str">
        <f>IF(C4562&amp;G4562&amp;D4562&lt;&gt;'Funnel setup'!$K$3&amp;'Funnel setup'!$K$4&amp;'Funnel setup'!$K$5,".",IF(A4561=".",1,A4561+1))</f>
        <v>.</v>
      </c>
      <c r="B4562" s="431" t="str">
        <f t="shared" si="71"/>
        <v>Knee Replacement PrimaryProviderBARLBOROUGH NHS TREATMENT CENTRE (NTP13)EQ-5D Index</v>
      </c>
      <c r="C4562" t="s">
        <v>249</v>
      </c>
      <c r="D4562" t="s">
        <v>1</v>
      </c>
      <c r="E4562" t="s">
        <v>4425</v>
      </c>
      <c r="F4562" t="s">
        <v>4426</v>
      </c>
      <c r="G4562" t="s">
        <v>52</v>
      </c>
      <c r="H4562">
        <v>418</v>
      </c>
      <c r="I4562">
        <v>0.45600000000000002</v>
      </c>
      <c r="J4562">
        <v>0.755</v>
      </c>
      <c r="K4562">
        <v>0.29899999999999999</v>
      </c>
      <c r="L4562">
        <v>341</v>
      </c>
      <c r="M4562">
        <v>41</v>
      </c>
      <c r="N4562">
        <v>36</v>
      </c>
      <c r="O4562">
        <v>0.73399999999999999</v>
      </c>
      <c r="P4562">
        <v>0.30946644000000001</v>
      </c>
      <c r="Q4562">
        <v>0.21199999999999999</v>
      </c>
    </row>
    <row r="4563" spans="1:17" x14ac:dyDescent="0.2">
      <c r="A4563" s="30" t="str">
        <f>IF(C4563&amp;G4563&amp;D4563&lt;&gt;'Funnel setup'!$K$3&amp;'Funnel setup'!$K$4&amp;'Funnel setup'!$K$5,".",IF(A4562=".",1,A4562+1))</f>
        <v>.</v>
      </c>
      <c r="B4563" s="431" t="str">
        <f t="shared" si="71"/>
        <v>Knee Replacement PrimaryProviderBARNSLEY HOSPITAL NHS FOUNDATION TRUST (RFF)EQ-5D Index</v>
      </c>
      <c r="C4563" t="s">
        <v>249</v>
      </c>
      <c r="D4563" t="s">
        <v>1</v>
      </c>
      <c r="E4563" t="s">
        <v>3549</v>
      </c>
      <c r="F4563" t="s">
        <v>3550</v>
      </c>
      <c r="G4563" t="s">
        <v>52</v>
      </c>
      <c r="H4563">
        <v>202</v>
      </c>
      <c r="I4563">
        <v>0.37</v>
      </c>
      <c r="J4563">
        <v>0.67900000000000005</v>
      </c>
      <c r="K4563">
        <v>0.309</v>
      </c>
      <c r="L4563">
        <v>159</v>
      </c>
      <c r="M4563">
        <v>21</v>
      </c>
      <c r="N4563">
        <v>22</v>
      </c>
      <c r="O4563">
        <v>0.70599999999999996</v>
      </c>
      <c r="P4563">
        <v>0.28123727799999998</v>
      </c>
      <c r="Q4563">
        <v>0.23699999999999999</v>
      </c>
    </row>
    <row r="4564" spans="1:17" x14ac:dyDescent="0.2">
      <c r="A4564" s="30" t="str">
        <f>IF(C4564&amp;G4564&amp;D4564&lt;&gt;'Funnel setup'!$K$3&amp;'Funnel setup'!$K$4&amp;'Funnel setup'!$K$5,".",IF(A4563=".",1,A4563+1))</f>
        <v>.</v>
      </c>
      <c r="B4564" s="431" t="str">
        <f t="shared" si="71"/>
        <v>Knee Replacement PrimaryProviderBARTS HEALTH NHS TRUST (R1H)EQ-5D Index</v>
      </c>
      <c r="C4564" t="s">
        <v>249</v>
      </c>
      <c r="D4564" t="s">
        <v>1</v>
      </c>
      <c r="E4564" t="s">
        <v>3552</v>
      </c>
      <c r="F4564" t="s">
        <v>3553</v>
      </c>
      <c r="G4564" t="s">
        <v>52</v>
      </c>
      <c r="H4564">
        <v>208</v>
      </c>
      <c r="I4564">
        <v>0.35899999999999999</v>
      </c>
      <c r="J4564">
        <v>0.64700000000000002</v>
      </c>
      <c r="K4564">
        <v>0.28799999999999998</v>
      </c>
      <c r="L4564">
        <v>168</v>
      </c>
      <c r="M4564">
        <v>20</v>
      </c>
      <c r="N4564">
        <v>20</v>
      </c>
      <c r="O4564">
        <v>0.71799999999999997</v>
      </c>
      <c r="P4564">
        <v>0.292655577</v>
      </c>
      <c r="Q4564">
        <v>0.255</v>
      </c>
    </row>
    <row r="4565" spans="1:17" x14ac:dyDescent="0.2">
      <c r="A4565" s="30" t="str">
        <f>IF(C4565&amp;G4565&amp;D4565&lt;&gt;'Funnel setup'!$K$3&amp;'Funnel setup'!$K$4&amp;'Funnel setup'!$K$5,".",IF(A4564=".",1,A4564+1))</f>
        <v>.</v>
      </c>
      <c r="B4565" s="431" t="str">
        <f t="shared" si="71"/>
        <v>Knee Replacement PrimaryProviderBASILDON AND THURROCK UNIVERSITY HOSPITALS NHS FOUNDATION TRUST (RDD)EQ-5D Index</v>
      </c>
      <c r="C4565" t="s">
        <v>249</v>
      </c>
      <c r="D4565" t="s">
        <v>1</v>
      </c>
      <c r="E4565" t="s">
        <v>3555</v>
      </c>
      <c r="F4565" t="s">
        <v>3556</v>
      </c>
      <c r="G4565" t="s">
        <v>52</v>
      </c>
      <c r="H4565">
        <v>142</v>
      </c>
      <c r="I4565">
        <v>0.439</v>
      </c>
      <c r="J4565">
        <v>0.71899999999999997</v>
      </c>
      <c r="K4565">
        <v>0.28000000000000003</v>
      </c>
      <c r="L4565">
        <v>105</v>
      </c>
      <c r="M4565">
        <v>17</v>
      </c>
      <c r="N4565">
        <v>20</v>
      </c>
      <c r="O4565">
        <v>0.72299999999999998</v>
      </c>
      <c r="P4565">
        <v>0.29766711099999998</v>
      </c>
      <c r="Q4565">
        <v>0.248</v>
      </c>
    </row>
    <row r="4566" spans="1:17" x14ac:dyDescent="0.2">
      <c r="A4566" s="30" t="str">
        <f>IF(C4566&amp;G4566&amp;D4566&lt;&gt;'Funnel setup'!$K$3&amp;'Funnel setup'!$K$4&amp;'Funnel setup'!$K$5,".",IF(A4565=".",1,A4565+1))</f>
        <v>.</v>
      </c>
      <c r="B4566" s="431" t="str">
        <f t="shared" si="71"/>
        <v>Knee Replacement PrimaryProviderBEDFORD HOSPITAL NHS TRUST (RC1)EQ-5D Index</v>
      </c>
      <c r="C4566" t="s">
        <v>249</v>
      </c>
      <c r="D4566" t="s">
        <v>1</v>
      </c>
      <c r="E4566" t="s">
        <v>3558</v>
      </c>
      <c r="F4566" t="s">
        <v>3559</v>
      </c>
      <c r="G4566" t="s">
        <v>52</v>
      </c>
      <c r="H4566">
        <v>138</v>
      </c>
      <c r="I4566">
        <v>0.443</v>
      </c>
      <c r="J4566">
        <v>0.67700000000000005</v>
      </c>
      <c r="K4566">
        <v>0.23400000000000001</v>
      </c>
      <c r="L4566">
        <v>105</v>
      </c>
      <c r="M4566">
        <v>16</v>
      </c>
      <c r="N4566">
        <v>17</v>
      </c>
      <c r="O4566">
        <v>0.66800000000000004</v>
      </c>
      <c r="P4566">
        <v>0.24277808200000001</v>
      </c>
      <c r="Q4566">
        <v>0.26700000000000002</v>
      </c>
    </row>
    <row r="4567" spans="1:17" x14ac:dyDescent="0.2">
      <c r="A4567" s="30" t="str">
        <f>IF(C4567&amp;G4567&amp;D4567&lt;&gt;'Funnel setup'!$K$3&amp;'Funnel setup'!$K$4&amp;'Funnel setup'!$K$5,".",IF(A4566=".",1,A4566+1))</f>
        <v>.</v>
      </c>
      <c r="B4567" s="431" t="str">
        <f t="shared" si="71"/>
        <v>Knee Replacement PrimaryProviderBENENDEN HOSPITAL (NWF01)EQ-5D Index</v>
      </c>
      <c r="C4567" t="s">
        <v>249</v>
      </c>
      <c r="D4567" t="s">
        <v>1</v>
      </c>
      <c r="E4567" t="s">
        <v>4428</v>
      </c>
      <c r="F4567" t="s">
        <v>4429</v>
      </c>
      <c r="G4567" t="s">
        <v>52</v>
      </c>
      <c r="H4567">
        <v>38</v>
      </c>
      <c r="I4567">
        <v>0.50700000000000001</v>
      </c>
      <c r="J4567">
        <v>0.81499999999999995</v>
      </c>
      <c r="K4567">
        <v>0.307</v>
      </c>
      <c r="L4567">
        <v>32</v>
      </c>
      <c r="M4567">
        <v>6</v>
      </c>
      <c r="N4567">
        <v>0</v>
      </c>
      <c r="O4567">
        <v>0.80300000000000005</v>
      </c>
      <c r="P4567">
        <v>0.377567349</v>
      </c>
      <c r="Q4567">
        <v>0.19400000000000001</v>
      </c>
    </row>
    <row r="4568" spans="1:17" x14ac:dyDescent="0.2">
      <c r="A4568" s="30" t="str">
        <f>IF(C4568&amp;G4568&amp;D4568&lt;&gt;'Funnel setup'!$K$3&amp;'Funnel setup'!$K$4&amp;'Funnel setup'!$K$5,".",IF(A4567=".",1,A4567+1))</f>
        <v>.</v>
      </c>
      <c r="B4568" s="431" t="str">
        <f t="shared" si="71"/>
        <v>Knee Replacement PrimaryProviderBLACKPOOL TEACHING HOSPITALS NHS FOUNDATION TRUST (RXL)EQ-5D Index</v>
      </c>
      <c r="C4568" t="s">
        <v>249</v>
      </c>
      <c r="D4568" t="s">
        <v>1</v>
      </c>
      <c r="E4568" t="s">
        <v>3561</v>
      </c>
      <c r="F4568" t="s">
        <v>3562</v>
      </c>
      <c r="G4568" t="s">
        <v>52</v>
      </c>
      <c r="H4568">
        <v>25</v>
      </c>
      <c r="I4568">
        <v>0.33600000000000002</v>
      </c>
      <c r="J4568">
        <v>0.67400000000000004</v>
      </c>
      <c r="K4568">
        <v>0.33700000000000002</v>
      </c>
      <c r="L4568">
        <v>21</v>
      </c>
      <c r="M4568">
        <v>1</v>
      </c>
      <c r="N4568">
        <v>3</v>
      </c>
      <c r="O4568" t="s">
        <v>53</v>
      </c>
      <c r="P4568" t="s">
        <v>53</v>
      </c>
      <c r="Q4568" t="s">
        <v>53</v>
      </c>
    </row>
    <row r="4569" spans="1:17" x14ac:dyDescent="0.2">
      <c r="A4569" s="30" t="str">
        <f>IF(C4569&amp;G4569&amp;D4569&lt;&gt;'Funnel setup'!$K$3&amp;'Funnel setup'!$K$4&amp;'Funnel setup'!$K$5,".",IF(A4568=".",1,A4568+1))</f>
        <v>.</v>
      </c>
      <c r="B4569" s="431" t="str">
        <f t="shared" si="71"/>
        <v>Knee Replacement PrimaryProviderBMI - BATH CLINIC (NT402)EQ-5D Index</v>
      </c>
      <c r="C4569" t="s">
        <v>249</v>
      </c>
      <c r="D4569" t="s">
        <v>1</v>
      </c>
      <c r="E4569" t="s">
        <v>3488</v>
      </c>
      <c r="F4569" t="s">
        <v>3489</v>
      </c>
      <c r="G4569" t="s">
        <v>52</v>
      </c>
      <c r="H4569">
        <v>46</v>
      </c>
      <c r="I4569">
        <v>0.48499999999999999</v>
      </c>
      <c r="J4569">
        <v>0.79800000000000004</v>
      </c>
      <c r="K4569">
        <v>0.313</v>
      </c>
      <c r="L4569">
        <v>40</v>
      </c>
      <c r="M4569">
        <v>5</v>
      </c>
      <c r="N4569">
        <v>1</v>
      </c>
      <c r="O4569">
        <v>0.75</v>
      </c>
      <c r="P4569">
        <v>0.32523109900000002</v>
      </c>
      <c r="Q4569">
        <v>0.159</v>
      </c>
    </row>
    <row r="4570" spans="1:17" x14ac:dyDescent="0.2">
      <c r="A4570" s="30" t="str">
        <f>IF(C4570&amp;G4570&amp;D4570&lt;&gt;'Funnel setup'!$K$3&amp;'Funnel setup'!$K$4&amp;'Funnel setup'!$K$5,".",IF(A4569=".",1,A4569+1))</f>
        <v>.</v>
      </c>
      <c r="B4570" s="431" t="str">
        <f t="shared" si="71"/>
        <v>Knee Replacement PrimaryProviderBMI - BISHOPS WOOD (NT405)EQ-5D Index</v>
      </c>
      <c r="C4570" t="s">
        <v>249</v>
      </c>
      <c r="D4570" t="s">
        <v>1</v>
      </c>
      <c r="E4570" t="s">
        <v>3491</v>
      </c>
      <c r="F4570" t="s">
        <v>3492</v>
      </c>
      <c r="G4570" t="s">
        <v>52</v>
      </c>
      <c r="H4570">
        <v>16</v>
      </c>
      <c r="I4570">
        <v>0.56399999999999995</v>
      </c>
      <c r="J4570">
        <v>0.81100000000000005</v>
      </c>
      <c r="K4570">
        <v>0.247</v>
      </c>
      <c r="L4570">
        <v>12</v>
      </c>
      <c r="M4570">
        <v>2</v>
      </c>
      <c r="N4570">
        <v>2</v>
      </c>
      <c r="O4570" t="s">
        <v>53</v>
      </c>
      <c r="P4570" t="s">
        <v>53</v>
      </c>
      <c r="Q4570" t="s">
        <v>53</v>
      </c>
    </row>
    <row r="4571" spans="1:17" x14ac:dyDescent="0.2">
      <c r="A4571" s="30" t="str">
        <f>IF(C4571&amp;G4571&amp;D4571&lt;&gt;'Funnel setup'!$K$3&amp;'Funnel setup'!$K$4&amp;'Funnel setup'!$K$5,".",IF(A4570=".",1,A4570+1))</f>
        <v>.</v>
      </c>
      <c r="B4571" s="431" t="str">
        <f t="shared" si="71"/>
        <v>Knee Replacement PrimaryProviderBMI - CHELSFIELD PARK HOSPITAL (NT409)EQ-5D Index</v>
      </c>
      <c r="C4571" t="s">
        <v>249</v>
      </c>
      <c r="D4571" t="s">
        <v>1</v>
      </c>
      <c r="E4571" t="s">
        <v>3494</v>
      </c>
      <c r="F4571" t="s">
        <v>3495</v>
      </c>
      <c r="G4571" t="s">
        <v>52</v>
      </c>
      <c r="H4571">
        <v>14</v>
      </c>
      <c r="I4571">
        <v>0.51300000000000001</v>
      </c>
      <c r="J4571">
        <v>0.83299999999999996</v>
      </c>
      <c r="K4571">
        <v>0.31900000000000001</v>
      </c>
      <c r="L4571">
        <v>12</v>
      </c>
      <c r="M4571">
        <v>2</v>
      </c>
      <c r="N4571">
        <v>0</v>
      </c>
      <c r="O4571" t="s">
        <v>53</v>
      </c>
      <c r="P4571" t="s">
        <v>53</v>
      </c>
      <c r="Q4571" t="s">
        <v>53</v>
      </c>
    </row>
    <row r="4572" spans="1:17" x14ac:dyDescent="0.2">
      <c r="A4572" s="30" t="str">
        <f>IF(C4572&amp;G4572&amp;D4572&lt;&gt;'Funnel setup'!$K$3&amp;'Funnel setup'!$K$4&amp;'Funnel setup'!$K$5,".",IF(A4571=".",1,A4571+1))</f>
        <v>.</v>
      </c>
      <c r="B4572" s="431" t="str">
        <f t="shared" si="71"/>
        <v>Knee Replacement PrimaryProviderBMI - FAWKHAM MANOR HOSPITAL (NT414)EQ-5D Index</v>
      </c>
      <c r="C4572" t="s">
        <v>249</v>
      </c>
      <c r="D4572" t="s">
        <v>1</v>
      </c>
      <c r="E4572" t="s">
        <v>3497</v>
      </c>
      <c r="F4572" t="s">
        <v>3498</v>
      </c>
      <c r="G4572" t="s">
        <v>52</v>
      </c>
      <c r="H4572">
        <v>27</v>
      </c>
      <c r="I4572">
        <v>0.499</v>
      </c>
      <c r="J4572">
        <v>0.83399999999999996</v>
      </c>
      <c r="K4572">
        <v>0.33600000000000002</v>
      </c>
      <c r="L4572">
        <v>24</v>
      </c>
      <c r="M4572">
        <v>0</v>
      </c>
      <c r="N4572">
        <v>3</v>
      </c>
      <c r="O4572" t="s">
        <v>53</v>
      </c>
      <c r="P4572" t="s">
        <v>53</v>
      </c>
      <c r="Q4572" t="s">
        <v>53</v>
      </c>
    </row>
    <row r="4573" spans="1:17" x14ac:dyDescent="0.2">
      <c r="A4573" s="30" t="str">
        <f>IF(C4573&amp;G4573&amp;D4573&lt;&gt;'Funnel setup'!$K$3&amp;'Funnel setup'!$K$4&amp;'Funnel setup'!$K$5,".",IF(A4572=".",1,A4572+1))</f>
        <v>.</v>
      </c>
      <c r="B4573" s="431" t="str">
        <f t="shared" si="71"/>
        <v>Knee Replacement PrimaryProviderBMI - GORING HALL HOSPITAL (NT417)EQ-5D Index</v>
      </c>
      <c r="C4573" t="s">
        <v>249</v>
      </c>
      <c r="D4573" t="s">
        <v>1</v>
      </c>
      <c r="E4573" t="s">
        <v>3403</v>
      </c>
      <c r="F4573" t="s">
        <v>3404</v>
      </c>
      <c r="G4573" t="s">
        <v>52</v>
      </c>
      <c r="H4573">
        <v>92</v>
      </c>
      <c r="I4573">
        <v>0.48699999999999999</v>
      </c>
      <c r="J4573">
        <v>0.77</v>
      </c>
      <c r="K4573">
        <v>0.28299999999999997</v>
      </c>
      <c r="L4573">
        <v>74</v>
      </c>
      <c r="M4573">
        <v>8</v>
      </c>
      <c r="N4573">
        <v>10</v>
      </c>
      <c r="O4573">
        <v>0.73099999999999998</v>
      </c>
      <c r="P4573">
        <v>0.30642970899999999</v>
      </c>
      <c r="Q4573">
        <v>0.17899999999999999</v>
      </c>
    </row>
    <row r="4574" spans="1:17" x14ac:dyDescent="0.2">
      <c r="A4574" s="30" t="str">
        <f>IF(C4574&amp;G4574&amp;D4574&lt;&gt;'Funnel setup'!$K$3&amp;'Funnel setup'!$K$4&amp;'Funnel setup'!$K$5,".",IF(A4573=".",1,A4573+1))</f>
        <v>.</v>
      </c>
      <c r="B4574" s="431" t="str">
        <f t="shared" si="71"/>
        <v>Knee Replacement PrimaryProviderBMI - HENDON HOSPITAL (NT416)EQ-5D Index</v>
      </c>
      <c r="C4574" t="s">
        <v>249</v>
      </c>
      <c r="D4574" t="s">
        <v>1</v>
      </c>
      <c r="E4574" t="s">
        <v>3570</v>
      </c>
      <c r="F4574" t="s">
        <v>3571</v>
      </c>
      <c r="G4574" t="s">
        <v>52</v>
      </c>
      <c r="H4574" t="s">
        <v>53</v>
      </c>
      <c r="I4574" t="s">
        <v>53</v>
      </c>
      <c r="J4574" t="s">
        <v>53</v>
      </c>
      <c r="K4574" t="s">
        <v>53</v>
      </c>
      <c r="L4574" t="s">
        <v>53</v>
      </c>
      <c r="M4574" t="s">
        <v>53</v>
      </c>
      <c r="N4574" t="s">
        <v>53</v>
      </c>
      <c r="O4574" t="s">
        <v>53</v>
      </c>
      <c r="P4574" t="s">
        <v>53</v>
      </c>
      <c r="Q4574" t="s">
        <v>53</v>
      </c>
    </row>
    <row r="4575" spans="1:17" x14ac:dyDescent="0.2">
      <c r="A4575" s="30" t="str">
        <f>IF(C4575&amp;G4575&amp;D4575&lt;&gt;'Funnel setup'!$K$3&amp;'Funnel setup'!$K$4&amp;'Funnel setup'!$K$5,".",IF(A4574=".",1,A4574+1))</f>
        <v>.</v>
      </c>
      <c r="B4575" s="431" t="str">
        <f t="shared" si="71"/>
        <v>Knee Replacement PrimaryProviderBMI - SARUM ROAD HOSPITAL (NT433)EQ-5D Index</v>
      </c>
      <c r="C4575" t="s">
        <v>249</v>
      </c>
      <c r="D4575" t="s">
        <v>1</v>
      </c>
      <c r="E4575" t="s">
        <v>3573</v>
      </c>
      <c r="F4575" t="s">
        <v>3574</v>
      </c>
      <c r="G4575" t="s">
        <v>52</v>
      </c>
      <c r="H4575">
        <v>26</v>
      </c>
      <c r="I4575">
        <v>0.54300000000000004</v>
      </c>
      <c r="J4575">
        <v>0.80700000000000005</v>
      </c>
      <c r="K4575">
        <v>0.26400000000000001</v>
      </c>
      <c r="L4575">
        <v>22</v>
      </c>
      <c r="M4575">
        <v>2</v>
      </c>
      <c r="N4575">
        <v>2</v>
      </c>
      <c r="O4575" t="s">
        <v>53</v>
      </c>
      <c r="P4575" t="s">
        <v>53</v>
      </c>
      <c r="Q4575" t="s">
        <v>53</v>
      </c>
    </row>
    <row r="4576" spans="1:17" x14ac:dyDescent="0.2">
      <c r="A4576" s="30" t="str">
        <f>IF(C4576&amp;G4576&amp;D4576&lt;&gt;'Funnel setup'!$K$3&amp;'Funnel setup'!$K$4&amp;'Funnel setup'!$K$5,".",IF(A4575=".",1,A4575+1))</f>
        <v>.</v>
      </c>
      <c r="B4576" s="431" t="str">
        <f t="shared" si="71"/>
        <v>Knee Replacement PrimaryProviderBMI - SHIRLEY OAKS HOSPITAL (NT436)EQ-5D Index</v>
      </c>
      <c r="C4576" t="s">
        <v>249</v>
      </c>
      <c r="D4576" t="s">
        <v>1</v>
      </c>
      <c r="E4576" t="s">
        <v>3576</v>
      </c>
      <c r="F4576" t="s">
        <v>3577</v>
      </c>
      <c r="G4576" t="s">
        <v>52</v>
      </c>
      <c r="H4576">
        <v>17</v>
      </c>
      <c r="I4576">
        <v>0.33300000000000002</v>
      </c>
      <c r="J4576">
        <v>0.67800000000000005</v>
      </c>
      <c r="K4576">
        <v>0.34499999999999997</v>
      </c>
      <c r="L4576">
        <v>11</v>
      </c>
      <c r="M4576">
        <v>3</v>
      </c>
      <c r="N4576">
        <v>3</v>
      </c>
      <c r="O4576" t="s">
        <v>53</v>
      </c>
      <c r="P4576" t="s">
        <v>53</v>
      </c>
      <c r="Q4576" t="s">
        <v>53</v>
      </c>
    </row>
    <row r="4577" spans="1:17" x14ac:dyDescent="0.2">
      <c r="A4577" s="30" t="str">
        <f>IF(C4577&amp;G4577&amp;D4577&lt;&gt;'Funnel setup'!$K$3&amp;'Funnel setup'!$K$4&amp;'Funnel setup'!$K$5,".",IF(A4576=".",1,A4576+1))</f>
        <v>.</v>
      </c>
      <c r="B4577" s="431" t="str">
        <f t="shared" si="71"/>
        <v>Knee Replacement PrimaryProviderBMI - THE ALEXANDRA HOSPITAL (NT401)EQ-5D Index</v>
      </c>
      <c r="C4577" t="s">
        <v>249</v>
      </c>
      <c r="D4577" t="s">
        <v>1</v>
      </c>
      <c r="E4577" t="s">
        <v>3579</v>
      </c>
      <c r="F4577" t="s">
        <v>3580</v>
      </c>
      <c r="G4577" t="s">
        <v>52</v>
      </c>
      <c r="H4577">
        <v>70</v>
      </c>
      <c r="I4577">
        <v>0.48499999999999999</v>
      </c>
      <c r="J4577">
        <v>0.76800000000000002</v>
      </c>
      <c r="K4577">
        <v>0.28299999999999997</v>
      </c>
      <c r="L4577">
        <v>55</v>
      </c>
      <c r="M4577">
        <v>9</v>
      </c>
      <c r="N4577">
        <v>6</v>
      </c>
      <c r="O4577">
        <v>0.74199999999999999</v>
      </c>
      <c r="P4577">
        <v>0.317425126</v>
      </c>
      <c r="Q4577">
        <v>0.2</v>
      </c>
    </row>
    <row r="4578" spans="1:17" x14ac:dyDescent="0.2">
      <c r="A4578" s="30" t="str">
        <f>IF(C4578&amp;G4578&amp;D4578&lt;&gt;'Funnel setup'!$K$3&amp;'Funnel setup'!$K$4&amp;'Funnel setup'!$K$5,".",IF(A4577=".",1,A4577+1))</f>
        <v>.</v>
      </c>
      <c r="B4578" s="431" t="str">
        <f t="shared" si="71"/>
        <v>Knee Replacement PrimaryProviderBMI - THE BEARDWOOD HOSPITAL (NT403)EQ-5D Index</v>
      </c>
      <c r="C4578" t="s">
        <v>249</v>
      </c>
      <c r="D4578" t="s">
        <v>1</v>
      </c>
      <c r="E4578" t="s">
        <v>3582</v>
      </c>
      <c r="F4578" t="s">
        <v>3583</v>
      </c>
      <c r="G4578" t="s">
        <v>52</v>
      </c>
      <c r="H4578">
        <v>47</v>
      </c>
      <c r="I4578">
        <v>0.48399999999999999</v>
      </c>
      <c r="J4578">
        <v>0.80700000000000005</v>
      </c>
      <c r="K4578">
        <v>0.32300000000000001</v>
      </c>
      <c r="L4578">
        <v>43</v>
      </c>
      <c r="M4578">
        <v>3</v>
      </c>
      <c r="N4578">
        <v>1</v>
      </c>
      <c r="O4578">
        <v>0.78</v>
      </c>
      <c r="P4578">
        <v>0.354951978</v>
      </c>
      <c r="Q4578">
        <v>0.13500000000000001</v>
      </c>
    </row>
    <row r="4579" spans="1:17" x14ac:dyDescent="0.2">
      <c r="A4579" s="30" t="str">
        <f>IF(C4579&amp;G4579&amp;D4579&lt;&gt;'Funnel setup'!$K$3&amp;'Funnel setup'!$K$4&amp;'Funnel setup'!$K$5,".",IF(A4578=".",1,A4578+1))</f>
        <v>.</v>
      </c>
      <c r="B4579" s="431" t="str">
        <f t="shared" si="71"/>
        <v>Knee Replacement PrimaryProviderBMI - THE BEAUMONT HOSPITAL (NT404)EQ-5D Index</v>
      </c>
      <c r="C4579" t="s">
        <v>249</v>
      </c>
      <c r="D4579" t="s">
        <v>1</v>
      </c>
      <c r="E4579" t="s">
        <v>3585</v>
      </c>
      <c r="F4579" t="s">
        <v>3586</v>
      </c>
      <c r="G4579" t="s">
        <v>52</v>
      </c>
      <c r="H4579">
        <v>38</v>
      </c>
      <c r="I4579">
        <v>0.45800000000000002</v>
      </c>
      <c r="J4579">
        <v>0.746</v>
      </c>
      <c r="K4579">
        <v>0.28799999999999998</v>
      </c>
      <c r="L4579">
        <v>30</v>
      </c>
      <c r="M4579">
        <v>1</v>
      </c>
      <c r="N4579">
        <v>7</v>
      </c>
      <c r="O4579">
        <v>0.72899999999999998</v>
      </c>
      <c r="P4579">
        <v>0.30386213400000001</v>
      </c>
      <c r="Q4579">
        <v>0.23599999999999999</v>
      </c>
    </row>
    <row r="4580" spans="1:17" x14ac:dyDescent="0.2">
      <c r="A4580" s="30" t="str">
        <f>IF(C4580&amp;G4580&amp;D4580&lt;&gt;'Funnel setup'!$K$3&amp;'Funnel setup'!$K$4&amp;'Funnel setup'!$K$5,".",IF(A4579=".",1,A4579+1))</f>
        <v>.</v>
      </c>
      <c r="B4580" s="431" t="str">
        <f t="shared" si="71"/>
        <v>Knee Replacement PrimaryProviderBMI - THE BLACKHEATH HOSPITAL (NT406)EQ-5D Index</v>
      </c>
      <c r="C4580" t="s">
        <v>249</v>
      </c>
      <c r="D4580" t="s">
        <v>1</v>
      </c>
      <c r="E4580" t="s">
        <v>3588</v>
      </c>
      <c r="F4580" t="s">
        <v>3589</v>
      </c>
      <c r="G4580" t="s">
        <v>52</v>
      </c>
      <c r="H4580">
        <v>14</v>
      </c>
      <c r="I4580">
        <v>0.376</v>
      </c>
      <c r="J4580">
        <v>0.73099999999999998</v>
      </c>
      <c r="K4580">
        <v>0.35499999999999998</v>
      </c>
      <c r="L4580">
        <v>12</v>
      </c>
      <c r="M4580">
        <v>0</v>
      </c>
      <c r="N4580">
        <v>2</v>
      </c>
      <c r="O4580" t="s">
        <v>53</v>
      </c>
      <c r="P4580" t="s">
        <v>53</v>
      </c>
      <c r="Q4580" t="s">
        <v>53</v>
      </c>
    </row>
    <row r="4581" spans="1:17" x14ac:dyDescent="0.2">
      <c r="A4581" s="30" t="str">
        <f>IF(C4581&amp;G4581&amp;D4581&lt;&gt;'Funnel setup'!$K$3&amp;'Funnel setup'!$K$4&amp;'Funnel setup'!$K$5,".",IF(A4580=".",1,A4580+1))</f>
        <v>.</v>
      </c>
      <c r="B4581" s="431" t="str">
        <f t="shared" si="71"/>
        <v>Knee Replacement PrimaryProviderBMI - THE CHAUCER HOSPITAL (NT408)EQ-5D Index</v>
      </c>
      <c r="C4581" t="s">
        <v>249</v>
      </c>
      <c r="D4581" t="s">
        <v>1</v>
      </c>
      <c r="E4581" t="s">
        <v>3591</v>
      </c>
      <c r="F4581" t="s">
        <v>3592</v>
      </c>
      <c r="G4581" t="s">
        <v>52</v>
      </c>
      <c r="H4581">
        <v>10</v>
      </c>
      <c r="I4581">
        <v>0.38800000000000001</v>
      </c>
      <c r="J4581">
        <v>0.84599999999999997</v>
      </c>
      <c r="K4581">
        <v>0.45800000000000002</v>
      </c>
      <c r="L4581">
        <v>10</v>
      </c>
      <c r="M4581">
        <v>0</v>
      </c>
      <c r="N4581">
        <v>0</v>
      </c>
      <c r="O4581" t="s">
        <v>53</v>
      </c>
      <c r="P4581" t="s">
        <v>53</v>
      </c>
      <c r="Q4581" t="s">
        <v>53</v>
      </c>
    </row>
    <row r="4582" spans="1:17" x14ac:dyDescent="0.2">
      <c r="A4582" s="30" t="str">
        <f>IF(C4582&amp;G4582&amp;D4582&lt;&gt;'Funnel setup'!$K$3&amp;'Funnel setup'!$K$4&amp;'Funnel setup'!$K$5,".",IF(A4581=".",1,A4581+1))</f>
        <v>.</v>
      </c>
      <c r="B4582" s="431" t="str">
        <f t="shared" si="71"/>
        <v>Knee Replacement PrimaryProviderBMI - THE CHILTERN HOSPITAL (NT410)EQ-5D Index</v>
      </c>
      <c r="C4582" t="s">
        <v>249</v>
      </c>
      <c r="D4582" t="s">
        <v>1</v>
      </c>
      <c r="E4582" t="s">
        <v>3594</v>
      </c>
      <c r="F4582" t="s">
        <v>3595</v>
      </c>
      <c r="G4582" t="s">
        <v>52</v>
      </c>
      <c r="H4582">
        <v>75</v>
      </c>
      <c r="I4582">
        <v>0.51500000000000001</v>
      </c>
      <c r="J4582">
        <v>0.81899999999999995</v>
      </c>
      <c r="K4582">
        <v>0.30399999999999999</v>
      </c>
      <c r="L4582">
        <v>65</v>
      </c>
      <c r="M4582">
        <v>7</v>
      </c>
      <c r="N4582">
        <v>3</v>
      </c>
      <c r="O4582">
        <v>0.76</v>
      </c>
      <c r="P4582">
        <v>0.33454487599999999</v>
      </c>
      <c r="Q4582">
        <v>0.16800000000000001</v>
      </c>
    </row>
    <row r="4583" spans="1:17" x14ac:dyDescent="0.2">
      <c r="A4583" s="30" t="str">
        <f>IF(C4583&amp;G4583&amp;D4583&lt;&gt;'Funnel setup'!$K$3&amp;'Funnel setup'!$K$4&amp;'Funnel setup'!$K$5,".",IF(A4582=".",1,A4582+1))</f>
        <v>.</v>
      </c>
      <c r="B4583" s="431" t="str">
        <f t="shared" si="71"/>
        <v>Knee Replacement PrimaryProviderBMI - THE CLEMENTINE CHURCHILL HOSPITAL (NT411)EQ-5D Index</v>
      </c>
      <c r="C4583" t="s">
        <v>249</v>
      </c>
      <c r="D4583" t="s">
        <v>1</v>
      </c>
      <c r="E4583" t="s">
        <v>3597</v>
      </c>
      <c r="F4583" t="s">
        <v>3598</v>
      </c>
      <c r="G4583" t="s">
        <v>52</v>
      </c>
      <c r="H4583">
        <v>43</v>
      </c>
      <c r="I4583">
        <v>0.40100000000000002</v>
      </c>
      <c r="J4583">
        <v>0.74399999999999999</v>
      </c>
      <c r="K4583">
        <v>0.34300000000000003</v>
      </c>
      <c r="L4583">
        <v>36</v>
      </c>
      <c r="M4583">
        <v>4</v>
      </c>
      <c r="N4583">
        <v>3</v>
      </c>
      <c r="O4583">
        <v>0.74</v>
      </c>
      <c r="P4583">
        <v>0.31519206999999999</v>
      </c>
      <c r="Q4583">
        <v>0.20100000000000001</v>
      </c>
    </row>
    <row r="4584" spans="1:17" x14ac:dyDescent="0.2">
      <c r="A4584" s="30" t="str">
        <f>IF(C4584&amp;G4584&amp;D4584&lt;&gt;'Funnel setup'!$K$3&amp;'Funnel setup'!$K$4&amp;'Funnel setup'!$K$5,".",IF(A4583=".",1,A4583+1))</f>
        <v>.</v>
      </c>
      <c r="B4584" s="431" t="str">
        <f t="shared" si="71"/>
        <v>Knee Replacement PrimaryProviderBMI - THE DROITWICH SPA HOSPITAL (NT412)EQ-5D Index</v>
      </c>
      <c r="C4584" t="s">
        <v>249</v>
      </c>
      <c r="D4584" t="s">
        <v>1</v>
      </c>
      <c r="E4584" t="s">
        <v>3600</v>
      </c>
      <c r="F4584" t="s">
        <v>3601</v>
      </c>
      <c r="G4584" t="s">
        <v>52</v>
      </c>
      <c r="H4584">
        <v>88</v>
      </c>
      <c r="I4584">
        <v>0.49</v>
      </c>
      <c r="J4584">
        <v>0.76500000000000001</v>
      </c>
      <c r="K4584">
        <v>0.27500000000000002</v>
      </c>
      <c r="L4584">
        <v>69</v>
      </c>
      <c r="M4584">
        <v>10</v>
      </c>
      <c r="N4584">
        <v>9</v>
      </c>
      <c r="O4584">
        <v>0.745</v>
      </c>
      <c r="P4584">
        <v>0.32009907100000001</v>
      </c>
      <c r="Q4584">
        <v>0.20499999999999999</v>
      </c>
    </row>
    <row r="4585" spans="1:17" x14ac:dyDescent="0.2">
      <c r="A4585" s="30" t="str">
        <f>IF(C4585&amp;G4585&amp;D4585&lt;&gt;'Funnel setup'!$K$3&amp;'Funnel setup'!$K$4&amp;'Funnel setup'!$K$5,".",IF(A4584=".",1,A4584+1))</f>
        <v>.</v>
      </c>
      <c r="B4585" s="431" t="str">
        <f t="shared" si="71"/>
        <v>Knee Replacement PrimaryProviderBMI - THE ESPERANCE HOSPITAL (NT413)EQ-5D Index</v>
      </c>
      <c r="C4585" t="s">
        <v>249</v>
      </c>
      <c r="D4585" t="s">
        <v>1</v>
      </c>
      <c r="E4585" t="s">
        <v>3603</v>
      </c>
      <c r="F4585" t="s">
        <v>3604</v>
      </c>
      <c r="G4585" t="s">
        <v>52</v>
      </c>
      <c r="H4585">
        <v>6</v>
      </c>
      <c r="I4585">
        <v>0.47799999999999998</v>
      </c>
      <c r="J4585">
        <v>0.82299999999999995</v>
      </c>
      <c r="K4585">
        <v>0.34499999999999997</v>
      </c>
      <c r="L4585">
        <v>6</v>
      </c>
      <c r="M4585">
        <v>0</v>
      </c>
      <c r="N4585">
        <v>0</v>
      </c>
      <c r="O4585" t="s">
        <v>53</v>
      </c>
      <c r="P4585" t="s">
        <v>53</v>
      </c>
      <c r="Q4585" t="s">
        <v>53</v>
      </c>
    </row>
    <row r="4586" spans="1:17" x14ac:dyDescent="0.2">
      <c r="A4586" s="30" t="str">
        <f>IF(C4586&amp;G4586&amp;D4586&lt;&gt;'Funnel setup'!$K$3&amp;'Funnel setup'!$K$4&amp;'Funnel setup'!$K$5,".",IF(A4585=".",1,A4585+1))</f>
        <v>.</v>
      </c>
      <c r="B4586" s="431" t="str">
        <f t="shared" si="71"/>
        <v>Knee Replacement PrimaryProviderBMI - THE HAMPSHIRE CLINIC (NT418)EQ-5D Index</v>
      </c>
      <c r="C4586" t="s">
        <v>249</v>
      </c>
      <c r="D4586" t="s">
        <v>1</v>
      </c>
      <c r="E4586" t="s">
        <v>3609</v>
      </c>
      <c r="F4586" t="s">
        <v>3610</v>
      </c>
      <c r="G4586" t="s">
        <v>52</v>
      </c>
      <c r="H4586">
        <v>17</v>
      </c>
      <c r="I4586">
        <v>0.61299999999999999</v>
      </c>
      <c r="J4586">
        <v>0.73499999999999999</v>
      </c>
      <c r="K4586">
        <v>0.122</v>
      </c>
      <c r="L4586">
        <v>10</v>
      </c>
      <c r="M4586">
        <v>6</v>
      </c>
      <c r="N4586">
        <v>1</v>
      </c>
      <c r="O4586" t="s">
        <v>53</v>
      </c>
      <c r="P4586" t="s">
        <v>53</v>
      </c>
      <c r="Q4586" t="s">
        <v>53</v>
      </c>
    </row>
    <row r="4587" spans="1:17" x14ac:dyDescent="0.2">
      <c r="A4587" s="30" t="str">
        <f>IF(C4587&amp;G4587&amp;D4587&lt;&gt;'Funnel setup'!$K$3&amp;'Funnel setup'!$K$4&amp;'Funnel setup'!$K$5,".",IF(A4586=".",1,A4586+1))</f>
        <v>.</v>
      </c>
      <c r="B4587" s="431" t="str">
        <f t="shared" si="71"/>
        <v>Knee Replacement PrimaryProviderBMI - THE HARBOUR HOSPITAL (NT419)EQ-5D Index</v>
      </c>
      <c r="C4587" t="s">
        <v>249</v>
      </c>
      <c r="D4587" t="s">
        <v>1</v>
      </c>
      <c r="E4587" t="s">
        <v>3612</v>
      </c>
      <c r="F4587" t="s">
        <v>3613</v>
      </c>
      <c r="G4587" t="s">
        <v>52</v>
      </c>
      <c r="H4587">
        <v>16</v>
      </c>
      <c r="I4587">
        <v>0.52600000000000002</v>
      </c>
      <c r="J4587">
        <v>0.73299999999999998</v>
      </c>
      <c r="K4587">
        <v>0.20699999999999999</v>
      </c>
      <c r="L4587">
        <v>12</v>
      </c>
      <c r="M4587">
        <v>2</v>
      </c>
      <c r="N4587">
        <v>2</v>
      </c>
      <c r="O4587" t="s">
        <v>53</v>
      </c>
      <c r="P4587" t="s">
        <v>53</v>
      </c>
      <c r="Q4587" t="s">
        <v>53</v>
      </c>
    </row>
    <row r="4588" spans="1:17" x14ac:dyDescent="0.2">
      <c r="A4588" s="30" t="str">
        <f>IF(C4588&amp;G4588&amp;D4588&lt;&gt;'Funnel setup'!$K$3&amp;'Funnel setup'!$K$4&amp;'Funnel setup'!$K$5,".",IF(A4587=".",1,A4587+1))</f>
        <v>.</v>
      </c>
      <c r="B4588" s="431" t="str">
        <f t="shared" si="71"/>
        <v>Knee Replacement PrimaryProviderBMI - THE HIGHFIELD HOSPITAL (NT420)EQ-5D Index</v>
      </c>
      <c r="C4588" t="s">
        <v>249</v>
      </c>
      <c r="D4588" t="s">
        <v>1</v>
      </c>
      <c r="E4588" t="s">
        <v>3615</v>
      </c>
      <c r="F4588" t="s">
        <v>3616</v>
      </c>
      <c r="G4588" t="s">
        <v>52</v>
      </c>
      <c r="H4588">
        <v>127</v>
      </c>
      <c r="I4588">
        <v>0.439</v>
      </c>
      <c r="J4588">
        <v>0.73899999999999999</v>
      </c>
      <c r="K4588">
        <v>0.3</v>
      </c>
      <c r="L4588">
        <v>97</v>
      </c>
      <c r="M4588">
        <v>17</v>
      </c>
      <c r="N4588">
        <v>13</v>
      </c>
      <c r="O4588">
        <v>0.73799999999999999</v>
      </c>
      <c r="P4588">
        <v>0.312924857</v>
      </c>
      <c r="Q4588">
        <v>0.247</v>
      </c>
    </row>
    <row r="4589" spans="1:17" x14ac:dyDescent="0.2">
      <c r="A4589" s="30" t="str">
        <f>IF(C4589&amp;G4589&amp;D4589&lt;&gt;'Funnel setup'!$K$3&amp;'Funnel setup'!$K$4&amp;'Funnel setup'!$K$5,".",IF(A4588=".",1,A4588+1))</f>
        <v>.</v>
      </c>
      <c r="B4589" s="431" t="str">
        <f t="shared" si="71"/>
        <v>Knee Replacement PrimaryProviderBMI - THE KINGS OAK HOSPITAL (NT421)EQ-5D Index</v>
      </c>
      <c r="C4589" t="s">
        <v>249</v>
      </c>
      <c r="D4589" t="s">
        <v>1</v>
      </c>
      <c r="E4589" t="s">
        <v>3618</v>
      </c>
      <c r="F4589" t="s">
        <v>3619</v>
      </c>
      <c r="G4589" t="s">
        <v>52</v>
      </c>
      <c r="H4589">
        <v>22</v>
      </c>
      <c r="I4589">
        <v>0.436</v>
      </c>
      <c r="J4589">
        <v>0.78700000000000003</v>
      </c>
      <c r="K4589">
        <v>0.35099999999999998</v>
      </c>
      <c r="L4589">
        <v>18</v>
      </c>
      <c r="M4589">
        <v>4</v>
      </c>
      <c r="N4589">
        <v>0</v>
      </c>
      <c r="O4589" t="s">
        <v>53</v>
      </c>
      <c r="P4589" t="s">
        <v>53</v>
      </c>
      <c r="Q4589" t="s">
        <v>53</v>
      </c>
    </row>
    <row r="4590" spans="1:17" x14ac:dyDescent="0.2">
      <c r="A4590" s="30" t="str">
        <f>IF(C4590&amp;G4590&amp;D4590&lt;&gt;'Funnel setup'!$K$3&amp;'Funnel setup'!$K$4&amp;'Funnel setup'!$K$5,".",IF(A4589=".",1,A4589+1))</f>
        <v>.</v>
      </c>
      <c r="B4590" s="431" t="str">
        <f t="shared" si="71"/>
        <v>Knee Replacement PrimaryProviderBMI - THE LONDON INDEPENDENT HOSPITAL (NT422)EQ-5D Index</v>
      </c>
      <c r="C4590" t="s">
        <v>249</v>
      </c>
      <c r="D4590" t="s">
        <v>1</v>
      </c>
      <c r="E4590" t="s">
        <v>3621</v>
      </c>
      <c r="F4590" t="s">
        <v>3622</v>
      </c>
      <c r="G4590" t="s">
        <v>52</v>
      </c>
      <c r="H4590">
        <v>7</v>
      </c>
      <c r="I4590">
        <v>0.214</v>
      </c>
      <c r="J4590">
        <v>0.66</v>
      </c>
      <c r="K4590">
        <v>0.44600000000000001</v>
      </c>
      <c r="L4590">
        <v>6</v>
      </c>
      <c r="M4590">
        <v>1</v>
      </c>
      <c r="N4590">
        <v>0</v>
      </c>
      <c r="O4590" t="s">
        <v>53</v>
      </c>
      <c r="P4590" t="s">
        <v>53</v>
      </c>
      <c r="Q4590" t="s">
        <v>53</v>
      </c>
    </row>
    <row r="4591" spans="1:17" x14ac:dyDescent="0.2">
      <c r="A4591" s="30" t="str">
        <f>IF(C4591&amp;G4591&amp;D4591&lt;&gt;'Funnel setup'!$K$3&amp;'Funnel setup'!$K$4&amp;'Funnel setup'!$K$5,".",IF(A4590=".",1,A4590+1))</f>
        <v>.</v>
      </c>
      <c r="B4591" s="431" t="str">
        <f t="shared" si="71"/>
        <v>Knee Replacement PrimaryProviderBMI - THE MANOR HOSPITAL (NT423)EQ-5D Index</v>
      </c>
      <c r="C4591" t="s">
        <v>249</v>
      </c>
      <c r="D4591" t="s">
        <v>1</v>
      </c>
      <c r="E4591" t="s">
        <v>3624</v>
      </c>
      <c r="F4591" t="s">
        <v>3625</v>
      </c>
      <c r="G4591" t="s">
        <v>52</v>
      </c>
      <c r="H4591">
        <v>22</v>
      </c>
      <c r="I4591">
        <v>0.52700000000000002</v>
      </c>
      <c r="J4591">
        <v>0.875</v>
      </c>
      <c r="K4591">
        <v>0.34799999999999998</v>
      </c>
      <c r="L4591">
        <v>20</v>
      </c>
      <c r="M4591">
        <v>1</v>
      </c>
      <c r="N4591">
        <v>1</v>
      </c>
      <c r="O4591" t="s">
        <v>53</v>
      </c>
      <c r="P4591" t="s">
        <v>53</v>
      </c>
      <c r="Q4591" t="s">
        <v>53</v>
      </c>
    </row>
    <row r="4592" spans="1:17" x14ac:dyDescent="0.2">
      <c r="A4592" s="30" t="str">
        <f>IF(C4592&amp;G4592&amp;D4592&lt;&gt;'Funnel setup'!$K$3&amp;'Funnel setup'!$K$4&amp;'Funnel setup'!$K$5,".",IF(A4591=".",1,A4591+1))</f>
        <v>.</v>
      </c>
      <c r="B4592" s="431" t="str">
        <f t="shared" si="71"/>
        <v>Knee Replacement PrimaryProviderBMI - THE MERIDEN HOSPITAL (NT424)EQ-5D Index</v>
      </c>
      <c r="C4592" t="s">
        <v>249</v>
      </c>
      <c r="D4592" t="s">
        <v>1</v>
      </c>
      <c r="E4592" t="s">
        <v>3283</v>
      </c>
      <c r="F4592" t="s">
        <v>3284</v>
      </c>
      <c r="G4592" t="s">
        <v>52</v>
      </c>
      <c r="H4592">
        <v>73</v>
      </c>
      <c r="I4592">
        <v>0.51400000000000001</v>
      </c>
      <c r="J4592">
        <v>0.754</v>
      </c>
      <c r="K4592">
        <v>0.24</v>
      </c>
      <c r="L4592">
        <v>54</v>
      </c>
      <c r="M4592">
        <v>11</v>
      </c>
      <c r="N4592">
        <v>8</v>
      </c>
      <c r="O4592">
        <v>0.71699999999999997</v>
      </c>
      <c r="P4592">
        <v>0.29208880399999998</v>
      </c>
      <c r="Q4592">
        <v>0.217</v>
      </c>
    </row>
    <row r="4593" spans="1:17" x14ac:dyDescent="0.2">
      <c r="A4593" s="30" t="str">
        <f>IF(C4593&amp;G4593&amp;D4593&lt;&gt;'Funnel setup'!$K$3&amp;'Funnel setup'!$K$4&amp;'Funnel setup'!$K$5,".",IF(A4592=".",1,A4592+1))</f>
        <v>.</v>
      </c>
      <c r="B4593" s="431" t="str">
        <f t="shared" si="71"/>
        <v>Knee Replacement PrimaryProviderBMI - THE PARK HOSPITAL (NT427)EQ-5D Index</v>
      </c>
      <c r="C4593" t="s">
        <v>249</v>
      </c>
      <c r="D4593" t="s">
        <v>1</v>
      </c>
      <c r="E4593" t="s">
        <v>3286</v>
      </c>
      <c r="F4593" t="s">
        <v>3287</v>
      </c>
      <c r="G4593" t="s">
        <v>52</v>
      </c>
      <c r="H4593">
        <v>31</v>
      </c>
      <c r="I4593">
        <v>0.47899999999999998</v>
      </c>
      <c r="J4593">
        <v>0.80200000000000005</v>
      </c>
      <c r="K4593">
        <v>0.32300000000000001</v>
      </c>
      <c r="L4593">
        <v>28</v>
      </c>
      <c r="M4593">
        <v>1</v>
      </c>
      <c r="N4593">
        <v>2</v>
      </c>
      <c r="O4593">
        <v>0.78200000000000003</v>
      </c>
      <c r="P4593">
        <v>0.35689209300000002</v>
      </c>
      <c r="Q4593">
        <v>0.22700000000000001</v>
      </c>
    </row>
    <row r="4594" spans="1:17" x14ac:dyDescent="0.2">
      <c r="A4594" s="30" t="str">
        <f>IF(C4594&amp;G4594&amp;D4594&lt;&gt;'Funnel setup'!$K$3&amp;'Funnel setup'!$K$4&amp;'Funnel setup'!$K$5,".",IF(A4593=".",1,A4593+1))</f>
        <v>.</v>
      </c>
      <c r="B4594" s="431" t="str">
        <f t="shared" si="71"/>
        <v>Knee Replacement PrimaryProviderBMI - THE PRINCESS MARGARET HOSPITAL (NT428)EQ-5D Index</v>
      </c>
      <c r="C4594" t="s">
        <v>249</v>
      </c>
      <c r="D4594" t="s">
        <v>1</v>
      </c>
      <c r="E4594" t="s">
        <v>3289</v>
      </c>
      <c r="F4594" t="s">
        <v>3290</v>
      </c>
      <c r="G4594" t="s">
        <v>52</v>
      </c>
      <c r="H4594">
        <v>16</v>
      </c>
      <c r="I4594">
        <v>0.34100000000000003</v>
      </c>
      <c r="J4594">
        <v>0.753</v>
      </c>
      <c r="K4594">
        <v>0.41199999999999998</v>
      </c>
      <c r="L4594">
        <v>13</v>
      </c>
      <c r="M4594">
        <v>3</v>
      </c>
      <c r="N4594">
        <v>0</v>
      </c>
      <c r="O4594" t="s">
        <v>53</v>
      </c>
      <c r="P4594" t="s">
        <v>53</v>
      </c>
      <c r="Q4594" t="s">
        <v>53</v>
      </c>
    </row>
    <row r="4595" spans="1:17" x14ac:dyDescent="0.2">
      <c r="A4595" s="30" t="str">
        <f>IF(C4595&amp;G4595&amp;D4595&lt;&gt;'Funnel setup'!$K$3&amp;'Funnel setup'!$K$4&amp;'Funnel setup'!$K$5,".",IF(A4594=".",1,A4594+1))</f>
        <v>.</v>
      </c>
      <c r="B4595" s="431" t="str">
        <f t="shared" si="71"/>
        <v>Knee Replacement PrimaryProviderBMI - THE PRIORY HOSPITAL (NT429)EQ-5D Index</v>
      </c>
      <c r="C4595" t="s">
        <v>249</v>
      </c>
      <c r="D4595" t="s">
        <v>1</v>
      </c>
      <c r="E4595" t="s">
        <v>4776</v>
      </c>
      <c r="F4595" t="s">
        <v>4777</v>
      </c>
      <c r="G4595" t="s">
        <v>52</v>
      </c>
      <c r="H4595">
        <v>7</v>
      </c>
      <c r="I4595">
        <v>0.42499999999999999</v>
      </c>
      <c r="J4595">
        <v>0.70599999999999996</v>
      </c>
      <c r="K4595">
        <v>0.28100000000000003</v>
      </c>
      <c r="L4595">
        <v>6</v>
      </c>
      <c r="M4595">
        <v>0</v>
      </c>
      <c r="N4595">
        <v>1</v>
      </c>
      <c r="O4595" t="s">
        <v>53</v>
      </c>
      <c r="P4595" t="s">
        <v>53</v>
      </c>
      <c r="Q4595" t="s">
        <v>53</v>
      </c>
    </row>
    <row r="4596" spans="1:17" x14ac:dyDescent="0.2">
      <c r="A4596" s="30" t="str">
        <f>IF(C4596&amp;G4596&amp;D4596&lt;&gt;'Funnel setup'!$K$3&amp;'Funnel setup'!$K$4&amp;'Funnel setup'!$K$5,".",IF(A4595=".",1,A4595+1))</f>
        <v>.</v>
      </c>
      <c r="B4596" s="431" t="str">
        <f t="shared" si="71"/>
        <v>Knee Replacement PrimaryProviderBMI - THE RIDGEWAY HOSPITAL (NT430)EQ-5D Index</v>
      </c>
      <c r="C4596" t="s">
        <v>249</v>
      </c>
      <c r="D4596" t="s">
        <v>1</v>
      </c>
      <c r="E4596" t="s">
        <v>3292</v>
      </c>
      <c r="F4596" t="s">
        <v>3293</v>
      </c>
      <c r="G4596" t="s">
        <v>52</v>
      </c>
      <c r="H4596">
        <v>39</v>
      </c>
      <c r="I4596">
        <v>0.53700000000000003</v>
      </c>
      <c r="J4596">
        <v>0.83899999999999997</v>
      </c>
      <c r="K4596">
        <v>0.30199999999999999</v>
      </c>
      <c r="L4596">
        <v>36</v>
      </c>
      <c r="M4596">
        <v>2</v>
      </c>
      <c r="N4596">
        <v>1</v>
      </c>
      <c r="O4596">
        <v>0.77700000000000002</v>
      </c>
      <c r="P4596">
        <v>0.35239575200000001</v>
      </c>
      <c r="Q4596">
        <v>0.151</v>
      </c>
    </row>
    <row r="4597" spans="1:17" x14ac:dyDescent="0.2">
      <c r="A4597" s="30" t="str">
        <f>IF(C4597&amp;G4597&amp;D4597&lt;&gt;'Funnel setup'!$K$3&amp;'Funnel setup'!$K$4&amp;'Funnel setup'!$K$5,".",IF(A4596=".",1,A4596+1))</f>
        <v>.</v>
      </c>
      <c r="B4597" s="431" t="str">
        <f t="shared" si="71"/>
        <v>Knee Replacement PrimaryProviderBMI - THE RUNNYMEDE HOSPITAL (NT431)EQ-5D Index</v>
      </c>
      <c r="C4597" t="s">
        <v>249</v>
      </c>
      <c r="D4597" t="s">
        <v>1</v>
      </c>
      <c r="E4597" t="s">
        <v>3295</v>
      </c>
      <c r="F4597" t="s">
        <v>3296</v>
      </c>
      <c r="G4597" t="s">
        <v>52</v>
      </c>
      <c r="H4597">
        <v>32</v>
      </c>
      <c r="I4597">
        <v>0.57099999999999995</v>
      </c>
      <c r="J4597">
        <v>0.76300000000000001</v>
      </c>
      <c r="K4597">
        <v>0.191</v>
      </c>
      <c r="L4597">
        <v>24</v>
      </c>
      <c r="M4597">
        <v>5</v>
      </c>
      <c r="N4597">
        <v>3</v>
      </c>
      <c r="O4597">
        <v>0.70199999999999996</v>
      </c>
      <c r="P4597">
        <v>0.27724501899999998</v>
      </c>
      <c r="Q4597">
        <v>0.19700000000000001</v>
      </c>
    </row>
    <row r="4598" spans="1:17" x14ac:dyDescent="0.2">
      <c r="A4598" s="30" t="str">
        <f>IF(C4598&amp;G4598&amp;D4598&lt;&gt;'Funnel setup'!$K$3&amp;'Funnel setup'!$K$4&amp;'Funnel setup'!$K$5,".",IF(A4597=".",1,A4597+1))</f>
        <v>.</v>
      </c>
      <c r="B4598" s="431" t="str">
        <f t="shared" si="71"/>
        <v>Knee Replacement PrimaryProviderBMI - THE SANDRINGHAM HOSPITAL (NT432)EQ-5D Index</v>
      </c>
      <c r="C4598" t="s">
        <v>249</v>
      </c>
      <c r="D4598" t="s">
        <v>1</v>
      </c>
      <c r="E4598" t="s">
        <v>3298</v>
      </c>
      <c r="F4598" t="s">
        <v>3299</v>
      </c>
      <c r="G4598" t="s">
        <v>52</v>
      </c>
      <c r="H4598">
        <v>90</v>
      </c>
      <c r="I4598">
        <v>0.47699999999999998</v>
      </c>
      <c r="J4598">
        <v>0.77</v>
      </c>
      <c r="K4598">
        <v>0.29399999999999998</v>
      </c>
      <c r="L4598">
        <v>71</v>
      </c>
      <c r="M4598">
        <v>9</v>
      </c>
      <c r="N4598">
        <v>10</v>
      </c>
      <c r="O4598">
        <v>0.74299999999999999</v>
      </c>
      <c r="P4598">
        <v>0.31772269800000003</v>
      </c>
      <c r="Q4598">
        <v>0.22500000000000001</v>
      </c>
    </row>
    <row r="4599" spans="1:17" x14ac:dyDescent="0.2">
      <c r="A4599" s="30" t="str">
        <f>IF(C4599&amp;G4599&amp;D4599&lt;&gt;'Funnel setup'!$K$3&amp;'Funnel setup'!$K$4&amp;'Funnel setup'!$K$5,".",IF(A4598=".",1,A4598+1))</f>
        <v>.</v>
      </c>
      <c r="B4599" s="431" t="str">
        <f t="shared" si="71"/>
        <v>Knee Replacement PrimaryProviderBMI - THE SAXON CLINIC (NT434)EQ-5D Index</v>
      </c>
      <c r="C4599" t="s">
        <v>249</v>
      </c>
      <c r="D4599" t="s">
        <v>1</v>
      </c>
      <c r="E4599" t="s">
        <v>3301</v>
      </c>
      <c r="F4599" t="s">
        <v>3302</v>
      </c>
      <c r="G4599" t="s">
        <v>52</v>
      </c>
      <c r="H4599">
        <v>34</v>
      </c>
      <c r="I4599">
        <v>0.39500000000000002</v>
      </c>
      <c r="J4599">
        <v>0.77800000000000002</v>
      </c>
      <c r="K4599">
        <v>0.38300000000000001</v>
      </c>
      <c r="L4599">
        <v>27</v>
      </c>
      <c r="M4599">
        <v>4</v>
      </c>
      <c r="N4599">
        <v>3</v>
      </c>
      <c r="O4599">
        <v>0.748</v>
      </c>
      <c r="P4599">
        <v>0.32330244400000002</v>
      </c>
      <c r="Q4599">
        <v>0.253</v>
      </c>
    </row>
    <row r="4600" spans="1:17" x14ac:dyDescent="0.2">
      <c r="A4600" s="30" t="str">
        <f>IF(C4600&amp;G4600&amp;D4600&lt;&gt;'Funnel setup'!$K$3&amp;'Funnel setup'!$K$4&amp;'Funnel setup'!$K$5,".",IF(A4599=".",1,A4599+1))</f>
        <v>.</v>
      </c>
      <c r="B4600" s="431" t="str">
        <f t="shared" si="71"/>
        <v>Knee Replacement PrimaryProviderBMI - THE SHELBURNE HOSPITAL (NT435)EQ-5D Index</v>
      </c>
      <c r="C4600" t="s">
        <v>249</v>
      </c>
      <c r="D4600" t="s">
        <v>1</v>
      </c>
      <c r="E4600" t="s">
        <v>4318</v>
      </c>
      <c r="F4600" t="s">
        <v>4319</v>
      </c>
      <c r="G4600" t="s">
        <v>52</v>
      </c>
      <c r="H4600">
        <v>19</v>
      </c>
      <c r="I4600">
        <v>0.45</v>
      </c>
      <c r="J4600">
        <v>0.83</v>
      </c>
      <c r="K4600">
        <v>0.38100000000000001</v>
      </c>
      <c r="L4600">
        <v>19</v>
      </c>
      <c r="M4600">
        <v>0</v>
      </c>
      <c r="N4600">
        <v>0</v>
      </c>
      <c r="O4600" t="s">
        <v>53</v>
      </c>
      <c r="P4600" t="s">
        <v>53</v>
      </c>
      <c r="Q4600" t="s">
        <v>53</v>
      </c>
    </row>
    <row r="4601" spans="1:17" x14ac:dyDescent="0.2">
      <c r="A4601" s="30" t="str">
        <f>IF(C4601&amp;G4601&amp;D4601&lt;&gt;'Funnel setup'!$K$3&amp;'Funnel setup'!$K$4&amp;'Funnel setup'!$K$5,".",IF(A4600=".",1,A4600+1))</f>
        <v>.</v>
      </c>
      <c r="B4601" s="431" t="str">
        <f t="shared" si="71"/>
        <v>Knee Replacement PrimaryProviderBMI - THE SLOANE HOSPITAL (NT437)EQ-5D Index</v>
      </c>
      <c r="C4601" t="s">
        <v>249</v>
      </c>
      <c r="D4601" t="s">
        <v>1</v>
      </c>
      <c r="E4601" t="s">
        <v>4327</v>
      </c>
      <c r="F4601" t="s">
        <v>4328</v>
      </c>
      <c r="G4601" t="s">
        <v>52</v>
      </c>
      <c r="H4601">
        <v>8</v>
      </c>
      <c r="I4601">
        <v>0.55600000000000005</v>
      </c>
      <c r="J4601">
        <v>0.83299999999999996</v>
      </c>
      <c r="K4601">
        <v>0.27800000000000002</v>
      </c>
      <c r="L4601">
        <v>6</v>
      </c>
      <c r="M4601">
        <v>1</v>
      </c>
      <c r="N4601">
        <v>1</v>
      </c>
      <c r="O4601" t="s">
        <v>53</v>
      </c>
      <c r="P4601" t="s">
        <v>53</v>
      </c>
      <c r="Q4601" t="s">
        <v>53</v>
      </c>
    </row>
    <row r="4602" spans="1:17" x14ac:dyDescent="0.2">
      <c r="A4602" s="30" t="str">
        <f>IF(C4602&amp;G4602&amp;D4602&lt;&gt;'Funnel setup'!$K$3&amp;'Funnel setup'!$K$4&amp;'Funnel setup'!$K$5,".",IF(A4601=".",1,A4601+1))</f>
        <v>.</v>
      </c>
      <c r="B4602" s="431" t="str">
        <f t="shared" si="71"/>
        <v>Knee Replacement PrimaryProviderBMI - THE SOMERFIELD HOSPITAL (NT438)EQ-5D Index</v>
      </c>
      <c r="C4602" t="s">
        <v>249</v>
      </c>
      <c r="D4602" t="s">
        <v>1</v>
      </c>
      <c r="E4602" t="s">
        <v>3304</v>
      </c>
      <c r="F4602" t="s">
        <v>3305</v>
      </c>
      <c r="G4602" t="s">
        <v>52</v>
      </c>
      <c r="H4602">
        <v>27</v>
      </c>
      <c r="I4602">
        <v>0.47599999999999998</v>
      </c>
      <c r="J4602">
        <v>0.85799999999999998</v>
      </c>
      <c r="K4602">
        <v>0.38200000000000001</v>
      </c>
      <c r="L4602">
        <v>25</v>
      </c>
      <c r="M4602">
        <v>2</v>
      </c>
      <c r="N4602">
        <v>0</v>
      </c>
      <c r="O4602" t="s">
        <v>53</v>
      </c>
      <c r="P4602" t="s">
        <v>53</v>
      </c>
      <c r="Q4602" t="s">
        <v>53</v>
      </c>
    </row>
    <row r="4603" spans="1:17" x14ac:dyDescent="0.2">
      <c r="A4603" s="30" t="str">
        <f>IF(C4603&amp;G4603&amp;D4603&lt;&gt;'Funnel setup'!$K$3&amp;'Funnel setup'!$K$4&amp;'Funnel setup'!$K$5,".",IF(A4602=".",1,A4602+1))</f>
        <v>.</v>
      </c>
      <c r="B4603" s="431" t="str">
        <f t="shared" si="71"/>
        <v>Knee Replacement PrimaryProviderBMI - THE SOUTH CHESHIRE PRIVATE HOSPITAL (NT439)EQ-5D Index</v>
      </c>
      <c r="C4603" t="s">
        <v>249</v>
      </c>
      <c r="D4603" t="s">
        <v>1</v>
      </c>
      <c r="E4603" t="s">
        <v>3307</v>
      </c>
      <c r="F4603" t="s">
        <v>3308</v>
      </c>
      <c r="G4603" t="s">
        <v>52</v>
      </c>
      <c r="H4603">
        <v>27</v>
      </c>
      <c r="I4603">
        <v>0.39100000000000001</v>
      </c>
      <c r="J4603">
        <v>0.76300000000000001</v>
      </c>
      <c r="K4603">
        <v>0.371</v>
      </c>
      <c r="L4603">
        <v>24</v>
      </c>
      <c r="M4603">
        <v>0</v>
      </c>
      <c r="N4603">
        <v>3</v>
      </c>
      <c r="O4603" t="s">
        <v>53</v>
      </c>
      <c r="P4603" t="s">
        <v>53</v>
      </c>
      <c r="Q4603" t="s">
        <v>53</v>
      </c>
    </row>
    <row r="4604" spans="1:17" x14ac:dyDescent="0.2">
      <c r="A4604" s="30" t="str">
        <f>IF(C4604&amp;G4604&amp;D4604&lt;&gt;'Funnel setup'!$K$3&amp;'Funnel setup'!$K$4&amp;'Funnel setup'!$K$5,".",IF(A4603=".",1,A4603+1))</f>
        <v>.</v>
      </c>
      <c r="B4604" s="431" t="str">
        <f t="shared" si="71"/>
        <v>Knee Replacement PrimaryProviderBMI - THE WINTERBOURNE HOSPITAL (NT443)EQ-5D Index</v>
      </c>
      <c r="C4604" t="s">
        <v>249</v>
      </c>
      <c r="D4604" t="s">
        <v>1</v>
      </c>
      <c r="E4604" t="s">
        <v>3310</v>
      </c>
      <c r="F4604" t="s">
        <v>3311</v>
      </c>
      <c r="G4604" t="s">
        <v>52</v>
      </c>
      <c r="H4604">
        <v>53</v>
      </c>
      <c r="I4604">
        <v>0.53200000000000003</v>
      </c>
      <c r="J4604">
        <v>0.77900000000000003</v>
      </c>
      <c r="K4604">
        <v>0.247</v>
      </c>
      <c r="L4604">
        <v>39</v>
      </c>
      <c r="M4604">
        <v>9</v>
      </c>
      <c r="N4604">
        <v>5</v>
      </c>
      <c r="O4604">
        <v>0.73299999999999998</v>
      </c>
      <c r="P4604">
        <v>0.30755381300000001</v>
      </c>
      <c r="Q4604">
        <v>0.17399999999999999</v>
      </c>
    </row>
    <row r="4605" spans="1:17" x14ac:dyDescent="0.2">
      <c r="A4605" s="30" t="str">
        <f>IF(C4605&amp;G4605&amp;D4605&lt;&gt;'Funnel setup'!$K$3&amp;'Funnel setup'!$K$4&amp;'Funnel setup'!$K$5,".",IF(A4604=".",1,A4604+1))</f>
        <v>.</v>
      </c>
      <c r="B4605" s="431" t="str">
        <f t="shared" si="71"/>
        <v>Knee Replacement PrimaryProviderBMI - THORNBURY HOSPITAL (NT440)EQ-5D Index</v>
      </c>
      <c r="C4605" t="s">
        <v>249</v>
      </c>
      <c r="D4605" t="s">
        <v>1</v>
      </c>
      <c r="E4605" t="s">
        <v>3313</v>
      </c>
      <c r="F4605" t="s">
        <v>3314</v>
      </c>
      <c r="G4605" t="s">
        <v>52</v>
      </c>
      <c r="H4605">
        <v>42</v>
      </c>
      <c r="I4605">
        <v>0.38</v>
      </c>
      <c r="J4605">
        <v>0.8</v>
      </c>
      <c r="K4605">
        <v>0.42</v>
      </c>
      <c r="L4605">
        <v>40</v>
      </c>
      <c r="M4605">
        <v>2</v>
      </c>
      <c r="N4605">
        <v>0</v>
      </c>
      <c r="O4605">
        <v>0.77400000000000002</v>
      </c>
      <c r="P4605">
        <v>0.34874959799999999</v>
      </c>
      <c r="Q4605">
        <v>0.17699999999999999</v>
      </c>
    </row>
    <row r="4606" spans="1:17" x14ac:dyDescent="0.2">
      <c r="A4606" s="30" t="str">
        <f>IF(C4606&amp;G4606&amp;D4606&lt;&gt;'Funnel setup'!$K$3&amp;'Funnel setup'!$K$4&amp;'Funnel setup'!$K$5,".",IF(A4605=".",1,A4605+1))</f>
        <v>.</v>
      </c>
      <c r="B4606" s="431" t="str">
        <f t="shared" si="71"/>
        <v>Knee Replacement PrimaryProviderBMI - THREE SHIRES HOSPITAL (NT441)EQ-5D Index</v>
      </c>
      <c r="C4606" t="s">
        <v>249</v>
      </c>
      <c r="D4606" t="s">
        <v>1</v>
      </c>
      <c r="E4606" t="s">
        <v>3316</v>
      </c>
      <c r="F4606" t="s">
        <v>3317</v>
      </c>
      <c r="G4606" t="s">
        <v>52</v>
      </c>
      <c r="H4606">
        <v>46</v>
      </c>
      <c r="I4606">
        <v>0.36099999999999999</v>
      </c>
      <c r="J4606">
        <v>0.74199999999999999</v>
      </c>
      <c r="K4606">
        <v>0.38100000000000001</v>
      </c>
      <c r="L4606">
        <v>38</v>
      </c>
      <c r="M4606">
        <v>2</v>
      </c>
      <c r="N4606">
        <v>6</v>
      </c>
      <c r="O4606">
        <v>0.753</v>
      </c>
      <c r="P4606">
        <v>0.32848002999999998</v>
      </c>
      <c r="Q4606">
        <v>0.25900000000000001</v>
      </c>
    </row>
    <row r="4607" spans="1:17" x14ac:dyDescent="0.2">
      <c r="A4607" s="30" t="str">
        <f>IF(C4607&amp;G4607&amp;D4607&lt;&gt;'Funnel setup'!$K$3&amp;'Funnel setup'!$K$4&amp;'Funnel setup'!$K$5,".",IF(A4606=".",1,A4606+1))</f>
        <v>.</v>
      </c>
      <c r="B4607" s="431" t="str">
        <f t="shared" si="71"/>
        <v>Knee Replacement PrimaryProviderBMI GISBURNE PARK HOSPITAL (NT497)EQ-5D Index</v>
      </c>
      <c r="C4607" t="s">
        <v>249</v>
      </c>
      <c r="D4607" t="s">
        <v>1</v>
      </c>
      <c r="E4607" t="s">
        <v>3319</v>
      </c>
      <c r="F4607" t="s">
        <v>3320</v>
      </c>
      <c r="G4607" t="s">
        <v>52</v>
      </c>
      <c r="H4607">
        <v>46</v>
      </c>
      <c r="I4607">
        <v>0.40300000000000002</v>
      </c>
      <c r="J4607">
        <v>0.83199999999999996</v>
      </c>
      <c r="K4607">
        <v>0.42899999999999999</v>
      </c>
      <c r="L4607">
        <v>42</v>
      </c>
      <c r="M4607">
        <v>3</v>
      </c>
      <c r="N4607">
        <v>1</v>
      </c>
      <c r="O4607">
        <v>0.84199999999999997</v>
      </c>
      <c r="P4607">
        <v>0.41743282199999998</v>
      </c>
      <c r="Q4607">
        <v>0.19400000000000001</v>
      </c>
    </row>
    <row r="4608" spans="1:17" x14ac:dyDescent="0.2">
      <c r="A4608" s="30" t="str">
        <f>IF(C4608&amp;G4608&amp;D4608&lt;&gt;'Funnel setup'!$K$3&amp;'Funnel setup'!$K$4&amp;'Funnel setup'!$K$5,".",IF(A4607=".",1,A4607+1))</f>
        <v>.</v>
      </c>
      <c r="B4608" s="431" t="str">
        <f t="shared" si="71"/>
        <v>Knee Replacement PrimaryProviderBMI ST EDMUNDS HOSPITAL (NT446)EQ-5D Index</v>
      </c>
      <c r="C4608" t="s">
        <v>249</v>
      </c>
      <c r="D4608" t="s">
        <v>1</v>
      </c>
      <c r="E4608" t="s">
        <v>3328</v>
      </c>
      <c r="F4608" t="s">
        <v>3329</v>
      </c>
      <c r="G4608" t="s">
        <v>52</v>
      </c>
      <c r="H4608">
        <v>70</v>
      </c>
      <c r="I4608">
        <v>0.49099999999999999</v>
      </c>
      <c r="J4608">
        <v>0.74099999999999999</v>
      </c>
      <c r="K4608">
        <v>0.251</v>
      </c>
      <c r="L4608">
        <v>59</v>
      </c>
      <c r="M4608">
        <v>6</v>
      </c>
      <c r="N4608">
        <v>5</v>
      </c>
      <c r="O4608">
        <v>0.69899999999999995</v>
      </c>
      <c r="P4608">
        <v>0.27431852000000001</v>
      </c>
      <c r="Q4608">
        <v>0.23499999999999999</v>
      </c>
    </row>
    <row r="4609" spans="1:17" x14ac:dyDescent="0.2">
      <c r="A4609" s="30" t="str">
        <f>IF(C4609&amp;G4609&amp;D4609&lt;&gt;'Funnel setup'!$K$3&amp;'Funnel setup'!$K$4&amp;'Funnel setup'!$K$5,".",IF(A4608=".",1,A4608+1))</f>
        <v>.</v>
      </c>
      <c r="B4609" s="431" t="str">
        <f t="shared" si="71"/>
        <v>Knee Replacement PrimaryProviderBMI THE CAVELL HOSPITAL (NT451)EQ-5D Index</v>
      </c>
      <c r="C4609" t="s">
        <v>249</v>
      </c>
      <c r="D4609" t="s">
        <v>1</v>
      </c>
      <c r="E4609" t="s">
        <v>3331</v>
      </c>
      <c r="F4609" t="s">
        <v>3332</v>
      </c>
      <c r="G4609" t="s">
        <v>52</v>
      </c>
      <c r="H4609">
        <v>29</v>
      </c>
      <c r="I4609">
        <v>0.36399999999999999</v>
      </c>
      <c r="J4609">
        <v>0.66200000000000003</v>
      </c>
      <c r="K4609">
        <v>0.29699999999999999</v>
      </c>
      <c r="L4609">
        <v>24</v>
      </c>
      <c r="M4609">
        <v>2</v>
      </c>
      <c r="N4609">
        <v>3</v>
      </c>
      <c r="O4609" t="s">
        <v>53</v>
      </c>
      <c r="P4609" t="s">
        <v>53</v>
      </c>
      <c r="Q4609" t="s">
        <v>53</v>
      </c>
    </row>
    <row r="4610" spans="1:17" x14ac:dyDescent="0.2">
      <c r="A4610" s="30" t="str">
        <f>IF(C4610&amp;G4610&amp;D4610&lt;&gt;'Funnel setup'!$K$3&amp;'Funnel setup'!$K$4&amp;'Funnel setup'!$K$5,".",IF(A4609=".",1,A4609+1))</f>
        <v>.</v>
      </c>
      <c r="B4610" s="431" t="str">
        <f t="shared" si="71"/>
        <v>Knee Replacement PrimaryProviderBMI THE DUCHY HOSPITAL (NT447)EQ-5D Index</v>
      </c>
      <c r="C4610" t="s">
        <v>249</v>
      </c>
      <c r="D4610" t="s">
        <v>1</v>
      </c>
      <c r="E4610" t="s">
        <v>3334</v>
      </c>
      <c r="F4610" t="s">
        <v>3335</v>
      </c>
      <c r="G4610" t="s">
        <v>52</v>
      </c>
      <c r="H4610">
        <v>26</v>
      </c>
      <c r="I4610">
        <v>0.51400000000000001</v>
      </c>
      <c r="J4610">
        <v>0.83099999999999996</v>
      </c>
      <c r="K4610">
        <v>0.317</v>
      </c>
      <c r="L4610">
        <v>22</v>
      </c>
      <c r="M4610">
        <v>2</v>
      </c>
      <c r="N4610">
        <v>2</v>
      </c>
      <c r="O4610" t="s">
        <v>53</v>
      </c>
      <c r="P4610" t="s">
        <v>53</v>
      </c>
      <c r="Q4610" t="s">
        <v>53</v>
      </c>
    </row>
    <row r="4611" spans="1:17" x14ac:dyDescent="0.2">
      <c r="A4611" s="30" t="str">
        <f>IF(C4611&amp;G4611&amp;D4611&lt;&gt;'Funnel setup'!$K$3&amp;'Funnel setup'!$K$4&amp;'Funnel setup'!$K$5,".",IF(A4610=".",1,A4610+1))</f>
        <v>.</v>
      </c>
      <c r="B4611" s="431" t="str">
        <f t="shared" ref="B4611:B4674" si="72">C4611&amp;D4611&amp;F4611&amp;G4611</f>
        <v>Knee Replacement PrimaryProviderBMI THE EDGBASTON HOSPITAL (NT445)EQ-5D Index</v>
      </c>
      <c r="C4611" t="s">
        <v>249</v>
      </c>
      <c r="D4611" t="s">
        <v>1</v>
      </c>
      <c r="E4611" t="s">
        <v>3337</v>
      </c>
      <c r="F4611" t="s">
        <v>3338</v>
      </c>
      <c r="G4611" t="s">
        <v>52</v>
      </c>
      <c r="H4611">
        <v>42</v>
      </c>
      <c r="I4611">
        <v>0.48099999999999998</v>
      </c>
      <c r="J4611">
        <v>0.81599999999999995</v>
      </c>
      <c r="K4611">
        <v>0.33500000000000002</v>
      </c>
      <c r="L4611">
        <v>37</v>
      </c>
      <c r="M4611">
        <v>3</v>
      </c>
      <c r="N4611">
        <v>2</v>
      </c>
      <c r="O4611">
        <v>0.79100000000000004</v>
      </c>
      <c r="P4611">
        <v>0.36579698599999999</v>
      </c>
      <c r="Q4611">
        <v>0.129</v>
      </c>
    </row>
    <row r="4612" spans="1:17" x14ac:dyDescent="0.2">
      <c r="A4612" s="30" t="str">
        <f>IF(C4612&amp;G4612&amp;D4612&lt;&gt;'Funnel setup'!$K$3&amp;'Funnel setup'!$K$4&amp;'Funnel setup'!$K$5,".",IF(A4611=".",1,A4611+1))</f>
        <v>.</v>
      </c>
      <c r="B4612" s="431" t="str">
        <f t="shared" si="72"/>
        <v>Knee Replacement PrimaryProviderBMI THE HUDDERSFIELD HOSPITAL (NT448)EQ-5D Index</v>
      </c>
      <c r="C4612" t="s">
        <v>249</v>
      </c>
      <c r="D4612" t="s">
        <v>1</v>
      </c>
      <c r="E4612" t="s">
        <v>3346</v>
      </c>
      <c r="F4612" t="s">
        <v>3347</v>
      </c>
      <c r="G4612" t="s">
        <v>52</v>
      </c>
      <c r="H4612">
        <v>77</v>
      </c>
      <c r="I4612">
        <v>0.495</v>
      </c>
      <c r="J4612">
        <v>0.77500000000000002</v>
      </c>
      <c r="K4612">
        <v>0.28000000000000003</v>
      </c>
      <c r="L4612">
        <v>66</v>
      </c>
      <c r="M4612">
        <v>6</v>
      </c>
      <c r="N4612">
        <v>5</v>
      </c>
      <c r="O4612">
        <v>0.74299999999999999</v>
      </c>
      <c r="P4612">
        <v>0.31820636299999999</v>
      </c>
      <c r="Q4612">
        <v>0.215</v>
      </c>
    </row>
    <row r="4613" spans="1:17" x14ac:dyDescent="0.2">
      <c r="A4613" s="30" t="str">
        <f>IF(C4613&amp;G4613&amp;D4613&lt;&gt;'Funnel setup'!$K$3&amp;'Funnel setup'!$K$4&amp;'Funnel setup'!$K$5,".",IF(A4612=".",1,A4612+1))</f>
        <v>.</v>
      </c>
      <c r="B4613" s="431" t="str">
        <f t="shared" si="72"/>
        <v>Knee Replacement PrimaryProviderBMI THE LANCASTER HOSPITAL (NT449)EQ-5D Index</v>
      </c>
      <c r="C4613" t="s">
        <v>249</v>
      </c>
      <c r="D4613" t="s">
        <v>1</v>
      </c>
      <c r="E4613" t="s">
        <v>3349</v>
      </c>
      <c r="F4613" t="s">
        <v>3350</v>
      </c>
      <c r="G4613" t="s">
        <v>52</v>
      </c>
      <c r="H4613">
        <v>56</v>
      </c>
      <c r="I4613">
        <v>0.53900000000000003</v>
      </c>
      <c r="J4613">
        <v>0.81799999999999995</v>
      </c>
      <c r="K4613">
        <v>0.27900000000000003</v>
      </c>
      <c r="L4613">
        <v>49</v>
      </c>
      <c r="M4613">
        <v>5</v>
      </c>
      <c r="N4613">
        <v>2</v>
      </c>
      <c r="O4613">
        <v>0.76400000000000001</v>
      </c>
      <c r="P4613">
        <v>0.33854649199999998</v>
      </c>
      <c r="Q4613">
        <v>0.159</v>
      </c>
    </row>
    <row r="4614" spans="1:17" x14ac:dyDescent="0.2">
      <c r="A4614" s="30" t="str">
        <f>IF(C4614&amp;G4614&amp;D4614&lt;&gt;'Funnel setup'!$K$3&amp;'Funnel setup'!$K$4&amp;'Funnel setup'!$K$5,".",IF(A4613=".",1,A4613+1))</f>
        <v>.</v>
      </c>
      <c r="B4614" s="431" t="str">
        <f t="shared" si="72"/>
        <v>Knee Replacement PrimaryProviderBMI THE LINCOLN HOSPITAL (NT450)EQ-5D Index</v>
      </c>
      <c r="C4614" t="s">
        <v>249</v>
      </c>
      <c r="D4614" t="s">
        <v>1</v>
      </c>
      <c r="E4614" t="s">
        <v>3352</v>
      </c>
      <c r="F4614" t="s">
        <v>3353</v>
      </c>
      <c r="G4614" t="s">
        <v>52</v>
      </c>
      <c r="H4614">
        <v>84</v>
      </c>
      <c r="I4614">
        <v>0.47299999999999998</v>
      </c>
      <c r="J4614">
        <v>0.81699999999999995</v>
      </c>
      <c r="K4614">
        <v>0.34399999999999997</v>
      </c>
      <c r="L4614">
        <v>76</v>
      </c>
      <c r="M4614">
        <v>4</v>
      </c>
      <c r="N4614">
        <v>4</v>
      </c>
      <c r="O4614">
        <v>0.77800000000000002</v>
      </c>
      <c r="P4614">
        <v>0.35347483699999999</v>
      </c>
      <c r="Q4614">
        <v>0.17299999999999999</v>
      </c>
    </row>
    <row r="4615" spans="1:17" x14ac:dyDescent="0.2">
      <c r="A4615" s="30" t="str">
        <f>IF(C4615&amp;G4615&amp;D4615&lt;&gt;'Funnel setup'!$K$3&amp;'Funnel setup'!$K$4&amp;'Funnel setup'!$K$5,".",IF(A4614=".",1,A4614+1))</f>
        <v>.</v>
      </c>
      <c r="B4615" s="431" t="str">
        <f t="shared" si="72"/>
        <v>Knee Replacement PrimaryProviderBMI WOODLANDS HOSPITAL (NT457)EQ-5D Index</v>
      </c>
      <c r="C4615" t="s">
        <v>249</v>
      </c>
      <c r="D4615" t="s">
        <v>1</v>
      </c>
      <c r="E4615" t="s">
        <v>3355</v>
      </c>
      <c r="F4615" t="s">
        <v>3356</v>
      </c>
      <c r="G4615" t="s">
        <v>52</v>
      </c>
      <c r="H4615">
        <v>70</v>
      </c>
      <c r="I4615">
        <v>0.45400000000000001</v>
      </c>
      <c r="J4615">
        <v>0.77900000000000003</v>
      </c>
      <c r="K4615">
        <v>0.32500000000000001</v>
      </c>
      <c r="L4615">
        <v>58</v>
      </c>
      <c r="M4615">
        <v>8</v>
      </c>
      <c r="N4615">
        <v>4</v>
      </c>
      <c r="O4615">
        <v>0.77800000000000002</v>
      </c>
      <c r="P4615">
        <v>0.35317240900000002</v>
      </c>
      <c r="Q4615">
        <v>0.216</v>
      </c>
    </row>
    <row r="4616" spans="1:17" x14ac:dyDescent="0.2">
      <c r="A4616" s="30" t="str">
        <f>IF(C4616&amp;G4616&amp;D4616&lt;&gt;'Funnel setup'!$K$3&amp;'Funnel setup'!$K$4&amp;'Funnel setup'!$K$5,".",IF(A4615=".",1,A4615+1))</f>
        <v>.</v>
      </c>
      <c r="B4616" s="431" t="str">
        <f t="shared" si="72"/>
        <v>Knee Replacement PrimaryProviderBOLTON NHS FOUNDATION TRUST (RMC)EQ-5D Index</v>
      </c>
      <c r="C4616" t="s">
        <v>249</v>
      </c>
      <c r="D4616" t="s">
        <v>1</v>
      </c>
      <c r="E4616" t="s">
        <v>3358</v>
      </c>
      <c r="F4616" t="s">
        <v>3359</v>
      </c>
      <c r="G4616" t="s">
        <v>52</v>
      </c>
      <c r="H4616">
        <v>81</v>
      </c>
      <c r="I4616">
        <v>0.29899999999999999</v>
      </c>
      <c r="J4616">
        <v>0.67200000000000004</v>
      </c>
      <c r="K4616">
        <v>0.373</v>
      </c>
      <c r="L4616">
        <v>64</v>
      </c>
      <c r="M4616">
        <v>8</v>
      </c>
      <c r="N4616">
        <v>9</v>
      </c>
      <c r="O4616">
        <v>0.72399999999999998</v>
      </c>
      <c r="P4616">
        <v>0.29929533200000003</v>
      </c>
      <c r="Q4616">
        <v>0.25800000000000001</v>
      </c>
    </row>
    <row r="4617" spans="1:17" x14ac:dyDescent="0.2">
      <c r="A4617" s="30" t="str">
        <f>IF(C4617&amp;G4617&amp;D4617&lt;&gt;'Funnel setup'!$K$3&amp;'Funnel setup'!$K$4&amp;'Funnel setup'!$K$5,".",IF(A4616=".",1,A4616+1))</f>
        <v>.</v>
      </c>
      <c r="B4617" s="431" t="str">
        <f t="shared" si="72"/>
        <v>Knee Replacement PrimaryProviderBRADFORD TEACHING HOSPITALS NHS FOUNDATION TRUST (RAE)EQ-5D Index</v>
      </c>
      <c r="C4617" t="s">
        <v>249</v>
      </c>
      <c r="D4617" t="s">
        <v>1</v>
      </c>
      <c r="E4617" t="s">
        <v>3361</v>
      </c>
      <c r="F4617" t="s">
        <v>3362</v>
      </c>
      <c r="G4617" t="s">
        <v>52</v>
      </c>
      <c r="H4617">
        <v>135</v>
      </c>
      <c r="I4617">
        <v>0.36699999999999999</v>
      </c>
      <c r="J4617">
        <v>0.71499999999999997</v>
      </c>
      <c r="K4617">
        <v>0.34799999999999998</v>
      </c>
      <c r="L4617">
        <v>109</v>
      </c>
      <c r="M4617">
        <v>16</v>
      </c>
      <c r="N4617">
        <v>10</v>
      </c>
      <c r="O4617">
        <v>0.76600000000000001</v>
      </c>
      <c r="P4617">
        <v>0.341442784</v>
      </c>
      <c r="Q4617">
        <v>0.246</v>
      </c>
    </row>
    <row r="4618" spans="1:17" x14ac:dyDescent="0.2">
      <c r="A4618" s="30" t="str">
        <f>IF(C4618&amp;G4618&amp;D4618&lt;&gt;'Funnel setup'!$K$3&amp;'Funnel setup'!$K$4&amp;'Funnel setup'!$K$5,".",IF(A4617=".",1,A4617+1))</f>
        <v>.</v>
      </c>
      <c r="B4618" s="431" t="str">
        <f t="shared" si="72"/>
        <v>Knee Replacement PrimaryProviderBRIGHTON AND SUSSEX UNIVERSITY HOSPITALS NHS TRUST (RXH)EQ-5D Index</v>
      </c>
      <c r="C4618" t="s">
        <v>249</v>
      </c>
      <c r="D4618" t="s">
        <v>1</v>
      </c>
      <c r="E4618" t="s">
        <v>3367</v>
      </c>
      <c r="F4618" t="s">
        <v>3368</v>
      </c>
      <c r="G4618" t="s">
        <v>52</v>
      </c>
      <c r="H4618">
        <v>277</v>
      </c>
      <c r="I4618">
        <v>0.47399999999999998</v>
      </c>
      <c r="J4618">
        <v>0.71599999999999997</v>
      </c>
      <c r="K4618">
        <v>0.24299999999999999</v>
      </c>
      <c r="L4618">
        <v>203</v>
      </c>
      <c r="M4618">
        <v>37</v>
      </c>
      <c r="N4618">
        <v>37</v>
      </c>
      <c r="O4618">
        <v>0.70799999999999996</v>
      </c>
      <c r="P4618">
        <v>0.28334103199999999</v>
      </c>
      <c r="Q4618">
        <v>0.23400000000000001</v>
      </c>
    </row>
    <row r="4619" spans="1:17" x14ac:dyDescent="0.2">
      <c r="A4619" s="30" t="str">
        <f>IF(C4619&amp;G4619&amp;D4619&lt;&gt;'Funnel setup'!$K$3&amp;'Funnel setup'!$K$4&amp;'Funnel setup'!$K$5,".",IF(A4618=".",1,A4618+1))</f>
        <v>.</v>
      </c>
      <c r="B4619" s="431" t="str">
        <f t="shared" si="72"/>
        <v>Knee Replacement PrimaryProviderBUCKINGHAMSHIRE HEALTHCARE NHS TRUST (RXQ)EQ-5D Index</v>
      </c>
      <c r="C4619" t="s">
        <v>249</v>
      </c>
      <c r="D4619" t="s">
        <v>1</v>
      </c>
      <c r="E4619" t="s">
        <v>3370</v>
      </c>
      <c r="F4619" t="s">
        <v>3371</v>
      </c>
      <c r="G4619" t="s">
        <v>52</v>
      </c>
      <c r="H4619">
        <v>151</v>
      </c>
      <c r="I4619">
        <v>0.433</v>
      </c>
      <c r="J4619">
        <v>0.74399999999999999</v>
      </c>
      <c r="K4619">
        <v>0.311</v>
      </c>
      <c r="L4619">
        <v>121</v>
      </c>
      <c r="M4619">
        <v>20</v>
      </c>
      <c r="N4619">
        <v>10</v>
      </c>
      <c r="O4619">
        <v>0.74299999999999999</v>
      </c>
      <c r="P4619">
        <v>0.31799529999999998</v>
      </c>
      <c r="Q4619">
        <v>0.22500000000000001</v>
      </c>
    </row>
    <row r="4620" spans="1:17" x14ac:dyDescent="0.2">
      <c r="A4620" s="30" t="str">
        <f>IF(C4620&amp;G4620&amp;D4620&lt;&gt;'Funnel setup'!$K$3&amp;'Funnel setup'!$K$4&amp;'Funnel setup'!$K$5,".",IF(A4619=".",1,A4619+1))</f>
        <v>.</v>
      </c>
      <c r="B4620" s="431" t="str">
        <f t="shared" si="72"/>
        <v>Knee Replacement PrimaryProviderBURTON HOSPITALS NHS FOUNDATION TRUST (RJF)EQ-5D Index</v>
      </c>
      <c r="C4620" t="s">
        <v>249</v>
      </c>
      <c r="D4620" t="s">
        <v>1</v>
      </c>
      <c r="E4620" t="s">
        <v>3373</v>
      </c>
      <c r="F4620" t="s">
        <v>3374</v>
      </c>
      <c r="G4620" t="s">
        <v>52</v>
      </c>
      <c r="H4620">
        <v>213</v>
      </c>
      <c r="I4620">
        <v>0.46300000000000002</v>
      </c>
      <c r="J4620">
        <v>0.77800000000000002</v>
      </c>
      <c r="K4620">
        <v>0.314</v>
      </c>
      <c r="L4620">
        <v>167</v>
      </c>
      <c r="M4620">
        <v>29</v>
      </c>
      <c r="N4620">
        <v>17</v>
      </c>
      <c r="O4620">
        <v>0.755</v>
      </c>
      <c r="P4620">
        <v>0.33038991099999998</v>
      </c>
      <c r="Q4620">
        <v>0.21099999999999999</v>
      </c>
    </row>
    <row r="4621" spans="1:17" x14ac:dyDescent="0.2">
      <c r="A4621" s="30" t="str">
        <f>IF(C4621&amp;G4621&amp;D4621&lt;&gt;'Funnel setup'!$K$3&amp;'Funnel setup'!$K$4&amp;'Funnel setup'!$K$5,".",IF(A4620=".",1,A4620+1))</f>
        <v>.</v>
      </c>
      <c r="B4621" s="431" t="str">
        <f t="shared" si="72"/>
        <v>Knee Replacement PrimaryProviderCALDERDALE AND HUDDERSFIELD NHS FOUNDATION TRUST (RWY)EQ-5D Index</v>
      </c>
      <c r="C4621" t="s">
        <v>249</v>
      </c>
      <c r="D4621" t="s">
        <v>1</v>
      </c>
      <c r="E4621" t="s">
        <v>3379</v>
      </c>
      <c r="F4621" t="s">
        <v>3380</v>
      </c>
      <c r="G4621" t="s">
        <v>52</v>
      </c>
      <c r="H4621">
        <v>228</v>
      </c>
      <c r="I4621">
        <v>0.437</v>
      </c>
      <c r="J4621">
        <v>0.75</v>
      </c>
      <c r="K4621">
        <v>0.313</v>
      </c>
      <c r="L4621">
        <v>189</v>
      </c>
      <c r="M4621">
        <v>23</v>
      </c>
      <c r="N4621">
        <v>16</v>
      </c>
      <c r="O4621">
        <v>0.75800000000000001</v>
      </c>
      <c r="P4621">
        <v>0.332884715</v>
      </c>
      <c r="Q4621">
        <v>0.222</v>
      </c>
    </row>
    <row r="4622" spans="1:17" x14ac:dyDescent="0.2">
      <c r="A4622" s="30" t="str">
        <f>IF(C4622&amp;G4622&amp;D4622&lt;&gt;'Funnel setup'!$K$3&amp;'Funnel setup'!$K$4&amp;'Funnel setup'!$K$5,".",IF(A4621=".",1,A4621+1))</f>
        <v>.</v>
      </c>
      <c r="B4622" s="431" t="str">
        <f t="shared" si="72"/>
        <v>Knee Replacement PrimaryProviderCAMBRIDGE UNIVERSITY HOSPITALS NHS FOUNDATION TRUST (RGT)EQ-5D Index</v>
      </c>
      <c r="C4622" t="s">
        <v>249</v>
      </c>
      <c r="D4622" t="s">
        <v>1</v>
      </c>
      <c r="E4622" t="s">
        <v>3076</v>
      </c>
      <c r="F4622" t="s">
        <v>3077</v>
      </c>
      <c r="G4622" t="s">
        <v>52</v>
      </c>
      <c r="H4622">
        <v>197</v>
      </c>
      <c r="I4622">
        <v>0.40400000000000003</v>
      </c>
      <c r="J4622">
        <v>0.73499999999999999</v>
      </c>
      <c r="K4622">
        <v>0.33100000000000002</v>
      </c>
      <c r="L4622">
        <v>166</v>
      </c>
      <c r="M4622">
        <v>14</v>
      </c>
      <c r="N4622">
        <v>17</v>
      </c>
      <c r="O4622">
        <v>0.73099999999999998</v>
      </c>
      <c r="P4622">
        <v>0.30570613400000002</v>
      </c>
      <c r="Q4622">
        <v>0.26100000000000001</v>
      </c>
    </row>
    <row r="4623" spans="1:17" x14ac:dyDescent="0.2">
      <c r="A4623" s="30" t="str">
        <f>IF(C4623&amp;G4623&amp;D4623&lt;&gt;'Funnel setup'!$K$3&amp;'Funnel setup'!$K$4&amp;'Funnel setup'!$K$5,".",IF(A4622=".",1,A4622+1))</f>
        <v>.</v>
      </c>
      <c r="B4623" s="431" t="str">
        <f t="shared" si="72"/>
        <v>Knee Replacement PrimaryProviderCENTRAL MANCHESTER UNIVERSITY HOSPITALS NHS FOUNDATION TRUST (RW3)EQ-5D Index</v>
      </c>
      <c r="C4623" t="s">
        <v>249</v>
      </c>
      <c r="D4623" t="s">
        <v>1</v>
      </c>
      <c r="E4623" t="s">
        <v>3079</v>
      </c>
      <c r="F4623" t="s">
        <v>3080</v>
      </c>
      <c r="G4623" t="s">
        <v>52</v>
      </c>
      <c r="H4623">
        <v>83</v>
      </c>
      <c r="I4623">
        <v>0.38</v>
      </c>
      <c r="J4623">
        <v>0.66100000000000003</v>
      </c>
      <c r="K4623">
        <v>0.28100000000000003</v>
      </c>
      <c r="L4623">
        <v>64</v>
      </c>
      <c r="M4623">
        <v>7</v>
      </c>
      <c r="N4623">
        <v>12</v>
      </c>
      <c r="O4623">
        <v>0.68799999999999994</v>
      </c>
      <c r="P4623">
        <v>0.26298887199999998</v>
      </c>
      <c r="Q4623">
        <v>0.27200000000000002</v>
      </c>
    </row>
    <row r="4624" spans="1:17" x14ac:dyDescent="0.2">
      <c r="A4624" s="30" t="str">
        <f>IF(C4624&amp;G4624&amp;D4624&lt;&gt;'Funnel setup'!$K$3&amp;'Funnel setup'!$K$4&amp;'Funnel setup'!$K$5,".",IF(A4623=".",1,A4623+1))</f>
        <v>.</v>
      </c>
      <c r="B4624" s="431" t="str">
        <f t="shared" si="72"/>
        <v>Knee Replacement PrimaryProviderCHELSEA AND WESTMINSTER HOSPITAL NHS FOUNDATION TRUST (RQM)EQ-5D Index</v>
      </c>
      <c r="C4624" t="s">
        <v>249</v>
      </c>
      <c r="D4624" t="s">
        <v>1</v>
      </c>
      <c r="E4624" t="s">
        <v>3082</v>
      </c>
      <c r="F4624" t="s">
        <v>3083</v>
      </c>
      <c r="G4624" t="s">
        <v>52</v>
      </c>
      <c r="H4624">
        <v>19</v>
      </c>
      <c r="I4624">
        <v>0.22500000000000001</v>
      </c>
      <c r="J4624">
        <v>0.746</v>
      </c>
      <c r="K4624">
        <v>0.52</v>
      </c>
      <c r="L4624">
        <v>17</v>
      </c>
      <c r="M4624">
        <v>1</v>
      </c>
      <c r="N4624">
        <v>1</v>
      </c>
      <c r="O4624" t="s">
        <v>53</v>
      </c>
      <c r="P4624" t="s">
        <v>53</v>
      </c>
      <c r="Q4624" t="s">
        <v>53</v>
      </c>
    </row>
    <row r="4625" spans="1:17" x14ac:dyDescent="0.2">
      <c r="A4625" s="30" t="str">
        <f>IF(C4625&amp;G4625&amp;D4625&lt;&gt;'Funnel setup'!$K$3&amp;'Funnel setup'!$K$4&amp;'Funnel setup'!$K$5,".",IF(A4624=".",1,A4624+1))</f>
        <v>.</v>
      </c>
      <c r="B4625" s="431" t="str">
        <f t="shared" si="72"/>
        <v>Knee Replacement PrimaryProviderCHESTERFIELD ROYAL HOSPITAL NHS FOUNDATION TRUST (RFS)EQ-5D Index</v>
      </c>
      <c r="C4625" t="s">
        <v>249</v>
      </c>
      <c r="D4625" t="s">
        <v>1</v>
      </c>
      <c r="E4625" t="s">
        <v>3085</v>
      </c>
      <c r="F4625" t="s">
        <v>3086</v>
      </c>
      <c r="G4625" t="s">
        <v>52</v>
      </c>
      <c r="H4625">
        <v>236</v>
      </c>
      <c r="I4625">
        <v>0.437</v>
      </c>
      <c r="J4625">
        <v>0.72799999999999998</v>
      </c>
      <c r="K4625">
        <v>0.29099999999999998</v>
      </c>
      <c r="L4625">
        <v>193</v>
      </c>
      <c r="M4625">
        <v>22</v>
      </c>
      <c r="N4625">
        <v>21</v>
      </c>
      <c r="O4625">
        <v>0.74</v>
      </c>
      <c r="P4625">
        <v>0.31469092799999998</v>
      </c>
      <c r="Q4625">
        <v>0.24299999999999999</v>
      </c>
    </row>
    <row r="4626" spans="1:17" x14ac:dyDescent="0.2">
      <c r="A4626" s="30" t="str">
        <f>IF(C4626&amp;G4626&amp;D4626&lt;&gt;'Funnel setup'!$K$3&amp;'Funnel setup'!$K$4&amp;'Funnel setup'!$K$5,".",IF(A4625=".",1,A4625+1))</f>
        <v>.</v>
      </c>
      <c r="B4626" s="431" t="str">
        <f t="shared" si="72"/>
        <v>Knee Replacement PrimaryProviderCIRCLE - NOTTINGHAM NHS TREATMENT CENTRE (NV313)EQ-5D Index</v>
      </c>
      <c r="C4626" t="s">
        <v>249</v>
      </c>
      <c r="D4626" t="s">
        <v>1</v>
      </c>
      <c r="E4626" t="s">
        <v>3094</v>
      </c>
      <c r="F4626" t="s">
        <v>3095</v>
      </c>
      <c r="G4626" t="s">
        <v>52</v>
      </c>
      <c r="H4626" t="s">
        <v>53</v>
      </c>
      <c r="I4626" t="s">
        <v>53</v>
      </c>
      <c r="J4626" t="s">
        <v>53</v>
      </c>
      <c r="K4626" t="s">
        <v>53</v>
      </c>
      <c r="L4626" t="s">
        <v>53</v>
      </c>
      <c r="M4626" t="s">
        <v>53</v>
      </c>
      <c r="N4626" t="s">
        <v>53</v>
      </c>
      <c r="O4626" t="s">
        <v>53</v>
      </c>
      <c r="P4626" t="s">
        <v>53</v>
      </c>
      <c r="Q4626" t="s">
        <v>53</v>
      </c>
    </row>
    <row r="4627" spans="1:17" x14ac:dyDescent="0.2">
      <c r="A4627" s="30" t="str">
        <f>IF(C4627&amp;G4627&amp;D4627&lt;&gt;'Funnel setup'!$K$3&amp;'Funnel setup'!$K$4&amp;'Funnel setup'!$K$5,".",IF(A4626=".",1,A4626+1))</f>
        <v>.</v>
      </c>
      <c r="B4627" s="431" t="str">
        <f t="shared" si="72"/>
        <v>Knee Replacement PrimaryProviderCIRCLE BATH HOSPITAL (NV302)EQ-5D Index</v>
      </c>
      <c r="C4627" t="s">
        <v>249</v>
      </c>
      <c r="D4627" t="s">
        <v>1</v>
      </c>
      <c r="E4627" t="s">
        <v>3097</v>
      </c>
      <c r="F4627" t="s">
        <v>3098</v>
      </c>
      <c r="G4627" t="s">
        <v>52</v>
      </c>
      <c r="H4627">
        <v>143</v>
      </c>
      <c r="I4627">
        <v>0.50800000000000001</v>
      </c>
      <c r="J4627">
        <v>0.81699999999999995</v>
      </c>
      <c r="K4627">
        <v>0.309</v>
      </c>
      <c r="L4627">
        <v>121</v>
      </c>
      <c r="M4627">
        <v>14</v>
      </c>
      <c r="N4627">
        <v>8</v>
      </c>
      <c r="O4627">
        <v>0.77</v>
      </c>
      <c r="P4627">
        <v>0.34546300499999999</v>
      </c>
      <c r="Q4627">
        <v>0.183</v>
      </c>
    </row>
    <row r="4628" spans="1:17" x14ac:dyDescent="0.2">
      <c r="A4628" s="30" t="str">
        <f>IF(C4628&amp;G4628&amp;D4628&lt;&gt;'Funnel setup'!$K$3&amp;'Funnel setup'!$K$4&amp;'Funnel setup'!$K$5,".",IF(A4627=".",1,A4627+1))</f>
        <v>.</v>
      </c>
      <c r="B4628" s="431" t="str">
        <f t="shared" si="72"/>
        <v>Knee Replacement PrimaryProviderCIRCLE READING HOSPITAL (NV323)EQ-5D Index</v>
      </c>
      <c r="C4628" t="s">
        <v>249</v>
      </c>
      <c r="D4628" t="s">
        <v>1</v>
      </c>
      <c r="E4628" t="s">
        <v>3091</v>
      </c>
      <c r="F4628" t="s">
        <v>3092</v>
      </c>
      <c r="G4628" t="s">
        <v>52</v>
      </c>
      <c r="H4628">
        <v>95</v>
      </c>
      <c r="I4628">
        <v>0.51700000000000002</v>
      </c>
      <c r="J4628">
        <v>0.81499999999999995</v>
      </c>
      <c r="K4628">
        <v>0.29799999999999999</v>
      </c>
      <c r="L4628">
        <v>78</v>
      </c>
      <c r="M4628">
        <v>11</v>
      </c>
      <c r="N4628">
        <v>6</v>
      </c>
      <c r="O4628">
        <v>0.73599999999999999</v>
      </c>
      <c r="P4628">
        <v>0.31147581600000002</v>
      </c>
      <c r="Q4628">
        <v>0.186</v>
      </c>
    </row>
    <row r="4629" spans="1:17" x14ac:dyDescent="0.2">
      <c r="A4629" s="30" t="str">
        <f>IF(C4629&amp;G4629&amp;D4629&lt;&gt;'Funnel setup'!$K$3&amp;'Funnel setup'!$K$4&amp;'Funnel setup'!$K$5,".",IF(A4628=".",1,A4628+1))</f>
        <v>.</v>
      </c>
      <c r="B4629" s="431" t="str">
        <f t="shared" si="72"/>
        <v>Knee Replacement PrimaryProviderCITY HOSPITALS SUNDERLAND NHS FOUNDATION TRUST (RLN)EQ-5D Index</v>
      </c>
      <c r="C4629" t="s">
        <v>249</v>
      </c>
      <c r="D4629" t="s">
        <v>1</v>
      </c>
      <c r="E4629" t="s">
        <v>3100</v>
      </c>
      <c r="F4629" t="s">
        <v>3101</v>
      </c>
      <c r="G4629" t="s">
        <v>52</v>
      </c>
      <c r="H4629">
        <v>261</v>
      </c>
      <c r="I4629">
        <v>0.33200000000000002</v>
      </c>
      <c r="J4629">
        <v>0.69299999999999995</v>
      </c>
      <c r="K4629">
        <v>0.36199999999999999</v>
      </c>
      <c r="L4629">
        <v>221</v>
      </c>
      <c r="M4629">
        <v>19</v>
      </c>
      <c r="N4629">
        <v>21</v>
      </c>
      <c r="O4629">
        <v>0.76200000000000001</v>
      </c>
      <c r="P4629">
        <v>0.33667872700000001</v>
      </c>
      <c r="Q4629">
        <v>0.224</v>
      </c>
    </row>
    <row r="4630" spans="1:17" x14ac:dyDescent="0.2">
      <c r="A4630" s="30" t="str">
        <f>IF(C4630&amp;G4630&amp;D4630&lt;&gt;'Funnel setup'!$K$3&amp;'Funnel setup'!$K$4&amp;'Funnel setup'!$K$5,".",IF(A4629=".",1,A4629+1))</f>
        <v>.</v>
      </c>
      <c r="B4630" s="431" t="str">
        <f t="shared" si="72"/>
        <v>Knee Replacement PrimaryProviderCLIFTON PARK HOSPITAL (NVC28)EQ-5D Index</v>
      </c>
      <c r="C4630" t="s">
        <v>249</v>
      </c>
      <c r="D4630" t="s">
        <v>1</v>
      </c>
      <c r="E4630" t="s">
        <v>4229</v>
      </c>
      <c r="F4630" t="s">
        <v>4230</v>
      </c>
      <c r="G4630" t="s">
        <v>52</v>
      </c>
      <c r="H4630">
        <v>203</v>
      </c>
      <c r="I4630">
        <v>0.54300000000000004</v>
      </c>
      <c r="J4630">
        <v>0.78500000000000003</v>
      </c>
      <c r="K4630">
        <v>0.24099999999999999</v>
      </c>
      <c r="L4630">
        <v>165</v>
      </c>
      <c r="M4630">
        <v>20</v>
      </c>
      <c r="N4630">
        <v>18</v>
      </c>
      <c r="O4630">
        <v>0.73</v>
      </c>
      <c r="P4630">
        <v>0.30490626999999998</v>
      </c>
      <c r="Q4630">
        <v>0.20499999999999999</v>
      </c>
    </row>
    <row r="4631" spans="1:17" x14ac:dyDescent="0.2">
      <c r="A4631" s="30" t="str">
        <f>IF(C4631&amp;G4631&amp;D4631&lt;&gt;'Funnel setup'!$K$3&amp;'Funnel setup'!$K$4&amp;'Funnel setup'!$K$5,".",IF(A4630=".",1,A4630+1))</f>
        <v>.</v>
      </c>
      <c r="B4631" s="431" t="str">
        <f t="shared" si="72"/>
        <v>Knee Replacement PrimaryProviderCOLCHESTER HOSPITAL UNIVERSITY NHS FOUNDATION TRUST (RDE)EQ-5D Index</v>
      </c>
      <c r="C4631" t="s">
        <v>249</v>
      </c>
      <c r="D4631" t="s">
        <v>1</v>
      </c>
      <c r="E4631" t="s">
        <v>3109</v>
      </c>
      <c r="F4631" t="s">
        <v>3110</v>
      </c>
      <c r="G4631" t="s">
        <v>52</v>
      </c>
      <c r="H4631">
        <v>185</v>
      </c>
      <c r="I4631">
        <v>0.40400000000000003</v>
      </c>
      <c r="J4631">
        <v>0.73699999999999999</v>
      </c>
      <c r="K4631">
        <v>0.33300000000000002</v>
      </c>
      <c r="L4631">
        <v>150</v>
      </c>
      <c r="M4631">
        <v>24</v>
      </c>
      <c r="N4631">
        <v>11</v>
      </c>
      <c r="O4631">
        <v>0.751</v>
      </c>
      <c r="P4631">
        <v>0.32606771400000001</v>
      </c>
      <c r="Q4631">
        <v>0.224</v>
      </c>
    </row>
    <row r="4632" spans="1:17" x14ac:dyDescent="0.2">
      <c r="A4632" s="30" t="str">
        <f>IF(C4632&amp;G4632&amp;D4632&lt;&gt;'Funnel setup'!$K$3&amp;'Funnel setup'!$K$4&amp;'Funnel setup'!$K$5,".",IF(A4631=".",1,A4631+1))</f>
        <v>.</v>
      </c>
      <c r="B4632" s="431" t="str">
        <f t="shared" si="72"/>
        <v>Knee Replacement PrimaryProviderCOUNTESS OF CHESTER HOSPITAL NHS FOUNDATION TRUST (RJR)EQ-5D Index</v>
      </c>
      <c r="C4632" t="s">
        <v>249</v>
      </c>
      <c r="D4632" t="s">
        <v>1</v>
      </c>
      <c r="E4632" t="s">
        <v>3781</v>
      </c>
      <c r="F4632" t="s">
        <v>3782</v>
      </c>
      <c r="G4632" t="s">
        <v>52</v>
      </c>
      <c r="H4632">
        <v>84</v>
      </c>
      <c r="I4632">
        <v>0.36799999999999999</v>
      </c>
      <c r="J4632">
        <v>0.64200000000000002</v>
      </c>
      <c r="K4632">
        <v>0.27400000000000002</v>
      </c>
      <c r="L4632">
        <v>63</v>
      </c>
      <c r="M4632">
        <v>8</v>
      </c>
      <c r="N4632">
        <v>13</v>
      </c>
      <c r="O4632">
        <v>0.66600000000000004</v>
      </c>
      <c r="P4632">
        <v>0.24053122499999999</v>
      </c>
      <c r="Q4632">
        <v>0.27400000000000002</v>
      </c>
    </row>
    <row r="4633" spans="1:17" x14ac:dyDescent="0.2">
      <c r="A4633" s="30" t="str">
        <f>IF(C4633&amp;G4633&amp;D4633&lt;&gt;'Funnel setup'!$K$3&amp;'Funnel setup'!$K$4&amp;'Funnel setup'!$K$5,".",IF(A4632=".",1,A4632+1))</f>
        <v>.</v>
      </c>
      <c r="B4633" s="431" t="str">
        <f t="shared" si="72"/>
        <v>Knee Replacement PrimaryProviderCOUNTY DURHAM AND DARLINGTON NHS FOUNDATION TRUST (RXP)EQ-5D Index</v>
      </c>
      <c r="C4633" t="s">
        <v>249</v>
      </c>
      <c r="D4633" t="s">
        <v>1</v>
      </c>
      <c r="E4633" t="s">
        <v>3784</v>
      </c>
      <c r="F4633" t="s">
        <v>3785</v>
      </c>
      <c r="G4633" t="s">
        <v>52</v>
      </c>
      <c r="H4633">
        <v>309</v>
      </c>
      <c r="I4633">
        <v>0.38900000000000001</v>
      </c>
      <c r="J4633">
        <v>0.69899999999999995</v>
      </c>
      <c r="K4633">
        <v>0.31</v>
      </c>
      <c r="L4633">
        <v>245</v>
      </c>
      <c r="M4633">
        <v>32</v>
      </c>
      <c r="N4633">
        <v>32</v>
      </c>
      <c r="O4633">
        <v>0.72499999999999998</v>
      </c>
      <c r="P4633">
        <v>0.30006494299999997</v>
      </c>
      <c r="Q4633">
        <v>0.246</v>
      </c>
    </row>
    <row r="4634" spans="1:17" x14ac:dyDescent="0.2">
      <c r="A4634" s="30" t="str">
        <f>IF(C4634&amp;G4634&amp;D4634&lt;&gt;'Funnel setup'!$K$3&amp;'Funnel setup'!$K$4&amp;'Funnel setup'!$K$5,".",IF(A4633=".",1,A4633+1))</f>
        <v>.</v>
      </c>
      <c r="B4634" s="431" t="str">
        <f t="shared" si="72"/>
        <v>Knee Replacement PrimaryProviderDARTFORD AND GRAVESHAM NHS TRUST (RN7)EQ-5D Index</v>
      </c>
      <c r="C4634" t="s">
        <v>249</v>
      </c>
      <c r="D4634" t="s">
        <v>1</v>
      </c>
      <c r="E4634" t="s">
        <v>3787</v>
      </c>
      <c r="F4634" t="s">
        <v>3788</v>
      </c>
      <c r="G4634" t="s">
        <v>52</v>
      </c>
      <c r="H4634">
        <v>211</v>
      </c>
      <c r="I4634">
        <v>0.377</v>
      </c>
      <c r="J4634">
        <v>0.74</v>
      </c>
      <c r="K4634">
        <v>0.36299999999999999</v>
      </c>
      <c r="L4634">
        <v>174</v>
      </c>
      <c r="M4634">
        <v>24</v>
      </c>
      <c r="N4634">
        <v>13</v>
      </c>
      <c r="O4634">
        <v>0.752</v>
      </c>
      <c r="P4634">
        <v>0.326979352</v>
      </c>
      <c r="Q4634">
        <v>0.214</v>
      </c>
    </row>
    <row r="4635" spans="1:17" x14ac:dyDescent="0.2">
      <c r="A4635" s="30" t="str">
        <f>IF(C4635&amp;G4635&amp;D4635&lt;&gt;'Funnel setup'!$K$3&amp;'Funnel setup'!$K$4&amp;'Funnel setup'!$K$5,".",IF(A4634=".",1,A4634+1))</f>
        <v>.</v>
      </c>
      <c r="B4635" s="431" t="str">
        <f t="shared" si="72"/>
        <v>Knee Replacement PrimaryProviderDERBY TEACHING HOSPITALS NHS FOUNDATION TRUST (RTG)EQ-5D Index</v>
      </c>
      <c r="C4635" t="s">
        <v>249</v>
      </c>
      <c r="D4635" t="s">
        <v>1</v>
      </c>
      <c r="E4635" t="s">
        <v>3790</v>
      </c>
      <c r="F4635" t="s">
        <v>3791</v>
      </c>
      <c r="G4635" t="s">
        <v>52</v>
      </c>
      <c r="H4635">
        <v>397</v>
      </c>
      <c r="I4635">
        <v>0.45800000000000002</v>
      </c>
      <c r="J4635">
        <v>0.74199999999999999</v>
      </c>
      <c r="K4635">
        <v>0.28399999999999997</v>
      </c>
      <c r="L4635">
        <v>310</v>
      </c>
      <c r="M4635">
        <v>38</v>
      </c>
      <c r="N4635">
        <v>49</v>
      </c>
      <c r="O4635">
        <v>0.73899999999999999</v>
      </c>
      <c r="P4635">
        <v>0.31410891800000001</v>
      </c>
      <c r="Q4635">
        <v>0.22</v>
      </c>
    </row>
    <row r="4636" spans="1:17" x14ac:dyDescent="0.2">
      <c r="A4636" s="30" t="str">
        <f>IF(C4636&amp;G4636&amp;D4636&lt;&gt;'Funnel setup'!$K$3&amp;'Funnel setup'!$K$4&amp;'Funnel setup'!$K$5,".",IF(A4635=".",1,A4635+1))</f>
        <v>.</v>
      </c>
      <c r="B4636" s="431" t="str">
        <f t="shared" si="72"/>
        <v>Knee Replacement PrimaryProviderDONCASTER AND BASSETLAW HOSPITALS NHS FOUNDATION TRUST (RP5)EQ-5D Index</v>
      </c>
      <c r="C4636" t="s">
        <v>249</v>
      </c>
      <c r="D4636" t="s">
        <v>1</v>
      </c>
      <c r="E4636" t="s">
        <v>3799</v>
      </c>
      <c r="F4636" t="s">
        <v>3800</v>
      </c>
      <c r="G4636" t="s">
        <v>52</v>
      </c>
      <c r="H4636">
        <v>320</v>
      </c>
      <c r="I4636">
        <v>0.374</v>
      </c>
      <c r="J4636">
        <v>0.70099999999999996</v>
      </c>
      <c r="K4636">
        <v>0.32700000000000001</v>
      </c>
      <c r="L4636">
        <v>255</v>
      </c>
      <c r="M4636">
        <v>36</v>
      </c>
      <c r="N4636">
        <v>29</v>
      </c>
      <c r="O4636">
        <v>0.72799999999999998</v>
      </c>
      <c r="P4636">
        <v>0.30281171800000001</v>
      </c>
      <c r="Q4636">
        <v>0.24199999999999999</v>
      </c>
    </row>
    <row r="4637" spans="1:17" x14ac:dyDescent="0.2">
      <c r="A4637" s="30" t="str">
        <f>IF(C4637&amp;G4637&amp;D4637&lt;&gt;'Funnel setup'!$K$3&amp;'Funnel setup'!$K$4&amp;'Funnel setup'!$K$5,".",IF(A4636=".",1,A4636+1))</f>
        <v>.</v>
      </c>
      <c r="B4637" s="431" t="str">
        <f t="shared" si="72"/>
        <v>Knee Replacement PrimaryProviderDORSET COUNTY HOSPITAL NHS FOUNDATION TRUST (RBD)EQ-5D Index</v>
      </c>
      <c r="C4637" t="s">
        <v>249</v>
      </c>
      <c r="D4637" t="s">
        <v>1</v>
      </c>
      <c r="E4637" t="s">
        <v>3802</v>
      </c>
      <c r="F4637" t="s">
        <v>3803</v>
      </c>
      <c r="G4637" t="s">
        <v>52</v>
      </c>
      <c r="H4637">
        <v>165</v>
      </c>
      <c r="I4637">
        <v>0.47499999999999998</v>
      </c>
      <c r="J4637">
        <v>0.75</v>
      </c>
      <c r="K4637">
        <v>0.27500000000000002</v>
      </c>
      <c r="L4637">
        <v>138</v>
      </c>
      <c r="M4637">
        <v>14</v>
      </c>
      <c r="N4637">
        <v>13</v>
      </c>
      <c r="O4637">
        <v>0.73299999999999998</v>
      </c>
      <c r="P4637">
        <v>0.30801511300000001</v>
      </c>
      <c r="Q4637">
        <v>0.21099999999999999</v>
      </c>
    </row>
    <row r="4638" spans="1:17" x14ac:dyDescent="0.2">
      <c r="A4638" s="30" t="str">
        <f>IF(C4638&amp;G4638&amp;D4638&lt;&gt;'Funnel setup'!$K$3&amp;'Funnel setup'!$K$4&amp;'Funnel setup'!$K$5,".",IF(A4637=".",1,A4637+1))</f>
        <v>.</v>
      </c>
      <c r="B4638" s="431" t="str">
        <f t="shared" si="72"/>
        <v>Knee Replacement PrimaryProviderDUCHY HOSPITAL (NVC04)EQ-5D Index</v>
      </c>
      <c r="C4638" t="s">
        <v>249</v>
      </c>
      <c r="D4638" t="s">
        <v>1</v>
      </c>
      <c r="E4638" t="s">
        <v>4518</v>
      </c>
      <c r="F4638" t="s">
        <v>4519</v>
      </c>
      <c r="G4638" t="s">
        <v>52</v>
      </c>
      <c r="H4638">
        <v>209</v>
      </c>
      <c r="I4638">
        <v>0.51200000000000001</v>
      </c>
      <c r="J4638">
        <v>0.80300000000000005</v>
      </c>
      <c r="K4638">
        <v>0.29099999999999998</v>
      </c>
      <c r="L4638">
        <v>179</v>
      </c>
      <c r="M4638">
        <v>13</v>
      </c>
      <c r="N4638">
        <v>17</v>
      </c>
      <c r="O4638">
        <v>0.77200000000000002</v>
      </c>
      <c r="P4638">
        <v>0.34692236199999998</v>
      </c>
      <c r="Q4638">
        <v>0.19600000000000001</v>
      </c>
    </row>
    <row r="4639" spans="1:17" x14ac:dyDescent="0.2">
      <c r="A4639" s="30" t="str">
        <f>IF(C4639&amp;G4639&amp;D4639&lt;&gt;'Funnel setup'!$K$3&amp;'Funnel setup'!$K$4&amp;'Funnel setup'!$K$5,".",IF(A4638=".",1,A4638+1))</f>
        <v>.</v>
      </c>
      <c r="B4639" s="431" t="str">
        <f t="shared" si="72"/>
        <v>Knee Replacement PrimaryProviderEAST AND NORTH HERTFORDSHIRE NHS TRUST (RWH)EQ-5D Index</v>
      </c>
      <c r="C4639" t="s">
        <v>249</v>
      </c>
      <c r="D4639" t="s">
        <v>1</v>
      </c>
      <c r="E4639" t="s">
        <v>3814</v>
      </c>
      <c r="F4639" t="s">
        <v>3815</v>
      </c>
      <c r="G4639" t="s">
        <v>52</v>
      </c>
      <c r="H4639">
        <v>115</v>
      </c>
      <c r="I4639">
        <v>0.39400000000000002</v>
      </c>
      <c r="J4639">
        <v>0.745</v>
      </c>
      <c r="K4639">
        <v>0.35099999999999998</v>
      </c>
      <c r="L4639">
        <v>95</v>
      </c>
      <c r="M4639">
        <v>13</v>
      </c>
      <c r="N4639">
        <v>7</v>
      </c>
      <c r="O4639">
        <v>0.74399999999999999</v>
      </c>
      <c r="P4639">
        <v>0.319216685</v>
      </c>
      <c r="Q4639">
        <v>0.22800000000000001</v>
      </c>
    </row>
    <row r="4640" spans="1:17" x14ac:dyDescent="0.2">
      <c r="A4640" s="30" t="str">
        <f>IF(C4640&amp;G4640&amp;D4640&lt;&gt;'Funnel setup'!$K$3&amp;'Funnel setup'!$K$4&amp;'Funnel setup'!$K$5,".",IF(A4639=".",1,A4639+1))</f>
        <v>.</v>
      </c>
      <c r="B4640" s="431" t="str">
        <f t="shared" si="72"/>
        <v>Knee Replacement PrimaryProviderEAST CHESHIRE NHS TRUST (RJN)EQ-5D Index</v>
      </c>
      <c r="C4640" t="s">
        <v>249</v>
      </c>
      <c r="D4640" t="s">
        <v>1</v>
      </c>
      <c r="E4640" t="s">
        <v>3817</v>
      </c>
      <c r="F4640" t="s">
        <v>3818</v>
      </c>
      <c r="G4640" t="s">
        <v>52</v>
      </c>
      <c r="H4640">
        <v>79</v>
      </c>
      <c r="I4640">
        <v>0.44500000000000001</v>
      </c>
      <c r="J4640">
        <v>0.80500000000000005</v>
      </c>
      <c r="K4640">
        <v>0.36099999999999999</v>
      </c>
      <c r="L4640">
        <v>70</v>
      </c>
      <c r="M4640">
        <v>4</v>
      </c>
      <c r="N4640">
        <v>5</v>
      </c>
      <c r="O4640">
        <v>0.77100000000000002</v>
      </c>
      <c r="P4640">
        <v>0.345703129</v>
      </c>
      <c r="Q4640">
        <v>0.191</v>
      </c>
    </row>
    <row r="4641" spans="1:17" x14ac:dyDescent="0.2">
      <c r="A4641" s="30" t="str">
        <f>IF(C4641&amp;G4641&amp;D4641&lt;&gt;'Funnel setup'!$K$3&amp;'Funnel setup'!$K$4&amp;'Funnel setup'!$K$5,".",IF(A4640=".",1,A4640+1))</f>
        <v>.</v>
      </c>
      <c r="B4641" s="431" t="str">
        <f t="shared" si="72"/>
        <v>Knee Replacement PrimaryProviderEAST KENT HOSPITALS UNIVERSITY NHS FOUNDATION TRUST (RVV)EQ-5D Index</v>
      </c>
      <c r="C4641" t="s">
        <v>249</v>
      </c>
      <c r="D4641" t="s">
        <v>1</v>
      </c>
      <c r="E4641" t="s">
        <v>3820</v>
      </c>
      <c r="F4641" t="s">
        <v>3821</v>
      </c>
      <c r="G4641" t="s">
        <v>52</v>
      </c>
      <c r="H4641">
        <v>389</v>
      </c>
      <c r="I4641">
        <v>0.44700000000000001</v>
      </c>
      <c r="J4641">
        <v>0.74099999999999999</v>
      </c>
      <c r="K4641">
        <v>0.29499999999999998</v>
      </c>
      <c r="L4641">
        <v>307</v>
      </c>
      <c r="M4641">
        <v>43</v>
      </c>
      <c r="N4641">
        <v>39</v>
      </c>
      <c r="O4641">
        <v>0.74</v>
      </c>
      <c r="P4641">
        <v>0.31484631800000001</v>
      </c>
      <c r="Q4641">
        <v>0.23499999999999999</v>
      </c>
    </row>
    <row r="4642" spans="1:17" x14ac:dyDescent="0.2">
      <c r="A4642" s="30" t="str">
        <f>IF(C4642&amp;G4642&amp;D4642&lt;&gt;'Funnel setup'!$K$3&amp;'Funnel setup'!$K$4&amp;'Funnel setup'!$K$5,".",IF(A4641=".",1,A4641+1))</f>
        <v>.</v>
      </c>
      <c r="B4642" s="431" t="str">
        <f t="shared" si="72"/>
        <v>Knee Replacement PrimaryProviderEAST LANCASHIRE HOSPITALS NHS TRUST (RXR)EQ-5D Index</v>
      </c>
      <c r="C4642" t="s">
        <v>249</v>
      </c>
      <c r="D4642" t="s">
        <v>1</v>
      </c>
      <c r="E4642" t="s">
        <v>3823</v>
      </c>
      <c r="F4642" t="s">
        <v>3824</v>
      </c>
      <c r="G4642" t="s">
        <v>52</v>
      </c>
      <c r="H4642">
        <v>152</v>
      </c>
      <c r="I4642">
        <v>0.33400000000000002</v>
      </c>
      <c r="J4642">
        <v>0.73099999999999998</v>
      </c>
      <c r="K4642">
        <v>0.39700000000000002</v>
      </c>
      <c r="L4642">
        <v>129</v>
      </c>
      <c r="M4642">
        <v>16</v>
      </c>
      <c r="N4642">
        <v>7</v>
      </c>
      <c r="O4642">
        <v>0.77700000000000002</v>
      </c>
      <c r="P4642">
        <v>0.35179856900000001</v>
      </c>
      <c r="Q4642">
        <v>0.23</v>
      </c>
    </row>
    <row r="4643" spans="1:17" x14ac:dyDescent="0.2">
      <c r="A4643" s="30" t="str">
        <f>IF(C4643&amp;G4643&amp;D4643&lt;&gt;'Funnel setup'!$K$3&amp;'Funnel setup'!$K$4&amp;'Funnel setup'!$K$5,".",IF(A4642=".",1,A4642+1))</f>
        <v>.</v>
      </c>
      <c r="B4643" s="431" t="str">
        <f t="shared" si="72"/>
        <v>Knee Replacement PrimaryProviderEAST SUSSEX HEALTHCARE NHS TRUST (RXC)EQ-5D Index</v>
      </c>
      <c r="C4643" t="s">
        <v>249</v>
      </c>
      <c r="D4643" t="s">
        <v>1</v>
      </c>
      <c r="E4643" t="s">
        <v>3826</v>
      </c>
      <c r="F4643" t="s">
        <v>3827</v>
      </c>
      <c r="G4643" t="s">
        <v>52</v>
      </c>
      <c r="H4643">
        <v>294</v>
      </c>
      <c r="I4643">
        <v>0.42899999999999999</v>
      </c>
      <c r="J4643">
        <v>0.73099999999999998</v>
      </c>
      <c r="K4643">
        <v>0.30199999999999999</v>
      </c>
      <c r="L4643">
        <v>243</v>
      </c>
      <c r="M4643">
        <v>20</v>
      </c>
      <c r="N4643">
        <v>31</v>
      </c>
      <c r="O4643">
        <v>0.73699999999999999</v>
      </c>
      <c r="P4643">
        <v>0.31234696899999997</v>
      </c>
      <c r="Q4643">
        <v>0.248</v>
      </c>
    </row>
    <row r="4644" spans="1:17" x14ac:dyDescent="0.2">
      <c r="A4644" s="30" t="str">
        <f>IF(C4644&amp;G4644&amp;D4644&lt;&gt;'Funnel setup'!$K$3&amp;'Funnel setup'!$K$4&amp;'Funnel setup'!$K$5,".",IF(A4643=".",1,A4643+1))</f>
        <v>.</v>
      </c>
      <c r="B4644" s="431" t="str">
        <f t="shared" si="72"/>
        <v>Knee Replacement PrimaryProviderEMERSONS GREEN NHS TREATMENT CENTRE (NTPH2)EQ-5D Index</v>
      </c>
      <c r="C4644" t="s">
        <v>249</v>
      </c>
      <c r="D4644" t="s">
        <v>1</v>
      </c>
      <c r="E4644" t="s">
        <v>3829</v>
      </c>
      <c r="F4644" t="s">
        <v>3830</v>
      </c>
      <c r="G4644" t="s">
        <v>52</v>
      </c>
      <c r="H4644">
        <v>347</v>
      </c>
      <c r="I4644">
        <v>0.48899999999999999</v>
      </c>
      <c r="J4644">
        <v>0.80400000000000005</v>
      </c>
      <c r="K4644">
        <v>0.316</v>
      </c>
      <c r="L4644">
        <v>298</v>
      </c>
      <c r="M4644">
        <v>25</v>
      </c>
      <c r="N4644">
        <v>24</v>
      </c>
      <c r="O4644">
        <v>0.76100000000000001</v>
      </c>
      <c r="P4644">
        <v>0.33561444299999998</v>
      </c>
      <c r="Q4644">
        <v>0.183</v>
      </c>
    </row>
    <row r="4645" spans="1:17" x14ac:dyDescent="0.2">
      <c r="A4645" s="30" t="str">
        <f>IF(C4645&amp;G4645&amp;D4645&lt;&gt;'Funnel setup'!$K$3&amp;'Funnel setup'!$K$4&amp;'Funnel setup'!$K$5,".",IF(A4644=".",1,A4644+1))</f>
        <v>.</v>
      </c>
      <c r="B4645" s="431" t="str">
        <f t="shared" si="72"/>
        <v>Knee Replacement PrimaryProviderEPSOM AND ST HELIER UNIVERSITY HOSPITALS NHS TRUST (RVR)EQ-5D Index</v>
      </c>
      <c r="C4645" t="s">
        <v>249</v>
      </c>
      <c r="D4645" t="s">
        <v>1</v>
      </c>
      <c r="E4645" t="s">
        <v>3849</v>
      </c>
      <c r="F4645" t="s">
        <v>3850</v>
      </c>
      <c r="G4645" t="s">
        <v>52</v>
      </c>
      <c r="H4645">
        <v>432</v>
      </c>
      <c r="I4645">
        <v>0.44400000000000001</v>
      </c>
      <c r="J4645">
        <v>0.71</v>
      </c>
      <c r="K4645">
        <v>0.26700000000000002</v>
      </c>
      <c r="L4645">
        <v>324</v>
      </c>
      <c r="M4645">
        <v>58</v>
      </c>
      <c r="N4645">
        <v>50</v>
      </c>
      <c r="O4645">
        <v>0.69599999999999995</v>
      </c>
      <c r="P4645">
        <v>0.27150422499999999</v>
      </c>
      <c r="Q4645">
        <v>0.22800000000000001</v>
      </c>
    </row>
    <row r="4646" spans="1:17" x14ac:dyDescent="0.2">
      <c r="A4646" s="30" t="str">
        <f>IF(C4646&amp;G4646&amp;D4646&lt;&gt;'Funnel setup'!$K$3&amp;'Funnel setup'!$K$4&amp;'Funnel setup'!$K$5,".",IF(A4645=".",1,A4645+1))</f>
        <v>.</v>
      </c>
      <c r="B4646" s="431" t="str">
        <f t="shared" si="72"/>
        <v>Knee Replacement PrimaryProviderEUXTON HALL HOSPITAL (NVC05)EQ-5D Index</v>
      </c>
      <c r="C4646" t="s">
        <v>249</v>
      </c>
      <c r="D4646" t="s">
        <v>1</v>
      </c>
      <c r="E4646" t="s">
        <v>3852</v>
      </c>
      <c r="F4646" t="s">
        <v>3853</v>
      </c>
      <c r="G4646" t="s">
        <v>52</v>
      </c>
      <c r="H4646">
        <v>88</v>
      </c>
      <c r="I4646">
        <v>0.49099999999999999</v>
      </c>
      <c r="J4646">
        <v>0.76600000000000001</v>
      </c>
      <c r="K4646">
        <v>0.27500000000000002</v>
      </c>
      <c r="L4646">
        <v>68</v>
      </c>
      <c r="M4646">
        <v>10</v>
      </c>
      <c r="N4646">
        <v>10</v>
      </c>
      <c r="O4646">
        <v>0.72299999999999998</v>
      </c>
      <c r="P4646">
        <v>0.298501972</v>
      </c>
      <c r="Q4646">
        <v>0.19600000000000001</v>
      </c>
    </row>
    <row r="4647" spans="1:17" x14ac:dyDescent="0.2">
      <c r="A4647" s="30" t="str">
        <f>IF(C4647&amp;G4647&amp;D4647&lt;&gt;'Funnel setup'!$K$3&amp;'Funnel setup'!$K$4&amp;'Funnel setup'!$K$5,".",IF(A4646=".",1,A4646+1))</f>
        <v>.</v>
      </c>
      <c r="B4647" s="431" t="str">
        <f t="shared" si="72"/>
        <v>Knee Replacement PrimaryProviderFAIRFIELD HOSPITAL (NVG01)EQ-5D Index</v>
      </c>
      <c r="C4647" t="s">
        <v>249</v>
      </c>
      <c r="D4647" t="s">
        <v>1</v>
      </c>
      <c r="E4647" t="s">
        <v>3855</v>
      </c>
      <c r="F4647" t="s">
        <v>3856</v>
      </c>
      <c r="G4647" t="s">
        <v>52</v>
      </c>
      <c r="H4647">
        <v>8</v>
      </c>
      <c r="I4647">
        <v>0.28599999999999998</v>
      </c>
      <c r="J4647">
        <v>0.78900000000000003</v>
      </c>
      <c r="K4647">
        <v>0.504</v>
      </c>
      <c r="L4647">
        <v>7</v>
      </c>
      <c r="M4647">
        <v>1</v>
      </c>
      <c r="N4647">
        <v>0</v>
      </c>
      <c r="O4647" t="s">
        <v>53</v>
      </c>
      <c r="P4647" t="s">
        <v>53</v>
      </c>
      <c r="Q4647" t="s">
        <v>53</v>
      </c>
    </row>
    <row r="4648" spans="1:17" x14ac:dyDescent="0.2">
      <c r="A4648" s="30" t="str">
        <f>IF(C4648&amp;G4648&amp;D4648&lt;&gt;'Funnel setup'!$K$3&amp;'Funnel setup'!$K$4&amp;'Funnel setup'!$K$5,".",IF(A4647=".",1,A4647+1))</f>
        <v>.</v>
      </c>
      <c r="B4648" s="431" t="str">
        <f t="shared" si="72"/>
        <v>Knee Replacement PrimaryProviderFITZWILLIAM HOSPITAL (NVC06)EQ-5D Index</v>
      </c>
      <c r="C4648" t="s">
        <v>249</v>
      </c>
      <c r="D4648" t="s">
        <v>1</v>
      </c>
      <c r="E4648" t="s">
        <v>3858</v>
      </c>
      <c r="F4648" t="s">
        <v>3859</v>
      </c>
      <c r="G4648" t="s">
        <v>52</v>
      </c>
      <c r="H4648">
        <v>132</v>
      </c>
      <c r="I4648">
        <v>0.50700000000000001</v>
      </c>
      <c r="J4648">
        <v>0.75700000000000001</v>
      </c>
      <c r="K4648">
        <v>0.249</v>
      </c>
      <c r="L4648">
        <v>102</v>
      </c>
      <c r="M4648">
        <v>15</v>
      </c>
      <c r="N4648">
        <v>15</v>
      </c>
      <c r="O4648">
        <v>0.72099999999999997</v>
      </c>
      <c r="P4648">
        <v>0.295940916</v>
      </c>
      <c r="Q4648">
        <v>0.222</v>
      </c>
    </row>
    <row r="4649" spans="1:17" x14ac:dyDescent="0.2">
      <c r="A4649" s="30" t="str">
        <f>IF(C4649&amp;G4649&amp;D4649&lt;&gt;'Funnel setup'!$K$3&amp;'Funnel setup'!$K$4&amp;'Funnel setup'!$K$5,".",IF(A4648=".",1,A4648+1))</f>
        <v>.</v>
      </c>
      <c r="B4649" s="431" t="str">
        <f t="shared" si="72"/>
        <v>Knee Replacement PrimaryProviderFOSCOTE COURT (BANBURY) TRUST LTD (AHH)EQ-5D Index</v>
      </c>
      <c r="C4649" t="s">
        <v>249</v>
      </c>
      <c r="D4649" t="s">
        <v>1</v>
      </c>
      <c r="E4649" t="s">
        <v>3900</v>
      </c>
      <c r="F4649" t="s">
        <v>3901</v>
      </c>
      <c r="G4649" t="s">
        <v>52</v>
      </c>
      <c r="H4649" t="s">
        <v>53</v>
      </c>
      <c r="I4649" t="s">
        <v>53</v>
      </c>
      <c r="J4649" t="s">
        <v>53</v>
      </c>
      <c r="K4649" t="s">
        <v>53</v>
      </c>
      <c r="L4649" t="s">
        <v>53</v>
      </c>
      <c r="M4649" t="s">
        <v>53</v>
      </c>
      <c r="N4649" t="s">
        <v>53</v>
      </c>
      <c r="O4649" t="s">
        <v>53</v>
      </c>
      <c r="P4649" t="s">
        <v>53</v>
      </c>
      <c r="Q4649" t="s">
        <v>53</v>
      </c>
    </row>
    <row r="4650" spans="1:17" x14ac:dyDescent="0.2">
      <c r="A4650" s="30" t="str">
        <f>IF(C4650&amp;G4650&amp;D4650&lt;&gt;'Funnel setup'!$K$3&amp;'Funnel setup'!$K$4&amp;'Funnel setup'!$K$5,".",IF(A4649=".",1,A4649+1))</f>
        <v>.</v>
      </c>
      <c r="B4650" s="431" t="str">
        <f t="shared" si="72"/>
        <v>Knee Replacement PrimaryProviderFRIMLEY HEALTH NHS FOUNDATION TRUST (RDU)EQ-5D Index</v>
      </c>
      <c r="C4650" t="s">
        <v>249</v>
      </c>
      <c r="D4650" t="s">
        <v>1</v>
      </c>
      <c r="E4650" t="s">
        <v>3861</v>
      </c>
      <c r="F4650" t="s">
        <v>3862</v>
      </c>
      <c r="G4650" t="s">
        <v>52</v>
      </c>
      <c r="H4650">
        <v>436</v>
      </c>
      <c r="I4650">
        <v>0.48199999999999998</v>
      </c>
      <c r="J4650">
        <v>0.75800000000000001</v>
      </c>
      <c r="K4650">
        <v>0.27600000000000002</v>
      </c>
      <c r="L4650">
        <v>342</v>
      </c>
      <c r="M4650">
        <v>43</v>
      </c>
      <c r="N4650">
        <v>51</v>
      </c>
      <c r="O4650">
        <v>0.72799999999999998</v>
      </c>
      <c r="P4650">
        <v>0.30339722800000002</v>
      </c>
      <c r="Q4650">
        <v>0.20399999999999999</v>
      </c>
    </row>
    <row r="4651" spans="1:17" x14ac:dyDescent="0.2">
      <c r="A4651" s="30" t="str">
        <f>IF(C4651&amp;G4651&amp;D4651&lt;&gt;'Funnel setup'!$K$3&amp;'Funnel setup'!$K$4&amp;'Funnel setup'!$K$5,".",IF(A4650=".",1,A4650+1))</f>
        <v>.</v>
      </c>
      <c r="B4651" s="431" t="str">
        <f t="shared" si="72"/>
        <v>Knee Replacement PrimaryProviderFULWOOD HALL HOSPITAL (NVC07)EQ-5D Index</v>
      </c>
      <c r="C4651" t="s">
        <v>249</v>
      </c>
      <c r="D4651" t="s">
        <v>1</v>
      </c>
      <c r="E4651" t="s">
        <v>3864</v>
      </c>
      <c r="F4651" t="s">
        <v>3865</v>
      </c>
      <c r="G4651" t="s">
        <v>52</v>
      </c>
      <c r="H4651">
        <v>211</v>
      </c>
      <c r="I4651">
        <v>0.49099999999999999</v>
      </c>
      <c r="J4651">
        <v>0.78300000000000003</v>
      </c>
      <c r="K4651">
        <v>0.29199999999999998</v>
      </c>
      <c r="L4651">
        <v>169</v>
      </c>
      <c r="M4651">
        <v>24</v>
      </c>
      <c r="N4651">
        <v>18</v>
      </c>
      <c r="O4651">
        <v>0.753</v>
      </c>
      <c r="P4651">
        <v>0.32822743100000001</v>
      </c>
      <c r="Q4651">
        <v>0.184</v>
      </c>
    </row>
    <row r="4652" spans="1:17" x14ac:dyDescent="0.2">
      <c r="A4652" s="30" t="str">
        <f>IF(C4652&amp;G4652&amp;D4652&lt;&gt;'Funnel setup'!$K$3&amp;'Funnel setup'!$K$4&amp;'Funnel setup'!$K$5,".",IF(A4651=".",1,A4651+1))</f>
        <v>.</v>
      </c>
      <c r="B4652" s="431" t="str">
        <f t="shared" si="72"/>
        <v>Knee Replacement PrimaryProviderGATESHEAD HEALTH NHS FOUNDATION TRUST (RR7)EQ-5D Index</v>
      </c>
      <c r="C4652" t="s">
        <v>249</v>
      </c>
      <c r="D4652" t="s">
        <v>1</v>
      </c>
      <c r="E4652" t="s">
        <v>3867</v>
      </c>
      <c r="F4652" t="s">
        <v>3868</v>
      </c>
      <c r="G4652" t="s">
        <v>52</v>
      </c>
      <c r="H4652">
        <v>266</v>
      </c>
      <c r="I4652">
        <v>0.38700000000000001</v>
      </c>
      <c r="J4652">
        <v>0.71699999999999997</v>
      </c>
      <c r="K4652">
        <v>0.33</v>
      </c>
      <c r="L4652">
        <v>208</v>
      </c>
      <c r="M4652">
        <v>28</v>
      </c>
      <c r="N4652">
        <v>30</v>
      </c>
      <c r="O4652">
        <v>0.73499999999999999</v>
      </c>
      <c r="P4652">
        <v>0.309807791</v>
      </c>
      <c r="Q4652">
        <v>0.221</v>
      </c>
    </row>
    <row r="4653" spans="1:17" x14ac:dyDescent="0.2">
      <c r="A4653" s="30" t="str">
        <f>IF(C4653&amp;G4653&amp;D4653&lt;&gt;'Funnel setup'!$K$3&amp;'Funnel setup'!$K$4&amp;'Funnel setup'!$K$5,".",IF(A4652=".",1,A4652+1))</f>
        <v>.</v>
      </c>
      <c r="B4653" s="431" t="str">
        <f t="shared" si="72"/>
        <v>Knee Replacement PrimaryProviderGEORGE ELIOT HOSPITAL NHS TRUST (RLT)EQ-5D Index</v>
      </c>
      <c r="C4653" t="s">
        <v>249</v>
      </c>
      <c r="D4653" t="s">
        <v>1</v>
      </c>
      <c r="E4653" t="s">
        <v>3870</v>
      </c>
      <c r="F4653" t="s">
        <v>3871</v>
      </c>
      <c r="G4653" t="s">
        <v>52</v>
      </c>
      <c r="H4653">
        <v>49</v>
      </c>
      <c r="I4653">
        <v>0.34100000000000003</v>
      </c>
      <c r="J4653">
        <v>0.70499999999999996</v>
      </c>
      <c r="K4653">
        <v>0.36399999999999999</v>
      </c>
      <c r="L4653">
        <v>42</v>
      </c>
      <c r="M4653">
        <v>4</v>
      </c>
      <c r="N4653">
        <v>3</v>
      </c>
      <c r="O4653">
        <v>0.74399999999999999</v>
      </c>
      <c r="P4653">
        <v>0.31851537200000002</v>
      </c>
      <c r="Q4653">
        <v>0.223</v>
      </c>
    </row>
    <row r="4654" spans="1:17" x14ac:dyDescent="0.2">
      <c r="A4654" s="30" t="str">
        <f>IF(C4654&amp;G4654&amp;D4654&lt;&gt;'Funnel setup'!$K$3&amp;'Funnel setup'!$K$4&amp;'Funnel setup'!$K$5,".",IF(A4653=".",1,A4653+1))</f>
        <v>.</v>
      </c>
      <c r="B4654" s="431" t="str">
        <f t="shared" si="72"/>
        <v>Knee Replacement PrimaryProviderGLOUCESTERSHIRE HOSPITALS NHS FOUNDATION TRUST (RTE)EQ-5D Index</v>
      </c>
      <c r="C4654" t="s">
        <v>249</v>
      </c>
      <c r="D4654" t="s">
        <v>1</v>
      </c>
      <c r="E4654" t="s">
        <v>3873</v>
      </c>
      <c r="F4654" t="s">
        <v>3874</v>
      </c>
      <c r="G4654" t="s">
        <v>52</v>
      </c>
      <c r="H4654">
        <v>312</v>
      </c>
      <c r="I4654">
        <v>0.45800000000000002</v>
      </c>
      <c r="J4654">
        <v>0.77400000000000002</v>
      </c>
      <c r="K4654">
        <v>0.316</v>
      </c>
      <c r="L4654">
        <v>253</v>
      </c>
      <c r="M4654">
        <v>34</v>
      </c>
      <c r="N4654">
        <v>25</v>
      </c>
      <c r="O4654">
        <v>0.747</v>
      </c>
      <c r="P4654">
        <v>0.32203377100000002</v>
      </c>
      <c r="Q4654">
        <v>0.20899999999999999</v>
      </c>
    </row>
    <row r="4655" spans="1:17" x14ac:dyDescent="0.2">
      <c r="A4655" s="30" t="str">
        <f>IF(C4655&amp;G4655&amp;D4655&lt;&gt;'Funnel setup'!$K$3&amp;'Funnel setup'!$K$4&amp;'Funnel setup'!$K$5,".",IF(A4654=".",1,A4654+1))</f>
        <v>.</v>
      </c>
      <c r="B4655" s="431" t="str">
        <f t="shared" si="72"/>
        <v>Knee Replacement PrimaryProviderGREAT WESTERN HOSPITALS NHS FOUNDATION TRUST (RN3)EQ-5D Index</v>
      </c>
      <c r="C4655" t="s">
        <v>249</v>
      </c>
      <c r="D4655" t="s">
        <v>1</v>
      </c>
      <c r="E4655" t="s">
        <v>3876</v>
      </c>
      <c r="F4655" t="s">
        <v>3877</v>
      </c>
      <c r="G4655" t="s">
        <v>52</v>
      </c>
      <c r="H4655">
        <v>203</v>
      </c>
      <c r="I4655">
        <v>0.42099999999999999</v>
      </c>
      <c r="J4655">
        <v>0.75600000000000001</v>
      </c>
      <c r="K4655">
        <v>0.33500000000000002</v>
      </c>
      <c r="L4655">
        <v>166</v>
      </c>
      <c r="M4655">
        <v>16</v>
      </c>
      <c r="N4655">
        <v>21</v>
      </c>
      <c r="O4655">
        <v>0.748</v>
      </c>
      <c r="P4655">
        <v>0.32286626000000002</v>
      </c>
      <c r="Q4655">
        <v>0.24</v>
      </c>
    </row>
    <row r="4656" spans="1:17" x14ac:dyDescent="0.2">
      <c r="A4656" s="30" t="str">
        <f>IF(C4656&amp;G4656&amp;D4656&lt;&gt;'Funnel setup'!$K$3&amp;'Funnel setup'!$K$4&amp;'Funnel setup'!$K$5,".",IF(A4655=".",1,A4655+1))</f>
        <v>.</v>
      </c>
      <c r="B4656" s="431" t="str">
        <f t="shared" si="72"/>
        <v>Knee Replacement PrimaryProviderGUY'S AND ST THOMAS' NHS FOUNDATION TRUST (RJ1)EQ-5D Index</v>
      </c>
      <c r="C4656" t="s">
        <v>249</v>
      </c>
      <c r="D4656" t="s">
        <v>1</v>
      </c>
      <c r="E4656" t="s">
        <v>3879</v>
      </c>
      <c r="F4656" t="s">
        <v>3880</v>
      </c>
      <c r="G4656" t="s">
        <v>52</v>
      </c>
      <c r="H4656">
        <v>102</v>
      </c>
      <c r="I4656">
        <v>0.29099999999999998</v>
      </c>
      <c r="J4656">
        <v>0.63200000000000001</v>
      </c>
      <c r="K4656">
        <v>0.34</v>
      </c>
      <c r="L4656">
        <v>87</v>
      </c>
      <c r="M4656">
        <v>7</v>
      </c>
      <c r="N4656">
        <v>8</v>
      </c>
      <c r="O4656">
        <v>0.69099999999999995</v>
      </c>
      <c r="P4656">
        <v>0.26586160599999997</v>
      </c>
      <c r="Q4656">
        <v>0.26400000000000001</v>
      </c>
    </row>
    <row r="4657" spans="1:17" x14ac:dyDescent="0.2">
      <c r="A4657" s="30" t="str">
        <f>IF(C4657&amp;G4657&amp;D4657&lt;&gt;'Funnel setup'!$K$3&amp;'Funnel setup'!$K$4&amp;'Funnel setup'!$K$5,".",IF(A4656=".",1,A4656+1))</f>
        <v>.</v>
      </c>
      <c r="B4657" s="431" t="str">
        <f t="shared" si="72"/>
        <v>Knee Replacement PrimaryProviderHAMPSHIRE HOSPITALS NHS FOUNDATION TRUST (RN5)EQ-5D Index</v>
      </c>
      <c r="C4657" t="s">
        <v>249</v>
      </c>
      <c r="D4657" t="s">
        <v>1</v>
      </c>
      <c r="E4657" t="s">
        <v>3882</v>
      </c>
      <c r="F4657" t="s">
        <v>3883</v>
      </c>
      <c r="G4657" t="s">
        <v>52</v>
      </c>
      <c r="H4657">
        <v>259</v>
      </c>
      <c r="I4657">
        <v>0.49199999999999999</v>
      </c>
      <c r="J4657">
        <v>0.76900000000000002</v>
      </c>
      <c r="K4657">
        <v>0.27700000000000002</v>
      </c>
      <c r="L4657">
        <v>213</v>
      </c>
      <c r="M4657">
        <v>22</v>
      </c>
      <c r="N4657">
        <v>24</v>
      </c>
      <c r="O4657">
        <v>0.74</v>
      </c>
      <c r="P4657">
        <v>0.31535203699999997</v>
      </c>
      <c r="Q4657">
        <v>0.2</v>
      </c>
    </row>
    <row r="4658" spans="1:17" x14ac:dyDescent="0.2">
      <c r="A4658" s="30" t="str">
        <f>IF(C4658&amp;G4658&amp;D4658&lt;&gt;'Funnel setup'!$K$3&amp;'Funnel setup'!$K$4&amp;'Funnel setup'!$K$5,".",IF(A4657=".",1,A4657+1))</f>
        <v>.</v>
      </c>
      <c r="B4658" s="431" t="str">
        <f t="shared" si="72"/>
        <v>Knee Replacement PrimaryProviderHARROGATE AND DISTRICT NHS FOUNDATION TRUST (RCD)EQ-5D Index</v>
      </c>
      <c r="C4658" t="s">
        <v>249</v>
      </c>
      <c r="D4658" t="s">
        <v>1</v>
      </c>
      <c r="E4658" t="s">
        <v>3885</v>
      </c>
      <c r="F4658" t="s">
        <v>3886</v>
      </c>
      <c r="G4658" t="s">
        <v>52</v>
      </c>
      <c r="H4658">
        <v>208</v>
      </c>
      <c r="I4658">
        <v>0.52400000000000002</v>
      </c>
      <c r="J4658">
        <v>0.77500000000000002</v>
      </c>
      <c r="K4658">
        <v>0.251</v>
      </c>
      <c r="L4658">
        <v>164</v>
      </c>
      <c r="M4658">
        <v>22</v>
      </c>
      <c r="N4658">
        <v>22</v>
      </c>
      <c r="O4658">
        <v>0.72899999999999998</v>
      </c>
      <c r="P4658">
        <v>0.30446725600000002</v>
      </c>
      <c r="Q4658">
        <v>0.21</v>
      </c>
    </row>
    <row r="4659" spans="1:17" x14ac:dyDescent="0.2">
      <c r="A4659" s="30" t="str">
        <f>IF(C4659&amp;G4659&amp;D4659&lt;&gt;'Funnel setup'!$K$3&amp;'Funnel setup'!$K$4&amp;'Funnel setup'!$K$5,".",IF(A4658=".",1,A4658+1))</f>
        <v>.</v>
      </c>
      <c r="B4659" s="431" t="str">
        <f t="shared" si="72"/>
        <v>Knee Replacement PrimaryProviderHEART OF ENGLAND NHS FOUNDATION TRUST (RR1)EQ-5D Index</v>
      </c>
      <c r="C4659" t="s">
        <v>249</v>
      </c>
      <c r="D4659" t="s">
        <v>1</v>
      </c>
      <c r="E4659" t="s">
        <v>3888</v>
      </c>
      <c r="F4659" t="s">
        <v>3889</v>
      </c>
      <c r="G4659" t="s">
        <v>52</v>
      </c>
      <c r="H4659">
        <v>481</v>
      </c>
      <c r="I4659">
        <v>0.38100000000000001</v>
      </c>
      <c r="J4659">
        <v>0.68899999999999995</v>
      </c>
      <c r="K4659">
        <v>0.307</v>
      </c>
      <c r="L4659">
        <v>381</v>
      </c>
      <c r="M4659">
        <v>44</v>
      </c>
      <c r="N4659">
        <v>56</v>
      </c>
      <c r="O4659">
        <v>0.72</v>
      </c>
      <c r="P4659">
        <v>0.29548739699999998</v>
      </c>
      <c r="Q4659">
        <v>0.245</v>
      </c>
    </row>
    <row r="4660" spans="1:17" x14ac:dyDescent="0.2">
      <c r="A4660" s="30" t="str">
        <f>IF(C4660&amp;G4660&amp;D4660&lt;&gt;'Funnel setup'!$K$3&amp;'Funnel setup'!$K$4&amp;'Funnel setup'!$K$5,".",IF(A4659=".",1,A4659+1))</f>
        <v>.</v>
      </c>
      <c r="B4660" s="431" t="str">
        <f t="shared" si="72"/>
        <v>Knee Replacement PrimaryProviderHINCHINGBROOKE HEALTH CARE NHS TRUST (RQQ)EQ-5D Index</v>
      </c>
      <c r="C4660" t="s">
        <v>249</v>
      </c>
      <c r="D4660" t="s">
        <v>1</v>
      </c>
      <c r="E4660" t="s">
        <v>3894</v>
      </c>
      <c r="F4660" t="s">
        <v>3895</v>
      </c>
      <c r="G4660" t="s">
        <v>52</v>
      </c>
      <c r="H4660">
        <v>176</v>
      </c>
      <c r="I4660">
        <v>0.36899999999999999</v>
      </c>
      <c r="J4660">
        <v>0.752</v>
      </c>
      <c r="K4660">
        <v>0.38200000000000001</v>
      </c>
      <c r="L4660">
        <v>154</v>
      </c>
      <c r="M4660">
        <v>12</v>
      </c>
      <c r="N4660">
        <v>10</v>
      </c>
      <c r="O4660">
        <v>0.755</v>
      </c>
      <c r="P4660">
        <v>0.330136553</v>
      </c>
      <c r="Q4660">
        <v>0.21199999999999999</v>
      </c>
    </row>
    <row r="4661" spans="1:17" x14ac:dyDescent="0.2">
      <c r="A4661" s="30" t="str">
        <f>IF(C4661&amp;G4661&amp;D4661&lt;&gt;'Funnel setup'!$K$3&amp;'Funnel setup'!$K$4&amp;'Funnel setup'!$K$5,".",IF(A4660=".",1,A4660+1))</f>
        <v>.</v>
      </c>
      <c r="B4661" s="431" t="str">
        <f t="shared" si="72"/>
        <v>Knee Replacement PrimaryProviderHOMERTON UNIVERSITY HOSPITAL NHS FOUNDATION TRUST (RQX)EQ-5D Index</v>
      </c>
      <c r="C4661" t="s">
        <v>249</v>
      </c>
      <c r="D4661" t="s">
        <v>1</v>
      </c>
      <c r="E4661" t="s">
        <v>3897</v>
      </c>
      <c r="F4661" t="s">
        <v>3898</v>
      </c>
      <c r="G4661" t="s">
        <v>52</v>
      </c>
      <c r="H4661">
        <v>52</v>
      </c>
      <c r="I4661">
        <v>0.34599999999999997</v>
      </c>
      <c r="J4661">
        <v>0.55700000000000005</v>
      </c>
      <c r="K4661">
        <v>0.21099999999999999</v>
      </c>
      <c r="L4661">
        <v>29</v>
      </c>
      <c r="M4661">
        <v>6</v>
      </c>
      <c r="N4661">
        <v>17</v>
      </c>
      <c r="O4661">
        <v>0.65400000000000003</v>
      </c>
      <c r="P4661">
        <v>0.22909823600000001</v>
      </c>
      <c r="Q4661">
        <v>0.28100000000000003</v>
      </c>
    </row>
    <row r="4662" spans="1:17" x14ac:dyDescent="0.2">
      <c r="A4662" s="30" t="str">
        <f>IF(C4662&amp;G4662&amp;D4662&lt;&gt;'Funnel setup'!$K$3&amp;'Funnel setup'!$K$4&amp;'Funnel setup'!$K$5,".",IF(A4661=".",1,A4661+1))</f>
        <v>.</v>
      </c>
      <c r="B4662" s="431" t="str">
        <f t="shared" si="72"/>
        <v>Knee Replacement PrimaryProviderHORTON NHS TREATMENT CENTRE (NVC25)EQ-5D Index</v>
      </c>
      <c r="C4662" t="s">
        <v>249</v>
      </c>
      <c r="D4662" t="s">
        <v>1</v>
      </c>
      <c r="E4662" t="s">
        <v>4553</v>
      </c>
      <c r="F4662" t="s">
        <v>4554</v>
      </c>
      <c r="G4662" t="s">
        <v>52</v>
      </c>
      <c r="H4662">
        <v>148</v>
      </c>
      <c r="I4662">
        <v>0.47699999999999998</v>
      </c>
      <c r="J4662">
        <v>0.81100000000000005</v>
      </c>
      <c r="K4662">
        <v>0.33400000000000002</v>
      </c>
      <c r="L4662">
        <v>124</v>
      </c>
      <c r="M4662">
        <v>11</v>
      </c>
      <c r="N4662">
        <v>13</v>
      </c>
      <c r="O4662">
        <v>0.76500000000000001</v>
      </c>
      <c r="P4662">
        <v>0.33985639200000001</v>
      </c>
      <c r="Q4662">
        <v>0.21299999999999999</v>
      </c>
    </row>
    <row r="4663" spans="1:17" x14ac:dyDescent="0.2">
      <c r="A4663" s="30" t="str">
        <f>IF(C4663&amp;G4663&amp;D4663&lt;&gt;'Funnel setup'!$K$3&amp;'Funnel setup'!$K$4&amp;'Funnel setup'!$K$5,".",IF(A4662=".",1,A4662+1))</f>
        <v>.</v>
      </c>
      <c r="B4663" s="431" t="str">
        <f t="shared" si="72"/>
        <v>Knee Replacement PrimaryProviderHULL AND EAST YORKSHIRE HOSPITALS NHS TRUST (RWA)EQ-5D Index</v>
      </c>
      <c r="C4663" t="s">
        <v>249</v>
      </c>
      <c r="D4663" t="s">
        <v>1</v>
      </c>
      <c r="E4663" t="s">
        <v>3906</v>
      </c>
      <c r="F4663" t="s">
        <v>3907</v>
      </c>
      <c r="G4663" t="s">
        <v>52</v>
      </c>
      <c r="H4663">
        <v>263</v>
      </c>
      <c r="I4663">
        <v>0.40400000000000003</v>
      </c>
      <c r="J4663">
        <v>0.71599999999999997</v>
      </c>
      <c r="K4663">
        <v>0.312</v>
      </c>
      <c r="L4663">
        <v>211</v>
      </c>
      <c r="M4663">
        <v>21</v>
      </c>
      <c r="N4663">
        <v>31</v>
      </c>
      <c r="O4663">
        <v>0.72899999999999998</v>
      </c>
      <c r="P4663">
        <v>0.304232061</v>
      </c>
      <c r="Q4663">
        <v>0.24299999999999999</v>
      </c>
    </row>
    <row r="4664" spans="1:17" x14ac:dyDescent="0.2">
      <c r="A4664" s="30" t="str">
        <f>IF(C4664&amp;G4664&amp;D4664&lt;&gt;'Funnel setup'!$K$3&amp;'Funnel setup'!$K$4&amp;'Funnel setup'!$K$5,".",IF(A4663=".",1,A4663+1))</f>
        <v>.</v>
      </c>
      <c r="B4664" s="431" t="str">
        <f t="shared" si="72"/>
        <v>Knee Replacement PrimaryProviderIMPERIAL COLLEGE HEALTHCARE NHS TRUST (RYJ)EQ-5D Index</v>
      </c>
      <c r="C4664" t="s">
        <v>249</v>
      </c>
      <c r="D4664" t="s">
        <v>1</v>
      </c>
      <c r="E4664" t="s">
        <v>4558</v>
      </c>
      <c r="F4664" t="s">
        <v>4559</v>
      </c>
      <c r="G4664" t="s">
        <v>52</v>
      </c>
      <c r="H4664">
        <v>62</v>
      </c>
      <c r="I4664">
        <v>0.29899999999999999</v>
      </c>
      <c r="J4664">
        <v>0.67400000000000004</v>
      </c>
      <c r="K4664">
        <v>0.375</v>
      </c>
      <c r="L4664">
        <v>51</v>
      </c>
      <c r="M4664">
        <v>3</v>
      </c>
      <c r="N4664">
        <v>8</v>
      </c>
      <c r="O4664">
        <v>0.747</v>
      </c>
      <c r="P4664">
        <v>0.32248068200000002</v>
      </c>
      <c r="Q4664">
        <v>0.255</v>
      </c>
    </row>
    <row r="4665" spans="1:17" x14ac:dyDescent="0.2">
      <c r="A4665" s="30" t="str">
        <f>IF(C4665&amp;G4665&amp;D4665&lt;&gt;'Funnel setup'!$K$3&amp;'Funnel setup'!$K$4&amp;'Funnel setup'!$K$5,".",IF(A4664=".",1,A4664+1))</f>
        <v>.</v>
      </c>
      <c r="B4665" s="431" t="str">
        <f t="shared" si="72"/>
        <v>Knee Replacement PrimaryProviderIPSWICH HOSPITAL NHS TRUST (RGQ)EQ-5D Index</v>
      </c>
      <c r="C4665" t="s">
        <v>249</v>
      </c>
      <c r="D4665" t="s">
        <v>1</v>
      </c>
      <c r="E4665" t="s">
        <v>3909</v>
      </c>
      <c r="F4665" t="s">
        <v>3910</v>
      </c>
      <c r="G4665" t="s">
        <v>52</v>
      </c>
      <c r="H4665">
        <v>107</v>
      </c>
      <c r="I4665">
        <v>0.39900000000000002</v>
      </c>
      <c r="J4665">
        <v>0.79800000000000004</v>
      </c>
      <c r="K4665">
        <v>0.39900000000000002</v>
      </c>
      <c r="L4665">
        <v>96</v>
      </c>
      <c r="M4665">
        <v>6</v>
      </c>
      <c r="N4665">
        <v>5</v>
      </c>
      <c r="O4665">
        <v>0.78900000000000003</v>
      </c>
      <c r="P4665">
        <v>0.36449510000000002</v>
      </c>
      <c r="Q4665">
        <v>0.21</v>
      </c>
    </row>
    <row r="4666" spans="1:17" x14ac:dyDescent="0.2">
      <c r="A4666" s="30" t="str">
        <f>IF(C4666&amp;G4666&amp;D4666&lt;&gt;'Funnel setup'!$K$3&amp;'Funnel setup'!$K$4&amp;'Funnel setup'!$K$5,".",IF(A4665=".",1,A4665+1))</f>
        <v>.</v>
      </c>
      <c r="B4666" s="431" t="str">
        <f t="shared" si="72"/>
        <v>Knee Replacement PrimaryProviderISLE OF WIGHT NHS TRUST (R1F)EQ-5D Index</v>
      </c>
      <c r="C4666" t="s">
        <v>249</v>
      </c>
      <c r="D4666" t="s">
        <v>1</v>
      </c>
      <c r="E4666" t="s">
        <v>3912</v>
      </c>
      <c r="F4666" t="s">
        <v>3913</v>
      </c>
      <c r="G4666" t="s">
        <v>52</v>
      </c>
      <c r="H4666">
        <v>84</v>
      </c>
      <c r="I4666">
        <v>0.45300000000000001</v>
      </c>
      <c r="J4666">
        <v>0.71899999999999997</v>
      </c>
      <c r="K4666">
        <v>0.26600000000000001</v>
      </c>
      <c r="L4666">
        <v>70</v>
      </c>
      <c r="M4666">
        <v>3</v>
      </c>
      <c r="N4666">
        <v>11</v>
      </c>
      <c r="O4666">
        <v>0.72699999999999998</v>
      </c>
      <c r="P4666">
        <v>0.30184301000000002</v>
      </c>
      <c r="Q4666">
        <v>0.248</v>
      </c>
    </row>
    <row r="4667" spans="1:17" x14ac:dyDescent="0.2">
      <c r="A4667" s="30" t="str">
        <f>IF(C4667&amp;G4667&amp;D4667&lt;&gt;'Funnel setup'!$K$3&amp;'Funnel setup'!$K$4&amp;'Funnel setup'!$K$5,".",IF(A4666=".",1,A4666+1))</f>
        <v>.</v>
      </c>
      <c r="B4667" s="431" t="str">
        <f t="shared" si="72"/>
        <v>Knee Replacement PrimaryProviderJAMES PAGET UNIVERSITY HOSPITALS NHS FOUNDATION TRUST (RGP)EQ-5D Index</v>
      </c>
      <c r="C4667" t="s">
        <v>249</v>
      </c>
      <c r="D4667" t="s">
        <v>1</v>
      </c>
      <c r="E4667" t="s">
        <v>3915</v>
      </c>
      <c r="F4667" t="s">
        <v>3916</v>
      </c>
      <c r="G4667" t="s">
        <v>52</v>
      </c>
      <c r="H4667">
        <v>165</v>
      </c>
      <c r="I4667">
        <v>0.42099999999999999</v>
      </c>
      <c r="J4667">
        <v>0.74399999999999999</v>
      </c>
      <c r="K4667">
        <v>0.32300000000000001</v>
      </c>
      <c r="L4667">
        <v>133</v>
      </c>
      <c r="M4667">
        <v>21</v>
      </c>
      <c r="N4667">
        <v>11</v>
      </c>
      <c r="O4667">
        <v>0.752</v>
      </c>
      <c r="P4667">
        <v>0.327413764</v>
      </c>
      <c r="Q4667">
        <v>0.217</v>
      </c>
    </row>
    <row r="4668" spans="1:17" x14ac:dyDescent="0.2">
      <c r="A4668" s="30" t="str">
        <f>IF(C4668&amp;G4668&amp;D4668&lt;&gt;'Funnel setup'!$K$3&amp;'Funnel setup'!$K$4&amp;'Funnel setup'!$K$5,".",IF(A4667=".",1,A4667+1))</f>
        <v>.</v>
      </c>
      <c r="B4668" s="431" t="str">
        <f t="shared" si="72"/>
        <v>Knee Replacement PrimaryProviderKETTERING GENERAL HOSPITAL NHS FOUNDATION TRUST (RNQ)EQ-5D Index</v>
      </c>
      <c r="C4668" t="s">
        <v>249</v>
      </c>
      <c r="D4668" t="s">
        <v>1</v>
      </c>
      <c r="E4668" t="s">
        <v>3918</v>
      </c>
      <c r="F4668" t="s">
        <v>3919</v>
      </c>
      <c r="G4668" t="s">
        <v>52</v>
      </c>
      <c r="H4668">
        <v>92</v>
      </c>
      <c r="I4668">
        <v>0.42899999999999999</v>
      </c>
      <c r="J4668">
        <v>0.745</v>
      </c>
      <c r="K4668">
        <v>0.316</v>
      </c>
      <c r="L4668">
        <v>75</v>
      </c>
      <c r="M4668">
        <v>9</v>
      </c>
      <c r="N4668">
        <v>8</v>
      </c>
      <c r="O4668">
        <v>0.76700000000000002</v>
      </c>
      <c r="P4668">
        <v>0.34180048200000002</v>
      </c>
      <c r="Q4668">
        <v>0.23599999999999999</v>
      </c>
    </row>
    <row r="4669" spans="1:17" x14ac:dyDescent="0.2">
      <c r="A4669" s="30" t="str">
        <f>IF(C4669&amp;G4669&amp;D4669&lt;&gt;'Funnel setup'!$K$3&amp;'Funnel setup'!$K$4&amp;'Funnel setup'!$K$5,".",IF(A4668=".",1,A4668+1))</f>
        <v>.</v>
      </c>
      <c r="B4669" s="431" t="str">
        <f t="shared" si="72"/>
        <v>Knee Replacement PrimaryProviderKING'S COLLEGE HOSPITAL NHS FOUNDATION TRUST (RJZ)EQ-5D Index</v>
      </c>
      <c r="C4669" t="s">
        <v>249</v>
      </c>
      <c r="D4669" t="s">
        <v>1</v>
      </c>
      <c r="E4669" t="s">
        <v>3924</v>
      </c>
      <c r="F4669" t="s">
        <v>3925</v>
      </c>
      <c r="G4669" t="s">
        <v>52</v>
      </c>
      <c r="H4669">
        <v>138</v>
      </c>
      <c r="I4669">
        <v>0.39</v>
      </c>
      <c r="J4669">
        <v>0.70499999999999996</v>
      </c>
      <c r="K4669">
        <v>0.316</v>
      </c>
      <c r="L4669">
        <v>118</v>
      </c>
      <c r="M4669">
        <v>9</v>
      </c>
      <c r="N4669">
        <v>11</v>
      </c>
      <c r="O4669">
        <v>0.71299999999999997</v>
      </c>
      <c r="P4669">
        <v>0.28842910199999999</v>
      </c>
      <c r="Q4669">
        <v>0.22700000000000001</v>
      </c>
    </row>
    <row r="4670" spans="1:17" x14ac:dyDescent="0.2">
      <c r="A4670" s="30" t="str">
        <f>IF(C4670&amp;G4670&amp;D4670&lt;&gt;'Funnel setup'!$K$3&amp;'Funnel setup'!$K$4&amp;'Funnel setup'!$K$5,".",IF(A4669=".",1,A4669+1))</f>
        <v>.</v>
      </c>
      <c r="B4670" s="431" t="str">
        <f t="shared" si="72"/>
        <v>Knee Replacement PrimaryProviderLANCASHIRE TEACHING HOSPITALS NHS FOUNDATION TRUST (RXN)EQ-5D Index</v>
      </c>
      <c r="C4670" t="s">
        <v>249</v>
      </c>
      <c r="D4670" t="s">
        <v>1</v>
      </c>
      <c r="E4670" t="s">
        <v>3567</v>
      </c>
      <c r="F4670" t="s">
        <v>3568</v>
      </c>
      <c r="G4670" t="s">
        <v>52</v>
      </c>
      <c r="H4670">
        <v>216</v>
      </c>
      <c r="I4670">
        <v>0.41099999999999998</v>
      </c>
      <c r="J4670">
        <v>0.73399999999999999</v>
      </c>
      <c r="K4670">
        <v>0.32400000000000001</v>
      </c>
      <c r="L4670">
        <v>180</v>
      </c>
      <c r="M4670">
        <v>12</v>
      </c>
      <c r="N4670">
        <v>24</v>
      </c>
      <c r="O4670">
        <v>0.749</v>
      </c>
      <c r="P4670">
        <v>0.323891969</v>
      </c>
      <c r="Q4670">
        <v>0.23300000000000001</v>
      </c>
    </row>
    <row r="4671" spans="1:17" x14ac:dyDescent="0.2">
      <c r="A4671" s="30" t="str">
        <f>IF(C4671&amp;G4671&amp;D4671&lt;&gt;'Funnel setup'!$K$3&amp;'Funnel setup'!$K$4&amp;'Funnel setup'!$K$5,".",IF(A4670=".",1,A4670+1))</f>
        <v>.</v>
      </c>
      <c r="B4671" s="431" t="str">
        <f t="shared" si="72"/>
        <v>Knee Replacement PrimaryProviderLEEDS TEACHING HOSPITALS NHS TRUST (RR8)EQ-5D Index</v>
      </c>
      <c r="C4671" t="s">
        <v>249</v>
      </c>
      <c r="D4671" t="s">
        <v>1</v>
      </c>
      <c r="E4671" t="s">
        <v>3930</v>
      </c>
      <c r="F4671" t="s">
        <v>344</v>
      </c>
      <c r="G4671" t="s">
        <v>52</v>
      </c>
      <c r="H4671">
        <v>257</v>
      </c>
      <c r="I4671">
        <v>0.39700000000000002</v>
      </c>
      <c r="J4671">
        <v>0.72599999999999998</v>
      </c>
      <c r="K4671">
        <v>0.32900000000000001</v>
      </c>
      <c r="L4671">
        <v>209</v>
      </c>
      <c r="M4671">
        <v>20</v>
      </c>
      <c r="N4671">
        <v>28</v>
      </c>
      <c r="O4671">
        <v>0.747</v>
      </c>
      <c r="P4671">
        <v>0.32151386599999998</v>
      </c>
      <c r="Q4671">
        <v>0.248</v>
      </c>
    </row>
    <row r="4672" spans="1:17" x14ac:dyDescent="0.2">
      <c r="A4672" s="30" t="str">
        <f>IF(C4672&amp;G4672&amp;D4672&lt;&gt;'Funnel setup'!$K$3&amp;'Funnel setup'!$K$4&amp;'Funnel setup'!$K$5,".",IF(A4671=".",1,A4671+1))</f>
        <v>.</v>
      </c>
      <c r="B4672" s="431" t="str">
        <f t="shared" si="72"/>
        <v>Knee Replacement PrimaryProviderLEWISHAM AND GREENWICH NHS TRUST (RJ2)EQ-5D Index</v>
      </c>
      <c r="C4672" t="s">
        <v>249</v>
      </c>
      <c r="D4672" t="s">
        <v>1</v>
      </c>
      <c r="E4672" t="s">
        <v>3522</v>
      </c>
      <c r="F4672" t="s">
        <v>3523</v>
      </c>
      <c r="G4672" t="s">
        <v>52</v>
      </c>
      <c r="H4672">
        <v>84</v>
      </c>
      <c r="I4672">
        <v>0.34699999999999998</v>
      </c>
      <c r="J4672">
        <v>0.67200000000000004</v>
      </c>
      <c r="K4672">
        <v>0.32400000000000001</v>
      </c>
      <c r="L4672">
        <v>70</v>
      </c>
      <c r="M4672">
        <v>4</v>
      </c>
      <c r="N4672">
        <v>10</v>
      </c>
      <c r="O4672">
        <v>0.72199999999999998</v>
      </c>
      <c r="P4672">
        <v>0.29693330600000001</v>
      </c>
      <c r="Q4672">
        <v>0.25900000000000001</v>
      </c>
    </row>
    <row r="4673" spans="1:17" x14ac:dyDescent="0.2">
      <c r="A4673" s="30" t="str">
        <f>IF(C4673&amp;G4673&amp;D4673&lt;&gt;'Funnel setup'!$K$3&amp;'Funnel setup'!$K$4&amp;'Funnel setup'!$K$5,".",IF(A4672=".",1,A4672+1))</f>
        <v>.</v>
      </c>
      <c r="B4673" s="431" t="str">
        <f t="shared" si="72"/>
        <v>Knee Replacement PrimaryProviderLONDON NORTH WEST HEALTHCARE NHS TRUST (R1K)EQ-5D Index</v>
      </c>
      <c r="C4673" t="s">
        <v>249</v>
      </c>
      <c r="D4673" t="s">
        <v>1</v>
      </c>
      <c r="E4673" t="s">
        <v>6515</v>
      </c>
      <c r="F4673" t="s">
        <v>6516</v>
      </c>
      <c r="G4673" t="s">
        <v>52</v>
      </c>
      <c r="H4673">
        <v>167</v>
      </c>
      <c r="I4673">
        <v>0.317</v>
      </c>
      <c r="J4673">
        <v>0.59299999999999997</v>
      </c>
      <c r="K4673">
        <v>0.27600000000000002</v>
      </c>
      <c r="L4673">
        <v>125</v>
      </c>
      <c r="M4673">
        <v>15</v>
      </c>
      <c r="N4673">
        <v>27</v>
      </c>
      <c r="O4673">
        <v>0.65</v>
      </c>
      <c r="P4673">
        <v>0.225053578</v>
      </c>
      <c r="Q4673">
        <v>0.27300000000000002</v>
      </c>
    </row>
    <row r="4674" spans="1:17" x14ac:dyDescent="0.2">
      <c r="A4674" s="30" t="str">
        <f>IF(C4674&amp;G4674&amp;D4674&lt;&gt;'Funnel setup'!$K$3&amp;'Funnel setup'!$K$4&amp;'Funnel setup'!$K$5,".",IF(A4673=".",1,A4673+1))</f>
        <v>.</v>
      </c>
      <c r="B4674" s="431" t="str">
        <f t="shared" si="72"/>
        <v>Knee Replacement PrimaryProviderLUTON AND DUNSTABLE UNIVERSITY HOSPITAL NHS FOUNDATION TRUST (RC9)EQ-5D Index</v>
      </c>
      <c r="C4674" t="s">
        <v>249</v>
      </c>
      <c r="D4674" t="s">
        <v>1</v>
      </c>
      <c r="E4674" t="s">
        <v>3528</v>
      </c>
      <c r="F4674" t="s">
        <v>3529</v>
      </c>
      <c r="G4674" t="s">
        <v>52</v>
      </c>
      <c r="H4674">
        <v>168</v>
      </c>
      <c r="I4674">
        <v>0.34499999999999997</v>
      </c>
      <c r="J4674">
        <v>0.69199999999999995</v>
      </c>
      <c r="K4674">
        <v>0.34699999999999998</v>
      </c>
      <c r="L4674">
        <v>141</v>
      </c>
      <c r="M4674">
        <v>12</v>
      </c>
      <c r="N4674">
        <v>15</v>
      </c>
      <c r="O4674">
        <v>0.72499999999999998</v>
      </c>
      <c r="P4674">
        <v>0.29966932400000001</v>
      </c>
      <c r="Q4674">
        <v>0.23599999999999999</v>
      </c>
    </row>
    <row r="4675" spans="1:17" x14ac:dyDescent="0.2">
      <c r="A4675" s="30" t="str">
        <f>IF(C4675&amp;G4675&amp;D4675&lt;&gt;'Funnel setup'!$K$3&amp;'Funnel setup'!$K$4&amp;'Funnel setup'!$K$5,".",IF(A4674=".",1,A4674+1))</f>
        <v>.</v>
      </c>
      <c r="B4675" s="431" t="str">
        <f t="shared" ref="B4675:B4738" si="73">C4675&amp;D4675&amp;F4675&amp;G4675</f>
        <v>Knee Replacement PrimaryProviderMAIDSTONE AND TUNBRIDGE WELLS NHS TRUST (RWF)EQ-5D Index</v>
      </c>
      <c r="C4675" t="s">
        <v>249</v>
      </c>
      <c r="D4675" t="s">
        <v>1</v>
      </c>
      <c r="E4675" t="s">
        <v>3627</v>
      </c>
      <c r="F4675" t="s">
        <v>3628</v>
      </c>
      <c r="G4675" t="s">
        <v>52</v>
      </c>
      <c r="H4675">
        <v>181</v>
      </c>
      <c r="I4675">
        <v>0.48199999999999998</v>
      </c>
      <c r="J4675">
        <v>0.77900000000000003</v>
      </c>
      <c r="K4675">
        <v>0.29699999999999999</v>
      </c>
      <c r="L4675">
        <v>152</v>
      </c>
      <c r="M4675">
        <v>12</v>
      </c>
      <c r="N4675">
        <v>17</v>
      </c>
      <c r="O4675">
        <v>0.746</v>
      </c>
      <c r="P4675">
        <v>0.32130851700000002</v>
      </c>
      <c r="Q4675">
        <v>0.20799999999999999</v>
      </c>
    </row>
    <row r="4676" spans="1:17" x14ac:dyDescent="0.2">
      <c r="A4676" s="30" t="str">
        <f>IF(C4676&amp;G4676&amp;D4676&lt;&gt;'Funnel setup'!$K$3&amp;'Funnel setup'!$K$4&amp;'Funnel setup'!$K$5,".",IF(A4675=".",1,A4675+1))</f>
        <v>.</v>
      </c>
      <c r="B4676" s="431" t="str">
        <f t="shared" si="73"/>
        <v>Knee Replacement PrimaryProviderMEDWAY NHS FOUNDATION TRUST (RPA)EQ-5D Index</v>
      </c>
      <c r="C4676" t="s">
        <v>249</v>
      </c>
      <c r="D4676" t="s">
        <v>1</v>
      </c>
      <c r="E4676" t="s">
        <v>3630</v>
      </c>
      <c r="F4676" t="s">
        <v>3631</v>
      </c>
      <c r="G4676" t="s">
        <v>52</v>
      </c>
      <c r="H4676">
        <v>129</v>
      </c>
      <c r="I4676">
        <v>0.35299999999999998</v>
      </c>
      <c r="J4676">
        <v>0.71799999999999997</v>
      </c>
      <c r="K4676">
        <v>0.36599999999999999</v>
      </c>
      <c r="L4676">
        <v>109</v>
      </c>
      <c r="M4676">
        <v>6</v>
      </c>
      <c r="N4676">
        <v>14</v>
      </c>
      <c r="O4676">
        <v>0.753</v>
      </c>
      <c r="P4676">
        <v>0.32803203600000003</v>
      </c>
      <c r="Q4676">
        <v>0.23699999999999999</v>
      </c>
    </row>
    <row r="4677" spans="1:17" x14ac:dyDescent="0.2">
      <c r="A4677" s="30" t="str">
        <f>IF(C4677&amp;G4677&amp;D4677&lt;&gt;'Funnel setup'!$K$3&amp;'Funnel setup'!$K$4&amp;'Funnel setup'!$K$5,".",IF(A4676=".",1,A4676+1))</f>
        <v>.</v>
      </c>
      <c r="B4677" s="431" t="str">
        <f t="shared" si="73"/>
        <v>Knee Replacement PrimaryProviderMID CHESHIRE HOSPITALS NHS FOUNDATION TRUST (RBT)EQ-5D Index</v>
      </c>
      <c r="C4677" t="s">
        <v>249</v>
      </c>
      <c r="D4677" t="s">
        <v>1</v>
      </c>
      <c r="E4677" t="s">
        <v>3633</v>
      </c>
      <c r="F4677" t="s">
        <v>342</v>
      </c>
      <c r="G4677" t="s">
        <v>52</v>
      </c>
      <c r="H4677">
        <v>154</v>
      </c>
      <c r="I4677">
        <v>0.55700000000000005</v>
      </c>
      <c r="J4677">
        <v>0.76800000000000002</v>
      </c>
      <c r="K4677">
        <v>0.21099999999999999</v>
      </c>
      <c r="L4677">
        <v>108</v>
      </c>
      <c r="M4677">
        <v>25</v>
      </c>
      <c r="N4677">
        <v>21</v>
      </c>
      <c r="O4677">
        <v>0.70899999999999996</v>
      </c>
      <c r="P4677">
        <v>0.28436397899999999</v>
      </c>
      <c r="Q4677">
        <v>0.19600000000000001</v>
      </c>
    </row>
    <row r="4678" spans="1:17" x14ac:dyDescent="0.2">
      <c r="A4678" s="30" t="str">
        <f>IF(C4678&amp;G4678&amp;D4678&lt;&gt;'Funnel setup'!$K$3&amp;'Funnel setup'!$K$4&amp;'Funnel setup'!$K$5,".",IF(A4677=".",1,A4677+1))</f>
        <v>.</v>
      </c>
      <c r="B4678" s="431" t="str">
        <f t="shared" si="73"/>
        <v>Knee Replacement PrimaryProviderMID ESSEX HOSPITAL SERVICES NHS TRUST (RQ8)EQ-5D Index</v>
      </c>
      <c r="C4678" t="s">
        <v>249</v>
      </c>
      <c r="D4678" t="s">
        <v>1</v>
      </c>
      <c r="E4678" t="s">
        <v>3635</v>
      </c>
      <c r="F4678" t="s">
        <v>3636</v>
      </c>
      <c r="G4678" t="s">
        <v>52</v>
      </c>
      <c r="H4678">
        <v>164</v>
      </c>
      <c r="I4678">
        <v>0.27700000000000002</v>
      </c>
      <c r="J4678">
        <v>0.69499999999999995</v>
      </c>
      <c r="K4678">
        <v>0.41799999999999998</v>
      </c>
      <c r="L4678">
        <v>142</v>
      </c>
      <c r="M4678">
        <v>9</v>
      </c>
      <c r="N4678">
        <v>13</v>
      </c>
      <c r="O4678">
        <v>0.71199999999999997</v>
      </c>
      <c r="P4678">
        <v>0.28653800899999998</v>
      </c>
      <c r="Q4678">
        <v>0.251</v>
      </c>
    </row>
    <row r="4679" spans="1:17" x14ac:dyDescent="0.2">
      <c r="A4679" s="30" t="str">
        <f>IF(C4679&amp;G4679&amp;D4679&lt;&gt;'Funnel setup'!$K$3&amp;'Funnel setup'!$K$4&amp;'Funnel setup'!$K$5,".",IF(A4678=".",1,A4678+1))</f>
        <v>.</v>
      </c>
      <c r="B4679" s="431" t="str">
        <f t="shared" si="73"/>
        <v>Knee Replacement PrimaryProviderMID STAFFORDSHIRE NHS FOUNDATION TRUST (RJD)EQ-5D Index</v>
      </c>
      <c r="C4679" t="s">
        <v>249</v>
      </c>
      <c r="D4679" t="s">
        <v>1</v>
      </c>
      <c r="E4679" t="s">
        <v>3638</v>
      </c>
      <c r="F4679" t="s">
        <v>3639</v>
      </c>
      <c r="G4679" t="s">
        <v>52</v>
      </c>
      <c r="H4679">
        <v>121</v>
      </c>
      <c r="I4679">
        <v>0.42299999999999999</v>
      </c>
      <c r="J4679">
        <v>0.72399999999999998</v>
      </c>
      <c r="K4679">
        <v>0.3</v>
      </c>
      <c r="L4679">
        <v>98</v>
      </c>
      <c r="M4679">
        <v>10</v>
      </c>
      <c r="N4679">
        <v>13</v>
      </c>
      <c r="O4679">
        <v>0.73899999999999999</v>
      </c>
      <c r="P4679">
        <v>0.31379794700000002</v>
      </c>
      <c r="Q4679">
        <v>0.246</v>
      </c>
    </row>
    <row r="4680" spans="1:17" x14ac:dyDescent="0.2">
      <c r="A4680" s="30" t="str">
        <f>IF(C4680&amp;G4680&amp;D4680&lt;&gt;'Funnel setup'!$K$3&amp;'Funnel setup'!$K$4&amp;'Funnel setup'!$K$5,".",IF(A4679=".",1,A4679+1))</f>
        <v>.</v>
      </c>
      <c r="B4680" s="431" t="str">
        <f t="shared" si="73"/>
        <v>Knee Replacement PrimaryProviderMID YORKSHIRE HOSPITALS NHS TRUST (RXF)EQ-5D Index</v>
      </c>
      <c r="C4680" t="s">
        <v>249</v>
      </c>
      <c r="D4680" t="s">
        <v>1</v>
      </c>
      <c r="E4680" t="s">
        <v>3641</v>
      </c>
      <c r="F4680" t="s">
        <v>3642</v>
      </c>
      <c r="G4680" t="s">
        <v>52</v>
      </c>
      <c r="H4680">
        <v>289</v>
      </c>
      <c r="I4680">
        <v>0.40600000000000003</v>
      </c>
      <c r="J4680">
        <v>0.73799999999999999</v>
      </c>
      <c r="K4680">
        <v>0.33200000000000002</v>
      </c>
      <c r="L4680">
        <v>225</v>
      </c>
      <c r="M4680">
        <v>31</v>
      </c>
      <c r="N4680">
        <v>33</v>
      </c>
      <c r="O4680">
        <v>0.76500000000000001</v>
      </c>
      <c r="P4680">
        <v>0.33994382400000001</v>
      </c>
      <c r="Q4680">
        <v>0.217</v>
      </c>
    </row>
    <row r="4681" spans="1:17" x14ac:dyDescent="0.2">
      <c r="A4681" s="30" t="str">
        <f>IF(C4681&amp;G4681&amp;D4681&lt;&gt;'Funnel setup'!$K$3&amp;'Funnel setup'!$K$4&amp;'Funnel setup'!$K$5,".",IF(A4680=".",1,A4680+1))</f>
        <v>.</v>
      </c>
      <c r="B4681" s="431" t="str">
        <f t="shared" si="73"/>
        <v>Knee Replacement PrimaryProviderMILTON KEYNES UNIVERSITY HOSPITAL NHS FOUNDATION TRUST (RD8)EQ-5D Index</v>
      </c>
      <c r="C4681" t="s">
        <v>249</v>
      </c>
      <c r="D4681" t="s">
        <v>1</v>
      </c>
      <c r="E4681" t="s">
        <v>3643</v>
      </c>
      <c r="F4681" t="s">
        <v>6580</v>
      </c>
      <c r="G4681" t="s">
        <v>52</v>
      </c>
      <c r="H4681">
        <v>143</v>
      </c>
      <c r="I4681">
        <v>0.35899999999999999</v>
      </c>
      <c r="J4681">
        <v>0.79500000000000004</v>
      </c>
      <c r="K4681">
        <v>0.436</v>
      </c>
      <c r="L4681">
        <v>124</v>
      </c>
      <c r="M4681">
        <v>11</v>
      </c>
      <c r="N4681">
        <v>8</v>
      </c>
      <c r="O4681">
        <v>0.80600000000000005</v>
      </c>
      <c r="P4681">
        <v>0.38092124399999999</v>
      </c>
      <c r="Q4681">
        <v>0.218</v>
      </c>
    </row>
    <row r="4682" spans="1:17" x14ac:dyDescent="0.2">
      <c r="A4682" s="30" t="str">
        <f>IF(C4682&amp;G4682&amp;D4682&lt;&gt;'Funnel setup'!$K$3&amp;'Funnel setup'!$K$4&amp;'Funnel setup'!$K$5,".",IF(A4681=".",1,A4681+1))</f>
        <v>.</v>
      </c>
      <c r="B4682" s="431" t="str">
        <f t="shared" si="73"/>
        <v>Knee Replacement PrimaryProviderMOUNT STUART HOSPITAL (NVC08)EQ-5D Index</v>
      </c>
      <c r="C4682" t="s">
        <v>249</v>
      </c>
      <c r="D4682" t="s">
        <v>1</v>
      </c>
      <c r="E4682" t="s">
        <v>3645</v>
      </c>
      <c r="F4682" t="s">
        <v>3646</v>
      </c>
      <c r="G4682" t="s">
        <v>52</v>
      </c>
      <c r="H4682">
        <v>79</v>
      </c>
      <c r="I4682">
        <v>0.51900000000000002</v>
      </c>
      <c r="J4682">
        <v>0.83699999999999997</v>
      </c>
      <c r="K4682">
        <v>0.317</v>
      </c>
      <c r="L4682">
        <v>64</v>
      </c>
      <c r="M4682">
        <v>12</v>
      </c>
      <c r="N4682">
        <v>3</v>
      </c>
      <c r="O4682">
        <v>0.80400000000000005</v>
      </c>
      <c r="P4682">
        <v>0.37865119899999999</v>
      </c>
      <c r="Q4682">
        <v>0.16600000000000001</v>
      </c>
    </row>
    <row r="4683" spans="1:17" x14ac:dyDescent="0.2">
      <c r="A4683" s="30" t="str">
        <f>IF(C4683&amp;G4683&amp;D4683&lt;&gt;'Funnel setup'!$K$3&amp;'Funnel setup'!$K$4&amp;'Funnel setup'!$K$5,".",IF(A4682=".",1,A4682+1))</f>
        <v>.</v>
      </c>
      <c r="B4683" s="431" t="str">
        <f t="shared" si="73"/>
        <v>Knee Replacement PrimaryProviderNEW HALL HOSPITAL (NVC09)EQ-5D Index</v>
      </c>
      <c r="C4683" t="s">
        <v>249</v>
      </c>
      <c r="D4683" t="s">
        <v>1</v>
      </c>
      <c r="E4683" t="s">
        <v>3648</v>
      </c>
      <c r="F4683" t="s">
        <v>3649</v>
      </c>
      <c r="G4683" t="s">
        <v>52</v>
      </c>
      <c r="H4683">
        <v>125</v>
      </c>
      <c r="I4683">
        <v>0.52</v>
      </c>
      <c r="J4683">
        <v>0.78200000000000003</v>
      </c>
      <c r="K4683">
        <v>0.26100000000000001</v>
      </c>
      <c r="L4683">
        <v>101</v>
      </c>
      <c r="M4683">
        <v>15</v>
      </c>
      <c r="N4683">
        <v>9</v>
      </c>
      <c r="O4683">
        <v>0.73399999999999999</v>
      </c>
      <c r="P4683">
        <v>0.30886244800000001</v>
      </c>
      <c r="Q4683">
        <v>0.22900000000000001</v>
      </c>
    </row>
    <row r="4684" spans="1:17" x14ac:dyDescent="0.2">
      <c r="A4684" s="30" t="str">
        <f>IF(C4684&amp;G4684&amp;D4684&lt;&gt;'Funnel setup'!$K$3&amp;'Funnel setup'!$K$4&amp;'Funnel setup'!$K$5,".",IF(A4683=".",1,A4683+1))</f>
        <v>.</v>
      </c>
      <c r="B4684" s="431" t="str">
        <f t="shared" si="73"/>
        <v>Knee Replacement PrimaryProviderNORFOLK AND NORWICH UNIVERSITY HOSPITALS NHS FOUNDATION TRUST (RM1)EQ-5D Index</v>
      </c>
      <c r="C4684" t="s">
        <v>249</v>
      </c>
      <c r="D4684" t="s">
        <v>1</v>
      </c>
      <c r="E4684" t="s">
        <v>3651</v>
      </c>
      <c r="F4684" t="s">
        <v>3652</v>
      </c>
      <c r="G4684" t="s">
        <v>52</v>
      </c>
      <c r="H4684">
        <v>208</v>
      </c>
      <c r="I4684">
        <v>0.32100000000000001</v>
      </c>
      <c r="J4684">
        <v>0.67600000000000005</v>
      </c>
      <c r="K4684">
        <v>0.35499999999999998</v>
      </c>
      <c r="L4684">
        <v>159</v>
      </c>
      <c r="M4684">
        <v>27</v>
      </c>
      <c r="N4684">
        <v>22</v>
      </c>
      <c r="O4684">
        <v>0.71099999999999997</v>
      </c>
      <c r="P4684">
        <v>0.285921851</v>
      </c>
      <c r="Q4684">
        <v>0.26800000000000002</v>
      </c>
    </row>
    <row r="4685" spans="1:17" x14ac:dyDescent="0.2">
      <c r="A4685" s="30" t="str">
        <f>IF(C4685&amp;G4685&amp;D4685&lt;&gt;'Funnel setup'!$K$3&amp;'Funnel setup'!$K$4&amp;'Funnel setup'!$K$5,".",IF(A4684=".",1,A4684+1))</f>
        <v>.</v>
      </c>
      <c r="B4685" s="431" t="str">
        <f t="shared" si="73"/>
        <v>Knee Replacement PrimaryProviderNORTH BRISTOL NHS TRUST (RVJ)EQ-5D Index</v>
      </c>
      <c r="C4685" t="s">
        <v>249</v>
      </c>
      <c r="D4685" t="s">
        <v>1</v>
      </c>
      <c r="E4685" t="s">
        <v>3654</v>
      </c>
      <c r="F4685" t="s">
        <v>3655</v>
      </c>
      <c r="G4685" t="s">
        <v>52</v>
      </c>
      <c r="H4685">
        <v>199</v>
      </c>
      <c r="I4685">
        <v>0.41199999999999998</v>
      </c>
      <c r="J4685">
        <v>0.72499999999999998</v>
      </c>
      <c r="K4685">
        <v>0.313</v>
      </c>
      <c r="L4685">
        <v>154</v>
      </c>
      <c r="M4685">
        <v>24</v>
      </c>
      <c r="N4685">
        <v>21</v>
      </c>
      <c r="O4685">
        <v>0.72199999999999998</v>
      </c>
      <c r="P4685">
        <v>0.297012689</v>
      </c>
      <c r="Q4685">
        <v>0.21</v>
      </c>
    </row>
    <row r="4686" spans="1:17" x14ac:dyDescent="0.2">
      <c r="A4686" s="30" t="str">
        <f>IF(C4686&amp;G4686&amp;D4686&lt;&gt;'Funnel setup'!$K$3&amp;'Funnel setup'!$K$4&amp;'Funnel setup'!$K$5,".",IF(A4685=".",1,A4685+1))</f>
        <v>.</v>
      </c>
      <c r="B4686" s="431" t="str">
        <f t="shared" si="73"/>
        <v>Knee Replacement PrimaryProviderNORTH CUMBRIA UNIVERSITY HOSPITALS NHS TRUST (RNL)EQ-5D Index</v>
      </c>
      <c r="C4686" t="s">
        <v>249</v>
      </c>
      <c r="D4686" t="s">
        <v>1</v>
      </c>
      <c r="E4686" t="s">
        <v>3657</v>
      </c>
      <c r="F4686" t="s">
        <v>3658</v>
      </c>
      <c r="G4686" t="s">
        <v>52</v>
      </c>
      <c r="H4686">
        <v>170</v>
      </c>
      <c r="I4686">
        <v>0.38200000000000001</v>
      </c>
      <c r="J4686">
        <v>0.73399999999999999</v>
      </c>
      <c r="K4686">
        <v>0.35199999999999998</v>
      </c>
      <c r="L4686">
        <v>137</v>
      </c>
      <c r="M4686">
        <v>13</v>
      </c>
      <c r="N4686">
        <v>20</v>
      </c>
      <c r="O4686">
        <v>0.75900000000000001</v>
      </c>
      <c r="P4686">
        <v>0.33379485800000003</v>
      </c>
      <c r="Q4686">
        <v>0.24199999999999999</v>
      </c>
    </row>
    <row r="4687" spans="1:17" x14ac:dyDescent="0.2">
      <c r="A4687" s="30" t="str">
        <f>IF(C4687&amp;G4687&amp;D4687&lt;&gt;'Funnel setup'!$K$3&amp;'Funnel setup'!$K$4&amp;'Funnel setup'!$K$5,".",IF(A4686=".",1,A4686+1))</f>
        <v>.</v>
      </c>
      <c r="B4687" s="431" t="str">
        <f t="shared" si="73"/>
        <v>Knee Replacement PrimaryProviderNORTH DOWNS HOSPITAL (NVC11)EQ-5D Index</v>
      </c>
      <c r="C4687" t="s">
        <v>249</v>
      </c>
      <c r="D4687" t="s">
        <v>1</v>
      </c>
      <c r="E4687" t="s">
        <v>3660</v>
      </c>
      <c r="F4687" t="s">
        <v>3661</v>
      </c>
      <c r="G4687" t="s">
        <v>52</v>
      </c>
      <c r="H4687">
        <v>49</v>
      </c>
      <c r="I4687">
        <v>0.52600000000000002</v>
      </c>
      <c r="J4687">
        <v>0.77500000000000002</v>
      </c>
      <c r="K4687">
        <v>0.249</v>
      </c>
      <c r="L4687">
        <v>39</v>
      </c>
      <c r="M4687">
        <v>9</v>
      </c>
      <c r="N4687">
        <v>1</v>
      </c>
      <c r="O4687">
        <v>0.72699999999999998</v>
      </c>
      <c r="P4687">
        <v>0.30228532400000002</v>
      </c>
      <c r="Q4687">
        <v>0.125</v>
      </c>
    </row>
    <row r="4688" spans="1:17" x14ac:dyDescent="0.2">
      <c r="A4688" s="30" t="str">
        <f>IF(C4688&amp;G4688&amp;D4688&lt;&gt;'Funnel setup'!$K$3&amp;'Funnel setup'!$K$4&amp;'Funnel setup'!$K$5,".",IF(A4687=".",1,A4687+1))</f>
        <v>.</v>
      </c>
      <c r="B4688" s="431" t="str">
        <f t="shared" si="73"/>
        <v>Knee Replacement PrimaryProviderNORTH EAST LONDON TREATMENT CENTRE CARE UK (NTP15)EQ-5D Index</v>
      </c>
      <c r="C4688" t="s">
        <v>249</v>
      </c>
      <c r="D4688" t="s">
        <v>1</v>
      </c>
      <c r="E4688" t="s">
        <v>3663</v>
      </c>
      <c r="F4688" t="s">
        <v>3664</v>
      </c>
      <c r="G4688" t="s">
        <v>52</v>
      </c>
      <c r="H4688">
        <v>89</v>
      </c>
      <c r="I4688">
        <v>0.42099999999999999</v>
      </c>
      <c r="J4688">
        <v>0.75800000000000001</v>
      </c>
      <c r="K4688">
        <v>0.33700000000000002</v>
      </c>
      <c r="L4688">
        <v>74</v>
      </c>
      <c r="M4688">
        <v>6</v>
      </c>
      <c r="N4688">
        <v>9</v>
      </c>
      <c r="O4688">
        <v>0.752</v>
      </c>
      <c r="P4688">
        <v>0.32699950900000002</v>
      </c>
      <c r="Q4688">
        <v>0.22500000000000001</v>
      </c>
    </row>
    <row r="4689" spans="1:17" x14ac:dyDescent="0.2">
      <c r="A4689" s="30" t="str">
        <f>IF(C4689&amp;G4689&amp;D4689&lt;&gt;'Funnel setup'!$K$3&amp;'Funnel setup'!$K$4&amp;'Funnel setup'!$K$5,".",IF(A4688=".",1,A4688+1))</f>
        <v>.</v>
      </c>
      <c r="B4689" s="431" t="str">
        <f t="shared" si="73"/>
        <v>Knee Replacement PrimaryProviderNORTH MIDDLESEX UNIVERSITY HOSPITAL NHS TRUST (RAP)EQ-5D Index</v>
      </c>
      <c r="C4689" t="s">
        <v>249</v>
      </c>
      <c r="D4689" t="s">
        <v>1</v>
      </c>
      <c r="E4689" t="s">
        <v>3666</v>
      </c>
      <c r="F4689" t="s">
        <v>3667</v>
      </c>
      <c r="G4689" t="s">
        <v>52</v>
      </c>
      <c r="H4689">
        <v>42</v>
      </c>
      <c r="I4689">
        <v>0.29099999999999998</v>
      </c>
      <c r="J4689">
        <v>0.64100000000000001</v>
      </c>
      <c r="K4689">
        <v>0.35</v>
      </c>
      <c r="L4689">
        <v>34</v>
      </c>
      <c r="M4689">
        <v>3</v>
      </c>
      <c r="N4689">
        <v>5</v>
      </c>
      <c r="O4689">
        <v>0.72499999999999998</v>
      </c>
      <c r="P4689">
        <v>0.300370847</v>
      </c>
      <c r="Q4689">
        <v>0.24099999999999999</v>
      </c>
    </row>
    <row r="4690" spans="1:17" x14ac:dyDescent="0.2">
      <c r="A4690" s="30" t="str">
        <f>IF(C4690&amp;G4690&amp;D4690&lt;&gt;'Funnel setup'!$K$3&amp;'Funnel setup'!$K$4&amp;'Funnel setup'!$K$5,".",IF(A4689=".",1,A4689+1))</f>
        <v>.</v>
      </c>
      <c r="B4690" s="431" t="str">
        <f t="shared" si="73"/>
        <v>Knee Replacement PrimaryProviderNORTH TEES AND HARTLEPOOL NHS FOUNDATION TRUST (RVW)EQ-5D Index</v>
      </c>
      <c r="C4690" t="s">
        <v>249</v>
      </c>
      <c r="D4690" t="s">
        <v>1</v>
      </c>
      <c r="E4690" t="s">
        <v>3669</v>
      </c>
      <c r="F4690" t="s">
        <v>3670</v>
      </c>
      <c r="G4690" t="s">
        <v>52</v>
      </c>
      <c r="H4690">
        <v>253</v>
      </c>
      <c r="I4690">
        <v>0.26</v>
      </c>
      <c r="J4690">
        <v>0.69799999999999995</v>
      </c>
      <c r="K4690">
        <v>0.437</v>
      </c>
      <c r="L4690">
        <v>227</v>
      </c>
      <c r="M4690">
        <v>10</v>
      </c>
      <c r="N4690">
        <v>16</v>
      </c>
      <c r="O4690">
        <v>0.76800000000000002</v>
      </c>
      <c r="P4690">
        <v>0.34326492400000003</v>
      </c>
      <c r="Q4690">
        <v>0.255</v>
      </c>
    </row>
    <row r="4691" spans="1:17" x14ac:dyDescent="0.2">
      <c r="A4691" s="30" t="str">
        <f>IF(C4691&amp;G4691&amp;D4691&lt;&gt;'Funnel setup'!$K$3&amp;'Funnel setup'!$K$4&amp;'Funnel setup'!$K$5,".",IF(A4690=".",1,A4690+1))</f>
        <v>.</v>
      </c>
      <c r="B4691" s="431" t="str">
        <f t="shared" si="73"/>
        <v>Knee Replacement PrimaryProviderNORTHAMPTON GENERAL HOSPITAL NHS TRUST (RNS)EQ-5D Index</v>
      </c>
      <c r="C4691" t="s">
        <v>249</v>
      </c>
      <c r="D4691" t="s">
        <v>1</v>
      </c>
      <c r="E4691" t="s">
        <v>3675</v>
      </c>
      <c r="F4691" t="s">
        <v>3676</v>
      </c>
      <c r="G4691" t="s">
        <v>52</v>
      </c>
      <c r="H4691">
        <v>142</v>
      </c>
      <c r="I4691">
        <v>0.33600000000000002</v>
      </c>
      <c r="J4691">
        <v>0.72599999999999998</v>
      </c>
      <c r="K4691">
        <v>0.39</v>
      </c>
      <c r="L4691">
        <v>126</v>
      </c>
      <c r="M4691">
        <v>8</v>
      </c>
      <c r="N4691">
        <v>8</v>
      </c>
      <c r="O4691">
        <v>0.755</v>
      </c>
      <c r="P4691">
        <v>0.33039193100000003</v>
      </c>
      <c r="Q4691">
        <v>0.248</v>
      </c>
    </row>
    <row r="4692" spans="1:17" x14ac:dyDescent="0.2">
      <c r="A4692" s="30" t="str">
        <f>IF(C4692&amp;G4692&amp;D4692&lt;&gt;'Funnel setup'!$K$3&amp;'Funnel setup'!$K$4&amp;'Funnel setup'!$K$5,".",IF(A4691=".",1,A4691+1))</f>
        <v>.</v>
      </c>
      <c r="B4692" s="431" t="str">
        <f t="shared" si="73"/>
        <v>Knee Replacement PrimaryProviderNORTHERN DEVON HEALTHCARE NHS TRUST (RBZ)EQ-5D Index</v>
      </c>
      <c r="C4692" t="s">
        <v>249</v>
      </c>
      <c r="D4692" t="s">
        <v>1</v>
      </c>
      <c r="E4692" t="s">
        <v>3678</v>
      </c>
      <c r="F4692" t="s">
        <v>3679</v>
      </c>
      <c r="G4692" t="s">
        <v>52</v>
      </c>
      <c r="H4692">
        <v>190</v>
      </c>
      <c r="I4692">
        <v>0.45900000000000002</v>
      </c>
      <c r="J4692">
        <v>0.78900000000000003</v>
      </c>
      <c r="K4692">
        <v>0.33</v>
      </c>
      <c r="L4692">
        <v>156</v>
      </c>
      <c r="M4692">
        <v>25</v>
      </c>
      <c r="N4692">
        <v>9</v>
      </c>
      <c r="O4692">
        <v>0.78100000000000003</v>
      </c>
      <c r="P4692">
        <v>0.35596704699999998</v>
      </c>
      <c r="Q4692">
        <v>0.193</v>
      </c>
    </row>
    <row r="4693" spans="1:17" x14ac:dyDescent="0.2">
      <c r="A4693" s="30" t="str">
        <f>IF(C4693&amp;G4693&amp;D4693&lt;&gt;'Funnel setup'!$K$3&amp;'Funnel setup'!$K$4&amp;'Funnel setup'!$K$5,".",IF(A4692=".",1,A4692+1))</f>
        <v>.</v>
      </c>
      <c r="B4693" s="431" t="str">
        <f t="shared" si="73"/>
        <v>Knee Replacement PrimaryProviderNORTHERN LINCOLNSHIRE AND GOOLE NHS FOUNDATION TRUST (RJL)EQ-5D Index</v>
      </c>
      <c r="C4693" t="s">
        <v>249</v>
      </c>
      <c r="D4693" t="s">
        <v>1</v>
      </c>
      <c r="E4693" t="s">
        <v>3681</v>
      </c>
      <c r="F4693" t="s">
        <v>3682</v>
      </c>
      <c r="G4693" t="s">
        <v>52</v>
      </c>
      <c r="H4693">
        <v>274</v>
      </c>
      <c r="I4693">
        <v>0.40200000000000002</v>
      </c>
      <c r="J4693">
        <v>0.76100000000000001</v>
      </c>
      <c r="K4693">
        <v>0.36</v>
      </c>
      <c r="L4693">
        <v>227</v>
      </c>
      <c r="M4693">
        <v>26</v>
      </c>
      <c r="N4693">
        <v>21</v>
      </c>
      <c r="O4693">
        <v>0.76600000000000001</v>
      </c>
      <c r="P4693">
        <v>0.34084805000000001</v>
      </c>
      <c r="Q4693">
        <v>0.216</v>
      </c>
    </row>
    <row r="4694" spans="1:17" x14ac:dyDescent="0.2">
      <c r="A4694" s="30" t="str">
        <f>IF(C4694&amp;G4694&amp;D4694&lt;&gt;'Funnel setup'!$K$3&amp;'Funnel setup'!$K$4&amp;'Funnel setup'!$K$5,".",IF(A4693=".",1,A4693+1))</f>
        <v>.</v>
      </c>
      <c r="B4694" s="431" t="str">
        <f t="shared" si="73"/>
        <v>Knee Replacement PrimaryProviderNORTHUMBRIA HEALTHCARE NHS FOUNDATION TRUST (RTF)EQ-5D Index</v>
      </c>
      <c r="C4694" t="s">
        <v>249</v>
      </c>
      <c r="D4694" t="s">
        <v>1</v>
      </c>
      <c r="E4694" t="s">
        <v>3684</v>
      </c>
      <c r="F4694" t="s">
        <v>3685</v>
      </c>
      <c r="G4694" t="s">
        <v>52</v>
      </c>
      <c r="H4694">
        <v>768</v>
      </c>
      <c r="I4694">
        <v>0.443</v>
      </c>
      <c r="J4694">
        <v>0.76500000000000001</v>
      </c>
      <c r="K4694">
        <v>0.32100000000000001</v>
      </c>
      <c r="L4694">
        <v>646</v>
      </c>
      <c r="M4694">
        <v>68</v>
      </c>
      <c r="N4694">
        <v>54</v>
      </c>
      <c r="O4694">
        <v>0.76600000000000001</v>
      </c>
      <c r="P4694">
        <v>0.34099362700000002</v>
      </c>
      <c r="Q4694">
        <v>0.20499999999999999</v>
      </c>
    </row>
    <row r="4695" spans="1:17" x14ac:dyDescent="0.2">
      <c r="A4695" s="30" t="str">
        <f>IF(C4695&amp;G4695&amp;D4695&lt;&gt;'Funnel setup'!$K$3&amp;'Funnel setup'!$K$4&amp;'Funnel setup'!$K$5,".",IF(A4694=".",1,A4694+1))</f>
        <v>.</v>
      </c>
      <c r="B4695" s="431" t="str">
        <f t="shared" si="73"/>
        <v>Knee Replacement PrimaryProviderNOTTINGHAM UNIVERSITY HOSPITALS NHS TRUST (RX1)EQ-5D Index</v>
      </c>
      <c r="C4695" t="s">
        <v>249</v>
      </c>
      <c r="D4695" t="s">
        <v>1</v>
      </c>
      <c r="E4695" t="s">
        <v>3687</v>
      </c>
      <c r="F4695" t="s">
        <v>3688</v>
      </c>
      <c r="G4695" t="s">
        <v>52</v>
      </c>
      <c r="H4695">
        <v>441</v>
      </c>
      <c r="I4695">
        <v>0.39900000000000002</v>
      </c>
      <c r="J4695">
        <v>0.70799999999999996</v>
      </c>
      <c r="K4695">
        <v>0.309</v>
      </c>
      <c r="L4695">
        <v>333</v>
      </c>
      <c r="M4695">
        <v>62</v>
      </c>
      <c r="N4695">
        <v>46</v>
      </c>
      <c r="O4695">
        <v>0.72399999999999998</v>
      </c>
      <c r="P4695">
        <v>0.29877306300000001</v>
      </c>
      <c r="Q4695">
        <v>0.23</v>
      </c>
    </row>
    <row r="4696" spans="1:17" x14ac:dyDescent="0.2">
      <c r="A4696" s="30" t="str">
        <f>IF(C4696&amp;G4696&amp;D4696&lt;&gt;'Funnel setup'!$K$3&amp;'Funnel setup'!$K$4&amp;'Funnel setup'!$K$5,".",IF(A4695=".",1,A4695+1))</f>
        <v>.</v>
      </c>
      <c r="B4696" s="431" t="str">
        <f t="shared" si="73"/>
        <v>Knee Replacement PrimaryProviderNUFFIELD HEALTH, BRENTWOOD HOSPITAL (NT204)EQ-5D Index</v>
      </c>
      <c r="C4696" t="s">
        <v>249</v>
      </c>
      <c r="D4696" t="s">
        <v>1</v>
      </c>
      <c r="E4696" t="s">
        <v>3691</v>
      </c>
      <c r="F4696" t="s">
        <v>3692</v>
      </c>
      <c r="G4696" t="s">
        <v>52</v>
      </c>
      <c r="H4696">
        <v>78</v>
      </c>
      <c r="I4696">
        <v>0.41799999999999998</v>
      </c>
      <c r="J4696">
        <v>0.79600000000000004</v>
      </c>
      <c r="K4696">
        <v>0.378</v>
      </c>
      <c r="L4696">
        <v>68</v>
      </c>
      <c r="M4696">
        <v>5</v>
      </c>
      <c r="N4696">
        <v>5</v>
      </c>
      <c r="O4696">
        <v>0.76600000000000001</v>
      </c>
      <c r="P4696">
        <v>0.34150562400000001</v>
      </c>
      <c r="Q4696">
        <v>0.20499999999999999</v>
      </c>
    </row>
    <row r="4697" spans="1:17" x14ac:dyDescent="0.2">
      <c r="A4697" s="30" t="str">
        <f>IF(C4697&amp;G4697&amp;D4697&lt;&gt;'Funnel setup'!$K$3&amp;'Funnel setup'!$K$4&amp;'Funnel setup'!$K$5,".",IF(A4696=".",1,A4696+1))</f>
        <v>.</v>
      </c>
      <c r="B4697" s="431" t="str">
        <f t="shared" si="73"/>
        <v>Knee Replacement PrimaryProviderNUFFIELD HEALTH, BRIGHTON HOSPITAL (NT205)EQ-5D Index</v>
      </c>
      <c r="C4697" t="s">
        <v>249</v>
      </c>
      <c r="D4697" t="s">
        <v>1</v>
      </c>
      <c r="E4697" t="s">
        <v>3697</v>
      </c>
      <c r="F4697" t="s">
        <v>3698</v>
      </c>
      <c r="G4697" t="s">
        <v>52</v>
      </c>
      <c r="H4697" t="s">
        <v>53</v>
      </c>
      <c r="I4697" t="s">
        <v>53</v>
      </c>
      <c r="J4697" t="s">
        <v>53</v>
      </c>
      <c r="K4697" t="s">
        <v>53</v>
      </c>
      <c r="L4697" t="s">
        <v>53</v>
      </c>
      <c r="M4697" t="s">
        <v>53</v>
      </c>
      <c r="N4697" t="s">
        <v>53</v>
      </c>
      <c r="O4697" t="s">
        <v>53</v>
      </c>
      <c r="P4697" t="s">
        <v>53</v>
      </c>
      <c r="Q4697" t="s">
        <v>53</v>
      </c>
    </row>
    <row r="4698" spans="1:17" x14ac:dyDescent="0.2">
      <c r="A4698" s="30" t="str">
        <f>IF(C4698&amp;G4698&amp;D4698&lt;&gt;'Funnel setup'!$K$3&amp;'Funnel setup'!$K$4&amp;'Funnel setup'!$K$5,".",IF(A4697=".",1,A4697+1))</f>
        <v>.</v>
      </c>
      <c r="B4698" s="431" t="str">
        <f t="shared" si="73"/>
        <v>Knee Replacement PrimaryProviderNUFFIELD HEALTH, BRISTOL HOSPITAL (CHESTERFIELD) (NT206)EQ-5D Index</v>
      </c>
      <c r="C4698" t="s">
        <v>249</v>
      </c>
      <c r="D4698" t="s">
        <v>1</v>
      </c>
      <c r="E4698" t="s">
        <v>3700</v>
      </c>
      <c r="F4698" t="s">
        <v>3701</v>
      </c>
      <c r="G4698" t="s">
        <v>52</v>
      </c>
      <c r="H4698">
        <v>12</v>
      </c>
      <c r="I4698">
        <v>0.42399999999999999</v>
      </c>
      <c r="J4698">
        <v>0.80900000000000005</v>
      </c>
      <c r="K4698">
        <v>0.38500000000000001</v>
      </c>
      <c r="L4698">
        <v>10</v>
      </c>
      <c r="M4698">
        <v>1</v>
      </c>
      <c r="N4698">
        <v>1</v>
      </c>
      <c r="O4698" t="s">
        <v>53</v>
      </c>
      <c r="P4698" t="s">
        <v>53</v>
      </c>
      <c r="Q4698" t="s">
        <v>53</v>
      </c>
    </row>
    <row r="4699" spans="1:17" x14ac:dyDescent="0.2">
      <c r="A4699" s="30" t="str">
        <f>IF(C4699&amp;G4699&amp;D4699&lt;&gt;'Funnel setup'!$K$3&amp;'Funnel setup'!$K$4&amp;'Funnel setup'!$K$5,".",IF(A4698=".",1,A4698+1))</f>
        <v>.</v>
      </c>
      <c r="B4699" s="431" t="str">
        <f t="shared" si="73"/>
        <v>Knee Replacement PrimaryProviderNUFFIELD HEALTH, CAMBRIDGE HOSPITAL (NT209)EQ-5D Index</v>
      </c>
      <c r="C4699" t="s">
        <v>249</v>
      </c>
      <c r="D4699" t="s">
        <v>1</v>
      </c>
      <c r="E4699" t="s">
        <v>4477</v>
      </c>
      <c r="F4699" t="s">
        <v>4478</v>
      </c>
      <c r="G4699" t="s">
        <v>52</v>
      </c>
      <c r="H4699">
        <v>33</v>
      </c>
      <c r="I4699">
        <v>0.32400000000000001</v>
      </c>
      <c r="J4699">
        <v>0.84499999999999997</v>
      </c>
      <c r="K4699">
        <v>0.52100000000000002</v>
      </c>
      <c r="L4699">
        <v>31</v>
      </c>
      <c r="M4699">
        <v>2</v>
      </c>
      <c r="N4699">
        <v>0</v>
      </c>
      <c r="O4699">
        <v>0.84499999999999997</v>
      </c>
      <c r="P4699">
        <v>0.42025426700000001</v>
      </c>
      <c r="Q4699">
        <v>0.13700000000000001</v>
      </c>
    </row>
    <row r="4700" spans="1:17" x14ac:dyDescent="0.2">
      <c r="A4700" s="30" t="str">
        <f>IF(C4700&amp;G4700&amp;D4700&lt;&gt;'Funnel setup'!$K$3&amp;'Funnel setup'!$K$4&amp;'Funnel setup'!$K$5,".",IF(A4699=".",1,A4699+1))</f>
        <v>.</v>
      </c>
      <c r="B4700" s="431" t="str">
        <f t="shared" si="73"/>
        <v>Knee Replacement PrimaryProviderNUFFIELD HEALTH, CHELTENHAM HOSPITAL (NT211)EQ-5D Index</v>
      </c>
      <c r="C4700" t="s">
        <v>249</v>
      </c>
      <c r="D4700" t="s">
        <v>1</v>
      </c>
      <c r="E4700" t="s">
        <v>3703</v>
      </c>
      <c r="F4700" t="s">
        <v>3704</v>
      </c>
      <c r="G4700" t="s">
        <v>52</v>
      </c>
      <c r="H4700">
        <v>6</v>
      </c>
      <c r="I4700">
        <v>0.42299999999999999</v>
      </c>
      <c r="J4700">
        <v>0.754</v>
      </c>
      <c r="K4700">
        <v>0.33100000000000002</v>
      </c>
      <c r="L4700">
        <v>5</v>
      </c>
      <c r="M4700">
        <v>0</v>
      </c>
      <c r="N4700">
        <v>1</v>
      </c>
      <c r="O4700" t="s">
        <v>53</v>
      </c>
      <c r="P4700" t="s">
        <v>53</v>
      </c>
      <c r="Q4700" t="s">
        <v>53</v>
      </c>
    </row>
    <row r="4701" spans="1:17" x14ac:dyDescent="0.2">
      <c r="A4701" s="30" t="str">
        <f>IF(C4701&amp;G4701&amp;D4701&lt;&gt;'Funnel setup'!$K$3&amp;'Funnel setup'!$K$4&amp;'Funnel setup'!$K$5,".",IF(A4700=".",1,A4700+1))</f>
        <v>.</v>
      </c>
      <c r="B4701" s="431" t="str">
        <f t="shared" si="73"/>
        <v>Knee Replacement PrimaryProviderNUFFIELD HEALTH, CHICHESTER HOSPITAL (NT212)EQ-5D Index</v>
      </c>
      <c r="C4701" t="s">
        <v>249</v>
      </c>
      <c r="D4701" t="s">
        <v>1</v>
      </c>
      <c r="E4701" t="s">
        <v>4334</v>
      </c>
      <c r="F4701" t="s">
        <v>4335</v>
      </c>
      <c r="G4701" t="s">
        <v>52</v>
      </c>
      <c r="H4701">
        <v>12</v>
      </c>
      <c r="I4701">
        <v>0.44900000000000001</v>
      </c>
      <c r="J4701">
        <v>0.86499999999999999</v>
      </c>
      <c r="K4701">
        <v>0.41599999999999998</v>
      </c>
      <c r="L4701">
        <v>11</v>
      </c>
      <c r="M4701">
        <v>0</v>
      </c>
      <c r="N4701">
        <v>1</v>
      </c>
      <c r="O4701" t="s">
        <v>53</v>
      </c>
      <c r="P4701" t="s">
        <v>53</v>
      </c>
      <c r="Q4701" t="s">
        <v>53</v>
      </c>
    </row>
    <row r="4702" spans="1:17" x14ac:dyDescent="0.2">
      <c r="A4702" s="30" t="str">
        <f>IF(C4702&amp;G4702&amp;D4702&lt;&gt;'Funnel setup'!$K$3&amp;'Funnel setup'!$K$4&amp;'Funnel setup'!$K$5,".",IF(A4701=".",1,A4701+1))</f>
        <v>.</v>
      </c>
      <c r="B4702" s="431" t="str">
        <f t="shared" si="73"/>
        <v>Knee Replacement PrimaryProviderNUFFIELD HEALTH, DERBY HOSPITAL (NT213)EQ-5D Index</v>
      </c>
      <c r="C4702" t="s">
        <v>249</v>
      </c>
      <c r="D4702" t="s">
        <v>1</v>
      </c>
      <c r="E4702" t="s">
        <v>3340</v>
      </c>
      <c r="F4702" t="s">
        <v>3341</v>
      </c>
      <c r="G4702" t="s">
        <v>52</v>
      </c>
      <c r="H4702">
        <v>150</v>
      </c>
      <c r="I4702">
        <v>0.47499999999999998</v>
      </c>
      <c r="J4702">
        <v>0.81399999999999995</v>
      </c>
      <c r="K4702">
        <v>0.34</v>
      </c>
      <c r="L4702">
        <v>131</v>
      </c>
      <c r="M4702">
        <v>9</v>
      </c>
      <c r="N4702">
        <v>10</v>
      </c>
      <c r="O4702">
        <v>0.76800000000000002</v>
      </c>
      <c r="P4702">
        <v>0.34325583700000001</v>
      </c>
      <c r="Q4702">
        <v>0.19</v>
      </c>
    </row>
    <row r="4703" spans="1:17" x14ac:dyDescent="0.2">
      <c r="A4703" s="30" t="str">
        <f>IF(C4703&amp;G4703&amp;D4703&lt;&gt;'Funnel setup'!$K$3&amp;'Funnel setup'!$K$4&amp;'Funnel setup'!$K$5,".",IF(A4702=".",1,A4702+1))</f>
        <v>.</v>
      </c>
      <c r="B4703" s="431" t="str">
        <f t="shared" si="73"/>
        <v>Knee Replacement PrimaryProviderNUFFIELD HEALTH, EXETER HOSPITAL (NT215)EQ-5D Index</v>
      </c>
      <c r="C4703" t="s">
        <v>249</v>
      </c>
      <c r="D4703" t="s">
        <v>1</v>
      </c>
      <c r="E4703" t="s">
        <v>4339</v>
      </c>
      <c r="F4703" t="s">
        <v>4340</v>
      </c>
      <c r="G4703" t="s">
        <v>52</v>
      </c>
      <c r="H4703">
        <v>117</v>
      </c>
      <c r="I4703">
        <v>0.51100000000000001</v>
      </c>
      <c r="J4703">
        <v>0.81</v>
      </c>
      <c r="K4703">
        <v>0.29899999999999999</v>
      </c>
      <c r="L4703">
        <v>104</v>
      </c>
      <c r="M4703">
        <v>3</v>
      </c>
      <c r="N4703">
        <v>10</v>
      </c>
      <c r="O4703">
        <v>0.76</v>
      </c>
      <c r="P4703">
        <v>0.33469991799999999</v>
      </c>
      <c r="Q4703">
        <v>0.21199999999999999</v>
      </c>
    </row>
    <row r="4704" spans="1:17" x14ac:dyDescent="0.2">
      <c r="A4704" s="30" t="str">
        <f>IF(C4704&amp;G4704&amp;D4704&lt;&gt;'Funnel setup'!$K$3&amp;'Funnel setup'!$K$4&amp;'Funnel setup'!$K$5,".",IF(A4703=".",1,A4703+1))</f>
        <v>.</v>
      </c>
      <c r="B4704" s="431" t="str">
        <f t="shared" si="73"/>
        <v>Knee Replacement PrimaryProviderNUFFIELD HEALTH, HAYWARDS HEATH HOSPITAL (NT218)EQ-5D Index</v>
      </c>
      <c r="C4704" t="s">
        <v>249</v>
      </c>
      <c r="D4704" t="s">
        <v>1</v>
      </c>
      <c r="E4704" t="s">
        <v>4342</v>
      </c>
      <c r="F4704" t="s">
        <v>4343</v>
      </c>
      <c r="G4704" t="s">
        <v>52</v>
      </c>
      <c r="H4704">
        <v>18</v>
      </c>
      <c r="I4704">
        <v>0.59699999999999998</v>
      </c>
      <c r="J4704">
        <v>0.77900000000000003</v>
      </c>
      <c r="K4704">
        <v>0.182</v>
      </c>
      <c r="L4704">
        <v>11</v>
      </c>
      <c r="M4704">
        <v>3</v>
      </c>
      <c r="N4704">
        <v>4</v>
      </c>
      <c r="O4704" t="s">
        <v>53</v>
      </c>
      <c r="P4704" t="s">
        <v>53</v>
      </c>
      <c r="Q4704" t="s">
        <v>53</v>
      </c>
    </row>
    <row r="4705" spans="1:17" x14ac:dyDescent="0.2">
      <c r="A4705" s="30" t="str">
        <f>IF(C4705&amp;G4705&amp;D4705&lt;&gt;'Funnel setup'!$K$3&amp;'Funnel setup'!$K$4&amp;'Funnel setup'!$K$5,".",IF(A4704=".",1,A4704+1))</f>
        <v>.</v>
      </c>
      <c r="B4705" s="431" t="str">
        <f t="shared" si="73"/>
        <v>Knee Replacement PrimaryProviderNUFFIELD HEALTH, HEREFORD HOSPITAL (NT219)EQ-5D Index</v>
      </c>
      <c r="C4705" t="s">
        <v>249</v>
      </c>
      <c r="D4705" t="s">
        <v>1</v>
      </c>
      <c r="E4705" t="s">
        <v>3343</v>
      </c>
      <c r="F4705" t="s">
        <v>3344</v>
      </c>
      <c r="G4705" t="s">
        <v>52</v>
      </c>
      <c r="H4705">
        <v>62</v>
      </c>
      <c r="I4705">
        <v>0.51600000000000001</v>
      </c>
      <c r="J4705">
        <v>0.80600000000000005</v>
      </c>
      <c r="K4705">
        <v>0.28999999999999998</v>
      </c>
      <c r="L4705">
        <v>49</v>
      </c>
      <c r="M4705">
        <v>9</v>
      </c>
      <c r="N4705">
        <v>4</v>
      </c>
      <c r="O4705">
        <v>0.78200000000000003</v>
      </c>
      <c r="P4705">
        <v>0.35697125800000001</v>
      </c>
      <c r="Q4705">
        <v>0.23799999999999999</v>
      </c>
    </row>
    <row r="4706" spans="1:17" x14ac:dyDescent="0.2">
      <c r="A4706" s="30" t="str">
        <f>IF(C4706&amp;G4706&amp;D4706&lt;&gt;'Funnel setup'!$K$3&amp;'Funnel setup'!$K$4&amp;'Funnel setup'!$K$5,".",IF(A4705=".",1,A4705+1))</f>
        <v>.</v>
      </c>
      <c r="B4706" s="431" t="str">
        <f t="shared" si="73"/>
        <v>Knee Replacement PrimaryProviderNUFFIELD HEALTH, IPSWICH HOSPITAL (NT222)EQ-5D Index</v>
      </c>
      <c r="C4706" t="s">
        <v>249</v>
      </c>
      <c r="D4706" t="s">
        <v>1</v>
      </c>
      <c r="E4706" t="s">
        <v>3385</v>
      </c>
      <c r="F4706" t="s">
        <v>3386</v>
      </c>
      <c r="G4706" t="s">
        <v>52</v>
      </c>
      <c r="H4706">
        <v>92</v>
      </c>
      <c r="I4706">
        <v>0.38100000000000001</v>
      </c>
      <c r="J4706">
        <v>0.81100000000000005</v>
      </c>
      <c r="K4706">
        <v>0.43</v>
      </c>
      <c r="L4706">
        <v>85</v>
      </c>
      <c r="M4706">
        <v>1</v>
      </c>
      <c r="N4706">
        <v>6</v>
      </c>
      <c r="O4706">
        <v>0.78900000000000003</v>
      </c>
      <c r="P4706">
        <v>0.36447871500000001</v>
      </c>
      <c r="Q4706">
        <v>0.17299999999999999</v>
      </c>
    </row>
    <row r="4707" spans="1:17" x14ac:dyDescent="0.2">
      <c r="A4707" s="30" t="str">
        <f>IF(C4707&amp;G4707&amp;D4707&lt;&gt;'Funnel setup'!$K$3&amp;'Funnel setup'!$K$4&amp;'Funnel setup'!$K$5,".",IF(A4706=".",1,A4706+1))</f>
        <v>.</v>
      </c>
      <c r="B4707" s="431" t="str">
        <f t="shared" si="73"/>
        <v>Knee Replacement PrimaryProviderNUFFIELD HEALTH, LEEDS HOSPITAL (NT225)EQ-5D Index</v>
      </c>
      <c r="C4707" t="s">
        <v>249</v>
      </c>
      <c r="D4707" t="s">
        <v>1</v>
      </c>
      <c r="E4707" t="s">
        <v>3388</v>
      </c>
      <c r="F4707" t="s">
        <v>3389</v>
      </c>
      <c r="G4707" t="s">
        <v>52</v>
      </c>
      <c r="H4707">
        <v>134</v>
      </c>
      <c r="I4707">
        <v>0.437</v>
      </c>
      <c r="J4707">
        <v>0.73899999999999999</v>
      </c>
      <c r="K4707">
        <v>0.30099999999999999</v>
      </c>
      <c r="L4707">
        <v>101</v>
      </c>
      <c r="M4707">
        <v>17</v>
      </c>
      <c r="N4707">
        <v>16</v>
      </c>
      <c r="O4707">
        <v>0.73399999999999999</v>
      </c>
      <c r="P4707">
        <v>0.30920641700000001</v>
      </c>
      <c r="Q4707">
        <v>0.20899999999999999</v>
      </c>
    </row>
    <row r="4708" spans="1:17" x14ac:dyDescent="0.2">
      <c r="A4708" s="30" t="str">
        <f>IF(C4708&amp;G4708&amp;D4708&lt;&gt;'Funnel setup'!$K$3&amp;'Funnel setup'!$K$4&amp;'Funnel setup'!$K$5,".",IF(A4707=".",1,A4707+1))</f>
        <v>.</v>
      </c>
      <c r="B4708" s="431" t="str">
        <f t="shared" si="73"/>
        <v>Knee Replacement PrimaryProviderNUFFIELD HEALTH, LEICESTER HOSPITAL (NT226)EQ-5D Index</v>
      </c>
      <c r="C4708" t="s">
        <v>249</v>
      </c>
      <c r="D4708" t="s">
        <v>1</v>
      </c>
      <c r="E4708" t="s">
        <v>3391</v>
      </c>
      <c r="F4708" t="s">
        <v>3392</v>
      </c>
      <c r="G4708" t="s">
        <v>52</v>
      </c>
      <c r="H4708">
        <v>49</v>
      </c>
      <c r="I4708">
        <v>0.42799999999999999</v>
      </c>
      <c r="J4708">
        <v>0.81799999999999995</v>
      </c>
      <c r="K4708">
        <v>0.39</v>
      </c>
      <c r="L4708">
        <v>42</v>
      </c>
      <c r="M4708">
        <v>4</v>
      </c>
      <c r="N4708">
        <v>3</v>
      </c>
      <c r="O4708">
        <v>0.79300000000000004</v>
      </c>
      <c r="P4708">
        <v>0.36783822399999999</v>
      </c>
      <c r="Q4708">
        <v>0.16900000000000001</v>
      </c>
    </row>
    <row r="4709" spans="1:17" x14ac:dyDescent="0.2">
      <c r="A4709" s="30" t="str">
        <f>IF(C4709&amp;G4709&amp;D4709&lt;&gt;'Funnel setup'!$K$3&amp;'Funnel setup'!$K$4&amp;'Funnel setup'!$K$5,".",IF(A4708=".",1,A4708+1))</f>
        <v>.</v>
      </c>
      <c r="B4709" s="431" t="str">
        <f t="shared" si="73"/>
        <v>Knee Replacement PrimaryProviderNUFFIELD HEALTH, NEWCASTLE UPON TYNE HOSPITAL (NT229)EQ-5D Index</v>
      </c>
      <c r="C4709" t="s">
        <v>249</v>
      </c>
      <c r="D4709" t="s">
        <v>1</v>
      </c>
      <c r="E4709" t="s">
        <v>3394</v>
      </c>
      <c r="F4709" t="s">
        <v>3395</v>
      </c>
      <c r="G4709" t="s">
        <v>52</v>
      </c>
      <c r="H4709">
        <v>38</v>
      </c>
      <c r="I4709">
        <v>0.48899999999999999</v>
      </c>
      <c r="J4709">
        <v>0.71799999999999997</v>
      </c>
      <c r="K4709">
        <v>0.22900000000000001</v>
      </c>
      <c r="L4709">
        <v>27</v>
      </c>
      <c r="M4709">
        <v>3</v>
      </c>
      <c r="N4709">
        <v>8</v>
      </c>
      <c r="O4709">
        <v>0.69</v>
      </c>
      <c r="P4709">
        <v>0.26474633800000003</v>
      </c>
      <c r="Q4709">
        <v>0.249</v>
      </c>
    </row>
    <row r="4710" spans="1:17" x14ac:dyDescent="0.2">
      <c r="A4710" s="30" t="str">
        <f>IF(C4710&amp;G4710&amp;D4710&lt;&gt;'Funnel setup'!$K$3&amp;'Funnel setup'!$K$4&amp;'Funnel setup'!$K$5,".",IF(A4709=".",1,A4709+1))</f>
        <v>.</v>
      </c>
      <c r="B4710" s="431" t="str">
        <f t="shared" si="73"/>
        <v>Knee Replacement PrimaryProviderNUFFIELD HEALTH, NORTH STAFFORDSHIRE HOSPITAL (NT230)EQ-5D Index</v>
      </c>
      <c r="C4710" t="s">
        <v>249</v>
      </c>
      <c r="D4710" t="s">
        <v>1</v>
      </c>
      <c r="E4710" t="s">
        <v>3397</v>
      </c>
      <c r="F4710" t="s">
        <v>3398</v>
      </c>
      <c r="G4710" t="s">
        <v>52</v>
      </c>
      <c r="H4710">
        <v>99</v>
      </c>
      <c r="I4710">
        <v>0.312</v>
      </c>
      <c r="J4710">
        <v>0.67700000000000005</v>
      </c>
      <c r="K4710">
        <v>0.36499999999999999</v>
      </c>
      <c r="L4710">
        <v>75</v>
      </c>
      <c r="M4710">
        <v>14</v>
      </c>
      <c r="N4710">
        <v>10</v>
      </c>
      <c r="O4710">
        <v>0.71</v>
      </c>
      <c r="P4710">
        <v>0.28473105500000001</v>
      </c>
      <c r="Q4710">
        <v>0.252</v>
      </c>
    </row>
    <row r="4711" spans="1:17" x14ac:dyDescent="0.2">
      <c r="A4711" s="30" t="str">
        <f>IF(C4711&amp;G4711&amp;D4711&lt;&gt;'Funnel setup'!$K$3&amp;'Funnel setup'!$K$4&amp;'Funnel setup'!$K$5,".",IF(A4710=".",1,A4710+1))</f>
        <v>.</v>
      </c>
      <c r="B4711" s="431" t="str">
        <f t="shared" si="73"/>
        <v>Knee Replacement PrimaryProviderNUFFIELD HEALTH, PLYMOUTH HOSPITAL (NT233)EQ-5D Index</v>
      </c>
      <c r="C4711" t="s">
        <v>249</v>
      </c>
      <c r="D4711" t="s">
        <v>1</v>
      </c>
      <c r="E4711" t="s">
        <v>3400</v>
      </c>
      <c r="F4711" t="s">
        <v>3401</v>
      </c>
      <c r="G4711" t="s">
        <v>52</v>
      </c>
      <c r="H4711">
        <v>102</v>
      </c>
      <c r="I4711">
        <v>0.50600000000000001</v>
      </c>
      <c r="J4711">
        <v>0.78900000000000003</v>
      </c>
      <c r="K4711">
        <v>0.28299999999999997</v>
      </c>
      <c r="L4711">
        <v>85</v>
      </c>
      <c r="M4711">
        <v>7</v>
      </c>
      <c r="N4711">
        <v>10</v>
      </c>
      <c r="O4711">
        <v>0.76</v>
      </c>
      <c r="P4711">
        <v>0.33507226000000001</v>
      </c>
      <c r="Q4711">
        <v>0.20100000000000001</v>
      </c>
    </row>
    <row r="4712" spans="1:17" x14ac:dyDescent="0.2">
      <c r="A4712" s="30" t="str">
        <f>IF(C4712&amp;G4712&amp;D4712&lt;&gt;'Funnel setup'!$K$3&amp;'Funnel setup'!$K$4&amp;'Funnel setup'!$K$5,".",IF(A4711=".",1,A4711+1))</f>
        <v>.</v>
      </c>
      <c r="B4712" s="431" t="str">
        <f t="shared" si="73"/>
        <v>Knee Replacement PrimaryProviderNUFFIELD HEALTH, SHREWSBURY HOSPITAL (NT235)EQ-5D Index</v>
      </c>
      <c r="C4712" t="s">
        <v>249</v>
      </c>
      <c r="D4712" t="s">
        <v>1</v>
      </c>
      <c r="E4712" t="s">
        <v>3240</v>
      </c>
      <c r="F4712" t="s">
        <v>3241</v>
      </c>
      <c r="G4712" t="s">
        <v>52</v>
      </c>
      <c r="H4712" t="s">
        <v>53</v>
      </c>
      <c r="I4712" t="s">
        <v>53</v>
      </c>
      <c r="J4712" t="s">
        <v>53</v>
      </c>
      <c r="K4712" t="s">
        <v>53</v>
      </c>
      <c r="L4712" t="s">
        <v>53</v>
      </c>
      <c r="M4712" t="s">
        <v>53</v>
      </c>
      <c r="N4712" t="s">
        <v>53</v>
      </c>
      <c r="O4712" t="s">
        <v>53</v>
      </c>
      <c r="P4712" t="s">
        <v>53</v>
      </c>
      <c r="Q4712" t="s">
        <v>53</v>
      </c>
    </row>
    <row r="4713" spans="1:17" x14ac:dyDescent="0.2">
      <c r="A4713" s="30" t="str">
        <f>IF(C4713&amp;G4713&amp;D4713&lt;&gt;'Funnel setup'!$K$3&amp;'Funnel setup'!$K$4&amp;'Funnel setup'!$K$5,".",IF(A4712=".",1,A4712+1))</f>
        <v>.</v>
      </c>
      <c r="B4713" s="431" t="str">
        <f t="shared" si="73"/>
        <v>Knee Replacement PrimaryProviderNUFFIELD HEALTH, TAUNTON HOSPITAL (NT238)EQ-5D Index</v>
      </c>
      <c r="C4713" t="s">
        <v>249</v>
      </c>
      <c r="D4713" t="s">
        <v>1</v>
      </c>
      <c r="E4713" t="s">
        <v>3243</v>
      </c>
      <c r="F4713" t="s">
        <v>3244</v>
      </c>
      <c r="G4713" t="s">
        <v>52</v>
      </c>
      <c r="H4713">
        <v>72</v>
      </c>
      <c r="I4713">
        <v>0.56200000000000006</v>
      </c>
      <c r="J4713">
        <v>0.79100000000000004</v>
      </c>
      <c r="K4713">
        <v>0.22900000000000001</v>
      </c>
      <c r="L4713">
        <v>58</v>
      </c>
      <c r="M4713">
        <v>9</v>
      </c>
      <c r="N4713">
        <v>5</v>
      </c>
      <c r="O4713">
        <v>0.71199999999999997</v>
      </c>
      <c r="P4713">
        <v>0.28727373699999997</v>
      </c>
      <c r="Q4713">
        <v>0.20300000000000001</v>
      </c>
    </row>
    <row r="4714" spans="1:17" x14ac:dyDescent="0.2">
      <c r="A4714" s="30" t="str">
        <f>IF(C4714&amp;G4714&amp;D4714&lt;&gt;'Funnel setup'!$K$3&amp;'Funnel setup'!$K$4&amp;'Funnel setup'!$K$5,".",IF(A4713=".",1,A4713+1))</f>
        <v>.</v>
      </c>
      <c r="B4714" s="431" t="str">
        <f t="shared" si="73"/>
        <v>Knee Replacement PrimaryProviderNUFFIELD HEALTH, TEES HOSPITAL (NT237)EQ-5D Index</v>
      </c>
      <c r="C4714" t="s">
        <v>249</v>
      </c>
      <c r="D4714" t="s">
        <v>1</v>
      </c>
      <c r="E4714" t="s">
        <v>3246</v>
      </c>
      <c r="F4714" t="s">
        <v>3247</v>
      </c>
      <c r="G4714" t="s">
        <v>52</v>
      </c>
      <c r="H4714">
        <v>152</v>
      </c>
      <c r="I4714">
        <v>0.46800000000000003</v>
      </c>
      <c r="J4714">
        <v>0.79100000000000004</v>
      </c>
      <c r="K4714">
        <v>0.32300000000000001</v>
      </c>
      <c r="L4714">
        <v>129</v>
      </c>
      <c r="M4714">
        <v>17</v>
      </c>
      <c r="N4714">
        <v>6</v>
      </c>
      <c r="O4714">
        <v>0.76400000000000001</v>
      </c>
      <c r="P4714">
        <v>0.33942237800000002</v>
      </c>
      <c r="Q4714">
        <v>0.19800000000000001</v>
      </c>
    </row>
    <row r="4715" spans="1:17" x14ac:dyDescent="0.2">
      <c r="A4715" s="30" t="str">
        <f>IF(C4715&amp;G4715&amp;D4715&lt;&gt;'Funnel setup'!$K$3&amp;'Funnel setup'!$K$4&amp;'Funnel setup'!$K$5,".",IF(A4714=".",1,A4714+1))</f>
        <v>.</v>
      </c>
      <c r="B4715" s="431" t="str">
        <f t="shared" si="73"/>
        <v>Knee Replacement PrimaryProviderNUFFIELD HEALTH, THE GROSVENOR HOSPITAL, CHESTER (NT210)EQ-5D Index</v>
      </c>
      <c r="C4715" t="s">
        <v>249</v>
      </c>
      <c r="D4715" t="s">
        <v>1</v>
      </c>
      <c r="E4715" t="s">
        <v>3249</v>
      </c>
      <c r="F4715" t="s">
        <v>3250</v>
      </c>
      <c r="G4715" t="s">
        <v>52</v>
      </c>
      <c r="H4715">
        <v>64</v>
      </c>
      <c r="I4715">
        <v>0.54800000000000004</v>
      </c>
      <c r="J4715">
        <v>0.77800000000000002</v>
      </c>
      <c r="K4715">
        <v>0.23</v>
      </c>
      <c r="L4715">
        <v>53</v>
      </c>
      <c r="M4715">
        <v>6</v>
      </c>
      <c r="N4715">
        <v>5</v>
      </c>
      <c r="O4715">
        <v>0.73799999999999999</v>
      </c>
      <c r="P4715">
        <v>0.31267043300000003</v>
      </c>
      <c r="Q4715">
        <v>0.193</v>
      </c>
    </row>
    <row r="4716" spans="1:17" x14ac:dyDescent="0.2">
      <c r="A4716" s="30" t="str">
        <f>IF(C4716&amp;G4716&amp;D4716&lt;&gt;'Funnel setup'!$K$3&amp;'Funnel setup'!$K$4&amp;'Funnel setup'!$K$5,".",IF(A4715=".",1,A4715+1))</f>
        <v>.</v>
      </c>
      <c r="B4716" s="431" t="str">
        <f t="shared" si="73"/>
        <v>Knee Replacement PrimaryProviderNUFFIELD HEALTH, TUNBRIDGE WELLS HOSPITAL (NT239)EQ-5D Index</v>
      </c>
      <c r="C4716" t="s">
        <v>249</v>
      </c>
      <c r="D4716" t="s">
        <v>1</v>
      </c>
      <c r="E4716" t="s">
        <v>3252</v>
      </c>
      <c r="F4716" t="s">
        <v>3253</v>
      </c>
      <c r="G4716" t="s">
        <v>52</v>
      </c>
      <c r="H4716" t="s">
        <v>53</v>
      </c>
      <c r="I4716" t="s">
        <v>53</v>
      </c>
      <c r="J4716" t="s">
        <v>53</v>
      </c>
      <c r="K4716" t="s">
        <v>53</v>
      </c>
      <c r="L4716" t="s">
        <v>53</v>
      </c>
      <c r="M4716" t="s">
        <v>53</v>
      </c>
      <c r="N4716" t="s">
        <v>53</v>
      </c>
      <c r="O4716" t="s">
        <v>53</v>
      </c>
      <c r="P4716" t="s">
        <v>53</v>
      </c>
      <c r="Q4716" t="s">
        <v>53</v>
      </c>
    </row>
    <row r="4717" spans="1:17" x14ac:dyDescent="0.2">
      <c r="A4717" s="30" t="str">
        <f>IF(C4717&amp;G4717&amp;D4717&lt;&gt;'Funnel setup'!$K$3&amp;'Funnel setup'!$K$4&amp;'Funnel setup'!$K$5,".",IF(A4716=".",1,A4716+1))</f>
        <v>.</v>
      </c>
      <c r="B4717" s="431" t="str">
        <f t="shared" si="73"/>
        <v>Knee Replacement PrimaryProviderNUFFIELD HEALTH, WARWICKSHIRE HOSPITAL (NT224)EQ-5D Index</v>
      </c>
      <c r="C4717" t="s">
        <v>249</v>
      </c>
      <c r="D4717" t="s">
        <v>1</v>
      </c>
      <c r="E4717" t="s">
        <v>3255</v>
      </c>
      <c r="F4717" t="s">
        <v>3256</v>
      </c>
      <c r="G4717" t="s">
        <v>52</v>
      </c>
      <c r="H4717" t="s">
        <v>53</v>
      </c>
      <c r="I4717" t="s">
        <v>53</v>
      </c>
      <c r="J4717" t="s">
        <v>53</v>
      </c>
      <c r="K4717" t="s">
        <v>53</v>
      </c>
      <c r="L4717" t="s">
        <v>53</v>
      </c>
      <c r="M4717" t="s">
        <v>53</v>
      </c>
      <c r="N4717" t="s">
        <v>53</v>
      </c>
      <c r="O4717" t="s">
        <v>53</v>
      </c>
      <c r="P4717" t="s">
        <v>53</v>
      </c>
      <c r="Q4717" t="s">
        <v>53</v>
      </c>
    </row>
    <row r="4718" spans="1:17" x14ac:dyDescent="0.2">
      <c r="A4718" s="30" t="str">
        <f>IF(C4718&amp;G4718&amp;D4718&lt;&gt;'Funnel setup'!$K$3&amp;'Funnel setup'!$K$4&amp;'Funnel setup'!$K$5,".",IF(A4717=".",1,A4717+1))</f>
        <v>.</v>
      </c>
      <c r="B4718" s="431" t="str">
        <f t="shared" si="73"/>
        <v>Knee Replacement PrimaryProviderNUFFIELD HEALTH, WESSEX HOSPITAL (NT214)EQ-5D Index</v>
      </c>
      <c r="C4718" t="s">
        <v>249</v>
      </c>
      <c r="D4718" t="s">
        <v>1</v>
      </c>
      <c r="E4718" t="s">
        <v>3258</v>
      </c>
      <c r="F4718" t="s">
        <v>3259</v>
      </c>
      <c r="G4718" t="s">
        <v>52</v>
      </c>
      <c r="H4718">
        <v>45</v>
      </c>
      <c r="I4718">
        <v>0.49</v>
      </c>
      <c r="J4718">
        <v>0.80200000000000005</v>
      </c>
      <c r="K4718">
        <v>0.312</v>
      </c>
      <c r="L4718">
        <v>39</v>
      </c>
      <c r="M4718">
        <v>3</v>
      </c>
      <c r="N4718">
        <v>3</v>
      </c>
      <c r="O4718">
        <v>0.75</v>
      </c>
      <c r="P4718">
        <v>0.32527206600000003</v>
      </c>
      <c r="Q4718">
        <v>0.17199999999999999</v>
      </c>
    </row>
    <row r="4719" spans="1:17" x14ac:dyDescent="0.2">
      <c r="A4719" s="30" t="str">
        <f>IF(C4719&amp;G4719&amp;D4719&lt;&gt;'Funnel setup'!$K$3&amp;'Funnel setup'!$K$4&amp;'Funnel setup'!$K$5,".",IF(A4718=".",1,A4718+1))</f>
        <v>.</v>
      </c>
      <c r="B4719" s="431" t="str">
        <f t="shared" si="73"/>
        <v>Knee Replacement PrimaryProviderNUFFIELD HEALTH, WOKING HOSPITAL (NT241)EQ-5D Index</v>
      </c>
      <c r="C4719" t="s">
        <v>249</v>
      </c>
      <c r="D4719" t="s">
        <v>1</v>
      </c>
      <c r="E4719" t="s">
        <v>3261</v>
      </c>
      <c r="F4719" t="s">
        <v>3262</v>
      </c>
      <c r="G4719" t="s">
        <v>52</v>
      </c>
      <c r="H4719">
        <v>17</v>
      </c>
      <c r="I4719">
        <v>0.42899999999999999</v>
      </c>
      <c r="J4719">
        <v>0.81</v>
      </c>
      <c r="K4719">
        <v>0.38100000000000001</v>
      </c>
      <c r="L4719">
        <v>14</v>
      </c>
      <c r="M4719">
        <v>1</v>
      </c>
      <c r="N4719">
        <v>2</v>
      </c>
      <c r="O4719" t="s">
        <v>53</v>
      </c>
      <c r="P4719" t="s">
        <v>53</v>
      </c>
      <c r="Q4719" t="s">
        <v>53</v>
      </c>
    </row>
    <row r="4720" spans="1:17" x14ac:dyDescent="0.2">
      <c r="A4720" s="30" t="str">
        <f>IF(C4720&amp;G4720&amp;D4720&lt;&gt;'Funnel setup'!$K$3&amp;'Funnel setup'!$K$4&amp;'Funnel setup'!$K$5,".",IF(A4719=".",1,A4719+1))</f>
        <v>.</v>
      </c>
      <c r="B4720" s="431" t="str">
        <f t="shared" si="73"/>
        <v>Knee Replacement PrimaryProviderNUFFIELD HEALTH, WOLVERHAMPTON HOSPITAL (NT242)EQ-5D Index</v>
      </c>
      <c r="C4720" t="s">
        <v>249</v>
      </c>
      <c r="D4720" t="s">
        <v>1</v>
      </c>
      <c r="E4720" t="s">
        <v>3264</v>
      </c>
      <c r="F4720" t="s">
        <v>3265</v>
      </c>
      <c r="G4720" t="s">
        <v>52</v>
      </c>
      <c r="H4720">
        <v>79</v>
      </c>
      <c r="I4720">
        <v>0.42799999999999999</v>
      </c>
      <c r="J4720">
        <v>0.74199999999999999</v>
      </c>
      <c r="K4720">
        <v>0.314</v>
      </c>
      <c r="L4720">
        <v>70</v>
      </c>
      <c r="M4720">
        <v>5</v>
      </c>
      <c r="N4720">
        <v>4</v>
      </c>
      <c r="O4720">
        <v>0.73799999999999999</v>
      </c>
      <c r="P4720">
        <v>0.31282294799999999</v>
      </c>
      <c r="Q4720">
        <v>0.19400000000000001</v>
      </c>
    </row>
    <row r="4721" spans="1:17" x14ac:dyDescent="0.2">
      <c r="A4721" s="30" t="str">
        <f>IF(C4721&amp;G4721&amp;D4721&lt;&gt;'Funnel setup'!$K$3&amp;'Funnel setup'!$K$4&amp;'Funnel setup'!$K$5,".",IF(A4720=".",1,A4720+1))</f>
        <v>.</v>
      </c>
      <c r="B4721" s="431" t="str">
        <f t="shared" si="73"/>
        <v>Knee Replacement PrimaryProviderNUFFIELD HEALTH, YORK HOSPITAL (NT245)EQ-5D Index</v>
      </c>
      <c r="C4721" t="s">
        <v>249</v>
      </c>
      <c r="D4721" t="s">
        <v>1</v>
      </c>
      <c r="E4721" t="s">
        <v>4299</v>
      </c>
      <c r="F4721" t="s">
        <v>4300</v>
      </c>
      <c r="G4721" t="s">
        <v>52</v>
      </c>
      <c r="H4721">
        <v>133</v>
      </c>
      <c r="I4721">
        <v>0.498</v>
      </c>
      <c r="J4721">
        <v>0.81599999999999995</v>
      </c>
      <c r="K4721">
        <v>0.318</v>
      </c>
      <c r="L4721">
        <v>114</v>
      </c>
      <c r="M4721">
        <v>9</v>
      </c>
      <c r="N4721">
        <v>10</v>
      </c>
      <c r="O4721">
        <v>0.75600000000000001</v>
      </c>
      <c r="P4721">
        <v>0.33110536600000001</v>
      </c>
      <c r="Q4721">
        <v>0.18</v>
      </c>
    </row>
    <row r="4722" spans="1:17" x14ac:dyDescent="0.2">
      <c r="A4722" s="30" t="str">
        <f>IF(C4722&amp;G4722&amp;D4722&lt;&gt;'Funnel setup'!$K$3&amp;'Funnel setup'!$K$4&amp;'Funnel setup'!$K$5,".",IF(A4721=".",1,A4721+1))</f>
        <v>.</v>
      </c>
      <c r="B4722" s="431" t="str">
        <f t="shared" si="73"/>
        <v>Knee Replacement PrimaryProviderNUFFIELD HOSPITAL OXFORD (THE MANOR) (NT244)EQ-5D Index</v>
      </c>
      <c r="C4722" t="s">
        <v>249</v>
      </c>
      <c r="D4722" t="s">
        <v>1</v>
      </c>
      <c r="E4722" t="s">
        <v>4302</v>
      </c>
      <c r="F4722" t="s">
        <v>4303</v>
      </c>
      <c r="G4722" t="s">
        <v>52</v>
      </c>
      <c r="H4722">
        <v>8</v>
      </c>
      <c r="I4722">
        <v>0.47499999999999998</v>
      </c>
      <c r="J4722">
        <v>0.80800000000000005</v>
      </c>
      <c r="K4722">
        <v>0.33300000000000002</v>
      </c>
      <c r="L4722">
        <v>7</v>
      </c>
      <c r="M4722">
        <v>0</v>
      </c>
      <c r="N4722">
        <v>1</v>
      </c>
      <c r="O4722" t="s">
        <v>53</v>
      </c>
      <c r="P4722" t="s">
        <v>53</v>
      </c>
      <c r="Q4722" t="s">
        <v>53</v>
      </c>
    </row>
    <row r="4723" spans="1:17" x14ac:dyDescent="0.2">
      <c r="A4723" s="30" t="str">
        <f>IF(C4723&amp;G4723&amp;D4723&lt;&gt;'Funnel setup'!$K$3&amp;'Funnel setup'!$K$4&amp;'Funnel setup'!$K$5,".",IF(A4722=".",1,A4722+1))</f>
        <v>.</v>
      </c>
      <c r="B4723" s="431" t="str">
        <f t="shared" si="73"/>
        <v>Knee Replacement PrimaryProviderOAKLANDS HOSPITAL (NVC12)EQ-5D Index</v>
      </c>
      <c r="C4723" t="s">
        <v>249</v>
      </c>
      <c r="D4723" t="s">
        <v>1</v>
      </c>
      <c r="E4723" t="s">
        <v>3267</v>
      </c>
      <c r="F4723" t="s">
        <v>3268</v>
      </c>
      <c r="G4723" t="s">
        <v>52</v>
      </c>
      <c r="H4723">
        <v>131</v>
      </c>
      <c r="I4723">
        <v>0.38100000000000001</v>
      </c>
      <c r="J4723">
        <v>0.70199999999999996</v>
      </c>
      <c r="K4723">
        <v>0.32200000000000001</v>
      </c>
      <c r="L4723">
        <v>103</v>
      </c>
      <c r="M4723">
        <v>14</v>
      </c>
      <c r="N4723">
        <v>14</v>
      </c>
      <c r="O4723">
        <v>0.73399999999999999</v>
      </c>
      <c r="P4723">
        <v>0.30908223800000001</v>
      </c>
      <c r="Q4723">
        <v>0.251</v>
      </c>
    </row>
    <row r="4724" spans="1:17" x14ac:dyDescent="0.2">
      <c r="A4724" s="30" t="str">
        <f>IF(C4724&amp;G4724&amp;D4724&lt;&gt;'Funnel setup'!$K$3&amp;'Funnel setup'!$K$4&amp;'Funnel setup'!$K$5,".",IF(A4723=".",1,A4723+1))</f>
        <v>.</v>
      </c>
      <c r="B4724" s="431" t="str">
        <f t="shared" si="73"/>
        <v>Knee Replacement PrimaryProviderOAKS HOSPITAL (NVC13)EQ-5D Index</v>
      </c>
      <c r="C4724" t="s">
        <v>249</v>
      </c>
      <c r="D4724" t="s">
        <v>1</v>
      </c>
      <c r="E4724" t="s">
        <v>3270</v>
      </c>
      <c r="F4724" t="s">
        <v>3271</v>
      </c>
      <c r="G4724" t="s">
        <v>52</v>
      </c>
      <c r="H4724">
        <v>156</v>
      </c>
      <c r="I4724">
        <v>0.502</v>
      </c>
      <c r="J4724">
        <v>0.77300000000000002</v>
      </c>
      <c r="K4724">
        <v>0.27100000000000002</v>
      </c>
      <c r="L4724">
        <v>123</v>
      </c>
      <c r="M4724">
        <v>16</v>
      </c>
      <c r="N4724">
        <v>17</v>
      </c>
      <c r="O4724">
        <v>0.746</v>
      </c>
      <c r="P4724">
        <v>0.32061420800000001</v>
      </c>
      <c r="Q4724">
        <v>0.21299999999999999</v>
      </c>
    </row>
    <row r="4725" spans="1:17" x14ac:dyDescent="0.2">
      <c r="A4725" s="30" t="str">
        <f>IF(C4725&amp;G4725&amp;D4725&lt;&gt;'Funnel setup'!$K$3&amp;'Funnel setup'!$K$4&amp;'Funnel setup'!$K$5,".",IF(A4724=".",1,A4724+1))</f>
        <v>.</v>
      </c>
      <c r="B4725" s="431" t="str">
        <f t="shared" si="73"/>
        <v>Knee Replacement PrimaryProviderONE HEALTH GROUP LTD (NTX01)EQ-5D Index</v>
      </c>
      <c r="C4725" t="s">
        <v>249</v>
      </c>
      <c r="D4725" t="s">
        <v>1</v>
      </c>
      <c r="E4725" t="s">
        <v>6507</v>
      </c>
      <c r="F4725" t="s">
        <v>6508</v>
      </c>
      <c r="G4725" t="s">
        <v>52</v>
      </c>
      <c r="H4725">
        <v>34</v>
      </c>
      <c r="I4725">
        <v>0.435</v>
      </c>
      <c r="J4725">
        <v>0.82299999999999995</v>
      </c>
      <c r="K4725">
        <v>0.38800000000000001</v>
      </c>
      <c r="L4725">
        <v>30</v>
      </c>
      <c r="M4725">
        <v>2</v>
      </c>
      <c r="N4725">
        <v>2</v>
      </c>
      <c r="O4725">
        <v>0.76800000000000002</v>
      </c>
      <c r="P4725">
        <v>0.34288897099999999</v>
      </c>
      <c r="Q4725">
        <v>0.182</v>
      </c>
    </row>
    <row r="4726" spans="1:17" x14ac:dyDescent="0.2">
      <c r="A4726" s="30" t="str">
        <f>IF(C4726&amp;G4726&amp;D4726&lt;&gt;'Funnel setup'!$K$3&amp;'Funnel setup'!$K$4&amp;'Funnel setup'!$K$5,".",IF(A4725=".",1,A4725+1))</f>
        <v>.</v>
      </c>
      <c r="B4726" s="431" t="str">
        <f t="shared" si="73"/>
        <v>Knee Replacement PrimaryProviderOXFORD UNIVERSITY HOSPITALS NHS FOUNDATION TRUST (RTH)EQ-5D Index</v>
      </c>
      <c r="C4726" t="s">
        <v>249</v>
      </c>
      <c r="D4726" t="s">
        <v>1</v>
      </c>
      <c r="E4726" t="s">
        <v>3278</v>
      </c>
      <c r="F4726" t="s">
        <v>6578</v>
      </c>
      <c r="G4726" t="s">
        <v>52</v>
      </c>
      <c r="H4726">
        <v>237</v>
      </c>
      <c r="I4726">
        <v>0.42899999999999999</v>
      </c>
      <c r="J4726">
        <v>0.71599999999999997</v>
      </c>
      <c r="K4726">
        <v>0.28699999999999998</v>
      </c>
      <c r="L4726">
        <v>189</v>
      </c>
      <c r="M4726">
        <v>30</v>
      </c>
      <c r="N4726">
        <v>18</v>
      </c>
      <c r="O4726">
        <v>0.70599999999999996</v>
      </c>
      <c r="P4726">
        <v>0.281232924</v>
      </c>
      <c r="Q4726">
        <v>0.22</v>
      </c>
    </row>
    <row r="4727" spans="1:17" x14ac:dyDescent="0.2">
      <c r="A4727" s="30" t="str">
        <f>IF(C4727&amp;G4727&amp;D4727&lt;&gt;'Funnel setup'!$K$3&amp;'Funnel setup'!$K$4&amp;'Funnel setup'!$K$5,".",IF(A4726=".",1,A4726+1))</f>
        <v>.</v>
      </c>
      <c r="B4727" s="431" t="str">
        <f t="shared" si="73"/>
        <v>Knee Replacement PrimaryProviderPARK HILL HOSPITAL (NVC14)EQ-5D Index</v>
      </c>
      <c r="C4727" t="s">
        <v>249</v>
      </c>
      <c r="D4727" t="s">
        <v>1</v>
      </c>
      <c r="E4727" t="s">
        <v>3280</v>
      </c>
      <c r="F4727" t="s">
        <v>3281</v>
      </c>
      <c r="G4727" t="s">
        <v>52</v>
      </c>
      <c r="H4727">
        <v>32</v>
      </c>
      <c r="I4727">
        <v>0.41199999999999998</v>
      </c>
      <c r="J4727">
        <v>0.72</v>
      </c>
      <c r="K4727">
        <v>0.308</v>
      </c>
      <c r="L4727">
        <v>25</v>
      </c>
      <c r="M4727">
        <v>3</v>
      </c>
      <c r="N4727">
        <v>4</v>
      </c>
      <c r="O4727">
        <v>0.73199999999999998</v>
      </c>
      <c r="P4727">
        <v>0.30690713200000003</v>
      </c>
      <c r="Q4727">
        <v>0.19700000000000001</v>
      </c>
    </row>
    <row r="4728" spans="1:17" x14ac:dyDescent="0.2">
      <c r="A4728" s="30" t="str">
        <f>IF(C4728&amp;G4728&amp;D4728&lt;&gt;'Funnel setup'!$K$3&amp;'Funnel setup'!$K$4&amp;'Funnel setup'!$K$5,".",IF(A4727=".",1,A4727+1))</f>
        <v>.</v>
      </c>
      <c r="B4728" s="431" t="str">
        <f t="shared" si="73"/>
        <v>Knee Replacement PrimaryProviderPENINSULA NHS TREATMENT CENTRE (NTPH5)EQ-5D Index</v>
      </c>
      <c r="C4728" t="s">
        <v>249</v>
      </c>
      <c r="D4728" t="s">
        <v>1</v>
      </c>
      <c r="E4728" t="s">
        <v>4285</v>
      </c>
      <c r="F4728" t="s">
        <v>4286</v>
      </c>
      <c r="G4728" t="s">
        <v>52</v>
      </c>
      <c r="H4728">
        <v>222</v>
      </c>
      <c r="I4728">
        <v>0.54700000000000004</v>
      </c>
      <c r="J4728">
        <v>0.78100000000000003</v>
      </c>
      <c r="K4728">
        <v>0.23400000000000001</v>
      </c>
      <c r="L4728">
        <v>177</v>
      </c>
      <c r="M4728">
        <v>18</v>
      </c>
      <c r="N4728">
        <v>27</v>
      </c>
      <c r="O4728">
        <v>0.72899999999999998</v>
      </c>
      <c r="P4728">
        <v>0.30421102100000003</v>
      </c>
      <c r="Q4728">
        <v>0.19800000000000001</v>
      </c>
    </row>
    <row r="4729" spans="1:17" x14ac:dyDescent="0.2">
      <c r="A4729" s="30" t="str">
        <f>IF(C4729&amp;G4729&amp;D4729&lt;&gt;'Funnel setup'!$K$3&amp;'Funnel setup'!$K$4&amp;'Funnel setup'!$K$5,".",IF(A4728=".",1,A4728+1))</f>
        <v>.</v>
      </c>
      <c r="B4729" s="431" t="str">
        <f t="shared" si="73"/>
        <v>Knee Replacement PrimaryProviderPENNINE ACUTE HOSPITALS NHS TRUST (RW6)EQ-5D Index</v>
      </c>
      <c r="C4729" t="s">
        <v>249</v>
      </c>
      <c r="D4729" t="s">
        <v>1</v>
      </c>
      <c r="E4729" t="s">
        <v>3216</v>
      </c>
      <c r="F4729" t="s">
        <v>3217</v>
      </c>
      <c r="G4729" t="s">
        <v>52</v>
      </c>
      <c r="H4729">
        <v>165</v>
      </c>
      <c r="I4729">
        <v>0.30199999999999999</v>
      </c>
      <c r="J4729">
        <v>0.64300000000000002</v>
      </c>
      <c r="K4729">
        <v>0.34100000000000003</v>
      </c>
      <c r="L4729">
        <v>134</v>
      </c>
      <c r="M4729">
        <v>15</v>
      </c>
      <c r="N4729">
        <v>16</v>
      </c>
      <c r="O4729">
        <v>0.72</v>
      </c>
      <c r="P4729">
        <v>0.29542921799999999</v>
      </c>
      <c r="Q4729">
        <v>0.28799999999999998</v>
      </c>
    </row>
    <row r="4730" spans="1:17" x14ac:dyDescent="0.2">
      <c r="A4730" s="30" t="str">
        <f>IF(C4730&amp;G4730&amp;D4730&lt;&gt;'Funnel setup'!$K$3&amp;'Funnel setup'!$K$4&amp;'Funnel setup'!$K$5,".",IF(A4729=".",1,A4729+1))</f>
        <v>.</v>
      </c>
      <c r="B4730" s="431" t="str">
        <f t="shared" si="73"/>
        <v>Knee Replacement PrimaryProviderPETERBOROUGH AND STAMFORD HOSPITALS NHS FOUNDATION TRUST (RGN)EQ-5D Index</v>
      </c>
      <c r="C4730" t="s">
        <v>249</v>
      </c>
      <c r="D4730" t="s">
        <v>1</v>
      </c>
      <c r="E4730" t="s">
        <v>3219</v>
      </c>
      <c r="F4730" t="s">
        <v>3220</v>
      </c>
      <c r="G4730" t="s">
        <v>52</v>
      </c>
      <c r="H4730">
        <v>229</v>
      </c>
      <c r="I4730">
        <v>0.42599999999999999</v>
      </c>
      <c r="J4730">
        <v>0.74099999999999999</v>
      </c>
      <c r="K4730">
        <v>0.316</v>
      </c>
      <c r="L4730">
        <v>178</v>
      </c>
      <c r="M4730">
        <v>24</v>
      </c>
      <c r="N4730">
        <v>27</v>
      </c>
      <c r="O4730">
        <v>0.73899999999999999</v>
      </c>
      <c r="P4730">
        <v>0.31360979999999999</v>
      </c>
      <c r="Q4730">
        <v>0.215</v>
      </c>
    </row>
    <row r="4731" spans="1:17" x14ac:dyDescent="0.2">
      <c r="A4731" s="30" t="str">
        <f>IF(C4731&amp;G4731&amp;D4731&lt;&gt;'Funnel setup'!$K$3&amp;'Funnel setup'!$K$4&amp;'Funnel setup'!$K$5,".",IF(A4730=".",1,A4730+1))</f>
        <v>.</v>
      </c>
      <c r="B4731" s="431" t="str">
        <f t="shared" si="73"/>
        <v>Knee Replacement PrimaryProviderPINEHILL HOSPITAL (NVC15)EQ-5D Index</v>
      </c>
      <c r="C4731" t="s">
        <v>249</v>
      </c>
      <c r="D4731" t="s">
        <v>1</v>
      </c>
      <c r="E4731" t="s">
        <v>3222</v>
      </c>
      <c r="F4731" t="s">
        <v>3223</v>
      </c>
      <c r="G4731" t="s">
        <v>52</v>
      </c>
      <c r="H4731">
        <v>37</v>
      </c>
      <c r="I4731">
        <v>0.40300000000000002</v>
      </c>
      <c r="J4731">
        <v>0.69099999999999995</v>
      </c>
      <c r="K4731">
        <v>0.28799999999999998</v>
      </c>
      <c r="L4731">
        <v>27</v>
      </c>
      <c r="M4731">
        <v>6</v>
      </c>
      <c r="N4731">
        <v>4</v>
      </c>
      <c r="O4731">
        <v>0.69199999999999995</v>
      </c>
      <c r="P4731">
        <v>0.26732092800000001</v>
      </c>
      <c r="Q4731">
        <v>0.27200000000000002</v>
      </c>
    </row>
    <row r="4732" spans="1:17" x14ac:dyDescent="0.2">
      <c r="A4732" s="30" t="str">
        <f>IF(C4732&amp;G4732&amp;D4732&lt;&gt;'Funnel setup'!$K$3&amp;'Funnel setup'!$K$4&amp;'Funnel setup'!$K$5,".",IF(A4731=".",1,A4731+1))</f>
        <v>.</v>
      </c>
      <c r="B4732" s="431" t="str">
        <f t="shared" si="73"/>
        <v>Knee Replacement PrimaryProviderPLYMOUTH HOSPITALS NHS TRUST (RK9)EQ-5D Index</v>
      </c>
      <c r="C4732" t="s">
        <v>249</v>
      </c>
      <c r="D4732" t="s">
        <v>1</v>
      </c>
      <c r="E4732" t="s">
        <v>3225</v>
      </c>
      <c r="F4732" t="s">
        <v>3226</v>
      </c>
      <c r="G4732" t="s">
        <v>52</v>
      </c>
      <c r="H4732">
        <v>202</v>
      </c>
      <c r="I4732">
        <v>0.38800000000000001</v>
      </c>
      <c r="J4732">
        <v>0.69399999999999995</v>
      </c>
      <c r="K4732">
        <v>0.30599999999999999</v>
      </c>
      <c r="L4732">
        <v>162</v>
      </c>
      <c r="M4732">
        <v>17</v>
      </c>
      <c r="N4732">
        <v>23</v>
      </c>
      <c r="O4732">
        <v>0.71599999999999997</v>
      </c>
      <c r="P4732">
        <v>0.29051891499999999</v>
      </c>
      <c r="Q4732">
        <v>0.25600000000000001</v>
      </c>
    </row>
    <row r="4733" spans="1:17" x14ac:dyDescent="0.2">
      <c r="A4733" s="30" t="str">
        <f>IF(C4733&amp;G4733&amp;D4733&lt;&gt;'Funnel setup'!$K$3&amp;'Funnel setup'!$K$4&amp;'Funnel setup'!$K$5,".",IF(A4732=".",1,A4732+1))</f>
        <v>.</v>
      </c>
      <c r="B4733" s="431" t="str">
        <f t="shared" si="73"/>
        <v>Knee Replacement PrimaryProviderPORTSMOUTH HOSPITALS NHS TRUST (RHU)EQ-5D Index</v>
      </c>
      <c r="C4733" t="s">
        <v>249</v>
      </c>
      <c r="D4733" t="s">
        <v>1</v>
      </c>
      <c r="E4733" t="s">
        <v>3234</v>
      </c>
      <c r="F4733" t="s">
        <v>3235</v>
      </c>
      <c r="G4733" t="s">
        <v>52</v>
      </c>
      <c r="H4733">
        <v>142</v>
      </c>
      <c r="I4733">
        <v>0.40699999999999997</v>
      </c>
      <c r="J4733">
        <v>0.70899999999999996</v>
      </c>
      <c r="K4733">
        <v>0.30199999999999999</v>
      </c>
      <c r="L4733">
        <v>119</v>
      </c>
      <c r="M4733">
        <v>12</v>
      </c>
      <c r="N4733">
        <v>11</v>
      </c>
      <c r="O4733">
        <v>0.70299999999999996</v>
      </c>
      <c r="P4733">
        <v>0.27811000800000002</v>
      </c>
      <c r="Q4733">
        <v>0.23200000000000001</v>
      </c>
    </row>
    <row r="4734" spans="1:17" x14ac:dyDescent="0.2">
      <c r="A4734" s="30" t="str">
        <f>IF(C4734&amp;G4734&amp;D4734&lt;&gt;'Funnel setup'!$K$3&amp;'Funnel setup'!$K$4&amp;'Funnel setup'!$K$5,".",IF(A4733=".",1,A4733+1))</f>
        <v>.</v>
      </c>
      <c r="B4734" s="431" t="str">
        <f t="shared" si="73"/>
        <v>Knee Replacement PrimaryProviderRENACRES HOSPITAL (NVC16)EQ-5D Index</v>
      </c>
      <c r="C4734" t="s">
        <v>249</v>
      </c>
      <c r="D4734" t="s">
        <v>1</v>
      </c>
      <c r="E4734" t="s">
        <v>3237</v>
      </c>
      <c r="F4734" t="s">
        <v>3238</v>
      </c>
      <c r="G4734" t="s">
        <v>52</v>
      </c>
      <c r="H4734">
        <v>56</v>
      </c>
      <c r="I4734">
        <v>0.51200000000000001</v>
      </c>
      <c r="J4734">
        <v>0.74199999999999999</v>
      </c>
      <c r="K4734">
        <v>0.23</v>
      </c>
      <c r="L4734">
        <v>41</v>
      </c>
      <c r="M4734">
        <v>5</v>
      </c>
      <c r="N4734">
        <v>10</v>
      </c>
      <c r="O4734">
        <v>0.70199999999999996</v>
      </c>
      <c r="P4734">
        <v>0.27750441599999998</v>
      </c>
      <c r="Q4734">
        <v>0.21</v>
      </c>
    </row>
    <row r="4735" spans="1:17" x14ac:dyDescent="0.2">
      <c r="A4735" s="30" t="str">
        <f>IF(C4735&amp;G4735&amp;D4735&lt;&gt;'Funnel setup'!$K$3&amp;'Funnel setup'!$K$4&amp;'Funnel setup'!$K$5,".",IF(A4734=".",1,A4734+1))</f>
        <v>.</v>
      </c>
      <c r="B4735" s="431" t="str">
        <f t="shared" si="73"/>
        <v>Knee Replacement PrimaryProviderRIVERS HOSPITAL (NVC19)EQ-5D Index</v>
      </c>
      <c r="C4735" t="s">
        <v>249</v>
      </c>
      <c r="D4735" t="s">
        <v>1</v>
      </c>
      <c r="E4735" t="s">
        <v>3204</v>
      </c>
      <c r="F4735" t="s">
        <v>3205</v>
      </c>
      <c r="G4735" t="s">
        <v>52</v>
      </c>
      <c r="H4735">
        <v>77</v>
      </c>
      <c r="I4735">
        <v>0.42199999999999999</v>
      </c>
      <c r="J4735">
        <v>0.82199999999999995</v>
      </c>
      <c r="K4735">
        <v>0.4</v>
      </c>
      <c r="L4735">
        <v>68</v>
      </c>
      <c r="M4735">
        <v>6</v>
      </c>
      <c r="N4735">
        <v>3</v>
      </c>
      <c r="O4735">
        <v>0.79400000000000004</v>
      </c>
      <c r="P4735">
        <v>0.36917844100000002</v>
      </c>
      <c r="Q4735">
        <v>0.193</v>
      </c>
    </row>
    <row r="4736" spans="1:17" x14ac:dyDescent="0.2">
      <c r="A4736" s="30" t="str">
        <f>IF(C4736&amp;G4736&amp;D4736&lt;&gt;'Funnel setup'!$K$3&amp;'Funnel setup'!$K$4&amp;'Funnel setup'!$K$5,".",IF(A4735=".",1,A4735+1))</f>
        <v>.</v>
      </c>
      <c r="B4736" s="431" t="str">
        <f t="shared" si="73"/>
        <v>Knee Replacement PrimaryProviderROWLEY HALL HOSPITAL (NVC17)EQ-5D Index</v>
      </c>
      <c r="C4736" t="s">
        <v>249</v>
      </c>
      <c r="D4736" t="s">
        <v>1</v>
      </c>
      <c r="E4736" t="s">
        <v>3207</v>
      </c>
      <c r="F4736" t="s">
        <v>3208</v>
      </c>
      <c r="G4736" t="s">
        <v>52</v>
      </c>
      <c r="H4736">
        <v>44</v>
      </c>
      <c r="I4736">
        <v>0.41599999999999998</v>
      </c>
      <c r="J4736">
        <v>0.72599999999999998</v>
      </c>
      <c r="K4736">
        <v>0.31</v>
      </c>
      <c r="L4736">
        <v>35</v>
      </c>
      <c r="M4736">
        <v>5</v>
      </c>
      <c r="N4736">
        <v>4</v>
      </c>
      <c r="O4736">
        <v>0.71299999999999997</v>
      </c>
      <c r="P4736">
        <v>0.28795920400000002</v>
      </c>
      <c r="Q4736">
        <v>0.2</v>
      </c>
    </row>
    <row r="4737" spans="1:17" x14ac:dyDescent="0.2">
      <c r="A4737" s="30" t="str">
        <f>IF(C4737&amp;G4737&amp;D4737&lt;&gt;'Funnel setup'!$K$3&amp;'Funnel setup'!$K$4&amp;'Funnel setup'!$K$5,".",IF(A4736=".",1,A4736+1))</f>
        <v>.</v>
      </c>
      <c r="B4737" s="431" t="str">
        <f t="shared" si="73"/>
        <v>Knee Replacement PrimaryProviderROYAL BERKSHIRE NHS FOUNDATION TRUST (RHW)EQ-5D Index</v>
      </c>
      <c r="C4737" t="s">
        <v>249</v>
      </c>
      <c r="D4737" t="s">
        <v>1</v>
      </c>
      <c r="E4737" t="s">
        <v>3832</v>
      </c>
      <c r="F4737" t="s">
        <v>3833</v>
      </c>
      <c r="G4737" t="s">
        <v>52</v>
      </c>
      <c r="H4737">
        <v>132</v>
      </c>
      <c r="I4737">
        <v>0.46200000000000002</v>
      </c>
      <c r="J4737">
        <v>0.752</v>
      </c>
      <c r="K4737">
        <v>0.28999999999999998</v>
      </c>
      <c r="L4737">
        <v>95</v>
      </c>
      <c r="M4737">
        <v>14</v>
      </c>
      <c r="N4737">
        <v>23</v>
      </c>
      <c r="O4737">
        <v>0.72199999999999998</v>
      </c>
      <c r="P4737">
        <v>0.29673571900000001</v>
      </c>
      <c r="Q4737">
        <v>0.221</v>
      </c>
    </row>
    <row r="4738" spans="1:17" x14ac:dyDescent="0.2">
      <c r="A4738" s="30" t="str">
        <f>IF(C4738&amp;G4738&amp;D4738&lt;&gt;'Funnel setup'!$K$3&amp;'Funnel setup'!$K$4&amp;'Funnel setup'!$K$5,".",IF(A4737=".",1,A4737+1))</f>
        <v>.</v>
      </c>
      <c r="B4738" s="431" t="str">
        <f t="shared" si="73"/>
        <v>Knee Replacement PrimaryProviderROYAL CORNWALL HOSPITALS NHS TRUST (REF)EQ-5D Index</v>
      </c>
      <c r="C4738" t="s">
        <v>249</v>
      </c>
      <c r="D4738" t="s">
        <v>1</v>
      </c>
      <c r="E4738" t="s">
        <v>3745</v>
      </c>
      <c r="F4738" t="s">
        <v>3746</v>
      </c>
      <c r="G4738" t="s">
        <v>52</v>
      </c>
      <c r="H4738">
        <v>217</v>
      </c>
      <c r="I4738">
        <v>0.42</v>
      </c>
      <c r="J4738">
        <v>0.76500000000000001</v>
      </c>
      <c r="K4738">
        <v>0.34499999999999997</v>
      </c>
      <c r="L4738">
        <v>179</v>
      </c>
      <c r="M4738">
        <v>27</v>
      </c>
      <c r="N4738">
        <v>11</v>
      </c>
      <c r="O4738">
        <v>0.77700000000000002</v>
      </c>
      <c r="P4738">
        <v>0.35199292999999998</v>
      </c>
      <c r="Q4738">
        <v>0.223</v>
      </c>
    </row>
    <row r="4739" spans="1:17" x14ac:dyDescent="0.2">
      <c r="A4739" s="30" t="str">
        <f>IF(C4739&amp;G4739&amp;D4739&lt;&gt;'Funnel setup'!$K$3&amp;'Funnel setup'!$K$4&amp;'Funnel setup'!$K$5,".",IF(A4738=".",1,A4738+1))</f>
        <v>.</v>
      </c>
      <c r="B4739" s="431" t="str">
        <f t="shared" ref="B4739:B4802" si="74">C4739&amp;D4739&amp;F4739&amp;G4739</f>
        <v>Knee Replacement PrimaryProviderROYAL DEVON AND EXETER NHS FOUNDATION TRUST (RH8)EQ-5D Index</v>
      </c>
      <c r="C4739" t="s">
        <v>249</v>
      </c>
      <c r="D4739" t="s">
        <v>1</v>
      </c>
      <c r="E4739" t="s">
        <v>3442</v>
      </c>
      <c r="F4739" t="s">
        <v>3443</v>
      </c>
      <c r="G4739" t="s">
        <v>52</v>
      </c>
      <c r="H4739">
        <v>401</v>
      </c>
      <c r="I4739">
        <v>0.45100000000000001</v>
      </c>
      <c r="J4739">
        <v>0.77700000000000002</v>
      </c>
      <c r="K4739">
        <v>0.32600000000000001</v>
      </c>
      <c r="L4739">
        <v>330</v>
      </c>
      <c r="M4739">
        <v>42</v>
      </c>
      <c r="N4739">
        <v>29</v>
      </c>
      <c r="O4739">
        <v>0.76700000000000002</v>
      </c>
      <c r="P4739">
        <v>0.34193828199999998</v>
      </c>
      <c r="Q4739">
        <v>0.20699999999999999</v>
      </c>
    </row>
    <row r="4740" spans="1:17" x14ac:dyDescent="0.2">
      <c r="A4740" s="30" t="str">
        <f>IF(C4740&amp;G4740&amp;D4740&lt;&gt;'Funnel setup'!$K$3&amp;'Funnel setup'!$K$4&amp;'Funnel setup'!$K$5,".",IF(A4739=".",1,A4739+1))</f>
        <v>.</v>
      </c>
      <c r="B4740" s="431" t="str">
        <f t="shared" si="74"/>
        <v>Knee Replacement PrimaryProviderROYAL FREE LONDON NHS FOUNDATION TRUST (RAL)EQ-5D Index</v>
      </c>
      <c r="C4740" t="s">
        <v>249</v>
      </c>
      <c r="D4740" t="s">
        <v>1</v>
      </c>
      <c r="E4740" t="s">
        <v>3445</v>
      </c>
      <c r="F4740" t="s">
        <v>3446</v>
      </c>
      <c r="G4740" t="s">
        <v>52</v>
      </c>
      <c r="H4740">
        <v>156</v>
      </c>
      <c r="I4740">
        <v>0.39500000000000002</v>
      </c>
      <c r="J4740">
        <v>0.67700000000000005</v>
      </c>
      <c r="K4740">
        <v>0.28199999999999997</v>
      </c>
      <c r="L4740">
        <v>123</v>
      </c>
      <c r="M4740">
        <v>13</v>
      </c>
      <c r="N4740">
        <v>20</v>
      </c>
      <c r="O4740">
        <v>0.7</v>
      </c>
      <c r="P4740">
        <v>0.27513005899999998</v>
      </c>
      <c r="Q4740">
        <v>0.245</v>
      </c>
    </row>
    <row r="4741" spans="1:17" x14ac:dyDescent="0.2">
      <c r="A4741" s="30" t="str">
        <f>IF(C4741&amp;G4741&amp;D4741&lt;&gt;'Funnel setup'!$K$3&amp;'Funnel setup'!$K$4&amp;'Funnel setup'!$K$5,".",IF(A4740=".",1,A4740+1))</f>
        <v>.</v>
      </c>
      <c r="B4741" s="431" t="str">
        <f t="shared" si="74"/>
        <v>Knee Replacement PrimaryProviderROYAL LIVERPOOL AND BROADGREEN UNIVERSITY HOSPITALS NHS TRUST (RQ6)EQ-5D Index</v>
      </c>
      <c r="C4741" t="s">
        <v>249</v>
      </c>
      <c r="D4741" t="s">
        <v>1</v>
      </c>
      <c r="E4741" t="s">
        <v>3448</v>
      </c>
      <c r="F4741" t="s">
        <v>3449</v>
      </c>
      <c r="G4741" t="s">
        <v>52</v>
      </c>
      <c r="H4741">
        <v>135</v>
      </c>
      <c r="I4741">
        <v>0.36199999999999999</v>
      </c>
      <c r="J4741">
        <v>0.64800000000000002</v>
      </c>
      <c r="K4741">
        <v>0.28599999999999998</v>
      </c>
      <c r="L4741">
        <v>98</v>
      </c>
      <c r="M4741">
        <v>20</v>
      </c>
      <c r="N4741">
        <v>17</v>
      </c>
      <c r="O4741">
        <v>0.70499999999999996</v>
      </c>
      <c r="P4741">
        <v>0.28017492900000002</v>
      </c>
      <c r="Q4741">
        <v>0.254</v>
      </c>
    </row>
    <row r="4742" spans="1:17" x14ac:dyDescent="0.2">
      <c r="A4742" s="30" t="str">
        <f>IF(C4742&amp;G4742&amp;D4742&lt;&gt;'Funnel setup'!$K$3&amp;'Funnel setup'!$K$4&amp;'Funnel setup'!$K$5,".",IF(A4741=".",1,A4741+1))</f>
        <v>.</v>
      </c>
      <c r="B4742" s="431" t="str">
        <f t="shared" si="74"/>
        <v>Knee Replacement PrimaryProviderROYAL NATIONAL ORTHOPAEDIC HOSPITAL NHS TRUST (RAN)EQ-5D Index</v>
      </c>
      <c r="C4742" t="s">
        <v>249</v>
      </c>
      <c r="D4742" t="s">
        <v>1</v>
      </c>
      <c r="E4742" t="s">
        <v>4378</v>
      </c>
      <c r="F4742" t="s">
        <v>4379</v>
      </c>
      <c r="G4742" t="s">
        <v>52</v>
      </c>
      <c r="H4742">
        <v>98</v>
      </c>
      <c r="I4742">
        <v>0.4</v>
      </c>
      <c r="J4742">
        <v>0.67500000000000004</v>
      </c>
      <c r="K4742">
        <v>0.27500000000000002</v>
      </c>
      <c r="L4742">
        <v>77</v>
      </c>
      <c r="M4742">
        <v>10</v>
      </c>
      <c r="N4742">
        <v>11</v>
      </c>
      <c r="O4742">
        <v>0.70099999999999996</v>
      </c>
      <c r="P4742">
        <v>0.27572568400000003</v>
      </c>
      <c r="Q4742">
        <v>0.24299999999999999</v>
      </c>
    </row>
    <row r="4743" spans="1:17" x14ac:dyDescent="0.2">
      <c r="A4743" s="30" t="str">
        <f>IF(C4743&amp;G4743&amp;D4743&lt;&gt;'Funnel setup'!$K$3&amp;'Funnel setup'!$K$4&amp;'Funnel setup'!$K$5,".",IF(A4742=".",1,A4742+1))</f>
        <v>.</v>
      </c>
      <c r="B4743" s="431" t="str">
        <f t="shared" si="74"/>
        <v>Knee Replacement PrimaryProviderROYAL SURREY COUNTY HOSPITAL NHS FOUNDATION TRUST (RA2)EQ-5D Index</v>
      </c>
      <c r="C4743" t="s">
        <v>249</v>
      </c>
      <c r="D4743" t="s">
        <v>1</v>
      </c>
      <c r="E4743" t="s">
        <v>3451</v>
      </c>
      <c r="F4743" t="s">
        <v>3452</v>
      </c>
      <c r="G4743" t="s">
        <v>52</v>
      </c>
      <c r="H4743">
        <v>106</v>
      </c>
      <c r="I4743">
        <v>0.47299999999999998</v>
      </c>
      <c r="J4743">
        <v>0.82699999999999996</v>
      </c>
      <c r="K4743">
        <v>0.35399999999999998</v>
      </c>
      <c r="L4743">
        <v>94</v>
      </c>
      <c r="M4743">
        <v>7</v>
      </c>
      <c r="N4743">
        <v>5</v>
      </c>
      <c r="O4743">
        <v>0.78700000000000003</v>
      </c>
      <c r="P4743">
        <v>0.36198910699999998</v>
      </c>
      <c r="Q4743">
        <v>0.17399999999999999</v>
      </c>
    </row>
    <row r="4744" spans="1:17" x14ac:dyDescent="0.2">
      <c r="A4744" s="30" t="str">
        <f>IF(C4744&amp;G4744&amp;D4744&lt;&gt;'Funnel setup'!$K$3&amp;'Funnel setup'!$K$4&amp;'Funnel setup'!$K$5,".",IF(A4743=".",1,A4743+1))</f>
        <v>.</v>
      </c>
      <c r="B4744" s="431" t="str">
        <f t="shared" si="74"/>
        <v>Knee Replacement PrimaryProviderROYAL UNITED HOSPITALS BATH NHS FOUNDATION TRUST (RD1)EQ-5D Index</v>
      </c>
      <c r="C4744" t="s">
        <v>249</v>
      </c>
      <c r="D4744" t="s">
        <v>1</v>
      </c>
      <c r="E4744" t="s">
        <v>3454</v>
      </c>
      <c r="F4744" t="s">
        <v>3455</v>
      </c>
      <c r="G4744" t="s">
        <v>52</v>
      </c>
      <c r="H4744">
        <v>166</v>
      </c>
      <c r="I4744">
        <v>0.41599999999999998</v>
      </c>
      <c r="J4744">
        <v>0.71699999999999997</v>
      </c>
      <c r="K4744">
        <v>0.30099999999999999</v>
      </c>
      <c r="L4744">
        <v>134</v>
      </c>
      <c r="M4744">
        <v>19</v>
      </c>
      <c r="N4744">
        <v>13</v>
      </c>
      <c r="O4744">
        <v>0.72699999999999998</v>
      </c>
      <c r="P4744">
        <v>0.302092521</v>
      </c>
      <c r="Q4744">
        <v>0.23599999999999999</v>
      </c>
    </row>
    <row r="4745" spans="1:17" x14ac:dyDescent="0.2">
      <c r="A4745" s="30" t="str">
        <f>IF(C4745&amp;G4745&amp;D4745&lt;&gt;'Funnel setup'!$K$3&amp;'Funnel setup'!$K$4&amp;'Funnel setup'!$K$5,".",IF(A4744=".",1,A4744+1))</f>
        <v>.</v>
      </c>
      <c r="B4745" s="431" t="str">
        <f t="shared" si="74"/>
        <v>Knee Replacement PrimaryProviderSALFORD ROYAL NHS FOUNDATION TRUST (RM3)EQ-5D Index</v>
      </c>
      <c r="C4745" t="s">
        <v>249</v>
      </c>
      <c r="D4745" t="s">
        <v>1</v>
      </c>
      <c r="E4745" t="s">
        <v>3457</v>
      </c>
      <c r="F4745" t="s">
        <v>3458</v>
      </c>
      <c r="G4745" t="s">
        <v>52</v>
      </c>
      <c r="H4745">
        <v>91</v>
      </c>
      <c r="I4745">
        <v>0.32800000000000001</v>
      </c>
      <c r="J4745">
        <v>0.66100000000000003</v>
      </c>
      <c r="K4745">
        <v>0.33300000000000002</v>
      </c>
      <c r="L4745">
        <v>72</v>
      </c>
      <c r="M4745">
        <v>7</v>
      </c>
      <c r="N4745">
        <v>12</v>
      </c>
      <c r="O4745">
        <v>0.72</v>
      </c>
      <c r="P4745">
        <v>0.29495803999999998</v>
      </c>
      <c r="Q4745">
        <v>0.26200000000000001</v>
      </c>
    </row>
    <row r="4746" spans="1:17" x14ac:dyDescent="0.2">
      <c r="A4746" s="30" t="str">
        <f>IF(C4746&amp;G4746&amp;D4746&lt;&gt;'Funnel setup'!$K$3&amp;'Funnel setup'!$K$4&amp;'Funnel setup'!$K$5,".",IF(A4745=".",1,A4745+1))</f>
        <v>.</v>
      </c>
      <c r="B4746" s="431" t="str">
        <f t="shared" si="74"/>
        <v>Knee Replacement PrimaryProviderSALISBURY NHS FOUNDATION TRUST (RNZ)EQ-5D Index</v>
      </c>
      <c r="C4746" t="s">
        <v>249</v>
      </c>
      <c r="D4746" t="s">
        <v>1</v>
      </c>
      <c r="E4746" t="s">
        <v>3460</v>
      </c>
      <c r="F4746" t="s">
        <v>3461</v>
      </c>
      <c r="G4746" t="s">
        <v>52</v>
      </c>
      <c r="H4746">
        <v>182</v>
      </c>
      <c r="I4746">
        <v>0.44600000000000001</v>
      </c>
      <c r="J4746">
        <v>0.74299999999999999</v>
      </c>
      <c r="K4746">
        <v>0.29599999999999999</v>
      </c>
      <c r="L4746">
        <v>142</v>
      </c>
      <c r="M4746">
        <v>20</v>
      </c>
      <c r="N4746">
        <v>20</v>
      </c>
      <c r="O4746">
        <v>0.72799999999999998</v>
      </c>
      <c r="P4746">
        <v>0.30257605199999998</v>
      </c>
      <c r="Q4746">
        <v>0.251</v>
      </c>
    </row>
    <row r="4747" spans="1:17" x14ac:dyDescent="0.2">
      <c r="A4747" s="30" t="str">
        <f>IF(C4747&amp;G4747&amp;D4747&lt;&gt;'Funnel setup'!$K$3&amp;'Funnel setup'!$K$4&amp;'Funnel setup'!$K$5,".",IF(A4746=".",1,A4746+1))</f>
        <v>.</v>
      </c>
      <c r="B4747" s="431" t="str">
        <f t="shared" si="74"/>
        <v>Knee Replacement PrimaryProviderSANDWELL AND WEST BIRMINGHAM HOSPITALS NHS TRUST (RXK)EQ-5D Index</v>
      </c>
      <c r="C4747" t="s">
        <v>249</v>
      </c>
      <c r="D4747" t="s">
        <v>1</v>
      </c>
      <c r="E4747" t="s">
        <v>3463</v>
      </c>
      <c r="F4747" t="s">
        <v>3464</v>
      </c>
      <c r="G4747" t="s">
        <v>52</v>
      </c>
      <c r="H4747">
        <v>185</v>
      </c>
      <c r="I4747">
        <v>0.34599999999999997</v>
      </c>
      <c r="J4747">
        <v>0.64600000000000002</v>
      </c>
      <c r="K4747">
        <v>0.29899999999999999</v>
      </c>
      <c r="L4747">
        <v>143</v>
      </c>
      <c r="M4747">
        <v>27</v>
      </c>
      <c r="N4747">
        <v>15</v>
      </c>
      <c r="O4747">
        <v>0.70799999999999996</v>
      </c>
      <c r="P4747">
        <v>0.28307133600000001</v>
      </c>
      <c r="Q4747">
        <v>0.27400000000000002</v>
      </c>
    </row>
    <row r="4748" spans="1:17" x14ac:dyDescent="0.2">
      <c r="A4748" s="30" t="str">
        <f>IF(C4748&amp;G4748&amp;D4748&lt;&gt;'Funnel setup'!$K$3&amp;'Funnel setup'!$K$4&amp;'Funnel setup'!$K$5,".",IF(A4747=".",1,A4747+1))</f>
        <v>.</v>
      </c>
      <c r="B4748" s="431" t="str">
        <f t="shared" si="74"/>
        <v>Knee Replacement PrimaryProviderSHEFFIELD TEACHING HOSPITALS NHS FOUNDATION TRUST (RHQ)EQ-5D Index</v>
      </c>
      <c r="C4748" t="s">
        <v>249</v>
      </c>
      <c r="D4748" t="s">
        <v>1</v>
      </c>
      <c r="E4748" t="s">
        <v>3466</v>
      </c>
      <c r="F4748" t="s">
        <v>3467</v>
      </c>
      <c r="G4748" t="s">
        <v>52</v>
      </c>
      <c r="H4748">
        <v>477</v>
      </c>
      <c r="I4748">
        <v>0.40899999999999997</v>
      </c>
      <c r="J4748">
        <v>0.73699999999999999</v>
      </c>
      <c r="K4748">
        <v>0.32800000000000001</v>
      </c>
      <c r="L4748">
        <v>377</v>
      </c>
      <c r="M4748">
        <v>54</v>
      </c>
      <c r="N4748">
        <v>46</v>
      </c>
      <c r="O4748">
        <v>0.753</v>
      </c>
      <c r="P4748">
        <v>0.32803998600000001</v>
      </c>
      <c r="Q4748">
        <v>0.22500000000000001</v>
      </c>
    </row>
    <row r="4749" spans="1:17" x14ac:dyDescent="0.2">
      <c r="A4749" s="30" t="str">
        <f>IF(C4749&amp;G4749&amp;D4749&lt;&gt;'Funnel setup'!$K$3&amp;'Funnel setup'!$K$4&amp;'Funnel setup'!$K$5,".",IF(A4748=".",1,A4748+1))</f>
        <v>.</v>
      </c>
      <c r="B4749" s="431" t="str">
        <f t="shared" si="74"/>
        <v>Knee Replacement PrimaryProviderSHEPTON MALLET NHS TREATMENT CENTRE (NTPH1)EQ-5D Index</v>
      </c>
      <c r="C4749" t="s">
        <v>249</v>
      </c>
      <c r="D4749" t="s">
        <v>1</v>
      </c>
      <c r="E4749" t="s">
        <v>3472</v>
      </c>
      <c r="F4749" t="s">
        <v>3473</v>
      </c>
      <c r="G4749" t="s">
        <v>52</v>
      </c>
      <c r="H4749">
        <v>163</v>
      </c>
      <c r="I4749">
        <v>0.44900000000000001</v>
      </c>
      <c r="J4749">
        <v>0.81399999999999995</v>
      </c>
      <c r="K4749">
        <v>0.36499999999999999</v>
      </c>
      <c r="L4749">
        <v>143</v>
      </c>
      <c r="M4749">
        <v>9</v>
      </c>
      <c r="N4749">
        <v>11</v>
      </c>
      <c r="O4749">
        <v>0.78100000000000003</v>
      </c>
      <c r="P4749">
        <v>0.356129639</v>
      </c>
      <c r="Q4749">
        <v>0.222</v>
      </c>
    </row>
    <row r="4750" spans="1:17" x14ac:dyDescent="0.2">
      <c r="A4750" s="30" t="str">
        <f>IF(C4750&amp;G4750&amp;D4750&lt;&gt;'Funnel setup'!$K$3&amp;'Funnel setup'!$K$4&amp;'Funnel setup'!$K$5,".",IF(A4749=".",1,A4749+1))</f>
        <v>.</v>
      </c>
      <c r="B4750" s="431" t="str">
        <f t="shared" si="74"/>
        <v>Knee Replacement PrimaryProviderSHERWOOD FOREST HOSPITALS NHS FOUNDATION TRUST (RK5)EQ-5D Index</v>
      </c>
      <c r="C4750" t="s">
        <v>249</v>
      </c>
      <c r="D4750" t="s">
        <v>1</v>
      </c>
      <c r="E4750" t="s">
        <v>3475</v>
      </c>
      <c r="F4750" t="s">
        <v>3476</v>
      </c>
      <c r="G4750" t="s">
        <v>52</v>
      </c>
      <c r="H4750">
        <v>159</v>
      </c>
      <c r="I4750">
        <v>0.36299999999999999</v>
      </c>
      <c r="J4750">
        <v>0.65700000000000003</v>
      </c>
      <c r="K4750">
        <v>0.29399999999999998</v>
      </c>
      <c r="L4750">
        <v>123</v>
      </c>
      <c r="M4750">
        <v>16</v>
      </c>
      <c r="N4750">
        <v>20</v>
      </c>
      <c r="O4750">
        <v>0.70399999999999996</v>
      </c>
      <c r="P4750">
        <v>0.27907820700000002</v>
      </c>
      <c r="Q4750">
        <v>0.27400000000000002</v>
      </c>
    </row>
    <row r="4751" spans="1:17" x14ac:dyDescent="0.2">
      <c r="A4751" s="30" t="str">
        <f>IF(C4751&amp;G4751&amp;D4751&lt;&gt;'Funnel setup'!$K$3&amp;'Funnel setup'!$K$4&amp;'Funnel setup'!$K$5,".",IF(A4750=".",1,A4750+1))</f>
        <v>.</v>
      </c>
      <c r="B4751" s="431" t="str">
        <f t="shared" si="74"/>
        <v>Knee Replacement PrimaryProviderSHREWSBURY AND TELFORD HOSPITAL NHS TRUST (RXW)EQ-5D Index</v>
      </c>
      <c r="C4751" t="s">
        <v>249</v>
      </c>
      <c r="D4751" t="s">
        <v>1</v>
      </c>
      <c r="E4751" t="s">
        <v>3478</v>
      </c>
      <c r="F4751" t="s">
        <v>3479</v>
      </c>
      <c r="G4751" t="s">
        <v>52</v>
      </c>
      <c r="H4751">
        <v>139</v>
      </c>
      <c r="I4751">
        <v>0.38400000000000001</v>
      </c>
      <c r="J4751">
        <v>0.70099999999999996</v>
      </c>
      <c r="K4751">
        <v>0.317</v>
      </c>
      <c r="L4751">
        <v>112</v>
      </c>
      <c r="M4751">
        <v>9</v>
      </c>
      <c r="N4751">
        <v>18</v>
      </c>
      <c r="O4751">
        <v>0.71399999999999997</v>
      </c>
      <c r="P4751">
        <v>0.28882218900000001</v>
      </c>
      <c r="Q4751">
        <v>0.253</v>
      </c>
    </row>
    <row r="4752" spans="1:17" x14ac:dyDescent="0.2">
      <c r="A4752" s="30" t="str">
        <f>IF(C4752&amp;G4752&amp;D4752&lt;&gt;'Funnel setup'!$K$3&amp;'Funnel setup'!$K$4&amp;'Funnel setup'!$K$5,".",IF(A4751=".",1,A4751+1))</f>
        <v>.</v>
      </c>
      <c r="B4752" s="431" t="str">
        <f t="shared" si="74"/>
        <v>Knee Replacement PrimaryProviderSOUTH TEES HOSPITALS NHS FOUNDATION TRUST (RTR)EQ-5D Index</v>
      </c>
      <c r="C4752" t="s">
        <v>249</v>
      </c>
      <c r="D4752" t="s">
        <v>1</v>
      </c>
      <c r="E4752" t="s">
        <v>3482</v>
      </c>
      <c r="F4752" t="s">
        <v>3483</v>
      </c>
      <c r="G4752" t="s">
        <v>52</v>
      </c>
      <c r="H4752">
        <v>527</v>
      </c>
      <c r="I4752">
        <v>0.41299999999999998</v>
      </c>
      <c r="J4752">
        <v>0.754</v>
      </c>
      <c r="K4752">
        <v>0.34100000000000003</v>
      </c>
      <c r="L4752">
        <v>441</v>
      </c>
      <c r="M4752">
        <v>48</v>
      </c>
      <c r="N4752">
        <v>38</v>
      </c>
      <c r="O4752">
        <v>0.77300000000000002</v>
      </c>
      <c r="P4752">
        <v>0.34796730599999998</v>
      </c>
      <c r="Q4752">
        <v>0.222</v>
      </c>
    </row>
    <row r="4753" spans="1:17" x14ac:dyDescent="0.2">
      <c r="A4753" s="30" t="str">
        <f>IF(C4753&amp;G4753&amp;D4753&lt;&gt;'Funnel setup'!$K$3&amp;'Funnel setup'!$K$4&amp;'Funnel setup'!$K$5,".",IF(A4752=".",1,A4752+1))</f>
        <v>.</v>
      </c>
      <c r="B4753" s="431" t="str">
        <f t="shared" si="74"/>
        <v>Knee Replacement PrimaryProviderSOUTH TYNESIDE NHS FOUNDATION TRUST (RE9)EQ-5D Index</v>
      </c>
      <c r="C4753" t="s">
        <v>249</v>
      </c>
      <c r="D4753" t="s">
        <v>1</v>
      </c>
      <c r="E4753" t="s">
        <v>3485</v>
      </c>
      <c r="F4753" t="s">
        <v>3486</v>
      </c>
      <c r="G4753" t="s">
        <v>52</v>
      </c>
      <c r="H4753">
        <v>67</v>
      </c>
      <c r="I4753">
        <v>0.434</v>
      </c>
      <c r="J4753">
        <v>0.621</v>
      </c>
      <c r="K4753">
        <v>0.186</v>
      </c>
      <c r="L4753">
        <v>42</v>
      </c>
      <c r="M4753">
        <v>12</v>
      </c>
      <c r="N4753">
        <v>13</v>
      </c>
      <c r="O4753">
        <v>0.627</v>
      </c>
      <c r="P4753">
        <v>0.202170303</v>
      </c>
      <c r="Q4753">
        <v>0.28000000000000003</v>
      </c>
    </row>
    <row r="4754" spans="1:17" x14ac:dyDescent="0.2">
      <c r="A4754" s="30" t="str">
        <f>IF(C4754&amp;G4754&amp;D4754&lt;&gt;'Funnel setup'!$K$3&amp;'Funnel setup'!$K$4&amp;'Funnel setup'!$K$5,".",IF(A4753=".",1,A4753+1))</f>
        <v>.</v>
      </c>
      <c r="B4754" s="431" t="str">
        <f t="shared" si="74"/>
        <v>Knee Replacement PrimaryProviderSOUTH WARWICKSHIRE NHS FOUNDATION TRUST (RJC)EQ-5D Index</v>
      </c>
      <c r="C4754" t="s">
        <v>249</v>
      </c>
      <c r="D4754" t="s">
        <v>1</v>
      </c>
      <c r="E4754" t="s">
        <v>3421</v>
      </c>
      <c r="F4754" t="s">
        <v>3422</v>
      </c>
      <c r="G4754" t="s">
        <v>52</v>
      </c>
      <c r="H4754">
        <v>226</v>
      </c>
      <c r="I4754">
        <v>0.44700000000000001</v>
      </c>
      <c r="J4754">
        <v>0.74</v>
      </c>
      <c r="K4754">
        <v>0.29199999999999998</v>
      </c>
      <c r="L4754">
        <v>184</v>
      </c>
      <c r="M4754">
        <v>22</v>
      </c>
      <c r="N4754">
        <v>20</v>
      </c>
      <c r="O4754">
        <v>0.72499999999999998</v>
      </c>
      <c r="P4754">
        <v>0.300063729</v>
      </c>
      <c r="Q4754">
        <v>0.20599999999999999</v>
      </c>
    </row>
    <row r="4755" spans="1:17" x14ac:dyDescent="0.2">
      <c r="A4755" s="30" t="str">
        <f>IF(C4755&amp;G4755&amp;D4755&lt;&gt;'Funnel setup'!$K$3&amp;'Funnel setup'!$K$4&amp;'Funnel setup'!$K$5,".",IF(A4754=".",1,A4754+1))</f>
        <v>.</v>
      </c>
      <c r="B4755" s="431" t="str">
        <f t="shared" si="74"/>
        <v>Knee Replacement PrimaryProviderSOUTHAMPTON NHS TREATMENT CENTRE (NTP11)EQ-5D Index</v>
      </c>
      <c r="C4755" t="s">
        <v>249</v>
      </c>
      <c r="D4755" t="s">
        <v>1</v>
      </c>
      <c r="E4755" t="s">
        <v>3424</v>
      </c>
      <c r="F4755" t="s">
        <v>3425</v>
      </c>
      <c r="G4755" t="s">
        <v>52</v>
      </c>
      <c r="H4755">
        <v>113</v>
      </c>
      <c r="I4755">
        <v>0.40200000000000002</v>
      </c>
      <c r="J4755">
        <v>0.72699999999999998</v>
      </c>
      <c r="K4755">
        <v>0.32400000000000001</v>
      </c>
      <c r="L4755">
        <v>95</v>
      </c>
      <c r="M4755">
        <v>8</v>
      </c>
      <c r="N4755">
        <v>10</v>
      </c>
      <c r="O4755">
        <v>0.72499999999999998</v>
      </c>
      <c r="P4755">
        <v>0.30043590999999997</v>
      </c>
      <c r="Q4755">
        <v>0.224</v>
      </c>
    </row>
    <row r="4756" spans="1:17" x14ac:dyDescent="0.2">
      <c r="A4756" s="30" t="str">
        <f>IF(C4756&amp;G4756&amp;D4756&lt;&gt;'Funnel setup'!$K$3&amp;'Funnel setup'!$K$4&amp;'Funnel setup'!$K$5,".",IF(A4755=".",1,A4755+1))</f>
        <v>.</v>
      </c>
      <c r="B4756" s="431" t="str">
        <f t="shared" si="74"/>
        <v>Knee Replacement PrimaryProviderSOUTHEND UNIVERSITY HOSPITAL NHS FOUNDATION TRUST (RAJ)EQ-5D Index</v>
      </c>
      <c r="C4756" t="s">
        <v>249</v>
      </c>
      <c r="D4756" t="s">
        <v>1</v>
      </c>
      <c r="E4756" t="s">
        <v>3427</v>
      </c>
      <c r="F4756" t="s">
        <v>3428</v>
      </c>
      <c r="G4756" t="s">
        <v>52</v>
      </c>
      <c r="H4756">
        <v>170</v>
      </c>
      <c r="I4756">
        <v>0.41299999999999998</v>
      </c>
      <c r="J4756">
        <v>0.71099999999999997</v>
      </c>
      <c r="K4756">
        <v>0.29799999999999999</v>
      </c>
      <c r="L4756">
        <v>133</v>
      </c>
      <c r="M4756">
        <v>19</v>
      </c>
      <c r="N4756">
        <v>18</v>
      </c>
      <c r="O4756">
        <v>0.71599999999999997</v>
      </c>
      <c r="P4756">
        <v>0.29069484699999998</v>
      </c>
      <c r="Q4756">
        <v>0.221</v>
      </c>
    </row>
    <row r="4757" spans="1:17" x14ac:dyDescent="0.2">
      <c r="A4757" s="30" t="str">
        <f>IF(C4757&amp;G4757&amp;D4757&lt;&gt;'Funnel setup'!$K$3&amp;'Funnel setup'!$K$4&amp;'Funnel setup'!$K$5,".",IF(A4756=".",1,A4756+1))</f>
        <v>.</v>
      </c>
      <c r="B4757" s="431" t="str">
        <f t="shared" si="74"/>
        <v>Knee Replacement PrimaryProviderSOUTHPORT AND ORMSKIRK HOSPITAL NHS TRUST (RVY)EQ-5D Index</v>
      </c>
      <c r="C4757" t="s">
        <v>249</v>
      </c>
      <c r="D4757" t="s">
        <v>1</v>
      </c>
      <c r="E4757" t="s">
        <v>3430</v>
      </c>
      <c r="F4757" t="s">
        <v>3431</v>
      </c>
      <c r="G4757" t="s">
        <v>52</v>
      </c>
      <c r="H4757">
        <v>100</v>
      </c>
      <c r="I4757">
        <v>0.34200000000000003</v>
      </c>
      <c r="J4757">
        <v>0.71499999999999997</v>
      </c>
      <c r="K4757">
        <v>0.374</v>
      </c>
      <c r="L4757">
        <v>81</v>
      </c>
      <c r="M4757">
        <v>8</v>
      </c>
      <c r="N4757">
        <v>11</v>
      </c>
      <c r="O4757">
        <v>0.74</v>
      </c>
      <c r="P4757">
        <v>0.31526203899999999</v>
      </c>
      <c r="Q4757">
        <v>0.255</v>
      </c>
    </row>
    <row r="4758" spans="1:17" x14ac:dyDescent="0.2">
      <c r="A4758" s="30" t="str">
        <f>IF(C4758&amp;G4758&amp;D4758&lt;&gt;'Funnel setup'!$K$3&amp;'Funnel setup'!$K$4&amp;'Funnel setup'!$K$5,".",IF(A4757=".",1,A4757+1))</f>
        <v>.</v>
      </c>
      <c r="B4758" s="431" t="str">
        <f t="shared" si="74"/>
        <v>Knee Replacement PrimaryProviderSPIRE ALEXANDRA HOSPITAL (NT312)EQ-5D Index</v>
      </c>
      <c r="C4758" t="s">
        <v>249</v>
      </c>
      <c r="D4758" t="s">
        <v>1</v>
      </c>
      <c r="E4758" t="s">
        <v>3433</v>
      </c>
      <c r="F4758" t="s">
        <v>3434</v>
      </c>
      <c r="G4758" t="s">
        <v>52</v>
      </c>
      <c r="H4758">
        <v>57</v>
      </c>
      <c r="I4758">
        <v>0.51900000000000002</v>
      </c>
      <c r="J4758">
        <v>0.78300000000000003</v>
      </c>
      <c r="K4758">
        <v>0.26300000000000001</v>
      </c>
      <c r="L4758">
        <v>48</v>
      </c>
      <c r="M4758">
        <v>4</v>
      </c>
      <c r="N4758">
        <v>5</v>
      </c>
      <c r="O4758">
        <v>0.748</v>
      </c>
      <c r="P4758">
        <v>0.32316410600000001</v>
      </c>
      <c r="Q4758">
        <v>0.16500000000000001</v>
      </c>
    </row>
    <row r="4759" spans="1:17" x14ac:dyDescent="0.2">
      <c r="A4759" s="30" t="str">
        <f>IF(C4759&amp;G4759&amp;D4759&lt;&gt;'Funnel setup'!$K$3&amp;'Funnel setup'!$K$4&amp;'Funnel setup'!$K$5,".",IF(A4758=".",1,A4758+1))</f>
        <v>.</v>
      </c>
      <c r="B4759" s="431" t="str">
        <f t="shared" si="74"/>
        <v>Knee Replacement PrimaryProviderSPIRE BRISTOL HOSPITAL (NT302)EQ-5D Index</v>
      </c>
      <c r="C4759" t="s">
        <v>249</v>
      </c>
      <c r="D4759" t="s">
        <v>1</v>
      </c>
      <c r="E4759" t="s">
        <v>4381</v>
      </c>
      <c r="F4759" t="s">
        <v>4382</v>
      </c>
      <c r="G4759" t="s">
        <v>52</v>
      </c>
      <c r="H4759">
        <v>80</v>
      </c>
      <c r="I4759">
        <v>0.50600000000000001</v>
      </c>
      <c r="J4759">
        <v>0.82599999999999996</v>
      </c>
      <c r="K4759">
        <v>0.32</v>
      </c>
      <c r="L4759">
        <v>70</v>
      </c>
      <c r="M4759">
        <v>4</v>
      </c>
      <c r="N4759">
        <v>6</v>
      </c>
      <c r="O4759">
        <v>0.78500000000000003</v>
      </c>
      <c r="P4759">
        <v>0.35953758699999999</v>
      </c>
      <c r="Q4759">
        <v>0.18099999999999999</v>
      </c>
    </row>
    <row r="4760" spans="1:17" x14ac:dyDescent="0.2">
      <c r="A4760" s="30" t="str">
        <f>IF(C4760&amp;G4760&amp;D4760&lt;&gt;'Funnel setup'!$K$3&amp;'Funnel setup'!$K$4&amp;'Funnel setup'!$K$5,".",IF(A4759=".",1,A4759+1))</f>
        <v>.</v>
      </c>
      <c r="B4760" s="431" t="str">
        <f t="shared" si="74"/>
        <v>Knee Replacement PrimaryProviderSPIRE BUSHEY HOSPITAL (NT315)EQ-5D Index</v>
      </c>
      <c r="C4760" t="s">
        <v>249</v>
      </c>
      <c r="D4760" t="s">
        <v>1</v>
      </c>
      <c r="E4760" t="s">
        <v>4364</v>
      </c>
      <c r="F4760" t="s">
        <v>4365</v>
      </c>
      <c r="G4760" t="s">
        <v>52</v>
      </c>
      <c r="H4760">
        <v>20</v>
      </c>
      <c r="I4760">
        <v>0.36</v>
      </c>
      <c r="J4760">
        <v>0.73799999999999999</v>
      </c>
      <c r="K4760">
        <v>0.379</v>
      </c>
      <c r="L4760">
        <v>17</v>
      </c>
      <c r="M4760">
        <v>1</v>
      </c>
      <c r="N4760">
        <v>2</v>
      </c>
      <c r="O4760" t="s">
        <v>53</v>
      </c>
      <c r="P4760" t="s">
        <v>53</v>
      </c>
      <c r="Q4760" t="s">
        <v>53</v>
      </c>
    </row>
    <row r="4761" spans="1:17" x14ac:dyDescent="0.2">
      <c r="A4761" s="30" t="str">
        <f>IF(C4761&amp;G4761&amp;D4761&lt;&gt;'Funnel setup'!$K$3&amp;'Funnel setup'!$K$4&amp;'Funnel setup'!$K$5,".",IF(A4760=".",1,A4760+1))</f>
        <v>.</v>
      </c>
      <c r="B4761" s="431" t="str">
        <f t="shared" si="74"/>
        <v>Knee Replacement PrimaryProviderSPIRE CAMBRIDGE LEA HOSPITAL (NT317)EQ-5D Index</v>
      </c>
      <c r="C4761" t="s">
        <v>249</v>
      </c>
      <c r="D4761" t="s">
        <v>1</v>
      </c>
      <c r="E4761" t="s">
        <v>3436</v>
      </c>
      <c r="F4761" t="s">
        <v>3437</v>
      </c>
      <c r="G4761" t="s">
        <v>52</v>
      </c>
      <c r="H4761">
        <v>61</v>
      </c>
      <c r="I4761">
        <v>0.58299999999999996</v>
      </c>
      <c r="J4761">
        <v>0.83</v>
      </c>
      <c r="K4761">
        <v>0.247</v>
      </c>
      <c r="L4761">
        <v>54</v>
      </c>
      <c r="M4761">
        <v>4</v>
      </c>
      <c r="N4761">
        <v>3</v>
      </c>
      <c r="O4761">
        <v>0.76</v>
      </c>
      <c r="P4761">
        <v>0.33480300000000002</v>
      </c>
      <c r="Q4761">
        <v>0.191</v>
      </c>
    </row>
    <row r="4762" spans="1:17" x14ac:dyDescent="0.2">
      <c r="A4762" s="30" t="str">
        <f>IF(C4762&amp;G4762&amp;D4762&lt;&gt;'Funnel setup'!$K$3&amp;'Funnel setup'!$K$4&amp;'Funnel setup'!$K$5,".",IF(A4761=".",1,A4761+1))</f>
        <v>.</v>
      </c>
      <c r="B4762" s="431" t="str">
        <f t="shared" si="74"/>
        <v>Knee Replacement PrimaryProviderSPIRE CHESHIRE HOSPITAL (NT324)EQ-5D Index</v>
      </c>
      <c r="C4762" t="s">
        <v>249</v>
      </c>
      <c r="D4762" t="s">
        <v>1</v>
      </c>
      <c r="E4762" t="s">
        <v>3439</v>
      </c>
      <c r="F4762" t="s">
        <v>3440</v>
      </c>
      <c r="G4762" t="s">
        <v>52</v>
      </c>
      <c r="H4762">
        <v>77</v>
      </c>
      <c r="I4762">
        <v>0.46800000000000003</v>
      </c>
      <c r="J4762">
        <v>0.76300000000000001</v>
      </c>
      <c r="K4762">
        <v>0.29499999999999998</v>
      </c>
      <c r="L4762">
        <v>64</v>
      </c>
      <c r="M4762">
        <v>9</v>
      </c>
      <c r="N4762">
        <v>4</v>
      </c>
      <c r="O4762">
        <v>0.73899999999999999</v>
      </c>
      <c r="P4762">
        <v>0.31373205500000001</v>
      </c>
      <c r="Q4762">
        <v>0.18099999999999999</v>
      </c>
    </row>
    <row r="4763" spans="1:17" x14ac:dyDescent="0.2">
      <c r="A4763" s="30" t="str">
        <f>IF(C4763&amp;G4763&amp;D4763&lt;&gt;'Funnel setup'!$K$3&amp;'Funnel setup'!$K$4&amp;'Funnel setup'!$K$5,".",IF(A4762=".",1,A4762+1))</f>
        <v>.</v>
      </c>
      <c r="B4763" s="431" t="str">
        <f t="shared" si="74"/>
        <v>Knee Replacement PrimaryProviderSPIRE CLARE PARK HOSPITAL (NT345)EQ-5D Index</v>
      </c>
      <c r="C4763" t="s">
        <v>249</v>
      </c>
      <c r="D4763" t="s">
        <v>1</v>
      </c>
      <c r="E4763" t="s">
        <v>3412</v>
      </c>
      <c r="F4763" t="s">
        <v>3413</v>
      </c>
      <c r="G4763" t="s">
        <v>52</v>
      </c>
      <c r="H4763">
        <v>37</v>
      </c>
      <c r="I4763">
        <v>0.51</v>
      </c>
      <c r="J4763">
        <v>0.84199999999999997</v>
      </c>
      <c r="K4763">
        <v>0.33300000000000002</v>
      </c>
      <c r="L4763">
        <v>35</v>
      </c>
      <c r="M4763">
        <v>0</v>
      </c>
      <c r="N4763">
        <v>2</v>
      </c>
      <c r="O4763">
        <v>0.79100000000000004</v>
      </c>
      <c r="P4763">
        <v>0.36631606100000003</v>
      </c>
      <c r="Q4763">
        <v>0.16700000000000001</v>
      </c>
    </row>
    <row r="4764" spans="1:17" x14ac:dyDescent="0.2">
      <c r="A4764" s="30" t="str">
        <f>IF(C4764&amp;G4764&amp;D4764&lt;&gt;'Funnel setup'!$K$3&amp;'Funnel setup'!$K$4&amp;'Funnel setup'!$K$5,".",IF(A4763=".",1,A4763+1))</f>
        <v>.</v>
      </c>
      <c r="B4764" s="431" t="str">
        <f t="shared" si="74"/>
        <v>Knee Replacement PrimaryProviderSPIRE DUNEDIN HOSPITAL (NT344)EQ-5D Index</v>
      </c>
      <c r="C4764" t="s">
        <v>249</v>
      </c>
      <c r="D4764" t="s">
        <v>1</v>
      </c>
      <c r="E4764" t="s">
        <v>3415</v>
      </c>
      <c r="F4764" t="s">
        <v>3416</v>
      </c>
      <c r="G4764" t="s">
        <v>52</v>
      </c>
      <c r="H4764">
        <v>12</v>
      </c>
      <c r="I4764">
        <v>0.63200000000000001</v>
      </c>
      <c r="J4764">
        <v>0.82099999999999995</v>
      </c>
      <c r="K4764">
        <v>0.189</v>
      </c>
      <c r="L4764">
        <v>8</v>
      </c>
      <c r="M4764">
        <v>4</v>
      </c>
      <c r="N4764">
        <v>0</v>
      </c>
      <c r="O4764" t="s">
        <v>53</v>
      </c>
      <c r="P4764" t="s">
        <v>53</v>
      </c>
      <c r="Q4764" t="s">
        <v>53</v>
      </c>
    </row>
    <row r="4765" spans="1:17" x14ac:dyDescent="0.2">
      <c r="A4765" s="30" t="str">
        <f>IF(C4765&amp;G4765&amp;D4765&lt;&gt;'Funnel setup'!$K$3&amp;'Funnel setup'!$K$4&amp;'Funnel setup'!$K$5,".",IF(A4764=".",1,A4764+1))</f>
        <v>.</v>
      </c>
      <c r="B4765" s="431" t="str">
        <f t="shared" si="74"/>
        <v>Knee Replacement PrimaryProviderSPIRE ELLAND HOSPITAL (NT348)EQ-5D Index</v>
      </c>
      <c r="C4765" t="s">
        <v>249</v>
      </c>
      <c r="D4765" t="s">
        <v>1</v>
      </c>
      <c r="E4765" t="s">
        <v>3418</v>
      </c>
      <c r="F4765" t="s">
        <v>3419</v>
      </c>
      <c r="G4765" t="s">
        <v>52</v>
      </c>
      <c r="H4765">
        <v>61</v>
      </c>
      <c r="I4765">
        <v>0.48499999999999999</v>
      </c>
      <c r="J4765">
        <v>0.83499999999999996</v>
      </c>
      <c r="K4765">
        <v>0.35</v>
      </c>
      <c r="L4765">
        <v>55</v>
      </c>
      <c r="M4765">
        <v>3</v>
      </c>
      <c r="N4765">
        <v>3</v>
      </c>
      <c r="O4765">
        <v>0.81</v>
      </c>
      <c r="P4765">
        <v>0.385026386</v>
      </c>
      <c r="Q4765">
        <v>0.17499999999999999</v>
      </c>
    </row>
    <row r="4766" spans="1:17" x14ac:dyDescent="0.2">
      <c r="A4766" s="30" t="str">
        <f>IF(C4766&amp;G4766&amp;D4766&lt;&gt;'Funnel setup'!$K$3&amp;'Funnel setup'!$K$4&amp;'Funnel setup'!$K$5,".",IF(A4765=".",1,A4765+1))</f>
        <v>.</v>
      </c>
      <c r="B4766" s="431" t="str">
        <f t="shared" si="74"/>
        <v>Knee Replacement PrimaryProviderSPIRE FYLDE COAST HOSPITAL (NT347)EQ-5D Index</v>
      </c>
      <c r="C4766" t="s">
        <v>249</v>
      </c>
      <c r="D4766" t="s">
        <v>1</v>
      </c>
      <c r="E4766" t="s">
        <v>4370</v>
      </c>
      <c r="F4766" t="s">
        <v>4371</v>
      </c>
      <c r="G4766" t="s">
        <v>52</v>
      </c>
      <c r="H4766">
        <v>43</v>
      </c>
      <c r="I4766">
        <v>0.41499999999999998</v>
      </c>
      <c r="J4766">
        <v>0.71799999999999997</v>
      </c>
      <c r="K4766">
        <v>0.30299999999999999</v>
      </c>
      <c r="L4766">
        <v>33</v>
      </c>
      <c r="M4766">
        <v>5</v>
      </c>
      <c r="N4766">
        <v>5</v>
      </c>
      <c r="O4766">
        <v>0.72599999999999998</v>
      </c>
      <c r="P4766">
        <v>0.30120704500000001</v>
      </c>
      <c r="Q4766">
        <v>0.245</v>
      </c>
    </row>
    <row r="4767" spans="1:17" x14ac:dyDescent="0.2">
      <c r="A4767" s="30" t="str">
        <f>IF(C4767&amp;G4767&amp;D4767&lt;&gt;'Funnel setup'!$K$3&amp;'Funnel setup'!$K$4&amp;'Funnel setup'!$K$5,".",IF(A4766=".",1,A4766+1))</f>
        <v>.</v>
      </c>
      <c r="B4767" s="431" t="str">
        <f t="shared" si="74"/>
        <v>Knee Replacement PrimaryProviderSPIRE GATWICK PARK HOSPITAL (NT308)EQ-5D Index</v>
      </c>
      <c r="C4767" t="s">
        <v>249</v>
      </c>
      <c r="D4767" t="s">
        <v>1</v>
      </c>
      <c r="E4767" t="s">
        <v>3409</v>
      </c>
      <c r="F4767" t="s">
        <v>3410</v>
      </c>
      <c r="G4767" t="s">
        <v>52</v>
      </c>
      <c r="H4767">
        <v>57</v>
      </c>
      <c r="I4767">
        <v>0.48399999999999999</v>
      </c>
      <c r="J4767">
        <v>0.80100000000000005</v>
      </c>
      <c r="K4767">
        <v>0.318</v>
      </c>
      <c r="L4767">
        <v>44</v>
      </c>
      <c r="M4767">
        <v>6</v>
      </c>
      <c r="N4767">
        <v>7</v>
      </c>
      <c r="O4767">
        <v>0.76300000000000001</v>
      </c>
      <c r="P4767">
        <v>0.33759493200000001</v>
      </c>
      <c r="Q4767">
        <v>0.17100000000000001</v>
      </c>
    </row>
    <row r="4768" spans="1:17" x14ac:dyDescent="0.2">
      <c r="A4768" s="30" t="str">
        <f>IF(C4768&amp;G4768&amp;D4768&lt;&gt;'Funnel setup'!$K$3&amp;'Funnel setup'!$K$4&amp;'Funnel setup'!$K$5,".",IF(A4767=".",1,A4767+1))</f>
        <v>.</v>
      </c>
      <c r="B4768" s="431" t="str">
        <f t="shared" si="74"/>
        <v>Knee Replacement PrimaryProviderSPIRE HARPENDEN HOSPITAL (NT316)EQ-5D Index</v>
      </c>
      <c r="C4768" t="s">
        <v>249</v>
      </c>
      <c r="D4768" t="s">
        <v>1</v>
      </c>
      <c r="E4768" t="s">
        <v>4267</v>
      </c>
      <c r="F4768" t="s">
        <v>4268</v>
      </c>
      <c r="G4768" t="s">
        <v>52</v>
      </c>
      <c r="H4768">
        <v>45</v>
      </c>
      <c r="I4768">
        <v>0.436</v>
      </c>
      <c r="J4768">
        <v>0.76700000000000002</v>
      </c>
      <c r="K4768">
        <v>0.33100000000000002</v>
      </c>
      <c r="L4768">
        <v>38</v>
      </c>
      <c r="M4768">
        <v>4</v>
      </c>
      <c r="N4768">
        <v>3</v>
      </c>
      <c r="O4768">
        <v>0.73599999999999999</v>
      </c>
      <c r="P4768">
        <v>0.31066068299999999</v>
      </c>
      <c r="Q4768">
        <v>0.20399999999999999</v>
      </c>
    </row>
    <row r="4769" spans="1:17" x14ac:dyDescent="0.2">
      <c r="A4769" s="30" t="str">
        <f>IF(C4769&amp;G4769&amp;D4769&lt;&gt;'Funnel setup'!$K$3&amp;'Funnel setup'!$K$4&amp;'Funnel setup'!$K$5,".",IF(A4768=".",1,A4768+1))</f>
        <v>.</v>
      </c>
      <c r="B4769" s="431" t="str">
        <f t="shared" si="74"/>
        <v>Knee Replacement PrimaryProviderSPIRE HARTSWOOD HOSPITAL (NT319)EQ-5D Index</v>
      </c>
      <c r="C4769" t="s">
        <v>249</v>
      </c>
      <c r="D4769" t="s">
        <v>1</v>
      </c>
      <c r="E4769" t="s">
        <v>3210</v>
      </c>
      <c r="F4769" t="s">
        <v>3211</v>
      </c>
      <c r="G4769" t="s">
        <v>52</v>
      </c>
      <c r="H4769">
        <v>14</v>
      </c>
      <c r="I4769">
        <v>0.52200000000000002</v>
      </c>
      <c r="J4769">
        <v>0.82299999999999995</v>
      </c>
      <c r="K4769">
        <v>0.30199999999999999</v>
      </c>
      <c r="L4769">
        <v>14</v>
      </c>
      <c r="M4769">
        <v>0</v>
      </c>
      <c r="N4769">
        <v>0</v>
      </c>
      <c r="O4769" t="s">
        <v>53</v>
      </c>
      <c r="P4769" t="s">
        <v>53</v>
      </c>
      <c r="Q4769" t="s">
        <v>53</v>
      </c>
    </row>
    <row r="4770" spans="1:17" x14ac:dyDescent="0.2">
      <c r="A4770" s="30" t="str">
        <f>IF(C4770&amp;G4770&amp;D4770&lt;&gt;'Funnel setup'!$K$3&amp;'Funnel setup'!$K$4&amp;'Funnel setup'!$K$5,".",IF(A4769=".",1,A4769+1))</f>
        <v>.</v>
      </c>
      <c r="B4770" s="431" t="str">
        <f t="shared" si="74"/>
        <v>Knee Replacement PrimaryProviderSPIRE HULL AND EAST RIDING HOSPITAL (NT351)EQ-5D Index</v>
      </c>
      <c r="C4770" t="s">
        <v>249</v>
      </c>
      <c r="D4770" t="s">
        <v>1</v>
      </c>
      <c r="E4770" t="s">
        <v>3213</v>
      </c>
      <c r="F4770" t="s">
        <v>3214</v>
      </c>
      <c r="G4770" t="s">
        <v>52</v>
      </c>
      <c r="H4770">
        <v>194</v>
      </c>
      <c r="I4770">
        <v>0.45400000000000001</v>
      </c>
      <c r="J4770">
        <v>0.74099999999999999</v>
      </c>
      <c r="K4770">
        <v>0.28699999999999998</v>
      </c>
      <c r="L4770">
        <v>156</v>
      </c>
      <c r="M4770">
        <v>24</v>
      </c>
      <c r="N4770">
        <v>14</v>
      </c>
      <c r="O4770">
        <v>0.73299999999999998</v>
      </c>
      <c r="P4770">
        <v>0.30774280300000001</v>
      </c>
      <c r="Q4770">
        <v>0.24</v>
      </c>
    </row>
    <row r="4771" spans="1:17" x14ac:dyDescent="0.2">
      <c r="A4771" s="30" t="str">
        <f>IF(C4771&amp;G4771&amp;D4771&lt;&gt;'Funnel setup'!$K$3&amp;'Funnel setup'!$K$4&amp;'Funnel setup'!$K$5,".",IF(A4770=".",1,A4770+1))</f>
        <v>.</v>
      </c>
      <c r="B4771" s="431" t="str">
        <f t="shared" si="74"/>
        <v>Knee Replacement PrimaryProviderSPIRE LEEDS HOSPITAL (NT332)EQ-5D Index</v>
      </c>
      <c r="C4771" t="s">
        <v>249</v>
      </c>
      <c r="D4771" t="s">
        <v>1</v>
      </c>
      <c r="E4771" t="s">
        <v>3198</v>
      </c>
      <c r="F4771" t="s">
        <v>3199</v>
      </c>
      <c r="G4771" t="s">
        <v>52</v>
      </c>
      <c r="H4771">
        <v>93</v>
      </c>
      <c r="I4771">
        <v>0.49299999999999999</v>
      </c>
      <c r="J4771">
        <v>0.76700000000000002</v>
      </c>
      <c r="K4771">
        <v>0.27300000000000002</v>
      </c>
      <c r="L4771">
        <v>74</v>
      </c>
      <c r="M4771">
        <v>11</v>
      </c>
      <c r="N4771">
        <v>8</v>
      </c>
      <c r="O4771">
        <v>0.73799999999999999</v>
      </c>
      <c r="P4771">
        <v>0.31276700099999999</v>
      </c>
      <c r="Q4771">
        <v>0.17899999999999999</v>
      </c>
    </row>
    <row r="4772" spans="1:17" x14ac:dyDescent="0.2">
      <c r="A4772" s="30" t="str">
        <f>IF(C4772&amp;G4772&amp;D4772&lt;&gt;'Funnel setup'!$K$3&amp;'Funnel setup'!$K$4&amp;'Funnel setup'!$K$5,".",IF(A4771=".",1,A4771+1))</f>
        <v>.</v>
      </c>
      <c r="B4772" s="431" t="str">
        <f t="shared" si="74"/>
        <v>Knee Replacement PrimaryProviderSPIRE LEICESTER HOSPITAL (NT322)EQ-5D Index</v>
      </c>
      <c r="C4772" t="s">
        <v>249</v>
      </c>
      <c r="D4772" t="s">
        <v>1</v>
      </c>
      <c r="E4772" t="s">
        <v>3201</v>
      </c>
      <c r="F4772" t="s">
        <v>3202</v>
      </c>
      <c r="G4772" t="s">
        <v>52</v>
      </c>
      <c r="H4772">
        <v>105</v>
      </c>
      <c r="I4772">
        <v>0.45100000000000001</v>
      </c>
      <c r="J4772">
        <v>0.752</v>
      </c>
      <c r="K4772">
        <v>0.30099999999999999</v>
      </c>
      <c r="L4772">
        <v>87</v>
      </c>
      <c r="M4772">
        <v>9</v>
      </c>
      <c r="N4772">
        <v>9</v>
      </c>
      <c r="O4772">
        <v>0.751</v>
      </c>
      <c r="P4772">
        <v>0.32612394099999997</v>
      </c>
      <c r="Q4772">
        <v>0.17599999999999999</v>
      </c>
    </row>
    <row r="4773" spans="1:17" x14ac:dyDescent="0.2">
      <c r="A4773" s="30" t="str">
        <f>IF(C4773&amp;G4773&amp;D4773&lt;&gt;'Funnel setup'!$K$3&amp;'Funnel setup'!$K$4&amp;'Funnel setup'!$K$5,".",IF(A4772=".",1,A4772+1))</f>
        <v>.</v>
      </c>
      <c r="B4773" s="431" t="str">
        <f t="shared" si="74"/>
        <v>Knee Replacement PrimaryProviderSPIRE LITTLE ASTON HOSPITAL (NT321)EQ-5D Index</v>
      </c>
      <c r="C4773" t="s">
        <v>249</v>
      </c>
      <c r="D4773" t="s">
        <v>1</v>
      </c>
      <c r="E4773" t="s">
        <v>3921</v>
      </c>
      <c r="F4773" t="s">
        <v>3922</v>
      </c>
      <c r="G4773" t="s">
        <v>52</v>
      </c>
      <c r="H4773">
        <v>117</v>
      </c>
      <c r="I4773">
        <v>0.42099999999999999</v>
      </c>
      <c r="J4773">
        <v>0.748</v>
      </c>
      <c r="K4773">
        <v>0.32700000000000001</v>
      </c>
      <c r="L4773">
        <v>98</v>
      </c>
      <c r="M4773">
        <v>10</v>
      </c>
      <c r="N4773">
        <v>9</v>
      </c>
      <c r="O4773">
        <v>0.746</v>
      </c>
      <c r="P4773">
        <v>0.32116836999999998</v>
      </c>
      <c r="Q4773">
        <v>0.22800000000000001</v>
      </c>
    </row>
    <row r="4774" spans="1:17" x14ac:dyDescent="0.2">
      <c r="A4774" s="30" t="str">
        <f>IF(C4774&amp;G4774&amp;D4774&lt;&gt;'Funnel setup'!$K$3&amp;'Funnel setup'!$K$4&amp;'Funnel setup'!$K$5,".",IF(A4773=".",1,A4773+1))</f>
        <v>.</v>
      </c>
      <c r="B4774" s="431" t="str">
        <f t="shared" si="74"/>
        <v>Knee Replacement PrimaryProviderSPIRE LIVERPOOL HOSPITAL (NT337)EQ-5D Index</v>
      </c>
      <c r="C4774" t="s">
        <v>249</v>
      </c>
      <c r="D4774" t="s">
        <v>1</v>
      </c>
      <c r="E4774" t="s">
        <v>3927</v>
      </c>
      <c r="F4774" t="s">
        <v>3928</v>
      </c>
      <c r="G4774" t="s">
        <v>52</v>
      </c>
      <c r="H4774">
        <v>119</v>
      </c>
      <c r="I4774">
        <v>0.35299999999999998</v>
      </c>
      <c r="J4774">
        <v>0.70499999999999996</v>
      </c>
      <c r="K4774">
        <v>0.35199999999999998</v>
      </c>
      <c r="L4774">
        <v>99</v>
      </c>
      <c r="M4774">
        <v>12</v>
      </c>
      <c r="N4774">
        <v>8</v>
      </c>
      <c r="O4774">
        <v>0.73199999999999998</v>
      </c>
      <c r="P4774">
        <v>0.30746586999999997</v>
      </c>
      <c r="Q4774">
        <v>0.221</v>
      </c>
    </row>
    <row r="4775" spans="1:17" x14ac:dyDescent="0.2">
      <c r="A4775" s="30" t="str">
        <f>IF(C4775&amp;G4775&amp;D4775&lt;&gt;'Funnel setup'!$K$3&amp;'Funnel setup'!$K$4&amp;'Funnel setup'!$K$5,".",IF(A4774=".",1,A4774+1))</f>
        <v>.</v>
      </c>
      <c r="B4775" s="431" t="str">
        <f t="shared" si="74"/>
        <v>Knee Replacement PrimaryProviderSPIRE MANCHESTER HOSPITAL (NT327)EQ-5D Index</v>
      </c>
      <c r="C4775" t="s">
        <v>249</v>
      </c>
      <c r="D4775" t="s">
        <v>1</v>
      </c>
      <c r="E4775" t="s">
        <v>3154</v>
      </c>
      <c r="F4775" t="s">
        <v>3155</v>
      </c>
      <c r="G4775" t="s">
        <v>52</v>
      </c>
      <c r="H4775">
        <v>44</v>
      </c>
      <c r="I4775">
        <v>0.48099999999999998</v>
      </c>
      <c r="J4775">
        <v>0.75</v>
      </c>
      <c r="K4775">
        <v>0.26900000000000002</v>
      </c>
      <c r="L4775">
        <v>38</v>
      </c>
      <c r="M4775">
        <v>5</v>
      </c>
      <c r="N4775">
        <v>1</v>
      </c>
      <c r="O4775">
        <v>0.745</v>
      </c>
      <c r="P4775">
        <v>0.32016933800000003</v>
      </c>
      <c r="Q4775">
        <v>0.19800000000000001</v>
      </c>
    </row>
    <row r="4776" spans="1:17" x14ac:dyDescent="0.2">
      <c r="A4776" s="30" t="str">
        <f>IF(C4776&amp;G4776&amp;D4776&lt;&gt;'Funnel setup'!$K$3&amp;'Funnel setup'!$K$4&amp;'Funnel setup'!$K$5,".",IF(A4775=".",1,A4775+1))</f>
        <v>.</v>
      </c>
      <c r="B4776" s="431" t="str">
        <f t="shared" si="74"/>
        <v>Knee Replacement PrimaryProviderSPIRE METHLEY PARK HOSPITAL (NT350)EQ-5D Index</v>
      </c>
      <c r="C4776" t="s">
        <v>249</v>
      </c>
      <c r="D4776" t="s">
        <v>1</v>
      </c>
      <c r="E4776" t="s">
        <v>3157</v>
      </c>
      <c r="F4776" t="s">
        <v>3158</v>
      </c>
      <c r="G4776" t="s">
        <v>52</v>
      </c>
      <c r="H4776">
        <v>110</v>
      </c>
      <c r="I4776">
        <v>0.45800000000000002</v>
      </c>
      <c r="J4776">
        <v>0.74199999999999999</v>
      </c>
      <c r="K4776">
        <v>0.28499999999999998</v>
      </c>
      <c r="L4776">
        <v>86</v>
      </c>
      <c r="M4776">
        <v>13</v>
      </c>
      <c r="N4776">
        <v>11</v>
      </c>
      <c r="O4776">
        <v>0.73099999999999998</v>
      </c>
      <c r="P4776">
        <v>0.30577389599999999</v>
      </c>
      <c r="Q4776">
        <v>0.216</v>
      </c>
    </row>
    <row r="4777" spans="1:17" x14ac:dyDescent="0.2">
      <c r="A4777" s="30" t="str">
        <f>IF(C4777&amp;G4777&amp;D4777&lt;&gt;'Funnel setup'!$K$3&amp;'Funnel setup'!$K$4&amp;'Funnel setup'!$K$5,".",IF(A4776=".",1,A4776+1))</f>
        <v>.</v>
      </c>
      <c r="B4777" s="431" t="str">
        <f t="shared" si="74"/>
        <v>Knee Replacement PrimaryProviderSPIRE MONTEFIORE HOSPITAL (NT364)EQ-5D Index</v>
      </c>
      <c r="C4777" t="s">
        <v>249</v>
      </c>
      <c r="D4777" t="s">
        <v>1</v>
      </c>
      <c r="E4777" t="s">
        <v>3160</v>
      </c>
      <c r="F4777" t="s">
        <v>3161</v>
      </c>
      <c r="G4777" t="s">
        <v>52</v>
      </c>
      <c r="H4777">
        <v>38</v>
      </c>
      <c r="I4777">
        <v>0.59699999999999998</v>
      </c>
      <c r="J4777">
        <v>0.82</v>
      </c>
      <c r="K4777">
        <v>0.223</v>
      </c>
      <c r="L4777">
        <v>31</v>
      </c>
      <c r="M4777">
        <v>4</v>
      </c>
      <c r="N4777">
        <v>3</v>
      </c>
      <c r="O4777">
        <v>0.73799999999999999</v>
      </c>
      <c r="P4777">
        <v>0.312664206</v>
      </c>
      <c r="Q4777">
        <v>0.20799999999999999</v>
      </c>
    </row>
    <row r="4778" spans="1:17" x14ac:dyDescent="0.2">
      <c r="A4778" s="30" t="str">
        <f>IF(C4778&amp;G4778&amp;D4778&lt;&gt;'Funnel setup'!$K$3&amp;'Funnel setup'!$K$4&amp;'Funnel setup'!$K$5,".",IF(A4777=".",1,A4777+1))</f>
        <v>.</v>
      </c>
      <c r="B4778" s="431" t="str">
        <f t="shared" si="74"/>
        <v>Knee Replacement PrimaryProviderSPIRE MURRAYFIELD HOSPITAL (NT325)EQ-5D Index</v>
      </c>
      <c r="C4778" t="s">
        <v>249</v>
      </c>
      <c r="D4778" t="s">
        <v>1</v>
      </c>
      <c r="E4778" t="s">
        <v>3163</v>
      </c>
      <c r="F4778" t="s">
        <v>3164</v>
      </c>
      <c r="G4778" t="s">
        <v>52</v>
      </c>
      <c r="H4778">
        <v>85</v>
      </c>
      <c r="I4778">
        <v>0.39300000000000002</v>
      </c>
      <c r="J4778">
        <v>0.74199999999999999</v>
      </c>
      <c r="K4778">
        <v>0.34899999999999998</v>
      </c>
      <c r="L4778">
        <v>72</v>
      </c>
      <c r="M4778">
        <v>3</v>
      </c>
      <c r="N4778">
        <v>10</v>
      </c>
      <c r="O4778">
        <v>0.73499999999999999</v>
      </c>
      <c r="P4778">
        <v>0.31008369000000002</v>
      </c>
      <c r="Q4778">
        <v>0.21</v>
      </c>
    </row>
    <row r="4779" spans="1:17" x14ac:dyDescent="0.2">
      <c r="A4779" s="30" t="str">
        <f>IF(C4779&amp;G4779&amp;D4779&lt;&gt;'Funnel setup'!$K$3&amp;'Funnel setup'!$K$4&amp;'Funnel setup'!$K$5,".",IF(A4778=".",1,A4778+1))</f>
        <v>.</v>
      </c>
      <c r="B4779" s="431" t="str">
        <f t="shared" si="74"/>
        <v>Knee Replacement PrimaryProviderSPIRE NORWICH HOSPITAL (NT318)EQ-5D Index</v>
      </c>
      <c r="C4779" t="s">
        <v>249</v>
      </c>
      <c r="D4779" t="s">
        <v>1</v>
      </c>
      <c r="E4779" t="s">
        <v>4251</v>
      </c>
      <c r="F4779" t="s">
        <v>4252</v>
      </c>
      <c r="G4779" t="s">
        <v>52</v>
      </c>
      <c r="H4779">
        <v>206</v>
      </c>
      <c r="I4779">
        <v>0.52900000000000003</v>
      </c>
      <c r="J4779">
        <v>0.78</v>
      </c>
      <c r="K4779">
        <v>0.251</v>
      </c>
      <c r="L4779">
        <v>167</v>
      </c>
      <c r="M4779">
        <v>21</v>
      </c>
      <c r="N4779">
        <v>18</v>
      </c>
      <c r="O4779">
        <v>0.74</v>
      </c>
      <c r="P4779">
        <v>0.31530355900000001</v>
      </c>
      <c r="Q4779">
        <v>0.19700000000000001</v>
      </c>
    </row>
    <row r="4780" spans="1:17" x14ac:dyDescent="0.2">
      <c r="A4780" s="30" t="str">
        <f>IF(C4780&amp;G4780&amp;D4780&lt;&gt;'Funnel setup'!$K$3&amp;'Funnel setup'!$K$4&amp;'Funnel setup'!$K$5,".",IF(A4779=".",1,A4779+1))</f>
        <v>.</v>
      </c>
      <c r="B4780" s="431" t="str">
        <f t="shared" si="74"/>
        <v>Knee Replacement PrimaryProviderSPIRE PARKWAY HOSPITAL (NT320)EQ-5D Index</v>
      </c>
      <c r="C4780" t="s">
        <v>249</v>
      </c>
      <c r="D4780" t="s">
        <v>1</v>
      </c>
      <c r="E4780" t="s">
        <v>3166</v>
      </c>
      <c r="F4780" t="s">
        <v>3167</v>
      </c>
      <c r="G4780" t="s">
        <v>52</v>
      </c>
      <c r="H4780">
        <v>75</v>
      </c>
      <c r="I4780">
        <v>0.52500000000000002</v>
      </c>
      <c r="J4780">
        <v>0.73199999999999998</v>
      </c>
      <c r="K4780">
        <v>0.20599999999999999</v>
      </c>
      <c r="L4780">
        <v>53</v>
      </c>
      <c r="M4780">
        <v>10</v>
      </c>
      <c r="N4780">
        <v>12</v>
      </c>
      <c r="O4780">
        <v>0.70199999999999996</v>
      </c>
      <c r="P4780">
        <v>0.27708567899999997</v>
      </c>
      <c r="Q4780">
        <v>0.27500000000000002</v>
      </c>
    </row>
    <row r="4781" spans="1:17" x14ac:dyDescent="0.2">
      <c r="A4781" s="30" t="str">
        <f>IF(C4781&amp;G4781&amp;D4781&lt;&gt;'Funnel setup'!$K$3&amp;'Funnel setup'!$K$4&amp;'Funnel setup'!$K$5,".",IF(A4780=".",1,A4780+1))</f>
        <v>.</v>
      </c>
      <c r="B4781" s="431" t="str">
        <f t="shared" si="74"/>
        <v>Knee Replacement PrimaryProviderSPIRE PORTSMOUTH HOSPITAL (NT305)EQ-5D Index</v>
      </c>
      <c r="C4781" t="s">
        <v>249</v>
      </c>
      <c r="D4781" t="s">
        <v>1</v>
      </c>
      <c r="E4781" t="s">
        <v>3169</v>
      </c>
      <c r="F4781" t="s">
        <v>340</v>
      </c>
      <c r="G4781" t="s">
        <v>52</v>
      </c>
      <c r="H4781">
        <v>93</v>
      </c>
      <c r="I4781">
        <v>0.44500000000000001</v>
      </c>
      <c r="J4781">
        <v>0.81</v>
      </c>
      <c r="K4781">
        <v>0.36499999999999999</v>
      </c>
      <c r="L4781">
        <v>81</v>
      </c>
      <c r="M4781">
        <v>9</v>
      </c>
      <c r="N4781">
        <v>3</v>
      </c>
      <c r="O4781">
        <v>0.77900000000000003</v>
      </c>
      <c r="P4781">
        <v>0.35374425700000001</v>
      </c>
      <c r="Q4781">
        <v>0.17499999999999999</v>
      </c>
    </row>
    <row r="4782" spans="1:17" x14ac:dyDescent="0.2">
      <c r="A4782" s="30" t="str">
        <f>IF(C4782&amp;G4782&amp;D4782&lt;&gt;'Funnel setup'!$K$3&amp;'Funnel setup'!$K$4&amp;'Funnel setup'!$K$5,".",IF(A4781=".",1,A4781+1))</f>
        <v>.</v>
      </c>
      <c r="B4782" s="431" t="str">
        <f t="shared" si="74"/>
        <v>Knee Replacement PrimaryProviderSPIRE REGENCY HOSPITAL (NT339)EQ-5D Index</v>
      </c>
      <c r="C4782" t="s">
        <v>249</v>
      </c>
      <c r="D4782" t="s">
        <v>1</v>
      </c>
      <c r="E4782" t="s">
        <v>3171</v>
      </c>
      <c r="F4782" t="s">
        <v>3172</v>
      </c>
      <c r="G4782" t="s">
        <v>52</v>
      </c>
      <c r="H4782">
        <v>46</v>
      </c>
      <c r="I4782">
        <v>0.51200000000000001</v>
      </c>
      <c r="J4782">
        <v>0.77400000000000002</v>
      </c>
      <c r="K4782">
        <v>0.26300000000000001</v>
      </c>
      <c r="L4782">
        <v>33</v>
      </c>
      <c r="M4782">
        <v>7</v>
      </c>
      <c r="N4782">
        <v>6</v>
      </c>
      <c r="O4782">
        <v>0.72399999999999998</v>
      </c>
      <c r="P4782">
        <v>0.299457003</v>
      </c>
      <c r="Q4782">
        <v>0.2</v>
      </c>
    </row>
    <row r="4783" spans="1:17" x14ac:dyDescent="0.2">
      <c r="A4783" s="30" t="str">
        <f>IF(C4783&amp;G4783&amp;D4783&lt;&gt;'Funnel setup'!$K$3&amp;'Funnel setup'!$K$4&amp;'Funnel setup'!$K$5,".",IF(A4782=".",1,A4782+1))</f>
        <v>.</v>
      </c>
      <c r="B4783" s="431" t="str">
        <f t="shared" si="74"/>
        <v>Knee Replacement PrimaryProviderSPIRE RODING HOSPITAL (NT314)EQ-5D Index</v>
      </c>
      <c r="C4783" t="s">
        <v>249</v>
      </c>
      <c r="D4783" t="s">
        <v>1</v>
      </c>
      <c r="E4783" t="s">
        <v>4254</v>
      </c>
      <c r="F4783" t="s">
        <v>4255</v>
      </c>
      <c r="G4783" t="s">
        <v>52</v>
      </c>
      <c r="H4783">
        <v>25</v>
      </c>
      <c r="I4783">
        <v>0.51300000000000001</v>
      </c>
      <c r="J4783">
        <v>0.66900000000000004</v>
      </c>
      <c r="K4783">
        <v>0.157</v>
      </c>
      <c r="L4783">
        <v>13</v>
      </c>
      <c r="M4783">
        <v>6</v>
      </c>
      <c r="N4783">
        <v>6</v>
      </c>
      <c r="O4783" t="s">
        <v>53</v>
      </c>
      <c r="P4783" t="s">
        <v>53</v>
      </c>
      <c r="Q4783" t="s">
        <v>53</v>
      </c>
    </row>
    <row r="4784" spans="1:17" x14ac:dyDescent="0.2">
      <c r="A4784" s="30" t="str">
        <f>IF(C4784&amp;G4784&amp;D4784&lt;&gt;'Funnel setup'!$K$3&amp;'Funnel setup'!$K$4&amp;'Funnel setup'!$K$5,".",IF(A4783=".",1,A4783+1))</f>
        <v>.</v>
      </c>
      <c r="B4784" s="431" t="str">
        <f t="shared" si="74"/>
        <v>Knee Replacement PrimaryProviderSPIRE SOUTH BANK HOSPITAL (NT301)EQ-5D Index</v>
      </c>
      <c r="C4784" t="s">
        <v>249</v>
      </c>
      <c r="D4784" t="s">
        <v>1</v>
      </c>
      <c r="E4784" t="s">
        <v>3174</v>
      </c>
      <c r="F4784" t="s">
        <v>3175</v>
      </c>
      <c r="G4784" t="s">
        <v>52</v>
      </c>
      <c r="H4784">
        <v>43</v>
      </c>
      <c r="I4784">
        <v>0.50700000000000001</v>
      </c>
      <c r="J4784">
        <v>0.78600000000000003</v>
      </c>
      <c r="K4784">
        <v>0.28000000000000003</v>
      </c>
      <c r="L4784">
        <v>34</v>
      </c>
      <c r="M4784">
        <v>5</v>
      </c>
      <c r="N4784">
        <v>4</v>
      </c>
      <c r="O4784">
        <v>0.747</v>
      </c>
      <c r="P4784">
        <v>0.32195770499999998</v>
      </c>
      <c r="Q4784">
        <v>0.25700000000000001</v>
      </c>
    </row>
    <row r="4785" spans="1:17" x14ac:dyDescent="0.2">
      <c r="A4785" s="30" t="str">
        <f>IF(C4785&amp;G4785&amp;D4785&lt;&gt;'Funnel setup'!$K$3&amp;'Funnel setup'!$K$4&amp;'Funnel setup'!$K$5,".",IF(A4784=".",1,A4784+1))</f>
        <v>.</v>
      </c>
      <c r="B4785" s="431" t="str">
        <f t="shared" si="74"/>
        <v>Knee Replacement PrimaryProviderSPIRE ST SAVIOURS HOSPITAL (NT346)EQ-5D Index</v>
      </c>
      <c r="C4785" t="s">
        <v>249</v>
      </c>
      <c r="D4785" t="s">
        <v>1</v>
      </c>
      <c r="E4785" t="s">
        <v>3177</v>
      </c>
      <c r="F4785" t="s">
        <v>3178</v>
      </c>
      <c r="G4785" t="s">
        <v>52</v>
      </c>
      <c r="H4785">
        <v>12</v>
      </c>
      <c r="I4785">
        <v>0.49</v>
      </c>
      <c r="J4785">
        <v>0.83399999999999996</v>
      </c>
      <c r="K4785">
        <v>0.34399999999999997</v>
      </c>
      <c r="L4785">
        <v>11</v>
      </c>
      <c r="M4785">
        <v>0</v>
      </c>
      <c r="N4785">
        <v>1</v>
      </c>
      <c r="O4785" t="s">
        <v>53</v>
      </c>
      <c r="P4785" t="s">
        <v>53</v>
      </c>
      <c r="Q4785" t="s">
        <v>53</v>
      </c>
    </row>
    <row r="4786" spans="1:17" x14ac:dyDescent="0.2">
      <c r="A4786" s="30" t="str">
        <f>IF(C4786&amp;G4786&amp;D4786&lt;&gt;'Funnel setup'!$K$3&amp;'Funnel setup'!$K$4&amp;'Funnel setup'!$K$5,".",IF(A4785=".",1,A4785+1))</f>
        <v>.</v>
      </c>
      <c r="B4786" s="431" t="str">
        <f t="shared" si="74"/>
        <v>Knee Replacement PrimaryProviderSPIRE SUSSEX HOSPITAL (NT309)EQ-5D Index</v>
      </c>
      <c r="C4786" t="s">
        <v>249</v>
      </c>
      <c r="D4786" t="s">
        <v>1</v>
      </c>
      <c r="E4786" t="s">
        <v>3180</v>
      </c>
      <c r="F4786" t="s">
        <v>3181</v>
      </c>
      <c r="G4786" t="s">
        <v>52</v>
      </c>
      <c r="H4786">
        <v>44</v>
      </c>
      <c r="I4786">
        <v>0.495</v>
      </c>
      <c r="J4786">
        <v>0.79300000000000004</v>
      </c>
      <c r="K4786">
        <v>0.29799999999999999</v>
      </c>
      <c r="L4786">
        <v>40</v>
      </c>
      <c r="M4786">
        <v>1</v>
      </c>
      <c r="N4786">
        <v>3</v>
      </c>
      <c r="O4786">
        <v>0.754</v>
      </c>
      <c r="P4786">
        <v>0.32934716200000003</v>
      </c>
      <c r="Q4786">
        <v>0.214</v>
      </c>
    </row>
    <row r="4787" spans="1:17" x14ac:dyDescent="0.2">
      <c r="A4787" s="30" t="str">
        <f>IF(C4787&amp;G4787&amp;D4787&lt;&gt;'Funnel setup'!$K$3&amp;'Funnel setup'!$K$4&amp;'Funnel setup'!$K$5,".",IF(A4786=".",1,A4786+1))</f>
        <v>.</v>
      </c>
      <c r="B4787" s="431" t="str">
        <f t="shared" si="74"/>
        <v>Knee Replacement PrimaryProviderSPIRE THAMES VALLEY HOSPITAL (NT343)EQ-5D Index</v>
      </c>
      <c r="C4787" t="s">
        <v>249</v>
      </c>
      <c r="D4787" t="s">
        <v>1</v>
      </c>
      <c r="E4787" t="s">
        <v>3183</v>
      </c>
      <c r="F4787" t="s">
        <v>3184</v>
      </c>
      <c r="G4787" t="s">
        <v>52</v>
      </c>
      <c r="H4787" t="s">
        <v>53</v>
      </c>
      <c r="I4787" t="s">
        <v>53</v>
      </c>
      <c r="J4787" t="s">
        <v>53</v>
      </c>
      <c r="K4787" t="s">
        <v>53</v>
      </c>
      <c r="L4787" t="s">
        <v>53</v>
      </c>
      <c r="M4787" t="s">
        <v>53</v>
      </c>
      <c r="N4787" t="s">
        <v>53</v>
      </c>
      <c r="O4787" t="s">
        <v>53</v>
      </c>
      <c r="P4787" t="s">
        <v>53</v>
      </c>
      <c r="Q4787" t="s">
        <v>53</v>
      </c>
    </row>
    <row r="4788" spans="1:17" x14ac:dyDescent="0.2">
      <c r="A4788" s="30" t="str">
        <f>IF(C4788&amp;G4788&amp;D4788&lt;&gt;'Funnel setup'!$K$3&amp;'Funnel setup'!$K$4&amp;'Funnel setup'!$K$5,".",IF(A4787=".",1,A4787+1))</f>
        <v>.</v>
      </c>
      <c r="B4788" s="431" t="str">
        <f t="shared" si="74"/>
        <v>Knee Replacement PrimaryProviderSPIRE TUNBRIDGE WELLS HOSPITAL (NT310)EQ-5D Index</v>
      </c>
      <c r="C4788" t="s">
        <v>249</v>
      </c>
      <c r="D4788" t="s">
        <v>1</v>
      </c>
      <c r="E4788" t="s">
        <v>3186</v>
      </c>
      <c r="F4788" t="s">
        <v>3187</v>
      </c>
      <c r="G4788" t="s">
        <v>52</v>
      </c>
      <c r="H4788" t="s">
        <v>53</v>
      </c>
      <c r="I4788" t="s">
        <v>53</v>
      </c>
      <c r="J4788" t="s">
        <v>53</v>
      </c>
      <c r="K4788" t="s">
        <v>53</v>
      </c>
      <c r="L4788" t="s">
        <v>53</v>
      </c>
      <c r="M4788" t="s">
        <v>53</v>
      </c>
      <c r="N4788" t="s">
        <v>53</v>
      </c>
      <c r="O4788" t="s">
        <v>53</v>
      </c>
      <c r="P4788" t="s">
        <v>53</v>
      </c>
      <c r="Q4788" t="s">
        <v>53</v>
      </c>
    </row>
    <row r="4789" spans="1:17" x14ac:dyDescent="0.2">
      <c r="A4789" s="30" t="str">
        <f>IF(C4789&amp;G4789&amp;D4789&lt;&gt;'Funnel setup'!$K$3&amp;'Funnel setup'!$K$4&amp;'Funnel setup'!$K$5,".",IF(A4788=".",1,A4788+1))</f>
        <v>.</v>
      </c>
      <c r="B4789" s="431" t="str">
        <f t="shared" si="74"/>
        <v>Knee Replacement PrimaryProviderSPIRE WASHINGTON HOSPITAL (NT333)EQ-5D Index</v>
      </c>
      <c r="C4789" t="s">
        <v>249</v>
      </c>
      <c r="D4789" t="s">
        <v>1</v>
      </c>
      <c r="E4789" t="s">
        <v>3189</v>
      </c>
      <c r="F4789" t="s">
        <v>3190</v>
      </c>
      <c r="G4789" t="s">
        <v>52</v>
      </c>
      <c r="H4789">
        <v>80</v>
      </c>
      <c r="I4789">
        <v>0.42799999999999999</v>
      </c>
      <c r="J4789">
        <v>0.79</v>
      </c>
      <c r="K4789">
        <v>0.36099999999999999</v>
      </c>
      <c r="L4789">
        <v>66</v>
      </c>
      <c r="M4789">
        <v>6</v>
      </c>
      <c r="N4789">
        <v>8</v>
      </c>
      <c r="O4789">
        <v>0.78500000000000003</v>
      </c>
      <c r="P4789">
        <v>0.35973521200000003</v>
      </c>
      <c r="Q4789">
        <v>0.222</v>
      </c>
    </row>
    <row r="4790" spans="1:17" x14ac:dyDescent="0.2">
      <c r="A4790" s="30" t="str">
        <f>IF(C4790&amp;G4790&amp;D4790&lt;&gt;'Funnel setup'!$K$3&amp;'Funnel setup'!$K$4&amp;'Funnel setup'!$K$5,".",IF(A4789=".",1,A4789+1))</f>
        <v>.</v>
      </c>
      <c r="B4790" s="431" t="str">
        <f t="shared" si="74"/>
        <v>Knee Replacement PrimaryProviderSPIRE WELLESLEY HOSPITAL (NT313)EQ-5D Index</v>
      </c>
      <c r="C4790" t="s">
        <v>249</v>
      </c>
      <c r="D4790" t="s">
        <v>1</v>
      </c>
      <c r="E4790" t="s">
        <v>3192</v>
      </c>
      <c r="F4790" t="s">
        <v>3193</v>
      </c>
      <c r="G4790" t="s">
        <v>52</v>
      </c>
      <c r="H4790">
        <v>103</v>
      </c>
      <c r="I4790">
        <v>0.39300000000000002</v>
      </c>
      <c r="J4790">
        <v>0.76100000000000001</v>
      </c>
      <c r="K4790">
        <v>0.36799999999999999</v>
      </c>
      <c r="L4790">
        <v>90</v>
      </c>
      <c r="M4790">
        <v>7</v>
      </c>
      <c r="N4790">
        <v>6</v>
      </c>
      <c r="O4790">
        <v>0.76400000000000001</v>
      </c>
      <c r="P4790">
        <v>0.33934724500000002</v>
      </c>
      <c r="Q4790">
        <v>0.19400000000000001</v>
      </c>
    </row>
    <row r="4791" spans="1:17" x14ac:dyDescent="0.2">
      <c r="A4791" s="30" t="str">
        <f>IF(C4791&amp;G4791&amp;D4791&lt;&gt;'Funnel setup'!$K$3&amp;'Funnel setup'!$K$4&amp;'Funnel setup'!$K$5,".",IF(A4790=".",1,A4790+1))</f>
        <v>.</v>
      </c>
      <c r="B4791" s="431" t="str">
        <f t="shared" si="74"/>
        <v>Knee Replacement PrimaryProviderSPRINGFIELD HOSPITAL (NVC18)EQ-5D Index</v>
      </c>
      <c r="C4791" t="s">
        <v>249</v>
      </c>
      <c r="D4791" t="s">
        <v>1</v>
      </c>
      <c r="E4791" t="s">
        <v>3195</v>
      </c>
      <c r="F4791" t="s">
        <v>3196</v>
      </c>
      <c r="G4791" t="s">
        <v>52</v>
      </c>
      <c r="H4791">
        <v>118</v>
      </c>
      <c r="I4791">
        <v>0.47199999999999998</v>
      </c>
      <c r="J4791">
        <v>0.76300000000000001</v>
      </c>
      <c r="K4791">
        <v>0.29099999999999998</v>
      </c>
      <c r="L4791">
        <v>96</v>
      </c>
      <c r="M4791">
        <v>8</v>
      </c>
      <c r="N4791">
        <v>14</v>
      </c>
      <c r="O4791">
        <v>0.73199999999999998</v>
      </c>
      <c r="P4791">
        <v>0.306899798</v>
      </c>
      <c r="Q4791">
        <v>0.215</v>
      </c>
    </row>
    <row r="4792" spans="1:17" x14ac:dyDescent="0.2">
      <c r="A4792" s="30" t="str">
        <f>IF(C4792&amp;G4792&amp;D4792&lt;&gt;'Funnel setup'!$K$3&amp;'Funnel setup'!$K$4&amp;'Funnel setup'!$K$5,".",IF(A4791=".",1,A4791+1))</f>
        <v>.</v>
      </c>
      <c r="B4792" s="431" t="str">
        <f t="shared" si="74"/>
        <v>Knee Replacement PrimaryProviderST GEORGE'S UNIVERSITY HOSPITALS NHS FOUNDATION TRUST (RJ7)EQ-5D Index</v>
      </c>
      <c r="C4792" t="s">
        <v>249</v>
      </c>
      <c r="D4792" t="s">
        <v>1</v>
      </c>
      <c r="E4792" t="s">
        <v>3124</v>
      </c>
      <c r="F4792" t="s">
        <v>3125</v>
      </c>
      <c r="G4792" t="s">
        <v>52</v>
      </c>
      <c r="H4792" t="s">
        <v>53</v>
      </c>
      <c r="I4792" t="s">
        <v>53</v>
      </c>
      <c r="J4792" t="s">
        <v>53</v>
      </c>
      <c r="K4792" t="s">
        <v>53</v>
      </c>
      <c r="L4792" t="s">
        <v>53</v>
      </c>
      <c r="M4792" t="s">
        <v>53</v>
      </c>
      <c r="N4792" t="s">
        <v>53</v>
      </c>
      <c r="O4792" t="s">
        <v>53</v>
      </c>
      <c r="P4792" t="s">
        <v>53</v>
      </c>
      <c r="Q4792" t="s">
        <v>53</v>
      </c>
    </row>
    <row r="4793" spans="1:17" x14ac:dyDescent="0.2">
      <c r="A4793" s="30" t="str">
        <f>IF(C4793&amp;G4793&amp;D4793&lt;&gt;'Funnel setup'!$K$3&amp;'Funnel setup'!$K$4&amp;'Funnel setup'!$K$5,".",IF(A4792=".",1,A4792+1))</f>
        <v>.</v>
      </c>
      <c r="B4793" s="431" t="str">
        <f t="shared" si="74"/>
        <v>Knee Replacement PrimaryProviderST HELENS AND KNOWSLEY HOSPITALS NHS TRUST (RBN)EQ-5D Index</v>
      </c>
      <c r="C4793" t="s">
        <v>249</v>
      </c>
      <c r="D4793" t="s">
        <v>1</v>
      </c>
      <c r="E4793" t="s">
        <v>3127</v>
      </c>
      <c r="F4793" t="s">
        <v>3128</v>
      </c>
      <c r="G4793" t="s">
        <v>52</v>
      </c>
      <c r="H4793">
        <v>245</v>
      </c>
      <c r="I4793">
        <v>0.42299999999999999</v>
      </c>
      <c r="J4793">
        <v>0.67900000000000005</v>
      </c>
      <c r="K4793">
        <v>0.25600000000000001</v>
      </c>
      <c r="L4793">
        <v>176</v>
      </c>
      <c r="M4793">
        <v>42</v>
      </c>
      <c r="N4793">
        <v>27</v>
      </c>
      <c r="O4793">
        <v>0.7</v>
      </c>
      <c r="P4793">
        <v>0.27470456399999998</v>
      </c>
      <c r="Q4793">
        <v>0.252</v>
      </c>
    </row>
    <row r="4794" spans="1:17" x14ac:dyDescent="0.2">
      <c r="A4794" s="30" t="str">
        <f>IF(C4794&amp;G4794&amp;D4794&lt;&gt;'Funnel setup'!$K$3&amp;'Funnel setup'!$K$4&amp;'Funnel setup'!$K$5,".",IF(A4793=".",1,A4793+1))</f>
        <v>.</v>
      </c>
      <c r="B4794" s="431" t="str">
        <f t="shared" si="74"/>
        <v>Knee Replacement PrimaryProviderST HUGH'S HOSPITAL (NTE02)EQ-5D Index</v>
      </c>
      <c r="C4794" t="s">
        <v>249</v>
      </c>
      <c r="D4794" t="s">
        <v>1</v>
      </c>
      <c r="E4794" t="s">
        <v>3130</v>
      </c>
      <c r="F4794" t="s">
        <v>3131</v>
      </c>
      <c r="G4794" t="s">
        <v>52</v>
      </c>
      <c r="H4794">
        <v>51</v>
      </c>
      <c r="I4794">
        <v>0.45900000000000002</v>
      </c>
      <c r="J4794">
        <v>0.76500000000000001</v>
      </c>
      <c r="K4794">
        <v>0.30599999999999999</v>
      </c>
      <c r="L4794">
        <v>39</v>
      </c>
      <c r="M4794">
        <v>6</v>
      </c>
      <c r="N4794">
        <v>6</v>
      </c>
      <c r="O4794">
        <v>0.73599999999999999</v>
      </c>
      <c r="P4794">
        <v>0.31080304800000003</v>
      </c>
      <c r="Q4794">
        <v>0.23599999999999999</v>
      </c>
    </row>
    <row r="4795" spans="1:17" x14ac:dyDescent="0.2">
      <c r="A4795" s="30" t="str">
        <f>IF(C4795&amp;G4795&amp;D4795&lt;&gt;'Funnel setup'!$K$3&amp;'Funnel setup'!$K$4&amp;'Funnel setup'!$K$5,".",IF(A4794=".",1,A4794+1))</f>
        <v>.</v>
      </c>
      <c r="B4795" s="431" t="str">
        <f t="shared" si="74"/>
        <v>Knee Replacement PrimaryProviderSTOCKPORT NHS FOUNDATION TRUST (RWJ)EQ-5D Index</v>
      </c>
      <c r="C4795" t="s">
        <v>249</v>
      </c>
      <c r="D4795" t="s">
        <v>1</v>
      </c>
      <c r="E4795" t="s">
        <v>3142</v>
      </c>
      <c r="F4795" t="s">
        <v>3143</v>
      </c>
      <c r="G4795" t="s">
        <v>52</v>
      </c>
      <c r="H4795">
        <v>175</v>
      </c>
      <c r="I4795">
        <v>0.39200000000000002</v>
      </c>
      <c r="J4795">
        <v>0.78700000000000003</v>
      </c>
      <c r="K4795">
        <v>0.39600000000000002</v>
      </c>
      <c r="L4795">
        <v>154</v>
      </c>
      <c r="M4795">
        <v>13</v>
      </c>
      <c r="N4795">
        <v>8</v>
      </c>
      <c r="O4795">
        <v>0.78</v>
      </c>
      <c r="P4795">
        <v>0.35473727799999999</v>
      </c>
      <c r="Q4795">
        <v>0.188</v>
      </c>
    </row>
    <row r="4796" spans="1:17" x14ac:dyDescent="0.2">
      <c r="A4796" s="30" t="str">
        <f>IF(C4796&amp;G4796&amp;D4796&lt;&gt;'Funnel setup'!$K$3&amp;'Funnel setup'!$K$4&amp;'Funnel setup'!$K$5,".",IF(A4795=".",1,A4795+1))</f>
        <v>.</v>
      </c>
      <c r="B4796" s="431" t="str">
        <f t="shared" si="74"/>
        <v>Knee Replacement PrimaryProviderSURREY AND SUSSEX HEALTHCARE NHS TRUST (RTP)EQ-5D Index</v>
      </c>
      <c r="C4796" t="s">
        <v>249</v>
      </c>
      <c r="D4796" t="s">
        <v>1</v>
      </c>
      <c r="E4796" t="s">
        <v>3145</v>
      </c>
      <c r="F4796" t="s">
        <v>3146</v>
      </c>
      <c r="G4796" t="s">
        <v>52</v>
      </c>
      <c r="H4796">
        <v>119</v>
      </c>
      <c r="I4796">
        <v>0.45</v>
      </c>
      <c r="J4796">
        <v>0.69799999999999995</v>
      </c>
      <c r="K4796">
        <v>0.248</v>
      </c>
      <c r="L4796">
        <v>94</v>
      </c>
      <c r="M4796">
        <v>15</v>
      </c>
      <c r="N4796">
        <v>10</v>
      </c>
      <c r="O4796">
        <v>0.69</v>
      </c>
      <c r="P4796">
        <v>0.26545353900000002</v>
      </c>
      <c r="Q4796">
        <v>0.22900000000000001</v>
      </c>
    </row>
    <row r="4797" spans="1:17" x14ac:dyDescent="0.2">
      <c r="A4797" s="30" t="str">
        <f>IF(C4797&amp;G4797&amp;D4797&lt;&gt;'Funnel setup'!$K$3&amp;'Funnel setup'!$K$4&amp;'Funnel setup'!$K$5,".",IF(A4796=".",1,A4796+1))</f>
        <v>.</v>
      </c>
      <c r="B4797" s="431" t="str">
        <f t="shared" si="74"/>
        <v>Knee Replacement PrimaryProviderTAMESIDE HOSPITAL NHS FOUNDATION TRUST (RMP)EQ-5D Index</v>
      </c>
      <c r="C4797" t="s">
        <v>249</v>
      </c>
      <c r="D4797" t="s">
        <v>1</v>
      </c>
      <c r="E4797" t="s">
        <v>3148</v>
      </c>
      <c r="F4797" t="s">
        <v>3149</v>
      </c>
      <c r="G4797" t="s">
        <v>52</v>
      </c>
      <c r="H4797">
        <v>127</v>
      </c>
      <c r="I4797">
        <v>0.36399999999999999</v>
      </c>
      <c r="J4797">
        <v>0.70599999999999996</v>
      </c>
      <c r="K4797">
        <v>0.34100000000000003</v>
      </c>
      <c r="L4797">
        <v>100</v>
      </c>
      <c r="M4797">
        <v>12</v>
      </c>
      <c r="N4797">
        <v>15</v>
      </c>
      <c r="O4797">
        <v>0.749</v>
      </c>
      <c r="P4797">
        <v>0.32368416999999999</v>
      </c>
      <c r="Q4797">
        <v>0.221</v>
      </c>
    </row>
    <row r="4798" spans="1:17" x14ac:dyDescent="0.2">
      <c r="A4798" s="30" t="str">
        <f>IF(C4798&amp;G4798&amp;D4798&lt;&gt;'Funnel setup'!$K$3&amp;'Funnel setup'!$K$4&amp;'Funnel setup'!$K$5,".",IF(A4797=".",1,A4797+1))</f>
        <v>.</v>
      </c>
      <c r="B4798" s="431" t="str">
        <f t="shared" si="74"/>
        <v>Knee Replacement PrimaryProviderTAUNTON AND SOMERSET NHS FOUNDATION TRUST (RBA)EQ-5D Index</v>
      </c>
      <c r="C4798" t="s">
        <v>249</v>
      </c>
      <c r="D4798" t="s">
        <v>1</v>
      </c>
      <c r="E4798" t="s">
        <v>3151</v>
      </c>
      <c r="F4798" t="s">
        <v>3152</v>
      </c>
      <c r="G4798" t="s">
        <v>52</v>
      </c>
      <c r="H4798">
        <v>77</v>
      </c>
      <c r="I4798">
        <v>0.38100000000000001</v>
      </c>
      <c r="J4798">
        <v>0.74299999999999999</v>
      </c>
      <c r="K4798">
        <v>0.36199999999999999</v>
      </c>
      <c r="L4798">
        <v>65</v>
      </c>
      <c r="M4798">
        <v>10</v>
      </c>
      <c r="N4798">
        <v>2</v>
      </c>
      <c r="O4798">
        <v>0.75900000000000001</v>
      </c>
      <c r="P4798">
        <v>0.33448023599999999</v>
      </c>
      <c r="Q4798">
        <v>0.22700000000000001</v>
      </c>
    </row>
    <row r="4799" spans="1:17" x14ac:dyDescent="0.2">
      <c r="A4799" s="30" t="str">
        <f>IF(C4799&amp;G4799&amp;D4799&lt;&gt;'Funnel setup'!$K$3&amp;'Funnel setup'!$K$4&amp;'Funnel setup'!$K$5,".",IF(A4798=".",1,A4798+1))</f>
        <v>.</v>
      </c>
      <c r="B4799" s="431" t="str">
        <f t="shared" si="74"/>
        <v>Knee Replacement PrimaryProviderTHE BERKSHIRE INDEPENDENT HOSPITAL (NVC02)EQ-5D Index</v>
      </c>
      <c r="C4799" t="s">
        <v>249</v>
      </c>
      <c r="D4799" t="s">
        <v>1</v>
      </c>
      <c r="E4799" t="s">
        <v>3118</v>
      </c>
      <c r="F4799" t="s">
        <v>3119</v>
      </c>
      <c r="G4799" t="s">
        <v>52</v>
      </c>
      <c r="H4799">
        <v>43</v>
      </c>
      <c r="I4799">
        <v>0.46700000000000003</v>
      </c>
      <c r="J4799">
        <v>0.80600000000000005</v>
      </c>
      <c r="K4799">
        <v>0.33900000000000002</v>
      </c>
      <c r="L4799">
        <v>36</v>
      </c>
      <c r="M4799">
        <v>5</v>
      </c>
      <c r="N4799">
        <v>2</v>
      </c>
      <c r="O4799">
        <v>0.76300000000000001</v>
      </c>
      <c r="P4799">
        <v>0.33848439600000002</v>
      </c>
      <c r="Q4799">
        <v>0.157</v>
      </c>
    </row>
    <row r="4800" spans="1:17" x14ac:dyDescent="0.2">
      <c r="A4800" s="30" t="str">
        <f>IF(C4800&amp;G4800&amp;D4800&lt;&gt;'Funnel setup'!$K$3&amp;'Funnel setup'!$K$4&amp;'Funnel setup'!$K$5,".",IF(A4799=".",1,A4799+1))</f>
        <v>.</v>
      </c>
      <c r="B4800" s="431" t="str">
        <f t="shared" si="74"/>
        <v>Knee Replacement PrimaryProviderTHE DUDLEY GROUP NHS FOUNDATION TRUST (RNA)EQ-5D Index</v>
      </c>
      <c r="C4800" t="s">
        <v>249</v>
      </c>
      <c r="D4800" t="s">
        <v>1</v>
      </c>
      <c r="E4800" t="s">
        <v>3121</v>
      </c>
      <c r="F4800" t="s">
        <v>3122</v>
      </c>
      <c r="G4800" t="s">
        <v>52</v>
      </c>
      <c r="H4800">
        <v>296</v>
      </c>
      <c r="I4800">
        <v>0.375</v>
      </c>
      <c r="J4800">
        <v>0.72199999999999998</v>
      </c>
      <c r="K4800">
        <v>0.34699999999999998</v>
      </c>
      <c r="L4800">
        <v>244</v>
      </c>
      <c r="M4800">
        <v>22</v>
      </c>
      <c r="N4800">
        <v>30</v>
      </c>
      <c r="O4800">
        <v>0.748</v>
      </c>
      <c r="P4800">
        <v>0.32317228999999997</v>
      </c>
      <c r="Q4800">
        <v>0.23699999999999999</v>
      </c>
    </row>
    <row r="4801" spans="1:17" x14ac:dyDescent="0.2">
      <c r="A4801" s="30" t="str">
        <f>IF(C4801&amp;G4801&amp;D4801&lt;&gt;'Funnel setup'!$K$3&amp;'Funnel setup'!$K$4&amp;'Funnel setup'!$K$5,".",IF(A4800=".",1,A4800+1))</f>
        <v>.</v>
      </c>
      <c r="B4801" s="431" t="str">
        <f t="shared" si="74"/>
        <v>Knee Replacement PrimaryProviderTHE HILLINGDON HOSPITALS NHS FOUNDATION TRUST (RAS)EQ-5D Index</v>
      </c>
      <c r="C4801" t="s">
        <v>249</v>
      </c>
      <c r="D4801" t="s">
        <v>1</v>
      </c>
      <c r="E4801" t="s">
        <v>3115</v>
      </c>
      <c r="F4801" t="s">
        <v>3116</v>
      </c>
      <c r="G4801" t="s">
        <v>52</v>
      </c>
      <c r="H4801">
        <v>158</v>
      </c>
      <c r="I4801">
        <v>0.44600000000000001</v>
      </c>
      <c r="J4801">
        <v>0.67700000000000005</v>
      </c>
      <c r="K4801">
        <v>0.23100000000000001</v>
      </c>
      <c r="L4801">
        <v>116</v>
      </c>
      <c r="M4801">
        <v>21</v>
      </c>
      <c r="N4801">
        <v>21</v>
      </c>
      <c r="O4801">
        <v>0.67800000000000005</v>
      </c>
      <c r="P4801">
        <v>0.25273501999999998</v>
      </c>
      <c r="Q4801">
        <v>0.26400000000000001</v>
      </c>
    </row>
    <row r="4802" spans="1:17" x14ac:dyDescent="0.2">
      <c r="A4802" s="30" t="str">
        <f>IF(C4802&amp;G4802&amp;D4802&lt;&gt;'Funnel setup'!$K$3&amp;'Funnel setup'!$K$4&amp;'Funnel setup'!$K$5,".",IF(A4801=".",1,A4801+1))</f>
        <v>.</v>
      </c>
      <c r="B4802" s="431" t="str">
        <f t="shared" si="74"/>
        <v>Knee Replacement PrimaryProviderTHE HORDER CENTRE - ST JOHNS ROAD (NXM01)EQ-5D Index</v>
      </c>
      <c r="C4802" t="s">
        <v>249</v>
      </c>
      <c r="D4802" t="s">
        <v>1</v>
      </c>
      <c r="E4802" t="s">
        <v>4222</v>
      </c>
      <c r="F4802" t="s">
        <v>4223</v>
      </c>
      <c r="G4802" t="s">
        <v>52</v>
      </c>
      <c r="H4802">
        <v>621</v>
      </c>
      <c r="I4802">
        <v>0.57199999999999995</v>
      </c>
      <c r="J4802">
        <v>0.81299999999999994</v>
      </c>
      <c r="K4802">
        <v>0.24</v>
      </c>
      <c r="L4802">
        <v>492</v>
      </c>
      <c r="M4802">
        <v>76</v>
      </c>
      <c r="N4802">
        <v>53</v>
      </c>
      <c r="O4802">
        <v>0.76100000000000001</v>
      </c>
      <c r="P4802">
        <v>0.33644458100000002</v>
      </c>
      <c r="Q4802">
        <v>0.187</v>
      </c>
    </row>
    <row r="4803" spans="1:17" x14ac:dyDescent="0.2">
      <c r="A4803" s="30" t="str">
        <f>IF(C4803&amp;G4803&amp;D4803&lt;&gt;'Funnel setup'!$K$3&amp;'Funnel setup'!$K$4&amp;'Funnel setup'!$K$5,".",IF(A4802=".",1,A4802+1))</f>
        <v>.</v>
      </c>
      <c r="B4803" s="431" t="str">
        <f t="shared" ref="B4803:B4866" si="75">C4803&amp;D4803&amp;F4803&amp;G4803</f>
        <v>Knee Replacement PrimaryProviderTHE NEWCASTLE UPON TYNE HOSPITALS NHS FOUNDATION TRUST (RTD)EQ-5D Index</v>
      </c>
      <c r="C4803" t="s">
        <v>249</v>
      </c>
      <c r="D4803" t="s">
        <v>1</v>
      </c>
      <c r="E4803" t="s">
        <v>3748</v>
      </c>
      <c r="F4803" t="s">
        <v>3749</v>
      </c>
      <c r="G4803" t="s">
        <v>52</v>
      </c>
      <c r="H4803">
        <v>389</v>
      </c>
      <c r="I4803">
        <v>0.376</v>
      </c>
      <c r="J4803">
        <v>0.72499999999999998</v>
      </c>
      <c r="K4803">
        <v>0.34899999999999998</v>
      </c>
      <c r="L4803">
        <v>326</v>
      </c>
      <c r="M4803">
        <v>33</v>
      </c>
      <c r="N4803">
        <v>30</v>
      </c>
      <c r="O4803">
        <v>0.749</v>
      </c>
      <c r="P4803">
        <v>0.32405556400000002</v>
      </c>
      <c r="Q4803">
        <v>0.216</v>
      </c>
    </row>
    <row r="4804" spans="1:17" x14ac:dyDescent="0.2">
      <c r="A4804" s="30" t="str">
        <f>IF(C4804&amp;G4804&amp;D4804&lt;&gt;'Funnel setup'!$K$3&amp;'Funnel setup'!$K$4&amp;'Funnel setup'!$K$5,".",IF(A4803=".",1,A4803+1))</f>
        <v>.</v>
      </c>
      <c r="B4804" s="431" t="str">
        <f t="shared" si="75"/>
        <v>Knee Replacement PrimaryProviderTHE PRINCESS ALEXANDRA HOSPITAL NHS TRUST (RQW)EQ-5D Index</v>
      </c>
      <c r="C4804" t="s">
        <v>249</v>
      </c>
      <c r="D4804" t="s">
        <v>1</v>
      </c>
      <c r="E4804" t="s">
        <v>3751</v>
      </c>
      <c r="F4804" t="s">
        <v>3752</v>
      </c>
      <c r="G4804" t="s">
        <v>52</v>
      </c>
      <c r="H4804">
        <v>187</v>
      </c>
      <c r="I4804">
        <v>0.44600000000000001</v>
      </c>
      <c r="J4804">
        <v>0.73099999999999998</v>
      </c>
      <c r="K4804">
        <v>0.28499999999999998</v>
      </c>
      <c r="L4804">
        <v>156</v>
      </c>
      <c r="M4804">
        <v>10</v>
      </c>
      <c r="N4804">
        <v>21</v>
      </c>
      <c r="O4804">
        <v>0.73</v>
      </c>
      <c r="P4804">
        <v>0.30532983400000002</v>
      </c>
      <c r="Q4804">
        <v>0.24199999999999999</v>
      </c>
    </row>
    <row r="4805" spans="1:17" x14ac:dyDescent="0.2">
      <c r="A4805" s="30" t="str">
        <f>IF(C4805&amp;G4805&amp;D4805&lt;&gt;'Funnel setup'!$K$3&amp;'Funnel setup'!$K$4&amp;'Funnel setup'!$K$5,".",IF(A4804=".",1,A4804+1))</f>
        <v>.</v>
      </c>
      <c r="B4805" s="431" t="str">
        <f t="shared" si="75"/>
        <v>Knee Replacement PrimaryProviderTHE QUEEN ELIZABETH HOSPITAL, KING'S LYNN, NHS FOUNDATION TRUST (RCX)EQ-5D Index</v>
      </c>
      <c r="C4805" t="s">
        <v>249</v>
      </c>
      <c r="D4805" t="s">
        <v>1</v>
      </c>
      <c r="E4805" t="s">
        <v>3754</v>
      </c>
      <c r="F4805" t="s">
        <v>3755</v>
      </c>
      <c r="G4805" t="s">
        <v>52</v>
      </c>
      <c r="H4805">
        <v>140</v>
      </c>
      <c r="I4805">
        <v>0.42099999999999999</v>
      </c>
      <c r="J4805">
        <v>0.73899999999999999</v>
      </c>
      <c r="K4805">
        <v>0.318</v>
      </c>
      <c r="L4805">
        <v>115</v>
      </c>
      <c r="M4805">
        <v>14</v>
      </c>
      <c r="N4805">
        <v>11</v>
      </c>
      <c r="O4805">
        <v>0.745</v>
      </c>
      <c r="P4805">
        <v>0.31970031999999998</v>
      </c>
      <c r="Q4805">
        <v>0.191</v>
      </c>
    </row>
    <row r="4806" spans="1:17" x14ac:dyDescent="0.2">
      <c r="A4806" s="30" t="str">
        <f>IF(C4806&amp;G4806&amp;D4806&lt;&gt;'Funnel setup'!$K$3&amp;'Funnel setup'!$K$4&amp;'Funnel setup'!$K$5,".",IF(A4805=".",1,A4805+1))</f>
        <v>.</v>
      </c>
      <c r="B4806" s="431" t="str">
        <f t="shared" si="75"/>
        <v>Knee Replacement PrimaryProviderTHE ROBERT JONES AND AGNES HUNT ORTHOPAEDIC HOSPITAL NHS FOUNDATION TRUST (RL1)EQ-5D Index</v>
      </c>
      <c r="C4806" t="s">
        <v>249</v>
      </c>
      <c r="D4806" t="s">
        <v>1</v>
      </c>
      <c r="E4806" t="s">
        <v>4496</v>
      </c>
      <c r="F4806" t="s">
        <v>4497</v>
      </c>
      <c r="G4806" t="s">
        <v>52</v>
      </c>
      <c r="H4806">
        <v>437</v>
      </c>
      <c r="I4806">
        <v>0.35499999999999998</v>
      </c>
      <c r="J4806">
        <v>0.78800000000000003</v>
      </c>
      <c r="K4806">
        <v>0.433</v>
      </c>
      <c r="L4806">
        <v>393</v>
      </c>
      <c r="M4806">
        <v>27</v>
      </c>
      <c r="N4806">
        <v>17</v>
      </c>
      <c r="O4806">
        <v>0.752</v>
      </c>
      <c r="P4806">
        <v>0.32714191999999997</v>
      </c>
      <c r="Q4806">
        <v>0.21199999999999999</v>
      </c>
    </row>
    <row r="4807" spans="1:17" x14ac:dyDescent="0.2">
      <c r="A4807" s="30" t="str">
        <f>IF(C4807&amp;G4807&amp;D4807&lt;&gt;'Funnel setup'!$K$3&amp;'Funnel setup'!$K$4&amp;'Funnel setup'!$K$5,".",IF(A4806=".",1,A4806+1))</f>
        <v>.</v>
      </c>
      <c r="B4807" s="431" t="str">
        <f t="shared" si="75"/>
        <v>Knee Replacement PrimaryProviderTHE ROTHERHAM NHS FOUNDATION TRUST (RFR)EQ-5D Index</v>
      </c>
      <c r="C4807" t="s">
        <v>249</v>
      </c>
      <c r="D4807" t="s">
        <v>1</v>
      </c>
      <c r="E4807" t="s">
        <v>3739</v>
      </c>
      <c r="F4807" t="s">
        <v>3740</v>
      </c>
      <c r="G4807" t="s">
        <v>52</v>
      </c>
      <c r="H4807">
        <v>174</v>
      </c>
      <c r="I4807">
        <v>0.374</v>
      </c>
      <c r="J4807">
        <v>0.72599999999999998</v>
      </c>
      <c r="K4807">
        <v>0.35199999999999998</v>
      </c>
      <c r="L4807">
        <v>144</v>
      </c>
      <c r="M4807">
        <v>15</v>
      </c>
      <c r="N4807">
        <v>15</v>
      </c>
      <c r="O4807">
        <v>0.76</v>
      </c>
      <c r="P4807">
        <v>0.33493874299999998</v>
      </c>
      <c r="Q4807">
        <v>0.23200000000000001</v>
      </c>
    </row>
    <row r="4808" spans="1:17" x14ac:dyDescent="0.2">
      <c r="A4808" s="30" t="str">
        <f>IF(C4808&amp;G4808&amp;D4808&lt;&gt;'Funnel setup'!$K$3&amp;'Funnel setup'!$K$4&amp;'Funnel setup'!$K$5,".",IF(A4807=".",1,A4807+1))</f>
        <v>.</v>
      </c>
      <c r="B4808" s="431" t="str">
        <f t="shared" si="75"/>
        <v>Knee Replacement PrimaryProviderTHE ROYAL BOURNEMOUTH AND CHRISTCHURCH HOSPITALS NHS FOUNDATION TRUST (RDZ)EQ-5D Index</v>
      </c>
      <c r="C4808" t="s">
        <v>249</v>
      </c>
      <c r="D4808" t="s">
        <v>1</v>
      </c>
      <c r="E4808" t="s">
        <v>3742</v>
      </c>
      <c r="F4808" t="s">
        <v>3743</v>
      </c>
      <c r="G4808" t="s">
        <v>52</v>
      </c>
      <c r="H4808">
        <v>379</v>
      </c>
      <c r="I4808">
        <v>0.434</v>
      </c>
      <c r="J4808">
        <v>0.751</v>
      </c>
      <c r="K4808">
        <v>0.316</v>
      </c>
      <c r="L4808">
        <v>302</v>
      </c>
      <c r="M4808">
        <v>39</v>
      </c>
      <c r="N4808">
        <v>38</v>
      </c>
      <c r="O4808">
        <v>0.74199999999999999</v>
      </c>
      <c r="P4808">
        <v>0.31674924599999998</v>
      </c>
      <c r="Q4808">
        <v>0.223</v>
      </c>
    </row>
    <row r="4809" spans="1:17" x14ac:dyDescent="0.2">
      <c r="A4809" s="30" t="str">
        <f>IF(C4809&amp;G4809&amp;D4809&lt;&gt;'Funnel setup'!$K$3&amp;'Funnel setup'!$K$4&amp;'Funnel setup'!$K$5,".",IF(A4808=".",1,A4808+1))</f>
        <v>.</v>
      </c>
      <c r="B4809" s="431" t="str">
        <f t="shared" si="75"/>
        <v>Knee Replacement PrimaryProviderTHE ROYAL ORTHOPAEDIC HOSPITAL NHS FOUNDATION TRUST (RRJ)EQ-5D Index</v>
      </c>
      <c r="C4809" t="s">
        <v>249</v>
      </c>
      <c r="D4809" t="s">
        <v>1</v>
      </c>
      <c r="E4809" t="s">
        <v>4480</v>
      </c>
      <c r="F4809" t="s">
        <v>4481</v>
      </c>
      <c r="G4809" t="s">
        <v>52</v>
      </c>
      <c r="H4809">
        <v>249</v>
      </c>
      <c r="I4809">
        <v>0.41399999999999998</v>
      </c>
      <c r="J4809">
        <v>0.70599999999999996</v>
      </c>
      <c r="K4809">
        <v>0.29199999999999998</v>
      </c>
      <c r="L4809">
        <v>197</v>
      </c>
      <c r="M4809">
        <v>25</v>
      </c>
      <c r="N4809">
        <v>27</v>
      </c>
      <c r="O4809">
        <v>0.72899999999999998</v>
      </c>
      <c r="P4809">
        <v>0.303510789</v>
      </c>
      <c r="Q4809">
        <v>0.245</v>
      </c>
    </row>
    <row r="4810" spans="1:17" x14ac:dyDescent="0.2">
      <c r="A4810" s="30" t="str">
        <f>IF(C4810&amp;G4810&amp;D4810&lt;&gt;'Funnel setup'!$K$3&amp;'Funnel setup'!$K$4&amp;'Funnel setup'!$K$5,".",IF(A4809=".",1,A4809+1))</f>
        <v>.</v>
      </c>
      <c r="B4810" s="431" t="str">
        <f t="shared" si="75"/>
        <v>Knee Replacement PrimaryProviderTHE ROYAL WOLVERHAMPTON NHS TRUST (RL4)EQ-5D Index</v>
      </c>
      <c r="C4810" t="s">
        <v>249</v>
      </c>
      <c r="D4810" t="s">
        <v>1</v>
      </c>
      <c r="E4810" t="s">
        <v>3382</v>
      </c>
      <c r="F4810" t="s">
        <v>3383</v>
      </c>
      <c r="G4810" t="s">
        <v>52</v>
      </c>
      <c r="H4810">
        <v>305</v>
      </c>
      <c r="I4810">
        <v>0.36099999999999999</v>
      </c>
      <c r="J4810">
        <v>0.68600000000000005</v>
      </c>
      <c r="K4810">
        <v>0.32600000000000001</v>
      </c>
      <c r="L4810">
        <v>235</v>
      </c>
      <c r="M4810">
        <v>38</v>
      </c>
      <c r="N4810">
        <v>32</v>
      </c>
      <c r="O4810">
        <v>0.73599999999999999</v>
      </c>
      <c r="P4810">
        <v>0.31072113200000001</v>
      </c>
      <c r="Q4810">
        <v>0.248</v>
      </c>
    </row>
    <row r="4811" spans="1:17" x14ac:dyDescent="0.2">
      <c r="A4811" s="30" t="str">
        <f>IF(C4811&amp;G4811&amp;D4811&lt;&gt;'Funnel setup'!$K$3&amp;'Funnel setup'!$K$4&amp;'Funnel setup'!$K$5,".",IF(A4810=".",1,A4810+1))</f>
        <v>.</v>
      </c>
      <c r="B4811" s="431" t="str">
        <f t="shared" si="75"/>
        <v>Knee Replacement PrimaryProviderTHE SPENCER WING (RAMSGATE ROAD) (NN801)EQ-5D Index</v>
      </c>
      <c r="C4811" t="s">
        <v>249</v>
      </c>
      <c r="D4811" t="s">
        <v>1</v>
      </c>
      <c r="E4811" t="s">
        <v>3757</v>
      </c>
      <c r="F4811" t="s">
        <v>3758</v>
      </c>
      <c r="G4811" t="s">
        <v>52</v>
      </c>
      <c r="H4811">
        <v>24</v>
      </c>
      <c r="I4811">
        <v>0.41799999999999998</v>
      </c>
      <c r="J4811">
        <v>0.80300000000000005</v>
      </c>
      <c r="K4811">
        <v>0.38500000000000001</v>
      </c>
      <c r="L4811">
        <v>20</v>
      </c>
      <c r="M4811">
        <v>2</v>
      </c>
      <c r="N4811">
        <v>2</v>
      </c>
      <c r="O4811" t="s">
        <v>53</v>
      </c>
      <c r="P4811" t="s">
        <v>53</v>
      </c>
      <c r="Q4811" t="s">
        <v>53</v>
      </c>
    </row>
    <row r="4812" spans="1:17" x14ac:dyDescent="0.2">
      <c r="A4812" s="30" t="str">
        <f>IF(C4812&amp;G4812&amp;D4812&lt;&gt;'Funnel setup'!$K$3&amp;'Funnel setup'!$K$4&amp;'Funnel setup'!$K$5,".",IF(A4811=".",1,A4811+1))</f>
        <v>.</v>
      </c>
      <c r="B4812" s="431" t="str">
        <f t="shared" si="75"/>
        <v>Knee Replacement PrimaryProviderTHE YORKSHIRE CLINIC (NVC20)EQ-5D Index</v>
      </c>
      <c r="C4812" t="s">
        <v>249</v>
      </c>
      <c r="D4812" t="s">
        <v>1</v>
      </c>
      <c r="E4812" t="s">
        <v>3760</v>
      </c>
      <c r="F4812" t="s">
        <v>3761</v>
      </c>
      <c r="G4812" t="s">
        <v>52</v>
      </c>
      <c r="H4812">
        <v>51</v>
      </c>
      <c r="I4812">
        <v>0.47799999999999998</v>
      </c>
      <c r="J4812">
        <v>0.79400000000000004</v>
      </c>
      <c r="K4812">
        <v>0.317</v>
      </c>
      <c r="L4812">
        <v>42</v>
      </c>
      <c r="M4812">
        <v>3</v>
      </c>
      <c r="N4812">
        <v>6</v>
      </c>
      <c r="O4812">
        <v>0.745</v>
      </c>
      <c r="P4812">
        <v>0.319944742</v>
      </c>
      <c r="Q4812">
        <v>0.192</v>
      </c>
    </row>
    <row r="4813" spans="1:17" x14ac:dyDescent="0.2">
      <c r="A4813" s="30" t="str">
        <f>IF(C4813&amp;G4813&amp;D4813&lt;&gt;'Funnel setup'!$K$3&amp;'Funnel setup'!$K$4&amp;'Funnel setup'!$K$5,".",IF(A4812=".",1,A4812+1))</f>
        <v>.</v>
      </c>
      <c r="B4813" s="431" t="str">
        <f t="shared" si="75"/>
        <v>Knee Replacement PrimaryProviderTORBAY AND SOUTH DEVON NHS FOUNDATION TRUST (RA9)EQ-5D Index</v>
      </c>
      <c r="C4813" t="s">
        <v>249</v>
      </c>
      <c r="D4813" t="s">
        <v>1</v>
      </c>
      <c r="E4813" t="s">
        <v>3480</v>
      </c>
      <c r="F4813" t="s">
        <v>6584</v>
      </c>
      <c r="G4813" t="s">
        <v>52</v>
      </c>
      <c r="H4813">
        <v>204</v>
      </c>
      <c r="I4813">
        <v>0.433</v>
      </c>
      <c r="J4813">
        <v>0.72199999999999998</v>
      </c>
      <c r="K4813">
        <v>0.28899999999999998</v>
      </c>
      <c r="L4813">
        <v>160</v>
      </c>
      <c r="M4813">
        <v>26</v>
      </c>
      <c r="N4813">
        <v>18</v>
      </c>
      <c r="O4813">
        <v>0.73499999999999999</v>
      </c>
      <c r="P4813">
        <v>0.30976432799999998</v>
      </c>
      <c r="Q4813">
        <v>0.23799999999999999</v>
      </c>
    </row>
    <row r="4814" spans="1:17" x14ac:dyDescent="0.2">
      <c r="A4814" s="30" t="str">
        <f>IF(C4814&amp;G4814&amp;D4814&lt;&gt;'Funnel setup'!$K$3&amp;'Funnel setup'!$K$4&amp;'Funnel setup'!$K$5,".",IF(A4813=".",1,A4813+1))</f>
        <v>.</v>
      </c>
      <c r="B4814" s="431" t="str">
        <f t="shared" si="75"/>
        <v>Knee Replacement PrimaryProviderTYNESIDE SURGICAL SERVICES AT THE NORTH EAST NHS SURGERY CENTRE (NN401)EQ-5D Index</v>
      </c>
      <c r="C4814" t="s">
        <v>249</v>
      </c>
      <c r="D4814" t="s">
        <v>1</v>
      </c>
      <c r="E4814" t="s">
        <v>4506</v>
      </c>
      <c r="F4814" t="s">
        <v>4507</v>
      </c>
      <c r="G4814" t="s">
        <v>52</v>
      </c>
      <c r="H4814">
        <v>7</v>
      </c>
      <c r="I4814">
        <v>0.42399999999999999</v>
      </c>
      <c r="J4814">
        <v>0.80400000000000005</v>
      </c>
      <c r="K4814">
        <v>0.379</v>
      </c>
      <c r="L4814">
        <v>6</v>
      </c>
      <c r="M4814">
        <v>0</v>
      </c>
      <c r="N4814">
        <v>1</v>
      </c>
      <c r="O4814" t="s">
        <v>53</v>
      </c>
      <c r="P4814" t="s">
        <v>53</v>
      </c>
      <c r="Q4814" t="s">
        <v>53</v>
      </c>
    </row>
    <row r="4815" spans="1:17" x14ac:dyDescent="0.2">
      <c r="A4815" s="30" t="str">
        <f>IF(C4815&amp;G4815&amp;D4815&lt;&gt;'Funnel setup'!$K$3&amp;'Funnel setup'!$K$4&amp;'Funnel setup'!$K$5,".",IF(A4814=".",1,A4814+1))</f>
        <v>.</v>
      </c>
      <c r="B4815" s="431" t="str">
        <f t="shared" si="75"/>
        <v>Knee Replacement PrimaryProviderUNITED LINCOLNSHIRE HOSPITALS NHS TRUST (RWD)EQ-5D Index</v>
      </c>
      <c r="C4815" t="s">
        <v>249</v>
      </c>
      <c r="D4815" t="s">
        <v>1</v>
      </c>
      <c r="E4815" t="s">
        <v>3763</v>
      </c>
      <c r="F4815" t="s">
        <v>3764</v>
      </c>
      <c r="G4815" t="s">
        <v>52</v>
      </c>
      <c r="H4815">
        <v>252</v>
      </c>
      <c r="I4815">
        <v>0.42399999999999999</v>
      </c>
      <c r="J4815">
        <v>0.72</v>
      </c>
      <c r="K4815">
        <v>0.29599999999999999</v>
      </c>
      <c r="L4815">
        <v>194</v>
      </c>
      <c r="M4815">
        <v>24</v>
      </c>
      <c r="N4815">
        <v>34</v>
      </c>
      <c r="O4815">
        <v>0.72299999999999998</v>
      </c>
      <c r="P4815">
        <v>0.29800779399999999</v>
      </c>
      <c r="Q4815">
        <v>0.251</v>
      </c>
    </row>
    <row r="4816" spans="1:17" x14ac:dyDescent="0.2">
      <c r="A4816" s="30" t="str">
        <f>IF(C4816&amp;G4816&amp;D4816&lt;&gt;'Funnel setup'!$K$3&amp;'Funnel setup'!$K$4&amp;'Funnel setup'!$K$5,".",IF(A4815=".",1,A4815+1))</f>
        <v>.</v>
      </c>
      <c r="B4816" s="431" t="str">
        <f t="shared" si="75"/>
        <v>Knee Replacement PrimaryProviderUNIVERSITY COLLEGE LONDON HOSPITALS NHS FOUNDATION TRUST (RRV)EQ-5D Index</v>
      </c>
      <c r="C4816" t="s">
        <v>249</v>
      </c>
      <c r="D4816" t="s">
        <v>1</v>
      </c>
      <c r="E4816" t="s">
        <v>3766</v>
      </c>
      <c r="F4816" t="s">
        <v>3767</v>
      </c>
      <c r="G4816" t="s">
        <v>52</v>
      </c>
      <c r="H4816">
        <v>64</v>
      </c>
      <c r="I4816">
        <v>0.47</v>
      </c>
      <c r="J4816">
        <v>0.66400000000000003</v>
      </c>
      <c r="K4816">
        <v>0.19400000000000001</v>
      </c>
      <c r="L4816">
        <v>44</v>
      </c>
      <c r="M4816">
        <v>7</v>
      </c>
      <c r="N4816">
        <v>13</v>
      </c>
      <c r="O4816">
        <v>0.69799999999999995</v>
      </c>
      <c r="P4816">
        <v>0.27258681200000001</v>
      </c>
      <c r="Q4816">
        <v>0.27</v>
      </c>
    </row>
    <row r="4817" spans="1:17" x14ac:dyDescent="0.2">
      <c r="A4817" s="30" t="str">
        <f>IF(C4817&amp;G4817&amp;D4817&lt;&gt;'Funnel setup'!$K$3&amp;'Funnel setup'!$K$4&amp;'Funnel setup'!$K$5,".",IF(A4816=".",1,A4816+1))</f>
        <v>.</v>
      </c>
      <c r="B4817" s="431" t="str">
        <f t="shared" si="75"/>
        <v>Knee Replacement PrimaryProviderUNIVERSITY HOSPITAL OF SOUTH MANCHESTER NHS FOUNDATION TRUST (RM2)EQ-5D Index</v>
      </c>
      <c r="C4817" t="s">
        <v>249</v>
      </c>
      <c r="D4817" t="s">
        <v>1</v>
      </c>
      <c r="E4817" t="s">
        <v>3769</v>
      </c>
      <c r="F4817" t="s">
        <v>3770</v>
      </c>
      <c r="G4817" t="s">
        <v>52</v>
      </c>
      <c r="H4817">
        <v>116</v>
      </c>
      <c r="I4817">
        <v>0.44</v>
      </c>
      <c r="J4817">
        <v>0.68200000000000005</v>
      </c>
      <c r="K4817">
        <v>0.24199999999999999</v>
      </c>
      <c r="L4817">
        <v>87</v>
      </c>
      <c r="M4817">
        <v>15</v>
      </c>
      <c r="N4817">
        <v>14</v>
      </c>
      <c r="O4817">
        <v>0.69799999999999995</v>
      </c>
      <c r="P4817">
        <v>0.27290013200000002</v>
      </c>
      <c r="Q4817">
        <v>0.26500000000000001</v>
      </c>
    </row>
    <row r="4818" spans="1:17" x14ac:dyDescent="0.2">
      <c r="A4818" s="30" t="str">
        <f>IF(C4818&amp;G4818&amp;D4818&lt;&gt;'Funnel setup'!$K$3&amp;'Funnel setup'!$K$4&amp;'Funnel setup'!$K$5,".",IF(A4817=".",1,A4817+1))</f>
        <v>.</v>
      </c>
      <c r="B4818" s="431" t="str">
        <f t="shared" si="75"/>
        <v>Knee Replacement PrimaryProviderUNIVERSITY HOSPITAL SOUTHAMPTON NHS FOUNDATION TRUST (RHM)EQ-5D Index</v>
      </c>
      <c r="C4818" t="s">
        <v>249</v>
      </c>
      <c r="D4818" t="s">
        <v>1</v>
      </c>
      <c r="E4818" t="s">
        <v>3772</v>
      </c>
      <c r="F4818" t="s">
        <v>3773</v>
      </c>
      <c r="G4818" t="s">
        <v>52</v>
      </c>
      <c r="H4818">
        <v>168</v>
      </c>
      <c r="I4818">
        <v>0.40699999999999997</v>
      </c>
      <c r="J4818">
        <v>0.70599999999999996</v>
      </c>
      <c r="K4818">
        <v>0.29899999999999999</v>
      </c>
      <c r="L4818">
        <v>135</v>
      </c>
      <c r="M4818">
        <v>16</v>
      </c>
      <c r="N4818">
        <v>17</v>
      </c>
      <c r="O4818">
        <v>0.72299999999999998</v>
      </c>
      <c r="P4818">
        <v>0.29770906000000003</v>
      </c>
      <c r="Q4818">
        <v>0.24099999999999999</v>
      </c>
    </row>
    <row r="4819" spans="1:17" x14ac:dyDescent="0.2">
      <c r="A4819" s="30" t="str">
        <f>IF(C4819&amp;G4819&amp;D4819&lt;&gt;'Funnel setup'!$K$3&amp;'Funnel setup'!$K$4&amp;'Funnel setup'!$K$5,".",IF(A4818=".",1,A4818+1))</f>
        <v>.</v>
      </c>
      <c r="B4819" s="431" t="str">
        <f t="shared" si="75"/>
        <v>Knee Replacement PrimaryProviderUNIVERSITY HOSPITALS COVENTRY AND WARWICKSHIRE NHS TRUST (RKB)EQ-5D Index</v>
      </c>
      <c r="C4819" t="s">
        <v>249</v>
      </c>
      <c r="D4819" t="s">
        <v>1</v>
      </c>
      <c r="E4819" t="s">
        <v>3715</v>
      </c>
      <c r="F4819" t="s">
        <v>3716</v>
      </c>
      <c r="G4819" t="s">
        <v>52</v>
      </c>
      <c r="H4819">
        <v>290</v>
      </c>
      <c r="I4819">
        <v>0.42599999999999999</v>
      </c>
      <c r="J4819">
        <v>0.73699999999999999</v>
      </c>
      <c r="K4819">
        <v>0.311</v>
      </c>
      <c r="L4819">
        <v>223</v>
      </c>
      <c r="M4819">
        <v>38</v>
      </c>
      <c r="N4819">
        <v>29</v>
      </c>
      <c r="O4819">
        <v>0.74</v>
      </c>
      <c r="P4819">
        <v>0.31471409099999997</v>
      </c>
      <c r="Q4819">
        <v>0.22700000000000001</v>
      </c>
    </row>
    <row r="4820" spans="1:17" x14ac:dyDescent="0.2">
      <c r="A4820" s="30" t="str">
        <f>IF(C4820&amp;G4820&amp;D4820&lt;&gt;'Funnel setup'!$K$3&amp;'Funnel setup'!$K$4&amp;'Funnel setup'!$K$5,".",IF(A4819=".",1,A4819+1))</f>
        <v>.</v>
      </c>
      <c r="B4820" s="431" t="str">
        <f t="shared" si="75"/>
        <v>Knee Replacement PrimaryProviderUNIVERSITY HOSPITALS OF LEICESTER NHS TRUST (RWE)EQ-5D Index</v>
      </c>
      <c r="C4820" t="s">
        <v>249</v>
      </c>
      <c r="D4820" t="s">
        <v>1</v>
      </c>
      <c r="E4820" t="s">
        <v>3718</v>
      </c>
      <c r="F4820" t="s">
        <v>3719</v>
      </c>
      <c r="G4820" t="s">
        <v>52</v>
      </c>
      <c r="H4820">
        <v>566</v>
      </c>
      <c r="I4820">
        <v>0.35299999999999998</v>
      </c>
      <c r="J4820">
        <v>0.72899999999999998</v>
      </c>
      <c r="K4820">
        <v>0.376</v>
      </c>
      <c r="L4820">
        <v>483</v>
      </c>
      <c r="M4820">
        <v>46</v>
      </c>
      <c r="N4820">
        <v>37</v>
      </c>
      <c r="O4820">
        <v>0.753</v>
      </c>
      <c r="P4820">
        <v>0.32754398600000001</v>
      </c>
      <c r="Q4820">
        <v>0.215</v>
      </c>
    </row>
    <row r="4821" spans="1:17" x14ac:dyDescent="0.2">
      <c r="A4821" s="30" t="str">
        <f>IF(C4821&amp;G4821&amp;D4821&lt;&gt;'Funnel setup'!$K$3&amp;'Funnel setup'!$K$4&amp;'Funnel setup'!$K$5,".",IF(A4820=".",1,A4820+1))</f>
        <v>.</v>
      </c>
      <c r="B4821" s="431" t="str">
        <f t="shared" si="75"/>
        <v>Knee Replacement PrimaryProviderUNIVERSITY HOSPITALS OF MORECAMBE BAY NHS FOUNDATION TRUST (RTX)EQ-5D Index</v>
      </c>
      <c r="C4821" t="s">
        <v>249</v>
      </c>
      <c r="D4821" t="s">
        <v>1</v>
      </c>
      <c r="E4821" t="s">
        <v>3721</v>
      </c>
      <c r="F4821" t="s">
        <v>3722</v>
      </c>
      <c r="G4821" t="s">
        <v>52</v>
      </c>
      <c r="H4821">
        <v>329</v>
      </c>
      <c r="I4821">
        <v>0.47699999999999998</v>
      </c>
      <c r="J4821">
        <v>0.745</v>
      </c>
      <c r="K4821">
        <v>0.26800000000000002</v>
      </c>
      <c r="L4821">
        <v>257</v>
      </c>
      <c r="M4821">
        <v>32</v>
      </c>
      <c r="N4821">
        <v>40</v>
      </c>
      <c r="O4821">
        <v>0.73199999999999998</v>
      </c>
      <c r="P4821">
        <v>0.30710246600000002</v>
      </c>
      <c r="Q4821">
        <v>0.20899999999999999</v>
      </c>
    </row>
    <row r="4822" spans="1:17" x14ac:dyDescent="0.2">
      <c r="A4822" s="30" t="str">
        <f>IF(C4822&amp;G4822&amp;D4822&lt;&gt;'Funnel setup'!$K$3&amp;'Funnel setup'!$K$4&amp;'Funnel setup'!$K$5,".",IF(A4821=".",1,A4821+1))</f>
        <v>.</v>
      </c>
      <c r="B4822" s="431" t="str">
        <f t="shared" si="75"/>
        <v>Knee Replacement PrimaryProviderUNIVERSITY HOSPITALS OF NORTH MIDLANDS NHS TRUST (RJE)EQ-5D Index</v>
      </c>
      <c r="C4822" t="s">
        <v>249</v>
      </c>
      <c r="D4822" t="s">
        <v>1</v>
      </c>
      <c r="E4822" t="s">
        <v>3724</v>
      </c>
      <c r="F4822" t="s">
        <v>3725</v>
      </c>
      <c r="G4822" t="s">
        <v>52</v>
      </c>
      <c r="H4822">
        <v>212</v>
      </c>
      <c r="I4822">
        <v>0.28799999999999998</v>
      </c>
      <c r="J4822">
        <v>0.65</v>
      </c>
      <c r="K4822">
        <v>0.36199999999999999</v>
      </c>
      <c r="L4822">
        <v>178</v>
      </c>
      <c r="M4822">
        <v>21</v>
      </c>
      <c r="N4822">
        <v>13</v>
      </c>
      <c r="O4822">
        <v>0.71799999999999997</v>
      </c>
      <c r="P4822">
        <v>0.29277715700000001</v>
      </c>
      <c r="Q4822">
        <v>0.246</v>
      </c>
    </row>
    <row r="4823" spans="1:17" x14ac:dyDescent="0.2">
      <c r="A4823" s="30" t="str">
        <f>IF(C4823&amp;G4823&amp;D4823&lt;&gt;'Funnel setup'!$K$3&amp;'Funnel setup'!$K$4&amp;'Funnel setup'!$K$5,".",IF(A4822=".",1,A4822+1))</f>
        <v>.</v>
      </c>
      <c r="B4823" s="431" t="str">
        <f t="shared" si="75"/>
        <v>Knee Replacement PrimaryProviderWALSALL HEALTHCARE NHS TRUST (RBK)EQ-5D Index</v>
      </c>
      <c r="C4823" t="s">
        <v>249</v>
      </c>
      <c r="D4823" t="s">
        <v>1</v>
      </c>
      <c r="E4823" t="s">
        <v>3727</v>
      </c>
      <c r="F4823" t="s">
        <v>3728</v>
      </c>
      <c r="G4823" t="s">
        <v>52</v>
      </c>
      <c r="H4823">
        <v>112</v>
      </c>
      <c r="I4823">
        <v>0.30399999999999999</v>
      </c>
      <c r="J4823">
        <v>0.64800000000000002</v>
      </c>
      <c r="K4823">
        <v>0.34399999999999997</v>
      </c>
      <c r="L4823">
        <v>96</v>
      </c>
      <c r="M4823">
        <v>5</v>
      </c>
      <c r="N4823">
        <v>11</v>
      </c>
      <c r="O4823">
        <v>0.69699999999999995</v>
      </c>
      <c r="P4823">
        <v>0.27210744199999998</v>
      </c>
      <c r="Q4823">
        <v>0.255</v>
      </c>
    </row>
    <row r="4824" spans="1:17" x14ac:dyDescent="0.2">
      <c r="A4824" s="30" t="str">
        <f>IF(C4824&amp;G4824&amp;D4824&lt;&gt;'Funnel setup'!$K$3&amp;'Funnel setup'!$K$4&amp;'Funnel setup'!$K$5,".",IF(A4823=".",1,A4823+1))</f>
        <v>.</v>
      </c>
      <c r="B4824" s="431" t="str">
        <f t="shared" si="75"/>
        <v>Knee Replacement PrimaryProviderWARRINGTON AND HALTON HOSPITALS NHS FOUNDATION TRUST (RWW)EQ-5D Index</v>
      </c>
      <c r="C4824" t="s">
        <v>249</v>
      </c>
      <c r="D4824" t="s">
        <v>1</v>
      </c>
      <c r="E4824" t="s">
        <v>3730</v>
      </c>
      <c r="F4824" t="s">
        <v>3731</v>
      </c>
      <c r="G4824" t="s">
        <v>52</v>
      </c>
      <c r="H4824">
        <v>241</v>
      </c>
      <c r="I4824">
        <v>0.379</v>
      </c>
      <c r="J4824">
        <v>0.73899999999999999</v>
      </c>
      <c r="K4824">
        <v>0.36</v>
      </c>
      <c r="L4824">
        <v>195</v>
      </c>
      <c r="M4824">
        <v>29</v>
      </c>
      <c r="N4824">
        <v>17</v>
      </c>
      <c r="O4824">
        <v>0.752</v>
      </c>
      <c r="P4824">
        <v>0.32671644100000002</v>
      </c>
      <c r="Q4824">
        <v>0.19</v>
      </c>
    </row>
    <row r="4825" spans="1:17" x14ac:dyDescent="0.2">
      <c r="A4825" s="30" t="str">
        <f>IF(C4825&amp;G4825&amp;D4825&lt;&gt;'Funnel setup'!$K$3&amp;'Funnel setup'!$K$4&amp;'Funnel setup'!$K$5,".",IF(A4824=".",1,A4824+1))</f>
        <v>.</v>
      </c>
      <c r="B4825" s="431" t="str">
        <f t="shared" si="75"/>
        <v>Knee Replacement PrimaryProviderWEST HERTFORDSHIRE HOSPITALS NHS TRUST (RWG)EQ-5D Index</v>
      </c>
      <c r="C4825" t="s">
        <v>249</v>
      </c>
      <c r="D4825" t="s">
        <v>1</v>
      </c>
      <c r="E4825" t="s">
        <v>3733</v>
      </c>
      <c r="F4825" t="s">
        <v>3734</v>
      </c>
      <c r="G4825" t="s">
        <v>52</v>
      </c>
      <c r="H4825">
        <v>232</v>
      </c>
      <c r="I4825">
        <v>0.40899999999999997</v>
      </c>
      <c r="J4825">
        <v>0.73099999999999998</v>
      </c>
      <c r="K4825">
        <v>0.32200000000000001</v>
      </c>
      <c r="L4825">
        <v>183</v>
      </c>
      <c r="M4825">
        <v>26</v>
      </c>
      <c r="N4825">
        <v>23</v>
      </c>
      <c r="O4825">
        <v>0.72899999999999998</v>
      </c>
      <c r="P4825">
        <v>0.30362196600000002</v>
      </c>
      <c r="Q4825">
        <v>0.255</v>
      </c>
    </row>
    <row r="4826" spans="1:17" x14ac:dyDescent="0.2">
      <c r="A4826" s="30" t="str">
        <f>IF(C4826&amp;G4826&amp;D4826&lt;&gt;'Funnel setup'!$K$3&amp;'Funnel setup'!$K$4&amp;'Funnel setup'!$K$5,".",IF(A4825=".",1,A4825+1))</f>
        <v>.</v>
      </c>
      <c r="B4826" s="431" t="str">
        <f t="shared" si="75"/>
        <v>Knee Replacement PrimaryProviderWEST MIDDLESEX UNIVERSITY HOSPITAL NHS TRUST (RFW)EQ-5D Index</v>
      </c>
      <c r="C4826" t="s">
        <v>249</v>
      </c>
      <c r="D4826" t="s">
        <v>1</v>
      </c>
      <c r="E4826" t="s">
        <v>3736</v>
      </c>
      <c r="F4826" t="s">
        <v>3737</v>
      </c>
      <c r="G4826" t="s">
        <v>52</v>
      </c>
      <c r="H4826">
        <v>53</v>
      </c>
      <c r="I4826">
        <v>0.28799999999999998</v>
      </c>
      <c r="J4826">
        <v>0.69199999999999995</v>
      </c>
      <c r="K4826">
        <v>0.40400000000000003</v>
      </c>
      <c r="L4826">
        <v>47</v>
      </c>
      <c r="M4826">
        <v>4</v>
      </c>
      <c r="N4826">
        <v>2</v>
      </c>
      <c r="O4826">
        <v>0.73699999999999999</v>
      </c>
      <c r="P4826">
        <v>0.312341019</v>
      </c>
      <c r="Q4826">
        <v>0.24099999999999999</v>
      </c>
    </row>
    <row r="4827" spans="1:17" x14ac:dyDescent="0.2">
      <c r="A4827" s="30" t="str">
        <f>IF(C4827&amp;G4827&amp;D4827&lt;&gt;'Funnel setup'!$K$3&amp;'Funnel setup'!$K$4&amp;'Funnel setup'!$K$5,".",IF(A4826=".",1,A4826+1))</f>
        <v>.</v>
      </c>
      <c r="B4827" s="431" t="str">
        <f t="shared" si="75"/>
        <v>Knee Replacement PrimaryProviderWEST MIDLANDS HOSPITAL (NVC21)EQ-5D Index</v>
      </c>
      <c r="C4827" t="s">
        <v>249</v>
      </c>
      <c r="D4827" t="s">
        <v>1</v>
      </c>
      <c r="E4827" t="s">
        <v>3709</v>
      </c>
      <c r="F4827" t="s">
        <v>3710</v>
      </c>
      <c r="G4827" t="s">
        <v>52</v>
      </c>
      <c r="H4827">
        <v>59</v>
      </c>
      <c r="I4827">
        <v>0.32800000000000001</v>
      </c>
      <c r="J4827">
        <v>0.78300000000000003</v>
      </c>
      <c r="K4827">
        <v>0.45500000000000002</v>
      </c>
      <c r="L4827">
        <v>57</v>
      </c>
      <c r="M4827">
        <v>2</v>
      </c>
      <c r="N4827">
        <v>0</v>
      </c>
      <c r="O4827">
        <v>0.81200000000000006</v>
      </c>
      <c r="P4827">
        <v>0.38697488800000002</v>
      </c>
      <c r="Q4827">
        <v>0.184</v>
      </c>
    </row>
    <row r="4828" spans="1:17" x14ac:dyDescent="0.2">
      <c r="A4828" s="30" t="str">
        <f>IF(C4828&amp;G4828&amp;D4828&lt;&gt;'Funnel setup'!$K$3&amp;'Funnel setup'!$K$4&amp;'Funnel setup'!$K$5,".",IF(A4827=".",1,A4827+1))</f>
        <v>.</v>
      </c>
      <c r="B4828" s="431" t="str">
        <f t="shared" si="75"/>
        <v>Knee Replacement PrimaryProviderWEST SUFFOLK NHS FOUNDATION TRUST (RGR)EQ-5D Index</v>
      </c>
      <c r="C4828" t="s">
        <v>249</v>
      </c>
      <c r="D4828" t="s">
        <v>1</v>
      </c>
      <c r="E4828" t="s">
        <v>3712</v>
      </c>
      <c r="F4828" t="s">
        <v>3713</v>
      </c>
      <c r="G4828" t="s">
        <v>52</v>
      </c>
      <c r="H4828">
        <v>178</v>
      </c>
      <c r="I4828">
        <v>0.42899999999999999</v>
      </c>
      <c r="J4828">
        <v>0.751</v>
      </c>
      <c r="K4828">
        <v>0.32200000000000001</v>
      </c>
      <c r="L4828">
        <v>142</v>
      </c>
      <c r="M4828">
        <v>19</v>
      </c>
      <c r="N4828">
        <v>17</v>
      </c>
      <c r="O4828">
        <v>0.74</v>
      </c>
      <c r="P4828">
        <v>0.31545174999999998</v>
      </c>
      <c r="Q4828">
        <v>0.24</v>
      </c>
    </row>
    <row r="4829" spans="1:17" x14ac:dyDescent="0.2">
      <c r="A4829" s="30" t="str">
        <f>IF(C4829&amp;G4829&amp;D4829&lt;&gt;'Funnel setup'!$K$3&amp;'Funnel setup'!$K$4&amp;'Funnel setup'!$K$5,".",IF(A4828=".",1,A4828+1))</f>
        <v>.</v>
      </c>
      <c r="B4829" s="431" t="str">
        <f t="shared" si="75"/>
        <v>Knee Replacement PrimaryProviderWESTERN SUSSEX HOSPITALS NHS FOUNDATION TRUST (RYR)EQ-5D Index</v>
      </c>
      <c r="C4829" t="s">
        <v>249</v>
      </c>
      <c r="D4829" t="s">
        <v>1</v>
      </c>
      <c r="E4829" t="s">
        <v>3706</v>
      </c>
      <c r="F4829" t="s">
        <v>3707</v>
      </c>
      <c r="G4829" t="s">
        <v>52</v>
      </c>
      <c r="H4829">
        <v>258</v>
      </c>
      <c r="I4829">
        <v>0.42499999999999999</v>
      </c>
      <c r="J4829">
        <v>0.70899999999999996</v>
      </c>
      <c r="K4829">
        <v>0.28399999999999997</v>
      </c>
      <c r="L4829">
        <v>202</v>
      </c>
      <c r="M4829">
        <v>21</v>
      </c>
      <c r="N4829">
        <v>35</v>
      </c>
      <c r="O4829">
        <v>0.70599999999999996</v>
      </c>
      <c r="P4829">
        <v>0.28138496099999999</v>
      </c>
      <c r="Q4829">
        <v>0.252</v>
      </c>
    </row>
    <row r="4830" spans="1:17" x14ac:dyDescent="0.2">
      <c r="A4830" s="30" t="str">
        <f>IF(C4830&amp;G4830&amp;D4830&lt;&gt;'Funnel setup'!$K$3&amp;'Funnel setup'!$K$4&amp;'Funnel setup'!$K$5,".",IF(A4829=".",1,A4829+1))</f>
        <v>.</v>
      </c>
      <c r="B4830" s="431" t="str">
        <f t="shared" si="75"/>
        <v>Knee Replacement PrimaryProviderWESTON AREA HEALTH NHS TRUST (RA3)EQ-5D Index</v>
      </c>
      <c r="C4830" t="s">
        <v>249</v>
      </c>
      <c r="D4830" t="s">
        <v>1</v>
      </c>
      <c r="E4830" t="s">
        <v>3525</v>
      </c>
      <c r="F4830" t="s">
        <v>3526</v>
      </c>
      <c r="G4830" t="s">
        <v>52</v>
      </c>
      <c r="H4830">
        <v>86</v>
      </c>
      <c r="I4830">
        <v>0.40200000000000002</v>
      </c>
      <c r="J4830">
        <v>0.74</v>
      </c>
      <c r="K4830">
        <v>0.33800000000000002</v>
      </c>
      <c r="L4830">
        <v>68</v>
      </c>
      <c r="M4830">
        <v>10</v>
      </c>
      <c r="N4830">
        <v>8</v>
      </c>
      <c r="O4830">
        <v>0.74299999999999999</v>
      </c>
      <c r="P4830">
        <v>0.31825240599999999</v>
      </c>
      <c r="Q4830">
        <v>0.22900000000000001</v>
      </c>
    </row>
    <row r="4831" spans="1:17" x14ac:dyDescent="0.2">
      <c r="A4831" s="30" t="str">
        <f>IF(C4831&amp;G4831&amp;D4831&lt;&gt;'Funnel setup'!$K$3&amp;'Funnel setup'!$K$4&amp;'Funnel setup'!$K$5,".",IF(A4830=".",1,A4830+1))</f>
        <v>.</v>
      </c>
      <c r="B4831" s="431" t="str">
        <f t="shared" si="75"/>
        <v>Knee Replacement PrimaryProviderWINFIELD HOSPITAL (NVC22)EQ-5D Index</v>
      </c>
      <c r="C4831" t="s">
        <v>249</v>
      </c>
      <c r="D4831" t="s">
        <v>1</v>
      </c>
      <c r="E4831" t="s">
        <v>3534</v>
      </c>
      <c r="F4831" t="s">
        <v>3535</v>
      </c>
      <c r="G4831" t="s">
        <v>52</v>
      </c>
      <c r="H4831">
        <v>44</v>
      </c>
      <c r="I4831">
        <v>0.47799999999999998</v>
      </c>
      <c r="J4831">
        <v>0.81899999999999995</v>
      </c>
      <c r="K4831">
        <v>0.34100000000000003</v>
      </c>
      <c r="L4831">
        <v>35</v>
      </c>
      <c r="M4831">
        <v>6</v>
      </c>
      <c r="N4831">
        <v>3</v>
      </c>
      <c r="O4831">
        <v>0.77600000000000002</v>
      </c>
      <c r="P4831">
        <v>0.35109403700000003</v>
      </c>
      <c r="Q4831">
        <v>0.154</v>
      </c>
    </row>
    <row r="4832" spans="1:17" x14ac:dyDescent="0.2">
      <c r="A4832" s="30" t="str">
        <f>IF(C4832&amp;G4832&amp;D4832&lt;&gt;'Funnel setup'!$K$3&amp;'Funnel setup'!$K$4&amp;'Funnel setup'!$K$5,".",IF(A4831=".",1,A4831+1))</f>
        <v>.</v>
      </c>
      <c r="B4832" s="431" t="str">
        <f t="shared" si="75"/>
        <v>Knee Replacement PrimaryProviderWIRRAL UNIVERSITY TEACHING HOSPITAL NHS FOUNDATION TRUST (RBL)EQ-5D Index</v>
      </c>
      <c r="C4832" t="s">
        <v>249</v>
      </c>
      <c r="D4832" t="s">
        <v>1</v>
      </c>
      <c r="E4832" t="s">
        <v>3537</v>
      </c>
      <c r="F4832" t="s">
        <v>3538</v>
      </c>
      <c r="G4832" t="s">
        <v>52</v>
      </c>
      <c r="H4832">
        <v>268</v>
      </c>
      <c r="I4832">
        <v>0.379</v>
      </c>
      <c r="J4832">
        <v>0.71799999999999997</v>
      </c>
      <c r="K4832">
        <v>0.34</v>
      </c>
      <c r="L4832">
        <v>211</v>
      </c>
      <c r="M4832">
        <v>32</v>
      </c>
      <c r="N4832">
        <v>25</v>
      </c>
      <c r="O4832">
        <v>0.751</v>
      </c>
      <c r="P4832">
        <v>0.32550729099999998</v>
      </c>
      <c r="Q4832">
        <v>0.22700000000000001</v>
      </c>
    </row>
    <row r="4833" spans="1:17" x14ac:dyDescent="0.2">
      <c r="A4833" s="30" t="str">
        <f>IF(C4833&amp;G4833&amp;D4833&lt;&gt;'Funnel setup'!$K$3&amp;'Funnel setup'!$K$4&amp;'Funnel setup'!$K$5,".",IF(A4832=".",1,A4832+1))</f>
        <v>.</v>
      </c>
      <c r="B4833" s="431" t="str">
        <f t="shared" si="75"/>
        <v>Knee Replacement PrimaryProviderWOODLAND HOSPITAL (NVC23)EQ-5D Index</v>
      </c>
      <c r="C4833" t="s">
        <v>249</v>
      </c>
      <c r="D4833" t="s">
        <v>1</v>
      </c>
      <c r="E4833" t="s">
        <v>3540</v>
      </c>
      <c r="F4833" t="s">
        <v>3541</v>
      </c>
      <c r="G4833" t="s">
        <v>52</v>
      </c>
      <c r="H4833">
        <v>140</v>
      </c>
      <c r="I4833">
        <v>0.33200000000000002</v>
      </c>
      <c r="J4833">
        <v>0.75600000000000001</v>
      </c>
      <c r="K4833">
        <v>0.42399999999999999</v>
      </c>
      <c r="L4833">
        <v>122</v>
      </c>
      <c r="M4833">
        <v>10</v>
      </c>
      <c r="N4833">
        <v>8</v>
      </c>
      <c r="O4833">
        <v>0.77200000000000002</v>
      </c>
      <c r="P4833">
        <v>0.347483388</v>
      </c>
      <c r="Q4833">
        <v>0.23300000000000001</v>
      </c>
    </row>
    <row r="4834" spans="1:17" x14ac:dyDescent="0.2">
      <c r="A4834" s="30" t="str">
        <f>IF(C4834&amp;G4834&amp;D4834&lt;&gt;'Funnel setup'!$K$3&amp;'Funnel setup'!$K$4&amp;'Funnel setup'!$K$5,".",IF(A4833=".",1,A4833+1))</f>
        <v>.</v>
      </c>
      <c r="B4834" s="431" t="str">
        <f t="shared" si="75"/>
        <v>Knee Replacement PrimaryProviderWOODTHORPE HOSPITAL (NVC40)EQ-5D Index</v>
      </c>
      <c r="C4834" t="s">
        <v>249</v>
      </c>
      <c r="D4834" t="s">
        <v>1</v>
      </c>
      <c r="E4834" t="s">
        <v>3689</v>
      </c>
      <c r="F4834" t="s">
        <v>6576</v>
      </c>
      <c r="G4834" t="s">
        <v>52</v>
      </c>
      <c r="H4834">
        <v>153</v>
      </c>
      <c r="I4834">
        <v>0.495</v>
      </c>
      <c r="J4834">
        <v>0.77300000000000002</v>
      </c>
      <c r="K4834">
        <v>0.27800000000000002</v>
      </c>
      <c r="L4834">
        <v>121</v>
      </c>
      <c r="M4834">
        <v>19</v>
      </c>
      <c r="N4834">
        <v>13</v>
      </c>
      <c r="O4834">
        <v>0.72699999999999998</v>
      </c>
      <c r="P4834">
        <v>0.30243782600000002</v>
      </c>
      <c r="Q4834">
        <v>0.22500000000000001</v>
      </c>
    </row>
    <row r="4835" spans="1:17" x14ac:dyDescent="0.2">
      <c r="A4835" s="30" t="str">
        <f>IF(C4835&amp;G4835&amp;D4835&lt;&gt;'Funnel setup'!$K$3&amp;'Funnel setup'!$K$4&amp;'Funnel setup'!$K$5,".",IF(A4834=".",1,A4834+1))</f>
        <v>.</v>
      </c>
      <c r="B4835" s="431" t="str">
        <f t="shared" si="75"/>
        <v>Knee Replacement PrimaryProviderWORCESTERSHIRE ACUTE HOSPITALS NHS TRUST (RWP)EQ-5D Index</v>
      </c>
      <c r="C4835" t="s">
        <v>249</v>
      </c>
      <c r="D4835" t="s">
        <v>1</v>
      </c>
      <c r="E4835" t="s">
        <v>3543</v>
      </c>
      <c r="F4835" t="s">
        <v>3544</v>
      </c>
      <c r="G4835" t="s">
        <v>52</v>
      </c>
      <c r="H4835">
        <v>241</v>
      </c>
      <c r="I4835">
        <v>0.44700000000000001</v>
      </c>
      <c r="J4835">
        <v>0.76500000000000001</v>
      </c>
      <c r="K4835">
        <v>0.318</v>
      </c>
      <c r="L4835">
        <v>198</v>
      </c>
      <c r="M4835">
        <v>21</v>
      </c>
      <c r="N4835">
        <v>22</v>
      </c>
      <c r="O4835">
        <v>0.753</v>
      </c>
      <c r="P4835">
        <v>0.32808279699999998</v>
      </c>
      <c r="Q4835">
        <v>0.20699999999999999</v>
      </c>
    </row>
    <row r="4836" spans="1:17" x14ac:dyDescent="0.2">
      <c r="A4836" s="30" t="str">
        <f>IF(C4836&amp;G4836&amp;D4836&lt;&gt;'Funnel setup'!$K$3&amp;'Funnel setup'!$K$4&amp;'Funnel setup'!$K$5,".",IF(A4835=".",1,A4835+1))</f>
        <v>.</v>
      </c>
      <c r="B4836" s="431" t="str">
        <f t="shared" si="75"/>
        <v>Knee Replacement PrimaryProviderWRIGHTINGTON, WIGAN AND LEIGH NHS FOUNDATION TRUST (RRF)EQ-5D Index</v>
      </c>
      <c r="C4836" t="s">
        <v>249</v>
      </c>
      <c r="D4836" t="s">
        <v>1</v>
      </c>
      <c r="E4836" t="s">
        <v>3546</v>
      </c>
      <c r="F4836" t="s">
        <v>3547</v>
      </c>
      <c r="G4836" t="s">
        <v>52</v>
      </c>
      <c r="H4836">
        <v>265</v>
      </c>
      <c r="I4836">
        <v>0.34799999999999998</v>
      </c>
      <c r="J4836">
        <v>0.68200000000000005</v>
      </c>
      <c r="K4836">
        <v>0.33400000000000002</v>
      </c>
      <c r="L4836">
        <v>211</v>
      </c>
      <c r="M4836">
        <v>27</v>
      </c>
      <c r="N4836">
        <v>27</v>
      </c>
      <c r="O4836">
        <v>0.72599999999999998</v>
      </c>
      <c r="P4836">
        <v>0.300929909</v>
      </c>
      <c r="Q4836">
        <v>0.23</v>
      </c>
    </row>
    <row r="4837" spans="1:17" x14ac:dyDescent="0.2">
      <c r="A4837" s="30" t="str">
        <f>IF(C4837&amp;G4837&amp;D4837&lt;&gt;'Funnel setup'!$K$3&amp;'Funnel setup'!$K$4&amp;'Funnel setup'!$K$5,".",IF(A4836=".",1,A4836+1))</f>
        <v>.</v>
      </c>
      <c r="B4837" s="431" t="str">
        <f t="shared" si="75"/>
        <v>Knee Replacement PrimaryProviderWYE VALLEY NHS TRUST (RLQ)EQ-5D Index</v>
      </c>
      <c r="C4837" t="s">
        <v>249</v>
      </c>
      <c r="D4837" t="s">
        <v>1</v>
      </c>
      <c r="E4837" t="s">
        <v>3517</v>
      </c>
      <c r="F4837" t="s">
        <v>3518</v>
      </c>
      <c r="G4837" t="s">
        <v>52</v>
      </c>
      <c r="H4837">
        <v>103</v>
      </c>
      <c r="I4837">
        <v>0.48299999999999998</v>
      </c>
      <c r="J4837">
        <v>0.77600000000000002</v>
      </c>
      <c r="K4837">
        <v>0.29299999999999998</v>
      </c>
      <c r="L4837">
        <v>87</v>
      </c>
      <c r="M4837">
        <v>5</v>
      </c>
      <c r="N4837">
        <v>11</v>
      </c>
      <c r="O4837">
        <v>0.75800000000000001</v>
      </c>
      <c r="P4837">
        <v>0.33321819200000002</v>
      </c>
      <c r="Q4837">
        <v>0.216</v>
      </c>
    </row>
    <row r="4838" spans="1:17" x14ac:dyDescent="0.2">
      <c r="A4838" s="30" t="str">
        <f>IF(C4838&amp;G4838&amp;D4838&lt;&gt;'Funnel setup'!$K$3&amp;'Funnel setup'!$K$4&amp;'Funnel setup'!$K$5,".",IF(A4837=".",1,A4837+1))</f>
        <v>.</v>
      </c>
      <c r="B4838" s="431" t="str">
        <f t="shared" si="75"/>
        <v>Knee Replacement PrimaryProviderYEOVIL DISTRICT HOSPITAL NHS FOUNDATION TRUST (RA4)EQ-5D Index</v>
      </c>
      <c r="C4838" t="s">
        <v>249</v>
      </c>
      <c r="D4838" t="s">
        <v>1</v>
      </c>
      <c r="E4838" t="s">
        <v>3520</v>
      </c>
      <c r="F4838" t="s">
        <v>341</v>
      </c>
      <c r="G4838" t="s">
        <v>52</v>
      </c>
      <c r="H4838">
        <v>61</v>
      </c>
      <c r="I4838">
        <v>0.41199999999999998</v>
      </c>
      <c r="J4838">
        <v>0.752</v>
      </c>
      <c r="K4838">
        <v>0.34</v>
      </c>
      <c r="L4838">
        <v>50</v>
      </c>
      <c r="M4838">
        <v>6</v>
      </c>
      <c r="N4838">
        <v>5</v>
      </c>
      <c r="O4838">
        <v>0.75700000000000001</v>
      </c>
      <c r="P4838">
        <v>0.33220982100000002</v>
      </c>
      <c r="Q4838">
        <v>0.27100000000000002</v>
      </c>
    </row>
    <row r="4839" spans="1:17" x14ac:dyDescent="0.2">
      <c r="A4839" s="30" t="str">
        <f>IF(C4839&amp;G4839&amp;D4839&lt;&gt;'Funnel setup'!$K$3&amp;'Funnel setup'!$K$4&amp;'Funnel setup'!$K$5,".",IF(A4838=".",1,A4838+1))</f>
        <v>.</v>
      </c>
      <c r="B4839" s="431" t="str">
        <f t="shared" si="75"/>
        <v>Knee Replacement PrimaryProviderYORK TEACHING HOSPITAL NHS FOUNDATION TRUST (RCB)EQ-5D Index</v>
      </c>
      <c r="C4839" t="s">
        <v>249</v>
      </c>
      <c r="D4839" t="s">
        <v>1</v>
      </c>
      <c r="E4839" t="s">
        <v>3515</v>
      </c>
      <c r="F4839" t="s">
        <v>343</v>
      </c>
      <c r="G4839" t="s">
        <v>52</v>
      </c>
      <c r="H4839">
        <v>258</v>
      </c>
      <c r="I4839">
        <v>0.43099999999999999</v>
      </c>
      <c r="J4839">
        <v>0.73499999999999999</v>
      </c>
      <c r="K4839">
        <v>0.30399999999999999</v>
      </c>
      <c r="L4839">
        <v>201</v>
      </c>
      <c r="M4839">
        <v>26</v>
      </c>
      <c r="N4839">
        <v>31</v>
      </c>
      <c r="O4839">
        <v>0.73499999999999999</v>
      </c>
      <c r="P4839">
        <v>0.310014185</v>
      </c>
      <c r="Q4839">
        <v>0.218</v>
      </c>
    </row>
    <row r="4840" spans="1:17" x14ac:dyDescent="0.2">
      <c r="A4840" s="30" t="str">
        <f>IF(C4840&amp;G4840&amp;D4840&lt;&gt;'Funnel setup'!$K$3&amp;'Funnel setup'!$K$4&amp;'Funnel setup'!$K$5,".",IF(A4839=".",1,A4839+1))</f>
        <v>.</v>
      </c>
      <c r="B4840" s="431" t="str">
        <f t="shared" si="75"/>
        <v>Knee Replacement PrimaryProviderAINTREE UNIVERSITY HOSPITAL NHS FOUNDATION TRUST (REM)Oxford Knee Score</v>
      </c>
      <c r="C4840" t="s">
        <v>249</v>
      </c>
      <c r="D4840" t="s">
        <v>1</v>
      </c>
      <c r="E4840" t="s">
        <v>3838</v>
      </c>
      <c r="F4840" t="s">
        <v>3839</v>
      </c>
      <c r="G4840" t="s">
        <v>16</v>
      </c>
      <c r="H4840">
        <v>145</v>
      </c>
      <c r="I4840">
        <v>15.282999999999999</v>
      </c>
      <c r="J4840">
        <v>30.186</v>
      </c>
      <c r="K4840">
        <v>14.903</v>
      </c>
      <c r="L4840">
        <v>138</v>
      </c>
      <c r="M4840">
        <v>0</v>
      </c>
      <c r="N4840">
        <v>7</v>
      </c>
      <c r="O4840">
        <v>33.744999999999997</v>
      </c>
      <c r="P4840">
        <v>14.459788700000001</v>
      </c>
      <c r="Q4840">
        <v>8.8219999999999992</v>
      </c>
    </row>
    <row r="4841" spans="1:17" x14ac:dyDescent="0.2">
      <c r="A4841" s="30" t="str">
        <f>IF(C4841&amp;G4841&amp;D4841&lt;&gt;'Funnel setup'!$K$3&amp;'Funnel setup'!$K$4&amp;'Funnel setup'!$K$5,".",IF(A4840=".",1,A4840+1))</f>
        <v>.</v>
      </c>
      <c r="B4841" s="431" t="str">
        <f t="shared" si="75"/>
        <v>Knee Replacement PrimaryProviderAIREDALE NHS FOUNDATION TRUST (RCF)Oxford Knee Score</v>
      </c>
      <c r="C4841" t="s">
        <v>249</v>
      </c>
      <c r="D4841" t="s">
        <v>1</v>
      </c>
      <c r="E4841" t="s">
        <v>3841</v>
      </c>
      <c r="F4841" t="s">
        <v>3842</v>
      </c>
      <c r="G4841" t="s">
        <v>16</v>
      </c>
      <c r="H4841">
        <v>144</v>
      </c>
      <c r="I4841">
        <v>20.792000000000002</v>
      </c>
      <c r="J4841">
        <v>37.048999999999999</v>
      </c>
      <c r="K4841">
        <v>16.257000000000001</v>
      </c>
      <c r="L4841">
        <v>137</v>
      </c>
      <c r="M4841">
        <v>1</v>
      </c>
      <c r="N4841">
        <v>6</v>
      </c>
      <c r="O4841">
        <v>35.749000000000002</v>
      </c>
      <c r="P4841">
        <v>16.463330989999999</v>
      </c>
      <c r="Q4841">
        <v>7.9610000000000003</v>
      </c>
    </row>
    <row r="4842" spans="1:17" x14ac:dyDescent="0.2">
      <c r="A4842" s="30" t="str">
        <f>IF(C4842&amp;G4842&amp;D4842&lt;&gt;'Funnel setup'!$K$3&amp;'Funnel setup'!$K$4&amp;'Funnel setup'!$K$5,".",IF(A4841=".",1,A4841+1))</f>
        <v>.</v>
      </c>
      <c r="B4842" s="431" t="str">
        <f t="shared" si="75"/>
        <v>Knee Replacement PrimaryProviderASHFORD AND ST PETER'S HOSPITALS NHS FOUNDATION TRUST (RTK)Oxford Knee Score</v>
      </c>
      <c r="C4842" t="s">
        <v>249</v>
      </c>
      <c r="D4842" t="s">
        <v>1</v>
      </c>
      <c r="E4842" t="s">
        <v>3844</v>
      </c>
      <c r="F4842" t="s">
        <v>345</v>
      </c>
      <c r="G4842" t="s">
        <v>16</v>
      </c>
      <c r="H4842">
        <v>267</v>
      </c>
      <c r="I4842">
        <v>19.984999999999999</v>
      </c>
      <c r="J4842">
        <v>35.231999999999999</v>
      </c>
      <c r="K4842">
        <v>15.247</v>
      </c>
      <c r="L4842">
        <v>248</v>
      </c>
      <c r="M4842">
        <v>3</v>
      </c>
      <c r="N4842">
        <v>16</v>
      </c>
      <c r="O4842">
        <v>34.68</v>
      </c>
      <c r="P4842">
        <v>15.39494578</v>
      </c>
      <c r="Q4842">
        <v>8.4060000000000006</v>
      </c>
    </row>
    <row r="4843" spans="1:17" x14ac:dyDescent="0.2">
      <c r="A4843" s="30" t="str">
        <f>IF(C4843&amp;G4843&amp;D4843&lt;&gt;'Funnel setup'!$K$3&amp;'Funnel setup'!$K$4&amp;'Funnel setup'!$K$5,".",IF(A4842=".",1,A4842+1))</f>
        <v>.</v>
      </c>
      <c r="B4843" s="431" t="str">
        <f t="shared" si="75"/>
        <v>Knee Replacement PrimaryProviderASHTEAD HOSPITAL (NVC01)Oxford Knee Score</v>
      </c>
      <c r="C4843" t="s">
        <v>249</v>
      </c>
      <c r="D4843" t="s">
        <v>1</v>
      </c>
      <c r="E4843" t="s">
        <v>3846</v>
      </c>
      <c r="F4843" t="s">
        <v>3847</v>
      </c>
      <c r="G4843" t="s">
        <v>16</v>
      </c>
      <c r="H4843">
        <v>56</v>
      </c>
      <c r="I4843">
        <v>21.25</v>
      </c>
      <c r="J4843">
        <v>38.570999999999998</v>
      </c>
      <c r="K4843">
        <v>17.321000000000002</v>
      </c>
      <c r="L4843">
        <v>56</v>
      </c>
      <c r="M4843">
        <v>0</v>
      </c>
      <c r="N4843">
        <v>0</v>
      </c>
      <c r="O4843">
        <v>36.67</v>
      </c>
      <c r="P4843">
        <v>17.384981159999999</v>
      </c>
      <c r="Q4843">
        <v>6.0190000000000001</v>
      </c>
    </row>
    <row r="4844" spans="1:17" x14ac:dyDescent="0.2">
      <c r="A4844" s="30" t="str">
        <f>IF(C4844&amp;G4844&amp;D4844&lt;&gt;'Funnel setup'!$K$3&amp;'Funnel setup'!$K$4&amp;'Funnel setup'!$K$5,".",IF(A4843=".",1,A4843+1))</f>
        <v>.</v>
      </c>
      <c r="B4844" s="431" t="str">
        <f t="shared" si="75"/>
        <v>Knee Replacement PrimaryProviderASPEN - CLAREMONT HOSPITAL (NYW04)Oxford Knee Score</v>
      </c>
      <c r="C4844" t="s">
        <v>249</v>
      </c>
      <c r="D4844" t="s">
        <v>1</v>
      </c>
      <c r="E4844" t="s">
        <v>3500</v>
      </c>
      <c r="F4844" t="s">
        <v>3501</v>
      </c>
      <c r="G4844" t="s">
        <v>16</v>
      </c>
      <c r="H4844">
        <v>76</v>
      </c>
      <c r="I4844">
        <v>20.079000000000001</v>
      </c>
      <c r="J4844">
        <v>37.026000000000003</v>
      </c>
      <c r="K4844">
        <v>16.946999999999999</v>
      </c>
      <c r="L4844">
        <v>71</v>
      </c>
      <c r="M4844">
        <v>0</v>
      </c>
      <c r="N4844">
        <v>5</v>
      </c>
      <c r="O4844">
        <v>36.133000000000003</v>
      </c>
      <c r="P4844">
        <v>16.847792139999999</v>
      </c>
      <c r="Q4844">
        <v>8.0619999999999994</v>
      </c>
    </row>
    <row r="4845" spans="1:17" x14ac:dyDescent="0.2">
      <c r="A4845" s="30" t="str">
        <f>IF(C4845&amp;G4845&amp;D4845&lt;&gt;'Funnel setup'!$K$3&amp;'Funnel setup'!$K$4&amp;'Funnel setup'!$K$5,".",IF(A4844=".",1,A4844+1))</f>
        <v>.</v>
      </c>
      <c r="B4845" s="431" t="str">
        <f t="shared" si="75"/>
        <v>Knee Replacement PrimaryProviderASPEN - HIGHGATE HOSPITAL (NYW03)Oxford Knee Score</v>
      </c>
      <c r="C4845" t="s">
        <v>249</v>
      </c>
      <c r="D4845" t="s">
        <v>1</v>
      </c>
      <c r="E4845" t="s">
        <v>3503</v>
      </c>
      <c r="F4845" t="s">
        <v>3504</v>
      </c>
      <c r="G4845" t="s">
        <v>16</v>
      </c>
      <c r="H4845" t="s">
        <v>53</v>
      </c>
      <c r="I4845" t="s">
        <v>53</v>
      </c>
      <c r="J4845" t="s">
        <v>53</v>
      </c>
      <c r="K4845" t="s">
        <v>53</v>
      </c>
      <c r="L4845" t="s">
        <v>53</v>
      </c>
      <c r="M4845" t="s">
        <v>53</v>
      </c>
      <c r="N4845" t="s">
        <v>53</v>
      </c>
      <c r="O4845" t="s">
        <v>53</v>
      </c>
      <c r="P4845" t="s">
        <v>53</v>
      </c>
      <c r="Q4845" t="s">
        <v>53</v>
      </c>
    </row>
    <row r="4846" spans="1:17" x14ac:dyDescent="0.2">
      <c r="A4846" s="30" t="str">
        <f>IF(C4846&amp;G4846&amp;D4846&lt;&gt;'Funnel setup'!$K$3&amp;'Funnel setup'!$K$4&amp;'Funnel setup'!$K$5,".",IF(A4845=".",1,A4845+1))</f>
        <v>.</v>
      </c>
      <c r="B4846" s="431" t="str">
        <f t="shared" si="75"/>
        <v>Knee Replacement PrimaryProviderASPEN - HOLLY HOUSE HOSPITAL (NYW01)Oxford Knee Score</v>
      </c>
      <c r="C4846" t="s">
        <v>249</v>
      </c>
      <c r="D4846" t="s">
        <v>1</v>
      </c>
      <c r="E4846" t="s">
        <v>3506</v>
      </c>
      <c r="F4846" t="s">
        <v>3507</v>
      </c>
      <c r="G4846" t="s">
        <v>16</v>
      </c>
      <c r="H4846">
        <v>37</v>
      </c>
      <c r="I4846">
        <v>19.459</v>
      </c>
      <c r="J4846">
        <v>32.405000000000001</v>
      </c>
      <c r="K4846">
        <v>12.946</v>
      </c>
      <c r="L4846">
        <v>33</v>
      </c>
      <c r="M4846">
        <v>0</v>
      </c>
      <c r="N4846">
        <v>4</v>
      </c>
      <c r="O4846">
        <v>32.158000000000001</v>
      </c>
      <c r="P4846">
        <v>12.872823159999999</v>
      </c>
      <c r="Q4846">
        <v>8.6769999999999996</v>
      </c>
    </row>
    <row r="4847" spans="1:17" x14ac:dyDescent="0.2">
      <c r="A4847" s="30" t="str">
        <f>IF(C4847&amp;G4847&amp;D4847&lt;&gt;'Funnel setup'!$K$3&amp;'Funnel setup'!$K$4&amp;'Funnel setup'!$K$5,".",IF(A4846=".",1,A4846+1))</f>
        <v>.</v>
      </c>
      <c r="B4847" s="431" t="str">
        <f t="shared" si="75"/>
        <v>Knee Replacement PrimaryProviderBARKING, HAVERING AND REDBRIDGE UNIVERSITY HOSPITALS NHS TRUST (RF4)Oxford Knee Score</v>
      </c>
      <c r="C4847" t="s">
        <v>249</v>
      </c>
      <c r="D4847" t="s">
        <v>1</v>
      </c>
      <c r="E4847" t="s">
        <v>3509</v>
      </c>
      <c r="F4847" t="s">
        <v>3510</v>
      </c>
      <c r="G4847" t="s">
        <v>16</v>
      </c>
      <c r="H4847">
        <v>91</v>
      </c>
      <c r="I4847">
        <v>15.385</v>
      </c>
      <c r="J4847">
        <v>29.527000000000001</v>
      </c>
      <c r="K4847">
        <v>14.143000000000001</v>
      </c>
      <c r="L4847">
        <v>82</v>
      </c>
      <c r="M4847">
        <v>2</v>
      </c>
      <c r="N4847">
        <v>7</v>
      </c>
      <c r="O4847">
        <v>32.299999999999997</v>
      </c>
      <c r="P4847">
        <v>13.01505929</v>
      </c>
      <c r="Q4847">
        <v>9.6750000000000007</v>
      </c>
    </row>
    <row r="4848" spans="1:17" x14ac:dyDescent="0.2">
      <c r="A4848" s="30" t="str">
        <f>IF(C4848&amp;G4848&amp;D4848&lt;&gt;'Funnel setup'!$K$3&amp;'Funnel setup'!$K$4&amp;'Funnel setup'!$K$5,".",IF(A4847=".",1,A4847+1))</f>
        <v>.</v>
      </c>
      <c r="B4848" s="431" t="str">
        <f t="shared" si="75"/>
        <v>Knee Replacement PrimaryProviderBARLBOROUGH NHS TREATMENT CENTRE (NTP13)Oxford Knee Score</v>
      </c>
      <c r="C4848" t="s">
        <v>249</v>
      </c>
      <c r="D4848" t="s">
        <v>1</v>
      </c>
      <c r="E4848" t="s">
        <v>4425</v>
      </c>
      <c r="F4848" t="s">
        <v>4426</v>
      </c>
      <c r="G4848" t="s">
        <v>16</v>
      </c>
      <c r="H4848">
        <v>454</v>
      </c>
      <c r="I4848">
        <v>18.52</v>
      </c>
      <c r="J4848">
        <v>35.817</v>
      </c>
      <c r="K4848">
        <v>17.297000000000001</v>
      </c>
      <c r="L4848">
        <v>432</v>
      </c>
      <c r="M4848">
        <v>2</v>
      </c>
      <c r="N4848">
        <v>20</v>
      </c>
      <c r="O4848">
        <v>35.572000000000003</v>
      </c>
      <c r="P4848">
        <v>16.28681821</v>
      </c>
      <c r="Q4848">
        <v>8.532</v>
      </c>
    </row>
    <row r="4849" spans="1:17" x14ac:dyDescent="0.2">
      <c r="A4849" s="30" t="str">
        <f>IF(C4849&amp;G4849&amp;D4849&lt;&gt;'Funnel setup'!$K$3&amp;'Funnel setup'!$K$4&amp;'Funnel setup'!$K$5,".",IF(A4848=".",1,A4848+1))</f>
        <v>.</v>
      </c>
      <c r="B4849" s="431" t="str">
        <f t="shared" si="75"/>
        <v>Knee Replacement PrimaryProviderBARNSLEY HOSPITAL NHS FOUNDATION TRUST (RFF)Oxford Knee Score</v>
      </c>
      <c r="C4849" t="s">
        <v>249</v>
      </c>
      <c r="D4849" t="s">
        <v>1</v>
      </c>
      <c r="E4849" t="s">
        <v>3549</v>
      </c>
      <c r="F4849" t="s">
        <v>3550</v>
      </c>
      <c r="G4849" t="s">
        <v>16</v>
      </c>
      <c r="H4849">
        <v>203</v>
      </c>
      <c r="I4849">
        <v>18.251000000000001</v>
      </c>
      <c r="J4849">
        <v>31.940999999999999</v>
      </c>
      <c r="K4849">
        <v>13.69</v>
      </c>
      <c r="L4849">
        <v>190</v>
      </c>
      <c r="M4849">
        <v>2</v>
      </c>
      <c r="N4849">
        <v>11</v>
      </c>
      <c r="O4849">
        <v>32.921999999999997</v>
      </c>
      <c r="P4849">
        <v>13.63616012</v>
      </c>
      <c r="Q4849">
        <v>8.5399999999999991</v>
      </c>
    </row>
    <row r="4850" spans="1:17" x14ac:dyDescent="0.2">
      <c r="A4850" s="30" t="str">
        <f>IF(C4850&amp;G4850&amp;D4850&lt;&gt;'Funnel setup'!$K$3&amp;'Funnel setup'!$K$4&amp;'Funnel setup'!$K$5,".",IF(A4849=".",1,A4849+1))</f>
        <v>.</v>
      </c>
      <c r="B4850" s="431" t="str">
        <f t="shared" si="75"/>
        <v>Knee Replacement PrimaryProviderBARTS HEALTH NHS TRUST (R1H)Oxford Knee Score</v>
      </c>
      <c r="C4850" t="s">
        <v>249</v>
      </c>
      <c r="D4850" t="s">
        <v>1</v>
      </c>
      <c r="E4850" t="s">
        <v>3552</v>
      </c>
      <c r="F4850" t="s">
        <v>3553</v>
      </c>
      <c r="G4850" t="s">
        <v>16</v>
      </c>
      <c r="H4850">
        <v>224</v>
      </c>
      <c r="I4850">
        <v>17.664999999999999</v>
      </c>
      <c r="J4850">
        <v>31.451000000000001</v>
      </c>
      <c r="K4850">
        <v>13.786</v>
      </c>
      <c r="L4850">
        <v>205</v>
      </c>
      <c r="M4850">
        <v>1</v>
      </c>
      <c r="N4850">
        <v>18</v>
      </c>
      <c r="O4850">
        <v>34.484999999999999</v>
      </c>
      <c r="P4850">
        <v>15.199988429999999</v>
      </c>
      <c r="Q4850">
        <v>9.26</v>
      </c>
    </row>
    <row r="4851" spans="1:17" x14ac:dyDescent="0.2">
      <c r="A4851" s="30" t="str">
        <f>IF(C4851&amp;G4851&amp;D4851&lt;&gt;'Funnel setup'!$K$3&amp;'Funnel setup'!$K$4&amp;'Funnel setup'!$K$5,".",IF(A4850=".",1,A4850+1))</f>
        <v>.</v>
      </c>
      <c r="B4851" s="431" t="str">
        <f t="shared" si="75"/>
        <v>Knee Replacement PrimaryProviderBASILDON AND THURROCK UNIVERSITY HOSPITALS NHS FOUNDATION TRUST (RDD)Oxford Knee Score</v>
      </c>
      <c r="C4851" t="s">
        <v>249</v>
      </c>
      <c r="D4851" t="s">
        <v>1</v>
      </c>
      <c r="E4851" t="s">
        <v>3555</v>
      </c>
      <c r="F4851" t="s">
        <v>3556</v>
      </c>
      <c r="G4851" t="s">
        <v>16</v>
      </c>
      <c r="H4851">
        <v>151</v>
      </c>
      <c r="I4851">
        <v>17.212</v>
      </c>
      <c r="J4851">
        <v>33.622999999999998</v>
      </c>
      <c r="K4851">
        <v>16.411000000000001</v>
      </c>
      <c r="L4851">
        <v>141</v>
      </c>
      <c r="M4851">
        <v>1</v>
      </c>
      <c r="N4851">
        <v>9</v>
      </c>
      <c r="O4851">
        <v>34.773000000000003</v>
      </c>
      <c r="P4851">
        <v>15.48785591</v>
      </c>
      <c r="Q4851">
        <v>9.2590000000000003</v>
      </c>
    </row>
    <row r="4852" spans="1:17" x14ac:dyDescent="0.2">
      <c r="A4852" s="30" t="str">
        <f>IF(C4852&amp;G4852&amp;D4852&lt;&gt;'Funnel setup'!$K$3&amp;'Funnel setup'!$K$4&amp;'Funnel setup'!$K$5,".",IF(A4851=".",1,A4851+1))</f>
        <v>.</v>
      </c>
      <c r="B4852" s="431" t="str">
        <f t="shared" si="75"/>
        <v>Knee Replacement PrimaryProviderBEDFORD HOSPITAL NHS TRUST (RC1)Oxford Knee Score</v>
      </c>
      <c r="C4852" t="s">
        <v>249</v>
      </c>
      <c r="D4852" t="s">
        <v>1</v>
      </c>
      <c r="E4852" t="s">
        <v>3558</v>
      </c>
      <c r="F4852" t="s">
        <v>3559</v>
      </c>
      <c r="G4852" t="s">
        <v>16</v>
      </c>
      <c r="H4852">
        <v>147</v>
      </c>
      <c r="I4852">
        <v>19.204000000000001</v>
      </c>
      <c r="J4852">
        <v>33.469000000000001</v>
      </c>
      <c r="K4852">
        <v>14.265000000000001</v>
      </c>
      <c r="L4852">
        <v>133</v>
      </c>
      <c r="M4852">
        <v>3</v>
      </c>
      <c r="N4852">
        <v>11</v>
      </c>
      <c r="O4852">
        <v>33.35</v>
      </c>
      <c r="P4852">
        <v>14.064281039999999</v>
      </c>
      <c r="Q4852">
        <v>9.1</v>
      </c>
    </row>
    <row r="4853" spans="1:17" x14ac:dyDescent="0.2">
      <c r="A4853" s="30" t="str">
        <f>IF(C4853&amp;G4853&amp;D4853&lt;&gt;'Funnel setup'!$K$3&amp;'Funnel setup'!$K$4&amp;'Funnel setup'!$K$5,".",IF(A4852=".",1,A4852+1))</f>
        <v>.</v>
      </c>
      <c r="B4853" s="431" t="str">
        <f t="shared" si="75"/>
        <v>Knee Replacement PrimaryProviderBENENDEN HOSPITAL (NWF01)Oxford Knee Score</v>
      </c>
      <c r="C4853" t="s">
        <v>249</v>
      </c>
      <c r="D4853" t="s">
        <v>1</v>
      </c>
      <c r="E4853" t="s">
        <v>4428</v>
      </c>
      <c r="F4853" t="s">
        <v>4429</v>
      </c>
      <c r="G4853" t="s">
        <v>16</v>
      </c>
      <c r="H4853">
        <v>38</v>
      </c>
      <c r="I4853">
        <v>20.632000000000001</v>
      </c>
      <c r="J4853">
        <v>38.920999999999999</v>
      </c>
      <c r="K4853">
        <v>18.289000000000001</v>
      </c>
      <c r="L4853">
        <v>38</v>
      </c>
      <c r="M4853">
        <v>0</v>
      </c>
      <c r="N4853">
        <v>0</v>
      </c>
      <c r="O4853">
        <v>38.32</v>
      </c>
      <c r="P4853">
        <v>19.034335689999999</v>
      </c>
      <c r="Q4853">
        <v>7.0640000000000001</v>
      </c>
    </row>
    <row r="4854" spans="1:17" x14ac:dyDescent="0.2">
      <c r="A4854" s="30" t="str">
        <f>IF(C4854&amp;G4854&amp;D4854&lt;&gt;'Funnel setup'!$K$3&amp;'Funnel setup'!$K$4&amp;'Funnel setup'!$K$5,".",IF(A4853=".",1,A4853+1))</f>
        <v>.</v>
      </c>
      <c r="B4854" s="431" t="str">
        <f t="shared" si="75"/>
        <v>Knee Replacement PrimaryProviderBLACKPOOL TEACHING HOSPITALS NHS FOUNDATION TRUST (RXL)Oxford Knee Score</v>
      </c>
      <c r="C4854" t="s">
        <v>249</v>
      </c>
      <c r="D4854" t="s">
        <v>1</v>
      </c>
      <c r="E4854" t="s">
        <v>3561</v>
      </c>
      <c r="F4854" t="s">
        <v>3562</v>
      </c>
      <c r="G4854" t="s">
        <v>16</v>
      </c>
      <c r="H4854">
        <v>27</v>
      </c>
      <c r="I4854">
        <v>17.888999999999999</v>
      </c>
      <c r="J4854">
        <v>32.518999999999998</v>
      </c>
      <c r="K4854">
        <v>14.63</v>
      </c>
      <c r="L4854">
        <v>23</v>
      </c>
      <c r="M4854">
        <v>1</v>
      </c>
      <c r="N4854">
        <v>3</v>
      </c>
      <c r="O4854" t="s">
        <v>53</v>
      </c>
      <c r="P4854" t="s">
        <v>53</v>
      </c>
      <c r="Q4854" t="s">
        <v>53</v>
      </c>
    </row>
    <row r="4855" spans="1:17" x14ac:dyDescent="0.2">
      <c r="A4855" s="30" t="str">
        <f>IF(C4855&amp;G4855&amp;D4855&lt;&gt;'Funnel setup'!$K$3&amp;'Funnel setup'!$K$4&amp;'Funnel setup'!$K$5,".",IF(A4854=".",1,A4854+1))</f>
        <v>.</v>
      </c>
      <c r="B4855" s="431" t="str">
        <f t="shared" si="75"/>
        <v>Knee Replacement PrimaryProviderBMI - BATH CLINIC (NT402)Oxford Knee Score</v>
      </c>
      <c r="C4855" t="s">
        <v>249</v>
      </c>
      <c r="D4855" t="s">
        <v>1</v>
      </c>
      <c r="E4855" t="s">
        <v>3488</v>
      </c>
      <c r="F4855" t="s">
        <v>3489</v>
      </c>
      <c r="G4855" t="s">
        <v>16</v>
      </c>
      <c r="H4855">
        <v>53</v>
      </c>
      <c r="I4855">
        <v>19.527999999999999</v>
      </c>
      <c r="J4855">
        <v>38.603999999999999</v>
      </c>
      <c r="K4855">
        <v>19.074999999999999</v>
      </c>
      <c r="L4855">
        <v>53</v>
      </c>
      <c r="M4855">
        <v>0</v>
      </c>
      <c r="N4855">
        <v>0</v>
      </c>
      <c r="O4855">
        <v>37.206000000000003</v>
      </c>
      <c r="P4855">
        <v>17.9206386</v>
      </c>
      <c r="Q4855">
        <v>6.609</v>
      </c>
    </row>
    <row r="4856" spans="1:17" x14ac:dyDescent="0.2">
      <c r="A4856" s="30" t="str">
        <f>IF(C4856&amp;G4856&amp;D4856&lt;&gt;'Funnel setup'!$K$3&amp;'Funnel setup'!$K$4&amp;'Funnel setup'!$K$5,".",IF(A4855=".",1,A4855+1))</f>
        <v>.</v>
      </c>
      <c r="B4856" s="431" t="str">
        <f t="shared" si="75"/>
        <v>Knee Replacement PrimaryProviderBMI - BISHOPS WOOD (NT405)Oxford Knee Score</v>
      </c>
      <c r="C4856" t="s">
        <v>249</v>
      </c>
      <c r="D4856" t="s">
        <v>1</v>
      </c>
      <c r="E4856" t="s">
        <v>3491</v>
      </c>
      <c r="F4856" t="s">
        <v>3492</v>
      </c>
      <c r="G4856" t="s">
        <v>16</v>
      </c>
      <c r="H4856">
        <v>18</v>
      </c>
      <c r="I4856">
        <v>23.611000000000001</v>
      </c>
      <c r="J4856">
        <v>38.889000000000003</v>
      </c>
      <c r="K4856">
        <v>15.278</v>
      </c>
      <c r="L4856">
        <v>18</v>
      </c>
      <c r="M4856">
        <v>0</v>
      </c>
      <c r="N4856">
        <v>0</v>
      </c>
      <c r="O4856" t="s">
        <v>53</v>
      </c>
      <c r="P4856" t="s">
        <v>53</v>
      </c>
      <c r="Q4856" t="s">
        <v>53</v>
      </c>
    </row>
    <row r="4857" spans="1:17" x14ac:dyDescent="0.2">
      <c r="A4857" s="30" t="str">
        <f>IF(C4857&amp;G4857&amp;D4857&lt;&gt;'Funnel setup'!$K$3&amp;'Funnel setup'!$K$4&amp;'Funnel setup'!$K$5,".",IF(A4856=".",1,A4856+1))</f>
        <v>.</v>
      </c>
      <c r="B4857" s="431" t="str">
        <f t="shared" si="75"/>
        <v>Knee Replacement PrimaryProviderBMI - CHELSFIELD PARK HOSPITAL (NT409)Oxford Knee Score</v>
      </c>
      <c r="C4857" t="s">
        <v>249</v>
      </c>
      <c r="D4857" t="s">
        <v>1</v>
      </c>
      <c r="E4857" t="s">
        <v>3494</v>
      </c>
      <c r="F4857" t="s">
        <v>3495</v>
      </c>
      <c r="G4857" t="s">
        <v>16</v>
      </c>
      <c r="H4857">
        <v>16</v>
      </c>
      <c r="I4857">
        <v>26.437999999999999</v>
      </c>
      <c r="J4857">
        <v>41.688000000000002</v>
      </c>
      <c r="K4857">
        <v>15.25</v>
      </c>
      <c r="L4857">
        <v>16</v>
      </c>
      <c r="M4857">
        <v>0</v>
      </c>
      <c r="N4857">
        <v>0</v>
      </c>
      <c r="O4857" t="s">
        <v>53</v>
      </c>
      <c r="P4857" t="s">
        <v>53</v>
      </c>
      <c r="Q4857" t="s">
        <v>53</v>
      </c>
    </row>
    <row r="4858" spans="1:17" x14ac:dyDescent="0.2">
      <c r="A4858" s="30" t="str">
        <f>IF(C4858&amp;G4858&amp;D4858&lt;&gt;'Funnel setup'!$K$3&amp;'Funnel setup'!$K$4&amp;'Funnel setup'!$K$5,".",IF(A4857=".",1,A4857+1))</f>
        <v>.</v>
      </c>
      <c r="B4858" s="431" t="str">
        <f t="shared" si="75"/>
        <v>Knee Replacement PrimaryProviderBMI - FAWKHAM MANOR HOSPITAL (NT414)Oxford Knee Score</v>
      </c>
      <c r="C4858" t="s">
        <v>249</v>
      </c>
      <c r="D4858" t="s">
        <v>1</v>
      </c>
      <c r="E4858" t="s">
        <v>3497</v>
      </c>
      <c r="F4858" t="s">
        <v>3498</v>
      </c>
      <c r="G4858" t="s">
        <v>16</v>
      </c>
      <c r="H4858">
        <v>31</v>
      </c>
      <c r="I4858">
        <v>22.806000000000001</v>
      </c>
      <c r="J4858">
        <v>39.323</v>
      </c>
      <c r="K4858">
        <v>16.515999999999998</v>
      </c>
      <c r="L4858">
        <v>30</v>
      </c>
      <c r="M4858">
        <v>0</v>
      </c>
      <c r="N4858">
        <v>1</v>
      </c>
      <c r="O4858">
        <v>36.802999999999997</v>
      </c>
      <c r="P4858">
        <v>17.51746971</v>
      </c>
      <c r="Q4858">
        <v>8.1150000000000002</v>
      </c>
    </row>
    <row r="4859" spans="1:17" x14ac:dyDescent="0.2">
      <c r="A4859" s="30" t="str">
        <f>IF(C4859&amp;G4859&amp;D4859&lt;&gt;'Funnel setup'!$K$3&amp;'Funnel setup'!$K$4&amp;'Funnel setup'!$K$5,".",IF(A4858=".",1,A4858+1))</f>
        <v>.</v>
      </c>
      <c r="B4859" s="431" t="str">
        <f t="shared" si="75"/>
        <v>Knee Replacement PrimaryProviderBMI - GORING HALL HOSPITAL (NT417)Oxford Knee Score</v>
      </c>
      <c r="C4859" t="s">
        <v>249</v>
      </c>
      <c r="D4859" t="s">
        <v>1</v>
      </c>
      <c r="E4859" t="s">
        <v>3403</v>
      </c>
      <c r="F4859" t="s">
        <v>3404</v>
      </c>
      <c r="G4859" t="s">
        <v>16</v>
      </c>
      <c r="H4859">
        <v>101</v>
      </c>
      <c r="I4859">
        <v>20.238</v>
      </c>
      <c r="J4859">
        <v>35.703000000000003</v>
      </c>
      <c r="K4859">
        <v>15.465</v>
      </c>
      <c r="L4859">
        <v>93</v>
      </c>
      <c r="M4859">
        <v>2</v>
      </c>
      <c r="N4859">
        <v>6</v>
      </c>
      <c r="O4859">
        <v>34.271000000000001</v>
      </c>
      <c r="P4859">
        <v>14.985888599999999</v>
      </c>
      <c r="Q4859">
        <v>8.1449999999999996</v>
      </c>
    </row>
    <row r="4860" spans="1:17" x14ac:dyDescent="0.2">
      <c r="A4860" s="30" t="str">
        <f>IF(C4860&amp;G4860&amp;D4860&lt;&gt;'Funnel setup'!$K$3&amp;'Funnel setup'!$K$4&amp;'Funnel setup'!$K$5,".",IF(A4859=".",1,A4859+1))</f>
        <v>.</v>
      </c>
      <c r="B4860" s="431" t="str">
        <f t="shared" si="75"/>
        <v>Knee Replacement PrimaryProviderBMI - HENDON HOSPITAL (NT416)Oxford Knee Score</v>
      </c>
      <c r="C4860" t="s">
        <v>249</v>
      </c>
      <c r="D4860" t="s">
        <v>1</v>
      </c>
      <c r="E4860" t="s">
        <v>3570</v>
      </c>
      <c r="F4860" t="s">
        <v>3571</v>
      </c>
      <c r="G4860" t="s">
        <v>16</v>
      </c>
      <c r="H4860" t="s">
        <v>53</v>
      </c>
      <c r="I4860" t="s">
        <v>53</v>
      </c>
      <c r="J4860" t="s">
        <v>53</v>
      </c>
      <c r="K4860" t="s">
        <v>53</v>
      </c>
      <c r="L4860" t="s">
        <v>53</v>
      </c>
      <c r="M4860" t="s">
        <v>53</v>
      </c>
      <c r="N4860" t="s">
        <v>53</v>
      </c>
      <c r="O4860" t="s">
        <v>53</v>
      </c>
      <c r="P4860" t="s">
        <v>53</v>
      </c>
      <c r="Q4860" t="s">
        <v>53</v>
      </c>
    </row>
    <row r="4861" spans="1:17" x14ac:dyDescent="0.2">
      <c r="A4861" s="30" t="str">
        <f>IF(C4861&amp;G4861&amp;D4861&lt;&gt;'Funnel setup'!$K$3&amp;'Funnel setup'!$K$4&amp;'Funnel setup'!$K$5,".",IF(A4860=".",1,A4860+1))</f>
        <v>.</v>
      </c>
      <c r="B4861" s="431" t="str">
        <f t="shared" si="75"/>
        <v>Knee Replacement PrimaryProviderBMI - SARUM ROAD HOSPITAL (NT433)Oxford Knee Score</v>
      </c>
      <c r="C4861" t="s">
        <v>249</v>
      </c>
      <c r="D4861" t="s">
        <v>1</v>
      </c>
      <c r="E4861" t="s">
        <v>3573</v>
      </c>
      <c r="F4861" t="s">
        <v>3574</v>
      </c>
      <c r="G4861" t="s">
        <v>16</v>
      </c>
      <c r="H4861">
        <v>28</v>
      </c>
      <c r="I4861">
        <v>22.963999999999999</v>
      </c>
      <c r="J4861">
        <v>37.643000000000001</v>
      </c>
      <c r="K4861">
        <v>14.679</v>
      </c>
      <c r="L4861">
        <v>25</v>
      </c>
      <c r="M4861">
        <v>0</v>
      </c>
      <c r="N4861">
        <v>3</v>
      </c>
      <c r="O4861" t="s">
        <v>53</v>
      </c>
      <c r="P4861" t="s">
        <v>53</v>
      </c>
      <c r="Q4861" t="s">
        <v>53</v>
      </c>
    </row>
    <row r="4862" spans="1:17" x14ac:dyDescent="0.2">
      <c r="A4862" s="30" t="str">
        <f>IF(C4862&amp;G4862&amp;D4862&lt;&gt;'Funnel setup'!$K$3&amp;'Funnel setup'!$K$4&amp;'Funnel setup'!$K$5,".",IF(A4861=".",1,A4861+1))</f>
        <v>.</v>
      </c>
      <c r="B4862" s="431" t="str">
        <f t="shared" si="75"/>
        <v>Knee Replacement PrimaryProviderBMI - SHIRLEY OAKS HOSPITAL (NT436)Oxford Knee Score</v>
      </c>
      <c r="C4862" t="s">
        <v>249</v>
      </c>
      <c r="D4862" t="s">
        <v>1</v>
      </c>
      <c r="E4862" t="s">
        <v>3576</v>
      </c>
      <c r="F4862" t="s">
        <v>3577</v>
      </c>
      <c r="G4862" t="s">
        <v>16</v>
      </c>
      <c r="H4862">
        <v>18</v>
      </c>
      <c r="I4862">
        <v>16.611000000000001</v>
      </c>
      <c r="J4862">
        <v>30.5</v>
      </c>
      <c r="K4862">
        <v>13.888999999999999</v>
      </c>
      <c r="L4862">
        <v>18</v>
      </c>
      <c r="M4862">
        <v>0</v>
      </c>
      <c r="N4862">
        <v>0</v>
      </c>
      <c r="O4862" t="s">
        <v>53</v>
      </c>
      <c r="P4862" t="s">
        <v>53</v>
      </c>
      <c r="Q4862" t="s">
        <v>53</v>
      </c>
    </row>
    <row r="4863" spans="1:17" x14ac:dyDescent="0.2">
      <c r="A4863" s="30" t="str">
        <f>IF(C4863&amp;G4863&amp;D4863&lt;&gt;'Funnel setup'!$K$3&amp;'Funnel setup'!$K$4&amp;'Funnel setup'!$K$5,".",IF(A4862=".",1,A4862+1))</f>
        <v>.</v>
      </c>
      <c r="B4863" s="431" t="str">
        <f t="shared" si="75"/>
        <v>Knee Replacement PrimaryProviderBMI - THE ALEXANDRA HOSPITAL (NT401)Oxford Knee Score</v>
      </c>
      <c r="C4863" t="s">
        <v>249</v>
      </c>
      <c r="D4863" t="s">
        <v>1</v>
      </c>
      <c r="E4863" t="s">
        <v>3579</v>
      </c>
      <c r="F4863" t="s">
        <v>3580</v>
      </c>
      <c r="G4863" t="s">
        <v>16</v>
      </c>
      <c r="H4863">
        <v>73</v>
      </c>
      <c r="I4863">
        <v>21.247</v>
      </c>
      <c r="J4863">
        <v>37.932000000000002</v>
      </c>
      <c r="K4863">
        <v>16.684999999999999</v>
      </c>
      <c r="L4863">
        <v>70</v>
      </c>
      <c r="M4863">
        <v>1</v>
      </c>
      <c r="N4863">
        <v>2</v>
      </c>
      <c r="O4863">
        <v>36.639000000000003</v>
      </c>
      <c r="P4863">
        <v>17.354135190000001</v>
      </c>
      <c r="Q4863">
        <v>7.1289999999999996</v>
      </c>
    </row>
    <row r="4864" spans="1:17" x14ac:dyDescent="0.2">
      <c r="A4864" s="30" t="str">
        <f>IF(C4864&amp;G4864&amp;D4864&lt;&gt;'Funnel setup'!$K$3&amp;'Funnel setup'!$K$4&amp;'Funnel setup'!$K$5,".",IF(A4863=".",1,A4863+1))</f>
        <v>.</v>
      </c>
      <c r="B4864" s="431" t="str">
        <f t="shared" si="75"/>
        <v>Knee Replacement PrimaryProviderBMI - THE BEARDWOOD HOSPITAL (NT403)Oxford Knee Score</v>
      </c>
      <c r="C4864" t="s">
        <v>249</v>
      </c>
      <c r="D4864" t="s">
        <v>1</v>
      </c>
      <c r="E4864" t="s">
        <v>3582</v>
      </c>
      <c r="F4864" t="s">
        <v>3583</v>
      </c>
      <c r="G4864" t="s">
        <v>16</v>
      </c>
      <c r="H4864">
        <v>54</v>
      </c>
      <c r="I4864">
        <v>20.463000000000001</v>
      </c>
      <c r="J4864">
        <v>37.093000000000004</v>
      </c>
      <c r="K4864">
        <v>16.63</v>
      </c>
      <c r="L4864">
        <v>53</v>
      </c>
      <c r="M4864">
        <v>0</v>
      </c>
      <c r="N4864">
        <v>1</v>
      </c>
      <c r="O4864">
        <v>36.447000000000003</v>
      </c>
      <c r="P4864">
        <v>17.162086639999998</v>
      </c>
      <c r="Q4864">
        <v>7.27</v>
      </c>
    </row>
    <row r="4865" spans="1:17" x14ac:dyDescent="0.2">
      <c r="A4865" s="30" t="str">
        <f>IF(C4865&amp;G4865&amp;D4865&lt;&gt;'Funnel setup'!$K$3&amp;'Funnel setup'!$K$4&amp;'Funnel setup'!$K$5,".",IF(A4864=".",1,A4864+1))</f>
        <v>.</v>
      </c>
      <c r="B4865" s="431" t="str">
        <f t="shared" si="75"/>
        <v>Knee Replacement PrimaryProviderBMI - THE BEAUMONT HOSPITAL (NT404)Oxford Knee Score</v>
      </c>
      <c r="C4865" t="s">
        <v>249</v>
      </c>
      <c r="D4865" t="s">
        <v>1</v>
      </c>
      <c r="E4865" t="s">
        <v>3585</v>
      </c>
      <c r="F4865" t="s">
        <v>3586</v>
      </c>
      <c r="G4865" t="s">
        <v>16</v>
      </c>
      <c r="H4865">
        <v>39</v>
      </c>
      <c r="I4865">
        <v>19.922999999999998</v>
      </c>
      <c r="J4865">
        <v>36.487000000000002</v>
      </c>
      <c r="K4865">
        <v>16.564</v>
      </c>
      <c r="L4865">
        <v>35</v>
      </c>
      <c r="M4865">
        <v>0</v>
      </c>
      <c r="N4865">
        <v>4</v>
      </c>
      <c r="O4865">
        <v>35.988</v>
      </c>
      <c r="P4865">
        <v>16.702147950000001</v>
      </c>
      <c r="Q4865">
        <v>9.8520000000000003</v>
      </c>
    </row>
    <row r="4866" spans="1:17" x14ac:dyDescent="0.2">
      <c r="A4866" s="30" t="str">
        <f>IF(C4866&amp;G4866&amp;D4866&lt;&gt;'Funnel setup'!$K$3&amp;'Funnel setup'!$K$4&amp;'Funnel setup'!$K$5,".",IF(A4865=".",1,A4865+1))</f>
        <v>.</v>
      </c>
      <c r="B4866" s="431" t="str">
        <f t="shared" si="75"/>
        <v>Knee Replacement PrimaryProviderBMI - THE BLACKHEATH HOSPITAL (NT406)Oxford Knee Score</v>
      </c>
      <c r="C4866" t="s">
        <v>249</v>
      </c>
      <c r="D4866" t="s">
        <v>1</v>
      </c>
      <c r="E4866" t="s">
        <v>3588</v>
      </c>
      <c r="F4866" t="s">
        <v>3589</v>
      </c>
      <c r="G4866" t="s">
        <v>16</v>
      </c>
      <c r="H4866">
        <v>14</v>
      </c>
      <c r="I4866">
        <v>19.356999999999999</v>
      </c>
      <c r="J4866">
        <v>31.428999999999998</v>
      </c>
      <c r="K4866">
        <v>12.071</v>
      </c>
      <c r="L4866">
        <v>12</v>
      </c>
      <c r="M4866">
        <v>0</v>
      </c>
      <c r="N4866">
        <v>2</v>
      </c>
      <c r="O4866" t="s">
        <v>53</v>
      </c>
      <c r="P4866" t="s">
        <v>53</v>
      </c>
      <c r="Q4866" t="s">
        <v>53</v>
      </c>
    </row>
    <row r="4867" spans="1:17" x14ac:dyDescent="0.2">
      <c r="A4867" s="30" t="str">
        <f>IF(C4867&amp;G4867&amp;D4867&lt;&gt;'Funnel setup'!$K$3&amp;'Funnel setup'!$K$4&amp;'Funnel setup'!$K$5,".",IF(A4866=".",1,A4866+1))</f>
        <v>.</v>
      </c>
      <c r="B4867" s="431" t="str">
        <f t="shared" ref="B4867:B4930" si="76">C4867&amp;D4867&amp;F4867&amp;G4867</f>
        <v>Knee Replacement PrimaryProviderBMI - THE CHAUCER HOSPITAL (NT408)Oxford Knee Score</v>
      </c>
      <c r="C4867" t="s">
        <v>249</v>
      </c>
      <c r="D4867" t="s">
        <v>1</v>
      </c>
      <c r="E4867" t="s">
        <v>3591</v>
      </c>
      <c r="F4867" t="s">
        <v>3592</v>
      </c>
      <c r="G4867" t="s">
        <v>16</v>
      </c>
      <c r="H4867">
        <v>10</v>
      </c>
      <c r="I4867">
        <v>18.2</v>
      </c>
      <c r="J4867">
        <v>39</v>
      </c>
      <c r="K4867">
        <v>20.8</v>
      </c>
      <c r="L4867">
        <v>10</v>
      </c>
      <c r="M4867">
        <v>0</v>
      </c>
      <c r="N4867">
        <v>0</v>
      </c>
      <c r="O4867" t="s">
        <v>53</v>
      </c>
      <c r="P4867" t="s">
        <v>53</v>
      </c>
      <c r="Q4867" t="s">
        <v>53</v>
      </c>
    </row>
    <row r="4868" spans="1:17" x14ac:dyDescent="0.2">
      <c r="A4868" s="30" t="str">
        <f>IF(C4868&amp;G4868&amp;D4868&lt;&gt;'Funnel setup'!$K$3&amp;'Funnel setup'!$K$4&amp;'Funnel setup'!$K$5,".",IF(A4867=".",1,A4867+1))</f>
        <v>.</v>
      </c>
      <c r="B4868" s="431" t="str">
        <f t="shared" si="76"/>
        <v>Knee Replacement PrimaryProviderBMI - THE CHILTERN HOSPITAL (NT410)Oxford Knee Score</v>
      </c>
      <c r="C4868" t="s">
        <v>249</v>
      </c>
      <c r="D4868" t="s">
        <v>1</v>
      </c>
      <c r="E4868" t="s">
        <v>3594</v>
      </c>
      <c r="F4868" t="s">
        <v>3595</v>
      </c>
      <c r="G4868" t="s">
        <v>16</v>
      </c>
      <c r="H4868">
        <v>77</v>
      </c>
      <c r="I4868">
        <v>23.234000000000002</v>
      </c>
      <c r="J4868">
        <v>37.987000000000002</v>
      </c>
      <c r="K4868">
        <v>14.753</v>
      </c>
      <c r="L4868">
        <v>75</v>
      </c>
      <c r="M4868">
        <v>1</v>
      </c>
      <c r="N4868">
        <v>1</v>
      </c>
      <c r="O4868">
        <v>35.026000000000003</v>
      </c>
      <c r="P4868">
        <v>15.74036665</v>
      </c>
      <c r="Q4868">
        <v>7.3440000000000003</v>
      </c>
    </row>
    <row r="4869" spans="1:17" x14ac:dyDescent="0.2">
      <c r="A4869" s="30" t="str">
        <f>IF(C4869&amp;G4869&amp;D4869&lt;&gt;'Funnel setup'!$K$3&amp;'Funnel setup'!$K$4&amp;'Funnel setup'!$K$5,".",IF(A4868=".",1,A4868+1))</f>
        <v>.</v>
      </c>
      <c r="B4869" s="431" t="str">
        <f t="shared" si="76"/>
        <v>Knee Replacement PrimaryProviderBMI - THE CLEMENTINE CHURCHILL HOSPITAL (NT411)Oxford Knee Score</v>
      </c>
      <c r="C4869" t="s">
        <v>249</v>
      </c>
      <c r="D4869" t="s">
        <v>1</v>
      </c>
      <c r="E4869" t="s">
        <v>3597</v>
      </c>
      <c r="F4869" t="s">
        <v>3598</v>
      </c>
      <c r="G4869" t="s">
        <v>16</v>
      </c>
      <c r="H4869">
        <v>47</v>
      </c>
      <c r="I4869">
        <v>18.702000000000002</v>
      </c>
      <c r="J4869">
        <v>33.659999999999997</v>
      </c>
      <c r="K4869">
        <v>14.957000000000001</v>
      </c>
      <c r="L4869">
        <v>45</v>
      </c>
      <c r="M4869">
        <v>0</v>
      </c>
      <c r="N4869">
        <v>2</v>
      </c>
      <c r="O4869">
        <v>34.359000000000002</v>
      </c>
      <c r="P4869">
        <v>15.073231740000001</v>
      </c>
      <c r="Q4869">
        <v>8.0890000000000004</v>
      </c>
    </row>
    <row r="4870" spans="1:17" x14ac:dyDescent="0.2">
      <c r="A4870" s="30" t="str">
        <f>IF(C4870&amp;G4870&amp;D4870&lt;&gt;'Funnel setup'!$K$3&amp;'Funnel setup'!$K$4&amp;'Funnel setup'!$K$5,".",IF(A4869=".",1,A4869+1))</f>
        <v>.</v>
      </c>
      <c r="B4870" s="431" t="str">
        <f t="shared" si="76"/>
        <v>Knee Replacement PrimaryProviderBMI - THE DROITWICH SPA HOSPITAL (NT412)Oxford Knee Score</v>
      </c>
      <c r="C4870" t="s">
        <v>249</v>
      </c>
      <c r="D4870" t="s">
        <v>1</v>
      </c>
      <c r="E4870" t="s">
        <v>3600</v>
      </c>
      <c r="F4870" t="s">
        <v>3601</v>
      </c>
      <c r="G4870" t="s">
        <v>16</v>
      </c>
      <c r="H4870">
        <v>92</v>
      </c>
      <c r="I4870">
        <v>21.271999999999998</v>
      </c>
      <c r="J4870">
        <v>37.619999999999997</v>
      </c>
      <c r="K4870">
        <v>16.347999999999999</v>
      </c>
      <c r="L4870">
        <v>90</v>
      </c>
      <c r="M4870">
        <v>1</v>
      </c>
      <c r="N4870">
        <v>1</v>
      </c>
      <c r="O4870">
        <v>36.634</v>
      </c>
      <c r="P4870">
        <v>17.34842518</v>
      </c>
      <c r="Q4870">
        <v>7.5179999999999998</v>
      </c>
    </row>
    <row r="4871" spans="1:17" x14ac:dyDescent="0.2">
      <c r="A4871" s="30" t="str">
        <f>IF(C4871&amp;G4871&amp;D4871&lt;&gt;'Funnel setup'!$K$3&amp;'Funnel setup'!$K$4&amp;'Funnel setup'!$K$5,".",IF(A4870=".",1,A4870+1))</f>
        <v>.</v>
      </c>
      <c r="B4871" s="431" t="str">
        <f t="shared" si="76"/>
        <v>Knee Replacement PrimaryProviderBMI - THE ESPERANCE HOSPITAL (NT413)Oxford Knee Score</v>
      </c>
      <c r="C4871" t="s">
        <v>249</v>
      </c>
      <c r="D4871" t="s">
        <v>1</v>
      </c>
      <c r="E4871" t="s">
        <v>3603</v>
      </c>
      <c r="F4871" t="s">
        <v>3604</v>
      </c>
      <c r="G4871" t="s">
        <v>16</v>
      </c>
      <c r="H4871">
        <v>6</v>
      </c>
      <c r="I4871">
        <v>24.5</v>
      </c>
      <c r="J4871">
        <v>39.832999999999998</v>
      </c>
      <c r="K4871">
        <v>15.333</v>
      </c>
      <c r="L4871">
        <v>6</v>
      </c>
      <c r="M4871">
        <v>0</v>
      </c>
      <c r="N4871">
        <v>0</v>
      </c>
      <c r="O4871" t="s">
        <v>53</v>
      </c>
      <c r="P4871" t="s">
        <v>53</v>
      </c>
      <c r="Q4871" t="s">
        <v>53</v>
      </c>
    </row>
    <row r="4872" spans="1:17" x14ac:dyDescent="0.2">
      <c r="A4872" s="30" t="str">
        <f>IF(C4872&amp;G4872&amp;D4872&lt;&gt;'Funnel setup'!$K$3&amp;'Funnel setup'!$K$4&amp;'Funnel setup'!$K$5,".",IF(A4871=".",1,A4871+1))</f>
        <v>.</v>
      </c>
      <c r="B4872" s="431" t="str">
        <f t="shared" si="76"/>
        <v>Knee Replacement PrimaryProviderBMI - THE HAMPSHIRE CLINIC (NT418)Oxford Knee Score</v>
      </c>
      <c r="C4872" t="s">
        <v>249</v>
      </c>
      <c r="D4872" t="s">
        <v>1</v>
      </c>
      <c r="E4872" t="s">
        <v>3609</v>
      </c>
      <c r="F4872" t="s">
        <v>3610</v>
      </c>
      <c r="G4872" t="s">
        <v>16</v>
      </c>
      <c r="H4872">
        <v>22</v>
      </c>
      <c r="I4872">
        <v>23.635999999999999</v>
      </c>
      <c r="J4872">
        <v>36.863999999999997</v>
      </c>
      <c r="K4872">
        <v>13.227</v>
      </c>
      <c r="L4872">
        <v>20</v>
      </c>
      <c r="M4872">
        <v>0</v>
      </c>
      <c r="N4872">
        <v>2</v>
      </c>
      <c r="O4872" t="s">
        <v>53</v>
      </c>
      <c r="P4872" t="s">
        <v>53</v>
      </c>
      <c r="Q4872" t="s">
        <v>53</v>
      </c>
    </row>
    <row r="4873" spans="1:17" x14ac:dyDescent="0.2">
      <c r="A4873" s="30" t="str">
        <f>IF(C4873&amp;G4873&amp;D4873&lt;&gt;'Funnel setup'!$K$3&amp;'Funnel setup'!$K$4&amp;'Funnel setup'!$K$5,".",IF(A4872=".",1,A4872+1))</f>
        <v>.</v>
      </c>
      <c r="B4873" s="431" t="str">
        <f t="shared" si="76"/>
        <v>Knee Replacement PrimaryProviderBMI - THE HARBOUR HOSPITAL (NT419)Oxford Knee Score</v>
      </c>
      <c r="C4873" t="s">
        <v>249</v>
      </c>
      <c r="D4873" t="s">
        <v>1</v>
      </c>
      <c r="E4873" t="s">
        <v>3612</v>
      </c>
      <c r="F4873" t="s">
        <v>3613</v>
      </c>
      <c r="G4873" t="s">
        <v>16</v>
      </c>
      <c r="H4873">
        <v>18</v>
      </c>
      <c r="I4873">
        <v>20.388999999999999</v>
      </c>
      <c r="J4873">
        <v>34.667000000000002</v>
      </c>
      <c r="K4873">
        <v>14.278</v>
      </c>
      <c r="L4873">
        <v>18</v>
      </c>
      <c r="M4873">
        <v>0</v>
      </c>
      <c r="N4873">
        <v>0</v>
      </c>
      <c r="O4873" t="s">
        <v>53</v>
      </c>
      <c r="P4873" t="s">
        <v>53</v>
      </c>
      <c r="Q4873" t="s">
        <v>53</v>
      </c>
    </row>
    <row r="4874" spans="1:17" x14ac:dyDescent="0.2">
      <c r="A4874" s="30" t="str">
        <f>IF(C4874&amp;G4874&amp;D4874&lt;&gt;'Funnel setup'!$K$3&amp;'Funnel setup'!$K$4&amp;'Funnel setup'!$K$5,".",IF(A4873=".",1,A4873+1))</f>
        <v>.</v>
      </c>
      <c r="B4874" s="431" t="str">
        <f t="shared" si="76"/>
        <v>Knee Replacement PrimaryProviderBMI - THE HIGHFIELD HOSPITAL (NT420)Oxford Knee Score</v>
      </c>
      <c r="C4874" t="s">
        <v>249</v>
      </c>
      <c r="D4874" t="s">
        <v>1</v>
      </c>
      <c r="E4874" t="s">
        <v>3615</v>
      </c>
      <c r="F4874" t="s">
        <v>3616</v>
      </c>
      <c r="G4874" t="s">
        <v>16</v>
      </c>
      <c r="H4874">
        <v>143</v>
      </c>
      <c r="I4874">
        <v>18.754999999999999</v>
      </c>
      <c r="J4874">
        <v>35.014000000000003</v>
      </c>
      <c r="K4874">
        <v>16.259</v>
      </c>
      <c r="L4874">
        <v>132</v>
      </c>
      <c r="M4874">
        <v>1</v>
      </c>
      <c r="N4874">
        <v>10</v>
      </c>
      <c r="O4874">
        <v>35.195</v>
      </c>
      <c r="P4874">
        <v>15.90989841</v>
      </c>
      <c r="Q4874">
        <v>9.6270000000000007</v>
      </c>
    </row>
    <row r="4875" spans="1:17" x14ac:dyDescent="0.2">
      <c r="A4875" s="30" t="str">
        <f>IF(C4875&amp;G4875&amp;D4875&lt;&gt;'Funnel setup'!$K$3&amp;'Funnel setup'!$K$4&amp;'Funnel setup'!$K$5,".",IF(A4874=".",1,A4874+1))</f>
        <v>.</v>
      </c>
      <c r="B4875" s="431" t="str">
        <f t="shared" si="76"/>
        <v>Knee Replacement PrimaryProviderBMI - THE KINGS OAK HOSPITAL (NT421)Oxford Knee Score</v>
      </c>
      <c r="C4875" t="s">
        <v>249</v>
      </c>
      <c r="D4875" t="s">
        <v>1</v>
      </c>
      <c r="E4875" t="s">
        <v>3618</v>
      </c>
      <c r="F4875" t="s">
        <v>3619</v>
      </c>
      <c r="G4875" t="s">
        <v>16</v>
      </c>
      <c r="H4875">
        <v>23</v>
      </c>
      <c r="I4875">
        <v>18.609000000000002</v>
      </c>
      <c r="J4875">
        <v>35.738999999999997</v>
      </c>
      <c r="K4875">
        <v>17.13</v>
      </c>
      <c r="L4875">
        <v>22</v>
      </c>
      <c r="M4875">
        <v>0</v>
      </c>
      <c r="N4875">
        <v>1</v>
      </c>
      <c r="O4875" t="s">
        <v>53</v>
      </c>
      <c r="P4875" t="s">
        <v>53</v>
      </c>
      <c r="Q4875" t="s">
        <v>53</v>
      </c>
    </row>
    <row r="4876" spans="1:17" x14ac:dyDescent="0.2">
      <c r="A4876" s="30" t="str">
        <f>IF(C4876&amp;G4876&amp;D4876&lt;&gt;'Funnel setup'!$K$3&amp;'Funnel setup'!$K$4&amp;'Funnel setup'!$K$5,".",IF(A4875=".",1,A4875+1))</f>
        <v>.</v>
      </c>
      <c r="B4876" s="431" t="str">
        <f t="shared" si="76"/>
        <v>Knee Replacement PrimaryProviderBMI - THE LONDON INDEPENDENT HOSPITAL (NT422)Oxford Knee Score</v>
      </c>
      <c r="C4876" t="s">
        <v>249</v>
      </c>
      <c r="D4876" t="s">
        <v>1</v>
      </c>
      <c r="E4876" t="s">
        <v>3621</v>
      </c>
      <c r="F4876" t="s">
        <v>3622</v>
      </c>
      <c r="G4876" t="s">
        <v>16</v>
      </c>
      <c r="H4876">
        <v>11</v>
      </c>
      <c r="I4876">
        <v>15.090999999999999</v>
      </c>
      <c r="J4876">
        <v>31.273</v>
      </c>
      <c r="K4876">
        <v>16.181999999999999</v>
      </c>
      <c r="L4876">
        <v>11</v>
      </c>
      <c r="M4876">
        <v>0</v>
      </c>
      <c r="N4876">
        <v>0</v>
      </c>
      <c r="O4876" t="s">
        <v>53</v>
      </c>
      <c r="P4876" t="s">
        <v>53</v>
      </c>
      <c r="Q4876" t="s">
        <v>53</v>
      </c>
    </row>
    <row r="4877" spans="1:17" x14ac:dyDescent="0.2">
      <c r="A4877" s="30" t="str">
        <f>IF(C4877&amp;G4877&amp;D4877&lt;&gt;'Funnel setup'!$K$3&amp;'Funnel setup'!$K$4&amp;'Funnel setup'!$K$5,".",IF(A4876=".",1,A4876+1))</f>
        <v>.</v>
      </c>
      <c r="B4877" s="431" t="str">
        <f t="shared" si="76"/>
        <v>Knee Replacement PrimaryProviderBMI - THE MANOR HOSPITAL (NT423)Oxford Knee Score</v>
      </c>
      <c r="C4877" t="s">
        <v>249</v>
      </c>
      <c r="D4877" t="s">
        <v>1</v>
      </c>
      <c r="E4877" t="s">
        <v>3624</v>
      </c>
      <c r="F4877" t="s">
        <v>3625</v>
      </c>
      <c r="G4877" t="s">
        <v>16</v>
      </c>
      <c r="H4877">
        <v>22</v>
      </c>
      <c r="I4877">
        <v>21.364000000000001</v>
      </c>
      <c r="J4877">
        <v>40.226999999999997</v>
      </c>
      <c r="K4877">
        <v>18.864000000000001</v>
      </c>
      <c r="L4877">
        <v>21</v>
      </c>
      <c r="M4877">
        <v>0</v>
      </c>
      <c r="N4877">
        <v>1</v>
      </c>
      <c r="O4877" t="s">
        <v>53</v>
      </c>
      <c r="P4877" t="s">
        <v>53</v>
      </c>
      <c r="Q4877" t="s">
        <v>53</v>
      </c>
    </row>
    <row r="4878" spans="1:17" x14ac:dyDescent="0.2">
      <c r="A4878" s="30" t="str">
        <f>IF(C4878&amp;G4878&amp;D4878&lt;&gt;'Funnel setup'!$K$3&amp;'Funnel setup'!$K$4&amp;'Funnel setup'!$K$5,".",IF(A4877=".",1,A4877+1))</f>
        <v>.</v>
      </c>
      <c r="B4878" s="431" t="str">
        <f t="shared" si="76"/>
        <v>Knee Replacement PrimaryProviderBMI - THE MERIDEN HOSPITAL (NT424)Oxford Knee Score</v>
      </c>
      <c r="C4878" t="s">
        <v>249</v>
      </c>
      <c r="D4878" t="s">
        <v>1</v>
      </c>
      <c r="E4878" t="s">
        <v>3283</v>
      </c>
      <c r="F4878" t="s">
        <v>3284</v>
      </c>
      <c r="G4878" t="s">
        <v>16</v>
      </c>
      <c r="H4878">
        <v>83</v>
      </c>
      <c r="I4878">
        <v>22.036000000000001</v>
      </c>
      <c r="J4878">
        <v>35.892000000000003</v>
      </c>
      <c r="K4878">
        <v>13.855</v>
      </c>
      <c r="L4878">
        <v>76</v>
      </c>
      <c r="M4878">
        <v>0</v>
      </c>
      <c r="N4878">
        <v>7</v>
      </c>
      <c r="O4878">
        <v>34.39</v>
      </c>
      <c r="P4878">
        <v>15.104238329999999</v>
      </c>
      <c r="Q4878">
        <v>8.4369999999999994</v>
      </c>
    </row>
    <row r="4879" spans="1:17" x14ac:dyDescent="0.2">
      <c r="A4879" s="30" t="str">
        <f>IF(C4879&amp;G4879&amp;D4879&lt;&gt;'Funnel setup'!$K$3&amp;'Funnel setup'!$K$4&amp;'Funnel setup'!$K$5,".",IF(A4878=".",1,A4878+1))</f>
        <v>.</v>
      </c>
      <c r="B4879" s="431" t="str">
        <f t="shared" si="76"/>
        <v>Knee Replacement PrimaryProviderBMI - THE PARK HOSPITAL (NT427)Oxford Knee Score</v>
      </c>
      <c r="C4879" t="s">
        <v>249</v>
      </c>
      <c r="D4879" t="s">
        <v>1</v>
      </c>
      <c r="E4879" t="s">
        <v>3286</v>
      </c>
      <c r="F4879" t="s">
        <v>3287</v>
      </c>
      <c r="G4879" t="s">
        <v>16</v>
      </c>
      <c r="H4879">
        <v>37</v>
      </c>
      <c r="I4879">
        <v>20.108000000000001</v>
      </c>
      <c r="J4879">
        <v>38.972999999999999</v>
      </c>
      <c r="K4879">
        <v>18.864999999999998</v>
      </c>
      <c r="L4879">
        <v>36</v>
      </c>
      <c r="M4879">
        <v>0</v>
      </c>
      <c r="N4879">
        <v>1</v>
      </c>
      <c r="O4879">
        <v>38.308</v>
      </c>
      <c r="P4879">
        <v>19.02257723</v>
      </c>
      <c r="Q4879">
        <v>8.4239999999999995</v>
      </c>
    </row>
    <row r="4880" spans="1:17" x14ac:dyDescent="0.2">
      <c r="A4880" s="30" t="str">
        <f>IF(C4880&amp;G4880&amp;D4880&lt;&gt;'Funnel setup'!$K$3&amp;'Funnel setup'!$K$4&amp;'Funnel setup'!$K$5,".",IF(A4879=".",1,A4879+1))</f>
        <v>.</v>
      </c>
      <c r="B4880" s="431" t="str">
        <f t="shared" si="76"/>
        <v>Knee Replacement PrimaryProviderBMI - THE PRINCESS MARGARET HOSPITAL (NT428)Oxford Knee Score</v>
      </c>
      <c r="C4880" t="s">
        <v>249</v>
      </c>
      <c r="D4880" t="s">
        <v>1</v>
      </c>
      <c r="E4880" t="s">
        <v>3289</v>
      </c>
      <c r="F4880" t="s">
        <v>3290</v>
      </c>
      <c r="G4880" t="s">
        <v>16</v>
      </c>
      <c r="H4880">
        <v>17</v>
      </c>
      <c r="I4880">
        <v>19.765000000000001</v>
      </c>
      <c r="J4880">
        <v>37.176000000000002</v>
      </c>
      <c r="K4880">
        <v>17.411999999999999</v>
      </c>
      <c r="L4880">
        <v>17</v>
      </c>
      <c r="M4880">
        <v>0</v>
      </c>
      <c r="N4880">
        <v>0</v>
      </c>
      <c r="O4880" t="s">
        <v>53</v>
      </c>
      <c r="P4880" t="s">
        <v>53</v>
      </c>
      <c r="Q4880" t="s">
        <v>53</v>
      </c>
    </row>
    <row r="4881" spans="1:17" x14ac:dyDescent="0.2">
      <c r="A4881" s="30" t="str">
        <f>IF(C4881&amp;G4881&amp;D4881&lt;&gt;'Funnel setup'!$K$3&amp;'Funnel setup'!$K$4&amp;'Funnel setup'!$K$5,".",IF(A4880=".",1,A4880+1))</f>
        <v>.</v>
      </c>
      <c r="B4881" s="431" t="str">
        <f t="shared" si="76"/>
        <v>Knee Replacement PrimaryProviderBMI - THE PRIORY HOSPITAL (NT429)Oxford Knee Score</v>
      </c>
      <c r="C4881" t="s">
        <v>249</v>
      </c>
      <c r="D4881" t="s">
        <v>1</v>
      </c>
      <c r="E4881" t="s">
        <v>4776</v>
      </c>
      <c r="F4881" t="s">
        <v>4777</v>
      </c>
      <c r="G4881" t="s">
        <v>16</v>
      </c>
      <c r="H4881">
        <v>7</v>
      </c>
      <c r="I4881">
        <v>20.856999999999999</v>
      </c>
      <c r="J4881">
        <v>37.286000000000001</v>
      </c>
      <c r="K4881">
        <v>16.428999999999998</v>
      </c>
      <c r="L4881">
        <v>7</v>
      </c>
      <c r="M4881">
        <v>0</v>
      </c>
      <c r="N4881">
        <v>0</v>
      </c>
      <c r="O4881" t="s">
        <v>53</v>
      </c>
      <c r="P4881" t="s">
        <v>53</v>
      </c>
      <c r="Q4881" t="s">
        <v>53</v>
      </c>
    </row>
    <row r="4882" spans="1:17" x14ac:dyDescent="0.2">
      <c r="A4882" s="30" t="str">
        <f>IF(C4882&amp;G4882&amp;D4882&lt;&gt;'Funnel setup'!$K$3&amp;'Funnel setup'!$K$4&amp;'Funnel setup'!$K$5,".",IF(A4881=".",1,A4881+1))</f>
        <v>.</v>
      </c>
      <c r="B4882" s="431" t="str">
        <f t="shared" si="76"/>
        <v>Knee Replacement PrimaryProviderBMI - THE RIDGEWAY HOSPITAL (NT430)Oxford Knee Score</v>
      </c>
      <c r="C4882" t="s">
        <v>249</v>
      </c>
      <c r="D4882" t="s">
        <v>1</v>
      </c>
      <c r="E4882" t="s">
        <v>3292</v>
      </c>
      <c r="F4882" t="s">
        <v>3293</v>
      </c>
      <c r="G4882" t="s">
        <v>16</v>
      </c>
      <c r="H4882">
        <v>41</v>
      </c>
      <c r="I4882">
        <v>22.829000000000001</v>
      </c>
      <c r="J4882">
        <v>39.341000000000001</v>
      </c>
      <c r="K4882">
        <v>16.512</v>
      </c>
      <c r="L4882">
        <v>40</v>
      </c>
      <c r="M4882">
        <v>0</v>
      </c>
      <c r="N4882">
        <v>1</v>
      </c>
      <c r="O4882">
        <v>36.506999999999998</v>
      </c>
      <c r="P4882">
        <v>17.221188959999999</v>
      </c>
      <c r="Q4882">
        <v>6.9939999999999998</v>
      </c>
    </row>
    <row r="4883" spans="1:17" x14ac:dyDescent="0.2">
      <c r="A4883" s="30" t="str">
        <f>IF(C4883&amp;G4883&amp;D4883&lt;&gt;'Funnel setup'!$K$3&amp;'Funnel setup'!$K$4&amp;'Funnel setup'!$K$5,".",IF(A4882=".",1,A4882+1))</f>
        <v>.</v>
      </c>
      <c r="B4883" s="431" t="str">
        <f t="shared" si="76"/>
        <v>Knee Replacement PrimaryProviderBMI - THE RUNNYMEDE HOSPITAL (NT431)Oxford Knee Score</v>
      </c>
      <c r="C4883" t="s">
        <v>249</v>
      </c>
      <c r="D4883" t="s">
        <v>1</v>
      </c>
      <c r="E4883" t="s">
        <v>3295</v>
      </c>
      <c r="F4883" t="s">
        <v>3296</v>
      </c>
      <c r="G4883" t="s">
        <v>16</v>
      </c>
      <c r="H4883">
        <v>32</v>
      </c>
      <c r="I4883">
        <v>22.5</v>
      </c>
      <c r="J4883">
        <v>35.905999999999999</v>
      </c>
      <c r="K4883">
        <v>13.406000000000001</v>
      </c>
      <c r="L4883">
        <v>29</v>
      </c>
      <c r="M4883">
        <v>0</v>
      </c>
      <c r="N4883">
        <v>3</v>
      </c>
      <c r="O4883">
        <v>33.707000000000001</v>
      </c>
      <c r="P4883">
        <v>14.421265699999999</v>
      </c>
      <c r="Q4883">
        <v>7.585</v>
      </c>
    </row>
    <row r="4884" spans="1:17" x14ac:dyDescent="0.2">
      <c r="A4884" s="30" t="str">
        <f>IF(C4884&amp;G4884&amp;D4884&lt;&gt;'Funnel setup'!$K$3&amp;'Funnel setup'!$K$4&amp;'Funnel setup'!$K$5,".",IF(A4883=".",1,A4883+1))</f>
        <v>.</v>
      </c>
      <c r="B4884" s="431" t="str">
        <f t="shared" si="76"/>
        <v>Knee Replacement PrimaryProviderBMI - THE SANDRINGHAM HOSPITAL (NT432)Oxford Knee Score</v>
      </c>
      <c r="C4884" t="s">
        <v>249</v>
      </c>
      <c r="D4884" t="s">
        <v>1</v>
      </c>
      <c r="E4884" t="s">
        <v>3298</v>
      </c>
      <c r="F4884" t="s">
        <v>3299</v>
      </c>
      <c r="G4884" t="s">
        <v>16</v>
      </c>
      <c r="H4884">
        <v>100</v>
      </c>
      <c r="I4884">
        <v>20.81</v>
      </c>
      <c r="J4884">
        <v>35.56</v>
      </c>
      <c r="K4884">
        <v>14.75</v>
      </c>
      <c r="L4884">
        <v>91</v>
      </c>
      <c r="M4884">
        <v>1</v>
      </c>
      <c r="N4884">
        <v>8</v>
      </c>
      <c r="O4884">
        <v>34.439</v>
      </c>
      <c r="P4884">
        <v>15.153382430000001</v>
      </c>
      <c r="Q4884">
        <v>10.122999999999999</v>
      </c>
    </row>
    <row r="4885" spans="1:17" x14ac:dyDescent="0.2">
      <c r="A4885" s="30" t="str">
        <f>IF(C4885&amp;G4885&amp;D4885&lt;&gt;'Funnel setup'!$K$3&amp;'Funnel setup'!$K$4&amp;'Funnel setup'!$K$5,".",IF(A4884=".",1,A4884+1))</f>
        <v>.</v>
      </c>
      <c r="B4885" s="431" t="str">
        <f t="shared" si="76"/>
        <v>Knee Replacement PrimaryProviderBMI - THE SAXON CLINIC (NT434)Oxford Knee Score</v>
      </c>
      <c r="C4885" t="s">
        <v>249</v>
      </c>
      <c r="D4885" t="s">
        <v>1</v>
      </c>
      <c r="E4885" t="s">
        <v>3301</v>
      </c>
      <c r="F4885" t="s">
        <v>3302</v>
      </c>
      <c r="G4885" t="s">
        <v>16</v>
      </c>
      <c r="H4885">
        <v>35</v>
      </c>
      <c r="I4885">
        <v>20.399999999999999</v>
      </c>
      <c r="J4885">
        <v>37.228999999999999</v>
      </c>
      <c r="K4885">
        <v>16.829000000000001</v>
      </c>
      <c r="L4885">
        <v>33</v>
      </c>
      <c r="M4885">
        <v>1</v>
      </c>
      <c r="N4885">
        <v>1</v>
      </c>
      <c r="O4885">
        <v>35.566000000000003</v>
      </c>
      <c r="P4885">
        <v>16.280576610000001</v>
      </c>
      <c r="Q4885">
        <v>7.7009999999999996</v>
      </c>
    </row>
    <row r="4886" spans="1:17" x14ac:dyDescent="0.2">
      <c r="A4886" s="30" t="str">
        <f>IF(C4886&amp;G4886&amp;D4886&lt;&gt;'Funnel setup'!$K$3&amp;'Funnel setup'!$K$4&amp;'Funnel setup'!$K$5,".",IF(A4885=".",1,A4885+1))</f>
        <v>.</v>
      </c>
      <c r="B4886" s="431" t="str">
        <f t="shared" si="76"/>
        <v>Knee Replacement PrimaryProviderBMI - THE SHELBURNE HOSPITAL (NT435)Oxford Knee Score</v>
      </c>
      <c r="C4886" t="s">
        <v>249</v>
      </c>
      <c r="D4886" t="s">
        <v>1</v>
      </c>
      <c r="E4886" t="s">
        <v>4318</v>
      </c>
      <c r="F4886" t="s">
        <v>4319</v>
      </c>
      <c r="G4886" t="s">
        <v>16</v>
      </c>
      <c r="H4886">
        <v>21</v>
      </c>
      <c r="I4886">
        <v>21.762</v>
      </c>
      <c r="J4886">
        <v>40.429000000000002</v>
      </c>
      <c r="K4886">
        <v>18.667000000000002</v>
      </c>
      <c r="L4886">
        <v>21</v>
      </c>
      <c r="M4886">
        <v>0</v>
      </c>
      <c r="N4886">
        <v>0</v>
      </c>
      <c r="O4886" t="s">
        <v>53</v>
      </c>
      <c r="P4886" t="s">
        <v>53</v>
      </c>
      <c r="Q4886" t="s">
        <v>53</v>
      </c>
    </row>
    <row r="4887" spans="1:17" x14ac:dyDescent="0.2">
      <c r="A4887" s="30" t="str">
        <f>IF(C4887&amp;G4887&amp;D4887&lt;&gt;'Funnel setup'!$K$3&amp;'Funnel setup'!$K$4&amp;'Funnel setup'!$K$5,".",IF(A4886=".",1,A4886+1))</f>
        <v>.</v>
      </c>
      <c r="B4887" s="431" t="str">
        <f t="shared" si="76"/>
        <v>Knee Replacement PrimaryProviderBMI - THE SLOANE HOSPITAL (NT437)Oxford Knee Score</v>
      </c>
      <c r="C4887" t="s">
        <v>249</v>
      </c>
      <c r="D4887" t="s">
        <v>1</v>
      </c>
      <c r="E4887" t="s">
        <v>4327</v>
      </c>
      <c r="F4887" t="s">
        <v>4328</v>
      </c>
      <c r="G4887" t="s">
        <v>16</v>
      </c>
      <c r="H4887">
        <v>10</v>
      </c>
      <c r="I4887">
        <v>24.4</v>
      </c>
      <c r="J4887">
        <v>39.4</v>
      </c>
      <c r="K4887">
        <v>15</v>
      </c>
      <c r="L4887">
        <v>8</v>
      </c>
      <c r="M4887">
        <v>0</v>
      </c>
      <c r="N4887">
        <v>2</v>
      </c>
      <c r="O4887" t="s">
        <v>53</v>
      </c>
      <c r="P4887" t="s">
        <v>53</v>
      </c>
      <c r="Q4887" t="s">
        <v>53</v>
      </c>
    </row>
    <row r="4888" spans="1:17" x14ac:dyDescent="0.2">
      <c r="A4888" s="30" t="str">
        <f>IF(C4888&amp;G4888&amp;D4888&lt;&gt;'Funnel setup'!$K$3&amp;'Funnel setup'!$K$4&amp;'Funnel setup'!$K$5,".",IF(A4887=".",1,A4887+1))</f>
        <v>.</v>
      </c>
      <c r="B4888" s="431" t="str">
        <f t="shared" si="76"/>
        <v>Knee Replacement PrimaryProviderBMI - THE SOMERFIELD HOSPITAL (NT438)Oxford Knee Score</v>
      </c>
      <c r="C4888" t="s">
        <v>249</v>
      </c>
      <c r="D4888" t="s">
        <v>1</v>
      </c>
      <c r="E4888" t="s">
        <v>3304</v>
      </c>
      <c r="F4888" t="s">
        <v>3305</v>
      </c>
      <c r="G4888" t="s">
        <v>16</v>
      </c>
      <c r="H4888">
        <v>30</v>
      </c>
      <c r="I4888">
        <v>20.332999999999998</v>
      </c>
      <c r="J4888">
        <v>40.433</v>
      </c>
      <c r="K4888">
        <v>20.100000000000001</v>
      </c>
      <c r="L4888">
        <v>30</v>
      </c>
      <c r="M4888">
        <v>0</v>
      </c>
      <c r="N4888">
        <v>0</v>
      </c>
      <c r="O4888">
        <v>39.246000000000002</v>
      </c>
      <c r="P4888">
        <v>19.96038124</v>
      </c>
      <c r="Q4888">
        <v>7.7590000000000003</v>
      </c>
    </row>
    <row r="4889" spans="1:17" x14ac:dyDescent="0.2">
      <c r="A4889" s="30" t="str">
        <f>IF(C4889&amp;G4889&amp;D4889&lt;&gt;'Funnel setup'!$K$3&amp;'Funnel setup'!$K$4&amp;'Funnel setup'!$K$5,".",IF(A4888=".",1,A4888+1))</f>
        <v>.</v>
      </c>
      <c r="B4889" s="431" t="str">
        <f t="shared" si="76"/>
        <v>Knee Replacement PrimaryProviderBMI - THE SOUTH CHESHIRE PRIVATE HOSPITAL (NT439)Oxford Knee Score</v>
      </c>
      <c r="C4889" t="s">
        <v>249</v>
      </c>
      <c r="D4889" t="s">
        <v>1</v>
      </c>
      <c r="E4889" t="s">
        <v>3307</v>
      </c>
      <c r="F4889" t="s">
        <v>3308</v>
      </c>
      <c r="G4889" t="s">
        <v>16</v>
      </c>
      <c r="H4889">
        <v>31</v>
      </c>
      <c r="I4889">
        <v>19.193999999999999</v>
      </c>
      <c r="J4889">
        <v>37.128999999999998</v>
      </c>
      <c r="K4889">
        <v>17.934999999999999</v>
      </c>
      <c r="L4889">
        <v>29</v>
      </c>
      <c r="M4889">
        <v>0</v>
      </c>
      <c r="N4889">
        <v>2</v>
      </c>
      <c r="O4889">
        <v>36.408999999999999</v>
      </c>
      <c r="P4889">
        <v>17.123236810000002</v>
      </c>
      <c r="Q4889">
        <v>7.3979999999999997</v>
      </c>
    </row>
    <row r="4890" spans="1:17" x14ac:dyDescent="0.2">
      <c r="A4890" s="30" t="str">
        <f>IF(C4890&amp;G4890&amp;D4890&lt;&gt;'Funnel setup'!$K$3&amp;'Funnel setup'!$K$4&amp;'Funnel setup'!$K$5,".",IF(A4889=".",1,A4889+1))</f>
        <v>.</v>
      </c>
      <c r="B4890" s="431" t="str">
        <f t="shared" si="76"/>
        <v>Knee Replacement PrimaryProviderBMI - THE WINTERBOURNE HOSPITAL (NT443)Oxford Knee Score</v>
      </c>
      <c r="C4890" t="s">
        <v>249</v>
      </c>
      <c r="D4890" t="s">
        <v>1</v>
      </c>
      <c r="E4890" t="s">
        <v>3310</v>
      </c>
      <c r="F4890" t="s">
        <v>3311</v>
      </c>
      <c r="G4890" t="s">
        <v>16</v>
      </c>
      <c r="H4890">
        <v>61</v>
      </c>
      <c r="I4890">
        <v>21.754000000000001</v>
      </c>
      <c r="J4890">
        <v>37.966999999999999</v>
      </c>
      <c r="K4890">
        <v>16.213000000000001</v>
      </c>
      <c r="L4890">
        <v>60</v>
      </c>
      <c r="M4890">
        <v>1</v>
      </c>
      <c r="N4890">
        <v>0</v>
      </c>
      <c r="O4890">
        <v>36.302999999999997</v>
      </c>
      <c r="P4890">
        <v>17.017444609999998</v>
      </c>
      <c r="Q4890">
        <v>5.806</v>
      </c>
    </row>
    <row r="4891" spans="1:17" x14ac:dyDescent="0.2">
      <c r="A4891" s="30" t="str">
        <f>IF(C4891&amp;G4891&amp;D4891&lt;&gt;'Funnel setup'!$K$3&amp;'Funnel setup'!$K$4&amp;'Funnel setup'!$K$5,".",IF(A4890=".",1,A4890+1))</f>
        <v>.</v>
      </c>
      <c r="B4891" s="431" t="str">
        <f t="shared" si="76"/>
        <v>Knee Replacement PrimaryProviderBMI - THORNBURY HOSPITAL (NT440)Oxford Knee Score</v>
      </c>
      <c r="C4891" t="s">
        <v>249</v>
      </c>
      <c r="D4891" t="s">
        <v>1</v>
      </c>
      <c r="E4891" t="s">
        <v>3313</v>
      </c>
      <c r="F4891" t="s">
        <v>3314</v>
      </c>
      <c r="G4891" t="s">
        <v>16</v>
      </c>
      <c r="H4891">
        <v>43</v>
      </c>
      <c r="I4891">
        <v>19.186</v>
      </c>
      <c r="J4891">
        <v>39.302</v>
      </c>
      <c r="K4891">
        <v>20.116</v>
      </c>
      <c r="L4891">
        <v>42</v>
      </c>
      <c r="M4891">
        <v>1</v>
      </c>
      <c r="N4891">
        <v>0</v>
      </c>
      <c r="O4891">
        <v>38.097999999999999</v>
      </c>
      <c r="P4891">
        <v>18.812210100000001</v>
      </c>
      <c r="Q4891">
        <v>6.101</v>
      </c>
    </row>
    <row r="4892" spans="1:17" x14ac:dyDescent="0.2">
      <c r="A4892" s="30" t="str">
        <f>IF(C4892&amp;G4892&amp;D4892&lt;&gt;'Funnel setup'!$K$3&amp;'Funnel setup'!$K$4&amp;'Funnel setup'!$K$5,".",IF(A4891=".",1,A4891+1))</f>
        <v>.</v>
      </c>
      <c r="B4892" s="431" t="str">
        <f t="shared" si="76"/>
        <v>Knee Replacement PrimaryProviderBMI - THREE SHIRES HOSPITAL (NT441)Oxford Knee Score</v>
      </c>
      <c r="C4892" t="s">
        <v>249</v>
      </c>
      <c r="D4892" t="s">
        <v>1</v>
      </c>
      <c r="E4892" t="s">
        <v>3316</v>
      </c>
      <c r="F4892" t="s">
        <v>3317</v>
      </c>
      <c r="G4892" t="s">
        <v>16</v>
      </c>
      <c r="H4892">
        <v>48</v>
      </c>
      <c r="I4892">
        <v>17.542000000000002</v>
      </c>
      <c r="J4892">
        <v>34.853999999999999</v>
      </c>
      <c r="K4892">
        <v>17.312999999999999</v>
      </c>
      <c r="L4892">
        <v>45</v>
      </c>
      <c r="M4892">
        <v>0</v>
      </c>
      <c r="N4892">
        <v>3</v>
      </c>
      <c r="O4892">
        <v>34.994</v>
      </c>
      <c r="P4892">
        <v>15.708394439999999</v>
      </c>
      <c r="Q4892">
        <v>9.5190000000000001</v>
      </c>
    </row>
    <row r="4893" spans="1:17" x14ac:dyDescent="0.2">
      <c r="A4893" s="30" t="str">
        <f>IF(C4893&amp;G4893&amp;D4893&lt;&gt;'Funnel setup'!$K$3&amp;'Funnel setup'!$K$4&amp;'Funnel setup'!$K$5,".",IF(A4892=".",1,A4892+1))</f>
        <v>.</v>
      </c>
      <c r="B4893" s="431" t="str">
        <f t="shared" si="76"/>
        <v>Knee Replacement PrimaryProviderBMI GISBURNE PARK HOSPITAL (NT497)Oxford Knee Score</v>
      </c>
      <c r="C4893" t="s">
        <v>249</v>
      </c>
      <c r="D4893" t="s">
        <v>1</v>
      </c>
      <c r="E4893" t="s">
        <v>3319</v>
      </c>
      <c r="F4893" t="s">
        <v>3320</v>
      </c>
      <c r="G4893" t="s">
        <v>16</v>
      </c>
      <c r="H4893">
        <v>56</v>
      </c>
      <c r="I4893">
        <v>20.536000000000001</v>
      </c>
      <c r="J4893">
        <v>39.070999999999998</v>
      </c>
      <c r="K4893">
        <v>18.536000000000001</v>
      </c>
      <c r="L4893">
        <v>54</v>
      </c>
      <c r="M4893">
        <v>0</v>
      </c>
      <c r="N4893">
        <v>2</v>
      </c>
      <c r="O4893">
        <v>38.698999999999998</v>
      </c>
      <c r="P4893">
        <v>19.413931789999999</v>
      </c>
      <c r="Q4893">
        <v>7.96</v>
      </c>
    </row>
    <row r="4894" spans="1:17" x14ac:dyDescent="0.2">
      <c r="A4894" s="30" t="str">
        <f>IF(C4894&amp;G4894&amp;D4894&lt;&gt;'Funnel setup'!$K$3&amp;'Funnel setup'!$K$4&amp;'Funnel setup'!$K$5,".",IF(A4893=".",1,A4893+1))</f>
        <v>.</v>
      </c>
      <c r="B4894" s="431" t="str">
        <f t="shared" si="76"/>
        <v>Knee Replacement PrimaryProviderBMI ST EDMUNDS HOSPITAL (NT446)Oxford Knee Score</v>
      </c>
      <c r="C4894" t="s">
        <v>249</v>
      </c>
      <c r="D4894" t="s">
        <v>1</v>
      </c>
      <c r="E4894" t="s">
        <v>3328</v>
      </c>
      <c r="F4894" t="s">
        <v>3329</v>
      </c>
      <c r="G4894" t="s">
        <v>16</v>
      </c>
      <c r="H4894">
        <v>72</v>
      </c>
      <c r="I4894">
        <v>21.056000000000001</v>
      </c>
      <c r="J4894">
        <v>35.722000000000001</v>
      </c>
      <c r="K4894">
        <v>14.667</v>
      </c>
      <c r="L4894">
        <v>68</v>
      </c>
      <c r="M4894">
        <v>0</v>
      </c>
      <c r="N4894">
        <v>4</v>
      </c>
      <c r="O4894">
        <v>34.049999999999997</v>
      </c>
      <c r="P4894">
        <v>14.764332100000001</v>
      </c>
      <c r="Q4894">
        <v>8.9760000000000009</v>
      </c>
    </row>
    <row r="4895" spans="1:17" x14ac:dyDescent="0.2">
      <c r="A4895" s="30" t="str">
        <f>IF(C4895&amp;G4895&amp;D4895&lt;&gt;'Funnel setup'!$K$3&amp;'Funnel setup'!$K$4&amp;'Funnel setup'!$K$5,".",IF(A4894=".",1,A4894+1))</f>
        <v>.</v>
      </c>
      <c r="B4895" s="431" t="str">
        <f t="shared" si="76"/>
        <v>Knee Replacement PrimaryProviderBMI THE CAVELL HOSPITAL (NT451)Oxford Knee Score</v>
      </c>
      <c r="C4895" t="s">
        <v>249</v>
      </c>
      <c r="D4895" t="s">
        <v>1</v>
      </c>
      <c r="E4895" t="s">
        <v>3331</v>
      </c>
      <c r="F4895" t="s">
        <v>3332</v>
      </c>
      <c r="G4895" t="s">
        <v>16</v>
      </c>
      <c r="H4895">
        <v>32</v>
      </c>
      <c r="I4895">
        <v>18.625</v>
      </c>
      <c r="J4895">
        <v>33.5</v>
      </c>
      <c r="K4895">
        <v>14.875</v>
      </c>
      <c r="L4895">
        <v>28</v>
      </c>
      <c r="M4895">
        <v>0</v>
      </c>
      <c r="N4895">
        <v>4</v>
      </c>
      <c r="O4895">
        <v>33.332999999999998</v>
      </c>
      <c r="P4895">
        <v>14.04715384</v>
      </c>
      <c r="Q4895">
        <v>9.1210000000000004</v>
      </c>
    </row>
    <row r="4896" spans="1:17" x14ac:dyDescent="0.2">
      <c r="A4896" s="30" t="str">
        <f>IF(C4896&amp;G4896&amp;D4896&lt;&gt;'Funnel setup'!$K$3&amp;'Funnel setup'!$K$4&amp;'Funnel setup'!$K$5,".",IF(A4895=".",1,A4895+1))</f>
        <v>.</v>
      </c>
      <c r="B4896" s="431" t="str">
        <f t="shared" si="76"/>
        <v>Knee Replacement PrimaryProviderBMI THE DUCHY HOSPITAL (NT447)Oxford Knee Score</v>
      </c>
      <c r="C4896" t="s">
        <v>249</v>
      </c>
      <c r="D4896" t="s">
        <v>1</v>
      </c>
      <c r="E4896" t="s">
        <v>3334</v>
      </c>
      <c r="F4896" t="s">
        <v>3335</v>
      </c>
      <c r="G4896" t="s">
        <v>16</v>
      </c>
      <c r="H4896">
        <v>24</v>
      </c>
      <c r="I4896">
        <v>21.625</v>
      </c>
      <c r="J4896">
        <v>40.292000000000002</v>
      </c>
      <c r="K4896">
        <v>18.667000000000002</v>
      </c>
      <c r="L4896">
        <v>23</v>
      </c>
      <c r="M4896">
        <v>0</v>
      </c>
      <c r="N4896">
        <v>1</v>
      </c>
      <c r="O4896" t="s">
        <v>53</v>
      </c>
      <c r="P4896" t="s">
        <v>53</v>
      </c>
      <c r="Q4896" t="s">
        <v>53</v>
      </c>
    </row>
    <row r="4897" spans="1:17" x14ac:dyDescent="0.2">
      <c r="A4897" s="30" t="str">
        <f>IF(C4897&amp;G4897&amp;D4897&lt;&gt;'Funnel setup'!$K$3&amp;'Funnel setup'!$K$4&amp;'Funnel setup'!$K$5,".",IF(A4896=".",1,A4896+1))</f>
        <v>.</v>
      </c>
      <c r="B4897" s="431" t="str">
        <f t="shared" si="76"/>
        <v>Knee Replacement PrimaryProviderBMI THE EDGBASTON HOSPITAL (NT445)Oxford Knee Score</v>
      </c>
      <c r="C4897" t="s">
        <v>249</v>
      </c>
      <c r="D4897" t="s">
        <v>1</v>
      </c>
      <c r="E4897" t="s">
        <v>3337</v>
      </c>
      <c r="F4897" t="s">
        <v>3338</v>
      </c>
      <c r="G4897" t="s">
        <v>16</v>
      </c>
      <c r="H4897">
        <v>46</v>
      </c>
      <c r="I4897">
        <v>19.87</v>
      </c>
      <c r="J4897">
        <v>37.761000000000003</v>
      </c>
      <c r="K4897">
        <v>17.890999999999998</v>
      </c>
      <c r="L4897">
        <v>46</v>
      </c>
      <c r="M4897">
        <v>0</v>
      </c>
      <c r="N4897">
        <v>0</v>
      </c>
      <c r="O4897">
        <v>37.231000000000002</v>
      </c>
      <c r="P4897">
        <v>17.945829809999999</v>
      </c>
      <c r="Q4897">
        <v>5.952</v>
      </c>
    </row>
    <row r="4898" spans="1:17" x14ac:dyDescent="0.2">
      <c r="A4898" s="30" t="str">
        <f>IF(C4898&amp;G4898&amp;D4898&lt;&gt;'Funnel setup'!$K$3&amp;'Funnel setup'!$K$4&amp;'Funnel setup'!$K$5,".",IF(A4897=".",1,A4897+1))</f>
        <v>.</v>
      </c>
      <c r="B4898" s="431" t="str">
        <f t="shared" si="76"/>
        <v>Knee Replacement PrimaryProviderBMI THE HUDDERSFIELD HOSPITAL (NT448)Oxford Knee Score</v>
      </c>
      <c r="C4898" t="s">
        <v>249</v>
      </c>
      <c r="D4898" t="s">
        <v>1</v>
      </c>
      <c r="E4898" t="s">
        <v>3346</v>
      </c>
      <c r="F4898" t="s">
        <v>3347</v>
      </c>
      <c r="G4898" t="s">
        <v>16</v>
      </c>
      <c r="H4898">
        <v>82</v>
      </c>
      <c r="I4898">
        <v>21.988</v>
      </c>
      <c r="J4898">
        <v>36.988</v>
      </c>
      <c r="K4898">
        <v>15</v>
      </c>
      <c r="L4898">
        <v>75</v>
      </c>
      <c r="M4898">
        <v>0</v>
      </c>
      <c r="N4898">
        <v>7</v>
      </c>
      <c r="O4898">
        <v>35.216999999999999</v>
      </c>
      <c r="P4898">
        <v>15.93194201</v>
      </c>
      <c r="Q4898">
        <v>8.4890000000000008</v>
      </c>
    </row>
    <row r="4899" spans="1:17" x14ac:dyDescent="0.2">
      <c r="A4899" s="30" t="str">
        <f>IF(C4899&amp;G4899&amp;D4899&lt;&gt;'Funnel setup'!$K$3&amp;'Funnel setup'!$K$4&amp;'Funnel setup'!$K$5,".",IF(A4898=".",1,A4898+1))</f>
        <v>.</v>
      </c>
      <c r="B4899" s="431" t="str">
        <f t="shared" si="76"/>
        <v>Knee Replacement PrimaryProviderBMI THE LANCASTER HOSPITAL (NT449)Oxford Knee Score</v>
      </c>
      <c r="C4899" t="s">
        <v>249</v>
      </c>
      <c r="D4899" t="s">
        <v>1</v>
      </c>
      <c r="E4899" t="s">
        <v>3349</v>
      </c>
      <c r="F4899" t="s">
        <v>3350</v>
      </c>
      <c r="G4899" t="s">
        <v>16</v>
      </c>
      <c r="H4899">
        <v>60</v>
      </c>
      <c r="I4899">
        <v>22.45</v>
      </c>
      <c r="J4899">
        <v>37.966999999999999</v>
      </c>
      <c r="K4899">
        <v>15.516999999999999</v>
      </c>
      <c r="L4899">
        <v>58</v>
      </c>
      <c r="M4899">
        <v>0</v>
      </c>
      <c r="N4899">
        <v>2</v>
      </c>
      <c r="O4899">
        <v>35.606000000000002</v>
      </c>
      <c r="P4899">
        <v>16.320218839999999</v>
      </c>
      <c r="Q4899">
        <v>6.29</v>
      </c>
    </row>
    <row r="4900" spans="1:17" x14ac:dyDescent="0.2">
      <c r="A4900" s="30" t="str">
        <f>IF(C4900&amp;G4900&amp;D4900&lt;&gt;'Funnel setup'!$K$3&amp;'Funnel setup'!$K$4&amp;'Funnel setup'!$K$5,".",IF(A4899=".",1,A4899+1))</f>
        <v>.</v>
      </c>
      <c r="B4900" s="431" t="str">
        <f t="shared" si="76"/>
        <v>Knee Replacement PrimaryProviderBMI THE LINCOLN HOSPITAL (NT450)Oxford Knee Score</v>
      </c>
      <c r="C4900" t="s">
        <v>249</v>
      </c>
      <c r="D4900" t="s">
        <v>1</v>
      </c>
      <c r="E4900" t="s">
        <v>3352</v>
      </c>
      <c r="F4900" t="s">
        <v>3353</v>
      </c>
      <c r="G4900" t="s">
        <v>16</v>
      </c>
      <c r="H4900">
        <v>95</v>
      </c>
      <c r="I4900">
        <v>22.242000000000001</v>
      </c>
      <c r="J4900">
        <v>37.799999999999997</v>
      </c>
      <c r="K4900">
        <v>15.558</v>
      </c>
      <c r="L4900">
        <v>87</v>
      </c>
      <c r="M4900">
        <v>1</v>
      </c>
      <c r="N4900">
        <v>7</v>
      </c>
      <c r="O4900">
        <v>35.735999999999997</v>
      </c>
      <c r="P4900">
        <v>16.450564239999999</v>
      </c>
      <c r="Q4900">
        <v>7.7240000000000002</v>
      </c>
    </row>
    <row r="4901" spans="1:17" x14ac:dyDescent="0.2">
      <c r="A4901" s="30" t="str">
        <f>IF(C4901&amp;G4901&amp;D4901&lt;&gt;'Funnel setup'!$K$3&amp;'Funnel setup'!$K$4&amp;'Funnel setup'!$K$5,".",IF(A4900=".",1,A4900+1))</f>
        <v>.</v>
      </c>
      <c r="B4901" s="431" t="str">
        <f t="shared" si="76"/>
        <v>Knee Replacement PrimaryProviderBMI WOODLANDS HOSPITAL (NT457)Oxford Knee Score</v>
      </c>
      <c r="C4901" t="s">
        <v>249</v>
      </c>
      <c r="D4901" t="s">
        <v>1</v>
      </c>
      <c r="E4901" t="s">
        <v>3355</v>
      </c>
      <c r="F4901" t="s">
        <v>3356</v>
      </c>
      <c r="G4901" t="s">
        <v>16</v>
      </c>
      <c r="H4901">
        <v>78</v>
      </c>
      <c r="I4901">
        <v>19.295000000000002</v>
      </c>
      <c r="J4901">
        <v>37.5</v>
      </c>
      <c r="K4901">
        <v>18.204999999999998</v>
      </c>
      <c r="L4901">
        <v>78</v>
      </c>
      <c r="M4901">
        <v>0</v>
      </c>
      <c r="N4901">
        <v>0</v>
      </c>
      <c r="O4901">
        <v>37.551000000000002</v>
      </c>
      <c r="P4901">
        <v>18.265179069999999</v>
      </c>
      <c r="Q4901">
        <v>7.7060000000000004</v>
      </c>
    </row>
    <row r="4902" spans="1:17" x14ac:dyDescent="0.2">
      <c r="A4902" s="30" t="str">
        <f>IF(C4902&amp;G4902&amp;D4902&lt;&gt;'Funnel setup'!$K$3&amp;'Funnel setup'!$K$4&amp;'Funnel setup'!$K$5,".",IF(A4901=".",1,A4901+1))</f>
        <v>.</v>
      </c>
      <c r="B4902" s="431" t="str">
        <f t="shared" si="76"/>
        <v>Knee Replacement PrimaryProviderBOLTON NHS FOUNDATION TRUST (RMC)Oxford Knee Score</v>
      </c>
      <c r="C4902" t="s">
        <v>249</v>
      </c>
      <c r="D4902" t="s">
        <v>1</v>
      </c>
      <c r="E4902" t="s">
        <v>3358</v>
      </c>
      <c r="F4902" t="s">
        <v>3359</v>
      </c>
      <c r="G4902" t="s">
        <v>16</v>
      </c>
      <c r="H4902">
        <v>89</v>
      </c>
      <c r="I4902">
        <v>16.045000000000002</v>
      </c>
      <c r="J4902">
        <v>32.853999999999999</v>
      </c>
      <c r="K4902">
        <v>16.809000000000001</v>
      </c>
      <c r="L4902">
        <v>85</v>
      </c>
      <c r="M4902">
        <v>0</v>
      </c>
      <c r="N4902">
        <v>4</v>
      </c>
      <c r="O4902">
        <v>34.988999999999997</v>
      </c>
      <c r="P4902">
        <v>15.7035307</v>
      </c>
      <c r="Q4902">
        <v>9.2059999999999995</v>
      </c>
    </row>
    <row r="4903" spans="1:17" x14ac:dyDescent="0.2">
      <c r="A4903" s="30" t="str">
        <f>IF(C4903&amp;G4903&amp;D4903&lt;&gt;'Funnel setup'!$K$3&amp;'Funnel setup'!$K$4&amp;'Funnel setup'!$K$5,".",IF(A4902=".",1,A4902+1))</f>
        <v>.</v>
      </c>
      <c r="B4903" s="431" t="str">
        <f t="shared" si="76"/>
        <v>Knee Replacement PrimaryProviderBRADFORD TEACHING HOSPITALS NHS FOUNDATION TRUST (RAE)Oxford Knee Score</v>
      </c>
      <c r="C4903" t="s">
        <v>249</v>
      </c>
      <c r="D4903" t="s">
        <v>1</v>
      </c>
      <c r="E4903" t="s">
        <v>3361</v>
      </c>
      <c r="F4903" t="s">
        <v>3362</v>
      </c>
      <c r="G4903" t="s">
        <v>16</v>
      </c>
      <c r="H4903">
        <v>148</v>
      </c>
      <c r="I4903">
        <v>18.358000000000001</v>
      </c>
      <c r="J4903">
        <v>33.459000000000003</v>
      </c>
      <c r="K4903">
        <v>15.101000000000001</v>
      </c>
      <c r="L4903">
        <v>137</v>
      </c>
      <c r="M4903">
        <v>0</v>
      </c>
      <c r="N4903">
        <v>11</v>
      </c>
      <c r="O4903">
        <v>35.634</v>
      </c>
      <c r="P4903">
        <v>16.348613530000002</v>
      </c>
      <c r="Q4903">
        <v>8.8160000000000007</v>
      </c>
    </row>
    <row r="4904" spans="1:17" x14ac:dyDescent="0.2">
      <c r="A4904" s="30" t="str">
        <f>IF(C4904&amp;G4904&amp;D4904&lt;&gt;'Funnel setup'!$K$3&amp;'Funnel setup'!$K$4&amp;'Funnel setup'!$K$5,".",IF(A4903=".",1,A4903+1))</f>
        <v>.</v>
      </c>
      <c r="B4904" s="431" t="str">
        <f t="shared" si="76"/>
        <v>Knee Replacement PrimaryProviderBRIGHTON AND SUSSEX UNIVERSITY HOSPITALS NHS TRUST (RXH)Oxford Knee Score</v>
      </c>
      <c r="C4904" t="s">
        <v>249</v>
      </c>
      <c r="D4904" t="s">
        <v>1</v>
      </c>
      <c r="E4904" t="s">
        <v>3367</v>
      </c>
      <c r="F4904" t="s">
        <v>3368</v>
      </c>
      <c r="G4904" t="s">
        <v>16</v>
      </c>
      <c r="H4904">
        <v>303</v>
      </c>
      <c r="I4904">
        <v>20.934000000000001</v>
      </c>
      <c r="J4904">
        <v>34.223999999999997</v>
      </c>
      <c r="K4904">
        <v>13.29</v>
      </c>
      <c r="L4904">
        <v>267</v>
      </c>
      <c r="M4904">
        <v>5</v>
      </c>
      <c r="N4904">
        <v>31</v>
      </c>
      <c r="O4904">
        <v>33.683</v>
      </c>
      <c r="P4904">
        <v>14.39776283</v>
      </c>
      <c r="Q4904">
        <v>8.968</v>
      </c>
    </row>
    <row r="4905" spans="1:17" x14ac:dyDescent="0.2">
      <c r="A4905" s="30" t="str">
        <f>IF(C4905&amp;G4905&amp;D4905&lt;&gt;'Funnel setup'!$K$3&amp;'Funnel setup'!$K$4&amp;'Funnel setup'!$K$5,".",IF(A4904=".",1,A4904+1))</f>
        <v>.</v>
      </c>
      <c r="B4905" s="431" t="str">
        <f t="shared" si="76"/>
        <v>Knee Replacement PrimaryProviderBUCKINGHAMSHIRE HEALTHCARE NHS TRUST (RXQ)Oxford Knee Score</v>
      </c>
      <c r="C4905" t="s">
        <v>249</v>
      </c>
      <c r="D4905" t="s">
        <v>1</v>
      </c>
      <c r="E4905" t="s">
        <v>3370</v>
      </c>
      <c r="F4905" t="s">
        <v>3371</v>
      </c>
      <c r="G4905" t="s">
        <v>16</v>
      </c>
      <c r="H4905">
        <v>156</v>
      </c>
      <c r="I4905">
        <v>19.353000000000002</v>
      </c>
      <c r="J4905">
        <v>35.776000000000003</v>
      </c>
      <c r="K4905">
        <v>16.422999999999998</v>
      </c>
      <c r="L4905">
        <v>148</v>
      </c>
      <c r="M4905">
        <v>2</v>
      </c>
      <c r="N4905">
        <v>6</v>
      </c>
      <c r="O4905">
        <v>35.600999999999999</v>
      </c>
      <c r="P4905">
        <v>16.315430370000001</v>
      </c>
      <c r="Q4905">
        <v>8.2829999999999995</v>
      </c>
    </row>
    <row r="4906" spans="1:17" x14ac:dyDescent="0.2">
      <c r="A4906" s="30" t="str">
        <f>IF(C4906&amp;G4906&amp;D4906&lt;&gt;'Funnel setup'!$K$3&amp;'Funnel setup'!$K$4&amp;'Funnel setup'!$K$5,".",IF(A4905=".",1,A4905+1))</f>
        <v>.</v>
      </c>
      <c r="B4906" s="431" t="str">
        <f t="shared" si="76"/>
        <v>Knee Replacement PrimaryProviderBURTON HOSPITALS NHS FOUNDATION TRUST (RJF)Oxford Knee Score</v>
      </c>
      <c r="C4906" t="s">
        <v>249</v>
      </c>
      <c r="D4906" t="s">
        <v>1</v>
      </c>
      <c r="E4906" t="s">
        <v>3373</v>
      </c>
      <c r="F4906" t="s">
        <v>3374</v>
      </c>
      <c r="G4906" t="s">
        <v>16</v>
      </c>
      <c r="H4906">
        <v>221</v>
      </c>
      <c r="I4906">
        <v>20.154</v>
      </c>
      <c r="J4906">
        <v>37.131</v>
      </c>
      <c r="K4906">
        <v>16.977</v>
      </c>
      <c r="L4906">
        <v>210</v>
      </c>
      <c r="M4906">
        <v>3</v>
      </c>
      <c r="N4906">
        <v>8</v>
      </c>
      <c r="O4906">
        <v>36.204000000000001</v>
      </c>
      <c r="P4906">
        <v>16.919001569999999</v>
      </c>
      <c r="Q4906">
        <v>7.6769999999999996</v>
      </c>
    </row>
    <row r="4907" spans="1:17" x14ac:dyDescent="0.2">
      <c r="A4907" s="30" t="str">
        <f>IF(C4907&amp;G4907&amp;D4907&lt;&gt;'Funnel setup'!$K$3&amp;'Funnel setup'!$K$4&amp;'Funnel setup'!$K$5,".",IF(A4906=".",1,A4906+1))</f>
        <v>.</v>
      </c>
      <c r="B4907" s="431" t="str">
        <f t="shared" si="76"/>
        <v>Knee Replacement PrimaryProviderCALDERDALE AND HUDDERSFIELD NHS FOUNDATION TRUST (RWY)Oxford Knee Score</v>
      </c>
      <c r="C4907" t="s">
        <v>249</v>
      </c>
      <c r="D4907" t="s">
        <v>1</v>
      </c>
      <c r="E4907" t="s">
        <v>3379</v>
      </c>
      <c r="F4907" t="s">
        <v>3380</v>
      </c>
      <c r="G4907" t="s">
        <v>16</v>
      </c>
      <c r="H4907">
        <v>249</v>
      </c>
      <c r="I4907">
        <v>19.108000000000001</v>
      </c>
      <c r="J4907">
        <v>35.863</v>
      </c>
      <c r="K4907">
        <v>16.754999999999999</v>
      </c>
      <c r="L4907">
        <v>241</v>
      </c>
      <c r="M4907">
        <v>2</v>
      </c>
      <c r="N4907">
        <v>6</v>
      </c>
      <c r="O4907">
        <v>36.238999999999997</v>
      </c>
      <c r="P4907">
        <v>16.954134910000001</v>
      </c>
      <c r="Q4907">
        <v>8.202</v>
      </c>
    </row>
    <row r="4908" spans="1:17" x14ac:dyDescent="0.2">
      <c r="A4908" s="30" t="str">
        <f>IF(C4908&amp;G4908&amp;D4908&lt;&gt;'Funnel setup'!$K$3&amp;'Funnel setup'!$K$4&amp;'Funnel setup'!$K$5,".",IF(A4907=".",1,A4907+1))</f>
        <v>.</v>
      </c>
      <c r="B4908" s="431" t="str">
        <f t="shared" si="76"/>
        <v>Knee Replacement PrimaryProviderCAMBRIDGE UNIVERSITY HOSPITALS NHS FOUNDATION TRUST (RGT)Oxford Knee Score</v>
      </c>
      <c r="C4908" t="s">
        <v>249</v>
      </c>
      <c r="D4908" t="s">
        <v>1</v>
      </c>
      <c r="E4908" t="s">
        <v>3076</v>
      </c>
      <c r="F4908" t="s">
        <v>3077</v>
      </c>
      <c r="G4908" t="s">
        <v>16</v>
      </c>
      <c r="H4908">
        <v>219</v>
      </c>
      <c r="I4908">
        <v>18.748999999999999</v>
      </c>
      <c r="J4908">
        <v>35.256</v>
      </c>
      <c r="K4908">
        <v>16.507000000000001</v>
      </c>
      <c r="L4908">
        <v>207</v>
      </c>
      <c r="M4908">
        <v>2</v>
      </c>
      <c r="N4908">
        <v>10</v>
      </c>
      <c r="O4908">
        <v>35.040999999999997</v>
      </c>
      <c r="P4908">
        <v>15.75555814</v>
      </c>
      <c r="Q4908">
        <v>8.5150000000000006</v>
      </c>
    </row>
    <row r="4909" spans="1:17" x14ac:dyDescent="0.2">
      <c r="A4909" s="30" t="str">
        <f>IF(C4909&amp;G4909&amp;D4909&lt;&gt;'Funnel setup'!$K$3&amp;'Funnel setup'!$K$4&amp;'Funnel setup'!$K$5,".",IF(A4908=".",1,A4908+1))</f>
        <v>.</v>
      </c>
      <c r="B4909" s="431" t="str">
        <f t="shared" si="76"/>
        <v>Knee Replacement PrimaryProviderCENTRAL MANCHESTER UNIVERSITY HOSPITALS NHS FOUNDATION TRUST (RW3)Oxford Knee Score</v>
      </c>
      <c r="C4909" t="s">
        <v>249</v>
      </c>
      <c r="D4909" t="s">
        <v>1</v>
      </c>
      <c r="E4909" t="s">
        <v>3079</v>
      </c>
      <c r="F4909" t="s">
        <v>3080</v>
      </c>
      <c r="G4909" t="s">
        <v>16</v>
      </c>
      <c r="H4909">
        <v>84</v>
      </c>
      <c r="I4909">
        <v>17.178999999999998</v>
      </c>
      <c r="J4909">
        <v>32.881</v>
      </c>
      <c r="K4909">
        <v>15.702</v>
      </c>
      <c r="L4909">
        <v>78</v>
      </c>
      <c r="M4909">
        <v>1</v>
      </c>
      <c r="N4909">
        <v>5</v>
      </c>
      <c r="O4909">
        <v>34.395000000000003</v>
      </c>
      <c r="P4909">
        <v>15.10996175</v>
      </c>
      <c r="Q4909">
        <v>8.9809999999999999</v>
      </c>
    </row>
    <row r="4910" spans="1:17" x14ac:dyDescent="0.2">
      <c r="A4910" s="30" t="str">
        <f>IF(C4910&amp;G4910&amp;D4910&lt;&gt;'Funnel setup'!$K$3&amp;'Funnel setup'!$K$4&amp;'Funnel setup'!$K$5,".",IF(A4909=".",1,A4909+1))</f>
        <v>.</v>
      </c>
      <c r="B4910" s="431" t="str">
        <f t="shared" si="76"/>
        <v>Knee Replacement PrimaryProviderCHELSEA AND WESTMINSTER HOSPITAL NHS FOUNDATION TRUST (RQM)Oxford Knee Score</v>
      </c>
      <c r="C4910" t="s">
        <v>249</v>
      </c>
      <c r="D4910" t="s">
        <v>1</v>
      </c>
      <c r="E4910" t="s">
        <v>3082</v>
      </c>
      <c r="F4910" t="s">
        <v>3083</v>
      </c>
      <c r="G4910" t="s">
        <v>16</v>
      </c>
      <c r="H4910">
        <v>22</v>
      </c>
      <c r="I4910">
        <v>18.591000000000001</v>
      </c>
      <c r="J4910">
        <v>34.226999999999997</v>
      </c>
      <c r="K4910">
        <v>15.635999999999999</v>
      </c>
      <c r="L4910">
        <v>19</v>
      </c>
      <c r="M4910">
        <v>0</v>
      </c>
      <c r="N4910">
        <v>3</v>
      </c>
      <c r="O4910" t="s">
        <v>53</v>
      </c>
      <c r="P4910" t="s">
        <v>53</v>
      </c>
      <c r="Q4910" t="s">
        <v>53</v>
      </c>
    </row>
    <row r="4911" spans="1:17" x14ac:dyDescent="0.2">
      <c r="A4911" s="30" t="str">
        <f>IF(C4911&amp;G4911&amp;D4911&lt;&gt;'Funnel setup'!$K$3&amp;'Funnel setup'!$K$4&amp;'Funnel setup'!$K$5,".",IF(A4910=".",1,A4910+1))</f>
        <v>.</v>
      </c>
      <c r="B4911" s="431" t="str">
        <f t="shared" si="76"/>
        <v>Knee Replacement PrimaryProviderCHESTERFIELD ROYAL HOSPITAL NHS FOUNDATION TRUST (RFS)Oxford Knee Score</v>
      </c>
      <c r="C4911" t="s">
        <v>249</v>
      </c>
      <c r="D4911" t="s">
        <v>1</v>
      </c>
      <c r="E4911" t="s">
        <v>3085</v>
      </c>
      <c r="F4911" t="s">
        <v>3086</v>
      </c>
      <c r="G4911" t="s">
        <v>16</v>
      </c>
      <c r="H4911">
        <v>255</v>
      </c>
      <c r="I4911">
        <v>19.027000000000001</v>
      </c>
      <c r="J4911">
        <v>34.871000000000002</v>
      </c>
      <c r="K4911">
        <v>15.843</v>
      </c>
      <c r="L4911">
        <v>235</v>
      </c>
      <c r="M4911">
        <v>3</v>
      </c>
      <c r="N4911">
        <v>17</v>
      </c>
      <c r="O4911">
        <v>35.351999999999997</v>
      </c>
      <c r="P4911">
        <v>16.06662626</v>
      </c>
      <c r="Q4911">
        <v>9.7200000000000006</v>
      </c>
    </row>
    <row r="4912" spans="1:17" x14ac:dyDescent="0.2">
      <c r="A4912" s="30" t="str">
        <f>IF(C4912&amp;G4912&amp;D4912&lt;&gt;'Funnel setup'!$K$3&amp;'Funnel setup'!$K$4&amp;'Funnel setup'!$K$5,".",IF(A4911=".",1,A4911+1))</f>
        <v>.</v>
      </c>
      <c r="B4912" s="431" t="str">
        <f t="shared" si="76"/>
        <v>Knee Replacement PrimaryProviderCIRCLE - NOTTINGHAM NHS TREATMENT CENTRE (NV313)Oxford Knee Score</v>
      </c>
      <c r="C4912" t="s">
        <v>249</v>
      </c>
      <c r="D4912" t="s">
        <v>1</v>
      </c>
      <c r="E4912" t="s">
        <v>3094</v>
      </c>
      <c r="F4912" t="s">
        <v>3095</v>
      </c>
      <c r="G4912" t="s">
        <v>16</v>
      </c>
      <c r="H4912" t="s">
        <v>53</v>
      </c>
      <c r="I4912" t="s">
        <v>53</v>
      </c>
      <c r="J4912" t="s">
        <v>53</v>
      </c>
      <c r="K4912" t="s">
        <v>53</v>
      </c>
      <c r="L4912" t="s">
        <v>53</v>
      </c>
      <c r="M4912" t="s">
        <v>53</v>
      </c>
      <c r="N4912" t="s">
        <v>53</v>
      </c>
      <c r="O4912" t="s">
        <v>53</v>
      </c>
      <c r="P4912" t="s">
        <v>53</v>
      </c>
      <c r="Q4912" t="s">
        <v>53</v>
      </c>
    </row>
    <row r="4913" spans="1:17" x14ac:dyDescent="0.2">
      <c r="A4913" s="30" t="str">
        <f>IF(C4913&amp;G4913&amp;D4913&lt;&gt;'Funnel setup'!$K$3&amp;'Funnel setup'!$K$4&amp;'Funnel setup'!$K$5,".",IF(A4912=".",1,A4912+1))</f>
        <v>.</v>
      </c>
      <c r="B4913" s="431" t="str">
        <f t="shared" si="76"/>
        <v>Knee Replacement PrimaryProviderCIRCLE BATH HOSPITAL (NV302)Oxford Knee Score</v>
      </c>
      <c r="C4913" t="s">
        <v>249</v>
      </c>
      <c r="D4913" t="s">
        <v>1</v>
      </c>
      <c r="E4913" t="s">
        <v>3097</v>
      </c>
      <c r="F4913" t="s">
        <v>3098</v>
      </c>
      <c r="G4913" t="s">
        <v>16</v>
      </c>
      <c r="H4913">
        <v>153</v>
      </c>
      <c r="I4913">
        <v>20.699000000000002</v>
      </c>
      <c r="J4913">
        <v>38.268000000000001</v>
      </c>
      <c r="K4913">
        <v>17.568999999999999</v>
      </c>
      <c r="L4913">
        <v>143</v>
      </c>
      <c r="M4913">
        <v>2</v>
      </c>
      <c r="N4913">
        <v>8</v>
      </c>
      <c r="O4913">
        <v>36.735999999999997</v>
      </c>
      <c r="P4913">
        <v>17.45110841</v>
      </c>
      <c r="Q4913">
        <v>7.6849999999999996</v>
      </c>
    </row>
    <row r="4914" spans="1:17" x14ac:dyDescent="0.2">
      <c r="A4914" s="30" t="str">
        <f>IF(C4914&amp;G4914&amp;D4914&lt;&gt;'Funnel setup'!$K$3&amp;'Funnel setup'!$K$4&amp;'Funnel setup'!$K$5,".",IF(A4913=".",1,A4913+1))</f>
        <v>.</v>
      </c>
      <c r="B4914" s="431" t="str">
        <f t="shared" si="76"/>
        <v>Knee Replacement PrimaryProviderCIRCLE READING HOSPITAL (NV323)Oxford Knee Score</v>
      </c>
      <c r="C4914" t="s">
        <v>249</v>
      </c>
      <c r="D4914" t="s">
        <v>1</v>
      </c>
      <c r="E4914" t="s">
        <v>3091</v>
      </c>
      <c r="F4914" t="s">
        <v>3092</v>
      </c>
      <c r="G4914" t="s">
        <v>16</v>
      </c>
      <c r="H4914">
        <v>102</v>
      </c>
      <c r="I4914">
        <v>23.911999999999999</v>
      </c>
      <c r="J4914">
        <v>37.872999999999998</v>
      </c>
      <c r="K4914">
        <v>13.961</v>
      </c>
      <c r="L4914">
        <v>97</v>
      </c>
      <c r="M4914">
        <v>1</v>
      </c>
      <c r="N4914">
        <v>4</v>
      </c>
      <c r="O4914">
        <v>34.502000000000002</v>
      </c>
      <c r="P4914">
        <v>15.216649869999999</v>
      </c>
      <c r="Q4914">
        <v>7.2709999999999999</v>
      </c>
    </row>
    <row r="4915" spans="1:17" x14ac:dyDescent="0.2">
      <c r="A4915" s="30" t="str">
        <f>IF(C4915&amp;G4915&amp;D4915&lt;&gt;'Funnel setup'!$K$3&amp;'Funnel setup'!$K$4&amp;'Funnel setup'!$K$5,".",IF(A4914=".",1,A4914+1))</f>
        <v>.</v>
      </c>
      <c r="B4915" s="431" t="str">
        <f t="shared" si="76"/>
        <v>Knee Replacement PrimaryProviderCITY HOSPITALS SUNDERLAND NHS FOUNDATION TRUST (RLN)Oxford Knee Score</v>
      </c>
      <c r="C4915" t="s">
        <v>249</v>
      </c>
      <c r="D4915" t="s">
        <v>1</v>
      </c>
      <c r="E4915" t="s">
        <v>3100</v>
      </c>
      <c r="F4915" t="s">
        <v>3101</v>
      </c>
      <c r="G4915" t="s">
        <v>16</v>
      </c>
      <c r="H4915">
        <v>283</v>
      </c>
      <c r="I4915">
        <v>17.177</v>
      </c>
      <c r="J4915">
        <v>33.052999999999997</v>
      </c>
      <c r="K4915">
        <v>15.875999999999999</v>
      </c>
      <c r="L4915">
        <v>265</v>
      </c>
      <c r="M4915">
        <v>1</v>
      </c>
      <c r="N4915">
        <v>17</v>
      </c>
      <c r="O4915">
        <v>35.511000000000003</v>
      </c>
      <c r="P4915">
        <v>16.22593956</v>
      </c>
      <c r="Q4915">
        <v>8.8179999999999996</v>
      </c>
    </row>
    <row r="4916" spans="1:17" x14ac:dyDescent="0.2">
      <c r="A4916" s="30" t="str">
        <f>IF(C4916&amp;G4916&amp;D4916&lt;&gt;'Funnel setup'!$K$3&amp;'Funnel setup'!$K$4&amp;'Funnel setup'!$K$5,".",IF(A4915=".",1,A4915+1))</f>
        <v>.</v>
      </c>
      <c r="B4916" s="431" t="str">
        <f t="shared" si="76"/>
        <v>Knee Replacement PrimaryProviderCLIFTON PARK HOSPITAL (NVC28)Oxford Knee Score</v>
      </c>
      <c r="C4916" t="s">
        <v>249</v>
      </c>
      <c r="D4916" t="s">
        <v>1</v>
      </c>
      <c r="E4916" t="s">
        <v>4229</v>
      </c>
      <c r="F4916" t="s">
        <v>4230</v>
      </c>
      <c r="G4916" t="s">
        <v>16</v>
      </c>
      <c r="H4916">
        <v>221</v>
      </c>
      <c r="I4916">
        <v>21.385000000000002</v>
      </c>
      <c r="J4916">
        <v>37.258000000000003</v>
      </c>
      <c r="K4916">
        <v>15.872999999999999</v>
      </c>
      <c r="L4916">
        <v>206</v>
      </c>
      <c r="M4916">
        <v>3</v>
      </c>
      <c r="N4916">
        <v>12</v>
      </c>
      <c r="O4916">
        <v>35.383000000000003</v>
      </c>
      <c r="P4916">
        <v>16.097855360000001</v>
      </c>
      <c r="Q4916">
        <v>7.5839999999999996</v>
      </c>
    </row>
    <row r="4917" spans="1:17" x14ac:dyDescent="0.2">
      <c r="A4917" s="30" t="str">
        <f>IF(C4917&amp;G4917&amp;D4917&lt;&gt;'Funnel setup'!$K$3&amp;'Funnel setup'!$K$4&amp;'Funnel setup'!$K$5,".",IF(A4916=".",1,A4916+1))</f>
        <v>.</v>
      </c>
      <c r="B4917" s="431" t="str">
        <f t="shared" si="76"/>
        <v>Knee Replacement PrimaryProviderCOLCHESTER HOSPITAL UNIVERSITY NHS FOUNDATION TRUST (RDE)Oxford Knee Score</v>
      </c>
      <c r="C4917" t="s">
        <v>249</v>
      </c>
      <c r="D4917" t="s">
        <v>1</v>
      </c>
      <c r="E4917" t="s">
        <v>3109</v>
      </c>
      <c r="F4917" t="s">
        <v>3110</v>
      </c>
      <c r="G4917" t="s">
        <v>16</v>
      </c>
      <c r="H4917">
        <v>195</v>
      </c>
      <c r="I4917">
        <v>19.108000000000001</v>
      </c>
      <c r="J4917">
        <v>36.030999999999999</v>
      </c>
      <c r="K4917">
        <v>16.922999999999998</v>
      </c>
      <c r="L4917">
        <v>186</v>
      </c>
      <c r="M4917">
        <v>1</v>
      </c>
      <c r="N4917">
        <v>8</v>
      </c>
      <c r="O4917">
        <v>36.366</v>
      </c>
      <c r="P4917">
        <v>17.08028251</v>
      </c>
      <c r="Q4917">
        <v>8.2959999999999994</v>
      </c>
    </row>
    <row r="4918" spans="1:17" x14ac:dyDescent="0.2">
      <c r="A4918" s="30" t="str">
        <f>IF(C4918&amp;G4918&amp;D4918&lt;&gt;'Funnel setup'!$K$3&amp;'Funnel setup'!$K$4&amp;'Funnel setup'!$K$5,".",IF(A4917=".",1,A4917+1))</f>
        <v>.</v>
      </c>
      <c r="B4918" s="431" t="str">
        <f t="shared" si="76"/>
        <v>Knee Replacement PrimaryProviderCOUNTESS OF CHESTER HOSPITAL NHS FOUNDATION TRUST (RJR)Oxford Knee Score</v>
      </c>
      <c r="C4918" t="s">
        <v>249</v>
      </c>
      <c r="D4918" t="s">
        <v>1</v>
      </c>
      <c r="E4918" t="s">
        <v>3781</v>
      </c>
      <c r="F4918" t="s">
        <v>3782</v>
      </c>
      <c r="G4918" t="s">
        <v>16</v>
      </c>
      <c r="H4918">
        <v>86</v>
      </c>
      <c r="I4918">
        <v>18.57</v>
      </c>
      <c r="J4918">
        <v>33.756</v>
      </c>
      <c r="K4918">
        <v>15.186</v>
      </c>
      <c r="L4918">
        <v>77</v>
      </c>
      <c r="M4918">
        <v>4</v>
      </c>
      <c r="N4918">
        <v>5</v>
      </c>
      <c r="O4918">
        <v>34.290999999999997</v>
      </c>
      <c r="P4918">
        <v>15.006086529999999</v>
      </c>
      <c r="Q4918">
        <v>8.6609999999999996</v>
      </c>
    </row>
    <row r="4919" spans="1:17" x14ac:dyDescent="0.2">
      <c r="A4919" s="30" t="str">
        <f>IF(C4919&amp;G4919&amp;D4919&lt;&gt;'Funnel setup'!$K$3&amp;'Funnel setup'!$K$4&amp;'Funnel setup'!$K$5,".",IF(A4918=".",1,A4918+1))</f>
        <v>.</v>
      </c>
      <c r="B4919" s="431" t="str">
        <f t="shared" si="76"/>
        <v>Knee Replacement PrimaryProviderCOUNTY DURHAM AND DARLINGTON NHS FOUNDATION TRUST (RXP)Oxford Knee Score</v>
      </c>
      <c r="C4919" t="s">
        <v>249</v>
      </c>
      <c r="D4919" t="s">
        <v>1</v>
      </c>
      <c r="E4919" t="s">
        <v>3784</v>
      </c>
      <c r="F4919" t="s">
        <v>3785</v>
      </c>
      <c r="G4919" t="s">
        <v>16</v>
      </c>
      <c r="H4919">
        <v>328</v>
      </c>
      <c r="I4919">
        <v>18.591000000000001</v>
      </c>
      <c r="J4919">
        <v>34.576000000000001</v>
      </c>
      <c r="K4919">
        <v>15.984999999999999</v>
      </c>
      <c r="L4919">
        <v>307</v>
      </c>
      <c r="M4919">
        <v>2</v>
      </c>
      <c r="N4919">
        <v>19</v>
      </c>
      <c r="O4919">
        <v>35.372</v>
      </c>
      <c r="P4919">
        <v>16.086449210000001</v>
      </c>
      <c r="Q4919">
        <v>8.9060000000000006</v>
      </c>
    </row>
    <row r="4920" spans="1:17" x14ac:dyDescent="0.2">
      <c r="A4920" s="30" t="str">
        <f>IF(C4920&amp;G4920&amp;D4920&lt;&gt;'Funnel setup'!$K$3&amp;'Funnel setup'!$K$4&amp;'Funnel setup'!$K$5,".",IF(A4919=".",1,A4919+1))</f>
        <v>.</v>
      </c>
      <c r="B4920" s="431" t="str">
        <f t="shared" si="76"/>
        <v>Knee Replacement PrimaryProviderDARTFORD AND GRAVESHAM NHS TRUST (RN7)Oxford Knee Score</v>
      </c>
      <c r="C4920" t="s">
        <v>249</v>
      </c>
      <c r="D4920" t="s">
        <v>1</v>
      </c>
      <c r="E4920" t="s">
        <v>3787</v>
      </c>
      <c r="F4920" t="s">
        <v>3788</v>
      </c>
      <c r="G4920" t="s">
        <v>16</v>
      </c>
      <c r="H4920">
        <v>221</v>
      </c>
      <c r="I4920">
        <v>17.661000000000001</v>
      </c>
      <c r="J4920">
        <v>35.231000000000002</v>
      </c>
      <c r="K4920">
        <v>17.57</v>
      </c>
      <c r="L4920">
        <v>214</v>
      </c>
      <c r="M4920">
        <v>0</v>
      </c>
      <c r="N4920">
        <v>7</v>
      </c>
      <c r="O4920">
        <v>35.970999999999997</v>
      </c>
      <c r="P4920">
        <v>16.685844710000001</v>
      </c>
      <c r="Q4920">
        <v>8.5980000000000008</v>
      </c>
    </row>
    <row r="4921" spans="1:17" x14ac:dyDescent="0.2">
      <c r="A4921" s="30" t="str">
        <f>IF(C4921&amp;G4921&amp;D4921&lt;&gt;'Funnel setup'!$K$3&amp;'Funnel setup'!$K$4&amp;'Funnel setup'!$K$5,".",IF(A4920=".",1,A4920+1))</f>
        <v>.</v>
      </c>
      <c r="B4921" s="431" t="str">
        <f t="shared" si="76"/>
        <v>Knee Replacement PrimaryProviderDERBY TEACHING HOSPITALS NHS FOUNDATION TRUST (RTG)Oxford Knee Score</v>
      </c>
      <c r="C4921" t="s">
        <v>249</v>
      </c>
      <c r="D4921" t="s">
        <v>1</v>
      </c>
      <c r="E4921" t="s">
        <v>3790</v>
      </c>
      <c r="F4921" t="s">
        <v>3791</v>
      </c>
      <c r="G4921" t="s">
        <v>16</v>
      </c>
      <c r="H4921">
        <v>425</v>
      </c>
      <c r="I4921">
        <v>20.271000000000001</v>
      </c>
      <c r="J4921">
        <v>35.814</v>
      </c>
      <c r="K4921">
        <v>15.544</v>
      </c>
      <c r="L4921">
        <v>405</v>
      </c>
      <c r="M4921">
        <v>4</v>
      </c>
      <c r="N4921">
        <v>16</v>
      </c>
      <c r="O4921">
        <v>35.566000000000003</v>
      </c>
      <c r="P4921">
        <v>16.280260550000001</v>
      </c>
      <c r="Q4921">
        <v>7.9729999999999999</v>
      </c>
    </row>
    <row r="4922" spans="1:17" x14ac:dyDescent="0.2">
      <c r="A4922" s="30" t="str">
        <f>IF(C4922&amp;G4922&amp;D4922&lt;&gt;'Funnel setup'!$K$3&amp;'Funnel setup'!$K$4&amp;'Funnel setup'!$K$5,".",IF(A4921=".",1,A4921+1))</f>
        <v>.</v>
      </c>
      <c r="B4922" s="431" t="str">
        <f t="shared" si="76"/>
        <v>Knee Replacement PrimaryProviderDONCASTER AND BASSETLAW HOSPITALS NHS FOUNDATION TRUST (RP5)Oxford Knee Score</v>
      </c>
      <c r="C4922" t="s">
        <v>249</v>
      </c>
      <c r="D4922" t="s">
        <v>1</v>
      </c>
      <c r="E4922" t="s">
        <v>3799</v>
      </c>
      <c r="F4922" t="s">
        <v>3800</v>
      </c>
      <c r="G4922" t="s">
        <v>16</v>
      </c>
      <c r="H4922">
        <v>347</v>
      </c>
      <c r="I4922">
        <v>18.68</v>
      </c>
      <c r="J4922">
        <v>34.012</v>
      </c>
      <c r="K4922">
        <v>15.331</v>
      </c>
      <c r="L4922">
        <v>326</v>
      </c>
      <c r="M4922">
        <v>2</v>
      </c>
      <c r="N4922">
        <v>19</v>
      </c>
      <c r="O4922">
        <v>34.783999999999999</v>
      </c>
      <c r="P4922">
        <v>15.49867815</v>
      </c>
      <c r="Q4922">
        <v>8.9369999999999994</v>
      </c>
    </row>
    <row r="4923" spans="1:17" x14ac:dyDescent="0.2">
      <c r="A4923" s="30" t="str">
        <f>IF(C4923&amp;G4923&amp;D4923&lt;&gt;'Funnel setup'!$K$3&amp;'Funnel setup'!$K$4&amp;'Funnel setup'!$K$5,".",IF(A4922=".",1,A4922+1))</f>
        <v>.</v>
      </c>
      <c r="B4923" s="431" t="str">
        <f t="shared" si="76"/>
        <v>Knee Replacement PrimaryProviderDORSET COUNTY HOSPITAL NHS FOUNDATION TRUST (RBD)Oxford Knee Score</v>
      </c>
      <c r="C4923" t="s">
        <v>249</v>
      </c>
      <c r="D4923" t="s">
        <v>1</v>
      </c>
      <c r="E4923" t="s">
        <v>3802</v>
      </c>
      <c r="F4923" t="s">
        <v>3803</v>
      </c>
      <c r="G4923" t="s">
        <v>16</v>
      </c>
      <c r="H4923">
        <v>175</v>
      </c>
      <c r="I4923">
        <v>19.977</v>
      </c>
      <c r="J4923">
        <v>35.210999999999999</v>
      </c>
      <c r="K4923">
        <v>15.234</v>
      </c>
      <c r="L4923">
        <v>162</v>
      </c>
      <c r="M4923">
        <v>4</v>
      </c>
      <c r="N4923">
        <v>9</v>
      </c>
      <c r="O4923">
        <v>34.613999999999997</v>
      </c>
      <c r="P4923">
        <v>15.32825544</v>
      </c>
      <c r="Q4923">
        <v>8.7579999999999991</v>
      </c>
    </row>
    <row r="4924" spans="1:17" x14ac:dyDescent="0.2">
      <c r="A4924" s="30" t="str">
        <f>IF(C4924&amp;G4924&amp;D4924&lt;&gt;'Funnel setup'!$K$3&amp;'Funnel setup'!$K$4&amp;'Funnel setup'!$K$5,".",IF(A4923=".",1,A4923+1))</f>
        <v>.</v>
      </c>
      <c r="B4924" s="431" t="str">
        <f t="shared" si="76"/>
        <v>Knee Replacement PrimaryProviderDUCHY HOSPITAL (NVC04)Oxford Knee Score</v>
      </c>
      <c r="C4924" t="s">
        <v>249</v>
      </c>
      <c r="D4924" t="s">
        <v>1</v>
      </c>
      <c r="E4924" t="s">
        <v>4518</v>
      </c>
      <c r="F4924" t="s">
        <v>4519</v>
      </c>
      <c r="G4924" t="s">
        <v>16</v>
      </c>
      <c r="H4924">
        <v>224</v>
      </c>
      <c r="I4924">
        <v>21.768000000000001</v>
      </c>
      <c r="J4924">
        <v>38.972999999999999</v>
      </c>
      <c r="K4924">
        <v>17.204999999999998</v>
      </c>
      <c r="L4924">
        <v>212</v>
      </c>
      <c r="M4924">
        <v>3</v>
      </c>
      <c r="N4924">
        <v>9</v>
      </c>
      <c r="O4924">
        <v>37.654000000000003</v>
      </c>
      <c r="P4924">
        <v>18.368756550000001</v>
      </c>
      <c r="Q4924">
        <v>7.399</v>
      </c>
    </row>
    <row r="4925" spans="1:17" x14ac:dyDescent="0.2">
      <c r="A4925" s="30" t="str">
        <f>IF(C4925&amp;G4925&amp;D4925&lt;&gt;'Funnel setup'!$K$3&amp;'Funnel setup'!$K$4&amp;'Funnel setup'!$K$5,".",IF(A4924=".",1,A4924+1))</f>
        <v>.</v>
      </c>
      <c r="B4925" s="431" t="str">
        <f t="shared" si="76"/>
        <v>Knee Replacement PrimaryProviderEAST AND NORTH HERTFORDSHIRE NHS TRUST (RWH)Oxford Knee Score</v>
      </c>
      <c r="C4925" t="s">
        <v>249</v>
      </c>
      <c r="D4925" t="s">
        <v>1</v>
      </c>
      <c r="E4925" t="s">
        <v>3814</v>
      </c>
      <c r="F4925" t="s">
        <v>3815</v>
      </c>
      <c r="G4925" t="s">
        <v>16</v>
      </c>
      <c r="H4925">
        <v>122</v>
      </c>
      <c r="I4925">
        <v>18.59</v>
      </c>
      <c r="J4925">
        <v>34.991999999999997</v>
      </c>
      <c r="K4925">
        <v>16.402000000000001</v>
      </c>
      <c r="L4925">
        <v>114</v>
      </c>
      <c r="M4925">
        <v>2</v>
      </c>
      <c r="N4925">
        <v>6</v>
      </c>
      <c r="O4925">
        <v>34.799999999999997</v>
      </c>
      <c r="P4925">
        <v>15.514373389999999</v>
      </c>
      <c r="Q4925">
        <v>8.7070000000000007</v>
      </c>
    </row>
    <row r="4926" spans="1:17" x14ac:dyDescent="0.2">
      <c r="A4926" s="30" t="str">
        <f>IF(C4926&amp;G4926&amp;D4926&lt;&gt;'Funnel setup'!$K$3&amp;'Funnel setup'!$K$4&amp;'Funnel setup'!$K$5,".",IF(A4925=".",1,A4925+1))</f>
        <v>.</v>
      </c>
      <c r="B4926" s="431" t="str">
        <f t="shared" si="76"/>
        <v>Knee Replacement PrimaryProviderEAST CHESHIRE NHS TRUST (RJN)Oxford Knee Score</v>
      </c>
      <c r="C4926" t="s">
        <v>249</v>
      </c>
      <c r="D4926" t="s">
        <v>1</v>
      </c>
      <c r="E4926" t="s">
        <v>3817</v>
      </c>
      <c r="F4926" t="s">
        <v>3818</v>
      </c>
      <c r="G4926" t="s">
        <v>16</v>
      </c>
      <c r="H4926">
        <v>87</v>
      </c>
      <c r="I4926">
        <v>19</v>
      </c>
      <c r="J4926">
        <v>38.448</v>
      </c>
      <c r="K4926">
        <v>19.448</v>
      </c>
      <c r="L4926">
        <v>85</v>
      </c>
      <c r="M4926">
        <v>0</v>
      </c>
      <c r="N4926">
        <v>2</v>
      </c>
      <c r="O4926">
        <v>37.645000000000003</v>
      </c>
      <c r="P4926">
        <v>18.359794879999999</v>
      </c>
      <c r="Q4926">
        <v>8.1270000000000007</v>
      </c>
    </row>
    <row r="4927" spans="1:17" x14ac:dyDescent="0.2">
      <c r="A4927" s="30" t="str">
        <f>IF(C4927&amp;G4927&amp;D4927&lt;&gt;'Funnel setup'!$K$3&amp;'Funnel setup'!$K$4&amp;'Funnel setup'!$K$5,".",IF(A4926=".",1,A4926+1))</f>
        <v>.</v>
      </c>
      <c r="B4927" s="431" t="str">
        <f t="shared" si="76"/>
        <v>Knee Replacement PrimaryProviderEAST KENT HOSPITALS UNIVERSITY NHS FOUNDATION TRUST (RVV)Oxford Knee Score</v>
      </c>
      <c r="C4927" t="s">
        <v>249</v>
      </c>
      <c r="D4927" t="s">
        <v>1</v>
      </c>
      <c r="E4927" t="s">
        <v>3820</v>
      </c>
      <c r="F4927" t="s">
        <v>3821</v>
      </c>
      <c r="G4927" t="s">
        <v>16</v>
      </c>
      <c r="H4927">
        <v>426</v>
      </c>
      <c r="I4927">
        <v>20.123999999999999</v>
      </c>
      <c r="J4927">
        <v>35.393999999999998</v>
      </c>
      <c r="K4927">
        <v>15.27</v>
      </c>
      <c r="L4927">
        <v>394</v>
      </c>
      <c r="M4927">
        <v>7</v>
      </c>
      <c r="N4927">
        <v>25</v>
      </c>
      <c r="O4927">
        <v>35.134</v>
      </c>
      <c r="P4927">
        <v>15.848718460000001</v>
      </c>
      <c r="Q4927">
        <v>8.3699999999999992</v>
      </c>
    </row>
    <row r="4928" spans="1:17" x14ac:dyDescent="0.2">
      <c r="A4928" s="30" t="str">
        <f>IF(C4928&amp;G4928&amp;D4928&lt;&gt;'Funnel setup'!$K$3&amp;'Funnel setup'!$K$4&amp;'Funnel setup'!$K$5,".",IF(A4927=".",1,A4927+1))</f>
        <v>.</v>
      </c>
      <c r="B4928" s="431" t="str">
        <f t="shared" si="76"/>
        <v>Knee Replacement PrimaryProviderEAST LANCASHIRE HOSPITALS NHS TRUST (RXR)Oxford Knee Score</v>
      </c>
      <c r="C4928" t="s">
        <v>249</v>
      </c>
      <c r="D4928" t="s">
        <v>1</v>
      </c>
      <c r="E4928" t="s">
        <v>3823</v>
      </c>
      <c r="F4928" t="s">
        <v>3824</v>
      </c>
      <c r="G4928" t="s">
        <v>16</v>
      </c>
      <c r="H4928">
        <v>166</v>
      </c>
      <c r="I4928">
        <v>17.145</v>
      </c>
      <c r="J4928">
        <v>35.03</v>
      </c>
      <c r="K4928">
        <v>17.885999999999999</v>
      </c>
      <c r="L4928">
        <v>160</v>
      </c>
      <c r="M4928">
        <v>1</v>
      </c>
      <c r="N4928">
        <v>5</v>
      </c>
      <c r="O4928">
        <v>36.962000000000003</v>
      </c>
      <c r="P4928">
        <v>17.677065030000001</v>
      </c>
      <c r="Q4928">
        <v>9.218</v>
      </c>
    </row>
    <row r="4929" spans="1:17" x14ac:dyDescent="0.2">
      <c r="A4929" s="30" t="str">
        <f>IF(C4929&amp;G4929&amp;D4929&lt;&gt;'Funnel setup'!$K$3&amp;'Funnel setup'!$K$4&amp;'Funnel setup'!$K$5,".",IF(A4928=".",1,A4928+1))</f>
        <v>.</v>
      </c>
      <c r="B4929" s="431" t="str">
        <f t="shared" si="76"/>
        <v>Knee Replacement PrimaryProviderEAST SUSSEX HEALTHCARE NHS TRUST (RXC)Oxford Knee Score</v>
      </c>
      <c r="C4929" t="s">
        <v>249</v>
      </c>
      <c r="D4929" t="s">
        <v>1</v>
      </c>
      <c r="E4929" t="s">
        <v>3826</v>
      </c>
      <c r="F4929" t="s">
        <v>3827</v>
      </c>
      <c r="G4929" t="s">
        <v>16</v>
      </c>
      <c r="H4929">
        <v>317</v>
      </c>
      <c r="I4929">
        <v>20.167000000000002</v>
      </c>
      <c r="J4929">
        <v>35.886000000000003</v>
      </c>
      <c r="K4929">
        <v>15.718999999999999</v>
      </c>
      <c r="L4929">
        <v>292</v>
      </c>
      <c r="M4929">
        <v>1</v>
      </c>
      <c r="N4929">
        <v>24</v>
      </c>
      <c r="O4929">
        <v>35.628999999999998</v>
      </c>
      <c r="P4929">
        <v>16.343814949999999</v>
      </c>
      <c r="Q4929">
        <v>8.7859999999999996</v>
      </c>
    </row>
    <row r="4930" spans="1:17" x14ac:dyDescent="0.2">
      <c r="A4930" s="30" t="str">
        <f>IF(C4930&amp;G4930&amp;D4930&lt;&gt;'Funnel setup'!$K$3&amp;'Funnel setup'!$K$4&amp;'Funnel setup'!$K$5,".",IF(A4929=".",1,A4929+1))</f>
        <v>.</v>
      </c>
      <c r="B4930" s="431" t="str">
        <f t="shared" si="76"/>
        <v>Knee Replacement PrimaryProviderEMERSONS GREEN NHS TREATMENT CENTRE (NTPH2)Oxford Knee Score</v>
      </c>
      <c r="C4930" t="s">
        <v>249</v>
      </c>
      <c r="D4930" t="s">
        <v>1</v>
      </c>
      <c r="E4930" t="s">
        <v>3829</v>
      </c>
      <c r="F4930" t="s">
        <v>3830</v>
      </c>
      <c r="G4930" t="s">
        <v>16</v>
      </c>
      <c r="H4930">
        <v>373</v>
      </c>
      <c r="I4930">
        <v>20.523</v>
      </c>
      <c r="J4930">
        <v>37.863</v>
      </c>
      <c r="K4930">
        <v>17.34</v>
      </c>
      <c r="L4930">
        <v>363</v>
      </c>
      <c r="M4930">
        <v>4</v>
      </c>
      <c r="N4930">
        <v>6</v>
      </c>
      <c r="O4930">
        <v>36.344999999999999</v>
      </c>
      <c r="P4930">
        <v>17.059800150000001</v>
      </c>
      <c r="Q4930">
        <v>6.9470000000000001</v>
      </c>
    </row>
    <row r="4931" spans="1:17" x14ac:dyDescent="0.2">
      <c r="A4931" s="30" t="str">
        <f>IF(C4931&amp;G4931&amp;D4931&lt;&gt;'Funnel setup'!$K$3&amp;'Funnel setup'!$K$4&amp;'Funnel setup'!$K$5,".",IF(A4930=".",1,A4930+1))</f>
        <v>.</v>
      </c>
      <c r="B4931" s="431" t="str">
        <f t="shared" ref="B4931:B4994" si="77">C4931&amp;D4931&amp;F4931&amp;G4931</f>
        <v>Knee Replacement PrimaryProviderEPSOM AND ST HELIER UNIVERSITY HOSPITALS NHS TRUST (RVR)Oxford Knee Score</v>
      </c>
      <c r="C4931" t="s">
        <v>249</v>
      </c>
      <c r="D4931" t="s">
        <v>1</v>
      </c>
      <c r="E4931" t="s">
        <v>3849</v>
      </c>
      <c r="F4931" t="s">
        <v>3850</v>
      </c>
      <c r="G4931" t="s">
        <v>16</v>
      </c>
      <c r="H4931">
        <v>451</v>
      </c>
      <c r="I4931">
        <v>20.152999999999999</v>
      </c>
      <c r="J4931">
        <v>34.347999999999999</v>
      </c>
      <c r="K4931">
        <v>14.195</v>
      </c>
      <c r="L4931">
        <v>414</v>
      </c>
      <c r="M4931">
        <v>5</v>
      </c>
      <c r="N4931">
        <v>32</v>
      </c>
      <c r="O4931">
        <v>33.935000000000002</v>
      </c>
      <c r="P4931">
        <v>14.649214880000001</v>
      </c>
      <c r="Q4931">
        <v>8.7219999999999995</v>
      </c>
    </row>
    <row r="4932" spans="1:17" x14ac:dyDescent="0.2">
      <c r="A4932" s="30" t="str">
        <f>IF(C4932&amp;G4932&amp;D4932&lt;&gt;'Funnel setup'!$K$3&amp;'Funnel setup'!$K$4&amp;'Funnel setup'!$K$5,".",IF(A4931=".",1,A4931+1))</f>
        <v>.</v>
      </c>
      <c r="B4932" s="431" t="str">
        <f t="shared" si="77"/>
        <v>Knee Replacement PrimaryProviderEUXTON HALL HOSPITAL (NVC05)Oxford Knee Score</v>
      </c>
      <c r="C4932" t="s">
        <v>249</v>
      </c>
      <c r="D4932" t="s">
        <v>1</v>
      </c>
      <c r="E4932" t="s">
        <v>3852</v>
      </c>
      <c r="F4932" t="s">
        <v>3853</v>
      </c>
      <c r="G4932" t="s">
        <v>16</v>
      </c>
      <c r="H4932">
        <v>94</v>
      </c>
      <c r="I4932">
        <v>21.457000000000001</v>
      </c>
      <c r="J4932">
        <v>36.564</v>
      </c>
      <c r="K4932">
        <v>15.106</v>
      </c>
      <c r="L4932">
        <v>85</v>
      </c>
      <c r="M4932">
        <v>1</v>
      </c>
      <c r="N4932">
        <v>8</v>
      </c>
      <c r="O4932">
        <v>34.93</v>
      </c>
      <c r="P4932">
        <v>15.644154410000001</v>
      </c>
      <c r="Q4932">
        <v>8.0559999999999992</v>
      </c>
    </row>
    <row r="4933" spans="1:17" x14ac:dyDescent="0.2">
      <c r="A4933" s="30" t="str">
        <f>IF(C4933&amp;G4933&amp;D4933&lt;&gt;'Funnel setup'!$K$3&amp;'Funnel setup'!$K$4&amp;'Funnel setup'!$K$5,".",IF(A4932=".",1,A4932+1))</f>
        <v>.</v>
      </c>
      <c r="B4933" s="431" t="str">
        <f t="shared" si="77"/>
        <v>Knee Replacement PrimaryProviderFAIRFIELD HOSPITAL (NVG01)Oxford Knee Score</v>
      </c>
      <c r="C4933" t="s">
        <v>249</v>
      </c>
      <c r="D4933" t="s">
        <v>1</v>
      </c>
      <c r="E4933" t="s">
        <v>3855</v>
      </c>
      <c r="F4933" t="s">
        <v>3856</v>
      </c>
      <c r="G4933" t="s">
        <v>16</v>
      </c>
      <c r="H4933">
        <v>9</v>
      </c>
      <c r="I4933">
        <v>18</v>
      </c>
      <c r="J4933">
        <v>35.555999999999997</v>
      </c>
      <c r="K4933">
        <v>17.556000000000001</v>
      </c>
      <c r="L4933">
        <v>9</v>
      </c>
      <c r="M4933">
        <v>0</v>
      </c>
      <c r="N4933">
        <v>0</v>
      </c>
      <c r="O4933" t="s">
        <v>53</v>
      </c>
      <c r="P4933" t="s">
        <v>53</v>
      </c>
      <c r="Q4933" t="s">
        <v>53</v>
      </c>
    </row>
    <row r="4934" spans="1:17" x14ac:dyDescent="0.2">
      <c r="A4934" s="30" t="str">
        <f>IF(C4934&amp;G4934&amp;D4934&lt;&gt;'Funnel setup'!$K$3&amp;'Funnel setup'!$K$4&amp;'Funnel setup'!$K$5,".",IF(A4933=".",1,A4933+1))</f>
        <v>.</v>
      </c>
      <c r="B4934" s="431" t="str">
        <f t="shared" si="77"/>
        <v>Knee Replacement PrimaryProviderFITZWILLIAM HOSPITAL (NVC06)Oxford Knee Score</v>
      </c>
      <c r="C4934" t="s">
        <v>249</v>
      </c>
      <c r="D4934" t="s">
        <v>1</v>
      </c>
      <c r="E4934" t="s">
        <v>3858</v>
      </c>
      <c r="F4934" t="s">
        <v>3859</v>
      </c>
      <c r="G4934" t="s">
        <v>16</v>
      </c>
      <c r="H4934">
        <v>145</v>
      </c>
      <c r="I4934">
        <v>21.669</v>
      </c>
      <c r="J4934">
        <v>36.4</v>
      </c>
      <c r="K4934">
        <v>14.731</v>
      </c>
      <c r="L4934">
        <v>133</v>
      </c>
      <c r="M4934">
        <v>2</v>
      </c>
      <c r="N4934">
        <v>10</v>
      </c>
      <c r="O4934">
        <v>34.9</v>
      </c>
      <c r="P4934">
        <v>15.614903959999999</v>
      </c>
      <c r="Q4934">
        <v>8.5809999999999995</v>
      </c>
    </row>
    <row r="4935" spans="1:17" x14ac:dyDescent="0.2">
      <c r="A4935" s="30" t="str">
        <f>IF(C4935&amp;G4935&amp;D4935&lt;&gt;'Funnel setup'!$K$3&amp;'Funnel setup'!$K$4&amp;'Funnel setup'!$K$5,".",IF(A4934=".",1,A4934+1))</f>
        <v>.</v>
      </c>
      <c r="B4935" s="431" t="str">
        <f t="shared" si="77"/>
        <v>Knee Replacement PrimaryProviderFOSCOTE COURT (BANBURY) TRUST LTD (AHH)Oxford Knee Score</v>
      </c>
      <c r="C4935" t="s">
        <v>249</v>
      </c>
      <c r="D4935" t="s">
        <v>1</v>
      </c>
      <c r="E4935" t="s">
        <v>3900</v>
      </c>
      <c r="F4935" t="s">
        <v>3901</v>
      </c>
      <c r="G4935" t="s">
        <v>16</v>
      </c>
      <c r="H4935" t="s">
        <v>53</v>
      </c>
      <c r="I4935" t="s">
        <v>53</v>
      </c>
      <c r="J4935" t="s">
        <v>53</v>
      </c>
      <c r="K4935" t="s">
        <v>53</v>
      </c>
      <c r="L4935" t="s">
        <v>53</v>
      </c>
      <c r="M4935" t="s">
        <v>53</v>
      </c>
      <c r="N4935" t="s">
        <v>53</v>
      </c>
      <c r="O4935" t="s">
        <v>53</v>
      </c>
      <c r="P4935" t="s">
        <v>53</v>
      </c>
      <c r="Q4935" t="s">
        <v>53</v>
      </c>
    </row>
    <row r="4936" spans="1:17" x14ac:dyDescent="0.2">
      <c r="A4936" s="30" t="str">
        <f>IF(C4936&amp;G4936&amp;D4936&lt;&gt;'Funnel setup'!$K$3&amp;'Funnel setup'!$K$4&amp;'Funnel setup'!$K$5,".",IF(A4935=".",1,A4935+1))</f>
        <v>.</v>
      </c>
      <c r="B4936" s="431" t="str">
        <f t="shared" si="77"/>
        <v>Knee Replacement PrimaryProviderFRIMLEY HEALTH NHS FOUNDATION TRUST (RDU)Oxford Knee Score</v>
      </c>
      <c r="C4936" t="s">
        <v>249</v>
      </c>
      <c r="D4936" t="s">
        <v>1</v>
      </c>
      <c r="E4936" t="s">
        <v>3861</v>
      </c>
      <c r="F4936" t="s">
        <v>3862</v>
      </c>
      <c r="G4936" t="s">
        <v>16</v>
      </c>
      <c r="H4936">
        <v>463</v>
      </c>
      <c r="I4936">
        <v>20.954999999999998</v>
      </c>
      <c r="J4936">
        <v>36.201000000000001</v>
      </c>
      <c r="K4936">
        <v>15.246</v>
      </c>
      <c r="L4936">
        <v>432</v>
      </c>
      <c r="M4936">
        <v>3</v>
      </c>
      <c r="N4936">
        <v>28</v>
      </c>
      <c r="O4936">
        <v>34.976999999999997</v>
      </c>
      <c r="P4936">
        <v>15.69148802</v>
      </c>
      <c r="Q4936">
        <v>8.0660000000000007</v>
      </c>
    </row>
    <row r="4937" spans="1:17" x14ac:dyDescent="0.2">
      <c r="A4937" s="30" t="str">
        <f>IF(C4937&amp;G4937&amp;D4937&lt;&gt;'Funnel setup'!$K$3&amp;'Funnel setup'!$K$4&amp;'Funnel setup'!$K$5,".",IF(A4936=".",1,A4936+1))</f>
        <v>.</v>
      </c>
      <c r="B4937" s="431" t="str">
        <f t="shared" si="77"/>
        <v>Knee Replacement PrimaryProviderFULWOOD HALL HOSPITAL (NVC07)Oxford Knee Score</v>
      </c>
      <c r="C4937" t="s">
        <v>249</v>
      </c>
      <c r="D4937" t="s">
        <v>1</v>
      </c>
      <c r="E4937" t="s">
        <v>3864</v>
      </c>
      <c r="F4937" t="s">
        <v>3865</v>
      </c>
      <c r="G4937" t="s">
        <v>16</v>
      </c>
      <c r="H4937">
        <v>216</v>
      </c>
      <c r="I4937">
        <v>21.481000000000002</v>
      </c>
      <c r="J4937">
        <v>36.435000000000002</v>
      </c>
      <c r="K4937">
        <v>14.954000000000001</v>
      </c>
      <c r="L4937">
        <v>205</v>
      </c>
      <c r="M4937">
        <v>2</v>
      </c>
      <c r="N4937">
        <v>9</v>
      </c>
      <c r="O4937">
        <v>35.271000000000001</v>
      </c>
      <c r="P4937">
        <v>15.98539012</v>
      </c>
      <c r="Q4937">
        <v>7.8339999999999996</v>
      </c>
    </row>
    <row r="4938" spans="1:17" x14ac:dyDescent="0.2">
      <c r="A4938" s="30" t="str">
        <f>IF(C4938&amp;G4938&amp;D4938&lt;&gt;'Funnel setup'!$K$3&amp;'Funnel setup'!$K$4&amp;'Funnel setup'!$K$5,".",IF(A4937=".",1,A4937+1))</f>
        <v>.</v>
      </c>
      <c r="B4938" s="431" t="str">
        <f t="shared" si="77"/>
        <v>Knee Replacement PrimaryProviderGATESHEAD HEALTH NHS FOUNDATION TRUST (RR7)Oxford Knee Score</v>
      </c>
      <c r="C4938" t="s">
        <v>249</v>
      </c>
      <c r="D4938" t="s">
        <v>1</v>
      </c>
      <c r="E4938" t="s">
        <v>3867</v>
      </c>
      <c r="F4938" t="s">
        <v>3868</v>
      </c>
      <c r="G4938" t="s">
        <v>16</v>
      </c>
      <c r="H4938">
        <v>275</v>
      </c>
      <c r="I4938">
        <v>18.309000000000001</v>
      </c>
      <c r="J4938">
        <v>33.615000000000002</v>
      </c>
      <c r="K4938">
        <v>15.305</v>
      </c>
      <c r="L4938">
        <v>255</v>
      </c>
      <c r="M4938">
        <v>5</v>
      </c>
      <c r="N4938">
        <v>15</v>
      </c>
      <c r="O4938">
        <v>34.253</v>
      </c>
      <c r="P4938">
        <v>14.967414</v>
      </c>
      <c r="Q4938">
        <v>8.8520000000000003</v>
      </c>
    </row>
    <row r="4939" spans="1:17" x14ac:dyDescent="0.2">
      <c r="A4939" s="30" t="str">
        <f>IF(C4939&amp;G4939&amp;D4939&lt;&gt;'Funnel setup'!$K$3&amp;'Funnel setup'!$K$4&amp;'Funnel setup'!$K$5,".",IF(A4938=".",1,A4938+1))</f>
        <v>.</v>
      </c>
      <c r="B4939" s="431" t="str">
        <f t="shared" si="77"/>
        <v>Knee Replacement PrimaryProviderGEORGE ELIOT HOSPITAL NHS TRUST (RLT)Oxford Knee Score</v>
      </c>
      <c r="C4939" t="s">
        <v>249</v>
      </c>
      <c r="D4939" t="s">
        <v>1</v>
      </c>
      <c r="E4939" t="s">
        <v>3870</v>
      </c>
      <c r="F4939" t="s">
        <v>3871</v>
      </c>
      <c r="G4939" t="s">
        <v>16</v>
      </c>
      <c r="H4939">
        <v>54</v>
      </c>
      <c r="I4939">
        <v>16.888999999999999</v>
      </c>
      <c r="J4939">
        <v>32.759</v>
      </c>
      <c r="K4939">
        <v>15.87</v>
      </c>
      <c r="L4939">
        <v>52</v>
      </c>
      <c r="M4939">
        <v>1</v>
      </c>
      <c r="N4939">
        <v>1</v>
      </c>
      <c r="O4939">
        <v>34.332999999999998</v>
      </c>
      <c r="P4939">
        <v>15.04719126</v>
      </c>
      <c r="Q4939">
        <v>8.3450000000000006</v>
      </c>
    </row>
    <row r="4940" spans="1:17" x14ac:dyDescent="0.2">
      <c r="A4940" s="30" t="str">
        <f>IF(C4940&amp;G4940&amp;D4940&lt;&gt;'Funnel setup'!$K$3&amp;'Funnel setup'!$K$4&amp;'Funnel setup'!$K$5,".",IF(A4939=".",1,A4939+1))</f>
        <v>.</v>
      </c>
      <c r="B4940" s="431" t="str">
        <f t="shared" si="77"/>
        <v>Knee Replacement PrimaryProviderGLOUCESTERSHIRE HOSPITALS NHS FOUNDATION TRUST (RTE)Oxford Knee Score</v>
      </c>
      <c r="C4940" t="s">
        <v>249</v>
      </c>
      <c r="D4940" t="s">
        <v>1</v>
      </c>
      <c r="E4940" t="s">
        <v>3873</v>
      </c>
      <c r="F4940" t="s">
        <v>3874</v>
      </c>
      <c r="G4940" t="s">
        <v>16</v>
      </c>
      <c r="H4940">
        <v>343</v>
      </c>
      <c r="I4940">
        <v>20.821999999999999</v>
      </c>
      <c r="J4940">
        <v>37.067</v>
      </c>
      <c r="K4940">
        <v>16.245000000000001</v>
      </c>
      <c r="L4940">
        <v>327</v>
      </c>
      <c r="M4940">
        <v>3</v>
      </c>
      <c r="N4940">
        <v>13</v>
      </c>
      <c r="O4940">
        <v>35.695</v>
      </c>
      <c r="P4940">
        <v>16.409150619999998</v>
      </c>
      <c r="Q4940">
        <v>7.5069999999999997</v>
      </c>
    </row>
    <row r="4941" spans="1:17" x14ac:dyDescent="0.2">
      <c r="A4941" s="30" t="str">
        <f>IF(C4941&amp;G4941&amp;D4941&lt;&gt;'Funnel setup'!$K$3&amp;'Funnel setup'!$K$4&amp;'Funnel setup'!$K$5,".",IF(A4940=".",1,A4940+1))</f>
        <v>.</v>
      </c>
      <c r="B4941" s="431" t="str">
        <f t="shared" si="77"/>
        <v>Knee Replacement PrimaryProviderGREAT WESTERN HOSPITALS NHS FOUNDATION TRUST (RN3)Oxford Knee Score</v>
      </c>
      <c r="C4941" t="s">
        <v>249</v>
      </c>
      <c r="D4941" t="s">
        <v>1</v>
      </c>
      <c r="E4941" t="s">
        <v>3876</v>
      </c>
      <c r="F4941" t="s">
        <v>3877</v>
      </c>
      <c r="G4941" t="s">
        <v>16</v>
      </c>
      <c r="H4941">
        <v>216</v>
      </c>
      <c r="I4941">
        <v>18.559999999999999</v>
      </c>
      <c r="J4941">
        <v>36.082999999999998</v>
      </c>
      <c r="K4941">
        <v>17.523</v>
      </c>
      <c r="L4941">
        <v>204</v>
      </c>
      <c r="M4941">
        <v>3</v>
      </c>
      <c r="N4941">
        <v>9</v>
      </c>
      <c r="O4941">
        <v>35.94</v>
      </c>
      <c r="P4941">
        <v>16.654835030000001</v>
      </c>
      <c r="Q4941">
        <v>8.4469999999999992</v>
      </c>
    </row>
    <row r="4942" spans="1:17" x14ac:dyDescent="0.2">
      <c r="A4942" s="30" t="str">
        <f>IF(C4942&amp;G4942&amp;D4942&lt;&gt;'Funnel setup'!$K$3&amp;'Funnel setup'!$K$4&amp;'Funnel setup'!$K$5,".",IF(A4941=".",1,A4941+1))</f>
        <v>.</v>
      </c>
      <c r="B4942" s="431" t="str">
        <f t="shared" si="77"/>
        <v>Knee Replacement PrimaryProviderGUY'S AND ST THOMAS' NHS FOUNDATION TRUST (RJ1)Oxford Knee Score</v>
      </c>
      <c r="C4942" t="s">
        <v>249</v>
      </c>
      <c r="D4942" t="s">
        <v>1</v>
      </c>
      <c r="E4942" t="s">
        <v>3879</v>
      </c>
      <c r="F4942" t="s">
        <v>3880</v>
      </c>
      <c r="G4942" t="s">
        <v>16</v>
      </c>
      <c r="H4942">
        <v>106</v>
      </c>
      <c r="I4942">
        <v>15.991</v>
      </c>
      <c r="J4942">
        <v>31.132000000000001</v>
      </c>
      <c r="K4942">
        <v>15.141999999999999</v>
      </c>
      <c r="L4942">
        <v>97</v>
      </c>
      <c r="M4942">
        <v>1</v>
      </c>
      <c r="N4942">
        <v>8</v>
      </c>
      <c r="O4942">
        <v>33.914999999999999</v>
      </c>
      <c r="P4942">
        <v>14.630013419999999</v>
      </c>
      <c r="Q4942">
        <v>9.5139999999999993</v>
      </c>
    </row>
    <row r="4943" spans="1:17" x14ac:dyDescent="0.2">
      <c r="A4943" s="30" t="str">
        <f>IF(C4943&amp;G4943&amp;D4943&lt;&gt;'Funnel setup'!$K$3&amp;'Funnel setup'!$K$4&amp;'Funnel setup'!$K$5,".",IF(A4942=".",1,A4942+1))</f>
        <v>.</v>
      </c>
      <c r="B4943" s="431" t="str">
        <f t="shared" si="77"/>
        <v>Knee Replacement PrimaryProviderHAMPSHIRE HOSPITALS NHS FOUNDATION TRUST (RN5)Oxford Knee Score</v>
      </c>
      <c r="C4943" t="s">
        <v>249</v>
      </c>
      <c r="D4943" t="s">
        <v>1</v>
      </c>
      <c r="E4943" t="s">
        <v>3882</v>
      </c>
      <c r="F4943" t="s">
        <v>3883</v>
      </c>
      <c r="G4943" t="s">
        <v>16</v>
      </c>
      <c r="H4943">
        <v>282</v>
      </c>
      <c r="I4943">
        <v>20.914999999999999</v>
      </c>
      <c r="J4943">
        <v>36.729999999999997</v>
      </c>
      <c r="K4943">
        <v>15.816000000000001</v>
      </c>
      <c r="L4943">
        <v>266</v>
      </c>
      <c r="M4943">
        <v>1</v>
      </c>
      <c r="N4943">
        <v>15</v>
      </c>
      <c r="O4943">
        <v>35.57</v>
      </c>
      <c r="P4943">
        <v>16.284560840000001</v>
      </c>
      <c r="Q4943">
        <v>7.609</v>
      </c>
    </row>
    <row r="4944" spans="1:17" x14ac:dyDescent="0.2">
      <c r="A4944" s="30" t="str">
        <f>IF(C4944&amp;G4944&amp;D4944&lt;&gt;'Funnel setup'!$K$3&amp;'Funnel setup'!$K$4&amp;'Funnel setup'!$K$5,".",IF(A4943=".",1,A4943+1))</f>
        <v>.</v>
      </c>
      <c r="B4944" s="431" t="str">
        <f t="shared" si="77"/>
        <v>Knee Replacement PrimaryProviderHARROGATE AND DISTRICT NHS FOUNDATION TRUST (RCD)Oxford Knee Score</v>
      </c>
      <c r="C4944" t="s">
        <v>249</v>
      </c>
      <c r="D4944" t="s">
        <v>1</v>
      </c>
      <c r="E4944" t="s">
        <v>3885</v>
      </c>
      <c r="F4944" t="s">
        <v>3886</v>
      </c>
      <c r="G4944" t="s">
        <v>16</v>
      </c>
      <c r="H4944">
        <v>230</v>
      </c>
      <c r="I4944">
        <v>22.338999999999999</v>
      </c>
      <c r="J4944">
        <v>37.412999999999997</v>
      </c>
      <c r="K4944">
        <v>15.074</v>
      </c>
      <c r="L4944">
        <v>215</v>
      </c>
      <c r="M4944">
        <v>3</v>
      </c>
      <c r="N4944">
        <v>12</v>
      </c>
      <c r="O4944">
        <v>35.537999999999997</v>
      </c>
      <c r="P4944">
        <v>16.25245877</v>
      </c>
      <c r="Q4944">
        <v>7.6660000000000004</v>
      </c>
    </row>
    <row r="4945" spans="1:17" x14ac:dyDescent="0.2">
      <c r="A4945" s="30" t="str">
        <f>IF(C4945&amp;G4945&amp;D4945&lt;&gt;'Funnel setup'!$K$3&amp;'Funnel setup'!$K$4&amp;'Funnel setup'!$K$5,".",IF(A4944=".",1,A4944+1))</f>
        <v>.</v>
      </c>
      <c r="B4945" s="431" t="str">
        <f t="shared" si="77"/>
        <v>Knee Replacement PrimaryProviderHEART OF ENGLAND NHS FOUNDATION TRUST (RR1)Oxford Knee Score</v>
      </c>
      <c r="C4945" t="s">
        <v>249</v>
      </c>
      <c r="D4945" t="s">
        <v>1</v>
      </c>
      <c r="E4945" t="s">
        <v>3888</v>
      </c>
      <c r="F4945" t="s">
        <v>3889</v>
      </c>
      <c r="G4945" t="s">
        <v>16</v>
      </c>
      <c r="H4945">
        <v>513</v>
      </c>
      <c r="I4945">
        <v>18.361000000000001</v>
      </c>
      <c r="J4945">
        <v>33.212000000000003</v>
      </c>
      <c r="K4945">
        <v>14.852</v>
      </c>
      <c r="L4945">
        <v>467</v>
      </c>
      <c r="M4945">
        <v>5</v>
      </c>
      <c r="N4945">
        <v>41</v>
      </c>
      <c r="O4945">
        <v>34.360999999999997</v>
      </c>
      <c r="P4945">
        <v>15.07564449</v>
      </c>
      <c r="Q4945">
        <v>9.3230000000000004</v>
      </c>
    </row>
    <row r="4946" spans="1:17" x14ac:dyDescent="0.2">
      <c r="A4946" s="30" t="str">
        <f>IF(C4946&amp;G4946&amp;D4946&lt;&gt;'Funnel setup'!$K$3&amp;'Funnel setup'!$K$4&amp;'Funnel setup'!$K$5,".",IF(A4945=".",1,A4945+1))</f>
        <v>.</v>
      </c>
      <c r="B4946" s="431" t="str">
        <f t="shared" si="77"/>
        <v>Knee Replacement PrimaryProviderHINCHINGBROOKE HEALTH CARE NHS TRUST (RQQ)Oxford Knee Score</v>
      </c>
      <c r="C4946" t="s">
        <v>249</v>
      </c>
      <c r="D4946" t="s">
        <v>1</v>
      </c>
      <c r="E4946" t="s">
        <v>3894</v>
      </c>
      <c r="F4946" t="s">
        <v>3895</v>
      </c>
      <c r="G4946" t="s">
        <v>16</v>
      </c>
      <c r="H4946">
        <v>201</v>
      </c>
      <c r="I4946">
        <v>18.347999999999999</v>
      </c>
      <c r="J4946">
        <v>36.228999999999999</v>
      </c>
      <c r="K4946">
        <v>17.881</v>
      </c>
      <c r="L4946">
        <v>199</v>
      </c>
      <c r="M4946">
        <v>0</v>
      </c>
      <c r="N4946">
        <v>2</v>
      </c>
      <c r="O4946">
        <v>36.18</v>
      </c>
      <c r="P4946">
        <v>16.894539940000001</v>
      </c>
      <c r="Q4946">
        <v>8.1210000000000004</v>
      </c>
    </row>
    <row r="4947" spans="1:17" x14ac:dyDescent="0.2">
      <c r="A4947" s="30" t="str">
        <f>IF(C4947&amp;G4947&amp;D4947&lt;&gt;'Funnel setup'!$K$3&amp;'Funnel setup'!$K$4&amp;'Funnel setup'!$K$5,".",IF(A4946=".",1,A4946+1))</f>
        <v>.</v>
      </c>
      <c r="B4947" s="431" t="str">
        <f t="shared" si="77"/>
        <v>Knee Replacement PrimaryProviderHOMERTON UNIVERSITY HOSPITAL NHS FOUNDATION TRUST (RQX)Oxford Knee Score</v>
      </c>
      <c r="C4947" t="s">
        <v>249</v>
      </c>
      <c r="D4947" t="s">
        <v>1</v>
      </c>
      <c r="E4947" t="s">
        <v>3897</v>
      </c>
      <c r="F4947" t="s">
        <v>3898</v>
      </c>
      <c r="G4947" t="s">
        <v>16</v>
      </c>
      <c r="H4947">
        <v>56</v>
      </c>
      <c r="I4947">
        <v>18.161000000000001</v>
      </c>
      <c r="J4947">
        <v>26.481999999999999</v>
      </c>
      <c r="K4947">
        <v>8.3209999999999997</v>
      </c>
      <c r="L4947">
        <v>44</v>
      </c>
      <c r="M4947">
        <v>0</v>
      </c>
      <c r="N4947">
        <v>12</v>
      </c>
      <c r="O4947">
        <v>30.439</v>
      </c>
      <c r="P4947">
        <v>11.153471639999999</v>
      </c>
      <c r="Q4947">
        <v>7.9269999999999996</v>
      </c>
    </row>
    <row r="4948" spans="1:17" x14ac:dyDescent="0.2">
      <c r="A4948" s="30" t="str">
        <f>IF(C4948&amp;G4948&amp;D4948&lt;&gt;'Funnel setup'!$K$3&amp;'Funnel setup'!$K$4&amp;'Funnel setup'!$K$5,".",IF(A4947=".",1,A4947+1))</f>
        <v>.</v>
      </c>
      <c r="B4948" s="431" t="str">
        <f t="shared" si="77"/>
        <v>Knee Replacement PrimaryProviderHORTON NHS TREATMENT CENTRE (NVC25)Oxford Knee Score</v>
      </c>
      <c r="C4948" t="s">
        <v>249</v>
      </c>
      <c r="D4948" t="s">
        <v>1</v>
      </c>
      <c r="E4948" t="s">
        <v>4553</v>
      </c>
      <c r="F4948" t="s">
        <v>4554</v>
      </c>
      <c r="G4948" t="s">
        <v>16</v>
      </c>
      <c r="H4948">
        <v>158</v>
      </c>
      <c r="I4948">
        <v>20.576000000000001</v>
      </c>
      <c r="J4948">
        <v>37.658000000000001</v>
      </c>
      <c r="K4948">
        <v>17.082000000000001</v>
      </c>
      <c r="L4948">
        <v>150</v>
      </c>
      <c r="M4948">
        <v>4</v>
      </c>
      <c r="N4948">
        <v>4</v>
      </c>
      <c r="O4948">
        <v>35.951999999999998</v>
      </c>
      <c r="P4948">
        <v>16.666644479999999</v>
      </c>
      <c r="Q4948">
        <v>7.8680000000000003</v>
      </c>
    </row>
    <row r="4949" spans="1:17" x14ac:dyDescent="0.2">
      <c r="A4949" s="30" t="str">
        <f>IF(C4949&amp;G4949&amp;D4949&lt;&gt;'Funnel setup'!$K$3&amp;'Funnel setup'!$K$4&amp;'Funnel setup'!$K$5,".",IF(A4948=".",1,A4948+1))</f>
        <v>.</v>
      </c>
      <c r="B4949" s="431" t="str">
        <f t="shared" si="77"/>
        <v>Knee Replacement PrimaryProviderHULL AND EAST YORKSHIRE HOSPITALS NHS TRUST (RWA)Oxford Knee Score</v>
      </c>
      <c r="C4949" t="s">
        <v>249</v>
      </c>
      <c r="D4949" t="s">
        <v>1</v>
      </c>
      <c r="E4949" t="s">
        <v>3906</v>
      </c>
      <c r="F4949" t="s">
        <v>3907</v>
      </c>
      <c r="G4949" t="s">
        <v>16</v>
      </c>
      <c r="H4949">
        <v>299</v>
      </c>
      <c r="I4949">
        <v>18.885999999999999</v>
      </c>
      <c r="J4949">
        <v>34.508000000000003</v>
      </c>
      <c r="K4949">
        <v>15.622</v>
      </c>
      <c r="L4949">
        <v>274</v>
      </c>
      <c r="M4949">
        <v>4</v>
      </c>
      <c r="N4949">
        <v>21</v>
      </c>
      <c r="O4949">
        <v>34.966999999999999</v>
      </c>
      <c r="P4949">
        <v>15.681863460000001</v>
      </c>
      <c r="Q4949">
        <v>8.9</v>
      </c>
    </row>
    <row r="4950" spans="1:17" x14ac:dyDescent="0.2">
      <c r="A4950" s="30" t="str">
        <f>IF(C4950&amp;G4950&amp;D4950&lt;&gt;'Funnel setup'!$K$3&amp;'Funnel setup'!$K$4&amp;'Funnel setup'!$K$5,".",IF(A4949=".",1,A4949+1))</f>
        <v>.</v>
      </c>
      <c r="B4950" s="431" t="str">
        <f t="shared" si="77"/>
        <v>Knee Replacement PrimaryProviderIMPERIAL COLLEGE HEALTHCARE NHS TRUST (RYJ)Oxford Knee Score</v>
      </c>
      <c r="C4950" t="s">
        <v>249</v>
      </c>
      <c r="D4950" t="s">
        <v>1</v>
      </c>
      <c r="E4950" t="s">
        <v>4558</v>
      </c>
      <c r="F4950" t="s">
        <v>4559</v>
      </c>
      <c r="G4950" t="s">
        <v>16</v>
      </c>
      <c r="H4950">
        <v>70</v>
      </c>
      <c r="I4950">
        <v>16.457000000000001</v>
      </c>
      <c r="J4950">
        <v>31.271000000000001</v>
      </c>
      <c r="K4950">
        <v>14.814</v>
      </c>
      <c r="L4950">
        <v>63</v>
      </c>
      <c r="M4950">
        <v>2</v>
      </c>
      <c r="N4950">
        <v>5</v>
      </c>
      <c r="O4950">
        <v>34.466000000000001</v>
      </c>
      <c r="P4950">
        <v>15.180853369999999</v>
      </c>
      <c r="Q4950">
        <v>10.754</v>
      </c>
    </row>
    <row r="4951" spans="1:17" x14ac:dyDescent="0.2">
      <c r="A4951" s="30" t="str">
        <f>IF(C4951&amp;G4951&amp;D4951&lt;&gt;'Funnel setup'!$K$3&amp;'Funnel setup'!$K$4&amp;'Funnel setup'!$K$5,".",IF(A4950=".",1,A4950+1))</f>
        <v>.</v>
      </c>
      <c r="B4951" s="431" t="str">
        <f t="shared" si="77"/>
        <v>Knee Replacement PrimaryProviderIPSWICH HOSPITAL NHS TRUST (RGQ)Oxford Knee Score</v>
      </c>
      <c r="C4951" t="s">
        <v>249</v>
      </c>
      <c r="D4951" t="s">
        <v>1</v>
      </c>
      <c r="E4951" t="s">
        <v>3909</v>
      </c>
      <c r="F4951" t="s">
        <v>3910</v>
      </c>
      <c r="G4951" t="s">
        <v>16</v>
      </c>
      <c r="H4951">
        <v>114</v>
      </c>
      <c r="I4951">
        <v>18.736999999999998</v>
      </c>
      <c r="J4951">
        <v>38.228000000000002</v>
      </c>
      <c r="K4951">
        <v>19.491</v>
      </c>
      <c r="L4951">
        <v>110</v>
      </c>
      <c r="M4951">
        <v>2</v>
      </c>
      <c r="N4951">
        <v>2</v>
      </c>
      <c r="O4951">
        <v>37.652000000000001</v>
      </c>
      <c r="P4951">
        <v>18.3661931</v>
      </c>
      <c r="Q4951">
        <v>7.4669999999999996</v>
      </c>
    </row>
    <row r="4952" spans="1:17" x14ac:dyDescent="0.2">
      <c r="A4952" s="30" t="str">
        <f>IF(C4952&amp;G4952&amp;D4952&lt;&gt;'Funnel setup'!$K$3&amp;'Funnel setup'!$K$4&amp;'Funnel setup'!$K$5,".",IF(A4951=".",1,A4951+1))</f>
        <v>.</v>
      </c>
      <c r="B4952" s="431" t="str">
        <f t="shared" si="77"/>
        <v>Knee Replacement PrimaryProviderISLE OF WIGHT NHS TRUST (R1F)Oxford Knee Score</v>
      </c>
      <c r="C4952" t="s">
        <v>249</v>
      </c>
      <c r="D4952" t="s">
        <v>1</v>
      </c>
      <c r="E4952" t="s">
        <v>3912</v>
      </c>
      <c r="F4952" t="s">
        <v>3913</v>
      </c>
      <c r="G4952" t="s">
        <v>16</v>
      </c>
      <c r="H4952">
        <v>95</v>
      </c>
      <c r="I4952">
        <v>18.673999999999999</v>
      </c>
      <c r="J4952">
        <v>35.031999999999996</v>
      </c>
      <c r="K4952">
        <v>16.358000000000001</v>
      </c>
      <c r="L4952">
        <v>91</v>
      </c>
      <c r="M4952">
        <v>0</v>
      </c>
      <c r="N4952">
        <v>4</v>
      </c>
      <c r="O4952">
        <v>35.472000000000001</v>
      </c>
      <c r="P4952">
        <v>16.186384910000001</v>
      </c>
      <c r="Q4952">
        <v>8.8469999999999995</v>
      </c>
    </row>
    <row r="4953" spans="1:17" x14ac:dyDescent="0.2">
      <c r="A4953" s="30" t="str">
        <f>IF(C4953&amp;G4953&amp;D4953&lt;&gt;'Funnel setup'!$K$3&amp;'Funnel setup'!$K$4&amp;'Funnel setup'!$K$5,".",IF(A4952=".",1,A4952+1))</f>
        <v>.</v>
      </c>
      <c r="B4953" s="431" t="str">
        <f t="shared" si="77"/>
        <v>Knee Replacement PrimaryProviderJAMES PAGET UNIVERSITY HOSPITALS NHS FOUNDATION TRUST (RGP)Oxford Knee Score</v>
      </c>
      <c r="C4953" t="s">
        <v>249</v>
      </c>
      <c r="D4953" t="s">
        <v>1</v>
      </c>
      <c r="E4953" t="s">
        <v>3915</v>
      </c>
      <c r="F4953" t="s">
        <v>3916</v>
      </c>
      <c r="G4953" t="s">
        <v>16</v>
      </c>
      <c r="H4953">
        <v>163</v>
      </c>
      <c r="I4953">
        <v>19.387</v>
      </c>
      <c r="J4953">
        <v>34.840000000000003</v>
      </c>
      <c r="K4953">
        <v>15.454000000000001</v>
      </c>
      <c r="L4953">
        <v>153</v>
      </c>
      <c r="M4953">
        <v>5</v>
      </c>
      <c r="N4953">
        <v>5</v>
      </c>
      <c r="O4953">
        <v>35.097000000000001</v>
      </c>
      <c r="P4953">
        <v>15.81141858</v>
      </c>
      <c r="Q4953">
        <v>8.0839999999999996</v>
      </c>
    </row>
    <row r="4954" spans="1:17" x14ac:dyDescent="0.2">
      <c r="A4954" s="30" t="str">
        <f>IF(C4954&amp;G4954&amp;D4954&lt;&gt;'Funnel setup'!$K$3&amp;'Funnel setup'!$K$4&amp;'Funnel setup'!$K$5,".",IF(A4953=".",1,A4953+1))</f>
        <v>.</v>
      </c>
      <c r="B4954" s="431" t="str">
        <f t="shared" si="77"/>
        <v>Knee Replacement PrimaryProviderKETTERING GENERAL HOSPITAL NHS FOUNDATION TRUST (RNQ)Oxford Knee Score</v>
      </c>
      <c r="C4954" t="s">
        <v>249</v>
      </c>
      <c r="D4954" t="s">
        <v>1</v>
      </c>
      <c r="E4954" t="s">
        <v>3918</v>
      </c>
      <c r="F4954" t="s">
        <v>3919</v>
      </c>
      <c r="G4954" t="s">
        <v>16</v>
      </c>
      <c r="H4954">
        <v>95</v>
      </c>
      <c r="I4954">
        <v>17.968</v>
      </c>
      <c r="J4954">
        <v>35.832000000000001</v>
      </c>
      <c r="K4954">
        <v>17.863</v>
      </c>
      <c r="L4954">
        <v>92</v>
      </c>
      <c r="M4954">
        <v>1</v>
      </c>
      <c r="N4954">
        <v>2</v>
      </c>
      <c r="O4954">
        <v>36.978999999999999</v>
      </c>
      <c r="P4954">
        <v>17.694076819999999</v>
      </c>
      <c r="Q4954">
        <v>8.1999999999999993</v>
      </c>
    </row>
    <row r="4955" spans="1:17" x14ac:dyDescent="0.2">
      <c r="A4955" s="30" t="str">
        <f>IF(C4955&amp;G4955&amp;D4955&lt;&gt;'Funnel setup'!$K$3&amp;'Funnel setup'!$K$4&amp;'Funnel setup'!$K$5,".",IF(A4954=".",1,A4954+1))</f>
        <v>.</v>
      </c>
      <c r="B4955" s="431" t="str">
        <f t="shared" si="77"/>
        <v>Knee Replacement PrimaryProviderKING'S COLLEGE HOSPITAL NHS FOUNDATION TRUST (RJZ)Oxford Knee Score</v>
      </c>
      <c r="C4955" t="s">
        <v>249</v>
      </c>
      <c r="D4955" t="s">
        <v>1</v>
      </c>
      <c r="E4955" t="s">
        <v>3924</v>
      </c>
      <c r="F4955" t="s">
        <v>3925</v>
      </c>
      <c r="G4955" t="s">
        <v>16</v>
      </c>
      <c r="H4955">
        <v>149</v>
      </c>
      <c r="I4955">
        <v>18.120999999999999</v>
      </c>
      <c r="J4955">
        <v>33.771999999999998</v>
      </c>
      <c r="K4955">
        <v>15.651</v>
      </c>
      <c r="L4955">
        <v>142</v>
      </c>
      <c r="M4955">
        <v>1</v>
      </c>
      <c r="N4955">
        <v>6</v>
      </c>
      <c r="O4955">
        <v>34.31</v>
      </c>
      <c r="P4955">
        <v>15.02440867</v>
      </c>
      <c r="Q4955">
        <v>9.0069999999999997</v>
      </c>
    </row>
    <row r="4956" spans="1:17" x14ac:dyDescent="0.2">
      <c r="A4956" s="30" t="str">
        <f>IF(C4956&amp;G4956&amp;D4956&lt;&gt;'Funnel setup'!$K$3&amp;'Funnel setup'!$K$4&amp;'Funnel setup'!$K$5,".",IF(A4955=".",1,A4955+1))</f>
        <v>.</v>
      </c>
      <c r="B4956" s="431" t="str">
        <f t="shared" si="77"/>
        <v>Knee Replacement PrimaryProviderLANCASHIRE TEACHING HOSPITALS NHS FOUNDATION TRUST (RXN)Oxford Knee Score</v>
      </c>
      <c r="C4956" t="s">
        <v>249</v>
      </c>
      <c r="D4956" t="s">
        <v>1</v>
      </c>
      <c r="E4956" t="s">
        <v>3567</v>
      </c>
      <c r="F4956" t="s">
        <v>3568</v>
      </c>
      <c r="G4956" t="s">
        <v>16</v>
      </c>
      <c r="H4956">
        <v>239</v>
      </c>
      <c r="I4956">
        <v>18.059000000000001</v>
      </c>
      <c r="J4956">
        <v>34.569000000000003</v>
      </c>
      <c r="K4956">
        <v>16.510000000000002</v>
      </c>
      <c r="L4956">
        <v>224</v>
      </c>
      <c r="M4956">
        <v>0</v>
      </c>
      <c r="N4956">
        <v>15</v>
      </c>
      <c r="O4956">
        <v>35.42</v>
      </c>
      <c r="P4956">
        <v>16.134973080000002</v>
      </c>
      <c r="Q4956">
        <v>9.1999999999999993</v>
      </c>
    </row>
    <row r="4957" spans="1:17" x14ac:dyDescent="0.2">
      <c r="A4957" s="30" t="str">
        <f>IF(C4957&amp;G4957&amp;D4957&lt;&gt;'Funnel setup'!$K$3&amp;'Funnel setup'!$K$4&amp;'Funnel setup'!$K$5,".",IF(A4956=".",1,A4956+1))</f>
        <v>.</v>
      </c>
      <c r="B4957" s="431" t="str">
        <f t="shared" si="77"/>
        <v>Knee Replacement PrimaryProviderLEEDS TEACHING HOSPITALS NHS TRUST (RR8)Oxford Knee Score</v>
      </c>
      <c r="C4957" t="s">
        <v>249</v>
      </c>
      <c r="D4957" t="s">
        <v>1</v>
      </c>
      <c r="E4957" t="s">
        <v>3930</v>
      </c>
      <c r="F4957" t="s">
        <v>344</v>
      </c>
      <c r="G4957" t="s">
        <v>16</v>
      </c>
      <c r="H4957">
        <v>273</v>
      </c>
      <c r="I4957">
        <v>18.788</v>
      </c>
      <c r="J4957">
        <v>35.56</v>
      </c>
      <c r="K4957">
        <v>16.773</v>
      </c>
      <c r="L4957">
        <v>260</v>
      </c>
      <c r="M4957">
        <v>3</v>
      </c>
      <c r="N4957">
        <v>10</v>
      </c>
      <c r="O4957">
        <v>36.273000000000003</v>
      </c>
      <c r="P4957">
        <v>16.987907329999999</v>
      </c>
      <c r="Q4957">
        <v>8.5090000000000003</v>
      </c>
    </row>
    <row r="4958" spans="1:17" x14ac:dyDescent="0.2">
      <c r="A4958" s="30" t="str">
        <f>IF(C4958&amp;G4958&amp;D4958&lt;&gt;'Funnel setup'!$K$3&amp;'Funnel setup'!$K$4&amp;'Funnel setup'!$K$5,".",IF(A4957=".",1,A4957+1))</f>
        <v>.</v>
      </c>
      <c r="B4958" s="431" t="str">
        <f t="shared" si="77"/>
        <v>Knee Replacement PrimaryProviderLEWISHAM AND GREENWICH NHS TRUST (RJ2)Oxford Knee Score</v>
      </c>
      <c r="C4958" t="s">
        <v>249</v>
      </c>
      <c r="D4958" t="s">
        <v>1</v>
      </c>
      <c r="E4958" t="s">
        <v>3522</v>
      </c>
      <c r="F4958" t="s">
        <v>3523</v>
      </c>
      <c r="G4958" t="s">
        <v>16</v>
      </c>
      <c r="H4958">
        <v>88</v>
      </c>
      <c r="I4958">
        <v>18.648</v>
      </c>
      <c r="J4958">
        <v>32.113999999999997</v>
      </c>
      <c r="K4958">
        <v>13.465999999999999</v>
      </c>
      <c r="L4958">
        <v>75</v>
      </c>
      <c r="M4958">
        <v>0</v>
      </c>
      <c r="N4958">
        <v>13</v>
      </c>
      <c r="O4958">
        <v>34.030999999999999</v>
      </c>
      <c r="P4958">
        <v>14.745252389999999</v>
      </c>
      <c r="Q4958">
        <v>9.4030000000000005</v>
      </c>
    </row>
    <row r="4959" spans="1:17" x14ac:dyDescent="0.2">
      <c r="A4959" s="30" t="str">
        <f>IF(C4959&amp;G4959&amp;D4959&lt;&gt;'Funnel setup'!$K$3&amp;'Funnel setup'!$K$4&amp;'Funnel setup'!$K$5,".",IF(A4958=".",1,A4958+1))</f>
        <v>.</v>
      </c>
      <c r="B4959" s="431" t="str">
        <f t="shared" si="77"/>
        <v>Knee Replacement PrimaryProviderLONDON NORTH WEST HEALTHCARE NHS TRUST (R1K)Oxford Knee Score</v>
      </c>
      <c r="C4959" t="s">
        <v>249</v>
      </c>
      <c r="D4959" t="s">
        <v>1</v>
      </c>
      <c r="E4959" t="s">
        <v>6515</v>
      </c>
      <c r="F4959" t="s">
        <v>6516</v>
      </c>
      <c r="G4959" t="s">
        <v>16</v>
      </c>
      <c r="H4959">
        <v>182</v>
      </c>
      <c r="I4959">
        <v>16.702999999999999</v>
      </c>
      <c r="J4959">
        <v>28.538</v>
      </c>
      <c r="K4959">
        <v>11.835000000000001</v>
      </c>
      <c r="L4959">
        <v>158</v>
      </c>
      <c r="M4959">
        <v>3</v>
      </c>
      <c r="N4959">
        <v>21</v>
      </c>
      <c r="O4959">
        <v>31.657</v>
      </c>
      <c r="P4959">
        <v>12.37137194</v>
      </c>
      <c r="Q4959">
        <v>9.5180000000000007</v>
      </c>
    </row>
    <row r="4960" spans="1:17" x14ac:dyDescent="0.2">
      <c r="A4960" s="30" t="str">
        <f>IF(C4960&amp;G4960&amp;D4960&lt;&gt;'Funnel setup'!$K$3&amp;'Funnel setup'!$K$4&amp;'Funnel setup'!$K$5,".",IF(A4959=".",1,A4959+1))</f>
        <v>.</v>
      </c>
      <c r="B4960" s="431" t="str">
        <f t="shared" si="77"/>
        <v>Knee Replacement PrimaryProviderLUTON AND DUNSTABLE UNIVERSITY HOSPITAL NHS FOUNDATION TRUST (RC9)Oxford Knee Score</v>
      </c>
      <c r="C4960" t="s">
        <v>249</v>
      </c>
      <c r="D4960" t="s">
        <v>1</v>
      </c>
      <c r="E4960" t="s">
        <v>3528</v>
      </c>
      <c r="F4960" t="s">
        <v>3529</v>
      </c>
      <c r="G4960" t="s">
        <v>16</v>
      </c>
      <c r="H4960">
        <v>174</v>
      </c>
      <c r="I4960">
        <v>16.805</v>
      </c>
      <c r="J4960">
        <v>33.655000000000001</v>
      </c>
      <c r="K4960">
        <v>16.850999999999999</v>
      </c>
      <c r="L4960">
        <v>167</v>
      </c>
      <c r="M4960">
        <v>3</v>
      </c>
      <c r="N4960">
        <v>4</v>
      </c>
      <c r="O4960">
        <v>35.274000000000001</v>
      </c>
      <c r="P4960">
        <v>15.989083880000001</v>
      </c>
      <c r="Q4960">
        <v>8.9160000000000004</v>
      </c>
    </row>
    <row r="4961" spans="1:17" x14ac:dyDescent="0.2">
      <c r="A4961" s="30" t="str">
        <f>IF(C4961&amp;G4961&amp;D4961&lt;&gt;'Funnel setup'!$K$3&amp;'Funnel setup'!$K$4&amp;'Funnel setup'!$K$5,".",IF(A4960=".",1,A4960+1))</f>
        <v>.</v>
      </c>
      <c r="B4961" s="431" t="str">
        <f t="shared" si="77"/>
        <v>Knee Replacement PrimaryProviderMAIDSTONE AND TUNBRIDGE WELLS NHS TRUST (RWF)Oxford Knee Score</v>
      </c>
      <c r="C4961" t="s">
        <v>249</v>
      </c>
      <c r="D4961" t="s">
        <v>1</v>
      </c>
      <c r="E4961" t="s">
        <v>3627</v>
      </c>
      <c r="F4961" t="s">
        <v>3628</v>
      </c>
      <c r="G4961" t="s">
        <v>16</v>
      </c>
      <c r="H4961">
        <v>198</v>
      </c>
      <c r="I4961">
        <v>20.731999999999999</v>
      </c>
      <c r="J4961">
        <v>37.167000000000002</v>
      </c>
      <c r="K4961">
        <v>16.434000000000001</v>
      </c>
      <c r="L4961">
        <v>188</v>
      </c>
      <c r="M4961">
        <v>3</v>
      </c>
      <c r="N4961">
        <v>7</v>
      </c>
      <c r="O4961">
        <v>35.850999999999999</v>
      </c>
      <c r="P4961">
        <v>16.565529219999998</v>
      </c>
      <c r="Q4961">
        <v>8.0570000000000004</v>
      </c>
    </row>
    <row r="4962" spans="1:17" x14ac:dyDescent="0.2">
      <c r="A4962" s="30" t="str">
        <f>IF(C4962&amp;G4962&amp;D4962&lt;&gt;'Funnel setup'!$K$3&amp;'Funnel setup'!$K$4&amp;'Funnel setup'!$K$5,".",IF(A4961=".",1,A4961+1))</f>
        <v>.</v>
      </c>
      <c r="B4962" s="431" t="str">
        <f t="shared" si="77"/>
        <v>Knee Replacement PrimaryProviderMEDWAY NHS FOUNDATION TRUST (RPA)Oxford Knee Score</v>
      </c>
      <c r="C4962" t="s">
        <v>249</v>
      </c>
      <c r="D4962" t="s">
        <v>1</v>
      </c>
      <c r="E4962" t="s">
        <v>3630</v>
      </c>
      <c r="F4962" t="s">
        <v>3631</v>
      </c>
      <c r="G4962" t="s">
        <v>16</v>
      </c>
      <c r="H4962">
        <v>140</v>
      </c>
      <c r="I4962">
        <v>16.850000000000001</v>
      </c>
      <c r="J4962">
        <v>33.820999999999998</v>
      </c>
      <c r="K4962">
        <v>16.971</v>
      </c>
      <c r="L4962">
        <v>128</v>
      </c>
      <c r="M4962">
        <v>2</v>
      </c>
      <c r="N4962">
        <v>10</v>
      </c>
      <c r="O4962">
        <v>35.305999999999997</v>
      </c>
      <c r="P4962">
        <v>16.02047872</v>
      </c>
      <c r="Q4962">
        <v>9.4890000000000008</v>
      </c>
    </row>
    <row r="4963" spans="1:17" x14ac:dyDescent="0.2">
      <c r="A4963" s="30" t="str">
        <f>IF(C4963&amp;G4963&amp;D4963&lt;&gt;'Funnel setup'!$K$3&amp;'Funnel setup'!$K$4&amp;'Funnel setup'!$K$5,".",IF(A4962=".",1,A4962+1))</f>
        <v>.</v>
      </c>
      <c r="B4963" s="431" t="str">
        <f t="shared" si="77"/>
        <v>Knee Replacement PrimaryProviderMID CHESHIRE HOSPITALS NHS FOUNDATION TRUST (RBT)Oxford Knee Score</v>
      </c>
      <c r="C4963" t="s">
        <v>249</v>
      </c>
      <c r="D4963" t="s">
        <v>1</v>
      </c>
      <c r="E4963" t="s">
        <v>3633</v>
      </c>
      <c r="F4963" t="s">
        <v>342</v>
      </c>
      <c r="G4963" t="s">
        <v>16</v>
      </c>
      <c r="H4963">
        <v>161</v>
      </c>
      <c r="I4963">
        <v>22.05</v>
      </c>
      <c r="J4963">
        <v>36.075000000000003</v>
      </c>
      <c r="K4963">
        <v>14.025</v>
      </c>
      <c r="L4963">
        <v>141</v>
      </c>
      <c r="M4963">
        <v>2</v>
      </c>
      <c r="N4963">
        <v>18</v>
      </c>
      <c r="O4963">
        <v>34.148000000000003</v>
      </c>
      <c r="P4963">
        <v>14.862264400000001</v>
      </c>
      <c r="Q4963">
        <v>8.3620000000000001</v>
      </c>
    </row>
    <row r="4964" spans="1:17" x14ac:dyDescent="0.2">
      <c r="A4964" s="30" t="str">
        <f>IF(C4964&amp;G4964&amp;D4964&lt;&gt;'Funnel setup'!$K$3&amp;'Funnel setup'!$K$4&amp;'Funnel setup'!$K$5,".",IF(A4963=".",1,A4963+1))</f>
        <v>.</v>
      </c>
      <c r="B4964" s="431" t="str">
        <f t="shared" si="77"/>
        <v>Knee Replacement PrimaryProviderMID ESSEX HOSPITAL SERVICES NHS TRUST (RQ8)Oxford Knee Score</v>
      </c>
      <c r="C4964" t="s">
        <v>249</v>
      </c>
      <c r="D4964" t="s">
        <v>1</v>
      </c>
      <c r="E4964" t="s">
        <v>3635</v>
      </c>
      <c r="F4964" t="s">
        <v>3636</v>
      </c>
      <c r="G4964" t="s">
        <v>16</v>
      </c>
      <c r="H4964">
        <v>179</v>
      </c>
      <c r="I4964">
        <v>15.872</v>
      </c>
      <c r="J4964">
        <v>34.725999999999999</v>
      </c>
      <c r="K4964">
        <v>18.855</v>
      </c>
      <c r="L4964">
        <v>173</v>
      </c>
      <c r="M4964">
        <v>2</v>
      </c>
      <c r="N4964">
        <v>4</v>
      </c>
      <c r="O4964">
        <v>35.555</v>
      </c>
      <c r="P4964">
        <v>16.269553210000002</v>
      </c>
      <c r="Q4964">
        <v>8.7710000000000008</v>
      </c>
    </row>
    <row r="4965" spans="1:17" x14ac:dyDescent="0.2">
      <c r="A4965" s="30" t="str">
        <f>IF(C4965&amp;G4965&amp;D4965&lt;&gt;'Funnel setup'!$K$3&amp;'Funnel setup'!$K$4&amp;'Funnel setup'!$K$5,".",IF(A4964=".",1,A4964+1))</f>
        <v>.</v>
      </c>
      <c r="B4965" s="431" t="str">
        <f t="shared" si="77"/>
        <v>Knee Replacement PrimaryProviderMID STAFFORDSHIRE NHS FOUNDATION TRUST (RJD)Oxford Knee Score</v>
      </c>
      <c r="C4965" t="s">
        <v>249</v>
      </c>
      <c r="D4965" t="s">
        <v>1</v>
      </c>
      <c r="E4965" t="s">
        <v>3638</v>
      </c>
      <c r="F4965" t="s">
        <v>3639</v>
      </c>
      <c r="G4965" t="s">
        <v>16</v>
      </c>
      <c r="H4965">
        <v>134</v>
      </c>
      <c r="I4965">
        <v>18.768999999999998</v>
      </c>
      <c r="J4965">
        <v>34.694000000000003</v>
      </c>
      <c r="K4965">
        <v>15.925000000000001</v>
      </c>
      <c r="L4965">
        <v>121</v>
      </c>
      <c r="M4965">
        <v>1</v>
      </c>
      <c r="N4965">
        <v>12</v>
      </c>
      <c r="O4965">
        <v>35.362000000000002</v>
      </c>
      <c r="P4965">
        <v>16.076921970000001</v>
      </c>
      <c r="Q4965">
        <v>9.4450000000000003</v>
      </c>
    </row>
    <row r="4966" spans="1:17" x14ac:dyDescent="0.2">
      <c r="A4966" s="30" t="str">
        <f>IF(C4966&amp;G4966&amp;D4966&lt;&gt;'Funnel setup'!$K$3&amp;'Funnel setup'!$K$4&amp;'Funnel setup'!$K$5,".",IF(A4965=".",1,A4965+1))</f>
        <v>.</v>
      </c>
      <c r="B4966" s="431" t="str">
        <f t="shared" si="77"/>
        <v>Knee Replacement PrimaryProviderMID YORKSHIRE HOSPITALS NHS TRUST (RXF)Oxford Knee Score</v>
      </c>
      <c r="C4966" t="s">
        <v>249</v>
      </c>
      <c r="D4966" t="s">
        <v>1</v>
      </c>
      <c r="E4966" t="s">
        <v>3641</v>
      </c>
      <c r="F4966" t="s">
        <v>3642</v>
      </c>
      <c r="G4966" t="s">
        <v>16</v>
      </c>
      <c r="H4966">
        <v>318</v>
      </c>
      <c r="I4966">
        <v>18.991</v>
      </c>
      <c r="J4966">
        <v>34.597000000000001</v>
      </c>
      <c r="K4966">
        <v>15.606999999999999</v>
      </c>
      <c r="L4966">
        <v>288</v>
      </c>
      <c r="M4966">
        <v>6</v>
      </c>
      <c r="N4966">
        <v>24</v>
      </c>
      <c r="O4966">
        <v>35.398000000000003</v>
      </c>
      <c r="P4966">
        <v>16.112577810000001</v>
      </c>
      <c r="Q4966">
        <v>8.9510000000000005</v>
      </c>
    </row>
    <row r="4967" spans="1:17" x14ac:dyDescent="0.2">
      <c r="A4967" s="30" t="str">
        <f>IF(C4967&amp;G4967&amp;D4967&lt;&gt;'Funnel setup'!$K$3&amp;'Funnel setup'!$K$4&amp;'Funnel setup'!$K$5,".",IF(A4966=".",1,A4966+1))</f>
        <v>.</v>
      </c>
      <c r="B4967" s="431" t="str">
        <f t="shared" si="77"/>
        <v>Knee Replacement PrimaryProviderMILTON KEYNES UNIVERSITY HOSPITAL NHS FOUNDATION TRUST (RD8)Oxford Knee Score</v>
      </c>
      <c r="C4967" t="s">
        <v>249</v>
      </c>
      <c r="D4967" t="s">
        <v>1</v>
      </c>
      <c r="E4967" t="s">
        <v>3643</v>
      </c>
      <c r="F4967" t="s">
        <v>6580</v>
      </c>
      <c r="G4967" t="s">
        <v>16</v>
      </c>
      <c r="H4967">
        <v>153</v>
      </c>
      <c r="I4967">
        <v>18.242000000000001</v>
      </c>
      <c r="J4967">
        <v>36.914999999999999</v>
      </c>
      <c r="K4967">
        <v>18.672999999999998</v>
      </c>
      <c r="L4967">
        <v>150</v>
      </c>
      <c r="M4967">
        <v>0</v>
      </c>
      <c r="N4967">
        <v>3</v>
      </c>
      <c r="O4967">
        <v>37.125999999999998</v>
      </c>
      <c r="P4967">
        <v>17.840412919999999</v>
      </c>
      <c r="Q4967">
        <v>7.8259999999999996</v>
      </c>
    </row>
    <row r="4968" spans="1:17" x14ac:dyDescent="0.2">
      <c r="A4968" s="30" t="str">
        <f>IF(C4968&amp;G4968&amp;D4968&lt;&gt;'Funnel setup'!$K$3&amp;'Funnel setup'!$K$4&amp;'Funnel setup'!$K$5,".",IF(A4967=".",1,A4967+1))</f>
        <v>.</v>
      </c>
      <c r="B4968" s="431" t="str">
        <f t="shared" si="77"/>
        <v>Knee Replacement PrimaryProviderMOUNT STUART HOSPITAL (NVC08)Oxford Knee Score</v>
      </c>
      <c r="C4968" t="s">
        <v>249</v>
      </c>
      <c r="D4968" t="s">
        <v>1</v>
      </c>
      <c r="E4968" t="s">
        <v>3645</v>
      </c>
      <c r="F4968" t="s">
        <v>3646</v>
      </c>
      <c r="G4968" t="s">
        <v>16</v>
      </c>
      <c r="H4968">
        <v>83</v>
      </c>
      <c r="I4968">
        <v>23.373000000000001</v>
      </c>
      <c r="J4968">
        <v>38.253</v>
      </c>
      <c r="K4968">
        <v>14.88</v>
      </c>
      <c r="L4968">
        <v>75</v>
      </c>
      <c r="M4968">
        <v>2</v>
      </c>
      <c r="N4968">
        <v>6</v>
      </c>
      <c r="O4968">
        <v>36.316000000000003</v>
      </c>
      <c r="P4968">
        <v>17.030892699999999</v>
      </c>
      <c r="Q4968">
        <v>8.1449999999999996</v>
      </c>
    </row>
    <row r="4969" spans="1:17" x14ac:dyDescent="0.2">
      <c r="A4969" s="30" t="str">
        <f>IF(C4969&amp;G4969&amp;D4969&lt;&gt;'Funnel setup'!$K$3&amp;'Funnel setup'!$K$4&amp;'Funnel setup'!$K$5,".",IF(A4968=".",1,A4968+1))</f>
        <v>.</v>
      </c>
      <c r="B4969" s="431" t="str">
        <f t="shared" si="77"/>
        <v>Knee Replacement PrimaryProviderNEW HALL HOSPITAL (NVC09)Oxford Knee Score</v>
      </c>
      <c r="C4969" t="s">
        <v>249</v>
      </c>
      <c r="D4969" t="s">
        <v>1</v>
      </c>
      <c r="E4969" t="s">
        <v>3648</v>
      </c>
      <c r="F4969" t="s">
        <v>3649</v>
      </c>
      <c r="G4969" t="s">
        <v>16</v>
      </c>
      <c r="H4969">
        <v>135</v>
      </c>
      <c r="I4969">
        <v>22.393000000000001</v>
      </c>
      <c r="J4969">
        <v>38.237000000000002</v>
      </c>
      <c r="K4969">
        <v>15.843999999999999</v>
      </c>
      <c r="L4969">
        <v>126</v>
      </c>
      <c r="M4969">
        <v>1</v>
      </c>
      <c r="N4969">
        <v>8</v>
      </c>
      <c r="O4969">
        <v>36.07</v>
      </c>
      <c r="P4969">
        <v>16.78443249</v>
      </c>
      <c r="Q4969">
        <v>7.4829999999999997</v>
      </c>
    </row>
    <row r="4970" spans="1:17" x14ac:dyDescent="0.2">
      <c r="A4970" s="30" t="str">
        <f>IF(C4970&amp;G4970&amp;D4970&lt;&gt;'Funnel setup'!$K$3&amp;'Funnel setup'!$K$4&amp;'Funnel setup'!$K$5,".",IF(A4969=".",1,A4969+1))</f>
        <v>.</v>
      </c>
      <c r="B4970" s="431" t="str">
        <f t="shared" si="77"/>
        <v>Knee Replacement PrimaryProviderNORFOLK AND NORWICH UNIVERSITY HOSPITALS NHS FOUNDATION TRUST (RM1)Oxford Knee Score</v>
      </c>
      <c r="C4970" t="s">
        <v>249</v>
      </c>
      <c r="D4970" t="s">
        <v>1</v>
      </c>
      <c r="E4970" t="s">
        <v>3651</v>
      </c>
      <c r="F4970" t="s">
        <v>3652</v>
      </c>
      <c r="G4970" t="s">
        <v>16</v>
      </c>
      <c r="H4970">
        <v>211</v>
      </c>
      <c r="I4970">
        <v>16.388999999999999</v>
      </c>
      <c r="J4970">
        <v>32.890999999999998</v>
      </c>
      <c r="K4970">
        <v>16.501999999999999</v>
      </c>
      <c r="L4970">
        <v>191</v>
      </c>
      <c r="M4970">
        <v>5</v>
      </c>
      <c r="N4970">
        <v>15</v>
      </c>
      <c r="O4970">
        <v>34.302</v>
      </c>
      <c r="P4970">
        <v>15.01668954</v>
      </c>
      <c r="Q4970">
        <v>10.106</v>
      </c>
    </row>
    <row r="4971" spans="1:17" x14ac:dyDescent="0.2">
      <c r="A4971" s="30" t="str">
        <f>IF(C4971&amp;G4971&amp;D4971&lt;&gt;'Funnel setup'!$K$3&amp;'Funnel setup'!$K$4&amp;'Funnel setup'!$K$5,".",IF(A4970=".",1,A4970+1))</f>
        <v>.</v>
      </c>
      <c r="B4971" s="431" t="str">
        <f t="shared" si="77"/>
        <v>Knee Replacement PrimaryProviderNORTH BRISTOL NHS TRUST (RVJ)Oxford Knee Score</v>
      </c>
      <c r="C4971" t="s">
        <v>249</v>
      </c>
      <c r="D4971" t="s">
        <v>1</v>
      </c>
      <c r="E4971" t="s">
        <v>3654</v>
      </c>
      <c r="F4971" t="s">
        <v>3655</v>
      </c>
      <c r="G4971" t="s">
        <v>16</v>
      </c>
      <c r="H4971">
        <v>218</v>
      </c>
      <c r="I4971">
        <v>18.881</v>
      </c>
      <c r="J4971">
        <v>34.734000000000002</v>
      </c>
      <c r="K4971">
        <v>15.853</v>
      </c>
      <c r="L4971">
        <v>208</v>
      </c>
      <c r="M4971">
        <v>2</v>
      </c>
      <c r="N4971">
        <v>8</v>
      </c>
      <c r="O4971">
        <v>34.582999999999998</v>
      </c>
      <c r="P4971">
        <v>15.29781934</v>
      </c>
      <c r="Q4971">
        <v>8.1850000000000005</v>
      </c>
    </row>
    <row r="4972" spans="1:17" x14ac:dyDescent="0.2">
      <c r="A4972" s="30" t="str">
        <f>IF(C4972&amp;G4972&amp;D4972&lt;&gt;'Funnel setup'!$K$3&amp;'Funnel setup'!$K$4&amp;'Funnel setup'!$K$5,".",IF(A4971=".",1,A4971+1))</f>
        <v>.</v>
      </c>
      <c r="B4972" s="431" t="str">
        <f t="shared" si="77"/>
        <v>Knee Replacement PrimaryProviderNORTH CUMBRIA UNIVERSITY HOSPITALS NHS TRUST (RNL)Oxford Knee Score</v>
      </c>
      <c r="C4972" t="s">
        <v>249</v>
      </c>
      <c r="D4972" t="s">
        <v>1</v>
      </c>
      <c r="E4972" t="s">
        <v>3657</v>
      </c>
      <c r="F4972" t="s">
        <v>3658</v>
      </c>
      <c r="G4972" t="s">
        <v>16</v>
      </c>
      <c r="H4972">
        <v>197</v>
      </c>
      <c r="I4972">
        <v>17.821999999999999</v>
      </c>
      <c r="J4972">
        <v>34.811999999999998</v>
      </c>
      <c r="K4972">
        <v>16.989999999999998</v>
      </c>
      <c r="L4972">
        <v>185</v>
      </c>
      <c r="M4972">
        <v>1</v>
      </c>
      <c r="N4972">
        <v>11</v>
      </c>
      <c r="O4972">
        <v>35.956000000000003</v>
      </c>
      <c r="P4972">
        <v>16.670889720000002</v>
      </c>
      <c r="Q4972">
        <v>8.7010000000000005</v>
      </c>
    </row>
    <row r="4973" spans="1:17" x14ac:dyDescent="0.2">
      <c r="A4973" s="30" t="str">
        <f>IF(C4973&amp;G4973&amp;D4973&lt;&gt;'Funnel setup'!$K$3&amp;'Funnel setup'!$K$4&amp;'Funnel setup'!$K$5,".",IF(A4972=".",1,A4972+1))</f>
        <v>.</v>
      </c>
      <c r="B4973" s="431" t="str">
        <f t="shared" si="77"/>
        <v>Knee Replacement PrimaryProviderNORTH DOWNS HOSPITAL (NVC11)Oxford Knee Score</v>
      </c>
      <c r="C4973" t="s">
        <v>249</v>
      </c>
      <c r="D4973" t="s">
        <v>1</v>
      </c>
      <c r="E4973" t="s">
        <v>3660</v>
      </c>
      <c r="F4973" t="s">
        <v>3661</v>
      </c>
      <c r="G4973" t="s">
        <v>16</v>
      </c>
      <c r="H4973">
        <v>51</v>
      </c>
      <c r="I4973">
        <v>22.077999999999999</v>
      </c>
      <c r="J4973">
        <v>37.156999999999996</v>
      </c>
      <c r="K4973">
        <v>15.077999999999999</v>
      </c>
      <c r="L4973">
        <v>47</v>
      </c>
      <c r="M4973">
        <v>1</v>
      </c>
      <c r="N4973">
        <v>3</v>
      </c>
      <c r="O4973">
        <v>35.271999999999998</v>
      </c>
      <c r="P4973">
        <v>15.986757000000001</v>
      </c>
      <c r="Q4973">
        <v>6.3739999999999997</v>
      </c>
    </row>
    <row r="4974" spans="1:17" x14ac:dyDescent="0.2">
      <c r="A4974" s="30" t="str">
        <f>IF(C4974&amp;G4974&amp;D4974&lt;&gt;'Funnel setup'!$K$3&amp;'Funnel setup'!$K$4&amp;'Funnel setup'!$K$5,".",IF(A4973=".",1,A4973+1))</f>
        <v>.</v>
      </c>
      <c r="B4974" s="431" t="str">
        <f t="shared" si="77"/>
        <v>Knee Replacement PrimaryProviderNORTH EAST LONDON TREATMENT CENTRE CARE UK (NTP15)Oxford Knee Score</v>
      </c>
      <c r="C4974" t="s">
        <v>249</v>
      </c>
      <c r="D4974" t="s">
        <v>1</v>
      </c>
      <c r="E4974" t="s">
        <v>3663</v>
      </c>
      <c r="F4974" t="s">
        <v>3664</v>
      </c>
      <c r="G4974" t="s">
        <v>16</v>
      </c>
      <c r="H4974">
        <v>100</v>
      </c>
      <c r="I4974">
        <v>19.260000000000002</v>
      </c>
      <c r="J4974">
        <v>35.17</v>
      </c>
      <c r="K4974">
        <v>15.91</v>
      </c>
      <c r="L4974">
        <v>92</v>
      </c>
      <c r="M4974">
        <v>2</v>
      </c>
      <c r="N4974">
        <v>6</v>
      </c>
      <c r="O4974">
        <v>35.21</v>
      </c>
      <c r="P4974">
        <v>15.924528049999999</v>
      </c>
      <c r="Q4974">
        <v>8.9009999999999998</v>
      </c>
    </row>
    <row r="4975" spans="1:17" x14ac:dyDescent="0.2">
      <c r="A4975" s="30" t="str">
        <f>IF(C4975&amp;G4975&amp;D4975&lt;&gt;'Funnel setup'!$K$3&amp;'Funnel setup'!$K$4&amp;'Funnel setup'!$K$5,".",IF(A4974=".",1,A4974+1))</f>
        <v>.</v>
      </c>
      <c r="B4975" s="431" t="str">
        <f t="shared" si="77"/>
        <v>Knee Replacement PrimaryProviderNORTH MIDDLESEX UNIVERSITY HOSPITAL NHS TRUST (RAP)Oxford Knee Score</v>
      </c>
      <c r="C4975" t="s">
        <v>249</v>
      </c>
      <c r="D4975" t="s">
        <v>1</v>
      </c>
      <c r="E4975" t="s">
        <v>3666</v>
      </c>
      <c r="F4975" t="s">
        <v>3667</v>
      </c>
      <c r="G4975" t="s">
        <v>16</v>
      </c>
      <c r="H4975">
        <v>46</v>
      </c>
      <c r="I4975">
        <v>15.478</v>
      </c>
      <c r="J4975">
        <v>31.260999999999999</v>
      </c>
      <c r="K4975">
        <v>15.782999999999999</v>
      </c>
      <c r="L4975">
        <v>43</v>
      </c>
      <c r="M4975">
        <v>1</v>
      </c>
      <c r="N4975">
        <v>2</v>
      </c>
      <c r="O4975">
        <v>35.201999999999998</v>
      </c>
      <c r="P4975">
        <v>15.916295359999999</v>
      </c>
      <c r="Q4975">
        <v>10.41</v>
      </c>
    </row>
    <row r="4976" spans="1:17" x14ac:dyDescent="0.2">
      <c r="A4976" s="30" t="str">
        <f>IF(C4976&amp;G4976&amp;D4976&lt;&gt;'Funnel setup'!$K$3&amp;'Funnel setup'!$K$4&amp;'Funnel setup'!$K$5,".",IF(A4975=".",1,A4975+1))</f>
        <v>.</v>
      </c>
      <c r="B4976" s="431" t="str">
        <f t="shared" si="77"/>
        <v>Knee Replacement PrimaryProviderNORTH TEES AND HARTLEPOOL NHS FOUNDATION TRUST (RVW)Oxford Knee Score</v>
      </c>
      <c r="C4976" t="s">
        <v>249</v>
      </c>
      <c r="D4976" t="s">
        <v>1</v>
      </c>
      <c r="E4976" t="s">
        <v>3669</v>
      </c>
      <c r="F4976" t="s">
        <v>3670</v>
      </c>
      <c r="G4976" t="s">
        <v>16</v>
      </c>
      <c r="H4976">
        <v>267</v>
      </c>
      <c r="I4976">
        <v>16.082000000000001</v>
      </c>
      <c r="J4976">
        <v>33.322000000000003</v>
      </c>
      <c r="K4976">
        <v>17.239999999999998</v>
      </c>
      <c r="L4976">
        <v>249</v>
      </c>
      <c r="M4976">
        <v>5</v>
      </c>
      <c r="N4976">
        <v>13</v>
      </c>
      <c r="O4976">
        <v>35.655999999999999</v>
      </c>
      <c r="P4976">
        <v>16.370363730000001</v>
      </c>
      <c r="Q4976">
        <v>10.06</v>
      </c>
    </row>
    <row r="4977" spans="1:17" x14ac:dyDescent="0.2">
      <c r="A4977" s="30" t="str">
        <f>IF(C4977&amp;G4977&amp;D4977&lt;&gt;'Funnel setup'!$K$3&amp;'Funnel setup'!$K$4&amp;'Funnel setup'!$K$5,".",IF(A4976=".",1,A4976+1))</f>
        <v>.</v>
      </c>
      <c r="B4977" s="431" t="str">
        <f t="shared" si="77"/>
        <v>Knee Replacement PrimaryProviderNORTHAMPTON GENERAL HOSPITAL NHS TRUST (RNS)Oxford Knee Score</v>
      </c>
      <c r="C4977" t="s">
        <v>249</v>
      </c>
      <c r="D4977" t="s">
        <v>1</v>
      </c>
      <c r="E4977" t="s">
        <v>3675</v>
      </c>
      <c r="F4977" t="s">
        <v>3676</v>
      </c>
      <c r="G4977" t="s">
        <v>16</v>
      </c>
      <c r="H4977">
        <v>146</v>
      </c>
      <c r="I4977">
        <v>16.829000000000001</v>
      </c>
      <c r="J4977">
        <v>35.924999999999997</v>
      </c>
      <c r="K4977">
        <v>19.096</v>
      </c>
      <c r="L4977">
        <v>141</v>
      </c>
      <c r="M4977">
        <v>2</v>
      </c>
      <c r="N4977">
        <v>3</v>
      </c>
      <c r="O4977">
        <v>36.92</v>
      </c>
      <c r="P4977">
        <v>17.63477366</v>
      </c>
      <c r="Q4977">
        <v>8.0969999999999995</v>
      </c>
    </row>
    <row r="4978" spans="1:17" x14ac:dyDescent="0.2">
      <c r="A4978" s="30" t="str">
        <f>IF(C4978&amp;G4978&amp;D4978&lt;&gt;'Funnel setup'!$K$3&amp;'Funnel setup'!$K$4&amp;'Funnel setup'!$K$5,".",IF(A4977=".",1,A4977+1))</f>
        <v>.</v>
      </c>
      <c r="B4978" s="431" t="str">
        <f t="shared" si="77"/>
        <v>Knee Replacement PrimaryProviderNORTHERN DEVON HEALTHCARE NHS TRUST (RBZ)Oxford Knee Score</v>
      </c>
      <c r="C4978" t="s">
        <v>249</v>
      </c>
      <c r="D4978" t="s">
        <v>1</v>
      </c>
      <c r="E4978" t="s">
        <v>3678</v>
      </c>
      <c r="F4978" t="s">
        <v>3679</v>
      </c>
      <c r="G4978" t="s">
        <v>16</v>
      </c>
      <c r="H4978">
        <v>200</v>
      </c>
      <c r="I4978">
        <v>20.53</v>
      </c>
      <c r="J4978">
        <v>37.92</v>
      </c>
      <c r="K4978">
        <v>17.39</v>
      </c>
      <c r="L4978">
        <v>192</v>
      </c>
      <c r="M4978">
        <v>4</v>
      </c>
      <c r="N4978">
        <v>4</v>
      </c>
      <c r="O4978">
        <v>37.299999999999997</v>
      </c>
      <c r="P4978">
        <v>18.014734449999999</v>
      </c>
      <c r="Q4978">
        <v>7.4580000000000002</v>
      </c>
    </row>
    <row r="4979" spans="1:17" x14ac:dyDescent="0.2">
      <c r="A4979" s="30" t="str">
        <f>IF(C4979&amp;G4979&amp;D4979&lt;&gt;'Funnel setup'!$K$3&amp;'Funnel setup'!$K$4&amp;'Funnel setup'!$K$5,".",IF(A4978=".",1,A4978+1))</f>
        <v>.</v>
      </c>
      <c r="B4979" s="431" t="str">
        <f t="shared" si="77"/>
        <v>Knee Replacement PrimaryProviderNORTHERN LINCOLNSHIRE AND GOOLE NHS FOUNDATION TRUST (RJL)Oxford Knee Score</v>
      </c>
      <c r="C4979" t="s">
        <v>249</v>
      </c>
      <c r="D4979" t="s">
        <v>1</v>
      </c>
      <c r="E4979" t="s">
        <v>3681</v>
      </c>
      <c r="F4979" t="s">
        <v>3682</v>
      </c>
      <c r="G4979" t="s">
        <v>16</v>
      </c>
      <c r="H4979">
        <v>293</v>
      </c>
      <c r="I4979">
        <v>18.628</v>
      </c>
      <c r="J4979">
        <v>36.033999999999999</v>
      </c>
      <c r="K4979">
        <v>17.405999999999999</v>
      </c>
      <c r="L4979">
        <v>276</v>
      </c>
      <c r="M4979">
        <v>3</v>
      </c>
      <c r="N4979">
        <v>14</v>
      </c>
      <c r="O4979">
        <v>36.258000000000003</v>
      </c>
      <c r="P4979">
        <v>16.972937850000001</v>
      </c>
      <c r="Q4979">
        <v>8.5500000000000007</v>
      </c>
    </row>
    <row r="4980" spans="1:17" x14ac:dyDescent="0.2">
      <c r="A4980" s="30" t="str">
        <f>IF(C4980&amp;G4980&amp;D4980&lt;&gt;'Funnel setup'!$K$3&amp;'Funnel setup'!$K$4&amp;'Funnel setup'!$K$5,".",IF(A4979=".",1,A4979+1))</f>
        <v>.</v>
      </c>
      <c r="B4980" s="431" t="str">
        <f t="shared" si="77"/>
        <v>Knee Replacement PrimaryProviderNORTHUMBRIA HEALTHCARE NHS FOUNDATION TRUST (RTF)Oxford Knee Score</v>
      </c>
      <c r="C4980" t="s">
        <v>249</v>
      </c>
      <c r="D4980" t="s">
        <v>1</v>
      </c>
      <c r="E4980" t="s">
        <v>3684</v>
      </c>
      <c r="F4980" t="s">
        <v>3685</v>
      </c>
      <c r="G4980" t="s">
        <v>16</v>
      </c>
      <c r="H4980">
        <v>819</v>
      </c>
      <c r="I4980">
        <v>19.375</v>
      </c>
      <c r="J4980">
        <v>36.378999999999998</v>
      </c>
      <c r="K4980">
        <v>17.004000000000001</v>
      </c>
      <c r="L4980">
        <v>778</v>
      </c>
      <c r="M4980">
        <v>7</v>
      </c>
      <c r="N4980">
        <v>34</v>
      </c>
      <c r="O4980">
        <v>36.417000000000002</v>
      </c>
      <c r="P4980">
        <v>17.13179293</v>
      </c>
      <c r="Q4980">
        <v>8.3659999999999997</v>
      </c>
    </row>
    <row r="4981" spans="1:17" x14ac:dyDescent="0.2">
      <c r="A4981" s="30" t="str">
        <f>IF(C4981&amp;G4981&amp;D4981&lt;&gt;'Funnel setup'!$K$3&amp;'Funnel setup'!$K$4&amp;'Funnel setup'!$K$5,".",IF(A4980=".",1,A4980+1))</f>
        <v>.</v>
      </c>
      <c r="B4981" s="431" t="str">
        <f t="shared" si="77"/>
        <v>Knee Replacement PrimaryProviderNOTTINGHAM UNIVERSITY HOSPITALS NHS TRUST (RX1)Oxford Knee Score</v>
      </c>
      <c r="C4981" t="s">
        <v>249</v>
      </c>
      <c r="D4981" t="s">
        <v>1</v>
      </c>
      <c r="E4981" t="s">
        <v>3687</v>
      </c>
      <c r="F4981" t="s">
        <v>3688</v>
      </c>
      <c r="G4981" t="s">
        <v>16</v>
      </c>
      <c r="H4981">
        <v>473</v>
      </c>
      <c r="I4981">
        <v>18.640999999999998</v>
      </c>
      <c r="J4981">
        <v>34.15</v>
      </c>
      <c r="K4981">
        <v>15.51</v>
      </c>
      <c r="L4981">
        <v>438</v>
      </c>
      <c r="M4981">
        <v>7</v>
      </c>
      <c r="N4981">
        <v>28</v>
      </c>
      <c r="O4981">
        <v>34.704000000000001</v>
      </c>
      <c r="P4981">
        <v>15.41879256</v>
      </c>
      <c r="Q4981">
        <v>8.5120000000000005</v>
      </c>
    </row>
    <row r="4982" spans="1:17" x14ac:dyDescent="0.2">
      <c r="A4982" s="30" t="str">
        <f>IF(C4982&amp;G4982&amp;D4982&lt;&gt;'Funnel setup'!$K$3&amp;'Funnel setup'!$K$4&amp;'Funnel setup'!$K$5,".",IF(A4981=".",1,A4981+1))</f>
        <v>.</v>
      </c>
      <c r="B4982" s="431" t="str">
        <f t="shared" si="77"/>
        <v>Knee Replacement PrimaryProviderNUFFIELD HEALTH, BRENTWOOD HOSPITAL (NT204)Oxford Knee Score</v>
      </c>
      <c r="C4982" t="s">
        <v>249</v>
      </c>
      <c r="D4982" t="s">
        <v>1</v>
      </c>
      <c r="E4982" t="s">
        <v>3691</v>
      </c>
      <c r="F4982" t="s">
        <v>3692</v>
      </c>
      <c r="G4982" t="s">
        <v>16</v>
      </c>
      <c r="H4982">
        <v>80</v>
      </c>
      <c r="I4982">
        <v>20.25</v>
      </c>
      <c r="J4982">
        <v>37.799999999999997</v>
      </c>
      <c r="K4982">
        <v>17.55</v>
      </c>
      <c r="L4982">
        <v>79</v>
      </c>
      <c r="M4982">
        <v>0</v>
      </c>
      <c r="N4982">
        <v>1</v>
      </c>
      <c r="O4982">
        <v>36.213000000000001</v>
      </c>
      <c r="P4982">
        <v>16.927838990000001</v>
      </c>
      <c r="Q4982">
        <v>7.585</v>
      </c>
    </row>
    <row r="4983" spans="1:17" x14ac:dyDescent="0.2">
      <c r="A4983" s="30" t="str">
        <f>IF(C4983&amp;G4983&amp;D4983&lt;&gt;'Funnel setup'!$K$3&amp;'Funnel setup'!$K$4&amp;'Funnel setup'!$K$5,".",IF(A4982=".",1,A4982+1))</f>
        <v>.</v>
      </c>
      <c r="B4983" s="431" t="str">
        <f t="shared" si="77"/>
        <v>Knee Replacement PrimaryProviderNUFFIELD HEALTH, BRIGHTON HOSPITAL (NT205)Oxford Knee Score</v>
      </c>
      <c r="C4983" t="s">
        <v>249</v>
      </c>
      <c r="D4983" t="s">
        <v>1</v>
      </c>
      <c r="E4983" t="s">
        <v>3697</v>
      </c>
      <c r="F4983" t="s">
        <v>3698</v>
      </c>
      <c r="G4983" t="s">
        <v>16</v>
      </c>
      <c r="H4983">
        <v>6</v>
      </c>
      <c r="I4983">
        <v>19.667000000000002</v>
      </c>
      <c r="J4983">
        <v>33.5</v>
      </c>
      <c r="K4983">
        <v>13.833</v>
      </c>
      <c r="L4983">
        <v>4</v>
      </c>
      <c r="M4983">
        <v>0</v>
      </c>
      <c r="N4983">
        <v>2</v>
      </c>
      <c r="O4983" t="s">
        <v>53</v>
      </c>
      <c r="P4983" t="s">
        <v>53</v>
      </c>
      <c r="Q4983" t="s">
        <v>53</v>
      </c>
    </row>
    <row r="4984" spans="1:17" x14ac:dyDescent="0.2">
      <c r="A4984" s="30" t="str">
        <f>IF(C4984&amp;G4984&amp;D4984&lt;&gt;'Funnel setup'!$K$3&amp;'Funnel setup'!$K$4&amp;'Funnel setup'!$K$5,".",IF(A4983=".",1,A4983+1))</f>
        <v>.</v>
      </c>
      <c r="B4984" s="431" t="str">
        <f t="shared" si="77"/>
        <v>Knee Replacement PrimaryProviderNUFFIELD HEALTH, BRISTOL HOSPITAL (CHESTERFIELD) (NT206)Oxford Knee Score</v>
      </c>
      <c r="C4984" t="s">
        <v>249</v>
      </c>
      <c r="D4984" t="s">
        <v>1</v>
      </c>
      <c r="E4984" t="s">
        <v>3700</v>
      </c>
      <c r="F4984" t="s">
        <v>3701</v>
      </c>
      <c r="G4984" t="s">
        <v>16</v>
      </c>
      <c r="H4984">
        <v>13</v>
      </c>
      <c r="I4984">
        <v>18.614999999999998</v>
      </c>
      <c r="J4984">
        <v>38.537999999999997</v>
      </c>
      <c r="K4984">
        <v>19.922999999999998</v>
      </c>
      <c r="L4984">
        <v>13</v>
      </c>
      <c r="M4984">
        <v>0</v>
      </c>
      <c r="N4984">
        <v>0</v>
      </c>
      <c r="O4984" t="s">
        <v>53</v>
      </c>
      <c r="P4984" t="s">
        <v>53</v>
      </c>
      <c r="Q4984" t="s">
        <v>53</v>
      </c>
    </row>
    <row r="4985" spans="1:17" x14ac:dyDescent="0.2">
      <c r="A4985" s="30" t="str">
        <f>IF(C4985&amp;G4985&amp;D4985&lt;&gt;'Funnel setup'!$K$3&amp;'Funnel setup'!$K$4&amp;'Funnel setup'!$K$5,".",IF(A4984=".",1,A4984+1))</f>
        <v>.</v>
      </c>
      <c r="B4985" s="431" t="str">
        <f t="shared" si="77"/>
        <v>Knee Replacement PrimaryProviderNUFFIELD HEALTH, CAMBRIDGE HOSPITAL (NT209)Oxford Knee Score</v>
      </c>
      <c r="C4985" t="s">
        <v>249</v>
      </c>
      <c r="D4985" t="s">
        <v>1</v>
      </c>
      <c r="E4985" t="s">
        <v>4477</v>
      </c>
      <c r="F4985" t="s">
        <v>4478</v>
      </c>
      <c r="G4985" t="s">
        <v>16</v>
      </c>
      <c r="H4985">
        <v>35</v>
      </c>
      <c r="I4985">
        <v>20.085999999999999</v>
      </c>
      <c r="J4985">
        <v>39.771000000000001</v>
      </c>
      <c r="K4985">
        <v>19.686</v>
      </c>
      <c r="L4985">
        <v>35</v>
      </c>
      <c r="M4985">
        <v>0</v>
      </c>
      <c r="N4985">
        <v>0</v>
      </c>
      <c r="O4985">
        <v>38.204000000000001</v>
      </c>
      <c r="P4985">
        <v>18.91867096</v>
      </c>
      <c r="Q4985">
        <v>6.048</v>
      </c>
    </row>
    <row r="4986" spans="1:17" x14ac:dyDescent="0.2">
      <c r="A4986" s="30" t="str">
        <f>IF(C4986&amp;G4986&amp;D4986&lt;&gt;'Funnel setup'!$K$3&amp;'Funnel setup'!$K$4&amp;'Funnel setup'!$K$5,".",IF(A4985=".",1,A4985+1))</f>
        <v>.</v>
      </c>
      <c r="B4986" s="431" t="str">
        <f t="shared" si="77"/>
        <v>Knee Replacement PrimaryProviderNUFFIELD HEALTH, CHELTENHAM HOSPITAL (NT211)Oxford Knee Score</v>
      </c>
      <c r="C4986" t="s">
        <v>249</v>
      </c>
      <c r="D4986" t="s">
        <v>1</v>
      </c>
      <c r="E4986" t="s">
        <v>3703</v>
      </c>
      <c r="F4986" t="s">
        <v>3704</v>
      </c>
      <c r="G4986" t="s">
        <v>16</v>
      </c>
      <c r="H4986">
        <v>6</v>
      </c>
      <c r="I4986">
        <v>23.667000000000002</v>
      </c>
      <c r="J4986">
        <v>36</v>
      </c>
      <c r="K4986">
        <v>12.333</v>
      </c>
      <c r="L4986">
        <v>5</v>
      </c>
      <c r="M4986">
        <v>0</v>
      </c>
      <c r="N4986">
        <v>1</v>
      </c>
      <c r="O4986" t="s">
        <v>53</v>
      </c>
      <c r="P4986" t="s">
        <v>53</v>
      </c>
      <c r="Q4986" t="s">
        <v>53</v>
      </c>
    </row>
    <row r="4987" spans="1:17" x14ac:dyDescent="0.2">
      <c r="A4987" s="30" t="str">
        <f>IF(C4987&amp;G4987&amp;D4987&lt;&gt;'Funnel setup'!$K$3&amp;'Funnel setup'!$K$4&amp;'Funnel setup'!$K$5,".",IF(A4986=".",1,A4986+1))</f>
        <v>.</v>
      </c>
      <c r="B4987" s="431" t="str">
        <f t="shared" si="77"/>
        <v>Knee Replacement PrimaryProviderNUFFIELD HEALTH, CHICHESTER HOSPITAL (NT212)Oxford Knee Score</v>
      </c>
      <c r="C4987" t="s">
        <v>249</v>
      </c>
      <c r="D4987" t="s">
        <v>1</v>
      </c>
      <c r="E4987" t="s">
        <v>4334</v>
      </c>
      <c r="F4987" t="s">
        <v>4335</v>
      </c>
      <c r="G4987" t="s">
        <v>16</v>
      </c>
      <c r="H4987">
        <v>12</v>
      </c>
      <c r="I4987">
        <v>15</v>
      </c>
      <c r="J4987">
        <v>41.582999999999998</v>
      </c>
      <c r="K4987">
        <v>26.582999999999998</v>
      </c>
      <c r="L4987">
        <v>12</v>
      </c>
      <c r="M4987">
        <v>0</v>
      </c>
      <c r="N4987">
        <v>0</v>
      </c>
      <c r="O4987" t="s">
        <v>53</v>
      </c>
      <c r="P4987" t="s">
        <v>53</v>
      </c>
      <c r="Q4987" t="s">
        <v>53</v>
      </c>
    </row>
    <row r="4988" spans="1:17" x14ac:dyDescent="0.2">
      <c r="A4988" s="30" t="str">
        <f>IF(C4988&amp;G4988&amp;D4988&lt;&gt;'Funnel setup'!$K$3&amp;'Funnel setup'!$K$4&amp;'Funnel setup'!$K$5,".",IF(A4987=".",1,A4987+1))</f>
        <v>.</v>
      </c>
      <c r="B4988" s="431" t="str">
        <f t="shared" si="77"/>
        <v>Knee Replacement PrimaryProviderNUFFIELD HEALTH, DERBY HOSPITAL (NT213)Oxford Knee Score</v>
      </c>
      <c r="C4988" t="s">
        <v>249</v>
      </c>
      <c r="D4988" t="s">
        <v>1</v>
      </c>
      <c r="E4988" t="s">
        <v>3340</v>
      </c>
      <c r="F4988" t="s">
        <v>3341</v>
      </c>
      <c r="G4988" t="s">
        <v>16</v>
      </c>
      <c r="H4988">
        <v>164</v>
      </c>
      <c r="I4988">
        <v>21.122</v>
      </c>
      <c r="J4988">
        <v>37.902000000000001</v>
      </c>
      <c r="K4988">
        <v>16.78</v>
      </c>
      <c r="L4988">
        <v>156</v>
      </c>
      <c r="M4988">
        <v>2</v>
      </c>
      <c r="N4988">
        <v>6</v>
      </c>
      <c r="O4988">
        <v>36.036999999999999</v>
      </c>
      <c r="P4988">
        <v>16.75129282</v>
      </c>
      <c r="Q4988">
        <v>7.5860000000000003</v>
      </c>
    </row>
    <row r="4989" spans="1:17" x14ac:dyDescent="0.2">
      <c r="A4989" s="30" t="str">
        <f>IF(C4989&amp;G4989&amp;D4989&lt;&gt;'Funnel setup'!$K$3&amp;'Funnel setup'!$K$4&amp;'Funnel setup'!$K$5,".",IF(A4988=".",1,A4988+1))</f>
        <v>.</v>
      </c>
      <c r="B4989" s="431" t="str">
        <f t="shared" si="77"/>
        <v>Knee Replacement PrimaryProviderNUFFIELD HEALTH, EXETER HOSPITAL (NT215)Oxford Knee Score</v>
      </c>
      <c r="C4989" t="s">
        <v>249</v>
      </c>
      <c r="D4989" t="s">
        <v>1</v>
      </c>
      <c r="E4989" t="s">
        <v>4339</v>
      </c>
      <c r="F4989" t="s">
        <v>4340</v>
      </c>
      <c r="G4989" t="s">
        <v>16</v>
      </c>
      <c r="H4989">
        <v>135</v>
      </c>
      <c r="I4989">
        <v>20.821999999999999</v>
      </c>
      <c r="J4989">
        <v>38.844000000000001</v>
      </c>
      <c r="K4989">
        <v>18.021999999999998</v>
      </c>
      <c r="L4989">
        <v>131</v>
      </c>
      <c r="M4989">
        <v>1</v>
      </c>
      <c r="N4989">
        <v>3</v>
      </c>
      <c r="O4989">
        <v>37.152000000000001</v>
      </c>
      <c r="P4989">
        <v>17.867042090000002</v>
      </c>
      <c r="Q4989">
        <v>7.5709999999999997</v>
      </c>
    </row>
    <row r="4990" spans="1:17" x14ac:dyDescent="0.2">
      <c r="A4990" s="30" t="str">
        <f>IF(C4990&amp;G4990&amp;D4990&lt;&gt;'Funnel setup'!$K$3&amp;'Funnel setup'!$K$4&amp;'Funnel setup'!$K$5,".",IF(A4989=".",1,A4989+1))</f>
        <v>.</v>
      </c>
      <c r="B4990" s="431" t="str">
        <f t="shared" si="77"/>
        <v>Knee Replacement PrimaryProviderNUFFIELD HEALTH, HAYWARDS HEATH HOSPITAL (NT218)Oxford Knee Score</v>
      </c>
      <c r="C4990" t="s">
        <v>249</v>
      </c>
      <c r="D4990" t="s">
        <v>1</v>
      </c>
      <c r="E4990" t="s">
        <v>4342</v>
      </c>
      <c r="F4990" t="s">
        <v>4343</v>
      </c>
      <c r="G4990" t="s">
        <v>16</v>
      </c>
      <c r="H4990">
        <v>18</v>
      </c>
      <c r="I4990">
        <v>22.388999999999999</v>
      </c>
      <c r="J4990">
        <v>36.167000000000002</v>
      </c>
      <c r="K4990">
        <v>13.778</v>
      </c>
      <c r="L4990">
        <v>18</v>
      </c>
      <c r="M4990">
        <v>0</v>
      </c>
      <c r="N4990">
        <v>0</v>
      </c>
      <c r="O4990" t="s">
        <v>53</v>
      </c>
      <c r="P4990" t="s">
        <v>53</v>
      </c>
      <c r="Q4990" t="s">
        <v>53</v>
      </c>
    </row>
    <row r="4991" spans="1:17" x14ac:dyDescent="0.2">
      <c r="A4991" s="30" t="str">
        <f>IF(C4991&amp;G4991&amp;D4991&lt;&gt;'Funnel setup'!$K$3&amp;'Funnel setup'!$K$4&amp;'Funnel setup'!$K$5,".",IF(A4990=".",1,A4990+1))</f>
        <v>.</v>
      </c>
      <c r="B4991" s="431" t="str">
        <f t="shared" si="77"/>
        <v>Knee Replacement PrimaryProviderNUFFIELD HEALTH, HEREFORD HOSPITAL (NT219)Oxford Knee Score</v>
      </c>
      <c r="C4991" t="s">
        <v>249</v>
      </c>
      <c r="D4991" t="s">
        <v>1</v>
      </c>
      <c r="E4991" t="s">
        <v>3343</v>
      </c>
      <c r="F4991" t="s">
        <v>3344</v>
      </c>
      <c r="G4991" t="s">
        <v>16</v>
      </c>
      <c r="H4991">
        <v>65</v>
      </c>
      <c r="I4991">
        <v>21.262</v>
      </c>
      <c r="J4991">
        <v>39.292000000000002</v>
      </c>
      <c r="K4991">
        <v>18.030999999999999</v>
      </c>
      <c r="L4991">
        <v>62</v>
      </c>
      <c r="M4991">
        <v>2</v>
      </c>
      <c r="N4991">
        <v>1</v>
      </c>
      <c r="O4991">
        <v>38.261000000000003</v>
      </c>
      <c r="P4991">
        <v>18.975974579999999</v>
      </c>
      <c r="Q4991">
        <v>7.3090000000000002</v>
      </c>
    </row>
    <row r="4992" spans="1:17" x14ac:dyDescent="0.2">
      <c r="A4992" s="30" t="str">
        <f>IF(C4992&amp;G4992&amp;D4992&lt;&gt;'Funnel setup'!$K$3&amp;'Funnel setup'!$K$4&amp;'Funnel setup'!$K$5,".",IF(A4991=".",1,A4991+1))</f>
        <v>.</v>
      </c>
      <c r="B4992" s="431" t="str">
        <f t="shared" si="77"/>
        <v>Knee Replacement PrimaryProviderNUFFIELD HEALTH, IPSWICH HOSPITAL (NT222)Oxford Knee Score</v>
      </c>
      <c r="C4992" t="s">
        <v>249</v>
      </c>
      <c r="D4992" t="s">
        <v>1</v>
      </c>
      <c r="E4992" t="s">
        <v>3385</v>
      </c>
      <c r="F4992" t="s">
        <v>3386</v>
      </c>
      <c r="G4992" t="s">
        <v>16</v>
      </c>
      <c r="H4992">
        <v>101</v>
      </c>
      <c r="I4992">
        <v>19.03</v>
      </c>
      <c r="J4992">
        <v>38.375999999999998</v>
      </c>
      <c r="K4992">
        <v>19.347000000000001</v>
      </c>
      <c r="L4992">
        <v>101</v>
      </c>
      <c r="M4992">
        <v>0</v>
      </c>
      <c r="N4992">
        <v>0</v>
      </c>
      <c r="O4992">
        <v>36.872999999999998</v>
      </c>
      <c r="P4992">
        <v>17.587533839999999</v>
      </c>
      <c r="Q4992">
        <v>7.149</v>
      </c>
    </row>
    <row r="4993" spans="1:17" x14ac:dyDescent="0.2">
      <c r="A4993" s="30" t="str">
        <f>IF(C4993&amp;G4993&amp;D4993&lt;&gt;'Funnel setup'!$K$3&amp;'Funnel setup'!$K$4&amp;'Funnel setup'!$K$5,".",IF(A4992=".",1,A4992+1))</f>
        <v>.</v>
      </c>
      <c r="B4993" s="431" t="str">
        <f t="shared" si="77"/>
        <v>Knee Replacement PrimaryProviderNUFFIELD HEALTH, LEEDS HOSPITAL (NT225)Oxford Knee Score</v>
      </c>
      <c r="C4993" t="s">
        <v>249</v>
      </c>
      <c r="D4993" t="s">
        <v>1</v>
      </c>
      <c r="E4993" t="s">
        <v>3388</v>
      </c>
      <c r="F4993" t="s">
        <v>3389</v>
      </c>
      <c r="G4993" t="s">
        <v>16</v>
      </c>
      <c r="H4993">
        <v>146</v>
      </c>
      <c r="I4993">
        <v>20.931999999999999</v>
      </c>
      <c r="J4993">
        <v>35.308</v>
      </c>
      <c r="K4993">
        <v>14.377000000000001</v>
      </c>
      <c r="L4993">
        <v>136</v>
      </c>
      <c r="M4993">
        <v>4</v>
      </c>
      <c r="N4993">
        <v>6</v>
      </c>
      <c r="O4993">
        <v>34.762</v>
      </c>
      <c r="P4993">
        <v>15.4770079</v>
      </c>
      <c r="Q4993">
        <v>8.5009999999999994</v>
      </c>
    </row>
    <row r="4994" spans="1:17" x14ac:dyDescent="0.2">
      <c r="A4994" s="30" t="str">
        <f>IF(C4994&amp;G4994&amp;D4994&lt;&gt;'Funnel setup'!$K$3&amp;'Funnel setup'!$K$4&amp;'Funnel setup'!$K$5,".",IF(A4993=".",1,A4993+1))</f>
        <v>.</v>
      </c>
      <c r="B4994" s="431" t="str">
        <f t="shared" si="77"/>
        <v>Knee Replacement PrimaryProviderNUFFIELD HEALTH, LEICESTER HOSPITAL (NT226)Oxford Knee Score</v>
      </c>
      <c r="C4994" t="s">
        <v>249</v>
      </c>
      <c r="D4994" t="s">
        <v>1</v>
      </c>
      <c r="E4994" t="s">
        <v>3391</v>
      </c>
      <c r="F4994" t="s">
        <v>3392</v>
      </c>
      <c r="G4994" t="s">
        <v>16</v>
      </c>
      <c r="H4994">
        <v>54</v>
      </c>
      <c r="I4994">
        <v>17.648</v>
      </c>
      <c r="J4994">
        <v>35.518999999999998</v>
      </c>
      <c r="K4994">
        <v>17.87</v>
      </c>
      <c r="L4994">
        <v>48</v>
      </c>
      <c r="M4994">
        <v>1</v>
      </c>
      <c r="N4994">
        <v>5</v>
      </c>
      <c r="O4994">
        <v>36.061999999999998</v>
      </c>
      <c r="P4994">
        <v>16.77614457</v>
      </c>
      <c r="Q4994">
        <v>9.2850000000000001</v>
      </c>
    </row>
    <row r="4995" spans="1:17" x14ac:dyDescent="0.2">
      <c r="A4995" s="30" t="str">
        <f>IF(C4995&amp;G4995&amp;D4995&lt;&gt;'Funnel setup'!$K$3&amp;'Funnel setup'!$K$4&amp;'Funnel setup'!$K$5,".",IF(A4994=".",1,A4994+1))</f>
        <v>.</v>
      </c>
      <c r="B4995" s="431" t="str">
        <f t="shared" ref="B4995:B5058" si="78">C4995&amp;D4995&amp;F4995&amp;G4995</f>
        <v>Knee Replacement PrimaryProviderNUFFIELD HEALTH, NEWCASTLE UPON TYNE HOSPITAL (NT229)Oxford Knee Score</v>
      </c>
      <c r="C4995" t="s">
        <v>249</v>
      </c>
      <c r="D4995" t="s">
        <v>1</v>
      </c>
      <c r="E4995" t="s">
        <v>3394</v>
      </c>
      <c r="F4995" t="s">
        <v>3395</v>
      </c>
      <c r="G4995" t="s">
        <v>16</v>
      </c>
      <c r="H4995">
        <v>41</v>
      </c>
      <c r="I4995">
        <v>21.683</v>
      </c>
      <c r="J4995">
        <v>35.097999999999999</v>
      </c>
      <c r="K4995">
        <v>13.414999999999999</v>
      </c>
      <c r="L4995">
        <v>37</v>
      </c>
      <c r="M4995">
        <v>0</v>
      </c>
      <c r="N4995">
        <v>4</v>
      </c>
      <c r="O4995">
        <v>33.725000000000001</v>
      </c>
      <c r="P4995">
        <v>14.43976784</v>
      </c>
      <c r="Q4995">
        <v>7.8259999999999996</v>
      </c>
    </row>
    <row r="4996" spans="1:17" x14ac:dyDescent="0.2">
      <c r="A4996" s="30" t="str">
        <f>IF(C4996&amp;G4996&amp;D4996&lt;&gt;'Funnel setup'!$K$3&amp;'Funnel setup'!$K$4&amp;'Funnel setup'!$K$5,".",IF(A4995=".",1,A4995+1))</f>
        <v>.</v>
      </c>
      <c r="B4996" s="431" t="str">
        <f t="shared" si="78"/>
        <v>Knee Replacement PrimaryProviderNUFFIELD HEALTH, NORTH STAFFORDSHIRE HOSPITAL (NT230)Oxford Knee Score</v>
      </c>
      <c r="C4996" t="s">
        <v>249</v>
      </c>
      <c r="D4996" t="s">
        <v>1</v>
      </c>
      <c r="E4996" t="s">
        <v>3397</v>
      </c>
      <c r="F4996" t="s">
        <v>3398</v>
      </c>
      <c r="G4996" t="s">
        <v>16</v>
      </c>
      <c r="H4996">
        <v>103</v>
      </c>
      <c r="I4996">
        <v>17.233000000000001</v>
      </c>
      <c r="J4996">
        <v>32.271999999999998</v>
      </c>
      <c r="K4996">
        <v>15.039</v>
      </c>
      <c r="L4996">
        <v>92</v>
      </c>
      <c r="M4996">
        <v>3</v>
      </c>
      <c r="N4996">
        <v>8</v>
      </c>
      <c r="O4996">
        <v>33.177</v>
      </c>
      <c r="P4996">
        <v>13.89169493</v>
      </c>
      <c r="Q4996">
        <v>9.6140000000000008</v>
      </c>
    </row>
    <row r="4997" spans="1:17" x14ac:dyDescent="0.2">
      <c r="A4997" s="30" t="str">
        <f>IF(C4997&amp;G4997&amp;D4997&lt;&gt;'Funnel setup'!$K$3&amp;'Funnel setup'!$K$4&amp;'Funnel setup'!$K$5,".",IF(A4996=".",1,A4996+1))</f>
        <v>.</v>
      </c>
      <c r="B4997" s="431" t="str">
        <f t="shared" si="78"/>
        <v>Knee Replacement PrimaryProviderNUFFIELD HEALTH, PLYMOUTH HOSPITAL (NT233)Oxford Knee Score</v>
      </c>
      <c r="C4997" t="s">
        <v>249</v>
      </c>
      <c r="D4997" t="s">
        <v>1</v>
      </c>
      <c r="E4997" t="s">
        <v>3400</v>
      </c>
      <c r="F4997" t="s">
        <v>3401</v>
      </c>
      <c r="G4997" t="s">
        <v>16</v>
      </c>
      <c r="H4997">
        <v>113</v>
      </c>
      <c r="I4997">
        <v>21.779</v>
      </c>
      <c r="J4997">
        <v>37.593000000000004</v>
      </c>
      <c r="K4997">
        <v>15.814</v>
      </c>
      <c r="L4997">
        <v>109</v>
      </c>
      <c r="M4997">
        <v>2</v>
      </c>
      <c r="N4997">
        <v>2</v>
      </c>
      <c r="O4997">
        <v>36.381999999999998</v>
      </c>
      <c r="P4997">
        <v>17.09636179</v>
      </c>
      <c r="Q4997">
        <v>7.1769999999999996</v>
      </c>
    </row>
    <row r="4998" spans="1:17" x14ac:dyDescent="0.2">
      <c r="A4998" s="30" t="str">
        <f>IF(C4998&amp;G4998&amp;D4998&lt;&gt;'Funnel setup'!$K$3&amp;'Funnel setup'!$K$4&amp;'Funnel setup'!$K$5,".",IF(A4997=".",1,A4997+1))</f>
        <v>.</v>
      </c>
      <c r="B4998" s="431" t="str">
        <f t="shared" si="78"/>
        <v>Knee Replacement PrimaryProviderNUFFIELD HEALTH, SHREWSBURY HOSPITAL (NT235)Oxford Knee Score</v>
      </c>
      <c r="C4998" t="s">
        <v>249</v>
      </c>
      <c r="D4998" t="s">
        <v>1</v>
      </c>
      <c r="E4998" t="s">
        <v>3240</v>
      </c>
      <c r="F4998" t="s">
        <v>3241</v>
      </c>
      <c r="G4998" t="s">
        <v>16</v>
      </c>
      <c r="H4998" t="s">
        <v>53</v>
      </c>
      <c r="I4998" t="s">
        <v>53</v>
      </c>
      <c r="J4998" t="s">
        <v>53</v>
      </c>
      <c r="K4998" t="s">
        <v>53</v>
      </c>
      <c r="L4998" t="s">
        <v>53</v>
      </c>
      <c r="M4998" t="s">
        <v>53</v>
      </c>
      <c r="N4998" t="s">
        <v>53</v>
      </c>
      <c r="O4998" t="s">
        <v>53</v>
      </c>
      <c r="P4998" t="s">
        <v>53</v>
      </c>
      <c r="Q4998" t="s">
        <v>53</v>
      </c>
    </row>
    <row r="4999" spans="1:17" x14ac:dyDescent="0.2">
      <c r="A4999" s="30" t="str">
        <f>IF(C4999&amp;G4999&amp;D4999&lt;&gt;'Funnel setup'!$K$3&amp;'Funnel setup'!$K$4&amp;'Funnel setup'!$K$5,".",IF(A4998=".",1,A4998+1))</f>
        <v>.</v>
      </c>
      <c r="B4999" s="431" t="str">
        <f t="shared" si="78"/>
        <v>Knee Replacement PrimaryProviderNUFFIELD HEALTH, TAUNTON HOSPITAL (NT238)Oxford Knee Score</v>
      </c>
      <c r="C4999" t="s">
        <v>249</v>
      </c>
      <c r="D4999" t="s">
        <v>1</v>
      </c>
      <c r="E4999" t="s">
        <v>3243</v>
      </c>
      <c r="F4999" t="s">
        <v>3244</v>
      </c>
      <c r="G4999" t="s">
        <v>16</v>
      </c>
      <c r="H4999">
        <v>76</v>
      </c>
      <c r="I4999">
        <v>21.934000000000001</v>
      </c>
      <c r="J4999">
        <v>39.316000000000003</v>
      </c>
      <c r="K4999">
        <v>17.382000000000001</v>
      </c>
      <c r="L4999">
        <v>73</v>
      </c>
      <c r="M4999">
        <v>1</v>
      </c>
      <c r="N4999">
        <v>2</v>
      </c>
      <c r="O4999">
        <v>36.500999999999998</v>
      </c>
      <c r="P4999">
        <v>17.21547404</v>
      </c>
      <c r="Q4999">
        <v>6.8650000000000002</v>
      </c>
    </row>
    <row r="5000" spans="1:17" x14ac:dyDescent="0.2">
      <c r="A5000" s="30" t="str">
        <f>IF(C5000&amp;G5000&amp;D5000&lt;&gt;'Funnel setup'!$K$3&amp;'Funnel setup'!$K$4&amp;'Funnel setup'!$K$5,".",IF(A4999=".",1,A4999+1))</f>
        <v>.</v>
      </c>
      <c r="B5000" s="431" t="str">
        <f t="shared" si="78"/>
        <v>Knee Replacement PrimaryProviderNUFFIELD HEALTH, TEES HOSPITAL (NT237)Oxford Knee Score</v>
      </c>
      <c r="C5000" t="s">
        <v>249</v>
      </c>
      <c r="D5000" t="s">
        <v>1</v>
      </c>
      <c r="E5000" t="s">
        <v>3246</v>
      </c>
      <c r="F5000" t="s">
        <v>3247</v>
      </c>
      <c r="G5000" t="s">
        <v>16</v>
      </c>
      <c r="H5000">
        <v>181</v>
      </c>
      <c r="I5000">
        <v>20.326000000000001</v>
      </c>
      <c r="J5000">
        <v>38.47</v>
      </c>
      <c r="K5000">
        <v>18.143999999999998</v>
      </c>
      <c r="L5000">
        <v>177</v>
      </c>
      <c r="M5000">
        <v>0</v>
      </c>
      <c r="N5000">
        <v>4</v>
      </c>
      <c r="O5000">
        <v>37.328000000000003</v>
      </c>
      <c r="P5000">
        <v>18.04234606</v>
      </c>
      <c r="Q5000">
        <v>7.23</v>
      </c>
    </row>
    <row r="5001" spans="1:17" x14ac:dyDescent="0.2">
      <c r="A5001" s="30" t="str">
        <f>IF(C5001&amp;G5001&amp;D5001&lt;&gt;'Funnel setup'!$K$3&amp;'Funnel setup'!$K$4&amp;'Funnel setup'!$K$5,".",IF(A5000=".",1,A5000+1))</f>
        <v>.</v>
      </c>
      <c r="B5001" s="431" t="str">
        <f t="shared" si="78"/>
        <v>Knee Replacement PrimaryProviderNUFFIELD HEALTH, THE GROSVENOR HOSPITAL, CHESTER (NT210)Oxford Knee Score</v>
      </c>
      <c r="C5001" t="s">
        <v>249</v>
      </c>
      <c r="D5001" t="s">
        <v>1</v>
      </c>
      <c r="E5001" t="s">
        <v>3249</v>
      </c>
      <c r="F5001" t="s">
        <v>3250</v>
      </c>
      <c r="G5001" t="s">
        <v>16</v>
      </c>
      <c r="H5001">
        <v>69</v>
      </c>
      <c r="I5001">
        <v>21.376999999999999</v>
      </c>
      <c r="J5001">
        <v>36.667000000000002</v>
      </c>
      <c r="K5001">
        <v>15.29</v>
      </c>
      <c r="L5001">
        <v>65</v>
      </c>
      <c r="M5001">
        <v>0</v>
      </c>
      <c r="N5001">
        <v>4</v>
      </c>
      <c r="O5001">
        <v>35.286999999999999</v>
      </c>
      <c r="P5001">
        <v>16.00124808</v>
      </c>
      <c r="Q5001">
        <v>7.8479999999999999</v>
      </c>
    </row>
    <row r="5002" spans="1:17" x14ac:dyDescent="0.2">
      <c r="A5002" s="30" t="str">
        <f>IF(C5002&amp;G5002&amp;D5002&lt;&gt;'Funnel setup'!$K$3&amp;'Funnel setup'!$K$4&amp;'Funnel setup'!$K$5,".",IF(A5001=".",1,A5001+1))</f>
        <v>.</v>
      </c>
      <c r="B5002" s="431" t="str">
        <f t="shared" si="78"/>
        <v>Knee Replacement PrimaryProviderNUFFIELD HEALTH, TUNBRIDGE WELLS HOSPITAL (NT239)Oxford Knee Score</v>
      </c>
      <c r="C5002" t="s">
        <v>249</v>
      </c>
      <c r="D5002" t="s">
        <v>1</v>
      </c>
      <c r="E5002" t="s">
        <v>3252</v>
      </c>
      <c r="F5002" t="s">
        <v>3253</v>
      </c>
      <c r="G5002" t="s">
        <v>16</v>
      </c>
      <c r="H5002" t="s">
        <v>53</v>
      </c>
      <c r="I5002" t="s">
        <v>53</v>
      </c>
      <c r="J5002" t="s">
        <v>53</v>
      </c>
      <c r="K5002" t="s">
        <v>53</v>
      </c>
      <c r="L5002" t="s">
        <v>53</v>
      </c>
      <c r="M5002" t="s">
        <v>53</v>
      </c>
      <c r="N5002" t="s">
        <v>53</v>
      </c>
      <c r="O5002" t="s">
        <v>53</v>
      </c>
      <c r="P5002" t="s">
        <v>53</v>
      </c>
      <c r="Q5002" t="s">
        <v>53</v>
      </c>
    </row>
    <row r="5003" spans="1:17" x14ac:dyDescent="0.2">
      <c r="A5003" s="30" t="str">
        <f>IF(C5003&amp;G5003&amp;D5003&lt;&gt;'Funnel setup'!$K$3&amp;'Funnel setup'!$K$4&amp;'Funnel setup'!$K$5,".",IF(A5002=".",1,A5002+1))</f>
        <v>.</v>
      </c>
      <c r="B5003" s="431" t="str">
        <f t="shared" si="78"/>
        <v>Knee Replacement PrimaryProviderNUFFIELD HEALTH, WARWICKSHIRE HOSPITAL (NT224)Oxford Knee Score</v>
      </c>
      <c r="C5003" t="s">
        <v>249</v>
      </c>
      <c r="D5003" t="s">
        <v>1</v>
      </c>
      <c r="E5003" t="s">
        <v>3255</v>
      </c>
      <c r="F5003" t="s">
        <v>3256</v>
      </c>
      <c r="G5003" t="s">
        <v>16</v>
      </c>
      <c r="H5003" t="s">
        <v>53</v>
      </c>
      <c r="I5003" t="s">
        <v>53</v>
      </c>
      <c r="J5003" t="s">
        <v>53</v>
      </c>
      <c r="K5003" t="s">
        <v>53</v>
      </c>
      <c r="L5003" t="s">
        <v>53</v>
      </c>
      <c r="M5003" t="s">
        <v>53</v>
      </c>
      <c r="N5003" t="s">
        <v>53</v>
      </c>
      <c r="O5003" t="s">
        <v>53</v>
      </c>
      <c r="P5003" t="s">
        <v>53</v>
      </c>
      <c r="Q5003" t="s">
        <v>53</v>
      </c>
    </row>
    <row r="5004" spans="1:17" x14ac:dyDescent="0.2">
      <c r="A5004" s="30" t="str">
        <f>IF(C5004&amp;G5004&amp;D5004&lt;&gt;'Funnel setup'!$K$3&amp;'Funnel setup'!$K$4&amp;'Funnel setup'!$K$5,".",IF(A5003=".",1,A5003+1))</f>
        <v>.</v>
      </c>
      <c r="B5004" s="431" t="str">
        <f t="shared" si="78"/>
        <v>Knee Replacement PrimaryProviderNUFFIELD HEALTH, WESSEX HOSPITAL (NT214)Oxford Knee Score</v>
      </c>
      <c r="C5004" t="s">
        <v>249</v>
      </c>
      <c r="D5004" t="s">
        <v>1</v>
      </c>
      <c r="E5004" t="s">
        <v>3258</v>
      </c>
      <c r="F5004" t="s">
        <v>3259</v>
      </c>
      <c r="G5004" t="s">
        <v>16</v>
      </c>
      <c r="H5004">
        <v>49</v>
      </c>
      <c r="I5004">
        <v>19.837</v>
      </c>
      <c r="J5004">
        <v>38.244999999999997</v>
      </c>
      <c r="K5004">
        <v>18.408000000000001</v>
      </c>
      <c r="L5004">
        <v>48</v>
      </c>
      <c r="M5004">
        <v>0</v>
      </c>
      <c r="N5004">
        <v>1</v>
      </c>
      <c r="O5004">
        <v>36.773000000000003</v>
      </c>
      <c r="P5004">
        <v>17.488078900000001</v>
      </c>
      <c r="Q5004">
        <v>7.8049999999999997</v>
      </c>
    </row>
    <row r="5005" spans="1:17" x14ac:dyDescent="0.2">
      <c r="A5005" s="30" t="str">
        <f>IF(C5005&amp;G5005&amp;D5005&lt;&gt;'Funnel setup'!$K$3&amp;'Funnel setup'!$K$4&amp;'Funnel setup'!$K$5,".",IF(A5004=".",1,A5004+1))</f>
        <v>.</v>
      </c>
      <c r="B5005" s="431" t="str">
        <f t="shared" si="78"/>
        <v>Knee Replacement PrimaryProviderNUFFIELD HEALTH, WOKING HOSPITAL (NT241)Oxford Knee Score</v>
      </c>
      <c r="C5005" t="s">
        <v>249</v>
      </c>
      <c r="D5005" t="s">
        <v>1</v>
      </c>
      <c r="E5005" t="s">
        <v>3261</v>
      </c>
      <c r="F5005" t="s">
        <v>3262</v>
      </c>
      <c r="G5005" t="s">
        <v>16</v>
      </c>
      <c r="H5005">
        <v>18</v>
      </c>
      <c r="I5005">
        <v>21.388999999999999</v>
      </c>
      <c r="J5005">
        <v>36.832999999999998</v>
      </c>
      <c r="K5005">
        <v>15.444000000000001</v>
      </c>
      <c r="L5005">
        <v>18</v>
      </c>
      <c r="M5005">
        <v>0</v>
      </c>
      <c r="N5005">
        <v>0</v>
      </c>
      <c r="O5005" t="s">
        <v>53</v>
      </c>
      <c r="P5005" t="s">
        <v>53</v>
      </c>
      <c r="Q5005" t="s">
        <v>53</v>
      </c>
    </row>
    <row r="5006" spans="1:17" x14ac:dyDescent="0.2">
      <c r="A5006" s="30" t="str">
        <f>IF(C5006&amp;G5006&amp;D5006&lt;&gt;'Funnel setup'!$K$3&amp;'Funnel setup'!$K$4&amp;'Funnel setup'!$K$5,".",IF(A5005=".",1,A5005+1))</f>
        <v>.</v>
      </c>
      <c r="B5006" s="431" t="str">
        <f t="shared" si="78"/>
        <v>Knee Replacement PrimaryProviderNUFFIELD HEALTH, WOLVERHAMPTON HOSPITAL (NT242)Oxford Knee Score</v>
      </c>
      <c r="C5006" t="s">
        <v>249</v>
      </c>
      <c r="D5006" t="s">
        <v>1</v>
      </c>
      <c r="E5006" t="s">
        <v>3264</v>
      </c>
      <c r="F5006" t="s">
        <v>3265</v>
      </c>
      <c r="G5006" t="s">
        <v>16</v>
      </c>
      <c r="H5006">
        <v>83</v>
      </c>
      <c r="I5006">
        <v>20.59</v>
      </c>
      <c r="J5006">
        <v>36.241</v>
      </c>
      <c r="K5006">
        <v>15.651</v>
      </c>
      <c r="L5006">
        <v>79</v>
      </c>
      <c r="M5006">
        <v>0</v>
      </c>
      <c r="N5006">
        <v>4</v>
      </c>
      <c r="O5006">
        <v>35.774000000000001</v>
      </c>
      <c r="P5006">
        <v>16.488538250000001</v>
      </c>
      <c r="Q5006">
        <v>7.4509999999999996</v>
      </c>
    </row>
    <row r="5007" spans="1:17" x14ac:dyDescent="0.2">
      <c r="A5007" s="30" t="str">
        <f>IF(C5007&amp;G5007&amp;D5007&lt;&gt;'Funnel setup'!$K$3&amp;'Funnel setup'!$K$4&amp;'Funnel setup'!$K$5,".",IF(A5006=".",1,A5006+1))</f>
        <v>.</v>
      </c>
      <c r="B5007" s="431" t="str">
        <f t="shared" si="78"/>
        <v>Knee Replacement PrimaryProviderNUFFIELD HEALTH, YORK HOSPITAL (NT245)Oxford Knee Score</v>
      </c>
      <c r="C5007" t="s">
        <v>249</v>
      </c>
      <c r="D5007" t="s">
        <v>1</v>
      </c>
      <c r="E5007" t="s">
        <v>4299</v>
      </c>
      <c r="F5007" t="s">
        <v>4300</v>
      </c>
      <c r="G5007" t="s">
        <v>16</v>
      </c>
      <c r="H5007">
        <v>143</v>
      </c>
      <c r="I5007">
        <v>20.895</v>
      </c>
      <c r="J5007">
        <v>37.72</v>
      </c>
      <c r="K5007">
        <v>16.824999999999999</v>
      </c>
      <c r="L5007">
        <v>141</v>
      </c>
      <c r="M5007">
        <v>1</v>
      </c>
      <c r="N5007">
        <v>1</v>
      </c>
      <c r="O5007">
        <v>35.536000000000001</v>
      </c>
      <c r="P5007">
        <v>16.250890829999999</v>
      </c>
      <c r="Q5007">
        <v>7.1520000000000001</v>
      </c>
    </row>
    <row r="5008" spans="1:17" x14ac:dyDescent="0.2">
      <c r="A5008" s="30" t="str">
        <f>IF(C5008&amp;G5008&amp;D5008&lt;&gt;'Funnel setup'!$K$3&amp;'Funnel setup'!$K$4&amp;'Funnel setup'!$K$5,".",IF(A5007=".",1,A5007+1))</f>
        <v>.</v>
      </c>
      <c r="B5008" s="431" t="str">
        <f t="shared" si="78"/>
        <v>Knee Replacement PrimaryProviderNUFFIELD HOSPITAL OXFORD (THE MANOR) (NT244)Oxford Knee Score</v>
      </c>
      <c r="C5008" t="s">
        <v>249</v>
      </c>
      <c r="D5008" t="s">
        <v>1</v>
      </c>
      <c r="E5008" t="s">
        <v>4302</v>
      </c>
      <c r="F5008" t="s">
        <v>4303</v>
      </c>
      <c r="G5008" t="s">
        <v>16</v>
      </c>
      <c r="H5008">
        <v>11</v>
      </c>
      <c r="I5008">
        <v>18.091000000000001</v>
      </c>
      <c r="J5008">
        <v>37.636000000000003</v>
      </c>
      <c r="K5008">
        <v>19.545000000000002</v>
      </c>
      <c r="L5008">
        <v>11</v>
      </c>
      <c r="M5008">
        <v>0</v>
      </c>
      <c r="N5008">
        <v>0</v>
      </c>
      <c r="O5008" t="s">
        <v>53</v>
      </c>
      <c r="P5008" t="s">
        <v>53</v>
      </c>
      <c r="Q5008" t="s">
        <v>53</v>
      </c>
    </row>
    <row r="5009" spans="1:17" x14ac:dyDescent="0.2">
      <c r="A5009" s="30" t="str">
        <f>IF(C5009&amp;G5009&amp;D5009&lt;&gt;'Funnel setup'!$K$3&amp;'Funnel setup'!$K$4&amp;'Funnel setup'!$K$5,".",IF(A5008=".",1,A5008+1))</f>
        <v>.</v>
      </c>
      <c r="B5009" s="431" t="str">
        <f t="shared" si="78"/>
        <v>Knee Replacement PrimaryProviderOAKLANDS HOSPITAL (NVC12)Oxford Knee Score</v>
      </c>
      <c r="C5009" t="s">
        <v>249</v>
      </c>
      <c r="D5009" t="s">
        <v>1</v>
      </c>
      <c r="E5009" t="s">
        <v>3267</v>
      </c>
      <c r="F5009" t="s">
        <v>3268</v>
      </c>
      <c r="G5009" t="s">
        <v>16</v>
      </c>
      <c r="H5009">
        <v>135</v>
      </c>
      <c r="I5009">
        <v>19.311</v>
      </c>
      <c r="J5009">
        <v>32.963000000000001</v>
      </c>
      <c r="K5009">
        <v>13.651999999999999</v>
      </c>
      <c r="L5009">
        <v>115</v>
      </c>
      <c r="M5009">
        <v>3</v>
      </c>
      <c r="N5009">
        <v>17</v>
      </c>
      <c r="O5009">
        <v>33.451000000000001</v>
      </c>
      <c r="P5009">
        <v>14.165441919999999</v>
      </c>
      <c r="Q5009">
        <v>9.6180000000000003</v>
      </c>
    </row>
    <row r="5010" spans="1:17" x14ac:dyDescent="0.2">
      <c r="A5010" s="30" t="str">
        <f>IF(C5010&amp;G5010&amp;D5010&lt;&gt;'Funnel setup'!$K$3&amp;'Funnel setup'!$K$4&amp;'Funnel setup'!$K$5,".",IF(A5009=".",1,A5009+1))</f>
        <v>.</v>
      </c>
      <c r="B5010" s="431" t="str">
        <f t="shared" si="78"/>
        <v>Knee Replacement PrimaryProviderOAKS HOSPITAL (NVC13)Oxford Knee Score</v>
      </c>
      <c r="C5010" t="s">
        <v>249</v>
      </c>
      <c r="D5010" t="s">
        <v>1</v>
      </c>
      <c r="E5010" t="s">
        <v>3270</v>
      </c>
      <c r="F5010" t="s">
        <v>3271</v>
      </c>
      <c r="G5010" t="s">
        <v>16</v>
      </c>
      <c r="H5010">
        <v>163</v>
      </c>
      <c r="I5010">
        <v>21.491</v>
      </c>
      <c r="J5010">
        <v>36.140999999999998</v>
      </c>
      <c r="K5010">
        <v>14.65</v>
      </c>
      <c r="L5010">
        <v>150</v>
      </c>
      <c r="M5010">
        <v>3</v>
      </c>
      <c r="N5010">
        <v>10</v>
      </c>
      <c r="O5010">
        <v>34.869999999999997</v>
      </c>
      <c r="P5010">
        <v>15.58481057</v>
      </c>
      <c r="Q5010">
        <v>7.7880000000000003</v>
      </c>
    </row>
    <row r="5011" spans="1:17" x14ac:dyDescent="0.2">
      <c r="A5011" s="30" t="str">
        <f>IF(C5011&amp;G5011&amp;D5011&lt;&gt;'Funnel setup'!$K$3&amp;'Funnel setup'!$K$4&amp;'Funnel setup'!$K$5,".",IF(A5010=".",1,A5010+1))</f>
        <v>.</v>
      </c>
      <c r="B5011" s="431" t="str">
        <f t="shared" si="78"/>
        <v>Knee Replacement PrimaryProviderONE HEALTH GROUP LTD (NTX01)Oxford Knee Score</v>
      </c>
      <c r="C5011" t="s">
        <v>249</v>
      </c>
      <c r="D5011" t="s">
        <v>1</v>
      </c>
      <c r="E5011" t="s">
        <v>6507</v>
      </c>
      <c r="F5011" t="s">
        <v>6508</v>
      </c>
      <c r="G5011" t="s">
        <v>16</v>
      </c>
      <c r="H5011">
        <v>38</v>
      </c>
      <c r="I5011">
        <v>22.236999999999998</v>
      </c>
      <c r="J5011">
        <v>37.262999999999998</v>
      </c>
      <c r="K5011">
        <v>15.026</v>
      </c>
      <c r="L5011">
        <v>34</v>
      </c>
      <c r="M5011">
        <v>1</v>
      </c>
      <c r="N5011">
        <v>3</v>
      </c>
      <c r="O5011">
        <v>34.668999999999997</v>
      </c>
      <c r="P5011">
        <v>15.38376313</v>
      </c>
      <c r="Q5011">
        <v>8.7059999999999995</v>
      </c>
    </row>
    <row r="5012" spans="1:17" x14ac:dyDescent="0.2">
      <c r="A5012" s="30" t="str">
        <f>IF(C5012&amp;G5012&amp;D5012&lt;&gt;'Funnel setup'!$K$3&amp;'Funnel setup'!$K$4&amp;'Funnel setup'!$K$5,".",IF(A5011=".",1,A5011+1))</f>
        <v>.</v>
      </c>
      <c r="B5012" s="431" t="str">
        <f t="shared" si="78"/>
        <v>Knee Replacement PrimaryProviderOXFORD UNIVERSITY HOSPITALS NHS FOUNDATION TRUST (RTH)Oxford Knee Score</v>
      </c>
      <c r="C5012" t="s">
        <v>249</v>
      </c>
      <c r="D5012" t="s">
        <v>1</v>
      </c>
      <c r="E5012" t="s">
        <v>3278</v>
      </c>
      <c r="F5012" t="s">
        <v>6578</v>
      </c>
      <c r="G5012" t="s">
        <v>16</v>
      </c>
      <c r="H5012">
        <v>265</v>
      </c>
      <c r="I5012">
        <v>18.977</v>
      </c>
      <c r="J5012">
        <v>34.622999999999998</v>
      </c>
      <c r="K5012">
        <v>15.645</v>
      </c>
      <c r="L5012">
        <v>250</v>
      </c>
      <c r="M5012">
        <v>2</v>
      </c>
      <c r="N5012">
        <v>13</v>
      </c>
      <c r="O5012">
        <v>34.226999999999997</v>
      </c>
      <c r="P5012">
        <v>14.941159300000001</v>
      </c>
      <c r="Q5012">
        <v>8.3439999999999994</v>
      </c>
    </row>
    <row r="5013" spans="1:17" x14ac:dyDescent="0.2">
      <c r="A5013" s="30" t="str">
        <f>IF(C5013&amp;G5013&amp;D5013&lt;&gt;'Funnel setup'!$K$3&amp;'Funnel setup'!$K$4&amp;'Funnel setup'!$K$5,".",IF(A5012=".",1,A5012+1))</f>
        <v>.</v>
      </c>
      <c r="B5013" s="431" t="str">
        <f t="shared" si="78"/>
        <v>Knee Replacement PrimaryProviderPARK HILL HOSPITAL (NVC14)Oxford Knee Score</v>
      </c>
      <c r="C5013" t="s">
        <v>249</v>
      </c>
      <c r="D5013" t="s">
        <v>1</v>
      </c>
      <c r="E5013" t="s">
        <v>3280</v>
      </c>
      <c r="F5013" t="s">
        <v>3281</v>
      </c>
      <c r="G5013" t="s">
        <v>16</v>
      </c>
      <c r="H5013">
        <v>32</v>
      </c>
      <c r="I5013">
        <v>17.75</v>
      </c>
      <c r="J5013">
        <v>34</v>
      </c>
      <c r="K5013">
        <v>16.25</v>
      </c>
      <c r="L5013">
        <v>29</v>
      </c>
      <c r="M5013">
        <v>1</v>
      </c>
      <c r="N5013">
        <v>2</v>
      </c>
      <c r="O5013">
        <v>34.829000000000001</v>
      </c>
      <c r="P5013">
        <v>15.54350546</v>
      </c>
      <c r="Q5013">
        <v>9.2759999999999998</v>
      </c>
    </row>
    <row r="5014" spans="1:17" x14ac:dyDescent="0.2">
      <c r="A5014" s="30" t="str">
        <f>IF(C5014&amp;G5014&amp;D5014&lt;&gt;'Funnel setup'!$K$3&amp;'Funnel setup'!$K$4&amp;'Funnel setup'!$K$5,".",IF(A5013=".",1,A5013+1))</f>
        <v>.</v>
      </c>
      <c r="B5014" s="431" t="str">
        <f t="shared" si="78"/>
        <v>Knee Replacement PrimaryProviderPENINSULA NHS TREATMENT CENTRE (NTPH5)Oxford Knee Score</v>
      </c>
      <c r="C5014" t="s">
        <v>249</v>
      </c>
      <c r="D5014" t="s">
        <v>1</v>
      </c>
      <c r="E5014" t="s">
        <v>4285</v>
      </c>
      <c r="F5014" t="s">
        <v>4286</v>
      </c>
      <c r="G5014" t="s">
        <v>16</v>
      </c>
      <c r="H5014">
        <v>245</v>
      </c>
      <c r="I5014">
        <v>22.472999999999999</v>
      </c>
      <c r="J5014">
        <v>37.024000000000001</v>
      </c>
      <c r="K5014">
        <v>14.551</v>
      </c>
      <c r="L5014">
        <v>227</v>
      </c>
      <c r="M5014">
        <v>3</v>
      </c>
      <c r="N5014">
        <v>15</v>
      </c>
      <c r="O5014">
        <v>34.959000000000003</v>
      </c>
      <c r="P5014">
        <v>15.67395716</v>
      </c>
      <c r="Q5014">
        <v>7.9649999999999999</v>
      </c>
    </row>
    <row r="5015" spans="1:17" x14ac:dyDescent="0.2">
      <c r="A5015" s="30" t="str">
        <f>IF(C5015&amp;G5015&amp;D5015&lt;&gt;'Funnel setup'!$K$3&amp;'Funnel setup'!$K$4&amp;'Funnel setup'!$K$5,".",IF(A5014=".",1,A5014+1))</f>
        <v>.</v>
      </c>
      <c r="B5015" s="431" t="str">
        <f t="shared" si="78"/>
        <v>Knee Replacement PrimaryProviderPENNINE ACUTE HOSPITALS NHS TRUST (RW6)Oxford Knee Score</v>
      </c>
      <c r="C5015" t="s">
        <v>249</v>
      </c>
      <c r="D5015" t="s">
        <v>1</v>
      </c>
      <c r="E5015" t="s">
        <v>3216</v>
      </c>
      <c r="F5015" t="s">
        <v>3217</v>
      </c>
      <c r="G5015" t="s">
        <v>16</v>
      </c>
      <c r="H5015">
        <v>183</v>
      </c>
      <c r="I5015">
        <v>15.678000000000001</v>
      </c>
      <c r="J5015">
        <v>31.338999999999999</v>
      </c>
      <c r="K5015">
        <v>15.661</v>
      </c>
      <c r="L5015">
        <v>172</v>
      </c>
      <c r="M5015">
        <v>1</v>
      </c>
      <c r="N5015">
        <v>10</v>
      </c>
      <c r="O5015">
        <v>34.536999999999999</v>
      </c>
      <c r="P5015">
        <v>15.251660429999999</v>
      </c>
      <c r="Q5015">
        <v>10.124000000000001</v>
      </c>
    </row>
    <row r="5016" spans="1:17" x14ac:dyDescent="0.2">
      <c r="A5016" s="30" t="str">
        <f>IF(C5016&amp;G5016&amp;D5016&lt;&gt;'Funnel setup'!$K$3&amp;'Funnel setup'!$K$4&amp;'Funnel setup'!$K$5,".",IF(A5015=".",1,A5015+1))</f>
        <v>.</v>
      </c>
      <c r="B5016" s="431" t="str">
        <f t="shared" si="78"/>
        <v>Knee Replacement PrimaryProviderPETERBOROUGH AND STAMFORD HOSPITALS NHS FOUNDATION TRUST (RGN)Oxford Knee Score</v>
      </c>
      <c r="C5016" t="s">
        <v>249</v>
      </c>
      <c r="D5016" t="s">
        <v>1</v>
      </c>
      <c r="E5016" t="s">
        <v>3219</v>
      </c>
      <c r="F5016" t="s">
        <v>3220</v>
      </c>
      <c r="G5016" t="s">
        <v>16</v>
      </c>
      <c r="H5016">
        <v>242</v>
      </c>
      <c r="I5016">
        <v>19.277000000000001</v>
      </c>
      <c r="J5016">
        <v>35.587000000000003</v>
      </c>
      <c r="K5016">
        <v>16.309999999999999</v>
      </c>
      <c r="L5016">
        <v>219</v>
      </c>
      <c r="M5016">
        <v>1</v>
      </c>
      <c r="N5016">
        <v>22</v>
      </c>
      <c r="O5016">
        <v>35.475000000000001</v>
      </c>
      <c r="P5016">
        <v>16.189677700000001</v>
      </c>
      <c r="Q5016">
        <v>8.843</v>
      </c>
    </row>
    <row r="5017" spans="1:17" x14ac:dyDescent="0.2">
      <c r="A5017" s="30" t="str">
        <f>IF(C5017&amp;G5017&amp;D5017&lt;&gt;'Funnel setup'!$K$3&amp;'Funnel setup'!$K$4&amp;'Funnel setup'!$K$5,".",IF(A5016=".",1,A5016+1))</f>
        <v>.</v>
      </c>
      <c r="B5017" s="431" t="str">
        <f t="shared" si="78"/>
        <v>Knee Replacement PrimaryProviderPINEHILL HOSPITAL (NVC15)Oxford Knee Score</v>
      </c>
      <c r="C5017" t="s">
        <v>249</v>
      </c>
      <c r="D5017" t="s">
        <v>1</v>
      </c>
      <c r="E5017" t="s">
        <v>3222</v>
      </c>
      <c r="F5017" t="s">
        <v>3223</v>
      </c>
      <c r="G5017" t="s">
        <v>16</v>
      </c>
      <c r="H5017">
        <v>40</v>
      </c>
      <c r="I5017">
        <v>20.7</v>
      </c>
      <c r="J5017">
        <v>35.274999999999999</v>
      </c>
      <c r="K5017">
        <v>14.574999999999999</v>
      </c>
      <c r="L5017">
        <v>34</v>
      </c>
      <c r="M5017">
        <v>1</v>
      </c>
      <c r="N5017">
        <v>5</v>
      </c>
      <c r="O5017">
        <v>34.643000000000001</v>
      </c>
      <c r="P5017">
        <v>15.357772819999999</v>
      </c>
      <c r="Q5017">
        <v>8.8109999999999999</v>
      </c>
    </row>
    <row r="5018" spans="1:17" x14ac:dyDescent="0.2">
      <c r="A5018" s="30" t="str">
        <f>IF(C5018&amp;G5018&amp;D5018&lt;&gt;'Funnel setup'!$K$3&amp;'Funnel setup'!$K$4&amp;'Funnel setup'!$K$5,".",IF(A5017=".",1,A5017+1))</f>
        <v>.</v>
      </c>
      <c r="B5018" s="431" t="str">
        <f t="shared" si="78"/>
        <v>Knee Replacement PrimaryProviderPLYMOUTH HOSPITALS NHS TRUST (RK9)Oxford Knee Score</v>
      </c>
      <c r="C5018" t="s">
        <v>249</v>
      </c>
      <c r="D5018" t="s">
        <v>1</v>
      </c>
      <c r="E5018" t="s">
        <v>3225</v>
      </c>
      <c r="F5018" t="s">
        <v>3226</v>
      </c>
      <c r="G5018" t="s">
        <v>16</v>
      </c>
      <c r="H5018">
        <v>213</v>
      </c>
      <c r="I5018">
        <v>18.451000000000001</v>
      </c>
      <c r="J5018">
        <v>34.014000000000003</v>
      </c>
      <c r="K5018">
        <v>15.563000000000001</v>
      </c>
      <c r="L5018">
        <v>200</v>
      </c>
      <c r="M5018">
        <v>3</v>
      </c>
      <c r="N5018">
        <v>10</v>
      </c>
      <c r="O5018">
        <v>34.750999999999998</v>
      </c>
      <c r="P5018">
        <v>15.465937329999999</v>
      </c>
      <c r="Q5018">
        <v>8.6910000000000007</v>
      </c>
    </row>
    <row r="5019" spans="1:17" x14ac:dyDescent="0.2">
      <c r="A5019" s="30" t="str">
        <f>IF(C5019&amp;G5019&amp;D5019&lt;&gt;'Funnel setup'!$K$3&amp;'Funnel setup'!$K$4&amp;'Funnel setup'!$K$5,".",IF(A5018=".",1,A5018+1))</f>
        <v>.</v>
      </c>
      <c r="B5019" s="431" t="str">
        <f t="shared" si="78"/>
        <v>Knee Replacement PrimaryProviderPORTSMOUTH HOSPITALS NHS TRUST (RHU)Oxford Knee Score</v>
      </c>
      <c r="C5019" t="s">
        <v>249</v>
      </c>
      <c r="D5019" t="s">
        <v>1</v>
      </c>
      <c r="E5019" t="s">
        <v>3234</v>
      </c>
      <c r="F5019" t="s">
        <v>3235</v>
      </c>
      <c r="G5019" t="s">
        <v>16</v>
      </c>
      <c r="H5019">
        <v>151</v>
      </c>
      <c r="I5019">
        <v>18.390999999999998</v>
      </c>
      <c r="J5019">
        <v>34.463999999999999</v>
      </c>
      <c r="K5019">
        <v>16.073</v>
      </c>
      <c r="L5019">
        <v>147</v>
      </c>
      <c r="M5019">
        <v>0</v>
      </c>
      <c r="N5019">
        <v>4</v>
      </c>
      <c r="O5019">
        <v>34.351999999999997</v>
      </c>
      <c r="P5019">
        <v>15.066927079999999</v>
      </c>
      <c r="Q5019">
        <v>7.87</v>
      </c>
    </row>
    <row r="5020" spans="1:17" x14ac:dyDescent="0.2">
      <c r="A5020" s="30" t="str">
        <f>IF(C5020&amp;G5020&amp;D5020&lt;&gt;'Funnel setup'!$K$3&amp;'Funnel setup'!$K$4&amp;'Funnel setup'!$K$5,".",IF(A5019=".",1,A5019+1))</f>
        <v>.</v>
      </c>
      <c r="B5020" s="431" t="str">
        <f t="shared" si="78"/>
        <v>Knee Replacement PrimaryProviderRENACRES HOSPITAL (NVC16)Oxford Knee Score</v>
      </c>
      <c r="C5020" t="s">
        <v>249</v>
      </c>
      <c r="D5020" t="s">
        <v>1</v>
      </c>
      <c r="E5020" t="s">
        <v>3237</v>
      </c>
      <c r="F5020" t="s">
        <v>3238</v>
      </c>
      <c r="G5020" t="s">
        <v>16</v>
      </c>
      <c r="H5020">
        <v>58</v>
      </c>
      <c r="I5020">
        <v>21.896999999999998</v>
      </c>
      <c r="J5020">
        <v>36.723999999999997</v>
      </c>
      <c r="K5020">
        <v>14.827999999999999</v>
      </c>
      <c r="L5020">
        <v>53</v>
      </c>
      <c r="M5020">
        <v>1</v>
      </c>
      <c r="N5020">
        <v>4</v>
      </c>
      <c r="O5020">
        <v>34.94</v>
      </c>
      <c r="P5020">
        <v>15.65512262</v>
      </c>
      <c r="Q5020">
        <v>9.1829999999999998</v>
      </c>
    </row>
    <row r="5021" spans="1:17" x14ac:dyDescent="0.2">
      <c r="A5021" s="30" t="str">
        <f>IF(C5021&amp;G5021&amp;D5021&lt;&gt;'Funnel setup'!$K$3&amp;'Funnel setup'!$K$4&amp;'Funnel setup'!$K$5,".",IF(A5020=".",1,A5020+1))</f>
        <v>.</v>
      </c>
      <c r="B5021" s="431" t="str">
        <f t="shared" si="78"/>
        <v>Knee Replacement PrimaryProviderRIVERS HOSPITAL (NVC19)Oxford Knee Score</v>
      </c>
      <c r="C5021" t="s">
        <v>249</v>
      </c>
      <c r="D5021" t="s">
        <v>1</v>
      </c>
      <c r="E5021" t="s">
        <v>3204</v>
      </c>
      <c r="F5021" t="s">
        <v>3205</v>
      </c>
      <c r="G5021" t="s">
        <v>16</v>
      </c>
      <c r="H5021">
        <v>83</v>
      </c>
      <c r="I5021">
        <v>20.434000000000001</v>
      </c>
      <c r="J5021">
        <v>37.951999999999998</v>
      </c>
      <c r="K5021">
        <v>17.518000000000001</v>
      </c>
      <c r="L5021">
        <v>82</v>
      </c>
      <c r="M5021">
        <v>0</v>
      </c>
      <c r="N5021">
        <v>1</v>
      </c>
      <c r="O5021">
        <v>36.692999999999998</v>
      </c>
      <c r="P5021">
        <v>17.40765794</v>
      </c>
      <c r="Q5021">
        <v>7.3730000000000002</v>
      </c>
    </row>
    <row r="5022" spans="1:17" x14ac:dyDescent="0.2">
      <c r="A5022" s="30" t="str">
        <f>IF(C5022&amp;G5022&amp;D5022&lt;&gt;'Funnel setup'!$K$3&amp;'Funnel setup'!$K$4&amp;'Funnel setup'!$K$5,".",IF(A5021=".",1,A5021+1))</f>
        <v>.</v>
      </c>
      <c r="B5022" s="431" t="str">
        <f t="shared" si="78"/>
        <v>Knee Replacement PrimaryProviderROWLEY HALL HOSPITAL (NVC17)Oxford Knee Score</v>
      </c>
      <c r="C5022" t="s">
        <v>249</v>
      </c>
      <c r="D5022" t="s">
        <v>1</v>
      </c>
      <c r="E5022" t="s">
        <v>3207</v>
      </c>
      <c r="F5022" t="s">
        <v>3208</v>
      </c>
      <c r="G5022" t="s">
        <v>16</v>
      </c>
      <c r="H5022">
        <v>50</v>
      </c>
      <c r="I5022">
        <v>19.66</v>
      </c>
      <c r="J5022">
        <v>35.78</v>
      </c>
      <c r="K5022">
        <v>16.12</v>
      </c>
      <c r="L5022">
        <v>47</v>
      </c>
      <c r="M5022">
        <v>1</v>
      </c>
      <c r="N5022">
        <v>2</v>
      </c>
      <c r="O5022">
        <v>34.796999999999997</v>
      </c>
      <c r="P5022">
        <v>15.511582170000001</v>
      </c>
      <c r="Q5022">
        <v>8.3420000000000005</v>
      </c>
    </row>
    <row r="5023" spans="1:17" x14ac:dyDescent="0.2">
      <c r="A5023" s="30" t="str">
        <f>IF(C5023&amp;G5023&amp;D5023&lt;&gt;'Funnel setup'!$K$3&amp;'Funnel setup'!$K$4&amp;'Funnel setup'!$K$5,".",IF(A5022=".",1,A5022+1))</f>
        <v>.</v>
      </c>
      <c r="B5023" s="431" t="str">
        <f t="shared" si="78"/>
        <v>Knee Replacement PrimaryProviderROYAL BERKSHIRE NHS FOUNDATION TRUST (RHW)Oxford Knee Score</v>
      </c>
      <c r="C5023" t="s">
        <v>249</v>
      </c>
      <c r="D5023" t="s">
        <v>1</v>
      </c>
      <c r="E5023" t="s">
        <v>3832</v>
      </c>
      <c r="F5023" t="s">
        <v>3833</v>
      </c>
      <c r="G5023" t="s">
        <v>16</v>
      </c>
      <c r="H5023">
        <v>143</v>
      </c>
      <c r="I5023">
        <v>20.888000000000002</v>
      </c>
      <c r="J5023">
        <v>34.706000000000003</v>
      </c>
      <c r="K5023">
        <v>13.818</v>
      </c>
      <c r="L5023">
        <v>125</v>
      </c>
      <c r="M5023">
        <v>1</v>
      </c>
      <c r="N5023">
        <v>17</v>
      </c>
      <c r="O5023">
        <v>33.253999999999998</v>
      </c>
      <c r="P5023">
        <v>13.96857584</v>
      </c>
      <c r="Q5023">
        <v>8.8420000000000005</v>
      </c>
    </row>
    <row r="5024" spans="1:17" x14ac:dyDescent="0.2">
      <c r="A5024" s="30" t="str">
        <f>IF(C5024&amp;G5024&amp;D5024&lt;&gt;'Funnel setup'!$K$3&amp;'Funnel setup'!$K$4&amp;'Funnel setup'!$K$5,".",IF(A5023=".",1,A5023+1))</f>
        <v>.</v>
      </c>
      <c r="B5024" s="431" t="str">
        <f t="shared" si="78"/>
        <v>Knee Replacement PrimaryProviderROYAL CORNWALL HOSPITALS NHS TRUST (REF)Oxford Knee Score</v>
      </c>
      <c r="C5024" t="s">
        <v>249</v>
      </c>
      <c r="D5024" t="s">
        <v>1</v>
      </c>
      <c r="E5024" t="s">
        <v>3745</v>
      </c>
      <c r="F5024" t="s">
        <v>3746</v>
      </c>
      <c r="G5024" t="s">
        <v>16</v>
      </c>
      <c r="H5024">
        <v>238</v>
      </c>
      <c r="I5024">
        <v>18.844999999999999</v>
      </c>
      <c r="J5024">
        <v>36.286000000000001</v>
      </c>
      <c r="K5024">
        <v>17.440999999999999</v>
      </c>
      <c r="L5024">
        <v>228</v>
      </c>
      <c r="M5024">
        <v>2</v>
      </c>
      <c r="N5024">
        <v>8</v>
      </c>
      <c r="O5024">
        <v>36.811</v>
      </c>
      <c r="P5024">
        <v>17.5251412</v>
      </c>
      <c r="Q5024">
        <v>8.5879999999999992</v>
      </c>
    </row>
    <row r="5025" spans="1:17" x14ac:dyDescent="0.2">
      <c r="A5025" s="30" t="str">
        <f>IF(C5025&amp;G5025&amp;D5025&lt;&gt;'Funnel setup'!$K$3&amp;'Funnel setup'!$K$4&amp;'Funnel setup'!$K$5,".",IF(A5024=".",1,A5024+1))</f>
        <v>.</v>
      </c>
      <c r="B5025" s="431" t="str">
        <f t="shared" si="78"/>
        <v>Knee Replacement PrimaryProviderROYAL DEVON AND EXETER NHS FOUNDATION TRUST (RH8)Oxford Knee Score</v>
      </c>
      <c r="C5025" t="s">
        <v>249</v>
      </c>
      <c r="D5025" t="s">
        <v>1</v>
      </c>
      <c r="E5025" t="s">
        <v>3442</v>
      </c>
      <c r="F5025" t="s">
        <v>3443</v>
      </c>
      <c r="G5025" t="s">
        <v>16</v>
      </c>
      <c r="H5025">
        <v>424</v>
      </c>
      <c r="I5025">
        <v>19.12</v>
      </c>
      <c r="J5025">
        <v>37.192999999999998</v>
      </c>
      <c r="K5025">
        <v>18.073</v>
      </c>
      <c r="L5025">
        <v>411</v>
      </c>
      <c r="M5025">
        <v>2</v>
      </c>
      <c r="N5025">
        <v>11</v>
      </c>
      <c r="O5025">
        <v>37.037999999999997</v>
      </c>
      <c r="P5025">
        <v>17.752798609999999</v>
      </c>
      <c r="Q5025">
        <v>7.8970000000000002</v>
      </c>
    </row>
    <row r="5026" spans="1:17" x14ac:dyDescent="0.2">
      <c r="A5026" s="30" t="str">
        <f>IF(C5026&amp;G5026&amp;D5026&lt;&gt;'Funnel setup'!$K$3&amp;'Funnel setup'!$K$4&amp;'Funnel setup'!$K$5,".",IF(A5025=".",1,A5025+1))</f>
        <v>.</v>
      </c>
      <c r="B5026" s="431" t="str">
        <f t="shared" si="78"/>
        <v>Knee Replacement PrimaryProviderROYAL FREE LONDON NHS FOUNDATION TRUST (RAL)Oxford Knee Score</v>
      </c>
      <c r="C5026" t="s">
        <v>249</v>
      </c>
      <c r="D5026" t="s">
        <v>1</v>
      </c>
      <c r="E5026" t="s">
        <v>3445</v>
      </c>
      <c r="F5026" t="s">
        <v>3446</v>
      </c>
      <c r="G5026" t="s">
        <v>16</v>
      </c>
      <c r="H5026">
        <v>174</v>
      </c>
      <c r="I5026">
        <v>17.690000000000001</v>
      </c>
      <c r="J5026">
        <v>31.42</v>
      </c>
      <c r="K5026">
        <v>13.73</v>
      </c>
      <c r="L5026">
        <v>156</v>
      </c>
      <c r="M5026">
        <v>1</v>
      </c>
      <c r="N5026">
        <v>17</v>
      </c>
      <c r="O5026">
        <v>33.078000000000003</v>
      </c>
      <c r="P5026">
        <v>13.79278072</v>
      </c>
      <c r="Q5026">
        <v>9.3800000000000008</v>
      </c>
    </row>
    <row r="5027" spans="1:17" x14ac:dyDescent="0.2">
      <c r="A5027" s="30" t="str">
        <f>IF(C5027&amp;G5027&amp;D5027&lt;&gt;'Funnel setup'!$K$3&amp;'Funnel setup'!$K$4&amp;'Funnel setup'!$K$5,".",IF(A5026=".",1,A5026+1))</f>
        <v>.</v>
      </c>
      <c r="B5027" s="431" t="str">
        <f t="shared" si="78"/>
        <v>Knee Replacement PrimaryProviderROYAL LIVERPOOL AND BROADGREEN UNIVERSITY HOSPITALS NHS TRUST (RQ6)Oxford Knee Score</v>
      </c>
      <c r="C5027" t="s">
        <v>249</v>
      </c>
      <c r="D5027" t="s">
        <v>1</v>
      </c>
      <c r="E5027" t="s">
        <v>3448</v>
      </c>
      <c r="F5027" t="s">
        <v>3449</v>
      </c>
      <c r="G5027" t="s">
        <v>16</v>
      </c>
      <c r="H5027">
        <v>141</v>
      </c>
      <c r="I5027">
        <v>17.027999999999999</v>
      </c>
      <c r="J5027">
        <v>31.623999999999999</v>
      </c>
      <c r="K5027">
        <v>14.596</v>
      </c>
      <c r="L5027">
        <v>131</v>
      </c>
      <c r="M5027">
        <v>1</v>
      </c>
      <c r="N5027">
        <v>9</v>
      </c>
      <c r="O5027">
        <v>33.856000000000002</v>
      </c>
      <c r="P5027">
        <v>14.570834720000001</v>
      </c>
      <c r="Q5027">
        <v>8.8979999999999997</v>
      </c>
    </row>
    <row r="5028" spans="1:17" x14ac:dyDescent="0.2">
      <c r="A5028" s="30" t="str">
        <f>IF(C5028&amp;G5028&amp;D5028&lt;&gt;'Funnel setup'!$K$3&amp;'Funnel setup'!$K$4&amp;'Funnel setup'!$K$5,".",IF(A5027=".",1,A5027+1))</f>
        <v>.</v>
      </c>
      <c r="B5028" s="431" t="str">
        <f t="shared" si="78"/>
        <v>Knee Replacement PrimaryProviderROYAL NATIONAL ORTHOPAEDIC HOSPITAL NHS TRUST (RAN)Oxford Knee Score</v>
      </c>
      <c r="C5028" t="s">
        <v>249</v>
      </c>
      <c r="D5028" t="s">
        <v>1</v>
      </c>
      <c r="E5028" t="s">
        <v>4378</v>
      </c>
      <c r="F5028" t="s">
        <v>4379</v>
      </c>
      <c r="G5028" t="s">
        <v>16</v>
      </c>
      <c r="H5028">
        <v>104</v>
      </c>
      <c r="I5028">
        <v>19.375</v>
      </c>
      <c r="J5028">
        <v>32.845999999999997</v>
      </c>
      <c r="K5028">
        <v>13.471</v>
      </c>
      <c r="L5028">
        <v>94</v>
      </c>
      <c r="M5028">
        <v>2</v>
      </c>
      <c r="N5028">
        <v>8</v>
      </c>
      <c r="O5028">
        <v>33.555999999999997</v>
      </c>
      <c r="P5028">
        <v>14.270753559999999</v>
      </c>
      <c r="Q5028">
        <v>8.1199999999999992</v>
      </c>
    </row>
    <row r="5029" spans="1:17" x14ac:dyDescent="0.2">
      <c r="A5029" s="30" t="str">
        <f>IF(C5029&amp;G5029&amp;D5029&lt;&gt;'Funnel setup'!$K$3&amp;'Funnel setup'!$K$4&amp;'Funnel setup'!$K$5,".",IF(A5028=".",1,A5028+1))</f>
        <v>.</v>
      </c>
      <c r="B5029" s="431" t="str">
        <f t="shared" si="78"/>
        <v>Knee Replacement PrimaryProviderROYAL SURREY COUNTY HOSPITAL NHS FOUNDATION TRUST (RA2)Oxford Knee Score</v>
      </c>
      <c r="C5029" t="s">
        <v>249</v>
      </c>
      <c r="D5029" t="s">
        <v>1</v>
      </c>
      <c r="E5029" t="s">
        <v>3451</v>
      </c>
      <c r="F5029" t="s">
        <v>3452</v>
      </c>
      <c r="G5029" t="s">
        <v>16</v>
      </c>
      <c r="H5029">
        <v>120</v>
      </c>
      <c r="I5029">
        <v>21.007999999999999</v>
      </c>
      <c r="J5029">
        <v>38.183</v>
      </c>
      <c r="K5029">
        <v>17.175000000000001</v>
      </c>
      <c r="L5029">
        <v>114</v>
      </c>
      <c r="M5029">
        <v>1</v>
      </c>
      <c r="N5029">
        <v>5</v>
      </c>
      <c r="O5029">
        <v>36.408999999999999</v>
      </c>
      <c r="P5029">
        <v>17.123933359999999</v>
      </c>
      <c r="Q5029">
        <v>7.3520000000000003</v>
      </c>
    </row>
    <row r="5030" spans="1:17" x14ac:dyDescent="0.2">
      <c r="A5030" s="30" t="str">
        <f>IF(C5030&amp;G5030&amp;D5030&lt;&gt;'Funnel setup'!$K$3&amp;'Funnel setup'!$K$4&amp;'Funnel setup'!$K$5,".",IF(A5029=".",1,A5029+1))</f>
        <v>.</v>
      </c>
      <c r="B5030" s="431" t="str">
        <f t="shared" si="78"/>
        <v>Knee Replacement PrimaryProviderROYAL UNITED HOSPITALS BATH NHS FOUNDATION TRUST (RD1)Oxford Knee Score</v>
      </c>
      <c r="C5030" t="s">
        <v>249</v>
      </c>
      <c r="D5030" t="s">
        <v>1</v>
      </c>
      <c r="E5030" t="s">
        <v>3454</v>
      </c>
      <c r="F5030" t="s">
        <v>3455</v>
      </c>
      <c r="G5030" t="s">
        <v>16</v>
      </c>
      <c r="H5030">
        <v>176</v>
      </c>
      <c r="I5030">
        <v>19.358000000000001</v>
      </c>
      <c r="J5030">
        <v>36.841000000000001</v>
      </c>
      <c r="K5030">
        <v>17.483000000000001</v>
      </c>
      <c r="L5030">
        <v>167</v>
      </c>
      <c r="M5030">
        <v>1</v>
      </c>
      <c r="N5030">
        <v>8</v>
      </c>
      <c r="O5030">
        <v>36.948</v>
      </c>
      <c r="P5030">
        <v>17.662681469999999</v>
      </c>
      <c r="Q5030">
        <v>8.17</v>
      </c>
    </row>
    <row r="5031" spans="1:17" x14ac:dyDescent="0.2">
      <c r="A5031" s="30" t="str">
        <f>IF(C5031&amp;G5031&amp;D5031&lt;&gt;'Funnel setup'!$K$3&amp;'Funnel setup'!$K$4&amp;'Funnel setup'!$K$5,".",IF(A5030=".",1,A5030+1))</f>
        <v>.</v>
      </c>
      <c r="B5031" s="431" t="str">
        <f t="shared" si="78"/>
        <v>Knee Replacement PrimaryProviderSALFORD ROYAL NHS FOUNDATION TRUST (RM3)Oxford Knee Score</v>
      </c>
      <c r="C5031" t="s">
        <v>249</v>
      </c>
      <c r="D5031" t="s">
        <v>1</v>
      </c>
      <c r="E5031" t="s">
        <v>3457</v>
      </c>
      <c r="F5031" t="s">
        <v>3458</v>
      </c>
      <c r="G5031" t="s">
        <v>16</v>
      </c>
      <c r="H5031">
        <v>99</v>
      </c>
      <c r="I5031">
        <v>18.010000000000002</v>
      </c>
      <c r="J5031">
        <v>32.091000000000001</v>
      </c>
      <c r="K5031">
        <v>14.081</v>
      </c>
      <c r="L5031">
        <v>90</v>
      </c>
      <c r="M5031">
        <v>2</v>
      </c>
      <c r="N5031">
        <v>7</v>
      </c>
      <c r="O5031">
        <v>33.957000000000001</v>
      </c>
      <c r="P5031">
        <v>14.671339189999999</v>
      </c>
      <c r="Q5031">
        <v>10.39</v>
      </c>
    </row>
    <row r="5032" spans="1:17" x14ac:dyDescent="0.2">
      <c r="A5032" s="30" t="str">
        <f>IF(C5032&amp;G5032&amp;D5032&lt;&gt;'Funnel setup'!$K$3&amp;'Funnel setup'!$K$4&amp;'Funnel setup'!$K$5,".",IF(A5031=".",1,A5031+1))</f>
        <v>.</v>
      </c>
      <c r="B5032" s="431" t="str">
        <f t="shared" si="78"/>
        <v>Knee Replacement PrimaryProviderSALISBURY NHS FOUNDATION TRUST (RNZ)Oxford Knee Score</v>
      </c>
      <c r="C5032" t="s">
        <v>249</v>
      </c>
      <c r="D5032" t="s">
        <v>1</v>
      </c>
      <c r="E5032" t="s">
        <v>3460</v>
      </c>
      <c r="F5032" t="s">
        <v>3461</v>
      </c>
      <c r="G5032" t="s">
        <v>16</v>
      </c>
      <c r="H5032">
        <v>202</v>
      </c>
      <c r="I5032">
        <v>19.847000000000001</v>
      </c>
      <c r="J5032">
        <v>35.277000000000001</v>
      </c>
      <c r="K5032">
        <v>15.430999999999999</v>
      </c>
      <c r="L5032">
        <v>181</v>
      </c>
      <c r="M5032">
        <v>4</v>
      </c>
      <c r="N5032">
        <v>17</v>
      </c>
      <c r="O5032">
        <v>34.534999999999997</v>
      </c>
      <c r="P5032">
        <v>15.250108170000001</v>
      </c>
      <c r="Q5032">
        <v>9.5069999999999997</v>
      </c>
    </row>
    <row r="5033" spans="1:17" x14ac:dyDescent="0.2">
      <c r="A5033" s="30" t="str">
        <f>IF(C5033&amp;G5033&amp;D5033&lt;&gt;'Funnel setup'!$K$3&amp;'Funnel setup'!$K$4&amp;'Funnel setup'!$K$5,".",IF(A5032=".",1,A5032+1))</f>
        <v>.</v>
      </c>
      <c r="B5033" s="431" t="str">
        <f t="shared" si="78"/>
        <v>Knee Replacement PrimaryProviderSANDWELL AND WEST BIRMINGHAM HOSPITALS NHS TRUST (RXK)Oxford Knee Score</v>
      </c>
      <c r="C5033" t="s">
        <v>249</v>
      </c>
      <c r="D5033" t="s">
        <v>1</v>
      </c>
      <c r="E5033" t="s">
        <v>3463</v>
      </c>
      <c r="F5033" t="s">
        <v>3464</v>
      </c>
      <c r="G5033" t="s">
        <v>16</v>
      </c>
      <c r="H5033">
        <v>208</v>
      </c>
      <c r="I5033">
        <v>16.038</v>
      </c>
      <c r="J5033">
        <v>32.014000000000003</v>
      </c>
      <c r="K5033">
        <v>15.976000000000001</v>
      </c>
      <c r="L5033">
        <v>192</v>
      </c>
      <c r="M5033">
        <v>3</v>
      </c>
      <c r="N5033">
        <v>13</v>
      </c>
      <c r="O5033">
        <v>35.363</v>
      </c>
      <c r="P5033">
        <v>16.077364339999999</v>
      </c>
      <c r="Q5033">
        <v>9.8219999999999992</v>
      </c>
    </row>
    <row r="5034" spans="1:17" x14ac:dyDescent="0.2">
      <c r="A5034" s="30" t="str">
        <f>IF(C5034&amp;G5034&amp;D5034&lt;&gt;'Funnel setup'!$K$3&amp;'Funnel setup'!$K$4&amp;'Funnel setup'!$K$5,".",IF(A5033=".",1,A5033+1))</f>
        <v>.</v>
      </c>
      <c r="B5034" s="431" t="str">
        <f t="shared" si="78"/>
        <v>Knee Replacement PrimaryProviderSHEFFIELD TEACHING HOSPITALS NHS FOUNDATION TRUST (RHQ)Oxford Knee Score</v>
      </c>
      <c r="C5034" t="s">
        <v>249</v>
      </c>
      <c r="D5034" t="s">
        <v>1</v>
      </c>
      <c r="E5034" t="s">
        <v>3466</v>
      </c>
      <c r="F5034" t="s">
        <v>3467</v>
      </c>
      <c r="G5034" t="s">
        <v>16</v>
      </c>
      <c r="H5034">
        <v>518</v>
      </c>
      <c r="I5034">
        <v>17.617999999999999</v>
      </c>
      <c r="J5034">
        <v>35.276000000000003</v>
      </c>
      <c r="K5034">
        <v>17.658000000000001</v>
      </c>
      <c r="L5034">
        <v>497</v>
      </c>
      <c r="M5034">
        <v>4</v>
      </c>
      <c r="N5034">
        <v>17</v>
      </c>
      <c r="O5034">
        <v>36.264000000000003</v>
      </c>
      <c r="P5034">
        <v>16.97834538</v>
      </c>
      <c r="Q5034">
        <v>8.657</v>
      </c>
    </row>
    <row r="5035" spans="1:17" x14ac:dyDescent="0.2">
      <c r="A5035" s="30" t="str">
        <f>IF(C5035&amp;G5035&amp;D5035&lt;&gt;'Funnel setup'!$K$3&amp;'Funnel setup'!$K$4&amp;'Funnel setup'!$K$5,".",IF(A5034=".",1,A5034+1))</f>
        <v>.</v>
      </c>
      <c r="B5035" s="431" t="str">
        <f t="shared" si="78"/>
        <v>Knee Replacement PrimaryProviderSHEPTON MALLET NHS TREATMENT CENTRE (NTPH1)Oxford Knee Score</v>
      </c>
      <c r="C5035" t="s">
        <v>249</v>
      </c>
      <c r="D5035" t="s">
        <v>1</v>
      </c>
      <c r="E5035" t="s">
        <v>3472</v>
      </c>
      <c r="F5035" t="s">
        <v>3473</v>
      </c>
      <c r="G5035" t="s">
        <v>16</v>
      </c>
      <c r="H5035">
        <v>179</v>
      </c>
      <c r="I5035">
        <v>19.899000000000001</v>
      </c>
      <c r="J5035">
        <v>39.664999999999999</v>
      </c>
      <c r="K5035">
        <v>19.765000000000001</v>
      </c>
      <c r="L5035">
        <v>172</v>
      </c>
      <c r="M5035">
        <v>1</v>
      </c>
      <c r="N5035">
        <v>6</v>
      </c>
      <c r="O5035">
        <v>38.621000000000002</v>
      </c>
      <c r="P5035">
        <v>19.335726579999999</v>
      </c>
      <c r="Q5035">
        <v>7.407</v>
      </c>
    </row>
    <row r="5036" spans="1:17" x14ac:dyDescent="0.2">
      <c r="A5036" s="30" t="str">
        <f>IF(C5036&amp;G5036&amp;D5036&lt;&gt;'Funnel setup'!$K$3&amp;'Funnel setup'!$K$4&amp;'Funnel setup'!$K$5,".",IF(A5035=".",1,A5035+1))</f>
        <v>.</v>
      </c>
      <c r="B5036" s="431" t="str">
        <f t="shared" si="78"/>
        <v>Knee Replacement PrimaryProviderSHERWOOD FOREST HOSPITALS NHS FOUNDATION TRUST (RK5)Oxford Knee Score</v>
      </c>
      <c r="C5036" t="s">
        <v>249</v>
      </c>
      <c r="D5036" t="s">
        <v>1</v>
      </c>
      <c r="E5036" t="s">
        <v>3475</v>
      </c>
      <c r="F5036" t="s">
        <v>3476</v>
      </c>
      <c r="G5036" t="s">
        <v>16</v>
      </c>
      <c r="H5036">
        <v>169</v>
      </c>
      <c r="I5036">
        <v>16.638999999999999</v>
      </c>
      <c r="J5036">
        <v>31.58</v>
      </c>
      <c r="K5036">
        <v>14.941000000000001</v>
      </c>
      <c r="L5036">
        <v>152</v>
      </c>
      <c r="M5036">
        <v>3</v>
      </c>
      <c r="N5036">
        <v>14</v>
      </c>
      <c r="O5036">
        <v>33.414000000000001</v>
      </c>
      <c r="P5036">
        <v>14.12833126</v>
      </c>
      <c r="Q5036">
        <v>9.9280000000000008</v>
      </c>
    </row>
    <row r="5037" spans="1:17" x14ac:dyDescent="0.2">
      <c r="A5037" s="30" t="str">
        <f>IF(C5037&amp;G5037&amp;D5037&lt;&gt;'Funnel setup'!$K$3&amp;'Funnel setup'!$K$4&amp;'Funnel setup'!$K$5,".",IF(A5036=".",1,A5036+1))</f>
        <v>.</v>
      </c>
      <c r="B5037" s="431" t="str">
        <f t="shared" si="78"/>
        <v>Knee Replacement PrimaryProviderSHREWSBURY AND TELFORD HOSPITAL NHS TRUST (RXW)Oxford Knee Score</v>
      </c>
      <c r="C5037" t="s">
        <v>249</v>
      </c>
      <c r="D5037" t="s">
        <v>1</v>
      </c>
      <c r="E5037" t="s">
        <v>3478</v>
      </c>
      <c r="F5037" t="s">
        <v>3479</v>
      </c>
      <c r="G5037" t="s">
        <v>16</v>
      </c>
      <c r="H5037">
        <v>152</v>
      </c>
      <c r="I5037">
        <v>16.591999999999999</v>
      </c>
      <c r="J5037">
        <v>34.454000000000001</v>
      </c>
      <c r="K5037">
        <v>17.861999999999998</v>
      </c>
      <c r="L5037">
        <v>145</v>
      </c>
      <c r="M5037">
        <v>0</v>
      </c>
      <c r="N5037">
        <v>7</v>
      </c>
      <c r="O5037">
        <v>35.825000000000003</v>
      </c>
      <c r="P5037">
        <v>16.53961962</v>
      </c>
      <c r="Q5037">
        <v>8.7859999999999996</v>
      </c>
    </row>
    <row r="5038" spans="1:17" x14ac:dyDescent="0.2">
      <c r="A5038" s="30" t="str">
        <f>IF(C5038&amp;G5038&amp;D5038&lt;&gt;'Funnel setup'!$K$3&amp;'Funnel setup'!$K$4&amp;'Funnel setup'!$K$5,".",IF(A5037=".",1,A5037+1))</f>
        <v>.</v>
      </c>
      <c r="B5038" s="431" t="str">
        <f t="shared" si="78"/>
        <v>Knee Replacement PrimaryProviderSOUTH TEES HOSPITALS NHS FOUNDATION TRUST (RTR)Oxford Knee Score</v>
      </c>
      <c r="C5038" t="s">
        <v>249</v>
      </c>
      <c r="D5038" t="s">
        <v>1</v>
      </c>
      <c r="E5038" t="s">
        <v>3482</v>
      </c>
      <c r="F5038" t="s">
        <v>3483</v>
      </c>
      <c r="G5038" t="s">
        <v>16</v>
      </c>
      <c r="H5038">
        <v>564</v>
      </c>
      <c r="I5038">
        <v>19.436</v>
      </c>
      <c r="J5038">
        <v>36.042999999999999</v>
      </c>
      <c r="K5038">
        <v>16.606000000000002</v>
      </c>
      <c r="L5038">
        <v>536</v>
      </c>
      <c r="M5038">
        <v>8</v>
      </c>
      <c r="N5038">
        <v>20</v>
      </c>
      <c r="O5038">
        <v>36.494</v>
      </c>
      <c r="P5038">
        <v>17.209071940000001</v>
      </c>
      <c r="Q5038">
        <v>8.24</v>
      </c>
    </row>
    <row r="5039" spans="1:17" x14ac:dyDescent="0.2">
      <c r="A5039" s="30" t="str">
        <f>IF(C5039&amp;G5039&amp;D5039&lt;&gt;'Funnel setup'!$K$3&amp;'Funnel setup'!$K$4&amp;'Funnel setup'!$K$5,".",IF(A5038=".",1,A5038+1))</f>
        <v>.</v>
      </c>
      <c r="B5039" s="431" t="str">
        <f t="shared" si="78"/>
        <v>Knee Replacement PrimaryProviderSOUTH TYNESIDE NHS FOUNDATION TRUST (RE9)Oxford Knee Score</v>
      </c>
      <c r="C5039" t="s">
        <v>249</v>
      </c>
      <c r="D5039" t="s">
        <v>1</v>
      </c>
      <c r="E5039" t="s">
        <v>3485</v>
      </c>
      <c r="F5039" t="s">
        <v>3486</v>
      </c>
      <c r="G5039" t="s">
        <v>16</v>
      </c>
      <c r="H5039">
        <v>68</v>
      </c>
      <c r="I5039">
        <v>19.044</v>
      </c>
      <c r="J5039">
        <v>30.221</v>
      </c>
      <c r="K5039">
        <v>11.176</v>
      </c>
      <c r="L5039">
        <v>56</v>
      </c>
      <c r="M5039">
        <v>0</v>
      </c>
      <c r="N5039">
        <v>12</v>
      </c>
      <c r="O5039">
        <v>30.715</v>
      </c>
      <c r="P5039">
        <v>11.429658140000001</v>
      </c>
      <c r="Q5039">
        <v>10.680999999999999</v>
      </c>
    </row>
    <row r="5040" spans="1:17" x14ac:dyDescent="0.2">
      <c r="A5040" s="30" t="str">
        <f>IF(C5040&amp;G5040&amp;D5040&lt;&gt;'Funnel setup'!$K$3&amp;'Funnel setup'!$K$4&amp;'Funnel setup'!$K$5,".",IF(A5039=".",1,A5039+1))</f>
        <v>.</v>
      </c>
      <c r="B5040" s="431" t="str">
        <f t="shared" si="78"/>
        <v>Knee Replacement PrimaryProviderSOUTH WARWICKSHIRE NHS FOUNDATION TRUST (RJC)Oxford Knee Score</v>
      </c>
      <c r="C5040" t="s">
        <v>249</v>
      </c>
      <c r="D5040" t="s">
        <v>1</v>
      </c>
      <c r="E5040" t="s">
        <v>3421</v>
      </c>
      <c r="F5040" t="s">
        <v>3422</v>
      </c>
      <c r="G5040" t="s">
        <v>16</v>
      </c>
      <c r="H5040">
        <v>240</v>
      </c>
      <c r="I5040">
        <v>20.079000000000001</v>
      </c>
      <c r="J5040">
        <v>35.287999999999997</v>
      </c>
      <c r="K5040">
        <v>15.208</v>
      </c>
      <c r="L5040">
        <v>224</v>
      </c>
      <c r="M5040">
        <v>1</v>
      </c>
      <c r="N5040">
        <v>15</v>
      </c>
      <c r="O5040">
        <v>34.637999999999998</v>
      </c>
      <c r="P5040">
        <v>15.35284656</v>
      </c>
      <c r="Q5040">
        <v>8.6739999999999995</v>
      </c>
    </row>
    <row r="5041" spans="1:17" x14ac:dyDescent="0.2">
      <c r="A5041" s="30" t="str">
        <f>IF(C5041&amp;G5041&amp;D5041&lt;&gt;'Funnel setup'!$K$3&amp;'Funnel setup'!$K$4&amp;'Funnel setup'!$K$5,".",IF(A5040=".",1,A5040+1))</f>
        <v>.</v>
      </c>
      <c r="B5041" s="431" t="str">
        <f t="shared" si="78"/>
        <v>Knee Replacement PrimaryProviderSOUTHAMPTON NHS TREATMENT CENTRE (NTP11)Oxford Knee Score</v>
      </c>
      <c r="C5041" t="s">
        <v>249</v>
      </c>
      <c r="D5041" t="s">
        <v>1</v>
      </c>
      <c r="E5041" t="s">
        <v>3424</v>
      </c>
      <c r="F5041" t="s">
        <v>3425</v>
      </c>
      <c r="G5041" t="s">
        <v>16</v>
      </c>
      <c r="H5041">
        <v>126</v>
      </c>
      <c r="I5041">
        <v>19.341000000000001</v>
      </c>
      <c r="J5041">
        <v>35.317</v>
      </c>
      <c r="K5041">
        <v>15.976000000000001</v>
      </c>
      <c r="L5041">
        <v>119</v>
      </c>
      <c r="M5041">
        <v>0</v>
      </c>
      <c r="N5041">
        <v>7</v>
      </c>
      <c r="O5041">
        <v>34.976999999999997</v>
      </c>
      <c r="P5041">
        <v>15.691393489999999</v>
      </c>
      <c r="Q5041">
        <v>8.6460000000000008</v>
      </c>
    </row>
    <row r="5042" spans="1:17" x14ac:dyDescent="0.2">
      <c r="A5042" s="30" t="str">
        <f>IF(C5042&amp;G5042&amp;D5042&lt;&gt;'Funnel setup'!$K$3&amp;'Funnel setup'!$K$4&amp;'Funnel setup'!$K$5,".",IF(A5041=".",1,A5041+1))</f>
        <v>.</v>
      </c>
      <c r="B5042" s="431" t="str">
        <f t="shared" si="78"/>
        <v>Knee Replacement PrimaryProviderSOUTHEND UNIVERSITY HOSPITAL NHS FOUNDATION TRUST (RAJ)Oxford Knee Score</v>
      </c>
      <c r="C5042" t="s">
        <v>249</v>
      </c>
      <c r="D5042" t="s">
        <v>1</v>
      </c>
      <c r="E5042" t="s">
        <v>3427</v>
      </c>
      <c r="F5042" t="s">
        <v>3428</v>
      </c>
      <c r="G5042" t="s">
        <v>16</v>
      </c>
      <c r="H5042">
        <v>172</v>
      </c>
      <c r="I5042">
        <v>18.407</v>
      </c>
      <c r="J5042">
        <v>34.058</v>
      </c>
      <c r="K5042">
        <v>15.651</v>
      </c>
      <c r="L5042">
        <v>157</v>
      </c>
      <c r="M5042">
        <v>2</v>
      </c>
      <c r="N5042">
        <v>13</v>
      </c>
      <c r="O5042">
        <v>34.25</v>
      </c>
      <c r="P5042">
        <v>14.96426479</v>
      </c>
      <c r="Q5042">
        <v>8.4779999999999998</v>
      </c>
    </row>
    <row r="5043" spans="1:17" x14ac:dyDescent="0.2">
      <c r="A5043" s="30" t="str">
        <f>IF(C5043&amp;G5043&amp;D5043&lt;&gt;'Funnel setup'!$K$3&amp;'Funnel setup'!$K$4&amp;'Funnel setup'!$K$5,".",IF(A5042=".",1,A5042+1))</f>
        <v>.</v>
      </c>
      <c r="B5043" s="431" t="str">
        <f t="shared" si="78"/>
        <v>Knee Replacement PrimaryProviderSOUTHPORT AND ORMSKIRK HOSPITAL NHS TRUST (RVY)Oxford Knee Score</v>
      </c>
      <c r="C5043" t="s">
        <v>249</v>
      </c>
      <c r="D5043" t="s">
        <v>1</v>
      </c>
      <c r="E5043" t="s">
        <v>3430</v>
      </c>
      <c r="F5043" t="s">
        <v>3431</v>
      </c>
      <c r="G5043" t="s">
        <v>16</v>
      </c>
      <c r="H5043">
        <v>107</v>
      </c>
      <c r="I5043">
        <v>17.991</v>
      </c>
      <c r="J5043">
        <v>34.363999999999997</v>
      </c>
      <c r="K5043">
        <v>16.373999999999999</v>
      </c>
      <c r="L5043">
        <v>100</v>
      </c>
      <c r="M5043">
        <v>0</v>
      </c>
      <c r="N5043">
        <v>7</v>
      </c>
      <c r="O5043">
        <v>34.991</v>
      </c>
      <c r="P5043">
        <v>15.70587518</v>
      </c>
      <c r="Q5043">
        <v>9.4359999999999999</v>
      </c>
    </row>
    <row r="5044" spans="1:17" x14ac:dyDescent="0.2">
      <c r="A5044" s="30" t="str">
        <f>IF(C5044&amp;G5044&amp;D5044&lt;&gt;'Funnel setup'!$K$3&amp;'Funnel setup'!$K$4&amp;'Funnel setup'!$K$5,".",IF(A5043=".",1,A5043+1))</f>
        <v>.</v>
      </c>
      <c r="B5044" s="431" t="str">
        <f t="shared" si="78"/>
        <v>Knee Replacement PrimaryProviderSPIRE ALEXANDRA HOSPITAL (NT312)Oxford Knee Score</v>
      </c>
      <c r="C5044" t="s">
        <v>249</v>
      </c>
      <c r="D5044" t="s">
        <v>1</v>
      </c>
      <c r="E5044" t="s">
        <v>3433</v>
      </c>
      <c r="F5044" t="s">
        <v>3434</v>
      </c>
      <c r="G5044" t="s">
        <v>16</v>
      </c>
      <c r="H5044">
        <v>61</v>
      </c>
      <c r="I5044">
        <v>22.213000000000001</v>
      </c>
      <c r="J5044">
        <v>35.689</v>
      </c>
      <c r="K5044">
        <v>13.475</v>
      </c>
      <c r="L5044">
        <v>56</v>
      </c>
      <c r="M5044">
        <v>0</v>
      </c>
      <c r="N5044">
        <v>5</v>
      </c>
      <c r="O5044">
        <v>34.180999999999997</v>
      </c>
      <c r="P5044">
        <v>14.89611081</v>
      </c>
      <c r="Q5044">
        <v>7.9889999999999999</v>
      </c>
    </row>
    <row r="5045" spans="1:17" x14ac:dyDescent="0.2">
      <c r="A5045" s="30" t="str">
        <f>IF(C5045&amp;G5045&amp;D5045&lt;&gt;'Funnel setup'!$K$3&amp;'Funnel setup'!$K$4&amp;'Funnel setup'!$K$5,".",IF(A5044=".",1,A5044+1))</f>
        <v>.</v>
      </c>
      <c r="B5045" s="431" t="str">
        <f t="shared" si="78"/>
        <v>Knee Replacement PrimaryProviderSPIRE BRISTOL HOSPITAL (NT302)Oxford Knee Score</v>
      </c>
      <c r="C5045" t="s">
        <v>249</v>
      </c>
      <c r="D5045" t="s">
        <v>1</v>
      </c>
      <c r="E5045" t="s">
        <v>4381</v>
      </c>
      <c r="F5045" t="s">
        <v>4382</v>
      </c>
      <c r="G5045" t="s">
        <v>16</v>
      </c>
      <c r="H5045">
        <v>85</v>
      </c>
      <c r="I5045">
        <v>21.094000000000001</v>
      </c>
      <c r="J5045">
        <v>38.917999999999999</v>
      </c>
      <c r="K5045">
        <v>17.824000000000002</v>
      </c>
      <c r="L5045">
        <v>81</v>
      </c>
      <c r="M5045">
        <v>1</v>
      </c>
      <c r="N5045">
        <v>3</v>
      </c>
      <c r="O5045">
        <v>37.302999999999997</v>
      </c>
      <c r="P5045">
        <v>18.01719799</v>
      </c>
      <c r="Q5045">
        <v>8.3030000000000008</v>
      </c>
    </row>
    <row r="5046" spans="1:17" x14ac:dyDescent="0.2">
      <c r="A5046" s="30" t="str">
        <f>IF(C5046&amp;G5046&amp;D5046&lt;&gt;'Funnel setup'!$K$3&amp;'Funnel setup'!$K$4&amp;'Funnel setup'!$K$5,".",IF(A5045=".",1,A5045+1))</f>
        <v>.</v>
      </c>
      <c r="B5046" s="431" t="str">
        <f t="shared" si="78"/>
        <v>Knee Replacement PrimaryProviderSPIRE BUSHEY HOSPITAL (NT315)Oxford Knee Score</v>
      </c>
      <c r="C5046" t="s">
        <v>249</v>
      </c>
      <c r="D5046" t="s">
        <v>1</v>
      </c>
      <c r="E5046" t="s">
        <v>4364</v>
      </c>
      <c r="F5046" t="s">
        <v>4365</v>
      </c>
      <c r="G5046" t="s">
        <v>16</v>
      </c>
      <c r="H5046">
        <v>19</v>
      </c>
      <c r="I5046">
        <v>19.895</v>
      </c>
      <c r="J5046">
        <v>36.683999999999997</v>
      </c>
      <c r="K5046">
        <v>16.789000000000001</v>
      </c>
      <c r="L5046">
        <v>17</v>
      </c>
      <c r="M5046">
        <v>0</v>
      </c>
      <c r="N5046">
        <v>2</v>
      </c>
      <c r="O5046" t="s">
        <v>53</v>
      </c>
      <c r="P5046" t="s">
        <v>53</v>
      </c>
      <c r="Q5046" t="s">
        <v>53</v>
      </c>
    </row>
    <row r="5047" spans="1:17" x14ac:dyDescent="0.2">
      <c r="A5047" s="30" t="str">
        <f>IF(C5047&amp;G5047&amp;D5047&lt;&gt;'Funnel setup'!$K$3&amp;'Funnel setup'!$K$4&amp;'Funnel setup'!$K$5,".",IF(A5046=".",1,A5046+1))</f>
        <v>.</v>
      </c>
      <c r="B5047" s="431" t="str">
        <f t="shared" si="78"/>
        <v>Knee Replacement PrimaryProviderSPIRE CAMBRIDGE LEA HOSPITAL (NT317)Oxford Knee Score</v>
      </c>
      <c r="C5047" t="s">
        <v>249</v>
      </c>
      <c r="D5047" t="s">
        <v>1</v>
      </c>
      <c r="E5047" t="s">
        <v>3436</v>
      </c>
      <c r="F5047" t="s">
        <v>3437</v>
      </c>
      <c r="G5047" t="s">
        <v>16</v>
      </c>
      <c r="H5047">
        <v>64</v>
      </c>
      <c r="I5047">
        <v>21.625</v>
      </c>
      <c r="J5047">
        <v>38.234000000000002</v>
      </c>
      <c r="K5047">
        <v>16.609000000000002</v>
      </c>
      <c r="L5047">
        <v>63</v>
      </c>
      <c r="M5047">
        <v>0</v>
      </c>
      <c r="N5047">
        <v>1</v>
      </c>
      <c r="O5047">
        <v>36.079000000000001</v>
      </c>
      <c r="P5047">
        <v>16.793918420000001</v>
      </c>
      <c r="Q5047">
        <v>7.34</v>
      </c>
    </row>
    <row r="5048" spans="1:17" x14ac:dyDescent="0.2">
      <c r="A5048" s="30" t="str">
        <f>IF(C5048&amp;G5048&amp;D5048&lt;&gt;'Funnel setup'!$K$3&amp;'Funnel setup'!$K$4&amp;'Funnel setup'!$K$5,".",IF(A5047=".",1,A5047+1))</f>
        <v>.</v>
      </c>
      <c r="B5048" s="431" t="str">
        <f t="shared" si="78"/>
        <v>Knee Replacement PrimaryProviderSPIRE CHESHIRE HOSPITAL (NT324)Oxford Knee Score</v>
      </c>
      <c r="C5048" t="s">
        <v>249</v>
      </c>
      <c r="D5048" t="s">
        <v>1</v>
      </c>
      <c r="E5048" t="s">
        <v>3439</v>
      </c>
      <c r="F5048" t="s">
        <v>3440</v>
      </c>
      <c r="G5048" t="s">
        <v>16</v>
      </c>
      <c r="H5048">
        <v>82</v>
      </c>
      <c r="I5048">
        <v>20.341000000000001</v>
      </c>
      <c r="J5048">
        <v>37.78</v>
      </c>
      <c r="K5048">
        <v>17.439</v>
      </c>
      <c r="L5048">
        <v>80</v>
      </c>
      <c r="M5048">
        <v>1</v>
      </c>
      <c r="N5048">
        <v>1</v>
      </c>
      <c r="O5048">
        <v>36.762</v>
      </c>
      <c r="P5048">
        <v>17.47699806</v>
      </c>
      <c r="Q5048">
        <v>7.2080000000000002</v>
      </c>
    </row>
    <row r="5049" spans="1:17" x14ac:dyDescent="0.2">
      <c r="A5049" s="30" t="str">
        <f>IF(C5049&amp;G5049&amp;D5049&lt;&gt;'Funnel setup'!$K$3&amp;'Funnel setup'!$K$4&amp;'Funnel setup'!$K$5,".",IF(A5048=".",1,A5048+1))</f>
        <v>.</v>
      </c>
      <c r="B5049" s="431" t="str">
        <f t="shared" si="78"/>
        <v>Knee Replacement PrimaryProviderSPIRE CLARE PARK HOSPITAL (NT345)Oxford Knee Score</v>
      </c>
      <c r="C5049" t="s">
        <v>249</v>
      </c>
      <c r="D5049" t="s">
        <v>1</v>
      </c>
      <c r="E5049" t="s">
        <v>3412</v>
      </c>
      <c r="F5049" t="s">
        <v>3413</v>
      </c>
      <c r="G5049" t="s">
        <v>16</v>
      </c>
      <c r="H5049">
        <v>41</v>
      </c>
      <c r="I5049">
        <v>23</v>
      </c>
      <c r="J5049">
        <v>39.073</v>
      </c>
      <c r="K5049">
        <v>16.073</v>
      </c>
      <c r="L5049">
        <v>37</v>
      </c>
      <c r="M5049">
        <v>0</v>
      </c>
      <c r="N5049">
        <v>4</v>
      </c>
      <c r="O5049">
        <v>36.619999999999997</v>
      </c>
      <c r="P5049">
        <v>17.335064710000001</v>
      </c>
      <c r="Q5049">
        <v>8.2959999999999994</v>
      </c>
    </row>
    <row r="5050" spans="1:17" x14ac:dyDescent="0.2">
      <c r="A5050" s="30" t="str">
        <f>IF(C5050&amp;G5050&amp;D5050&lt;&gt;'Funnel setup'!$K$3&amp;'Funnel setup'!$K$4&amp;'Funnel setup'!$K$5,".",IF(A5049=".",1,A5049+1))</f>
        <v>.</v>
      </c>
      <c r="B5050" s="431" t="str">
        <f t="shared" si="78"/>
        <v>Knee Replacement PrimaryProviderSPIRE DUNEDIN HOSPITAL (NT344)Oxford Knee Score</v>
      </c>
      <c r="C5050" t="s">
        <v>249</v>
      </c>
      <c r="D5050" t="s">
        <v>1</v>
      </c>
      <c r="E5050" t="s">
        <v>3415</v>
      </c>
      <c r="F5050" t="s">
        <v>3416</v>
      </c>
      <c r="G5050" t="s">
        <v>16</v>
      </c>
      <c r="H5050">
        <v>12</v>
      </c>
      <c r="I5050">
        <v>25.082999999999998</v>
      </c>
      <c r="J5050">
        <v>33.332999999999998</v>
      </c>
      <c r="K5050">
        <v>8.25</v>
      </c>
      <c r="L5050">
        <v>9</v>
      </c>
      <c r="M5050">
        <v>1</v>
      </c>
      <c r="N5050">
        <v>2</v>
      </c>
      <c r="O5050" t="s">
        <v>53</v>
      </c>
      <c r="P5050" t="s">
        <v>53</v>
      </c>
      <c r="Q5050" t="s">
        <v>53</v>
      </c>
    </row>
    <row r="5051" spans="1:17" x14ac:dyDescent="0.2">
      <c r="A5051" s="30" t="str">
        <f>IF(C5051&amp;G5051&amp;D5051&lt;&gt;'Funnel setup'!$K$3&amp;'Funnel setup'!$K$4&amp;'Funnel setup'!$K$5,".",IF(A5050=".",1,A5050+1))</f>
        <v>.</v>
      </c>
      <c r="B5051" s="431" t="str">
        <f t="shared" si="78"/>
        <v>Knee Replacement PrimaryProviderSPIRE ELLAND HOSPITAL (NT348)Oxford Knee Score</v>
      </c>
      <c r="C5051" t="s">
        <v>249</v>
      </c>
      <c r="D5051" t="s">
        <v>1</v>
      </c>
      <c r="E5051" t="s">
        <v>3418</v>
      </c>
      <c r="F5051" t="s">
        <v>3419</v>
      </c>
      <c r="G5051" t="s">
        <v>16</v>
      </c>
      <c r="H5051">
        <v>60</v>
      </c>
      <c r="I5051">
        <v>20.966999999999999</v>
      </c>
      <c r="J5051">
        <v>39.332999999999998</v>
      </c>
      <c r="K5051">
        <v>18.367000000000001</v>
      </c>
      <c r="L5051">
        <v>59</v>
      </c>
      <c r="M5051">
        <v>0</v>
      </c>
      <c r="N5051">
        <v>1</v>
      </c>
      <c r="O5051">
        <v>38.322000000000003</v>
      </c>
      <c r="P5051">
        <v>19.0362501</v>
      </c>
      <c r="Q5051">
        <v>6.8579999999999997</v>
      </c>
    </row>
    <row r="5052" spans="1:17" x14ac:dyDescent="0.2">
      <c r="A5052" s="30" t="str">
        <f>IF(C5052&amp;G5052&amp;D5052&lt;&gt;'Funnel setup'!$K$3&amp;'Funnel setup'!$K$4&amp;'Funnel setup'!$K$5,".",IF(A5051=".",1,A5051+1))</f>
        <v>.</v>
      </c>
      <c r="B5052" s="431" t="str">
        <f t="shared" si="78"/>
        <v>Knee Replacement PrimaryProviderSPIRE FYLDE COAST HOSPITAL (NT347)Oxford Knee Score</v>
      </c>
      <c r="C5052" t="s">
        <v>249</v>
      </c>
      <c r="D5052" t="s">
        <v>1</v>
      </c>
      <c r="E5052" t="s">
        <v>4370</v>
      </c>
      <c r="F5052" t="s">
        <v>4371</v>
      </c>
      <c r="G5052" t="s">
        <v>16</v>
      </c>
      <c r="H5052">
        <v>45</v>
      </c>
      <c r="I5052">
        <v>19.667000000000002</v>
      </c>
      <c r="J5052">
        <v>34.555999999999997</v>
      </c>
      <c r="K5052">
        <v>14.888999999999999</v>
      </c>
      <c r="L5052">
        <v>43</v>
      </c>
      <c r="M5052">
        <v>0</v>
      </c>
      <c r="N5052">
        <v>2</v>
      </c>
      <c r="O5052">
        <v>34.409999999999997</v>
      </c>
      <c r="P5052">
        <v>15.12490713</v>
      </c>
      <c r="Q5052">
        <v>7.984</v>
      </c>
    </row>
    <row r="5053" spans="1:17" x14ac:dyDescent="0.2">
      <c r="A5053" s="30" t="str">
        <f>IF(C5053&amp;G5053&amp;D5053&lt;&gt;'Funnel setup'!$K$3&amp;'Funnel setup'!$K$4&amp;'Funnel setup'!$K$5,".",IF(A5052=".",1,A5052+1))</f>
        <v>.</v>
      </c>
      <c r="B5053" s="431" t="str">
        <f t="shared" si="78"/>
        <v>Knee Replacement PrimaryProviderSPIRE GATWICK PARK HOSPITAL (NT308)Oxford Knee Score</v>
      </c>
      <c r="C5053" t="s">
        <v>249</v>
      </c>
      <c r="D5053" t="s">
        <v>1</v>
      </c>
      <c r="E5053" t="s">
        <v>3409</v>
      </c>
      <c r="F5053" t="s">
        <v>3410</v>
      </c>
      <c r="G5053" t="s">
        <v>16</v>
      </c>
      <c r="H5053">
        <v>58</v>
      </c>
      <c r="I5053">
        <v>21.585999999999999</v>
      </c>
      <c r="J5053">
        <v>37</v>
      </c>
      <c r="K5053">
        <v>15.414</v>
      </c>
      <c r="L5053">
        <v>58</v>
      </c>
      <c r="M5053">
        <v>0</v>
      </c>
      <c r="N5053">
        <v>0</v>
      </c>
      <c r="O5053">
        <v>35.244</v>
      </c>
      <c r="P5053">
        <v>15.958547380000001</v>
      </c>
      <c r="Q5053">
        <v>7.6449999999999996</v>
      </c>
    </row>
    <row r="5054" spans="1:17" x14ac:dyDescent="0.2">
      <c r="A5054" s="30" t="str">
        <f>IF(C5054&amp;G5054&amp;D5054&lt;&gt;'Funnel setup'!$K$3&amp;'Funnel setup'!$K$4&amp;'Funnel setup'!$K$5,".",IF(A5053=".",1,A5053+1))</f>
        <v>.</v>
      </c>
      <c r="B5054" s="431" t="str">
        <f t="shared" si="78"/>
        <v>Knee Replacement PrimaryProviderSPIRE HARPENDEN HOSPITAL (NT316)Oxford Knee Score</v>
      </c>
      <c r="C5054" t="s">
        <v>249</v>
      </c>
      <c r="D5054" t="s">
        <v>1</v>
      </c>
      <c r="E5054" t="s">
        <v>4267</v>
      </c>
      <c r="F5054" t="s">
        <v>4268</v>
      </c>
      <c r="G5054" t="s">
        <v>16</v>
      </c>
      <c r="H5054">
        <v>48</v>
      </c>
      <c r="I5054">
        <v>20.75</v>
      </c>
      <c r="J5054">
        <v>37.853999999999999</v>
      </c>
      <c r="K5054">
        <v>17.103999999999999</v>
      </c>
      <c r="L5054">
        <v>44</v>
      </c>
      <c r="M5054">
        <v>0</v>
      </c>
      <c r="N5054">
        <v>4</v>
      </c>
      <c r="O5054">
        <v>36.543999999999997</v>
      </c>
      <c r="P5054">
        <v>17.259109930000001</v>
      </c>
      <c r="Q5054">
        <v>8.9009999999999998</v>
      </c>
    </row>
    <row r="5055" spans="1:17" x14ac:dyDescent="0.2">
      <c r="A5055" s="30" t="str">
        <f>IF(C5055&amp;G5055&amp;D5055&lt;&gt;'Funnel setup'!$K$3&amp;'Funnel setup'!$K$4&amp;'Funnel setup'!$K$5,".",IF(A5054=".",1,A5054+1))</f>
        <v>.</v>
      </c>
      <c r="B5055" s="431" t="str">
        <f t="shared" si="78"/>
        <v>Knee Replacement PrimaryProviderSPIRE HARTSWOOD HOSPITAL (NT319)Oxford Knee Score</v>
      </c>
      <c r="C5055" t="s">
        <v>249</v>
      </c>
      <c r="D5055" t="s">
        <v>1</v>
      </c>
      <c r="E5055" t="s">
        <v>3210</v>
      </c>
      <c r="F5055" t="s">
        <v>3211</v>
      </c>
      <c r="G5055" t="s">
        <v>16</v>
      </c>
      <c r="H5055">
        <v>14</v>
      </c>
      <c r="I5055">
        <v>23.071000000000002</v>
      </c>
      <c r="J5055">
        <v>40.713999999999999</v>
      </c>
      <c r="K5055">
        <v>17.643000000000001</v>
      </c>
      <c r="L5055">
        <v>13</v>
      </c>
      <c r="M5055">
        <v>1</v>
      </c>
      <c r="N5055">
        <v>0</v>
      </c>
      <c r="O5055" t="s">
        <v>53</v>
      </c>
      <c r="P5055" t="s">
        <v>53</v>
      </c>
      <c r="Q5055" t="s">
        <v>53</v>
      </c>
    </row>
    <row r="5056" spans="1:17" x14ac:dyDescent="0.2">
      <c r="A5056" s="30" t="str">
        <f>IF(C5056&amp;G5056&amp;D5056&lt;&gt;'Funnel setup'!$K$3&amp;'Funnel setup'!$K$4&amp;'Funnel setup'!$K$5,".",IF(A5055=".",1,A5055+1))</f>
        <v>.</v>
      </c>
      <c r="B5056" s="431" t="str">
        <f t="shared" si="78"/>
        <v>Knee Replacement PrimaryProviderSPIRE HULL AND EAST RIDING HOSPITAL (NT351)Oxford Knee Score</v>
      </c>
      <c r="C5056" t="s">
        <v>249</v>
      </c>
      <c r="D5056" t="s">
        <v>1</v>
      </c>
      <c r="E5056" t="s">
        <v>3213</v>
      </c>
      <c r="F5056" t="s">
        <v>3214</v>
      </c>
      <c r="G5056" t="s">
        <v>16</v>
      </c>
      <c r="H5056">
        <v>207</v>
      </c>
      <c r="I5056">
        <v>20.018999999999998</v>
      </c>
      <c r="J5056">
        <v>35.134999999999998</v>
      </c>
      <c r="K5056">
        <v>15.116</v>
      </c>
      <c r="L5056">
        <v>188</v>
      </c>
      <c r="M5056">
        <v>2</v>
      </c>
      <c r="N5056">
        <v>17</v>
      </c>
      <c r="O5056">
        <v>34.697000000000003</v>
      </c>
      <c r="P5056">
        <v>15.41173663</v>
      </c>
      <c r="Q5056">
        <v>9.0719999999999992</v>
      </c>
    </row>
    <row r="5057" spans="1:17" x14ac:dyDescent="0.2">
      <c r="A5057" s="30" t="str">
        <f>IF(C5057&amp;G5057&amp;D5057&lt;&gt;'Funnel setup'!$K$3&amp;'Funnel setup'!$K$4&amp;'Funnel setup'!$K$5,".",IF(A5056=".",1,A5056+1))</f>
        <v>.</v>
      </c>
      <c r="B5057" s="431" t="str">
        <f t="shared" si="78"/>
        <v>Knee Replacement PrimaryProviderSPIRE LEEDS HOSPITAL (NT332)Oxford Knee Score</v>
      </c>
      <c r="C5057" t="s">
        <v>249</v>
      </c>
      <c r="D5057" t="s">
        <v>1</v>
      </c>
      <c r="E5057" t="s">
        <v>3198</v>
      </c>
      <c r="F5057" t="s">
        <v>3199</v>
      </c>
      <c r="G5057" t="s">
        <v>16</v>
      </c>
      <c r="H5057">
        <v>97</v>
      </c>
      <c r="I5057">
        <v>21.937999999999999</v>
      </c>
      <c r="J5057">
        <v>36.875999999999998</v>
      </c>
      <c r="K5057">
        <v>14.938000000000001</v>
      </c>
      <c r="L5057">
        <v>89</v>
      </c>
      <c r="M5057">
        <v>1</v>
      </c>
      <c r="N5057">
        <v>7</v>
      </c>
      <c r="O5057">
        <v>35.713000000000001</v>
      </c>
      <c r="P5057">
        <v>16.427257829999999</v>
      </c>
      <c r="Q5057">
        <v>8.1470000000000002</v>
      </c>
    </row>
    <row r="5058" spans="1:17" x14ac:dyDescent="0.2">
      <c r="A5058" s="30" t="str">
        <f>IF(C5058&amp;G5058&amp;D5058&lt;&gt;'Funnel setup'!$K$3&amp;'Funnel setup'!$K$4&amp;'Funnel setup'!$K$5,".",IF(A5057=".",1,A5057+1))</f>
        <v>.</v>
      </c>
      <c r="B5058" s="431" t="str">
        <f t="shared" si="78"/>
        <v>Knee Replacement PrimaryProviderSPIRE LEICESTER HOSPITAL (NT322)Oxford Knee Score</v>
      </c>
      <c r="C5058" t="s">
        <v>249</v>
      </c>
      <c r="D5058" t="s">
        <v>1</v>
      </c>
      <c r="E5058" t="s">
        <v>3201</v>
      </c>
      <c r="F5058" t="s">
        <v>3202</v>
      </c>
      <c r="G5058" t="s">
        <v>16</v>
      </c>
      <c r="H5058">
        <v>113</v>
      </c>
      <c r="I5058">
        <v>19.513000000000002</v>
      </c>
      <c r="J5058">
        <v>36.142000000000003</v>
      </c>
      <c r="K5058">
        <v>16.628</v>
      </c>
      <c r="L5058">
        <v>110</v>
      </c>
      <c r="M5058">
        <v>1</v>
      </c>
      <c r="N5058">
        <v>2</v>
      </c>
      <c r="O5058">
        <v>36.334000000000003</v>
      </c>
      <c r="P5058">
        <v>17.048525890000001</v>
      </c>
      <c r="Q5058">
        <v>7.4969999999999999</v>
      </c>
    </row>
    <row r="5059" spans="1:17" x14ac:dyDescent="0.2">
      <c r="A5059" s="30" t="str">
        <f>IF(C5059&amp;G5059&amp;D5059&lt;&gt;'Funnel setup'!$K$3&amp;'Funnel setup'!$K$4&amp;'Funnel setup'!$K$5,".",IF(A5058=".",1,A5058+1))</f>
        <v>.</v>
      </c>
      <c r="B5059" s="431" t="str">
        <f t="shared" ref="B5059:B5122" si="79">C5059&amp;D5059&amp;F5059&amp;G5059</f>
        <v>Knee Replacement PrimaryProviderSPIRE LITTLE ASTON HOSPITAL (NT321)Oxford Knee Score</v>
      </c>
      <c r="C5059" t="s">
        <v>249</v>
      </c>
      <c r="D5059" t="s">
        <v>1</v>
      </c>
      <c r="E5059" t="s">
        <v>3921</v>
      </c>
      <c r="F5059" t="s">
        <v>3922</v>
      </c>
      <c r="G5059" t="s">
        <v>16</v>
      </c>
      <c r="H5059">
        <v>121</v>
      </c>
      <c r="I5059">
        <v>18.594999999999999</v>
      </c>
      <c r="J5059">
        <v>35.868000000000002</v>
      </c>
      <c r="K5059">
        <v>17.273</v>
      </c>
      <c r="L5059">
        <v>113</v>
      </c>
      <c r="M5059">
        <v>1</v>
      </c>
      <c r="N5059">
        <v>7</v>
      </c>
      <c r="O5059">
        <v>35.957999999999998</v>
      </c>
      <c r="P5059">
        <v>16.67256794</v>
      </c>
      <c r="Q5059">
        <v>8.4030000000000005</v>
      </c>
    </row>
    <row r="5060" spans="1:17" x14ac:dyDescent="0.2">
      <c r="A5060" s="30" t="str">
        <f>IF(C5060&amp;G5060&amp;D5060&lt;&gt;'Funnel setup'!$K$3&amp;'Funnel setup'!$K$4&amp;'Funnel setup'!$K$5,".",IF(A5059=".",1,A5059+1))</f>
        <v>.</v>
      </c>
      <c r="B5060" s="431" t="str">
        <f t="shared" si="79"/>
        <v>Knee Replacement PrimaryProviderSPIRE LIVERPOOL HOSPITAL (NT337)Oxford Knee Score</v>
      </c>
      <c r="C5060" t="s">
        <v>249</v>
      </c>
      <c r="D5060" t="s">
        <v>1</v>
      </c>
      <c r="E5060" t="s">
        <v>3927</v>
      </c>
      <c r="F5060" t="s">
        <v>3928</v>
      </c>
      <c r="G5060" t="s">
        <v>16</v>
      </c>
      <c r="H5060">
        <v>130</v>
      </c>
      <c r="I5060">
        <v>17.515000000000001</v>
      </c>
      <c r="J5060">
        <v>34.5</v>
      </c>
      <c r="K5060">
        <v>16.984999999999999</v>
      </c>
      <c r="L5060">
        <v>125</v>
      </c>
      <c r="M5060">
        <v>2</v>
      </c>
      <c r="N5060">
        <v>3</v>
      </c>
      <c r="O5060">
        <v>35.899000000000001</v>
      </c>
      <c r="P5060">
        <v>16.613599969999999</v>
      </c>
      <c r="Q5060">
        <v>8.86</v>
      </c>
    </row>
    <row r="5061" spans="1:17" x14ac:dyDescent="0.2">
      <c r="A5061" s="30" t="str">
        <f>IF(C5061&amp;G5061&amp;D5061&lt;&gt;'Funnel setup'!$K$3&amp;'Funnel setup'!$K$4&amp;'Funnel setup'!$K$5,".",IF(A5060=".",1,A5060+1))</f>
        <v>.</v>
      </c>
      <c r="B5061" s="431" t="str">
        <f t="shared" si="79"/>
        <v>Knee Replacement PrimaryProviderSPIRE MANCHESTER HOSPITAL (NT327)Oxford Knee Score</v>
      </c>
      <c r="C5061" t="s">
        <v>249</v>
      </c>
      <c r="D5061" t="s">
        <v>1</v>
      </c>
      <c r="E5061" t="s">
        <v>3154</v>
      </c>
      <c r="F5061" t="s">
        <v>3155</v>
      </c>
      <c r="G5061" t="s">
        <v>16</v>
      </c>
      <c r="H5061">
        <v>48</v>
      </c>
      <c r="I5061">
        <v>18.896000000000001</v>
      </c>
      <c r="J5061">
        <v>34.978999999999999</v>
      </c>
      <c r="K5061">
        <v>16.082999999999998</v>
      </c>
      <c r="L5061">
        <v>46</v>
      </c>
      <c r="M5061">
        <v>0</v>
      </c>
      <c r="N5061">
        <v>2</v>
      </c>
      <c r="O5061">
        <v>35.628</v>
      </c>
      <c r="P5061">
        <v>16.342164010000001</v>
      </c>
      <c r="Q5061">
        <v>8.2430000000000003</v>
      </c>
    </row>
    <row r="5062" spans="1:17" x14ac:dyDescent="0.2">
      <c r="A5062" s="30" t="str">
        <f>IF(C5062&amp;G5062&amp;D5062&lt;&gt;'Funnel setup'!$K$3&amp;'Funnel setup'!$K$4&amp;'Funnel setup'!$K$5,".",IF(A5061=".",1,A5061+1))</f>
        <v>.</v>
      </c>
      <c r="B5062" s="431" t="str">
        <f t="shared" si="79"/>
        <v>Knee Replacement PrimaryProviderSPIRE METHLEY PARK HOSPITAL (NT350)Oxford Knee Score</v>
      </c>
      <c r="C5062" t="s">
        <v>249</v>
      </c>
      <c r="D5062" t="s">
        <v>1</v>
      </c>
      <c r="E5062" t="s">
        <v>3157</v>
      </c>
      <c r="F5062" t="s">
        <v>3158</v>
      </c>
      <c r="G5062" t="s">
        <v>16</v>
      </c>
      <c r="H5062">
        <v>118</v>
      </c>
      <c r="I5062">
        <v>20.736999999999998</v>
      </c>
      <c r="J5062">
        <v>35.737000000000002</v>
      </c>
      <c r="K5062">
        <v>15</v>
      </c>
      <c r="L5062">
        <v>111</v>
      </c>
      <c r="M5062">
        <v>1</v>
      </c>
      <c r="N5062">
        <v>6</v>
      </c>
      <c r="O5062">
        <v>35.064999999999998</v>
      </c>
      <c r="P5062">
        <v>15.77947313</v>
      </c>
      <c r="Q5062">
        <v>8.5510000000000002</v>
      </c>
    </row>
    <row r="5063" spans="1:17" x14ac:dyDescent="0.2">
      <c r="A5063" s="30" t="str">
        <f>IF(C5063&amp;G5063&amp;D5063&lt;&gt;'Funnel setup'!$K$3&amp;'Funnel setup'!$K$4&amp;'Funnel setup'!$K$5,".",IF(A5062=".",1,A5062+1))</f>
        <v>.</v>
      </c>
      <c r="B5063" s="431" t="str">
        <f t="shared" si="79"/>
        <v>Knee Replacement PrimaryProviderSPIRE MONTEFIORE HOSPITAL (NT364)Oxford Knee Score</v>
      </c>
      <c r="C5063" t="s">
        <v>249</v>
      </c>
      <c r="D5063" t="s">
        <v>1</v>
      </c>
      <c r="E5063" t="s">
        <v>3160</v>
      </c>
      <c r="F5063" t="s">
        <v>3161</v>
      </c>
      <c r="G5063" t="s">
        <v>16</v>
      </c>
      <c r="H5063">
        <v>40</v>
      </c>
      <c r="I5063">
        <v>23.75</v>
      </c>
      <c r="J5063">
        <v>40.4</v>
      </c>
      <c r="K5063">
        <v>16.649999999999999</v>
      </c>
      <c r="L5063">
        <v>39</v>
      </c>
      <c r="M5063">
        <v>0</v>
      </c>
      <c r="N5063">
        <v>1</v>
      </c>
      <c r="O5063">
        <v>37.783999999999999</v>
      </c>
      <c r="P5063">
        <v>18.498881919999999</v>
      </c>
      <c r="Q5063">
        <v>5.8470000000000004</v>
      </c>
    </row>
    <row r="5064" spans="1:17" x14ac:dyDescent="0.2">
      <c r="A5064" s="30" t="str">
        <f>IF(C5064&amp;G5064&amp;D5064&lt;&gt;'Funnel setup'!$K$3&amp;'Funnel setup'!$K$4&amp;'Funnel setup'!$K$5,".",IF(A5063=".",1,A5063+1))</f>
        <v>.</v>
      </c>
      <c r="B5064" s="431" t="str">
        <f t="shared" si="79"/>
        <v>Knee Replacement PrimaryProviderSPIRE MURRAYFIELD HOSPITAL (NT325)Oxford Knee Score</v>
      </c>
      <c r="C5064" t="s">
        <v>249</v>
      </c>
      <c r="D5064" t="s">
        <v>1</v>
      </c>
      <c r="E5064" t="s">
        <v>3163</v>
      </c>
      <c r="F5064" t="s">
        <v>3164</v>
      </c>
      <c r="G5064" t="s">
        <v>16</v>
      </c>
      <c r="H5064">
        <v>92</v>
      </c>
      <c r="I5064">
        <v>19.957000000000001</v>
      </c>
      <c r="J5064">
        <v>35.369999999999997</v>
      </c>
      <c r="K5064">
        <v>15.413</v>
      </c>
      <c r="L5064">
        <v>83</v>
      </c>
      <c r="M5064">
        <v>1</v>
      </c>
      <c r="N5064">
        <v>8</v>
      </c>
      <c r="O5064">
        <v>34.85</v>
      </c>
      <c r="P5064">
        <v>15.56466307</v>
      </c>
      <c r="Q5064">
        <v>9.468</v>
      </c>
    </row>
    <row r="5065" spans="1:17" x14ac:dyDescent="0.2">
      <c r="A5065" s="30" t="str">
        <f>IF(C5065&amp;G5065&amp;D5065&lt;&gt;'Funnel setup'!$K$3&amp;'Funnel setup'!$K$4&amp;'Funnel setup'!$K$5,".",IF(A5064=".",1,A5064+1))</f>
        <v>.</v>
      </c>
      <c r="B5065" s="431" t="str">
        <f t="shared" si="79"/>
        <v>Knee Replacement PrimaryProviderSPIRE NORWICH HOSPITAL (NT318)Oxford Knee Score</v>
      </c>
      <c r="C5065" t="s">
        <v>249</v>
      </c>
      <c r="D5065" t="s">
        <v>1</v>
      </c>
      <c r="E5065" t="s">
        <v>4251</v>
      </c>
      <c r="F5065" t="s">
        <v>4252</v>
      </c>
      <c r="G5065" t="s">
        <v>16</v>
      </c>
      <c r="H5065">
        <v>223</v>
      </c>
      <c r="I5065">
        <v>21.843</v>
      </c>
      <c r="J5065">
        <v>37.090000000000003</v>
      </c>
      <c r="K5065">
        <v>15.247</v>
      </c>
      <c r="L5065">
        <v>205</v>
      </c>
      <c r="M5065">
        <v>6</v>
      </c>
      <c r="N5065">
        <v>12</v>
      </c>
      <c r="O5065">
        <v>35.384999999999998</v>
      </c>
      <c r="P5065">
        <v>16.099207799999999</v>
      </c>
      <c r="Q5065">
        <v>7.3979999999999997</v>
      </c>
    </row>
    <row r="5066" spans="1:17" x14ac:dyDescent="0.2">
      <c r="A5066" s="30" t="str">
        <f>IF(C5066&amp;G5066&amp;D5066&lt;&gt;'Funnel setup'!$K$3&amp;'Funnel setup'!$K$4&amp;'Funnel setup'!$K$5,".",IF(A5065=".",1,A5065+1))</f>
        <v>.</v>
      </c>
      <c r="B5066" s="431" t="str">
        <f t="shared" si="79"/>
        <v>Knee Replacement PrimaryProviderSPIRE PARKWAY HOSPITAL (NT320)Oxford Knee Score</v>
      </c>
      <c r="C5066" t="s">
        <v>249</v>
      </c>
      <c r="D5066" t="s">
        <v>1</v>
      </c>
      <c r="E5066" t="s">
        <v>3166</v>
      </c>
      <c r="F5066" t="s">
        <v>3167</v>
      </c>
      <c r="G5066" t="s">
        <v>16</v>
      </c>
      <c r="H5066">
        <v>77</v>
      </c>
      <c r="I5066">
        <v>21.87</v>
      </c>
      <c r="J5066">
        <v>36.869999999999997</v>
      </c>
      <c r="K5066">
        <v>15</v>
      </c>
      <c r="L5066">
        <v>71</v>
      </c>
      <c r="M5066">
        <v>1</v>
      </c>
      <c r="N5066">
        <v>5</v>
      </c>
      <c r="O5066">
        <v>35.713000000000001</v>
      </c>
      <c r="P5066">
        <v>16.427810470000001</v>
      </c>
      <c r="Q5066">
        <v>8.3179999999999996</v>
      </c>
    </row>
    <row r="5067" spans="1:17" x14ac:dyDescent="0.2">
      <c r="A5067" s="30" t="str">
        <f>IF(C5067&amp;G5067&amp;D5067&lt;&gt;'Funnel setup'!$K$3&amp;'Funnel setup'!$K$4&amp;'Funnel setup'!$K$5,".",IF(A5066=".",1,A5066+1))</f>
        <v>.</v>
      </c>
      <c r="B5067" s="431" t="str">
        <f t="shared" si="79"/>
        <v>Knee Replacement PrimaryProviderSPIRE PORTSMOUTH HOSPITAL (NT305)Oxford Knee Score</v>
      </c>
      <c r="C5067" t="s">
        <v>249</v>
      </c>
      <c r="D5067" t="s">
        <v>1</v>
      </c>
      <c r="E5067" t="s">
        <v>3169</v>
      </c>
      <c r="F5067" t="s">
        <v>340</v>
      </c>
      <c r="G5067" t="s">
        <v>16</v>
      </c>
      <c r="H5067">
        <v>101</v>
      </c>
      <c r="I5067">
        <v>20.614000000000001</v>
      </c>
      <c r="J5067">
        <v>39.505000000000003</v>
      </c>
      <c r="K5067">
        <v>18.890999999999998</v>
      </c>
      <c r="L5067">
        <v>99</v>
      </c>
      <c r="M5067">
        <v>0</v>
      </c>
      <c r="N5067">
        <v>2</v>
      </c>
      <c r="O5067">
        <v>38.024000000000001</v>
      </c>
      <c r="P5067">
        <v>18.73886456</v>
      </c>
      <c r="Q5067">
        <v>6.9189999999999996</v>
      </c>
    </row>
    <row r="5068" spans="1:17" x14ac:dyDescent="0.2">
      <c r="A5068" s="30" t="str">
        <f>IF(C5068&amp;G5068&amp;D5068&lt;&gt;'Funnel setup'!$K$3&amp;'Funnel setup'!$K$4&amp;'Funnel setup'!$K$5,".",IF(A5067=".",1,A5067+1))</f>
        <v>.</v>
      </c>
      <c r="B5068" s="431" t="str">
        <f t="shared" si="79"/>
        <v>Knee Replacement PrimaryProviderSPIRE REGENCY HOSPITAL (NT339)Oxford Knee Score</v>
      </c>
      <c r="C5068" t="s">
        <v>249</v>
      </c>
      <c r="D5068" t="s">
        <v>1</v>
      </c>
      <c r="E5068" t="s">
        <v>3171</v>
      </c>
      <c r="F5068" t="s">
        <v>3172</v>
      </c>
      <c r="G5068" t="s">
        <v>16</v>
      </c>
      <c r="H5068">
        <v>50</v>
      </c>
      <c r="I5068">
        <v>20.68</v>
      </c>
      <c r="J5068">
        <v>37.5</v>
      </c>
      <c r="K5068">
        <v>16.82</v>
      </c>
      <c r="L5068">
        <v>48</v>
      </c>
      <c r="M5068">
        <v>0</v>
      </c>
      <c r="N5068">
        <v>2</v>
      </c>
      <c r="O5068">
        <v>35.728000000000002</v>
      </c>
      <c r="P5068">
        <v>16.443005830000001</v>
      </c>
      <c r="Q5068">
        <v>8.5549999999999997</v>
      </c>
    </row>
    <row r="5069" spans="1:17" x14ac:dyDescent="0.2">
      <c r="A5069" s="30" t="str">
        <f>IF(C5069&amp;G5069&amp;D5069&lt;&gt;'Funnel setup'!$K$3&amp;'Funnel setup'!$K$4&amp;'Funnel setup'!$K$5,".",IF(A5068=".",1,A5068+1))</f>
        <v>.</v>
      </c>
      <c r="B5069" s="431" t="str">
        <f t="shared" si="79"/>
        <v>Knee Replacement PrimaryProviderSPIRE RODING HOSPITAL (NT314)Oxford Knee Score</v>
      </c>
      <c r="C5069" t="s">
        <v>249</v>
      </c>
      <c r="D5069" t="s">
        <v>1</v>
      </c>
      <c r="E5069" t="s">
        <v>4254</v>
      </c>
      <c r="F5069" t="s">
        <v>4255</v>
      </c>
      <c r="G5069" t="s">
        <v>16</v>
      </c>
      <c r="H5069">
        <v>29</v>
      </c>
      <c r="I5069">
        <v>20.448</v>
      </c>
      <c r="J5069">
        <v>32.31</v>
      </c>
      <c r="K5069">
        <v>11.862</v>
      </c>
      <c r="L5069">
        <v>26</v>
      </c>
      <c r="M5069">
        <v>0</v>
      </c>
      <c r="N5069">
        <v>3</v>
      </c>
      <c r="O5069" t="s">
        <v>53</v>
      </c>
      <c r="P5069" t="s">
        <v>53</v>
      </c>
      <c r="Q5069" t="s">
        <v>53</v>
      </c>
    </row>
    <row r="5070" spans="1:17" x14ac:dyDescent="0.2">
      <c r="A5070" s="30" t="str">
        <f>IF(C5070&amp;G5070&amp;D5070&lt;&gt;'Funnel setup'!$K$3&amp;'Funnel setup'!$K$4&amp;'Funnel setup'!$K$5,".",IF(A5069=".",1,A5069+1))</f>
        <v>.</v>
      </c>
      <c r="B5070" s="431" t="str">
        <f t="shared" si="79"/>
        <v>Knee Replacement PrimaryProviderSPIRE SOUTH BANK HOSPITAL (NT301)Oxford Knee Score</v>
      </c>
      <c r="C5070" t="s">
        <v>249</v>
      </c>
      <c r="D5070" t="s">
        <v>1</v>
      </c>
      <c r="E5070" t="s">
        <v>3174</v>
      </c>
      <c r="F5070" t="s">
        <v>3175</v>
      </c>
      <c r="G5070" t="s">
        <v>16</v>
      </c>
      <c r="H5070">
        <v>49</v>
      </c>
      <c r="I5070">
        <v>24.795999999999999</v>
      </c>
      <c r="J5070">
        <v>37.061</v>
      </c>
      <c r="K5070">
        <v>12.265000000000001</v>
      </c>
      <c r="L5070">
        <v>45</v>
      </c>
      <c r="M5070">
        <v>2</v>
      </c>
      <c r="N5070">
        <v>2</v>
      </c>
      <c r="O5070">
        <v>34.244</v>
      </c>
      <c r="P5070">
        <v>14.958298790000001</v>
      </c>
      <c r="Q5070">
        <v>8.3559999999999999</v>
      </c>
    </row>
    <row r="5071" spans="1:17" x14ac:dyDescent="0.2">
      <c r="A5071" s="30" t="str">
        <f>IF(C5071&amp;G5071&amp;D5071&lt;&gt;'Funnel setup'!$K$3&amp;'Funnel setup'!$K$4&amp;'Funnel setup'!$K$5,".",IF(A5070=".",1,A5070+1))</f>
        <v>.</v>
      </c>
      <c r="B5071" s="431" t="str">
        <f t="shared" si="79"/>
        <v>Knee Replacement PrimaryProviderSPIRE ST SAVIOURS HOSPITAL (NT346)Oxford Knee Score</v>
      </c>
      <c r="C5071" t="s">
        <v>249</v>
      </c>
      <c r="D5071" t="s">
        <v>1</v>
      </c>
      <c r="E5071" t="s">
        <v>3177</v>
      </c>
      <c r="F5071" t="s">
        <v>3178</v>
      </c>
      <c r="G5071" t="s">
        <v>16</v>
      </c>
      <c r="H5071">
        <v>12</v>
      </c>
      <c r="I5071">
        <v>23.832999999999998</v>
      </c>
      <c r="J5071">
        <v>40.082999999999998</v>
      </c>
      <c r="K5071">
        <v>16.25</v>
      </c>
      <c r="L5071">
        <v>11</v>
      </c>
      <c r="M5071">
        <v>0</v>
      </c>
      <c r="N5071">
        <v>1</v>
      </c>
      <c r="O5071" t="s">
        <v>53</v>
      </c>
      <c r="P5071" t="s">
        <v>53</v>
      </c>
      <c r="Q5071" t="s">
        <v>53</v>
      </c>
    </row>
    <row r="5072" spans="1:17" x14ac:dyDescent="0.2">
      <c r="A5072" s="30" t="str">
        <f>IF(C5072&amp;G5072&amp;D5072&lt;&gt;'Funnel setup'!$K$3&amp;'Funnel setup'!$K$4&amp;'Funnel setup'!$K$5,".",IF(A5071=".",1,A5071+1))</f>
        <v>.</v>
      </c>
      <c r="B5072" s="431" t="str">
        <f t="shared" si="79"/>
        <v>Knee Replacement PrimaryProviderSPIRE SUSSEX HOSPITAL (NT309)Oxford Knee Score</v>
      </c>
      <c r="C5072" t="s">
        <v>249</v>
      </c>
      <c r="D5072" t="s">
        <v>1</v>
      </c>
      <c r="E5072" t="s">
        <v>3180</v>
      </c>
      <c r="F5072" t="s">
        <v>3181</v>
      </c>
      <c r="G5072" t="s">
        <v>16</v>
      </c>
      <c r="H5072">
        <v>44</v>
      </c>
      <c r="I5072">
        <v>20.704999999999998</v>
      </c>
      <c r="J5072">
        <v>36.886000000000003</v>
      </c>
      <c r="K5072">
        <v>16.181999999999999</v>
      </c>
      <c r="L5072">
        <v>41</v>
      </c>
      <c r="M5072">
        <v>0</v>
      </c>
      <c r="N5072">
        <v>3</v>
      </c>
      <c r="O5072">
        <v>35.625</v>
      </c>
      <c r="P5072">
        <v>16.339543849999998</v>
      </c>
      <c r="Q5072">
        <v>8.2390000000000008</v>
      </c>
    </row>
    <row r="5073" spans="1:17" x14ac:dyDescent="0.2">
      <c r="A5073" s="30" t="str">
        <f>IF(C5073&amp;G5073&amp;D5073&lt;&gt;'Funnel setup'!$K$3&amp;'Funnel setup'!$K$4&amp;'Funnel setup'!$K$5,".",IF(A5072=".",1,A5072+1))</f>
        <v>.</v>
      </c>
      <c r="B5073" s="431" t="str">
        <f t="shared" si="79"/>
        <v>Knee Replacement PrimaryProviderSPIRE THAMES VALLEY HOSPITAL (NT343)Oxford Knee Score</v>
      </c>
      <c r="C5073" t="s">
        <v>249</v>
      </c>
      <c r="D5073" t="s">
        <v>1</v>
      </c>
      <c r="E5073" t="s">
        <v>3183</v>
      </c>
      <c r="F5073" t="s">
        <v>3184</v>
      </c>
      <c r="G5073" t="s">
        <v>16</v>
      </c>
      <c r="H5073" t="s">
        <v>53</v>
      </c>
      <c r="I5073" t="s">
        <v>53</v>
      </c>
      <c r="J5073" t="s">
        <v>53</v>
      </c>
      <c r="K5073" t="s">
        <v>53</v>
      </c>
      <c r="L5073" t="s">
        <v>53</v>
      </c>
      <c r="M5073" t="s">
        <v>53</v>
      </c>
      <c r="N5073" t="s">
        <v>53</v>
      </c>
      <c r="O5073" t="s">
        <v>53</v>
      </c>
      <c r="P5073" t="s">
        <v>53</v>
      </c>
      <c r="Q5073" t="s">
        <v>53</v>
      </c>
    </row>
    <row r="5074" spans="1:17" x14ac:dyDescent="0.2">
      <c r="A5074" s="30" t="str">
        <f>IF(C5074&amp;G5074&amp;D5074&lt;&gt;'Funnel setup'!$K$3&amp;'Funnel setup'!$K$4&amp;'Funnel setup'!$K$5,".",IF(A5073=".",1,A5073+1))</f>
        <v>.</v>
      </c>
      <c r="B5074" s="431" t="str">
        <f t="shared" si="79"/>
        <v>Knee Replacement PrimaryProviderSPIRE TUNBRIDGE WELLS HOSPITAL (NT310)Oxford Knee Score</v>
      </c>
      <c r="C5074" t="s">
        <v>249</v>
      </c>
      <c r="D5074" t="s">
        <v>1</v>
      </c>
      <c r="E5074" t="s">
        <v>3186</v>
      </c>
      <c r="F5074" t="s">
        <v>3187</v>
      </c>
      <c r="G5074" t="s">
        <v>16</v>
      </c>
      <c r="H5074" t="s">
        <v>53</v>
      </c>
      <c r="I5074" t="s">
        <v>53</v>
      </c>
      <c r="J5074" t="s">
        <v>53</v>
      </c>
      <c r="K5074" t="s">
        <v>53</v>
      </c>
      <c r="L5074" t="s">
        <v>53</v>
      </c>
      <c r="M5074" t="s">
        <v>53</v>
      </c>
      <c r="N5074" t="s">
        <v>53</v>
      </c>
      <c r="O5074" t="s">
        <v>53</v>
      </c>
      <c r="P5074" t="s">
        <v>53</v>
      </c>
      <c r="Q5074" t="s">
        <v>53</v>
      </c>
    </row>
    <row r="5075" spans="1:17" x14ac:dyDescent="0.2">
      <c r="A5075" s="30" t="str">
        <f>IF(C5075&amp;G5075&amp;D5075&lt;&gt;'Funnel setup'!$K$3&amp;'Funnel setup'!$K$4&amp;'Funnel setup'!$K$5,".",IF(A5074=".",1,A5074+1))</f>
        <v>.</v>
      </c>
      <c r="B5075" s="431" t="str">
        <f t="shared" si="79"/>
        <v>Knee Replacement PrimaryProviderSPIRE WASHINGTON HOSPITAL (NT333)Oxford Knee Score</v>
      </c>
      <c r="C5075" t="s">
        <v>249</v>
      </c>
      <c r="D5075" t="s">
        <v>1</v>
      </c>
      <c r="E5075" t="s">
        <v>3189</v>
      </c>
      <c r="F5075" t="s">
        <v>3190</v>
      </c>
      <c r="G5075" t="s">
        <v>16</v>
      </c>
      <c r="H5075">
        <v>86</v>
      </c>
      <c r="I5075">
        <v>19.488</v>
      </c>
      <c r="J5075">
        <v>37</v>
      </c>
      <c r="K5075">
        <v>17.512</v>
      </c>
      <c r="L5075">
        <v>82</v>
      </c>
      <c r="M5075">
        <v>2</v>
      </c>
      <c r="N5075">
        <v>2</v>
      </c>
      <c r="O5075">
        <v>36.494999999999997</v>
      </c>
      <c r="P5075">
        <v>17.209614850000001</v>
      </c>
      <c r="Q5075">
        <v>9.0579999999999998</v>
      </c>
    </row>
    <row r="5076" spans="1:17" x14ac:dyDescent="0.2">
      <c r="A5076" s="30" t="str">
        <f>IF(C5076&amp;G5076&amp;D5076&lt;&gt;'Funnel setup'!$K$3&amp;'Funnel setup'!$K$4&amp;'Funnel setup'!$K$5,".",IF(A5075=".",1,A5075+1))</f>
        <v>.</v>
      </c>
      <c r="B5076" s="431" t="str">
        <f t="shared" si="79"/>
        <v>Knee Replacement PrimaryProviderSPIRE WELLESLEY HOSPITAL (NT313)Oxford Knee Score</v>
      </c>
      <c r="C5076" t="s">
        <v>249</v>
      </c>
      <c r="D5076" t="s">
        <v>1</v>
      </c>
      <c r="E5076" t="s">
        <v>3192</v>
      </c>
      <c r="F5076" t="s">
        <v>3193</v>
      </c>
      <c r="G5076" t="s">
        <v>16</v>
      </c>
      <c r="H5076">
        <v>111</v>
      </c>
      <c r="I5076">
        <v>18.405000000000001</v>
      </c>
      <c r="J5076">
        <v>36.865000000000002</v>
      </c>
      <c r="K5076">
        <v>18.459</v>
      </c>
      <c r="L5076">
        <v>106</v>
      </c>
      <c r="M5076">
        <v>1</v>
      </c>
      <c r="N5076">
        <v>4</v>
      </c>
      <c r="O5076">
        <v>36.835000000000001</v>
      </c>
      <c r="P5076">
        <v>17.54963519</v>
      </c>
      <c r="Q5076">
        <v>8.4450000000000003</v>
      </c>
    </row>
    <row r="5077" spans="1:17" x14ac:dyDescent="0.2">
      <c r="A5077" s="30" t="str">
        <f>IF(C5077&amp;G5077&amp;D5077&lt;&gt;'Funnel setup'!$K$3&amp;'Funnel setup'!$K$4&amp;'Funnel setup'!$K$5,".",IF(A5076=".",1,A5076+1))</f>
        <v>.</v>
      </c>
      <c r="B5077" s="431" t="str">
        <f t="shared" si="79"/>
        <v>Knee Replacement PrimaryProviderSPRINGFIELD HOSPITAL (NVC18)Oxford Knee Score</v>
      </c>
      <c r="C5077" t="s">
        <v>249</v>
      </c>
      <c r="D5077" t="s">
        <v>1</v>
      </c>
      <c r="E5077" t="s">
        <v>3195</v>
      </c>
      <c r="F5077" t="s">
        <v>3196</v>
      </c>
      <c r="G5077" t="s">
        <v>16</v>
      </c>
      <c r="H5077">
        <v>129</v>
      </c>
      <c r="I5077">
        <v>19.867999999999999</v>
      </c>
      <c r="J5077">
        <v>36.566000000000003</v>
      </c>
      <c r="K5077">
        <v>16.698</v>
      </c>
      <c r="L5077">
        <v>120</v>
      </c>
      <c r="M5077">
        <v>2</v>
      </c>
      <c r="N5077">
        <v>7</v>
      </c>
      <c r="O5077">
        <v>35.411999999999999</v>
      </c>
      <c r="P5077">
        <v>16.126931849999998</v>
      </c>
      <c r="Q5077">
        <v>7.9580000000000002</v>
      </c>
    </row>
    <row r="5078" spans="1:17" x14ac:dyDescent="0.2">
      <c r="A5078" s="30" t="str">
        <f>IF(C5078&amp;G5078&amp;D5078&lt;&gt;'Funnel setup'!$K$3&amp;'Funnel setup'!$K$4&amp;'Funnel setup'!$K$5,".",IF(A5077=".",1,A5077+1))</f>
        <v>.</v>
      </c>
      <c r="B5078" s="431" t="str">
        <f t="shared" si="79"/>
        <v>Knee Replacement PrimaryProviderST GEORGE'S UNIVERSITY HOSPITALS NHS FOUNDATION TRUST (RJ7)Oxford Knee Score</v>
      </c>
      <c r="C5078" t="s">
        <v>249</v>
      </c>
      <c r="D5078" t="s">
        <v>1</v>
      </c>
      <c r="E5078" t="s">
        <v>3124</v>
      </c>
      <c r="F5078" t="s">
        <v>3125</v>
      </c>
      <c r="G5078" t="s">
        <v>16</v>
      </c>
      <c r="H5078" t="s">
        <v>53</v>
      </c>
      <c r="I5078" t="s">
        <v>53</v>
      </c>
      <c r="J5078" t="s">
        <v>53</v>
      </c>
      <c r="K5078" t="s">
        <v>53</v>
      </c>
      <c r="L5078" t="s">
        <v>53</v>
      </c>
      <c r="M5078" t="s">
        <v>53</v>
      </c>
      <c r="N5078" t="s">
        <v>53</v>
      </c>
      <c r="O5078" t="s">
        <v>53</v>
      </c>
      <c r="P5078" t="s">
        <v>53</v>
      </c>
      <c r="Q5078" t="s">
        <v>53</v>
      </c>
    </row>
    <row r="5079" spans="1:17" x14ac:dyDescent="0.2">
      <c r="A5079" s="30" t="str">
        <f>IF(C5079&amp;G5079&amp;D5079&lt;&gt;'Funnel setup'!$K$3&amp;'Funnel setup'!$K$4&amp;'Funnel setup'!$K$5,".",IF(A5078=".",1,A5078+1))</f>
        <v>.</v>
      </c>
      <c r="B5079" s="431" t="str">
        <f t="shared" si="79"/>
        <v>Knee Replacement PrimaryProviderST HELENS AND KNOWSLEY HOSPITALS NHS TRUST (RBN)Oxford Knee Score</v>
      </c>
      <c r="C5079" t="s">
        <v>249</v>
      </c>
      <c r="D5079" t="s">
        <v>1</v>
      </c>
      <c r="E5079" t="s">
        <v>3127</v>
      </c>
      <c r="F5079" t="s">
        <v>3128</v>
      </c>
      <c r="G5079" t="s">
        <v>16</v>
      </c>
      <c r="H5079">
        <v>275</v>
      </c>
      <c r="I5079">
        <v>19.007000000000001</v>
      </c>
      <c r="J5079">
        <v>32.643999999999998</v>
      </c>
      <c r="K5079">
        <v>13.635999999999999</v>
      </c>
      <c r="L5079">
        <v>244</v>
      </c>
      <c r="M5079">
        <v>2</v>
      </c>
      <c r="N5079">
        <v>29</v>
      </c>
      <c r="O5079">
        <v>33.594000000000001</v>
      </c>
      <c r="P5079">
        <v>14.30818026</v>
      </c>
      <c r="Q5079">
        <v>9.1150000000000002</v>
      </c>
    </row>
    <row r="5080" spans="1:17" x14ac:dyDescent="0.2">
      <c r="A5080" s="30" t="str">
        <f>IF(C5080&amp;G5080&amp;D5080&lt;&gt;'Funnel setup'!$K$3&amp;'Funnel setup'!$K$4&amp;'Funnel setup'!$K$5,".",IF(A5079=".",1,A5079+1))</f>
        <v>.</v>
      </c>
      <c r="B5080" s="431" t="str">
        <f t="shared" si="79"/>
        <v>Knee Replacement PrimaryProviderST HUGH'S HOSPITAL (NTE02)Oxford Knee Score</v>
      </c>
      <c r="C5080" t="s">
        <v>249</v>
      </c>
      <c r="D5080" t="s">
        <v>1</v>
      </c>
      <c r="E5080" t="s">
        <v>3130</v>
      </c>
      <c r="F5080" t="s">
        <v>3131</v>
      </c>
      <c r="G5080" t="s">
        <v>16</v>
      </c>
      <c r="H5080">
        <v>54</v>
      </c>
      <c r="I5080">
        <v>20.574000000000002</v>
      </c>
      <c r="J5080">
        <v>37.332999999999998</v>
      </c>
      <c r="K5080">
        <v>16.759</v>
      </c>
      <c r="L5080">
        <v>52</v>
      </c>
      <c r="M5080">
        <v>1</v>
      </c>
      <c r="N5080">
        <v>1</v>
      </c>
      <c r="O5080">
        <v>36.374000000000002</v>
      </c>
      <c r="P5080">
        <v>17.088848840000001</v>
      </c>
      <c r="Q5080">
        <v>7.7409999999999997</v>
      </c>
    </row>
    <row r="5081" spans="1:17" x14ac:dyDescent="0.2">
      <c r="A5081" s="30" t="str">
        <f>IF(C5081&amp;G5081&amp;D5081&lt;&gt;'Funnel setup'!$K$3&amp;'Funnel setup'!$K$4&amp;'Funnel setup'!$K$5,".",IF(A5080=".",1,A5080+1))</f>
        <v>.</v>
      </c>
      <c r="B5081" s="431" t="str">
        <f t="shared" si="79"/>
        <v>Knee Replacement PrimaryProviderSTOCKPORT NHS FOUNDATION TRUST (RWJ)Oxford Knee Score</v>
      </c>
      <c r="C5081" t="s">
        <v>249</v>
      </c>
      <c r="D5081" t="s">
        <v>1</v>
      </c>
      <c r="E5081" t="s">
        <v>3142</v>
      </c>
      <c r="F5081" t="s">
        <v>3143</v>
      </c>
      <c r="G5081" t="s">
        <v>16</v>
      </c>
      <c r="H5081">
        <v>193</v>
      </c>
      <c r="I5081">
        <v>18.818999999999999</v>
      </c>
      <c r="J5081">
        <v>37.472000000000001</v>
      </c>
      <c r="K5081">
        <v>18.652999999999999</v>
      </c>
      <c r="L5081">
        <v>187</v>
      </c>
      <c r="M5081">
        <v>1</v>
      </c>
      <c r="N5081">
        <v>5</v>
      </c>
      <c r="O5081">
        <v>37.054000000000002</v>
      </c>
      <c r="P5081">
        <v>17.768280690000001</v>
      </c>
      <c r="Q5081">
        <v>7.7229999999999999</v>
      </c>
    </row>
    <row r="5082" spans="1:17" x14ac:dyDescent="0.2">
      <c r="A5082" s="30" t="str">
        <f>IF(C5082&amp;G5082&amp;D5082&lt;&gt;'Funnel setup'!$K$3&amp;'Funnel setup'!$K$4&amp;'Funnel setup'!$K$5,".",IF(A5081=".",1,A5081+1))</f>
        <v>.</v>
      </c>
      <c r="B5082" s="431" t="str">
        <f t="shared" si="79"/>
        <v>Knee Replacement PrimaryProviderSURREY AND SUSSEX HEALTHCARE NHS TRUST (RTP)Oxford Knee Score</v>
      </c>
      <c r="C5082" t="s">
        <v>249</v>
      </c>
      <c r="D5082" t="s">
        <v>1</v>
      </c>
      <c r="E5082" t="s">
        <v>3145</v>
      </c>
      <c r="F5082" t="s">
        <v>3146</v>
      </c>
      <c r="G5082" t="s">
        <v>16</v>
      </c>
      <c r="H5082">
        <v>128</v>
      </c>
      <c r="I5082">
        <v>19.57</v>
      </c>
      <c r="J5082">
        <v>33.25</v>
      </c>
      <c r="K5082">
        <v>13.68</v>
      </c>
      <c r="L5082">
        <v>114</v>
      </c>
      <c r="M5082">
        <v>5</v>
      </c>
      <c r="N5082">
        <v>9</v>
      </c>
      <c r="O5082">
        <v>33.042000000000002</v>
      </c>
      <c r="P5082">
        <v>13.756795370000001</v>
      </c>
      <c r="Q5082">
        <v>8.6310000000000002</v>
      </c>
    </row>
    <row r="5083" spans="1:17" x14ac:dyDescent="0.2">
      <c r="A5083" s="30" t="str">
        <f>IF(C5083&amp;G5083&amp;D5083&lt;&gt;'Funnel setup'!$K$3&amp;'Funnel setup'!$K$4&amp;'Funnel setup'!$K$5,".",IF(A5082=".",1,A5082+1))</f>
        <v>.</v>
      </c>
      <c r="B5083" s="431" t="str">
        <f t="shared" si="79"/>
        <v>Knee Replacement PrimaryProviderTAMESIDE HOSPITAL NHS FOUNDATION TRUST (RMP)Oxford Knee Score</v>
      </c>
      <c r="C5083" t="s">
        <v>249</v>
      </c>
      <c r="D5083" t="s">
        <v>1</v>
      </c>
      <c r="E5083" t="s">
        <v>3148</v>
      </c>
      <c r="F5083" t="s">
        <v>3149</v>
      </c>
      <c r="G5083" t="s">
        <v>16</v>
      </c>
      <c r="H5083">
        <v>138</v>
      </c>
      <c r="I5083">
        <v>17.405999999999999</v>
      </c>
      <c r="J5083">
        <v>33.731999999999999</v>
      </c>
      <c r="K5083">
        <v>16.326000000000001</v>
      </c>
      <c r="L5083">
        <v>129</v>
      </c>
      <c r="M5083">
        <v>3</v>
      </c>
      <c r="N5083">
        <v>6</v>
      </c>
      <c r="O5083">
        <v>35.526000000000003</v>
      </c>
      <c r="P5083">
        <v>16.240489480000001</v>
      </c>
      <c r="Q5083">
        <v>8.5890000000000004</v>
      </c>
    </row>
    <row r="5084" spans="1:17" x14ac:dyDescent="0.2">
      <c r="A5084" s="30" t="str">
        <f>IF(C5084&amp;G5084&amp;D5084&lt;&gt;'Funnel setup'!$K$3&amp;'Funnel setup'!$K$4&amp;'Funnel setup'!$K$5,".",IF(A5083=".",1,A5083+1))</f>
        <v>.</v>
      </c>
      <c r="B5084" s="431" t="str">
        <f t="shared" si="79"/>
        <v>Knee Replacement PrimaryProviderTAUNTON AND SOMERSET NHS FOUNDATION TRUST (RBA)Oxford Knee Score</v>
      </c>
      <c r="C5084" t="s">
        <v>249</v>
      </c>
      <c r="D5084" t="s">
        <v>1</v>
      </c>
      <c r="E5084" t="s">
        <v>3151</v>
      </c>
      <c r="F5084" t="s">
        <v>3152</v>
      </c>
      <c r="G5084" t="s">
        <v>16</v>
      </c>
      <c r="H5084">
        <v>81</v>
      </c>
      <c r="I5084">
        <v>17.84</v>
      </c>
      <c r="J5084">
        <v>35.988</v>
      </c>
      <c r="K5084">
        <v>18.148</v>
      </c>
      <c r="L5084">
        <v>79</v>
      </c>
      <c r="M5084">
        <v>2</v>
      </c>
      <c r="N5084">
        <v>0</v>
      </c>
      <c r="O5084">
        <v>36.643999999999998</v>
      </c>
      <c r="P5084">
        <v>17.358618060000001</v>
      </c>
      <c r="Q5084">
        <v>7.8140000000000001</v>
      </c>
    </row>
    <row r="5085" spans="1:17" x14ac:dyDescent="0.2">
      <c r="A5085" s="30" t="str">
        <f>IF(C5085&amp;G5085&amp;D5085&lt;&gt;'Funnel setup'!$K$3&amp;'Funnel setup'!$K$4&amp;'Funnel setup'!$K$5,".",IF(A5084=".",1,A5084+1))</f>
        <v>.</v>
      </c>
      <c r="B5085" s="431" t="str">
        <f t="shared" si="79"/>
        <v>Knee Replacement PrimaryProviderTHE BERKSHIRE INDEPENDENT HOSPITAL (NVC02)Oxford Knee Score</v>
      </c>
      <c r="C5085" t="s">
        <v>249</v>
      </c>
      <c r="D5085" t="s">
        <v>1</v>
      </c>
      <c r="E5085" t="s">
        <v>3118</v>
      </c>
      <c r="F5085" t="s">
        <v>3119</v>
      </c>
      <c r="G5085" t="s">
        <v>16</v>
      </c>
      <c r="H5085">
        <v>46</v>
      </c>
      <c r="I5085">
        <v>20.152000000000001</v>
      </c>
      <c r="J5085">
        <v>37.261000000000003</v>
      </c>
      <c r="K5085">
        <v>17.109000000000002</v>
      </c>
      <c r="L5085">
        <v>45</v>
      </c>
      <c r="M5085">
        <v>0</v>
      </c>
      <c r="N5085">
        <v>1</v>
      </c>
      <c r="O5085">
        <v>35.841000000000001</v>
      </c>
      <c r="P5085">
        <v>16.555770500000001</v>
      </c>
      <c r="Q5085">
        <v>6.6909999999999998</v>
      </c>
    </row>
    <row r="5086" spans="1:17" x14ac:dyDescent="0.2">
      <c r="A5086" s="30" t="str">
        <f>IF(C5086&amp;G5086&amp;D5086&lt;&gt;'Funnel setup'!$K$3&amp;'Funnel setup'!$K$4&amp;'Funnel setup'!$K$5,".",IF(A5085=".",1,A5085+1))</f>
        <v>.</v>
      </c>
      <c r="B5086" s="431" t="str">
        <f t="shared" si="79"/>
        <v>Knee Replacement PrimaryProviderTHE DUDLEY GROUP NHS FOUNDATION TRUST (RNA)Oxford Knee Score</v>
      </c>
      <c r="C5086" t="s">
        <v>249</v>
      </c>
      <c r="D5086" t="s">
        <v>1</v>
      </c>
      <c r="E5086" t="s">
        <v>3121</v>
      </c>
      <c r="F5086" t="s">
        <v>3122</v>
      </c>
      <c r="G5086" t="s">
        <v>16</v>
      </c>
      <c r="H5086">
        <v>326</v>
      </c>
      <c r="I5086">
        <v>17.067</v>
      </c>
      <c r="J5086">
        <v>34.844000000000001</v>
      </c>
      <c r="K5086">
        <v>17.776</v>
      </c>
      <c r="L5086">
        <v>311</v>
      </c>
      <c r="M5086">
        <v>3</v>
      </c>
      <c r="N5086">
        <v>12</v>
      </c>
      <c r="O5086">
        <v>36.161999999999999</v>
      </c>
      <c r="P5086">
        <v>16.876617939999999</v>
      </c>
      <c r="Q5086">
        <v>8.8239999999999998</v>
      </c>
    </row>
    <row r="5087" spans="1:17" x14ac:dyDescent="0.2">
      <c r="A5087" s="30" t="str">
        <f>IF(C5087&amp;G5087&amp;D5087&lt;&gt;'Funnel setup'!$K$3&amp;'Funnel setup'!$K$4&amp;'Funnel setup'!$K$5,".",IF(A5086=".",1,A5086+1))</f>
        <v>.</v>
      </c>
      <c r="B5087" s="431" t="str">
        <f t="shared" si="79"/>
        <v>Knee Replacement PrimaryProviderTHE HILLINGDON HOSPITALS NHS FOUNDATION TRUST (RAS)Oxford Knee Score</v>
      </c>
      <c r="C5087" t="s">
        <v>249</v>
      </c>
      <c r="D5087" t="s">
        <v>1</v>
      </c>
      <c r="E5087" t="s">
        <v>3115</v>
      </c>
      <c r="F5087" t="s">
        <v>3116</v>
      </c>
      <c r="G5087" t="s">
        <v>16</v>
      </c>
      <c r="H5087">
        <v>183</v>
      </c>
      <c r="I5087">
        <v>20.18</v>
      </c>
      <c r="J5087">
        <v>32.332999999999998</v>
      </c>
      <c r="K5087">
        <v>12.153</v>
      </c>
      <c r="L5087">
        <v>166</v>
      </c>
      <c r="M5087">
        <v>3</v>
      </c>
      <c r="N5087">
        <v>14</v>
      </c>
      <c r="O5087">
        <v>32.466000000000001</v>
      </c>
      <c r="P5087">
        <v>13.18078609</v>
      </c>
      <c r="Q5087">
        <v>8.5540000000000003</v>
      </c>
    </row>
    <row r="5088" spans="1:17" x14ac:dyDescent="0.2">
      <c r="A5088" s="30" t="str">
        <f>IF(C5088&amp;G5088&amp;D5088&lt;&gt;'Funnel setup'!$K$3&amp;'Funnel setup'!$K$4&amp;'Funnel setup'!$K$5,".",IF(A5087=".",1,A5087+1))</f>
        <v>.</v>
      </c>
      <c r="B5088" s="431" t="str">
        <f t="shared" si="79"/>
        <v>Knee Replacement PrimaryProviderTHE HORDER CENTRE - ST JOHNS ROAD (NXM01)Oxford Knee Score</v>
      </c>
      <c r="C5088" t="s">
        <v>249</v>
      </c>
      <c r="D5088" t="s">
        <v>1</v>
      </c>
      <c r="E5088" t="s">
        <v>4222</v>
      </c>
      <c r="F5088" t="s">
        <v>4223</v>
      </c>
      <c r="G5088" t="s">
        <v>16</v>
      </c>
      <c r="H5088">
        <v>655</v>
      </c>
      <c r="I5088">
        <v>23.934000000000001</v>
      </c>
      <c r="J5088">
        <v>38.774000000000001</v>
      </c>
      <c r="K5088">
        <v>14.84</v>
      </c>
      <c r="L5088">
        <v>621</v>
      </c>
      <c r="M5088">
        <v>8</v>
      </c>
      <c r="N5088">
        <v>26</v>
      </c>
      <c r="O5088">
        <v>36.353000000000002</v>
      </c>
      <c r="P5088">
        <v>17.068124950000001</v>
      </c>
      <c r="Q5088">
        <v>7.0570000000000004</v>
      </c>
    </row>
    <row r="5089" spans="1:17" x14ac:dyDescent="0.2">
      <c r="A5089" s="30" t="str">
        <f>IF(C5089&amp;G5089&amp;D5089&lt;&gt;'Funnel setup'!$K$3&amp;'Funnel setup'!$K$4&amp;'Funnel setup'!$K$5,".",IF(A5088=".",1,A5088+1))</f>
        <v>.</v>
      </c>
      <c r="B5089" s="431" t="str">
        <f t="shared" si="79"/>
        <v>Knee Replacement PrimaryProviderTHE NEWCASTLE UPON TYNE HOSPITALS NHS FOUNDATION TRUST (RTD)Oxford Knee Score</v>
      </c>
      <c r="C5089" t="s">
        <v>249</v>
      </c>
      <c r="D5089" t="s">
        <v>1</v>
      </c>
      <c r="E5089" t="s">
        <v>3748</v>
      </c>
      <c r="F5089" t="s">
        <v>3749</v>
      </c>
      <c r="G5089" t="s">
        <v>16</v>
      </c>
      <c r="H5089">
        <v>424</v>
      </c>
      <c r="I5089">
        <v>18.940999999999999</v>
      </c>
      <c r="J5089">
        <v>35.255000000000003</v>
      </c>
      <c r="K5089">
        <v>16.314</v>
      </c>
      <c r="L5089">
        <v>399</v>
      </c>
      <c r="M5089">
        <v>6</v>
      </c>
      <c r="N5089">
        <v>19</v>
      </c>
      <c r="O5089">
        <v>35.875</v>
      </c>
      <c r="P5089">
        <v>16.5892698</v>
      </c>
      <c r="Q5089">
        <v>8.3949999999999996</v>
      </c>
    </row>
    <row r="5090" spans="1:17" x14ac:dyDescent="0.2">
      <c r="A5090" s="30" t="str">
        <f>IF(C5090&amp;G5090&amp;D5090&lt;&gt;'Funnel setup'!$K$3&amp;'Funnel setup'!$K$4&amp;'Funnel setup'!$K$5,".",IF(A5089=".",1,A5089+1))</f>
        <v>.</v>
      </c>
      <c r="B5090" s="431" t="str">
        <f t="shared" si="79"/>
        <v>Knee Replacement PrimaryProviderTHE PRINCESS ALEXANDRA HOSPITAL NHS TRUST (RQW)Oxford Knee Score</v>
      </c>
      <c r="C5090" t="s">
        <v>249</v>
      </c>
      <c r="D5090" t="s">
        <v>1</v>
      </c>
      <c r="E5090" t="s">
        <v>3751</v>
      </c>
      <c r="F5090" t="s">
        <v>3752</v>
      </c>
      <c r="G5090" t="s">
        <v>16</v>
      </c>
      <c r="H5090">
        <v>200</v>
      </c>
      <c r="I5090">
        <v>20.02</v>
      </c>
      <c r="J5090">
        <v>35.645000000000003</v>
      </c>
      <c r="K5090">
        <v>15.625</v>
      </c>
      <c r="L5090">
        <v>187</v>
      </c>
      <c r="M5090">
        <v>2</v>
      </c>
      <c r="N5090">
        <v>11</v>
      </c>
      <c r="O5090">
        <v>35.311999999999998</v>
      </c>
      <c r="P5090">
        <v>16.026973430000002</v>
      </c>
      <c r="Q5090">
        <v>8.6150000000000002</v>
      </c>
    </row>
    <row r="5091" spans="1:17" x14ac:dyDescent="0.2">
      <c r="A5091" s="30" t="str">
        <f>IF(C5091&amp;G5091&amp;D5091&lt;&gt;'Funnel setup'!$K$3&amp;'Funnel setup'!$K$4&amp;'Funnel setup'!$K$5,".",IF(A5090=".",1,A5090+1))</f>
        <v>.</v>
      </c>
      <c r="B5091" s="431" t="str">
        <f t="shared" si="79"/>
        <v>Knee Replacement PrimaryProviderTHE QUEEN ELIZABETH HOSPITAL, KING'S LYNN, NHS FOUNDATION TRUST (RCX)Oxford Knee Score</v>
      </c>
      <c r="C5091" t="s">
        <v>249</v>
      </c>
      <c r="D5091" t="s">
        <v>1</v>
      </c>
      <c r="E5091" t="s">
        <v>3754</v>
      </c>
      <c r="F5091" t="s">
        <v>3755</v>
      </c>
      <c r="G5091" t="s">
        <v>16</v>
      </c>
      <c r="H5091">
        <v>154</v>
      </c>
      <c r="I5091">
        <v>17.981000000000002</v>
      </c>
      <c r="J5091">
        <v>35.161999999999999</v>
      </c>
      <c r="K5091">
        <v>17.181999999999999</v>
      </c>
      <c r="L5091">
        <v>146</v>
      </c>
      <c r="M5091">
        <v>2</v>
      </c>
      <c r="N5091">
        <v>6</v>
      </c>
      <c r="O5091">
        <v>35.868000000000002</v>
      </c>
      <c r="P5091">
        <v>16.583088830000001</v>
      </c>
      <c r="Q5091">
        <v>8.57</v>
      </c>
    </row>
    <row r="5092" spans="1:17" x14ac:dyDescent="0.2">
      <c r="A5092" s="30" t="str">
        <f>IF(C5092&amp;G5092&amp;D5092&lt;&gt;'Funnel setup'!$K$3&amp;'Funnel setup'!$K$4&amp;'Funnel setup'!$K$5,".",IF(A5091=".",1,A5091+1))</f>
        <v>.</v>
      </c>
      <c r="B5092" s="431" t="str">
        <f t="shared" si="79"/>
        <v>Knee Replacement PrimaryProviderTHE ROBERT JONES AND AGNES HUNT ORTHOPAEDIC HOSPITAL NHS FOUNDATION TRUST (RL1)Oxford Knee Score</v>
      </c>
      <c r="C5092" t="s">
        <v>249</v>
      </c>
      <c r="D5092" t="s">
        <v>1</v>
      </c>
      <c r="E5092" t="s">
        <v>4496</v>
      </c>
      <c r="F5092" t="s">
        <v>4497</v>
      </c>
      <c r="G5092" t="s">
        <v>16</v>
      </c>
      <c r="H5092">
        <v>504</v>
      </c>
      <c r="I5092">
        <v>18.213999999999999</v>
      </c>
      <c r="J5092">
        <v>37.582999999999998</v>
      </c>
      <c r="K5092">
        <v>19.369</v>
      </c>
      <c r="L5092">
        <v>492</v>
      </c>
      <c r="M5092">
        <v>0</v>
      </c>
      <c r="N5092">
        <v>12</v>
      </c>
      <c r="O5092">
        <v>36.268000000000001</v>
      </c>
      <c r="P5092">
        <v>16.982747719999999</v>
      </c>
      <c r="Q5092">
        <v>8.0470000000000006</v>
      </c>
    </row>
    <row r="5093" spans="1:17" x14ac:dyDescent="0.2">
      <c r="A5093" s="30" t="str">
        <f>IF(C5093&amp;G5093&amp;D5093&lt;&gt;'Funnel setup'!$K$3&amp;'Funnel setup'!$K$4&amp;'Funnel setup'!$K$5,".",IF(A5092=".",1,A5092+1))</f>
        <v>.</v>
      </c>
      <c r="B5093" s="431" t="str">
        <f t="shared" si="79"/>
        <v>Knee Replacement PrimaryProviderTHE ROTHERHAM NHS FOUNDATION TRUST (RFR)Oxford Knee Score</v>
      </c>
      <c r="C5093" t="s">
        <v>249</v>
      </c>
      <c r="D5093" t="s">
        <v>1</v>
      </c>
      <c r="E5093" t="s">
        <v>3739</v>
      </c>
      <c r="F5093" t="s">
        <v>3740</v>
      </c>
      <c r="G5093" t="s">
        <v>16</v>
      </c>
      <c r="H5093">
        <v>185</v>
      </c>
      <c r="I5093">
        <v>16.47</v>
      </c>
      <c r="J5093">
        <v>34.308</v>
      </c>
      <c r="K5093">
        <v>17.838000000000001</v>
      </c>
      <c r="L5093">
        <v>174</v>
      </c>
      <c r="M5093">
        <v>2</v>
      </c>
      <c r="N5093">
        <v>9</v>
      </c>
      <c r="O5093">
        <v>36.082999999999998</v>
      </c>
      <c r="P5093">
        <v>16.797703850000001</v>
      </c>
      <c r="Q5093">
        <v>8.6509999999999998</v>
      </c>
    </row>
    <row r="5094" spans="1:17" x14ac:dyDescent="0.2">
      <c r="A5094" s="30" t="str">
        <f>IF(C5094&amp;G5094&amp;D5094&lt;&gt;'Funnel setup'!$K$3&amp;'Funnel setup'!$K$4&amp;'Funnel setup'!$K$5,".",IF(A5093=".",1,A5093+1))</f>
        <v>.</v>
      </c>
      <c r="B5094" s="431" t="str">
        <f t="shared" si="79"/>
        <v>Knee Replacement PrimaryProviderTHE ROYAL BOURNEMOUTH AND CHRISTCHURCH HOSPITALS NHS FOUNDATION TRUST (RDZ)Oxford Knee Score</v>
      </c>
      <c r="C5094" t="s">
        <v>249</v>
      </c>
      <c r="D5094" t="s">
        <v>1</v>
      </c>
      <c r="E5094" t="s">
        <v>3742</v>
      </c>
      <c r="F5094" t="s">
        <v>3743</v>
      </c>
      <c r="G5094" t="s">
        <v>16</v>
      </c>
      <c r="H5094">
        <v>400</v>
      </c>
      <c r="I5094">
        <v>19.989999999999998</v>
      </c>
      <c r="J5094">
        <v>35.295000000000002</v>
      </c>
      <c r="K5094">
        <v>15.305</v>
      </c>
      <c r="L5094">
        <v>370</v>
      </c>
      <c r="M5094">
        <v>4</v>
      </c>
      <c r="N5094">
        <v>26</v>
      </c>
      <c r="O5094">
        <v>34.624000000000002</v>
      </c>
      <c r="P5094">
        <v>15.33902234</v>
      </c>
      <c r="Q5094">
        <v>8.7240000000000002</v>
      </c>
    </row>
    <row r="5095" spans="1:17" x14ac:dyDescent="0.2">
      <c r="A5095" s="30" t="str">
        <f>IF(C5095&amp;G5095&amp;D5095&lt;&gt;'Funnel setup'!$K$3&amp;'Funnel setup'!$K$4&amp;'Funnel setup'!$K$5,".",IF(A5094=".",1,A5094+1))</f>
        <v>.</v>
      </c>
      <c r="B5095" s="431" t="str">
        <f t="shared" si="79"/>
        <v>Knee Replacement PrimaryProviderTHE ROYAL ORTHOPAEDIC HOSPITAL NHS FOUNDATION TRUST (RRJ)Oxford Knee Score</v>
      </c>
      <c r="C5095" t="s">
        <v>249</v>
      </c>
      <c r="D5095" t="s">
        <v>1</v>
      </c>
      <c r="E5095" t="s">
        <v>4480</v>
      </c>
      <c r="F5095" t="s">
        <v>4481</v>
      </c>
      <c r="G5095" t="s">
        <v>16</v>
      </c>
      <c r="H5095">
        <v>261</v>
      </c>
      <c r="I5095">
        <v>18.82</v>
      </c>
      <c r="J5095">
        <v>34.298999999999999</v>
      </c>
      <c r="K5095">
        <v>15.478999999999999</v>
      </c>
      <c r="L5095">
        <v>242</v>
      </c>
      <c r="M5095">
        <v>4</v>
      </c>
      <c r="N5095">
        <v>15</v>
      </c>
      <c r="O5095">
        <v>35.445999999999998</v>
      </c>
      <c r="P5095">
        <v>16.160359679999999</v>
      </c>
      <c r="Q5095">
        <v>8.6620000000000008</v>
      </c>
    </row>
    <row r="5096" spans="1:17" x14ac:dyDescent="0.2">
      <c r="A5096" s="30" t="str">
        <f>IF(C5096&amp;G5096&amp;D5096&lt;&gt;'Funnel setup'!$K$3&amp;'Funnel setup'!$K$4&amp;'Funnel setup'!$K$5,".",IF(A5095=".",1,A5095+1))</f>
        <v>.</v>
      </c>
      <c r="B5096" s="431" t="str">
        <f t="shared" si="79"/>
        <v>Knee Replacement PrimaryProviderTHE ROYAL WOLVERHAMPTON NHS TRUST (RL4)Oxford Knee Score</v>
      </c>
      <c r="C5096" t="s">
        <v>249</v>
      </c>
      <c r="D5096" t="s">
        <v>1</v>
      </c>
      <c r="E5096" t="s">
        <v>3382</v>
      </c>
      <c r="F5096" t="s">
        <v>3383</v>
      </c>
      <c r="G5096" t="s">
        <v>16</v>
      </c>
      <c r="H5096">
        <v>319</v>
      </c>
      <c r="I5096">
        <v>17.385999999999999</v>
      </c>
      <c r="J5096">
        <v>33.633000000000003</v>
      </c>
      <c r="K5096">
        <v>16.248000000000001</v>
      </c>
      <c r="L5096">
        <v>301</v>
      </c>
      <c r="M5096">
        <v>4</v>
      </c>
      <c r="N5096">
        <v>14</v>
      </c>
      <c r="O5096">
        <v>35.799999999999997</v>
      </c>
      <c r="P5096">
        <v>16.514192990000002</v>
      </c>
      <c r="Q5096">
        <v>8.7050000000000001</v>
      </c>
    </row>
    <row r="5097" spans="1:17" x14ac:dyDescent="0.2">
      <c r="A5097" s="30" t="str">
        <f>IF(C5097&amp;G5097&amp;D5097&lt;&gt;'Funnel setup'!$K$3&amp;'Funnel setup'!$K$4&amp;'Funnel setup'!$K$5,".",IF(A5096=".",1,A5096+1))</f>
        <v>.</v>
      </c>
      <c r="B5097" s="431" t="str">
        <f t="shared" si="79"/>
        <v>Knee Replacement PrimaryProviderTHE SPENCER WING (RAMSGATE ROAD) (NN801)Oxford Knee Score</v>
      </c>
      <c r="C5097" t="s">
        <v>249</v>
      </c>
      <c r="D5097" t="s">
        <v>1</v>
      </c>
      <c r="E5097" t="s">
        <v>3757</v>
      </c>
      <c r="F5097" t="s">
        <v>3758</v>
      </c>
      <c r="G5097" t="s">
        <v>16</v>
      </c>
      <c r="H5097">
        <v>27</v>
      </c>
      <c r="I5097">
        <v>20.074000000000002</v>
      </c>
      <c r="J5097">
        <v>37.481000000000002</v>
      </c>
      <c r="K5097">
        <v>17.407</v>
      </c>
      <c r="L5097">
        <v>26</v>
      </c>
      <c r="M5097">
        <v>1</v>
      </c>
      <c r="N5097">
        <v>0</v>
      </c>
      <c r="O5097" t="s">
        <v>53</v>
      </c>
      <c r="P5097" t="s">
        <v>53</v>
      </c>
      <c r="Q5097" t="s">
        <v>53</v>
      </c>
    </row>
    <row r="5098" spans="1:17" x14ac:dyDescent="0.2">
      <c r="A5098" s="30" t="str">
        <f>IF(C5098&amp;G5098&amp;D5098&lt;&gt;'Funnel setup'!$K$3&amp;'Funnel setup'!$K$4&amp;'Funnel setup'!$K$5,".",IF(A5097=".",1,A5097+1))</f>
        <v>.</v>
      </c>
      <c r="B5098" s="431" t="str">
        <f t="shared" si="79"/>
        <v>Knee Replacement PrimaryProviderTHE YORKSHIRE CLINIC (NVC20)Oxford Knee Score</v>
      </c>
      <c r="C5098" t="s">
        <v>249</v>
      </c>
      <c r="D5098" t="s">
        <v>1</v>
      </c>
      <c r="E5098" t="s">
        <v>3760</v>
      </c>
      <c r="F5098" t="s">
        <v>3761</v>
      </c>
      <c r="G5098" t="s">
        <v>16</v>
      </c>
      <c r="H5098">
        <v>60</v>
      </c>
      <c r="I5098">
        <v>22.433</v>
      </c>
      <c r="J5098">
        <v>36.383000000000003</v>
      </c>
      <c r="K5098">
        <v>13.95</v>
      </c>
      <c r="L5098">
        <v>52</v>
      </c>
      <c r="M5098">
        <v>1</v>
      </c>
      <c r="N5098">
        <v>7</v>
      </c>
      <c r="O5098">
        <v>34.353999999999999</v>
      </c>
      <c r="P5098">
        <v>15.06841854</v>
      </c>
      <c r="Q5098">
        <v>7.976</v>
      </c>
    </row>
    <row r="5099" spans="1:17" x14ac:dyDescent="0.2">
      <c r="A5099" s="30" t="str">
        <f>IF(C5099&amp;G5099&amp;D5099&lt;&gt;'Funnel setup'!$K$3&amp;'Funnel setup'!$K$4&amp;'Funnel setup'!$K$5,".",IF(A5098=".",1,A5098+1))</f>
        <v>.</v>
      </c>
      <c r="B5099" s="431" t="str">
        <f t="shared" si="79"/>
        <v>Knee Replacement PrimaryProviderTORBAY AND SOUTH DEVON NHS FOUNDATION TRUST (RA9)Oxford Knee Score</v>
      </c>
      <c r="C5099" t="s">
        <v>249</v>
      </c>
      <c r="D5099" t="s">
        <v>1</v>
      </c>
      <c r="E5099" t="s">
        <v>3480</v>
      </c>
      <c r="F5099" t="s">
        <v>6584</v>
      </c>
      <c r="G5099" t="s">
        <v>16</v>
      </c>
      <c r="H5099">
        <v>225</v>
      </c>
      <c r="I5099">
        <v>17.981999999999999</v>
      </c>
      <c r="J5099">
        <v>34.177999999999997</v>
      </c>
      <c r="K5099">
        <v>16.196000000000002</v>
      </c>
      <c r="L5099">
        <v>213</v>
      </c>
      <c r="M5099">
        <v>2</v>
      </c>
      <c r="N5099">
        <v>10</v>
      </c>
      <c r="O5099">
        <v>35.024000000000001</v>
      </c>
      <c r="P5099">
        <v>15.73873509</v>
      </c>
      <c r="Q5099">
        <v>9.14</v>
      </c>
    </row>
    <row r="5100" spans="1:17" x14ac:dyDescent="0.2">
      <c r="A5100" s="30" t="str">
        <f>IF(C5100&amp;G5100&amp;D5100&lt;&gt;'Funnel setup'!$K$3&amp;'Funnel setup'!$K$4&amp;'Funnel setup'!$K$5,".",IF(A5099=".",1,A5099+1))</f>
        <v>.</v>
      </c>
      <c r="B5100" s="431" t="str">
        <f t="shared" si="79"/>
        <v>Knee Replacement PrimaryProviderTYNESIDE SURGICAL SERVICES AT THE NORTH EAST NHS SURGERY CENTRE (NN401)Oxford Knee Score</v>
      </c>
      <c r="C5100" t="s">
        <v>249</v>
      </c>
      <c r="D5100" t="s">
        <v>1</v>
      </c>
      <c r="E5100" t="s">
        <v>4506</v>
      </c>
      <c r="F5100" t="s">
        <v>4507</v>
      </c>
      <c r="G5100" t="s">
        <v>16</v>
      </c>
      <c r="H5100">
        <v>8</v>
      </c>
      <c r="I5100">
        <v>18.75</v>
      </c>
      <c r="J5100">
        <v>34.375</v>
      </c>
      <c r="K5100">
        <v>15.625</v>
      </c>
      <c r="L5100">
        <v>8</v>
      </c>
      <c r="M5100">
        <v>0</v>
      </c>
      <c r="N5100">
        <v>0</v>
      </c>
      <c r="O5100" t="s">
        <v>53</v>
      </c>
      <c r="P5100" t="s">
        <v>53</v>
      </c>
      <c r="Q5100" t="s">
        <v>53</v>
      </c>
    </row>
    <row r="5101" spans="1:17" x14ac:dyDescent="0.2">
      <c r="A5101" s="30" t="str">
        <f>IF(C5101&amp;G5101&amp;D5101&lt;&gt;'Funnel setup'!$K$3&amp;'Funnel setup'!$K$4&amp;'Funnel setup'!$K$5,".",IF(A5100=".",1,A5100+1))</f>
        <v>.</v>
      </c>
      <c r="B5101" s="431" t="str">
        <f t="shared" si="79"/>
        <v>Knee Replacement PrimaryProviderUNITED LINCOLNSHIRE HOSPITALS NHS TRUST (RWD)Oxford Knee Score</v>
      </c>
      <c r="C5101" t="s">
        <v>249</v>
      </c>
      <c r="D5101" t="s">
        <v>1</v>
      </c>
      <c r="E5101" t="s">
        <v>3763</v>
      </c>
      <c r="F5101" t="s">
        <v>3764</v>
      </c>
      <c r="G5101" t="s">
        <v>16</v>
      </c>
      <c r="H5101">
        <v>271</v>
      </c>
      <c r="I5101">
        <v>18.542000000000002</v>
      </c>
      <c r="J5101">
        <v>34.731000000000002</v>
      </c>
      <c r="K5101">
        <v>16.187999999999999</v>
      </c>
      <c r="L5101">
        <v>245</v>
      </c>
      <c r="M5101">
        <v>6</v>
      </c>
      <c r="N5101">
        <v>20</v>
      </c>
      <c r="O5101">
        <v>35.009</v>
      </c>
      <c r="P5101">
        <v>15.72402052</v>
      </c>
      <c r="Q5101">
        <v>9.26</v>
      </c>
    </row>
    <row r="5102" spans="1:17" x14ac:dyDescent="0.2">
      <c r="A5102" s="30" t="str">
        <f>IF(C5102&amp;G5102&amp;D5102&lt;&gt;'Funnel setup'!$K$3&amp;'Funnel setup'!$K$4&amp;'Funnel setup'!$K$5,".",IF(A5101=".",1,A5101+1))</f>
        <v>.</v>
      </c>
      <c r="B5102" s="431" t="str">
        <f t="shared" si="79"/>
        <v>Knee Replacement PrimaryProviderUNIVERSITY COLLEGE LONDON HOSPITALS NHS FOUNDATION TRUST (RRV)Oxford Knee Score</v>
      </c>
      <c r="C5102" t="s">
        <v>249</v>
      </c>
      <c r="D5102" t="s">
        <v>1</v>
      </c>
      <c r="E5102" t="s">
        <v>3766</v>
      </c>
      <c r="F5102" t="s">
        <v>3767</v>
      </c>
      <c r="G5102" t="s">
        <v>16</v>
      </c>
      <c r="H5102">
        <v>67</v>
      </c>
      <c r="I5102">
        <v>20.402999999999999</v>
      </c>
      <c r="J5102">
        <v>32.835999999999999</v>
      </c>
      <c r="K5102">
        <v>12.433</v>
      </c>
      <c r="L5102">
        <v>55</v>
      </c>
      <c r="M5102">
        <v>1</v>
      </c>
      <c r="N5102">
        <v>11</v>
      </c>
      <c r="O5102">
        <v>33.762</v>
      </c>
      <c r="P5102">
        <v>14.476255650000001</v>
      </c>
      <c r="Q5102">
        <v>9.7799999999999994</v>
      </c>
    </row>
    <row r="5103" spans="1:17" x14ac:dyDescent="0.2">
      <c r="A5103" s="30" t="str">
        <f>IF(C5103&amp;G5103&amp;D5103&lt;&gt;'Funnel setup'!$K$3&amp;'Funnel setup'!$K$4&amp;'Funnel setup'!$K$5,".",IF(A5102=".",1,A5102+1))</f>
        <v>.</v>
      </c>
      <c r="B5103" s="431" t="str">
        <f t="shared" si="79"/>
        <v>Knee Replacement PrimaryProviderUNIVERSITY HOSPITAL OF SOUTH MANCHESTER NHS FOUNDATION TRUST (RM2)Oxford Knee Score</v>
      </c>
      <c r="C5103" t="s">
        <v>249</v>
      </c>
      <c r="D5103" t="s">
        <v>1</v>
      </c>
      <c r="E5103" t="s">
        <v>3769</v>
      </c>
      <c r="F5103" t="s">
        <v>3770</v>
      </c>
      <c r="G5103" t="s">
        <v>16</v>
      </c>
      <c r="H5103">
        <v>124</v>
      </c>
      <c r="I5103">
        <v>20.218</v>
      </c>
      <c r="J5103">
        <v>34.024000000000001</v>
      </c>
      <c r="K5103">
        <v>13.805999999999999</v>
      </c>
      <c r="L5103">
        <v>113</v>
      </c>
      <c r="M5103">
        <v>0</v>
      </c>
      <c r="N5103">
        <v>11</v>
      </c>
      <c r="O5103">
        <v>34.360999999999997</v>
      </c>
      <c r="P5103">
        <v>15.07574142</v>
      </c>
      <c r="Q5103">
        <v>8.8879999999999999</v>
      </c>
    </row>
    <row r="5104" spans="1:17" x14ac:dyDescent="0.2">
      <c r="A5104" s="30" t="str">
        <f>IF(C5104&amp;G5104&amp;D5104&lt;&gt;'Funnel setup'!$K$3&amp;'Funnel setup'!$K$4&amp;'Funnel setup'!$K$5,".",IF(A5103=".",1,A5103+1))</f>
        <v>.</v>
      </c>
      <c r="B5104" s="431" t="str">
        <f t="shared" si="79"/>
        <v>Knee Replacement PrimaryProviderUNIVERSITY HOSPITAL SOUTHAMPTON NHS FOUNDATION TRUST (RHM)Oxford Knee Score</v>
      </c>
      <c r="C5104" t="s">
        <v>249</v>
      </c>
      <c r="D5104" t="s">
        <v>1</v>
      </c>
      <c r="E5104" t="s">
        <v>3772</v>
      </c>
      <c r="F5104" t="s">
        <v>3773</v>
      </c>
      <c r="G5104" t="s">
        <v>16</v>
      </c>
      <c r="H5104">
        <v>181</v>
      </c>
      <c r="I5104">
        <v>18.552</v>
      </c>
      <c r="J5104">
        <v>34.402999999999999</v>
      </c>
      <c r="K5104">
        <v>15.851000000000001</v>
      </c>
      <c r="L5104">
        <v>168</v>
      </c>
      <c r="M5104">
        <v>2</v>
      </c>
      <c r="N5104">
        <v>11</v>
      </c>
      <c r="O5104">
        <v>35.002000000000002</v>
      </c>
      <c r="P5104">
        <v>15.716649260000001</v>
      </c>
      <c r="Q5104">
        <v>8.7119999999999997</v>
      </c>
    </row>
    <row r="5105" spans="1:17" x14ac:dyDescent="0.2">
      <c r="A5105" s="30" t="str">
        <f>IF(C5105&amp;G5105&amp;D5105&lt;&gt;'Funnel setup'!$K$3&amp;'Funnel setup'!$K$4&amp;'Funnel setup'!$K$5,".",IF(A5104=".",1,A5104+1))</f>
        <v>.</v>
      </c>
      <c r="B5105" s="431" t="str">
        <f t="shared" si="79"/>
        <v>Knee Replacement PrimaryProviderUNIVERSITY HOSPITALS COVENTRY AND WARWICKSHIRE NHS TRUST (RKB)Oxford Knee Score</v>
      </c>
      <c r="C5105" t="s">
        <v>249</v>
      </c>
      <c r="D5105" t="s">
        <v>1</v>
      </c>
      <c r="E5105" t="s">
        <v>3715</v>
      </c>
      <c r="F5105" t="s">
        <v>3716</v>
      </c>
      <c r="G5105" t="s">
        <v>16</v>
      </c>
      <c r="H5105">
        <v>321</v>
      </c>
      <c r="I5105">
        <v>19.809999999999999</v>
      </c>
      <c r="J5105">
        <v>34.847000000000001</v>
      </c>
      <c r="K5105">
        <v>15.037000000000001</v>
      </c>
      <c r="L5105">
        <v>295</v>
      </c>
      <c r="M5105">
        <v>6</v>
      </c>
      <c r="N5105">
        <v>20</v>
      </c>
      <c r="O5105">
        <v>34.912999999999997</v>
      </c>
      <c r="P5105">
        <v>15.627984939999999</v>
      </c>
      <c r="Q5105">
        <v>8.9629999999999992</v>
      </c>
    </row>
    <row r="5106" spans="1:17" x14ac:dyDescent="0.2">
      <c r="A5106" s="30" t="str">
        <f>IF(C5106&amp;G5106&amp;D5106&lt;&gt;'Funnel setup'!$K$3&amp;'Funnel setup'!$K$4&amp;'Funnel setup'!$K$5,".",IF(A5105=".",1,A5105+1))</f>
        <v>.</v>
      </c>
      <c r="B5106" s="431" t="str">
        <f t="shared" si="79"/>
        <v>Knee Replacement PrimaryProviderUNIVERSITY HOSPITALS OF LEICESTER NHS TRUST (RWE)Oxford Knee Score</v>
      </c>
      <c r="C5106" t="s">
        <v>249</v>
      </c>
      <c r="D5106" t="s">
        <v>1</v>
      </c>
      <c r="E5106" t="s">
        <v>3718</v>
      </c>
      <c r="F5106" t="s">
        <v>3719</v>
      </c>
      <c r="G5106" t="s">
        <v>16</v>
      </c>
      <c r="H5106">
        <v>633</v>
      </c>
      <c r="I5106">
        <v>16.741</v>
      </c>
      <c r="J5106">
        <v>33.902000000000001</v>
      </c>
      <c r="K5106">
        <v>17.161000000000001</v>
      </c>
      <c r="L5106">
        <v>606</v>
      </c>
      <c r="M5106">
        <v>8</v>
      </c>
      <c r="N5106">
        <v>19</v>
      </c>
      <c r="O5106">
        <v>35.317</v>
      </c>
      <c r="P5106">
        <v>16.031276170000002</v>
      </c>
      <c r="Q5106">
        <v>8.4160000000000004</v>
      </c>
    </row>
    <row r="5107" spans="1:17" x14ac:dyDescent="0.2">
      <c r="A5107" s="30" t="str">
        <f>IF(C5107&amp;G5107&amp;D5107&lt;&gt;'Funnel setup'!$K$3&amp;'Funnel setup'!$K$4&amp;'Funnel setup'!$K$5,".",IF(A5106=".",1,A5106+1))</f>
        <v>.</v>
      </c>
      <c r="B5107" s="431" t="str">
        <f t="shared" si="79"/>
        <v>Knee Replacement PrimaryProviderUNIVERSITY HOSPITALS OF MORECAMBE BAY NHS FOUNDATION TRUST (RTX)Oxford Knee Score</v>
      </c>
      <c r="C5107" t="s">
        <v>249</v>
      </c>
      <c r="D5107" t="s">
        <v>1</v>
      </c>
      <c r="E5107" t="s">
        <v>3721</v>
      </c>
      <c r="F5107" t="s">
        <v>3722</v>
      </c>
      <c r="G5107" t="s">
        <v>16</v>
      </c>
      <c r="H5107">
        <v>370</v>
      </c>
      <c r="I5107">
        <v>20.265000000000001</v>
      </c>
      <c r="J5107">
        <v>36.47</v>
      </c>
      <c r="K5107">
        <v>16.204999999999998</v>
      </c>
      <c r="L5107">
        <v>350</v>
      </c>
      <c r="M5107">
        <v>2</v>
      </c>
      <c r="N5107">
        <v>18</v>
      </c>
      <c r="O5107">
        <v>35.857999999999997</v>
      </c>
      <c r="P5107">
        <v>16.572428089999999</v>
      </c>
      <c r="Q5107">
        <v>8.2859999999999996</v>
      </c>
    </row>
    <row r="5108" spans="1:17" x14ac:dyDescent="0.2">
      <c r="A5108" s="30" t="str">
        <f>IF(C5108&amp;G5108&amp;D5108&lt;&gt;'Funnel setup'!$K$3&amp;'Funnel setup'!$K$4&amp;'Funnel setup'!$K$5,".",IF(A5107=".",1,A5107+1))</f>
        <v>.</v>
      </c>
      <c r="B5108" s="431" t="str">
        <f t="shared" si="79"/>
        <v>Knee Replacement PrimaryProviderUNIVERSITY HOSPITALS OF NORTH MIDLANDS NHS TRUST (RJE)Oxford Knee Score</v>
      </c>
      <c r="C5108" t="s">
        <v>249</v>
      </c>
      <c r="D5108" t="s">
        <v>1</v>
      </c>
      <c r="E5108" t="s">
        <v>3724</v>
      </c>
      <c r="F5108" t="s">
        <v>3725</v>
      </c>
      <c r="G5108" t="s">
        <v>16</v>
      </c>
      <c r="H5108">
        <v>227</v>
      </c>
      <c r="I5108">
        <v>14.401</v>
      </c>
      <c r="J5108">
        <v>31.088000000000001</v>
      </c>
      <c r="K5108">
        <v>16.687000000000001</v>
      </c>
      <c r="L5108">
        <v>212</v>
      </c>
      <c r="M5108">
        <v>1</v>
      </c>
      <c r="N5108">
        <v>14</v>
      </c>
      <c r="O5108">
        <v>34.091999999999999</v>
      </c>
      <c r="P5108">
        <v>14.80617792</v>
      </c>
      <c r="Q5108">
        <v>9.1159999999999997</v>
      </c>
    </row>
    <row r="5109" spans="1:17" x14ac:dyDescent="0.2">
      <c r="A5109" s="30" t="str">
        <f>IF(C5109&amp;G5109&amp;D5109&lt;&gt;'Funnel setup'!$K$3&amp;'Funnel setup'!$K$4&amp;'Funnel setup'!$K$5,".",IF(A5108=".",1,A5108+1))</f>
        <v>.</v>
      </c>
      <c r="B5109" s="431" t="str">
        <f t="shared" si="79"/>
        <v>Knee Replacement PrimaryProviderWALSALL HEALTHCARE NHS TRUST (RBK)Oxford Knee Score</v>
      </c>
      <c r="C5109" t="s">
        <v>249</v>
      </c>
      <c r="D5109" t="s">
        <v>1</v>
      </c>
      <c r="E5109" t="s">
        <v>3727</v>
      </c>
      <c r="F5109" t="s">
        <v>3728</v>
      </c>
      <c r="G5109" t="s">
        <v>16</v>
      </c>
      <c r="H5109">
        <v>116</v>
      </c>
      <c r="I5109">
        <v>15.69</v>
      </c>
      <c r="J5109">
        <v>30.844999999999999</v>
      </c>
      <c r="K5109">
        <v>15.154999999999999</v>
      </c>
      <c r="L5109">
        <v>107</v>
      </c>
      <c r="M5109">
        <v>2</v>
      </c>
      <c r="N5109">
        <v>7</v>
      </c>
      <c r="O5109">
        <v>33.493000000000002</v>
      </c>
      <c r="P5109">
        <v>14.20746692</v>
      </c>
      <c r="Q5109">
        <v>9.4239999999999995</v>
      </c>
    </row>
    <row r="5110" spans="1:17" x14ac:dyDescent="0.2">
      <c r="A5110" s="30" t="str">
        <f>IF(C5110&amp;G5110&amp;D5110&lt;&gt;'Funnel setup'!$K$3&amp;'Funnel setup'!$K$4&amp;'Funnel setup'!$K$5,".",IF(A5109=".",1,A5109+1))</f>
        <v>.</v>
      </c>
      <c r="B5110" s="431" t="str">
        <f t="shared" si="79"/>
        <v>Knee Replacement PrimaryProviderWARRINGTON AND HALTON HOSPITALS NHS FOUNDATION TRUST (RWW)Oxford Knee Score</v>
      </c>
      <c r="C5110" t="s">
        <v>249</v>
      </c>
      <c r="D5110" t="s">
        <v>1</v>
      </c>
      <c r="E5110" t="s">
        <v>3730</v>
      </c>
      <c r="F5110" t="s">
        <v>3731</v>
      </c>
      <c r="G5110" t="s">
        <v>16</v>
      </c>
      <c r="H5110">
        <v>246</v>
      </c>
      <c r="I5110">
        <v>16.922999999999998</v>
      </c>
      <c r="J5110">
        <v>35.662999999999997</v>
      </c>
      <c r="K5110">
        <v>18.739999999999998</v>
      </c>
      <c r="L5110">
        <v>234</v>
      </c>
      <c r="M5110">
        <v>5</v>
      </c>
      <c r="N5110">
        <v>7</v>
      </c>
      <c r="O5110">
        <v>36.677</v>
      </c>
      <c r="P5110">
        <v>17.391820790000001</v>
      </c>
      <c r="Q5110">
        <v>8.2360000000000007</v>
      </c>
    </row>
    <row r="5111" spans="1:17" x14ac:dyDescent="0.2">
      <c r="A5111" s="30" t="str">
        <f>IF(C5111&amp;G5111&amp;D5111&lt;&gt;'Funnel setup'!$K$3&amp;'Funnel setup'!$K$4&amp;'Funnel setup'!$K$5,".",IF(A5110=".",1,A5110+1))</f>
        <v>.</v>
      </c>
      <c r="B5111" s="431" t="str">
        <f t="shared" si="79"/>
        <v>Knee Replacement PrimaryProviderWEST HERTFORDSHIRE HOSPITALS NHS TRUST (RWG)Oxford Knee Score</v>
      </c>
      <c r="C5111" t="s">
        <v>249</v>
      </c>
      <c r="D5111" t="s">
        <v>1</v>
      </c>
      <c r="E5111" t="s">
        <v>3733</v>
      </c>
      <c r="F5111" t="s">
        <v>3734</v>
      </c>
      <c r="G5111" t="s">
        <v>16</v>
      </c>
      <c r="H5111">
        <v>246</v>
      </c>
      <c r="I5111">
        <v>18.541</v>
      </c>
      <c r="J5111">
        <v>34.747999999999998</v>
      </c>
      <c r="K5111">
        <v>16.207000000000001</v>
      </c>
      <c r="L5111">
        <v>224</v>
      </c>
      <c r="M5111">
        <v>5</v>
      </c>
      <c r="N5111">
        <v>17</v>
      </c>
      <c r="O5111">
        <v>34.847999999999999</v>
      </c>
      <c r="P5111">
        <v>15.56299724</v>
      </c>
      <c r="Q5111">
        <v>9.1539999999999999</v>
      </c>
    </row>
    <row r="5112" spans="1:17" x14ac:dyDescent="0.2">
      <c r="A5112" s="30" t="str">
        <f>IF(C5112&amp;G5112&amp;D5112&lt;&gt;'Funnel setup'!$K$3&amp;'Funnel setup'!$K$4&amp;'Funnel setup'!$K$5,".",IF(A5111=".",1,A5111+1))</f>
        <v>.</v>
      </c>
      <c r="B5112" s="431" t="str">
        <f t="shared" si="79"/>
        <v>Knee Replacement PrimaryProviderWEST MIDDLESEX UNIVERSITY HOSPITAL NHS TRUST (RFW)Oxford Knee Score</v>
      </c>
      <c r="C5112" t="s">
        <v>249</v>
      </c>
      <c r="D5112" t="s">
        <v>1</v>
      </c>
      <c r="E5112" t="s">
        <v>3736</v>
      </c>
      <c r="F5112" t="s">
        <v>3737</v>
      </c>
      <c r="G5112" t="s">
        <v>16</v>
      </c>
      <c r="H5112">
        <v>63</v>
      </c>
      <c r="I5112">
        <v>17.475999999999999</v>
      </c>
      <c r="J5112">
        <v>33.317</v>
      </c>
      <c r="K5112">
        <v>15.840999999999999</v>
      </c>
      <c r="L5112">
        <v>60</v>
      </c>
      <c r="M5112">
        <v>0</v>
      </c>
      <c r="N5112">
        <v>3</v>
      </c>
      <c r="O5112">
        <v>34.863999999999997</v>
      </c>
      <c r="P5112">
        <v>15.57847482</v>
      </c>
      <c r="Q5112">
        <v>8.7929999999999993</v>
      </c>
    </row>
    <row r="5113" spans="1:17" x14ac:dyDescent="0.2">
      <c r="A5113" s="30" t="str">
        <f>IF(C5113&amp;G5113&amp;D5113&lt;&gt;'Funnel setup'!$K$3&amp;'Funnel setup'!$K$4&amp;'Funnel setup'!$K$5,".",IF(A5112=".",1,A5112+1))</f>
        <v>.</v>
      </c>
      <c r="B5113" s="431" t="str">
        <f t="shared" si="79"/>
        <v>Knee Replacement PrimaryProviderWEST MIDLANDS HOSPITAL (NVC21)Oxford Knee Score</v>
      </c>
      <c r="C5113" t="s">
        <v>249</v>
      </c>
      <c r="D5113" t="s">
        <v>1</v>
      </c>
      <c r="E5113" t="s">
        <v>3709</v>
      </c>
      <c r="F5113" t="s">
        <v>3710</v>
      </c>
      <c r="G5113" t="s">
        <v>16</v>
      </c>
      <c r="H5113">
        <v>64</v>
      </c>
      <c r="I5113">
        <v>18.202999999999999</v>
      </c>
      <c r="J5113">
        <v>35.890999999999998</v>
      </c>
      <c r="K5113">
        <v>17.687999999999999</v>
      </c>
      <c r="L5113">
        <v>62</v>
      </c>
      <c r="M5113">
        <v>2</v>
      </c>
      <c r="N5113">
        <v>0</v>
      </c>
      <c r="O5113">
        <v>36.706000000000003</v>
      </c>
      <c r="P5113">
        <v>17.420830219999999</v>
      </c>
      <c r="Q5113">
        <v>8.0519999999999996</v>
      </c>
    </row>
    <row r="5114" spans="1:17" x14ac:dyDescent="0.2">
      <c r="A5114" s="30" t="str">
        <f>IF(C5114&amp;G5114&amp;D5114&lt;&gt;'Funnel setup'!$K$3&amp;'Funnel setup'!$K$4&amp;'Funnel setup'!$K$5,".",IF(A5113=".",1,A5113+1))</f>
        <v>.</v>
      </c>
      <c r="B5114" s="431" t="str">
        <f t="shared" si="79"/>
        <v>Knee Replacement PrimaryProviderWEST SUFFOLK NHS FOUNDATION TRUST (RGR)Oxford Knee Score</v>
      </c>
      <c r="C5114" t="s">
        <v>249</v>
      </c>
      <c r="D5114" t="s">
        <v>1</v>
      </c>
      <c r="E5114" t="s">
        <v>3712</v>
      </c>
      <c r="F5114" t="s">
        <v>3713</v>
      </c>
      <c r="G5114" t="s">
        <v>16</v>
      </c>
      <c r="H5114">
        <v>193</v>
      </c>
      <c r="I5114">
        <v>19.824000000000002</v>
      </c>
      <c r="J5114">
        <v>34.533999999999999</v>
      </c>
      <c r="K5114">
        <v>14.71</v>
      </c>
      <c r="L5114">
        <v>178</v>
      </c>
      <c r="M5114">
        <v>3</v>
      </c>
      <c r="N5114">
        <v>12</v>
      </c>
      <c r="O5114">
        <v>33.771000000000001</v>
      </c>
      <c r="P5114">
        <v>14.48602311</v>
      </c>
      <c r="Q5114">
        <v>8.4160000000000004</v>
      </c>
    </row>
    <row r="5115" spans="1:17" x14ac:dyDescent="0.2">
      <c r="A5115" s="30" t="str">
        <f>IF(C5115&amp;G5115&amp;D5115&lt;&gt;'Funnel setup'!$K$3&amp;'Funnel setup'!$K$4&amp;'Funnel setup'!$K$5,".",IF(A5114=".",1,A5114+1))</f>
        <v>.</v>
      </c>
      <c r="B5115" s="431" t="str">
        <f t="shared" si="79"/>
        <v>Knee Replacement PrimaryProviderWESTERN SUSSEX HOSPITALS NHS FOUNDATION TRUST (RYR)Oxford Knee Score</v>
      </c>
      <c r="C5115" t="s">
        <v>249</v>
      </c>
      <c r="D5115" t="s">
        <v>1</v>
      </c>
      <c r="E5115" t="s">
        <v>3706</v>
      </c>
      <c r="F5115" t="s">
        <v>3707</v>
      </c>
      <c r="G5115" t="s">
        <v>16</v>
      </c>
      <c r="H5115">
        <v>274</v>
      </c>
      <c r="I5115">
        <v>18.484999999999999</v>
      </c>
      <c r="J5115">
        <v>34.762999999999998</v>
      </c>
      <c r="K5115">
        <v>16.277000000000001</v>
      </c>
      <c r="L5115">
        <v>251</v>
      </c>
      <c r="M5115">
        <v>4</v>
      </c>
      <c r="N5115">
        <v>19</v>
      </c>
      <c r="O5115">
        <v>34.805999999999997</v>
      </c>
      <c r="P5115">
        <v>15.520625069999999</v>
      </c>
      <c r="Q5115">
        <v>9.0609999999999999</v>
      </c>
    </row>
    <row r="5116" spans="1:17" x14ac:dyDescent="0.2">
      <c r="A5116" s="30" t="str">
        <f>IF(C5116&amp;G5116&amp;D5116&lt;&gt;'Funnel setup'!$K$3&amp;'Funnel setup'!$K$4&amp;'Funnel setup'!$K$5,".",IF(A5115=".",1,A5115+1))</f>
        <v>.</v>
      </c>
      <c r="B5116" s="431" t="str">
        <f t="shared" si="79"/>
        <v>Knee Replacement PrimaryProviderWESTON AREA HEALTH NHS TRUST (RA3)Oxford Knee Score</v>
      </c>
      <c r="C5116" t="s">
        <v>249</v>
      </c>
      <c r="D5116" t="s">
        <v>1</v>
      </c>
      <c r="E5116" t="s">
        <v>3525</v>
      </c>
      <c r="F5116" t="s">
        <v>3526</v>
      </c>
      <c r="G5116" t="s">
        <v>16</v>
      </c>
      <c r="H5116">
        <v>95</v>
      </c>
      <c r="I5116">
        <v>18.757999999999999</v>
      </c>
      <c r="J5116">
        <v>36.337000000000003</v>
      </c>
      <c r="K5116">
        <v>17.579000000000001</v>
      </c>
      <c r="L5116">
        <v>92</v>
      </c>
      <c r="M5116">
        <v>0</v>
      </c>
      <c r="N5116">
        <v>3</v>
      </c>
      <c r="O5116">
        <v>36.383000000000003</v>
      </c>
      <c r="P5116">
        <v>17.097754810000001</v>
      </c>
      <c r="Q5116">
        <v>7.9720000000000004</v>
      </c>
    </row>
    <row r="5117" spans="1:17" x14ac:dyDescent="0.2">
      <c r="A5117" s="30" t="str">
        <f>IF(C5117&amp;G5117&amp;D5117&lt;&gt;'Funnel setup'!$K$3&amp;'Funnel setup'!$K$4&amp;'Funnel setup'!$K$5,".",IF(A5116=".",1,A5116+1))</f>
        <v>.</v>
      </c>
      <c r="B5117" s="431" t="str">
        <f t="shared" si="79"/>
        <v>Knee Replacement PrimaryProviderWINFIELD HOSPITAL (NVC22)Oxford Knee Score</v>
      </c>
      <c r="C5117" t="s">
        <v>249</v>
      </c>
      <c r="D5117" t="s">
        <v>1</v>
      </c>
      <c r="E5117" t="s">
        <v>3534</v>
      </c>
      <c r="F5117" t="s">
        <v>3535</v>
      </c>
      <c r="G5117" t="s">
        <v>16</v>
      </c>
      <c r="H5117">
        <v>51</v>
      </c>
      <c r="I5117">
        <v>21.960999999999999</v>
      </c>
      <c r="J5117">
        <v>37.765000000000001</v>
      </c>
      <c r="K5117">
        <v>15.804</v>
      </c>
      <c r="L5117">
        <v>50</v>
      </c>
      <c r="M5117">
        <v>1</v>
      </c>
      <c r="N5117">
        <v>0</v>
      </c>
      <c r="O5117">
        <v>35.542000000000002</v>
      </c>
      <c r="P5117">
        <v>16.256451550000001</v>
      </c>
      <c r="Q5117">
        <v>6.1189999999999998</v>
      </c>
    </row>
    <row r="5118" spans="1:17" x14ac:dyDescent="0.2">
      <c r="A5118" s="30" t="str">
        <f>IF(C5118&amp;G5118&amp;D5118&lt;&gt;'Funnel setup'!$K$3&amp;'Funnel setup'!$K$4&amp;'Funnel setup'!$K$5,".",IF(A5117=".",1,A5117+1))</f>
        <v>.</v>
      </c>
      <c r="B5118" s="431" t="str">
        <f t="shared" si="79"/>
        <v>Knee Replacement PrimaryProviderWIRRAL UNIVERSITY TEACHING HOSPITAL NHS FOUNDATION TRUST (RBL)Oxford Knee Score</v>
      </c>
      <c r="C5118" t="s">
        <v>249</v>
      </c>
      <c r="D5118" t="s">
        <v>1</v>
      </c>
      <c r="E5118" t="s">
        <v>3537</v>
      </c>
      <c r="F5118" t="s">
        <v>3538</v>
      </c>
      <c r="G5118" t="s">
        <v>16</v>
      </c>
      <c r="H5118">
        <v>281</v>
      </c>
      <c r="I5118">
        <v>18.744</v>
      </c>
      <c r="J5118">
        <v>35.106999999999999</v>
      </c>
      <c r="K5118">
        <v>16.363</v>
      </c>
      <c r="L5118">
        <v>267</v>
      </c>
      <c r="M5118">
        <v>1</v>
      </c>
      <c r="N5118">
        <v>13</v>
      </c>
      <c r="O5118">
        <v>35.933</v>
      </c>
      <c r="P5118">
        <v>16.647138550000001</v>
      </c>
      <c r="Q5118">
        <v>8.6620000000000008</v>
      </c>
    </row>
    <row r="5119" spans="1:17" x14ac:dyDescent="0.2">
      <c r="A5119" s="30" t="str">
        <f>IF(C5119&amp;G5119&amp;D5119&lt;&gt;'Funnel setup'!$K$3&amp;'Funnel setup'!$K$4&amp;'Funnel setup'!$K$5,".",IF(A5118=".",1,A5118+1))</f>
        <v>.</v>
      </c>
      <c r="B5119" s="431" t="str">
        <f t="shared" si="79"/>
        <v>Knee Replacement PrimaryProviderWOODLAND HOSPITAL (NVC23)Oxford Knee Score</v>
      </c>
      <c r="C5119" t="s">
        <v>249</v>
      </c>
      <c r="D5119" t="s">
        <v>1</v>
      </c>
      <c r="E5119" t="s">
        <v>3540</v>
      </c>
      <c r="F5119" t="s">
        <v>3541</v>
      </c>
      <c r="G5119" t="s">
        <v>16</v>
      </c>
      <c r="H5119">
        <v>154</v>
      </c>
      <c r="I5119">
        <v>16.539000000000001</v>
      </c>
      <c r="J5119">
        <v>36.031999999999996</v>
      </c>
      <c r="K5119">
        <v>19.494</v>
      </c>
      <c r="L5119">
        <v>147</v>
      </c>
      <c r="M5119">
        <v>2</v>
      </c>
      <c r="N5119">
        <v>5</v>
      </c>
      <c r="O5119">
        <v>36.99</v>
      </c>
      <c r="P5119">
        <v>17.70413624</v>
      </c>
      <c r="Q5119">
        <v>8.9429999999999996</v>
      </c>
    </row>
    <row r="5120" spans="1:17" x14ac:dyDescent="0.2">
      <c r="A5120" s="30" t="str">
        <f>IF(C5120&amp;G5120&amp;D5120&lt;&gt;'Funnel setup'!$K$3&amp;'Funnel setup'!$K$4&amp;'Funnel setup'!$K$5,".",IF(A5119=".",1,A5119+1))</f>
        <v>.</v>
      </c>
      <c r="B5120" s="431" t="str">
        <f t="shared" si="79"/>
        <v>Knee Replacement PrimaryProviderWOODTHORPE HOSPITAL (NVC40)Oxford Knee Score</v>
      </c>
      <c r="C5120" t="s">
        <v>249</v>
      </c>
      <c r="D5120" t="s">
        <v>1</v>
      </c>
      <c r="E5120" t="s">
        <v>3689</v>
      </c>
      <c r="F5120" t="s">
        <v>6576</v>
      </c>
      <c r="G5120" t="s">
        <v>16</v>
      </c>
      <c r="H5120">
        <v>163</v>
      </c>
      <c r="I5120">
        <v>22.012</v>
      </c>
      <c r="J5120">
        <v>37.362000000000002</v>
      </c>
      <c r="K5120">
        <v>15.35</v>
      </c>
      <c r="L5120">
        <v>151</v>
      </c>
      <c r="M5120">
        <v>2</v>
      </c>
      <c r="N5120">
        <v>10</v>
      </c>
      <c r="O5120">
        <v>35.512</v>
      </c>
      <c r="P5120">
        <v>16.22703611</v>
      </c>
      <c r="Q5120">
        <v>8.4529999999999994</v>
      </c>
    </row>
    <row r="5121" spans="1:17" x14ac:dyDescent="0.2">
      <c r="A5121" s="30" t="str">
        <f>IF(C5121&amp;G5121&amp;D5121&lt;&gt;'Funnel setup'!$K$3&amp;'Funnel setup'!$K$4&amp;'Funnel setup'!$K$5,".",IF(A5120=".",1,A5120+1))</f>
        <v>.</v>
      </c>
      <c r="B5121" s="431" t="str">
        <f t="shared" si="79"/>
        <v>Knee Replacement PrimaryProviderWORCESTERSHIRE ACUTE HOSPITALS NHS TRUST (RWP)Oxford Knee Score</v>
      </c>
      <c r="C5121" t="s">
        <v>249</v>
      </c>
      <c r="D5121" t="s">
        <v>1</v>
      </c>
      <c r="E5121" t="s">
        <v>3543</v>
      </c>
      <c r="F5121" t="s">
        <v>3544</v>
      </c>
      <c r="G5121" t="s">
        <v>16</v>
      </c>
      <c r="H5121">
        <v>252</v>
      </c>
      <c r="I5121">
        <v>20.417000000000002</v>
      </c>
      <c r="J5121">
        <v>36.567</v>
      </c>
      <c r="K5121">
        <v>16.151</v>
      </c>
      <c r="L5121">
        <v>237</v>
      </c>
      <c r="M5121">
        <v>4</v>
      </c>
      <c r="N5121">
        <v>11</v>
      </c>
      <c r="O5121">
        <v>35.784999999999997</v>
      </c>
      <c r="P5121">
        <v>16.499455579999999</v>
      </c>
      <c r="Q5121">
        <v>8.1880000000000006</v>
      </c>
    </row>
    <row r="5122" spans="1:17" x14ac:dyDescent="0.2">
      <c r="A5122" s="30" t="str">
        <f>IF(C5122&amp;G5122&amp;D5122&lt;&gt;'Funnel setup'!$K$3&amp;'Funnel setup'!$K$4&amp;'Funnel setup'!$K$5,".",IF(A5121=".",1,A5121+1))</f>
        <v>.</v>
      </c>
      <c r="B5122" s="431" t="str">
        <f t="shared" si="79"/>
        <v>Knee Replacement PrimaryProviderWRIGHTINGTON, WIGAN AND LEIGH NHS FOUNDATION TRUST (RRF)Oxford Knee Score</v>
      </c>
      <c r="C5122" t="s">
        <v>249</v>
      </c>
      <c r="D5122" t="s">
        <v>1</v>
      </c>
      <c r="E5122" t="s">
        <v>3546</v>
      </c>
      <c r="F5122" t="s">
        <v>3547</v>
      </c>
      <c r="G5122" t="s">
        <v>16</v>
      </c>
      <c r="H5122">
        <v>289</v>
      </c>
      <c r="I5122">
        <v>16.920000000000002</v>
      </c>
      <c r="J5122">
        <v>33.869</v>
      </c>
      <c r="K5122">
        <v>16.948</v>
      </c>
      <c r="L5122">
        <v>275</v>
      </c>
      <c r="M5122">
        <v>4</v>
      </c>
      <c r="N5122">
        <v>10</v>
      </c>
      <c r="O5122">
        <v>35.683</v>
      </c>
      <c r="P5122">
        <v>16.397474540000001</v>
      </c>
      <c r="Q5122">
        <v>8.2929999999999993</v>
      </c>
    </row>
    <row r="5123" spans="1:17" x14ac:dyDescent="0.2">
      <c r="A5123" s="30" t="str">
        <f>IF(C5123&amp;G5123&amp;D5123&lt;&gt;'Funnel setup'!$K$3&amp;'Funnel setup'!$K$4&amp;'Funnel setup'!$K$5,".",IF(A5122=".",1,A5122+1))</f>
        <v>.</v>
      </c>
      <c r="B5123" s="431" t="str">
        <f t="shared" ref="B5123:B5186" si="80">C5123&amp;D5123&amp;F5123&amp;G5123</f>
        <v>Knee Replacement PrimaryProviderWYE VALLEY NHS TRUST (RLQ)Oxford Knee Score</v>
      </c>
      <c r="C5123" t="s">
        <v>249</v>
      </c>
      <c r="D5123" t="s">
        <v>1</v>
      </c>
      <c r="E5123" t="s">
        <v>3517</v>
      </c>
      <c r="F5123" t="s">
        <v>3518</v>
      </c>
      <c r="G5123" t="s">
        <v>16</v>
      </c>
      <c r="H5123">
        <v>111</v>
      </c>
      <c r="I5123">
        <v>20.928000000000001</v>
      </c>
      <c r="J5123">
        <v>36.892000000000003</v>
      </c>
      <c r="K5123">
        <v>15.964</v>
      </c>
      <c r="L5123">
        <v>107</v>
      </c>
      <c r="M5123">
        <v>0</v>
      </c>
      <c r="N5123">
        <v>4</v>
      </c>
      <c r="O5123">
        <v>36.023000000000003</v>
      </c>
      <c r="P5123">
        <v>16.737839869999998</v>
      </c>
      <c r="Q5123">
        <v>8.0939999999999994</v>
      </c>
    </row>
    <row r="5124" spans="1:17" x14ac:dyDescent="0.2">
      <c r="A5124" s="30" t="str">
        <f>IF(C5124&amp;G5124&amp;D5124&lt;&gt;'Funnel setup'!$K$3&amp;'Funnel setup'!$K$4&amp;'Funnel setup'!$K$5,".",IF(A5123=".",1,A5123+1))</f>
        <v>.</v>
      </c>
      <c r="B5124" s="431" t="str">
        <f t="shared" si="80"/>
        <v>Knee Replacement PrimaryProviderYEOVIL DISTRICT HOSPITAL NHS FOUNDATION TRUST (RA4)Oxford Knee Score</v>
      </c>
      <c r="C5124" t="s">
        <v>249</v>
      </c>
      <c r="D5124" t="s">
        <v>1</v>
      </c>
      <c r="E5124" t="s">
        <v>3520</v>
      </c>
      <c r="F5124" t="s">
        <v>341</v>
      </c>
      <c r="G5124" t="s">
        <v>16</v>
      </c>
      <c r="H5124">
        <v>71</v>
      </c>
      <c r="I5124">
        <v>19.393999999999998</v>
      </c>
      <c r="J5124">
        <v>36.606000000000002</v>
      </c>
      <c r="K5124">
        <v>17.210999999999999</v>
      </c>
      <c r="L5124">
        <v>67</v>
      </c>
      <c r="M5124">
        <v>1</v>
      </c>
      <c r="N5124">
        <v>3</v>
      </c>
      <c r="O5124">
        <v>36.326999999999998</v>
      </c>
      <c r="P5124">
        <v>17.041447590000001</v>
      </c>
      <c r="Q5124">
        <v>9.0540000000000003</v>
      </c>
    </row>
    <row r="5125" spans="1:17" x14ac:dyDescent="0.2">
      <c r="A5125" s="30" t="str">
        <f>IF(C5125&amp;G5125&amp;D5125&lt;&gt;'Funnel setup'!$K$3&amp;'Funnel setup'!$K$4&amp;'Funnel setup'!$K$5,".",IF(A5124=".",1,A5124+1))</f>
        <v>.</v>
      </c>
      <c r="B5125" s="431" t="str">
        <f t="shared" si="80"/>
        <v>Knee Replacement PrimaryProviderYORK TEACHING HOSPITAL NHS FOUNDATION TRUST (RCB)Oxford Knee Score</v>
      </c>
      <c r="C5125" t="s">
        <v>249</v>
      </c>
      <c r="D5125" t="s">
        <v>1</v>
      </c>
      <c r="E5125" t="s">
        <v>3515</v>
      </c>
      <c r="F5125" t="s">
        <v>343</v>
      </c>
      <c r="G5125" t="s">
        <v>16</v>
      </c>
      <c r="H5125">
        <v>283</v>
      </c>
      <c r="I5125">
        <v>19.12</v>
      </c>
      <c r="J5125">
        <v>35.753</v>
      </c>
      <c r="K5125">
        <v>16.632999999999999</v>
      </c>
      <c r="L5125">
        <v>268</v>
      </c>
      <c r="M5125">
        <v>1</v>
      </c>
      <c r="N5125">
        <v>14</v>
      </c>
      <c r="O5125">
        <v>35.674999999999997</v>
      </c>
      <c r="P5125">
        <v>16.38925678</v>
      </c>
      <c r="Q5125">
        <v>8.4689999999999994</v>
      </c>
    </row>
    <row r="5126" spans="1:17" x14ac:dyDescent="0.2">
      <c r="A5126" s="30" t="str">
        <f>IF(C5126&amp;G5126&amp;D5126&lt;&gt;'Funnel setup'!$K$3&amp;'Funnel setup'!$K$4&amp;'Funnel setup'!$K$5,".",IF(A5125=".",1,A5125+1))</f>
        <v>.</v>
      </c>
      <c r="B5126" s="431" t="str">
        <f t="shared" si="80"/>
        <v>Knee Replacement RevisionCCG of GP PracticeNHS AIREDALE, WHARFEDALE AND CRAVEN CCG (02N)EQ VAS</v>
      </c>
      <c r="C5126" t="s">
        <v>250</v>
      </c>
      <c r="D5126" t="s">
        <v>87</v>
      </c>
      <c r="E5126" t="s">
        <v>566</v>
      </c>
      <c r="F5126" t="s">
        <v>567</v>
      </c>
      <c r="G5126" t="s">
        <v>179</v>
      </c>
      <c r="H5126" t="s">
        <v>53</v>
      </c>
      <c r="I5126" t="s">
        <v>53</v>
      </c>
      <c r="J5126" t="s">
        <v>53</v>
      </c>
      <c r="K5126" t="s">
        <v>53</v>
      </c>
      <c r="L5126" t="s">
        <v>53</v>
      </c>
      <c r="M5126" t="s">
        <v>53</v>
      </c>
      <c r="N5126" t="s">
        <v>53</v>
      </c>
      <c r="O5126" t="s">
        <v>53</v>
      </c>
      <c r="P5126" t="s">
        <v>53</v>
      </c>
      <c r="Q5126" t="s">
        <v>53</v>
      </c>
    </row>
    <row r="5127" spans="1:17" x14ac:dyDescent="0.2">
      <c r="A5127" s="30" t="str">
        <f>IF(C5127&amp;G5127&amp;D5127&lt;&gt;'Funnel setup'!$K$3&amp;'Funnel setup'!$K$4&amp;'Funnel setup'!$K$5,".",IF(A5126=".",1,A5126+1))</f>
        <v>.</v>
      </c>
      <c r="B5127" s="431" t="str">
        <f t="shared" si="80"/>
        <v>Knee Replacement RevisionCCG of GP PracticeNHS ASHFORD CCG (09C)EQ VAS</v>
      </c>
      <c r="C5127" t="s">
        <v>250</v>
      </c>
      <c r="D5127" t="s">
        <v>87</v>
      </c>
      <c r="E5127" t="s">
        <v>569</v>
      </c>
      <c r="F5127" t="s">
        <v>339</v>
      </c>
      <c r="G5127" t="s">
        <v>179</v>
      </c>
      <c r="H5127" t="s">
        <v>53</v>
      </c>
      <c r="I5127" t="s">
        <v>53</v>
      </c>
      <c r="J5127" t="s">
        <v>53</v>
      </c>
      <c r="K5127" t="s">
        <v>53</v>
      </c>
      <c r="L5127" t="s">
        <v>53</v>
      </c>
      <c r="M5127" t="s">
        <v>53</v>
      </c>
      <c r="N5127" t="s">
        <v>53</v>
      </c>
      <c r="O5127" t="s">
        <v>53</v>
      </c>
      <c r="P5127" t="s">
        <v>53</v>
      </c>
      <c r="Q5127" t="s">
        <v>53</v>
      </c>
    </row>
    <row r="5128" spans="1:17" x14ac:dyDescent="0.2">
      <c r="A5128" s="30" t="str">
        <f>IF(C5128&amp;G5128&amp;D5128&lt;&gt;'Funnel setup'!$K$3&amp;'Funnel setup'!$K$4&amp;'Funnel setup'!$K$5,".",IF(A5127=".",1,A5127+1))</f>
        <v>.</v>
      </c>
      <c r="B5128" s="431" t="str">
        <f t="shared" si="80"/>
        <v>Knee Replacement RevisionCCG of GP PracticeNHS AYLESBURY VALE CCG (10Y)EQ VAS</v>
      </c>
      <c r="C5128" t="s">
        <v>250</v>
      </c>
      <c r="D5128" t="s">
        <v>87</v>
      </c>
      <c r="E5128" t="s">
        <v>571</v>
      </c>
      <c r="F5128" t="s">
        <v>572</v>
      </c>
      <c r="G5128" t="s">
        <v>179</v>
      </c>
      <c r="H5128" t="s">
        <v>53</v>
      </c>
      <c r="I5128" t="s">
        <v>53</v>
      </c>
      <c r="J5128" t="s">
        <v>53</v>
      </c>
      <c r="K5128" t="s">
        <v>53</v>
      </c>
      <c r="L5128" t="s">
        <v>53</v>
      </c>
      <c r="M5128" t="s">
        <v>53</v>
      </c>
      <c r="N5128" t="s">
        <v>53</v>
      </c>
      <c r="O5128" t="s">
        <v>53</v>
      </c>
      <c r="P5128" t="s">
        <v>53</v>
      </c>
      <c r="Q5128" t="s">
        <v>53</v>
      </c>
    </row>
    <row r="5129" spans="1:17" x14ac:dyDescent="0.2">
      <c r="A5129" s="30" t="str">
        <f>IF(C5129&amp;G5129&amp;D5129&lt;&gt;'Funnel setup'!$K$3&amp;'Funnel setup'!$K$4&amp;'Funnel setup'!$K$5,".",IF(A5128=".",1,A5128+1))</f>
        <v>.</v>
      </c>
      <c r="B5129" s="431" t="str">
        <f t="shared" si="80"/>
        <v>Knee Replacement RevisionCCG of GP PracticeNHS BARNET CCG (07M)EQ VAS</v>
      </c>
      <c r="C5129" t="s">
        <v>250</v>
      </c>
      <c r="D5129" t="s">
        <v>87</v>
      </c>
      <c r="E5129" t="s">
        <v>577</v>
      </c>
      <c r="F5129" t="s">
        <v>578</v>
      </c>
      <c r="G5129" t="s">
        <v>179</v>
      </c>
      <c r="H5129" t="s">
        <v>53</v>
      </c>
      <c r="I5129" t="s">
        <v>53</v>
      </c>
      <c r="J5129" t="s">
        <v>53</v>
      </c>
      <c r="K5129" t="s">
        <v>53</v>
      </c>
      <c r="L5129" t="s">
        <v>53</v>
      </c>
      <c r="M5129" t="s">
        <v>53</v>
      </c>
      <c r="N5129" t="s">
        <v>53</v>
      </c>
      <c r="O5129" t="s">
        <v>53</v>
      </c>
      <c r="P5129" t="s">
        <v>53</v>
      </c>
      <c r="Q5129" t="s">
        <v>53</v>
      </c>
    </row>
    <row r="5130" spans="1:17" x14ac:dyDescent="0.2">
      <c r="A5130" s="30" t="str">
        <f>IF(C5130&amp;G5130&amp;D5130&lt;&gt;'Funnel setup'!$K$3&amp;'Funnel setup'!$K$4&amp;'Funnel setup'!$K$5,".",IF(A5129=".",1,A5129+1))</f>
        <v>.</v>
      </c>
      <c r="B5130" s="431" t="str">
        <f t="shared" si="80"/>
        <v>Knee Replacement RevisionCCG of GP PracticeNHS BARNSLEY CCG (02P)EQ VAS</v>
      </c>
      <c r="C5130" t="s">
        <v>250</v>
      </c>
      <c r="D5130" t="s">
        <v>87</v>
      </c>
      <c r="E5130" t="s">
        <v>580</v>
      </c>
      <c r="F5130" t="s">
        <v>581</v>
      </c>
      <c r="G5130" t="s">
        <v>179</v>
      </c>
      <c r="H5130">
        <v>17</v>
      </c>
      <c r="I5130">
        <v>61.881999999999998</v>
      </c>
      <c r="J5130">
        <v>65.293999999999997</v>
      </c>
      <c r="K5130">
        <v>3.4119999999999999</v>
      </c>
      <c r="L5130">
        <v>7</v>
      </c>
      <c r="M5130">
        <v>3</v>
      </c>
      <c r="N5130">
        <v>7</v>
      </c>
      <c r="O5130" t="s">
        <v>53</v>
      </c>
      <c r="P5130" t="s">
        <v>53</v>
      </c>
      <c r="Q5130" t="s">
        <v>53</v>
      </c>
    </row>
    <row r="5131" spans="1:17" x14ac:dyDescent="0.2">
      <c r="A5131" s="30" t="str">
        <f>IF(C5131&amp;G5131&amp;D5131&lt;&gt;'Funnel setup'!$K$3&amp;'Funnel setup'!$K$4&amp;'Funnel setup'!$K$5,".",IF(A5130=".",1,A5130+1))</f>
        <v>.</v>
      </c>
      <c r="B5131" s="431" t="str">
        <f t="shared" si="80"/>
        <v>Knee Replacement RevisionCCG of GP PracticeNHS BASILDON AND BRENTWOOD CCG (99E)EQ VAS</v>
      </c>
      <c r="C5131" t="s">
        <v>250</v>
      </c>
      <c r="D5131" t="s">
        <v>87</v>
      </c>
      <c r="E5131" t="s">
        <v>583</v>
      </c>
      <c r="F5131" t="s">
        <v>584</v>
      </c>
      <c r="G5131" t="s">
        <v>179</v>
      </c>
      <c r="H5131">
        <v>10</v>
      </c>
      <c r="I5131">
        <v>73.400000000000006</v>
      </c>
      <c r="J5131">
        <v>65.8</v>
      </c>
      <c r="K5131">
        <v>-7.6</v>
      </c>
      <c r="L5131">
        <v>5</v>
      </c>
      <c r="M5131">
        <v>1</v>
      </c>
      <c r="N5131">
        <v>4</v>
      </c>
      <c r="O5131" t="s">
        <v>53</v>
      </c>
      <c r="P5131" t="s">
        <v>53</v>
      </c>
      <c r="Q5131" t="s">
        <v>53</v>
      </c>
    </row>
    <row r="5132" spans="1:17" x14ac:dyDescent="0.2">
      <c r="A5132" s="30" t="str">
        <f>IF(C5132&amp;G5132&amp;D5132&lt;&gt;'Funnel setup'!$K$3&amp;'Funnel setup'!$K$4&amp;'Funnel setup'!$K$5,".",IF(A5131=".",1,A5131+1))</f>
        <v>.</v>
      </c>
      <c r="B5132" s="431" t="str">
        <f t="shared" si="80"/>
        <v>Knee Replacement RevisionCCG of GP PracticeNHS BASSETLAW CCG (02Q)EQ VAS</v>
      </c>
      <c r="C5132" t="s">
        <v>250</v>
      </c>
      <c r="D5132" t="s">
        <v>87</v>
      </c>
      <c r="E5132" t="s">
        <v>586</v>
      </c>
      <c r="F5132" t="s">
        <v>587</v>
      </c>
      <c r="G5132" t="s">
        <v>179</v>
      </c>
      <c r="H5132" t="s">
        <v>53</v>
      </c>
      <c r="I5132" t="s">
        <v>53</v>
      </c>
      <c r="J5132" t="s">
        <v>53</v>
      </c>
      <c r="K5132" t="s">
        <v>53</v>
      </c>
      <c r="L5132" t="s">
        <v>53</v>
      </c>
      <c r="M5132" t="s">
        <v>53</v>
      </c>
      <c r="N5132" t="s">
        <v>53</v>
      </c>
      <c r="O5132" t="s">
        <v>53</v>
      </c>
      <c r="P5132" t="s">
        <v>53</v>
      </c>
      <c r="Q5132" t="s">
        <v>53</v>
      </c>
    </row>
    <row r="5133" spans="1:17" x14ac:dyDescent="0.2">
      <c r="A5133" s="30" t="str">
        <f>IF(C5133&amp;G5133&amp;D5133&lt;&gt;'Funnel setup'!$K$3&amp;'Funnel setup'!$K$4&amp;'Funnel setup'!$K$5,".",IF(A5132=".",1,A5132+1))</f>
        <v>.</v>
      </c>
      <c r="B5133" s="431" t="str">
        <f t="shared" si="80"/>
        <v>Knee Replacement RevisionCCG of GP PracticeNHS BATH AND NORTH EAST SOMERSET CCG (11E)EQ VAS</v>
      </c>
      <c r="C5133" t="s">
        <v>250</v>
      </c>
      <c r="D5133" t="s">
        <v>87</v>
      </c>
      <c r="E5133" t="s">
        <v>589</v>
      </c>
      <c r="F5133" t="s">
        <v>590</v>
      </c>
      <c r="G5133" t="s">
        <v>179</v>
      </c>
      <c r="H5133" t="s">
        <v>53</v>
      </c>
      <c r="I5133" t="s">
        <v>53</v>
      </c>
      <c r="J5133" t="s">
        <v>53</v>
      </c>
      <c r="K5133" t="s">
        <v>53</v>
      </c>
      <c r="L5133" t="s">
        <v>53</v>
      </c>
      <c r="M5133" t="s">
        <v>53</v>
      </c>
      <c r="N5133" t="s">
        <v>53</v>
      </c>
      <c r="O5133" t="s">
        <v>53</v>
      </c>
      <c r="P5133" t="s">
        <v>53</v>
      </c>
      <c r="Q5133" t="s">
        <v>53</v>
      </c>
    </row>
    <row r="5134" spans="1:17" x14ac:dyDescent="0.2">
      <c r="A5134" s="30" t="str">
        <f>IF(C5134&amp;G5134&amp;D5134&lt;&gt;'Funnel setup'!$K$3&amp;'Funnel setup'!$K$4&amp;'Funnel setup'!$K$5,".",IF(A5133=".",1,A5133+1))</f>
        <v>.</v>
      </c>
      <c r="B5134" s="431" t="str">
        <f t="shared" si="80"/>
        <v>Knee Replacement RevisionCCG of GP PracticeNHS BEDFORDSHIRE CCG (06F)EQ VAS</v>
      </c>
      <c r="C5134" t="s">
        <v>250</v>
      </c>
      <c r="D5134" t="s">
        <v>87</v>
      </c>
      <c r="E5134" t="s">
        <v>592</v>
      </c>
      <c r="F5134" t="s">
        <v>593</v>
      </c>
      <c r="G5134" t="s">
        <v>179</v>
      </c>
      <c r="H5134">
        <v>13</v>
      </c>
      <c r="I5134">
        <v>53</v>
      </c>
      <c r="J5134">
        <v>73.769000000000005</v>
      </c>
      <c r="K5134">
        <v>20.768999999999998</v>
      </c>
      <c r="L5134">
        <v>10</v>
      </c>
      <c r="M5134">
        <v>0</v>
      </c>
      <c r="N5134">
        <v>3</v>
      </c>
      <c r="O5134" t="s">
        <v>53</v>
      </c>
      <c r="P5134" t="s">
        <v>53</v>
      </c>
      <c r="Q5134" t="s">
        <v>53</v>
      </c>
    </row>
    <row r="5135" spans="1:17" x14ac:dyDescent="0.2">
      <c r="A5135" s="30" t="str">
        <f>IF(C5135&amp;G5135&amp;D5135&lt;&gt;'Funnel setup'!$K$3&amp;'Funnel setup'!$K$4&amp;'Funnel setup'!$K$5,".",IF(A5134=".",1,A5134+1))</f>
        <v>.</v>
      </c>
      <c r="B5135" s="431" t="str">
        <f t="shared" si="80"/>
        <v>Knee Replacement RevisionCCG of GP PracticeNHS BEXLEY CCG (07N)EQ VAS</v>
      </c>
      <c r="C5135" t="s">
        <v>250</v>
      </c>
      <c r="D5135" t="s">
        <v>87</v>
      </c>
      <c r="E5135" t="s">
        <v>595</v>
      </c>
      <c r="F5135" t="s">
        <v>596</v>
      </c>
      <c r="G5135" t="s">
        <v>179</v>
      </c>
      <c r="H5135" t="s">
        <v>53</v>
      </c>
      <c r="I5135" t="s">
        <v>53</v>
      </c>
      <c r="J5135" t="s">
        <v>53</v>
      </c>
      <c r="K5135" t="s">
        <v>53</v>
      </c>
      <c r="L5135" t="s">
        <v>53</v>
      </c>
      <c r="M5135" t="s">
        <v>53</v>
      </c>
      <c r="N5135" t="s">
        <v>53</v>
      </c>
      <c r="O5135" t="s">
        <v>53</v>
      </c>
      <c r="P5135" t="s">
        <v>53</v>
      </c>
      <c r="Q5135" t="s">
        <v>53</v>
      </c>
    </row>
    <row r="5136" spans="1:17" x14ac:dyDescent="0.2">
      <c r="A5136" s="30" t="str">
        <f>IF(C5136&amp;G5136&amp;D5136&lt;&gt;'Funnel setup'!$K$3&amp;'Funnel setup'!$K$4&amp;'Funnel setup'!$K$5,".",IF(A5135=".",1,A5135+1))</f>
        <v>.</v>
      </c>
      <c r="B5136" s="431" t="str">
        <f t="shared" si="80"/>
        <v>Knee Replacement RevisionCCG of GP PracticeNHS BIRMINGHAM CROSSCITY CCG (13P)EQ VAS</v>
      </c>
      <c r="C5136" t="s">
        <v>250</v>
      </c>
      <c r="D5136" t="s">
        <v>87</v>
      </c>
      <c r="E5136" t="s">
        <v>598</v>
      </c>
      <c r="F5136" t="s">
        <v>599</v>
      </c>
      <c r="G5136" t="s">
        <v>179</v>
      </c>
      <c r="H5136">
        <v>9</v>
      </c>
      <c r="I5136">
        <v>60.222000000000001</v>
      </c>
      <c r="J5136">
        <v>69.444000000000003</v>
      </c>
      <c r="K5136">
        <v>9.2219999999999995</v>
      </c>
      <c r="L5136">
        <v>6</v>
      </c>
      <c r="M5136">
        <v>0</v>
      </c>
      <c r="N5136">
        <v>3</v>
      </c>
      <c r="O5136" t="s">
        <v>53</v>
      </c>
      <c r="P5136" t="s">
        <v>53</v>
      </c>
      <c r="Q5136" t="s">
        <v>53</v>
      </c>
    </row>
    <row r="5137" spans="1:17" x14ac:dyDescent="0.2">
      <c r="A5137" s="30" t="str">
        <f>IF(C5137&amp;G5137&amp;D5137&lt;&gt;'Funnel setup'!$K$3&amp;'Funnel setup'!$K$4&amp;'Funnel setup'!$K$5,".",IF(A5136=".",1,A5136+1))</f>
        <v>.</v>
      </c>
      <c r="B5137" s="431" t="str">
        <f t="shared" si="80"/>
        <v>Knee Replacement RevisionCCG of GP PracticeNHS BIRMINGHAM SOUTH AND CENTRAL CCG (04X)EQ VAS</v>
      </c>
      <c r="C5137" t="s">
        <v>250</v>
      </c>
      <c r="D5137" t="s">
        <v>87</v>
      </c>
      <c r="E5137" t="s">
        <v>601</v>
      </c>
      <c r="F5137" t="s">
        <v>602</v>
      </c>
      <c r="G5137" t="s">
        <v>179</v>
      </c>
      <c r="H5137" t="s">
        <v>53</v>
      </c>
      <c r="I5137" t="s">
        <v>53</v>
      </c>
      <c r="J5137" t="s">
        <v>53</v>
      </c>
      <c r="K5137" t="s">
        <v>53</v>
      </c>
      <c r="L5137" t="s">
        <v>53</v>
      </c>
      <c r="M5137" t="s">
        <v>53</v>
      </c>
      <c r="N5137" t="s">
        <v>53</v>
      </c>
      <c r="O5137" t="s">
        <v>53</v>
      </c>
      <c r="P5137" t="s">
        <v>53</v>
      </c>
      <c r="Q5137" t="s">
        <v>53</v>
      </c>
    </row>
    <row r="5138" spans="1:17" x14ac:dyDescent="0.2">
      <c r="A5138" s="30" t="str">
        <f>IF(C5138&amp;G5138&amp;D5138&lt;&gt;'Funnel setup'!$K$3&amp;'Funnel setup'!$K$4&amp;'Funnel setup'!$K$5,".",IF(A5137=".",1,A5137+1))</f>
        <v>.</v>
      </c>
      <c r="B5138" s="431" t="str">
        <f t="shared" si="80"/>
        <v>Knee Replacement RevisionCCG of GP PracticeNHS BOLTON CCG (00T)EQ VAS</v>
      </c>
      <c r="C5138" t="s">
        <v>250</v>
      </c>
      <c r="D5138" t="s">
        <v>87</v>
      </c>
      <c r="E5138" t="s">
        <v>683</v>
      </c>
      <c r="F5138" t="s">
        <v>684</v>
      </c>
      <c r="G5138" t="s">
        <v>179</v>
      </c>
      <c r="H5138">
        <v>7</v>
      </c>
      <c r="I5138">
        <v>57.286000000000001</v>
      </c>
      <c r="J5138">
        <v>55.286000000000001</v>
      </c>
      <c r="K5138">
        <v>-2</v>
      </c>
      <c r="L5138">
        <v>3</v>
      </c>
      <c r="M5138">
        <v>1</v>
      </c>
      <c r="N5138">
        <v>3</v>
      </c>
      <c r="O5138" t="s">
        <v>53</v>
      </c>
      <c r="P5138" t="s">
        <v>53</v>
      </c>
      <c r="Q5138" t="s">
        <v>53</v>
      </c>
    </row>
    <row r="5139" spans="1:17" x14ac:dyDescent="0.2">
      <c r="A5139" s="30" t="str">
        <f>IF(C5139&amp;G5139&amp;D5139&lt;&gt;'Funnel setup'!$K$3&amp;'Funnel setup'!$K$4&amp;'Funnel setup'!$K$5,".",IF(A5138=".",1,A5138+1))</f>
        <v>.</v>
      </c>
      <c r="B5139" s="431" t="str">
        <f t="shared" si="80"/>
        <v>Knee Replacement RevisionCCG of GP PracticeNHS BRACKNELL AND ASCOT CCG (10G)EQ VAS</v>
      </c>
      <c r="C5139" t="s">
        <v>250</v>
      </c>
      <c r="D5139" t="s">
        <v>87</v>
      </c>
      <c r="E5139" t="s">
        <v>686</v>
      </c>
      <c r="F5139" t="s">
        <v>687</v>
      </c>
      <c r="G5139" t="s">
        <v>179</v>
      </c>
      <c r="H5139" t="s">
        <v>53</v>
      </c>
      <c r="I5139" t="s">
        <v>53</v>
      </c>
      <c r="J5139" t="s">
        <v>53</v>
      </c>
      <c r="K5139" t="s">
        <v>53</v>
      </c>
      <c r="L5139" t="s">
        <v>53</v>
      </c>
      <c r="M5139" t="s">
        <v>53</v>
      </c>
      <c r="N5139" t="s">
        <v>53</v>
      </c>
      <c r="O5139" t="s">
        <v>53</v>
      </c>
      <c r="P5139" t="s">
        <v>53</v>
      </c>
      <c r="Q5139" t="s">
        <v>53</v>
      </c>
    </row>
    <row r="5140" spans="1:17" x14ac:dyDescent="0.2">
      <c r="A5140" s="30" t="str">
        <f>IF(C5140&amp;G5140&amp;D5140&lt;&gt;'Funnel setup'!$K$3&amp;'Funnel setup'!$K$4&amp;'Funnel setup'!$K$5,".",IF(A5139=".",1,A5139+1))</f>
        <v>.</v>
      </c>
      <c r="B5140" s="431" t="str">
        <f t="shared" si="80"/>
        <v>Knee Replacement RevisionCCG of GP PracticeNHS BRADFORD DISTRICTS CCG (02R)EQ VAS</v>
      </c>
      <c r="C5140" t="s">
        <v>250</v>
      </c>
      <c r="D5140" t="s">
        <v>87</v>
      </c>
      <c r="E5140" t="s">
        <v>692</v>
      </c>
      <c r="F5140" t="s">
        <v>693</v>
      </c>
      <c r="G5140" t="s">
        <v>179</v>
      </c>
      <c r="H5140">
        <v>11</v>
      </c>
      <c r="I5140">
        <v>59.636000000000003</v>
      </c>
      <c r="J5140">
        <v>67.454999999999998</v>
      </c>
      <c r="K5140">
        <v>7.8179999999999996</v>
      </c>
      <c r="L5140">
        <v>6</v>
      </c>
      <c r="M5140">
        <v>1</v>
      </c>
      <c r="N5140">
        <v>4</v>
      </c>
      <c r="O5140" t="s">
        <v>53</v>
      </c>
      <c r="P5140" t="s">
        <v>53</v>
      </c>
      <c r="Q5140" t="s">
        <v>53</v>
      </c>
    </row>
    <row r="5141" spans="1:17" x14ac:dyDescent="0.2">
      <c r="A5141" s="30" t="str">
        <f>IF(C5141&amp;G5141&amp;D5141&lt;&gt;'Funnel setup'!$K$3&amp;'Funnel setup'!$K$4&amp;'Funnel setup'!$K$5,".",IF(A5140=".",1,A5140+1))</f>
        <v>.</v>
      </c>
      <c r="B5141" s="431" t="str">
        <f t="shared" si="80"/>
        <v>Knee Replacement RevisionCCG of GP PracticeNHS BRENT CCG (07P)EQ VAS</v>
      </c>
      <c r="C5141" t="s">
        <v>250</v>
      </c>
      <c r="D5141" t="s">
        <v>87</v>
      </c>
      <c r="E5141" t="s">
        <v>695</v>
      </c>
      <c r="F5141" t="s">
        <v>696</v>
      </c>
      <c r="G5141" t="s">
        <v>179</v>
      </c>
      <c r="H5141" t="s">
        <v>53</v>
      </c>
      <c r="I5141" t="s">
        <v>53</v>
      </c>
      <c r="J5141" t="s">
        <v>53</v>
      </c>
      <c r="K5141" t="s">
        <v>53</v>
      </c>
      <c r="L5141" t="s">
        <v>53</v>
      </c>
      <c r="M5141" t="s">
        <v>53</v>
      </c>
      <c r="N5141" t="s">
        <v>53</v>
      </c>
      <c r="O5141" t="s">
        <v>53</v>
      </c>
      <c r="P5141" t="s">
        <v>53</v>
      </c>
      <c r="Q5141" t="s">
        <v>53</v>
      </c>
    </row>
    <row r="5142" spans="1:17" x14ac:dyDescent="0.2">
      <c r="A5142" s="30" t="str">
        <f>IF(C5142&amp;G5142&amp;D5142&lt;&gt;'Funnel setup'!$K$3&amp;'Funnel setup'!$K$4&amp;'Funnel setup'!$K$5,".",IF(A5141=".",1,A5141+1))</f>
        <v>.</v>
      </c>
      <c r="B5142" s="431" t="str">
        <f t="shared" si="80"/>
        <v>Knee Replacement RevisionCCG of GP PracticeNHS BRIGHTON AND HOVE CCG (09D)EQ VAS</v>
      </c>
      <c r="C5142" t="s">
        <v>250</v>
      </c>
      <c r="D5142" t="s">
        <v>87</v>
      </c>
      <c r="E5142" t="s">
        <v>698</v>
      </c>
      <c r="F5142" t="s">
        <v>699</v>
      </c>
      <c r="G5142" t="s">
        <v>179</v>
      </c>
      <c r="H5142">
        <v>10</v>
      </c>
      <c r="I5142">
        <v>56.5</v>
      </c>
      <c r="J5142">
        <v>42.6</v>
      </c>
      <c r="K5142">
        <v>-13.9</v>
      </c>
      <c r="L5142">
        <v>2</v>
      </c>
      <c r="M5142">
        <v>0</v>
      </c>
      <c r="N5142">
        <v>8</v>
      </c>
      <c r="O5142" t="s">
        <v>53</v>
      </c>
      <c r="P5142" t="s">
        <v>53</v>
      </c>
      <c r="Q5142" t="s">
        <v>53</v>
      </c>
    </row>
    <row r="5143" spans="1:17" x14ac:dyDescent="0.2">
      <c r="A5143" s="30" t="str">
        <f>IF(C5143&amp;G5143&amp;D5143&lt;&gt;'Funnel setup'!$K$3&amp;'Funnel setup'!$K$4&amp;'Funnel setup'!$K$5,".",IF(A5142=".",1,A5142+1))</f>
        <v>.</v>
      </c>
      <c r="B5143" s="431" t="str">
        <f t="shared" si="80"/>
        <v>Knee Replacement RevisionCCG of GP PracticeNHS BRISTOL CCG (11H)EQ VAS</v>
      </c>
      <c r="C5143" t="s">
        <v>250</v>
      </c>
      <c r="D5143" t="s">
        <v>87</v>
      </c>
      <c r="E5143" t="s">
        <v>701</v>
      </c>
      <c r="F5143" t="s">
        <v>702</v>
      </c>
      <c r="G5143" t="s">
        <v>179</v>
      </c>
      <c r="H5143" t="s">
        <v>53</v>
      </c>
      <c r="I5143" t="s">
        <v>53</v>
      </c>
      <c r="J5143" t="s">
        <v>53</v>
      </c>
      <c r="K5143" t="s">
        <v>53</v>
      </c>
      <c r="L5143" t="s">
        <v>53</v>
      </c>
      <c r="M5143" t="s">
        <v>53</v>
      </c>
      <c r="N5143" t="s">
        <v>53</v>
      </c>
      <c r="O5143" t="s">
        <v>53</v>
      </c>
      <c r="P5143" t="s">
        <v>53</v>
      </c>
      <c r="Q5143" t="s">
        <v>53</v>
      </c>
    </row>
    <row r="5144" spans="1:17" x14ac:dyDescent="0.2">
      <c r="A5144" s="30" t="str">
        <f>IF(C5144&amp;G5144&amp;D5144&lt;&gt;'Funnel setup'!$K$3&amp;'Funnel setup'!$K$4&amp;'Funnel setup'!$K$5,".",IF(A5143=".",1,A5143+1))</f>
        <v>.</v>
      </c>
      <c r="B5144" s="431" t="str">
        <f t="shared" si="80"/>
        <v>Knee Replacement RevisionCCG of GP PracticeNHS BROMLEY CCG (07Q)EQ VAS</v>
      </c>
      <c r="C5144" t="s">
        <v>250</v>
      </c>
      <c r="D5144" t="s">
        <v>87</v>
      </c>
      <c r="E5144" t="s">
        <v>704</v>
      </c>
      <c r="F5144" t="s">
        <v>705</v>
      </c>
      <c r="G5144" t="s">
        <v>179</v>
      </c>
      <c r="H5144" t="s">
        <v>53</v>
      </c>
      <c r="I5144" t="s">
        <v>53</v>
      </c>
      <c r="J5144" t="s">
        <v>53</v>
      </c>
      <c r="K5144" t="s">
        <v>53</v>
      </c>
      <c r="L5144" t="s">
        <v>53</v>
      </c>
      <c r="M5144" t="s">
        <v>53</v>
      </c>
      <c r="N5144" t="s">
        <v>53</v>
      </c>
      <c r="O5144" t="s">
        <v>53</v>
      </c>
      <c r="P5144" t="s">
        <v>53</v>
      </c>
      <c r="Q5144" t="s">
        <v>53</v>
      </c>
    </row>
    <row r="5145" spans="1:17" x14ac:dyDescent="0.2">
      <c r="A5145" s="30" t="str">
        <f>IF(C5145&amp;G5145&amp;D5145&lt;&gt;'Funnel setup'!$K$3&amp;'Funnel setup'!$K$4&amp;'Funnel setup'!$K$5,".",IF(A5144=".",1,A5144+1))</f>
        <v>.</v>
      </c>
      <c r="B5145" s="431" t="str">
        <f t="shared" si="80"/>
        <v>Knee Replacement RevisionCCG of GP PracticeNHS BURY CCG (00V)EQ VAS</v>
      </c>
      <c r="C5145" t="s">
        <v>250</v>
      </c>
      <c r="D5145" t="s">
        <v>87</v>
      </c>
      <c r="E5145" t="s">
        <v>707</v>
      </c>
      <c r="F5145" t="s">
        <v>708</v>
      </c>
      <c r="G5145" t="s">
        <v>179</v>
      </c>
      <c r="H5145">
        <v>7</v>
      </c>
      <c r="I5145">
        <v>47.713999999999999</v>
      </c>
      <c r="J5145">
        <v>65.429000000000002</v>
      </c>
      <c r="K5145">
        <v>17.713999999999999</v>
      </c>
      <c r="L5145">
        <v>4</v>
      </c>
      <c r="M5145">
        <v>0</v>
      </c>
      <c r="N5145">
        <v>3</v>
      </c>
      <c r="O5145" t="s">
        <v>53</v>
      </c>
      <c r="P5145" t="s">
        <v>53</v>
      </c>
      <c r="Q5145" t="s">
        <v>53</v>
      </c>
    </row>
    <row r="5146" spans="1:17" x14ac:dyDescent="0.2">
      <c r="A5146" s="30" t="str">
        <f>IF(C5146&amp;G5146&amp;D5146&lt;&gt;'Funnel setup'!$K$3&amp;'Funnel setup'!$K$4&amp;'Funnel setup'!$K$5,".",IF(A5145=".",1,A5145+1))</f>
        <v>.</v>
      </c>
      <c r="B5146" s="431" t="str">
        <f t="shared" si="80"/>
        <v>Knee Replacement RevisionCCG of GP PracticeNHS CALDERDALE CCG (02T)EQ VAS</v>
      </c>
      <c r="C5146" t="s">
        <v>250</v>
      </c>
      <c r="D5146" t="s">
        <v>87</v>
      </c>
      <c r="E5146" t="s">
        <v>710</v>
      </c>
      <c r="F5146" t="s">
        <v>711</v>
      </c>
      <c r="G5146" t="s">
        <v>179</v>
      </c>
      <c r="H5146" t="s">
        <v>53</v>
      </c>
      <c r="I5146" t="s">
        <v>53</v>
      </c>
      <c r="J5146" t="s">
        <v>53</v>
      </c>
      <c r="K5146" t="s">
        <v>53</v>
      </c>
      <c r="L5146" t="s">
        <v>53</v>
      </c>
      <c r="M5146" t="s">
        <v>53</v>
      </c>
      <c r="N5146" t="s">
        <v>53</v>
      </c>
      <c r="O5146" t="s">
        <v>53</v>
      </c>
      <c r="P5146" t="s">
        <v>53</v>
      </c>
      <c r="Q5146" t="s">
        <v>53</v>
      </c>
    </row>
    <row r="5147" spans="1:17" x14ac:dyDescent="0.2">
      <c r="A5147" s="30" t="str">
        <f>IF(C5147&amp;G5147&amp;D5147&lt;&gt;'Funnel setup'!$K$3&amp;'Funnel setup'!$K$4&amp;'Funnel setup'!$K$5,".",IF(A5146=".",1,A5146+1))</f>
        <v>.</v>
      </c>
      <c r="B5147" s="431" t="str">
        <f t="shared" si="80"/>
        <v>Knee Replacement RevisionCCG of GP PracticeNHS CAMBRIDGESHIRE AND PETERBOROUGH CCG (06H)EQ VAS</v>
      </c>
      <c r="C5147" t="s">
        <v>250</v>
      </c>
      <c r="D5147" t="s">
        <v>87</v>
      </c>
      <c r="E5147" t="s">
        <v>713</v>
      </c>
      <c r="F5147" t="s">
        <v>714</v>
      </c>
      <c r="G5147" t="s">
        <v>179</v>
      </c>
      <c r="H5147">
        <v>29</v>
      </c>
      <c r="I5147">
        <v>63.828000000000003</v>
      </c>
      <c r="J5147">
        <v>74.034000000000006</v>
      </c>
      <c r="K5147">
        <v>10.207000000000001</v>
      </c>
      <c r="L5147">
        <v>19</v>
      </c>
      <c r="M5147">
        <v>3</v>
      </c>
      <c r="N5147">
        <v>7</v>
      </c>
      <c r="O5147" t="s">
        <v>53</v>
      </c>
      <c r="P5147" t="s">
        <v>53</v>
      </c>
      <c r="Q5147" t="s">
        <v>53</v>
      </c>
    </row>
    <row r="5148" spans="1:17" x14ac:dyDescent="0.2">
      <c r="A5148" s="30" t="str">
        <f>IF(C5148&amp;G5148&amp;D5148&lt;&gt;'Funnel setup'!$K$3&amp;'Funnel setup'!$K$4&amp;'Funnel setup'!$K$5,".",IF(A5147=".",1,A5147+1))</f>
        <v>.</v>
      </c>
      <c r="B5148" s="431" t="str">
        <f t="shared" si="80"/>
        <v>Knee Replacement RevisionCCG of GP PracticeNHS CAMDEN CCG (07R)EQ VAS</v>
      </c>
      <c r="C5148" t="s">
        <v>250</v>
      </c>
      <c r="D5148" t="s">
        <v>87</v>
      </c>
      <c r="E5148" t="s">
        <v>716</v>
      </c>
      <c r="F5148" t="s">
        <v>717</v>
      </c>
      <c r="G5148" t="s">
        <v>179</v>
      </c>
      <c r="H5148" t="s">
        <v>53</v>
      </c>
      <c r="I5148" t="s">
        <v>53</v>
      </c>
      <c r="J5148" t="s">
        <v>53</v>
      </c>
      <c r="K5148" t="s">
        <v>53</v>
      </c>
      <c r="L5148" t="s">
        <v>53</v>
      </c>
      <c r="M5148" t="s">
        <v>53</v>
      </c>
      <c r="N5148" t="s">
        <v>53</v>
      </c>
      <c r="O5148" t="s">
        <v>53</v>
      </c>
      <c r="P5148" t="s">
        <v>53</v>
      </c>
      <c r="Q5148" t="s">
        <v>53</v>
      </c>
    </row>
    <row r="5149" spans="1:17" x14ac:dyDescent="0.2">
      <c r="A5149" s="30" t="str">
        <f>IF(C5149&amp;G5149&amp;D5149&lt;&gt;'Funnel setup'!$K$3&amp;'Funnel setup'!$K$4&amp;'Funnel setup'!$K$5,".",IF(A5148=".",1,A5148+1))</f>
        <v>.</v>
      </c>
      <c r="B5149" s="431" t="str">
        <f t="shared" si="80"/>
        <v>Knee Replacement RevisionCCG of GP PracticeNHS CANNOCK CHASE CCG (04Y)EQ VAS</v>
      </c>
      <c r="C5149" t="s">
        <v>250</v>
      </c>
      <c r="D5149" t="s">
        <v>87</v>
      </c>
      <c r="E5149" t="s">
        <v>719</v>
      </c>
      <c r="F5149" t="s">
        <v>720</v>
      </c>
      <c r="G5149" t="s">
        <v>179</v>
      </c>
      <c r="H5149">
        <v>7</v>
      </c>
      <c r="I5149">
        <v>63.570999999999998</v>
      </c>
      <c r="J5149">
        <v>48.570999999999998</v>
      </c>
      <c r="K5149">
        <v>-15</v>
      </c>
      <c r="L5149">
        <v>2</v>
      </c>
      <c r="M5149">
        <v>1</v>
      </c>
      <c r="N5149">
        <v>4</v>
      </c>
      <c r="O5149" t="s">
        <v>53</v>
      </c>
      <c r="P5149" t="s">
        <v>53</v>
      </c>
      <c r="Q5149" t="s">
        <v>53</v>
      </c>
    </row>
    <row r="5150" spans="1:17" x14ac:dyDescent="0.2">
      <c r="A5150" s="30" t="str">
        <f>IF(C5150&amp;G5150&amp;D5150&lt;&gt;'Funnel setup'!$K$3&amp;'Funnel setup'!$K$4&amp;'Funnel setup'!$K$5,".",IF(A5149=".",1,A5149+1))</f>
        <v>.</v>
      </c>
      <c r="B5150" s="431" t="str">
        <f t="shared" si="80"/>
        <v>Knee Replacement RevisionCCG of GP PracticeNHS CANTERBURY AND COASTAL CCG (09E)EQ VAS</v>
      </c>
      <c r="C5150" t="s">
        <v>250</v>
      </c>
      <c r="D5150" t="s">
        <v>87</v>
      </c>
      <c r="E5150" t="s">
        <v>722</v>
      </c>
      <c r="F5150" t="s">
        <v>723</v>
      </c>
      <c r="G5150" t="s">
        <v>179</v>
      </c>
      <c r="H5150">
        <v>6</v>
      </c>
      <c r="I5150">
        <v>79.667000000000002</v>
      </c>
      <c r="J5150">
        <v>81.667000000000002</v>
      </c>
      <c r="K5150">
        <v>2</v>
      </c>
      <c r="L5150">
        <v>2</v>
      </c>
      <c r="M5150">
        <v>2</v>
      </c>
      <c r="N5150">
        <v>2</v>
      </c>
      <c r="O5150" t="s">
        <v>53</v>
      </c>
      <c r="P5150" t="s">
        <v>53</v>
      </c>
      <c r="Q5150" t="s">
        <v>53</v>
      </c>
    </row>
    <row r="5151" spans="1:17" x14ac:dyDescent="0.2">
      <c r="A5151" s="30" t="str">
        <f>IF(C5151&amp;G5151&amp;D5151&lt;&gt;'Funnel setup'!$K$3&amp;'Funnel setup'!$K$4&amp;'Funnel setup'!$K$5,".",IF(A5150=".",1,A5150+1))</f>
        <v>.</v>
      </c>
      <c r="B5151" s="431" t="str">
        <f t="shared" si="80"/>
        <v>Knee Replacement RevisionCCG of GP PracticeNHS CASTLE POINT AND ROCHFORD CCG (99F)EQ VAS</v>
      </c>
      <c r="C5151" t="s">
        <v>250</v>
      </c>
      <c r="D5151" t="s">
        <v>87</v>
      </c>
      <c r="E5151" t="s">
        <v>725</v>
      </c>
      <c r="F5151" t="s">
        <v>726</v>
      </c>
      <c r="G5151" t="s">
        <v>179</v>
      </c>
      <c r="H5151" t="s">
        <v>53</v>
      </c>
      <c r="I5151" t="s">
        <v>53</v>
      </c>
      <c r="J5151" t="s">
        <v>53</v>
      </c>
      <c r="K5151" t="s">
        <v>53</v>
      </c>
      <c r="L5151" t="s">
        <v>53</v>
      </c>
      <c r="M5151" t="s">
        <v>53</v>
      </c>
      <c r="N5151" t="s">
        <v>53</v>
      </c>
      <c r="O5151" t="s">
        <v>53</v>
      </c>
      <c r="P5151" t="s">
        <v>53</v>
      </c>
      <c r="Q5151" t="s">
        <v>53</v>
      </c>
    </row>
    <row r="5152" spans="1:17" x14ac:dyDescent="0.2">
      <c r="A5152" s="30" t="str">
        <f>IF(C5152&amp;G5152&amp;D5152&lt;&gt;'Funnel setup'!$K$3&amp;'Funnel setup'!$K$4&amp;'Funnel setup'!$K$5,".",IF(A5151=".",1,A5151+1))</f>
        <v>.</v>
      </c>
      <c r="B5152" s="431" t="str">
        <f t="shared" si="80"/>
        <v>Knee Replacement RevisionCCG of GP PracticeNHS CHILTERN CCG (10H)EQ VAS</v>
      </c>
      <c r="C5152" t="s">
        <v>250</v>
      </c>
      <c r="D5152" t="s">
        <v>87</v>
      </c>
      <c r="E5152" t="s">
        <v>734</v>
      </c>
      <c r="F5152" t="s">
        <v>735</v>
      </c>
      <c r="G5152" t="s">
        <v>179</v>
      </c>
      <c r="H5152">
        <v>7</v>
      </c>
      <c r="I5152">
        <v>69.856999999999999</v>
      </c>
      <c r="J5152">
        <v>68.286000000000001</v>
      </c>
      <c r="K5152">
        <v>-1.571</v>
      </c>
      <c r="L5152">
        <v>3</v>
      </c>
      <c r="M5152">
        <v>2</v>
      </c>
      <c r="N5152">
        <v>2</v>
      </c>
      <c r="O5152" t="s">
        <v>53</v>
      </c>
      <c r="P5152" t="s">
        <v>53</v>
      </c>
      <c r="Q5152" t="s">
        <v>53</v>
      </c>
    </row>
    <row r="5153" spans="1:17" x14ac:dyDescent="0.2">
      <c r="A5153" s="30" t="str">
        <f>IF(C5153&amp;G5153&amp;D5153&lt;&gt;'Funnel setup'!$K$3&amp;'Funnel setup'!$K$4&amp;'Funnel setup'!$K$5,".",IF(A5152=".",1,A5152+1))</f>
        <v>.</v>
      </c>
      <c r="B5153" s="431" t="str">
        <f t="shared" si="80"/>
        <v>Knee Replacement RevisionCCG of GP PracticeNHS CHORLEY AND SOUTH RIBBLE CCG (00X)EQ VAS</v>
      </c>
      <c r="C5153" t="s">
        <v>250</v>
      </c>
      <c r="D5153" t="s">
        <v>87</v>
      </c>
      <c r="E5153" t="s">
        <v>737</v>
      </c>
      <c r="F5153" t="s">
        <v>738</v>
      </c>
      <c r="G5153" t="s">
        <v>179</v>
      </c>
      <c r="H5153" t="s">
        <v>53</v>
      </c>
      <c r="I5153" t="s">
        <v>53</v>
      </c>
      <c r="J5153" t="s">
        <v>53</v>
      </c>
      <c r="K5153" t="s">
        <v>53</v>
      </c>
      <c r="L5153" t="s">
        <v>53</v>
      </c>
      <c r="M5153" t="s">
        <v>53</v>
      </c>
      <c r="N5153" t="s">
        <v>53</v>
      </c>
      <c r="O5153" t="s">
        <v>53</v>
      </c>
      <c r="P5153" t="s">
        <v>53</v>
      </c>
      <c r="Q5153" t="s">
        <v>53</v>
      </c>
    </row>
    <row r="5154" spans="1:17" x14ac:dyDescent="0.2">
      <c r="A5154" s="30" t="str">
        <f>IF(C5154&amp;G5154&amp;D5154&lt;&gt;'Funnel setup'!$K$3&amp;'Funnel setup'!$K$4&amp;'Funnel setup'!$K$5,".",IF(A5153=".",1,A5153+1))</f>
        <v>.</v>
      </c>
      <c r="B5154" s="431" t="str">
        <f t="shared" si="80"/>
        <v>Knee Replacement RevisionCCG of GP PracticeNHS CITY AND HACKNEY CCG (07T)EQ VAS</v>
      </c>
      <c r="C5154" t="s">
        <v>250</v>
      </c>
      <c r="D5154" t="s">
        <v>87</v>
      </c>
      <c r="E5154" t="s">
        <v>740</v>
      </c>
      <c r="F5154" t="s">
        <v>741</v>
      </c>
      <c r="G5154" t="s">
        <v>179</v>
      </c>
      <c r="H5154" t="s">
        <v>53</v>
      </c>
      <c r="I5154" t="s">
        <v>53</v>
      </c>
      <c r="J5154" t="s">
        <v>53</v>
      </c>
      <c r="K5154" t="s">
        <v>53</v>
      </c>
      <c r="L5154" t="s">
        <v>53</v>
      </c>
      <c r="M5154" t="s">
        <v>53</v>
      </c>
      <c r="N5154" t="s">
        <v>53</v>
      </c>
      <c r="O5154" t="s">
        <v>53</v>
      </c>
      <c r="P5154" t="s">
        <v>53</v>
      </c>
      <c r="Q5154" t="s">
        <v>53</v>
      </c>
    </row>
    <row r="5155" spans="1:17" x14ac:dyDescent="0.2">
      <c r="A5155" s="30" t="str">
        <f>IF(C5155&amp;G5155&amp;D5155&lt;&gt;'Funnel setup'!$K$3&amp;'Funnel setup'!$K$4&amp;'Funnel setup'!$K$5,".",IF(A5154=".",1,A5154+1))</f>
        <v>.</v>
      </c>
      <c r="B5155" s="431" t="str">
        <f t="shared" si="80"/>
        <v>Knee Replacement RevisionCCG of GP PracticeNHS COASTAL WEST SUSSEX CCG (09G)EQ VAS</v>
      </c>
      <c r="C5155" t="s">
        <v>250</v>
      </c>
      <c r="D5155" t="s">
        <v>87</v>
      </c>
      <c r="E5155" t="s">
        <v>743</v>
      </c>
      <c r="F5155" t="s">
        <v>744</v>
      </c>
      <c r="G5155" t="s">
        <v>179</v>
      </c>
      <c r="H5155">
        <v>33</v>
      </c>
      <c r="I5155">
        <v>66.364000000000004</v>
      </c>
      <c r="J5155">
        <v>63.908999999999999</v>
      </c>
      <c r="K5155">
        <v>-2.4550000000000001</v>
      </c>
      <c r="L5155">
        <v>13</v>
      </c>
      <c r="M5155">
        <v>5</v>
      </c>
      <c r="N5155">
        <v>15</v>
      </c>
      <c r="O5155">
        <v>62.91</v>
      </c>
      <c r="P5155">
        <v>-1.546101221</v>
      </c>
      <c r="Q5155">
        <v>16.47</v>
      </c>
    </row>
    <row r="5156" spans="1:17" x14ac:dyDescent="0.2">
      <c r="A5156" s="30" t="str">
        <f>IF(C5156&amp;G5156&amp;D5156&lt;&gt;'Funnel setup'!$K$3&amp;'Funnel setup'!$K$4&amp;'Funnel setup'!$K$5,".",IF(A5155=".",1,A5155+1))</f>
        <v>.</v>
      </c>
      <c r="B5156" s="431" t="str">
        <f t="shared" si="80"/>
        <v>Knee Replacement RevisionCCG of GP PracticeNHS CORBY CCG (03V)EQ VAS</v>
      </c>
      <c r="C5156" t="s">
        <v>250</v>
      </c>
      <c r="D5156" t="s">
        <v>87</v>
      </c>
      <c r="E5156" t="s">
        <v>746</v>
      </c>
      <c r="F5156" t="s">
        <v>747</v>
      </c>
      <c r="G5156" t="s">
        <v>179</v>
      </c>
      <c r="H5156" t="s">
        <v>53</v>
      </c>
      <c r="I5156" t="s">
        <v>53</v>
      </c>
      <c r="J5156" t="s">
        <v>53</v>
      </c>
      <c r="K5156" t="s">
        <v>53</v>
      </c>
      <c r="L5156" t="s">
        <v>53</v>
      </c>
      <c r="M5156" t="s">
        <v>53</v>
      </c>
      <c r="N5156" t="s">
        <v>53</v>
      </c>
      <c r="O5156" t="s">
        <v>53</v>
      </c>
      <c r="P5156" t="s">
        <v>53</v>
      </c>
      <c r="Q5156" t="s">
        <v>53</v>
      </c>
    </row>
    <row r="5157" spans="1:17" x14ac:dyDescent="0.2">
      <c r="A5157" s="30" t="str">
        <f>IF(C5157&amp;G5157&amp;D5157&lt;&gt;'Funnel setup'!$K$3&amp;'Funnel setup'!$K$4&amp;'Funnel setup'!$K$5,".",IF(A5156=".",1,A5156+1))</f>
        <v>.</v>
      </c>
      <c r="B5157" s="431" t="str">
        <f t="shared" si="80"/>
        <v>Knee Replacement RevisionCCG of GP PracticeNHS COVENTRY AND RUGBY CCG (05A)EQ VAS</v>
      </c>
      <c r="C5157" t="s">
        <v>250</v>
      </c>
      <c r="D5157" t="s">
        <v>87</v>
      </c>
      <c r="E5157" t="s">
        <v>749</v>
      </c>
      <c r="F5157" t="s">
        <v>750</v>
      </c>
      <c r="G5157" t="s">
        <v>179</v>
      </c>
      <c r="H5157">
        <v>15</v>
      </c>
      <c r="I5157">
        <v>62.133000000000003</v>
      </c>
      <c r="J5157">
        <v>60</v>
      </c>
      <c r="K5157">
        <v>-2.133</v>
      </c>
      <c r="L5157">
        <v>5</v>
      </c>
      <c r="M5157">
        <v>2</v>
      </c>
      <c r="N5157">
        <v>8</v>
      </c>
      <c r="O5157" t="s">
        <v>53</v>
      </c>
      <c r="P5157" t="s">
        <v>53</v>
      </c>
      <c r="Q5157" t="s">
        <v>53</v>
      </c>
    </row>
    <row r="5158" spans="1:17" x14ac:dyDescent="0.2">
      <c r="A5158" s="30" t="str">
        <f>IF(C5158&amp;G5158&amp;D5158&lt;&gt;'Funnel setup'!$K$3&amp;'Funnel setup'!$K$4&amp;'Funnel setup'!$K$5,".",IF(A5157=".",1,A5157+1))</f>
        <v>.</v>
      </c>
      <c r="B5158" s="431" t="str">
        <f t="shared" si="80"/>
        <v>Knee Replacement RevisionCCG of GP PracticeNHS CRAWLEY CCG (09H)EQ VAS</v>
      </c>
      <c r="C5158" t="s">
        <v>250</v>
      </c>
      <c r="D5158" t="s">
        <v>87</v>
      </c>
      <c r="E5158" t="s">
        <v>752</v>
      </c>
      <c r="F5158" t="s">
        <v>753</v>
      </c>
      <c r="G5158" t="s">
        <v>179</v>
      </c>
      <c r="H5158" t="s">
        <v>53</v>
      </c>
      <c r="I5158" t="s">
        <v>53</v>
      </c>
      <c r="J5158" t="s">
        <v>53</v>
      </c>
      <c r="K5158" t="s">
        <v>53</v>
      </c>
      <c r="L5158" t="s">
        <v>53</v>
      </c>
      <c r="M5158" t="s">
        <v>53</v>
      </c>
      <c r="N5158" t="s">
        <v>53</v>
      </c>
      <c r="O5158" t="s">
        <v>53</v>
      </c>
      <c r="P5158" t="s">
        <v>53</v>
      </c>
      <c r="Q5158" t="s">
        <v>53</v>
      </c>
    </row>
    <row r="5159" spans="1:17" x14ac:dyDescent="0.2">
      <c r="A5159" s="30" t="str">
        <f>IF(C5159&amp;G5159&amp;D5159&lt;&gt;'Funnel setup'!$K$3&amp;'Funnel setup'!$K$4&amp;'Funnel setup'!$K$5,".",IF(A5158=".",1,A5158+1))</f>
        <v>.</v>
      </c>
      <c r="B5159" s="431" t="str">
        <f t="shared" si="80"/>
        <v>Knee Replacement RevisionCCG of GP PracticeNHS CROYDON CCG (07V)EQ VAS</v>
      </c>
      <c r="C5159" t="s">
        <v>250</v>
      </c>
      <c r="D5159" t="s">
        <v>87</v>
      </c>
      <c r="E5159" t="s">
        <v>755</v>
      </c>
      <c r="F5159" t="s">
        <v>756</v>
      </c>
      <c r="G5159" t="s">
        <v>179</v>
      </c>
      <c r="H5159" t="s">
        <v>53</v>
      </c>
      <c r="I5159" t="s">
        <v>53</v>
      </c>
      <c r="J5159" t="s">
        <v>53</v>
      </c>
      <c r="K5159" t="s">
        <v>53</v>
      </c>
      <c r="L5159" t="s">
        <v>53</v>
      </c>
      <c r="M5159" t="s">
        <v>53</v>
      </c>
      <c r="N5159" t="s">
        <v>53</v>
      </c>
      <c r="O5159" t="s">
        <v>53</v>
      </c>
      <c r="P5159" t="s">
        <v>53</v>
      </c>
      <c r="Q5159" t="s">
        <v>53</v>
      </c>
    </row>
    <row r="5160" spans="1:17" x14ac:dyDescent="0.2">
      <c r="A5160" s="30" t="str">
        <f>IF(C5160&amp;G5160&amp;D5160&lt;&gt;'Funnel setup'!$K$3&amp;'Funnel setup'!$K$4&amp;'Funnel setup'!$K$5,".",IF(A5159=".",1,A5159+1))</f>
        <v>.</v>
      </c>
      <c r="B5160" s="431" t="str">
        <f t="shared" si="80"/>
        <v>Knee Replacement RevisionCCG of GP PracticeNHS CUMBRIA CCG (01H)EQ VAS</v>
      </c>
      <c r="C5160" t="s">
        <v>250</v>
      </c>
      <c r="D5160" t="s">
        <v>87</v>
      </c>
      <c r="E5160" t="s">
        <v>758</v>
      </c>
      <c r="F5160" t="s">
        <v>759</v>
      </c>
      <c r="G5160" t="s">
        <v>179</v>
      </c>
      <c r="H5160">
        <v>9</v>
      </c>
      <c r="I5160">
        <v>62.110999999999997</v>
      </c>
      <c r="J5160">
        <v>74.778000000000006</v>
      </c>
      <c r="K5160">
        <v>12.667</v>
      </c>
      <c r="L5160">
        <v>6</v>
      </c>
      <c r="M5160">
        <v>1</v>
      </c>
      <c r="N5160">
        <v>2</v>
      </c>
      <c r="O5160" t="s">
        <v>53</v>
      </c>
      <c r="P5160" t="s">
        <v>53</v>
      </c>
      <c r="Q5160" t="s">
        <v>53</v>
      </c>
    </row>
    <row r="5161" spans="1:17" x14ac:dyDescent="0.2">
      <c r="A5161" s="30" t="str">
        <f>IF(C5161&amp;G5161&amp;D5161&lt;&gt;'Funnel setup'!$K$3&amp;'Funnel setup'!$K$4&amp;'Funnel setup'!$K$5,".",IF(A5160=".",1,A5160+1))</f>
        <v>.</v>
      </c>
      <c r="B5161" s="431" t="str">
        <f t="shared" si="80"/>
        <v>Knee Replacement RevisionCCG of GP PracticeNHS DARLINGTON CCG (00C)EQ VAS</v>
      </c>
      <c r="C5161" t="s">
        <v>250</v>
      </c>
      <c r="D5161" t="s">
        <v>87</v>
      </c>
      <c r="E5161" t="s">
        <v>761</v>
      </c>
      <c r="F5161" t="s">
        <v>762</v>
      </c>
      <c r="G5161" t="s">
        <v>179</v>
      </c>
      <c r="H5161" t="s">
        <v>53</v>
      </c>
      <c r="I5161" t="s">
        <v>53</v>
      </c>
      <c r="J5161" t="s">
        <v>53</v>
      </c>
      <c r="K5161" t="s">
        <v>53</v>
      </c>
      <c r="L5161" t="s">
        <v>53</v>
      </c>
      <c r="M5161" t="s">
        <v>53</v>
      </c>
      <c r="N5161" t="s">
        <v>53</v>
      </c>
      <c r="O5161" t="s">
        <v>53</v>
      </c>
      <c r="P5161" t="s">
        <v>53</v>
      </c>
      <c r="Q5161" t="s">
        <v>53</v>
      </c>
    </row>
    <row r="5162" spans="1:17" x14ac:dyDescent="0.2">
      <c r="A5162" s="30" t="str">
        <f>IF(C5162&amp;G5162&amp;D5162&lt;&gt;'Funnel setup'!$K$3&amp;'Funnel setup'!$K$4&amp;'Funnel setup'!$K$5,".",IF(A5161=".",1,A5161+1))</f>
        <v>.</v>
      </c>
      <c r="B5162" s="431" t="str">
        <f t="shared" si="80"/>
        <v>Knee Replacement RevisionCCG of GP PracticeNHS DARTFORD, GRAVESHAM AND SWANLEY CCG (09J)EQ VAS</v>
      </c>
      <c r="C5162" t="s">
        <v>250</v>
      </c>
      <c r="D5162" t="s">
        <v>87</v>
      </c>
      <c r="E5162" t="s">
        <v>764</v>
      </c>
      <c r="F5162" t="s">
        <v>765</v>
      </c>
      <c r="G5162" t="s">
        <v>179</v>
      </c>
      <c r="H5162" t="s">
        <v>53</v>
      </c>
      <c r="I5162" t="s">
        <v>53</v>
      </c>
      <c r="J5162" t="s">
        <v>53</v>
      </c>
      <c r="K5162" t="s">
        <v>53</v>
      </c>
      <c r="L5162" t="s">
        <v>53</v>
      </c>
      <c r="M5162" t="s">
        <v>53</v>
      </c>
      <c r="N5162" t="s">
        <v>53</v>
      </c>
      <c r="O5162" t="s">
        <v>53</v>
      </c>
      <c r="P5162" t="s">
        <v>53</v>
      </c>
      <c r="Q5162" t="s">
        <v>53</v>
      </c>
    </row>
    <row r="5163" spans="1:17" x14ac:dyDescent="0.2">
      <c r="A5163" s="30" t="str">
        <f>IF(C5163&amp;G5163&amp;D5163&lt;&gt;'Funnel setup'!$K$3&amp;'Funnel setup'!$K$4&amp;'Funnel setup'!$K$5,".",IF(A5162=".",1,A5162+1))</f>
        <v>.</v>
      </c>
      <c r="B5163" s="431" t="str">
        <f t="shared" si="80"/>
        <v>Knee Replacement RevisionCCG of GP PracticeNHS DONCASTER CCG (02X)EQ VAS</v>
      </c>
      <c r="C5163" t="s">
        <v>250</v>
      </c>
      <c r="D5163" t="s">
        <v>87</v>
      </c>
      <c r="E5163" t="s">
        <v>767</v>
      </c>
      <c r="F5163" t="s">
        <v>768</v>
      </c>
      <c r="G5163" t="s">
        <v>179</v>
      </c>
      <c r="H5163">
        <v>18</v>
      </c>
      <c r="I5163">
        <v>53.610999999999997</v>
      </c>
      <c r="J5163">
        <v>58.332999999999998</v>
      </c>
      <c r="K5163">
        <v>4.7220000000000004</v>
      </c>
      <c r="L5163">
        <v>9</v>
      </c>
      <c r="M5163">
        <v>3</v>
      </c>
      <c r="N5163">
        <v>6</v>
      </c>
      <c r="O5163" t="s">
        <v>53</v>
      </c>
      <c r="P5163" t="s">
        <v>53</v>
      </c>
      <c r="Q5163" t="s">
        <v>53</v>
      </c>
    </row>
    <row r="5164" spans="1:17" x14ac:dyDescent="0.2">
      <c r="A5164" s="30" t="str">
        <f>IF(C5164&amp;G5164&amp;D5164&lt;&gt;'Funnel setup'!$K$3&amp;'Funnel setup'!$K$4&amp;'Funnel setup'!$K$5,".",IF(A5163=".",1,A5163+1))</f>
        <v>.</v>
      </c>
      <c r="B5164" s="431" t="str">
        <f t="shared" si="80"/>
        <v>Knee Replacement RevisionCCG of GP PracticeNHS DORSET CCG (11J)EQ VAS</v>
      </c>
      <c r="C5164" t="s">
        <v>250</v>
      </c>
      <c r="D5164" t="s">
        <v>87</v>
      </c>
      <c r="E5164" t="s">
        <v>854</v>
      </c>
      <c r="F5164" t="s">
        <v>855</v>
      </c>
      <c r="G5164" t="s">
        <v>179</v>
      </c>
      <c r="H5164">
        <v>10</v>
      </c>
      <c r="I5164">
        <v>76.7</v>
      </c>
      <c r="J5164">
        <v>65.2</v>
      </c>
      <c r="K5164">
        <v>-11.5</v>
      </c>
      <c r="L5164">
        <v>4</v>
      </c>
      <c r="M5164">
        <v>1</v>
      </c>
      <c r="N5164">
        <v>5</v>
      </c>
      <c r="O5164" t="s">
        <v>53</v>
      </c>
      <c r="P5164" t="s">
        <v>53</v>
      </c>
      <c r="Q5164" t="s">
        <v>53</v>
      </c>
    </row>
    <row r="5165" spans="1:17" x14ac:dyDescent="0.2">
      <c r="A5165" s="30" t="str">
        <f>IF(C5165&amp;G5165&amp;D5165&lt;&gt;'Funnel setup'!$K$3&amp;'Funnel setup'!$K$4&amp;'Funnel setup'!$K$5,".",IF(A5164=".",1,A5164+1))</f>
        <v>.</v>
      </c>
      <c r="B5165" s="431" t="str">
        <f t="shared" si="80"/>
        <v>Knee Replacement RevisionCCG of GP PracticeNHS DUDLEY CCG (05C)EQ VAS</v>
      </c>
      <c r="C5165" t="s">
        <v>250</v>
      </c>
      <c r="D5165" t="s">
        <v>87</v>
      </c>
      <c r="E5165" t="s">
        <v>857</v>
      </c>
      <c r="F5165" t="s">
        <v>858</v>
      </c>
      <c r="G5165" t="s">
        <v>179</v>
      </c>
      <c r="H5165">
        <v>9</v>
      </c>
      <c r="I5165">
        <v>65.667000000000002</v>
      </c>
      <c r="J5165">
        <v>62.222000000000001</v>
      </c>
      <c r="K5165">
        <v>-3.444</v>
      </c>
      <c r="L5165">
        <v>5</v>
      </c>
      <c r="M5165">
        <v>0</v>
      </c>
      <c r="N5165">
        <v>4</v>
      </c>
      <c r="O5165" t="s">
        <v>53</v>
      </c>
      <c r="P5165" t="s">
        <v>53</v>
      </c>
      <c r="Q5165" t="s">
        <v>53</v>
      </c>
    </row>
    <row r="5166" spans="1:17" x14ac:dyDescent="0.2">
      <c r="A5166" s="30" t="str">
        <f>IF(C5166&amp;G5166&amp;D5166&lt;&gt;'Funnel setup'!$K$3&amp;'Funnel setup'!$K$4&amp;'Funnel setup'!$K$5,".",IF(A5165=".",1,A5165+1))</f>
        <v>.</v>
      </c>
      <c r="B5166" s="431" t="str">
        <f t="shared" si="80"/>
        <v>Knee Replacement RevisionCCG of GP PracticeNHS DURHAM DALES, EASINGTON AND SEDGEFIELD CCG (00D)EQ VAS</v>
      </c>
      <c r="C5166" t="s">
        <v>250</v>
      </c>
      <c r="D5166" t="s">
        <v>87</v>
      </c>
      <c r="E5166" t="s">
        <v>860</v>
      </c>
      <c r="F5166" t="s">
        <v>861</v>
      </c>
      <c r="G5166" t="s">
        <v>179</v>
      </c>
      <c r="H5166">
        <v>9</v>
      </c>
      <c r="I5166">
        <v>65.667000000000002</v>
      </c>
      <c r="J5166">
        <v>69.111000000000004</v>
      </c>
      <c r="K5166">
        <v>3.444</v>
      </c>
      <c r="L5166">
        <v>4</v>
      </c>
      <c r="M5166">
        <v>2</v>
      </c>
      <c r="N5166">
        <v>3</v>
      </c>
      <c r="O5166" t="s">
        <v>53</v>
      </c>
      <c r="P5166" t="s">
        <v>53</v>
      </c>
      <c r="Q5166" t="s">
        <v>53</v>
      </c>
    </row>
    <row r="5167" spans="1:17" x14ac:dyDescent="0.2">
      <c r="A5167" s="30" t="str">
        <f>IF(C5167&amp;G5167&amp;D5167&lt;&gt;'Funnel setup'!$K$3&amp;'Funnel setup'!$K$4&amp;'Funnel setup'!$K$5,".",IF(A5166=".",1,A5166+1))</f>
        <v>.</v>
      </c>
      <c r="B5167" s="431" t="str">
        <f t="shared" si="80"/>
        <v>Knee Replacement RevisionCCG of GP PracticeNHS EALING CCG (07W)EQ VAS</v>
      </c>
      <c r="C5167" t="s">
        <v>250</v>
      </c>
      <c r="D5167" t="s">
        <v>87</v>
      </c>
      <c r="E5167" t="s">
        <v>863</v>
      </c>
      <c r="F5167" t="s">
        <v>864</v>
      </c>
      <c r="G5167" t="s">
        <v>179</v>
      </c>
      <c r="H5167" t="s">
        <v>53</v>
      </c>
      <c r="I5167" t="s">
        <v>53</v>
      </c>
      <c r="J5167" t="s">
        <v>53</v>
      </c>
      <c r="K5167" t="s">
        <v>53</v>
      </c>
      <c r="L5167" t="s">
        <v>53</v>
      </c>
      <c r="M5167" t="s">
        <v>53</v>
      </c>
      <c r="N5167" t="s">
        <v>53</v>
      </c>
      <c r="O5167" t="s">
        <v>53</v>
      </c>
      <c r="P5167" t="s">
        <v>53</v>
      </c>
      <c r="Q5167" t="s">
        <v>53</v>
      </c>
    </row>
    <row r="5168" spans="1:17" x14ac:dyDescent="0.2">
      <c r="A5168" s="30" t="str">
        <f>IF(C5168&amp;G5168&amp;D5168&lt;&gt;'Funnel setup'!$K$3&amp;'Funnel setup'!$K$4&amp;'Funnel setup'!$K$5,".",IF(A5167=".",1,A5167+1))</f>
        <v>.</v>
      </c>
      <c r="B5168" s="431" t="str">
        <f t="shared" si="80"/>
        <v>Knee Replacement RevisionCCG of GP PracticeNHS EAST AND NORTH HERTFORDSHIRE CCG (06K)EQ VAS</v>
      </c>
      <c r="C5168" t="s">
        <v>250</v>
      </c>
      <c r="D5168" t="s">
        <v>87</v>
      </c>
      <c r="E5168" t="s">
        <v>866</v>
      </c>
      <c r="F5168" t="s">
        <v>867</v>
      </c>
      <c r="G5168" t="s">
        <v>179</v>
      </c>
      <c r="H5168">
        <v>12</v>
      </c>
      <c r="I5168">
        <v>60</v>
      </c>
      <c r="J5168">
        <v>62.75</v>
      </c>
      <c r="K5168">
        <v>2.75</v>
      </c>
      <c r="L5168">
        <v>4</v>
      </c>
      <c r="M5168">
        <v>5</v>
      </c>
      <c r="N5168">
        <v>3</v>
      </c>
      <c r="O5168" t="s">
        <v>53</v>
      </c>
      <c r="P5168" t="s">
        <v>53</v>
      </c>
      <c r="Q5168" t="s">
        <v>53</v>
      </c>
    </row>
    <row r="5169" spans="1:17" x14ac:dyDescent="0.2">
      <c r="A5169" s="30" t="str">
        <f>IF(C5169&amp;G5169&amp;D5169&lt;&gt;'Funnel setup'!$K$3&amp;'Funnel setup'!$K$4&amp;'Funnel setup'!$K$5,".",IF(A5168=".",1,A5168+1))</f>
        <v>.</v>
      </c>
      <c r="B5169" s="431" t="str">
        <f t="shared" si="80"/>
        <v>Knee Replacement RevisionCCG of GP PracticeNHS EAST LANCASHIRE CCG (01A)EQ VAS</v>
      </c>
      <c r="C5169" t="s">
        <v>250</v>
      </c>
      <c r="D5169" t="s">
        <v>87</v>
      </c>
      <c r="E5169" t="s">
        <v>869</v>
      </c>
      <c r="F5169" t="s">
        <v>870</v>
      </c>
      <c r="G5169" t="s">
        <v>179</v>
      </c>
      <c r="H5169">
        <v>8</v>
      </c>
      <c r="I5169">
        <v>63.75</v>
      </c>
      <c r="J5169">
        <v>63.625</v>
      </c>
      <c r="K5169">
        <v>-0.125</v>
      </c>
      <c r="L5169">
        <v>4</v>
      </c>
      <c r="M5169">
        <v>0</v>
      </c>
      <c r="N5169">
        <v>4</v>
      </c>
      <c r="O5169" t="s">
        <v>53</v>
      </c>
      <c r="P5169" t="s">
        <v>53</v>
      </c>
      <c r="Q5169" t="s">
        <v>53</v>
      </c>
    </row>
    <row r="5170" spans="1:17" x14ac:dyDescent="0.2">
      <c r="A5170" s="30" t="str">
        <f>IF(C5170&amp;G5170&amp;D5170&lt;&gt;'Funnel setup'!$K$3&amp;'Funnel setup'!$K$4&amp;'Funnel setup'!$K$5,".",IF(A5169=".",1,A5169+1))</f>
        <v>.</v>
      </c>
      <c r="B5170" s="431" t="str">
        <f t="shared" si="80"/>
        <v>Knee Replacement RevisionCCG of GP PracticeNHS EAST LEICESTERSHIRE AND RUTLAND CCG (03W)EQ VAS</v>
      </c>
      <c r="C5170" t="s">
        <v>250</v>
      </c>
      <c r="D5170" t="s">
        <v>87</v>
      </c>
      <c r="E5170" t="s">
        <v>872</v>
      </c>
      <c r="F5170" t="s">
        <v>873</v>
      </c>
      <c r="G5170" t="s">
        <v>179</v>
      </c>
      <c r="H5170">
        <v>14</v>
      </c>
      <c r="I5170">
        <v>65</v>
      </c>
      <c r="J5170">
        <v>75.5</v>
      </c>
      <c r="K5170">
        <v>10.5</v>
      </c>
      <c r="L5170">
        <v>7</v>
      </c>
      <c r="M5170">
        <v>3</v>
      </c>
      <c r="N5170">
        <v>4</v>
      </c>
      <c r="O5170" t="s">
        <v>53</v>
      </c>
      <c r="P5170" t="s">
        <v>53</v>
      </c>
      <c r="Q5170" t="s">
        <v>53</v>
      </c>
    </row>
    <row r="5171" spans="1:17" x14ac:dyDescent="0.2">
      <c r="A5171" s="30" t="str">
        <f>IF(C5171&amp;G5171&amp;D5171&lt;&gt;'Funnel setup'!$K$3&amp;'Funnel setup'!$K$4&amp;'Funnel setup'!$K$5,".",IF(A5170=".",1,A5170+1))</f>
        <v>.</v>
      </c>
      <c r="B5171" s="431" t="str">
        <f t="shared" si="80"/>
        <v>Knee Replacement RevisionCCG of GP PracticeNHS EAST RIDING OF YORKSHIRE CCG (02Y)EQ VAS</v>
      </c>
      <c r="C5171" t="s">
        <v>250</v>
      </c>
      <c r="D5171" t="s">
        <v>87</v>
      </c>
      <c r="E5171" t="s">
        <v>875</v>
      </c>
      <c r="F5171" t="s">
        <v>876</v>
      </c>
      <c r="G5171" t="s">
        <v>179</v>
      </c>
      <c r="H5171">
        <v>17</v>
      </c>
      <c r="I5171">
        <v>68.293999999999997</v>
      </c>
      <c r="J5171">
        <v>64.293999999999997</v>
      </c>
      <c r="K5171">
        <v>-4</v>
      </c>
      <c r="L5171">
        <v>5</v>
      </c>
      <c r="M5171">
        <v>3</v>
      </c>
      <c r="N5171">
        <v>9</v>
      </c>
      <c r="O5171" t="s">
        <v>53</v>
      </c>
      <c r="P5171" t="s">
        <v>53</v>
      </c>
      <c r="Q5171" t="s">
        <v>53</v>
      </c>
    </row>
    <row r="5172" spans="1:17" x14ac:dyDescent="0.2">
      <c r="A5172" s="30" t="str">
        <f>IF(C5172&amp;G5172&amp;D5172&lt;&gt;'Funnel setup'!$K$3&amp;'Funnel setup'!$K$4&amp;'Funnel setup'!$K$5,".",IF(A5171=".",1,A5171+1))</f>
        <v>.</v>
      </c>
      <c r="B5172" s="431" t="str">
        <f t="shared" si="80"/>
        <v>Knee Replacement RevisionCCG of GP PracticeNHS EAST STAFFORDSHIRE CCG (05D)EQ VAS</v>
      </c>
      <c r="C5172" t="s">
        <v>250</v>
      </c>
      <c r="D5172" t="s">
        <v>87</v>
      </c>
      <c r="E5172" t="s">
        <v>878</v>
      </c>
      <c r="F5172" t="s">
        <v>879</v>
      </c>
      <c r="G5172" t="s">
        <v>179</v>
      </c>
      <c r="H5172" t="s">
        <v>53</v>
      </c>
      <c r="I5172" t="s">
        <v>53</v>
      </c>
      <c r="J5172" t="s">
        <v>53</v>
      </c>
      <c r="K5172" t="s">
        <v>53</v>
      </c>
      <c r="L5172" t="s">
        <v>53</v>
      </c>
      <c r="M5172" t="s">
        <v>53</v>
      </c>
      <c r="N5172" t="s">
        <v>53</v>
      </c>
      <c r="O5172" t="s">
        <v>53</v>
      </c>
      <c r="P5172" t="s">
        <v>53</v>
      </c>
      <c r="Q5172" t="s">
        <v>53</v>
      </c>
    </row>
    <row r="5173" spans="1:17" x14ac:dyDescent="0.2">
      <c r="A5173" s="30" t="str">
        <f>IF(C5173&amp;G5173&amp;D5173&lt;&gt;'Funnel setup'!$K$3&amp;'Funnel setup'!$K$4&amp;'Funnel setup'!$K$5,".",IF(A5172=".",1,A5172+1))</f>
        <v>.</v>
      </c>
      <c r="B5173" s="431" t="str">
        <f t="shared" si="80"/>
        <v>Knee Replacement RevisionCCG of GP PracticeNHS EAST SURREY CCG (09L)EQ VAS</v>
      </c>
      <c r="C5173" t="s">
        <v>250</v>
      </c>
      <c r="D5173" t="s">
        <v>87</v>
      </c>
      <c r="E5173" t="s">
        <v>881</v>
      </c>
      <c r="F5173" t="s">
        <v>882</v>
      </c>
      <c r="G5173" t="s">
        <v>179</v>
      </c>
      <c r="H5173" t="s">
        <v>53</v>
      </c>
      <c r="I5173" t="s">
        <v>53</v>
      </c>
      <c r="J5173" t="s">
        <v>53</v>
      </c>
      <c r="K5173" t="s">
        <v>53</v>
      </c>
      <c r="L5173" t="s">
        <v>53</v>
      </c>
      <c r="M5173" t="s">
        <v>53</v>
      </c>
      <c r="N5173" t="s">
        <v>53</v>
      </c>
      <c r="O5173" t="s">
        <v>53</v>
      </c>
      <c r="P5173" t="s">
        <v>53</v>
      </c>
      <c r="Q5173" t="s">
        <v>53</v>
      </c>
    </row>
    <row r="5174" spans="1:17" x14ac:dyDescent="0.2">
      <c r="A5174" s="30" t="str">
        <f>IF(C5174&amp;G5174&amp;D5174&lt;&gt;'Funnel setup'!$K$3&amp;'Funnel setup'!$K$4&amp;'Funnel setup'!$K$5,".",IF(A5173=".",1,A5173+1))</f>
        <v>.</v>
      </c>
      <c r="B5174" s="431" t="str">
        <f t="shared" si="80"/>
        <v>Knee Replacement RevisionCCG of GP PracticeNHS EASTBOURNE, HAILSHAM AND SEAFORD CCG (09F)EQ VAS</v>
      </c>
      <c r="C5174" t="s">
        <v>250</v>
      </c>
      <c r="D5174" t="s">
        <v>87</v>
      </c>
      <c r="E5174" t="s">
        <v>884</v>
      </c>
      <c r="F5174" t="s">
        <v>885</v>
      </c>
      <c r="G5174" t="s">
        <v>179</v>
      </c>
      <c r="H5174">
        <v>12</v>
      </c>
      <c r="I5174">
        <v>71.75</v>
      </c>
      <c r="J5174">
        <v>67.082999999999998</v>
      </c>
      <c r="K5174">
        <v>-4.6669999999999998</v>
      </c>
      <c r="L5174">
        <v>3</v>
      </c>
      <c r="M5174">
        <v>3</v>
      </c>
      <c r="N5174">
        <v>6</v>
      </c>
      <c r="O5174" t="s">
        <v>53</v>
      </c>
      <c r="P5174" t="s">
        <v>53</v>
      </c>
      <c r="Q5174" t="s">
        <v>53</v>
      </c>
    </row>
    <row r="5175" spans="1:17" x14ac:dyDescent="0.2">
      <c r="A5175" s="30" t="str">
        <f>IF(C5175&amp;G5175&amp;D5175&lt;&gt;'Funnel setup'!$K$3&amp;'Funnel setup'!$K$4&amp;'Funnel setup'!$K$5,".",IF(A5174=".",1,A5174+1))</f>
        <v>.</v>
      </c>
      <c r="B5175" s="431" t="str">
        <f t="shared" si="80"/>
        <v>Knee Replacement RevisionCCG of GP PracticeNHS EASTERN CHESHIRE CCG (01C)EQ VAS</v>
      </c>
      <c r="C5175" t="s">
        <v>250</v>
      </c>
      <c r="D5175" t="s">
        <v>87</v>
      </c>
      <c r="E5175" t="s">
        <v>887</v>
      </c>
      <c r="F5175" t="s">
        <v>888</v>
      </c>
      <c r="G5175" t="s">
        <v>179</v>
      </c>
      <c r="H5175" t="s">
        <v>53</v>
      </c>
      <c r="I5175" t="s">
        <v>53</v>
      </c>
      <c r="J5175" t="s">
        <v>53</v>
      </c>
      <c r="K5175" t="s">
        <v>53</v>
      </c>
      <c r="L5175" t="s">
        <v>53</v>
      </c>
      <c r="M5175" t="s">
        <v>53</v>
      </c>
      <c r="N5175" t="s">
        <v>53</v>
      </c>
      <c r="O5175" t="s">
        <v>53</v>
      </c>
      <c r="P5175" t="s">
        <v>53</v>
      </c>
      <c r="Q5175" t="s">
        <v>53</v>
      </c>
    </row>
    <row r="5176" spans="1:17" x14ac:dyDescent="0.2">
      <c r="A5176" s="30" t="str">
        <f>IF(C5176&amp;G5176&amp;D5176&lt;&gt;'Funnel setup'!$K$3&amp;'Funnel setup'!$K$4&amp;'Funnel setup'!$K$5,".",IF(A5175=".",1,A5175+1))</f>
        <v>.</v>
      </c>
      <c r="B5176" s="431" t="str">
        <f t="shared" si="80"/>
        <v>Knee Replacement RevisionCCG of GP PracticeNHS ENFIELD CCG (07X)EQ VAS</v>
      </c>
      <c r="C5176" t="s">
        <v>250</v>
      </c>
      <c r="D5176" t="s">
        <v>87</v>
      </c>
      <c r="E5176" t="s">
        <v>890</v>
      </c>
      <c r="F5176" t="s">
        <v>891</v>
      </c>
      <c r="G5176" t="s">
        <v>179</v>
      </c>
      <c r="H5176" t="s">
        <v>53</v>
      </c>
      <c r="I5176" t="s">
        <v>53</v>
      </c>
      <c r="J5176" t="s">
        <v>53</v>
      </c>
      <c r="K5176" t="s">
        <v>53</v>
      </c>
      <c r="L5176" t="s">
        <v>53</v>
      </c>
      <c r="M5176" t="s">
        <v>53</v>
      </c>
      <c r="N5176" t="s">
        <v>53</v>
      </c>
      <c r="O5176" t="s">
        <v>53</v>
      </c>
      <c r="P5176" t="s">
        <v>53</v>
      </c>
      <c r="Q5176" t="s">
        <v>53</v>
      </c>
    </row>
    <row r="5177" spans="1:17" x14ac:dyDescent="0.2">
      <c r="A5177" s="30" t="str">
        <f>IF(C5177&amp;G5177&amp;D5177&lt;&gt;'Funnel setup'!$K$3&amp;'Funnel setup'!$K$4&amp;'Funnel setup'!$K$5,".",IF(A5176=".",1,A5176+1))</f>
        <v>.</v>
      </c>
      <c r="B5177" s="431" t="str">
        <f t="shared" si="80"/>
        <v>Knee Replacement RevisionCCG of GP PracticeNHS EREWASH CCG (03X)EQ VAS</v>
      </c>
      <c r="C5177" t="s">
        <v>250</v>
      </c>
      <c r="D5177" t="s">
        <v>87</v>
      </c>
      <c r="E5177" t="s">
        <v>893</v>
      </c>
      <c r="F5177" t="s">
        <v>894</v>
      </c>
      <c r="G5177" t="s">
        <v>179</v>
      </c>
      <c r="H5177" t="s">
        <v>53</v>
      </c>
      <c r="I5177" t="s">
        <v>53</v>
      </c>
      <c r="J5177" t="s">
        <v>53</v>
      </c>
      <c r="K5177" t="s">
        <v>53</v>
      </c>
      <c r="L5177" t="s">
        <v>53</v>
      </c>
      <c r="M5177" t="s">
        <v>53</v>
      </c>
      <c r="N5177" t="s">
        <v>53</v>
      </c>
      <c r="O5177" t="s">
        <v>53</v>
      </c>
      <c r="P5177" t="s">
        <v>53</v>
      </c>
      <c r="Q5177" t="s">
        <v>53</v>
      </c>
    </row>
    <row r="5178" spans="1:17" x14ac:dyDescent="0.2">
      <c r="A5178" s="30" t="str">
        <f>IF(C5178&amp;G5178&amp;D5178&lt;&gt;'Funnel setup'!$K$3&amp;'Funnel setup'!$K$4&amp;'Funnel setup'!$K$5,".",IF(A5177=".",1,A5177+1))</f>
        <v>.</v>
      </c>
      <c r="B5178" s="431" t="str">
        <f t="shared" si="80"/>
        <v>Knee Replacement RevisionCCG of GP PracticeNHS FAREHAM AND GOSPORT CCG (10K)EQ VAS</v>
      </c>
      <c r="C5178" t="s">
        <v>250</v>
      </c>
      <c r="D5178" t="s">
        <v>87</v>
      </c>
      <c r="E5178" t="s">
        <v>896</v>
      </c>
      <c r="F5178" t="s">
        <v>897</v>
      </c>
      <c r="G5178" t="s">
        <v>179</v>
      </c>
      <c r="H5178" t="s">
        <v>53</v>
      </c>
      <c r="I5178" t="s">
        <v>53</v>
      </c>
      <c r="J5178" t="s">
        <v>53</v>
      </c>
      <c r="K5178" t="s">
        <v>53</v>
      </c>
      <c r="L5178" t="s">
        <v>53</v>
      </c>
      <c r="M5178" t="s">
        <v>53</v>
      </c>
      <c r="N5178" t="s">
        <v>53</v>
      </c>
      <c r="O5178" t="s">
        <v>53</v>
      </c>
      <c r="P5178" t="s">
        <v>53</v>
      </c>
      <c r="Q5178" t="s">
        <v>53</v>
      </c>
    </row>
    <row r="5179" spans="1:17" x14ac:dyDescent="0.2">
      <c r="A5179" s="30" t="str">
        <f>IF(C5179&amp;G5179&amp;D5179&lt;&gt;'Funnel setup'!$K$3&amp;'Funnel setup'!$K$4&amp;'Funnel setup'!$K$5,".",IF(A5178=".",1,A5178+1))</f>
        <v>.</v>
      </c>
      <c r="B5179" s="431" t="str">
        <f t="shared" si="80"/>
        <v>Knee Replacement RevisionCCG of GP PracticeNHS FYLDE &amp; WYRE CCG (02M)EQ VAS</v>
      </c>
      <c r="C5179" t="s">
        <v>250</v>
      </c>
      <c r="D5179" t="s">
        <v>87</v>
      </c>
      <c r="E5179" t="s">
        <v>899</v>
      </c>
      <c r="F5179" t="s">
        <v>900</v>
      </c>
      <c r="G5179" t="s">
        <v>179</v>
      </c>
      <c r="H5179" t="s">
        <v>53</v>
      </c>
      <c r="I5179" t="s">
        <v>53</v>
      </c>
      <c r="J5179" t="s">
        <v>53</v>
      </c>
      <c r="K5179" t="s">
        <v>53</v>
      </c>
      <c r="L5179" t="s">
        <v>53</v>
      </c>
      <c r="M5179" t="s">
        <v>53</v>
      </c>
      <c r="N5179" t="s">
        <v>53</v>
      </c>
      <c r="O5179" t="s">
        <v>53</v>
      </c>
      <c r="P5179" t="s">
        <v>53</v>
      </c>
      <c r="Q5179" t="s">
        <v>53</v>
      </c>
    </row>
    <row r="5180" spans="1:17" x14ac:dyDescent="0.2">
      <c r="A5180" s="30" t="str">
        <f>IF(C5180&amp;G5180&amp;D5180&lt;&gt;'Funnel setup'!$K$3&amp;'Funnel setup'!$K$4&amp;'Funnel setup'!$K$5,".",IF(A5179=".",1,A5179+1))</f>
        <v>.</v>
      </c>
      <c r="B5180" s="431" t="str">
        <f t="shared" si="80"/>
        <v>Knee Replacement RevisionCCG of GP PracticeNHS GLOUCESTERSHIRE CCG (11M)EQ VAS</v>
      </c>
      <c r="C5180" t="s">
        <v>250</v>
      </c>
      <c r="D5180" t="s">
        <v>87</v>
      </c>
      <c r="E5180" t="s">
        <v>902</v>
      </c>
      <c r="F5180" t="s">
        <v>903</v>
      </c>
      <c r="G5180" t="s">
        <v>179</v>
      </c>
      <c r="H5180">
        <v>31</v>
      </c>
      <c r="I5180">
        <v>73.129000000000005</v>
      </c>
      <c r="J5180">
        <v>69.516000000000005</v>
      </c>
      <c r="K5180">
        <v>-3.613</v>
      </c>
      <c r="L5180">
        <v>13</v>
      </c>
      <c r="M5180">
        <v>6</v>
      </c>
      <c r="N5180">
        <v>12</v>
      </c>
      <c r="O5180">
        <v>63.948</v>
      </c>
      <c r="P5180">
        <v>-0.50831394200000002</v>
      </c>
      <c r="Q5180">
        <v>25.116</v>
      </c>
    </row>
    <row r="5181" spans="1:17" x14ac:dyDescent="0.2">
      <c r="A5181" s="30" t="str">
        <f>IF(C5181&amp;G5181&amp;D5181&lt;&gt;'Funnel setup'!$K$3&amp;'Funnel setup'!$K$4&amp;'Funnel setup'!$K$5,".",IF(A5180=".",1,A5180+1))</f>
        <v>.</v>
      </c>
      <c r="B5181" s="431" t="str">
        <f t="shared" si="80"/>
        <v>Knee Replacement RevisionCCG of GP PracticeNHS GREAT YARMOUTH AND WAVENEY CCG (06M)EQ VAS</v>
      </c>
      <c r="C5181" t="s">
        <v>250</v>
      </c>
      <c r="D5181" t="s">
        <v>87</v>
      </c>
      <c r="E5181" t="s">
        <v>905</v>
      </c>
      <c r="F5181" t="s">
        <v>906</v>
      </c>
      <c r="G5181" t="s">
        <v>179</v>
      </c>
      <c r="H5181">
        <v>7</v>
      </c>
      <c r="I5181">
        <v>81</v>
      </c>
      <c r="J5181">
        <v>79.286000000000001</v>
      </c>
      <c r="K5181">
        <v>-1.714</v>
      </c>
      <c r="L5181">
        <v>3</v>
      </c>
      <c r="M5181">
        <v>1</v>
      </c>
      <c r="N5181">
        <v>3</v>
      </c>
      <c r="O5181" t="s">
        <v>53</v>
      </c>
      <c r="P5181" t="s">
        <v>53</v>
      </c>
      <c r="Q5181" t="s">
        <v>53</v>
      </c>
    </row>
    <row r="5182" spans="1:17" x14ac:dyDescent="0.2">
      <c r="A5182" s="30" t="str">
        <f>IF(C5182&amp;G5182&amp;D5182&lt;&gt;'Funnel setup'!$K$3&amp;'Funnel setup'!$K$4&amp;'Funnel setup'!$K$5,".",IF(A5181=".",1,A5181+1))</f>
        <v>.</v>
      </c>
      <c r="B5182" s="431" t="str">
        <f t="shared" si="80"/>
        <v>Knee Replacement RevisionCCG of GP PracticeNHS GREATER HUDDERSFIELD CCG (03A)EQ VAS</v>
      </c>
      <c r="C5182" t="s">
        <v>250</v>
      </c>
      <c r="D5182" t="s">
        <v>87</v>
      </c>
      <c r="E5182" t="s">
        <v>908</v>
      </c>
      <c r="F5182" t="s">
        <v>909</v>
      </c>
      <c r="G5182" t="s">
        <v>179</v>
      </c>
      <c r="H5182">
        <v>7</v>
      </c>
      <c r="I5182">
        <v>77</v>
      </c>
      <c r="J5182">
        <v>81.570999999999998</v>
      </c>
      <c r="K5182">
        <v>4.5709999999999997</v>
      </c>
      <c r="L5182">
        <v>4</v>
      </c>
      <c r="M5182">
        <v>1</v>
      </c>
      <c r="N5182">
        <v>2</v>
      </c>
      <c r="O5182" t="s">
        <v>53</v>
      </c>
      <c r="P5182" t="s">
        <v>53</v>
      </c>
      <c r="Q5182" t="s">
        <v>53</v>
      </c>
    </row>
    <row r="5183" spans="1:17" x14ac:dyDescent="0.2">
      <c r="A5183" s="30" t="str">
        <f>IF(C5183&amp;G5183&amp;D5183&lt;&gt;'Funnel setup'!$K$3&amp;'Funnel setup'!$K$4&amp;'Funnel setup'!$K$5,".",IF(A5182=".",1,A5182+1))</f>
        <v>.</v>
      </c>
      <c r="B5183" s="431" t="str">
        <f t="shared" si="80"/>
        <v>Knee Replacement RevisionCCG of GP PracticeNHS GREATER PRESTON CCG (01E)EQ VAS</v>
      </c>
      <c r="C5183" t="s">
        <v>250</v>
      </c>
      <c r="D5183" t="s">
        <v>87</v>
      </c>
      <c r="E5183" t="s">
        <v>486</v>
      </c>
      <c r="F5183" t="s">
        <v>487</v>
      </c>
      <c r="G5183" t="s">
        <v>179</v>
      </c>
      <c r="H5183" t="s">
        <v>53</v>
      </c>
      <c r="I5183" t="s">
        <v>53</v>
      </c>
      <c r="J5183" t="s">
        <v>53</v>
      </c>
      <c r="K5183" t="s">
        <v>53</v>
      </c>
      <c r="L5183" t="s">
        <v>53</v>
      </c>
      <c r="M5183" t="s">
        <v>53</v>
      </c>
      <c r="N5183" t="s">
        <v>53</v>
      </c>
      <c r="O5183" t="s">
        <v>53</v>
      </c>
      <c r="P5183" t="s">
        <v>53</v>
      </c>
      <c r="Q5183" t="s">
        <v>53</v>
      </c>
    </row>
    <row r="5184" spans="1:17" x14ac:dyDescent="0.2">
      <c r="A5184" s="30" t="str">
        <f>IF(C5184&amp;G5184&amp;D5184&lt;&gt;'Funnel setup'!$K$3&amp;'Funnel setup'!$K$4&amp;'Funnel setup'!$K$5,".",IF(A5183=".",1,A5183+1))</f>
        <v>.</v>
      </c>
      <c r="B5184" s="431" t="str">
        <f t="shared" si="80"/>
        <v>Knee Replacement RevisionCCG of GP PracticeNHS GREENWICH CCG (08A)EQ VAS</v>
      </c>
      <c r="C5184" t="s">
        <v>250</v>
      </c>
      <c r="D5184" t="s">
        <v>87</v>
      </c>
      <c r="E5184" t="s">
        <v>489</v>
      </c>
      <c r="F5184" t="s">
        <v>490</v>
      </c>
      <c r="G5184" t="s">
        <v>179</v>
      </c>
      <c r="H5184" t="s">
        <v>53</v>
      </c>
      <c r="I5184" t="s">
        <v>53</v>
      </c>
      <c r="J5184" t="s">
        <v>53</v>
      </c>
      <c r="K5184" t="s">
        <v>53</v>
      </c>
      <c r="L5184" t="s">
        <v>53</v>
      </c>
      <c r="M5184" t="s">
        <v>53</v>
      </c>
      <c r="N5184" t="s">
        <v>53</v>
      </c>
      <c r="O5184" t="s">
        <v>53</v>
      </c>
      <c r="P5184" t="s">
        <v>53</v>
      </c>
      <c r="Q5184" t="s">
        <v>53</v>
      </c>
    </row>
    <row r="5185" spans="1:17" x14ac:dyDescent="0.2">
      <c r="A5185" s="30" t="str">
        <f>IF(C5185&amp;G5185&amp;D5185&lt;&gt;'Funnel setup'!$K$3&amp;'Funnel setup'!$K$4&amp;'Funnel setup'!$K$5,".",IF(A5184=".",1,A5184+1))</f>
        <v>.</v>
      </c>
      <c r="B5185" s="431" t="str">
        <f t="shared" si="80"/>
        <v>Knee Replacement RevisionCCG of GP PracticeNHS GUILDFORD AND WAVERLEY CCG (09N)EQ VAS</v>
      </c>
      <c r="C5185" t="s">
        <v>250</v>
      </c>
      <c r="D5185" t="s">
        <v>87</v>
      </c>
      <c r="E5185" t="s">
        <v>911</v>
      </c>
      <c r="F5185" t="s">
        <v>912</v>
      </c>
      <c r="G5185" t="s">
        <v>179</v>
      </c>
      <c r="H5185" t="s">
        <v>53</v>
      </c>
      <c r="I5185" t="s">
        <v>53</v>
      </c>
      <c r="J5185" t="s">
        <v>53</v>
      </c>
      <c r="K5185" t="s">
        <v>53</v>
      </c>
      <c r="L5185" t="s">
        <v>53</v>
      </c>
      <c r="M5185" t="s">
        <v>53</v>
      </c>
      <c r="N5185" t="s">
        <v>53</v>
      </c>
      <c r="O5185" t="s">
        <v>53</v>
      </c>
      <c r="P5185" t="s">
        <v>53</v>
      </c>
      <c r="Q5185" t="s">
        <v>53</v>
      </c>
    </row>
    <row r="5186" spans="1:17" x14ac:dyDescent="0.2">
      <c r="A5186" s="30" t="str">
        <f>IF(C5186&amp;G5186&amp;D5186&lt;&gt;'Funnel setup'!$K$3&amp;'Funnel setup'!$K$4&amp;'Funnel setup'!$K$5,".",IF(A5185=".",1,A5185+1))</f>
        <v>.</v>
      </c>
      <c r="B5186" s="431" t="str">
        <f t="shared" si="80"/>
        <v>Knee Replacement RevisionCCG of GP PracticeNHS HALTON CCG (01F)EQ VAS</v>
      </c>
      <c r="C5186" t="s">
        <v>250</v>
      </c>
      <c r="D5186" t="s">
        <v>87</v>
      </c>
      <c r="E5186" t="s">
        <v>914</v>
      </c>
      <c r="F5186" t="s">
        <v>915</v>
      </c>
      <c r="G5186" t="s">
        <v>179</v>
      </c>
      <c r="H5186">
        <v>8</v>
      </c>
      <c r="I5186">
        <v>66.75</v>
      </c>
      <c r="J5186">
        <v>70.5</v>
      </c>
      <c r="K5186">
        <v>3.75</v>
      </c>
      <c r="L5186">
        <v>4</v>
      </c>
      <c r="M5186">
        <v>1</v>
      </c>
      <c r="N5186">
        <v>3</v>
      </c>
      <c r="O5186" t="s">
        <v>53</v>
      </c>
      <c r="P5186" t="s">
        <v>53</v>
      </c>
      <c r="Q5186" t="s">
        <v>53</v>
      </c>
    </row>
    <row r="5187" spans="1:17" x14ac:dyDescent="0.2">
      <c r="A5187" s="30" t="str">
        <f>IF(C5187&amp;G5187&amp;D5187&lt;&gt;'Funnel setup'!$K$3&amp;'Funnel setup'!$K$4&amp;'Funnel setup'!$K$5,".",IF(A5186=".",1,A5186+1))</f>
        <v>.</v>
      </c>
      <c r="B5187" s="431" t="str">
        <f t="shared" ref="B5187:B5250" si="81">C5187&amp;D5187&amp;F5187&amp;G5187</f>
        <v>Knee Replacement RevisionCCG of GP PracticeNHS HAMBLETON, RICHMONDSHIRE AND WHITBY CCG (03D)EQ VAS</v>
      </c>
      <c r="C5187" t="s">
        <v>250</v>
      </c>
      <c r="D5187" t="s">
        <v>87</v>
      </c>
      <c r="E5187" t="s">
        <v>917</v>
      </c>
      <c r="F5187" t="s">
        <v>918</v>
      </c>
      <c r="G5187" t="s">
        <v>179</v>
      </c>
      <c r="H5187">
        <v>10</v>
      </c>
      <c r="I5187">
        <v>65.099999999999994</v>
      </c>
      <c r="J5187">
        <v>70.2</v>
      </c>
      <c r="K5187">
        <v>5.0999999999999996</v>
      </c>
      <c r="L5187">
        <v>6</v>
      </c>
      <c r="M5187">
        <v>1</v>
      </c>
      <c r="N5187">
        <v>3</v>
      </c>
      <c r="O5187" t="s">
        <v>53</v>
      </c>
      <c r="P5187" t="s">
        <v>53</v>
      </c>
      <c r="Q5187" t="s">
        <v>53</v>
      </c>
    </row>
    <row r="5188" spans="1:17" x14ac:dyDescent="0.2">
      <c r="A5188" s="30" t="str">
        <f>IF(C5188&amp;G5188&amp;D5188&lt;&gt;'Funnel setup'!$K$3&amp;'Funnel setup'!$K$4&amp;'Funnel setup'!$K$5,".",IF(A5187=".",1,A5187+1))</f>
        <v>.</v>
      </c>
      <c r="B5188" s="431" t="str">
        <f t="shared" si="81"/>
        <v>Knee Replacement RevisionCCG of GP PracticeNHS HARDWICK CCG (03Y)EQ VAS</v>
      </c>
      <c r="C5188" t="s">
        <v>250</v>
      </c>
      <c r="D5188" t="s">
        <v>87</v>
      </c>
      <c r="E5188" t="s">
        <v>923</v>
      </c>
      <c r="F5188" t="s">
        <v>924</v>
      </c>
      <c r="G5188" t="s">
        <v>179</v>
      </c>
      <c r="H5188">
        <v>6</v>
      </c>
      <c r="I5188">
        <v>71</v>
      </c>
      <c r="J5188">
        <v>64</v>
      </c>
      <c r="K5188">
        <v>-7</v>
      </c>
      <c r="L5188">
        <v>3</v>
      </c>
      <c r="M5188">
        <v>1</v>
      </c>
      <c r="N5188">
        <v>2</v>
      </c>
      <c r="O5188" t="s">
        <v>53</v>
      </c>
      <c r="P5188" t="s">
        <v>53</v>
      </c>
      <c r="Q5188" t="s">
        <v>53</v>
      </c>
    </row>
    <row r="5189" spans="1:17" x14ac:dyDescent="0.2">
      <c r="A5189" s="30" t="str">
        <f>IF(C5189&amp;G5189&amp;D5189&lt;&gt;'Funnel setup'!$K$3&amp;'Funnel setup'!$K$4&amp;'Funnel setup'!$K$5,".",IF(A5188=".",1,A5188+1))</f>
        <v>.</v>
      </c>
      <c r="B5189" s="431" t="str">
        <f t="shared" si="81"/>
        <v>Knee Replacement RevisionCCG of GP PracticeNHS HARROGATE AND RURAL DISTRICT CCG (03E)EQ VAS</v>
      </c>
      <c r="C5189" t="s">
        <v>250</v>
      </c>
      <c r="D5189" t="s">
        <v>87</v>
      </c>
      <c r="E5189" t="s">
        <v>929</v>
      </c>
      <c r="F5189" t="s">
        <v>930</v>
      </c>
      <c r="G5189" t="s">
        <v>179</v>
      </c>
      <c r="H5189">
        <v>8</v>
      </c>
      <c r="I5189">
        <v>66</v>
      </c>
      <c r="J5189">
        <v>74.375</v>
      </c>
      <c r="K5189">
        <v>8.375</v>
      </c>
      <c r="L5189">
        <v>3</v>
      </c>
      <c r="M5189">
        <v>4</v>
      </c>
      <c r="N5189">
        <v>1</v>
      </c>
      <c r="O5189" t="s">
        <v>53</v>
      </c>
      <c r="P5189" t="s">
        <v>53</v>
      </c>
      <c r="Q5189" t="s">
        <v>53</v>
      </c>
    </row>
    <row r="5190" spans="1:17" x14ac:dyDescent="0.2">
      <c r="A5190" s="30" t="str">
        <f>IF(C5190&amp;G5190&amp;D5190&lt;&gt;'Funnel setup'!$K$3&amp;'Funnel setup'!$K$4&amp;'Funnel setup'!$K$5,".",IF(A5189=".",1,A5189+1))</f>
        <v>.</v>
      </c>
      <c r="B5190" s="431" t="str">
        <f t="shared" si="81"/>
        <v>Knee Replacement RevisionCCG of GP PracticeNHS HARTLEPOOL AND STOCKTON-ON-TEES CCG (00K)EQ VAS</v>
      </c>
      <c r="C5190" t="s">
        <v>250</v>
      </c>
      <c r="D5190" t="s">
        <v>87</v>
      </c>
      <c r="E5190" t="s">
        <v>495</v>
      </c>
      <c r="F5190" t="s">
        <v>496</v>
      </c>
      <c r="G5190" t="s">
        <v>179</v>
      </c>
      <c r="H5190">
        <v>16</v>
      </c>
      <c r="I5190">
        <v>62.5</v>
      </c>
      <c r="J5190">
        <v>61.063000000000002</v>
      </c>
      <c r="K5190">
        <v>-1.4379999999999999</v>
      </c>
      <c r="L5190">
        <v>8</v>
      </c>
      <c r="M5190">
        <v>2</v>
      </c>
      <c r="N5190">
        <v>6</v>
      </c>
      <c r="O5190" t="s">
        <v>53</v>
      </c>
      <c r="P5190" t="s">
        <v>53</v>
      </c>
      <c r="Q5190" t="s">
        <v>53</v>
      </c>
    </row>
    <row r="5191" spans="1:17" x14ac:dyDescent="0.2">
      <c r="A5191" s="30" t="str">
        <f>IF(C5191&amp;G5191&amp;D5191&lt;&gt;'Funnel setup'!$K$3&amp;'Funnel setup'!$K$4&amp;'Funnel setup'!$K$5,".",IF(A5190=".",1,A5190+1))</f>
        <v>.</v>
      </c>
      <c r="B5191" s="431" t="str">
        <f t="shared" si="81"/>
        <v>Knee Replacement RevisionCCG of GP PracticeNHS HASTINGS AND ROTHER CCG (09P)EQ VAS</v>
      </c>
      <c r="C5191" t="s">
        <v>250</v>
      </c>
      <c r="D5191" t="s">
        <v>87</v>
      </c>
      <c r="E5191" t="s">
        <v>498</v>
      </c>
      <c r="F5191" t="s">
        <v>499</v>
      </c>
      <c r="G5191" t="s">
        <v>179</v>
      </c>
      <c r="H5191">
        <v>18</v>
      </c>
      <c r="I5191">
        <v>72.611000000000004</v>
      </c>
      <c r="J5191">
        <v>71.778000000000006</v>
      </c>
      <c r="K5191">
        <v>-0.83299999999999996</v>
      </c>
      <c r="L5191">
        <v>9</v>
      </c>
      <c r="M5191">
        <v>3</v>
      </c>
      <c r="N5191">
        <v>6</v>
      </c>
      <c r="O5191" t="s">
        <v>53</v>
      </c>
      <c r="P5191" t="s">
        <v>53</v>
      </c>
      <c r="Q5191" t="s">
        <v>53</v>
      </c>
    </row>
    <row r="5192" spans="1:17" x14ac:dyDescent="0.2">
      <c r="A5192" s="30" t="str">
        <f>IF(C5192&amp;G5192&amp;D5192&lt;&gt;'Funnel setup'!$K$3&amp;'Funnel setup'!$K$4&amp;'Funnel setup'!$K$5,".",IF(A5191=".",1,A5191+1))</f>
        <v>.</v>
      </c>
      <c r="B5192" s="431" t="str">
        <f t="shared" si="81"/>
        <v>Knee Replacement RevisionCCG of GP PracticeNHS HAVERING CCG (08F)EQ VAS</v>
      </c>
      <c r="C5192" t="s">
        <v>250</v>
      </c>
      <c r="D5192" t="s">
        <v>87</v>
      </c>
      <c r="E5192" t="s">
        <v>501</v>
      </c>
      <c r="F5192" t="s">
        <v>502</v>
      </c>
      <c r="G5192" t="s">
        <v>179</v>
      </c>
      <c r="H5192" t="s">
        <v>53</v>
      </c>
      <c r="I5192" t="s">
        <v>53</v>
      </c>
      <c r="J5192" t="s">
        <v>53</v>
      </c>
      <c r="K5192" t="s">
        <v>53</v>
      </c>
      <c r="L5192" t="s">
        <v>53</v>
      </c>
      <c r="M5192" t="s">
        <v>53</v>
      </c>
      <c r="N5192" t="s">
        <v>53</v>
      </c>
      <c r="O5192" t="s">
        <v>53</v>
      </c>
      <c r="P5192" t="s">
        <v>53</v>
      </c>
      <c r="Q5192" t="s">
        <v>53</v>
      </c>
    </row>
    <row r="5193" spans="1:17" x14ac:dyDescent="0.2">
      <c r="A5193" s="30" t="str">
        <f>IF(C5193&amp;G5193&amp;D5193&lt;&gt;'Funnel setup'!$K$3&amp;'Funnel setup'!$K$4&amp;'Funnel setup'!$K$5,".",IF(A5192=".",1,A5192+1))</f>
        <v>.</v>
      </c>
      <c r="B5193" s="431" t="str">
        <f t="shared" si="81"/>
        <v>Knee Replacement RevisionCCG of GP PracticeNHS HEREFORDSHIRE CCG (05F)EQ VAS</v>
      </c>
      <c r="C5193" t="s">
        <v>250</v>
      </c>
      <c r="D5193" t="s">
        <v>87</v>
      </c>
      <c r="E5193" t="s">
        <v>504</v>
      </c>
      <c r="F5193" t="s">
        <v>505</v>
      </c>
      <c r="G5193" t="s">
        <v>179</v>
      </c>
      <c r="H5193" t="s">
        <v>53</v>
      </c>
      <c r="I5193" t="s">
        <v>53</v>
      </c>
      <c r="J5193" t="s">
        <v>53</v>
      </c>
      <c r="K5193" t="s">
        <v>53</v>
      </c>
      <c r="L5193" t="s">
        <v>53</v>
      </c>
      <c r="M5193" t="s">
        <v>53</v>
      </c>
      <c r="N5193" t="s">
        <v>53</v>
      </c>
      <c r="O5193" t="s">
        <v>53</v>
      </c>
      <c r="P5193" t="s">
        <v>53</v>
      </c>
      <c r="Q5193" t="s">
        <v>53</v>
      </c>
    </row>
    <row r="5194" spans="1:17" x14ac:dyDescent="0.2">
      <c r="A5194" s="30" t="str">
        <f>IF(C5194&amp;G5194&amp;D5194&lt;&gt;'Funnel setup'!$K$3&amp;'Funnel setup'!$K$4&amp;'Funnel setup'!$K$5,".",IF(A5193=".",1,A5193+1))</f>
        <v>.</v>
      </c>
      <c r="B5194" s="431" t="str">
        <f t="shared" si="81"/>
        <v>Knee Replacement RevisionCCG of GP PracticeNHS HERTS VALLEYS CCG (06N)EQ VAS</v>
      </c>
      <c r="C5194" t="s">
        <v>250</v>
      </c>
      <c r="D5194" t="s">
        <v>87</v>
      </c>
      <c r="E5194" t="s">
        <v>507</v>
      </c>
      <c r="F5194" t="s">
        <v>508</v>
      </c>
      <c r="G5194" t="s">
        <v>179</v>
      </c>
      <c r="H5194">
        <v>12</v>
      </c>
      <c r="I5194">
        <v>69.582999999999998</v>
      </c>
      <c r="J5194">
        <v>67.5</v>
      </c>
      <c r="K5194">
        <v>-2.0830000000000002</v>
      </c>
      <c r="L5194">
        <v>5</v>
      </c>
      <c r="M5194">
        <v>0</v>
      </c>
      <c r="N5194">
        <v>7</v>
      </c>
      <c r="O5194" t="s">
        <v>53</v>
      </c>
      <c r="P5194" t="s">
        <v>53</v>
      </c>
      <c r="Q5194" t="s">
        <v>53</v>
      </c>
    </row>
    <row r="5195" spans="1:17" x14ac:dyDescent="0.2">
      <c r="A5195" s="30" t="str">
        <f>IF(C5195&amp;G5195&amp;D5195&lt;&gt;'Funnel setup'!$K$3&amp;'Funnel setup'!$K$4&amp;'Funnel setup'!$K$5,".",IF(A5194=".",1,A5194+1))</f>
        <v>.</v>
      </c>
      <c r="B5195" s="431" t="str">
        <f t="shared" si="81"/>
        <v>Knee Replacement RevisionCCG of GP PracticeNHS HEYWOOD, MIDDLETON AND ROCHDALE CCG (01D)EQ VAS</v>
      </c>
      <c r="C5195" t="s">
        <v>250</v>
      </c>
      <c r="D5195" t="s">
        <v>87</v>
      </c>
      <c r="E5195" t="s">
        <v>510</v>
      </c>
      <c r="F5195" t="s">
        <v>511</v>
      </c>
      <c r="G5195" t="s">
        <v>179</v>
      </c>
      <c r="H5195" t="s">
        <v>53</v>
      </c>
      <c r="I5195" t="s">
        <v>53</v>
      </c>
      <c r="J5195" t="s">
        <v>53</v>
      </c>
      <c r="K5195" t="s">
        <v>53</v>
      </c>
      <c r="L5195" t="s">
        <v>53</v>
      </c>
      <c r="M5195" t="s">
        <v>53</v>
      </c>
      <c r="N5195" t="s">
        <v>53</v>
      </c>
      <c r="O5195" t="s">
        <v>53</v>
      </c>
      <c r="P5195" t="s">
        <v>53</v>
      </c>
      <c r="Q5195" t="s">
        <v>53</v>
      </c>
    </row>
    <row r="5196" spans="1:17" x14ac:dyDescent="0.2">
      <c r="A5196" s="30" t="str">
        <f>IF(C5196&amp;G5196&amp;D5196&lt;&gt;'Funnel setup'!$K$3&amp;'Funnel setup'!$K$4&amp;'Funnel setup'!$K$5,".",IF(A5195=".",1,A5195+1))</f>
        <v>.</v>
      </c>
      <c r="B5196" s="431" t="str">
        <f t="shared" si="81"/>
        <v>Knee Replacement RevisionCCG of GP PracticeNHS HIGH WEALD LEWES HAVENS CCG (99K)EQ VAS</v>
      </c>
      <c r="C5196" t="s">
        <v>250</v>
      </c>
      <c r="D5196" t="s">
        <v>87</v>
      </c>
      <c r="E5196" t="s">
        <v>513</v>
      </c>
      <c r="F5196" t="s">
        <v>514</v>
      </c>
      <c r="G5196" t="s">
        <v>179</v>
      </c>
      <c r="H5196">
        <v>11</v>
      </c>
      <c r="I5196">
        <v>77</v>
      </c>
      <c r="J5196">
        <v>77.090999999999994</v>
      </c>
      <c r="K5196">
        <v>9.0999999999999998E-2</v>
      </c>
      <c r="L5196">
        <v>4</v>
      </c>
      <c r="M5196">
        <v>1</v>
      </c>
      <c r="N5196">
        <v>6</v>
      </c>
      <c r="O5196" t="s">
        <v>53</v>
      </c>
      <c r="P5196" t="s">
        <v>53</v>
      </c>
      <c r="Q5196" t="s">
        <v>53</v>
      </c>
    </row>
    <row r="5197" spans="1:17" x14ac:dyDescent="0.2">
      <c r="A5197" s="30" t="str">
        <f>IF(C5197&amp;G5197&amp;D5197&lt;&gt;'Funnel setup'!$K$3&amp;'Funnel setup'!$K$4&amp;'Funnel setup'!$K$5,".",IF(A5196=".",1,A5196+1))</f>
        <v>.</v>
      </c>
      <c r="B5197" s="431" t="str">
        <f t="shared" si="81"/>
        <v>Knee Replacement RevisionCCG of GP PracticeNHS HILLINGDON CCG (08G)EQ VAS</v>
      </c>
      <c r="C5197" t="s">
        <v>250</v>
      </c>
      <c r="D5197" t="s">
        <v>87</v>
      </c>
      <c r="E5197" t="s">
        <v>516</v>
      </c>
      <c r="F5197" t="s">
        <v>517</v>
      </c>
      <c r="G5197" t="s">
        <v>179</v>
      </c>
      <c r="H5197" t="s">
        <v>53</v>
      </c>
      <c r="I5197" t="s">
        <v>53</v>
      </c>
      <c r="J5197" t="s">
        <v>53</v>
      </c>
      <c r="K5197" t="s">
        <v>53</v>
      </c>
      <c r="L5197" t="s">
        <v>53</v>
      </c>
      <c r="M5197" t="s">
        <v>53</v>
      </c>
      <c r="N5197" t="s">
        <v>53</v>
      </c>
      <c r="O5197" t="s">
        <v>53</v>
      </c>
      <c r="P5197" t="s">
        <v>53</v>
      </c>
      <c r="Q5197" t="s">
        <v>53</v>
      </c>
    </row>
    <row r="5198" spans="1:17" x14ac:dyDescent="0.2">
      <c r="A5198" s="30" t="str">
        <f>IF(C5198&amp;G5198&amp;D5198&lt;&gt;'Funnel setup'!$K$3&amp;'Funnel setup'!$K$4&amp;'Funnel setup'!$K$5,".",IF(A5197=".",1,A5197+1))</f>
        <v>.</v>
      </c>
      <c r="B5198" s="431" t="str">
        <f t="shared" si="81"/>
        <v>Knee Replacement RevisionCCG of GP PracticeNHS HORSHAM AND MID SUSSEX CCG (09X)EQ VAS</v>
      </c>
      <c r="C5198" t="s">
        <v>250</v>
      </c>
      <c r="D5198" t="s">
        <v>87</v>
      </c>
      <c r="E5198" t="s">
        <v>519</v>
      </c>
      <c r="F5198" t="s">
        <v>520</v>
      </c>
      <c r="G5198" t="s">
        <v>179</v>
      </c>
      <c r="H5198" t="s">
        <v>53</v>
      </c>
      <c r="I5198" t="s">
        <v>53</v>
      </c>
      <c r="J5198" t="s">
        <v>53</v>
      </c>
      <c r="K5198" t="s">
        <v>53</v>
      </c>
      <c r="L5198" t="s">
        <v>53</v>
      </c>
      <c r="M5198" t="s">
        <v>53</v>
      </c>
      <c r="N5198" t="s">
        <v>53</v>
      </c>
      <c r="O5198" t="s">
        <v>53</v>
      </c>
      <c r="P5198" t="s">
        <v>53</v>
      </c>
      <c r="Q5198" t="s">
        <v>53</v>
      </c>
    </row>
    <row r="5199" spans="1:17" x14ac:dyDescent="0.2">
      <c r="A5199" s="30" t="str">
        <f>IF(C5199&amp;G5199&amp;D5199&lt;&gt;'Funnel setup'!$K$3&amp;'Funnel setup'!$K$4&amp;'Funnel setup'!$K$5,".",IF(A5198=".",1,A5198+1))</f>
        <v>.</v>
      </c>
      <c r="B5199" s="431" t="str">
        <f t="shared" si="81"/>
        <v>Knee Replacement RevisionCCG of GP PracticeNHS HOUNSLOW CCG (07Y)EQ VAS</v>
      </c>
      <c r="C5199" t="s">
        <v>250</v>
      </c>
      <c r="D5199" t="s">
        <v>87</v>
      </c>
      <c r="E5199" t="s">
        <v>522</v>
      </c>
      <c r="F5199" t="s">
        <v>523</v>
      </c>
      <c r="G5199" t="s">
        <v>179</v>
      </c>
      <c r="H5199" t="s">
        <v>53</v>
      </c>
      <c r="I5199" t="s">
        <v>53</v>
      </c>
      <c r="J5199" t="s">
        <v>53</v>
      </c>
      <c r="K5199" t="s">
        <v>53</v>
      </c>
      <c r="L5199" t="s">
        <v>53</v>
      </c>
      <c r="M5199" t="s">
        <v>53</v>
      </c>
      <c r="N5199" t="s">
        <v>53</v>
      </c>
      <c r="O5199" t="s">
        <v>53</v>
      </c>
      <c r="P5199" t="s">
        <v>53</v>
      </c>
      <c r="Q5199" t="s">
        <v>53</v>
      </c>
    </row>
    <row r="5200" spans="1:17" x14ac:dyDescent="0.2">
      <c r="A5200" s="30" t="str">
        <f>IF(C5200&amp;G5200&amp;D5200&lt;&gt;'Funnel setup'!$K$3&amp;'Funnel setup'!$K$4&amp;'Funnel setup'!$K$5,".",IF(A5199=".",1,A5199+1))</f>
        <v>.</v>
      </c>
      <c r="B5200" s="431" t="str">
        <f t="shared" si="81"/>
        <v>Knee Replacement RevisionCCG of GP PracticeNHS HULL CCG (03F)EQ VAS</v>
      </c>
      <c r="C5200" t="s">
        <v>250</v>
      </c>
      <c r="D5200" t="s">
        <v>87</v>
      </c>
      <c r="E5200" t="s">
        <v>525</v>
      </c>
      <c r="F5200" t="s">
        <v>526</v>
      </c>
      <c r="G5200" t="s">
        <v>179</v>
      </c>
      <c r="H5200">
        <v>10</v>
      </c>
      <c r="I5200">
        <v>58</v>
      </c>
      <c r="J5200">
        <v>63.6</v>
      </c>
      <c r="K5200">
        <v>5.6</v>
      </c>
      <c r="L5200">
        <v>4</v>
      </c>
      <c r="M5200">
        <v>2</v>
      </c>
      <c r="N5200">
        <v>4</v>
      </c>
      <c r="O5200" t="s">
        <v>53</v>
      </c>
      <c r="P5200" t="s">
        <v>53</v>
      </c>
      <c r="Q5200" t="s">
        <v>53</v>
      </c>
    </row>
    <row r="5201" spans="1:17" x14ac:dyDescent="0.2">
      <c r="A5201" s="30" t="str">
        <f>IF(C5201&amp;G5201&amp;D5201&lt;&gt;'Funnel setup'!$K$3&amp;'Funnel setup'!$K$4&amp;'Funnel setup'!$K$5,".",IF(A5200=".",1,A5200+1))</f>
        <v>.</v>
      </c>
      <c r="B5201" s="431" t="str">
        <f t="shared" si="81"/>
        <v>Knee Replacement RevisionCCG of GP PracticeNHS IPSWICH AND EAST SUFFOLK CCG (06L)EQ VAS</v>
      </c>
      <c r="C5201" t="s">
        <v>250</v>
      </c>
      <c r="D5201" t="s">
        <v>87</v>
      </c>
      <c r="E5201" t="s">
        <v>528</v>
      </c>
      <c r="F5201" t="s">
        <v>529</v>
      </c>
      <c r="G5201" t="s">
        <v>179</v>
      </c>
      <c r="H5201" t="s">
        <v>53</v>
      </c>
      <c r="I5201" t="s">
        <v>53</v>
      </c>
      <c r="J5201" t="s">
        <v>53</v>
      </c>
      <c r="K5201" t="s">
        <v>53</v>
      </c>
      <c r="L5201" t="s">
        <v>53</v>
      </c>
      <c r="M5201" t="s">
        <v>53</v>
      </c>
      <c r="N5201" t="s">
        <v>53</v>
      </c>
      <c r="O5201" t="s">
        <v>53</v>
      </c>
      <c r="P5201" t="s">
        <v>53</v>
      </c>
      <c r="Q5201" t="s">
        <v>53</v>
      </c>
    </row>
    <row r="5202" spans="1:17" x14ac:dyDescent="0.2">
      <c r="A5202" s="30" t="str">
        <f>IF(C5202&amp;G5202&amp;D5202&lt;&gt;'Funnel setup'!$K$3&amp;'Funnel setup'!$K$4&amp;'Funnel setup'!$K$5,".",IF(A5201=".",1,A5201+1))</f>
        <v>.</v>
      </c>
      <c r="B5202" s="431" t="str">
        <f t="shared" si="81"/>
        <v>Knee Replacement RevisionCCG of GP PracticeNHS ISLE OF WIGHT CCG (10L)EQ VAS</v>
      </c>
      <c r="C5202" t="s">
        <v>250</v>
      </c>
      <c r="D5202" t="s">
        <v>87</v>
      </c>
      <c r="E5202" t="s">
        <v>531</v>
      </c>
      <c r="F5202" t="s">
        <v>532</v>
      </c>
      <c r="G5202" t="s">
        <v>179</v>
      </c>
      <c r="H5202" t="s">
        <v>53</v>
      </c>
      <c r="I5202" t="s">
        <v>53</v>
      </c>
      <c r="J5202" t="s">
        <v>53</v>
      </c>
      <c r="K5202" t="s">
        <v>53</v>
      </c>
      <c r="L5202" t="s">
        <v>53</v>
      </c>
      <c r="M5202" t="s">
        <v>53</v>
      </c>
      <c r="N5202" t="s">
        <v>53</v>
      </c>
      <c r="O5202" t="s">
        <v>53</v>
      </c>
      <c r="P5202" t="s">
        <v>53</v>
      </c>
      <c r="Q5202" t="s">
        <v>53</v>
      </c>
    </row>
    <row r="5203" spans="1:17" x14ac:dyDescent="0.2">
      <c r="A5203" s="30" t="str">
        <f>IF(C5203&amp;G5203&amp;D5203&lt;&gt;'Funnel setup'!$K$3&amp;'Funnel setup'!$K$4&amp;'Funnel setup'!$K$5,".",IF(A5202=".",1,A5202+1))</f>
        <v>.</v>
      </c>
      <c r="B5203" s="431" t="str">
        <f t="shared" si="81"/>
        <v>Knee Replacement RevisionCCG of GP PracticeNHS ISLINGTON CCG (08H)EQ VAS</v>
      </c>
      <c r="C5203" t="s">
        <v>250</v>
      </c>
      <c r="D5203" t="s">
        <v>87</v>
      </c>
      <c r="E5203" t="s">
        <v>534</v>
      </c>
      <c r="F5203" t="s">
        <v>535</v>
      </c>
      <c r="G5203" t="s">
        <v>179</v>
      </c>
      <c r="H5203" t="s">
        <v>53</v>
      </c>
      <c r="I5203" t="s">
        <v>53</v>
      </c>
      <c r="J5203" t="s">
        <v>53</v>
      </c>
      <c r="K5203" t="s">
        <v>53</v>
      </c>
      <c r="L5203" t="s">
        <v>53</v>
      </c>
      <c r="M5203" t="s">
        <v>53</v>
      </c>
      <c r="N5203" t="s">
        <v>53</v>
      </c>
      <c r="O5203" t="s">
        <v>53</v>
      </c>
      <c r="P5203" t="s">
        <v>53</v>
      </c>
      <c r="Q5203" t="s">
        <v>53</v>
      </c>
    </row>
    <row r="5204" spans="1:17" x14ac:dyDescent="0.2">
      <c r="A5204" s="30" t="str">
        <f>IF(C5204&amp;G5204&amp;D5204&lt;&gt;'Funnel setup'!$K$3&amp;'Funnel setup'!$K$4&amp;'Funnel setup'!$K$5,".",IF(A5203=".",1,A5203+1))</f>
        <v>.</v>
      </c>
      <c r="B5204" s="431" t="str">
        <f t="shared" si="81"/>
        <v>Knee Replacement RevisionCCG of GP PracticeNHS KERNOW CCG (11N)EQ VAS</v>
      </c>
      <c r="C5204" t="s">
        <v>250</v>
      </c>
      <c r="D5204" t="s">
        <v>87</v>
      </c>
      <c r="E5204" t="s">
        <v>537</v>
      </c>
      <c r="F5204" t="s">
        <v>538</v>
      </c>
      <c r="G5204" t="s">
        <v>179</v>
      </c>
      <c r="H5204">
        <v>37</v>
      </c>
      <c r="I5204">
        <v>63.594999999999999</v>
      </c>
      <c r="J5204">
        <v>71.918999999999997</v>
      </c>
      <c r="K5204">
        <v>8.3239999999999998</v>
      </c>
      <c r="L5204">
        <v>21</v>
      </c>
      <c r="M5204">
        <v>9</v>
      </c>
      <c r="N5204">
        <v>7</v>
      </c>
      <c r="O5204">
        <v>73.09</v>
      </c>
      <c r="P5204">
        <v>8.6340669099999996</v>
      </c>
      <c r="Q5204">
        <v>18.321000000000002</v>
      </c>
    </row>
    <row r="5205" spans="1:17" x14ac:dyDescent="0.2">
      <c r="A5205" s="30" t="str">
        <f>IF(C5205&amp;G5205&amp;D5205&lt;&gt;'Funnel setup'!$K$3&amp;'Funnel setup'!$K$4&amp;'Funnel setup'!$K$5,".",IF(A5204=".",1,A5204+1))</f>
        <v>.</v>
      </c>
      <c r="B5205" s="431" t="str">
        <f t="shared" si="81"/>
        <v>Knee Replacement RevisionCCG of GP PracticeNHS KINGSTON CCG (08J)EQ VAS</v>
      </c>
      <c r="C5205" t="s">
        <v>250</v>
      </c>
      <c r="D5205" t="s">
        <v>87</v>
      </c>
      <c r="E5205" t="s">
        <v>540</v>
      </c>
      <c r="F5205" t="s">
        <v>541</v>
      </c>
      <c r="G5205" t="s">
        <v>179</v>
      </c>
      <c r="H5205" t="s">
        <v>53</v>
      </c>
      <c r="I5205" t="s">
        <v>53</v>
      </c>
      <c r="J5205" t="s">
        <v>53</v>
      </c>
      <c r="K5205" t="s">
        <v>53</v>
      </c>
      <c r="L5205" t="s">
        <v>53</v>
      </c>
      <c r="M5205" t="s">
        <v>53</v>
      </c>
      <c r="N5205" t="s">
        <v>53</v>
      </c>
      <c r="O5205" t="s">
        <v>53</v>
      </c>
      <c r="P5205" t="s">
        <v>53</v>
      </c>
      <c r="Q5205" t="s">
        <v>53</v>
      </c>
    </row>
    <row r="5206" spans="1:17" x14ac:dyDescent="0.2">
      <c r="A5206" s="30" t="str">
        <f>IF(C5206&amp;G5206&amp;D5206&lt;&gt;'Funnel setup'!$K$3&amp;'Funnel setup'!$K$4&amp;'Funnel setup'!$K$5,".",IF(A5205=".",1,A5205+1))</f>
        <v>.</v>
      </c>
      <c r="B5206" s="431" t="str">
        <f t="shared" si="81"/>
        <v>Knee Replacement RevisionCCG of GP PracticeNHS KNOWSLEY CCG (01J)EQ VAS</v>
      </c>
      <c r="C5206" t="s">
        <v>250</v>
      </c>
      <c r="D5206" t="s">
        <v>87</v>
      </c>
      <c r="E5206" t="s">
        <v>543</v>
      </c>
      <c r="F5206" t="s">
        <v>544</v>
      </c>
      <c r="G5206" t="s">
        <v>179</v>
      </c>
      <c r="H5206" t="s">
        <v>53</v>
      </c>
      <c r="I5206" t="s">
        <v>53</v>
      </c>
      <c r="J5206" t="s">
        <v>53</v>
      </c>
      <c r="K5206" t="s">
        <v>53</v>
      </c>
      <c r="L5206" t="s">
        <v>53</v>
      </c>
      <c r="M5206" t="s">
        <v>53</v>
      </c>
      <c r="N5206" t="s">
        <v>53</v>
      </c>
      <c r="O5206" t="s">
        <v>53</v>
      </c>
      <c r="P5206" t="s">
        <v>53</v>
      </c>
      <c r="Q5206" t="s">
        <v>53</v>
      </c>
    </row>
    <row r="5207" spans="1:17" x14ac:dyDescent="0.2">
      <c r="A5207" s="30" t="str">
        <f>IF(C5207&amp;G5207&amp;D5207&lt;&gt;'Funnel setup'!$K$3&amp;'Funnel setup'!$K$4&amp;'Funnel setup'!$K$5,".",IF(A5206=".",1,A5206+1))</f>
        <v>.</v>
      </c>
      <c r="B5207" s="431" t="str">
        <f t="shared" si="81"/>
        <v>Knee Replacement RevisionCCG of GP PracticeNHS LAMBETH CCG (08K)EQ VAS</v>
      </c>
      <c r="C5207" t="s">
        <v>250</v>
      </c>
      <c r="D5207" t="s">
        <v>87</v>
      </c>
      <c r="E5207" t="s">
        <v>546</v>
      </c>
      <c r="F5207" t="s">
        <v>547</v>
      </c>
      <c r="G5207" t="s">
        <v>179</v>
      </c>
      <c r="H5207" t="s">
        <v>53</v>
      </c>
      <c r="I5207" t="s">
        <v>53</v>
      </c>
      <c r="J5207" t="s">
        <v>53</v>
      </c>
      <c r="K5207" t="s">
        <v>53</v>
      </c>
      <c r="L5207" t="s">
        <v>53</v>
      </c>
      <c r="M5207" t="s">
        <v>53</v>
      </c>
      <c r="N5207" t="s">
        <v>53</v>
      </c>
      <c r="O5207" t="s">
        <v>53</v>
      </c>
      <c r="P5207" t="s">
        <v>53</v>
      </c>
      <c r="Q5207" t="s">
        <v>53</v>
      </c>
    </row>
    <row r="5208" spans="1:17" x14ac:dyDescent="0.2">
      <c r="A5208" s="30" t="str">
        <f>IF(C5208&amp;G5208&amp;D5208&lt;&gt;'Funnel setup'!$K$3&amp;'Funnel setup'!$K$4&amp;'Funnel setup'!$K$5,".",IF(A5207=".",1,A5207+1))</f>
        <v>.</v>
      </c>
      <c r="B5208" s="431" t="str">
        <f t="shared" si="81"/>
        <v>Knee Replacement RevisionCCG of GP PracticeNHS LANCASHIRE NORTH CCG (01K)EQ VAS</v>
      </c>
      <c r="C5208" t="s">
        <v>250</v>
      </c>
      <c r="D5208" t="s">
        <v>87</v>
      </c>
      <c r="E5208" t="s">
        <v>549</v>
      </c>
      <c r="F5208" t="s">
        <v>550</v>
      </c>
      <c r="G5208" t="s">
        <v>179</v>
      </c>
      <c r="H5208" t="s">
        <v>53</v>
      </c>
      <c r="I5208" t="s">
        <v>53</v>
      </c>
      <c r="J5208" t="s">
        <v>53</v>
      </c>
      <c r="K5208" t="s">
        <v>53</v>
      </c>
      <c r="L5208" t="s">
        <v>53</v>
      </c>
      <c r="M5208" t="s">
        <v>53</v>
      </c>
      <c r="N5208" t="s">
        <v>53</v>
      </c>
      <c r="O5208" t="s">
        <v>53</v>
      </c>
      <c r="P5208" t="s">
        <v>53</v>
      </c>
      <c r="Q5208" t="s">
        <v>53</v>
      </c>
    </row>
    <row r="5209" spans="1:17" x14ac:dyDescent="0.2">
      <c r="A5209" s="30" t="str">
        <f>IF(C5209&amp;G5209&amp;D5209&lt;&gt;'Funnel setup'!$K$3&amp;'Funnel setup'!$K$4&amp;'Funnel setup'!$K$5,".",IF(A5208=".",1,A5208+1))</f>
        <v>.</v>
      </c>
      <c r="B5209" s="431" t="str">
        <f t="shared" si="81"/>
        <v>Knee Replacement RevisionCCG of GP PracticeNHS LEEDS NORTH CCG (02V)EQ VAS</v>
      </c>
      <c r="C5209" t="s">
        <v>250</v>
      </c>
      <c r="D5209" t="s">
        <v>87</v>
      </c>
      <c r="E5209" t="s">
        <v>552</v>
      </c>
      <c r="F5209" t="s">
        <v>337</v>
      </c>
      <c r="G5209" t="s">
        <v>179</v>
      </c>
      <c r="H5209">
        <v>6</v>
      </c>
      <c r="I5209">
        <v>74.167000000000002</v>
      </c>
      <c r="J5209">
        <v>82.5</v>
      </c>
      <c r="K5209">
        <v>8.3330000000000002</v>
      </c>
      <c r="L5209">
        <v>4</v>
      </c>
      <c r="M5209">
        <v>0</v>
      </c>
      <c r="N5209">
        <v>2</v>
      </c>
      <c r="O5209" t="s">
        <v>53</v>
      </c>
      <c r="P5209" t="s">
        <v>53</v>
      </c>
      <c r="Q5209" t="s">
        <v>53</v>
      </c>
    </row>
    <row r="5210" spans="1:17" x14ac:dyDescent="0.2">
      <c r="A5210" s="30" t="str">
        <f>IF(C5210&amp;G5210&amp;D5210&lt;&gt;'Funnel setup'!$K$3&amp;'Funnel setup'!$K$4&amp;'Funnel setup'!$K$5,".",IF(A5209=".",1,A5209+1))</f>
        <v>.</v>
      </c>
      <c r="B5210" s="431" t="str">
        <f t="shared" si="81"/>
        <v>Knee Replacement RevisionCCG of GP PracticeNHS LEEDS SOUTH AND EAST CCG (03G)EQ VAS</v>
      </c>
      <c r="C5210" t="s">
        <v>250</v>
      </c>
      <c r="D5210" t="s">
        <v>87</v>
      </c>
      <c r="E5210" t="s">
        <v>396</v>
      </c>
      <c r="F5210" t="s">
        <v>397</v>
      </c>
      <c r="G5210" t="s">
        <v>179</v>
      </c>
      <c r="H5210" t="s">
        <v>53</v>
      </c>
      <c r="I5210" t="s">
        <v>53</v>
      </c>
      <c r="J5210" t="s">
        <v>53</v>
      </c>
      <c r="K5210" t="s">
        <v>53</v>
      </c>
      <c r="L5210" t="s">
        <v>53</v>
      </c>
      <c r="M5210" t="s">
        <v>53</v>
      </c>
      <c r="N5210" t="s">
        <v>53</v>
      </c>
      <c r="O5210" t="s">
        <v>53</v>
      </c>
      <c r="P5210" t="s">
        <v>53</v>
      </c>
      <c r="Q5210" t="s">
        <v>53</v>
      </c>
    </row>
    <row r="5211" spans="1:17" x14ac:dyDescent="0.2">
      <c r="A5211" s="30" t="str">
        <f>IF(C5211&amp;G5211&amp;D5211&lt;&gt;'Funnel setup'!$K$3&amp;'Funnel setup'!$K$4&amp;'Funnel setup'!$K$5,".",IF(A5210=".",1,A5210+1))</f>
        <v>.</v>
      </c>
      <c r="B5211" s="431" t="str">
        <f t="shared" si="81"/>
        <v>Knee Replacement RevisionCCG of GP PracticeNHS LEEDS WEST CCG (03C)EQ VAS</v>
      </c>
      <c r="C5211" t="s">
        <v>250</v>
      </c>
      <c r="D5211" t="s">
        <v>87</v>
      </c>
      <c r="E5211" t="s">
        <v>399</v>
      </c>
      <c r="F5211" t="s">
        <v>400</v>
      </c>
      <c r="G5211" t="s">
        <v>179</v>
      </c>
      <c r="H5211">
        <v>10</v>
      </c>
      <c r="I5211">
        <v>64</v>
      </c>
      <c r="J5211">
        <v>70</v>
      </c>
      <c r="K5211">
        <v>6</v>
      </c>
      <c r="L5211">
        <v>5</v>
      </c>
      <c r="M5211">
        <v>0</v>
      </c>
      <c r="N5211">
        <v>5</v>
      </c>
      <c r="O5211" t="s">
        <v>53</v>
      </c>
      <c r="P5211" t="s">
        <v>53</v>
      </c>
      <c r="Q5211" t="s">
        <v>53</v>
      </c>
    </row>
    <row r="5212" spans="1:17" x14ac:dyDescent="0.2">
      <c r="A5212" s="30" t="str">
        <f>IF(C5212&amp;G5212&amp;D5212&lt;&gt;'Funnel setup'!$K$3&amp;'Funnel setup'!$K$4&amp;'Funnel setup'!$K$5,".",IF(A5211=".",1,A5211+1))</f>
        <v>.</v>
      </c>
      <c r="B5212" s="431" t="str">
        <f t="shared" si="81"/>
        <v>Knee Replacement RevisionCCG of GP PracticeNHS LEICESTER CITY CCG (04C)EQ VAS</v>
      </c>
      <c r="C5212" t="s">
        <v>250</v>
      </c>
      <c r="D5212" t="s">
        <v>87</v>
      </c>
      <c r="E5212" t="s">
        <v>554</v>
      </c>
      <c r="F5212" t="s">
        <v>555</v>
      </c>
      <c r="G5212" t="s">
        <v>179</v>
      </c>
      <c r="H5212">
        <v>8</v>
      </c>
      <c r="I5212">
        <v>59</v>
      </c>
      <c r="J5212">
        <v>65.125</v>
      </c>
      <c r="K5212">
        <v>6.125</v>
      </c>
      <c r="L5212">
        <v>5</v>
      </c>
      <c r="M5212">
        <v>0</v>
      </c>
      <c r="N5212">
        <v>3</v>
      </c>
      <c r="O5212" t="s">
        <v>53</v>
      </c>
      <c r="P5212" t="s">
        <v>53</v>
      </c>
      <c r="Q5212" t="s">
        <v>53</v>
      </c>
    </row>
    <row r="5213" spans="1:17" x14ac:dyDescent="0.2">
      <c r="A5213" s="30" t="str">
        <f>IF(C5213&amp;G5213&amp;D5213&lt;&gt;'Funnel setup'!$K$3&amp;'Funnel setup'!$K$4&amp;'Funnel setup'!$K$5,".",IF(A5212=".",1,A5212+1))</f>
        <v>.</v>
      </c>
      <c r="B5213" s="431" t="str">
        <f t="shared" si="81"/>
        <v>Knee Replacement RevisionCCG of GP PracticeNHS LEWISHAM CCG (08L)EQ VAS</v>
      </c>
      <c r="C5213" t="s">
        <v>250</v>
      </c>
      <c r="D5213" t="s">
        <v>87</v>
      </c>
      <c r="E5213" t="s">
        <v>557</v>
      </c>
      <c r="F5213" t="s">
        <v>558</v>
      </c>
      <c r="G5213" t="s">
        <v>179</v>
      </c>
      <c r="H5213" t="s">
        <v>53</v>
      </c>
      <c r="I5213" t="s">
        <v>53</v>
      </c>
      <c r="J5213" t="s">
        <v>53</v>
      </c>
      <c r="K5213" t="s">
        <v>53</v>
      </c>
      <c r="L5213" t="s">
        <v>53</v>
      </c>
      <c r="M5213" t="s">
        <v>53</v>
      </c>
      <c r="N5213" t="s">
        <v>53</v>
      </c>
      <c r="O5213" t="s">
        <v>53</v>
      </c>
      <c r="P5213" t="s">
        <v>53</v>
      </c>
      <c r="Q5213" t="s">
        <v>53</v>
      </c>
    </row>
    <row r="5214" spans="1:17" x14ac:dyDescent="0.2">
      <c r="A5214" s="30" t="str">
        <f>IF(C5214&amp;G5214&amp;D5214&lt;&gt;'Funnel setup'!$K$3&amp;'Funnel setup'!$K$4&amp;'Funnel setup'!$K$5,".",IF(A5213=".",1,A5213+1))</f>
        <v>.</v>
      </c>
      <c r="B5214" s="431" t="str">
        <f t="shared" si="81"/>
        <v>Knee Replacement RevisionCCG of GP PracticeNHS LINCOLNSHIRE EAST CCG (03T)EQ VAS</v>
      </c>
      <c r="C5214" t="s">
        <v>250</v>
      </c>
      <c r="D5214" t="s">
        <v>87</v>
      </c>
      <c r="E5214" t="s">
        <v>560</v>
      </c>
      <c r="F5214" t="s">
        <v>561</v>
      </c>
      <c r="G5214" t="s">
        <v>179</v>
      </c>
      <c r="H5214" t="s">
        <v>53</v>
      </c>
      <c r="I5214" t="s">
        <v>53</v>
      </c>
      <c r="J5214" t="s">
        <v>53</v>
      </c>
      <c r="K5214" t="s">
        <v>53</v>
      </c>
      <c r="L5214" t="s">
        <v>53</v>
      </c>
      <c r="M5214" t="s">
        <v>53</v>
      </c>
      <c r="N5214" t="s">
        <v>53</v>
      </c>
      <c r="O5214" t="s">
        <v>53</v>
      </c>
      <c r="P5214" t="s">
        <v>53</v>
      </c>
      <c r="Q5214" t="s">
        <v>53</v>
      </c>
    </row>
    <row r="5215" spans="1:17" x14ac:dyDescent="0.2">
      <c r="A5215" s="30" t="str">
        <f>IF(C5215&amp;G5215&amp;D5215&lt;&gt;'Funnel setup'!$K$3&amp;'Funnel setup'!$K$4&amp;'Funnel setup'!$K$5,".",IF(A5214=".",1,A5214+1))</f>
        <v>.</v>
      </c>
      <c r="B5215" s="431" t="str">
        <f t="shared" si="81"/>
        <v>Knee Replacement RevisionCCG of GP PracticeNHS LINCOLNSHIRE WEST CCG (04D)EQ VAS</v>
      </c>
      <c r="C5215" t="s">
        <v>250</v>
      </c>
      <c r="D5215" t="s">
        <v>87</v>
      </c>
      <c r="E5215" t="s">
        <v>408</v>
      </c>
      <c r="F5215" t="s">
        <v>409</v>
      </c>
      <c r="G5215" t="s">
        <v>179</v>
      </c>
      <c r="H5215">
        <v>11</v>
      </c>
      <c r="I5215">
        <v>54.091000000000001</v>
      </c>
      <c r="J5215">
        <v>55.182000000000002</v>
      </c>
      <c r="K5215">
        <v>1.091</v>
      </c>
      <c r="L5215">
        <v>3</v>
      </c>
      <c r="M5215">
        <v>3</v>
      </c>
      <c r="N5215">
        <v>5</v>
      </c>
      <c r="O5215" t="s">
        <v>53</v>
      </c>
      <c r="P5215" t="s">
        <v>53</v>
      </c>
      <c r="Q5215" t="s">
        <v>53</v>
      </c>
    </row>
    <row r="5216" spans="1:17" x14ac:dyDescent="0.2">
      <c r="A5216" s="30" t="str">
        <f>IF(C5216&amp;G5216&amp;D5216&lt;&gt;'Funnel setup'!$K$3&amp;'Funnel setup'!$K$4&amp;'Funnel setup'!$K$5,".",IF(A5215=".",1,A5215+1))</f>
        <v>.</v>
      </c>
      <c r="B5216" s="431" t="str">
        <f t="shared" si="81"/>
        <v>Knee Replacement RevisionCCG of GP PracticeNHS LIVERPOOL CCG (99A)EQ VAS</v>
      </c>
      <c r="C5216" t="s">
        <v>250</v>
      </c>
      <c r="D5216" t="s">
        <v>87</v>
      </c>
      <c r="E5216" t="s">
        <v>411</v>
      </c>
      <c r="F5216" t="s">
        <v>412</v>
      </c>
      <c r="G5216" t="s">
        <v>179</v>
      </c>
      <c r="H5216" t="s">
        <v>53</v>
      </c>
      <c r="I5216" t="s">
        <v>53</v>
      </c>
      <c r="J5216" t="s">
        <v>53</v>
      </c>
      <c r="K5216" t="s">
        <v>53</v>
      </c>
      <c r="L5216" t="s">
        <v>53</v>
      </c>
      <c r="M5216" t="s">
        <v>53</v>
      </c>
      <c r="N5216" t="s">
        <v>53</v>
      </c>
      <c r="O5216" t="s">
        <v>53</v>
      </c>
      <c r="P5216" t="s">
        <v>53</v>
      </c>
      <c r="Q5216" t="s">
        <v>53</v>
      </c>
    </row>
    <row r="5217" spans="1:17" x14ac:dyDescent="0.2">
      <c r="A5217" s="30" t="str">
        <f>IF(C5217&amp;G5217&amp;D5217&lt;&gt;'Funnel setup'!$K$3&amp;'Funnel setup'!$K$4&amp;'Funnel setup'!$K$5,".",IF(A5216=".",1,A5216+1))</f>
        <v>.</v>
      </c>
      <c r="B5217" s="431" t="str">
        <f t="shared" si="81"/>
        <v>Knee Replacement RevisionCCG of GP PracticeNHS LUTON CCG (06P)EQ VAS</v>
      </c>
      <c r="C5217" t="s">
        <v>250</v>
      </c>
      <c r="D5217" t="s">
        <v>87</v>
      </c>
      <c r="E5217" t="s">
        <v>414</v>
      </c>
      <c r="F5217" t="s">
        <v>415</v>
      </c>
      <c r="G5217" t="s">
        <v>179</v>
      </c>
      <c r="H5217" t="s">
        <v>53</v>
      </c>
      <c r="I5217" t="s">
        <v>53</v>
      </c>
      <c r="J5217" t="s">
        <v>53</v>
      </c>
      <c r="K5217" t="s">
        <v>53</v>
      </c>
      <c r="L5217" t="s">
        <v>53</v>
      </c>
      <c r="M5217" t="s">
        <v>53</v>
      </c>
      <c r="N5217" t="s">
        <v>53</v>
      </c>
      <c r="O5217" t="s">
        <v>53</v>
      </c>
      <c r="P5217" t="s">
        <v>53</v>
      </c>
      <c r="Q5217" t="s">
        <v>53</v>
      </c>
    </row>
    <row r="5218" spans="1:17" x14ac:dyDescent="0.2">
      <c r="A5218" s="30" t="str">
        <f>IF(C5218&amp;G5218&amp;D5218&lt;&gt;'Funnel setup'!$K$3&amp;'Funnel setup'!$K$4&amp;'Funnel setup'!$K$5,".",IF(A5217=".",1,A5217+1))</f>
        <v>.</v>
      </c>
      <c r="B5218" s="431" t="str">
        <f t="shared" si="81"/>
        <v>Knee Replacement RevisionCCG of GP PracticeNHS MANSFIELD AND ASHFIELD CCG (04E)EQ VAS</v>
      </c>
      <c r="C5218" t="s">
        <v>250</v>
      </c>
      <c r="D5218" t="s">
        <v>87</v>
      </c>
      <c r="E5218" t="s">
        <v>417</v>
      </c>
      <c r="F5218" t="s">
        <v>418</v>
      </c>
      <c r="G5218" t="s">
        <v>179</v>
      </c>
      <c r="H5218">
        <v>10</v>
      </c>
      <c r="I5218">
        <v>58.8</v>
      </c>
      <c r="J5218">
        <v>70</v>
      </c>
      <c r="K5218">
        <v>11.2</v>
      </c>
      <c r="L5218">
        <v>5</v>
      </c>
      <c r="M5218">
        <v>1</v>
      </c>
      <c r="N5218">
        <v>4</v>
      </c>
      <c r="O5218" t="s">
        <v>53</v>
      </c>
      <c r="P5218" t="s">
        <v>53</v>
      </c>
      <c r="Q5218" t="s">
        <v>53</v>
      </c>
    </row>
    <row r="5219" spans="1:17" x14ac:dyDescent="0.2">
      <c r="A5219" s="30" t="str">
        <f>IF(C5219&amp;G5219&amp;D5219&lt;&gt;'Funnel setup'!$K$3&amp;'Funnel setup'!$K$4&amp;'Funnel setup'!$K$5,".",IF(A5218=".",1,A5218+1))</f>
        <v>.</v>
      </c>
      <c r="B5219" s="431" t="str">
        <f t="shared" si="81"/>
        <v>Knee Replacement RevisionCCG of GP PracticeNHS MEDWAY CCG (09W)EQ VAS</v>
      </c>
      <c r="C5219" t="s">
        <v>250</v>
      </c>
      <c r="D5219" t="s">
        <v>87</v>
      </c>
      <c r="E5219" t="s">
        <v>610</v>
      </c>
      <c r="F5219" t="s">
        <v>611</v>
      </c>
      <c r="G5219" t="s">
        <v>179</v>
      </c>
      <c r="H5219" t="s">
        <v>53</v>
      </c>
      <c r="I5219" t="s">
        <v>53</v>
      </c>
      <c r="J5219" t="s">
        <v>53</v>
      </c>
      <c r="K5219" t="s">
        <v>53</v>
      </c>
      <c r="L5219" t="s">
        <v>53</v>
      </c>
      <c r="M5219" t="s">
        <v>53</v>
      </c>
      <c r="N5219" t="s">
        <v>53</v>
      </c>
      <c r="O5219" t="s">
        <v>53</v>
      </c>
      <c r="P5219" t="s">
        <v>53</v>
      </c>
      <c r="Q5219" t="s">
        <v>53</v>
      </c>
    </row>
    <row r="5220" spans="1:17" x14ac:dyDescent="0.2">
      <c r="A5220" s="30" t="str">
        <f>IF(C5220&amp;G5220&amp;D5220&lt;&gt;'Funnel setup'!$K$3&amp;'Funnel setup'!$K$4&amp;'Funnel setup'!$K$5,".",IF(A5219=".",1,A5219+1))</f>
        <v>.</v>
      </c>
      <c r="B5220" s="431" t="str">
        <f t="shared" si="81"/>
        <v>Knee Replacement RevisionCCG of GP PracticeNHS MERTON CCG (08R)EQ VAS</v>
      </c>
      <c r="C5220" t="s">
        <v>250</v>
      </c>
      <c r="D5220" t="s">
        <v>87</v>
      </c>
      <c r="E5220" t="s">
        <v>613</v>
      </c>
      <c r="F5220" t="s">
        <v>614</v>
      </c>
      <c r="G5220" t="s">
        <v>179</v>
      </c>
      <c r="H5220" t="s">
        <v>53</v>
      </c>
      <c r="I5220" t="s">
        <v>53</v>
      </c>
      <c r="J5220" t="s">
        <v>53</v>
      </c>
      <c r="K5220" t="s">
        <v>53</v>
      </c>
      <c r="L5220" t="s">
        <v>53</v>
      </c>
      <c r="M5220" t="s">
        <v>53</v>
      </c>
      <c r="N5220" t="s">
        <v>53</v>
      </c>
      <c r="O5220" t="s">
        <v>53</v>
      </c>
      <c r="P5220" t="s">
        <v>53</v>
      </c>
      <c r="Q5220" t="s">
        <v>53</v>
      </c>
    </row>
    <row r="5221" spans="1:17" x14ac:dyDescent="0.2">
      <c r="A5221" s="30" t="str">
        <f>IF(C5221&amp;G5221&amp;D5221&lt;&gt;'Funnel setup'!$K$3&amp;'Funnel setup'!$K$4&amp;'Funnel setup'!$K$5,".",IF(A5220=".",1,A5220+1))</f>
        <v>.</v>
      </c>
      <c r="B5221" s="431" t="str">
        <f t="shared" si="81"/>
        <v>Knee Replacement RevisionCCG of GP PracticeNHS MID ESSEX CCG (06Q)EQ VAS</v>
      </c>
      <c r="C5221" t="s">
        <v>250</v>
      </c>
      <c r="D5221" t="s">
        <v>87</v>
      </c>
      <c r="E5221" t="s">
        <v>616</v>
      </c>
      <c r="F5221" t="s">
        <v>617</v>
      </c>
      <c r="G5221" t="s">
        <v>179</v>
      </c>
      <c r="H5221">
        <v>9</v>
      </c>
      <c r="I5221">
        <v>72.778000000000006</v>
      </c>
      <c r="J5221">
        <v>59.444000000000003</v>
      </c>
      <c r="K5221">
        <v>-13.333</v>
      </c>
      <c r="L5221">
        <v>3</v>
      </c>
      <c r="M5221">
        <v>0</v>
      </c>
      <c r="N5221">
        <v>6</v>
      </c>
      <c r="O5221" t="s">
        <v>53</v>
      </c>
      <c r="P5221" t="s">
        <v>53</v>
      </c>
      <c r="Q5221" t="s">
        <v>53</v>
      </c>
    </row>
    <row r="5222" spans="1:17" x14ac:dyDescent="0.2">
      <c r="A5222" s="30" t="str">
        <f>IF(C5222&amp;G5222&amp;D5222&lt;&gt;'Funnel setup'!$K$3&amp;'Funnel setup'!$K$4&amp;'Funnel setup'!$K$5,".",IF(A5221=".",1,A5221+1))</f>
        <v>.</v>
      </c>
      <c r="B5222" s="431" t="str">
        <f t="shared" si="81"/>
        <v>Knee Replacement RevisionCCG of GP PracticeNHS MILTON KEYNES CCG (04F)EQ VAS</v>
      </c>
      <c r="C5222" t="s">
        <v>250</v>
      </c>
      <c r="D5222" t="s">
        <v>87</v>
      </c>
      <c r="E5222" t="s">
        <v>619</v>
      </c>
      <c r="F5222" t="s">
        <v>338</v>
      </c>
      <c r="G5222" t="s">
        <v>179</v>
      </c>
      <c r="H5222">
        <v>9</v>
      </c>
      <c r="I5222">
        <v>67.888999999999996</v>
      </c>
      <c r="J5222">
        <v>62.555999999999997</v>
      </c>
      <c r="K5222">
        <v>-5.3330000000000002</v>
      </c>
      <c r="L5222">
        <v>3</v>
      </c>
      <c r="M5222">
        <v>1</v>
      </c>
      <c r="N5222">
        <v>5</v>
      </c>
      <c r="O5222" t="s">
        <v>53</v>
      </c>
      <c r="P5222" t="s">
        <v>53</v>
      </c>
      <c r="Q5222" t="s">
        <v>53</v>
      </c>
    </row>
    <row r="5223" spans="1:17" x14ac:dyDescent="0.2">
      <c r="A5223" s="30" t="str">
        <f>IF(C5223&amp;G5223&amp;D5223&lt;&gt;'Funnel setup'!$K$3&amp;'Funnel setup'!$K$4&amp;'Funnel setup'!$K$5,".",IF(A5222=".",1,A5222+1))</f>
        <v>.</v>
      </c>
      <c r="B5223" s="431" t="str">
        <f t="shared" si="81"/>
        <v>Knee Replacement RevisionCCG of GP PracticeNHS NENE CCG (04G)EQ VAS</v>
      </c>
      <c r="C5223" t="s">
        <v>250</v>
      </c>
      <c r="D5223" t="s">
        <v>87</v>
      </c>
      <c r="E5223" t="s">
        <v>621</v>
      </c>
      <c r="F5223" t="s">
        <v>622</v>
      </c>
      <c r="G5223" t="s">
        <v>179</v>
      </c>
      <c r="H5223">
        <v>26</v>
      </c>
      <c r="I5223">
        <v>66.730999999999995</v>
      </c>
      <c r="J5223">
        <v>70.462000000000003</v>
      </c>
      <c r="K5223">
        <v>3.7309999999999999</v>
      </c>
      <c r="L5223">
        <v>11</v>
      </c>
      <c r="M5223">
        <v>4</v>
      </c>
      <c r="N5223">
        <v>11</v>
      </c>
      <c r="O5223" t="s">
        <v>53</v>
      </c>
      <c r="P5223" t="s">
        <v>53</v>
      </c>
      <c r="Q5223" t="s">
        <v>53</v>
      </c>
    </row>
    <row r="5224" spans="1:17" x14ac:dyDescent="0.2">
      <c r="A5224" s="30" t="str">
        <f>IF(C5224&amp;G5224&amp;D5224&lt;&gt;'Funnel setup'!$K$3&amp;'Funnel setup'!$K$4&amp;'Funnel setup'!$K$5,".",IF(A5223=".",1,A5223+1))</f>
        <v>.</v>
      </c>
      <c r="B5224" s="431" t="str">
        <f t="shared" si="81"/>
        <v>Knee Replacement RevisionCCG of GP PracticeNHS NEWARK &amp; SHERWOOD CCG (04H)EQ VAS</v>
      </c>
      <c r="C5224" t="s">
        <v>250</v>
      </c>
      <c r="D5224" t="s">
        <v>87</v>
      </c>
      <c r="E5224" t="s">
        <v>624</v>
      </c>
      <c r="F5224" t="s">
        <v>625</v>
      </c>
      <c r="G5224" t="s">
        <v>179</v>
      </c>
      <c r="H5224" t="s">
        <v>53</v>
      </c>
      <c r="I5224" t="s">
        <v>53</v>
      </c>
      <c r="J5224" t="s">
        <v>53</v>
      </c>
      <c r="K5224" t="s">
        <v>53</v>
      </c>
      <c r="L5224" t="s">
        <v>53</v>
      </c>
      <c r="M5224" t="s">
        <v>53</v>
      </c>
      <c r="N5224" t="s">
        <v>53</v>
      </c>
      <c r="O5224" t="s">
        <v>53</v>
      </c>
      <c r="P5224" t="s">
        <v>53</v>
      </c>
      <c r="Q5224" t="s">
        <v>53</v>
      </c>
    </row>
    <row r="5225" spans="1:17" x14ac:dyDescent="0.2">
      <c r="A5225" s="30" t="str">
        <f>IF(C5225&amp;G5225&amp;D5225&lt;&gt;'Funnel setup'!$K$3&amp;'Funnel setup'!$K$4&amp;'Funnel setup'!$K$5,".",IF(A5224=".",1,A5224+1))</f>
        <v>.</v>
      </c>
      <c r="B5225" s="431" t="str">
        <f t="shared" si="81"/>
        <v>Knee Replacement RevisionCCG of GP PracticeNHS NEWBURY AND DISTRICT CCG (10M)EQ VAS</v>
      </c>
      <c r="C5225" t="s">
        <v>250</v>
      </c>
      <c r="D5225" t="s">
        <v>87</v>
      </c>
      <c r="E5225" t="s">
        <v>627</v>
      </c>
      <c r="F5225" t="s">
        <v>628</v>
      </c>
      <c r="G5225" t="s">
        <v>179</v>
      </c>
      <c r="H5225" t="s">
        <v>53</v>
      </c>
      <c r="I5225" t="s">
        <v>53</v>
      </c>
      <c r="J5225" t="s">
        <v>53</v>
      </c>
      <c r="K5225" t="s">
        <v>53</v>
      </c>
      <c r="L5225" t="s">
        <v>53</v>
      </c>
      <c r="M5225" t="s">
        <v>53</v>
      </c>
      <c r="N5225" t="s">
        <v>53</v>
      </c>
      <c r="O5225" t="s">
        <v>53</v>
      </c>
      <c r="P5225" t="s">
        <v>53</v>
      </c>
      <c r="Q5225" t="s">
        <v>53</v>
      </c>
    </row>
    <row r="5226" spans="1:17" x14ac:dyDescent="0.2">
      <c r="A5226" s="30" t="str">
        <f>IF(C5226&amp;G5226&amp;D5226&lt;&gt;'Funnel setup'!$K$3&amp;'Funnel setup'!$K$4&amp;'Funnel setup'!$K$5,".",IF(A5225=".",1,A5225+1))</f>
        <v>.</v>
      </c>
      <c r="B5226" s="431" t="str">
        <f t="shared" si="81"/>
        <v>Knee Replacement RevisionCCG of GP PracticeNHS NEWCASTLE GATESHEAD CCG (13T)EQ VAS</v>
      </c>
      <c r="C5226" t="s">
        <v>250</v>
      </c>
      <c r="D5226" t="s">
        <v>87</v>
      </c>
      <c r="E5226" t="s">
        <v>6553</v>
      </c>
      <c r="F5226" t="s">
        <v>6543</v>
      </c>
      <c r="G5226" t="s">
        <v>179</v>
      </c>
      <c r="H5226">
        <v>15</v>
      </c>
      <c r="I5226">
        <v>58.866999999999997</v>
      </c>
      <c r="J5226">
        <v>61.667000000000002</v>
      </c>
      <c r="K5226">
        <v>2.8</v>
      </c>
      <c r="L5226">
        <v>8</v>
      </c>
      <c r="M5226">
        <v>1</v>
      </c>
      <c r="N5226">
        <v>6</v>
      </c>
      <c r="O5226" t="s">
        <v>53</v>
      </c>
      <c r="P5226" t="s">
        <v>53</v>
      </c>
      <c r="Q5226" t="s">
        <v>53</v>
      </c>
    </row>
    <row r="5227" spans="1:17" x14ac:dyDescent="0.2">
      <c r="A5227" s="30" t="str">
        <f>IF(C5227&amp;G5227&amp;D5227&lt;&gt;'Funnel setup'!$K$3&amp;'Funnel setup'!$K$4&amp;'Funnel setup'!$K$5,".",IF(A5226=".",1,A5226+1))</f>
        <v>.</v>
      </c>
      <c r="B5227" s="431" t="str">
        <f t="shared" si="81"/>
        <v>Knee Replacement RevisionCCG of GP PracticeNHS NEWHAM CCG (08M)EQ VAS</v>
      </c>
      <c r="C5227" t="s">
        <v>250</v>
      </c>
      <c r="D5227" t="s">
        <v>87</v>
      </c>
      <c r="E5227" t="s">
        <v>630</v>
      </c>
      <c r="F5227" t="s">
        <v>631</v>
      </c>
      <c r="G5227" t="s">
        <v>179</v>
      </c>
      <c r="H5227" t="s">
        <v>53</v>
      </c>
      <c r="I5227" t="s">
        <v>53</v>
      </c>
      <c r="J5227" t="s">
        <v>53</v>
      </c>
      <c r="K5227" t="s">
        <v>53</v>
      </c>
      <c r="L5227" t="s">
        <v>53</v>
      </c>
      <c r="M5227" t="s">
        <v>53</v>
      </c>
      <c r="N5227" t="s">
        <v>53</v>
      </c>
      <c r="O5227" t="s">
        <v>53</v>
      </c>
      <c r="P5227" t="s">
        <v>53</v>
      </c>
      <c r="Q5227" t="s">
        <v>53</v>
      </c>
    </row>
    <row r="5228" spans="1:17" x14ac:dyDescent="0.2">
      <c r="A5228" s="30" t="str">
        <f>IF(C5228&amp;G5228&amp;D5228&lt;&gt;'Funnel setup'!$K$3&amp;'Funnel setup'!$K$4&amp;'Funnel setup'!$K$5,".",IF(A5227=".",1,A5227+1))</f>
        <v>.</v>
      </c>
      <c r="B5228" s="431" t="str">
        <f t="shared" si="81"/>
        <v>Knee Replacement RevisionCCG of GP PracticeNHS NORTH DERBYSHIRE CCG (04J)EQ VAS</v>
      </c>
      <c r="C5228" t="s">
        <v>250</v>
      </c>
      <c r="D5228" t="s">
        <v>87</v>
      </c>
      <c r="E5228" t="s">
        <v>636</v>
      </c>
      <c r="F5228" t="s">
        <v>637</v>
      </c>
      <c r="G5228" t="s">
        <v>179</v>
      </c>
      <c r="H5228">
        <v>8</v>
      </c>
      <c r="I5228">
        <v>59.125</v>
      </c>
      <c r="J5228">
        <v>61.125</v>
      </c>
      <c r="K5228">
        <v>2</v>
      </c>
      <c r="L5228">
        <v>6</v>
      </c>
      <c r="M5228">
        <v>0</v>
      </c>
      <c r="N5228">
        <v>2</v>
      </c>
      <c r="O5228" t="s">
        <v>53</v>
      </c>
      <c r="P5228" t="s">
        <v>53</v>
      </c>
      <c r="Q5228" t="s">
        <v>53</v>
      </c>
    </row>
    <row r="5229" spans="1:17" x14ac:dyDescent="0.2">
      <c r="A5229" s="30" t="str">
        <f>IF(C5229&amp;G5229&amp;D5229&lt;&gt;'Funnel setup'!$K$3&amp;'Funnel setup'!$K$4&amp;'Funnel setup'!$K$5,".",IF(A5228=".",1,A5228+1))</f>
        <v>.</v>
      </c>
      <c r="B5229" s="431" t="str">
        <f t="shared" si="81"/>
        <v>Knee Replacement RevisionCCG of GP PracticeNHS NORTH DURHAM CCG (00J)EQ VAS</v>
      </c>
      <c r="C5229" t="s">
        <v>250</v>
      </c>
      <c r="D5229" t="s">
        <v>87</v>
      </c>
      <c r="E5229" t="s">
        <v>639</v>
      </c>
      <c r="F5229" t="s">
        <v>640</v>
      </c>
      <c r="G5229" t="s">
        <v>179</v>
      </c>
      <c r="H5229" t="s">
        <v>53</v>
      </c>
      <c r="I5229" t="s">
        <v>53</v>
      </c>
      <c r="J5229" t="s">
        <v>53</v>
      </c>
      <c r="K5229" t="s">
        <v>53</v>
      </c>
      <c r="L5229" t="s">
        <v>53</v>
      </c>
      <c r="M5229" t="s">
        <v>53</v>
      </c>
      <c r="N5229" t="s">
        <v>53</v>
      </c>
      <c r="O5229" t="s">
        <v>53</v>
      </c>
      <c r="P5229" t="s">
        <v>53</v>
      </c>
      <c r="Q5229" t="s">
        <v>53</v>
      </c>
    </row>
    <row r="5230" spans="1:17" x14ac:dyDescent="0.2">
      <c r="A5230" s="30" t="str">
        <f>IF(C5230&amp;G5230&amp;D5230&lt;&gt;'Funnel setup'!$K$3&amp;'Funnel setup'!$K$4&amp;'Funnel setup'!$K$5,".",IF(A5229=".",1,A5229+1))</f>
        <v>.</v>
      </c>
      <c r="B5230" s="431" t="str">
        <f t="shared" si="81"/>
        <v>Knee Replacement RevisionCCG of GP PracticeNHS NORTH EAST ESSEX CCG (06T)EQ VAS</v>
      </c>
      <c r="C5230" t="s">
        <v>250</v>
      </c>
      <c r="D5230" t="s">
        <v>87</v>
      </c>
      <c r="E5230" t="s">
        <v>642</v>
      </c>
      <c r="F5230" t="s">
        <v>643</v>
      </c>
      <c r="G5230" t="s">
        <v>179</v>
      </c>
      <c r="H5230">
        <v>12</v>
      </c>
      <c r="I5230">
        <v>62.667000000000002</v>
      </c>
      <c r="J5230">
        <v>70</v>
      </c>
      <c r="K5230">
        <v>7.3330000000000002</v>
      </c>
      <c r="L5230">
        <v>5</v>
      </c>
      <c r="M5230">
        <v>3</v>
      </c>
      <c r="N5230">
        <v>4</v>
      </c>
      <c r="O5230" t="s">
        <v>53</v>
      </c>
      <c r="P5230" t="s">
        <v>53</v>
      </c>
      <c r="Q5230" t="s">
        <v>53</v>
      </c>
    </row>
    <row r="5231" spans="1:17" x14ac:dyDescent="0.2">
      <c r="A5231" s="30" t="str">
        <f>IF(C5231&amp;G5231&amp;D5231&lt;&gt;'Funnel setup'!$K$3&amp;'Funnel setup'!$K$4&amp;'Funnel setup'!$K$5,".",IF(A5230=".",1,A5230+1))</f>
        <v>.</v>
      </c>
      <c r="B5231" s="431" t="str">
        <f t="shared" si="81"/>
        <v>Knee Replacement RevisionCCG of GP PracticeNHS NORTH EAST HAMPSHIRE AND FARNHAM CCG (99M)EQ VAS</v>
      </c>
      <c r="C5231" t="s">
        <v>250</v>
      </c>
      <c r="D5231" t="s">
        <v>87</v>
      </c>
      <c r="E5231" t="s">
        <v>645</v>
      </c>
      <c r="F5231" t="s">
        <v>646</v>
      </c>
      <c r="G5231" t="s">
        <v>179</v>
      </c>
      <c r="H5231" t="s">
        <v>53</v>
      </c>
      <c r="I5231" t="s">
        <v>53</v>
      </c>
      <c r="J5231" t="s">
        <v>53</v>
      </c>
      <c r="K5231" t="s">
        <v>53</v>
      </c>
      <c r="L5231" t="s">
        <v>53</v>
      </c>
      <c r="M5231" t="s">
        <v>53</v>
      </c>
      <c r="N5231" t="s">
        <v>53</v>
      </c>
      <c r="O5231" t="s">
        <v>53</v>
      </c>
      <c r="P5231" t="s">
        <v>53</v>
      </c>
      <c r="Q5231" t="s">
        <v>53</v>
      </c>
    </row>
    <row r="5232" spans="1:17" x14ac:dyDescent="0.2">
      <c r="A5232" s="30" t="str">
        <f>IF(C5232&amp;G5232&amp;D5232&lt;&gt;'Funnel setup'!$K$3&amp;'Funnel setup'!$K$4&amp;'Funnel setup'!$K$5,".",IF(A5231=".",1,A5231+1))</f>
        <v>.</v>
      </c>
      <c r="B5232" s="431" t="str">
        <f t="shared" si="81"/>
        <v>Knee Replacement RevisionCCG of GP PracticeNHS NORTH EAST LINCOLNSHIRE CCG (03H)EQ VAS</v>
      </c>
      <c r="C5232" t="s">
        <v>250</v>
      </c>
      <c r="D5232" t="s">
        <v>87</v>
      </c>
      <c r="E5232" t="s">
        <v>648</v>
      </c>
      <c r="F5232" t="s">
        <v>649</v>
      </c>
      <c r="G5232" t="s">
        <v>179</v>
      </c>
      <c r="H5232" t="s">
        <v>53</v>
      </c>
      <c r="I5232" t="s">
        <v>53</v>
      </c>
      <c r="J5232" t="s">
        <v>53</v>
      </c>
      <c r="K5232" t="s">
        <v>53</v>
      </c>
      <c r="L5232" t="s">
        <v>53</v>
      </c>
      <c r="M5232" t="s">
        <v>53</v>
      </c>
      <c r="N5232" t="s">
        <v>53</v>
      </c>
      <c r="O5232" t="s">
        <v>53</v>
      </c>
      <c r="P5232" t="s">
        <v>53</v>
      </c>
      <c r="Q5232" t="s">
        <v>53</v>
      </c>
    </row>
    <row r="5233" spans="1:17" x14ac:dyDescent="0.2">
      <c r="A5233" s="30" t="str">
        <f>IF(C5233&amp;G5233&amp;D5233&lt;&gt;'Funnel setup'!$K$3&amp;'Funnel setup'!$K$4&amp;'Funnel setup'!$K$5,".",IF(A5232=".",1,A5232+1))</f>
        <v>.</v>
      </c>
      <c r="B5233" s="431" t="str">
        <f t="shared" si="81"/>
        <v>Knee Replacement RevisionCCG of GP PracticeNHS NORTH HAMPSHIRE CCG (10J)EQ VAS</v>
      </c>
      <c r="C5233" t="s">
        <v>250</v>
      </c>
      <c r="D5233" t="s">
        <v>87</v>
      </c>
      <c r="E5233" t="s">
        <v>651</v>
      </c>
      <c r="F5233" t="s">
        <v>652</v>
      </c>
      <c r="G5233" t="s">
        <v>179</v>
      </c>
      <c r="H5233">
        <v>8</v>
      </c>
      <c r="I5233">
        <v>57.5</v>
      </c>
      <c r="J5233">
        <v>61.25</v>
      </c>
      <c r="K5233">
        <v>3.75</v>
      </c>
      <c r="L5233">
        <v>3</v>
      </c>
      <c r="M5233">
        <v>2</v>
      </c>
      <c r="N5233">
        <v>3</v>
      </c>
      <c r="O5233" t="s">
        <v>53</v>
      </c>
      <c r="P5233" t="s">
        <v>53</v>
      </c>
      <c r="Q5233" t="s">
        <v>53</v>
      </c>
    </row>
    <row r="5234" spans="1:17" x14ac:dyDescent="0.2">
      <c r="A5234" s="30" t="str">
        <f>IF(C5234&amp;G5234&amp;D5234&lt;&gt;'Funnel setup'!$K$3&amp;'Funnel setup'!$K$4&amp;'Funnel setup'!$K$5,".",IF(A5233=".",1,A5233+1))</f>
        <v>.</v>
      </c>
      <c r="B5234" s="431" t="str">
        <f t="shared" si="81"/>
        <v>Knee Replacement RevisionCCG of GP PracticeNHS NORTH KIRKLEES CCG (03J)EQ VAS</v>
      </c>
      <c r="C5234" t="s">
        <v>250</v>
      </c>
      <c r="D5234" t="s">
        <v>87</v>
      </c>
      <c r="E5234" t="s">
        <v>654</v>
      </c>
      <c r="F5234" t="s">
        <v>655</v>
      </c>
      <c r="G5234" t="s">
        <v>179</v>
      </c>
      <c r="H5234">
        <v>7</v>
      </c>
      <c r="I5234">
        <v>68.286000000000001</v>
      </c>
      <c r="J5234">
        <v>70</v>
      </c>
      <c r="K5234">
        <v>1.714</v>
      </c>
      <c r="L5234">
        <v>3</v>
      </c>
      <c r="M5234">
        <v>0</v>
      </c>
      <c r="N5234">
        <v>4</v>
      </c>
      <c r="O5234" t="s">
        <v>53</v>
      </c>
      <c r="P5234" t="s">
        <v>53</v>
      </c>
      <c r="Q5234" t="s">
        <v>53</v>
      </c>
    </row>
    <row r="5235" spans="1:17" x14ac:dyDescent="0.2">
      <c r="A5235" s="30" t="str">
        <f>IF(C5235&amp;G5235&amp;D5235&lt;&gt;'Funnel setup'!$K$3&amp;'Funnel setup'!$K$4&amp;'Funnel setup'!$K$5,".",IF(A5234=".",1,A5234+1))</f>
        <v>.</v>
      </c>
      <c r="B5235" s="431" t="str">
        <f t="shared" si="81"/>
        <v>Knee Replacement RevisionCCG of GP PracticeNHS NORTH LINCOLNSHIRE CCG (03K)EQ VAS</v>
      </c>
      <c r="C5235" t="s">
        <v>250</v>
      </c>
      <c r="D5235" t="s">
        <v>87</v>
      </c>
      <c r="E5235" t="s">
        <v>657</v>
      </c>
      <c r="F5235" t="s">
        <v>658</v>
      </c>
      <c r="G5235" t="s">
        <v>179</v>
      </c>
      <c r="H5235" t="s">
        <v>53</v>
      </c>
      <c r="I5235" t="s">
        <v>53</v>
      </c>
      <c r="J5235" t="s">
        <v>53</v>
      </c>
      <c r="K5235" t="s">
        <v>53</v>
      </c>
      <c r="L5235" t="s">
        <v>53</v>
      </c>
      <c r="M5235" t="s">
        <v>53</v>
      </c>
      <c r="N5235" t="s">
        <v>53</v>
      </c>
      <c r="O5235" t="s">
        <v>53</v>
      </c>
      <c r="P5235" t="s">
        <v>53</v>
      </c>
      <c r="Q5235" t="s">
        <v>53</v>
      </c>
    </row>
    <row r="5236" spans="1:17" x14ac:dyDescent="0.2">
      <c r="A5236" s="30" t="str">
        <f>IF(C5236&amp;G5236&amp;D5236&lt;&gt;'Funnel setup'!$K$3&amp;'Funnel setup'!$K$4&amp;'Funnel setup'!$K$5,".",IF(A5235=".",1,A5235+1))</f>
        <v>.</v>
      </c>
      <c r="B5236" s="431" t="str">
        <f t="shared" si="81"/>
        <v>Knee Replacement RevisionCCG of GP PracticeNHS NORTH MANCHESTER CCG (01M)EQ VAS</v>
      </c>
      <c r="C5236" t="s">
        <v>250</v>
      </c>
      <c r="D5236" t="s">
        <v>87</v>
      </c>
      <c r="E5236" t="s">
        <v>660</v>
      </c>
      <c r="F5236" t="s">
        <v>661</v>
      </c>
      <c r="G5236" t="s">
        <v>179</v>
      </c>
      <c r="H5236" t="s">
        <v>53</v>
      </c>
      <c r="I5236" t="s">
        <v>53</v>
      </c>
      <c r="J5236" t="s">
        <v>53</v>
      </c>
      <c r="K5236" t="s">
        <v>53</v>
      </c>
      <c r="L5236" t="s">
        <v>53</v>
      </c>
      <c r="M5236" t="s">
        <v>53</v>
      </c>
      <c r="N5236" t="s">
        <v>53</v>
      </c>
      <c r="O5236" t="s">
        <v>53</v>
      </c>
      <c r="P5236" t="s">
        <v>53</v>
      </c>
      <c r="Q5236" t="s">
        <v>53</v>
      </c>
    </row>
    <row r="5237" spans="1:17" x14ac:dyDescent="0.2">
      <c r="A5237" s="30" t="str">
        <f>IF(C5237&amp;G5237&amp;D5237&lt;&gt;'Funnel setup'!$K$3&amp;'Funnel setup'!$K$4&amp;'Funnel setup'!$K$5,".",IF(A5236=".",1,A5236+1))</f>
        <v>.</v>
      </c>
      <c r="B5237" s="431" t="str">
        <f t="shared" si="81"/>
        <v>Knee Replacement RevisionCCG of GP PracticeNHS NORTH NORFOLK CCG (06V)EQ VAS</v>
      </c>
      <c r="C5237" t="s">
        <v>250</v>
      </c>
      <c r="D5237" t="s">
        <v>87</v>
      </c>
      <c r="E5237" t="s">
        <v>663</v>
      </c>
      <c r="F5237" t="s">
        <v>664</v>
      </c>
      <c r="G5237" t="s">
        <v>179</v>
      </c>
      <c r="H5237">
        <v>7</v>
      </c>
      <c r="I5237">
        <v>74.286000000000001</v>
      </c>
      <c r="J5237">
        <v>69</v>
      </c>
      <c r="K5237">
        <v>-5.2859999999999996</v>
      </c>
      <c r="L5237">
        <v>4</v>
      </c>
      <c r="M5237">
        <v>0</v>
      </c>
      <c r="N5237">
        <v>3</v>
      </c>
      <c r="O5237" t="s">
        <v>53</v>
      </c>
      <c r="P5237" t="s">
        <v>53</v>
      </c>
      <c r="Q5237" t="s">
        <v>53</v>
      </c>
    </row>
    <row r="5238" spans="1:17" x14ac:dyDescent="0.2">
      <c r="A5238" s="30" t="str">
        <f>IF(C5238&amp;G5238&amp;D5238&lt;&gt;'Funnel setup'!$K$3&amp;'Funnel setup'!$K$4&amp;'Funnel setup'!$K$5,".",IF(A5237=".",1,A5237+1))</f>
        <v>.</v>
      </c>
      <c r="B5238" s="431" t="str">
        <f t="shared" si="81"/>
        <v>Knee Replacement RevisionCCG of GP PracticeNHS NORTH SOMERSET CCG (11T)EQ VAS</v>
      </c>
      <c r="C5238" t="s">
        <v>250</v>
      </c>
      <c r="D5238" t="s">
        <v>87</v>
      </c>
      <c r="E5238" t="s">
        <v>666</v>
      </c>
      <c r="F5238" t="s">
        <v>667</v>
      </c>
      <c r="G5238" t="s">
        <v>179</v>
      </c>
      <c r="H5238">
        <v>10</v>
      </c>
      <c r="I5238">
        <v>63.5</v>
      </c>
      <c r="J5238">
        <v>61.2</v>
      </c>
      <c r="K5238">
        <v>-2.2999999999999998</v>
      </c>
      <c r="L5238">
        <v>3</v>
      </c>
      <c r="M5238">
        <v>0</v>
      </c>
      <c r="N5238">
        <v>7</v>
      </c>
      <c r="O5238" t="s">
        <v>53</v>
      </c>
      <c r="P5238" t="s">
        <v>53</v>
      </c>
      <c r="Q5238" t="s">
        <v>53</v>
      </c>
    </row>
    <row r="5239" spans="1:17" x14ac:dyDescent="0.2">
      <c r="A5239" s="30" t="str">
        <f>IF(C5239&amp;G5239&amp;D5239&lt;&gt;'Funnel setup'!$K$3&amp;'Funnel setup'!$K$4&amp;'Funnel setup'!$K$5,".",IF(A5238=".",1,A5238+1))</f>
        <v>.</v>
      </c>
      <c r="B5239" s="431" t="str">
        <f t="shared" si="81"/>
        <v>Knee Replacement RevisionCCG of GP PracticeNHS NORTH STAFFORDSHIRE CCG (05G)EQ VAS</v>
      </c>
      <c r="C5239" t="s">
        <v>250</v>
      </c>
      <c r="D5239" t="s">
        <v>87</v>
      </c>
      <c r="E5239" t="s">
        <v>669</v>
      </c>
      <c r="F5239" t="s">
        <v>670</v>
      </c>
      <c r="G5239" t="s">
        <v>179</v>
      </c>
      <c r="H5239" t="s">
        <v>53</v>
      </c>
      <c r="I5239" t="s">
        <v>53</v>
      </c>
      <c r="J5239" t="s">
        <v>53</v>
      </c>
      <c r="K5239" t="s">
        <v>53</v>
      </c>
      <c r="L5239" t="s">
        <v>53</v>
      </c>
      <c r="M5239" t="s">
        <v>53</v>
      </c>
      <c r="N5239" t="s">
        <v>53</v>
      </c>
      <c r="O5239" t="s">
        <v>53</v>
      </c>
      <c r="P5239" t="s">
        <v>53</v>
      </c>
      <c r="Q5239" t="s">
        <v>53</v>
      </c>
    </row>
    <row r="5240" spans="1:17" x14ac:dyDescent="0.2">
      <c r="A5240" s="30" t="str">
        <f>IF(C5240&amp;G5240&amp;D5240&lt;&gt;'Funnel setup'!$K$3&amp;'Funnel setup'!$K$4&amp;'Funnel setup'!$K$5,".",IF(A5239=".",1,A5239+1))</f>
        <v>.</v>
      </c>
      <c r="B5240" s="431" t="str">
        <f t="shared" si="81"/>
        <v>Knee Replacement RevisionCCG of GP PracticeNHS NORTH TYNESIDE CCG (99C)EQ VAS</v>
      </c>
      <c r="C5240" t="s">
        <v>250</v>
      </c>
      <c r="D5240" t="s">
        <v>87</v>
      </c>
      <c r="E5240" t="s">
        <v>672</v>
      </c>
      <c r="F5240" t="s">
        <v>673</v>
      </c>
      <c r="G5240" t="s">
        <v>179</v>
      </c>
      <c r="H5240" t="s">
        <v>53</v>
      </c>
      <c r="I5240" t="s">
        <v>53</v>
      </c>
      <c r="J5240" t="s">
        <v>53</v>
      </c>
      <c r="K5240" t="s">
        <v>53</v>
      </c>
      <c r="L5240" t="s">
        <v>53</v>
      </c>
      <c r="M5240" t="s">
        <v>53</v>
      </c>
      <c r="N5240" t="s">
        <v>53</v>
      </c>
      <c r="O5240" t="s">
        <v>53</v>
      </c>
      <c r="P5240" t="s">
        <v>53</v>
      </c>
      <c r="Q5240" t="s">
        <v>53</v>
      </c>
    </row>
    <row r="5241" spans="1:17" x14ac:dyDescent="0.2">
      <c r="A5241" s="30" t="str">
        <f>IF(C5241&amp;G5241&amp;D5241&lt;&gt;'Funnel setup'!$K$3&amp;'Funnel setup'!$K$4&amp;'Funnel setup'!$K$5,".",IF(A5240=".",1,A5240+1))</f>
        <v>.</v>
      </c>
      <c r="B5241" s="431" t="str">
        <f t="shared" si="81"/>
        <v>Knee Replacement RevisionCCG of GP PracticeNHS NORTH WEST SURREY CCG (09Y)EQ VAS</v>
      </c>
      <c r="C5241" t="s">
        <v>250</v>
      </c>
      <c r="D5241" t="s">
        <v>87</v>
      </c>
      <c r="E5241" t="s">
        <v>675</v>
      </c>
      <c r="F5241" t="s">
        <v>676</v>
      </c>
      <c r="G5241" t="s">
        <v>179</v>
      </c>
      <c r="H5241">
        <v>9</v>
      </c>
      <c r="I5241">
        <v>65.888999999999996</v>
      </c>
      <c r="J5241">
        <v>62</v>
      </c>
      <c r="K5241">
        <v>-3.8889999999999998</v>
      </c>
      <c r="L5241">
        <v>4</v>
      </c>
      <c r="M5241">
        <v>1</v>
      </c>
      <c r="N5241">
        <v>4</v>
      </c>
      <c r="O5241" t="s">
        <v>53</v>
      </c>
      <c r="P5241" t="s">
        <v>53</v>
      </c>
      <c r="Q5241" t="s">
        <v>53</v>
      </c>
    </row>
    <row r="5242" spans="1:17" x14ac:dyDescent="0.2">
      <c r="A5242" s="30" t="str">
        <f>IF(C5242&amp;G5242&amp;D5242&lt;&gt;'Funnel setup'!$K$3&amp;'Funnel setup'!$K$4&amp;'Funnel setup'!$K$5,".",IF(A5241=".",1,A5241+1))</f>
        <v>.</v>
      </c>
      <c r="B5242" s="431" t="str">
        <f t="shared" si="81"/>
        <v>Knee Replacement RevisionCCG of GP PracticeNHS NORTHERN, EASTERN AND WESTERN DEVON CCG (99P)EQ VAS</v>
      </c>
      <c r="C5242" t="s">
        <v>250</v>
      </c>
      <c r="D5242" t="s">
        <v>87</v>
      </c>
      <c r="E5242" t="s">
        <v>678</v>
      </c>
      <c r="F5242" t="s">
        <v>679</v>
      </c>
      <c r="G5242" t="s">
        <v>179</v>
      </c>
      <c r="H5242">
        <v>53</v>
      </c>
      <c r="I5242">
        <v>60.942999999999998</v>
      </c>
      <c r="J5242">
        <v>67.83</v>
      </c>
      <c r="K5242">
        <v>6.8869999999999996</v>
      </c>
      <c r="L5242">
        <v>28</v>
      </c>
      <c r="M5242">
        <v>11</v>
      </c>
      <c r="N5242">
        <v>14</v>
      </c>
      <c r="O5242">
        <v>68.236999999999995</v>
      </c>
      <c r="P5242">
        <v>3.7806829020000001</v>
      </c>
      <c r="Q5242">
        <v>15.747</v>
      </c>
    </row>
    <row r="5243" spans="1:17" x14ac:dyDescent="0.2">
      <c r="A5243" s="30" t="str">
        <f>IF(C5243&amp;G5243&amp;D5243&lt;&gt;'Funnel setup'!$K$3&amp;'Funnel setup'!$K$4&amp;'Funnel setup'!$K$5,".",IF(A5242=".",1,A5242+1))</f>
        <v>.</v>
      </c>
      <c r="B5243" s="431" t="str">
        <f t="shared" si="81"/>
        <v>Knee Replacement RevisionCCG of GP PracticeNHS NORTHUMBERLAND CCG (00L)EQ VAS</v>
      </c>
      <c r="C5243" t="s">
        <v>250</v>
      </c>
      <c r="D5243" t="s">
        <v>87</v>
      </c>
      <c r="E5243" t="s">
        <v>681</v>
      </c>
      <c r="F5243" t="s">
        <v>336</v>
      </c>
      <c r="G5243" t="s">
        <v>179</v>
      </c>
      <c r="H5243">
        <v>13</v>
      </c>
      <c r="I5243">
        <v>59.615000000000002</v>
      </c>
      <c r="J5243">
        <v>66.462000000000003</v>
      </c>
      <c r="K5243">
        <v>6.8460000000000001</v>
      </c>
      <c r="L5243">
        <v>8</v>
      </c>
      <c r="M5243">
        <v>1</v>
      </c>
      <c r="N5243">
        <v>4</v>
      </c>
      <c r="O5243" t="s">
        <v>53</v>
      </c>
      <c r="P5243" t="s">
        <v>53</v>
      </c>
      <c r="Q5243" t="s">
        <v>53</v>
      </c>
    </row>
    <row r="5244" spans="1:17" x14ac:dyDescent="0.2">
      <c r="A5244" s="30" t="str">
        <f>IF(C5244&amp;G5244&amp;D5244&lt;&gt;'Funnel setup'!$K$3&amp;'Funnel setup'!$K$4&amp;'Funnel setup'!$K$5,".",IF(A5243=".",1,A5243+1))</f>
        <v>.</v>
      </c>
      <c r="B5244" s="431" t="str">
        <f t="shared" si="81"/>
        <v>Knee Replacement RevisionCCG of GP PracticeNHS NORWICH CCG (06W)EQ VAS</v>
      </c>
      <c r="C5244" t="s">
        <v>250</v>
      </c>
      <c r="D5244" t="s">
        <v>87</v>
      </c>
      <c r="E5244" t="s">
        <v>770</v>
      </c>
      <c r="F5244" t="s">
        <v>771</v>
      </c>
      <c r="G5244" t="s">
        <v>179</v>
      </c>
      <c r="H5244">
        <v>7</v>
      </c>
      <c r="I5244">
        <v>77.286000000000001</v>
      </c>
      <c r="J5244">
        <v>73.286000000000001</v>
      </c>
      <c r="K5244">
        <v>-4</v>
      </c>
      <c r="L5244">
        <v>2</v>
      </c>
      <c r="M5244">
        <v>2</v>
      </c>
      <c r="N5244">
        <v>3</v>
      </c>
      <c r="O5244" t="s">
        <v>53</v>
      </c>
      <c r="P5244" t="s">
        <v>53</v>
      </c>
      <c r="Q5244" t="s">
        <v>53</v>
      </c>
    </row>
    <row r="5245" spans="1:17" x14ac:dyDescent="0.2">
      <c r="A5245" s="30" t="str">
        <f>IF(C5245&amp;G5245&amp;D5245&lt;&gt;'Funnel setup'!$K$3&amp;'Funnel setup'!$K$4&amp;'Funnel setup'!$K$5,".",IF(A5244=".",1,A5244+1))</f>
        <v>.</v>
      </c>
      <c r="B5245" s="431" t="str">
        <f t="shared" si="81"/>
        <v>Knee Replacement RevisionCCG of GP PracticeNHS NOTTINGHAM CITY CCG (04K)EQ VAS</v>
      </c>
      <c r="C5245" t="s">
        <v>250</v>
      </c>
      <c r="D5245" t="s">
        <v>87</v>
      </c>
      <c r="E5245" t="s">
        <v>773</v>
      </c>
      <c r="F5245" t="s">
        <v>774</v>
      </c>
      <c r="G5245" t="s">
        <v>179</v>
      </c>
      <c r="H5245">
        <v>9</v>
      </c>
      <c r="I5245">
        <v>61.555999999999997</v>
      </c>
      <c r="J5245">
        <v>63.555999999999997</v>
      </c>
      <c r="K5245">
        <v>2</v>
      </c>
      <c r="L5245">
        <v>5</v>
      </c>
      <c r="M5245">
        <v>1</v>
      </c>
      <c r="N5245">
        <v>3</v>
      </c>
      <c r="O5245" t="s">
        <v>53</v>
      </c>
      <c r="P5245" t="s">
        <v>53</v>
      </c>
      <c r="Q5245" t="s">
        <v>53</v>
      </c>
    </row>
    <row r="5246" spans="1:17" x14ac:dyDescent="0.2">
      <c r="A5246" s="30" t="str">
        <f>IF(C5246&amp;G5246&amp;D5246&lt;&gt;'Funnel setup'!$K$3&amp;'Funnel setup'!$K$4&amp;'Funnel setup'!$K$5,".",IF(A5245=".",1,A5245+1))</f>
        <v>.</v>
      </c>
      <c r="B5246" s="431" t="str">
        <f t="shared" si="81"/>
        <v>Knee Replacement RevisionCCG of GP PracticeNHS NOTTINGHAM NORTH AND EAST CCG (04L)EQ VAS</v>
      </c>
      <c r="C5246" t="s">
        <v>250</v>
      </c>
      <c r="D5246" t="s">
        <v>87</v>
      </c>
      <c r="E5246" t="s">
        <v>776</v>
      </c>
      <c r="F5246" t="s">
        <v>777</v>
      </c>
      <c r="G5246" t="s">
        <v>179</v>
      </c>
      <c r="H5246" t="s">
        <v>53</v>
      </c>
      <c r="I5246" t="s">
        <v>53</v>
      </c>
      <c r="J5246" t="s">
        <v>53</v>
      </c>
      <c r="K5246" t="s">
        <v>53</v>
      </c>
      <c r="L5246" t="s">
        <v>53</v>
      </c>
      <c r="M5246" t="s">
        <v>53</v>
      </c>
      <c r="N5246" t="s">
        <v>53</v>
      </c>
      <c r="O5246" t="s">
        <v>53</v>
      </c>
      <c r="P5246" t="s">
        <v>53</v>
      </c>
      <c r="Q5246" t="s">
        <v>53</v>
      </c>
    </row>
    <row r="5247" spans="1:17" x14ac:dyDescent="0.2">
      <c r="A5247" s="30" t="str">
        <f>IF(C5247&amp;G5247&amp;D5247&lt;&gt;'Funnel setup'!$K$3&amp;'Funnel setup'!$K$4&amp;'Funnel setup'!$K$5,".",IF(A5246=".",1,A5246+1))</f>
        <v>.</v>
      </c>
      <c r="B5247" s="431" t="str">
        <f t="shared" si="81"/>
        <v>Knee Replacement RevisionCCG of GP PracticeNHS NOTTINGHAM WEST CCG (04M)EQ VAS</v>
      </c>
      <c r="C5247" t="s">
        <v>250</v>
      </c>
      <c r="D5247" t="s">
        <v>87</v>
      </c>
      <c r="E5247" t="s">
        <v>779</v>
      </c>
      <c r="F5247" t="s">
        <v>780</v>
      </c>
      <c r="G5247" t="s">
        <v>179</v>
      </c>
      <c r="H5247" t="s">
        <v>53</v>
      </c>
      <c r="I5247" t="s">
        <v>53</v>
      </c>
      <c r="J5247" t="s">
        <v>53</v>
      </c>
      <c r="K5247" t="s">
        <v>53</v>
      </c>
      <c r="L5247" t="s">
        <v>53</v>
      </c>
      <c r="M5247" t="s">
        <v>53</v>
      </c>
      <c r="N5247" t="s">
        <v>53</v>
      </c>
      <c r="O5247" t="s">
        <v>53</v>
      </c>
      <c r="P5247" t="s">
        <v>53</v>
      </c>
      <c r="Q5247" t="s">
        <v>53</v>
      </c>
    </row>
    <row r="5248" spans="1:17" x14ac:dyDescent="0.2">
      <c r="A5248" s="30" t="str">
        <f>IF(C5248&amp;G5248&amp;D5248&lt;&gt;'Funnel setup'!$K$3&amp;'Funnel setup'!$K$4&amp;'Funnel setup'!$K$5,".",IF(A5247=".",1,A5247+1))</f>
        <v>.</v>
      </c>
      <c r="B5248" s="431" t="str">
        <f t="shared" si="81"/>
        <v>Knee Replacement RevisionCCG of GP PracticeNHS OLDHAM CCG (00Y)EQ VAS</v>
      </c>
      <c r="C5248" t="s">
        <v>250</v>
      </c>
      <c r="D5248" t="s">
        <v>87</v>
      </c>
      <c r="E5248" t="s">
        <v>782</v>
      </c>
      <c r="F5248" t="s">
        <v>783</v>
      </c>
      <c r="G5248" t="s">
        <v>179</v>
      </c>
      <c r="H5248" t="s">
        <v>53</v>
      </c>
      <c r="I5248" t="s">
        <v>53</v>
      </c>
      <c r="J5248" t="s">
        <v>53</v>
      </c>
      <c r="K5248" t="s">
        <v>53</v>
      </c>
      <c r="L5248" t="s">
        <v>53</v>
      </c>
      <c r="M5248" t="s">
        <v>53</v>
      </c>
      <c r="N5248" t="s">
        <v>53</v>
      </c>
      <c r="O5248" t="s">
        <v>53</v>
      </c>
      <c r="P5248" t="s">
        <v>53</v>
      </c>
      <c r="Q5248" t="s">
        <v>53</v>
      </c>
    </row>
    <row r="5249" spans="1:17" x14ac:dyDescent="0.2">
      <c r="A5249" s="30" t="str">
        <f>IF(C5249&amp;G5249&amp;D5249&lt;&gt;'Funnel setup'!$K$3&amp;'Funnel setup'!$K$4&amp;'Funnel setup'!$K$5,".",IF(A5248=".",1,A5248+1))</f>
        <v>.</v>
      </c>
      <c r="B5249" s="431" t="str">
        <f t="shared" si="81"/>
        <v>Knee Replacement RevisionCCG of GP PracticeNHS OXFORDSHIRE CCG (10Q)EQ VAS</v>
      </c>
      <c r="C5249" t="s">
        <v>250</v>
      </c>
      <c r="D5249" t="s">
        <v>87</v>
      </c>
      <c r="E5249" t="s">
        <v>785</v>
      </c>
      <c r="F5249" t="s">
        <v>786</v>
      </c>
      <c r="G5249" t="s">
        <v>179</v>
      </c>
      <c r="H5249">
        <v>23</v>
      </c>
      <c r="I5249">
        <v>66.522000000000006</v>
      </c>
      <c r="J5249">
        <v>64.739000000000004</v>
      </c>
      <c r="K5249">
        <v>-1.7829999999999999</v>
      </c>
      <c r="L5249">
        <v>10</v>
      </c>
      <c r="M5249">
        <v>2</v>
      </c>
      <c r="N5249">
        <v>11</v>
      </c>
      <c r="O5249" t="s">
        <v>53</v>
      </c>
      <c r="P5249" t="s">
        <v>53</v>
      </c>
      <c r="Q5249" t="s">
        <v>53</v>
      </c>
    </row>
    <row r="5250" spans="1:17" x14ac:dyDescent="0.2">
      <c r="A5250" s="30" t="str">
        <f>IF(C5250&amp;G5250&amp;D5250&lt;&gt;'Funnel setup'!$K$3&amp;'Funnel setup'!$K$4&amp;'Funnel setup'!$K$5,".",IF(A5249=".",1,A5249+1))</f>
        <v>.</v>
      </c>
      <c r="B5250" s="431" t="str">
        <f t="shared" si="81"/>
        <v>Knee Replacement RevisionCCG of GP PracticeNHS PORTSMOUTH CCG (10R)EQ VAS</v>
      </c>
      <c r="C5250" t="s">
        <v>250</v>
      </c>
      <c r="D5250" t="s">
        <v>87</v>
      </c>
      <c r="E5250" t="s">
        <v>788</v>
      </c>
      <c r="F5250" t="s">
        <v>789</v>
      </c>
      <c r="G5250" t="s">
        <v>179</v>
      </c>
      <c r="H5250" t="s">
        <v>53</v>
      </c>
      <c r="I5250" t="s">
        <v>53</v>
      </c>
      <c r="J5250" t="s">
        <v>53</v>
      </c>
      <c r="K5250" t="s">
        <v>53</v>
      </c>
      <c r="L5250" t="s">
        <v>53</v>
      </c>
      <c r="M5250" t="s">
        <v>53</v>
      </c>
      <c r="N5250" t="s">
        <v>53</v>
      </c>
      <c r="O5250" t="s">
        <v>53</v>
      </c>
      <c r="P5250" t="s">
        <v>53</v>
      </c>
      <c r="Q5250" t="s">
        <v>53</v>
      </c>
    </row>
    <row r="5251" spans="1:17" x14ac:dyDescent="0.2">
      <c r="A5251" s="30" t="str">
        <f>IF(C5251&amp;G5251&amp;D5251&lt;&gt;'Funnel setup'!$K$3&amp;'Funnel setup'!$K$4&amp;'Funnel setup'!$K$5,".",IF(A5250=".",1,A5250+1))</f>
        <v>.</v>
      </c>
      <c r="B5251" s="431" t="str">
        <f t="shared" ref="B5251:B5314" si="82">C5251&amp;D5251&amp;F5251&amp;G5251</f>
        <v>Knee Replacement RevisionCCG of GP PracticeNHS REDBRIDGE CCG (08N)EQ VAS</v>
      </c>
      <c r="C5251" t="s">
        <v>250</v>
      </c>
      <c r="D5251" t="s">
        <v>87</v>
      </c>
      <c r="E5251" t="s">
        <v>791</v>
      </c>
      <c r="F5251" t="s">
        <v>792</v>
      </c>
      <c r="G5251" t="s">
        <v>179</v>
      </c>
      <c r="H5251" t="s">
        <v>53</v>
      </c>
      <c r="I5251" t="s">
        <v>53</v>
      </c>
      <c r="J5251" t="s">
        <v>53</v>
      </c>
      <c r="K5251" t="s">
        <v>53</v>
      </c>
      <c r="L5251" t="s">
        <v>53</v>
      </c>
      <c r="M5251" t="s">
        <v>53</v>
      </c>
      <c r="N5251" t="s">
        <v>53</v>
      </c>
      <c r="O5251" t="s">
        <v>53</v>
      </c>
      <c r="P5251" t="s">
        <v>53</v>
      </c>
      <c r="Q5251" t="s">
        <v>53</v>
      </c>
    </row>
    <row r="5252" spans="1:17" x14ac:dyDescent="0.2">
      <c r="A5252" s="30" t="str">
        <f>IF(C5252&amp;G5252&amp;D5252&lt;&gt;'Funnel setup'!$K$3&amp;'Funnel setup'!$K$4&amp;'Funnel setup'!$K$5,".",IF(A5251=".",1,A5251+1))</f>
        <v>.</v>
      </c>
      <c r="B5252" s="431" t="str">
        <f t="shared" si="82"/>
        <v>Knee Replacement RevisionCCG of GP PracticeNHS REDDITCH AND BROMSGROVE CCG (05J)EQ VAS</v>
      </c>
      <c r="C5252" t="s">
        <v>250</v>
      </c>
      <c r="D5252" t="s">
        <v>87</v>
      </c>
      <c r="E5252" t="s">
        <v>794</v>
      </c>
      <c r="F5252" t="s">
        <v>795</v>
      </c>
      <c r="G5252" t="s">
        <v>179</v>
      </c>
      <c r="H5252" t="s">
        <v>53</v>
      </c>
      <c r="I5252" t="s">
        <v>53</v>
      </c>
      <c r="J5252" t="s">
        <v>53</v>
      </c>
      <c r="K5252" t="s">
        <v>53</v>
      </c>
      <c r="L5252" t="s">
        <v>53</v>
      </c>
      <c r="M5252" t="s">
        <v>53</v>
      </c>
      <c r="N5252" t="s">
        <v>53</v>
      </c>
      <c r="O5252" t="s">
        <v>53</v>
      </c>
      <c r="P5252" t="s">
        <v>53</v>
      </c>
      <c r="Q5252" t="s">
        <v>53</v>
      </c>
    </row>
    <row r="5253" spans="1:17" x14ac:dyDescent="0.2">
      <c r="A5253" s="30" t="str">
        <f>IF(C5253&amp;G5253&amp;D5253&lt;&gt;'Funnel setup'!$K$3&amp;'Funnel setup'!$K$4&amp;'Funnel setup'!$K$5,".",IF(A5252=".",1,A5252+1))</f>
        <v>.</v>
      </c>
      <c r="B5253" s="431" t="str">
        <f t="shared" si="82"/>
        <v>Knee Replacement RevisionCCG of GP PracticeNHS RICHMOND CCG (08P)EQ VAS</v>
      </c>
      <c r="C5253" t="s">
        <v>250</v>
      </c>
      <c r="D5253" t="s">
        <v>87</v>
      </c>
      <c r="E5253" t="s">
        <v>797</v>
      </c>
      <c r="F5253" t="s">
        <v>798</v>
      </c>
      <c r="G5253" t="s">
        <v>179</v>
      </c>
      <c r="H5253" t="s">
        <v>53</v>
      </c>
      <c r="I5253" t="s">
        <v>53</v>
      </c>
      <c r="J5253" t="s">
        <v>53</v>
      </c>
      <c r="K5253" t="s">
        <v>53</v>
      </c>
      <c r="L5253" t="s">
        <v>53</v>
      </c>
      <c r="M5253" t="s">
        <v>53</v>
      </c>
      <c r="N5253" t="s">
        <v>53</v>
      </c>
      <c r="O5253" t="s">
        <v>53</v>
      </c>
      <c r="P5253" t="s">
        <v>53</v>
      </c>
      <c r="Q5253" t="s">
        <v>53</v>
      </c>
    </row>
    <row r="5254" spans="1:17" x14ac:dyDescent="0.2">
      <c r="A5254" s="30" t="str">
        <f>IF(C5254&amp;G5254&amp;D5254&lt;&gt;'Funnel setup'!$K$3&amp;'Funnel setup'!$K$4&amp;'Funnel setup'!$K$5,".",IF(A5253=".",1,A5253+1))</f>
        <v>.</v>
      </c>
      <c r="B5254" s="431" t="str">
        <f t="shared" si="82"/>
        <v>Knee Replacement RevisionCCG of GP PracticeNHS ROTHERHAM CCG (03L)EQ VAS</v>
      </c>
      <c r="C5254" t="s">
        <v>250</v>
      </c>
      <c r="D5254" t="s">
        <v>87</v>
      </c>
      <c r="E5254" t="s">
        <v>800</v>
      </c>
      <c r="F5254" t="s">
        <v>801</v>
      </c>
      <c r="G5254" t="s">
        <v>179</v>
      </c>
      <c r="H5254">
        <v>9</v>
      </c>
      <c r="I5254">
        <v>71</v>
      </c>
      <c r="J5254">
        <v>70.555999999999997</v>
      </c>
      <c r="K5254">
        <v>-0.44400000000000001</v>
      </c>
      <c r="L5254">
        <v>5</v>
      </c>
      <c r="M5254">
        <v>0</v>
      </c>
      <c r="N5254">
        <v>4</v>
      </c>
      <c r="O5254" t="s">
        <v>53</v>
      </c>
      <c r="P5254" t="s">
        <v>53</v>
      </c>
      <c r="Q5254" t="s">
        <v>53</v>
      </c>
    </row>
    <row r="5255" spans="1:17" x14ac:dyDescent="0.2">
      <c r="A5255" s="30" t="str">
        <f>IF(C5255&amp;G5255&amp;D5255&lt;&gt;'Funnel setup'!$K$3&amp;'Funnel setup'!$K$4&amp;'Funnel setup'!$K$5,".",IF(A5254=".",1,A5254+1))</f>
        <v>.</v>
      </c>
      <c r="B5255" s="431" t="str">
        <f t="shared" si="82"/>
        <v>Knee Replacement RevisionCCG of GP PracticeNHS RUSHCLIFFE CCG (04N)EQ VAS</v>
      </c>
      <c r="C5255" t="s">
        <v>250</v>
      </c>
      <c r="D5255" t="s">
        <v>87</v>
      </c>
      <c r="E5255" t="s">
        <v>803</v>
      </c>
      <c r="F5255" t="s">
        <v>804</v>
      </c>
      <c r="G5255" t="s">
        <v>179</v>
      </c>
      <c r="H5255" t="s">
        <v>53</v>
      </c>
      <c r="I5255" t="s">
        <v>53</v>
      </c>
      <c r="J5255" t="s">
        <v>53</v>
      </c>
      <c r="K5255" t="s">
        <v>53</v>
      </c>
      <c r="L5255" t="s">
        <v>53</v>
      </c>
      <c r="M5255" t="s">
        <v>53</v>
      </c>
      <c r="N5255" t="s">
        <v>53</v>
      </c>
      <c r="O5255" t="s">
        <v>53</v>
      </c>
      <c r="P5255" t="s">
        <v>53</v>
      </c>
      <c r="Q5255" t="s">
        <v>53</v>
      </c>
    </row>
    <row r="5256" spans="1:17" x14ac:dyDescent="0.2">
      <c r="A5256" s="30" t="str">
        <f>IF(C5256&amp;G5256&amp;D5256&lt;&gt;'Funnel setup'!$K$3&amp;'Funnel setup'!$K$4&amp;'Funnel setup'!$K$5,".",IF(A5255=".",1,A5255+1))</f>
        <v>.</v>
      </c>
      <c r="B5256" s="431" t="str">
        <f t="shared" si="82"/>
        <v>Knee Replacement RevisionCCG of GP PracticeNHS SALFORD CCG (01G)EQ VAS</v>
      </c>
      <c r="C5256" t="s">
        <v>250</v>
      </c>
      <c r="D5256" t="s">
        <v>87</v>
      </c>
      <c r="E5256" t="s">
        <v>806</v>
      </c>
      <c r="F5256" t="s">
        <v>807</v>
      </c>
      <c r="G5256" t="s">
        <v>179</v>
      </c>
      <c r="H5256">
        <v>7</v>
      </c>
      <c r="I5256">
        <v>64.713999999999999</v>
      </c>
      <c r="J5256">
        <v>70</v>
      </c>
      <c r="K5256">
        <v>5.2859999999999996</v>
      </c>
      <c r="L5256">
        <v>5</v>
      </c>
      <c r="M5256">
        <v>0</v>
      </c>
      <c r="N5256">
        <v>2</v>
      </c>
      <c r="O5256" t="s">
        <v>53</v>
      </c>
      <c r="P5256" t="s">
        <v>53</v>
      </c>
      <c r="Q5256" t="s">
        <v>53</v>
      </c>
    </row>
    <row r="5257" spans="1:17" x14ac:dyDescent="0.2">
      <c r="A5257" s="30" t="str">
        <f>IF(C5257&amp;G5257&amp;D5257&lt;&gt;'Funnel setup'!$K$3&amp;'Funnel setup'!$K$4&amp;'Funnel setup'!$K$5,".",IF(A5256=".",1,A5256+1))</f>
        <v>.</v>
      </c>
      <c r="B5257" s="431" t="str">
        <f t="shared" si="82"/>
        <v>Knee Replacement RevisionCCG of GP PracticeNHS SANDWELL AND WEST BIRMINGHAM CCG (05L)EQ VAS</v>
      </c>
      <c r="C5257" t="s">
        <v>250</v>
      </c>
      <c r="D5257" t="s">
        <v>87</v>
      </c>
      <c r="E5257" t="s">
        <v>809</v>
      </c>
      <c r="F5257" t="s">
        <v>810</v>
      </c>
      <c r="G5257" t="s">
        <v>179</v>
      </c>
      <c r="H5257" t="s">
        <v>53</v>
      </c>
      <c r="I5257" t="s">
        <v>53</v>
      </c>
      <c r="J5257" t="s">
        <v>53</v>
      </c>
      <c r="K5257" t="s">
        <v>53</v>
      </c>
      <c r="L5257" t="s">
        <v>53</v>
      </c>
      <c r="M5257" t="s">
        <v>53</v>
      </c>
      <c r="N5257" t="s">
        <v>53</v>
      </c>
      <c r="O5257" t="s">
        <v>53</v>
      </c>
      <c r="P5257" t="s">
        <v>53</v>
      </c>
      <c r="Q5257" t="s">
        <v>53</v>
      </c>
    </row>
    <row r="5258" spans="1:17" x14ac:dyDescent="0.2">
      <c r="A5258" s="30" t="str">
        <f>IF(C5258&amp;G5258&amp;D5258&lt;&gt;'Funnel setup'!$K$3&amp;'Funnel setup'!$K$4&amp;'Funnel setup'!$K$5,".",IF(A5257=".",1,A5257+1))</f>
        <v>.</v>
      </c>
      <c r="B5258" s="431" t="str">
        <f t="shared" si="82"/>
        <v>Knee Replacement RevisionCCG of GP PracticeNHS SCARBOROUGH AND RYEDALE CCG (03M)EQ VAS</v>
      </c>
      <c r="C5258" t="s">
        <v>250</v>
      </c>
      <c r="D5258" t="s">
        <v>87</v>
      </c>
      <c r="E5258" t="s">
        <v>812</v>
      </c>
      <c r="F5258" t="s">
        <v>813</v>
      </c>
      <c r="G5258" t="s">
        <v>179</v>
      </c>
      <c r="H5258">
        <v>9</v>
      </c>
      <c r="I5258">
        <v>50.555999999999997</v>
      </c>
      <c r="J5258">
        <v>60.444000000000003</v>
      </c>
      <c r="K5258">
        <v>9.8889999999999993</v>
      </c>
      <c r="L5258">
        <v>6</v>
      </c>
      <c r="M5258">
        <v>0</v>
      </c>
      <c r="N5258">
        <v>3</v>
      </c>
      <c r="O5258" t="s">
        <v>53</v>
      </c>
      <c r="P5258" t="s">
        <v>53</v>
      </c>
      <c r="Q5258" t="s">
        <v>53</v>
      </c>
    </row>
    <row r="5259" spans="1:17" x14ac:dyDescent="0.2">
      <c r="A5259" s="30" t="str">
        <f>IF(C5259&amp;G5259&amp;D5259&lt;&gt;'Funnel setup'!$K$3&amp;'Funnel setup'!$K$4&amp;'Funnel setup'!$K$5,".",IF(A5258=".",1,A5258+1))</f>
        <v>.</v>
      </c>
      <c r="B5259" s="431" t="str">
        <f t="shared" si="82"/>
        <v>Knee Replacement RevisionCCG of GP PracticeNHS SHEFFIELD CCG (03N)EQ VAS</v>
      </c>
      <c r="C5259" t="s">
        <v>250</v>
      </c>
      <c r="D5259" t="s">
        <v>87</v>
      </c>
      <c r="E5259" t="s">
        <v>815</v>
      </c>
      <c r="F5259" t="s">
        <v>816</v>
      </c>
      <c r="G5259" t="s">
        <v>179</v>
      </c>
      <c r="H5259">
        <v>23</v>
      </c>
      <c r="I5259">
        <v>61.304000000000002</v>
      </c>
      <c r="J5259">
        <v>68.564999999999998</v>
      </c>
      <c r="K5259">
        <v>7.2610000000000001</v>
      </c>
      <c r="L5259">
        <v>13</v>
      </c>
      <c r="M5259">
        <v>4</v>
      </c>
      <c r="N5259">
        <v>6</v>
      </c>
      <c r="O5259" t="s">
        <v>53</v>
      </c>
      <c r="P5259" t="s">
        <v>53</v>
      </c>
      <c r="Q5259" t="s">
        <v>53</v>
      </c>
    </row>
    <row r="5260" spans="1:17" x14ac:dyDescent="0.2">
      <c r="A5260" s="30" t="str">
        <f>IF(C5260&amp;G5260&amp;D5260&lt;&gt;'Funnel setup'!$K$3&amp;'Funnel setup'!$K$4&amp;'Funnel setup'!$K$5,".",IF(A5259=".",1,A5259+1))</f>
        <v>.</v>
      </c>
      <c r="B5260" s="431" t="str">
        <f t="shared" si="82"/>
        <v>Knee Replacement RevisionCCG of GP PracticeNHS SHROPSHIRE CCG (05N)EQ VAS</v>
      </c>
      <c r="C5260" t="s">
        <v>250</v>
      </c>
      <c r="D5260" t="s">
        <v>87</v>
      </c>
      <c r="E5260" t="s">
        <v>818</v>
      </c>
      <c r="F5260" t="s">
        <v>819</v>
      </c>
      <c r="G5260" t="s">
        <v>179</v>
      </c>
      <c r="H5260">
        <v>13</v>
      </c>
      <c r="I5260">
        <v>50.768999999999998</v>
      </c>
      <c r="J5260">
        <v>57.308</v>
      </c>
      <c r="K5260">
        <v>6.5380000000000003</v>
      </c>
      <c r="L5260">
        <v>6</v>
      </c>
      <c r="M5260">
        <v>2</v>
      </c>
      <c r="N5260">
        <v>5</v>
      </c>
      <c r="O5260" t="s">
        <v>53</v>
      </c>
      <c r="P5260" t="s">
        <v>53</v>
      </c>
      <c r="Q5260" t="s">
        <v>53</v>
      </c>
    </row>
    <row r="5261" spans="1:17" x14ac:dyDescent="0.2">
      <c r="A5261" s="30" t="str">
        <f>IF(C5261&amp;G5261&amp;D5261&lt;&gt;'Funnel setup'!$K$3&amp;'Funnel setup'!$K$4&amp;'Funnel setup'!$K$5,".",IF(A5260=".",1,A5260+1))</f>
        <v>.</v>
      </c>
      <c r="B5261" s="431" t="str">
        <f t="shared" si="82"/>
        <v>Knee Replacement RevisionCCG of GP PracticeNHS SLOUGH CCG (10T)EQ VAS</v>
      </c>
      <c r="C5261" t="s">
        <v>250</v>
      </c>
      <c r="D5261" t="s">
        <v>87</v>
      </c>
      <c r="E5261" t="s">
        <v>821</v>
      </c>
      <c r="F5261" t="s">
        <v>822</v>
      </c>
      <c r="G5261" t="s">
        <v>179</v>
      </c>
      <c r="H5261" t="s">
        <v>53</v>
      </c>
      <c r="I5261" t="s">
        <v>53</v>
      </c>
      <c r="J5261" t="s">
        <v>53</v>
      </c>
      <c r="K5261" t="s">
        <v>53</v>
      </c>
      <c r="L5261" t="s">
        <v>53</v>
      </c>
      <c r="M5261" t="s">
        <v>53</v>
      </c>
      <c r="N5261" t="s">
        <v>53</v>
      </c>
      <c r="O5261" t="s">
        <v>53</v>
      </c>
      <c r="P5261" t="s">
        <v>53</v>
      </c>
      <c r="Q5261" t="s">
        <v>53</v>
      </c>
    </row>
    <row r="5262" spans="1:17" x14ac:dyDescent="0.2">
      <c r="A5262" s="30" t="str">
        <f>IF(C5262&amp;G5262&amp;D5262&lt;&gt;'Funnel setup'!$K$3&amp;'Funnel setup'!$K$4&amp;'Funnel setup'!$K$5,".",IF(A5261=".",1,A5261+1))</f>
        <v>.</v>
      </c>
      <c r="B5262" s="431" t="str">
        <f t="shared" si="82"/>
        <v>Knee Replacement RevisionCCG of GP PracticeNHS SOLIHULL CCG (05P)EQ VAS</v>
      </c>
      <c r="C5262" t="s">
        <v>250</v>
      </c>
      <c r="D5262" t="s">
        <v>87</v>
      </c>
      <c r="E5262" t="s">
        <v>824</v>
      </c>
      <c r="F5262" t="s">
        <v>825</v>
      </c>
      <c r="G5262" t="s">
        <v>179</v>
      </c>
      <c r="H5262" t="s">
        <v>53</v>
      </c>
      <c r="I5262" t="s">
        <v>53</v>
      </c>
      <c r="J5262" t="s">
        <v>53</v>
      </c>
      <c r="K5262" t="s">
        <v>53</v>
      </c>
      <c r="L5262" t="s">
        <v>53</v>
      </c>
      <c r="M5262" t="s">
        <v>53</v>
      </c>
      <c r="N5262" t="s">
        <v>53</v>
      </c>
      <c r="O5262" t="s">
        <v>53</v>
      </c>
      <c r="P5262" t="s">
        <v>53</v>
      </c>
      <c r="Q5262" t="s">
        <v>53</v>
      </c>
    </row>
    <row r="5263" spans="1:17" x14ac:dyDescent="0.2">
      <c r="A5263" s="30" t="str">
        <f>IF(C5263&amp;G5263&amp;D5263&lt;&gt;'Funnel setup'!$K$3&amp;'Funnel setup'!$K$4&amp;'Funnel setup'!$K$5,".",IF(A5262=".",1,A5262+1))</f>
        <v>.</v>
      </c>
      <c r="B5263" s="431" t="str">
        <f t="shared" si="82"/>
        <v>Knee Replacement RevisionCCG of GP PracticeNHS SOMERSET CCG (11X)EQ VAS</v>
      </c>
      <c r="C5263" t="s">
        <v>250</v>
      </c>
      <c r="D5263" t="s">
        <v>87</v>
      </c>
      <c r="E5263" t="s">
        <v>827</v>
      </c>
      <c r="F5263" t="s">
        <v>828</v>
      </c>
      <c r="G5263" t="s">
        <v>179</v>
      </c>
      <c r="H5263">
        <v>6</v>
      </c>
      <c r="I5263">
        <v>74.167000000000002</v>
      </c>
      <c r="J5263">
        <v>75.832999999999998</v>
      </c>
      <c r="K5263">
        <v>1.667</v>
      </c>
      <c r="L5263">
        <v>4</v>
      </c>
      <c r="M5263">
        <v>1</v>
      </c>
      <c r="N5263">
        <v>1</v>
      </c>
      <c r="O5263" t="s">
        <v>53</v>
      </c>
      <c r="P5263" t="s">
        <v>53</v>
      </c>
      <c r="Q5263" t="s">
        <v>53</v>
      </c>
    </row>
    <row r="5264" spans="1:17" x14ac:dyDescent="0.2">
      <c r="A5264" s="30" t="str">
        <f>IF(C5264&amp;G5264&amp;D5264&lt;&gt;'Funnel setup'!$K$3&amp;'Funnel setup'!$K$4&amp;'Funnel setup'!$K$5,".",IF(A5263=".",1,A5263+1))</f>
        <v>.</v>
      </c>
      <c r="B5264" s="431" t="str">
        <f t="shared" si="82"/>
        <v>Knee Replacement RevisionCCG of GP PracticeNHS SOUTH CHESHIRE CCG (01R)EQ VAS</v>
      </c>
      <c r="C5264" t="s">
        <v>250</v>
      </c>
      <c r="D5264" t="s">
        <v>87</v>
      </c>
      <c r="E5264" t="s">
        <v>830</v>
      </c>
      <c r="F5264" t="s">
        <v>831</v>
      </c>
      <c r="G5264" t="s">
        <v>179</v>
      </c>
      <c r="H5264" t="s">
        <v>53</v>
      </c>
      <c r="I5264" t="s">
        <v>53</v>
      </c>
      <c r="J5264" t="s">
        <v>53</v>
      </c>
      <c r="K5264" t="s">
        <v>53</v>
      </c>
      <c r="L5264" t="s">
        <v>53</v>
      </c>
      <c r="M5264" t="s">
        <v>53</v>
      </c>
      <c r="N5264" t="s">
        <v>53</v>
      </c>
      <c r="O5264" t="s">
        <v>53</v>
      </c>
      <c r="P5264" t="s">
        <v>53</v>
      </c>
      <c r="Q5264" t="s">
        <v>53</v>
      </c>
    </row>
    <row r="5265" spans="1:17" x14ac:dyDescent="0.2">
      <c r="A5265" s="30" t="str">
        <f>IF(C5265&amp;G5265&amp;D5265&lt;&gt;'Funnel setup'!$K$3&amp;'Funnel setup'!$K$4&amp;'Funnel setup'!$K$5,".",IF(A5264=".",1,A5264+1))</f>
        <v>.</v>
      </c>
      <c r="B5265" s="431" t="str">
        <f t="shared" si="82"/>
        <v>Knee Replacement RevisionCCG of GP PracticeNHS SOUTH DEVON AND TORBAY CCG (99Q)EQ VAS</v>
      </c>
      <c r="C5265" t="s">
        <v>250</v>
      </c>
      <c r="D5265" t="s">
        <v>87</v>
      </c>
      <c r="E5265" t="s">
        <v>833</v>
      </c>
      <c r="F5265" t="s">
        <v>834</v>
      </c>
      <c r="G5265" t="s">
        <v>179</v>
      </c>
      <c r="H5265">
        <v>14</v>
      </c>
      <c r="I5265">
        <v>71.713999999999999</v>
      </c>
      <c r="J5265">
        <v>81.213999999999999</v>
      </c>
      <c r="K5265">
        <v>9.5</v>
      </c>
      <c r="L5265">
        <v>8</v>
      </c>
      <c r="M5265">
        <v>2</v>
      </c>
      <c r="N5265">
        <v>4</v>
      </c>
      <c r="O5265" t="s">
        <v>53</v>
      </c>
      <c r="P5265" t="s">
        <v>53</v>
      </c>
      <c r="Q5265" t="s">
        <v>53</v>
      </c>
    </row>
    <row r="5266" spans="1:17" x14ac:dyDescent="0.2">
      <c r="A5266" s="30" t="str">
        <f>IF(C5266&amp;G5266&amp;D5266&lt;&gt;'Funnel setup'!$K$3&amp;'Funnel setup'!$K$4&amp;'Funnel setup'!$K$5,".",IF(A5265=".",1,A5265+1))</f>
        <v>.</v>
      </c>
      <c r="B5266" s="431" t="str">
        <f t="shared" si="82"/>
        <v>Knee Replacement RevisionCCG of GP PracticeNHS SOUTH EAST STAFFORDSHIRE AND SEISDON PENINSULA CCG (05Q)EQ VAS</v>
      </c>
      <c r="C5266" t="s">
        <v>250</v>
      </c>
      <c r="D5266" t="s">
        <v>87</v>
      </c>
      <c r="E5266" t="s">
        <v>836</v>
      </c>
      <c r="F5266" t="s">
        <v>837</v>
      </c>
      <c r="G5266" t="s">
        <v>179</v>
      </c>
      <c r="H5266" t="s">
        <v>53</v>
      </c>
      <c r="I5266" t="s">
        <v>53</v>
      </c>
      <c r="J5266" t="s">
        <v>53</v>
      </c>
      <c r="K5266" t="s">
        <v>53</v>
      </c>
      <c r="L5266" t="s">
        <v>53</v>
      </c>
      <c r="M5266" t="s">
        <v>53</v>
      </c>
      <c r="N5266" t="s">
        <v>53</v>
      </c>
      <c r="O5266" t="s">
        <v>53</v>
      </c>
      <c r="P5266" t="s">
        <v>53</v>
      </c>
      <c r="Q5266" t="s">
        <v>53</v>
      </c>
    </row>
    <row r="5267" spans="1:17" x14ac:dyDescent="0.2">
      <c r="A5267" s="30" t="str">
        <f>IF(C5267&amp;G5267&amp;D5267&lt;&gt;'Funnel setup'!$K$3&amp;'Funnel setup'!$K$4&amp;'Funnel setup'!$K$5,".",IF(A5266=".",1,A5266+1))</f>
        <v>.</v>
      </c>
      <c r="B5267" s="431" t="str">
        <f t="shared" si="82"/>
        <v>Knee Replacement RevisionCCG of GP PracticeNHS SOUTH EASTERN HAMPSHIRE CCG (10V)EQ VAS</v>
      </c>
      <c r="C5267" t="s">
        <v>250</v>
      </c>
      <c r="D5267" t="s">
        <v>87</v>
      </c>
      <c r="E5267" t="s">
        <v>839</v>
      </c>
      <c r="F5267" t="s">
        <v>840</v>
      </c>
      <c r="G5267" t="s">
        <v>179</v>
      </c>
      <c r="H5267" t="s">
        <v>53</v>
      </c>
      <c r="I5267" t="s">
        <v>53</v>
      </c>
      <c r="J5267" t="s">
        <v>53</v>
      </c>
      <c r="K5267" t="s">
        <v>53</v>
      </c>
      <c r="L5267" t="s">
        <v>53</v>
      </c>
      <c r="M5267" t="s">
        <v>53</v>
      </c>
      <c r="N5267" t="s">
        <v>53</v>
      </c>
      <c r="O5267" t="s">
        <v>53</v>
      </c>
      <c r="P5267" t="s">
        <v>53</v>
      </c>
      <c r="Q5267" t="s">
        <v>53</v>
      </c>
    </row>
    <row r="5268" spans="1:17" x14ac:dyDescent="0.2">
      <c r="A5268" s="30" t="str">
        <f>IF(C5268&amp;G5268&amp;D5268&lt;&gt;'Funnel setup'!$K$3&amp;'Funnel setup'!$K$4&amp;'Funnel setup'!$K$5,".",IF(A5267=".",1,A5267+1))</f>
        <v>.</v>
      </c>
      <c r="B5268" s="431" t="str">
        <f t="shared" si="82"/>
        <v>Knee Replacement RevisionCCG of GP PracticeNHS SOUTH GLOUCESTERSHIRE CCG (12A)EQ VAS</v>
      </c>
      <c r="C5268" t="s">
        <v>250</v>
      </c>
      <c r="D5268" t="s">
        <v>87</v>
      </c>
      <c r="E5268" t="s">
        <v>842</v>
      </c>
      <c r="F5268" t="s">
        <v>843</v>
      </c>
      <c r="G5268" t="s">
        <v>179</v>
      </c>
      <c r="H5268" t="s">
        <v>53</v>
      </c>
      <c r="I5268" t="s">
        <v>53</v>
      </c>
      <c r="J5268" t="s">
        <v>53</v>
      </c>
      <c r="K5268" t="s">
        <v>53</v>
      </c>
      <c r="L5268" t="s">
        <v>53</v>
      </c>
      <c r="M5268" t="s">
        <v>53</v>
      </c>
      <c r="N5268" t="s">
        <v>53</v>
      </c>
      <c r="O5268" t="s">
        <v>53</v>
      </c>
      <c r="P5268" t="s">
        <v>53</v>
      </c>
      <c r="Q5268" t="s">
        <v>53</v>
      </c>
    </row>
    <row r="5269" spans="1:17" x14ac:dyDescent="0.2">
      <c r="A5269" s="30" t="str">
        <f>IF(C5269&amp;G5269&amp;D5269&lt;&gt;'Funnel setup'!$K$3&amp;'Funnel setup'!$K$4&amp;'Funnel setup'!$K$5,".",IF(A5268=".",1,A5268+1))</f>
        <v>.</v>
      </c>
      <c r="B5269" s="431" t="str">
        <f t="shared" si="82"/>
        <v>Knee Replacement RevisionCCG of GP PracticeNHS SOUTH KENT COAST CCG (10A)EQ VAS</v>
      </c>
      <c r="C5269" t="s">
        <v>250</v>
      </c>
      <c r="D5269" t="s">
        <v>87</v>
      </c>
      <c r="E5269" t="s">
        <v>845</v>
      </c>
      <c r="F5269" t="s">
        <v>846</v>
      </c>
      <c r="G5269" t="s">
        <v>179</v>
      </c>
      <c r="H5269" t="s">
        <v>53</v>
      </c>
      <c r="I5269" t="s">
        <v>53</v>
      </c>
      <c r="J5269" t="s">
        <v>53</v>
      </c>
      <c r="K5269" t="s">
        <v>53</v>
      </c>
      <c r="L5269" t="s">
        <v>53</v>
      </c>
      <c r="M5269" t="s">
        <v>53</v>
      </c>
      <c r="N5269" t="s">
        <v>53</v>
      </c>
      <c r="O5269" t="s">
        <v>53</v>
      </c>
      <c r="P5269" t="s">
        <v>53</v>
      </c>
      <c r="Q5269" t="s">
        <v>53</v>
      </c>
    </row>
    <row r="5270" spans="1:17" x14ac:dyDescent="0.2">
      <c r="A5270" s="30" t="str">
        <f>IF(C5270&amp;G5270&amp;D5270&lt;&gt;'Funnel setup'!$K$3&amp;'Funnel setup'!$K$4&amp;'Funnel setup'!$K$5,".",IF(A5269=".",1,A5269+1))</f>
        <v>.</v>
      </c>
      <c r="B5270" s="431" t="str">
        <f t="shared" si="82"/>
        <v>Knee Replacement RevisionCCG of GP PracticeNHS SOUTH LINCOLNSHIRE CCG (99D)EQ VAS</v>
      </c>
      <c r="C5270" t="s">
        <v>250</v>
      </c>
      <c r="D5270" t="s">
        <v>87</v>
      </c>
      <c r="E5270" t="s">
        <v>848</v>
      </c>
      <c r="F5270" t="s">
        <v>849</v>
      </c>
      <c r="G5270" t="s">
        <v>179</v>
      </c>
      <c r="H5270">
        <v>7</v>
      </c>
      <c r="I5270">
        <v>53.429000000000002</v>
      </c>
      <c r="J5270">
        <v>49</v>
      </c>
      <c r="K5270">
        <v>-4.4290000000000003</v>
      </c>
      <c r="L5270">
        <v>3</v>
      </c>
      <c r="M5270">
        <v>1</v>
      </c>
      <c r="N5270">
        <v>3</v>
      </c>
      <c r="O5270" t="s">
        <v>53</v>
      </c>
      <c r="P5270" t="s">
        <v>53</v>
      </c>
      <c r="Q5270" t="s">
        <v>53</v>
      </c>
    </row>
    <row r="5271" spans="1:17" x14ac:dyDescent="0.2">
      <c r="A5271" s="30" t="str">
        <f>IF(C5271&amp;G5271&amp;D5271&lt;&gt;'Funnel setup'!$K$3&amp;'Funnel setup'!$K$4&amp;'Funnel setup'!$K$5,".",IF(A5270=".",1,A5270+1))</f>
        <v>.</v>
      </c>
      <c r="B5271" s="431" t="str">
        <f t="shared" si="82"/>
        <v>Knee Replacement RevisionCCG of GP PracticeNHS SOUTH NORFOLK CCG (06Y)EQ VAS</v>
      </c>
      <c r="C5271" t="s">
        <v>250</v>
      </c>
      <c r="D5271" t="s">
        <v>87</v>
      </c>
      <c r="E5271" t="s">
        <v>932</v>
      </c>
      <c r="F5271" t="s">
        <v>933</v>
      </c>
      <c r="G5271" t="s">
        <v>179</v>
      </c>
      <c r="H5271">
        <v>14</v>
      </c>
      <c r="I5271">
        <v>59.713999999999999</v>
      </c>
      <c r="J5271">
        <v>69.856999999999999</v>
      </c>
      <c r="K5271">
        <v>10.143000000000001</v>
      </c>
      <c r="L5271">
        <v>7</v>
      </c>
      <c r="M5271">
        <v>3</v>
      </c>
      <c r="N5271">
        <v>4</v>
      </c>
      <c r="O5271" t="s">
        <v>53</v>
      </c>
      <c r="P5271" t="s">
        <v>53</v>
      </c>
      <c r="Q5271" t="s">
        <v>53</v>
      </c>
    </row>
    <row r="5272" spans="1:17" x14ac:dyDescent="0.2">
      <c r="A5272" s="30" t="str">
        <f>IF(C5272&amp;G5272&amp;D5272&lt;&gt;'Funnel setup'!$K$3&amp;'Funnel setup'!$K$4&amp;'Funnel setup'!$K$5,".",IF(A5271=".",1,A5271+1))</f>
        <v>.</v>
      </c>
      <c r="B5272" s="431" t="str">
        <f t="shared" si="82"/>
        <v>Knee Replacement RevisionCCG of GP PracticeNHS SOUTH READING CCG (10W)EQ VAS</v>
      </c>
      <c r="C5272" t="s">
        <v>250</v>
      </c>
      <c r="D5272" t="s">
        <v>87</v>
      </c>
      <c r="E5272" t="s">
        <v>935</v>
      </c>
      <c r="F5272" t="s">
        <v>936</v>
      </c>
      <c r="G5272" t="s">
        <v>179</v>
      </c>
      <c r="H5272" t="s">
        <v>53</v>
      </c>
      <c r="I5272" t="s">
        <v>53</v>
      </c>
      <c r="J5272" t="s">
        <v>53</v>
      </c>
      <c r="K5272" t="s">
        <v>53</v>
      </c>
      <c r="L5272" t="s">
        <v>53</v>
      </c>
      <c r="M5272" t="s">
        <v>53</v>
      </c>
      <c r="N5272" t="s">
        <v>53</v>
      </c>
      <c r="O5272" t="s">
        <v>53</v>
      </c>
      <c r="P5272" t="s">
        <v>53</v>
      </c>
      <c r="Q5272" t="s">
        <v>53</v>
      </c>
    </row>
    <row r="5273" spans="1:17" x14ac:dyDescent="0.2">
      <c r="A5273" s="30" t="str">
        <f>IF(C5273&amp;G5273&amp;D5273&lt;&gt;'Funnel setup'!$K$3&amp;'Funnel setup'!$K$4&amp;'Funnel setup'!$K$5,".",IF(A5272=".",1,A5272+1))</f>
        <v>.</v>
      </c>
      <c r="B5273" s="431" t="str">
        <f t="shared" si="82"/>
        <v>Knee Replacement RevisionCCG of GP PracticeNHS SOUTH SEFTON CCG (01T)EQ VAS</v>
      </c>
      <c r="C5273" t="s">
        <v>250</v>
      </c>
      <c r="D5273" t="s">
        <v>87</v>
      </c>
      <c r="E5273" t="s">
        <v>938</v>
      </c>
      <c r="F5273" t="s">
        <v>939</v>
      </c>
      <c r="G5273" t="s">
        <v>179</v>
      </c>
      <c r="H5273" t="s">
        <v>53</v>
      </c>
      <c r="I5273" t="s">
        <v>53</v>
      </c>
      <c r="J5273" t="s">
        <v>53</v>
      </c>
      <c r="K5273" t="s">
        <v>53</v>
      </c>
      <c r="L5273" t="s">
        <v>53</v>
      </c>
      <c r="M5273" t="s">
        <v>53</v>
      </c>
      <c r="N5273" t="s">
        <v>53</v>
      </c>
      <c r="O5273" t="s">
        <v>53</v>
      </c>
      <c r="P5273" t="s">
        <v>53</v>
      </c>
      <c r="Q5273" t="s">
        <v>53</v>
      </c>
    </row>
    <row r="5274" spans="1:17" x14ac:dyDescent="0.2">
      <c r="A5274" s="30" t="str">
        <f>IF(C5274&amp;G5274&amp;D5274&lt;&gt;'Funnel setup'!$K$3&amp;'Funnel setup'!$K$4&amp;'Funnel setup'!$K$5,".",IF(A5273=".",1,A5273+1))</f>
        <v>.</v>
      </c>
      <c r="B5274" s="431" t="str">
        <f t="shared" si="82"/>
        <v>Knee Replacement RevisionCCG of GP PracticeNHS SOUTH TEES CCG (00M)EQ VAS</v>
      </c>
      <c r="C5274" t="s">
        <v>250</v>
      </c>
      <c r="D5274" t="s">
        <v>87</v>
      </c>
      <c r="E5274" t="s">
        <v>941</v>
      </c>
      <c r="F5274" t="s">
        <v>942</v>
      </c>
      <c r="G5274" t="s">
        <v>179</v>
      </c>
      <c r="H5274" t="s">
        <v>53</v>
      </c>
      <c r="I5274" t="s">
        <v>53</v>
      </c>
      <c r="J5274" t="s">
        <v>53</v>
      </c>
      <c r="K5274" t="s">
        <v>53</v>
      </c>
      <c r="L5274" t="s">
        <v>53</v>
      </c>
      <c r="M5274" t="s">
        <v>53</v>
      </c>
      <c r="N5274" t="s">
        <v>53</v>
      </c>
      <c r="O5274" t="s">
        <v>53</v>
      </c>
      <c r="P5274" t="s">
        <v>53</v>
      </c>
      <c r="Q5274" t="s">
        <v>53</v>
      </c>
    </row>
    <row r="5275" spans="1:17" x14ac:dyDescent="0.2">
      <c r="A5275" s="30" t="str">
        <f>IF(C5275&amp;G5275&amp;D5275&lt;&gt;'Funnel setup'!$K$3&amp;'Funnel setup'!$K$4&amp;'Funnel setup'!$K$5,".",IF(A5274=".",1,A5274+1))</f>
        <v>.</v>
      </c>
      <c r="B5275" s="431" t="str">
        <f t="shared" si="82"/>
        <v>Knee Replacement RevisionCCG of GP PracticeNHS SOUTH TYNESIDE CCG (00N)EQ VAS</v>
      </c>
      <c r="C5275" t="s">
        <v>250</v>
      </c>
      <c r="D5275" t="s">
        <v>87</v>
      </c>
      <c r="E5275" t="s">
        <v>1016</v>
      </c>
      <c r="F5275" t="s">
        <v>1017</v>
      </c>
      <c r="G5275" t="s">
        <v>179</v>
      </c>
      <c r="H5275" t="s">
        <v>53</v>
      </c>
      <c r="I5275" t="s">
        <v>53</v>
      </c>
      <c r="J5275" t="s">
        <v>53</v>
      </c>
      <c r="K5275" t="s">
        <v>53</v>
      </c>
      <c r="L5275" t="s">
        <v>53</v>
      </c>
      <c r="M5275" t="s">
        <v>53</v>
      </c>
      <c r="N5275" t="s">
        <v>53</v>
      </c>
      <c r="O5275" t="s">
        <v>53</v>
      </c>
      <c r="P5275" t="s">
        <v>53</v>
      </c>
      <c r="Q5275" t="s">
        <v>53</v>
      </c>
    </row>
    <row r="5276" spans="1:17" x14ac:dyDescent="0.2">
      <c r="A5276" s="30" t="str">
        <f>IF(C5276&amp;G5276&amp;D5276&lt;&gt;'Funnel setup'!$K$3&amp;'Funnel setup'!$K$4&amp;'Funnel setup'!$K$5,".",IF(A5275=".",1,A5275+1))</f>
        <v>.</v>
      </c>
      <c r="B5276" s="431" t="str">
        <f t="shared" si="82"/>
        <v>Knee Replacement RevisionCCG of GP PracticeNHS SOUTH WARWICKSHIRE CCG (05R)EQ VAS</v>
      </c>
      <c r="C5276" t="s">
        <v>250</v>
      </c>
      <c r="D5276" t="s">
        <v>87</v>
      </c>
      <c r="E5276" t="s">
        <v>944</v>
      </c>
      <c r="F5276" t="s">
        <v>945</v>
      </c>
      <c r="G5276" t="s">
        <v>179</v>
      </c>
      <c r="H5276">
        <v>13</v>
      </c>
      <c r="I5276">
        <v>65.076999999999998</v>
      </c>
      <c r="J5276">
        <v>66.385000000000005</v>
      </c>
      <c r="K5276">
        <v>1.3080000000000001</v>
      </c>
      <c r="L5276">
        <v>6</v>
      </c>
      <c r="M5276">
        <v>0</v>
      </c>
      <c r="N5276">
        <v>7</v>
      </c>
      <c r="O5276" t="s">
        <v>53</v>
      </c>
      <c r="P5276" t="s">
        <v>53</v>
      </c>
      <c r="Q5276" t="s">
        <v>53</v>
      </c>
    </row>
    <row r="5277" spans="1:17" x14ac:dyDescent="0.2">
      <c r="A5277" s="30" t="str">
        <f>IF(C5277&amp;G5277&amp;D5277&lt;&gt;'Funnel setup'!$K$3&amp;'Funnel setup'!$K$4&amp;'Funnel setup'!$K$5,".",IF(A5276=".",1,A5276+1))</f>
        <v>.</v>
      </c>
      <c r="B5277" s="431" t="str">
        <f t="shared" si="82"/>
        <v>Knee Replacement RevisionCCG of GP PracticeNHS SOUTH WEST LINCOLNSHIRE CCG (04Q)EQ VAS</v>
      </c>
      <c r="C5277" t="s">
        <v>250</v>
      </c>
      <c r="D5277" t="s">
        <v>87</v>
      </c>
      <c r="E5277" t="s">
        <v>947</v>
      </c>
      <c r="F5277" t="s">
        <v>948</v>
      </c>
      <c r="G5277" t="s">
        <v>179</v>
      </c>
      <c r="H5277" t="s">
        <v>53</v>
      </c>
      <c r="I5277" t="s">
        <v>53</v>
      </c>
      <c r="J5277" t="s">
        <v>53</v>
      </c>
      <c r="K5277" t="s">
        <v>53</v>
      </c>
      <c r="L5277" t="s">
        <v>53</v>
      </c>
      <c r="M5277" t="s">
        <v>53</v>
      </c>
      <c r="N5277" t="s">
        <v>53</v>
      </c>
      <c r="O5277" t="s">
        <v>53</v>
      </c>
      <c r="P5277" t="s">
        <v>53</v>
      </c>
      <c r="Q5277" t="s">
        <v>53</v>
      </c>
    </row>
    <row r="5278" spans="1:17" x14ac:dyDescent="0.2">
      <c r="A5278" s="30" t="str">
        <f>IF(C5278&amp;G5278&amp;D5278&lt;&gt;'Funnel setup'!$K$3&amp;'Funnel setup'!$K$4&amp;'Funnel setup'!$K$5,".",IF(A5277=".",1,A5277+1))</f>
        <v>.</v>
      </c>
      <c r="B5278" s="431" t="str">
        <f t="shared" si="82"/>
        <v>Knee Replacement RevisionCCG of GP PracticeNHS SOUTH WORCESTERSHIRE CCG (05T)EQ VAS</v>
      </c>
      <c r="C5278" t="s">
        <v>250</v>
      </c>
      <c r="D5278" t="s">
        <v>87</v>
      </c>
      <c r="E5278" t="s">
        <v>950</v>
      </c>
      <c r="F5278" t="s">
        <v>951</v>
      </c>
      <c r="G5278" t="s">
        <v>179</v>
      </c>
      <c r="H5278">
        <v>9</v>
      </c>
      <c r="I5278">
        <v>59.110999999999997</v>
      </c>
      <c r="J5278">
        <v>78.778000000000006</v>
      </c>
      <c r="K5278">
        <v>19.667000000000002</v>
      </c>
      <c r="L5278">
        <v>7</v>
      </c>
      <c r="M5278">
        <v>0</v>
      </c>
      <c r="N5278">
        <v>2</v>
      </c>
      <c r="O5278" t="s">
        <v>53</v>
      </c>
      <c r="P5278" t="s">
        <v>53</v>
      </c>
      <c r="Q5278" t="s">
        <v>53</v>
      </c>
    </row>
    <row r="5279" spans="1:17" x14ac:dyDescent="0.2">
      <c r="A5279" s="30" t="str">
        <f>IF(C5279&amp;G5279&amp;D5279&lt;&gt;'Funnel setup'!$K$3&amp;'Funnel setup'!$K$4&amp;'Funnel setup'!$K$5,".",IF(A5278=".",1,A5278+1))</f>
        <v>.</v>
      </c>
      <c r="B5279" s="431" t="str">
        <f t="shared" si="82"/>
        <v>Knee Replacement RevisionCCG of GP PracticeNHS SOUTHAMPTON CCG (10X)EQ VAS</v>
      </c>
      <c r="C5279" t="s">
        <v>250</v>
      </c>
      <c r="D5279" t="s">
        <v>87</v>
      </c>
      <c r="E5279" t="s">
        <v>953</v>
      </c>
      <c r="F5279" t="s">
        <v>954</v>
      </c>
      <c r="G5279" t="s">
        <v>179</v>
      </c>
      <c r="H5279">
        <v>14</v>
      </c>
      <c r="I5279">
        <v>71.286000000000001</v>
      </c>
      <c r="J5279">
        <v>68.429000000000002</v>
      </c>
      <c r="K5279">
        <v>-2.8570000000000002</v>
      </c>
      <c r="L5279">
        <v>6</v>
      </c>
      <c r="M5279">
        <v>2</v>
      </c>
      <c r="N5279">
        <v>6</v>
      </c>
      <c r="O5279" t="s">
        <v>53</v>
      </c>
      <c r="P5279" t="s">
        <v>53</v>
      </c>
      <c r="Q5279" t="s">
        <v>53</v>
      </c>
    </row>
    <row r="5280" spans="1:17" x14ac:dyDescent="0.2">
      <c r="A5280" s="30" t="str">
        <f>IF(C5280&amp;G5280&amp;D5280&lt;&gt;'Funnel setup'!$K$3&amp;'Funnel setup'!$K$4&amp;'Funnel setup'!$K$5,".",IF(A5279=".",1,A5279+1))</f>
        <v>.</v>
      </c>
      <c r="B5280" s="431" t="str">
        <f t="shared" si="82"/>
        <v>Knee Replacement RevisionCCG of GP PracticeNHS SOUTHERN DERBYSHIRE CCG (04R)EQ VAS</v>
      </c>
      <c r="C5280" t="s">
        <v>250</v>
      </c>
      <c r="D5280" t="s">
        <v>87</v>
      </c>
      <c r="E5280" t="s">
        <v>959</v>
      </c>
      <c r="F5280" t="s">
        <v>960</v>
      </c>
      <c r="G5280" t="s">
        <v>179</v>
      </c>
      <c r="H5280">
        <v>9</v>
      </c>
      <c r="I5280">
        <v>62.777999999999999</v>
      </c>
      <c r="J5280">
        <v>64.332999999999998</v>
      </c>
      <c r="K5280">
        <v>1.556</v>
      </c>
      <c r="L5280">
        <v>5</v>
      </c>
      <c r="M5280">
        <v>1</v>
      </c>
      <c r="N5280">
        <v>3</v>
      </c>
      <c r="O5280" t="s">
        <v>53</v>
      </c>
      <c r="P5280" t="s">
        <v>53</v>
      </c>
      <c r="Q5280" t="s">
        <v>53</v>
      </c>
    </row>
    <row r="5281" spans="1:17" x14ac:dyDescent="0.2">
      <c r="A5281" s="30" t="str">
        <f>IF(C5281&amp;G5281&amp;D5281&lt;&gt;'Funnel setup'!$K$3&amp;'Funnel setup'!$K$4&amp;'Funnel setup'!$K$5,".",IF(A5280=".",1,A5280+1))</f>
        <v>.</v>
      </c>
      <c r="B5281" s="431" t="str">
        <f t="shared" si="82"/>
        <v>Knee Replacement RevisionCCG of GP PracticeNHS SOUTHPORT AND FORMBY CCG (01V)EQ VAS</v>
      </c>
      <c r="C5281" t="s">
        <v>250</v>
      </c>
      <c r="D5281" t="s">
        <v>87</v>
      </c>
      <c r="E5281" t="s">
        <v>962</v>
      </c>
      <c r="F5281" t="s">
        <v>963</v>
      </c>
      <c r="G5281" t="s">
        <v>179</v>
      </c>
      <c r="H5281">
        <v>7</v>
      </c>
      <c r="I5281">
        <v>70.713999999999999</v>
      </c>
      <c r="J5281">
        <v>69.286000000000001</v>
      </c>
      <c r="K5281">
        <v>-1.429</v>
      </c>
      <c r="L5281">
        <v>2</v>
      </c>
      <c r="M5281">
        <v>1</v>
      </c>
      <c r="N5281">
        <v>4</v>
      </c>
      <c r="O5281" t="s">
        <v>53</v>
      </c>
      <c r="P5281" t="s">
        <v>53</v>
      </c>
      <c r="Q5281" t="s">
        <v>53</v>
      </c>
    </row>
    <row r="5282" spans="1:17" x14ac:dyDescent="0.2">
      <c r="A5282" s="30" t="str">
        <f>IF(C5282&amp;G5282&amp;D5282&lt;&gt;'Funnel setup'!$K$3&amp;'Funnel setup'!$K$4&amp;'Funnel setup'!$K$5,".",IF(A5281=".",1,A5281+1))</f>
        <v>.</v>
      </c>
      <c r="B5282" s="431" t="str">
        <f t="shared" si="82"/>
        <v>Knee Replacement RevisionCCG of GP PracticeNHS SOUTHWARK CCG (08Q)EQ VAS</v>
      </c>
      <c r="C5282" t="s">
        <v>250</v>
      </c>
      <c r="D5282" t="s">
        <v>87</v>
      </c>
      <c r="E5282" t="s">
        <v>965</v>
      </c>
      <c r="F5282" t="s">
        <v>966</v>
      </c>
      <c r="G5282" t="s">
        <v>179</v>
      </c>
      <c r="H5282" t="s">
        <v>53</v>
      </c>
      <c r="I5282" t="s">
        <v>53</v>
      </c>
      <c r="J5282" t="s">
        <v>53</v>
      </c>
      <c r="K5282" t="s">
        <v>53</v>
      </c>
      <c r="L5282" t="s">
        <v>53</v>
      </c>
      <c r="M5282" t="s">
        <v>53</v>
      </c>
      <c r="N5282" t="s">
        <v>53</v>
      </c>
      <c r="O5282" t="s">
        <v>53</v>
      </c>
      <c r="P5282" t="s">
        <v>53</v>
      </c>
      <c r="Q5282" t="s">
        <v>53</v>
      </c>
    </row>
    <row r="5283" spans="1:17" x14ac:dyDescent="0.2">
      <c r="A5283" s="30" t="str">
        <f>IF(C5283&amp;G5283&amp;D5283&lt;&gt;'Funnel setup'!$K$3&amp;'Funnel setup'!$K$4&amp;'Funnel setup'!$K$5,".",IF(A5282=".",1,A5282+1))</f>
        <v>.</v>
      </c>
      <c r="B5283" s="431" t="str">
        <f t="shared" si="82"/>
        <v>Knee Replacement RevisionCCG of GP PracticeNHS ST HELENS CCG (01X)EQ VAS</v>
      </c>
      <c r="C5283" t="s">
        <v>250</v>
      </c>
      <c r="D5283" t="s">
        <v>87</v>
      </c>
      <c r="E5283" t="s">
        <v>968</v>
      </c>
      <c r="F5283" t="s">
        <v>969</v>
      </c>
      <c r="G5283" t="s">
        <v>179</v>
      </c>
      <c r="H5283" t="s">
        <v>53</v>
      </c>
      <c r="I5283" t="s">
        <v>53</v>
      </c>
      <c r="J5283" t="s">
        <v>53</v>
      </c>
      <c r="K5283" t="s">
        <v>53</v>
      </c>
      <c r="L5283" t="s">
        <v>53</v>
      </c>
      <c r="M5283" t="s">
        <v>53</v>
      </c>
      <c r="N5283" t="s">
        <v>53</v>
      </c>
      <c r="O5283" t="s">
        <v>53</v>
      </c>
      <c r="P5283" t="s">
        <v>53</v>
      </c>
      <c r="Q5283" t="s">
        <v>53</v>
      </c>
    </row>
    <row r="5284" spans="1:17" x14ac:dyDescent="0.2">
      <c r="A5284" s="30" t="str">
        <f>IF(C5284&amp;G5284&amp;D5284&lt;&gt;'Funnel setup'!$K$3&amp;'Funnel setup'!$K$4&amp;'Funnel setup'!$K$5,".",IF(A5283=".",1,A5283+1))</f>
        <v>.</v>
      </c>
      <c r="B5284" s="431" t="str">
        <f t="shared" si="82"/>
        <v>Knee Replacement RevisionCCG of GP PracticeNHS STAFFORD AND SURROUNDS CCG (05V)EQ VAS</v>
      </c>
      <c r="C5284" t="s">
        <v>250</v>
      </c>
      <c r="D5284" t="s">
        <v>87</v>
      </c>
      <c r="E5284" t="s">
        <v>971</v>
      </c>
      <c r="F5284" t="s">
        <v>972</v>
      </c>
      <c r="G5284" t="s">
        <v>179</v>
      </c>
      <c r="H5284">
        <v>7</v>
      </c>
      <c r="I5284">
        <v>74</v>
      </c>
      <c r="J5284">
        <v>81</v>
      </c>
      <c r="K5284">
        <v>7</v>
      </c>
      <c r="L5284">
        <v>5</v>
      </c>
      <c r="M5284">
        <v>1</v>
      </c>
      <c r="N5284">
        <v>1</v>
      </c>
      <c r="O5284" t="s">
        <v>53</v>
      </c>
      <c r="P5284" t="s">
        <v>53</v>
      </c>
      <c r="Q5284" t="s">
        <v>53</v>
      </c>
    </row>
    <row r="5285" spans="1:17" x14ac:dyDescent="0.2">
      <c r="A5285" s="30" t="str">
        <f>IF(C5285&amp;G5285&amp;D5285&lt;&gt;'Funnel setup'!$K$3&amp;'Funnel setup'!$K$4&amp;'Funnel setup'!$K$5,".",IF(A5284=".",1,A5284+1))</f>
        <v>.</v>
      </c>
      <c r="B5285" s="431" t="str">
        <f t="shared" si="82"/>
        <v>Knee Replacement RevisionCCG of GP PracticeNHS STOCKPORT CCG (01W)EQ VAS</v>
      </c>
      <c r="C5285" t="s">
        <v>250</v>
      </c>
      <c r="D5285" t="s">
        <v>87</v>
      </c>
      <c r="E5285" t="s">
        <v>974</v>
      </c>
      <c r="F5285" t="s">
        <v>975</v>
      </c>
      <c r="G5285" t="s">
        <v>179</v>
      </c>
      <c r="H5285">
        <v>6</v>
      </c>
      <c r="I5285">
        <v>64.167000000000002</v>
      </c>
      <c r="J5285">
        <v>75</v>
      </c>
      <c r="K5285">
        <v>10.833</v>
      </c>
      <c r="L5285">
        <v>3</v>
      </c>
      <c r="M5285">
        <v>2</v>
      </c>
      <c r="N5285">
        <v>1</v>
      </c>
      <c r="O5285" t="s">
        <v>53</v>
      </c>
      <c r="P5285" t="s">
        <v>53</v>
      </c>
      <c r="Q5285" t="s">
        <v>53</v>
      </c>
    </row>
    <row r="5286" spans="1:17" x14ac:dyDescent="0.2">
      <c r="A5286" s="30" t="str">
        <f>IF(C5286&amp;G5286&amp;D5286&lt;&gt;'Funnel setup'!$K$3&amp;'Funnel setup'!$K$4&amp;'Funnel setup'!$K$5,".",IF(A5285=".",1,A5285+1))</f>
        <v>.</v>
      </c>
      <c r="B5286" s="431" t="str">
        <f t="shared" si="82"/>
        <v>Knee Replacement RevisionCCG of GP PracticeNHS STOKE ON TRENT CCG (05W)EQ VAS</v>
      </c>
      <c r="C5286" t="s">
        <v>250</v>
      </c>
      <c r="D5286" t="s">
        <v>87</v>
      </c>
      <c r="E5286" t="s">
        <v>977</v>
      </c>
      <c r="F5286" t="s">
        <v>978</v>
      </c>
      <c r="G5286" t="s">
        <v>179</v>
      </c>
      <c r="H5286" t="s">
        <v>53</v>
      </c>
      <c r="I5286" t="s">
        <v>53</v>
      </c>
      <c r="J5286" t="s">
        <v>53</v>
      </c>
      <c r="K5286" t="s">
        <v>53</v>
      </c>
      <c r="L5286" t="s">
        <v>53</v>
      </c>
      <c r="M5286" t="s">
        <v>53</v>
      </c>
      <c r="N5286" t="s">
        <v>53</v>
      </c>
      <c r="O5286" t="s">
        <v>53</v>
      </c>
      <c r="P5286" t="s">
        <v>53</v>
      </c>
      <c r="Q5286" t="s">
        <v>53</v>
      </c>
    </row>
    <row r="5287" spans="1:17" x14ac:dyDescent="0.2">
      <c r="A5287" s="30" t="str">
        <f>IF(C5287&amp;G5287&amp;D5287&lt;&gt;'Funnel setup'!$K$3&amp;'Funnel setup'!$K$4&amp;'Funnel setup'!$K$5,".",IF(A5286=".",1,A5286+1))</f>
        <v>.</v>
      </c>
      <c r="B5287" s="431" t="str">
        <f t="shared" si="82"/>
        <v>Knee Replacement RevisionCCG of GP PracticeNHS SUNDERLAND CCG (00P)EQ VAS</v>
      </c>
      <c r="C5287" t="s">
        <v>250</v>
      </c>
      <c r="D5287" t="s">
        <v>87</v>
      </c>
      <c r="E5287" t="s">
        <v>980</v>
      </c>
      <c r="F5287" t="s">
        <v>981</v>
      </c>
      <c r="G5287" t="s">
        <v>179</v>
      </c>
      <c r="H5287">
        <v>7</v>
      </c>
      <c r="I5287">
        <v>65</v>
      </c>
      <c r="J5287">
        <v>64.286000000000001</v>
      </c>
      <c r="K5287">
        <v>-0.71399999999999997</v>
      </c>
      <c r="L5287">
        <v>3</v>
      </c>
      <c r="M5287">
        <v>3</v>
      </c>
      <c r="N5287">
        <v>1</v>
      </c>
      <c r="O5287" t="s">
        <v>53</v>
      </c>
      <c r="P5287" t="s">
        <v>53</v>
      </c>
      <c r="Q5287" t="s">
        <v>53</v>
      </c>
    </row>
    <row r="5288" spans="1:17" x14ac:dyDescent="0.2">
      <c r="A5288" s="30" t="str">
        <f>IF(C5288&amp;G5288&amp;D5288&lt;&gt;'Funnel setup'!$K$3&amp;'Funnel setup'!$K$4&amp;'Funnel setup'!$K$5,".",IF(A5287=".",1,A5287+1))</f>
        <v>.</v>
      </c>
      <c r="B5288" s="431" t="str">
        <f t="shared" si="82"/>
        <v>Knee Replacement RevisionCCG of GP PracticeNHS SURREY DOWNS CCG (99H)EQ VAS</v>
      </c>
      <c r="C5288" t="s">
        <v>250</v>
      </c>
      <c r="D5288" t="s">
        <v>87</v>
      </c>
      <c r="E5288" t="s">
        <v>983</v>
      </c>
      <c r="F5288" t="s">
        <v>984</v>
      </c>
      <c r="G5288" t="s">
        <v>179</v>
      </c>
      <c r="H5288" t="s">
        <v>53</v>
      </c>
      <c r="I5288" t="s">
        <v>53</v>
      </c>
      <c r="J5288" t="s">
        <v>53</v>
      </c>
      <c r="K5288" t="s">
        <v>53</v>
      </c>
      <c r="L5288" t="s">
        <v>53</v>
      </c>
      <c r="M5288" t="s">
        <v>53</v>
      </c>
      <c r="N5288" t="s">
        <v>53</v>
      </c>
      <c r="O5288" t="s">
        <v>53</v>
      </c>
      <c r="P5288" t="s">
        <v>53</v>
      </c>
      <c r="Q5288" t="s">
        <v>53</v>
      </c>
    </row>
    <row r="5289" spans="1:17" x14ac:dyDescent="0.2">
      <c r="A5289" s="30" t="str">
        <f>IF(C5289&amp;G5289&amp;D5289&lt;&gt;'Funnel setup'!$K$3&amp;'Funnel setup'!$K$4&amp;'Funnel setup'!$K$5,".",IF(A5288=".",1,A5288+1))</f>
        <v>.</v>
      </c>
      <c r="B5289" s="431" t="str">
        <f t="shared" si="82"/>
        <v>Knee Replacement RevisionCCG of GP PracticeNHS SURREY HEATH CCG (10C)EQ VAS</v>
      </c>
      <c r="C5289" t="s">
        <v>250</v>
      </c>
      <c r="D5289" t="s">
        <v>87</v>
      </c>
      <c r="E5289" t="s">
        <v>986</v>
      </c>
      <c r="F5289" t="s">
        <v>987</v>
      </c>
      <c r="G5289" t="s">
        <v>179</v>
      </c>
      <c r="H5289" t="s">
        <v>53</v>
      </c>
      <c r="I5289" t="s">
        <v>53</v>
      </c>
      <c r="J5289" t="s">
        <v>53</v>
      </c>
      <c r="K5289" t="s">
        <v>53</v>
      </c>
      <c r="L5289" t="s">
        <v>53</v>
      </c>
      <c r="M5289" t="s">
        <v>53</v>
      </c>
      <c r="N5289" t="s">
        <v>53</v>
      </c>
      <c r="O5289" t="s">
        <v>53</v>
      </c>
      <c r="P5289" t="s">
        <v>53</v>
      </c>
      <c r="Q5289" t="s">
        <v>53</v>
      </c>
    </row>
    <row r="5290" spans="1:17" x14ac:dyDescent="0.2">
      <c r="A5290" s="30" t="str">
        <f>IF(C5290&amp;G5290&amp;D5290&lt;&gt;'Funnel setup'!$K$3&amp;'Funnel setup'!$K$4&amp;'Funnel setup'!$K$5,".",IF(A5289=".",1,A5289+1))</f>
        <v>.</v>
      </c>
      <c r="B5290" s="431" t="str">
        <f t="shared" si="82"/>
        <v>Knee Replacement RevisionCCG of GP PracticeNHS SUTTON CCG (08T)EQ VAS</v>
      </c>
      <c r="C5290" t="s">
        <v>250</v>
      </c>
      <c r="D5290" t="s">
        <v>87</v>
      </c>
      <c r="E5290" t="s">
        <v>989</v>
      </c>
      <c r="F5290" t="s">
        <v>990</v>
      </c>
      <c r="G5290" t="s">
        <v>179</v>
      </c>
      <c r="H5290" t="s">
        <v>53</v>
      </c>
      <c r="I5290" t="s">
        <v>53</v>
      </c>
      <c r="J5290" t="s">
        <v>53</v>
      </c>
      <c r="K5290" t="s">
        <v>53</v>
      </c>
      <c r="L5290" t="s">
        <v>53</v>
      </c>
      <c r="M5290" t="s">
        <v>53</v>
      </c>
      <c r="N5290" t="s">
        <v>53</v>
      </c>
      <c r="O5290" t="s">
        <v>53</v>
      </c>
      <c r="P5290" t="s">
        <v>53</v>
      </c>
      <c r="Q5290" t="s">
        <v>53</v>
      </c>
    </row>
    <row r="5291" spans="1:17" x14ac:dyDescent="0.2">
      <c r="A5291" s="30" t="str">
        <f>IF(C5291&amp;G5291&amp;D5291&lt;&gt;'Funnel setup'!$K$3&amp;'Funnel setup'!$K$4&amp;'Funnel setup'!$K$5,".",IF(A5290=".",1,A5290+1))</f>
        <v>.</v>
      </c>
      <c r="B5291" s="431" t="str">
        <f t="shared" si="82"/>
        <v>Knee Replacement RevisionCCG of GP PracticeNHS SWALE CCG (10D)EQ VAS</v>
      </c>
      <c r="C5291" t="s">
        <v>250</v>
      </c>
      <c r="D5291" t="s">
        <v>87</v>
      </c>
      <c r="E5291" t="s">
        <v>992</v>
      </c>
      <c r="F5291" t="s">
        <v>993</v>
      </c>
      <c r="G5291" t="s">
        <v>179</v>
      </c>
      <c r="H5291" t="s">
        <v>53</v>
      </c>
      <c r="I5291" t="s">
        <v>53</v>
      </c>
      <c r="J5291" t="s">
        <v>53</v>
      </c>
      <c r="K5291" t="s">
        <v>53</v>
      </c>
      <c r="L5291" t="s">
        <v>53</v>
      </c>
      <c r="M5291" t="s">
        <v>53</v>
      </c>
      <c r="N5291" t="s">
        <v>53</v>
      </c>
      <c r="O5291" t="s">
        <v>53</v>
      </c>
      <c r="P5291" t="s">
        <v>53</v>
      </c>
      <c r="Q5291" t="s">
        <v>53</v>
      </c>
    </row>
    <row r="5292" spans="1:17" x14ac:dyDescent="0.2">
      <c r="A5292" s="30" t="str">
        <f>IF(C5292&amp;G5292&amp;D5292&lt;&gt;'Funnel setup'!$K$3&amp;'Funnel setup'!$K$4&amp;'Funnel setup'!$K$5,".",IF(A5291=".",1,A5291+1))</f>
        <v>.</v>
      </c>
      <c r="B5292" s="431" t="str">
        <f t="shared" si="82"/>
        <v>Knee Replacement RevisionCCG of GP PracticeNHS SWINDON CCG (12D)EQ VAS</v>
      </c>
      <c r="C5292" t="s">
        <v>250</v>
      </c>
      <c r="D5292" t="s">
        <v>87</v>
      </c>
      <c r="E5292" t="s">
        <v>995</v>
      </c>
      <c r="F5292" t="s">
        <v>996</v>
      </c>
      <c r="G5292" t="s">
        <v>179</v>
      </c>
      <c r="H5292" t="s">
        <v>53</v>
      </c>
      <c r="I5292" t="s">
        <v>53</v>
      </c>
      <c r="J5292" t="s">
        <v>53</v>
      </c>
      <c r="K5292" t="s">
        <v>53</v>
      </c>
      <c r="L5292" t="s">
        <v>53</v>
      </c>
      <c r="M5292" t="s">
        <v>53</v>
      </c>
      <c r="N5292" t="s">
        <v>53</v>
      </c>
      <c r="O5292" t="s">
        <v>53</v>
      </c>
      <c r="P5292" t="s">
        <v>53</v>
      </c>
      <c r="Q5292" t="s">
        <v>53</v>
      </c>
    </row>
    <row r="5293" spans="1:17" x14ac:dyDescent="0.2">
      <c r="A5293" s="30" t="str">
        <f>IF(C5293&amp;G5293&amp;D5293&lt;&gt;'Funnel setup'!$K$3&amp;'Funnel setup'!$K$4&amp;'Funnel setup'!$K$5,".",IF(A5292=".",1,A5292+1))</f>
        <v>.</v>
      </c>
      <c r="B5293" s="431" t="str">
        <f t="shared" si="82"/>
        <v>Knee Replacement RevisionCCG of GP PracticeNHS TELFORD AND WREKIN CCG (05X)EQ VAS</v>
      </c>
      <c r="C5293" t="s">
        <v>250</v>
      </c>
      <c r="D5293" t="s">
        <v>87</v>
      </c>
      <c r="E5293" t="s">
        <v>1001</v>
      </c>
      <c r="F5293" t="s">
        <v>1002</v>
      </c>
      <c r="G5293" t="s">
        <v>179</v>
      </c>
      <c r="H5293">
        <v>8</v>
      </c>
      <c r="I5293">
        <v>61.25</v>
      </c>
      <c r="J5293">
        <v>65</v>
      </c>
      <c r="K5293">
        <v>3.75</v>
      </c>
      <c r="L5293">
        <v>4</v>
      </c>
      <c r="M5293">
        <v>2</v>
      </c>
      <c r="N5293">
        <v>2</v>
      </c>
      <c r="O5293" t="s">
        <v>53</v>
      </c>
      <c r="P5293" t="s">
        <v>53</v>
      </c>
      <c r="Q5293" t="s">
        <v>53</v>
      </c>
    </row>
    <row r="5294" spans="1:17" x14ac:dyDescent="0.2">
      <c r="A5294" s="30" t="str">
        <f>IF(C5294&amp;G5294&amp;D5294&lt;&gt;'Funnel setup'!$K$3&amp;'Funnel setup'!$K$4&amp;'Funnel setup'!$K$5,".",IF(A5293=".",1,A5293+1))</f>
        <v>.</v>
      </c>
      <c r="B5294" s="431" t="str">
        <f t="shared" si="82"/>
        <v>Knee Replacement RevisionCCG of GP PracticeNHS THANET CCG (10E)EQ VAS</v>
      </c>
      <c r="C5294" t="s">
        <v>250</v>
      </c>
      <c r="D5294" t="s">
        <v>87</v>
      </c>
      <c r="E5294" t="s">
        <v>1004</v>
      </c>
      <c r="F5294" t="s">
        <v>1005</v>
      </c>
      <c r="G5294" t="s">
        <v>179</v>
      </c>
      <c r="H5294" t="s">
        <v>53</v>
      </c>
      <c r="I5294" t="s">
        <v>53</v>
      </c>
      <c r="J5294" t="s">
        <v>53</v>
      </c>
      <c r="K5294" t="s">
        <v>53</v>
      </c>
      <c r="L5294" t="s">
        <v>53</v>
      </c>
      <c r="M5294" t="s">
        <v>53</v>
      </c>
      <c r="N5294" t="s">
        <v>53</v>
      </c>
      <c r="O5294" t="s">
        <v>53</v>
      </c>
      <c r="P5294" t="s">
        <v>53</v>
      </c>
      <c r="Q5294" t="s">
        <v>53</v>
      </c>
    </row>
    <row r="5295" spans="1:17" x14ac:dyDescent="0.2">
      <c r="A5295" s="30" t="str">
        <f>IF(C5295&amp;G5295&amp;D5295&lt;&gt;'Funnel setup'!$K$3&amp;'Funnel setup'!$K$4&amp;'Funnel setup'!$K$5,".",IF(A5294=".",1,A5294+1))</f>
        <v>.</v>
      </c>
      <c r="B5295" s="431" t="str">
        <f t="shared" si="82"/>
        <v>Knee Replacement RevisionCCG of GP PracticeNHS THURROCK CCG (07G)EQ VAS</v>
      </c>
      <c r="C5295" t="s">
        <v>250</v>
      </c>
      <c r="D5295" t="s">
        <v>87</v>
      </c>
      <c r="E5295" t="s">
        <v>1007</v>
      </c>
      <c r="F5295" t="s">
        <v>1008</v>
      </c>
      <c r="G5295" t="s">
        <v>179</v>
      </c>
      <c r="H5295">
        <v>9</v>
      </c>
      <c r="I5295">
        <v>60.444000000000003</v>
      </c>
      <c r="J5295">
        <v>65.221999999999994</v>
      </c>
      <c r="K5295">
        <v>4.7779999999999996</v>
      </c>
      <c r="L5295">
        <v>4</v>
      </c>
      <c r="M5295">
        <v>4</v>
      </c>
      <c r="N5295">
        <v>1</v>
      </c>
      <c r="O5295" t="s">
        <v>53</v>
      </c>
      <c r="P5295" t="s">
        <v>53</v>
      </c>
      <c r="Q5295" t="s">
        <v>53</v>
      </c>
    </row>
    <row r="5296" spans="1:17" x14ac:dyDescent="0.2">
      <c r="A5296" s="30" t="str">
        <f>IF(C5296&amp;G5296&amp;D5296&lt;&gt;'Funnel setup'!$K$3&amp;'Funnel setup'!$K$4&amp;'Funnel setup'!$K$5,".",IF(A5295=".",1,A5295+1))</f>
        <v>.</v>
      </c>
      <c r="B5296" s="431" t="str">
        <f t="shared" si="82"/>
        <v>Knee Replacement RevisionCCG of GP PracticeNHS TRAFFORD CCG (02A)EQ VAS</v>
      </c>
      <c r="C5296" t="s">
        <v>250</v>
      </c>
      <c r="D5296" t="s">
        <v>87</v>
      </c>
      <c r="E5296" t="s">
        <v>1013</v>
      </c>
      <c r="F5296" t="s">
        <v>1014</v>
      </c>
      <c r="G5296" t="s">
        <v>179</v>
      </c>
      <c r="H5296" t="s">
        <v>53</v>
      </c>
      <c r="I5296" t="s">
        <v>53</v>
      </c>
      <c r="J5296" t="s">
        <v>53</v>
      </c>
      <c r="K5296" t="s">
        <v>53</v>
      </c>
      <c r="L5296" t="s">
        <v>53</v>
      </c>
      <c r="M5296" t="s">
        <v>53</v>
      </c>
      <c r="N5296" t="s">
        <v>53</v>
      </c>
      <c r="O5296" t="s">
        <v>53</v>
      </c>
      <c r="P5296" t="s">
        <v>53</v>
      </c>
      <c r="Q5296" t="s">
        <v>53</v>
      </c>
    </row>
    <row r="5297" spans="1:17" x14ac:dyDescent="0.2">
      <c r="A5297" s="30" t="str">
        <f>IF(C5297&amp;G5297&amp;D5297&lt;&gt;'Funnel setup'!$K$3&amp;'Funnel setup'!$K$4&amp;'Funnel setup'!$K$5,".",IF(A5296=".",1,A5296+1))</f>
        <v>.</v>
      </c>
      <c r="B5297" s="431" t="str">
        <f t="shared" si="82"/>
        <v>Knee Replacement RevisionCCG of GP PracticeNHS VALE OF YORK CCG (03Q)EQ VAS</v>
      </c>
      <c r="C5297" t="s">
        <v>250</v>
      </c>
      <c r="D5297" t="s">
        <v>87</v>
      </c>
      <c r="E5297" t="s">
        <v>420</v>
      </c>
      <c r="F5297" t="s">
        <v>421</v>
      </c>
      <c r="G5297" t="s">
        <v>179</v>
      </c>
      <c r="H5297">
        <v>17</v>
      </c>
      <c r="I5297">
        <v>70.823999999999998</v>
      </c>
      <c r="J5297">
        <v>72.293999999999997</v>
      </c>
      <c r="K5297">
        <v>1.4710000000000001</v>
      </c>
      <c r="L5297">
        <v>9</v>
      </c>
      <c r="M5297">
        <v>5</v>
      </c>
      <c r="N5297">
        <v>3</v>
      </c>
      <c r="O5297" t="s">
        <v>53</v>
      </c>
      <c r="P5297" t="s">
        <v>53</v>
      </c>
      <c r="Q5297" t="s">
        <v>53</v>
      </c>
    </row>
    <row r="5298" spans="1:17" x14ac:dyDescent="0.2">
      <c r="A5298" s="30" t="str">
        <f>IF(C5298&amp;G5298&amp;D5298&lt;&gt;'Funnel setup'!$K$3&amp;'Funnel setup'!$K$4&amp;'Funnel setup'!$K$5,".",IF(A5297=".",1,A5297+1))</f>
        <v>.</v>
      </c>
      <c r="B5298" s="431" t="str">
        <f t="shared" si="82"/>
        <v>Knee Replacement RevisionCCG of GP PracticeNHS VALE ROYAL CCG (02D)EQ VAS</v>
      </c>
      <c r="C5298" t="s">
        <v>250</v>
      </c>
      <c r="D5298" t="s">
        <v>87</v>
      </c>
      <c r="E5298" t="s">
        <v>423</v>
      </c>
      <c r="F5298" t="s">
        <v>424</v>
      </c>
      <c r="G5298" t="s">
        <v>179</v>
      </c>
      <c r="H5298" t="s">
        <v>53</v>
      </c>
      <c r="I5298" t="s">
        <v>53</v>
      </c>
      <c r="J5298" t="s">
        <v>53</v>
      </c>
      <c r="K5298" t="s">
        <v>53</v>
      </c>
      <c r="L5298" t="s">
        <v>53</v>
      </c>
      <c r="M5298" t="s">
        <v>53</v>
      </c>
      <c r="N5298" t="s">
        <v>53</v>
      </c>
      <c r="O5298" t="s">
        <v>53</v>
      </c>
      <c r="P5298" t="s">
        <v>53</v>
      </c>
      <c r="Q5298" t="s">
        <v>53</v>
      </c>
    </row>
    <row r="5299" spans="1:17" x14ac:dyDescent="0.2">
      <c r="A5299" s="30" t="str">
        <f>IF(C5299&amp;G5299&amp;D5299&lt;&gt;'Funnel setup'!$K$3&amp;'Funnel setup'!$K$4&amp;'Funnel setup'!$K$5,".",IF(A5298=".",1,A5298+1))</f>
        <v>.</v>
      </c>
      <c r="B5299" s="431" t="str">
        <f t="shared" si="82"/>
        <v>Knee Replacement RevisionCCG of GP PracticeNHS WAKEFIELD CCG (03R)EQ VAS</v>
      </c>
      <c r="C5299" t="s">
        <v>250</v>
      </c>
      <c r="D5299" t="s">
        <v>87</v>
      </c>
      <c r="E5299" t="s">
        <v>426</v>
      </c>
      <c r="F5299" t="s">
        <v>427</v>
      </c>
      <c r="G5299" t="s">
        <v>179</v>
      </c>
      <c r="H5299">
        <v>6</v>
      </c>
      <c r="I5299">
        <v>52.832999999999998</v>
      </c>
      <c r="J5299">
        <v>53.332999999999998</v>
      </c>
      <c r="K5299">
        <v>0.5</v>
      </c>
      <c r="L5299">
        <v>2</v>
      </c>
      <c r="M5299">
        <v>1</v>
      </c>
      <c r="N5299">
        <v>3</v>
      </c>
      <c r="O5299" t="s">
        <v>53</v>
      </c>
      <c r="P5299" t="s">
        <v>53</v>
      </c>
      <c r="Q5299" t="s">
        <v>53</v>
      </c>
    </row>
    <row r="5300" spans="1:17" x14ac:dyDescent="0.2">
      <c r="A5300" s="30" t="str">
        <f>IF(C5300&amp;G5300&amp;D5300&lt;&gt;'Funnel setup'!$K$3&amp;'Funnel setup'!$K$4&amp;'Funnel setup'!$K$5,".",IF(A5299=".",1,A5299+1))</f>
        <v>.</v>
      </c>
      <c r="B5300" s="431" t="str">
        <f t="shared" si="82"/>
        <v>Knee Replacement RevisionCCG of GP PracticeNHS WALSALL CCG (05Y)EQ VAS</v>
      </c>
      <c r="C5300" t="s">
        <v>250</v>
      </c>
      <c r="D5300" t="s">
        <v>87</v>
      </c>
      <c r="E5300" t="s">
        <v>429</v>
      </c>
      <c r="F5300" t="s">
        <v>430</v>
      </c>
      <c r="G5300" t="s">
        <v>179</v>
      </c>
      <c r="H5300" t="s">
        <v>53</v>
      </c>
      <c r="I5300" t="s">
        <v>53</v>
      </c>
      <c r="J5300" t="s">
        <v>53</v>
      </c>
      <c r="K5300" t="s">
        <v>53</v>
      </c>
      <c r="L5300" t="s">
        <v>53</v>
      </c>
      <c r="M5300" t="s">
        <v>53</v>
      </c>
      <c r="N5300" t="s">
        <v>53</v>
      </c>
      <c r="O5300" t="s">
        <v>53</v>
      </c>
      <c r="P5300" t="s">
        <v>53</v>
      </c>
      <c r="Q5300" t="s">
        <v>53</v>
      </c>
    </row>
    <row r="5301" spans="1:17" x14ac:dyDescent="0.2">
      <c r="A5301" s="30" t="str">
        <f>IF(C5301&amp;G5301&amp;D5301&lt;&gt;'Funnel setup'!$K$3&amp;'Funnel setup'!$K$4&amp;'Funnel setup'!$K$5,".",IF(A5300=".",1,A5300+1))</f>
        <v>.</v>
      </c>
      <c r="B5301" s="431" t="str">
        <f t="shared" si="82"/>
        <v>Knee Replacement RevisionCCG of GP PracticeNHS WALTHAM FOREST CCG (08W)EQ VAS</v>
      </c>
      <c r="C5301" t="s">
        <v>250</v>
      </c>
      <c r="D5301" t="s">
        <v>87</v>
      </c>
      <c r="E5301" t="s">
        <v>432</v>
      </c>
      <c r="F5301" t="s">
        <v>433</v>
      </c>
      <c r="G5301" t="s">
        <v>179</v>
      </c>
      <c r="H5301" t="s">
        <v>53</v>
      </c>
      <c r="I5301" t="s">
        <v>53</v>
      </c>
      <c r="J5301" t="s">
        <v>53</v>
      </c>
      <c r="K5301" t="s">
        <v>53</v>
      </c>
      <c r="L5301" t="s">
        <v>53</v>
      </c>
      <c r="M5301" t="s">
        <v>53</v>
      </c>
      <c r="N5301" t="s">
        <v>53</v>
      </c>
      <c r="O5301" t="s">
        <v>53</v>
      </c>
      <c r="P5301" t="s">
        <v>53</v>
      </c>
      <c r="Q5301" t="s">
        <v>53</v>
      </c>
    </row>
    <row r="5302" spans="1:17" x14ac:dyDescent="0.2">
      <c r="A5302" s="30" t="str">
        <f>IF(C5302&amp;G5302&amp;D5302&lt;&gt;'Funnel setup'!$K$3&amp;'Funnel setup'!$K$4&amp;'Funnel setup'!$K$5,".",IF(A5301=".",1,A5301+1))</f>
        <v>.</v>
      </c>
      <c r="B5302" s="431" t="str">
        <f t="shared" si="82"/>
        <v>Knee Replacement RevisionCCG of GP PracticeNHS WANDSWORTH CCG (08X)EQ VAS</v>
      </c>
      <c r="C5302" t="s">
        <v>250</v>
      </c>
      <c r="D5302" t="s">
        <v>87</v>
      </c>
      <c r="E5302" t="s">
        <v>435</v>
      </c>
      <c r="F5302" t="s">
        <v>436</v>
      </c>
      <c r="G5302" t="s">
        <v>179</v>
      </c>
      <c r="H5302" t="s">
        <v>53</v>
      </c>
      <c r="I5302" t="s">
        <v>53</v>
      </c>
      <c r="J5302" t="s">
        <v>53</v>
      </c>
      <c r="K5302" t="s">
        <v>53</v>
      </c>
      <c r="L5302" t="s">
        <v>53</v>
      </c>
      <c r="M5302" t="s">
        <v>53</v>
      </c>
      <c r="N5302" t="s">
        <v>53</v>
      </c>
      <c r="O5302" t="s">
        <v>53</v>
      </c>
      <c r="P5302" t="s">
        <v>53</v>
      </c>
      <c r="Q5302" t="s">
        <v>53</v>
      </c>
    </row>
    <row r="5303" spans="1:17" x14ac:dyDescent="0.2">
      <c r="A5303" s="30" t="str">
        <f>IF(C5303&amp;G5303&amp;D5303&lt;&gt;'Funnel setup'!$K$3&amp;'Funnel setup'!$K$4&amp;'Funnel setup'!$K$5,".",IF(A5302=".",1,A5302+1))</f>
        <v>.</v>
      </c>
      <c r="B5303" s="431" t="str">
        <f t="shared" si="82"/>
        <v>Knee Replacement RevisionCCG of GP PracticeNHS WARRINGTON CCG (02E)EQ VAS</v>
      </c>
      <c r="C5303" t="s">
        <v>250</v>
      </c>
      <c r="D5303" t="s">
        <v>87</v>
      </c>
      <c r="E5303" t="s">
        <v>441</v>
      </c>
      <c r="F5303" t="s">
        <v>442</v>
      </c>
      <c r="G5303" t="s">
        <v>179</v>
      </c>
      <c r="H5303">
        <v>8</v>
      </c>
      <c r="I5303">
        <v>58.125</v>
      </c>
      <c r="J5303">
        <v>68.5</v>
      </c>
      <c r="K5303">
        <v>10.375</v>
      </c>
      <c r="L5303">
        <v>6</v>
      </c>
      <c r="M5303">
        <v>0</v>
      </c>
      <c r="N5303">
        <v>2</v>
      </c>
      <c r="O5303" t="s">
        <v>53</v>
      </c>
      <c r="P5303" t="s">
        <v>53</v>
      </c>
      <c r="Q5303" t="s">
        <v>53</v>
      </c>
    </row>
    <row r="5304" spans="1:17" x14ac:dyDescent="0.2">
      <c r="A5304" s="30" t="str">
        <f>IF(C5304&amp;G5304&amp;D5304&lt;&gt;'Funnel setup'!$K$3&amp;'Funnel setup'!$K$4&amp;'Funnel setup'!$K$5,".",IF(A5303=".",1,A5303+1))</f>
        <v>.</v>
      </c>
      <c r="B5304" s="431" t="str">
        <f t="shared" si="82"/>
        <v>Knee Replacement RevisionCCG of GP PracticeNHS WARWICKSHIRE NORTH CCG (05H)EQ VAS</v>
      </c>
      <c r="C5304" t="s">
        <v>250</v>
      </c>
      <c r="D5304" t="s">
        <v>87</v>
      </c>
      <c r="E5304" t="s">
        <v>438</v>
      </c>
      <c r="F5304" t="s">
        <v>439</v>
      </c>
      <c r="G5304" t="s">
        <v>179</v>
      </c>
      <c r="H5304" t="s">
        <v>53</v>
      </c>
      <c r="I5304" t="s">
        <v>53</v>
      </c>
      <c r="J5304" t="s">
        <v>53</v>
      </c>
      <c r="K5304" t="s">
        <v>53</v>
      </c>
      <c r="L5304" t="s">
        <v>53</v>
      </c>
      <c r="M5304" t="s">
        <v>53</v>
      </c>
      <c r="N5304" t="s">
        <v>53</v>
      </c>
      <c r="O5304" t="s">
        <v>53</v>
      </c>
      <c r="P5304" t="s">
        <v>53</v>
      </c>
      <c r="Q5304" t="s">
        <v>53</v>
      </c>
    </row>
    <row r="5305" spans="1:17" x14ac:dyDescent="0.2">
      <c r="A5305" s="30" t="str">
        <f>IF(C5305&amp;G5305&amp;D5305&lt;&gt;'Funnel setup'!$K$3&amp;'Funnel setup'!$K$4&amp;'Funnel setup'!$K$5,".",IF(A5304=".",1,A5304+1))</f>
        <v>.</v>
      </c>
      <c r="B5305" s="431" t="str">
        <f t="shared" si="82"/>
        <v>Knee Replacement RevisionCCG of GP PracticeNHS WEST CHESHIRE CCG (02F)EQ VAS</v>
      </c>
      <c r="C5305" t="s">
        <v>250</v>
      </c>
      <c r="D5305" t="s">
        <v>87</v>
      </c>
      <c r="E5305" t="s">
        <v>402</v>
      </c>
      <c r="F5305" t="s">
        <v>403</v>
      </c>
      <c r="G5305" t="s">
        <v>179</v>
      </c>
      <c r="H5305">
        <v>8</v>
      </c>
      <c r="I5305">
        <v>61.875</v>
      </c>
      <c r="J5305">
        <v>65</v>
      </c>
      <c r="K5305">
        <v>3.125</v>
      </c>
      <c r="L5305">
        <v>4</v>
      </c>
      <c r="M5305">
        <v>2</v>
      </c>
      <c r="N5305">
        <v>2</v>
      </c>
      <c r="O5305" t="s">
        <v>53</v>
      </c>
      <c r="P5305" t="s">
        <v>53</v>
      </c>
      <c r="Q5305" t="s">
        <v>53</v>
      </c>
    </row>
    <row r="5306" spans="1:17" x14ac:dyDescent="0.2">
      <c r="A5306" s="30" t="str">
        <f>IF(C5306&amp;G5306&amp;D5306&lt;&gt;'Funnel setup'!$K$3&amp;'Funnel setup'!$K$4&amp;'Funnel setup'!$K$5,".",IF(A5305=".",1,A5305+1))</f>
        <v>.</v>
      </c>
      <c r="B5306" s="431" t="str">
        <f t="shared" si="82"/>
        <v>Knee Replacement RevisionCCG of GP PracticeNHS WEST ESSEX CCG (07H)EQ VAS</v>
      </c>
      <c r="C5306" t="s">
        <v>250</v>
      </c>
      <c r="D5306" t="s">
        <v>87</v>
      </c>
      <c r="E5306" t="s">
        <v>405</v>
      </c>
      <c r="F5306" t="s">
        <v>406</v>
      </c>
      <c r="G5306" t="s">
        <v>179</v>
      </c>
      <c r="H5306" t="s">
        <v>53</v>
      </c>
      <c r="I5306" t="s">
        <v>53</v>
      </c>
      <c r="J5306" t="s">
        <v>53</v>
      </c>
      <c r="K5306" t="s">
        <v>53</v>
      </c>
      <c r="L5306" t="s">
        <v>53</v>
      </c>
      <c r="M5306" t="s">
        <v>53</v>
      </c>
      <c r="N5306" t="s">
        <v>53</v>
      </c>
      <c r="O5306" t="s">
        <v>53</v>
      </c>
      <c r="P5306" t="s">
        <v>53</v>
      </c>
      <c r="Q5306" t="s">
        <v>53</v>
      </c>
    </row>
    <row r="5307" spans="1:17" x14ac:dyDescent="0.2">
      <c r="A5307" s="30" t="str">
        <f>IF(C5307&amp;G5307&amp;D5307&lt;&gt;'Funnel setup'!$K$3&amp;'Funnel setup'!$K$4&amp;'Funnel setup'!$K$5,".",IF(A5306=".",1,A5306+1))</f>
        <v>.</v>
      </c>
      <c r="B5307" s="431" t="str">
        <f t="shared" si="82"/>
        <v>Knee Replacement RevisionCCG of GP PracticeNHS WEST HAMPSHIRE CCG (11A)EQ VAS</v>
      </c>
      <c r="C5307" t="s">
        <v>250</v>
      </c>
      <c r="D5307" t="s">
        <v>87</v>
      </c>
      <c r="E5307" t="s">
        <v>444</v>
      </c>
      <c r="F5307" t="s">
        <v>445</v>
      </c>
      <c r="G5307" t="s">
        <v>179</v>
      </c>
      <c r="H5307">
        <v>28</v>
      </c>
      <c r="I5307">
        <v>66.536000000000001</v>
      </c>
      <c r="J5307">
        <v>70.356999999999999</v>
      </c>
      <c r="K5307">
        <v>3.8210000000000002</v>
      </c>
      <c r="L5307">
        <v>15</v>
      </c>
      <c r="M5307">
        <v>5</v>
      </c>
      <c r="N5307">
        <v>8</v>
      </c>
      <c r="O5307" t="s">
        <v>53</v>
      </c>
      <c r="P5307" t="s">
        <v>53</v>
      </c>
      <c r="Q5307" t="s">
        <v>53</v>
      </c>
    </row>
    <row r="5308" spans="1:17" x14ac:dyDescent="0.2">
      <c r="A5308" s="30" t="str">
        <f>IF(C5308&amp;G5308&amp;D5308&lt;&gt;'Funnel setup'!$K$3&amp;'Funnel setup'!$K$4&amp;'Funnel setup'!$K$5,".",IF(A5307=".",1,A5307+1))</f>
        <v>.</v>
      </c>
      <c r="B5308" s="431" t="str">
        <f t="shared" si="82"/>
        <v>Knee Replacement RevisionCCG of GP PracticeNHS WEST KENT CCG (99J)EQ VAS</v>
      </c>
      <c r="C5308" t="s">
        <v>250</v>
      </c>
      <c r="D5308" t="s">
        <v>87</v>
      </c>
      <c r="E5308" t="s">
        <v>447</v>
      </c>
      <c r="F5308" t="s">
        <v>448</v>
      </c>
      <c r="G5308" t="s">
        <v>179</v>
      </c>
      <c r="H5308">
        <v>6</v>
      </c>
      <c r="I5308">
        <v>82.332999999999998</v>
      </c>
      <c r="J5308">
        <v>83.167000000000002</v>
      </c>
      <c r="K5308">
        <v>0.83299999999999996</v>
      </c>
      <c r="L5308">
        <v>2</v>
      </c>
      <c r="M5308">
        <v>1</v>
      </c>
      <c r="N5308">
        <v>3</v>
      </c>
      <c r="O5308" t="s">
        <v>53</v>
      </c>
      <c r="P5308" t="s">
        <v>53</v>
      </c>
      <c r="Q5308" t="s">
        <v>53</v>
      </c>
    </row>
    <row r="5309" spans="1:17" x14ac:dyDescent="0.2">
      <c r="A5309" s="30" t="str">
        <f>IF(C5309&amp;G5309&amp;D5309&lt;&gt;'Funnel setup'!$K$3&amp;'Funnel setup'!$K$4&amp;'Funnel setup'!$K$5,".",IF(A5308=".",1,A5308+1))</f>
        <v>.</v>
      </c>
      <c r="B5309" s="431" t="str">
        <f t="shared" si="82"/>
        <v>Knee Replacement RevisionCCG of GP PracticeNHS WEST LANCASHIRE CCG (02G)EQ VAS</v>
      </c>
      <c r="C5309" t="s">
        <v>250</v>
      </c>
      <c r="D5309" t="s">
        <v>87</v>
      </c>
      <c r="E5309" t="s">
        <v>450</v>
      </c>
      <c r="F5309" t="s">
        <v>451</v>
      </c>
      <c r="G5309" t="s">
        <v>179</v>
      </c>
      <c r="H5309" t="s">
        <v>53</v>
      </c>
      <c r="I5309" t="s">
        <v>53</v>
      </c>
      <c r="J5309" t="s">
        <v>53</v>
      </c>
      <c r="K5309" t="s">
        <v>53</v>
      </c>
      <c r="L5309" t="s">
        <v>53</v>
      </c>
      <c r="M5309" t="s">
        <v>53</v>
      </c>
      <c r="N5309" t="s">
        <v>53</v>
      </c>
      <c r="O5309" t="s">
        <v>53</v>
      </c>
      <c r="P5309" t="s">
        <v>53</v>
      </c>
      <c r="Q5309" t="s">
        <v>53</v>
      </c>
    </row>
    <row r="5310" spans="1:17" x14ac:dyDescent="0.2">
      <c r="A5310" s="30" t="str">
        <f>IF(C5310&amp;G5310&amp;D5310&lt;&gt;'Funnel setup'!$K$3&amp;'Funnel setup'!$K$4&amp;'Funnel setup'!$K$5,".",IF(A5309=".",1,A5309+1))</f>
        <v>.</v>
      </c>
      <c r="B5310" s="431" t="str">
        <f t="shared" si="82"/>
        <v>Knee Replacement RevisionCCG of GP PracticeNHS WEST LEICESTERSHIRE CCG (04V)EQ VAS</v>
      </c>
      <c r="C5310" t="s">
        <v>250</v>
      </c>
      <c r="D5310" t="s">
        <v>87</v>
      </c>
      <c r="E5310" t="s">
        <v>453</v>
      </c>
      <c r="F5310" t="s">
        <v>454</v>
      </c>
      <c r="G5310" t="s">
        <v>179</v>
      </c>
      <c r="H5310">
        <v>10</v>
      </c>
      <c r="I5310">
        <v>62</v>
      </c>
      <c r="J5310">
        <v>66</v>
      </c>
      <c r="K5310">
        <v>4</v>
      </c>
      <c r="L5310">
        <v>5</v>
      </c>
      <c r="M5310">
        <v>2</v>
      </c>
      <c r="N5310">
        <v>3</v>
      </c>
      <c r="O5310" t="s">
        <v>53</v>
      </c>
      <c r="P5310" t="s">
        <v>53</v>
      </c>
      <c r="Q5310" t="s">
        <v>53</v>
      </c>
    </row>
    <row r="5311" spans="1:17" x14ac:dyDescent="0.2">
      <c r="A5311" s="30" t="str">
        <f>IF(C5311&amp;G5311&amp;D5311&lt;&gt;'Funnel setup'!$K$3&amp;'Funnel setup'!$K$4&amp;'Funnel setup'!$K$5,".",IF(A5310=".",1,A5310+1))</f>
        <v>.</v>
      </c>
      <c r="B5311" s="431" t="str">
        <f t="shared" si="82"/>
        <v>Knee Replacement RevisionCCG of GP PracticeNHS WEST LONDON CCG (08Y)EQ VAS</v>
      </c>
      <c r="C5311" t="s">
        <v>250</v>
      </c>
      <c r="D5311" t="s">
        <v>87</v>
      </c>
      <c r="E5311" t="s">
        <v>456</v>
      </c>
      <c r="F5311" t="s">
        <v>457</v>
      </c>
      <c r="G5311" t="s">
        <v>179</v>
      </c>
      <c r="H5311" t="s">
        <v>53</v>
      </c>
      <c r="I5311" t="s">
        <v>53</v>
      </c>
      <c r="J5311" t="s">
        <v>53</v>
      </c>
      <c r="K5311" t="s">
        <v>53</v>
      </c>
      <c r="L5311" t="s">
        <v>53</v>
      </c>
      <c r="M5311" t="s">
        <v>53</v>
      </c>
      <c r="N5311" t="s">
        <v>53</v>
      </c>
      <c r="O5311" t="s">
        <v>53</v>
      </c>
      <c r="P5311" t="s">
        <v>53</v>
      </c>
      <c r="Q5311" t="s">
        <v>53</v>
      </c>
    </row>
    <row r="5312" spans="1:17" x14ac:dyDescent="0.2">
      <c r="A5312" s="30" t="str">
        <f>IF(C5312&amp;G5312&amp;D5312&lt;&gt;'Funnel setup'!$K$3&amp;'Funnel setup'!$K$4&amp;'Funnel setup'!$K$5,".",IF(A5311=".",1,A5311+1))</f>
        <v>.</v>
      </c>
      <c r="B5312" s="431" t="str">
        <f t="shared" si="82"/>
        <v>Knee Replacement RevisionCCG of GP PracticeNHS WEST NORFOLK CCG (07J)EQ VAS</v>
      </c>
      <c r="C5312" t="s">
        <v>250</v>
      </c>
      <c r="D5312" t="s">
        <v>87</v>
      </c>
      <c r="E5312" t="s">
        <v>459</v>
      </c>
      <c r="F5312" t="s">
        <v>460</v>
      </c>
      <c r="G5312" t="s">
        <v>179</v>
      </c>
      <c r="H5312">
        <v>13</v>
      </c>
      <c r="I5312">
        <v>69.923000000000002</v>
      </c>
      <c r="J5312">
        <v>60</v>
      </c>
      <c r="K5312">
        <v>-9.923</v>
      </c>
      <c r="L5312">
        <v>4</v>
      </c>
      <c r="M5312">
        <v>1</v>
      </c>
      <c r="N5312">
        <v>8</v>
      </c>
      <c r="O5312" t="s">
        <v>53</v>
      </c>
      <c r="P5312" t="s">
        <v>53</v>
      </c>
      <c r="Q5312" t="s">
        <v>53</v>
      </c>
    </row>
    <row r="5313" spans="1:17" x14ac:dyDescent="0.2">
      <c r="A5313" s="30" t="str">
        <f>IF(C5313&amp;G5313&amp;D5313&lt;&gt;'Funnel setup'!$K$3&amp;'Funnel setup'!$K$4&amp;'Funnel setup'!$K$5,".",IF(A5312=".",1,A5312+1))</f>
        <v>.</v>
      </c>
      <c r="B5313" s="431" t="str">
        <f t="shared" si="82"/>
        <v>Knee Replacement RevisionCCG of GP PracticeNHS WEST SUFFOLK CCG (07K)EQ VAS</v>
      </c>
      <c r="C5313" t="s">
        <v>250</v>
      </c>
      <c r="D5313" t="s">
        <v>87</v>
      </c>
      <c r="E5313" t="s">
        <v>462</v>
      </c>
      <c r="F5313" t="s">
        <v>463</v>
      </c>
      <c r="G5313" t="s">
        <v>179</v>
      </c>
      <c r="H5313">
        <v>6</v>
      </c>
      <c r="I5313">
        <v>60</v>
      </c>
      <c r="J5313">
        <v>43.332999999999998</v>
      </c>
      <c r="K5313">
        <v>-16.667000000000002</v>
      </c>
      <c r="L5313">
        <v>2</v>
      </c>
      <c r="M5313">
        <v>0</v>
      </c>
      <c r="N5313">
        <v>4</v>
      </c>
      <c r="O5313" t="s">
        <v>53</v>
      </c>
      <c r="P5313" t="s">
        <v>53</v>
      </c>
      <c r="Q5313" t="s">
        <v>53</v>
      </c>
    </row>
    <row r="5314" spans="1:17" x14ac:dyDescent="0.2">
      <c r="A5314" s="30" t="str">
        <f>IF(C5314&amp;G5314&amp;D5314&lt;&gt;'Funnel setup'!$K$3&amp;'Funnel setup'!$K$4&amp;'Funnel setup'!$K$5,".",IF(A5313=".",1,A5313+1))</f>
        <v>.</v>
      </c>
      <c r="B5314" s="431" t="str">
        <f t="shared" si="82"/>
        <v>Knee Replacement RevisionCCG of GP PracticeNHS WIGAN BOROUGH CCG (02H)EQ VAS</v>
      </c>
      <c r="C5314" t="s">
        <v>250</v>
      </c>
      <c r="D5314" t="s">
        <v>87</v>
      </c>
      <c r="E5314" t="s">
        <v>465</v>
      </c>
      <c r="F5314" t="s">
        <v>466</v>
      </c>
      <c r="G5314" t="s">
        <v>179</v>
      </c>
      <c r="H5314">
        <v>6</v>
      </c>
      <c r="I5314">
        <v>80.832999999999998</v>
      </c>
      <c r="J5314">
        <v>81.832999999999998</v>
      </c>
      <c r="K5314">
        <v>1</v>
      </c>
      <c r="L5314">
        <v>3</v>
      </c>
      <c r="M5314">
        <v>1</v>
      </c>
      <c r="N5314">
        <v>2</v>
      </c>
      <c r="O5314" t="s">
        <v>53</v>
      </c>
      <c r="P5314" t="s">
        <v>53</v>
      </c>
      <c r="Q5314" t="s">
        <v>53</v>
      </c>
    </row>
    <row r="5315" spans="1:17" x14ac:dyDescent="0.2">
      <c r="A5315" s="30" t="str">
        <f>IF(C5315&amp;G5315&amp;D5315&lt;&gt;'Funnel setup'!$K$3&amp;'Funnel setup'!$K$4&amp;'Funnel setup'!$K$5,".",IF(A5314=".",1,A5314+1))</f>
        <v>.</v>
      </c>
      <c r="B5315" s="431" t="str">
        <f t="shared" ref="B5315:B5378" si="83">C5315&amp;D5315&amp;F5315&amp;G5315</f>
        <v>Knee Replacement RevisionCCG of GP PracticeNHS WILTSHIRE CCG (99N)EQ VAS</v>
      </c>
      <c r="C5315" t="s">
        <v>250</v>
      </c>
      <c r="D5315" t="s">
        <v>87</v>
      </c>
      <c r="E5315" t="s">
        <v>468</v>
      </c>
      <c r="F5315" t="s">
        <v>469</v>
      </c>
      <c r="G5315" t="s">
        <v>179</v>
      </c>
      <c r="H5315">
        <v>31</v>
      </c>
      <c r="I5315">
        <v>63.258000000000003</v>
      </c>
      <c r="J5315">
        <v>62.871000000000002</v>
      </c>
      <c r="K5315">
        <v>-0.38700000000000001</v>
      </c>
      <c r="L5315">
        <v>15</v>
      </c>
      <c r="M5315">
        <v>2</v>
      </c>
      <c r="N5315">
        <v>14</v>
      </c>
      <c r="O5315">
        <v>63.738</v>
      </c>
      <c r="P5315">
        <v>-0.718435767</v>
      </c>
      <c r="Q5315">
        <v>21.056000000000001</v>
      </c>
    </row>
    <row r="5316" spans="1:17" x14ac:dyDescent="0.2">
      <c r="A5316" s="30" t="str">
        <f>IF(C5316&amp;G5316&amp;D5316&lt;&gt;'Funnel setup'!$K$3&amp;'Funnel setup'!$K$4&amp;'Funnel setup'!$K$5,".",IF(A5315=".",1,A5315+1))</f>
        <v>.</v>
      </c>
      <c r="B5316" s="431" t="str">
        <f t="shared" si="83"/>
        <v>Knee Replacement RevisionCCG of GP PracticeNHS WINDSOR, ASCOT AND MAIDENHEAD CCG (11C)EQ VAS</v>
      </c>
      <c r="C5316" t="s">
        <v>250</v>
      </c>
      <c r="D5316" t="s">
        <v>87</v>
      </c>
      <c r="E5316" t="s">
        <v>471</v>
      </c>
      <c r="F5316" t="s">
        <v>472</v>
      </c>
      <c r="G5316" t="s">
        <v>179</v>
      </c>
      <c r="H5316" t="s">
        <v>53</v>
      </c>
      <c r="I5316" t="s">
        <v>53</v>
      </c>
      <c r="J5316" t="s">
        <v>53</v>
      </c>
      <c r="K5316" t="s">
        <v>53</v>
      </c>
      <c r="L5316" t="s">
        <v>53</v>
      </c>
      <c r="M5316" t="s">
        <v>53</v>
      </c>
      <c r="N5316" t="s">
        <v>53</v>
      </c>
      <c r="O5316" t="s">
        <v>53</v>
      </c>
      <c r="P5316" t="s">
        <v>53</v>
      </c>
      <c r="Q5316" t="s">
        <v>53</v>
      </c>
    </row>
    <row r="5317" spans="1:17" x14ac:dyDescent="0.2">
      <c r="A5317" s="30" t="str">
        <f>IF(C5317&amp;G5317&amp;D5317&lt;&gt;'Funnel setup'!$K$3&amp;'Funnel setup'!$K$4&amp;'Funnel setup'!$K$5,".",IF(A5316=".",1,A5316+1))</f>
        <v>.</v>
      </c>
      <c r="B5317" s="431" t="str">
        <f t="shared" si="83"/>
        <v>Knee Replacement RevisionCCG of GP PracticeNHS WIRRAL CCG (12F)EQ VAS</v>
      </c>
      <c r="C5317" t="s">
        <v>250</v>
      </c>
      <c r="D5317" t="s">
        <v>87</v>
      </c>
      <c r="E5317" t="s">
        <v>474</v>
      </c>
      <c r="F5317" t="s">
        <v>475</v>
      </c>
      <c r="G5317" t="s">
        <v>179</v>
      </c>
      <c r="H5317" t="s">
        <v>53</v>
      </c>
      <c r="I5317" t="s">
        <v>53</v>
      </c>
      <c r="J5317" t="s">
        <v>53</v>
      </c>
      <c r="K5317" t="s">
        <v>53</v>
      </c>
      <c r="L5317" t="s">
        <v>53</v>
      </c>
      <c r="M5317" t="s">
        <v>53</v>
      </c>
      <c r="N5317" t="s">
        <v>53</v>
      </c>
      <c r="O5317" t="s">
        <v>53</v>
      </c>
      <c r="P5317" t="s">
        <v>53</v>
      </c>
      <c r="Q5317" t="s">
        <v>53</v>
      </c>
    </row>
    <row r="5318" spans="1:17" x14ac:dyDescent="0.2">
      <c r="A5318" s="30" t="str">
        <f>IF(C5318&amp;G5318&amp;D5318&lt;&gt;'Funnel setup'!$K$3&amp;'Funnel setup'!$K$4&amp;'Funnel setup'!$K$5,".",IF(A5317=".",1,A5317+1))</f>
        <v>.</v>
      </c>
      <c r="B5318" s="431" t="str">
        <f t="shared" si="83"/>
        <v>Knee Replacement RevisionCCG of GP PracticeNHS WOKINGHAM CCG (11D)EQ VAS</v>
      </c>
      <c r="C5318" t="s">
        <v>250</v>
      </c>
      <c r="D5318" t="s">
        <v>87</v>
      </c>
      <c r="E5318" t="s">
        <v>477</v>
      </c>
      <c r="F5318" t="s">
        <v>478</v>
      </c>
      <c r="G5318" t="s">
        <v>179</v>
      </c>
      <c r="H5318" t="s">
        <v>53</v>
      </c>
      <c r="I5318" t="s">
        <v>53</v>
      </c>
      <c r="J5318" t="s">
        <v>53</v>
      </c>
      <c r="K5318" t="s">
        <v>53</v>
      </c>
      <c r="L5318" t="s">
        <v>53</v>
      </c>
      <c r="M5318" t="s">
        <v>53</v>
      </c>
      <c r="N5318" t="s">
        <v>53</v>
      </c>
      <c r="O5318" t="s">
        <v>53</v>
      </c>
      <c r="P5318" t="s">
        <v>53</v>
      </c>
      <c r="Q5318" t="s">
        <v>53</v>
      </c>
    </row>
    <row r="5319" spans="1:17" x14ac:dyDescent="0.2">
      <c r="A5319" s="30" t="str">
        <f>IF(C5319&amp;G5319&amp;D5319&lt;&gt;'Funnel setup'!$K$3&amp;'Funnel setup'!$K$4&amp;'Funnel setup'!$K$5,".",IF(A5318=".",1,A5318+1))</f>
        <v>.</v>
      </c>
      <c r="B5319" s="431" t="str">
        <f t="shared" si="83"/>
        <v>Knee Replacement RevisionCCG of GP PracticeNHS WOLVERHAMPTON CCG (06A)EQ VAS</v>
      </c>
      <c r="C5319" t="s">
        <v>250</v>
      </c>
      <c r="D5319" t="s">
        <v>87</v>
      </c>
      <c r="E5319" t="s">
        <v>480</v>
      </c>
      <c r="F5319" t="s">
        <v>481</v>
      </c>
      <c r="G5319" t="s">
        <v>179</v>
      </c>
      <c r="H5319">
        <v>6</v>
      </c>
      <c r="I5319">
        <v>64.167000000000002</v>
      </c>
      <c r="J5319">
        <v>64.667000000000002</v>
      </c>
      <c r="K5319">
        <v>0.5</v>
      </c>
      <c r="L5319">
        <v>2</v>
      </c>
      <c r="M5319">
        <v>1</v>
      </c>
      <c r="N5319">
        <v>3</v>
      </c>
      <c r="O5319" t="s">
        <v>53</v>
      </c>
      <c r="P5319" t="s">
        <v>53</v>
      </c>
      <c r="Q5319" t="s">
        <v>53</v>
      </c>
    </row>
    <row r="5320" spans="1:17" x14ac:dyDescent="0.2">
      <c r="A5320" s="30" t="str">
        <f>IF(C5320&amp;G5320&amp;D5320&lt;&gt;'Funnel setup'!$K$3&amp;'Funnel setup'!$K$4&amp;'Funnel setup'!$K$5,".",IF(A5319=".",1,A5319+1))</f>
        <v>.</v>
      </c>
      <c r="B5320" s="431" t="str">
        <f t="shared" si="83"/>
        <v>Knee Replacement RevisionCCG of GP PracticeNHS WYRE FOREST CCG (06D)EQ VAS</v>
      </c>
      <c r="C5320" t="s">
        <v>250</v>
      </c>
      <c r="D5320" t="s">
        <v>87</v>
      </c>
      <c r="E5320" t="s">
        <v>483</v>
      </c>
      <c r="F5320" t="s">
        <v>484</v>
      </c>
      <c r="G5320" t="s">
        <v>179</v>
      </c>
      <c r="H5320" t="s">
        <v>53</v>
      </c>
      <c r="I5320" t="s">
        <v>53</v>
      </c>
      <c r="J5320" t="s">
        <v>53</v>
      </c>
      <c r="K5320" t="s">
        <v>53</v>
      </c>
      <c r="L5320" t="s">
        <v>53</v>
      </c>
      <c r="M5320" t="s">
        <v>53</v>
      </c>
      <c r="N5320" t="s">
        <v>53</v>
      </c>
      <c r="O5320" t="s">
        <v>53</v>
      </c>
      <c r="P5320" t="s">
        <v>53</v>
      </c>
      <c r="Q5320" t="s">
        <v>53</v>
      </c>
    </row>
    <row r="5321" spans="1:17" x14ac:dyDescent="0.2">
      <c r="A5321" s="30" t="str">
        <f>IF(C5321&amp;G5321&amp;D5321&lt;&gt;'Funnel setup'!$K$3&amp;'Funnel setup'!$K$4&amp;'Funnel setup'!$K$5,".",IF(A5320=".",1,A5320+1))</f>
        <v>.</v>
      </c>
      <c r="B5321" s="431" t="str">
        <f t="shared" si="83"/>
        <v>Knee Replacement RevisionCCG of GP PracticeNHS AIREDALE, WHARFEDALE AND CRAVEN CCG (02N)EQ-5D Index</v>
      </c>
      <c r="C5321" t="s">
        <v>250</v>
      </c>
      <c r="D5321" t="s">
        <v>87</v>
      </c>
      <c r="E5321" t="s">
        <v>566</v>
      </c>
      <c r="F5321" t="s">
        <v>567</v>
      </c>
      <c r="G5321" t="s">
        <v>52</v>
      </c>
      <c r="H5321" t="s">
        <v>53</v>
      </c>
      <c r="I5321" t="s">
        <v>53</v>
      </c>
      <c r="J5321" t="s">
        <v>53</v>
      </c>
      <c r="K5321" t="s">
        <v>53</v>
      </c>
      <c r="L5321" t="s">
        <v>53</v>
      </c>
      <c r="M5321" t="s">
        <v>53</v>
      </c>
      <c r="N5321" t="s">
        <v>53</v>
      </c>
      <c r="O5321" t="s">
        <v>53</v>
      </c>
      <c r="P5321" t="s">
        <v>53</v>
      </c>
      <c r="Q5321" t="s">
        <v>53</v>
      </c>
    </row>
    <row r="5322" spans="1:17" x14ac:dyDescent="0.2">
      <c r="A5322" s="30" t="str">
        <f>IF(C5322&amp;G5322&amp;D5322&lt;&gt;'Funnel setup'!$K$3&amp;'Funnel setup'!$K$4&amp;'Funnel setup'!$K$5,".",IF(A5321=".",1,A5321+1))</f>
        <v>.</v>
      </c>
      <c r="B5322" s="431" t="str">
        <f t="shared" si="83"/>
        <v>Knee Replacement RevisionCCG of GP PracticeNHS ASHFORD CCG (09C)EQ-5D Index</v>
      </c>
      <c r="C5322" t="s">
        <v>250</v>
      </c>
      <c r="D5322" t="s">
        <v>87</v>
      </c>
      <c r="E5322" t="s">
        <v>569</v>
      </c>
      <c r="F5322" t="s">
        <v>339</v>
      </c>
      <c r="G5322" t="s">
        <v>52</v>
      </c>
      <c r="H5322" t="s">
        <v>53</v>
      </c>
      <c r="I5322" t="s">
        <v>53</v>
      </c>
      <c r="J5322" t="s">
        <v>53</v>
      </c>
      <c r="K5322" t="s">
        <v>53</v>
      </c>
      <c r="L5322" t="s">
        <v>53</v>
      </c>
      <c r="M5322" t="s">
        <v>53</v>
      </c>
      <c r="N5322" t="s">
        <v>53</v>
      </c>
      <c r="O5322" t="s">
        <v>53</v>
      </c>
      <c r="P5322" t="s">
        <v>53</v>
      </c>
      <c r="Q5322" t="s">
        <v>53</v>
      </c>
    </row>
    <row r="5323" spans="1:17" x14ac:dyDescent="0.2">
      <c r="A5323" s="30" t="str">
        <f>IF(C5323&amp;G5323&amp;D5323&lt;&gt;'Funnel setup'!$K$3&amp;'Funnel setup'!$K$4&amp;'Funnel setup'!$K$5,".",IF(A5322=".",1,A5322+1))</f>
        <v>.</v>
      </c>
      <c r="B5323" s="431" t="str">
        <f t="shared" si="83"/>
        <v>Knee Replacement RevisionCCG of GP PracticeNHS AYLESBURY VALE CCG (10Y)EQ-5D Index</v>
      </c>
      <c r="C5323" t="s">
        <v>250</v>
      </c>
      <c r="D5323" t="s">
        <v>87</v>
      </c>
      <c r="E5323" t="s">
        <v>571</v>
      </c>
      <c r="F5323" t="s">
        <v>572</v>
      </c>
      <c r="G5323" t="s">
        <v>52</v>
      </c>
      <c r="H5323" t="s">
        <v>53</v>
      </c>
      <c r="I5323" t="s">
        <v>53</v>
      </c>
      <c r="J5323" t="s">
        <v>53</v>
      </c>
      <c r="K5323" t="s">
        <v>53</v>
      </c>
      <c r="L5323" t="s">
        <v>53</v>
      </c>
      <c r="M5323" t="s">
        <v>53</v>
      </c>
      <c r="N5323" t="s">
        <v>53</v>
      </c>
      <c r="O5323" t="s">
        <v>53</v>
      </c>
      <c r="P5323" t="s">
        <v>53</v>
      </c>
      <c r="Q5323" t="s">
        <v>53</v>
      </c>
    </row>
    <row r="5324" spans="1:17" x14ac:dyDescent="0.2">
      <c r="A5324" s="30" t="str">
        <f>IF(C5324&amp;G5324&amp;D5324&lt;&gt;'Funnel setup'!$K$3&amp;'Funnel setup'!$K$4&amp;'Funnel setup'!$K$5,".",IF(A5323=".",1,A5323+1))</f>
        <v>.</v>
      </c>
      <c r="B5324" s="431" t="str">
        <f t="shared" si="83"/>
        <v>Knee Replacement RevisionCCG of GP PracticeNHS BARNET CCG (07M)EQ-5D Index</v>
      </c>
      <c r="C5324" t="s">
        <v>250</v>
      </c>
      <c r="D5324" t="s">
        <v>87</v>
      </c>
      <c r="E5324" t="s">
        <v>577</v>
      </c>
      <c r="F5324" t="s">
        <v>578</v>
      </c>
      <c r="G5324" t="s">
        <v>52</v>
      </c>
      <c r="H5324" t="s">
        <v>53</v>
      </c>
      <c r="I5324" t="s">
        <v>53</v>
      </c>
      <c r="J5324" t="s">
        <v>53</v>
      </c>
      <c r="K5324" t="s">
        <v>53</v>
      </c>
      <c r="L5324" t="s">
        <v>53</v>
      </c>
      <c r="M5324" t="s">
        <v>53</v>
      </c>
      <c r="N5324" t="s">
        <v>53</v>
      </c>
      <c r="O5324" t="s">
        <v>53</v>
      </c>
      <c r="P5324" t="s">
        <v>53</v>
      </c>
      <c r="Q5324" t="s">
        <v>53</v>
      </c>
    </row>
    <row r="5325" spans="1:17" x14ac:dyDescent="0.2">
      <c r="A5325" s="30" t="str">
        <f>IF(C5325&amp;G5325&amp;D5325&lt;&gt;'Funnel setup'!$K$3&amp;'Funnel setup'!$K$4&amp;'Funnel setup'!$K$5,".",IF(A5324=".",1,A5324+1))</f>
        <v>.</v>
      </c>
      <c r="B5325" s="431" t="str">
        <f t="shared" si="83"/>
        <v>Knee Replacement RevisionCCG of GP PracticeNHS BARNSLEY CCG (02P)EQ-5D Index</v>
      </c>
      <c r="C5325" t="s">
        <v>250</v>
      </c>
      <c r="D5325" t="s">
        <v>87</v>
      </c>
      <c r="E5325" t="s">
        <v>580</v>
      </c>
      <c r="F5325" t="s">
        <v>581</v>
      </c>
      <c r="G5325" t="s">
        <v>52</v>
      </c>
      <c r="H5325">
        <v>17</v>
      </c>
      <c r="I5325">
        <v>0.3</v>
      </c>
      <c r="J5325">
        <v>0.63</v>
      </c>
      <c r="K5325">
        <v>0.33</v>
      </c>
      <c r="L5325">
        <v>14</v>
      </c>
      <c r="M5325">
        <v>1</v>
      </c>
      <c r="N5325">
        <v>2</v>
      </c>
      <c r="O5325" t="s">
        <v>53</v>
      </c>
      <c r="P5325" t="s">
        <v>53</v>
      </c>
      <c r="Q5325" t="s">
        <v>53</v>
      </c>
    </row>
    <row r="5326" spans="1:17" x14ac:dyDescent="0.2">
      <c r="A5326" s="30" t="str">
        <f>IF(C5326&amp;G5326&amp;D5326&lt;&gt;'Funnel setup'!$K$3&amp;'Funnel setup'!$K$4&amp;'Funnel setup'!$K$5,".",IF(A5325=".",1,A5325+1))</f>
        <v>.</v>
      </c>
      <c r="B5326" s="431" t="str">
        <f t="shared" si="83"/>
        <v>Knee Replacement RevisionCCG of GP PracticeNHS BASILDON AND BRENTWOOD CCG (99E)EQ-5D Index</v>
      </c>
      <c r="C5326" t="s">
        <v>250</v>
      </c>
      <c r="D5326" t="s">
        <v>87</v>
      </c>
      <c r="E5326" t="s">
        <v>583</v>
      </c>
      <c r="F5326" t="s">
        <v>584</v>
      </c>
      <c r="G5326" t="s">
        <v>52</v>
      </c>
      <c r="H5326">
        <v>11</v>
      </c>
      <c r="I5326">
        <v>0.35799999999999998</v>
      </c>
      <c r="J5326">
        <v>0.59599999999999997</v>
      </c>
      <c r="K5326">
        <v>0.23799999999999999</v>
      </c>
      <c r="L5326">
        <v>8</v>
      </c>
      <c r="M5326">
        <v>1</v>
      </c>
      <c r="N5326">
        <v>2</v>
      </c>
      <c r="O5326" t="s">
        <v>53</v>
      </c>
      <c r="P5326" t="s">
        <v>53</v>
      </c>
      <c r="Q5326" t="s">
        <v>53</v>
      </c>
    </row>
    <row r="5327" spans="1:17" x14ac:dyDescent="0.2">
      <c r="A5327" s="30" t="str">
        <f>IF(C5327&amp;G5327&amp;D5327&lt;&gt;'Funnel setup'!$K$3&amp;'Funnel setup'!$K$4&amp;'Funnel setup'!$K$5,".",IF(A5326=".",1,A5326+1))</f>
        <v>.</v>
      </c>
      <c r="B5327" s="431" t="str">
        <f t="shared" si="83"/>
        <v>Knee Replacement RevisionCCG of GP PracticeNHS BASSETLAW CCG (02Q)EQ-5D Index</v>
      </c>
      <c r="C5327" t="s">
        <v>250</v>
      </c>
      <c r="D5327" t="s">
        <v>87</v>
      </c>
      <c r="E5327" t="s">
        <v>586</v>
      </c>
      <c r="F5327" t="s">
        <v>587</v>
      </c>
      <c r="G5327" t="s">
        <v>52</v>
      </c>
      <c r="H5327">
        <v>6</v>
      </c>
      <c r="I5327">
        <v>0.28999999999999998</v>
      </c>
      <c r="J5327">
        <v>0.313</v>
      </c>
      <c r="K5327">
        <v>2.3E-2</v>
      </c>
      <c r="L5327">
        <v>4</v>
      </c>
      <c r="M5327">
        <v>0</v>
      </c>
      <c r="N5327">
        <v>2</v>
      </c>
      <c r="O5327" t="s">
        <v>53</v>
      </c>
      <c r="P5327" t="s">
        <v>53</v>
      </c>
      <c r="Q5327" t="s">
        <v>53</v>
      </c>
    </row>
    <row r="5328" spans="1:17" x14ac:dyDescent="0.2">
      <c r="A5328" s="30" t="str">
        <f>IF(C5328&amp;G5328&amp;D5328&lt;&gt;'Funnel setup'!$K$3&amp;'Funnel setup'!$K$4&amp;'Funnel setup'!$K$5,".",IF(A5327=".",1,A5327+1))</f>
        <v>.</v>
      </c>
      <c r="B5328" s="431" t="str">
        <f t="shared" si="83"/>
        <v>Knee Replacement RevisionCCG of GP PracticeNHS BATH AND NORTH EAST SOMERSET CCG (11E)EQ-5D Index</v>
      </c>
      <c r="C5328" t="s">
        <v>250</v>
      </c>
      <c r="D5328" t="s">
        <v>87</v>
      </c>
      <c r="E5328" t="s">
        <v>589</v>
      </c>
      <c r="F5328" t="s">
        <v>590</v>
      </c>
      <c r="G5328" t="s">
        <v>52</v>
      </c>
      <c r="H5328">
        <v>6</v>
      </c>
      <c r="I5328">
        <v>0.32200000000000001</v>
      </c>
      <c r="J5328">
        <v>0.73399999999999999</v>
      </c>
      <c r="K5328">
        <v>0.41099999999999998</v>
      </c>
      <c r="L5328">
        <v>5</v>
      </c>
      <c r="M5328">
        <v>1</v>
      </c>
      <c r="N5328">
        <v>0</v>
      </c>
      <c r="O5328" t="s">
        <v>53</v>
      </c>
      <c r="P5328" t="s">
        <v>53</v>
      </c>
      <c r="Q5328" t="s">
        <v>53</v>
      </c>
    </row>
    <row r="5329" spans="1:17" x14ac:dyDescent="0.2">
      <c r="A5329" s="30" t="str">
        <f>IF(C5329&amp;G5329&amp;D5329&lt;&gt;'Funnel setup'!$K$3&amp;'Funnel setup'!$K$4&amp;'Funnel setup'!$K$5,".",IF(A5328=".",1,A5328+1))</f>
        <v>.</v>
      </c>
      <c r="B5329" s="431" t="str">
        <f t="shared" si="83"/>
        <v>Knee Replacement RevisionCCG of GP PracticeNHS BEDFORDSHIRE CCG (06F)EQ-5D Index</v>
      </c>
      <c r="C5329" t="s">
        <v>250</v>
      </c>
      <c r="D5329" t="s">
        <v>87</v>
      </c>
      <c r="E5329" t="s">
        <v>592</v>
      </c>
      <c r="F5329" t="s">
        <v>593</v>
      </c>
      <c r="G5329" t="s">
        <v>52</v>
      </c>
      <c r="H5329">
        <v>12</v>
      </c>
      <c r="I5329">
        <v>0.40400000000000003</v>
      </c>
      <c r="J5329">
        <v>0.71699999999999997</v>
      </c>
      <c r="K5329">
        <v>0.313</v>
      </c>
      <c r="L5329">
        <v>11</v>
      </c>
      <c r="M5329">
        <v>1</v>
      </c>
      <c r="N5329">
        <v>0</v>
      </c>
      <c r="O5329" t="s">
        <v>53</v>
      </c>
      <c r="P5329" t="s">
        <v>53</v>
      </c>
      <c r="Q5329" t="s">
        <v>53</v>
      </c>
    </row>
    <row r="5330" spans="1:17" x14ac:dyDescent="0.2">
      <c r="A5330" s="30" t="str">
        <f>IF(C5330&amp;G5330&amp;D5330&lt;&gt;'Funnel setup'!$K$3&amp;'Funnel setup'!$K$4&amp;'Funnel setup'!$K$5,".",IF(A5329=".",1,A5329+1))</f>
        <v>.</v>
      </c>
      <c r="B5330" s="431" t="str">
        <f t="shared" si="83"/>
        <v>Knee Replacement RevisionCCG of GP PracticeNHS BEXLEY CCG (07N)EQ-5D Index</v>
      </c>
      <c r="C5330" t="s">
        <v>250</v>
      </c>
      <c r="D5330" t="s">
        <v>87</v>
      </c>
      <c r="E5330" t="s">
        <v>595</v>
      </c>
      <c r="F5330" t="s">
        <v>596</v>
      </c>
      <c r="G5330" t="s">
        <v>52</v>
      </c>
      <c r="H5330" t="s">
        <v>53</v>
      </c>
      <c r="I5330" t="s">
        <v>53</v>
      </c>
      <c r="J5330" t="s">
        <v>53</v>
      </c>
      <c r="K5330" t="s">
        <v>53</v>
      </c>
      <c r="L5330" t="s">
        <v>53</v>
      </c>
      <c r="M5330" t="s">
        <v>53</v>
      </c>
      <c r="N5330" t="s">
        <v>53</v>
      </c>
      <c r="O5330" t="s">
        <v>53</v>
      </c>
      <c r="P5330" t="s">
        <v>53</v>
      </c>
      <c r="Q5330" t="s">
        <v>53</v>
      </c>
    </row>
    <row r="5331" spans="1:17" x14ac:dyDescent="0.2">
      <c r="A5331" s="30" t="str">
        <f>IF(C5331&amp;G5331&amp;D5331&lt;&gt;'Funnel setup'!$K$3&amp;'Funnel setup'!$K$4&amp;'Funnel setup'!$K$5,".",IF(A5330=".",1,A5330+1))</f>
        <v>.</v>
      </c>
      <c r="B5331" s="431" t="str">
        <f t="shared" si="83"/>
        <v>Knee Replacement RevisionCCG of GP PracticeNHS BIRMINGHAM CROSSCITY CCG (13P)EQ-5D Index</v>
      </c>
      <c r="C5331" t="s">
        <v>250</v>
      </c>
      <c r="D5331" t="s">
        <v>87</v>
      </c>
      <c r="E5331" t="s">
        <v>598</v>
      </c>
      <c r="F5331" t="s">
        <v>599</v>
      </c>
      <c r="G5331" t="s">
        <v>52</v>
      </c>
      <c r="H5331">
        <v>9</v>
      </c>
      <c r="I5331">
        <v>0.16200000000000001</v>
      </c>
      <c r="J5331">
        <v>0.48299999999999998</v>
      </c>
      <c r="K5331">
        <v>0.32100000000000001</v>
      </c>
      <c r="L5331">
        <v>7</v>
      </c>
      <c r="M5331">
        <v>0</v>
      </c>
      <c r="N5331">
        <v>2</v>
      </c>
      <c r="O5331" t="s">
        <v>53</v>
      </c>
      <c r="P5331" t="s">
        <v>53</v>
      </c>
      <c r="Q5331" t="s">
        <v>53</v>
      </c>
    </row>
    <row r="5332" spans="1:17" x14ac:dyDescent="0.2">
      <c r="A5332" s="30" t="str">
        <f>IF(C5332&amp;G5332&amp;D5332&lt;&gt;'Funnel setup'!$K$3&amp;'Funnel setup'!$K$4&amp;'Funnel setup'!$K$5,".",IF(A5331=".",1,A5331+1))</f>
        <v>.</v>
      </c>
      <c r="B5332" s="431" t="str">
        <f t="shared" si="83"/>
        <v>Knee Replacement RevisionCCG of GP PracticeNHS BIRMINGHAM SOUTH AND CENTRAL CCG (04X)EQ-5D Index</v>
      </c>
      <c r="C5332" t="s">
        <v>250</v>
      </c>
      <c r="D5332" t="s">
        <v>87</v>
      </c>
      <c r="E5332" t="s">
        <v>601</v>
      </c>
      <c r="F5332" t="s">
        <v>602</v>
      </c>
      <c r="G5332" t="s">
        <v>52</v>
      </c>
      <c r="H5332" t="s">
        <v>53</v>
      </c>
      <c r="I5332" t="s">
        <v>53</v>
      </c>
      <c r="J5332" t="s">
        <v>53</v>
      </c>
      <c r="K5332" t="s">
        <v>53</v>
      </c>
      <c r="L5332" t="s">
        <v>53</v>
      </c>
      <c r="M5332" t="s">
        <v>53</v>
      </c>
      <c r="N5332" t="s">
        <v>53</v>
      </c>
      <c r="O5332" t="s">
        <v>53</v>
      </c>
      <c r="P5332" t="s">
        <v>53</v>
      </c>
      <c r="Q5332" t="s">
        <v>53</v>
      </c>
    </row>
    <row r="5333" spans="1:17" x14ac:dyDescent="0.2">
      <c r="A5333" s="30" t="str">
        <f>IF(C5333&amp;G5333&amp;D5333&lt;&gt;'Funnel setup'!$K$3&amp;'Funnel setup'!$K$4&amp;'Funnel setup'!$K$5,".",IF(A5332=".",1,A5332+1))</f>
        <v>.</v>
      </c>
      <c r="B5333" s="431" t="str">
        <f t="shared" si="83"/>
        <v>Knee Replacement RevisionCCG of GP PracticeNHS BOLTON CCG (00T)EQ-5D Index</v>
      </c>
      <c r="C5333" t="s">
        <v>250</v>
      </c>
      <c r="D5333" t="s">
        <v>87</v>
      </c>
      <c r="E5333" t="s">
        <v>683</v>
      </c>
      <c r="F5333" t="s">
        <v>684</v>
      </c>
      <c r="G5333" t="s">
        <v>52</v>
      </c>
      <c r="H5333">
        <v>9</v>
      </c>
      <c r="I5333">
        <v>7.1999999999999995E-2</v>
      </c>
      <c r="J5333">
        <v>0.33900000000000002</v>
      </c>
      <c r="K5333">
        <v>0.26700000000000002</v>
      </c>
      <c r="L5333">
        <v>7</v>
      </c>
      <c r="M5333">
        <v>1</v>
      </c>
      <c r="N5333">
        <v>1</v>
      </c>
      <c r="O5333" t="s">
        <v>53</v>
      </c>
      <c r="P5333" t="s">
        <v>53</v>
      </c>
      <c r="Q5333" t="s">
        <v>53</v>
      </c>
    </row>
    <row r="5334" spans="1:17" x14ac:dyDescent="0.2">
      <c r="A5334" s="30" t="str">
        <f>IF(C5334&amp;G5334&amp;D5334&lt;&gt;'Funnel setup'!$K$3&amp;'Funnel setup'!$K$4&amp;'Funnel setup'!$K$5,".",IF(A5333=".",1,A5333+1))</f>
        <v>.</v>
      </c>
      <c r="B5334" s="431" t="str">
        <f t="shared" si="83"/>
        <v>Knee Replacement RevisionCCG of GP PracticeNHS BRACKNELL AND ASCOT CCG (10G)EQ-5D Index</v>
      </c>
      <c r="C5334" t="s">
        <v>250</v>
      </c>
      <c r="D5334" t="s">
        <v>87</v>
      </c>
      <c r="E5334" t="s">
        <v>686</v>
      </c>
      <c r="F5334" t="s">
        <v>687</v>
      </c>
      <c r="G5334" t="s">
        <v>52</v>
      </c>
      <c r="H5334" t="s">
        <v>53</v>
      </c>
      <c r="I5334" t="s">
        <v>53</v>
      </c>
      <c r="J5334" t="s">
        <v>53</v>
      </c>
      <c r="K5334" t="s">
        <v>53</v>
      </c>
      <c r="L5334" t="s">
        <v>53</v>
      </c>
      <c r="M5334" t="s">
        <v>53</v>
      </c>
      <c r="N5334" t="s">
        <v>53</v>
      </c>
      <c r="O5334" t="s">
        <v>53</v>
      </c>
      <c r="P5334" t="s">
        <v>53</v>
      </c>
      <c r="Q5334" t="s">
        <v>53</v>
      </c>
    </row>
    <row r="5335" spans="1:17" x14ac:dyDescent="0.2">
      <c r="A5335" s="30" t="str">
        <f>IF(C5335&amp;G5335&amp;D5335&lt;&gt;'Funnel setup'!$K$3&amp;'Funnel setup'!$K$4&amp;'Funnel setup'!$K$5,".",IF(A5334=".",1,A5334+1))</f>
        <v>.</v>
      </c>
      <c r="B5335" s="431" t="str">
        <f t="shared" si="83"/>
        <v>Knee Replacement RevisionCCG of GP PracticeNHS BRADFORD CITY CCG (02W)EQ-5D Index</v>
      </c>
      <c r="C5335" t="s">
        <v>250</v>
      </c>
      <c r="D5335" t="s">
        <v>87</v>
      </c>
      <c r="E5335" t="s">
        <v>689</v>
      </c>
      <c r="F5335" t="s">
        <v>690</v>
      </c>
      <c r="G5335" t="s">
        <v>52</v>
      </c>
      <c r="H5335" t="s">
        <v>53</v>
      </c>
      <c r="I5335" t="s">
        <v>53</v>
      </c>
      <c r="J5335" t="s">
        <v>53</v>
      </c>
      <c r="K5335" t="s">
        <v>53</v>
      </c>
      <c r="L5335" t="s">
        <v>53</v>
      </c>
      <c r="M5335" t="s">
        <v>53</v>
      </c>
      <c r="N5335" t="s">
        <v>53</v>
      </c>
      <c r="O5335" t="s">
        <v>53</v>
      </c>
      <c r="P5335" t="s">
        <v>53</v>
      </c>
      <c r="Q5335" t="s">
        <v>53</v>
      </c>
    </row>
    <row r="5336" spans="1:17" x14ac:dyDescent="0.2">
      <c r="A5336" s="30" t="str">
        <f>IF(C5336&amp;G5336&amp;D5336&lt;&gt;'Funnel setup'!$K$3&amp;'Funnel setup'!$K$4&amp;'Funnel setup'!$K$5,".",IF(A5335=".",1,A5335+1))</f>
        <v>.</v>
      </c>
      <c r="B5336" s="431" t="str">
        <f t="shared" si="83"/>
        <v>Knee Replacement RevisionCCG of GP PracticeNHS BRADFORD DISTRICTS CCG (02R)EQ-5D Index</v>
      </c>
      <c r="C5336" t="s">
        <v>250</v>
      </c>
      <c r="D5336" t="s">
        <v>87</v>
      </c>
      <c r="E5336" t="s">
        <v>692</v>
      </c>
      <c r="F5336" t="s">
        <v>693</v>
      </c>
      <c r="G5336" t="s">
        <v>52</v>
      </c>
      <c r="H5336">
        <v>11</v>
      </c>
      <c r="I5336">
        <v>0.45700000000000002</v>
      </c>
      <c r="J5336">
        <v>0.63100000000000001</v>
      </c>
      <c r="K5336">
        <v>0.17299999999999999</v>
      </c>
      <c r="L5336">
        <v>7</v>
      </c>
      <c r="M5336">
        <v>2</v>
      </c>
      <c r="N5336">
        <v>2</v>
      </c>
      <c r="O5336" t="s">
        <v>53</v>
      </c>
      <c r="P5336" t="s">
        <v>53</v>
      </c>
      <c r="Q5336" t="s">
        <v>53</v>
      </c>
    </row>
    <row r="5337" spans="1:17" x14ac:dyDescent="0.2">
      <c r="A5337" s="30" t="str">
        <f>IF(C5337&amp;G5337&amp;D5337&lt;&gt;'Funnel setup'!$K$3&amp;'Funnel setup'!$K$4&amp;'Funnel setup'!$K$5,".",IF(A5336=".",1,A5336+1))</f>
        <v>.</v>
      </c>
      <c r="B5337" s="431" t="str">
        <f t="shared" si="83"/>
        <v>Knee Replacement RevisionCCG of GP PracticeNHS BRENT CCG (07P)EQ-5D Index</v>
      </c>
      <c r="C5337" t="s">
        <v>250</v>
      </c>
      <c r="D5337" t="s">
        <v>87</v>
      </c>
      <c r="E5337" t="s">
        <v>695</v>
      </c>
      <c r="F5337" t="s">
        <v>696</v>
      </c>
      <c r="G5337" t="s">
        <v>52</v>
      </c>
      <c r="H5337">
        <v>6</v>
      </c>
      <c r="I5337">
        <v>0.39</v>
      </c>
      <c r="J5337">
        <v>0.51100000000000001</v>
      </c>
      <c r="K5337">
        <v>0.122</v>
      </c>
      <c r="L5337">
        <v>5</v>
      </c>
      <c r="M5337">
        <v>0</v>
      </c>
      <c r="N5337">
        <v>1</v>
      </c>
      <c r="O5337" t="s">
        <v>53</v>
      </c>
      <c r="P5337" t="s">
        <v>53</v>
      </c>
      <c r="Q5337" t="s">
        <v>53</v>
      </c>
    </row>
    <row r="5338" spans="1:17" x14ac:dyDescent="0.2">
      <c r="A5338" s="30" t="str">
        <f>IF(C5338&amp;G5338&amp;D5338&lt;&gt;'Funnel setup'!$K$3&amp;'Funnel setup'!$K$4&amp;'Funnel setup'!$K$5,".",IF(A5337=".",1,A5337+1))</f>
        <v>.</v>
      </c>
      <c r="B5338" s="431" t="str">
        <f t="shared" si="83"/>
        <v>Knee Replacement RevisionCCG of GP PracticeNHS BRIGHTON AND HOVE CCG (09D)EQ-5D Index</v>
      </c>
      <c r="C5338" t="s">
        <v>250</v>
      </c>
      <c r="D5338" t="s">
        <v>87</v>
      </c>
      <c r="E5338" t="s">
        <v>698</v>
      </c>
      <c r="F5338" t="s">
        <v>699</v>
      </c>
      <c r="G5338" t="s">
        <v>52</v>
      </c>
      <c r="H5338">
        <v>10</v>
      </c>
      <c r="I5338">
        <v>6.3E-2</v>
      </c>
      <c r="J5338">
        <v>0.253</v>
      </c>
      <c r="K5338">
        <v>0.19</v>
      </c>
      <c r="L5338">
        <v>6</v>
      </c>
      <c r="M5338">
        <v>2</v>
      </c>
      <c r="N5338">
        <v>2</v>
      </c>
      <c r="O5338" t="s">
        <v>53</v>
      </c>
      <c r="P5338" t="s">
        <v>53</v>
      </c>
      <c r="Q5338" t="s">
        <v>53</v>
      </c>
    </row>
    <row r="5339" spans="1:17" x14ac:dyDescent="0.2">
      <c r="A5339" s="30" t="str">
        <f>IF(C5339&amp;G5339&amp;D5339&lt;&gt;'Funnel setup'!$K$3&amp;'Funnel setup'!$K$4&amp;'Funnel setup'!$K$5,".",IF(A5338=".",1,A5338+1))</f>
        <v>.</v>
      </c>
      <c r="B5339" s="431" t="str">
        <f t="shared" si="83"/>
        <v>Knee Replacement RevisionCCG of GP PracticeNHS BRISTOL CCG (11H)EQ-5D Index</v>
      </c>
      <c r="C5339" t="s">
        <v>250</v>
      </c>
      <c r="D5339" t="s">
        <v>87</v>
      </c>
      <c r="E5339" t="s">
        <v>701</v>
      </c>
      <c r="F5339" t="s">
        <v>702</v>
      </c>
      <c r="G5339" t="s">
        <v>52</v>
      </c>
      <c r="H5339" t="s">
        <v>53</v>
      </c>
      <c r="I5339" t="s">
        <v>53</v>
      </c>
      <c r="J5339" t="s">
        <v>53</v>
      </c>
      <c r="K5339" t="s">
        <v>53</v>
      </c>
      <c r="L5339" t="s">
        <v>53</v>
      </c>
      <c r="M5339" t="s">
        <v>53</v>
      </c>
      <c r="N5339" t="s">
        <v>53</v>
      </c>
      <c r="O5339" t="s">
        <v>53</v>
      </c>
      <c r="P5339" t="s">
        <v>53</v>
      </c>
      <c r="Q5339" t="s">
        <v>53</v>
      </c>
    </row>
    <row r="5340" spans="1:17" x14ac:dyDescent="0.2">
      <c r="A5340" s="30" t="str">
        <f>IF(C5340&amp;G5340&amp;D5340&lt;&gt;'Funnel setup'!$K$3&amp;'Funnel setup'!$K$4&amp;'Funnel setup'!$K$5,".",IF(A5339=".",1,A5339+1))</f>
        <v>.</v>
      </c>
      <c r="B5340" s="431" t="str">
        <f t="shared" si="83"/>
        <v>Knee Replacement RevisionCCG of GP PracticeNHS BROMLEY CCG (07Q)EQ-5D Index</v>
      </c>
      <c r="C5340" t="s">
        <v>250</v>
      </c>
      <c r="D5340" t="s">
        <v>87</v>
      </c>
      <c r="E5340" t="s">
        <v>704</v>
      </c>
      <c r="F5340" t="s">
        <v>705</v>
      </c>
      <c r="G5340" t="s">
        <v>52</v>
      </c>
      <c r="H5340" t="s">
        <v>53</v>
      </c>
      <c r="I5340" t="s">
        <v>53</v>
      </c>
      <c r="J5340" t="s">
        <v>53</v>
      </c>
      <c r="K5340" t="s">
        <v>53</v>
      </c>
      <c r="L5340" t="s">
        <v>53</v>
      </c>
      <c r="M5340" t="s">
        <v>53</v>
      </c>
      <c r="N5340" t="s">
        <v>53</v>
      </c>
      <c r="O5340" t="s">
        <v>53</v>
      </c>
      <c r="P5340" t="s">
        <v>53</v>
      </c>
      <c r="Q5340" t="s">
        <v>53</v>
      </c>
    </row>
    <row r="5341" spans="1:17" x14ac:dyDescent="0.2">
      <c r="A5341" s="30" t="str">
        <f>IF(C5341&amp;G5341&amp;D5341&lt;&gt;'Funnel setup'!$K$3&amp;'Funnel setup'!$K$4&amp;'Funnel setup'!$K$5,".",IF(A5340=".",1,A5340+1))</f>
        <v>.</v>
      </c>
      <c r="B5341" s="431" t="str">
        <f t="shared" si="83"/>
        <v>Knee Replacement RevisionCCG of GP PracticeNHS BURY CCG (00V)EQ-5D Index</v>
      </c>
      <c r="C5341" t="s">
        <v>250</v>
      </c>
      <c r="D5341" t="s">
        <v>87</v>
      </c>
      <c r="E5341" t="s">
        <v>707</v>
      </c>
      <c r="F5341" t="s">
        <v>708</v>
      </c>
      <c r="G5341" t="s">
        <v>52</v>
      </c>
      <c r="H5341">
        <v>7</v>
      </c>
      <c r="I5341">
        <v>3.2000000000000001E-2</v>
      </c>
      <c r="J5341">
        <v>0.375</v>
      </c>
      <c r="K5341">
        <v>0.34300000000000003</v>
      </c>
      <c r="L5341">
        <v>5</v>
      </c>
      <c r="M5341">
        <v>0</v>
      </c>
      <c r="N5341">
        <v>2</v>
      </c>
      <c r="O5341" t="s">
        <v>53</v>
      </c>
      <c r="P5341" t="s">
        <v>53</v>
      </c>
      <c r="Q5341" t="s">
        <v>53</v>
      </c>
    </row>
    <row r="5342" spans="1:17" x14ac:dyDescent="0.2">
      <c r="A5342" s="30" t="str">
        <f>IF(C5342&amp;G5342&amp;D5342&lt;&gt;'Funnel setup'!$K$3&amp;'Funnel setup'!$K$4&amp;'Funnel setup'!$K$5,".",IF(A5341=".",1,A5341+1))</f>
        <v>.</v>
      </c>
      <c r="B5342" s="431" t="str">
        <f t="shared" si="83"/>
        <v>Knee Replacement RevisionCCG of GP PracticeNHS CALDERDALE CCG (02T)EQ-5D Index</v>
      </c>
      <c r="C5342" t="s">
        <v>250</v>
      </c>
      <c r="D5342" t="s">
        <v>87</v>
      </c>
      <c r="E5342" t="s">
        <v>710</v>
      </c>
      <c r="F5342" t="s">
        <v>711</v>
      </c>
      <c r="G5342" t="s">
        <v>52</v>
      </c>
      <c r="H5342" t="s">
        <v>53</v>
      </c>
      <c r="I5342" t="s">
        <v>53</v>
      </c>
      <c r="J5342" t="s">
        <v>53</v>
      </c>
      <c r="K5342" t="s">
        <v>53</v>
      </c>
      <c r="L5342" t="s">
        <v>53</v>
      </c>
      <c r="M5342" t="s">
        <v>53</v>
      </c>
      <c r="N5342" t="s">
        <v>53</v>
      </c>
      <c r="O5342" t="s">
        <v>53</v>
      </c>
      <c r="P5342" t="s">
        <v>53</v>
      </c>
      <c r="Q5342" t="s">
        <v>53</v>
      </c>
    </row>
    <row r="5343" spans="1:17" x14ac:dyDescent="0.2">
      <c r="A5343" s="30" t="str">
        <f>IF(C5343&amp;G5343&amp;D5343&lt;&gt;'Funnel setup'!$K$3&amp;'Funnel setup'!$K$4&amp;'Funnel setup'!$K$5,".",IF(A5342=".",1,A5342+1))</f>
        <v>.</v>
      </c>
      <c r="B5343" s="431" t="str">
        <f t="shared" si="83"/>
        <v>Knee Replacement RevisionCCG of GP PracticeNHS CAMBRIDGESHIRE AND PETERBOROUGH CCG (06H)EQ-5D Index</v>
      </c>
      <c r="C5343" t="s">
        <v>250</v>
      </c>
      <c r="D5343" t="s">
        <v>87</v>
      </c>
      <c r="E5343" t="s">
        <v>713</v>
      </c>
      <c r="F5343" t="s">
        <v>714</v>
      </c>
      <c r="G5343" t="s">
        <v>52</v>
      </c>
      <c r="H5343">
        <v>29</v>
      </c>
      <c r="I5343">
        <v>0.33</v>
      </c>
      <c r="J5343">
        <v>0.69</v>
      </c>
      <c r="K5343">
        <v>0.36</v>
      </c>
      <c r="L5343">
        <v>23</v>
      </c>
      <c r="M5343">
        <v>5</v>
      </c>
      <c r="N5343">
        <v>1</v>
      </c>
      <c r="O5343" t="s">
        <v>53</v>
      </c>
      <c r="P5343" t="s">
        <v>53</v>
      </c>
      <c r="Q5343" t="s">
        <v>53</v>
      </c>
    </row>
    <row r="5344" spans="1:17" x14ac:dyDescent="0.2">
      <c r="A5344" s="30" t="str">
        <f>IF(C5344&amp;G5344&amp;D5344&lt;&gt;'Funnel setup'!$K$3&amp;'Funnel setup'!$K$4&amp;'Funnel setup'!$K$5,".",IF(A5343=".",1,A5343+1))</f>
        <v>.</v>
      </c>
      <c r="B5344" s="431" t="str">
        <f t="shared" si="83"/>
        <v>Knee Replacement RevisionCCG of GP PracticeNHS CAMDEN CCG (07R)EQ-5D Index</v>
      </c>
      <c r="C5344" t="s">
        <v>250</v>
      </c>
      <c r="D5344" t="s">
        <v>87</v>
      </c>
      <c r="E5344" t="s">
        <v>716</v>
      </c>
      <c r="F5344" t="s">
        <v>717</v>
      </c>
      <c r="G5344" t="s">
        <v>52</v>
      </c>
      <c r="H5344" t="s">
        <v>53</v>
      </c>
      <c r="I5344" t="s">
        <v>53</v>
      </c>
      <c r="J5344" t="s">
        <v>53</v>
      </c>
      <c r="K5344" t="s">
        <v>53</v>
      </c>
      <c r="L5344" t="s">
        <v>53</v>
      </c>
      <c r="M5344" t="s">
        <v>53</v>
      </c>
      <c r="N5344" t="s">
        <v>53</v>
      </c>
      <c r="O5344" t="s">
        <v>53</v>
      </c>
      <c r="P5344" t="s">
        <v>53</v>
      </c>
      <c r="Q5344" t="s">
        <v>53</v>
      </c>
    </row>
    <row r="5345" spans="1:17" x14ac:dyDescent="0.2">
      <c r="A5345" s="30" t="str">
        <f>IF(C5345&amp;G5345&amp;D5345&lt;&gt;'Funnel setup'!$K$3&amp;'Funnel setup'!$K$4&amp;'Funnel setup'!$K$5,".",IF(A5344=".",1,A5344+1))</f>
        <v>.</v>
      </c>
      <c r="B5345" s="431" t="str">
        <f t="shared" si="83"/>
        <v>Knee Replacement RevisionCCG of GP PracticeNHS CANNOCK CHASE CCG (04Y)EQ-5D Index</v>
      </c>
      <c r="C5345" t="s">
        <v>250</v>
      </c>
      <c r="D5345" t="s">
        <v>87</v>
      </c>
      <c r="E5345" t="s">
        <v>719</v>
      </c>
      <c r="F5345" t="s">
        <v>720</v>
      </c>
      <c r="G5345" t="s">
        <v>52</v>
      </c>
      <c r="H5345">
        <v>8</v>
      </c>
      <c r="I5345">
        <v>8.9999999999999993E-3</v>
      </c>
      <c r="J5345">
        <v>0.42</v>
      </c>
      <c r="K5345">
        <v>0.41199999999999998</v>
      </c>
      <c r="L5345">
        <v>7</v>
      </c>
      <c r="M5345">
        <v>0</v>
      </c>
      <c r="N5345">
        <v>1</v>
      </c>
      <c r="O5345" t="s">
        <v>53</v>
      </c>
      <c r="P5345" t="s">
        <v>53</v>
      </c>
      <c r="Q5345" t="s">
        <v>53</v>
      </c>
    </row>
    <row r="5346" spans="1:17" x14ac:dyDescent="0.2">
      <c r="A5346" s="30" t="str">
        <f>IF(C5346&amp;G5346&amp;D5346&lt;&gt;'Funnel setup'!$K$3&amp;'Funnel setup'!$K$4&amp;'Funnel setup'!$K$5,".",IF(A5345=".",1,A5345+1))</f>
        <v>.</v>
      </c>
      <c r="B5346" s="431" t="str">
        <f t="shared" si="83"/>
        <v>Knee Replacement RevisionCCG of GP PracticeNHS CANTERBURY AND COASTAL CCG (09E)EQ-5D Index</v>
      </c>
      <c r="C5346" t="s">
        <v>250</v>
      </c>
      <c r="D5346" t="s">
        <v>87</v>
      </c>
      <c r="E5346" t="s">
        <v>722</v>
      </c>
      <c r="F5346" t="s">
        <v>723</v>
      </c>
      <c r="G5346" t="s">
        <v>52</v>
      </c>
      <c r="H5346">
        <v>7</v>
      </c>
      <c r="I5346">
        <v>0.249</v>
      </c>
      <c r="J5346">
        <v>0.622</v>
      </c>
      <c r="K5346">
        <v>0.374</v>
      </c>
      <c r="L5346">
        <v>6</v>
      </c>
      <c r="M5346">
        <v>0</v>
      </c>
      <c r="N5346">
        <v>1</v>
      </c>
      <c r="O5346" t="s">
        <v>53</v>
      </c>
      <c r="P5346" t="s">
        <v>53</v>
      </c>
      <c r="Q5346" t="s">
        <v>53</v>
      </c>
    </row>
    <row r="5347" spans="1:17" x14ac:dyDescent="0.2">
      <c r="A5347" s="30" t="str">
        <f>IF(C5347&amp;G5347&amp;D5347&lt;&gt;'Funnel setup'!$K$3&amp;'Funnel setup'!$K$4&amp;'Funnel setup'!$K$5,".",IF(A5346=".",1,A5346+1))</f>
        <v>.</v>
      </c>
      <c r="B5347" s="431" t="str">
        <f t="shared" si="83"/>
        <v>Knee Replacement RevisionCCG of GP PracticeNHS CASTLE POINT AND ROCHFORD CCG (99F)EQ-5D Index</v>
      </c>
      <c r="C5347" t="s">
        <v>250</v>
      </c>
      <c r="D5347" t="s">
        <v>87</v>
      </c>
      <c r="E5347" t="s">
        <v>725</v>
      </c>
      <c r="F5347" t="s">
        <v>726</v>
      </c>
      <c r="G5347" t="s">
        <v>52</v>
      </c>
      <c r="H5347" t="s">
        <v>53</v>
      </c>
      <c r="I5347" t="s">
        <v>53</v>
      </c>
      <c r="J5347" t="s">
        <v>53</v>
      </c>
      <c r="K5347" t="s">
        <v>53</v>
      </c>
      <c r="L5347" t="s">
        <v>53</v>
      </c>
      <c r="M5347" t="s">
        <v>53</v>
      </c>
      <c r="N5347" t="s">
        <v>53</v>
      </c>
      <c r="O5347" t="s">
        <v>53</v>
      </c>
      <c r="P5347" t="s">
        <v>53</v>
      </c>
      <c r="Q5347" t="s">
        <v>53</v>
      </c>
    </row>
    <row r="5348" spans="1:17" x14ac:dyDescent="0.2">
      <c r="A5348" s="30" t="str">
        <f>IF(C5348&amp;G5348&amp;D5348&lt;&gt;'Funnel setup'!$K$3&amp;'Funnel setup'!$K$4&amp;'Funnel setup'!$K$5,".",IF(A5347=".",1,A5347+1))</f>
        <v>.</v>
      </c>
      <c r="B5348" s="431" t="str">
        <f t="shared" si="83"/>
        <v>Knee Replacement RevisionCCG of GP PracticeNHS CENTRAL MANCHESTER CCG (00W)EQ-5D Index</v>
      </c>
      <c r="C5348" t="s">
        <v>250</v>
      </c>
      <c r="D5348" t="s">
        <v>87</v>
      </c>
      <c r="E5348" t="s">
        <v>731</v>
      </c>
      <c r="F5348" t="s">
        <v>732</v>
      </c>
      <c r="G5348" t="s">
        <v>52</v>
      </c>
      <c r="H5348" t="s">
        <v>53</v>
      </c>
      <c r="I5348" t="s">
        <v>53</v>
      </c>
      <c r="J5348" t="s">
        <v>53</v>
      </c>
      <c r="K5348" t="s">
        <v>53</v>
      </c>
      <c r="L5348" t="s">
        <v>53</v>
      </c>
      <c r="M5348" t="s">
        <v>53</v>
      </c>
      <c r="N5348" t="s">
        <v>53</v>
      </c>
      <c r="O5348" t="s">
        <v>53</v>
      </c>
      <c r="P5348" t="s">
        <v>53</v>
      </c>
      <c r="Q5348" t="s">
        <v>53</v>
      </c>
    </row>
    <row r="5349" spans="1:17" x14ac:dyDescent="0.2">
      <c r="A5349" s="30" t="str">
        <f>IF(C5349&amp;G5349&amp;D5349&lt;&gt;'Funnel setup'!$K$3&amp;'Funnel setup'!$K$4&amp;'Funnel setup'!$K$5,".",IF(A5348=".",1,A5348+1))</f>
        <v>.</v>
      </c>
      <c r="B5349" s="431" t="str">
        <f t="shared" si="83"/>
        <v>Knee Replacement RevisionCCG of GP PracticeNHS CHILTERN CCG (10H)EQ-5D Index</v>
      </c>
      <c r="C5349" t="s">
        <v>250</v>
      </c>
      <c r="D5349" t="s">
        <v>87</v>
      </c>
      <c r="E5349" t="s">
        <v>734</v>
      </c>
      <c r="F5349" t="s">
        <v>735</v>
      </c>
      <c r="G5349" t="s">
        <v>52</v>
      </c>
      <c r="H5349">
        <v>7</v>
      </c>
      <c r="I5349">
        <v>0.437</v>
      </c>
      <c r="J5349">
        <v>0.63400000000000001</v>
      </c>
      <c r="K5349">
        <v>0.19700000000000001</v>
      </c>
      <c r="L5349">
        <v>4</v>
      </c>
      <c r="M5349">
        <v>1</v>
      </c>
      <c r="N5349">
        <v>2</v>
      </c>
      <c r="O5349" t="s">
        <v>53</v>
      </c>
      <c r="P5349" t="s">
        <v>53</v>
      </c>
      <c r="Q5349" t="s">
        <v>53</v>
      </c>
    </row>
    <row r="5350" spans="1:17" x14ac:dyDescent="0.2">
      <c r="A5350" s="30" t="str">
        <f>IF(C5350&amp;G5350&amp;D5350&lt;&gt;'Funnel setup'!$K$3&amp;'Funnel setup'!$K$4&amp;'Funnel setup'!$K$5,".",IF(A5349=".",1,A5349+1))</f>
        <v>.</v>
      </c>
      <c r="B5350" s="431" t="str">
        <f t="shared" si="83"/>
        <v>Knee Replacement RevisionCCG of GP PracticeNHS CHORLEY AND SOUTH RIBBLE CCG (00X)EQ-5D Index</v>
      </c>
      <c r="C5350" t="s">
        <v>250</v>
      </c>
      <c r="D5350" t="s">
        <v>87</v>
      </c>
      <c r="E5350" t="s">
        <v>737</v>
      </c>
      <c r="F5350" t="s">
        <v>738</v>
      </c>
      <c r="G5350" t="s">
        <v>52</v>
      </c>
      <c r="H5350" t="s">
        <v>53</v>
      </c>
      <c r="I5350" t="s">
        <v>53</v>
      </c>
      <c r="J5350" t="s">
        <v>53</v>
      </c>
      <c r="K5350" t="s">
        <v>53</v>
      </c>
      <c r="L5350" t="s">
        <v>53</v>
      </c>
      <c r="M5350" t="s">
        <v>53</v>
      </c>
      <c r="N5350" t="s">
        <v>53</v>
      </c>
      <c r="O5350" t="s">
        <v>53</v>
      </c>
      <c r="P5350" t="s">
        <v>53</v>
      </c>
      <c r="Q5350" t="s">
        <v>53</v>
      </c>
    </row>
    <row r="5351" spans="1:17" x14ac:dyDescent="0.2">
      <c r="A5351" s="30" t="str">
        <f>IF(C5351&amp;G5351&amp;D5351&lt;&gt;'Funnel setup'!$K$3&amp;'Funnel setup'!$K$4&amp;'Funnel setup'!$K$5,".",IF(A5350=".",1,A5350+1))</f>
        <v>.</v>
      </c>
      <c r="B5351" s="431" t="str">
        <f t="shared" si="83"/>
        <v>Knee Replacement RevisionCCG of GP PracticeNHS CITY AND HACKNEY CCG (07T)EQ-5D Index</v>
      </c>
      <c r="C5351" t="s">
        <v>250</v>
      </c>
      <c r="D5351" t="s">
        <v>87</v>
      </c>
      <c r="E5351" t="s">
        <v>740</v>
      </c>
      <c r="F5351" t="s">
        <v>741</v>
      </c>
      <c r="G5351" t="s">
        <v>52</v>
      </c>
      <c r="H5351" t="s">
        <v>53</v>
      </c>
      <c r="I5351" t="s">
        <v>53</v>
      </c>
      <c r="J5351" t="s">
        <v>53</v>
      </c>
      <c r="K5351" t="s">
        <v>53</v>
      </c>
      <c r="L5351" t="s">
        <v>53</v>
      </c>
      <c r="M5351" t="s">
        <v>53</v>
      </c>
      <c r="N5351" t="s">
        <v>53</v>
      </c>
      <c r="O5351" t="s">
        <v>53</v>
      </c>
      <c r="P5351" t="s">
        <v>53</v>
      </c>
      <c r="Q5351" t="s">
        <v>53</v>
      </c>
    </row>
    <row r="5352" spans="1:17" x14ac:dyDescent="0.2">
      <c r="A5352" s="30" t="str">
        <f>IF(C5352&amp;G5352&amp;D5352&lt;&gt;'Funnel setup'!$K$3&amp;'Funnel setup'!$K$4&amp;'Funnel setup'!$K$5,".",IF(A5351=".",1,A5351+1))</f>
        <v>.</v>
      </c>
      <c r="B5352" s="431" t="str">
        <f t="shared" si="83"/>
        <v>Knee Replacement RevisionCCG of GP PracticeNHS COASTAL WEST SUSSEX CCG (09G)EQ-5D Index</v>
      </c>
      <c r="C5352" t="s">
        <v>250</v>
      </c>
      <c r="D5352" t="s">
        <v>87</v>
      </c>
      <c r="E5352" t="s">
        <v>743</v>
      </c>
      <c r="F5352" t="s">
        <v>744</v>
      </c>
      <c r="G5352" t="s">
        <v>52</v>
      </c>
      <c r="H5352">
        <v>31</v>
      </c>
      <c r="I5352">
        <v>0.30199999999999999</v>
      </c>
      <c r="J5352">
        <v>0.61299999999999999</v>
      </c>
      <c r="K5352">
        <v>0.311</v>
      </c>
      <c r="L5352">
        <v>21</v>
      </c>
      <c r="M5352">
        <v>7</v>
      </c>
      <c r="N5352">
        <v>3</v>
      </c>
      <c r="O5352">
        <v>0.59899999999999998</v>
      </c>
      <c r="P5352">
        <v>0.26661442499999999</v>
      </c>
      <c r="Q5352">
        <v>0.247</v>
      </c>
    </row>
    <row r="5353" spans="1:17" x14ac:dyDescent="0.2">
      <c r="A5353" s="30" t="str">
        <f>IF(C5353&amp;G5353&amp;D5353&lt;&gt;'Funnel setup'!$K$3&amp;'Funnel setup'!$K$4&amp;'Funnel setup'!$K$5,".",IF(A5352=".",1,A5352+1))</f>
        <v>.</v>
      </c>
      <c r="B5353" s="431" t="str">
        <f t="shared" si="83"/>
        <v>Knee Replacement RevisionCCG of GP PracticeNHS CORBY CCG (03V)EQ-5D Index</v>
      </c>
      <c r="C5353" t="s">
        <v>250</v>
      </c>
      <c r="D5353" t="s">
        <v>87</v>
      </c>
      <c r="E5353" t="s">
        <v>746</v>
      </c>
      <c r="F5353" t="s">
        <v>747</v>
      </c>
      <c r="G5353" t="s">
        <v>52</v>
      </c>
      <c r="H5353" t="s">
        <v>53</v>
      </c>
      <c r="I5353" t="s">
        <v>53</v>
      </c>
      <c r="J5353" t="s">
        <v>53</v>
      </c>
      <c r="K5353" t="s">
        <v>53</v>
      </c>
      <c r="L5353" t="s">
        <v>53</v>
      </c>
      <c r="M5353" t="s">
        <v>53</v>
      </c>
      <c r="N5353" t="s">
        <v>53</v>
      </c>
      <c r="O5353" t="s">
        <v>53</v>
      </c>
      <c r="P5353" t="s">
        <v>53</v>
      </c>
      <c r="Q5353" t="s">
        <v>53</v>
      </c>
    </row>
    <row r="5354" spans="1:17" x14ac:dyDescent="0.2">
      <c r="A5354" s="30" t="str">
        <f>IF(C5354&amp;G5354&amp;D5354&lt;&gt;'Funnel setup'!$K$3&amp;'Funnel setup'!$K$4&amp;'Funnel setup'!$K$5,".",IF(A5353=".",1,A5353+1))</f>
        <v>.</v>
      </c>
      <c r="B5354" s="431" t="str">
        <f t="shared" si="83"/>
        <v>Knee Replacement RevisionCCG of GP PracticeNHS COVENTRY AND RUGBY CCG (05A)EQ-5D Index</v>
      </c>
      <c r="C5354" t="s">
        <v>250</v>
      </c>
      <c r="D5354" t="s">
        <v>87</v>
      </c>
      <c r="E5354" t="s">
        <v>749</v>
      </c>
      <c r="F5354" t="s">
        <v>750</v>
      </c>
      <c r="G5354" t="s">
        <v>52</v>
      </c>
      <c r="H5354">
        <v>15</v>
      </c>
      <c r="I5354">
        <v>0.41099999999999998</v>
      </c>
      <c r="J5354">
        <v>0.61099999999999999</v>
      </c>
      <c r="K5354">
        <v>0.2</v>
      </c>
      <c r="L5354">
        <v>12</v>
      </c>
      <c r="M5354">
        <v>0</v>
      </c>
      <c r="N5354">
        <v>3</v>
      </c>
      <c r="O5354" t="s">
        <v>53</v>
      </c>
      <c r="P5354" t="s">
        <v>53</v>
      </c>
      <c r="Q5354" t="s">
        <v>53</v>
      </c>
    </row>
    <row r="5355" spans="1:17" x14ac:dyDescent="0.2">
      <c r="A5355" s="30" t="str">
        <f>IF(C5355&amp;G5355&amp;D5355&lt;&gt;'Funnel setup'!$K$3&amp;'Funnel setup'!$K$4&amp;'Funnel setup'!$K$5,".",IF(A5354=".",1,A5354+1))</f>
        <v>.</v>
      </c>
      <c r="B5355" s="431" t="str">
        <f t="shared" si="83"/>
        <v>Knee Replacement RevisionCCG of GP PracticeNHS CRAWLEY CCG (09H)EQ-5D Index</v>
      </c>
      <c r="C5355" t="s">
        <v>250</v>
      </c>
      <c r="D5355" t="s">
        <v>87</v>
      </c>
      <c r="E5355" t="s">
        <v>752</v>
      </c>
      <c r="F5355" t="s">
        <v>753</v>
      </c>
      <c r="G5355" t="s">
        <v>52</v>
      </c>
      <c r="H5355" t="s">
        <v>53</v>
      </c>
      <c r="I5355" t="s">
        <v>53</v>
      </c>
      <c r="J5355" t="s">
        <v>53</v>
      </c>
      <c r="K5355" t="s">
        <v>53</v>
      </c>
      <c r="L5355" t="s">
        <v>53</v>
      </c>
      <c r="M5355" t="s">
        <v>53</v>
      </c>
      <c r="N5355" t="s">
        <v>53</v>
      </c>
      <c r="O5355" t="s">
        <v>53</v>
      </c>
      <c r="P5355" t="s">
        <v>53</v>
      </c>
      <c r="Q5355" t="s">
        <v>53</v>
      </c>
    </row>
    <row r="5356" spans="1:17" x14ac:dyDescent="0.2">
      <c r="A5356" s="30" t="str">
        <f>IF(C5356&amp;G5356&amp;D5356&lt;&gt;'Funnel setup'!$K$3&amp;'Funnel setup'!$K$4&amp;'Funnel setup'!$K$5,".",IF(A5355=".",1,A5355+1))</f>
        <v>.</v>
      </c>
      <c r="B5356" s="431" t="str">
        <f t="shared" si="83"/>
        <v>Knee Replacement RevisionCCG of GP PracticeNHS CROYDON CCG (07V)EQ-5D Index</v>
      </c>
      <c r="C5356" t="s">
        <v>250</v>
      </c>
      <c r="D5356" t="s">
        <v>87</v>
      </c>
      <c r="E5356" t="s">
        <v>755</v>
      </c>
      <c r="F5356" t="s">
        <v>756</v>
      </c>
      <c r="G5356" t="s">
        <v>52</v>
      </c>
      <c r="H5356" t="s">
        <v>53</v>
      </c>
      <c r="I5356" t="s">
        <v>53</v>
      </c>
      <c r="J5356" t="s">
        <v>53</v>
      </c>
      <c r="K5356" t="s">
        <v>53</v>
      </c>
      <c r="L5356" t="s">
        <v>53</v>
      </c>
      <c r="M5356" t="s">
        <v>53</v>
      </c>
      <c r="N5356" t="s">
        <v>53</v>
      </c>
      <c r="O5356" t="s">
        <v>53</v>
      </c>
      <c r="P5356" t="s">
        <v>53</v>
      </c>
      <c r="Q5356" t="s">
        <v>53</v>
      </c>
    </row>
    <row r="5357" spans="1:17" x14ac:dyDescent="0.2">
      <c r="A5357" s="30" t="str">
        <f>IF(C5357&amp;G5357&amp;D5357&lt;&gt;'Funnel setup'!$K$3&amp;'Funnel setup'!$K$4&amp;'Funnel setup'!$K$5,".",IF(A5356=".",1,A5356+1))</f>
        <v>.</v>
      </c>
      <c r="B5357" s="431" t="str">
        <f t="shared" si="83"/>
        <v>Knee Replacement RevisionCCG of GP PracticeNHS CUMBRIA CCG (01H)EQ-5D Index</v>
      </c>
      <c r="C5357" t="s">
        <v>250</v>
      </c>
      <c r="D5357" t="s">
        <v>87</v>
      </c>
      <c r="E5357" t="s">
        <v>758</v>
      </c>
      <c r="F5357" t="s">
        <v>759</v>
      </c>
      <c r="G5357" t="s">
        <v>52</v>
      </c>
      <c r="H5357">
        <v>11</v>
      </c>
      <c r="I5357">
        <v>0.13300000000000001</v>
      </c>
      <c r="J5357">
        <v>0.66800000000000004</v>
      </c>
      <c r="K5357">
        <v>0.53500000000000003</v>
      </c>
      <c r="L5357">
        <v>10</v>
      </c>
      <c r="M5357">
        <v>0</v>
      </c>
      <c r="N5357">
        <v>1</v>
      </c>
      <c r="O5357" t="s">
        <v>53</v>
      </c>
      <c r="P5357" t="s">
        <v>53</v>
      </c>
      <c r="Q5357" t="s">
        <v>53</v>
      </c>
    </row>
    <row r="5358" spans="1:17" x14ac:dyDescent="0.2">
      <c r="A5358" s="30" t="str">
        <f>IF(C5358&amp;G5358&amp;D5358&lt;&gt;'Funnel setup'!$K$3&amp;'Funnel setup'!$K$4&amp;'Funnel setup'!$K$5,".",IF(A5357=".",1,A5357+1))</f>
        <v>.</v>
      </c>
      <c r="B5358" s="431" t="str">
        <f t="shared" si="83"/>
        <v>Knee Replacement RevisionCCG of GP PracticeNHS DARLINGTON CCG (00C)EQ-5D Index</v>
      </c>
      <c r="C5358" t="s">
        <v>250</v>
      </c>
      <c r="D5358" t="s">
        <v>87</v>
      </c>
      <c r="E5358" t="s">
        <v>761</v>
      </c>
      <c r="F5358" t="s">
        <v>762</v>
      </c>
      <c r="G5358" t="s">
        <v>52</v>
      </c>
      <c r="H5358" t="s">
        <v>53</v>
      </c>
      <c r="I5358" t="s">
        <v>53</v>
      </c>
      <c r="J5358" t="s">
        <v>53</v>
      </c>
      <c r="K5358" t="s">
        <v>53</v>
      </c>
      <c r="L5358" t="s">
        <v>53</v>
      </c>
      <c r="M5358" t="s">
        <v>53</v>
      </c>
      <c r="N5358" t="s">
        <v>53</v>
      </c>
      <c r="O5358" t="s">
        <v>53</v>
      </c>
      <c r="P5358" t="s">
        <v>53</v>
      </c>
      <c r="Q5358" t="s">
        <v>53</v>
      </c>
    </row>
    <row r="5359" spans="1:17" x14ac:dyDescent="0.2">
      <c r="A5359" s="30" t="str">
        <f>IF(C5359&amp;G5359&amp;D5359&lt;&gt;'Funnel setup'!$K$3&amp;'Funnel setup'!$K$4&amp;'Funnel setup'!$K$5,".",IF(A5358=".",1,A5358+1))</f>
        <v>.</v>
      </c>
      <c r="B5359" s="431" t="str">
        <f t="shared" si="83"/>
        <v>Knee Replacement RevisionCCG of GP PracticeNHS DARTFORD, GRAVESHAM AND SWANLEY CCG (09J)EQ-5D Index</v>
      </c>
      <c r="C5359" t="s">
        <v>250</v>
      </c>
      <c r="D5359" t="s">
        <v>87</v>
      </c>
      <c r="E5359" t="s">
        <v>764</v>
      </c>
      <c r="F5359" t="s">
        <v>765</v>
      </c>
      <c r="G5359" t="s">
        <v>52</v>
      </c>
      <c r="H5359" t="s">
        <v>53</v>
      </c>
      <c r="I5359" t="s">
        <v>53</v>
      </c>
      <c r="J5359" t="s">
        <v>53</v>
      </c>
      <c r="K5359" t="s">
        <v>53</v>
      </c>
      <c r="L5359" t="s">
        <v>53</v>
      </c>
      <c r="M5359" t="s">
        <v>53</v>
      </c>
      <c r="N5359" t="s">
        <v>53</v>
      </c>
      <c r="O5359" t="s">
        <v>53</v>
      </c>
      <c r="P5359" t="s">
        <v>53</v>
      </c>
      <c r="Q5359" t="s">
        <v>53</v>
      </c>
    </row>
    <row r="5360" spans="1:17" x14ac:dyDescent="0.2">
      <c r="A5360" s="30" t="str">
        <f>IF(C5360&amp;G5360&amp;D5360&lt;&gt;'Funnel setup'!$K$3&amp;'Funnel setup'!$K$4&amp;'Funnel setup'!$K$5,".",IF(A5359=".",1,A5359+1))</f>
        <v>.</v>
      </c>
      <c r="B5360" s="431" t="str">
        <f t="shared" si="83"/>
        <v>Knee Replacement RevisionCCG of GP PracticeNHS DONCASTER CCG (02X)EQ-5D Index</v>
      </c>
      <c r="C5360" t="s">
        <v>250</v>
      </c>
      <c r="D5360" t="s">
        <v>87</v>
      </c>
      <c r="E5360" t="s">
        <v>767</v>
      </c>
      <c r="F5360" t="s">
        <v>768</v>
      </c>
      <c r="G5360" t="s">
        <v>52</v>
      </c>
      <c r="H5360">
        <v>19</v>
      </c>
      <c r="I5360">
        <v>0.22</v>
      </c>
      <c r="J5360">
        <v>0.442</v>
      </c>
      <c r="K5360">
        <v>0.222</v>
      </c>
      <c r="L5360">
        <v>12</v>
      </c>
      <c r="M5360">
        <v>2</v>
      </c>
      <c r="N5360">
        <v>5</v>
      </c>
      <c r="O5360" t="s">
        <v>53</v>
      </c>
      <c r="P5360" t="s">
        <v>53</v>
      </c>
      <c r="Q5360" t="s">
        <v>53</v>
      </c>
    </row>
    <row r="5361" spans="1:17" x14ac:dyDescent="0.2">
      <c r="A5361" s="30" t="str">
        <f>IF(C5361&amp;G5361&amp;D5361&lt;&gt;'Funnel setup'!$K$3&amp;'Funnel setup'!$K$4&amp;'Funnel setup'!$K$5,".",IF(A5360=".",1,A5360+1))</f>
        <v>.</v>
      </c>
      <c r="B5361" s="431" t="str">
        <f t="shared" si="83"/>
        <v>Knee Replacement RevisionCCG of GP PracticeNHS DORSET CCG (11J)EQ-5D Index</v>
      </c>
      <c r="C5361" t="s">
        <v>250</v>
      </c>
      <c r="D5361" t="s">
        <v>87</v>
      </c>
      <c r="E5361" t="s">
        <v>854</v>
      </c>
      <c r="F5361" t="s">
        <v>855</v>
      </c>
      <c r="G5361" t="s">
        <v>52</v>
      </c>
      <c r="H5361">
        <v>11</v>
      </c>
      <c r="I5361">
        <v>0.25700000000000001</v>
      </c>
      <c r="J5361">
        <v>0.52600000000000002</v>
      </c>
      <c r="K5361">
        <v>0.26900000000000002</v>
      </c>
      <c r="L5361">
        <v>10</v>
      </c>
      <c r="M5361">
        <v>0</v>
      </c>
      <c r="N5361">
        <v>1</v>
      </c>
      <c r="O5361" t="s">
        <v>53</v>
      </c>
      <c r="P5361" t="s">
        <v>53</v>
      </c>
      <c r="Q5361" t="s">
        <v>53</v>
      </c>
    </row>
    <row r="5362" spans="1:17" x14ac:dyDescent="0.2">
      <c r="A5362" s="30" t="str">
        <f>IF(C5362&amp;G5362&amp;D5362&lt;&gt;'Funnel setup'!$K$3&amp;'Funnel setup'!$K$4&amp;'Funnel setup'!$K$5,".",IF(A5361=".",1,A5361+1))</f>
        <v>.</v>
      </c>
      <c r="B5362" s="431" t="str">
        <f t="shared" si="83"/>
        <v>Knee Replacement RevisionCCG of GP PracticeNHS DUDLEY CCG (05C)EQ-5D Index</v>
      </c>
      <c r="C5362" t="s">
        <v>250</v>
      </c>
      <c r="D5362" t="s">
        <v>87</v>
      </c>
      <c r="E5362" t="s">
        <v>857</v>
      </c>
      <c r="F5362" t="s">
        <v>858</v>
      </c>
      <c r="G5362" t="s">
        <v>52</v>
      </c>
      <c r="H5362">
        <v>7</v>
      </c>
      <c r="I5362">
        <v>0.17599999999999999</v>
      </c>
      <c r="J5362">
        <v>0.45100000000000001</v>
      </c>
      <c r="K5362">
        <v>0.27500000000000002</v>
      </c>
      <c r="L5362">
        <v>6</v>
      </c>
      <c r="M5362">
        <v>0</v>
      </c>
      <c r="N5362">
        <v>1</v>
      </c>
      <c r="O5362" t="s">
        <v>53</v>
      </c>
      <c r="P5362" t="s">
        <v>53</v>
      </c>
      <c r="Q5362" t="s">
        <v>53</v>
      </c>
    </row>
    <row r="5363" spans="1:17" x14ac:dyDescent="0.2">
      <c r="A5363" s="30" t="str">
        <f>IF(C5363&amp;G5363&amp;D5363&lt;&gt;'Funnel setup'!$K$3&amp;'Funnel setup'!$K$4&amp;'Funnel setup'!$K$5,".",IF(A5362=".",1,A5362+1))</f>
        <v>.</v>
      </c>
      <c r="B5363" s="431" t="str">
        <f t="shared" si="83"/>
        <v>Knee Replacement RevisionCCG of GP PracticeNHS DURHAM DALES, EASINGTON AND SEDGEFIELD CCG (00D)EQ-5D Index</v>
      </c>
      <c r="C5363" t="s">
        <v>250</v>
      </c>
      <c r="D5363" t="s">
        <v>87</v>
      </c>
      <c r="E5363" t="s">
        <v>860</v>
      </c>
      <c r="F5363" t="s">
        <v>861</v>
      </c>
      <c r="G5363" t="s">
        <v>52</v>
      </c>
      <c r="H5363">
        <v>11</v>
      </c>
      <c r="I5363">
        <v>0.214</v>
      </c>
      <c r="J5363">
        <v>0.67800000000000005</v>
      </c>
      <c r="K5363">
        <v>0.46400000000000002</v>
      </c>
      <c r="L5363">
        <v>11</v>
      </c>
      <c r="M5363">
        <v>0</v>
      </c>
      <c r="N5363">
        <v>0</v>
      </c>
      <c r="O5363" t="s">
        <v>53</v>
      </c>
      <c r="P5363" t="s">
        <v>53</v>
      </c>
      <c r="Q5363" t="s">
        <v>53</v>
      </c>
    </row>
    <row r="5364" spans="1:17" x14ac:dyDescent="0.2">
      <c r="A5364" s="30" t="str">
        <f>IF(C5364&amp;G5364&amp;D5364&lt;&gt;'Funnel setup'!$K$3&amp;'Funnel setup'!$K$4&amp;'Funnel setup'!$K$5,".",IF(A5363=".",1,A5363+1))</f>
        <v>.</v>
      </c>
      <c r="B5364" s="431" t="str">
        <f t="shared" si="83"/>
        <v>Knee Replacement RevisionCCG of GP PracticeNHS EALING CCG (07W)EQ-5D Index</v>
      </c>
      <c r="C5364" t="s">
        <v>250</v>
      </c>
      <c r="D5364" t="s">
        <v>87</v>
      </c>
      <c r="E5364" t="s">
        <v>863</v>
      </c>
      <c r="F5364" t="s">
        <v>864</v>
      </c>
      <c r="G5364" t="s">
        <v>52</v>
      </c>
      <c r="H5364">
        <v>6</v>
      </c>
      <c r="I5364">
        <v>0.47899999999999998</v>
      </c>
      <c r="J5364">
        <v>0.47</v>
      </c>
      <c r="K5364">
        <v>-8.0000000000000002E-3</v>
      </c>
      <c r="L5364">
        <v>3</v>
      </c>
      <c r="M5364">
        <v>0</v>
      </c>
      <c r="N5364">
        <v>3</v>
      </c>
      <c r="O5364" t="s">
        <v>53</v>
      </c>
      <c r="P5364" t="s">
        <v>53</v>
      </c>
      <c r="Q5364" t="s">
        <v>53</v>
      </c>
    </row>
    <row r="5365" spans="1:17" x14ac:dyDescent="0.2">
      <c r="A5365" s="30" t="str">
        <f>IF(C5365&amp;G5365&amp;D5365&lt;&gt;'Funnel setup'!$K$3&amp;'Funnel setup'!$K$4&amp;'Funnel setup'!$K$5,".",IF(A5364=".",1,A5364+1))</f>
        <v>.</v>
      </c>
      <c r="B5365" s="431" t="str">
        <f t="shared" si="83"/>
        <v>Knee Replacement RevisionCCG of GP PracticeNHS EAST AND NORTH HERTFORDSHIRE CCG (06K)EQ-5D Index</v>
      </c>
      <c r="C5365" t="s">
        <v>250</v>
      </c>
      <c r="D5365" t="s">
        <v>87</v>
      </c>
      <c r="E5365" t="s">
        <v>866</v>
      </c>
      <c r="F5365" t="s">
        <v>867</v>
      </c>
      <c r="G5365" t="s">
        <v>52</v>
      </c>
      <c r="H5365">
        <v>12</v>
      </c>
      <c r="I5365">
        <v>0.28399999999999997</v>
      </c>
      <c r="J5365">
        <v>0.58899999999999997</v>
      </c>
      <c r="K5365">
        <v>0.30499999999999999</v>
      </c>
      <c r="L5365">
        <v>7</v>
      </c>
      <c r="M5365">
        <v>3</v>
      </c>
      <c r="N5365">
        <v>2</v>
      </c>
      <c r="O5365" t="s">
        <v>53</v>
      </c>
      <c r="P5365" t="s">
        <v>53</v>
      </c>
      <c r="Q5365" t="s">
        <v>53</v>
      </c>
    </row>
    <row r="5366" spans="1:17" x14ac:dyDescent="0.2">
      <c r="A5366" s="30" t="str">
        <f>IF(C5366&amp;G5366&amp;D5366&lt;&gt;'Funnel setup'!$K$3&amp;'Funnel setup'!$K$4&amp;'Funnel setup'!$K$5,".",IF(A5365=".",1,A5365+1))</f>
        <v>.</v>
      </c>
      <c r="B5366" s="431" t="str">
        <f t="shared" si="83"/>
        <v>Knee Replacement RevisionCCG of GP PracticeNHS EAST LANCASHIRE CCG (01A)EQ-5D Index</v>
      </c>
      <c r="C5366" t="s">
        <v>250</v>
      </c>
      <c r="D5366" t="s">
        <v>87</v>
      </c>
      <c r="E5366" t="s">
        <v>869</v>
      </c>
      <c r="F5366" t="s">
        <v>870</v>
      </c>
      <c r="G5366" t="s">
        <v>52</v>
      </c>
      <c r="H5366">
        <v>7</v>
      </c>
      <c r="I5366">
        <v>0.40799999999999997</v>
      </c>
      <c r="J5366">
        <v>0.44400000000000001</v>
      </c>
      <c r="K5366">
        <v>3.6999999999999998E-2</v>
      </c>
      <c r="L5366">
        <v>3</v>
      </c>
      <c r="M5366">
        <v>3</v>
      </c>
      <c r="N5366">
        <v>1</v>
      </c>
      <c r="O5366" t="s">
        <v>53</v>
      </c>
      <c r="P5366" t="s">
        <v>53</v>
      </c>
      <c r="Q5366" t="s">
        <v>53</v>
      </c>
    </row>
    <row r="5367" spans="1:17" x14ac:dyDescent="0.2">
      <c r="A5367" s="30" t="str">
        <f>IF(C5367&amp;G5367&amp;D5367&lt;&gt;'Funnel setup'!$K$3&amp;'Funnel setup'!$K$4&amp;'Funnel setup'!$K$5,".",IF(A5366=".",1,A5366+1))</f>
        <v>.</v>
      </c>
      <c r="B5367" s="431" t="str">
        <f t="shared" si="83"/>
        <v>Knee Replacement RevisionCCG of GP PracticeNHS EAST LEICESTERSHIRE AND RUTLAND CCG (03W)EQ-5D Index</v>
      </c>
      <c r="C5367" t="s">
        <v>250</v>
      </c>
      <c r="D5367" t="s">
        <v>87</v>
      </c>
      <c r="E5367" t="s">
        <v>872</v>
      </c>
      <c r="F5367" t="s">
        <v>873</v>
      </c>
      <c r="G5367" t="s">
        <v>52</v>
      </c>
      <c r="H5367">
        <v>14</v>
      </c>
      <c r="I5367">
        <v>0.23599999999999999</v>
      </c>
      <c r="J5367">
        <v>0.56299999999999994</v>
      </c>
      <c r="K5367">
        <v>0.32700000000000001</v>
      </c>
      <c r="L5367">
        <v>11</v>
      </c>
      <c r="M5367">
        <v>1</v>
      </c>
      <c r="N5367">
        <v>2</v>
      </c>
      <c r="O5367" t="s">
        <v>53</v>
      </c>
      <c r="P5367" t="s">
        <v>53</v>
      </c>
      <c r="Q5367" t="s">
        <v>53</v>
      </c>
    </row>
    <row r="5368" spans="1:17" x14ac:dyDescent="0.2">
      <c r="A5368" s="30" t="str">
        <f>IF(C5368&amp;G5368&amp;D5368&lt;&gt;'Funnel setup'!$K$3&amp;'Funnel setup'!$K$4&amp;'Funnel setup'!$K$5,".",IF(A5367=".",1,A5367+1))</f>
        <v>.</v>
      </c>
      <c r="B5368" s="431" t="str">
        <f t="shared" si="83"/>
        <v>Knee Replacement RevisionCCG of GP PracticeNHS EAST RIDING OF YORKSHIRE CCG (02Y)EQ-5D Index</v>
      </c>
      <c r="C5368" t="s">
        <v>250</v>
      </c>
      <c r="D5368" t="s">
        <v>87</v>
      </c>
      <c r="E5368" t="s">
        <v>875</v>
      </c>
      <c r="F5368" t="s">
        <v>876</v>
      </c>
      <c r="G5368" t="s">
        <v>52</v>
      </c>
      <c r="H5368">
        <v>17</v>
      </c>
      <c r="I5368">
        <v>0.374</v>
      </c>
      <c r="J5368">
        <v>0.59799999999999998</v>
      </c>
      <c r="K5368">
        <v>0.22500000000000001</v>
      </c>
      <c r="L5368">
        <v>10</v>
      </c>
      <c r="M5368">
        <v>3</v>
      </c>
      <c r="N5368">
        <v>4</v>
      </c>
      <c r="O5368" t="s">
        <v>53</v>
      </c>
      <c r="P5368" t="s">
        <v>53</v>
      </c>
      <c r="Q5368" t="s">
        <v>53</v>
      </c>
    </row>
    <row r="5369" spans="1:17" x14ac:dyDescent="0.2">
      <c r="A5369" s="30" t="str">
        <f>IF(C5369&amp;G5369&amp;D5369&lt;&gt;'Funnel setup'!$K$3&amp;'Funnel setup'!$K$4&amp;'Funnel setup'!$K$5,".",IF(A5368=".",1,A5368+1))</f>
        <v>.</v>
      </c>
      <c r="B5369" s="431" t="str">
        <f t="shared" si="83"/>
        <v>Knee Replacement RevisionCCG of GP PracticeNHS EAST STAFFORDSHIRE CCG (05D)EQ-5D Index</v>
      </c>
      <c r="C5369" t="s">
        <v>250</v>
      </c>
      <c r="D5369" t="s">
        <v>87</v>
      </c>
      <c r="E5369" t="s">
        <v>878</v>
      </c>
      <c r="F5369" t="s">
        <v>879</v>
      </c>
      <c r="G5369" t="s">
        <v>52</v>
      </c>
      <c r="H5369" t="s">
        <v>53</v>
      </c>
      <c r="I5369" t="s">
        <v>53</v>
      </c>
      <c r="J5369" t="s">
        <v>53</v>
      </c>
      <c r="K5369" t="s">
        <v>53</v>
      </c>
      <c r="L5369" t="s">
        <v>53</v>
      </c>
      <c r="M5369" t="s">
        <v>53</v>
      </c>
      <c r="N5369" t="s">
        <v>53</v>
      </c>
      <c r="O5369" t="s">
        <v>53</v>
      </c>
      <c r="P5369" t="s">
        <v>53</v>
      </c>
      <c r="Q5369" t="s">
        <v>53</v>
      </c>
    </row>
    <row r="5370" spans="1:17" x14ac:dyDescent="0.2">
      <c r="A5370" s="30" t="str">
        <f>IF(C5370&amp;G5370&amp;D5370&lt;&gt;'Funnel setup'!$K$3&amp;'Funnel setup'!$K$4&amp;'Funnel setup'!$K$5,".",IF(A5369=".",1,A5369+1))</f>
        <v>.</v>
      </c>
      <c r="B5370" s="431" t="str">
        <f t="shared" si="83"/>
        <v>Knee Replacement RevisionCCG of GP PracticeNHS EAST SURREY CCG (09L)EQ-5D Index</v>
      </c>
      <c r="C5370" t="s">
        <v>250</v>
      </c>
      <c r="D5370" t="s">
        <v>87</v>
      </c>
      <c r="E5370" t="s">
        <v>881</v>
      </c>
      <c r="F5370" t="s">
        <v>882</v>
      </c>
      <c r="G5370" t="s">
        <v>52</v>
      </c>
      <c r="H5370" t="s">
        <v>53</v>
      </c>
      <c r="I5370" t="s">
        <v>53</v>
      </c>
      <c r="J5370" t="s">
        <v>53</v>
      </c>
      <c r="K5370" t="s">
        <v>53</v>
      </c>
      <c r="L5370" t="s">
        <v>53</v>
      </c>
      <c r="M5370" t="s">
        <v>53</v>
      </c>
      <c r="N5370" t="s">
        <v>53</v>
      </c>
      <c r="O5370" t="s">
        <v>53</v>
      </c>
      <c r="P5370" t="s">
        <v>53</v>
      </c>
      <c r="Q5370" t="s">
        <v>53</v>
      </c>
    </row>
    <row r="5371" spans="1:17" x14ac:dyDescent="0.2">
      <c r="A5371" s="30" t="str">
        <f>IF(C5371&amp;G5371&amp;D5371&lt;&gt;'Funnel setup'!$K$3&amp;'Funnel setup'!$K$4&amp;'Funnel setup'!$K$5,".",IF(A5370=".",1,A5370+1))</f>
        <v>.</v>
      </c>
      <c r="B5371" s="431" t="str">
        <f t="shared" si="83"/>
        <v>Knee Replacement RevisionCCG of GP PracticeNHS EASTBOURNE, HAILSHAM AND SEAFORD CCG (09F)EQ-5D Index</v>
      </c>
      <c r="C5371" t="s">
        <v>250</v>
      </c>
      <c r="D5371" t="s">
        <v>87</v>
      </c>
      <c r="E5371" t="s">
        <v>884</v>
      </c>
      <c r="F5371" t="s">
        <v>885</v>
      </c>
      <c r="G5371" t="s">
        <v>52</v>
      </c>
      <c r="H5371">
        <v>15</v>
      </c>
      <c r="I5371">
        <v>0.51200000000000001</v>
      </c>
      <c r="J5371">
        <v>0.68</v>
      </c>
      <c r="K5371">
        <v>0.16800000000000001</v>
      </c>
      <c r="L5371">
        <v>10</v>
      </c>
      <c r="M5371">
        <v>3</v>
      </c>
      <c r="N5371">
        <v>2</v>
      </c>
      <c r="O5371" t="s">
        <v>53</v>
      </c>
      <c r="P5371" t="s">
        <v>53</v>
      </c>
      <c r="Q5371" t="s">
        <v>53</v>
      </c>
    </row>
    <row r="5372" spans="1:17" x14ac:dyDescent="0.2">
      <c r="A5372" s="30" t="str">
        <f>IF(C5372&amp;G5372&amp;D5372&lt;&gt;'Funnel setup'!$K$3&amp;'Funnel setup'!$K$4&amp;'Funnel setup'!$K$5,".",IF(A5371=".",1,A5371+1))</f>
        <v>.</v>
      </c>
      <c r="B5372" s="431" t="str">
        <f t="shared" si="83"/>
        <v>Knee Replacement RevisionCCG of GP PracticeNHS EASTERN CHESHIRE CCG (01C)EQ-5D Index</v>
      </c>
      <c r="C5372" t="s">
        <v>250</v>
      </c>
      <c r="D5372" t="s">
        <v>87</v>
      </c>
      <c r="E5372" t="s">
        <v>887</v>
      </c>
      <c r="F5372" t="s">
        <v>888</v>
      </c>
      <c r="G5372" t="s">
        <v>52</v>
      </c>
      <c r="H5372" t="s">
        <v>53</v>
      </c>
      <c r="I5372" t="s">
        <v>53</v>
      </c>
      <c r="J5372" t="s">
        <v>53</v>
      </c>
      <c r="K5372" t="s">
        <v>53</v>
      </c>
      <c r="L5372" t="s">
        <v>53</v>
      </c>
      <c r="M5372" t="s">
        <v>53</v>
      </c>
      <c r="N5372" t="s">
        <v>53</v>
      </c>
      <c r="O5372" t="s">
        <v>53</v>
      </c>
      <c r="P5372" t="s">
        <v>53</v>
      </c>
      <c r="Q5372" t="s">
        <v>53</v>
      </c>
    </row>
    <row r="5373" spans="1:17" x14ac:dyDescent="0.2">
      <c r="A5373" s="30" t="str">
        <f>IF(C5373&amp;G5373&amp;D5373&lt;&gt;'Funnel setup'!$K$3&amp;'Funnel setup'!$K$4&amp;'Funnel setup'!$K$5,".",IF(A5372=".",1,A5372+1))</f>
        <v>.</v>
      </c>
      <c r="B5373" s="431" t="str">
        <f t="shared" si="83"/>
        <v>Knee Replacement RevisionCCG of GP PracticeNHS ENFIELD CCG (07X)EQ-5D Index</v>
      </c>
      <c r="C5373" t="s">
        <v>250</v>
      </c>
      <c r="D5373" t="s">
        <v>87</v>
      </c>
      <c r="E5373" t="s">
        <v>890</v>
      </c>
      <c r="F5373" t="s">
        <v>891</v>
      </c>
      <c r="G5373" t="s">
        <v>52</v>
      </c>
      <c r="H5373" t="s">
        <v>53</v>
      </c>
      <c r="I5373" t="s">
        <v>53</v>
      </c>
      <c r="J5373" t="s">
        <v>53</v>
      </c>
      <c r="K5373" t="s">
        <v>53</v>
      </c>
      <c r="L5373" t="s">
        <v>53</v>
      </c>
      <c r="M5373" t="s">
        <v>53</v>
      </c>
      <c r="N5373" t="s">
        <v>53</v>
      </c>
      <c r="O5373" t="s">
        <v>53</v>
      </c>
      <c r="P5373" t="s">
        <v>53</v>
      </c>
      <c r="Q5373" t="s">
        <v>53</v>
      </c>
    </row>
    <row r="5374" spans="1:17" x14ac:dyDescent="0.2">
      <c r="A5374" s="30" t="str">
        <f>IF(C5374&amp;G5374&amp;D5374&lt;&gt;'Funnel setup'!$K$3&amp;'Funnel setup'!$K$4&amp;'Funnel setup'!$K$5,".",IF(A5373=".",1,A5373+1))</f>
        <v>.</v>
      </c>
      <c r="B5374" s="431" t="str">
        <f t="shared" si="83"/>
        <v>Knee Replacement RevisionCCG of GP PracticeNHS EREWASH CCG (03X)EQ-5D Index</v>
      </c>
      <c r="C5374" t="s">
        <v>250</v>
      </c>
      <c r="D5374" t="s">
        <v>87</v>
      </c>
      <c r="E5374" t="s">
        <v>893</v>
      </c>
      <c r="F5374" t="s">
        <v>894</v>
      </c>
      <c r="G5374" t="s">
        <v>52</v>
      </c>
      <c r="H5374" t="s">
        <v>53</v>
      </c>
      <c r="I5374" t="s">
        <v>53</v>
      </c>
      <c r="J5374" t="s">
        <v>53</v>
      </c>
      <c r="K5374" t="s">
        <v>53</v>
      </c>
      <c r="L5374" t="s">
        <v>53</v>
      </c>
      <c r="M5374" t="s">
        <v>53</v>
      </c>
      <c r="N5374" t="s">
        <v>53</v>
      </c>
      <c r="O5374" t="s">
        <v>53</v>
      </c>
      <c r="P5374" t="s">
        <v>53</v>
      </c>
      <c r="Q5374" t="s">
        <v>53</v>
      </c>
    </row>
    <row r="5375" spans="1:17" x14ac:dyDescent="0.2">
      <c r="A5375" s="30" t="str">
        <f>IF(C5375&amp;G5375&amp;D5375&lt;&gt;'Funnel setup'!$K$3&amp;'Funnel setup'!$K$4&amp;'Funnel setup'!$K$5,".",IF(A5374=".",1,A5374+1))</f>
        <v>.</v>
      </c>
      <c r="B5375" s="431" t="str">
        <f t="shared" si="83"/>
        <v>Knee Replacement RevisionCCG of GP PracticeNHS FAREHAM AND GOSPORT CCG (10K)EQ-5D Index</v>
      </c>
      <c r="C5375" t="s">
        <v>250</v>
      </c>
      <c r="D5375" t="s">
        <v>87</v>
      </c>
      <c r="E5375" t="s">
        <v>896</v>
      </c>
      <c r="F5375" t="s">
        <v>897</v>
      </c>
      <c r="G5375" t="s">
        <v>52</v>
      </c>
      <c r="H5375" t="s">
        <v>53</v>
      </c>
      <c r="I5375" t="s">
        <v>53</v>
      </c>
      <c r="J5375" t="s">
        <v>53</v>
      </c>
      <c r="K5375" t="s">
        <v>53</v>
      </c>
      <c r="L5375" t="s">
        <v>53</v>
      </c>
      <c r="M5375" t="s">
        <v>53</v>
      </c>
      <c r="N5375" t="s">
        <v>53</v>
      </c>
      <c r="O5375" t="s">
        <v>53</v>
      </c>
      <c r="P5375" t="s">
        <v>53</v>
      </c>
      <c r="Q5375" t="s">
        <v>53</v>
      </c>
    </row>
    <row r="5376" spans="1:17" x14ac:dyDescent="0.2">
      <c r="A5376" s="30" t="str">
        <f>IF(C5376&amp;G5376&amp;D5376&lt;&gt;'Funnel setup'!$K$3&amp;'Funnel setup'!$K$4&amp;'Funnel setup'!$K$5,".",IF(A5375=".",1,A5375+1))</f>
        <v>.</v>
      </c>
      <c r="B5376" s="431" t="str">
        <f t="shared" si="83"/>
        <v>Knee Replacement RevisionCCG of GP PracticeNHS FYLDE &amp; WYRE CCG (02M)EQ-5D Index</v>
      </c>
      <c r="C5376" t="s">
        <v>250</v>
      </c>
      <c r="D5376" t="s">
        <v>87</v>
      </c>
      <c r="E5376" t="s">
        <v>899</v>
      </c>
      <c r="F5376" t="s">
        <v>900</v>
      </c>
      <c r="G5376" t="s">
        <v>52</v>
      </c>
      <c r="H5376" t="s">
        <v>53</v>
      </c>
      <c r="I5376" t="s">
        <v>53</v>
      </c>
      <c r="J5376" t="s">
        <v>53</v>
      </c>
      <c r="K5376" t="s">
        <v>53</v>
      </c>
      <c r="L5376" t="s">
        <v>53</v>
      </c>
      <c r="M5376" t="s">
        <v>53</v>
      </c>
      <c r="N5376" t="s">
        <v>53</v>
      </c>
      <c r="O5376" t="s">
        <v>53</v>
      </c>
      <c r="P5376" t="s">
        <v>53</v>
      </c>
      <c r="Q5376" t="s">
        <v>53</v>
      </c>
    </row>
    <row r="5377" spans="1:17" x14ac:dyDescent="0.2">
      <c r="A5377" s="30" t="str">
        <f>IF(C5377&amp;G5377&amp;D5377&lt;&gt;'Funnel setup'!$K$3&amp;'Funnel setup'!$K$4&amp;'Funnel setup'!$K$5,".",IF(A5376=".",1,A5376+1))</f>
        <v>.</v>
      </c>
      <c r="B5377" s="431" t="str">
        <f t="shared" si="83"/>
        <v>Knee Replacement RevisionCCG of GP PracticeNHS GLOUCESTERSHIRE CCG (11M)EQ-5D Index</v>
      </c>
      <c r="C5377" t="s">
        <v>250</v>
      </c>
      <c r="D5377" t="s">
        <v>87</v>
      </c>
      <c r="E5377" t="s">
        <v>902</v>
      </c>
      <c r="F5377" t="s">
        <v>903</v>
      </c>
      <c r="G5377" t="s">
        <v>52</v>
      </c>
      <c r="H5377">
        <v>33</v>
      </c>
      <c r="I5377">
        <v>0.46899999999999997</v>
      </c>
      <c r="J5377">
        <v>0.64800000000000002</v>
      </c>
      <c r="K5377">
        <v>0.17899999999999999</v>
      </c>
      <c r="L5377">
        <v>20</v>
      </c>
      <c r="M5377">
        <v>3</v>
      </c>
      <c r="N5377">
        <v>10</v>
      </c>
      <c r="O5377">
        <v>0.55100000000000005</v>
      </c>
      <c r="P5377">
        <v>0.21875086399999999</v>
      </c>
      <c r="Q5377">
        <v>0.32200000000000001</v>
      </c>
    </row>
    <row r="5378" spans="1:17" x14ac:dyDescent="0.2">
      <c r="A5378" s="30" t="str">
        <f>IF(C5378&amp;G5378&amp;D5378&lt;&gt;'Funnel setup'!$K$3&amp;'Funnel setup'!$K$4&amp;'Funnel setup'!$K$5,".",IF(A5377=".",1,A5377+1))</f>
        <v>.</v>
      </c>
      <c r="B5378" s="431" t="str">
        <f t="shared" si="83"/>
        <v>Knee Replacement RevisionCCG of GP PracticeNHS GREAT YARMOUTH AND WAVENEY CCG (06M)EQ-5D Index</v>
      </c>
      <c r="C5378" t="s">
        <v>250</v>
      </c>
      <c r="D5378" t="s">
        <v>87</v>
      </c>
      <c r="E5378" t="s">
        <v>905</v>
      </c>
      <c r="F5378" t="s">
        <v>906</v>
      </c>
      <c r="G5378" t="s">
        <v>52</v>
      </c>
      <c r="H5378">
        <v>8</v>
      </c>
      <c r="I5378">
        <v>0.27800000000000002</v>
      </c>
      <c r="J5378">
        <v>0.625</v>
      </c>
      <c r="K5378">
        <v>0.34799999999999998</v>
      </c>
      <c r="L5378">
        <v>5</v>
      </c>
      <c r="M5378">
        <v>1</v>
      </c>
      <c r="N5378">
        <v>2</v>
      </c>
      <c r="O5378" t="s">
        <v>53</v>
      </c>
      <c r="P5378" t="s">
        <v>53</v>
      </c>
      <c r="Q5378" t="s">
        <v>53</v>
      </c>
    </row>
    <row r="5379" spans="1:17" x14ac:dyDescent="0.2">
      <c r="A5379" s="30" t="str">
        <f>IF(C5379&amp;G5379&amp;D5379&lt;&gt;'Funnel setup'!$K$3&amp;'Funnel setup'!$K$4&amp;'Funnel setup'!$K$5,".",IF(A5378=".",1,A5378+1))</f>
        <v>.</v>
      </c>
      <c r="B5379" s="431" t="str">
        <f t="shared" ref="B5379:B5442" si="84">C5379&amp;D5379&amp;F5379&amp;G5379</f>
        <v>Knee Replacement RevisionCCG of GP PracticeNHS GREATER HUDDERSFIELD CCG (03A)EQ-5D Index</v>
      </c>
      <c r="C5379" t="s">
        <v>250</v>
      </c>
      <c r="D5379" t="s">
        <v>87</v>
      </c>
      <c r="E5379" t="s">
        <v>908</v>
      </c>
      <c r="F5379" t="s">
        <v>909</v>
      </c>
      <c r="G5379" t="s">
        <v>52</v>
      </c>
      <c r="H5379">
        <v>7</v>
      </c>
      <c r="I5379">
        <v>0.46899999999999997</v>
      </c>
      <c r="J5379">
        <v>0.81200000000000006</v>
      </c>
      <c r="K5379">
        <v>0.34300000000000003</v>
      </c>
      <c r="L5379">
        <v>6</v>
      </c>
      <c r="M5379">
        <v>0</v>
      </c>
      <c r="N5379">
        <v>1</v>
      </c>
      <c r="O5379" t="s">
        <v>53</v>
      </c>
      <c r="P5379" t="s">
        <v>53</v>
      </c>
      <c r="Q5379" t="s">
        <v>53</v>
      </c>
    </row>
    <row r="5380" spans="1:17" x14ac:dyDescent="0.2">
      <c r="A5380" s="30" t="str">
        <f>IF(C5380&amp;G5380&amp;D5380&lt;&gt;'Funnel setup'!$K$3&amp;'Funnel setup'!$K$4&amp;'Funnel setup'!$K$5,".",IF(A5379=".",1,A5379+1))</f>
        <v>.</v>
      </c>
      <c r="B5380" s="431" t="str">
        <f t="shared" si="84"/>
        <v>Knee Replacement RevisionCCG of GP PracticeNHS GREATER PRESTON CCG (01E)EQ-5D Index</v>
      </c>
      <c r="C5380" t="s">
        <v>250</v>
      </c>
      <c r="D5380" t="s">
        <v>87</v>
      </c>
      <c r="E5380" t="s">
        <v>486</v>
      </c>
      <c r="F5380" t="s">
        <v>487</v>
      </c>
      <c r="G5380" t="s">
        <v>52</v>
      </c>
      <c r="H5380" t="s">
        <v>53</v>
      </c>
      <c r="I5380" t="s">
        <v>53</v>
      </c>
      <c r="J5380" t="s">
        <v>53</v>
      </c>
      <c r="K5380" t="s">
        <v>53</v>
      </c>
      <c r="L5380" t="s">
        <v>53</v>
      </c>
      <c r="M5380" t="s">
        <v>53</v>
      </c>
      <c r="N5380" t="s">
        <v>53</v>
      </c>
      <c r="O5380" t="s">
        <v>53</v>
      </c>
      <c r="P5380" t="s">
        <v>53</v>
      </c>
      <c r="Q5380" t="s">
        <v>53</v>
      </c>
    </row>
    <row r="5381" spans="1:17" x14ac:dyDescent="0.2">
      <c r="A5381" s="30" t="str">
        <f>IF(C5381&amp;G5381&amp;D5381&lt;&gt;'Funnel setup'!$K$3&amp;'Funnel setup'!$K$4&amp;'Funnel setup'!$K$5,".",IF(A5380=".",1,A5380+1))</f>
        <v>.</v>
      </c>
      <c r="B5381" s="431" t="str">
        <f t="shared" si="84"/>
        <v>Knee Replacement RevisionCCG of GP PracticeNHS GREENWICH CCG (08A)EQ-5D Index</v>
      </c>
      <c r="C5381" t="s">
        <v>250</v>
      </c>
      <c r="D5381" t="s">
        <v>87</v>
      </c>
      <c r="E5381" t="s">
        <v>489</v>
      </c>
      <c r="F5381" t="s">
        <v>490</v>
      </c>
      <c r="G5381" t="s">
        <v>52</v>
      </c>
      <c r="H5381" t="s">
        <v>53</v>
      </c>
      <c r="I5381" t="s">
        <v>53</v>
      </c>
      <c r="J5381" t="s">
        <v>53</v>
      </c>
      <c r="K5381" t="s">
        <v>53</v>
      </c>
      <c r="L5381" t="s">
        <v>53</v>
      </c>
      <c r="M5381" t="s">
        <v>53</v>
      </c>
      <c r="N5381" t="s">
        <v>53</v>
      </c>
      <c r="O5381" t="s">
        <v>53</v>
      </c>
      <c r="P5381" t="s">
        <v>53</v>
      </c>
      <c r="Q5381" t="s">
        <v>53</v>
      </c>
    </row>
    <row r="5382" spans="1:17" x14ac:dyDescent="0.2">
      <c r="A5382" s="30" t="str">
        <f>IF(C5382&amp;G5382&amp;D5382&lt;&gt;'Funnel setup'!$K$3&amp;'Funnel setup'!$K$4&amp;'Funnel setup'!$K$5,".",IF(A5381=".",1,A5381+1))</f>
        <v>.</v>
      </c>
      <c r="B5382" s="431" t="str">
        <f t="shared" si="84"/>
        <v>Knee Replacement RevisionCCG of GP PracticeNHS GUILDFORD AND WAVERLEY CCG (09N)EQ-5D Index</v>
      </c>
      <c r="C5382" t="s">
        <v>250</v>
      </c>
      <c r="D5382" t="s">
        <v>87</v>
      </c>
      <c r="E5382" t="s">
        <v>911</v>
      </c>
      <c r="F5382" t="s">
        <v>912</v>
      </c>
      <c r="G5382" t="s">
        <v>52</v>
      </c>
      <c r="H5382" t="s">
        <v>53</v>
      </c>
      <c r="I5382" t="s">
        <v>53</v>
      </c>
      <c r="J5382" t="s">
        <v>53</v>
      </c>
      <c r="K5382" t="s">
        <v>53</v>
      </c>
      <c r="L5382" t="s">
        <v>53</v>
      </c>
      <c r="M5382" t="s">
        <v>53</v>
      </c>
      <c r="N5382" t="s">
        <v>53</v>
      </c>
      <c r="O5382" t="s">
        <v>53</v>
      </c>
      <c r="P5382" t="s">
        <v>53</v>
      </c>
      <c r="Q5382" t="s">
        <v>53</v>
      </c>
    </row>
    <row r="5383" spans="1:17" x14ac:dyDescent="0.2">
      <c r="A5383" s="30" t="str">
        <f>IF(C5383&amp;G5383&amp;D5383&lt;&gt;'Funnel setup'!$K$3&amp;'Funnel setup'!$K$4&amp;'Funnel setup'!$K$5,".",IF(A5382=".",1,A5382+1))</f>
        <v>.</v>
      </c>
      <c r="B5383" s="431" t="str">
        <f t="shared" si="84"/>
        <v>Knee Replacement RevisionCCG of GP PracticeNHS HALTON CCG (01F)EQ-5D Index</v>
      </c>
      <c r="C5383" t="s">
        <v>250</v>
      </c>
      <c r="D5383" t="s">
        <v>87</v>
      </c>
      <c r="E5383" t="s">
        <v>914</v>
      </c>
      <c r="F5383" t="s">
        <v>915</v>
      </c>
      <c r="G5383" t="s">
        <v>52</v>
      </c>
      <c r="H5383">
        <v>8</v>
      </c>
      <c r="I5383">
        <v>0.379</v>
      </c>
      <c r="J5383">
        <v>0.60699999999999998</v>
      </c>
      <c r="K5383">
        <v>0.22800000000000001</v>
      </c>
      <c r="L5383">
        <v>7</v>
      </c>
      <c r="M5383">
        <v>0</v>
      </c>
      <c r="N5383">
        <v>1</v>
      </c>
      <c r="O5383" t="s">
        <v>53</v>
      </c>
      <c r="P5383" t="s">
        <v>53</v>
      </c>
      <c r="Q5383" t="s">
        <v>53</v>
      </c>
    </row>
    <row r="5384" spans="1:17" x14ac:dyDescent="0.2">
      <c r="A5384" s="30" t="str">
        <f>IF(C5384&amp;G5384&amp;D5384&lt;&gt;'Funnel setup'!$K$3&amp;'Funnel setup'!$K$4&amp;'Funnel setup'!$K$5,".",IF(A5383=".",1,A5383+1))</f>
        <v>.</v>
      </c>
      <c r="B5384" s="431" t="str">
        <f t="shared" si="84"/>
        <v>Knee Replacement RevisionCCG of GP PracticeNHS HAMBLETON, RICHMONDSHIRE AND WHITBY CCG (03D)EQ-5D Index</v>
      </c>
      <c r="C5384" t="s">
        <v>250</v>
      </c>
      <c r="D5384" t="s">
        <v>87</v>
      </c>
      <c r="E5384" t="s">
        <v>917</v>
      </c>
      <c r="F5384" t="s">
        <v>918</v>
      </c>
      <c r="G5384" t="s">
        <v>52</v>
      </c>
      <c r="H5384">
        <v>10</v>
      </c>
      <c r="I5384">
        <v>0.441</v>
      </c>
      <c r="J5384">
        <v>0.56100000000000005</v>
      </c>
      <c r="K5384">
        <v>0.12</v>
      </c>
      <c r="L5384">
        <v>5</v>
      </c>
      <c r="M5384">
        <v>3</v>
      </c>
      <c r="N5384">
        <v>2</v>
      </c>
      <c r="O5384" t="s">
        <v>53</v>
      </c>
      <c r="P5384" t="s">
        <v>53</v>
      </c>
      <c r="Q5384" t="s">
        <v>53</v>
      </c>
    </row>
    <row r="5385" spans="1:17" x14ac:dyDescent="0.2">
      <c r="A5385" s="30" t="str">
        <f>IF(C5385&amp;G5385&amp;D5385&lt;&gt;'Funnel setup'!$K$3&amp;'Funnel setup'!$K$4&amp;'Funnel setup'!$K$5,".",IF(A5384=".",1,A5384+1))</f>
        <v>.</v>
      </c>
      <c r="B5385" s="431" t="str">
        <f t="shared" si="84"/>
        <v>Knee Replacement RevisionCCG of GP PracticeNHS HARDWICK CCG (03Y)EQ-5D Index</v>
      </c>
      <c r="C5385" t="s">
        <v>250</v>
      </c>
      <c r="D5385" t="s">
        <v>87</v>
      </c>
      <c r="E5385" t="s">
        <v>923</v>
      </c>
      <c r="F5385" t="s">
        <v>924</v>
      </c>
      <c r="G5385" t="s">
        <v>52</v>
      </c>
      <c r="H5385">
        <v>6</v>
      </c>
      <c r="I5385">
        <v>0.28399999999999997</v>
      </c>
      <c r="J5385">
        <v>0.46899999999999997</v>
      </c>
      <c r="K5385">
        <v>0.185</v>
      </c>
      <c r="L5385">
        <v>3</v>
      </c>
      <c r="M5385">
        <v>1</v>
      </c>
      <c r="N5385">
        <v>2</v>
      </c>
      <c r="O5385" t="s">
        <v>53</v>
      </c>
      <c r="P5385" t="s">
        <v>53</v>
      </c>
      <c r="Q5385" t="s">
        <v>53</v>
      </c>
    </row>
    <row r="5386" spans="1:17" x14ac:dyDescent="0.2">
      <c r="A5386" s="30" t="str">
        <f>IF(C5386&amp;G5386&amp;D5386&lt;&gt;'Funnel setup'!$K$3&amp;'Funnel setup'!$K$4&amp;'Funnel setup'!$K$5,".",IF(A5385=".",1,A5385+1))</f>
        <v>.</v>
      </c>
      <c r="B5386" s="431" t="str">
        <f t="shared" si="84"/>
        <v>Knee Replacement RevisionCCG of GP PracticeNHS HARROGATE AND RURAL DISTRICT CCG (03E)EQ-5D Index</v>
      </c>
      <c r="C5386" t="s">
        <v>250</v>
      </c>
      <c r="D5386" t="s">
        <v>87</v>
      </c>
      <c r="E5386" t="s">
        <v>929</v>
      </c>
      <c r="F5386" t="s">
        <v>930</v>
      </c>
      <c r="G5386" t="s">
        <v>52</v>
      </c>
      <c r="H5386">
        <v>10</v>
      </c>
      <c r="I5386">
        <v>0.30399999999999999</v>
      </c>
      <c r="J5386">
        <v>0.66</v>
      </c>
      <c r="K5386">
        <v>0.35599999999999998</v>
      </c>
      <c r="L5386">
        <v>8</v>
      </c>
      <c r="M5386">
        <v>2</v>
      </c>
      <c r="N5386">
        <v>0</v>
      </c>
      <c r="O5386" t="s">
        <v>53</v>
      </c>
      <c r="P5386" t="s">
        <v>53</v>
      </c>
      <c r="Q5386" t="s">
        <v>53</v>
      </c>
    </row>
    <row r="5387" spans="1:17" x14ac:dyDescent="0.2">
      <c r="A5387" s="30" t="str">
        <f>IF(C5387&amp;G5387&amp;D5387&lt;&gt;'Funnel setup'!$K$3&amp;'Funnel setup'!$K$4&amp;'Funnel setup'!$K$5,".",IF(A5386=".",1,A5386+1))</f>
        <v>.</v>
      </c>
      <c r="B5387" s="431" t="str">
        <f t="shared" si="84"/>
        <v>Knee Replacement RevisionCCG of GP PracticeNHS HARTLEPOOL AND STOCKTON-ON-TEES CCG (00K)EQ-5D Index</v>
      </c>
      <c r="C5387" t="s">
        <v>250</v>
      </c>
      <c r="D5387" t="s">
        <v>87</v>
      </c>
      <c r="E5387" t="s">
        <v>495</v>
      </c>
      <c r="F5387" t="s">
        <v>496</v>
      </c>
      <c r="G5387" t="s">
        <v>52</v>
      </c>
      <c r="H5387">
        <v>15</v>
      </c>
      <c r="I5387">
        <v>0.17100000000000001</v>
      </c>
      <c r="J5387">
        <v>0.55500000000000005</v>
      </c>
      <c r="K5387">
        <v>0.38400000000000001</v>
      </c>
      <c r="L5387">
        <v>12</v>
      </c>
      <c r="M5387">
        <v>3</v>
      </c>
      <c r="N5387">
        <v>0</v>
      </c>
      <c r="O5387" t="s">
        <v>53</v>
      </c>
      <c r="P5387" t="s">
        <v>53</v>
      </c>
      <c r="Q5387" t="s">
        <v>53</v>
      </c>
    </row>
    <row r="5388" spans="1:17" x14ac:dyDescent="0.2">
      <c r="A5388" s="30" t="str">
        <f>IF(C5388&amp;G5388&amp;D5388&lt;&gt;'Funnel setup'!$K$3&amp;'Funnel setup'!$K$4&amp;'Funnel setup'!$K$5,".",IF(A5387=".",1,A5387+1))</f>
        <v>.</v>
      </c>
      <c r="B5388" s="431" t="str">
        <f t="shared" si="84"/>
        <v>Knee Replacement RevisionCCG of GP PracticeNHS HASTINGS AND ROTHER CCG (09P)EQ-5D Index</v>
      </c>
      <c r="C5388" t="s">
        <v>250</v>
      </c>
      <c r="D5388" t="s">
        <v>87</v>
      </c>
      <c r="E5388" t="s">
        <v>498</v>
      </c>
      <c r="F5388" t="s">
        <v>499</v>
      </c>
      <c r="G5388" t="s">
        <v>52</v>
      </c>
      <c r="H5388">
        <v>19</v>
      </c>
      <c r="I5388">
        <v>0.44600000000000001</v>
      </c>
      <c r="J5388">
        <v>0.64400000000000002</v>
      </c>
      <c r="K5388">
        <v>0.19800000000000001</v>
      </c>
      <c r="L5388">
        <v>15</v>
      </c>
      <c r="M5388">
        <v>1</v>
      </c>
      <c r="N5388">
        <v>3</v>
      </c>
      <c r="O5388" t="s">
        <v>53</v>
      </c>
      <c r="P5388" t="s">
        <v>53</v>
      </c>
      <c r="Q5388" t="s">
        <v>53</v>
      </c>
    </row>
    <row r="5389" spans="1:17" x14ac:dyDescent="0.2">
      <c r="A5389" s="30" t="str">
        <f>IF(C5389&amp;G5389&amp;D5389&lt;&gt;'Funnel setup'!$K$3&amp;'Funnel setup'!$K$4&amp;'Funnel setup'!$K$5,".",IF(A5388=".",1,A5388+1))</f>
        <v>.</v>
      </c>
      <c r="B5389" s="431" t="str">
        <f t="shared" si="84"/>
        <v>Knee Replacement RevisionCCG of GP PracticeNHS HAVERING CCG (08F)EQ-5D Index</v>
      </c>
      <c r="C5389" t="s">
        <v>250</v>
      </c>
      <c r="D5389" t="s">
        <v>87</v>
      </c>
      <c r="E5389" t="s">
        <v>501</v>
      </c>
      <c r="F5389" t="s">
        <v>502</v>
      </c>
      <c r="G5389" t="s">
        <v>52</v>
      </c>
      <c r="H5389" t="s">
        <v>53</v>
      </c>
      <c r="I5389" t="s">
        <v>53</v>
      </c>
      <c r="J5389" t="s">
        <v>53</v>
      </c>
      <c r="K5389" t="s">
        <v>53</v>
      </c>
      <c r="L5389" t="s">
        <v>53</v>
      </c>
      <c r="M5389" t="s">
        <v>53</v>
      </c>
      <c r="N5389" t="s">
        <v>53</v>
      </c>
      <c r="O5389" t="s">
        <v>53</v>
      </c>
      <c r="P5389" t="s">
        <v>53</v>
      </c>
      <c r="Q5389" t="s">
        <v>53</v>
      </c>
    </row>
    <row r="5390" spans="1:17" x14ac:dyDescent="0.2">
      <c r="A5390" s="30" t="str">
        <f>IF(C5390&amp;G5390&amp;D5390&lt;&gt;'Funnel setup'!$K$3&amp;'Funnel setup'!$K$4&amp;'Funnel setup'!$K$5,".",IF(A5389=".",1,A5389+1))</f>
        <v>.</v>
      </c>
      <c r="B5390" s="431" t="str">
        <f t="shared" si="84"/>
        <v>Knee Replacement RevisionCCG of GP PracticeNHS HEREFORDSHIRE CCG (05F)EQ-5D Index</v>
      </c>
      <c r="C5390" t="s">
        <v>250</v>
      </c>
      <c r="D5390" t="s">
        <v>87</v>
      </c>
      <c r="E5390" t="s">
        <v>504</v>
      </c>
      <c r="F5390" t="s">
        <v>505</v>
      </c>
      <c r="G5390" t="s">
        <v>52</v>
      </c>
      <c r="H5390" t="s">
        <v>53</v>
      </c>
      <c r="I5390" t="s">
        <v>53</v>
      </c>
      <c r="J5390" t="s">
        <v>53</v>
      </c>
      <c r="K5390" t="s">
        <v>53</v>
      </c>
      <c r="L5390" t="s">
        <v>53</v>
      </c>
      <c r="M5390" t="s">
        <v>53</v>
      </c>
      <c r="N5390" t="s">
        <v>53</v>
      </c>
      <c r="O5390" t="s">
        <v>53</v>
      </c>
      <c r="P5390" t="s">
        <v>53</v>
      </c>
      <c r="Q5390" t="s">
        <v>53</v>
      </c>
    </row>
    <row r="5391" spans="1:17" x14ac:dyDescent="0.2">
      <c r="A5391" s="30" t="str">
        <f>IF(C5391&amp;G5391&amp;D5391&lt;&gt;'Funnel setup'!$K$3&amp;'Funnel setup'!$K$4&amp;'Funnel setup'!$K$5,".",IF(A5390=".",1,A5390+1))</f>
        <v>.</v>
      </c>
      <c r="B5391" s="431" t="str">
        <f t="shared" si="84"/>
        <v>Knee Replacement RevisionCCG of GP PracticeNHS HERTS VALLEYS CCG (06N)EQ-5D Index</v>
      </c>
      <c r="C5391" t="s">
        <v>250</v>
      </c>
      <c r="D5391" t="s">
        <v>87</v>
      </c>
      <c r="E5391" t="s">
        <v>507</v>
      </c>
      <c r="F5391" t="s">
        <v>508</v>
      </c>
      <c r="G5391" t="s">
        <v>52</v>
      </c>
      <c r="H5391">
        <v>14</v>
      </c>
      <c r="I5391">
        <v>0.10299999999999999</v>
      </c>
      <c r="J5391">
        <v>0.46100000000000002</v>
      </c>
      <c r="K5391">
        <v>0.35699999999999998</v>
      </c>
      <c r="L5391">
        <v>12</v>
      </c>
      <c r="M5391">
        <v>2</v>
      </c>
      <c r="N5391">
        <v>0</v>
      </c>
      <c r="O5391" t="s">
        <v>53</v>
      </c>
      <c r="P5391" t="s">
        <v>53</v>
      </c>
      <c r="Q5391" t="s">
        <v>53</v>
      </c>
    </row>
    <row r="5392" spans="1:17" x14ac:dyDescent="0.2">
      <c r="A5392" s="30" t="str">
        <f>IF(C5392&amp;G5392&amp;D5392&lt;&gt;'Funnel setup'!$K$3&amp;'Funnel setup'!$K$4&amp;'Funnel setup'!$K$5,".",IF(A5391=".",1,A5391+1))</f>
        <v>.</v>
      </c>
      <c r="B5392" s="431" t="str">
        <f t="shared" si="84"/>
        <v>Knee Replacement RevisionCCG of GP PracticeNHS HEYWOOD, MIDDLETON AND ROCHDALE CCG (01D)EQ-5D Index</v>
      </c>
      <c r="C5392" t="s">
        <v>250</v>
      </c>
      <c r="D5392" t="s">
        <v>87</v>
      </c>
      <c r="E5392" t="s">
        <v>510</v>
      </c>
      <c r="F5392" t="s">
        <v>511</v>
      </c>
      <c r="G5392" t="s">
        <v>52</v>
      </c>
      <c r="H5392" t="s">
        <v>53</v>
      </c>
      <c r="I5392" t="s">
        <v>53</v>
      </c>
      <c r="J5392" t="s">
        <v>53</v>
      </c>
      <c r="K5392" t="s">
        <v>53</v>
      </c>
      <c r="L5392" t="s">
        <v>53</v>
      </c>
      <c r="M5392" t="s">
        <v>53</v>
      </c>
      <c r="N5392" t="s">
        <v>53</v>
      </c>
      <c r="O5392" t="s">
        <v>53</v>
      </c>
      <c r="P5392" t="s">
        <v>53</v>
      </c>
      <c r="Q5392" t="s">
        <v>53</v>
      </c>
    </row>
    <row r="5393" spans="1:17" x14ac:dyDescent="0.2">
      <c r="A5393" s="30" t="str">
        <f>IF(C5393&amp;G5393&amp;D5393&lt;&gt;'Funnel setup'!$K$3&amp;'Funnel setup'!$K$4&amp;'Funnel setup'!$K$5,".",IF(A5392=".",1,A5392+1))</f>
        <v>.</v>
      </c>
      <c r="B5393" s="431" t="str">
        <f t="shared" si="84"/>
        <v>Knee Replacement RevisionCCG of GP PracticeNHS HIGH WEALD LEWES HAVENS CCG (99K)EQ-5D Index</v>
      </c>
      <c r="C5393" t="s">
        <v>250</v>
      </c>
      <c r="D5393" t="s">
        <v>87</v>
      </c>
      <c r="E5393" t="s">
        <v>513</v>
      </c>
      <c r="F5393" t="s">
        <v>514</v>
      </c>
      <c r="G5393" t="s">
        <v>52</v>
      </c>
      <c r="H5393">
        <v>12</v>
      </c>
      <c r="I5393">
        <v>0.47699999999999998</v>
      </c>
      <c r="J5393">
        <v>0.71699999999999997</v>
      </c>
      <c r="K5393">
        <v>0.24</v>
      </c>
      <c r="L5393">
        <v>10</v>
      </c>
      <c r="M5393">
        <v>1</v>
      </c>
      <c r="N5393">
        <v>1</v>
      </c>
      <c r="O5393" t="s">
        <v>53</v>
      </c>
      <c r="P5393" t="s">
        <v>53</v>
      </c>
      <c r="Q5393" t="s">
        <v>53</v>
      </c>
    </row>
    <row r="5394" spans="1:17" x14ac:dyDescent="0.2">
      <c r="A5394" s="30" t="str">
        <f>IF(C5394&amp;G5394&amp;D5394&lt;&gt;'Funnel setup'!$K$3&amp;'Funnel setup'!$K$4&amp;'Funnel setup'!$K$5,".",IF(A5393=".",1,A5393+1))</f>
        <v>.</v>
      </c>
      <c r="B5394" s="431" t="str">
        <f t="shared" si="84"/>
        <v>Knee Replacement RevisionCCG of GP PracticeNHS HILLINGDON CCG (08G)EQ-5D Index</v>
      </c>
      <c r="C5394" t="s">
        <v>250</v>
      </c>
      <c r="D5394" t="s">
        <v>87</v>
      </c>
      <c r="E5394" t="s">
        <v>516</v>
      </c>
      <c r="F5394" t="s">
        <v>517</v>
      </c>
      <c r="G5394" t="s">
        <v>52</v>
      </c>
      <c r="H5394" t="s">
        <v>53</v>
      </c>
      <c r="I5394" t="s">
        <v>53</v>
      </c>
      <c r="J5394" t="s">
        <v>53</v>
      </c>
      <c r="K5394" t="s">
        <v>53</v>
      </c>
      <c r="L5394" t="s">
        <v>53</v>
      </c>
      <c r="M5394" t="s">
        <v>53</v>
      </c>
      <c r="N5394" t="s">
        <v>53</v>
      </c>
      <c r="O5394" t="s">
        <v>53</v>
      </c>
      <c r="P5394" t="s">
        <v>53</v>
      </c>
      <c r="Q5394" t="s">
        <v>53</v>
      </c>
    </row>
    <row r="5395" spans="1:17" x14ac:dyDescent="0.2">
      <c r="A5395" s="30" t="str">
        <f>IF(C5395&amp;G5395&amp;D5395&lt;&gt;'Funnel setup'!$K$3&amp;'Funnel setup'!$K$4&amp;'Funnel setup'!$K$5,".",IF(A5394=".",1,A5394+1))</f>
        <v>.</v>
      </c>
      <c r="B5395" s="431" t="str">
        <f t="shared" si="84"/>
        <v>Knee Replacement RevisionCCG of GP PracticeNHS HORSHAM AND MID SUSSEX CCG (09X)EQ-5D Index</v>
      </c>
      <c r="C5395" t="s">
        <v>250</v>
      </c>
      <c r="D5395" t="s">
        <v>87</v>
      </c>
      <c r="E5395" t="s">
        <v>519</v>
      </c>
      <c r="F5395" t="s">
        <v>520</v>
      </c>
      <c r="G5395" t="s">
        <v>52</v>
      </c>
      <c r="H5395" t="s">
        <v>53</v>
      </c>
      <c r="I5395" t="s">
        <v>53</v>
      </c>
      <c r="J5395" t="s">
        <v>53</v>
      </c>
      <c r="K5395" t="s">
        <v>53</v>
      </c>
      <c r="L5395" t="s">
        <v>53</v>
      </c>
      <c r="M5395" t="s">
        <v>53</v>
      </c>
      <c r="N5395" t="s">
        <v>53</v>
      </c>
      <c r="O5395" t="s">
        <v>53</v>
      </c>
      <c r="P5395" t="s">
        <v>53</v>
      </c>
      <c r="Q5395" t="s">
        <v>53</v>
      </c>
    </row>
    <row r="5396" spans="1:17" x14ac:dyDescent="0.2">
      <c r="A5396" s="30" t="str">
        <f>IF(C5396&amp;G5396&amp;D5396&lt;&gt;'Funnel setup'!$K$3&amp;'Funnel setup'!$K$4&amp;'Funnel setup'!$K$5,".",IF(A5395=".",1,A5395+1))</f>
        <v>.</v>
      </c>
      <c r="B5396" s="431" t="str">
        <f t="shared" si="84"/>
        <v>Knee Replacement RevisionCCG of GP PracticeNHS HOUNSLOW CCG (07Y)EQ-5D Index</v>
      </c>
      <c r="C5396" t="s">
        <v>250</v>
      </c>
      <c r="D5396" t="s">
        <v>87</v>
      </c>
      <c r="E5396" t="s">
        <v>522</v>
      </c>
      <c r="F5396" t="s">
        <v>523</v>
      </c>
      <c r="G5396" t="s">
        <v>52</v>
      </c>
      <c r="H5396" t="s">
        <v>53</v>
      </c>
      <c r="I5396" t="s">
        <v>53</v>
      </c>
      <c r="J5396" t="s">
        <v>53</v>
      </c>
      <c r="K5396" t="s">
        <v>53</v>
      </c>
      <c r="L5396" t="s">
        <v>53</v>
      </c>
      <c r="M5396" t="s">
        <v>53</v>
      </c>
      <c r="N5396" t="s">
        <v>53</v>
      </c>
      <c r="O5396" t="s">
        <v>53</v>
      </c>
      <c r="P5396" t="s">
        <v>53</v>
      </c>
      <c r="Q5396" t="s">
        <v>53</v>
      </c>
    </row>
    <row r="5397" spans="1:17" x14ac:dyDescent="0.2">
      <c r="A5397" s="30" t="str">
        <f>IF(C5397&amp;G5397&amp;D5397&lt;&gt;'Funnel setup'!$K$3&amp;'Funnel setup'!$K$4&amp;'Funnel setup'!$K$5,".",IF(A5396=".",1,A5396+1))</f>
        <v>.</v>
      </c>
      <c r="B5397" s="431" t="str">
        <f t="shared" si="84"/>
        <v>Knee Replacement RevisionCCG of GP PracticeNHS HULL CCG (03F)EQ-5D Index</v>
      </c>
      <c r="C5397" t="s">
        <v>250</v>
      </c>
      <c r="D5397" t="s">
        <v>87</v>
      </c>
      <c r="E5397" t="s">
        <v>525</v>
      </c>
      <c r="F5397" t="s">
        <v>526</v>
      </c>
      <c r="G5397" t="s">
        <v>52</v>
      </c>
      <c r="H5397">
        <v>11</v>
      </c>
      <c r="I5397">
        <v>0.33200000000000002</v>
      </c>
      <c r="J5397">
        <v>0.44700000000000001</v>
      </c>
      <c r="K5397">
        <v>0.114</v>
      </c>
      <c r="L5397">
        <v>6</v>
      </c>
      <c r="M5397">
        <v>1</v>
      </c>
      <c r="N5397">
        <v>4</v>
      </c>
      <c r="O5397" t="s">
        <v>53</v>
      </c>
      <c r="P5397" t="s">
        <v>53</v>
      </c>
      <c r="Q5397" t="s">
        <v>53</v>
      </c>
    </row>
    <row r="5398" spans="1:17" x14ac:dyDescent="0.2">
      <c r="A5398" s="30" t="str">
        <f>IF(C5398&amp;G5398&amp;D5398&lt;&gt;'Funnel setup'!$K$3&amp;'Funnel setup'!$K$4&amp;'Funnel setup'!$K$5,".",IF(A5397=".",1,A5397+1))</f>
        <v>.</v>
      </c>
      <c r="B5398" s="431" t="str">
        <f t="shared" si="84"/>
        <v>Knee Replacement RevisionCCG of GP PracticeNHS IPSWICH AND EAST SUFFOLK CCG (06L)EQ-5D Index</v>
      </c>
      <c r="C5398" t="s">
        <v>250</v>
      </c>
      <c r="D5398" t="s">
        <v>87</v>
      </c>
      <c r="E5398" t="s">
        <v>528</v>
      </c>
      <c r="F5398" t="s">
        <v>529</v>
      </c>
      <c r="G5398" t="s">
        <v>52</v>
      </c>
      <c r="H5398" t="s">
        <v>53</v>
      </c>
      <c r="I5398" t="s">
        <v>53</v>
      </c>
      <c r="J5398" t="s">
        <v>53</v>
      </c>
      <c r="K5398" t="s">
        <v>53</v>
      </c>
      <c r="L5398" t="s">
        <v>53</v>
      </c>
      <c r="M5398" t="s">
        <v>53</v>
      </c>
      <c r="N5398" t="s">
        <v>53</v>
      </c>
      <c r="O5398" t="s">
        <v>53</v>
      </c>
      <c r="P5398" t="s">
        <v>53</v>
      </c>
      <c r="Q5398" t="s">
        <v>53</v>
      </c>
    </row>
    <row r="5399" spans="1:17" x14ac:dyDescent="0.2">
      <c r="A5399" s="30" t="str">
        <f>IF(C5399&amp;G5399&amp;D5399&lt;&gt;'Funnel setup'!$K$3&amp;'Funnel setup'!$K$4&amp;'Funnel setup'!$K$5,".",IF(A5398=".",1,A5398+1))</f>
        <v>.</v>
      </c>
      <c r="B5399" s="431" t="str">
        <f t="shared" si="84"/>
        <v>Knee Replacement RevisionCCG of GP PracticeNHS ISLE OF WIGHT CCG (10L)EQ-5D Index</v>
      </c>
      <c r="C5399" t="s">
        <v>250</v>
      </c>
      <c r="D5399" t="s">
        <v>87</v>
      </c>
      <c r="E5399" t="s">
        <v>531</v>
      </c>
      <c r="F5399" t="s">
        <v>532</v>
      </c>
      <c r="G5399" t="s">
        <v>52</v>
      </c>
      <c r="H5399" t="s">
        <v>53</v>
      </c>
      <c r="I5399" t="s">
        <v>53</v>
      </c>
      <c r="J5399" t="s">
        <v>53</v>
      </c>
      <c r="K5399" t="s">
        <v>53</v>
      </c>
      <c r="L5399" t="s">
        <v>53</v>
      </c>
      <c r="M5399" t="s">
        <v>53</v>
      </c>
      <c r="N5399" t="s">
        <v>53</v>
      </c>
      <c r="O5399" t="s">
        <v>53</v>
      </c>
      <c r="P5399" t="s">
        <v>53</v>
      </c>
      <c r="Q5399" t="s">
        <v>53</v>
      </c>
    </row>
    <row r="5400" spans="1:17" x14ac:dyDescent="0.2">
      <c r="A5400" s="30" t="str">
        <f>IF(C5400&amp;G5400&amp;D5400&lt;&gt;'Funnel setup'!$K$3&amp;'Funnel setup'!$K$4&amp;'Funnel setup'!$K$5,".",IF(A5399=".",1,A5399+1))</f>
        <v>.</v>
      </c>
      <c r="B5400" s="431" t="str">
        <f t="shared" si="84"/>
        <v>Knee Replacement RevisionCCG of GP PracticeNHS ISLINGTON CCG (08H)EQ-5D Index</v>
      </c>
      <c r="C5400" t="s">
        <v>250</v>
      </c>
      <c r="D5400" t="s">
        <v>87</v>
      </c>
      <c r="E5400" t="s">
        <v>534</v>
      </c>
      <c r="F5400" t="s">
        <v>535</v>
      </c>
      <c r="G5400" t="s">
        <v>52</v>
      </c>
      <c r="H5400" t="s">
        <v>53</v>
      </c>
      <c r="I5400" t="s">
        <v>53</v>
      </c>
      <c r="J5400" t="s">
        <v>53</v>
      </c>
      <c r="K5400" t="s">
        <v>53</v>
      </c>
      <c r="L5400" t="s">
        <v>53</v>
      </c>
      <c r="M5400" t="s">
        <v>53</v>
      </c>
      <c r="N5400" t="s">
        <v>53</v>
      </c>
      <c r="O5400" t="s">
        <v>53</v>
      </c>
      <c r="P5400" t="s">
        <v>53</v>
      </c>
      <c r="Q5400" t="s">
        <v>53</v>
      </c>
    </row>
    <row r="5401" spans="1:17" x14ac:dyDescent="0.2">
      <c r="A5401" s="30" t="str">
        <f>IF(C5401&amp;G5401&amp;D5401&lt;&gt;'Funnel setup'!$K$3&amp;'Funnel setup'!$K$4&amp;'Funnel setup'!$K$5,".",IF(A5400=".",1,A5400+1))</f>
        <v>.</v>
      </c>
      <c r="B5401" s="431" t="str">
        <f t="shared" si="84"/>
        <v>Knee Replacement RevisionCCG of GP PracticeNHS KERNOW CCG (11N)EQ-5D Index</v>
      </c>
      <c r="C5401" t="s">
        <v>250</v>
      </c>
      <c r="D5401" t="s">
        <v>87</v>
      </c>
      <c r="E5401" t="s">
        <v>537</v>
      </c>
      <c r="F5401" t="s">
        <v>538</v>
      </c>
      <c r="G5401" t="s">
        <v>52</v>
      </c>
      <c r="H5401">
        <v>36</v>
      </c>
      <c r="I5401">
        <v>0.41699999999999998</v>
      </c>
      <c r="J5401">
        <v>0.63</v>
      </c>
      <c r="K5401">
        <v>0.21199999999999999</v>
      </c>
      <c r="L5401">
        <v>20</v>
      </c>
      <c r="M5401">
        <v>10</v>
      </c>
      <c r="N5401">
        <v>6</v>
      </c>
      <c r="O5401">
        <v>0.622</v>
      </c>
      <c r="P5401">
        <v>0.29030041699999998</v>
      </c>
      <c r="Q5401">
        <v>0.23799999999999999</v>
      </c>
    </row>
    <row r="5402" spans="1:17" x14ac:dyDescent="0.2">
      <c r="A5402" s="30" t="str">
        <f>IF(C5402&amp;G5402&amp;D5402&lt;&gt;'Funnel setup'!$K$3&amp;'Funnel setup'!$K$4&amp;'Funnel setup'!$K$5,".",IF(A5401=".",1,A5401+1))</f>
        <v>.</v>
      </c>
      <c r="B5402" s="431" t="str">
        <f t="shared" si="84"/>
        <v>Knee Replacement RevisionCCG of GP PracticeNHS KINGSTON CCG (08J)EQ-5D Index</v>
      </c>
      <c r="C5402" t="s">
        <v>250</v>
      </c>
      <c r="D5402" t="s">
        <v>87</v>
      </c>
      <c r="E5402" t="s">
        <v>540</v>
      </c>
      <c r="F5402" t="s">
        <v>541</v>
      </c>
      <c r="G5402" t="s">
        <v>52</v>
      </c>
      <c r="H5402" t="s">
        <v>53</v>
      </c>
      <c r="I5402" t="s">
        <v>53</v>
      </c>
      <c r="J5402" t="s">
        <v>53</v>
      </c>
      <c r="K5402" t="s">
        <v>53</v>
      </c>
      <c r="L5402" t="s">
        <v>53</v>
      </c>
      <c r="M5402" t="s">
        <v>53</v>
      </c>
      <c r="N5402" t="s">
        <v>53</v>
      </c>
      <c r="O5402" t="s">
        <v>53</v>
      </c>
      <c r="P5402" t="s">
        <v>53</v>
      </c>
      <c r="Q5402" t="s">
        <v>53</v>
      </c>
    </row>
    <row r="5403" spans="1:17" x14ac:dyDescent="0.2">
      <c r="A5403" s="30" t="str">
        <f>IF(C5403&amp;G5403&amp;D5403&lt;&gt;'Funnel setup'!$K$3&amp;'Funnel setup'!$K$4&amp;'Funnel setup'!$K$5,".",IF(A5402=".",1,A5402+1))</f>
        <v>.</v>
      </c>
      <c r="B5403" s="431" t="str">
        <f t="shared" si="84"/>
        <v>Knee Replacement RevisionCCG of GP PracticeNHS KNOWSLEY CCG (01J)EQ-5D Index</v>
      </c>
      <c r="C5403" t="s">
        <v>250</v>
      </c>
      <c r="D5403" t="s">
        <v>87</v>
      </c>
      <c r="E5403" t="s">
        <v>543</v>
      </c>
      <c r="F5403" t="s">
        <v>544</v>
      </c>
      <c r="G5403" t="s">
        <v>52</v>
      </c>
      <c r="H5403" t="s">
        <v>53</v>
      </c>
      <c r="I5403" t="s">
        <v>53</v>
      </c>
      <c r="J5403" t="s">
        <v>53</v>
      </c>
      <c r="K5403" t="s">
        <v>53</v>
      </c>
      <c r="L5403" t="s">
        <v>53</v>
      </c>
      <c r="M5403" t="s">
        <v>53</v>
      </c>
      <c r="N5403" t="s">
        <v>53</v>
      </c>
      <c r="O5403" t="s">
        <v>53</v>
      </c>
      <c r="P5403" t="s">
        <v>53</v>
      </c>
      <c r="Q5403" t="s">
        <v>53</v>
      </c>
    </row>
    <row r="5404" spans="1:17" x14ac:dyDescent="0.2">
      <c r="A5404" s="30" t="str">
        <f>IF(C5404&amp;G5404&amp;D5404&lt;&gt;'Funnel setup'!$K$3&amp;'Funnel setup'!$K$4&amp;'Funnel setup'!$K$5,".",IF(A5403=".",1,A5403+1))</f>
        <v>.</v>
      </c>
      <c r="B5404" s="431" t="str">
        <f t="shared" si="84"/>
        <v>Knee Replacement RevisionCCG of GP PracticeNHS LAMBETH CCG (08K)EQ-5D Index</v>
      </c>
      <c r="C5404" t="s">
        <v>250</v>
      </c>
      <c r="D5404" t="s">
        <v>87</v>
      </c>
      <c r="E5404" t="s">
        <v>546</v>
      </c>
      <c r="F5404" t="s">
        <v>547</v>
      </c>
      <c r="G5404" t="s">
        <v>52</v>
      </c>
      <c r="H5404" t="s">
        <v>53</v>
      </c>
      <c r="I5404" t="s">
        <v>53</v>
      </c>
      <c r="J5404" t="s">
        <v>53</v>
      </c>
      <c r="K5404" t="s">
        <v>53</v>
      </c>
      <c r="L5404" t="s">
        <v>53</v>
      </c>
      <c r="M5404" t="s">
        <v>53</v>
      </c>
      <c r="N5404" t="s">
        <v>53</v>
      </c>
      <c r="O5404" t="s">
        <v>53</v>
      </c>
      <c r="P5404" t="s">
        <v>53</v>
      </c>
      <c r="Q5404" t="s">
        <v>53</v>
      </c>
    </row>
    <row r="5405" spans="1:17" x14ac:dyDescent="0.2">
      <c r="A5405" s="30" t="str">
        <f>IF(C5405&amp;G5405&amp;D5405&lt;&gt;'Funnel setup'!$K$3&amp;'Funnel setup'!$K$4&amp;'Funnel setup'!$K$5,".",IF(A5404=".",1,A5404+1))</f>
        <v>.</v>
      </c>
      <c r="B5405" s="431" t="str">
        <f t="shared" si="84"/>
        <v>Knee Replacement RevisionCCG of GP PracticeNHS LANCASHIRE NORTH CCG (01K)EQ-5D Index</v>
      </c>
      <c r="C5405" t="s">
        <v>250</v>
      </c>
      <c r="D5405" t="s">
        <v>87</v>
      </c>
      <c r="E5405" t="s">
        <v>549</v>
      </c>
      <c r="F5405" t="s">
        <v>550</v>
      </c>
      <c r="G5405" t="s">
        <v>52</v>
      </c>
      <c r="H5405" t="s">
        <v>53</v>
      </c>
      <c r="I5405" t="s">
        <v>53</v>
      </c>
      <c r="J5405" t="s">
        <v>53</v>
      </c>
      <c r="K5405" t="s">
        <v>53</v>
      </c>
      <c r="L5405" t="s">
        <v>53</v>
      </c>
      <c r="M5405" t="s">
        <v>53</v>
      </c>
      <c r="N5405" t="s">
        <v>53</v>
      </c>
      <c r="O5405" t="s">
        <v>53</v>
      </c>
      <c r="P5405" t="s">
        <v>53</v>
      </c>
      <c r="Q5405" t="s">
        <v>53</v>
      </c>
    </row>
    <row r="5406" spans="1:17" x14ac:dyDescent="0.2">
      <c r="A5406" s="30" t="str">
        <f>IF(C5406&amp;G5406&amp;D5406&lt;&gt;'Funnel setup'!$K$3&amp;'Funnel setup'!$K$4&amp;'Funnel setup'!$K$5,".",IF(A5405=".",1,A5405+1))</f>
        <v>.</v>
      </c>
      <c r="B5406" s="431" t="str">
        <f t="shared" si="84"/>
        <v>Knee Replacement RevisionCCG of GP PracticeNHS LEEDS NORTH CCG (02V)EQ-5D Index</v>
      </c>
      <c r="C5406" t="s">
        <v>250</v>
      </c>
      <c r="D5406" t="s">
        <v>87</v>
      </c>
      <c r="E5406" t="s">
        <v>552</v>
      </c>
      <c r="F5406" t="s">
        <v>337</v>
      </c>
      <c r="G5406" t="s">
        <v>52</v>
      </c>
      <c r="H5406">
        <v>6</v>
      </c>
      <c r="I5406">
        <v>0.56200000000000006</v>
      </c>
      <c r="J5406">
        <v>0.79800000000000004</v>
      </c>
      <c r="K5406">
        <v>0.23699999999999999</v>
      </c>
      <c r="L5406">
        <v>6</v>
      </c>
      <c r="M5406">
        <v>0</v>
      </c>
      <c r="N5406">
        <v>0</v>
      </c>
      <c r="O5406" t="s">
        <v>53</v>
      </c>
      <c r="P5406" t="s">
        <v>53</v>
      </c>
      <c r="Q5406" t="s">
        <v>53</v>
      </c>
    </row>
    <row r="5407" spans="1:17" x14ac:dyDescent="0.2">
      <c r="A5407" s="30" t="str">
        <f>IF(C5407&amp;G5407&amp;D5407&lt;&gt;'Funnel setup'!$K$3&amp;'Funnel setup'!$K$4&amp;'Funnel setup'!$K$5,".",IF(A5406=".",1,A5406+1))</f>
        <v>.</v>
      </c>
      <c r="B5407" s="431" t="str">
        <f t="shared" si="84"/>
        <v>Knee Replacement RevisionCCG of GP PracticeNHS LEEDS SOUTH AND EAST CCG (03G)EQ-5D Index</v>
      </c>
      <c r="C5407" t="s">
        <v>250</v>
      </c>
      <c r="D5407" t="s">
        <v>87</v>
      </c>
      <c r="E5407" t="s">
        <v>396</v>
      </c>
      <c r="F5407" t="s">
        <v>397</v>
      </c>
      <c r="G5407" t="s">
        <v>52</v>
      </c>
      <c r="H5407" t="s">
        <v>53</v>
      </c>
      <c r="I5407" t="s">
        <v>53</v>
      </c>
      <c r="J5407" t="s">
        <v>53</v>
      </c>
      <c r="K5407" t="s">
        <v>53</v>
      </c>
      <c r="L5407" t="s">
        <v>53</v>
      </c>
      <c r="M5407" t="s">
        <v>53</v>
      </c>
      <c r="N5407" t="s">
        <v>53</v>
      </c>
      <c r="O5407" t="s">
        <v>53</v>
      </c>
      <c r="P5407" t="s">
        <v>53</v>
      </c>
      <c r="Q5407" t="s">
        <v>53</v>
      </c>
    </row>
    <row r="5408" spans="1:17" x14ac:dyDescent="0.2">
      <c r="A5408" s="30" t="str">
        <f>IF(C5408&amp;G5408&amp;D5408&lt;&gt;'Funnel setup'!$K$3&amp;'Funnel setup'!$K$4&amp;'Funnel setup'!$K$5,".",IF(A5407=".",1,A5407+1))</f>
        <v>.</v>
      </c>
      <c r="B5408" s="431" t="str">
        <f t="shared" si="84"/>
        <v>Knee Replacement RevisionCCG of GP PracticeNHS LEEDS WEST CCG (03C)EQ-5D Index</v>
      </c>
      <c r="C5408" t="s">
        <v>250</v>
      </c>
      <c r="D5408" t="s">
        <v>87</v>
      </c>
      <c r="E5408" t="s">
        <v>399</v>
      </c>
      <c r="F5408" t="s">
        <v>400</v>
      </c>
      <c r="G5408" t="s">
        <v>52</v>
      </c>
      <c r="H5408">
        <v>10</v>
      </c>
      <c r="I5408">
        <v>0.29499999999999998</v>
      </c>
      <c r="J5408">
        <v>0.67500000000000004</v>
      </c>
      <c r="K5408">
        <v>0.38</v>
      </c>
      <c r="L5408">
        <v>8</v>
      </c>
      <c r="M5408">
        <v>1</v>
      </c>
      <c r="N5408">
        <v>1</v>
      </c>
      <c r="O5408" t="s">
        <v>53</v>
      </c>
      <c r="P5408" t="s">
        <v>53</v>
      </c>
      <c r="Q5408" t="s">
        <v>53</v>
      </c>
    </row>
    <row r="5409" spans="1:17" x14ac:dyDescent="0.2">
      <c r="A5409" s="30" t="str">
        <f>IF(C5409&amp;G5409&amp;D5409&lt;&gt;'Funnel setup'!$K$3&amp;'Funnel setup'!$K$4&amp;'Funnel setup'!$K$5,".",IF(A5408=".",1,A5408+1))</f>
        <v>.</v>
      </c>
      <c r="B5409" s="431" t="str">
        <f t="shared" si="84"/>
        <v>Knee Replacement RevisionCCG of GP PracticeNHS LEICESTER CITY CCG (04C)EQ-5D Index</v>
      </c>
      <c r="C5409" t="s">
        <v>250</v>
      </c>
      <c r="D5409" t="s">
        <v>87</v>
      </c>
      <c r="E5409" t="s">
        <v>554</v>
      </c>
      <c r="F5409" t="s">
        <v>555</v>
      </c>
      <c r="G5409" t="s">
        <v>52</v>
      </c>
      <c r="H5409">
        <v>8</v>
      </c>
      <c r="I5409">
        <v>0.17499999999999999</v>
      </c>
      <c r="J5409">
        <v>0.52200000000000002</v>
      </c>
      <c r="K5409">
        <v>0.34699999999999998</v>
      </c>
      <c r="L5409">
        <v>5</v>
      </c>
      <c r="M5409">
        <v>1</v>
      </c>
      <c r="N5409">
        <v>2</v>
      </c>
      <c r="O5409" t="s">
        <v>53</v>
      </c>
      <c r="P5409" t="s">
        <v>53</v>
      </c>
      <c r="Q5409" t="s">
        <v>53</v>
      </c>
    </row>
    <row r="5410" spans="1:17" x14ac:dyDescent="0.2">
      <c r="A5410" s="30" t="str">
        <f>IF(C5410&amp;G5410&amp;D5410&lt;&gt;'Funnel setup'!$K$3&amp;'Funnel setup'!$K$4&amp;'Funnel setup'!$K$5,".",IF(A5409=".",1,A5409+1))</f>
        <v>.</v>
      </c>
      <c r="B5410" s="431" t="str">
        <f t="shared" si="84"/>
        <v>Knee Replacement RevisionCCG of GP PracticeNHS LEWISHAM CCG (08L)EQ-5D Index</v>
      </c>
      <c r="C5410" t="s">
        <v>250</v>
      </c>
      <c r="D5410" t="s">
        <v>87</v>
      </c>
      <c r="E5410" t="s">
        <v>557</v>
      </c>
      <c r="F5410" t="s">
        <v>558</v>
      </c>
      <c r="G5410" t="s">
        <v>52</v>
      </c>
      <c r="H5410" t="s">
        <v>53</v>
      </c>
      <c r="I5410" t="s">
        <v>53</v>
      </c>
      <c r="J5410" t="s">
        <v>53</v>
      </c>
      <c r="K5410" t="s">
        <v>53</v>
      </c>
      <c r="L5410" t="s">
        <v>53</v>
      </c>
      <c r="M5410" t="s">
        <v>53</v>
      </c>
      <c r="N5410" t="s">
        <v>53</v>
      </c>
      <c r="O5410" t="s">
        <v>53</v>
      </c>
      <c r="P5410" t="s">
        <v>53</v>
      </c>
      <c r="Q5410" t="s">
        <v>53</v>
      </c>
    </row>
    <row r="5411" spans="1:17" x14ac:dyDescent="0.2">
      <c r="A5411" s="30" t="str">
        <f>IF(C5411&amp;G5411&amp;D5411&lt;&gt;'Funnel setup'!$K$3&amp;'Funnel setup'!$K$4&amp;'Funnel setup'!$K$5,".",IF(A5410=".",1,A5410+1))</f>
        <v>.</v>
      </c>
      <c r="B5411" s="431" t="str">
        <f t="shared" si="84"/>
        <v>Knee Replacement RevisionCCG of GP PracticeNHS LINCOLNSHIRE EAST CCG (03T)EQ-5D Index</v>
      </c>
      <c r="C5411" t="s">
        <v>250</v>
      </c>
      <c r="D5411" t="s">
        <v>87</v>
      </c>
      <c r="E5411" t="s">
        <v>560</v>
      </c>
      <c r="F5411" t="s">
        <v>561</v>
      </c>
      <c r="G5411" t="s">
        <v>52</v>
      </c>
      <c r="H5411" t="s">
        <v>53</v>
      </c>
      <c r="I5411" t="s">
        <v>53</v>
      </c>
      <c r="J5411" t="s">
        <v>53</v>
      </c>
      <c r="K5411" t="s">
        <v>53</v>
      </c>
      <c r="L5411" t="s">
        <v>53</v>
      </c>
      <c r="M5411" t="s">
        <v>53</v>
      </c>
      <c r="N5411" t="s">
        <v>53</v>
      </c>
      <c r="O5411" t="s">
        <v>53</v>
      </c>
      <c r="P5411" t="s">
        <v>53</v>
      </c>
      <c r="Q5411" t="s">
        <v>53</v>
      </c>
    </row>
    <row r="5412" spans="1:17" x14ac:dyDescent="0.2">
      <c r="A5412" s="30" t="str">
        <f>IF(C5412&amp;G5412&amp;D5412&lt;&gt;'Funnel setup'!$K$3&amp;'Funnel setup'!$K$4&amp;'Funnel setup'!$K$5,".",IF(A5411=".",1,A5411+1))</f>
        <v>.</v>
      </c>
      <c r="B5412" s="431" t="str">
        <f t="shared" si="84"/>
        <v>Knee Replacement RevisionCCG of GP PracticeNHS LINCOLNSHIRE WEST CCG (04D)EQ-5D Index</v>
      </c>
      <c r="C5412" t="s">
        <v>250</v>
      </c>
      <c r="D5412" t="s">
        <v>87</v>
      </c>
      <c r="E5412" t="s">
        <v>408</v>
      </c>
      <c r="F5412" t="s">
        <v>409</v>
      </c>
      <c r="G5412" t="s">
        <v>52</v>
      </c>
      <c r="H5412">
        <v>13</v>
      </c>
      <c r="I5412">
        <v>0.30099999999999999</v>
      </c>
      <c r="J5412">
        <v>0.52100000000000002</v>
      </c>
      <c r="K5412">
        <v>0.22</v>
      </c>
      <c r="L5412">
        <v>9</v>
      </c>
      <c r="M5412">
        <v>1</v>
      </c>
      <c r="N5412">
        <v>3</v>
      </c>
      <c r="O5412" t="s">
        <v>53</v>
      </c>
      <c r="P5412" t="s">
        <v>53</v>
      </c>
      <c r="Q5412" t="s">
        <v>53</v>
      </c>
    </row>
    <row r="5413" spans="1:17" x14ac:dyDescent="0.2">
      <c r="A5413" s="30" t="str">
        <f>IF(C5413&amp;G5413&amp;D5413&lt;&gt;'Funnel setup'!$K$3&amp;'Funnel setup'!$K$4&amp;'Funnel setup'!$K$5,".",IF(A5412=".",1,A5412+1))</f>
        <v>.</v>
      </c>
      <c r="B5413" s="431" t="str">
        <f t="shared" si="84"/>
        <v>Knee Replacement RevisionCCG of GP PracticeNHS LIVERPOOL CCG (99A)EQ-5D Index</v>
      </c>
      <c r="C5413" t="s">
        <v>250</v>
      </c>
      <c r="D5413" t="s">
        <v>87</v>
      </c>
      <c r="E5413" t="s">
        <v>411</v>
      </c>
      <c r="F5413" t="s">
        <v>412</v>
      </c>
      <c r="G5413" t="s">
        <v>52</v>
      </c>
      <c r="H5413" t="s">
        <v>53</v>
      </c>
      <c r="I5413" t="s">
        <v>53</v>
      </c>
      <c r="J5413" t="s">
        <v>53</v>
      </c>
      <c r="K5413" t="s">
        <v>53</v>
      </c>
      <c r="L5413" t="s">
        <v>53</v>
      </c>
      <c r="M5413" t="s">
        <v>53</v>
      </c>
      <c r="N5413" t="s">
        <v>53</v>
      </c>
      <c r="O5413" t="s">
        <v>53</v>
      </c>
      <c r="P5413" t="s">
        <v>53</v>
      </c>
      <c r="Q5413" t="s">
        <v>53</v>
      </c>
    </row>
    <row r="5414" spans="1:17" x14ac:dyDescent="0.2">
      <c r="A5414" s="30" t="str">
        <f>IF(C5414&amp;G5414&amp;D5414&lt;&gt;'Funnel setup'!$K$3&amp;'Funnel setup'!$K$4&amp;'Funnel setup'!$K$5,".",IF(A5413=".",1,A5413+1))</f>
        <v>.</v>
      </c>
      <c r="B5414" s="431" t="str">
        <f t="shared" si="84"/>
        <v>Knee Replacement RevisionCCG of GP PracticeNHS LUTON CCG (06P)EQ-5D Index</v>
      </c>
      <c r="C5414" t="s">
        <v>250</v>
      </c>
      <c r="D5414" t="s">
        <v>87</v>
      </c>
      <c r="E5414" t="s">
        <v>414</v>
      </c>
      <c r="F5414" t="s">
        <v>415</v>
      </c>
      <c r="G5414" t="s">
        <v>52</v>
      </c>
      <c r="H5414" t="s">
        <v>53</v>
      </c>
      <c r="I5414" t="s">
        <v>53</v>
      </c>
      <c r="J5414" t="s">
        <v>53</v>
      </c>
      <c r="K5414" t="s">
        <v>53</v>
      </c>
      <c r="L5414" t="s">
        <v>53</v>
      </c>
      <c r="M5414" t="s">
        <v>53</v>
      </c>
      <c r="N5414" t="s">
        <v>53</v>
      </c>
      <c r="O5414" t="s">
        <v>53</v>
      </c>
      <c r="P5414" t="s">
        <v>53</v>
      </c>
      <c r="Q5414" t="s">
        <v>53</v>
      </c>
    </row>
    <row r="5415" spans="1:17" x14ac:dyDescent="0.2">
      <c r="A5415" s="30" t="str">
        <f>IF(C5415&amp;G5415&amp;D5415&lt;&gt;'Funnel setup'!$K$3&amp;'Funnel setup'!$K$4&amp;'Funnel setup'!$K$5,".",IF(A5414=".",1,A5414+1))</f>
        <v>.</v>
      </c>
      <c r="B5415" s="431" t="str">
        <f t="shared" si="84"/>
        <v>Knee Replacement RevisionCCG of GP PracticeNHS MANSFIELD AND ASHFIELD CCG (04E)EQ-5D Index</v>
      </c>
      <c r="C5415" t="s">
        <v>250</v>
      </c>
      <c r="D5415" t="s">
        <v>87</v>
      </c>
      <c r="E5415" t="s">
        <v>417</v>
      </c>
      <c r="F5415" t="s">
        <v>418</v>
      </c>
      <c r="G5415" t="s">
        <v>52</v>
      </c>
      <c r="H5415">
        <v>11</v>
      </c>
      <c r="I5415">
        <v>0.14799999999999999</v>
      </c>
      <c r="J5415">
        <v>0.69099999999999995</v>
      </c>
      <c r="K5415">
        <v>0.54200000000000004</v>
      </c>
      <c r="L5415">
        <v>11</v>
      </c>
      <c r="M5415">
        <v>0</v>
      </c>
      <c r="N5415">
        <v>0</v>
      </c>
      <c r="O5415" t="s">
        <v>53</v>
      </c>
      <c r="P5415" t="s">
        <v>53</v>
      </c>
      <c r="Q5415" t="s">
        <v>53</v>
      </c>
    </row>
    <row r="5416" spans="1:17" x14ac:dyDescent="0.2">
      <c r="A5416" s="30" t="str">
        <f>IF(C5416&amp;G5416&amp;D5416&lt;&gt;'Funnel setup'!$K$3&amp;'Funnel setup'!$K$4&amp;'Funnel setup'!$K$5,".",IF(A5415=".",1,A5415+1))</f>
        <v>.</v>
      </c>
      <c r="B5416" s="431" t="str">
        <f t="shared" si="84"/>
        <v>Knee Replacement RevisionCCG of GP PracticeNHS MEDWAY CCG (09W)EQ-5D Index</v>
      </c>
      <c r="C5416" t="s">
        <v>250</v>
      </c>
      <c r="D5416" t="s">
        <v>87</v>
      </c>
      <c r="E5416" t="s">
        <v>610</v>
      </c>
      <c r="F5416" t="s">
        <v>611</v>
      </c>
      <c r="G5416" t="s">
        <v>52</v>
      </c>
      <c r="H5416" t="s">
        <v>53</v>
      </c>
      <c r="I5416" t="s">
        <v>53</v>
      </c>
      <c r="J5416" t="s">
        <v>53</v>
      </c>
      <c r="K5416" t="s">
        <v>53</v>
      </c>
      <c r="L5416" t="s">
        <v>53</v>
      </c>
      <c r="M5416" t="s">
        <v>53</v>
      </c>
      <c r="N5416" t="s">
        <v>53</v>
      </c>
      <c r="O5416" t="s">
        <v>53</v>
      </c>
      <c r="P5416" t="s">
        <v>53</v>
      </c>
      <c r="Q5416" t="s">
        <v>53</v>
      </c>
    </row>
    <row r="5417" spans="1:17" x14ac:dyDescent="0.2">
      <c r="A5417" s="30" t="str">
        <f>IF(C5417&amp;G5417&amp;D5417&lt;&gt;'Funnel setup'!$K$3&amp;'Funnel setup'!$K$4&amp;'Funnel setup'!$K$5,".",IF(A5416=".",1,A5416+1))</f>
        <v>.</v>
      </c>
      <c r="B5417" s="431" t="str">
        <f t="shared" si="84"/>
        <v>Knee Replacement RevisionCCG of GP PracticeNHS MERTON CCG (08R)EQ-5D Index</v>
      </c>
      <c r="C5417" t="s">
        <v>250</v>
      </c>
      <c r="D5417" t="s">
        <v>87</v>
      </c>
      <c r="E5417" t="s">
        <v>613</v>
      </c>
      <c r="F5417" t="s">
        <v>614</v>
      </c>
      <c r="G5417" t="s">
        <v>52</v>
      </c>
      <c r="H5417" t="s">
        <v>53</v>
      </c>
      <c r="I5417" t="s">
        <v>53</v>
      </c>
      <c r="J5417" t="s">
        <v>53</v>
      </c>
      <c r="K5417" t="s">
        <v>53</v>
      </c>
      <c r="L5417" t="s">
        <v>53</v>
      </c>
      <c r="M5417" t="s">
        <v>53</v>
      </c>
      <c r="N5417" t="s">
        <v>53</v>
      </c>
      <c r="O5417" t="s">
        <v>53</v>
      </c>
      <c r="P5417" t="s">
        <v>53</v>
      </c>
      <c r="Q5417" t="s">
        <v>53</v>
      </c>
    </row>
    <row r="5418" spans="1:17" x14ac:dyDescent="0.2">
      <c r="A5418" s="30" t="str">
        <f>IF(C5418&amp;G5418&amp;D5418&lt;&gt;'Funnel setup'!$K$3&amp;'Funnel setup'!$K$4&amp;'Funnel setup'!$K$5,".",IF(A5417=".",1,A5417+1))</f>
        <v>.</v>
      </c>
      <c r="B5418" s="431" t="str">
        <f t="shared" si="84"/>
        <v>Knee Replacement RevisionCCG of GP PracticeNHS MID ESSEX CCG (06Q)EQ-5D Index</v>
      </c>
      <c r="C5418" t="s">
        <v>250</v>
      </c>
      <c r="D5418" t="s">
        <v>87</v>
      </c>
      <c r="E5418" t="s">
        <v>616</v>
      </c>
      <c r="F5418" t="s">
        <v>617</v>
      </c>
      <c r="G5418" t="s">
        <v>52</v>
      </c>
      <c r="H5418">
        <v>8</v>
      </c>
      <c r="I5418">
        <v>0.27200000000000002</v>
      </c>
      <c r="J5418">
        <v>0.28299999999999997</v>
      </c>
      <c r="K5418">
        <v>1.0999999999999999E-2</v>
      </c>
      <c r="L5418">
        <v>5</v>
      </c>
      <c r="M5418">
        <v>1</v>
      </c>
      <c r="N5418">
        <v>2</v>
      </c>
      <c r="O5418" t="s">
        <v>53</v>
      </c>
      <c r="P5418" t="s">
        <v>53</v>
      </c>
      <c r="Q5418" t="s">
        <v>53</v>
      </c>
    </row>
    <row r="5419" spans="1:17" x14ac:dyDescent="0.2">
      <c r="A5419" s="30" t="str">
        <f>IF(C5419&amp;G5419&amp;D5419&lt;&gt;'Funnel setup'!$K$3&amp;'Funnel setup'!$K$4&amp;'Funnel setup'!$K$5,".",IF(A5418=".",1,A5418+1))</f>
        <v>.</v>
      </c>
      <c r="B5419" s="431" t="str">
        <f t="shared" si="84"/>
        <v>Knee Replacement RevisionCCG of GP PracticeNHS MILTON KEYNES CCG (04F)EQ-5D Index</v>
      </c>
      <c r="C5419" t="s">
        <v>250</v>
      </c>
      <c r="D5419" t="s">
        <v>87</v>
      </c>
      <c r="E5419" t="s">
        <v>619</v>
      </c>
      <c r="F5419" t="s">
        <v>338</v>
      </c>
      <c r="G5419" t="s">
        <v>52</v>
      </c>
      <c r="H5419">
        <v>11</v>
      </c>
      <c r="I5419">
        <v>0.184</v>
      </c>
      <c r="J5419">
        <v>0.60699999999999998</v>
      </c>
      <c r="K5419">
        <v>0.42299999999999999</v>
      </c>
      <c r="L5419">
        <v>8</v>
      </c>
      <c r="M5419">
        <v>0</v>
      </c>
      <c r="N5419">
        <v>3</v>
      </c>
      <c r="O5419" t="s">
        <v>53</v>
      </c>
      <c r="P5419" t="s">
        <v>53</v>
      </c>
      <c r="Q5419" t="s">
        <v>53</v>
      </c>
    </row>
    <row r="5420" spans="1:17" x14ac:dyDescent="0.2">
      <c r="A5420" s="30" t="str">
        <f>IF(C5420&amp;G5420&amp;D5420&lt;&gt;'Funnel setup'!$K$3&amp;'Funnel setup'!$K$4&amp;'Funnel setup'!$K$5,".",IF(A5419=".",1,A5419+1))</f>
        <v>.</v>
      </c>
      <c r="B5420" s="431" t="str">
        <f t="shared" si="84"/>
        <v>Knee Replacement RevisionCCG of GP PracticeNHS NENE CCG (04G)EQ-5D Index</v>
      </c>
      <c r="C5420" t="s">
        <v>250</v>
      </c>
      <c r="D5420" t="s">
        <v>87</v>
      </c>
      <c r="E5420" t="s">
        <v>621</v>
      </c>
      <c r="F5420" t="s">
        <v>622</v>
      </c>
      <c r="G5420" t="s">
        <v>52</v>
      </c>
      <c r="H5420">
        <v>27</v>
      </c>
      <c r="I5420">
        <v>0.32900000000000001</v>
      </c>
      <c r="J5420">
        <v>0.58899999999999997</v>
      </c>
      <c r="K5420">
        <v>0.25900000000000001</v>
      </c>
      <c r="L5420">
        <v>21</v>
      </c>
      <c r="M5420">
        <v>6</v>
      </c>
      <c r="N5420">
        <v>0</v>
      </c>
      <c r="O5420" t="s">
        <v>53</v>
      </c>
      <c r="P5420" t="s">
        <v>53</v>
      </c>
      <c r="Q5420" t="s">
        <v>53</v>
      </c>
    </row>
    <row r="5421" spans="1:17" x14ac:dyDescent="0.2">
      <c r="A5421" s="30" t="str">
        <f>IF(C5421&amp;G5421&amp;D5421&lt;&gt;'Funnel setup'!$K$3&amp;'Funnel setup'!$K$4&amp;'Funnel setup'!$K$5,".",IF(A5420=".",1,A5420+1))</f>
        <v>.</v>
      </c>
      <c r="B5421" s="431" t="str">
        <f t="shared" si="84"/>
        <v>Knee Replacement RevisionCCG of GP PracticeNHS NEWARK &amp; SHERWOOD CCG (04H)EQ-5D Index</v>
      </c>
      <c r="C5421" t="s">
        <v>250</v>
      </c>
      <c r="D5421" t="s">
        <v>87</v>
      </c>
      <c r="E5421" t="s">
        <v>624</v>
      </c>
      <c r="F5421" t="s">
        <v>625</v>
      </c>
      <c r="G5421" t="s">
        <v>52</v>
      </c>
      <c r="H5421" t="s">
        <v>53</v>
      </c>
      <c r="I5421" t="s">
        <v>53</v>
      </c>
      <c r="J5421" t="s">
        <v>53</v>
      </c>
      <c r="K5421" t="s">
        <v>53</v>
      </c>
      <c r="L5421" t="s">
        <v>53</v>
      </c>
      <c r="M5421" t="s">
        <v>53</v>
      </c>
      <c r="N5421" t="s">
        <v>53</v>
      </c>
      <c r="O5421" t="s">
        <v>53</v>
      </c>
      <c r="P5421" t="s">
        <v>53</v>
      </c>
      <c r="Q5421" t="s">
        <v>53</v>
      </c>
    </row>
    <row r="5422" spans="1:17" x14ac:dyDescent="0.2">
      <c r="A5422" s="30" t="str">
        <f>IF(C5422&amp;G5422&amp;D5422&lt;&gt;'Funnel setup'!$K$3&amp;'Funnel setup'!$K$4&amp;'Funnel setup'!$K$5,".",IF(A5421=".",1,A5421+1))</f>
        <v>.</v>
      </c>
      <c r="B5422" s="431" t="str">
        <f t="shared" si="84"/>
        <v>Knee Replacement RevisionCCG of GP PracticeNHS NEWBURY AND DISTRICT CCG (10M)EQ-5D Index</v>
      </c>
      <c r="C5422" t="s">
        <v>250</v>
      </c>
      <c r="D5422" t="s">
        <v>87</v>
      </c>
      <c r="E5422" t="s">
        <v>627</v>
      </c>
      <c r="F5422" t="s">
        <v>628</v>
      </c>
      <c r="G5422" t="s">
        <v>52</v>
      </c>
      <c r="H5422" t="s">
        <v>53</v>
      </c>
      <c r="I5422" t="s">
        <v>53</v>
      </c>
      <c r="J5422" t="s">
        <v>53</v>
      </c>
      <c r="K5422" t="s">
        <v>53</v>
      </c>
      <c r="L5422" t="s">
        <v>53</v>
      </c>
      <c r="M5422" t="s">
        <v>53</v>
      </c>
      <c r="N5422" t="s">
        <v>53</v>
      </c>
      <c r="O5422" t="s">
        <v>53</v>
      </c>
      <c r="P5422" t="s">
        <v>53</v>
      </c>
      <c r="Q5422" t="s">
        <v>53</v>
      </c>
    </row>
    <row r="5423" spans="1:17" x14ac:dyDescent="0.2">
      <c r="A5423" s="30" t="str">
        <f>IF(C5423&amp;G5423&amp;D5423&lt;&gt;'Funnel setup'!$K$3&amp;'Funnel setup'!$K$4&amp;'Funnel setup'!$K$5,".",IF(A5422=".",1,A5422+1))</f>
        <v>.</v>
      </c>
      <c r="B5423" s="431" t="str">
        <f t="shared" si="84"/>
        <v>Knee Replacement RevisionCCG of GP PracticeNHS NEWCASTLE GATESHEAD CCG (13T)EQ-5D Index</v>
      </c>
      <c r="C5423" t="s">
        <v>250</v>
      </c>
      <c r="D5423" t="s">
        <v>87</v>
      </c>
      <c r="E5423" t="s">
        <v>6553</v>
      </c>
      <c r="F5423" t="s">
        <v>6543</v>
      </c>
      <c r="G5423" t="s">
        <v>52</v>
      </c>
      <c r="H5423">
        <v>15</v>
      </c>
      <c r="I5423">
        <v>0.34899999999999998</v>
      </c>
      <c r="J5423">
        <v>0.60499999999999998</v>
      </c>
      <c r="K5423">
        <v>0.25600000000000001</v>
      </c>
      <c r="L5423">
        <v>9</v>
      </c>
      <c r="M5423">
        <v>2</v>
      </c>
      <c r="N5423">
        <v>4</v>
      </c>
      <c r="O5423" t="s">
        <v>53</v>
      </c>
      <c r="P5423" t="s">
        <v>53</v>
      </c>
      <c r="Q5423" t="s">
        <v>53</v>
      </c>
    </row>
    <row r="5424" spans="1:17" x14ac:dyDescent="0.2">
      <c r="A5424" s="30" t="str">
        <f>IF(C5424&amp;G5424&amp;D5424&lt;&gt;'Funnel setup'!$K$3&amp;'Funnel setup'!$K$4&amp;'Funnel setup'!$K$5,".",IF(A5423=".",1,A5423+1))</f>
        <v>.</v>
      </c>
      <c r="B5424" s="431" t="str">
        <f t="shared" si="84"/>
        <v>Knee Replacement RevisionCCG of GP PracticeNHS NEWHAM CCG (08M)EQ-5D Index</v>
      </c>
      <c r="C5424" t="s">
        <v>250</v>
      </c>
      <c r="D5424" t="s">
        <v>87</v>
      </c>
      <c r="E5424" t="s">
        <v>630</v>
      </c>
      <c r="F5424" t="s">
        <v>631</v>
      </c>
      <c r="G5424" t="s">
        <v>52</v>
      </c>
      <c r="H5424" t="s">
        <v>53</v>
      </c>
      <c r="I5424" t="s">
        <v>53</v>
      </c>
      <c r="J5424" t="s">
        <v>53</v>
      </c>
      <c r="K5424" t="s">
        <v>53</v>
      </c>
      <c r="L5424" t="s">
        <v>53</v>
      </c>
      <c r="M5424" t="s">
        <v>53</v>
      </c>
      <c r="N5424" t="s">
        <v>53</v>
      </c>
      <c r="O5424" t="s">
        <v>53</v>
      </c>
      <c r="P5424" t="s">
        <v>53</v>
      </c>
      <c r="Q5424" t="s">
        <v>53</v>
      </c>
    </row>
    <row r="5425" spans="1:17" x14ac:dyDescent="0.2">
      <c r="A5425" s="30" t="str">
        <f>IF(C5425&amp;G5425&amp;D5425&lt;&gt;'Funnel setup'!$K$3&amp;'Funnel setup'!$K$4&amp;'Funnel setup'!$K$5,".",IF(A5424=".",1,A5424+1))</f>
        <v>.</v>
      </c>
      <c r="B5425" s="431" t="str">
        <f t="shared" si="84"/>
        <v>Knee Replacement RevisionCCG of GP PracticeNHS NORTH DERBYSHIRE CCG (04J)EQ-5D Index</v>
      </c>
      <c r="C5425" t="s">
        <v>250</v>
      </c>
      <c r="D5425" t="s">
        <v>87</v>
      </c>
      <c r="E5425" t="s">
        <v>636</v>
      </c>
      <c r="F5425" t="s">
        <v>637</v>
      </c>
      <c r="G5425" t="s">
        <v>52</v>
      </c>
      <c r="H5425">
        <v>6</v>
      </c>
      <c r="I5425">
        <v>0.32400000000000001</v>
      </c>
      <c r="J5425">
        <v>0.69899999999999995</v>
      </c>
      <c r="K5425">
        <v>0.375</v>
      </c>
      <c r="L5425">
        <v>6</v>
      </c>
      <c r="M5425">
        <v>0</v>
      </c>
      <c r="N5425">
        <v>0</v>
      </c>
      <c r="O5425" t="s">
        <v>53</v>
      </c>
      <c r="P5425" t="s">
        <v>53</v>
      </c>
      <c r="Q5425" t="s">
        <v>53</v>
      </c>
    </row>
    <row r="5426" spans="1:17" x14ac:dyDescent="0.2">
      <c r="A5426" s="30" t="str">
        <f>IF(C5426&amp;G5426&amp;D5426&lt;&gt;'Funnel setup'!$K$3&amp;'Funnel setup'!$K$4&amp;'Funnel setup'!$K$5,".",IF(A5425=".",1,A5425+1))</f>
        <v>.</v>
      </c>
      <c r="B5426" s="431" t="str">
        <f t="shared" si="84"/>
        <v>Knee Replacement RevisionCCG of GP PracticeNHS NORTH DURHAM CCG (00J)EQ-5D Index</v>
      </c>
      <c r="C5426" t="s">
        <v>250</v>
      </c>
      <c r="D5426" t="s">
        <v>87</v>
      </c>
      <c r="E5426" t="s">
        <v>639</v>
      </c>
      <c r="F5426" t="s">
        <v>640</v>
      </c>
      <c r="G5426" t="s">
        <v>52</v>
      </c>
      <c r="H5426" t="s">
        <v>53</v>
      </c>
      <c r="I5426" t="s">
        <v>53</v>
      </c>
      <c r="J5426" t="s">
        <v>53</v>
      </c>
      <c r="K5426" t="s">
        <v>53</v>
      </c>
      <c r="L5426" t="s">
        <v>53</v>
      </c>
      <c r="M5426" t="s">
        <v>53</v>
      </c>
      <c r="N5426" t="s">
        <v>53</v>
      </c>
      <c r="O5426" t="s">
        <v>53</v>
      </c>
      <c r="P5426" t="s">
        <v>53</v>
      </c>
      <c r="Q5426" t="s">
        <v>53</v>
      </c>
    </row>
    <row r="5427" spans="1:17" x14ac:dyDescent="0.2">
      <c r="A5427" s="30" t="str">
        <f>IF(C5427&amp;G5427&amp;D5427&lt;&gt;'Funnel setup'!$K$3&amp;'Funnel setup'!$K$4&amp;'Funnel setup'!$K$5,".",IF(A5426=".",1,A5426+1))</f>
        <v>.</v>
      </c>
      <c r="B5427" s="431" t="str">
        <f t="shared" si="84"/>
        <v>Knee Replacement RevisionCCG of GP PracticeNHS NORTH EAST ESSEX CCG (06T)EQ-5D Index</v>
      </c>
      <c r="C5427" t="s">
        <v>250</v>
      </c>
      <c r="D5427" t="s">
        <v>87</v>
      </c>
      <c r="E5427" t="s">
        <v>642</v>
      </c>
      <c r="F5427" t="s">
        <v>643</v>
      </c>
      <c r="G5427" t="s">
        <v>52</v>
      </c>
      <c r="H5427">
        <v>10</v>
      </c>
      <c r="I5427">
        <v>0.36099999999999999</v>
      </c>
      <c r="J5427">
        <v>0.56599999999999995</v>
      </c>
      <c r="K5427">
        <v>0.20499999999999999</v>
      </c>
      <c r="L5427">
        <v>7</v>
      </c>
      <c r="M5427">
        <v>1</v>
      </c>
      <c r="N5427">
        <v>2</v>
      </c>
      <c r="O5427" t="s">
        <v>53</v>
      </c>
      <c r="P5427" t="s">
        <v>53</v>
      </c>
      <c r="Q5427" t="s">
        <v>53</v>
      </c>
    </row>
    <row r="5428" spans="1:17" x14ac:dyDescent="0.2">
      <c r="A5428" s="30" t="str">
        <f>IF(C5428&amp;G5428&amp;D5428&lt;&gt;'Funnel setup'!$K$3&amp;'Funnel setup'!$K$4&amp;'Funnel setup'!$K$5,".",IF(A5427=".",1,A5427+1))</f>
        <v>.</v>
      </c>
      <c r="B5428" s="431" t="str">
        <f t="shared" si="84"/>
        <v>Knee Replacement RevisionCCG of GP PracticeNHS NORTH EAST HAMPSHIRE AND FARNHAM CCG (99M)EQ-5D Index</v>
      </c>
      <c r="C5428" t="s">
        <v>250</v>
      </c>
      <c r="D5428" t="s">
        <v>87</v>
      </c>
      <c r="E5428" t="s">
        <v>645</v>
      </c>
      <c r="F5428" t="s">
        <v>646</v>
      </c>
      <c r="G5428" t="s">
        <v>52</v>
      </c>
      <c r="H5428" t="s">
        <v>53</v>
      </c>
      <c r="I5428" t="s">
        <v>53</v>
      </c>
      <c r="J5428" t="s">
        <v>53</v>
      </c>
      <c r="K5428" t="s">
        <v>53</v>
      </c>
      <c r="L5428" t="s">
        <v>53</v>
      </c>
      <c r="M5428" t="s">
        <v>53</v>
      </c>
      <c r="N5428" t="s">
        <v>53</v>
      </c>
      <c r="O5428" t="s">
        <v>53</v>
      </c>
      <c r="P5428" t="s">
        <v>53</v>
      </c>
      <c r="Q5428" t="s">
        <v>53</v>
      </c>
    </row>
    <row r="5429" spans="1:17" x14ac:dyDescent="0.2">
      <c r="A5429" s="30" t="str">
        <f>IF(C5429&amp;G5429&amp;D5429&lt;&gt;'Funnel setup'!$K$3&amp;'Funnel setup'!$K$4&amp;'Funnel setup'!$K$5,".",IF(A5428=".",1,A5428+1))</f>
        <v>.</v>
      </c>
      <c r="B5429" s="431" t="str">
        <f t="shared" si="84"/>
        <v>Knee Replacement RevisionCCG of GP PracticeNHS NORTH EAST LINCOLNSHIRE CCG (03H)EQ-5D Index</v>
      </c>
      <c r="C5429" t="s">
        <v>250</v>
      </c>
      <c r="D5429" t="s">
        <v>87</v>
      </c>
      <c r="E5429" t="s">
        <v>648</v>
      </c>
      <c r="F5429" t="s">
        <v>649</v>
      </c>
      <c r="G5429" t="s">
        <v>52</v>
      </c>
      <c r="H5429" t="s">
        <v>53</v>
      </c>
      <c r="I5429" t="s">
        <v>53</v>
      </c>
      <c r="J5429" t="s">
        <v>53</v>
      </c>
      <c r="K5429" t="s">
        <v>53</v>
      </c>
      <c r="L5429" t="s">
        <v>53</v>
      </c>
      <c r="M5429" t="s">
        <v>53</v>
      </c>
      <c r="N5429" t="s">
        <v>53</v>
      </c>
      <c r="O5429" t="s">
        <v>53</v>
      </c>
      <c r="P5429" t="s">
        <v>53</v>
      </c>
      <c r="Q5429" t="s">
        <v>53</v>
      </c>
    </row>
    <row r="5430" spans="1:17" x14ac:dyDescent="0.2">
      <c r="A5430" s="30" t="str">
        <f>IF(C5430&amp;G5430&amp;D5430&lt;&gt;'Funnel setup'!$K$3&amp;'Funnel setup'!$K$4&amp;'Funnel setup'!$K$5,".",IF(A5429=".",1,A5429+1))</f>
        <v>.</v>
      </c>
      <c r="B5430" s="431" t="str">
        <f t="shared" si="84"/>
        <v>Knee Replacement RevisionCCG of GP PracticeNHS NORTH HAMPSHIRE CCG (10J)EQ-5D Index</v>
      </c>
      <c r="C5430" t="s">
        <v>250</v>
      </c>
      <c r="D5430" t="s">
        <v>87</v>
      </c>
      <c r="E5430" t="s">
        <v>651</v>
      </c>
      <c r="F5430" t="s">
        <v>652</v>
      </c>
      <c r="G5430" t="s">
        <v>52</v>
      </c>
      <c r="H5430">
        <v>8</v>
      </c>
      <c r="I5430">
        <v>0.254</v>
      </c>
      <c r="J5430">
        <v>0.44400000000000001</v>
      </c>
      <c r="K5430">
        <v>0.19</v>
      </c>
      <c r="L5430">
        <v>6</v>
      </c>
      <c r="M5430">
        <v>1</v>
      </c>
      <c r="N5430">
        <v>1</v>
      </c>
      <c r="O5430" t="s">
        <v>53</v>
      </c>
      <c r="P5430" t="s">
        <v>53</v>
      </c>
      <c r="Q5430" t="s">
        <v>53</v>
      </c>
    </row>
    <row r="5431" spans="1:17" x14ac:dyDescent="0.2">
      <c r="A5431" s="30" t="str">
        <f>IF(C5431&amp;G5431&amp;D5431&lt;&gt;'Funnel setup'!$K$3&amp;'Funnel setup'!$K$4&amp;'Funnel setup'!$K$5,".",IF(A5430=".",1,A5430+1))</f>
        <v>.</v>
      </c>
      <c r="B5431" s="431" t="str">
        <f t="shared" si="84"/>
        <v>Knee Replacement RevisionCCG of GP PracticeNHS NORTH KIRKLEES CCG (03J)EQ-5D Index</v>
      </c>
      <c r="C5431" t="s">
        <v>250</v>
      </c>
      <c r="D5431" t="s">
        <v>87</v>
      </c>
      <c r="E5431" t="s">
        <v>654</v>
      </c>
      <c r="F5431" t="s">
        <v>655</v>
      </c>
      <c r="G5431" t="s">
        <v>52</v>
      </c>
      <c r="H5431">
        <v>7</v>
      </c>
      <c r="I5431">
        <v>0.24099999999999999</v>
      </c>
      <c r="J5431">
        <v>0.51300000000000001</v>
      </c>
      <c r="K5431">
        <v>0.27100000000000002</v>
      </c>
      <c r="L5431">
        <v>4</v>
      </c>
      <c r="M5431">
        <v>3</v>
      </c>
      <c r="N5431">
        <v>0</v>
      </c>
      <c r="O5431" t="s">
        <v>53</v>
      </c>
      <c r="P5431" t="s">
        <v>53</v>
      </c>
      <c r="Q5431" t="s">
        <v>53</v>
      </c>
    </row>
    <row r="5432" spans="1:17" x14ac:dyDescent="0.2">
      <c r="A5432" s="30" t="str">
        <f>IF(C5432&amp;G5432&amp;D5432&lt;&gt;'Funnel setup'!$K$3&amp;'Funnel setup'!$K$4&amp;'Funnel setup'!$K$5,".",IF(A5431=".",1,A5431+1))</f>
        <v>.</v>
      </c>
      <c r="B5432" s="431" t="str">
        <f t="shared" si="84"/>
        <v>Knee Replacement RevisionCCG of GP PracticeNHS NORTH LINCOLNSHIRE CCG (03K)EQ-5D Index</v>
      </c>
      <c r="C5432" t="s">
        <v>250</v>
      </c>
      <c r="D5432" t="s">
        <v>87</v>
      </c>
      <c r="E5432" t="s">
        <v>657</v>
      </c>
      <c r="F5432" t="s">
        <v>658</v>
      </c>
      <c r="G5432" t="s">
        <v>52</v>
      </c>
      <c r="H5432" t="s">
        <v>53</v>
      </c>
      <c r="I5432" t="s">
        <v>53</v>
      </c>
      <c r="J5432" t="s">
        <v>53</v>
      </c>
      <c r="K5432" t="s">
        <v>53</v>
      </c>
      <c r="L5432" t="s">
        <v>53</v>
      </c>
      <c r="M5432" t="s">
        <v>53</v>
      </c>
      <c r="N5432" t="s">
        <v>53</v>
      </c>
      <c r="O5432" t="s">
        <v>53</v>
      </c>
      <c r="P5432" t="s">
        <v>53</v>
      </c>
      <c r="Q5432" t="s">
        <v>53</v>
      </c>
    </row>
    <row r="5433" spans="1:17" x14ac:dyDescent="0.2">
      <c r="A5433" s="30" t="str">
        <f>IF(C5433&amp;G5433&amp;D5433&lt;&gt;'Funnel setup'!$K$3&amp;'Funnel setup'!$K$4&amp;'Funnel setup'!$K$5,".",IF(A5432=".",1,A5432+1))</f>
        <v>.</v>
      </c>
      <c r="B5433" s="431" t="str">
        <f t="shared" si="84"/>
        <v>Knee Replacement RevisionCCG of GP PracticeNHS NORTH MANCHESTER CCG (01M)EQ-5D Index</v>
      </c>
      <c r="C5433" t="s">
        <v>250</v>
      </c>
      <c r="D5433" t="s">
        <v>87</v>
      </c>
      <c r="E5433" t="s">
        <v>660</v>
      </c>
      <c r="F5433" t="s">
        <v>661</v>
      </c>
      <c r="G5433" t="s">
        <v>52</v>
      </c>
      <c r="H5433" t="s">
        <v>53</v>
      </c>
      <c r="I5433" t="s">
        <v>53</v>
      </c>
      <c r="J5433" t="s">
        <v>53</v>
      </c>
      <c r="K5433" t="s">
        <v>53</v>
      </c>
      <c r="L5433" t="s">
        <v>53</v>
      </c>
      <c r="M5433" t="s">
        <v>53</v>
      </c>
      <c r="N5433" t="s">
        <v>53</v>
      </c>
      <c r="O5433" t="s">
        <v>53</v>
      </c>
      <c r="P5433" t="s">
        <v>53</v>
      </c>
      <c r="Q5433" t="s">
        <v>53</v>
      </c>
    </row>
    <row r="5434" spans="1:17" x14ac:dyDescent="0.2">
      <c r="A5434" s="30" t="str">
        <f>IF(C5434&amp;G5434&amp;D5434&lt;&gt;'Funnel setup'!$K$3&amp;'Funnel setup'!$K$4&amp;'Funnel setup'!$K$5,".",IF(A5433=".",1,A5433+1))</f>
        <v>.</v>
      </c>
      <c r="B5434" s="431" t="str">
        <f t="shared" si="84"/>
        <v>Knee Replacement RevisionCCG of GP PracticeNHS NORTH NORFOLK CCG (06V)EQ-5D Index</v>
      </c>
      <c r="C5434" t="s">
        <v>250</v>
      </c>
      <c r="D5434" t="s">
        <v>87</v>
      </c>
      <c r="E5434" t="s">
        <v>663</v>
      </c>
      <c r="F5434" t="s">
        <v>664</v>
      </c>
      <c r="G5434" t="s">
        <v>52</v>
      </c>
      <c r="H5434">
        <v>8</v>
      </c>
      <c r="I5434">
        <v>0.37</v>
      </c>
      <c r="J5434">
        <v>0.52500000000000002</v>
      </c>
      <c r="K5434">
        <v>0.156</v>
      </c>
      <c r="L5434">
        <v>3</v>
      </c>
      <c r="M5434">
        <v>2</v>
      </c>
      <c r="N5434">
        <v>3</v>
      </c>
      <c r="O5434" t="s">
        <v>53</v>
      </c>
      <c r="P5434" t="s">
        <v>53</v>
      </c>
      <c r="Q5434" t="s">
        <v>53</v>
      </c>
    </row>
    <row r="5435" spans="1:17" x14ac:dyDescent="0.2">
      <c r="A5435" s="30" t="str">
        <f>IF(C5435&amp;G5435&amp;D5435&lt;&gt;'Funnel setup'!$K$3&amp;'Funnel setup'!$K$4&amp;'Funnel setup'!$K$5,".",IF(A5434=".",1,A5434+1))</f>
        <v>.</v>
      </c>
      <c r="B5435" s="431" t="str">
        <f t="shared" si="84"/>
        <v>Knee Replacement RevisionCCG of GP PracticeNHS NORTH SOMERSET CCG (11T)EQ-5D Index</v>
      </c>
      <c r="C5435" t="s">
        <v>250</v>
      </c>
      <c r="D5435" t="s">
        <v>87</v>
      </c>
      <c r="E5435" t="s">
        <v>666</v>
      </c>
      <c r="F5435" t="s">
        <v>667</v>
      </c>
      <c r="G5435" t="s">
        <v>52</v>
      </c>
      <c r="H5435">
        <v>10</v>
      </c>
      <c r="I5435">
        <v>0.28499999999999998</v>
      </c>
      <c r="J5435">
        <v>0.52</v>
      </c>
      <c r="K5435">
        <v>0.23400000000000001</v>
      </c>
      <c r="L5435">
        <v>7</v>
      </c>
      <c r="M5435">
        <v>0</v>
      </c>
      <c r="N5435">
        <v>3</v>
      </c>
      <c r="O5435" t="s">
        <v>53</v>
      </c>
      <c r="P5435" t="s">
        <v>53</v>
      </c>
      <c r="Q5435" t="s">
        <v>53</v>
      </c>
    </row>
    <row r="5436" spans="1:17" x14ac:dyDescent="0.2">
      <c r="A5436" s="30" t="str">
        <f>IF(C5436&amp;G5436&amp;D5436&lt;&gt;'Funnel setup'!$K$3&amp;'Funnel setup'!$K$4&amp;'Funnel setup'!$K$5,".",IF(A5435=".",1,A5435+1))</f>
        <v>.</v>
      </c>
      <c r="B5436" s="431" t="str">
        <f t="shared" si="84"/>
        <v>Knee Replacement RevisionCCG of GP PracticeNHS NORTH STAFFORDSHIRE CCG (05G)EQ-5D Index</v>
      </c>
      <c r="C5436" t="s">
        <v>250</v>
      </c>
      <c r="D5436" t="s">
        <v>87</v>
      </c>
      <c r="E5436" t="s">
        <v>669</v>
      </c>
      <c r="F5436" t="s">
        <v>670</v>
      </c>
      <c r="G5436" t="s">
        <v>52</v>
      </c>
      <c r="H5436" t="s">
        <v>53</v>
      </c>
      <c r="I5436" t="s">
        <v>53</v>
      </c>
      <c r="J5436" t="s">
        <v>53</v>
      </c>
      <c r="K5436" t="s">
        <v>53</v>
      </c>
      <c r="L5436" t="s">
        <v>53</v>
      </c>
      <c r="M5436" t="s">
        <v>53</v>
      </c>
      <c r="N5436" t="s">
        <v>53</v>
      </c>
      <c r="O5436" t="s">
        <v>53</v>
      </c>
      <c r="P5436" t="s">
        <v>53</v>
      </c>
      <c r="Q5436" t="s">
        <v>53</v>
      </c>
    </row>
    <row r="5437" spans="1:17" x14ac:dyDescent="0.2">
      <c r="A5437" s="30" t="str">
        <f>IF(C5437&amp;G5437&amp;D5437&lt;&gt;'Funnel setup'!$K$3&amp;'Funnel setup'!$K$4&amp;'Funnel setup'!$K$5,".",IF(A5436=".",1,A5436+1))</f>
        <v>.</v>
      </c>
      <c r="B5437" s="431" t="str">
        <f t="shared" si="84"/>
        <v>Knee Replacement RevisionCCG of GP PracticeNHS NORTH TYNESIDE CCG (99C)EQ-5D Index</v>
      </c>
      <c r="C5437" t="s">
        <v>250</v>
      </c>
      <c r="D5437" t="s">
        <v>87</v>
      </c>
      <c r="E5437" t="s">
        <v>672</v>
      </c>
      <c r="F5437" t="s">
        <v>673</v>
      </c>
      <c r="G5437" t="s">
        <v>52</v>
      </c>
      <c r="H5437" t="s">
        <v>53</v>
      </c>
      <c r="I5437" t="s">
        <v>53</v>
      </c>
      <c r="J5437" t="s">
        <v>53</v>
      </c>
      <c r="K5437" t="s">
        <v>53</v>
      </c>
      <c r="L5437" t="s">
        <v>53</v>
      </c>
      <c r="M5437" t="s">
        <v>53</v>
      </c>
      <c r="N5437" t="s">
        <v>53</v>
      </c>
      <c r="O5437" t="s">
        <v>53</v>
      </c>
      <c r="P5437" t="s">
        <v>53</v>
      </c>
      <c r="Q5437" t="s">
        <v>53</v>
      </c>
    </row>
    <row r="5438" spans="1:17" x14ac:dyDescent="0.2">
      <c r="A5438" s="30" t="str">
        <f>IF(C5438&amp;G5438&amp;D5438&lt;&gt;'Funnel setup'!$K$3&amp;'Funnel setup'!$K$4&amp;'Funnel setup'!$K$5,".",IF(A5437=".",1,A5437+1))</f>
        <v>.</v>
      </c>
      <c r="B5438" s="431" t="str">
        <f t="shared" si="84"/>
        <v>Knee Replacement RevisionCCG of GP PracticeNHS NORTH WEST SURREY CCG (09Y)EQ-5D Index</v>
      </c>
      <c r="C5438" t="s">
        <v>250</v>
      </c>
      <c r="D5438" t="s">
        <v>87</v>
      </c>
      <c r="E5438" t="s">
        <v>675</v>
      </c>
      <c r="F5438" t="s">
        <v>676</v>
      </c>
      <c r="G5438" t="s">
        <v>52</v>
      </c>
      <c r="H5438">
        <v>7</v>
      </c>
      <c r="I5438">
        <v>0.438</v>
      </c>
      <c r="J5438">
        <v>0.55800000000000005</v>
      </c>
      <c r="K5438">
        <v>0.12</v>
      </c>
      <c r="L5438">
        <v>5</v>
      </c>
      <c r="M5438">
        <v>0</v>
      </c>
      <c r="N5438">
        <v>2</v>
      </c>
      <c r="O5438" t="s">
        <v>53</v>
      </c>
      <c r="P5438" t="s">
        <v>53</v>
      </c>
      <c r="Q5438" t="s">
        <v>53</v>
      </c>
    </row>
    <row r="5439" spans="1:17" x14ac:dyDescent="0.2">
      <c r="A5439" s="30" t="str">
        <f>IF(C5439&amp;G5439&amp;D5439&lt;&gt;'Funnel setup'!$K$3&amp;'Funnel setup'!$K$4&amp;'Funnel setup'!$K$5,".",IF(A5438=".",1,A5438+1))</f>
        <v>.</v>
      </c>
      <c r="B5439" s="431" t="str">
        <f t="shared" si="84"/>
        <v>Knee Replacement RevisionCCG of GP PracticeNHS NORTHERN, EASTERN AND WESTERN DEVON CCG (99P)EQ-5D Index</v>
      </c>
      <c r="C5439" t="s">
        <v>250</v>
      </c>
      <c r="D5439" t="s">
        <v>87</v>
      </c>
      <c r="E5439" t="s">
        <v>678</v>
      </c>
      <c r="F5439" t="s">
        <v>679</v>
      </c>
      <c r="G5439" t="s">
        <v>52</v>
      </c>
      <c r="H5439">
        <v>51</v>
      </c>
      <c r="I5439">
        <v>0.36399999999999999</v>
      </c>
      <c r="J5439">
        <v>0.67900000000000005</v>
      </c>
      <c r="K5439">
        <v>0.316</v>
      </c>
      <c r="L5439">
        <v>41</v>
      </c>
      <c r="M5439">
        <v>5</v>
      </c>
      <c r="N5439">
        <v>5</v>
      </c>
      <c r="O5439">
        <v>0.67</v>
      </c>
      <c r="P5439">
        <v>0.33773636699999998</v>
      </c>
      <c r="Q5439">
        <v>0.247</v>
      </c>
    </row>
    <row r="5440" spans="1:17" x14ac:dyDescent="0.2">
      <c r="A5440" s="30" t="str">
        <f>IF(C5440&amp;G5440&amp;D5440&lt;&gt;'Funnel setup'!$K$3&amp;'Funnel setup'!$K$4&amp;'Funnel setup'!$K$5,".",IF(A5439=".",1,A5439+1))</f>
        <v>.</v>
      </c>
      <c r="B5440" s="431" t="str">
        <f t="shared" si="84"/>
        <v>Knee Replacement RevisionCCG of GP PracticeNHS NORTHUMBERLAND CCG (00L)EQ-5D Index</v>
      </c>
      <c r="C5440" t="s">
        <v>250</v>
      </c>
      <c r="D5440" t="s">
        <v>87</v>
      </c>
      <c r="E5440" t="s">
        <v>681</v>
      </c>
      <c r="F5440" t="s">
        <v>336</v>
      </c>
      <c r="G5440" t="s">
        <v>52</v>
      </c>
      <c r="H5440">
        <v>12</v>
      </c>
      <c r="I5440">
        <v>0.251</v>
      </c>
      <c r="J5440">
        <v>0.69499999999999995</v>
      </c>
      <c r="K5440">
        <v>0.44400000000000001</v>
      </c>
      <c r="L5440">
        <v>11</v>
      </c>
      <c r="M5440">
        <v>1</v>
      </c>
      <c r="N5440">
        <v>0</v>
      </c>
      <c r="O5440" t="s">
        <v>53</v>
      </c>
      <c r="P5440" t="s">
        <v>53</v>
      </c>
      <c r="Q5440" t="s">
        <v>53</v>
      </c>
    </row>
    <row r="5441" spans="1:17" x14ac:dyDescent="0.2">
      <c r="A5441" s="30" t="str">
        <f>IF(C5441&amp;G5441&amp;D5441&lt;&gt;'Funnel setup'!$K$3&amp;'Funnel setup'!$K$4&amp;'Funnel setup'!$K$5,".",IF(A5440=".",1,A5440+1))</f>
        <v>.</v>
      </c>
      <c r="B5441" s="431" t="str">
        <f t="shared" si="84"/>
        <v>Knee Replacement RevisionCCG of GP PracticeNHS NORWICH CCG (06W)EQ-5D Index</v>
      </c>
      <c r="C5441" t="s">
        <v>250</v>
      </c>
      <c r="D5441" t="s">
        <v>87</v>
      </c>
      <c r="E5441" t="s">
        <v>770</v>
      </c>
      <c r="F5441" t="s">
        <v>771</v>
      </c>
      <c r="G5441" t="s">
        <v>52</v>
      </c>
      <c r="H5441">
        <v>7</v>
      </c>
      <c r="I5441">
        <v>0.502</v>
      </c>
      <c r="J5441">
        <v>0.73499999999999999</v>
      </c>
      <c r="K5441">
        <v>0.23300000000000001</v>
      </c>
      <c r="L5441">
        <v>6</v>
      </c>
      <c r="M5441">
        <v>0</v>
      </c>
      <c r="N5441">
        <v>1</v>
      </c>
      <c r="O5441" t="s">
        <v>53</v>
      </c>
      <c r="P5441" t="s">
        <v>53</v>
      </c>
      <c r="Q5441" t="s">
        <v>53</v>
      </c>
    </row>
    <row r="5442" spans="1:17" x14ac:dyDescent="0.2">
      <c r="A5442" s="30" t="str">
        <f>IF(C5442&amp;G5442&amp;D5442&lt;&gt;'Funnel setup'!$K$3&amp;'Funnel setup'!$K$4&amp;'Funnel setup'!$K$5,".",IF(A5441=".",1,A5441+1))</f>
        <v>.</v>
      </c>
      <c r="B5442" s="431" t="str">
        <f t="shared" si="84"/>
        <v>Knee Replacement RevisionCCG of GP PracticeNHS NOTTINGHAM CITY CCG (04K)EQ-5D Index</v>
      </c>
      <c r="C5442" t="s">
        <v>250</v>
      </c>
      <c r="D5442" t="s">
        <v>87</v>
      </c>
      <c r="E5442" t="s">
        <v>773</v>
      </c>
      <c r="F5442" t="s">
        <v>774</v>
      </c>
      <c r="G5442" t="s">
        <v>52</v>
      </c>
      <c r="H5442">
        <v>9</v>
      </c>
      <c r="I5442">
        <v>0.46100000000000002</v>
      </c>
      <c r="J5442">
        <v>0.56000000000000005</v>
      </c>
      <c r="K5442">
        <v>0.1</v>
      </c>
      <c r="L5442">
        <v>6</v>
      </c>
      <c r="M5442">
        <v>1</v>
      </c>
      <c r="N5442">
        <v>2</v>
      </c>
      <c r="O5442" t="s">
        <v>53</v>
      </c>
      <c r="P5442" t="s">
        <v>53</v>
      </c>
      <c r="Q5442" t="s">
        <v>53</v>
      </c>
    </row>
    <row r="5443" spans="1:17" x14ac:dyDescent="0.2">
      <c r="A5443" s="30" t="str">
        <f>IF(C5443&amp;G5443&amp;D5443&lt;&gt;'Funnel setup'!$K$3&amp;'Funnel setup'!$K$4&amp;'Funnel setup'!$K$5,".",IF(A5442=".",1,A5442+1))</f>
        <v>.</v>
      </c>
      <c r="B5443" s="431" t="str">
        <f t="shared" ref="B5443:B5506" si="85">C5443&amp;D5443&amp;F5443&amp;G5443</f>
        <v>Knee Replacement RevisionCCG of GP PracticeNHS NOTTINGHAM NORTH AND EAST CCG (04L)EQ-5D Index</v>
      </c>
      <c r="C5443" t="s">
        <v>250</v>
      </c>
      <c r="D5443" t="s">
        <v>87</v>
      </c>
      <c r="E5443" t="s">
        <v>776</v>
      </c>
      <c r="F5443" t="s">
        <v>777</v>
      </c>
      <c r="G5443" t="s">
        <v>52</v>
      </c>
      <c r="H5443">
        <v>6</v>
      </c>
      <c r="I5443">
        <v>0.502</v>
      </c>
      <c r="J5443">
        <v>0.81200000000000006</v>
      </c>
      <c r="K5443">
        <v>0.309</v>
      </c>
      <c r="L5443">
        <v>5</v>
      </c>
      <c r="M5443">
        <v>1</v>
      </c>
      <c r="N5443">
        <v>0</v>
      </c>
      <c r="O5443" t="s">
        <v>53</v>
      </c>
      <c r="P5443" t="s">
        <v>53</v>
      </c>
      <c r="Q5443" t="s">
        <v>53</v>
      </c>
    </row>
    <row r="5444" spans="1:17" x14ac:dyDescent="0.2">
      <c r="A5444" s="30" t="str">
        <f>IF(C5444&amp;G5444&amp;D5444&lt;&gt;'Funnel setup'!$K$3&amp;'Funnel setup'!$K$4&amp;'Funnel setup'!$K$5,".",IF(A5443=".",1,A5443+1))</f>
        <v>.</v>
      </c>
      <c r="B5444" s="431" t="str">
        <f t="shared" si="85"/>
        <v>Knee Replacement RevisionCCG of GP PracticeNHS NOTTINGHAM WEST CCG (04M)EQ-5D Index</v>
      </c>
      <c r="C5444" t="s">
        <v>250</v>
      </c>
      <c r="D5444" t="s">
        <v>87</v>
      </c>
      <c r="E5444" t="s">
        <v>779</v>
      </c>
      <c r="F5444" t="s">
        <v>780</v>
      </c>
      <c r="G5444" t="s">
        <v>52</v>
      </c>
      <c r="H5444" t="s">
        <v>53</v>
      </c>
      <c r="I5444" t="s">
        <v>53</v>
      </c>
      <c r="J5444" t="s">
        <v>53</v>
      </c>
      <c r="K5444" t="s">
        <v>53</v>
      </c>
      <c r="L5444" t="s">
        <v>53</v>
      </c>
      <c r="M5444" t="s">
        <v>53</v>
      </c>
      <c r="N5444" t="s">
        <v>53</v>
      </c>
      <c r="O5444" t="s">
        <v>53</v>
      </c>
      <c r="P5444" t="s">
        <v>53</v>
      </c>
      <c r="Q5444" t="s">
        <v>53</v>
      </c>
    </row>
    <row r="5445" spans="1:17" x14ac:dyDescent="0.2">
      <c r="A5445" s="30" t="str">
        <f>IF(C5445&amp;G5445&amp;D5445&lt;&gt;'Funnel setup'!$K$3&amp;'Funnel setup'!$K$4&amp;'Funnel setup'!$K$5,".",IF(A5444=".",1,A5444+1))</f>
        <v>.</v>
      </c>
      <c r="B5445" s="431" t="str">
        <f t="shared" si="85"/>
        <v>Knee Replacement RevisionCCG of GP PracticeNHS OLDHAM CCG (00Y)EQ-5D Index</v>
      </c>
      <c r="C5445" t="s">
        <v>250</v>
      </c>
      <c r="D5445" t="s">
        <v>87</v>
      </c>
      <c r="E5445" t="s">
        <v>782</v>
      </c>
      <c r="F5445" t="s">
        <v>783</v>
      </c>
      <c r="G5445" t="s">
        <v>52</v>
      </c>
      <c r="H5445" t="s">
        <v>53</v>
      </c>
      <c r="I5445" t="s">
        <v>53</v>
      </c>
      <c r="J5445" t="s">
        <v>53</v>
      </c>
      <c r="K5445" t="s">
        <v>53</v>
      </c>
      <c r="L5445" t="s">
        <v>53</v>
      </c>
      <c r="M5445" t="s">
        <v>53</v>
      </c>
      <c r="N5445" t="s">
        <v>53</v>
      </c>
      <c r="O5445" t="s">
        <v>53</v>
      </c>
      <c r="P5445" t="s">
        <v>53</v>
      </c>
      <c r="Q5445" t="s">
        <v>53</v>
      </c>
    </row>
    <row r="5446" spans="1:17" x14ac:dyDescent="0.2">
      <c r="A5446" s="30" t="str">
        <f>IF(C5446&amp;G5446&amp;D5446&lt;&gt;'Funnel setup'!$K$3&amp;'Funnel setup'!$K$4&amp;'Funnel setup'!$K$5,".",IF(A5445=".",1,A5445+1))</f>
        <v>.</v>
      </c>
      <c r="B5446" s="431" t="str">
        <f t="shared" si="85"/>
        <v>Knee Replacement RevisionCCG of GP PracticeNHS OXFORDSHIRE CCG (10Q)EQ-5D Index</v>
      </c>
      <c r="C5446" t="s">
        <v>250</v>
      </c>
      <c r="D5446" t="s">
        <v>87</v>
      </c>
      <c r="E5446" t="s">
        <v>785</v>
      </c>
      <c r="F5446" t="s">
        <v>786</v>
      </c>
      <c r="G5446" t="s">
        <v>52</v>
      </c>
      <c r="H5446">
        <v>28</v>
      </c>
      <c r="I5446">
        <v>0.38300000000000001</v>
      </c>
      <c r="J5446">
        <v>0.58499999999999996</v>
      </c>
      <c r="K5446">
        <v>0.20200000000000001</v>
      </c>
      <c r="L5446">
        <v>15</v>
      </c>
      <c r="M5446">
        <v>6</v>
      </c>
      <c r="N5446">
        <v>7</v>
      </c>
      <c r="O5446" t="s">
        <v>53</v>
      </c>
      <c r="P5446" t="s">
        <v>53</v>
      </c>
      <c r="Q5446" t="s">
        <v>53</v>
      </c>
    </row>
    <row r="5447" spans="1:17" x14ac:dyDescent="0.2">
      <c r="A5447" s="30" t="str">
        <f>IF(C5447&amp;G5447&amp;D5447&lt;&gt;'Funnel setup'!$K$3&amp;'Funnel setup'!$K$4&amp;'Funnel setup'!$K$5,".",IF(A5446=".",1,A5446+1))</f>
        <v>.</v>
      </c>
      <c r="B5447" s="431" t="str">
        <f t="shared" si="85"/>
        <v>Knee Replacement RevisionCCG of GP PracticeNHS PORTSMOUTH CCG (10R)EQ-5D Index</v>
      </c>
      <c r="C5447" t="s">
        <v>250</v>
      </c>
      <c r="D5447" t="s">
        <v>87</v>
      </c>
      <c r="E5447" t="s">
        <v>788</v>
      </c>
      <c r="F5447" t="s">
        <v>789</v>
      </c>
      <c r="G5447" t="s">
        <v>52</v>
      </c>
      <c r="H5447" t="s">
        <v>53</v>
      </c>
      <c r="I5447" t="s">
        <v>53</v>
      </c>
      <c r="J5447" t="s">
        <v>53</v>
      </c>
      <c r="K5447" t="s">
        <v>53</v>
      </c>
      <c r="L5447" t="s">
        <v>53</v>
      </c>
      <c r="M5447" t="s">
        <v>53</v>
      </c>
      <c r="N5447" t="s">
        <v>53</v>
      </c>
      <c r="O5447" t="s">
        <v>53</v>
      </c>
      <c r="P5447" t="s">
        <v>53</v>
      </c>
      <c r="Q5447" t="s">
        <v>53</v>
      </c>
    </row>
    <row r="5448" spans="1:17" x14ac:dyDescent="0.2">
      <c r="A5448" s="30" t="str">
        <f>IF(C5448&amp;G5448&amp;D5448&lt;&gt;'Funnel setup'!$K$3&amp;'Funnel setup'!$K$4&amp;'Funnel setup'!$K$5,".",IF(A5447=".",1,A5447+1))</f>
        <v>.</v>
      </c>
      <c r="B5448" s="431" t="str">
        <f t="shared" si="85"/>
        <v>Knee Replacement RevisionCCG of GP PracticeNHS REDBRIDGE CCG (08N)EQ-5D Index</v>
      </c>
      <c r="C5448" t="s">
        <v>250</v>
      </c>
      <c r="D5448" t="s">
        <v>87</v>
      </c>
      <c r="E5448" t="s">
        <v>791</v>
      </c>
      <c r="F5448" t="s">
        <v>792</v>
      </c>
      <c r="G5448" t="s">
        <v>52</v>
      </c>
      <c r="H5448" t="s">
        <v>53</v>
      </c>
      <c r="I5448" t="s">
        <v>53</v>
      </c>
      <c r="J5448" t="s">
        <v>53</v>
      </c>
      <c r="K5448" t="s">
        <v>53</v>
      </c>
      <c r="L5448" t="s">
        <v>53</v>
      </c>
      <c r="M5448" t="s">
        <v>53</v>
      </c>
      <c r="N5448" t="s">
        <v>53</v>
      </c>
      <c r="O5448" t="s">
        <v>53</v>
      </c>
      <c r="P5448" t="s">
        <v>53</v>
      </c>
      <c r="Q5448" t="s">
        <v>53</v>
      </c>
    </row>
    <row r="5449" spans="1:17" x14ac:dyDescent="0.2">
      <c r="A5449" s="30" t="str">
        <f>IF(C5449&amp;G5449&amp;D5449&lt;&gt;'Funnel setup'!$K$3&amp;'Funnel setup'!$K$4&amp;'Funnel setup'!$K$5,".",IF(A5448=".",1,A5448+1))</f>
        <v>.</v>
      </c>
      <c r="B5449" s="431" t="str">
        <f t="shared" si="85"/>
        <v>Knee Replacement RevisionCCG of GP PracticeNHS REDDITCH AND BROMSGROVE CCG (05J)EQ-5D Index</v>
      </c>
      <c r="C5449" t="s">
        <v>250</v>
      </c>
      <c r="D5449" t="s">
        <v>87</v>
      </c>
      <c r="E5449" t="s">
        <v>794</v>
      </c>
      <c r="F5449" t="s">
        <v>795</v>
      </c>
      <c r="G5449" t="s">
        <v>52</v>
      </c>
      <c r="H5449">
        <v>6</v>
      </c>
      <c r="I5449">
        <v>0.20499999999999999</v>
      </c>
      <c r="J5449">
        <v>0.61799999999999999</v>
      </c>
      <c r="K5449">
        <v>0.41399999999999998</v>
      </c>
      <c r="L5449">
        <v>6</v>
      </c>
      <c r="M5449">
        <v>0</v>
      </c>
      <c r="N5449">
        <v>0</v>
      </c>
      <c r="O5449" t="s">
        <v>53</v>
      </c>
      <c r="P5449" t="s">
        <v>53</v>
      </c>
      <c r="Q5449" t="s">
        <v>53</v>
      </c>
    </row>
    <row r="5450" spans="1:17" x14ac:dyDescent="0.2">
      <c r="A5450" s="30" t="str">
        <f>IF(C5450&amp;G5450&amp;D5450&lt;&gt;'Funnel setup'!$K$3&amp;'Funnel setup'!$K$4&amp;'Funnel setup'!$K$5,".",IF(A5449=".",1,A5449+1))</f>
        <v>.</v>
      </c>
      <c r="B5450" s="431" t="str">
        <f t="shared" si="85"/>
        <v>Knee Replacement RevisionCCG of GP PracticeNHS RICHMOND CCG (08P)EQ-5D Index</v>
      </c>
      <c r="C5450" t="s">
        <v>250</v>
      </c>
      <c r="D5450" t="s">
        <v>87</v>
      </c>
      <c r="E5450" t="s">
        <v>797</v>
      </c>
      <c r="F5450" t="s">
        <v>798</v>
      </c>
      <c r="G5450" t="s">
        <v>52</v>
      </c>
      <c r="H5450" t="s">
        <v>53</v>
      </c>
      <c r="I5450" t="s">
        <v>53</v>
      </c>
      <c r="J5450" t="s">
        <v>53</v>
      </c>
      <c r="K5450" t="s">
        <v>53</v>
      </c>
      <c r="L5450" t="s">
        <v>53</v>
      </c>
      <c r="M5450" t="s">
        <v>53</v>
      </c>
      <c r="N5450" t="s">
        <v>53</v>
      </c>
      <c r="O5450" t="s">
        <v>53</v>
      </c>
      <c r="P5450" t="s">
        <v>53</v>
      </c>
      <c r="Q5450" t="s">
        <v>53</v>
      </c>
    </row>
    <row r="5451" spans="1:17" x14ac:dyDescent="0.2">
      <c r="A5451" s="30" t="str">
        <f>IF(C5451&amp;G5451&amp;D5451&lt;&gt;'Funnel setup'!$K$3&amp;'Funnel setup'!$K$4&amp;'Funnel setup'!$K$5,".",IF(A5450=".",1,A5450+1))</f>
        <v>.</v>
      </c>
      <c r="B5451" s="431" t="str">
        <f t="shared" si="85"/>
        <v>Knee Replacement RevisionCCG of GP PracticeNHS ROTHERHAM CCG (03L)EQ-5D Index</v>
      </c>
      <c r="C5451" t="s">
        <v>250</v>
      </c>
      <c r="D5451" t="s">
        <v>87</v>
      </c>
      <c r="E5451" t="s">
        <v>800</v>
      </c>
      <c r="F5451" t="s">
        <v>801</v>
      </c>
      <c r="G5451" t="s">
        <v>52</v>
      </c>
      <c r="H5451">
        <v>9</v>
      </c>
      <c r="I5451">
        <v>0.27100000000000002</v>
      </c>
      <c r="J5451">
        <v>0.6</v>
      </c>
      <c r="K5451">
        <v>0.32900000000000001</v>
      </c>
      <c r="L5451">
        <v>6</v>
      </c>
      <c r="M5451">
        <v>1</v>
      </c>
      <c r="N5451">
        <v>2</v>
      </c>
      <c r="O5451" t="s">
        <v>53</v>
      </c>
      <c r="P5451" t="s">
        <v>53</v>
      </c>
      <c r="Q5451" t="s">
        <v>53</v>
      </c>
    </row>
    <row r="5452" spans="1:17" x14ac:dyDescent="0.2">
      <c r="A5452" s="30" t="str">
        <f>IF(C5452&amp;G5452&amp;D5452&lt;&gt;'Funnel setup'!$K$3&amp;'Funnel setup'!$K$4&amp;'Funnel setup'!$K$5,".",IF(A5451=".",1,A5451+1))</f>
        <v>.</v>
      </c>
      <c r="B5452" s="431" t="str">
        <f t="shared" si="85"/>
        <v>Knee Replacement RevisionCCG of GP PracticeNHS RUSHCLIFFE CCG (04N)EQ-5D Index</v>
      </c>
      <c r="C5452" t="s">
        <v>250</v>
      </c>
      <c r="D5452" t="s">
        <v>87</v>
      </c>
      <c r="E5452" t="s">
        <v>803</v>
      </c>
      <c r="F5452" t="s">
        <v>804</v>
      </c>
      <c r="G5452" t="s">
        <v>52</v>
      </c>
      <c r="H5452" t="s">
        <v>53</v>
      </c>
      <c r="I5452" t="s">
        <v>53</v>
      </c>
      <c r="J5452" t="s">
        <v>53</v>
      </c>
      <c r="K5452" t="s">
        <v>53</v>
      </c>
      <c r="L5452" t="s">
        <v>53</v>
      </c>
      <c r="M5452" t="s">
        <v>53</v>
      </c>
      <c r="N5452" t="s">
        <v>53</v>
      </c>
      <c r="O5452" t="s">
        <v>53</v>
      </c>
      <c r="P5452" t="s">
        <v>53</v>
      </c>
      <c r="Q5452" t="s">
        <v>53</v>
      </c>
    </row>
    <row r="5453" spans="1:17" x14ac:dyDescent="0.2">
      <c r="A5453" s="30" t="str">
        <f>IF(C5453&amp;G5453&amp;D5453&lt;&gt;'Funnel setup'!$K$3&amp;'Funnel setup'!$K$4&amp;'Funnel setup'!$K$5,".",IF(A5452=".",1,A5452+1))</f>
        <v>.</v>
      </c>
      <c r="B5453" s="431" t="str">
        <f t="shared" si="85"/>
        <v>Knee Replacement RevisionCCG of GP PracticeNHS SALFORD CCG (01G)EQ-5D Index</v>
      </c>
      <c r="C5453" t="s">
        <v>250</v>
      </c>
      <c r="D5453" t="s">
        <v>87</v>
      </c>
      <c r="E5453" t="s">
        <v>806</v>
      </c>
      <c r="F5453" t="s">
        <v>807</v>
      </c>
      <c r="G5453" t="s">
        <v>52</v>
      </c>
      <c r="H5453">
        <v>9</v>
      </c>
      <c r="I5453">
        <v>0.14899999999999999</v>
      </c>
      <c r="J5453">
        <v>0.38400000000000001</v>
      </c>
      <c r="K5453">
        <v>0.23499999999999999</v>
      </c>
      <c r="L5453">
        <v>6</v>
      </c>
      <c r="M5453">
        <v>0</v>
      </c>
      <c r="N5453">
        <v>3</v>
      </c>
      <c r="O5453" t="s">
        <v>53</v>
      </c>
      <c r="P5453" t="s">
        <v>53</v>
      </c>
      <c r="Q5453" t="s">
        <v>53</v>
      </c>
    </row>
    <row r="5454" spans="1:17" x14ac:dyDescent="0.2">
      <c r="A5454" s="30" t="str">
        <f>IF(C5454&amp;G5454&amp;D5454&lt;&gt;'Funnel setup'!$K$3&amp;'Funnel setup'!$K$4&amp;'Funnel setup'!$K$5,".",IF(A5453=".",1,A5453+1))</f>
        <v>.</v>
      </c>
      <c r="B5454" s="431" t="str">
        <f t="shared" si="85"/>
        <v>Knee Replacement RevisionCCG of GP PracticeNHS SANDWELL AND WEST BIRMINGHAM CCG (05L)EQ-5D Index</v>
      </c>
      <c r="C5454" t="s">
        <v>250</v>
      </c>
      <c r="D5454" t="s">
        <v>87</v>
      </c>
      <c r="E5454" t="s">
        <v>809</v>
      </c>
      <c r="F5454" t="s">
        <v>810</v>
      </c>
      <c r="G5454" t="s">
        <v>52</v>
      </c>
      <c r="H5454" t="s">
        <v>53</v>
      </c>
      <c r="I5454" t="s">
        <v>53</v>
      </c>
      <c r="J5454" t="s">
        <v>53</v>
      </c>
      <c r="K5454" t="s">
        <v>53</v>
      </c>
      <c r="L5454" t="s">
        <v>53</v>
      </c>
      <c r="M5454" t="s">
        <v>53</v>
      </c>
      <c r="N5454" t="s">
        <v>53</v>
      </c>
      <c r="O5454" t="s">
        <v>53</v>
      </c>
      <c r="P5454" t="s">
        <v>53</v>
      </c>
      <c r="Q5454" t="s">
        <v>53</v>
      </c>
    </row>
    <row r="5455" spans="1:17" x14ac:dyDescent="0.2">
      <c r="A5455" s="30" t="str">
        <f>IF(C5455&amp;G5455&amp;D5455&lt;&gt;'Funnel setup'!$K$3&amp;'Funnel setup'!$K$4&amp;'Funnel setup'!$K$5,".",IF(A5454=".",1,A5454+1))</f>
        <v>.</v>
      </c>
      <c r="B5455" s="431" t="str">
        <f t="shared" si="85"/>
        <v>Knee Replacement RevisionCCG of GP PracticeNHS SCARBOROUGH AND RYEDALE CCG (03M)EQ-5D Index</v>
      </c>
      <c r="C5455" t="s">
        <v>250</v>
      </c>
      <c r="D5455" t="s">
        <v>87</v>
      </c>
      <c r="E5455" t="s">
        <v>812</v>
      </c>
      <c r="F5455" t="s">
        <v>813</v>
      </c>
      <c r="G5455" t="s">
        <v>52</v>
      </c>
      <c r="H5455">
        <v>6</v>
      </c>
      <c r="I5455">
        <v>0.35399999999999998</v>
      </c>
      <c r="J5455">
        <v>0.58399999999999996</v>
      </c>
      <c r="K5455">
        <v>0.23</v>
      </c>
      <c r="L5455">
        <v>3</v>
      </c>
      <c r="M5455">
        <v>2</v>
      </c>
      <c r="N5455">
        <v>1</v>
      </c>
      <c r="O5455" t="s">
        <v>53</v>
      </c>
      <c r="P5455" t="s">
        <v>53</v>
      </c>
      <c r="Q5455" t="s">
        <v>53</v>
      </c>
    </row>
    <row r="5456" spans="1:17" x14ac:dyDescent="0.2">
      <c r="A5456" s="30" t="str">
        <f>IF(C5456&amp;G5456&amp;D5456&lt;&gt;'Funnel setup'!$K$3&amp;'Funnel setup'!$K$4&amp;'Funnel setup'!$K$5,".",IF(A5455=".",1,A5455+1))</f>
        <v>.</v>
      </c>
      <c r="B5456" s="431" t="str">
        <f t="shared" si="85"/>
        <v>Knee Replacement RevisionCCG of GP PracticeNHS SHEFFIELD CCG (03N)EQ-5D Index</v>
      </c>
      <c r="C5456" t="s">
        <v>250</v>
      </c>
      <c r="D5456" t="s">
        <v>87</v>
      </c>
      <c r="E5456" t="s">
        <v>815</v>
      </c>
      <c r="F5456" t="s">
        <v>816</v>
      </c>
      <c r="G5456" t="s">
        <v>52</v>
      </c>
      <c r="H5456">
        <v>24</v>
      </c>
      <c r="I5456">
        <v>0.33200000000000002</v>
      </c>
      <c r="J5456">
        <v>0.51700000000000002</v>
      </c>
      <c r="K5456">
        <v>0.185</v>
      </c>
      <c r="L5456">
        <v>15</v>
      </c>
      <c r="M5456">
        <v>4</v>
      </c>
      <c r="N5456">
        <v>5</v>
      </c>
      <c r="O5456" t="s">
        <v>53</v>
      </c>
      <c r="P5456" t="s">
        <v>53</v>
      </c>
      <c r="Q5456" t="s">
        <v>53</v>
      </c>
    </row>
    <row r="5457" spans="1:17" x14ac:dyDescent="0.2">
      <c r="A5457" s="30" t="str">
        <f>IF(C5457&amp;G5457&amp;D5457&lt;&gt;'Funnel setup'!$K$3&amp;'Funnel setup'!$K$4&amp;'Funnel setup'!$K$5,".",IF(A5456=".",1,A5456+1))</f>
        <v>.</v>
      </c>
      <c r="B5457" s="431" t="str">
        <f t="shared" si="85"/>
        <v>Knee Replacement RevisionCCG of GP PracticeNHS SHROPSHIRE CCG (05N)EQ-5D Index</v>
      </c>
      <c r="C5457" t="s">
        <v>250</v>
      </c>
      <c r="D5457" t="s">
        <v>87</v>
      </c>
      <c r="E5457" t="s">
        <v>818</v>
      </c>
      <c r="F5457" t="s">
        <v>819</v>
      </c>
      <c r="G5457" t="s">
        <v>52</v>
      </c>
      <c r="H5457">
        <v>16</v>
      </c>
      <c r="I5457">
        <v>0.24199999999999999</v>
      </c>
      <c r="J5457">
        <v>0.55200000000000005</v>
      </c>
      <c r="K5457">
        <v>0.31</v>
      </c>
      <c r="L5457">
        <v>13</v>
      </c>
      <c r="M5457">
        <v>0</v>
      </c>
      <c r="N5457">
        <v>3</v>
      </c>
      <c r="O5457" t="s">
        <v>53</v>
      </c>
      <c r="P5457" t="s">
        <v>53</v>
      </c>
      <c r="Q5457" t="s">
        <v>53</v>
      </c>
    </row>
    <row r="5458" spans="1:17" x14ac:dyDescent="0.2">
      <c r="A5458" s="30" t="str">
        <f>IF(C5458&amp;G5458&amp;D5458&lt;&gt;'Funnel setup'!$K$3&amp;'Funnel setup'!$K$4&amp;'Funnel setup'!$K$5,".",IF(A5457=".",1,A5457+1))</f>
        <v>.</v>
      </c>
      <c r="B5458" s="431" t="str">
        <f t="shared" si="85"/>
        <v>Knee Replacement RevisionCCG of GP PracticeNHS SLOUGH CCG (10T)EQ-5D Index</v>
      </c>
      <c r="C5458" t="s">
        <v>250</v>
      </c>
      <c r="D5458" t="s">
        <v>87</v>
      </c>
      <c r="E5458" t="s">
        <v>821</v>
      </c>
      <c r="F5458" t="s">
        <v>822</v>
      </c>
      <c r="G5458" t="s">
        <v>52</v>
      </c>
      <c r="H5458" t="s">
        <v>53</v>
      </c>
      <c r="I5458" t="s">
        <v>53</v>
      </c>
      <c r="J5458" t="s">
        <v>53</v>
      </c>
      <c r="K5458" t="s">
        <v>53</v>
      </c>
      <c r="L5458" t="s">
        <v>53</v>
      </c>
      <c r="M5458" t="s">
        <v>53</v>
      </c>
      <c r="N5458" t="s">
        <v>53</v>
      </c>
      <c r="O5458" t="s">
        <v>53</v>
      </c>
      <c r="P5458" t="s">
        <v>53</v>
      </c>
      <c r="Q5458" t="s">
        <v>53</v>
      </c>
    </row>
    <row r="5459" spans="1:17" x14ac:dyDescent="0.2">
      <c r="A5459" s="30" t="str">
        <f>IF(C5459&amp;G5459&amp;D5459&lt;&gt;'Funnel setup'!$K$3&amp;'Funnel setup'!$K$4&amp;'Funnel setup'!$K$5,".",IF(A5458=".",1,A5458+1))</f>
        <v>.</v>
      </c>
      <c r="B5459" s="431" t="str">
        <f t="shared" si="85"/>
        <v>Knee Replacement RevisionCCG of GP PracticeNHS SOLIHULL CCG (05P)EQ-5D Index</v>
      </c>
      <c r="C5459" t="s">
        <v>250</v>
      </c>
      <c r="D5459" t="s">
        <v>87</v>
      </c>
      <c r="E5459" t="s">
        <v>824</v>
      </c>
      <c r="F5459" t="s">
        <v>825</v>
      </c>
      <c r="G5459" t="s">
        <v>52</v>
      </c>
      <c r="H5459">
        <v>7</v>
      </c>
      <c r="I5459">
        <v>0.251</v>
      </c>
      <c r="J5459">
        <v>0.432</v>
      </c>
      <c r="K5459">
        <v>0.182</v>
      </c>
      <c r="L5459">
        <v>5</v>
      </c>
      <c r="M5459">
        <v>1</v>
      </c>
      <c r="N5459">
        <v>1</v>
      </c>
      <c r="O5459" t="s">
        <v>53</v>
      </c>
      <c r="P5459" t="s">
        <v>53</v>
      </c>
      <c r="Q5459" t="s">
        <v>53</v>
      </c>
    </row>
    <row r="5460" spans="1:17" x14ac:dyDescent="0.2">
      <c r="A5460" s="30" t="str">
        <f>IF(C5460&amp;G5460&amp;D5460&lt;&gt;'Funnel setup'!$K$3&amp;'Funnel setup'!$K$4&amp;'Funnel setup'!$K$5,".",IF(A5459=".",1,A5459+1))</f>
        <v>.</v>
      </c>
      <c r="B5460" s="431" t="str">
        <f t="shared" si="85"/>
        <v>Knee Replacement RevisionCCG of GP PracticeNHS SOMERSET CCG (11X)EQ-5D Index</v>
      </c>
      <c r="C5460" t="s">
        <v>250</v>
      </c>
      <c r="D5460" t="s">
        <v>87</v>
      </c>
      <c r="E5460" t="s">
        <v>827</v>
      </c>
      <c r="F5460" t="s">
        <v>828</v>
      </c>
      <c r="G5460" t="s">
        <v>52</v>
      </c>
      <c r="H5460">
        <v>6</v>
      </c>
      <c r="I5460">
        <v>0.318</v>
      </c>
      <c r="J5460">
        <v>0.55300000000000005</v>
      </c>
      <c r="K5460">
        <v>0.23499999999999999</v>
      </c>
      <c r="L5460">
        <v>4</v>
      </c>
      <c r="M5460">
        <v>1</v>
      </c>
      <c r="N5460">
        <v>1</v>
      </c>
      <c r="O5460" t="s">
        <v>53</v>
      </c>
      <c r="P5460" t="s">
        <v>53</v>
      </c>
      <c r="Q5460" t="s">
        <v>53</v>
      </c>
    </row>
    <row r="5461" spans="1:17" x14ac:dyDescent="0.2">
      <c r="A5461" s="30" t="str">
        <f>IF(C5461&amp;G5461&amp;D5461&lt;&gt;'Funnel setup'!$K$3&amp;'Funnel setup'!$K$4&amp;'Funnel setup'!$K$5,".",IF(A5460=".",1,A5460+1))</f>
        <v>.</v>
      </c>
      <c r="B5461" s="431" t="str">
        <f t="shared" si="85"/>
        <v>Knee Replacement RevisionCCG of GP PracticeNHS SOUTH CHESHIRE CCG (01R)EQ-5D Index</v>
      </c>
      <c r="C5461" t="s">
        <v>250</v>
      </c>
      <c r="D5461" t="s">
        <v>87</v>
      </c>
      <c r="E5461" t="s">
        <v>830</v>
      </c>
      <c r="F5461" t="s">
        <v>831</v>
      </c>
      <c r="G5461" t="s">
        <v>52</v>
      </c>
      <c r="H5461">
        <v>6</v>
      </c>
      <c r="I5461">
        <v>0.316</v>
      </c>
      <c r="J5461">
        <v>0.65700000000000003</v>
      </c>
      <c r="K5461">
        <v>0.34100000000000003</v>
      </c>
      <c r="L5461">
        <v>5</v>
      </c>
      <c r="M5461">
        <v>0</v>
      </c>
      <c r="N5461">
        <v>1</v>
      </c>
      <c r="O5461" t="s">
        <v>53</v>
      </c>
      <c r="P5461" t="s">
        <v>53</v>
      </c>
      <c r="Q5461" t="s">
        <v>53</v>
      </c>
    </row>
    <row r="5462" spans="1:17" x14ac:dyDescent="0.2">
      <c r="A5462" s="30" t="str">
        <f>IF(C5462&amp;G5462&amp;D5462&lt;&gt;'Funnel setup'!$K$3&amp;'Funnel setup'!$K$4&amp;'Funnel setup'!$K$5,".",IF(A5461=".",1,A5461+1))</f>
        <v>.</v>
      </c>
      <c r="B5462" s="431" t="str">
        <f t="shared" si="85"/>
        <v>Knee Replacement RevisionCCG of GP PracticeNHS SOUTH DEVON AND TORBAY CCG (99Q)EQ-5D Index</v>
      </c>
      <c r="C5462" t="s">
        <v>250</v>
      </c>
      <c r="D5462" t="s">
        <v>87</v>
      </c>
      <c r="E5462" t="s">
        <v>833</v>
      </c>
      <c r="F5462" t="s">
        <v>834</v>
      </c>
      <c r="G5462" t="s">
        <v>52</v>
      </c>
      <c r="H5462">
        <v>14</v>
      </c>
      <c r="I5462">
        <v>0.374</v>
      </c>
      <c r="J5462">
        <v>0.76400000000000001</v>
      </c>
      <c r="K5462">
        <v>0.39100000000000001</v>
      </c>
      <c r="L5462">
        <v>12</v>
      </c>
      <c r="M5462">
        <v>1</v>
      </c>
      <c r="N5462">
        <v>1</v>
      </c>
      <c r="O5462" t="s">
        <v>53</v>
      </c>
      <c r="P5462" t="s">
        <v>53</v>
      </c>
      <c r="Q5462" t="s">
        <v>53</v>
      </c>
    </row>
    <row r="5463" spans="1:17" x14ac:dyDescent="0.2">
      <c r="A5463" s="30" t="str">
        <f>IF(C5463&amp;G5463&amp;D5463&lt;&gt;'Funnel setup'!$K$3&amp;'Funnel setup'!$K$4&amp;'Funnel setup'!$K$5,".",IF(A5462=".",1,A5462+1))</f>
        <v>.</v>
      </c>
      <c r="B5463" s="431" t="str">
        <f t="shared" si="85"/>
        <v>Knee Replacement RevisionCCG of GP PracticeNHS SOUTH EAST STAFFORDSHIRE AND SEISDON PENINSULA CCG (05Q)EQ-5D Index</v>
      </c>
      <c r="C5463" t="s">
        <v>250</v>
      </c>
      <c r="D5463" t="s">
        <v>87</v>
      </c>
      <c r="E5463" t="s">
        <v>836</v>
      </c>
      <c r="F5463" t="s">
        <v>837</v>
      </c>
      <c r="G5463" t="s">
        <v>52</v>
      </c>
      <c r="H5463">
        <v>7</v>
      </c>
      <c r="I5463">
        <v>0.57499999999999996</v>
      </c>
      <c r="J5463">
        <v>0.52800000000000002</v>
      </c>
      <c r="K5463">
        <v>-4.7E-2</v>
      </c>
      <c r="L5463">
        <v>3</v>
      </c>
      <c r="M5463">
        <v>1</v>
      </c>
      <c r="N5463">
        <v>3</v>
      </c>
      <c r="O5463" t="s">
        <v>53</v>
      </c>
      <c r="P5463" t="s">
        <v>53</v>
      </c>
      <c r="Q5463" t="s">
        <v>53</v>
      </c>
    </row>
    <row r="5464" spans="1:17" x14ac:dyDescent="0.2">
      <c r="A5464" s="30" t="str">
        <f>IF(C5464&amp;G5464&amp;D5464&lt;&gt;'Funnel setup'!$K$3&amp;'Funnel setup'!$K$4&amp;'Funnel setup'!$K$5,".",IF(A5463=".",1,A5463+1))</f>
        <v>.</v>
      </c>
      <c r="B5464" s="431" t="str">
        <f t="shared" si="85"/>
        <v>Knee Replacement RevisionCCG of GP PracticeNHS SOUTH EASTERN HAMPSHIRE CCG (10V)EQ-5D Index</v>
      </c>
      <c r="C5464" t="s">
        <v>250</v>
      </c>
      <c r="D5464" t="s">
        <v>87</v>
      </c>
      <c r="E5464" t="s">
        <v>839</v>
      </c>
      <c r="F5464" t="s">
        <v>840</v>
      </c>
      <c r="G5464" t="s">
        <v>52</v>
      </c>
      <c r="H5464" t="s">
        <v>53</v>
      </c>
      <c r="I5464" t="s">
        <v>53</v>
      </c>
      <c r="J5464" t="s">
        <v>53</v>
      </c>
      <c r="K5464" t="s">
        <v>53</v>
      </c>
      <c r="L5464" t="s">
        <v>53</v>
      </c>
      <c r="M5464" t="s">
        <v>53</v>
      </c>
      <c r="N5464" t="s">
        <v>53</v>
      </c>
      <c r="O5464" t="s">
        <v>53</v>
      </c>
      <c r="P5464" t="s">
        <v>53</v>
      </c>
      <c r="Q5464" t="s">
        <v>53</v>
      </c>
    </row>
    <row r="5465" spans="1:17" x14ac:dyDescent="0.2">
      <c r="A5465" s="30" t="str">
        <f>IF(C5465&amp;G5465&amp;D5465&lt;&gt;'Funnel setup'!$K$3&amp;'Funnel setup'!$K$4&amp;'Funnel setup'!$K$5,".",IF(A5464=".",1,A5464+1))</f>
        <v>.</v>
      </c>
      <c r="B5465" s="431" t="str">
        <f t="shared" si="85"/>
        <v>Knee Replacement RevisionCCG of GP PracticeNHS SOUTH GLOUCESTERSHIRE CCG (12A)EQ-5D Index</v>
      </c>
      <c r="C5465" t="s">
        <v>250</v>
      </c>
      <c r="D5465" t="s">
        <v>87</v>
      </c>
      <c r="E5465" t="s">
        <v>842</v>
      </c>
      <c r="F5465" t="s">
        <v>843</v>
      </c>
      <c r="G5465" t="s">
        <v>52</v>
      </c>
      <c r="H5465">
        <v>6</v>
      </c>
      <c r="I5465">
        <v>0.26300000000000001</v>
      </c>
      <c r="J5465">
        <v>0.65700000000000003</v>
      </c>
      <c r="K5465">
        <v>0.39400000000000002</v>
      </c>
      <c r="L5465">
        <v>6</v>
      </c>
      <c r="M5465">
        <v>0</v>
      </c>
      <c r="N5465">
        <v>0</v>
      </c>
      <c r="O5465" t="s">
        <v>53</v>
      </c>
      <c r="P5465" t="s">
        <v>53</v>
      </c>
      <c r="Q5465" t="s">
        <v>53</v>
      </c>
    </row>
    <row r="5466" spans="1:17" x14ac:dyDescent="0.2">
      <c r="A5466" s="30" t="str">
        <f>IF(C5466&amp;G5466&amp;D5466&lt;&gt;'Funnel setup'!$K$3&amp;'Funnel setup'!$K$4&amp;'Funnel setup'!$K$5,".",IF(A5465=".",1,A5465+1))</f>
        <v>.</v>
      </c>
      <c r="B5466" s="431" t="str">
        <f t="shared" si="85"/>
        <v>Knee Replacement RevisionCCG of GP PracticeNHS SOUTH KENT COAST CCG (10A)EQ-5D Index</v>
      </c>
      <c r="C5466" t="s">
        <v>250</v>
      </c>
      <c r="D5466" t="s">
        <v>87</v>
      </c>
      <c r="E5466" t="s">
        <v>845</v>
      </c>
      <c r="F5466" t="s">
        <v>846</v>
      </c>
      <c r="G5466" t="s">
        <v>52</v>
      </c>
      <c r="H5466" t="s">
        <v>53</v>
      </c>
      <c r="I5466" t="s">
        <v>53</v>
      </c>
      <c r="J5466" t="s">
        <v>53</v>
      </c>
      <c r="K5466" t="s">
        <v>53</v>
      </c>
      <c r="L5466" t="s">
        <v>53</v>
      </c>
      <c r="M5466" t="s">
        <v>53</v>
      </c>
      <c r="N5466" t="s">
        <v>53</v>
      </c>
      <c r="O5466" t="s">
        <v>53</v>
      </c>
      <c r="P5466" t="s">
        <v>53</v>
      </c>
      <c r="Q5466" t="s">
        <v>53</v>
      </c>
    </row>
    <row r="5467" spans="1:17" x14ac:dyDescent="0.2">
      <c r="A5467" s="30" t="str">
        <f>IF(C5467&amp;G5467&amp;D5467&lt;&gt;'Funnel setup'!$K$3&amp;'Funnel setup'!$K$4&amp;'Funnel setup'!$K$5,".",IF(A5466=".",1,A5466+1))</f>
        <v>.</v>
      </c>
      <c r="B5467" s="431" t="str">
        <f t="shared" si="85"/>
        <v>Knee Replacement RevisionCCG of GP PracticeNHS SOUTH LINCOLNSHIRE CCG (99D)EQ-5D Index</v>
      </c>
      <c r="C5467" t="s">
        <v>250</v>
      </c>
      <c r="D5467" t="s">
        <v>87</v>
      </c>
      <c r="E5467" t="s">
        <v>848</v>
      </c>
      <c r="F5467" t="s">
        <v>849</v>
      </c>
      <c r="G5467" t="s">
        <v>52</v>
      </c>
      <c r="H5467">
        <v>7</v>
      </c>
      <c r="I5467">
        <v>0.39900000000000002</v>
      </c>
      <c r="J5467">
        <v>0.54</v>
      </c>
      <c r="K5467">
        <v>0.14199999999999999</v>
      </c>
      <c r="L5467">
        <v>5</v>
      </c>
      <c r="M5467">
        <v>1</v>
      </c>
      <c r="N5467">
        <v>1</v>
      </c>
      <c r="O5467" t="s">
        <v>53</v>
      </c>
      <c r="P5467" t="s">
        <v>53</v>
      </c>
      <c r="Q5467" t="s">
        <v>53</v>
      </c>
    </row>
    <row r="5468" spans="1:17" x14ac:dyDescent="0.2">
      <c r="A5468" s="30" t="str">
        <f>IF(C5468&amp;G5468&amp;D5468&lt;&gt;'Funnel setup'!$K$3&amp;'Funnel setup'!$K$4&amp;'Funnel setup'!$K$5,".",IF(A5467=".",1,A5467+1))</f>
        <v>.</v>
      </c>
      <c r="B5468" s="431" t="str">
        <f t="shared" si="85"/>
        <v>Knee Replacement RevisionCCG of GP PracticeNHS SOUTH MANCHESTER CCG (01N)EQ-5D Index</v>
      </c>
      <c r="C5468" t="s">
        <v>250</v>
      </c>
      <c r="D5468" t="s">
        <v>87</v>
      </c>
      <c r="E5468" t="s">
        <v>851</v>
      </c>
      <c r="F5468" t="s">
        <v>852</v>
      </c>
      <c r="G5468" t="s">
        <v>52</v>
      </c>
      <c r="H5468" t="s">
        <v>53</v>
      </c>
      <c r="I5468" t="s">
        <v>53</v>
      </c>
      <c r="J5468" t="s">
        <v>53</v>
      </c>
      <c r="K5468" t="s">
        <v>53</v>
      </c>
      <c r="L5468" t="s">
        <v>53</v>
      </c>
      <c r="M5468" t="s">
        <v>53</v>
      </c>
      <c r="N5468" t="s">
        <v>53</v>
      </c>
      <c r="O5468" t="s">
        <v>53</v>
      </c>
      <c r="P5468" t="s">
        <v>53</v>
      </c>
      <c r="Q5468" t="s">
        <v>53</v>
      </c>
    </row>
    <row r="5469" spans="1:17" x14ac:dyDescent="0.2">
      <c r="A5469" s="30" t="str">
        <f>IF(C5469&amp;G5469&amp;D5469&lt;&gt;'Funnel setup'!$K$3&amp;'Funnel setup'!$K$4&amp;'Funnel setup'!$K$5,".",IF(A5468=".",1,A5468+1))</f>
        <v>.</v>
      </c>
      <c r="B5469" s="431" t="str">
        <f t="shared" si="85"/>
        <v>Knee Replacement RevisionCCG of GP PracticeNHS SOUTH NORFOLK CCG (06Y)EQ-5D Index</v>
      </c>
      <c r="C5469" t="s">
        <v>250</v>
      </c>
      <c r="D5469" t="s">
        <v>87</v>
      </c>
      <c r="E5469" t="s">
        <v>932</v>
      </c>
      <c r="F5469" t="s">
        <v>933</v>
      </c>
      <c r="G5469" t="s">
        <v>52</v>
      </c>
      <c r="H5469">
        <v>15</v>
      </c>
      <c r="I5469">
        <v>0.33200000000000002</v>
      </c>
      <c r="J5469">
        <v>0.64900000000000002</v>
      </c>
      <c r="K5469">
        <v>0.317</v>
      </c>
      <c r="L5469">
        <v>13</v>
      </c>
      <c r="M5469">
        <v>1</v>
      </c>
      <c r="N5469">
        <v>1</v>
      </c>
      <c r="O5469" t="s">
        <v>53</v>
      </c>
      <c r="P5469" t="s">
        <v>53</v>
      </c>
      <c r="Q5469" t="s">
        <v>53</v>
      </c>
    </row>
    <row r="5470" spans="1:17" x14ac:dyDescent="0.2">
      <c r="A5470" s="30" t="str">
        <f>IF(C5470&amp;G5470&amp;D5470&lt;&gt;'Funnel setup'!$K$3&amp;'Funnel setup'!$K$4&amp;'Funnel setup'!$K$5,".",IF(A5469=".",1,A5469+1))</f>
        <v>.</v>
      </c>
      <c r="B5470" s="431" t="str">
        <f t="shared" si="85"/>
        <v>Knee Replacement RevisionCCG of GP PracticeNHS SOUTH READING CCG (10W)EQ-5D Index</v>
      </c>
      <c r="C5470" t="s">
        <v>250</v>
      </c>
      <c r="D5470" t="s">
        <v>87</v>
      </c>
      <c r="E5470" t="s">
        <v>935</v>
      </c>
      <c r="F5470" t="s">
        <v>936</v>
      </c>
      <c r="G5470" t="s">
        <v>52</v>
      </c>
      <c r="H5470" t="s">
        <v>53</v>
      </c>
      <c r="I5470" t="s">
        <v>53</v>
      </c>
      <c r="J5470" t="s">
        <v>53</v>
      </c>
      <c r="K5470" t="s">
        <v>53</v>
      </c>
      <c r="L5470" t="s">
        <v>53</v>
      </c>
      <c r="M5470" t="s">
        <v>53</v>
      </c>
      <c r="N5470" t="s">
        <v>53</v>
      </c>
      <c r="O5470" t="s">
        <v>53</v>
      </c>
      <c r="P5470" t="s">
        <v>53</v>
      </c>
      <c r="Q5470" t="s">
        <v>53</v>
      </c>
    </row>
    <row r="5471" spans="1:17" x14ac:dyDescent="0.2">
      <c r="A5471" s="30" t="str">
        <f>IF(C5471&amp;G5471&amp;D5471&lt;&gt;'Funnel setup'!$K$3&amp;'Funnel setup'!$K$4&amp;'Funnel setup'!$K$5,".",IF(A5470=".",1,A5470+1))</f>
        <v>.</v>
      </c>
      <c r="B5471" s="431" t="str">
        <f t="shared" si="85"/>
        <v>Knee Replacement RevisionCCG of GP PracticeNHS SOUTH SEFTON CCG (01T)EQ-5D Index</v>
      </c>
      <c r="C5471" t="s">
        <v>250</v>
      </c>
      <c r="D5471" t="s">
        <v>87</v>
      </c>
      <c r="E5471" t="s">
        <v>938</v>
      </c>
      <c r="F5471" t="s">
        <v>939</v>
      </c>
      <c r="G5471" t="s">
        <v>52</v>
      </c>
      <c r="H5471" t="s">
        <v>53</v>
      </c>
      <c r="I5471" t="s">
        <v>53</v>
      </c>
      <c r="J5471" t="s">
        <v>53</v>
      </c>
      <c r="K5471" t="s">
        <v>53</v>
      </c>
      <c r="L5471" t="s">
        <v>53</v>
      </c>
      <c r="M5471" t="s">
        <v>53</v>
      </c>
      <c r="N5471" t="s">
        <v>53</v>
      </c>
      <c r="O5471" t="s">
        <v>53</v>
      </c>
      <c r="P5471" t="s">
        <v>53</v>
      </c>
      <c r="Q5471" t="s">
        <v>53</v>
      </c>
    </row>
    <row r="5472" spans="1:17" x14ac:dyDescent="0.2">
      <c r="A5472" s="30" t="str">
        <f>IF(C5472&amp;G5472&amp;D5472&lt;&gt;'Funnel setup'!$K$3&amp;'Funnel setup'!$K$4&amp;'Funnel setup'!$K$5,".",IF(A5471=".",1,A5471+1))</f>
        <v>.</v>
      </c>
      <c r="B5472" s="431" t="str">
        <f t="shared" si="85"/>
        <v>Knee Replacement RevisionCCG of GP PracticeNHS SOUTH TEES CCG (00M)EQ-5D Index</v>
      </c>
      <c r="C5472" t="s">
        <v>250</v>
      </c>
      <c r="D5472" t="s">
        <v>87</v>
      </c>
      <c r="E5472" t="s">
        <v>941</v>
      </c>
      <c r="F5472" t="s">
        <v>942</v>
      </c>
      <c r="G5472" t="s">
        <v>52</v>
      </c>
      <c r="H5472">
        <v>7</v>
      </c>
      <c r="I5472">
        <v>0.33600000000000002</v>
      </c>
      <c r="J5472">
        <v>0.49</v>
      </c>
      <c r="K5472">
        <v>0.154</v>
      </c>
      <c r="L5472">
        <v>5</v>
      </c>
      <c r="M5472">
        <v>0</v>
      </c>
      <c r="N5472">
        <v>2</v>
      </c>
      <c r="O5472" t="s">
        <v>53</v>
      </c>
      <c r="P5472" t="s">
        <v>53</v>
      </c>
      <c r="Q5472" t="s">
        <v>53</v>
      </c>
    </row>
    <row r="5473" spans="1:17" x14ac:dyDescent="0.2">
      <c r="A5473" s="30" t="str">
        <f>IF(C5473&amp;G5473&amp;D5473&lt;&gt;'Funnel setup'!$K$3&amp;'Funnel setup'!$K$4&amp;'Funnel setup'!$K$5,".",IF(A5472=".",1,A5472+1))</f>
        <v>.</v>
      </c>
      <c r="B5473" s="431" t="str">
        <f t="shared" si="85"/>
        <v>Knee Replacement RevisionCCG of GP PracticeNHS SOUTH TYNESIDE CCG (00N)EQ-5D Index</v>
      </c>
      <c r="C5473" t="s">
        <v>250</v>
      </c>
      <c r="D5473" t="s">
        <v>87</v>
      </c>
      <c r="E5473" t="s">
        <v>1016</v>
      </c>
      <c r="F5473" t="s">
        <v>1017</v>
      </c>
      <c r="G5473" t="s">
        <v>52</v>
      </c>
      <c r="H5473" t="s">
        <v>53</v>
      </c>
      <c r="I5473" t="s">
        <v>53</v>
      </c>
      <c r="J5473" t="s">
        <v>53</v>
      </c>
      <c r="K5473" t="s">
        <v>53</v>
      </c>
      <c r="L5473" t="s">
        <v>53</v>
      </c>
      <c r="M5473" t="s">
        <v>53</v>
      </c>
      <c r="N5473" t="s">
        <v>53</v>
      </c>
      <c r="O5473" t="s">
        <v>53</v>
      </c>
      <c r="P5473" t="s">
        <v>53</v>
      </c>
      <c r="Q5473" t="s">
        <v>53</v>
      </c>
    </row>
    <row r="5474" spans="1:17" x14ac:dyDescent="0.2">
      <c r="A5474" s="30" t="str">
        <f>IF(C5474&amp;G5474&amp;D5474&lt;&gt;'Funnel setup'!$K$3&amp;'Funnel setup'!$K$4&amp;'Funnel setup'!$K$5,".",IF(A5473=".",1,A5473+1))</f>
        <v>.</v>
      </c>
      <c r="B5474" s="431" t="str">
        <f t="shared" si="85"/>
        <v>Knee Replacement RevisionCCG of GP PracticeNHS SOUTH WARWICKSHIRE CCG (05R)EQ-5D Index</v>
      </c>
      <c r="C5474" t="s">
        <v>250</v>
      </c>
      <c r="D5474" t="s">
        <v>87</v>
      </c>
      <c r="E5474" t="s">
        <v>944</v>
      </c>
      <c r="F5474" t="s">
        <v>945</v>
      </c>
      <c r="G5474" t="s">
        <v>52</v>
      </c>
      <c r="H5474">
        <v>13</v>
      </c>
      <c r="I5474">
        <v>0.56799999999999995</v>
      </c>
      <c r="J5474">
        <v>0.72499999999999998</v>
      </c>
      <c r="K5474">
        <v>0.156</v>
      </c>
      <c r="L5474">
        <v>8</v>
      </c>
      <c r="M5474">
        <v>4</v>
      </c>
      <c r="N5474">
        <v>1</v>
      </c>
      <c r="O5474" t="s">
        <v>53</v>
      </c>
      <c r="P5474" t="s">
        <v>53</v>
      </c>
      <c r="Q5474" t="s">
        <v>53</v>
      </c>
    </row>
    <row r="5475" spans="1:17" x14ac:dyDescent="0.2">
      <c r="A5475" s="30" t="str">
        <f>IF(C5475&amp;G5475&amp;D5475&lt;&gt;'Funnel setup'!$K$3&amp;'Funnel setup'!$K$4&amp;'Funnel setup'!$K$5,".",IF(A5474=".",1,A5474+1))</f>
        <v>.</v>
      </c>
      <c r="B5475" s="431" t="str">
        <f t="shared" si="85"/>
        <v>Knee Replacement RevisionCCG of GP PracticeNHS SOUTH WEST LINCOLNSHIRE CCG (04Q)EQ-5D Index</v>
      </c>
      <c r="C5475" t="s">
        <v>250</v>
      </c>
      <c r="D5475" t="s">
        <v>87</v>
      </c>
      <c r="E5475" t="s">
        <v>947</v>
      </c>
      <c r="F5475" t="s">
        <v>948</v>
      </c>
      <c r="G5475" t="s">
        <v>52</v>
      </c>
      <c r="H5475" t="s">
        <v>53</v>
      </c>
      <c r="I5475" t="s">
        <v>53</v>
      </c>
      <c r="J5475" t="s">
        <v>53</v>
      </c>
      <c r="K5475" t="s">
        <v>53</v>
      </c>
      <c r="L5475" t="s">
        <v>53</v>
      </c>
      <c r="M5475" t="s">
        <v>53</v>
      </c>
      <c r="N5475" t="s">
        <v>53</v>
      </c>
      <c r="O5475" t="s">
        <v>53</v>
      </c>
      <c r="P5475" t="s">
        <v>53</v>
      </c>
      <c r="Q5475" t="s">
        <v>53</v>
      </c>
    </row>
    <row r="5476" spans="1:17" x14ac:dyDescent="0.2">
      <c r="A5476" s="30" t="str">
        <f>IF(C5476&amp;G5476&amp;D5476&lt;&gt;'Funnel setup'!$K$3&amp;'Funnel setup'!$K$4&amp;'Funnel setup'!$K$5,".",IF(A5475=".",1,A5475+1))</f>
        <v>.</v>
      </c>
      <c r="B5476" s="431" t="str">
        <f t="shared" si="85"/>
        <v>Knee Replacement RevisionCCG of GP PracticeNHS SOUTH WORCESTERSHIRE CCG (05T)EQ-5D Index</v>
      </c>
      <c r="C5476" t="s">
        <v>250</v>
      </c>
      <c r="D5476" t="s">
        <v>87</v>
      </c>
      <c r="E5476" t="s">
        <v>950</v>
      </c>
      <c r="F5476" t="s">
        <v>951</v>
      </c>
      <c r="G5476" t="s">
        <v>52</v>
      </c>
      <c r="H5476">
        <v>9</v>
      </c>
      <c r="I5476">
        <v>0.36699999999999999</v>
      </c>
      <c r="J5476">
        <v>0.69499999999999995</v>
      </c>
      <c r="K5476">
        <v>0.32800000000000001</v>
      </c>
      <c r="L5476">
        <v>8</v>
      </c>
      <c r="M5476">
        <v>0</v>
      </c>
      <c r="N5476">
        <v>1</v>
      </c>
      <c r="O5476" t="s">
        <v>53</v>
      </c>
      <c r="P5476" t="s">
        <v>53</v>
      </c>
      <c r="Q5476" t="s">
        <v>53</v>
      </c>
    </row>
    <row r="5477" spans="1:17" x14ac:dyDescent="0.2">
      <c r="A5477" s="30" t="str">
        <f>IF(C5477&amp;G5477&amp;D5477&lt;&gt;'Funnel setup'!$K$3&amp;'Funnel setup'!$K$4&amp;'Funnel setup'!$K$5,".",IF(A5476=".",1,A5476+1))</f>
        <v>.</v>
      </c>
      <c r="B5477" s="431" t="str">
        <f t="shared" si="85"/>
        <v>Knee Replacement RevisionCCG of GP PracticeNHS SOUTHAMPTON CCG (10X)EQ-5D Index</v>
      </c>
      <c r="C5477" t="s">
        <v>250</v>
      </c>
      <c r="D5477" t="s">
        <v>87</v>
      </c>
      <c r="E5477" t="s">
        <v>953</v>
      </c>
      <c r="F5477" t="s">
        <v>954</v>
      </c>
      <c r="G5477" t="s">
        <v>52</v>
      </c>
      <c r="H5477">
        <v>16</v>
      </c>
      <c r="I5477">
        <v>0.34699999999999998</v>
      </c>
      <c r="J5477">
        <v>0.624</v>
      </c>
      <c r="K5477">
        <v>0.27700000000000002</v>
      </c>
      <c r="L5477">
        <v>12</v>
      </c>
      <c r="M5477">
        <v>2</v>
      </c>
      <c r="N5477">
        <v>2</v>
      </c>
      <c r="O5477" t="s">
        <v>53</v>
      </c>
      <c r="P5477" t="s">
        <v>53</v>
      </c>
      <c r="Q5477" t="s">
        <v>53</v>
      </c>
    </row>
    <row r="5478" spans="1:17" x14ac:dyDescent="0.2">
      <c r="A5478" s="30" t="str">
        <f>IF(C5478&amp;G5478&amp;D5478&lt;&gt;'Funnel setup'!$K$3&amp;'Funnel setup'!$K$4&amp;'Funnel setup'!$K$5,".",IF(A5477=".",1,A5477+1))</f>
        <v>.</v>
      </c>
      <c r="B5478" s="431" t="str">
        <f t="shared" si="85"/>
        <v>Knee Replacement RevisionCCG of GP PracticeNHS SOUTHERN DERBYSHIRE CCG (04R)EQ-5D Index</v>
      </c>
      <c r="C5478" t="s">
        <v>250</v>
      </c>
      <c r="D5478" t="s">
        <v>87</v>
      </c>
      <c r="E5478" t="s">
        <v>959</v>
      </c>
      <c r="F5478" t="s">
        <v>960</v>
      </c>
      <c r="G5478" t="s">
        <v>52</v>
      </c>
      <c r="H5478">
        <v>11</v>
      </c>
      <c r="I5478">
        <v>0.28100000000000003</v>
      </c>
      <c r="J5478">
        <v>0.45400000000000001</v>
      </c>
      <c r="K5478">
        <v>0.17399999999999999</v>
      </c>
      <c r="L5478">
        <v>5</v>
      </c>
      <c r="M5478">
        <v>3</v>
      </c>
      <c r="N5478">
        <v>3</v>
      </c>
      <c r="O5478" t="s">
        <v>53</v>
      </c>
      <c r="P5478" t="s">
        <v>53</v>
      </c>
      <c r="Q5478" t="s">
        <v>53</v>
      </c>
    </row>
    <row r="5479" spans="1:17" x14ac:dyDescent="0.2">
      <c r="A5479" s="30" t="str">
        <f>IF(C5479&amp;G5479&amp;D5479&lt;&gt;'Funnel setup'!$K$3&amp;'Funnel setup'!$K$4&amp;'Funnel setup'!$K$5,".",IF(A5478=".",1,A5478+1))</f>
        <v>.</v>
      </c>
      <c r="B5479" s="431" t="str">
        <f t="shared" si="85"/>
        <v>Knee Replacement RevisionCCG of GP PracticeNHS SOUTHPORT AND FORMBY CCG (01V)EQ-5D Index</v>
      </c>
      <c r="C5479" t="s">
        <v>250</v>
      </c>
      <c r="D5479" t="s">
        <v>87</v>
      </c>
      <c r="E5479" t="s">
        <v>962</v>
      </c>
      <c r="F5479" t="s">
        <v>963</v>
      </c>
      <c r="G5479" t="s">
        <v>52</v>
      </c>
      <c r="H5479">
        <v>7</v>
      </c>
      <c r="I5479">
        <v>0.27700000000000002</v>
      </c>
      <c r="J5479">
        <v>0.73</v>
      </c>
      <c r="K5479">
        <v>0.45300000000000001</v>
      </c>
      <c r="L5479">
        <v>6</v>
      </c>
      <c r="M5479">
        <v>1</v>
      </c>
      <c r="N5479">
        <v>0</v>
      </c>
      <c r="O5479" t="s">
        <v>53</v>
      </c>
      <c r="P5479" t="s">
        <v>53</v>
      </c>
      <c r="Q5479" t="s">
        <v>53</v>
      </c>
    </row>
    <row r="5480" spans="1:17" x14ac:dyDescent="0.2">
      <c r="A5480" s="30" t="str">
        <f>IF(C5480&amp;G5480&amp;D5480&lt;&gt;'Funnel setup'!$K$3&amp;'Funnel setup'!$K$4&amp;'Funnel setup'!$K$5,".",IF(A5479=".",1,A5479+1))</f>
        <v>.</v>
      </c>
      <c r="B5480" s="431" t="str">
        <f t="shared" si="85"/>
        <v>Knee Replacement RevisionCCG of GP PracticeNHS SOUTHWARK CCG (08Q)EQ-5D Index</v>
      </c>
      <c r="C5480" t="s">
        <v>250</v>
      </c>
      <c r="D5480" t="s">
        <v>87</v>
      </c>
      <c r="E5480" t="s">
        <v>965</v>
      </c>
      <c r="F5480" t="s">
        <v>966</v>
      </c>
      <c r="G5480" t="s">
        <v>52</v>
      </c>
      <c r="H5480" t="s">
        <v>53</v>
      </c>
      <c r="I5480" t="s">
        <v>53</v>
      </c>
      <c r="J5480" t="s">
        <v>53</v>
      </c>
      <c r="K5480" t="s">
        <v>53</v>
      </c>
      <c r="L5480" t="s">
        <v>53</v>
      </c>
      <c r="M5480" t="s">
        <v>53</v>
      </c>
      <c r="N5480" t="s">
        <v>53</v>
      </c>
      <c r="O5480" t="s">
        <v>53</v>
      </c>
      <c r="P5480" t="s">
        <v>53</v>
      </c>
      <c r="Q5480" t="s">
        <v>53</v>
      </c>
    </row>
    <row r="5481" spans="1:17" x14ac:dyDescent="0.2">
      <c r="A5481" s="30" t="str">
        <f>IF(C5481&amp;G5481&amp;D5481&lt;&gt;'Funnel setup'!$K$3&amp;'Funnel setup'!$K$4&amp;'Funnel setup'!$K$5,".",IF(A5480=".",1,A5480+1))</f>
        <v>.</v>
      </c>
      <c r="B5481" s="431" t="str">
        <f t="shared" si="85"/>
        <v>Knee Replacement RevisionCCG of GP PracticeNHS ST HELENS CCG (01X)EQ-5D Index</v>
      </c>
      <c r="C5481" t="s">
        <v>250</v>
      </c>
      <c r="D5481" t="s">
        <v>87</v>
      </c>
      <c r="E5481" t="s">
        <v>968</v>
      </c>
      <c r="F5481" t="s">
        <v>969</v>
      </c>
      <c r="G5481" t="s">
        <v>52</v>
      </c>
      <c r="H5481">
        <v>6</v>
      </c>
      <c r="I5481">
        <v>0.45</v>
      </c>
      <c r="J5481">
        <v>0.56699999999999995</v>
      </c>
      <c r="K5481">
        <v>0.11700000000000001</v>
      </c>
      <c r="L5481">
        <v>4</v>
      </c>
      <c r="M5481">
        <v>1</v>
      </c>
      <c r="N5481">
        <v>1</v>
      </c>
      <c r="O5481" t="s">
        <v>53</v>
      </c>
      <c r="P5481" t="s">
        <v>53</v>
      </c>
      <c r="Q5481" t="s">
        <v>53</v>
      </c>
    </row>
    <row r="5482" spans="1:17" x14ac:dyDescent="0.2">
      <c r="A5482" s="30" t="str">
        <f>IF(C5482&amp;G5482&amp;D5482&lt;&gt;'Funnel setup'!$K$3&amp;'Funnel setup'!$K$4&amp;'Funnel setup'!$K$5,".",IF(A5481=".",1,A5481+1))</f>
        <v>.</v>
      </c>
      <c r="B5482" s="431" t="str">
        <f t="shared" si="85"/>
        <v>Knee Replacement RevisionCCG of GP PracticeNHS STAFFORD AND SURROUNDS CCG (05V)EQ-5D Index</v>
      </c>
      <c r="C5482" t="s">
        <v>250</v>
      </c>
      <c r="D5482" t="s">
        <v>87</v>
      </c>
      <c r="E5482" t="s">
        <v>971</v>
      </c>
      <c r="F5482" t="s">
        <v>972</v>
      </c>
      <c r="G5482" t="s">
        <v>52</v>
      </c>
      <c r="H5482">
        <v>8</v>
      </c>
      <c r="I5482">
        <v>0.49099999999999999</v>
      </c>
      <c r="J5482">
        <v>0.72099999999999997</v>
      </c>
      <c r="K5482">
        <v>0.23</v>
      </c>
      <c r="L5482">
        <v>6</v>
      </c>
      <c r="M5482">
        <v>1</v>
      </c>
      <c r="N5482">
        <v>1</v>
      </c>
      <c r="O5482" t="s">
        <v>53</v>
      </c>
      <c r="P5482" t="s">
        <v>53</v>
      </c>
      <c r="Q5482" t="s">
        <v>53</v>
      </c>
    </row>
    <row r="5483" spans="1:17" x14ac:dyDescent="0.2">
      <c r="A5483" s="30" t="str">
        <f>IF(C5483&amp;G5483&amp;D5483&lt;&gt;'Funnel setup'!$K$3&amp;'Funnel setup'!$K$4&amp;'Funnel setup'!$K$5,".",IF(A5482=".",1,A5482+1))</f>
        <v>.</v>
      </c>
      <c r="B5483" s="431" t="str">
        <f t="shared" si="85"/>
        <v>Knee Replacement RevisionCCG of GP PracticeNHS STOCKPORT CCG (01W)EQ-5D Index</v>
      </c>
      <c r="C5483" t="s">
        <v>250</v>
      </c>
      <c r="D5483" t="s">
        <v>87</v>
      </c>
      <c r="E5483" t="s">
        <v>974</v>
      </c>
      <c r="F5483" t="s">
        <v>975</v>
      </c>
      <c r="G5483" t="s">
        <v>52</v>
      </c>
      <c r="H5483">
        <v>6</v>
      </c>
      <c r="I5483">
        <v>0.35199999999999998</v>
      </c>
      <c r="J5483">
        <v>0.74</v>
      </c>
      <c r="K5483">
        <v>0.38800000000000001</v>
      </c>
      <c r="L5483">
        <v>4</v>
      </c>
      <c r="M5483">
        <v>1</v>
      </c>
      <c r="N5483">
        <v>1</v>
      </c>
      <c r="O5483" t="s">
        <v>53</v>
      </c>
      <c r="P5483" t="s">
        <v>53</v>
      </c>
      <c r="Q5483" t="s">
        <v>53</v>
      </c>
    </row>
    <row r="5484" spans="1:17" x14ac:dyDescent="0.2">
      <c r="A5484" s="30" t="str">
        <f>IF(C5484&amp;G5484&amp;D5484&lt;&gt;'Funnel setup'!$K$3&amp;'Funnel setup'!$K$4&amp;'Funnel setup'!$K$5,".",IF(A5483=".",1,A5483+1))</f>
        <v>.</v>
      </c>
      <c r="B5484" s="431" t="str">
        <f t="shared" si="85"/>
        <v>Knee Replacement RevisionCCG of GP PracticeNHS STOKE ON TRENT CCG (05W)EQ-5D Index</v>
      </c>
      <c r="C5484" t="s">
        <v>250</v>
      </c>
      <c r="D5484" t="s">
        <v>87</v>
      </c>
      <c r="E5484" t="s">
        <v>977</v>
      </c>
      <c r="F5484" t="s">
        <v>978</v>
      </c>
      <c r="G5484" t="s">
        <v>52</v>
      </c>
      <c r="H5484" t="s">
        <v>53</v>
      </c>
      <c r="I5484" t="s">
        <v>53</v>
      </c>
      <c r="J5484" t="s">
        <v>53</v>
      </c>
      <c r="K5484" t="s">
        <v>53</v>
      </c>
      <c r="L5484" t="s">
        <v>53</v>
      </c>
      <c r="M5484" t="s">
        <v>53</v>
      </c>
      <c r="N5484" t="s">
        <v>53</v>
      </c>
      <c r="O5484" t="s">
        <v>53</v>
      </c>
      <c r="P5484" t="s">
        <v>53</v>
      </c>
      <c r="Q5484" t="s">
        <v>53</v>
      </c>
    </row>
    <row r="5485" spans="1:17" x14ac:dyDescent="0.2">
      <c r="A5485" s="30" t="str">
        <f>IF(C5485&amp;G5485&amp;D5485&lt;&gt;'Funnel setup'!$K$3&amp;'Funnel setup'!$K$4&amp;'Funnel setup'!$K$5,".",IF(A5484=".",1,A5484+1))</f>
        <v>.</v>
      </c>
      <c r="B5485" s="431" t="str">
        <f t="shared" si="85"/>
        <v>Knee Replacement RevisionCCG of GP PracticeNHS SUNDERLAND CCG (00P)EQ-5D Index</v>
      </c>
      <c r="C5485" t="s">
        <v>250</v>
      </c>
      <c r="D5485" t="s">
        <v>87</v>
      </c>
      <c r="E5485" t="s">
        <v>980</v>
      </c>
      <c r="F5485" t="s">
        <v>981</v>
      </c>
      <c r="G5485" t="s">
        <v>52</v>
      </c>
      <c r="H5485">
        <v>7</v>
      </c>
      <c r="I5485">
        <v>0.40500000000000003</v>
      </c>
      <c r="J5485">
        <v>0.53700000000000003</v>
      </c>
      <c r="K5485">
        <v>0.13200000000000001</v>
      </c>
      <c r="L5485">
        <v>4</v>
      </c>
      <c r="M5485">
        <v>0</v>
      </c>
      <c r="N5485">
        <v>3</v>
      </c>
      <c r="O5485" t="s">
        <v>53</v>
      </c>
      <c r="P5485" t="s">
        <v>53</v>
      </c>
      <c r="Q5485" t="s">
        <v>53</v>
      </c>
    </row>
    <row r="5486" spans="1:17" x14ac:dyDescent="0.2">
      <c r="A5486" s="30" t="str">
        <f>IF(C5486&amp;G5486&amp;D5486&lt;&gt;'Funnel setup'!$K$3&amp;'Funnel setup'!$K$4&amp;'Funnel setup'!$K$5,".",IF(A5485=".",1,A5485+1))</f>
        <v>.</v>
      </c>
      <c r="B5486" s="431" t="str">
        <f t="shared" si="85"/>
        <v>Knee Replacement RevisionCCG of GP PracticeNHS SURREY DOWNS CCG (99H)EQ-5D Index</v>
      </c>
      <c r="C5486" t="s">
        <v>250</v>
      </c>
      <c r="D5486" t="s">
        <v>87</v>
      </c>
      <c r="E5486" t="s">
        <v>983</v>
      </c>
      <c r="F5486" t="s">
        <v>984</v>
      </c>
      <c r="G5486" t="s">
        <v>52</v>
      </c>
      <c r="H5486">
        <v>6</v>
      </c>
      <c r="I5486">
        <v>0.41399999999999998</v>
      </c>
      <c r="J5486">
        <v>0.76300000000000001</v>
      </c>
      <c r="K5486">
        <v>0.34899999999999998</v>
      </c>
      <c r="L5486">
        <v>5</v>
      </c>
      <c r="M5486">
        <v>1</v>
      </c>
      <c r="N5486">
        <v>0</v>
      </c>
      <c r="O5486" t="s">
        <v>53</v>
      </c>
      <c r="P5486" t="s">
        <v>53</v>
      </c>
      <c r="Q5486" t="s">
        <v>53</v>
      </c>
    </row>
    <row r="5487" spans="1:17" x14ac:dyDescent="0.2">
      <c r="A5487" s="30" t="str">
        <f>IF(C5487&amp;G5487&amp;D5487&lt;&gt;'Funnel setup'!$K$3&amp;'Funnel setup'!$K$4&amp;'Funnel setup'!$K$5,".",IF(A5486=".",1,A5486+1))</f>
        <v>.</v>
      </c>
      <c r="B5487" s="431" t="str">
        <f t="shared" si="85"/>
        <v>Knee Replacement RevisionCCG of GP PracticeNHS SURREY HEATH CCG (10C)EQ-5D Index</v>
      </c>
      <c r="C5487" t="s">
        <v>250</v>
      </c>
      <c r="D5487" t="s">
        <v>87</v>
      </c>
      <c r="E5487" t="s">
        <v>986</v>
      </c>
      <c r="F5487" t="s">
        <v>987</v>
      </c>
      <c r="G5487" t="s">
        <v>52</v>
      </c>
      <c r="H5487" t="s">
        <v>53</v>
      </c>
      <c r="I5487" t="s">
        <v>53</v>
      </c>
      <c r="J5487" t="s">
        <v>53</v>
      </c>
      <c r="K5487" t="s">
        <v>53</v>
      </c>
      <c r="L5487" t="s">
        <v>53</v>
      </c>
      <c r="M5487" t="s">
        <v>53</v>
      </c>
      <c r="N5487" t="s">
        <v>53</v>
      </c>
      <c r="O5487" t="s">
        <v>53</v>
      </c>
      <c r="P5487" t="s">
        <v>53</v>
      </c>
      <c r="Q5487" t="s">
        <v>53</v>
      </c>
    </row>
    <row r="5488" spans="1:17" x14ac:dyDescent="0.2">
      <c r="A5488" s="30" t="str">
        <f>IF(C5488&amp;G5488&amp;D5488&lt;&gt;'Funnel setup'!$K$3&amp;'Funnel setup'!$K$4&amp;'Funnel setup'!$K$5,".",IF(A5487=".",1,A5487+1))</f>
        <v>.</v>
      </c>
      <c r="B5488" s="431" t="str">
        <f t="shared" si="85"/>
        <v>Knee Replacement RevisionCCG of GP PracticeNHS SUTTON CCG (08T)EQ-5D Index</v>
      </c>
      <c r="C5488" t="s">
        <v>250</v>
      </c>
      <c r="D5488" t="s">
        <v>87</v>
      </c>
      <c r="E5488" t="s">
        <v>989</v>
      </c>
      <c r="F5488" t="s">
        <v>990</v>
      </c>
      <c r="G5488" t="s">
        <v>52</v>
      </c>
      <c r="H5488" t="s">
        <v>53</v>
      </c>
      <c r="I5488" t="s">
        <v>53</v>
      </c>
      <c r="J5488" t="s">
        <v>53</v>
      </c>
      <c r="K5488" t="s">
        <v>53</v>
      </c>
      <c r="L5488" t="s">
        <v>53</v>
      </c>
      <c r="M5488" t="s">
        <v>53</v>
      </c>
      <c r="N5488" t="s">
        <v>53</v>
      </c>
      <c r="O5488" t="s">
        <v>53</v>
      </c>
      <c r="P5488" t="s">
        <v>53</v>
      </c>
      <c r="Q5488" t="s">
        <v>53</v>
      </c>
    </row>
    <row r="5489" spans="1:17" x14ac:dyDescent="0.2">
      <c r="A5489" s="30" t="str">
        <f>IF(C5489&amp;G5489&amp;D5489&lt;&gt;'Funnel setup'!$K$3&amp;'Funnel setup'!$K$4&amp;'Funnel setup'!$K$5,".",IF(A5488=".",1,A5488+1))</f>
        <v>.</v>
      </c>
      <c r="B5489" s="431" t="str">
        <f t="shared" si="85"/>
        <v>Knee Replacement RevisionCCG of GP PracticeNHS SWALE CCG (10D)EQ-5D Index</v>
      </c>
      <c r="C5489" t="s">
        <v>250</v>
      </c>
      <c r="D5489" t="s">
        <v>87</v>
      </c>
      <c r="E5489" t="s">
        <v>992</v>
      </c>
      <c r="F5489" t="s">
        <v>993</v>
      </c>
      <c r="G5489" t="s">
        <v>52</v>
      </c>
      <c r="H5489" t="s">
        <v>53</v>
      </c>
      <c r="I5489" t="s">
        <v>53</v>
      </c>
      <c r="J5489" t="s">
        <v>53</v>
      </c>
      <c r="K5489" t="s">
        <v>53</v>
      </c>
      <c r="L5489" t="s">
        <v>53</v>
      </c>
      <c r="M5489" t="s">
        <v>53</v>
      </c>
      <c r="N5489" t="s">
        <v>53</v>
      </c>
      <c r="O5489" t="s">
        <v>53</v>
      </c>
      <c r="P5489" t="s">
        <v>53</v>
      </c>
      <c r="Q5489" t="s">
        <v>53</v>
      </c>
    </row>
    <row r="5490" spans="1:17" x14ac:dyDescent="0.2">
      <c r="A5490" s="30" t="str">
        <f>IF(C5490&amp;G5490&amp;D5490&lt;&gt;'Funnel setup'!$K$3&amp;'Funnel setup'!$K$4&amp;'Funnel setup'!$K$5,".",IF(A5489=".",1,A5489+1))</f>
        <v>.</v>
      </c>
      <c r="B5490" s="431" t="str">
        <f t="shared" si="85"/>
        <v>Knee Replacement RevisionCCG of GP PracticeNHS SWINDON CCG (12D)EQ-5D Index</v>
      </c>
      <c r="C5490" t="s">
        <v>250</v>
      </c>
      <c r="D5490" t="s">
        <v>87</v>
      </c>
      <c r="E5490" t="s">
        <v>995</v>
      </c>
      <c r="F5490" t="s">
        <v>996</v>
      </c>
      <c r="G5490" t="s">
        <v>52</v>
      </c>
      <c r="H5490">
        <v>7</v>
      </c>
      <c r="I5490">
        <v>0.28000000000000003</v>
      </c>
      <c r="J5490">
        <v>0.48199999999999998</v>
      </c>
      <c r="K5490">
        <v>0.20200000000000001</v>
      </c>
      <c r="L5490">
        <v>5</v>
      </c>
      <c r="M5490">
        <v>1</v>
      </c>
      <c r="N5490">
        <v>1</v>
      </c>
      <c r="O5490" t="s">
        <v>53</v>
      </c>
      <c r="P5490" t="s">
        <v>53</v>
      </c>
      <c r="Q5490" t="s">
        <v>53</v>
      </c>
    </row>
    <row r="5491" spans="1:17" x14ac:dyDescent="0.2">
      <c r="A5491" s="30" t="str">
        <f>IF(C5491&amp;G5491&amp;D5491&lt;&gt;'Funnel setup'!$K$3&amp;'Funnel setup'!$K$4&amp;'Funnel setup'!$K$5,".",IF(A5490=".",1,A5490+1))</f>
        <v>.</v>
      </c>
      <c r="B5491" s="431" t="str">
        <f t="shared" si="85"/>
        <v>Knee Replacement RevisionCCG of GP PracticeNHS TELFORD AND WREKIN CCG (05X)EQ-5D Index</v>
      </c>
      <c r="C5491" t="s">
        <v>250</v>
      </c>
      <c r="D5491" t="s">
        <v>87</v>
      </c>
      <c r="E5491" t="s">
        <v>1001</v>
      </c>
      <c r="F5491" t="s">
        <v>1002</v>
      </c>
      <c r="G5491" t="s">
        <v>52</v>
      </c>
      <c r="H5491">
        <v>9</v>
      </c>
      <c r="I5491">
        <v>0.23599999999999999</v>
      </c>
      <c r="J5491">
        <v>0.54800000000000004</v>
      </c>
      <c r="K5491">
        <v>0.312</v>
      </c>
      <c r="L5491">
        <v>6</v>
      </c>
      <c r="M5491">
        <v>2</v>
      </c>
      <c r="N5491">
        <v>1</v>
      </c>
      <c r="O5491" t="s">
        <v>53</v>
      </c>
      <c r="P5491" t="s">
        <v>53</v>
      </c>
      <c r="Q5491" t="s">
        <v>53</v>
      </c>
    </row>
    <row r="5492" spans="1:17" x14ac:dyDescent="0.2">
      <c r="A5492" s="30" t="str">
        <f>IF(C5492&amp;G5492&amp;D5492&lt;&gt;'Funnel setup'!$K$3&amp;'Funnel setup'!$K$4&amp;'Funnel setup'!$K$5,".",IF(A5491=".",1,A5491+1))</f>
        <v>.</v>
      </c>
      <c r="B5492" s="431" t="str">
        <f t="shared" si="85"/>
        <v>Knee Replacement RevisionCCG of GP PracticeNHS THANET CCG (10E)EQ-5D Index</v>
      </c>
      <c r="C5492" t="s">
        <v>250</v>
      </c>
      <c r="D5492" t="s">
        <v>87</v>
      </c>
      <c r="E5492" t="s">
        <v>1004</v>
      </c>
      <c r="F5492" t="s">
        <v>1005</v>
      </c>
      <c r="G5492" t="s">
        <v>52</v>
      </c>
      <c r="H5492" t="s">
        <v>53</v>
      </c>
      <c r="I5492" t="s">
        <v>53</v>
      </c>
      <c r="J5492" t="s">
        <v>53</v>
      </c>
      <c r="K5492" t="s">
        <v>53</v>
      </c>
      <c r="L5492" t="s">
        <v>53</v>
      </c>
      <c r="M5492" t="s">
        <v>53</v>
      </c>
      <c r="N5492" t="s">
        <v>53</v>
      </c>
      <c r="O5492" t="s">
        <v>53</v>
      </c>
      <c r="P5492" t="s">
        <v>53</v>
      </c>
      <c r="Q5492" t="s">
        <v>53</v>
      </c>
    </row>
    <row r="5493" spans="1:17" x14ac:dyDescent="0.2">
      <c r="A5493" s="30" t="str">
        <f>IF(C5493&amp;G5493&amp;D5493&lt;&gt;'Funnel setup'!$K$3&amp;'Funnel setup'!$K$4&amp;'Funnel setup'!$K$5,".",IF(A5492=".",1,A5492+1))</f>
        <v>.</v>
      </c>
      <c r="B5493" s="431" t="str">
        <f t="shared" si="85"/>
        <v>Knee Replacement RevisionCCG of GP PracticeNHS THURROCK CCG (07G)EQ-5D Index</v>
      </c>
      <c r="C5493" t="s">
        <v>250</v>
      </c>
      <c r="D5493" t="s">
        <v>87</v>
      </c>
      <c r="E5493" t="s">
        <v>1007</v>
      </c>
      <c r="F5493" t="s">
        <v>1008</v>
      </c>
      <c r="G5493" t="s">
        <v>52</v>
      </c>
      <c r="H5493">
        <v>11</v>
      </c>
      <c r="I5493">
        <v>0.32</v>
      </c>
      <c r="J5493">
        <v>0.57399999999999995</v>
      </c>
      <c r="K5493">
        <v>0.255</v>
      </c>
      <c r="L5493">
        <v>9</v>
      </c>
      <c r="M5493">
        <v>2</v>
      </c>
      <c r="N5493">
        <v>0</v>
      </c>
      <c r="O5493" t="s">
        <v>53</v>
      </c>
      <c r="P5493" t="s">
        <v>53</v>
      </c>
      <c r="Q5493" t="s">
        <v>53</v>
      </c>
    </row>
    <row r="5494" spans="1:17" x14ac:dyDescent="0.2">
      <c r="A5494" s="30" t="str">
        <f>IF(C5494&amp;G5494&amp;D5494&lt;&gt;'Funnel setup'!$K$3&amp;'Funnel setup'!$K$4&amp;'Funnel setup'!$K$5,".",IF(A5493=".",1,A5493+1))</f>
        <v>.</v>
      </c>
      <c r="B5494" s="431" t="str">
        <f t="shared" si="85"/>
        <v>Knee Replacement RevisionCCG of GP PracticeNHS TRAFFORD CCG (02A)EQ-5D Index</v>
      </c>
      <c r="C5494" t="s">
        <v>250</v>
      </c>
      <c r="D5494" t="s">
        <v>87</v>
      </c>
      <c r="E5494" t="s">
        <v>1013</v>
      </c>
      <c r="F5494" t="s">
        <v>1014</v>
      </c>
      <c r="G5494" t="s">
        <v>52</v>
      </c>
      <c r="H5494" t="s">
        <v>53</v>
      </c>
      <c r="I5494" t="s">
        <v>53</v>
      </c>
      <c r="J5494" t="s">
        <v>53</v>
      </c>
      <c r="K5494" t="s">
        <v>53</v>
      </c>
      <c r="L5494" t="s">
        <v>53</v>
      </c>
      <c r="M5494" t="s">
        <v>53</v>
      </c>
      <c r="N5494" t="s">
        <v>53</v>
      </c>
      <c r="O5494" t="s">
        <v>53</v>
      </c>
      <c r="P5494" t="s">
        <v>53</v>
      </c>
      <c r="Q5494" t="s">
        <v>53</v>
      </c>
    </row>
    <row r="5495" spans="1:17" x14ac:dyDescent="0.2">
      <c r="A5495" s="30" t="str">
        <f>IF(C5495&amp;G5495&amp;D5495&lt;&gt;'Funnel setup'!$K$3&amp;'Funnel setup'!$K$4&amp;'Funnel setup'!$K$5,".",IF(A5494=".",1,A5494+1))</f>
        <v>.</v>
      </c>
      <c r="B5495" s="431" t="str">
        <f t="shared" si="85"/>
        <v>Knee Replacement RevisionCCG of GP PracticeNHS VALE OF YORK CCG (03Q)EQ-5D Index</v>
      </c>
      <c r="C5495" t="s">
        <v>250</v>
      </c>
      <c r="D5495" t="s">
        <v>87</v>
      </c>
      <c r="E5495" t="s">
        <v>420</v>
      </c>
      <c r="F5495" t="s">
        <v>421</v>
      </c>
      <c r="G5495" t="s">
        <v>52</v>
      </c>
      <c r="H5495">
        <v>17</v>
      </c>
      <c r="I5495">
        <v>0.46</v>
      </c>
      <c r="J5495">
        <v>0.66</v>
      </c>
      <c r="K5495">
        <v>0.2</v>
      </c>
      <c r="L5495">
        <v>11</v>
      </c>
      <c r="M5495">
        <v>2</v>
      </c>
      <c r="N5495">
        <v>4</v>
      </c>
      <c r="O5495" t="s">
        <v>53</v>
      </c>
      <c r="P5495" t="s">
        <v>53</v>
      </c>
      <c r="Q5495" t="s">
        <v>53</v>
      </c>
    </row>
    <row r="5496" spans="1:17" x14ac:dyDescent="0.2">
      <c r="A5496" s="30" t="str">
        <f>IF(C5496&amp;G5496&amp;D5496&lt;&gt;'Funnel setup'!$K$3&amp;'Funnel setup'!$K$4&amp;'Funnel setup'!$K$5,".",IF(A5495=".",1,A5495+1))</f>
        <v>.</v>
      </c>
      <c r="B5496" s="431" t="str">
        <f t="shared" si="85"/>
        <v>Knee Replacement RevisionCCG of GP PracticeNHS VALE ROYAL CCG (02D)EQ-5D Index</v>
      </c>
      <c r="C5496" t="s">
        <v>250</v>
      </c>
      <c r="D5496" t="s">
        <v>87</v>
      </c>
      <c r="E5496" t="s">
        <v>423</v>
      </c>
      <c r="F5496" t="s">
        <v>424</v>
      </c>
      <c r="G5496" t="s">
        <v>52</v>
      </c>
      <c r="H5496">
        <v>6</v>
      </c>
      <c r="I5496">
        <v>0.246</v>
      </c>
      <c r="J5496">
        <v>0.625</v>
      </c>
      <c r="K5496">
        <v>0.378</v>
      </c>
      <c r="L5496">
        <v>5</v>
      </c>
      <c r="M5496">
        <v>0</v>
      </c>
      <c r="N5496">
        <v>1</v>
      </c>
      <c r="O5496" t="s">
        <v>53</v>
      </c>
      <c r="P5496" t="s">
        <v>53</v>
      </c>
      <c r="Q5496" t="s">
        <v>53</v>
      </c>
    </row>
    <row r="5497" spans="1:17" x14ac:dyDescent="0.2">
      <c r="A5497" s="30" t="str">
        <f>IF(C5497&amp;G5497&amp;D5497&lt;&gt;'Funnel setup'!$K$3&amp;'Funnel setup'!$K$4&amp;'Funnel setup'!$K$5,".",IF(A5496=".",1,A5496+1))</f>
        <v>.</v>
      </c>
      <c r="B5497" s="431" t="str">
        <f t="shared" si="85"/>
        <v>Knee Replacement RevisionCCG of GP PracticeNHS WAKEFIELD CCG (03R)EQ-5D Index</v>
      </c>
      <c r="C5497" t="s">
        <v>250</v>
      </c>
      <c r="D5497" t="s">
        <v>87</v>
      </c>
      <c r="E5497" t="s">
        <v>426</v>
      </c>
      <c r="F5497" t="s">
        <v>427</v>
      </c>
      <c r="G5497" t="s">
        <v>52</v>
      </c>
      <c r="H5497">
        <v>6</v>
      </c>
      <c r="I5497">
        <v>0.13</v>
      </c>
      <c r="J5497">
        <v>0.308</v>
      </c>
      <c r="K5497">
        <v>0.17699999999999999</v>
      </c>
      <c r="L5497">
        <v>4</v>
      </c>
      <c r="M5497">
        <v>1</v>
      </c>
      <c r="N5497">
        <v>1</v>
      </c>
      <c r="O5497" t="s">
        <v>53</v>
      </c>
      <c r="P5497" t="s">
        <v>53</v>
      </c>
      <c r="Q5497" t="s">
        <v>53</v>
      </c>
    </row>
    <row r="5498" spans="1:17" x14ac:dyDescent="0.2">
      <c r="A5498" s="30" t="str">
        <f>IF(C5498&amp;G5498&amp;D5498&lt;&gt;'Funnel setup'!$K$3&amp;'Funnel setup'!$K$4&amp;'Funnel setup'!$K$5,".",IF(A5497=".",1,A5497+1))</f>
        <v>.</v>
      </c>
      <c r="B5498" s="431" t="str">
        <f t="shared" si="85"/>
        <v>Knee Replacement RevisionCCG of GP PracticeNHS WALSALL CCG (05Y)EQ-5D Index</v>
      </c>
      <c r="C5498" t="s">
        <v>250</v>
      </c>
      <c r="D5498" t="s">
        <v>87</v>
      </c>
      <c r="E5498" t="s">
        <v>429</v>
      </c>
      <c r="F5498" t="s">
        <v>430</v>
      </c>
      <c r="G5498" t="s">
        <v>52</v>
      </c>
      <c r="H5498" t="s">
        <v>53</v>
      </c>
      <c r="I5498" t="s">
        <v>53</v>
      </c>
      <c r="J5498" t="s">
        <v>53</v>
      </c>
      <c r="K5498" t="s">
        <v>53</v>
      </c>
      <c r="L5498" t="s">
        <v>53</v>
      </c>
      <c r="M5498" t="s">
        <v>53</v>
      </c>
      <c r="N5498" t="s">
        <v>53</v>
      </c>
      <c r="O5498" t="s">
        <v>53</v>
      </c>
      <c r="P5498" t="s">
        <v>53</v>
      </c>
      <c r="Q5498" t="s">
        <v>53</v>
      </c>
    </row>
    <row r="5499" spans="1:17" x14ac:dyDescent="0.2">
      <c r="A5499" s="30" t="str">
        <f>IF(C5499&amp;G5499&amp;D5499&lt;&gt;'Funnel setup'!$K$3&amp;'Funnel setup'!$K$4&amp;'Funnel setup'!$K$5,".",IF(A5498=".",1,A5498+1))</f>
        <v>.</v>
      </c>
      <c r="B5499" s="431" t="str">
        <f t="shared" si="85"/>
        <v>Knee Replacement RevisionCCG of GP PracticeNHS WANDSWORTH CCG (08X)EQ-5D Index</v>
      </c>
      <c r="C5499" t="s">
        <v>250</v>
      </c>
      <c r="D5499" t="s">
        <v>87</v>
      </c>
      <c r="E5499" t="s">
        <v>435</v>
      </c>
      <c r="F5499" t="s">
        <v>436</v>
      </c>
      <c r="G5499" t="s">
        <v>52</v>
      </c>
      <c r="H5499" t="s">
        <v>53</v>
      </c>
      <c r="I5499" t="s">
        <v>53</v>
      </c>
      <c r="J5499" t="s">
        <v>53</v>
      </c>
      <c r="K5499" t="s">
        <v>53</v>
      </c>
      <c r="L5499" t="s">
        <v>53</v>
      </c>
      <c r="M5499" t="s">
        <v>53</v>
      </c>
      <c r="N5499" t="s">
        <v>53</v>
      </c>
      <c r="O5499" t="s">
        <v>53</v>
      </c>
      <c r="P5499" t="s">
        <v>53</v>
      </c>
      <c r="Q5499" t="s">
        <v>53</v>
      </c>
    </row>
    <row r="5500" spans="1:17" x14ac:dyDescent="0.2">
      <c r="A5500" s="30" t="str">
        <f>IF(C5500&amp;G5500&amp;D5500&lt;&gt;'Funnel setup'!$K$3&amp;'Funnel setup'!$K$4&amp;'Funnel setup'!$K$5,".",IF(A5499=".",1,A5499+1))</f>
        <v>.</v>
      </c>
      <c r="B5500" s="431" t="str">
        <f t="shared" si="85"/>
        <v>Knee Replacement RevisionCCG of GP PracticeNHS WARRINGTON CCG (02E)EQ-5D Index</v>
      </c>
      <c r="C5500" t="s">
        <v>250</v>
      </c>
      <c r="D5500" t="s">
        <v>87</v>
      </c>
      <c r="E5500" t="s">
        <v>441</v>
      </c>
      <c r="F5500" t="s">
        <v>442</v>
      </c>
      <c r="G5500" t="s">
        <v>52</v>
      </c>
      <c r="H5500">
        <v>7</v>
      </c>
      <c r="I5500">
        <v>0.434</v>
      </c>
      <c r="J5500">
        <v>0.72</v>
      </c>
      <c r="K5500">
        <v>0.28599999999999998</v>
      </c>
      <c r="L5500">
        <v>4</v>
      </c>
      <c r="M5500">
        <v>2</v>
      </c>
      <c r="N5500">
        <v>1</v>
      </c>
      <c r="O5500" t="s">
        <v>53</v>
      </c>
      <c r="P5500" t="s">
        <v>53</v>
      </c>
      <c r="Q5500" t="s">
        <v>53</v>
      </c>
    </row>
    <row r="5501" spans="1:17" x14ac:dyDescent="0.2">
      <c r="A5501" s="30" t="str">
        <f>IF(C5501&amp;G5501&amp;D5501&lt;&gt;'Funnel setup'!$K$3&amp;'Funnel setup'!$K$4&amp;'Funnel setup'!$K$5,".",IF(A5500=".",1,A5500+1))</f>
        <v>.</v>
      </c>
      <c r="B5501" s="431" t="str">
        <f t="shared" si="85"/>
        <v>Knee Replacement RevisionCCG of GP PracticeNHS WARWICKSHIRE NORTH CCG (05H)EQ-5D Index</v>
      </c>
      <c r="C5501" t="s">
        <v>250</v>
      </c>
      <c r="D5501" t="s">
        <v>87</v>
      </c>
      <c r="E5501" t="s">
        <v>438</v>
      </c>
      <c r="F5501" t="s">
        <v>439</v>
      </c>
      <c r="G5501" t="s">
        <v>52</v>
      </c>
      <c r="H5501">
        <v>6</v>
      </c>
      <c r="I5501">
        <v>-8.7999999999999995E-2</v>
      </c>
      <c r="J5501">
        <v>0.128</v>
      </c>
      <c r="K5501">
        <v>0.216</v>
      </c>
      <c r="L5501">
        <v>4</v>
      </c>
      <c r="M5501">
        <v>2</v>
      </c>
      <c r="N5501">
        <v>0</v>
      </c>
      <c r="O5501" t="s">
        <v>53</v>
      </c>
      <c r="P5501" t="s">
        <v>53</v>
      </c>
      <c r="Q5501" t="s">
        <v>53</v>
      </c>
    </row>
    <row r="5502" spans="1:17" x14ac:dyDescent="0.2">
      <c r="A5502" s="30" t="str">
        <f>IF(C5502&amp;G5502&amp;D5502&lt;&gt;'Funnel setup'!$K$3&amp;'Funnel setup'!$K$4&amp;'Funnel setup'!$K$5,".",IF(A5501=".",1,A5501+1))</f>
        <v>.</v>
      </c>
      <c r="B5502" s="431" t="str">
        <f t="shared" si="85"/>
        <v>Knee Replacement RevisionCCG of GP PracticeNHS WEST CHESHIRE CCG (02F)EQ-5D Index</v>
      </c>
      <c r="C5502" t="s">
        <v>250</v>
      </c>
      <c r="D5502" t="s">
        <v>87</v>
      </c>
      <c r="E5502" t="s">
        <v>402</v>
      </c>
      <c r="F5502" t="s">
        <v>403</v>
      </c>
      <c r="G5502" t="s">
        <v>52</v>
      </c>
      <c r="H5502">
        <v>8</v>
      </c>
      <c r="I5502">
        <v>0.36799999999999999</v>
      </c>
      <c r="J5502">
        <v>0.53200000000000003</v>
      </c>
      <c r="K5502">
        <v>0.16400000000000001</v>
      </c>
      <c r="L5502">
        <v>6</v>
      </c>
      <c r="M5502">
        <v>1</v>
      </c>
      <c r="N5502">
        <v>1</v>
      </c>
      <c r="O5502" t="s">
        <v>53</v>
      </c>
      <c r="P5502" t="s">
        <v>53</v>
      </c>
      <c r="Q5502" t="s">
        <v>53</v>
      </c>
    </row>
    <row r="5503" spans="1:17" x14ac:dyDescent="0.2">
      <c r="A5503" s="30" t="str">
        <f>IF(C5503&amp;G5503&amp;D5503&lt;&gt;'Funnel setup'!$K$3&amp;'Funnel setup'!$K$4&amp;'Funnel setup'!$K$5,".",IF(A5502=".",1,A5502+1))</f>
        <v>.</v>
      </c>
      <c r="B5503" s="431" t="str">
        <f t="shared" si="85"/>
        <v>Knee Replacement RevisionCCG of GP PracticeNHS WEST ESSEX CCG (07H)EQ-5D Index</v>
      </c>
      <c r="C5503" t="s">
        <v>250</v>
      </c>
      <c r="D5503" t="s">
        <v>87</v>
      </c>
      <c r="E5503" t="s">
        <v>405</v>
      </c>
      <c r="F5503" t="s">
        <v>406</v>
      </c>
      <c r="G5503" t="s">
        <v>52</v>
      </c>
      <c r="H5503" t="s">
        <v>53</v>
      </c>
      <c r="I5503" t="s">
        <v>53</v>
      </c>
      <c r="J5503" t="s">
        <v>53</v>
      </c>
      <c r="K5503" t="s">
        <v>53</v>
      </c>
      <c r="L5503" t="s">
        <v>53</v>
      </c>
      <c r="M5503" t="s">
        <v>53</v>
      </c>
      <c r="N5503" t="s">
        <v>53</v>
      </c>
      <c r="O5503" t="s">
        <v>53</v>
      </c>
      <c r="P5503" t="s">
        <v>53</v>
      </c>
      <c r="Q5503" t="s">
        <v>53</v>
      </c>
    </row>
    <row r="5504" spans="1:17" x14ac:dyDescent="0.2">
      <c r="A5504" s="30" t="str">
        <f>IF(C5504&amp;G5504&amp;D5504&lt;&gt;'Funnel setup'!$K$3&amp;'Funnel setup'!$K$4&amp;'Funnel setup'!$K$5,".",IF(A5503=".",1,A5503+1))</f>
        <v>.</v>
      </c>
      <c r="B5504" s="431" t="str">
        <f t="shared" si="85"/>
        <v>Knee Replacement RevisionCCG of GP PracticeNHS WEST HAMPSHIRE CCG (11A)EQ-5D Index</v>
      </c>
      <c r="C5504" t="s">
        <v>250</v>
      </c>
      <c r="D5504" t="s">
        <v>87</v>
      </c>
      <c r="E5504" t="s">
        <v>444</v>
      </c>
      <c r="F5504" t="s">
        <v>445</v>
      </c>
      <c r="G5504" t="s">
        <v>52</v>
      </c>
      <c r="H5504">
        <v>25</v>
      </c>
      <c r="I5504">
        <v>0.35399999999999998</v>
      </c>
      <c r="J5504">
        <v>0.61299999999999999</v>
      </c>
      <c r="K5504">
        <v>0.25900000000000001</v>
      </c>
      <c r="L5504">
        <v>20</v>
      </c>
      <c r="M5504">
        <v>3</v>
      </c>
      <c r="N5504">
        <v>2</v>
      </c>
      <c r="O5504" t="s">
        <v>53</v>
      </c>
      <c r="P5504" t="s">
        <v>53</v>
      </c>
      <c r="Q5504" t="s">
        <v>53</v>
      </c>
    </row>
    <row r="5505" spans="1:17" x14ac:dyDescent="0.2">
      <c r="A5505" s="30" t="str">
        <f>IF(C5505&amp;G5505&amp;D5505&lt;&gt;'Funnel setup'!$K$3&amp;'Funnel setup'!$K$4&amp;'Funnel setup'!$K$5,".",IF(A5504=".",1,A5504+1))</f>
        <v>.</v>
      </c>
      <c r="B5505" s="431" t="str">
        <f t="shared" si="85"/>
        <v>Knee Replacement RevisionCCG of GP PracticeNHS WEST KENT CCG (99J)EQ-5D Index</v>
      </c>
      <c r="C5505" t="s">
        <v>250</v>
      </c>
      <c r="D5505" t="s">
        <v>87</v>
      </c>
      <c r="E5505" t="s">
        <v>447</v>
      </c>
      <c r="F5505" t="s">
        <v>448</v>
      </c>
      <c r="G5505" t="s">
        <v>52</v>
      </c>
      <c r="H5505">
        <v>7</v>
      </c>
      <c r="I5505">
        <v>0.55800000000000005</v>
      </c>
      <c r="J5505">
        <v>0.85099999999999998</v>
      </c>
      <c r="K5505">
        <v>0.29299999999999998</v>
      </c>
      <c r="L5505">
        <v>6</v>
      </c>
      <c r="M5505">
        <v>0</v>
      </c>
      <c r="N5505">
        <v>1</v>
      </c>
      <c r="O5505" t="s">
        <v>53</v>
      </c>
      <c r="P5505" t="s">
        <v>53</v>
      </c>
      <c r="Q5505" t="s">
        <v>53</v>
      </c>
    </row>
    <row r="5506" spans="1:17" x14ac:dyDescent="0.2">
      <c r="A5506" s="30" t="str">
        <f>IF(C5506&amp;G5506&amp;D5506&lt;&gt;'Funnel setup'!$K$3&amp;'Funnel setup'!$K$4&amp;'Funnel setup'!$K$5,".",IF(A5505=".",1,A5505+1))</f>
        <v>.</v>
      </c>
      <c r="B5506" s="431" t="str">
        <f t="shared" si="85"/>
        <v>Knee Replacement RevisionCCG of GP PracticeNHS WEST LANCASHIRE CCG (02G)EQ-5D Index</v>
      </c>
      <c r="C5506" t="s">
        <v>250</v>
      </c>
      <c r="D5506" t="s">
        <v>87</v>
      </c>
      <c r="E5506" t="s">
        <v>450</v>
      </c>
      <c r="F5506" t="s">
        <v>451</v>
      </c>
      <c r="G5506" t="s">
        <v>52</v>
      </c>
      <c r="H5506" t="s">
        <v>53</v>
      </c>
      <c r="I5506" t="s">
        <v>53</v>
      </c>
      <c r="J5506" t="s">
        <v>53</v>
      </c>
      <c r="K5506" t="s">
        <v>53</v>
      </c>
      <c r="L5506" t="s">
        <v>53</v>
      </c>
      <c r="M5506" t="s">
        <v>53</v>
      </c>
      <c r="N5506" t="s">
        <v>53</v>
      </c>
      <c r="O5506" t="s">
        <v>53</v>
      </c>
      <c r="P5506" t="s">
        <v>53</v>
      </c>
      <c r="Q5506" t="s">
        <v>53</v>
      </c>
    </row>
    <row r="5507" spans="1:17" x14ac:dyDescent="0.2">
      <c r="A5507" s="30" t="str">
        <f>IF(C5507&amp;G5507&amp;D5507&lt;&gt;'Funnel setup'!$K$3&amp;'Funnel setup'!$K$4&amp;'Funnel setup'!$K$5,".",IF(A5506=".",1,A5506+1))</f>
        <v>.</v>
      </c>
      <c r="B5507" s="431" t="str">
        <f t="shared" ref="B5507:B5570" si="86">C5507&amp;D5507&amp;F5507&amp;G5507</f>
        <v>Knee Replacement RevisionCCG of GP PracticeNHS WEST LEICESTERSHIRE CCG (04V)EQ-5D Index</v>
      </c>
      <c r="C5507" t="s">
        <v>250</v>
      </c>
      <c r="D5507" t="s">
        <v>87</v>
      </c>
      <c r="E5507" t="s">
        <v>453</v>
      </c>
      <c r="F5507" t="s">
        <v>454</v>
      </c>
      <c r="G5507" t="s">
        <v>52</v>
      </c>
      <c r="H5507">
        <v>11</v>
      </c>
      <c r="I5507">
        <v>0.28000000000000003</v>
      </c>
      <c r="J5507">
        <v>0.60899999999999999</v>
      </c>
      <c r="K5507">
        <v>0.32900000000000001</v>
      </c>
      <c r="L5507">
        <v>6</v>
      </c>
      <c r="M5507">
        <v>1</v>
      </c>
      <c r="N5507">
        <v>4</v>
      </c>
      <c r="O5507" t="s">
        <v>53</v>
      </c>
      <c r="P5507" t="s">
        <v>53</v>
      </c>
      <c r="Q5507" t="s">
        <v>53</v>
      </c>
    </row>
    <row r="5508" spans="1:17" x14ac:dyDescent="0.2">
      <c r="A5508" s="30" t="str">
        <f>IF(C5508&amp;G5508&amp;D5508&lt;&gt;'Funnel setup'!$K$3&amp;'Funnel setup'!$K$4&amp;'Funnel setup'!$K$5,".",IF(A5507=".",1,A5507+1))</f>
        <v>.</v>
      </c>
      <c r="B5508" s="431" t="str">
        <f t="shared" si="86"/>
        <v>Knee Replacement RevisionCCG of GP PracticeNHS WEST LONDON CCG (08Y)EQ-5D Index</v>
      </c>
      <c r="C5508" t="s">
        <v>250</v>
      </c>
      <c r="D5508" t="s">
        <v>87</v>
      </c>
      <c r="E5508" t="s">
        <v>456</v>
      </c>
      <c r="F5508" t="s">
        <v>457</v>
      </c>
      <c r="G5508" t="s">
        <v>52</v>
      </c>
      <c r="H5508" t="s">
        <v>53</v>
      </c>
      <c r="I5508" t="s">
        <v>53</v>
      </c>
      <c r="J5508" t="s">
        <v>53</v>
      </c>
      <c r="K5508" t="s">
        <v>53</v>
      </c>
      <c r="L5508" t="s">
        <v>53</v>
      </c>
      <c r="M5508" t="s">
        <v>53</v>
      </c>
      <c r="N5508" t="s">
        <v>53</v>
      </c>
      <c r="O5508" t="s">
        <v>53</v>
      </c>
      <c r="P5508" t="s">
        <v>53</v>
      </c>
      <c r="Q5508" t="s">
        <v>53</v>
      </c>
    </row>
    <row r="5509" spans="1:17" x14ac:dyDescent="0.2">
      <c r="A5509" s="30" t="str">
        <f>IF(C5509&amp;G5509&amp;D5509&lt;&gt;'Funnel setup'!$K$3&amp;'Funnel setup'!$K$4&amp;'Funnel setup'!$K$5,".",IF(A5508=".",1,A5508+1))</f>
        <v>.</v>
      </c>
      <c r="B5509" s="431" t="str">
        <f t="shared" si="86"/>
        <v>Knee Replacement RevisionCCG of GP PracticeNHS WEST NORFOLK CCG (07J)EQ-5D Index</v>
      </c>
      <c r="C5509" t="s">
        <v>250</v>
      </c>
      <c r="D5509" t="s">
        <v>87</v>
      </c>
      <c r="E5509" t="s">
        <v>459</v>
      </c>
      <c r="F5509" t="s">
        <v>460</v>
      </c>
      <c r="G5509" t="s">
        <v>52</v>
      </c>
      <c r="H5509">
        <v>13</v>
      </c>
      <c r="I5509">
        <v>0.40500000000000003</v>
      </c>
      <c r="J5509">
        <v>0.56899999999999995</v>
      </c>
      <c r="K5509">
        <v>0.16500000000000001</v>
      </c>
      <c r="L5509">
        <v>8</v>
      </c>
      <c r="M5509">
        <v>2</v>
      </c>
      <c r="N5509">
        <v>3</v>
      </c>
      <c r="O5509" t="s">
        <v>53</v>
      </c>
      <c r="P5509" t="s">
        <v>53</v>
      </c>
      <c r="Q5509" t="s">
        <v>53</v>
      </c>
    </row>
    <row r="5510" spans="1:17" x14ac:dyDescent="0.2">
      <c r="A5510" s="30" t="str">
        <f>IF(C5510&amp;G5510&amp;D5510&lt;&gt;'Funnel setup'!$K$3&amp;'Funnel setup'!$K$4&amp;'Funnel setup'!$K$5,".",IF(A5509=".",1,A5509+1))</f>
        <v>.</v>
      </c>
      <c r="B5510" s="431" t="str">
        <f t="shared" si="86"/>
        <v>Knee Replacement RevisionCCG of GP PracticeNHS WEST SUFFOLK CCG (07K)EQ-5D Index</v>
      </c>
      <c r="C5510" t="s">
        <v>250</v>
      </c>
      <c r="D5510" t="s">
        <v>87</v>
      </c>
      <c r="E5510" t="s">
        <v>462</v>
      </c>
      <c r="F5510" t="s">
        <v>463</v>
      </c>
      <c r="G5510" t="s">
        <v>52</v>
      </c>
      <c r="H5510" t="s">
        <v>53</v>
      </c>
      <c r="I5510" t="s">
        <v>53</v>
      </c>
      <c r="J5510" t="s">
        <v>53</v>
      </c>
      <c r="K5510" t="s">
        <v>53</v>
      </c>
      <c r="L5510" t="s">
        <v>53</v>
      </c>
      <c r="M5510" t="s">
        <v>53</v>
      </c>
      <c r="N5510" t="s">
        <v>53</v>
      </c>
      <c r="O5510" t="s">
        <v>53</v>
      </c>
      <c r="P5510" t="s">
        <v>53</v>
      </c>
      <c r="Q5510" t="s">
        <v>53</v>
      </c>
    </row>
    <row r="5511" spans="1:17" x14ac:dyDescent="0.2">
      <c r="A5511" s="30" t="str">
        <f>IF(C5511&amp;G5511&amp;D5511&lt;&gt;'Funnel setup'!$K$3&amp;'Funnel setup'!$K$4&amp;'Funnel setup'!$K$5,".",IF(A5510=".",1,A5510+1))</f>
        <v>.</v>
      </c>
      <c r="B5511" s="431" t="str">
        <f t="shared" si="86"/>
        <v>Knee Replacement RevisionCCG of GP PracticeNHS WIGAN BOROUGH CCG (02H)EQ-5D Index</v>
      </c>
      <c r="C5511" t="s">
        <v>250</v>
      </c>
      <c r="D5511" t="s">
        <v>87</v>
      </c>
      <c r="E5511" t="s">
        <v>465</v>
      </c>
      <c r="F5511" t="s">
        <v>466</v>
      </c>
      <c r="G5511" t="s">
        <v>52</v>
      </c>
      <c r="H5511">
        <v>6</v>
      </c>
      <c r="I5511">
        <v>0.60699999999999998</v>
      </c>
      <c r="J5511">
        <v>0.68500000000000005</v>
      </c>
      <c r="K5511">
        <v>7.8E-2</v>
      </c>
      <c r="L5511">
        <v>2</v>
      </c>
      <c r="M5511">
        <v>4</v>
      </c>
      <c r="N5511">
        <v>0</v>
      </c>
      <c r="O5511" t="s">
        <v>53</v>
      </c>
      <c r="P5511" t="s">
        <v>53</v>
      </c>
      <c r="Q5511" t="s">
        <v>53</v>
      </c>
    </row>
    <row r="5512" spans="1:17" x14ac:dyDescent="0.2">
      <c r="A5512" s="30" t="str">
        <f>IF(C5512&amp;G5512&amp;D5512&lt;&gt;'Funnel setup'!$K$3&amp;'Funnel setup'!$K$4&amp;'Funnel setup'!$K$5,".",IF(A5511=".",1,A5511+1))</f>
        <v>.</v>
      </c>
      <c r="B5512" s="431" t="str">
        <f t="shared" si="86"/>
        <v>Knee Replacement RevisionCCG of GP PracticeNHS WILTSHIRE CCG (99N)EQ-5D Index</v>
      </c>
      <c r="C5512" t="s">
        <v>250</v>
      </c>
      <c r="D5512" t="s">
        <v>87</v>
      </c>
      <c r="E5512" t="s">
        <v>468</v>
      </c>
      <c r="F5512" t="s">
        <v>469</v>
      </c>
      <c r="G5512" t="s">
        <v>52</v>
      </c>
      <c r="H5512">
        <v>32</v>
      </c>
      <c r="I5512">
        <v>0.35299999999999998</v>
      </c>
      <c r="J5512">
        <v>0.54</v>
      </c>
      <c r="K5512">
        <v>0.187</v>
      </c>
      <c r="L5512">
        <v>18</v>
      </c>
      <c r="M5512">
        <v>8</v>
      </c>
      <c r="N5512">
        <v>6</v>
      </c>
      <c r="O5512">
        <v>0.54800000000000004</v>
      </c>
      <c r="P5512">
        <v>0.21650074799999999</v>
      </c>
      <c r="Q5512">
        <v>0.28699999999999998</v>
      </c>
    </row>
    <row r="5513" spans="1:17" x14ac:dyDescent="0.2">
      <c r="A5513" s="30" t="str">
        <f>IF(C5513&amp;G5513&amp;D5513&lt;&gt;'Funnel setup'!$K$3&amp;'Funnel setup'!$K$4&amp;'Funnel setup'!$K$5,".",IF(A5512=".",1,A5512+1))</f>
        <v>.</v>
      </c>
      <c r="B5513" s="431" t="str">
        <f t="shared" si="86"/>
        <v>Knee Replacement RevisionCCG of GP PracticeNHS WINDSOR, ASCOT AND MAIDENHEAD CCG (11C)EQ-5D Index</v>
      </c>
      <c r="C5513" t="s">
        <v>250</v>
      </c>
      <c r="D5513" t="s">
        <v>87</v>
      </c>
      <c r="E5513" t="s">
        <v>471</v>
      </c>
      <c r="F5513" t="s">
        <v>472</v>
      </c>
      <c r="G5513" t="s">
        <v>52</v>
      </c>
      <c r="H5513" t="s">
        <v>53</v>
      </c>
      <c r="I5513" t="s">
        <v>53</v>
      </c>
      <c r="J5513" t="s">
        <v>53</v>
      </c>
      <c r="K5513" t="s">
        <v>53</v>
      </c>
      <c r="L5513" t="s">
        <v>53</v>
      </c>
      <c r="M5513" t="s">
        <v>53</v>
      </c>
      <c r="N5513" t="s">
        <v>53</v>
      </c>
      <c r="O5513" t="s">
        <v>53</v>
      </c>
      <c r="P5513" t="s">
        <v>53</v>
      </c>
      <c r="Q5513" t="s">
        <v>53</v>
      </c>
    </row>
    <row r="5514" spans="1:17" x14ac:dyDescent="0.2">
      <c r="A5514" s="30" t="str">
        <f>IF(C5514&amp;G5514&amp;D5514&lt;&gt;'Funnel setup'!$K$3&amp;'Funnel setup'!$K$4&amp;'Funnel setup'!$K$5,".",IF(A5513=".",1,A5513+1))</f>
        <v>.</v>
      </c>
      <c r="B5514" s="431" t="str">
        <f t="shared" si="86"/>
        <v>Knee Replacement RevisionCCG of GP PracticeNHS WIRRAL CCG (12F)EQ-5D Index</v>
      </c>
      <c r="C5514" t="s">
        <v>250</v>
      </c>
      <c r="D5514" t="s">
        <v>87</v>
      </c>
      <c r="E5514" t="s">
        <v>474</v>
      </c>
      <c r="F5514" t="s">
        <v>475</v>
      </c>
      <c r="G5514" t="s">
        <v>52</v>
      </c>
      <c r="H5514" t="s">
        <v>53</v>
      </c>
      <c r="I5514" t="s">
        <v>53</v>
      </c>
      <c r="J5514" t="s">
        <v>53</v>
      </c>
      <c r="K5514" t="s">
        <v>53</v>
      </c>
      <c r="L5514" t="s">
        <v>53</v>
      </c>
      <c r="M5514" t="s">
        <v>53</v>
      </c>
      <c r="N5514" t="s">
        <v>53</v>
      </c>
      <c r="O5514" t="s">
        <v>53</v>
      </c>
      <c r="P5514" t="s">
        <v>53</v>
      </c>
      <c r="Q5514" t="s">
        <v>53</v>
      </c>
    </row>
    <row r="5515" spans="1:17" x14ac:dyDescent="0.2">
      <c r="A5515" s="30" t="str">
        <f>IF(C5515&amp;G5515&amp;D5515&lt;&gt;'Funnel setup'!$K$3&amp;'Funnel setup'!$K$4&amp;'Funnel setup'!$K$5,".",IF(A5514=".",1,A5514+1))</f>
        <v>.</v>
      </c>
      <c r="B5515" s="431" t="str">
        <f t="shared" si="86"/>
        <v>Knee Replacement RevisionCCG of GP PracticeNHS WOKINGHAM CCG (11D)EQ-5D Index</v>
      </c>
      <c r="C5515" t="s">
        <v>250</v>
      </c>
      <c r="D5515" t="s">
        <v>87</v>
      </c>
      <c r="E5515" t="s">
        <v>477</v>
      </c>
      <c r="F5515" t="s">
        <v>478</v>
      </c>
      <c r="G5515" t="s">
        <v>52</v>
      </c>
      <c r="H5515" t="s">
        <v>53</v>
      </c>
      <c r="I5515" t="s">
        <v>53</v>
      </c>
      <c r="J5515" t="s">
        <v>53</v>
      </c>
      <c r="K5515" t="s">
        <v>53</v>
      </c>
      <c r="L5515" t="s">
        <v>53</v>
      </c>
      <c r="M5515" t="s">
        <v>53</v>
      </c>
      <c r="N5515" t="s">
        <v>53</v>
      </c>
      <c r="O5515" t="s">
        <v>53</v>
      </c>
      <c r="P5515" t="s">
        <v>53</v>
      </c>
      <c r="Q5515" t="s">
        <v>53</v>
      </c>
    </row>
    <row r="5516" spans="1:17" x14ac:dyDescent="0.2">
      <c r="A5516" s="30" t="str">
        <f>IF(C5516&amp;G5516&amp;D5516&lt;&gt;'Funnel setup'!$K$3&amp;'Funnel setup'!$K$4&amp;'Funnel setup'!$K$5,".",IF(A5515=".",1,A5515+1))</f>
        <v>.</v>
      </c>
      <c r="B5516" s="431" t="str">
        <f t="shared" si="86"/>
        <v>Knee Replacement RevisionCCG of GP PracticeNHS WOLVERHAMPTON CCG (06A)EQ-5D Index</v>
      </c>
      <c r="C5516" t="s">
        <v>250</v>
      </c>
      <c r="D5516" t="s">
        <v>87</v>
      </c>
      <c r="E5516" t="s">
        <v>480</v>
      </c>
      <c r="F5516" t="s">
        <v>481</v>
      </c>
      <c r="G5516" t="s">
        <v>52</v>
      </c>
      <c r="H5516" t="s">
        <v>53</v>
      </c>
      <c r="I5516" t="s">
        <v>53</v>
      </c>
      <c r="J5516" t="s">
        <v>53</v>
      </c>
      <c r="K5516" t="s">
        <v>53</v>
      </c>
      <c r="L5516" t="s">
        <v>53</v>
      </c>
      <c r="M5516" t="s">
        <v>53</v>
      </c>
      <c r="N5516" t="s">
        <v>53</v>
      </c>
      <c r="O5516" t="s">
        <v>53</v>
      </c>
      <c r="P5516" t="s">
        <v>53</v>
      </c>
      <c r="Q5516" t="s">
        <v>53</v>
      </c>
    </row>
    <row r="5517" spans="1:17" x14ac:dyDescent="0.2">
      <c r="A5517" s="30" t="str">
        <f>IF(C5517&amp;G5517&amp;D5517&lt;&gt;'Funnel setup'!$K$3&amp;'Funnel setup'!$K$4&amp;'Funnel setup'!$K$5,".",IF(A5516=".",1,A5516+1))</f>
        <v>.</v>
      </c>
      <c r="B5517" s="431" t="str">
        <f t="shared" si="86"/>
        <v>Knee Replacement RevisionCCG of GP PracticeNHS WYRE FOREST CCG (06D)EQ-5D Index</v>
      </c>
      <c r="C5517" t="s">
        <v>250</v>
      </c>
      <c r="D5517" t="s">
        <v>87</v>
      </c>
      <c r="E5517" t="s">
        <v>483</v>
      </c>
      <c r="F5517" t="s">
        <v>484</v>
      </c>
      <c r="G5517" t="s">
        <v>52</v>
      </c>
      <c r="H5517" t="s">
        <v>53</v>
      </c>
      <c r="I5517" t="s">
        <v>53</v>
      </c>
      <c r="J5517" t="s">
        <v>53</v>
      </c>
      <c r="K5517" t="s">
        <v>53</v>
      </c>
      <c r="L5517" t="s">
        <v>53</v>
      </c>
      <c r="M5517" t="s">
        <v>53</v>
      </c>
      <c r="N5517" t="s">
        <v>53</v>
      </c>
      <c r="O5517" t="s">
        <v>53</v>
      </c>
      <c r="P5517" t="s">
        <v>53</v>
      </c>
      <c r="Q5517" t="s">
        <v>53</v>
      </c>
    </row>
    <row r="5518" spans="1:17" x14ac:dyDescent="0.2">
      <c r="A5518" s="30" t="str">
        <f>IF(C5518&amp;G5518&amp;D5518&lt;&gt;'Funnel setup'!$K$3&amp;'Funnel setup'!$K$4&amp;'Funnel setup'!$K$5,".",IF(A5517=".",1,A5517+1))</f>
        <v>.</v>
      </c>
      <c r="B5518" s="431" t="str">
        <f t="shared" si="86"/>
        <v>Knee Replacement RevisionCCG of GP PracticeNHS AIREDALE, WHARFEDALE AND CRAVEN CCG (02N)Oxford Knee Score</v>
      </c>
      <c r="C5518" t="s">
        <v>250</v>
      </c>
      <c r="D5518" t="s">
        <v>87</v>
      </c>
      <c r="E5518" t="s">
        <v>566</v>
      </c>
      <c r="F5518" t="s">
        <v>567</v>
      </c>
      <c r="G5518" t="s">
        <v>16</v>
      </c>
      <c r="H5518" t="s">
        <v>53</v>
      </c>
      <c r="I5518" t="s">
        <v>53</v>
      </c>
      <c r="J5518" t="s">
        <v>53</v>
      </c>
      <c r="K5518" t="s">
        <v>53</v>
      </c>
      <c r="L5518" t="s">
        <v>53</v>
      </c>
      <c r="M5518" t="s">
        <v>53</v>
      </c>
      <c r="N5518" t="s">
        <v>53</v>
      </c>
      <c r="O5518" t="s">
        <v>53</v>
      </c>
      <c r="P5518" t="s">
        <v>53</v>
      </c>
      <c r="Q5518" t="s">
        <v>53</v>
      </c>
    </row>
    <row r="5519" spans="1:17" x14ac:dyDescent="0.2">
      <c r="A5519" s="30" t="str">
        <f>IF(C5519&amp;G5519&amp;D5519&lt;&gt;'Funnel setup'!$K$3&amp;'Funnel setup'!$K$4&amp;'Funnel setup'!$K$5,".",IF(A5518=".",1,A5518+1))</f>
        <v>.</v>
      </c>
      <c r="B5519" s="431" t="str">
        <f t="shared" si="86"/>
        <v>Knee Replacement RevisionCCG of GP PracticeNHS ASHFORD CCG (09C)Oxford Knee Score</v>
      </c>
      <c r="C5519" t="s">
        <v>250</v>
      </c>
      <c r="D5519" t="s">
        <v>87</v>
      </c>
      <c r="E5519" t="s">
        <v>569</v>
      </c>
      <c r="F5519" t="s">
        <v>339</v>
      </c>
      <c r="G5519" t="s">
        <v>16</v>
      </c>
      <c r="H5519" t="s">
        <v>53</v>
      </c>
      <c r="I5519" t="s">
        <v>53</v>
      </c>
      <c r="J5519" t="s">
        <v>53</v>
      </c>
      <c r="K5519" t="s">
        <v>53</v>
      </c>
      <c r="L5519" t="s">
        <v>53</v>
      </c>
      <c r="M5519" t="s">
        <v>53</v>
      </c>
      <c r="N5519" t="s">
        <v>53</v>
      </c>
      <c r="O5519" t="s">
        <v>53</v>
      </c>
      <c r="P5519" t="s">
        <v>53</v>
      </c>
      <c r="Q5519" t="s">
        <v>53</v>
      </c>
    </row>
    <row r="5520" spans="1:17" x14ac:dyDescent="0.2">
      <c r="A5520" s="30" t="str">
        <f>IF(C5520&amp;G5520&amp;D5520&lt;&gt;'Funnel setup'!$K$3&amp;'Funnel setup'!$K$4&amp;'Funnel setup'!$K$5,".",IF(A5519=".",1,A5519+1))</f>
        <v>.</v>
      </c>
      <c r="B5520" s="431" t="str">
        <f t="shared" si="86"/>
        <v>Knee Replacement RevisionCCG of GP PracticeNHS AYLESBURY VALE CCG (10Y)Oxford Knee Score</v>
      </c>
      <c r="C5520" t="s">
        <v>250</v>
      </c>
      <c r="D5520" t="s">
        <v>87</v>
      </c>
      <c r="E5520" t="s">
        <v>571</v>
      </c>
      <c r="F5520" t="s">
        <v>572</v>
      </c>
      <c r="G5520" t="s">
        <v>16</v>
      </c>
      <c r="H5520" t="s">
        <v>53</v>
      </c>
      <c r="I5520" t="s">
        <v>53</v>
      </c>
      <c r="J5520" t="s">
        <v>53</v>
      </c>
      <c r="K5520" t="s">
        <v>53</v>
      </c>
      <c r="L5520" t="s">
        <v>53</v>
      </c>
      <c r="M5520" t="s">
        <v>53</v>
      </c>
      <c r="N5520" t="s">
        <v>53</v>
      </c>
      <c r="O5520" t="s">
        <v>53</v>
      </c>
      <c r="P5520" t="s">
        <v>53</v>
      </c>
      <c r="Q5520" t="s">
        <v>53</v>
      </c>
    </row>
    <row r="5521" spans="1:17" x14ac:dyDescent="0.2">
      <c r="A5521" s="30" t="str">
        <f>IF(C5521&amp;G5521&amp;D5521&lt;&gt;'Funnel setup'!$K$3&amp;'Funnel setup'!$K$4&amp;'Funnel setup'!$K$5,".",IF(A5520=".",1,A5520+1))</f>
        <v>.</v>
      </c>
      <c r="B5521" s="431" t="str">
        <f t="shared" si="86"/>
        <v>Knee Replacement RevisionCCG of GP PracticeNHS BARNET CCG (07M)Oxford Knee Score</v>
      </c>
      <c r="C5521" t="s">
        <v>250</v>
      </c>
      <c r="D5521" t="s">
        <v>87</v>
      </c>
      <c r="E5521" t="s">
        <v>577</v>
      </c>
      <c r="F5521" t="s">
        <v>578</v>
      </c>
      <c r="G5521" t="s">
        <v>16</v>
      </c>
      <c r="H5521" t="s">
        <v>53</v>
      </c>
      <c r="I5521" t="s">
        <v>53</v>
      </c>
      <c r="J5521" t="s">
        <v>53</v>
      </c>
      <c r="K5521" t="s">
        <v>53</v>
      </c>
      <c r="L5521" t="s">
        <v>53</v>
      </c>
      <c r="M5521" t="s">
        <v>53</v>
      </c>
      <c r="N5521" t="s">
        <v>53</v>
      </c>
      <c r="O5521" t="s">
        <v>53</v>
      </c>
      <c r="P5521" t="s">
        <v>53</v>
      </c>
      <c r="Q5521" t="s">
        <v>53</v>
      </c>
    </row>
    <row r="5522" spans="1:17" x14ac:dyDescent="0.2">
      <c r="A5522" s="30" t="str">
        <f>IF(C5522&amp;G5522&amp;D5522&lt;&gt;'Funnel setup'!$K$3&amp;'Funnel setup'!$K$4&amp;'Funnel setup'!$K$5,".",IF(A5521=".",1,A5521+1))</f>
        <v>.</v>
      </c>
      <c r="B5522" s="431" t="str">
        <f t="shared" si="86"/>
        <v>Knee Replacement RevisionCCG of GP PracticeNHS BARNSLEY CCG (02P)Oxford Knee Score</v>
      </c>
      <c r="C5522" t="s">
        <v>250</v>
      </c>
      <c r="D5522" t="s">
        <v>87</v>
      </c>
      <c r="E5522" t="s">
        <v>580</v>
      </c>
      <c r="F5522" t="s">
        <v>581</v>
      </c>
      <c r="G5522" t="s">
        <v>16</v>
      </c>
      <c r="H5522">
        <v>21</v>
      </c>
      <c r="I5522">
        <v>13.476000000000001</v>
      </c>
      <c r="J5522">
        <v>30.428999999999998</v>
      </c>
      <c r="K5522">
        <v>16.952000000000002</v>
      </c>
      <c r="L5522">
        <v>19</v>
      </c>
      <c r="M5522">
        <v>0</v>
      </c>
      <c r="N5522">
        <v>2</v>
      </c>
      <c r="O5522" t="s">
        <v>53</v>
      </c>
      <c r="P5522" t="s">
        <v>53</v>
      </c>
      <c r="Q5522" t="s">
        <v>53</v>
      </c>
    </row>
    <row r="5523" spans="1:17" x14ac:dyDescent="0.2">
      <c r="A5523" s="30" t="str">
        <f>IF(C5523&amp;G5523&amp;D5523&lt;&gt;'Funnel setup'!$K$3&amp;'Funnel setup'!$K$4&amp;'Funnel setup'!$K$5,".",IF(A5522=".",1,A5522+1))</f>
        <v>.</v>
      </c>
      <c r="B5523" s="431" t="str">
        <f t="shared" si="86"/>
        <v>Knee Replacement RevisionCCG of GP PracticeNHS BASILDON AND BRENTWOOD CCG (99E)Oxford Knee Score</v>
      </c>
      <c r="C5523" t="s">
        <v>250</v>
      </c>
      <c r="D5523" t="s">
        <v>87</v>
      </c>
      <c r="E5523" t="s">
        <v>583</v>
      </c>
      <c r="F5523" t="s">
        <v>584</v>
      </c>
      <c r="G5523" t="s">
        <v>16</v>
      </c>
      <c r="H5523">
        <v>11</v>
      </c>
      <c r="I5523">
        <v>16.908999999999999</v>
      </c>
      <c r="J5523">
        <v>29.727</v>
      </c>
      <c r="K5523">
        <v>12.818</v>
      </c>
      <c r="L5523">
        <v>7</v>
      </c>
      <c r="M5523">
        <v>1</v>
      </c>
      <c r="N5523">
        <v>3</v>
      </c>
      <c r="O5523" t="s">
        <v>53</v>
      </c>
      <c r="P5523" t="s">
        <v>53</v>
      </c>
      <c r="Q5523" t="s">
        <v>53</v>
      </c>
    </row>
    <row r="5524" spans="1:17" x14ac:dyDescent="0.2">
      <c r="A5524" s="30" t="str">
        <f>IF(C5524&amp;G5524&amp;D5524&lt;&gt;'Funnel setup'!$K$3&amp;'Funnel setup'!$K$4&amp;'Funnel setup'!$K$5,".",IF(A5523=".",1,A5523+1))</f>
        <v>.</v>
      </c>
      <c r="B5524" s="431" t="str">
        <f t="shared" si="86"/>
        <v>Knee Replacement RevisionCCG of GP PracticeNHS BASSETLAW CCG (02Q)Oxford Knee Score</v>
      </c>
      <c r="C5524" t="s">
        <v>250</v>
      </c>
      <c r="D5524" t="s">
        <v>87</v>
      </c>
      <c r="E5524" t="s">
        <v>586</v>
      </c>
      <c r="F5524" t="s">
        <v>587</v>
      </c>
      <c r="G5524" t="s">
        <v>16</v>
      </c>
      <c r="H5524">
        <v>8</v>
      </c>
      <c r="I5524">
        <v>16.125</v>
      </c>
      <c r="J5524">
        <v>23.875</v>
      </c>
      <c r="K5524">
        <v>7.75</v>
      </c>
      <c r="L5524">
        <v>5</v>
      </c>
      <c r="M5524">
        <v>1</v>
      </c>
      <c r="N5524">
        <v>2</v>
      </c>
      <c r="O5524" t="s">
        <v>53</v>
      </c>
      <c r="P5524" t="s">
        <v>53</v>
      </c>
      <c r="Q5524" t="s">
        <v>53</v>
      </c>
    </row>
    <row r="5525" spans="1:17" x14ac:dyDescent="0.2">
      <c r="A5525" s="30" t="str">
        <f>IF(C5525&amp;G5525&amp;D5525&lt;&gt;'Funnel setup'!$K$3&amp;'Funnel setup'!$K$4&amp;'Funnel setup'!$K$5,".",IF(A5524=".",1,A5524+1))</f>
        <v>.</v>
      </c>
      <c r="B5525" s="431" t="str">
        <f t="shared" si="86"/>
        <v>Knee Replacement RevisionCCG of GP PracticeNHS BATH AND NORTH EAST SOMERSET CCG (11E)Oxford Knee Score</v>
      </c>
      <c r="C5525" t="s">
        <v>250</v>
      </c>
      <c r="D5525" t="s">
        <v>87</v>
      </c>
      <c r="E5525" t="s">
        <v>589</v>
      </c>
      <c r="F5525" t="s">
        <v>590</v>
      </c>
      <c r="G5525" t="s">
        <v>16</v>
      </c>
      <c r="H5525">
        <v>6</v>
      </c>
      <c r="I5525">
        <v>18.167000000000002</v>
      </c>
      <c r="J5525">
        <v>30.667000000000002</v>
      </c>
      <c r="K5525">
        <v>12.5</v>
      </c>
      <c r="L5525">
        <v>6</v>
      </c>
      <c r="M5525">
        <v>0</v>
      </c>
      <c r="N5525">
        <v>0</v>
      </c>
      <c r="O5525" t="s">
        <v>53</v>
      </c>
      <c r="P5525" t="s">
        <v>53</v>
      </c>
      <c r="Q5525" t="s">
        <v>53</v>
      </c>
    </row>
    <row r="5526" spans="1:17" x14ac:dyDescent="0.2">
      <c r="A5526" s="30" t="str">
        <f>IF(C5526&amp;G5526&amp;D5526&lt;&gt;'Funnel setup'!$K$3&amp;'Funnel setup'!$K$4&amp;'Funnel setup'!$K$5,".",IF(A5525=".",1,A5525+1))</f>
        <v>.</v>
      </c>
      <c r="B5526" s="431" t="str">
        <f t="shared" si="86"/>
        <v>Knee Replacement RevisionCCG of GP PracticeNHS BEDFORDSHIRE CCG (06F)Oxford Knee Score</v>
      </c>
      <c r="C5526" t="s">
        <v>250</v>
      </c>
      <c r="D5526" t="s">
        <v>87</v>
      </c>
      <c r="E5526" t="s">
        <v>592</v>
      </c>
      <c r="F5526" t="s">
        <v>593</v>
      </c>
      <c r="G5526" t="s">
        <v>16</v>
      </c>
      <c r="H5526">
        <v>13</v>
      </c>
      <c r="I5526">
        <v>17.308</v>
      </c>
      <c r="J5526">
        <v>30.614999999999998</v>
      </c>
      <c r="K5526">
        <v>13.308</v>
      </c>
      <c r="L5526">
        <v>13</v>
      </c>
      <c r="M5526">
        <v>0</v>
      </c>
      <c r="N5526">
        <v>0</v>
      </c>
      <c r="O5526" t="s">
        <v>53</v>
      </c>
      <c r="P5526" t="s">
        <v>53</v>
      </c>
      <c r="Q5526" t="s">
        <v>53</v>
      </c>
    </row>
    <row r="5527" spans="1:17" x14ac:dyDescent="0.2">
      <c r="A5527" s="30" t="str">
        <f>IF(C5527&amp;G5527&amp;D5527&lt;&gt;'Funnel setup'!$K$3&amp;'Funnel setup'!$K$4&amp;'Funnel setup'!$K$5,".",IF(A5526=".",1,A5526+1))</f>
        <v>.</v>
      </c>
      <c r="B5527" s="431" t="str">
        <f t="shared" si="86"/>
        <v>Knee Replacement RevisionCCG of GP PracticeNHS BEXLEY CCG (07N)Oxford Knee Score</v>
      </c>
      <c r="C5527" t="s">
        <v>250</v>
      </c>
      <c r="D5527" t="s">
        <v>87</v>
      </c>
      <c r="E5527" t="s">
        <v>595</v>
      </c>
      <c r="F5527" t="s">
        <v>596</v>
      </c>
      <c r="G5527" t="s">
        <v>16</v>
      </c>
      <c r="H5527" t="s">
        <v>53</v>
      </c>
      <c r="I5527" t="s">
        <v>53</v>
      </c>
      <c r="J5527" t="s">
        <v>53</v>
      </c>
      <c r="K5527" t="s">
        <v>53</v>
      </c>
      <c r="L5527" t="s">
        <v>53</v>
      </c>
      <c r="M5527" t="s">
        <v>53</v>
      </c>
      <c r="N5527" t="s">
        <v>53</v>
      </c>
      <c r="O5527" t="s">
        <v>53</v>
      </c>
      <c r="P5527" t="s">
        <v>53</v>
      </c>
      <c r="Q5527" t="s">
        <v>53</v>
      </c>
    </row>
    <row r="5528" spans="1:17" x14ac:dyDescent="0.2">
      <c r="A5528" s="30" t="str">
        <f>IF(C5528&amp;G5528&amp;D5528&lt;&gt;'Funnel setup'!$K$3&amp;'Funnel setup'!$K$4&amp;'Funnel setup'!$K$5,".",IF(A5527=".",1,A5527+1))</f>
        <v>.</v>
      </c>
      <c r="B5528" s="431" t="str">
        <f t="shared" si="86"/>
        <v>Knee Replacement RevisionCCG of GP PracticeNHS BIRMINGHAM CROSSCITY CCG (13P)Oxford Knee Score</v>
      </c>
      <c r="C5528" t="s">
        <v>250</v>
      </c>
      <c r="D5528" t="s">
        <v>87</v>
      </c>
      <c r="E5528" t="s">
        <v>598</v>
      </c>
      <c r="F5528" t="s">
        <v>599</v>
      </c>
      <c r="G5528" t="s">
        <v>16</v>
      </c>
      <c r="H5528">
        <v>11</v>
      </c>
      <c r="I5528">
        <v>13.273</v>
      </c>
      <c r="J5528">
        <v>25.181999999999999</v>
      </c>
      <c r="K5528">
        <v>11.909000000000001</v>
      </c>
      <c r="L5528">
        <v>9</v>
      </c>
      <c r="M5528">
        <v>0</v>
      </c>
      <c r="N5528">
        <v>2</v>
      </c>
      <c r="O5528" t="s">
        <v>53</v>
      </c>
      <c r="P5528" t="s">
        <v>53</v>
      </c>
      <c r="Q5528" t="s">
        <v>53</v>
      </c>
    </row>
    <row r="5529" spans="1:17" x14ac:dyDescent="0.2">
      <c r="A5529" s="30" t="str">
        <f>IF(C5529&amp;G5529&amp;D5529&lt;&gt;'Funnel setup'!$K$3&amp;'Funnel setup'!$K$4&amp;'Funnel setup'!$K$5,".",IF(A5528=".",1,A5528+1))</f>
        <v>.</v>
      </c>
      <c r="B5529" s="431" t="str">
        <f t="shared" si="86"/>
        <v>Knee Replacement RevisionCCG of GP PracticeNHS BIRMINGHAM SOUTH AND CENTRAL CCG (04X)Oxford Knee Score</v>
      </c>
      <c r="C5529" t="s">
        <v>250</v>
      </c>
      <c r="D5529" t="s">
        <v>87</v>
      </c>
      <c r="E5529" t="s">
        <v>601</v>
      </c>
      <c r="F5529" t="s">
        <v>602</v>
      </c>
      <c r="G5529" t="s">
        <v>16</v>
      </c>
      <c r="H5529" t="s">
        <v>53</v>
      </c>
      <c r="I5529" t="s">
        <v>53</v>
      </c>
      <c r="J5529" t="s">
        <v>53</v>
      </c>
      <c r="K5529" t="s">
        <v>53</v>
      </c>
      <c r="L5529" t="s">
        <v>53</v>
      </c>
      <c r="M5529" t="s">
        <v>53</v>
      </c>
      <c r="N5529" t="s">
        <v>53</v>
      </c>
      <c r="O5529" t="s">
        <v>53</v>
      </c>
      <c r="P5529" t="s">
        <v>53</v>
      </c>
      <c r="Q5529" t="s">
        <v>53</v>
      </c>
    </row>
    <row r="5530" spans="1:17" x14ac:dyDescent="0.2">
      <c r="A5530" s="30" t="str">
        <f>IF(C5530&amp;G5530&amp;D5530&lt;&gt;'Funnel setup'!$K$3&amp;'Funnel setup'!$K$4&amp;'Funnel setup'!$K$5,".",IF(A5529=".",1,A5529+1))</f>
        <v>.</v>
      </c>
      <c r="B5530" s="431" t="str">
        <f t="shared" si="86"/>
        <v>Knee Replacement RevisionCCG of GP PracticeNHS BOLTON CCG (00T)Oxford Knee Score</v>
      </c>
      <c r="C5530" t="s">
        <v>250</v>
      </c>
      <c r="D5530" t="s">
        <v>87</v>
      </c>
      <c r="E5530" t="s">
        <v>683</v>
      </c>
      <c r="F5530" t="s">
        <v>684</v>
      </c>
      <c r="G5530" t="s">
        <v>16</v>
      </c>
      <c r="H5530">
        <v>9</v>
      </c>
      <c r="I5530">
        <v>10.555999999999999</v>
      </c>
      <c r="J5530">
        <v>24.111000000000001</v>
      </c>
      <c r="K5530">
        <v>13.555999999999999</v>
      </c>
      <c r="L5530">
        <v>7</v>
      </c>
      <c r="M5530">
        <v>2</v>
      </c>
      <c r="N5530">
        <v>0</v>
      </c>
      <c r="O5530" t="s">
        <v>53</v>
      </c>
      <c r="P5530" t="s">
        <v>53</v>
      </c>
      <c r="Q5530" t="s">
        <v>53</v>
      </c>
    </row>
    <row r="5531" spans="1:17" x14ac:dyDescent="0.2">
      <c r="A5531" s="30" t="str">
        <f>IF(C5531&amp;G5531&amp;D5531&lt;&gt;'Funnel setup'!$K$3&amp;'Funnel setup'!$K$4&amp;'Funnel setup'!$K$5,".",IF(A5530=".",1,A5530+1))</f>
        <v>.</v>
      </c>
      <c r="B5531" s="431" t="str">
        <f t="shared" si="86"/>
        <v>Knee Replacement RevisionCCG of GP PracticeNHS BRACKNELL AND ASCOT CCG (10G)Oxford Knee Score</v>
      </c>
      <c r="C5531" t="s">
        <v>250</v>
      </c>
      <c r="D5531" t="s">
        <v>87</v>
      </c>
      <c r="E5531" t="s">
        <v>686</v>
      </c>
      <c r="F5531" t="s">
        <v>687</v>
      </c>
      <c r="G5531" t="s">
        <v>16</v>
      </c>
      <c r="H5531" t="s">
        <v>53</v>
      </c>
      <c r="I5531" t="s">
        <v>53</v>
      </c>
      <c r="J5531" t="s">
        <v>53</v>
      </c>
      <c r="K5531" t="s">
        <v>53</v>
      </c>
      <c r="L5531" t="s">
        <v>53</v>
      </c>
      <c r="M5531" t="s">
        <v>53</v>
      </c>
      <c r="N5531" t="s">
        <v>53</v>
      </c>
      <c r="O5531" t="s">
        <v>53</v>
      </c>
      <c r="P5531" t="s">
        <v>53</v>
      </c>
      <c r="Q5531" t="s">
        <v>53</v>
      </c>
    </row>
    <row r="5532" spans="1:17" x14ac:dyDescent="0.2">
      <c r="A5532" s="30" t="str">
        <f>IF(C5532&amp;G5532&amp;D5532&lt;&gt;'Funnel setup'!$K$3&amp;'Funnel setup'!$K$4&amp;'Funnel setup'!$K$5,".",IF(A5531=".",1,A5531+1))</f>
        <v>.</v>
      </c>
      <c r="B5532" s="431" t="str">
        <f t="shared" si="86"/>
        <v>Knee Replacement RevisionCCG of GP PracticeNHS BRADFORD CITY CCG (02W)Oxford Knee Score</v>
      </c>
      <c r="C5532" t="s">
        <v>250</v>
      </c>
      <c r="D5532" t="s">
        <v>87</v>
      </c>
      <c r="E5532" t="s">
        <v>689</v>
      </c>
      <c r="F5532" t="s">
        <v>690</v>
      </c>
      <c r="G5532" t="s">
        <v>16</v>
      </c>
      <c r="H5532" t="s">
        <v>53</v>
      </c>
      <c r="I5532" t="s">
        <v>53</v>
      </c>
      <c r="J5532" t="s">
        <v>53</v>
      </c>
      <c r="K5532" t="s">
        <v>53</v>
      </c>
      <c r="L5532" t="s">
        <v>53</v>
      </c>
      <c r="M5532" t="s">
        <v>53</v>
      </c>
      <c r="N5532" t="s">
        <v>53</v>
      </c>
      <c r="O5532" t="s">
        <v>53</v>
      </c>
      <c r="P5532" t="s">
        <v>53</v>
      </c>
      <c r="Q5532" t="s">
        <v>53</v>
      </c>
    </row>
    <row r="5533" spans="1:17" x14ac:dyDescent="0.2">
      <c r="A5533" s="30" t="str">
        <f>IF(C5533&amp;G5533&amp;D5533&lt;&gt;'Funnel setup'!$K$3&amp;'Funnel setup'!$K$4&amp;'Funnel setup'!$K$5,".",IF(A5532=".",1,A5532+1))</f>
        <v>.</v>
      </c>
      <c r="B5533" s="431" t="str">
        <f t="shared" si="86"/>
        <v>Knee Replacement RevisionCCG of GP PracticeNHS BRADFORD DISTRICTS CCG (02R)Oxford Knee Score</v>
      </c>
      <c r="C5533" t="s">
        <v>250</v>
      </c>
      <c r="D5533" t="s">
        <v>87</v>
      </c>
      <c r="E5533" t="s">
        <v>692</v>
      </c>
      <c r="F5533" t="s">
        <v>693</v>
      </c>
      <c r="G5533" t="s">
        <v>16</v>
      </c>
      <c r="H5533">
        <v>14</v>
      </c>
      <c r="I5533">
        <v>13.929</v>
      </c>
      <c r="J5533">
        <v>24.713999999999999</v>
      </c>
      <c r="K5533">
        <v>10.786</v>
      </c>
      <c r="L5533">
        <v>12</v>
      </c>
      <c r="M5533">
        <v>0</v>
      </c>
      <c r="N5533">
        <v>2</v>
      </c>
      <c r="O5533" t="s">
        <v>53</v>
      </c>
      <c r="P5533" t="s">
        <v>53</v>
      </c>
      <c r="Q5533" t="s">
        <v>53</v>
      </c>
    </row>
    <row r="5534" spans="1:17" x14ac:dyDescent="0.2">
      <c r="A5534" s="30" t="str">
        <f>IF(C5534&amp;G5534&amp;D5534&lt;&gt;'Funnel setup'!$K$3&amp;'Funnel setup'!$K$4&amp;'Funnel setup'!$K$5,".",IF(A5533=".",1,A5533+1))</f>
        <v>.</v>
      </c>
      <c r="B5534" s="431" t="str">
        <f t="shared" si="86"/>
        <v>Knee Replacement RevisionCCG of GP PracticeNHS BRENT CCG (07P)Oxford Knee Score</v>
      </c>
      <c r="C5534" t="s">
        <v>250</v>
      </c>
      <c r="D5534" t="s">
        <v>87</v>
      </c>
      <c r="E5534" t="s">
        <v>695</v>
      </c>
      <c r="F5534" t="s">
        <v>696</v>
      </c>
      <c r="G5534" t="s">
        <v>16</v>
      </c>
      <c r="H5534">
        <v>6</v>
      </c>
      <c r="I5534">
        <v>16.167000000000002</v>
      </c>
      <c r="J5534">
        <v>22.167000000000002</v>
      </c>
      <c r="K5534">
        <v>6</v>
      </c>
      <c r="L5534">
        <v>3</v>
      </c>
      <c r="M5534">
        <v>0</v>
      </c>
      <c r="N5534">
        <v>3</v>
      </c>
      <c r="O5534" t="s">
        <v>53</v>
      </c>
      <c r="P5534" t="s">
        <v>53</v>
      </c>
      <c r="Q5534" t="s">
        <v>53</v>
      </c>
    </row>
    <row r="5535" spans="1:17" x14ac:dyDescent="0.2">
      <c r="A5535" s="30" t="str">
        <f>IF(C5535&amp;G5535&amp;D5535&lt;&gt;'Funnel setup'!$K$3&amp;'Funnel setup'!$K$4&amp;'Funnel setup'!$K$5,".",IF(A5534=".",1,A5534+1))</f>
        <v>.</v>
      </c>
      <c r="B5535" s="431" t="str">
        <f t="shared" si="86"/>
        <v>Knee Replacement RevisionCCG of GP PracticeNHS BRIGHTON AND HOVE CCG (09D)Oxford Knee Score</v>
      </c>
      <c r="C5535" t="s">
        <v>250</v>
      </c>
      <c r="D5535" t="s">
        <v>87</v>
      </c>
      <c r="E5535" t="s">
        <v>698</v>
      </c>
      <c r="F5535" t="s">
        <v>699</v>
      </c>
      <c r="G5535" t="s">
        <v>16</v>
      </c>
      <c r="H5535">
        <v>9</v>
      </c>
      <c r="I5535">
        <v>11</v>
      </c>
      <c r="J5535">
        <v>16.111000000000001</v>
      </c>
      <c r="K5535">
        <v>5.1109999999999998</v>
      </c>
      <c r="L5535">
        <v>7</v>
      </c>
      <c r="M5535">
        <v>1</v>
      </c>
      <c r="N5535">
        <v>1</v>
      </c>
      <c r="O5535" t="s">
        <v>53</v>
      </c>
      <c r="P5535" t="s">
        <v>53</v>
      </c>
      <c r="Q5535" t="s">
        <v>53</v>
      </c>
    </row>
    <row r="5536" spans="1:17" x14ac:dyDescent="0.2">
      <c r="A5536" s="30" t="str">
        <f>IF(C5536&amp;G5536&amp;D5536&lt;&gt;'Funnel setup'!$K$3&amp;'Funnel setup'!$K$4&amp;'Funnel setup'!$K$5,".",IF(A5535=".",1,A5535+1))</f>
        <v>.</v>
      </c>
      <c r="B5536" s="431" t="str">
        <f t="shared" si="86"/>
        <v>Knee Replacement RevisionCCG of GP PracticeNHS BRISTOL CCG (11H)Oxford Knee Score</v>
      </c>
      <c r="C5536" t="s">
        <v>250</v>
      </c>
      <c r="D5536" t="s">
        <v>87</v>
      </c>
      <c r="E5536" t="s">
        <v>701</v>
      </c>
      <c r="F5536" t="s">
        <v>702</v>
      </c>
      <c r="G5536" t="s">
        <v>16</v>
      </c>
      <c r="H5536" t="s">
        <v>53</v>
      </c>
      <c r="I5536" t="s">
        <v>53</v>
      </c>
      <c r="J5536" t="s">
        <v>53</v>
      </c>
      <c r="K5536" t="s">
        <v>53</v>
      </c>
      <c r="L5536" t="s">
        <v>53</v>
      </c>
      <c r="M5536" t="s">
        <v>53</v>
      </c>
      <c r="N5536" t="s">
        <v>53</v>
      </c>
      <c r="O5536" t="s">
        <v>53</v>
      </c>
      <c r="P5536" t="s">
        <v>53</v>
      </c>
      <c r="Q5536" t="s">
        <v>53</v>
      </c>
    </row>
    <row r="5537" spans="1:17" x14ac:dyDescent="0.2">
      <c r="A5537" s="30" t="str">
        <f>IF(C5537&amp;G5537&amp;D5537&lt;&gt;'Funnel setup'!$K$3&amp;'Funnel setup'!$K$4&amp;'Funnel setup'!$K$5,".",IF(A5536=".",1,A5536+1))</f>
        <v>.</v>
      </c>
      <c r="B5537" s="431" t="str">
        <f t="shared" si="86"/>
        <v>Knee Replacement RevisionCCG of GP PracticeNHS BROMLEY CCG (07Q)Oxford Knee Score</v>
      </c>
      <c r="C5537" t="s">
        <v>250</v>
      </c>
      <c r="D5537" t="s">
        <v>87</v>
      </c>
      <c r="E5537" t="s">
        <v>704</v>
      </c>
      <c r="F5537" t="s">
        <v>705</v>
      </c>
      <c r="G5537" t="s">
        <v>16</v>
      </c>
      <c r="H5537">
        <v>6</v>
      </c>
      <c r="I5537">
        <v>20.5</v>
      </c>
      <c r="J5537">
        <v>27.5</v>
      </c>
      <c r="K5537">
        <v>7</v>
      </c>
      <c r="L5537">
        <v>4</v>
      </c>
      <c r="M5537">
        <v>0</v>
      </c>
      <c r="N5537">
        <v>2</v>
      </c>
      <c r="O5537" t="s">
        <v>53</v>
      </c>
      <c r="P5537" t="s">
        <v>53</v>
      </c>
      <c r="Q5537" t="s">
        <v>53</v>
      </c>
    </row>
    <row r="5538" spans="1:17" x14ac:dyDescent="0.2">
      <c r="A5538" s="30" t="str">
        <f>IF(C5538&amp;G5538&amp;D5538&lt;&gt;'Funnel setup'!$K$3&amp;'Funnel setup'!$K$4&amp;'Funnel setup'!$K$5,".",IF(A5537=".",1,A5537+1))</f>
        <v>.</v>
      </c>
      <c r="B5538" s="431" t="str">
        <f t="shared" si="86"/>
        <v>Knee Replacement RevisionCCG of GP PracticeNHS BURY CCG (00V)Oxford Knee Score</v>
      </c>
      <c r="C5538" t="s">
        <v>250</v>
      </c>
      <c r="D5538" t="s">
        <v>87</v>
      </c>
      <c r="E5538" t="s">
        <v>707</v>
      </c>
      <c r="F5538" t="s">
        <v>708</v>
      </c>
      <c r="G5538" t="s">
        <v>16</v>
      </c>
      <c r="H5538">
        <v>6</v>
      </c>
      <c r="I5538">
        <v>10.333</v>
      </c>
      <c r="J5538">
        <v>23.667000000000002</v>
      </c>
      <c r="K5538">
        <v>13.333</v>
      </c>
      <c r="L5538">
        <v>6</v>
      </c>
      <c r="M5538">
        <v>0</v>
      </c>
      <c r="N5538">
        <v>0</v>
      </c>
      <c r="O5538" t="s">
        <v>53</v>
      </c>
      <c r="P5538" t="s">
        <v>53</v>
      </c>
      <c r="Q5538" t="s">
        <v>53</v>
      </c>
    </row>
    <row r="5539" spans="1:17" x14ac:dyDescent="0.2">
      <c r="A5539" s="30" t="str">
        <f>IF(C5539&amp;G5539&amp;D5539&lt;&gt;'Funnel setup'!$K$3&amp;'Funnel setup'!$K$4&amp;'Funnel setup'!$K$5,".",IF(A5538=".",1,A5538+1))</f>
        <v>.</v>
      </c>
      <c r="B5539" s="431" t="str">
        <f t="shared" si="86"/>
        <v>Knee Replacement RevisionCCG of GP PracticeNHS CALDERDALE CCG (02T)Oxford Knee Score</v>
      </c>
      <c r="C5539" t="s">
        <v>250</v>
      </c>
      <c r="D5539" t="s">
        <v>87</v>
      </c>
      <c r="E5539" t="s">
        <v>710</v>
      </c>
      <c r="F5539" t="s">
        <v>711</v>
      </c>
      <c r="G5539" t="s">
        <v>16</v>
      </c>
      <c r="H5539" t="s">
        <v>53</v>
      </c>
      <c r="I5539" t="s">
        <v>53</v>
      </c>
      <c r="J5539" t="s">
        <v>53</v>
      </c>
      <c r="K5539" t="s">
        <v>53</v>
      </c>
      <c r="L5539" t="s">
        <v>53</v>
      </c>
      <c r="M5539" t="s">
        <v>53</v>
      </c>
      <c r="N5539" t="s">
        <v>53</v>
      </c>
      <c r="O5539" t="s">
        <v>53</v>
      </c>
      <c r="P5539" t="s">
        <v>53</v>
      </c>
      <c r="Q5539" t="s">
        <v>53</v>
      </c>
    </row>
    <row r="5540" spans="1:17" x14ac:dyDescent="0.2">
      <c r="A5540" s="30" t="str">
        <f>IF(C5540&amp;G5540&amp;D5540&lt;&gt;'Funnel setup'!$K$3&amp;'Funnel setup'!$K$4&amp;'Funnel setup'!$K$5,".",IF(A5539=".",1,A5539+1))</f>
        <v>.</v>
      </c>
      <c r="B5540" s="431" t="str">
        <f t="shared" si="86"/>
        <v>Knee Replacement RevisionCCG of GP PracticeNHS CAMBRIDGESHIRE AND PETERBOROUGH CCG (06H)Oxford Knee Score</v>
      </c>
      <c r="C5540" t="s">
        <v>250</v>
      </c>
      <c r="D5540" t="s">
        <v>87</v>
      </c>
      <c r="E5540" t="s">
        <v>713</v>
      </c>
      <c r="F5540" t="s">
        <v>714</v>
      </c>
      <c r="G5540" t="s">
        <v>16</v>
      </c>
      <c r="H5540">
        <v>31</v>
      </c>
      <c r="I5540">
        <v>16.065000000000001</v>
      </c>
      <c r="J5540">
        <v>30.323</v>
      </c>
      <c r="K5540">
        <v>14.257999999999999</v>
      </c>
      <c r="L5540">
        <v>29</v>
      </c>
      <c r="M5540">
        <v>0</v>
      </c>
      <c r="N5540">
        <v>2</v>
      </c>
      <c r="O5540">
        <v>28.901</v>
      </c>
      <c r="P5540">
        <v>12.395123</v>
      </c>
      <c r="Q5540">
        <v>10.473000000000001</v>
      </c>
    </row>
    <row r="5541" spans="1:17" x14ac:dyDescent="0.2">
      <c r="A5541" s="30" t="str">
        <f>IF(C5541&amp;G5541&amp;D5541&lt;&gt;'Funnel setup'!$K$3&amp;'Funnel setup'!$K$4&amp;'Funnel setup'!$K$5,".",IF(A5540=".",1,A5540+1))</f>
        <v>.</v>
      </c>
      <c r="B5541" s="431" t="str">
        <f t="shared" si="86"/>
        <v>Knee Replacement RevisionCCG of GP PracticeNHS CAMDEN CCG (07R)Oxford Knee Score</v>
      </c>
      <c r="C5541" t="s">
        <v>250</v>
      </c>
      <c r="D5541" t="s">
        <v>87</v>
      </c>
      <c r="E5541" t="s">
        <v>716</v>
      </c>
      <c r="F5541" t="s">
        <v>717</v>
      </c>
      <c r="G5541" t="s">
        <v>16</v>
      </c>
      <c r="H5541" t="s">
        <v>53</v>
      </c>
      <c r="I5541" t="s">
        <v>53</v>
      </c>
      <c r="J5541" t="s">
        <v>53</v>
      </c>
      <c r="K5541" t="s">
        <v>53</v>
      </c>
      <c r="L5541" t="s">
        <v>53</v>
      </c>
      <c r="M5541" t="s">
        <v>53</v>
      </c>
      <c r="N5541" t="s">
        <v>53</v>
      </c>
      <c r="O5541" t="s">
        <v>53</v>
      </c>
      <c r="P5541" t="s">
        <v>53</v>
      </c>
      <c r="Q5541" t="s">
        <v>53</v>
      </c>
    </row>
    <row r="5542" spans="1:17" x14ac:dyDescent="0.2">
      <c r="A5542" s="30" t="str">
        <f>IF(C5542&amp;G5542&amp;D5542&lt;&gt;'Funnel setup'!$K$3&amp;'Funnel setup'!$K$4&amp;'Funnel setup'!$K$5,".",IF(A5541=".",1,A5541+1))</f>
        <v>.</v>
      </c>
      <c r="B5542" s="431" t="str">
        <f t="shared" si="86"/>
        <v>Knee Replacement RevisionCCG of GP PracticeNHS CANNOCK CHASE CCG (04Y)Oxford Knee Score</v>
      </c>
      <c r="C5542" t="s">
        <v>250</v>
      </c>
      <c r="D5542" t="s">
        <v>87</v>
      </c>
      <c r="E5542" t="s">
        <v>719</v>
      </c>
      <c r="F5542" t="s">
        <v>720</v>
      </c>
      <c r="G5542" t="s">
        <v>16</v>
      </c>
      <c r="H5542">
        <v>8</v>
      </c>
      <c r="I5542">
        <v>9.5</v>
      </c>
      <c r="J5542">
        <v>23.75</v>
      </c>
      <c r="K5542">
        <v>14.25</v>
      </c>
      <c r="L5542">
        <v>8</v>
      </c>
      <c r="M5542">
        <v>0</v>
      </c>
      <c r="N5542">
        <v>0</v>
      </c>
      <c r="O5542" t="s">
        <v>53</v>
      </c>
      <c r="P5542" t="s">
        <v>53</v>
      </c>
      <c r="Q5542" t="s">
        <v>53</v>
      </c>
    </row>
    <row r="5543" spans="1:17" x14ac:dyDescent="0.2">
      <c r="A5543" s="30" t="str">
        <f>IF(C5543&amp;G5543&amp;D5543&lt;&gt;'Funnel setup'!$K$3&amp;'Funnel setup'!$K$4&amp;'Funnel setup'!$K$5,".",IF(A5542=".",1,A5542+1))</f>
        <v>.</v>
      </c>
      <c r="B5543" s="431" t="str">
        <f t="shared" si="86"/>
        <v>Knee Replacement RevisionCCG of GP PracticeNHS CANTERBURY AND COASTAL CCG (09E)Oxford Knee Score</v>
      </c>
      <c r="C5543" t="s">
        <v>250</v>
      </c>
      <c r="D5543" t="s">
        <v>87</v>
      </c>
      <c r="E5543" t="s">
        <v>722</v>
      </c>
      <c r="F5543" t="s">
        <v>723</v>
      </c>
      <c r="G5543" t="s">
        <v>16</v>
      </c>
      <c r="H5543">
        <v>8</v>
      </c>
      <c r="I5543">
        <v>18.875</v>
      </c>
      <c r="J5543">
        <v>33.375</v>
      </c>
      <c r="K5543">
        <v>14.5</v>
      </c>
      <c r="L5543">
        <v>7</v>
      </c>
      <c r="M5543">
        <v>0</v>
      </c>
      <c r="N5543">
        <v>1</v>
      </c>
      <c r="O5543" t="s">
        <v>53</v>
      </c>
      <c r="P5543" t="s">
        <v>53</v>
      </c>
      <c r="Q5543" t="s">
        <v>53</v>
      </c>
    </row>
    <row r="5544" spans="1:17" x14ac:dyDescent="0.2">
      <c r="A5544" s="30" t="str">
        <f>IF(C5544&amp;G5544&amp;D5544&lt;&gt;'Funnel setup'!$K$3&amp;'Funnel setup'!$K$4&amp;'Funnel setup'!$K$5,".",IF(A5543=".",1,A5543+1))</f>
        <v>.</v>
      </c>
      <c r="B5544" s="431" t="str">
        <f t="shared" si="86"/>
        <v>Knee Replacement RevisionCCG of GP PracticeNHS CASTLE POINT AND ROCHFORD CCG (99F)Oxford Knee Score</v>
      </c>
      <c r="C5544" t="s">
        <v>250</v>
      </c>
      <c r="D5544" t="s">
        <v>87</v>
      </c>
      <c r="E5544" t="s">
        <v>725</v>
      </c>
      <c r="F5544" t="s">
        <v>726</v>
      </c>
      <c r="G5544" t="s">
        <v>16</v>
      </c>
      <c r="H5544" t="s">
        <v>53</v>
      </c>
      <c r="I5544" t="s">
        <v>53</v>
      </c>
      <c r="J5544" t="s">
        <v>53</v>
      </c>
      <c r="K5544" t="s">
        <v>53</v>
      </c>
      <c r="L5544" t="s">
        <v>53</v>
      </c>
      <c r="M5544" t="s">
        <v>53</v>
      </c>
      <c r="N5544" t="s">
        <v>53</v>
      </c>
      <c r="O5544" t="s">
        <v>53</v>
      </c>
      <c r="P5544" t="s">
        <v>53</v>
      </c>
      <c r="Q5544" t="s">
        <v>53</v>
      </c>
    </row>
    <row r="5545" spans="1:17" x14ac:dyDescent="0.2">
      <c r="A5545" s="30" t="str">
        <f>IF(C5545&amp;G5545&amp;D5545&lt;&gt;'Funnel setup'!$K$3&amp;'Funnel setup'!$K$4&amp;'Funnel setup'!$K$5,".",IF(A5544=".",1,A5544+1))</f>
        <v>.</v>
      </c>
      <c r="B5545" s="431" t="str">
        <f t="shared" si="86"/>
        <v>Knee Replacement RevisionCCG of GP PracticeNHS CENTRAL MANCHESTER CCG (00W)Oxford Knee Score</v>
      </c>
      <c r="C5545" t="s">
        <v>250</v>
      </c>
      <c r="D5545" t="s">
        <v>87</v>
      </c>
      <c r="E5545" t="s">
        <v>731</v>
      </c>
      <c r="F5545" t="s">
        <v>732</v>
      </c>
      <c r="G5545" t="s">
        <v>16</v>
      </c>
      <c r="H5545" t="s">
        <v>53</v>
      </c>
      <c r="I5545" t="s">
        <v>53</v>
      </c>
      <c r="J5545" t="s">
        <v>53</v>
      </c>
      <c r="K5545" t="s">
        <v>53</v>
      </c>
      <c r="L5545" t="s">
        <v>53</v>
      </c>
      <c r="M5545" t="s">
        <v>53</v>
      </c>
      <c r="N5545" t="s">
        <v>53</v>
      </c>
      <c r="O5545" t="s">
        <v>53</v>
      </c>
      <c r="P5545" t="s">
        <v>53</v>
      </c>
      <c r="Q5545" t="s">
        <v>53</v>
      </c>
    </row>
    <row r="5546" spans="1:17" x14ac:dyDescent="0.2">
      <c r="A5546" s="30" t="str">
        <f>IF(C5546&amp;G5546&amp;D5546&lt;&gt;'Funnel setup'!$K$3&amp;'Funnel setup'!$K$4&amp;'Funnel setup'!$K$5,".",IF(A5545=".",1,A5545+1))</f>
        <v>.</v>
      </c>
      <c r="B5546" s="431" t="str">
        <f t="shared" si="86"/>
        <v>Knee Replacement RevisionCCG of GP PracticeNHS CHILTERN CCG (10H)Oxford Knee Score</v>
      </c>
      <c r="C5546" t="s">
        <v>250</v>
      </c>
      <c r="D5546" t="s">
        <v>87</v>
      </c>
      <c r="E5546" t="s">
        <v>734</v>
      </c>
      <c r="F5546" t="s">
        <v>735</v>
      </c>
      <c r="G5546" t="s">
        <v>16</v>
      </c>
      <c r="H5546">
        <v>7</v>
      </c>
      <c r="I5546">
        <v>19.571000000000002</v>
      </c>
      <c r="J5546">
        <v>33</v>
      </c>
      <c r="K5546">
        <v>13.429</v>
      </c>
      <c r="L5546">
        <v>6</v>
      </c>
      <c r="M5546">
        <v>0</v>
      </c>
      <c r="N5546">
        <v>1</v>
      </c>
      <c r="O5546" t="s">
        <v>53</v>
      </c>
      <c r="P5546" t="s">
        <v>53</v>
      </c>
      <c r="Q5546" t="s">
        <v>53</v>
      </c>
    </row>
    <row r="5547" spans="1:17" x14ac:dyDescent="0.2">
      <c r="A5547" s="30" t="str">
        <f>IF(C5547&amp;G5547&amp;D5547&lt;&gt;'Funnel setup'!$K$3&amp;'Funnel setup'!$K$4&amp;'Funnel setup'!$K$5,".",IF(A5546=".",1,A5546+1))</f>
        <v>.</v>
      </c>
      <c r="B5547" s="431" t="str">
        <f t="shared" si="86"/>
        <v>Knee Replacement RevisionCCG of GP PracticeNHS CHORLEY AND SOUTH RIBBLE CCG (00X)Oxford Knee Score</v>
      </c>
      <c r="C5547" t="s">
        <v>250</v>
      </c>
      <c r="D5547" t="s">
        <v>87</v>
      </c>
      <c r="E5547" t="s">
        <v>737</v>
      </c>
      <c r="F5547" t="s">
        <v>738</v>
      </c>
      <c r="G5547" t="s">
        <v>16</v>
      </c>
      <c r="H5547" t="s">
        <v>53</v>
      </c>
      <c r="I5547" t="s">
        <v>53</v>
      </c>
      <c r="J5547" t="s">
        <v>53</v>
      </c>
      <c r="K5547" t="s">
        <v>53</v>
      </c>
      <c r="L5547" t="s">
        <v>53</v>
      </c>
      <c r="M5547" t="s">
        <v>53</v>
      </c>
      <c r="N5547" t="s">
        <v>53</v>
      </c>
      <c r="O5547" t="s">
        <v>53</v>
      </c>
      <c r="P5547" t="s">
        <v>53</v>
      </c>
      <c r="Q5547" t="s">
        <v>53</v>
      </c>
    </row>
    <row r="5548" spans="1:17" x14ac:dyDescent="0.2">
      <c r="A5548" s="30" t="str">
        <f>IF(C5548&amp;G5548&amp;D5548&lt;&gt;'Funnel setup'!$K$3&amp;'Funnel setup'!$K$4&amp;'Funnel setup'!$K$5,".",IF(A5547=".",1,A5547+1))</f>
        <v>.</v>
      </c>
      <c r="B5548" s="431" t="str">
        <f t="shared" si="86"/>
        <v>Knee Replacement RevisionCCG of GP PracticeNHS CITY AND HACKNEY CCG (07T)Oxford Knee Score</v>
      </c>
      <c r="C5548" t="s">
        <v>250</v>
      </c>
      <c r="D5548" t="s">
        <v>87</v>
      </c>
      <c r="E5548" t="s">
        <v>740</v>
      </c>
      <c r="F5548" t="s">
        <v>741</v>
      </c>
      <c r="G5548" t="s">
        <v>16</v>
      </c>
      <c r="H5548" t="s">
        <v>53</v>
      </c>
      <c r="I5548" t="s">
        <v>53</v>
      </c>
      <c r="J5548" t="s">
        <v>53</v>
      </c>
      <c r="K5548" t="s">
        <v>53</v>
      </c>
      <c r="L5548" t="s">
        <v>53</v>
      </c>
      <c r="M5548" t="s">
        <v>53</v>
      </c>
      <c r="N5548" t="s">
        <v>53</v>
      </c>
      <c r="O5548" t="s">
        <v>53</v>
      </c>
      <c r="P5548" t="s">
        <v>53</v>
      </c>
      <c r="Q5548" t="s">
        <v>53</v>
      </c>
    </row>
    <row r="5549" spans="1:17" x14ac:dyDescent="0.2">
      <c r="A5549" s="30" t="str">
        <f>IF(C5549&amp;G5549&amp;D5549&lt;&gt;'Funnel setup'!$K$3&amp;'Funnel setup'!$K$4&amp;'Funnel setup'!$K$5,".",IF(A5548=".",1,A5548+1))</f>
        <v>.</v>
      </c>
      <c r="B5549" s="431" t="str">
        <f t="shared" si="86"/>
        <v>Knee Replacement RevisionCCG of GP PracticeNHS COASTAL WEST SUSSEX CCG (09G)Oxford Knee Score</v>
      </c>
      <c r="C5549" t="s">
        <v>250</v>
      </c>
      <c r="D5549" t="s">
        <v>87</v>
      </c>
      <c r="E5549" t="s">
        <v>743</v>
      </c>
      <c r="F5549" t="s">
        <v>744</v>
      </c>
      <c r="G5549" t="s">
        <v>16</v>
      </c>
      <c r="H5549">
        <v>34</v>
      </c>
      <c r="I5549">
        <v>17.411999999999999</v>
      </c>
      <c r="J5549">
        <v>27.471</v>
      </c>
      <c r="K5549">
        <v>10.058999999999999</v>
      </c>
      <c r="L5549">
        <v>27</v>
      </c>
      <c r="M5549">
        <v>0</v>
      </c>
      <c r="N5549">
        <v>7</v>
      </c>
      <c r="O5549">
        <v>26.259</v>
      </c>
      <c r="P5549">
        <v>9.7535984409999994</v>
      </c>
      <c r="Q5549">
        <v>8.8079999999999998</v>
      </c>
    </row>
    <row r="5550" spans="1:17" x14ac:dyDescent="0.2">
      <c r="A5550" s="30" t="str">
        <f>IF(C5550&amp;G5550&amp;D5550&lt;&gt;'Funnel setup'!$K$3&amp;'Funnel setup'!$K$4&amp;'Funnel setup'!$K$5,".",IF(A5549=".",1,A5549+1))</f>
        <v>.</v>
      </c>
      <c r="B5550" s="431" t="str">
        <f t="shared" si="86"/>
        <v>Knee Replacement RevisionCCG of GP PracticeNHS CORBY CCG (03V)Oxford Knee Score</v>
      </c>
      <c r="C5550" t="s">
        <v>250</v>
      </c>
      <c r="D5550" t="s">
        <v>87</v>
      </c>
      <c r="E5550" t="s">
        <v>746</v>
      </c>
      <c r="F5550" t="s">
        <v>747</v>
      </c>
      <c r="G5550" t="s">
        <v>16</v>
      </c>
      <c r="H5550" t="s">
        <v>53</v>
      </c>
      <c r="I5550" t="s">
        <v>53</v>
      </c>
      <c r="J5550" t="s">
        <v>53</v>
      </c>
      <c r="K5550" t="s">
        <v>53</v>
      </c>
      <c r="L5550" t="s">
        <v>53</v>
      </c>
      <c r="M5550" t="s">
        <v>53</v>
      </c>
      <c r="N5550" t="s">
        <v>53</v>
      </c>
      <c r="O5550" t="s">
        <v>53</v>
      </c>
      <c r="P5550" t="s">
        <v>53</v>
      </c>
      <c r="Q5550" t="s">
        <v>53</v>
      </c>
    </row>
    <row r="5551" spans="1:17" x14ac:dyDescent="0.2">
      <c r="A5551" s="30" t="str">
        <f>IF(C5551&amp;G5551&amp;D5551&lt;&gt;'Funnel setup'!$K$3&amp;'Funnel setup'!$K$4&amp;'Funnel setup'!$K$5,".",IF(A5550=".",1,A5550+1))</f>
        <v>.</v>
      </c>
      <c r="B5551" s="431" t="str">
        <f t="shared" si="86"/>
        <v>Knee Replacement RevisionCCG of GP PracticeNHS COVENTRY AND RUGBY CCG (05A)Oxford Knee Score</v>
      </c>
      <c r="C5551" t="s">
        <v>250</v>
      </c>
      <c r="D5551" t="s">
        <v>87</v>
      </c>
      <c r="E5551" t="s">
        <v>749</v>
      </c>
      <c r="F5551" t="s">
        <v>750</v>
      </c>
      <c r="G5551" t="s">
        <v>16</v>
      </c>
      <c r="H5551">
        <v>15</v>
      </c>
      <c r="I5551">
        <v>16.067</v>
      </c>
      <c r="J5551">
        <v>24.266999999999999</v>
      </c>
      <c r="K5551">
        <v>8.1999999999999993</v>
      </c>
      <c r="L5551">
        <v>12</v>
      </c>
      <c r="M5551">
        <v>1</v>
      </c>
      <c r="N5551">
        <v>2</v>
      </c>
      <c r="O5551" t="s">
        <v>53</v>
      </c>
      <c r="P5551" t="s">
        <v>53</v>
      </c>
      <c r="Q5551" t="s">
        <v>53</v>
      </c>
    </row>
    <row r="5552" spans="1:17" x14ac:dyDescent="0.2">
      <c r="A5552" s="30" t="str">
        <f>IF(C5552&amp;G5552&amp;D5552&lt;&gt;'Funnel setup'!$K$3&amp;'Funnel setup'!$K$4&amp;'Funnel setup'!$K$5,".",IF(A5551=".",1,A5551+1))</f>
        <v>.</v>
      </c>
      <c r="B5552" s="431" t="str">
        <f t="shared" si="86"/>
        <v>Knee Replacement RevisionCCG of GP PracticeNHS CRAWLEY CCG (09H)Oxford Knee Score</v>
      </c>
      <c r="C5552" t="s">
        <v>250</v>
      </c>
      <c r="D5552" t="s">
        <v>87</v>
      </c>
      <c r="E5552" t="s">
        <v>752</v>
      </c>
      <c r="F5552" t="s">
        <v>753</v>
      </c>
      <c r="G5552" t="s">
        <v>16</v>
      </c>
      <c r="H5552" t="s">
        <v>53</v>
      </c>
      <c r="I5552" t="s">
        <v>53</v>
      </c>
      <c r="J5552" t="s">
        <v>53</v>
      </c>
      <c r="K5552" t="s">
        <v>53</v>
      </c>
      <c r="L5552" t="s">
        <v>53</v>
      </c>
      <c r="M5552" t="s">
        <v>53</v>
      </c>
      <c r="N5552" t="s">
        <v>53</v>
      </c>
      <c r="O5552" t="s">
        <v>53</v>
      </c>
      <c r="P5552" t="s">
        <v>53</v>
      </c>
      <c r="Q5552" t="s">
        <v>53</v>
      </c>
    </row>
    <row r="5553" spans="1:17" x14ac:dyDescent="0.2">
      <c r="A5553" s="30" t="str">
        <f>IF(C5553&amp;G5553&amp;D5553&lt;&gt;'Funnel setup'!$K$3&amp;'Funnel setup'!$K$4&amp;'Funnel setup'!$K$5,".",IF(A5552=".",1,A5552+1))</f>
        <v>.</v>
      </c>
      <c r="B5553" s="431" t="str">
        <f t="shared" si="86"/>
        <v>Knee Replacement RevisionCCG of GP PracticeNHS CROYDON CCG (07V)Oxford Knee Score</v>
      </c>
      <c r="C5553" t="s">
        <v>250</v>
      </c>
      <c r="D5553" t="s">
        <v>87</v>
      </c>
      <c r="E5553" t="s">
        <v>755</v>
      </c>
      <c r="F5553" t="s">
        <v>756</v>
      </c>
      <c r="G5553" t="s">
        <v>16</v>
      </c>
      <c r="H5553" t="s">
        <v>53</v>
      </c>
      <c r="I5553" t="s">
        <v>53</v>
      </c>
      <c r="J5553" t="s">
        <v>53</v>
      </c>
      <c r="K5553" t="s">
        <v>53</v>
      </c>
      <c r="L5553" t="s">
        <v>53</v>
      </c>
      <c r="M5553" t="s">
        <v>53</v>
      </c>
      <c r="N5553" t="s">
        <v>53</v>
      </c>
      <c r="O5553" t="s">
        <v>53</v>
      </c>
      <c r="P5553" t="s">
        <v>53</v>
      </c>
      <c r="Q5553" t="s">
        <v>53</v>
      </c>
    </row>
    <row r="5554" spans="1:17" x14ac:dyDescent="0.2">
      <c r="A5554" s="30" t="str">
        <f>IF(C5554&amp;G5554&amp;D5554&lt;&gt;'Funnel setup'!$K$3&amp;'Funnel setup'!$K$4&amp;'Funnel setup'!$K$5,".",IF(A5553=".",1,A5553+1))</f>
        <v>.</v>
      </c>
      <c r="B5554" s="431" t="str">
        <f t="shared" si="86"/>
        <v>Knee Replacement RevisionCCG of GP PracticeNHS CUMBRIA CCG (01H)Oxford Knee Score</v>
      </c>
      <c r="C5554" t="s">
        <v>250</v>
      </c>
      <c r="D5554" t="s">
        <v>87</v>
      </c>
      <c r="E5554" t="s">
        <v>758</v>
      </c>
      <c r="F5554" t="s">
        <v>759</v>
      </c>
      <c r="G5554" t="s">
        <v>16</v>
      </c>
      <c r="H5554">
        <v>12</v>
      </c>
      <c r="I5554">
        <v>13.667</v>
      </c>
      <c r="J5554">
        <v>31.417000000000002</v>
      </c>
      <c r="K5554">
        <v>17.75</v>
      </c>
      <c r="L5554">
        <v>12</v>
      </c>
      <c r="M5554">
        <v>0</v>
      </c>
      <c r="N5554">
        <v>0</v>
      </c>
      <c r="O5554" t="s">
        <v>53</v>
      </c>
      <c r="P5554" t="s">
        <v>53</v>
      </c>
      <c r="Q5554" t="s">
        <v>53</v>
      </c>
    </row>
    <row r="5555" spans="1:17" x14ac:dyDescent="0.2">
      <c r="A5555" s="30" t="str">
        <f>IF(C5555&amp;G5555&amp;D5555&lt;&gt;'Funnel setup'!$K$3&amp;'Funnel setup'!$K$4&amp;'Funnel setup'!$K$5,".",IF(A5554=".",1,A5554+1))</f>
        <v>.</v>
      </c>
      <c r="B5555" s="431" t="str">
        <f t="shared" si="86"/>
        <v>Knee Replacement RevisionCCG of GP PracticeNHS DARLINGTON CCG (00C)Oxford Knee Score</v>
      </c>
      <c r="C5555" t="s">
        <v>250</v>
      </c>
      <c r="D5555" t="s">
        <v>87</v>
      </c>
      <c r="E5555" t="s">
        <v>761</v>
      </c>
      <c r="F5555" t="s">
        <v>762</v>
      </c>
      <c r="G5555" t="s">
        <v>16</v>
      </c>
      <c r="H5555" t="s">
        <v>53</v>
      </c>
      <c r="I5555" t="s">
        <v>53</v>
      </c>
      <c r="J5555" t="s">
        <v>53</v>
      </c>
      <c r="K5555" t="s">
        <v>53</v>
      </c>
      <c r="L5555" t="s">
        <v>53</v>
      </c>
      <c r="M5555" t="s">
        <v>53</v>
      </c>
      <c r="N5555" t="s">
        <v>53</v>
      </c>
      <c r="O5555" t="s">
        <v>53</v>
      </c>
      <c r="P5555" t="s">
        <v>53</v>
      </c>
      <c r="Q5555" t="s">
        <v>53</v>
      </c>
    </row>
    <row r="5556" spans="1:17" x14ac:dyDescent="0.2">
      <c r="A5556" s="30" t="str">
        <f>IF(C5556&amp;G5556&amp;D5556&lt;&gt;'Funnel setup'!$K$3&amp;'Funnel setup'!$K$4&amp;'Funnel setup'!$K$5,".",IF(A5555=".",1,A5555+1))</f>
        <v>.</v>
      </c>
      <c r="B5556" s="431" t="str">
        <f t="shared" si="86"/>
        <v>Knee Replacement RevisionCCG of GP PracticeNHS DARTFORD, GRAVESHAM AND SWANLEY CCG (09J)Oxford Knee Score</v>
      </c>
      <c r="C5556" t="s">
        <v>250</v>
      </c>
      <c r="D5556" t="s">
        <v>87</v>
      </c>
      <c r="E5556" t="s">
        <v>764</v>
      </c>
      <c r="F5556" t="s">
        <v>765</v>
      </c>
      <c r="G5556" t="s">
        <v>16</v>
      </c>
      <c r="H5556" t="s">
        <v>53</v>
      </c>
      <c r="I5556" t="s">
        <v>53</v>
      </c>
      <c r="J5556" t="s">
        <v>53</v>
      </c>
      <c r="K5556" t="s">
        <v>53</v>
      </c>
      <c r="L5556" t="s">
        <v>53</v>
      </c>
      <c r="M5556" t="s">
        <v>53</v>
      </c>
      <c r="N5556" t="s">
        <v>53</v>
      </c>
      <c r="O5556" t="s">
        <v>53</v>
      </c>
      <c r="P5556" t="s">
        <v>53</v>
      </c>
      <c r="Q5556" t="s">
        <v>53</v>
      </c>
    </row>
    <row r="5557" spans="1:17" x14ac:dyDescent="0.2">
      <c r="A5557" s="30" t="str">
        <f>IF(C5557&amp;G5557&amp;D5557&lt;&gt;'Funnel setup'!$K$3&amp;'Funnel setup'!$K$4&amp;'Funnel setup'!$K$5,".",IF(A5556=".",1,A5556+1))</f>
        <v>.</v>
      </c>
      <c r="B5557" s="431" t="str">
        <f t="shared" si="86"/>
        <v>Knee Replacement RevisionCCG of GP PracticeNHS DONCASTER CCG (02X)Oxford Knee Score</v>
      </c>
      <c r="C5557" t="s">
        <v>250</v>
      </c>
      <c r="D5557" t="s">
        <v>87</v>
      </c>
      <c r="E5557" t="s">
        <v>767</v>
      </c>
      <c r="F5557" t="s">
        <v>768</v>
      </c>
      <c r="G5557" t="s">
        <v>16</v>
      </c>
      <c r="H5557">
        <v>20</v>
      </c>
      <c r="I5557">
        <v>13.15</v>
      </c>
      <c r="J5557">
        <v>22.65</v>
      </c>
      <c r="K5557">
        <v>9.5</v>
      </c>
      <c r="L5557">
        <v>15</v>
      </c>
      <c r="M5557">
        <v>1</v>
      </c>
      <c r="N5557">
        <v>4</v>
      </c>
      <c r="O5557" t="s">
        <v>53</v>
      </c>
      <c r="P5557" t="s">
        <v>53</v>
      </c>
      <c r="Q5557" t="s">
        <v>53</v>
      </c>
    </row>
    <row r="5558" spans="1:17" x14ac:dyDescent="0.2">
      <c r="A5558" s="30" t="str">
        <f>IF(C5558&amp;G5558&amp;D5558&lt;&gt;'Funnel setup'!$K$3&amp;'Funnel setup'!$K$4&amp;'Funnel setup'!$K$5,".",IF(A5557=".",1,A5557+1))</f>
        <v>.</v>
      </c>
      <c r="B5558" s="431" t="str">
        <f t="shared" si="86"/>
        <v>Knee Replacement RevisionCCG of GP PracticeNHS DORSET CCG (11J)Oxford Knee Score</v>
      </c>
      <c r="C5558" t="s">
        <v>250</v>
      </c>
      <c r="D5558" t="s">
        <v>87</v>
      </c>
      <c r="E5558" t="s">
        <v>854</v>
      </c>
      <c r="F5558" t="s">
        <v>855</v>
      </c>
      <c r="G5558" t="s">
        <v>16</v>
      </c>
      <c r="H5558">
        <v>14</v>
      </c>
      <c r="I5558">
        <v>15.286</v>
      </c>
      <c r="J5558">
        <v>27.143000000000001</v>
      </c>
      <c r="K5558">
        <v>11.856999999999999</v>
      </c>
      <c r="L5558">
        <v>11</v>
      </c>
      <c r="M5558">
        <v>0</v>
      </c>
      <c r="N5558">
        <v>3</v>
      </c>
      <c r="O5558" t="s">
        <v>53</v>
      </c>
      <c r="P5558" t="s">
        <v>53</v>
      </c>
      <c r="Q5558" t="s">
        <v>53</v>
      </c>
    </row>
    <row r="5559" spans="1:17" x14ac:dyDescent="0.2">
      <c r="A5559" s="30" t="str">
        <f>IF(C5559&amp;G5559&amp;D5559&lt;&gt;'Funnel setup'!$K$3&amp;'Funnel setup'!$K$4&amp;'Funnel setup'!$K$5,".",IF(A5558=".",1,A5558+1))</f>
        <v>.</v>
      </c>
      <c r="B5559" s="431" t="str">
        <f t="shared" si="86"/>
        <v>Knee Replacement RevisionCCG of GP PracticeNHS DUDLEY CCG (05C)Oxford Knee Score</v>
      </c>
      <c r="C5559" t="s">
        <v>250</v>
      </c>
      <c r="D5559" t="s">
        <v>87</v>
      </c>
      <c r="E5559" t="s">
        <v>857</v>
      </c>
      <c r="F5559" t="s">
        <v>858</v>
      </c>
      <c r="G5559" t="s">
        <v>16</v>
      </c>
      <c r="H5559">
        <v>9</v>
      </c>
      <c r="I5559">
        <v>13.888999999999999</v>
      </c>
      <c r="J5559">
        <v>27.222000000000001</v>
      </c>
      <c r="K5559">
        <v>13.333</v>
      </c>
      <c r="L5559">
        <v>9</v>
      </c>
      <c r="M5559">
        <v>0</v>
      </c>
      <c r="N5559">
        <v>0</v>
      </c>
      <c r="O5559" t="s">
        <v>53</v>
      </c>
      <c r="P5559" t="s">
        <v>53</v>
      </c>
      <c r="Q5559" t="s">
        <v>53</v>
      </c>
    </row>
    <row r="5560" spans="1:17" x14ac:dyDescent="0.2">
      <c r="A5560" s="30" t="str">
        <f>IF(C5560&amp;G5560&amp;D5560&lt;&gt;'Funnel setup'!$K$3&amp;'Funnel setup'!$K$4&amp;'Funnel setup'!$K$5,".",IF(A5559=".",1,A5559+1))</f>
        <v>.</v>
      </c>
      <c r="B5560" s="431" t="str">
        <f t="shared" si="86"/>
        <v>Knee Replacement RevisionCCG of GP PracticeNHS DURHAM DALES, EASINGTON AND SEDGEFIELD CCG (00D)Oxford Knee Score</v>
      </c>
      <c r="C5560" t="s">
        <v>250</v>
      </c>
      <c r="D5560" t="s">
        <v>87</v>
      </c>
      <c r="E5560" t="s">
        <v>860</v>
      </c>
      <c r="F5560" t="s">
        <v>861</v>
      </c>
      <c r="G5560" t="s">
        <v>16</v>
      </c>
      <c r="H5560">
        <v>11</v>
      </c>
      <c r="I5560">
        <v>13.909000000000001</v>
      </c>
      <c r="J5560">
        <v>30.545000000000002</v>
      </c>
      <c r="K5560">
        <v>16.635999999999999</v>
      </c>
      <c r="L5560">
        <v>11</v>
      </c>
      <c r="M5560">
        <v>0</v>
      </c>
      <c r="N5560">
        <v>0</v>
      </c>
      <c r="O5560" t="s">
        <v>53</v>
      </c>
      <c r="P5560" t="s">
        <v>53</v>
      </c>
      <c r="Q5560" t="s">
        <v>53</v>
      </c>
    </row>
    <row r="5561" spans="1:17" x14ac:dyDescent="0.2">
      <c r="A5561" s="30" t="str">
        <f>IF(C5561&amp;G5561&amp;D5561&lt;&gt;'Funnel setup'!$K$3&amp;'Funnel setup'!$K$4&amp;'Funnel setup'!$K$5,".",IF(A5560=".",1,A5560+1))</f>
        <v>.</v>
      </c>
      <c r="B5561" s="431" t="str">
        <f t="shared" si="86"/>
        <v>Knee Replacement RevisionCCG of GP PracticeNHS EALING CCG (07W)Oxford Knee Score</v>
      </c>
      <c r="C5561" t="s">
        <v>250</v>
      </c>
      <c r="D5561" t="s">
        <v>87</v>
      </c>
      <c r="E5561" t="s">
        <v>863</v>
      </c>
      <c r="F5561" t="s">
        <v>864</v>
      </c>
      <c r="G5561" t="s">
        <v>16</v>
      </c>
      <c r="H5561">
        <v>6</v>
      </c>
      <c r="I5561">
        <v>18.832999999999998</v>
      </c>
      <c r="J5561">
        <v>30.667000000000002</v>
      </c>
      <c r="K5561">
        <v>11.833</v>
      </c>
      <c r="L5561">
        <v>5</v>
      </c>
      <c r="M5561">
        <v>0</v>
      </c>
      <c r="N5561">
        <v>1</v>
      </c>
      <c r="O5561" t="s">
        <v>53</v>
      </c>
      <c r="P5561" t="s">
        <v>53</v>
      </c>
      <c r="Q5561" t="s">
        <v>53</v>
      </c>
    </row>
    <row r="5562" spans="1:17" x14ac:dyDescent="0.2">
      <c r="A5562" s="30" t="str">
        <f>IF(C5562&amp;G5562&amp;D5562&lt;&gt;'Funnel setup'!$K$3&amp;'Funnel setup'!$K$4&amp;'Funnel setup'!$K$5,".",IF(A5561=".",1,A5561+1))</f>
        <v>.</v>
      </c>
      <c r="B5562" s="431" t="str">
        <f t="shared" si="86"/>
        <v>Knee Replacement RevisionCCG of GP PracticeNHS EAST AND NORTH HERTFORDSHIRE CCG (06K)Oxford Knee Score</v>
      </c>
      <c r="C5562" t="s">
        <v>250</v>
      </c>
      <c r="D5562" t="s">
        <v>87</v>
      </c>
      <c r="E5562" t="s">
        <v>866</v>
      </c>
      <c r="F5562" t="s">
        <v>867</v>
      </c>
      <c r="G5562" t="s">
        <v>16</v>
      </c>
      <c r="H5562">
        <v>13</v>
      </c>
      <c r="I5562">
        <v>14.923</v>
      </c>
      <c r="J5562">
        <v>29</v>
      </c>
      <c r="K5562">
        <v>14.077</v>
      </c>
      <c r="L5562">
        <v>12</v>
      </c>
      <c r="M5562">
        <v>0</v>
      </c>
      <c r="N5562">
        <v>1</v>
      </c>
      <c r="O5562" t="s">
        <v>53</v>
      </c>
      <c r="P5562" t="s">
        <v>53</v>
      </c>
      <c r="Q5562" t="s">
        <v>53</v>
      </c>
    </row>
    <row r="5563" spans="1:17" x14ac:dyDescent="0.2">
      <c r="A5563" s="30" t="str">
        <f>IF(C5563&amp;G5563&amp;D5563&lt;&gt;'Funnel setup'!$K$3&amp;'Funnel setup'!$K$4&amp;'Funnel setup'!$K$5,".",IF(A5562=".",1,A5562+1))</f>
        <v>.</v>
      </c>
      <c r="B5563" s="431" t="str">
        <f t="shared" si="86"/>
        <v>Knee Replacement RevisionCCG of GP PracticeNHS EAST LANCASHIRE CCG (01A)Oxford Knee Score</v>
      </c>
      <c r="C5563" t="s">
        <v>250</v>
      </c>
      <c r="D5563" t="s">
        <v>87</v>
      </c>
      <c r="E5563" t="s">
        <v>869</v>
      </c>
      <c r="F5563" t="s">
        <v>870</v>
      </c>
      <c r="G5563" t="s">
        <v>16</v>
      </c>
      <c r="H5563">
        <v>9</v>
      </c>
      <c r="I5563">
        <v>17.111000000000001</v>
      </c>
      <c r="J5563">
        <v>28.222000000000001</v>
      </c>
      <c r="K5563">
        <v>11.111000000000001</v>
      </c>
      <c r="L5563">
        <v>7</v>
      </c>
      <c r="M5563">
        <v>0</v>
      </c>
      <c r="N5563">
        <v>2</v>
      </c>
      <c r="O5563" t="s">
        <v>53</v>
      </c>
      <c r="P5563" t="s">
        <v>53</v>
      </c>
      <c r="Q5563" t="s">
        <v>53</v>
      </c>
    </row>
    <row r="5564" spans="1:17" x14ac:dyDescent="0.2">
      <c r="A5564" s="30" t="str">
        <f>IF(C5564&amp;G5564&amp;D5564&lt;&gt;'Funnel setup'!$K$3&amp;'Funnel setup'!$K$4&amp;'Funnel setup'!$K$5,".",IF(A5563=".",1,A5563+1))</f>
        <v>.</v>
      </c>
      <c r="B5564" s="431" t="str">
        <f t="shared" si="86"/>
        <v>Knee Replacement RevisionCCG of GP PracticeNHS EAST LEICESTERSHIRE AND RUTLAND CCG (03W)Oxford Knee Score</v>
      </c>
      <c r="C5564" t="s">
        <v>250</v>
      </c>
      <c r="D5564" t="s">
        <v>87</v>
      </c>
      <c r="E5564" t="s">
        <v>872</v>
      </c>
      <c r="F5564" t="s">
        <v>873</v>
      </c>
      <c r="G5564" t="s">
        <v>16</v>
      </c>
      <c r="H5564">
        <v>15</v>
      </c>
      <c r="I5564">
        <v>16</v>
      </c>
      <c r="J5564">
        <v>30.933</v>
      </c>
      <c r="K5564">
        <v>14.933</v>
      </c>
      <c r="L5564">
        <v>13</v>
      </c>
      <c r="M5564">
        <v>0</v>
      </c>
      <c r="N5564">
        <v>2</v>
      </c>
      <c r="O5564" t="s">
        <v>53</v>
      </c>
      <c r="P5564" t="s">
        <v>53</v>
      </c>
      <c r="Q5564" t="s">
        <v>53</v>
      </c>
    </row>
    <row r="5565" spans="1:17" x14ac:dyDescent="0.2">
      <c r="A5565" s="30" t="str">
        <f>IF(C5565&amp;G5565&amp;D5565&lt;&gt;'Funnel setup'!$K$3&amp;'Funnel setup'!$K$4&amp;'Funnel setup'!$K$5,".",IF(A5564=".",1,A5564+1))</f>
        <v>.</v>
      </c>
      <c r="B5565" s="431" t="str">
        <f t="shared" si="86"/>
        <v>Knee Replacement RevisionCCG of GP PracticeNHS EAST RIDING OF YORKSHIRE CCG (02Y)Oxford Knee Score</v>
      </c>
      <c r="C5565" t="s">
        <v>250</v>
      </c>
      <c r="D5565" t="s">
        <v>87</v>
      </c>
      <c r="E5565" t="s">
        <v>875</v>
      </c>
      <c r="F5565" t="s">
        <v>876</v>
      </c>
      <c r="G5565" t="s">
        <v>16</v>
      </c>
      <c r="H5565">
        <v>19</v>
      </c>
      <c r="I5565">
        <v>18.105</v>
      </c>
      <c r="J5565">
        <v>26.367999999999999</v>
      </c>
      <c r="K5565">
        <v>8.2629999999999999</v>
      </c>
      <c r="L5565">
        <v>11</v>
      </c>
      <c r="M5565">
        <v>2</v>
      </c>
      <c r="N5565">
        <v>6</v>
      </c>
      <c r="O5565" t="s">
        <v>53</v>
      </c>
      <c r="P5565" t="s">
        <v>53</v>
      </c>
      <c r="Q5565" t="s">
        <v>53</v>
      </c>
    </row>
    <row r="5566" spans="1:17" x14ac:dyDescent="0.2">
      <c r="A5566" s="30" t="str">
        <f>IF(C5566&amp;G5566&amp;D5566&lt;&gt;'Funnel setup'!$K$3&amp;'Funnel setup'!$K$4&amp;'Funnel setup'!$K$5,".",IF(A5565=".",1,A5565+1))</f>
        <v>.</v>
      </c>
      <c r="B5566" s="431" t="str">
        <f t="shared" si="86"/>
        <v>Knee Replacement RevisionCCG of GP PracticeNHS EAST STAFFORDSHIRE CCG (05D)Oxford Knee Score</v>
      </c>
      <c r="C5566" t="s">
        <v>250</v>
      </c>
      <c r="D5566" t="s">
        <v>87</v>
      </c>
      <c r="E5566" t="s">
        <v>878</v>
      </c>
      <c r="F5566" t="s">
        <v>879</v>
      </c>
      <c r="G5566" t="s">
        <v>16</v>
      </c>
      <c r="H5566" t="s">
        <v>53</v>
      </c>
      <c r="I5566" t="s">
        <v>53</v>
      </c>
      <c r="J5566" t="s">
        <v>53</v>
      </c>
      <c r="K5566" t="s">
        <v>53</v>
      </c>
      <c r="L5566" t="s">
        <v>53</v>
      </c>
      <c r="M5566" t="s">
        <v>53</v>
      </c>
      <c r="N5566" t="s">
        <v>53</v>
      </c>
      <c r="O5566" t="s">
        <v>53</v>
      </c>
      <c r="P5566" t="s">
        <v>53</v>
      </c>
      <c r="Q5566" t="s">
        <v>53</v>
      </c>
    </row>
    <row r="5567" spans="1:17" x14ac:dyDescent="0.2">
      <c r="A5567" s="30" t="str">
        <f>IF(C5567&amp;G5567&amp;D5567&lt;&gt;'Funnel setup'!$K$3&amp;'Funnel setup'!$K$4&amp;'Funnel setup'!$K$5,".",IF(A5566=".",1,A5566+1))</f>
        <v>.</v>
      </c>
      <c r="B5567" s="431" t="str">
        <f t="shared" si="86"/>
        <v>Knee Replacement RevisionCCG of GP PracticeNHS EAST SURREY CCG (09L)Oxford Knee Score</v>
      </c>
      <c r="C5567" t="s">
        <v>250</v>
      </c>
      <c r="D5567" t="s">
        <v>87</v>
      </c>
      <c r="E5567" t="s">
        <v>881</v>
      </c>
      <c r="F5567" t="s">
        <v>882</v>
      </c>
      <c r="G5567" t="s">
        <v>16</v>
      </c>
      <c r="H5567" t="s">
        <v>53</v>
      </c>
      <c r="I5567" t="s">
        <v>53</v>
      </c>
      <c r="J5567" t="s">
        <v>53</v>
      </c>
      <c r="K5567" t="s">
        <v>53</v>
      </c>
      <c r="L5567" t="s">
        <v>53</v>
      </c>
      <c r="M5567" t="s">
        <v>53</v>
      </c>
      <c r="N5567" t="s">
        <v>53</v>
      </c>
      <c r="O5567" t="s">
        <v>53</v>
      </c>
      <c r="P5567" t="s">
        <v>53</v>
      </c>
      <c r="Q5567" t="s">
        <v>53</v>
      </c>
    </row>
    <row r="5568" spans="1:17" x14ac:dyDescent="0.2">
      <c r="A5568" s="30" t="str">
        <f>IF(C5568&amp;G5568&amp;D5568&lt;&gt;'Funnel setup'!$K$3&amp;'Funnel setup'!$K$4&amp;'Funnel setup'!$K$5,".",IF(A5567=".",1,A5567+1))</f>
        <v>.</v>
      </c>
      <c r="B5568" s="431" t="str">
        <f t="shared" si="86"/>
        <v>Knee Replacement RevisionCCG of GP PracticeNHS EASTBOURNE, HAILSHAM AND SEAFORD CCG (09F)Oxford Knee Score</v>
      </c>
      <c r="C5568" t="s">
        <v>250</v>
      </c>
      <c r="D5568" t="s">
        <v>87</v>
      </c>
      <c r="E5568" t="s">
        <v>884</v>
      </c>
      <c r="F5568" t="s">
        <v>885</v>
      </c>
      <c r="G5568" t="s">
        <v>16</v>
      </c>
      <c r="H5568">
        <v>18</v>
      </c>
      <c r="I5568">
        <v>20.667000000000002</v>
      </c>
      <c r="J5568">
        <v>34.5</v>
      </c>
      <c r="K5568">
        <v>13.833</v>
      </c>
      <c r="L5568">
        <v>17</v>
      </c>
      <c r="M5568">
        <v>0</v>
      </c>
      <c r="N5568">
        <v>1</v>
      </c>
      <c r="O5568" t="s">
        <v>53</v>
      </c>
      <c r="P5568" t="s">
        <v>53</v>
      </c>
      <c r="Q5568" t="s">
        <v>53</v>
      </c>
    </row>
    <row r="5569" spans="1:17" x14ac:dyDescent="0.2">
      <c r="A5569" s="30" t="str">
        <f>IF(C5569&amp;G5569&amp;D5569&lt;&gt;'Funnel setup'!$K$3&amp;'Funnel setup'!$K$4&amp;'Funnel setup'!$K$5,".",IF(A5568=".",1,A5568+1))</f>
        <v>.</v>
      </c>
      <c r="B5569" s="431" t="str">
        <f t="shared" si="86"/>
        <v>Knee Replacement RevisionCCG of GP PracticeNHS EASTERN CHESHIRE CCG (01C)Oxford Knee Score</v>
      </c>
      <c r="C5569" t="s">
        <v>250</v>
      </c>
      <c r="D5569" t="s">
        <v>87</v>
      </c>
      <c r="E5569" t="s">
        <v>887</v>
      </c>
      <c r="F5569" t="s">
        <v>888</v>
      </c>
      <c r="G5569" t="s">
        <v>16</v>
      </c>
      <c r="H5569" t="s">
        <v>53</v>
      </c>
      <c r="I5569" t="s">
        <v>53</v>
      </c>
      <c r="J5569" t="s">
        <v>53</v>
      </c>
      <c r="K5569" t="s">
        <v>53</v>
      </c>
      <c r="L5569" t="s">
        <v>53</v>
      </c>
      <c r="M5569" t="s">
        <v>53</v>
      </c>
      <c r="N5569" t="s">
        <v>53</v>
      </c>
      <c r="O5569" t="s">
        <v>53</v>
      </c>
      <c r="P5569" t="s">
        <v>53</v>
      </c>
      <c r="Q5569" t="s">
        <v>53</v>
      </c>
    </row>
    <row r="5570" spans="1:17" x14ac:dyDescent="0.2">
      <c r="A5570" s="30" t="str">
        <f>IF(C5570&amp;G5570&amp;D5570&lt;&gt;'Funnel setup'!$K$3&amp;'Funnel setup'!$K$4&amp;'Funnel setup'!$K$5,".",IF(A5569=".",1,A5569+1))</f>
        <v>.</v>
      </c>
      <c r="B5570" s="431" t="str">
        <f t="shared" si="86"/>
        <v>Knee Replacement RevisionCCG of GP PracticeNHS ENFIELD CCG (07X)Oxford Knee Score</v>
      </c>
      <c r="C5570" t="s">
        <v>250</v>
      </c>
      <c r="D5570" t="s">
        <v>87</v>
      </c>
      <c r="E5570" t="s">
        <v>890</v>
      </c>
      <c r="F5570" t="s">
        <v>891</v>
      </c>
      <c r="G5570" t="s">
        <v>16</v>
      </c>
      <c r="H5570" t="s">
        <v>53</v>
      </c>
      <c r="I5570" t="s">
        <v>53</v>
      </c>
      <c r="J5570" t="s">
        <v>53</v>
      </c>
      <c r="K5570" t="s">
        <v>53</v>
      </c>
      <c r="L5570" t="s">
        <v>53</v>
      </c>
      <c r="M5570" t="s">
        <v>53</v>
      </c>
      <c r="N5570" t="s">
        <v>53</v>
      </c>
      <c r="O5570" t="s">
        <v>53</v>
      </c>
      <c r="P5570" t="s">
        <v>53</v>
      </c>
      <c r="Q5570" t="s">
        <v>53</v>
      </c>
    </row>
    <row r="5571" spans="1:17" x14ac:dyDescent="0.2">
      <c r="A5571" s="30" t="str">
        <f>IF(C5571&amp;G5571&amp;D5571&lt;&gt;'Funnel setup'!$K$3&amp;'Funnel setup'!$K$4&amp;'Funnel setup'!$K$5,".",IF(A5570=".",1,A5570+1))</f>
        <v>.</v>
      </c>
      <c r="B5571" s="431" t="str">
        <f t="shared" ref="B5571:B5634" si="87">C5571&amp;D5571&amp;F5571&amp;G5571</f>
        <v>Knee Replacement RevisionCCG of GP PracticeNHS EREWASH CCG (03X)Oxford Knee Score</v>
      </c>
      <c r="C5571" t="s">
        <v>250</v>
      </c>
      <c r="D5571" t="s">
        <v>87</v>
      </c>
      <c r="E5571" t="s">
        <v>893</v>
      </c>
      <c r="F5571" t="s">
        <v>894</v>
      </c>
      <c r="G5571" t="s">
        <v>16</v>
      </c>
      <c r="H5571" t="s">
        <v>53</v>
      </c>
      <c r="I5571" t="s">
        <v>53</v>
      </c>
      <c r="J5571" t="s">
        <v>53</v>
      </c>
      <c r="K5571" t="s">
        <v>53</v>
      </c>
      <c r="L5571" t="s">
        <v>53</v>
      </c>
      <c r="M5571" t="s">
        <v>53</v>
      </c>
      <c r="N5571" t="s">
        <v>53</v>
      </c>
      <c r="O5571" t="s">
        <v>53</v>
      </c>
      <c r="P5571" t="s">
        <v>53</v>
      </c>
      <c r="Q5571" t="s">
        <v>53</v>
      </c>
    </row>
    <row r="5572" spans="1:17" x14ac:dyDescent="0.2">
      <c r="A5572" s="30" t="str">
        <f>IF(C5572&amp;G5572&amp;D5572&lt;&gt;'Funnel setup'!$K$3&amp;'Funnel setup'!$K$4&amp;'Funnel setup'!$K$5,".",IF(A5571=".",1,A5571+1))</f>
        <v>.</v>
      </c>
      <c r="B5572" s="431" t="str">
        <f t="shared" si="87"/>
        <v>Knee Replacement RevisionCCG of GP PracticeNHS FAREHAM AND GOSPORT CCG (10K)Oxford Knee Score</v>
      </c>
      <c r="C5572" t="s">
        <v>250</v>
      </c>
      <c r="D5572" t="s">
        <v>87</v>
      </c>
      <c r="E5572" t="s">
        <v>896</v>
      </c>
      <c r="F5572" t="s">
        <v>897</v>
      </c>
      <c r="G5572" t="s">
        <v>16</v>
      </c>
      <c r="H5572" t="s">
        <v>53</v>
      </c>
      <c r="I5572" t="s">
        <v>53</v>
      </c>
      <c r="J5572" t="s">
        <v>53</v>
      </c>
      <c r="K5572" t="s">
        <v>53</v>
      </c>
      <c r="L5572" t="s">
        <v>53</v>
      </c>
      <c r="M5572" t="s">
        <v>53</v>
      </c>
      <c r="N5572" t="s">
        <v>53</v>
      </c>
      <c r="O5572" t="s">
        <v>53</v>
      </c>
      <c r="P5572" t="s">
        <v>53</v>
      </c>
      <c r="Q5572" t="s">
        <v>53</v>
      </c>
    </row>
    <row r="5573" spans="1:17" x14ac:dyDescent="0.2">
      <c r="A5573" s="30" t="str">
        <f>IF(C5573&amp;G5573&amp;D5573&lt;&gt;'Funnel setup'!$K$3&amp;'Funnel setup'!$K$4&amp;'Funnel setup'!$K$5,".",IF(A5572=".",1,A5572+1))</f>
        <v>.</v>
      </c>
      <c r="B5573" s="431" t="str">
        <f t="shared" si="87"/>
        <v>Knee Replacement RevisionCCG of GP PracticeNHS FYLDE &amp; WYRE CCG (02M)Oxford Knee Score</v>
      </c>
      <c r="C5573" t="s">
        <v>250</v>
      </c>
      <c r="D5573" t="s">
        <v>87</v>
      </c>
      <c r="E5573" t="s">
        <v>899</v>
      </c>
      <c r="F5573" t="s">
        <v>900</v>
      </c>
      <c r="G5573" t="s">
        <v>16</v>
      </c>
      <c r="H5573" t="s">
        <v>53</v>
      </c>
      <c r="I5573" t="s">
        <v>53</v>
      </c>
      <c r="J5573" t="s">
        <v>53</v>
      </c>
      <c r="K5573" t="s">
        <v>53</v>
      </c>
      <c r="L5573" t="s">
        <v>53</v>
      </c>
      <c r="M5573" t="s">
        <v>53</v>
      </c>
      <c r="N5573" t="s">
        <v>53</v>
      </c>
      <c r="O5573" t="s">
        <v>53</v>
      </c>
      <c r="P5573" t="s">
        <v>53</v>
      </c>
      <c r="Q5573" t="s">
        <v>53</v>
      </c>
    </row>
    <row r="5574" spans="1:17" x14ac:dyDescent="0.2">
      <c r="A5574" s="30" t="str">
        <f>IF(C5574&amp;G5574&amp;D5574&lt;&gt;'Funnel setup'!$K$3&amp;'Funnel setup'!$K$4&amp;'Funnel setup'!$K$5,".",IF(A5573=".",1,A5573+1))</f>
        <v>.</v>
      </c>
      <c r="B5574" s="431" t="str">
        <f t="shared" si="87"/>
        <v>Knee Replacement RevisionCCG of GP PracticeNHS GLOUCESTERSHIRE CCG (11M)Oxford Knee Score</v>
      </c>
      <c r="C5574" t="s">
        <v>250</v>
      </c>
      <c r="D5574" t="s">
        <v>87</v>
      </c>
      <c r="E5574" t="s">
        <v>902</v>
      </c>
      <c r="F5574" t="s">
        <v>903</v>
      </c>
      <c r="G5574" t="s">
        <v>16</v>
      </c>
      <c r="H5574">
        <v>35</v>
      </c>
      <c r="I5574">
        <v>21</v>
      </c>
      <c r="J5574">
        <v>30.114000000000001</v>
      </c>
      <c r="K5574">
        <v>9.1140000000000008</v>
      </c>
      <c r="L5574">
        <v>25</v>
      </c>
      <c r="M5574">
        <v>0</v>
      </c>
      <c r="N5574">
        <v>10</v>
      </c>
      <c r="O5574">
        <v>25.427</v>
      </c>
      <c r="P5574">
        <v>8.9207126429999999</v>
      </c>
      <c r="Q5574">
        <v>11.744</v>
      </c>
    </row>
    <row r="5575" spans="1:17" x14ac:dyDescent="0.2">
      <c r="A5575" s="30" t="str">
        <f>IF(C5575&amp;G5575&amp;D5575&lt;&gt;'Funnel setup'!$K$3&amp;'Funnel setup'!$K$4&amp;'Funnel setup'!$K$5,".",IF(A5574=".",1,A5574+1))</f>
        <v>.</v>
      </c>
      <c r="B5575" s="431" t="str">
        <f t="shared" si="87"/>
        <v>Knee Replacement RevisionCCG of GP PracticeNHS GREAT YARMOUTH AND WAVENEY CCG (06M)Oxford Knee Score</v>
      </c>
      <c r="C5575" t="s">
        <v>250</v>
      </c>
      <c r="D5575" t="s">
        <v>87</v>
      </c>
      <c r="E5575" t="s">
        <v>905</v>
      </c>
      <c r="F5575" t="s">
        <v>906</v>
      </c>
      <c r="G5575" t="s">
        <v>16</v>
      </c>
      <c r="H5575">
        <v>7</v>
      </c>
      <c r="I5575">
        <v>18.428999999999998</v>
      </c>
      <c r="J5575">
        <v>33.429000000000002</v>
      </c>
      <c r="K5575">
        <v>15</v>
      </c>
      <c r="L5575">
        <v>7</v>
      </c>
      <c r="M5575">
        <v>0</v>
      </c>
      <c r="N5575">
        <v>0</v>
      </c>
      <c r="O5575" t="s">
        <v>53</v>
      </c>
      <c r="P5575" t="s">
        <v>53</v>
      </c>
      <c r="Q5575" t="s">
        <v>53</v>
      </c>
    </row>
    <row r="5576" spans="1:17" x14ac:dyDescent="0.2">
      <c r="A5576" s="30" t="str">
        <f>IF(C5576&amp;G5576&amp;D5576&lt;&gt;'Funnel setup'!$K$3&amp;'Funnel setup'!$K$4&amp;'Funnel setup'!$K$5,".",IF(A5575=".",1,A5575+1))</f>
        <v>.</v>
      </c>
      <c r="B5576" s="431" t="str">
        <f t="shared" si="87"/>
        <v>Knee Replacement RevisionCCG of GP PracticeNHS GREATER HUDDERSFIELD CCG (03A)Oxford Knee Score</v>
      </c>
      <c r="C5576" t="s">
        <v>250</v>
      </c>
      <c r="D5576" t="s">
        <v>87</v>
      </c>
      <c r="E5576" t="s">
        <v>908</v>
      </c>
      <c r="F5576" t="s">
        <v>909</v>
      </c>
      <c r="G5576" t="s">
        <v>16</v>
      </c>
      <c r="H5576">
        <v>8</v>
      </c>
      <c r="I5576">
        <v>22.125</v>
      </c>
      <c r="J5576">
        <v>36.625</v>
      </c>
      <c r="K5576">
        <v>14.5</v>
      </c>
      <c r="L5576">
        <v>7</v>
      </c>
      <c r="M5576">
        <v>0</v>
      </c>
      <c r="N5576">
        <v>1</v>
      </c>
      <c r="O5576" t="s">
        <v>53</v>
      </c>
      <c r="P5576" t="s">
        <v>53</v>
      </c>
      <c r="Q5576" t="s">
        <v>53</v>
      </c>
    </row>
    <row r="5577" spans="1:17" x14ac:dyDescent="0.2">
      <c r="A5577" s="30" t="str">
        <f>IF(C5577&amp;G5577&amp;D5577&lt;&gt;'Funnel setup'!$K$3&amp;'Funnel setup'!$K$4&amp;'Funnel setup'!$K$5,".",IF(A5576=".",1,A5576+1))</f>
        <v>.</v>
      </c>
      <c r="B5577" s="431" t="str">
        <f t="shared" si="87"/>
        <v>Knee Replacement RevisionCCG of GP PracticeNHS GREATER PRESTON CCG (01E)Oxford Knee Score</v>
      </c>
      <c r="C5577" t="s">
        <v>250</v>
      </c>
      <c r="D5577" t="s">
        <v>87</v>
      </c>
      <c r="E5577" t="s">
        <v>486</v>
      </c>
      <c r="F5577" t="s">
        <v>487</v>
      </c>
      <c r="G5577" t="s">
        <v>16</v>
      </c>
      <c r="H5577">
        <v>6</v>
      </c>
      <c r="I5577">
        <v>14.5</v>
      </c>
      <c r="J5577">
        <v>29.832999999999998</v>
      </c>
      <c r="K5577">
        <v>15.333</v>
      </c>
      <c r="L5577">
        <v>6</v>
      </c>
      <c r="M5577">
        <v>0</v>
      </c>
      <c r="N5577">
        <v>0</v>
      </c>
      <c r="O5577" t="s">
        <v>53</v>
      </c>
      <c r="P5577" t="s">
        <v>53</v>
      </c>
      <c r="Q5577" t="s">
        <v>53</v>
      </c>
    </row>
    <row r="5578" spans="1:17" x14ac:dyDescent="0.2">
      <c r="A5578" s="30" t="str">
        <f>IF(C5578&amp;G5578&amp;D5578&lt;&gt;'Funnel setup'!$K$3&amp;'Funnel setup'!$K$4&amp;'Funnel setup'!$K$5,".",IF(A5577=".",1,A5577+1))</f>
        <v>.</v>
      </c>
      <c r="B5578" s="431" t="str">
        <f t="shared" si="87"/>
        <v>Knee Replacement RevisionCCG of GP PracticeNHS GREENWICH CCG (08A)Oxford Knee Score</v>
      </c>
      <c r="C5578" t="s">
        <v>250</v>
      </c>
      <c r="D5578" t="s">
        <v>87</v>
      </c>
      <c r="E5578" t="s">
        <v>489</v>
      </c>
      <c r="F5578" t="s">
        <v>490</v>
      </c>
      <c r="G5578" t="s">
        <v>16</v>
      </c>
      <c r="H5578" t="s">
        <v>53</v>
      </c>
      <c r="I5578" t="s">
        <v>53</v>
      </c>
      <c r="J5578" t="s">
        <v>53</v>
      </c>
      <c r="K5578" t="s">
        <v>53</v>
      </c>
      <c r="L5578" t="s">
        <v>53</v>
      </c>
      <c r="M5578" t="s">
        <v>53</v>
      </c>
      <c r="N5578" t="s">
        <v>53</v>
      </c>
      <c r="O5578" t="s">
        <v>53</v>
      </c>
      <c r="P5578" t="s">
        <v>53</v>
      </c>
      <c r="Q5578" t="s">
        <v>53</v>
      </c>
    </row>
    <row r="5579" spans="1:17" x14ac:dyDescent="0.2">
      <c r="A5579" s="30" t="str">
        <f>IF(C5579&amp;G5579&amp;D5579&lt;&gt;'Funnel setup'!$K$3&amp;'Funnel setup'!$K$4&amp;'Funnel setup'!$K$5,".",IF(A5578=".",1,A5578+1))</f>
        <v>.</v>
      </c>
      <c r="B5579" s="431" t="str">
        <f t="shared" si="87"/>
        <v>Knee Replacement RevisionCCG of GP PracticeNHS GUILDFORD AND WAVERLEY CCG (09N)Oxford Knee Score</v>
      </c>
      <c r="C5579" t="s">
        <v>250</v>
      </c>
      <c r="D5579" t="s">
        <v>87</v>
      </c>
      <c r="E5579" t="s">
        <v>911</v>
      </c>
      <c r="F5579" t="s">
        <v>912</v>
      </c>
      <c r="G5579" t="s">
        <v>16</v>
      </c>
      <c r="H5579" t="s">
        <v>53</v>
      </c>
      <c r="I5579" t="s">
        <v>53</v>
      </c>
      <c r="J5579" t="s">
        <v>53</v>
      </c>
      <c r="K5579" t="s">
        <v>53</v>
      </c>
      <c r="L5579" t="s">
        <v>53</v>
      </c>
      <c r="M5579" t="s">
        <v>53</v>
      </c>
      <c r="N5579" t="s">
        <v>53</v>
      </c>
      <c r="O5579" t="s">
        <v>53</v>
      </c>
      <c r="P5579" t="s">
        <v>53</v>
      </c>
      <c r="Q5579" t="s">
        <v>53</v>
      </c>
    </row>
    <row r="5580" spans="1:17" x14ac:dyDescent="0.2">
      <c r="A5580" s="30" t="str">
        <f>IF(C5580&amp;G5580&amp;D5580&lt;&gt;'Funnel setup'!$K$3&amp;'Funnel setup'!$K$4&amp;'Funnel setup'!$K$5,".",IF(A5579=".",1,A5579+1))</f>
        <v>.</v>
      </c>
      <c r="B5580" s="431" t="str">
        <f t="shared" si="87"/>
        <v>Knee Replacement RevisionCCG of GP PracticeNHS HALTON CCG (01F)Oxford Knee Score</v>
      </c>
      <c r="C5580" t="s">
        <v>250</v>
      </c>
      <c r="D5580" t="s">
        <v>87</v>
      </c>
      <c r="E5580" t="s">
        <v>914</v>
      </c>
      <c r="F5580" t="s">
        <v>915</v>
      </c>
      <c r="G5580" t="s">
        <v>16</v>
      </c>
      <c r="H5580">
        <v>9</v>
      </c>
      <c r="I5580">
        <v>15.222</v>
      </c>
      <c r="J5580">
        <v>30.443999999999999</v>
      </c>
      <c r="K5580">
        <v>15.222</v>
      </c>
      <c r="L5580">
        <v>8</v>
      </c>
      <c r="M5580">
        <v>0</v>
      </c>
      <c r="N5580">
        <v>1</v>
      </c>
      <c r="O5580" t="s">
        <v>53</v>
      </c>
      <c r="P5580" t="s">
        <v>53</v>
      </c>
      <c r="Q5580" t="s">
        <v>53</v>
      </c>
    </row>
    <row r="5581" spans="1:17" x14ac:dyDescent="0.2">
      <c r="A5581" s="30" t="str">
        <f>IF(C5581&amp;G5581&amp;D5581&lt;&gt;'Funnel setup'!$K$3&amp;'Funnel setup'!$K$4&amp;'Funnel setup'!$K$5,".",IF(A5580=".",1,A5580+1))</f>
        <v>.</v>
      </c>
      <c r="B5581" s="431" t="str">
        <f t="shared" si="87"/>
        <v>Knee Replacement RevisionCCG of GP PracticeNHS HAMBLETON, RICHMONDSHIRE AND WHITBY CCG (03D)Oxford Knee Score</v>
      </c>
      <c r="C5581" t="s">
        <v>250</v>
      </c>
      <c r="D5581" t="s">
        <v>87</v>
      </c>
      <c r="E5581" t="s">
        <v>917</v>
      </c>
      <c r="F5581" t="s">
        <v>918</v>
      </c>
      <c r="G5581" t="s">
        <v>16</v>
      </c>
      <c r="H5581">
        <v>10</v>
      </c>
      <c r="I5581">
        <v>20.3</v>
      </c>
      <c r="J5581">
        <v>26.3</v>
      </c>
      <c r="K5581">
        <v>6</v>
      </c>
      <c r="L5581">
        <v>8</v>
      </c>
      <c r="M5581">
        <v>0</v>
      </c>
      <c r="N5581">
        <v>2</v>
      </c>
      <c r="O5581" t="s">
        <v>53</v>
      </c>
      <c r="P5581" t="s">
        <v>53</v>
      </c>
      <c r="Q5581" t="s">
        <v>53</v>
      </c>
    </row>
    <row r="5582" spans="1:17" x14ac:dyDescent="0.2">
      <c r="A5582" s="30" t="str">
        <f>IF(C5582&amp;G5582&amp;D5582&lt;&gt;'Funnel setup'!$K$3&amp;'Funnel setup'!$K$4&amp;'Funnel setup'!$K$5,".",IF(A5581=".",1,A5581+1))</f>
        <v>.</v>
      </c>
      <c r="B5582" s="431" t="str">
        <f t="shared" si="87"/>
        <v>Knee Replacement RevisionCCG of GP PracticeNHS HARDWICK CCG (03Y)Oxford Knee Score</v>
      </c>
      <c r="C5582" t="s">
        <v>250</v>
      </c>
      <c r="D5582" t="s">
        <v>87</v>
      </c>
      <c r="E5582" t="s">
        <v>923</v>
      </c>
      <c r="F5582" t="s">
        <v>924</v>
      </c>
      <c r="G5582" t="s">
        <v>16</v>
      </c>
      <c r="H5582">
        <v>6</v>
      </c>
      <c r="I5582">
        <v>12.667</v>
      </c>
      <c r="J5582">
        <v>22.5</v>
      </c>
      <c r="K5582">
        <v>9.8330000000000002</v>
      </c>
      <c r="L5582">
        <v>5</v>
      </c>
      <c r="M5582">
        <v>0</v>
      </c>
      <c r="N5582">
        <v>1</v>
      </c>
      <c r="O5582" t="s">
        <v>53</v>
      </c>
      <c r="P5582" t="s">
        <v>53</v>
      </c>
      <c r="Q5582" t="s">
        <v>53</v>
      </c>
    </row>
    <row r="5583" spans="1:17" x14ac:dyDescent="0.2">
      <c r="A5583" s="30" t="str">
        <f>IF(C5583&amp;G5583&amp;D5583&lt;&gt;'Funnel setup'!$K$3&amp;'Funnel setup'!$K$4&amp;'Funnel setup'!$K$5,".",IF(A5582=".",1,A5582+1))</f>
        <v>.</v>
      </c>
      <c r="B5583" s="431" t="str">
        <f t="shared" si="87"/>
        <v>Knee Replacement RevisionCCG of GP PracticeNHS HARROGATE AND RURAL DISTRICT CCG (03E)Oxford Knee Score</v>
      </c>
      <c r="C5583" t="s">
        <v>250</v>
      </c>
      <c r="D5583" t="s">
        <v>87</v>
      </c>
      <c r="E5583" t="s">
        <v>929</v>
      </c>
      <c r="F5583" t="s">
        <v>930</v>
      </c>
      <c r="G5583" t="s">
        <v>16</v>
      </c>
      <c r="H5583">
        <v>10</v>
      </c>
      <c r="I5583">
        <v>18.5</v>
      </c>
      <c r="J5583">
        <v>38.299999999999997</v>
      </c>
      <c r="K5583">
        <v>19.8</v>
      </c>
      <c r="L5583">
        <v>10</v>
      </c>
      <c r="M5583">
        <v>0</v>
      </c>
      <c r="N5583">
        <v>0</v>
      </c>
      <c r="O5583" t="s">
        <v>53</v>
      </c>
      <c r="P5583" t="s">
        <v>53</v>
      </c>
      <c r="Q5583" t="s">
        <v>53</v>
      </c>
    </row>
    <row r="5584" spans="1:17" x14ac:dyDescent="0.2">
      <c r="A5584" s="30" t="str">
        <f>IF(C5584&amp;G5584&amp;D5584&lt;&gt;'Funnel setup'!$K$3&amp;'Funnel setup'!$K$4&amp;'Funnel setup'!$K$5,".",IF(A5583=".",1,A5583+1))</f>
        <v>.</v>
      </c>
      <c r="B5584" s="431" t="str">
        <f t="shared" si="87"/>
        <v>Knee Replacement RevisionCCG of GP PracticeNHS HARROW CCG (08E)Oxford Knee Score</v>
      </c>
      <c r="C5584" t="s">
        <v>250</v>
      </c>
      <c r="D5584" t="s">
        <v>87</v>
      </c>
      <c r="E5584" t="s">
        <v>492</v>
      </c>
      <c r="F5584" t="s">
        <v>493</v>
      </c>
      <c r="G5584" t="s">
        <v>16</v>
      </c>
      <c r="H5584" t="s">
        <v>53</v>
      </c>
      <c r="I5584" t="s">
        <v>53</v>
      </c>
      <c r="J5584" t="s">
        <v>53</v>
      </c>
      <c r="K5584" t="s">
        <v>53</v>
      </c>
      <c r="L5584" t="s">
        <v>53</v>
      </c>
      <c r="M5584" t="s">
        <v>53</v>
      </c>
      <c r="N5584" t="s">
        <v>53</v>
      </c>
      <c r="O5584" t="s">
        <v>53</v>
      </c>
      <c r="P5584" t="s">
        <v>53</v>
      </c>
      <c r="Q5584" t="s">
        <v>53</v>
      </c>
    </row>
    <row r="5585" spans="1:17" x14ac:dyDescent="0.2">
      <c r="A5585" s="30" t="str">
        <f>IF(C5585&amp;G5585&amp;D5585&lt;&gt;'Funnel setup'!$K$3&amp;'Funnel setup'!$K$4&amp;'Funnel setup'!$K$5,".",IF(A5584=".",1,A5584+1))</f>
        <v>.</v>
      </c>
      <c r="B5585" s="431" t="str">
        <f t="shared" si="87"/>
        <v>Knee Replacement RevisionCCG of GP PracticeNHS HARTLEPOOL AND STOCKTON-ON-TEES CCG (00K)Oxford Knee Score</v>
      </c>
      <c r="C5585" t="s">
        <v>250</v>
      </c>
      <c r="D5585" t="s">
        <v>87</v>
      </c>
      <c r="E5585" t="s">
        <v>495</v>
      </c>
      <c r="F5585" t="s">
        <v>496</v>
      </c>
      <c r="G5585" t="s">
        <v>16</v>
      </c>
      <c r="H5585">
        <v>15</v>
      </c>
      <c r="I5585">
        <v>12.467000000000001</v>
      </c>
      <c r="J5585">
        <v>26.733000000000001</v>
      </c>
      <c r="K5585">
        <v>14.266999999999999</v>
      </c>
      <c r="L5585">
        <v>14</v>
      </c>
      <c r="M5585">
        <v>0</v>
      </c>
      <c r="N5585">
        <v>1</v>
      </c>
      <c r="O5585" t="s">
        <v>53</v>
      </c>
      <c r="P5585" t="s">
        <v>53</v>
      </c>
      <c r="Q5585" t="s">
        <v>53</v>
      </c>
    </row>
    <row r="5586" spans="1:17" x14ac:dyDescent="0.2">
      <c r="A5586" s="30" t="str">
        <f>IF(C5586&amp;G5586&amp;D5586&lt;&gt;'Funnel setup'!$K$3&amp;'Funnel setup'!$K$4&amp;'Funnel setup'!$K$5,".",IF(A5585=".",1,A5585+1))</f>
        <v>.</v>
      </c>
      <c r="B5586" s="431" t="str">
        <f t="shared" si="87"/>
        <v>Knee Replacement RevisionCCG of GP PracticeNHS HASTINGS AND ROTHER CCG (09P)Oxford Knee Score</v>
      </c>
      <c r="C5586" t="s">
        <v>250</v>
      </c>
      <c r="D5586" t="s">
        <v>87</v>
      </c>
      <c r="E5586" t="s">
        <v>498</v>
      </c>
      <c r="F5586" t="s">
        <v>499</v>
      </c>
      <c r="G5586" t="s">
        <v>16</v>
      </c>
      <c r="H5586">
        <v>20</v>
      </c>
      <c r="I5586">
        <v>19.05</v>
      </c>
      <c r="J5586">
        <v>31.05</v>
      </c>
      <c r="K5586">
        <v>12</v>
      </c>
      <c r="L5586">
        <v>17</v>
      </c>
      <c r="M5586">
        <v>0</v>
      </c>
      <c r="N5586">
        <v>3</v>
      </c>
      <c r="O5586" t="s">
        <v>53</v>
      </c>
      <c r="P5586" t="s">
        <v>53</v>
      </c>
      <c r="Q5586" t="s">
        <v>53</v>
      </c>
    </row>
    <row r="5587" spans="1:17" x14ac:dyDescent="0.2">
      <c r="A5587" s="30" t="str">
        <f>IF(C5587&amp;G5587&amp;D5587&lt;&gt;'Funnel setup'!$K$3&amp;'Funnel setup'!$K$4&amp;'Funnel setup'!$K$5,".",IF(A5586=".",1,A5586+1))</f>
        <v>.</v>
      </c>
      <c r="B5587" s="431" t="str">
        <f t="shared" si="87"/>
        <v>Knee Replacement RevisionCCG of GP PracticeNHS HAVERING CCG (08F)Oxford Knee Score</v>
      </c>
      <c r="C5587" t="s">
        <v>250</v>
      </c>
      <c r="D5587" t="s">
        <v>87</v>
      </c>
      <c r="E5587" t="s">
        <v>501</v>
      </c>
      <c r="F5587" t="s">
        <v>502</v>
      </c>
      <c r="G5587" t="s">
        <v>16</v>
      </c>
      <c r="H5587" t="s">
        <v>53</v>
      </c>
      <c r="I5587" t="s">
        <v>53</v>
      </c>
      <c r="J5587" t="s">
        <v>53</v>
      </c>
      <c r="K5587" t="s">
        <v>53</v>
      </c>
      <c r="L5587" t="s">
        <v>53</v>
      </c>
      <c r="M5587" t="s">
        <v>53</v>
      </c>
      <c r="N5587" t="s">
        <v>53</v>
      </c>
      <c r="O5587" t="s">
        <v>53</v>
      </c>
      <c r="P5587" t="s">
        <v>53</v>
      </c>
      <c r="Q5587" t="s">
        <v>53</v>
      </c>
    </row>
    <row r="5588" spans="1:17" x14ac:dyDescent="0.2">
      <c r="A5588" s="30" t="str">
        <f>IF(C5588&amp;G5588&amp;D5588&lt;&gt;'Funnel setup'!$K$3&amp;'Funnel setup'!$K$4&amp;'Funnel setup'!$K$5,".",IF(A5587=".",1,A5587+1))</f>
        <v>.</v>
      </c>
      <c r="B5588" s="431" t="str">
        <f t="shared" si="87"/>
        <v>Knee Replacement RevisionCCG of GP PracticeNHS HEREFORDSHIRE CCG (05F)Oxford Knee Score</v>
      </c>
      <c r="C5588" t="s">
        <v>250</v>
      </c>
      <c r="D5588" t="s">
        <v>87</v>
      </c>
      <c r="E5588" t="s">
        <v>504</v>
      </c>
      <c r="F5588" t="s">
        <v>505</v>
      </c>
      <c r="G5588" t="s">
        <v>16</v>
      </c>
      <c r="H5588" t="s">
        <v>53</v>
      </c>
      <c r="I5588" t="s">
        <v>53</v>
      </c>
      <c r="J5588" t="s">
        <v>53</v>
      </c>
      <c r="K5588" t="s">
        <v>53</v>
      </c>
      <c r="L5588" t="s">
        <v>53</v>
      </c>
      <c r="M5588" t="s">
        <v>53</v>
      </c>
      <c r="N5588" t="s">
        <v>53</v>
      </c>
      <c r="O5588" t="s">
        <v>53</v>
      </c>
      <c r="P5588" t="s">
        <v>53</v>
      </c>
      <c r="Q5588" t="s">
        <v>53</v>
      </c>
    </row>
    <row r="5589" spans="1:17" x14ac:dyDescent="0.2">
      <c r="A5589" s="30" t="str">
        <f>IF(C5589&amp;G5589&amp;D5589&lt;&gt;'Funnel setup'!$K$3&amp;'Funnel setup'!$K$4&amp;'Funnel setup'!$K$5,".",IF(A5588=".",1,A5588+1))</f>
        <v>.</v>
      </c>
      <c r="B5589" s="431" t="str">
        <f t="shared" si="87"/>
        <v>Knee Replacement RevisionCCG of GP PracticeNHS HERTS VALLEYS CCG (06N)Oxford Knee Score</v>
      </c>
      <c r="C5589" t="s">
        <v>250</v>
      </c>
      <c r="D5589" t="s">
        <v>87</v>
      </c>
      <c r="E5589" t="s">
        <v>507</v>
      </c>
      <c r="F5589" t="s">
        <v>508</v>
      </c>
      <c r="G5589" t="s">
        <v>16</v>
      </c>
      <c r="H5589">
        <v>13</v>
      </c>
      <c r="I5589">
        <v>11.846</v>
      </c>
      <c r="J5589">
        <v>26</v>
      </c>
      <c r="K5589">
        <v>14.154</v>
      </c>
      <c r="L5589">
        <v>11</v>
      </c>
      <c r="M5589">
        <v>2</v>
      </c>
      <c r="N5589">
        <v>0</v>
      </c>
      <c r="O5589" t="s">
        <v>53</v>
      </c>
      <c r="P5589" t="s">
        <v>53</v>
      </c>
      <c r="Q5589" t="s">
        <v>53</v>
      </c>
    </row>
    <row r="5590" spans="1:17" x14ac:dyDescent="0.2">
      <c r="A5590" s="30" t="str">
        <f>IF(C5590&amp;G5590&amp;D5590&lt;&gt;'Funnel setup'!$K$3&amp;'Funnel setup'!$K$4&amp;'Funnel setup'!$K$5,".",IF(A5589=".",1,A5589+1))</f>
        <v>.</v>
      </c>
      <c r="B5590" s="431" t="str">
        <f t="shared" si="87"/>
        <v>Knee Replacement RevisionCCG of GP PracticeNHS HEYWOOD, MIDDLETON AND ROCHDALE CCG (01D)Oxford Knee Score</v>
      </c>
      <c r="C5590" t="s">
        <v>250</v>
      </c>
      <c r="D5590" t="s">
        <v>87</v>
      </c>
      <c r="E5590" t="s">
        <v>510</v>
      </c>
      <c r="F5590" t="s">
        <v>511</v>
      </c>
      <c r="G5590" t="s">
        <v>16</v>
      </c>
      <c r="H5590" t="s">
        <v>53</v>
      </c>
      <c r="I5590" t="s">
        <v>53</v>
      </c>
      <c r="J5590" t="s">
        <v>53</v>
      </c>
      <c r="K5590" t="s">
        <v>53</v>
      </c>
      <c r="L5590" t="s">
        <v>53</v>
      </c>
      <c r="M5590" t="s">
        <v>53</v>
      </c>
      <c r="N5590" t="s">
        <v>53</v>
      </c>
      <c r="O5590" t="s">
        <v>53</v>
      </c>
      <c r="P5590" t="s">
        <v>53</v>
      </c>
      <c r="Q5590" t="s">
        <v>53</v>
      </c>
    </row>
    <row r="5591" spans="1:17" x14ac:dyDescent="0.2">
      <c r="A5591" s="30" t="str">
        <f>IF(C5591&amp;G5591&amp;D5591&lt;&gt;'Funnel setup'!$K$3&amp;'Funnel setup'!$K$4&amp;'Funnel setup'!$K$5,".",IF(A5590=".",1,A5590+1))</f>
        <v>.</v>
      </c>
      <c r="B5591" s="431" t="str">
        <f t="shared" si="87"/>
        <v>Knee Replacement RevisionCCG of GP PracticeNHS HIGH WEALD LEWES HAVENS CCG (99K)Oxford Knee Score</v>
      </c>
      <c r="C5591" t="s">
        <v>250</v>
      </c>
      <c r="D5591" t="s">
        <v>87</v>
      </c>
      <c r="E5591" t="s">
        <v>513</v>
      </c>
      <c r="F5591" t="s">
        <v>514</v>
      </c>
      <c r="G5591" t="s">
        <v>16</v>
      </c>
      <c r="H5591">
        <v>13</v>
      </c>
      <c r="I5591">
        <v>21.692</v>
      </c>
      <c r="J5591">
        <v>32.768999999999998</v>
      </c>
      <c r="K5591">
        <v>11.077</v>
      </c>
      <c r="L5591">
        <v>12</v>
      </c>
      <c r="M5591">
        <v>0</v>
      </c>
      <c r="N5591">
        <v>1</v>
      </c>
      <c r="O5591" t="s">
        <v>53</v>
      </c>
      <c r="P5591" t="s">
        <v>53</v>
      </c>
      <c r="Q5591" t="s">
        <v>53</v>
      </c>
    </row>
    <row r="5592" spans="1:17" x14ac:dyDescent="0.2">
      <c r="A5592" s="30" t="str">
        <f>IF(C5592&amp;G5592&amp;D5592&lt;&gt;'Funnel setup'!$K$3&amp;'Funnel setup'!$K$4&amp;'Funnel setup'!$K$5,".",IF(A5591=".",1,A5591+1))</f>
        <v>.</v>
      </c>
      <c r="B5592" s="431" t="str">
        <f t="shared" si="87"/>
        <v>Knee Replacement RevisionCCG of GP PracticeNHS HILLINGDON CCG (08G)Oxford Knee Score</v>
      </c>
      <c r="C5592" t="s">
        <v>250</v>
      </c>
      <c r="D5592" t="s">
        <v>87</v>
      </c>
      <c r="E5592" t="s">
        <v>516</v>
      </c>
      <c r="F5592" t="s">
        <v>517</v>
      </c>
      <c r="G5592" t="s">
        <v>16</v>
      </c>
      <c r="H5592" t="s">
        <v>53</v>
      </c>
      <c r="I5592" t="s">
        <v>53</v>
      </c>
      <c r="J5592" t="s">
        <v>53</v>
      </c>
      <c r="K5592" t="s">
        <v>53</v>
      </c>
      <c r="L5592" t="s">
        <v>53</v>
      </c>
      <c r="M5592" t="s">
        <v>53</v>
      </c>
      <c r="N5592" t="s">
        <v>53</v>
      </c>
      <c r="O5592" t="s">
        <v>53</v>
      </c>
      <c r="P5592" t="s">
        <v>53</v>
      </c>
      <c r="Q5592" t="s">
        <v>53</v>
      </c>
    </row>
    <row r="5593" spans="1:17" x14ac:dyDescent="0.2">
      <c r="A5593" s="30" t="str">
        <f>IF(C5593&amp;G5593&amp;D5593&lt;&gt;'Funnel setup'!$K$3&amp;'Funnel setup'!$K$4&amp;'Funnel setup'!$K$5,".",IF(A5592=".",1,A5592+1))</f>
        <v>.</v>
      </c>
      <c r="B5593" s="431" t="str">
        <f t="shared" si="87"/>
        <v>Knee Replacement RevisionCCG of GP PracticeNHS HORSHAM AND MID SUSSEX CCG (09X)Oxford Knee Score</v>
      </c>
      <c r="C5593" t="s">
        <v>250</v>
      </c>
      <c r="D5593" t="s">
        <v>87</v>
      </c>
      <c r="E5593" t="s">
        <v>519</v>
      </c>
      <c r="F5593" t="s">
        <v>520</v>
      </c>
      <c r="G5593" t="s">
        <v>16</v>
      </c>
      <c r="H5593" t="s">
        <v>53</v>
      </c>
      <c r="I5593" t="s">
        <v>53</v>
      </c>
      <c r="J5593" t="s">
        <v>53</v>
      </c>
      <c r="K5593" t="s">
        <v>53</v>
      </c>
      <c r="L5593" t="s">
        <v>53</v>
      </c>
      <c r="M5593" t="s">
        <v>53</v>
      </c>
      <c r="N5593" t="s">
        <v>53</v>
      </c>
      <c r="O5593" t="s">
        <v>53</v>
      </c>
      <c r="P5593" t="s">
        <v>53</v>
      </c>
      <c r="Q5593" t="s">
        <v>53</v>
      </c>
    </row>
    <row r="5594" spans="1:17" x14ac:dyDescent="0.2">
      <c r="A5594" s="30" t="str">
        <f>IF(C5594&amp;G5594&amp;D5594&lt;&gt;'Funnel setup'!$K$3&amp;'Funnel setup'!$K$4&amp;'Funnel setup'!$K$5,".",IF(A5593=".",1,A5593+1))</f>
        <v>.</v>
      </c>
      <c r="B5594" s="431" t="str">
        <f t="shared" si="87"/>
        <v>Knee Replacement RevisionCCG of GP PracticeNHS HOUNSLOW CCG (07Y)Oxford Knee Score</v>
      </c>
      <c r="C5594" t="s">
        <v>250</v>
      </c>
      <c r="D5594" t="s">
        <v>87</v>
      </c>
      <c r="E5594" t="s">
        <v>522</v>
      </c>
      <c r="F5594" t="s">
        <v>523</v>
      </c>
      <c r="G5594" t="s">
        <v>16</v>
      </c>
      <c r="H5594" t="s">
        <v>53</v>
      </c>
      <c r="I5594" t="s">
        <v>53</v>
      </c>
      <c r="J5594" t="s">
        <v>53</v>
      </c>
      <c r="K5594" t="s">
        <v>53</v>
      </c>
      <c r="L5594" t="s">
        <v>53</v>
      </c>
      <c r="M5594" t="s">
        <v>53</v>
      </c>
      <c r="N5594" t="s">
        <v>53</v>
      </c>
      <c r="O5594" t="s">
        <v>53</v>
      </c>
      <c r="P5594" t="s">
        <v>53</v>
      </c>
      <c r="Q5594" t="s">
        <v>53</v>
      </c>
    </row>
    <row r="5595" spans="1:17" x14ac:dyDescent="0.2">
      <c r="A5595" s="30" t="str">
        <f>IF(C5595&amp;G5595&amp;D5595&lt;&gt;'Funnel setup'!$K$3&amp;'Funnel setup'!$K$4&amp;'Funnel setup'!$K$5,".",IF(A5594=".",1,A5594+1))</f>
        <v>.</v>
      </c>
      <c r="B5595" s="431" t="str">
        <f t="shared" si="87"/>
        <v>Knee Replacement RevisionCCG of GP PracticeNHS HULL CCG (03F)Oxford Knee Score</v>
      </c>
      <c r="C5595" t="s">
        <v>250</v>
      </c>
      <c r="D5595" t="s">
        <v>87</v>
      </c>
      <c r="E5595" t="s">
        <v>525</v>
      </c>
      <c r="F5595" t="s">
        <v>526</v>
      </c>
      <c r="G5595" t="s">
        <v>16</v>
      </c>
      <c r="H5595">
        <v>11</v>
      </c>
      <c r="I5595">
        <v>17.727</v>
      </c>
      <c r="J5595">
        <v>27.454999999999998</v>
      </c>
      <c r="K5595">
        <v>9.7270000000000003</v>
      </c>
      <c r="L5595">
        <v>9</v>
      </c>
      <c r="M5595">
        <v>1</v>
      </c>
      <c r="N5595">
        <v>1</v>
      </c>
      <c r="O5595" t="s">
        <v>53</v>
      </c>
      <c r="P5595" t="s">
        <v>53</v>
      </c>
      <c r="Q5595" t="s">
        <v>53</v>
      </c>
    </row>
    <row r="5596" spans="1:17" x14ac:dyDescent="0.2">
      <c r="A5596" s="30" t="str">
        <f>IF(C5596&amp;G5596&amp;D5596&lt;&gt;'Funnel setup'!$K$3&amp;'Funnel setup'!$K$4&amp;'Funnel setup'!$K$5,".",IF(A5595=".",1,A5595+1))</f>
        <v>.</v>
      </c>
      <c r="B5596" s="431" t="str">
        <f t="shared" si="87"/>
        <v>Knee Replacement RevisionCCG of GP PracticeNHS IPSWICH AND EAST SUFFOLK CCG (06L)Oxford Knee Score</v>
      </c>
      <c r="C5596" t="s">
        <v>250</v>
      </c>
      <c r="D5596" t="s">
        <v>87</v>
      </c>
      <c r="E5596" t="s">
        <v>528</v>
      </c>
      <c r="F5596" t="s">
        <v>529</v>
      </c>
      <c r="G5596" t="s">
        <v>16</v>
      </c>
      <c r="H5596" t="s">
        <v>53</v>
      </c>
      <c r="I5596" t="s">
        <v>53</v>
      </c>
      <c r="J5596" t="s">
        <v>53</v>
      </c>
      <c r="K5596" t="s">
        <v>53</v>
      </c>
      <c r="L5596" t="s">
        <v>53</v>
      </c>
      <c r="M5596" t="s">
        <v>53</v>
      </c>
      <c r="N5596" t="s">
        <v>53</v>
      </c>
      <c r="O5596" t="s">
        <v>53</v>
      </c>
      <c r="P5596" t="s">
        <v>53</v>
      </c>
      <c r="Q5596" t="s">
        <v>53</v>
      </c>
    </row>
    <row r="5597" spans="1:17" x14ac:dyDescent="0.2">
      <c r="A5597" s="30" t="str">
        <f>IF(C5597&amp;G5597&amp;D5597&lt;&gt;'Funnel setup'!$K$3&amp;'Funnel setup'!$K$4&amp;'Funnel setup'!$K$5,".",IF(A5596=".",1,A5596+1))</f>
        <v>.</v>
      </c>
      <c r="B5597" s="431" t="str">
        <f t="shared" si="87"/>
        <v>Knee Replacement RevisionCCG of GP PracticeNHS ISLE OF WIGHT CCG (10L)Oxford Knee Score</v>
      </c>
      <c r="C5597" t="s">
        <v>250</v>
      </c>
      <c r="D5597" t="s">
        <v>87</v>
      </c>
      <c r="E5597" t="s">
        <v>531</v>
      </c>
      <c r="F5597" t="s">
        <v>532</v>
      </c>
      <c r="G5597" t="s">
        <v>16</v>
      </c>
      <c r="H5597" t="s">
        <v>53</v>
      </c>
      <c r="I5597" t="s">
        <v>53</v>
      </c>
      <c r="J5597" t="s">
        <v>53</v>
      </c>
      <c r="K5597" t="s">
        <v>53</v>
      </c>
      <c r="L5597" t="s">
        <v>53</v>
      </c>
      <c r="M5597" t="s">
        <v>53</v>
      </c>
      <c r="N5597" t="s">
        <v>53</v>
      </c>
      <c r="O5597" t="s">
        <v>53</v>
      </c>
      <c r="P5597" t="s">
        <v>53</v>
      </c>
      <c r="Q5597" t="s">
        <v>53</v>
      </c>
    </row>
    <row r="5598" spans="1:17" x14ac:dyDescent="0.2">
      <c r="A5598" s="30" t="str">
        <f>IF(C5598&amp;G5598&amp;D5598&lt;&gt;'Funnel setup'!$K$3&amp;'Funnel setup'!$K$4&amp;'Funnel setup'!$K$5,".",IF(A5597=".",1,A5597+1))</f>
        <v>.</v>
      </c>
      <c r="B5598" s="431" t="str">
        <f t="shared" si="87"/>
        <v>Knee Replacement RevisionCCG of GP PracticeNHS ISLINGTON CCG (08H)Oxford Knee Score</v>
      </c>
      <c r="C5598" t="s">
        <v>250</v>
      </c>
      <c r="D5598" t="s">
        <v>87</v>
      </c>
      <c r="E5598" t="s">
        <v>534</v>
      </c>
      <c r="F5598" t="s">
        <v>535</v>
      </c>
      <c r="G5598" t="s">
        <v>16</v>
      </c>
      <c r="H5598" t="s">
        <v>53</v>
      </c>
      <c r="I5598" t="s">
        <v>53</v>
      </c>
      <c r="J5598" t="s">
        <v>53</v>
      </c>
      <c r="K5598" t="s">
        <v>53</v>
      </c>
      <c r="L5598" t="s">
        <v>53</v>
      </c>
      <c r="M5598" t="s">
        <v>53</v>
      </c>
      <c r="N5598" t="s">
        <v>53</v>
      </c>
      <c r="O5598" t="s">
        <v>53</v>
      </c>
      <c r="P5598" t="s">
        <v>53</v>
      </c>
      <c r="Q5598" t="s">
        <v>53</v>
      </c>
    </row>
    <row r="5599" spans="1:17" x14ac:dyDescent="0.2">
      <c r="A5599" s="30" t="str">
        <f>IF(C5599&amp;G5599&amp;D5599&lt;&gt;'Funnel setup'!$K$3&amp;'Funnel setup'!$K$4&amp;'Funnel setup'!$K$5,".",IF(A5598=".",1,A5598+1))</f>
        <v>.</v>
      </c>
      <c r="B5599" s="431" t="str">
        <f t="shared" si="87"/>
        <v>Knee Replacement RevisionCCG of GP PracticeNHS KERNOW CCG (11N)Oxford Knee Score</v>
      </c>
      <c r="C5599" t="s">
        <v>250</v>
      </c>
      <c r="D5599" t="s">
        <v>87</v>
      </c>
      <c r="E5599" t="s">
        <v>537</v>
      </c>
      <c r="F5599" t="s">
        <v>538</v>
      </c>
      <c r="G5599" t="s">
        <v>16</v>
      </c>
      <c r="H5599">
        <v>37</v>
      </c>
      <c r="I5599">
        <v>18.675999999999998</v>
      </c>
      <c r="J5599">
        <v>32.350999999999999</v>
      </c>
      <c r="K5599">
        <v>13.676</v>
      </c>
      <c r="L5599">
        <v>34</v>
      </c>
      <c r="M5599">
        <v>1</v>
      </c>
      <c r="N5599">
        <v>2</v>
      </c>
      <c r="O5599">
        <v>31.457999999999998</v>
      </c>
      <c r="P5599">
        <v>14.95226164</v>
      </c>
      <c r="Q5599">
        <v>8.1329999999999991</v>
      </c>
    </row>
    <row r="5600" spans="1:17" x14ac:dyDescent="0.2">
      <c r="A5600" s="30" t="str">
        <f>IF(C5600&amp;G5600&amp;D5600&lt;&gt;'Funnel setup'!$K$3&amp;'Funnel setup'!$K$4&amp;'Funnel setup'!$K$5,".",IF(A5599=".",1,A5599+1))</f>
        <v>.</v>
      </c>
      <c r="B5600" s="431" t="str">
        <f t="shared" si="87"/>
        <v>Knee Replacement RevisionCCG of GP PracticeNHS KINGSTON CCG (08J)Oxford Knee Score</v>
      </c>
      <c r="C5600" t="s">
        <v>250</v>
      </c>
      <c r="D5600" t="s">
        <v>87</v>
      </c>
      <c r="E5600" t="s">
        <v>540</v>
      </c>
      <c r="F5600" t="s">
        <v>541</v>
      </c>
      <c r="G5600" t="s">
        <v>16</v>
      </c>
      <c r="H5600" t="s">
        <v>53</v>
      </c>
      <c r="I5600" t="s">
        <v>53</v>
      </c>
      <c r="J5600" t="s">
        <v>53</v>
      </c>
      <c r="K5600" t="s">
        <v>53</v>
      </c>
      <c r="L5600" t="s">
        <v>53</v>
      </c>
      <c r="M5600" t="s">
        <v>53</v>
      </c>
      <c r="N5600" t="s">
        <v>53</v>
      </c>
      <c r="O5600" t="s">
        <v>53</v>
      </c>
      <c r="P5600" t="s">
        <v>53</v>
      </c>
      <c r="Q5600" t="s">
        <v>53</v>
      </c>
    </row>
    <row r="5601" spans="1:17" x14ac:dyDescent="0.2">
      <c r="A5601" s="30" t="str">
        <f>IF(C5601&amp;G5601&amp;D5601&lt;&gt;'Funnel setup'!$K$3&amp;'Funnel setup'!$K$4&amp;'Funnel setup'!$K$5,".",IF(A5600=".",1,A5600+1))</f>
        <v>.</v>
      </c>
      <c r="B5601" s="431" t="str">
        <f t="shared" si="87"/>
        <v>Knee Replacement RevisionCCG of GP PracticeNHS KNOWSLEY CCG (01J)Oxford Knee Score</v>
      </c>
      <c r="C5601" t="s">
        <v>250</v>
      </c>
      <c r="D5601" t="s">
        <v>87</v>
      </c>
      <c r="E5601" t="s">
        <v>543</v>
      </c>
      <c r="F5601" t="s">
        <v>544</v>
      </c>
      <c r="G5601" t="s">
        <v>16</v>
      </c>
      <c r="H5601" t="s">
        <v>53</v>
      </c>
      <c r="I5601" t="s">
        <v>53</v>
      </c>
      <c r="J5601" t="s">
        <v>53</v>
      </c>
      <c r="K5601" t="s">
        <v>53</v>
      </c>
      <c r="L5601" t="s">
        <v>53</v>
      </c>
      <c r="M5601" t="s">
        <v>53</v>
      </c>
      <c r="N5601" t="s">
        <v>53</v>
      </c>
      <c r="O5601" t="s">
        <v>53</v>
      </c>
      <c r="P5601" t="s">
        <v>53</v>
      </c>
      <c r="Q5601" t="s">
        <v>53</v>
      </c>
    </row>
    <row r="5602" spans="1:17" x14ac:dyDescent="0.2">
      <c r="A5602" s="30" t="str">
        <f>IF(C5602&amp;G5602&amp;D5602&lt;&gt;'Funnel setup'!$K$3&amp;'Funnel setup'!$K$4&amp;'Funnel setup'!$K$5,".",IF(A5601=".",1,A5601+1))</f>
        <v>.</v>
      </c>
      <c r="B5602" s="431" t="str">
        <f t="shared" si="87"/>
        <v>Knee Replacement RevisionCCG of GP PracticeNHS LAMBETH CCG (08K)Oxford Knee Score</v>
      </c>
      <c r="C5602" t="s">
        <v>250</v>
      </c>
      <c r="D5602" t="s">
        <v>87</v>
      </c>
      <c r="E5602" t="s">
        <v>546</v>
      </c>
      <c r="F5602" t="s">
        <v>547</v>
      </c>
      <c r="G5602" t="s">
        <v>16</v>
      </c>
      <c r="H5602" t="s">
        <v>53</v>
      </c>
      <c r="I5602" t="s">
        <v>53</v>
      </c>
      <c r="J5602" t="s">
        <v>53</v>
      </c>
      <c r="K5602" t="s">
        <v>53</v>
      </c>
      <c r="L5602" t="s">
        <v>53</v>
      </c>
      <c r="M5602" t="s">
        <v>53</v>
      </c>
      <c r="N5602" t="s">
        <v>53</v>
      </c>
      <c r="O5602" t="s">
        <v>53</v>
      </c>
      <c r="P5602" t="s">
        <v>53</v>
      </c>
      <c r="Q5602" t="s">
        <v>53</v>
      </c>
    </row>
    <row r="5603" spans="1:17" x14ac:dyDescent="0.2">
      <c r="A5603" s="30" t="str">
        <f>IF(C5603&amp;G5603&amp;D5603&lt;&gt;'Funnel setup'!$K$3&amp;'Funnel setup'!$K$4&amp;'Funnel setup'!$K$5,".",IF(A5602=".",1,A5602+1))</f>
        <v>.</v>
      </c>
      <c r="B5603" s="431" t="str">
        <f t="shared" si="87"/>
        <v>Knee Replacement RevisionCCG of GP PracticeNHS LANCASHIRE NORTH CCG (01K)Oxford Knee Score</v>
      </c>
      <c r="C5603" t="s">
        <v>250</v>
      </c>
      <c r="D5603" t="s">
        <v>87</v>
      </c>
      <c r="E5603" t="s">
        <v>549</v>
      </c>
      <c r="F5603" t="s">
        <v>550</v>
      </c>
      <c r="G5603" t="s">
        <v>16</v>
      </c>
      <c r="H5603" t="s">
        <v>53</v>
      </c>
      <c r="I5603" t="s">
        <v>53</v>
      </c>
      <c r="J5603" t="s">
        <v>53</v>
      </c>
      <c r="K5603" t="s">
        <v>53</v>
      </c>
      <c r="L5603" t="s">
        <v>53</v>
      </c>
      <c r="M5603" t="s">
        <v>53</v>
      </c>
      <c r="N5603" t="s">
        <v>53</v>
      </c>
      <c r="O5603" t="s">
        <v>53</v>
      </c>
      <c r="P5603" t="s">
        <v>53</v>
      </c>
      <c r="Q5603" t="s">
        <v>53</v>
      </c>
    </row>
    <row r="5604" spans="1:17" x14ac:dyDescent="0.2">
      <c r="A5604" s="30" t="str">
        <f>IF(C5604&amp;G5604&amp;D5604&lt;&gt;'Funnel setup'!$K$3&amp;'Funnel setup'!$K$4&amp;'Funnel setup'!$K$5,".",IF(A5603=".",1,A5603+1))</f>
        <v>.</v>
      </c>
      <c r="B5604" s="431" t="str">
        <f t="shared" si="87"/>
        <v>Knee Replacement RevisionCCG of GP PracticeNHS LEEDS NORTH CCG (02V)Oxford Knee Score</v>
      </c>
      <c r="C5604" t="s">
        <v>250</v>
      </c>
      <c r="D5604" t="s">
        <v>87</v>
      </c>
      <c r="E5604" t="s">
        <v>552</v>
      </c>
      <c r="F5604" t="s">
        <v>337</v>
      </c>
      <c r="G5604" t="s">
        <v>16</v>
      </c>
      <c r="H5604">
        <v>6</v>
      </c>
      <c r="I5604">
        <v>20</v>
      </c>
      <c r="J5604">
        <v>39.667000000000002</v>
      </c>
      <c r="K5604">
        <v>19.667000000000002</v>
      </c>
      <c r="L5604">
        <v>6</v>
      </c>
      <c r="M5604">
        <v>0</v>
      </c>
      <c r="N5604">
        <v>0</v>
      </c>
      <c r="O5604" t="s">
        <v>53</v>
      </c>
      <c r="P5604" t="s">
        <v>53</v>
      </c>
      <c r="Q5604" t="s">
        <v>53</v>
      </c>
    </row>
    <row r="5605" spans="1:17" x14ac:dyDescent="0.2">
      <c r="A5605" s="30" t="str">
        <f>IF(C5605&amp;G5605&amp;D5605&lt;&gt;'Funnel setup'!$K$3&amp;'Funnel setup'!$K$4&amp;'Funnel setup'!$K$5,".",IF(A5604=".",1,A5604+1))</f>
        <v>.</v>
      </c>
      <c r="B5605" s="431" t="str">
        <f t="shared" si="87"/>
        <v>Knee Replacement RevisionCCG of GP PracticeNHS LEEDS SOUTH AND EAST CCG (03G)Oxford Knee Score</v>
      </c>
      <c r="C5605" t="s">
        <v>250</v>
      </c>
      <c r="D5605" t="s">
        <v>87</v>
      </c>
      <c r="E5605" t="s">
        <v>396</v>
      </c>
      <c r="F5605" t="s">
        <v>397</v>
      </c>
      <c r="G5605" t="s">
        <v>16</v>
      </c>
      <c r="H5605" t="s">
        <v>53</v>
      </c>
      <c r="I5605" t="s">
        <v>53</v>
      </c>
      <c r="J5605" t="s">
        <v>53</v>
      </c>
      <c r="K5605" t="s">
        <v>53</v>
      </c>
      <c r="L5605" t="s">
        <v>53</v>
      </c>
      <c r="M5605" t="s">
        <v>53</v>
      </c>
      <c r="N5605" t="s">
        <v>53</v>
      </c>
      <c r="O5605" t="s">
        <v>53</v>
      </c>
      <c r="P5605" t="s">
        <v>53</v>
      </c>
      <c r="Q5605" t="s">
        <v>53</v>
      </c>
    </row>
    <row r="5606" spans="1:17" x14ac:dyDescent="0.2">
      <c r="A5606" s="30" t="str">
        <f>IF(C5606&amp;G5606&amp;D5606&lt;&gt;'Funnel setup'!$K$3&amp;'Funnel setup'!$K$4&amp;'Funnel setup'!$K$5,".",IF(A5605=".",1,A5605+1))</f>
        <v>.</v>
      </c>
      <c r="B5606" s="431" t="str">
        <f t="shared" si="87"/>
        <v>Knee Replacement RevisionCCG of GP PracticeNHS LEEDS WEST CCG (03C)Oxford Knee Score</v>
      </c>
      <c r="C5606" t="s">
        <v>250</v>
      </c>
      <c r="D5606" t="s">
        <v>87</v>
      </c>
      <c r="E5606" t="s">
        <v>399</v>
      </c>
      <c r="F5606" t="s">
        <v>400</v>
      </c>
      <c r="G5606" t="s">
        <v>16</v>
      </c>
      <c r="H5606">
        <v>12</v>
      </c>
      <c r="I5606">
        <v>16.417000000000002</v>
      </c>
      <c r="J5606">
        <v>30.5</v>
      </c>
      <c r="K5606">
        <v>14.083</v>
      </c>
      <c r="L5606">
        <v>10</v>
      </c>
      <c r="M5606">
        <v>0</v>
      </c>
      <c r="N5606">
        <v>2</v>
      </c>
      <c r="O5606" t="s">
        <v>53</v>
      </c>
      <c r="P5606" t="s">
        <v>53</v>
      </c>
      <c r="Q5606" t="s">
        <v>53</v>
      </c>
    </row>
    <row r="5607" spans="1:17" x14ac:dyDescent="0.2">
      <c r="A5607" s="30" t="str">
        <f>IF(C5607&amp;G5607&amp;D5607&lt;&gt;'Funnel setup'!$K$3&amp;'Funnel setup'!$K$4&amp;'Funnel setup'!$K$5,".",IF(A5606=".",1,A5606+1))</f>
        <v>.</v>
      </c>
      <c r="B5607" s="431" t="str">
        <f t="shared" si="87"/>
        <v>Knee Replacement RevisionCCG of GP PracticeNHS LEICESTER CITY CCG (04C)Oxford Knee Score</v>
      </c>
      <c r="C5607" t="s">
        <v>250</v>
      </c>
      <c r="D5607" t="s">
        <v>87</v>
      </c>
      <c r="E5607" t="s">
        <v>554</v>
      </c>
      <c r="F5607" t="s">
        <v>555</v>
      </c>
      <c r="G5607" t="s">
        <v>16</v>
      </c>
      <c r="H5607">
        <v>9</v>
      </c>
      <c r="I5607">
        <v>15.555999999999999</v>
      </c>
      <c r="J5607">
        <v>29.667000000000002</v>
      </c>
      <c r="K5607">
        <v>14.111000000000001</v>
      </c>
      <c r="L5607">
        <v>9</v>
      </c>
      <c r="M5607">
        <v>0</v>
      </c>
      <c r="N5607">
        <v>0</v>
      </c>
      <c r="O5607" t="s">
        <v>53</v>
      </c>
      <c r="P5607" t="s">
        <v>53</v>
      </c>
      <c r="Q5607" t="s">
        <v>53</v>
      </c>
    </row>
    <row r="5608" spans="1:17" x14ac:dyDescent="0.2">
      <c r="A5608" s="30" t="str">
        <f>IF(C5608&amp;G5608&amp;D5608&lt;&gt;'Funnel setup'!$K$3&amp;'Funnel setup'!$K$4&amp;'Funnel setup'!$K$5,".",IF(A5607=".",1,A5607+1))</f>
        <v>.</v>
      </c>
      <c r="B5608" s="431" t="str">
        <f t="shared" si="87"/>
        <v>Knee Replacement RevisionCCG of GP PracticeNHS LEWISHAM CCG (08L)Oxford Knee Score</v>
      </c>
      <c r="C5608" t="s">
        <v>250</v>
      </c>
      <c r="D5608" t="s">
        <v>87</v>
      </c>
      <c r="E5608" t="s">
        <v>557</v>
      </c>
      <c r="F5608" t="s">
        <v>558</v>
      </c>
      <c r="G5608" t="s">
        <v>16</v>
      </c>
      <c r="H5608" t="s">
        <v>53</v>
      </c>
      <c r="I5608" t="s">
        <v>53</v>
      </c>
      <c r="J5608" t="s">
        <v>53</v>
      </c>
      <c r="K5608" t="s">
        <v>53</v>
      </c>
      <c r="L5608" t="s">
        <v>53</v>
      </c>
      <c r="M5608" t="s">
        <v>53</v>
      </c>
      <c r="N5608" t="s">
        <v>53</v>
      </c>
      <c r="O5608" t="s">
        <v>53</v>
      </c>
      <c r="P5608" t="s">
        <v>53</v>
      </c>
      <c r="Q5608" t="s">
        <v>53</v>
      </c>
    </row>
    <row r="5609" spans="1:17" x14ac:dyDescent="0.2">
      <c r="A5609" s="30" t="str">
        <f>IF(C5609&amp;G5609&amp;D5609&lt;&gt;'Funnel setup'!$K$3&amp;'Funnel setup'!$K$4&amp;'Funnel setup'!$K$5,".",IF(A5608=".",1,A5608+1))</f>
        <v>.</v>
      </c>
      <c r="B5609" s="431" t="str">
        <f t="shared" si="87"/>
        <v>Knee Replacement RevisionCCG of GP PracticeNHS LINCOLNSHIRE EAST CCG (03T)Oxford Knee Score</v>
      </c>
      <c r="C5609" t="s">
        <v>250</v>
      </c>
      <c r="D5609" t="s">
        <v>87</v>
      </c>
      <c r="E5609" t="s">
        <v>560</v>
      </c>
      <c r="F5609" t="s">
        <v>561</v>
      </c>
      <c r="G5609" t="s">
        <v>16</v>
      </c>
      <c r="H5609" t="s">
        <v>53</v>
      </c>
      <c r="I5609" t="s">
        <v>53</v>
      </c>
      <c r="J5609" t="s">
        <v>53</v>
      </c>
      <c r="K5609" t="s">
        <v>53</v>
      </c>
      <c r="L5609" t="s">
        <v>53</v>
      </c>
      <c r="M5609" t="s">
        <v>53</v>
      </c>
      <c r="N5609" t="s">
        <v>53</v>
      </c>
      <c r="O5609" t="s">
        <v>53</v>
      </c>
      <c r="P5609" t="s">
        <v>53</v>
      </c>
      <c r="Q5609" t="s">
        <v>53</v>
      </c>
    </row>
    <row r="5610" spans="1:17" x14ac:dyDescent="0.2">
      <c r="A5610" s="30" t="str">
        <f>IF(C5610&amp;G5610&amp;D5610&lt;&gt;'Funnel setup'!$K$3&amp;'Funnel setup'!$K$4&amp;'Funnel setup'!$K$5,".",IF(A5609=".",1,A5609+1))</f>
        <v>.</v>
      </c>
      <c r="B5610" s="431" t="str">
        <f t="shared" si="87"/>
        <v>Knee Replacement RevisionCCG of GP PracticeNHS LINCOLNSHIRE WEST CCG (04D)Oxford Knee Score</v>
      </c>
      <c r="C5610" t="s">
        <v>250</v>
      </c>
      <c r="D5610" t="s">
        <v>87</v>
      </c>
      <c r="E5610" t="s">
        <v>408</v>
      </c>
      <c r="F5610" t="s">
        <v>409</v>
      </c>
      <c r="G5610" t="s">
        <v>16</v>
      </c>
      <c r="H5610">
        <v>14</v>
      </c>
      <c r="I5610">
        <v>14.5</v>
      </c>
      <c r="J5610">
        <v>26.071000000000002</v>
      </c>
      <c r="K5610">
        <v>11.571</v>
      </c>
      <c r="L5610">
        <v>12</v>
      </c>
      <c r="M5610">
        <v>0</v>
      </c>
      <c r="N5610">
        <v>2</v>
      </c>
      <c r="O5610" t="s">
        <v>53</v>
      </c>
      <c r="P5610" t="s">
        <v>53</v>
      </c>
      <c r="Q5610" t="s">
        <v>53</v>
      </c>
    </row>
    <row r="5611" spans="1:17" x14ac:dyDescent="0.2">
      <c r="A5611" s="30" t="str">
        <f>IF(C5611&amp;G5611&amp;D5611&lt;&gt;'Funnel setup'!$K$3&amp;'Funnel setup'!$K$4&amp;'Funnel setup'!$K$5,".",IF(A5610=".",1,A5610+1))</f>
        <v>.</v>
      </c>
      <c r="B5611" s="431" t="str">
        <f t="shared" si="87"/>
        <v>Knee Replacement RevisionCCG of GP PracticeNHS LIVERPOOL CCG (99A)Oxford Knee Score</v>
      </c>
      <c r="C5611" t="s">
        <v>250</v>
      </c>
      <c r="D5611" t="s">
        <v>87</v>
      </c>
      <c r="E5611" t="s">
        <v>411</v>
      </c>
      <c r="F5611" t="s">
        <v>412</v>
      </c>
      <c r="G5611" t="s">
        <v>16</v>
      </c>
      <c r="H5611">
        <v>6</v>
      </c>
      <c r="I5611">
        <v>13.333</v>
      </c>
      <c r="J5611">
        <v>26</v>
      </c>
      <c r="K5611">
        <v>12.667</v>
      </c>
      <c r="L5611">
        <v>5</v>
      </c>
      <c r="M5611">
        <v>0</v>
      </c>
      <c r="N5611">
        <v>1</v>
      </c>
      <c r="O5611" t="s">
        <v>53</v>
      </c>
      <c r="P5611" t="s">
        <v>53</v>
      </c>
      <c r="Q5611" t="s">
        <v>53</v>
      </c>
    </row>
    <row r="5612" spans="1:17" x14ac:dyDescent="0.2">
      <c r="A5612" s="30" t="str">
        <f>IF(C5612&amp;G5612&amp;D5612&lt;&gt;'Funnel setup'!$K$3&amp;'Funnel setup'!$K$4&amp;'Funnel setup'!$K$5,".",IF(A5611=".",1,A5611+1))</f>
        <v>.</v>
      </c>
      <c r="B5612" s="431" t="str">
        <f t="shared" si="87"/>
        <v>Knee Replacement RevisionCCG of GP PracticeNHS LUTON CCG (06P)Oxford Knee Score</v>
      </c>
      <c r="C5612" t="s">
        <v>250</v>
      </c>
      <c r="D5612" t="s">
        <v>87</v>
      </c>
      <c r="E5612" t="s">
        <v>414</v>
      </c>
      <c r="F5612" t="s">
        <v>415</v>
      </c>
      <c r="G5612" t="s">
        <v>16</v>
      </c>
      <c r="H5612" t="s">
        <v>53</v>
      </c>
      <c r="I5612" t="s">
        <v>53</v>
      </c>
      <c r="J5612" t="s">
        <v>53</v>
      </c>
      <c r="K5612" t="s">
        <v>53</v>
      </c>
      <c r="L5612" t="s">
        <v>53</v>
      </c>
      <c r="M5612" t="s">
        <v>53</v>
      </c>
      <c r="N5612" t="s">
        <v>53</v>
      </c>
      <c r="O5612" t="s">
        <v>53</v>
      </c>
      <c r="P5612" t="s">
        <v>53</v>
      </c>
      <c r="Q5612" t="s">
        <v>53</v>
      </c>
    </row>
    <row r="5613" spans="1:17" x14ac:dyDescent="0.2">
      <c r="A5613" s="30" t="str">
        <f>IF(C5613&amp;G5613&amp;D5613&lt;&gt;'Funnel setup'!$K$3&amp;'Funnel setup'!$K$4&amp;'Funnel setup'!$K$5,".",IF(A5612=".",1,A5612+1))</f>
        <v>.</v>
      </c>
      <c r="B5613" s="431" t="str">
        <f t="shared" si="87"/>
        <v>Knee Replacement RevisionCCG of GP PracticeNHS MANSFIELD AND ASHFIELD CCG (04E)Oxford Knee Score</v>
      </c>
      <c r="C5613" t="s">
        <v>250</v>
      </c>
      <c r="D5613" t="s">
        <v>87</v>
      </c>
      <c r="E5613" t="s">
        <v>417</v>
      </c>
      <c r="F5613" t="s">
        <v>418</v>
      </c>
      <c r="G5613" t="s">
        <v>16</v>
      </c>
      <c r="H5613">
        <v>12</v>
      </c>
      <c r="I5613">
        <v>11.333</v>
      </c>
      <c r="J5613">
        <v>27.75</v>
      </c>
      <c r="K5613">
        <v>16.417000000000002</v>
      </c>
      <c r="L5613">
        <v>12</v>
      </c>
      <c r="M5613">
        <v>0</v>
      </c>
      <c r="N5613">
        <v>0</v>
      </c>
      <c r="O5613" t="s">
        <v>53</v>
      </c>
      <c r="P5613" t="s">
        <v>53</v>
      </c>
      <c r="Q5613" t="s">
        <v>53</v>
      </c>
    </row>
    <row r="5614" spans="1:17" x14ac:dyDescent="0.2">
      <c r="A5614" s="30" t="str">
        <f>IF(C5614&amp;G5614&amp;D5614&lt;&gt;'Funnel setup'!$K$3&amp;'Funnel setup'!$K$4&amp;'Funnel setup'!$K$5,".",IF(A5613=".",1,A5613+1))</f>
        <v>.</v>
      </c>
      <c r="B5614" s="431" t="str">
        <f t="shared" si="87"/>
        <v>Knee Replacement RevisionCCG of GP PracticeNHS MEDWAY CCG (09W)Oxford Knee Score</v>
      </c>
      <c r="C5614" t="s">
        <v>250</v>
      </c>
      <c r="D5614" t="s">
        <v>87</v>
      </c>
      <c r="E5614" t="s">
        <v>610</v>
      </c>
      <c r="F5614" t="s">
        <v>611</v>
      </c>
      <c r="G5614" t="s">
        <v>16</v>
      </c>
      <c r="H5614" t="s">
        <v>53</v>
      </c>
      <c r="I5614" t="s">
        <v>53</v>
      </c>
      <c r="J5614" t="s">
        <v>53</v>
      </c>
      <c r="K5614" t="s">
        <v>53</v>
      </c>
      <c r="L5614" t="s">
        <v>53</v>
      </c>
      <c r="M5614" t="s">
        <v>53</v>
      </c>
      <c r="N5614" t="s">
        <v>53</v>
      </c>
      <c r="O5614" t="s">
        <v>53</v>
      </c>
      <c r="P5614" t="s">
        <v>53</v>
      </c>
      <c r="Q5614" t="s">
        <v>53</v>
      </c>
    </row>
    <row r="5615" spans="1:17" x14ac:dyDescent="0.2">
      <c r="A5615" s="30" t="str">
        <f>IF(C5615&amp;G5615&amp;D5615&lt;&gt;'Funnel setup'!$K$3&amp;'Funnel setup'!$K$4&amp;'Funnel setup'!$K$5,".",IF(A5614=".",1,A5614+1))</f>
        <v>.</v>
      </c>
      <c r="B5615" s="431" t="str">
        <f t="shared" si="87"/>
        <v>Knee Replacement RevisionCCG of GP PracticeNHS MERTON CCG (08R)Oxford Knee Score</v>
      </c>
      <c r="C5615" t="s">
        <v>250</v>
      </c>
      <c r="D5615" t="s">
        <v>87</v>
      </c>
      <c r="E5615" t="s">
        <v>613</v>
      </c>
      <c r="F5615" t="s">
        <v>614</v>
      </c>
      <c r="G5615" t="s">
        <v>16</v>
      </c>
      <c r="H5615" t="s">
        <v>53</v>
      </c>
      <c r="I5615" t="s">
        <v>53</v>
      </c>
      <c r="J5615" t="s">
        <v>53</v>
      </c>
      <c r="K5615" t="s">
        <v>53</v>
      </c>
      <c r="L5615" t="s">
        <v>53</v>
      </c>
      <c r="M5615" t="s">
        <v>53</v>
      </c>
      <c r="N5615" t="s">
        <v>53</v>
      </c>
      <c r="O5615" t="s">
        <v>53</v>
      </c>
      <c r="P5615" t="s">
        <v>53</v>
      </c>
      <c r="Q5615" t="s">
        <v>53</v>
      </c>
    </row>
    <row r="5616" spans="1:17" x14ac:dyDescent="0.2">
      <c r="A5616" s="30" t="str">
        <f>IF(C5616&amp;G5616&amp;D5616&lt;&gt;'Funnel setup'!$K$3&amp;'Funnel setup'!$K$4&amp;'Funnel setup'!$K$5,".",IF(A5615=".",1,A5615+1))</f>
        <v>.</v>
      </c>
      <c r="B5616" s="431" t="str">
        <f t="shared" si="87"/>
        <v>Knee Replacement RevisionCCG of GP PracticeNHS MID ESSEX CCG (06Q)Oxford Knee Score</v>
      </c>
      <c r="C5616" t="s">
        <v>250</v>
      </c>
      <c r="D5616" t="s">
        <v>87</v>
      </c>
      <c r="E5616" t="s">
        <v>616</v>
      </c>
      <c r="F5616" t="s">
        <v>617</v>
      </c>
      <c r="G5616" t="s">
        <v>16</v>
      </c>
      <c r="H5616">
        <v>9</v>
      </c>
      <c r="I5616">
        <v>13.111000000000001</v>
      </c>
      <c r="J5616">
        <v>18.777999999999999</v>
      </c>
      <c r="K5616">
        <v>5.6669999999999998</v>
      </c>
      <c r="L5616">
        <v>5</v>
      </c>
      <c r="M5616">
        <v>0</v>
      </c>
      <c r="N5616">
        <v>4</v>
      </c>
      <c r="O5616" t="s">
        <v>53</v>
      </c>
      <c r="P5616" t="s">
        <v>53</v>
      </c>
      <c r="Q5616" t="s">
        <v>53</v>
      </c>
    </row>
    <row r="5617" spans="1:17" x14ac:dyDescent="0.2">
      <c r="A5617" s="30" t="str">
        <f>IF(C5617&amp;G5617&amp;D5617&lt;&gt;'Funnel setup'!$K$3&amp;'Funnel setup'!$K$4&amp;'Funnel setup'!$K$5,".",IF(A5616=".",1,A5616+1))</f>
        <v>.</v>
      </c>
      <c r="B5617" s="431" t="str">
        <f t="shared" si="87"/>
        <v>Knee Replacement RevisionCCG of GP PracticeNHS MILTON KEYNES CCG (04F)Oxford Knee Score</v>
      </c>
      <c r="C5617" t="s">
        <v>250</v>
      </c>
      <c r="D5617" t="s">
        <v>87</v>
      </c>
      <c r="E5617" t="s">
        <v>619</v>
      </c>
      <c r="F5617" t="s">
        <v>338</v>
      </c>
      <c r="G5617" t="s">
        <v>16</v>
      </c>
      <c r="H5617">
        <v>12</v>
      </c>
      <c r="I5617">
        <v>12</v>
      </c>
      <c r="J5617">
        <v>27</v>
      </c>
      <c r="K5617">
        <v>15</v>
      </c>
      <c r="L5617">
        <v>11</v>
      </c>
      <c r="M5617">
        <v>1</v>
      </c>
      <c r="N5617">
        <v>0</v>
      </c>
      <c r="O5617" t="s">
        <v>53</v>
      </c>
      <c r="P5617" t="s">
        <v>53</v>
      </c>
      <c r="Q5617" t="s">
        <v>53</v>
      </c>
    </row>
    <row r="5618" spans="1:17" x14ac:dyDescent="0.2">
      <c r="A5618" s="30" t="str">
        <f>IF(C5618&amp;G5618&amp;D5618&lt;&gt;'Funnel setup'!$K$3&amp;'Funnel setup'!$K$4&amp;'Funnel setup'!$K$5,".",IF(A5617=".",1,A5617+1))</f>
        <v>.</v>
      </c>
      <c r="B5618" s="431" t="str">
        <f t="shared" si="87"/>
        <v>Knee Replacement RevisionCCG of GP PracticeNHS NENE CCG (04G)Oxford Knee Score</v>
      </c>
      <c r="C5618" t="s">
        <v>250</v>
      </c>
      <c r="D5618" t="s">
        <v>87</v>
      </c>
      <c r="E5618" t="s">
        <v>621</v>
      </c>
      <c r="F5618" t="s">
        <v>622</v>
      </c>
      <c r="G5618" t="s">
        <v>16</v>
      </c>
      <c r="H5618">
        <v>28</v>
      </c>
      <c r="I5618">
        <v>15.321</v>
      </c>
      <c r="J5618">
        <v>33.25</v>
      </c>
      <c r="K5618">
        <v>17.928999999999998</v>
      </c>
      <c r="L5618">
        <v>27</v>
      </c>
      <c r="M5618">
        <v>0</v>
      </c>
      <c r="N5618">
        <v>1</v>
      </c>
      <c r="O5618" t="s">
        <v>53</v>
      </c>
      <c r="P5618" t="s">
        <v>53</v>
      </c>
      <c r="Q5618" t="s">
        <v>53</v>
      </c>
    </row>
    <row r="5619" spans="1:17" x14ac:dyDescent="0.2">
      <c r="A5619" s="30" t="str">
        <f>IF(C5619&amp;G5619&amp;D5619&lt;&gt;'Funnel setup'!$K$3&amp;'Funnel setup'!$K$4&amp;'Funnel setup'!$K$5,".",IF(A5618=".",1,A5618+1))</f>
        <v>.</v>
      </c>
      <c r="B5619" s="431" t="str">
        <f t="shared" si="87"/>
        <v>Knee Replacement RevisionCCG of GP PracticeNHS NEWARK &amp; SHERWOOD CCG (04H)Oxford Knee Score</v>
      </c>
      <c r="C5619" t="s">
        <v>250</v>
      </c>
      <c r="D5619" t="s">
        <v>87</v>
      </c>
      <c r="E5619" t="s">
        <v>624</v>
      </c>
      <c r="F5619" t="s">
        <v>625</v>
      </c>
      <c r="G5619" t="s">
        <v>16</v>
      </c>
      <c r="H5619" t="s">
        <v>53</v>
      </c>
      <c r="I5619" t="s">
        <v>53</v>
      </c>
      <c r="J5619" t="s">
        <v>53</v>
      </c>
      <c r="K5619" t="s">
        <v>53</v>
      </c>
      <c r="L5619" t="s">
        <v>53</v>
      </c>
      <c r="M5619" t="s">
        <v>53</v>
      </c>
      <c r="N5619" t="s">
        <v>53</v>
      </c>
      <c r="O5619" t="s">
        <v>53</v>
      </c>
      <c r="P5619" t="s">
        <v>53</v>
      </c>
      <c r="Q5619" t="s">
        <v>53</v>
      </c>
    </row>
    <row r="5620" spans="1:17" x14ac:dyDescent="0.2">
      <c r="A5620" s="30" t="str">
        <f>IF(C5620&amp;G5620&amp;D5620&lt;&gt;'Funnel setup'!$K$3&amp;'Funnel setup'!$K$4&amp;'Funnel setup'!$K$5,".",IF(A5619=".",1,A5619+1))</f>
        <v>.</v>
      </c>
      <c r="B5620" s="431" t="str">
        <f t="shared" si="87"/>
        <v>Knee Replacement RevisionCCG of GP PracticeNHS NEWBURY AND DISTRICT CCG (10M)Oxford Knee Score</v>
      </c>
      <c r="C5620" t="s">
        <v>250</v>
      </c>
      <c r="D5620" t="s">
        <v>87</v>
      </c>
      <c r="E5620" t="s">
        <v>627</v>
      </c>
      <c r="F5620" t="s">
        <v>628</v>
      </c>
      <c r="G5620" t="s">
        <v>16</v>
      </c>
      <c r="H5620" t="s">
        <v>53</v>
      </c>
      <c r="I5620" t="s">
        <v>53</v>
      </c>
      <c r="J5620" t="s">
        <v>53</v>
      </c>
      <c r="K5620" t="s">
        <v>53</v>
      </c>
      <c r="L5620" t="s">
        <v>53</v>
      </c>
      <c r="M5620" t="s">
        <v>53</v>
      </c>
      <c r="N5620" t="s">
        <v>53</v>
      </c>
      <c r="O5620" t="s">
        <v>53</v>
      </c>
      <c r="P5620" t="s">
        <v>53</v>
      </c>
      <c r="Q5620" t="s">
        <v>53</v>
      </c>
    </row>
    <row r="5621" spans="1:17" x14ac:dyDescent="0.2">
      <c r="A5621" s="30" t="str">
        <f>IF(C5621&amp;G5621&amp;D5621&lt;&gt;'Funnel setup'!$K$3&amp;'Funnel setup'!$K$4&amp;'Funnel setup'!$K$5,".",IF(A5620=".",1,A5620+1))</f>
        <v>.</v>
      </c>
      <c r="B5621" s="431" t="str">
        <f t="shared" si="87"/>
        <v>Knee Replacement RevisionCCG of GP PracticeNHS NEWCASTLE GATESHEAD CCG (13T)Oxford Knee Score</v>
      </c>
      <c r="C5621" t="s">
        <v>250</v>
      </c>
      <c r="D5621" t="s">
        <v>87</v>
      </c>
      <c r="E5621" t="s">
        <v>6553</v>
      </c>
      <c r="F5621" t="s">
        <v>6543</v>
      </c>
      <c r="G5621" t="s">
        <v>16</v>
      </c>
      <c r="H5621">
        <v>20</v>
      </c>
      <c r="I5621">
        <v>15.95</v>
      </c>
      <c r="J5621">
        <v>27.3</v>
      </c>
      <c r="K5621">
        <v>11.35</v>
      </c>
      <c r="L5621">
        <v>15</v>
      </c>
      <c r="M5621">
        <v>1</v>
      </c>
      <c r="N5621">
        <v>4</v>
      </c>
      <c r="O5621" t="s">
        <v>53</v>
      </c>
      <c r="P5621" t="s">
        <v>53</v>
      </c>
      <c r="Q5621" t="s">
        <v>53</v>
      </c>
    </row>
    <row r="5622" spans="1:17" x14ac:dyDescent="0.2">
      <c r="A5622" s="30" t="str">
        <f>IF(C5622&amp;G5622&amp;D5622&lt;&gt;'Funnel setup'!$K$3&amp;'Funnel setup'!$K$4&amp;'Funnel setup'!$K$5,".",IF(A5621=".",1,A5621+1))</f>
        <v>.</v>
      </c>
      <c r="B5622" s="431" t="str">
        <f t="shared" si="87"/>
        <v>Knee Replacement RevisionCCG of GP PracticeNHS NEWHAM CCG (08M)Oxford Knee Score</v>
      </c>
      <c r="C5622" t="s">
        <v>250</v>
      </c>
      <c r="D5622" t="s">
        <v>87</v>
      </c>
      <c r="E5622" t="s">
        <v>630</v>
      </c>
      <c r="F5622" t="s">
        <v>631</v>
      </c>
      <c r="G5622" t="s">
        <v>16</v>
      </c>
      <c r="H5622" t="s">
        <v>53</v>
      </c>
      <c r="I5622" t="s">
        <v>53</v>
      </c>
      <c r="J5622" t="s">
        <v>53</v>
      </c>
      <c r="K5622" t="s">
        <v>53</v>
      </c>
      <c r="L5622" t="s">
        <v>53</v>
      </c>
      <c r="M5622" t="s">
        <v>53</v>
      </c>
      <c r="N5622" t="s">
        <v>53</v>
      </c>
      <c r="O5622" t="s">
        <v>53</v>
      </c>
      <c r="P5622" t="s">
        <v>53</v>
      </c>
      <c r="Q5622" t="s">
        <v>53</v>
      </c>
    </row>
    <row r="5623" spans="1:17" x14ac:dyDescent="0.2">
      <c r="A5623" s="30" t="str">
        <f>IF(C5623&amp;G5623&amp;D5623&lt;&gt;'Funnel setup'!$K$3&amp;'Funnel setup'!$K$4&amp;'Funnel setup'!$K$5,".",IF(A5622=".",1,A5622+1))</f>
        <v>.</v>
      </c>
      <c r="B5623" s="431" t="str">
        <f t="shared" si="87"/>
        <v>Knee Replacement RevisionCCG of GP PracticeNHS NORTH DERBYSHIRE CCG (04J)Oxford Knee Score</v>
      </c>
      <c r="C5623" t="s">
        <v>250</v>
      </c>
      <c r="D5623" t="s">
        <v>87</v>
      </c>
      <c r="E5623" t="s">
        <v>636</v>
      </c>
      <c r="F5623" t="s">
        <v>637</v>
      </c>
      <c r="G5623" t="s">
        <v>16</v>
      </c>
      <c r="H5623">
        <v>7</v>
      </c>
      <c r="I5623">
        <v>16.856999999999999</v>
      </c>
      <c r="J5623">
        <v>32</v>
      </c>
      <c r="K5623">
        <v>15.143000000000001</v>
      </c>
      <c r="L5623">
        <v>7</v>
      </c>
      <c r="M5623">
        <v>0</v>
      </c>
      <c r="N5623">
        <v>0</v>
      </c>
      <c r="O5623" t="s">
        <v>53</v>
      </c>
      <c r="P5623" t="s">
        <v>53</v>
      </c>
      <c r="Q5623" t="s">
        <v>53</v>
      </c>
    </row>
    <row r="5624" spans="1:17" x14ac:dyDescent="0.2">
      <c r="A5624" s="30" t="str">
        <f>IF(C5624&amp;G5624&amp;D5624&lt;&gt;'Funnel setup'!$K$3&amp;'Funnel setup'!$K$4&amp;'Funnel setup'!$K$5,".",IF(A5623=".",1,A5623+1))</f>
        <v>.</v>
      </c>
      <c r="B5624" s="431" t="str">
        <f t="shared" si="87"/>
        <v>Knee Replacement RevisionCCG of GP PracticeNHS NORTH DURHAM CCG (00J)Oxford Knee Score</v>
      </c>
      <c r="C5624" t="s">
        <v>250</v>
      </c>
      <c r="D5624" t="s">
        <v>87</v>
      </c>
      <c r="E5624" t="s">
        <v>639</v>
      </c>
      <c r="F5624" t="s">
        <v>640</v>
      </c>
      <c r="G5624" t="s">
        <v>16</v>
      </c>
      <c r="H5624">
        <v>7</v>
      </c>
      <c r="I5624">
        <v>15.429</v>
      </c>
      <c r="J5624">
        <v>26.856999999999999</v>
      </c>
      <c r="K5624">
        <v>11.429</v>
      </c>
      <c r="L5624">
        <v>6</v>
      </c>
      <c r="M5624">
        <v>0</v>
      </c>
      <c r="N5624">
        <v>1</v>
      </c>
      <c r="O5624" t="s">
        <v>53</v>
      </c>
      <c r="P5624" t="s">
        <v>53</v>
      </c>
      <c r="Q5624" t="s">
        <v>53</v>
      </c>
    </row>
    <row r="5625" spans="1:17" x14ac:dyDescent="0.2">
      <c r="A5625" s="30" t="str">
        <f>IF(C5625&amp;G5625&amp;D5625&lt;&gt;'Funnel setup'!$K$3&amp;'Funnel setup'!$K$4&amp;'Funnel setup'!$K$5,".",IF(A5624=".",1,A5624+1))</f>
        <v>.</v>
      </c>
      <c r="B5625" s="431" t="str">
        <f t="shared" si="87"/>
        <v>Knee Replacement RevisionCCG of GP PracticeNHS NORTH EAST ESSEX CCG (06T)Oxford Knee Score</v>
      </c>
      <c r="C5625" t="s">
        <v>250</v>
      </c>
      <c r="D5625" t="s">
        <v>87</v>
      </c>
      <c r="E5625" t="s">
        <v>642</v>
      </c>
      <c r="F5625" t="s">
        <v>643</v>
      </c>
      <c r="G5625" t="s">
        <v>16</v>
      </c>
      <c r="H5625">
        <v>13</v>
      </c>
      <c r="I5625">
        <v>18.077000000000002</v>
      </c>
      <c r="J5625">
        <v>31</v>
      </c>
      <c r="K5625">
        <v>12.923</v>
      </c>
      <c r="L5625">
        <v>12</v>
      </c>
      <c r="M5625">
        <v>0</v>
      </c>
      <c r="N5625">
        <v>1</v>
      </c>
      <c r="O5625" t="s">
        <v>53</v>
      </c>
      <c r="P5625" t="s">
        <v>53</v>
      </c>
      <c r="Q5625" t="s">
        <v>53</v>
      </c>
    </row>
    <row r="5626" spans="1:17" x14ac:dyDescent="0.2">
      <c r="A5626" s="30" t="str">
        <f>IF(C5626&amp;G5626&amp;D5626&lt;&gt;'Funnel setup'!$K$3&amp;'Funnel setup'!$K$4&amp;'Funnel setup'!$K$5,".",IF(A5625=".",1,A5625+1))</f>
        <v>.</v>
      </c>
      <c r="B5626" s="431" t="str">
        <f t="shared" si="87"/>
        <v>Knee Replacement RevisionCCG of GP PracticeNHS NORTH EAST HAMPSHIRE AND FARNHAM CCG (99M)Oxford Knee Score</v>
      </c>
      <c r="C5626" t="s">
        <v>250</v>
      </c>
      <c r="D5626" t="s">
        <v>87</v>
      </c>
      <c r="E5626" t="s">
        <v>645</v>
      </c>
      <c r="F5626" t="s">
        <v>646</v>
      </c>
      <c r="G5626" t="s">
        <v>16</v>
      </c>
      <c r="H5626" t="s">
        <v>53</v>
      </c>
      <c r="I5626" t="s">
        <v>53</v>
      </c>
      <c r="J5626" t="s">
        <v>53</v>
      </c>
      <c r="K5626" t="s">
        <v>53</v>
      </c>
      <c r="L5626" t="s">
        <v>53</v>
      </c>
      <c r="M5626" t="s">
        <v>53</v>
      </c>
      <c r="N5626" t="s">
        <v>53</v>
      </c>
      <c r="O5626" t="s">
        <v>53</v>
      </c>
      <c r="P5626" t="s">
        <v>53</v>
      </c>
      <c r="Q5626" t="s">
        <v>53</v>
      </c>
    </row>
    <row r="5627" spans="1:17" x14ac:dyDescent="0.2">
      <c r="A5627" s="30" t="str">
        <f>IF(C5627&amp;G5627&amp;D5627&lt;&gt;'Funnel setup'!$K$3&amp;'Funnel setup'!$K$4&amp;'Funnel setup'!$K$5,".",IF(A5626=".",1,A5626+1))</f>
        <v>.</v>
      </c>
      <c r="B5627" s="431" t="str">
        <f t="shared" si="87"/>
        <v>Knee Replacement RevisionCCG of GP PracticeNHS NORTH EAST LINCOLNSHIRE CCG (03H)Oxford Knee Score</v>
      </c>
      <c r="C5627" t="s">
        <v>250</v>
      </c>
      <c r="D5627" t="s">
        <v>87</v>
      </c>
      <c r="E5627" t="s">
        <v>648</v>
      </c>
      <c r="F5627" t="s">
        <v>649</v>
      </c>
      <c r="G5627" t="s">
        <v>16</v>
      </c>
      <c r="H5627" t="s">
        <v>53</v>
      </c>
      <c r="I5627" t="s">
        <v>53</v>
      </c>
      <c r="J5627" t="s">
        <v>53</v>
      </c>
      <c r="K5627" t="s">
        <v>53</v>
      </c>
      <c r="L5627" t="s">
        <v>53</v>
      </c>
      <c r="M5627" t="s">
        <v>53</v>
      </c>
      <c r="N5627" t="s">
        <v>53</v>
      </c>
      <c r="O5627" t="s">
        <v>53</v>
      </c>
      <c r="P5627" t="s">
        <v>53</v>
      </c>
      <c r="Q5627" t="s">
        <v>53</v>
      </c>
    </row>
    <row r="5628" spans="1:17" x14ac:dyDescent="0.2">
      <c r="A5628" s="30" t="str">
        <f>IF(C5628&amp;G5628&amp;D5628&lt;&gt;'Funnel setup'!$K$3&amp;'Funnel setup'!$K$4&amp;'Funnel setup'!$K$5,".",IF(A5627=".",1,A5627+1))</f>
        <v>.</v>
      </c>
      <c r="B5628" s="431" t="str">
        <f t="shared" si="87"/>
        <v>Knee Replacement RevisionCCG of GP PracticeNHS NORTH HAMPSHIRE CCG (10J)Oxford Knee Score</v>
      </c>
      <c r="C5628" t="s">
        <v>250</v>
      </c>
      <c r="D5628" t="s">
        <v>87</v>
      </c>
      <c r="E5628" t="s">
        <v>651</v>
      </c>
      <c r="F5628" t="s">
        <v>652</v>
      </c>
      <c r="G5628" t="s">
        <v>16</v>
      </c>
      <c r="H5628">
        <v>9</v>
      </c>
      <c r="I5628">
        <v>13.222</v>
      </c>
      <c r="J5628">
        <v>26.888999999999999</v>
      </c>
      <c r="K5628">
        <v>13.667</v>
      </c>
      <c r="L5628">
        <v>8</v>
      </c>
      <c r="M5628">
        <v>0</v>
      </c>
      <c r="N5628">
        <v>1</v>
      </c>
      <c r="O5628" t="s">
        <v>53</v>
      </c>
      <c r="P5628" t="s">
        <v>53</v>
      </c>
      <c r="Q5628" t="s">
        <v>53</v>
      </c>
    </row>
    <row r="5629" spans="1:17" x14ac:dyDescent="0.2">
      <c r="A5629" s="30" t="str">
        <f>IF(C5629&amp;G5629&amp;D5629&lt;&gt;'Funnel setup'!$K$3&amp;'Funnel setup'!$K$4&amp;'Funnel setup'!$K$5,".",IF(A5628=".",1,A5628+1))</f>
        <v>.</v>
      </c>
      <c r="B5629" s="431" t="str">
        <f t="shared" si="87"/>
        <v>Knee Replacement RevisionCCG of GP PracticeNHS NORTH KIRKLEES CCG (03J)Oxford Knee Score</v>
      </c>
      <c r="C5629" t="s">
        <v>250</v>
      </c>
      <c r="D5629" t="s">
        <v>87</v>
      </c>
      <c r="E5629" t="s">
        <v>654</v>
      </c>
      <c r="F5629" t="s">
        <v>655</v>
      </c>
      <c r="G5629" t="s">
        <v>16</v>
      </c>
      <c r="H5629">
        <v>7</v>
      </c>
      <c r="I5629">
        <v>17.143000000000001</v>
      </c>
      <c r="J5629">
        <v>25.143000000000001</v>
      </c>
      <c r="K5629">
        <v>8</v>
      </c>
      <c r="L5629">
        <v>7</v>
      </c>
      <c r="M5629">
        <v>0</v>
      </c>
      <c r="N5629">
        <v>0</v>
      </c>
      <c r="O5629" t="s">
        <v>53</v>
      </c>
      <c r="P5629" t="s">
        <v>53</v>
      </c>
      <c r="Q5629" t="s">
        <v>53</v>
      </c>
    </row>
    <row r="5630" spans="1:17" x14ac:dyDescent="0.2">
      <c r="A5630" s="30" t="str">
        <f>IF(C5630&amp;G5630&amp;D5630&lt;&gt;'Funnel setup'!$K$3&amp;'Funnel setup'!$K$4&amp;'Funnel setup'!$K$5,".",IF(A5629=".",1,A5629+1))</f>
        <v>.</v>
      </c>
      <c r="B5630" s="431" t="str">
        <f t="shared" si="87"/>
        <v>Knee Replacement RevisionCCG of GP PracticeNHS NORTH LINCOLNSHIRE CCG (03K)Oxford Knee Score</v>
      </c>
      <c r="C5630" t="s">
        <v>250</v>
      </c>
      <c r="D5630" t="s">
        <v>87</v>
      </c>
      <c r="E5630" t="s">
        <v>657</v>
      </c>
      <c r="F5630" t="s">
        <v>658</v>
      </c>
      <c r="G5630" t="s">
        <v>16</v>
      </c>
      <c r="H5630" t="s">
        <v>53</v>
      </c>
      <c r="I5630" t="s">
        <v>53</v>
      </c>
      <c r="J5630" t="s">
        <v>53</v>
      </c>
      <c r="K5630" t="s">
        <v>53</v>
      </c>
      <c r="L5630" t="s">
        <v>53</v>
      </c>
      <c r="M5630" t="s">
        <v>53</v>
      </c>
      <c r="N5630" t="s">
        <v>53</v>
      </c>
      <c r="O5630" t="s">
        <v>53</v>
      </c>
      <c r="P5630" t="s">
        <v>53</v>
      </c>
      <c r="Q5630" t="s">
        <v>53</v>
      </c>
    </row>
    <row r="5631" spans="1:17" x14ac:dyDescent="0.2">
      <c r="A5631" s="30" t="str">
        <f>IF(C5631&amp;G5631&amp;D5631&lt;&gt;'Funnel setup'!$K$3&amp;'Funnel setup'!$K$4&amp;'Funnel setup'!$K$5,".",IF(A5630=".",1,A5630+1))</f>
        <v>.</v>
      </c>
      <c r="B5631" s="431" t="str">
        <f t="shared" si="87"/>
        <v>Knee Replacement RevisionCCG of GP PracticeNHS NORTH MANCHESTER CCG (01M)Oxford Knee Score</v>
      </c>
      <c r="C5631" t="s">
        <v>250</v>
      </c>
      <c r="D5631" t="s">
        <v>87</v>
      </c>
      <c r="E5631" t="s">
        <v>660</v>
      </c>
      <c r="F5631" t="s">
        <v>661</v>
      </c>
      <c r="G5631" t="s">
        <v>16</v>
      </c>
      <c r="H5631" t="s">
        <v>53</v>
      </c>
      <c r="I5631" t="s">
        <v>53</v>
      </c>
      <c r="J5631" t="s">
        <v>53</v>
      </c>
      <c r="K5631" t="s">
        <v>53</v>
      </c>
      <c r="L5631" t="s">
        <v>53</v>
      </c>
      <c r="M5631" t="s">
        <v>53</v>
      </c>
      <c r="N5631" t="s">
        <v>53</v>
      </c>
      <c r="O5631" t="s">
        <v>53</v>
      </c>
      <c r="P5631" t="s">
        <v>53</v>
      </c>
      <c r="Q5631" t="s">
        <v>53</v>
      </c>
    </row>
    <row r="5632" spans="1:17" x14ac:dyDescent="0.2">
      <c r="A5632" s="30" t="str">
        <f>IF(C5632&amp;G5632&amp;D5632&lt;&gt;'Funnel setup'!$K$3&amp;'Funnel setup'!$K$4&amp;'Funnel setup'!$K$5,".",IF(A5631=".",1,A5631+1))</f>
        <v>.</v>
      </c>
      <c r="B5632" s="431" t="str">
        <f t="shared" si="87"/>
        <v>Knee Replacement RevisionCCG of GP PracticeNHS NORTH NORFOLK CCG (06V)Oxford Knee Score</v>
      </c>
      <c r="C5632" t="s">
        <v>250</v>
      </c>
      <c r="D5632" t="s">
        <v>87</v>
      </c>
      <c r="E5632" t="s">
        <v>663</v>
      </c>
      <c r="F5632" t="s">
        <v>664</v>
      </c>
      <c r="G5632" t="s">
        <v>16</v>
      </c>
      <c r="H5632">
        <v>8</v>
      </c>
      <c r="I5632">
        <v>19.625</v>
      </c>
      <c r="J5632">
        <v>30.75</v>
      </c>
      <c r="K5632">
        <v>11.125</v>
      </c>
      <c r="L5632">
        <v>6</v>
      </c>
      <c r="M5632">
        <v>0</v>
      </c>
      <c r="N5632">
        <v>2</v>
      </c>
      <c r="O5632" t="s">
        <v>53</v>
      </c>
      <c r="P5632" t="s">
        <v>53</v>
      </c>
      <c r="Q5632" t="s">
        <v>53</v>
      </c>
    </row>
    <row r="5633" spans="1:17" x14ac:dyDescent="0.2">
      <c r="A5633" s="30" t="str">
        <f>IF(C5633&amp;G5633&amp;D5633&lt;&gt;'Funnel setup'!$K$3&amp;'Funnel setup'!$K$4&amp;'Funnel setup'!$K$5,".",IF(A5632=".",1,A5632+1))</f>
        <v>.</v>
      </c>
      <c r="B5633" s="431" t="str">
        <f t="shared" si="87"/>
        <v>Knee Replacement RevisionCCG of GP PracticeNHS NORTH SOMERSET CCG (11T)Oxford Knee Score</v>
      </c>
      <c r="C5633" t="s">
        <v>250</v>
      </c>
      <c r="D5633" t="s">
        <v>87</v>
      </c>
      <c r="E5633" t="s">
        <v>666</v>
      </c>
      <c r="F5633" t="s">
        <v>667</v>
      </c>
      <c r="G5633" t="s">
        <v>16</v>
      </c>
      <c r="H5633">
        <v>12</v>
      </c>
      <c r="I5633">
        <v>16.082999999999998</v>
      </c>
      <c r="J5633">
        <v>28</v>
      </c>
      <c r="K5633">
        <v>11.917</v>
      </c>
      <c r="L5633">
        <v>10</v>
      </c>
      <c r="M5633">
        <v>1</v>
      </c>
      <c r="N5633">
        <v>1</v>
      </c>
      <c r="O5633" t="s">
        <v>53</v>
      </c>
      <c r="P5633" t="s">
        <v>53</v>
      </c>
      <c r="Q5633" t="s">
        <v>53</v>
      </c>
    </row>
    <row r="5634" spans="1:17" x14ac:dyDescent="0.2">
      <c r="A5634" s="30" t="str">
        <f>IF(C5634&amp;G5634&amp;D5634&lt;&gt;'Funnel setup'!$K$3&amp;'Funnel setup'!$K$4&amp;'Funnel setup'!$K$5,".",IF(A5633=".",1,A5633+1))</f>
        <v>.</v>
      </c>
      <c r="B5634" s="431" t="str">
        <f t="shared" si="87"/>
        <v>Knee Replacement RevisionCCG of GP PracticeNHS NORTH STAFFORDSHIRE CCG (05G)Oxford Knee Score</v>
      </c>
      <c r="C5634" t="s">
        <v>250</v>
      </c>
      <c r="D5634" t="s">
        <v>87</v>
      </c>
      <c r="E5634" t="s">
        <v>669</v>
      </c>
      <c r="F5634" t="s">
        <v>670</v>
      </c>
      <c r="G5634" t="s">
        <v>16</v>
      </c>
      <c r="H5634" t="s">
        <v>53</v>
      </c>
      <c r="I5634" t="s">
        <v>53</v>
      </c>
      <c r="J5634" t="s">
        <v>53</v>
      </c>
      <c r="K5634" t="s">
        <v>53</v>
      </c>
      <c r="L5634" t="s">
        <v>53</v>
      </c>
      <c r="M5634" t="s">
        <v>53</v>
      </c>
      <c r="N5634" t="s">
        <v>53</v>
      </c>
      <c r="O5634" t="s">
        <v>53</v>
      </c>
      <c r="P5634" t="s">
        <v>53</v>
      </c>
      <c r="Q5634" t="s">
        <v>53</v>
      </c>
    </row>
    <row r="5635" spans="1:17" x14ac:dyDescent="0.2">
      <c r="A5635" s="30" t="str">
        <f>IF(C5635&amp;G5635&amp;D5635&lt;&gt;'Funnel setup'!$K$3&amp;'Funnel setup'!$K$4&amp;'Funnel setup'!$K$5,".",IF(A5634=".",1,A5634+1))</f>
        <v>.</v>
      </c>
      <c r="B5635" s="431" t="str">
        <f t="shared" ref="B5635:B5698" si="88">C5635&amp;D5635&amp;F5635&amp;G5635</f>
        <v>Knee Replacement RevisionCCG of GP PracticeNHS NORTH TYNESIDE CCG (99C)Oxford Knee Score</v>
      </c>
      <c r="C5635" t="s">
        <v>250</v>
      </c>
      <c r="D5635" t="s">
        <v>87</v>
      </c>
      <c r="E5635" t="s">
        <v>672</v>
      </c>
      <c r="F5635" t="s">
        <v>673</v>
      </c>
      <c r="G5635" t="s">
        <v>16</v>
      </c>
      <c r="H5635" t="s">
        <v>53</v>
      </c>
      <c r="I5635" t="s">
        <v>53</v>
      </c>
      <c r="J5635" t="s">
        <v>53</v>
      </c>
      <c r="K5635" t="s">
        <v>53</v>
      </c>
      <c r="L5635" t="s">
        <v>53</v>
      </c>
      <c r="M5635" t="s">
        <v>53</v>
      </c>
      <c r="N5635" t="s">
        <v>53</v>
      </c>
      <c r="O5635" t="s">
        <v>53</v>
      </c>
      <c r="P5635" t="s">
        <v>53</v>
      </c>
      <c r="Q5635" t="s">
        <v>53</v>
      </c>
    </row>
    <row r="5636" spans="1:17" x14ac:dyDescent="0.2">
      <c r="A5636" s="30" t="str">
        <f>IF(C5636&amp;G5636&amp;D5636&lt;&gt;'Funnel setup'!$K$3&amp;'Funnel setup'!$K$4&amp;'Funnel setup'!$K$5,".",IF(A5635=".",1,A5635+1))</f>
        <v>.</v>
      </c>
      <c r="B5636" s="431" t="str">
        <f t="shared" si="88"/>
        <v>Knee Replacement RevisionCCG of GP PracticeNHS NORTH WEST SURREY CCG (09Y)Oxford Knee Score</v>
      </c>
      <c r="C5636" t="s">
        <v>250</v>
      </c>
      <c r="D5636" t="s">
        <v>87</v>
      </c>
      <c r="E5636" t="s">
        <v>675</v>
      </c>
      <c r="F5636" t="s">
        <v>676</v>
      </c>
      <c r="G5636" t="s">
        <v>16</v>
      </c>
      <c r="H5636">
        <v>10</v>
      </c>
      <c r="I5636">
        <v>17.7</v>
      </c>
      <c r="J5636">
        <v>28.3</v>
      </c>
      <c r="K5636">
        <v>10.6</v>
      </c>
      <c r="L5636">
        <v>8</v>
      </c>
      <c r="M5636">
        <v>0</v>
      </c>
      <c r="N5636">
        <v>2</v>
      </c>
      <c r="O5636" t="s">
        <v>53</v>
      </c>
      <c r="P5636" t="s">
        <v>53</v>
      </c>
      <c r="Q5636" t="s">
        <v>53</v>
      </c>
    </row>
    <row r="5637" spans="1:17" x14ac:dyDescent="0.2">
      <c r="A5637" s="30" t="str">
        <f>IF(C5637&amp;G5637&amp;D5637&lt;&gt;'Funnel setup'!$K$3&amp;'Funnel setup'!$K$4&amp;'Funnel setup'!$K$5,".",IF(A5636=".",1,A5636+1))</f>
        <v>.</v>
      </c>
      <c r="B5637" s="431" t="str">
        <f t="shared" si="88"/>
        <v>Knee Replacement RevisionCCG of GP PracticeNHS NORTHERN, EASTERN AND WESTERN DEVON CCG (99P)Oxford Knee Score</v>
      </c>
      <c r="C5637" t="s">
        <v>250</v>
      </c>
      <c r="D5637" t="s">
        <v>87</v>
      </c>
      <c r="E5637" t="s">
        <v>678</v>
      </c>
      <c r="F5637" t="s">
        <v>679</v>
      </c>
      <c r="G5637" t="s">
        <v>16</v>
      </c>
      <c r="H5637">
        <v>53</v>
      </c>
      <c r="I5637">
        <v>17.716999999999999</v>
      </c>
      <c r="J5637">
        <v>31.245000000000001</v>
      </c>
      <c r="K5637">
        <v>13.528</v>
      </c>
      <c r="L5637">
        <v>49</v>
      </c>
      <c r="M5637">
        <v>1</v>
      </c>
      <c r="N5637">
        <v>3</v>
      </c>
      <c r="O5637">
        <v>30.234999999999999</v>
      </c>
      <c r="P5637">
        <v>13.72894365</v>
      </c>
      <c r="Q5637">
        <v>8.7279999999999998</v>
      </c>
    </row>
    <row r="5638" spans="1:17" x14ac:dyDescent="0.2">
      <c r="A5638" s="30" t="str">
        <f>IF(C5638&amp;G5638&amp;D5638&lt;&gt;'Funnel setup'!$K$3&amp;'Funnel setup'!$K$4&amp;'Funnel setup'!$K$5,".",IF(A5637=".",1,A5637+1))</f>
        <v>.</v>
      </c>
      <c r="B5638" s="431" t="str">
        <f t="shared" si="88"/>
        <v>Knee Replacement RevisionCCG of GP PracticeNHS NORTHUMBERLAND CCG (00L)Oxford Knee Score</v>
      </c>
      <c r="C5638" t="s">
        <v>250</v>
      </c>
      <c r="D5638" t="s">
        <v>87</v>
      </c>
      <c r="E5638" t="s">
        <v>681</v>
      </c>
      <c r="F5638" t="s">
        <v>336</v>
      </c>
      <c r="G5638" t="s">
        <v>16</v>
      </c>
      <c r="H5638">
        <v>14</v>
      </c>
      <c r="I5638">
        <v>15.286</v>
      </c>
      <c r="J5638">
        <v>31</v>
      </c>
      <c r="K5638">
        <v>15.714</v>
      </c>
      <c r="L5638">
        <v>14</v>
      </c>
      <c r="M5638">
        <v>0</v>
      </c>
      <c r="N5638">
        <v>0</v>
      </c>
      <c r="O5638" t="s">
        <v>53</v>
      </c>
      <c r="P5638" t="s">
        <v>53</v>
      </c>
      <c r="Q5638" t="s">
        <v>53</v>
      </c>
    </row>
    <row r="5639" spans="1:17" x14ac:dyDescent="0.2">
      <c r="A5639" s="30" t="str">
        <f>IF(C5639&amp;G5639&amp;D5639&lt;&gt;'Funnel setup'!$K$3&amp;'Funnel setup'!$K$4&amp;'Funnel setup'!$K$5,".",IF(A5638=".",1,A5638+1))</f>
        <v>.</v>
      </c>
      <c r="B5639" s="431" t="str">
        <f t="shared" si="88"/>
        <v>Knee Replacement RevisionCCG of GP PracticeNHS NORWICH CCG (06W)Oxford Knee Score</v>
      </c>
      <c r="C5639" t="s">
        <v>250</v>
      </c>
      <c r="D5639" t="s">
        <v>87</v>
      </c>
      <c r="E5639" t="s">
        <v>770</v>
      </c>
      <c r="F5639" t="s">
        <v>771</v>
      </c>
      <c r="G5639" t="s">
        <v>16</v>
      </c>
      <c r="H5639">
        <v>8</v>
      </c>
      <c r="I5639">
        <v>20</v>
      </c>
      <c r="J5639">
        <v>32.625</v>
      </c>
      <c r="K5639">
        <v>12.625</v>
      </c>
      <c r="L5639">
        <v>8</v>
      </c>
      <c r="M5639">
        <v>0</v>
      </c>
      <c r="N5639">
        <v>0</v>
      </c>
      <c r="O5639" t="s">
        <v>53</v>
      </c>
      <c r="P5639" t="s">
        <v>53</v>
      </c>
      <c r="Q5639" t="s">
        <v>53</v>
      </c>
    </row>
    <row r="5640" spans="1:17" x14ac:dyDescent="0.2">
      <c r="A5640" s="30" t="str">
        <f>IF(C5640&amp;G5640&amp;D5640&lt;&gt;'Funnel setup'!$K$3&amp;'Funnel setup'!$K$4&amp;'Funnel setup'!$K$5,".",IF(A5639=".",1,A5639+1))</f>
        <v>.</v>
      </c>
      <c r="B5640" s="431" t="str">
        <f t="shared" si="88"/>
        <v>Knee Replacement RevisionCCG of GP PracticeNHS NOTTINGHAM CITY CCG (04K)Oxford Knee Score</v>
      </c>
      <c r="C5640" t="s">
        <v>250</v>
      </c>
      <c r="D5640" t="s">
        <v>87</v>
      </c>
      <c r="E5640" t="s">
        <v>773</v>
      </c>
      <c r="F5640" t="s">
        <v>774</v>
      </c>
      <c r="G5640" t="s">
        <v>16</v>
      </c>
      <c r="H5640">
        <v>10</v>
      </c>
      <c r="I5640">
        <v>21.7</v>
      </c>
      <c r="J5640">
        <v>29.2</v>
      </c>
      <c r="K5640">
        <v>7.5</v>
      </c>
      <c r="L5640">
        <v>8</v>
      </c>
      <c r="M5640">
        <v>2</v>
      </c>
      <c r="N5640">
        <v>0</v>
      </c>
      <c r="O5640" t="s">
        <v>53</v>
      </c>
      <c r="P5640" t="s">
        <v>53</v>
      </c>
      <c r="Q5640" t="s">
        <v>53</v>
      </c>
    </row>
    <row r="5641" spans="1:17" x14ac:dyDescent="0.2">
      <c r="A5641" s="30" t="str">
        <f>IF(C5641&amp;G5641&amp;D5641&lt;&gt;'Funnel setup'!$K$3&amp;'Funnel setup'!$K$4&amp;'Funnel setup'!$K$5,".",IF(A5640=".",1,A5640+1))</f>
        <v>.</v>
      </c>
      <c r="B5641" s="431" t="str">
        <f t="shared" si="88"/>
        <v>Knee Replacement RevisionCCG of GP PracticeNHS NOTTINGHAM NORTH AND EAST CCG (04L)Oxford Knee Score</v>
      </c>
      <c r="C5641" t="s">
        <v>250</v>
      </c>
      <c r="D5641" t="s">
        <v>87</v>
      </c>
      <c r="E5641" t="s">
        <v>776</v>
      </c>
      <c r="F5641" t="s">
        <v>777</v>
      </c>
      <c r="G5641" t="s">
        <v>16</v>
      </c>
      <c r="H5641">
        <v>6</v>
      </c>
      <c r="I5641">
        <v>19.667000000000002</v>
      </c>
      <c r="J5641">
        <v>37.5</v>
      </c>
      <c r="K5641">
        <v>17.832999999999998</v>
      </c>
      <c r="L5641">
        <v>6</v>
      </c>
      <c r="M5641">
        <v>0</v>
      </c>
      <c r="N5641">
        <v>0</v>
      </c>
      <c r="O5641" t="s">
        <v>53</v>
      </c>
      <c r="P5641" t="s">
        <v>53</v>
      </c>
      <c r="Q5641" t="s">
        <v>53</v>
      </c>
    </row>
    <row r="5642" spans="1:17" x14ac:dyDescent="0.2">
      <c r="A5642" s="30" t="str">
        <f>IF(C5642&amp;G5642&amp;D5642&lt;&gt;'Funnel setup'!$K$3&amp;'Funnel setup'!$K$4&amp;'Funnel setup'!$K$5,".",IF(A5641=".",1,A5641+1))</f>
        <v>.</v>
      </c>
      <c r="B5642" s="431" t="str">
        <f t="shared" si="88"/>
        <v>Knee Replacement RevisionCCG of GP PracticeNHS NOTTINGHAM WEST CCG (04M)Oxford Knee Score</v>
      </c>
      <c r="C5642" t="s">
        <v>250</v>
      </c>
      <c r="D5642" t="s">
        <v>87</v>
      </c>
      <c r="E5642" t="s">
        <v>779</v>
      </c>
      <c r="F5642" t="s">
        <v>780</v>
      </c>
      <c r="G5642" t="s">
        <v>16</v>
      </c>
      <c r="H5642">
        <v>6</v>
      </c>
      <c r="I5642">
        <v>13</v>
      </c>
      <c r="J5642">
        <v>34</v>
      </c>
      <c r="K5642">
        <v>21</v>
      </c>
      <c r="L5642">
        <v>6</v>
      </c>
      <c r="M5642">
        <v>0</v>
      </c>
      <c r="N5642">
        <v>0</v>
      </c>
      <c r="O5642" t="s">
        <v>53</v>
      </c>
      <c r="P5642" t="s">
        <v>53</v>
      </c>
      <c r="Q5642" t="s">
        <v>53</v>
      </c>
    </row>
    <row r="5643" spans="1:17" x14ac:dyDescent="0.2">
      <c r="A5643" s="30" t="str">
        <f>IF(C5643&amp;G5643&amp;D5643&lt;&gt;'Funnel setup'!$K$3&amp;'Funnel setup'!$K$4&amp;'Funnel setup'!$K$5,".",IF(A5642=".",1,A5642+1))</f>
        <v>.</v>
      </c>
      <c r="B5643" s="431" t="str">
        <f t="shared" si="88"/>
        <v>Knee Replacement RevisionCCG of GP PracticeNHS OLDHAM CCG (00Y)Oxford Knee Score</v>
      </c>
      <c r="C5643" t="s">
        <v>250</v>
      </c>
      <c r="D5643" t="s">
        <v>87</v>
      </c>
      <c r="E5643" t="s">
        <v>782</v>
      </c>
      <c r="F5643" t="s">
        <v>783</v>
      </c>
      <c r="G5643" t="s">
        <v>16</v>
      </c>
      <c r="H5643" t="s">
        <v>53</v>
      </c>
      <c r="I5643" t="s">
        <v>53</v>
      </c>
      <c r="J5643" t="s">
        <v>53</v>
      </c>
      <c r="K5643" t="s">
        <v>53</v>
      </c>
      <c r="L5643" t="s">
        <v>53</v>
      </c>
      <c r="M5643" t="s">
        <v>53</v>
      </c>
      <c r="N5643" t="s">
        <v>53</v>
      </c>
      <c r="O5643" t="s">
        <v>53</v>
      </c>
      <c r="P5643" t="s">
        <v>53</v>
      </c>
      <c r="Q5643" t="s">
        <v>53</v>
      </c>
    </row>
    <row r="5644" spans="1:17" x14ac:dyDescent="0.2">
      <c r="A5644" s="30" t="str">
        <f>IF(C5644&amp;G5644&amp;D5644&lt;&gt;'Funnel setup'!$K$3&amp;'Funnel setup'!$K$4&amp;'Funnel setup'!$K$5,".",IF(A5643=".",1,A5643+1))</f>
        <v>.</v>
      </c>
      <c r="B5644" s="431" t="str">
        <f t="shared" si="88"/>
        <v>Knee Replacement RevisionCCG of GP PracticeNHS OXFORDSHIRE CCG (10Q)Oxford Knee Score</v>
      </c>
      <c r="C5644" t="s">
        <v>250</v>
      </c>
      <c r="D5644" t="s">
        <v>87</v>
      </c>
      <c r="E5644" t="s">
        <v>785</v>
      </c>
      <c r="F5644" t="s">
        <v>786</v>
      </c>
      <c r="G5644" t="s">
        <v>16</v>
      </c>
      <c r="H5644">
        <v>31</v>
      </c>
      <c r="I5644">
        <v>15.677</v>
      </c>
      <c r="J5644">
        <v>29.870999999999999</v>
      </c>
      <c r="K5644">
        <v>14.194000000000001</v>
      </c>
      <c r="L5644">
        <v>26</v>
      </c>
      <c r="M5644">
        <v>1</v>
      </c>
      <c r="N5644">
        <v>4</v>
      </c>
      <c r="O5644">
        <v>30.640999999999998</v>
      </c>
      <c r="P5644">
        <v>14.134898529999999</v>
      </c>
      <c r="Q5644">
        <v>11.952999999999999</v>
      </c>
    </row>
    <row r="5645" spans="1:17" x14ac:dyDescent="0.2">
      <c r="A5645" s="30" t="str">
        <f>IF(C5645&amp;G5645&amp;D5645&lt;&gt;'Funnel setup'!$K$3&amp;'Funnel setup'!$K$4&amp;'Funnel setup'!$K$5,".",IF(A5644=".",1,A5644+1))</f>
        <v>.</v>
      </c>
      <c r="B5645" s="431" t="str">
        <f t="shared" si="88"/>
        <v>Knee Replacement RevisionCCG of GP PracticeNHS PORTSMOUTH CCG (10R)Oxford Knee Score</v>
      </c>
      <c r="C5645" t="s">
        <v>250</v>
      </c>
      <c r="D5645" t="s">
        <v>87</v>
      </c>
      <c r="E5645" t="s">
        <v>788</v>
      </c>
      <c r="F5645" t="s">
        <v>789</v>
      </c>
      <c r="G5645" t="s">
        <v>16</v>
      </c>
      <c r="H5645" t="s">
        <v>53</v>
      </c>
      <c r="I5645" t="s">
        <v>53</v>
      </c>
      <c r="J5645" t="s">
        <v>53</v>
      </c>
      <c r="K5645" t="s">
        <v>53</v>
      </c>
      <c r="L5645" t="s">
        <v>53</v>
      </c>
      <c r="M5645" t="s">
        <v>53</v>
      </c>
      <c r="N5645" t="s">
        <v>53</v>
      </c>
      <c r="O5645" t="s">
        <v>53</v>
      </c>
      <c r="P5645" t="s">
        <v>53</v>
      </c>
      <c r="Q5645" t="s">
        <v>53</v>
      </c>
    </row>
    <row r="5646" spans="1:17" x14ac:dyDescent="0.2">
      <c r="A5646" s="30" t="str">
        <f>IF(C5646&amp;G5646&amp;D5646&lt;&gt;'Funnel setup'!$K$3&amp;'Funnel setup'!$K$4&amp;'Funnel setup'!$K$5,".",IF(A5645=".",1,A5645+1))</f>
        <v>.</v>
      </c>
      <c r="B5646" s="431" t="str">
        <f t="shared" si="88"/>
        <v>Knee Replacement RevisionCCG of GP PracticeNHS REDBRIDGE CCG (08N)Oxford Knee Score</v>
      </c>
      <c r="C5646" t="s">
        <v>250</v>
      </c>
      <c r="D5646" t="s">
        <v>87</v>
      </c>
      <c r="E5646" t="s">
        <v>791</v>
      </c>
      <c r="F5646" t="s">
        <v>792</v>
      </c>
      <c r="G5646" t="s">
        <v>16</v>
      </c>
      <c r="H5646" t="s">
        <v>53</v>
      </c>
      <c r="I5646" t="s">
        <v>53</v>
      </c>
      <c r="J5646" t="s">
        <v>53</v>
      </c>
      <c r="K5646" t="s">
        <v>53</v>
      </c>
      <c r="L5646" t="s">
        <v>53</v>
      </c>
      <c r="M5646" t="s">
        <v>53</v>
      </c>
      <c r="N5646" t="s">
        <v>53</v>
      </c>
      <c r="O5646" t="s">
        <v>53</v>
      </c>
      <c r="P5646" t="s">
        <v>53</v>
      </c>
      <c r="Q5646" t="s">
        <v>53</v>
      </c>
    </row>
    <row r="5647" spans="1:17" x14ac:dyDescent="0.2">
      <c r="A5647" s="30" t="str">
        <f>IF(C5647&amp;G5647&amp;D5647&lt;&gt;'Funnel setup'!$K$3&amp;'Funnel setup'!$K$4&amp;'Funnel setup'!$K$5,".",IF(A5646=".",1,A5646+1))</f>
        <v>.</v>
      </c>
      <c r="B5647" s="431" t="str">
        <f t="shared" si="88"/>
        <v>Knee Replacement RevisionCCG of GP PracticeNHS REDDITCH AND BROMSGROVE CCG (05J)Oxford Knee Score</v>
      </c>
      <c r="C5647" t="s">
        <v>250</v>
      </c>
      <c r="D5647" t="s">
        <v>87</v>
      </c>
      <c r="E5647" t="s">
        <v>794</v>
      </c>
      <c r="F5647" t="s">
        <v>795</v>
      </c>
      <c r="G5647" t="s">
        <v>16</v>
      </c>
      <c r="H5647">
        <v>6</v>
      </c>
      <c r="I5647">
        <v>13.167</v>
      </c>
      <c r="J5647">
        <v>25</v>
      </c>
      <c r="K5647">
        <v>11.833</v>
      </c>
      <c r="L5647">
        <v>5</v>
      </c>
      <c r="M5647">
        <v>1</v>
      </c>
      <c r="N5647">
        <v>0</v>
      </c>
      <c r="O5647" t="s">
        <v>53</v>
      </c>
      <c r="P5647" t="s">
        <v>53</v>
      </c>
      <c r="Q5647" t="s">
        <v>53</v>
      </c>
    </row>
    <row r="5648" spans="1:17" x14ac:dyDescent="0.2">
      <c r="A5648" s="30" t="str">
        <f>IF(C5648&amp;G5648&amp;D5648&lt;&gt;'Funnel setup'!$K$3&amp;'Funnel setup'!$K$4&amp;'Funnel setup'!$K$5,".",IF(A5647=".",1,A5647+1))</f>
        <v>.</v>
      </c>
      <c r="B5648" s="431" t="str">
        <f t="shared" si="88"/>
        <v>Knee Replacement RevisionCCG of GP PracticeNHS RICHMOND CCG (08P)Oxford Knee Score</v>
      </c>
      <c r="C5648" t="s">
        <v>250</v>
      </c>
      <c r="D5648" t="s">
        <v>87</v>
      </c>
      <c r="E5648" t="s">
        <v>797</v>
      </c>
      <c r="F5648" t="s">
        <v>798</v>
      </c>
      <c r="G5648" t="s">
        <v>16</v>
      </c>
      <c r="H5648" t="s">
        <v>53</v>
      </c>
      <c r="I5648" t="s">
        <v>53</v>
      </c>
      <c r="J5648" t="s">
        <v>53</v>
      </c>
      <c r="K5648" t="s">
        <v>53</v>
      </c>
      <c r="L5648" t="s">
        <v>53</v>
      </c>
      <c r="M5648" t="s">
        <v>53</v>
      </c>
      <c r="N5648" t="s">
        <v>53</v>
      </c>
      <c r="O5648" t="s">
        <v>53</v>
      </c>
      <c r="P5648" t="s">
        <v>53</v>
      </c>
      <c r="Q5648" t="s">
        <v>53</v>
      </c>
    </row>
    <row r="5649" spans="1:17" x14ac:dyDescent="0.2">
      <c r="A5649" s="30" t="str">
        <f>IF(C5649&amp;G5649&amp;D5649&lt;&gt;'Funnel setup'!$K$3&amp;'Funnel setup'!$K$4&amp;'Funnel setup'!$K$5,".",IF(A5648=".",1,A5648+1))</f>
        <v>.</v>
      </c>
      <c r="B5649" s="431" t="str">
        <f t="shared" si="88"/>
        <v>Knee Replacement RevisionCCG of GP PracticeNHS ROTHERHAM CCG (03L)Oxford Knee Score</v>
      </c>
      <c r="C5649" t="s">
        <v>250</v>
      </c>
      <c r="D5649" t="s">
        <v>87</v>
      </c>
      <c r="E5649" t="s">
        <v>800</v>
      </c>
      <c r="F5649" t="s">
        <v>801</v>
      </c>
      <c r="G5649" t="s">
        <v>16</v>
      </c>
      <c r="H5649">
        <v>9</v>
      </c>
      <c r="I5649">
        <v>13.222</v>
      </c>
      <c r="J5649">
        <v>29</v>
      </c>
      <c r="K5649">
        <v>15.778</v>
      </c>
      <c r="L5649">
        <v>8</v>
      </c>
      <c r="M5649">
        <v>0</v>
      </c>
      <c r="N5649">
        <v>1</v>
      </c>
      <c r="O5649" t="s">
        <v>53</v>
      </c>
      <c r="P5649" t="s">
        <v>53</v>
      </c>
      <c r="Q5649" t="s">
        <v>53</v>
      </c>
    </row>
    <row r="5650" spans="1:17" x14ac:dyDescent="0.2">
      <c r="A5650" s="30" t="str">
        <f>IF(C5650&amp;G5650&amp;D5650&lt;&gt;'Funnel setup'!$K$3&amp;'Funnel setup'!$K$4&amp;'Funnel setup'!$K$5,".",IF(A5649=".",1,A5649+1))</f>
        <v>.</v>
      </c>
      <c r="B5650" s="431" t="str">
        <f t="shared" si="88"/>
        <v>Knee Replacement RevisionCCG of GP PracticeNHS RUSHCLIFFE CCG (04N)Oxford Knee Score</v>
      </c>
      <c r="C5650" t="s">
        <v>250</v>
      </c>
      <c r="D5650" t="s">
        <v>87</v>
      </c>
      <c r="E5650" t="s">
        <v>803</v>
      </c>
      <c r="F5650" t="s">
        <v>804</v>
      </c>
      <c r="G5650" t="s">
        <v>16</v>
      </c>
      <c r="H5650" t="s">
        <v>53</v>
      </c>
      <c r="I5650" t="s">
        <v>53</v>
      </c>
      <c r="J5650" t="s">
        <v>53</v>
      </c>
      <c r="K5650" t="s">
        <v>53</v>
      </c>
      <c r="L5650" t="s">
        <v>53</v>
      </c>
      <c r="M5650" t="s">
        <v>53</v>
      </c>
      <c r="N5650" t="s">
        <v>53</v>
      </c>
      <c r="O5650" t="s">
        <v>53</v>
      </c>
      <c r="P5650" t="s">
        <v>53</v>
      </c>
      <c r="Q5650" t="s">
        <v>53</v>
      </c>
    </row>
    <row r="5651" spans="1:17" x14ac:dyDescent="0.2">
      <c r="A5651" s="30" t="str">
        <f>IF(C5651&amp;G5651&amp;D5651&lt;&gt;'Funnel setup'!$K$3&amp;'Funnel setup'!$K$4&amp;'Funnel setup'!$K$5,".",IF(A5650=".",1,A5650+1))</f>
        <v>.</v>
      </c>
      <c r="B5651" s="431" t="str">
        <f t="shared" si="88"/>
        <v>Knee Replacement RevisionCCG of GP PracticeNHS SALFORD CCG (01G)Oxford Knee Score</v>
      </c>
      <c r="C5651" t="s">
        <v>250</v>
      </c>
      <c r="D5651" t="s">
        <v>87</v>
      </c>
      <c r="E5651" t="s">
        <v>806</v>
      </c>
      <c r="F5651" t="s">
        <v>807</v>
      </c>
      <c r="G5651" t="s">
        <v>16</v>
      </c>
      <c r="H5651">
        <v>8</v>
      </c>
      <c r="I5651">
        <v>13</v>
      </c>
      <c r="J5651">
        <v>23.875</v>
      </c>
      <c r="K5651">
        <v>10.875</v>
      </c>
      <c r="L5651">
        <v>6</v>
      </c>
      <c r="M5651">
        <v>0</v>
      </c>
      <c r="N5651">
        <v>2</v>
      </c>
      <c r="O5651" t="s">
        <v>53</v>
      </c>
      <c r="P5651" t="s">
        <v>53</v>
      </c>
      <c r="Q5651" t="s">
        <v>53</v>
      </c>
    </row>
    <row r="5652" spans="1:17" x14ac:dyDescent="0.2">
      <c r="A5652" s="30" t="str">
        <f>IF(C5652&amp;G5652&amp;D5652&lt;&gt;'Funnel setup'!$K$3&amp;'Funnel setup'!$K$4&amp;'Funnel setup'!$K$5,".",IF(A5651=".",1,A5651+1))</f>
        <v>.</v>
      </c>
      <c r="B5652" s="431" t="str">
        <f t="shared" si="88"/>
        <v>Knee Replacement RevisionCCG of GP PracticeNHS SANDWELL AND WEST BIRMINGHAM CCG (05L)Oxford Knee Score</v>
      </c>
      <c r="C5652" t="s">
        <v>250</v>
      </c>
      <c r="D5652" t="s">
        <v>87</v>
      </c>
      <c r="E5652" t="s">
        <v>809</v>
      </c>
      <c r="F5652" t="s">
        <v>810</v>
      </c>
      <c r="G5652" t="s">
        <v>16</v>
      </c>
      <c r="H5652" t="s">
        <v>53</v>
      </c>
      <c r="I5652" t="s">
        <v>53</v>
      </c>
      <c r="J5652" t="s">
        <v>53</v>
      </c>
      <c r="K5652" t="s">
        <v>53</v>
      </c>
      <c r="L5652" t="s">
        <v>53</v>
      </c>
      <c r="M5652" t="s">
        <v>53</v>
      </c>
      <c r="N5652" t="s">
        <v>53</v>
      </c>
      <c r="O5652" t="s">
        <v>53</v>
      </c>
      <c r="P5652" t="s">
        <v>53</v>
      </c>
      <c r="Q5652" t="s">
        <v>53</v>
      </c>
    </row>
    <row r="5653" spans="1:17" x14ac:dyDescent="0.2">
      <c r="A5653" s="30" t="str">
        <f>IF(C5653&amp;G5653&amp;D5653&lt;&gt;'Funnel setup'!$K$3&amp;'Funnel setup'!$K$4&amp;'Funnel setup'!$K$5,".",IF(A5652=".",1,A5652+1))</f>
        <v>.</v>
      </c>
      <c r="B5653" s="431" t="str">
        <f t="shared" si="88"/>
        <v>Knee Replacement RevisionCCG of GP PracticeNHS SCARBOROUGH AND RYEDALE CCG (03M)Oxford Knee Score</v>
      </c>
      <c r="C5653" t="s">
        <v>250</v>
      </c>
      <c r="D5653" t="s">
        <v>87</v>
      </c>
      <c r="E5653" t="s">
        <v>812</v>
      </c>
      <c r="F5653" t="s">
        <v>813</v>
      </c>
      <c r="G5653" t="s">
        <v>16</v>
      </c>
      <c r="H5653">
        <v>9</v>
      </c>
      <c r="I5653">
        <v>13.888999999999999</v>
      </c>
      <c r="J5653">
        <v>28.777999999999999</v>
      </c>
      <c r="K5653">
        <v>14.888999999999999</v>
      </c>
      <c r="L5653">
        <v>8</v>
      </c>
      <c r="M5653">
        <v>0</v>
      </c>
      <c r="N5653">
        <v>1</v>
      </c>
      <c r="O5653" t="s">
        <v>53</v>
      </c>
      <c r="P5653" t="s">
        <v>53</v>
      </c>
      <c r="Q5653" t="s">
        <v>53</v>
      </c>
    </row>
    <row r="5654" spans="1:17" x14ac:dyDescent="0.2">
      <c r="A5654" s="30" t="str">
        <f>IF(C5654&amp;G5654&amp;D5654&lt;&gt;'Funnel setup'!$K$3&amp;'Funnel setup'!$K$4&amp;'Funnel setup'!$K$5,".",IF(A5653=".",1,A5653+1))</f>
        <v>.</v>
      </c>
      <c r="B5654" s="431" t="str">
        <f t="shared" si="88"/>
        <v>Knee Replacement RevisionCCG of GP PracticeNHS SHEFFIELD CCG (03N)Oxford Knee Score</v>
      </c>
      <c r="C5654" t="s">
        <v>250</v>
      </c>
      <c r="D5654" t="s">
        <v>87</v>
      </c>
      <c r="E5654" t="s">
        <v>815</v>
      </c>
      <c r="F5654" t="s">
        <v>816</v>
      </c>
      <c r="G5654" t="s">
        <v>16</v>
      </c>
      <c r="H5654">
        <v>24</v>
      </c>
      <c r="I5654">
        <v>16.957999999999998</v>
      </c>
      <c r="J5654">
        <v>27.667000000000002</v>
      </c>
      <c r="K5654">
        <v>10.708</v>
      </c>
      <c r="L5654">
        <v>22</v>
      </c>
      <c r="M5654">
        <v>0</v>
      </c>
      <c r="N5654">
        <v>2</v>
      </c>
      <c r="O5654" t="s">
        <v>53</v>
      </c>
      <c r="P5654" t="s">
        <v>53</v>
      </c>
      <c r="Q5654" t="s">
        <v>53</v>
      </c>
    </row>
    <row r="5655" spans="1:17" x14ac:dyDescent="0.2">
      <c r="A5655" s="30" t="str">
        <f>IF(C5655&amp;G5655&amp;D5655&lt;&gt;'Funnel setup'!$K$3&amp;'Funnel setup'!$K$4&amp;'Funnel setup'!$K$5,".",IF(A5654=".",1,A5654+1))</f>
        <v>.</v>
      </c>
      <c r="B5655" s="431" t="str">
        <f t="shared" si="88"/>
        <v>Knee Replacement RevisionCCG of GP PracticeNHS SHROPSHIRE CCG (05N)Oxford Knee Score</v>
      </c>
      <c r="C5655" t="s">
        <v>250</v>
      </c>
      <c r="D5655" t="s">
        <v>87</v>
      </c>
      <c r="E5655" t="s">
        <v>818</v>
      </c>
      <c r="F5655" t="s">
        <v>819</v>
      </c>
      <c r="G5655" t="s">
        <v>16</v>
      </c>
      <c r="H5655">
        <v>15</v>
      </c>
      <c r="I5655">
        <v>14.6</v>
      </c>
      <c r="J5655">
        <v>29.2</v>
      </c>
      <c r="K5655">
        <v>14.6</v>
      </c>
      <c r="L5655">
        <v>14</v>
      </c>
      <c r="M5655">
        <v>0</v>
      </c>
      <c r="N5655">
        <v>1</v>
      </c>
      <c r="O5655" t="s">
        <v>53</v>
      </c>
      <c r="P5655" t="s">
        <v>53</v>
      </c>
      <c r="Q5655" t="s">
        <v>53</v>
      </c>
    </row>
    <row r="5656" spans="1:17" x14ac:dyDescent="0.2">
      <c r="A5656" s="30" t="str">
        <f>IF(C5656&amp;G5656&amp;D5656&lt;&gt;'Funnel setup'!$K$3&amp;'Funnel setup'!$K$4&amp;'Funnel setup'!$K$5,".",IF(A5655=".",1,A5655+1))</f>
        <v>.</v>
      </c>
      <c r="B5656" s="431" t="str">
        <f t="shared" si="88"/>
        <v>Knee Replacement RevisionCCG of GP PracticeNHS SLOUGH CCG (10T)Oxford Knee Score</v>
      </c>
      <c r="C5656" t="s">
        <v>250</v>
      </c>
      <c r="D5656" t="s">
        <v>87</v>
      </c>
      <c r="E5656" t="s">
        <v>821</v>
      </c>
      <c r="F5656" t="s">
        <v>822</v>
      </c>
      <c r="G5656" t="s">
        <v>16</v>
      </c>
      <c r="H5656" t="s">
        <v>53</v>
      </c>
      <c r="I5656" t="s">
        <v>53</v>
      </c>
      <c r="J5656" t="s">
        <v>53</v>
      </c>
      <c r="K5656" t="s">
        <v>53</v>
      </c>
      <c r="L5656" t="s">
        <v>53</v>
      </c>
      <c r="M5656" t="s">
        <v>53</v>
      </c>
      <c r="N5656" t="s">
        <v>53</v>
      </c>
      <c r="O5656" t="s">
        <v>53</v>
      </c>
      <c r="P5656" t="s">
        <v>53</v>
      </c>
      <c r="Q5656" t="s">
        <v>53</v>
      </c>
    </row>
    <row r="5657" spans="1:17" x14ac:dyDescent="0.2">
      <c r="A5657" s="30" t="str">
        <f>IF(C5657&amp;G5657&amp;D5657&lt;&gt;'Funnel setup'!$K$3&amp;'Funnel setup'!$K$4&amp;'Funnel setup'!$K$5,".",IF(A5656=".",1,A5656+1))</f>
        <v>.</v>
      </c>
      <c r="B5657" s="431" t="str">
        <f t="shared" si="88"/>
        <v>Knee Replacement RevisionCCG of GP PracticeNHS SOLIHULL CCG (05P)Oxford Knee Score</v>
      </c>
      <c r="C5657" t="s">
        <v>250</v>
      </c>
      <c r="D5657" t="s">
        <v>87</v>
      </c>
      <c r="E5657" t="s">
        <v>824</v>
      </c>
      <c r="F5657" t="s">
        <v>825</v>
      </c>
      <c r="G5657" t="s">
        <v>16</v>
      </c>
      <c r="H5657">
        <v>7</v>
      </c>
      <c r="I5657">
        <v>15.571</v>
      </c>
      <c r="J5657">
        <v>25.286000000000001</v>
      </c>
      <c r="K5657">
        <v>9.7140000000000004</v>
      </c>
      <c r="L5657">
        <v>6</v>
      </c>
      <c r="M5657">
        <v>0</v>
      </c>
      <c r="N5657">
        <v>1</v>
      </c>
      <c r="O5657" t="s">
        <v>53</v>
      </c>
      <c r="P5657" t="s">
        <v>53</v>
      </c>
      <c r="Q5657" t="s">
        <v>53</v>
      </c>
    </row>
    <row r="5658" spans="1:17" x14ac:dyDescent="0.2">
      <c r="A5658" s="30" t="str">
        <f>IF(C5658&amp;G5658&amp;D5658&lt;&gt;'Funnel setup'!$K$3&amp;'Funnel setup'!$K$4&amp;'Funnel setup'!$K$5,".",IF(A5657=".",1,A5657+1))</f>
        <v>.</v>
      </c>
      <c r="B5658" s="431" t="str">
        <f t="shared" si="88"/>
        <v>Knee Replacement RevisionCCG of GP PracticeNHS SOMERSET CCG (11X)Oxford Knee Score</v>
      </c>
      <c r="C5658" t="s">
        <v>250</v>
      </c>
      <c r="D5658" t="s">
        <v>87</v>
      </c>
      <c r="E5658" t="s">
        <v>827</v>
      </c>
      <c r="F5658" t="s">
        <v>828</v>
      </c>
      <c r="G5658" t="s">
        <v>16</v>
      </c>
      <c r="H5658">
        <v>8</v>
      </c>
      <c r="I5658">
        <v>18.25</v>
      </c>
      <c r="J5658">
        <v>31.25</v>
      </c>
      <c r="K5658">
        <v>13</v>
      </c>
      <c r="L5658">
        <v>7</v>
      </c>
      <c r="M5658">
        <v>0</v>
      </c>
      <c r="N5658">
        <v>1</v>
      </c>
      <c r="O5658" t="s">
        <v>53</v>
      </c>
      <c r="P5658" t="s">
        <v>53</v>
      </c>
      <c r="Q5658" t="s">
        <v>53</v>
      </c>
    </row>
    <row r="5659" spans="1:17" x14ac:dyDescent="0.2">
      <c r="A5659" s="30" t="str">
        <f>IF(C5659&amp;G5659&amp;D5659&lt;&gt;'Funnel setup'!$K$3&amp;'Funnel setup'!$K$4&amp;'Funnel setup'!$K$5,".",IF(A5658=".",1,A5658+1))</f>
        <v>.</v>
      </c>
      <c r="B5659" s="431" t="str">
        <f t="shared" si="88"/>
        <v>Knee Replacement RevisionCCG of GP PracticeNHS SOUTH CHESHIRE CCG (01R)Oxford Knee Score</v>
      </c>
      <c r="C5659" t="s">
        <v>250</v>
      </c>
      <c r="D5659" t="s">
        <v>87</v>
      </c>
      <c r="E5659" t="s">
        <v>830</v>
      </c>
      <c r="F5659" t="s">
        <v>831</v>
      </c>
      <c r="G5659" t="s">
        <v>16</v>
      </c>
      <c r="H5659">
        <v>7</v>
      </c>
      <c r="I5659">
        <v>16.286000000000001</v>
      </c>
      <c r="J5659">
        <v>35.286000000000001</v>
      </c>
      <c r="K5659">
        <v>19</v>
      </c>
      <c r="L5659">
        <v>7</v>
      </c>
      <c r="M5659">
        <v>0</v>
      </c>
      <c r="N5659">
        <v>0</v>
      </c>
      <c r="O5659" t="s">
        <v>53</v>
      </c>
      <c r="P5659" t="s">
        <v>53</v>
      </c>
      <c r="Q5659" t="s">
        <v>53</v>
      </c>
    </row>
    <row r="5660" spans="1:17" x14ac:dyDescent="0.2">
      <c r="A5660" s="30" t="str">
        <f>IF(C5660&amp;G5660&amp;D5660&lt;&gt;'Funnel setup'!$K$3&amp;'Funnel setup'!$K$4&amp;'Funnel setup'!$K$5,".",IF(A5659=".",1,A5659+1))</f>
        <v>.</v>
      </c>
      <c r="B5660" s="431" t="str">
        <f t="shared" si="88"/>
        <v>Knee Replacement RevisionCCG of GP PracticeNHS SOUTH DEVON AND TORBAY CCG (99Q)Oxford Knee Score</v>
      </c>
      <c r="C5660" t="s">
        <v>250</v>
      </c>
      <c r="D5660" t="s">
        <v>87</v>
      </c>
      <c r="E5660" t="s">
        <v>833</v>
      </c>
      <c r="F5660" t="s">
        <v>834</v>
      </c>
      <c r="G5660" t="s">
        <v>16</v>
      </c>
      <c r="H5660">
        <v>14</v>
      </c>
      <c r="I5660">
        <v>20</v>
      </c>
      <c r="J5660">
        <v>36.786000000000001</v>
      </c>
      <c r="K5660">
        <v>16.786000000000001</v>
      </c>
      <c r="L5660">
        <v>13</v>
      </c>
      <c r="M5660">
        <v>0</v>
      </c>
      <c r="N5660">
        <v>1</v>
      </c>
      <c r="O5660" t="s">
        <v>53</v>
      </c>
      <c r="P5660" t="s">
        <v>53</v>
      </c>
      <c r="Q5660" t="s">
        <v>53</v>
      </c>
    </row>
    <row r="5661" spans="1:17" x14ac:dyDescent="0.2">
      <c r="A5661" s="30" t="str">
        <f>IF(C5661&amp;G5661&amp;D5661&lt;&gt;'Funnel setup'!$K$3&amp;'Funnel setup'!$K$4&amp;'Funnel setup'!$K$5,".",IF(A5660=".",1,A5660+1))</f>
        <v>.</v>
      </c>
      <c r="B5661" s="431" t="str">
        <f t="shared" si="88"/>
        <v>Knee Replacement RevisionCCG of GP PracticeNHS SOUTH EAST STAFFORDSHIRE AND SEISDON PENINSULA CCG (05Q)Oxford Knee Score</v>
      </c>
      <c r="C5661" t="s">
        <v>250</v>
      </c>
      <c r="D5661" t="s">
        <v>87</v>
      </c>
      <c r="E5661" t="s">
        <v>836</v>
      </c>
      <c r="F5661" t="s">
        <v>837</v>
      </c>
      <c r="G5661" t="s">
        <v>16</v>
      </c>
      <c r="H5661">
        <v>7</v>
      </c>
      <c r="I5661">
        <v>17.713999999999999</v>
      </c>
      <c r="J5661">
        <v>29.143000000000001</v>
      </c>
      <c r="K5661">
        <v>11.429</v>
      </c>
      <c r="L5661">
        <v>7</v>
      </c>
      <c r="M5661">
        <v>0</v>
      </c>
      <c r="N5661">
        <v>0</v>
      </c>
      <c r="O5661" t="s">
        <v>53</v>
      </c>
      <c r="P5661" t="s">
        <v>53</v>
      </c>
      <c r="Q5661" t="s">
        <v>53</v>
      </c>
    </row>
    <row r="5662" spans="1:17" x14ac:dyDescent="0.2">
      <c r="A5662" s="30" t="str">
        <f>IF(C5662&amp;G5662&amp;D5662&lt;&gt;'Funnel setup'!$K$3&amp;'Funnel setup'!$K$4&amp;'Funnel setup'!$K$5,".",IF(A5661=".",1,A5661+1))</f>
        <v>.</v>
      </c>
      <c r="B5662" s="431" t="str">
        <f t="shared" si="88"/>
        <v>Knee Replacement RevisionCCG of GP PracticeNHS SOUTH EASTERN HAMPSHIRE CCG (10V)Oxford Knee Score</v>
      </c>
      <c r="C5662" t="s">
        <v>250</v>
      </c>
      <c r="D5662" t="s">
        <v>87</v>
      </c>
      <c r="E5662" t="s">
        <v>839</v>
      </c>
      <c r="F5662" t="s">
        <v>840</v>
      </c>
      <c r="G5662" t="s">
        <v>16</v>
      </c>
      <c r="H5662" t="s">
        <v>53</v>
      </c>
      <c r="I5662" t="s">
        <v>53</v>
      </c>
      <c r="J5662" t="s">
        <v>53</v>
      </c>
      <c r="K5662" t="s">
        <v>53</v>
      </c>
      <c r="L5662" t="s">
        <v>53</v>
      </c>
      <c r="M5662" t="s">
        <v>53</v>
      </c>
      <c r="N5662" t="s">
        <v>53</v>
      </c>
      <c r="O5662" t="s">
        <v>53</v>
      </c>
      <c r="P5662" t="s">
        <v>53</v>
      </c>
      <c r="Q5662" t="s">
        <v>53</v>
      </c>
    </row>
    <row r="5663" spans="1:17" x14ac:dyDescent="0.2">
      <c r="A5663" s="30" t="str">
        <f>IF(C5663&amp;G5663&amp;D5663&lt;&gt;'Funnel setup'!$K$3&amp;'Funnel setup'!$K$4&amp;'Funnel setup'!$K$5,".",IF(A5662=".",1,A5662+1))</f>
        <v>.</v>
      </c>
      <c r="B5663" s="431" t="str">
        <f t="shared" si="88"/>
        <v>Knee Replacement RevisionCCG of GP PracticeNHS SOUTH GLOUCESTERSHIRE CCG (12A)Oxford Knee Score</v>
      </c>
      <c r="C5663" t="s">
        <v>250</v>
      </c>
      <c r="D5663" t="s">
        <v>87</v>
      </c>
      <c r="E5663" t="s">
        <v>842</v>
      </c>
      <c r="F5663" t="s">
        <v>843</v>
      </c>
      <c r="G5663" t="s">
        <v>16</v>
      </c>
      <c r="H5663">
        <v>6</v>
      </c>
      <c r="I5663">
        <v>14.333</v>
      </c>
      <c r="J5663">
        <v>30.5</v>
      </c>
      <c r="K5663">
        <v>16.167000000000002</v>
      </c>
      <c r="L5663">
        <v>6</v>
      </c>
      <c r="M5663">
        <v>0</v>
      </c>
      <c r="N5663">
        <v>0</v>
      </c>
      <c r="O5663" t="s">
        <v>53</v>
      </c>
      <c r="P5663" t="s">
        <v>53</v>
      </c>
      <c r="Q5663" t="s">
        <v>53</v>
      </c>
    </row>
    <row r="5664" spans="1:17" x14ac:dyDescent="0.2">
      <c r="A5664" s="30" t="str">
        <f>IF(C5664&amp;G5664&amp;D5664&lt;&gt;'Funnel setup'!$K$3&amp;'Funnel setup'!$K$4&amp;'Funnel setup'!$K$5,".",IF(A5663=".",1,A5663+1))</f>
        <v>.</v>
      </c>
      <c r="B5664" s="431" t="str">
        <f t="shared" si="88"/>
        <v>Knee Replacement RevisionCCG of GP PracticeNHS SOUTH KENT COAST CCG (10A)Oxford Knee Score</v>
      </c>
      <c r="C5664" t="s">
        <v>250</v>
      </c>
      <c r="D5664" t="s">
        <v>87</v>
      </c>
      <c r="E5664" t="s">
        <v>845</v>
      </c>
      <c r="F5664" t="s">
        <v>846</v>
      </c>
      <c r="G5664" t="s">
        <v>16</v>
      </c>
      <c r="H5664" t="s">
        <v>53</v>
      </c>
      <c r="I5664" t="s">
        <v>53</v>
      </c>
      <c r="J5664" t="s">
        <v>53</v>
      </c>
      <c r="K5664" t="s">
        <v>53</v>
      </c>
      <c r="L5664" t="s">
        <v>53</v>
      </c>
      <c r="M5664" t="s">
        <v>53</v>
      </c>
      <c r="N5664" t="s">
        <v>53</v>
      </c>
      <c r="O5664" t="s">
        <v>53</v>
      </c>
      <c r="P5664" t="s">
        <v>53</v>
      </c>
      <c r="Q5664" t="s">
        <v>53</v>
      </c>
    </row>
    <row r="5665" spans="1:17" x14ac:dyDescent="0.2">
      <c r="A5665" s="30" t="str">
        <f>IF(C5665&amp;G5665&amp;D5665&lt;&gt;'Funnel setup'!$K$3&amp;'Funnel setup'!$K$4&amp;'Funnel setup'!$K$5,".",IF(A5664=".",1,A5664+1))</f>
        <v>.</v>
      </c>
      <c r="B5665" s="431" t="str">
        <f t="shared" si="88"/>
        <v>Knee Replacement RevisionCCG of GP PracticeNHS SOUTH LINCOLNSHIRE CCG (99D)Oxford Knee Score</v>
      </c>
      <c r="C5665" t="s">
        <v>250</v>
      </c>
      <c r="D5665" t="s">
        <v>87</v>
      </c>
      <c r="E5665" t="s">
        <v>848</v>
      </c>
      <c r="F5665" t="s">
        <v>849</v>
      </c>
      <c r="G5665" t="s">
        <v>16</v>
      </c>
      <c r="H5665">
        <v>8</v>
      </c>
      <c r="I5665">
        <v>14.875</v>
      </c>
      <c r="J5665">
        <v>21.375</v>
      </c>
      <c r="K5665">
        <v>6.5</v>
      </c>
      <c r="L5665">
        <v>6</v>
      </c>
      <c r="M5665">
        <v>2</v>
      </c>
      <c r="N5665">
        <v>0</v>
      </c>
      <c r="O5665" t="s">
        <v>53</v>
      </c>
      <c r="P5665" t="s">
        <v>53</v>
      </c>
      <c r="Q5665" t="s">
        <v>53</v>
      </c>
    </row>
    <row r="5666" spans="1:17" x14ac:dyDescent="0.2">
      <c r="A5666" s="30" t="str">
        <f>IF(C5666&amp;G5666&amp;D5666&lt;&gt;'Funnel setup'!$K$3&amp;'Funnel setup'!$K$4&amp;'Funnel setup'!$K$5,".",IF(A5665=".",1,A5665+1))</f>
        <v>.</v>
      </c>
      <c r="B5666" s="431" t="str">
        <f t="shared" si="88"/>
        <v>Knee Replacement RevisionCCG of GP PracticeNHS SOUTH MANCHESTER CCG (01N)Oxford Knee Score</v>
      </c>
      <c r="C5666" t="s">
        <v>250</v>
      </c>
      <c r="D5666" t="s">
        <v>87</v>
      </c>
      <c r="E5666" t="s">
        <v>851</v>
      </c>
      <c r="F5666" t="s">
        <v>852</v>
      </c>
      <c r="G5666" t="s">
        <v>16</v>
      </c>
      <c r="H5666" t="s">
        <v>53</v>
      </c>
      <c r="I5666" t="s">
        <v>53</v>
      </c>
      <c r="J5666" t="s">
        <v>53</v>
      </c>
      <c r="K5666" t="s">
        <v>53</v>
      </c>
      <c r="L5666" t="s">
        <v>53</v>
      </c>
      <c r="M5666" t="s">
        <v>53</v>
      </c>
      <c r="N5666" t="s">
        <v>53</v>
      </c>
      <c r="O5666" t="s">
        <v>53</v>
      </c>
      <c r="P5666" t="s">
        <v>53</v>
      </c>
      <c r="Q5666" t="s">
        <v>53</v>
      </c>
    </row>
    <row r="5667" spans="1:17" x14ac:dyDescent="0.2">
      <c r="A5667" s="30" t="str">
        <f>IF(C5667&amp;G5667&amp;D5667&lt;&gt;'Funnel setup'!$K$3&amp;'Funnel setup'!$K$4&amp;'Funnel setup'!$K$5,".",IF(A5666=".",1,A5666+1))</f>
        <v>.</v>
      </c>
      <c r="B5667" s="431" t="str">
        <f t="shared" si="88"/>
        <v>Knee Replacement RevisionCCG of GP PracticeNHS SOUTH NORFOLK CCG (06Y)Oxford Knee Score</v>
      </c>
      <c r="C5667" t="s">
        <v>250</v>
      </c>
      <c r="D5667" t="s">
        <v>87</v>
      </c>
      <c r="E5667" t="s">
        <v>932</v>
      </c>
      <c r="F5667" t="s">
        <v>933</v>
      </c>
      <c r="G5667" t="s">
        <v>16</v>
      </c>
      <c r="H5667">
        <v>16</v>
      </c>
      <c r="I5667">
        <v>15.625</v>
      </c>
      <c r="J5667">
        <v>33.313000000000002</v>
      </c>
      <c r="K5667">
        <v>17.687999999999999</v>
      </c>
      <c r="L5667">
        <v>14</v>
      </c>
      <c r="M5667">
        <v>0</v>
      </c>
      <c r="N5667">
        <v>2</v>
      </c>
      <c r="O5667" t="s">
        <v>53</v>
      </c>
      <c r="P5667" t="s">
        <v>53</v>
      </c>
      <c r="Q5667" t="s">
        <v>53</v>
      </c>
    </row>
    <row r="5668" spans="1:17" x14ac:dyDescent="0.2">
      <c r="A5668" s="30" t="str">
        <f>IF(C5668&amp;G5668&amp;D5668&lt;&gt;'Funnel setup'!$K$3&amp;'Funnel setup'!$K$4&amp;'Funnel setup'!$K$5,".",IF(A5667=".",1,A5667+1))</f>
        <v>.</v>
      </c>
      <c r="B5668" s="431" t="str">
        <f t="shared" si="88"/>
        <v>Knee Replacement RevisionCCG of GP PracticeNHS SOUTH READING CCG (10W)Oxford Knee Score</v>
      </c>
      <c r="C5668" t="s">
        <v>250</v>
      </c>
      <c r="D5668" t="s">
        <v>87</v>
      </c>
      <c r="E5668" t="s">
        <v>935</v>
      </c>
      <c r="F5668" t="s">
        <v>936</v>
      </c>
      <c r="G5668" t="s">
        <v>16</v>
      </c>
      <c r="H5668" t="s">
        <v>53</v>
      </c>
      <c r="I5668" t="s">
        <v>53</v>
      </c>
      <c r="J5668" t="s">
        <v>53</v>
      </c>
      <c r="K5668" t="s">
        <v>53</v>
      </c>
      <c r="L5668" t="s">
        <v>53</v>
      </c>
      <c r="M5668" t="s">
        <v>53</v>
      </c>
      <c r="N5668" t="s">
        <v>53</v>
      </c>
      <c r="O5668" t="s">
        <v>53</v>
      </c>
      <c r="P5668" t="s">
        <v>53</v>
      </c>
      <c r="Q5668" t="s">
        <v>53</v>
      </c>
    </row>
    <row r="5669" spans="1:17" x14ac:dyDescent="0.2">
      <c r="A5669" s="30" t="str">
        <f>IF(C5669&amp;G5669&amp;D5669&lt;&gt;'Funnel setup'!$K$3&amp;'Funnel setup'!$K$4&amp;'Funnel setup'!$K$5,".",IF(A5668=".",1,A5668+1))</f>
        <v>.</v>
      </c>
      <c r="B5669" s="431" t="str">
        <f t="shared" si="88"/>
        <v>Knee Replacement RevisionCCG of GP PracticeNHS SOUTH SEFTON CCG (01T)Oxford Knee Score</v>
      </c>
      <c r="C5669" t="s">
        <v>250</v>
      </c>
      <c r="D5669" t="s">
        <v>87</v>
      </c>
      <c r="E5669" t="s">
        <v>938</v>
      </c>
      <c r="F5669" t="s">
        <v>939</v>
      </c>
      <c r="G5669" t="s">
        <v>16</v>
      </c>
      <c r="H5669" t="s">
        <v>53</v>
      </c>
      <c r="I5669" t="s">
        <v>53</v>
      </c>
      <c r="J5669" t="s">
        <v>53</v>
      </c>
      <c r="K5669" t="s">
        <v>53</v>
      </c>
      <c r="L5669" t="s">
        <v>53</v>
      </c>
      <c r="M5669" t="s">
        <v>53</v>
      </c>
      <c r="N5669" t="s">
        <v>53</v>
      </c>
      <c r="O5669" t="s">
        <v>53</v>
      </c>
      <c r="P5669" t="s">
        <v>53</v>
      </c>
      <c r="Q5669" t="s">
        <v>53</v>
      </c>
    </row>
    <row r="5670" spans="1:17" x14ac:dyDescent="0.2">
      <c r="A5670" s="30" t="str">
        <f>IF(C5670&amp;G5670&amp;D5670&lt;&gt;'Funnel setup'!$K$3&amp;'Funnel setup'!$K$4&amp;'Funnel setup'!$K$5,".",IF(A5669=".",1,A5669+1))</f>
        <v>.</v>
      </c>
      <c r="B5670" s="431" t="str">
        <f t="shared" si="88"/>
        <v>Knee Replacement RevisionCCG of GP PracticeNHS SOUTH TEES CCG (00M)Oxford Knee Score</v>
      </c>
      <c r="C5670" t="s">
        <v>250</v>
      </c>
      <c r="D5670" t="s">
        <v>87</v>
      </c>
      <c r="E5670" t="s">
        <v>941</v>
      </c>
      <c r="F5670" t="s">
        <v>942</v>
      </c>
      <c r="G5670" t="s">
        <v>16</v>
      </c>
      <c r="H5670">
        <v>7</v>
      </c>
      <c r="I5670">
        <v>15.286</v>
      </c>
      <c r="J5670">
        <v>25</v>
      </c>
      <c r="K5670">
        <v>9.7140000000000004</v>
      </c>
      <c r="L5670">
        <v>7</v>
      </c>
      <c r="M5670">
        <v>0</v>
      </c>
      <c r="N5670">
        <v>0</v>
      </c>
      <c r="O5670" t="s">
        <v>53</v>
      </c>
      <c r="P5670" t="s">
        <v>53</v>
      </c>
      <c r="Q5670" t="s">
        <v>53</v>
      </c>
    </row>
    <row r="5671" spans="1:17" x14ac:dyDescent="0.2">
      <c r="A5671" s="30" t="str">
        <f>IF(C5671&amp;G5671&amp;D5671&lt;&gt;'Funnel setup'!$K$3&amp;'Funnel setup'!$K$4&amp;'Funnel setup'!$K$5,".",IF(A5670=".",1,A5670+1))</f>
        <v>.</v>
      </c>
      <c r="B5671" s="431" t="str">
        <f t="shared" si="88"/>
        <v>Knee Replacement RevisionCCG of GP PracticeNHS SOUTH TYNESIDE CCG (00N)Oxford Knee Score</v>
      </c>
      <c r="C5671" t="s">
        <v>250</v>
      </c>
      <c r="D5671" t="s">
        <v>87</v>
      </c>
      <c r="E5671" t="s">
        <v>1016</v>
      </c>
      <c r="F5671" t="s">
        <v>1017</v>
      </c>
      <c r="G5671" t="s">
        <v>16</v>
      </c>
      <c r="H5671" t="s">
        <v>53</v>
      </c>
      <c r="I5671" t="s">
        <v>53</v>
      </c>
      <c r="J5671" t="s">
        <v>53</v>
      </c>
      <c r="K5671" t="s">
        <v>53</v>
      </c>
      <c r="L5671" t="s">
        <v>53</v>
      </c>
      <c r="M5671" t="s">
        <v>53</v>
      </c>
      <c r="N5671" t="s">
        <v>53</v>
      </c>
      <c r="O5671" t="s">
        <v>53</v>
      </c>
      <c r="P5671" t="s">
        <v>53</v>
      </c>
      <c r="Q5671" t="s">
        <v>53</v>
      </c>
    </row>
    <row r="5672" spans="1:17" x14ac:dyDescent="0.2">
      <c r="A5672" s="30" t="str">
        <f>IF(C5672&amp;G5672&amp;D5672&lt;&gt;'Funnel setup'!$K$3&amp;'Funnel setup'!$K$4&amp;'Funnel setup'!$K$5,".",IF(A5671=".",1,A5671+1))</f>
        <v>.</v>
      </c>
      <c r="B5672" s="431" t="str">
        <f t="shared" si="88"/>
        <v>Knee Replacement RevisionCCG of GP PracticeNHS SOUTH WARWICKSHIRE CCG (05R)Oxford Knee Score</v>
      </c>
      <c r="C5672" t="s">
        <v>250</v>
      </c>
      <c r="D5672" t="s">
        <v>87</v>
      </c>
      <c r="E5672" t="s">
        <v>944</v>
      </c>
      <c r="F5672" t="s">
        <v>945</v>
      </c>
      <c r="G5672" t="s">
        <v>16</v>
      </c>
      <c r="H5672">
        <v>14</v>
      </c>
      <c r="I5672">
        <v>20.786000000000001</v>
      </c>
      <c r="J5672">
        <v>33.213999999999999</v>
      </c>
      <c r="K5672">
        <v>12.429</v>
      </c>
      <c r="L5672">
        <v>13</v>
      </c>
      <c r="M5672">
        <v>0</v>
      </c>
      <c r="N5672">
        <v>1</v>
      </c>
      <c r="O5672" t="s">
        <v>53</v>
      </c>
      <c r="P5672" t="s">
        <v>53</v>
      </c>
      <c r="Q5672" t="s">
        <v>53</v>
      </c>
    </row>
    <row r="5673" spans="1:17" x14ac:dyDescent="0.2">
      <c r="A5673" s="30" t="str">
        <f>IF(C5673&amp;G5673&amp;D5673&lt;&gt;'Funnel setup'!$K$3&amp;'Funnel setup'!$K$4&amp;'Funnel setup'!$K$5,".",IF(A5672=".",1,A5672+1))</f>
        <v>.</v>
      </c>
      <c r="B5673" s="431" t="str">
        <f t="shared" si="88"/>
        <v>Knee Replacement RevisionCCG of GP PracticeNHS SOUTH WEST LINCOLNSHIRE CCG (04Q)Oxford Knee Score</v>
      </c>
      <c r="C5673" t="s">
        <v>250</v>
      </c>
      <c r="D5673" t="s">
        <v>87</v>
      </c>
      <c r="E5673" t="s">
        <v>947</v>
      </c>
      <c r="F5673" t="s">
        <v>948</v>
      </c>
      <c r="G5673" t="s">
        <v>16</v>
      </c>
      <c r="H5673" t="s">
        <v>53</v>
      </c>
      <c r="I5673" t="s">
        <v>53</v>
      </c>
      <c r="J5673" t="s">
        <v>53</v>
      </c>
      <c r="K5673" t="s">
        <v>53</v>
      </c>
      <c r="L5673" t="s">
        <v>53</v>
      </c>
      <c r="M5673" t="s">
        <v>53</v>
      </c>
      <c r="N5673" t="s">
        <v>53</v>
      </c>
      <c r="O5673" t="s">
        <v>53</v>
      </c>
      <c r="P5673" t="s">
        <v>53</v>
      </c>
      <c r="Q5673" t="s">
        <v>53</v>
      </c>
    </row>
    <row r="5674" spans="1:17" x14ac:dyDescent="0.2">
      <c r="A5674" s="30" t="str">
        <f>IF(C5674&amp;G5674&amp;D5674&lt;&gt;'Funnel setup'!$K$3&amp;'Funnel setup'!$K$4&amp;'Funnel setup'!$K$5,".",IF(A5673=".",1,A5673+1))</f>
        <v>.</v>
      </c>
      <c r="B5674" s="431" t="str">
        <f t="shared" si="88"/>
        <v>Knee Replacement RevisionCCG of GP PracticeNHS SOUTH WORCESTERSHIRE CCG (05T)Oxford Knee Score</v>
      </c>
      <c r="C5674" t="s">
        <v>250</v>
      </c>
      <c r="D5674" t="s">
        <v>87</v>
      </c>
      <c r="E5674" t="s">
        <v>950</v>
      </c>
      <c r="F5674" t="s">
        <v>951</v>
      </c>
      <c r="G5674" t="s">
        <v>16</v>
      </c>
      <c r="H5674">
        <v>10</v>
      </c>
      <c r="I5674">
        <v>18.2</v>
      </c>
      <c r="J5674">
        <v>34.700000000000003</v>
      </c>
      <c r="K5674">
        <v>16.5</v>
      </c>
      <c r="L5674">
        <v>10</v>
      </c>
      <c r="M5674">
        <v>0</v>
      </c>
      <c r="N5674">
        <v>0</v>
      </c>
      <c r="O5674" t="s">
        <v>53</v>
      </c>
      <c r="P5674" t="s">
        <v>53</v>
      </c>
      <c r="Q5674" t="s">
        <v>53</v>
      </c>
    </row>
    <row r="5675" spans="1:17" x14ac:dyDescent="0.2">
      <c r="A5675" s="30" t="str">
        <f>IF(C5675&amp;G5675&amp;D5675&lt;&gt;'Funnel setup'!$K$3&amp;'Funnel setup'!$K$4&amp;'Funnel setup'!$K$5,".",IF(A5674=".",1,A5674+1))</f>
        <v>.</v>
      </c>
      <c r="B5675" s="431" t="str">
        <f t="shared" si="88"/>
        <v>Knee Replacement RevisionCCG of GP PracticeNHS SOUTHAMPTON CCG (10X)Oxford Knee Score</v>
      </c>
      <c r="C5675" t="s">
        <v>250</v>
      </c>
      <c r="D5675" t="s">
        <v>87</v>
      </c>
      <c r="E5675" t="s">
        <v>953</v>
      </c>
      <c r="F5675" t="s">
        <v>954</v>
      </c>
      <c r="G5675" t="s">
        <v>16</v>
      </c>
      <c r="H5675">
        <v>18</v>
      </c>
      <c r="I5675">
        <v>16.777999999999999</v>
      </c>
      <c r="J5675">
        <v>29.443999999999999</v>
      </c>
      <c r="K5675">
        <v>12.667</v>
      </c>
      <c r="L5675">
        <v>16</v>
      </c>
      <c r="M5675">
        <v>0</v>
      </c>
      <c r="N5675">
        <v>2</v>
      </c>
      <c r="O5675" t="s">
        <v>53</v>
      </c>
      <c r="P5675" t="s">
        <v>53</v>
      </c>
      <c r="Q5675" t="s">
        <v>53</v>
      </c>
    </row>
    <row r="5676" spans="1:17" x14ac:dyDescent="0.2">
      <c r="A5676" s="30" t="str">
        <f>IF(C5676&amp;G5676&amp;D5676&lt;&gt;'Funnel setup'!$K$3&amp;'Funnel setup'!$K$4&amp;'Funnel setup'!$K$5,".",IF(A5675=".",1,A5675+1))</f>
        <v>.</v>
      </c>
      <c r="B5676" s="431" t="str">
        <f t="shared" si="88"/>
        <v>Knee Replacement RevisionCCG of GP PracticeNHS SOUTHERN DERBYSHIRE CCG (04R)Oxford Knee Score</v>
      </c>
      <c r="C5676" t="s">
        <v>250</v>
      </c>
      <c r="D5676" t="s">
        <v>87</v>
      </c>
      <c r="E5676" t="s">
        <v>959</v>
      </c>
      <c r="F5676" t="s">
        <v>960</v>
      </c>
      <c r="G5676" t="s">
        <v>16</v>
      </c>
      <c r="H5676">
        <v>14</v>
      </c>
      <c r="I5676">
        <v>17.713999999999999</v>
      </c>
      <c r="J5676">
        <v>26.213999999999999</v>
      </c>
      <c r="K5676">
        <v>8.5</v>
      </c>
      <c r="L5676">
        <v>11</v>
      </c>
      <c r="M5676">
        <v>0</v>
      </c>
      <c r="N5676">
        <v>3</v>
      </c>
      <c r="O5676" t="s">
        <v>53</v>
      </c>
      <c r="P5676" t="s">
        <v>53</v>
      </c>
      <c r="Q5676" t="s">
        <v>53</v>
      </c>
    </row>
    <row r="5677" spans="1:17" x14ac:dyDescent="0.2">
      <c r="A5677" s="30" t="str">
        <f>IF(C5677&amp;G5677&amp;D5677&lt;&gt;'Funnel setup'!$K$3&amp;'Funnel setup'!$K$4&amp;'Funnel setup'!$K$5,".",IF(A5676=".",1,A5676+1))</f>
        <v>.</v>
      </c>
      <c r="B5677" s="431" t="str">
        <f t="shared" si="88"/>
        <v>Knee Replacement RevisionCCG of GP PracticeNHS SOUTHPORT AND FORMBY CCG (01V)Oxford Knee Score</v>
      </c>
      <c r="C5677" t="s">
        <v>250</v>
      </c>
      <c r="D5677" t="s">
        <v>87</v>
      </c>
      <c r="E5677" t="s">
        <v>962</v>
      </c>
      <c r="F5677" t="s">
        <v>963</v>
      </c>
      <c r="G5677" t="s">
        <v>16</v>
      </c>
      <c r="H5677">
        <v>7</v>
      </c>
      <c r="I5677">
        <v>15</v>
      </c>
      <c r="J5677">
        <v>31.286000000000001</v>
      </c>
      <c r="K5677">
        <v>16.286000000000001</v>
      </c>
      <c r="L5677">
        <v>7</v>
      </c>
      <c r="M5677">
        <v>0</v>
      </c>
      <c r="N5677">
        <v>0</v>
      </c>
      <c r="O5677" t="s">
        <v>53</v>
      </c>
      <c r="P5677" t="s">
        <v>53</v>
      </c>
      <c r="Q5677" t="s">
        <v>53</v>
      </c>
    </row>
    <row r="5678" spans="1:17" x14ac:dyDescent="0.2">
      <c r="A5678" s="30" t="str">
        <f>IF(C5678&amp;G5678&amp;D5678&lt;&gt;'Funnel setup'!$K$3&amp;'Funnel setup'!$K$4&amp;'Funnel setup'!$K$5,".",IF(A5677=".",1,A5677+1))</f>
        <v>.</v>
      </c>
      <c r="B5678" s="431" t="str">
        <f t="shared" si="88"/>
        <v>Knee Replacement RevisionCCG of GP PracticeNHS SOUTHWARK CCG (08Q)Oxford Knee Score</v>
      </c>
      <c r="C5678" t="s">
        <v>250</v>
      </c>
      <c r="D5678" t="s">
        <v>87</v>
      </c>
      <c r="E5678" t="s">
        <v>965</v>
      </c>
      <c r="F5678" t="s">
        <v>966</v>
      </c>
      <c r="G5678" t="s">
        <v>16</v>
      </c>
      <c r="H5678" t="s">
        <v>53</v>
      </c>
      <c r="I5678" t="s">
        <v>53</v>
      </c>
      <c r="J5678" t="s">
        <v>53</v>
      </c>
      <c r="K5678" t="s">
        <v>53</v>
      </c>
      <c r="L5678" t="s">
        <v>53</v>
      </c>
      <c r="M5678" t="s">
        <v>53</v>
      </c>
      <c r="N5678" t="s">
        <v>53</v>
      </c>
      <c r="O5678" t="s">
        <v>53</v>
      </c>
      <c r="P5678" t="s">
        <v>53</v>
      </c>
      <c r="Q5678" t="s">
        <v>53</v>
      </c>
    </row>
    <row r="5679" spans="1:17" x14ac:dyDescent="0.2">
      <c r="A5679" s="30" t="str">
        <f>IF(C5679&amp;G5679&amp;D5679&lt;&gt;'Funnel setup'!$K$3&amp;'Funnel setup'!$K$4&amp;'Funnel setup'!$K$5,".",IF(A5678=".",1,A5678+1))</f>
        <v>.</v>
      </c>
      <c r="B5679" s="431" t="str">
        <f t="shared" si="88"/>
        <v>Knee Replacement RevisionCCG of GP PracticeNHS ST HELENS CCG (01X)Oxford Knee Score</v>
      </c>
      <c r="C5679" t="s">
        <v>250</v>
      </c>
      <c r="D5679" t="s">
        <v>87</v>
      </c>
      <c r="E5679" t="s">
        <v>968</v>
      </c>
      <c r="F5679" t="s">
        <v>969</v>
      </c>
      <c r="G5679" t="s">
        <v>16</v>
      </c>
      <c r="H5679">
        <v>6</v>
      </c>
      <c r="I5679">
        <v>18.5</v>
      </c>
      <c r="J5679">
        <v>26</v>
      </c>
      <c r="K5679">
        <v>7.5</v>
      </c>
      <c r="L5679">
        <v>5</v>
      </c>
      <c r="M5679">
        <v>0</v>
      </c>
      <c r="N5679">
        <v>1</v>
      </c>
      <c r="O5679" t="s">
        <v>53</v>
      </c>
      <c r="P5679" t="s">
        <v>53</v>
      </c>
      <c r="Q5679" t="s">
        <v>53</v>
      </c>
    </row>
    <row r="5680" spans="1:17" x14ac:dyDescent="0.2">
      <c r="A5680" s="30" t="str">
        <f>IF(C5680&amp;G5680&amp;D5680&lt;&gt;'Funnel setup'!$K$3&amp;'Funnel setup'!$K$4&amp;'Funnel setup'!$K$5,".",IF(A5679=".",1,A5679+1))</f>
        <v>.</v>
      </c>
      <c r="B5680" s="431" t="str">
        <f t="shared" si="88"/>
        <v>Knee Replacement RevisionCCG of GP PracticeNHS STAFFORD AND SURROUNDS CCG (05V)Oxford Knee Score</v>
      </c>
      <c r="C5680" t="s">
        <v>250</v>
      </c>
      <c r="D5680" t="s">
        <v>87</v>
      </c>
      <c r="E5680" t="s">
        <v>971</v>
      </c>
      <c r="F5680" t="s">
        <v>972</v>
      </c>
      <c r="G5680" t="s">
        <v>16</v>
      </c>
      <c r="H5680">
        <v>9</v>
      </c>
      <c r="I5680">
        <v>15.333</v>
      </c>
      <c r="J5680">
        <v>28.111000000000001</v>
      </c>
      <c r="K5680">
        <v>12.778</v>
      </c>
      <c r="L5680">
        <v>9</v>
      </c>
      <c r="M5680">
        <v>0</v>
      </c>
      <c r="N5680">
        <v>0</v>
      </c>
      <c r="O5680" t="s">
        <v>53</v>
      </c>
      <c r="P5680" t="s">
        <v>53</v>
      </c>
      <c r="Q5680" t="s">
        <v>53</v>
      </c>
    </row>
    <row r="5681" spans="1:17" x14ac:dyDescent="0.2">
      <c r="A5681" s="30" t="str">
        <f>IF(C5681&amp;G5681&amp;D5681&lt;&gt;'Funnel setup'!$K$3&amp;'Funnel setup'!$K$4&amp;'Funnel setup'!$K$5,".",IF(A5680=".",1,A5680+1))</f>
        <v>.</v>
      </c>
      <c r="B5681" s="431" t="str">
        <f t="shared" si="88"/>
        <v>Knee Replacement RevisionCCG of GP PracticeNHS STOCKPORT CCG (01W)Oxford Knee Score</v>
      </c>
      <c r="C5681" t="s">
        <v>250</v>
      </c>
      <c r="D5681" t="s">
        <v>87</v>
      </c>
      <c r="E5681" t="s">
        <v>974</v>
      </c>
      <c r="F5681" t="s">
        <v>975</v>
      </c>
      <c r="G5681" t="s">
        <v>16</v>
      </c>
      <c r="H5681">
        <v>6</v>
      </c>
      <c r="I5681">
        <v>17.5</v>
      </c>
      <c r="J5681">
        <v>30.832999999999998</v>
      </c>
      <c r="K5681">
        <v>13.333</v>
      </c>
      <c r="L5681">
        <v>5</v>
      </c>
      <c r="M5681">
        <v>1</v>
      </c>
      <c r="N5681">
        <v>0</v>
      </c>
      <c r="O5681" t="s">
        <v>53</v>
      </c>
      <c r="P5681" t="s">
        <v>53</v>
      </c>
      <c r="Q5681" t="s">
        <v>53</v>
      </c>
    </row>
    <row r="5682" spans="1:17" x14ac:dyDescent="0.2">
      <c r="A5682" s="30" t="str">
        <f>IF(C5682&amp;G5682&amp;D5682&lt;&gt;'Funnel setup'!$K$3&amp;'Funnel setup'!$K$4&amp;'Funnel setup'!$K$5,".",IF(A5681=".",1,A5681+1))</f>
        <v>.</v>
      </c>
      <c r="B5682" s="431" t="str">
        <f t="shared" si="88"/>
        <v>Knee Replacement RevisionCCG of GP PracticeNHS STOKE ON TRENT CCG (05W)Oxford Knee Score</v>
      </c>
      <c r="C5682" t="s">
        <v>250</v>
      </c>
      <c r="D5682" t="s">
        <v>87</v>
      </c>
      <c r="E5682" t="s">
        <v>977</v>
      </c>
      <c r="F5682" t="s">
        <v>978</v>
      </c>
      <c r="G5682" t="s">
        <v>16</v>
      </c>
      <c r="H5682" t="s">
        <v>53</v>
      </c>
      <c r="I5682" t="s">
        <v>53</v>
      </c>
      <c r="J5682" t="s">
        <v>53</v>
      </c>
      <c r="K5682" t="s">
        <v>53</v>
      </c>
      <c r="L5682" t="s">
        <v>53</v>
      </c>
      <c r="M5682" t="s">
        <v>53</v>
      </c>
      <c r="N5682" t="s">
        <v>53</v>
      </c>
      <c r="O5682" t="s">
        <v>53</v>
      </c>
      <c r="P5682" t="s">
        <v>53</v>
      </c>
      <c r="Q5682" t="s">
        <v>53</v>
      </c>
    </row>
    <row r="5683" spans="1:17" x14ac:dyDescent="0.2">
      <c r="A5683" s="30" t="str">
        <f>IF(C5683&amp;G5683&amp;D5683&lt;&gt;'Funnel setup'!$K$3&amp;'Funnel setup'!$K$4&amp;'Funnel setup'!$K$5,".",IF(A5682=".",1,A5682+1))</f>
        <v>.</v>
      </c>
      <c r="B5683" s="431" t="str">
        <f t="shared" si="88"/>
        <v>Knee Replacement RevisionCCG of GP PracticeNHS SUNDERLAND CCG (00P)Oxford Knee Score</v>
      </c>
      <c r="C5683" t="s">
        <v>250</v>
      </c>
      <c r="D5683" t="s">
        <v>87</v>
      </c>
      <c r="E5683" t="s">
        <v>980</v>
      </c>
      <c r="F5683" t="s">
        <v>981</v>
      </c>
      <c r="G5683" t="s">
        <v>16</v>
      </c>
      <c r="H5683">
        <v>8</v>
      </c>
      <c r="I5683">
        <v>15.25</v>
      </c>
      <c r="J5683">
        <v>28</v>
      </c>
      <c r="K5683">
        <v>12.75</v>
      </c>
      <c r="L5683">
        <v>6</v>
      </c>
      <c r="M5683">
        <v>0</v>
      </c>
      <c r="N5683">
        <v>2</v>
      </c>
      <c r="O5683" t="s">
        <v>53</v>
      </c>
      <c r="P5683" t="s">
        <v>53</v>
      </c>
      <c r="Q5683" t="s">
        <v>53</v>
      </c>
    </row>
    <row r="5684" spans="1:17" x14ac:dyDescent="0.2">
      <c r="A5684" s="30" t="str">
        <f>IF(C5684&amp;G5684&amp;D5684&lt;&gt;'Funnel setup'!$K$3&amp;'Funnel setup'!$K$4&amp;'Funnel setup'!$K$5,".",IF(A5683=".",1,A5683+1))</f>
        <v>.</v>
      </c>
      <c r="B5684" s="431" t="str">
        <f t="shared" si="88"/>
        <v>Knee Replacement RevisionCCG of GP PracticeNHS SURREY DOWNS CCG (99H)Oxford Knee Score</v>
      </c>
      <c r="C5684" t="s">
        <v>250</v>
      </c>
      <c r="D5684" t="s">
        <v>87</v>
      </c>
      <c r="E5684" t="s">
        <v>983</v>
      </c>
      <c r="F5684" t="s">
        <v>984</v>
      </c>
      <c r="G5684" t="s">
        <v>16</v>
      </c>
      <c r="H5684">
        <v>6</v>
      </c>
      <c r="I5684">
        <v>18.5</v>
      </c>
      <c r="J5684">
        <v>35.5</v>
      </c>
      <c r="K5684">
        <v>17</v>
      </c>
      <c r="L5684">
        <v>6</v>
      </c>
      <c r="M5684">
        <v>0</v>
      </c>
      <c r="N5684">
        <v>0</v>
      </c>
      <c r="O5684" t="s">
        <v>53</v>
      </c>
      <c r="P5684" t="s">
        <v>53</v>
      </c>
      <c r="Q5684" t="s">
        <v>53</v>
      </c>
    </row>
    <row r="5685" spans="1:17" x14ac:dyDescent="0.2">
      <c r="A5685" s="30" t="str">
        <f>IF(C5685&amp;G5685&amp;D5685&lt;&gt;'Funnel setup'!$K$3&amp;'Funnel setup'!$K$4&amp;'Funnel setup'!$K$5,".",IF(A5684=".",1,A5684+1))</f>
        <v>.</v>
      </c>
      <c r="B5685" s="431" t="str">
        <f t="shared" si="88"/>
        <v>Knee Replacement RevisionCCG of GP PracticeNHS SURREY HEATH CCG (10C)Oxford Knee Score</v>
      </c>
      <c r="C5685" t="s">
        <v>250</v>
      </c>
      <c r="D5685" t="s">
        <v>87</v>
      </c>
      <c r="E5685" t="s">
        <v>986</v>
      </c>
      <c r="F5685" t="s">
        <v>987</v>
      </c>
      <c r="G5685" t="s">
        <v>16</v>
      </c>
      <c r="H5685" t="s">
        <v>53</v>
      </c>
      <c r="I5685" t="s">
        <v>53</v>
      </c>
      <c r="J5685" t="s">
        <v>53</v>
      </c>
      <c r="K5685" t="s">
        <v>53</v>
      </c>
      <c r="L5685" t="s">
        <v>53</v>
      </c>
      <c r="M5685" t="s">
        <v>53</v>
      </c>
      <c r="N5685" t="s">
        <v>53</v>
      </c>
      <c r="O5685" t="s">
        <v>53</v>
      </c>
      <c r="P5685" t="s">
        <v>53</v>
      </c>
      <c r="Q5685" t="s">
        <v>53</v>
      </c>
    </row>
    <row r="5686" spans="1:17" x14ac:dyDescent="0.2">
      <c r="A5686" s="30" t="str">
        <f>IF(C5686&amp;G5686&amp;D5686&lt;&gt;'Funnel setup'!$K$3&amp;'Funnel setup'!$K$4&amp;'Funnel setup'!$K$5,".",IF(A5685=".",1,A5685+1))</f>
        <v>.</v>
      </c>
      <c r="B5686" s="431" t="str">
        <f t="shared" si="88"/>
        <v>Knee Replacement RevisionCCG of GP PracticeNHS SUTTON CCG (08T)Oxford Knee Score</v>
      </c>
      <c r="C5686" t="s">
        <v>250</v>
      </c>
      <c r="D5686" t="s">
        <v>87</v>
      </c>
      <c r="E5686" t="s">
        <v>989</v>
      </c>
      <c r="F5686" t="s">
        <v>990</v>
      </c>
      <c r="G5686" t="s">
        <v>16</v>
      </c>
      <c r="H5686" t="s">
        <v>53</v>
      </c>
      <c r="I5686" t="s">
        <v>53</v>
      </c>
      <c r="J5686" t="s">
        <v>53</v>
      </c>
      <c r="K5686" t="s">
        <v>53</v>
      </c>
      <c r="L5686" t="s">
        <v>53</v>
      </c>
      <c r="M5686" t="s">
        <v>53</v>
      </c>
      <c r="N5686" t="s">
        <v>53</v>
      </c>
      <c r="O5686" t="s">
        <v>53</v>
      </c>
      <c r="P5686" t="s">
        <v>53</v>
      </c>
      <c r="Q5686" t="s">
        <v>53</v>
      </c>
    </row>
    <row r="5687" spans="1:17" x14ac:dyDescent="0.2">
      <c r="A5687" s="30" t="str">
        <f>IF(C5687&amp;G5687&amp;D5687&lt;&gt;'Funnel setup'!$K$3&amp;'Funnel setup'!$K$4&amp;'Funnel setup'!$K$5,".",IF(A5686=".",1,A5686+1))</f>
        <v>.</v>
      </c>
      <c r="B5687" s="431" t="str">
        <f t="shared" si="88"/>
        <v>Knee Replacement RevisionCCG of GP PracticeNHS SWALE CCG (10D)Oxford Knee Score</v>
      </c>
      <c r="C5687" t="s">
        <v>250</v>
      </c>
      <c r="D5687" t="s">
        <v>87</v>
      </c>
      <c r="E5687" t="s">
        <v>992</v>
      </c>
      <c r="F5687" t="s">
        <v>993</v>
      </c>
      <c r="G5687" t="s">
        <v>16</v>
      </c>
      <c r="H5687" t="s">
        <v>53</v>
      </c>
      <c r="I5687" t="s">
        <v>53</v>
      </c>
      <c r="J5687" t="s">
        <v>53</v>
      </c>
      <c r="K5687" t="s">
        <v>53</v>
      </c>
      <c r="L5687" t="s">
        <v>53</v>
      </c>
      <c r="M5687" t="s">
        <v>53</v>
      </c>
      <c r="N5687" t="s">
        <v>53</v>
      </c>
      <c r="O5687" t="s">
        <v>53</v>
      </c>
      <c r="P5687" t="s">
        <v>53</v>
      </c>
      <c r="Q5687" t="s">
        <v>53</v>
      </c>
    </row>
    <row r="5688" spans="1:17" x14ac:dyDescent="0.2">
      <c r="A5688" s="30" t="str">
        <f>IF(C5688&amp;G5688&amp;D5688&lt;&gt;'Funnel setup'!$K$3&amp;'Funnel setup'!$K$4&amp;'Funnel setup'!$K$5,".",IF(A5687=".",1,A5687+1))</f>
        <v>.</v>
      </c>
      <c r="B5688" s="431" t="str">
        <f t="shared" si="88"/>
        <v>Knee Replacement RevisionCCG of GP PracticeNHS SWINDON CCG (12D)Oxford Knee Score</v>
      </c>
      <c r="C5688" t="s">
        <v>250</v>
      </c>
      <c r="D5688" t="s">
        <v>87</v>
      </c>
      <c r="E5688" t="s">
        <v>995</v>
      </c>
      <c r="F5688" t="s">
        <v>996</v>
      </c>
      <c r="G5688" t="s">
        <v>16</v>
      </c>
      <c r="H5688">
        <v>8</v>
      </c>
      <c r="I5688">
        <v>17.75</v>
      </c>
      <c r="J5688">
        <v>26</v>
      </c>
      <c r="K5688">
        <v>8.25</v>
      </c>
      <c r="L5688">
        <v>7</v>
      </c>
      <c r="M5688">
        <v>0</v>
      </c>
      <c r="N5688">
        <v>1</v>
      </c>
      <c r="O5688" t="s">
        <v>53</v>
      </c>
      <c r="P5688" t="s">
        <v>53</v>
      </c>
      <c r="Q5688" t="s">
        <v>53</v>
      </c>
    </row>
    <row r="5689" spans="1:17" x14ac:dyDescent="0.2">
      <c r="A5689" s="30" t="str">
        <f>IF(C5689&amp;G5689&amp;D5689&lt;&gt;'Funnel setup'!$K$3&amp;'Funnel setup'!$K$4&amp;'Funnel setup'!$K$5,".",IF(A5688=".",1,A5688+1))</f>
        <v>.</v>
      </c>
      <c r="B5689" s="431" t="str">
        <f t="shared" si="88"/>
        <v>Knee Replacement RevisionCCG of GP PracticeNHS TAMESIDE AND GLOSSOP CCG (01Y)Oxford Knee Score</v>
      </c>
      <c r="C5689" t="s">
        <v>250</v>
      </c>
      <c r="D5689" t="s">
        <v>87</v>
      </c>
      <c r="E5689" t="s">
        <v>998</v>
      </c>
      <c r="F5689" t="s">
        <v>999</v>
      </c>
      <c r="G5689" t="s">
        <v>16</v>
      </c>
      <c r="H5689" t="s">
        <v>53</v>
      </c>
      <c r="I5689" t="s">
        <v>53</v>
      </c>
      <c r="J5689" t="s">
        <v>53</v>
      </c>
      <c r="K5689" t="s">
        <v>53</v>
      </c>
      <c r="L5689" t="s">
        <v>53</v>
      </c>
      <c r="M5689" t="s">
        <v>53</v>
      </c>
      <c r="N5689" t="s">
        <v>53</v>
      </c>
      <c r="O5689" t="s">
        <v>53</v>
      </c>
      <c r="P5689" t="s">
        <v>53</v>
      </c>
      <c r="Q5689" t="s">
        <v>53</v>
      </c>
    </row>
    <row r="5690" spans="1:17" x14ac:dyDescent="0.2">
      <c r="A5690" s="30" t="str">
        <f>IF(C5690&amp;G5690&amp;D5690&lt;&gt;'Funnel setup'!$K$3&amp;'Funnel setup'!$K$4&amp;'Funnel setup'!$K$5,".",IF(A5689=".",1,A5689+1))</f>
        <v>.</v>
      </c>
      <c r="B5690" s="431" t="str">
        <f t="shared" si="88"/>
        <v>Knee Replacement RevisionCCG of GP PracticeNHS TELFORD AND WREKIN CCG (05X)Oxford Knee Score</v>
      </c>
      <c r="C5690" t="s">
        <v>250</v>
      </c>
      <c r="D5690" t="s">
        <v>87</v>
      </c>
      <c r="E5690" t="s">
        <v>1001</v>
      </c>
      <c r="F5690" t="s">
        <v>1002</v>
      </c>
      <c r="G5690" t="s">
        <v>16</v>
      </c>
      <c r="H5690">
        <v>9</v>
      </c>
      <c r="I5690">
        <v>17</v>
      </c>
      <c r="J5690">
        <v>25.777999999999999</v>
      </c>
      <c r="K5690">
        <v>8.7780000000000005</v>
      </c>
      <c r="L5690">
        <v>6</v>
      </c>
      <c r="M5690">
        <v>1</v>
      </c>
      <c r="N5690">
        <v>2</v>
      </c>
      <c r="O5690" t="s">
        <v>53</v>
      </c>
      <c r="P5690" t="s">
        <v>53</v>
      </c>
      <c r="Q5690" t="s">
        <v>53</v>
      </c>
    </row>
    <row r="5691" spans="1:17" x14ac:dyDescent="0.2">
      <c r="A5691" s="30" t="str">
        <f>IF(C5691&amp;G5691&amp;D5691&lt;&gt;'Funnel setup'!$K$3&amp;'Funnel setup'!$K$4&amp;'Funnel setup'!$K$5,".",IF(A5690=".",1,A5690+1))</f>
        <v>.</v>
      </c>
      <c r="B5691" s="431" t="str">
        <f t="shared" si="88"/>
        <v>Knee Replacement RevisionCCG of GP PracticeNHS THANET CCG (10E)Oxford Knee Score</v>
      </c>
      <c r="C5691" t="s">
        <v>250</v>
      </c>
      <c r="D5691" t="s">
        <v>87</v>
      </c>
      <c r="E5691" t="s">
        <v>1004</v>
      </c>
      <c r="F5691" t="s">
        <v>1005</v>
      </c>
      <c r="G5691" t="s">
        <v>16</v>
      </c>
      <c r="H5691" t="s">
        <v>53</v>
      </c>
      <c r="I5691" t="s">
        <v>53</v>
      </c>
      <c r="J5691" t="s">
        <v>53</v>
      </c>
      <c r="K5691" t="s">
        <v>53</v>
      </c>
      <c r="L5691" t="s">
        <v>53</v>
      </c>
      <c r="M5691" t="s">
        <v>53</v>
      </c>
      <c r="N5691" t="s">
        <v>53</v>
      </c>
      <c r="O5691" t="s">
        <v>53</v>
      </c>
      <c r="P5691" t="s">
        <v>53</v>
      </c>
      <c r="Q5691" t="s">
        <v>53</v>
      </c>
    </row>
    <row r="5692" spans="1:17" x14ac:dyDescent="0.2">
      <c r="A5692" s="30" t="str">
        <f>IF(C5692&amp;G5692&amp;D5692&lt;&gt;'Funnel setup'!$K$3&amp;'Funnel setup'!$K$4&amp;'Funnel setup'!$K$5,".",IF(A5691=".",1,A5691+1))</f>
        <v>.</v>
      </c>
      <c r="B5692" s="431" t="str">
        <f t="shared" si="88"/>
        <v>Knee Replacement RevisionCCG of GP PracticeNHS THURROCK CCG (07G)Oxford Knee Score</v>
      </c>
      <c r="C5692" t="s">
        <v>250</v>
      </c>
      <c r="D5692" t="s">
        <v>87</v>
      </c>
      <c r="E5692" t="s">
        <v>1007</v>
      </c>
      <c r="F5692" t="s">
        <v>1008</v>
      </c>
      <c r="G5692" t="s">
        <v>16</v>
      </c>
      <c r="H5692">
        <v>10</v>
      </c>
      <c r="I5692">
        <v>14</v>
      </c>
      <c r="J5692">
        <v>27.3</v>
      </c>
      <c r="K5692">
        <v>13.3</v>
      </c>
      <c r="L5692">
        <v>9</v>
      </c>
      <c r="M5692">
        <v>1</v>
      </c>
      <c r="N5692">
        <v>0</v>
      </c>
      <c r="O5692" t="s">
        <v>53</v>
      </c>
      <c r="P5692" t="s">
        <v>53</v>
      </c>
      <c r="Q5692" t="s">
        <v>53</v>
      </c>
    </row>
    <row r="5693" spans="1:17" x14ac:dyDescent="0.2">
      <c r="A5693" s="30" t="str">
        <f>IF(C5693&amp;G5693&amp;D5693&lt;&gt;'Funnel setup'!$K$3&amp;'Funnel setup'!$K$4&amp;'Funnel setup'!$K$5,".",IF(A5692=".",1,A5692+1))</f>
        <v>.</v>
      </c>
      <c r="B5693" s="431" t="str">
        <f t="shared" si="88"/>
        <v>Knee Replacement RevisionCCG of GP PracticeNHS TRAFFORD CCG (02A)Oxford Knee Score</v>
      </c>
      <c r="C5693" t="s">
        <v>250</v>
      </c>
      <c r="D5693" t="s">
        <v>87</v>
      </c>
      <c r="E5693" t="s">
        <v>1013</v>
      </c>
      <c r="F5693" t="s">
        <v>1014</v>
      </c>
      <c r="G5693" t="s">
        <v>16</v>
      </c>
      <c r="H5693" t="s">
        <v>53</v>
      </c>
      <c r="I5693" t="s">
        <v>53</v>
      </c>
      <c r="J5693" t="s">
        <v>53</v>
      </c>
      <c r="K5693" t="s">
        <v>53</v>
      </c>
      <c r="L5693" t="s">
        <v>53</v>
      </c>
      <c r="M5693" t="s">
        <v>53</v>
      </c>
      <c r="N5693" t="s">
        <v>53</v>
      </c>
      <c r="O5693" t="s">
        <v>53</v>
      </c>
      <c r="P5693" t="s">
        <v>53</v>
      </c>
      <c r="Q5693" t="s">
        <v>53</v>
      </c>
    </row>
    <row r="5694" spans="1:17" x14ac:dyDescent="0.2">
      <c r="A5694" s="30" t="str">
        <f>IF(C5694&amp;G5694&amp;D5694&lt;&gt;'Funnel setup'!$K$3&amp;'Funnel setup'!$K$4&amp;'Funnel setup'!$K$5,".",IF(A5693=".",1,A5693+1))</f>
        <v>.</v>
      </c>
      <c r="B5694" s="431" t="str">
        <f t="shared" si="88"/>
        <v>Knee Replacement RevisionCCG of GP PracticeNHS VALE OF YORK CCG (03Q)Oxford Knee Score</v>
      </c>
      <c r="C5694" t="s">
        <v>250</v>
      </c>
      <c r="D5694" t="s">
        <v>87</v>
      </c>
      <c r="E5694" t="s">
        <v>420</v>
      </c>
      <c r="F5694" t="s">
        <v>421</v>
      </c>
      <c r="G5694" t="s">
        <v>16</v>
      </c>
      <c r="H5694">
        <v>19</v>
      </c>
      <c r="I5694">
        <v>20.736999999999998</v>
      </c>
      <c r="J5694">
        <v>31.210999999999999</v>
      </c>
      <c r="K5694">
        <v>10.474</v>
      </c>
      <c r="L5694">
        <v>16</v>
      </c>
      <c r="M5694">
        <v>0</v>
      </c>
      <c r="N5694">
        <v>3</v>
      </c>
      <c r="O5694" t="s">
        <v>53</v>
      </c>
      <c r="P5694" t="s">
        <v>53</v>
      </c>
      <c r="Q5694" t="s">
        <v>53</v>
      </c>
    </row>
    <row r="5695" spans="1:17" x14ac:dyDescent="0.2">
      <c r="A5695" s="30" t="str">
        <f>IF(C5695&amp;G5695&amp;D5695&lt;&gt;'Funnel setup'!$K$3&amp;'Funnel setup'!$K$4&amp;'Funnel setup'!$K$5,".",IF(A5694=".",1,A5694+1))</f>
        <v>.</v>
      </c>
      <c r="B5695" s="431" t="str">
        <f t="shared" si="88"/>
        <v>Knee Replacement RevisionCCG of GP PracticeNHS VALE ROYAL CCG (02D)Oxford Knee Score</v>
      </c>
      <c r="C5695" t="s">
        <v>250</v>
      </c>
      <c r="D5695" t="s">
        <v>87</v>
      </c>
      <c r="E5695" t="s">
        <v>423</v>
      </c>
      <c r="F5695" t="s">
        <v>424</v>
      </c>
      <c r="G5695" t="s">
        <v>16</v>
      </c>
      <c r="H5695">
        <v>7</v>
      </c>
      <c r="I5695">
        <v>18.143000000000001</v>
      </c>
      <c r="J5695">
        <v>29</v>
      </c>
      <c r="K5695">
        <v>10.856999999999999</v>
      </c>
      <c r="L5695">
        <v>5</v>
      </c>
      <c r="M5695">
        <v>0</v>
      </c>
      <c r="N5695">
        <v>2</v>
      </c>
      <c r="O5695" t="s">
        <v>53</v>
      </c>
      <c r="P5695" t="s">
        <v>53</v>
      </c>
      <c r="Q5695" t="s">
        <v>53</v>
      </c>
    </row>
    <row r="5696" spans="1:17" x14ac:dyDescent="0.2">
      <c r="A5696" s="30" t="str">
        <f>IF(C5696&amp;G5696&amp;D5696&lt;&gt;'Funnel setup'!$K$3&amp;'Funnel setup'!$K$4&amp;'Funnel setup'!$K$5,".",IF(A5695=".",1,A5695+1))</f>
        <v>.</v>
      </c>
      <c r="B5696" s="431" t="str">
        <f t="shared" si="88"/>
        <v>Knee Replacement RevisionCCG of GP PracticeNHS WAKEFIELD CCG (03R)Oxford Knee Score</v>
      </c>
      <c r="C5696" t="s">
        <v>250</v>
      </c>
      <c r="D5696" t="s">
        <v>87</v>
      </c>
      <c r="E5696" t="s">
        <v>426</v>
      </c>
      <c r="F5696" t="s">
        <v>427</v>
      </c>
      <c r="G5696" t="s">
        <v>16</v>
      </c>
      <c r="H5696">
        <v>6</v>
      </c>
      <c r="I5696">
        <v>12</v>
      </c>
      <c r="J5696">
        <v>22.5</v>
      </c>
      <c r="K5696">
        <v>10.5</v>
      </c>
      <c r="L5696">
        <v>4</v>
      </c>
      <c r="M5696">
        <v>0</v>
      </c>
      <c r="N5696">
        <v>2</v>
      </c>
      <c r="O5696" t="s">
        <v>53</v>
      </c>
      <c r="P5696" t="s">
        <v>53</v>
      </c>
      <c r="Q5696" t="s">
        <v>53</v>
      </c>
    </row>
    <row r="5697" spans="1:17" x14ac:dyDescent="0.2">
      <c r="A5697" s="30" t="str">
        <f>IF(C5697&amp;G5697&amp;D5697&lt;&gt;'Funnel setup'!$K$3&amp;'Funnel setup'!$K$4&amp;'Funnel setup'!$K$5,".",IF(A5696=".",1,A5696+1))</f>
        <v>.</v>
      </c>
      <c r="B5697" s="431" t="str">
        <f t="shared" si="88"/>
        <v>Knee Replacement RevisionCCG of GP PracticeNHS WALSALL CCG (05Y)Oxford Knee Score</v>
      </c>
      <c r="C5697" t="s">
        <v>250</v>
      </c>
      <c r="D5697" t="s">
        <v>87</v>
      </c>
      <c r="E5697" t="s">
        <v>429</v>
      </c>
      <c r="F5697" t="s">
        <v>430</v>
      </c>
      <c r="G5697" t="s">
        <v>16</v>
      </c>
      <c r="H5697" t="s">
        <v>53</v>
      </c>
      <c r="I5697" t="s">
        <v>53</v>
      </c>
      <c r="J5697" t="s">
        <v>53</v>
      </c>
      <c r="K5697" t="s">
        <v>53</v>
      </c>
      <c r="L5697" t="s">
        <v>53</v>
      </c>
      <c r="M5697" t="s">
        <v>53</v>
      </c>
      <c r="N5697" t="s">
        <v>53</v>
      </c>
      <c r="O5697" t="s">
        <v>53</v>
      </c>
      <c r="P5697" t="s">
        <v>53</v>
      </c>
      <c r="Q5697" t="s">
        <v>53</v>
      </c>
    </row>
    <row r="5698" spans="1:17" x14ac:dyDescent="0.2">
      <c r="A5698" s="30" t="str">
        <f>IF(C5698&amp;G5698&amp;D5698&lt;&gt;'Funnel setup'!$K$3&amp;'Funnel setup'!$K$4&amp;'Funnel setup'!$K$5,".",IF(A5697=".",1,A5697+1))</f>
        <v>.</v>
      </c>
      <c r="B5698" s="431" t="str">
        <f t="shared" si="88"/>
        <v>Knee Replacement RevisionCCG of GP PracticeNHS WALTHAM FOREST CCG (08W)Oxford Knee Score</v>
      </c>
      <c r="C5698" t="s">
        <v>250</v>
      </c>
      <c r="D5698" t="s">
        <v>87</v>
      </c>
      <c r="E5698" t="s">
        <v>432</v>
      </c>
      <c r="F5698" t="s">
        <v>433</v>
      </c>
      <c r="G5698" t="s">
        <v>16</v>
      </c>
      <c r="H5698" t="s">
        <v>53</v>
      </c>
      <c r="I5698" t="s">
        <v>53</v>
      </c>
      <c r="J5698" t="s">
        <v>53</v>
      </c>
      <c r="K5698" t="s">
        <v>53</v>
      </c>
      <c r="L5698" t="s">
        <v>53</v>
      </c>
      <c r="M5698" t="s">
        <v>53</v>
      </c>
      <c r="N5698" t="s">
        <v>53</v>
      </c>
      <c r="O5698" t="s">
        <v>53</v>
      </c>
      <c r="P5698" t="s">
        <v>53</v>
      </c>
      <c r="Q5698" t="s">
        <v>53</v>
      </c>
    </row>
    <row r="5699" spans="1:17" x14ac:dyDescent="0.2">
      <c r="A5699" s="30" t="str">
        <f>IF(C5699&amp;G5699&amp;D5699&lt;&gt;'Funnel setup'!$K$3&amp;'Funnel setup'!$K$4&amp;'Funnel setup'!$K$5,".",IF(A5698=".",1,A5698+1))</f>
        <v>.</v>
      </c>
      <c r="B5699" s="431" t="str">
        <f t="shared" ref="B5699:B5762" si="89">C5699&amp;D5699&amp;F5699&amp;G5699</f>
        <v>Knee Replacement RevisionCCG of GP PracticeNHS WANDSWORTH CCG (08X)Oxford Knee Score</v>
      </c>
      <c r="C5699" t="s">
        <v>250</v>
      </c>
      <c r="D5699" t="s">
        <v>87</v>
      </c>
      <c r="E5699" t="s">
        <v>435</v>
      </c>
      <c r="F5699" t="s">
        <v>436</v>
      </c>
      <c r="G5699" t="s">
        <v>16</v>
      </c>
      <c r="H5699" t="s">
        <v>53</v>
      </c>
      <c r="I5699" t="s">
        <v>53</v>
      </c>
      <c r="J5699" t="s">
        <v>53</v>
      </c>
      <c r="K5699" t="s">
        <v>53</v>
      </c>
      <c r="L5699" t="s">
        <v>53</v>
      </c>
      <c r="M5699" t="s">
        <v>53</v>
      </c>
      <c r="N5699" t="s">
        <v>53</v>
      </c>
      <c r="O5699" t="s">
        <v>53</v>
      </c>
      <c r="P5699" t="s">
        <v>53</v>
      </c>
      <c r="Q5699" t="s">
        <v>53</v>
      </c>
    </row>
    <row r="5700" spans="1:17" x14ac:dyDescent="0.2">
      <c r="A5700" s="30" t="str">
        <f>IF(C5700&amp;G5700&amp;D5700&lt;&gt;'Funnel setup'!$K$3&amp;'Funnel setup'!$K$4&amp;'Funnel setup'!$K$5,".",IF(A5699=".",1,A5699+1))</f>
        <v>.</v>
      </c>
      <c r="B5700" s="431" t="str">
        <f t="shared" si="89"/>
        <v>Knee Replacement RevisionCCG of GP PracticeNHS WARRINGTON CCG (02E)Oxford Knee Score</v>
      </c>
      <c r="C5700" t="s">
        <v>250</v>
      </c>
      <c r="D5700" t="s">
        <v>87</v>
      </c>
      <c r="E5700" t="s">
        <v>441</v>
      </c>
      <c r="F5700" t="s">
        <v>442</v>
      </c>
      <c r="G5700" t="s">
        <v>16</v>
      </c>
      <c r="H5700">
        <v>9</v>
      </c>
      <c r="I5700">
        <v>15.444000000000001</v>
      </c>
      <c r="J5700">
        <v>26.888999999999999</v>
      </c>
      <c r="K5700">
        <v>11.444000000000001</v>
      </c>
      <c r="L5700">
        <v>7</v>
      </c>
      <c r="M5700">
        <v>1</v>
      </c>
      <c r="N5700">
        <v>1</v>
      </c>
      <c r="O5700" t="s">
        <v>53</v>
      </c>
      <c r="P5700" t="s">
        <v>53</v>
      </c>
      <c r="Q5700" t="s">
        <v>53</v>
      </c>
    </row>
    <row r="5701" spans="1:17" x14ac:dyDescent="0.2">
      <c r="A5701" s="30" t="str">
        <f>IF(C5701&amp;G5701&amp;D5701&lt;&gt;'Funnel setup'!$K$3&amp;'Funnel setup'!$K$4&amp;'Funnel setup'!$K$5,".",IF(A5700=".",1,A5700+1))</f>
        <v>.</v>
      </c>
      <c r="B5701" s="431" t="str">
        <f t="shared" si="89"/>
        <v>Knee Replacement RevisionCCG of GP PracticeNHS WARWICKSHIRE NORTH CCG (05H)Oxford Knee Score</v>
      </c>
      <c r="C5701" t="s">
        <v>250</v>
      </c>
      <c r="D5701" t="s">
        <v>87</v>
      </c>
      <c r="E5701" t="s">
        <v>438</v>
      </c>
      <c r="F5701" t="s">
        <v>439</v>
      </c>
      <c r="G5701" t="s">
        <v>16</v>
      </c>
      <c r="H5701">
        <v>6</v>
      </c>
      <c r="I5701">
        <v>11.333</v>
      </c>
      <c r="J5701">
        <v>13</v>
      </c>
      <c r="K5701">
        <v>1.667</v>
      </c>
      <c r="L5701">
        <v>4</v>
      </c>
      <c r="M5701">
        <v>0</v>
      </c>
      <c r="N5701">
        <v>2</v>
      </c>
      <c r="O5701" t="s">
        <v>53</v>
      </c>
      <c r="P5701" t="s">
        <v>53</v>
      </c>
      <c r="Q5701" t="s">
        <v>53</v>
      </c>
    </row>
    <row r="5702" spans="1:17" x14ac:dyDescent="0.2">
      <c r="A5702" s="30" t="str">
        <f>IF(C5702&amp;G5702&amp;D5702&lt;&gt;'Funnel setup'!$K$3&amp;'Funnel setup'!$K$4&amp;'Funnel setup'!$K$5,".",IF(A5701=".",1,A5701+1))</f>
        <v>.</v>
      </c>
      <c r="B5702" s="431" t="str">
        <f t="shared" si="89"/>
        <v>Knee Replacement RevisionCCG of GP PracticeNHS WEST CHESHIRE CCG (02F)Oxford Knee Score</v>
      </c>
      <c r="C5702" t="s">
        <v>250</v>
      </c>
      <c r="D5702" t="s">
        <v>87</v>
      </c>
      <c r="E5702" t="s">
        <v>402</v>
      </c>
      <c r="F5702" t="s">
        <v>403</v>
      </c>
      <c r="G5702" t="s">
        <v>16</v>
      </c>
      <c r="H5702">
        <v>12</v>
      </c>
      <c r="I5702">
        <v>16.167000000000002</v>
      </c>
      <c r="J5702">
        <v>26.082999999999998</v>
      </c>
      <c r="K5702">
        <v>9.9169999999999998</v>
      </c>
      <c r="L5702">
        <v>11</v>
      </c>
      <c r="M5702">
        <v>0</v>
      </c>
      <c r="N5702">
        <v>1</v>
      </c>
      <c r="O5702" t="s">
        <v>53</v>
      </c>
      <c r="P5702" t="s">
        <v>53</v>
      </c>
      <c r="Q5702" t="s">
        <v>53</v>
      </c>
    </row>
    <row r="5703" spans="1:17" x14ac:dyDescent="0.2">
      <c r="A5703" s="30" t="str">
        <f>IF(C5703&amp;G5703&amp;D5703&lt;&gt;'Funnel setup'!$K$3&amp;'Funnel setup'!$K$4&amp;'Funnel setup'!$K$5,".",IF(A5702=".",1,A5702+1))</f>
        <v>.</v>
      </c>
      <c r="B5703" s="431" t="str">
        <f t="shared" si="89"/>
        <v>Knee Replacement RevisionCCG of GP PracticeNHS WEST ESSEX CCG (07H)Oxford Knee Score</v>
      </c>
      <c r="C5703" t="s">
        <v>250</v>
      </c>
      <c r="D5703" t="s">
        <v>87</v>
      </c>
      <c r="E5703" t="s">
        <v>405</v>
      </c>
      <c r="F5703" t="s">
        <v>406</v>
      </c>
      <c r="G5703" t="s">
        <v>16</v>
      </c>
      <c r="H5703" t="s">
        <v>53</v>
      </c>
      <c r="I5703" t="s">
        <v>53</v>
      </c>
      <c r="J5703" t="s">
        <v>53</v>
      </c>
      <c r="K5703" t="s">
        <v>53</v>
      </c>
      <c r="L5703" t="s">
        <v>53</v>
      </c>
      <c r="M5703" t="s">
        <v>53</v>
      </c>
      <c r="N5703" t="s">
        <v>53</v>
      </c>
      <c r="O5703" t="s">
        <v>53</v>
      </c>
      <c r="P5703" t="s">
        <v>53</v>
      </c>
      <c r="Q5703" t="s">
        <v>53</v>
      </c>
    </row>
    <row r="5704" spans="1:17" x14ac:dyDescent="0.2">
      <c r="A5704" s="30" t="str">
        <f>IF(C5704&amp;G5704&amp;D5704&lt;&gt;'Funnel setup'!$K$3&amp;'Funnel setup'!$K$4&amp;'Funnel setup'!$K$5,".",IF(A5703=".",1,A5703+1))</f>
        <v>.</v>
      </c>
      <c r="B5704" s="431" t="str">
        <f t="shared" si="89"/>
        <v>Knee Replacement RevisionCCG of GP PracticeNHS WEST HAMPSHIRE CCG (11A)Oxford Knee Score</v>
      </c>
      <c r="C5704" t="s">
        <v>250</v>
      </c>
      <c r="D5704" t="s">
        <v>87</v>
      </c>
      <c r="E5704" t="s">
        <v>444</v>
      </c>
      <c r="F5704" t="s">
        <v>445</v>
      </c>
      <c r="G5704" t="s">
        <v>16</v>
      </c>
      <c r="H5704">
        <v>31</v>
      </c>
      <c r="I5704">
        <v>16.838999999999999</v>
      </c>
      <c r="J5704">
        <v>31.065000000000001</v>
      </c>
      <c r="K5704">
        <v>14.226000000000001</v>
      </c>
      <c r="L5704">
        <v>27</v>
      </c>
      <c r="M5704">
        <v>0</v>
      </c>
      <c r="N5704">
        <v>4</v>
      </c>
      <c r="O5704">
        <v>29.626999999999999</v>
      </c>
      <c r="P5704">
        <v>13.12114892</v>
      </c>
      <c r="Q5704">
        <v>8.3179999999999996</v>
      </c>
    </row>
    <row r="5705" spans="1:17" x14ac:dyDescent="0.2">
      <c r="A5705" s="30" t="str">
        <f>IF(C5705&amp;G5705&amp;D5705&lt;&gt;'Funnel setup'!$K$3&amp;'Funnel setup'!$K$4&amp;'Funnel setup'!$K$5,".",IF(A5704=".",1,A5704+1))</f>
        <v>.</v>
      </c>
      <c r="B5705" s="431" t="str">
        <f t="shared" si="89"/>
        <v>Knee Replacement RevisionCCG of GP PracticeNHS WEST KENT CCG (99J)Oxford Knee Score</v>
      </c>
      <c r="C5705" t="s">
        <v>250</v>
      </c>
      <c r="D5705" t="s">
        <v>87</v>
      </c>
      <c r="E5705" t="s">
        <v>447</v>
      </c>
      <c r="F5705" t="s">
        <v>448</v>
      </c>
      <c r="G5705" t="s">
        <v>16</v>
      </c>
      <c r="H5705">
        <v>8</v>
      </c>
      <c r="I5705">
        <v>22.75</v>
      </c>
      <c r="J5705">
        <v>37.375</v>
      </c>
      <c r="K5705">
        <v>14.625</v>
      </c>
      <c r="L5705">
        <v>8</v>
      </c>
      <c r="M5705">
        <v>0</v>
      </c>
      <c r="N5705">
        <v>0</v>
      </c>
      <c r="O5705" t="s">
        <v>53</v>
      </c>
      <c r="P5705" t="s">
        <v>53</v>
      </c>
      <c r="Q5705" t="s">
        <v>53</v>
      </c>
    </row>
    <row r="5706" spans="1:17" x14ac:dyDescent="0.2">
      <c r="A5706" s="30" t="str">
        <f>IF(C5706&amp;G5706&amp;D5706&lt;&gt;'Funnel setup'!$K$3&amp;'Funnel setup'!$K$4&amp;'Funnel setup'!$K$5,".",IF(A5705=".",1,A5705+1))</f>
        <v>.</v>
      </c>
      <c r="B5706" s="431" t="str">
        <f t="shared" si="89"/>
        <v>Knee Replacement RevisionCCG of GP PracticeNHS WEST LANCASHIRE CCG (02G)Oxford Knee Score</v>
      </c>
      <c r="C5706" t="s">
        <v>250</v>
      </c>
      <c r="D5706" t="s">
        <v>87</v>
      </c>
      <c r="E5706" t="s">
        <v>450</v>
      </c>
      <c r="F5706" t="s">
        <v>451</v>
      </c>
      <c r="G5706" t="s">
        <v>16</v>
      </c>
      <c r="H5706" t="s">
        <v>53</v>
      </c>
      <c r="I5706" t="s">
        <v>53</v>
      </c>
      <c r="J5706" t="s">
        <v>53</v>
      </c>
      <c r="K5706" t="s">
        <v>53</v>
      </c>
      <c r="L5706" t="s">
        <v>53</v>
      </c>
      <c r="M5706" t="s">
        <v>53</v>
      </c>
      <c r="N5706" t="s">
        <v>53</v>
      </c>
      <c r="O5706" t="s">
        <v>53</v>
      </c>
      <c r="P5706" t="s">
        <v>53</v>
      </c>
      <c r="Q5706" t="s">
        <v>53</v>
      </c>
    </row>
    <row r="5707" spans="1:17" x14ac:dyDescent="0.2">
      <c r="A5707" s="30" t="str">
        <f>IF(C5707&amp;G5707&amp;D5707&lt;&gt;'Funnel setup'!$K$3&amp;'Funnel setup'!$K$4&amp;'Funnel setup'!$K$5,".",IF(A5706=".",1,A5706+1))</f>
        <v>.</v>
      </c>
      <c r="B5707" s="431" t="str">
        <f t="shared" si="89"/>
        <v>Knee Replacement RevisionCCG of GP PracticeNHS WEST LEICESTERSHIRE CCG (04V)Oxford Knee Score</v>
      </c>
      <c r="C5707" t="s">
        <v>250</v>
      </c>
      <c r="D5707" t="s">
        <v>87</v>
      </c>
      <c r="E5707" t="s">
        <v>453</v>
      </c>
      <c r="F5707" t="s">
        <v>454</v>
      </c>
      <c r="G5707" t="s">
        <v>16</v>
      </c>
      <c r="H5707">
        <v>10</v>
      </c>
      <c r="I5707">
        <v>15.8</v>
      </c>
      <c r="J5707">
        <v>33</v>
      </c>
      <c r="K5707">
        <v>17.2</v>
      </c>
      <c r="L5707">
        <v>8</v>
      </c>
      <c r="M5707">
        <v>0</v>
      </c>
      <c r="N5707">
        <v>2</v>
      </c>
      <c r="O5707" t="s">
        <v>53</v>
      </c>
      <c r="P5707" t="s">
        <v>53</v>
      </c>
      <c r="Q5707" t="s">
        <v>53</v>
      </c>
    </row>
    <row r="5708" spans="1:17" x14ac:dyDescent="0.2">
      <c r="A5708" s="30" t="str">
        <f>IF(C5708&amp;G5708&amp;D5708&lt;&gt;'Funnel setup'!$K$3&amp;'Funnel setup'!$K$4&amp;'Funnel setup'!$K$5,".",IF(A5707=".",1,A5707+1))</f>
        <v>.</v>
      </c>
      <c r="B5708" s="431" t="str">
        <f t="shared" si="89"/>
        <v>Knee Replacement RevisionCCG of GP PracticeNHS WEST LONDON CCG (08Y)Oxford Knee Score</v>
      </c>
      <c r="C5708" t="s">
        <v>250</v>
      </c>
      <c r="D5708" t="s">
        <v>87</v>
      </c>
      <c r="E5708" t="s">
        <v>456</v>
      </c>
      <c r="F5708" t="s">
        <v>457</v>
      </c>
      <c r="G5708" t="s">
        <v>16</v>
      </c>
      <c r="H5708" t="s">
        <v>53</v>
      </c>
      <c r="I5708" t="s">
        <v>53</v>
      </c>
      <c r="J5708" t="s">
        <v>53</v>
      </c>
      <c r="K5708" t="s">
        <v>53</v>
      </c>
      <c r="L5708" t="s">
        <v>53</v>
      </c>
      <c r="M5708" t="s">
        <v>53</v>
      </c>
      <c r="N5708" t="s">
        <v>53</v>
      </c>
      <c r="O5708" t="s">
        <v>53</v>
      </c>
      <c r="P5708" t="s">
        <v>53</v>
      </c>
      <c r="Q5708" t="s">
        <v>53</v>
      </c>
    </row>
    <row r="5709" spans="1:17" x14ac:dyDescent="0.2">
      <c r="A5709" s="30" t="str">
        <f>IF(C5709&amp;G5709&amp;D5709&lt;&gt;'Funnel setup'!$K$3&amp;'Funnel setup'!$K$4&amp;'Funnel setup'!$K$5,".",IF(A5708=".",1,A5708+1))</f>
        <v>.</v>
      </c>
      <c r="B5709" s="431" t="str">
        <f t="shared" si="89"/>
        <v>Knee Replacement RevisionCCG of GP PracticeNHS WEST NORFOLK CCG (07J)Oxford Knee Score</v>
      </c>
      <c r="C5709" t="s">
        <v>250</v>
      </c>
      <c r="D5709" t="s">
        <v>87</v>
      </c>
      <c r="E5709" t="s">
        <v>459</v>
      </c>
      <c r="F5709" t="s">
        <v>460</v>
      </c>
      <c r="G5709" t="s">
        <v>16</v>
      </c>
      <c r="H5709">
        <v>13</v>
      </c>
      <c r="I5709">
        <v>17.308</v>
      </c>
      <c r="J5709">
        <v>28.768999999999998</v>
      </c>
      <c r="K5709">
        <v>11.462</v>
      </c>
      <c r="L5709">
        <v>11</v>
      </c>
      <c r="M5709">
        <v>0</v>
      </c>
      <c r="N5709">
        <v>2</v>
      </c>
      <c r="O5709" t="s">
        <v>53</v>
      </c>
      <c r="P5709" t="s">
        <v>53</v>
      </c>
      <c r="Q5709" t="s">
        <v>53</v>
      </c>
    </row>
    <row r="5710" spans="1:17" x14ac:dyDescent="0.2">
      <c r="A5710" s="30" t="str">
        <f>IF(C5710&amp;G5710&amp;D5710&lt;&gt;'Funnel setup'!$K$3&amp;'Funnel setup'!$K$4&amp;'Funnel setup'!$K$5,".",IF(A5709=".",1,A5709+1))</f>
        <v>.</v>
      </c>
      <c r="B5710" s="431" t="str">
        <f t="shared" si="89"/>
        <v>Knee Replacement RevisionCCG of GP PracticeNHS WEST SUFFOLK CCG (07K)Oxford Knee Score</v>
      </c>
      <c r="C5710" t="s">
        <v>250</v>
      </c>
      <c r="D5710" t="s">
        <v>87</v>
      </c>
      <c r="E5710" t="s">
        <v>462</v>
      </c>
      <c r="F5710" t="s">
        <v>463</v>
      </c>
      <c r="G5710" t="s">
        <v>16</v>
      </c>
      <c r="H5710">
        <v>6</v>
      </c>
      <c r="I5710">
        <v>16</v>
      </c>
      <c r="J5710">
        <v>23.332999999999998</v>
      </c>
      <c r="K5710">
        <v>7.3330000000000002</v>
      </c>
      <c r="L5710">
        <v>4</v>
      </c>
      <c r="M5710">
        <v>0</v>
      </c>
      <c r="N5710">
        <v>2</v>
      </c>
      <c r="O5710" t="s">
        <v>53</v>
      </c>
      <c r="P5710" t="s">
        <v>53</v>
      </c>
      <c r="Q5710" t="s">
        <v>53</v>
      </c>
    </row>
    <row r="5711" spans="1:17" x14ac:dyDescent="0.2">
      <c r="A5711" s="30" t="str">
        <f>IF(C5711&amp;G5711&amp;D5711&lt;&gt;'Funnel setup'!$K$3&amp;'Funnel setup'!$K$4&amp;'Funnel setup'!$K$5,".",IF(A5710=".",1,A5710+1))</f>
        <v>.</v>
      </c>
      <c r="B5711" s="431" t="str">
        <f t="shared" si="89"/>
        <v>Knee Replacement RevisionCCG of GP PracticeNHS WIGAN BOROUGH CCG (02H)Oxford Knee Score</v>
      </c>
      <c r="C5711" t="s">
        <v>250</v>
      </c>
      <c r="D5711" t="s">
        <v>87</v>
      </c>
      <c r="E5711" t="s">
        <v>465</v>
      </c>
      <c r="F5711" t="s">
        <v>466</v>
      </c>
      <c r="G5711" t="s">
        <v>16</v>
      </c>
      <c r="H5711">
        <v>8</v>
      </c>
      <c r="I5711">
        <v>23.625</v>
      </c>
      <c r="J5711">
        <v>25.125</v>
      </c>
      <c r="K5711">
        <v>1.5</v>
      </c>
      <c r="L5711">
        <v>5</v>
      </c>
      <c r="M5711">
        <v>0</v>
      </c>
      <c r="N5711">
        <v>3</v>
      </c>
      <c r="O5711" t="s">
        <v>53</v>
      </c>
      <c r="P5711" t="s">
        <v>53</v>
      </c>
      <c r="Q5711" t="s">
        <v>53</v>
      </c>
    </row>
    <row r="5712" spans="1:17" x14ac:dyDescent="0.2">
      <c r="A5712" s="30" t="str">
        <f>IF(C5712&amp;G5712&amp;D5712&lt;&gt;'Funnel setup'!$K$3&amp;'Funnel setup'!$K$4&amp;'Funnel setup'!$K$5,".",IF(A5711=".",1,A5711+1))</f>
        <v>.</v>
      </c>
      <c r="B5712" s="431" t="str">
        <f t="shared" si="89"/>
        <v>Knee Replacement RevisionCCG of GP PracticeNHS WILTSHIRE CCG (99N)Oxford Knee Score</v>
      </c>
      <c r="C5712" t="s">
        <v>250</v>
      </c>
      <c r="D5712" t="s">
        <v>87</v>
      </c>
      <c r="E5712" t="s">
        <v>468</v>
      </c>
      <c r="F5712" t="s">
        <v>469</v>
      </c>
      <c r="G5712" t="s">
        <v>16</v>
      </c>
      <c r="H5712">
        <v>35</v>
      </c>
      <c r="I5712">
        <v>16.286000000000001</v>
      </c>
      <c r="J5712">
        <v>24.571000000000002</v>
      </c>
      <c r="K5712">
        <v>8.2859999999999996</v>
      </c>
      <c r="L5712">
        <v>26</v>
      </c>
      <c r="M5712">
        <v>1</v>
      </c>
      <c r="N5712">
        <v>8</v>
      </c>
      <c r="O5712">
        <v>24.902999999999999</v>
      </c>
      <c r="P5712">
        <v>8.3974013799999998</v>
      </c>
      <c r="Q5712">
        <v>8.4770000000000003</v>
      </c>
    </row>
    <row r="5713" spans="1:17" x14ac:dyDescent="0.2">
      <c r="A5713" s="30" t="str">
        <f>IF(C5713&amp;G5713&amp;D5713&lt;&gt;'Funnel setup'!$K$3&amp;'Funnel setup'!$K$4&amp;'Funnel setup'!$K$5,".",IF(A5712=".",1,A5712+1))</f>
        <v>.</v>
      </c>
      <c r="B5713" s="431" t="str">
        <f t="shared" si="89"/>
        <v>Knee Replacement RevisionCCG of GP PracticeNHS WINDSOR, ASCOT AND MAIDENHEAD CCG (11C)Oxford Knee Score</v>
      </c>
      <c r="C5713" t="s">
        <v>250</v>
      </c>
      <c r="D5713" t="s">
        <v>87</v>
      </c>
      <c r="E5713" t="s">
        <v>471</v>
      </c>
      <c r="F5713" t="s">
        <v>472</v>
      </c>
      <c r="G5713" t="s">
        <v>16</v>
      </c>
      <c r="H5713">
        <v>6</v>
      </c>
      <c r="I5713">
        <v>10.667</v>
      </c>
      <c r="J5713">
        <v>21</v>
      </c>
      <c r="K5713">
        <v>10.333</v>
      </c>
      <c r="L5713">
        <v>6</v>
      </c>
      <c r="M5713">
        <v>0</v>
      </c>
      <c r="N5713">
        <v>0</v>
      </c>
      <c r="O5713" t="s">
        <v>53</v>
      </c>
      <c r="P5713" t="s">
        <v>53</v>
      </c>
      <c r="Q5713" t="s">
        <v>53</v>
      </c>
    </row>
    <row r="5714" spans="1:17" x14ac:dyDescent="0.2">
      <c r="A5714" s="30" t="str">
        <f>IF(C5714&amp;G5714&amp;D5714&lt;&gt;'Funnel setup'!$K$3&amp;'Funnel setup'!$K$4&amp;'Funnel setup'!$K$5,".",IF(A5713=".",1,A5713+1))</f>
        <v>.</v>
      </c>
      <c r="B5714" s="431" t="str">
        <f t="shared" si="89"/>
        <v>Knee Replacement RevisionCCG of GP PracticeNHS WIRRAL CCG (12F)Oxford Knee Score</v>
      </c>
      <c r="C5714" t="s">
        <v>250</v>
      </c>
      <c r="D5714" t="s">
        <v>87</v>
      </c>
      <c r="E5714" t="s">
        <v>474</v>
      </c>
      <c r="F5714" t="s">
        <v>475</v>
      </c>
      <c r="G5714" t="s">
        <v>16</v>
      </c>
      <c r="H5714" t="s">
        <v>53</v>
      </c>
      <c r="I5714" t="s">
        <v>53</v>
      </c>
      <c r="J5714" t="s">
        <v>53</v>
      </c>
      <c r="K5714" t="s">
        <v>53</v>
      </c>
      <c r="L5714" t="s">
        <v>53</v>
      </c>
      <c r="M5714" t="s">
        <v>53</v>
      </c>
      <c r="N5714" t="s">
        <v>53</v>
      </c>
      <c r="O5714" t="s">
        <v>53</v>
      </c>
      <c r="P5714" t="s">
        <v>53</v>
      </c>
      <c r="Q5714" t="s">
        <v>53</v>
      </c>
    </row>
    <row r="5715" spans="1:17" x14ac:dyDescent="0.2">
      <c r="A5715" s="30" t="str">
        <f>IF(C5715&amp;G5715&amp;D5715&lt;&gt;'Funnel setup'!$K$3&amp;'Funnel setup'!$K$4&amp;'Funnel setup'!$K$5,".",IF(A5714=".",1,A5714+1))</f>
        <v>.</v>
      </c>
      <c r="B5715" s="431" t="str">
        <f t="shared" si="89"/>
        <v>Knee Replacement RevisionCCG of GP PracticeNHS WOKINGHAM CCG (11D)Oxford Knee Score</v>
      </c>
      <c r="C5715" t="s">
        <v>250</v>
      </c>
      <c r="D5715" t="s">
        <v>87</v>
      </c>
      <c r="E5715" t="s">
        <v>477</v>
      </c>
      <c r="F5715" t="s">
        <v>478</v>
      </c>
      <c r="G5715" t="s">
        <v>16</v>
      </c>
      <c r="H5715" t="s">
        <v>53</v>
      </c>
      <c r="I5715" t="s">
        <v>53</v>
      </c>
      <c r="J5715" t="s">
        <v>53</v>
      </c>
      <c r="K5715" t="s">
        <v>53</v>
      </c>
      <c r="L5715" t="s">
        <v>53</v>
      </c>
      <c r="M5715" t="s">
        <v>53</v>
      </c>
      <c r="N5715" t="s">
        <v>53</v>
      </c>
      <c r="O5715" t="s">
        <v>53</v>
      </c>
      <c r="P5715" t="s">
        <v>53</v>
      </c>
      <c r="Q5715" t="s">
        <v>53</v>
      </c>
    </row>
    <row r="5716" spans="1:17" x14ac:dyDescent="0.2">
      <c r="A5716" s="30" t="str">
        <f>IF(C5716&amp;G5716&amp;D5716&lt;&gt;'Funnel setup'!$K$3&amp;'Funnel setup'!$K$4&amp;'Funnel setup'!$K$5,".",IF(A5715=".",1,A5715+1))</f>
        <v>.</v>
      </c>
      <c r="B5716" s="431" t="str">
        <f t="shared" si="89"/>
        <v>Knee Replacement RevisionCCG of GP PracticeNHS WOLVERHAMPTON CCG (06A)Oxford Knee Score</v>
      </c>
      <c r="C5716" t="s">
        <v>250</v>
      </c>
      <c r="D5716" t="s">
        <v>87</v>
      </c>
      <c r="E5716" t="s">
        <v>480</v>
      </c>
      <c r="F5716" t="s">
        <v>481</v>
      </c>
      <c r="G5716" t="s">
        <v>16</v>
      </c>
      <c r="H5716" t="s">
        <v>53</v>
      </c>
      <c r="I5716" t="s">
        <v>53</v>
      </c>
      <c r="J5716" t="s">
        <v>53</v>
      </c>
      <c r="K5716" t="s">
        <v>53</v>
      </c>
      <c r="L5716" t="s">
        <v>53</v>
      </c>
      <c r="M5716" t="s">
        <v>53</v>
      </c>
      <c r="N5716" t="s">
        <v>53</v>
      </c>
      <c r="O5716" t="s">
        <v>53</v>
      </c>
      <c r="P5716" t="s">
        <v>53</v>
      </c>
      <c r="Q5716" t="s">
        <v>53</v>
      </c>
    </row>
    <row r="5717" spans="1:17" x14ac:dyDescent="0.2">
      <c r="A5717" s="30" t="str">
        <f>IF(C5717&amp;G5717&amp;D5717&lt;&gt;'Funnel setup'!$K$3&amp;'Funnel setup'!$K$4&amp;'Funnel setup'!$K$5,".",IF(A5716=".",1,A5716+1))</f>
        <v>.</v>
      </c>
      <c r="B5717" s="431" t="str">
        <f t="shared" si="89"/>
        <v>Knee Replacement RevisionCCG of GP PracticeNHS WYRE FOREST CCG (06D)Oxford Knee Score</v>
      </c>
      <c r="C5717" t="s">
        <v>250</v>
      </c>
      <c r="D5717" t="s">
        <v>87</v>
      </c>
      <c r="E5717" t="s">
        <v>483</v>
      </c>
      <c r="F5717" t="s">
        <v>484</v>
      </c>
      <c r="G5717" t="s">
        <v>16</v>
      </c>
      <c r="H5717" t="s">
        <v>53</v>
      </c>
      <c r="I5717" t="s">
        <v>53</v>
      </c>
      <c r="J5717" t="s">
        <v>53</v>
      </c>
      <c r="K5717" t="s">
        <v>53</v>
      </c>
      <c r="L5717" t="s">
        <v>53</v>
      </c>
      <c r="M5717" t="s">
        <v>53</v>
      </c>
      <c r="N5717" t="s">
        <v>53</v>
      </c>
      <c r="O5717" t="s">
        <v>53</v>
      </c>
      <c r="P5717" t="s">
        <v>53</v>
      </c>
      <c r="Q5717" t="s">
        <v>53</v>
      </c>
    </row>
    <row r="5718" spans="1:17" x14ac:dyDescent="0.2">
      <c r="A5718" s="30" t="str">
        <f>IF(C5718&amp;G5718&amp;D5718&lt;&gt;'Funnel setup'!$K$3&amp;'Funnel setup'!$K$4&amp;'Funnel setup'!$K$5,".",IF(A5717=".",1,A5717+1))</f>
        <v>.</v>
      </c>
      <c r="B5718" s="431" t="str">
        <f t="shared" si="89"/>
        <v>Knee Replacement RevisionEnglandEnglandEQ VAS</v>
      </c>
      <c r="C5718" t="s">
        <v>250</v>
      </c>
      <c r="D5718" t="s">
        <v>163</v>
      </c>
      <c r="E5718" t="s">
        <v>163</v>
      </c>
      <c r="F5718" t="s">
        <v>163</v>
      </c>
      <c r="G5718" t="s">
        <v>179</v>
      </c>
      <c r="H5718">
        <v>1445</v>
      </c>
      <c r="I5718">
        <v>64.456000000000003</v>
      </c>
      <c r="J5718">
        <v>66.516000000000005</v>
      </c>
      <c r="K5718">
        <v>2.06</v>
      </c>
      <c r="L5718">
        <v>689</v>
      </c>
      <c r="M5718">
        <v>200</v>
      </c>
      <c r="N5718">
        <v>556</v>
      </c>
      <c r="O5718">
        <v>66.516000000000005</v>
      </c>
      <c r="P5718">
        <v>2.0595155709999999</v>
      </c>
      <c r="Q5718">
        <v>19.189</v>
      </c>
    </row>
    <row r="5719" spans="1:17" x14ac:dyDescent="0.2">
      <c r="A5719" s="30" t="str">
        <f>IF(C5719&amp;G5719&amp;D5719&lt;&gt;'Funnel setup'!$K$3&amp;'Funnel setup'!$K$4&amp;'Funnel setup'!$K$5,".",IF(A5718=".",1,A5718+1))</f>
        <v>.</v>
      </c>
      <c r="B5719" s="431" t="str">
        <f t="shared" si="89"/>
        <v>Knee Replacement RevisionEnglandEnglandEQ-5D Index</v>
      </c>
      <c r="C5719" t="s">
        <v>250</v>
      </c>
      <c r="D5719" t="s">
        <v>163</v>
      </c>
      <c r="E5719" t="s">
        <v>163</v>
      </c>
      <c r="F5719" t="s">
        <v>163</v>
      </c>
      <c r="G5719" t="s">
        <v>52</v>
      </c>
      <c r="H5719">
        <v>1505</v>
      </c>
      <c r="I5719">
        <v>0.33200000000000002</v>
      </c>
      <c r="J5719">
        <v>0.59</v>
      </c>
      <c r="K5719">
        <v>0.25800000000000001</v>
      </c>
      <c r="L5719">
        <v>1071</v>
      </c>
      <c r="M5719">
        <v>201</v>
      </c>
      <c r="N5719">
        <v>233</v>
      </c>
      <c r="O5719">
        <v>0.59</v>
      </c>
      <c r="P5719">
        <v>0.25834352199999999</v>
      </c>
      <c r="Q5719">
        <v>0.27200000000000002</v>
      </c>
    </row>
    <row r="5720" spans="1:17" x14ac:dyDescent="0.2">
      <c r="A5720" s="30" t="str">
        <f>IF(C5720&amp;G5720&amp;D5720&lt;&gt;'Funnel setup'!$K$3&amp;'Funnel setup'!$K$4&amp;'Funnel setup'!$K$5,".",IF(A5719=".",1,A5719+1))</f>
        <v>.</v>
      </c>
      <c r="B5720" s="431" t="str">
        <f t="shared" si="89"/>
        <v>Knee Replacement RevisionEnglandEnglandOxford Knee Score</v>
      </c>
      <c r="C5720" t="s">
        <v>250</v>
      </c>
      <c r="D5720" t="s">
        <v>163</v>
      </c>
      <c r="E5720" t="s">
        <v>163</v>
      </c>
      <c r="F5720" t="s">
        <v>163</v>
      </c>
      <c r="G5720" t="s">
        <v>16</v>
      </c>
      <c r="H5720">
        <v>1637</v>
      </c>
      <c r="I5720">
        <v>16.506</v>
      </c>
      <c r="J5720">
        <v>28.844000000000001</v>
      </c>
      <c r="K5720">
        <v>12.337999999999999</v>
      </c>
      <c r="L5720">
        <v>1408</v>
      </c>
      <c r="M5720">
        <v>40</v>
      </c>
      <c r="N5720">
        <v>189</v>
      </c>
      <c r="O5720">
        <v>28.844000000000001</v>
      </c>
      <c r="P5720">
        <v>12.337813069999999</v>
      </c>
      <c r="Q5720">
        <v>9.7889999999999997</v>
      </c>
    </row>
    <row r="5721" spans="1:17" x14ac:dyDescent="0.2">
      <c r="A5721" s="30" t="str">
        <f>IF(C5721&amp;G5721&amp;D5721&lt;&gt;'Funnel setup'!$K$3&amp;'Funnel setup'!$K$4&amp;'Funnel setup'!$K$5,".",IF(A5720=".",1,A5720+1))</f>
        <v>.</v>
      </c>
      <c r="B5721" s="431" t="str">
        <f t="shared" si="89"/>
        <v>Knee Replacement RevisionProviderAINTREE UNIVERSITY HOSPITAL NHS FOUNDATION TRUST (REM)EQ VAS</v>
      </c>
      <c r="C5721" t="s">
        <v>250</v>
      </c>
      <c r="D5721" t="s">
        <v>1</v>
      </c>
      <c r="E5721" t="s">
        <v>3838</v>
      </c>
      <c r="F5721" t="s">
        <v>3839</v>
      </c>
      <c r="G5721" t="s">
        <v>179</v>
      </c>
      <c r="H5721" t="s">
        <v>53</v>
      </c>
      <c r="I5721" t="s">
        <v>53</v>
      </c>
      <c r="J5721" t="s">
        <v>53</v>
      </c>
      <c r="K5721" t="s">
        <v>53</v>
      </c>
      <c r="L5721" t="s">
        <v>53</v>
      </c>
      <c r="M5721" t="s">
        <v>53</v>
      </c>
      <c r="N5721" t="s">
        <v>53</v>
      </c>
      <c r="O5721" t="s">
        <v>53</v>
      </c>
      <c r="P5721" t="s">
        <v>53</v>
      </c>
      <c r="Q5721" t="s">
        <v>53</v>
      </c>
    </row>
    <row r="5722" spans="1:17" x14ac:dyDescent="0.2">
      <c r="A5722" s="30" t="str">
        <f>IF(C5722&amp;G5722&amp;D5722&lt;&gt;'Funnel setup'!$K$3&amp;'Funnel setup'!$K$4&amp;'Funnel setup'!$K$5,".",IF(A5721=".",1,A5721+1))</f>
        <v>.</v>
      </c>
      <c r="B5722" s="431" t="str">
        <f t="shared" si="89"/>
        <v>Knee Replacement RevisionProviderAIREDALE NHS FOUNDATION TRUST (RCF)EQ VAS</v>
      </c>
      <c r="C5722" t="s">
        <v>250</v>
      </c>
      <c r="D5722" t="s">
        <v>1</v>
      </c>
      <c r="E5722" t="s">
        <v>3841</v>
      </c>
      <c r="F5722" t="s">
        <v>3842</v>
      </c>
      <c r="G5722" t="s">
        <v>179</v>
      </c>
      <c r="H5722" t="s">
        <v>53</v>
      </c>
      <c r="I5722" t="s">
        <v>53</v>
      </c>
      <c r="J5722" t="s">
        <v>53</v>
      </c>
      <c r="K5722" t="s">
        <v>53</v>
      </c>
      <c r="L5722" t="s">
        <v>53</v>
      </c>
      <c r="M5722" t="s">
        <v>53</v>
      </c>
      <c r="N5722" t="s">
        <v>53</v>
      </c>
      <c r="O5722" t="s">
        <v>53</v>
      </c>
      <c r="P5722" t="s">
        <v>53</v>
      </c>
      <c r="Q5722" t="s">
        <v>53</v>
      </c>
    </row>
    <row r="5723" spans="1:17" x14ac:dyDescent="0.2">
      <c r="A5723" s="30" t="str">
        <f>IF(C5723&amp;G5723&amp;D5723&lt;&gt;'Funnel setup'!$K$3&amp;'Funnel setup'!$K$4&amp;'Funnel setup'!$K$5,".",IF(A5722=".",1,A5722+1))</f>
        <v>.</v>
      </c>
      <c r="B5723" s="431" t="str">
        <f t="shared" si="89"/>
        <v>Knee Replacement RevisionProviderASHFORD AND ST PETER'S HOSPITALS NHS FOUNDATION TRUST (RTK)EQ VAS</v>
      </c>
      <c r="C5723" t="s">
        <v>250</v>
      </c>
      <c r="D5723" t="s">
        <v>1</v>
      </c>
      <c r="E5723" t="s">
        <v>3844</v>
      </c>
      <c r="F5723" t="s">
        <v>345</v>
      </c>
      <c r="G5723" t="s">
        <v>179</v>
      </c>
      <c r="H5723">
        <v>8</v>
      </c>
      <c r="I5723">
        <v>67.875</v>
      </c>
      <c r="J5723">
        <v>60.375</v>
      </c>
      <c r="K5723">
        <v>-7.5</v>
      </c>
      <c r="L5723">
        <v>5</v>
      </c>
      <c r="M5723">
        <v>0</v>
      </c>
      <c r="N5723">
        <v>3</v>
      </c>
      <c r="O5723" t="s">
        <v>53</v>
      </c>
      <c r="P5723" t="s">
        <v>53</v>
      </c>
      <c r="Q5723" t="s">
        <v>53</v>
      </c>
    </row>
    <row r="5724" spans="1:17" x14ac:dyDescent="0.2">
      <c r="A5724" s="30" t="str">
        <f>IF(C5724&amp;G5724&amp;D5724&lt;&gt;'Funnel setup'!$K$3&amp;'Funnel setup'!$K$4&amp;'Funnel setup'!$K$5,".",IF(A5723=".",1,A5723+1))</f>
        <v>.</v>
      </c>
      <c r="B5724" s="431" t="str">
        <f t="shared" si="89"/>
        <v>Knee Replacement RevisionProviderASHTEAD HOSPITAL (NVC01)EQ VAS</v>
      </c>
      <c r="C5724" t="s">
        <v>250</v>
      </c>
      <c r="D5724" t="s">
        <v>1</v>
      </c>
      <c r="E5724" t="s">
        <v>3846</v>
      </c>
      <c r="F5724" t="s">
        <v>3847</v>
      </c>
      <c r="G5724" t="s">
        <v>179</v>
      </c>
      <c r="H5724" t="s">
        <v>53</v>
      </c>
      <c r="I5724" t="s">
        <v>53</v>
      </c>
      <c r="J5724" t="s">
        <v>53</v>
      </c>
      <c r="K5724" t="s">
        <v>53</v>
      </c>
      <c r="L5724" t="s">
        <v>53</v>
      </c>
      <c r="M5724" t="s">
        <v>53</v>
      </c>
      <c r="N5724" t="s">
        <v>53</v>
      </c>
      <c r="O5724" t="s">
        <v>53</v>
      </c>
      <c r="P5724" t="s">
        <v>53</v>
      </c>
      <c r="Q5724" t="s">
        <v>53</v>
      </c>
    </row>
    <row r="5725" spans="1:17" x14ac:dyDescent="0.2">
      <c r="A5725" s="30" t="str">
        <f>IF(C5725&amp;G5725&amp;D5725&lt;&gt;'Funnel setup'!$K$3&amp;'Funnel setup'!$K$4&amp;'Funnel setup'!$K$5,".",IF(A5724=".",1,A5724+1))</f>
        <v>.</v>
      </c>
      <c r="B5725" s="431" t="str">
        <f t="shared" si="89"/>
        <v>Knee Replacement RevisionProviderBARKING, HAVERING AND REDBRIDGE UNIVERSITY HOSPITALS NHS TRUST (RF4)EQ VAS</v>
      </c>
      <c r="C5725" t="s">
        <v>250</v>
      </c>
      <c r="D5725" t="s">
        <v>1</v>
      </c>
      <c r="E5725" t="s">
        <v>3509</v>
      </c>
      <c r="F5725" t="s">
        <v>3510</v>
      </c>
      <c r="G5725" t="s">
        <v>179</v>
      </c>
      <c r="H5725" t="s">
        <v>53</v>
      </c>
      <c r="I5725" t="s">
        <v>53</v>
      </c>
      <c r="J5725" t="s">
        <v>53</v>
      </c>
      <c r="K5725" t="s">
        <v>53</v>
      </c>
      <c r="L5725" t="s">
        <v>53</v>
      </c>
      <c r="M5725" t="s">
        <v>53</v>
      </c>
      <c r="N5725" t="s">
        <v>53</v>
      </c>
      <c r="O5725" t="s">
        <v>53</v>
      </c>
      <c r="P5725" t="s">
        <v>53</v>
      </c>
      <c r="Q5725" t="s">
        <v>53</v>
      </c>
    </row>
    <row r="5726" spans="1:17" x14ac:dyDescent="0.2">
      <c r="A5726" s="30" t="str">
        <f>IF(C5726&amp;G5726&amp;D5726&lt;&gt;'Funnel setup'!$K$3&amp;'Funnel setup'!$K$4&amp;'Funnel setup'!$K$5,".",IF(A5725=".",1,A5725+1))</f>
        <v>.</v>
      </c>
      <c r="B5726" s="431" t="str">
        <f t="shared" si="89"/>
        <v>Knee Replacement RevisionProviderBARLBOROUGH NHS TREATMENT CENTRE (NTP13)EQ VAS</v>
      </c>
      <c r="C5726" t="s">
        <v>250</v>
      </c>
      <c r="D5726" t="s">
        <v>1</v>
      </c>
      <c r="E5726" t="s">
        <v>4425</v>
      </c>
      <c r="F5726" t="s">
        <v>4426</v>
      </c>
      <c r="G5726" t="s">
        <v>179</v>
      </c>
      <c r="H5726">
        <v>7</v>
      </c>
      <c r="I5726">
        <v>72.286000000000001</v>
      </c>
      <c r="J5726">
        <v>65</v>
      </c>
      <c r="K5726">
        <v>-7.2859999999999996</v>
      </c>
      <c r="L5726">
        <v>1</v>
      </c>
      <c r="M5726">
        <v>1</v>
      </c>
      <c r="N5726">
        <v>5</v>
      </c>
      <c r="O5726" t="s">
        <v>53</v>
      </c>
      <c r="P5726" t="s">
        <v>53</v>
      </c>
      <c r="Q5726" t="s">
        <v>53</v>
      </c>
    </row>
    <row r="5727" spans="1:17" x14ac:dyDescent="0.2">
      <c r="A5727" s="30" t="str">
        <f>IF(C5727&amp;G5727&amp;D5727&lt;&gt;'Funnel setup'!$K$3&amp;'Funnel setup'!$K$4&amp;'Funnel setup'!$K$5,".",IF(A5726=".",1,A5726+1))</f>
        <v>.</v>
      </c>
      <c r="B5727" s="431" t="str">
        <f t="shared" si="89"/>
        <v>Knee Replacement RevisionProviderBARNSLEY HOSPITAL NHS FOUNDATION TRUST (RFF)EQ VAS</v>
      </c>
      <c r="C5727" t="s">
        <v>250</v>
      </c>
      <c r="D5727" t="s">
        <v>1</v>
      </c>
      <c r="E5727" t="s">
        <v>3549</v>
      </c>
      <c r="F5727" t="s">
        <v>3550</v>
      </c>
      <c r="G5727" t="s">
        <v>179</v>
      </c>
      <c r="H5727">
        <v>7</v>
      </c>
      <c r="I5727">
        <v>65</v>
      </c>
      <c r="J5727">
        <v>62.143000000000001</v>
      </c>
      <c r="K5727">
        <v>-2.8570000000000002</v>
      </c>
      <c r="L5727">
        <v>3</v>
      </c>
      <c r="M5727">
        <v>1</v>
      </c>
      <c r="N5727">
        <v>3</v>
      </c>
      <c r="O5727" t="s">
        <v>53</v>
      </c>
      <c r="P5727" t="s">
        <v>53</v>
      </c>
      <c r="Q5727" t="s">
        <v>53</v>
      </c>
    </row>
    <row r="5728" spans="1:17" x14ac:dyDescent="0.2">
      <c r="A5728" s="30" t="str">
        <f>IF(C5728&amp;G5728&amp;D5728&lt;&gt;'Funnel setup'!$K$3&amp;'Funnel setup'!$K$4&amp;'Funnel setup'!$K$5,".",IF(A5727=".",1,A5727+1))</f>
        <v>.</v>
      </c>
      <c r="B5728" s="431" t="str">
        <f t="shared" si="89"/>
        <v>Knee Replacement RevisionProviderBARTS HEALTH NHS TRUST (R1H)EQ VAS</v>
      </c>
      <c r="C5728" t="s">
        <v>250</v>
      </c>
      <c r="D5728" t="s">
        <v>1</v>
      </c>
      <c r="E5728" t="s">
        <v>3552</v>
      </c>
      <c r="F5728" t="s">
        <v>3553</v>
      </c>
      <c r="G5728" t="s">
        <v>179</v>
      </c>
      <c r="H5728" t="s">
        <v>53</v>
      </c>
      <c r="I5728" t="s">
        <v>53</v>
      </c>
      <c r="J5728" t="s">
        <v>53</v>
      </c>
      <c r="K5728" t="s">
        <v>53</v>
      </c>
      <c r="L5728" t="s">
        <v>53</v>
      </c>
      <c r="M5728" t="s">
        <v>53</v>
      </c>
      <c r="N5728" t="s">
        <v>53</v>
      </c>
      <c r="O5728" t="s">
        <v>53</v>
      </c>
      <c r="P5728" t="s">
        <v>53</v>
      </c>
      <c r="Q5728" t="s">
        <v>53</v>
      </c>
    </row>
    <row r="5729" spans="1:17" x14ac:dyDescent="0.2">
      <c r="A5729" s="30" t="str">
        <f>IF(C5729&amp;G5729&amp;D5729&lt;&gt;'Funnel setup'!$K$3&amp;'Funnel setup'!$K$4&amp;'Funnel setup'!$K$5,".",IF(A5728=".",1,A5728+1))</f>
        <v>.</v>
      </c>
      <c r="B5729" s="431" t="str">
        <f t="shared" si="89"/>
        <v>Knee Replacement RevisionProviderBASILDON AND THURROCK UNIVERSITY HOSPITALS NHS FOUNDATION TRUST (RDD)EQ VAS</v>
      </c>
      <c r="C5729" t="s">
        <v>250</v>
      </c>
      <c r="D5729" t="s">
        <v>1</v>
      </c>
      <c r="E5729" t="s">
        <v>3555</v>
      </c>
      <c r="F5729" t="s">
        <v>3556</v>
      </c>
      <c r="G5729" t="s">
        <v>179</v>
      </c>
      <c r="H5729">
        <v>15</v>
      </c>
      <c r="I5729">
        <v>65.8</v>
      </c>
      <c r="J5729">
        <v>64.2</v>
      </c>
      <c r="K5729">
        <v>-1.6</v>
      </c>
      <c r="L5729">
        <v>6</v>
      </c>
      <c r="M5729">
        <v>5</v>
      </c>
      <c r="N5729">
        <v>4</v>
      </c>
      <c r="O5729" t="s">
        <v>53</v>
      </c>
      <c r="P5729" t="s">
        <v>53</v>
      </c>
      <c r="Q5729" t="s">
        <v>53</v>
      </c>
    </row>
    <row r="5730" spans="1:17" x14ac:dyDescent="0.2">
      <c r="A5730" s="30" t="str">
        <f>IF(C5730&amp;G5730&amp;D5730&lt;&gt;'Funnel setup'!$K$3&amp;'Funnel setup'!$K$4&amp;'Funnel setup'!$K$5,".",IF(A5729=".",1,A5729+1))</f>
        <v>.</v>
      </c>
      <c r="B5730" s="431" t="str">
        <f t="shared" si="89"/>
        <v>Knee Replacement RevisionProviderBEDFORD HOSPITAL NHS TRUST (RC1)EQ VAS</v>
      </c>
      <c r="C5730" t="s">
        <v>250</v>
      </c>
      <c r="D5730" t="s">
        <v>1</v>
      </c>
      <c r="E5730" t="s">
        <v>3558</v>
      </c>
      <c r="F5730" t="s">
        <v>3559</v>
      </c>
      <c r="G5730" t="s">
        <v>179</v>
      </c>
      <c r="H5730" t="s">
        <v>53</v>
      </c>
      <c r="I5730" t="s">
        <v>53</v>
      </c>
      <c r="J5730" t="s">
        <v>53</v>
      </c>
      <c r="K5730" t="s">
        <v>53</v>
      </c>
      <c r="L5730" t="s">
        <v>53</v>
      </c>
      <c r="M5730" t="s">
        <v>53</v>
      </c>
      <c r="N5730" t="s">
        <v>53</v>
      </c>
      <c r="O5730" t="s">
        <v>53</v>
      </c>
      <c r="P5730" t="s">
        <v>53</v>
      </c>
      <c r="Q5730" t="s">
        <v>53</v>
      </c>
    </row>
    <row r="5731" spans="1:17" x14ac:dyDescent="0.2">
      <c r="A5731" s="30" t="str">
        <f>IF(C5731&amp;G5731&amp;D5731&lt;&gt;'Funnel setup'!$K$3&amp;'Funnel setup'!$K$4&amp;'Funnel setup'!$K$5,".",IF(A5730=".",1,A5730+1))</f>
        <v>.</v>
      </c>
      <c r="B5731" s="431" t="str">
        <f t="shared" si="89"/>
        <v>Knee Replacement RevisionProviderBMI - BATH CLINIC (NT402)EQ VAS</v>
      </c>
      <c r="C5731" t="s">
        <v>250</v>
      </c>
      <c r="D5731" t="s">
        <v>1</v>
      </c>
      <c r="E5731" t="s">
        <v>3488</v>
      </c>
      <c r="F5731" t="s">
        <v>3489</v>
      </c>
      <c r="G5731" t="s">
        <v>179</v>
      </c>
      <c r="H5731" t="s">
        <v>53</v>
      </c>
      <c r="I5731" t="s">
        <v>53</v>
      </c>
      <c r="J5731" t="s">
        <v>53</v>
      </c>
      <c r="K5731" t="s">
        <v>53</v>
      </c>
      <c r="L5731" t="s">
        <v>53</v>
      </c>
      <c r="M5731" t="s">
        <v>53</v>
      </c>
      <c r="N5731" t="s">
        <v>53</v>
      </c>
      <c r="O5731" t="s">
        <v>53</v>
      </c>
      <c r="P5731" t="s">
        <v>53</v>
      </c>
      <c r="Q5731" t="s">
        <v>53</v>
      </c>
    </row>
    <row r="5732" spans="1:17" x14ac:dyDescent="0.2">
      <c r="A5732" s="30" t="str">
        <f>IF(C5732&amp;G5732&amp;D5732&lt;&gt;'Funnel setup'!$K$3&amp;'Funnel setup'!$K$4&amp;'Funnel setup'!$K$5,".",IF(A5731=".",1,A5731+1))</f>
        <v>.</v>
      </c>
      <c r="B5732" s="431" t="str">
        <f t="shared" si="89"/>
        <v>Knee Replacement RevisionProviderBMI - BISHOPS WOOD (NT405)EQ VAS</v>
      </c>
      <c r="C5732" t="s">
        <v>250</v>
      </c>
      <c r="D5732" t="s">
        <v>1</v>
      </c>
      <c r="E5732" t="s">
        <v>3491</v>
      </c>
      <c r="F5732" t="s">
        <v>3492</v>
      </c>
      <c r="G5732" t="s">
        <v>179</v>
      </c>
      <c r="H5732" t="s">
        <v>53</v>
      </c>
      <c r="I5732" t="s">
        <v>53</v>
      </c>
      <c r="J5732" t="s">
        <v>53</v>
      </c>
      <c r="K5732" t="s">
        <v>53</v>
      </c>
      <c r="L5732" t="s">
        <v>53</v>
      </c>
      <c r="M5732" t="s">
        <v>53</v>
      </c>
      <c r="N5732" t="s">
        <v>53</v>
      </c>
      <c r="O5732" t="s">
        <v>53</v>
      </c>
      <c r="P5732" t="s">
        <v>53</v>
      </c>
      <c r="Q5732" t="s">
        <v>53</v>
      </c>
    </row>
    <row r="5733" spans="1:17" x14ac:dyDescent="0.2">
      <c r="A5733" s="30" t="str">
        <f>IF(C5733&amp;G5733&amp;D5733&lt;&gt;'Funnel setup'!$K$3&amp;'Funnel setup'!$K$4&amp;'Funnel setup'!$K$5,".",IF(A5732=".",1,A5732+1))</f>
        <v>.</v>
      </c>
      <c r="B5733" s="431" t="str">
        <f t="shared" si="89"/>
        <v>Knee Replacement RevisionProviderBMI - GORING HALL HOSPITAL (NT417)EQ VAS</v>
      </c>
      <c r="C5733" t="s">
        <v>250</v>
      </c>
      <c r="D5733" t="s">
        <v>1</v>
      </c>
      <c r="E5733" t="s">
        <v>3403</v>
      </c>
      <c r="F5733" t="s">
        <v>3404</v>
      </c>
      <c r="G5733" t="s">
        <v>179</v>
      </c>
      <c r="H5733">
        <v>7</v>
      </c>
      <c r="I5733">
        <v>62.713999999999999</v>
      </c>
      <c r="J5733">
        <v>68.570999999999998</v>
      </c>
      <c r="K5733">
        <v>5.8570000000000002</v>
      </c>
      <c r="L5733">
        <v>4</v>
      </c>
      <c r="M5733">
        <v>1</v>
      </c>
      <c r="N5733">
        <v>2</v>
      </c>
      <c r="O5733" t="s">
        <v>53</v>
      </c>
      <c r="P5733" t="s">
        <v>53</v>
      </c>
      <c r="Q5733" t="s">
        <v>53</v>
      </c>
    </row>
    <row r="5734" spans="1:17" x14ac:dyDescent="0.2">
      <c r="A5734" s="30" t="str">
        <f>IF(C5734&amp;G5734&amp;D5734&lt;&gt;'Funnel setup'!$K$3&amp;'Funnel setup'!$K$4&amp;'Funnel setup'!$K$5,".",IF(A5733=".",1,A5733+1))</f>
        <v>.</v>
      </c>
      <c r="B5734" s="431" t="str">
        <f t="shared" si="89"/>
        <v>Knee Replacement RevisionProviderBMI - THE CHILTERN HOSPITAL (NT410)EQ VAS</v>
      </c>
      <c r="C5734" t="s">
        <v>250</v>
      </c>
      <c r="D5734" t="s">
        <v>1</v>
      </c>
      <c r="E5734" t="s">
        <v>3594</v>
      </c>
      <c r="F5734" t="s">
        <v>3595</v>
      </c>
      <c r="G5734" t="s">
        <v>179</v>
      </c>
      <c r="H5734" t="s">
        <v>53</v>
      </c>
      <c r="I5734" t="s">
        <v>53</v>
      </c>
      <c r="J5734" t="s">
        <v>53</v>
      </c>
      <c r="K5734" t="s">
        <v>53</v>
      </c>
      <c r="L5734" t="s">
        <v>53</v>
      </c>
      <c r="M5734" t="s">
        <v>53</v>
      </c>
      <c r="N5734" t="s">
        <v>53</v>
      </c>
      <c r="O5734" t="s">
        <v>53</v>
      </c>
      <c r="P5734" t="s">
        <v>53</v>
      </c>
      <c r="Q5734" t="s">
        <v>53</v>
      </c>
    </row>
    <row r="5735" spans="1:17" x14ac:dyDescent="0.2">
      <c r="A5735" s="30" t="str">
        <f>IF(C5735&amp;G5735&amp;D5735&lt;&gt;'Funnel setup'!$K$3&amp;'Funnel setup'!$K$4&amp;'Funnel setup'!$K$5,".",IF(A5734=".",1,A5734+1))</f>
        <v>.</v>
      </c>
      <c r="B5735" s="431" t="str">
        <f t="shared" si="89"/>
        <v>Knee Replacement RevisionProviderBMI - THE DROITWICH SPA HOSPITAL (NT412)EQ VAS</v>
      </c>
      <c r="C5735" t="s">
        <v>250</v>
      </c>
      <c r="D5735" t="s">
        <v>1</v>
      </c>
      <c r="E5735" t="s">
        <v>3600</v>
      </c>
      <c r="F5735" t="s">
        <v>3601</v>
      </c>
      <c r="G5735" t="s">
        <v>179</v>
      </c>
      <c r="H5735" t="s">
        <v>53</v>
      </c>
      <c r="I5735" t="s">
        <v>53</v>
      </c>
      <c r="J5735" t="s">
        <v>53</v>
      </c>
      <c r="K5735" t="s">
        <v>53</v>
      </c>
      <c r="L5735" t="s">
        <v>53</v>
      </c>
      <c r="M5735" t="s">
        <v>53</v>
      </c>
      <c r="N5735" t="s">
        <v>53</v>
      </c>
      <c r="O5735" t="s">
        <v>53</v>
      </c>
      <c r="P5735" t="s">
        <v>53</v>
      </c>
      <c r="Q5735" t="s">
        <v>53</v>
      </c>
    </row>
    <row r="5736" spans="1:17" x14ac:dyDescent="0.2">
      <c r="A5736" s="30" t="str">
        <f>IF(C5736&amp;G5736&amp;D5736&lt;&gt;'Funnel setup'!$K$3&amp;'Funnel setup'!$K$4&amp;'Funnel setup'!$K$5,".",IF(A5735=".",1,A5735+1))</f>
        <v>.</v>
      </c>
      <c r="B5736" s="431" t="str">
        <f t="shared" si="89"/>
        <v>Knee Replacement RevisionProviderBMI - THE KINGS OAK HOSPITAL (NT421)EQ VAS</v>
      </c>
      <c r="C5736" t="s">
        <v>250</v>
      </c>
      <c r="D5736" t="s">
        <v>1</v>
      </c>
      <c r="E5736" t="s">
        <v>3618</v>
      </c>
      <c r="F5736" t="s">
        <v>3619</v>
      </c>
      <c r="G5736" t="s">
        <v>179</v>
      </c>
      <c r="H5736" t="s">
        <v>53</v>
      </c>
      <c r="I5736" t="s">
        <v>53</v>
      </c>
      <c r="J5736" t="s">
        <v>53</v>
      </c>
      <c r="K5736" t="s">
        <v>53</v>
      </c>
      <c r="L5736" t="s">
        <v>53</v>
      </c>
      <c r="M5736" t="s">
        <v>53</v>
      </c>
      <c r="N5736" t="s">
        <v>53</v>
      </c>
      <c r="O5736" t="s">
        <v>53</v>
      </c>
      <c r="P5736" t="s">
        <v>53</v>
      </c>
      <c r="Q5736" t="s">
        <v>53</v>
      </c>
    </row>
    <row r="5737" spans="1:17" x14ac:dyDescent="0.2">
      <c r="A5737" s="30" t="str">
        <f>IF(C5737&amp;G5737&amp;D5737&lt;&gt;'Funnel setup'!$K$3&amp;'Funnel setup'!$K$4&amp;'Funnel setup'!$K$5,".",IF(A5736=".",1,A5736+1))</f>
        <v>.</v>
      </c>
      <c r="B5737" s="431" t="str">
        <f t="shared" si="89"/>
        <v>Knee Replacement RevisionProviderBMI - THE MERIDEN HOSPITAL (NT424)EQ VAS</v>
      </c>
      <c r="C5737" t="s">
        <v>250</v>
      </c>
      <c r="D5737" t="s">
        <v>1</v>
      </c>
      <c r="E5737" t="s">
        <v>3283</v>
      </c>
      <c r="F5737" t="s">
        <v>3284</v>
      </c>
      <c r="G5737" t="s">
        <v>179</v>
      </c>
      <c r="H5737" t="s">
        <v>53</v>
      </c>
      <c r="I5737" t="s">
        <v>53</v>
      </c>
      <c r="J5737" t="s">
        <v>53</v>
      </c>
      <c r="K5737" t="s">
        <v>53</v>
      </c>
      <c r="L5737" t="s">
        <v>53</v>
      </c>
      <c r="M5737" t="s">
        <v>53</v>
      </c>
      <c r="N5737" t="s">
        <v>53</v>
      </c>
      <c r="O5737" t="s">
        <v>53</v>
      </c>
      <c r="P5737" t="s">
        <v>53</v>
      </c>
      <c r="Q5737" t="s">
        <v>53</v>
      </c>
    </row>
    <row r="5738" spans="1:17" x14ac:dyDescent="0.2">
      <c r="A5738" s="30" t="str">
        <f>IF(C5738&amp;G5738&amp;D5738&lt;&gt;'Funnel setup'!$K$3&amp;'Funnel setup'!$K$4&amp;'Funnel setup'!$K$5,".",IF(A5737=".",1,A5737+1))</f>
        <v>.</v>
      </c>
      <c r="B5738" s="431" t="str">
        <f t="shared" si="89"/>
        <v>Knee Replacement RevisionProviderBMI - THE RIDGEWAY HOSPITAL (NT430)EQ VAS</v>
      </c>
      <c r="C5738" t="s">
        <v>250</v>
      </c>
      <c r="D5738" t="s">
        <v>1</v>
      </c>
      <c r="E5738" t="s">
        <v>3292</v>
      </c>
      <c r="F5738" t="s">
        <v>3293</v>
      </c>
      <c r="G5738" t="s">
        <v>179</v>
      </c>
      <c r="H5738" t="s">
        <v>53</v>
      </c>
      <c r="I5738" t="s">
        <v>53</v>
      </c>
      <c r="J5738" t="s">
        <v>53</v>
      </c>
      <c r="K5738" t="s">
        <v>53</v>
      </c>
      <c r="L5738" t="s">
        <v>53</v>
      </c>
      <c r="M5738" t="s">
        <v>53</v>
      </c>
      <c r="N5738" t="s">
        <v>53</v>
      </c>
      <c r="O5738" t="s">
        <v>53</v>
      </c>
      <c r="P5738" t="s">
        <v>53</v>
      </c>
      <c r="Q5738" t="s">
        <v>53</v>
      </c>
    </row>
    <row r="5739" spans="1:17" x14ac:dyDescent="0.2">
      <c r="A5739" s="30" t="str">
        <f>IF(C5739&amp;G5739&amp;D5739&lt;&gt;'Funnel setup'!$K$3&amp;'Funnel setup'!$K$4&amp;'Funnel setup'!$K$5,".",IF(A5738=".",1,A5738+1))</f>
        <v>.</v>
      </c>
      <c r="B5739" s="431" t="str">
        <f t="shared" si="89"/>
        <v>Knee Replacement RevisionProviderBMI - THE RUNNYMEDE HOSPITAL (NT431)EQ VAS</v>
      </c>
      <c r="C5739" t="s">
        <v>250</v>
      </c>
      <c r="D5739" t="s">
        <v>1</v>
      </c>
      <c r="E5739" t="s">
        <v>3295</v>
      </c>
      <c r="F5739" t="s">
        <v>3296</v>
      </c>
      <c r="G5739" t="s">
        <v>179</v>
      </c>
      <c r="H5739" t="s">
        <v>53</v>
      </c>
      <c r="I5739" t="s">
        <v>53</v>
      </c>
      <c r="J5739" t="s">
        <v>53</v>
      </c>
      <c r="K5739" t="s">
        <v>53</v>
      </c>
      <c r="L5739" t="s">
        <v>53</v>
      </c>
      <c r="M5739" t="s">
        <v>53</v>
      </c>
      <c r="N5739" t="s">
        <v>53</v>
      </c>
      <c r="O5739" t="s">
        <v>53</v>
      </c>
      <c r="P5739" t="s">
        <v>53</v>
      </c>
      <c r="Q5739" t="s">
        <v>53</v>
      </c>
    </row>
    <row r="5740" spans="1:17" x14ac:dyDescent="0.2">
      <c r="A5740" s="30" t="str">
        <f>IF(C5740&amp;G5740&amp;D5740&lt;&gt;'Funnel setup'!$K$3&amp;'Funnel setup'!$K$4&amp;'Funnel setup'!$K$5,".",IF(A5739=".",1,A5739+1))</f>
        <v>.</v>
      </c>
      <c r="B5740" s="431" t="str">
        <f t="shared" si="89"/>
        <v>Knee Replacement RevisionProviderBMI - THE SOMERFIELD HOSPITAL (NT438)EQ VAS</v>
      </c>
      <c r="C5740" t="s">
        <v>250</v>
      </c>
      <c r="D5740" t="s">
        <v>1</v>
      </c>
      <c r="E5740" t="s">
        <v>3304</v>
      </c>
      <c r="F5740" t="s">
        <v>3305</v>
      </c>
      <c r="G5740" t="s">
        <v>179</v>
      </c>
      <c r="H5740" t="s">
        <v>53</v>
      </c>
      <c r="I5740" t="s">
        <v>53</v>
      </c>
      <c r="J5740" t="s">
        <v>53</v>
      </c>
      <c r="K5740" t="s">
        <v>53</v>
      </c>
      <c r="L5740" t="s">
        <v>53</v>
      </c>
      <c r="M5740" t="s">
        <v>53</v>
      </c>
      <c r="N5740" t="s">
        <v>53</v>
      </c>
      <c r="O5740" t="s">
        <v>53</v>
      </c>
      <c r="P5740" t="s">
        <v>53</v>
      </c>
      <c r="Q5740" t="s">
        <v>53</v>
      </c>
    </row>
    <row r="5741" spans="1:17" x14ac:dyDescent="0.2">
      <c r="A5741" s="30" t="str">
        <f>IF(C5741&amp;G5741&amp;D5741&lt;&gt;'Funnel setup'!$K$3&amp;'Funnel setup'!$K$4&amp;'Funnel setup'!$K$5,".",IF(A5740=".",1,A5740+1))</f>
        <v>.</v>
      </c>
      <c r="B5741" s="431" t="str">
        <f t="shared" si="89"/>
        <v>Knee Replacement RevisionProviderBMI - THREE SHIRES HOSPITAL (NT441)EQ VAS</v>
      </c>
      <c r="C5741" t="s">
        <v>250</v>
      </c>
      <c r="D5741" t="s">
        <v>1</v>
      </c>
      <c r="E5741" t="s">
        <v>3316</v>
      </c>
      <c r="F5741" t="s">
        <v>3317</v>
      </c>
      <c r="G5741" t="s">
        <v>179</v>
      </c>
      <c r="H5741" t="s">
        <v>53</v>
      </c>
      <c r="I5741" t="s">
        <v>53</v>
      </c>
      <c r="J5741" t="s">
        <v>53</v>
      </c>
      <c r="K5741" t="s">
        <v>53</v>
      </c>
      <c r="L5741" t="s">
        <v>53</v>
      </c>
      <c r="M5741" t="s">
        <v>53</v>
      </c>
      <c r="N5741" t="s">
        <v>53</v>
      </c>
      <c r="O5741" t="s">
        <v>53</v>
      </c>
      <c r="P5741" t="s">
        <v>53</v>
      </c>
      <c r="Q5741" t="s">
        <v>53</v>
      </c>
    </row>
    <row r="5742" spans="1:17" x14ac:dyDescent="0.2">
      <c r="A5742" s="30" t="str">
        <f>IF(C5742&amp;G5742&amp;D5742&lt;&gt;'Funnel setup'!$K$3&amp;'Funnel setup'!$K$4&amp;'Funnel setup'!$K$5,".",IF(A5741=".",1,A5741+1))</f>
        <v>.</v>
      </c>
      <c r="B5742" s="431" t="str">
        <f t="shared" si="89"/>
        <v>Knee Replacement RevisionProviderBMI GISBURNE PARK HOSPITAL (NT497)EQ VAS</v>
      </c>
      <c r="C5742" t="s">
        <v>250</v>
      </c>
      <c r="D5742" t="s">
        <v>1</v>
      </c>
      <c r="E5742" t="s">
        <v>3319</v>
      </c>
      <c r="F5742" t="s">
        <v>3320</v>
      </c>
      <c r="G5742" t="s">
        <v>179</v>
      </c>
      <c r="H5742" t="s">
        <v>53</v>
      </c>
      <c r="I5742" t="s">
        <v>53</v>
      </c>
      <c r="J5742" t="s">
        <v>53</v>
      </c>
      <c r="K5742" t="s">
        <v>53</v>
      </c>
      <c r="L5742" t="s">
        <v>53</v>
      </c>
      <c r="M5742" t="s">
        <v>53</v>
      </c>
      <c r="N5742" t="s">
        <v>53</v>
      </c>
      <c r="O5742" t="s">
        <v>53</v>
      </c>
      <c r="P5742" t="s">
        <v>53</v>
      </c>
      <c r="Q5742" t="s">
        <v>53</v>
      </c>
    </row>
    <row r="5743" spans="1:17" x14ac:dyDescent="0.2">
      <c r="A5743" s="30" t="str">
        <f>IF(C5743&amp;G5743&amp;D5743&lt;&gt;'Funnel setup'!$K$3&amp;'Funnel setup'!$K$4&amp;'Funnel setup'!$K$5,".",IF(A5742=".",1,A5742+1))</f>
        <v>.</v>
      </c>
      <c r="B5743" s="431" t="str">
        <f t="shared" si="89"/>
        <v>Knee Replacement RevisionProviderBMI THE EDGBASTON HOSPITAL (NT445)EQ VAS</v>
      </c>
      <c r="C5743" t="s">
        <v>250</v>
      </c>
      <c r="D5743" t="s">
        <v>1</v>
      </c>
      <c r="E5743" t="s">
        <v>3337</v>
      </c>
      <c r="F5743" t="s">
        <v>3338</v>
      </c>
      <c r="G5743" t="s">
        <v>179</v>
      </c>
      <c r="H5743" t="s">
        <v>53</v>
      </c>
      <c r="I5743" t="s">
        <v>53</v>
      </c>
      <c r="J5743" t="s">
        <v>53</v>
      </c>
      <c r="K5743" t="s">
        <v>53</v>
      </c>
      <c r="L5743" t="s">
        <v>53</v>
      </c>
      <c r="M5743" t="s">
        <v>53</v>
      </c>
      <c r="N5743" t="s">
        <v>53</v>
      </c>
      <c r="O5743" t="s">
        <v>53</v>
      </c>
      <c r="P5743" t="s">
        <v>53</v>
      </c>
      <c r="Q5743" t="s">
        <v>53</v>
      </c>
    </row>
    <row r="5744" spans="1:17" x14ac:dyDescent="0.2">
      <c r="A5744" s="30" t="str">
        <f>IF(C5744&amp;G5744&amp;D5744&lt;&gt;'Funnel setup'!$K$3&amp;'Funnel setup'!$K$4&amp;'Funnel setup'!$K$5,".",IF(A5743=".",1,A5743+1))</f>
        <v>.</v>
      </c>
      <c r="B5744" s="431" t="str">
        <f t="shared" si="89"/>
        <v>Knee Replacement RevisionProviderBMI THE LINCOLN HOSPITAL (NT450)EQ VAS</v>
      </c>
      <c r="C5744" t="s">
        <v>250</v>
      </c>
      <c r="D5744" t="s">
        <v>1</v>
      </c>
      <c r="E5744" t="s">
        <v>3352</v>
      </c>
      <c r="F5744" t="s">
        <v>3353</v>
      </c>
      <c r="G5744" t="s">
        <v>179</v>
      </c>
      <c r="H5744" t="s">
        <v>53</v>
      </c>
      <c r="I5744" t="s">
        <v>53</v>
      </c>
      <c r="J5744" t="s">
        <v>53</v>
      </c>
      <c r="K5744" t="s">
        <v>53</v>
      </c>
      <c r="L5744" t="s">
        <v>53</v>
      </c>
      <c r="M5744" t="s">
        <v>53</v>
      </c>
      <c r="N5744" t="s">
        <v>53</v>
      </c>
      <c r="O5744" t="s">
        <v>53</v>
      </c>
      <c r="P5744" t="s">
        <v>53</v>
      </c>
      <c r="Q5744" t="s">
        <v>53</v>
      </c>
    </row>
    <row r="5745" spans="1:17" x14ac:dyDescent="0.2">
      <c r="A5745" s="30" t="str">
        <f>IF(C5745&amp;G5745&amp;D5745&lt;&gt;'Funnel setup'!$K$3&amp;'Funnel setup'!$K$4&amp;'Funnel setup'!$K$5,".",IF(A5744=".",1,A5744+1))</f>
        <v>.</v>
      </c>
      <c r="B5745" s="431" t="str">
        <f t="shared" si="89"/>
        <v>Knee Replacement RevisionProviderBMI WOODLANDS HOSPITAL (NT457)EQ VAS</v>
      </c>
      <c r="C5745" t="s">
        <v>250</v>
      </c>
      <c r="D5745" t="s">
        <v>1</v>
      </c>
      <c r="E5745" t="s">
        <v>3355</v>
      </c>
      <c r="F5745" t="s">
        <v>3356</v>
      </c>
      <c r="G5745" t="s">
        <v>179</v>
      </c>
      <c r="H5745" t="s">
        <v>53</v>
      </c>
      <c r="I5745" t="s">
        <v>53</v>
      </c>
      <c r="J5745" t="s">
        <v>53</v>
      </c>
      <c r="K5745" t="s">
        <v>53</v>
      </c>
      <c r="L5745" t="s">
        <v>53</v>
      </c>
      <c r="M5745" t="s">
        <v>53</v>
      </c>
      <c r="N5745" t="s">
        <v>53</v>
      </c>
      <c r="O5745" t="s">
        <v>53</v>
      </c>
      <c r="P5745" t="s">
        <v>53</v>
      </c>
      <c r="Q5745" t="s">
        <v>53</v>
      </c>
    </row>
    <row r="5746" spans="1:17" x14ac:dyDescent="0.2">
      <c r="A5746" s="30" t="str">
        <f>IF(C5746&amp;G5746&amp;D5746&lt;&gt;'Funnel setup'!$K$3&amp;'Funnel setup'!$K$4&amp;'Funnel setup'!$K$5,".",IF(A5745=".",1,A5745+1))</f>
        <v>.</v>
      </c>
      <c r="B5746" s="431" t="str">
        <f t="shared" si="89"/>
        <v>Knee Replacement RevisionProviderBOLTON NHS FOUNDATION TRUST (RMC)EQ VAS</v>
      </c>
      <c r="C5746" t="s">
        <v>250</v>
      </c>
      <c r="D5746" t="s">
        <v>1</v>
      </c>
      <c r="E5746" t="s">
        <v>3358</v>
      </c>
      <c r="F5746" t="s">
        <v>3359</v>
      </c>
      <c r="G5746" t="s">
        <v>179</v>
      </c>
      <c r="H5746">
        <v>7</v>
      </c>
      <c r="I5746">
        <v>60.143000000000001</v>
      </c>
      <c r="J5746">
        <v>58.856999999999999</v>
      </c>
      <c r="K5746">
        <v>-1.286</v>
      </c>
      <c r="L5746">
        <v>4</v>
      </c>
      <c r="M5746">
        <v>0</v>
      </c>
      <c r="N5746">
        <v>3</v>
      </c>
      <c r="O5746" t="s">
        <v>53</v>
      </c>
      <c r="P5746" t="s">
        <v>53</v>
      </c>
      <c r="Q5746" t="s">
        <v>53</v>
      </c>
    </row>
    <row r="5747" spans="1:17" x14ac:dyDescent="0.2">
      <c r="A5747" s="30" t="str">
        <f>IF(C5747&amp;G5747&amp;D5747&lt;&gt;'Funnel setup'!$K$3&amp;'Funnel setup'!$K$4&amp;'Funnel setup'!$K$5,".",IF(A5746=".",1,A5746+1))</f>
        <v>.</v>
      </c>
      <c r="B5747" s="431" t="str">
        <f t="shared" si="89"/>
        <v>Knee Replacement RevisionProviderBRADFORD TEACHING HOSPITALS NHS FOUNDATION TRUST (RAE)EQ VAS</v>
      </c>
      <c r="C5747" t="s">
        <v>250</v>
      </c>
      <c r="D5747" t="s">
        <v>1</v>
      </c>
      <c r="E5747" t="s">
        <v>3361</v>
      </c>
      <c r="F5747" t="s">
        <v>3362</v>
      </c>
      <c r="G5747" t="s">
        <v>179</v>
      </c>
      <c r="H5747">
        <v>9</v>
      </c>
      <c r="I5747">
        <v>57.332999999999998</v>
      </c>
      <c r="J5747">
        <v>73.221999999999994</v>
      </c>
      <c r="K5747">
        <v>15.888999999999999</v>
      </c>
      <c r="L5747">
        <v>6</v>
      </c>
      <c r="M5747">
        <v>1</v>
      </c>
      <c r="N5747">
        <v>2</v>
      </c>
      <c r="O5747" t="s">
        <v>53</v>
      </c>
      <c r="P5747" t="s">
        <v>53</v>
      </c>
      <c r="Q5747" t="s">
        <v>53</v>
      </c>
    </row>
    <row r="5748" spans="1:17" x14ac:dyDescent="0.2">
      <c r="A5748" s="30" t="str">
        <f>IF(C5748&amp;G5748&amp;D5748&lt;&gt;'Funnel setup'!$K$3&amp;'Funnel setup'!$K$4&amp;'Funnel setup'!$K$5,".",IF(A5747=".",1,A5747+1))</f>
        <v>.</v>
      </c>
      <c r="B5748" s="431" t="str">
        <f t="shared" si="89"/>
        <v>Knee Replacement RevisionProviderBRIGHTON AND SUSSEX UNIVERSITY HOSPITALS NHS TRUST (RXH)EQ VAS</v>
      </c>
      <c r="C5748" t="s">
        <v>250</v>
      </c>
      <c r="D5748" t="s">
        <v>1</v>
      </c>
      <c r="E5748" t="s">
        <v>3367</v>
      </c>
      <c r="F5748" t="s">
        <v>3368</v>
      </c>
      <c r="G5748" t="s">
        <v>179</v>
      </c>
      <c r="H5748">
        <v>18</v>
      </c>
      <c r="I5748">
        <v>49.222000000000001</v>
      </c>
      <c r="J5748">
        <v>45.389000000000003</v>
      </c>
      <c r="K5748">
        <v>-3.8330000000000002</v>
      </c>
      <c r="L5748">
        <v>6</v>
      </c>
      <c r="M5748">
        <v>0</v>
      </c>
      <c r="N5748">
        <v>12</v>
      </c>
      <c r="O5748" t="s">
        <v>53</v>
      </c>
      <c r="P5748" t="s">
        <v>53</v>
      </c>
      <c r="Q5748" t="s">
        <v>53</v>
      </c>
    </row>
    <row r="5749" spans="1:17" x14ac:dyDescent="0.2">
      <c r="A5749" s="30" t="str">
        <f>IF(C5749&amp;G5749&amp;D5749&lt;&gt;'Funnel setup'!$K$3&amp;'Funnel setup'!$K$4&amp;'Funnel setup'!$K$5,".",IF(A5748=".",1,A5748+1))</f>
        <v>.</v>
      </c>
      <c r="B5749" s="431" t="str">
        <f t="shared" si="89"/>
        <v>Knee Replacement RevisionProviderBUCKINGHAMSHIRE HEALTHCARE NHS TRUST (RXQ)EQ VAS</v>
      </c>
      <c r="C5749" t="s">
        <v>250</v>
      </c>
      <c r="D5749" t="s">
        <v>1</v>
      </c>
      <c r="E5749" t="s">
        <v>3370</v>
      </c>
      <c r="F5749" t="s">
        <v>3371</v>
      </c>
      <c r="G5749" t="s">
        <v>179</v>
      </c>
      <c r="H5749" t="s">
        <v>53</v>
      </c>
      <c r="I5749" t="s">
        <v>53</v>
      </c>
      <c r="J5749" t="s">
        <v>53</v>
      </c>
      <c r="K5749" t="s">
        <v>53</v>
      </c>
      <c r="L5749" t="s">
        <v>53</v>
      </c>
      <c r="M5749" t="s">
        <v>53</v>
      </c>
      <c r="N5749" t="s">
        <v>53</v>
      </c>
      <c r="O5749" t="s">
        <v>53</v>
      </c>
      <c r="P5749" t="s">
        <v>53</v>
      </c>
      <c r="Q5749" t="s">
        <v>53</v>
      </c>
    </row>
    <row r="5750" spans="1:17" x14ac:dyDescent="0.2">
      <c r="A5750" s="30" t="str">
        <f>IF(C5750&amp;G5750&amp;D5750&lt;&gt;'Funnel setup'!$K$3&amp;'Funnel setup'!$K$4&amp;'Funnel setup'!$K$5,".",IF(A5749=".",1,A5749+1))</f>
        <v>.</v>
      </c>
      <c r="B5750" s="431" t="str">
        <f t="shared" si="89"/>
        <v>Knee Replacement RevisionProviderBURTON HOSPITALS NHS FOUNDATION TRUST (RJF)EQ VAS</v>
      </c>
      <c r="C5750" t="s">
        <v>250</v>
      </c>
      <c r="D5750" t="s">
        <v>1</v>
      </c>
      <c r="E5750" t="s">
        <v>3373</v>
      </c>
      <c r="F5750" t="s">
        <v>3374</v>
      </c>
      <c r="G5750" t="s">
        <v>179</v>
      </c>
      <c r="H5750" t="s">
        <v>53</v>
      </c>
      <c r="I5750" t="s">
        <v>53</v>
      </c>
      <c r="J5750" t="s">
        <v>53</v>
      </c>
      <c r="K5750" t="s">
        <v>53</v>
      </c>
      <c r="L5750" t="s">
        <v>53</v>
      </c>
      <c r="M5750" t="s">
        <v>53</v>
      </c>
      <c r="N5750" t="s">
        <v>53</v>
      </c>
      <c r="O5750" t="s">
        <v>53</v>
      </c>
      <c r="P5750" t="s">
        <v>53</v>
      </c>
      <c r="Q5750" t="s">
        <v>53</v>
      </c>
    </row>
    <row r="5751" spans="1:17" x14ac:dyDescent="0.2">
      <c r="A5751" s="30" t="str">
        <f>IF(C5751&amp;G5751&amp;D5751&lt;&gt;'Funnel setup'!$K$3&amp;'Funnel setup'!$K$4&amp;'Funnel setup'!$K$5,".",IF(A5750=".",1,A5750+1))</f>
        <v>.</v>
      </c>
      <c r="B5751" s="431" t="str">
        <f t="shared" si="89"/>
        <v>Knee Replacement RevisionProviderCALDERDALE AND HUDDERSFIELD NHS FOUNDATION TRUST (RWY)EQ VAS</v>
      </c>
      <c r="C5751" t="s">
        <v>250</v>
      </c>
      <c r="D5751" t="s">
        <v>1</v>
      </c>
      <c r="E5751" t="s">
        <v>3379</v>
      </c>
      <c r="F5751" t="s">
        <v>3380</v>
      </c>
      <c r="G5751" t="s">
        <v>179</v>
      </c>
      <c r="H5751">
        <v>11</v>
      </c>
      <c r="I5751">
        <v>72.272999999999996</v>
      </c>
      <c r="J5751">
        <v>73.364000000000004</v>
      </c>
      <c r="K5751">
        <v>1.091</v>
      </c>
      <c r="L5751">
        <v>5</v>
      </c>
      <c r="M5751">
        <v>0</v>
      </c>
      <c r="N5751">
        <v>6</v>
      </c>
      <c r="O5751" t="s">
        <v>53</v>
      </c>
      <c r="P5751" t="s">
        <v>53</v>
      </c>
      <c r="Q5751" t="s">
        <v>53</v>
      </c>
    </row>
    <row r="5752" spans="1:17" x14ac:dyDescent="0.2">
      <c r="A5752" s="30" t="str">
        <f>IF(C5752&amp;G5752&amp;D5752&lt;&gt;'Funnel setup'!$K$3&amp;'Funnel setup'!$K$4&amp;'Funnel setup'!$K$5,".",IF(A5751=".",1,A5751+1))</f>
        <v>.</v>
      </c>
      <c r="B5752" s="431" t="str">
        <f t="shared" si="89"/>
        <v>Knee Replacement RevisionProviderCAMBRIDGE UNIVERSITY HOSPITALS NHS FOUNDATION TRUST (RGT)EQ VAS</v>
      </c>
      <c r="C5752" t="s">
        <v>250</v>
      </c>
      <c r="D5752" t="s">
        <v>1</v>
      </c>
      <c r="E5752" t="s">
        <v>3076</v>
      </c>
      <c r="F5752" t="s">
        <v>3077</v>
      </c>
      <c r="G5752" t="s">
        <v>179</v>
      </c>
      <c r="H5752">
        <v>19</v>
      </c>
      <c r="I5752">
        <v>57.789000000000001</v>
      </c>
      <c r="J5752">
        <v>73.578999999999994</v>
      </c>
      <c r="K5752">
        <v>15.789</v>
      </c>
      <c r="L5752">
        <v>16</v>
      </c>
      <c r="M5752">
        <v>1</v>
      </c>
      <c r="N5752">
        <v>2</v>
      </c>
      <c r="O5752" t="s">
        <v>53</v>
      </c>
      <c r="P5752" t="s">
        <v>53</v>
      </c>
      <c r="Q5752" t="s">
        <v>53</v>
      </c>
    </row>
    <row r="5753" spans="1:17" x14ac:dyDescent="0.2">
      <c r="A5753" s="30" t="str">
        <f>IF(C5753&amp;G5753&amp;D5753&lt;&gt;'Funnel setup'!$K$3&amp;'Funnel setup'!$K$4&amp;'Funnel setup'!$K$5,".",IF(A5752=".",1,A5752+1))</f>
        <v>.</v>
      </c>
      <c r="B5753" s="431" t="str">
        <f t="shared" si="89"/>
        <v>Knee Replacement RevisionProviderCHESTERFIELD ROYAL HOSPITAL NHS FOUNDATION TRUST (RFS)EQ VAS</v>
      </c>
      <c r="C5753" t="s">
        <v>250</v>
      </c>
      <c r="D5753" t="s">
        <v>1</v>
      </c>
      <c r="E5753" t="s">
        <v>3085</v>
      </c>
      <c r="F5753" t="s">
        <v>3086</v>
      </c>
      <c r="G5753" t="s">
        <v>179</v>
      </c>
      <c r="H5753">
        <v>8</v>
      </c>
      <c r="I5753">
        <v>63.125</v>
      </c>
      <c r="J5753">
        <v>48.625</v>
      </c>
      <c r="K5753">
        <v>-14.5</v>
      </c>
      <c r="L5753">
        <v>3</v>
      </c>
      <c r="M5753">
        <v>1</v>
      </c>
      <c r="N5753">
        <v>4</v>
      </c>
      <c r="O5753" t="s">
        <v>53</v>
      </c>
      <c r="P5753" t="s">
        <v>53</v>
      </c>
      <c r="Q5753" t="s">
        <v>53</v>
      </c>
    </row>
    <row r="5754" spans="1:17" x14ac:dyDescent="0.2">
      <c r="A5754" s="30" t="str">
        <f>IF(C5754&amp;G5754&amp;D5754&lt;&gt;'Funnel setup'!$K$3&amp;'Funnel setup'!$K$4&amp;'Funnel setup'!$K$5,".",IF(A5753=".",1,A5753+1))</f>
        <v>.</v>
      </c>
      <c r="B5754" s="431" t="str">
        <f t="shared" si="89"/>
        <v>Knee Replacement RevisionProviderCIRCLE BATH HOSPITAL (NV302)EQ VAS</v>
      </c>
      <c r="C5754" t="s">
        <v>250</v>
      </c>
      <c r="D5754" t="s">
        <v>1</v>
      </c>
      <c r="E5754" t="s">
        <v>3097</v>
      </c>
      <c r="F5754" t="s">
        <v>3098</v>
      </c>
      <c r="G5754" t="s">
        <v>179</v>
      </c>
      <c r="H5754" t="s">
        <v>53</v>
      </c>
      <c r="I5754" t="s">
        <v>53</v>
      </c>
      <c r="J5754" t="s">
        <v>53</v>
      </c>
      <c r="K5754" t="s">
        <v>53</v>
      </c>
      <c r="L5754" t="s">
        <v>53</v>
      </c>
      <c r="M5754" t="s">
        <v>53</v>
      </c>
      <c r="N5754" t="s">
        <v>53</v>
      </c>
      <c r="O5754" t="s">
        <v>53</v>
      </c>
      <c r="P5754" t="s">
        <v>53</v>
      </c>
      <c r="Q5754" t="s">
        <v>53</v>
      </c>
    </row>
    <row r="5755" spans="1:17" x14ac:dyDescent="0.2">
      <c r="A5755" s="30" t="str">
        <f>IF(C5755&amp;G5755&amp;D5755&lt;&gt;'Funnel setup'!$K$3&amp;'Funnel setup'!$K$4&amp;'Funnel setup'!$K$5,".",IF(A5754=".",1,A5754+1))</f>
        <v>.</v>
      </c>
      <c r="B5755" s="431" t="str">
        <f t="shared" si="89"/>
        <v>Knee Replacement RevisionProviderCITY HOSPITALS SUNDERLAND NHS FOUNDATION TRUST (RLN)EQ VAS</v>
      </c>
      <c r="C5755" t="s">
        <v>250</v>
      </c>
      <c r="D5755" t="s">
        <v>1</v>
      </c>
      <c r="E5755" t="s">
        <v>3100</v>
      </c>
      <c r="F5755" t="s">
        <v>3101</v>
      </c>
      <c r="G5755" t="s">
        <v>179</v>
      </c>
      <c r="H5755">
        <v>8</v>
      </c>
      <c r="I5755">
        <v>58</v>
      </c>
      <c r="J5755">
        <v>64.375</v>
      </c>
      <c r="K5755">
        <v>6.375</v>
      </c>
      <c r="L5755">
        <v>5</v>
      </c>
      <c r="M5755">
        <v>3</v>
      </c>
      <c r="N5755">
        <v>0</v>
      </c>
      <c r="O5755" t="s">
        <v>53</v>
      </c>
      <c r="P5755" t="s">
        <v>53</v>
      </c>
      <c r="Q5755" t="s">
        <v>53</v>
      </c>
    </row>
    <row r="5756" spans="1:17" x14ac:dyDescent="0.2">
      <c r="A5756" s="30" t="str">
        <f>IF(C5756&amp;G5756&amp;D5756&lt;&gt;'Funnel setup'!$K$3&amp;'Funnel setup'!$K$4&amp;'Funnel setup'!$K$5,".",IF(A5755=".",1,A5755+1))</f>
        <v>.</v>
      </c>
      <c r="B5756" s="431" t="str">
        <f t="shared" si="89"/>
        <v>Knee Replacement RevisionProviderCLIFTON PARK HOSPITAL (NVC28)EQ VAS</v>
      </c>
      <c r="C5756" t="s">
        <v>250</v>
      </c>
      <c r="D5756" t="s">
        <v>1</v>
      </c>
      <c r="E5756" t="s">
        <v>4229</v>
      </c>
      <c r="F5756" t="s">
        <v>4230</v>
      </c>
      <c r="G5756" t="s">
        <v>179</v>
      </c>
      <c r="H5756">
        <v>9</v>
      </c>
      <c r="I5756">
        <v>73.221999999999994</v>
      </c>
      <c r="J5756">
        <v>66.778000000000006</v>
      </c>
      <c r="K5756">
        <v>-6.444</v>
      </c>
      <c r="L5756">
        <v>4</v>
      </c>
      <c r="M5756">
        <v>2</v>
      </c>
      <c r="N5756">
        <v>3</v>
      </c>
      <c r="O5756" t="s">
        <v>53</v>
      </c>
      <c r="P5756" t="s">
        <v>53</v>
      </c>
      <c r="Q5756" t="s">
        <v>53</v>
      </c>
    </row>
    <row r="5757" spans="1:17" x14ac:dyDescent="0.2">
      <c r="A5757" s="30" t="str">
        <f>IF(C5757&amp;G5757&amp;D5757&lt;&gt;'Funnel setup'!$K$3&amp;'Funnel setup'!$K$4&amp;'Funnel setup'!$K$5,".",IF(A5756=".",1,A5756+1))</f>
        <v>.</v>
      </c>
      <c r="B5757" s="431" t="str">
        <f t="shared" si="89"/>
        <v>Knee Replacement RevisionProviderCOLCHESTER HOSPITAL UNIVERSITY NHS FOUNDATION TRUST (RDE)EQ VAS</v>
      </c>
      <c r="C5757" t="s">
        <v>250</v>
      </c>
      <c r="D5757" t="s">
        <v>1</v>
      </c>
      <c r="E5757" t="s">
        <v>3109</v>
      </c>
      <c r="F5757" t="s">
        <v>3110</v>
      </c>
      <c r="G5757" t="s">
        <v>179</v>
      </c>
      <c r="H5757">
        <v>9</v>
      </c>
      <c r="I5757">
        <v>68.555999999999997</v>
      </c>
      <c r="J5757">
        <v>63.332999999999998</v>
      </c>
      <c r="K5757">
        <v>-5.2220000000000004</v>
      </c>
      <c r="L5757">
        <v>2</v>
      </c>
      <c r="M5757">
        <v>3</v>
      </c>
      <c r="N5757">
        <v>4</v>
      </c>
      <c r="O5757" t="s">
        <v>53</v>
      </c>
      <c r="P5757" t="s">
        <v>53</v>
      </c>
      <c r="Q5757" t="s">
        <v>53</v>
      </c>
    </row>
    <row r="5758" spans="1:17" x14ac:dyDescent="0.2">
      <c r="A5758" s="30" t="str">
        <f>IF(C5758&amp;G5758&amp;D5758&lt;&gt;'Funnel setup'!$K$3&amp;'Funnel setup'!$K$4&amp;'Funnel setup'!$K$5,".",IF(A5757=".",1,A5757+1))</f>
        <v>.</v>
      </c>
      <c r="B5758" s="431" t="str">
        <f t="shared" si="89"/>
        <v>Knee Replacement RevisionProviderCOUNTESS OF CHESTER HOSPITAL NHS FOUNDATION TRUST (RJR)EQ VAS</v>
      </c>
      <c r="C5758" t="s">
        <v>250</v>
      </c>
      <c r="D5758" t="s">
        <v>1</v>
      </c>
      <c r="E5758" t="s">
        <v>3781</v>
      </c>
      <c r="F5758" t="s">
        <v>3782</v>
      </c>
      <c r="G5758" t="s">
        <v>179</v>
      </c>
      <c r="H5758" t="s">
        <v>53</v>
      </c>
      <c r="I5758" t="s">
        <v>53</v>
      </c>
      <c r="J5758" t="s">
        <v>53</v>
      </c>
      <c r="K5758" t="s">
        <v>53</v>
      </c>
      <c r="L5758" t="s">
        <v>53</v>
      </c>
      <c r="M5758" t="s">
        <v>53</v>
      </c>
      <c r="N5758" t="s">
        <v>53</v>
      </c>
      <c r="O5758" t="s">
        <v>53</v>
      </c>
      <c r="P5758" t="s">
        <v>53</v>
      </c>
      <c r="Q5758" t="s">
        <v>53</v>
      </c>
    </row>
    <row r="5759" spans="1:17" x14ac:dyDescent="0.2">
      <c r="A5759" s="30" t="str">
        <f>IF(C5759&amp;G5759&amp;D5759&lt;&gt;'Funnel setup'!$K$3&amp;'Funnel setup'!$K$4&amp;'Funnel setup'!$K$5,".",IF(A5758=".",1,A5758+1))</f>
        <v>.</v>
      </c>
      <c r="B5759" s="431" t="str">
        <f t="shared" si="89"/>
        <v>Knee Replacement RevisionProviderCOUNTY DURHAM AND DARLINGTON NHS FOUNDATION TRUST (RXP)EQ VAS</v>
      </c>
      <c r="C5759" t="s">
        <v>250</v>
      </c>
      <c r="D5759" t="s">
        <v>1</v>
      </c>
      <c r="E5759" t="s">
        <v>3784</v>
      </c>
      <c r="F5759" t="s">
        <v>3785</v>
      </c>
      <c r="G5759" t="s">
        <v>179</v>
      </c>
      <c r="H5759">
        <v>6</v>
      </c>
      <c r="I5759">
        <v>53.332999999999998</v>
      </c>
      <c r="J5759">
        <v>69.167000000000002</v>
      </c>
      <c r="K5759">
        <v>15.833</v>
      </c>
      <c r="L5759">
        <v>4</v>
      </c>
      <c r="M5759">
        <v>1</v>
      </c>
      <c r="N5759">
        <v>1</v>
      </c>
      <c r="O5759" t="s">
        <v>53</v>
      </c>
      <c r="P5759" t="s">
        <v>53</v>
      </c>
      <c r="Q5759" t="s">
        <v>53</v>
      </c>
    </row>
    <row r="5760" spans="1:17" x14ac:dyDescent="0.2">
      <c r="A5760" s="30" t="str">
        <f>IF(C5760&amp;G5760&amp;D5760&lt;&gt;'Funnel setup'!$K$3&amp;'Funnel setup'!$K$4&amp;'Funnel setup'!$K$5,".",IF(A5759=".",1,A5759+1))</f>
        <v>.</v>
      </c>
      <c r="B5760" s="431" t="str">
        <f t="shared" si="89"/>
        <v>Knee Replacement RevisionProviderDARTFORD AND GRAVESHAM NHS TRUST (RN7)EQ VAS</v>
      </c>
      <c r="C5760" t="s">
        <v>250</v>
      </c>
      <c r="D5760" t="s">
        <v>1</v>
      </c>
      <c r="E5760" t="s">
        <v>3787</v>
      </c>
      <c r="F5760" t="s">
        <v>3788</v>
      </c>
      <c r="G5760" t="s">
        <v>179</v>
      </c>
      <c r="H5760" t="s">
        <v>53</v>
      </c>
      <c r="I5760" t="s">
        <v>53</v>
      </c>
      <c r="J5760" t="s">
        <v>53</v>
      </c>
      <c r="K5760" t="s">
        <v>53</v>
      </c>
      <c r="L5760" t="s">
        <v>53</v>
      </c>
      <c r="M5760" t="s">
        <v>53</v>
      </c>
      <c r="N5760" t="s">
        <v>53</v>
      </c>
      <c r="O5760" t="s">
        <v>53</v>
      </c>
      <c r="P5760" t="s">
        <v>53</v>
      </c>
      <c r="Q5760" t="s">
        <v>53</v>
      </c>
    </row>
    <row r="5761" spans="1:17" x14ac:dyDescent="0.2">
      <c r="A5761" s="30" t="str">
        <f>IF(C5761&amp;G5761&amp;D5761&lt;&gt;'Funnel setup'!$K$3&amp;'Funnel setup'!$K$4&amp;'Funnel setup'!$K$5,".",IF(A5760=".",1,A5760+1))</f>
        <v>.</v>
      </c>
      <c r="B5761" s="431" t="str">
        <f t="shared" si="89"/>
        <v>Knee Replacement RevisionProviderDERBY TEACHING HOSPITALS NHS FOUNDATION TRUST (RTG)EQ VAS</v>
      </c>
      <c r="C5761" t="s">
        <v>250</v>
      </c>
      <c r="D5761" t="s">
        <v>1</v>
      </c>
      <c r="E5761" t="s">
        <v>3790</v>
      </c>
      <c r="F5761" t="s">
        <v>3791</v>
      </c>
      <c r="G5761" t="s">
        <v>179</v>
      </c>
      <c r="H5761">
        <v>10</v>
      </c>
      <c r="I5761">
        <v>80.5</v>
      </c>
      <c r="J5761">
        <v>71.900000000000006</v>
      </c>
      <c r="K5761">
        <v>-8.6</v>
      </c>
      <c r="L5761">
        <v>2</v>
      </c>
      <c r="M5761">
        <v>1</v>
      </c>
      <c r="N5761">
        <v>7</v>
      </c>
      <c r="O5761" t="s">
        <v>53</v>
      </c>
      <c r="P5761" t="s">
        <v>53</v>
      </c>
      <c r="Q5761" t="s">
        <v>53</v>
      </c>
    </row>
    <row r="5762" spans="1:17" x14ac:dyDescent="0.2">
      <c r="A5762" s="30" t="str">
        <f>IF(C5762&amp;G5762&amp;D5762&lt;&gt;'Funnel setup'!$K$3&amp;'Funnel setup'!$K$4&amp;'Funnel setup'!$K$5,".",IF(A5761=".",1,A5761+1))</f>
        <v>.</v>
      </c>
      <c r="B5762" s="431" t="str">
        <f t="shared" si="89"/>
        <v>Knee Replacement RevisionProviderDONCASTER AND BASSETLAW HOSPITALS NHS FOUNDATION TRUST (RP5)EQ VAS</v>
      </c>
      <c r="C5762" t="s">
        <v>250</v>
      </c>
      <c r="D5762" t="s">
        <v>1</v>
      </c>
      <c r="E5762" t="s">
        <v>3799</v>
      </c>
      <c r="F5762" t="s">
        <v>3800</v>
      </c>
      <c r="G5762" t="s">
        <v>179</v>
      </c>
      <c r="H5762">
        <v>19</v>
      </c>
      <c r="I5762">
        <v>55.262999999999998</v>
      </c>
      <c r="J5762">
        <v>54.737000000000002</v>
      </c>
      <c r="K5762">
        <v>-0.52600000000000002</v>
      </c>
      <c r="L5762">
        <v>7</v>
      </c>
      <c r="M5762">
        <v>2</v>
      </c>
      <c r="N5762">
        <v>10</v>
      </c>
      <c r="O5762" t="s">
        <v>53</v>
      </c>
      <c r="P5762" t="s">
        <v>53</v>
      </c>
      <c r="Q5762" t="s">
        <v>53</v>
      </c>
    </row>
    <row r="5763" spans="1:17" x14ac:dyDescent="0.2">
      <c r="A5763" s="30" t="str">
        <f>IF(C5763&amp;G5763&amp;D5763&lt;&gt;'Funnel setup'!$K$3&amp;'Funnel setup'!$K$4&amp;'Funnel setup'!$K$5,".",IF(A5762=".",1,A5762+1))</f>
        <v>.</v>
      </c>
      <c r="B5763" s="431" t="str">
        <f t="shared" ref="B5763:B5826" si="90">C5763&amp;D5763&amp;F5763&amp;G5763</f>
        <v>Knee Replacement RevisionProviderDORSET COUNTY HOSPITAL NHS FOUNDATION TRUST (RBD)EQ VAS</v>
      </c>
      <c r="C5763" t="s">
        <v>250</v>
      </c>
      <c r="D5763" t="s">
        <v>1</v>
      </c>
      <c r="E5763" t="s">
        <v>3802</v>
      </c>
      <c r="F5763" t="s">
        <v>3803</v>
      </c>
      <c r="G5763" t="s">
        <v>179</v>
      </c>
      <c r="H5763" t="s">
        <v>53</v>
      </c>
      <c r="I5763" t="s">
        <v>53</v>
      </c>
      <c r="J5763" t="s">
        <v>53</v>
      </c>
      <c r="K5763" t="s">
        <v>53</v>
      </c>
      <c r="L5763" t="s">
        <v>53</v>
      </c>
      <c r="M5763" t="s">
        <v>53</v>
      </c>
      <c r="N5763" t="s">
        <v>53</v>
      </c>
      <c r="O5763" t="s">
        <v>53</v>
      </c>
      <c r="P5763" t="s">
        <v>53</v>
      </c>
      <c r="Q5763" t="s">
        <v>53</v>
      </c>
    </row>
    <row r="5764" spans="1:17" x14ac:dyDescent="0.2">
      <c r="A5764" s="30" t="str">
        <f>IF(C5764&amp;G5764&amp;D5764&lt;&gt;'Funnel setup'!$K$3&amp;'Funnel setup'!$K$4&amp;'Funnel setup'!$K$5,".",IF(A5763=".",1,A5763+1))</f>
        <v>.</v>
      </c>
      <c r="B5764" s="431" t="str">
        <f t="shared" si="90"/>
        <v>Knee Replacement RevisionProviderDUCHY HOSPITAL (NVC04)EQ VAS</v>
      </c>
      <c r="C5764" t="s">
        <v>250</v>
      </c>
      <c r="D5764" t="s">
        <v>1</v>
      </c>
      <c r="E5764" t="s">
        <v>4518</v>
      </c>
      <c r="F5764" t="s">
        <v>4519</v>
      </c>
      <c r="G5764" t="s">
        <v>179</v>
      </c>
      <c r="H5764">
        <v>10</v>
      </c>
      <c r="I5764">
        <v>64.599999999999994</v>
      </c>
      <c r="J5764">
        <v>74.900000000000006</v>
      </c>
      <c r="K5764">
        <v>10.3</v>
      </c>
      <c r="L5764">
        <v>7</v>
      </c>
      <c r="M5764">
        <v>2</v>
      </c>
      <c r="N5764">
        <v>1</v>
      </c>
      <c r="O5764" t="s">
        <v>53</v>
      </c>
      <c r="P5764" t="s">
        <v>53</v>
      </c>
      <c r="Q5764" t="s">
        <v>53</v>
      </c>
    </row>
    <row r="5765" spans="1:17" x14ac:dyDescent="0.2">
      <c r="A5765" s="30" t="str">
        <f>IF(C5765&amp;G5765&amp;D5765&lt;&gt;'Funnel setup'!$K$3&amp;'Funnel setup'!$K$4&amp;'Funnel setup'!$K$5,".",IF(A5764=".",1,A5764+1))</f>
        <v>.</v>
      </c>
      <c r="B5765" s="431" t="str">
        <f t="shared" si="90"/>
        <v>Knee Replacement RevisionProviderEAST AND NORTH HERTFORDSHIRE NHS TRUST (RWH)EQ VAS</v>
      </c>
      <c r="C5765" t="s">
        <v>250</v>
      </c>
      <c r="D5765" t="s">
        <v>1</v>
      </c>
      <c r="E5765" t="s">
        <v>3814</v>
      </c>
      <c r="F5765" t="s">
        <v>3815</v>
      </c>
      <c r="G5765" t="s">
        <v>179</v>
      </c>
      <c r="H5765">
        <v>9</v>
      </c>
      <c r="I5765">
        <v>62.667000000000002</v>
      </c>
      <c r="J5765">
        <v>67.444000000000003</v>
      </c>
      <c r="K5765">
        <v>4.7779999999999996</v>
      </c>
      <c r="L5765">
        <v>4</v>
      </c>
      <c r="M5765">
        <v>3</v>
      </c>
      <c r="N5765">
        <v>2</v>
      </c>
      <c r="O5765" t="s">
        <v>53</v>
      </c>
      <c r="P5765" t="s">
        <v>53</v>
      </c>
      <c r="Q5765" t="s">
        <v>53</v>
      </c>
    </row>
    <row r="5766" spans="1:17" x14ac:dyDescent="0.2">
      <c r="A5766" s="30" t="str">
        <f>IF(C5766&amp;G5766&amp;D5766&lt;&gt;'Funnel setup'!$K$3&amp;'Funnel setup'!$K$4&amp;'Funnel setup'!$K$5,".",IF(A5765=".",1,A5765+1))</f>
        <v>.</v>
      </c>
      <c r="B5766" s="431" t="str">
        <f t="shared" si="90"/>
        <v>Knee Replacement RevisionProviderEAST CHESHIRE NHS TRUST (RJN)EQ VAS</v>
      </c>
      <c r="C5766" t="s">
        <v>250</v>
      </c>
      <c r="D5766" t="s">
        <v>1</v>
      </c>
      <c r="E5766" t="s">
        <v>3817</v>
      </c>
      <c r="F5766" t="s">
        <v>3818</v>
      </c>
      <c r="G5766" t="s">
        <v>179</v>
      </c>
      <c r="H5766" t="s">
        <v>53</v>
      </c>
      <c r="I5766" t="s">
        <v>53</v>
      </c>
      <c r="J5766" t="s">
        <v>53</v>
      </c>
      <c r="K5766" t="s">
        <v>53</v>
      </c>
      <c r="L5766" t="s">
        <v>53</v>
      </c>
      <c r="M5766" t="s">
        <v>53</v>
      </c>
      <c r="N5766" t="s">
        <v>53</v>
      </c>
      <c r="O5766" t="s">
        <v>53</v>
      </c>
      <c r="P5766" t="s">
        <v>53</v>
      </c>
      <c r="Q5766" t="s">
        <v>53</v>
      </c>
    </row>
    <row r="5767" spans="1:17" x14ac:dyDescent="0.2">
      <c r="A5767" s="30" t="str">
        <f>IF(C5767&amp;G5767&amp;D5767&lt;&gt;'Funnel setup'!$K$3&amp;'Funnel setup'!$K$4&amp;'Funnel setup'!$K$5,".",IF(A5766=".",1,A5766+1))</f>
        <v>.</v>
      </c>
      <c r="B5767" s="431" t="str">
        <f t="shared" si="90"/>
        <v>Knee Replacement RevisionProviderEAST KENT HOSPITALS UNIVERSITY NHS FOUNDATION TRUST (RVV)EQ VAS</v>
      </c>
      <c r="C5767" t="s">
        <v>250</v>
      </c>
      <c r="D5767" t="s">
        <v>1</v>
      </c>
      <c r="E5767" t="s">
        <v>3820</v>
      </c>
      <c r="F5767" t="s">
        <v>3821</v>
      </c>
      <c r="G5767" t="s">
        <v>179</v>
      </c>
      <c r="H5767">
        <v>22</v>
      </c>
      <c r="I5767">
        <v>71.045000000000002</v>
      </c>
      <c r="J5767">
        <v>71.682000000000002</v>
      </c>
      <c r="K5767">
        <v>0.63600000000000001</v>
      </c>
      <c r="L5767">
        <v>9</v>
      </c>
      <c r="M5767">
        <v>4</v>
      </c>
      <c r="N5767">
        <v>9</v>
      </c>
      <c r="O5767" t="s">
        <v>53</v>
      </c>
      <c r="P5767" t="s">
        <v>53</v>
      </c>
      <c r="Q5767" t="s">
        <v>53</v>
      </c>
    </row>
    <row r="5768" spans="1:17" x14ac:dyDescent="0.2">
      <c r="A5768" s="30" t="str">
        <f>IF(C5768&amp;G5768&amp;D5768&lt;&gt;'Funnel setup'!$K$3&amp;'Funnel setup'!$K$4&amp;'Funnel setup'!$K$5,".",IF(A5767=".",1,A5767+1))</f>
        <v>.</v>
      </c>
      <c r="B5768" s="431" t="str">
        <f t="shared" si="90"/>
        <v>Knee Replacement RevisionProviderEAST LANCASHIRE HOSPITALS NHS TRUST (RXR)EQ VAS</v>
      </c>
      <c r="C5768" t="s">
        <v>250</v>
      </c>
      <c r="D5768" t="s">
        <v>1</v>
      </c>
      <c r="E5768" t="s">
        <v>3823</v>
      </c>
      <c r="F5768" t="s">
        <v>3824</v>
      </c>
      <c r="G5768" t="s">
        <v>179</v>
      </c>
      <c r="H5768" t="s">
        <v>53</v>
      </c>
      <c r="I5768" t="s">
        <v>53</v>
      </c>
      <c r="J5768" t="s">
        <v>53</v>
      </c>
      <c r="K5768" t="s">
        <v>53</v>
      </c>
      <c r="L5768" t="s">
        <v>53</v>
      </c>
      <c r="M5768" t="s">
        <v>53</v>
      </c>
      <c r="N5768" t="s">
        <v>53</v>
      </c>
      <c r="O5768" t="s">
        <v>53</v>
      </c>
      <c r="P5768" t="s">
        <v>53</v>
      </c>
      <c r="Q5768" t="s">
        <v>53</v>
      </c>
    </row>
    <row r="5769" spans="1:17" x14ac:dyDescent="0.2">
      <c r="A5769" s="30" t="str">
        <f>IF(C5769&amp;G5769&amp;D5769&lt;&gt;'Funnel setup'!$K$3&amp;'Funnel setup'!$K$4&amp;'Funnel setup'!$K$5,".",IF(A5768=".",1,A5768+1))</f>
        <v>.</v>
      </c>
      <c r="B5769" s="431" t="str">
        <f t="shared" si="90"/>
        <v>Knee Replacement RevisionProviderEAST SUSSEX HEALTHCARE NHS TRUST (RXC)EQ VAS</v>
      </c>
      <c r="C5769" t="s">
        <v>250</v>
      </c>
      <c r="D5769" t="s">
        <v>1</v>
      </c>
      <c r="E5769" t="s">
        <v>3826</v>
      </c>
      <c r="F5769" t="s">
        <v>3827</v>
      </c>
      <c r="G5769" t="s">
        <v>179</v>
      </c>
      <c r="H5769">
        <v>19</v>
      </c>
      <c r="I5769">
        <v>67.525999999999996</v>
      </c>
      <c r="J5769">
        <v>66.421000000000006</v>
      </c>
      <c r="K5769">
        <v>-1.105</v>
      </c>
      <c r="L5769">
        <v>9</v>
      </c>
      <c r="M5769">
        <v>3</v>
      </c>
      <c r="N5769">
        <v>7</v>
      </c>
      <c r="O5769" t="s">
        <v>53</v>
      </c>
      <c r="P5769" t="s">
        <v>53</v>
      </c>
      <c r="Q5769" t="s">
        <v>53</v>
      </c>
    </row>
    <row r="5770" spans="1:17" x14ac:dyDescent="0.2">
      <c r="A5770" s="30" t="str">
        <f>IF(C5770&amp;G5770&amp;D5770&lt;&gt;'Funnel setup'!$K$3&amp;'Funnel setup'!$K$4&amp;'Funnel setup'!$K$5,".",IF(A5769=".",1,A5769+1))</f>
        <v>.</v>
      </c>
      <c r="B5770" s="431" t="str">
        <f t="shared" si="90"/>
        <v>Knee Replacement RevisionProviderEMERSONS GREEN NHS TREATMENT CENTRE (NTPH2)EQ VAS</v>
      </c>
      <c r="C5770" t="s">
        <v>250</v>
      </c>
      <c r="D5770" t="s">
        <v>1</v>
      </c>
      <c r="E5770" t="s">
        <v>3829</v>
      </c>
      <c r="F5770" t="s">
        <v>3830</v>
      </c>
      <c r="G5770" t="s">
        <v>179</v>
      </c>
      <c r="H5770">
        <v>6</v>
      </c>
      <c r="I5770">
        <v>51.667000000000002</v>
      </c>
      <c r="J5770">
        <v>55</v>
      </c>
      <c r="K5770">
        <v>3.3330000000000002</v>
      </c>
      <c r="L5770">
        <v>3</v>
      </c>
      <c r="M5770">
        <v>1</v>
      </c>
      <c r="N5770">
        <v>2</v>
      </c>
      <c r="O5770" t="s">
        <v>53</v>
      </c>
      <c r="P5770" t="s">
        <v>53</v>
      </c>
      <c r="Q5770" t="s">
        <v>53</v>
      </c>
    </row>
    <row r="5771" spans="1:17" x14ac:dyDescent="0.2">
      <c r="A5771" s="30" t="str">
        <f>IF(C5771&amp;G5771&amp;D5771&lt;&gt;'Funnel setup'!$K$3&amp;'Funnel setup'!$K$4&amp;'Funnel setup'!$K$5,".",IF(A5770=".",1,A5770+1))</f>
        <v>.</v>
      </c>
      <c r="B5771" s="431" t="str">
        <f t="shared" si="90"/>
        <v>Knee Replacement RevisionProviderEPSOM AND ST HELIER UNIVERSITY HOSPITALS NHS TRUST (RVR)EQ VAS</v>
      </c>
      <c r="C5771" t="s">
        <v>250</v>
      </c>
      <c r="D5771" t="s">
        <v>1</v>
      </c>
      <c r="E5771" t="s">
        <v>3849</v>
      </c>
      <c r="F5771" t="s">
        <v>3850</v>
      </c>
      <c r="G5771" t="s">
        <v>179</v>
      </c>
      <c r="H5771">
        <v>10</v>
      </c>
      <c r="I5771">
        <v>65.2</v>
      </c>
      <c r="J5771">
        <v>66</v>
      </c>
      <c r="K5771">
        <v>0.8</v>
      </c>
      <c r="L5771">
        <v>3</v>
      </c>
      <c r="M5771">
        <v>2</v>
      </c>
      <c r="N5771">
        <v>5</v>
      </c>
      <c r="O5771" t="s">
        <v>53</v>
      </c>
      <c r="P5771" t="s">
        <v>53</v>
      </c>
      <c r="Q5771" t="s">
        <v>53</v>
      </c>
    </row>
    <row r="5772" spans="1:17" x14ac:dyDescent="0.2">
      <c r="A5772" s="30" t="str">
        <f>IF(C5772&amp;G5772&amp;D5772&lt;&gt;'Funnel setup'!$K$3&amp;'Funnel setup'!$K$4&amp;'Funnel setup'!$K$5,".",IF(A5771=".",1,A5771+1))</f>
        <v>.</v>
      </c>
      <c r="B5772" s="431" t="str">
        <f t="shared" si="90"/>
        <v>Knee Replacement RevisionProviderEUXTON HALL HOSPITAL (NVC05)EQ VAS</v>
      </c>
      <c r="C5772" t="s">
        <v>250</v>
      </c>
      <c r="D5772" t="s">
        <v>1</v>
      </c>
      <c r="E5772" t="s">
        <v>3852</v>
      </c>
      <c r="F5772" t="s">
        <v>3853</v>
      </c>
      <c r="G5772" t="s">
        <v>179</v>
      </c>
      <c r="H5772" t="s">
        <v>53</v>
      </c>
      <c r="I5772" t="s">
        <v>53</v>
      </c>
      <c r="J5772" t="s">
        <v>53</v>
      </c>
      <c r="K5772" t="s">
        <v>53</v>
      </c>
      <c r="L5772" t="s">
        <v>53</v>
      </c>
      <c r="M5772" t="s">
        <v>53</v>
      </c>
      <c r="N5772" t="s">
        <v>53</v>
      </c>
      <c r="O5772" t="s">
        <v>53</v>
      </c>
      <c r="P5772" t="s">
        <v>53</v>
      </c>
      <c r="Q5772" t="s">
        <v>53</v>
      </c>
    </row>
    <row r="5773" spans="1:17" x14ac:dyDescent="0.2">
      <c r="A5773" s="30" t="str">
        <f>IF(C5773&amp;G5773&amp;D5773&lt;&gt;'Funnel setup'!$K$3&amp;'Funnel setup'!$K$4&amp;'Funnel setup'!$K$5,".",IF(A5772=".",1,A5772+1))</f>
        <v>.</v>
      </c>
      <c r="B5773" s="431" t="str">
        <f t="shared" si="90"/>
        <v>Knee Replacement RevisionProviderFITZWILLIAM HOSPITAL (NVC06)EQ VAS</v>
      </c>
      <c r="C5773" t="s">
        <v>250</v>
      </c>
      <c r="D5773" t="s">
        <v>1</v>
      </c>
      <c r="E5773" t="s">
        <v>3858</v>
      </c>
      <c r="F5773" t="s">
        <v>3859</v>
      </c>
      <c r="G5773" t="s">
        <v>179</v>
      </c>
      <c r="H5773" t="s">
        <v>53</v>
      </c>
      <c r="I5773" t="s">
        <v>53</v>
      </c>
      <c r="J5773" t="s">
        <v>53</v>
      </c>
      <c r="K5773" t="s">
        <v>53</v>
      </c>
      <c r="L5773" t="s">
        <v>53</v>
      </c>
      <c r="M5773" t="s">
        <v>53</v>
      </c>
      <c r="N5773" t="s">
        <v>53</v>
      </c>
      <c r="O5773" t="s">
        <v>53</v>
      </c>
      <c r="P5773" t="s">
        <v>53</v>
      </c>
      <c r="Q5773" t="s">
        <v>53</v>
      </c>
    </row>
    <row r="5774" spans="1:17" x14ac:dyDescent="0.2">
      <c r="A5774" s="30" t="str">
        <f>IF(C5774&amp;G5774&amp;D5774&lt;&gt;'Funnel setup'!$K$3&amp;'Funnel setup'!$K$4&amp;'Funnel setup'!$K$5,".",IF(A5773=".",1,A5773+1))</f>
        <v>.</v>
      </c>
      <c r="B5774" s="431" t="str">
        <f t="shared" si="90"/>
        <v>Knee Replacement RevisionProviderFRIMLEY HEALTH NHS FOUNDATION TRUST (RDU)EQ VAS</v>
      </c>
      <c r="C5774" t="s">
        <v>250</v>
      </c>
      <c r="D5774" t="s">
        <v>1</v>
      </c>
      <c r="E5774" t="s">
        <v>3861</v>
      </c>
      <c r="F5774" t="s">
        <v>3862</v>
      </c>
      <c r="G5774" t="s">
        <v>179</v>
      </c>
      <c r="H5774">
        <v>21</v>
      </c>
      <c r="I5774">
        <v>68.762</v>
      </c>
      <c r="J5774">
        <v>66.332999999999998</v>
      </c>
      <c r="K5774">
        <v>-2.4289999999999998</v>
      </c>
      <c r="L5774">
        <v>8</v>
      </c>
      <c r="M5774">
        <v>3</v>
      </c>
      <c r="N5774">
        <v>10</v>
      </c>
      <c r="O5774" t="s">
        <v>53</v>
      </c>
      <c r="P5774" t="s">
        <v>53</v>
      </c>
      <c r="Q5774" t="s">
        <v>53</v>
      </c>
    </row>
    <row r="5775" spans="1:17" x14ac:dyDescent="0.2">
      <c r="A5775" s="30" t="str">
        <f>IF(C5775&amp;G5775&amp;D5775&lt;&gt;'Funnel setup'!$K$3&amp;'Funnel setup'!$K$4&amp;'Funnel setup'!$K$5,".",IF(A5774=".",1,A5774+1))</f>
        <v>.</v>
      </c>
      <c r="B5775" s="431" t="str">
        <f t="shared" si="90"/>
        <v>Knee Replacement RevisionProviderFULWOOD HALL HOSPITAL (NVC07)EQ VAS</v>
      </c>
      <c r="C5775" t="s">
        <v>250</v>
      </c>
      <c r="D5775" t="s">
        <v>1</v>
      </c>
      <c r="E5775" t="s">
        <v>3864</v>
      </c>
      <c r="F5775" t="s">
        <v>3865</v>
      </c>
      <c r="G5775" t="s">
        <v>179</v>
      </c>
      <c r="H5775" t="s">
        <v>53</v>
      </c>
      <c r="I5775" t="s">
        <v>53</v>
      </c>
      <c r="J5775" t="s">
        <v>53</v>
      </c>
      <c r="K5775" t="s">
        <v>53</v>
      </c>
      <c r="L5775" t="s">
        <v>53</v>
      </c>
      <c r="M5775" t="s">
        <v>53</v>
      </c>
      <c r="N5775" t="s">
        <v>53</v>
      </c>
      <c r="O5775" t="s">
        <v>53</v>
      </c>
      <c r="P5775" t="s">
        <v>53</v>
      </c>
      <c r="Q5775" t="s">
        <v>53</v>
      </c>
    </row>
    <row r="5776" spans="1:17" x14ac:dyDescent="0.2">
      <c r="A5776" s="30" t="str">
        <f>IF(C5776&amp;G5776&amp;D5776&lt;&gt;'Funnel setup'!$K$3&amp;'Funnel setup'!$K$4&amp;'Funnel setup'!$K$5,".",IF(A5775=".",1,A5775+1))</f>
        <v>.</v>
      </c>
      <c r="B5776" s="431" t="str">
        <f t="shared" si="90"/>
        <v>Knee Replacement RevisionProviderGATESHEAD HEALTH NHS FOUNDATION TRUST (RR7)EQ VAS</v>
      </c>
      <c r="C5776" t="s">
        <v>250</v>
      </c>
      <c r="D5776" t="s">
        <v>1</v>
      </c>
      <c r="E5776" t="s">
        <v>3867</v>
      </c>
      <c r="F5776" t="s">
        <v>3868</v>
      </c>
      <c r="G5776" t="s">
        <v>179</v>
      </c>
      <c r="H5776">
        <v>8</v>
      </c>
      <c r="I5776">
        <v>64.875</v>
      </c>
      <c r="J5776">
        <v>63.75</v>
      </c>
      <c r="K5776">
        <v>-1.125</v>
      </c>
      <c r="L5776">
        <v>4</v>
      </c>
      <c r="M5776">
        <v>0</v>
      </c>
      <c r="N5776">
        <v>4</v>
      </c>
      <c r="O5776" t="s">
        <v>53</v>
      </c>
      <c r="P5776" t="s">
        <v>53</v>
      </c>
      <c r="Q5776" t="s">
        <v>53</v>
      </c>
    </row>
    <row r="5777" spans="1:17" x14ac:dyDescent="0.2">
      <c r="A5777" s="30" t="str">
        <f>IF(C5777&amp;G5777&amp;D5777&lt;&gt;'Funnel setup'!$K$3&amp;'Funnel setup'!$K$4&amp;'Funnel setup'!$K$5,".",IF(A5776=".",1,A5776+1))</f>
        <v>.</v>
      </c>
      <c r="B5777" s="431" t="str">
        <f t="shared" si="90"/>
        <v>Knee Replacement RevisionProviderGEORGE ELIOT HOSPITAL NHS TRUST (RLT)EQ VAS</v>
      </c>
      <c r="C5777" t="s">
        <v>250</v>
      </c>
      <c r="D5777" t="s">
        <v>1</v>
      </c>
      <c r="E5777" t="s">
        <v>3870</v>
      </c>
      <c r="F5777" t="s">
        <v>3871</v>
      </c>
      <c r="G5777" t="s">
        <v>179</v>
      </c>
      <c r="H5777" t="s">
        <v>53</v>
      </c>
      <c r="I5777" t="s">
        <v>53</v>
      </c>
      <c r="J5777" t="s">
        <v>53</v>
      </c>
      <c r="K5777" t="s">
        <v>53</v>
      </c>
      <c r="L5777" t="s">
        <v>53</v>
      </c>
      <c r="M5777" t="s">
        <v>53</v>
      </c>
      <c r="N5777" t="s">
        <v>53</v>
      </c>
      <c r="O5777" t="s">
        <v>53</v>
      </c>
      <c r="P5777" t="s">
        <v>53</v>
      </c>
      <c r="Q5777" t="s">
        <v>53</v>
      </c>
    </row>
    <row r="5778" spans="1:17" x14ac:dyDescent="0.2">
      <c r="A5778" s="30" t="str">
        <f>IF(C5778&amp;G5778&amp;D5778&lt;&gt;'Funnel setup'!$K$3&amp;'Funnel setup'!$K$4&amp;'Funnel setup'!$K$5,".",IF(A5777=".",1,A5777+1))</f>
        <v>.</v>
      </c>
      <c r="B5778" s="431" t="str">
        <f t="shared" si="90"/>
        <v>Knee Replacement RevisionProviderGLOUCESTERSHIRE HOSPITALS NHS FOUNDATION TRUST (RTE)EQ VAS</v>
      </c>
      <c r="C5778" t="s">
        <v>250</v>
      </c>
      <c r="D5778" t="s">
        <v>1</v>
      </c>
      <c r="E5778" t="s">
        <v>3873</v>
      </c>
      <c r="F5778" t="s">
        <v>3874</v>
      </c>
      <c r="G5778" t="s">
        <v>179</v>
      </c>
      <c r="H5778">
        <v>25</v>
      </c>
      <c r="I5778">
        <v>70.319999999999993</v>
      </c>
      <c r="J5778">
        <v>70.2</v>
      </c>
      <c r="K5778">
        <v>-0.12</v>
      </c>
      <c r="L5778">
        <v>14</v>
      </c>
      <c r="M5778">
        <v>4</v>
      </c>
      <c r="N5778">
        <v>7</v>
      </c>
      <c r="O5778" t="s">
        <v>53</v>
      </c>
      <c r="P5778" t="s">
        <v>53</v>
      </c>
      <c r="Q5778" t="s">
        <v>53</v>
      </c>
    </row>
    <row r="5779" spans="1:17" x14ac:dyDescent="0.2">
      <c r="A5779" s="30" t="str">
        <f>IF(C5779&amp;G5779&amp;D5779&lt;&gt;'Funnel setup'!$K$3&amp;'Funnel setup'!$K$4&amp;'Funnel setup'!$K$5,".",IF(A5778=".",1,A5778+1))</f>
        <v>.</v>
      </c>
      <c r="B5779" s="431" t="str">
        <f t="shared" si="90"/>
        <v>Knee Replacement RevisionProviderGREAT WESTERN HOSPITALS NHS FOUNDATION TRUST (RN3)EQ VAS</v>
      </c>
      <c r="C5779" t="s">
        <v>250</v>
      </c>
      <c r="D5779" t="s">
        <v>1</v>
      </c>
      <c r="E5779" t="s">
        <v>3876</v>
      </c>
      <c r="F5779" t="s">
        <v>3877</v>
      </c>
      <c r="G5779" t="s">
        <v>179</v>
      </c>
      <c r="H5779">
        <v>13</v>
      </c>
      <c r="I5779">
        <v>70.462000000000003</v>
      </c>
      <c r="J5779">
        <v>60.768999999999998</v>
      </c>
      <c r="K5779">
        <v>-9.6920000000000002</v>
      </c>
      <c r="L5779">
        <v>4</v>
      </c>
      <c r="M5779">
        <v>1</v>
      </c>
      <c r="N5779">
        <v>8</v>
      </c>
      <c r="O5779" t="s">
        <v>53</v>
      </c>
      <c r="P5779" t="s">
        <v>53</v>
      </c>
      <c r="Q5779" t="s">
        <v>53</v>
      </c>
    </row>
    <row r="5780" spans="1:17" x14ac:dyDescent="0.2">
      <c r="A5780" s="30" t="str">
        <f>IF(C5780&amp;G5780&amp;D5780&lt;&gt;'Funnel setup'!$K$3&amp;'Funnel setup'!$K$4&amp;'Funnel setup'!$K$5,".",IF(A5779=".",1,A5779+1))</f>
        <v>.</v>
      </c>
      <c r="B5780" s="431" t="str">
        <f t="shared" si="90"/>
        <v>Knee Replacement RevisionProviderGUY'S AND ST THOMAS' NHS FOUNDATION TRUST (RJ1)EQ VAS</v>
      </c>
      <c r="C5780" t="s">
        <v>250</v>
      </c>
      <c r="D5780" t="s">
        <v>1</v>
      </c>
      <c r="E5780" t="s">
        <v>3879</v>
      </c>
      <c r="F5780" t="s">
        <v>3880</v>
      </c>
      <c r="G5780" t="s">
        <v>179</v>
      </c>
      <c r="H5780" t="s">
        <v>53</v>
      </c>
      <c r="I5780" t="s">
        <v>53</v>
      </c>
      <c r="J5780" t="s">
        <v>53</v>
      </c>
      <c r="K5780" t="s">
        <v>53</v>
      </c>
      <c r="L5780" t="s">
        <v>53</v>
      </c>
      <c r="M5780" t="s">
        <v>53</v>
      </c>
      <c r="N5780" t="s">
        <v>53</v>
      </c>
      <c r="O5780" t="s">
        <v>53</v>
      </c>
      <c r="P5780" t="s">
        <v>53</v>
      </c>
      <c r="Q5780" t="s">
        <v>53</v>
      </c>
    </row>
    <row r="5781" spans="1:17" x14ac:dyDescent="0.2">
      <c r="A5781" s="30" t="str">
        <f>IF(C5781&amp;G5781&amp;D5781&lt;&gt;'Funnel setup'!$K$3&amp;'Funnel setup'!$K$4&amp;'Funnel setup'!$K$5,".",IF(A5780=".",1,A5780+1))</f>
        <v>.</v>
      </c>
      <c r="B5781" s="431" t="str">
        <f t="shared" si="90"/>
        <v>Knee Replacement RevisionProviderHAMPSHIRE HOSPITALS NHS FOUNDATION TRUST (RN5)EQ VAS</v>
      </c>
      <c r="C5781" t="s">
        <v>250</v>
      </c>
      <c r="D5781" t="s">
        <v>1</v>
      </c>
      <c r="E5781" t="s">
        <v>3882</v>
      </c>
      <c r="F5781" t="s">
        <v>3883</v>
      </c>
      <c r="G5781" t="s">
        <v>179</v>
      </c>
      <c r="H5781">
        <v>20</v>
      </c>
      <c r="I5781">
        <v>66.650000000000006</v>
      </c>
      <c r="J5781">
        <v>68.25</v>
      </c>
      <c r="K5781">
        <v>1.6</v>
      </c>
      <c r="L5781">
        <v>9</v>
      </c>
      <c r="M5781">
        <v>4</v>
      </c>
      <c r="N5781">
        <v>7</v>
      </c>
      <c r="O5781" t="s">
        <v>53</v>
      </c>
      <c r="P5781" t="s">
        <v>53</v>
      </c>
      <c r="Q5781" t="s">
        <v>53</v>
      </c>
    </row>
    <row r="5782" spans="1:17" x14ac:dyDescent="0.2">
      <c r="A5782" s="30" t="str">
        <f>IF(C5782&amp;G5782&amp;D5782&lt;&gt;'Funnel setup'!$K$3&amp;'Funnel setup'!$K$4&amp;'Funnel setup'!$K$5,".",IF(A5781=".",1,A5781+1))</f>
        <v>.</v>
      </c>
      <c r="B5782" s="431" t="str">
        <f t="shared" si="90"/>
        <v>Knee Replacement RevisionProviderHARROGATE AND DISTRICT NHS FOUNDATION TRUST (RCD)EQ VAS</v>
      </c>
      <c r="C5782" t="s">
        <v>250</v>
      </c>
      <c r="D5782" t="s">
        <v>1</v>
      </c>
      <c r="E5782" t="s">
        <v>3885</v>
      </c>
      <c r="F5782" t="s">
        <v>3886</v>
      </c>
      <c r="G5782" t="s">
        <v>179</v>
      </c>
      <c r="H5782">
        <v>15</v>
      </c>
      <c r="I5782">
        <v>69.533000000000001</v>
      </c>
      <c r="J5782">
        <v>76.332999999999998</v>
      </c>
      <c r="K5782">
        <v>6.8</v>
      </c>
      <c r="L5782">
        <v>7</v>
      </c>
      <c r="M5782">
        <v>4</v>
      </c>
      <c r="N5782">
        <v>4</v>
      </c>
      <c r="O5782" t="s">
        <v>53</v>
      </c>
      <c r="P5782" t="s">
        <v>53</v>
      </c>
      <c r="Q5782" t="s">
        <v>53</v>
      </c>
    </row>
    <row r="5783" spans="1:17" x14ac:dyDescent="0.2">
      <c r="A5783" s="30" t="str">
        <f>IF(C5783&amp;G5783&amp;D5783&lt;&gt;'Funnel setup'!$K$3&amp;'Funnel setup'!$K$4&amp;'Funnel setup'!$K$5,".",IF(A5782=".",1,A5782+1))</f>
        <v>.</v>
      </c>
      <c r="B5783" s="431" t="str">
        <f t="shared" si="90"/>
        <v>Knee Replacement RevisionProviderHEART OF ENGLAND NHS FOUNDATION TRUST (RR1)EQ VAS</v>
      </c>
      <c r="C5783" t="s">
        <v>250</v>
      </c>
      <c r="D5783" t="s">
        <v>1</v>
      </c>
      <c r="E5783" t="s">
        <v>3888</v>
      </c>
      <c r="F5783" t="s">
        <v>3889</v>
      </c>
      <c r="G5783" t="s">
        <v>179</v>
      </c>
      <c r="H5783">
        <v>11</v>
      </c>
      <c r="I5783">
        <v>67.545000000000002</v>
      </c>
      <c r="J5783">
        <v>67.090999999999994</v>
      </c>
      <c r="K5783">
        <v>-0.45500000000000002</v>
      </c>
      <c r="L5783">
        <v>4</v>
      </c>
      <c r="M5783">
        <v>1</v>
      </c>
      <c r="N5783">
        <v>6</v>
      </c>
      <c r="O5783" t="s">
        <v>53</v>
      </c>
      <c r="P5783" t="s">
        <v>53</v>
      </c>
      <c r="Q5783" t="s">
        <v>53</v>
      </c>
    </row>
    <row r="5784" spans="1:17" x14ac:dyDescent="0.2">
      <c r="A5784" s="30" t="str">
        <f>IF(C5784&amp;G5784&amp;D5784&lt;&gt;'Funnel setup'!$K$3&amp;'Funnel setup'!$K$4&amp;'Funnel setup'!$K$5,".",IF(A5783=".",1,A5783+1))</f>
        <v>.</v>
      </c>
      <c r="B5784" s="431" t="str">
        <f t="shared" si="90"/>
        <v>Knee Replacement RevisionProviderHINCHINGBROOKE HEALTH CARE NHS TRUST (RQQ)EQ VAS</v>
      </c>
      <c r="C5784" t="s">
        <v>250</v>
      </c>
      <c r="D5784" t="s">
        <v>1</v>
      </c>
      <c r="E5784" t="s">
        <v>3894</v>
      </c>
      <c r="F5784" t="s">
        <v>3895</v>
      </c>
      <c r="G5784" t="s">
        <v>179</v>
      </c>
      <c r="H5784">
        <v>12</v>
      </c>
      <c r="I5784">
        <v>64.582999999999998</v>
      </c>
      <c r="J5784">
        <v>64.167000000000002</v>
      </c>
      <c r="K5784">
        <v>-0.41699999999999998</v>
      </c>
      <c r="L5784">
        <v>4</v>
      </c>
      <c r="M5784">
        <v>1</v>
      </c>
      <c r="N5784">
        <v>7</v>
      </c>
      <c r="O5784" t="s">
        <v>53</v>
      </c>
      <c r="P5784" t="s">
        <v>53</v>
      </c>
      <c r="Q5784" t="s">
        <v>53</v>
      </c>
    </row>
    <row r="5785" spans="1:17" x14ac:dyDescent="0.2">
      <c r="A5785" s="30" t="str">
        <f>IF(C5785&amp;G5785&amp;D5785&lt;&gt;'Funnel setup'!$K$3&amp;'Funnel setup'!$K$4&amp;'Funnel setup'!$K$5,".",IF(A5784=".",1,A5784+1))</f>
        <v>.</v>
      </c>
      <c r="B5785" s="431" t="str">
        <f t="shared" si="90"/>
        <v>Knee Replacement RevisionProviderHOMERTON UNIVERSITY HOSPITAL NHS FOUNDATION TRUST (RQX)EQ VAS</v>
      </c>
      <c r="C5785" t="s">
        <v>250</v>
      </c>
      <c r="D5785" t="s">
        <v>1</v>
      </c>
      <c r="E5785" t="s">
        <v>3897</v>
      </c>
      <c r="F5785" t="s">
        <v>3898</v>
      </c>
      <c r="G5785" t="s">
        <v>179</v>
      </c>
      <c r="H5785" t="s">
        <v>53</v>
      </c>
      <c r="I5785" t="s">
        <v>53</v>
      </c>
      <c r="J5785" t="s">
        <v>53</v>
      </c>
      <c r="K5785" t="s">
        <v>53</v>
      </c>
      <c r="L5785" t="s">
        <v>53</v>
      </c>
      <c r="M5785" t="s">
        <v>53</v>
      </c>
      <c r="N5785" t="s">
        <v>53</v>
      </c>
      <c r="O5785" t="s">
        <v>53</v>
      </c>
      <c r="P5785" t="s">
        <v>53</v>
      </c>
      <c r="Q5785" t="s">
        <v>53</v>
      </c>
    </row>
    <row r="5786" spans="1:17" x14ac:dyDescent="0.2">
      <c r="A5786" s="30" t="str">
        <f>IF(C5786&amp;G5786&amp;D5786&lt;&gt;'Funnel setup'!$K$3&amp;'Funnel setup'!$K$4&amp;'Funnel setup'!$K$5,".",IF(A5785=".",1,A5785+1))</f>
        <v>.</v>
      </c>
      <c r="B5786" s="431" t="str">
        <f t="shared" si="90"/>
        <v>Knee Replacement RevisionProviderHORTON NHS TREATMENT CENTRE (NVC25)EQ VAS</v>
      </c>
      <c r="C5786" t="s">
        <v>250</v>
      </c>
      <c r="D5786" t="s">
        <v>1</v>
      </c>
      <c r="E5786" t="s">
        <v>4553</v>
      </c>
      <c r="F5786" t="s">
        <v>4554</v>
      </c>
      <c r="G5786" t="s">
        <v>179</v>
      </c>
      <c r="H5786">
        <v>13</v>
      </c>
      <c r="I5786">
        <v>75</v>
      </c>
      <c r="J5786">
        <v>78.308000000000007</v>
      </c>
      <c r="K5786">
        <v>3.3079999999999998</v>
      </c>
      <c r="L5786">
        <v>6</v>
      </c>
      <c r="M5786">
        <v>1</v>
      </c>
      <c r="N5786">
        <v>6</v>
      </c>
      <c r="O5786" t="s">
        <v>53</v>
      </c>
      <c r="P5786" t="s">
        <v>53</v>
      </c>
      <c r="Q5786" t="s">
        <v>53</v>
      </c>
    </row>
    <row r="5787" spans="1:17" x14ac:dyDescent="0.2">
      <c r="A5787" s="30" t="str">
        <f>IF(C5787&amp;G5787&amp;D5787&lt;&gt;'Funnel setup'!$K$3&amp;'Funnel setup'!$K$4&amp;'Funnel setup'!$K$5,".",IF(A5786=".",1,A5786+1))</f>
        <v>.</v>
      </c>
      <c r="B5787" s="431" t="str">
        <f t="shared" si="90"/>
        <v>Knee Replacement RevisionProviderHULL AND EAST YORKSHIRE HOSPITALS NHS TRUST (RWA)EQ VAS</v>
      </c>
      <c r="C5787" t="s">
        <v>250</v>
      </c>
      <c r="D5787" t="s">
        <v>1</v>
      </c>
      <c r="E5787" t="s">
        <v>3906</v>
      </c>
      <c r="F5787" t="s">
        <v>3907</v>
      </c>
      <c r="G5787" t="s">
        <v>179</v>
      </c>
      <c r="H5787">
        <v>18</v>
      </c>
      <c r="I5787">
        <v>62.222000000000001</v>
      </c>
      <c r="J5787">
        <v>62.055999999999997</v>
      </c>
      <c r="K5787">
        <v>-0.16700000000000001</v>
      </c>
      <c r="L5787">
        <v>7</v>
      </c>
      <c r="M5787">
        <v>2</v>
      </c>
      <c r="N5787">
        <v>9</v>
      </c>
      <c r="O5787" t="s">
        <v>53</v>
      </c>
      <c r="P5787" t="s">
        <v>53</v>
      </c>
      <c r="Q5787" t="s">
        <v>53</v>
      </c>
    </row>
    <row r="5788" spans="1:17" x14ac:dyDescent="0.2">
      <c r="A5788" s="30" t="str">
        <f>IF(C5788&amp;G5788&amp;D5788&lt;&gt;'Funnel setup'!$K$3&amp;'Funnel setup'!$K$4&amp;'Funnel setup'!$K$5,".",IF(A5787=".",1,A5787+1))</f>
        <v>.</v>
      </c>
      <c r="B5788" s="431" t="str">
        <f t="shared" si="90"/>
        <v>Knee Replacement RevisionProviderIMPERIAL COLLEGE HEALTHCARE NHS TRUST (RYJ)EQ VAS</v>
      </c>
      <c r="C5788" t="s">
        <v>250</v>
      </c>
      <c r="D5788" t="s">
        <v>1</v>
      </c>
      <c r="E5788" t="s">
        <v>4558</v>
      </c>
      <c r="F5788" t="s">
        <v>4559</v>
      </c>
      <c r="G5788" t="s">
        <v>179</v>
      </c>
      <c r="H5788" t="s">
        <v>53</v>
      </c>
      <c r="I5788" t="s">
        <v>53</v>
      </c>
      <c r="J5788" t="s">
        <v>53</v>
      </c>
      <c r="K5788" t="s">
        <v>53</v>
      </c>
      <c r="L5788" t="s">
        <v>53</v>
      </c>
      <c r="M5788" t="s">
        <v>53</v>
      </c>
      <c r="N5788" t="s">
        <v>53</v>
      </c>
      <c r="O5788" t="s">
        <v>53</v>
      </c>
      <c r="P5788" t="s">
        <v>53</v>
      </c>
      <c r="Q5788" t="s">
        <v>53</v>
      </c>
    </row>
    <row r="5789" spans="1:17" x14ac:dyDescent="0.2">
      <c r="A5789" s="30" t="str">
        <f>IF(C5789&amp;G5789&amp;D5789&lt;&gt;'Funnel setup'!$K$3&amp;'Funnel setup'!$K$4&amp;'Funnel setup'!$K$5,".",IF(A5788=".",1,A5788+1))</f>
        <v>.</v>
      </c>
      <c r="B5789" s="431" t="str">
        <f t="shared" si="90"/>
        <v>Knee Replacement RevisionProviderIPSWICH HOSPITAL NHS TRUST (RGQ)EQ VAS</v>
      </c>
      <c r="C5789" t="s">
        <v>250</v>
      </c>
      <c r="D5789" t="s">
        <v>1</v>
      </c>
      <c r="E5789" t="s">
        <v>3909</v>
      </c>
      <c r="F5789" t="s">
        <v>3910</v>
      </c>
      <c r="G5789" t="s">
        <v>179</v>
      </c>
      <c r="H5789" t="s">
        <v>53</v>
      </c>
      <c r="I5789" t="s">
        <v>53</v>
      </c>
      <c r="J5789" t="s">
        <v>53</v>
      </c>
      <c r="K5789" t="s">
        <v>53</v>
      </c>
      <c r="L5789" t="s">
        <v>53</v>
      </c>
      <c r="M5789" t="s">
        <v>53</v>
      </c>
      <c r="N5789" t="s">
        <v>53</v>
      </c>
      <c r="O5789" t="s">
        <v>53</v>
      </c>
      <c r="P5789" t="s">
        <v>53</v>
      </c>
      <c r="Q5789" t="s">
        <v>53</v>
      </c>
    </row>
    <row r="5790" spans="1:17" x14ac:dyDescent="0.2">
      <c r="A5790" s="30" t="str">
        <f>IF(C5790&amp;G5790&amp;D5790&lt;&gt;'Funnel setup'!$K$3&amp;'Funnel setup'!$K$4&amp;'Funnel setup'!$K$5,".",IF(A5789=".",1,A5789+1))</f>
        <v>.</v>
      </c>
      <c r="B5790" s="431" t="str">
        <f t="shared" si="90"/>
        <v>Knee Replacement RevisionProviderISLE OF WIGHT NHS TRUST (R1F)EQ VAS</v>
      </c>
      <c r="C5790" t="s">
        <v>250</v>
      </c>
      <c r="D5790" t="s">
        <v>1</v>
      </c>
      <c r="E5790" t="s">
        <v>3912</v>
      </c>
      <c r="F5790" t="s">
        <v>3913</v>
      </c>
      <c r="G5790" t="s">
        <v>179</v>
      </c>
      <c r="H5790" t="s">
        <v>53</v>
      </c>
      <c r="I5790" t="s">
        <v>53</v>
      </c>
      <c r="J5790" t="s">
        <v>53</v>
      </c>
      <c r="K5790" t="s">
        <v>53</v>
      </c>
      <c r="L5790" t="s">
        <v>53</v>
      </c>
      <c r="M5790" t="s">
        <v>53</v>
      </c>
      <c r="N5790" t="s">
        <v>53</v>
      </c>
      <c r="O5790" t="s">
        <v>53</v>
      </c>
      <c r="P5790" t="s">
        <v>53</v>
      </c>
      <c r="Q5790" t="s">
        <v>53</v>
      </c>
    </row>
    <row r="5791" spans="1:17" x14ac:dyDescent="0.2">
      <c r="A5791" s="30" t="str">
        <f>IF(C5791&amp;G5791&amp;D5791&lt;&gt;'Funnel setup'!$K$3&amp;'Funnel setup'!$K$4&amp;'Funnel setup'!$K$5,".",IF(A5790=".",1,A5790+1))</f>
        <v>.</v>
      </c>
      <c r="B5791" s="431" t="str">
        <f t="shared" si="90"/>
        <v>Knee Replacement RevisionProviderJAMES PAGET UNIVERSITY HOSPITALS NHS FOUNDATION TRUST (RGP)EQ VAS</v>
      </c>
      <c r="C5791" t="s">
        <v>250</v>
      </c>
      <c r="D5791" t="s">
        <v>1</v>
      </c>
      <c r="E5791" t="s">
        <v>3915</v>
      </c>
      <c r="F5791" t="s">
        <v>3916</v>
      </c>
      <c r="G5791" t="s">
        <v>179</v>
      </c>
      <c r="H5791">
        <v>7</v>
      </c>
      <c r="I5791">
        <v>76.713999999999999</v>
      </c>
      <c r="J5791">
        <v>74.286000000000001</v>
      </c>
      <c r="K5791">
        <v>-2.4289999999999998</v>
      </c>
      <c r="L5791">
        <v>2</v>
      </c>
      <c r="M5791">
        <v>2</v>
      </c>
      <c r="N5791">
        <v>3</v>
      </c>
      <c r="O5791" t="s">
        <v>53</v>
      </c>
      <c r="P5791" t="s">
        <v>53</v>
      </c>
      <c r="Q5791" t="s">
        <v>53</v>
      </c>
    </row>
    <row r="5792" spans="1:17" x14ac:dyDescent="0.2">
      <c r="A5792" s="30" t="str">
        <f>IF(C5792&amp;G5792&amp;D5792&lt;&gt;'Funnel setup'!$K$3&amp;'Funnel setup'!$K$4&amp;'Funnel setup'!$K$5,".",IF(A5791=".",1,A5791+1))</f>
        <v>.</v>
      </c>
      <c r="B5792" s="431" t="str">
        <f t="shared" si="90"/>
        <v>Knee Replacement RevisionProviderKETTERING GENERAL HOSPITAL NHS FOUNDATION TRUST (RNQ)EQ VAS</v>
      </c>
      <c r="C5792" t="s">
        <v>250</v>
      </c>
      <c r="D5792" t="s">
        <v>1</v>
      </c>
      <c r="E5792" t="s">
        <v>3918</v>
      </c>
      <c r="F5792" t="s">
        <v>3919</v>
      </c>
      <c r="G5792" t="s">
        <v>179</v>
      </c>
      <c r="H5792" t="s">
        <v>53</v>
      </c>
      <c r="I5792" t="s">
        <v>53</v>
      </c>
      <c r="J5792" t="s">
        <v>53</v>
      </c>
      <c r="K5792" t="s">
        <v>53</v>
      </c>
      <c r="L5792" t="s">
        <v>53</v>
      </c>
      <c r="M5792" t="s">
        <v>53</v>
      </c>
      <c r="N5792" t="s">
        <v>53</v>
      </c>
      <c r="O5792" t="s">
        <v>53</v>
      </c>
      <c r="P5792" t="s">
        <v>53</v>
      </c>
      <c r="Q5792" t="s">
        <v>53</v>
      </c>
    </row>
    <row r="5793" spans="1:17" x14ac:dyDescent="0.2">
      <c r="A5793" s="30" t="str">
        <f>IF(C5793&amp;G5793&amp;D5793&lt;&gt;'Funnel setup'!$K$3&amp;'Funnel setup'!$K$4&amp;'Funnel setup'!$K$5,".",IF(A5792=".",1,A5792+1))</f>
        <v>.</v>
      </c>
      <c r="B5793" s="431" t="str">
        <f t="shared" si="90"/>
        <v>Knee Replacement RevisionProviderKING'S COLLEGE HOSPITAL NHS FOUNDATION TRUST (RJZ)EQ VAS</v>
      </c>
      <c r="C5793" t="s">
        <v>250</v>
      </c>
      <c r="D5793" t="s">
        <v>1</v>
      </c>
      <c r="E5793" t="s">
        <v>3924</v>
      </c>
      <c r="F5793" t="s">
        <v>3925</v>
      </c>
      <c r="G5793" t="s">
        <v>179</v>
      </c>
      <c r="H5793">
        <v>6</v>
      </c>
      <c r="I5793">
        <v>56.667000000000002</v>
      </c>
      <c r="J5793">
        <v>63.332999999999998</v>
      </c>
      <c r="K5793">
        <v>6.6669999999999998</v>
      </c>
      <c r="L5793">
        <v>3</v>
      </c>
      <c r="M5793">
        <v>0</v>
      </c>
      <c r="N5793">
        <v>3</v>
      </c>
      <c r="O5793" t="s">
        <v>53</v>
      </c>
      <c r="P5793" t="s">
        <v>53</v>
      </c>
      <c r="Q5793" t="s">
        <v>53</v>
      </c>
    </row>
    <row r="5794" spans="1:17" x14ac:dyDescent="0.2">
      <c r="A5794" s="30" t="str">
        <f>IF(C5794&amp;G5794&amp;D5794&lt;&gt;'Funnel setup'!$K$3&amp;'Funnel setup'!$K$4&amp;'Funnel setup'!$K$5,".",IF(A5793=".",1,A5793+1))</f>
        <v>.</v>
      </c>
      <c r="B5794" s="431" t="str">
        <f t="shared" si="90"/>
        <v>Knee Replacement RevisionProviderLANCASHIRE TEACHING HOSPITALS NHS FOUNDATION TRUST (RXN)EQ VAS</v>
      </c>
      <c r="C5794" t="s">
        <v>250</v>
      </c>
      <c r="D5794" t="s">
        <v>1</v>
      </c>
      <c r="E5794" t="s">
        <v>3567</v>
      </c>
      <c r="F5794" t="s">
        <v>3568</v>
      </c>
      <c r="G5794" t="s">
        <v>179</v>
      </c>
      <c r="H5794">
        <v>11</v>
      </c>
      <c r="I5794">
        <v>75.182000000000002</v>
      </c>
      <c r="J5794">
        <v>70.545000000000002</v>
      </c>
      <c r="K5794">
        <v>-4.6360000000000001</v>
      </c>
      <c r="L5794">
        <v>4</v>
      </c>
      <c r="M5794">
        <v>2</v>
      </c>
      <c r="N5794">
        <v>5</v>
      </c>
      <c r="O5794" t="s">
        <v>53</v>
      </c>
      <c r="P5794" t="s">
        <v>53</v>
      </c>
      <c r="Q5794" t="s">
        <v>53</v>
      </c>
    </row>
    <row r="5795" spans="1:17" x14ac:dyDescent="0.2">
      <c r="A5795" s="30" t="str">
        <f>IF(C5795&amp;G5795&amp;D5795&lt;&gt;'Funnel setup'!$K$3&amp;'Funnel setup'!$K$4&amp;'Funnel setup'!$K$5,".",IF(A5794=".",1,A5794+1))</f>
        <v>.</v>
      </c>
      <c r="B5795" s="431" t="str">
        <f t="shared" si="90"/>
        <v>Knee Replacement RevisionProviderLEEDS TEACHING HOSPITALS NHS TRUST (RR8)EQ VAS</v>
      </c>
      <c r="C5795" t="s">
        <v>250</v>
      </c>
      <c r="D5795" t="s">
        <v>1</v>
      </c>
      <c r="E5795" t="s">
        <v>3930</v>
      </c>
      <c r="F5795" t="s">
        <v>344</v>
      </c>
      <c r="G5795" t="s">
        <v>179</v>
      </c>
      <c r="H5795">
        <v>10</v>
      </c>
      <c r="I5795">
        <v>75</v>
      </c>
      <c r="J5795">
        <v>73</v>
      </c>
      <c r="K5795">
        <v>-2</v>
      </c>
      <c r="L5795">
        <v>2</v>
      </c>
      <c r="M5795">
        <v>1</v>
      </c>
      <c r="N5795">
        <v>7</v>
      </c>
      <c r="O5795" t="s">
        <v>53</v>
      </c>
      <c r="P5795" t="s">
        <v>53</v>
      </c>
      <c r="Q5795" t="s">
        <v>53</v>
      </c>
    </row>
    <row r="5796" spans="1:17" x14ac:dyDescent="0.2">
      <c r="A5796" s="30" t="str">
        <f>IF(C5796&amp;G5796&amp;D5796&lt;&gt;'Funnel setup'!$K$3&amp;'Funnel setup'!$K$4&amp;'Funnel setup'!$K$5,".",IF(A5795=".",1,A5795+1))</f>
        <v>.</v>
      </c>
      <c r="B5796" s="431" t="str">
        <f t="shared" si="90"/>
        <v>Knee Replacement RevisionProviderLEWISHAM AND GREENWICH NHS TRUST (RJ2)EQ VAS</v>
      </c>
      <c r="C5796" t="s">
        <v>250</v>
      </c>
      <c r="D5796" t="s">
        <v>1</v>
      </c>
      <c r="E5796" t="s">
        <v>3522</v>
      </c>
      <c r="F5796" t="s">
        <v>3523</v>
      </c>
      <c r="G5796" t="s">
        <v>179</v>
      </c>
      <c r="H5796" t="s">
        <v>53</v>
      </c>
      <c r="I5796" t="s">
        <v>53</v>
      </c>
      <c r="J5796" t="s">
        <v>53</v>
      </c>
      <c r="K5796" t="s">
        <v>53</v>
      </c>
      <c r="L5796" t="s">
        <v>53</v>
      </c>
      <c r="M5796" t="s">
        <v>53</v>
      </c>
      <c r="N5796" t="s">
        <v>53</v>
      </c>
      <c r="O5796" t="s">
        <v>53</v>
      </c>
      <c r="P5796" t="s">
        <v>53</v>
      </c>
      <c r="Q5796" t="s">
        <v>53</v>
      </c>
    </row>
    <row r="5797" spans="1:17" x14ac:dyDescent="0.2">
      <c r="A5797" s="30" t="str">
        <f>IF(C5797&amp;G5797&amp;D5797&lt;&gt;'Funnel setup'!$K$3&amp;'Funnel setup'!$K$4&amp;'Funnel setup'!$K$5,".",IF(A5796=".",1,A5796+1))</f>
        <v>.</v>
      </c>
      <c r="B5797" s="431" t="str">
        <f t="shared" si="90"/>
        <v>Knee Replacement RevisionProviderLONDON NORTH WEST HEALTHCARE NHS TRUST (R1K)EQ VAS</v>
      </c>
      <c r="C5797" t="s">
        <v>250</v>
      </c>
      <c r="D5797" t="s">
        <v>1</v>
      </c>
      <c r="E5797" t="s">
        <v>6515</v>
      </c>
      <c r="F5797" t="s">
        <v>6516</v>
      </c>
      <c r="G5797" t="s">
        <v>179</v>
      </c>
      <c r="H5797">
        <v>6</v>
      </c>
      <c r="I5797">
        <v>60</v>
      </c>
      <c r="J5797">
        <v>61.167000000000002</v>
      </c>
      <c r="K5797">
        <v>1.167</v>
      </c>
      <c r="L5797">
        <v>2</v>
      </c>
      <c r="M5797">
        <v>1</v>
      </c>
      <c r="N5797">
        <v>3</v>
      </c>
      <c r="O5797" t="s">
        <v>53</v>
      </c>
      <c r="P5797" t="s">
        <v>53</v>
      </c>
      <c r="Q5797" t="s">
        <v>53</v>
      </c>
    </row>
    <row r="5798" spans="1:17" x14ac:dyDescent="0.2">
      <c r="A5798" s="30" t="str">
        <f>IF(C5798&amp;G5798&amp;D5798&lt;&gt;'Funnel setup'!$K$3&amp;'Funnel setup'!$K$4&amp;'Funnel setup'!$K$5,".",IF(A5797=".",1,A5797+1))</f>
        <v>.</v>
      </c>
      <c r="B5798" s="431" t="str">
        <f t="shared" si="90"/>
        <v>Knee Replacement RevisionProviderLUTON AND DUNSTABLE UNIVERSITY HOSPITAL NHS FOUNDATION TRUST (RC9)EQ VAS</v>
      </c>
      <c r="C5798" t="s">
        <v>250</v>
      </c>
      <c r="D5798" t="s">
        <v>1</v>
      </c>
      <c r="E5798" t="s">
        <v>3528</v>
      </c>
      <c r="F5798" t="s">
        <v>3529</v>
      </c>
      <c r="G5798" t="s">
        <v>179</v>
      </c>
      <c r="H5798" t="s">
        <v>53</v>
      </c>
      <c r="I5798" t="s">
        <v>53</v>
      </c>
      <c r="J5798" t="s">
        <v>53</v>
      </c>
      <c r="K5798" t="s">
        <v>53</v>
      </c>
      <c r="L5798" t="s">
        <v>53</v>
      </c>
      <c r="M5798" t="s">
        <v>53</v>
      </c>
      <c r="N5798" t="s">
        <v>53</v>
      </c>
      <c r="O5798" t="s">
        <v>53</v>
      </c>
      <c r="P5798" t="s">
        <v>53</v>
      </c>
      <c r="Q5798" t="s">
        <v>53</v>
      </c>
    </row>
    <row r="5799" spans="1:17" x14ac:dyDescent="0.2">
      <c r="A5799" s="30" t="str">
        <f>IF(C5799&amp;G5799&amp;D5799&lt;&gt;'Funnel setup'!$K$3&amp;'Funnel setup'!$K$4&amp;'Funnel setup'!$K$5,".",IF(A5798=".",1,A5798+1))</f>
        <v>.</v>
      </c>
      <c r="B5799" s="431" t="str">
        <f t="shared" si="90"/>
        <v>Knee Replacement RevisionProviderMEDWAY NHS FOUNDATION TRUST (RPA)EQ VAS</v>
      </c>
      <c r="C5799" t="s">
        <v>250</v>
      </c>
      <c r="D5799" t="s">
        <v>1</v>
      </c>
      <c r="E5799" t="s">
        <v>3630</v>
      </c>
      <c r="F5799" t="s">
        <v>3631</v>
      </c>
      <c r="G5799" t="s">
        <v>179</v>
      </c>
      <c r="H5799" t="s">
        <v>53</v>
      </c>
      <c r="I5799" t="s">
        <v>53</v>
      </c>
      <c r="J5799" t="s">
        <v>53</v>
      </c>
      <c r="K5799" t="s">
        <v>53</v>
      </c>
      <c r="L5799" t="s">
        <v>53</v>
      </c>
      <c r="M5799" t="s">
        <v>53</v>
      </c>
      <c r="N5799" t="s">
        <v>53</v>
      </c>
      <c r="O5799" t="s">
        <v>53</v>
      </c>
      <c r="P5799" t="s">
        <v>53</v>
      </c>
      <c r="Q5799" t="s">
        <v>53</v>
      </c>
    </row>
    <row r="5800" spans="1:17" x14ac:dyDescent="0.2">
      <c r="A5800" s="30" t="str">
        <f>IF(C5800&amp;G5800&amp;D5800&lt;&gt;'Funnel setup'!$K$3&amp;'Funnel setup'!$K$4&amp;'Funnel setup'!$K$5,".",IF(A5799=".",1,A5799+1))</f>
        <v>.</v>
      </c>
      <c r="B5800" s="431" t="str">
        <f t="shared" si="90"/>
        <v>Knee Replacement RevisionProviderMID CHESHIRE HOSPITALS NHS FOUNDATION TRUST (RBT)EQ VAS</v>
      </c>
      <c r="C5800" t="s">
        <v>250</v>
      </c>
      <c r="D5800" t="s">
        <v>1</v>
      </c>
      <c r="E5800" t="s">
        <v>3633</v>
      </c>
      <c r="F5800" t="s">
        <v>342</v>
      </c>
      <c r="G5800" t="s">
        <v>179</v>
      </c>
      <c r="H5800" t="s">
        <v>53</v>
      </c>
      <c r="I5800" t="s">
        <v>53</v>
      </c>
      <c r="J5800" t="s">
        <v>53</v>
      </c>
      <c r="K5800" t="s">
        <v>53</v>
      </c>
      <c r="L5800" t="s">
        <v>53</v>
      </c>
      <c r="M5800" t="s">
        <v>53</v>
      </c>
      <c r="N5800" t="s">
        <v>53</v>
      </c>
      <c r="O5800" t="s">
        <v>53</v>
      </c>
      <c r="P5800" t="s">
        <v>53</v>
      </c>
      <c r="Q5800" t="s">
        <v>53</v>
      </c>
    </row>
    <row r="5801" spans="1:17" x14ac:dyDescent="0.2">
      <c r="A5801" s="30" t="str">
        <f>IF(C5801&amp;G5801&amp;D5801&lt;&gt;'Funnel setup'!$K$3&amp;'Funnel setup'!$K$4&amp;'Funnel setup'!$K$5,".",IF(A5800=".",1,A5800+1))</f>
        <v>.</v>
      </c>
      <c r="B5801" s="431" t="str">
        <f t="shared" si="90"/>
        <v>Knee Replacement RevisionProviderMID ESSEX HOSPITAL SERVICES NHS TRUST (RQ8)EQ VAS</v>
      </c>
      <c r="C5801" t="s">
        <v>250</v>
      </c>
      <c r="D5801" t="s">
        <v>1</v>
      </c>
      <c r="E5801" t="s">
        <v>3635</v>
      </c>
      <c r="F5801" t="s">
        <v>3636</v>
      </c>
      <c r="G5801" t="s">
        <v>179</v>
      </c>
      <c r="H5801">
        <v>10</v>
      </c>
      <c r="I5801">
        <v>73</v>
      </c>
      <c r="J5801">
        <v>61.5</v>
      </c>
      <c r="K5801">
        <v>-11.5</v>
      </c>
      <c r="L5801">
        <v>4</v>
      </c>
      <c r="M5801">
        <v>0</v>
      </c>
      <c r="N5801">
        <v>6</v>
      </c>
      <c r="O5801" t="s">
        <v>53</v>
      </c>
      <c r="P5801" t="s">
        <v>53</v>
      </c>
      <c r="Q5801" t="s">
        <v>53</v>
      </c>
    </row>
    <row r="5802" spans="1:17" x14ac:dyDescent="0.2">
      <c r="A5802" s="30" t="str">
        <f>IF(C5802&amp;G5802&amp;D5802&lt;&gt;'Funnel setup'!$K$3&amp;'Funnel setup'!$K$4&amp;'Funnel setup'!$K$5,".",IF(A5801=".",1,A5801+1))</f>
        <v>.</v>
      </c>
      <c r="B5802" s="431" t="str">
        <f t="shared" si="90"/>
        <v>Knee Replacement RevisionProviderMID STAFFORDSHIRE NHS FOUNDATION TRUST (RJD)EQ VAS</v>
      </c>
      <c r="C5802" t="s">
        <v>250</v>
      </c>
      <c r="D5802" t="s">
        <v>1</v>
      </c>
      <c r="E5802" t="s">
        <v>3638</v>
      </c>
      <c r="F5802" t="s">
        <v>3639</v>
      </c>
      <c r="G5802" t="s">
        <v>179</v>
      </c>
      <c r="H5802" t="s">
        <v>53</v>
      </c>
      <c r="I5802" t="s">
        <v>53</v>
      </c>
      <c r="J5802" t="s">
        <v>53</v>
      </c>
      <c r="K5802" t="s">
        <v>53</v>
      </c>
      <c r="L5802" t="s">
        <v>53</v>
      </c>
      <c r="M5802" t="s">
        <v>53</v>
      </c>
      <c r="N5802" t="s">
        <v>53</v>
      </c>
      <c r="O5802" t="s">
        <v>53</v>
      </c>
      <c r="P5802" t="s">
        <v>53</v>
      </c>
      <c r="Q5802" t="s">
        <v>53</v>
      </c>
    </row>
    <row r="5803" spans="1:17" x14ac:dyDescent="0.2">
      <c r="A5803" s="30" t="str">
        <f>IF(C5803&amp;G5803&amp;D5803&lt;&gt;'Funnel setup'!$K$3&amp;'Funnel setup'!$K$4&amp;'Funnel setup'!$K$5,".",IF(A5802=".",1,A5802+1))</f>
        <v>.</v>
      </c>
      <c r="B5803" s="431" t="str">
        <f t="shared" si="90"/>
        <v>Knee Replacement RevisionProviderMID YORKSHIRE HOSPITALS NHS TRUST (RXF)EQ VAS</v>
      </c>
      <c r="C5803" t="s">
        <v>250</v>
      </c>
      <c r="D5803" t="s">
        <v>1</v>
      </c>
      <c r="E5803" t="s">
        <v>3641</v>
      </c>
      <c r="F5803" t="s">
        <v>3642</v>
      </c>
      <c r="G5803" t="s">
        <v>179</v>
      </c>
      <c r="H5803">
        <v>10</v>
      </c>
      <c r="I5803">
        <v>54</v>
      </c>
      <c r="J5803">
        <v>56.5</v>
      </c>
      <c r="K5803">
        <v>2.5</v>
      </c>
      <c r="L5803">
        <v>5</v>
      </c>
      <c r="M5803">
        <v>0</v>
      </c>
      <c r="N5803">
        <v>5</v>
      </c>
      <c r="O5803" t="s">
        <v>53</v>
      </c>
      <c r="P5803" t="s">
        <v>53</v>
      </c>
      <c r="Q5803" t="s">
        <v>53</v>
      </c>
    </row>
    <row r="5804" spans="1:17" x14ac:dyDescent="0.2">
      <c r="A5804" s="30" t="str">
        <f>IF(C5804&amp;G5804&amp;D5804&lt;&gt;'Funnel setup'!$K$3&amp;'Funnel setup'!$K$4&amp;'Funnel setup'!$K$5,".",IF(A5803=".",1,A5803+1))</f>
        <v>.</v>
      </c>
      <c r="B5804" s="431" t="str">
        <f t="shared" si="90"/>
        <v>Knee Replacement RevisionProviderMILTON KEYNES UNIVERSITY HOSPITAL NHS FOUNDATION TRUST (RD8)EQ VAS</v>
      </c>
      <c r="C5804" t="s">
        <v>250</v>
      </c>
      <c r="D5804" t="s">
        <v>1</v>
      </c>
      <c r="E5804" t="s">
        <v>3643</v>
      </c>
      <c r="F5804" t="s">
        <v>6580</v>
      </c>
      <c r="G5804" t="s">
        <v>179</v>
      </c>
      <c r="H5804">
        <v>8</v>
      </c>
      <c r="I5804">
        <v>64</v>
      </c>
      <c r="J5804">
        <v>64.125</v>
      </c>
      <c r="K5804">
        <v>0.125</v>
      </c>
      <c r="L5804">
        <v>3</v>
      </c>
      <c r="M5804">
        <v>1</v>
      </c>
      <c r="N5804">
        <v>4</v>
      </c>
      <c r="O5804" t="s">
        <v>53</v>
      </c>
      <c r="P5804" t="s">
        <v>53</v>
      </c>
      <c r="Q5804" t="s">
        <v>53</v>
      </c>
    </row>
    <row r="5805" spans="1:17" x14ac:dyDescent="0.2">
      <c r="A5805" s="30" t="str">
        <f>IF(C5805&amp;G5805&amp;D5805&lt;&gt;'Funnel setup'!$K$3&amp;'Funnel setup'!$K$4&amp;'Funnel setup'!$K$5,".",IF(A5804=".",1,A5804+1))</f>
        <v>.</v>
      </c>
      <c r="B5805" s="431" t="str">
        <f t="shared" si="90"/>
        <v>Knee Replacement RevisionProviderNEW HALL HOSPITAL (NVC09)EQ VAS</v>
      </c>
      <c r="C5805" t="s">
        <v>250</v>
      </c>
      <c r="D5805" t="s">
        <v>1</v>
      </c>
      <c r="E5805" t="s">
        <v>3648</v>
      </c>
      <c r="F5805" t="s">
        <v>3649</v>
      </c>
      <c r="G5805" t="s">
        <v>179</v>
      </c>
      <c r="H5805">
        <v>6</v>
      </c>
      <c r="I5805">
        <v>68.332999999999998</v>
      </c>
      <c r="J5805">
        <v>60.5</v>
      </c>
      <c r="K5805">
        <v>-7.8330000000000002</v>
      </c>
      <c r="L5805">
        <v>2</v>
      </c>
      <c r="M5805">
        <v>1</v>
      </c>
      <c r="N5805">
        <v>3</v>
      </c>
      <c r="O5805" t="s">
        <v>53</v>
      </c>
      <c r="P5805" t="s">
        <v>53</v>
      </c>
      <c r="Q5805" t="s">
        <v>53</v>
      </c>
    </row>
    <row r="5806" spans="1:17" x14ac:dyDescent="0.2">
      <c r="A5806" s="30" t="str">
        <f>IF(C5806&amp;G5806&amp;D5806&lt;&gt;'Funnel setup'!$K$3&amp;'Funnel setup'!$K$4&amp;'Funnel setup'!$K$5,".",IF(A5805=".",1,A5805+1))</f>
        <v>.</v>
      </c>
      <c r="B5806" s="431" t="str">
        <f t="shared" si="90"/>
        <v>Knee Replacement RevisionProviderNORFOLK AND NORWICH UNIVERSITY HOSPITALS NHS FOUNDATION TRUST (RM1)EQ VAS</v>
      </c>
      <c r="C5806" t="s">
        <v>250</v>
      </c>
      <c r="D5806" t="s">
        <v>1</v>
      </c>
      <c r="E5806" t="s">
        <v>3651</v>
      </c>
      <c r="F5806" t="s">
        <v>3652</v>
      </c>
      <c r="G5806" t="s">
        <v>179</v>
      </c>
      <c r="H5806">
        <v>26</v>
      </c>
      <c r="I5806">
        <v>67.923000000000002</v>
      </c>
      <c r="J5806">
        <v>71.691999999999993</v>
      </c>
      <c r="K5806">
        <v>3.7690000000000001</v>
      </c>
      <c r="L5806">
        <v>14</v>
      </c>
      <c r="M5806">
        <v>3</v>
      </c>
      <c r="N5806">
        <v>9</v>
      </c>
      <c r="O5806" t="s">
        <v>53</v>
      </c>
      <c r="P5806" t="s">
        <v>53</v>
      </c>
      <c r="Q5806" t="s">
        <v>53</v>
      </c>
    </row>
    <row r="5807" spans="1:17" x14ac:dyDescent="0.2">
      <c r="A5807" s="30" t="str">
        <f>IF(C5807&amp;G5807&amp;D5807&lt;&gt;'Funnel setup'!$K$3&amp;'Funnel setup'!$K$4&amp;'Funnel setup'!$K$5,".",IF(A5806=".",1,A5806+1))</f>
        <v>.</v>
      </c>
      <c r="B5807" s="431" t="str">
        <f t="shared" si="90"/>
        <v>Knee Replacement RevisionProviderNORTH BRISTOL NHS TRUST (RVJ)EQ VAS</v>
      </c>
      <c r="C5807" t="s">
        <v>250</v>
      </c>
      <c r="D5807" t="s">
        <v>1</v>
      </c>
      <c r="E5807" t="s">
        <v>3654</v>
      </c>
      <c r="F5807" t="s">
        <v>3655</v>
      </c>
      <c r="G5807" t="s">
        <v>179</v>
      </c>
      <c r="H5807">
        <v>17</v>
      </c>
      <c r="I5807">
        <v>65.176000000000002</v>
      </c>
      <c r="J5807">
        <v>71.882000000000005</v>
      </c>
      <c r="K5807">
        <v>6.7060000000000004</v>
      </c>
      <c r="L5807">
        <v>6</v>
      </c>
      <c r="M5807">
        <v>4</v>
      </c>
      <c r="N5807">
        <v>7</v>
      </c>
      <c r="O5807" t="s">
        <v>53</v>
      </c>
      <c r="P5807" t="s">
        <v>53</v>
      </c>
      <c r="Q5807" t="s">
        <v>53</v>
      </c>
    </row>
    <row r="5808" spans="1:17" x14ac:dyDescent="0.2">
      <c r="A5808" s="30" t="str">
        <f>IF(C5808&amp;G5808&amp;D5808&lt;&gt;'Funnel setup'!$K$3&amp;'Funnel setup'!$K$4&amp;'Funnel setup'!$K$5,".",IF(A5807=".",1,A5807+1))</f>
        <v>.</v>
      </c>
      <c r="B5808" s="431" t="str">
        <f t="shared" si="90"/>
        <v>Knee Replacement RevisionProviderNORTH CUMBRIA UNIVERSITY HOSPITALS NHS TRUST (RNL)EQ VAS</v>
      </c>
      <c r="C5808" t="s">
        <v>250</v>
      </c>
      <c r="D5808" t="s">
        <v>1</v>
      </c>
      <c r="E5808" t="s">
        <v>3657</v>
      </c>
      <c r="F5808" t="s">
        <v>3658</v>
      </c>
      <c r="G5808" t="s">
        <v>179</v>
      </c>
      <c r="H5808" t="s">
        <v>53</v>
      </c>
      <c r="I5808" t="s">
        <v>53</v>
      </c>
      <c r="J5808" t="s">
        <v>53</v>
      </c>
      <c r="K5808" t="s">
        <v>53</v>
      </c>
      <c r="L5808" t="s">
        <v>53</v>
      </c>
      <c r="M5808" t="s">
        <v>53</v>
      </c>
      <c r="N5808" t="s">
        <v>53</v>
      </c>
      <c r="O5808" t="s">
        <v>53</v>
      </c>
      <c r="P5808" t="s">
        <v>53</v>
      </c>
      <c r="Q5808" t="s">
        <v>53</v>
      </c>
    </row>
    <row r="5809" spans="1:17" x14ac:dyDescent="0.2">
      <c r="A5809" s="30" t="str">
        <f>IF(C5809&amp;G5809&amp;D5809&lt;&gt;'Funnel setup'!$K$3&amp;'Funnel setup'!$K$4&amp;'Funnel setup'!$K$5,".",IF(A5808=".",1,A5808+1))</f>
        <v>.</v>
      </c>
      <c r="B5809" s="431" t="str">
        <f t="shared" si="90"/>
        <v>Knee Replacement RevisionProviderNORTH DOWNS HOSPITAL (NVC11)EQ VAS</v>
      </c>
      <c r="C5809" t="s">
        <v>250</v>
      </c>
      <c r="D5809" t="s">
        <v>1</v>
      </c>
      <c r="E5809" t="s">
        <v>3660</v>
      </c>
      <c r="F5809" t="s">
        <v>3661</v>
      </c>
      <c r="G5809" t="s">
        <v>179</v>
      </c>
      <c r="H5809" t="s">
        <v>53</v>
      </c>
      <c r="I5809" t="s">
        <v>53</v>
      </c>
      <c r="J5809" t="s">
        <v>53</v>
      </c>
      <c r="K5809" t="s">
        <v>53</v>
      </c>
      <c r="L5809" t="s">
        <v>53</v>
      </c>
      <c r="M5809" t="s">
        <v>53</v>
      </c>
      <c r="N5809" t="s">
        <v>53</v>
      </c>
      <c r="O5809" t="s">
        <v>53</v>
      </c>
      <c r="P5809" t="s">
        <v>53</v>
      </c>
      <c r="Q5809" t="s">
        <v>53</v>
      </c>
    </row>
    <row r="5810" spans="1:17" x14ac:dyDescent="0.2">
      <c r="A5810" s="30" t="str">
        <f>IF(C5810&amp;G5810&amp;D5810&lt;&gt;'Funnel setup'!$K$3&amp;'Funnel setup'!$K$4&amp;'Funnel setup'!$K$5,".",IF(A5809=".",1,A5809+1))</f>
        <v>.</v>
      </c>
      <c r="B5810" s="431" t="str">
        <f t="shared" si="90"/>
        <v>Knee Replacement RevisionProviderNORTH EAST LONDON TREATMENT CENTRE CARE UK (NTP15)EQ VAS</v>
      </c>
      <c r="C5810" t="s">
        <v>250</v>
      </c>
      <c r="D5810" t="s">
        <v>1</v>
      </c>
      <c r="E5810" t="s">
        <v>3663</v>
      </c>
      <c r="F5810" t="s">
        <v>3664</v>
      </c>
      <c r="G5810" t="s">
        <v>179</v>
      </c>
      <c r="H5810" t="s">
        <v>53</v>
      </c>
      <c r="I5810" t="s">
        <v>53</v>
      </c>
      <c r="J5810" t="s">
        <v>53</v>
      </c>
      <c r="K5810" t="s">
        <v>53</v>
      </c>
      <c r="L5810" t="s">
        <v>53</v>
      </c>
      <c r="M5810" t="s">
        <v>53</v>
      </c>
      <c r="N5810" t="s">
        <v>53</v>
      </c>
      <c r="O5810" t="s">
        <v>53</v>
      </c>
      <c r="P5810" t="s">
        <v>53</v>
      </c>
      <c r="Q5810" t="s">
        <v>53</v>
      </c>
    </row>
    <row r="5811" spans="1:17" x14ac:dyDescent="0.2">
      <c r="A5811" s="30" t="str">
        <f>IF(C5811&amp;G5811&amp;D5811&lt;&gt;'Funnel setup'!$K$3&amp;'Funnel setup'!$K$4&amp;'Funnel setup'!$K$5,".",IF(A5810=".",1,A5810+1))</f>
        <v>.</v>
      </c>
      <c r="B5811" s="431" t="str">
        <f t="shared" si="90"/>
        <v>Knee Replacement RevisionProviderNORTH MIDDLESEX UNIVERSITY HOSPITAL NHS TRUST (RAP)EQ VAS</v>
      </c>
      <c r="C5811" t="s">
        <v>250</v>
      </c>
      <c r="D5811" t="s">
        <v>1</v>
      </c>
      <c r="E5811" t="s">
        <v>3666</v>
      </c>
      <c r="F5811" t="s">
        <v>3667</v>
      </c>
      <c r="G5811" t="s">
        <v>179</v>
      </c>
      <c r="H5811" t="s">
        <v>53</v>
      </c>
      <c r="I5811" t="s">
        <v>53</v>
      </c>
      <c r="J5811" t="s">
        <v>53</v>
      </c>
      <c r="K5811" t="s">
        <v>53</v>
      </c>
      <c r="L5811" t="s">
        <v>53</v>
      </c>
      <c r="M5811" t="s">
        <v>53</v>
      </c>
      <c r="N5811" t="s">
        <v>53</v>
      </c>
      <c r="O5811" t="s">
        <v>53</v>
      </c>
      <c r="P5811" t="s">
        <v>53</v>
      </c>
      <c r="Q5811" t="s">
        <v>53</v>
      </c>
    </row>
    <row r="5812" spans="1:17" x14ac:dyDescent="0.2">
      <c r="A5812" s="30" t="str">
        <f>IF(C5812&amp;G5812&amp;D5812&lt;&gt;'Funnel setup'!$K$3&amp;'Funnel setup'!$K$4&amp;'Funnel setup'!$K$5,".",IF(A5811=".",1,A5811+1))</f>
        <v>.</v>
      </c>
      <c r="B5812" s="431" t="str">
        <f t="shared" si="90"/>
        <v>Knee Replacement RevisionProviderNORTH TEES AND HARTLEPOOL NHS FOUNDATION TRUST (RVW)EQ VAS</v>
      </c>
      <c r="C5812" t="s">
        <v>250</v>
      </c>
      <c r="D5812" t="s">
        <v>1</v>
      </c>
      <c r="E5812" t="s">
        <v>3669</v>
      </c>
      <c r="F5812" t="s">
        <v>3670</v>
      </c>
      <c r="G5812" t="s">
        <v>179</v>
      </c>
      <c r="H5812">
        <v>14</v>
      </c>
      <c r="I5812">
        <v>60</v>
      </c>
      <c r="J5812">
        <v>58.5</v>
      </c>
      <c r="K5812">
        <v>-1.5</v>
      </c>
      <c r="L5812">
        <v>7</v>
      </c>
      <c r="M5812">
        <v>1</v>
      </c>
      <c r="N5812">
        <v>6</v>
      </c>
      <c r="O5812" t="s">
        <v>53</v>
      </c>
      <c r="P5812" t="s">
        <v>53</v>
      </c>
      <c r="Q5812" t="s">
        <v>53</v>
      </c>
    </row>
    <row r="5813" spans="1:17" x14ac:dyDescent="0.2">
      <c r="A5813" s="30" t="str">
        <f>IF(C5813&amp;G5813&amp;D5813&lt;&gt;'Funnel setup'!$K$3&amp;'Funnel setup'!$K$4&amp;'Funnel setup'!$K$5,".",IF(A5812=".",1,A5812+1))</f>
        <v>.</v>
      </c>
      <c r="B5813" s="431" t="str">
        <f t="shared" si="90"/>
        <v>Knee Replacement RevisionProviderNORTHAMPTON GENERAL HOSPITAL NHS TRUST (RNS)EQ VAS</v>
      </c>
      <c r="C5813" t="s">
        <v>250</v>
      </c>
      <c r="D5813" t="s">
        <v>1</v>
      </c>
      <c r="E5813" t="s">
        <v>3675</v>
      </c>
      <c r="F5813" t="s">
        <v>3676</v>
      </c>
      <c r="G5813" t="s">
        <v>179</v>
      </c>
      <c r="H5813">
        <v>6</v>
      </c>
      <c r="I5813">
        <v>62.332999999999998</v>
      </c>
      <c r="J5813">
        <v>55.5</v>
      </c>
      <c r="K5813">
        <v>-6.8330000000000002</v>
      </c>
      <c r="L5813">
        <v>2</v>
      </c>
      <c r="M5813">
        <v>1</v>
      </c>
      <c r="N5813">
        <v>3</v>
      </c>
      <c r="O5813" t="s">
        <v>53</v>
      </c>
      <c r="P5813" t="s">
        <v>53</v>
      </c>
      <c r="Q5813" t="s">
        <v>53</v>
      </c>
    </row>
    <row r="5814" spans="1:17" x14ac:dyDescent="0.2">
      <c r="A5814" s="30" t="str">
        <f>IF(C5814&amp;G5814&amp;D5814&lt;&gt;'Funnel setup'!$K$3&amp;'Funnel setup'!$K$4&amp;'Funnel setup'!$K$5,".",IF(A5813=".",1,A5813+1))</f>
        <v>.</v>
      </c>
      <c r="B5814" s="431" t="str">
        <f t="shared" si="90"/>
        <v>Knee Replacement RevisionProviderNORTHERN DEVON HEALTHCARE NHS TRUST (RBZ)EQ VAS</v>
      </c>
      <c r="C5814" t="s">
        <v>250</v>
      </c>
      <c r="D5814" t="s">
        <v>1</v>
      </c>
      <c r="E5814" t="s">
        <v>3678</v>
      </c>
      <c r="F5814" t="s">
        <v>3679</v>
      </c>
      <c r="G5814" t="s">
        <v>179</v>
      </c>
      <c r="H5814">
        <v>6</v>
      </c>
      <c r="I5814">
        <v>55.832999999999998</v>
      </c>
      <c r="J5814">
        <v>70.667000000000002</v>
      </c>
      <c r="K5814">
        <v>14.833</v>
      </c>
      <c r="L5814">
        <v>4</v>
      </c>
      <c r="M5814">
        <v>0</v>
      </c>
      <c r="N5814">
        <v>2</v>
      </c>
      <c r="O5814" t="s">
        <v>53</v>
      </c>
      <c r="P5814" t="s">
        <v>53</v>
      </c>
      <c r="Q5814" t="s">
        <v>53</v>
      </c>
    </row>
    <row r="5815" spans="1:17" x14ac:dyDescent="0.2">
      <c r="A5815" s="30" t="str">
        <f>IF(C5815&amp;G5815&amp;D5815&lt;&gt;'Funnel setup'!$K$3&amp;'Funnel setup'!$K$4&amp;'Funnel setup'!$K$5,".",IF(A5814=".",1,A5814+1))</f>
        <v>.</v>
      </c>
      <c r="B5815" s="431" t="str">
        <f t="shared" si="90"/>
        <v>Knee Replacement RevisionProviderNORTHERN LINCOLNSHIRE AND GOOLE NHS FOUNDATION TRUST (RJL)EQ VAS</v>
      </c>
      <c r="C5815" t="s">
        <v>250</v>
      </c>
      <c r="D5815" t="s">
        <v>1</v>
      </c>
      <c r="E5815" t="s">
        <v>3681</v>
      </c>
      <c r="F5815" t="s">
        <v>3682</v>
      </c>
      <c r="G5815" t="s">
        <v>179</v>
      </c>
      <c r="H5815">
        <v>13</v>
      </c>
      <c r="I5815">
        <v>78</v>
      </c>
      <c r="J5815">
        <v>66.462000000000003</v>
      </c>
      <c r="K5815">
        <v>-11.538</v>
      </c>
      <c r="L5815">
        <v>4</v>
      </c>
      <c r="M5815">
        <v>0</v>
      </c>
      <c r="N5815">
        <v>9</v>
      </c>
      <c r="O5815" t="s">
        <v>53</v>
      </c>
      <c r="P5815" t="s">
        <v>53</v>
      </c>
      <c r="Q5815" t="s">
        <v>53</v>
      </c>
    </row>
    <row r="5816" spans="1:17" x14ac:dyDescent="0.2">
      <c r="A5816" s="30" t="str">
        <f>IF(C5816&amp;G5816&amp;D5816&lt;&gt;'Funnel setup'!$K$3&amp;'Funnel setup'!$K$4&amp;'Funnel setup'!$K$5,".",IF(A5815=".",1,A5815+1))</f>
        <v>.</v>
      </c>
      <c r="B5816" s="431" t="str">
        <f t="shared" si="90"/>
        <v>Knee Replacement RevisionProviderNORTHUMBRIA HEALTHCARE NHS FOUNDATION TRUST (RTF)EQ VAS</v>
      </c>
      <c r="C5816" t="s">
        <v>250</v>
      </c>
      <c r="D5816" t="s">
        <v>1</v>
      </c>
      <c r="E5816" t="s">
        <v>3684</v>
      </c>
      <c r="F5816" t="s">
        <v>3685</v>
      </c>
      <c r="G5816" t="s">
        <v>179</v>
      </c>
      <c r="H5816">
        <v>15</v>
      </c>
      <c r="I5816">
        <v>59</v>
      </c>
      <c r="J5816">
        <v>67.466999999999999</v>
      </c>
      <c r="K5816">
        <v>8.4670000000000005</v>
      </c>
      <c r="L5816">
        <v>10</v>
      </c>
      <c r="M5816">
        <v>1</v>
      </c>
      <c r="N5816">
        <v>4</v>
      </c>
      <c r="O5816" t="s">
        <v>53</v>
      </c>
      <c r="P5816" t="s">
        <v>53</v>
      </c>
      <c r="Q5816" t="s">
        <v>53</v>
      </c>
    </row>
    <row r="5817" spans="1:17" x14ac:dyDescent="0.2">
      <c r="A5817" s="30" t="str">
        <f>IF(C5817&amp;G5817&amp;D5817&lt;&gt;'Funnel setup'!$K$3&amp;'Funnel setup'!$K$4&amp;'Funnel setup'!$K$5,".",IF(A5816=".",1,A5816+1))</f>
        <v>.</v>
      </c>
      <c r="B5817" s="431" t="str">
        <f t="shared" si="90"/>
        <v>Knee Replacement RevisionProviderNOTTINGHAM UNIVERSITY HOSPITALS NHS TRUST (RX1)EQ VAS</v>
      </c>
      <c r="C5817" t="s">
        <v>250</v>
      </c>
      <c r="D5817" t="s">
        <v>1</v>
      </c>
      <c r="E5817" t="s">
        <v>3687</v>
      </c>
      <c r="F5817" t="s">
        <v>3688</v>
      </c>
      <c r="G5817" t="s">
        <v>179</v>
      </c>
      <c r="H5817">
        <v>29</v>
      </c>
      <c r="I5817">
        <v>59.414000000000001</v>
      </c>
      <c r="J5817">
        <v>67.171999999999997</v>
      </c>
      <c r="K5817">
        <v>7.7590000000000003</v>
      </c>
      <c r="L5817">
        <v>21</v>
      </c>
      <c r="M5817">
        <v>3</v>
      </c>
      <c r="N5817">
        <v>5</v>
      </c>
      <c r="O5817" t="s">
        <v>53</v>
      </c>
      <c r="P5817" t="s">
        <v>53</v>
      </c>
      <c r="Q5817" t="s">
        <v>53</v>
      </c>
    </row>
    <row r="5818" spans="1:17" x14ac:dyDescent="0.2">
      <c r="A5818" s="30" t="str">
        <f>IF(C5818&amp;G5818&amp;D5818&lt;&gt;'Funnel setup'!$K$3&amp;'Funnel setup'!$K$4&amp;'Funnel setup'!$K$5,".",IF(A5817=".",1,A5817+1))</f>
        <v>.</v>
      </c>
      <c r="B5818" s="431" t="str">
        <f t="shared" si="90"/>
        <v>Knee Replacement RevisionProviderNUFFIELD HEALTH, BRISTOL HOSPITAL (CHESTERFIELD) (NT206)EQ VAS</v>
      </c>
      <c r="C5818" t="s">
        <v>250</v>
      </c>
      <c r="D5818" t="s">
        <v>1</v>
      </c>
      <c r="E5818" t="s">
        <v>3700</v>
      </c>
      <c r="F5818" t="s">
        <v>3701</v>
      </c>
      <c r="G5818" t="s">
        <v>179</v>
      </c>
      <c r="H5818" t="s">
        <v>53</v>
      </c>
      <c r="I5818" t="s">
        <v>53</v>
      </c>
      <c r="J5818" t="s">
        <v>53</v>
      </c>
      <c r="K5818" t="s">
        <v>53</v>
      </c>
      <c r="L5818" t="s">
        <v>53</v>
      </c>
      <c r="M5818" t="s">
        <v>53</v>
      </c>
      <c r="N5818" t="s">
        <v>53</v>
      </c>
      <c r="O5818" t="s">
        <v>53</v>
      </c>
      <c r="P5818" t="s">
        <v>53</v>
      </c>
      <c r="Q5818" t="s">
        <v>53</v>
      </c>
    </row>
    <row r="5819" spans="1:17" x14ac:dyDescent="0.2">
      <c r="A5819" s="30" t="str">
        <f>IF(C5819&amp;G5819&amp;D5819&lt;&gt;'Funnel setup'!$K$3&amp;'Funnel setup'!$K$4&amp;'Funnel setup'!$K$5,".",IF(A5818=".",1,A5818+1))</f>
        <v>.</v>
      </c>
      <c r="B5819" s="431" t="str">
        <f t="shared" si="90"/>
        <v>Knee Replacement RevisionProviderNUFFIELD HEALTH, DERBY HOSPITAL (NT213)EQ VAS</v>
      </c>
      <c r="C5819" t="s">
        <v>250</v>
      </c>
      <c r="D5819" t="s">
        <v>1</v>
      </c>
      <c r="E5819" t="s">
        <v>3340</v>
      </c>
      <c r="F5819" t="s">
        <v>3341</v>
      </c>
      <c r="G5819" t="s">
        <v>179</v>
      </c>
      <c r="H5819" t="s">
        <v>53</v>
      </c>
      <c r="I5819" t="s">
        <v>53</v>
      </c>
      <c r="J5819" t="s">
        <v>53</v>
      </c>
      <c r="K5819" t="s">
        <v>53</v>
      </c>
      <c r="L5819" t="s">
        <v>53</v>
      </c>
      <c r="M5819" t="s">
        <v>53</v>
      </c>
      <c r="N5819" t="s">
        <v>53</v>
      </c>
      <c r="O5819" t="s">
        <v>53</v>
      </c>
      <c r="P5819" t="s">
        <v>53</v>
      </c>
      <c r="Q5819" t="s">
        <v>53</v>
      </c>
    </row>
    <row r="5820" spans="1:17" x14ac:dyDescent="0.2">
      <c r="A5820" s="30" t="str">
        <f>IF(C5820&amp;G5820&amp;D5820&lt;&gt;'Funnel setup'!$K$3&amp;'Funnel setup'!$K$4&amp;'Funnel setup'!$K$5,".",IF(A5819=".",1,A5819+1))</f>
        <v>.</v>
      </c>
      <c r="B5820" s="431" t="str">
        <f t="shared" si="90"/>
        <v>Knee Replacement RevisionProviderNUFFIELD HEALTH, EXETER HOSPITAL (NT215)EQ VAS</v>
      </c>
      <c r="C5820" t="s">
        <v>250</v>
      </c>
      <c r="D5820" t="s">
        <v>1</v>
      </c>
      <c r="E5820" t="s">
        <v>4339</v>
      </c>
      <c r="F5820" t="s">
        <v>4340</v>
      </c>
      <c r="G5820" t="s">
        <v>179</v>
      </c>
      <c r="H5820" t="s">
        <v>53</v>
      </c>
      <c r="I5820" t="s">
        <v>53</v>
      </c>
      <c r="J5820" t="s">
        <v>53</v>
      </c>
      <c r="K5820" t="s">
        <v>53</v>
      </c>
      <c r="L5820" t="s">
        <v>53</v>
      </c>
      <c r="M5820" t="s">
        <v>53</v>
      </c>
      <c r="N5820" t="s">
        <v>53</v>
      </c>
      <c r="O5820" t="s">
        <v>53</v>
      </c>
      <c r="P5820" t="s">
        <v>53</v>
      </c>
      <c r="Q5820" t="s">
        <v>53</v>
      </c>
    </row>
    <row r="5821" spans="1:17" x14ac:dyDescent="0.2">
      <c r="A5821" s="30" t="str">
        <f>IF(C5821&amp;G5821&amp;D5821&lt;&gt;'Funnel setup'!$K$3&amp;'Funnel setup'!$K$4&amp;'Funnel setup'!$K$5,".",IF(A5820=".",1,A5820+1))</f>
        <v>.</v>
      </c>
      <c r="B5821" s="431" t="str">
        <f t="shared" si="90"/>
        <v>Knee Replacement RevisionProviderNUFFIELD HEALTH, LEEDS HOSPITAL (NT225)EQ VAS</v>
      </c>
      <c r="C5821" t="s">
        <v>250</v>
      </c>
      <c r="D5821" t="s">
        <v>1</v>
      </c>
      <c r="E5821" t="s">
        <v>3388</v>
      </c>
      <c r="F5821" t="s">
        <v>3389</v>
      </c>
      <c r="G5821" t="s">
        <v>179</v>
      </c>
      <c r="H5821" t="s">
        <v>53</v>
      </c>
      <c r="I5821" t="s">
        <v>53</v>
      </c>
      <c r="J5821" t="s">
        <v>53</v>
      </c>
      <c r="K5821" t="s">
        <v>53</v>
      </c>
      <c r="L5821" t="s">
        <v>53</v>
      </c>
      <c r="M5821" t="s">
        <v>53</v>
      </c>
      <c r="N5821" t="s">
        <v>53</v>
      </c>
      <c r="O5821" t="s">
        <v>53</v>
      </c>
      <c r="P5821" t="s">
        <v>53</v>
      </c>
      <c r="Q5821" t="s">
        <v>53</v>
      </c>
    </row>
    <row r="5822" spans="1:17" x14ac:dyDescent="0.2">
      <c r="A5822" s="30" t="str">
        <f>IF(C5822&amp;G5822&amp;D5822&lt;&gt;'Funnel setup'!$K$3&amp;'Funnel setup'!$K$4&amp;'Funnel setup'!$K$5,".",IF(A5821=".",1,A5821+1))</f>
        <v>.</v>
      </c>
      <c r="B5822" s="431" t="str">
        <f t="shared" si="90"/>
        <v>Knee Replacement RevisionProviderNUFFIELD HEALTH, TEES HOSPITAL (NT237)EQ VAS</v>
      </c>
      <c r="C5822" t="s">
        <v>250</v>
      </c>
      <c r="D5822" t="s">
        <v>1</v>
      </c>
      <c r="E5822" t="s">
        <v>3246</v>
      </c>
      <c r="F5822" t="s">
        <v>3247</v>
      </c>
      <c r="G5822" t="s">
        <v>179</v>
      </c>
      <c r="H5822" t="s">
        <v>53</v>
      </c>
      <c r="I5822" t="s">
        <v>53</v>
      </c>
      <c r="J5822" t="s">
        <v>53</v>
      </c>
      <c r="K5822" t="s">
        <v>53</v>
      </c>
      <c r="L5822" t="s">
        <v>53</v>
      </c>
      <c r="M5822" t="s">
        <v>53</v>
      </c>
      <c r="N5822" t="s">
        <v>53</v>
      </c>
      <c r="O5822" t="s">
        <v>53</v>
      </c>
      <c r="P5822" t="s">
        <v>53</v>
      </c>
      <c r="Q5822" t="s">
        <v>53</v>
      </c>
    </row>
    <row r="5823" spans="1:17" x14ac:dyDescent="0.2">
      <c r="A5823" s="30" t="str">
        <f>IF(C5823&amp;G5823&amp;D5823&lt;&gt;'Funnel setup'!$K$3&amp;'Funnel setup'!$K$4&amp;'Funnel setup'!$K$5,".",IF(A5822=".",1,A5822+1))</f>
        <v>.</v>
      </c>
      <c r="B5823" s="431" t="str">
        <f t="shared" si="90"/>
        <v>Knee Replacement RevisionProviderNUFFIELD HEALTH, YORK HOSPITAL (NT245)EQ VAS</v>
      </c>
      <c r="C5823" t="s">
        <v>250</v>
      </c>
      <c r="D5823" t="s">
        <v>1</v>
      </c>
      <c r="E5823" t="s">
        <v>4299</v>
      </c>
      <c r="F5823" t="s">
        <v>4300</v>
      </c>
      <c r="G5823" t="s">
        <v>179</v>
      </c>
      <c r="H5823" t="s">
        <v>53</v>
      </c>
      <c r="I5823" t="s">
        <v>53</v>
      </c>
      <c r="J5823" t="s">
        <v>53</v>
      </c>
      <c r="K5823" t="s">
        <v>53</v>
      </c>
      <c r="L5823" t="s">
        <v>53</v>
      </c>
      <c r="M5823" t="s">
        <v>53</v>
      </c>
      <c r="N5823" t="s">
        <v>53</v>
      </c>
      <c r="O5823" t="s">
        <v>53</v>
      </c>
      <c r="P5823" t="s">
        <v>53</v>
      </c>
      <c r="Q5823" t="s">
        <v>53</v>
      </c>
    </row>
    <row r="5824" spans="1:17" x14ac:dyDescent="0.2">
      <c r="A5824" s="30" t="str">
        <f>IF(C5824&amp;G5824&amp;D5824&lt;&gt;'Funnel setup'!$K$3&amp;'Funnel setup'!$K$4&amp;'Funnel setup'!$K$5,".",IF(A5823=".",1,A5823+1))</f>
        <v>.</v>
      </c>
      <c r="B5824" s="431" t="str">
        <f t="shared" si="90"/>
        <v>Knee Replacement RevisionProviderOAKS HOSPITAL (NVC13)EQ VAS</v>
      </c>
      <c r="C5824" t="s">
        <v>250</v>
      </c>
      <c r="D5824" t="s">
        <v>1</v>
      </c>
      <c r="E5824" t="s">
        <v>3270</v>
      </c>
      <c r="F5824" t="s">
        <v>3271</v>
      </c>
      <c r="G5824" t="s">
        <v>179</v>
      </c>
      <c r="H5824" t="s">
        <v>53</v>
      </c>
      <c r="I5824" t="s">
        <v>53</v>
      </c>
      <c r="J5824" t="s">
        <v>53</v>
      </c>
      <c r="K5824" t="s">
        <v>53</v>
      </c>
      <c r="L5824" t="s">
        <v>53</v>
      </c>
      <c r="M5824" t="s">
        <v>53</v>
      </c>
      <c r="N5824" t="s">
        <v>53</v>
      </c>
      <c r="O5824" t="s">
        <v>53</v>
      </c>
      <c r="P5824" t="s">
        <v>53</v>
      </c>
      <c r="Q5824" t="s">
        <v>53</v>
      </c>
    </row>
    <row r="5825" spans="1:17" x14ac:dyDescent="0.2">
      <c r="A5825" s="30" t="str">
        <f>IF(C5825&amp;G5825&amp;D5825&lt;&gt;'Funnel setup'!$K$3&amp;'Funnel setup'!$K$4&amp;'Funnel setup'!$K$5,".",IF(A5824=".",1,A5824+1))</f>
        <v>.</v>
      </c>
      <c r="B5825" s="431" t="str">
        <f t="shared" si="90"/>
        <v>Knee Replacement RevisionProviderOXFORD UNIVERSITY HOSPITALS NHS FOUNDATION TRUST (RTH)EQ VAS</v>
      </c>
      <c r="C5825" t="s">
        <v>250</v>
      </c>
      <c r="D5825" t="s">
        <v>1</v>
      </c>
      <c r="E5825" t="s">
        <v>3278</v>
      </c>
      <c r="F5825" t="s">
        <v>6578</v>
      </c>
      <c r="G5825" t="s">
        <v>179</v>
      </c>
      <c r="H5825">
        <v>35</v>
      </c>
      <c r="I5825">
        <v>67.456999999999994</v>
      </c>
      <c r="J5825">
        <v>63.771000000000001</v>
      </c>
      <c r="K5825">
        <v>-3.6859999999999999</v>
      </c>
      <c r="L5825">
        <v>16</v>
      </c>
      <c r="M5825">
        <v>4</v>
      </c>
      <c r="N5825">
        <v>15</v>
      </c>
      <c r="O5825">
        <v>65.061999999999998</v>
      </c>
      <c r="P5825">
        <v>0.60636833000000001</v>
      </c>
      <c r="Q5825">
        <v>16.66</v>
      </c>
    </row>
    <row r="5826" spans="1:17" x14ac:dyDescent="0.2">
      <c r="A5826" s="30" t="str">
        <f>IF(C5826&amp;G5826&amp;D5826&lt;&gt;'Funnel setup'!$K$3&amp;'Funnel setup'!$K$4&amp;'Funnel setup'!$K$5,".",IF(A5825=".",1,A5825+1))</f>
        <v>.</v>
      </c>
      <c r="B5826" s="431" t="str">
        <f t="shared" si="90"/>
        <v>Knee Replacement RevisionProviderPENINSULA NHS TREATMENT CENTRE (NTPH5)EQ VAS</v>
      </c>
      <c r="C5826" t="s">
        <v>250</v>
      </c>
      <c r="D5826" t="s">
        <v>1</v>
      </c>
      <c r="E5826" t="s">
        <v>4285</v>
      </c>
      <c r="F5826" t="s">
        <v>4286</v>
      </c>
      <c r="G5826" t="s">
        <v>179</v>
      </c>
      <c r="H5826">
        <v>9</v>
      </c>
      <c r="I5826">
        <v>76.221999999999994</v>
      </c>
      <c r="J5826">
        <v>76.332999999999998</v>
      </c>
      <c r="K5826">
        <v>0.111</v>
      </c>
      <c r="L5826">
        <v>4</v>
      </c>
      <c r="M5826">
        <v>3</v>
      </c>
      <c r="N5826">
        <v>2</v>
      </c>
      <c r="O5826" t="s">
        <v>53</v>
      </c>
      <c r="P5826" t="s">
        <v>53</v>
      </c>
      <c r="Q5826" t="s">
        <v>53</v>
      </c>
    </row>
    <row r="5827" spans="1:17" x14ac:dyDescent="0.2">
      <c r="A5827" s="30" t="str">
        <f>IF(C5827&amp;G5827&amp;D5827&lt;&gt;'Funnel setup'!$K$3&amp;'Funnel setup'!$K$4&amp;'Funnel setup'!$K$5,".",IF(A5826=".",1,A5826+1))</f>
        <v>.</v>
      </c>
      <c r="B5827" s="431" t="str">
        <f t="shared" ref="B5827:B5890" si="91">C5827&amp;D5827&amp;F5827&amp;G5827</f>
        <v>Knee Replacement RevisionProviderPENNINE ACUTE HOSPITALS NHS TRUST (RW6)EQ VAS</v>
      </c>
      <c r="C5827" t="s">
        <v>250</v>
      </c>
      <c r="D5827" t="s">
        <v>1</v>
      </c>
      <c r="E5827" t="s">
        <v>3216</v>
      </c>
      <c r="F5827" t="s">
        <v>3217</v>
      </c>
      <c r="G5827" t="s">
        <v>179</v>
      </c>
      <c r="H5827">
        <v>15</v>
      </c>
      <c r="I5827">
        <v>50.933</v>
      </c>
      <c r="J5827">
        <v>57.933</v>
      </c>
      <c r="K5827">
        <v>7</v>
      </c>
      <c r="L5827">
        <v>8</v>
      </c>
      <c r="M5827">
        <v>2</v>
      </c>
      <c r="N5827">
        <v>5</v>
      </c>
      <c r="O5827" t="s">
        <v>53</v>
      </c>
      <c r="P5827" t="s">
        <v>53</v>
      </c>
      <c r="Q5827" t="s">
        <v>53</v>
      </c>
    </row>
    <row r="5828" spans="1:17" x14ac:dyDescent="0.2">
      <c r="A5828" s="30" t="str">
        <f>IF(C5828&amp;G5828&amp;D5828&lt;&gt;'Funnel setup'!$K$3&amp;'Funnel setup'!$K$4&amp;'Funnel setup'!$K$5,".",IF(A5827=".",1,A5827+1))</f>
        <v>.</v>
      </c>
      <c r="B5828" s="431" t="str">
        <f t="shared" si="91"/>
        <v>Knee Replacement RevisionProviderPETERBOROUGH AND STAMFORD HOSPITALS NHS FOUNDATION TRUST (RGN)EQ VAS</v>
      </c>
      <c r="C5828" t="s">
        <v>250</v>
      </c>
      <c r="D5828" t="s">
        <v>1</v>
      </c>
      <c r="E5828" t="s">
        <v>3219</v>
      </c>
      <c r="F5828" t="s">
        <v>3220</v>
      </c>
      <c r="G5828" t="s">
        <v>179</v>
      </c>
      <c r="H5828" t="s">
        <v>53</v>
      </c>
      <c r="I5828" t="s">
        <v>53</v>
      </c>
      <c r="J5828" t="s">
        <v>53</v>
      </c>
      <c r="K5828" t="s">
        <v>53</v>
      </c>
      <c r="L5828" t="s">
        <v>53</v>
      </c>
      <c r="M5828" t="s">
        <v>53</v>
      </c>
      <c r="N5828" t="s">
        <v>53</v>
      </c>
      <c r="O5828" t="s">
        <v>53</v>
      </c>
      <c r="P5828" t="s">
        <v>53</v>
      </c>
      <c r="Q5828" t="s">
        <v>53</v>
      </c>
    </row>
    <row r="5829" spans="1:17" x14ac:dyDescent="0.2">
      <c r="A5829" s="30" t="str">
        <f>IF(C5829&amp;G5829&amp;D5829&lt;&gt;'Funnel setup'!$K$3&amp;'Funnel setup'!$K$4&amp;'Funnel setup'!$K$5,".",IF(A5828=".",1,A5828+1))</f>
        <v>.</v>
      </c>
      <c r="B5829" s="431" t="str">
        <f t="shared" si="91"/>
        <v>Knee Replacement RevisionProviderPINEHILL HOSPITAL (NVC15)EQ VAS</v>
      </c>
      <c r="C5829" t="s">
        <v>250</v>
      </c>
      <c r="D5829" t="s">
        <v>1</v>
      </c>
      <c r="E5829" t="s">
        <v>3222</v>
      </c>
      <c r="F5829" t="s">
        <v>3223</v>
      </c>
      <c r="G5829" t="s">
        <v>179</v>
      </c>
      <c r="H5829" t="s">
        <v>53</v>
      </c>
      <c r="I5829" t="s">
        <v>53</v>
      </c>
      <c r="J5829" t="s">
        <v>53</v>
      </c>
      <c r="K5829" t="s">
        <v>53</v>
      </c>
      <c r="L5829" t="s">
        <v>53</v>
      </c>
      <c r="M5829" t="s">
        <v>53</v>
      </c>
      <c r="N5829" t="s">
        <v>53</v>
      </c>
      <c r="O5829" t="s">
        <v>53</v>
      </c>
      <c r="P5829" t="s">
        <v>53</v>
      </c>
      <c r="Q5829" t="s">
        <v>53</v>
      </c>
    </row>
    <row r="5830" spans="1:17" x14ac:dyDescent="0.2">
      <c r="A5830" s="30" t="str">
        <f>IF(C5830&amp;G5830&amp;D5830&lt;&gt;'Funnel setup'!$K$3&amp;'Funnel setup'!$K$4&amp;'Funnel setup'!$K$5,".",IF(A5829=".",1,A5829+1))</f>
        <v>.</v>
      </c>
      <c r="B5830" s="431" t="str">
        <f t="shared" si="91"/>
        <v>Knee Replacement RevisionProviderPLYMOUTH HOSPITALS NHS TRUST (RK9)EQ VAS</v>
      </c>
      <c r="C5830" t="s">
        <v>250</v>
      </c>
      <c r="D5830" t="s">
        <v>1</v>
      </c>
      <c r="E5830" t="s">
        <v>3225</v>
      </c>
      <c r="F5830" t="s">
        <v>3226</v>
      </c>
      <c r="G5830" t="s">
        <v>179</v>
      </c>
      <c r="H5830">
        <v>9</v>
      </c>
      <c r="I5830">
        <v>53.555999999999997</v>
      </c>
      <c r="J5830">
        <v>51.110999999999997</v>
      </c>
      <c r="K5830">
        <v>-2.444</v>
      </c>
      <c r="L5830">
        <v>3</v>
      </c>
      <c r="M5830">
        <v>3</v>
      </c>
      <c r="N5830">
        <v>3</v>
      </c>
      <c r="O5830" t="s">
        <v>53</v>
      </c>
      <c r="P5830" t="s">
        <v>53</v>
      </c>
      <c r="Q5830" t="s">
        <v>53</v>
      </c>
    </row>
    <row r="5831" spans="1:17" x14ac:dyDescent="0.2">
      <c r="A5831" s="30" t="str">
        <f>IF(C5831&amp;G5831&amp;D5831&lt;&gt;'Funnel setup'!$K$3&amp;'Funnel setup'!$K$4&amp;'Funnel setup'!$K$5,".",IF(A5830=".",1,A5830+1))</f>
        <v>.</v>
      </c>
      <c r="B5831" s="431" t="str">
        <f t="shared" si="91"/>
        <v>Knee Replacement RevisionProviderPORTSMOUTH HOSPITALS NHS TRUST (RHU)EQ VAS</v>
      </c>
      <c r="C5831" t="s">
        <v>250</v>
      </c>
      <c r="D5831" t="s">
        <v>1</v>
      </c>
      <c r="E5831" t="s">
        <v>3234</v>
      </c>
      <c r="F5831" t="s">
        <v>3235</v>
      </c>
      <c r="G5831" t="s">
        <v>179</v>
      </c>
      <c r="H5831">
        <v>6</v>
      </c>
      <c r="I5831">
        <v>52.5</v>
      </c>
      <c r="J5831">
        <v>69.167000000000002</v>
      </c>
      <c r="K5831">
        <v>16.667000000000002</v>
      </c>
      <c r="L5831">
        <v>5</v>
      </c>
      <c r="M5831">
        <v>1</v>
      </c>
      <c r="N5831">
        <v>0</v>
      </c>
      <c r="O5831" t="s">
        <v>53</v>
      </c>
      <c r="P5831" t="s">
        <v>53</v>
      </c>
      <c r="Q5831" t="s">
        <v>53</v>
      </c>
    </row>
    <row r="5832" spans="1:17" x14ac:dyDescent="0.2">
      <c r="A5832" s="30" t="str">
        <f>IF(C5832&amp;G5832&amp;D5832&lt;&gt;'Funnel setup'!$K$3&amp;'Funnel setup'!$K$4&amp;'Funnel setup'!$K$5,".",IF(A5831=".",1,A5831+1))</f>
        <v>.</v>
      </c>
      <c r="B5832" s="431" t="str">
        <f t="shared" si="91"/>
        <v>Knee Replacement RevisionProviderRENACRES HOSPITAL (NVC16)EQ VAS</v>
      </c>
      <c r="C5832" t="s">
        <v>250</v>
      </c>
      <c r="D5832" t="s">
        <v>1</v>
      </c>
      <c r="E5832" t="s">
        <v>3237</v>
      </c>
      <c r="F5832" t="s">
        <v>3238</v>
      </c>
      <c r="G5832" t="s">
        <v>179</v>
      </c>
      <c r="H5832" t="s">
        <v>53</v>
      </c>
      <c r="I5832" t="s">
        <v>53</v>
      </c>
      <c r="J5832" t="s">
        <v>53</v>
      </c>
      <c r="K5832" t="s">
        <v>53</v>
      </c>
      <c r="L5832" t="s">
        <v>53</v>
      </c>
      <c r="M5832" t="s">
        <v>53</v>
      </c>
      <c r="N5832" t="s">
        <v>53</v>
      </c>
      <c r="O5832" t="s">
        <v>53</v>
      </c>
      <c r="P5832" t="s">
        <v>53</v>
      </c>
      <c r="Q5832" t="s">
        <v>53</v>
      </c>
    </row>
    <row r="5833" spans="1:17" x14ac:dyDescent="0.2">
      <c r="A5833" s="30" t="str">
        <f>IF(C5833&amp;G5833&amp;D5833&lt;&gt;'Funnel setup'!$K$3&amp;'Funnel setup'!$K$4&amp;'Funnel setup'!$K$5,".",IF(A5832=".",1,A5832+1))</f>
        <v>.</v>
      </c>
      <c r="B5833" s="431" t="str">
        <f t="shared" si="91"/>
        <v>Knee Replacement RevisionProviderROYAL BERKSHIRE NHS FOUNDATION TRUST (RHW)EQ VAS</v>
      </c>
      <c r="C5833" t="s">
        <v>250</v>
      </c>
      <c r="D5833" t="s">
        <v>1</v>
      </c>
      <c r="E5833" t="s">
        <v>3832</v>
      </c>
      <c r="F5833" t="s">
        <v>3833</v>
      </c>
      <c r="G5833" t="s">
        <v>179</v>
      </c>
      <c r="H5833" t="s">
        <v>53</v>
      </c>
      <c r="I5833" t="s">
        <v>53</v>
      </c>
      <c r="J5833" t="s">
        <v>53</v>
      </c>
      <c r="K5833" t="s">
        <v>53</v>
      </c>
      <c r="L5833" t="s">
        <v>53</v>
      </c>
      <c r="M5833" t="s">
        <v>53</v>
      </c>
      <c r="N5833" t="s">
        <v>53</v>
      </c>
      <c r="O5833" t="s">
        <v>53</v>
      </c>
      <c r="P5833" t="s">
        <v>53</v>
      </c>
      <c r="Q5833" t="s">
        <v>53</v>
      </c>
    </row>
    <row r="5834" spans="1:17" x14ac:dyDescent="0.2">
      <c r="A5834" s="30" t="str">
        <f>IF(C5834&amp;G5834&amp;D5834&lt;&gt;'Funnel setup'!$K$3&amp;'Funnel setup'!$K$4&amp;'Funnel setup'!$K$5,".",IF(A5833=".",1,A5833+1))</f>
        <v>.</v>
      </c>
      <c r="B5834" s="431" t="str">
        <f t="shared" si="91"/>
        <v>Knee Replacement RevisionProviderROYAL CORNWALL HOSPITALS NHS TRUST (REF)EQ VAS</v>
      </c>
      <c r="C5834" t="s">
        <v>250</v>
      </c>
      <c r="D5834" t="s">
        <v>1</v>
      </c>
      <c r="E5834" t="s">
        <v>3745</v>
      </c>
      <c r="F5834" t="s">
        <v>3746</v>
      </c>
      <c r="G5834" t="s">
        <v>179</v>
      </c>
      <c r="H5834">
        <v>19</v>
      </c>
      <c r="I5834">
        <v>60.789000000000001</v>
      </c>
      <c r="J5834">
        <v>72.210999999999999</v>
      </c>
      <c r="K5834">
        <v>11.420999999999999</v>
      </c>
      <c r="L5834">
        <v>11</v>
      </c>
      <c r="M5834">
        <v>5</v>
      </c>
      <c r="N5834">
        <v>3</v>
      </c>
      <c r="O5834" t="s">
        <v>53</v>
      </c>
      <c r="P5834" t="s">
        <v>53</v>
      </c>
      <c r="Q5834" t="s">
        <v>53</v>
      </c>
    </row>
    <row r="5835" spans="1:17" x14ac:dyDescent="0.2">
      <c r="A5835" s="30" t="str">
        <f>IF(C5835&amp;G5835&amp;D5835&lt;&gt;'Funnel setup'!$K$3&amp;'Funnel setup'!$K$4&amp;'Funnel setup'!$K$5,".",IF(A5834=".",1,A5834+1))</f>
        <v>.</v>
      </c>
      <c r="B5835" s="431" t="str">
        <f t="shared" si="91"/>
        <v>Knee Replacement RevisionProviderROYAL DEVON AND EXETER NHS FOUNDATION TRUST (RH8)EQ VAS</v>
      </c>
      <c r="C5835" t="s">
        <v>250</v>
      </c>
      <c r="D5835" t="s">
        <v>1</v>
      </c>
      <c r="E5835" t="s">
        <v>3442</v>
      </c>
      <c r="F5835" t="s">
        <v>3443</v>
      </c>
      <c r="G5835" t="s">
        <v>179</v>
      </c>
      <c r="H5835">
        <v>38</v>
      </c>
      <c r="I5835">
        <v>61.131999999999998</v>
      </c>
      <c r="J5835">
        <v>70.578999999999994</v>
      </c>
      <c r="K5835">
        <v>9.4469999999999992</v>
      </c>
      <c r="L5835">
        <v>23</v>
      </c>
      <c r="M5835">
        <v>5</v>
      </c>
      <c r="N5835">
        <v>10</v>
      </c>
      <c r="O5835">
        <v>70.486000000000004</v>
      </c>
      <c r="P5835">
        <v>6.0295376909999998</v>
      </c>
      <c r="Q5835">
        <v>12.055999999999999</v>
      </c>
    </row>
    <row r="5836" spans="1:17" x14ac:dyDescent="0.2">
      <c r="A5836" s="30" t="str">
        <f>IF(C5836&amp;G5836&amp;D5836&lt;&gt;'Funnel setup'!$K$3&amp;'Funnel setup'!$K$4&amp;'Funnel setup'!$K$5,".",IF(A5835=".",1,A5835+1))</f>
        <v>.</v>
      </c>
      <c r="B5836" s="431" t="str">
        <f t="shared" si="91"/>
        <v>Knee Replacement RevisionProviderROYAL FREE LONDON NHS FOUNDATION TRUST (RAL)EQ VAS</v>
      </c>
      <c r="C5836" t="s">
        <v>250</v>
      </c>
      <c r="D5836" t="s">
        <v>1</v>
      </c>
      <c r="E5836" t="s">
        <v>3445</v>
      </c>
      <c r="F5836" t="s">
        <v>3446</v>
      </c>
      <c r="G5836" t="s">
        <v>179</v>
      </c>
      <c r="H5836" t="s">
        <v>53</v>
      </c>
      <c r="I5836" t="s">
        <v>53</v>
      </c>
      <c r="J5836" t="s">
        <v>53</v>
      </c>
      <c r="K5836" t="s">
        <v>53</v>
      </c>
      <c r="L5836" t="s">
        <v>53</v>
      </c>
      <c r="M5836" t="s">
        <v>53</v>
      </c>
      <c r="N5836" t="s">
        <v>53</v>
      </c>
      <c r="O5836" t="s">
        <v>53</v>
      </c>
      <c r="P5836" t="s">
        <v>53</v>
      </c>
      <c r="Q5836" t="s">
        <v>53</v>
      </c>
    </row>
    <row r="5837" spans="1:17" x14ac:dyDescent="0.2">
      <c r="A5837" s="30" t="str">
        <f>IF(C5837&amp;G5837&amp;D5837&lt;&gt;'Funnel setup'!$K$3&amp;'Funnel setup'!$K$4&amp;'Funnel setup'!$K$5,".",IF(A5836=".",1,A5836+1))</f>
        <v>.</v>
      </c>
      <c r="B5837" s="431" t="str">
        <f t="shared" si="91"/>
        <v>Knee Replacement RevisionProviderROYAL LIVERPOOL AND BROADGREEN UNIVERSITY HOSPITALS NHS TRUST (RQ6)EQ VAS</v>
      </c>
      <c r="C5837" t="s">
        <v>250</v>
      </c>
      <c r="D5837" t="s">
        <v>1</v>
      </c>
      <c r="E5837" t="s">
        <v>3448</v>
      </c>
      <c r="F5837" t="s">
        <v>3449</v>
      </c>
      <c r="G5837" t="s">
        <v>179</v>
      </c>
      <c r="H5837">
        <v>6</v>
      </c>
      <c r="I5837">
        <v>50</v>
      </c>
      <c r="J5837">
        <v>60</v>
      </c>
      <c r="K5837">
        <v>10</v>
      </c>
      <c r="L5837">
        <v>3</v>
      </c>
      <c r="M5837">
        <v>1</v>
      </c>
      <c r="N5837">
        <v>2</v>
      </c>
      <c r="O5837" t="s">
        <v>53</v>
      </c>
      <c r="P5837" t="s">
        <v>53</v>
      </c>
      <c r="Q5837" t="s">
        <v>53</v>
      </c>
    </row>
    <row r="5838" spans="1:17" x14ac:dyDescent="0.2">
      <c r="A5838" s="30" t="str">
        <f>IF(C5838&amp;G5838&amp;D5838&lt;&gt;'Funnel setup'!$K$3&amp;'Funnel setup'!$K$4&amp;'Funnel setup'!$K$5,".",IF(A5837=".",1,A5837+1))</f>
        <v>.</v>
      </c>
      <c r="B5838" s="431" t="str">
        <f t="shared" si="91"/>
        <v>Knee Replacement RevisionProviderROYAL NATIONAL ORTHOPAEDIC HOSPITAL NHS TRUST (RAN)EQ VAS</v>
      </c>
      <c r="C5838" t="s">
        <v>250</v>
      </c>
      <c r="D5838" t="s">
        <v>1</v>
      </c>
      <c r="E5838" t="s">
        <v>4378</v>
      </c>
      <c r="F5838" t="s">
        <v>4379</v>
      </c>
      <c r="G5838" t="s">
        <v>179</v>
      </c>
      <c r="H5838">
        <v>22</v>
      </c>
      <c r="I5838">
        <v>62.773000000000003</v>
      </c>
      <c r="J5838">
        <v>63.363999999999997</v>
      </c>
      <c r="K5838">
        <v>0.59099999999999997</v>
      </c>
      <c r="L5838">
        <v>11</v>
      </c>
      <c r="M5838">
        <v>2</v>
      </c>
      <c r="N5838">
        <v>9</v>
      </c>
      <c r="O5838" t="s">
        <v>53</v>
      </c>
      <c r="P5838" t="s">
        <v>53</v>
      </c>
      <c r="Q5838" t="s">
        <v>53</v>
      </c>
    </row>
    <row r="5839" spans="1:17" x14ac:dyDescent="0.2">
      <c r="A5839" s="30" t="str">
        <f>IF(C5839&amp;G5839&amp;D5839&lt;&gt;'Funnel setup'!$K$3&amp;'Funnel setup'!$K$4&amp;'Funnel setup'!$K$5,".",IF(A5838=".",1,A5838+1))</f>
        <v>.</v>
      </c>
      <c r="B5839" s="431" t="str">
        <f t="shared" si="91"/>
        <v>Knee Replacement RevisionProviderROYAL SURREY COUNTY HOSPITAL NHS FOUNDATION TRUST (RA2)EQ VAS</v>
      </c>
      <c r="C5839" t="s">
        <v>250</v>
      </c>
      <c r="D5839" t="s">
        <v>1</v>
      </c>
      <c r="E5839" t="s">
        <v>3451</v>
      </c>
      <c r="F5839" t="s">
        <v>3452</v>
      </c>
      <c r="G5839" t="s">
        <v>179</v>
      </c>
      <c r="H5839">
        <v>6</v>
      </c>
      <c r="I5839">
        <v>67.5</v>
      </c>
      <c r="J5839">
        <v>68.332999999999998</v>
      </c>
      <c r="K5839">
        <v>0.83299999999999996</v>
      </c>
      <c r="L5839">
        <v>4</v>
      </c>
      <c r="M5839">
        <v>0</v>
      </c>
      <c r="N5839">
        <v>2</v>
      </c>
      <c r="O5839" t="s">
        <v>53</v>
      </c>
      <c r="P5839" t="s">
        <v>53</v>
      </c>
      <c r="Q5839" t="s">
        <v>53</v>
      </c>
    </row>
    <row r="5840" spans="1:17" x14ac:dyDescent="0.2">
      <c r="A5840" s="30" t="str">
        <f>IF(C5840&amp;G5840&amp;D5840&lt;&gt;'Funnel setup'!$K$3&amp;'Funnel setup'!$K$4&amp;'Funnel setup'!$K$5,".",IF(A5839=".",1,A5839+1))</f>
        <v>.</v>
      </c>
      <c r="B5840" s="431" t="str">
        <f t="shared" si="91"/>
        <v>Knee Replacement RevisionProviderROYAL UNITED HOSPITALS BATH NHS FOUNDATION TRUST (RD1)EQ VAS</v>
      </c>
      <c r="C5840" t="s">
        <v>250</v>
      </c>
      <c r="D5840" t="s">
        <v>1</v>
      </c>
      <c r="E5840" t="s">
        <v>3454</v>
      </c>
      <c r="F5840" t="s">
        <v>3455</v>
      </c>
      <c r="G5840" t="s">
        <v>179</v>
      </c>
      <c r="H5840">
        <v>9</v>
      </c>
      <c r="I5840">
        <v>61.332999999999998</v>
      </c>
      <c r="J5840">
        <v>66.111000000000004</v>
      </c>
      <c r="K5840">
        <v>4.7779999999999996</v>
      </c>
      <c r="L5840">
        <v>5</v>
      </c>
      <c r="M5840">
        <v>1</v>
      </c>
      <c r="N5840">
        <v>3</v>
      </c>
      <c r="O5840" t="s">
        <v>53</v>
      </c>
      <c r="P5840" t="s">
        <v>53</v>
      </c>
      <c r="Q5840" t="s">
        <v>53</v>
      </c>
    </row>
    <row r="5841" spans="1:17" x14ac:dyDescent="0.2">
      <c r="A5841" s="30" t="str">
        <f>IF(C5841&amp;G5841&amp;D5841&lt;&gt;'Funnel setup'!$K$3&amp;'Funnel setup'!$K$4&amp;'Funnel setup'!$K$5,".",IF(A5840=".",1,A5840+1))</f>
        <v>.</v>
      </c>
      <c r="B5841" s="431" t="str">
        <f t="shared" si="91"/>
        <v>Knee Replacement RevisionProviderSALFORD ROYAL NHS FOUNDATION TRUST (RM3)EQ VAS</v>
      </c>
      <c r="C5841" t="s">
        <v>250</v>
      </c>
      <c r="D5841" t="s">
        <v>1</v>
      </c>
      <c r="E5841" t="s">
        <v>3457</v>
      </c>
      <c r="F5841" t="s">
        <v>3458</v>
      </c>
      <c r="G5841" t="s">
        <v>179</v>
      </c>
      <c r="H5841">
        <v>7</v>
      </c>
      <c r="I5841">
        <v>60.429000000000002</v>
      </c>
      <c r="J5841">
        <v>76.429000000000002</v>
      </c>
      <c r="K5841">
        <v>16</v>
      </c>
      <c r="L5841">
        <v>5</v>
      </c>
      <c r="M5841">
        <v>0</v>
      </c>
      <c r="N5841">
        <v>2</v>
      </c>
      <c r="O5841" t="s">
        <v>53</v>
      </c>
      <c r="P5841" t="s">
        <v>53</v>
      </c>
      <c r="Q5841" t="s">
        <v>53</v>
      </c>
    </row>
    <row r="5842" spans="1:17" x14ac:dyDescent="0.2">
      <c r="A5842" s="30" t="str">
        <f>IF(C5842&amp;G5842&amp;D5842&lt;&gt;'Funnel setup'!$K$3&amp;'Funnel setup'!$K$4&amp;'Funnel setup'!$K$5,".",IF(A5841=".",1,A5841+1))</f>
        <v>.</v>
      </c>
      <c r="B5842" s="431" t="str">
        <f t="shared" si="91"/>
        <v>Knee Replacement RevisionProviderSALISBURY NHS FOUNDATION TRUST (RNZ)EQ VAS</v>
      </c>
      <c r="C5842" t="s">
        <v>250</v>
      </c>
      <c r="D5842" t="s">
        <v>1</v>
      </c>
      <c r="E5842" t="s">
        <v>3460</v>
      </c>
      <c r="F5842" t="s">
        <v>3461</v>
      </c>
      <c r="G5842" t="s">
        <v>179</v>
      </c>
      <c r="H5842" t="s">
        <v>53</v>
      </c>
      <c r="I5842" t="s">
        <v>53</v>
      </c>
      <c r="J5842" t="s">
        <v>53</v>
      </c>
      <c r="K5842" t="s">
        <v>53</v>
      </c>
      <c r="L5842" t="s">
        <v>53</v>
      </c>
      <c r="M5842" t="s">
        <v>53</v>
      </c>
      <c r="N5842" t="s">
        <v>53</v>
      </c>
      <c r="O5842" t="s">
        <v>53</v>
      </c>
      <c r="P5842" t="s">
        <v>53</v>
      </c>
      <c r="Q5842" t="s">
        <v>53</v>
      </c>
    </row>
    <row r="5843" spans="1:17" x14ac:dyDescent="0.2">
      <c r="A5843" s="30" t="str">
        <f>IF(C5843&amp;G5843&amp;D5843&lt;&gt;'Funnel setup'!$K$3&amp;'Funnel setup'!$K$4&amp;'Funnel setup'!$K$5,".",IF(A5842=".",1,A5842+1))</f>
        <v>.</v>
      </c>
      <c r="B5843" s="431" t="str">
        <f t="shared" si="91"/>
        <v>Knee Replacement RevisionProviderSANDWELL AND WEST BIRMINGHAM HOSPITALS NHS TRUST (RXK)EQ VAS</v>
      </c>
      <c r="C5843" t="s">
        <v>250</v>
      </c>
      <c r="D5843" t="s">
        <v>1</v>
      </c>
      <c r="E5843" t="s">
        <v>3463</v>
      </c>
      <c r="F5843" t="s">
        <v>3464</v>
      </c>
      <c r="G5843" t="s">
        <v>179</v>
      </c>
      <c r="H5843" t="s">
        <v>53</v>
      </c>
      <c r="I5843" t="s">
        <v>53</v>
      </c>
      <c r="J5843" t="s">
        <v>53</v>
      </c>
      <c r="K5843" t="s">
        <v>53</v>
      </c>
      <c r="L5843" t="s">
        <v>53</v>
      </c>
      <c r="M5843" t="s">
        <v>53</v>
      </c>
      <c r="N5843" t="s">
        <v>53</v>
      </c>
      <c r="O5843" t="s">
        <v>53</v>
      </c>
      <c r="P5843" t="s">
        <v>53</v>
      </c>
      <c r="Q5843" t="s">
        <v>53</v>
      </c>
    </row>
    <row r="5844" spans="1:17" x14ac:dyDescent="0.2">
      <c r="A5844" s="30" t="str">
        <f>IF(C5844&amp;G5844&amp;D5844&lt;&gt;'Funnel setup'!$K$3&amp;'Funnel setup'!$K$4&amp;'Funnel setup'!$K$5,".",IF(A5843=".",1,A5843+1))</f>
        <v>.</v>
      </c>
      <c r="B5844" s="431" t="str">
        <f t="shared" si="91"/>
        <v>Knee Replacement RevisionProviderSHEFFIELD TEACHING HOSPITALS NHS FOUNDATION TRUST (RHQ)EQ VAS</v>
      </c>
      <c r="C5844" t="s">
        <v>250</v>
      </c>
      <c r="D5844" t="s">
        <v>1</v>
      </c>
      <c r="E5844" t="s">
        <v>3466</v>
      </c>
      <c r="F5844" t="s">
        <v>3467</v>
      </c>
      <c r="G5844" t="s">
        <v>179</v>
      </c>
      <c r="H5844">
        <v>49</v>
      </c>
      <c r="I5844">
        <v>62.122</v>
      </c>
      <c r="J5844">
        <v>71.531000000000006</v>
      </c>
      <c r="K5844">
        <v>9.4079999999999995</v>
      </c>
      <c r="L5844">
        <v>30</v>
      </c>
      <c r="M5844">
        <v>10</v>
      </c>
      <c r="N5844">
        <v>9</v>
      </c>
      <c r="O5844">
        <v>72.290000000000006</v>
      </c>
      <c r="P5844">
        <v>7.8338055390000001</v>
      </c>
      <c r="Q5844">
        <v>17.206</v>
      </c>
    </row>
    <row r="5845" spans="1:17" x14ac:dyDescent="0.2">
      <c r="A5845" s="30" t="str">
        <f>IF(C5845&amp;G5845&amp;D5845&lt;&gt;'Funnel setup'!$K$3&amp;'Funnel setup'!$K$4&amp;'Funnel setup'!$K$5,".",IF(A5844=".",1,A5844+1))</f>
        <v>.</v>
      </c>
      <c r="B5845" s="431" t="str">
        <f t="shared" si="91"/>
        <v>Knee Replacement RevisionProviderSHERWOOD FOREST HOSPITALS NHS FOUNDATION TRUST (RK5)EQ VAS</v>
      </c>
      <c r="C5845" t="s">
        <v>250</v>
      </c>
      <c r="D5845" t="s">
        <v>1</v>
      </c>
      <c r="E5845" t="s">
        <v>3475</v>
      </c>
      <c r="F5845" t="s">
        <v>3476</v>
      </c>
      <c r="G5845" t="s">
        <v>179</v>
      </c>
      <c r="H5845">
        <v>11</v>
      </c>
      <c r="I5845">
        <v>62.817999999999998</v>
      </c>
      <c r="J5845">
        <v>71</v>
      </c>
      <c r="K5845">
        <v>8.1820000000000004</v>
      </c>
      <c r="L5845">
        <v>7</v>
      </c>
      <c r="M5845">
        <v>1</v>
      </c>
      <c r="N5845">
        <v>3</v>
      </c>
      <c r="O5845" t="s">
        <v>53</v>
      </c>
      <c r="P5845" t="s">
        <v>53</v>
      </c>
      <c r="Q5845" t="s">
        <v>53</v>
      </c>
    </row>
    <row r="5846" spans="1:17" x14ac:dyDescent="0.2">
      <c r="A5846" s="30" t="str">
        <f>IF(C5846&amp;G5846&amp;D5846&lt;&gt;'Funnel setup'!$K$3&amp;'Funnel setup'!$K$4&amp;'Funnel setup'!$K$5,".",IF(A5845=".",1,A5845+1))</f>
        <v>.</v>
      </c>
      <c r="B5846" s="431" t="str">
        <f t="shared" si="91"/>
        <v>Knee Replacement RevisionProviderSHREWSBURY AND TELFORD HOSPITAL NHS TRUST (RXW)EQ VAS</v>
      </c>
      <c r="C5846" t="s">
        <v>250</v>
      </c>
      <c r="D5846" t="s">
        <v>1</v>
      </c>
      <c r="E5846" t="s">
        <v>3478</v>
      </c>
      <c r="F5846" t="s">
        <v>3479</v>
      </c>
      <c r="G5846" t="s">
        <v>179</v>
      </c>
      <c r="H5846" t="s">
        <v>53</v>
      </c>
      <c r="I5846" t="s">
        <v>53</v>
      </c>
      <c r="J5846" t="s">
        <v>53</v>
      </c>
      <c r="K5846" t="s">
        <v>53</v>
      </c>
      <c r="L5846" t="s">
        <v>53</v>
      </c>
      <c r="M5846" t="s">
        <v>53</v>
      </c>
      <c r="N5846" t="s">
        <v>53</v>
      </c>
      <c r="O5846" t="s">
        <v>53</v>
      </c>
      <c r="P5846" t="s">
        <v>53</v>
      </c>
      <c r="Q5846" t="s">
        <v>53</v>
      </c>
    </row>
    <row r="5847" spans="1:17" x14ac:dyDescent="0.2">
      <c r="A5847" s="30" t="str">
        <f>IF(C5847&amp;G5847&amp;D5847&lt;&gt;'Funnel setup'!$K$3&amp;'Funnel setup'!$K$4&amp;'Funnel setup'!$K$5,".",IF(A5846=".",1,A5846+1))</f>
        <v>.</v>
      </c>
      <c r="B5847" s="431" t="str">
        <f t="shared" si="91"/>
        <v>Knee Replacement RevisionProviderSOUTH TEES HOSPITALS NHS FOUNDATION TRUST (RTR)EQ VAS</v>
      </c>
      <c r="C5847" t="s">
        <v>250</v>
      </c>
      <c r="D5847" t="s">
        <v>1</v>
      </c>
      <c r="E5847" t="s">
        <v>3482</v>
      </c>
      <c r="F5847" t="s">
        <v>3483</v>
      </c>
      <c r="G5847" t="s">
        <v>179</v>
      </c>
      <c r="H5847">
        <v>14</v>
      </c>
      <c r="I5847">
        <v>64.856999999999999</v>
      </c>
      <c r="J5847">
        <v>67.143000000000001</v>
      </c>
      <c r="K5847">
        <v>2.286</v>
      </c>
      <c r="L5847">
        <v>5</v>
      </c>
      <c r="M5847">
        <v>5</v>
      </c>
      <c r="N5847">
        <v>4</v>
      </c>
      <c r="O5847" t="s">
        <v>53</v>
      </c>
      <c r="P5847" t="s">
        <v>53</v>
      </c>
      <c r="Q5847" t="s">
        <v>53</v>
      </c>
    </row>
    <row r="5848" spans="1:17" x14ac:dyDescent="0.2">
      <c r="A5848" s="30" t="str">
        <f>IF(C5848&amp;G5848&amp;D5848&lt;&gt;'Funnel setup'!$K$3&amp;'Funnel setup'!$K$4&amp;'Funnel setup'!$K$5,".",IF(A5847=".",1,A5847+1))</f>
        <v>.</v>
      </c>
      <c r="B5848" s="431" t="str">
        <f t="shared" si="91"/>
        <v>Knee Replacement RevisionProviderSOUTH TYNESIDE NHS FOUNDATION TRUST (RE9)EQ VAS</v>
      </c>
      <c r="C5848" t="s">
        <v>250</v>
      </c>
      <c r="D5848" t="s">
        <v>1</v>
      </c>
      <c r="E5848" t="s">
        <v>3485</v>
      </c>
      <c r="F5848" t="s">
        <v>3486</v>
      </c>
      <c r="G5848" t="s">
        <v>179</v>
      </c>
      <c r="H5848" t="s">
        <v>53</v>
      </c>
      <c r="I5848" t="s">
        <v>53</v>
      </c>
      <c r="J5848" t="s">
        <v>53</v>
      </c>
      <c r="K5848" t="s">
        <v>53</v>
      </c>
      <c r="L5848" t="s">
        <v>53</v>
      </c>
      <c r="M5848" t="s">
        <v>53</v>
      </c>
      <c r="N5848" t="s">
        <v>53</v>
      </c>
      <c r="O5848" t="s">
        <v>53</v>
      </c>
      <c r="P5848" t="s">
        <v>53</v>
      </c>
      <c r="Q5848" t="s">
        <v>53</v>
      </c>
    </row>
    <row r="5849" spans="1:17" x14ac:dyDescent="0.2">
      <c r="A5849" s="30" t="str">
        <f>IF(C5849&amp;G5849&amp;D5849&lt;&gt;'Funnel setup'!$K$3&amp;'Funnel setup'!$K$4&amp;'Funnel setup'!$K$5,".",IF(A5848=".",1,A5848+1))</f>
        <v>.</v>
      </c>
      <c r="B5849" s="431" t="str">
        <f t="shared" si="91"/>
        <v>Knee Replacement RevisionProviderSOUTH WARWICKSHIRE NHS FOUNDATION TRUST (RJC)EQ VAS</v>
      </c>
      <c r="C5849" t="s">
        <v>250</v>
      </c>
      <c r="D5849" t="s">
        <v>1</v>
      </c>
      <c r="E5849" t="s">
        <v>3421</v>
      </c>
      <c r="F5849" t="s">
        <v>3422</v>
      </c>
      <c r="G5849" t="s">
        <v>179</v>
      </c>
      <c r="H5849">
        <v>9</v>
      </c>
      <c r="I5849">
        <v>63.444000000000003</v>
      </c>
      <c r="J5849">
        <v>63.777999999999999</v>
      </c>
      <c r="K5849">
        <v>0.33300000000000002</v>
      </c>
      <c r="L5849">
        <v>3</v>
      </c>
      <c r="M5849">
        <v>0</v>
      </c>
      <c r="N5849">
        <v>6</v>
      </c>
      <c r="O5849" t="s">
        <v>53</v>
      </c>
      <c r="P5849" t="s">
        <v>53</v>
      </c>
      <c r="Q5849" t="s">
        <v>53</v>
      </c>
    </row>
    <row r="5850" spans="1:17" x14ac:dyDescent="0.2">
      <c r="A5850" s="30" t="str">
        <f>IF(C5850&amp;G5850&amp;D5850&lt;&gt;'Funnel setup'!$K$3&amp;'Funnel setup'!$K$4&amp;'Funnel setup'!$K$5,".",IF(A5849=".",1,A5849+1))</f>
        <v>.</v>
      </c>
      <c r="B5850" s="431" t="str">
        <f t="shared" si="91"/>
        <v>Knee Replacement RevisionProviderSOUTHAMPTON NHS TREATMENT CENTRE (NTP11)EQ VAS</v>
      </c>
      <c r="C5850" t="s">
        <v>250</v>
      </c>
      <c r="D5850" t="s">
        <v>1</v>
      </c>
      <c r="E5850" t="s">
        <v>3424</v>
      </c>
      <c r="F5850" t="s">
        <v>3425</v>
      </c>
      <c r="G5850" t="s">
        <v>179</v>
      </c>
      <c r="H5850" t="s">
        <v>53</v>
      </c>
      <c r="I5850" t="s">
        <v>53</v>
      </c>
      <c r="J5850" t="s">
        <v>53</v>
      </c>
      <c r="K5850" t="s">
        <v>53</v>
      </c>
      <c r="L5850" t="s">
        <v>53</v>
      </c>
      <c r="M5850" t="s">
        <v>53</v>
      </c>
      <c r="N5850" t="s">
        <v>53</v>
      </c>
      <c r="O5850" t="s">
        <v>53</v>
      </c>
      <c r="P5850" t="s">
        <v>53</v>
      </c>
      <c r="Q5850" t="s">
        <v>53</v>
      </c>
    </row>
    <row r="5851" spans="1:17" x14ac:dyDescent="0.2">
      <c r="A5851" s="30" t="str">
        <f>IF(C5851&amp;G5851&amp;D5851&lt;&gt;'Funnel setup'!$K$3&amp;'Funnel setup'!$K$4&amp;'Funnel setup'!$K$5,".",IF(A5850=".",1,A5850+1))</f>
        <v>.</v>
      </c>
      <c r="B5851" s="431" t="str">
        <f t="shared" si="91"/>
        <v>Knee Replacement RevisionProviderSOUTHEND UNIVERSITY HOSPITAL NHS FOUNDATION TRUST (RAJ)EQ VAS</v>
      </c>
      <c r="C5851" t="s">
        <v>250</v>
      </c>
      <c r="D5851" t="s">
        <v>1</v>
      </c>
      <c r="E5851" t="s">
        <v>3427</v>
      </c>
      <c r="F5851" t="s">
        <v>3428</v>
      </c>
      <c r="G5851" t="s">
        <v>179</v>
      </c>
      <c r="H5851" t="s">
        <v>53</v>
      </c>
      <c r="I5851" t="s">
        <v>53</v>
      </c>
      <c r="J5851" t="s">
        <v>53</v>
      </c>
      <c r="K5851" t="s">
        <v>53</v>
      </c>
      <c r="L5851" t="s">
        <v>53</v>
      </c>
      <c r="M5851" t="s">
        <v>53</v>
      </c>
      <c r="N5851" t="s">
        <v>53</v>
      </c>
      <c r="O5851" t="s">
        <v>53</v>
      </c>
      <c r="P5851" t="s">
        <v>53</v>
      </c>
      <c r="Q5851" t="s">
        <v>53</v>
      </c>
    </row>
    <row r="5852" spans="1:17" x14ac:dyDescent="0.2">
      <c r="A5852" s="30" t="str">
        <f>IF(C5852&amp;G5852&amp;D5852&lt;&gt;'Funnel setup'!$K$3&amp;'Funnel setup'!$K$4&amp;'Funnel setup'!$K$5,".",IF(A5851=".",1,A5851+1))</f>
        <v>.</v>
      </c>
      <c r="B5852" s="431" t="str">
        <f t="shared" si="91"/>
        <v>Knee Replacement RevisionProviderSOUTHPORT AND ORMSKIRK HOSPITAL NHS TRUST (RVY)EQ VAS</v>
      </c>
      <c r="C5852" t="s">
        <v>250</v>
      </c>
      <c r="D5852" t="s">
        <v>1</v>
      </c>
      <c r="E5852" t="s">
        <v>3430</v>
      </c>
      <c r="F5852" t="s">
        <v>3431</v>
      </c>
      <c r="G5852" t="s">
        <v>179</v>
      </c>
      <c r="H5852" t="s">
        <v>53</v>
      </c>
      <c r="I5852" t="s">
        <v>53</v>
      </c>
      <c r="J5852" t="s">
        <v>53</v>
      </c>
      <c r="K5852" t="s">
        <v>53</v>
      </c>
      <c r="L5852" t="s">
        <v>53</v>
      </c>
      <c r="M5852" t="s">
        <v>53</v>
      </c>
      <c r="N5852" t="s">
        <v>53</v>
      </c>
      <c r="O5852" t="s">
        <v>53</v>
      </c>
      <c r="P5852" t="s">
        <v>53</v>
      </c>
      <c r="Q5852" t="s">
        <v>53</v>
      </c>
    </row>
    <row r="5853" spans="1:17" x14ac:dyDescent="0.2">
      <c r="A5853" s="30" t="str">
        <f>IF(C5853&amp;G5853&amp;D5853&lt;&gt;'Funnel setup'!$K$3&amp;'Funnel setup'!$K$4&amp;'Funnel setup'!$K$5,".",IF(A5852=".",1,A5852+1))</f>
        <v>.</v>
      </c>
      <c r="B5853" s="431" t="str">
        <f t="shared" si="91"/>
        <v>Knee Replacement RevisionProviderSPIRE ALEXANDRA HOSPITAL (NT312)EQ VAS</v>
      </c>
      <c r="C5853" t="s">
        <v>250</v>
      </c>
      <c r="D5853" t="s">
        <v>1</v>
      </c>
      <c r="E5853" t="s">
        <v>3433</v>
      </c>
      <c r="F5853" t="s">
        <v>3434</v>
      </c>
      <c r="G5853" t="s">
        <v>179</v>
      </c>
      <c r="H5853" t="s">
        <v>53</v>
      </c>
      <c r="I5853" t="s">
        <v>53</v>
      </c>
      <c r="J5853" t="s">
        <v>53</v>
      </c>
      <c r="K5853" t="s">
        <v>53</v>
      </c>
      <c r="L5853" t="s">
        <v>53</v>
      </c>
      <c r="M5853" t="s">
        <v>53</v>
      </c>
      <c r="N5853" t="s">
        <v>53</v>
      </c>
      <c r="O5853" t="s">
        <v>53</v>
      </c>
      <c r="P5853" t="s">
        <v>53</v>
      </c>
      <c r="Q5853" t="s">
        <v>53</v>
      </c>
    </row>
    <row r="5854" spans="1:17" x14ac:dyDescent="0.2">
      <c r="A5854" s="30" t="str">
        <f>IF(C5854&amp;G5854&amp;D5854&lt;&gt;'Funnel setup'!$K$3&amp;'Funnel setup'!$K$4&amp;'Funnel setup'!$K$5,".",IF(A5853=".",1,A5853+1))</f>
        <v>.</v>
      </c>
      <c r="B5854" s="431" t="str">
        <f t="shared" si="91"/>
        <v>Knee Replacement RevisionProviderSPIRE ELLAND HOSPITAL (NT348)EQ VAS</v>
      </c>
      <c r="C5854" t="s">
        <v>250</v>
      </c>
      <c r="D5854" t="s">
        <v>1</v>
      </c>
      <c r="E5854" t="s">
        <v>3418</v>
      </c>
      <c r="F5854" t="s">
        <v>3419</v>
      </c>
      <c r="G5854" t="s">
        <v>179</v>
      </c>
      <c r="H5854" t="s">
        <v>53</v>
      </c>
      <c r="I5854" t="s">
        <v>53</v>
      </c>
      <c r="J5854" t="s">
        <v>53</v>
      </c>
      <c r="K5854" t="s">
        <v>53</v>
      </c>
      <c r="L5854" t="s">
        <v>53</v>
      </c>
      <c r="M5854" t="s">
        <v>53</v>
      </c>
      <c r="N5854" t="s">
        <v>53</v>
      </c>
      <c r="O5854" t="s">
        <v>53</v>
      </c>
      <c r="P5854" t="s">
        <v>53</v>
      </c>
      <c r="Q5854" t="s">
        <v>53</v>
      </c>
    </row>
    <row r="5855" spans="1:17" x14ac:dyDescent="0.2">
      <c r="A5855" s="30" t="str">
        <f>IF(C5855&amp;G5855&amp;D5855&lt;&gt;'Funnel setup'!$K$3&amp;'Funnel setup'!$K$4&amp;'Funnel setup'!$K$5,".",IF(A5854=".",1,A5854+1))</f>
        <v>.</v>
      </c>
      <c r="B5855" s="431" t="str">
        <f t="shared" si="91"/>
        <v>Knee Replacement RevisionProviderSPIRE FYLDE COAST HOSPITAL (NT347)EQ VAS</v>
      </c>
      <c r="C5855" t="s">
        <v>250</v>
      </c>
      <c r="D5855" t="s">
        <v>1</v>
      </c>
      <c r="E5855" t="s">
        <v>4370</v>
      </c>
      <c r="F5855" t="s">
        <v>4371</v>
      </c>
      <c r="G5855" t="s">
        <v>179</v>
      </c>
      <c r="H5855" t="s">
        <v>53</v>
      </c>
      <c r="I5855" t="s">
        <v>53</v>
      </c>
      <c r="J5855" t="s">
        <v>53</v>
      </c>
      <c r="K5855" t="s">
        <v>53</v>
      </c>
      <c r="L5855" t="s">
        <v>53</v>
      </c>
      <c r="M5855" t="s">
        <v>53</v>
      </c>
      <c r="N5855" t="s">
        <v>53</v>
      </c>
      <c r="O5855" t="s">
        <v>53</v>
      </c>
      <c r="P5855" t="s">
        <v>53</v>
      </c>
      <c r="Q5855" t="s">
        <v>53</v>
      </c>
    </row>
    <row r="5856" spans="1:17" x14ac:dyDescent="0.2">
      <c r="A5856" s="30" t="str">
        <f>IF(C5856&amp;G5856&amp;D5856&lt;&gt;'Funnel setup'!$K$3&amp;'Funnel setup'!$K$4&amp;'Funnel setup'!$K$5,".",IF(A5855=".",1,A5855+1))</f>
        <v>.</v>
      </c>
      <c r="B5856" s="431" t="str">
        <f t="shared" si="91"/>
        <v>Knee Replacement RevisionProviderSPIRE HARPENDEN HOSPITAL (NT316)EQ VAS</v>
      </c>
      <c r="C5856" t="s">
        <v>250</v>
      </c>
      <c r="D5856" t="s">
        <v>1</v>
      </c>
      <c r="E5856" t="s">
        <v>4267</v>
      </c>
      <c r="F5856" t="s">
        <v>4268</v>
      </c>
      <c r="G5856" t="s">
        <v>179</v>
      </c>
      <c r="H5856" t="s">
        <v>53</v>
      </c>
      <c r="I5856" t="s">
        <v>53</v>
      </c>
      <c r="J5856" t="s">
        <v>53</v>
      </c>
      <c r="K5856" t="s">
        <v>53</v>
      </c>
      <c r="L5856" t="s">
        <v>53</v>
      </c>
      <c r="M5856" t="s">
        <v>53</v>
      </c>
      <c r="N5856" t="s">
        <v>53</v>
      </c>
      <c r="O5856" t="s">
        <v>53</v>
      </c>
      <c r="P5856" t="s">
        <v>53</v>
      </c>
      <c r="Q5856" t="s">
        <v>53</v>
      </c>
    </row>
    <row r="5857" spans="1:17" x14ac:dyDescent="0.2">
      <c r="A5857" s="30" t="str">
        <f>IF(C5857&amp;G5857&amp;D5857&lt;&gt;'Funnel setup'!$K$3&amp;'Funnel setup'!$K$4&amp;'Funnel setup'!$K$5,".",IF(A5856=".",1,A5856+1))</f>
        <v>.</v>
      </c>
      <c r="B5857" s="431" t="str">
        <f t="shared" si="91"/>
        <v>Knee Replacement RevisionProviderSPIRE HULL AND EAST RIDING HOSPITAL (NT351)EQ VAS</v>
      </c>
      <c r="C5857" t="s">
        <v>250</v>
      </c>
      <c r="D5857" t="s">
        <v>1</v>
      </c>
      <c r="E5857" t="s">
        <v>3213</v>
      </c>
      <c r="F5857" t="s">
        <v>3214</v>
      </c>
      <c r="G5857" t="s">
        <v>179</v>
      </c>
      <c r="H5857" t="s">
        <v>53</v>
      </c>
      <c r="I5857" t="s">
        <v>53</v>
      </c>
      <c r="J5857" t="s">
        <v>53</v>
      </c>
      <c r="K5857" t="s">
        <v>53</v>
      </c>
      <c r="L5857" t="s">
        <v>53</v>
      </c>
      <c r="M5857" t="s">
        <v>53</v>
      </c>
      <c r="N5857" t="s">
        <v>53</v>
      </c>
      <c r="O5857" t="s">
        <v>53</v>
      </c>
      <c r="P5857" t="s">
        <v>53</v>
      </c>
      <c r="Q5857" t="s">
        <v>53</v>
      </c>
    </row>
    <row r="5858" spans="1:17" x14ac:dyDescent="0.2">
      <c r="A5858" s="30" t="str">
        <f>IF(C5858&amp;G5858&amp;D5858&lt;&gt;'Funnel setup'!$K$3&amp;'Funnel setup'!$K$4&amp;'Funnel setup'!$K$5,".",IF(A5857=".",1,A5857+1))</f>
        <v>.</v>
      </c>
      <c r="B5858" s="431" t="str">
        <f t="shared" si="91"/>
        <v>Knee Replacement RevisionProviderSPIRE LEEDS HOSPITAL (NT332)EQ VAS</v>
      </c>
      <c r="C5858" t="s">
        <v>250</v>
      </c>
      <c r="D5858" t="s">
        <v>1</v>
      </c>
      <c r="E5858" t="s">
        <v>3198</v>
      </c>
      <c r="F5858" t="s">
        <v>3199</v>
      </c>
      <c r="G5858" t="s">
        <v>179</v>
      </c>
      <c r="H5858" t="s">
        <v>53</v>
      </c>
      <c r="I5858" t="s">
        <v>53</v>
      </c>
      <c r="J5858" t="s">
        <v>53</v>
      </c>
      <c r="K5858" t="s">
        <v>53</v>
      </c>
      <c r="L5858" t="s">
        <v>53</v>
      </c>
      <c r="M5858" t="s">
        <v>53</v>
      </c>
      <c r="N5858" t="s">
        <v>53</v>
      </c>
      <c r="O5858" t="s">
        <v>53</v>
      </c>
      <c r="P5858" t="s">
        <v>53</v>
      </c>
      <c r="Q5858" t="s">
        <v>53</v>
      </c>
    </row>
    <row r="5859" spans="1:17" x14ac:dyDescent="0.2">
      <c r="A5859" s="30" t="str">
        <f>IF(C5859&amp;G5859&amp;D5859&lt;&gt;'Funnel setup'!$K$3&amp;'Funnel setup'!$K$4&amp;'Funnel setup'!$K$5,".",IF(A5858=".",1,A5858+1))</f>
        <v>.</v>
      </c>
      <c r="B5859" s="431" t="str">
        <f t="shared" si="91"/>
        <v>Knee Replacement RevisionProviderSPIRE MONTEFIORE HOSPITAL (NT364)EQ VAS</v>
      </c>
      <c r="C5859" t="s">
        <v>250</v>
      </c>
      <c r="D5859" t="s">
        <v>1</v>
      </c>
      <c r="E5859" t="s">
        <v>3160</v>
      </c>
      <c r="F5859" t="s">
        <v>3161</v>
      </c>
      <c r="G5859" t="s">
        <v>179</v>
      </c>
      <c r="H5859" t="s">
        <v>53</v>
      </c>
      <c r="I5859" t="s">
        <v>53</v>
      </c>
      <c r="J5859" t="s">
        <v>53</v>
      </c>
      <c r="K5859" t="s">
        <v>53</v>
      </c>
      <c r="L5859" t="s">
        <v>53</v>
      </c>
      <c r="M5859" t="s">
        <v>53</v>
      </c>
      <c r="N5859" t="s">
        <v>53</v>
      </c>
      <c r="O5859" t="s">
        <v>53</v>
      </c>
      <c r="P5859" t="s">
        <v>53</v>
      </c>
      <c r="Q5859" t="s">
        <v>53</v>
      </c>
    </row>
    <row r="5860" spans="1:17" x14ac:dyDescent="0.2">
      <c r="A5860" s="30" t="str">
        <f>IF(C5860&amp;G5860&amp;D5860&lt;&gt;'Funnel setup'!$K$3&amp;'Funnel setup'!$K$4&amp;'Funnel setup'!$K$5,".",IF(A5859=".",1,A5859+1))</f>
        <v>.</v>
      </c>
      <c r="B5860" s="431" t="str">
        <f t="shared" si="91"/>
        <v>Knee Replacement RevisionProviderSPIRE NORWICH HOSPITAL (NT318)EQ VAS</v>
      </c>
      <c r="C5860" t="s">
        <v>250</v>
      </c>
      <c r="D5860" t="s">
        <v>1</v>
      </c>
      <c r="E5860" t="s">
        <v>4251</v>
      </c>
      <c r="F5860" t="s">
        <v>4252</v>
      </c>
      <c r="G5860" t="s">
        <v>179</v>
      </c>
      <c r="H5860" t="s">
        <v>53</v>
      </c>
      <c r="I5860" t="s">
        <v>53</v>
      </c>
      <c r="J5860" t="s">
        <v>53</v>
      </c>
      <c r="K5860" t="s">
        <v>53</v>
      </c>
      <c r="L5860" t="s">
        <v>53</v>
      </c>
      <c r="M5860" t="s">
        <v>53</v>
      </c>
      <c r="N5860" t="s">
        <v>53</v>
      </c>
      <c r="O5860" t="s">
        <v>53</v>
      </c>
      <c r="P5860" t="s">
        <v>53</v>
      </c>
      <c r="Q5860" t="s">
        <v>53</v>
      </c>
    </row>
    <row r="5861" spans="1:17" x14ac:dyDescent="0.2">
      <c r="A5861" s="30" t="str">
        <f>IF(C5861&amp;G5861&amp;D5861&lt;&gt;'Funnel setup'!$K$3&amp;'Funnel setup'!$K$4&amp;'Funnel setup'!$K$5,".",IF(A5860=".",1,A5860+1))</f>
        <v>.</v>
      </c>
      <c r="B5861" s="431" t="str">
        <f t="shared" si="91"/>
        <v>Knee Replacement RevisionProviderSPIRE SOUTH BANK HOSPITAL (NT301)EQ VAS</v>
      </c>
      <c r="C5861" t="s">
        <v>250</v>
      </c>
      <c r="D5861" t="s">
        <v>1</v>
      </c>
      <c r="E5861" t="s">
        <v>3174</v>
      </c>
      <c r="F5861" t="s">
        <v>3175</v>
      </c>
      <c r="G5861" t="s">
        <v>179</v>
      </c>
      <c r="H5861" t="s">
        <v>53</v>
      </c>
      <c r="I5861" t="s">
        <v>53</v>
      </c>
      <c r="J5861" t="s">
        <v>53</v>
      </c>
      <c r="K5861" t="s">
        <v>53</v>
      </c>
      <c r="L5861" t="s">
        <v>53</v>
      </c>
      <c r="M5861" t="s">
        <v>53</v>
      </c>
      <c r="N5861" t="s">
        <v>53</v>
      </c>
      <c r="O5861" t="s">
        <v>53</v>
      </c>
      <c r="P5861" t="s">
        <v>53</v>
      </c>
      <c r="Q5861" t="s">
        <v>53</v>
      </c>
    </row>
    <row r="5862" spans="1:17" x14ac:dyDescent="0.2">
      <c r="A5862" s="30" t="str">
        <f>IF(C5862&amp;G5862&amp;D5862&lt;&gt;'Funnel setup'!$K$3&amp;'Funnel setup'!$K$4&amp;'Funnel setup'!$K$5,".",IF(A5861=".",1,A5861+1))</f>
        <v>.</v>
      </c>
      <c r="B5862" s="431" t="str">
        <f t="shared" si="91"/>
        <v>Knee Replacement RevisionProviderSPIRE SUSSEX HOSPITAL (NT309)EQ VAS</v>
      </c>
      <c r="C5862" t="s">
        <v>250</v>
      </c>
      <c r="D5862" t="s">
        <v>1</v>
      </c>
      <c r="E5862" t="s">
        <v>3180</v>
      </c>
      <c r="F5862" t="s">
        <v>3181</v>
      </c>
      <c r="G5862" t="s">
        <v>179</v>
      </c>
      <c r="H5862" t="s">
        <v>53</v>
      </c>
      <c r="I5862" t="s">
        <v>53</v>
      </c>
      <c r="J5862" t="s">
        <v>53</v>
      </c>
      <c r="K5862" t="s">
        <v>53</v>
      </c>
      <c r="L5862" t="s">
        <v>53</v>
      </c>
      <c r="M5862" t="s">
        <v>53</v>
      </c>
      <c r="N5862" t="s">
        <v>53</v>
      </c>
      <c r="O5862" t="s">
        <v>53</v>
      </c>
      <c r="P5862" t="s">
        <v>53</v>
      </c>
      <c r="Q5862" t="s">
        <v>53</v>
      </c>
    </row>
    <row r="5863" spans="1:17" x14ac:dyDescent="0.2">
      <c r="A5863" s="30" t="str">
        <f>IF(C5863&amp;G5863&amp;D5863&lt;&gt;'Funnel setup'!$K$3&amp;'Funnel setup'!$K$4&amp;'Funnel setup'!$K$5,".",IF(A5862=".",1,A5862+1))</f>
        <v>.</v>
      </c>
      <c r="B5863" s="431" t="str">
        <f t="shared" si="91"/>
        <v>Knee Replacement RevisionProviderSPIRE WELLESLEY HOSPITAL (NT313)EQ VAS</v>
      </c>
      <c r="C5863" t="s">
        <v>250</v>
      </c>
      <c r="D5863" t="s">
        <v>1</v>
      </c>
      <c r="E5863" t="s">
        <v>3192</v>
      </c>
      <c r="F5863" t="s">
        <v>3193</v>
      </c>
      <c r="G5863" t="s">
        <v>179</v>
      </c>
      <c r="H5863" t="s">
        <v>53</v>
      </c>
      <c r="I5863" t="s">
        <v>53</v>
      </c>
      <c r="J5863" t="s">
        <v>53</v>
      </c>
      <c r="K5863" t="s">
        <v>53</v>
      </c>
      <c r="L5863" t="s">
        <v>53</v>
      </c>
      <c r="M5863" t="s">
        <v>53</v>
      </c>
      <c r="N5863" t="s">
        <v>53</v>
      </c>
      <c r="O5863" t="s">
        <v>53</v>
      </c>
      <c r="P5863" t="s">
        <v>53</v>
      </c>
      <c r="Q5863" t="s">
        <v>53</v>
      </c>
    </row>
    <row r="5864" spans="1:17" x14ac:dyDescent="0.2">
      <c r="A5864" s="30" t="str">
        <f>IF(C5864&amp;G5864&amp;D5864&lt;&gt;'Funnel setup'!$K$3&amp;'Funnel setup'!$K$4&amp;'Funnel setup'!$K$5,".",IF(A5863=".",1,A5863+1))</f>
        <v>.</v>
      </c>
      <c r="B5864" s="431" t="str">
        <f t="shared" si="91"/>
        <v>Knee Replacement RevisionProviderST GEORGE'S UNIVERSITY HOSPITALS NHS FOUNDATION TRUST (RJ7)EQ VAS</v>
      </c>
      <c r="C5864" t="s">
        <v>250</v>
      </c>
      <c r="D5864" t="s">
        <v>1</v>
      </c>
      <c r="E5864" t="s">
        <v>3124</v>
      </c>
      <c r="F5864" t="s">
        <v>3125</v>
      </c>
      <c r="G5864" t="s">
        <v>179</v>
      </c>
      <c r="H5864" t="s">
        <v>53</v>
      </c>
      <c r="I5864" t="s">
        <v>53</v>
      </c>
      <c r="J5864" t="s">
        <v>53</v>
      </c>
      <c r="K5864" t="s">
        <v>53</v>
      </c>
      <c r="L5864" t="s">
        <v>53</v>
      </c>
      <c r="M5864" t="s">
        <v>53</v>
      </c>
      <c r="N5864" t="s">
        <v>53</v>
      </c>
      <c r="O5864" t="s">
        <v>53</v>
      </c>
      <c r="P5864" t="s">
        <v>53</v>
      </c>
      <c r="Q5864" t="s">
        <v>53</v>
      </c>
    </row>
    <row r="5865" spans="1:17" x14ac:dyDescent="0.2">
      <c r="A5865" s="30" t="str">
        <f>IF(C5865&amp;G5865&amp;D5865&lt;&gt;'Funnel setup'!$K$3&amp;'Funnel setup'!$K$4&amp;'Funnel setup'!$K$5,".",IF(A5864=".",1,A5864+1))</f>
        <v>.</v>
      </c>
      <c r="B5865" s="431" t="str">
        <f t="shared" si="91"/>
        <v>Knee Replacement RevisionProviderST HELENS AND KNOWSLEY HOSPITALS NHS TRUST (RBN)EQ VAS</v>
      </c>
      <c r="C5865" t="s">
        <v>250</v>
      </c>
      <c r="D5865" t="s">
        <v>1</v>
      </c>
      <c r="E5865" t="s">
        <v>3127</v>
      </c>
      <c r="F5865" t="s">
        <v>3128</v>
      </c>
      <c r="G5865" t="s">
        <v>179</v>
      </c>
      <c r="H5865">
        <v>9</v>
      </c>
      <c r="I5865">
        <v>62.667000000000002</v>
      </c>
      <c r="J5865">
        <v>65.111000000000004</v>
      </c>
      <c r="K5865">
        <v>2.444</v>
      </c>
      <c r="L5865">
        <v>3</v>
      </c>
      <c r="M5865">
        <v>2</v>
      </c>
      <c r="N5865">
        <v>4</v>
      </c>
      <c r="O5865" t="s">
        <v>53</v>
      </c>
      <c r="P5865" t="s">
        <v>53</v>
      </c>
      <c r="Q5865" t="s">
        <v>53</v>
      </c>
    </row>
    <row r="5866" spans="1:17" x14ac:dyDescent="0.2">
      <c r="A5866" s="30" t="str">
        <f>IF(C5866&amp;G5866&amp;D5866&lt;&gt;'Funnel setup'!$K$3&amp;'Funnel setup'!$K$4&amp;'Funnel setup'!$K$5,".",IF(A5865=".",1,A5865+1))</f>
        <v>.</v>
      </c>
      <c r="B5866" s="431" t="str">
        <f t="shared" si="91"/>
        <v>Knee Replacement RevisionProviderST HUGH'S HOSPITAL (NTE02)EQ VAS</v>
      </c>
      <c r="C5866" t="s">
        <v>250</v>
      </c>
      <c r="D5866" t="s">
        <v>1</v>
      </c>
      <c r="E5866" t="s">
        <v>3130</v>
      </c>
      <c r="F5866" t="s">
        <v>3131</v>
      </c>
      <c r="G5866" t="s">
        <v>179</v>
      </c>
      <c r="H5866" t="s">
        <v>53</v>
      </c>
      <c r="I5866" t="s">
        <v>53</v>
      </c>
      <c r="J5866" t="s">
        <v>53</v>
      </c>
      <c r="K5866" t="s">
        <v>53</v>
      </c>
      <c r="L5866" t="s">
        <v>53</v>
      </c>
      <c r="M5866" t="s">
        <v>53</v>
      </c>
      <c r="N5866" t="s">
        <v>53</v>
      </c>
      <c r="O5866" t="s">
        <v>53</v>
      </c>
      <c r="P5866" t="s">
        <v>53</v>
      </c>
      <c r="Q5866" t="s">
        <v>53</v>
      </c>
    </row>
    <row r="5867" spans="1:17" x14ac:dyDescent="0.2">
      <c r="A5867" s="30" t="str">
        <f>IF(C5867&amp;G5867&amp;D5867&lt;&gt;'Funnel setup'!$K$3&amp;'Funnel setup'!$K$4&amp;'Funnel setup'!$K$5,".",IF(A5866=".",1,A5866+1))</f>
        <v>.</v>
      </c>
      <c r="B5867" s="431" t="str">
        <f t="shared" si="91"/>
        <v>Knee Replacement RevisionProviderSTOCKPORT NHS FOUNDATION TRUST (RWJ)EQ VAS</v>
      </c>
      <c r="C5867" t="s">
        <v>250</v>
      </c>
      <c r="D5867" t="s">
        <v>1</v>
      </c>
      <c r="E5867" t="s">
        <v>3142</v>
      </c>
      <c r="F5867" t="s">
        <v>3143</v>
      </c>
      <c r="G5867" t="s">
        <v>179</v>
      </c>
      <c r="H5867">
        <v>10</v>
      </c>
      <c r="I5867">
        <v>59.9</v>
      </c>
      <c r="J5867">
        <v>71</v>
      </c>
      <c r="K5867">
        <v>11.1</v>
      </c>
      <c r="L5867">
        <v>5</v>
      </c>
      <c r="M5867">
        <v>3</v>
      </c>
      <c r="N5867">
        <v>2</v>
      </c>
      <c r="O5867" t="s">
        <v>53</v>
      </c>
      <c r="P5867" t="s">
        <v>53</v>
      </c>
      <c r="Q5867" t="s">
        <v>53</v>
      </c>
    </row>
    <row r="5868" spans="1:17" x14ac:dyDescent="0.2">
      <c r="A5868" s="30" t="str">
        <f>IF(C5868&amp;G5868&amp;D5868&lt;&gt;'Funnel setup'!$K$3&amp;'Funnel setup'!$K$4&amp;'Funnel setup'!$K$5,".",IF(A5867=".",1,A5867+1))</f>
        <v>.</v>
      </c>
      <c r="B5868" s="431" t="str">
        <f t="shared" si="91"/>
        <v>Knee Replacement RevisionProviderSURREY AND SUSSEX HEALTHCARE NHS TRUST (RTP)EQ VAS</v>
      </c>
      <c r="C5868" t="s">
        <v>250</v>
      </c>
      <c r="D5868" t="s">
        <v>1</v>
      </c>
      <c r="E5868" t="s">
        <v>3145</v>
      </c>
      <c r="F5868" t="s">
        <v>3146</v>
      </c>
      <c r="G5868" t="s">
        <v>179</v>
      </c>
      <c r="H5868" t="s">
        <v>53</v>
      </c>
      <c r="I5868" t="s">
        <v>53</v>
      </c>
      <c r="J5868" t="s">
        <v>53</v>
      </c>
      <c r="K5868" t="s">
        <v>53</v>
      </c>
      <c r="L5868" t="s">
        <v>53</v>
      </c>
      <c r="M5868" t="s">
        <v>53</v>
      </c>
      <c r="N5868" t="s">
        <v>53</v>
      </c>
      <c r="O5868" t="s">
        <v>53</v>
      </c>
      <c r="P5868" t="s">
        <v>53</v>
      </c>
      <c r="Q5868" t="s">
        <v>53</v>
      </c>
    </row>
    <row r="5869" spans="1:17" x14ac:dyDescent="0.2">
      <c r="A5869" s="30" t="str">
        <f>IF(C5869&amp;G5869&amp;D5869&lt;&gt;'Funnel setup'!$K$3&amp;'Funnel setup'!$K$4&amp;'Funnel setup'!$K$5,".",IF(A5868=".",1,A5868+1))</f>
        <v>.</v>
      </c>
      <c r="B5869" s="431" t="str">
        <f t="shared" si="91"/>
        <v>Knee Replacement RevisionProviderTAMESIDE HOSPITAL NHS FOUNDATION TRUST (RMP)EQ VAS</v>
      </c>
      <c r="C5869" t="s">
        <v>250</v>
      </c>
      <c r="D5869" t="s">
        <v>1</v>
      </c>
      <c r="E5869" t="s">
        <v>3148</v>
      </c>
      <c r="F5869" t="s">
        <v>3149</v>
      </c>
      <c r="G5869" t="s">
        <v>179</v>
      </c>
      <c r="H5869" t="s">
        <v>53</v>
      </c>
      <c r="I5869" t="s">
        <v>53</v>
      </c>
      <c r="J5869" t="s">
        <v>53</v>
      </c>
      <c r="K5869" t="s">
        <v>53</v>
      </c>
      <c r="L5869" t="s">
        <v>53</v>
      </c>
      <c r="M5869" t="s">
        <v>53</v>
      </c>
      <c r="N5869" t="s">
        <v>53</v>
      </c>
      <c r="O5869" t="s">
        <v>53</v>
      </c>
      <c r="P5869" t="s">
        <v>53</v>
      </c>
      <c r="Q5869" t="s">
        <v>53</v>
      </c>
    </row>
    <row r="5870" spans="1:17" x14ac:dyDescent="0.2">
      <c r="A5870" s="30" t="str">
        <f>IF(C5870&amp;G5870&amp;D5870&lt;&gt;'Funnel setup'!$K$3&amp;'Funnel setup'!$K$4&amp;'Funnel setup'!$K$5,".",IF(A5869=".",1,A5869+1))</f>
        <v>.</v>
      </c>
      <c r="B5870" s="431" t="str">
        <f t="shared" si="91"/>
        <v>Knee Replacement RevisionProviderTHE DUDLEY GROUP NHS FOUNDATION TRUST (RNA)EQ VAS</v>
      </c>
      <c r="C5870" t="s">
        <v>250</v>
      </c>
      <c r="D5870" t="s">
        <v>1</v>
      </c>
      <c r="E5870" t="s">
        <v>3121</v>
      </c>
      <c r="F5870" t="s">
        <v>3122</v>
      </c>
      <c r="G5870" t="s">
        <v>179</v>
      </c>
      <c r="H5870" t="s">
        <v>53</v>
      </c>
      <c r="I5870" t="s">
        <v>53</v>
      </c>
      <c r="J5870" t="s">
        <v>53</v>
      </c>
      <c r="K5870" t="s">
        <v>53</v>
      </c>
      <c r="L5870" t="s">
        <v>53</v>
      </c>
      <c r="M5870" t="s">
        <v>53</v>
      </c>
      <c r="N5870" t="s">
        <v>53</v>
      </c>
      <c r="O5870" t="s">
        <v>53</v>
      </c>
      <c r="P5870" t="s">
        <v>53</v>
      </c>
      <c r="Q5870" t="s">
        <v>53</v>
      </c>
    </row>
    <row r="5871" spans="1:17" x14ac:dyDescent="0.2">
      <c r="A5871" s="30" t="str">
        <f>IF(C5871&amp;G5871&amp;D5871&lt;&gt;'Funnel setup'!$K$3&amp;'Funnel setup'!$K$4&amp;'Funnel setup'!$K$5,".",IF(A5870=".",1,A5870+1))</f>
        <v>.</v>
      </c>
      <c r="B5871" s="431" t="str">
        <f t="shared" si="91"/>
        <v>Knee Replacement RevisionProviderTHE HILLINGDON HOSPITALS NHS FOUNDATION TRUST (RAS)EQ VAS</v>
      </c>
      <c r="C5871" t="s">
        <v>250</v>
      </c>
      <c r="D5871" t="s">
        <v>1</v>
      </c>
      <c r="E5871" t="s">
        <v>3115</v>
      </c>
      <c r="F5871" t="s">
        <v>3116</v>
      </c>
      <c r="G5871" t="s">
        <v>179</v>
      </c>
      <c r="H5871">
        <v>6</v>
      </c>
      <c r="I5871">
        <v>71.667000000000002</v>
      </c>
      <c r="J5871">
        <v>69</v>
      </c>
      <c r="K5871">
        <v>-2.6669999999999998</v>
      </c>
      <c r="L5871">
        <v>2</v>
      </c>
      <c r="M5871">
        <v>0</v>
      </c>
      <c r="N5871">
        <v>4</v>
      </c>
      <c r="O5871" t="s">
        <v>53</v>
      </c>
      <c r="P5871" t="s">
        <v>53</v>
      </c>
      <c r="Q5871" t="s">
        <v>53</v>
      </c>
    </row>
    <row r="5872" spans="1:17" x14ac:dyDescent="0.2">
      <c r="A5872" s="30" t="str">
        <f>IF(C5872&amp;G5872&amp;D5872&lt;&gt;'Funnel setup'!$K$3&amp;'Funnel setup'!$K$4&amp;'Funnel setup'!$K$5,".",IF(A5871=".",1,A5871+1))</f>
        <v>.</v>
      </c>
      <c r="B5872" s="431" t="str">
        <f t="shared" si="91"/>
        <v>Knee Replacement RevisionProviderTHE HORDER CENTRE - ST JOHNS ROAD (NXM01)EQ VAS</v>
      </c>
      <c r="C5872" t="s">
        <v>250</v>
      </c>
      <c r="D5872" t="s">
        <v>1</v>
      </c>
      <c r="E5872" t="s">
        <v>4222</v>
      </c>
      <c r="F5872" t="s">
        <v>4223</v>
      </c>
      <c r="G5872" t="s">
        <v>179</v>
      </c>
      <c r="H5872">
        <v>20</v>
      </c>
      <c r="I5872">
        <v>78.05</v>
      </c>
      <c r="J5872">
        <v>77.150000000000006</v>
      </c>
      <c r="K5872">
        <v>-0.9</v>
      </c>
      <c r="L5872">
        <v>6</v>
      </c>
      <c r="M5872">
        <v>2</v>
      </c>
      <c r="N5872">
        <v>12</v>
      </c>
      <c r="O5872" t="s">
        <v>53</v>
      </c>
      <c r="P5872" t="s">
        <v>53</v>
      </c>
      <c r="Q5872" t="s">
        <v>53</v>
      </c>
    </row>
    <row r="5873" spans="1:17" x14ac:dyDescent="0.2">
      <c r="A5873" s="30" t="str">
        <f>IF(C5873&amp;G5873&amp;D5873&lt;&gt;'Funnel setup'!$K$3&amp;'Funnel setup'!$K$4&amp;'Funnel setup'!$K$5,".",IF(A5872=".",1,A5872+1))</f>
        <v>.</v>
      </c>
      <c r="B5873" s="431" t="str">
        <f t="shared" si="91"/>
        <v>Knee Replacement RevisionProviderTHE NEWCASTLE UPON TYNE HOSPITALS NHS FOUNDATION TRUST (RTD)EQ VAS</v>
      </c>
      <c r="C5873" t="s">
        <v>250</v>
      </c>
      <c r="D5873" t="s">
        <v>1</v>
      </c>
      <c r="E5873" t="s">
        <v>3748</v>
      </c>
      <c r="F5873" t="s">
        <v>3749</v>
      </c>
      <c r="G5873" t="s">
        <v>179</v>
      </c>
      <c r="H5873">
        <v>17</v>
      </c>
      <c r="I5873">
        <v>63.588000000000001</v>
      </c>
      <c r="J5873">
        <v>65.587999999999994</v>
      </c>
      <c r="K5873">
        <v>2</v>
      </c>
      <c r="L5873">
        <v>9</v>
      </c>
      <c r="M5873">
        <v>2</v>
      </c>
      <c r="N5873">
        <v>6</v>
      </c>
      <c r="O5873" t="s">
        <v>53</v>
      </c>
      <c r="P5873" t="s">
        <v>53</v>
      </c>
      <c r="Q5873" t="s">
        <v>53</v>
      </c>
    </row>
    <row r="5874" spans="1:17" x14ac:dyDescent="0.2">
      <c r="A5874" s="30" t="str">
        <f>IF(C5874&amp;G5874&amp;D5874&lt;&gt;'Funnel setup'!$K$3&amp;'Funnel setup'!$K$4&amp;'Funnel setup'!$K$5,".",IF(A5873=".",1,A5873+1))</f>
        <v>.</v>
      </c>
      <c r="B5874" s="431" t="str">
        <f t="shared" si="91"/>
        <v>Knee Replacement RevisionProviderTHE PRINCESS ALEXANDRA HOSPITAL NHS TRUST (RQW)EQ VAS</v>
      </c>
      <c r="C5874" t="s">
        <v>250</v>
      </c>
      <c r="D5874" t="s">
        <v>1</v>
      </c>
      <c r="E5874" t="s">
        <v>3751</v>
      </c>
      <c r="F5874" t="s">
        <v>3752</v>
      </c>
      <c r="G5874" t="s">
        <v>179</v>
      </c>
      <c r="H5874" t="s">
        <v>53</v>
      </c>
      <c r="I5874" t="s">
        <v>53</v>
      </c>
      <c r="J5874" t="s">
        <v>53</v>
      </c>
      <c r="K5874" t="s">
        <v>53</v>
      </c>
      <c r="L5874" t="s">
        <v>53</v>
      </c>
      <c r="M5874" t="s">
        <v>53</v>
      </c>
      <c r="N5874" t="s">
        <v>53</v>
      </c>
      <c r="O5874" t="s">
        <v>53</v>
      </c>
      <c r="P5874" t="s">
        <v>53</v>
      </c>
      <c r="Q5874" t="s">
        <v>53</v>
      </c>
    </row>
    <row r="5875" spans="1:17" x14ac:dyDescent="0.2">
      <c r="A5875" s="30" t="str">
        <f>IF(C5875&amp;G5875&amp;D5875&lt;&gt;'Funnel setup'!$K$3&amp;'Funnel setup'!$K$4&amp;'Funnel setup'!$K$5,".",IF(A5874=".",1,A5874+1))</f>
        <v>.</v>
      </c>
      <c r="B5875" s="431" t="str">
        <f t="shared" si="91"/>
        <v>Knee Replacement RevisionProviderTHE QUEEN ELIZABETH HOSPITAL, KING'S LYNN, NHS FOUNDATION TRUST (RCX)EQ VAS</v>
      </c>
      <c r="C5875" t="s">
        <v>250</v>
      </c>
      <c r="D5875" t="s">
        <v>1</v>
      </c>
      <c r="E5875" t="s">
        <v>3754</v>
      </c>
      <c r="F5875" t="s">
        <v>3755</v>
      </c>
      <c r="G5875" t="s">
        <v>179</v>
      </c>
      <c r="H5875">
        <v>15</v>
      </c>
      <c r="I5875">
        <v>71</v>
      </c>
      <c r="J5875">
        <v>61.332999999999998</v>
      </c>
      <c r="K5875">
        <v>-9.6669999999999998</v>
      </c>
      <c r="L5875">
        <v>3</v>
      </c>
      <c r="M5875">
        <v>2</v>
      </c>
      <c r="N5875">
        <v>10</v>
      </c>
      <c r="O5875" t="s">
        <v>53</v>
      </c>
      <c r="P5875" t="s">
        <v>53</v>
      </c>
      <c r="Q5875" t="s">
        <v>53</v>
      </c>
    </row>
    <row r="5876" spans="1:17" x14ac:dyDescent="0.2">
      <c r="A5876" s="30" t="str">
        <f>IF(C5876&amp;G5876&amp;D5876&lt;&gt;'Funnel setup'!$K$3&amp;'Funnel setup'!$K$4&amp;'Funnel setup'!$K$5,".",IF(A5875=".",1,A5875+1))</f>
        <v>.</v>
      </c>
      <c r="B5876" s="431" t="str">
        <f t="shared" si="91"/>
        <v>Knee Replacement RevisionProviderTHE ROBERT JONES AND AGNES HUNT ORTHOPAEDIC HOSPITAL NHS FOUNDATION TRUST (RL1)EQ VAS</v>
      </c>
      <c r="C5876" t="s">
        <v>250</v>
      </c>
      <c r="D5876" t="s">
        <v>1</v>
      </c>
      <c r="E5876" t="s">
        <v>4496</v>
      </c>
      <c r="F5876" t="s">
        <v>4497</v>
      </c>
      <c r="G5876" t="s">
        <v>179</v>
      </c>
      <c r="H5876">
        <v>35</v>
      </c>
      <c r="I5876">
        <v>58.656999999999996</v>
      </c>
      <c r="J5876">
        <v>64.771000000000001</v>
      </c>
      <c r="K5876">
        <v>6.1139999999999999</v>
      </c>
      <c r="L5876">
        <v>17</v>
      </c>
      <c r="M5876">
        <v>5</v>
      </c>
      <c r="N5876">
        <v>13</v>
      </c>
      <c r="O5876">
        <v>59.645000000000003</v>
      </c>
      <c r="P5876">
        <v>-4.810675743</v>
      </c>
      <c r="Q5876">
        <v>24.814</v>
      </c>
    </row>
    <row r="5877" spans="1:17" x14ac:dyDescent="0.2">
      <c r="A5877" s="30" t="str">
        <f>IF(C5877&amp;G5877&amp;D5877&lt;&gt;'Funnel setup'!$K$3&amp;'Funnel setup'!$K$4&amp;'Funnel setup'!$K$5,".",IF(A5876=".",1,A5876+1))</f>
        <v>.</v>
      </c>
      <c r="B5877" s="431" t="str">
        <f t="shared" si="91"/>
        <v>Knee Replacement RevisionProviderTHE ROTHERHAM NHS FOUNDATION TRUST (RFR)EQ VAS</v>
      </c>
      <c r="C5877" t="s">
        <v>250</v>
      </c>
      <c r="D5877" t="s">
        <v>1</v>
      </c>
      <c r="E5877" t="s">
        <v>3739</v>
      </c>
      <c r="F5877" t="s">
        <v>3740</v>
      </c>
      <c r="G5877" t="s">
        <v>179</v>
      </c>
      <c r="H5877" t="s">
        <v>53</v>
      </c>
      <c r="I5877" t="s">
        <v>53</v>
      </c>
      <c r="J5877" t="s">
        <v>53</v>
      </c>
      <c r="K5877" t="s">
        <v>53</v>
      </c>
      <c r="L5877" t="s">
        <v>53</v>
      </c>
      <c r="M5877" t="s">
        <v>53</v>
      </c>
      <c r="N5877" t="s">
        <v>53</v>
      </c>
      <c r="O5877" t="s">
        <v>53</v>
      </c>
      <c r="P5877" t="s">
        <v>53</v>
      </c>
      <c r="Q5877" t="s">
        <v>53</v>
      </c>
    </row>
    <row r="5878" spans="1:17" x14ac:dyDescent="0.2">
      <c r="A5878" s="30" t="str">
        <f>IF(C5878&amp;G5878&amp;D5878&lt;&gt;'Funnel setup'!$K$3&amp;'Funnel setup'!$K$4&amp;'Funnel setup'!$K$5,".",IF(A5877=".",1,A5877+1))</f>
        <v>.</v>
      </c>
      <c r="B5878" s="431" t="str">
        <f t="shared" si="91"/>
        <v>Knee Replacement RevisionProviderTHE ROYAL ORTHOPAEDIC HOSPITAL NHS FOUNDATION TRUST (RRJ)EQ VAS</v>
      </c>
      <c r="C5878" t="s">
        <v>250</v>
      </c>
      <c r="D5878" t="s">
        <v>1</v>
      </c>
      <c r="E5878" t="s">
        <v>4480</v>
      </c>
      <c r="F5878" t="s">
        <v>4481</v>
      </c>
      <c r="G5878" t="s">
        <v>179</v>
      </c>
      <c r="H5878">
        <v>16</v>
      </c>
      <c r="I5878">
        <v>59.563000000000002</v>
      </c>
      <c r="J5878">
        <v>68</v>
      </c>
      <c r="K5878">
        <v>8.4380000000000006</v>
      </c>
      <c r="L5878">
        <v>11</v>
      </c>
      <c r="M5878">
        <v>0</v>
      </c>
      <c r="N5878">
        <v>5</v>
      </c>
      <c r="O5878" t="s">
        <v>53</v>
      </c>
      <c r="P5878" t="s">
        <v>53</v>
      </c>
      <c r="Q5878" t="s">
        <v>53</v>
      </c>
    </row>
    <row r="5879" spans="1:17" x14ac:dyDescent="0.2">
      <c r="A5879" s="30" t="str">
        <f>IF(C5879&amp;G5879&amp;D5879&lt;&gt;'Funnel setup'!$K$3&amp;'Funnel setup'!$K$4&amp;'Funnel setup'!$K$5,".",IF(A5878=".",1,A5878+1))</f>
        <v>.</v>
      </c>
      <c r="B5879" s="431" t="str">
        <f t="shared" si="91"/>
        <v>Knee Replacement RevisionProviderTHE ROYAL WOLVERHAMPTON NHS TRUST (RL4)EQ VAS</v>
      </c>
      <c r="C5879" t="s">
        <v>250</v>
      </c>
      <c r="D5879" t="s">
        <v>1</v>
      </c>
      <c r="E5879" t="s">
        <v>3382</v>
      </c>
      <c r="F5879" t="s">
        <v>3383</v>
      </c>
      <c r="G5879" t="s">
        <v>179</v>
      </c>
      <c r="H5879">
        <v>13</v>
      </c>
      <c r="I5879">
        <v>79.614999999999995</v>
      </c>
      <c r="J5879">
        <v>65</v>
      </c>
      <c r="K5879">
        <v>-14.615</v>
      </c>
      <c r="L5879">
        <v>2</v>
      </c>
      <c r="M5879">
        <v>3</v>
      </c>
      <c r="N5879">
        <v>8</v>
      </c>
      <c r="O5879" t="s">
        <v>53</v>
      </c>
      <c r="P5879" t="s">
        <v>53</v>
      </c>
      <c r="Q5879" t="s">
        <v>53</v>
      </c>
    </row>
    <row r="5880" spans="1:17" x14ac:dyDescent="0.2">
      <c r="A5880" s="30" t="str">
        <f>IF(C5880&amp;G5880&amp;D5880&lt;&gt;'Funnel setup'!$K$3&amp;'Funnel setup'!$K$4&amp;'Funnel setup'!$K$5,".",IF(A5879=".",1,A5879+1))</f>
        <v>.</v>
      </c>
      <c r="B5880" s="431" t="str">
        <f t="shared" si="91"/>
        <v>Knee Replacement RevisionProviderTHE YORKSHIRE CLINIC (NVC20)EQ VAS</v>
      </c>
      <c r="C5880" t="s">
        <v>250</v>
      </c>
      <c r="D5880" t="s">
        <v>1</v>
      </c>
      <c r="E5880" t="s">
        <v>3760</v>
      </c>
      <c r="F5880" t="s">
        <v>3761</v>
      </c>
      <c r="G5880" t="s">
        <v>179</v>
      </c>
      <c r="H5880" t="s">
        <v>53</v>
      </c>
      <c r="I5880" t="s">
        <v>53</v>
      </c>
      <c r="J5880" t="s">
        <v>53</v>
      </c>
      <c r="K5880" t="s">
        <v>53</v>
      </c>
      <c r="L5880" t="s">
        <v>53</v>
      </c>
      <c r="M5880" t="s">
        <v>53</v>
      </c>
      <c r="N5880" t="s">
        <v>53</v>
      </c>
      <c r="O5880" t="s">
        <v>53</v>
      </c>
      <c r="P5880" t="s">
        <v>53</v>
      </c>
      <c r="Q5880" t="s">
        <v>53</v>
      </c>
    </row>
    <row r="5881" spans="1:17" x14ac:dyDescent="0.2">
      <c r="A5881" s="30" t="str">
        <f>IF(C5881&amp;G5881&amp;D5881&lt;&gt;'Funnel setup'!$K$3&amp;'Funnel setup'!$K$4&amp;'Funnel setup'!$K$5,".",IF(A5880=".",1,A5880+1))</f>
        <v>.</v>
      </c>
      <c r="B5881" s="431" t="str">
        <f t="shared" si="91"/>
        <v>Knee Replacement RevisionProviderTORBAY AND SOUTH DEVON NHS FOUNDATION TRUST (RA9)EQ VAS</v>
      </c>
      <c r="C5881" t="s">
        <v>250</v>
      </c>
      <c r="D5881" t="s">
        <v>1</v>
      </c>
      <c r="E5881" t="s">
        <v>3480</v>
      </c>
      <c r="F5881" t="s">
        <v>6584</v>
      </c>
      <c r="G5881" t="s">
        <v>179</v>
      </c>
      <c r="H5881">
        <v>13</v>
      </c>
      <c r="I5881">
        <v>73.846000000000004</v>
      </c>
      <c r="J5881">
        <v>77.846000000000004</v>
      </c>
      <c r="K5881">
        <v>4</v>
      </c>
      <c r="L5881">
        <v>6</v>
      </c>
      <c r="M5881">
        <v>3</v>
      </c>
      <c r="N5881">
        <v>4</v>
      </c>
      <c r="O5881" t="s">
        <v>53</v>
      </c>
      <c r="P5881" t="s">
        <v>53</v>
      </c>
      <c r="Q5881" t="s">
        <v>53</v>
      </c>
    </row>
    <row r="5882" spans="1:17" x14ac:dyDescent="0.2">
      <c r="A5882" s="30" t="str">
        <f>IF(C5882&amp;G5882&amp;D5882&lt;&gt;'Funnel setup'!$K$3&amp;'Funnel setup'!$K$4&amp;'Funnel setup'!$K$5,".",IF(A5881=".",1,A5881+1))</f>
        <v>.</v>
      </c>
      <c r="B5882" s="431" t="str">
        <f t="shared" si="91"/>
        <v>Knee Replacement RevisionProviderUNITED LINCOLNSHIRE HOSPITALS NHS TRUST (RWD)EQ VAS</v>
      </c>
      <c r="C5882" t="s">
        <v>250</v>
      </c>
      <c r="D5882" t="s">
        <v>1</v>
      </c>
      <c r="E5882" t="s">
        <v>3763</v>
      </c>
      <c r="F5882" t="s">
        <v>3764</v>
      </c>
      <c r="G5882" t="s">
        <v>179</v>
      </c>
      <c r="H5882" t="s">
        <v>53</v>
      </c>
      <c r="I5882" t="s">
        <v>53</v>
      </c>
      <c r="J5882" t="s">
        <v>53</v>
      </c>
      <c r="K5882" t="s">
        <v>53</v>
      </c>
      <c r="L5882" t="s">
        <v>53</v>
      </c>
      <c r="M5882" t="s">
        <v>53</v>
      </c>
      <c r="N5882" t="s">
        <v>53</v>
      </c>
      <c r="O5882" t="s">
        <v>53</v>
      </c>
      <c r="P5882" t="s">
        <v>53</v>
      </c>
      <c r="Q5882" t="s">
        <v>53</v>
      </c>
    </row>
    <row r="5883" spans="1:17" x14ac:dyDescent="0.2">
      <c r="A5883" s="30" t="str">
        <f>IF(C5883&amp;G5883&amp;D5883&lt;&gt;'Funnel setup'!$K$3&amp;'Funnel setup'!$K$4&amp;'Funnel setup'!$K$5,".",IF(A5882=".",1,A5882+1))</f>
        <v>.</v>
      </c>
      <c r="B5883" s="431" t="str">
        <f t="shared" si="91"/>
        <v>Knee Replacement RevisionProviderUNIVERSITY COLLEGE LONDON HOSPITALS NHS FOUNDATION TRUST (RRV)EQ VAS</v>
      </c>
      <c r="C5883" t="s">
        <v>250</v>
      </c>
      <c r="D5883" t="s">
        <v>1</v>
      </c>
      <c r="E5883" t="s">
        <v>3766</v>
      </c>
      <c r="F5883" t="s">
        <v>3767</v>
      </c>
      <c r="G5883" t="s">
        <v>179</v>
      </c>
      <c r="H5883">
        <v>7</v>
      </c>
      <c r="I5883">
        <v>57.856999999999999</v>
      </c>
      <c r="J5883">
        <v>59</v>
      </c>
      <c r="K5883">
        <v>1.143</v>
      </c>
      <c r="L5883">
        <v>4</v>
      </c>
      <c r="M5883">
        <v>0</v>
      </c>
      <c r="N5883">
        <v>3</v>
      </c>
      <c r="O5883" t="s">
        <v>53</v>
      </c>
      <c r="P5883" t="s">
        <v>53</v>
      </c>
      <c r="Q5883" t="s">
        <v>53</v>
      </c>
    </row>
    <row r="5884" spans="1:17" x14ac:dyDescent="0.2">
      <c r="A5884" s="30" t="str">
        <f>IF(C5884&amp;G5884&amp;D5884&lt;&gt;'Funnel setup'!$K$3&amp;'Funnel setup'!$K$4&amp;'Funnel setup'!$K$5,".",IF(A5883=".",1,A5883+1))</f>
        <v>.</v>
      </c>
      <c r="B5884" s="431" t="str">
        <f t="shared" si="91"/>
        <v>Knee Replacement RevisionProviderUNIVERSITY HOSPITAL OF SOUTH MANCHESTER NHS FOUNDATION TRUST (RM2)EQ VAS</v>
      </c>
      <c r="C5884" t="s">
        <v>250</v>
      </c>
      <c r="D5884" t="s">
        <v>1</v>
      </c>
      <c r="E5884" t="s">
        <v>3769</v>
      </c>
      <c r="F5884" t="s">
        <v>3770</v>
      </c>
      <c r="G5884" t="s">
        <v>179</v>
      </c>
      <c r="H5884" t="s">
        <v>53</v>
      </c>
      <c r="I5884" t="s">
        <v>53</v>
      </c>
      <c r="J5884" t="s">
        <v>53</v>
      </c>
      <c r="K5884" t="s">
        <v>53</v>
      </c>
      <c r="L5884" t="s">
        <v>53</v>
      </c>
      <c r="M5884" t="s">
        <v>53</v>
      </c>
      <c r="N5884" t="s">
        <v>53</v>
      </c>
      <c r="O5884" t="s">
        <v>53</v>
      </c>
      <c r="P5884" t="s">
        <v>53</v>
      </c>
      <c r="Q5884" t="s">
        <v>53</v>
      </c>
    </row>
    <row r="5885" spans="1:17" x14ac:dyDescent="0.2">
      <c r="A5885" s="30" t="str">
        <f>IF(C5885&amp;G5885&amp;D5885&lt;&gt;'Funnel setup'!$K$3&amp;'Funnel setup'!$K$4&amp;'Funnel setup'!$K$5,".",IF(A5884=".",1,A5884+1))</f>
        <v>.</v>
      </c>
      <c r="B5885" s="431" t="str">
        <f t="shared" si="91"/>
        <v>Knee Replacement RevisionProviderUNIVERSITY HOSPITAL SOUTHAMPTON NHS FOUNDATION TRUST (RHM)EQ VAS</v>
      </c>
      <c r="C5885" t="s">
        <v>250</v>
      </c>
      <c r="D5885" t="s">
        <v>1</v>
      </c>
      <c r="E5885" t="s">
        <v>3772</v>
      </c>
      <c r="F5885" t="s">
        <v>3773</v>
      </c>
      <c r="G5885" t="s">
        <v>179</v>
      </c>
      <c r="H5885">
        <v>37</v>
      </c>
      <c r="I5885">
        <v>66.73</v>
      </c>
      <c r="J5885">
        <v>65.350999999999999</v>
      </c>
      <c r="K5885">
        <v>-1.3779999999999999</v>
      </c>
      <c r="L5885">
        <v>17</v>
      </c>
      <c r="M5885">
        <v>5</v>
      </c>
      <c r="N5885">
        <v>15</v>
      </c>
      <c r="O5885">
        <v>66.247</v>
      </c>
      <c r="P5885">
        <v>1.7911238270000001</v>
      </c>
      <c r="Q5885">
        <v>14.848000000000001</v>
      </c>
    </row>
    <row r="5886" spans="1:17" x14ac:dyDescent="0.2">
      <c r="A5886" s="30" t="str">
        <f>IF(C5886&amp;G5886&amp;D5886&lt;&gt;'Funnel setup'!$K$3&amp;'Funnel setup'!$K$4&amp;'Funnel setup'!$K$5,".",IF(A5885=".",1,A5885+1))</f>
        <v>.</v>
      </c>
      <c r="B5886" s="431" t="str">
        <f t="shared" si="91"/>
        <v>Knee Replacement RevisionProviderUNIVERSITY HOSPITALS COVENTRY AND WARWICKSHIRE NHS TRUST (RKB)EQ VAS</v>
      </c>
      <c r="C5886" t="s">
        <v>250</v>
      </c>
      <c r="D5886" t="s">
        <v>1</v>
      </c>
      <c r="E5886" t="s">
        <v>3715</v>
      </c>
      <c r="F5886" t="s">
        <v>3716</v>
      </c>
      <c r="G5886" t="s">
        <v>179</v>
      </c>
      <c r="H5886">
        <v>16</v>
      </c>
      <c r="I5886">
        <v>62.25</v>
      </c>
      <c r="J5886">
        <v>63.5</v>
      </c>
      <c r="K5886">
        <v>1.25</v>
      </c>
      <c r="L5886">
        <v>8</v>
      </c>
      <c r="M5886">
        <v>2</v>
      </c>
      <c r="N5886">
        <v>6</v>
      </c>
      <c r="O5886" t="s">
        <v>53</v>
      </c>
      <c r="P5886" t="s">
        <v>53</v>
      </c>
      <c r="Q5886" t="s">
        <v>53</v>
      </c>
    </row>
    <row r="5887" spans="1:17" x14ac:dyDescent="0.2">
      <c r="A5887" s="30" t="str">
        <f>IF(C5887&amp;G5887&amp;D5887&lt;&gt;'Funnel setup'!$K$3&amp;'Funnel setup'!$K$4&amp;'Funnel setup'!$K$5,".",IF(A5886=".",1,A5886+1))</f>
        <v>.</v>
      </c>
      <c r="B5887" s="431" t="str">
        <f t="shared" si="91"/>
        <v>Knee Replacement RevisionProviderUNIVERSITY HOSPITALS OF LEICESTER NHS TRUST (RWE)EQ VAS</v>
      </c>
      <c r="C5887" t="s">
        <v>250</v>
      </c>
      <c r="D5887" t="s">
        <v>1</v>
      </c>
      <c r="E5887" t="s">
        <v>3718</v>
      </c>
      <c r="F5887" t="s">
        <v>3719</v>
      </c>
      <c r="G5887" t="s">
        <v>179</v>
      </c>
      <c r="H5887">
        <v>33</v>
      </c>
      <c r="I5887">
        <v>59.273000000000003</v>
      </c>
      <c r="J5887">
        <v>69.061000000000007</v>
      </c>
      <c r="K5887">
        <v>9.7880000000000003</v>
      </c>
      <c r="L5887">
        <v>18</v>
      </c>
      <c r="M5887">
        <v>5</v>
      </c>
      <c r="N5887">
        <v>10</v>
      </c>
      <c r="O5887">
        <v>72.051000000000002</v>
      </c>
      <c r="P5887">
        <v>7.5947170430000002</v>
      </c>
      <c r="Q5887">
        <v>18.957999999999998</v>
      </c>
    </row>
    <row r="5888" spans="1:17" x14ac:dyDescent="0.2">
      <c r="A5888" s="30" t="str">
        <f>IF(C5888&amp;G5888&amp;D5888&lt;&gt;'Funnel setup'!$K$3&amp;'Funnel setup'!$K$4&amp;'Funnel setup'!$K$5,".",IF(A5887=".",1,A5887+1))</f>
        <v>.</v>
      </c>
      <c r="B5888" s="431" t="str">
        <f t="shared" si="91"/>
        <v>Knee Replacement RevisionProviderUNIVERSITY HOSPITALS OF MORECAMBE BAY NHS FOUNDATION TRUST (RTX)EQ VAS</v>
      </c>
      <c r="C5888" t="s">
        <v>250</v>
      </c>
      <c r="D5888" t="s">
        <v>1</v>
      </c>
      <c r="E5888" t="s">
        <v>3721</v>
      </c>
      <c r="F5888" t="s">
        <v>3722</v>
      </c>
      <c r="G5888" t="s">
        <v>179</v>
      </c>
      <c r="H5888" t="s">
        <v>53</v>
      </c>
      <c r="I5888" t="s">
        <v>53</v>
      </c>
      <c r="J5888" t="s">
        <v>53</v>
      </c>
      <c r="K5888" t="s">
        <v>53</v>
      </c>
      <c r="L5888" t="s">
        <v>53</v>
      </c>
      <c r="M5888" t="s">
        <v>53</v>
      </c>
      <c r="N5888" t="s">
        <v>53</v>
      </c>
      <c r="O5888" t="s">
        <v>53</v>
      </c>
      <c r="P5888" t="s">
        <v>53</v>
      </c>
      <c r="Q5888" t="s">
        <v>53</v>
      </c>
    </row>
    <row r="5889" spans="1:17" x14ac:dyDescent="0.2">
      <c r="A5889" s="30" t="str">
        <f>IF(C5889&amp;G5889&amp;D5889&lt;&gt;'Funnel setup'!$K$3&amp;'Funnel setup'!$K$4&amp;'Funnel setup'!$K$5,".",IF(A5888=".",1,A5888+1))</f>
        <v>.</v>
      </c>
      <c r="B5889" s="431" t="str">
        <f t="shared" si="91"/>
        <v>Knee Replacement RevisionProviderUNIVERSITY HOSPITALS OF NORTH MIDLANDS NHS TRUST (RJE)EQ VAS</v>
      </c>
      <c r="C5889" t="s">
        <v>250</v>
      </c>
      <c r="D5889" t="s">
        <v>1</v>
      </c>
      <c r="E5889" t="s">
        <v>3724</v>
      </c>
      <c r="F5889" t="s">
        <v>3725</v>
      </c>
      <c r="G5889" t="s">
        <v>179</v>
      </c>
      <c r="H5889">
        <v>7</v>
      </c>
      <c r="I5889">
        <v>67.856999999999999</v>
      </c>
      <c r="J5889">
        <v>50</v>
      </c>
      <c r="K5889">
        <v>-17.856999999999999</v>
      </c>
      <c r="L5889">
        <v>1</v>
      </c>
      <c r="M5889">
        <v>2</v>
      </c>
      <c r="N5889">
        <v>4</v>
      </c>
      <c r="O5889" t="s">
        <v>53</v>
      </c>
      <c r="P5889" t="s">
        <v>53</v>
      </c>
      <c r="Q5889" t="s">
        <v>53</v>
      </c>
    </row>
    <row r="5890" spans="1:17" x14ac:dyDescent="0.2">
      <c r="A5890" s="30" t="str">
        <f>IF(C5890&amp;G5890&amp;D5890&lt;&gt;'Funnel setup'!$K$3&amp;'Funnel setup'!$K$4&amp;'Funnel setup'!$K$5,".",IF(A5889=".",1,A5889+1))</f>
        <v>.</v>
      </c>
      <c r="B5890" s="431" t="str">
        <f t="shared" si="91"/>
        <v>Knee Replacement RevisionProviderWALSALL HEALTHCARE NHS TRUST (RBK)EQ VAS</v>
      </c>
      <c r="C5890" t="s">
        <v>250</v>
      </c>
      <c r="D5890" t="s">
        <v>1</v>
      </c>
      <c r="E5890" t="s">
        <v>3727</v>
      </c>
      <c r="F5890" t="s">
        <v>3728</v>
      </c>
      <c r="G5890" t="s">
        <v>179</v>
      </c>
      <c r="H5890" t="s">
        <v>53</v>
      </c>
      <c r="I5890" t="s">
        <v>53</v>
      </c>
      <c r="J5890" t="s">
        <v>53</v>
      </c>
      <c r="K5890" t="s">
        <v>53</v>
      </c>
      <c r="L5890" t="s">
        <v>53</v>
      </c>
      <c r="M5890" t="s">
        <v>53</v>
      </c>
      <c r="N5890" t="s">
        <v>53</v>
      </c>
      <c r="O5890" t="s">
        <v>53</v>
      </c>
      <c r="P5890" t="s">
        <v>53</v>
      </c>
      <c r="Q5890" t="s">
        <v>53</v>
      </c>
    </row>
    <row r="5891" spans="1:17" x14ac:dyDescent="0.2">
      <c r="A5891" s="30" t="str">
        <f>IF(C5891&amp;G5891&amp;D5891&lt;&gt;'Funnel setup'!$K$3&amp;'Funnel setup'!$K$4&amp;'Funnel setup'!$K$5,".",IF(A5890=".",1,A5890+1))</f>
        <v>.</v>
      </c>
      <c r="B5891" s="431" t="str">
        <f t="shared" ref="B5891:B5954" si="92">C5891&amp;D5891&amp;F5891&amp;G5891</f>
        <v>Knee Replacement RevisionProviderWARRINGTON AND HALTON HOSPITALS NHS FOUNDATION TRUST (RWW)EQ VAS</v>
      </c>
      <c r="C5891" t="s">
        <v>250</v>
      </c>
      <c r="D5891" t="s">
        <v>1</v>
      </c>
      <c r="E5891" t="s">
        <v>3730</v>
      </c>
      <c r="F5891" t="s">
        <v>3731</v>
      </c>
      <c r="G5891" t="s">
        <v>179</v>
      </c>
      <c r="H5891">
        <v>15</v>
      </c>
      <c r="I5891">
        <v>62.332999999999998</v>
      </c>
      <c r="J5891">
        <v>66.8</v>
      </c>
      <c r="K5891">
        <v>4.4669999999999996</v>
      </c>
      <c r="L5891">
        <v>10</v>
      </c>
      <c r="M5891">
        <v>0</v>
      </c>
      <c r="N5891">
        <v>5</v>
      </c>
      <c r="O5891" t="s">
        <v>53</v>
      </c>
      <c r="P5891" t="s">
        <v>53</v>
      </c>
      <c r="Q5891" t="s">
        <v>53</v>
      </c>
    </row>
    <row r="5892" spans="1:17" x14ac:dyDescent="0.2">
      <c r="A5892" s="30" t="str">
        <f>IF(C5892&amp;G5892&amp;D5892&lt;&gt;'Funnel setup'!$K$3&amp;'Funnel setup'!$K$4&amp;'Funnel setup'!$K$5,".",IF(A5891=".",1,A5891+1))</f>
        <v>.</v>
      </c>
      <c r="B5892" s="431" t="str">
        <f t="shared" si="92"/>
        <v>Knee Replacement RevisionProviderWEST HERTFORDSHIRE HOSPITALS NHS TRUST (RWG)EQ VAS</v>
      </c>
      <c r="C5892" t="s">
        <v>250</v>
      </c>
      <c r="D5892" t="s">
        <v>1</v>
      </c>
      <c r="E5892" t="s">
        <v>3733</v>
      </c>
      <c r="F5892" t="s">
        <v>3734</v>
      </c>
      <c r="G5892" t="s">
        <v>179</v>
      </c>
      <c r="H5892">
        <v>8</v>
      </c>
      <c r="I5892">
        <v>63.75</v>
      </c>
      <c r="J5892">
        <v>64.375</v>
      </c>
      <c r="K5892">
        <v>0.625</v>
      </c>
      <c r="L5892">
        <v>4</v>
      </c>
      <c r="M5892">
        <v>0</v>
      </c>
      <c r="N5892">
        <v>4</v>
      </c>
      <c r="O5892" t="s">
        <v>53</v>
      </c>
      <c r="P5892" t="s">
        <v>53</v>
      </c>
      <c r="Q5892" t="s">
        <v>53</v>
      </c>
    </row>
    <row r="5893" spans="1:17" x14ac:dyDescent="0.2">
      <c r="A5893" s="30" t="str">
        <f>IF(C5893&amp;G5893&amp;D5893&lt;&gt;'Funnel setup'!$K$3&amp;'Funnel setup'!$K$4&amp;'Funnel setup'!$K$5,".",IF(A5892=".",1,A5892+1))</f>
        <v>.</v>
      </c>
      <c r="B5893" s="431" t="str">
        <f t="shared" si="92"/>
        <v>Knee Replacement RevisionProviderWEST MIDDLESEX UNIVERSITY HOSPITAL NHS TRUST (RFW)EQ VAS</v>
      </c>
      <c r="C5893" t="s">
        <v>250</v>
      </c>
      <c r="D5893" t="s">
        <v>1</v>
      </c>
      <c r="E5893" t="s">
        <v>3736</v>
      </c>
      <c r="F5893" t="s">
        <v>3737</v>
      </c>
      <c r="G5893" t="s">
        <v>179</v>
      </c>
      <c r="H5893" t="s">
        <v>53</v>
      </c>
      <c r="I5893" t="s">
        <v>53</v>
      </c>
      <c r="J5893" t="s">
        <v>53</v>
      </c>
      <c r="K5893" t="s">
        <v>53</v>
      </c>
      <c r="L5893" t="s">
        <v>53</v>
      </c>
      <c r="M5893" t="s">
        <v>53</v>
      </c>
      <c r="N5893" t="s">
        <v>53</v>
      </c>
      <c r="O5893" t="s">
        <v>53</v>
      </c>
      <c r="P5893" t="s">
        <v>53</v>
      </c>
      <c r="Q5893" t="s">
        <v>53</v>
      </c>
    </row>
    <row r="5894" spans="1:17" x14ac:dyDescent="0.2">
      <c r="A5894" s="30" t="str">
        <f>IF(C5894&amp;G5894&amp;D5894&lt;&gt;'Funnel setup'!$K$3&amp;'Funnel setup'!$K$4&amp;'Funnel setup'!$K$5,".",IF(A5893=".",1,A5893+1))</f>
        <v>.</v>
      </c>
      <c r="B5894" s="431" t="str">
        <f t="shared" si="92"/>
        <v>Knee Replacement RevisionProviderWEST MIDLANDS HOSPITAL (NVC21)EQ VAS</v>
      </c>
      <c r="C5894" t="s">
        <v>250</v>
      </c>
      <c r="D5894" t="s">
        <v>1</v>
      </c>
      <c r="E5894" t="s">
        <v>3709</v>
      </c>
      <c r="F5894" t="s">
        <v>3710</v>
      </c>
      <c r="G5894" t="s">
        <v>179</v>
      </c>
      <c r="H5894" t="s">
        <v>53</v>
      </c>
      <c r="I5894" t="s">
        <v>53</v>
      </c>
      <c r="J5894" t="s">
        <v>53</v>
      </c>
      <c r="K5894" t="s">
        <v>53</v>
      </c>
      <c r="L5894" t="s">
        <v>53</v>
      </c>
      <c r="M5894" t="s">
        <v>53</v>
      </c>
      <c r="N5894" t="s">
        <v>53</v>
      </c>
      <c r="O5894" t="s">
        <v>53</v>
      </c>
      <c r="P5894" t="s">
        <v>53</v>
      </c>
      <c r="Q5894" t="s">
        <v>53</v>
      </c>
    </row>
    <row r="5895" spans="1:17" x14ac:dyDescent="0.2">
      <c r="A5895" s="30" t="str">
        <f>IF(C5895&amp;G5895&amp;D5895&lt;&gt;'Funnel setup'!$K$3&amp;'Funnel setup'!$K$4&amp;'Funnel setup'!$K$5,".",IF(A5894=".",1,A5894+1))</f>
        <v>.</v>
      </c>
      <c r="B5895" s="431" t="str">
        <f t="shared" si="92"/>
        <v>Knee Replacement RevisionProviderWEST SUFFOLK NHS FOUNDATION TRUST (RGR)EQ VAS</v>
      </c>
      <c r="C5895" t="s">
        <v>250</v>
      </c>
      <c r="D5895" t="s">
        <v>1</v>
      </c>
      <c r="E5895" t="s">
        <v>3712</v>
      </c>
      <c r="F5895" t="s">
        <v>3713</v>
      </c>
      <c r="G5895" t="s">
        <v>179</v>
      </c>
      <c r="H5895" t="s">
        <v>53</v>
      </c>
      <c r="I5895" t="s">
        <v>53</v>
      </c>
      <c r="J5895" t="s">
        <v>53</v>
      </c>
      <c r="K5895" t="s">
        <v>53</v>
      </c>
      <c r="L5895" t="s">
        <v>53</v>
      </c>
      <c r="M5895" t="s">
        <v>53</v>
      </c>
      <c r="N5895" t="s">
        <v>53</v>
      </c>
      <c r="O5895" t="s">
        <v>53</v>
      </c>
      <c r="P5895" t="s">
        <v>53</v>
      </c>
      <c r="Q5895" t="s">
        <v>53</v>
      </c>
    </row>
    <row r="5896" spans="1:17" x14ac:dyDescent="0.2">
      <c r="A5896" s="30" t="str">
        <f>IF(C5896&amp;G5896&amp;D5896&lt;&gt;'Funnel setup'!$K$3&amp;'Funnel setup'!$K$4&amp;'Funnel setup'!$K$5,".",IF(A5895=".",1,A5895+1))</f>
        <v>.</v>
      </c>
      <c r="B5896" s="431" t="str">
        <f t="shared" si="92"/>
        <v>Knee Replacement RevisionProviderWESTERN SUSSEX HOSPITALS NHS FOUNDATION TRUST (RYR)EQ VAS</v>
      </c>
      <c r="C5896" t="s">
        <v>250</v>
      </c>
      <c r="D5896" t="s">
        <v>1</v>
      </c>
      <c r="E5896" t="s">
        <v>3706</v>
      </c>
      <c r="F5896" t="s">
        <v>3707</v>
      </c>
      <c r="G5896" t="s">
        <v>179</v>
      </c>
      <c r="H5896">
        <v>22</v>
      </c>
      <c r="I5896">
        <v>66.545000000000002</v>
      </c>
      <c r="J5896">
        <v>67</v>
      </c>
      <c r="K5896">
        <v>0.45500000000000002</v>
      </c>
      <c r="L5896">
        <v>9</v>
      </c>
      <c r="M5896">
        <v>5</v>
      </c>
      <c r="N5896">
        <v>8</v>
      </c>
      <c r="O5896" t="s">
        <v>53</v>
      </c>
      <c r="P5896" t="s">
        <v>53</v>
      </c>
      <c r="Q5896" t="s">
        <v>53</v>
      </c>
    </row>
    <row r="5897" spans="1:17" x14ac:dyDescent="0.2">
      <c r="A5897" s="30" t="str">
        <f>IF(C5897&amp;G5897&amp;D5897&lt;&gt;'Funnel setup'!$K$3&amp;'Funnel setup'!$K$4&amp;'Funnel setup'!$K$5,".",IF(A5896=".",1,A5896+1))</f>
        <v>.</v>
      </c>
      <c r="B5897" s="431" t="str">
        <f t="shared" si="92"/>
        <v>Knee Replacement RevisionProviderWESTON AREA HEALTH NHS TRUST (RA3)EQ VAS</v>
      </c>
      <c r="C5897" t="s">
        <v>250</v>
      </c>
      <c r="D5897" t="s">
        <v>1</v>
      </c>
      <c r="E5897" t="s">
        <v>3525</v>
      </c>
      <c r="F5897" t="s">
        <v>3526</v>
      </c>
      <c r="G5897" t="s">
        <v>179</v>
      </c>
      <c r="H5897" t="s">
        <v>53</v>
      </c>
      <c r="I5897" t="s">
        <v>53</v>
      </c>
      <c r="J5897" t="s">
        <v>53</v>
      </c>
      <c r="K5897" t="s">
        <v>53</v>
      </c>
      <c r="L5897" t="s">
        <v>53</v>
      </c>
      <c r="M5897" t="s">
        <v>53</v>
      </c>
      <c r="N5897" t="s">
        <v>53</v>
      </c>
      <c r="O5897" t="s">
        <v>53</v>
      </c>
      <c r="P5897" t="s">
        <v>53</v>
      </c>
      <c r="Q5897" t="s">
        <v>53</v>
      </c>
    </row>
    <row r="5898" spans="1:17" x14ac:dyDescent="0.2">
      <c r="A5898" s="30" t="str">
        <f>IF(C5898&amp;G5898&amp;D5898&lt;&gt;'Funnel setup'!$K$3&amp;'Funnel setup'!$K$4&amp;'Funnel setup'!$K$5,".",IF(A5897=".",1,A5897+1))</f>
        <v>.</v>
      </c>
      <c r="B5898" s="431" t="str">
        <f t="shared" si="92"/>
        <v>Knee Replacement RevisionProviderWINFIELD HOSPITAL (NVC22)EQ VAS</v>
      </c>
      <c r="C5898" t="s">
        <v>250</v>
      </c>
      <c r="D5898" t="s">
        <v>1</v>
      </c>
      <c r="E5898" t="s">
        <v>3534</v>
      </c>
      <c r="F5898" t="s">
        <v>3535</v>
      </c>
      <c r="G5898" t="s">
        <v>179</v>
      </c>
      <c r="H5898" t="s">
        <v>53</v>
      </c>
      <c r="I5898" t="s">
        <v>53</v>
      </c>
      <c r="J5898" t="s">
        <v>53</v>
      </c>
      <c r="K5898" t="s">
        <v>53</v>
      </c>
      <c r="L5898" t="s">
        <v>53</v>
      </c>
      <c r="M5898" t="s">
        <v>53</v>
      </c>
      <c r="N5898" t="s">
        <v>53</v>
      </c>
      <c r="O5898" t="s">
        <v>53</v>
      </c>
      <c r="P5898" t="s">
        <v>53</v>
      </c>
      <c r="Q5898" t="s">
        <v>53</v>
      </c>
    </row>
    <row r="5899" spans="1:17" x14ac:dyDescent="0.2">
      <c r="A5899" s="30" t="str">
        <f>IF(C5899&amp;G5899&amp;D5899&lt;&gt;'Funnel setup'!$K$3&amp;'Funnel setup'!$K$4&amp;'Funnel setup'!$K$5,".",IF(A5898=".",1,A5898+1))</f>
        <v>.</v>
      </c>
      <c r="B5899" s="431" t="str">
        <f t="shared" si="92"/>
        <v>Knee Replacement RevisionProviderWIRRAL UNIVERSITY TEACHING HOSPITAL NHS FOUNDATION TRUST (RBL)EQ VAS</v>
      </c>
      <c r="C5899" t="s">
        <v>250</v>
      </c>
      <c r="D5899" t="s">
        <v>1</v>
      </c>
      <c r="E5899" t="s">
        <v>3537</v>
      </c>
      <c r="F5899" t="s">
        <v>3538</v>
      </c>
      <c r="G5899" t="s">
        <v>179</v>
      </c>
      <c r="H5899" t="s">
        <v>53</v>
      </c>
      <c r="I5899" t="s">
        <v>53</v>
      </c>
      <c r="J5899" t="s">
        <v>53</v>
      </c>
      <c r="K5899" t="s">
        <v>53</v>
      </c>
      <c r="L5899" t="s">
        <v>53</v>
      </c>
      <c r="M5899" t="s">
        <v>53</v>
      </c>
      <c r="N5899" t="s">
        <v>53</v>
      </c>
      <c r="O5899" t="s">
        <v>53</v>
      </c>
      <c r="P5899" t="s">
        <v>53</v>
      </c>
      <c r="Q5899" t="s">
        <v>53</v>
      </c>
    </row>
    <row r="5900" spans="1:17" x14ac:dyDescent="0.2">
      <c r="A5900" s="30" t="str">
        <f>IF(C5900&amp;G5900&amp;D5900&lt;&gt;'Funnel setup'!$K$3&amp;'Funnel setup'!$K$4&amp;'Funnel setup'!$K$5,".",IF(A5899=".",1,A5899+1))</f>
        <v>.</v>
      </c>
      <c r="B5900" s="431" t="str">
        <f t="shared" si="92"/>
        <v>Knee Replacement RevisionProviderWOODLAND HOSPITAL (NVC23)EQ VAS</v>
      </c>
      <c r="C5900" t="s">
        <v>250</v>
      </c>
      <c r="D5900" t="s">
        <v>1</v>
      </c>
      <c r="E5900" t="s">
        <v>3540</v>
      </c>
      <c r="F5900" t="s">
        <v>3541</v>
      </c>
      <c r="G5900" t="s">
        <v>179</v>
      </c>
      <c r="H5900" t="s">
        <v>53</v>
      </c>
      <c r="I5900" t="s">
        <v>53</v>
      </c>
      <c r="J5900" t="s">
        <v>53</v>
      </c>
      <c r="K5900" t="s">
        <v>53</v>
      </c>
      <c r="L5900" t="s">
        <v>53</v>
      </c>
      <c r="M5900" t="s">
        <v>53</v>
      </c>
      <c r="N5900" t="s">
        <v>53</v>
      </c>
      <c r="O5900" t="s">
        <v>53</v>
      </c>
      <c r="P5900" t="s">
        <v>53</v>
      </c>
      <c r="Q5900" t="s">
        <v>53</v>
      </c>
    </row>
    <row r="5901" spans="1:17" x14ac:dyDescent="0.2">
      <c r="A5901" s="30" t="str">
        <f>IF(C5901&amp;G5901&amp;D5901&lt;&gt;'Funnel setup'!$K$3&amp;'Funnel setup'!$K$4&amp;'Funnel setup'!$K$5,".",IF(A5900=".",1,A5900+1))</f>
        <v>.</v>
      </c>
      <c r="B5901" s="431" t="str">
        <f t="shared" si="92"/>
        <v>Knee Replacement RevisionProviderWOODTHORPE HOSPITAL (NVC40)EQ VAS</v>
      </c>
      <c r="C5901" t="s">
        <v>250</v>
      </c>
      <c r="D5901" t="s">
        <v>1</v>
      </c>
      <c r="E5901" t="s">
        <v>3689</v>
      </c>
      <c r="F5901" t="s">
        <v>6576</v>
      </c>
      <c r="G5901" t="s">
        <v>179</v>
      </c>
      <c r="H5901" t="s">
        <v>53</v>
      </c>
      <c r="I5901" t="s">
        <v>53</v>
      </c>
      <c r="J5901" t="s">
        <v>53</v>
      </c>
      <c r="K5901" t="s">
        <v>53</v>
      </c>
      <c r="L5901" t="s">
        <v>53</v>
      </c>
      <c r="M5901" t="s">
        <v>53</v>
      </c>
      <c r="N5901" t="s">
        <v>53</v>
      </c>
      <c r="O5901" t="s">
        <v>53</v>
      </c>
      <c r="P5901" t="s">
        <v>53</v>
      </c>
      <c r="Q5901" t="s">
        <v>53</v>
      </c>
    </row>
    <row r="5902" spans="1:17" x14ac:dyDescent="0.2">
      <c r="A5902" s="30" t="str">
        <f>IF(C5902&amp;G5902&amp;D5902&lt;&gt;'Funnel setup'!$K$3&amp;'Funnel setup'!$K$4&amp;'Funnel setup'!$K$5,".",IF(A5901=".",1,A5901+1))</f>
        <v>.</v>
      </c>
      <c r="B5902" s="431" t="str">
        <f t="shared" si="92"/>
        <v>Knee Replacement RevisionProviderWORCESTERSHIRE ACUTE HOSPITALS NHS TRUST (RWP)EQ VAS</v>
      </c>
      <c r="C5902" t="s">
        <v>250</v>
      </c>
      <c r="D5902" t="s">
        <v>1</v>
      </c>
      <c r="E5902" t="s">
        <v>3543</v>
      </c>
      <c r="F5902" t="s">
        <v>3544</v>
      </c>
      <c r="G5902" t="s">
        <v>179</v>
      </c>
      <c r="H5902">
        <v>7</v>
      </c>
      <c r="I5902">
        <v>65.143000000000001</v>
      </c>
      <c r="J5902">
        <v>67.713999999999999</v>
      </c>
      <c r="K5902">
        <v>2.5710000000000002</v>
      </c>
      <c r="L5902">
        <v>4</v>
      </c>
      <c r="M5902">
        <v>0</v>
      </c>
      <c r="N5902">
        <v>3</v>
      </c>
      <c r="O5902" t="s">
        <v>53</v>
      </c>
      <c r="P5902" t="s">
        <v>53</v>
      </c>
      <c r="Q5902" t="s">
        <v>53</v>
      </c>
    </row>
    <row r="5903" spans="1:17" x14ac:dyDescent="0.2">
      <c r="A5903" s="30" t="str">
        <f>IF(C5903&amp;G5903&amp;D5903&lt;&gt;'Funnel setup'!$K$3&amp;'Funnel setup'!$K$4&amp;'Funnel setup'!$K$5,".",IF(A5902=".",1,A5902+1))</f>
        <v>.</v>
      </c>
      <c r="B5903" s="431" t="str">
        <f t="shared" si="92"/>
        <v>Knee Replacement RevisionProviderWRIGHTINGTON, WIGAN AND LEIGH NHS FOUNDATION TRUST (RRF)EQ VAS</v>
      </c>
      <c r="C5903" t="s">
        <v>250</v>
      </c>
      <c r="D5903" t="s">
        <v>1</v>
      </c>
      <c r="E5903" t="s">
        <v>3546</v>
      </c>
      <c r="F5903" t="s">
        <v>3547</v>
      </c>
      <c r="G5903" t="s">
        <v>179</v>
      </c>
      <c r="H5903">
        <v>7</v>
      </c>
      <c r="I5903">
        <v>64.286000000000001</v>
      </c>
      <c r="J5903">
        <v>64.570999999999998</v>
      </c>
      <c r="K5903">
        <v>0.28599999999999998</v>
      </c>
      <c r="L5903">
        <v>3</v>
      </c>
      <c r="M5903">
        <v>1</v>
      </c>
      <c r="N5903">
        <v>3</v>
      </c>
      <c r="O5903" t="s">
        <v>53</v>
      </c>
      <c r="P5903" t="s">
        <v>53</v>
      </c>
      <c r="Q5903" t="s">
        <v>53</v>
      </c>
    </row>
    <row r="5904" spans="1:17" x14ac:dyDescent="0.2">
      <c r="A5904" s="30" t="str">
        <f>IF(C5904&amp;G5904&amp;D5904&lt;&gt;'Funnel setup'!$K$3&amp;'Funnel setup'!$K$4&amp;'Funnel setup'!$K$5,".",IF(A5903=".",1,A5903+1))</f>
        <v>.</v>
      </c>
      <c r="B5904" s="431" t="str">
        <f t="shared" si="92"/>
        <v>Knee Replacement RevisionProviderWYE VALLEY NHS TRUST (RLQ)EQ VAS</v>
      </c>
      <c r="C5904" t="s">
        <v>250</v>
      </c>
      <c r="D5904" t="s">
        <v>1</v>
      </c>
      <c r="E5904" t="s">
        <v>3517</v>
      </c>
      <c r="F5904" t="s">
        <v>3518</v>
      </c>
      <c r="G5904" t="s">
        <v>179</v>
      </c>
      <c r="H5904" t="s">
        <v>53</v>
      </c>
      <c r="I5904" t="s">
        <v>53</v>
      </c>
      <c r="J5904" t="s">
        <v>53</v>
      </c>
      <c r="K5904" t="s">
        <v>53</v>
      </c>
      <c r="L5904" t="s">
        <v>53</v>
      </c>
      <c r="M5904" t="s">
        <v>53</v>
      </c>
      <c r="N5904" t="s">
        <v>53</v>
      </c>
      <c r="O5904" t="s">
        <v>53</v>
      </c>
      <c r="P5904" t="s">
        <v>53</v>
      </c>
      <c r="Q5904" t="s">
        <v>53</v>
      </c>
    </row>
    <row r="5905" spans="1:17" x14ac:dyDescent="0.2">
      <c r="A5905" s="30" t="str">
        <f>IF(C5905&amp;G5905&amp;D5905&lt;&gt;'Funnel setup'!$K$3&amp;'Funnel setup'!$K$4&amp;'Funnel setup'!$K$5,".",IF(A5904=".",1,A5904+1))</f>
        <v>.</v>
      </c>
      <c r="B5905" s="431" t="str">
        <f t="shared" si="92"/>
        <v>Knee Replacement RevisionProviderYEOVIL DISTRICT HOSPITAL NHS FOUNDATION TRUST (RA4)EQ VAS</v>
      </c>
      <c r="C5905" t="s">
        <v>250</v>
      </c>
      <c r="D5905" t="s">
        <v>1</v>
      </c>
      <c r="E5905" t="s">
        <v>3520</v>
      </c>
      <c r="F5905" t="s">
        <v>341</v>
      </c>
      <c r="G5905" t="s">
        <v>179</v>
      </c>
      <c r="H5905" t="s">
        <v>53</v>
      </c>
      <c r="I5905" t="s">
        <v>53</v>
      </c>
      <c r="J5905" t="s">
        <v>53</v>
      </c>
      <c r="K5905" t="s">
        <v>53</v>
      </c>
      <c r="L5905" t="s">
        <v>53</v>
      </c>
      <c r="M5905" t="s">
        <v>53</v>
      </c>
      <c r="N5905" t="s">
        <v>53</v>
      </c>
      <c r="O5905" t="s">
        <v>53</v>
      </c>
      <c r="P5905" t="s">
        <v>53</v>
      </c>
      <c r="Q5905" t="s">
        <v>53</v>
      </c>
    </row>
    <row r="5906" spans="1:17" x14ac:dyDescent="0.2">
      <c r="A5906" s="30" t="str">
        <f>IF(C5906&amp;G5906&amp;D5906&lt;&gt;'Funnel setup'!$K$3&amp;'Funnel setup'!$K$4&amp;'Funnel setup'!$K$5,".",IF(A5905=".",1,A5905+1))</f>
        <v>.</v>
      </c>
      <c r="B5906" s="431" t="str">
        <f t="shared" si="92"/>
        <v>Knee Replacement RevisionProviderYORK TEACHING HOSPITAL NHS FOUNDATION TRUST (RCB)EQ VAS</v>
      </c>
      <c r="C5906" t="s">
        <v>250</v>
      </c>
      <c r="D5906" t="s">
        <v>1</v>
      </c>
      <c r="E5906" t="s">
        <v>3515</v>
      </c>
      <c r="F5906" t="s">
        <v>343</v>
      </c>
      <c r="G5906" t="s">
        <v>179</v>
      </c>
      <c r="H5906">
        <v>17</v>
      </c>
      <c r="I5906">
        <v>55</v>
      </c>
      <c r="J5906">
        <v>63.470999999999997</v>
      </c>
      <c r="K5906">
        <v>8.4710000000000001</v>
      </c>
      <c r="L5906">
        <v>9</v>
      </c>
      <c r="M5906">
        <v>4</v>
      </c>
      <c r="N5906">
        <v>4</v>
      </c>
      <c r="O5906" t="s">
        <v>53</v>
      </c>
      <c r="P5906" t="s">
        <v>53</v>
      </c>
      <c r="Q5906" t="s">
        <v>53</v>
      </c>
    </row>
    <row r="5907" spans="1:17" x14ac:dyDescent="0.2">
      <c r="A5907" s="30" t="str">
        <f>IF(C5907&amp;G5907&amp;D5907&lt;&gt;'Funnel setup'!$K$3&amp;'Funnel setup'!$K$4&amp;'Funnel setup'!$K$5,".",IF(A5906=".",1,A5906+1))</f>
        <v>.</v>
      </c>
      <c r="B5907" s="431" t="str">
        <f t="shared" si="92"/>
        <v>Knee Replacement RevisionProviderAINTREE UNIVERSITY HOSPITAL NHS FOUNDATION TRUST (REM)EQ-5D Index</v>
      </c>
      <c r="C5907" t="s">
        <v>250</v>
      </c>
      <c r="D5907" t="s">
        <v>1</v>
      </c>
      <c r="E5907" t="s">
        <v>3838</v>
      </c>
      <c r="F5907" t="s">
        <v>3839</v>
      </c>
      <c r="G5907" t="s">
        <v>52</v>
      </c>
      <c r="H5907" t="s">
        <v>53</v>
      </c>
      <c r="I5907" t="s">
        <v>53</v>
      </c>
      <c r="J5907" t="s">
        <v>53</v>
      </c>
      <c r="K5907" t="s">
        <v>53</v>
      </c>
      <c r="L5907" t="s">
        <v>53</v>
      </c>
      <c r="M5907" t="s">
        <v>53</v>
      </c>
      <c r="N5907" t="s">
        <v>53</v>
      </c>
      <c r="O5907" t="s">
        <v>53</v>
      </c>
      <c r="P5907" t="s">
        <v>53</v>
      </c>
      <c r="Q5907" t="s">
        <v>53</v>
      </c>
    </row>
    <row r="5908" spans="1:17" x14ac:dyDescent="0.2">
      <c r="A5908" s="30" t="str">
        <f>IF(C5908&amp;G5908&amp;D5908&lt;&gt;'Funnel setup'!$K$3&amp;'Funnel setup'!$K$4&amp;'Funnel setup'!$K$5,".",IF(A5907=".",1,A5907+1))</f>
        <v>.</v>
      </c>
      <c r="B5908" s="431" t="str">
        <f t="shared" si="92"/>
        <v>Knee Replacement RevisionProviderAIREDALE NHS FOUNDATION TRUST (RCF)EQ-5D Index</v>
      </c>
      <c r="C5908" t="s">
        <v>250</v>
      </c>
      <c r="D5908" t="s">
        <v>1</v>
      </c>
      <c r="E5908" t="s">
        <v>3841</v>
      </c>
      <c r="F5908" t="s">
        <v>3842</v>
      </c>
      <c r="G5908" t="s">
        <v>52</v>
      </c>
      <c r="H5908" t="s">
        <v>53</v>
      </c>
      <c r="I5908" t="s">
        <v>53</v>
      </c>
      <c r="J5908" t="s">
        <v>53</v>
      </c>
      <c r="K5908" t="s">
        <v>53</v>
      </c>
      <c r="L5908" t="s">
        <v>53</v>
      </c>
      <c r="M5908" t="s">
        <v>53</v>
      </c>
      <c r="N5908" t="s">
        <v>53</v>
      </c>
      <c r="O5908" t="s">
        <v>53</v>
      </c>
      <c r="P5908" t="s">
        <v>53</v>
      </c>
      <c r="Q5908" t="s">
        <v>53</v>
      </c>
    </row>
    <row r="5909" spans="1:17" x14ac:dyDescent="0.2">
      <c r="A5909" s="30" t="str">
        <f>IF(C5909&amp;G5909&amp;D5909&lt;&gt;'Funnel setup'!$K$3&amp;'Funnel setup'!$K$4&amp;'Funnel setup'!$K$5,".",IF(A5908=".",1,A5908+1))</f>
        <v>.</v>
      </c>
      <c r="B5909" s="431" t="str">
        <f t="shared" si="92"/>
        <v>Knee Replacement RevisionProviderASHFORD AND ST PETER'S HOSPITALS NHS FOUNDATION TRUST (RTK)EQ-5D Index</v>
      </c>
      <c r="C5909" t="s">
        <v>250</v>
      </c>
      <c r="D5909" t="s">
        <v>1</v>
      </c>
      <c r="E5909" t="s">
        <v>3844</v>
      </c>
      <c r="F5909" t="s">
        <v>345</v>
      </c>
      <c r="G5909" t="s">
        <v>52</v>
      </c>
      <c r="H5909">
        <v>6</v>
      </c>
      <c r="I5909">
        <v>0.33100000000000002</v>
      </c>
      <c r="J5909">
        <v>0.54</v>
      </c>
      <c r="K5909">
        <v>0.20899999999999999</v>
      </c>
      <c r="L5909">
        <v>5</v>
      </c>
      <c r="M5909">
        <v>0</v>
      </c>
      <c r="N5909">
        <v>1</v>
      </c>
      <c r="O5909" t="s">
        <v>53</v>
      </c>
      <c r="P5909" t="s">
        <v>53</v>
      </c>
      <c r="Q5909" t="s">
        <v>53</v>
      </c>
    </row>
    <row r="5910" spans="1:17" x14ac:dyDescent="0.2">
      <c r="A5910" s="30" t="str">
        <f>IF(C5910&amp;G5910&amp;D5910&lt;&gt;'Funnel setup'!$K$3&amp;'Funnel setup'!$K$4&amp;'Funnel setup'!$K$5,".",IF(A5909=".",1,A5909+1))</f>
        <v>.</v>
      </c>
      <c r="B5910" s="431" t="str">
        <f t="shared" si="92"/>
        <v>Knee Replacement RevisionProviderASHTEAD HOSPITAL (NVC01)EQ-5D Index</v>
      </c>
      <c r="C5910" t="s">
        <v>250</v>
      </c>
      <c r="D5910" t="s">
        <v>1</v>
      </c>
      <c r="E5910" t="s">
        <v>3846</v>
      </c>
      <c r="F5910" t="s">
        <v>3847</v>
      </c>
      <c r="G5910" t="s">
        <v>52</v>
      </c>
      <c r="H5910" t="s">
        <v>53</v>
      </c>
      <c r="I5910" t="s">
        <v>53</v>
      </c>
      <c r="J5910" t="s">
        <v>53</v>
      </c>
      <c r="K5910" t="s">
        <v>53</v>
      </c>
      <c r="L5910" t="s">
        <v>53</v>
      </c>
      <c r="M5910" t="s">
        <v>53</v>
      </c>
      <c r="N5910" t="s">
        <v>53</v>
      </c>
      <c r="O5910" t="s">
        <v>53</v>
      </c>
      <c r="P5910" t="s">
        <v>53</v>
      </c>
      <c r="Q5910" t="s">
        <v>53</v>
      </c>
    </row>
    <row r="5911" spans="1:17" x14ac:dyDescent="0.2">
      <c r="A5911" s="30" t="str">
        <f>IF(C5911&amp;G5911&amp;D5911&lt;&gt;'Funnel setup'!$K$3&amp;'Funnel setup'!$K$4&amp;'Funnel setup'!$K$5,".",IF(A5910=".",1,A5910+1))</f>
        <v>.</v>
      </c>
      <c r="B5911" s="431" t="str">
        <f t="shared" si="92"/>
        <v>Knee Replacement RevisionProviderBARKING, HAVERING AND REDBRIDGE UNIVERSITY HOSPITALS NHS TRUST (RF4)EQ-5D Index</v>
      </c>
      <c r="C5911" t="s">
        <v>250</v>
      </c>
      <c r="D5911" t="s">
        <v>1</v>
      </c>
      <c r="E5911" t="s">
        <v>3509</v>
      </c>
      <c r="F5911" t="s">
        <v>3510</v>
      </c>
      <c r="G5911" t="s">
        <v>52</v>
      </c>
      <c r="H5911" t="s">
        <v>53</v>
      </c>
      <c r="I5911" t="s">
        <v>53</v>
      </c>
      <c r="J5911" t="s">
        <v>53</v>
      </c>
      <c r="K5911" t="s">
        <v>53</v>
      </c>
      <c r="L5911" t="s">
        <v>53</v>
      </c>
      <c r="M5911" t="s">
        <v>53</v>
      </c>
      <c r="N5911" t="s">
        <v>53</v>
      </c>
      <c r="O5911" t="s">
        <v>53</v>
      </c>
      <c r="P5911" t="s">
        <v>53</v>
      </c>
      <c r="Q5911" t="s">
        <v>53</v>
      </c>
    </row>
    <row r="5912" spans="1:17" x14ac:dyDescent="0.2">
      <c r="A5912" s="30" t="str">
        <f>IF(C5912&amp;G5912&amp;D5912&lt;&gt;'Funnel setup'!$K$3&amp;'Funnel setup'!$K$4&amp;'Funnel setup'!$K$5,".",IF(A5911=".",1,A5911+1))</f>
        <v>.</v>
      </c>
      <c r="B5912" s="431" t="str">
        <f t="shared" si="92"/>
        <v>Knee Replacement RevisionProviderBARLBOROUGH NHS TREATMENT CENTRE (NTP13)EQ-5D Index</v>
      </c>
      <c r="C5912" t="s">
        <v>250</v>
      </c>
      <c r="D5912" t="s">
        <v>1</v>
      </c>
      <c r="E5912" t="s">
        <v>4425</v>
      </c>
      <c r="F5912" t="s">
        <v>4426</v>
      </c>
      <c r="G5912" t="s">
        <v>52</v>
      </c>
      <c r="H5912">
        <v>10</v>
      </c>
      <c r="I5912">
        <v>0.44800000000000001</v>
      </c>
      <c r="J5912">
        <v>0.59699999999999998</v>
      </c>
      <c r="K5912">
        <v>0.14899999999999999</v>
      </c>
      <c r="L5912">
        <v>7</v>
      </c>
      <c r="M5912">
        <v>1</v>
      </c>
      <c r="N5912">
        <v>2</v>
      </c>
      <c r="O5912" t="s">
        <v>53</v>
      </c>
      <c r="P5912" t="s">
        <v>53</v>
      </c>
      <c r="Q5912" t="s">
        <v>53</v>
      </c>
    </row>
    <row r="5913" spans="1:17" x14ac:dyDescent="0.2">
      <c r="A5913" s="30" t="str">
        <f>IF(C5913&amp;G5913&amp;D5913&lt;&gt;'Funnel setup'!$K$3&amp;'Funnel setup'!$K$4&amp;'Funnel setup'!$K$5,".",IF(A5912=".",1,A5912+1))</f>
        <v>.</v>
      </c>
      <c r="B5913" s="431" t="str">
        <f t="shared" si="92"/>
        <v>Knee Replacement RevisionProviderBARNSLEY HOSPITAL NHS FOUNDATION TRUST (RFF)EQ-5D Index</v>
      </c>
      <c r="C5913" t="s">
        <v>250</v>
      </c>
      <c r="D5913" t="s">
        <v>1</v>
      </c>
      <c r="E5913" t="s">
        <v>3549</v>
      </c>
      <c r="F5913" t="s">
        <v>3550</v>
      </c>
      <c r="G5913" t="s">
        <v>52</v>
      </c>
      <c r="H5913">
        <v>6</v>
      </c>
      <c r="I5913">
        <v>0.33600000000000002</v>
      </c>
      <c r="J5913">
        <v>0.59299999999999997</v>
      </c>
      <c r="K5913">
        <v>0.25800000000000001</v>
      </c>
      <c r="L5913">
        <v>6</v>
      </c>
      <c r="M5913">
        <v>0</v>
      </c>
      <c r="N5913">
        <v>0</v>
      </c>
      <c r="O5913" t="s">
        <v>53</v>
      </c>
      <c r="P5913" t="s">
        <v>53</v>
      </c>
      <c r="Q5913" t="s">
        <v>53</v>
      </c>
    </row>
    <row r="5914" spans="1:17" x14ac:dyDescent="0.2">
      <c r="A5914" s="30" t="str">
        <f>IF(C5914&amp;G5914&amp;D5914&lt;&gt;'Funnel setup'!$K$3&amp;'Funnel setup'!$K$4&amp;'Funnel setup'!$K$5,".",IF(A5913=".",1,A5913+1))</f>
        <v>.</v>
      </c>
      <c r="B5914" s="431" t="str">
        <f t="shared" si="92"/>
        <v>Knee Replacement RevisionProviderBARTS HEALTH NHS TRUST (R1H)EQ-5D Index</v>
      </c>
      <c r="C5914" t="s">
        <v>250</v>
      </c>
      <c r="D5914" t="s">
        <v>1</v>
      </c>
      <c r="E5914" t="s">
        <v>3552</v>
      </c>
      <c r="F5914" t="s">
        <v>3553</v>
      </c>
      <c r="G5914" t="s">
        <v>52</v>
      </c>
      <c r="H5914" t="s">
        <v>53</v>
      </c>
      <c r="I5914" t="s">
        <v>53</v>
      </c>
      <c r="J5914" t="s">
        <v>53</v>
      </c>
      <c r="K5914" t="s">
        <v>53</v>
      </c>
      <c r="L5914" t="s">
        <v>53</v>
      </c>
      <c r="M5914" t="s">
        <v>53</v>
      </c>
      <c r="N5914" t="s">
        <v>53</v>
      </c>
      <c r="O5914" t="s">
        <v>53</v>
      </c>
      <c r="P5914" t="s">
        <v>53</v>
      </c>
      <c r="Q5914" t="s">
        <v>53</v>
      </c>
    </row>
    <row r="5915" spans="1:17" x14ac:dyDescent="0.2">
      <c r="A5915" s="30" t="str">
        <f>IF(C5915&amp;G5915&amp;D5915&lt;&gt;'Funnel setup'!$K$3&amp;'Funnel setup'!$K$4&amp;'Funnel setup'!$K$5,".",IF(A5914=".",1,A5914+1))</f>
        <v>.</v>
      </c>
      <c r="B5915" s="431" t="str">
        <f t="shared" si="92"/>
        <v>Knee Replacement RevisionProviderBASILDON AND THURROCK UNIVERSITY HOSPITALS NHS FOUNDATION TRUST (RDD)EQ-5D Index</v>
      </c>
      <c r="C5915" t="s">
        <v>250</v>
      </c>
      <c r="D5915" t="s">
        <v>1</v>
      </c>
      <c r="E5915" t="s">
        <v>3555</v>
      </c>
      <c r="F5915" t="s">
        <v>3556</v>
      </c>
      <c r="G5915" t="s">
        <v>52</v>
      </c>
      <c r="H5915">
        <v>17</v>
      </c>
      <c r="I5915">
        <v>0.34100000000000003</v>
      </c>
      <c r="J5915">
        <v>0.61299999999999999</v>
      </c>
      <c r="K5915">
        <v>0.27300000000000002</v>
      </c>
      <c r="L5915">
        <v>14</v>
      </c>
      <c r="M5915">
        <v>2</v>
      </c>
      <c r="N5915">
        <v>1</v>
      </c>
      <c r="O5915" t="s">
        <v>53</v>
      </c>
      <c r="P5915" t="s">
        <v>53</v>
      </c>
      <c r="Q5915" t="s">
        <v>53</v>
      </c>
    </row>
    <row r="5916" spans="1:17" x14ac:dyDescent="0.2">
      <c r="A5916" s="30" t="str">
        <f>IF(C5916&amp;G5916&amp;D5916&lt;&gt;'Funnel setup'!$K$3&amp;'Funnel setup'!$K$4&amp;'Funnel setup'!$K$5,".",IF(A5915=".",1,A5915+1))</f>
        <v>.</v>
      </c>
      <c r="B5916" s="431" t="str">
        <f t="shared" si="92"/>
        <v>Knee Replacement RevisionProviderBEDFORD HOSPITAL NHS TRUST (RC1)EQ-5D Index</v>
      </c>
      <c r="C5916" t="s">
        <v>250</v>
      </c>
      <c r="D5916" t="s">
        <v>1</v>
      </c>
      <c r="E5916" t="s">
        <v>3558</v>
      </c>
      <c r="F5916" t="s">
        <v>3559</v>
      </c>
      <c r="G5916" t="s">
        <v>52</v>
      </c>
      <c r="H5916" t="s">
        <v>53</v>
      </c>
      <c r="I5916" t="s">
        <v>53</v>
      </c>
      <c r="J5916" t="s">
        <v>53</v>
      </c>
      <c r="K5916" t="s">
        <v>53</v>
      </c>
      <c r="L5916" t="s">
        <v>53</v>
      </c>
      <c r="M5916" t="s">
        <v>53</v>
      </c>
      <c r="N5916" t="s">
        <v>53</v>
      </c>
      <c r="O5916" t="s">
        <v>53</v>
      </c>
      <c r="P5916" t="s">
        <v>53</v>
      </c>
      <c r="Q5916" t="s">
        <v>53</v>
      </c>
    </row>
    <row r="5917" spans="1:17" x14ac:dyDescent="0.2">
      <c r="A5917" s="30" t="str">
        <f>IF(C5917&amp;G5917&amp;D5917&lt;&gt;'Funnel setup'!$K$3&amp;'Funnel setup'!$K$4&amp;'Funnel setup'!$K$5,".",IF(A5916=".",1,A5916+1))</f>
        <v>.</v>
      </c>
      <c r="B5917" s="431" t="str">
        <f t="shared" si="92"/>
        <v>Knee Replacement RevisionProviderBMI - BATH CLINIC (NT402)EQ-5D Index</v>
      </c>
      <c r="C5917" t="s">
        <v>250</v>
      </c>
      <c r="D5917" t="s">
        <v>1</v>
      </c>
      <c r="E5917" t="s">
        <v>3488</v>
      </c>
      <c r="F5917" t="s">
        <v>3489</v>
      </c>
      <c r="G5917" t="s">
        <v>52</v>
      </c>
      <c r="H5917" t="s">
        <v>53</v>
      </c>
      <c r="I5917" t="s">
        <v>53</v>
      </c>
      <c r="J5917" t="s">
        <v>53</v>
      </c>
      <c r="K5917" t="s">
        <v>53</v>
      </c>
      <c r="L5917" t="s">
        <v>53</v>
      </c>
      <c r="M5917" t="s">
        <v>53</v>
      </c>
      <c r="N5917" t="s">
        <v>53</v>
      </c>
      <c r="O5917" t="s">
        <v>53</v>
      </c>
      <c r="P5917" t="s">
        <v>53</v>
      </c>
      <c r="Q5917" t="s">
        <v>53</v>
      </c>
    </row>
    <row r="5918" spans="1:17" x14ac:dyDescent="0.2">
      <c r="A5918" s="30" t="str">
        <f>IF(C5918&amp;G5918&amp;D5918&lt;&gt;'Funnel setup'!$K$3&amp;'Funnel setup'!$K$4&amp;'Funnel setup'!$K$5,".",IF(A5917=".",1,A5917+1))</f>
        <v>.</v>
      </c>
      <c r="B5918" s="431" t="str">
        <f t="shared" si="92"/>
        <v>Knee Replacement RevisionProviderBMI - BISHOPS WOOD (NT405)EQ-5D Index</v>
      </c>
      <c r="C5918" t="s">
        <v>250</v>
      </c>
      <c r="D5918" t="s">
        <v>1</v>
      </c>
      <c r="E5918" t="s">
        <v>3491</v>
      </c>
      <c r="F5918" t="s">
        <v>3492</v>
      </c>
      <c r="G5918" t="s">
        <v>52</v>
      </c>
      <c r="H5918" t="s">
        <v>53</v>
      </c>
      <c r="I5918" t="s">
        <v>53</v>
      </c>
      <c r="J5918" t="s">
        <v>53</v>
      </c>
      <c r="K5918" t="s">
        <v>53</v>
      </c>
      <c r="L5918" t="s">
        <v>53</v>
      </c>
      <c r="M5918" t="s">
        <v>53</v>
      </c>
      <c r="N5918" t="s">
        <v>53</v>
      </c>
      <c r="O5918" t="s">
        <v>53</v>
      </c>
      <c r="P5918" t="s">
        <v>53</v>
      </c>
      <c r="Q5918" t="s">
        <v>53</v>
      </c>
    </row>
    <row r="5919" spans="1:17" x14ac:dyDescent="0.2">
      <c r="A5919" s="30" t="str">
        <f>IF(C5919&amp;G5919&amp;D5919&lt;&gt;'Funnel setup'!$K$3&amp;'Funnel setup'!$K$4&amp;'Funnel setup'!$K$5,".",IF(A5918=".",1,A5918+1))</f>
        <v>.</v>
      </c>
      <c r="B5919" s="431" t="str">
        <f t="shared" si="92"/>
        <v>Knee Replacement RevisionProviderBMI - GORING HALL HOSPITAL (NT417)EQ-5D Index</v>
      </c>
      <c r="C5919" t="s">
        <v>250</v>
      </c>
      <c r="D5919" t="s">
        <v>1</v>
      </c>
      <c r="E5919" t="s">
        <v>3403</v>
      </c>
      <c r="F5919" t="s">
        <v>3404</v>
      </c>
      <c r="G5919" t="s">
        <v>52</v>
      </c>
      <c r="H5919">
        <v>6</v>
      </c>
      <c r="I5919">
        <v>0.32400000000000001</v>
      </c>
      <c r="J5919">
        <v>0.77800000000000002</v>
      </c>
      <c r="K5919">
        <v>0.45400000000000001</v>
      </c>
      <c r="L5919">
        <v>5</v>
      </c>
      <c r="M5919">
        <v>1</v>
      </c>
      <c r="N5919">
        <v>0</v>
      </c>
      <c r="O5919" t="s">
        <v>53</v>
      </c>
      <c r="P5919" t="s">
        <v>53</v>
      </c>
      <c r="Q5919" t="s">
        <v>53</v>
      </c>
    </row>
    <row r="5920" spans="1:17" x14ac:dyDescent="0.2">
      <c r="A5920" s="30" t="str">
        <f>IF(C5920&amp;G5920&amp;D5920&lt;&gt;'Funnel setup'!$K$3&amp;'Funnel setup'!$K$4&amp;'Funnel setup'!$K$5,".",IF(A5919=".",1,A5919+1))</f>
        <v>.</v>
      </c>
      <c r="B5920" s="431" t="str">
        <f t="shared" si="92"/>
        <v>Knee Replacement RevisionProviderBMI - THE CHILTERN HOSPITAL (NT410)EQ-5D Index</v>
      </c>
      <c r="C5920" t="s">
        <v>250</v>
      </c>
      <c r="D5920" t="s">
        <v>1</v>
      </c>
      <c r="E5920" t="s">
        <v>3594</v>
      </c>
      <c r="F5920" t="s">
        <v>3595</v>
      </c>
      <c r="G5920" t="s">
        <v>52</v>
      </c>
      <c r="H5920" t="s">
        <v>53</v>
      </c>
      <c r="I5920" t="s">
        <v>53</v>
      </c>
      <c r="J5920" t="s">
        <v>53</v>
      </c>
      <c r="K5920" t="s">
        <v>53</v>
      </c>
      <c r="L5920" t="s">
        <v>53</v>
      </c>
      <c r="M5920" t="s">
        <v>53</v>
      </c>
      <c r="N5920" t="s">
        <v>53</v>
      </c>
      <c r="O5920" t="s">
        <v>53</v>
      </c>
      <c r="P5920" t="s">
        <v>53</v>
      </c>
      <c r="Q5920" t="s">
        <v>53</v>
      </c>
    </row>
    <row r="5921" spans="1:17" x14ac:dyDescent="0.2">
      <c r="A5921" s="30" t="str">
        <f>IF(C5921&amp;G5921&amp;D5921&lt;&gt;'Funnel setup'!$K$3&amp;'Funnel setup'!$K$4&amp;'Funnel setup'!$K$5,".",IF(A5920=".",1,A5920+1))</f>
        <v>.</v>
      </c>
      <c r="B5921" s="431" t="str">
        <f t="shared" si="92"/>
        <v>Knee Replacement RevisionProviderBMI - THE DROITWICH SPA HOSPITAL (NT412)EQ-5D Index</v>
      </c>
      <c r="C5921" t="s">
        <v>250</v>
      </c>
      <c r="D5921" t="s">
        <v>1</v>
      </c>
      <c r="E5921" t="s">
        <v>3600</v>
      </c>
      <c r="F5921" t="s">
        <v>3601</v>
      </c>
      <c r="G5921" t="s">
        <v>52</v>
      </c>
      <c r="H5921" t="s">
        <v>53</v>
      </c>
      <c r="I5921" t="s">
        <v>53</v>
      </c>
      <c r="J5921" t="s">
        <v>53</v>
      </c>
      <c r="K5921" t="s">
        <v>53</v>
      </c>
      <c r="L5921" t="s">
        <v>53</v>
      </c>
      <c r="M5921" t="s">
        <v>53</v>
      </c>
      <c r="N5921" t="s">
        <v>53</v>
      </c>
      <c r="O5921" t="s">
        <v>53</v>
      </c>
      <c r="P5921" t="s">
        <v>53</v>
      </c>
      <c r="Q5921" t="s">
        <v>53</v>
      </c>
    </row>
    <row r="5922" spans="1:17" x14ac:dyDescent="0.2">
      <c r="A5922" s="30" t="str">
        <f>IF(C5922&amp;G5922&amp;D5922&lt;&gt;'Funnel setup'!$K$3&amp;'Funnel setup'!$K$4&amp;'Funnel setup'!$K$5,".",IF(A5921=".",1,A5921+1))</f>
        <v>.</v>
      </c>
      <c r="B5922" s="431" t="str">
        <f t="shared" si="92"/>
        <v>Knee Replacement RevisionProviderBMI - THE KINGS OAK HOSPITAL (NT421)EQ-5D Index</v>
      </c>
      <c r="C5922" t="s">
        <v>250</v>
      </c>
      <c r="D5922" t="s">
        <v>1</v>
      </c>
      <c r="E5922" t="s">
        <v>3618</v>
      </c>
      <c r="F5922" t="s">
        <v>3619</v>
      </c>
      <c r="G5922" t="s">
        <v>52</v>
      </c>
      <c r="H5922" t="s">
        <v>53</v>
      </c>
      <c r="I5922" t="s">
        <v>53</v>
      </c>
      <c r="J5922" t="s">
        <v>53</v>
      </c>
      <c r="K5922" t="s">
        <v>53</v>
      </c>
      <c r="L5922" t="s">
        <v>53</v>
      </c>
      <c r="M5922" t="s">
        <v>53</v>
      </c>
      <c r="N5922" t="s">
        <v>53</v>
      </c>
      <c r="O5922" t="s">
        <v>53</v>
      </c>
      <c r="P5922" t="s">
        <v>53</v>
      </c>
      <c r="Q5922" t="s">
        <v>53</v>
      </c>
    </row>
    <row r="5923" spans="1:17" x14ac:dyDescent="0.2">
      <c r="A5923" s="30" t="str">
        <f>IF(C5923&amp;G5923&amp;D5923&lt;&gt;'Funnel setup'!$K$3&amp;'Funnel setup'!$K$4&amp;'Funnel setup'!$K$5,".",IF(A5922=".",1,A5922+1))</f>
        <v>.</v>
      </c>
      <c r="B5923" s="431" t="str">
        <f t="shared" si="92"/>
        <v>Knee Replacement RevisionProviderBMI - THE MERIDEN HOSPITAL (NT424)EQ-5D Index</v>
      </c>
      <c r="C5923" t="s">
        <v>250</v>
      </c>
      <c r="D5923" t="s">
        <v>1</v>
      </c>
      <c r="E5923" t="s">
        <v>3283</v>
      </c>
      <c r="F5923" t="s">
        <v>3284</v>
      </c>
      <c r="G5923" t="s">
        <v>52</v>
      </c>
      <c r="H5923" t="s">
        <v>53</v>
      </c>
      <c r="I5923" t="s">
        <v>53</v>
      </c>
      <c r="J5923" t="s">
        <v>53</v>
      </c>
      <c r="K5923" t="s">
        <v>53</v>
      </c>
      <c r="L5923" t="s">
        <v>53</v>
      </c>
      <c r="M5923" t="s">
        <v>53</v>
      </c>
      <c r="N5923" t="s">
        <v>53</v>
      </c>
      <c r="O5923" t="s">
        <v>53</v>
      </c>
      <c r="P5923" t="s">
        <v>53</v>
      </c>
      <c r="Q5923" t="s">
        <v>53</v>
      </c>
    </row>
    <row r="5924" spans="1:17" x14ac:dyDescent="0.2">
      <c r="A5924" s="30" t="str">
        <f>IF(C5924&amp;G5924&amp;D5924&lt;&gt;'Funnel setup'!$K$3&amp;'Funnel setup'!$K$4&amp;'Funnel setup'!$K$5,".",IF(A5923=".",1,A5923+1))</f>
        <v>.</v>
      </c>
      <c r="B5924" s="431" t="str">
        <f t="shared" si="92"/>
        <v>Knee Replacement RevisionProviderBMI - THE RIDGEWAY HOSPITAL (NT430)EQ-5D Index</v>
      </c>
      <c r="C5924" t="s">
        <v>250</v>
      </c>
      <c r="D5924" t="s">
        <v>1</v>
      </c>
      <c r="E5924" t="s">
        <v>3292</v>
      </c>
      <c r="F5924" t="s">
        <v>3293</v>
      </c>
      <c r="G5924" t="s">
        <v>52</v>
      </c>
      <c r="H5924" t="s">
        <v>53</v>
      </c>
      <c r="I5924" t="s">
        <v>53</v>
      </c>
      <c r="J5924" t="s">
        <v>53</v>
      </c>
      <c r="K5924" t="s">
        <v>53</v>
      </c>
      <c r="L5924" t="s">
        <v>53</v>
      </c>
      <c r="M5924" t="s">
        <v>53</v>
      </c>
      <c r="N5924" t="s">
        <v>53</v>
      </c>
      <c r="O5924" t="s">
        <v>53</v>
      </c>
      <c r="P5924" t="s">
        <v>53</v>
      </c>
      <c r="Q5924" t="s">
        <v>53</v>
      </c>
    </row>
    <row r="5925" spans="1:17" x14ac:dyDescent="0.2">
      <c r="A5925" s="30" t="str">
        <f>IF(C5925&amp;G5925&amp;D5925&lt;&gt;'Funnel setup'!$K$3&amp;'Funnel setup'!$K$4&amp;'Funnel setup'!$K$5,".",IF(A5924=".",1,A5924+1))</f>
        <v>.</v>
      </c>
      <c r="B5925" s="431" t="str">
        <f t="shared" si="92"/>
        <v>Knee Replacement RevisionProviderBMI - THE RUNNYMEDE HOSPITAL (NT431)EQ-5D Index</v>
      </c>
      <c r="C5925" t="s">
        <v>250</v>
      </c>
      <c r="D5925" t="s">
        <v>1</v>
      </c>
      <c r="E5925" t="s">
        <v>3295</v>
      </c>
      <c r="F5925" t="s">
        <v>3296</v>
      </c>
      <c r="G5925" t="s">
        <v>52</v>
      </c>
      <c r="H5925" t="s">
        <v>53</v>
      </c>
      <c r="I5925" t="s">
        <v>53</v>
      </c>
      <c r="J5925" t="s">
        <v>53</v>
      </c>
      <c r="K5925" t="s">
        <v>53</v>
      </c>
      <c r="L5925" t="s">
        <v>53</v>
      </c>
      <c r="M5925" t="s">
        <v>53</v>
      </c>
      <c r="N5925" t="s">
        <v>53</v>
      </c>
      <c r="O5925" t="s">
        <v>53</v>
      </c>
      <c r="P5925" t="s">
        <v>53</v>
      </c>
      <c r="Q5925" t="s">
        <v>53</v>
      </c>
    </row>
    <row r="5926" spans="1:17" x14ac:dyDescent="0.2">
      <c r="A5926" s="30" t="str">
        <f>IF(C5926&amp;G5926&amp;D5926&lt;&gt;'Funnel setup'!$K$3&amp;'Funnel setup'!$K$4&amp;'Funnel setup'!$K$5,".",IF(A5925=".",1,A5925+1))</f>
        <v>.</v>
      </c>
      <c r="B5926" s="431" t="str">
        <f t="shared" si="92"/>
        <v>Knee Replacement RevisionProviderBMI - THE SOMERFIELD HOSPITAL (NT438)EQ-5D Index</v>
      </c>
      <c r="C5926" t="s">
        <v>250</v>
      </c>
      <c r="D5926" t="s">
        <v>1</v>
      </c>
      <c r="E5926" t="s">
        <v>3304</v>
      </c>
      <c r="F5926" t="s">
        <v>3305</v>
      </c>
      <c r="G5926" t="s">
        <v>52</v>
      </c>
      <c r="H5926" t="s">
        <v>53</v>
      </c>
      <c r="I5926" t="s">
        <v>53</v>
      </c>
      <c r="J5926" t="s">
        <v>53</v>
      </c>
      <c r="K5926" t="s">
        <v>53</v>
      </c>
      <c r="L5926" t="s">
        <v>53</v>
      </c>
      <c r="M5926" t="s">
        <v>53</v>
      </c>
      <c r="N5926" t="s">
        <v>53</v>
      </c>
      <c r="O5926" t="s">
        <v>53</v>
      </c>
      <c r="P5926" t="s">
        <v>53</v>
      </c>
      <c r="Q5926" t="s">
        <v>53</v>
      </c>
    </row>
    <row r="5927" spans="1:17" x14ac:dyDescent="0.2">
      <c r="A5927" s="30" t="str">
        <f>IF(C5927&amp;G5927&amp;D5927&lt;&gt;'Funnel setup'!$K$3&amp;'Funnel setup'!$K$4&amp;'Funnel setup'!$K$5,".",IF(A5926=".",1,A5926+1))</f>
        <v>.</v>
      </c>
      <c r="B5927" s="431" t="str">
        <f t="shared" si="92"/>
        <v>Knee Replacement RevisionProviderBMI - THREE SHIRES HOSPITAL (NT441)EQ-5D Index</v>
      </c>
      <c r="C5927" t="s">
        <v>250</v>
      </c>
      <c r="D5927" t="s">
        <v>1</v>
      </c>
      <c r="E5927" t="s">
        <v>3316</v>
      </c>
      <c r="F5927" t="s">
        <v>3317</v>
      </c>
      <c r="G5927" t="s">
        <v>52</v>
      </c>
      <c r="H5927" t="s">
        <v>53</v>
      </c>
      <c r="I5927" t="s">
        <v>53</v>
      </c>
      <c r="J5927" t="s">
        <v>53</v>
      </c>
      <c r="K5927" t="s">
        <v>53</v>
      </c>
      <c r="L5927" t="s">
        <v>53</v>
      </c>
      <c r="M5927" t="s">
        <v>53</v>
      </c>
      <c r="N5927" t="s">
        <v>53</v>
      </c>
      <c r="O5927" t="s">
        <v>53</v>
      </c>
      <c r="P5927" t="s">
        <v>53</v>
      </c>
      <c r="Q5927" t="s">
        <v>53</v>
      </c>
    </row>
    <row r="5928" spans="1:17" x14ac:dyDescent="0.2">
      <c r="A5928" s="30" t="str">
        <f>IF(C5928&amp;G5928&amp;D5928&lt;&gt;'Funnel setup'!$K$3&amp;'Funnel setup'!$K$4&amp;'Funnel setup'!$K$5,".",IF(A5927=".",1,A5927+1))</f>
        <v>.</v>
      </c>
      <c r="B5928" s="431" t="str">
        <f t="shared" si="92"/>
        <v>Knee Replacement RevisionProviderBMI GISBURNE PARK HOSPITAL (NT497)EQ-5D Index</v>
      </c>
      <c r="C5928" t="s">
        <v>250</v>
      </c>
      <c r="D5928" t="s">
        <v>1</v>
      </c>
      <c r="E5928" t="s">
        <v>3319</v>
      </c>
      <c r="F5928" t="s">
        <v>3320</v>
      </c>
      <c r="G5928" t="s">
        <v>52</v>
      </c>
      <c r="H5928" t="s">
        <v>53</v>
      </c>
      <c r="I5928" t="s">
        <v>53</v>
      </c>
      <c r="J5928" t="s">
        <v>53</v>
      </c>
      <c r="K5928" t="s">
        <v>53</v>
      </c>
      <c r="L5928" t="s">
        <v>53</v>
      </c>
      <c r="M5928" t="s">
        <v>53</v>
      </c>
      <c r="N5928" t="s">
        <v>53</v>
      </c>
      <c r="O5928" t="s">
        <v>53</v>
      </c>
      <c r="P5928" t="s">
        <v>53</v>
      </c>
      <c r="Q5928" t="s">
        <v>53</v>
      </c>
    </row>
    <row r="5929" spans="1:17" x14ac:dyDescent="0.2">
      <c r="A5929" s="30" t="str">
        <f>IF(C5929&amp;G5929&amp;D5929&lt;&gt;'Funnel setup'!$K$3&amp;'Funnel setup'!$K$4&amp;'Funnel setup'!$K$5,".",IF(A5928=".",1,A5928+1))</f>
        <v>.</v>
      </c>
      <c r="B5929" s="431" t="str">
        <f t="shared" si="92"/>
        <v>Knee Replacement RevisionProviderBMI THE EDGBASTON HOSPITAL (NT445)EQ-5D Index</v>
      </c>
      <c r="C5929" t="s">
        <v>250</v>
      </c>
      <c r="D5929" t="s">
        <v>1</v>
      </c>
      <c r="E5929" t="s">
        <v>3337</v>
      </c>
      <c r="F5929" t="s">
        <v>3338</v>
      </c>
      <c r="G5929" t="s">
        <v>52</v>
      </c>
      <c r="H5929" t="s">
        <v>53</v>
      </c>
      <c r="I5929" t="s">
        <v>53</v>
      </c>
      <c r="J5929" t="s">
        <v>53</v>
      </c>
      <c r="K5929" t="s">
        <v>53</v>
      </c>
      <c r="L5929" t="s">
        <v>53</v>
      </c>
      <c r="M5929" t="s">
        <v>53</v>
      </c>
      <c r="N5929" t="s">
        <v>53</v>
      </c>
      <c r="O5929" t="s">
        <v>53</v>
      </c>
      <c r="P5929" t="s">
        <v>53</v>
      </c>
      <c r="Q5929" t="s">
        <v>53</v>
      </c>
    </row>
    <row r="5930" spans="1:17" x14ac:dyDescent="0.2">
      <c r="A5930" s="30" t="str">
        <f>IF(C5930&amp;G5930&amp;D5930&lt;&gt;'Funnel setup'!$K$3&amp;'Funnel setup'!$K$4&amp;'Funnel setup'!$K$5,".",IF(A5929=".",1,A5929+1))</f>
        <v>.</v>
      </c>
      <c r="B5930" s="431" t="str">
        <f t="shared" si="92"/>
        <v>Knee Replacement RevisionProviderBMI THE LINCOLN HOSPITAL (NT450)EQ-5D Index</v>
      </c>
      <c r="C5930" t="s">
        <v>250</v>
      </c>
      <c r="D5930" t="s">
        <v>1</v>
      </c>
      <c r="E5930" t="s">
        <v>3352</v>
      </c>
      <c r="F5930" t="s">
        <v>3353</v>
      </c>
      <c r="G5930" t="s">
        <v>52</v>
      </c>
      <c r="H5930" t="s">
        <v>53</v>
      </c>
      <c r="I5930" t="s">
        <v>53</v>
      </c>
      <c r="J5930" t="s">
        <v>53</v>
      </c>
      <c r="K5930" t="s">
        <v>53</v>
      </c>
      <c r="L5930" t="s">
        <v>53</v>
      </c>
      <c r="M5930" t="s">
        <v>53</v>
      </c>
      <c r="N5930" t="s">
        <v>53</v>
      </c>
      <c r="O5930" t="s">
        <v>53</v>
      </c>
      <c r="P5930" t="s">
        <v>53</v>
      </c>
      <c r="Q5930" t="s">
        <v>53</v>
      </c>
    </row>
    <row r="5931" spans="1:17" x14ac:dyDescent="0.2">
      <c r="A5931" s="30" t="str">
        <f>IF(C5931&amp;G5931&amp;D5931&lt;&gt;'Funnel setup'!$K$3&amp;'Funnel setup'!$K$4&amp;'Funnel setup'!$K$5,".",IF(A5930=".",1,A5930+1))</f>
        <v>.</v>
      </c>
      <c r="B5931" s="431" t="str">
        <f t="shared" si="92"/>
        <v>Knee Replacement RevisionProviderBMI WOODLANDS HOSPITAL (NT457)EQ-5D Index</v>
      </c>
      <c r="C5931" t="s">
        <v>250</v>
      </c>
      <c r="D5931" t="s">
        <v>1</v>
      </c>
      <c r="E5931" t="s">
        <v>3355</v>
      </c>
      <c r="F5931" t="s">
        <v>3356</v>
      </c>
      <c r="G5931" t="s">
        <v>52</v>
      </c>
      <c r="H5931" t="s">
        <v>53</v>
      </c>
      <c r="I5931" t="s">
        <v>53</v>
      </c>
      <c r="J5931" t="s">
        <v>53</v>
      </c>
      <c r="K5931" t="s">
        <v>53</v>
      </c>
      <c r="L5931" t="s">
        <v>53</v>
      </c>
      <c r="M5931" t="s">
        <v>53</v>
      </c>
      <c r="N5931" t="s">
        <v>53</v>
      </c>
      <c r="O5931" t="s">
        <v>53</v>
      </c>
      <c r="P5931" t="s">
        <v>53</v>
      </c>
      <c r="Q5931" t="s">
        <v>53</v>
      </c>
    </row>
    <row r="5932" spans="1:17" x14ac:dyDescent="0.2">
      <c r="A5932" s="30" t="str">
        <f>IF(C5932&amp;G5932&amp;D5932&lt;&gt;'Funnel setup'!$K$3&amp;'Funnel setup'!$K$4&amp;'Funnel setup'!$K$5,".",IF(A5931=".",1,A5931+1))</f>
        <v>.</v>
      </c>
      <c r="B5932" s="431" t="str">
        <f t="shared" si="92"/>
        <v>Knee Replacement RevisionProviderBOLTON NHS FOUNDATION TRUST (RMC)EQ-5D Index</v>
      </c>
      <c r="C5932" t="s">
        <v>250</v>
      </c>
      <c r="D5932" t="s">
        <v>1</v>
      </c>
      <c r="E5932" t="s">
        <v>3358</v>
      </c>
      <c r="F5932" t="s">
        <v>3359</v>
      </c>
      <c r="G5932" t="s">
        <v>52</v>
      </c>
      <c r="H5932">
        <v>9</v>
      </c>
      <c r="I5932">
        <v>0.13800000000000001</v>
      </c>
      <c r="J5932">
        <v>0.36699999999999999</v>
      </c>
      <c r="K5932">
        <v>0.23</v>
      </c>
      <c r="L5932">
        <v>6</v>
      </c>
      <c r="M5932">
        <v>2</v>
      </c>
      <c r="N5932">
        <v>1</v>
      </c>
      <c r="O5932" t="s">
        <v>53</v>
      </c>
      <c r="P5932" t="s">
        <v>53</v>
      </c>
      <c r="Q5932" t="s">
        <v>53</v>
      </c>
    </row>
    <row r="5933" spans="1:17" x14ac:dyDescent="0.2">
      <c r="A5933" s="30" t="str">
        <f>IF(C5933&amp;G5933&amp;D5933&lt;&gt;'Funnel setup'!$K$3&amp;'Funnel setup'!$K$4&amp;'Funnel setup'!$K$5,".",IF(A5932=".",1,A5932+1))</f>
        <v>.</v>
      </c>
      <c r="B5933" s="431" t="str">
        <f t="shared" si="92"/>
        <v>Knee Replacement RevisionProviderBRADFORD TEACHING HOSPITALS NHS FOUNDATION TRUST (RAE)EQ-5D Index</v>
      </c>
      <c r="C5933" t="s">
        <v>250</v>
      </c>
      <c r="D5933" t="s">
        <v>1</v>
      </c>
      <c r="E5933" t="s">
        <v>3361</v>
      </c>
      <c r="F5933" t="s">
        <v>3362</v>
      </c>
      <c r="G5933" t="s">
        <v>52</v>
      </c>
      <c r="H5933">
        <v>10</v>
      </c>
      <c r="I5933">
        <v>0.36399999999999999</v>
      </c>
      <c r="J5933">
        <v>0.59099999999999997</v>
      </c>
      <c r="K5933">
        <v>0.22600000000000001</v>
      </c>
      <c r="L5933">
        <v>7</v>
      </c>
      <c r="M5933">
        <v>1</v>
      </c>
      <c r="N5933">
        <v>2</v>
      </c>
      <c r="O5933" t="s">
        <v>53</v>
      </c>
      <c r="P5933" t="s">
        <v>53</v>
      </c>
      <c r="Q5933" t="s">
        <v>53</v>
      </c>
    </row>
    <row r="5934" spans="1:17" x14ac:dyDescent="0.2">
      <c r="A5934" s="30" t="str">
        <f>IF(C5934&amp;G5934&amp;D5934&lt;&gt;'Funnel setup'!$K$3&amp;'Funnel setup'!$K$4&amp;'Funnel setup'!$K$5,".",IF(A5933=".",1,A5933+1))</f>
        <v>.</v>
      </c>
      <c r="B5934" s="431" t="str">
        <f t="shared" si="92"/>
        <v>Knee Replacement RevisionProviderBRIGHTON AND SUSSEX UNIVERSITY HOSPITALS NHS TRUST (RXH)EQ-5D Index</v>
      </c>
      <c r="C5934" t="s">
        <v>250</v>
      </c>
      <c r="D5934" t="s">
        <v>1</v>
      </c>
      <c r="E5934" t="s">
        <v>3367</v>
      </c>
      <c r="F5934" t="s">
        <v>3368</v>
      </c>
      <c r="G5934" t="s">
        <v>52</v>
      </c>
      <c r="H5934">
        <v>20</v>
      </c>
      <c r="I5934">
        <v>0.223</v>
      </c>
      <c r="J5934">
        <v>0.49</v>
      </c>
      <c r="K5934">
        <v>0.26700000000000002</v>
      </c>
      <c r="L5934">
        <v>15</v>
      </c>
      <c r="M5934">
        <v>4</v>
      </c>
      <c r="N5934">
        <v>1</v>
      </c>
      <c r="O5934" t="s">
        <v>53</v>
      </c>
      <c r="P5934" t="s">
        <v>53</v>
      </c>
      <c r="Q5934" t="s">
        <v>53</v>
      </c>
    </row>
    <row r="5935" spans="1:17" x14ac:dyDescent="0.2">
      <c r="A5935" s="30" t="str">
        <f>IF(C5935&amp;G5935&amp;D5935&lt;&gt;'Funnel setup'!$K$3&amp;'Funnel setup'!$K$4&amp;'Funnel setup'!$K$5,".",IF(A5934=".",1,A5934+1))</f>
        <v>.</v>
      </c>
      <c r="B5935" s="431" t="str">
        <f t="shared" si="92"/>
        <v>Knee Replacement RevisionProviderBUCKINGHAMSHIRE HEALTHCARE NHS TRUST (RXQ)EQ-5D Index</v>
      </c>
      <c r="C5935" t="s">
        <v>250</v>
      </c>
      <c r="D5935" t="s">
        <v>1</v>
      </c>
      <c r="E5935" t="s">
        <v>3370</v>
      </c>
      <c r="F5935" t="s">
        <v>3371</v>
      </c>
      <c r="G5935" t="s">
        <v>52</v>
      </c>
      <c r="H5935" t="s">
        <v>53</v>
      </c>
      <c r="I5935" t="s">
        <v>53</v>
      </c>
      <c r="J5935" t="s">
        <v>53</v>
      </c>
      <c r="K5935" t="s">
        <v>53</v>
      </c>
      <c r="L5935" t="s">
        <v>53</v>
      </c>
      <c r="M5935" t="s">
        <v>53</v>
      </c>
      <c r="N5935" t="s">
        <v>53</v>
      </c>
      <c r="O5935" t="s">
        <v>53</v>
      </c>
      <c r="P5935" t="s">
        <v>53</v>
      </c>
      <c r="Q5935" t="s">
        <v>53</v>
      </c>
    </row>
    <row r="5936" spans="1:17" x14ac:dyDescent="0.2">
      <c r="A5936" s="30" t="str">
        <f>IF(C5936&amp;G5936&amp;D5936&lt;&gt;'Funnel setup'!$K$3&amp;'Funnel setup'!$K$4&amp;'Funnel setup'!$K$5,".",IF(A5935=".",1,A5935+1))</f>
        <v>.</v>
      </c>
      <c r="B5936" s="431" t="str">
        <f t="shared" si="92"/>
        <v>Knee Replacement RevisionProviderBURTON HOSPITALS NHS FOUNDATION TRUST (RJF)EQ-5D Index</v>
      </c>
      <c r="C5936" t="s">
        <v>250</v>
      </c>
      <c r="D5936" t="s">
        <v>1</v>
      </c>
      <c r="E5936" t="s">
        <v>3373</v>
      </c>
      <c r="F5936" t="s">
        <v>3374</v>
      </c>
      <c r="G5936" t="s">
        <v>52</v>
      </c>
      <c r="H5936" t="s">
        <v>53</v>
      </c>
      <c r="I5936" t="s">
        <v>53</v>
      </c>
      <c r="J5936" t="s">
        <v>53</v>
      </c>
      <c r="K5936" t="s">
        <v>53</v>
      </c>
      <c r="L5936" t="s">
        <v>53</v>
      </c>
      <c r="M5936" t="s">
        <v>53</v>
      </c>
      <c r="N5936" t="s">
        <v>53</v>
      </c>
      <c r="O5936" t="s">
        <v>53</v>
      </c>
      <c r="P5936" t="s">
        <v>53</v>
      </c>
      <c r="Q5936" t="s">
        <v>53</v>
      </c>
    </row>
    <row r="5937" spans="1:17" x14ac:dyDescent="0.2">
      <c r="A5937" s="30" t="str">
        <f>IF(C5937&amp;G5937&amp;D5937&lt;&gt;'Funnel setup'!$K$3&amp;'Funnel setup'!$K$4&amp;'Funnel setup'!$K$5,".",IF(A5936=".",1,A5936+1))</f>
        <v>.</v>
      </c>
      <c r="B5937" s="431" t="str">
        <f t="shared" si="92"/>
        <v>Knee Replacement RevisionProviderCALDERDALE AND HUDDERSFIELD NHS FOUNDATION TRUST (RWY)EQ-5D Index</v>
      </c>
      <c r="C5937" t="s">
        <v>250</v>
      </c>
      <c r="D5937" t="s">
        <v>1</v>
      </c>
      <c r="E5937" t="s">
        <v>3379</v>
      </c>
      <c r="F5937" t="s">
        <v>3380</v>
      </c>
      <c r="G5937" t="s">
        <v>52</v>
      </c>
      <c r="H5937">
        <v>11</v>
      </c>
      <c r="I5937">
        <v>0.42699999999999999</v>
      </c>
      <c r="J5937">
        <v>0.69499999999999995</v>
      </c>
      <c r="K5937">
        <v>0.26800000000000002</v>
      </c>
      <c r="L5937">
        <v>7</v>
      </c>
      <c r="M5937">
        <v>2</v>
      </c>
      <c r="N5937">
        <v>2</v>
      </c>
      <c r="O5937" t="s">
        <v>53</v>
      </c>
      <c r="P5937" t="s">
        <v>53</v>
      </c>
      <c r="Q5937" t="s">
        <v>53</v>
      </c>
    </row>
    <row r="5938" spans="1:17" x14ac:dyDescent="0.2">
      <c r="A5938" s="30" t="str">
        <f>IF(C5938&amp;G5938&amp;D5938&lt;&gt;'Funnel setup'!$K$3&amp;'Funnel setup'!$K$4&amp;'Funnel setup'!$K$5,".",IF(A5937=".",1,A5937+1))</f>
        <v>.</v>
      </c>
      <c r="B5938" s="431" t="str">
        <f t="shared" si="92"/>
        <v>Knee Replacement RevisionProviderCAMBRIDGE UNIVERSITY HOSPITALS NHS FOUNDATION TRUST (RGT)EQ-5D Index</v>
      </c>
      <c r="C5938" t="s">
        <v>250</v>
      </c>
      <c r="D5938" t="s">
        <v>1</v>
      </c>
      <c r="E5938" t="s">
        <v>3076</v>
      </c>
      <c r="F5938" t="s">
        <v>3077</v>
      </c>
      <c r="G5938" t="s">
        <v>52</v>
      </c>
      <c r="H5938">
        <v>20</v>
      </c>
      <c r="I5938">
        <v>0.38700000000000001</v>
      </c>
      <c r="J5938">
        <v>0.68300000000000005</v>
      </c>
      <c r="K5938">
        <v>0.29599999999999999</v>
      </c>
      <c r="L5938">
        <v>13</v>
      </c>
      <c r="M5938">
        <v>5</v>
      </c>
      <c r="N5938">
        <v>2</v>
      </c>
      <c r="O5938" t="s">
        <v>53</v>
      </c>
      <c r="P5938" t="s">
        <v>53</v>
      </c>
      <c r="Q5938" t="s">
        <v>53</v>
      </c>
    </row>
    <row r="5939" spans="1:17" x14ac:dyDescent="0.2">
      <c r="A5939" s="30" t="str">
        <f>IF(C5939&amp;G5939&amp;D5939&lt;&gt;'Funnel setup'!$K$3&amp;'Funnel setup'!$K$4&amp;'Funnel setup'!$K$5,".",IF(A5938=".",1,A5938+1))</f>
        <v>.</v>
      </c>
      <c r="B5939" s="431" t="str">
        <f t="shared" si="92"/>
        <v>Knee Replacement RevisionProviderCENTRAL MANCHESTER UNIVERSITY HOSPITALS NHS FOUNDATION TRUST (RW3)EQ-5D Index</v>
      </c>
      <c r="C5939" t="s">
        <v>250</v>
      </c>
      <c r="D5939" t="s">
        <v>1</v>
      </c>
      <c r="E5939" t="s">
        <v>3079</v>
      </c>
      <c r="F5939" t="s">
        <v>3080</v>
      </c>
      <c r="G5939" t="s">
        <v>52</v>
      </c>
      <c r="H5939" t="s">
        <v>53</v>
      </c>
      <c r="I5939" t="s">
        <v>53</v>
      </c>
      <c r="J5939" t="s">
        <v>53</v>
      </c>
      <c r="K5939" t="s">
        <v>53</v>
      </c>
      <c r="L5939" t="s">
        <v>53</v>
      </c>
      <c r="M5939" t="s">
        <v>53</v>
      </c>
      <c r="N5939" t="s">
        <v>53</v>
      </c>
      <c r="O5939" t="s">
        <v>53</v>
      </c>
      <c r="P5939" t="s">
        <v>53</v>
      </c>
      <c r="Q5939" t="s">
        <v>53</v>
      </c>
    </row>
    <row r="5940" spans="1:17" x14ac:dyDescent="0.2">
      <c r="A5940" s="30" t="str">
        <f>IF(C5940&amp;G5940&amp;D5940&lt;&gt;'Funnel setup'!$K$3&amp;'Funnel setup'!$K$4&amp;'Funnel setup'!$K$5,".",IF(A5939=".",1,A5939+1))</f>
        <v>.</v>
      </c>
      <c r="B5940" s="431" t="str">
        <f t="shared" si="92"/>
        <v>Knee Replacement RevisionProviderCHESTERFIELD ROYAL HOSPITAL NHS FOUNDATION TRUST (RFS)EQ-5D Index</v>
      </c>
      <c r="C5940" t="s">
        <v>250</v>
      </c>
      <c r="D5940" t="s">
        <v>1</v>
      </c>
      <c r="E5940" t="s">
        <v>3085</v>
      </c>
      <c r="F5940" t="s">
        <v>3086</v>
      </c>
      <c r="G5940" t="s">
        <v>52</v>
      </c>
      <c r="H5940">
        <v>6</v>
      </c>
      <c r="I5940">
        <v>0.35099999999999998</v>
      </c>
      <c r="J5940">
        <v>0.48499999999999999</v>
      </c>
      <c r="K5940">
        <v>0.13500000000000001</v>
      </c>
      <c r="L5940">
        <v>3</v>
      </c>
      <c r="M5940">
        <v>1</v>
      </c>
      <c r="N5940">
        <v>2</v>
      </c>
      <c r="O5940" t="s">
        <v>53</v>
      </c>
      <c r="P5940" t="s">
        <v>53</v>
      </c>
      <c r="Q5940" t="s">
        <v>53</v>
      </c>
    </row>
    <row r="5941" spans="1:17" x14ac:dyDescent="0.2">
      <c r="A5941" s="30" t="str">
        <f>IF(C5941&amp;G5941&amp;D5941&lt;&gt;'Funnel setup'!$K$3&amp;'Funnel setup'!$K$4&amp;'Funnel setup'!$K$5,".",IF(A5940=".",1,A5940+1))</f>
        <v>.</v>
      </c>
      <c r="B5941" s="431" t="str">
        <f t="shared" si="92"/>
        <v>Knee Replacement RevisionProviderCIRCLE BATH HOSPITAL (NV302)EQ-5D Index</v>
      </c>
      <c r="C5941" t="s">
        <v>250</v>
      </c>
      <c r="D5941" t="s">
        <v>1</v>
      </c>
      <c r="E5941" t="s">
        <v>3097</v>
      </c>
      <c r="F5941" t="s">
        <v>3098</v>
      </c>
      <c r="G5941" t="s">
        <v>52</v>
      </c>
      <c r="H5941" t="s">
        <v>53</v>
      </c>
      <c r="I5941" t="s">
        <v>53</v>
      </c>
      <c r="J5941" t="s">
        <v>53</v>
      </c>
      <c r="K5941" t="s">
        <v>53</v>
      </c>
      <c r="L5941" t="s">
        <v>53</v>
      </c>
      <c r="M5941" t="s">
        <v>53</v>
      </c>
      <c r="N5941" t="s">
        <v>53</v>
      </c>
      <c r="O5941" t="s">
        <v>53</v>
      </c>
      <c r="P5941" t="s">
        <v>53</v>
      </c>
      <c r="Q5941" t="s">
        <v>53</v>
      </c>
    </row>
    <row r="5942" spans="1:17" x14ac:dyDescent="0.2">
      <c r="A5942" s="30" t="str">
        <f>IF(C5942&amp;G5942&amp;D5942&lt;&gt;'Funnel setup'!$K$3&amp;'Funnel setup'!$K$4&amp;'Funnel setup'!$K$5,".",IF(A5941=".",1,A5941+1))</f>
        <v>.</v>
      </c>
      <c r="B5942" s="431" t="str">
        <f t="shared" si="92"/>
        <v>Knee Replacement RevisionProviderCITY HOSPITALS SUNDERLAND NHS FOUNDATION TRUST (RLN)EQ-5D Index</v>
      </c>
      <c r="C5942" t="s">
        <v>250</v>
      </c>
      <c r="D5942" t="s">
        <v>1</v>
      </c>
      <c r="E5942" t="s">
        <v>3100</v>
      </c>
      <c r="F5942" t="s">
        <v>3101</v>
      </c>
      <c r="G5942" t="s">
        <v>52</v>
      </c>
      <c r="H5942">
        <v>8</v>
      </c>
      <c r="I5942">
        <v>0.33600000000000002</v>
      </c>
      <c r="J5942">
        <v>0.59299999999999997</v>
      </c>
      <c r="K5942">
        <v>0.25800000000000001</v>
      </c>
      <c r="L5942">
        <v>6</v>
      </c>
      <c r="M5942">
        <v>0</v>
      </c>
      <c r="N5942">
        <v>2</v>
      </c>
      <c r="O5942" t="s">
        <v>53</v>
      </c>
      <c r="P5942" t="s">
        <v>53</v>
      </c>
      <c r="Q5942" t="s">
        <v>53</v>
      </c>
    </row>
    <row r="5943" spans="1:17" x14ac:dyDescent="0.2">
      <c r="A5943" s="30" t="str">
        <f>IF(C5943&amp;G5943&amp;D5943&lt;&gt;'Funnel setup'!$K$3&amp;'Funnel setup'!$K$4&amp;'Funnel setup'!$K$5,".",IF(A5942=".",1,A5942+1))</f>
        <v>.</v>
      </c>
      <c r="B5943" s="431" t="str">
        <f t="shared" si="92"/>
        <v>Knee Replacement RevisionProviderCLIFTON PARK HOSPITAL (NVC28)EQ-5D Index</v>
      </c>
      <c r="C5943" t="s">
        <v>250</v>
      </c>
      <c r="D5943" t="s">
        <v>1</v>
      </c>
      <c r="E5943" t="s">
        <v>4229</v>
      </c>
      <c r="F5943" t="s">
        <v>4230</v>
      </c>
      <c r="G5943" t="s">
        <v>52</v>
      </c>
      <c r="H5943">
        <v>9</v>
      </c>
      <c r="I5943">
        <v>0.437</v>
      </c>
      <c r="J5943">
        <v>0.63700000000000001</v>
      </c>
      <c r="K5943">
        <v>0.2</v>
      </c>
      <c r="L5943">
        <v>6</v>
      </c>
      <c r="M5943">
        <v>1</v>
      </c>
      <c r="N5943">
        <v>2</v>
      </c>
      <c r="O5943" t="s">
        <v>53</v>
      </c>
      <c r="P5943" t="s">
        <v>53</v>
      </c>
      <c r="Q5943" t="s">
        <v>53</v>
      </c>
    </row>
    <row r="5944" spans="1:17" x14ac:dyDescent="0.2">
      <c r="A5944" s="30" t="str">
        <f>IF(C5944&amp;G5944&amp;D5944&lt;&gt;'Funnel setup'!$K$3&amp;'Funnel setup'!$K$4&amp;'Funnel setup'!$K$5,".",IF(A5943=".",1,A5943+1))</f>
        <v>.</v>
      </c>
      <c r="B5944" s="431" t="str">
        <f t="shared" si="92"/>
        <v>Knee Replacement RevisionProviderCOLCHESTER HOSPITAL UNIVERSITY NHS FOUNDATION TRUST (RDE)EQ-5D Index</v>
      </c>
      <c r="C5944" t="s">
        <v>250</v>
      </c>
      <c r="D5944" t="s">
        <v>1</v>
      </c>
      <c r="E5944" t="s">
        <v>3109</v>
      </c>
      <c r="F5944" t="s">
        <v>3110</v>
      </c>
      <c r="G5944" t="s">
        <v>52</v>
      </c>
      <c r="H5944">
        <v>8</v>
      </c>
      <c r="I5944">
        <v>0.318</v>
      </c>
      <c r="J5944">
        <v>0.45900000000000002</v>
      </c>
      <c r="K5944">
        <v>0.14000000000000001</v>
      </c>
      <c r="L5944">
        <v>5</v>
      </c>
      <c r="M5944">
        <v>0</v>
      </c>
      <c r="N5944">
        <v>3</v>
      </c>
      <c r="O5944" t="s">
        <v>53</v>
      </c>
      <c r="P5944" t="s">
        <v>53</v>
      </c>
      <c r="Q5944" t="s">
        <v>53</v>
      </c>
    </row>
    <row r="5945" spans="1:17" x14ac:dyDescent="0.2">
      <c r="A5945" s="30" t="str">
        <f>IF(C5945&amp;G5945&amp;D5945&lt;&gt;'Funnel setup'!$K$3&amp;'Funnel setup'!$K$4&amp;'Funnel setup'!$K$5,".",IF(A5944=".",1,A5944+1))</f>
        <v>.</v>
      </c>
      <c r="B5945" s="431" t="str">
        <f t="shared" si="92"/>
        <v>Knee Replacement RevisionProviderCOUNTESS OF CHESTER HOSPITAL NHS FOUNDATION TRUST (RJR)EQ-5D Index</v>
      </c>
      <c r="C5945" t="s">
        <v>250</v>
      </c>
      <c r="D5945" t="s">
        <v>1</v>
      </c>
      <c r="E5945" t="s">
        <v>3781</v>
      </c>
      <c r="F5945" t="s">
        <v>3782</v>
      </c>
      <c r="G5945" t="s">
        <v>52</v>
      </c>
      <c r="H5945" t="s">
        <v>53</v>
      </c>
      <c r="I5945" t="s">
        <v>53</v>
      </c>
      <c r="J5945" t="s">
        <v>53</v>
      </c>
      <c r="K5945" t="s">
        <v>53</v>
      </c>
      <c r="L5945" t="s">
        <v>53</v>
      </c>
      <c r="M5945" t="s">
        <v>53</v>
      </c>
      <c r="N5945" t="s">
        <v>53</v>
      </c>
      <c r="O5945" t="s">
        <v>53</v>
      </c>
      <c r="P5945" t="s">
        <v>53</v>
      </c>
      <c r="Q5945" t="s">
        <v>53</v>
      </c>
    </row>
    <row r="5946" spans="1:17" x14ac:dyDescent="0.2">
      <c r="A5946" s="30" t="str">
        <f>IF(C5946&amp;G5946&amp;D5946&lt;&gt;'Funnel setup'!$K$3&amp;'Funnel setup'!$K$4&amp;'Funnel setup'!$K$5,".",IF(A5945=".",1,A5945+1))</f>
        <v>.</v>
      </c>
      <c r="B5946" s="431" t="str">
        <f t="shared" si="92"/>
        <v>Knee Replacement RevisionProviderCOUNTY DURHAM AND DARLINGTON NHS FOUNDATION TRUST (RXP)EQ-5D Index</v>
      </c>
      <c r="C5946" t="s">
        <v>250</v>
      </c>
      <c r="D5946" t="s">
        <v>1</v>
      </c>
      <c r="E5946" t="s">
        <v>3784</v>
      </c>
      <c r="F5946" t="s">
        <v>3785</v>
      </c>
      <c r="G5946" t="s">
        <v>52</v>
      </c>
      <c r="H5946" t="s">
        <v>53</v>
      </c>
      <c r="I5946" t="s">
        <v>53</v>
      </c>
      <c r="J5946" t="s">
        <v>53</v>
      </c>
      <c r="K5946" t="s">
        <v>53</v>
      </c>
      <c r="L5946" t="s">
        <v>53</v>
      </c>
      <c r="M5946" t="s">
        <v>53</v>
      </c>
      <c r="N5946" t="s">
        <v>53</v>
      </c>
      <c r="O5946" t="s">
        <v>53</v>
      </c>
      <c r="P5946" t="s">
        <v>53</v>
      </c>
      <c r="Q5946" t="s">
        <v>53</v>
      </c>
    </row>
    <row r="5947" spans="1:17" x14ac:dyDescent="0.2">
      <c r="A5947" s="30" t="str">
        <f>IF(C5947&amp;G5947&amp;D5947&lt;&gt;'Funnel setup'!$K$3&amp;'Funnel setup'!$K$4&amp;'Funnel setup'!$K$5,".",IF(A5946=".",1,A5946+1))</f>
        <v>.</v>
      </c>
      <c r="B5947" s="431" t="str">
        <f t="shared" si="92"/>
        <v>Knee Replacement RevisionProviderDARTFORD AND GRAVESHAM NHS TRUST (RN7)EQ-5D Index</v>
      </c>
      <c r="C5947" t="s">
        <v>250</v>
      </c>
      <c r="D5947" t="s">
        <v>1</v>
      </c>
      <c r="E5947" t="s">
        <v>3787</v>
      </c>
      <c r="F5947" t="s">
        <v>3788</v>
      </c>
      <c r="G5947" t="s">
        <v>52</v>
      </c>
      <c r="H5947" t="s">
        <v>53</v>
      </c>
      <c r="I5947" t="s">
        <v>53</v>
      </c>
      <c r="J5947" t="s">
        <v>53</v>
      </c>
      <c r="K5947" t="s">
        <v>53</v>
      </c>
      <c r="L5947" t="s">
        <v>53</v>
      </c>
      <c r="M5947" t="s">
        <v>53</v>
      </c>
      <c r="N5947" t="s">
        <v>53</v>
      </c>
      <c r="O5947" t="s">
        <v>53</v>
      </c>
      <c r="P5947" t="s">
        <v>53</v>
      </c>
      <c r="Q5947" t="s">
        <v>53</v>
      </c>
    </row>
    <row r="5948" spans="1:17" x14ac:dyDescent="0.2">
      <c r="A5948" s="30" t="str">
        <f>IF(C5948&amp;G5948&amp;D5948&lt;&gt;'Funnel setup'!$K$3&amp;'Funnel setup'!$K$4&amp;'Funnel setup'!$K$5,".",IF(A5947=".",1,A5947+1))</f>
        <v>.</v>
      </c>
      <c r="B5948" s="431" t="str">
        <f t="shared" si="92"/>
        <v>Knee Replacement RevisionProviderDERBY TEACHING HOSPITALS NHS FOUNDATION TRUST (RTG)EQ-5D Index</v>
      </c>
      <c r="C5948" t="s">
        <v>250</v>
      </c>
      <c r="D5948" t="s">
        <v>1</v>
      </c>
      <c r="E5948" t="s">
        <v>3790</v>
      </c>
      <c r="F5948" t="s">
        <v>3791</v>
      </c>
      <c r="G5948" t="s">
        <v>52</v>
      </c>
      <c r="H5948">
        <v>13</v>
      </c>
      <c r="I5948">
        <v>0.39600000000000002</v>
      </c>
      <c r="J5948">
        <v>0.54300000000000004</v>
      </c>
      <c r="K5948">
        <v>0.14699999999999999</v>
      </c>
      <c r="L5948">
        <v>7</v>
      </c>
      <c r="M5948">
        <v>2</v>
      </c>
      <c r="N5948">
        <v>4</v>
      </c>
      <c r="O5948" t="s">
        <v>53</v>
      </c>
      <c r="P5948" t="s">
        <v>53</v>
      </c>
      <c r="Q5948" t="s">
        <v>53</v>
      </c>
    </row>
    <row r="5949" spans="1:17" x14ac:dyDescent="0.2">
      <c r="A5949" s="30" t="str">
        <f>IF(C5949&amp;G5949&amp;D5949&lt;&gt;'Funnel setup'!$K$3&amp;'Funnel setup'!$K$4&amp;'Funnel setup'!$K$5,".",IF(A5948=".",1,A5948+1))</f>
        <v>.</v>
      </c>
      <c r="B5949" s="431" t="str">
        <f t="shared" si="92"/>
        <v>Knee Replacement RevisionProviderDONCASTER AND BASSETLAW HOSPITALS NHS FOUNDATION TRUST (RP5)EQ-5D Index</v>
      </c>
      <c r="C5949" t="s">
        <v>250</v>
      </c>
      <c r="D5949" t="s">
        <v>1</v>
      </c>
      <c r="E5949" t="s">
        <v>3799</v>
      </c>
      <c r="F5949" t="s">
        <v>3800</v>
      </c>
      <c r="G5949" t="s">
        <v>52</v>
      </c>
      <c r="H5949">
        <v>23</v>
      </c>
      <c r="I5949">
        <v>0.22500000000000001</v>
      </c>
      <c r="J5949">
        <v>0.38</v>
      </c>
      <c r="K5949">
        <v>0.154</v>
      </c>
      <c r="L5949">
        <v>13</v>
      </c>
      <c r="M5949">
        <v>3</v>
      </c>
      <c r="N5949">
        <v>7</v>
      </c>
      <c r="O5949" t="s">
        <v>53</v>
      </c>
      <c r="P5949" t="s">
        <v>53</v>
      </c>
      <c r="Q5949" t="s">
        <v>53</v>
      </c>
    </row>
    <row r="5950" spans="1:17" x14ac:dyDescent="0.2">
      <c r="A5950" s="30" t="str">
        <f>IF(C5950&amp;G5950&amp;D5950&lt;&gt;'Funnel setup'!$K$3&amp;'Funnel setup'!$K$4&amp;'Funnel setup'!$K$5,".",IF(A5949=".",1,A5949+1))</f>
        <v>.</v>
      </c>
      <c r="B5950" s="431" t="str">
        <f t="shared" si="92"/>
        <v>Knee Replacement RevisionProviderDORSET COUNTY HOSPITAL NHS FOUNDATION TRUST (RBD)EQ-5D Index</v>
      </c>
      <c r="C5950" t="s">
        <v>250</v>
      </c>
      <c r="D5950" t="s">
        <v>1</v>
      </c>
      <c r="E5950" t="s">
        <v>3802</v>
      </c>
      <c r="F5950" t="s">
        <v>3803</v>
      </c>
      <c r="G5950" t="s">
        <v>52</v>
      </c>
      <c r="H5950">
        <v>6</v>
      </c>
      <c r="I5950">
        <v>0.10199999999999999</v>
      </c>
      <c r="J5950">
        <v>0.53600000000000003</v>
      </c>
      <c r="K5950">
        <v>0.433</v>
      </c>
      <c r="L5950">
        <v>6</v>
      </c>
      <c r="M5950">
        <v>0</v>
      </c>
      <c r="N5950">
        <v>0</v>
      </c>
      <c r="O5950" t="s">
        <v>53</v>
      </c>
      <c r="P5950" t="s">
        <v>53</v>
      </c>
      <c r="Q5950" t="s">
        <v>53</v>
      </c>
    </row>
    <row r="5951" spans="1:17" x14ac:dyDescent="0.2">
      <c r="A5951" s="30" t="str">
        <f>IF(C5951&amp;G5951&amp;D5951&lt;&gt;'Funnel setup'!$K$3&amp;'Funnel setup'!$K$4&amp;'Funnel setup'!$K$5,".",IF(A5950=".",1,A5950+1))</f>
        <v>.</v>
      </c>
      <c r="B5951" s="431" t="str">
        <f t="shared" si="92"/>
        <v>Knee Replacement RevisionProviderDUCHY HOSPITAL (NVC04)EQ-5D Index</v>
      </c>
      <c r="C5951" t="s">
        <v>250</v>
      </c>
      <c r="D5951" t="s">
        <v>1</v>
      </c>
      <c r="E5951" t="s">
        <v>4518</v>
      </c>
      <c r="F5951" t="s">
        <v>4519</v>
      </c>
      <c r="G5951" t="s">
        <v>52</v>
      </c>
      <c r="H5951">
        <v>10</v>
      </c>
      <c r="I5951">
        <v>0.40699999999999997</v>
      </c>
      <c r="J5951">
        <v>0.62</v>
      </c>
      <c r="K5951">
        <v>0.21299999999999999</v>
      </c>
      <c r="L5951">
        <v>4</v>
      </c>
      <c r="M5951">
        <v>4</v>
      </c>
      <c r="N5951">
        <v>2</v>
      </c>
      <c r="O5951" t="s">
        <v>53</v>
      </c>
      <c r="P5951" t="s">
        <v>53</v>
      </c>
      <c r="Q5951" t="s">
        <v>53</v>
      </c>
    </row>
    <row r="5952" spans="1:17" x14ac:dyDescent="0.2">
      <c r="A5952" s="30" t="str">
        <f>IF(C5952&amp;G5952&amp;D5952&lt;&gt;'Funnel setup'!$K$3&amp;'Funnel setup'!$K$4&amp;'Funnel setup'!$K$5,".",IF(A5951=".",1,A5951+1))</f>
        <v>.</v>
      </c>
      <c r="B5952" s="431" t="str">
        <f t="shared" si="92"/>
        <v>Knee Replacement RevisionProviderEAST AND NORTH HERTFORDSHIRE NHS TRUST (RWH)EQ-5D Index</v>
      </c>
      <c r="C5952" t="s">
        <v>250</v>
      </c>
      <c r="D5952" t="s">
        <v>1</v>
      </c>
      <c r="E5952" t="s">
        <v>3814</v>
      </c>
      <c r="F5952" t="s">
        <v>3815</v>
      </c>
      <c r="G5952" t="s">
        <v>52</v>
      </c>
      <c r="H5952">
        <v>9</v>
      </c>
      <c r="I5952">
        <v>0.32800000000000001</v>
      </c>
      <c r="J5952">
        <v>0.71499999999999997</v>
      </c>
      <c r="K5952">
        <v>0.38700000000000001</v>
      </c>
      <c r="L5952">
        <v>8</v>
      </c>
      <c r="M5952">
        <v>1</v>
      </c>
      <c r="N5952">
        <v>0</v>
      </c>
      <c r="O5952" t="s">
        <v>53</v>
      </c>
      <c r="P5952" t="s">
        <v>53</v>
      </c>
      <c r="Q5952" t="s">
        <v>53</v>
      </c>
    </row>
    <row r="5953" spans="1:17" x14ac:dyDescent="0.2">
      <c r="A5953" s="30" t="str">
        <f>IF(C5953&amp;G5953&amp;D5953&lt;&gt;'Funnel setup'!$K$3&amp;'Funnel setup'!$K$4&amp;'Funnel setup'!$K$5,".",IF(A5952=".",1,A5952+1))</f>
        <v>.</v>
      </c>
      <c r="B5953" s="431" t="str">
        <f t="shared" si="92"/>
        <v>Knee Replacement RevisionProviderEAST CHESHIRE NHS TRUST (RJN)EQ-5D Index</v>
      </c>
      <c r="C5953" t="s">
        <v>250</v>
      </c>
      <c r="D5953" t="s">
        <v>1</v>
      </c>
      <c r="E5953" t="s">
        <v>3817</v>
      </c>
      <c r="F5953" t="s">
        <v>3818</v>
      </c>
      <c r="G5953" t="s">
        <v>52</v>
      </c>
      <c r="H5953" t="s">
        <v>53</v>
      </c>
      <c r="I5953" t="s">
        <v>53</v>
      </c>
      <c r="J5953" t="s">
        <v>53</v>
      </c>
      <c r="K5953" t="s">
        <v>53</v>
      </c>
      <c r="L5953" t="s">
        <v>53</v>
      </c>
      <c r="M5953" t="s">
        <v>53</v>
      </c>
      <c r="N5953" t="s">
        <v>53</v>
      </c>
      <c r="O5953" t="s">
        <v>53</v>
      </c>
      <c r="P5953" t="s">
        <v>53</v>
      </c>
      <c r="Q5953" t="s">
        <v>53</v>
      </c>
    </row>
    <row r="5954" spans="1:17" x14ac:dyDescent="0.2">
      <c r="A5954" s="30" t="str">
        <f>IF(C5954&amp;G5954&amp;D5954&lt;&gt;'Funnel setup'!$K$3&amp;'Funnel setup'!$K$4&amp;'Funnel setup'!$K$5,".",IF(A5953=".",1,A5953+1))</f>
        <v>.</v>
      </c>
      <c r="B5954" s="431" t="str">
        <f t="shared" si="92"/>
        <v>Knee Replacement RevisionProviderEAST KENT HOSPITALS UNIVERSITY NHS FOUNDATION TRUST (RVV)EQ-5D Index</v>
      </c>
      <c r="C5954" t="s">
        <v>250</v>
      </c>
      <c r="D5954" t="s">
        <v>1</v>
      </c>
      <c r="E5954" t="s">
        <v>3820</v>
      </c>
      <c r="F5954" t="s">
        <v>3821</v>
      </c>
      <c r="G5954" t="s">
        <v>52</v>
      </c>
      <c r="H5954">
        <v>23</v>
      </c>
      <c r="I5954">
        <v>0.309</v>
      </c>
      <c r="J5954">
        <v>0.67600000000000005</v>
      </c>
      <c r="K5954">
        <v>0.36799999999999999</v>
      </c>
      <c r="L5954">
        <v>20</v>
      </c>
      <c r="M5954">
        <v>1</v>
      </c>
      <c r="N5954">
        <v>2</v>
      </c>
      <c r="O5954" t="s">
        <v>53</v>
      </c>
      <c r="P5954" t="s">
        <v>53</v>
      </c>
      <c r="Q5954" t="s">
        <v>53</v>
      </c>
    </row>
    <row r="5955" spans="1:17" x14ac:dyDescent="0.2">
      <c r="A5955" s="30" t="str">
        <f>IF(C5955&amp;G5955&amp;D5955&lt;&gt;'Funnel setup'!$K$3&amp;'Funnel setup'!$K$4&amp;'Funnel setup'!$K$5,".",IF(A5954=".",1,A5954+1))</f>
        <v>.</v>
      </c>
      <c r="B5955" s="431" t="str">
        <f t="shared" ref="B5955:B6018" si="93">C5955&amp;D5955&amp;F5955&amp;G5955</f>
        <v>Knee Replacement RevisionProviderEAST LANCASHIRE HOSPITALS NHS TRUST (RXR)EQ-5D Index</v>
      </c>
      <c r="C5955" t="s">
        <v>250</v>
      </c>
      <c r="D5955" t="s">
        <v>1</v>
      </c>
      <c r="E5955" t="s">
        <v>3823</v>
      </c>
      <c r="F5955" t="s">
        <v>3824</v>
      </c>
      <c r="G5955" t="s">
        <v>52</v>
      </c>
      <c r="H5955" t="s">
        <v>53</v>
      </c>
      <c r="I5955" t="s">
        <v>53</v>
      </c>
      <c r="J5955" t="s">
        <v>53</v>
      </c>
      <c r="K5955" t="s">
        <v>53</v>
      </c>
      <c r="L5955" t="s">
        <v>53</v>
      </c>
      <c r="M5955" t="s">
        <v>53</v>
      </c>
      <c r="N5955" t="s">
        <v>53</v>
      </c>
      <c r="O5955" t="s">
        <v>53</v>
      </c>
      <c r="P5955" t="s">
        <v>53</v>
      </c>
      <c r="Q5955" t="s">
        <v>53</v>
      </c>
    </row>
    <row r="5956" spans="1:17" x14ac:dyDescent="0.2">
      <c r="A5956" s="30" t="str">
        <f>IF(C5956&amp;G5956&amp;D5956&lt;&gt;'Funnel setup'!$K$3&amp;'Funnel setup'!$K$4&amp;'Funnel setup'!$K$5,".",IF(A5955=".",1,A5955+1))</f>
        <v>.</v>
      </c>
      <c r="B5956" s="431" t="str">
        <f t="shared" si="93"/>
        <v>Knee Replacement RevisionProviderEAST SUSSEX HEALTHCARE NHS TRUST (RXC)EQ-5D Index</v>
      </c>
      <c r="C5956" t="s">
        <v>250</v>
      </c>
      <c r="D5956" t="s">
        <v>1</v>
      </c>
      <c r="E5956" t="s">
        <v>3826</v>
      </c>
      <c r="F5956" t="s">
        <v>3827</v>
      </c>
      <c r="G5956" t="s">
        <v>52</v>
      </c>
      <c r="H5956">
        <v>22</v>
      </c>
      <c r="I5956">
        <v>0.34799999999999998</v>
      </c>
      <c r="J5956">
        <v>0.59</v>
      </c>
      <c r="K5956">
        <v>0.24199999999999999</v>
      </c>
      <c r="L5956">
        <v>17</v>
      </c>
      <c r="M5956">
        <v>2</v>
      </c>
      <c r="N5956">
        <v>3</v>
      </c>
      <c r="O5956" t="s">
        <v>53</v>
      </c>
      <c r="P5956" t="s">
        <v>53</v>
      </c>
      <c r="Q5956" t="s">
        <v>53</v>
      </c>
    </row>
    <row r="5957" spans="1:17" x14ac:dyDescent="0.2">
      <c r="A5957" s="30" t="str">
        <f>IF(C5957&amp;G5957&amp;D5957&lt;&gt;'Funnel setup'!$K$3&amp;'Funnel setup'!$K$4&amp;'Funnel setup'!$K$5,".",IF(A5956=".",1,A5956+1))</f>
        <v>.</v>
      </c>
      <c r="B5957" s="431" t="str">
        <f t="shared" si="93"/>
        <v>Knee Replacement RevisionProviderEMERSONS GREEN NHS TREATMENT CENTRE (NTPH2)EQ-5D Index</v>
      </c>
      <c r="C5957" t="s">
        <v>250</v>
      </c>
      <c r="D5957" t="s">
        <v>1</v>
      </c>
      <c r="E5957" t="s">
        <v>3829</v>
      </c>
      <c r="F5957" t="s">
        <v>3830</v>
      </c>
      <c r="G5957" t="s">
        <v>52</v>
      </c>
      <c r="H5957">
        <v>6</v>
      </c>
      <c r="I5957">
        <v>0.38900000000000001</v>
      </c>
      <c r="J5957">
        <v>0.54900000000000004</v>
      </c>
      <c r="K5957">
        <v>0.159</v>
      </c>
      <c r="L5957">
        <v>3</v>
      </c>
      <c r="M5957">
        <v>1</v>
      </c>
      <c r="N5957">
        <v>2</v>
      </c>
      <c r="O5957" t="s">
        <v>53</v>
      </c>
      <c r="P5957" t="s">
        <v>53</v>
      </c>
      <c r="Q5957" t="s">
        <v>53</v>
      </c>
    </row>
    <row r="5958" spans="1:17" x14ac:dyDescent="0.2">
      <c r="A5958" s="30" t="str">
        <f>IF(C5958&amp;G5958&amp;D5958&lt;&gt;'Funnel setup'!$K$3&amp;'Funnel setup'!$K$4&amp;'Funnel setup'!$K$5,".",IF(A5957=".",1,A5957+1))</f>
        <v>.</v>
      </c>
      <c r="B5958" s="431" t="str">
        <f t="shared" si="93"/>
        <v>Knee Replacement RevisionProviderEPSOM AND ST HELIER UNIVERSITY HOSPITALS NHS TRUST (RVR)EQ-5D Index</v>
      </c>
      <c r="C5958" t="s">
        <v>250</v>
      </c>
      <c r="D5958" t="s">
        <v>1</v>
      </c>
      <c r="E5958" t="s">
        <v>3849</v>
      </c>
      <c r="F5958" t="s">
        <v>3850</v>
      </c>
      <c r="G5958" t="s">
        <v>52</v>
      </c>
      <c r="H5958">
        <v>11</v>
      </c>
      <c r="I5958">
        <v>0.29899999999999999</v>
      </c>
      <c r="J5958">
        <v>0.67</v>
      </c>
      <c r="K5958">
        <v>0.371</v>
      </c>
      <c r="L5958">
        <v>9</v>
      </c>
      <c r="M5958">
        <v>1</v>
      </c>
      <c r="N5958">
        <v>1</v>
      </c>
      <c r="O5958" t="s">
        <v>53</v>
      </c>
      <c r="P5958" t="s">
        <v>53</v>
      </c>
      <c r="Q5958" t="s">
        <v>53</v>
      </c>
    </row>
    <row r="5959" spans="1:17" x14ac:dyDescent="0.2">
      <c r="A5959" s="30" t="str">
        <f>IF(C5959&amp;G5959&amp;D5959&lt;&gt;'Funnel setup'!$K$3&amp;'Funnel setup'!$K$4&amp;'Funnel setup'!$K$5,".",IF(A5958=".",1,A5958+1))</f>
        <v>.</v>
      </c>
      <c r="B5959" s="431" t="str">
        <f t="shared" si="93"/>
        <v>Knee Replacement RevisionProviderEUXTON HALL HOSPITAL (NVC05)EQ-5D Index</v>
      </c>
      <c r="C5959" t="s">
        <v>250</v>
      </c>
      <c r="D5959" t="s">
        <v>1</v>
      </c>
      <c r="E5959" t="s">
        <v>3852</v>
      </c>
      <c r="F5959" t="s">
        <v>3853</v>
      </c>
      <c r="G5959" t="s">
        <v>52</v>
      </c>
      <c r="H5959" t="s">
        <v>53</v>
      </c>
      <c r="I5959" t="s">
        <v>53</v>
      </c>
      <c r="J5959" t="s">
        <v>53</v>
      </c>
      <c r="K5959" t="s">
        <v>53</v>
      </c>
      <c r="L5959" t="s">
        <v>53</v>
      </c>
      <c r="M5959" t="s">
        <v>53</v>
      </c>
      <c r="N5959" t="s">
        <v>53</v>
      </c>
      <c r="O5959" t="s">
        <v>53</v>
      </c>
      <c r="P5959" t="s">
        <v>53</v>
      </c>
      <c r="Q5959" t="s">
        <v>53</v>
      </c>
    </row>
    <row r="5960" spans="1:17" x14ac:dyDescent="0.2">
      <c r="A5960" s="30" t="str">
        <f>IF(C5960&amp;G5960&amp;D5960&lt;&gt;'Funnel setup'!$K$3&amp;'Funnel setup'!$K$4&amp;'Funnel setup'!$K$5,".",IF(A5959=".",1,A5959+1))</f>
        <v>.</v>
      </c>
      <c r="B5960" s="431" t="str">
        <f t="shared" si="93"/>
        <v>Knee Replacement RevisionProviderFITZWILLIAM HOSPITAL (NVC06)EQ-5D Index</v>
      </c>
      <c r="C5960" t="s">
        <v>250</v>
      </c>
      <c r="D5960" t="s">
        <v>1</v>
      </c>
      <c r="E5960" t="s">
        <v>3858</v>
      </c>
      <c r="F5960" t="s">
        <v>3859</v>
      </c>
      <c r="G5960" t="s">
        <v>52</v>
      </c>
      <c r="H5960" t="s">
        <v>53</v>
      </c>
      <c r="I5960" t="s">
        <v>53</v>
      </c>
      <c r="J5960" t="s">
        <v>53</v>
      </c>
      <c r="K5960" t="s">
        <v>53</v>
      </c>
      <c r="L5960" t="s">
        <v>53</v>
      </c>
      <c r="M5960" t="s">
        <v>53</v>
      </c>
      <c r="N5960" t="s">
        <v>53</v>
      </c>
      <c r="O5960" t="s">
        <v>53</v>
      </c>
      <c r="P5960" t="s">
        <v>53</v>
      </c>
      <c r="Q5960" t="s">
        <v>53</v>
      </c>
    </row>
    <row r="5961" spans="1:17" x14ac:dyDescent="0.2">
      <c r="A5961" s="30" t="str">
        <f>IF(C5961&amp;G5961&amp;D5961&lt;&gt;'Funnel setup'!$K$3&amp;'Funnel setup'!$K$4&amp;'Funnel setup'!$K$5,".",IF(A5960=".",1,A5960+1))</f>
        <v>.</v>
      </c>
      <c r="B5961" s="431" t="str">
        <f t="shared" si="93"/>
        <v>Knee Replacement RevisionProviderFRIMLEY HEALTH NHS FOUNDATION TRUST (RDU)EQ-5D Index</v>
      </c>
      <c r="C5961" t="s">
        <v>250</v>
      </c>
      <c r="D5961" t="s">
        <v>1</v>
      </c>
      <c r="E5961" t="s">
        <v>3861</v>
      </c>
      <c r="F5961" t="s">
        <v>3862</v>
      </c>
      <c r="G5961" t="s">
        <v>52</v>
      </c>
      <c r="H5961">
        <v>19</v>
      </c>
      <c r="I5961">
        <v>0.40500000000000003</v>
      </c>
      <c r="J5961">
        <v>0.7</v>
      </c>
      <c r="K5961">
        <v>0.29599999999999999</v>
      </c>
      <c r="L5961">
        <v>11</v>
      </c>
      <c r="M5961">
        <v>5</v>
      </c>
      <c r="N5961">
        <v>3</v>
      </c>
      <c r="O5961" t="s">
        <v>53</v>
      </c>
      <c r="P5961" t="s">
        <v>53</v>
      </c>
      <c r="Q5961" t="s">
        <v>53</v>
      </c>
    </row>
    <row r="5962" spans="1:17" x14ac:dyDescent="0.2">
      <c r="A5962" s="30" t="str">
        <f>IF(C5962&amp;G5962&amp;D5962&lt;&gt;'Funnel setup'!$K$3&amp;'Funnel setup'!$K$4&amp;'Funnel setup'!$K$5,".",IF(A5961=".",1,A5961+1))</f>
        <v>.</v>
      </c>
      <c r="B5962" s="431" t="str">
        <f t="shared" si="93"/>
        <v>Knee Replacement RevisionProviderFULWOOD HALL HOSPITAL (NVC07)EQ-5D Index</v>
      </c>
      <c r="C5962" t="s">
        <v>250</v>
      </c>
      <c r="D5962" t="s">
        <v>1</v>
      </c>
      <c r="E5962" t="s">
        <v>3864</v>
      </c>
      <c r="F5962" t="s">
        <v>3865</v>
      </c>
      <c r="G5962" t="s">
        <v>52</v>
      </c>
      <c r="H5962" t="s">
        <v>53</v>
      </c>
      <c r="I5962" t="s">
        <v>53</v>
      </c>
      <c r="J5962" t="s">
        <v>53</v>
      </c>
      <c r="K5962" t="s">
        <v>53</v>
      </c>
      <c r="L5962" t="s">
        <v>53</v>
      </c>
      <c r="M5962" t="s">
        <v>53</v>
      </c>
      <c r="N5962" t="s">
        <v>53</v>
      </c>
      <c r="O5962" t="s">
        <v>53</v>
      </c>
      <c r="P5962" t="s">
        <v>53</v>
      </c>
      <c r="Q5962" t="s">
        <v>53</v>
      </c>
    </row>
    <row r="5963" spans="1:17" x14ac:dyDescent="0.2">
      <c r="A5963" s="30" t="str">
        <f>IF(C5963&amp;G5963&amp;D5963&lt;&gt;'Funnel setup'!$K$3&amp;'Funnel setup'!$K$4&amp;'Funnel setup'!$K$5,".",IF(A5962=".",1,A5962+1))</f>
        <v>.</v>
      </c>
      <c r="B5963" s="431" t="str">
        <f t="shared" si="93"/>
        <v>Knee Replacement RevisionProviderGATESHEAD HEALTH NHS FOUNDATION TRUST (RR7)EQ-5D Index</v>
      </c>
      <c r="C5963" t="s">
        <v>250</v>
      </c>
      <c r="D5963" t="s">
        <v>1</v>
      </c>
      <c r="E5963" t="s">
        <v>3867</v>
      </c>
      <c r="F5963" t="s">
        <v>3868</v>
      </c>
      <c r="G5963" t="s">
        <v>52</v>
      </c>
      <c r="H5963">
        <v>11</v>
      </c>
      <c r="I5963">
        <v>0.25900000000000001</v>
      </c>
      <c r="J5963">
        <v>0.54600000000000004</v>
      </c>
      <c r="K5963">
        <v>0.28699999999999998</v>
      </c>
      <c r="L5963">
        <v>7</v>
      </c>
      <c r="M5963">
        <v>0</v>
      </c>
      <c r="N5963">
        <v>4</v>
      </c>
      <c r="O5963" t="s">
        <v>53</v>
      </c>
      <c r="P5963" t="s">
        <v>53</v>
      </c>
      <c r="Q5963" t="s">
        <v>53</v>
      </c>
    </row>
    <row r="5964" spans="1:17" x14ac:dyDescent="0.2">
      <c r="A5964" s="30" t="str">
        <f>IF(C5964&amp;G5964&amp;D5964&lt;&gt;'Funnel setup'!$K$3&amp;'Funnel setup'!$K$4&amp;'Funnel setup'!$K$5,".",IF(A5963=".",1,A5963+1))</f>
        <v>.</v>
      </c>
      <c r="B5964" s="431" t="str">
        <f t="shared" si="93"/>
        <v>Knee Replacement RevisionProviderGEORGE ELIOT HOSPITAL NHS TRUST (RLT)EQ-5D Index</v>
      </c>
      <c r="C5964" t="s">
        <v>250</v>
      </c>
      <c r="D5964" t="s">
        <v>1</v>
      </c>
      <c r="E5964" t="s">
        <v>3870</v>
      </c>
      <c r="F5964" t="s">
        <v>3871</v>
      </c>
      <c r="G5964" t="s">
        <v>52</v>
      </c>
      <c r="H5964" t="s">
        <v>53</v>
      </c>
      <c r="I5964" t="s">
        <v>53</v>
      </c>
      <c r="J5964" t="s">
        <v>53</v>
      </c>
      <c r="K5964" t="s">
        <v>53</v>
      </c>
      <c r="L5964" t="s">
        <v>53</v>
      </c>
      <c r="M5964" t="s">
        <v>53</v>
      </c>
      <c r="N5964" t="s">
        <v>53</v>
      </c>
      <c r="O5964" t="s">
        <v>53</v>
      </c>
      <c r="P5964" t="s">
        <v>53</v>
      </c>
      <c r="Q5964" t="s">
        <v>53</v>
      </c>
    </row>
    <row r="5965" spans="1:17" x14ac:dyDescent="0.2">
      <c r="A5965" s="30" t="str">
        <f>IF(C5965&amp;G5965&amp;D5965&lt;&gt;'Funnel setup'!$K$3&amp;'Funnel setup'!$K$4&amp;'Funnel setup'!$K$5,".",IF(A5964=".",1,A5964+1))</f>
        <v>.</v>
      </c>
      <c r="B5965" s="431" t="str">
        <f t="shared" si="93"/>
        <v>Knee Replacement RevisionProviderGLOUCESTERSHIRE HOSPITALS NHS FOUNDATION TRUST (RTE)EQ-5D Index</v>
      </c>
      <c r="C5965" t="s">
        <v>250</v>
      </c>
      <c r="D5965" t="s">
        <v>1</v>
      </c>
      <c r="E5965" t="s">
        <v>3873</v>
      </c>
      <c r="F5965" t="s">
        <v>3874</v>
      </c>
      <c r="G5965" t="s">
        <v>52</v>
      </c>
      <c r="H5965">
        <v>25</v>
      </c>
      <c r="I5965">
        <v>0.47799999999999998</v>
      </c>
      <c r="J5965">
        <v>0.64800000000000002</v>
      </c>
      <c r="K5965">
        <v>0.17</v>
      </c>
      <c r="L5965">
        <v>15</v>
      </c>
      <c r="M5965">
        <v>3</v>
      </c>
      <c r="N5965">
        <v>7</v>
      </c>
      <c r="O5965" t="s">
        <v>53</v>
      </c>
      <c r="P5965" t="s">
        <v>53</v>
      </c>
      <c r="Q5965" t="s">
        <v>53</v>
      </c>
    </row>
    <row r="5966" spans="1:17" x14ac:dyDescent="0.2">
      <c r="A5966" s="30" t="str">
        <f>IF(C5966&amp;G5966&amp;D5966&lt;&gt;'Funnel setup'!$K$3&amp;'Funnel setup'!$K$4&amp;'Funnel setup'!$K$5,".",IF(A5965=".",1,A5965+1))</f>
        <v>.</v>
      </c>
      <c r="B5966" s="431" t="str">
        <f t="shared" si="93"/>
        <v>Knee Replacement RevisionProviderGREAT WESTERN HOSPITALS NHS FOUNDATION TRUST (RN3)EQ-5D Index</v>
      </c>
      <c r="C5966" t="s">
        <v>250</v>
      </c>
      <c r="D5966" t="s">
        <v>1</v>
      </c>
      <c r="E5966" t="s">
        <v>3876</v>
      </c>
      <c r="F5966" t="s">
        <v>3877</v>
      </c>
      <c r="G5966" t="s">
        <v>52</v>
      </c>
      <c r="H5966">
        <v>16</v>
      </c>
      <c r="I5966">
        <v>0.313</v>
      </c>
      <c r="J5966">
        <v>0.50800000000000001</v>
      </c>
      <c r="K5966">
        <v>0.19500000000000001</v>
      </c>
      <c r="L5966">
        <v>11</v>
      </c>
      <c r="M5966">
        <v>2</v>
      </c>
      <c r="N5966">
        <v>3</v>
      </c>
      <c r="O5966" t="s">
        <v>53</v>
      </c>
      <c r="P5966" t="s">
        <v>53</v>
      </c>
      <c r="Q5966" t="s">
        <v>53</v>
      </c>
    </row>
    <row r="5967" spans="1:17" x14ac:dyDescent="0.2">
      <c r="A5967" s="30" t="str">
        <f>IF(C5967&amp;G5967&amp;D5967&lt;&gt;'Funnel setup'!$K$3&amp;'Funnel setup'!$K$4&amp;'Funnel setup'!$K$5,".",IF(A5966=".",1,A5966+1))</f>
        <v>.</v>
      </c>
      <c r="B5967" s="431" t="str">
        <f t="shared" si="93"/>
        <v>Knee Replacement RevisionProviderGUY'S AND ST THOMAS' NHS FOUNDATION TRUST (RJ1)EQ-5D Index</v>
      </c>
      <c r="C5967" t="s">
        <v>250</v>
      </c>
      <c r="D5967" t="s">
        <v>1</v>
      </c>
      <c r="E5967" t="s">
        <v>3879</v>
      </c>
      <c r="F5967" t="s">
        <v>3880</v>
      </c>
      <c r="G5967" t="s">
        <v>52</v>
      </c>
      <c r="H5967" t="s">
        <v>53</v>
      </c>
      <c r="I5967" t="s">
        <v>53</v>
      </c>
      <c r="J5967" t="s">
        <v>53</v>
      </c>
      <c r="K5967" t="s">
        <v>53</v>
      </c>
      <c r="L5967" t="s">
        <v>53</v>
      </c>
      <c r="M5967" t="s">
        <v>53</v>
      </c>
      <c r="N5967" t="s">
        <v>53</v>
      </c>
      <c r="O5967" t="s">
        <v>53</v>
      </c>
      <c r="P5967" t="s">
        <v>53</v>
      </c>
      <c r="Q5967" t="s">
        <v>53</v>
      </c>
    </row>
    <row r="5968" spans="1:17" x14ac:dyDescent="0.2">
      <c r="A5968" s="30" t="str">
        <f>IF(C5968&amp;G5968&amp;D5968&lt;&gt;'Funnel setup'!$K$3&amp;'Funnel setup'!$K$4&amp;'Funnel setup'!$K$5,".",IF(A5967=".",1,A5967+1))</f>
        <v>.</v>
      </c>
      <c r="B5968" s="431" t="str">
        <f t="shared" si="93"/>
        <v>Knee Replacement RevisionProviderHAMPSHIRE HOSPITALS NHS FOUNDATION TRUST (RN5)EQ-5D Index</v>
      </c>
      <c r="C5968" t="s">
        <v>250</v>
      </c>
      <c r="D5968" t="s">
        <v>1</v>
      </c>
      <c r="E5968" t="s">
        <v>3882</v>
      </c>
      <c r="F5968" t="s">
        <v>3883</v>
      </c>
      <c r="G5968" t="s">
        <v>52</v>
      </c>
      <c r="H5968">
        <v>20</v>
      </c>
      <c r="I5968">
        <v>0.34</v>
      </c>
      <c r="J5968">
        <v>0.59299999999999997</v>
      </c>
      <c r="K5968">
        <v>0.253</v>
      </c>
      <c r="L5968">
        <v>15</v>
      </c>
      <c r="M5968">
        <v>2</v>
      </c>
      <c r="N5968">
        <v>3</v>
      </c>
      <c r="O5968" t="s">
        <v>53</v>
      </c>
      <c r="P5968" t="s">
        <v>53</v>
      </c>
      <c r="Q5968" t="s">
        <v>53</v>
      </c>
    </row>
    <row r="5969" spans="1:17" x14ac:dyDescent="0.2">
      <c r="A5969" s="30" t="str">
        <f>IF(C5969&amp;G5969&amp;D5969&lt;&gt;'Funnel setup'!$K$3&amp;'Funnel setup'!$K$4&amp;'Funnel setup'!$K$5,".",IF(A5968=".",1,A5968+1))</f>
        <v>.</v>
      </c>
      <c r="B5969" s="431" t="str">
        <f t="shared" si="93"/>
        <v>Knee Replacement RevisionProviderHARROGATE AND DISTRICT NHS FOUNDATION TRUST (RCD)EQ-5D Index</v>
      </c>
      <c r="C5969" t="s">
        <v>250</v>
      </c>
      <c r="D5969" t="s">
        <v>1</v>
      </c>
      <c r="E5969" t="s">
        <v>3885</v>
      </c>
      <c r="F5969" t="s">
        <v>3886</v>
      </c>
      <c r="G5969" t="s">
        <v>52</v>
      </c>
      <c r="H5969">
        <v>17</v>
      </c>
      <c r="I5969">
        <v>0.42699999999999999</v>
      </c>
      <c r="J5969">
        <v>0.67900000000000005</v>
      </c>
      <c r="K5969">
        <v>0.251</v>
      </c>
      <c r="L5969">
        <v>14</v>
      </c>
      <c r="M5969">
        <v>3</v>
      </c>
      <c r="N5969">
        <v>0</v>
      </c>
      <c r="O5969" t="s">
        <v>53</v>
      </c>
      <c r="P5969" t="s">
        <v>53</v>
      </c>
      <c r="Q5969" t="s">
        <v>53</v>
      </c>
    </row>
    <row r="5970" spans="1:17" x14ac:dyDescent="0.2">
      <c r="A5970" s="30" t="str">
        <f>IF(C5970&amp;G5970&amp;D5970&lt;&gt;'Funnel setup'!$K$3&amp;'Funnel setup'!$K$4&amp;'Funnel setup'!$K$5,".",IF(A5969=".",1,A5969+1))</f>
        <v>.</v>
      </c>
      <c r="B5970" s="431" t="str">
        <f t="shared" si="93"/>
        <v>Knee Replacement RevisionProviderHEART OF ENGLAND NHS FOUNDATION TRUST (RR1)EQ-5D Index</v>
      </c>
      <c r="C5970" t="s">
        <v>250</v>
      </c>
      <c r="D5970" t="s">
        <v>1</v>
      </c>
      <c r="E5970" t="s">
        <v>3888</v>
      </c>
      <c r="F5970" t="s">
        <v>3889</v>
      </c>
      <c r="G5970" t="s">
        <v>52</v>
      </c>
      <c r="H5970">
        <v>12</v>
      </c>
      <c r="I5970">
        <v>0.221</v>
      </c>
      <c r="J5970">
        <v>0.50800000000000001</v>
      </c>
      <c r="K5970">
        <v>0.28699999999999998</v>
      </c>
      <c r="L5970">
        <v>10</v>
      </c>
      <c r="M5970">
        <v>1</v>
      </c>
      <c r="N5970">
        <v>1</v>
      </c>
      <c r="O5970" t="s">
        <v>53</v>
      </c>
      <c r="P5970" t="s">
        <v>53</v>
      </c>
      <c r="Q5970" t="s">
        <v>53</v>
      </c>
    </row>
    <row r="5971" spans="1:17" x14ac:dyDescent="0.2">
      <c r="A5971" s="30" t="str">
        <f>IF(C5971&amp;G5971&amp;D5971&lt;&gt;'Funnel setup'!$K$3&amp;'Funnel setup'!$K$4&amp;'Funnel setup'!$K$5,".",IF(A5970=".",1,A5970+1))</f>
        <v>.</v>
      </c>
      <c r="B5971" s="431" t="str">
        <f t="shared" si="93"/>
        <v>Knee Replacement RevisionProviderHINCHINGBROOKE HEALTH CARE NHS TRUST (RQQ)EQ-5D Index</v>
      </c>
      <c r="C5971" t="s">
        <v>250</v>
      </c>
      <c r="D5971" t="s">
        <v>1</v>
      </c>
      <c r="E5971" t="s">
        <v>3894</v>
      </c>
      <c r="F5971" t="s">
        <v>3895</v>
      </c>
      <c r="G5971" t="s">
        <v>52</v>
      </c>
      <c r="H5971">
        <v>12</v>
      </c>
      <c r="I5971">
        <v>0.28799999999999998</v>
      </c>
      <c r="J5971">
        <v>0.60699999999999998</v>
      </c>
      <c r="K5971">
        <v>0.318</v>
      </c>
      <c r="L5971">
        <v>9</v>
      </c>
      <c r="M5971">
        <v>2</v>
      </c>
      <c r="N5971">
        <v>1</v>
      </c>
      <c r="O5971" t="s">
        <v>53</v>
      </c>
      <c r="P5971" t="s">
        <v>53</v>
      </c>
      <c r="Q5971" t="s">
        <v>53</v>
      </c>
    </row>
    <row r="5972" spans="1:17" x14ac:dyDescent="0.2">
      <c r="A5972" s="30" t="str">
        <f>IF(C5972&amp;G5972&amp;D5972&lt;&gt;'Funnel setup'!$K$3&amp;'Funnel setup'!$K$4&amp;'Funnel setup'!$K$5,".",IF(A5971=".",1,A5971+1))</f>
        <v>.</v>
      </c>
      <c r="B5972" s="431" t="str">
        <f t="shared" si="93"/>
        <v>Knee Replacement RevisionProviderHOMERTON UNIVERSITY HOSPITAL NHS FOUNDATION TRUST (RQX)EQ-5D Index</v>
      </c>
      <c r="C5972" t="s">
        <v>250</v>
      </c>
      <c r="D5972" t="s">
        <v>1</v>
      </c>
      <c r="E5972" t="s">
        <v>3897</v>
      </c>
      <c r="F5972" t="s">
        <v>3898</v>
      </c>
      <c r="G5972" t="s">
        <v>52</v>
      </c>
      <c r="H5972" t="s">
        <v>53</v>
      </c>
      <c r="I5972" t="s">
        <v>53</v>
      </c>
      <c r="J5972" t="s">
        <v>53</v>
      </c>
      <c r="K5972" t="s">
        <v>53</v>
      </c>
      <c r="L5972" t="s">
        <v>53</v>
      </c>
      <c r="M5972" t="s">
        <v>53</v>
      </c>
      <c r="N5972" t="s">
        <v>53</v>
      </c>
      <c r="O5972" t="s">
        <v>53</v>
      </c>
      <c r="P5972" t="s">
        <v>53</v>
      </c>
      <c r="Q5972" t="s">
        <v>53</v>
      </c>
    </row>
    <row r="5973" spans="1:17" x14ac:dyDescent="0.2">
      <c r="A5973" s="30" t="str">
        <f>IF(C5973&amp;G5973&amp;D5973&lt;&gt;'Funnel setup'!$K$3&amp;'Funnel setup'!$K$4&amp;'Funnel setup'!$K$5,".",IF(A5972=".",1,A5972+1))</f>
        <v>.</v>
      </c>
      <c r="B5973" s="431" t="str">
        <f t="shared" si="93"/>
        <v>Knee Replacement RevisionProviderHORTON NHS TREATMENT CENTRE (NVC25)EQ-5D Index</v>
      </c>
      <c r="C5973" t="s">
        <v>250</v>
      </c>
      <c r="D5973" t="s">
        <v>1</v>
      </c>
      <c r="E5973" t="s">
        <v>4553</v>
      </c>
      <c r="F5973" t="s">
        <v>4554</v>
      </c>
      <c r="G5973" t="s">
        <v>52</v>
      </c>
      <c r="H5973">
        <v>15</v>
      </c>
      <c r="I5973">
        <v>0.433</v>
      </c>
      <c r="J5973">
        <v>0.76400000000000001</v>
      </c>
      <c r="K5973">
        <v>0.33100000000000002</v>
      </c>
      <c r="L5973">
        <v>11</v>
      </c>
      <c r="M5973">
        <v>4</v>
      </c>
      <c r="N5973">
        <v>0</v>
      </c>
      <c r="O5973" t="s">
        <v>53</v>
      </c>
      <c r="P5973" t="s">
        <v>53</v>
      </c>
      <c r="Q5973" t="s">
        <v>53</v>
      </c>
    </row>
    <row r="5974" spans="1:17" x14ac:dyDescent="0.2">
      <c r="A5974" s="30" t="str">
        <f>IF(C5974&amp;G5974&amp;D5974&lt;&gt;'Funnel setup'!$K$3&amp;'Funnel setup'!$K$4&amp;'Funnel setup'!$K$5,".",IF(A5973=".",1,A5973+1))</f>
        <v>.</v>
      </c>
      <c r="B5974" s="431" t="str">
        <f t="shared" si="93"/>
        <v>Knee Replacement RevisionProviderHULL AND EAST YORKSHIRE HOSPITALS NHS TRUST (RWA)EQ-5D Index</v>
      </c>
      <c r="C5974" t="s">
        <v>250</v>
      </c>
      <c r="D5974" t="s">
        <v>1</v>
      </c>
      <c r="E5974" t="s">
        <v>3906</v>
      </c>
      <c r="F5974" t="s">
        <v>3907</v>
      </c>
      <c r="G5974" t="s">
        <v>52</v>
      </c>
      <c r="H5974">
        <v>19</v>
      </c>
      <c r="I5974">
        <v>0.316</v>
      </c>
      <c r="J5974">
        <v>0.53</v>
      </c>
      <c r="K5974">
        <v>0.214</v>
      </c>
      <c r="L5974">
        <v>12</v>
      </c>
      <c r="M5974">
        <v>2</v>
      </c>
      <c r="N5974">
        <v>5</v>
      </c>
      <c r="O5974" t="s">
        <v>53</v>
      </c>
      <c r="P5974" t="s">
        <v>53</v>
      </c>
      <c r="Q5974" t="s">
        <v>53</v>
      </c>
    </row>
    <row r="5975" spans="1:17" x14ac:dyDescent="0.2">
      <c r="A5975" s="30" t="str">
        <f>IF(C5975&amp;G5975&amp;D5975&lt;&gt;'Funnel setup'!$K$3&amp;'Funnel setup'!$K$4&amp;'Funnel setup'!$K$5,".",IF(A5974=".",1,A5974+1))</f>
        <v>.</v>
      </c>
      <c r="B5975" s="431" t="str">
        <f t="shared" si="93"/>
        <v>Knee Replacement RevisionProviderIMPERIAL COLLEGE HEALTHCARE NHS TRUST (RYJ)EQ-5D Index</v>
      </c>
      <c r="C5975" t="s">
        <v>250</v>
      </c>
      <c r="D5975" t="s">
        <v>1</v>
      </c>
      <c r="E5975" t="s">
        <v>4558</v>
      </c>
      <c r="F5975" t="s">
        <v>4559</v>
      </c>
      <c r="G5975" t="s">
        <v>52</v>
      </c>
      <c r="H5975" t="s">
        <v>53</v>
      </c>
      <c r="I5975" t="s">
        <v>53</v>
      </c>
      <c r="J5975" t="s">
        <v>53</v>
      </c>
      <c r="K5975" t="s">
        <v>53</v>
      </c>
      <c r="L5975" t="s">
        <v>53</v>
      </c>
      <c r="M5975" t="s">
        <v>53</v>
      </c>
      <c r="N5975" t="s">
        <v>53</v>
      </c>
      <c r="O5975" t="s">
        <v>53</v>
      </c>
      <c r="P5975" t="s">
        <v>53</v>
      </c>
      <c r="Q5975" t="s">
        <v>53</v>
      </c>
    </row>
    <row r="5976" spans="1:17" x14ac:dyDescent="0.2">
      <c r="A5976" s="30" t="str">
        <f>IF(C5976&amp;G5976&amp;D5976&lt;&gt;'Funnel setup'!$K$3&amp;'Funnel setup'!$K$4&amp;'Funnel setup'!$K$5,".",IF(A5975=".",1,A5975+1))</f>
        <v>.</v>
      </c>
      <c r="B5976" s="431" t="str">
        <f t="shared" si="93"/>
        <v>Knee Replacement RevisionProviderIPSWICH HOSPITAL NHS TRUST (RGQ)EQ-5D Index</v>
      </c>
      <c r="C5976" t="s">
        <v>250</v>
      </c>
      <c r="D5976" t="s">
        <v>1</v>
      </c>
      <c r="E5976" t="s">
        <v>3909</v>
      </c>
      <c r="F5976" t="s">
        <v>3910</v>
      </c>
      <c r="G5976" t="s">
        <v>52</v>
      </c>
      <c r="H5976" t="s">
        <v>53</v>
      </c>
      <c r="I5976" t="s">
        <v>53</v>
      </c>
      <c r="J5976" t="s">
        <v>53</v>
      </c>
      <c r="K5976" t="s">
        <v>53</v>
      </c>
      <c r="L5976" t="s">
        <v>53</v>
      </c>
      <c r="M5976" t="s">
        <v>53</v>
      </c>
      <c r="N5976" t="s">
        <v>53</v>
      </c>
      <c r="O5976" t="s">
        <v>53</v>
      </c>
      <c r="P5976" t="s">
        <v>53</v>
      </c>
      <c r="Q5976" t="s">
        <v>53</v>
      </c>
    </row>
    <row r="5977" spans="1:17" x14ac:dyDescent="0.2">
      <c r="A5977" s="30" t="str">
        <f>IF(C5977&amp;G5977&amp;D5977&lt;&gt;'Funnel setup'!$K$3&amp;'Funnel setup'!$K$4&amp;'Funnel setup'!$K$5,".",IF(A5976=".",1,A5976+1))</f>
        <v>.</v>
      </c>
      <c r="B5977" s="431" t="str">
        <f t="shared" si="93"/>
        <v>Knee Replacement RevisionProviderISLE OF WIGHT NHS TRUST (R1F)EQ-5D Index</v>
      </c>
      <c r="C5977" t="s">
        <v>250</v>
      </c>
      <c r="D5977" t="s">
        <v>1</v>
      </c>
      <c r="E5977" t="s">
        <v>3912</v>
      </c>
      <c r="F5977" t="s">
        <v>3913</v>
      </c>
      <c r="G5977" t="s">
        <v>52</v>
      </c>
      <c r="H5977" t="s">
        <v>53</v>
      </c>
      <c r="I5977" t="s">
        <v>53</v>
      </c>
      <c r="J5977" t="s">
        <v>53</v>
      </c>
      <c r="K5977" t="s">
        <v>53</v>
      </c>
      <c r="L5977" t="s">
        <v>53</v>
      </c>
      <c r="M5977" t="s">
        <v>53</v>
      </c>
      <c r="N5977" t="s">
        <v>53</v>
      </c>
      <c r="O5977" t="s">
        <v>53</v>
      </c>
      <c r="P5977" t="s">
        <v>53</v>
      </c>
      <c r="Q5977" t="s">
        <v>53</v>
      </c>
    </row>
    <row r="5978" spans="1:17" x14ac:dyDescent="0.2">
      <c r="A5978" s="30" t="str">
        <f>IF(C5978&amp;G5978&amp;D5978&lt;&gt;'Funnel setup'!$K$3&amp;'Funnel setup'!$K$4&amp;'Funnel setup'!$K$5,".",IF(A5977=".",1,A5977+1))</f>
        <v>.</v>
      </c>
      <c r="B5978" s="431" t="str">
        <f t="shared" si="93"/>
        <v>Knee Replacement RevisionProviderJAMES PAGET UNIVERSITY HOSPITALS NHS FOUNDATION TRUST (RGP)EQ-5D Index</v>
      </c>
      <c r="C5978" t="s">
        <v>250</v>
      </c>
      <c r="D5978" t="s">
        <v>1</v>
      </c>
      <c r="E5978" t="s">
        <v>3915</v>
      </c>
      <c r="F5978" t="s">
        <v>3916</v>
      </c>
      <c r="G5978" t="s">
        <v>52</v>
      </c>
      <c r="H5978">
        <v>8</v>
      </c>
      <c r="I5978">
        <v>0.36599999999999999</v>
      </c>
      <c r="J5978">
        <v>0.60599999999999998</v>
      </c>
      <c r="K5978">
        <v>0.24</v>
      </c>
      <c r="L5978">
        <v>5</v>
      </c>
      <c r="M5978">
        <v>1</v>
      </c>
      <c r="N5978">
        <v>2</v>
      </c>
      <c r="O5978" t="s">
        <v>53</v>
      </c>
      <c r="P5978" t="s">
        <v>53</v>
      </c>
      <c r="Q5978" t="s">
        <v>53</v>
      </c>
    </row>
    <row r="5979" spans="1:17" x14ac:dyDescent="0.2">
      <c r="A5979" s="30" t="str">
        <f>IF(C5979&amp;G5979&amp;D5979&lt;&gt;'Funnel setup'!$K$3&amp;'Funnel setup'!$K$4&amp;'Funnel setup'!$K$5,".",IF(A5978=".",1,A5978+1))</f>
        <v>.</v>
      </c>
      <c r="B5979" s="431" t="str">
        <f t="shared" si="93"/>
        <v>Knee Replacement RevisionProviderKETTERING GENERAL HOSPITAL NHS FOUNDATION TRUST (RNQ)EQ-5D Index</v>
      </c>
      <c r="C5979" t="s">
        <v>250</v>
      </c>
      <c r="D5979" t="s">
        <v>1</v>
      </c>
      <c r="E5979" t="s">
        <v>3918</v>
      </c>
      <c r="F5979" t="s">
        <v>3919</v>
      </c>
      <c r="G5979" t="s">
        <v>52</v>
      </c>
      <c r="H5979" t="s">
        <v>53</v>
      </c>
      <c r="I5979" t="s">
        <v>53</v>
      </c>
      <c r="J5979" t="s">
        <v>53</v>
      </c>
      <c r="K5979" t="s">
        <v>53</v>
      </c>
      <c r="L5979" t="s">
        <v>53</v>
      </c>
      <c r="M5979" t="s">
        <v>53</v>
      </c>
      <c r="N5979" t="s">
        <v>53</v>
      </c>
      <c r="O5979" t="s">
        <v>53</v>
      </c>
      <c r="P5979" t="s">
        <v>53</v>
      </c>
      <c r="Q5979" t="s">
        <v>53</v>
      </c>
    </row>
    <row r="5980" spans="1:17" x14ac:dyDescent="0.2">
      <c r="A5980" s="30" t="str">
        <f>IF(C5980&amp;G5980&amp;D5980&lt;&gt;'Funnel setup'!$K$3&amp;'Funnel setup'!$K$4&amp;'Funnel setup'!$K$5,".",IF(A5979=".",1,A5979+1))</f>
        <v>.</v>
      </c>
      <c r="B5980" s="431" t="str">
        <f t="shared" si="93"/>
        <v>Knee Replacement RevisionProviderKING'S COLLEGE HOSPITAL NHS FOUNDATION TRUST (RJZ)EQ-5D Index</v>
      </c>
      <c r="C5980" t="s">
        <v>250</v>
      </c>
      <c r="D5980" t="s">
        <v>1</v>
      </c>
      <c r="E5980" t="s">
        <v>3924</v>
      </c>
      <c r="F5980" t="s">
        <v>3925</v>
      </c>
      <c r="G5980" t="s">
        <v>52</v>
      </c>
      <c r="H5980">
        <v>6</v>
      </c>
      <c r="I5980">
        <v>0.24</v>
      </c>
      <c r="J5980">
        <v>0.42199999999999999</v>
      </c>
      <c r="K5980">
        <v>0.182</v>
      </c>
      <c r="L5980">
        <v>4</v>
      </c>
      <c r="M5980">
        <v>0</v>
      </c>
      <c r="N5980">
        <v>2</v>
      </c>
      <c r="O5980" t="s">
        <v>53</v>
      </c>
      <c r="P5980" t="s">
        <v>53</v>
      </c>
      <c r="Q5980" t="s">
        <v>53</v>
      </c>
    </row>
    <row r="5981" spans="1:17" x14ac:dyDescent="0.2">
      <c r="A5981" s="30" t="str">
        <f>IF(C5981&amp;G5981&amp;D5981&lt;&gt;'Funnel setup'!$K$3&amp;'Funnel setup'!$K$4&amp;'Funnel setup'!$K$5,".",IF(A5980=".",1,A5980+1))</f>
        <v>.</v>
      </c>
      <c r="B5981" s="431" t="str">
        <f t="shared" si="93"/>
        <v>Knee Replacement RevisionProviderLANCASHIRE TEACHING HOSPITALS NHS FOUNDATION TRUST (RXN)EQ-5D Index</v>
      </c>
      <c r="C5981" t="s">
        <v>250</v>
      </c>
      <c r="D5981" t="s">
        <v>1</v>
      </c>
      <c r="E5981" t="s">
        <v>3567</v>
      </c>
      <c r="F5981" t="s">
        <v>3568</v>
      </c>
      <c r="G5981" t="s">
        <v>52</v>
      </c>
      <c r="H5981">
        <v>10</v>
      </c>
      <c r="I5981">
        <v>0.51100000000000001</v>
      </c>
      <c r="J5981">
        <v>0.45500000000000002</v>
      </c>
      <c r="K5981">
        <v>-5.7000000000000002E-2</v>
      </c>
      <c r="L5981">
        <v>1</v>
      </c>
      <c r="M5981">
        <v>6</v>
      </c>
      <c r="N5981">
        <v>3</v>
      </c>
      <c r="O5981" t="s">
        <v>53</v>
      </c>
      <c r="P5981" t="s">
        <v>53</v>
      </c>
      <c r="Q5981" t="s">
        <v>53</v>
      </c>
    </row>
    <row r="5982" spans="1:17" x14ac:dyDescent="0.2">
      <c r="A5982" s="30" t="str">
        <f>IF(C5982&amp;G5982&amp;D5982&lt;&gt;'Funnel setup'!$K$3&amp;'Funnel setup'!$K$4&amp;'Funnel setup'!$K$5,".",IF(A5981=".",1,A5981+1))</f>
        <v>.</v>
      </c>
      <c r="B5982" s="431" t="str">
        <f t="shared" si="93"/>
        <v>Knee Replacement RevisionProviderLEEDS TEACHING HOSPITALS NHS TRUST (RR8)EQ-5D Index</v>
      </c>
      <c r="C5982" t="s">
        <v>250</v>
      </c>
      <c r="D5982" t="s">
        <v>1</v>
      </c>
      <c r="E5982" t="s">
        <v>3930</v>
      </c>
      <c r="F5982" t="s">
        <v>344</v>
      </c>
      <c r="G5982" t="s">
        <v>52</v>
      </c>
      <c r="H5982">
        <v>10</v>
      </c>
      <c r="I5982">
        <v>0.34399999999999997</v>
      </c>
      <c r="J5982">
        <v>0.64300000000000002</v>
      </c>
      <c r="K5982">
        <v>0.29799999999999999</v>
      </c>
      <c r="L5982">
        <v>7</v>
      </c>
      <c r="M5982">
        <v>2</v>
      </c>
      <c r="N5982">
        <v>1</v>
      </c>
      <c r="O5982" t="s">
        <v>53</v>
      </c>
      <c r="P5982" t="s">
        <v>53</v>
      </c>
      <c r="Q5982" t="s">
        <v>53</v>
      </c>
    </row>
    <row r="5983" spans="1:17" x14ac:dyDescent="0.2">
      <c r="A5983" s="30" t="str">
        <f>IF(C5983&amp;G5983&amp;D5983&lt;&gt;'Funnel setup'!$K$3&amp;'Funnel setup'!$K$4&amp;'Funnel setup'!$K$5,".",IF(A5982=".",1,A5982+1))</f>
        <v>.</v>
      </c>
      <c r="B5983" s="431" t="str">
        <f t="shared" si="93"/>
        <v>Knee Replacement RevisionProviderLEWISHAM AND GREENWICH NHS TRUST (RJ2)EQ-5D Index</v>
      </c>
      <c r="C5983" t="s">
        <v>250</v>
      </c>
      <c r="D5983" t="s">
        <v>1</v>
      </c>
      <c r="E5983" t="s">
        <v>3522</v>
      </c>
      <c r="F5983" t="s">
        <v>3523</v>
      </c>
      <c r="G5983" t="s">
        <v>52</v>
      </c>
      <c r="H5983" t="s">
        <v>53</v>
      </c>
      <c r="I5983" t="s">
        <v>53</v>
      </c>
      <c r="J5983" t="s">
        <v>53</v>
      </c>
      <c r="K5983" t="s">
        <v>53</v>
      </c>
      <c r="L5983" t="s">
        <v>53</v>
      </c>
      <c r="M5983" t="s">
        <v>53</v>
      </c>
      <c r="N5983" t="s">
        <v>53</v>
      </c>
      <c r="O5983" t="s">
        <v>53</v>
      </c>
      <c r="P5983" t="s">
        <v>53</v>
      </c>
      <c r="Q5983" t="s">
        <v>53</v>
      </c>
    </row>
    <row r="5984" spans="1:17" x14ac:dyDescent="0.2">
      <c r="A5984" s="30" t="str">
        <f>IF(C5984&amp;G5984&amp;D5984&lt;&gt;'Funnel setup'!$K$3&amp;'Funnel setup'!$K$4&amp;'Funnel setup'!$K$5,".",IF(A5983=".",1,A5983+1))</f>
        <v>.</v>
      </c>
      <c r="B5984" s="431" t="str">
        <f t="shared" si="93"/>
        <v>Knee Replacement RevisionProviderLONDON NORTH WEST HEALTHCARE NHS TRUST (R1K)EQ-5D Index</v>
      </c>
      <c r="C5984" t="s">
        <v>250</v>
      </c>
      <c r="D5984" t="s">
        <v>1</v>
      </c>
      <c r="E5984" t="s">
        <v>6515</v>
      </c>
      <c r="F5984" t="s">
        <v>6516</v>
      </c>
      <c r="G5984" t="s">
        <v>52</v>
      </c>
      <c r="H5984">
        <v>8</v>
      </c>
      <c r="I5984">
        <v>0.434</v>
      </c>
      <c r="J5984">
        <v>0.61399999999999999</v>
      </c>
      <c r="K5984">
        <v>0.18</v>
      </c>
      <c r="L5984">
        <v>6</v>
      </c>
      <c r="M5984">
        <v>0</v>
      </c>
      <c r="N5984">
        <v>2</v>
      </c>
      <c r="O5984" t="s">
        <v>53</v>
      </c>
      <c r="P5984" t="s">
        <v>53</v>
      </c>
      <c r="Q5984" t="s">
        <v>53</v>
      </c>
    </row>
    <row r="5985" spans="1:17" x14ac:dyDescent="0.2">
      <c r="A5985" s="30" t="str">
        <f>IF(C5985&amp;G5985&amp;D5985&lt;&gt;'Funnel setup'!$K$3&amp;'Funnel setup'!$K$4&amp;'Funnel setup'!$K$5,".",IF(A5984=".",1,A5984+1))</f>
        <v>.</v>
      </c>
      <c r="B5985" s="431" t="str">
        <f t="shared" si="93"/>
        <v>Knee Replacement RevisionProviderLUTON AND DUNSTABLE UNIVERSITY HOSPITAL NHS FOUNDATION TRUST (RC9)EQ-5D Index</v>
      </c>
      <c r="C5985" t="s">
        <v>250</v>
      </c>
      <c r="D5985" t="s">
        <v>1</v>
      </c>
      <c r="E5985" t="s">
        <v>3528</v>
      </c>
      <c r="F5985" t="s">
        <v>3529</v>
      </c>
      <c r="G5985" t="s">
        <v>52</v>
      </c>
      <c r="H5985" t="s">
        <v>53</v>
      </c>
      <c r="I5985" t="s">
        <v>53</v>
      </c>
      <c r="J5985" t="s">
        <v>53</v>
      </c>
      <c r="K5985" t="s">
        <v>53</v>
      </c>
      <c r="L5985" t="s">
        <v>53</v>
      </c>
      <c r="M5985" t="s">
        <v>53</v>
      </c>
      <c r="N5985" t="s">
        <v>53</v>
      </c>
      <c r="O5985" t="s">
        <v>53</v>
      </c>
      <c r="P5985" t="s">
        <v>53</v>
      </c>
      <c r="Q5985" t="s">
        <v>53</v>
      </c>
    </row>
    <row r="5986" spans="1:17" x14ac:dyDescent="0.2">
      <c r="A5986" s="30" t="str">
        <f>IF(C5986&amp;G5986&amp;D5986&lt;&gt;'Funnel setup'!$K$3&amp;'Funnel setup'!$K$4&amp;'Funnel setup'!$K$5,".",IF(A5985=".",1,A5985+1))</f>
        <v>.</v>
      </c>
      <c r="B5986" s="431" t="str">
        <f t="shared" si="93"/>
        <v>Knee Replacement RevisionProviderMEDWAY NHS FOUNDATION TRUST (RPA)EQ-5D Index</v>
      </c>
      <c r="C5986" t="s">
        <v>250</v>
      </c>
      <c r="D5986" t="s">
        <v>1</v>
      </c>
      <c r="E5986" t="s">
        <v>3630</v>
      </c>
      <c r="F5986" t="s">
        <v>3631</v>
      </c>
      <c r="G5986" t="s">
        <v>52</v>
      </c>
      <c r="H5986" t="s">
        <v>53</v>
      </c>
      <c r="I5986" t="s">
        <v>53</v>
      </c>
      <c r="J5986" t="s">
        <v>53</v>
      </c>
      <c r="K5986" t="s">
        <v>53</v>
      </c>
      <c r="L5986" t="s">
        <v>53</v>
      </c>
      <c r="M5986" t="s">
        <v>53</v>
      </c>
      <c r="N5986" t="s">
        <v>53</v>
      </c>
      <c r="O5986" t="s">
        <v>53</v>
      </c>
      <c r="P5986" t="s">
        <v>53</v>
      </c>
      <c r="Q5986" t="s">
        <v>53</v>
      </c>
    </row>
    <row r="5987" spans="1:17" x14ac:dyDescent="0.2">
      <c r="A5987" s="30" t="str">
        <f>IF(C5987&amp;G5987&amp;D5987&lt;&gt;'Funnel setup'!$K$3&amp;'Funnel setup'!$K$4&amp;'Funnel setup'!$K$5,".",IF(A5986=".",1,A5986+1))</f>
        <v>.</v>
      </c>
      <c r="B5987" s="431" t="str">
        <f t="shared" si="93"/>
        <v>Knee Replacement RevisionProviderMID CHESHIRE HOSPITALS NHS FOUNDATION TRUST (RBT)EQ-5D Index</v>
      </c>
      <c r="C5987" t="s">
        <v>250</v>
      </c>
      <c r="D5987" t="s">
        <v>1</v>
      </c>
      <c r="E5987" t="s">
        <v>3633</v>
      </c>
      <c r="F5987" t="s">
        <v>342</v>
      </c>
      <c r="G5987" t="s">
        <v>52</v>
      </c>
      <c r="H5987" t="s">
        <v>53</v>
      </c>
      <c r="I5987" t="s">
        <v>53</v>
      </c>
      <c r="J5987" t="s">
        <v>53</v>
      </c>
      <c r="K5987" t="s">
        <v>53</v>
      </c>
      <c r="L5987" t="s">
        <v>53</v>
      </c>
      <c r="M5987" t="s">
        <v>53</v>
      </c>
      <c r="N5987" t="s">
        <v>53</v>
      </c>
      <c r="O5987" t="s">
        <v>53</v>
      </c>
      <c r="P5987" t="s">
        <v>53</v>
      </c>
      <c r="Q5987" t="s">
        <v>53</v>
      </c>
    </row>
    <row r="5988" spans="1:17" x14ac:dyDescent="0.2">
      <c r="A5988" s="30" t="str">
        <f>IF(C5988&amp;G5988&amp;D5988&lt;&gt;'Funnel setup'!$K$3&amp;'Funnel setup'!$K$4&amp;'Funnel setup'!$K$5,".",IF(A5987=".",1,A5987+1))</f>
        <v>.</v>
      </c>
      <c r="B5988" s="431" t="str">
        <f t="shared" si="93"/>
        <v>Knee Replacement RevisionProviderMID ESSEX HOSPITAL SERVICES NHS TRUST (RQ8)EQ-5D Index</v>
      </c>
      <c r="C5988" t="s">
        <v>250</v>
      </c>
      <c r="D5988" t="s">
        <v>1</v>
      </c>
      <c r="E5988" t="s">
        <v>3635</v>
      </c>
      <c r="F5988" t="s">
        <v>3636</v>
      </c>
      <c r="G5988" t="s">
        <v>52</v>
      </c>
      <c r="H5988">
        <v>9</v>
      </c>
      <c r="I5988">
        <v>0.24099999999999999</v>
      </c>
      <c r="J5988">
        <v>0.32</v>
      </c>
      <c r="K5988">
        <v>7.9000000000000001E-2</v>
      </c>
      <c r="L5988">
        <v>6</v>
      </c>
      <c r="M5988">
        <v>1</v>
      </c>
      <c r="N5988">
        <v>2</v>
      </c>
      <c r="O5988" t="s">
        <v>53</v>
      </c>
      <c r="P5988" t="s">
        <v>53</v>
      </c>
      <c r="Q5988" t="s">
        <v>53</v>
      </c>
    </row>
    <row r="5989" spans="1:17" x14ac:dyDescent="0.2">
      <c r="A5989" s="30" t="str">
        <f>IF(C5989&amp;G5989&amp;D5989&lt;&gt;'Funnel setup'!$K$3&amp;'Funnel setup'!$K$4&amp;'Funnel setup'!$K$5,".",IF(A5988=".",1,A5988+1))</f>
        <v>.</v>
      </c>
      <c r="B5989" s="431" t="str">
        <f t="shared" si="93"/>
        <v>Knee Replacement RevisionProviderMID STAFFORDSHIRE NHS FOUNDATION TRUST (RJD)EQ-5D Index</v>
      </c>
      <c r="C5989" t="s">
        <v>250</v>
      </c>
      <c r="D5989" t="s">
        <v>1</v>
      </c>
      <c r="E5989" t="s">
        <v>3638</v>
      </c>
      <c r="F5989" t="s">
        <v>3639</v>
      </c>
      <c r="G5989" t="s">
        <v>52</v>
      </c>
      <c r="H5989" t="s">
        <v>53</v>
      </c>
      <c r="I5989" t="s">
        <v>53</v>
      </c>
      <c r="J5989" t="s">
        <v>53</v>
      </c>
      <c r="K5989" t="s">
        <v>53</v>
      </c>
      <c r="L5989" t="s">
        <v>53</v>
      </c>
      <c r="M5989" t="s">
        <v>53</v>
      </c>
      <c r="N5989" t="s">
        <v>53</v>
      </c>
      <c r="O5989" t="s">
        <v>53</v>
      </c>
      <c r="P5989" t="s">
        <v>53</v>
      </c>
      <c r="Q5989" t="s">
        <v>53</v>
      </c>
    </row>
    <row r="5990" spans="1:17" x14ac:dyDescent="0.2">
      <c r="A5990" s="30" t="str">
        <f>IF(C5990&amp;G5990&amp;D5990&lt;&gt;'Funnel setup'!$K$3&amp;'Funnel setup'!$K$4&amp;'Funnel setup'!$K$5,".",IF(A5989=".",1,A5989+1))</f>
        <v>.</v>
      </c>
      <c r="B5990" s="431" t="str">
        <f t="shared" si="93"/>
        <v>Knee Replacement RevisionProviderMID YORKSHIRE HOSPITALS NHS TRUST (RXF)EQ-5D Index</v>
      </c>
      <c r="C5990" t="s">
        <v>250</v>
      </c>
      <c r="D5990" t="s">
        <v>1</v>
      </c>
      <c r="E5990" t="s">
        <v>3641</v>
      </c>
      <c r="F5990" t="s">
        <v>3642</v>
      </c>
      <c r="G5990" t="s">
        <v>52</v>
      </c>
      <c r="H5990">
        <v>10</v>
      </c>
      <c r="I5990">
        <v>0.24099999999999999</v>
      </c>
      <c r="J5990">
        <v>0.45300000000000001</v>
      </c>
      <c r="K5990">
        <v>0.21299999999999999</v>
      </c>
      <c r="L5990">
        <v>6</v>
      </c>
      <c r="M5990">
        <v>2</v>
      </c>
      <c r="N5990">
        <v>2</v>
      </c>
      <c r="O5990" t="s">
        <v>53</v>
      </c>
      <c r="P5990" t="s">
        <v>53</v>
      </c>
      <c r="Q5990" t="s">
        <v>53</v>
      </c>
    </row>
    <row r="5991" spans="1:17" x14ac:dyDescent="0.2">
      <c r="A5991" s="30" t="str">
        <f>IF(C5991&amp;G5991&amp;D5991&lt;&gt;'Funnel setup'!$K$3&amp;'Funnel setup'!$K$4&amp;'Funnel setup'!$K$5,".",IF(A5990=".",1,A5990+1))</f>
        <v>.</v>
      </c>
      <c r="B5991" s="431" t="str">
        <f t="shared" si="93"/>
        <v>Knee Replacement RevisionProviderMILTON KEYNES UNIVERSITY HOSPITAL NHS FOUNDATION TRUST (RD8)EQ-5D Index</v>
      </c>
      <c r="C5991" t="s">
        <v>250</v>
      </c>
      <c r="D5991" t="s">
        <v>1</v>
      </c>
      <c r="E5991" t="s">
        <v>3643</v>
      </c>
      <c r="F5991" t="s">
        <v>6580</v>
      </c>
      <c r="G5991" t="s">
        <v>52</v>
      </c>
      <c r="H5991">
        <v>10</v>
      </c>
      <c r="I5991">
        <v>0.156</v>
      </c>
      <c r="J5991">
        <v>0.63</v>
      </c>
      <c r="K5991">
        <v>0.47399999999999998</v>
      </c>
      <c r="L5991">
        <v>8</v>
      </c>
      <c r="M5991">
        <v>0</v>
      </c>
      <c r="N5991">
        <v>2</v>
      </c>
      <c r="O5991" t="s">
        <v>53</v>
      </c>
      <c r="P5991" t="s">
        <v>53</v>
      </c>
      <c r="Q5991" t="s">
        <v>53</v>
      </c>
    </row>
    <row r="5992" spans="1:17" x14ac:dyDescent="0.2">
      <c r="A5992" s="30" t="str">
        <f>IF(C5992&amp;G5992&amp;D5992&lt;&gt;'Funnel setup'!$K$3&amp;'Funnel setup'!$K$4&amp;'Funnel setup'!$K$5,".",IF(A5991=".",1,A5991+1))</f>
        <v>.</v>
      </c>
      <c r="B5992" s="431" t="str">
        <f t="shared" si="93"/>
        <v>Knee Replacement RevisionProviderNEW HALL HOSPITAL (NVC09)EQ-5D Index</v>
      </c>
      <c r="C5992" t="s">
        <v>250</v>
      </c>
      <c r="D5992" t="s">
        <v>1</v>
      </c>
      <c r="E5992" t="s">
        <v>3648</v>
      </c>
      <c r="F5992" t="s">
        <v>3649</v>
      </c>
      <c r="G5992" t="s">
        <v>52</v>
      </c>
      <c r="H5992">
        <v>7</v>
      </c>
      <c r="I5992">
        <v>0.50900000000000001</v>
      </c>
      <c r="J5992">
        <v>0.56499999999999995</v>
      </c>
      <c r="K5992">
        <v>5.6000000000000001E-2</v>
      </c>
      <c r="L5992">
        <v>4</v>
      </c>
      <c r="M5992">
        <v>2</v>
      </c>
      <c r="N5992">
        <v>1</v>
      </c>
      <c r="O5992" t="s">
        <v>53</v>
      </c>
      <c r="P5992" t="s">
        <v>53</v>
      </c>
      <c r="Q5992" t="s">
        <v>53</v>
      </c>
    </row>
    <row r="5993" spans="1:17" x14ac:dyDescent="0.2">
      <c r="A5993" s="30" t="str">
        <f>IF(C5993&amp;G5993&amp;D5993&lt;&gt;'Funnel setup'!$K$3&amp;'Funnel setup'!$K$4&amp;'Funnel setup'!$K$5,".",IF(A5992=".",1,A5992+1))</f>
        <v>.</v>
      </c>
      <c r="B5993" s="431" t="str">
        <f t="shared" si="93"/>
        <v>Knee Replacement RevisionProviderNORFOLK AND NORWICH UNIVERSITY HOSPITALS NHS FOUNDATION TRUST (RM1)EQ-5D Index</v>
      </c>
      <c r="C5993" t="s">
        <v>250</v>
      </c>
      <c r="D5993" t="s">
        <v>1</v>
      </c>
      <c r="E5993" t="s">
        <v>3651</v>
      </c>
      <c r="F5993" t="s">
        <v>3652</v>
      </c>
      <c r="G5993" t="s">
        <v>52</v>
      </c>
      <c r="H5993">
        <v>28</v>
      </c>
      <c r="I5993">
        <v>0.39800000000000002</v>
      </c>
      <c r="J5993">
        <v>0.64600000000000002</v>
      </c>
      <c r="K5993">
        <v>0.248</v>
      </c>
      <c r="L5993">
        <v>19</v>
      </c>
      <c r="M5993">
        <v>4</v>
      </c>
      <c r="N5993">
        <v>5</v>
      </c>
      <c r="O5993" t="s">
        <v>53</v>
      </c>
      <c r="P5993" t="s">
        <v>53</v>
      </c>
      <c r="Q5993" t="s">
        <v>53</v>
      </c>
    </row>
    <row r="5994" spans="1:17" x14ac:dyDescent="0.2">
      <c r="A5994" s="30" t="str">
        <f>IF(C5994&amp;G5994&amp;D5994&lt;&gt;'Funnel setup'!$K$3&amp;'Funnel setup'!$K$4&amp;'Funnel setup'!$K$5,".",IF(A5993=".",1,A5993+1))</f>
        <v>.</v>
      </c>
      <c r="B5994" s="431" t="str">
        <f t="shared" si="93"/>
        <v>Knee Replacement RevisionProviderNORTH BRISTOL NHS TRUST (RVJ)EQ-5D Index</v>
      </c>
      <c r="C5994" t="s">
        <v>250</v>
      </c>
      <c r="D5994" t="s">
        <v>1</v>
      </c>
      <c r="E5994" t="s">
        <v>3654</v>
      </c>
      <c r="F5994" t="s">
        <v>3655</v>
      </c>
      <c r="G5994" t="s">
        <v>52</v>
      </c>
      <c r="H5994">
        <v>19</v>
      </c>
      <c r="I5994">
        <v>0.28999999999999998</v>
      </c>
      <c r="J5994">
        <v>0.6</v>
      </c>
      <c r="K5994">
        <v>0.31</v>
      </c>
      <c r="L5994">
        <v>16</v>
      </c>
      <c r="M5994">
        <v>2</v>
      </c>
      <c r="N5994">
        <v>1</v>
      </c>
      <c r="O5994" t="s">
        <v>53</v>
      </c>
      <c r="P5994" t="s">
        <v>53</v>
      </c>
      <c r="Q5994" t="s">
        <v>53</v>
      </c>
    </row>
    <row r="5995" spans="1:17" x14ac:dyDescent="0.2">
      <c r="A5995" s="30" t="str">
        <f>IF(C5995&amp;G5995&amp;D5995&lt;&gt;'Funnel setup'!$K$3&amp;'Funnel setup'!$K$4&amp;'Funnel setup'!$K$5,".",IF(A5994=".",1,A5994+1))</f>
        <v>.</v>
      </c>
      <c r="B5995" s="431" t="str">
        <f t="shared" si="93"/>
        <v>Knee Replacement RevisionProviderNORTH CUMBRIA UNIVERSITY HOSPITALS NHS TRUST (RNL)EQ-5D Index</v>
      </c>
      <c r="C5995" t="s">
        <v>250</v>
      </c>
      <c r="D5995" t="s">
        <v>1</v>
      </c>
      <c r="E5995" t="s">
        <v>3657</v>
      </c>
      <c r="F5995" t="s">
        <v>3658</v>
      </c>
      <c r="G5995" t="s">
        <v>52</v>
      </c>
      <c r="H5995" t="s">
        <v>53</v>
      </c>
      <c r="I5995" t="s">
        <v>53</v>
      </c>
      <c r="J5995" t="s">
        <v>53</v>
      </c>
      <c r="K5995" t="s">
        <v>53</v>
      </c>
      <c r="L5995" t="s">
        <v>53</v>
      </c>
      <c r="M5995" t="s">
        <v>53</v>
      </c>
      <c r="N5995" t="s">
        <v>53</v>
      </c>
      <c r="O5995" t="s">
        <v>53</v>
      </c>
      <c r="P5995" t="s">
        <v>53</v>
      </c>
      <c r="Q5995" t="s">
        <v>53</v>
      </c>
    </row>
    <row r="5996" spans="1:17" x14ac:dyDescent="0.2">
      <c r="A5996" s="30" t="str">
        <f>IF(C5996&amp;G5996&amp;D5996&lt;&gt;'Funnel setup'!$K$3&amp;'Funnel setup'!$K$4&amp;'Funnel setup'!$K$5,".",IF(A5995=".",1,A5995+1))</f>
        <v>.</v>
      </c>
      <c r="B5996" s="431" t="str">
        <f t="shared" si="93"/>
        <v>Knee Replacement RevisionProviderNORTH DOWNS HOSPITAL (NVC11)EQ-5D Index</v>
      </c>
      <c r="C5996" t="s">
        <v>250</v>
      </c>
      <c r="D5996" t="s">
        <v>1</v>
      </c>
      <c r="E5996" t="s">
        <v>3660</v>
      </c>
      <c r="F5996" t="s">
        <v>3661</v>
      </c>
      <c r="G5996" t="s">
        <v>52</v>
      </c>
      <c r="H5996" t="s">
        <v>53</v>
      </c>
      <c r="I5996" t="s">
        <v>53</v>
      </c>
      <c r="J5996" t="s">
        <v>53</v>
      </c>
      <c r="K5996" t="s">
        <v>53</v>
      </c>
      <c r="L5996" t="s">
        <v>53</v>
      </c>
      <c r="M5996" t="s">
        <v>53</v>
      </c>
      <c r="N5996" t="s">
        <v>53</v>
      </c>
      <c r="O5996" t="s">
        <v>53</v>
      </c>
      <c r="P5996" t="s">
        <v>53</v>
      </c>
      <c r="Q5996" t="s">
        <v>53</v>
      </c>
    </row>
    <row r="5997" spans="1:17" x14ac:dyDescent="0.2">
      <c r="A5997" s="30" t="str">
        <f>IF(C5997&amp;G5997&amp;D5997&lt;&gt;'Funnel setup'!$K$3&amp;'Funnel setup'!$K$4&amp;'Funnel setup'!$K$5,".",IF(A5996=".",1,A5996+1))</f>
        <v>.</v>
      </c>
      <c r="B5997" s="431" t="str">
        <f t="shared" si="93"/>
        <v>Knee Replacement RevisionProviderNORTH EAST LONDON TREATMENT CENTRE CARE UK (NTP15)EQ-5D Index</v>
      </c>
      <c r="C5997" t="s">
        <v>250</v>
      </c>
      <c r="D5997" t="s">
        <v>1</v>
      </c>
      <c r="E5997" t="s">
        <v>3663</v>
      </c>
      <c r="F5997" t="s">
        <v>3664</v>
      </c>
      <c r="G5997" t="s">
        <v>52</v>
      </c>
      <c r="H5997" t="s">
        <v>53</v>
      </c>
      <c r="I5997" t="s">
        <v>53</v>
      </c>
      <c r="J5997" t="s">
        <v>53</v>
      </c>
      <c r="K5997" t="s">
        <v>53</v>
      </c>
      <c r="L5997" t="s">
        <v>53</v>
      </c>
      <c r="M5997" t="s">
        <v>53</v>
      </c>
      <c r="N5997" t="s">
        <v>53</v>
      </c>
      <c r="O5997" t="s">
        <v>53</v>
      </c>
      <c r="P5997" t="s">
        <v>53</v>
      </c>
      <c r="Q5997" t="s">
        <v>53</v>
      </c>
    </row>
    <row r="5998" spans="1:17" x14ac:dyDescent="0.2">
      <c r="A5998" s="30" t="str">
        <f>IF(C5998&amp;G5998&amp;D5998&lt;&gt;'Funnel setup'!$K$3&amp;'Funnel setup'!$K$4&amp;'Funnel setup'!$K$5,".",IF(A5997=".",1,A5997+1))</f>
        <v>.</v>
      </c>
      <c r="B5998" s="431" t="str">
        <f t="shared" si="93"/>
        <v>Knee Replacement RevisionProviderNORTH MIDDLESEX UNIVERSITY HOSPITAL NHS TRUST (RAP)EQ-5D Index</v>
      </c>
      <c r="C5998" t="s">
        <v>250</v>
      </c>
      <c r="D5998" t="s">
        <v>1</v>
      </c>
      <c r="E5998" t="s">
        <v>3666</v>
      </c>
      <c r="F5998" t="s">
        <v>3667</v>
      </c>
      <c r="G5998" t="s">
        <v>52</v>
      </c>
      <c r="H5998" t="s">
        <v>53</v>
      </c>
      <c r="I5998" t="s">
        <v>53</v>
      </c>
      <c r="J5998" t="s">
        <v>53</v>
      </c>
      <c r="K5998" t="s">
        <v>53</v>
      </c>
      <c r="L5998" t="s">
        <v>53</v>
      </c>
      <c r="M5998" t="s">
        <v>53</v>
      </c>
      <c r="N5998" t="s">
        <v>53</v>
      </c>
      <c r="O5998" t="s">
        <v>53</v>
      </c>
      <c r="P5998" t="s">
        <v>53</v>
      </c>
      <c r="Q5998" t="s">
        <v>53</v>
      </c>
    </row>
    <row r="5999" spans="1:17" x14ac:dyDescent="0.2">
      <c r="A5999" s="30" t="str">
        <f>IF(C5999&amp;G5999&amp;D5999&lt;&gt;'Funnel setup'!$K$3&amp;'Funnel setup'!$K$4&amp;'Funnel setup'!$K$5,".",IF(A5998=".",1,A5998+1))</f>
        <v>.</v>
      </c>
      <c r="B5999" s="431" t="str">
        <f t="shared" si="93"/>
        <v>Knee Replacement RevisionProviderNORTH TEES AND HARTLEPOOL NHS FOUNDATION TRUST (RVW)EQ-5D Index</v>
      </c>
      <c r="C5999" t="s">
        <v>250</v>
      </c>
      <c r="D5999" t="s">
        <v>1</v>
      </c>
      <c r="E5999" t="s">
        <v>3669</v>
      </c>
      <c r="F5999" t="s">
        <v>3670</v>
      </c>
      <c r="G5999" t="s">
        <v>52</v>
      </c>
      <c r="H5999">
        <v>13</v>
      </c>
      <c r="I5999">
        <v>-8.9999999999999993E-3</v>
      </c>
      <c r="J5999">
        <v>0.48499999999999999</v>
      </c>
      <c r="K5999">
        <v>0.49399999999999999</v>
      </c>
      <c r="L5999">
        <v>12</v>
      </c>
      <c r="M5999">
        <v>1</v>
      </c>
      <c r="N5999">
        <v>0</v>
      </c>
      <c r="O5999" t="s">
        <v>53</v>
      </c>
      <c r="P5999" t="s">
        <v>53</v>
      </c>
      <c r="Q5999" t="s">
        <v>53</v>
      </c>
    </row>
    <row r="6000" spans="1:17" x14ac:dyDescent="0.2">
      <c r="A6000" s="30" t="str">
        <f>IF(C6000&amp;G6000&amp;D6000&lt;&gt;'Funnel setup'!$K$3&amp;'Funnel setup'!$K$4&amp;'Funnel setup'!$K$5,".",IF(A5999=".",1,A5999+1))</f>
        <v>.</v>
      </c>
      <c r="B6000" s="431" t="str">
        <f t="shared" si="93"/>
        <v>Knee Replacement RevisionProviderNORTHAMPTON GENERAL HOSPITAL NHS TRUST (RNS)EQ-5D Index</v>
      </c>
      <c r="C6000" t="s">
        <v>250</v>
      </c>
      <c r="D6000" t="s">
        <v>1</v>
      </c>
      <c r="E6000" t="s">
        <v>3675</v>
      </c>
      <c r="F6000" t="s">
        <v>3676</v>
      </c>
      <c r="G6000" t="s">
        <v>52</v>
      </c>
      <c r="H6000">
        <v>8</v>
      </c>
      <c r="I6000">
        <v>6.5000000000000002E-2</v>
      </c>
      <c r="J6000">
        <v>0.33600000000000002</v>
      </c>
      <c r="K6000">
        <v>0.27100000000000002</v>
      </c>
      <c r="L6000">
        <v>7</v>
      </c>
      <c r="M6000">
        <v>1</v>
      </c>
      <c r="N6000">
        <v>0</v>
      </c>
      <c r="O6000" t="s">
        <v>53</v>
      </c>
      <c r="P6000" t="s">
        <v>53</v>
      </c>
      <c r="Q6000" t="s">
        <v>53</v>
      </c>
    </row>
    <row r="6001" spans="1:17" x14ac:dyDescent="0.2">
      <c r="A6001" s="30" t="str">
        <f>IF(C6001&amp;G6001&amp;D6001&lt;&gt;'Funnel setup'!$K$3&amp;'Funnel setup'!$K$4&amp;'Funnel setup'!$K$5,".",IF(A6000=".",1,A6000+1))</f>
        <v>.</v>
      </c>
      <c r="B6001" s="431" t="str">
        <f t="shared" si="93"/>
        <v>Knee Replacement RevisionProviderNORTHERN DEVON HEALTHCARE NHS TRUST (RBZ)EQ-5D Index</v>
      </c>
      <c r="C6001" t="s">
        <v>250</v>
      </c>
      <c r="D6001" t="s">
        <v>1</v>
      </c>
      <c r="E6001" t="s">
        <v>3678</v>
      </c>
      <c r="F6001" t="s">
        <v>3679</v>
      </c>
      <c r="G6001" t="s">
        <v>52</v>
      </c>
      <c r="H6001">
        <v>7</v>
      </c>
      <c r="I6001">
        <v>0.39100000000000001</v>
      </c>
      <c r="J6001">
        <v>0.76500000000000001</v>
      </c>
      <c r="K6001">
        <v>0.374</v>
      </c>
      <c r="L6001">
        <v>6</v>
      </c>
      <c r="M6001">
        <v>1</v>
      </c>
      <c r="N6001">
        <v>0</v>
      </c>
      <c r="O6001" t="s">
        <v>53</v>
      </c>
      <c r="P6001" t="s">
        <v>53</v>
      </c>
      <c r="Q6001" t="s">
        <v>53</v>
      </c>
    </row>
    <row r="6002" spans="1:17" x14ac:dyDescent="0.2">
      <c r="A6002" s="30" t="str">
        <f>IF(C6002&amp;G6002&amp;D6002&lt;&gt;'Funnel setup'!$K$3&amp;'Funnel setup'!$K$4&amp;'Funnel setup'!$K$5,".",IF(A6001=".",1,A6001+1))</f>
        <v>.</v>
      </c>
      <c r="B6002" s="431" t="str">
        <f t="shared" si="93"/>
        <v>Knee Replacement RevisionProviderNORTHERN LINCOLNSHIRE AND GOOLE NHS FOUNDATION TRUST (RJL)EQ-5D Index</v>
      </c>
      <c r="C6002" t="s">
        <v>250</v>
      </c>
      <c r="D6002" t="s">
        <v>1</v>
      </c>
      <c r="E6002" t="s">
        <v>3681</v>
      </c>
      <c r="F6002" t="s">
        <v>3682</v>
      </c>
      <c r="G6002" t="s">
        <v>52</v>
      </c>
      <c r="H6002">
        <v>14</v>
      </c>
      <c r="I6002">
        <v>0.436</v>
      </c>
      <c r="J6002">
        <v>0.61399999999999999</v>
      </c>
      <c r="K6002">
        <v>0.17799999999999999</v>
      </c>
      <c r="L6002">
        <v>8</v>
      </c>
      <c r="M6002">
        <v>3</v>
      </c>
      <c r="N6002">
        <v>3</v>
      </c>
      <c r="O6002" t="s">
        <v>53</v>
      </c>
      <c r="P6002" t="s">
        <v>53</v>
      </c>
      <c r="Q6002" t="s">
        <v>53</v>
      </c>
    </row>
    <row r="6003" spans="1:17" x14ac:dyDescent="0.2">
      <c r="A6003" s="30" t="str">
        <f>IF(C6003&amp;G6003&amp;D6003&lt;&gt;'Funnel setup'!$K$3&amp;'Funnel setup'!$K$4&amp;'Funnel setup'!$K$5,".",IF(A6002=".",1,A6002+1))</f>
        <v>.</v>
      </c>
      <c r="B6003" s="431" t="str">
        <f t="shared" si="93"/>
        <v>Knee Replacement RevisionProviderNORTHUMBRIA HEALTHCARE NHS FOUNDATION TRUST (RTF)EQ-5D Index</v>
      </c>
      <c r="C6003" t="s">
        <v>250</v>
      </c>
      <c r="D6003" t="s">
        <v>1</v>
      </c>
      <c r="E6003" t="s">
        <v>3684</v>
      </c>
      <c r="F6003" t="s">
        <v>3685</v>
      </c>
      <c r="G6003" t="s">
        <v>52</v>
      </c>
      <c r="H6003">
        <v>16</v>
      </c>
      <c r="I6003">
        <v>0.34499999999999997</v>
      </c>
      <c r="J6003">
        <v>0.68200000000000005</v>
      </c>
      <c r="K6003">
        <v>0.33700000000000002</v>
      </c>
      <c r="L6003">
        <v>14</v>
      </c>
      <c r="M6003">
        <v>0</v>
      </c>
      <c r="N6003">
        <v>2</v>
      </c>
      <c r="O6003" t="s">
        <v>53</v>
      </c>
      <c r="P6003" t="s">
        <v>53</v>
      </c>
      <c r="Q6003" t="s">
        <v>53</v>
      </c>
    </row>
    <row r="6004" spans="1:17" x14ac:dyDescent="0.2">
      <c r="A6004" s="30" t="str">
        <f>IF(C6004&amp;G6004&amp;D6004&lt;&gt;'Funnel setup'!$K$3&amp;'Funnel setup'!$K$4&amp;'Funnel setup'!$K$5,".",IF(A6003=".",1,A6003+1))</f>
        <v>.</v>
      </c>
      <c r="B6004" s="431" t="str">
        <f t="shared" si="93"/>
        <v>Knee Replacement RevisionProviderNOTTINGHAM UNIVERSITY HOSPITALS NHS TRUST (RX1)EQ-5D Index</v>
      </c>
      <c r="C6004" t="s">
        <v>250</v>
      </c>
      <c r="D6004" t="s">
        <v>1</v>
      </c>
      <c r="E6004" t="s">
        <v>3687</v>
      </c>
      <c r="F6004" t="s">
        <v>3688</v>
      </c>
      <c r="G6004" t="s">
        <v>52</v>
      </c>
      <c r="H6004">
        <v>30</v>
      </c>
      <c r="I6004">
        <v>0.379</v>
      </c>
      <c r="J6004">
        <v>0.66500000000000004</v>
      </c>
      <c r="K6004">
        <v>0.28599999999999998</v>
      </c>
      <c r="L6004">
        <v>24</v>
      </c>
      <c r="M6004">
        <v>4</v>
      </c>
      <c r="N6004">
        <v>2</v>
      </c>
      <c r="O6004">
        <v>0.63600000000000001</v>
      </c>
      <c r="P6004">
        <v>0.30404990399999998</v>
      </c>
      <c r="Q6004">
        <v>0.19700000000000001</v>
      </c>
    </row>
    <row r="6005" spans="1:17" x14ac:dyDescent="0.2">
      <c r="A6005" s="30" t="str">
        <f>IF(C6005&amp;G6005&amp;D6005&lt;&gt;'Funnel setup'!$K$3&amp;'Funnel setup'!$K$4&amp;'Funnel setup'!$K$5,".",IF(A6004=".",1,A6004+1))</f>
        <v>.</v>
      </c>
      <c r="B6005" s="431" t="str">
        <f t="shared" si="93"/>
        <v>Knee Replacement RevisionProviderNUFFIELD HEALTH, DERBY HOSPITAL (NT213)EQ-5D Index</v>
      </c>
      <c r="C6005" t="s">
        <v>250</v>
      </c>
      <c r="D6005" t="s">
        <v>1</v>
      </c>
      <c r="E6005" t="s">
        <v>3340</v>
      </c>
      <c r="F6005" t="s">
        <v>3341</v>
      </c>
      <c r="G6005" t="s">
        <v>52</v>
      </c>
      <c r="H6005" t="s">
        <v>53</v>
      </c>
      <c r="I6005" t="s">
        <v>53</v>
      </c>
      <c r="J6005" t="s">
        <v>53</v>
      </c>
      <c r="K6005" t="s">
        <v>53</v>
      </c>
      <c r="L6005" t="s">
        <v>53</v>
      </c>
      <c r="M6005" t="s">
        <v>53</v>
      </c>
      <c r="N6005" t="s">
        <v>53</v>
      </c>
      <c r="O6005" t="s">
        <v>53</v>
      </c>
      <c r="P6005" t="s">
        <v>53</v>
      </c>
      <c r="Q6005" t="s">
        <v>53</v>
      </c>
    </row>
    <row r="6006" spans="1:17" x14ac:dyDescent="0.2">
      <c r="A6006" s="30" t="str">
        <f>IF(C6006&amp;G6006&amp;D6006&lt;&gt;'Funnel setup'!$K$3&amp;'Funnel setup'!$K$4&amp;'Funnel setup'!$K$5,".",IF(A6005=".",1,A6005+1))</f>
        <v>.</v>
      </c>
      <c r="B6006" s="431" t="str">
        <f t="shared" si="93"/>
        <v>Knee Replacement RevisionProviderNUFFIELD HEALTH, EXETER HOSPITAL (NT215)EQ-5D Index</v>
      </c>
      <c r="C6006" t="s">
        <v>250</v>
      </c>
      <c r="D6006" t="s">
        <v>1</v>
      </c>
      <c r="E6006" t="s">
        <v>4339</v>
      </c>
      <c r="F6006" t="s">
        <v>4340</v>
      </c>
      <c r="G6006" t="s">
        <v>52</v>
      </c>
      <c r="H6006" t="s">
        <v>53</v>
      </c>
      <c r="I6006" t="s">
        <v>53</v>
      </c>
      <c r="J6006" t="s">
        <v>53</v>
      </c>
      <c r="K6006" t="s">
        <v>53</v>
      </c>
      <c r="L6006" t="s">
        <v>53</v>
      </c>
      <c r="M6006" t="s">
        <v>53</v>
      </c>
      <c r="N6006" t="s">
        <v>53</v>
      </c>
      <c r="O6006" t="s">
        <v>53</v>
      </c>
      <c r="P6006" t="s">
        <v>53</v>
      </c>
      <c r="Q6006" t="s">
        <v>53</v>
      </c>
    </row>
    <row r="6007" spans="1:17" x14ac:dyDescent="0.2">
      <c r="A6007" s="30" t="str">
        <f>IF(C6007&amp;G6007&amp;D6007&lt;&gt;'Funnel setup'!$K$3&amp;'Funnel setup'!$K$4&amp;'Funnel setup'!$K$5,".",IF(A6006=".",1,A6006+1))</f>
        <v>.</v>
      </c>
      <c r="B6007" s="431" t="str">
        <f t="shared" si="93"/>
        <v>Knee Replacement RevisionProviderNUFFIELD HEALTH, LEEDS HOSPITAL (NT225)EQ-5D Index</v>
      </c>
      <c r="C6007" t="s">
        <v>250</v>
      </c>
      <c r="D6007" t="s">
        <v>1</v>
      </c>
      <c r="E6007" t="s">
        <v>3388</v>
      </c>
      <c r="F6007" t="s">
        <v>3389</v>
      </c>
      <c r="G6007" t="s">
        <v>52</v>
      </c>
      <c r="H6007" t="s">
        <v>53</v>
      </c>
      <c r="I6007" t="s">
        <v>53</v>
      </c>
      <c r="J6007" t="s">
        <v>53</v>
      </c>
      <c r="K6007" t="s">
        <v>53</v>
      </c>
      <c r="L6007" t="s">
        <v>53</v>
      </c>
      <c r="M6007" t="s">
        <v>53</v>
      </c>
      <c r="N6007" t="s">
        <v>53</v>
      </c>
      <c r="O6007" t="s">
        <v>53</v>
      </c>
      <c r="P6007" t="s">
        <v>53</v>
      </c>
      <c r="Q6007" t="s">
        <v>53</v>
      </c>
    </row>
    <row r="6008" spans="1:17" x14ac:dyDescent="0.2">
      <c r="A6008" s="30" t="str">
        <f>IF(C6008&amp;G6008&amp;D6008&lt;&gt;'Funnel setup'!$K$3&amp;'Funnel setup'!$K$4&amp;'Funnel setup'!$K$5,".",IF(A6007=".",1,A6007+1))</f>
        <v>.</v>
      </c>
      <c r="B6008" s="431" t="str">
        <f t="shared" si="93"/>
        <v>Knee Replacement RevisionProviderNUFFIELD HEALTH, TEES HOSPITAL (NT237)EQ-5D Index</v>
      </c>
      <c r="C6008" t="s">
        <v>250</v>
      </c>
      <c r="D6008" t="s">
        <v>1</v>
      </c>
      <c r="E6008" t="s">
        <v>3246</v>
      </c>
      <c r="F6008" t="s">
        <v>3247</v>
      </c>
      <c r="G6008" t="s">
        <v>52</v>
      </c>
      <c r="H6008" t="s">
        <v>53</v>
      </c>
      <c r="I6008" t="s">
        <v>53</v>
      </c>
      <c r="J6008" t="s">
        <v>53</v>
      </c>
      <c r="K6008" t="s">
        <v>53</v>
      </c>
      <c r="L6008" t="s">
        <v>53</v>
      </c>
      <c r="M6008" t="s">
        <v>53</v>
      </c>
      <c r="N6008" t="s">
        <v>53</v>
      </c>
      <c r="O6008" t="s">
        <v>53</v>
      </c>
      <c r="P6008" t="s">
        <v>53</v>
      </c>
      <c r="Q6008" t="s">
        <v>53</v>
      </c>
    </row>
    <row r="6009" spans="1:17" x14ac:dyDescent="0.2">
      <c r="A6009" s="30" t="str">
        <f>IF(C6009&amp;G6009&amp;D6009&lt;&gt;'Funnel setup'!$K$3&amp;'Funnel setup'!$K$4&amp;'Funnel setup'!$K$5,".",IF(A6008=".",1,A6008+1))</f>
        <v>.</v>
      </c>
      <c r="B6009" s="431" t="str">
        <f t="shared" si="93"/>
        <v>Knee Replacement RevisionProviderNUFFIELD HEALTH, YORK HOSPITAL (NT245)EQ-5D Index</v>
      </c>
      <c r="C6009" t="s">
        <v>250</v>
      </c>
      <c r="D6009" t="s">
        <v>1</v>
      </c>
      <c r="E6009" t="s">
        <v>4299</v>
      </c>
      <c r="F6009" t="s">
        <v>4300</v>
      </c>
      <c r="G6009" t="s">
        <v>52</v>
      </c>
      <c r="H6009" t="s">
        <v>53</v>
      </c>
      <c r="I6009" t="s">
        <v>53</v>
      </c>
      <c r="J6009" t="s">
        <v>53</v>
      </c>
      <c r="K6009" t="s">
        <v>53</v>
      </c>
      <c r="L6009" t="s">
        <v>53</v>
      </c>
      <c r="M6009" t="s">
        <v>53</v>
      </c>
      <c r="N6009" t="s">
        <v>53</v>
      </c>
      <c r="O6009" t="s">
        <v>53</v>
      </c>
      <c r="P6009" t="s">
        <v>53</v>
      </c>
      <c r="Q6009" t="s">
        <v>53</v>
      </c>
    </row>
    <row r="6010" spans="1:17" x14ac:dyDescent="0.2">
      <c r="A6010" s="30" t="str">
        <f>IF(C6010&amp;G6010&amp;D6010&lt;&gt;'Funnel setup'!$K$3&amp;'Funnel setup'!$K$4&amp;'Funnel setup'!$K$5,".",IF(A6009=".",1,A6009+1))</f>
        <v>.</v>
      </c>
      <c r="B6010" s="431" t="str">
        <f t="shared" si="93"/>
        <v>Knee Replacement RevisionProviderOAKS HOSPITAL (NVC13)EQ-5D Index</v>
      </c>
      <c r="C6010" t="s">
        <v>250</v>
      </c>
      <c r="D6010" t="s">
        <v>1</v>
      </c>
      <c r="E6010" t="s">
        <v>3270</v>
      </c>
      <c r="F6010" t="s">
        <v>3271</v>
      </c>
      <c r="G6010" t="s">
        <v>52</v>
      </c>
      <c r="H6010" t="s">
        <v>53</v>
      </c>
      <c r="I6010" t="s">
        <v>53</v>
      </c>
      <c r="J6010" t="s">
        <v>53</v>
      </c>
      <c r="K6010" t="s">
        <v>53</v>
      </c>
      <c r="L6010" t="s">
        <v>53</v>
      </c>
      <c r="M6010" t="s">
        <v>53</v>
      </c>
      <c r="N6010" t="s">
        <v>53</v>
      </c>
      <c r="O6010" t="s">
        <v>53</v>
      </c>
      <c r="P6010" t="s">
        <v>53</v>
      </c>
      <c r="Q6010" t="s">
        <v>53</v>
      </c>
    </row>
    <row r="6011" spans="1:17" x14ac:dyDescent="0.2">
      <c r="A6011" s="30" t="str">
        <f>IF(C6011&amp;G6011&amp;D6011&lt;&gt;'Funnel setup'!$K$3&amp;'Funnel setup'!$K$4&amp;'Funnel setup'!$K$5,".",IF(A6010=".",1,A6010+1))</f>
        <v>.</v>
      </c>
      <c r="B6011" s="431" t="str">
        <f t="shared" si="93"/>
        <v>Knee Replacement RevisionProviderOXFORD UNIVERSITY HOSPITALS NHS FOUNDATION TRUST (RTH)EQ-5D Index</v>
      </c>
      <c r="C6011" t="s">
        <v>250</v>
      </c>
      <c r="D6011" t="s">
        <v>1</v>
      </c>
      <c r="E6011" t="s">
        <v>3278</v>
      </c>
      <c r="F6011" t="s">
        <v>6578</v>
      </c>
      <c r="G6011" t="s">
        <v>52</v>
      </c>
      <c r="H6011">
        <v>41</v>
      </c>
      <c r="I6011">
        <v>0.36299999999999999</v>
      </c>
      <c r="J6011">
        <v>0.57399999999999995</v>
      </c>
      <c r="K6011">
        <v>0.21099999999999999</v>
      </c>
      <c r="L6011">
        <v>26</v>
      </c>
      <c r="M6011">
        <v>5</v>
      </c>
      <c r="N6011">
        <v>10</v>
      </c>
      <c r="O6011">
        <v>0.59099999999999997</v>
      </c>
      <c r="P6011">
        <v>0.25931119499999999</v>
      </c>
      <c r="Q6011">
        <v>0.316</v>
      </c>
    </row>
    <row r="6012" spans="1:17" x14ac:dyDescent="0.2">
      <c r="A6012" s="30" t="str">
        <f>IF(C6012&amp;G6012&amp;D6012&lt;&gt;'Funnel setup'!$K$3&amp;'Funnel setup'!$K$4&amp;'Funnel setup'!$K$5,".",IF(A6011=".",1,A6011+1))</f>
        <v>.</v>
      </c>
      <c r="B6012" s="431" t="str">
        <f t="shared" si="93"/>
        <v>Knee Replacement RevisionProviderPENINSULA NHS TREATMENT CENTRE (NTPH5)EQ-5D Index</v>
      </c>
      <c r="C6012" t="s">
        <v>250</v>
      </c>
      <c r="D6012" t="s">
        <v>1</v>
      </c>
      <c r="E6012" t="s">
        <v>4285</v>
      </c>
      <c r="F6012" t="s">
        <v>4286</v>
      </c>
      <c r="G6012" t="s">
        <v>52</v>
      </c>
      <c r="H6012">
        <v>8</v>
      </c>
      <c r="I6012">
        <v>0.61599999999999999</v>
      </c>
      <c r="J6012">
        <v>0.86599999999999999</v>
      </c>
      <c r="K6012">
        <v>0.25</v>
      </c>
      <c r="L6012">
        <v>7</v>
      </c>
      <c r="M6012">
        <v>0</v>
      </c>
      <c r="N6012">
        <v>1</v>
      </c>
      <c r="O6012" t="s">
        <v>53</v>
      </c>
      <c r="P6012" t="s">
        <v>53</v>
      </c>
      <c r="Q6012" t="s">
        <v>53</v>
      </c>
    </row>
    <row r="6013" spans="1:17" x14ac:dyDescent="0.2">
      <c r="A6013" s="30" t="str">
        <f>IF(C6013&amp;G6013&amp;D6013&lt;&gt;'Funnel setup'!$K$3&amp;'Funnel setup'!$K$4&amp;'Funnel setup'!$K$5,".",IF(A6012=".",1,A6012+1))</f>
        <v>.</v>
      </c>
      <c r="B6013" s="431" t="str">
        <f t="shared" si="93"/>
        <v>Knee Replacement RevisionProviderPENNINE ACUTE HOSPITALS NHS TRUST (RW6)EQ-5D Index</v>
      </c>
      <c r="C6013" t="s">
        <v>250</v>
      </c>
      <c r="D6013" t="s">
        <v>1</v>
      </c>
      <c r="E6013" t="s">
        <v>3216</v>
      </c>
      <c r="F6013" t="s">
        <v>3217</v>
      </c>
      <c r="G6013" t="s">
        <v>52</v>
      </c>
      <c r="H6013">
        <v>16</v>
      </c>
      <c r="I6013">
        <v>0.108</v>
      </c>
      <c r="J6013">
        <v>0.39</v>
      </c>
      <c r="K6013">
        <v>0.28299999999999997</v>
      </c>
      <c r="L6013">
        <v>11</v>
      </c>
      <c r="M6013">
        <v>2</v>
      </c>
      <c r="N6013">
        <v>3</v>
      </c>
      <c r="O6013" t="s">
        <v>53</v>
      </c>
      <c r="P6013" t="s">
        <v>53</v>
      </c>
      <c r="Q6013" t="s">
        <v>53</v>
      </c>
    </row>
    <row r="6014" spans="1:17" x14ac:dyDescent="0.2">
      <c r="A6014" s="30" t="str">
        <f>IF(C6014&amp;G6014&amp;D6014&lt;&gt;'Funnel setup'!$K$3&amp;'Funnel setup'!$K$4&amp;'Funnel setup'!$K$5,".",IF(A6013=".",1,A6013+1))</f>
        <v>.</v>
      </c>
      <c r="B6014" s="431" t="str">
        <f t="shared" si="93"/>
        <v>Knee Replacement RevisionProviderPETERBOROUGH AND STAMFORD HOSPITALS NHS FOUNDATION TRUST (RGN)EQ-5D Index</v>
      </c>
      <c r="C6014" t="s">
        <v>250</v>
      </c>
      <c r="D6014" t="s">
        <v>1</v>
      </c>
      <c r="E6014" t="s">
        <v>3219</v>
      </c>
      <c r="F6014" t="s">
        <v>3220</v>
      </c>
      <c r="G6014" t="s">
        <v>52</v>
      </c>
      <c r="H6014" t="s">
        <v>53</v>
      </c>
      <c r="I6014" t="s">
        <v>53</v>
      </c>
      <c r="J6014" t="s">
        <v>53</v>
      </c>
      <c r="K6014" t="s">
        <v>53</v>
      </c>
      <c r="L6014" t="s">
        <v>53</v>
      </c>
      <c r="M6014" t="s">
        <v>53</v>
      </c>
      <c r="N6014" t="s">
        <v>53</v>
      </c>
      <c r="O6014" t="s">
        <v>53</v>
      </c>
      <c r="P6014" t="s">
        <v>53</v>
      </c>
      <c r="Q6014" t="s">
        <v>53</v>
      </c>
    </row>
    <row r="6015" spans="1:17" x14ac:dyDescent="0.2">
      <c r="A6015" s="30" t="str">
        <f>IF(C6015&amp;G6015&amp;D6015&lt;&gt;'Funnel setup'!$K$3&amp;'Funnel setup'!$K$4&amp;'Funnel setup'!$K$5,".",IF(A6014=".",1,A6014+1))</f>
        <v>.</v>
      </c>
      <c r="B6015" s="431" t="str">
        <f t="shared" si="93"/>
        <v>Knee Replacement RevisionProviderPINEHILL HOSPITAL (NVC15)EQ-5D Index</v>
      </c>
      <c r="C6015" t="s">
        <v>250</v>
      </c>
      <c r="D6015" t="s">
        <v>1</v>
      </c>
      <c r="E6015" t="s">
        <v>3222</v>
      </c>
      <c r="F6015" t="s">
        <v>3223</v>
      </c>
      <c r="G6015" t="s">
        <v>52</v>
      </c>
      <c r="H6015" t="s">
        <v>53</v>
      </c>
      <c r="I6015" t="s">
        <v>53</v>
      </c>
      <c r="J6015" t="s">
        <v>53</v>
      </c>
      <c r="K6015" t="s">
        <v>53</v>
      </c>
      <c r="L6015" t="s">
        <v>53</v>
      </c>
      <c r="M6015" t="s">
        <v>53</v>
      </c>
      <c r="N6015" t="s">
        <v>53</v>
      </c>
      <c r="O6015" t="s">
        <v>53</v>
      </c>
      <c r="P6015" t="s">
        <v>53</v>
      </c>
      <c r="Q6015" t="s">
        <v>53</v>
      </c>
    </row>
    <row r="6016" spans="1:17" x14ac:dyDescent="0.2">
      <c r="A6016" s="30" t="str">
        <f>IF(C6016&amp;G6016&amp;D6016&lt;&gt;'Funnel setup'!$K$3&amp;'Funnel setup'!$K$4&amp;'Funnel setup'!$K$5,".",IF(A6015=".",1,A6015+1))</f>
        <v>.</v>
      </c>
      <c r="B6016" s="431" t="str">
        <f t="shared" si="93"/>
        <v>Knee Replacement RevisionProviderPLYMOUTH HOSPITALS NHS TRUST (RK9)EQ-5D Index</v>
      </c>
      <c r="C6016" t="s">
        <v>250</v>
      </c>
      <c r="D6016" t="s">
        <v>1</v>
      </c>
      <c r="E6016" t="s">
        <v>3225</v>
      </c>
      <c r="F6016" t="s">
        <v>3226</v>
      </c>
      <c r="G6016" t="s">
        <v>52</v>
      </c>
      <c r="H6016">
        <v>9</v>
      </c>
      <c r="I6016">
        <v>0.255</v>
      </c>
      <c r="J6016">
        <v>0.45900000000000002</v>
      </c>
      <c r="K6016">
        <v>0.20399999999999999</v>
      </c>
      <c r="L6016">
        <v>7</v>
      </c>
      <c r="M6016">
        <v>0</v>
      </c>
      <c r="N6016">
        <v>2</v>
      </c>
      <c r="O6016" t="s">
        <v>53</v>
      </c>
      <c r="P6016" t="s">
        <v>53</v>
      </c>
      <c r="Q6016" t="s">
        <v>53</v>
      </c>
    </row>
    <row r="6017" spans="1:17" x14ac:dyDescent="0.2">
      <c r="A6017" s="30" t="str">
        <f>IF(C6017&amp;G6017&amp;D6017&lt;&gt;'Funnel setup'!$K$3&amp;'Funnel setup'!$K$4&amp;'Funnel setup'!$K$5,".",IF(A6016=".",1,A6016+1))</f>
        <v>.</v>
      </c>
      <c r="B6017" s="431" t="str">
        <f t="shared" si="93"/>
        <v>Knee Replacement RevisionProviderPORTSMOUTH HOSPITALS NHS TRUST (RHU)EQ-5D Index</v>
      </c>
      <c r="C6017" t="s">
        <v>250</v>
      </c>
      <c r="D6017" t="s">
        <v>1</v>
      </c>
      <c r="E6017" t="s">
        <v>3234</v>
      </c>
      <c r="F6017" t="s">
        <v>3235</v>
      </c>
      <c r="G6017" t="s">
        <v>52</v>
      </c>
      <c r="H6017">
        <v>6</v>
      </c>
      <c r="I6017">
        <v>0.39500000000000002</v>
      </c>
      <c r="J6017">
        <v>0.65600000000000003</v>
      </c>
      <c r="K6017">
        <v>0.26100000000000001</v>
      </c>
      <c r="L6017">
        <v>4</v>
      </c>
      <c r="M6017">
        <v>2</v>
      </c>
      <c r="N6017">
        <v>0</v>
      </c>
      <c r="O6017" t="s">
        <v>53</v>
      </c>
      <c r="P6017" t="s">
        <v>53</v>
      </c>
      <c r="Q6017" t="s">
        <v>53</v>
      </c>
    </row>
    <row r="6018" spans="1:17" x14ac:dyDescent="0.2">
      <c r="A6018" s="30" t="str">
        <f>IF(C6018&amp;G6018&amp;D6018&lt;&gt;'Funnel setup'!$K$3&amp;'Funnel setup'!$K$4&amp;'Funnel setup'!$K$5,".",IF(A6017=".",1,A6017+1))</f>
        <v>.</v>
      </c>
      <c r="B6018" s="431" t="str">
        <f t="shared" si="93"/>
        <v>Knee Replacement RevisionProviderRENACRES HOSPITAL (NVC16)EQ-5D Index</v>
      </c>
      <c r="C6018" t="s">
        <v>250</v>
      </c>
      <c r="D6018" t="s">
        <v>1</v>
      </c>
      <c r="E6018" t="s">
        <v>3237</v>
      </c>
      <c r="F6018" t="s">
        <v>3238</v>
      </c>
      <c r="G6018" t="s">
        <v>52</v>
      </c>
      <c r="H6018" t="s">
        <v>53</v>
      </c>
      <c r="I6018" t="s">
        <v>53</v>
      </c>
      <c r="J6018" t="s">
        <v>53</v>
      </c>
      <c r="K6018" t="s">
        <v>53</v>
      </c>
      <c r="L6018" t="s">
        <v>53</v>
      </c>
      <c r="M6018" t="s">
        <v>53</v>
      </c>
      <c r="N6018" t="s">
        <v>53</v>
      </c>
      <c r="O6018" t="s">
        <v>53</v>
      </c>
      <c r="P6018" t="s">
        <v>53</v>
      </c>
      <c r="Q6018" t="s">
        <v>53</v>
      </c>
    </row>
    <row r="6019" spans="1:17" x14ac:dyDescent="0.2">
      <c r="A6019" s="30" t="str">
        <f>IF(C6019&amp;G6019&amp;D6019&lt;&gt;'Funnel setup'!$K$3&amp;'Funnel setup'!$K$4&amp;'Funnel setup'!$K$5,".",IF(A6018=".",1,A6018+1))</f>
        <v>.</v>
      </c>
      <c r="B6019" s="431" t="str">
        <f t="shared" ref="B6019:B6082" si="94">C6019&amp;D6019&amp;F6019&amp;G6019</f>
        <v>Knee Replacement RevisionProviderROYAL BERKSHIRE NHS FOUNDATION TRUST (RHW)EQ-5D Index</v>
      </c>
      <c r="C6019" t="s">
        <v>250</v>
      </c>
      <c r="D6019" t="s">
        <v>1</v>
      </c>
      <c r="E6019" t="s">
        <v>3832</v>
      </c>
      <c r="F6019" t="s">
        <v>3833</v>
      </c>
      <c r="G6019" t="s">
        <v>52</v>
      </c>
      <c r="H6019" t="s">
        <v>53</v>
      </c>
      <c r="I6019" t="s">
        <v>53</v>
      </c>
      <c r="J6019" t="s">
        <v>53</v>
      </c>
      <c r="K6019" t="s">
        <v>53</v>
      </c>
      <c r="L6019" t="s">
        <v>53</v>
      </c>
      <c r="M6019" t="s">
        <v>53</v>
      </c>
      <c r="N6019" t="s">
        <v>53</v>
      </c>
      <c r="O6019" t="s">
        <v>53</v>
      </c>
      <c r="P6019" t="s">
        <v>53</v>
      </c>
      <c r="Q6019" t="s">
        <v>53</v>
      </c>
    </row>
    <row r="6020" spans="1:17" x14ac:dyDescent="0.2">
      <c r="A6020" s="30" t="str">
        <f>IF(C6020&amp;G6020&amp;D6020&lt;&gt;'Funnel setup'!$K$3&amp;'Funnel setup'!$K$4&amp;'Funnel setup'!$K$5,".",IF(A6019=".",1,A6019+1))</f>
        <v>.</v>
      </c>
      <c r="B6020" s="431" t="str">
        <f t="shared" si="94"/>
        <v>Knee Replacement RevisionProviderROYAL CORNWALL HOSPITALS NHS TRUST (REF)EQ-5D Index</v>
      </c>
      <c r="C6020" t="s">
        <v>250</v>
      </c>
      <c r="D6020" t="s">
        <v>1</v>
      </c>
      <c r="E6020" t="s">
        <v>3745</v>
      </c>
      <c r="F6020" t="s">
        <v>3746</v>
      </c>
      <c r="G6020" t="s">
        <v>52</v>
      </c>
      <c r="H6020">
        <v>18</v>
      </c>
      <c r="I6020">
        <v>0.372</v>
      </c>
      <c r="J6020">
        <v>0.59399999999999997</v>
      </c>
      <c r="K6020">
        <v>0.222</v>
      </c>
      <c r="L6020">
        <v>11</v>
      </c>
      <c r="M6020">
        <v>6</v>
      </c>
      <c r="N6020">
        <v>1</v>
      </c>
      <c r="O6020" t="s">
        <v>53</v>
      </c>
      <c r="P6020" t="s">
        <v>53</v>
      </c>
      <c r="Q6020" t="s">
        <v>53</v>
      </c>
    </row>
    <row r="6021" spans="1:17" x14ac:dyDescent="0.2">
      <c r="A6021" s="30" t="str">
        <f>IF(C6021&amp;G6021&amp;D6021&lt;&gt;'Funnel setup'!$K$3&amp;'Funnel setup'!$K$4&amp;'Funnel setup'!$K$5,".",IF(A6020=".",1,A6020+1))</f>
        <v>.</v>
      </c>
      <c r="B6021" s="431" t="str">
        <f t="shared" si="94"/>
        <v>Knee Replacement RevisionProviderROYAL DEVON AND EXETER NHS FOUNDATION TRUST (RH8)EQ-5D Index</v>
      </c>
      <c r="C6021" t="s">
        <v>250</v>
      </c>
      <c r="D6021" t="s">
        <v>1</v>
      </c>
      <c r="E6021" t="s">
        <v>3442</v>
      </c>
      <c r="F6021" t="s">
        <v>3443</v>
      </c>
      <c r="G6021" t="s">
        <v>52</v>
      </c>
      <c r="H6021">
        <v>36</v>
      </c>
      <c r="I6021">
        <v>0.33900000000000002</v>
      </c>
      <c r="J6021">
        <v>0.68400000000000005</v>
      </c>
      <c r="K6021">
        <v>0.34499999999999997</v>
      </c>
      <c r="L6021">
        <v>28</v>
      </c>
      <c r="M6021">
        <v>3</v>
      </c>
      <c r="N6021">
        <v>5</v>
      </c>
      <c r="O6021">
        <v>0.66200000000000003</v>
      </c>
      <c r="P6021">
        <v>0.330438328</v>
      </c>
      <c r="Q6021">
        <v>0.23499999999999999</v>
      </c>
    </row>
    <row r="6022" spans="1:17" x14ac:dyDescent="0.2">
      <c r="A6022" s="30" t="str">
        <f>IF(C6022&amp;G6022&amp;D6022&lt;&gt;'Funnel setup'!$K$3&amp;'Funnel setup'!$K$4&amp;'Funnel setup'!$K$5,".",IF(A6021=".",1,A6021+1))</f>
        <v>.</v>
      </c>
      <c r="B6022" s="431" t="str">
        <f t="shared" si="94"/>
        <v>Knee Replacement RevisionProviderROYAL FREE LONDON NHS FOUNDATION TRUST (RAL)EQ-5D Index</v>
      </c>
      <c r="C6022" t="s">
        <v>250</v>
      </c>
      <c r="D6022" t="s">
        <v>1</v>
      </c>
      <c r="E6022" t="s">
        <v>3445</v>
      </c>
      <c r="F6022" t="s">
        <v>3446</v>
      </c>
      <c r="G6022" t="s">
        <v>52</v>
      </c>
      <c r="H6022" t="s">
        <v>53</v>
      </c>
      <c r="I6022" t="s">
        <v>53</v>
      </c>
      <c r="J6022" t="s">
        <v>53</v>
      </c>
      <c r="K6022" t="s">
        <v>53</v>
      </c>
      <c r="L6022" t="s">
        <v>53</v>
      </c>
      <c r="M6022" t="s">
        <v>53</v>
      </c>
      <c r="N6022" t="s">
        <v>53</v>
      </c>
      <c r="O6022" t="s">
        <v>53</v>
      </c>
      <c r="P6022" t="s">
        <v>53</v>
      </c>
      <c r="Q6022" t="s">
        <v>53</v>
      </c>
    </row>
    <row r="6023" spans="1:17" x14ac:dyDescent="0.2">
      <c r="A6023" s="30" t="str">
        <f>IF(C6023&amp;G6023&amp;D6023&lt;&gt;'Funnel setup'!$K$3&amp;'Funnel setup'!$K$4&amp;'Funnel setup'!$K$5,".",IF(A6022=".",1,A6022+1))</f>
        <v>.</v>
      </c>
      <c r="B6023" s="431" t="str">
        <f t="shared" si="94"/>
        <v>Knee Replacement RevisionProviderROYAL LIVERPOOL AND BROADGREEN UNIVERSITY HOSPITALS NHS TRUST (RQ6)EQ-5D Index</v>
      </c>
      <c r="C6023" t="s">
        <v>250</v>
      </c>
      <c r="D6023" t="s">
        <v>1</v>
      </c>
      <c r="E6023" t="s">
        <v>3448</v>
      </c>
      <c r="F6023" t="s">
        <v>3449</v>
      </c>
      <c r="G6023" t="s">
        <v>52</v>
      </c>
      <c r="H6023" t="s">
        <v>53</v>
      </c>
      <c r="I6023" t="s">
        <v>53</v>
      </c>
      <c r="J6023" t="s">
        <v>53</v>
      </c>
      <c r="K6023" t="s">
        <v>53</v>
      </c>
      <c r="L6023" t="s">
        <v>53</v>
      </c>
      <c r="M6023" t="s">
        <v>53</v>
      </c>
      <c r="N6023" t="s">
        <v>53</v>
      </c>
      <c r="O6023" t="s">
        <v>53</v>
      </c>
      <c r="P6023" t="s">
        <v>53</v>
      </c>
      <c r="Q6023" t="s">
        <v>53</v>
      </c>
    </row>
    <row r="6024" spans="1:17" x14ac:dyDescent="0.2">
      <c r="A6024" s="30" t="str">
        <f>IF(C6024&amp;G6024&amp;D6024&lt;&gt;'Funnel setup'!$K$3&amp;'Funnel setup'!$K$4&amp;'Funnel setup'!$K$5,".",IF(A6023=".",1,A6023+1))</f>
        <v>.</v>
      </c>
      <c r="B6024" s="431" t="str">
        <f t="shared" si="94"/>
        <v>Knee Replacement RevisionProviderROYAL NATIONAL ORTHOPAEDIC HOSPITAL NHS TRUST (RAN)EQ-5D Index</v>
      </c>
      <c r="C6024" t="s">
        <v>250</v>
      </c>
      <c r="D6024" t="s">
        <v>1</v>
      </c>
      <c r="E6024" t="s">
        <v>4378</v>
      </c>
      <c r="F6024" t="s">
        <v>4379</v>
      </c>
      <c r="G6024" t="s">
        <v>52</v>
      </c>
      <c r="H6024">
        <v>23</v>
      </c>
      <c r="I6024">
        <v>0.20499999999999999</v>
      </c>
      <c r="J6024">
        <v>0.49299999999999999</v>
      </c>
      <c r="K6024">
        <v>0.28799999999999998</v>
      </c>
      <c r="L6024">
        <v>19</v>
      </c>
      <c r="M6024">
        <v>2</v>
      </c>
      <c r="N6024">
        <v>2</v>
      </c>
      <c r="O6024" t="s">
        <v>53</v>
      </c>
      <c r="P6024" t="s">
        <v>53</v>
      </c>
      <c r="Q6024" t="s">
        <v>53</v>
      </c>
    </row>
    <row r="6025" spans="1:17" x14ac:dyDescent="0.2">
      <c r="A6025" s="30" t="str">
        <f>IF(C6025&amp;G6025&amp;D6025&lt;&gt;'Funnel setup'!$K$3&amp;'Funnel setup'!$K$4&amp;'Funnel setup'!$K$5,".",IF(A6024=".",1,A6024+1))</f>
        <v>.</v>
      </c>
      <c r="B6025" s="431" t="str">
        <f t="shared" si="94"/>
        <v>Knee Replacement RevisionProviderROYAL SURREY COUNTY HOSPITAL NHS FOUNDATION TRUST (RA2)EQ-5D Index</v>
      </c>
      <c r="C6025" t="s">
        <v>250</v>
      </c>
      <c r="D6025" t="s">
        <v>1</v>
      </c>
      <c r="E6025" t="s">
        <v>3451</v>
      </c>
      <c r="F6025" t="s">
        <v>3452</v>
      </c>
      <c r="G6025" t="s">
        <v>52</v>
      </c>
      <c r="H6025">
        <v>6</v>
      </c>
      <c r="I6025">
        <v>0.33700000000000002</v>
      </c>
      <c r="J6025">
        <v>0.77500000000000002</v>
      </c>
      <c r="K6025">
        <v>0.438</v>
      </c>
      <c r="L6025">
        <v>6</v>
      </c>
      <c r="M6025">
        <v>0</v>
      </c>
      <c r="N6025">
        <v>0</v>
      </c>
      <c r="O6025" t="s">
        <v>53</v>
      </c>
      <c r="P6025" t="s">
        <v>53</v>
      </c>
      <c r="Q6025" t="s">
        <v>53</v>
      </c>
    </row>
    <row r="6026" spans="1:17" x14ac:dyDescent="0.2">
      <c r="A6026" s="30" t="str">
        <f>IF(C6026&amp;G6026&amp;D6026&lt;&gt;'Funnel setup'!$K$3&amp;'Funnel setup'!$K$4&amp;'Funnel setup'!$K$5,".",IF(A6025=".",1,A6025+1))</f>
        <v>.</v>
      </c>
      <c r="B6026" s="431" t="str">
        <f t="shared" si="94"/>
        <v>Knee Replacement RevisionProviderROYAL UNITED HOSPITALS BATH NHS FOUNDATION TRUST (RD1)EQ-5D Index</v>
      </c>
      <c r="C6026" t="s">
        <v>250</v>
      </c>
      <c r="D6026" t="s">
        <v>1</v>
      </c>
      <c r="E6026" t="s">
        <v>3454</v>
      </c>
      <c r="F6026" t="s">
        <v>3455</v>
      </c>
      <c r="G6026" t="s">
        <v>52</v>
      </c>
      <c r="H6026">
        <v>9</v>
      </c>
      <c r="I6026">
        <v>0.48099999999999998</v>
      </c>
      <c r="J6026">
        <v>0.72299999999999998</v>
      </c>
      <c r="K6026">
        <v>0.24299999999999999</v>
      </c>
      <c r="L6026">
        <v>7</v>
      </c>
      <c r="M6026">
        <v>2</v>
      </c>
      <c r="N6026">
        <v>0</v>
      </c>
      <c r="O6026" t="s">
        <v>53</v>
      </c>
      <c r="P6026" t="s">
        <v>53</v>
      </c>
      <c r="Q6026" t="s">
        <v>53</v>
      </c>
    </row>
    <row r="6027" spans="1:17" x14ac:dyDescent="0.2">
      <c r="A6027" s="30" t="str">
        <f>IF(C6027&amp;G6027&amp;D6027&lt;&gt;'Funnel setup'!$K$3&amp;'Funnel setup'!$K$4&amp;'Funnel setup'!$K$5,".",IF(A6026=".",1,A6026+1))</f>
        <v>.</v>
      </c>
      <c r="B6027" s="431" t="str">
        <f t="shared" si="94"/>
        <v>Knee Replacement RevisionProviderSALFORD ROYAL NHS FOUNDATION TRUST (RM3)EQ-5D Index</v>
      </c>
      <c r="C6027" t="s">
        <v>250</v>
      </c>
      <c r="D6027" t="s">
        <v>1</v>
      </c>
      <c r="E6027" t="s">
        <v>3457</v>
      </c>
      <c r="F6027" t="s">
        <v>3458</v>
      </c>
      <c r="G6027" t="s">
        <v>52</v>
      </c>
      <c r="H6027">
        <v>9</v>
      </c>
      <c r="I6027">
        <v>0.13700000000000001</v>
      </c>
      <c r="J6027">
        <v>0.35899999999999999</v>
      </c>
      <c r="K6027">
        <v>0.223</v>
      </c>
      <c r="L6027">
        <v>5</v>
      </c>
      <c r="M6027">
        <v>0</v>
      </c>
      <c r="N6027">
        <v>4</v>
      </c>
      <c r="O6027" t="s">
        <v>53</v>
      </c>
      <c r="P6027" t="s">
        <v>53</v>
      </c>
      <c r="Q6027" t="s">
        <v>53</v>
      </c>
    </row>
    <row r="6028" spans="1:17" x14ac:dyDescent="0.2">
      <c r="A6028" s="30" t="str">
        <f>IF(C6028&amp;G6028&amp;D6028&lt;&gt;'Funnel setup'!$K$3&amp;'Funnel setup'!$K$4&amp;'Funnel setup'!$K$5,".",IF(A6027=".",1,A6027+1))</f>
        <v>.</v>
      </c>
      <c r="B6028" s="431" t="str">
        <f t="shared" si="94"/>
        <v>Knee Replacement RevisionProviderSALISBURY NHS FOUNDATION TRUST (RNZ)EQ-5D Index</v>
      </c>
      <c r="C6028" t="s">
        <v>250</v>
      </c>
      <c r="D6028" t="s">
        <v>1</v>
      </c>
      <c r="E6028" t="s">
        <v>3460</v>
      </c>
      <c r="F6028" t="s">
        <v>3461</v>
      </c>
      <c r="G6028" t="s">
        <v>52</v>
      </c>
      <c r="H6028" t="s">
        <v>53</v>
      </c>
      <c r="I6028" t="s">
        <v>53</v>
      </c>
      <c r="J6028" t="s">
        <v>53</v>
      </c>
      <c r="K6028" t="s">
        <v>53</v>
      </c>
      <c r="L6028" t="s">
        <v>53</v>
      </c>
      <c r="M6028" t="s">
        <v>53</v>
      </c>
      <c r="N6028" t="s">
        <v>53</v>
      </c>
      <c r="O6028" t="s">
        <v>53</v>
      </c>
      <c r="P6028" t="s">
        <v>53</v>
      </c>
      <c r="Q6028" t="s">
        <v>53</v>
      </c>
    </row>
    <row r="6029" spans="1:17" x14ac:dyDescent="0.2">
      <c r="A6029" s="30" t="str">
        <f>IF(C6029&amp;G6029&amp;D6029&lt;&gt;'Funnel setup'!$K$3&amp;'Funnel setup'!$K$4&amp;'Funnel setup'!$K$5,".",IF(A6028=".",1,A6028+1))</f>
        <v>.</v>
      </c>
      <c r="B6029" s="431" t="str">
        <f t="shared" si="94"/>
        <v>Knee Replacement RevisionProviderSANDWELL AND WEST BIRMINGHAM HOSPITALS NHS TRUST (RXK)EQ-5D Index</v>
      </c>
      <c r="C6029" t="s">
        <v>250</v>
      </c>
      <c r="D6029" t="s">
        <v>1</v>
      </c>
      <c r="E6029" t="s">
        <v>3463</v>
      </c>
      <c r="F6029" t="s">
        <v>3464</v>
      </c>
      <c r="G6029" t="s">
        <v>52</v>
      </c>
      <c r="H6029" t="s">
        <v>53</v>
      </c>
      <c r="I6029" t="s">
        <v>53</v>
      </c>
      <c r="J6029" t="s">
        <v>53</v>
      </c>
      <c r="K6029" t="s">
        <v>53</v>
      </c>
      <c r="L6029" t="s">
        <v>53</v>
      </c>
      <c r="M6029" t="s">
        <v>53</v>
      </c>
      <c r="N6029" t="s">
        <v>53</v>
      </c>
      <c r="O6029" t="s">
        <v>53</v>
      </c>
      <c r="P6029" t="s">
        <v>53</v>
      </c>
      <c r="Q6029" t="s">
        <v>53</v>
      </c>
    </row>
    <row r="6030" spans="1:17" x14ac:dyDescent="0.2">
      <c r="A6030" s="30" t="str">
        <f>IF(C6030&amp;G6030&amp;D6030&lt;&gt;'Funnel setup'!$K$3&amp;'Funnel setup'!$K$4&amp;'Funnel setup'!$K$5,".",IF(A6029=".",1,A6029+1))</f>
        <v>.</v>
      </c>
      <c r="B6030" s="431" t="str">
        <f t="shared" si="94"/>
        <v>Knee Replacement RevisionProviderSHEFFIELD TEACHING HOSPITALS NHS FOUNDATION TRUST (RHQ)EQ-5D Index</v>
      </c>
      <c r="C6030" t="s">
        <v>250</v>
      </c>
      <c r="D6030" t="s">
        <v>1</v>
      </c>
      <c r="E6030" t="s">
        <v>3466</v>
      </c>
      <c r="F6030" t="s">
        <v>3467</v>
      </c>
      <c r="G6030" t="s">
        <v>52</v>
      </c>
      <c r="H6030">
        <v>50</v>
      </c>
      <c r="I6030">
        <v>0.29799999999999999</v>
      </c>
      <c r="J6030">
        <v>0.56899999999999995</v>
      </c>
      <c r="K6030">
        <v>0.27100000000000002</v>
      </c>
      <c r="L6030">
        <v>36</v>
      </c>
      <c r="M6030">
        <v>7</v>
      </c>
      <c r="N6030">
        <v>7</v>
      </c>
      <c r="O6030">
        <v>0.58599999999999997</v>
      </c>
      <c r="P6030">
        <v>0.25442940200000003</v>
      </c>
      <c r="Q6030">
        <v>0.26600000000000001</v>
      </c>
    </row>
    <row r="6031" spans="1:17" x14ac:dyDescent="0.2">
      <c r="A6031" s="30" t="str">
        <f>IF(C6031&amp;G6031&amp;D6031&lt;&gt;'Funnel setup'!$K$3&amp;'Funnel setup'!$K$4&amp;'Funnel setup'!$K$5,".",IF(A6030=".",1,A6030+1))</f>
        <v>.</v>
      </c>
      <c r="B6031" s="431" t="str">
        <f t="shared" si="94"/>
        <v>Knee Replacement RevisionProviderSHERWOOD FOREST HOSPITALS NHS FOUNDATION TRUST (RK5)EQ-5D Index</v>
      </c>
      <c r="C6031" t="s">
        <v>250</v>
      </c>
      <c r="D6031" t="s">
        <v>1</v>
      </c>
      <c r="E6031" t="s">
        <v>3475</v>
      </c>
      <c r="F6031" t="s">
        <v>3476</v>
      </c>
      <c r="G6031" t="s">
        <v>52</v>
      </c>
      <c r="H6031">
        <v>12</v>
      </c>
      <c r="I6031">
        <v>0.27800000000000002</v>
      </c>
      <c r="J6031">
        <v>0.69499999999999995</v>
      </c>
      <c r="K6031">
        <v>0.41699999999999998</v>
      </c>
      <c r="L6031">
        <v>11</v>
      </c>
      <c r="M6031">
        <v>0</v>
      </c>
      <c r="N6031">
        <v>1</v>
      </c>
      <c r="O6031" t="s">
        <v>53</v>
      </c>
      <c r="P6031" t="s">
        <v>53</v>
      </c>
      <c r="Q6031" t="s">
        <v>53</v>
      </c>
    </row>
    <row r="6032" spans="1:17" x14ac:dyDescent="0.2">
      <c r="A6032" s="30" t="str">
        <f>IF(C6032&amp;G6032&amp;D6032&lt;&gt;'Funnel setup'!$K$3&amp;'Funnel setup'!$K$4&amp;'Funnel setup'!$K$5,".",IF(A6031=".",1,A6031+1))</f>
        <v>.</v>
      </c>
      <c r="B6032" s="431" t="str">
        <f t="shared" si="94"/>
        <v>Knee Replacement RevisionProviderSHREWSBURY AND TELFORD HOSPITAL NHS TRUST (RXW)EQ-5D Index</v>
      </c>
      <c r="C6032" t="s">
        <v>250</v>
      </c>
      <c r="D6032" t="s">
        <v>1</v>
      </c>
      <c r="E6032" t="s">
        <v>3478</v>
      </c>
      <c r="F6032" t="s">
        <v>3479</v>
      </c>
      <c r="G6032" t="s">
        <v>52</v>
      </c>
      <c r="H6032">
        <v>7</v>
      </c>
      <c r="I6032">
        <v>0.34300000000000003</v>
      </c>
      <c r="J6032">
        <v>0.68500000000000005</v>
      </c>
      <c r="K6032">
        <v>0.34200000000000003</v>
      </c>
      <c r="L6032">
        <v>6</v>
      </c>
      <c r="M6032">
        <v>1</v>
      </c>
      <c r="N6032">
        <v>0</v>
      </c>
      <c r="O6032" t="s">
        <v>53</v>
      </c>
      <c r="P6032" t="s">
        <v>53</v>
      </c>
      <c r="Q6032" t="s">
        <v>53</v>
      </c>
    </row>
    <row r="6033" spans="1:17" x14ac:dyDescent="0.2">
      <c r="A6033" s="30" t="str">
        <f>IF(C6033&amp;G6033&amp;D6033&lt;&gt;'Funnel setup'!$K$3&amp;'Funnel setup'!$K$4&amp;'Funnel setup'!$K$5,".",IF(A6032=".",1,A6032+1))</f>
        <v>.</v>
      </c>
      <c r="B6033" s="431" t="str">
        <f t="shared" si="94"/>
        <v>Knee Replacement RevisionProviderSOUTH TEES HOSPITALS NHS FOUNDATION TRUST (RTR)EQ-5D Index</v>
      </c>
      <c r="C6033" t="s">
        <v>250</v>
      </c>
      <c r="D6033" t="s">
        <v>1</v>
      </c>
      <c r="E6033" t="s">
        <v>3482</v>
      </c>
      <c r="F6033" t="s">
        <v>3483</v>
      </c>
      <c r="G6033" t="s">
        <v>52</v>
      </c>
      <c r="H6033">
        <v>19</v>
      </c>
      <c r="I6033">
        <v>0.35699999999999998</v>
      </c>
      <c r="J6033">
        <v>0.55700000000000005</v>
      </c>
      <c r="K6033">
        <v>0.2</v>
      </c>
      <c r="L6033">
        <v>12</v>
      </c>
      <c r="M6033">
        <v>4</v>
      </c>
      <c r="N6033">
        <v>3</v>
      </c>
      <c r="O6033" t="s">
        <v>53</v>
      </c>
      <c r="P6033" t="s">
        <v>53</v>
      </c>
      <c r="Q6033" t="s">
        <v>53</v>
      </c>
    </row>
    <row r="6034" spans="1:17" x14ac:dyDescent="0.2">
      <c r="A6034" s="30" t="str">
        <f>IF(C6034&amp;G6034&amp;D6034&lt;&gt;'Funnel setup'!$K$3&amp;'Funnel setup'!$K$4&amp;'Funnel setup'!$K$5,".",IF(A6033=".",1,A6033+1))</f>
        <v>.</v>
      </c>
      <c r="B6034" s="431" t="str">
        <f t="shared" si="94"/>
        <v>Knee Replacement RevisionProviderSOUTH TYNESIDE NHS FOUNDATION TRUST (RE9)EQ-5D Index</v>
      </c>
      <c r="C6034" t="s">
        <v>250</v>
      </c>
      <c r="D6034" t="s">
        <v>1</v>
      </c>
      <c r="E6034" t="s">
        <v>3485</v>
      </c>
      <c r="F6034" t="s">
        <v>3486</v>
      </c>
      <c r="G6034" t="s">
        <v>52</v>
      </c>
      <c r="H6034" t="s">
        <v>53</v>
      </c>
      <c r="I6034" t="s">
        <v>53</v>
      </c>
      <c r="J6034" t="s">
        <v>53</v>
      </c>
      <c r="K6034" t="s">
        <v>53</v>
      </c>
      <c r="L6034" t="s">
        <v>53</v>
      </c>
      <c r="M6034" t="s">
        <v>53</v>
      </c>
      <c r="N6034" t="s">
        <v>53</v>
      </c>
      <c r="O6034" t="s">
        <v>53</v>
      </c>
      <c r="P6034" t="s">
        <v>53</v>
      </c>
      <c r="Q6034" t="s">
        <v>53</v>
      </c>
    </row>
    <row r="6035" spans="1:17" x14ac:dyDescent="0.2">
      <c r="A6035" s="30" t="str">
        <f>IF(C6035&amp;G6035&amp;D6035&lt;&gt;'Funnel setup'!$K$3&amp;'Funnel setup'!$K$4&amp;'Funnel setup'!$K$5,".",IF(A6034=".",1,A6034+1))</f>
        <v>.</v>
      </c>
      <c r="B6035" s="431" t="str">
        <f t="shared" si="94"/>
        <v>Knee Replacement RevisionProviderSOUTH WARWICKSHIRE NHS FOUNDATION TRUST (RJC)EQ-5D Index</v>
      </c>
      <c r="C6035" t="s">
        <v>250</v>
      </c>
      <c r="D6035" t="s">
        <v>1</v>
      </c>
      <c r="E6035" t="s">
        <v>3421</v>
      </c>
      <c r="F6035" t="s">
        <v>3422</v>
      </c>
      <c r="G6035" t="s">
        <v>52</v>
      </c>
      <c r="H6035">
        <v>9</v>
      </c>
      <c r="I6035">
        <v>0.48599999999999999</v>
      </c>
      <c r="J6035">
        <v>0.69799999999999995</v>
      </c>
      <c r="K6035">
        <v>0.21199999999999999</v>
      </c>
      <c r="L6035">
        <v>6</v>
      </c>
      <c r="M6035">
        <v>2</v>
      </c>
      <c r="N6035">
        <v>1</v>
      </c>
      <c r="O6035" t="s">
        <v>53</v>
      </c>
      <c r="P6035" t="s">
        <v>53</v>
      </c>
      <c r="Q6035" t="s">
        <v>53</v>
      </c>
    </row>
    <row r="6036" spans="1:17" x14ac:dyDescent="0.2">
      <c r="A6036" s="30" t="str">
        <f>IF(C6036&amp;G6036&amp;D6036&lt;&gt;'Funnel setup'!$K$3&amp;'Funnel setup'!$K$4&amp;'Funnel setup'!$K$5,".",IF(A6035=".",1,A6035+1))</f>
        <v>.</v>
      </c>
      <c r="B6036" s="431" t="str">
        <f t="shared" si="94"/>
        <v>Knee Replacement RevisionProviderSOUTHAMPTON NHS TREATMENT CENTRE (NTP11)EQ-5D Index</v>
      </c>
      <c r="C6036" t="s">
        <v>250</v>
      </c>
      <c r="D6036" t="s">
        <v>1</v>
      </c>
      <c r="E6036" t="s">
        <v>3424</v>
      </c>
      <c r="F6036" t="s">
        <v>3425</v>
      </c>
      <c r="G6036" t="s">
        <v>52</v>
      </c>
      <c r="H6036" t="s">
        <v>53</v>
      </c>
      <c r="I6036" t="s">
        <v>53</v>
      </c>
      <c r="J6036" t="s">
        <v>53</v>
      </c>
      <c r="K6036" t="s">
        <v>53</v>
      </c>
      <c r="L6036" t="s">
        <v>53</v>
      </c>
      <c r="M6036" t="s">
        <v>53</v>
      </c>
      <c r="N6036" t="s">
        <v>53</v>
      </c>
      <c r="O6036" t="s">
        <v>53</v>
      </c>
      <c r="P6036" t="s">
        <v>53</v>
      </c>
      <c r="Q6036" t="s">
        <v>53</v>
      </c>
    </row>
    <row r="6037" spans="1:17" x14ac:dyDescent="0.2">
      <c r="A6037" s="30" t="str">
        <f>IF(C6037&amp;G6037&amp;D6037&lt;&gt;'Funnel setup'!$K$3&amp;'Funnel setup'!$K$4&amp;'Funnel setup'!$K$5,".",IF(A6036=".",1,A6036+1))</f>
        <v>.</v>
      </c>
      <c r="B6037" s="431" t="str">
        <f t="shared" si="94"/>
        <v>Knee Replacement RevisionProviderSOUTHEND UNIVERSITY HOSPITAL NHS FOUNDATION TRUST (RAJ)EQ-5D Index</v>
      </c>
      <c r="C6037" t="s">
        <v>250</v>
      </c>
      <c r="D6037" t="s">
        <v>1</v>
      </c>
      <c r="E6037" t="s">
        <v>3427</v>
      </c>
      <c r="F6037" t="s">
        <v>3428</v>
      </c>
      <c r="G6037" t="s">
        <v>52</v>
      </c>
      <c r="H6037" t="s">
        <v>53</v>
      </c>
      <c r="I6037" t="s">
        <v>53</v>
      </c>
      <c r="J6037" t="s">
        <v>53</v>
      </c>
      <c r="K6037" t="s">
        <v>53</v>
      </c>
      <c r="L6037" t="s">
        <v>53</v>
      </c>
      <c r="M6037" t="s">
        <v>53</v>
      </c>
      <c r="N6037" t="s">
        <v>53</v>
      </c>
      <c r="O6037" t="s">
        <v>53</v>
      </c>
      <c r="P6037" t="s">
        <v>53</v>
      </c>
      <c r="Q6037" t="s">
        <v>53</v>
      </c>
    </row>
    <row r="6038" spans="1:17" x14ac:dyDescent="0.2">
      <c r="A6038" s="30" t="str">
        <f>IF(C6038&amp;G6038&amp;D6038&lt;&gt;'Funnel setup'!$K$3&amp;'Funnel setup'!$K$4&amp;'Funnel setup'!$K$5,".",IF(A6037=".",1,A6037+1))</f>
        <v>.</v>
      </c>
      <c r="B6038" s="431" t="str">
        <f t="shared" si="94"/>
        <v>Knee Replacement RevisionProviderSOUTHPORT AND ORMSKIRK HOSPITAL NHS TRUST (RVY)EQ-5D Index</v>
      </c>
      <c r="C6038" t="s">
        <v>250</v>
      </c>
      <c r="D6038" t="s">
        <v>1</v>
      </c>
      <c r="E6038" t="s">
        <v>3430</v>
      </c>
      <c r="F6038" t="s">
        <v>3431</v>
      </c>
      <c r="G6038" t="s">
        <v>52</v>
      </c>
      <c r="H6038" t="s">
        <v>53</v>
      </c>
      <c r="I6038" t="s">
        <v>53</v>
      </c>
      <c r="J6038" t="s">
        <v>53</v>
      </c>
      <c r="K6038" t="s">
        <v>53</v>
      </c>
      <c r="L6038" t="s">
        <v>53</v>
      </c>
      <c r="M6038" t="s">
        <v>53</v>
      </c>
      <c r="N6038" t="s">
        <v>53</v>
      </c>
      <c r="O6038" t="s">
        <v>53</v>
      </c>
      <c r="P6038" t="s">
        <v>53</v>
      </c>
      <c r="Q6038" t="s">
        <v>53</v>
      </c>
    </row>
    <row r="6039" spans="1:17" x14ac:dyDescent="0.2">
      <c r="A6039" s="30" t="str">
        <f>IF(C6039&amp;G6039&amp;D6039&lt;&gt;'Funnel setup'!$K$3&amp;'Funnel setup'!$K$4&amp;'Funnel setup'!$K$5,".",IF(A6038=".",1,A6038+1))</f>
        <v>.</v>
      </c>
      <c r="B6039" s="431" t="str">
        <f t="shared" si="94"/>
        <v>Knee Replacement RevisionProviderSPIRE ALEXANDRA HOSPITAL (NT312)EQ-5D Index</v>
      </c>
      <c r="C6039" t="s">
        <v>250</v>
      </c>
      <c r="D6039" t="s">
        <v>1</v>
      </c>
      <c r="E6039" t="s">
        <v>3433</v>
      </c>
      <c r="F6039" t="s">
        <v>3434</v>
      </c>
      <c r="G6039" t="s">
        <v>52</v>
      </c>
      <c r="H6039" t="s">
        <v>53</v>
      </c>
      <c r="I6039" t="s">
        <v>53</v>
      </c>
      <c r="J6039" t="s">
        <v>53</v>
      </c>
      <c r="K6039" t="s">
        <v>53</v>
      </c>
      <c r="L6039" t="s">
        <v>53</v>
      </c>
      <c r="M6039" t="s">
        <v>53</v>
      </c>
      <c r="N6039" t="s">
        <v>53</v>
      </c>
      <c r="O6039" t="s">
        <v>53</v>
      </c>
      <c r="P6039" t="s">
        <v>53</v>
      </c>
      <c r="Q6039" t="s">
        <v>53</v>
      </c>
    </row>
    <row r="6040" spans="1:17" x14ac:dyDescent="0.2">
      <c r="A6040" s="30" t="str">
        <f>IF(C6040&amp;G6040&amp;D6040&lt;&gt;'Funnel setup'!$K$3&amp;'Funnel setup'!$K$4&amp;'Funnel setup'!$K$5,".",IF(A6039=".",1,A6039+1))</f>
        <v>.</v>
      </c>
      <c r="B6040" s="431" t="str">
        <f t="shared" si="94"/>
        <v>Knee Replacement RevisionProviderSPIRE ELLAND HOSPITAL (NT348)EQ-5D Index</v>
      </c>
      <c r="C6040" t="s">
        <v>250</v>
      </c>
      <c r="D6040" t="s">
        <v>1</v>
      </c>
      <c r="E6040" t="s">
        <v>3418</v>
      </c>
      <c r="F6040" t="s">
        <v>3419</v>
      </c>
      <c r="G6040" t="s">
        <v>52</v>
      </c>
      <c r="H6040" t="s">
        <v>53</v>
      </c>
      <c r="I6040" t="s">
        <v>53</v>
      </c>
      <c r="J6040" t="s">
        <v>53</v>
      </c>
      <c r="K6040" t="s">
        <v>53</v>
      </c>
      <c r="L6040" t="s">
        <v>53</v>
      </c>
      <c r="M6040" t="s">
        <v>53</v>
      </c>
      <c r="N6040" t="s">
        <v>53</v>
      </c>
      <c r="O6040" t="s">
        <v>53</v>
      </c>
      <c r="P6040" t="s">
        <v>53</v>
      </c>
      <c r="Q6040" t="s">
        <v>53</v>
      </c>
    </row>
    <row r="6041" spans="1:17" x14ac:dyDescent="0.2">
      <c r="A6041" s="30" t="str">
        <f>IF(C6041&amp;G6041&amp;D6041&lt;&gt;'Funnel setup'!$K$3&amp;'Funnel setup'!$K$4&amp;'Funnel setup'!$K$5,".",IF(A6040=".",1,A6040+1))</f>
        <v>.</v>
      </c>
      <c r="B6041" s="431" t="str">
        <f t="shared" si="94"/>
        <v>Knee Replacement RevisionProviderSPIRE FYLDE COAST HOSPITAL (NT347)EQ-5D Index</v>
      </c>
      <c r="C6041" t="s">
        <v>250</v>
      </c>
      <c r="D6041" t="s">
        <v>1</v>
      </c>
      <c r="E6041" t="s">
        <v>4370</v>
      </c>
      <c r="F6041" t="s">
        <v>4371</v>
      </c>
      <c r="G6041" t="s">
        <v>52</v>
      </c>
      <c r="H6041" t="s">
        <v>53</v>
      </c>
      <c r="I6041" t="s">
        <v>53</v>
      </c>
      <c r="J6041" t="s">
        <v>53</v>
      </c>
      <c r="K6041" t="s">
        <v>53</v>
      </c>
      <c r="L6041" t="s">
        <v>53</v>
      </c>
      <c r="M6041" t="s">
        <v>53</v>
      </c>
      <c r="N6041" t="s">
        <v>53</v>
      </c>
      <c r="O6041" t="s">
        <v>53</v>
      </c>
      <c r="P6041" t="s">
        <v>53</v>
      </c>
      <c r="Q6041" t="s">
        <v>53</v>
      </c>
    </row>
    <row r="6042" spans="1:17" x14ac:dyDescent="0.2">
      <c r="A6042" s="30" t="str">
        <f>IF(C6042&amp;G6042&amp;D6042&lt;&gt;'Funnel setup'!$K$3&amp;'Funnel setup'!$K$4&amp;'Funnel setup'!$K$5,".",IF(A6041=".",1,A6041+1))</f>
        <v>.</v>
      </c>
      <c r="B6042" s="431" t="str">
        <f t="shared" si="94"/>
        <v>Knee Replacement RevisionProviderSPIRE HARPENDEN HOSPITAL (NT316)EQ-5D Index</v>
      </c>
      <c r="C6042" t="s">
        <v>250</v>
      </c>
      <c r="D6042" t="s">
        <v>1</v>
      </c>
      <c r="E6042" t="s">
        <v>4267</v>
      </c>
      <c r="F6042" t="s">
        <v>4268</v>
      </c>
      <c r="G6042" t="s">
        <v>52</v>
      </c>
      <c r="H6042" t="s">
        <v>53</v>
      </c>
      <c r="I6042" t="s">
        <v>53</v>
      </c>
      <c r="J6042" t="s">
        <v>53</v>
      </c>
      <c r="K6042" t="s">
        <v>53</v>
      </c>
      <c r="L6042" t="s">
        <v>53</v>
      </c>
      <c r="M6042" t="s">
        <v>53</v>
      </c>
      <c r="N6042" t="s">
        <v>53</v>
      </c>
      <c r="O6042" t="s">
        <v>53</v>
      </c>
      <c r="P6042" t="s">
        <v>53</v>
      </c>
      <c r="Q6042" t="s">
        <v>53</v>
      </c>
    </row>
    <row r="6043" spans="1:17" x14ac:dyDescent="0.2">
      <c r="A6043" s="30" t="str">
        <f>IF(C6043&amp;G6043&amp;D6043&lt;&gt;'Funnel setup'!$K$3&amp;'Funnel setup'!$K$4&amp;'Funnel setup'!$K$5,".",IF(A6042=".",1,A6042+1))</f>
        <v>.</v>
      </c>
      <c r="B6043" s="431" t="str">
        <f t="shared" si="94"/>
        <v>Knee Replacement RevisionProviderSPIRE HULL AND EAST RIDING HOSPITAL (NT351)EQ-5D Index</v>
      </c>
      <c r="C6043" t="s">
        <v>250</v>
      </c>
      <c r="D6043" t="s">
        <v>1</v>
      </c>
      <c r="E6043" t="s">
        <v>3213</v>
      </c>
      <c r="F6043" t="s">
        <v>3214</v>
      </c>
      <c r="G6043" t="s">
        <v>52</v>
      </c>
      <c r="H6043" t="s">
        <v>53</v>
      </c>
      <c r="I6043" t="s">
        <v>53</v>
      </c>
      <c r="J6043" t="s">
        <v>53</v>
      </c>
      <c r="K6043" t="s">
        <v>53</v>
      </c>
      <c r="L6043" t="s">
        <v>53</v>
      </c>
      <c r="M6043" t="s">
        <v>53</v>
      </c>
      <c r="N6043" t="s">
        <v>53</v>
      </c>
      <c r="O6043" t="s">
        <v>53</v>
      </c>
      <c r="P6043" t="s">
        <v>53</v>
      </c>
      <c r="Q6043" t="s">
        <v>53</v>
      </c>
    </row>
    <row r="6044" spans="1:17" x14ac:dyDescent="0.2">
      <c r="A6044" s="30" t="str">
        <f>IF(C6044&amp;G6044&amp;D6044&lt;&gt;'Funnel setup'!$K$3&amp;'Funnel setup'!$K$4&amp;'Funnel setup'!$K$5,".",IF(A6043=".",1,A6043+1))</f>
        <v>.</v>
      </c>
      <c r="B6044" s="431" t="str">
        <f t="shared" si="94"/>
        <v>Knee Replacement RevisionProviderSPIRE LEEDS HOSPITAL (NT332)EQ-5D Index</v>
      </c>
      <c r="C6044" t="s">
        <v>250</v>
      </c>
      <c r="D6044" t="s">
        <v>1</v>
      </c>
      <c r="E6044" t="s">
        <v>3198</v>
      </c>
      <c r="F6044" t="s">
        <v>3199</v>
      </c>
      <c r="G6044" t="s">
        <v>52</v>
      </c>
      <c r="H6044" t="s">
        <v>53</v>
      </c>
      <c r="I6044" t="s">
        <v>53</v>
      </c>
      <c r="J6044" t="s">
        <v>53</v>
      </c>
      <c r="K6044" t="s">
        <v>53</v>
      </c>
      <c r="L6044" t="s">
        <v>53</v>
      </c>
      <c r="M6044" t="s">
        <v>53</v>
      </c>
      <c r="N6044" t="s">
        <v>53</v>
      </c>
      <c r="O6044" t="s">
        <v>53</v>
      </c>
      <c r="P6044" t="s">
        <v>53</v>
      </c>
      <c r="Q6044" t="s">
        <v>53</v>
      </c>
    </row>
    <row r="6045" spans="1:17" x14ac:dyDescent="0.2">
      <c r="A6045" s="30" t="str">
        <f>IF(C6045&amp;G6045&amp;D6045&lt;&gt;'Funnel setup'!$K$3&amp;'Funnel setup'!$K$4&amp;'Funnel setup'!$K$5,".",IF(A6044=".",1,A6044+1))</f>
        <v>.</v>
      </c>
      <c r="B6045" s="431" t="str">
        <f t="shared" si="94"/>
        <v>Knee Replacement RevisionProviderSPIRE MONTEFIORE HOSPITAL (NT364)EQ-5D Index</v>
      </c>
      <c r="C6045" t="s">
        <v>250</v>
      </c>
      <c r="D6045" t="s">
        <v>1</v>
      </c>
      <c r="E6045" t="s">
        <v>3160</v>
      </c>
      <c r="F6045" t="s">
        <v>3161</v>
      </c>
      <c r="G6045" t="s">
        <v>52</v>
      </c>
      <c r="H6045" t="s">
        <v>53</v>
      </c>
      <c r="I6045" t="s">
        <v>53</v>
      </c>
      <c r="J6045" t="s">
        <v>53</v>
      </c>
      <c r="K6045" t="s">
        <v>53</v>
      </c>
      <c r="L6045" t="s">
        <v>53</v>
      </c>
      <c r="M6045" t="s">
        <v>53</v>
      </c>
      <c r="N6045" t="s">
        <v>53</v>
      </c>
      <c r="O6045" t="s">
        <v>53</v>
      </c>
      <c r="P6045" t="s">
        <v>53</v>
      </c>
      <c r="Q6045" t="s">
        <v>53</v>
      </c>
    </row>
    <row r="6046" spans="1:17" x14ac:dyDescent="0.2">
      <c r="A6046" s="30" t="str">
        <f>IF(C6046&amp;G6046&amp;D6046&lt;&gt;'Funnel setup'!$K$3&amp;'Funnel setup'!$K$4&amp;'Funnel setup'!$K$5,".",IF(A6045=".",1,A6045+1))</f>
        <v>.</v>
      </c>
      <c r="B6046" s="431" t="str">
        <f t="shared" si="94"/>
        <v>Knee Replacement RevisionProviderSPIRE NORWICH HOSPITAL (NT318)EQ-5D Index</v>
      </c>
      <c r="C6046" t="s">
        <v>250</v>
      </c>
      <c r="D6046" t="s">
        <v>1</v>
      </c>
      <c r="E6046" t="s">
        <v>4251</v>
      </c>
      <c r="F6046" t="s">
        <v>4252</v>
      </c>
      <c r="G6046" t="s">
        <v>52</v>
      </c>
      <c r="H6046" t="s">
        <v>53</v>
      </c>
      <c r="I6046" t="s">
        <v>53</v>
      </c>
      <c r="J6046" t="s">
        <v>53</v>
      </c>
      <c r="K6046" t="s">
        <v>53</v>
      </c>
      <c r="L6046" t="s">
        <v>53</v>
      </c>
      <c r="M6046" t="s">
        <v>53</v>
      </c>
      <c r="N6046" t="s">
        <v>53</v>
      </c>
      <c r="O6046" t="s">
        <v>53</v>
      </c>
      <c r="P6046" t="s">
        <v>53</v>
      </c>
      <c r="Q6046" t="s">
        <v>53</v>
      </c>
    </row>
    <row r="6047" spans="1:17" x14ac:dyDescent="0.2">
      <c r="A6047" s="30" t="str">
        <f>IF(C6047&amp;G6047&amp;D6047&lt;&gt;'Funnel setup'!$K$3&amp;'Funnel setup'!$K$4&amp;'Funnel setup'!$K$5,".",IF(A6046=".",1,A6046+1))</f>
        <v>.</v>
      </c>
      <c r="B6047" s="431" t="str">
        <f t="shared" si="94"/>
        <v>Knee Replacement RevisionProviderSPIRE SOUTH BANK HOSPITAL (NT301)EQ-5D Index</v>
      </c>
      <c r="C6047" t="s">
        <v>250</v>
      </c>
      <c r="D6047" t="s">
        <v>1</v>
      </c>
      <c r="E6047" t="s">
        <v>3174</v>
      </c>
      <c r="F6047" t="s">
        <v>3175</v>
      </c>
      <c r="G6047" t="s">
        <v>52</v>
      </c>
      <c r="H6047" t="s">
        <v>53</v>
      </c>
      <c r="I6047" t="s">
        <v>53</v>
      </c>
      <c r="J6047" t="s">
        <v>53</v>
      </c>
      <c r="K6047" t="s">
        <v>53</v>
      </c>
      <c r="L6047" t="s">
        <v>53</v>
      </c>
      <c r="M6047" t="s">
        <v>53</v>
      </c>
      <c r="N6047" t="s">
        <v>53</v>
      </c>
      <c r="O6047" t="s">
        <v>53</v>
      </c>
      <c r="P6047" t="s">
        <v>53</v>
      </c>
      <c r="Q6047" t="s">
        <v>53</v>
      </c>
    </row>
    <row r="6048" spans="1:17" x14ac:dyDescent="0.2">
      <c r="A6048" s="30" t="str">
        <f>IF(C6048&amp;G6048&amp;D6048&lt;&gt;'Funnel setup'!$K$3&amp;'Funnel setup'!$K$4&amp;'Funnel setup'!$K$5,".",IF(A6047=".",1,A6047+1))</f>
        <v>.</v>
      </c>
      <c r="B6048" s="431" t="str">
        <f t="shared" si="94"/>
        <v>Knee Replacement RevisionProviderSPIRE SUSSEX HOSPITAL (NT309)EQ-5D Index</v>
      </c>
      <c r="C6048" t="s">
        <v>250</v>
      </c>
      <c r="D6048" t="s">
        <v>1</v>
      </c>
      <c r="E6048" t="s">
        <v>3180</v>
      </c>
      <c r="F6048" t="s">
        <v>3181</v>
      </c>
      <c r="G6048" t="s">
        <v>52</v>
      </c>
      <c r="H6048" t="s">
        <v>53</v>
      </c>
      <c r="I6048" t="s">
        <v>53</v>
      </c>
      <c r="J6048" t="s">
        <v>53</v>
      </c>
      <c r="K6048" t="s">
        <v>53</v>
      </c>
      <c r="L6048" t="s">
        <v>53</v>
      </c>
      <c r="M6048" t="s">
        <v>53</v>
      </c>
      <c r="N6048" t="s">
        <v>53</v>
      </c>
      <c r="O6048" t="s">
        <v>53</v>
      </c>
      <c r="P6048" t="s">
        <v>53</v>
      </c>
      <c r="Q6048" t="s">
        <v>53</v>
      </c>
    </row>
    <row r="6049" spans="1:17" x14ac:dyDescent="0.2">
      <c r="A6049" s="30" t="str">
        <f>IF(C6049&amp;G6049&amp;D6049&lt;&gt;'Funnel setup'!$K$3&amp;'Funnel setup'!$K$4&amp;'Funnel setup'!$K$5,".",IF(A6048=".",1,A6048+1))</f>
        <v>.</v>
      </c>
      <c r="B6049" s="431" t="str">
        <f t="shared" si="94"/>
        <v>Knee Replacement RevisionProviderSPIRE WELLESLEY HOSPITAL (NT313)EQ-5D Index</v>
      </c>
      <c r="C6049" t="s">
        <v>250</v>
      </c>
      <c r="D6049" t="s">
        <v>1</v>
      </c>
      <c r="E6049" t="s">
        <v>3192</v>
      </c>
      <c r="F6049" t="s">
        <v>3193</v>
      </c>
      <c r="G6049" t="s">
        <v>52</v>
      </c>
      <c r="H6049" t="s">
        <v>53</v>
      </c>
      <c r="I6049" t="s">
        <v>53</v>
      </c>
      <c r="J6049" t="s">
        <v>53</v>
      </c>
      <c r="K6049" t="s">
        <v>53</v>
      </c>
      <c r="L6049" t="s">
        <v>53</v>
      </c>
      <c r="M6049" t="s">
        <v>53</v>
      </c>
      <c r="N6049" t="s">
        <v>53</v>
      </c>
      <c r="O6049" t="s">
        <v>53</v>
      </c>
      <c r="P6049" t="s">
        <v>53</v>
      </c>
      <c r="Q6049" t="s">
        <v>53</v>
      </c>
    </row>
    <row r="6050" spans="1:17" x14ac:dyDescent="0.2">
      <c r="A6050" s="30" t="str">
        <f>IF(C6050&amp;G6050&amp;D6050&lt;&gt;'Funnel setup'!$K$3&amp;'Funnel setup'!$K$4&amp;'Funnel setup'!$K$5,".",IF(A6049=".",1,A6049+1))</f>
        <v>.</v>
      </c>
      <c r="B6050" s="431" t="str">
        <f t="shared" si="94"/>
        <v>Knee Replacement RevisionProviderSPRINGFIELD HOSPITAL (NVC18)EQ-5D Index</v>
      </c>
      <c r="C6050" t="s">
        <v>250</v>
      </c>
      <c r="D6050" t="s">
        <v>1</v>
      </c>
      <c r="E6050" t="s">
        <v>3195</v>
      </c>
      <c r="F6050" t="s">
        <v>3196</v>
      </c>
      <c r="G6050" t="s">
        <v>52</v>
      </c>
      <c r="H6050" t="s">
        <v>53</v>
      </c>
      <c r="I6050" t="s">
        <v>53</v>
      </c>
      <c r="J6050" t="s">
        <v>53</v>
      </c>
      <c r="K6050" t="s">
        <v>53</v>
      </c>
      <c r="L6050" t="s">
        <v>53</v>
      </c>
      <c r="M6050" t="s">
        <v>53</v>
      </c>
      <c r="N6050" t="s">
        <v>53</v>
      </c>
      <c r="O6050" t="s">
        <v>53</v>
      </c>
      <c r="P6050" t="s">
        <v>53</v>
      </c>
      <c r="Q6050" t="s">
        <v>53</v>
      </c>
    </row>
    <row r="6051" spans="1:17" x14ac:dyDescent="0.2">
      <c r="A6051" s="30" t="str">
        <f>IF(C6051&amp;G6051&amp;D6051&lt;&gt;'Funnel setup'!$K$3&amp;'Funnel setup'!$K$4&amp;'Funnel setup'!$K$5,".",IF(A6050=".",1,A6050+1))</f>
        <v>.</v>
      </c>
      <c r="B6051" s="431" t="str">
        <f t="shared" si="94"/>
        <v>Knee Replacement RevisionProviderST GEORGE'S UNIVERSITY HOSPITALS NHS FOUNDATION TRUST (RJ7)EQ-5D Index</v>
      </c>
      <c r="C6051" t="s">
        <v>250</v>
      </c>
      <c r="D6051" t="s">
        <v>1</v>
      </c>
      <c r="E6051" t="s">
        <v>3124</v>
      </c>
      <c r="F6051" t="s">
        <v>3125</v>
      </c>
      <c r="G6051" t="s">
        <v>52</v>
      </c>
      <c r="H6051" t="s">
        <v>53</v>
      </c>
      <c r="I6051" t="s">
        <v>53</v>
      </c>
      <c r="J6051" t="s">
        <v>53</v>
      </c>
      <c r="K6051" t="s">
        <v>53</v>
      </c>
      <c r="L6051" t="s">
        <v>53</v>
      </c>
      <c r="M6051" t="s">
        <v>53</v>
      </c>
      <c r="N6051" t="s">
        <v>53</v>
      </c>
      <c r="O6051" t="s">
        <v>53</v>
      </c>
      <c r="P6051" t="s">
        <v>53</v>
      </c>
      <c r="Q6051" t="s">
        <v>53</v>
      </c>
    </row>
    <row r="6052" spans="1:17" x14ac:dyDescent="0.2">
      <c r="A6052" s="30" t="str">
        <f>IF(C6052&amp;G6052&amp;D6052&lt;&gt;'Funnel setup'!$K$3&amp;'Funnel setup'!$K$4&amp;'Funnel setup'!$K$5,".",IF(A6051=".",1,A6051+1))</f>
        <v>.</v>
      </c>
      <c r="B6052" s="431" t="str">
        <f t="shared" si="94"/>
        <v>Knee Replacement RevisionProviderST HELENS AND KNOWSLEY HOSPITALS NHS TRUST (RBN)EQ-5D Index</v>
      </c>
      <c r="C6052" t="s">
        <v>250</v>
      </c>
      <c r="D6052" t="s">
        <v>1</v>
      </c>
      <c r="E6052" t="s">
        <v>3127</v>
      </c>
      <c r="F6052" t="s">
        <v>3128</v>
      </c>
      <c r="G6052" t="s">
        <v>52</v>
      </c>
      <c r="H6052">
        <v>12</v>
      </c>
      <c r="I6052">
        <v>0.36899999999999999</v>
      </c>
      <c r="J6052">
        <v>0.505</v>
      </c>
      <c r="K6052">
        <v>0.13600000000000001</v>
      </c>
      <c r="L6052">
        <v>9</v>
      </c>
      <c r="M6052">
        <v>0</v>
      </c>
      <c r="N6052">
        <v>3</v>
      </c>
      <c r="O6052" t="s">
        <v>53</v>
      </c>
      <c r="P6052" t="s">
        <v>53</v>
      </c>
      <c r="Q6052" t="s">
        <v>53</v>
      </c>
    </row>
    <row r="6053" spans="1:17" x14ac:dyDescent="0.2">
      <c r="A6053" s="30" t="str">
        <f>IF(C6053&amp;G6053&amp;D6053&lt;&gt;'Funnel setup'!$K$3&amp;'Funnel setup'!$K$4&amp;'Funnel setup'!$K$5,".",IF(A6052=".",1,A6052+1))</f>
        <v>.</v>
      </c>
      <c r="B6053" s="431" t="str">
        <f t="shared" si="94"/>
        <v>Knee Replacement RevisionProviderST HUGH'S HOSPITAL (NTE02)EQ-5D Index</v>
      </c>
      <c r="C6053" t="s">
        <v>250</v>
      </c>
      <c r="D6053" t="s">
        <v>1</v>
      </c>
      <c r="E6053" t="s">
        <v>3130</v>
      </c>
      <c r="F6053" t="s">
        <v>3131</v>
      </c>
      <c r="G6053" t="s">
        <v>52</v>
      </c>
      <c r="H6053" t="s">
        <v>53</v>
      </c>
      <c r="I6053" t="s">
        <v>53</v>
      </c>
      <c r="J6053" t="s">
        <v>53</v>
      </c>
      <c r="K6053" t="s">
        <v>53</v>
      </c>
      <c r="L6053" t="s">
        <v>53</v>
      </c>
      <c r="M6053" t="s">
        <v>53</v>
      </c>
      <c r="N6053" t="s">
        <v>53</v>
      </c>
      <c r="O6053" t="s">
        <v>53</v>
      </c>
      <c r="P6053" t="s">
        <v>53</v>
      </c>
      <c r="Q6053" t="s">
        <v>53</v>
      </c>
    </row>
    <row r="6054" spans="1:17" x14ac:dyDescent="0.2">
      <c r="A6054" s="30" t="str">
        <f>IF(C6054&amp;G6054&amp;D6054&lt;&gt;'Funnel setup'!$K$3&amp;'Funnel setup'!$K$4&amp;'Funnel setup'!$K$5,".",IF(A6053=".",1,A6053+1))</f>
        <v>.</v>
      </c>
      <c r="B6054" s="431" t="str">
        <f t="shared" si="94"/>
        <v>Knee Replacement RevisionProviderSTOCKPORT NHS FOUNDATION TRUST (RWJ)EQ-5D Index</v>
      </c>
      <c r="C6054" t="s">
        <v>250</v>
      </c>
      <c r="D6054" t="s">
        <v>1</v>
      </c>
      <c r="E6054" t="s">
        <v>3142</v>
      </c>
      <c r="F6054" t="s">
        <v>3143</v>
      </c>
      <c r="G6054" t="s">
        <v>52</v>
      </c>
      <c r="H6054">
        <v>10</v>
      </c>
      <c r="I6054">
        <v>0.35399999999999998</v>
      </c>
      <c r="J6054">
        <v>0.69599999999999995</v>
      </c>
      <c r="K6054">
        <v>0.34100000000000003</v>
      </c>
      <c r="L6054">
        <v>6</v>
      </c>
      <c r="M6054">
        <v>1</v>
      </c>
      <c r="N6054">
        <v>3</v>
      </c>
      <c r="O6054" t="s">
        <v>53</v>
      </c>
      <c r="P6054" t="s">
        <v>53</v>
      </c>
      <c r="Q6054" t="s">
        <v>53</v>
      </c>
    </row>
    <row r="6055" spans="1:17" x14ac:dyDescent="0.2">
      <c r="A6055" s="30" t="str">
        <f>IF(C6055&amp;G6055&amp;D6055&lt;&gt;'Funnel setup'!$K$3&amp;'Funnel setup'!$K$4&amp;'Funnel setup'!$K$5,".",IF(A6054=".",1,A6054+1))</f>
        <v>.</v>
      </c>
      <c r="B6055" s="431" t="str">
        <f t="shared" si="94"/>
        <v>Knee Replacement RevisionProviderSURREY AND SUSSEX HEALTHCARE NHS TRUST (RTP)EQ-5D Index</v>
      </c>
      <c r="C6055" t="s">
        <v>250</v>
      </c>
      <c r="D6055" t="s">
        <v>1</v>
      </c>
      <c r="E6055" t="s">
        <v>3145</v>
      </c>
      <c r="F6055" t="s">
        <v>3146</v>
      </c>
      <c r="G6055" t="s">
        <v>52</v>
      </c>
      <c r="H6055" t="s">
        <v>53</v>
      </c>
      <c r="I6055" t="s">
        <v>53</v>
      </c>
      <c r="J6055" t="s">
        <v>53</v>
      </c>
      <c r="K6055" t="s">
        <v>53</v>
      </c>
      <c r="L6055" t="s">
        <v>53</v>
      </c>
      <c r="M6055" t="s">
        <v>53</v>
      </c>
      <c r="N6055" t="s">
        <v>53</v>
      </c>
      <c r="O6055" t="s">
        <v>53</v>
      </c>
      <c r="P6055" t="s">
        <v>53</v>
      </c>
      <c r="Q6055" t="s">
        <v>53</v>
      </c>
    </row>
    <row r="6056" spans="1:17" x14ac:dyDescent="0.2">
      <c r="A6056" s="30" t="str">
        <f>IF(C6056&amp;G6056&amp;D6056&lt;&gt;'Funnel setup'!$K$3&amp;'Funnel setup'!$K$4&amp;'Funnel setup'!$K$5,".",IF(A6055=".",1,A6055+1))</f>
        <v>.</v>
      </c>
      <c r="B6056" s="431" t="str">
        <f t="shared" si="94"/>
        <v>Knee Replacement RevisionProviderTAMESIDE HOSPITAL NHS FOUNDATION TRUST (RMP)EQ-5D Index</v>
      </c>
      <c r="C6056" t="s">
        <v>250</v>
      </c>
      <c r="D6056" t="s">
        <v>1</v>
      </c>
      <c r="E6056" t="s">
        <v>3148</v>
      </c>
      <c r="F6056" t="s">
        <v>3149</v>
      </c>
      <c r="G6056" t="s">
        <v>52</v>
      </c>
      <c r="H6056" t="s">
        <v>53</v>
      </c>
      <c r="I6056" t="s">
        <v>53</v>
      </c>
      <c r="J6056" t="s">
        <v>53</v>
      </c>
      <c r="K6056" t="s">
        <v>53</v>
      </c>
      <c r="L6056" t="s">
        <v>53</v>
      </c>
      <c r="M6056" t="s">
        <v>53</v>
      </c>
      <c r="N6056" t="s">
        <v>53</v>
      </c>
      <c r="O6056" t="s">
        <v>53</v>
      </c>
      <c r="P6056" t="s">
        <v>53</v>
      </c>
      <c r="Q6056" t="s">
        <v>53</v>
      </c>
    </row>
    <row r="6057" spans="1:17" x14ac:dyDescent="0.2">
      <c r="A6057" s="30" t="str">
        <f>IF(C6057&amp;G6057&amp;D6057&lt;&gt;'Funnel setup'!$K$3&amp;'Funnel setup'!$K$4&amp;'Funnel setup'!$K$5,".",IF(A6056=".",1,A6056+1))</f>
        <v>.</v>
      </c>
      <c r="B6057" s="431" t="str">
        <f t="shared" si="94"/>
        <v>Knee Replacement RevisionProviderTHE DUDLEY GROUP NHS FOUNDATION TRUST (RNA)EQ-5D Index</v>
      </c>
      <c r="C6057" t="s">
        <v>250</v>
      </c>
      <c r="D6057" t="s">
        <v>1</v>
      </c>
      <c r="E6057" t="s">
        <v>3121</v>
      </c>
      <c r="F6057" t="s">
        <v>3122</v>
      </c>
      <c r="G6057" t="s">
        <v>52</v>
      </c>
      <c r="H6057" t="s">
        <v>53</v>
      </c>
      <c r="I6057" t="s">
        <v>53</v>
      </c>
      <c r="J6057" t="s">
        <v>53</v>
      </c>
      <c r="K6057" t="s">
        <v>53</v>
      </c>
      <c r="L6057" t="s">
        <v>53</v>
      </c>
      <c r="M6057" t="s">
        <v>53</v>
      </c>
      <c r="N6057" t="s">
        <v>53</v>
      </c>
      <c r="O6057" t="s">
        <v>53</v>
      </c>
      <c r="P6057" t="s">
        <v>53</v>
      </c>
      <c r="Q6057" t="s">
        <v>53</v>
      </c>
    </row>
    <row r="6058" spans="1:17" x14ac:dyDescent="0.2">
      <c r="A6058" s="30" t="str">
        <f>IF(C6058&amp;G6058&amp;D6058&lt;&gt;'Funnel setup'!$K$3&amp;'Funnel setup'!$K$4&amp;'Funnel setup'!$K$5,".",IF(A6057=".",1,A6057+1))</f>
        <v>.</v>
      </c>
      <c r="B6058" s="431" t="str">
        <f t="shared" si="94"/>
        <v>Knee Replacement RevisionProviderTHE HILLINGDON HOSPITALS NHS FOUNDATION TRUST (RAS)EQ-5D Index</v>
      </c>
      <c r="C6058" t="s">
        <v>250</v>
      </c>
      <c r="D6058" t="s">
        <v>1</v>
      </c>
      <c r="E6058" t="s">
        <v>3115</v>
      </c>
      <c r="F6058" t="s">
        <v>3116</v>
      </c>
      <c r="G6058" t="s">
        <v>52</v>
      </c>
      <c r="H6058">
        <v>6</v>
      </c>
      <c r="I6058">
        <v>0.38400000000000001</v>
      </c>
      <c r="J6058">
        <v>0.60199999999999998</v>
      </c>
      <c r="K6058">
        <v>0.218</v>
      </c>
      <c r="L6058">
        <v>3</v>
      </c>
      <c r="M6058">
        <v>2</v>
      </c>
      <c r="N6058">
        <v>1</v>
      </c>
      <c r="O6058" t="s">
        <v>53</v>
      </c>
      <c r="P6058" t="s">
        <v>53</v>
      </c>
      <c r="Q6058" t="s">
        <v>53</v>
      </c>
    </row>
    <row r="6059" spans="1:17" x14ac:dyDescent="0.2">
      <c r="A6059" s="30" t="str">
        <f>IF(C6059&amp;G6059&amp;D6059&lt;&gt;'Funnel setup'!$K$3&amp;'Funnel setup'!$K$4&amp;'Funnel setup'!$K$5,".",IF(A6058=".",1,A6058+1))</f>
        <v>.</v>
      </c>
      <c r="B6059" s="431" t="str">
        <f t="shared" si="94"/>
        <v>Knee Replacement RevisionProviderTHE HORDER CENTRE - ST JOHNS ROAD (NXM01)EQ-5D Index</v>
      </c>
      <c r="C6059" t="s">
        <v>250</v>
      </c>
      <c r="D6059" t="s">
        <v>1</v>
      </c>
      <c r="E6059" t="s">
        <v>4222</v>
      </c>
      <c r="F6059" t="s">
        <v>4223</v>
      </c>
      <c r="G6059" t="s">
        <v>52</v>
      </c>
      <c r="H6059">
        <v>19</v>
      </c>
      <c r="I6059">
        <v>0.61</v>
      </c>
      <c r="J6059">
        <v>0.82699999999999996</v>
      </c>
      <c r="K6059">
        <v>0.217</v>
      </c>
      <c r="L6059">
        <v>14</v>
      </c>
      <c r="M6059">
        <v>3</v>
      </c>
      <c r="N6059">
        <v>2</v>
      </c>
      <c r="O6059" t="s">
        <v>53</v>
      </c>
      <c r="P6059" t="s">
        <v>53</v>
      </c>
      <c r="Q6059" t="s">
        <v>53</v>
      </c>
    </row>
    <row r="6060" spans="1:17" x14ac:dyDescent="0.2">
      <c r="A6060" s="30" t="str">
        <f>IF(C6060&amp;G6060&amp;D6060&lt;&gt;'Funnel setup'!$K$3&amp;'Funnel setup'!$K$4&amp;'Funnel setup'!$K$5,".",IF(A6059=".",1,A6059+1))</f>
        <v>.</v>
      </c>
      <c r="B6060" s="431" t="str">
        <f t="shared" si="94"/>
        <v>Knee Replacement RevisionProviderTHE NEWCASTLE UPON TYNE HOSPITALS NHS FOUNDATION TRUST (RTD)EQ-5D Index</v>
      </c>
      <c r="C6060" t="s">
        <v>250</v>
      </c>
      <c r="D6060" t="s">
        <v>1</v>
      </c>
      <c r="E6060" t="s">
        <v>3748</v>
      </c>
      <c r="F6060" t="s">
        <v>3749</v>
      </c>
      <c r="G6060" t="s">
        <v>52</v>
      </c>
      <c r="H6060">
        <v>15</v>
      </c>
      <c r="I6060">
        <v>0.33300000000000002</v>
      </c>
      <c r="J6060">
        <v>0.65600000000000003</v>
      </c>
      <c r="K6060">
        <v>0.32300000000000001</v>
      </c>
      <c r="L6060">
        <v>10</v>
      </c>
      <c r="M6060">
        <v>3</v>
      </c>
      <c r="N6060">
        <v>2</v>
      </c>
      <c r="O6060" t="s">
        <v>53</v>
      </c>
      <c r="P6060" t="s">
        <v>53</v>
      </c>
      <c r="Q6060" t="s">
        <v>53</v>
      </c>
    </row>
    <row r="6061" spans="1:17" x14ac:dyDescent="0.2">
      <c r="A6061" s="30" t="str">
        <f>IF(C6061&amp;G6061&amp;D6061&lt;&gt;'Funnel setup'!$K$3&amp;'Funnel setup'!$K$4&amp;'Funnel setup'!$K$5,".",IF(A6060=".",1,A6060+1))</f>
        <v>.</v>
      </c>
      <c r="B6061" s="431" t="str">
        <f t="shared" si="94"/>
        <v>Knee Replacement RevisionProviderTHE PRINCESS ALEXANDRA HOSPITAL NHS TRUST (RQW)EQ-5D Index</v>
      </c>
      <c r="C6061" t="s">
        <v>250</v>
      </c>
      <c r="D6061" t="s">
        <v>1</v>
      </c>
      <c r="E6061" t="s">
        <v>3751</v>
      </c>
      <c r="F6061" t="s">
        <v>3752</v>
      </c>
      <c r="G6061" t="s">
        <v>52</v>
      </c>
      <c r="H6061" t="s">
        <v>53</v>
      </c>
      <c r="I6061" t="s">
        <v>53</v>
      </c>
      <c r="J6061" t="s">
        <v>53</v>
      </c>
      <c r="K6061" t="s">
        <v>53</v>
      </c>
      <c r="L6061" t="s">
        <v>53</v>
      </c>
      <c r="M6061" t="s">
        <v>53</v>
      </c>
      <c r="N6061" t="s">
        <v>53</v>
      </c>
      <c r="O6061" t="s">
        <v>53</v>
      </c>
      <c r="P6061" t="s">
        <v>53</v>
      </c>
      <c r="Q6061" t="s">
        <v>53</v>
      </c>
    </row>
    <row r="6062" spans="1:17" x14ac:dyDescent="0.2">
      <c r="A6062" s="30" t="str">
        <f>IF(C6062&amp;G6062&amp;D6062&lt;&gt;'Funnel setup'!$K$3&amp;'Funnel setup'!$K$4&amp;'Funnel setup'!$K$5,".",IF(A6061=".",1,A6061+1))</f>
        <v>.</v>
      </c>
      <c r="B6062" s="431" t="str">
        <f t="shared" si="94"/>
        <v>Knee Replacement RevisionProviderTHE QUEEN ELIZABETH HOSPITAL, KING'S LYNN, NHS FOUNDATION TRUST (RCX)EQ-5D Index</v>
      </c>
      <c r="C6062" t="s">
        <v>250</v>
      </c>
      <c r="D6062" t="s">
        <v>1</v>
      </c>
      <c r="E6062" t="s">
        <v>3754</v>
      </c>
      <c r="F6062" t="s">
        <v>3755</v>
      </c>
      <c r="G6062" t="s">
        <v>52</v>
      </c>
      <c r="H6062">
        <v>15</v>
      </c>
      <c r="I6062">
        <v>0.40200000000000002</v>
      </c>
      <c r="J6062">
        <v>0.65200000000000002</v>
      </c>
      <c r="K6062">
        <v>0.251</v>
      </c>
      <c r="L6062">
        <v>10</v>
      </c>
      <c r="M6062">
        <v>2</v>
      </c>
      <c r="N6062">
        <v>3</v>
      </c>
      <c r="O6062" t="s">
        <v>53</v>
      </c>
      <c r="P6062" t="s">
        <v>53</v>
      </c>
      <c r="Q6062" t="s">
        <v>53</v>
      </c>
    </row>
    <row r="6063" spans="1:17" x14ac:dyDescent="0.2">
      <c r="A6063" s="30" t="str">
        <f>IF(C6063&amp;G6063&amp;D6063&lt;&gt;'Funnel setup'!$K$3&amp;'Funnel setup'!$K$4&amp;'Funnel setup'!$K$5,".",IF(A6062=".",1,A6062+1))</f>
        <v>.</v>
      </c>
      <c r="B6063" s="431" t="str">
        <f t="shared" si="94"/>
        <v>Knee Replacement RevisionProviderTHE ROBERT JONES AND AGNES HUNT ORTHOPAEDIC HOSPITAL NHS FOUNDATION TRUST (RL1)EQ-5D Index</v>
      </c>
      <c r="C6063" t="s">
        <v>250</v>
      </c>
      <c r="D6063" t="s">
        <v>1</v>
      </c>
      <c r="E6063" t="s">
        <v>4496</v>
      </c>
      <c r="F6063" t="s">
        <v>4497</v>
      </c>
      <c r="G6063" t="s">
        <v>52</v>
      </c>
      <c r="H6063">
        <v>38</v>
      </c>
      <c r="I6063">
        <v>0.29199999999999998</v>
      </c>
      <c r="J6063">
        <v>0.55400000000000005</v>
      </c>
      <c r="K6063">
        <v>0.26100000000000001</v>
      </c>
      <c r="L6063">
        <v>27</v>
      </c>
      <c r="M6063">
        <v>4</v>
      </c>
      <c r="N6063">
        <v>7</v>
      </c>
      <c r="O6063">
        <v>0.50800000000000001</v>
      </c>
      <c r="P6063">
        <v>0.176355605</v>
      </c>
      <c r="Q6063">
        <v>0.34100000000000003</v>
      </c>
    </row>
    <row r="6064" spans="1:17" x14ac:dyDescent="0.2">
      <c r="A6064" s="30" t="str">
        <f>IF(C6064&amp;G6064&amp;D6064&lt;&gt;'Funnel setup'!$K$3&amp;'Funnel setup'!$K$4&amp;'Funnel setup'!$K$5,".",IF(A6063=".",1,A6063+1))</f>
        <v>.</v>
      </c>
      <c r="B6064" s="431" t="str">
        <f t="shared" si="94"/>
        <v>Knee Replacement RevisionProviderTHE ROTHERHAM NHS FOUNDATION TRUST (RFR)EQ-5D Index</v>
      </c>
      <c r="C6064" t="s">
        <v>250</v>
      </c>
      <c r="D6064" t="s">
        <v>1</v>
      </c>
      <c r="E6064" t="s">
        <v>3739</v>
      </c>
      <c r="F6064" t="s">
        <v>3740</v>
      </c>
      <c r="G6064" t="s">
        <v>52</v>
      </c>
      <c r="H6064">
        <v>7</v>
      </c>
      <c r="I6064">
        <v>0.27700000000000002</v>
      </c>
      <c r="J6064">
        <v>0.65200000000000002</v>
      </c>
      <c r="K6064">
        <v>0.375</v>
      </c>
      <c r="L6064">
        <v>5</v>
      </c>
      <c r="M6064">
        <v>0</v>
      </c>
      <c r="N6064">
        <v>2</v>
      </c>
      <c r="O6064" t="s">
        <v>53</v>
      </c>
      <c r="P6064" t="s">
        <v>53</v>
      </c>
      <c r="Q6064" t="s">
        <v>53</v>
      </c>
    </row>
    <row r="6065" spans="1:17" x14ac:dyDescent="0.2">
      <c r="A6065" s="30" t="str">
        <f>IF(C6065&amp;G6065&amp;D6065&lt;&gt;'Funnel setup'!$K$3&amp;'Funnel setup'!$K$4&amp;'Funnel setup'!$K$5,".",IF(A6064=".",1,A6064+1))</f>
        <v>.</v>
      </c>
      <c r="B6065" s="431" t="str">
        <f t="shared" si="94"/>
        <v>Knee Replacement RevisionProviderTHE ROYAL ORTHOPAEDIC HOSPITAL NHS FOUNDATION TRUST (RRJ)EQ-5D Index</v>
      </c>
      <c r="C6065" t="s">
        <v>250</v>
      </c>
      <c r="D6065" t="s">
        <v>1</v>
      </c>
      <c r="E6065" t="s">
        <v>4480</v>
      </c>
      <c r="F6065" t="s">
        <v>4481</v>
      </c>
      <c r="G6065" t="s">
        <v>52</v>
      </c>
      <c r="H6065">
        <v>20</v>
      </c>
      <c r="I6065">
        <v>0.20699999999999999</v>
      </c>
      <c r="J6065">
        <v>0.45700000000000002</v>
      </c>
      <c r="K6065">
        <v>0.25</v>
      </c>
      <c r="L6065">
        <v>15</v>
      </c>
      <c r="M6065">
        <v>2</v>
      </c>
      <c r="N6065">
        <v>3</v>
      </c>
      <c r="O6065" t="s">
        <v>53</v>
      </c>
      <c r="P6065" t="s">
        <v>53</v>
      </c>
      <c r="Q6065" t="s">
        <v>53</v>
      </c>
    </row>
    <row r="6066" spans="1:17" x14ac:dyDescent="0.2">
      <c r="A6066" s="30" t="str">
        <f>IF(C6066&amp;G6066&amp;D6066&lt;&gt;'Funnel setup'!$K$3&amp;'Funnel setup'!$K$4&amp;'Funnel setup'!$K$5,".",IF(A6065=".",1,A6065+1))</f>
        <v>.</v>
      </c>
      <c r="B6066" s="431" t="str">
        <f t="shared" si="94"/>
        <v>Knee Replacement RevisionProviderTHE ROYAL WOLVERHAMPTON NHS TRUST (RL4)EQ-5D Index</v>
      </c>
      <c r="C6066" t="s">
        <v>250</v>
      </c>
      <c r="D6066" t="s">
        <v>1</v>
      </c>
      <c r="E6066" t="s">
        <v>3382</v>
      </c>
      <c r="F6066" t="s">
        <v>3383</v>
      </c>
      <c r="G6066" t="s">
        <v>52</v>
      </c>
      <c r="H6066">
        <v>12</v>
      </c>
      <c r="I6066">
        <v>0.35899999999999999</v>
      </c>
      <c r="J6066">
        <v>0.51500000000000001</v>
      </c>
      <c r="K6066">
        <v>0.155</v>
      </c>
      <c r="L6066">
        <v>8</v>
      </c>
      <c r="M6066">
        <v>2</v>
      </c>
      <c r="N6066">
        <v>2</v>
      </c>
      <c r="O6066" t="s">
        <v>53</v>
      </c>
      <c r="P6066" t="s">
        <v>53</v>
      </c>
      <c r="Q6066" t="s">
        <v>53</v>
      </c>
    </row>
    <row r="6067" spans="1:17" x14ac:dyDescent="0.2">
      <c r="A6067" s="30" t="str">
        <f>IF(C6067&amp;G6067&amp;D6067&lt;&gt;'Funnel setup'!$K$3&amp;'Funnel setup'!$K$4&amp;'Funnel setup'!$K$5,".",IF(A6066=".",1,A6066+1))</f>
        <v>.</v>
      </c>
      <c r="B6067" s="431" t="str">
        <f t="shared" si="94"/>
        <v>Knee Replacement RevisionProviderTHE YORKSHIRE CLINIC (NVC20)EQ-5D Index</v>
      </c>
      <c r="C6067" t="s">
        <v>250</v>
      </c>
      <c r="D6067" t="s">
        <v>1</v>
      </c>
      <c r="E6067" t="s">
        <v>3760</v>
      </c>
      <c r="F6067" t="s">
        <v>3761</v>
      </c>
      <c r="G6067" t="s">
        <v>52</v>
      </c>
      <c r="H6067" t="s">
        <v>53</v>
      </c>
      <c r="I6067" t="s">
        <v>53</v>
      </c>
      <c r="J6067" t="s">
        <v>53</v>
      </c>
      <c r="K6067" t="s">
        <v>53</v>
      </c>
      <c r="L6067" t="s">
        <v>53</v>
      </c>
      <c r="M6067" t="s">
        <v>53</v>
      </c>
      <c r="N6067" t="s">
        <v>53</v>
      </c>
      <c r="O6067" t="s">
        <v>53</v>
      </c>
      <c r="P6067" t="s">
        <v>53</v>
      </c>
      <c r="Q6067" t="s">
        <v>53</v>
      </c>
    </row>
    <row r="6068" spans="1:17" x14ac:dyDescent="0.2">
      <c r="A6068" s="30" t="str">
        <f>IF(C6068&amp;G6068&amp;D6068&lt;&gt;'Funnel setup'!$K$3&amp;'Funnel setup'!$K$4&amp;'Funnel setup'!$K$5,".",IF(A6067=".",1,A6067+1))</f>
        <v>.</v>
      </c>
      <c r="B6068" s="431" t="str">
        <f t="shared" si="94"/>
        <v>Knee Replacement RevisionProviderTORBAY AND SOUTH DEVON NHS FOUNDATION TRUST (RA9)EQ-5D Index</v>
      </c>
      <c r="C6068" t="s">
        <v>250</v>
      </c>
      <c r="D6068" t="s">
        <v>1</v>
      </c>
      <c r="E6068" t="s">
        <v>3480</v>
      </c>
      <c r="F6068" t="s">
        <v>6584</v>
      </c>
      <c r="G6068" t="s">
        <v>52</v>
      </c>
      <c r="H6068">
        <v>13</v>
      </c>
      <c r="I6068">
        <v>0.41699999999999998</v>
      </c>
      <c r="J6068">
        <v>0.77</v>
      </c>
      <c r="K6068">
        <v>0.35299999999999998</v>
      </c>
      <c r="L6068">
        <v>10</v>
      </c>
      <c r="M6068">
        <v>2</v>
      </c>
      <c r="N6068">
        <v>1</v>
      </c>
      <c r="O6068" t="s">
        <v>53</v>
      </c>
      <c r="P6068" t="s">
        <v>53</v>
      </c>
      <c r="Q6068" t="s">
        <v>53</v>
      </c>
    </row>
    <row r="6069" spans="1:17" x14ac:dyDescent="0.2">
      <c r="A6069" s="30" t="str">
        <f>IF(C6069&amp;G6069&amp;D6069&lt;&gt;'Funnel setup'!$K$3&amp;'Funnel setup'!$K$4&amp;'Funnel setup'!$K$5,".",IF(A6068=".",1,A6068+1))</f>
        <v>.</v>
      </c>
      <c r="B6069" s="431" t="str">
        <f t="shared" si="94"/>
        <v>Knee Replacement RevisionProviderUNITED LINCOLNSHIRE HOSPITALS NHS TRUST (RWD)EQ-5D Index</v>
      </c>
      <c r="C6069" t="s">
        <v>250</v>
      </c>
      <c r="D6069" t="s">
        <v>1</v>
      </c>
      <c r="E6069" t="s">
        <v>3763</v>
      </c>
      <c r="F6069" t="s">
        <v>3764</v>
      </c>
      <c r="G6069" t="s">
        <v>52</v>
      </c>
      <c r="H6069" t="s">
        <v>53</v>
      </c>
      <c r="I6069" t="s">
        <v>53</v>
      </c>
      <c r="J6069" t="s">
        <v>53</v>
      </c>
      <c r="K6069" t="s">
        <v>53</v>
      </c>
      <c r="L6069" t="s">
        <v>53</v>
      </c>
      <c r="M6069" t="s">
        <v>53</v>
      </c>
      <c r="N6069" t="s">
        <v>53</v>
      </c>
      <c r="O6069" t="s">
        <v>53</v>
      </c>
      <c r="P6069" t="s">
        <v>53</v>
      </c>
      <c r="Q6069" t="s">
        <v>53</v>
      </c>
    </row>
    <row r="6070" spans="1:17" x14ac:dyDescent="0.2">
      <c r="A6070" s="30" t="str">
        <f>IF(C6070&amp;G6070&amp;D6070&lt;&gt;'Funnel setup'!$K$3&amp;'Funnel setup'!$K$4&amp;'Funnel setup'!$K$5,".",IF(A6069=".",1,A6069+1))</f>
        <v>.</v>
      </c>
      <c r="B6070" s="431" t="str">
        <f t="shared" si="94"/>
        <v>Knee Replacement RevisionProviderUNIVERSITY COLLEGE LONDON HOSPITALS NHS FOUNDATION TRUST (RRV)EQ-5D Index</v>
      </c>
      <c r="C6070" t="s">
        <v>250</v>
      </c>
      <c r="D6070" t="s">
        <v>1</v>
      </c>
      <c r="E6070" t="s">
        <v>3766</v>
      </c>
      <c r="F6070" t="s">
        <v>3767</v>
      </c>
      <c r="G6070" t="s">
        <v>52</v>
      </c>
      <c r="H6070">
        <v>6</v>
      </c>
      <c r="I6070">
        <v>0.39900000000000002</v>
      </c>
      <c r="J6070">
        <v>0.65</v>
      </c>
      <c r="K6070">
        <v>0.252</v>
      </c>
      <c r="L6070">
        <v>4</v>
      </c>
      <c r="M6070">
        <v>2</v>
      </c>
      <c r="N6070">
        <v>0</v>
      </c>
      <c r="O6070" t="s">
        <v>53</v>
      </c>
      <c r="P6070" t="s">
        <v>53</v>
      </c>
      <c r="Q6070" t="s">
        <v>53</v>
      </c>
    </row>
    <row r="6071" spans="1:17" x14ac:dyDescent="0.2">
      <c r="A6071" s="30" t="str">
        <f>IF(C6071&amp;G6071&amp;D6071&lt;&gt;'Funnel setup'!$K$3&amp;'Funnel setup'!$K$4&amp;'Funnel setup'!$K$5,".",IF(A6070=".",1,A6070+1))</f>
        <v>.</v>
      </c>
      <c r="B6071" s="431" t="str">
        <f t="shared" si="94"/>
        <v>Knee Replacement RevisionProviderUNIVERSITY HOSPITAL OF SOUTH MANCHESTER NHS FOUNDATION TRUST (RM2)EQ-5D Index</v>
      </c>
      <c r="C6071" t="s">
        <v>250</v>
      </c>
      <c r="D6071" t="s">
        <v>1</v>
      </c>
      <c r="E6071" t="s">
        <v>3769</v>
      </c>
      <c r="F6071" t="s">
        <v>3770</v>
      </c>
      <c r="G6071" t="s">
        <v>52</v>
      </c>
      <c r="H6071" t="s">
        <v>53</v>
      </c>
      <c r="I6071" t="s">
        <v>53</v>
      </c>
      <c r="J6071" t="s">
        <v>53</v>
      </c>
      <c r="K6071" t="s">
        <v>53</v>
      </c>
      <c r="L6071" t="s">
        <v>53</v>
      </c>
      <c r="M6071" t="s">
        <v>53</v>
      </c>
      <c r="N6071" t="s">
        <v>53</v>
      </c>
      <c r="O6071" t="s">
        <v>53</v>
      </c>
      <c r="P6071" t="s">
        <v>53</v>
      </c>
      <c r="Q6071" t="s">
        <v>53</v>
      </c>
    </row>
    <row r="6072" spans="1:17" x14ac:dyDescent="0.2">
      <c r="A6072" s="30" t="str">
        <f>IF(C6072&amp;G6072&amp;D6072&lt;&gt;'Funnel setup'!$K$3&amp;'Funnel setup'!$K$4&amp;'Funnel setup'!$K$5,".",IF(A6071=".",1,A6071+1))</f>
        <v>.</v>
      </c>
      <c r="B6072" s="431" t="str">
        <f t="shared" si="94"/>
        <v>Knee Replacement RevisionProviderUNIVERSITY HOSPITAL SOUTHAMPTON NHS FOUNDATION TRUST (RHM)EQ-5D Index</v>
      </c>
      <c r="C6072" t="s">
        <v>250</v>
      </c>
      <c r="D6072" t="s">
        <v>1</v>
      </c>
      <c r="E6072" t="s">
        <v>3772</v>
      </c>
      <c r="F6072" t="s">
        <v>3773</v>
      </c>
      <c r="G6072" t="s">
        <v>52</v>
      </c>
      <c r="H6072">
        <v>35</v>
      </c>
      <c r="I6072">
        <v>0.28799999999999998</v>
      </c>
      <c r="J6072">
        <v>0.52200000000000002</v>
      </c>
      <c r="K6072">
        <v>0.23400000000000001</v>
      </c>
      <c r="L6072">
        <v>27</v>
      </c>
      <c r="M6072">
        <v>3</v>
      </c>
      <c r="N6072">
        <v>5</v>
      </c>
      <c r="O6072">
        <v>0.55600000000000005</v>
      </c>
      <c r="P6072">
        <v>0.22396028700000001</v>
      </c>
      <c r="Q6072">
        <v>0.29399999999999998</v>
      </c>
    </row>
    <row r="6073" spans="1:17" x14ac:dyDescent="0.2">
      <c r="A6073" s="30" t="str">
        <f>IF(C6073&amp;G6073&amp;D6073&lt;&gt;'Funnel setup'!$K$3&amp;'Funnel setup'!$K$4&amp;'Funnel setup'!$K$5,".",IF(A6072=".",1,A6072+1))</f>
        <v>.</v>
      </c>
      <c r="B6073" s="431" t="str">
        <f t="shared" si="94"/>
        <v>Knee Replacement RevisionProviderUNIVERSITY HOSPITALS COVENTRY AND WARWICKSHIRE NHS TRUST (RKB)EQ-5D Index</v>
      </c>
      <c r="C6073" t="s">
        <v>250</v>
      </c>
      <c r="D6073" t="s">
        <v>1</v>
      </c>
      <c r="E6073" t="s">
        <v>3715</v>
      </c>
      <c r="F6073" t="s">
        <v>3716</v>
      </c>
      <c r="G6073" t="s">
        <v>52</v>
      </c>
      <c r="H6073">
        <v>17</v>
      </c>
      <c r="I6073">
        <v>0.32600000000000001</v>
      </c>
      <c r="J6073">
        <v>0.51</v>
      </c>
      <c r="K6073">
        <v>0.184</v>
      </c>
      <c r="L6073">
        <v>12</v>
      </c>
      <c r="M6073">
        <v>2</v>
      </c>
      <c r="N6073">
        <v>3</v>
      </c>
      <c r="O6073" t="s">
        <v>53</v>
      </c>
      <c r="P6073" t="s">
        <v>53</v>
      </c>
      <c r="Q6073" t="s">
        <v>53</v>
      </c>
    </row>
    <row r="6074" spans="1:17" x14ac:dyDescent="0.2">
      <c r="A6074" s="30" t="str">
        <f>IF(C6074&amp;G6074&amp;D6074&lt;&gt;'Funnel setup'!$K$3&amp;'Funnel setup'!$K$4&amp;'Funnel setup'!$K$5,".",IF(A6073=".",1,A6073+1))</f>
        <v>.</v>
      </c>
      <c r="B6074" s="431" t="str">
        <f t="shared" si="94"/>
        <v>Knee Replacement RevisionProviderUNIVERSITY HOSPITALS OF LEICESTER NHS TRUST (RWE)EQ-5D Index</v>
      </c>
      <c r="C6074" t="s">
        <v>250</v>
      </c>
      <c r="D6074" t="s">
        <v>1</v>
      </c>
      <c r="E6074" t="s">
        <v>3718</v>
      </c>
      <c r="F6074" t="s">
        <v>3719</v>
      </c>
      <c r="G6074" t="s">
        <v>52</v>
      </c>
      <c r="H6074">
        <v>34</v>
      </c>
      <c r="I6074">
        <v>0.19600000000000001</v>
      </c>
      <c r="J6074">
        <v>0.57699999999999996</v>
      </c>
      <c r="K6074">
        <v>0.38100000000000001</v>
      </c>
      <c r="L6074">
        <v>25</v>
      </c>
      <c r="M6074">
        <v>2</v>
      </c>
      <c r="N6074">
        <v>7</v>
      </c>
      <c r="O6074">
        <v>0.63500000000000001</v>
      </c>
      <c r="P6074">
        <v>0.30273498199999999</v>
      </c>
      <c r="Q6074">
        <v>0.32400000000000001</v>
      </c>
    </row>
    <row r="6075" spans="1:17" x14ac:dyDescent="0.2">
      <c r="A6075" s="30" t="str">
        <f>IF(C6075&amp;G6075&amp;D6075&lt;&gt;'Funnel setup'!$K$3&amp;'Funnel setup'!$K$4&amp;'Funnel setup'!$K$5,".",IF(A6074=".",1,A6074+1))</f>
        <v>.</v>
      </c>
      <c r="B6075" s="431" t="str">
        <f t="shared" si="94"/>
        <v>Knee Replacement RevisionProviderUNIVERSITY HOSPITALS OF MORECAMBE BAY NHS FOUNDATION TRUST (RTX)EQ-5D Index</v>
      </c>
      <c r="C6075" t="s">
        <v>250</v>
      </c>
      <c r="D6075" t="s">
        <v>1</v>
      </c>
      <c r="E6075" t="s">
        <v>3721</v>
      </c>
      <c r="F6075" t="s">
        <v>3722</v>
      </c>
      <c r="G6075" t="s">
        <v>52</v>
      </c>
      <c r="H6075" t="s">
        <v>53</v>
      </c>
      <c r="I6075" t="s">
        <v>53</v>
      </c>
      <c r="J6075" t="s">
        <v>53</v>
      </c>
      <c r="K6075" t="s">
        <v>53</v>
      </c>
      <c r="L6075" t="s">
        <v>53</v>
      </c>
      <c r="M6075" t="s">
        <v>53</v>
      </c>
      <c r="N6075" t="s">
        <v>53</v>
      </c>
      <c r="O6075" t="s">
        <v>53</v>
      </c>
      <c r="P6075" t="s">
        <v>53</v>
      </c>
      <c r="Q6075" t="s">
        <v>53</v>
      </c>
    </row>
    <row r="6076" spans="1:17" x14ac:dyDescent="0.2">
      <c r="A6076" s="30" t="str">
        <f>IF(C6076&amp;G6076&amp;D6076&lt;&gt;'Funnel setup'!$K$3&amp;'Funnel setup'!$K$4&amp;'Funnel setup'!$K$5,".",IF(A6075=".",1,A6075+1))</f>
        <v>.</v>
      </c>
      <c r="B6076" s="431" t="str">
        <f t="shared" si="94"/>
        <v>Knee Replacement RevisionProviderUNIVERSITY HOSPITALS OF NORTH MIDLANDS NHS TRUST (RJE)EQ-5D Index</v>
      </c>
      <c r="C6076" t="s">
        <v>250</v>
      </c>
      <c r="D6076" t="s">
        <v>1</v>
      </c>
      <c r="E6076" t="s">
        <v>3724</v>
      </c>
      <c r="F6076" t="s">
        <v>3725</v>
      </c>
      <c r="G6076" t="s">
        <v>52</v>
      </c>
      <c r="H6076">
        <v>7</v>
      </c>
      <c r="I6076">
        <v>9.5000000000000001E-2</v>
      </c>
      <c r="J6076">
        <v>0.39200000000000002</v>
      </c>
      <c r="K6076">
        <v>0.29699999999999999</v>
      </c>
      <c r="L6076">
        <v>5</v>
      </c>
      <c r="M6076">
        <v>0</v>
      </c>
      <c r="N6076">
        <v>2</v>
      </c>
      <c r="O6076" t="s">
        <v>53</v>
      </c>
      <c r="P6076" t="s">
        <v>53</v>
      </c>
      <c r="Q6076" t="s">
        <v>53</v>
      </c>
    </row>
    <row r="6077" spans="1:17" x14ac:dyDescent="0.2">
      <c r="A6077" s="30" t="str">
        <f>IF(C6077&amp;G6077&amp;D6077&lt;&gt;'Funnel setup'!$K$3&amp;'Funnel setup'!$K$4&amp;'Funnel setup'!$K$5,".",IF(A6076=".",1,A6076+1))</f>
        <v>.</v>
      </c>
      <c r="B6077" s="431" t="str">
        <f t="shared" si="94"/>
        <v>Knee Replacement RevisionProviderWALSALL HEALTHCARE NHS TRUST (RBK)EQ-5D Index</v>
      </c>
      <c r="C6077" t="s">
        <v>250</v>
      </c>
      <c r="D6077" t="s">
        <v>1</v>
      </c>
      <c r="E6077" t="s">
        <v>3727</v>
      </c>
      <c r="F6077" t="s">
        <v>3728</v>
      </c>
      <c r="G6077" t="s">
        <v>52</v>
      </c>
      <c r="H6077" t="s">
        <v>53</v>
      </c>
      <c r="I6077" t="s">
        <v>53</v>
      </c>
      <c r="J6077" t="s">
        <v>53</v>
      </c>
      <c r="K6077" t="s">
        <v>53</v>
      </c>
      <c r="L6077" t="s">
        <v>53</v>
      </c>
      <c r="M6077" t="s">
        <v>53</v>
      </c>
      <c r="N6077" t="s">
        <v>53</v>
      </c>
      <c r="O6077" t="s">
        <v>53</v>
      </c>
      <c r="P6077" t="s">
        <v>53</v>
      </c>
      <c r="Q6077" t="s">
        <v>53</v>
      </c>
    </row>
    <row r="6078" spans="1:17" x14ac:dyDescent="0.2">
      <c r="A6078" s="30" t="str">
        <f>IF(C6078&amp;G6078&amp;D6078&lt;&gt;'Funnel setup'!$K$3&amp;'Funnel setup'!$K$4&amp;'Funnel setup'!$K$5,".",IF(A6077=".",1,A6077+1))</f>
        <v>.</v>
      </c>
      <c r="B6078" s="431" t="str">
        <f t="shared" si="94"/>
        <v>Knee Replacement RevisionProviderWARRINGTON AND HALTON HOSPITALS NHS FOUNDATION TRUST (RWW)EQ-5D Index</v>
      </c>
      <c r="C6078" t="s">
        <v>250</v>
      </c>
      <c r="D6078" t="s">
        <v>1</v>
      </c>
      <c r="E6078" t="s">
        <v>3730</v>
      </c>
      <c r="F6078" t="s">
        <v>3731</v>
      </c>
      <c r="G6078" t="s">
        <v>52</v>
      </c>
      <c r="H6078">
        <v>14</v>
      </c>
      <c r="I6078">
        <v>0.49</v>
      </c>
      <c r="J6078">
        <v>0.72899999999999998</v>
      </c>
      <c r="K6078">
        <v>0.23899999999999999</v>
      </c>
      <c r="L6078">
        <v>9</v>
      </c>
      <c r="M6078">
        <v>4</v>
      </c>
      <c r="N6078">
        <v>1</v>
      </c>
      <c r="O6078" t="s">
        <v>53</v>
      </c>
      <c r="P6078" t="s">
        <v>53</v>
      </c>
      <c r="Q6078" t="s">
        <v>53</v>
      </c>
    </row>
    <row r="6079" spans="1:17" x14ac:dyDescent="0.2">
      <c r="A6079" s="30" t="str">
        <f>IF(C6079&amp;G6079&amp;D6079&lt;&gt;'Funnel setup'!$K$3&amp;'Funnel setup'!$K$4&amp;'Funnel setup'!$K$5,".",IF(A6078=".",1,A6078+1))</f>
        <v>.</v>
      </c>
      <c r="B6079" s="431" t="str">
        <f t="shared" si="94"/>
        <v>Knee Replacement RevisionProviderWEST HERTFORDSHIRE HOSPITALS NHS TRUST (RWG)EQ-5D Index</v>
      </c>
      <c r="C6079" t="s">
        <v>250</v>
      </c>
      <c r="D6079" t="s">
        <v>1</v>
      </c>
      <c r="E6079" t="s">
        <v>3733</v>
      </c>
      <c r="F6079" t="s">
        <v>3734</v>
      </c>
      <c r="G6079" t="s">
        <v>52</v>
      </c>
      <c r="H6079">
        <v>9</v>
      </c>
      <c r="I6079">
        <v>7.0000000000000001E-3</v>
      </c>
      <c r="J6079">
        <v>0.42</v>
      </c>
      <c r="K6079">
        <v>0.41299999999999998</v>
      </c>
      <c r="L6079">
        <v>8</v>
      </c>
      <c r="M6079">
        <v>1</v>
      </c>
      <c r="N6079">
        <v>0</v>
      </c>
      <c r="O6079" t="s">
        <v>53</v>
      </c>
      <c r="P6079" t="s">
        <v>53</v>
      </c>
      <c r="Q6079" t="s">
        <v>53</v>
      </c>
    </row>
    <row r="6080" spans="1:17" x14ac:dyDescent="0.2">
      <c r="A6080" s="30" t="str">
        <f>IF(C6080&amp;G6080&amp;D6080&lt;&gt;'Funnel setup'!$K$3&amp;'Funnel setup'!$K$4&amp;'Funnel setup'!$K$5,".",IF(A6079=".",1,A6079+1))</f>
        <v>.</v>
      </c>
      <c r="B6080" s="431" t="str">
        <f t="shared" si="94"/>
        <v>Knee Replacement RevisionProviderWEST MIDDLESEX UNIVERSITY HOSPITAL NHS TRUST (RFW)EQ-5D Index</v>
      </c>
      <c r="C6080" t="s">
        <v>250</v>
      </c>
      <c r="D6080" t="s">
        <v>1</v>
      </c>
      <c r="E6080" t="s">
        <v>3736</v>
      </c>
      <c r="F6080" t="s">
        <v>3737</v>
      </c>
      <c r="G6080" t="s">
        <v>52</v>
      </c>
      <c r="H6080" t="s">
        <v>53</v>
      </c>
      <c r="I6080" t="s">
        <v>53</v>
      </c>
      <c r="J6080" t="s">
        <v>53</v>
      </c>
      <c r="K6080" t="s">
        <v>53</v>
      </c>
      <c r="L6080" t="s">
        <v>53</v>
      </c>
      <c r="M6080" t="s">
        <v>53</v>
      </c>
      <c r="N6080" t="s">
        <v>53</v>
      </c>
      <c r="O6080" t="s">
        <v>53</v>
      </c>
      <c r="P6080" t="s">
        <v>53</v>
      </c>
      <c r="Q6080" t="s">
        <v>53</v>
      </c>
    </row>
    <row r="6081" spans="1:17" x14ac:dyDescent="0.2">
      <c r="A6081" s="30" t="str">
        <f>IF(C6081&amp;G6081&amp;D6081&lt;&gt;'Funnel setup'!$K$3&amp;'Funnel setup'!$K$4&amp;'Funnel setup'!$K$5,".",IF(A6080=".",1,A6080+1))</f>
        <v>.</v>
      </c>
      <c r="B6081" s="431" t="str">
        <f t="shared" si="94"/>
        <v>Knee Replacement RevisionProviderWEST MIDLANDS HOSPITAL (NVC21)EQ-5D Index</v>
      </c>
      <c r="C6081" t="s">
        <v>250</v>
      </c>
      <c r="D6081" t="s">
        <v>1</v>
      </c>
      <c r="E6081" t="s">
        <v>3709</v>
      </c>
      <c r="F6081" t="s">
        <v>3710</v>
      </c>
      <c r="G6081" t="s">
        <v>52</v>
      </c>
      <c r="H6081" t="s">
        <v>53</v>
      </c>
      <c r="I6081" t="s">
        <v>53</v>
      </c>
      <c r="J6081" t="s">
        <v>53</v>
      </c>
      <c r="K6081" t="s">
        <v>53</v>
      </c>
      <c r="L6081" t="s">
        <v>53</v>
      </c>
      <c r="M6081" t="s">
        <v>53</v>
      </c>
      <c r="N6081" t="s">
        <v>53</v>
      </c>
      <c r="O6081" t="s">
        <v>53</v>
      </c>
      <c r="P6081" t="s">
        <v>53</v>
      </c>
      <c r="Q6081" t="s">
        <v>53</v>
      </c>
    </row>
    <row r="6082" spans="1:17" x14ac:dyDescent="0.2">
      <c r="A6082" s="30" t="str">
        <f>IF(C6082&amp;G6082&amp;D6082&lt;&gt;'Funnel setup'!$K$3&amp;'Funnel setup'!$K$4&amp;'Funnel setup'!$K$5,".",IF(A6081=".",1,A6081+1))</f>
        <v>.</v>
      </c>
      <c r="B6082" s="431" t="str">
        <f t="shared" si="94"/>
        <v>Knee Replacement RevisionProviderWEST SUFFOLK NHS FOUNDATION TRUST (RGR)EQ-5D Index</v>
      </c>
      <c r="C6082" t="s">
        <v>250</v>
      </c>
      <c r="D6082" t="s">
        <v>1</v>
      </c>
      <c r="E6082" t="s">
        <v>3712</v>
      </c>
      <c r="F6082" t="s">
        <v>3713</v>
      </c>
      <c r="G6082" t="s">
        <v>52</v>
      </c>
      <c r="H6082" t="s">
        <v>53</v>
      </c>
      <c r="I6082" t="s">
        <v>53</v>
      </c>
      <c r="J6082" t="s">
        <v>53</v>
      </c>
      <c r="K6082" t="s">
        <v>53</v>
      </c>
      <c r="L6082" t="s">
        <v>53</v>
      </c>
      <c r="M6082" t="s">
        <v>53</v>
      </c>
      <c r="N6082" t="s">
        <v>53</v>
      </c>
      <c r="O6082" t="s">
        <v>53</v>
      </c>
      <c r="P6082" t="s">
        <v>53</v>
      </c>
      <c r="Q6082" t="s">
        <v>53</v>
      </c>
    </row>
    <row r="6083" spans="1:17" x14ac:dyDescent="0.2">
      <c r="A6083" s="30" t="str">
        <f>IF(C6083&amp;G6083&amp;D6083&lt;&gt;'Funnel setup'!$K$3&amp;'Funnel setup'!$K$4&amp;'Funnel setup'!$K$5,".",IF(A6082=".",1,A6082+1))</f>
        <v>.</v>
      </c>
      <c r="B6083" s="431" t="str">
        <f t="shared" ref="B6083:B6146" si="95">C6083&amp;D6083&amp;F6083&amp;G6083</f>
        <v>Knee Replacement RevisionProviderWESTERN SUSSEX HOSPITALS NHS FOUNDATION TRUST (RYR)EQ-5D Index</v>
      </c>
      <c r="C6083" t="s">
        <v>250</v>
      </c>
      <c r="D6083" t="s">
        <v>1</v>
      </c>
      <c r="E6083" t="s">
        <v>3706</v>
      </c>
      <c r="F6083" t="s">
        <v>3707</v>
      </c>
      <c r="G6083" t="s">
        <v>52</v>
      </c>
      <c r="H6083">
        <v>21</v>
      </c>
      <c r="I6083">
        <v>0.27100000000000002</v>
      </c>
      <c r="J6083">
        <v>0.58799999999999997</v>
      </c>
      <c r="K6083">
        <v>0.317</v>
      </c>
      <c r="L6083">
        <v>15</v>
      </c>
      <c r="M6083">
        <v>3</v>
      </c>
      <c r="N6083">
        <v>3</v>
      </c>
      <c r="O6083" t="s">
        <v>53</v>
      </c>
      <c r="P6083" t="s">
        <v>53</v>
      </c>
      <c r="Q6083" t="s">
        <v>53</v>
      </c>
    </row>
    <row r="6084" spans="1:17" x14ac:dyDescent="0.2">
      <c r="A6084" s="30" t="str">
        <f>IF(C6084&amp;G6084&amp;D6084&lt;&gt;'Funnel setup'!$K$3&amp;'Funnel setup'!$K$4&amp;'Funnel setup'!$K$5,".",IF(A6083=".",1,A6083+1))</f>
        <v>.</v>
      </c>
      <c r="B6084" s="431" t="str">
        <f t="shared" si="95"/>
        <v>Knee Replacement RevisionProviderWESTON AREA HEALTH NHS TRUST (RA3)EQ-5D Index</v>
      </c>
      <c r="C6084" t="s">
        <v>250</v>
      </c>
      <c r="D6084" t="s">
        <v>1</v>
      </c>
      <c r="E6084" t="s">
        <v>3525</v>
      </c>
      <c r="F6084" t="s">
        <v>3526</v>
      </c>
      <c r="G6084" t="s">
        <v>52</v>
      </c>
      <c r="H6084" t="s">
        <v>53</v>
      </c>
      <c r="I6084" t="s">
        <v>53</v>
      </c>
      <c r="J6084" t="s">
        <v>53</v>
      </c>
      <c r="K6084" t="s">
        <v>53</v>
      </c>
      <c r="L6084" t="s">
        <v>53</v>
      </c>
      <c r="M6084" t="s">
        <v>53</v>
      </c>
      <c r="N6084" t="s">
        <v>53</v>
      </c>
      <c r="O6084" t="s">
        <v>53</v>
      </c>
      <c r="P6084" t="s">
        <v>53</v>
      </c>
      <c r="Q6084" t="s">
        <v>53</v>
      </c>
    </row>
    <row r="6085" spans="1:17" x14ac:dyDescent="0.2">
      <c r="A6085" s="30" t="str">
        <f>IF(C6085&amp;G6085&amp;D6085&lt;&gt;'Funnel setup'!$K$3&amp;'Funnel setup'!$K$4&amp;'Funnel setup'!$K$5,".",IF(A6084=".",1,A6084+1))</f>
        <v>.</v>
      </c>
      <c r="B6085" s="431" t="str">
        <f t="shared" si="95"/>
        <v>Knee Replacement RevisionProviderWINFIELD HOSPITAL (NVC22)EQ-5D Index</v>
      </c>
      <c r="C6085" t="s">
        <v>250</v>
      </c>
      <c r="D6085" t="s">
        <v>1</v>
      </c>
      <c r="E6085" t="s">
        <v>3534</v>
      </c>
      <c r="F6085" t="s">
        <v>3535</v>
      </c>
      <c r="G6085" t="s">
        <v>52</v>
      </c>
      <c r="H6085" t="s">
        <v>53</v>
      </c>
      <c r="I6085" t="s">
        <v>53</v>
      </c>
      <c r="J6085" t="s">
        <v>53</v>
      </c>
      <c r="K6085" t="s">
        <v>53</v>
      </c>
      <c r="L6085" t="s">
        <v>53</v>
      </c>
      <c r="M6085" t="s">
        <v>53</v>
      </c>
      <c r="N6085" t="s">
        <v>53</v>
      </c>
      <c r="O6085" t="s">
        <v>53</v>
      </c>
      <c r="P6085" t="s">
        <v>53</v>
      </c>
      <c r="Q6085" t="s">
        <v>53</v>
      </c>
    </row>
    <row r="6086" spans="1:17" x14ac:dyDescent="0.2">
      <c r="A6086" s="30" t="str">
        <f>IF(C6086&amp;G6086&amp;D6086&lt;&gt;'Funnel setup'!$K$3&amp;'Funnel setup'!$K$4&amp;'Funnel setup'!$K$5,".",IF(A6085=".",1,A6085+1))</f>
        <v>.</v>
      </c>
      <c r="B6086" s="431" t="str">
        <f t="shared" si="95"/>
        <v>Knee Replacement RevisionProviderWIRRAL UNIVERSITY TEACHING HOSPITAL NHS FOUNDATION TRUST (RBL)EQ-5D Index</v>
      </c>
      <c r="C6086" t="s">
        <v>250</v>
      </c>
      <c r="D6086" t="s">
        <v>1</v>
      </c>
      <c r="E6086" t="s">
        <v>3537</v>
      </c>
      <c r="F6086" t="s">
        <v>3538</v>
      </c>
      <c r="G6086" t="s">
        <v>52</v>
      </c>
      <c r="H6086" t="s">
        <v>53</v>
      </c>
      <c r="I6086" t="s">
        <v>53</v>
      </c>
      <c r="J6086" t="s">
        <v>53</v>
      </c>
      <c r="K6086" t="s">
        <v>53</v>
      </c>
      <c r="L6086" t="s">
        <v>53</v>
      </c>
      <c r="M6086" t="s">
        <v>53</v>
      </c>
      <c r="N6086" t="s">
        <v>53</v>
      </c>
      <c r="O6086" t="s">
        <v>53</v>
      </c>
      <c r="P6086" t="s">
        <v>53</v>
      </c>
      <c r="Q6086" t="s">
        <v>53</v>
      </c>
    </row>
    <row r="6087" spans="1:17" x14ac:dyDescent="0.2">
      <c r="A6087" s="30" t="str">
        <f>IF(C6087&amp;G6087&amp;D6087&lt;&gt;'Funnel setup'!$K$3&amp;'Funnel setup'!$K$4&amp;'Funnel setup'!$K$5,".",IF(A6086=".",1,A6086+1))</f>
        <v>.</v>
      </c>
      <c r="B6087" s="431" t="str">
        <f t="shared" si="95"/>
        <v>Knee Replacement RevisionProviderWOODLAND HOSPITAL (NVC23)EQ-5D Index</v>
      </c>
      <c r="C6087" t="s">
        <v>250</v>
      </c>
      <c r="D6087" t="s">
        <v>1</v>
      </c>
      <c r="E6087" t="s">
        <v>3540</v>
      </c>
      <c r="F6087" t="s">
        <v>3541</v>
      </c>
      <c r="G6087" t="s">
        <v>52</v>
      </c>
      <c r="H6087" t="s">
        <v>53</v>
      </c>
      <c r="I6087" t="s">
        <v>53</v>
      </c>
      <c r="J6087" t="s">
        <v>53</v>
      </c>
      <c r="K6087" t="s">
        <v>53</v>
      </c>
      <c r="L6087" t="s">
        <v>53</v>
      </c>
      <c r="M6087" t="s">
        <v>53</v>
      </c>
      <c r="N6087" t="s">
        <v>53</v>
      </c>
      <c r="O6087" t="s">
        <v>53</v>
      </c>
      <c r="P6087" t="s">
        <v>53</v>
      </c>
      <c r="Q6087" t="s">
        <v>53</v>
      </c>
    </row>
    <row r="6088" spans="1:17" x14ac:dyDescent="0.2">
      <c r="A6088" s="30" t="str">
        <f>IF(C6088&amp;G6088&amp;D6088&lt;&gt;'Funnel setup'!$K$3&amp;'Funnel setup'!$K$4&amp;'Funnel setup'!$K$5,".",IF(A6087=".",1,A6087+1))</f>
        <v>.</v>
      </c>
      <c r="B6088" s="431" t="str">
        <f t="shared" si="95"/>
        <v>Knee Replacement RevisionProviderWOODTHORPE HOSPITAL (NVC40)EQ-5D Index</v>
      </c>
      <c r="C6088" t="s">
        <v>250</v>
      </c>
      <c r="D6088" t="s">
        <v>1</v>
      </c>
      <c r="E6088" t="s">
        <v>3689</v>
      </c>
      <c r="F6088" t="s">
        <v>6576</v>
      </c>
      <c r="G6088" t="s">
        <v>52</v>
      </c>
      <c r="H6088" t="s">
        <v>53</v>
      </c>
      <c r="I6088" t="s">
        <v>53</v>
      </c>
      <c r="J6088" t="s">
        <v>53</v>
      </c>
      <c r="K6088" t="s">
        <v>53</v>
      </c>
      <c r="L6088" t="s">
        <v>53</v>
      </c>
      <c r="M6088" t="s">
        <v>53</v>
      </c>
      <c r="N6088" t="s">
        <v>53</v>
      </c>
      <c r="O6088" t="s">
        <v>53</v>
      </c>
      <c r="P6088" t="s">
        <v>53</v>
      </c>
      <c r="Q6088" t="s">
        <v>53</v>
      </c>
    </row>
    <row r="6089" spans="1:17" x14ac:dyDescent="0.2">
      <c r="A6089" s="30" t="str">
        <f>IF(C6089&amp;G6089&amp;D6089&lt;&gt;'Funnel setup'!$K$3&amp;'Funnel setup'!$K$4&amp;'Funnel setup'!$K$5,".",IF(A6088=".",1,A6088+1))</f>
        <v>.</v>
      </c>
      <c r="B6089" s="431" t="str">
        <f t="shared" si="95"/>
        <v>Knee Replacement RevisionProviderWORCESTERSHIRE ACUTE HOSPITALS NHS TRUST (RWP)EQ-5D Index</v>
      </c>
      <c r="C6089" t="s">
        <v>250</v>
      </c>
      <c r="D6089" t="s">
        <v>1</v>
      </c>
      <c r="E6089" t="s">
        <v>3543</v>
      </c>
      <c r="F6089" t="s">
        <v>3544</v>
      </c>
      <c r="G6089" t="s">
        <v>52</v>
      </c>
      <c r="H6089">
        <v>8</v>
      </c>
      <c r="I6089">
        <v>0.218</v>
      </c>
      <c r="J6089">
        <v>0.70299999999999996</v>
      </c>
      <c r="K6089">
        <v>0.48599999999999999</v>
      </c>
      <c r="L6089">
        <v>8</v>
      </c>
      <c r="M6089">
        <v>0</v>
      </c>
      <c r="N6089">
        <v>0</v>
      </c>
      <c r="O6089" t="s">
        <v>53</v>
      </c>
      <c r="P6089" t="s">
        <v>53</v>
      </c>
      <c r="Q6089" t="s">
        <v>53</v>
      </c>
    </row>
    <row r="6090" spans="1:17" x14ac:dyDescent="0.2">
      <c r="A6090" s="30" t="str">
        <f>IF(C6090&amp;G6090&amp;D6090&lt;&gt;'Funnel setup'!$K$3&amp;'Funnel setup'!$K$4&amp;'Funnel setup'!$K$5,".",IF(A6089=".",1,A6089+1))</f>
        <v>.</v>
      </c>
      <c r="B6090" s="431" t="str">
        <f t="shared" si="95"/>
        <v>Knee Replacement RevisionProviderWRIGHTINGTON, WIGAN AND LEIGH NHS FOUNDATION TRUST (RRF)EQ-5D Index</v>
      </c>
      <c r="C6090" t="s">
        <v>250</v>
      </c>
      <c r="D6090" t="s">
        <v>1</v>
      </c>
      <c r="E6090" t="s">
        <v>3546</v>
      </c>
      <c r="F6090" t="s">
        <v>3547</v>
      </c>
      <c r="G6090" t="s">
        <v>52</v>
      </c>
      <c r="H6090">
        <v>9</v>
      </c>
      <c r="I6090">
        <v>0.33200000000000002</v>
      </c>
      <c r="J6090">
        <v>0.498</v>
      </c>
      <c r="K6090">
        <v>0.16600000000000001</v>
      </c>
      <c r="L6090">
        <v>5</v>
      </c>
      <c r="M6090">
        <v>2</v>
      </c>
      <c r="N6090">
        <v>2</v>
      </c>
      <c r="O6090" t="s">
        <v>53</v>
      </c>
      <c r="P6090" t="s">
        <v>53</v>
      </c>
      <c r="Q6090" t="s">
        <v>53</v>
      </c>
    </row>
    <row r="6091" spans="1:17" x14ac:dyDescent="0.2">
      <c r="A6091" s="30" t="str">
        <f>IF(C6091&amp;G6091&amp;D6091&lt;&gt;'Funnel setup'!$K$3&amp;'Funnel setup'!$K$4&amp;'Funnel setup'!$K$5,".",IF(A6090=".",1,A6090+1))</f>
        <v>.</v>
      </c>
      <c r="B6091" s="431" t="str">
        <f t="shared" si="95"/>
        <v>Knee Replacement RevisionProviderWYE VALLEY NHS TRUST (RLQ)EQ-5D Index</v>
      </c>
      <c r="C6091" t="s">
        <v>250</v>
      </c>
      <c r="D6091" t="s">
        <v>1</v>
      </c>
      <c r="E6091" t="s">
        <v>3517</v>
      </c>
      <c r="F6091" t="s">
        <v>3518</v>
      </c>
      <c r="G6091" t="s">
        <v>52</v>
      </c>
      <c r="H6091" t="s">
        <v>53</v>
      </c>
      <c r="I6091" t="s">
        <v>53</v>
      </c>
      <c r="J6091" t="s">
        <v>53</v>
      </c>
      <c r="K6091" t="s">
        <v>53</v>
      </c>
      <c r="L6091" t="s">
        <v>53</v>
      </c>
      <c r="M6091" t="s">
        <v>53</v>
      </c>
      <c r="N6091" t="s">
        <v>53</v>
      </c>
      <c r="O6091" t="s">
        <v>53</v>
      </c>
      <c r="P6091" t="s">
        <v>53</v>
      </c>
      <c r="Q6091" t="s">
        <v>53</v>
      </c>
    </row>
    <row r="6092" spans="1:17" x14ac:dyDescent="0.2">
      <c r="A6092" s="30" t="str">
        <f>IF(C6092&amp;G6092&amp;D6092&lt;&gt;'Funnel setup'!$K$3&amp;'Funnel setup'!$K$4&amp;'Funnel setup'!$K$5,".",IF(A6091=".",1,A6091+1))</f>
        <v>.</v>
      </c>
      <c r="B6092" s="431" t="str">
        <f t="shared" si="95"/>
        <v>Knee Replacement RevisionProviderYEOVIL DISTRICT HOSPITAL NHS FOUNDATION TRUST (RA4)EQ-5D Index</v>
      </c>
      <c r="C6092" t="s">
        <v>250</v>
      </c>
      <c r="D6092" t="s">
        <v>1</v>
      </c>
      <c r="E6092" t="s">
        <v>3520</v>
      </c>
      <c r="F6092" t="s">
        <v>341</v>
      </c>
      <c r="G6092" t="s">
        <v>52</v>
      </c>
      <c r="H6092" t="s">
        <v>53</v>
      </c>
      <c r="I6092" t="s">
        <v>53</v>
      </c>
      <c r="J6092" t="s">
        <v>53</v>
      </c>
      <c r="K6092" t="s">
        <v>53</v>
      </c>
      <c r="L6092" t="s">
        <v>53</v>
      </c>
      <c r="M6092" t="s">
        <v>53</v>
      </c>
      <c r="N6092" t="s">
        <v>53</v>
      </c>
      <c r="O6092" t="s">
        <v>53</v>
      </c>
      <c r="P6092" t="s">
        <v>53</v>
      </c>
      <c r="Q6092" t="s">
        <v>53</v>
      </c>
    </row>
    <row r="6093" spans="1:17" x14ac:dyDescent="0.2">
      <c r="A6093" s="30" t="str">
        <f>IF(C6093&amp;G6093&amp;D6093&lt;&gt;'Funnel setup'!$K$3&amp;'Funnel setup'!$K$4&amp;'Funnel setup'!$K$5,".",IF(A6092=".",1,A6092+1))</f>
        <v>.</v>
      </c>
      <c r="B6093" s="431" t="str">
        <f t="shared" si="95"/>
        <v>Knee Replacement RevisionProviderYORK TEACHING HOSPITAL NHS FOUNDATION TRUST (RCB)EQ-5D Index</v>
      </c>
      <c r="C6093" t="s">
        <v>250</v>
      </c>
      <c r="D6093" t="s">
        <v>1</v>
      </c>
      <c r="E6093" t="s">
        <v>3515</v>
      </c>
      <c r="F6093" t="s">
        <v>343</v>
      </c>
      <c r="G6093" t="s">
        <v>52</v>
      </c>
      <c r="H6093">
        <v>13</v>
      </c>
      <c r="I6093">
        <v>0.36599999999999999</v>
      </c>
      <c r="J6093">
        <v>0.60399999999999998</v>
      </c>
      <c r="K6093">
        <v>0.23699999999999999</v>
      </c>
      <c r="L6093">
        <v>7</v>
      </c>
      <c r="M6093">
        <v>4</v>
      </c>
      <c r="N6093">
        <v>2</v>
      </c>
      <c r="O6093" t="s">
        <v>53</v>
      </c>
      <c r="P6093" t="s">
        <v>53</v>
      </c>
      <c r="Q6093" t="s">
        <v>53</v>
      </c>
    </row>
    <row r="6094" spans="1:17" x14ac:dyDescent="0.2">
      <c r="A6094" s="30" t="str">
        <f>IF(C6094&amp;G6094&amp;D6094&lt;&gt;'Funnel setup'!$K$3&amp;'Funnel setup'!$K$4&amp;'Funnel setup'!$K$5,".",IF(A6093=".",1,A6093+1))</f>
        <v>.</v>
      </c>
      <c r="B6094" s="431" t="str">
        <f t="shared" si="95"/>
        <v>Knee Replacement RevisionProviderAINTREE UNIVERSITY HOSPITAL NHS FOUNDATION TRUST (REM)Oxford Knee Score</v>
      </c>
      <c r="C6094" t="s">
        <v>250</v>
      </c>
      <c r="D6094" t="s">
        <v>1</v>
      </c>
      <c r="E6094" t="s">
        <v>3838</v>
      </c>
      <c r="F6094" t="s">
        <v>3839</v>
      </c>
      <c r="G6094" t="s">
        <v>16</v>
      </c>
      <c r="H6094">
        <v>8</v>
      </c>
      <c r="I6094">
        <v>9.75</v>
      </c>
      <c r="J6094">
        <v>17</v>
      </c>
      <c r="K6094">
        <v>7.25</v>
      </c>
      <c r="L6094">
        <v>6</v>
      </c>
      <c r="M6094">
        <v>0</v>
      </c>
      <c r="N6094">
        <v>2</v>
      </c>
      <c r="O6094" t="s">
        <v>53</v>
      </c>
      <c r="P6094" t="s">
        <v>53</v>
      </c>
      <c r="Q6094" t="s">
        <v>53</v>
      </c>
    </row>
    <row r="6095" spans="1:17" x14ac:dyDescent="0.2">
      <c r="A6095" s="30" t="str">
        <f>IF(C6095&amp;G6095&amp;D6095&lt;&gt;'Funnel setup'!$K$3&amp;'Funnel setup'!$K$4&amp;'Funnel setup'!$K$5,".",IF(A6094=".",1,A6094+1))</f>
        <v>.</v>
      </c>
      <c r="B6095" s="431" t="str">
        <f t="shared" si="95"/>
        <v>Knee Replacement RevisionProviderAIREDALE NHS FOUNDATION TRUST (RCF)Oxford Knee Score</v>
      </c>
      <c r="C6095" t="s">
        <v>250</v>
      </c>
      <c r="D6095" t="s">
        <v>1</v>
      </c>
      <c r="E6095" t="s">
        <v>3841</v>
      </c>
      <c r="F6095" t="s">
        <v>3842</v>
      </c>
      <c r="G6095" t="s">
        <v>16</v>
      </c>
      <c r="H6095">
        <v>6</v>
      </c>
      <c r="I6095">
        <v>16.332999999999998</v>
      </c>
      <c r="J6095">
        <v>37.832999999999998</v>
      </c>
      <c r="K6095">
        <v>21.5</v>
      </c>
      <c r="L6095">
        <v>6</v>
      </c>
      <c r="M6095">
        <v>0</v>
      </c>
      <c r="N6095">
        <v>0</v>
      </c>
      <c r="O6095" t="s">
        <v>53</v>
      </c>
      <c r="P6095" t="s">
        <v>53</v>
      </c>
      <c r="Q6095" t="s">
        <v>53</v>
      </c>
    </row>
    <row r="6096" spans="1:17" x14ac:dyDescent="0.2">
      <c r="A6096" s="30" t="str">
        <f>IF(C6096&amp;G6096&amp;D6096&lt;&gt;'Funnel setup'!$K$3&amp;'Funnel setup'!$K$4&amp;'Funnel setup'!$K$5,".",IF(A6095=".",1,A6095+1))</f>
        <v>.</v>
      </c>
      <c r="B6096" s="431" t="str">
        <f t="shared" si="95"/>
        <v>Knee Replacement RevisionProviderASHFORD AND ST PETER'S HOSPITALS NHS FOUNDATION TRUST (RTK)Oxford Knee Score</v>
      </c>
      <c r="C6096" t="s">
        <v>250</v>
      </c>
      <c r="D6096" t="s">
        <v>1</v>
      </c>
      <c r="E6096" t="s">
        <v>3844</v>
      </c>
      <c r="F6096" t="s">
        <v>345</v>
      </c>
      <c r="G6096" t="s">
        <v>16</v>
      </c>
      <c r="H6096">
        <v>9</v>
      </c>
      <c r="I6096">
        <v>17.111000000000001</v>
      </c>
      <c r="J6096">
        <v>25.443999999999999</v>
      </c>
      <c r="K6096">
        <v>8.3330000000000002</v>
      </c>
      <c r="L6096">
        <v>7</v>
      </c>
      <c r="M6096">
        <v>0</v>
      </c>
      <c r="N6096">
        <v>2</v>
      </c>
      <c r="O6096" t="s">
        <v>53</v>
      </c>
      <c r="P6096" t="s">
        <v>53</v>
      </c>
      <c r="Q6096" t="s">
        <v>53</v>
      </c>
    </row>
    <row r="6097" spans="1:17" x14ac:dyDescent="0.2">
      <c r="A6097" s="30" t="str">
        <f>IF(C6097&amp;G6097&amp;D6097&lt;&gt;'Funnel setup'!$K$3&amp;'Funnel setup'!$K$4&amp;'Funnel setup'!$K$5,".",IF(A6096=".",1,A6096+1))</f>
        <v>.</v>
      </c>
      <c r="B6097" s="431" t="str">
        <f t="shared" si="95"/>
        <v>Knee Replacement RevisionProviderASHTEAD HOSPITAL (NVC01)Oxford Knee Score</v>
      </c>
      <c r="C6097" t="s">
        <v>250</v>
      </c>
      <c r="D6097" t="s">
        <v>1</v>
      </c>
      <c r="E6097" t="s">
        <v>3846</v>
      </c>
      <c r="F6097" t="s">
        <v>3847</v>
      </c>
      <c r="G6097" t="s">
        <v>16</v>
      </c>
      <c r="H6097" t="s">
        <v>53</v>
      </c>
      <c r="I6097" t="s">
        <v>53</v>
      </c>
      <c r="J6097" t="s">
        <v>53</v>
      </c>
      <c r="K6097" t="s">
        <v>53</v>
      </c>
      <c r="L6097" t="s">
        <v>53</v>
      </c>
      <c r="M6097" t="s">
        <v>53</v>
      </c>
      <c r="N6097" t="s">
        <v>53</v>
      </c>
      <c r="O6097" t="s">
        <v>53</v>
      </c>
      <c r="P6097" t="s">
        <v>53</v>
      </c>
      <c r="Q6097" t="s">
        <v>53</v>
      </c>
    </row>
    <row r="6098" spans="1:17" x14ac:dyDescent="0.2">
      <c r="A6098" s="30" t="str">
        <f>IF(C6098&amp;G6098&amp;D6098&lt;&gt;'Funnel setup'!$K$3&amp;'Funnel setup'!$K$4&amp;'Funnel setup'!$K$5,".",IF(A6097=".",1,A6097+1))</f>
        <v>.</v>
      </c>
      <c r="B6098" s="431" t="str">
        <f t="shared" si="95"/>
        <v>Knee Replacement RevisionProviderBARLBOROUGH NHS TREATMENT CENTRE (NTP13)Oxford Knee Score</v>
      </c>
      <c r="C6098" t="s">
        <v>250</v>
      </c>
      <c r="D6098" t="s">
        <v>1</v>
      </c>
      <c r="E6098" t="s">
        <v>4425</v>
      </c>
      <c r="F6098" t="s">
        <v>4426</v>
      </c>
      <c r="G6098" t="s">
        <v>16</v>
      </c>
      <c r="H6098">
        <v>8</v>
      </c>
      <c r="I6098">
        <v>17.75</v>
      </c>
      <c r="J6098">
        <v>25.625</v>
      </c>
      <c r="K6098">
        <v>7.875</v>
      </c>
      <c r="L6098">
        <v>7</v>
      </c>
      <c r="M6098">
        <v>0</v>
      </c>
      <c r="N6098">
        <v>1</v>
      </c>
      <c r="O6098" t="s">
        <v>53</v>
      </c>
      <c r="P6098" t="s">
        <v>53</v>
      </c>
      <c r="Q6098" t="s">
        <v>53</v>
      </c>
    </row>
    <row r="6099" spans="1:17" x14ac:dyDescent="0.2">
      <c r="A6099" s="30" t="str">
        <f>IF(C6099&amp;G6099&amp;D6099&lt;&gt;'Funnel setup'!$K$3&amp;'Funnel setup'!$K$4&amp;'Funnel setup'!$K$5,".",IF(A6098=".",1,A6098+1))</f>
        <v>.</v>
      </c>
      <c r="B6099" s="431" t="str">
        <f t="shared" si="95"/>
        <v>Knee Replacement RevisionProviderBARNSLEY HOSPITAL NHS FOUNDATION TRUST (RFF)Oxford Knee Score</v>
      </c>
      <c r="C6099" t="s">
        <v>250</v>
      </c>
      <c r="D6099" t="s">
        <v>1</v>
      </c>
      <c r="E6099" t="s">
        <v>3549</v>
      </c>
      <c r="F6099" t="s">
        <v>3550</v>
      </c>
      <c r="G6099" t="s">
        <v>16</v>
      </c>
      <c r="H6099">
        <v>7</v>
      </c>
      <c r="I6099">
        <v>17.856999999999999</v>
      </c>
      <c r="J6099">
        <v>34.286000000000001</v>
      </c>
      <c r="K6099">
        <v>16.428999999999998</v>
      </c>
      <c r="L6099">
        <v>6</v>
      </c>
      <c r="M6099">
        <v>0</v>
      </c>
      <c r="N6099">
        <v>1</v>
      </c>
      <c r="O6099" t="s">
        <v>53</v>
      </c>
      <c r="P6099" t="s">
        <v>53</v>
      </c>
      <c r="Q6099" t="s">
        <v>53</v>
      </c>
    </row>
    <row r="6100" spans="1:17" x14ac:dyDescent="0.2">
      <c r="A6100" s="30" t="str">
        <f>IF(C6100&amp;G6100&amp;D6100&lt;&gt;'Funnel setup'!$K$3&amp;'Funnel setup'!$K$4&amp;'Funnel setup'!$K$5,".",IF(A6099=".",1,A6099+1))</f>
        <v>.</v>
      </c>
      <c r="B6100" s="431" t="str">
        <f t="shared" si="95"/>
        <v>Knee Replacement RevisionProviderBARTS HEALTH NHS TRUST (R1H)Oxford Knee Score</v>
      </c>
      <c r="C6100" t="s">
        <v>250</v>
      </c>
      <c r="D6100" t="s">
        <v>1</v>
      </c>
      <c r="E6100" t="s">
        <v>3552</v>
      </c>
      <c r="F6100" t="s">
        <v>3553</v>
      </c>
      <c r="G6100" t="s">
        <v>16</v>
      </c>
      <c r="H6100" t="s">
        <v>53</v>
      </c>
      <c r="I6100" t="s">
        <v>53</v>
      </c>
      <c r="J6100" t="s">
        <v>53</v>
      </c>
      <c r="K6100" t="s">
        <v>53</v>
      </c>
      <c r="L6100" t="s">
        <v>53</v>
      </c>
      <c r="M6100" t="s">
        <v>53</v>
      </c>
      <c r="N6100" t="s">
        <v>53</v>
      </c>
      <c r="O6100" t="s">
        <v>53</v>
      </c>
      <c r="P6100" t="s">
        <v>53</v>
      </c>
      <c r="Q6100" t="s">
        <v>53</v>
      </c>
    </row>
    <row r="6101" spans="1:17" x14ac:dyDescent="0.2">
      <c r="A6101" s="30" t="str">
        <f>IF(C6101&amp;G6101&amp;D6101&lt;&gt;'Funnel setup'!$K$3&amp;'Funnel setup'!$K$4&amp;'Funnel setup'!$K$5,".",IF(A6100=".",1,A6100+1))</f>
        <v>.</v>
      </c>
      <c r="B6101" s="431" t="str">
        <f t="shared" si="95"/>
        <v>Knee Replacement RevisionProviderBASILDON AND THURROCK UNIVERSITY HOSPITALS NHS FOUNDATION TRUST (RDD)Oxford Knee Score</v>
      </c>
      <c r="C6101" t="s">
        <v>250</v>
      </c>
      <c r="D6101" t="s">
        <v>1</v>
      </c>
      <c r="E6101" t="s">
        <v>3555</v>
      </c>
      <c r="F6101" t="s">
        <v>3556</v>
      </c>
      <c r="G6101" t="s">
        <v>16</v>
      </c>
      <c r="H6101">
        <v>16</v>
      </c>
      <c r="I6101">
        <v>16.375</v>
      </c>
      <c r="J6101">
        <v>31</v>
      </c>
      <c r="K6101">
        <v>14.625</v>
      </c>
      <c r="L6101">
        <v>13</v>
      </c>
      <c r="M6101">
        <v>2</v>
      </c>
      <c r="N6101">
        <v>1</v>
      </c>
      <c r="O6101" t="s">
        <v>53</v>
      </c>
      <c r="P6101" t="s">
        <v>53</v>
      </c>
      <c r="Q6101" t="s">
        <v>53</v>
      </c>
    </row>
    <row r="6102" spans="1:17" x14ac:dyDescent="0.2">
      <c r="A6102" s="30" t="str">
        <f>IF(C6102&amp;G6102&amp;D6102&lt;&gt;'Funnel setup'!$K$3&amp;'Funnel setup'!$K$4&amp;'Funnel setup'!$K$5,".",IF(A6101=".",1,A6101+1))</f>
        <v>.</v>
      </c>
      <c r="B6102" s="431" t="str">
        <f t="shared" si="95"/>
        <v>Knee Replacement RevisionProviderBEDFORD HOSPITAL NHS TRUST (RC1)Oxford Knee Score</v>
      </c>
      <c r="C6102" t="s">
        <v>250</v>
      </c>
      <c r="D6102" t="s">
        <v>1</v>
      </c>
      <c r="E6102" t="s">
        <v>3558</v>
      </c>
      <c r="F6102" t="s">
        <v>3559</v>
      </c>
      <c r="G6102" t="s">
        <v>16</v>
      </c>
      <c r="H6102" t="s">
        <v>53</v>
      </c>
      <c r="I6102" t="s">
        <v>53</v>
      </c>
      <c r="J6102" t="s">
        <v>53</v>
      </c>
      <c r="K6102" t="s">
        <v>53</v>
      </c>
      <c r="L6102" t="s">
        <v>53</v>
      </c>
      <c r="M6102" t="s">
        <v>53</v>
      </c>
      <c r="N6102" t="s">
        <v>53</v>
      </c>
      <c r="O6102" t="s">
        <v>53</v>
      </c>
      <c r="P6102" t="s">
        <v>53</v>
      </c>
      <c r="Q6102" t="s">
        <v>53</v>
      </c>
    </row>
    <row r="6103" spans="1:17" x14ac:dyDescent="0.2">
      <c r="A6103" s="30" t="str">
        <f>IF(C6103&amp;G6103&amp;D6103&lt;&gt;'Funnel setup'!$K$3&amp;'Funnel setup'!$K$4&amp;'Funnel setup'!$K$5,".",IF(A6102=".",1,A6102+1))</f>
        <v>.</v>
      </c>
      <c r="B6103" s="431" t="str">
        <f t="shared" si="95"/>
        <v>Knee Replacement RevisionProviderBMI - BATH CLINIC (NT402)Oxford Knee Score</v>
      </c>
      <c r="C6103" t="s">
        <v>250</v>
      </c>
      <c r="D6103" t="s">
        <v>1</v>
      </c>
      <c r="E6103" t="s">
        <v>3488</v>
      </c>
      <c r="F6103" t="s">
        <v>3489</v>
      </c>
      <c r="G6103" t="s">
        <v>16</v>
      </c>
      <c r="H6103" t="s">
        <v>53</v>
      </c>
      <c r="I6103" t="s">
        <v>53</v>
      </c>
      <c r="J6103" t="s">
        <v>53</v>
      </c>
      <c r="K6103" t="s">
        <v>53</v>
      </c>
      <c r="L6103" t="s">
        <v>53</v>
      </c>
      <c r="M6103" t="s">
        <v>53</v>
      </c>
      <c r="N6103" t="s">
        <v>53</v>
      </c>
      <c r="O6103" t="s">
        <v>53</v>
      </c>
      <c r="P6103" t="s">
        <v>53</v>
      </c>
      <c r="Q6103" t="s">
        <v>53</v>
      </c>
    </row>
    <row r="6104" spans="1:17" x14ac:dyDescent="0.2">
      <c r="A6104" s="30" t="str">
        <f>IF(C6104&amp;G6104&amp;D6104&lt;&gt;'Funnel setup'!$K$3&amp;'Funnel setup'!$K$4&amp;'Funnel setup'!$K$5,".",IF(A6103=".",1,A6103+1))</f>
        <v>.</v>
      </c>
      <c r="B6104" s="431" t="str">
        <f t="shared" si="95"/>
        <v>Knee Replacement RevisionProviderBMI - BISHOPS WOOD (NT405)Oxford Knee Score</v>
      </c>
      <c r="C6104" t="s">
        <v>250</v>
      </c>
      <c r="D6104" t="s">
        <v>1</v>
      </c>
      <c r="E6104" t="s">
        <v>3491</v>
      </c>
      <c r="F6104" t="s">
        <v>3492</v>
      </c>
      <c r="G6104" t="s">
        <v>16</v>
      </c>
      <c r="H6104" t="s">
        <v>53</v>
      </c>
      <c r="I6104" t="s">
        <v>53</v>
      </c>
      <c r="J6104" t="s">
        <v>53</v>
      </c>
      <c r="K6104" t="s">
        <v>53</v>
      </c>
      <c r="L6104" t="s">
        <v>53</v>
      </c>
      <c r="M6104" t="s">
        <v>53</v>
      </c>
      <c r="N6104" t="s">
        <v>53</v>
      </c>
      <c r="O6104" t="s">
        <v>53</v>
      </c>
      <c r="P6104" t="s">
        <v>53</v>
      </c>
      <c r="Q6104" t="s">
        <v>53</v>
      </c>
    </row>
    <row r="6105" spans="1:17" x14ac:dyDescent="0.2">
      <c r="A6105" s="30" t="str">
        <f>IF(C6105&amp;G6105&amp;D6105&lt;&gt;'Funnel setup'!$K$3&amp;'Funnel setup'!$K$4&amp;'Funnel setup'!$K$5,".",IF(A6104=".",1,A6104+1))</f>
        <v>.</v>
      </c>
      <c r="B6105" s="431" t="str">
        <f t="shared" si="95"/>
        <v>Knee Replacement RevisionProviderBMI - GORING HALL HOSPITAL (NT417)Oxford Knee Score</v>
      </c>
      <c r="C6105" t="s">
        <v>250</v>
      </c>
      <c r="D6105" t="s">
        <v>1</v>
      </c>
      <c r="E6105" t="s">
        <v>3403</v>
      </c>
      <c r="F6105" t="s">
        <v>3404</v>
      </c>
      <c r="G6105" t="s">
        <v>16</v>
      </c>
      <c r="H6105">
        <v>7</v>
      </c>
      <c r="I6105">
        <v>17.571000000000002</v>
      </c>
      <c r="J6105">
        <v>25.143000000000001</v>
      </c>
      <c r="K6105">
        <v>7.5709999999999997</v>
      </c>
      <c r="L6105">
        <v>4</v>
      </c>
      <c r="M6105">
        <v>0</v>
      </c>
      <c r="N6105">
        <v>3</v>
      </c>
      <c r="O6105" t="s">
        <v>53</v>
      </c>
      <c r="P6105" t="s">
        <v>53</v>
      </c>
      <c r="Q6105" t="s">
        <v>53</v>
      </c>
    </row>
    <row r="6106" spans="1:17" x14ac:dyDescent="0.2">
      <c r="A6106" s="30" t="str">
        <f>IF(C6106&amp;G6106&amp;D6106&lt;&gt;'Funnel setup'!$K$3&amp;'Funnel setup'!$K$4&amp;'Funnel setup'!$K$5,".",IF(A6105=".",1,A6105+1))</f>
        <v>.</v>
      </c>
      <c r="B6106" s="431" t="str">
        <f t="shared" si="95"/>
        <v>Knee Replacement RevisionProviderBMI - THE CHILTERN HOSPITAL (NT410)Oxford Knee Score</v>
      </c>
      <c r="C6106" t="s">
        <v>250</v>
      </c>
      <c r="D6106" t="s">
        <v>1</v>
      </c>
      <c r="E6106" t="s">
        <v>3594</v>
      </c>
      <c r="F6106" t="s">
        <v>3595</v>
      </c>
      <c r="G6106" t="s">
        <v>16</v>
      </c>
      <c r="H6106" t="s">
        <v>53</v>
      </c>
      <c r="I6106" t="s">
        <v>53</v>
      </c>
      <c r="J6106" t="s">
        <v>53</v>
      </c>
      <c r="K6106" t="s">
        <v>53</v>
      </c>
      <c r="L6106" t="s">
        <v>53</v>
      </c>
      <c r="M6106" t="s">
        <v>53</v>
      </c>
      <c r="N6106" t="s">
        <v>53</v>
      </c>
      <c r="O6106" t="s">
        <v>53</v>
      </c>
      <c r="P6106" t="s">
        <v>53</v>
      </c>
      <c r="Q6106" t="s">
        <v>53</v>
      </c>
    </row>
    <row r="6107" spans="1:17" x14ac:dyDescent="0.2">
      <c r="A6107" s="30" t="str">
        <f>IF(C6107&amp;G6107&amp;D6107&lt;&gt;'Funnel setup'!$K$3&amp;'Funnel setup'!$K$4&amp;'Funnel setup'!$K$5,".",IF(A6106=".",1,A6106+1))</f>
        <v>.</v>
      </c>
      <c r="B6107" s="431" t="str">
        <f t="shared" si="95"/>
        <v>Knee Replacement RevisionProviderBMI - THE DROITWICH SPA HOSPITAL (NT412)Oxford Knee Score</v>
      </c>
      <c r="C6107" t="s">
        <v>250</v>
      </c>
      <c r="D6107" t="s">
        <v>1</v>
      </c>
      <c r="E6107" t="s">
        <v>3600</v>
      </c>
      <c r="F6107" t="s">
        <v>3601</v>
      </c>
      <c r="G6107" t="s">
        <v>16</v>
      </c>
      <c r="H6107" t="s">
        <v>53</v>
      </c>
      <c r="I6107" t="s">
        <v>53</v>
      </c>
      <c r="J6107" t="s">
        <v>53</v>
      </c>
      <c r="K6107" t="s">
        <v>53</v>
      </c>
      <c r="L6107" t="s">
        <v>53</v>
      </c>
      <c r="M6107" t="s">
        <v>53</v>
      </c>
      <c r="N6107" t="s">
        <v>53</v>
      </c>
      <c r="O6107" t="s">
        <v>53</v>
      </c>
      <c r="P6107" t="s">
        <v>53</v>
      </c>
      <c r="Q6107" t="s">
        <v>53</v>
      </c>
    </row>
    <row r="6108" spans="1:17" x14ac:dyDescent="0.2">
      <c r="A6108" s="30" t="str">
        <f>IF(C6108&amp;G6108&amp;D6108&lt;&gt;'Funnel setup'!$K$3&amp;'Funnel setup'!$K$4&amp;'Funnel setup'!$K$5,".",IF(A6107=".",1,A6107+1))</f>
        <v>.</v>
      </c>
      <c r="B6108" s="431" t="str">
        <f t="shared" si="95"/>
        <v>Knee Replacement RevisionProviderBMI - THE KINGS OAK HOSPITAL (NT421)Oxford Knee Score</v>
      </c>
      <c r="C6108" t="s">
        <v>250</v>
      </c>
      <c r="D6108" t="s">
        <v>1</v>
      </c>
      <c r="E6108" t="s">
        <v>3618</v>
      </c>
      <c r="F6108" t="s">
        <v>3619</v>
      </c>
      <c r="G6108" t="s">
        <v>16</v>
      </c>
      <c r="H6108" t="s">
        <v>53</v>
      </c>
      <c r="I6108" t="s">
        <v>53</v>
      </c>
      <c r="J6108" t="s">
        <v>53</v>
      </c>
      <c r="K6108" t="s">
        <v>53</v>
      </c>
      <c r="L6108" t="s">
        <v>53</v>
      </c>
      <c r="M6108" t="s">
        <v>53</v>
      </c>
      <c r="N6108" t="s">
        <v>53</v>
      </c>
      <c r="O6108" t="s">
        <v>53</v>
      </c>
      <c r="P6108" t="s">
        <v>53</v>
      </c>
      <c r="Q6108" t="s">
        <v>53</v>
      </c>
    </row>
    <row r="6109" spans="1:17" x14ac:dyDescent="0.2">
      <c r="A6109" s="30" t="str">
        <f>IF(C6109&amp;G6109&amp;D6109&lt;&gt;'Funnel setup'!$K$3&amp;'Funnel setup'!$K$4&amp;'Funnel setup'!$K$5,".",IF(A6108=".",1,A6108+1))</f>
        <v>.</v>
      </c>
      <c r="B6109" s="431" t="str">
        <f t="shared" si="95"/>
        <v>Knee Replacement RevisionProviderBMI - THE MERIDEN HOSPITAL (NT424)Oxford Knee Score</v>
      </c>
      <c r="C6109" t="s">
        <v>250</v>
      </c>
      <c r="D6109" t="s">
        <v>1</v>
      </c>
      <c r="E6109" t="s">
        <v>3283</v>
      </c>
      <c r="F6109" t="s">
        <v>3284</v>
      </c>
      <c r="G6109" t="s">
        <v>16</v>
      </c>
      <c r="H6109" t="s">
        <v>53</v>
      </c>
      <c r="I6109" t="s">
        <v>53</v>
      </c>
      <c r="J6109" t="s">
        <v>53</v>
      </c>
      <c r="K6109" t="s">
        <v>53</v>
      </c>
      <c r="L6109" t="s">
        <v>53</v>
      </c>
      <c r="M6109" t="s">
        <v>53</v>
      </c>
      <c r="N6109" t="s">
        <v>53</v>
      </c>
      <c r="O6109" t="s">
        <v>53</v>
      </c>
      <c r="P6109" t="s">
        <v>53</v>
      </c>
      <c r="Q6109" t="s">
        <v>53</v>
      </c>
    </row>
    <row r="6110" spans="1:17" x14ac:dyDescent="0.2">
      <c r="A6110" s="30" t="str">
        <f>IF(C6110&amp;G6110&amp;D6110&lt;&gt;'Funnel setup'!$K$3&amp;'Funnel setup'!$K$4&amp;'Funnel setup'!$K$5,".",IF(A6109=".",1,A6109+1))</f>
        <v>.</v>
      </c>
      <c r="B6110" s="431" t="str">
        <f t="shared" si="95"/>
        <v>Knee Replacement RevisionProviderBMI - THE RIDGEWAY HOSPITAL (NT430)Oxford Knee Score</v>
      </c>
      <c r="C6110" t="s">
        <v>250</v>
      </c>
      <c r="D6110" t="s">
        <v>1</v>
      </c>
      <c r="E6110" t="s">
        <v>3292</v>
      </c>
      <c r="F6110" t="s">
        <v>3293</v>
      </c>
      <c r="G6110" t="s">
        <v>16</v>
      </c>
      <c r="H6110" t="s">
        <v>53</v>
      </c>
      <c r="I6110" t="s">
        <v>53</v>
      </c>
      <c r="J6110" t="s">
        <v>53</v>
      </c>
      <c r="K6110" t="s">
        <v>53</v>
      </c>
      <c r="L6110" t="s">
        <v>53</v>
      </c>
      <c r="M6110" t="s">
        <v>53</v>
      </c>
      <c r="N6110" t="s">
        <v>53</v>
      </c>
      <c r="O6110" t="s">
        <v>53</v>
      </c>
      <c r="P6110" t="s">
        <v>53</v>
      </c>
      <c r="Q6110" t="s">
        <v>53</v>
      </c>
    </row>
    <row r="6111" spans="1:17" x14ac:dyDescent="0.2">
      <c r="A6111" s="30" t="str">
        <f>IF(C6111&amp;G6111&amp;D6111&lt;&gt;'Funnel setup'!$K$3&amp;'Funnel setup'!$K$4&amp;'Funnel setup'!$K$5,".",IF(A6110=".",1,A6110+1))</f>
        <v>.</v>
      </c>
      <c r="B6111" s="431" t="str">
        <f t="shared" si="95"/>
        <v>Knee Replacement RevisionProviderBMI - THE RUNNYMEDE HOSPITAL (NT431)Oxford Knee Score</v>
      </c>
      <c r="C6111" t="s">
        <v>250</v>
      </c>
      <c r="D6111" t="s">
        <v>1</v>
      </c>
      <c r="E6111" t="s">
        <v>3295</v>
      </c>
      <c r="F6111" t="s">
        <v>3296</v>
      </c>
      <c r="G6111" t="s">
        <v>16</v>
      </c>
      <c r="H6111" t="s">
        <v>53</v>
      </c>
      <c r="I6111" t="s">
        <v>53</v>
      </c>
      <c r="J6111" t="s">
        <v>53</v>
      </c>
      <c r="K6111" t="s">
        <v>53</v>
      </c>
      <c r="L6111" t="s">
        <v>53</v>
      </c>
      <c r="M6111" t="s">
        <v>53</v>
      </c>
      <c r="N6111" t="s">
        <v>53</v>
      </c>
      <c r="O6111" t="s">
        <v>53</v>
      </c>
      <c r="P6111" t="s">
        <v>53</v>
      </c>
      <c r="Q6111" t="s">
        <v>53</v>
      </c>
    </row>
    <row r="6112" spans="1:17" x14ac:dyDescent="0.2">
      <c r="A6112" s="30" t="str">
        <f>IF(C6112&amp;G6112&amp;D6112&lt;&gt;'Funnel setup'!$K$3&amp;'Funnel setup'!$K$4&amp;'Funnel setup'!$K$5,".",IF(A6111=".",1,A6111+1))</f>
        <v>.</v>
      </c>
      <c r="B6112" s="431" t="str">
        <f t="shared" si="95"/>
        <v>Knee Replacement RevisionProviderBMI - THE SOMERFIELD HOSPITAL (NT438)Oxford Knee Score</v>
      </c>
      <c r="C6112" t="s">
        <v>250</v>
      </c>
      <c r="D6112" t="s">
        <v>1</v>
      </c>
      <c r="E6112" t="s">
        <v>3304</v>
      </c>
      <c r="F6112" t="s">
        <v>3305</v>
      </c>
      <c r="G6112" t="s">
        <v>16</v>
      </c>
      <c r="H6112" t="s">
        <v>53</v>
      </c>
      <c r="I6112" t="s">
        <v>53</v>
      </c>
      <c r="J6112" t="s">
        <v>53</v>
      </c>
      <c r="K6112" t="s">
        <v>53</v>
      </c>
      <c r="L6112" t="s">
        <v>53</v>
      </c>
      <c r="M6112" t="s">
        <v>53</v>
      </c>
      <c r="N6112" t="s">
        <v>53</v>
      </c>
      <c r="O6112" t="s">
        <v>53</v>
      </c>
      <c r="P6112" t="s">
        <v>53</v>
      </c>
      <c r="Q6112" t="s">
        <v>53</v>
      </c>
    </row>
    <row r="6113" spans="1:17" x14ac:dyDescent="0.2">
      <c r="A6113" s="30" t="str">
        <f>IF(C6113&amp;G6113&amp;D6113&lt;&gt;'Funnel setup'!$K$3&amp;'Funnel setup'!$K$4&amp;'Funnel setup'!$K$5,".",IF(A6112=".",1,A6112+1))</f>
        <v>.</v>
      </c>
      <c r="B6113" s="431" t="str">
        <f t="shared" si="95"/>
        <v>Knee Replacement RevisionProviderBMI - THREE SHIRES HOSPITAL (NT441)Oxford Knee Score</v>
      </c>
      <c r="C6113" t="s">
        <v>250</v>
      </c>
      <c r="D6113" t="s">
        <v>1</v>
      </c>
      <c r="E6113" t="s">
        <v>3316</v>
      </c>
      <c r="F6113" t="s">
        <v>3317</v>
      </c>
      <c r="G6113" t="s">
        <v>16</v>
      </c>
      <c r="H6113" t="s">
        <v>53</v>
      </c>
      <c r="I6113" t="s">
        <v>53</v>
      </c>
      <c r="J6113" t="s">
        <v>53</v>
      </c>
      <c r="K6113" t="s">
        <v>53</v>
      </c>
      <c r="L6113" t="s">
        <v>53</v>
      </c>
      <c r="M6113" t="s">
        <v>53</v>
      </c>
      <c r="N6113" t="s">
        <v>53</v>
      </c>
      <c r="O6113" t="s">
        <v>53</v>
      </c>
      <c r="P6113" t="s">
        <v>53</v>
      </c>
      <c r="Q6113" t="s">
        <v>53</v>
      </c>
    </row>
    <row r="6114" spans="1:17" x14ac:dyDescent="0.2">
      <c r="A6114" s="30" t="str">
        <f>IF(C6114&amp;G6114&amp;D6114&lt;&gt;'Funnel setup'!$K$3&amp;'Funnel setup'!$K$4&amp;'Funnel setup'!$K$5,".",IF(A6113=".",1,A6113+1))</f>
        <v>.</v>
      </c>
      <c r="B6114" s="431" t="str">
        <f t="shared" si="95"/>
        <v>Knee Replacement RevisionProviderBMI GISBURNE PARK HOSPITAL (NT497)Oxford Knee Score</v>
      </c>
      <c r="C6114" t="s">
        <v>250</v>
      </c>
      <c r="D6114" t="s">
        <v>1</v>
      </c>
      <c r="E6114" t="s">
        <v>3319</v>
      </c>
      <c r="F6114" t="s">
        <v>3320</v>
      </c>
      <c r="G6114" t="s">
        <v>16</v>
      </c>
      <c r="H6114" t="s">
        <v>53</v>
      </c>
      <c r="I6114" t="s">
        <v>53</v>
      </c>
      <c r="J6114" t="s">
        <v>53</v>
      </c>
      <c r="K6114" t="s">
        <v>53</v>
      </c>
      <c r="L6114" t="s">
        <v>53</v>
      </c>
      <c r="M6114" t="s">
        <v>53</v>
      </c>
      <c r="N6114" t="s">
        <v>53</v>
      </c>
      <c r="O6114" t="s">
        <v>53</v>
      </c>
      <c r="P6114" t="s">
        <v>53</v>
      </c>
      <c r="Q6114" t="s">
        <v>53</v>
      </c>
    </row>
    <row r="6115" spans="1:17" x14ac:dyDescent="0.2">
      <c r="A6115" s="30" t="str">
        <f>IF(C6115&amp;G6115&amp;D6115&lt;&gt;'Funnel setup'!$K$3&amp;'Funnel setup'!$K$4&amp;'Funnel setup'!$K$5,".",IF(A6114=".",1,A6114+1))</f>
        <v>.</v>
      </c>
      <c r="B6115" s="431" t="str">
        <f t="shared" si="95"/>
        <v>Knee Replacement RevisionProviderBMI THE EDGBASTON HOSPITAL (NT445)Oxford Knee Score</v>
      </c>
      <c r="C6115" t="s">
        <v>250</v>
      </c>
      <c r="D6115" t="s">
        <v>1</v>
      </c>
      <c r="E6115" t="s">
        <v>3337</v>
      </c>
      <c r="F6115" t="s">
        <v>3338</v>
      </c>
      <c r="G6115" t="s">
        <v>16</v>
      </c>
      <c r="H6115" t="s">
        <v>53</v>
      </c>
      <c r="I6115" t="s">
        <v>53</v>
      </c>
      <c r="J6115" t="s">
        <v>53</v>
      </c>
      <c r="K6115" t="s">
        <v>53</v>
      </c>
      <c r="L6115" t="s">
        <v>53</v>
      </c>
      <c r="M6115" t="s">
        <v>53</v>
      </c>
      <c r="N6115" t="s">
        <v>53</v>
      </c>
      <c r="O6115" t="s">
        <v>53</v>
      </c>
      <c r="P6115" t="s">
        <v>53</v>
      </c>
      <c r="Q6115" t="s">
        <v>53</v>
      </c>
    </row>
    <row r="6116" spans="1:17" x14ac:dyDescent="0.2">
      <c r="A6116" s="30" t="str">
        <f>IF(C6116&amp;G6116&amp;D6116&lt;&gt;'Funnel setup'!$K$3&amp;'Funnel setup'!$K$4&amp;'Funnel setup'!$K$5,".",IF(A6115=".",1,A6115+1))</f>
        <v>.</v>
      </c>
      <c r="B6116" s="431" t="str">
        <f t="shared" si="95"/>
        <v>Knee Replacement RevisionProviderBMI THE LINCOLN HOSPITAL (NT450)Oxford Knee Score</v>
      </c>
      <c r="C6116" t="s">
        <v>250</v>
      </c>
      <c r="D6116" t="s">
        <v>1</v>
      </c>
      <c r="E6116" t="s">
        <v>3352</v>
      </c>
      <c r="F6116" t="s">
        <v>3353</v>
      </c>
      <c r="G6116" t="s">
        <v>16</v>
      </c>
      <c r="H6116" t="s">
        <v>53</v>
      </c>
      <c r="I6116" t="s">
        <v>53</v>
      </c>
      <c r="J6116" t="s">
        <v>53</v>
      </c>
      <c r="K6116" t="s">
        <v>53</v>
      </c>
      <c r="L6116" t="s">
        <v>53</v>
      </c>
      <c r="M6116" t="s">
        <v>53</v>
      </c>
      <c r="N6116" t="s">
        <v>53</v>
      </c>
      <c r="O6116" t="s">
        <v>53</v>
      </c>
      <c r="P6116" t="s">
        <v>53</v>
      </c>
      <c r="Q6116" t="s">
        <v>53</v>
      </c>
    </row>
    <row r="6117" spans="1:17" x14ac:dyDescent="0.2">
      <c r="A6117" s="30" t="str">
        <f>IF(C6117&amp;G6117&amp;D6117&lt;&gt;'Funnel setup'!$K$3&amp;'Funnel setup'!$K$4&amp;'Funnel setup'!$K$5,".",IF(A6116=".",1,A6116+1))</f>
        <v>.</v>
      </c>
      <c r="B6117" s="431" t="str">
        <f t="shared" si="95"/>
        <v>Knee Replacement RevisionProviderBMI WOODLANDS HOSPITAL (NT457)Oxford Knee Score</v>
      </c>
      <c r="C6117" t="s">
        <v>250</v>
      </c>
      <c r="D6117" t="s">
        <v>1</v>
      </c>
      <c r="E6117" t="s">
        <v>3355</v>
      </c>
      <c r="F6117" t="s">
        <v>3356</v>
      </c>
      <c r="G6117" t="s">
        <v>16</v>
      </c>
      <c r="H6117" t="s">
        <v>53</v>
      </c>
      <c r="I6117" t="s">
        <v>53</v>
      </c>
      <c r="J6117" t="s">
        <v>53</v>
      </c>
      <c r="K6117" t="s">
        <v>53</v>
      </c>
      <c r="L6117" t="s">
        <v>53</v>
      </c>
      <c r="M6117" t="s">
        <v>53</v>
      </c>
      <c r="N6117" t="s">
        <v>53</v>
      </c>
      <c r="O6117" t="s">
        <v>53</v>
      </c>
      <c r="P6117" t="s">
        <v>53</v>
      </c>
      <c r="Q6117" t="s">
        <v>53</v>
      </c>
    </row>
    <row r="6118" spans="1:17" x14ac:dyDescent="0.2">
      <c r="A6118" s="30" t="str">
        <f>IF(C6118&amp;G6118&amp;D6118&lt;&gt;'Funnel setup'!$K$3&amp;'Funnel setup'!$K$4&amp;'Funnel setup'!$K$5,".",IF(A6117=".",1,A6117+1))</f>
        <v>.</v>
      </c>
      <c r="B6118" s="431" t="str">
        <f t="shared" si="95"/>
        <v>Knee Replacement RevisionProviderBOLTON NHS FOUNDATION TRUST (RMC)Oxford Knee Score</v>
      </c>
      <c r="C6118" t="s">
        <v>250</v>
      </c>
      <c r="D6118" t="s">
        <v>1</v>
      </c>
      <c r="E6118" t="s">
        <v>3358</v>
      </c>
      <c r="F6118" t="s">
        <v>3359</v>
      </c>
      <c r="G6118" t="s">
        <v>16</v>
      </c>
      <c r="H6118">
        <v>9</v>
      </c>
      <c r="I6118">
        <v>12.333</v>
      </c>
      <c r="J6118">
        <v>24.222000000000001</v>
      </c>
      <c r="K6118">
        <v>11.888999999999999</v>
      </c>
      <c r="L6118">
        <v>6</v>
      </c>
      <c r="M6118">
        <v>2</v>
      </c>
      <c r="N6118">
        <v>1</v>
      </c>
      <c r="O6118" t="s">
        <v>53</v>
      </c>
      <c r="P6118" t="s">
        <v>53</v>
      </c>
      <c r="Q6118" t="s">
        <v>53</v>
      </c>
    </row>
    <row r="6119" spans="1:17" x14ac:dyDescent="0.2">
      <c r="A6119" s="30" t="str">
        <f>IF(C6119&amp;G6119&amp;D6119&lt;&gt;'Funnel setup'!$K$3&amp;'Funnel setup'!$K$4&amp;'Funnel setup'!$K$5,".",IF(A6118=".",1,A6118+1))</f>
        <v>.</v>
      </c>
      <c r="B6119" s="431" t="str">
        <f t="shared" si="95"/>
        <v>Knee Replacement RevisionProviderBRADFORD TEACHING HOSPITALS NHS FOUNDATION TRUST (RAE)Oxford Knee Score</v>
      </c>
      <c r="C6119" t="s">
        <v>250</v>
      </c>
      <c r="D6119" t="s">
        <v>1</v>
      </c>
      <c r="E6119" t="s">
        <v>3361</v>
      </c>
      <c r="F6119" t="s">
        <v>3362</v>
      </c>
      <c r="G6119" t="s">
        <v>16</v>
      </c>
      <c r="H6119">
        <v>12</v>
      </c>
      <c r="I6119">
        <v>13.417</v>
      </c>
      <c r="J6119">
        <v>22.25</v>
      </c>
      <c r="K6119">
        <v>8.8330000000000002</v>
      </c>
      <c r="L6119">
        <v>9</v>
      </c>
      <c r="M6119">
        <v>0</v>
      </c>
      <c r="N6119">
        <v>3</v>
      </c>
      <c r="O6119" t="s">
        <v>53</v>
      </c>
      <c r="P6119" t="s">
        <v>53</v>
      </c>
      <c r="Q6119" t="s">
        <v>53</v>
      </c>
    </row>
    <row r="6120" spans="1:17" x14ac:dyDescent="0.2">
      <c r="A6120" s="30" t="str">
        <f>IF(C6120&amp;G6120&amp;D6120&lt;&gt;'Funnel setup'!$K$3&amp;'Funnel setup'!$K$4&amp;'Funnel setup'!$K$5,".",IF(A6119=".",1,A6119+1))</f>
        <v>.</v>
      </c>
      <c r="B6120" s="431" t="str">
        <f t="shared" si="95"/>
        <v>Knee Replacement RevisionProviderBRIGHTON AND SUSSEX UNIVERSITY HOSPITALS NHS TRUST (RXH)Oxford Knee Score</v>
      </c>
      <c r="C6120" t="s">
        <v>250</v>
      </c>
      <c r="D6120" t="s">
        <v>1</v>
      </c>
      <c r="E6120" t="s">
        <v>3367</v>
      </c>
      <c r="F6120" t="s">
        <v>3368</v>
      </c>
      <c r="G6120" t="s">
        <v>16</v>
      </c>
      <c r="H6120">
        <v>19</v>
      </c>
      <c r="I6120">
        <v>15.420999999999999</v>
      </c>
      <c r="J6120">
        <v>21.946999999999999</v>
      </c>
      <c r="K6120">
        <v>6.5259999999999998</v>
      </c>
      <c r="L6120">
        <v>16</v>
      </c>
      <c r="M6120">
        <v>1</v>
      </c>
      <c r="N6120">
        <v>2</v>
      </c>
      <c r="O6120" t="s">
        <v>53</v>
      </c>
      <c r="P6120" t="s">
        <v>53</v>
      </c>
      <c r="Q6120" t="s">
        <v>53</v>
      </c>
    </row>
    <row r="6121" spans="1:17" x14ac:dyDescent="0.2">
      <c r="A6121" s="30" t="str">
        <f>IF(C6121&amp;G6121&amp;D6121&lt;&gt;'Funnel setup'!$K$3&amp;'Funnel setup'!$K$4&amp;'Funnel setup'!$K$5,".",IF(A6120=".",1,A6120+1))</f>
        <v>.</v>
      </c>
      <c r="B6121" s="431" t="str">
        <f t="shared" si="95"/>
        <v>Knee Replacement RevisionProviderBUCKINGHAMSHIRE HEALTHCARE NHS TRUST (RXQ)Oxford Knee Score</v>
      </c>
      <c r="C6121" t="s">
        <v>250</v>
      </c>
      <c r="D6121" t="s">
        <v>1</v>
      </c>
      <c r="E6121" t="s">
        <v>3370</v>
      </c>
      <c r="F6121" t="s">
        <v>3371</v>
      </c>
      <c r="G6121" t="s">
        <v>16</v>
      </c>
      <c r="H6121" t="s">
        <v>53</v>
      </c>
      <c r="I6121" t="s">
        <v>53</v>
      </c>
      <c r="J6121" t="s">
        <v>53</v>
      </c>
      <c r="K6121" t="s">
        <v>53</v>
      </c>
      <c r="L6121" t="s">
        <v>53</v>
      </c>
      <c r="M6121" t="s">
        <v>53</v>
      </c>
      <c r="N6121" t="s">
        <v>53</v>
      </c>
      <c r="O6121" t="s">
        <v>53</v>
      </c>
      <c r="P6121" t="s">
        <v>53</v>
      </c>
      <c r="Q6121" t="s">
        <v>53</v>
      </c>
    </row>
    <row r="6122" spans="1:17" x14ac:dyDescent="0.2">
      <c r="A6122" s="30" t="str">
        <f>IF(C6122&amp;G6122&amp;D6122&lt;&gt;'Funnel setup'!$K$3&amp;'Funnel setup'!$K$4&amp;'Funnel setup'!$K$5,".",IF(A6121=".",1,A6121+1))</f>
        <v>.</v>
      </c>
      <c r="B6122" s="431" t="str">
        <f t="shared" si="95"/>
        <v>Knee Replacement RevisionProviderBURTON HOSPITALS NHS FOUNDATION TRUST (RJF)Oxford Knee Score</v>
      </c>
      <c r="C6122" t="s">
        <v>250</v>
      </c>
      <c r="D6122" t="s">
        <v>1</v>
      </c>
      <c r="E6122" t="s">
        <v>3373</v>
      </c>
      <c r="F6122" t="s">
        <v>3374</v>
      </c>
      <c r="G6122" t="s">
        <v>16</v>
      </c>
      <c r="H6122" t="s">
        <v>53</v>
      </c>
      <c r="I6122" t="s">
        <v>53</v>
      </c>
      <c r="J6122" t="s">
        <v>53</v>
      </c>
      <c r="K6122" t="s">
        <v>53</v>
      </c>
      <c r="L6122" t="s">
        <v>53</v>
      </c>
      <c r="M6122" t="s">
        <v>53</v>
      </c>
      <c r="N6122" t="s">
        <v>53</v>
      </c>
      <c r="O6122" t="s">
        <v>53</v>
      </c>
      <c r="P6122" t="s">
        <v>53</v>
      </c>
      <c r="Q6122" t="s">
        <v>53</v>
      </c>
    </row>
    <row r="6123" spans="1:17" x14ac:dyDescent="0.2">
      <c r="A6123" s="30" t="str">
        <f>IF(C6123&amp;G6123&amp;D6123&lt;&gt;'Funnel setup'!$K$3&amp;'Funnel setup'!$K$4&amp;'Funnel setup'!$K$5,".",IF(A6122=".",1,A6122+1))</f>
        <v>.</v>
      </c>
      <c r="B6123" s="431" t="str">
        <f t="shared" si="95"/>
        <v>Knee Replacement RevisionProviderCALDERDALE AND HUDDERSFIELD NHS FOUNDATION TRUST (RWY)Oxford Knee Score</v>
      </c>
      <c r="C6123" t="s">
        <v>250</v>
      </c>
      <c r="D6123" t="s">
        <v>1</v>
      </c>
      <c r="E6123" t="s">
        <v>3379</v>
      </c>
      <c r="F6123" t="s">
        <v>3380</v>
      </c>
      <c r="G6123" t="s">
        <v>16</v>
      </c>
      <c r="H6123">
        <v>12</v>
      </c>
      <c r="I6123">
        <v>19</v>
      </c>
      <c r="J6123">
        <v>31.582999999999998</v>
      </c>
      <c r="K6123">
        <v>12.583</v>
      </c>
      <c r="L6123">
        <v>10</v>
      </c>
      <c r="M6123">
        <v>0</v>
      </c>
      <c r="N6123">
        <v>2</v>
      </c>
      <c r="O6123" t="s">
        <v>53</v>
      </c>
      <c r="P6123" t="s">
        <v>53</v>
      </c>
      <c r="Q6123" t="s">
        <v>53</v>
      </c>
    </row>
    <row r="6124" spans="1:17" x14ac:dyDescent="0.2">
      <c r="A6124" s="30" t="str">
        <f>IF(C6124&amp;G6124&amp;D6124&lt;&gt;'Funnel setup'!$K$3&amp;'Funnel setup'!$K$4&amp;'Funnel setup'!$K$5,".",IF(A6123=".",1,A6123+1))</f>
        <v>.</v>
      </c>
      <c r="B6124" s="431" t="str">
        <f t="shared" si="95"/>
        <v>Knee Replacement RevisionProviderCAMBRIDGE UNIVERSITY HOSPITALS NHS FOUNDATION TRUST (RGT)Oxford Knee Score</v>
      </c>
      <c r="C6124" t="s">
        <v>250</v>
      </c>
      <c r="D6124" t="s">
        <v>1</v>
      </c>
      <c r="E6124" t="s">
        <v>3076</v>
      </c>
      <c r="F6124" t="s">
        <v>3077</v>
      </c>
      <c r="G6124" t="s">
        <v>16</v>
      </c>
      <c r="H6124">
        <v>21</v>
      </c>
      <c r="I6124">
        <v>16.094999999999999</v>
      </c>
      <c r="J6124">
        <v>32</v>
      </c>
      <c r="K6124">
        <v>15.904999999999999</v>
      </c>
      <c r="L6124">
        <v>20</v>
      </c>
      <c r="M6124">
        <v>0</v>
      </c>
      <c r="N6124">
        <v>1</v>
      </c>
      <c r="O6124" t="s">
        <v>53</v>
      </c>
      <c r="P6124" t="s">
        <v>53</v>
      </c>
      <c r="Q6124" t="s">
        <v>53</v>
      </c>
    </row>
    <row r="6125" spans="1:17" x14ac:dyDescent="0.2">
      <c r="A6125" s="30" t="str">
        <f>IF(C6125&amp;G6125&amp;D6125&lt;&gt;'Funnel setup'!$K$3&amp;'Funnel setup'!$K$4&amp;'Funnel setup'!$K$5,".",IF(A6124=".",1,A6124+1))</f>
        <v>.</v>
      </c>
      <c r="B6125" s="431" t="str">
        <f t="shared" si="95"/>
        <v>Knee Replacement RevisionProviderCENTRAL MANCHESTER UNIVERSITY HOSPITALS NHS FOUNDATION TRUST (RW3)Oxford Knee Score</v>
      </c>
      <c r="C6125" t="s">
        <v>250</v>
      </c>
      <c r="D6125" t="s">
        <v>1</v>
      </c>
      <c r="E6125" t="s">
        <v>3079</v>
      </c>
      <c r="F6125" t="s">
        <v>3080</v>
      </c>
      <c r="G6125" t="s">
        <v>16</v>
      </c>
      <c r="H6125" t="s">
        <v>53</v>
      </c>
      <c r="I6125" t="s">
        <v>53</v>
      </c>
      <c r="J6125" t="s">
        <v>53</v>
      </c>
      <c r="K6125" t="s">
        <v>53</v>
      </c>
      <c r="L6125" t="s">
        <v>53</v>
      </c>
      <c r="M6125" t="s">
        <v>53</v>
      </c>
      <c r="N6125" t="s">
        <v>53</v>
      </c>
      <c r="O6125" t="s">
        <v>53</v>
      </c>
      <c r="P6125" t="s">
        <v>53</v>
      </c>
      <c r="Q6125" t="s">
        <v>53</v>
      </c>
    </row>
    <row r="6126" spans="1:17" x14ac:dyDescent="0.2">
      <c r="A6126" s="30" t="str">
        <f>IF(C6126&amp;G6126&amp;D6126&lt;&gt;'Funnel setup'!$K$3&amp;'Funnel setup'!$K$4&amp;'Funnel setup'!$K$5,".",IF(A6125=".",1,A6125+1))</f>
        <v>.</v>
      </c>
      <c r="B6126" s="431" t="str">
        <f t="shared" si="95"/>
        <v>Knee Replacement RevisionProviderCHESTERFIELD ROYAL HOSPITAL NHS FOUNDATION TRUST (RFS)Oxford Knee Score</v>
      </c>
      <c r="C6126" t="s">
        <v>250</v>
      </c>
      <c r="D6126" t="s">
        <v>1</v>
      </c>
      <c r="E6126" t="s">
        <v>3085</v>
      </c>
      <c r="F6126" t="s">
        <v>3086</v>
      </c>
      <c r="G6126" t="s">
        <v>16</v>
      </c>
      <c r="H6126">
        <v>7</v>
      </c>
      <c r="I6126">
        <v>13.714</v>
      </c>
      <c r="J6126">
        <v>24.286000000000001</v>
      </c>
      <c r="K6126">
        <v>10.571</v>
      </c>
      <c r="L6126">
        <v>6</v>
      </c>
      <c r="M6126">
        <v>0</v>
      </c>
      <c r="N6126">
        <v>1</v>
      </c>
      <c r="O6126" t="s">
        <v>53</v>
      </c>
      <c r="P6126" t="s">
        <v>53</v>
      </c>
      <c r="Q6126" t="s">
        <v>53</v>
      </c>
    </row>
    <row r="6127" spans="1:17" x14ac:dyDescent="0.2">
      <c r="A6127" s="30" t="str">
        <f>IF(C6127&amp;G6127&amp;D6127&lt;&gt;'Funnel setup'!$K$3&amp;'Funnel setup'!$K$4&amp;'Funnel setup'!$K$5,".",IF(A6126=".",1,A6126+1))</f>
        <v>.</v>
      </c>
      <c r="B6127" s="431" t="str">
        <f t="shared" si="95"/>
        <v>Knee Replacement RevisionProviderCIRCLE BATH HOSPITAL (NV302)Oxford Knee Score</v>
      </c>
      <c r="C6127" t="s">
        <v>250</v>
      </c>
      <c r="D6127" t="s">
        <v>1</v>
      </c>
      <c r="E6127" t="s">
        <v>3097</v>
      </c>
      <c r="F6127" t="s">
        <v>3098</v>
      </c>
      <c r="G6127" t="s">
        <v>16</v>
      </c>
      <c r="H6127" t="s">
        <v>53</v>
      </c>
      <c r="I6127" t="s">
        <v>53</v>
      </c>
      <c r="J6127" t="s">
        <v>53</v>
      </c>
      <c r="K6127" t="s">
        <v>53</v>
      </c>
      <c r="L6127" t="s">
        <v>53</v>
      </c>
      <c r="M6127" t="s">
        <v>53</v>
      </c>
      <c r="N6127" t="s">
        <v>53</v>
      </c>
      <c r="O6127" t="s">
        <v>53</v>
      </c>
      <c r="P6127" t="s">
        <v>53</v>
      </c>
      <c r="Q6127" t="s">
        <v>53</v>
      </c>
    </row>
    <row r="6128" spans="1:17" x14ac:dyDescent="0.2">
      <c r="A6128" s="30" t="str">
        <f>IF(C6128&amp;G6128&amp;D6128&lt;&gt;'Funnel setup'!$K$3&amp;'Funnel setup'!$K$4&amp;'Funnel setup'!$K$5,".",IF(A6127=".",1,A6127+1))</f>
        <v>.</v>
      </c>
      <c r="B6128" s="431" t="str">
        <f t="shared" si="95"/>
        <v>Knee Replacement RevisionProviderCITY HOSPITALS SUNDERLAND NHS FOUNDATION TRUST (RLN)Oxford Knee Score</v>
      </c>
      <c r="C6128" t="s">
        <v>250</v>
      </c>
      <c r="D6128" t="s">
        <v>1</v>
      </c>
      <c r="E6128" t="s">
        <v>3100</v>
      </c>
      <c r="F6128" t="s">
        <v>3101</v>
      </c>
      <c r="G6128" t="s">
        <v>16</v>
      </c>
      <c r="H6128">
        <v>9</v>
      </c>
      <c r="I6128">
        <v>13.444000000000001</v>
      </c>
      <c r="J6128">
        <v>29.222000000000001</v>
      </c>
      <c r="K6128">
        <v>15.778</v>
      </c>
      <c r="L6128">
        <v>8</v>
      </c>
      <c r="M6128">
        <v>0</v>
      </c>
      <c r="N6128">
        <v>1</v>
      </c>
      <c r="O6128" t="s">
        <v>53</v>
      </c>
      <c r="P6128" t="s">
        <v>53</v>
      </c>
      <c r="Q6128" t="s">
        <v>53</v>
      </c>
    </row>
    <row r="6129" spans="1:17" x14ac:dyDescent="0.2">
      <c r="A6129" s="30" t="str">
        <f>IF(C6129&amp;G6129&amp;D6129&lt;&gt;'Funnel setup'!$K$3&amp;'Funnel setup'!$K$4&amp;'Funnel setup'!$K$5,".",IF(A6128=".",1,A6128+1))</f>
        <v>.</v>
      </c>
      <c r="B6129" s="431" t="str">
        <f t="shared" si="95"/>
        <v>Knee Replacement RevisionProviderCLIFTON PARK HOSPITAL (NVC28)Oxford Knee Score</v>
      </c>
      <c r="C6129" t="s">
        <v>250</v>
      </c>
      <c r="D6129" t="s">
        <v>1</v>
      </c>
      <c r="E6129" t="s">
        <v>4229</v>
      </c>
      <c r="F6129" t="s">
        <v>4230</v>
      </c>
      <c r="G6129" t="s">
        <v>16</v>
      </c>
      <c r="H6129">
        <v>10</v>
      </c>
      <c r="I6129">
        <v>19.5</v>
      </c>
      <c r="J6129">
        <v>30.2</v>
      </c>
      <c r="K6129">
        <v>10.7</v>
      </c>
      <c r="L6129">
        <v>8</v>
      </c>
      <c r="M6129">
        <v>0</v>
      </c>
      <c r="N6129">
        <v>2</v>
      </c>
      <c r="O6129" t="s">
        <v>53</v>
      </c>
      <c r="P6129" t="s">
        <v>53</v>
      </c>
      <c r="Q6129" t="s">
        <v>53</v>
      </c>
    </row>
    <row r="6130" spans="1:17" x14ac:dyDescent="0.2">
      <c r="A6130" s="30" t="str">
        <f>IF(C6130&amp;G6130&amp;D6130&lt;&gt;'Funnel setup'!$K$3&amp;'Funnel setup'!$K$4&amp;'Funnel setup'!$K$5,".",IF(A6129=".",1,A6129+1))</f>
        <v>.</v>
      </c>
      <c r="B6130" s="431" t="str">
        <f t="shared" si="95"/>
        <v>Knee Replacement RevisionProviderCOLCHESTER HOSPITAL UNIVERSITY NHS FOUNDATION TRUST (RDE)Oxford Knee Score</v>
      </c>
      <c r="C6130" t="s">
        <v>250</v>
      </c>
      <c r="D6130" t="s">
        <v>1</v>
      </c>
      <c r="E6130" t="s">
        <v>3109</v>
      </c>
      <c r="F6130" t="s">
        <v>3110</v>
      </c>
      <c r="G6130" t="s">
        <v>16</v>
      </c>
      <c r="H6130">
        <v>9</v>
      </c>
      <c r="I6130">
        <v>18.111000000000001</v>
      </c>
      <c r="J6130">
        <v>27.556000000000001</v>
      </c>
      <c r="K6130">
        <v>9.4440000000000008</v>
      </c>
      <c r="L6130">
        <v>7</v>
      </c>
      <c r="M6130">
        <v>0</v>
      </c>
      <c r="N6130">
        <v>2</v>
      </c>
      <c r="O6130" t="s">
        <v>53</v>
      </c>
      <c r="P6130" t="s">
        <v>53</v>
      </c>
      <c r="Q6130" t="s">
        <v>53</v>
      </c>
    </row>
    <row r="6131" spans="1:17" x14ac:dyDescent="0.2">
      <c r="A6131" s="30" t="str">
        <f>IF(C6131&amp;G6131&amp;D6131&lt;&gt;'Funnel setup'!$K$3&amp;'Funnel setup'!$K$4&amp;'Funnel setup'!$K$5,".",IF(A6130=".",1,A6130+1))</f>
        <v>.</v>
      </c>
      <c r="B6131" s="431" t="str">
        <f t="shared" si="95"/>
        <v>Knee Replacement RevisionProviderCOUNTESS OF CHESTER HOSPITAL NHS FOUNDATION TRUST (RJR)Oxford Knee Score</v>
      </c>
      <c r="C6131" t="s">
        <v>250</v>
      </c>
      <c r="D6131" t="s">
        <v>1</v>
      </c>
      <c r="E6131" t="s">
        <v>3781</v>
      </c>
      <c r="F6131" t="s">
        <v>3782</v>
      </c>
      <c r="G6131" t="s">
        <v>16</v>
      </c>
      <c r="H6131" t="s">
        <v>53</v>
      </c>
      <c r="I6131" t="s">
        <v>53</v>
      </c>
      <c r="J6131" t="s">
        <v>53</v>
      </c>
      <c r="K6131" t="s">
        <v>53</v>
      </c>
      <c r="L6131" t="s">
        <v>53</v>
      </c>
      <c r="M6131" t="s">
        <v>53</v>
      </c>
      <c r="N6131" t="s">
        <v>53</v>
      </c>
      <c r="O6131" t="s">
        <v>53</v>
      </c>
      <c r="P6131" t="s">
        <v>53</v>
      </c>
      <c r="Q6131" t="s">
        <v>53</v>
      </c>
    </row>
    <row r="6132" spans="1:17" x14ac:dyDescent="0.2">
      <c r="A6132" s="30" t="str">
        <f>IF(C6132&amp;G6132&amp;D6132&lt;&gt;'Funnel setup'!$K$3&amp;'Funnel setup'!$K$4&amp;'Funnel setup'!$K$5,".",IF(A6131=".",1,A6131+1))</f>
        <v>.</v>
      </c>
      <c r="B6132" s="431" t="str">
        <f t="shared" si="95"/>
        <v>Knee Replacement RevisionProviderCOUNTY DURHAM AND DARLINGTON NHS FOUNDATION TRUST (RXP)Oxford Knee Score</v>
      </c>
      <c r="C6132" t="s">
        <v>250</v>
      </c>
      <c r="D6132" t="s">
        <v>1</v>
      </c>
      <c r="E6132" t="s">
        <v>3784</v>
      </c>
      <c r="F6132" t="s">
        <v>3785</v>
      </c>
      <c r="G6132" t="s">
        <v>16</v>
      </c>
      <c r="H6132">
        <v>8</v>
      </c>
      <c r="I6132">
        <v>15.625</v>
      </c>
      <c r="J6132">
        <v>29.25</v>
      </c>
      <c r="K6132">
        <v>13.625</v>
      </c>
      <c r="L6132">
        <v>7</v>
      </c>
      <c r="M6132">
        <v>0</v>
      </c>
      <c r="N6132">
        <v>1</v>
      </c>
      <c r="O6132" t="s">
        <v>53</v>
      </c>
      <c r="P6132" t="s">
        <v>53</v>
      </c>
      <c r="Q6132" t="s">
        <v>53</v>
      </c>
    </row>
    <row r="6133" spans="1:17" x14ac:dyDescent="0.2">
      <c r="A6133" s="30" t="str">
        <f>IF(C6133&amp;G6133&amp;D6133&lt;&gt;'Funnel setup'!$K$3&amp;'Funnel setup'!$K$4&amp;'Funnel setup'!$K$5,".",IF(A6132=".",1,A6132+1))</f>
        <v>.</v>
      </c>
      <c r="B6133" s="431" t="str">
        <f t="shared" si="95"/>
        <v>Knee Replacement RevisionProviderDARTFORD AND GRAVESHAM NHS TRUST (RN7)Oxford Knee Score</v>
      </c>
      <c r="C6133" t="s">
        <v>250</v>
      </c>
      <c r="D6133" t="s">
        <v>1</v>
      </c>
      <c r="E6133" t="s">
        <v>3787</v>
      </c>
      <c r="F6133" t="s">
        <v>3788</v>
      </c>
      <c r="G6133" t="s">
        <v>16</v>
      </c>
      <c r="H6133" t="s">
        <v>53</v>
      </c>
      <c r="I6133" t="s">
        <v>53</v>
      </c>
      <c r="J6133" t="s">
        <v>53</v>
      </c>
      <c r="K6133" t="s">
        <v>53</v>
      </c>
      <c r="L6133" t="s">
        <v>53</v>
      </c>
      <c r="M6133" t="s">
        <v>53</v>
      </c>
      <c r="N6133" t="s">
        <v>53</v>
      </c>
      <c r="O6133" t="s">
        <v>53</v>
      </c>
      <c r="P6133" t="s">
        <v>53</v>
      </c>
      <c r="Q6133" t="s">
        <v>53</v>
      </c>
    </row>
    <row r="6134" spans="1:17" x14ac:dyDescent="0.2">
      <c r="A6134" s="30" t="str">
        <f>IF(C6134&amp;G6134&amp;D6134&lt;&gt;'Funnel setup'!$K$3&amp;'Funnel setup'!$K$4&amp;'Funnel setup'!$K$5,".",IF(A6133=".",1,A6133+1))</f>
        <v>.</v>
      </c>
      <c r="B6134" s="431" t="str">
        <f t="shared" si="95"/>
        <v>Knee Replacement RevisionProviderDERBY TEACHING HOSPITALS NHS FOUNDATION TRUST (RTG)Oxford Knee Score</v>
      </c>
      <c r="C6134" t="s">
        <v>250</v>
      </c>
      <c r="D6134" t="s">
        <v>1</v>
      </c>
      <c r="E6134" t="s">
        <v>3790</v>
      </c>
      <c r="F6134" t="s">
        <v>3791</v>
      </c>
      <c r="G6134" t="s">
        <v>16</v>
      </c>
      <c r="H6134">
        <v>15</v>
      </c>
      <c r="I6134">
        <v>18.266999999999999</v>
      </c>
      <c r="J6134">
        <v>26.6</v>
      </c>
      <c r="K6134">
        <v>8.3330000000000002</v>
      </c>
      <c r="L6134">
        <v>11</v>
      </c>
      <c r="M6134">
        <v>0</v>
      </c>
      <c r="N6134">
        <v>4</v>
      </c>
      <c r="O6134" t="s">
        <v>53</v>
      </c>
      <c r="P6134" t="s">
        <v>53</v>
      </c>
      <c r="Q6134" t="s">
        <v>53</v>
      </c>
    </row>
    <row r="6135" spans="1:17" x14ac:dyDescent="0.2">
      <c r="A6135" s="30" t="str">
        <f>IF(C6135&amp;G6135&amp;D6135&lt;&gt;'Funnel setup'!$K$3&amp;'Funnel setup'!$K$4&amp;'Funnel setup'!$K$5,".",IF(A6134=".",1,A6134+1))</f>
        <v>.</v>
      </c>
      <c r="B6135" s="431" t="str">
        <f t="shared" si="95"/>
        <v>Knee Replacement RevisionProviderDONCASTER AND BASSETLAW HOSPITALS NHS FOUNDATION TRUST (RP5)Oxford Knee Score</v>
      </c>
      <c r="C6135" t="s">
        <v>250</v>
      </c>
      <c r="D6135" t="s">
        <v>1</v>
      </c>
      <c r="E6135" t="s">
        <v>3799</v>
      </c>
      <c r="F6135" t="s">
        <v>3800</v>
      </c>
      <c r="G6135" t="s">
        <v>16</v>
      </c>
      <c r="H6135">
        <v>26</v>
      </c>
      <c r="I6135">
        <v>13.154</v>
      </c>
      <c r="J6135">
        <v>23.385000000000002</v>
      </c>
      <c r="K6135">
        <v>10.231</v>
      </c>
      <c r="L6135">
        <v>21</v>
      </c>
      <c r="M6135">
        <v>1</v>
      </c>
      <c r="N6135">
        <v>4</v>
      </c>
      <c r="O6135" t="s">
        <v>53</v>
      </c>
      <c r="P6135" t="s">
        <v>53</v>
      </c>
      <c r="Q6135" t="s">
        <v>53</v>
      </c>
    </row>
    <row r="6136" spans="1:17" x14ac:dyDescent="0.2">
      <c r="A6136" s="30" t="str">
        <f>IF(C6136&amp;G6136&amp;D6136&lt;&gt;'Funnel setup'!$K$3&amp;'Funnel setup'!$K$4&amp;'Funnel setup'!$K$5,".",IF(A6135=".",1,A6135+1))</f>
        <v>.</v>
      </c>
      <c r="B6136" s="431" t="str">
        <f t="shared" si="95"/>
        <v>Knee Replacement RevisionProviderDORSET COUNTY HOSPITAL NHS FOUNDATION TRUST (RBD)Oxford Knee Score</v>
      </c>
      <c r="C6136" t="s">
        <v>250</v>
      </c>
      <c r="D6136" t="s">
        <v>1</v>
      </c>
      <c r="E6136" t="s">
        <v>3802</v>
      </c>
      <c r="F6136" t="s">
        <v>3803</v>
      </c>
      <c r="G6136" t="s">
        <v>16</v>
      </c>
      <c r="H6136">
        <v>8</v>
      </c>
      <c r="I6136">
        <v>11.875</v>
      </c>
      <c r="J6136">
        <v>26.5</v>
      </c>
      <c r="K6136">
        <v>14.625</v>
      </c>
      <c r="L6136">
        <v>7</v>
      </c>
      <c r="M6136">
        <v>0</v>
      </c>
      <c r="N6136">
        <v>1</v>
      </c>
      <c r="O6136" t="s">
        <v>53</v>
      </c>
      <c r="P6136" t="s">
        <v>53</v>
      </c>
      <c r="Q6136" t="s">
        <v>53</v>
      </c>
    </row>
    <row r="6137" spans="1:17" x14ac:dyDescent="0.2">
      <c r="A6137" s="30" t="str">
        <f>IF(C6137&amp;G6137&amp;D6137&lt;&gt;'Funnel setup'!$K$3&amp;'Funnel setup'!$K$4&amp;'Funnel setup'!$K$5,".",IF(A6136=".",1,A6136+1))</f>
        <v>.</v>
      </c>
      <c r="B6137" s="431" t="str">
        <f t="shared" si="95"/>
        <v>Knee Replacement RevisionProviderDUCHY HOSPITAL (NVC04)Oxford Knee Score</v>
      </c>
      <c r="C6137" t="s">
        <v>250</v>
      </c>
      <c r="D6137" t="s">
        <v>1</v>
      </c>
      <c r="E6137" t="s">
        <v>4518</v>
      </c>
      <c r="F6137" t="s">
        <v>4519</v>
      </c>
      <c r="G6137" t="s">
        <v>16</v>
      </c>
      <c r="H6137">
        <v>9</v>
      </c>
      <c r="I6137">
        <v>20.888999999999999</v>
      </c>
      <c r="J6137">
        <v>33.444000000000003</v>
      </c>
      <c r="K6137">
        <v>12.555999999999999</v>
      </c>
      <c r="L6137">
        <v>8</v>
      </c>
      <c r="M6137">
        <v>0</v>
      </c>
      <c r="N6137">
        <v>1</v>
      </c>
      <c r="O6137" t="s">
        <v>53</v>
      </c>
      <c r="P6137" t="s">
        <v>53</v>
      </c>
      <c r="Q6137" t="s">
        <v>53</v>
      </c>
    </row>
    <row r="6138" spans="1:17" x14ac:dyDescent="0.2">
      <c r="A6138" s="30" t="str">
        <f>IF(C6138&amp;G6138&amp;D6138&lt;&gt;'Funnel setup'!$K$3&amp;'Funnel setup'!$K$4&amp;'Funnel setup'!$K$5,".",IF(A6137=".",1,A6137+1))</f>
        <v>.</v>
      </c>
      <c r="B6138" s="431" t="str">
        <f t="shared" si="95"/>
        <v>Knee Replacement RevisionProviderEAST AND NORTH HERTFORDSHIRE NHS TRUST (RWH)Oxford Knee Score</v>
      </c>
      <c r="C6138" t="s">
        <v>250</v>
      </c>
      <c r="D6138" t="s">
        <v>1</v>
      </c>
      <c r="E6138" t="s">
        <v>3814</v>
      </c>
      <c r="F6138" t="s">
        <v>3815</v>
      </c>
      <c r="G6138" t="s">
        <v>16</v>
      </c>
      <c r="H6138">
        <v>10</v>
      </c>
      <c r="I6138">
        <v>17.3</v>
      </c>
      <c r="J6138">
        <v>31.9</v>
      </c>
      <c r="K6138">
        <v>14.6</v>
      </c>
      <c r="L6138">
        <v>10</v>
      </c>
      <c r="M6138">
        <v>0</v>
      </c>
      <c r="N6138">
        <v>0</v>
      </c>
      <c r="O6138" t="s">
        <v>53</v>
      </c>
      <c r="P6138" t="s">
        <v>53</v>
      </c>
      <c r="Q6138" t="s">
        <v>53</v>
      </c>
    </row>
    <row r="6139" spans="1:17" x14ac:dyDescent="0.2">
      <c r="A6139" s="30" t="str">
        <f>IF(C6139&amp;G6139&amp;D6139&lt;&gt;'Funnel setup'!$K$3&amp;'Funnel setup'!$K$4&amp;'Funnel setup'!$K$5,".",IF(A6138=".",1,A6138+1))</f>
        <v>.</v>
      </c>
      <c r="B6139" s="431" t="str">
        <f t="shared" si="95"/>
        <v>Knee Replacement RevisionProviderEAST CHESHIRE NHS TRUST (RJN)Oxford Knee Score</v>
      </c>
      <c r="C6139" t="s">
        <v>250</v>
      </c>
      <c r="D6139" t="s">
        <v>1</v>
      </c>
      <c r="E6139" t="s">
        <v>3817</v>
      </c>
      <c r="F6139" t="s">
        <v>3818</v>
      </c>
      <c r="G6139" t="s">
        <v>16</v>
      </c>
      <c r="H6139" t="s">
        <v>53</v>
      </c>
      <c r="I6139" t="s">
        <v>53</v>
      </c>
      <c r="J6139" t="s">
        <v>53</v>
      </c>
      <c r="K6139" t="s">
        <v>53</v>
      </c>
      <c r="L6139" t="s">
        <v>53</v>
      </c>
      <c r="M6139" t="s">
        <v>53</v>
      </c>
      <c r="N6139" t="s">
        <v>53</v>
      </c>
      <c r="O6139" t="s">
        <v>53</v>
      </c>
      <c r="P6139" t="s">
        <v>53</v>
      </c>
      <c r="Q6139" t="s">
        <v>53</v>
      </c>
    </row>
    <row r="6140" spans="1:17" x14ac:dyDescent="0.2">
      <c r="A6140" s="30" t="str">
        <f>IF(C6140&amp;G6140&amp;D6140&lt;&gt;'Funnel setup'!$K$3&amp;'Funnel setup'!$K$4&amp;'Funnel setup'!$K$5,".",IF(A6139=".",1,A6139+1))</f>
        <v>.</v>
      </c>
      <c r="B6140" s="431" t="str">
        <f t="shared" si="95"/>
        <v>Knee Replacement RevisionProviderEAST KENT HOSPITALS UNIVERSITY NHS FOUNDATION TRUST (RVV)Oxford Knee Score</v>
      </c>
      <c r="C6140" t="s">
        <v>250</v>
      </c>
      <c r="D6140" t="s">
        <v>1</v>
      </c>
      <c r="E6140" t="s">
        <v>3820</v>
      </c>
      <c r="F6140" t="s">
        <v>3821</v>
      </c>
      <c r="G6140" t="s">
        <v>16</v>
      </c>
      <c r="H6140">
        <v>24</v>
      </c>
      <c r="I6140">
        <v>16.832999999999998</v>
      </c>
      <c r="J6140">
        <v>31.792000000000002</v>
      </c>
      <c r="K6140">
        <v>14.958</v>
      </c>
      <c r="L6140">
        <v>21</v>
      </c>
      <c r="M6140">
        <v>1</v>
      </c>
      <c r="N6140">
        <v>2</v>
      </c>
      <c r="O6140" t="s">
        <v>53</v>
      </c>
      <c r="P6140" t="s">
        <v>53</v>
      </c>
      <c r="Q6140" t="s">
        <v>53</v>
      </c>
    </row>
    <row r="6141" spans="1:17" x14ac:dyDescent="0.2">
      <c r="A6141" s="30" t="str">
        <f>IF(C6141&amp;G6141&amp;D6141&lt;&gt;'Funnel setup'!$K$3&amp;'Funnel setup'!$K$4&amp;'Funnel setup'!$K$5,".",IF(A6140=".",1,A6140+1))</f>
        <v>.</v>
      </c>
      <c r="B6141" s="431" t="str">
        <f t="shared" si="95"/>
        <v>Knee Replacement RevisionProviderEAST LANCASHIRE HOSPITALS NHS TRUST (RXR)Oxford Knee Score</v>
      </c>
      <c r="C6141" t="s">
        <v>250</v>
      </c>
      <c r="D6141" t="s">
        <v>1</v>
      </c>
      <c r="E6141" t="s">
        <v>3823</v>
      </c>
      <c r="F6141" t="s">
        <v>3824</v>
      </c>
      <c r="G6141" t="s">
        <v>16</v>
      </c>
      <c r="H6141" t="s">
        <v>53</v>
      </c>
      <c r="I6141" t="s">
        <v>53</v>
      </c>
      <c r="J6141" t="s">
        <v>53</v>
      </c>
      <c r="K6141" t="s">
        <v>53</v>
      </c>
      <c r="L6141" t="s">
        <v>53</v>
      </c>
      <c r="M6141" t="s">
        <v>53</v>
      </c>
      <c r="N6141" t="s">
        <v>53</v>
      </c>
      <c r="O6141" t="s">
        <v>53</v>
      </c>
      <c r="P6141" t="s">
        <v>53</v>
      </c>
      <c r="Q6141" t="s">
        <v>53</v>
      </c>
    </row>
    <row r="6142" spans="1:17" x14ac:dyDescent="0.2">
      <c r="A6142" s="30" t="str">
        <f>IF(C6142&amp;G6142&amp;D6142&lt;&gt;'Funnel setup'!$K$3&amp;'Funnel setup'!$K$4&amp;'Funnel setup'!$K$5,".",IF(A6141=".",1,A6141+1))</f>
        <v>.</v>
      </c>
      <c r="B6142" s="431" t="str">
        <f t="shared" si="95"/>
        <v>Knee Replacement RevisionProviderEAST SUSSEX HEALTHCARE NHS TRUST (RXC)Oxford Knee Score</v>
      </c>
      <c r="C6142" t="s">
        <v>250</v>
      </c>
      <c r="D6142" t="s">
        <v>1</v>
      </c>
      <c r="E6142" t="s">
        <v>3826</v>
      </c>
      <c r="F6142" t="s">
        <v>3827</v>
      </c>
      <c r="G6142" t="s">
        <v>16</v>
      </c>
      <c r="H6142">
        <v>25</v>
      </c>
      <c r="I6142">
        <v>17</v>
      </c>
      <c r="J6142">
        <v>30.76</v>
      </c>
      <c r="K6142">
        <v>13.76</v>
      </c>
      <c r="L6142">
        <v>23</v>
      </c>
      <c r="M6142">
        <v>0</v>
      </c>
      <c r="N6142">
        <v>2</v>
      </c>
      <c r="O6142" t="s">
        <v>53</v>
      </c>
      <c r="P6142" t="s">
        <v>53</v>
      </c>
      <c r="Q6142" t="s">
        <v>53</v>
      </c>
    </row>
    <row r="6143" spans="1:17" x14ac:dyDescent="0.2">
      <c r="A6143" s="30" t="str">
        <f>IF(C6143&amp;G6143&amp;D6143&lt;&gt;'Funnel setup'!$K$3&amp;'Funnel setup'!$K$4&amp;'Funnel setup'!$K$5,".",IF(A6142=".",1,A6142+1))</f>
        <v>.</v>
      </c>
      <c r="B6143" s="431" t="str">
        <f t="shared" si="95"/>
        <v>Knee Replacement RevisionProviderEMERSONS GREEN NHS TREATMENT CENTRE (NTPH2)Oxford Knee Score</v>
      </c>
      <c r="C6143" t="s">
        <v>250</v>
      </c>
      <c r="D6143" t="s">
        <v>1</v>
      </c>
      <c r="E6143" t="s">
        <v>3829</v>
      </c>
      <c r="F6143" t="s">
        <v>3830</v>
      </c>
      <c r="G6143" t="s">
        <v>16</v>
      </c>
      <c r="H6143">
        <v>6</v>
      </c>
      <c r="I6143">
        <v>17</v>
      </c>
      <c r="J6143">
        <v>20.832999999999998</v>
      </c>
      <c r="K6143">
        <v>3.8330000000000002</v>
      </c>
      <c r="L6143">
        <v>4</v>
      </c>
      <c r="M6143">
        <v>0</v>
      </c>
      <c r="N6143">
        <v>2</v>
      </c>
      <c r="O6143" t="s">
        <v>53</v>
      </c>
      <c r="P6143" t="s">
        <v>53</v>
      </c>
      <c r="Q6143" t="s">
        <v>53</v>
      </c>
    </row>
    <row r="6144" spans="1:17" x14ac:dyDescent="0.2">
      <c r="A6144" s="30" t="str">
        <f>IF(C6144&amp;G6144&amp;D6144&lt;&gt;'Funnel setup'!$K$3&amp;'Funnel setup'!$K$4&amp;'Funnel setup'!$K$5,".",IF(A6143=".",1,A6143+1))</f>
        <v>.</v>
      </c>
      <c r="B6144" s="431" t="str">
        <f t="shared" si="95"/>
        <v>Knee Replacement RevisionProviderEPSOM AND ST HELIER UNIVERSITY HOSPITALS NHS TRUST (RVR)Oxford Knee Score</v>
      </c>
      <c r="C6144" t="s">
        <v>250</v>
      </c>
      <c r="D6144" t="s">
        <v>1</v>
      </c>
      <c r="E6144" t="s">
        <v>3849</v>
      </c>
      <c r="F6144" t="s">
        <v>3850</v>
      </c>
      <c r="G6144" t="s">
        <v>16</v>
      </c>
      <c r="H6144">
        <v>12</v>
      </c>
      <c r="I6144">
        <v>17.917000000000002</v>
      </c>
      <c r="J6144">
        <v>33.332999999999998</v>
      </c>
      <c r="K6144">
        <v>15.417</v>
      </c>
      <c r="L6144">
        <v>12</v>
      </c>
      <c r="M6144">
        <v>0</v>
      </c>
      <c r="N6144">
        <v>0</v>
      </c>
      <c r="O6144" t="s">
        <v>53</v>
      </c>
      <c r="P6144" t="s">
        <v>53</v>
      </c>
      <c r="Q6144" t="s">
        <v>53</v>
      </c>
    </row>
    <row r="6145" spans="1:17" x14ac:dyDescent="0.2">
      <c r="A6145" s="30" t="str">
        <f>IF(C6145&amp;G6145&amp;D6145&lt;&gt;'Funnel setup'!$K$3&amp;'Funnel setup'!$K$4&amp;'Funnel setup'!$K$5,".",IF(A6144=".",1,A6144+1))</f>
        <v>.</v>
      </c>
      <c r="B6145" s="431" t="str">
        <f t="shared" si="95"/>
        <v>Knee Replacement RevisionProviderEUXTON HALL HOSPITAL (NVC05)Oxford Knee Score</v>
      </c>
      <c r="C6145" t="s">
        <v>250</v>
      </c>
      <c r="D6145" t="s">
        <v>1</v>
      </c>
      <c r="E6145" t="s">
        <v>3852</v>
      </c>
      <c r="F6145" t="s">
        <v>3853</v>
      </c>
      <c r="G6145" t="s">
        <v>16</v>
      </c>
      <c r="H6145" t="s">
        <v>53</v>
      </c>
      <c r="I6145" t="s">
        <v>53</v>
      </c>
      <c r="J6145" t="s">
        <v>53</v>
      </c>
      <c r="K6145" t="s">
        <v>53</v>
      </c>
      <c r="L6145" t="s">
        <v>53</v>
      </c>
      <c r="M6145" t="s">
        <v>53</v>
      </c>
      <c r="N6145" t="s">
        <v>53</v>
      </c>
      <c r="O6145" t="s">
        <v>53</v>
      </c>
      <c r="P6145" t="s">
        <v>53</v>
      </c>
      <c r="Q6145" t="s">
        <v>53</v>
      </c>
    </row>
    <row r="6146" spans="1:17" x14ac:dyDescent="0.2">
      <c r="A6146" s="30" t="str">
        <f>IF(C6146&amp;G6146&amp;D6146&lt;&gt;'Funnel setup'!$K$3&amp;'Funnel setup'!$K$4&amp;'Funnel setup'!$K$5,".",IF(A6145=".",1,A6145+1))</f>
        <v>.</v>
      </c>
      <c r="B6146" s="431" t="str">
        <f t="shared" si="95"/>
        <v>Knee Replacement RevisionProviderFITZWILLIAM HOSPITAL (NVC06)Oxford Knee Score</v>
      </c>
      <c r="C6146" t="s">
        <v>250</v>
      </c>
      <c r="D6146" t="s">
        <v>1</v>
      </c>
      <c r="E6146" t="s">
        <v>3858</v>
      </c>
      <c r="F6146" t="s">
        <v>3859</v>
      </c>
      <c r="G6146" t="s">
        <v>16</v>
      </c>
      <c r="H6146" t="s">
        <v>53</v>
      </c>
      <c r="I6146" t="s">
        <v>53</v>
      </c>
      <c r="J6146" t="s">
        <v>53</v>
      </c>
      <c r="K6146" t="s">
        <v>53</v>
      </c>
      <c r="L6146" t="s">
        <v>53</v>
      </c>
      <c r="M6146" t="s">
        <v>53</v>
      </c>
      <c r="N6146" t="s">
        <v>53</v>
      </c>
      <c r="O6146" t="s">
        <v>53</v>
      </c>
      <c r="P6146" t="s">
        <v>53</v>
      </c>
      <c r="Q6146" t="s">
        <v>53</v>
      </c>
    </row>
    <row r="6147" spans="1:17" x14ac:dyDescent="0.2">
      <c r="A6147" s="30" t="str">
        <f>IF(C6147&amp;G6147&amp;D6147&lt;&gt;'Funnel setup'!$K$3&amp;'Funnel setup'!$K$4&amp;'Funnel setup'!$K$5,".",IF(A6146=".",1,A6146+1))</f>
        <v>.</v>
      </c>
      <c r="B6147" s="431" t="str">
        <f t="shared" ref="B6147:B6210" si="96">C6147&amp;D6147&amp;F6147&amp;G6147</f>
        <v>Knee Replacement RevisionProviderFRIMLEY HEALTH NHS FOUNDATION TRUST (RDU)Oxford Knee Score</v>
      </c>
      <c r="C6147" t="s">
        <v>250</v>
      </c>
      <c r="D6147" t="s">
        <v>1</v>
      </c>
      <c r="E6147" t="s">
        <v>3861</v>
      </c>
      <c r="F6147" t="s">
        <v>3862</v>
      </c>
      <c r="G6147" t="s">
        <v>16</v>
      </c>
      <c r="H6147">
        <v>24</v>
      </c>
      <c r="I6147">
        <v>17.082999999999998</v>
      </c>
      <c r="J6147">
        <v>29.75</v>
      </c>
      <c r="K6147">
        <v>12.667</v>
      </c>
      <c r="L6147">
        <v>23</v>
      </c>
      <c r="M6147">
        <v>0</v>
      </c>
      <c r="N6147">
        <v>1</v>
      </c>
      <c r="O6147" t="s">
        <v>53</v>
      </c>
      <c r="P6147" t="s">
        <v>53</v>
      </c>
      <c r="Q6147" t="s">
        <v>53</v>
      </c>
    </row>
    <row r="6148" spans="1:17" x14ac:dyDescent="0.2">
      <c r="A6148" s="30" t="str">
        <f>IF(C6148&amp;G6148&amp;D6148&lt;&gt;'Funnel setup'!$K$3&amp;'Funnel setup'!$K$4&amp;'Funnel setup'!$K$5,".",IF(A6147=".",1,A6147+1))</f>
        <v>.</v>
      </c>
      <c r="B6148" s="431" t="str">
        <f t="shared" si="96"/>
        <v>Knee Replacement RevisionProviderFULWOOD HALL HOSPITAL (NVC07)Oxford Knee Score</v>
      </c>
      <c r="C6148" t="s">
        <v>250</v>
      </c>
      <c r="D6148" t="s">
        <v>1</v>
      </c>
      <c r="E6148" t="s">
        <v>3864</v>
      </c>
      <c r="F6148" t="s">
        <v>3865</v>
      </c>
      <c r="G6148" t="s">
        <v>16</v>
      </c>
      <c r="H6148" t="s">
        <v>53</v>
      </c>
      <c r="I6148" t="s">
        <v>53</v>
      </c>
      <c r="J6148" t="s">
        <v>53</v>
      </c>
      <c r="K6148" t="s">
        <v>53</v>
      </c>
      <c r="L6148" t="s">
        <v>53</v>
      </c>
      <c r="M6148" t="s">
        <v>53</v>
      </c>
      <c r="N6148" t="s">
        <v>53</v>
      </c>
      <c r="O6148" t="s">
        <v>53</v>
      </c>
      <c r="P6148" t="s">
        <v>53</v>
      </c>
      <c r="Q6148" t="s">
        <v>53</v>
      </c>
    </row>
    <row r="6149" spans="1:17" x14ac:dyDescent="0.2">
      <c r="A6149" s="30" t="str">
        <f>IF(C6149&amp;G6149&amp;D6149&lt;&gt;'Funnel setup'!$K$3&amp;'Funnel setup'!$K$4&amp;'Funnel setup'!$K$5,".",IF(A6148=".",1,A6148+1))</f>
        <v>.</v>
      </c>
      <c r="B6149" s="431" t="str">
        <f t="shared" si="96"/>
        <v>Knee Replacement RevisionProviderGATESHEAD HEALTH NHS FOUNDATION TRUST (RR7)Oxford Knee Score</v>
      </c>
      <c r="C6149" t="s">
        <v>250</v>
      </c>
      <c r="D6149" t="s">
        <v>1</v>
      </c>
      <c r="E6149" t="s">
        <v>3867</v>
      </c>
      <c r="F6149" t="s">
        <v>3868</v>
      </c>
      <c r="G6149" t="s">
        <v>16</v>
      </c>
      <c r="H6149">
        <v>12</v>
      </c>
      <c r="I6149">
        <v>14.083</v>
      </c>
      <c r="J6149">
        <v>24.667000000000002</v>
      </c>
      <c r="K6149">
        <v>10.583</v>
      </c>
      <c r="L6149">
        <v>9</v>
      </c>
      <c r="M6149">
        <v>0</v>
      </c>
      <c r="N6149">
        <v>3</v>
      </c>
      <c r="O6149" t="s">
        <v>53</v>
      </c>
      <c r="P6149" t="s">
        <v>53</v>
      </c>
      <c r="Q6149" t="s">
        <v>53</v>
      </c>
    </row>
    <row r="6150" spans="1:17" x14ac:dyDescent="0.2">
      <c r="A6150" s="30" t="str">
        <f>IF(C6150&amp;G6150&amp;D6150&lt;&gt;'Funnel setup'!$K$3&amp;'Funnel setup'!$K$4&amp;'Funnel setup'!$K$5,".",IF(A6149=".",1,A6149+1))</f>
        <v>.</v>
      </c>
      <c r="B6150" s="431" t="str">
        <f t="shared" si="96"/>
        <v>Knee Replacement RevisionProviderGEORGE ELIOT HOSPITAL NHS TRUST (RLT)Oxford Knee Score</v>
      </c>
      <c r="C6150" t="s">
        <v>250</v>
      </c>
      <c r="D6150" t="s">
        <v>1</v>
      </c>
      <c r="E6150" t="s">
        <v>3870</v>
      </c>
      <c r="F6150" t="s">
        <v>3871</v>
      </c>
      <c r="G6150" t="s">
        <v>16</v>
      </c>
      <c r="H6150" t="s">
        <v>53</v>
      </c>
      <c r="I6150" t="s">
        <v>53</v>
      </c>
      <c r="J6150" t="s">
        <v>53</v>
      </c>
      <c r="K6150" t="s">
        <v>53</v>
      </c>
      <c r="L6150" t="s">
        <v>53</v>
      </c>
      <c r="M6150" t="s">
        <v>53</v>
      </c>
      <c r="N6150" t="s">
        <v>53</v>
      </c>
      <c r="O6150" t="s">
        <v>53</v>
      </c>
      <c r="P6150" t="s">
        <v>53</v>
      </c>
      <c r="Q6150" t="s">
        <v>53</v>
      </c>
    </row>
    <row r="6151" spans="1:17" x14ac:dyDescent="0.2">
      <c r="A6151" s="30" t="str">
        <f>IF(C6151&amp;G6151&amp;D6151&lt;&gt;'Funnel setup'!$K$3&amp;'Funnel setup'!$K$4&amp;'Funnel setup'!$K$5,".",IF(A6150=".",1,A6150+1))</f>
        <v>.</v>
      </c>
      <c r="B6151" s="431" t="str">
        <f t="shared" si="96"/>
        <v>Knee Replacement RevisionProviderGLOUCESTERSHIRE HOSPITALS NHS FOUNDATION TRUST (RTE)Oxford Knee Score</v>
      </c>
      <c r="C6151" t="s">
        <v>250</v>
      </c>
      <c r="D6151" t="s">
        <v>1</v>
      </c>
      <c r="E6151" t="s">
        <v>3873</v>
      </c>
      <c r="F6151" t="s">
        <v>3874</v>
      </c>
      <c r="G6151" t="s">
        <v>16</v>
      </c>
      <c r="H6151">
        <v>26</v>
      </c>
      <c r="I6151">
        <v>20.692</v>
      </c>
      <c r="J6151">
        <v>30.385000000000002</v>
      </c>
      <c r="K6151">
        <v>9.6920000000000002</v>
      </c>
      <c r="L6151">
        <v>20</v>
      </c>
      <c r="M6151">
        <v>0</v>
      </c>
      <c r="N6151">
        <v>6</v>
      </c>
      <c r="O6151" t="s">
        <v>53</v>
      </c>
      <c r="P6151" t="s">
        <v>53</v>
      </c>
      <c r="Q6151" t="s">
        <v>53</v>
      </c>
    </row>
    <row r="6152" spans="1:17" x14ac:dyDescent="0.2">
      <c r="A6152" s="30" t="str">
        <f>IF(C6152&amp;G6152&amp;D6152&lt;&gt;'Funnel setup'!$K$3&amp;'Funnel setup'!$K$4&amp;'Funnel setup'!$K$5,".",IF(A6151=".",1,A6151+1))</f>
        <v>.</v>
      </c>
      <c r="B6152" s="431" t="str">
        <f t="shared" si="96"/>
        <v>Knee Replacement RevisionProviderGREAT WESTERN HOSPITALS NHS FOUNDATION TRUST (RN3)Oxford Knee Score</v>
      </c>
      <c r="C6152" t="s">
        <v>250</v>
      </c>
      <c r="D6152" t="s">
        <v>1</v>
      </c>
      <c r="E6152" t="s">
        <v>3876</v>
      </c>
      <c r="F6152" t="s">
        <v>3877</v>
      </c>
      <c r="G6152" t="s">
        <v>16</v>
      </c>
      <c r="H6152">
        <v>17</v>
      </c>
      <c r="I6152">
        <v>16.117999999999999</v>
      </c>
      <c r="J6152">
        <v>25.706</v>
      </c>
      <c r="K6152">
        <v>9.5879999999999992</v>
      </c>
      <c r="L6152">
        <v>14</v>
      </c>
      <c r="M6152">
        <v>0</v>
      </c>
      <c r="N6152">
        <v>3</v>
      </c>
      <c r="O6152" t="s">
        <v>53</v>
      </c>
      <c r="P6152" t="s">
        <v>53</v>
      </c>
      <c r="Q6152" t="s">
        <v>53</v>
      </c>
    </row>
    <row r="6153" spans="1:17" x14ac:dyDescent="0.2">
      <c r="A6153" s="30" t="str">
        <f>IF(C6153&amp;G6153&amp;D6153&lt;&gt;'Funnel setup'!$K$3&amp;'Funnel setup'!$K$4&amp;'Funnel setup'!$K$5,".",IF(A6152=".",1,A6152+1))</f>
        <v>.</v>
      </c>
      <c r="B6153" s="431" t="str">
        <f t="shared" si="96"/>
        <v>Knee Replacement RevisionProviderGUY'S AND ST THOMAS' NHS FOUNDATION TRUST (RJ1)Oxford Knee Score</v>
      </c>
      <c r="C6153" t="s">
        <v>250</v>
      </c>
      <c r="D6153" t="s">
        <v>1</v>
      </c>
      <c r="E6153" t="s">
        <v>3879</v>
      </c>
      <c r="F6153" t="s">
        <v>3880</v>
      </c>
      <c r="G6153" t="s">
        <v>16</v>
      </c>
      <c r="H6153" t="s">
        <v>53</v>
      </c>
      <c r="I6153" t="s">
        <v>53</v>
      </c>
      <c r="J6153" t="s">
        <v>53</v>
      </c>
      <c r="K6153" t="s">
        <v>53</v>
      </c>
      <c r="L6153" t="s">
        <v>53</v>
      </c>
      <c r="M6153" t="s">
        <v>53</v>
      </c>
      <c r="N6153" t="s">
        <v>53</v>
      </c>
      <c r="O6153" t="s">
        <v>53</v>
      </c>
      <c r="P6153" t="s">
        <v>53</v>
      </c>
      <c r="Q6153" t="s">
        <v>53</v>
      </c>
    </row>
    <row r="6154" spans="1:17" x14ac:dyDescent="0.2">
      <c r="A6154" s="30" t="str">
        <f>IF(C6154&amp;G6154&amp;D6154&lt;&gt;'Funnel setup'!$K$3&amp;'Funnel setup'!$K$4&amp;'Funnel setup'!$K$5,".",IF(A6153=".",1,A6153+1))</f>
        <v>.</v>
      </c>
      <c r="B6154" s="431" t="str">
        <f t="shared" si="96"/>
        <v>Knee Replacement RevisionProviderHAMPSHIRE HOSPITALS NHS FOUNDATION TRUST (RN5)Oxford Knee Score</v>
      </c>
      <c r="C6154" t="s">
        <v>250</v>
      </c>
      <c r="D6154" t="s">
        <v>1</v>
      </c>
      <c r="E6154" t="s">
        <v>3882</v>
      </c>
      <c r="F6154" t="s">
        <v>3883</v>
      </c>
      <c r="G6154" t="s">
        <v>16</v>
      </c>
      <c r="H6154">
        <v>20</v>
      </c>
      <c r="I6154">
        <v>15.6</v>
      </c>
      <c r="J6154">
        <v>28.75</v>
      </c>
      <c r="K6154">
        <v>13.15</v>
      </c>
      <c r="L6154">
        <v>18</v>
      </c>
      <c r="M6154">
        <v>0</v>
      </c>
      <c r="N6154">
        <v>2</v>
      </c>
      <c r="O6154" t="s">
        <v>53</v>
      </c>
      <c r="P6154" t="s">
        <v>53</v>
      </c>
      <c r="Q6154" t="s">
        <v>53</v>
      </c>
    </row>
    <row r="6155" spans="1:17" x14ac:dyDescent="0.2">
      <c r="A6155" s="30" t="str">
        <f>IF(C6155&amp;G6155&amp;D6155&lt;&gt;'Funnel setup'!$K$3&amp;'Funnel setup'!$K$4&amp;'Funnel setup'!$K$5,".",IF(A6154=".",1,A6154+1))</f>
        <v>.</v>
      </c>
      <c r="B6155" s="431" t="str">
        <f t="shared" si="96"/>
        <v>Knee Replacement RevisionProviderHARROGATE AND DISTRICT NHS FOUNDATION TRUST (RCD)Oxford Knee Score</v>
      </c>
      <c r="C6155" t="s">
        <v>250</v>
      </c>
      <c r="D6155" t="s">
        <v>1</v>
      </c>
      <c r="E6155" t="s">
        <v>3885</v>
      </c>
      <c r="F6155" t="s">
        <v>3886</v>
      </c>
      <c r="G6155" t="s">
        <v>16</v>
      </c>
      <c r="H6155">
        <v>18</v>
      </c>
      <c r="I6155">
        <v>19.167000000000002</v>
      </c>
      <c r="J6155">
        <v>36.610999999999997</v>
      </c>
      <c r="K6155">
        <v>17.443999999999999</v>
      </c>
      <c r="L6155">
        <v>17</v>
      </c>
      <c r="M6155">
        <v>0</v>
      </c>
      <c r="N6155">
        <v>1</v>
      </c>
      <c r="O6155" t="s">
        <v>53</v>
      </c>
      <c r="P6155" t="s">
        <v>53</v>
      </c>
      <c r="Q6155" t="s">
        <v>53</v>
      </c>
    </row>
    <row r="6156" spans="1:17" x14ac:dyDescent="0.2">
      <c r="A6156" s="30" t="str">
        <f>IF(C6156&amp;G6156&amp;D6156&lt;&gt;'Funnel setup'!$K$3&amp;'Funnel setup'!$K$4&amp;'Funnel setup'!$K$5,".",IF(A6155=".",1,A6155+1))</f>
        <v>.</v>
      </c>
      <c r="B6156" s="431" t="str">
        <f t="shared" si="96"/>
        <v>Knee Replacement RevisionProviderHEART OF ENGLAND NHS FOUNDATION TRUST (RR1)Oxford Knee Score</v>
      </c>
      <c r="C6156" t="s">
        <v>250</v>
      </c>
      <c r="D6156" t="s">
        <v>1</v>
      </c>
      <c r="E6156" t="s">
        <v>3888</v>
      </c>
      <c r="F6156" t="s">
        <v>3889</v>
      </c>
      <c r="G6156" t="s">
        <v>16</v>
      </c>
      <c r="H6156">
        <v>11</v>
      </c>
      <c r="I6156">
        <v>15.909000000000001</v>
      </c>
      <c r="J6156">
        <v>25.181999999999999</v>
      </c>
      <c r="K6156">
        <v>9.2729999999999997</v>
      </c>
      <c r="L6156">
        <v>10</v>
      </c>
      <c r="M6156">
        <v>1</v>
      </c>
      <c r="N6156">
        <v>0</v>
      </c>
      <c r="O6156" t="s">
        <v>53</v>
      </c>
      <c r="P6156" t="s">
        <v>53</v>
      </c>
      <c r="Q6156" t="s">
        <v>53</v>
      </c>
    </row>
    <row r="6157" spans="1:17" x14ac:dyDescent="0.2">
      <c r="A6157" s="30" t="str">
        <f>IF(C6157&amp;G6157&amp;D6157&lt;&gt;'Funnel setup'!$K$3&amp;'Funnel setup'!$K$4&amp;'Funnel setup'!$K$5,".",IF(A6156=".",1,A6156+1))</f>
        <v>.</v>
      </c>
      <c r="B6157" s="431" t="str">
        <f t="shared" si="96"/>
        <v>Knee Replacement RevisionProviderHINCHINGBROOKE HEALTH CARE NHS TRUST (RQQ)Oxford Knee Score</v>
      </c>
      <c r="C6157" t="s">
        <v>250</v>
      </c>
      <c r="D6157" t="s">
        <v>1</v>
      </c>
      <c r="E6157" t="s">
        <v>3894</v>
      </c>
      <c r="F6157" t="s">
        <v>3895</v>
      </c>
      <c r="G6157" t="s">
        <v>16</v>
      </c>
      <c r="H6157">
        <v>14</v>
      </c>
      <c r="I6157">
        <v>16.713999999999999</v>
      </c>
      <c r="J6157">
        <v>24.571000000000002</v>
      </c>
      <c r="K6157">
        <v>7.8570000000000002</v>
      </c>
      <c r="L6157">
        <v>11</v>
      </c>
      <c r="M6157">
        <v>0</v>
      </c>
      <c r="N6157">
        <v>3</v>
      </c>
      <c r="O6157" t="s">
        <v>53</v>
      </c>
      <c r="P6157" t="s">
        <v>53</v>
      </c>
      <c r="Q6157" t="s">
        <v>53</v>
      </c>
    </row>
    <row r="6158" spans="1:17" x14ac:dyDescent="0.2">
      <c r="A6158" s="30" t="str">
        <f>IF(C6158&amp;G6158&amp;D6158&lt;&gt;'Funnel setup'!$K$3&amp;'Funnel setup'!$K$4&amp;'Funnel setup'!$K$5,".",IF(A6157=".",1,A6157+1))</f>
        <v>.</v>
      </c>
      <c r="B6158" s="431" t="str">
        <f t="shared" si="96"/>
        <v>Knee Replacement RevisionProviderHOMERTON UNIVERSITY HOSPITAL NHS FOUNDATION TRUST (RQX)Oxford Knee Score</v>
      </c>
      <c r="C6158" t="s">
        <v>250</v>
      </c>
      <c r="D6158" t="s">
        <v>1</v>
      </c>
      <c r="E6158" t="s">
        <v>3897</v>
      </c>
      <c r="F6158" t="s">
        <v>3898</v>
      </c>
      <c r="G6158" t="s">
        <v>16</v>
      </c>
      <c r="H6158" t="s">
        <v>53</v>
      </c>
      <c r="I6158" t="s">
        <v>53</v>
      </c>
      <c r="J6158" t="s">
        <v>53</v>
      </c>
      <c r="K6158" t="s">
        <v>53</v>
      </c>
      <c r="L6158" t="s">
        <v>53</v>
      </c>
      <c r="M6158" t="s">
        <v>53</v>
      </c>
      <c r="N6158" t="s">
        <v>53</v>
      </c>
      <c r="O6158" t="s">
        <v>53</v>
      </c>
      <c r="P6158" t="s">
        <v>53</v>
      </c>
      <c r="Q6158" t="s">
        <v>53</v>
      </c>
    </row>
    <row r="6159" spans="1:17" x14ac:dyDescent="0.2">
      <c r="A6159" s="30" t="str">
        <f>IF(C6159&amp;G6159&amp;D6159&lt;&gt;'Funnel setup'!$K$3&amp;'Funnel setup'!$K$4&amp;'Funnel setup'!$K$5,".",IF(A6158=".",1,A6158+1))</f>
        <v>.</v>
      </c>
      <c r="B6159" s="431" t="str">
        <f t="shared" si="96"/>
        <v>Knee Replacement RevisionProviderHORTON NHS TREATMENT CENTRE (NVC25)Oxford Knee Score</v>
      </c>
      <c r="C6159" t="s">
        <v>250</v>
      </c>
      <c r="D6159" t="s">
        <v>1</v>
      </c>
      <c r="E6159" t="s">
        <v>4553</v>
      </c>
      <c r="F6159" t="s">
        <v>4554</v>
      </c>
      <c r="G6159" t="s">
        <v>16</v>
      </c>
      <c r="H6159">
        <v>16</v>
      </c>
      <c r="I6159">
        <v>16.25</v>
      </c>
      <c r="J6159">
        <v>34.75</v>
      </c>
      <c r="K6159">
        <v>18.5</v>
      </c>
      <c r="L6159">
        <v>15</v>
      </c>
      <c r="M6159">
        <v>0</v>
      </c>
      <c r="N6159">
        <v>1</v>
      </c>
      <c r="O6159" t="s">
        <v>53</v>
      </c>
      <c r="P6159" t="s">
        <v>53</v>
      </c>
      <c r="Q6159" t="s">
        <v>53</v>
      </c>
    </row>
    <row r="6160" spans="1:17" x14ac:dyDescent="0.2">
      <c r="A6160" s="30" t="str">
        <f>IF(C6160&amp;G6160&amp;D6160&lt;&gt;'Funnel setup'!$K$3&amp;'Funnel setup'!$K$4&amp;'Funnel setup'!$K$5,".",IF(A6159=".",1,A6159+1))</f>
        <v>.</v>
      </c>
      <c r="B6160" s="431" t="str">
        <f t="shared" si="96"/>
        <v>Knee Replacement RevisionProviderHULL AND EAST YORKSHIRE HOSPITALS NHS TRUST (RWA)Oxford Knee Score</v>
      </c>
      <c r="C6160" t="s">
        <v>250</v>
      </c>
      <c r="D6160" t="s">
        <v>1</v>
      </c>
      <c r="E6160" t="s">
        <v>3906</v>
      </c>
      <c r="F6160" t="s">
        <v>3907</v>
      </c>
      <c r="G6160" t="s">
        <v>16</v>
      </c>
      <c r="H6160">
        <v>21</v>
      </c>
      <c r="I6160">
        <v>16.047999999999998</v>
      </c>
      <c r="J6160">
        <v>26.332999999999998</v>
      </c>
      <c r="K6160">
        <v>10.286</v>
      </c>
      <c r="L6160">
        <v>17</v>
      </c>
      <c r="M6160">
        <v>1</v>
      </c>
      <c r="N6160">
        <v>3</v>
      </c>
      <c r="O6160" t="s">
        <v>53</v>
      </c>
      <c r="P6160" t="s">
        <v>53</v>
      </c>
      <c r="Q6160" t="s">
        <v>53</v>
      </c>
    </row>
    <row r="6161" spans="1:17" x14ac:dyDescent="0.2">
      <c r="A6161" s="30" t="str">
        <f>IF(C6161&amp;G6161&amp;D6161&lt;&gt;'Funnel setup'!$K$3&amp;'Funnel setup'!$K$4&amp;'Funnel setup'!$K$5,".",IF(A6160=".",1,A6160+1))</f>
        <v>.</v>
      </c>
      <c r="B6161" s="431" t="str">
        <f t="shared" si="96"/>
        <v>Knee Replacement RevisionProviderIMPERIAL COLLEGE HEALTHCARE NHS TRUST (RYJ)Oxford Knee Score</v>
      </c>
      <c r="C6161" t="s">
        <v>250</v>
      </c>
      <c r="D6161" t="s">
        <v>1</v>
      </c>
      <c r="E6161" t="s">
        <v>4558</v>
      </c>
      <c r="F6161" t="s">
        <v>4559</v>
      </c>
      <c r="G6161" t="s">
        <v>16</v>
      </c>
      <c r="H6161" t="s">
        <v>53</v>
      </c>
      <c r="I6161" t="s">
        <v>53</v>
      </c>
      <c r="J6161" t="s">
        <v>53</v>
      </c>
      <c r="K6161" t="s">
        <v>53</v>
      </c>
      <c r="L6161" t="s">
        <v>53</v>
      </c>
      <c r="M6161" t="s">
        <v>53</v>
      </c>
      <c r="N6161" t="s">
        <v>53</v>
      </c>
      <c r="O6161" t="s">
        <v>53</v>
      </c>
      <c r="P6161" t="s">
        <v>53</v>
      </c>
      <c r="Q6161" t="s">
        <v>53</v>
      </c>
    </row>
    <row r="6162" spans="1:17" x14ac:dyDescent="0.2">
      <c r="A6162" s="30" t="str">
        <f>IF(C6162&amp;G6162&amp;D6162&lt;&gt;'Funnel setup'!$K$3&amp;'Funnel setup'!$K$4&amp;'Funnel setup'!$K$5,".",IF(A6161=".",1,A6161+1))</f>
        <v>.</v>
      </c>
      <c r="B6162" s="431" t="str">
        <f t="shared" si="96"/>
        <v>Knee Replacement RevisionProviderIPSWICH HOSPITAL NHS TRUST (RGQ)Oxford Knee Score</v>
      </c>
      <c r="C6162" t="s">
        <v>250</v>
      </c>
      <c r="D6162" t="s">
        <v>1</v>
      </c>
      <c r="E6162" t="s">
        <v>3909</v>
      </c>
      <c r="F6162" t="s">
        <v>3910</v>
      </c>
      <c r="G6162" t="s">
        <v>16</v>
      </c>
      <c r="H6162" t="s">
        <v>53</v>
      </c>
      <c r="I6162" t="s">
        <v>53</v>
      </c>
      <c r="J6162" t="s">
        <v>53</v>
      </c>
      <c r="K6162" t="s">
        <v>53</v>
      </c>
      <c r="L6162" t="s">
        <v>53</v>
      </c>
      <c r="M6162" t="s">
        <v>53</v>
      </c>
      <c r="N6162" t="s">
        <v>53</v>
      </c>
      <c r="O6162" t="s">
        <v>53</v>
      </c>
      <c r="P6162" t="s">
        <v>53</v>
      </c>
      <c r="Q6162" t="s">
        <v>53</v>
      </c>
    </row>
    <row r="6163" spans="1:17" x14ac:dyDescent="0.2">
      <c r="A6163" s="30" t="str">
        <f>IF(C6163&amp;G6163&amp;D6163&lt;&gt;'Funnel setup'!$K$3&amp;'Funnel setup'!$K$4&amp;'Funnel setup'!$K$5,".",IF(A6162=".",1,A6162+1))</f>
        <v>.</v>
      </c>
      <c r="B6163" s="431" t="str">
        <f t="shared" si="96"/>
        <v>Knee Replacement RevisionProviderISLE OF WIGHT NHS TRUST (R1F)Oxford Knee Score</v>
      </c>
      <c r="C6163" t="s">
        <v>250</v>
      </c>
      <c r="D6163" t="s">
        <v>1</v>
      </c>
      <c r="E6163" t="s">
        <v>3912</v>
      </c>
      <c r="F6163" t="s">
        <v>3913</v>
      </c>
      <c r="G6163" t="s">
        <v>16</v>
      </c>
      <c r="H6163" t="s">
        <v>53</v>
      </c>
      <c r="I6163" t="s">
        <v>53</v>
      </c>
      <c r="J6163" t="s">
        <v>53</v>
      </c>
      <c r="K6163" t="s">
        <v>53</v>
      </c>
      <c r="L6163" t="s">
        <v>53</v>
      </c>
      <c r="M6163" t="s">
        <v>53</v>
      </c>
      <c r="N6163" t="s">
        <v>53</v>
      </c>
      <c r="O6163" t="s">
        <v>53</v>
      </c>
      <c r="P6163" t="s">
        <v>53</v>
      </c>
      <c r="Q6163" t="s">
        <v>53</v>
      </c>
    </row>
    <row r="6164" spans="1:17" x14ac:dyDescent="0.2">
      <c r="A6164" s="30" t="str">
        <f>IF(C6164&amp;G6164&amp;D6164&lt;&gt;'Funnel setup'!$K$3&amp;'Funnel setup'!$K$4&amp;'Funnel setup'!$K$5,".",IF(A6163=".",1,A6163+1))</f>
        <v>.</v>
      </c>
      <c r="B6164" s="431" t="str">
        <f t="shared" si="96"/>
        <v>Knee Replacement RevisionProviderJAMES PAGET UNIVERSITY HOSPITALS NHS FOUNDATION TRUST (RGP)Oxford Knee Score</v>
      </c>
      <c r="C6164" t="s">
        <v>250</v>
      </c>
      <c r="D6164" t="s">
        <v>1</v>
      </c>
      <c r="E6164" t="s">
        <v>3915</v>
      </c>
      <c r="F6164" t="s">
        <v>3916</v>
      </c>
      <c r="G6164" t="s">
        <v>16</v>
      </c>
      <c r="H6164">
        <v>7</v>
      </c>
      <c r="I6164">
        <v>19.713999999999999</v>
      </c>
      <c r="J6164">
        <v>33.856999999999999</v>
      </c>
      <c r="K6164">
        <v>14.143000000000001</v>
      </c>
      <c r="L6164">
        <v>7</v>
      </c>
      <c r="M6164">
        <v>0</v>
      </c>
      <c r="N6164">
        <v>0</v>
      </c>
      <c r="O6164" t="s">
        <v>53</v>
      </c>
      <c r="P6164" t="s">
        <v>53</v>
      </c>
      <c r="Q6164" t="s">
        <v>53</v>
      </c>
    </row>
    <row r="6165" spans="1:17" x14ac:dyDescent="0.2">
      <c r="A6165" s="30" t="str">
        <f>IF(C6165&amp;G6165&amp;D6165&lt;&gt;'Funnel setup'!$K$3&amp;'Funnel setup'!$K$4&amp;'Funnel setup'!$K$5,".",IF(A6164=".",1,A6164+1))</f>
        <v>.</v>
      </c>
      <c r="B6165" s="431" t="str">
        <f t="shared" si="96"/>
        <v>Knee Replacement RevisionProviderKETTERING GENERAL HOSPITAL NHS FOUNDATION TRUST (RNQ)Oxford Knee Score</v>
      </c>
      <c r="C6165" t="s">
        <v>250</v>
      </c>
      <c r="D6165" t="s">
        <v>1</v>
      </c>
      <c r="E6165" t="s">
        <v>3918</v>
      </c>
      <c r="F6165" t="s">
        <v>3919</v>
      </c>
      <c r="G6165" t="s">
        <v>16</v>
      </c>
      <c r="H6165" t="s">
        <v>53</v>
      </c>
      <c r="I6165" t="s">
        <v>53</v>
      </c>
      <c r="J6165" t="s">
        <v>53</v>
      </c>
      <c r="K6165" t="s">
        <v>53</v>
      </c>
      <c r="L6165" t="s">
        <v>53</v>
      </c>
      <c r="M6165" t="s">
        <v>53</v>
      </c>
      <c r="N6165" t="s">
        <v>53</v>
      </c>
      <c r="O6165" t="s">
        <v>53</v>
      </c>
      <c r="P6165" t="s">
        <v>53</v>
      </c>
      <c r="Q6165" t="s">
        <v>53</v>
      </c>
    </row>
    <row r="6166" spans="1:17" x14ac:dyDescent="0.2">
      <c r="A6166" s="30" t="str">
        <f>IF(C6166&amp;G6166&amp;D6166&lt;&gt;'Funnel setup'!$K$3&amp;'Funnel setup'!$K$4&amp;'Funnel setup'!$K$5,".",IF(A6165=".",1,A6165+1))</f>
        <v>.</v>
      </c>
      <c r="B6166" s="431" t="str">
        <f t="shared" si="96"/>
        <v>Knee Replacement RevisionProviderKING'S COLLEGE HOSPITAL NHS FOUNDATION TRUST (RJZ)Oxford Knee Score</v>
      </c>
      <c r="C6166" t="s">
        <v>250</v>
      </c>
      <c r="D6166" t="s">
        <v>1</v>
      </c>
      <c r="E6166" t="s">
        <v>3924</v>
      </c>
      <c r="F6166" t="s">
        <v>3925</v>
      </c>
      <c r="G6166" t="s">
        <v>16</v>
      </c>
      <c r="H6166">
        <v>7</v>
      </c>
      <c r="I6166">
        <v>18.856999999999999</v>
      </c>
      <c r="J6166">
        <v>27</v>
      </c>
      <c r="K6166">
        <v>8.1430000000000007</v>
      </c>
      <c r="L6166">
        <v>5</v>
      </c>
      <c r="M6166">
        <v>0</v>
      </c>
      <c r="N6166">
        <v>2</v>
      </c>
      <c r="O6166" t="s">
        <v>53</v>
      </c>
      <c r="P6166" t="s">
        <v>53</v>
      </c>
      <c r="Q6166" t="s">
        <v>53</v>
      </c>
    </row>
    <row r="6167" spans="1:17" x14ac:dyDescent="0.2">
      <c r="A6167" s="30" t="str">
        <f>IF(C6167&amp;G6167&amp;D6167&lt;&gt;'Funnel setup'!$K$3&amp;'Funnel setup'!$K$4&amp;'Funnel setup'!$K$5,".",IF(A6166=".",1,A6166+1))</f>
        <v>.</v>
      </c>
      <c r="B6167" s="431" t="str">
        <f t="shared" si="96"/>
        <v>Knee Replacement RevisionProviderLANCASHIRE TEACHING HOSPITALS NHS FOUNDATION TRUST (RXN)Oxford Knee Score</v>
      </c>
      <c r="C6167" t="s">
        <v>250</v>
      </c>
      <c r="D6167" t="s">
        <v>1</v>
      </c>
      <c r="E6167" t="s">
        <v>3567</v>
      </c>
      <c r="F6167" t="s">
        <v>3568</v>
      </c>
      <c r="G6167" t="s">
        <v>16</v>
      </c>
      <c r="H6167">
        <v>11</v>
      </c>
      <c r="I6167">
        <v>16.908999999999999</v>
      </c>
      <c r="J6167">
        <v>24.545000000000002</v>
      </c>
      <c r="K6167">
        <v>7.6360000000000001</v>
      </c>
      <c r="L6167">
        <v>9</v>
      </c>
      <c r="M6167">
        <v>0</v>
      </c>
      <c r="N6167">
        <v>2</v>
      </c>
      <c r="O6167" t="s">
        <v>53</v>
      </c>
      <c r="P6167" t="s">
        <v>53</v>
      </c>
      <c r="Q6167" t="s">
        <v>53</v>
      </c>
    </row>
    <row r="6168" spans="1:17" x14ac:dyDescent="0.2">
      <c r="A6168" s="30" t="str">
        <f>IF(C6168&amp;G6168&amp;D6168&lt;&gt;'Funnel setup'!$K$3&amp;'Funnel setup'!$K$4&amp;'Funnel setup'!$K$5,".",IF(A6167=".",1,A6167+1))</f>
        <v>.</v>
      </c>
      <c r="B6168" s="431" t="str">
        <f t="shared" si="96"/>
        <v>Knee Replacement RevisionProviderLEEDS TEACHING HOSPITALS NHS TRUST (RR8)Oxford Knee Score</v>
      </c>
      <c r="C6168" t="s">
        <v>250</v>
      </c>
      <c r="D6168" t="s">
        <v>1</v>
      </c>
      <c r="E6168" t="s">
        <v>3930</v>
      </c>
      <c r="F6168" t="s">
        <v>344</v>
      </c>
      <c r="G6168" t="s">
        <v>16</v>
      </c>
      <c r="H6168">
        <v>10</v>
      </c>
      <c r="I6168">
        <v>15.7</v>
      </c>
      <c r="J6168">
        <v>31.4</v>
      </c>
      <c r="K6168">
        <v>15.7</v>
      </c>
      <c r="L6168">
        <v>10</v>
      </c>
      <c r="M6168">
        <v>0</v>
      </c>
      <c r="N6168">
        <v>0</v>
      </c>
      <c r="O6168" t="s">
        <v>53</v>
      </c>
      <c r="P6168" t="s">
        <v>53</v>
      </c>
      <c r="Q6168" t="s">
        <v>53</v>
      </c>
    </row>
    <row r="6169" spans="1:17" x14ac:dyDescent="0.2">
      <c r="A6169" s="30" t="str">
        <f>IF(C6169&amp;G6169&amp;D6169&lt;&gt;'Funnel setup'!$K$3&amp;'Funnel setup'!$K$4&amp;'Funnel setup'!$K$5,".",IF(A6168=".",1,A6168+1))</f>
        <v>.</v>
      </c>
      <c r="B6169" s="431" t="str">
        <f t="shared" si="96"/>
        <v>Knee Replacement RevisionProviderLEWISHAM AND GREENWICH NHS TRUST (RJ2)Oxford Knee Score</v>
      </c>
      <c r="C6169" t="s">
        <v>250</v>
      </c>
      <c r="D6169" t="s">
        <v>1</v>
      </c>
      <c r="E6169" t="s">
        <v>3522</v>
      </c>
      <c r="F6169" t="s">
        <v>3523</v>
      </c>
      <c r="G6169" t="s">
        <v>16</v>
      </c>
      <c r="H6169">
        <v>6</v>
      </c>
      <c r="I6169">
        <v>10.833</v>
      </c>
      <c r="J6169">
        <v>21</v>
      </c>
      <c r="K6169">
        <v>10.167</v>
      </c>
      <c r="L6169">
        <v>5</v>
      </c>
      <c r="M6169">
        <v>0</v>
      </c>
      <c r="N6169">
        <v>1</v>
      </c>
      <c r="O6169" t="s">
        <v>53</v>
      </c>
      <c r="P6169" t="s">
        <v>53</v>
      </c>
      <c r="Q6169" t="s">
        <v>53</v>
      </c>
    </row>
    <row r="6170" spans="1:17" x14ac:dyDescent="0.2">
      <c r="A6170" s="30" t="str">
        <f>IF(C6170&amp;G6170&amp;D6170&lt;&gt;'Funnel setup'!$K$3&amp;'Funnel setup'!$K$4&amp;'Funnel setup'!$K$5,".",IF(A6169=".",1,A6169+1))</f>
        <v>.</v>
      </c>
      <c r="B6170" s="431" t="str">
        <f t="shared" si="96"/>
        <v>Knee Replacement RevisionProviderLONDON NORTH WEST HEALTHCARE NHS TRUST (R1K)Oxford Knee Score</v>
      </c>
      <c r="C6170" t="s">
        <v>250</v>
      </c>
      <c r="D6170" t="s">
        <v>1</v>
      </c>
      <c r="E6170" t="s">
        <v>6515</v>
      </c>
      <c r="F6170" t="s">
        <v>6516</v>
      </c>
      <c r="G6170" t="s">
        <v>16</v>
      </c>
      <c r="H6170">
        <v>9</v>
      </c>
      <c r="I6170">
        <v>17.443999999999999</v>
      </c>
      <c r="J6170">
        <v>29.222000000000001</v>
      </c>
      <c r="K6170">
        <v>11.778</v>
      </c>
      <c r="L6170">
        <v>6</v>
      </c>
      <c r="M6170">
        <v>0</v>
      </c>
      <c r="N6170">
        <v>3</v>
      </c>
      <c r="O6170" t="s">
        <v>53</v>
      </c>
      <c r="P6170" t="s">
        <v>53</v>
      </c>
      <c r="Q6170" t="s">
        <v>53</v>
      </c>
    </row>
    <row r="6171" spans="1:17" x14ac:dyDescent="0.2">
      <c r="A6171" s="30" t="str">
        <f>IF(C6171&amp;G6171&amp;D6171&lt;&gt;'Funnel setup'!$K$3&amp;'Funnel setup'!$K$4&amp;'Funnel setup'!$K$5,".",IF(A6170=".",1,A6170+1))</f>
        <v>.</v>
      </c>
      <c r="B6171" s="431" t="str">
        <f t="shared" si="96"/>
        <v>Knee Replacement RevisionProviderLUTON AND DUNSTABLE UNIVERSITY HOSPITAL NHS FOUNDATION TRUST (RC9)Oxford Knee Score</v>
      </c>
      <c r="C6171" t="s">
        <v>250</v>
      </c>
      <c r="D6171" t="s">
        <v>1</v>
      </c>
      <c r="E6171" t="s">
        <v>3528</v>
      </c>
      <c r="F6171" t="s">
        <v>3529</v>
      </c>
      <c r="G6171" t="s">
        <v>16</v>
      </c>
      <c r="H6171" t="s">
        <v>53</v>
      </c>
      <c r="I6171" t="s">
        <v>53</v>
      </c>
      <c r="J6171" t="s">
        <v>53</v>
      </c>
      <c r="K6171" t="s">
        <v>53</v>
      </c>
      <c r="L6171" t="s">
        <v>53</v>
      </c>
      <c r="M6171" t="s">
        <v>53</v>
      </c>
      <c r="N6171" t="s">
        <v>53</v>
      </c>
      <c r="O6171" t="s">
        <v>53</v>
      </c>
      <c r="P6171" t="s">
        <v>53</v>
      </c>
      <c r="Q6171" t="s">
        <v>53</v>
      </c>
    </row>
    <row r="6172" spans="1:17" x14ac:dyDescent="0.2">
      <c r="A6172" s="30" t="str">
        <f>IF(C6172&amp;G6172&amp;D6172&lt;&gt;'Funnel setup'!$K$3&amp;'Funnel setup'!$K$4&amp;'Funnel setup'!$K$5,".",IF(A6171=".",1,A6171+1))</f>
        <v>.</v>
      </c>
      <c r="B6172" s="431" t="str">
        <f t="shared" si="96"/>
        <v>Knee Replacement RevisionProviderMAIDSTONE AND TUNBRIDGE WELLS NHS TRUST (RWF)Oxford Knee Score</v>
      </c>
      <c r="C6172" t="s">
        <v>250</v>
      </c>
      <c r="D6172" t="s">
        <v>1</v>
      </c>
      <c r="E6172" t="s">
        <v>3627</v>
      </c>
      <c r="F6172" t="s">
        <v>3628</v>
      </c>
      <c r="G6172" t="s">
        <v>16</v>
      </c>
      <c r="H6172" t="s">
        <v>53</v>
      </c>
      <c r="I6172" t="s">
        <v>53</v>
      </c>
      <c r="J6172" t="s">
        <v>53</v>
      </c>
      <c r="K6172" t="s">
        <v>53</v>
      </c>
      <c r="L6172" t="s">
        <v>53</v>
      </c>
      <c r="M6172" t="s">
        <v>53</v>
      </c>
      <c r="N6172" t="s">
        <v>53</v>
      </c>
      <c r="O6172" t="s">
        <v>53</v>
      </c>
      <c r="P6172" t="s">
        <v>53</v>
      </c>
      <c r="Q6172" t="s">
        <v>53</v>
      </c>
    </row>
    <row r="6173" spans="1:17" x14ac:dyDescent="0.2">
      <c r="A6173" s="30" t="str">
        <f>IF(C6173&amp;G6173&amp;D6173&lt;&gt;'Funnel setup'!$K$3&amp;'Funnel setup'!$K$4&amp;'Funnel setup'!$K$5,".",IF(A6172=".",1,A6172+1))</f>
        <v>.</v>
      </c>
      <c r="B6173" s="431" t="str">
        <f t="shared" si="96"/>
        <v>Knee Replacement RevisionProviderMEDWAY NHS FOUNDATION TRUST (RPA)Oxford Knee Score</v>
      </c>
      <c r="C6173" t="s">
        <v>250</v>
      </c>
      <c r="D6173" t="s">
        <v>1</v>
      </c>
      <c r="E6173" t="s">
        <v>3630</v>
      </c>
      <c r="F6173" t="s">
        <v>3631</v>
      </c>
      <c r="G6173" t="s">
        <v>16</v>
      </c>
      <c r="H6173" t="s">
        <v>53</v>
      </c>
      <c r="I6173" t="s">
        <v>53</v>
      </c>
      <c r="J6173" t="s">
        <v>53</v>
      </c>
      <c r="K6173" t="s">
        <v>53</v>
      </c>
      <c r="L6173" t="s">
        <v>53</v>
      </c>
      <c r="M6173" t="s">
        <v>53</v>
      </c>
      <c r="N6173" t="s">
        <v>53</v>
      </c>
      <c r="O6173" t="s">
        <v>53</v>
      </c>
      <c r="P6173" t="s">
        <v>53</v>
      </c>
      <c r="Q6173" t="s">
        <v>53</v>
      </c>
    </row>
    <row r="6174" spans="1:17" x14ac:dyDescent="0.2">
      <c r="A6174" s="30" t="str">
        <f>IF(C6174&amp;G6174&amp;D6174&lt;&gt;'Funnel setup'!$K$3&amp;'Funnel setup'!$K$4&amp;'Funnel setup'!$K$5,".",IF(A6173=".",1,A6173+1))</f>
        <v>.</v>
      </c>
      <c r="B6174" s="431" t="str">
        <f t="shared" si="96"/>
        <v>Knee Replacement RevisionProviderMID CHESHIRE HOSPITALS NHS FOUNDATION TRUST (RBT)Oxford Knee Score</v>
      </c>
      <c r="C6174" t="s">
        <v>250</v>
      </c>
      <c r="D6174" t="s">
        <v>1</v>
      </c>
      <c r="E6174" t="s">
        <v>3633</v>
      </c>
      <c r="F6174" t="s">
        <v>342</v>
      </c>
      <c r="G6174" t="s">
        <v>16</v>
      </c>
      <c r="H6174">
        <v>6</v>
      </c>
      <c r="I6174">
        <v>19.167000000000002</v>
      </c>
      <c r="J6174">
        <v>29.5</v>
      </c>
      <c r="K6174">
        <v>10.333</v>
      </c>
      <c r="L6174">
        <v>5</v>
      </c>
      <c r="M6174">
        <v>0</v>
      </c>
      <c r="N6174">
        <v>1</v>
      </c>
      <c r="O6174" t="s">
        <v>53</v>
      </c>
      <c r="P6174" t="s">
        <v>53</v>
      </c>
      <c r="Q6174" t="s">
        <v>53</v>
      </c>
    </row>
    <row r="6175" spans="1:17" x14ac:dyDescent="0.2">
      <c r="A6175" s="30" t="str">
        <f>IF(C6175&amp;G6175&amp;D6175&lt;&gt;'Funnel setup'!$K$3&amp;'Funnel setup'!$K$4&amp;'Funnel setup'!$K$5,".",IF(A6174=".",1,A6174+1))</f>
        <v>.</v>
      </c>
      <c r="B6175" s="431" t="str">
        <f t="shared" si="96"/>
        <v>Knee Replacement RevisionProviderMID ESSEX HOSPITAL SERVICES NHS TRUST (RQ8)Oxford Knee Score</v>
      </c>
      <c r="C6175" t="s">
        <v>250</v>
      </c>
      <c r="D6175" t="s">
        <v>1</v>
      </c>
      <c r="E6175" t="s">
        <v>3635</v>
      </c>
      <c r="F6175" t="s">
        <v>3636</v>
      </c>
      <c r="G6175" t="s">
        <v>16</v>
      </c>
      <c r="H6175">
        <v>10</v>
      </c>
      <c r="I6175">
        <v>13</v>
      </c>
      <c r="J6175">
        <v>18.7</v>
      </c>
      <c r="K6175">
        <v>5.7</v>
      </c>
      <c r="L6175">
        <v>6</v>
      </c>
      <c r="M6175">
        <v>0</v>
      </c>
      <c r="N6175">
        <v>4</v>
      </c>
      <c r="O6175" t="s">
        <v>53</v>
      </c>
      <c r="P6175" t="s">
        <v>53</v>
      </c>
      <c r="Q6175" t="s">
        <v>53</v>
      </c>
    </row>
    <row r="6176" spans="1:17" x14ac:dyDescent="0.2">
      <c r="A6176" s="30" t="str">
        <f>IF(C6176&amp;G6176&amp;D6176&lt;&gt;'Funnel setup'!$K$3&amp;'Funnel setup'!$K$4&amp;'Funnel setup'!$K$5,".",IF(A6175=".",1,A6175+1))</f>
        <v>.</v>
      </c>
      <c r="B6176" s="431" t="str">
        <f t="shared" si="96"/>
        <v>Knee Replacement RevisionProviderMID STAFFORDSHIRE NHS FOUNDATION TRUST (RJD)Oxford Knee Score</v>
      </c>
      <c r="C6176" t="s">
        <v>250</v>
      </c>
      <c r="D6176" t="s">
        <v>1</v>
      </c>
      <c r="E6176" t="s">
        <v>3638</v>
      </c>
      <c r="F6176" t="s">
        <v>3639</v>
      </c>
      <c r="G6176" t="s">
        <v>16</v>
      </c>
      <c r="H6176" t="s">
        <v>53</v>
      </c>
      <c r="I6176" t="s">
        <v>53</v>
      </c>
      <c r="J6176" t="s">
        <v>53</v>
      </c>
      <c r="K6176" t="s">
        <v>53</v>
      </c>
      <c r="L6176" t="s">
        <v>53</v>
      </c>
      <c r="M6176" t="s">
        <v>53</v>
      </c>
      <c r="N6176" t="s">
        <v>53</v>
      </c>
      <c r="O6176" t="s">
        <v>53</v>
      </c>
      <c r="P6176" t="s">
        <v>53</v>
      </c>
      <c r="Q6176" t="s">
        <v>53</v>
      </c>
    </row>
    <row r="6177" spans="1:17" x14ac:dyDescent="0.2">
      <c r="A6177" s="30" t="str">
        <f>IF(C6177&amp;G6177&amp;D6177&lt;&gt;'Funnel setup'!$K$3&amp;'Funnel setup'!$K$4&amp;'Funnel setup'!$K$5,".",IF(A6176=".",1,A6176+1))</f>
        <v>.</v>
      </c>
      <c r="B6177" s="431" t="str">
        <f t="shared" si="96"/>
        <v>Knee Replacement RevisionProviderMID YORKSHIRE HOSPITALS NHS TRUST (RXF)Oxford Knee Score</v>
      </c>
      <c r="C6177" t="s">
        <v>250</v>
      </c>
      <c r="D6177" t="s">
        <v>1</v>
      </c>
      <c r="E6177" t="s">
        <v>3641</v>
      </c>
      <c r="F6177" t="s">
        <v>3642</v>
      </c>
      <c r="G6177" t="s">
        <v>16</v>
      </c>
      <c r="H6177">
        <v>10</v>
      </c>
      <c r="I6177">
        <v>16.3</v>
      </c>
      <c r="J6177">
        <v>24.4</v>
      </c>
      <c r="K6177">
        <v>8.1</v>
      </c>
      <c r="L6177">
        <v>8</v>
      </c>
      <c r="M6177">
        <v>0</v>
      </c>
      <c r="N6177">
        <v>2</v>
      </c>
      <c r="O6177" t="s">
        <v>53</v>
      </c>
      <c r="P6177" t="s">
        <v>53</v>
      </c>
      <c r="Q6177" t="s">
        <v>53</v>
      </c>
    </row>
    <row r="6178" spans="1:17" x14ac:dyDescent="0.2">
      <c r="A6178" s="30" t="str">
        <f>IF(C6178&amp;G6178&amp;D6178&lt;&gt;'Funnel setup'!$K$3&amp;'Funnel setup'!$K$4&amp;'Funnel setup'!$K$5,".",IF(A6177=".",1,A6177+1))</f>
        <v>.</v>
      </c>
      <c r="B6178" s="431" t="str">
        <f t="shared" si="96"/>
        <v>Knee Replacement RevisionProviderMILTON KEYNES UNIVERSITY HOSPITAL NHS FOUNDATION TRUST (RD8)Oxford Knee Score</v>
      </c>
      <c r="C6178" t="s">
        <v>250</v>
      </c>
      <c r="D6178" t="s">
        <v>1</v>
      </c>
      <c r="E6178" t="s">
        <v>3643</v>
      </c>
      <c r="F6178" t="s">
        <v>6580</v>
      </c>
      <c r="G6178" t="s">
        <v>16</v>
      </c>
      <c r="H6178">
        <v>10</v>
      </c>
      <c r="I6178">
        <v>10.9</v>
      </c>
      <c r="J6178">
        <v>29</v>
      </c>
      <c r="K6178">
        <v>18.100000000000001</v>
      </c>
      <c r="L6178">
        <v>10</v>
      </c>
      <c r="M6178">
        <v>0</v>
      </c>
      <c r="N6178">
        <v>0</v>
      </c>
      <c r="O6178" t="s">
        <v>53</v>
      </c>
      <c r="P6178" t="s">
        <v>53</v>
      </c>
      <c r="Q6178" t="s">
        <v>53</v>
      </c>
    </row>
    <row r="6179" spans="1:17" x14ac:dyDescent="0.2">
      <c r="A6179" s="30" t="str">
        <f>IF(C6179&amp;G6179&amp;D6179&lt;&gt;'Funnel setup'!$K$3&amp;'Funnel setup'!$K$4&amp;'Funnel setup'!$K$5,".",IF(A6178=".",1,A6178+1))</f>
        <v>.</v>
      </c>
      <c r="B6179" s="431" t="str">
        <f t="shared" si="96"/>
        <v>Knee Replacement RevisionProviderNEW HALL HOSPITAL (NVC09)Oxford Knee Score</v>
      </c>
      <c r="C6179" t="s">
        <v>250</v>
      </c>
      <c r="D6179" t="s">
        <v>1</v>
      </c>
      <c r="E6179" t="s">
        <v>3648</v>
      </c>
      <c r="F6179" t="s">
        <v>3649</v>
      </c>
      <c r="G6179" t="s">
        <v>16</v>
      </c>
      <c r="H6179">
        <v>10</v>
      </c>
      <c r="I6179">
        <v>19.5</v>
      </c>
      <c r="J6179">
        <v>26</v>
      </c>
      <c r="K6179">
        <v>6.5</v>
      </c>
      <c r="L6179">
        <v>8</v>
      </c>
      <c r="M6179">
        <v>0</v>
      </c>
      <c r="N6179">
        <v>2</v>
      </c>
      <c r="O6179" t="s">
        <v>53</v>
      </c>
      <c r="P6179" t="s">
        <v>53</v>
      </c>
      <c r="Q6179" t="s">
        <v>53</v>
      </c>
    </row>
    <row r="6180" spans="1:17" x14ac:dyDescent="0.2">
      <c r="A6180" s="30" t="str">
        <f>IF(C6180&amp;G6180&amp;D6180&lt;&gt;'Funnel setup'!$K$3&amp;'Funnel setup'!$K$4&amp;'Funnel setup'!$K$5,".",IF(A6179=".",1,A6179+1))</f>
        <v>.</v>
      </c>
      <c r="B6180" s="431" t="str">
        <f t="shared" si="96"/>
        <v>Knee Replacement RevisionProviderNORFOLK AND NORWICH UNIVERSITY HOSPITALS NHS FOUNDATION TRUST (RM1)Oxford Knee Score</v>
      </c>
      <c r="C6180" t="s">
        <v>250</v>
      </c>
      <c r="D6180" t="s">
        <v>1</v>
      </c>
      <c r="E6180" t="s">
        <v>3651</v>
      </c>
      <c r="F6180" t="s">
        <v>3652</v>
      </c>
      <c r="G6180" t="s">
        <v>16</v>
      </c>
      <c r="H6180">
        <v>31</v>
      </c>
      <c r="I6180">
        <v>17.742000000000001</v>
      </c>
      <c r="J6180">
        <v>30.968</v>
      </c>
      <c r="K6180">
        <v>13.226000000000001</v>
      </c>
      <c r="L6180">
        <v>26</v>
      </c>
      <c r="M6180">
        <v>0</v>
      </c>
      <c r="N6180">
        <v>5</v>
      </c>
      <c r="O6180">
        <v>30.236000000000001</v>
      </c>
      <c r="P6180">
        <v>13.729754140000001</v>
      </c>
      <c r="Q6180">
        <v>10.885999999999999</v>
      </c>
    </row>
    <row r="6181" spans="1:17" x14ac:dyDescent="0.2">
      <c r="A6181" s="30" t="str">
        <f>IF(C6181&amp;G6181&amp;D6181&lt;&gt;'Funnel setup'!$K$3&amp;'Funnel setup'!$K$4&amp;'Funnel setup'!$K$5,".",IF(A6180=".",1,A6180+1))</f>
        <v>.</v>
      </c>
      <c r="B6181" s="431" t="str">
        <f t="shared" si="96"/>
        <v>Knee Replacement RevisionProviderNORTH BRISTOL NHS TRUST (RVJ)Oxford Knee Score</v>
      </c>
      <c r="C6181" t="s">
        <v>250</v>
      </c>
      <c r="D6181" t="s">
        <v>1</v>
      </c>
      <c r="E6181" t="s">
        <v>3654</v>
      </c>
      <c r="F6181" t="s">
        <v>3655</v>
      </c>
      <c r="G6181" t="s">
        <v>16</v>
      </c>
      <c r="H6181">
        <v>19</v>
      </c>
      <c r="I6181">
        <v>16.367999999999999</v>
      </c>
      <c r="J6181">
        <v>31.895</v>
      </c>
      <c r="K6181">
        <v>15.526</v>
      </c>
      <c r="L6181">
        <v>18</v>
      </c>
      <c r="M6181">
        <v>1</v>
      </c>
      <c r="N6181">
        <v>0</v>
      </c>
      <c r="O6181" t="s">
        <v>53</v>
      </c>
      <c r="P6181" t="s">
        <v>53</v>
      </c>
      <c r="Q6181" t="s">
        <v>53</v>
      </c>
    </row>
    <row r="6182" spans="1:17" x14ac:dyDescent="0.2">
      <c r="A6182" s="30" t="str">
        <f>IF(C6182&amp;G6182&amp;D6182&lt;&gt;'Funnel setup'!$K$3&amp;'Funnel setup'!$K$4&amp;'Funnel setup'!$K$5,".",IF(A6181=".",1,A6181+1))</f>
        <v>.</v>
      </c>
      <c r="B6182" s="431" t="str">
        <f t="shared" si="96"/>
        <v>Knee Replacement RevisionProviderNORTH CUMBRIA UNIVERSITY HOSPITALS NHS TRUST (RNL)Oxford Knee Score</v>
      </c>
      <c r="C6182" t="s">
        <v>250</v>
      </c>
      <c r="D6182" t="s">
        <v>1</v>
      </c>
      <c r="E6182" t="s">
        <v>3657</v>
      </c>
      <c r="F6182" t="s">
        <v>3658</v>
      </c>
      <c r="G6182" t="s">
        <v>16</v>
      </c>
      <c r="H6182" t="s">
        <v>53</v>
      </c>
      <c r="I6182" t="s">
        <v>53</v>
      </c>
      <c r="J6182" t="s">
        <v>53</v>
      </c>
      <c r="K6182" t="s">
        <v>53</v>
      </c>
      <c r="L6182" t="s">
        <v>53</v>
      </c>
      <c r="M6182" t="s">
        <v>53</v>
      </c>
      <c r="N6182" t="s">
        <v>53</v>
      </c>
      <c r="O6182" t="s">
        <v>53</v>
      </c>
      <c r="P6182" t="s">
        <v>53</v>
      </c>
      <c r="Q6182" t="s">
        <v>53</v>
      </c>
    </row>
    <row r="6183" spans="1:17" x14ac:dyDescent="0.2">
      <c r="A6183" s="30" t="str">
        <f>IF(C6183&amp;G6183&amp;D6183&lt;&gt;'Funnel setup'!$K$3&amp;'Funnel setup'!$K$4&amp;'Funnel setup'!$K$5,".",IF(A6182=".",1,A6182+1))</f>
        <v>.</v>
      </c>
      <c r="B6183" s="431" t="str">
        <f t="shared" si="96"/>
        <v>Knee Replacement RevisionProviderNORTH DOWNS HOSPITAL (NVC11)Oxford Knee Score</v>
      </c>
      <c r="C6183" t="s">
        <v>250</v>
      </c>
      <c r="D6183" t="s">
        <v>1</v>
      </c>
      <c r="E6183" t="s">
        <v>3660</v>
      </c>
      <c r="F6183" t="s">
        <v>3661</v>
      </c>
      <c r="G6183" t="s">
        <v>16</v>
      </c>
      <c r="H6183" t="s">
        <v>53</v>
      </c>
      <c r="I6183" t="s">
        <v>53</v>
      </c>
      <c r="J6183" t="s">
        <v>53</v>
      </c>
      <c r="K6183" t="s">
        <v>53</v>
      </c>
      <c r="L6183" t="s">
        <v>53</v>
      </c>
      <c r="M6183" t="s">
        <v>53</v>
      </c>
      <c r="N6183" t="s">
        <v>53</v>
      </c>
      <c r="O6183" t="s">
        <v>53</v>
      </c>
      <c r="P6183" t="s">
        <v>53</v>
      </c>
      <c r="Q6183" t="s">
        <v>53</v>
      </c>
    </row>
    <row r="6184" spans="1:17" x14ac:dyDescent="0.2">
      <c r="A6184" s="30" t="str">
        <f>IF(C6184&amp;G6184&amp;D6184&lt;&gt;'Funnel setup'!$K$3&amp;'Funnel setup'!$K$4&amp;'Funnel setup'!$K$5,".",IF(A6183=".",1,A6183+1))</f>
        <v>.</v>
      </c>
      <c r="B6184" s="431" t="str">
        <f t="shared" si="96"/>
        <v>Knee Replacement RevisionProviderNORTH EAST LONDON TREATMENT CENTRE CARE UK (NTP15)Oxford Knee Score</v>
      </c>
      <c r="C6184" t="s">
        <v>250</v>
      </c>
      <c r="D6184" t="s">
        <v>1</v>
      </c>
      <c r="E6184" t="s">
        <v>3663</v>
      </c>
      <c r="F6184" t="s">
        <v>3664</v>
      </c>
      <c r="G6184" t="s">
        <v>16</v>
      </c>
      <c r="H6184" t="s">
        <v>53</v>
      </c>
      <c r="I6184" t="s">
        <v>53</v>
      </c>
      <c r="J6184" t="s">
        <v>53</v>
      </c>
      <c r="K6184" t="s">
        <v>53</v>
      </c>
      <c r="L6184" t="s">
        <v>53</v>
      </c>
      <c r="M6184" t="s">
        <v>53</v>
      </c>
      <c r="N6184" t="s">
        <v>53</v>
      </c>
      <c r="O6184" t="s">
        <v>53</v>
      </c>
      <c r="P6184" t="s">
        <v>53</v>
      </c>
      <c r="Q6184" t="s">
        <v>53</v>
      </c>
    </row>
    <row r="6185" spans="1:17" x14ac:dyDescent="0.2">
      <c r="A6185" s="30" t="str">
        <f>IF(C6185&amp;G6185&amp;D6185&lt;&gt;'Funnel setup'!$K$3&amp;'Funnel setup'!$K$4&amp;'Funnel setup'!$K$5,".",IF(A6184=".",1,A6184+1))</f>
        <v>.</v>
      </c>
      <c r="B6185" s="431" t="str">
        <f t="shared" si="96"/>
        <v>Knee Replacement RevisionProviderNORTH MIDDLESEX UNIVERSITY HOSPITAL NHS TRUST (RAP)Oxford Knee Score</v>
      </c>
      <c r="C6185" t="s">
        <v>250</v>
      </c>
      <c r="D6185" t="s">
        <v>1</v>
      </c>
      <c r="E6185" t="s">
        <v>3666</v>
      </c>
      <c r="F6185" t="s">
        <v>3667</v>
      </c>
      <c r="G6185" t="s">
        <v>16</v>
      </c>
      <c r="H6185" t="s">
        <v>53</v>
      </c>
      <c r="I6185" t="s">
        <v>53</v>
      </c>
      <c r="J6185" t="s">
        <v>53</v>
      </c>
      <c r="K6185" t="s">
        <v>53</v>
      </c>
      <c r="L6185" t="s">
        <v>53</v>
      </c>
      <c r="M6185" t="s">
        <v>53</v>
      </c>
      <c r="N6185" t="s">
        <v>53</v>
      </c>
      <c r="O6185" t="s">
        <v>53</v>
      </c>
      <c r="P6185" t="s">
        <v>53</v>
      </c>
      <c r="Q6185" t="s">
        <v>53</v>
      </c>
    </row>
    <row r="6186" spans="1:17" x14ac:dyDescent="0.2">
      <c r="A6186" s="30" t="str">
        <f>IF(C6186&amp;G6186&amp;D6186&lt;&gt;'Funnel setup'!$K$3&amp;'Funnel setup'!$K$4&amp;'Funnel setup'!$K$5,".",IF(A6185=".",1,A6185+1))</f>
        <v>.</v>
      </c>
      <c r="B6186" s="431" t="str">
        <f t="shared" si="96"/>
        <v>Knee Replacement RevisionProviderNORTH TEES AND HARTLEPOOL NHS FOUNDATION TRUST (RVW)Oxford Knee Score</v>
      </c>
      <c r="C6186" t="s">
        <v>250</v>
      </c>
      <c r="D6186" t="s">
        <v>1</v>
      </c>
      <c r="E6186" t="s">
        <v>3669</v>
      </c>
      <c r="F6186" t="s">
        <v>3670</v>
      </c>
      <c r="G6186" t="s">
        <v>16</v>
      </c>
      <c r="H6186">
        <v>14</v>
      </c>
      <c r="I6186">
        <v>10.214</v>
      </c>
      <c r="J6186">
        <v>23.5</v>
      </c>
      <c r="K6186">
        <v>13.286</v>
      </c>
      <c r="L6186">
        <v>13</v>
      </c>
      <c r="M6186">
        <v>0</v>
      </c>
      <c r="N6186">
        <v>1</v>
      </c>
      <c r="O6186" t="s">
        <v>53</v>
      </c>
      <c r="P6186" t="s">
        <v>53</v>
      </c>
      <c r="Q6186" t="s">
        <v>53</v>
      </c>
    </row>
    <row r="6187" spans="1:17" x14ac:dyDescent="0.2">
      <c r="A6187" s="30" t="str">
        <f>IF(C6187&amp;G6187&amp;D6187&lt;&gt;'Funnel setup'!$K$3&amp;'Funnel setup'!$K$4&amp;'Funnel setup'!$K$5,".",IF(A6186=".",1,A6186+1))</f>
        <v>.</v>
      </c>
      <c r="B6187" s="431" t="str">
        <f t="shared" si="96"/>
        <v>Knee Replacement RevisionProviderNORTHAMPTON GENERAL HOSPITAL NHS TRUST (RNS)Oxford Knee Score</v>
      </c>
      <c r="C6187" t="s">
        <v>250</v>
      </c>
      <c r="D6187" t="s">
        <v>1</v>
      </c>
      <c r="E6187" t="s">
        <v>3675</v>
      </c>
      <c r="F6187" t="s">
        <v>3676</v>
      </c>
      <c r="G6187" t="s">
        <v>16</v>
      </c>
      <c r="H6187">
        <v>8</v>
      </c>
      <c r="I6187">
        <v>12.375</v>
      </c>
      <c r="J6187">
        <v>27.875</v>
      </c>
      <c r="K6187">
        <v>15.5</v>
      </c>
      <c r="L6187">
        <v>8</v>
      </c>
      <c r="M6187">
        <v>0</v>
      </c>
      <c r="N6187">
        <v>0</v>
      </c>
      <c r="O6187" t="s">
        <v>53</v>
      </c>
      <c r="P6187" t="s">
        <v>53</v>
      </c>
      <c r="Q6187" t="s">
        <v>53</v>
      </c>
    </row>
    <row r="6188" spans="1:17" x14ac:dyDescent="0.2">
      <c r="A6188" s="30" t="str">
        <f>IF(C6188&amp;G6188&amp;D6188&lt;&gt;'Funnel setup'!$K$3&amp;'Funnel setup'!$K$4&amp;'Funnel setup'!$K$5,".",IF(A6187=".",1,A6187+1))</f>
        <v>.</v>
      </c>
      <c r="B6188" s="431" t="str">
        <f t="shared" si="96"/>
        <v>Knee Replacement RevisionProviderNORTHERN DEVON HEALTHCARE NHS TRUST (RBZ)Oxford Knee Score</v>
      </c>
      <c r="C6188" t="s">
        <v>250</v>
      </c>
      <c r="D6188" t="s">
        <v>1</v>
      </c>
      <c r="E6188" t="s">
        <v>3678</v>
      </c>
      <c r="F6188" t="s">
        <v>3679</v>
      </c>
      <c r="G6188" t="s">
        <v>16</v>
      </c>
      <c r="H6188">
        <v>7</v>
      </c>
      <c r="I6188">
        <v>17.856999999999999</v>
      </c>
      <c r="J6188">
        <v>38.429000000000002</v>
      </c>
      <c r="K6188">
        <v>20.571000000000002</v>
      </c>
      <c r="L6188">
        <v>7</v>
      </c>
      <c r="M6188">
        <v>0</v>
      </c>
      <c r="N6188">
        <v>0</v>
      </c>
      <c r="O6188" t="s">
        <v>53</v>
      </c>
      <c r="P6188" t="s">
        <v>53</v>
      </c>
      <c r="Q6188" t="s">
        <v>53</v>
      </c>
    </row>
    <row r="6189" spans="1:17" x14ac:dyDescent="0.2">
      <c r="A6189" s="30" t="str">
        <f>IF(C6189&amp;G6189&amp;D6189&lt;&gt;'Funnel setup'!$K$3&amp;'Funnel setup'!$K$4&amp;'Funnel setup'!$K$5,".",IF(A6188=".",1,A6188+1))</f>
        <v>.</v>
      </c>
      <c r="B6189" s="431" t="str">
        <f t="shared" si="96"/>
        <v>Knee Replacement RevisionProviderNORTHERN LINCOLNSHIRE AND GOOLE NHS FOUNDATION TRUST (RJL)Oxford Knee Score</v>
      </c>
      <c r="C6189" t="s">
        <v>250</v>
      </c>
      <c r="D6189" t="s">
        <v>1</v>
      </c>
      <c r="E6189" t="s">
        <v>3681</v>
      </c>
      <c r="F6189" t="s">
        <v>3682</v>
      </c>
      <c r="G6189" t="s">
        <v>16</v>
      </c>
      <c r="H6189">
        <v>15</v>
      </c>
      <c r="I6189">
        <v>19.266999999999999</v>
      </c>
      <c r="J6189">
        <v>29.733000000000001</v>
      </c>
      <c r="K6189">
        <v>10.467000000000001</v>
      </c>
      <c r="L6189">
        <v>10</v>
      </c>
      <c r="M6189">
        <v>1</v>
      </c>
      <c r="N6189">
        <v>4</v>
      </c>
      <c r="O6189" t="s">
        <v>53</v>
      </c>
      <c r="P6189" t="s">
        <v>53</v>
      </c>
      <c r="Q6189" t="s">
        <v>53</v>
      </c>
    </row>
    <row r="6190" spans="1:17" x14ac:dyDescent="0.2">
      <c r="A6190" s="30" t="str">
        <f>IF(C6190&amp;G6190&amp;D6190&lt;&gt;'Funnel setup'!$K$3&amp;'Funnel setup'!$K$4&amp;'Funnel setup'!$K$5,".",IF(A6189=".",1,A6189+1))</f>
        <v>.</v>
      </c>
      <c r="B6190" s="431" t="str">
        <f t="shared" si="96"/>
        <v>Knee Replacement RevisionProviderNORTHUMBRIA HEALTHCARE NHS FOUNDATION TRUST (RTF)Oxford Knee Score</v>
      </c>
      <c r="C6190" t="s">
        <v>250</v>
      </c>
      <c r="D6190" t="s">
        <v>1</v>
      </c>
      <c r="E6190" t="s">
        <v>3684</v>
      </c>
      <c r="F6190" t="s">
        <v>3685</v>
      </c>
      <c r="G6190" t="s">
        <v>16</v>
      </c>
      <c r="H6190">
        <v>18</v>
      </c>
      <c r="I6190">
        <v>17</v>
      </c>
      <c r="J6190">
        <v>32.610999999999997</v>
      </c>
      <c r="K6190">
        <v>15.611000000000001</v>
      </c>
      <c r="L6190">
        <v>18</v>
      </c>
      <c r="M6190">
        <v>0</v>
      </c>
      <c r="N6190">
        <v>0</v>
      </c>
      <c r="O6190" t="s">
        <v>53</v>
      </c>
      <c r="P6190" t="s">
        <v>53</v>
      </c>
      <c r="Q6190" t="s">
        <v>53</v>
      </c>
    </row>
    <row r="6191" spans="1:17" x14ac:dyDescent="0.2">
      <c r="A6191" s="30" t="str">
        <f>IF(C6191&amp;G6191&amp;D6191&lt;&gt;'Funnel setup'!$K$3&amp;'Funnel setup'!$K$4&amp;'Funnel setup'!$K$5,".",IF(A6190=".",1,A6190+1))</f>
        <v>.</v>
      </c>
      <c r="B6191" s="431" t="str">
        <f t="shared" si="96"/>
        <v>Knee Replacement RevisionProviderNOTTINGHAM UNIVERSITY HOSPITALS NHS TRUST (RX1)Oxford Knee Score</v>
      </c>
      <c r="C6191" t="s">
        <v>250</v>
      </c>
      <c r="D6191" t="s">
        <v>1</v>
      </c>
      <c r="E6191" t="s">
        <v>3687</v>
      </c>
      <c r="F6191" t="s">
        <v>3688</v>
      </c>
      <c r="G6191" t="s">
        <v>16</v>
      </c>
      <c r="H6191">
        <v>33</v>
      </c>
      <c r="I6191">
        <v>18.242000000000001</v>
      </c>
      <c r="J6191">
        <v>32.515000000000001</v>
      </c>
      <c r="K6191">
        <v>14.273</v>
      </c>
      <c r="L6191">
        <v>31</v>
      </c>
      <c r="M6191">
        <v>2</v>
      </c>
      <c r="N6191">
        <v>0</v>
      </c>
      <c r="O6191">
        <v>31.431999999999999</v>
      </c>
      <c r="P6191">
        <v>14.925880380000001</v>
      </c>
      <c r="Q6191">
        <v>8.0039999999999996</v>
      </c>
    </row>
    <row r="6192" spans="1:17" x14ac:dyDescent="0.2">
      <c r="A6192" s="30" t="str">
        <f>IF(C6192&amp;G6192&amp;D6192&lt;&gt;'Funnel setup'!$K$3&amp;'Funnel setup'!$K$4&amp;'Funnel setup'!$K$5,".",IF(A6191=".",1,A6191+1))</f>
        <v>.</v>
      </c>
      <c r="B6192" s="431" t="str">
        <f t="shared" si="96"/>
        <v>Knee Replacement RevisionProviderNUFFIELD HEALTH, DERBY HOSPITAL (NT213)Oxford Knee Score</v>
      </c>
      <c r="C6192" t="s">
        <v>250</v>
      </c>
      <c r="D6192" t="s">
        <v>1</v>
      </c>
      <c r="E6192" t="s">
        <v>3340</v>
      </c>
      <c r="F6192" t="s">
        <v>3341</v>
      </c>
      <c r="G6192" t="s">
        <v>16</v>
      </c>
      <c r="H6192" t="s">
        <v>53</v>
      </c>
      <c r="I6192" t="s">
        <v>53</v>
      </c>
      <c r="J6192" t="s">
        <v>53</v>
      </c>
      <c r="K6192" t="s">
        <v>53</v>
      </c>
      <c r="L6192" t="s">
        <v>53</v>
      </c>
      <c r="M6192" t="s">
        <v>53</v>
      </c>
      <c r="N6192" t="s">
        <v>53</v>
      </c>
      <c r="O6192" t="s">
        <v>53</v>
      </c>
      <c r="P6192" t="s">
        <v>53</v>
      </c>
      <c r="Q6192" t="s">
        <v>53</v>
      </c>
    </row>
    <row r="6193" spans="1:17" x14ac:dyDescent="0.2">
      <c r="A6193" s="30" t="str">
        <f>IF(C6193&amp;G6193&amp;D6193&lt;&gt;'Funnel setup'!$K$3&amp;'Funnel setup'!$K$4&amp;'Funnel setup'!$K$5,".",IF(A6192=".",1,A6192+1))</f>
        <v>.</v>
      </c>
      <c r="B6193" s="431" t="str">
        <f t="shared" si="96"/>
        <v>Knee Replacement RevisionProviderNUFFIELD HEALTH, EXETER HOSPITAL (NT215)Oxford Knee Score</v>
      </c>
      <c r="C6193" t="s">
        <v>250</v>
      </c>
      <c r="D6193" t="s">
        <v>1</v>
      </c>
      <c r="E6193" t="s">
        <v>4339</v>
      </c>
      <c r="F6193" t="s">
        <v>4340</v>
      </c>
      <c r="G6193" t="s">
        <v>16</v>
      </c>
      <c r="H6193" t="s">
        <v>53</v>
      </c>
      <c r="I6193" t="s">
        <v>53</v>
      </c>
      <c r="J6193" t="s">
        <v>53</v>
      </c>
      <c r="K6193" t="s">
        <v>53</v>
      </c>
      <c r="L6193" t="s">
        <v>53</v>
      </c>
      <c r="M6193" t="s">
        <v>53</v>
      </c>
      <c r="N6193" t="s">
        <v>53</v>
      </c>
      <c r="O6193" t="s">
        <v>53</v>
      </c>
      <c r="P6193" t="s">
        <v>53</v>
      </c>
      <c r="Q6193" t="s">
        <v>53</v>
      </c>
    </row>
    <row r="6194" spans="1:17" x14ac:dyDescent="0.2">
      <c r="A6194" s="30" t="str">
        <f>IF(C6194&amp;G6194&amp;D6194&lt;&gt;'Funnel setup'!$K$3&amp;'Funnel setup'!$K$4&amp;'Funnel setup'!$K$5,".",IF(A6193=".",1,A6193+1))</f>
        <v>.</v>
      </c>
      <c r="B6194" s="431" t="str">
        <f t="shared" si="96"/>
        <v>Knee Replacement RevisionProviderNUFFIELD HEALTH, LEEDS HOSPITAL (NT225)Oxford Knee Score</v>
      </c>
      <c r="C6194" t="s">
        <v>250</v>
      </c>
      <c r="D6194" t="s">
        <v>1</v>
      </c>
      <c r="E6194" t="s">
        <v>3388</v>
      </c>
      <c r="F6194" t="s">
        <v>3389</v>
      </c>
      <c r="G6194" t="s">
        <v>16</v>
      </c>
      <c r="H6194" t="s">
        <v>53</v>
      </c>
      <c r="I6194" t="s">
        <v>53</v>
      </c>
      <c r="J6194" t="s">
        <v>53</v>
      </c>
      <c r="K6194" t="s">
        <v>53</v>
      </c>
      <c r="L6194" t="s">
        <v>53</v>
      </c>
      <c r="M6194" t="s">
        <v>53</v>
      </c>
      <c r="N6194" t="s">
        <v>53</v>
      </c>
      <c r="O6194" t="s">
        <v>53</v>
      </c>
      <c r="P6194" t="s">
        <v>53</v>
      </c>
      <c r="Q6194" t="s">
        <v>53</v>
      </c>
    </row>
    <row r="6195" spans="1:17" x14ac:dyDescent="0.2">
      <c r="A6195" s="30" t="str">
        <f>IF(C6195&amp;G6195&amp;D6195&lt;&gt;'Funnel setup'!$K$3&amp;'Funnel setup'!$K$4&amp;'Funnel setup'!$K$5,".",IF(A6194=".",1,A6194+1))</f>
        <v>.</v>
      </c>
      <c r="B6195" s="431" t="str">
        <f t="shared" si="96"/>
        <v>Knee Replacement RevisionProviderNUFFIELD HEALTH, TEES HOSPITAL (NT237)Oxford Knee Score</v>
      </c>
      <c r="C6195" t="s">
        <v>250</v>
      </c>
      <c r="D6195" t="s">
        <v>1</v>
      </c>
      <c r="E6195" t="s">
        <v>3246</v>
      </c>
      <c r="F6195" t="s">
        <v>3247</v>
      </c>
      <c r="G6195" t="s">
        <v>16</v>
      </c>
      <c r="H6195" t="s">
        <v>53</v>
      </c>
      <c r="I6195" t="s">
        <v>53</v>
      </c>
      <c r="J6195" t="s">
        <v>53</v>
      </c>
      <c r="K6195" t="s">
        <v>53</v>
      </c>
      <c r="L6195" t="s">
        <v>53</v>
      </c>
      <c r="M6195" t="s">
        <v>53</v>
      </c>
      <c r="N6195" t="s">
        <v>53</v>
      </c>
      <c r="O6195" t="s">
        <v>53</v>
      </c>
      <c r="P6195" t="s">
        <v>53</v>
      </c>
      <c r="Q6195" t="s">
        <v>53</v>
      </c>
    </row>
    <row r="6196" spans="1:17" x14ac:dyDescent="0.2">
      <c r="A6196" s="30" t="str">
        <f>IF(C6196&amp;G6196&amp;D6196&lt;&gt;'Funnel setup'!$K$3&amp;'Funnel setup'!$K$4&amp;'Funnel setup'!$K$5,".",IF(A6195=".",1,A6195+1))</f>
        <v>.</v>
      </c>
      <c r="B6196" s="431" t="str">
        <f t="shared" si="96"/>
        <v>Knee Replacement RevisionProviderNUFFIELD HEALTH, YORK HOSPITAL (NT245)Oxford Knee Score</v>
      </c>
      <c r="C6196" t="s">
        <v>250</v>
      </c>
      <c r="D6196" t="s">
        <v>1</v>
      </c>
      <c r="E6196" t="s">
        <v>4299</v>
      </c>
      <c r="F6196" t="s">
        <v>4300</v>
      </c>
      <c r="G6196" t="s">
        <v>16</v>
      </c>
      <c r="H6196" t="s">
        <v>53</v>
      </c>
      <c r="I6196" t="s">
        <v>53</v>
      </c>
      <c r="J6196" t="s">
        <v>53</v>
      </c>
      <c r="K6196" t="s">
        <v>53</v>
      </c>
      <c r="L6196" t="s">
        <v>53</v>
      </c>
      <c r="M6196" t="s">
        <v>53</v>
      </c>
      <c r="N6196" t="s">
        <v>53</v>
      </c>
      <c r="O6196" t="s">
        <v>53</v>
      </c>
      <c r="P6196" t="s">
        <v>53</v>
      </c>
      <c r="Q6196" t="s">
        <v>53</v>
      </c>
    </row>
    <row r="6197" spans="1:17" x14ac:dyDescent="0.2">
      <c r="A6197" s="30" t="str">
        <f>IF(C6197&amp;G6197&amp;D6197&lt;&gt;'Funnel setup'!$K$3&amp;'Funnel setup'!$K$4&amp;'Funnel setup'!$K$5,".",IF(A6196=".",1,A6196+1))</f>
        <v>.</v>
      </c>
      <c r="B6197" s="431" t="str">
        <f t="shared" si="96"/>
        <v>Knee Replacement RevisionProviderOAKS HOSPITAL (NVC13)Oxford Knee Score</v>
      </c>
      <c r="C6197" t="s">
        <v>250</v>
      </c>
      <c r="D6197" t="s">
        <v>1</v>
      </c>
      <c r="E6197" t="s">
        <v>3270</v>
      </c>
      <c r="F6197" t="s">
        <v>3271</v>
      </c>
      <c r="G6197" t="s">
        <v>16</v>
      </c>
      <c r="H6197" t="s">
        <v>53</v>
      </c>
      <c r="I6197" t="s">
        <v>53</v>
      </c>
      <c r="J6197" t="s">
        <v>53</v>
      </c>
      <c r="K6197" t="s">
        <v>53</v>
      </c>
      <c r="L6197" t="s">
        <v>53</v>
      </c>
      <c r="M6197" t="s">
        <v>53</v>
      </c>
      <c r="N6197" t="s">
        <v>53</v>
      </c>
      <c r="O6197" t="s">
        <v>53</v>
      </c>
      <c r="P6197" t="s">
        <v>53</v>
      </c>
      <c r="Q6197" t="s">
        <v>53</v>
      </c>
    </row>
    <row r="6198" spans="1:17" x14ac:dyDescent="0.2">
      <c r="A6198" s="30" t="str">
        <f>IF(C6198&amp;G6198&amp;D6198&lt;&gt;'Funnel setup'!$K$3&amp;'Funnel setup'!$K$4&amp;'Funnel setup'!$K$5,".",IF(A6197=".",1,A6197+1))</f>
        <v>.</v>
      </c>
      <c r="B6198" s="431" t="str">
        <f t="shared" si="96"/>
        <v>Knee Replacement RevisionProviderOXFORD UNIVERSITY HOSPITALS NHS FOUNDATION TRUST (RTH)Oxford Knee Score</v>
      </c>
      <c r="C6198" t="s">
        <v>250</v>
      </c>
      <c r="D6198" t="s">
        <v>1</v>
      </c>
      <c r="E6198" t="s">
        <v>3278</v>
      </c>
      <c r="F6198" t="s">
        <v>6578</v>
      </c>
      <c r="G6198" t="s">
        <v>16</v>
      </c>
      <c r="H6198">
        <v>46</v>
      </c>
      <c r="I6198">
        <v>15.717000000000001</v>
      </c>
      <c r="J6198">
        <v>27.565000000000001</v>
      </c>
      <c r="K6198">
        <v>11.848000000000001</v>
      </c>
      <c r="L6198">
        <v>36</v>
      </c>
      <c r="M6198">
        <v>3</v>
      </c>
      <c r="N6198">
        <v>7</v>
      </c>
      <c r="O6198">
        <v>28.876999999999999</v>
      </c>
      <c r="P6198">
        <v>12.371694359999999</v>
      </c>
      <c r="Q6198">
        <v>9.9580000000000002</v>
      </c>
    </row>
    <row r="6199" spans="1:17" x14ac:dyDescent="0.2">
      <c r="A6199" s="30" t="str">
        <f>IF(C6199&amp;G6199&amp;D6199&lt;&gt;'Funnel setup'!$K$3&amp;'Funnel setup'!$K$4&amp;'Funnel setup'!$K$5,".",IF(A6198=".",1,A6198+1))</f>
        <v>.</v>
      </c>
      <c r="B6199" s="431" t="str">
        <f t="shared" si="96"/>
        <v>Knee Replacement RevisionProviderPENINSULA NHS TREATMENT CENTRE (NTPH5)Oxford Knee Score</v>
      </c>
      <c r="C6199" t="s">
        <v>250</v>
      </c>
      <c r="D6199" t="s">
        <v>1</v>
      </c>
      <c r="E6199" t="s">
        <v>4285</v>
      </c>
      <c r="F6199" t="s">
        <v>4286</v>
      </c>
      <c r="G6199" t="s">
        <v>16</v>
      </c>
      <c r="H6199">
        <v>9</v>
      </c>
      <c r="I6199">
        <v>28.556000000000001</v>
      </c>
      <c r="J6199">
        <v>39.110999999999997</v>
      </c>
      <c r="K6199">
        <v>10.555999999999999</v>
      </c>
      <c r="L6199">
        <v>8</v>
      </c>
      <c r="M6199">
        <v>0</v>
      </c>
      <c r="N6199">
        <v>1</v>
      </c>
      <c r="O6199" t="s">
        <v>53</v>
      </c>
      <c r="P6199" t="s">
        <v>53</v>
      </c>
      <c r="Q6199" t="s">
        <v>53</v>
      </c>
    </row>
    <row r="6200" spans="1:17" x14ac:dyDescent="0.2">
      <c r="A6200" s="30" t="str">
        <f>IF(C6200&amp;G6200&amp;D6200&lt;&gt;'Funnel setup'!$K$3&amp;'Funnel setup'!$K$4&amp;'Funnel setup'!$K$5,".",IF(A6199=".",1,A6199+1))</f>
        <v>.</v>
      </c>
      <c r="B6200" s="431" t="str">
        <f t="shared" si="96"/>
        <v>Knee Replacement RevisionProviderPENNINE ACUTE HOSPITALS NHS TRUST (RW6)Oxford Knee Score</v>
      </c>
      <c r="C6200" t="s">
        <v>250</v>
      </c>
      <c r="D6200" t="s">
        <v>1</v>
      </c>
      <c r="E6200" t="s">
        <v>3216</v>
      </c>
      <c r="F6200" t="s">
        <v>3217</v>
      </c>
      <c r="G6200" t="s">
        <v>16</v>
      </c>
      <c r="H6200">
        <v>16</v>
      </c>
      <c r="I6200">
        <v>13.125</v>
      </c>
      <c r="J6200">
        <v>22.812999999999999</v>
      </c>
      <c r="K6200">
        <v>9.6880000000000006</v>
      </c>
      <c r="L6200">
        <v>13</v>
      </c>
      <c r="M6200">
        <v>0</v>
      </c>
      <c r="N6200">
        <v>3</v>
      </c>
      <c r="O6200" t="s">
        <v>53</v>
      </c>
      <c r="P6200" t="s">
        <v>53</v>
      </c>
      <c r="Q6200" t="s">
        <v>53</v>
      </c>
    </row>
    <row r="6201" spans="1:17" x14ac:dyDescent="0.2">
      <c r="A6201" s="30" t="str">
        <f>IF(C6201&amp;G6201&amp;D6201&lt;&gt;'Funnel setup'!$K$3&amp;'Funnel setup'!$K$4&amp;'Funnel setup'!$K$5,".",IF(A6200=".",1,A6200+1))</f>
        <v>.</v>
      </c>
      <c r="B6201" s="431" t="str">
        <f t="shared" si="96"/>
        <v>Knee Replacement RevisionProviderPETERBOROUGH AND STAMFORD HOSPITALS NHS FOUNDATION TRUST (RGN)Oxford Knee Score</v>
      </c>
      <c r="C6201" t="s">
        <v>250</v>
      </c>
      <c r="D6201" t="s">
        <v>1</v>
      </c>
      <c r="E6201" t="s">
        <v>3219</v>
      </c>
      <c r="F6201" t="s">
        <v>3220</v>
      </c>
      <c r="G6201" t="s">
        <v>16</v>
      </c>
      <c r="H6201" t="s">
        <v>53</v>
      </c>
      <c r="I6201" t="s">
        <v>53</v>
      </c>
      <c r="J6201" t="s">
        <v>53</v>
      </c>
      <c r="K6201" t="s">
        <v>53</v>
      </c>
      <c r="L6201" t="s">
        <v>53</v>
      </c>
      <c r="M6201" t="s">
        <v>53</v>
      </c>
      <c r="N6201" t="s">
        <v>53</v>
      </c>
      <c r="O6201" t="s">
        <v>53</v>
      </c>
      <c r="P6201" t="s">
        <v>53</v>
      </c>
      <c r="Q6201" t="s">
        <v>53</v>
      </c>
    </row>
    <row r="6202" spans="1:17" x14ac:dyDescent="0.2">
      <c r="A6202" s="30" t="str">
        <f>IF(C6202&amp;G6202&amp;D6202&lt;&gt;'Funnel setup'!$K$3&amp;'Funnel setup'!$K$4&amp;'Funnel setup'!$K$5,".",IF(A6201=".",1,A6201+1))</f>
        <v>.</v>
      </c>
      <c r="B6202" s="431" t="str">
        <f t="shared" si="96"/>
        <v>Knee Replacement RevisionProviderPINEHILL HOSPITAL (NVC15)Oxford Knee Score</v>
      </c>
      <c r="C6202" t="s">
        <v>250</v>
      </c>
      <c r="D6202" t="s">
        <v>1</v>
      </c>
      <c r="E6202" t="s">
        <v>3222</v>
      </c>
      <c r="F6202" t="s">
        <v>3223</v>
      </c>
      <c r="G6202" t="s">
        <v>16</v>
      </c>
      <c r="H6202" t="s">
        <v>53</v>
      </c>
      <c r="I6202" t="s">
        <v>53</v>
      </c>
      <c r="J6202" t="s">
        <v>53</v>
      </c>
      <c r="K6202" t="s">
        <v>53</v>
      </c>
      <c r="L6202" t="s">
        <v>53</v>
      </c>
      <c r="M6202" t="s">
        <v>53</v>
      </c>
      <c r="N6202" t="s">
        <v>53</v>
      </c>
      <c r="O6202" t="s">
        <v>53</v>
      </c>
      <c r="P6202" t="s">
        <v>53</v>
      </c>
      <c r="Q6202" t="s">
        <v>53</v>
      </c>
    </row>
    <row r="6203" spans="1:17" x14ac:dyDescent="0.2">
      <c r="A6203" s="30" t="str">
        <f>IF(C6203&amp;G6203&amp;D6203&lt;&gt;'Funnel setup'!$K$3&amp;'Funnel setup'!$K$4&amp;'Funnel setup'!$K$5,".",IF(A6202=".",1,A6202+1))</f>
        <v>.</v>
      </c>
      <c r="B6203" s="431" t="str">
        <f t="shared" si="96"/>
        <v>Knee Replacement RevisionProviderPLYMOUTH HOSPITALS NHS TRUST (RK9)Oxford Knee Score</v>
      </c>
      <c r="C6203" t="s">
        <v>250</v>
      </c>
      <c r="D6203" t="s">
        <v>1</v>
      </c>
      <c r="E6203" t="s">
        <v>3225</v>
      </c>
      <c r="F6203" t="s">
        <v>3226</v>
      </c>
      <c r="G6203" t="s">
        <v>16</v>
      </c>
      <c r="H6203">
        <v>9</v>
      </c>
      <c r="I6203">
        <v>12.555999999999999</v>
      </c>
      <c r="J6203">
        <v>24.111000000000001</v>
      </c>
      <c r="K6203">
        <v>11.555999999999999</v>
      </c>
      <c r="L6203">
        <v>7</v>
      </c>
      <c r="M6203">
        <v>1</v>
      </c>
      <c r="N6203">
        <v>1</v>
      </c>
      <c r="O6203" t="s">
        <v>53</v>
      </c>
      <c r="P6203" t="s">
        <v>53</v>
      </c>
      <c r="Q6203" t="s">
        <v>53</v>
      </c>
    </row>
    <row r="6204" spans="1:17" x14ac:dyDescent="0.2">
      <c r="A6204" s="30" t="str">
        <f>IF(C6204&amp;G6204&amp;D6204&lt;&gt;'Funnel setup'!$K$3&amp;'Funnel setup'!$K$4&amp;'Funnel setup'!$K$5,".",IF(A6203=".",1,A6203+1))</f>
        <v>.</v>
      </c>
      <c r="B6204" s="431" t="str">
        <f t="shared" si="96"/>
        <v>Knee Replacement RevisionProviderPORTSMOUTH HOSPITALS NHS TRUST (RHU)Oxford Knee Score</v>
      </c>
      <c r="C6204" t="s">
        <v>250</v>
      </c>
      <c r="D6204" t="s">
        <v>1</v>
      </c>
      <c r="E6204" t="s">
        <v>3234</v>
      </c>
      <c r="F6204" t="s">
        <v>3235</v>
      </c>
      <c r="G6204" t="s">
        <v>16</v>
      </c>
      <c r="H6204">
        <v>6</v>
      </c>
      <c r="I6204">
        <v>17.667000000000002</v>
      </c>
      <c r="J6204">
        <v>31.667000000000002</v>
      </c>
      <c r="K6204">
        <v>14</v>
      </c>
      <c r="L6204">
        <v>6</v>
      </c>
      <c r="M6204">
        <v>0</v>
      </c>
      <c r="N6204">
        <v>0</v>
      </c>
      <c r="O6204" t="s">
        <v>53</v>
      </c>
      <c r="P6204" t="s">
        <v>53</v>
      </c>
      <c r="Q6204" t="s">
        <v>53</v>
      </c>
    </row>
    <row r="6205" spans="1:17" x14ac:dyDescent="0.2">
      <c r="A6205" s="30" t="str">
        <f>IF(C6205&amp;G6205&amp;D6205&lt;&gt;'Funnel setup'!$K$3&amp;'Funnel setup'!$K$4&amp;'Funnel setup'!$K$5,".",IF(A6204=".",1,A6204+1))</f>
        <v>.</v>
      </c>
      <c r="B6205" s="431" t="str">
        <f t="shared" si="96"/>
        <v>Knee Replacement RevisionProviderRENACRES HOSPITAL (NVC16)Oxford Knee Score</v>
      </c>
      <c r="C6205" t="s">
        <v>250</v>
      </c>
      <c r="D6205" t="s">
        <v>1</v>
      </c>
      <c r="E6205" t="s">
        <v>3237</v>
      </c>
      <c r="F6205" t="s">
        <v>3238</v>
      </c>
      <c r="G6205" t="s">
        <v>16</v>
      </c>
      <c r="H6205" t="s">
        <v>53</v>
      </c>
      <c r="I6205" t="s">
        <v>53</v>
      </c>
      <c r="J6205" t="s">
        <v>53</v>
      </c>
      <c r="K6205" t="s">
        <v>53</v>
      </c>
      <c r="L6205" t="s">
        <v>53</v>
      </c>
      <c r="M6205" t="s">
        <v>53</v>
      </c>
      <c r="N6205" t="s">
        <v>53</v>
      </c>
      <c r="O6205" t="s">
        <v>53</v>
      </c>
      <c r="P6205" t="s">
        <v>53</v>
      </c>
      <c r="Q6205" t="s">
        <v>53</v>
      </c>
    </row>
    <row r="6206" spans="1:17" x14ac:dyDescent="0.2">
      <c r="A6206" s="30" t="str">
        <f>IF(C6206&amp;G6206&amp;D6206&lt;&gt;'Funnel setup'!$K$3&amp;'Funnel setup'!$K$4&amp;'Funnel setup'!$K$5,".",IF(A6205=".",1,A6205+1))</f>
        <v>.</v>
      </c>
      <c r="B6206" s="431" t="str">
        <f t="shared" si="96"/>
        <v>Knee Replacement RevisionProviderROYAL BERKSHIRE NHS FOUNDATION TRUST (RHW)Oxford Knee Score</v>
      </c>
      <c r="C6206" t="s">
        <v>250</v>
      </c>
      <c r="D6206" t="s">
        <v>1</v>
      </c>
      <c r="E6206" t="s">
        <v>3832</v>
      </c>
      <c r="F6206" t="s">
        <v>3833</v>
      </c>
      <c r="G6206" t="s">
        <v>16</v>
      </c>
      <c r="H6206" t="s">
        <v>53</v>
      </c>
      <c r="I6206" t="s">
        <v>53</v>
      </c>
      <c r="J6206" t="s">
        <v>53</v>
      </c>
      <c r="K6206" t="s">
        <v>53</v>
      </c>
      <c r="L6206" t="s">
        <v>53</v>
      </c>
      <c r="M6206" t="s">
        <v>53</v>
      </c>
      <c r="N6206" t="s">
        <v>53</v>
      </c>
      <c r="O6206" t="s">
        <v>53</v>
      </c>
      <c r="P6206" t="s">
        <v>53</v>
      </c>
      <c r="Q6206" t="s">
        <v>53</v>
      </c>
    </row>
    <row r="6207" spans="1:17" x14ac:dyDescent="0.2">
      <c r="A6207" s="30" t="str">
        <f>IF(C6207&amp;G6207&amp;D6207&lt;&gt;'Funnel setup'!$K$3&amp;'Funnel setup'!$K$4&amp;'Funnel setup'!$K$5,".",IF(A6206=".",1,A6206+1))</f>
        <v>.</v>
      </c>
      <c r="B6207" s="431" t="str">
        <f t="shared" si="96"/>
        <v>Knee Replacement RevisionProviderROYAL CORNWALL HOSPITALS NHS TRUST (REF)Oxford Knee Score</v>
      </c>
      <c r="C6207" t="s">
        <v>250</v>
      </c>
      <c r="D6207" t="s">
        <v>1</v>
      </c>
      <c r="E6207" t="s">
        <v>3745</v>
      </c>
      <c r="F6207" t="s">
        <v>3746</v>
      </c>
      <c r="G6207" t="s">
        <v>16</v>
      </c>
      <c r="H6207">
        <v>20</v>
      </c>
      <c r="I6207">
        <v>16.600000000000001</v>
      </c>
      <c r="J6207">
        <v>30.5</v>
      </c>
      <c r="K6207">
        <v>13.9</v>
      </c>
      <c r="L6207">
        <v>19</v>
      </c>
      <c r="M6207">
        <v>0</v>
      </c>
      <c r="N6207">
        <v>1</v>
      </c>
      <c r="O6207" t="s">
        <v>53</v>
      </c>
      <c r="P6207" t="s">
        <v>53</v>
      </c>
      <c r="Q6207" t="s">
        <v>53</v>
      </c>
    </row>
    <row r="6208" spans="1:17" x14ac:dyDescent="0.2">
      <c r="A6208" s="30" t="str">
        <f>IF(C6208&amp;G6208&amp;D6208&lt;&gt;'Funnel setup'!$K$3&amp;'Funnel setup'!$K$4&amp;'Funnel setup'!$K$5,".",IF(A6207=".",1,A6207+1))</f>
        <v>.</v>
      </c>
      <c r="B6208" s="431" t="str">
        <f t="shared" si="96"/>
        <v>Knee Replacement RevisionProviderROYAL DEVON AND EXETER NHS FOUNDATION TRUST (RH8)Oxford Knee Score</v>
      </c>
      <c r="C6208" t="s">
        <v>250</v>
      </c>
      <c r="D6208" t="s">
        <v>1</v>
      </c>
      <c r="E6208" t="s">
        <v>3442</v>
      </c>
      <c r="F6208" t="s">
        <v>3443</v>
      </c>
      <c r="G6208" t="s">
        <v>16</v>
      </c>
      <c r="H6208">
        <v>37</v>
      </c>
      <c r="I6208">
        <v>17.161999999999999</v>
      </c>
      <c r="J6208">
        <v>31.161999999999999</v>
      </c>
      <c r="K6208">
        <v>14</v>
      </c>
      <c r="L6208">
        <v>34</v>
      </c>
      <c r="M6208">
        <v>1</v>
      </c>
      <c r="N6208">
        <v>2</v>
      </c>
      <c r="O6208">
        <v>29.588999999999999</v>
      </c>
      <c r="P6208">
        <v>13.08334095</v>
      </c>
      <c r="Q6208">
        <v>8.5350000000000001</v>
      </c>
    </row>
    <row r="6209" spans="1:17" x14ac:dyDescent="0.2">
      <c r="A6209" s="30" t="str">
        <f>IF(C6209&amp;G6209&amp;D6209&lt;&gt;'Funnel setup'!$K$3&amp;'Funnel setup'!$K$4&amp;'Funnel setup'!$K$5,".",IF(A6208=".",1,A6208+1))</f>
        <v>.</v>
      </c>
      <c r="B6209" s="431" t="str">
        <f t="shared" si="96"/>
        <v>Knee Replacement RevisionProviderROYAL FREE LONDON NHS FOUNDATION TRUST (RAL)Oxford Knee Score</v>
      </c>
      <c r="C6209" t="s">
        <v>250</v>
      </c>
      <c r="D6209" t="s">
        <v>1</v>
      </c>
      <c r="E6209" t="s">
        <v>3445</v>
      </c>
      <c r="F6209" t="s">
        <v>3446</v>
      </c>
      <c r="G6209" t="s">
        <v>16</v>
      </c>
      <c r="H6209" t="s">
        <v>53</v>
      </c>
      <c r="I6209" t="s">
        <v>53</v>
      </c>
      <c r="J6209" t="s">
        <v>53</v>
      </c>
      <c r="K6209" t="s">
        <v>53</v>
      </c>
      <c r="L6209" t="s">
        <v>53</v>
      </c>
      <c r="M6209" t="s">
        <v>53</v>
      </c>
      <c r="N6209" t="s">
        <v>53</v>
      </c>
      <c r="O6209" t="s">
        <v>53</v>
      </c>
      <c r="P6209" t="s">
        <v>53</v>
      </c>
      <c r="Q6209" t="s">
        <v>53</v>
      </c>
    </row>
    <row r="6210" spans="1:17" x14ac:dyDescent="0.2">
      <c r="A6210" s="30" t="str">
        <f>IF(C6210&amp;G6210&amp;D6210&lt;&gt;'Funnel setup'!$K$3&amp;'Funnel setup'!$K$4&amp;'Funnel setup'!$K$5,".",IF(A6209=".",1,A6209+1))</f>
        <v>.</v>
      </c>
      <c r="B6210" s="431" t="str">
        <f t="shared" si="96"/>
        <v>Knee Replacement RevisionProviderROYAL LIVERPOOL AND BROADGREEN UNIVERSITY HOSPITALS NHS TRUST (RQ6)Oxford Knee Score</v>
      </c>
      <c r="C6210" t="s">
        <v>250</v>
      </c>
      <c r="D6210" t="s">
        <v>1</v>
      </c>
      <c r="E6210" t="s">
        <v>3448</v>
      </c>
      <c r="F6210" t="s">
        <v>3449</v>
      </c>
      <c r="G6210" t="s">
        <v>16</v>
      </c>
      <c r="H6210">
        <v>6</v>
      </c>
      <c r="I6210">
        <v>13.5</v>
      </c>
      <c r="J6210">
        <v>26.832999999999998</v>
      </c>
      <c r="K6210">
        <v>13.333</v>
      </c>
      <c r="L6210">
        <v>5</v>
      </c>
      <c r="M6210">
        <v>0</v>
      </c>
      <c r="N6210">
        <v>1</v>
      </c>
      <c r="O6210" t="s">
        <v>53</v>
      </c>
      <c r="P6210" t="s">
        <v>53</v>
      </c>
      <c r="Q6210" t="s">
        <v>53</v>
      </c>
    </row>
    <row r="6211" spans="1:17" x14ac:dyDescent="0.2">
      <c r="A6211" s="30" t="str">
        <f>IF(C6211&amp;G6211&amp;D6211&lt;&gt;'Funnel setup'!$K$3&amp;'Funnel setup'!$K$4&amp;'Funnel setup'!$K$5,".",IF(A6210=".",1,A6210+1))</f>
        <v>.</v>
      </c>
      <c r="B6211" s="431" t="str">
        <f t="shared" ref="B6211:B6274" si="97">C6211&amp;D6211&amp;F6211&amp;G6211</f>
        <v>Knee Replacement RevisionProviderROYAL NATIONAL ORTHOPAEDIC HOSPITAL NHS TRUST (RAN)Oxford Knee Score</v>
      </c>
      <c r="C6211" t="s">
        <v>250</v>
      </c>
      <c r="D6211" t="s">
        <v>1</v>
      </c>
      <c r="E6211" t="s">
        <v>4378</v>
      </c>
      <c r="F6211" t="s">
        <v>4379</v>
      </c>
      <c r="G6211" t="s">
        <v>16</v>
      </c>
      <c r="H6211">
        <v>25</v>
      </c>
      <c r="I6211">
        <v>12.96</v>
      </c>
      <c r="J6211">
        <v>24.2</v>
      </c>
      <c r="K6211">
        <v>11.24</v>
      </c>
      <c r="L6211">
        <v>23</v>
      </c>
      <c r="M6211">
        <v>1</v>
      </c>
      <c r="N6211">
        <v>1</v>
      </c>
      <c r="O6211" t="s">
        <v>53</v>
      </c>
      <c r="P6211" t="s">
        <v>53</v>
      </c>
      <c r="Q6211" t="s">
        <v>53</v>
      </c>
    </row>
    <row r="6212" spans="1:17" x14ac:dyDescent="0.2">
      <c r="A6212" s="30" t="str">
        <f>IF(C6212&amp;G6212&amp;D6212&lt;&gt;'Funnel setup'!$K$3&amp;'Funnel setup'!$K$4&amp;'Funnel setup'!$K$5,".",IF(A6211=".",1,A6211+1))</f>
        <v>.</v>
      </c>
      <c r="B6212" s="431" t="str">
        <f t="shared" si="97"/>
        <v>Knee Replacement RevisionProviderROYAL SURREY COUNTY HOSPITAL NHS FOUNDATION TRUST (RA2)Oxford Knee Score</v>
      </c>
      <c r="C6212" t="s">
        <v>250</v>
      </c>
      <c r="D6212" t="s">
        <v>1</v>
      </c>
      <c r="E6212" t="s">
        <v>3451</v>
      </c>
      <c r="F6212" t="s">
        <v>3452</v>
      </c>
      <c r="G6212" t="s">
        <v>16</v>
      </c>
      <c r="H6212">
        <v>6</v>
      </c>
      <c r="I6212">
        <v>19.5</v>
      </c>
      <c r="J6212">
        <v>36</v>
      </c>
      <c r="K6212">
        <v>16.5</v>
      </c>
      <c r="L6212">
        <v>5</v>
      </c>
      <c r="M6212">
        <v>1</v>
      </c>
      <c r="N6212">
        <v>0</v>
      </c>
      <c r="O6212" t="s">
        <v>53</v>
      </c>
      <c r="P6212" t="s">
        <v>53</v>
      </c>
      <c r="Q6212" t="s">
        <v>53</v>
      </c>
    </row>
    <row r="6213" spans="1:17" x14ac:dyDescent="0.2">
      <c r="A6213" s="30" t="str">
        <f>IF(C6213&amp;G6213&amp;D6213&lt;&gt;'Funnel setup'!$K$3&amp;'Funnel setup'!$K$4&amp;'Funnel setup'!$K$5,".",IF(A6212=".",1,A6212+1))</f>
        <v>.</v>
      </c>
      <c r="B6213" s="431" t="str">
        <f t="shared" si="97"/>
        <v>Knee Replacement RevisionProviderROYAL UNITED HOSPITALS BATH NHS FOUNDATION TRUST (RD1)Oxford Knee Score</v>
      </c>
      <c r="C6213" t="s">
        <v>250</v>
      </c>
      <c r="D6213" t="s">
        <v>1</v>
      </c>
      <c r="E6213" t="s">
        <v>3454</v>
      </c>
      <c r="F6213" t="s">
        <v>3455</v>
      </c>
      <c r="G6213" t="s">
        <v>16</v>
      </c>
      <c r="H6213">
        <v>9</v>
      </c>
      <c r="I6213">
        <v>19.777999999999999</v>
      </c>
      <c r="J6213">
        <v>30.667000000000002</v>
      </c>
      <c r="K6213">
        <v>10.888999999999999</v>
      </c>
      <c r="L6213">
        <v>8</v>
      </c>
      <c r="M6213">
        <v>0</v>
      </c>
      <c r="N6213">
        <v>1</v>
      </c>
      <c r="O6213" t="s">
        <v>53</v>
      </c>
      <c r="P6213" t="s">
        <v>53</v>
      </c>
      <c r="Q6213" t="s">
        <v>53</v>
      </c>
    </row>
    <row r="6214" spans="1:17" x14ac:dyDescent="0.2">
      <c r="A6214" s="30" t="str">
        <f>IF(C6214&amp;G6214&amp;D6214&lt;&gt;'Funnel setup'!$K$3&amp;'Funnel setup'!$K$4&amp;'Funnel setup'!$K$5,".",IF(A6213=".",1,A6213+1))</f>
        <v>.</v>
      </c>
      <c r="B6214" s="431" t="str">
        <f t="shared" si="97"/>
        <v>Knee Replacement RevisionProviderSALFORD ROYAL NHS FOUNDATION TRUST (RM3)Oxford Knee Score</v>
      </c>
      <c r="C6214" t="s">
        <v>250</v>
      </c>
      <c r="D6214" t="s">
        <v>1</v>
      </c>
      <c r="E6214" t="s">
        <v>3457</v>
      </c>
      <c r="F6214" t="s">
        <v>3458</v>
      </c>
      <c r="G6214" t="s">
        <v>16</v>
      </c>
      <c r="H6214">
        <v>7</v>
      </c>
      <c r="I6214">
        <v>14.286</v>
      </c>
      <c r="J6214">
        <v>26.856999999999999</v>
      </c>
      <c r="K6214">
        <v>12.571</v>
      </c>
      <c r="L6214">
        <v>6</v>
      </c>
      <c r="M6214">
        <v>0</v>
      </c>
      <c r="N6214">
        <v>1</v>
      </c>
      <c r="O6214" t="s">
        <v>53</v>
      </c>
      <c r="P6214" t="s">
        <v>53</v>
      </c>
      <c r="Q6214" t="s">
        <v>53</v>
      </c>
    </row>
    <row r="6215" spans="1:17" x14ac:dyDescent="0.2">
      <c r="A6215" s="30" t="str">
        <f>IF(C6215&amp;G6215&amp;D6215&lt;&gt;'Funnel setup'!$K$3&amp;'Funnel setup'!$K$4&amp;'Funnel setup'!$K$5,".",IF(A6214=".",1,A6214+1))</f>
        <v>.</v>
      </c>
      <c r="B6215" s="431" t="str">
        <f t="shared" si="97"/>
        <v>Knee Replacement RevisionProviderSALISBURY NHS FOUNDATION TRUST (RNZ)Oxford Knee Score</v>
      </c>
      <c r="C6215" t="s">
        <v>250</v>
      </c>
      <c r="D6215" t="s">
        <v>1</v>
      </c>
      <c r="E6215" t="s">
        <v>3460</v>
      </c>
      <c r="F6215" t="s">
        <v>3461</v>
      </c>
      <c r="G6215" t="s">
        <v>16</v>
      </c>
      <c r="H6215" t="s">
        <v>53</v>
      </c>
      <c r="I6215" t="s">
        <v>53</v>
      </c>
      <c r="J6215" t="s">
        <v>53</v>
      </c>
      <c r="K6215" t="s">
        <v>53</v>
      </c>
      <c r="L6215" t="s">
        <v>53</v>
      </c>
      <c r="M6215" t="s">
        <v>53</v>
      </c>
      <c r="N6215" t="s">
        <v>53</v>
      </c>
      <c r="O6215" t="s">
        <v>53</v>
      </c>
      <c r="P6215" t="s">
        <v>53</v>
      </c>
      <c r="Q6215" t="s">
        <v>53</v>
      </c>
    </row>
    <row r="6216" spans="1:17" x14ac:dyDescent="0.2">
      <c r="A6216" s="30" t="str">
        <f>IF(C6216&amp;G6216&amp;D6216&lt;&gt;'Funnel setup'!$K$3&amp;'Funnel setup'!$K$4&amp;'Funnel setup'!$K$5,".",IF(A6215=".",1,A6215+1))</f>
        <v>.</v>
      </c>
      <c r="B6216" s="431" t="str">
        <f t="shared" si="97"/>
        <v>Knee Replacement RevisionProviderSANDWELL AND WEST BIRMINGHAM HOSPITALS NHS TRUST (RXK)Oxford Knee Score</v>
      </c>
      <c r="C6216" t="s">
        <v>250</v>
      </c>
      <c r="D6216" t="s">
        <v>1</v>
      </c>
      <c r="E6216" t="s">
        <v>3463</v>
      </c>
      <c r="F6216" t="s">
        <v>3464</v>
      </c>
      <c r="G6216" t="s">
        <v>16</v>
      </c>
      <c r="H6216" t="s">
        <v>53</v>
      </c>
      <c r="I6216" t="s">
        <v>53</v>
      </c>
      <c r="J6216" t="s">
        <v>53</v>
      </c>
      <c r="K6216" t="s">
        <v>53</v>
      </c>
      <c r="L6216" t="s">
        <v>53</v>
      </c>
      <c r="M6216" t="s">
        <v>53</v>
      </c>
      <c r="N6216" t="s">
        <v>53</v>
      </c>
      <c r="O6216" t="s">
        <v>53</v>
      </c>
      <c r="P6216" t="s">
        <v>53</v>
      </c>
      <c r="Q6216" t="s">
        <v>53</v>
      </c>
    </row>
    <row r="6217" spans="1:17" x14ac:dyDescent="0.2">
      <c r="A6217" s="30" t="str">
        <f>IF(C6217&amp;G6217&amp;D6217&lt;&gt;'Funnel setup'!$K$3&amp;'Funnel setup'!$K$4&amp;'Funnel setup'!$K$5,".",IF(A6216=".",1,A6216+1))</f>
        <v>.</v>
      </c>
      <c r="B6217" s="431" t="str">
        <f t="shared" si="97"/>
        <v>Knee Replacement RevisionProviderSHEFFIELD TEACHING HOSPITALS NHS FOUNDATION TRUST (RHQ)Oxford Knee Score</v>
      </c>
      <c r="C6217" t="s">
        <v>250</v>
      </c>
      <c r="D6217" t="s">
        <v>1</v>
      </c>
      <c r="E6217" t="s">
        <v>3466</v>
      </c>
      <c r="F6217" t="s">
        <v>3467</v>
      </c>
      <c r="G6217" t="s">
        <v>16</v>
      </c>
      <c r="H6217">
        <v>53</v>
      </c>
      <c r="I6217">
        <v>15.019</v>
      </c>
      <c r="J6217">
        <v>27.849</v>
      </c>
      <c r="K6217">
        <v>12.83</v>
      </c>
      <c r="L6217">
        <v>48</v>
      </c>
      <c r="M6217">
        <v>1</v>
      </c>
      <c r="N6217">
        <v>4</v>
      </c>
      <c r="O6217">
        <v>28.597000000000001</v>
      </c>
      <c r="P6217">
        <v>12.090764350000001</v>
      </c>
      <c r="Q6217">
        <v>9.3140000000000001</v>
      </c>
    </row>
    <row r="6218" spans="1:17" x14ac:dyDescent="0.2">
      <c r="A6218" s="30" t="str">
        <f>IF(C6218&amp;G6218&amp;D6218&lt;&gt;'Funnel setup'!$K$3&amp;'Funnel setup'!$K$4&amp;'Funnel setup'!$K$5,".",IF(A6217=".",1,A6217+1))</f>
        <v>.</v>
      </c>
      <c r="B6218" s="431" t="str">
        <f t="shared" si="97"/>
        <v>Knee Replacement RevisionProviderSHEPTON MALLET NHS TREATMENT CENTRE (NTPH1)Oxford Knee Score</v>
      </c>
      <c r="C6218" t="s">
        <v>250</v>
      </c>
      <c r="D6218" t="s">
        <v>1</v>
      </c>
      <c r="E6218" t="s">
        <v>3472</v>
      </c>
      <c r="F6218" t="s">
        <v>3473</v>
      </c>
      <c r="G6218" t="s">
        <v>16</v>
      </c>
      <c r="H6218" t="s">
        <v>53</v>
      </c>
      <c r="I6218" t="s">
        <v>53</v>
      </c>
      <c r="J6218" t="s">
        <v>53</v>
      </c>
      <c r="K6218" t="s">
        <v>53</v>
      </c>
      <c r="L6218" t="s">
        <v>53</v>
      </c>
      <c r="M6218" t="s">
        <v>53</v>
      </c>
      <c r="N6218" t="s">
        <v>53</v>
      </c>
      <c r="O6218" t="s">
        <v>53</v>
      </c>
      <c r="P6218" t="s">
        <v>53</v>
      </c>
      <c r="Q6218" t="s">
        <v>53</v>
      </c>
    </row>
    <row r="6219" spans="1:17" x14ac:dyDescent="0.2">
      <c r="A6219" s="30" t="str">
        <f>IF(C6219&amp;G6219&amp;D6219&lt;&gt;'Funnel setup'!$K$3&amp;'Funnel setup'!$K$4&amp;'Funnel setup'!$K$5,".",IF(A6218=".",1,A6218+1))</f>
        <v>.</v>
      </c>
      <c r="B6219" s="431" t="str">
        <f t="shared" si="97"/>
        <v>Knee Replacement RevisionProviderSHERWOOD FOREST HOSPITALS NHS FOUNDATION TRUST (RK5)Oxford Knee Score</v>
      </c>
      <c r="C6219" t="s">
        <v>250</v>
      </c>
      <c r="D6219" t="s">
        <v>1</v>
      </c>
      <c r="E6219" t="s">
        <v>3475</v>
      </c>
      <c r="F6219" t="s">
        <v>3476</v>
      </c>
      <c r="G6219" t="s">
        <v>16</v>
      </c>
      <c r="H6219">
        <v>13</v>
      </c>
      <c r="I6219">
        <v>14.692</v>
      </c>
      <c r="J6219">
        <v>28.692</v>
      </c>
      <c r="K6219">
        <v>14</v>
      </c>
      <c r="L6219">
        <v>12</v>
      </c>
      <c r="M6219">
        <v>0</v>
      </c>
      <c r="N6219">
        <v>1</v>
      </c>
      <c r="O6219" t="s">
        <v>53</v>
      </c>
      <c r="P6219" t="s">
        <v>53</v>
      </c>
      <c r="Q6219" t="s">
        <v>53</v>
      </c>
    </row>
    <row r="6220" spans="1:17" x14ac:dyDescent="0.2">
      <c r="A6220" s="30" t="str">
        <f>IF(C6220&amp;G6220&amp;D6220&lt;&gt;'Funnel setup'!$K$3&amp;'Funnel setup'!$K$4&amp;'Funnel setup'!$K$5,".",IF(A6219=".",1,A6219+1))</f>
        <v>.</v>
      </c>
      <c r="B6220" s="431" t="str">
        <f t="shared" si="97"/>
        <v>Knee Replacement RevisionProviderSHREWSBURY AND TELFORD HOSPITAL NHS TRUST (RXW)Oxford Knee Score</v>
      </c>
      <c r="C6220" t="s">
        <v>250</v>
      </c>
      <c r="D6220" t="s">
        <v>1</v>
      </c>
      <c r="E6220" t="s">
        <v>3478</v>
      </c>
      <c r="F6220" t="s">
        <v>3479</v>
      </c>
      <c r="G6220" t="s">
        <v>16</v>
      </c>
      <c r="H6220">
        <v>7</v>
      </c>
      <c r="I6220">
        <v>17.143000000000001</v>
      </c>
      <c r="J6220">
        <v>31.286000000000001</v>
      </c>
      <c r="K6220">
        <v>14.143000000000001</v>
      </c>
      <c r="L6220">
        <v>6</v>
      </c>
      <c r="M6220">
        <v>1</v>
      </c>
      <c r="N6220">
        <v>0</v>
      </c>
      <c r="O6220" t="s">
        <v>53</v>
      </c>
      <c r="P6220" t="s">
        <v>53</v>
      </c>
      <c r="Q6220" t="s">
        <v>53</v>
      </c>
    </row>
    <row r="6221" spans="1:17" x14ac:dyDescent="0.2">
      <c r="A6221" s="30" t="str">
        <f>IF(C6221&amp;G6221&amp;D6221&lt;&gt;'Funnel setup'!$K$3&amp;'Funnel setup'!$K$4&amp;'Funnel setup'!$K$5,".",IF(A6220=".",1,A6220+1))</f>
        <v>.</v>
      </c>
      <c r="B6221" s="431" t="str">
        <f t="shared" si="97"/>
        <v>Knee Replacement RevisionProviderSOUTH TEES HOSPITALS NHS FOUNDATION TRUST (RTR)Oxford Knee Score</v>
      </c>
      <c r="C6221" t="s">
        <v>250</v>
      </c>
      <c r="D6221" t="s">
        <v>1</v>
      </c>
      <c r="E6221" t="s">
        <v>3482</v>
      </c>
      <c r="F6221" t="s">
        <v>3483</v>
      </c>
      <c r="G6221" t="s">
        <v>16</v>
      </c>
      <c r="H6221">
        <v>19</v>
      </c>
      <c r="I6221">
        <v>15.789</v>
      </c>
      <c r="J6221">
        <v>27.841999999999999</v>
      </c>
      <c r="K6221">
        <v>12.053000000000001</v>
      </c>
      <c r="L6221">
        <v>18</v>
      </c>
      <c r="M6221">
        <v>0</v>
      </c>
      <c r="N6221">
        <v>1</v>
      </c>
      <c r="O6221" t="s">
        <v>53</v>
      </c>
      <c r="P6221" t="s">
        <v>53</v>
      </c>
      <c r="Q6221" t="s">
        <v>53</v>
      </c>
    </row>
    <row r="6222" spans="1:17" x14ac:dyDescent="0.2">
      <c r="A6222" s="30" t="str">
        <f>IF(C6222&amp;G6222&amp;D6222&lt;&gt;'Funnel setup'!$K$3&amp;'Funnel setup'!$K$4&amp;'Funnel setup'!$K$5,".",IF(A6221=".",1,A6221+1))</f>
        <v>.</v>
      </c>
      <c r="B6222" s="431" t="str">
        <f t="shared" si="97"/>
        <v>Knee Replacement RevisionProviderSOUTH TYNESIDE NHS FOUNDATION TRUST (RE9)Oxford Knee Score</v>
      </c>
      <c r="C6222" t="s">
        <v>250</v>
      </c>
      <c r="D6222" t="s">
        <v>1</v>
      </c>
      <c r="E6222" t="s">
        <v>3485</v>
      </c>
      <c r="F6222" t="s">
        <v>3486</v>
      </c>
      <c r="G6222" t="s">
        <v>16</v>
      </c>
      <c r="H6222" t="s">
        <v>53</v>
      </c>
      <c r="I6222" t="s">
        <v>53</v>
      </c>
      <c r="J6222" t="s">
        <v>53</v>
      </c>
      <c r="K6222" t="s">
        <v>53</v>
      </c>
      <c r="L6222" t="s">
        <v>53</v>
      </c>
      <c r="M6222" t="s">
        <v>53</v>
      </c>
      <c r="N6222" t="s">
        <v>53</v>
      </c>
      <c r="O6222" t="s">
        <v>53</v>
      </c>
      <c r="P6222" t="s">
        <v>53</v>
      </c>
      <c r="Q6222" t="s">
        <v>53</v>
      </c>
    </row>
    <row r="6223" spans="1:17" x14ac:dyDescent="0.2">
      <c r="A6223" s="30" t="str">
        <f>IF(C6223&amp;G6223&amp;D6223&lt;&gt;'Funnel setup'!$K$3&amp;'Funnel setup'!$K$4&amp;'Funnel setup'!$K$5,".",IF(A6222=".",1,A6222+1))</f>
        <v>.</v>
      </c>
      <c r="B6223" s="431" t="str">
        <f t="shared" si="97"/>
        <v>Knee Replacement RevisionProviderSOUTH WARWICKSHIRE NHS FOUNDATION TRUST (RJC)Oxford Knee Score</v>
      </c>
      <c r="C6223" t="s">
        <v>250</v>
      </c>
      <c r="D6223" t="s">
        <v>1</v>
      </c>
      <c r="E6223" t="s">
        <v>3421</v>
      </c>
      <c r="F6223" t="s">
        <v>3422</v>
      </c>
      <c r="G6223" t="s">
        <v>16</v>
      </c>
      <c r="H6223">
        <v>9</v>
      </c>
      <c r="I6223">
        <v>20.556000000000001</v>
      </c>
      <c r="J6223">
        <v>33.444000000000003</v>
      </c>
      <c r="K6223">
        <v>12.888999999999999</v>
      </c>
      <c r="L6223">
        <v>9</v>
      </c>
      <c r="M6223">
        <v>0</v>
      </c>
      <c r="N6223">
        <v>0</v>
      </c>
      <c r="O6223" t="s">
        <v>53</v>
      </c>
      <c r="P6223" t="s">
        <v>53</v>
      </c>
      <c r="Q6223" t="s">
        <v>53</v>
      </c>
    </row>
    <row r="6224" spans="1:17" x14ac:dyDescent="0.2">
      <c r="A6224" s="30" t="str">
        <f>IF(C6224&amp;G6224&amp;D6224&lt;&gt;'Funnel setup'!$K$3&amp;'Funnel setup'!$K$4&amp;'Funnel setup'!$K$5,".",IF(A6223=".",1,A6223+1))</f>
        <v>.</v>
      </c>
      <c r="B6224" s="431" t="str">
        <f t="shared" si="97"/>
        <v>Knee Replacement RevisionProviderSOUTHAMPTON NHS TREATMENT CENTRE (NTP11)Oxford Knee Score</v>
      </c>
      <c r="C6224" t="s">
        <v>250</v>
      </c>
      <c r="D6224" t="s">
        <v>1</v>
      </c>
      <c r="E6224" t="s">
        <v>3424</v>
      </c>
      <c r="F6224" t="s">
        <v>3425</v>
      </c>
      <c r="G6224" t="s">
        <v>16</v>
      </c>
      <c r="H6224" t="s">
        <v>53</v>
      </c>
      <c r="I6224" t="s">
        <v>53</v>
      </c>
      <c r="J6224" t="s">
        <v>53</v>
      </c>
      <c r="K6224" t="s">
        <v>53</v>
      </c>
      <c r="L6224" t="s">
        <v>53</v>
      </c>
      <c r="M6224" t="s">
        <v>53</v>
      </c>
      <c r="N6224" t="s">
        <v>53</v>
      </c>
      <c r="O6224" t="s">
        <v>53</v>
      </c>
      <c r="P6224" t="s">
        <v>53</v>
      </c>
      <c r="Q6224" t="s">
        <v>53</v>
      </c>
    </row>
    <row r="6225" spans="1:17" x14ac:dyDescent="0.2">
      <c r="A6225" s="30" t="str">
        <f>IF(C6225&amp;G6225&amp;D6225&lt;&gt;'Funnel setup'!$K$3&amp;'Funnel setup'!$K$4&amp;'Funnel setup'!$K$5,".",IF(A6224=".",1,A6224+1))</f>
        <v>.</v>
      </c>
      <c r="B6225" s="431" t="str">
        <f t="shared" si="97"/>
        <v>Knee Replacement RevisionProviderSOUTHEND UNIVERSITY HOSPITAL NHS FOUNDATION TRUST (RAJ)Oxford Knee Score</v>
      </c>
      <c r="C6225" t="s">
        <v>250</v>
      </c>
      <c r="D6225" t="s">
        <v>1</v>
      </c>
      <c r="E6225" t="s">
        <v>3427</v>
      </c>
      <c r="F6225" t="s">
        <v>3428</v>
      </c>
      <c r="G6225" t="s">
        <v>16</v>
      </c>
      <c r="H6225" t="s">
        <v>53</v>
      </c>
      <c r="I6225" t="s">
        <v>53</v>
      </c>
      <c r="J6225" t="s">
        <v>53</v>
      </c>
      <c r="K6225" t="s">
        <v>53</v>
      </c>
      <c r="L6225" t="s">
        <v>53</v>
      </c>
      <c r="M6225" t="s">
        <v>53</v>
      </c>
      <c r="N6225" t="s">
        <v>53</v>
      </c>
      <c r="O6225" t="s">
        <v>53</v>
      </c>
      <c r="P6225" t="s">
        <v>53</v>
      </c>
      <c r="Q6225" t="s">
        <v>53</v>
      </c>
    </row>
    <row r="6226" spans="1:17" x14ac:dyDescent="0.2">
      <c r="A6226" s="30" t="str">
        <f>IF(C6226&amp;G6226&amp;D6226&lt;&gt;'Funnel setup'!$K$3&amp;'Funnel setup'!$K$4&amp;'Funnel setup'!$K$5,".",IF(A6225=".",1,A6225+1))</f>
        <v>.</v>
      </c>
      <c r="B6226" s="431" t="str">
        <f t="shared" si="97"/>
        <v>Knee Replacement RevisionProviderSOUTHPORT AND ORMSKIRK HOSPITAL NHS TRUST (RVY)Oxford Knee Score</v>
      </c>
      <c r="C6226" t="s">
        <v>250</v>
      </c>
      <c r="D6226" t="s">
        <v>1</v>
      </c>
      <c r="E6226" t="s">
        <v>3430</v>
      </c>
      <c r="F6226" t="s">
        <v>3431</v>
      </c>
      <c r="G6226" t="s">
        <v>16</v>
      </c>
      <c r="H6226" t="s">
        <v>53</v>
      </c>
      <c r="I6226" t="s">
        <v>53</v>
      </c>
      <c r="J6226" t="s">
        <v>53</v>
      </c>
      <c r="K6226" t="s">
        <v>53</v>
      </c>
      <c r="L6226" t="s">
        <v>53</v>
      </c>
      <c r="M6226" t="s">
        <v>53</v>
      </c>
      <c r="N6226" t="s">
        <v>53</v>
      </c>
      <c r="O6226" t="s">
        <v>53</v>
      </c>
      <c r="P6226" t="s">
        <v>53</v>
      </c>
      <c r="Q6226" t="s">
        <v>53</v>
      </c>
    </row>
    <row r="6227" spans="1:17" x14ac:dyDescent="0.2">
      <c r="A6227" s="30" t="str">
        <f>IF(C6227&amp;G6227&amp;D6227&lt;&gt;'Funnel setup'!$K$3&amp;'Funnel setup'!$K$4&amp;'Funnel setup'!$K$5,".",IF(A6226=".",1,A6226+1))</f>
        <v>.</v>
      </c>
      <c r="B6227" s="431" t="str">
        <f t="shared" si="97"/>
        <v>Knee Replacement RevisionProviderSPIRE ALEXANDRA HOSPITAL (NT312)Oxford Knee Score</v>
      </c>
      <c r="C6227" t="s">
        <v>250</v>
      </c>
      <c r="D6227" t="s">
        <v>1</v>
      </c>
      <c r="E6227" t="s">
        <v>3433</v>
      </c>
      <c r="F6227" t="s">
        <v>3434</v>
      </c>
      <c r="G6227" t="s">
        <v>16</v>
      </c>
      <c r="H6227" t="s">
        <v>53</v>
      </c>
      <c r="I6227" t="s">
        <v>53</v>
      </c>
      <c r="J6227" t="s">
        <v>53</v>
      </c>
      <c r="K6227" t="s">
        <v>53</v>
      </c>
      <c r="L6227" t="s">
        <v>53</v>
      </c>
      <c r="M6227" t="s">
        <v>53</v>
      </c>
      <c r="N6227" t="s">
        <v>53</v>
      </c>
      <c r="O6227" t="s">
        <v>53</v>
      </c>
      <c r="P6227" t="s">
        <v>53</v>
      </c>
      <c r="Q6227" t="s">
        <v>53</v>
      </c>
    </row>
    <row r="6228" spans="1:17" x14ac:dyDescent="0.2">
      <c r="A6228" s="30" t="str">
        <f>IF(C6228&amp;G6228&amp;D6228&lt;&gt;'Funnel setup'!$K$3&amp;'Funnel setup'!$K$4&amp;'Funnel setup'!$K$5,".",IF(A6227=".",1,A6227+1))</f>
        <v>.</v>
      </c>
      <c r="B6228" s="431" t="str">
        <f t="shared" si="97"/>
        <v>Knee Replacement RevisionProviderSPIRE ELLAND HOSPITAL (NT348)Oxford Knee Score</v>
      </c>
      <c r="C6228" t="s">
        <v>250</v>
      </c>
      <c r="D6228" t="s">
        <v>1</v>
      </c>
      <c r="E6228" t="s">
        <v>3418</v>
      </c>
      <c r="F6228" t="s">
        <v>3419</v>
      </c>
      <c r="G6228" t="s">
        <v>16</v>
      </c>
      <c r="H6228" t="s">
        <v>53</v>
      </c>
      <c r="I6228" t="s">
        <v>53</v>
      </c>
      <c r="J6228" t="s">
        <v>53</v>
      </c>
      <c r="K6228" t="s">
        <v>53</v>
      </c>
      <c r="L6228" t="s">
        <v>53</v>
      </c>
      <c r="M6228" t="s">
        <v>53</v>
      </c>
      <c r="N6228" t="s">
        <v>53</v>
      </c>
      <c r="O6228" t="s">
        <v>53</v>
      </c>
      <c r="P6228" t="s">
        <v>53</v>
      </c>
      <c r="Q6228" t="s">
        <v>53</v>
      </c>
    </row>
    <row r="6229" spans="1:17" x14ac:dyDescent="0.2">
      <c r="A6229" s="30" t="str">
        <f>IF(C6229&amp;G6229&amp;D6229&lt;&gt;'Funnel setup'!$K$3&amp;'Funnel setup'!$K$4&amp;'Funnel setup'!$K$5,".",IF(A6228=".",1,A6228+1))</f>
        <v>.</v>
      </c>
      <c r="B6229" s="431" t="str">
        <f t="shared" si="97"/>
        <v>Knee Replacement RevisionProviderSPIRE FYLDE COAST HOSPITAL (NT347)Oxford Knee Score</v>
      </c>
      <c r="C6229" t="s">
        <v>250</v>
      </c>
      <c r="D6229" t="s">
        <v>1</v>
      </c>
      <c r="E6229" t="s">
        <v>4370</v>
      </c>
      <c r="F6229" t="s">
        <v>4371</v>
      </c>
      <c r="G6229" t="s">
        <v>16</v>
      </c>
      <c r="H6229" t="s">
        <v>53</v>
      </c>
      <c r="I6229" t="s">
        <v>53</v>
      </c>
      <c r="J6229" t="s">
        <v>53</v>
      </c>
      <c r="K6229" t="s">
        <v>53</v>
      </c>
      <c r="L6229" t="s">
        <v>53</v>
      </c>
      <c r="M6229" t="s">
        <v>53</v>
      </c>
      <c r="N6229" t="s">
        <v>53</v>
      </c>
      <c r="O6229" t="s">
        <v>53</v>
      </c>
      <c r="P6229" t="s">
        <v>53</v>
      </c>
      <c r="Q6229" t="s">
        <v>53</v>
      </c>
    </row>
    <row r="6230" spans="1:17" x14ac:dyDescent="0.2">
      <c r="A6230" s="30" t="str">
        <f>IF(C6230&amp;G6230&amp;D6230&lt;&gt;'Funnel setup'!$K$3&amp;'Funnel setup'!$K$4&amp;'Funnel setup'!$K$5,".",IF(A6229=".",1,A6229+1))</f>
        <v>.</v>
      </c>
      <c r="B6230" s="431" t="str">
        <f t="shared" si="97"/>
        <v>Knee Replacement RevisionProviderSPIRE HARPENDEN HOSPITAL (NT316)Oxford Knee Score</v>
      </c>
      <c r="C6230" t="s">
        <v>250</v>
      </c>
      <c r="D6230" t="s">
        <v>1</v>
      </c>
      <c r="E6230" t="s">
        <v>4267</v>
      </c>
      <c r="F6230" t="s">
        <v>4268</v>
      </c>
      <c r="G6230" t="s">
        <v>16</v>
      </c>
      <c r="H6230" t="s">
        <v>53</v>
      </c>
      <c r="I6230" t="s">
        <v>53</v>
      </c>
      <c r="J6230" t="s">
        <v>53</v>
      </c>
      <c r="K6230" t="s">
        <v>53</v>
      </c>
      <c r="L6230" t="s">
        <v>53</v>
      </c>
      <c r="M6230" t="s">
        <v>53</v>
      </c>
      <c r="N6230" t="s">
        <v>53</v>
      </c>
      <c r="O6230" t="s">
        <v>53</v>
      </c>
      <c r="P6230" t="s">
        <v>53</v>
      </c>
      <c r="Q6230" t="s">
        <v>53</v>
      </c>
    </row>
    <row r="6231" spans="1:17" x14ac:dyDescent="0.2">
      <c r="A6231" s="30" t="str">
        <f>IF(C6231&amp;G6231&amp;D6231&lt;&gt;'Funnel setup'!$K$3&amp;'Funnel setup'!$K$4&amp;'Funnel setup'!$K$5,".",IF(A6230=".",1,A6230+1))</f>
        <v>.</v>
      </c>
      <c r="B6231" s="431" t="str">
        <f t="shared" si="97"/>
        <v>Knee Replacement RevisionProviderSPIRE HULL AND EAST RIDING HOSPITAL (NT351)Oxford Knee Score</v>
      </c>
      <c r="C6231" t="s">
        <v>250</v>
      </c>
      <c r="D6231" t="s">
        <v>1</v>
      </c>
      <c r="E6231" t="s">
        <v>3213</v>
      </c>
      <c r="F6231" t="s">
        <v>3214</v>
      </c>
      <c r="G6231" t="s">
        <v>16</v>
      </c>
      <c r="H6231" t="s">
        <v>53</v>
      </c>
      <c r="I6231" t="s">
        <v>53</v>
      </c>
      <c r="J6231" t="s">
        <v>53</v>
      </c>
      <c r="K6231" t="s">
        <v>53</v>
      </c>
      <c r="L6231" t="s">
        <v>53</v>
      </c>
      <c r="M6231" t="s">
        <v>53</v>
      </c>
      <c r="N6231" t="s">
        <v>53</v>
      </c>
      <c r="O6231" t="s">
        <v>53</v>
      </c>
      <c r="P6231" t="s">
        <v>53</v>
      </c>
      <c r="Q6231" t="s">
        <v>53</v>
      </c>
    </row>
    <row r="6232" spans="1:17" x14ac:dyDescent="0.2">
      <c r="A6232" s="30" t="str">
        <f>IF(C6232&amp;G6232&amp;D6232&lt;&gt;'Funnel setup'!$K$3&amp;'Funnel setup'!$K$4&amp;'Funnel setup'!$K$5,".",IF(A6231=".",1,A6231+1))</f>
        <v>.</v>
      </c>
      <c r="B6232" s="431" t="str">
        <f t="shared" si="97"/>
        <v>Knee Replacement RevisionProviderSPIRE LEEDS HOSPITAL (NT332)Oxford Knee Score</v>
      </c>
      <c r="C6232" t="s">
        <v>250</v>
      </c>
      <c r="D6232" t="s">
        <v>1</v>
      </c>
      <c r="E6232" t="s">
        <v>3198</v>
      </c>
      <c r="F6232" t="s">
        <v>3199</v>
      </c>
      <c r="G6232" t="s">
        <v>16</v>
      </c>
      <c r="H6232" t="s">
        <v>53</v>
      </c>
      <c r="I6232" t="s">
        <v>53</v>
      </c>
      <c r="J6232" t="s">
        <v>53</v>
      </c>
      <c r="K6232" t="s">
        <v>53</v>
      </c>
      <c r="L6232" t="s">
        <v>53</v>
      </c>
      <c r="M6232" t="s">
        <v>53</v>
      </c>
      <c r="N6232" t="s">
        <v>53</v>
      </c>
      <c r="O6232" t="s">
        <v>53</v>
      </c>
      <c r="P6232" t="s">
        <v>53</v>
      </c>
      <c r="Q6232" t="s">
        <v>53</v>
      </c>
    </row>
    <row r="6233" spans="1:17" x14ac:dyDescent="0.2">
      <c r="A6233" s="30" t="str">
        <f>IF(C6233&amp;G6233&amp;D6233&lt;&gt;'Funnel setup'!$K$3&amp;'Funnel setup'!$K$4&amp;'Funnel setup'!$K$5,".",IF(A6232=".",1,A6232+1))</f>
        <v>.</v>
      </c>
      <c r="B6233" s="431" t="str">
        <f t="shared" si="97"/>
        <v>Knee Replacement RevisionProviderSPIRE MONTEFIORE HOSPITAL (NT364)Oxford Knee Score</v>
      </c>
      <c r="C6233" t="s">
        <v>250</v>
      </c>
      <c r="D6233" t="s">
        <v>1</v>
      </c>
      <c r="E6233" t="s">
        <v>3160</v>
      </c>
      <c r="F6233" t="s">
        <v>3161</v>
      </c>
      <c r="G6233" t="s">
        <v>16</v>
      </c>
      <c r="H6233" t="s">
        <v>53</v>
      </c>
      <c r="I6233" t="s">
        <v>53</v>
      </c>
      <c r="J6233" t="s">
        <v>53</v>
      </c>
      <c r="K6233" t="s">
        <v>53</v>
      </c>
      <c r="L6233" t="s">
        <v>53</v>
      </c>
      <c r="M6233" t="s">
        <v>53</v>
      </c>
      <c r="N6233" t="s">
        <v>53</v>
      </c>
      <c r="O6233" t="s">
        <v>53</v>
      </c>
      <c r="P6233" t="s">
        <v>53</v>
      </c>
      <c r="Q6233" t="s">
        <v>53</v>
      </c>
    </row>
    <row r="6234" spans="1:17" x14ac:dyDescent="0.2">
      <c r="A6234" s="30" t="str">
        <f>IF(C6234&amp;G6234&amp;D6234&lt;&gt;'Funnel setup'!$K$3&amp;'Funnel setup'!$K$4&amp;'Funnel setup'!$K$5,".",IF(A6233=".",1,A6233+1))</f>
        <v>.</v>
      </c>
      <c r="B6234" s="431" t="str">
        <f t="shared" si="97"/>
        <v>Knee Replacement RevisionProviderSPIRE NORWICH HOSPITAL (NT318)Oxford Knee Score</v>
      </c>
      <c r="C6234" t="s">
        <v>250</v>
      </c>
      <c r="D6234" t="s">
        <v>1</v>
      </c>
      <c r="E6234" t="s">
        <v>4251</v>
      </c>
      <c r="F6234" t="s">
        <v>4252</v>
      </c>
      <c r="G6234" t="s">
        <v>16</v>
      </c>
      <c r="H6234" t="s">
        <v>53</v>
      </c>
      <c r="I6234" t="s">
        <v>53</v>
      </c>
      <c r="J6234" t="s">
        <v>53</v>
      </c>
      <c r="K6234" t="s">
        <v>53</v>
      </c>
      <c r="L6234" t="s">
        <v>53</v>
      </c>
      <c r="M6234" t="s">
        <v>53</v>
      </c>
      <c r="N6234" t="s">
        <v>53</v>
      </c>
      <c r="O6234" t="s">
        <v>53</v>
      </c>
      <c r="P6234" t="s">
        <v>53</v>
      </c>
      <c r="Q6234" t="s">
        <v>53</v>
      </c>
    </row>
    <row r="6235" spans="1:17" x14ac:dyDescent="0.2">
      <c r="A6235" s="30" t="str">
        <f>IF(C6235&amp;G6235&amp;D6235&lt;&gt;'Funnel setup'!$K$3&amp;'Funnel setup'!$K$4&amp;'Funnel setup'!$K$5,".",IF(A6234=".",1,A6234+1))</f>
        <v>.</v>
      </c>
      <c r="B6235" s="431" t="str">
        <f t="shared" si="97"/>
        <v>Knee Replacement RevisionProviderSPIRE SOUTH BANK HOSPITAL (NT301)Oxford Knee Score</v>
      </c>
      <c r="C6235" t="s">
        <v>250</v>
      </c>
      <c r="D6235" t="s">
        <v>1</v>
      </c>
      <c r="E6235" t="s">
        <v>3174</v>
      </c>
      <c r="F6235" t="s">
        <v>3175</v>
      </c>
      <c r="G6235" t="s">
        <v>16</v>
      </c>
      <c r="H6235" t="s">
        <v>53</v>
      </c>
      <c r="I6235" t="s">
        <v>53</v>
      </c>
      <c r="J6235" t="s">
        <v>53</v>
      </c>
      <c r="K6235" t="s">
        <v>53</v>
      </c>
      <c r="L6235" t="s">
        <v>53</v>
      </c>
      <c r="M6235" t="s">
        <v>53</v>
      </c>
      <c r="N6235" t="s">
        <v>53</v>
      </c>
      <c r="O6235" t="s">
        <v>53</v>
      </c>
      <c r="P6235" t="s">
        <v>53</v>
      </c>
      <c r="Q6235" t="s">
        <v>53</v>
      </c>
    </row>
    <row r="6236" spans="1:17" x14ac:dyDescent="0.2">
      <c r="A6236" s="30" t="str">
        <f>IF(C6236&amp;G6236&amp;D6236&lt;&gt;'Funnel setup'!$K$3&amp;'Funnel setup'!$K$4&amp;'Funnel setup'!$K$5,".",IF(A6235=".",1,A6235+1))</f>
        <v>.</v>
      </c>
      <c r="B6236" s="431" t="str">
        <f t="shared" si="97"/>
        <v>Knee Replacement RevisionProviderSPIRE SUSSEX HOSPITAL (NT309)Oxford Knee Score</v>
      </c>
      <c r="C6236" t="s">
        <v>250</v>
      </c>
      <c r="D6236" t="s">
        <v>1</v>
      </c>
      <c r="E6236" t="s">
        <v>3180</v>
      </c>
      <c r="F6236" t="s">
        <v>3181</v>
      </c>
      <c r="G6236" t="s">
        <v>16</v>
      </c>
      <c r="H6236">
        <v>6</v>
      </c>
      <c r="I6236">
        <v>21.167000000000002</v>
      </c>
      <c r="J6236">
        <v>34.667000000000002</v>
      </c>
      <c r="K6236">
        <v>13.5</v>
      </c>
      <c r="L6236">
        <v>6</v>
      </c>
      <c r="M6236">
        <v>0</v>
      </c>
      <c r="N6236">
        <v>0</v>
      </c>
      <c r="O6236" t="s">
        <v>53</v>
      </c>
      <c r="P6236" t="s">
        <v>53</v>
      </c>
      <c r="Q6236" t="s">
        <v>53</v>
      </c>
    </row>
    <row r="6237" spans="1:17" x14ac:dyDescent="0.2">
      <c r="A6237" s="30" t="str">
        <f>IF(C6237&amp;G6237&amp;D6237&lt;&gt;'Funnel setup'!$K$3&amp;'Funnel setup'!$K$4&amp;'Funnel setup'!$K$5,".",IF(A6236=".",1,A6236+1))</f>
        <v>.</v>
      </c>
      <c r="B6237" s="431" t="str">
        <f t="shared" si="97"/>
        <v>Knee Replacement RevisionProviderSPIRE WELLESLEY HOSPITAL (NT313)Oxford Knee Score</v>
      </c>
      <c r="C6237" t="s">
        <v>250</v>
      </c>
      <c r="D6237" t="s">
        <v>1</v>
      </c>
      <c r="E6237" t="s">
        <v>3192</v>
      </c>
      <c r="F6237" t="s">
        <v>3193</v>
      </c>
      <c r="G6237" t="s">
        <v>16</v>
      </c>
      <c r="H6237" t="s">
        <v>53</v>
      </c>
      <c r="I6237" t="s">
        <v>53</v>
      </c>
      <c r="J6237" t="s">
        <v>53</v>
      </c>
      <c r="K6237" t="s">
        <v>53</v>
      </c>
      <c r="L6237" t="s">
        <v>53</v>
      </c>
      <c r="M6237" t="s">
        <v>53</v>
      </c>
      <c r="N6237" t="s">
        <v>53</v>
      </c>
      <c r="O6237" t="s">
        <v>53</v>
      </c>
      <c r="P6237" t="s">
        <v>53</v>
      </c>
      <c r="Q6237" t="s">
        <v>53</v>
      </c>
    </row>
    <row r="6238" spans="1:17" x14ac:dyDescent="0.2">
      <c r="A6238" s="30" t="str">
        <f>IF(C6238&amp;G6238&amp;D6238&lt;&gt;'Funnel setup'!$K$3&amp;'Funnel setup'!$K$4&amp;'Funnel setup'!$K$5,".",IF(A6237=".",1,A6237+1))</f>
        <v>.</v>
      </c>
      <c r="B6238" s="431" t="str">
        <f t="shared" si="97"/>
        <v>Knee Replacement RevisionProviderSPRINGFIELD HOSPITAL (NVC18)Oxford Knee Score</v>
      </c>
      <c r="C6238" t="s">
        <v>250</v>
      </c>
      <c r="D6238" t="s">
        <v>1</v>
      </c>
      <c r="E6238" t="s">
        <v>3195</v>
      </c>
      <c r="F6238" t="s">
        <v>3196</v>
      </c>
      <c r="G6238" t="s">
        <v>16</v>
      </c>
      <c r="H6238" t="s">
        <v>53</v>
      </c>
      <c r="I6238" t="s">
        <v>53</v>
      </c>
      <c r="J6238" t="s">
        <v>53</v>
      </c>
      <c r="K6238" t="s">
        <v>53</v>
      </c>
      <c r="L6238" t="s">
        <v>53</v>
      </c>
      <c r="M6238" t="s">
        <v>53</v>
      </c>
      <c r="N6238" t="s">
        <v>53</v>
      </c>
      <c r="O6238" t="s">
        <v>53</v>
      </c>
      <c r="P6238" t="s">
        <v>53</v>
      </c>
      <c r="Q6238" t="s">
        <v>53</v>
      </c>
    </row>
    <row r="6239" spans="1:17" x14ac:dyDescent="0.2">
      <c r="A6239" s="30" t="str">
        <f>IF(C6239&amp;G6239&amp;D6239&lt;&gt;'Funnel setup'!$K$3&amp;'Funnel setup'!$K$4&amp;'Funnel setup'!$K$5,".",IF(A6238=".",1,A6238+1))</f>
        <v>.</v>
      </c>
      <c r="B6239" s="431" t="str">
        <f t="shared" si="97"/>
        <v>Knee Replacement RevisionProviderST GEORGE'S UNIVERSITY HOSPITALS NHS FOUNDATION TRUST (RJ7)Oxford Knee Score</v>
      </c>
      <c r="C6239" t="s">
        <v>250</v>
      </c>
      <c r="D6239" t="s">
        <v>1</v>
      </c>
      <c r="E6239" t="s">
        <v>3124</v>
      </c>
      <c r="F6239" t="s">
        <v>3125</v>
      </c>
      <c r="G6239" t="s">
        <v>16</v>
      </c>
      <c r="H6239" t="s">
        <v>53</v>
      </c>
      <c r="I6239" t="s">
        <v>53</v>
      </c>
      <c r="J6239" t="s">
        <v>53</v>
      </c>
      <c r="K6239" t="s">
        <v>53</v>
      </c>
      <c r="L6239" t="s">
        <v>53</v>
      </c>
      <c r="M6239" t="s">
        <v>53</v>
      </c>
      <c r="N6239" t="s">
        <v>53</v>
      </c>
      <c r="O6239" t="s">
        <v>53</v>
      </c>
      <c r="P6239" t="s">
        <v>53</v>
      </c>
      <c r="Q6239" t="s">
        <v>53</v>
      </c>
    </row>
    <row r="6240" spans="1:17" x14ac:dyDescent="0.2">
      <c r="A6240" s="30" t="str">
        <f>IF(C6240&amp;G6240&amp;D6240&lt;&gt;'Funnel setup'!$K$3&amp;'Funnel setup'!$K$4&amp;'Funnel setup'!$K$5,".",IF(A6239=".",1,A6239+1))</f>
        <v>.</v>
      </c>
      <c r="B6240" s="431" t="str">
        <f t="shared" si="97"/>
        <v>Knee Replacement RevisionProviderST HELENS AND KNOWSLEY HOSPITALS NHS TRUST (RBN)Oxford Knee Score</v>
      </c>
      <c r="C6240" t="s">
        <v>250</v>
      </c>
      <c r="D6240" t="s">
        <v>1</v>
      </c>
      <c r="E6240" t="s">
        <v>3127</v>
      </c>
      <c r="F6240" t="s">
        <v>3128</v>
      </c>
      <c r="G6240" t="s">
        <v>16</v>
      </c>
      <c r="H6240">
        <v>12</v>
      </c>
      <c r="I6240">
        <v>16.75</v>
      </c>
      <c r="J6240">
        <v>25.75</v>
      </c>
      <c r="K6240">
        <v>9</v>
      </c>
      <c r="L6240">
        <v>9</v>
      </c>
      <c r="M6240">
        <v>0</v>
      </c>
      <c r="N6240">
        <v>3</v>
      </c>
      <c r="O6240" t="s">
        <v>53</v>
      </c>
      <c r="P6240" t="s">
        <v>53</v>
      </c>
      <c r="Q6240" t="s">
        <v>53</v>
      </c>
    </row>
    <row r="6241" spans="1:17" x14ac:dyDescent="0.2">
      <c r="A6241" s="30" t="str">
        <f>IF(C6241&amp;G6241&amp;D6241&lt;&gt;'Funnel setup'!$K$3&amp;'Funnel setup'!$K$4&amp;'Funnel setup'!$K$5,".",IF(A6240=".",1,A6240+1))</f>
        <v>.</v>
      </c>
      <c r="B6241" s="431" t="str">
        <f t="shared" si="97"/>
        <v>Knee Replacement RevisionProviderST HUGH'S HOSPITAL (NTE02)Oxford Knee Score</v>
      </c>
      <c r="C6241" t="s">
        <v>250</v>
      </c>
      <c r="D6241" t="s">
        <v>1</v>
      </c>
      <c r="E6241" t="s">
        <v>3130</v>
      </c>
      <c r="F6241" t="s">
        <v>3131</v>
      </c>
      <c r="G6241" t="s">
        <v>16</v>
      </c>
      <c r="H6241" t="s">
        <v>53</v>
      </c>
      <c r="I6241" t="s">
        <v>53</v>
      </c>
      <c r="J6241" t="s">
        <v>53</v>
      </c>
      <c r="K6241" t="s">
        <v>53</v>
      </c>
      <c r="L6241" t="s">
        <v>53</v>
      </c>
      <c r="M6241" t="s">
        <v>53</v>
      </c>
      <c r="N6241" t="s">
        <v>53</v>
      </c>
      <c r="O6241" t="s">
        <v>53</v>
      </c>
      <c r="P6241" t="s">
        <v>53</v>
      </c>
      <c r="Q6241" t="s">
        <v>53</v>
      </c>
    </row>
    <row r="6242" spans="1:17" x14ac:dyDescent="0.2">
      <c r="A6242" s="30" t="str">
        <f>IF(C6242&amp;G6242&amp;D6242&lt;&gt;'Funnel setup'!$K$3&amp;'Funnel setup'!$K$4&amp;'Funnel setup'!$K$5,".",IF(A6241=".",1,A6241+1))</f>
        <v>.</v>
      </c>
      <c r="B6242" s="431" t="str">
        <f t="shared" si="97"/>
        <v>Knee Replacement RevisionProviderSTOCKPORT NHS FOUNDATION TRUST (RWJ)Oxford Knee Score</v>
      </c>
      <c r="C6242" t="s">
        <v>250</v>
      </c>
      <c r="D6242" t="s">
        <v>1</v>
      </c>
      <c r="E6242" t="s">
        <v>3142</v>
      </c>
      <c r="F6242" t="s">
        <v>3143</v>
      </c>
      <c r="G6242" t="s">
        <v>16</v>
      </c>
      <c r="H6242">
        <v>10</v>
      </c>
      <c r="I6242">
        <v>15.2</v>
      </c>
      <c r="J6242">
        <v>27.4</v>
      </c>
      <c r="K6242">
        <v>12.2</v>
      </c>
      <c r="L6242">
        <v>8</v>
      </c>
      <c r="M6242">
        <v>1</v>
      </c>
      <c r="N6242">
        <v>1</v>
      </c>
      <c r="O6242" t="s">
        <v>53</v>
      </c>
      <c r="P6242" t="s">
        <v>53</v>
      </c>
      <c r="Q6242" t="s">
        <v>53</v>
      </c>
    </row>
    <row r="6243" spans="1:17" x14ac:dyDescent="0.2">
      <c r="A6243" s="30" t="str">
        <f>IF(C6243&amp;G6243&amp;D6243&lt;&gt;'Funnel setup'!$K$3&amp;'Funnel setup'!$K$4&amp;'Funnel setup'!$K$5,".",IF(A6242=".",1,A6242+1))</f>
        <v>.</v>
      </c>
      <c r="B6243" s="431" t="str">
        <f t="shared" si="97"/>
        <v>Knee Replacement RevisionProviderSURREY AND SUSSEX HEALTHCARE NHS TRUST (RTP)Oxford Knee Score</v>
      </c>
      <c r="C6243" t="s">
        <v>250</v>
      </c>
      <c r="D6243" t="s">
        <v>1</v>
      </c>
      <c r="E6243" t="s">
        <v>3145</v>
      </c>
      <c r="F6243" t="s">
        <v>3146</v>
      </c>
      <c r="G6243" t="s">
        <v>16</v>
      </c>
      <c r="H6243" t="s">
        <v>53</v>
      </c>
      <c r="I6243" t="s">
        <v>53</v>
      </c>
      <c r="J6243" t="s">
        <v>53</v>
      </c>
      <c r="K6243" t="s">
        <v>53</v>
      </c>
      <c r="L6243" t="s">
        <v>53</v>
      </c>
      <c r="M6243" t="s">
        <v>53</v>
      </c>
      <c r="N6243" t="s">
        <v>53</v>
      </c>
      <c r="O6243" t="s">
        <v>53</v>
      </c>
      <c r="P6243" t="s">
        <v>53</v>
      </c>
      <c r="Q6243" t="s">
        <v>53</v>
      </c>
    </row>
    <row r="6244" spans="1:17" x14ac:dyDescent="0.2">
      <c r="A6244" s="30" t="str">
        <f>IF(C6244&amp;G6244&amp;D6244&lt;&gt;'Funnel setup'!$K$3&amp;'Funnel setup'!$K$4&amp;'Funnel setup'!$K$5,".",IF(A6243=".",1,A6243+1))</f>
        <v>.</v>
      </c>
      <c r="B6244" s="431" t="str">
        <f t="shared" si="97"/>
        <v>Knee Replacement RevisionProviderTAMESIDE HOSPITAL NHS FOUNDATION TRUST (RMP)Oxford Knee Score</v>
      </c>
      <c r="C6244" t="s">
        <v>250</v>
      </c>
      <c r="D6244" t="s">
        <v>1</v>
      </c>
      <c r="E6244" t="s">
        <v>3148</v>
      </c>
      <c r="F6244" t="s">
        <v>3149</v>
      </c>
      <c r="G6244" t="s">
        <v>16</v>
      </c>
      <c r="H6244" t="s">
        <v>53</v>
      </c>
      <c r="I6244" t="s">
        <v>53</v>
      </c>
      <c r="J6244" t="s">
        <v>53</v>
      </c>
      <c r="K6244" t="s">
        <v>53</v>
      </c>
      <c r="L6244" t="s">
        <v>53</v>
      </c>
      <c r="M6244" t="s">
        <v>53</v>
      </c>
      <c r="N6244" t="s">
        <v>53</v>
      </c>
      <c r="O6244" t="s">
        <v>53</v>
      </c>
      <c r="P6244" t="s">
        <v>53</v>
      </c>
      <c r="Q6244" t="s">
        <v>53</v>
      </c>
    </row>
    <row r="6245" spans="1:17" x14ac:dyDescent="0.2">
      <c r="A6245" s="30" t="str">
        <f>IF(C6245&amp;G6245&amp;D6245&lt;&gt;'Funnel setup'!$K$3&amp;'Funnel setup'!$K$4&amp;'Funnel setup'!$K$5,".",IF(A6244=".",1,A6244+1))</f>
        <v>.</v>
      </c>
      <c r="B6245" s="431" t="str">
        <f t="shared" si="97"/>
        <v>Knee Replacement RevisionProviderTAUNTON AND SOMERSET NHS FOUNDATION TRUST (RBA)Oxford Knee Score</v>
      </c>
      <c r="C6245" t="s">
        <v>250</v>
      </c>
      <c r="D6245" t="s">
        <v>1</v>
      </c>
      <c r="E6245" t="s">
        <v>3151</v>
      </c>
      <c r="F6245" t="s">
        <v>3152</v>
      </c>
      <c r="G6245" t="s">
        <v>16</v>
      </c>
      <c r="H6245" t="s">
        <v>53</v>
      </c>
      <c r="I6245" t="s">
        <v>53</v>
      </c>
      <c r="J6245" t="s">
        <v>53</v>
      </c>
      <c r="K6245" t="s">
        <v>53</v>
      </c>
      <c r="L6245" t="s">
        <v>53</v>
      </c>
      <c r="M6245" t="s">
        <v>53</v>
      </c>
      <c r="N6245" t="s">
        <v>53</v>
      </c>
      <c r="O6245" t="s">
        <v>53</v>
      </c>
      <c r="P6245" t="s">
        <v>53</v>
      </c>
      <c r="Q6245" t="s">
        <v>53</v>
      </c>
    </row>
    <row r="6246" spans="1:17" x14ac:dyDescent="0.2">
      <c r="A6246" s="30" t="str">
        <f>IF(C6246&amp;G6246&amp;D6246&lt;&gt;'Funnel setup'!$K$3&amp;'Funnel setup'!$K$4&amp;'Funnel setup'!$K$5,".",IF(A6245=".",1,A6245+1))</f>
        <v>.</v>
      </c>
      <c r="B6246" s="431" t="str">
        <f t="shared" si="97"/>
        <v>Knee Replacement RevisionProviderTHE DUDLEY GROUP NHS FOUNDATION TRUST (RNA)Oxford Knee Score</v>
      </c>
      <c r="C6246" t="s">
        <v>250</v>
      </c>
      <c r="D6246" t="s">
        <v>1</v>
      </c>
      <c r="E6246" t="s">
        <v>3121</v>
      </c>
      <c r="F6246" t="s">
        <v>3122</v>
      </c>
      <c r="G6246" t="s">
        <v>16</v>
      </c>
      <c r="H6246" t="s">
        <v>53</v>
      </c>
      <c r="I6246" t="s">
        <v>53</v>
      </c>
      <c r="J6246" t="s">
        <v>53</v>
      </c>
      <c r="K6246" t="s">
        <v>53</v>
      </c>
      <c r="L6246" t="s">
        <v>53</v>
      </c>
      <c r="M6246" t="s">
        <v>53</v>
      </c>
      <c r="N6246" t="s">
        <v>53</v>
      </c>
      <c r="O6246" t="s">
        <v>53</v>
      </c>
      <c r="P6246" t="s">
        <v>53</v>
      </c>
      <c r="Q6246" t="s">
        <v>53</v>
      </c>
    </row>
    <row r="6247" spans="1:17" x14ac:dyDescent="0.2">
      <c r="A6247" s="30" t="str">
        <f>IF(C6247&amp;G6247&amp;D6247&lt;&gt;'Funnel setup'!$K$3&amp;'Funnel setup'!$K$4&amp;'Funnel setup'!$K$5,".",IF(A6246=".",1,A6246+1))</f>
        <v>.</v>
      </c>
      <c r="B6247" s="431" t="str">
        <f t="shared" si="97"/>
        <v>Knee Replacement RevisionProviderTHE HILLINGDON HOSPITALS NHS FOUNDATION TRUST (RAS)Oxford Knee Score</v>
      </c>
      <c r="C6247" t="s">
        <v>250</v>
      </c>
      <c r="D6247" t="s">
        <v>1</v>
      </c>
      <c r="E6247" t="s">
        <v>3115</v>
      </c>
      <c r="F6247" t="s">
        <v>3116</v>
      </c>
      <c r="G6247" t="s">
        <v>16</v>
      </c>
      <c r="H6247" t="s">
        <v>53</v>
      </c>
      <c r="I6247" t="s">
        <v>53</v>
      </c>
      <c r="J6247" t="s">
        <v>53</v>
      </c>
      <c r="K6247" t="s">
        <v>53</v>
      </c>
      <c r="L6247" t="s">
        <v>53</v>
      </c>
      <c r="M6247" t="s">
        <v>53</v>
      </c>
      <c r="N6247" t="s">
        <v>53</v>
      </c>
      <c r="O6247" t="s">
        <v>53</v>
      </c>
      <c r="P6247" t="s">
        <v>53</v>
      </c>
      <c r="Q6247" t="s">
        <v>53</v>
      </c>
    </row>
    <row r="6248" spans="1:17" x14ac:dyDescent="0.2">
      <c r="A6248" s="30" t="str">
        <f>IF(C6248&amp;G6248&amp;D6248&lt;&gt;'Funnel setup'!$K$3&amp;'Funnel setup'!$K$4&amp;'Funnel setup'!$K$5,".",IF(A6247=".",1,A6247+1))</f>
        <v>.</v>
      </c>
      <c r="B6248" s="431" t="str">
        <f t="shared" si="97"/>
        <v>Knee Replacement RevisionProviderTHE HORDER CENTRE - ST JOHNS ROAD (NXM01)Oxford Knee Score</v>
      </c>
      <c r="C6248" t="s">
        <v>250</v>
      </c>
      <c r="D6248" t="s">
        <v>1</v>
      </c>
      <c r="E6248" t="s">
        <v>4222</v>
      </c>
      <c r="F6248" t="s">
        <v>4223</v>
      </c>
      <c r="G6248" t="s">
        <v>16</v>
      </c>
      <c r="H6248">
        <v>21</v>
      </c>
      <c r="I6248">
        <v>24.094999999999999</v>
      </c>
      <c r="J6248">
        <v>38.286000000000001</v>
      </c>
      <c r="K6248">
        <v>14.19</v>
      </c>
      <c r="L6248">
        <v>20</v>
      </c>
      <c r="M6248">
        <v>0</v>
      </c>
      <c r="N6248">
        <v>1</v>
      </c>
      <c r="O6248" t="s">
        <v>53</v>
      </c>
      <c r="P6248" t="s">
        <v>53</v>
      </c>
      <c r="Q6248" t="s">
        <v>53</v>
      </c>
    </row>
    <row r="6249" spans="1:17" x14ac:dyDescent="0.2">
      <c r="A6249" s="30" t="str">
        <f>IF(C6249&amp;G6249&amp;D6249&lt;&gt;'Funnel setup'!$K$3&amp;'Funnel setup'!$K$4&amp;'Funnel setup'!$K$5,".",IF(A6248=".",1,A6248+1))</f>
        <v>.</v>
      </c>
      <c r="B6249" s="431" t="str">
        <f t="shared" si="97"/>
        <v>Knee Replacement RevisionProviderTHE NEWCASTLE UPON TYNE HOSPITALS NHS FOUNDATION TRUST (RTD)Oxford Knee Score</v>
      </c>
      <c r="C6249" t="s">
        <v>250</v>
      </c>
      <c r="D6249" t="s">
        <v>1</v>
      </c>
      <c r="E6249" t="s">
        <v>3748</v>
      </c>
      <c r="F6249" t="s">
        <v>3749</v>
      </c>
      <c r="G6249" t="s">
        <v>16</v>
      </c>
      <c r="H6249">
        <v>19</v>
      </c>
      <c r="I6249">
        <v>17.367999999999999</v>
      </c>
      <c r="J6249">
        <v>28.684000000000001</v>
      </c>
      <c r="K6249">
        <v>11.316000000000001</v>
      </c>
      <c r="L6249">
        <v>15</v>
      </c>
      <c r="M6249">
        <v>1</v>
      </c>
      <c r="N6249">
        <v>3</v>
      </c>
      <c r="O6249" t="s">
        <v>53</v>
      </c>
      <c r="P6249" t="s">
        <v>53</v>
      </c>
      <c r="Q6249" t="s">
        <v>53</v>
      </c>
    </row>
    <row r="6250" spans="1:17" x14ac:dyDescent="0.2">
      <c r="A6250" s="30" t="str">
        <f>IF(C6250&amp;G6250&amp;D6250&lt;&gt;'Funnel setup'!$K$3&amp;'Funnel setup'!$K$4&amp;'Funnel setup'!$K$5,".",IF(A6249=".",1,A6249+1))</f>
        <v>.</v>
      </c>
      <c r="B6250" s="431" t="str">
        <f t="shared" si="97"/>
        <v>Knee Replacement RevisionProviderTHE PRINCESS ALEXANDRA HOSPITAL NHS TRUST (RQW)Oxford Knee Score</v>
      </c>
      <c r="C6250" t="s">
        <v>250</v>
      </c>
      <c r="D6250" t="s">
        <v>1</v>
      </c>
      <c r="E6250" t="s">
        <v>3751</v>
      </c>
      <c r="F6250" t="s">
        <v>3752</v>
      </c>
      <c r="G6250" t="s">
        <v>16</v>
      </c>
      <c r="H6250" t="s">
        <v>53</v>
      </c>
      <c r="I6250" t="s">
        <v>53</v>
      </c>
      <c r="J6250" t="s">
        <v>53</v>
      </c>
      <c r="K6250" t="s">
        <v>53</v>
      </c>
      <c r="L6250" t="s">
        <v>53</v>
      </c>
      <c r="M6250" t="s">
        <v>53</v>
      </c>
      <c r="N6250" t="s">
        <v>53</v>
      </c>
      <c r="O6250" t="s">
        <v>53</v>
      </c>
      <c r="P6250" t="s">
        <v>53</v>
      </c>
      <c r="Q6250" t="s">
        <v>53</v>
      </c>
    </row>
    <row r="6251" spans="1:17" x14ac:dyDescent="0.2">
      <c r="A6251" s="30" t="str">
        <f>IF(C6251&amp;G6251&amp;D6251&lt;&gt;'Funnel setup'!$K$3&amp;'Funnel setup'!$K$4&amp;'Funnel setup'!$K$5,".",IF(A6250=".",1,A6250+1))</f>
        <v>.</v>
      </c>
      <c r="B6251" s="431" t="str">
        <f t="shared" si="97"/>
        <v>Knee Replacement RevisionProviderTHE QUEEN ELIZABETH HOSPITAL, KING'S LYNN, NHS FOUNDATION TRUST (RCX)Oxford Knee Score</v>
      </c>
      <c r="C6251" t="s">
        <v>250</v>
      </c>
      <c r="D6251" t="s">
        <v>1</v>
      </c>
      <c r="E6251" t="s">
        <v>3754</v>
      </c>
      <c r="F6251" t="s">
        <v>3755</v>
      </c>
      <c r="G6251" t="s">
        <v>16</v>
      </c>
      <c r="H6251">
        <v>15</v>
      </c>
      <c r="I6251">
        <v>18.332999999999998</v>
      </c>
      <c r="J6251">
        <v>31.6</v>
      </c>
      <c r="K6251">
        <v>13.266999999999999</v>
      </c>
      <c r="L6251">
        <v>14</v>
      </c>
      <c r="M6251">
        <v>0</v>
      </c>
      <c r="N6251">
        <v>1</v>
      </c>
      <c r="O6251" t="s">
        <v>53</v>
      </c>
      <c r="P6251" t="s">
        <v>53</v>
      </c>
      <c r="Q6251" t="s">
        <v>53</v>
      </c>
    </row>
    <row r="6252" spans="1:17" x14ac:dyDescent="0.2">
      <c r="A6252" s="30" t="str">
        <f>IF(C6252&amp;G6252&amp;D6252&lt;&gt;'Funnel setup'!$K$3&amp;'Funnel setup'!$K$4&amp;'Funnel setup'!$K$5,".",IF(A6251=".",1,A6251+1))</f>
        <v>.</v>
      </c>
      <c r="B6252" s="431" t="str">
        <f t="shared" si="97"/>
        <v>Knee Replacement RevisionProviderTHE ROBERT JONES AND AGNES HUNT ORTHOPAEDIC HOSPITAL NHS FOUNDATION TRUST (RL1)Oxford Knee Score</v>
      </c>
      <c r="C6252" t="s">
        <v>250</v>
      </c>
      <c r="D6252" t="s">
        <v>1</v>
      </c>
      <c r="E6252" t="s">
        <v>4496</v>
      </c>
      <c r="F6252" t="s">
        <v>4497</v>
      </c>
      <c r="G6252" t="s">
        <v>16</v>
      </c>
      <c r="H6252">
        <v>43</v>
      </c>
      <c r="I6252">
        <v>15.628</v>
      </c>
      <c r="J6252">
        <v>27.512</v>
      </c>
      <c r="K6252">
        <v>11.884</v>
      </c>
      <c r="L6252">
        <v>37</v>
      </c>
      <c r="M6252">
        <v>2</v>
      </c>
      <c r="N6252">
        <v>4</v>
      </c>
      <c r="O6252">
        <v>25.100999999999999</v>
      </c>
      <c r="P6252">
        <v>8.5953846929999997</v>
      </c>
      <c r="Q6252">
        <v>11.47</v>
      </c>
    </row>
    <row r="6253" spans="1:17" x14ac:dyDescent="0.2">
      <c r="A6253" s="30" t="str">
        <f>IF(C6253&amp;G6253&amp;D6253&lt;&gt;'Funnel setup'!$K$3&amp;'Funnel setup'!$K$4&amp;'Funnel setup'!$K$5,".",IF(A6252=".",1,A6252+1))</f>
        <v>.</v>
      </c>
      <c r="B6253" s="431" t="str">
        <f t="shared" si="97"/>
        <v>Knee Replacement RevisionProviderTHE ROTHERHAM NHS FOUNDATION TRUST (RFR)Oxford Knee Score</v>
      </c>
      <c r="C6253" t="s">
        <v>250</v>
      </c>
      <c r="D6253" t="s">
        <v>1</v>
      </c>
      <c r="E6253" t="s">
        <v>3739</v>
      </c>
      <c r="F6253" t="s">
        <v>3740</v>
      </c>
      <c r="G6253" t="s">
        <v>16</v>
      </c>
      <c r="H6253">
        <v>7</v>
      </c>
      <c r="I6253">
        <v>14.286</v>
      </c>
      <c r="J6253">
        <v>29</v>
      </c>
      <c r="K6253">
        <v>14.714</v>
      </c>
      <c r="L6253">
        <v>5</v>
      </c>
      <c r="M6253">
        <v>0</v>
      </c>
      <c r="N6253">
        <v>2</v>
      </c>
      <c r="O6253" t="s">
        <v>53</v>
      </c>
      <c r="P6253" t="s">
        <v>53</v>
      </c>
      <c r="Q6253" t="s">
        <v>53</v>
      </c>
    </row>
    <row r="6254" spans="1:17" x14ac:dyDescent="0.2">
      <c r="A6254" s="30" t="str">
        <f>IF(C6254&amp;G6254&amp;D6254&lt;&gt;'Funnel setup'!$K$3&amp;'Funnel setup'!$K$4&amp;'Funnel setup'!$K$5,".",IF(A6253=".",1,A6253+1))</f>
        <v>.</v>
      </c>
      <c r="B6254" s="431" t="str">
        <f t="shared" si="97"/>
        <v>Knee Replacement RevisionProviderTHE ROYAL ORTHOPAEDIC HOSPITAL NHS FOUNDATION TRUST (RRJ)Oxford Knee Score</v>
      </c>
      <c r="C6254" t="s">
        <v>250</v>
      </c>
      <c r="D6254" t="s">
        <v>1</v>
      </c>
      <c r="E6254" t="s">
        <v>4480</v>
      </c>
      <c r="F6254" t="s">
        <v>4481</v>
      </c>
      <c r="G6254" t="s">
        <v>16</v>
      </c>
      <c r="H6254">
        <v>24</v>
      </c>
      <c r="I6254">
        <v>12.75</v>
      </c>
      <c r="J6254">
        <v>24.707999999999998</v>
      </c>
      <c r="K6254">
        <v>11.958</v>
      </c>
      <c r="L6254">
        <v>21</v>
      </c>
      <c r="M6254">
        <v>0</v>
      </c>
      <c r="N6254">
        <v>3</v>
      </c>
      <c r="O6254" t="s">
        <v>53</v>
      </c>
      <c r="P6254" t="s">
        <v>53</v>
      </c>
      <c r="Q6254" t="s">
        <v>53</v>
      </c>
    </row>
    <row r="6255" spans="1:17" x14ac:dyDescent="0.2">
      <c r="A6255" s="30" t="str">
        <f>IF(C6255&amp;G6255&amp;D6255&lt;&gt;'Funnel setup'!$K$3&amp;'Funnel setup'!$K$4&amp;'Funnel setup'!$K$5,".",IF(A6254=".",1,A6254+1))</f>
        <v>.</v>
      </c>
      <c r="B6255" s="431" t="str">
        <f t="shared" si="97"/>
        <v>Knee Replacement RevisionProviderTHE ROYAL WOLVERHAMPTON NHS TRUST (RL4)Oxford Knee Score</v>
      </c>
      <c r="C6255" t="s">
        <v>250</v>
      </c>
      <c r="D6255" t="s">
        <v>1</v>
      </c>
      <c r="E6255" t="s">
        <v>3382</v>
      </c>
      <c r="F6255" t="s">
        <v>3383</v>
      </c>
      <c r="G6255" t="s">
        <v>16</v>
      </c>
      <c r="H6255">
        <v>12</v>
      </c>
      <c r="I6255">
        <v>14.667</v>
      </c>
      <c r="J6255">
        <v>28.25</v>
      </c>
      <c r="K6255">
        <v>13.583</v>
      </c>
      <c r="L6255">
        <v>10</v>
      </c>
      <c r="M6255">
        <v>1</v>
      </c>
      <c r="N6255">
        <v>1</v>
      </c>
      <c r="O6255" t="s">
        <v>53</v>
      </c>
      <c r="P6255" t="s">
        <v>53</v>
      </c>
      <c r="Q6255" t="s">
        <v>53</v>
      </c>
    </row>
    <row r="6256" spans="1:17" x14ac:dyDescent="0.2">
      <c r="A6256" s="30" t="str">
        <f>IF(C6256&amp;G6256&amp;D6256&lt;&gt;'Funnel setup'!$K$3&amp;'Funnel setup'!$K$4&amp;'Funnel setup'!$K$5,".",IF(A6255=".",1,A6255+1))</f>
        <v>.</v>
      </c>
      <c r="B6256" s="431" t="str">
        <f t="shared" si="97"/>
        <v>Knee Replacement RevisionProviderTHE YORKSHIRE CLINIC (NVC20)Oxford Knee Score</v>
      </c>
      <c r="C6256" t="s">
        <v>250</v>
      </c>
      <c r="D6256" t="s">
        <v>1</v>
      </c>
      <c r="E6256" t="s">
        <v>3760</v>
      </c>
      <c r="F6256" t="s">
        <v>3761</v>
      </c>
      <c r="G6256" t="s">
        <v>16</v>
      </c>
      <c r="H6256" t="s">
        <v>53</v>
      </c>
      <c r="I6256" t="s">
        <v>53</v>
      </c>
      <c r="J6256" t="s">
        <v>53</v>
      </c>
      <c r="K6256" t="s">
        <v>53</v>
      </c>
      <c r="L6256" t="s">
        <v>53</v>
      </c>
      <c r="M6256" t="s">
        <v>53</v>
      </c>
      <c r="N6256" t="s">
        <v>53</v>
      </c>
      <c r="O6256" t="s">
        <v>53</v>
      </c>
      <c r="P6256" t="s">
        <v>53</v>
      </c>
      <c r="Q6256" t="s">
        <v>53</v>
      </c>
    </row>
    <row r="6257" spans="1:17" x14ac:dyDescent="0.2">
      <c r="A6257" s="30" t="str">
        <f>IF(C6257&amp;G6257&amp;D6257&lt;&gt;'Funnel setup'!$K$3&amp;'Funnel setup'!$K$4&amp;'Funnel setup'!$K$5,".",IF(A6256=".",1,A6256+1))</f>
        <v>.</v>
      </c>
      <c r="B6257" s="431" t="str">
        <f t="shared" si="97"/>
        <v>Knee Replacement RevisionProviderTORBAY AND SOUTH DEVON NHS FOUNDATION TRUST (RA9)Oxford Knee Score</v>
      </c>
      <c r="C6257" t="s">
        <v>250</v>
      </c>
      <c r="D6257" t="s">
        <v>1</v>
      </c>
      <c r="E6257" t="s">
        <v>3480</v>
      </c>
      <c r="F6257" t="s">
        <v>6584</v>
      </c>
      <c r="G6257" t="s">
        <v>16</v>
      </c>
      <c r="H6257">
        <v>13</v>
      </c>
      <c r="I6257">
        <v>19.768999999999998</v>
      </c>
      <c r="J6257">
        <v>35.384999999999998</v>
      </c>
      <c r="K6257">
        <v>15.615</v>
      </c>
      <c r="L6257">
        <v>12</v>
      </c>
      <c r="M6257">
        <v>0</v>
      </c>
      <c r="N6257">
        <v>1</v>
      </c>
      <c r="O6257" t="s">
        <v>53</v>
      </c>
      <c r="P6257" t="s">
        <v>53</v>
      </c>
      <c r="Q6257" t="s">
        <v>53</v>
      </c>
    </row>
    <row r="6258" spans="1:17" x14ac:dyDescent="0.2">
      <c r="A6258" s="30" t="str">
        <f>IF(C6258&amp;G6258&amp;D6258&lt;&gt;'Funnel setup'!$K$3&amp;'Funnel setup'!$K$4&amp;'Funnel setup'!$K$5,".",IF(A6257=".",1,A6257+1))</f>
        <v>.</v>
      </c>
      <c r="B6258" s="431" t="str">
        <f t="shared" si="97"/>
        <v>Knee Replacement RevisionProviderUNITED LINCOLNSHIRE HOSPITALS NHS TRUST (RWD)Oxford Knee Score</v>
      </c>
      <c r="C6258" t="s">
        <v>250</v>
      </c>
      <c r="D6258" t="s">
        <v>1</v>
      </c>
      <c r="E6258" t="s">
        <v>3763</v>
      </c>
      <c r="F6258" t="s">
        <v>3764</v>
      </c>
      <c r="G6258" t="s">
        <v>16</v>
      </c>
      <c r="H6258" t="s">
        <v>53</v>
      </c>
      <c r="I6258" t="s">
        <v>53</v>
      </c>
      <c r="J6258" t="s">
        <v>53</v>
      </c>
      <c r="K6258" t="s">
        <v>53</v>
      </c>
      <c r="L6258" t="s">
        <v>53</v>
      </c>
      <c r="M6258" t="s">
        <v>53</v>
      </c>
      <c r="N6258" t="s">
        <v>53</v>
      </c>
      <c r="O6258" t="s">
        <v>53</v>
      </c>
      <c r="P6258" t="s">
        <v>53</v>
      </c>
      <c r="Q6258" t="s">
        <v>53</v>
      </c>
    </row>
    <row r="6259" spans="1:17" x14ac:dyDescent="0.2">
      <c r="A6259" s="30" t="str">
        <f>IF(C6259&amp;G6259&amp;D6259&lt;&gt;'Funnel setup'!$K$3&amp;'Funnel setup'!$K$4&amp;'Funnel setup'!$K$5,".",IF(A6258=".",1,A6258+1))</f>
        <v>.</v>
      </c>
      <c r="B6259" s="431" t="str">
        <f t="shared" si="97"/>
        <v>Knee Replacement RevisionProviderUNIVERSITY COLLEGE LONDON HOSPITALS NHS FOUNDATION TRUST (RRV)Oxford Knee Score</v>
      </c>
      <c r="C6259" t="s">
        <v>250</v>
      </c>
      <c r="D6259" t="s">
        <v>1</v>
      </c>
      <c r="E6259" t="s">
        <v>3766</v>
      </c>
      <c r="F6259" t="s">
        <v>3767</v>
      </c>
      <c r="G6259" t="s">
        <v>16</v>
      </c>
      <c r="H6259">
        <v>6</v>
      </c>
      <c r="I6259">
        <v>17.332999999999998</v>
      </c>
      <c r="J6259">
        <v>28.5</v>
      </c>
      <c r="K6259">
        <v>11.167</v>
      </c>
      <c r="L6259">
        <v>5</v>
      </c>
      <c r="M6259">
        <v>0</v>
      </c>
      <c r="N6259">
        <v>1</v>
      </c>
      <c r="O6259" t="s">
        <v>53</v>
      </c>
      <c r="P6259" t="s">
        <v>53</v>
      </c>
      <c r="Q6259" t="s">
        <v>53</v>
      </c>
    </row>
    <row r="6260" spans="1:17" x14ac:dyDescent="0.2">
      <c r="A6260" s="30" t="str">
        <f>IF(C6260&amp;G6260&amp;D6260&lt;&gt;'Funnel setup'!$K$3&amp;'Funnel setup'!$K$4&amp;'Funnel setup'!$K$5,".",IF(A6259=".",1,A6259+1))</f>
        <v>.</v>
      </c>
      <c r="B6260" s="431" t="str">
        <f t="shared" si="97"/>
        <v>Knee Replacement RevisionProviderUNIVERSITY HOSPITAL OF SOUTH MANCHESTER NHS FOUNDATION TRUST (RM2)Oxford Knee Score</v>
      </c>
      <c r="C6260" t="s">
        <v>250</v>
      </c>
      <c r="D6260" t="s">
        <v>1</v>
      </c>
      <c r="E6260" t="s">
        <v>3769</v>
      </c>
      <c r="F6260" t="s">
        <v>3770</v>
      </c>
      <c r="G6260" t="s">
        <v>16</v>
      </c>
      <c r="H6260" t="s">
        <v>53</v>
      </c>
      <c r="I6260" t="s">
        <v>53</v>
      </c>
      <c r="J6260" t="s">
        <v>53</v>
      </c>
      <c r="K6260" t="s">
        <v>53</v>
      </c>
      <c r="L6260" t="s">
        <v>53</v>
      </c>
      <c r="M6260" t="s">
        <v>53</v>
      </c>
      <c r="N6260" t="s">
        <v>53</v>
      </c>
      <c r="O6260" t="s">
        <v>53</v>
      </c>
      <c r="P6260" t="s">
        <v>53</v>
      </c>
      <c r="Q6260" t="s">
        <v>53</v>
      </c>
    </row>
    <row r="6261" spans="1:17" x14ac:dyDescent="0.2">
      <c r="A6261" s="30" t="str">
        <f>IF(C6261&amp;G6261&amp;D6261&lt;&gt;'Funnel setup'!$K$3&amp;'Funnel setup'!$K$4&amp;'Funnel setup'!$K$5,".",IF(A6260=".",1,A6260+1))</f>
        <v>.</v>
      </c>
      <c r="B6261" s="431" t="str">
        <f t="shared" si="97"/>
        <v>Knee Replacement RevisionProviderUNIVERSITY HOSPITAL SOUTHAMPTON NHS FOUNDATION TRUST (RHM)Oxford Knee Score</v>
      </c>
      <c r="C6261" t="s">
        <v>250</v>
      </c>
      <c r="D6261" t="s">
        <v>1</v>
      </c>
      <c r="E6261" t="s">
        <v>3772</v>
      </c>
      <c r="F6261" t="s">
        <v>3773</v>
      </c>
      <c r="G6261" t="s">
        <v>16</v>
      </c>
      <c r="H6261">
        <v>43</v>
      </c>
      <c r="I6261">
        <v>15.814</v>
      </c>
      <c r="J6261">
        <v>27.952999999999999</v>
      </c>
      <c r="K6261">
        <v>12.14</v>
      </c>
      <c r="L6261">
        <v>35</v>
      </c>
      <c r="M6261">
        <v>1</v>
      </c>
      <c r="N6261">
        <v>7</v>
      </c>
      <c r="O6261">
        <v>28.21</v>
      </c>
      <c r="P6261">
        <v>11.70387268</v>
      </c>
      <c r="Q6261">
        <v>8.5340000000000007</v>
      </c>
    </row>
    <row r="6262" spans="1:17" x14ac:dyDescent="0.2">
      <c r="A6262" s="30" t="str">
        <f>IF(C6262&amp;G6262&amp;D6262&lt;&gt;'Funnel setup'!$K$3&amp;'Funnel setup'!$K$4&amp;'Funnel setup'!$K$5,".",IF(A6261=".",1,A6261+1))</f>
        <v>.</v>
      </c>
      <c r="B6262" s="431" t="str">
        <f t="shared" si="97"/>
        <v>Knee Replacement RevisionProviderUNIVERSITY HOSPITALS COVENTRY AND WARWICKSHIRE NHS TRUST (RKB)Oxford Knee Score</v>
      </c>
      <c r="C6262" t="s">
        <v>250</v>
      </c>
      <c r="D6262" t="s">
        <v>1</v>
      </c>
      <c r="E6262" t="s">
        <v>3715</v>
      </c>
      <c r="F6262" t="s">
        <v>3716</v>
      </c>
      <c r="G6262" t="s">
        <v>16</v>
      </c>
      <c r="H6262">
        <v>17</v>
      </c>
      <c r="I6262">
        <v>15.353</v>
      </c>
      <c r="J6262">
        <v>23.529</v>
      </c>
      <c r="K6262">
        <v>8.1760000000000002</v>
      </c>
      <c r="L6262">
        <v>14</v>
      </c>
      <c r="M6262">
        <v>1</v>
      </c>
      <c r="N6262">
        <v>2</v>
      </c>
      <c r="O6262" t="s">
        <v>53</v>
      </c>
      <c r="P6262" t="s">
        <v>53</v>
      </c>
      <c r="Q6262" t="s">
        <v>53</v>
      </c>
    </row>
    <row r="6263" spans="1:17" x14ac:dyDescent="0.2">
      <c r="A6263" s="30" t="str">
        <f>IF(C6263&amp;G6263&amp;D6263&lt;&gt;'Funnel setup'!$K$3&amp;'Funnel setup'!$K$4&amp;'Funnel setup'!$K$5,".",IF(A6262=".",1,A6262+1))</f>
        <v>.</v>
      </c>
      <c r="B6263" s="431" t="str">
        <f t="shared" si="97"/>
        <v>Knee Replacement RevisionProviderUNIVERSITY HOSPITALS OF LEICESTER NHS TRUST (RWE)Oxford Knee Score</v>
      </c>
      <c r="C6263" t="s">
        <v>250</v>
      </c>
      <c r="D6263" t="s">
        <v>1</v>
      </c>
      <c r="E6263" t="s">
        <v>3718</v>
      </c>
      <c r="F6263" t="s">
        <v>3719</v>
      </c>
      <c r="G6263" t="s">
        <v>16</v>
      </c>
      <c r="H6263">
        <v>35</v>
      </c>
      <c r="I6263">
        <v>15.4</v>
      </c>
      <c r="J6263">
        <v>31.286000000000001</v>
      </c>
      <c r="K6263">
        <v>15.885999999999999</v>
      </c>
      <c r="L6263">
        <v>32</v>
      </c>
      <c r="M6263">
        <v>0</v>
      </c>
      <c r="N6263">
        <v>3</v>
      </c>
      <c r="O6263">
        <v>33.728000000000002</v>
      </c>
      <c r="P6263">
        <v>17.222101739999999</v>
      </c>
      <c r="Q6263">
        <v>10.901</v>
      </c>
    </row>
    <row r="6264" spans="1:17" x14ac:dyDescent="0.2">
      <c r="A6264" s="30" t="str">
        <f>IF(C6264&amp;G6264&amp;D6264&lt;&gt;'Funnel setup'!$K$3&amp;'Funnel setup'!$K$4&amp;'Funnel setup'!$K$5,".",IF(A6263=".",1,A6263+1))</f>
        <v>.</v>
      </c>
      <c r="B6264" s="431" t="str">
        <f t="shared" si="97"/>
        <v>Knee Replacement RevisionProviderUNIVERSITY HOSPITALS OF MORECAMBE BAY NHS FOUNDATION TRUST (RTX)Oxford Knee Score</v>
      </c>
      <c r="C6264" t="s">
        <v>250</v>
      </c>
      <c r="D6264" t="s">
        <v>1</v>
      </c>
      <c r="E6264" t="s">
        <v>3721</v>
      </c>
      <c r="F6264" t="s">
        <v>3722</v>
      </c>
      <c r="G6264" t="s">
        <v>16</v>
      </c>
      <c r="H6264" t="s">
        <v>53</v>
      </c>
      <c r="I6264" t="s">
        <v>53</v>
      </c>
      <c r="J6264" t="s">
        <v>53</v>
      </c>
      <c r="K6264" t="s">
        <v>53</v>
      </c>
      <c r="L6264" t="s">
        <v>53</v>
      </c>
      <c r="M6264" t="s">
        <v>53</v>
      </c>
      <c r="N6264" t="s">
        <v>53</v>
      </c>
      <c r="O6264" t="s">
        <v>53</v>
      </c>
      <c r="P6264" t="s">
        <v>53</v>
      </c>
      <c r="Q6264" t="s">
        <v>53</v>
      </c>
    </row>
    <row r="6265" spans="1:17" x14ac:dyDescent="0.2">
      <c r="A6265" s="30" t="str">
        <f>IF(C6265&amp;G6265&amp;D6265&lt;&gt;'Funnel setup'!$K$3&amp;'Funnel setup'!$K$4&amp;'Funnel setup'!$K$5,".",IF(A6264=".",1,A6264+1))</f>
        <v>.</v>
      </c>
      <c r="B6265" s="431" t="str">
        <f t="shared" si="97"/>
        <v>Knee Replacement RevisionProviderUNIVERSITY HOSPITALS OF NORTH MIDLANDS NHS TRUST (RJE)Oxford Knee Score</v>
      </c>
      <c r="C6265" t="s">
        <v>250</v>
      </c>
      <c r="D6265" t="s">
        <v>1</v>
      </c>
      <c r="E6265" t="s">
        <v>3724</v>
      </c>
      <c r="F6265" t="s">
        <v>3725</v>
      </c>
      <c r="G6265" t="s">
        <v>16</v>
      </c>
      <c r="H6265">
        <v>6</v>
      </c>
      <c r="I6265">
        <v>7.5</v>
      </c>
      <c r="J6265">
        <v>15.333</v>
      </c>
      <c r="K6265">
        <v>7.8330000000000002</v>
      </c>
      <c r="L6265">
        <v>5</v>
      </c>
      <c r="M6265">
        <v>0</v>
      </c>
      <c r="N6265">
        <v>1</v>
      </c>
      <c r="O6265" t="s">
        <v>53</v>
      </c>
      <c r="P6265" t="s">
        <v>53</v>
      </c>
      <c r="Q6265" t="s">
        <v>53</v>
      </c>
    </row>
    <row r="6266" spans="1:17" x14ac:dyDescent="0.2">
      <c r="A6266" s="30" t="str">
        <f>IF(C6266&amp;G6266&amp;D6266&lt;&gt;'Funnel setup'!$K$3&amp;'Funnel setup'!$K$4&amp;'Funnel setup'!$K$5,".",IF(A6265=".",1,A6265+1))</f>
        <v>.</v>
      </c>
      <c r="B6266" s="431" t="str">
        <f t="shared" si="97"/>
        <v>Knee Replacement RevisionProviderWALSALL HEALTHCARE NHS TRUST (RBK)Oxford Knee Score</v>
      </c>
      <c r="C6266" t="s">
        <v>250</v>
      </c>
      <c r="D6266" t="s">
        <v>1</v>
      </c>
      <c r="E6266" t="s">
        <v>3727</v>
      </c>
      <c r="F6266" t="s">
        <v>3728</v>
      </c>
      <c r="G6266" t="s">
        <v>16</v>
      </c>
      <c r="H6266" t="s">
        <v>53</v>
      </c>
      <c r="I6266" t="s">
        <v>53</v>
      </c>
      <c r="J6266" t="s">
        <v>53</v>
      </c>
      <c r="K6266" t="s">
        <v>53</v>
      </c>
      <c r="L6266" t="s">
        <v>53</v>
      </c>
      <c r="M6266" t="s">
        <v>53</v>
      </c>
      <c r="N6266" t="s">
        <v>53</v>
      </c>
      <c r="O6266" t="s">
        <v>53</v>
      </c>
      <c r="P6266" t="s">
        <v>53</v>
      </c>
      <c r="Q6266" t="s">
        <v>53</v>
      </c>
    </row>
    <row r="6267" spans="1:17" x14ac:dyDescent="0.2">
      <c r="A6267" s="30" t="str">
        <f>IF(C6267&amp;G6267&amp;D6267&lt;&gt;'Funnel setup'!$K$3&amp;'Funnel setup'!$K$4&amp;'Funnel setup'!$K$5,".",IF(A6266=".",1,A6266+1))</f>
        <v>.</v>
      </c>
      <c r="B6267" s="431" t="str">
        <f t="shared" si="97"/>
        <v>Knee Replacement RevisionProviderWARRINGTON AND HALTON HOSPITALS NHS FOUNDATION TRUST (RWW)Oxford Knee Score</v>
      </c>
      <c r="C6267" t="s">
        <v>250</v>
      </c>
      <c r="D6267" t="s">
        <v>1</v>
      </c>
      <c r="E6267" t="s">
        <v>3730</v>
      </c>
      <c r="F6267" t="s">
        <v>3731</v>
      </c>
      <c r="G6267" t="s">
        <v>16</v>
      </c>
      <c r="H6267">
        <v>16</v>
      </c>
      <c r="I6267">
        <v>16</v>
      </c>
      <c r="J6267">
        <v>30.187999999999999</v>
      </c>
      <c r="K6267">
        <v>14.188000000000001</v>
      </c>
      <c r="L6267">
        <v>14</v>
      </c>
      <c r="M6267">
        <v>1</v>
      </c>
      <c r="N6267">
        <v>1</v>
      </c>
      <c r="O6267" t="s">
        <v>53</v>
      </c>
      <c r="P6267" t="s">
        <v>53</v>
      </c>
      <c r="Q6267" t="s">
        <v>53</v>
      </c>
    </row>
    <row r="6268" spans="1:17" x14ac:dyDescent="0.2">
      <c r="A6268" s="30" t="str">
        <f>IF(C6268&amp;G6268&amp;D6268&lt;&gt;'Funnel setup'!$K$3&amp;'Funnel setup'!$K$4&amp;'Funnel setup'!$K$5,".",IF(A6267=".",1,A6267+1))</f>
        <v>.</v>
      </c>
      <c r="B6268" s="431" t="str">
        <f t="shared" si="97"/>
        <v>Knee Replacement RevisionProviderWEST HERTFORDSHIRE HOSPITALS NHS TRUST (RWG)Oxford Knee Score</v>
      </c>
      <c r="C6268" t="s">
        <v>250</v>
      </c>
      <c r="D6268" t="s">
        <v>1</v>
      </c>
      <c r="E6268" t="s">
        <v>3733</v>
      </c>
      <c r="F6268" t="s">
        <v>3734</v>
      </c>
      <c r="G6268" t="s">
        <v>16</v>
      </c>
      <c r="H6268">
        <v>9</v>
      </c>
      <c r="I6268">
        <v>10.333</v>
      </c>
      <c r="J6268">
        <v>26.222000000000001</v>
      </c>
      <c r="K6268">
        <v>15.888999999999999</v>
      </c>
      <c r="L6268">
        <v>7</v>
      </c>
      <c r="M6268">
        <v>2</v>
      </c>
      <c r="N6268">
        <v>0</v>
      </c>
      <c r="O6268" t="s">
        <v>53</v>
      </c>
      <c r="P6268" t="s">
        <v>53</v>
      </c>
      <c r="Q6268" t="s">
        <v>53</v>
      </c>
    </row>
    <row r="6269" spans="1:17" x14ac:dyDescent="0.2">
      <c r="A6269" s="30" t="str">
        <f>IF(C6269&amp;G6269&amp;D6269&lt;&gt;'Funnel setup'!$K$3&amp;'Funnel setup'!$K$4&amp;'Funnel setup'!$K$5,".",IF(A6268=".",1,A6268+1))</f>
        <v>.</v>
      </c>
      <c r="B6269" s="431" t="str">
        <f t="shared" si="97"/>
        <v>Knee Replacement RevisionProviderWEST MIDDLESEX UNIVERSITY HOSPITAL NHS TRUST (RFW)Oxford Knee Score</v>
      </c>
      <c r="C6269" t="s">
        <v>250</v>
      </c>
      <c r="D6269" t="s">
        <v>1</v>
      </c>
      <c r="E6269" t="s">
        <v>3736</v>
      </c>
      <c r="F6269" t="s">
        <v>3737</v>
      </c>
      <c r="G6269" t="s">
        <v>16</v>
      </c>
      <c r="H6269" t="s">
        <v>53</v>
      </c>
      <c r="I6269" t="s">
        <v>53</v>
      </c>
      <c r="J6269" t="s">
        <v>53</v>
      </c>
      <c r="K6269" t="s">
        <v>53</v>
      </c>
      <c r="L6269" t="s">
        <v>53</v>
      </c>
      <c r="M6269" t="s">
        <v>53</v>
      </c>
      <c r="N6269" t="s">
        <v>53</v>
      </c>
      <c r="O6269" t="s">
        <v>53</v>
      </c>
      <c r="P6269" t="s">
        <v>53</v>
      </c>
      <c r="Q6269" t="s">
        <v>53</v>
      </c>
    </row>
    <row r="6270" spans="1:17" x14ac:dyDescent="0.2">
      <c r="A6270" s="30" t="str">
        <f>IF(C6270&amp;G6270&amp;D6270&lt;&gt;'Funnel setup'!$K$3&amp;'Funnel setup'!$K$4&amp;'Funnel setup'!$K$5,".",IF(A6269=".",1,A6269+1))</f>
        <v>.</v>
      </c>
      <c r="B6270" s="431" t="str">
        <f t="shared" si="97"/>
        <v>Knee Replacement RevisionProviderWEST MIDLANDS HOSPITAL (NVC21)Oxford Knee Score</v>
      </c>
      <c r="C6270" t="s">
        <v>250</v>
      </c>
      <c r="D6270" t="s">
        <v>1</v>
      </c>
      <c r="E6270" t="s">
        <v>3709</v>
      </c>
      <c r="F6270" t="s">
        <v>3710</v>
      </c>
      <c r="G6270" t="s">
        <v>16</v>
      </c>
      <c r="H6270" t="s">
        <v>53</v>
      </c>
      <c r="I6270" t="s">
        <v>53</v>
      </c>
      <c r="J6270" t="s">
        <v>53</v>
      </c>
      <c r="K6270" t="s">
        <v>53</v>
      </c>
      <c r="L6270" t="s">
        <v>53</v>
      </c>
      <c r="M6270" t="s">
        <v>53</v>
      </c>
      <c r="N6270" t="s">
        <v>53</v>
      </c>
      <c r="O6270" t="s">
        <v>53</v>
      </c>
      <c r="P6270" t="s">
        <v>53</v>
      </c>
      <c r="Q6270" t="s">
        <v>53</v>
      </c>
    </row>
    <row r="6271" spans="1:17" x14ac:dyDescent="0.2">
      <c r="A6271" s="30" t="str">
        <f>IF(C6271&amp;G6271&amp;D6271&lt;&gt;'Funnel setup'!$K$3&amp;'Funnel setup'!$K$4&amp;'Funnel setup'!$K$5,".",IF(A6270=".",1,A6270+1))</f>
        <v>.</v>
      </c>
      <c r="B6271" s="431" t="str">
        <f t="shared" si="97"/>
        <v>Knee Replacement RevisionProviderWEST SUFFOLK NHS FOUNDATION TRUST (RGR)Oxford Knee Score</v>
      </c>
      <c r="C6271" t="s">
        <v>250</v>
      </c>
      <c r="D6271" t="s">
        <v>1</v>
      </c>
      <c r="E6271" t="s">
        <v>3712</v>
      </c>
      <c r="F6271" t="s">
        <v>3713</v>
      </c>
      <c r="G6271" t="s">
        <v>16</v>
      </c>
      <c r="H6271" t="s">
        <v>53</v>
      </c>
      <c r="I6271" t="s">
        <v>53</v>
      </c>
      <c r="J6271" t="s">
        <v>53</v>
      </c>
      <c r="K6271" t="s">
        <v>53</v>
      </c>
      <c r="L6271" t="s">
        <v>53</v>
      </c>
      <c r="M6271" t="s">
        <v>53</v>
      </c>
      <c r="N6271" t="s">
        <v>53</v>
      </c>
      <c r="O6271" t="s">
        <v>53</v>
      </c>
      <c r="P6271" t="s">
        <v>53</v>
      </c>
      <c r="Q6271" t="s">
        <v>53</v>
      </c>
    </row>
    <row r="6272" spans="1:17" x14ac:dyDescent="0.2">
      <c r="A6272" s="30" t="str">
        <f>IF(C6272&amp;G6272&amp;D6272&lt;&gt;'Funnel setup'!$K$3&amp;'Funnel setup'!$K$4&amp;'Funnel setup'!$K$5,".",IF(A6271=".",1,A6271+1))</f>
        <v>.</v>
      </c>
      <c r="B6272" s="431" t="str">
        <f t="shared" si="97"/>
        <v>Knee Replacement RevisionProviderWESTERN SUSSEX HOSPITALS NHS FOUNDATION TRUST (RYR)Oxford Knee Score</v>
      </c>
      <c r="C6272" t="s">
        <v>250</v>
      </c>
      <c r="D6272" t="s">
        <v>1</v>
      </c>
      <c r="E6272" t="s">
        <v>3706</v>
      </c>
      <c r="F6272" t="s">
        <v>3707</v>
      </c>
      <c r="G6272" t="s">
        <v>16</v>
      </c>
      <c r="H6272">
        <v>22</v>
      </c>
      <c r="I6272">
        <v>16.681999999999999</v>
      </c>
      <c r="J6272">
        <v>28.864000000000001</v>
      </c>
      <c r="K6272">
        <v>12.182</v>
      </c>
      <c r="L6272">
        <v>19</v>
      </c>
      <c r="M6272">
        <v>0</v>
      </c>
      <c r="N6272">
        <v>3</v>
      </c>
      <c r="O6272" t="s">
        <v>53</v>
      </c>
      <c r="P6272" t="s">
        <v>53</v>
      </c>
      <c r="Q6272" t="s">
        <v>53</v>
      </c>
    </row>
    <row r="6273" spans="1:17" x14ac:dyDescent="0.2">
      <c r="A6273" s="30" t="str">
        <f>IF(C6273&amp;G6273&amp;D6273&lt;&gt;'Funnel setup'!$K$3&amp;'Funnel setup'!$K$4&amp;'Funnel setup'!$K$5,".",IF(A6272=".",1,A6272+1))</f>
        <v>.</v>
      </c>
      <c r="B6273" s="431" t="str">
        <f t="shared" si="97"/>
        <v>Knee Replacement RevisionProviderWESTON AREA HEALTH NHS TRUST (RA3)Oxford Knee Score</v>
      </c>
      <c r="C6273" t="s">
        <v>250</v>
      </c>
      <c r="D6273" t="s">
        <v>1</v>
      </c>
      <c r="E6273" t="s">
        <v>3525</v>
      </c>
      <c r="F6273" t="s">
        <v>3526</v>
      </c>
      <c r="G6273" t="s">
        <v>16</v>
      </c>
      <c r="H6273" t="s">
        <v>53</v>
      </c>
      <c r="I6273" t="s">
        <v>53</v>
      </c>
      <c r="J6273" t="s">
        <v>53</v>
      </c>
      <c r="K6273" t="s">
        <v>53</v>
      </c>
      <c r="L6273" t="s">
        <v>53</v>
      </c>
      <c r="M6273" t="s">
        <v>53</v>
      </c>
      <c r="N6273" t="s">
        <v>53</v>
      </c>
      <c r="O6273" t="s">
        <v>53</v>
      </c>
      <c r="P6273" t="s">
        <v>53</v>
      </c>
      <c r="Q6273" t="s">
        <v>53</v>
      </c>
    </row>
    <row r="6274" spans="1:17" x14ac:dyDescent="0.2">
      <c r="A6274" s="30" t="str">
        <f>IF(C6274&amp;G6274&amp;D6274&lt;&gt;'Funnel setup'!$K$3&amp;'Funnel setup'!$K$4&amp;'Funnel setup'!$K$5,".",IF(A6273=".",1,A6273+1))</f>
        <v>.</v>
      </c>
      <c r="B6274" s="431" t="str">
        <f t="shared" si="97"/>
        <v>Knee Replacement RevisionProviderWINFIELD HOSPITAL (NVC22)Oxford Knee Score</v>
      </c>
      <c r="C6274" t="s">
        <v>250</v>
      </c>
      <c r="D6274" t="s">
        <v>1</v>
      </c>
      <c r="E6274" t="s">
        <v>3534</v>
      </c>
      <c r="F6274" t="s">
        <v>3535</v>
      </c>
      <c r="G6274" t="s">
        <v>16</v>
      </c>
      <c r="H6274" t="s">
        <v>53</v>
      </c>
      <c r="I6274" t="s">
        <v>53</v>
      </c>
      <c r="J6274" t="s">
        <v>53</v>
      </c>
      <c r="K6274" t="s">
        <v>53</v>
      </c>
      <c r="L6274" t="s">
        <v>53</v>
      </c>
      <c r="M6274" t="s">
        <v>53</v>
      </c>
      <c r="N6274" t="s">
        <v>53</v>
      </c>
      <c r="O6274" t="s">
        <v>53</v>
      </c>
      <c r="P6274" t="s">
        <v>53</v>
      </c>
      <c r="Q6274" t="s">
        <v>53</v>
      </c>
    </row>
    <row r="6275" spans="1:17" x14ac:dyDescent="0.2">
      <c r="A6275" s="30" t="str">
        <f>IF(C6275&amp;G6275&amp;D6275&lt;&gt;'Funnel setup'!$K$3&amp;'Funnel setup'!$K$4&amp;'Funnel setup'!$K$5,".",IF(A6274=".",1,A6274+1))</f>
        <v>.</v>
      </c>
      <c r="B6275" s="431" t="str">
        <f t="shared" ref="B6275:B6338" si="98">C6275&amp;D6275&amp;F6275&amp;G6275</f>
        <v>Knee Replacement RevisionProviderWIRRAL UNIVERSITY TEACHING HOSPITAL NHS FOUNDATION TRUST (RBL)Oxford Knee Score</v>
      </c>
      <c r="C6275" t="s">
        <v>250</v>
      </c>
      <c r="D6275" t="s">
        <v>1</v>
      </c>
      <c r="E6275" t="s">
        <v>3537</v>
      </c>
      <c r="F6275" t="s">
        <v>3538</v>
      </c>
      <c r="G6275" t="s">
        <v>16</v>
      </c>
      <c r="H6275" t="s">
        <v>53</v>
      </c>
      <c r="I6275" t="s">
        <v>53</v>
      </c>
      <c r="J6275" t="s">
        <v>53</v>
      </c>
      <c r="K6275" t="s">
        <v>53</v>
      </c>
      <c r="L6275" t="s">
        <v>53</v>
      </c>
      <c r="M6275" t="s">
        <v>53</v>
      </c>
      <c r="N6275" t="s">
        <v>53</v>
      </c>
      <c r="O6275" t="s">
        <v>53</v>
      </c>
      <c r="P6275" t="s">
        <v>53</v>
      </c>
      <c r="Q6275" t="s">
        <v>53</v>
      </c>
    </row>
    <row r="6276" spans="1:17" x14ac:dyDescent="0.2">
      <c r="A6276" s="30" t="str">
        <f>IF(C6276&amp;G6276&amp;D6276&lt;&gt;'Funnel setup'!$K$3&amp;'Funnel setup'!$K$4&amp;'Funnel setup'!$K$5,".",IF(A6275=".",1,A6275+1))</f>
        <v>.</v>
      </c>
      <c r="B6276" s="431" t="str">
        <f t="shared" si="98"/>
        <v>Knee Replacement RevisionProviderWOODLAND HOSPITAL (NVC23)Oxford Knee Score</v>
      </c>
      <c r="C6276" t="s">
        <v>250</v>
      </c>
      <c r="D6276" t="s">
        <v>1</v>
      </c>
      <c r="E6276" t="s">
        <v>3540</v>
      </c>
      <c r="F6276" t="s">
        <v>3541</v>
      </c>
      <c r="G6276" t="s">
        <v>16</v>
      </c>
      <c r="H6276" t="s">
        <v>53</v>
      </c>
      <c r="I6276" t="s">
        <v>53</v>
      </c>
      <c r="J6276" t="s">
        <v>53</v>
      </c>
      <c r="K6276" t="s">
        <v>53</v>
      </c>
      <c r="L6276" t="s">
        <v>53</v>
      </c>
      <c r="M6276" t="s">
        <v>53</v>
      </c>
      <c r="N6276" t="s">
        <v>53</v>
      </c>
      <c r="O6276" t="s">
        <v>53</v>
      </c>
      <c r="P6276" t="s">
        <v>53</v>
      </c>
      <c r="Q6276" t="s">
        <v>53</v>
      </c>
    </row>
    <row r="6277" spans="1:17" x14ac:dyDescent="0.2">
      <c r="A6277" s="30" t="str">
        <f>IF(C6277&amp;G6277&amp;D6277&lt;&gt;'Funnel setup'!$K$3&amp;'Funnel setup'!$K$4&amp;'Funnel setup'!$K$5,".",IF(A6276=".",1,A6276+1))</f>
        <v>.</v>
      </c>
      <c r="B6277" s="431" t="str">
        <f t="shared" si="98"/>
        <v>Knee Replacement RevisionProviderWOODTHORPE HOSPITAL (NVC40)Oxford Knee Score</v>
      </c>
      <c r="C6277" t="s">
        <v>250</v>
      </c>
      <c r="D6277" t="s">
        <v>1</v>
      </c>
      <c r="E6277" t="s">
        <v>3689</v>
      </c>
      <c r="F6277" t="s">
        <v>6576</v>
      </c>
      <c r="G6277" t="s">
        <v>16</v>
      </c>
      <c r="H6277" t="s">
        <v>53</v>
      </c>
      <c r="I6277" t="s">
        <v>53</v>
      </c>
      <c r="J6277" t="s">
        <v>53</v>
      </c>
      <c r="K6277" t="s">
        <v>53</v>
      </c>
      <c r="L6277" t="s">
        <v>53</v>
      </c>
      <c r="M6277" t="s">
        <v>53</v>
      </c>
      <c r="N6277" t="s">
        <v>53</v>
      </c>
      <c r="O6277" t="s">
        <v>53</v>
      </c>
      <c r="P6277" t="s">
        <v>53</v>
      </c>
      <c r="Q6277" t="s">
        <v>53</v>
      </c>
    </row>
    <row r="6278" spans="1:17" x14ac:dyDescent="0.2">
      <c r="A6278" s="30" t="str">
        <f>IF(C6278&amp;G6278&amp;D6278&lt;&gt;'Funnel setup'!$K$3&amp;'Funnel setup'!$K$4&amp;'Funnel setup'!$K$5,".",IF(A6277=".",1,A6277+1))</f>
        <v>.</v>
      </c>
      <c r="B6278" s="431" t="str">
        <f t="shared" si="98"/>
        <v>Knee Replacement RevisionProviderWORCESTERSHIRE ACUTE HOSPITALS NHS TRUST (RWP)Oxford Knee Score</v>
      </c>
      <c r="C6278" t="s">
        <v>250</v>
      </c>
      <c r="D6278" t="s">
        <v>1</v>
      </c>
      <c r="E6278" t="s">
        <v>3543</v>
      </c>
      <c r="F6278" t="s">
        <v>3544</v>
      </c>
      <c r="G6278" t="s">
        <v>16</v>
      </c>
      <c r="H6278">
        <v>8</v>
      </c>
      <c r="I6278">
        <v>16.75</v>
      </c>
      <c r="J6278">
        <v>29.625</v>
      </c>
      <c r="K6278">
        <v>12.875</v>
      </c>
      <c r="L6278">
        <v>7</v>
      </c>
      <c r="M6278">
        <v>1</v>
      </c>
      <c r="N6278">
        <v>0</v>
      </c>
      <c r="O6278" t="s">
        <v>53</v>
      </c>
      <c r="P6278" t="s">
        <v>53</v>
      </c>
      <c r="Q6278" t="s">
        <v>53</v>
      </c>
    </row>
    <row r="6279" spans="1:17" x14ac:dyDescent="0.2">
      <c r="A6279" s="30" t="str">
        <f>IF(C6279&amp;G6279&amp;D6279&lt;&gt;'Funnel setup'!$K$3&amp;'Funnel setup'!$K$4&amp;'Funnel setup'!$K$5,".",IF(A6278=".",1,A6278+1))</f>
        <v>.</v>
      </c>
      <c r="B6279" s="431" t="str">
        <f t="shared" si="98"/>
        <v>Knee Replacement RevisionProviderWRIGHTINGTON, WIGAN AND LEIGH NHS FOUNDATION TRUST (RRF)Oxford Knee Score</v>
      </c>
      <c r="C6279" t="s">
        <v>250</v>
      </c>
      <c r="D6279" t="s">
        <v>1</v>
      </c>
      <c r="E6279" t="s">
        <v>3546</v>
      </c>
      <c r="F6279" t="s">
        <v>3547</v>
      </c>
      <c r="G6279" t="s">
        <v>16</v>
      </c>
      <c r="H6279">
        <v>11</v>
      </c>
      <c r="I6279">
        <v>17.454999999999998</v>
      </c>
      <c r="J6279">
        <v>26.908999999999999</v>
      </c>
      <c r="K6279">
        <v>9.4550000000000001</v>
      </c>
      <c r="L6279">
        <v>9</v>
      </c>
      <c r="M6279">
        <v>0</v>
      </c>
      <c r="N6279">
        <v>2</v>
      </c>
      <c r="O6279" t="s">
        <v>53</v>
      </c>
      <c r="P6279" t="s">
        <v>53</v>
      </c>
      <c r="Q6279" t="s">
        <v>53</v>
      </c>
    </row>
    <row r="6280" spans="1:17" x14ac:dyDescent="0.2">
      <c r="A6280" s="30" t="str">
        <f>IF(C6280&amp;G6280&amp;D6280&lt;&gt;'Funnel setup'!$K$3&amp;'Funnel setup'!$K$4&amp;'Funnel setup'!$K$5,".",IF(A6279=".",1,A6279+1))</f>
        <v>.</v>
      </c>
      <c r="B6280" s="431" t="str">
        <f t="shared" si="98"/>
        <v>Knee Replacement RevisionProviderWYE VALLEY NHS TRUST (RLQ)Oxford Knee Score</v>
      </c>
      <c r="C6280" t="s">
        <v>250</v>
      </c>
      <c r="D6280" t="s">
        <v>1</v>
      </c>
      <c r="E6280" t="s">
        <v>3517</v>
      </c>
      <c r="F6280" t="s">
        <v>3518</v>
      </c>
      <c r="G6280" t="s">
        <v>16</v>
      </c>
      <c r="H6280" t="s">
        <v>53</v>
      </c>
      <c r="I6280" t="s">
        <v>53</v>
      </c>
      <c r="J6280" t="s">
        <v>53</v>
      </c>
      <c r="K6280" t="s">
        <v>53</v>
      </c>
      <c r="L6280" t="s">
        <v>53</v>
      </c>
      <c r="M6280" t="s">
        <v>53</v>
      </c>
      <c r="N6280" t="s">
        <v>53</v>
      </c>
      <c r="O6280" t="s">
        <v>53</v>
      </c>
      <c r="P6280" t="s">
        <v>53</v>
      </c>
      <c r="Q6280" t="s">
        <v>53</v>
      </c>
    </row>
    <row r="6281" spans="1:17" x14ac:dyDescent="0.2">
      <c r="A6281" s="30" t="str">
        <f>IF(C6281&amp;G6281&amp;D6281&lt;&gt;'Funnel setup'!$K$3&amp;'Funnel setup'!$K$4&amp;'Funnel setup'!$K$5,".",IF(A6280=".",1,A6280+1))</f>
        <v>.</v>
      </c>
      <c r="B6281" s="431" t="str">
        <f t="shared" si="98"/>
        <v>Knee Replacement RevisionProviderYEOVIL DISTRICT HOSPITAL NHS FOUNDATION TRUST (RA4)Oxford Knee Score</v>
      </c>
      <c r="C6281" t="s">
        <v>250</v>
      </c>
      <c r="D6281" t="s">
        <v>1</v>
      </c>
      <c r="E6281" t="s">
        <v>3520</v>
      </c>
      <c r="F6281" t="s">
        <v>341</v>
      </c>
      <c r="G6281" t="s">
        <v>16</v>
      </c>
      <c r="H6281" t="s">
        <v>53</v>
      </c>
      <c r="I6281" t="s">
        <v>53</v>
      </c>
      <c r="J6281" t="s">
        <v>53</v>
      </c>
      <c r="K6281" t="s">
        <v>53</v>
      </c>
      <c r="L6281" t="s">
        <v>53</v>
      </c>
      <c r="M6281" t="s">
        <v>53</v>
      </c>
      <c r="N6281" t="s">
        <v>53</v>
      </c>
      <c r="O6281" t="s">
        <v>53</v>
      </c>
      <c r="P6281" t="s">
        <v>53</v>
      </c>
      <c r="Q6281" t="s">
        <v>53</v>
      </c>
    </row>
    <row r="6282" spans="1:17" x14ac:dyDescent="0.2">
      <c r="A6282" s="30" t="str">
        <f>IF(C6282&amp;G6282&amp;D6282&lt;&gt;'Funnel setup'!$K$3&amp;'Funnel setup'!$K$4&amp;'Funnel setup'!$K$5,".",IF(A6281=".",1,A6281+1))</f>
        <v>.</v>
      </c>
      <c r="B6282" s="431" t="str">
        <f t="shared" si="98"/>
        <v>Knee Replacement RevisionProviderYORK TEACHING HOSPITAL NHS FOUNDATION TRUST (RCB)Oxford Knee Score</v>
      </c>
      <c r="C6282" t="s">
        <v>250</v>
      </c>
      <c r="D6282" t="s">
        <v>1</v>
      </c>
      <c r="E6282" t="s">
        <v>3515</v>
      </c>
      <c r="F6282" t="s">
        <v>343</v>
      </c>
      <c r="G6282" t="s">
        <v>16</v>
      </c>
      <c r="H6282">
        <v>17</v>
      </c>
      <c r="I6282">
        <v>17.175999999999998</v>
      </c>
      <c r="J6282">
        <v>27.824000000000002</v>
      </c>
      <c r="K6282">
        <v>10.647</v>
      </c>
      <c r="L6282">
        <v>14</v>
      </c>
      <c r="M6282">
        <v>0</v>
      </c>
      <c r="N6282">
        <v>3</v>
      </c>
      <c r="O6282" t="s">
        <v>53</v>
      </c>
      <c r="P6282" t="s">
        <v>53</v>
      </c>
      <c r="Q6282" t="s">
        <v>53</v>
      </c>
    </row>
    <row r="6283" spans="1:17" x14ac:dyDescent="0.2">
      <c r="A6283" s="30" t="str">
        <f>IF(C6283&amp;G6283&amp;D6283&lt;&gt;'Funnel setup'!$K$3&amp;'Funnel setup'!$K$4&amp;'Funnel setup'!$K$5,".",IF(A6282=".",1,A6282+1))</f>
        <v>.</v>
      </c>
      <c r="B6283" s="431" t="str">
        <f t="shared" si="98"/>
        <v>Varicose VeinCCG of GP PracticeNATIONAL COMMISSIONING HUB 1 (13Q)Aberdeen Varicose Vein Questionnaire</v>
      </c>
      <c r="C6283" t="s">
        <v>17</v>
      </c>
      <c r="D6283" t="s">
        <v>87</v>
      </c>
      <c r="E6283" t="s">
        <v>563</v>
      </c>
      <c r="F6283" t="s">
        <v>564</v>
      </c>
      <c r="G6283" t="s">
        <v>0</v>
      </c>
      <c r="H6283">
        <v>12</v>
      </c>
      <c r="I6283">
        <v>12.815</v>
      </c>
      <c r="J6283">
        <v>8.5169999999999995</v>
      </c>
      <c r="K6283">
        <v>-4.298</v>
      </c>
      <c r="L6283">
        <v>10</v>
      </c>
      <c r="M6283">
        <v>0</v>
      </c>
      <c r="N6283">
        <v>2</v>
      </c>
      <c r="O6283" t="s">
        <v>53</v>
      </c>
      <c r="P6283" t="s">
        <v>53</v>
      </c>
      <c r="Q6283" t="s">
        <v>53</v>
      </c>
    </row>
    <row r="6284" spans="1:17" x14ac:dyDescent="0.2">
      <c r="A6284" s="30" t="str">
        <f>IF(C6284&amp;G6284&amp;D6284&lt;&gt;'Funnel setup'!$K$3&amp;'Funnel setup'!$K$4&amp;'Funnel setup'!$K$5,".",IF(A6283=".",1,A6283+1))</f>
        <v>.</v>
      </c>
      <c r="B6284" s="431" t="str">
        <f t="shared" si="98"/>
        <v>Varicose VeinCCG of GP PracticeNHS AIREDALE, WHARFEDALE AND CRAVEN CCG (02N)Aberdeen Varicose Vein Questionnaire</v>
      </c>
      <c r="C6284" t="s">
        <v>17</v>
      </c>
      <c r="D6284" t="s">
        <v>87</v>
      </c>
      <c r="E6284" t="s">
        <v>566</v>
      </c>
      <c r="F6284" t="s">
        <v>567</v>
      </c>
      <c r="G6284" t="s">
        <v>0</v>
      </c>
      <c r="H6284">
        <v>50</v>
      </c>
      <c r="I6284">
        <v>17.513000000000002</v>
      </c>
      <c r="J6284">
        <v>9.7690000000000001</v>
      </c>
      <c r="K6284">
        <v>-7.7439999999999998</v>
      </c>
      <c r="L6284">
        <v>42</v>
      </c>
      <c r="M6284">
        <v>0</v>
      </c>
      <c r="N6284">
        <v>8</v>
      </c>
      <c r="O6284">
        <v>7.585</v>
      </c>
      <c r="P6284">
        <v>-13.33756047</v>
      </c>
      <c r="Q6284">
        <v>14.667</v>
      </c>
    </row>
    <row r="6285" spans="1:17" x14ac:dyDescent="0.2">
      <c r="A6285" s="30" t="str">
        <f>IF(C6285&amp;G6285&amp;D6285&lt;&gt;'Funnel setup'!$K$3&amp;'Funnel setup'!$K$4&amp;'Funnel setup'!$K$5,".",IF(A6284=".",1,A6284+1))</f>
        <v>.</v>
      </c>
      <c r="B6285" s="431" t="str">
        <f t="shared" si="98"/>
        <v>Varicose VeinCCG of GP PracticeNHS ASHFORD CCG (09C)Aberdeen Varicose Vein Questionnaire</v>
      </c>
      <c r="C6285" t="s">
        <v>17</v>
      </c>
      <c r="D6285" t="s">
        <v>87</v>
      </c>
      <c r="E6285" t="s">
        <v>569</v>
      </c>
      <c r="F6285" t="s">
        <v>339</v>
      </c>
      <c r="G6285" t="s">
        <v>0</v>
      </c>
      <c r="H6285" t="s">
        <v>53</v>
      </c>
      <c r="I6285" t="s">
        <v>53</v>
      </c>
      <c r="J6285" t="s">
        <v>53</v>
      </c>
      <c r="K6285" t="s">
        <v>53</v>
      </c>
      <c r="L6285" t="s">
        <v>53</v>
      </c>
      <c r="M6285" t="s">
        <v>53</v>
      </c>
      <c r="N6285" t="s">
        <v>53</v>
      </c>
      <c r="O6285" t="s">
        <v>53</v>
      </c>
      <c r="P6285" t="s">
        <v>53</v>
      </c>
      <c r="Q6285" t="s">
        <v>53</v>
      </c>
    </row>
    <row r="6286" spans="1:17" x14ac:dyDescent="0.2">
      <c r="A6286" s="30" t="str">
        <f>IF(C6286&amp;G6286&amp;D6286&lt;&gt;'Funnel setup'!$K$3&amp;'Funnel setup'!$K$4&amp;'Funnel setup'!$K$5,".",IF(A6285=".",1,A6285+1))</f>
        <v>.</v>
      </c>
      <c r="B6286" s="431" t="str">
        <f t="shared" si="98"/>
        <v>Varicose VeinCCG of GP PracticeNHS AYLESBURY VALE CCG (10Y)Aberdeen Varicose Vein Questionnaire</v>
      </c>
      <c r="C6286" t="s">
        <v>17</v>
      </c>
      <c r="D6286" t="s">
        <v>87</v>
      </c>
      <c r="E6286" t="s">
        <v>571</v>
      </c>
      <c r="F6286" t="s">
        <v>572</v>
      </c>
      <c r="G6286" t="s">
        <v>0</v>
      </c>
      <c r="H6286">
        <v>12</v>
      </c>
      <c r="I6286">
        <v>28.542999999999999</v>
      </c>
      <c r="J6286">
        <v>16.170000000000002</v>
      </c>
      <c r="K6286">
        <v>-12.372999999999999</v>
      </c>
      <c r="L6286">
        <v>11</v>
      </c>
      <c r="M6286">
        <v>0</v>
      </c>
      <c r="N6286">
        <v>1</v>
      </c>
      <c r="O6286" t="s">
        <v>53</v>
      </c>
      <c r="P6286" t="s">
        <v>53</v>
      </c>
      <c r="Q6286" t="s">
        <v>53</v>
      </c>
    </row>
    <row r="6287" spans="1:17" x14ac:dyDescent="0.2">
      <c r="A6287" s="30" t="str">
        <f>IF(C6287&amp;G6287&amp;D6287&lt;&gt;'Funnel setup'!$K$3&amp;'Funnel setup'!$K$4&amp;'Funnel setup'!$K$5,".",IF(A6286=".",1,A6286+1))</f>
        <v>.</v>
      </c>
      <c r="B6287" s="431" t="str">
        <f t="shared" si="98"/>
        <v>Varicose VeinCCG of GP PracticeNHS BARKING AND DAGENHAM CCG (07L)Aberdeen Varicose Vein Questionnaire</v>
      </c>
      <c r="C6287" t="s">
        <v>17</v>
      </c>
      <c r="D6287" t="s">
        <v>87</v>
      </c>
      <c r="E6287" t="s">
        <v>574</v>
      </c>
      <c r="F6287" t="s">
        <v>575</v>
      </c>
      <c r="G6287" t="s">
        <v>0</v>
      </c>
      <c r="H6287">
        <v>19</v>
      </c>
      <c r="I6287">
        <v>23.73</v>
      </c>
      <c r="J6287">
        <v>17.082999999999998</v>
      </c>
      <c r="K6287">
        <v>-6.6470000000000002</v>
      </c>
      <c r="L6287">
        <v>14</v>
      </c>
      <c r="M6287">
        <v>0</v>
      </c>
      <c r="N6287">
        <v>5</v>
      </c>
      <c r="O6287" t="s">
        <v>53</v>
      </c>
      <c r="P6287" t="s">
        <v>53</v>
      </c>
      <c r="Q6287" t="s">
        <v>53</v>
      </c>
    </row>
    <row r="6288" spans="1:17" x14ac:dyDescent="0.2">
      <c r="A6288" s="30" t="str">
        <f>IF(C6288&amp;G6288&amp;D6288&lt;&gt;'Funnel setup'!$K$3&amp;'Funnel setup'!$K$4&amp;'Funnel setup'!$K$5,".",IF(A6287=".",1,A6287+1))</f>
        <v>.</v>
      </c>
      <c r="B6288" s="431" t="str">
        <f t="shared" si="98"/>
        <v>Varicose VeinCCG of GP PracticeNHS BARNET CCG (07M)Aberdeen Varicose Vein Questionnaire</v>
      </c>
      <c r="C6288" t="s">
        <v>17</v>
      </c>
      <c r="D6288" t="s">
        <v>87</v>
      </c>
      <c r="E6288" t="s">
        <v>577</v>
      </c>
      <c r="F6288" t="s">
        <v>578</v>
      </c>
      <c r="G6288" t="s">
        <v>0</v>
      </c>
      <c r="H6288">
        <v>12</v>
      </c>
      <c r="I6288">
        <v>19.977</v>
      </c>
      <c r="J6288">
        <v>13.045</v>
      </c>
      <c r="K6288">
        <v>-6.9320000000000004</v>
      </c>
      <c r="L6288">
        <v>10</v>
      </c>
      <c r="M6288">
        <v>0</v>
      </c>
      <c r="N6288">
        <v>2</v>
      </c>
      <c r="O6288" t="s">
        <v>53</v>
      </c>
      <c r="P6288" t="s">
        <v>53</v>
      </c>
      <c r="Q6288" t="s">
        <v>53</v>
      </c>
    </row>
    <row r="6289" spans="1:17" x14ac:dyDescent="0.2">
      <c r="A6289" s="30" t="str">
        <f>IF(C6289&amp;G6289&amp;D6289&lt;&gt;'Funnel setup'!$K$3&amp;'Funnel setup'!$K$4&amp;'Funnel setup'!$K$5,".",IF(A6288=".",1,A6288+1))</f>
        <v>.</v>
      </c>
      <c r="B6289" s="431" t="str">
        <f t="shared" si="98"/>
        <v>Varicose VeinCCG of GP PracticeNHS BARNSLEY CCG (02P)Aberdeen Varicose Vein Questionnaire</v>
      </c>
      <c r="C6289" t="s">
        <v>17</v>
      </c>
      <c r="D6289" t="s">
        <v>87</v>
      </c>
      <c r="E6289" t="s">
        <v>580</v>
      </c>
      <c r="F6289" t="s">
        <v>581</v>
      </c>
      <c r="G6289" t="s">
        <v>0</v>
      </c>
      <c r="H6289">
        <v>40</v>
      </c>
      <c r="I6289">
        <v>17.989000000000001</v>
      </c>
      <c r="J6289">
        <v>14.02</v>
      </c>
      <c r="K6289">
        <v>-3.9689999999999999</v>
      </c>
      <c r="L6289">
        <v>26</v>
      </c>
      <c r="M6289">
        <v>0</v>
      </c>
      <c r="N6289">
        <v>14</v>
      </c>
      <c r="O6289">
        <v>12.805999999999999</v>
      </c>
      <c r="P6289">
        <v>-8.1163518939999992</v>
      </c>
      <c r="Q6289">
        <v>12.66</v>
      </c>
    </row>
    <row r="6290" spans="1:17" x14ac:dyDescent="0.2">
      <c r="A6290" s="30" t="str">
        <f>IF(C6290&amp;G6290&amp;D6290&lt;&gt;'Funnel setup'!$K$3&amp;'Funnel setup'!$K$4&amp;'Funnel setup'!$K$5,".",IF(A6289=".",1,A6289+1))</f>
        <v>.</v>
      </c>
      <c r="B6290" s="431" t="str">
        <f t="shared" si="98"/>
        <v>Varicose VeinCCG of GP PracticeNHS BASILDON AND BRENTWOOD CCG (99E)Aberdeen Varicose Vein Questionnaire</v>
      </c>
      <c r="C6290" t="s">
        <v>17</v>
      </c>
      <c r="D6290" t="s">
        <v>87</v>
      </c>
      <c r="E6290" t="s">
        <v>583</v>
      </c>
      <c r="F6290" t="s">
        <v>584</v>
      </c>
      <c r="G6290" t="s">
        <v>0</v>
      </c>
      <c r="H6290">
        <v>9</v>
      </c>
      <c r="I6290">
        <v>23.68</v>
      </c>
      <c r="J6290">
        <v>13.429</v>
      </c>
      <c r="K6290">
        <v>-10.252000000000001</v>
      </c>
      <c r="L6290">
        <v>7</v>
      </c>
      <c r="M6290">
        <v>0</v>
      </c>
      <c r="N6290">
        <v>2</v>
      </c>
      <c r="O6290" t="s">
        <v>53</v>
      </c>
      <c r="P6290" t="s">
        <v>53</v>
      </c>
      <c r="Q6290" t="s">
        <v>53</v>
      </c>
    </row>
    <row r="6291" spans="1:17" x14ac:dyDescent="0.2">
      <c r="A6291" s="30" t="str">
        <f>IF(C6291&amp;G6291&amp;D6291&lt;&gt;'Funnel setup'!$K$3&amp;'Funnel setup'!$K$4&amp;'Funnel setup'!$K$5,".",IF(A6290=".",1,A6290+1))</f>
        <v>.</v>
      </c>
      <c r="B6291" s="431" t="str">
        <f t="shared" si="98"/>
        <v>Varicose VeinCCG of GP PracticeNHS BASSETLAW CCG (02Q)Aberdeen Varicose Vein Questionnaire</v>
      </c>
      <c r="C6291" t="s">
        <v>17</v>
      </c>
      <c r="D6291" t="s">
        <v>87</v>
      </c>
      <c r="E6291" t="s">
        <v>586</v>
      </c>
      <c r="F6291" t="s">
        <v>587</v>
      </c>
      <c r="G6291" t="s">
        <v>0</v>
      </c>
      <c r="H6291">
        <v>8</v>
      </c>
      <c r="I6291">
        <v>17.771999999999998</v>
      </c>
      <c r="J6291">
        <v>13.18</v>
      </c>
      <c r="K6291">
        <v>-4.5919999999999996</v>
      </c>
      <c r="L6291">
        <v>6</v>
      </c>
      <c r="M6291">
        <v>0</v>
      </c>
      <c r="N6291">
        <v>2</v>
      </c>
      <c r="O6291" t="s">
        <v>53</v>
      </c>
      <c r="P6291" t="s">
        <v>53</v>
      </c>
      <c r="Q6291" t="s">
        <v>53</v>
      </c>
    </row>
    <row r="6292" spans="1:17" x14ac:dyDescent="0.2">
      <c r="A6292" s="30" t="str">
        <f>IF(C6292&amp;G6292&amp;D6292&lt;&gt;'Funnel setup'!$K$3&amp;'Funnel setup'!$K$4&amp;'Funnel setup'!$K$5,".",IF(A6291=".",1,A6291+1))</f>
        <v>.</v>
      </c>
      <c r="B6292" s="431" t="str">
        <f t="shared" si="98"/>
        <v>Varicose VeinCCG of GP PracticeNHS BATH AND NORTH EAST SOMERSET CCG (11E)Aberdeen Varicose Vein Questionnaire</v>
      </c>
      <c r="C6292" t="s">
        <v>17</v>
      </c>
      <c r="D6292" t="s">
        <v>87</v>
      </c>
      <c r="E6292" t="s">
        <v>589</v>
      </c>
      <c r="F6292" t="s">
        <v>590</v>
      </c>
      <c r="G6292" t="s">
        <v>0</v>
      </c>
      <c r="H6292">
        <v>36</v>
      </c>
      <c r="I6292">
        <v>17.350000000000001</v>
      </c>
      <c r="J6292">
        <v>9.1869999999999994</v>
      </c>
      <c r="K6292">
        <v>-8.1630000000000003</v>
      </c>
      <c r="L6292">
        <v>32</v>
      </c>
      <c r="M6292">
        <v>0</v>
      </c>
      <c r="N6292">
        <v>4</v>
      </c>
      <c r="O6292">
        <v>6.5309999999999997</v>
      </c>
      <c r="P6292">
        <v>-14.391203000000001</v>
      </c>
      <c r="Q6292">
        <v>11.019</v>
      </c>
    </row>
    <row r="6293" spans="1:17" x14ac:dyDescent="0.2">
      <c r="A6293" s="30" t="str">
        <f>IF(C6293&amp;G6293&amp;D6293&lt;&gt;'Funnel setup'!$K$3&amp;'Funnel setup'!$K$4&amp;'Funnel setup'!$K$5,".",IF(A6292=".",1,A6292+1))</f>
        <v>.</v>
      </c>
      <c r="B6293" s="431" t="str">
        <f t="shared" si="98"/>
        <v>Varicose VeinCCG of GP PracticeNHS BEDFORDSHIRE CCG (06F)Aberdeen Varicose Vein Questionnaire</v>
      </c>
      <c r="C6293" t="s">
        <v>17</v>
      </c>
      <c r="D6293" t="s">
        <v>87</v>
      </c>
      <c r="E6293" t="s">
        <v>592</v>
      </c>
      <c r="F6293" t="s">
        <v>593</v>
      </c>
      <c r="G6293" t="s">
        <v>0</v>
      </c>
      <c r="H6293">
        <v>36</v>
      </c>
      <c r="I6293">
        <v>23.62</v>
      </c>
      <c r="J6293">
        <v>14.081</v>
      </c>
      <c r="K6293">
        <v>-9.5389999999999997</v>
      </c>
      <c r="L6293">
        <v>32</v>
      </c>
      <c r="M6293">
        <v>0</v>
      </c>
      <c r="N6293">
        <v>4</v>
      </c>
      <c r="O6293">
        <v>15.412000000000001</v>
      </c>
      <c r="P6293">
        <v>-5.5102370289999998</v>
      </c>
      <c r="Q6293">
        <v>17.992999999999999</v>
      </c>
    </row>
    <row r="6294" spans="1:17" x14ac:dyDescent="0.2">
      <c r="A6294" s="30" t="str">
        <f>IF(C6294&amp;G6294&amp;D6294&lt;&gt;'Funnel setup'!$K$3&amp;'Funnel setup'!$K$4&amp;'Funnel setup'!$K$5,".",IF(A6293=".",1,A6293+1))</f>
        <v>.</v>
      </c>
      <c r="B6294" s="431" t="str">
        <f t="shared" si="98"/>
        <v>Varicose VeinCCG of GP PracticeNHS BEXLEY CCG (07N)Aberdeen Varicose Vein Questionnaire</v>
      </c>
      <c r="C6294" t="s">
        <v>17</v>
      </c>
      <c r="D6294" t="s">
        <v>87</v>
      </c>
      <c r="E6294" t="s">
        <v>595</v>
      </c>
      <c r="F6294" t="s">
        <v>596</v>
      </c>
      <c r="G6294" t="s">
        <v>0</v>
      </c>
      <c r="H6294">
        <v>14</v>
      </c>
      <c r="I6294">
        <v>17.54</v>
      </c>
      <c r="J6294">
        <v>10.651</v>
      </c>
      <c r="K6294">
        <v>-6.8890000000000002</v>
      </c>
      <c r="L6294">
        <v>10</v>
      </c>
      <c r="M6294">
        <v>0</v>
      </c>
      <c r="N6294">
        <v>4</v>
      </c>
      <c r="O6294" t="s">
        <v>53</v>
      </c>
      <c r="P6294" t="s">
        <v>53</v>
      </c>
      <c r="Q6294" t="s">
        <v>53</v>
      </c>
    </row>
    <row r="6295" spans="1:17" x14ac:dyDescent="0.2">
      <c r="A6295" s="30" t="str">
        <f>IF(C6295&amp;G6295&amp;D6295&lt;&gt;'Funnel setup'!$K$3&amp;'Funnel setup'!$K$4&amp;'Funnel setup'!$K$5,".",IF(A6294=".",1,A6294+1))</f>
        <v>.</v>
      </c>
      <c r="B6295" s="431" t="str">
        <f t="shared" si="98"/>
        <v>Varicose VeinCCG of GP PracticeNHS BIRMINGHAM CROSSCITY CCG (13P)Aberdeen Varicose Vein Questionnaire</v>
      </c>
      <c r="C6295" t="s">
        <v>17</v>
      </c>
      <c r="D6295" t="s">
        <v>87</v>
      </c>
      <c r="E6295" t="s">
        <v>598</v>
      </c>
      <c r="F6295" t="s">
        <v>599</v>
      </c>
      <c r="G6295" t="s">
        <v>0</v>
      </c>
      <c r="H6295">
        <v>91</v>
      </c>
      <c r="I6295">
        <v>22.741</v>
      </c>
      <c r="J6295">
        <v>13.138999999999999</v>
      </c>
      <c r="K6295">
        <v>-9.6020000000000003</v>
      </c>
      <c r="L6295">
        <v>75</v>
      </c>
      <c r="M6295">
        <v>0</v>
      </c>
      <c r="N6295">
        <v>16</v>
      </c>
      <c r="O6295">
        <v>14.256</v>
      </c>
      <c r="P6295">
        <v>-6.666436418</v>
      </c>
      <c r="Q6295">
        <v>16.916</v>
      </c>
    </row>
    <row r="6296" spans="1:17" x14ac:dyDescent="0.2">
      <c r="A6296" s="30" t="str">
        <f>IF(C6296&amp;G6296&amp;D6296&lt;&gt;'Funnel setup'!$K$3&amp;'Funnel setup'!$K$4&amp;'Funnel setup'!$K$5,".",IF(A6295=".",1,A6295+1))</f>
        <v>.</v>
      </c>
      <c r="B6296" s="431" t="str">
        <f t="shared" si="98"/>
        <v>Varicose VeinCCG of GP PracticeNHS BIRMINGHAM SOUTH AND CENTRAL CCG (04X)Aberdeen Varicose Vein Questionnaire</v>
      </c>
      <c r="C6296" t="s">
        <v>17</v>
      </c>
      <c r="D6296" t="s">
        <v>87</v>
      </c>
      <c r="E6296" t="s">
        <v>601</v>
      </c>
      <c r="F6296" t="s">
        <v>602</v>
      </c>
      <c r="G6296" t="s">
        <v>0</v>
      </c>
      <c r="H6296">
        <v>9</v>
      </c>
      <c r="I6296">
        <v>24.175999999999998</v>
      </c>
      <c r="J6296">
        <v>12.506</v>
      </c>
      <c r="K6296">
        <v>-11.670999999999999</v>
      </c>
      <c r="L6296">
        <v>8</v>
      </c>
      <c r="M6296">
        <v>0</v>
      </c>
      <c r="N6296">
        <v>1</v>
      </c>
      <c r="O6296" t="s">
        <v>53</v>
      </c>
      <c r="P6296" t="s">
        <v>53</v>
      </c>
      <c r="Q6296" t="s">
        <v>53</v>
      </c>
    </row>
    <row r="6297" spans="1:17" x14ac:dyDescent="0.2">
      <c r="A6297" s="30" t="str">
        <f>IF(C6297&amp;G6297&amp;D6297&lt;&gt;'Funnel setup'!$K$3&amp;'Funnel setup'!$K$4&amp;'Funnel setup'!$K$5,".",IF(A6296=".",1,A6296+1))</f>
        <v>.</v>
      </c>
      <c r="B6297" s="431" t="str">
        <f t="shared" si="98"/>
        <v>Varicose VeinCCG of GP PracticeNHS BLACKBURN WITH DARWEN CCG (00Q)Aberdeen Varicose Vein Questionnaire</v>
      </c>
      <c r="C6297" t="s">
        <v>17</v>
      </c>
      <c r="D6297" t="s">
        <v>87</v>
      </c>
      <c r="E6297" t="s">
        <v>604</v>
      </c>
      <c r="F6297" t="s">
        <v>605</v>
      </c>
      <c r="G6297" t="s">
        <v>0</v>
      </c>
      <c r="H6297">
        <v>28</v>
      </c>
      <c r="I6297">
        <v>17.666</v>
      </c>
      <c r="J6297">
        <v>9.4969999999999999</v>
      </c>
      <c r="K6297">
        <v>-8.1690000000000005</v>
      </c>
      <c r="L6297">
        <v>26</v>
      </c>
      <c r="M6297">
        <v>0</v>
      </c>
      <c r="N6297">
        <v>2</v>
      </c>
      <c r="O6297" t="s">
        <v>53</v>
      </c>
      <c r="P6297" t="s">
        <v>53</v>
      </c>
      <c r="Q6297" t="s">
        <v>53</v>
      </c>
    </row>
    <row r="6298" spans="1:17" x14ac:dyDescent="0.2">
      <c r="A6298" s="30" t="str">
        <f>IF(C6298&amp;G6298&amp;D6298&lt;&gt;'Funnel setup'!$K$3&amp;'Funnel setup'!$K$4&amp;'Funnel setup'!$K$5,".",IF(A6297=".",1,A6297+1))</f>
        <v>.</v>
      </c>
      <c r="B6298" s="431" t="str">
        <f t="shared" si="98"/>
        <v>Varicose VeinCCG of GP PracticeNHS BLACKPOOL CCG (00R)Aberdeen Varicose Vein Questionnaire</v>
      </c>
      <c r="C6298" t="s">
        <v>17</v>
      </c>
      <c r="D6298" t="s">
        <v>87</v>
      </c>
      <c r="E6298" t="s">
        <v>607</v>
      </c>
      <c r="F6298" t="s">
        <v>608</v>
      </c>
      <c r="G6298" t="s">
        <v>0</v>
      </c>
      <c r="H6298">
        <v>8</v>
      </c>
      <c r="I6298">
        <v>26.577000000000002</v>
      </c>
      <c r="J6298">
        <v>16.381</v>
      </c>
      <c r="K6298">
        <v>-10.196</v>
      </c>
      <c r="L6298">
        <v>7</v>
      </c>
      <c r="M6298">
        <v>0</v>
      </c>
      <c r="N6298">
        <v>1</v>
      </c>
      <c r="O6298" t="s">
        <v>53</v>
      </c>
      <c r="P6298" t="s">
        <v>53</v>
      </c>
      <c r="Q6298" t="s">
        <v>53</v>
      </c>
    </row>
    <row r="6299" spans="1:17" x14ac:dyDescent="0.2">
      <c r="A6299" s="30" t="str">
        <f>IF(C6299&amp;G6299&amp;D6299&lt;&gt;'Funnel setup'!$K$3&amp;'Funnel setup'!$K$4&amp;'Funnel setup'!$K$5,".",IF(A6298=".",1,A6298+1))</f>
        <v>.</v>
      </c>
      <c r="B6299" s="431" t="str">
        <f t="shared" si="98"/>
        <v>Varicose VeinCCG of GP PracticeNHS BOLTON CCG (00T)Aberdeen Varicose Vein Questionnaire</v>
      </c>
      <c r="C6299" t="s">
        <v>17</v>
      </c>
      <c r="D6299" t="s">
        <v>87</v>
      </c>
      <c r="E6299" t="s">
        <v>683</v>
      </c>
      <c r="F6299" t="s">
        <v>684</v>
      </c>
      <c r="G6299" t="s">
        <v>0</v>
      </c>
      <c r="H6299">
        <v>38</v>
      </c>
      <c r="I6299">
        <v>18.146999999999998</v>
      </c>
      <c r="J6299">
        <v>12.119</v>
      </c>
      <c r="K6299">
        <v>-6.0279999999999996</v>
      </c>
      <c r="L6299">
        <v>31</v>
      </c>
      <c r="M6299">
        <v>0</v>
      </c>
      <c r="N6299">
        <v>7</v>
      </c>
      <c r="O6299">
        <v>10.752000000000001</v>
      </c>
      <c r="P6299">
        <v>-10.17013057</v>
      </c>
      <c r="Q6299">
        <v>12.263</v>
      </c>
    </row>
    <row r="6300" spans="1:17" x14ac:dyDescent="0.2">
      <c r="A6300" s="30" t="str">
        <f>IF(C6300&amp;G6300&amp;D6300&lt;&gt;'Funnel setup'!$K$3&amp;'Funnel setup'!$K$4&amp;'Funnel setup'!$K$5,".",IF(A6299=".",1,A6299+1))</f>
        <v>.</v>
      </c>
      <c r="B6300" s="431" t="str">
        <f t="shared" si="98"/>
        <v>Varicose VeinCCG of GP PracticeNHS BRADFORD CITY CCG (02W)Aberdeen Varicose Vein Questionnaire</v>
      </c>
      <c r="C6300" t="s">
        <v>17</v>
      </c>
      <c r="D6300" t="s">
        <v>87</v>
      </c>
      <c r="E6300" t="s">
        <v>689</v>
      </c>
      <c r="F6300" t="s">
        <v>690</v>
      </c>
      <c r="G6300" t="s">
        <v>0</v>
      </c>
      <c r="H6300">
        <v>7</v>
      </c>
      <c r="I6300">
        <v>34.853000000000002</v>
      </c>
      <c r="J6300">
        <v>29.940999999999999</v>
      </c>
      <c r="K6300">
        <v>-4.9119999999999999</v>
      </c>
      <c r="L6300">
        <v>5</v>
      </c>
      <c r="M6300">
        <v>0</v>
      </c>
      <c r="N6300">
        <v>2</v>
      </c>
      <c r="O6300" t="s">
        <v>53</v>
      </c>
      <c r="P6300" t="s">
        <v>53</v>
      </c>
      <c r="Q6300" t="s">
        <v>53</v>
      </c>
    </row>
    <row r="6301" spans="1:17" x14ac:dyDescent="0.2">
      <c r="A6301" s="30" t="str">
        <f>IF(C6301&amp;G6301&amp;D6301&lt;&gt;'Funnel setup'!$K$3&amp;'Funnel setup'!$K$4&amp;'Funnel setup'!$K$5,".",IF(A6300=".",1,A6300+1))</f>
        <v>.</v>
      </c>
      <c r="B6301" s="431" t="str">
        <f t="shared" si="98"/>
        <v>Varicose VeinCCG of GP PracticeNHS BRADFORD DISTRICTS CCG (02R)Aberdeen Varicose Vein Questionnaire</v>
      </c>
      <c r="C6301" t="s">
        <v>17</v>
      </c>
      <c r="D6301" t="s">
        <v>87</v>
      </c>
      <c r="E6301" t="s">
        <v>692</v>
      </c>
      <c r="F6301" t="s">
        <v>693</v>
      </c>
      <c r="G6301" t="s">
        <v>0</v>
      </c>
      <c r="H6301">
        <v>46</v>
      </c>
      <c r="I6301">
        <v>18.120999999999999</v>
      </c>
      <c r="J6301">
        <v>11.618</v>
      </c>
      <c r="K6301">
        <v>-6.5030000000000001</v>
      </c>
      <c r="L6301">
        <v>37</v>
      </c>
      <c r="M6301">
        <v>0</v>
      </c>
      <c r="N6301">
        <v>9</v>
      </c>
      <c r="O6301">
        <v>10.429</v>
      </c>
      <c r="P6301">
        <v>-10.493747089999999</v>
      </c>
      <c r="Q6301">
        <v>14.897</v>
      </c>
    </row>
    <row r="6302" spans="1:17" x14ac:dyDescent="0.2">
      <c r="A6302" s="30" t="str">
        <f>IF(C6302&amp;G6302&amp;D6302&lt;&gt;'Funnel setup'!$K$3&amp;'Funnel setup'!$K$4&amp;'Funnel setup'!$K$5,".",IF(A6301=".",1,A6301+1))</f>
        <v>.</v>
      </c>
      <c r="B6302" s="431" t="str">
        <f t="shared" si="98"/>
        <v>Varicose VeinCCG of GP PracticeNHS BRENT CCG (07P)Aberdeen Varicose Vein Questionnaire</v>
      </c>
      <c r="C6302" t="s">
        <v>17</v>
      </c>
      <c r="D6302" t="s">
        <v>87</v>
      </c>
      <c r="E6302" t="s">
        <v>695</v>
      </c>
      <c r="F6302" t="s">
        <v>696</v>
      </c>
      <c r="G6302" t="s">
        <v>0</v>
      </c>
      <c r="H6302">
        <v>37</v>
      </c>
      <c r="I6302">
        <v>25.143999999999998</v>
      </c>
      <c r="J6302">
        <v>21.242000000000001</v>
      </c>
      <c r="K6302">
        <v>-3.9020000000000001</v>
      </c>
      <c r="L6302">
        <v>25</v>
      </c>
      <c r="M6302">
        <v>0</v>
      </c>
      <c r="N6302">
        <v>12</v>
      </c>
      <c r="O6302">
        <v>25.356000000000002</v>
      </c>
      <c r="P6302">
        <v>4.4333878379999998</v>
      </c>
      <c r="Q6302">
        <v>23.192</v>
      </c>
    </row>
    <row r="6303" spans="1:17" x14ac:dyDescent="0.2">
      <c r="A6303" s="30" t="str">
        <f>IF(C6303&amp;G6303&amp;D6303&lt;&gt;'Funnel setup'!$K$3&amp;'Funnel setup'!$K$4&amp;'Funnel setup'!$K$5,".",IF(A6302=".",1,A6302+1))</f>
        <v>.</v>
      </c>
      <c r="B6303" s="431" t="str">
        <f t="shared" si="98"/>
        <v>Varicose VeinCCG of GP PracticeNHS BRIGHTON AND HOVE CCG (09D)Aberdeen Varicose Vein Questionnaire</v>
      </c>
      <c r="C6303" t="s">
        <v>17</v>
      </c>
      <c r="D6303" t="s">
        <v>87</v>
      </c>
      <c r="E6303" t="s">
        <v>698</v>
      </c>
      <c r="F6303" t="s">
        <v>699</v>
      </c>
      <c r="G6303" t="s">
        <v>0</v>
      </c>
      <c r="H6303">
        <v>23</v>
      </c>
      <c r="I6303">
        <v>23.844000000000001</v>
      </c>
      <c r="J6303">
        <v>14.13</v>
      </c>
      <c r="K6303">
        <v>-9.7140000000000004</v>
      </c>
      <c r="L6303">
        <v>19</v>
      </c>
      <c r="M6303">
        <v>0</v>
      </c>
      <c r="N6303">
        <v>4</v>
      </c>
      <c r="O6303" t="s">
        <v>53</v>
      </c>
      <c r="P6303" t="s">
        <v>53</v>
      </c>
      <c r="Q6303" t="s">
        <v>53</v>
      </c>
    </row>
    <row r="6304" spans="1:17" x14ac:dyDescent="0.2">
      <c r="A6304" s="30" t="str">
        <f>IF(C6304&amp;G6304&amp;D6304&lt;&gt;'Funnel setup'!$K$3&amp;'Funnel setup'!$K$4&amp;'Funnel setup'!$K$5,".",IF(A6303=".",1,A6303+1))</f>
        <v>.</v>
      </c>
      <c r="B6304" s="431" t="str">
        <f t="shared" si="98"/>
        <v>Varicose VeinCCG of GP PracticeNHS BRISTOL CCG (11H)Aberdeen Varicose Vein Questionnaire</v>
      </c>
      <c r="C6304" t="s">
        <v>17</v>
      </c>
      <c r="D6304" t="s">
        <v>87</v>
      </c>
      <c r="E6304" t="s">
        <v>701</v>
      </c>
      <c r="F6304" t="s">
        <v>702</v>
      </c>
      <c r="G6304" t="s">
        <v>0</v>
      </c>
      <c r="H6304">
        <v>6</v>
      </c>
      <c r="I6304">
        <v>27.213999999999999</v>
      </c>
      <c r="J6304">
        <v>20.75</v>
      </c>
      <c r="K6304">
        <v>-6.4640000000000004</v>
      </c>
      <c r="L6304">
        <v>4</v>
      </c>
      <c r="M6304">
        <v>0</v>
      </c>
      <c r="N6304">
        <v>2</v>
      </c>
      <c r="O6304" t="s">
        <v>53</v>
      </c>
      <c r="P6304" t="s">
        <v>53</v>
      </c>
      <c r="Q6304" t="s">
        <v>53</v>
      </c>
    </row>
    <row r="6305" spans="1:17" x14ac:dyDescent="0.2">
      <c r="A6305" s="30" t="str">
        <f>IF(C6305&amp;G6305&amp;D6305&lt;&gt;'Funnel setup'!$K$3&amp;'Funnel setup'!$K$4&amp;'Funnel setup'!$K$5,".",IF(A6304=".",1,A6304+1))</f>
        <v>.</v>
      </c>
      <c r="B6305" s="431" t="str">
        <f t="shared" si="98"/>
        <v>Varicose VeinCCG of GP PracticeNHS BROMLEY CCG (07Q)Aberdeen Varicose Vein Questionnaire</v>
      </c>
      <c r="C6305" t="s">
        <v>17</v>
      </c>
      <c r="D6305" t="s">
        <v>87</v>
      </c>
      <c r="E6305" t="s">
        <v>704</v>
      </c>
      <c r="F6305" t="s">
        <v>705</v>
      </c>
      <c r="G6305" t="s">
        <v>0</v>
      </c>
      <c r="H6305">
        <v>44</v>
      </c>
      <c r="I6305">
        <v>20.693000000000001</v>
      </c>
      <c r="J6305">
        <v>13.776</v>
      </c>
      <c r="K6305">
        <v>-6.9180000000000001</v>
      </c>
      <c r="L6305">
        <v>35</v>
      </c>
      <c r="M6305">
        <v>0</v>
      </c>
      <c r="N6305">
        <v>9</v>
      </c>
      <c r="O6305">
        <v>14.169</v>
      </c>
      <c r="P6305">
        <v>-6.7534582250000001</v>
      </c>
      <c r="Q6305">
        <v>16.419</v>
      </c>
    </row>
    <row r="6306" spans="1:17" x14ac:dyDescent="0.2">
      <c r="A6306" s="30" t="str">
        <f>IF(C6306&amp;G6306&amp;D6306&lt;&gt;'Funnel setup'!$K$3&amp;'Funnel setup'!$K$4&amp;'Funnel setup'!$K$5,".",IF(A6305=".",1,A6305+1))</f>
        <v>.</v>
      </c>
      <c r="B6306" s="431" t="str">
        <f t="shared" si="98"/>
        <v>Varicose VeinCCG of GP PracticeNHS BURY CCG (00V)Aberdeen Varicose Vein Questionnaire</v>
      </c>
      <c r="C6306" t="s">
        <v>17</v>
      </c>
      <c r="D6306" t="s">
        <v>87</v>
      </c>
      <c r="E6306" t="s">
        <v>707</v>
      </c>
      <c r="F6306" t="s">
        <v>708</v>
      </c>
      <c r="G6306" t="s">
        <v>0</v>
      </c>
      <c r="H6306" t="s">
        <v>53</v>
      </c>
      <c r="I6306" t="s">
        <v>53</v>
      </c>
      <c r="J6306" t="s">
        <v>53</v>
      </c>
      <c r="K6306" t="s">
        <v>53</v>
      </c>
      <c r="L6306" t="s">
        <v>53</v>
      </c>
      <c r="M6306" t="s">
        <v>53</v>
      </c>
      <c r="N6306" t="s">
        <v>53</v>
      </c>
      <c r="O6306" t="s">
        <v>53</v>
      </c>
      <c r="P6306" t="s">
        <v>53</v>
      </c>
      <c r="Q6306" t="s">
        <v>53</v>
      </c>
    </row>
    <row r="6307" spans="1:17" x14ac:dyDescent="0.2">
      <c r="A6307" s="30" t="str">
        <f>IF(C6307&amp;G6307&amp;D6307&lt;&gt;'Funnel setup'!$K$3&amp;'Funnel setup'!$K$4&amp;'Funnel setup'!$K$5,".",IF(A6306=".",1,A6306+1))</f>
        <v>.</v>
      </c>
      <c r="B6307" s="431" t="str">
        <f t="shared" si="98"/>
        <v>Varicose VeinCCG of GP PracticeNHS CALDERDALE CCG (02T)Aberdeen Varicose Vein Questionnaire</v>
      </c>
      <c r="C6307" t="s">
        <v>17</v>
      </c>
      <c r="D6307" t="s">
        <v>87</v>
      </c>
      <c r="E6307" t="s">
        <v>710</v>
      </c>
      <c r="F6307" t="s">
        <v>711</v>
      </c>
      <c r="G6307" t="s">
        <v>0</v>
      </c>
      <c r="H6307">
        <v>37</v>
      </c>
      <c r="I6307">
        <v>19.809000000000001</v>
      </c>
      <c r="J6307">
        <v>10.4</v>
      </c>
      <c r="K6307">
        <v>-9.41</v>
      </c>
      <c r="L6307">
        <v>32</v>
      </c>
      <c r="M6307">
        <v>0</v>
      </c>
      <c r="N6307">
        <v>5</v>
      </c>
      <c r="O6307">
        <v>9.5939999999999994</v>
      </c>
      <c r="P6307">
        <v>-11.32868942</v>
      </c>
      <c r="Q6307">
        <v>14.108000000000001</v>
      </c>
    </row>
    <row r="6308" spans="1:17" x14ac:dyDescent="0.2">
      <c r="A6308" s="30" t="str">
        <f>IF(C6308&amp;G6308&amp;D6308&lt;&gt;'Funnel setup'!$K$3&amp;'Funnel setup'!$K$4&amp;'Funnel setup'!$K$5,".",IF(A6307=".",1,A6307+1))</f>
        <v>.</v>
      </c>
      <c r="B6308" s="431" t="str">
        <f t="shared" si="98"/>
        <v>Varicose VeinCCG of GP PracticeNHS CAMBRIDGESHIRE AND PETERBOROUGH CCG (06H)Aberdeen Varicose Vein Questionnaire</v>
      </c>
      <c r="C6308" t="s">
        <v>17</v>
      </c>
      <c r="D6308" t="s">
        <v>87</v>
      </c>
      <c r="E6308" t="s">
        <v>713</v>
      </c>
      <c r="F6308" t="s">
        <v>714</v>
      </c>
      <c r="G6308" t="s">
        <v>0</v>
      </c>
      <c r="H6308">
        <v>33</v>
      </c>
      <c r="I6308">
        <v>22.411000000000001</v>
      </c>
      <c r="J6308">
        <v>10.234</v>
      </c>
      <c r="K6308">
        <v>-12.177</v>
      </c>
      <c r="L6308">
        <v>32</v>
      </c>
      <c r="M6308">
        <v>0</v>
      </c>
      <c r="N6308">
        <v>1</v>
      </c>
      <c r="O6308">
        <v>11.193</v>
      </c>
      <c r="P6308">
        <v>-9.7295699720000002</v>
      </c>
      <c r="Q6308">
        <v>14.742000000000001</v>
      </c>
    </row>
    <row r="6309" spans="1:17" x14ac:dyDescent="0.2">
      <c r="A6309" s="30" t="str">
        <f>IF(C6309&amp;G6309&amp;D6309&lt;&gt;'Funnel setup'!$K$3&amp;'Funnel setup'!$K$4&amp;'Funnel setup'!$K$5,".",IF(A6308=".",1,A6308+1))</f>
        <v>.</v>
      </c>
      <c r="B6309" s="431" t="str">
        <f t="shared" si="98"/>
        <v>Varicose VeinCCG of GP PracticeNHS CAMDEN CCG (07R)Aberdeen Varicose Vein Questionnaire</v>
      </c>
      <c r="C6309" t="s">
        <v>17</v>
      </c>
      <c r="D6309" t="s">
        <v>87</v>
      </c>
      <c r="E6309" t="s">
        <v>716</v>
      </c>
      <c r="F6309" t="s">
        <v>717</v>
      </c>
      <c r="G6309" t="s">
        <v>0</v>
      </c>
      <c r="H6309">
        <v>26</v>
      </c>
      <c r="I6309">
        <v>20.436</v>
      </c>
      <c r="J6309">
        <v>12.422000000000001</v>
      </c>
      <c r="K6309">
        <v>-8.0150000000000006</v>
      </c>
      <c r="L6309">
        <v>21</v>
      </c>
      <c r="M6309">
        <v>0</v>
      </c>
      <c r="N6309">
        <v>5</v>
      </c>
      <c r="O6309" t="s">
        <v>53</v>
      </c>
      <c r="P6309" t="s">
        <v>53</v>
      </c>
      <c r="Q6309" t="s">
        <v>53</v>
      </c>
    </row>
    <row r="6310" spans="1:17" x14ac:dyDescent="0.2">
      <c r="A6310" s="30" t="str">
        <f>IF(C6310&amp;G6310&amp;D6310&lt;&gt;'Funnel setup'!$K$3&amp;'Funnel setup'!$K$4&amp;'Funnel setup'!$K$5,".",IF(A6309=".",1,A6309+1))</f>
        <v>.</v>
      </c>
      <c r="B6310" s="431" t="str">
        <f t="shared" si="98"/>
        <v>Varicose VeinCCG of GP PracticeNHS CANNOCK CHASE CCG (04Y)Aberdeen Varicose Vein Questionnaire</v>
      </c>
      <c r="C6310" t="s">
        <v>17</v>
      </c>
      <c r="D6310" t="s">
        <v>87</v>
      </c>
      <c r="E6310" t="s">
        <v>719</v>
      </c>
      <c r="F6310" t="s">
        <v>720</v>
      </c>
      <c r="G6310" t="s">
        <v>0</v>
      </c>
      <c r="H6310">
        <v>19</v>
      </c>
      <c r="I6310">
        <v>19.279</v>
      </c>
      <c r="J6310">
        <v>9.0389999999999997</v>
      </c>
      <c r="K6310">
        <v>-10.24</v>
      </c>
      <c r="L6310">
        <v>16</v>
      </c>
      <c r="M6310">
        <v>0</v>
      </c>
      <c r="N6310">
        <v>3</v>
      </c>
      <c r="O6310" t="s">
        <v>53</v>
      </c>
      <c r="P6310" t="s">
        <v>53</v>
      </c>
      <c r="Q6310" t="s">
        <v>53</v>
      </c>
    </row>
    <row r="6311" spans="1:17" x14ac:dyDescent="0.2">
      <c r="A6311" s="30" t="str">
        <f>IF(C6311&amp;G6311&amp;D6311&lt;&gt;'Funnel setup'!$K$3&amp;'Funnel setup'!$K$4&amp;'Funnel setup'!$K$5,".",IF(A6310=".",1,A6310+1))</f>
        <v>.</v>
      </c>
      <c r="B6311" s="431" t="str">
        <f t="shared" si="98"/>
        <v>Varicose VeinCCG of GP PracticeNHS CASTLE POINT AND ROCHFORD CCG (99F)Aberdeen Varicose Vein Questionnaire</v>
      </c>
      <c r="C6311" t="s">
        <v>17</v>
      </c>
      <c r="D6311" t="s">
        <v>87</v>
      </c>
      <c r="E6311" t="s">
        <v>725</v>
      </c>
      <c r="F6311" t="s">
        <v>726</v>
      </c>
      <c r="G6311" t="s">
        <v>0</v>
      </c>
      <c r="H6311" t="s">
        <v>53</v>
      </c>
      <c r="I6311" t="s">
        <v>53</v>
      </c>
      <c r="J6311" t="s">
        <v>53</v>
      </c>
      <c r="K6311" t="s">
        <v>53</v>
      </c>
      <c r="L6311" t="s">
        <v>53</v>
      </c>
      <c r="M6311" t="s">
        <v>53</v>
      </c>
      <c r="N6311" t="s">
        <v>53</v>
      </c>
      <c r="O6311" t="s">
        <v>53</v>
      </c>
      <c r="P6311" t="s">
        <v>53</v>
      </c>
      <c r="Q6311" t="s">
        <v>53</v>
      </c>
    </row>
    <row r="6312" spans="1:17" x14ac:dyDescent="0.2">
      <c r="A6312" s="30" t="str">
        <f>IF(C6312&amp;G6312&amp;D6312&lt;&gt;'Funnel setup'!$K$3&amp;'Funnel setup'!$K$4&amp;'Funnel setup'!$K$5,".",IF(A6311=".",1,A6311+1))</f>
        <v>.</v>
      </c>
      <c r="B6312" s="431" t="str">
        <f t="shared" si="98"/>
        <v>Varicose VeinCCG of GP PracticeNHS CENTRAL LONDON (WESTMINSTER) CCG (09A)Aberdeen Varicose Vein Questionnaire</v>
      </c>
      <c r="C6312" t="s">
        <v>17</v>
      </c>
      <c r="D6312" t="s">
        <v>87</v>
      </c>
      <c r="E6312" t="s">
        <v>728</v>
      </c>
      <c r="F6312" t="s">
        <v>729</v>
      </c>
      <c r="G6312" t="s">
        <v>0</v>
      </c>
      <c r="H6312">
        <v>21</v>
      </c>
      <c r="I6312">
        <v>22.620999999999999</v>
      </c>
      <c r="J6312">
        <v>13.715999999999999</v>
      </c>
      <c r="K6312">
        <v>-8.9049999999999994</v>
      </c>
      <c r="L6312">
        <v>19</v>
      </c>
      <c r="M6312">
        <v>0</v>
      </c>
      <c r="N6312">
        <v>2</v>
      </c>
      <c r="O6312" t="s">
        <v>53</v>
      </c>
      <c r="P6312" t="s">
        <v>53</v>
      </c>
      <c r="Q6312" t="s">
        <v>53</v>
      </c>
    </row>
    <row r="6313" spans="1:17" x14ac:dyDescent="0.2">
      <c r="A6313" s="30" t="str">
        <f>IF(C6313&amp;G6313&amp;D6313&lt;&gt;'Funnel setup'!$K$3&amp;'Funnel setup'!$K$4&amp;'Funnel setup'!$K$5,".",IF(A6312=".",1,A6312+1))</f>
        <v>.</v>
      </c>
      <c r="B6313" s="431" t="str">
        <f t="shared" si="98"/>
        <v>Varicose VeinCCG of GP PracticeNHS CENTRAL MANCHESTER CCG (00W)Aberdeen Varicose Vein Questionnaire</v>
      </c>
      <c r="C6313" t="s">
        <v>17</v>
      </c>
      <c r="D6313" t="s">
        <v>87</v>
      </c>
      <c r="E6313" t="s">
        <v>731</v>
      </c>
      <c r="F6313" t="s">
        <v>732</v>
      </c>
      <c r="G6313" t="s">
        <v>0</v>
      </c>
      <c r="H6313" t="s">
        <v>53</v>
      </c>
      <c r="I6313" t="s">
        <v>53</v>
      </c>
      <c r="J6313" t="s">
        <v>53</v>
      </c>
      <c r="K6313" t="s">
        <v>53</v>
      </c>
      <c r="L6313" t="s">
        <v>53</v>
      </c>
      <c r="M6313" t="s">
        <v>53</v>
      </c>
      <c r="N6313" t="s">
        <v>53</v>
      </c>
      <c r="O6313" t="s">
        <v>53</v>
      </c>
      <c r="P6313" t="s">
        <v>53</v>
      </c>
      <c r="Q6313" t="s">
        <v>53</v>
      </c>
    </row>
    <row r="6314" spans="1:17" x14ac:dyDescent="0.2">
      <c r="A6314" s="30" t="str">
        <f>IF(C6314&amp;G6314&amp;D6314&lt;&gt;'Funnel setup'!$K$3&amp;'Funnel setup'!$K$4&amp;'Funnel setup'!$K$5,".",IF(A6313=".",1,A6313+1))</f>
        <v>.</v>
      </c>
      <c r="B6314" s="431" t="str">
        <f t="shared" si="98"/>
        <v>Varicose VeinCCG of GP PracticeNHS CHILTERN CCG (10H)Aberdeen Varicose Vein Questionnaire</v>
      </c>
      <c r="C6314" t="s">
        <v>17</v>
      </c>
      <c r="D6314" t="s">
        <v>87</v>
      </c>
      <c r="E6314" t="s">
        <v>734</v>
      </c>
      <c r="F6314" t="s">
        <v>735</v>
      </c>
      <c r="G6314" t="s">
        <v>0</v>
      </c>
      <c r="H6314">
        <v>25</v>
      </c>
      <c r="I6314">
        <v>19.579999999999998</v>
      </c>
      <c r="J6314">
        <v>12.156000000000001</v>
      </c>
      <c r="K6314">
        <v>-7.4240000000000004</v>
      </c>
      <c r="L6314">
        <v>20</v>
      </c>
      <c r="M6314">
        <v>0</v>
      </c>
      <c r="N6314">
        <v>5</v>
      </c>
      <c r="O6314" t="s">
        <v>53</v>
      </c>
      <c r="P6314" t="s">
        <v>53</v>
      </c>
      <c r="Q6314" t="s">
        <v>53</v>
      </c>
    </row>
    <row r="6315" spans="1:17" x14ac:dyDescent="0.2">
      <c r="A6315" s="30" t="str">
        <f>IF(C6315&amp;G6315&amp;D6315&lt;&gt;'Funnel setup'!$K$3&amp;'Funnel setup'!$K$4&amp;'Funnel setup'!$K$5,".",IF(A6314=".",1,A6314+1))</f>
        <v>.</v>
      </c>
      <c r="B6315" s="431" t="str">
        <f t="shared" si="98"/>
        <v>Varicose VeinCCG of GP PracticeNHS CHORLEY AND SOUTH RIBBLE CCG (00X)Aberdeen Varicose Vein Questionnaire</v>
      </c>
      <c r="C6315" t="s">
        <v>17</v>
      </c>
      <c r="D6315" t="s">
        <v>87</v>
      </c>
      <c r="E6315" t="s">
        <v>737</v>
      </c>
      <c r="F6315" t="s">
        <v>738</v>
      </c>
      <c r="G6315" t="s">
        <v>0</v>
      </c>
      <c r="H6315">
        <v>20</v>
      </c>
      <c r="I6315">
        <v>16.791</v>
      </c>
      <c r="J6315">
        <v>9.6579999999999995</v>
      </c>
      <c r="K6315">
        <v>-7.133</v>
      </c>
      <c r="L6315">
        <v>18</v>
      </c>
      <c r="M6315">
        <v>0</v>
      </c>
      <c r="N6315">
        <v>2</v>
      </c>
      <c r="O6315" t="s">
        <v>53</v>
      </c>
      <c r="P6315" t="s">
        <v>53</v>
      </c>
      <c r="Q6315" t="s">
        <v>53</v>
      </c>
    </row>
    <row r="6316" spans="1:17" x14ac:dyDescent="0.2">
      <c r="A6316" s="30" t="str">
        <f>IF(C6316&amp;G6316&amp;D6316&lt;&gt;'Funnel setup'!$K$3&amp;'Funnel setup'!$K$4&amp;'Funnel setup'!$K$5,".",IF(A6315=".",1,A6315+1))</f>
        <v>.</v>
      </c>
      <c r="B6316" s="431" t="str">
        <f t="shared" si="98"/>
        <v>Varicose VeinCCG of GP PracticeNHS CITY AND HACKNEY CCG (07T)Aberdeen Varicose Vein Questionnaire</v>
      </c>
      <c r="C6316" t="s">
        <v>17</v>
      </c>
      <c r="D6316" t="s">
        <v>87</v>
      </c>
      <c r="E6316" t="s">
        <v>740</v>
      </c>
      <c r="F6316" t="s">
        <v>741</v>
      </c>
      <c r="G6316" t="s">
        <v>0</v>
      </c>
      <c r="H6316">
        <v>14</v>
      </c>
      <c r="I6316">
        <v>20.954000000000001</v>
      </c>
      <c r="J6316">
        <v>13.824999999999999</v>
      </c>
      <c r="K6316">
        <v>-7.13</v>
      </c>
      <c r="L6316">
        <v>10</v>
      </c>
      <c r="M6316">
        <v>0</v>
      </c>
      <c r="N6316">
        <v>4</v>
      </c>
      <c r="O6316" t="s">
        <v>53</v>
      </c>
      <c r="P6316" t="s">
        <v>53</v>
      </c>
      <c r="Q6316" t="s">
        <v>53</v>
      </c>
    </row>
    <row r="6317" spans="1:17" x14ac:dyDescent="0.2">
      <c r="A6317" s="30" t="str">
        <f>IF(C6317&amp;G6317&amp;D6317&lt;&gt;'Funnel setup'!$K$3&amp;'Funnel setup'!$K$4&amp;'Funnel setup'!$K$5,".",IF(A6316=".",1,A6316+1))</f>
        <v>.</v>
      </c>
      <c r="B6317" s="431" t="str">
        <f t="shared" si="98"/>
        <v>Varicose VeinCCG of GP PracticeNHS COASTAL WEST SUSSEX CCG (09G)Aberdeen Varicose Vein Questionnaire</v>
      </c>
      <c r="C6317" t="s">
        <v>17</v>
      </c>
      <c r="D6317" t="s">
        <v>87</v>
      </c>
      <c r="E6317" t="s">
        <v>743</v>
      </c>
      <c r="F6317" t="s">
        <v>744</v>
      </c>
      <c r="G6317" t="s">
        <v>0</v>
      </c>
      <c r="H6317">
        <v>18</v>
      </c>
      <c r="I6317">
        <v>22.239000000000001</v>
      </c>
      <c r="J6317">
        <v>13.506</v>
      </c>
      <c r="K6317">
        <v>-8.7330000000000005</v>
      </c>
      <c r="L6317">
        <v>15</v>
      </c>
      <c r="M6317">
        <v>0</v>
      </c>
      <c r="N6317">
        <v>3</v>
      </c>
      <c r="O6317" t="s">
        <v>53</v>
      </c>
      <c r="P6317" t="s">
        <v>53</v>
      </c>
      <c r="Q6317" t="s">
        <v>53</v>
      </c>
    </row>
    <row r="6318" spans="1:17" x14ac:dyDescent="0.2">
      <c r="A6318" s="30" t="str">
        <f>IF(C6318&amp;G6318&amp;D6318&lt;&gt;'Funnel setup'!$K$3&amp;'Funnel setup'!$K$4&amp;'Funnel setup'!$K$5,".",IF(A6317=".",1,A6317+1))</f>
        <v>.</v>
      </c>
      <c r="B6318" s="431" t="str">
        <f t="shared" si="98"/>
        <v>Varicose VeinCCG of GP PracticeNHS COVENTRY AND RUGBY CCG (05A)Aberdeen Varicose Vein Questionnaire</v>
      </c>
      <c r="C6318" t="s">
        <v>17</v>
      </c>
      <c r="D6318" t="s">
        <v>87</v>
      </c>
      <c r="E6318" t="s">
        <v>749</v>
      </c>
      <c r="F6318" t="s">
        <v>750</v>
      </c>
      <c r="G6318" t="s">
        <v>0</v>
      </c>
      <c r="H6318">
        <v>15</v>
      </c>
      <c r="I6318">
        <v>21.395</v>
      </c>
      <c r="J6318">
        <v>14.51</v>
      </c>
      <c r="K6318">
        <v>-6.8849999999999998</v>
      </c>
      <c r="L6318">
        <v>13</v>
      </c>
      <c r="M6318">
        <v>0</v>
      </c>
      <c r="N6318">
        <v>2</v>
      </c>
      <c r="O6318" t="s">
        <v>53</v>
      </c>
      <c r="P6318" t="s">
        <v>53</v>
      </c>
      <c r="Q6318" t="s">
        <v>53</v>
      </c>
    </row>
    <row r="6319" spans="1:17" x14ac:dyDescent="0.2">
      <c r="A6319" s="30" t="str">
        <f>IF(C6319&amp;G6319&amp;D6319&lt;&gt;'Funnel setup'!$K$3&amp;'Funnel setup'!$K$4&amp;'Funnel setup'!$K$5,".",IF(A6318=".",1,A6318+1))</f>
        <v>.</v>
      </c>
      <c r="B6319" s="431" t="str">
        <f t="shared" si="98"/>
        <v>Varicose VeinCCG of GP PracticeNHS CRAWLEY CCG (09H)Aberdeen Varicose Vein Questionnaire</v>
      </c>
      <c r="C6319" t="s">
        <v>17</v>
      </c>
      <c r="D6319" t="s">
        <v>87</v>
      </c>
      <c r="E6319" t="s">
        <v>752</v>
      </c>
      <c r="F6319" t="s">
        <v>753</v>
      </c>
      <c r="G6319" t="s">
        <v>0</v>
      </c>
      <c r="H6319">
        <v>19</v>
      </c>
      <c r="I6319">
        <v>26.151</v>
      </c>
      <c r="J6319">
        <v>14.62</v>
      </c>
      <c r="K6319">
        <v>-11.531000000000001</v>
      </c>
      <c r="L6319">
        <v>15</v>
      </c>
      <c r="M6319">
        <v>0</v>
      </c>
      <c r="N6319">
        <v>4</v>
      </c>
      <c r="O6319" t="s">
        <v>53</v>
      </c>
      <c r="P6319" t="s">
        <v>53</v>
      </c>
      <c r="Q6319" t="s">
        <v>53</v>
      </c>
    </row>
    <row r="6320" spans="1:17" x14ac:dyDescent="0.2">
      <c r="A6320" s="30" t="str">
        <f>IF(C6320&amp;G6320&amp;D6320&lt;&gt;'Funnel setup'!$K$3&amp;'Funnel setup'!$K$4&amp;'Funnel setup'!$K$5,".",IF(A6319=".",1,A6319+1))</f>
        <v>.</v>
      </c>
      <c r="B6320" s="431" t="str">
        <f t="shared" si="98"/>
        <v>Varicose VeinCCG of GP PracticeNHS CROYDON CCG (07V)Aberdeen Varicose Vein Questionnaire</v>
      </c>
      <c r="C6320" t="s">
        <v>17</v>
      </c>
      <c r="D6320" t="s">
        <v>87</v>
      </c>
      <c r="E6320" t="s">
        <v>755</v>
      </c>
      <c r="F6320" t="s">
        <v>756</v>
      </c>
      <c r="G6320" t="s">
        <v>0</v>
      </c>
      <c r="H6320" t="s">
        <v>53</v>
      </c>
      <c r="I6320" t="s">
        <v>53</v>
      </c>
      <c r="J6320" t="s">
        <v>53</v>
      </c>
      <c r="K6320" t="s">
        <v>53</v>
      </c>
      <c r="L6320" t="s">
        <v>53</v>
      </c>
      <c r="M6320" t="s">
        <v>53</v>
      </c>
      <c r="N6320" t="s">
        <v>53</v>
      </c>
      <c r="O6320" t="s">
        <v>53</v>
      </c>
      <c r="P6320" t="s">
        <v>53</v>
      </c>
      <c r="Q6320" t="s">
        <v>53</v>
      </c>
    </row>
    <row r="6321" spans="1:17" x14ac:dyDescent="0.2">
      <c r="A6321" s="30" t="str">
        <f>IF(C6321&amp;G6321&amp;D6321&lt;&gt;'Funnel setup'!$K$3&amp;'Funnel setup'!$K$4&amp;'Funnel setup'!$K$5,".",IF(A6320=".",1,A6320+1))</f>
        <v>.</v>
      </c>
      <c r="B6321" s="431" t="str">
        <f t="shared" si="98"/>
        <v>Varicose VeinCCG of GP PracticeNHS CUMBRIA CCG (01H)Aberdeen Varicose Vein Questionnaire</v>
      </c>
      <c r="C6321" t="s">
        <v>17</v>
      </c>
      <c r="D6321" t="s">
        <v>87</v>
      </c>
      <c r="E6321" t="s">
        <v>758</v>
      </c>
      <c r="F6321" t="s">
        <v>759</v>
      </c>
      <c r="G6321" t="s">
        <v>0</v>
      </c>
      <c r="H6321">
        <v>59</v>
      </c>
      <c r="I6321">
        <v>20.667999999999999</v>
      </c>
      <c r="J6321">
        <v>9.6479999999999997</v>
      </c>
      <c r="K6321">
        <v>-11.02</v>
      </c>
      <c r="L6321">
        <v>56</v>
      </c>
      <c r="M6321">
        <v>0</v>
      </c>
      <c r="N6321">
        <v>3</v>
      </c>
      <c r="O6321">
        <v>8.7769999999999992</v>
      </c>
      <c r="P6321">
        <v>-12.145177739999999</v>
      </c>
      <c r="Q6321">
        <v>12.18</v>
      </c>
    </row>
    <row r="6322" spans="1:17" x14ac:dyDescent="0.2">
      <c r="A6322" s="30" t="str">
        <f>IF(C6322&amp;G6322&amp;D6322&lt;&gt;'Funnel setup'!$K$3&amp;'Funnel setup'!$K$4&amp;'Funnel setup'!$K$5,".",IF(A6321=".",1,A6321+1))</f>
        <v>.</v>
      </c>
      <c r="B6322" s="431" t="str">
        <f t="shared" si="98"/>
        <v>Varicose VeinCCG of GP PracticeNHS DARLINGTON CCG (00C)Aberdeen Varicose Vein Questionnaire</v>
      </c>
      <c r="C6322" t="s">
        <v>17</v>
      </c>
      <c r="D6322" t="s">
        <v>87</v>
      </c>
      <c r="E6322" t="s">
        <v>761</v>
      </c>
      <c r="F6322" t="s">
        <v>762</v>
      </c>
      <c r="G6322" t="s">
        <v>0</v>
      </c>
      <c r="H6322">
        <v>6</v>
      </c>
      <c r="I6322">
        <v>15.669</v>
      </c>
      <c r="J6322">
        <v>8.0510000000000002</v>
      </c>
      <c r="K6322">
        <v>-7.6180000000000003</v>
      </c>
      <c r="L6322">
        <v>5</v>
      </c>
      <c r="M6322">
        <v>0</v>
      </c>
      <c r="N6322">
        <v>1</v>
      </c>
      <c r="O6322" t="s">
        <v>53</v>
      </c>
      <c r="P6322" t="s">
        <v>53</v>
      </c>
      <c r="Q6322" t="s">
        <v>53</v>
      </c>
    </row>
    <row r="6323" spans="1:17" x14ac:dyDescent="0.2">
      <c r="A6323" s="30" t="str">
        <f>IF(C6323&amp;G6323&amp;D6323&lt;&gt;'Funnel setup'!$K$3&amp;'Funnel setup'!$K$4&amp;'Funnel setup'!$K$5,".",IF(A6322=".",1,A6322+1))</f>
        <v>.</v>
      </c>
      <c r="B6323" s="431" t="str">
        <f t="shared" si="98"/>
        <v>Varicose VeinCCG of GP PracticeNHS DARTFORD, GRAVESHAM AND SWANLEY CCG (09J)Aberdeen Varicose Vein Questionnaire</v>
      </c>
      <c r="C6323" t="s">
        <v>17</v>
      </c>
      <c r="D6323" t="s">
        <v>87</v>
      </c>
      <c r="E6323" t="s">
        <v>764</v>
      </c>
      <c r="F6323" t="s">
        <v>765</v>
      </c>
      <c r="G6323" t="s">
        <v>0</v>
      </c>
      <c r="H6323" t="s">
        <v>53</v>
      </c>
      <c r="I6323" t="s">
        <v>53</v>
      </c>
      <c r="J6323" t="s">
        <v>53</v>
      </c>
      <c r="K6323" t="s">
        <v>53</v>
      </c>
      <c r="L6323" t="s">
        <v>53</v>
      </c>
      <c r="M6323" t="s">
        <v>53</v>
      </c>
      <c r="N6323" t="s">
        <v>53</v>
      </c>
      <c r="O6323" t="s">
        <v>53</v>
      </c>
      <c r="P6323" t="s">
        <v>53</v>
      </c>
      <c r="Q6323" t="s">
        <v>53</v>
      </c>
    </row>
    <row r="6324" spans="1:17" x14ac:dyDescent="0.2">
      <c r="A6324" s="30" t="str">
        <f>IF(C6324&amp;G6324&amp;D6324&lt;&gt;'Funnel setup'!$K$3&amp;'Funnel setup'!$K$4&amp;'Funnel setup'!$K$5,".",IF(A6323=".",1,A6323+1))</f>
        <v>.</v>
      </c>
      <c r="B6324" s="431" t="str">
        <f t="shared" si="98"/>
        <v>Varicose VeinCCG of GP PracticeNHS DONCASTER CCG (02X)Aberdeen Varicose Vein Questionnaire</v>
      </c>
      <c r="C6324" t="s">
        <v>17</v>
      </c>
      <c r="D6324" t="s">
        <v>87</v>
      </c>
      <c r="E6324" t="s">
        <v>767</v>
      </c>
      <c r="F6324" t="s">
        <v>768</v>
      </c>
      <c r="G6324" t="s">
        <v>0</v>
      </c>
      <c r="H6324">
        <v>18</v>
      </c>
      <c r="I6324">
        <v>21.623999999999999</v>
      </c>
      <c r="J6324">
        <v>11.327</v>
      </c>
      <c r="K6324">
        <v>-10.297000000000001</v>
      </c>
      <c r="L6324">
        <v>16</v>
      </c>
      <c r="M6324">
        <v>0</v>
      </c>
      <c r="N6324">
        <v>2</v>
      </c>
      <c r="O6324" t="s">
        <v>53</v>
      </c>
      <c r="P6324" t="s">
        <v>53</v>
      </c>
      <c r="Q6324" t="s">
        <v>53</v>
      </c>
    </row>
    <row r="6325" spans="1:17" x14ac:dyDescent="0.2">
      <c r="A6325" s="30" t="str">
        <f>IF(C6325&amp;G6325&amp;D6325&lt;&gt;'Funnel setup'!$K$3&amp;'Funnel setup'!$K$4&amp;'Funnel setup'!$K$5,".",IF(A6324=".",1,A6324+1))</f>
        <v>.</v>
      </c>
      <c r="B6325" s="431" t="str">
        <f t="shared" si="98"/>
        <v>Varicose VeinCCG of GP PracticeNHS DORSET CCG (11J)Aberdeen Varicose Vein Questionnaire</v>
      </c>
      <c r="C6325" t="s">
        <v>17</v>
      </c>
      <c r="D6325" t="s">
        <v>87</v>
      </c>
      <c r="E6325" t="s">
        <v>854</v>
      </c>
      <c r="F6325" t="s">
        <v>855</v>
      </c>
      <c r="G6325" t="s">
        <v>0</v>
      </c>
      <c r="H6325">
        <v>53</v>
      </c>
      <c r="I6325">
        <v>21.276</v>
      </c>
      <c r="J6325">
        <v>12.055</v>
      </c>
      <c r="K6325">
        <v>-9.2210000000000001</v>
      </c>
      <c r="L6325">
        <v>41</v>
      </c>
      <c r="M6325">
        <v>0</v>
      </c>
      <c r="N6325">
        <v>12</v>
      </c>
      <c r="O6325">
        <v>12.215</v>
      </c>
      <c r="P6325">
        <v>-8.7079528820000007</v>
      </c>
      <c r="Q6325">
        <v>17.247</v>
      </c>
    </row>
    <row r="6326" spans="1:17" x14ac:dyDescent="0.2">
      <c r="A6326" s="30" t="str">
        <f>IF(C6326&amp;G6326&amp;D6326&lt;&gt;'Funnel setup'!$K$3&amp;'Funnel setup'!$K$4&amp;'Funnel setup'!$K$5,".",IF(A6325=".",1,A6325+1))</f>
        <v>.</v>
      </c>
      <c r="B6326" s="431" t="str">
        <f t="shared" si="98"/>
        <v>Varicose VeinCCG of GP PracticeNHS DUDLEY CCG (05C)Aberdeen Varicose Vein Questionnaire</v>
      </c>
      <c r="C6326" t="s">
        <v>17</v>
      </c>
      <c r="D6326" t="s">
        <v>87</v>
      </c>
      <c r="E6326" t="s">
        <v>857</v>
      </c>
      <c r="F6326" t="s">
        <v>858</v>
      </c>
      <c r="G6326" t="s">
        <v>0</v>
      </c>
      <c r="H6326">
        <v>104</v>
      </c>
      <c r="I6326">
        <v>20.004000000000001</v>
      </c>
      <c r="J6326">
        <v>12.635</v>
      </c>
      <c r="K6326">
        <v>-7.3680000000000003</v>
      </c>
      <c r="L6326">
        <v>86</v>
      </c>
      <c r="M6326">
        <v>0</v>
      </c>
      <c r="N6326">
        <v>18</v>
      </c>
      <c r="O6326">
        <v>12.308999999999999</v>
      </c>
      <c r="P6326">
        <v>-8.6137311990000001</v>
      </c>
      <c r="Q6326">
        <v>16.277000000000001</v>
      </c>
    </row>
    <row r="6327" spans="1:17" x14ac:dyDescent="0.2">
      <c r="A6327" s="30" t="str">
        <f>IF(C6327&amp;G6327&amp;D6327&lt;&gt;'Funnel setup'!$K$3&amp;'Funnel setup'!$K$4&amp;'Funnel setup'!$K$5,".",IF(A6326=".",1,A6326+1))</f>
        <v>.</v>
      </c>
      <c r="B6327" s="431" t="str">
        <f t="shared" si="98"/>
        <v>Varicose VeinCCG of GP PracticeNHS DURHAM DALES, EASINGTON AND SEDGEFIELD CCG (00D)Aberdeen Varicose Vein Questionnaire</v>
      </c>
      <c r="C6327" t="s">
        <v>17</v>
      </c>
      <c r="D6327" t="s">
        <v>87</v>
      </c>
      <c r="E6327" t="s">
        <v>860</v>
      </c>
      <c r="F6327" t="s">
        <v>861</v>
      </c>
      <c r="G6327" t="s">
        <v>0</v>
      </c>
      <c r="H6327">
        <v>39</v>
      </c>
      <c r="I6327">
        <v>18.291</v>
      </c>
      <c r="J6327">
        <v>9.5280000000000005</v>
      </c>
      <c r="K6327">
        <v>-8.7629999999999999</v>
      </c>
      <c r="L6327">
        <v>35</v>
      </c>
      <c r="M6327">
        <v>0</v>
      </c>
      <c r="N6327">
        <v>4</v>
      </c>
      <c r="O6327">
        <v>8.32</v>
      </c>
      <c r="P6327">
        <v>-12.602884169999999</v>
      </c>
      <c r="Q6327">
        <v>13.061</v>
      </c>
    </row>
    <row r="6328" spans="1:17" x14ac:dyDescent="0.2">
      <c r="A6328" s="30" t="str">
        <f>IF(C6328&amp;G6328&amp;D6328&lt;&gt;'Funnel setup'!$K$3&amp;'Funnel setup'!$K$4&amp;'Funnel setup'!$K$5,".",IF(A6327=".",1,A6327+1))</f>
        <v>.</v>
      </c>
      <c r="B6328" s="431" t="str">
        <f t="shared" si="98"/>
        <v>Varicose VeinCCG of GP PracticeNHS EALING CCG (07W)Aberdeen Varicose Vein Questionnaire</v>
      </c>
      <c r="C6328" t="s">
        <v>17</v>
      </c>
      <c r="D6328" t="s">
        <v>87</v>
      </c>
      <c r="E6328" t="s">
        <v>863</v>
      </c>
      <c r="F6328" t="s">
        <v>864</v>
      </c>
      <c r="G6328" t="s">
        <v>0</v>
      </c>
      <c r="H6328">
        <v>28</v>
      </c>
      <c r="I6328">
        <v>25.76</v>
      </c>
      <c r="J6328">
        <v>21.044</v>
      </c>
      <c r="K6328">
        <v>-4.7160000000000002</v>
      </c>
      <c r="L6328">
        <v>20</v>
      </c>
      <c r="M6328">
        <v>0</v>
      </c>
      <c r="N6328">
        <v>8</v>
      </c>
      <c r="O6328" t="s">
        <v>53</v>
      </c>
      <c r="P6328" t="s">
        <v>53</v>
      </c>
      <c r="Q6328" t="s">
        <v>53</v>
      </c>
    </row>
    <row r="6329" spans="1:17" x14ac:dyDescent="0.2">
      <c r="A6329" s="30" t="str">
        <f>IF(C6329&amp;G6329&amp;D6329&lt;&gt;'Funnel setup'!$K$3&amp;'Funnel setup'!$K$4&amp;'Funnel setup'!$K$5,".",IF(A6328=".",1,A6328+1))</f>
        <v>.</v>
      </c>
      <c r="B6329" s="431" t="str">
        <f t="shared" si="98"/>
        <v>Varicose VeinCCG of GP PracticeNHS EAST AND NORTH HERTFORDSHIRE CCG (06K)Aberdeen Varicose Vein Questionnaire</v>
      </c>
      <c r="C6329" t="s">
        <v>17</v>
      </c>
      <c r="D6329" t="s">
        <v>87</v>
      </c>
      <c r="E6329" t="s">
        <v>866</v>
      </c>
      <c r="F6329" t="s">
        <v>867</v>
      </c>
      <c r="G6329" t="s">
        <v>0</v>
      </c>
      <c r="H6329">
        <v>31</v>
      </c>
      <c r="I6329">
        <v>22.678000000000001</v>
      </c>
      <c r="J6329">
        <v>12.941000000000001</v>
      </c>
      <c r="K6329">
        <v>-9.7370000000000001</v>
      </c>
      <c r="L6329">
        <v>27</v>
      </c>
      <c r="M6329">
        <v>0</v>
      </c>
      <c r="N6329">
        <v>4</v>
      </c>
      <c r="O6329">
        <v>14.064</v>
      </c>
      <c r="P6329">
        <v>-6.85801806</v>
      </c>
      <c r="Q6329">
        <v>12.465</v>
      </c>
    </row>
    <row r="6330" spans="1:17" x14ac:dyDescent="0.2">
      <c r="A6330" s="30" t="str">
        <f>IF(C6330&amp;G6330&amp;D6330&lt;&gt;'Funnel setup'!$K$3&amp;'Funnel setup'!$K$4&amp;'Funnel setup'!$K$5,".",IF(A6329=".",1,A6329+1))</f>
        <v>.</v>
      </c>
      <c r="B6330" s="431" t="str">
        <f t="shared" si="98"/>
        <v>Varicose VeinCCG of GP PracticeNHS EAST LANCASHIRE CCG (01A)Aberdeen Varicose Vein Questionnaire</v>
      </c>
      <c r="C6330" t="s">
        <v>17</v>
      </c>
      <c r="D6330" t="s">
        <v>87</v>
      </c>
      <c r="E6330" t="s">
        <v>869</v>
      </c>
      <c r="F6330" t="s">
        <v>870</v>
      </c>
      <c r="G6330" t="s">
        <v>0</v>
      </c>
      <c r="H6330">
        <v>97</v>
      </c>
      <c r="I6330">
        <v>18.928000000000001</v>
      </c>
      <c r="J6330">
        <v>10.686</v>
      </c>
      <c r="K6330">
        <v>-8.2420000000000009</v>
      </c>
      <c r="L6330">
        <v>84</v>
      </c>
      <c r="M6330">
        <v>1</v>
      </c>
      <c r="N6330">
        <v>12</v>
      </c>
      <c r="O6330">
        <v>9.8770000000000007</v>
      </c>
      <c r="P6330">
        <v>-11.04506398</v>
      </c>
      <c r="Q6330">
        <v>13.814</v>
      </c>
    </row>
    <row r="6331" spans="1:17" x14ac:dyDescent="0.2">
      <c r="A6331" s="30" t="str">
        <f>IF(C6331&amp;G6331&amp;D6331&lt;&gt;'Funnel setup'!$K$3&amp;'Funnel setup'!$K$4&amp;'Funnel setup'!$K$5,".",IF(A6330=".",1,A6330+1))</f>
        <v>.</v>
      </c>
      <c r="B6331" s="431" t="str">
        <f t="shared" si="98"/>
        <v>Varicose VeinCCG of GP PracticeNHS EAST LEICESTERSHIRE AND RUTLAND CCG (03W)Aberdeen Varicose Vein Questionnaire</v>
      </c>
      <c r="C6331" t="s">
        <v>17</v>
      </c>
      <c r="D6331" t="s">
        <v>87</v>
      </c>
      <c r="E6331" t="s">
        <v>872</v>
      </c>
      <c r="F6331" t="s">
        <v>873</v>
      </c>
      <c r="G6331" t="s">
        <v>0</v>
      </c>
      <c r="H6331">
        <v>22</v>
      </c>
      <c r="I6331">
        <v>19.875</v>
      </c>
      <c r="J6331">
        <v>10.88</v>
      </c>
      <c r="K6331">
        <v>-8.9939999999999998</v>
      </c>
      <c r="L6331">
        <v>19</v>
      </c>
      <c r="M6331">
        <v>0</v>
      </c>
      <c r="N6331">
        <v>3</v>
      </c>
      <c r="O6331" t="s">
        <v>53</v>
      </c>
      <c r="P6331" t="s">
        <v>53</v>
      </c>
      <c r="Q6331" t="s">
        <v>53</v>
      </c>
    </row>
    <row r="6332" spans="1:17" x14ac:dyDescent="0.2">
      <c r="A6332" s="30" t="str">
        <f>IF(C6332&amp;G6332&amp;D6332&lt;&gt;'Funnel setup'!$K$3&amp;'Funnel setup'!$K$4&amp;'Funnel setup'!$K$5,".",IF(A6331=".",1,A6331+1))</f>
        <v>.</v>
      </c>
      <c r="B6332" s="431" t="str">
        <f t="shared" si="98"/>
        <v>Varicose VeinCCG of GP PracticeNHS EAST RIDING OF YORKSHIRE CCG (02Y)Aberdeen Varicose Vein Questionnaire</v>
      </c>
      <c r="C6332" t="s">
        <v>17</v>
      </c>
      <c r="D6332" t="s">
        <v>87</v>
      </c>
      <c r="E6332" t="s">
        <v>875</v>
      </c>
      <c r="F6332" t="s">
        <v>876</v>
      </c>
      <c r="G6332" t="s">
        <v>0</v>
      </c>
      <c r="H6332">
        <v>60</v>
      </c>
      <c r="I6332">
        <v>20.257000000000001</v>
      </c>
      <c r="J6332">
        <v>8.7330000000000005</v>
      </c>
      <c r="K6332">
        <v>-11.523999999999999</v>
      </c>
      <c r="L6332">
        <v>53</v>
      </c>
      <c r="M6332">
        <v>0</v>
      </c>
      <c r="N6332">
        <v>7</v>
      </c>
      <c r="O6332">
        <v>8.2050000000000001</v>
      </c>
      <c r="P6332">
        <v>-12.717445619999999</v>
      </c>
      <c r="Q6332">
        <v>12.656000000000001</v>
      </c>
    </row>
    <row r="6333" spans="1:17" x14ac:dyDescent="0.2">
      <c r="A6333" s="30" t="str">
        <f>IF(C6333&amp;G6333&amp;D6333&lt;&gt;'Funnel setup'!$K$3&amp;'Funnel setup'!$K$4&amp;'Funnel setup'!$K$5,".",IF(A6332=".",1,A6332+1))</f>
        <v>.</v>
      </c>
      <c r="B6333" s="431" t="str">
        <f t="shared" si="98"/>
        <v>Varicose VeinCCG of GP PracticeNHS EAST STAFFORDSHIRE CCG (05D)Aberdeen Varicose Vein Questionnaire</v>
      </c>
      <c r="C6333" t="s">
        <v>17</v>
      </c>
      <c r="D6333" t="s">
        <v>87</v>
      </c>
      <c r="E6333" t="s">
        <v>878</v>
      </c>
      <c r="F6333" t="s">
        <v>879</v>
      </c>
      <c r="G6333" t="s">
        <v>0</v>
      </c>
      <c r="H6333">
        <v>8</v>
      </c>
      <c r="I6333">
        <v>14.144</v>
      </c>
      <c r="J6333">
        <v>8.3759999999999994</v>
      </c>
      <c r="K6333">
        <v>-5.7679999999999998</v>
      </c>
      <c r="L6333">
        <v>6</v>
      </c>
      <c r="M6333">
        <v>0</v>
      </c>
      <c r="N6333">
        <v>2</v>
      </c>
      <c r="O6333" t="s">
        <v>53</v>
      </c>
      <c r="P6333" t="s">
        <v>53</v>
      </c>
      <c r="Q6333" t="s">
        <v>53</v>
      </c>
    </row>
    <row r="6334" spans="1:17" x14ac:dyDescent="0.2">
      <c r="A6334" s="30" t="str">
        <f>IF(C6334&amp;G6334&amp;D6334&lt;&gt;'Funnel setup'!$K$3&amp;'Funnel setup'!$K$4&amp;'Funnel setup'!$K$5,".",IF(A6333=".",1,A6333+1))</f>
        <v>.</v>
      </c>
      <c r="B6334" s="431" t="str">
        <f t="shared" si="98"/>
        <v>Varicose VeinCCG of GP PracticeNHS EAST SURREY CCG (09L)Aberdeen Varicose Vein Questionnaire</v>
      </c>
      <c r="C6334" t="s">
        <v>17</v>
      </c>
      <c r="D6334" t="s">
        <v>87</v>
      </c>
      <c r="E6334" t="s">
        <v>881</v>
      </c>
      <c r="F6334" t="s">
        <v>882</v>
      </c>
      <c r="G6334" t="s">
        <v>0</v>
      </c>
      <c r="H6334">
        <v>16</v>
      </c>
      <c r="I6334">
        <v>21.690999999999999</v>
      </c>
      <c r="J6334">
        <v>15.816000000000001</v>
      </c>
      <c r="K6334">
        <v>-5.875</v>
      </c>
      <c r="L6334">
        <v>10</v>
      </c>
      <c r="M6334">
        <v>0</v>
      </c>
      <c r="N6334">
        <v>6</v>
      </c>
      <c r="O6334" t="s">
        <v>53</v>
      </c>
      <c r="P6334" t="s">
        <v>53</v>
      </c>
      <c r="Q6334" t="s">
        <v>53</v>
      </c>
    </row>
    <row r="6335" spans="1:17" x14ac:dyDescent="0.2">
      <c r="A6335" s="30" t="str">
        <f>IF(C6335&amp;G6335&amp;D6335&lt;&gt;'Funnel setup'!$K$3&amp;'Funnel setup'!$K$4&amp;'Funnel setup'!$K$5,".",IF(A6334=".",1,A6334+1))</f>
        <v>.</v>
      </c>
      <c r="B6335" s="431" t="str">
        <f t="shared" si="98"/>
        <v>Varicose VeinCCG of GP PracticeNHS EASTBOURNE, HAILSHAM AND SEAFORD CCG (09F)Aberdeen Varicose Vein Questionnaire</v>
      </c>
      <c r="C6335" t="s">
        <v>17</v>
      </c>
      <c r="D6335" t="s">
        <v>87</v>
      </c>
      <c r="E6335" t="s">
        <v>884</v>
      </c>
      <c r="F6335" t="s">
        <v>885</v>
      </c>
      <c r="G6335" t="s">
        <v>0</v>
      </c>
      <c r="H6335">
        <v>11</v>
      </c>
      <c r="I6335">
        <v>16.786000000000001</v>
      </c>
      <c r="J6335">
        <v>10.461</v>
      </c>
      <c r="K6335">
        <v>-6.3250000000000002</v>
      </c>
      <c r="L6335">
        <v>9</v>
      </c>
      <c r="M6335">
        <v>0</v>
      </c>
      <c r="N6335">
        <v>2</v>
      </c>
      <c r="O6335" t="s">
        <v>53</v>
      </c>
      <c r="P6335" t="s">
        <v>53</v>
      </c>
      <c r="Q6335" t="s">
        <v>53</v>
      </c>
    </row>
    <row r="6336" spans="1:17" x14ac:dyDescent="0.2">
      <c r="A6336" s="30" t="str">
        <f>IF(C6336&amp;G6336&amp;D6336&lt;&gt;'Funnel setup'!$K$3&amp;'Funnel setup'!$K$4&amp;'Funnel setup'!$K$5,".",IF(A6335=".",1,A6335+1))</f>
        <v>.</v>
      </c>
      <c r="B6336" s="431" t="str">
        <f t="shared" si="98"/>
        <v>Varicose VeinCCG of GP PracticeNHS EASTERN CHESHIRE CCG (01C)Aberdeen Varicose Vein Questionnaire</v>
      </c>
      <c r="C6336" t="s">
        <v>17</v>
      </c>
      <c r="D6336" t="s">
        <v>87</v>
      </c>
      <c r="E6336" t="s">
        <v>887</v>
      </c>
      <c r="F6336" t="s">
        <v>888</v>
      </c>
      <c r="G6336" t="s">
        <v>0</v>
      </c>
      <c r="H6336">
        <v>34</v>
      </c>
      <c r="I6336">
        <v>19.713000000000001</v>
      </c>
      <c r="J6336">
        <v>13.666</v>
      </c>
      <c r="K6336">
        <v>-6.0469999999999997</v>
      </c>
      <c r="L6336">
        <v>30</v>
      </c>
      <c r="M6336">
        <v>0</v>
      </c>
      <c r="N6336">
        <v>4</v>
      </c>
      <c r="O6336">
        <v>13.048999999999999</v>
      </c>
      <c r="P6336">
        <v>-7.873258163</v>
      </c>
      <c r="Q6336">
        <v>16.548999999999999</v>
      </c>
    </row>
    <row r="6337" spans="1:17" x14ac:dyDescent="0.2">
      <c r="A6337" s="30" t="str">
        <f>IF(C6337&amp;G6337&amp;D6337&lt;&gt;'Funnel setup'!$K$3&amp;'Funnel setup'!$K$4&amp;'Funnel setup'!$K$5,".",IF(A6336=".",1,A6336+1))</f>
        <v>.</v>
      </c>
      <c r="B6337" s="431" t="str">
        <f t="shared" si="98"/>
        <v>Varicose VeinCCG of GP PracticeNHS ENFIELD CCG (07X)Aberdeen Varicose Vein Questionnaire</v>
      </c>
      <c r="C6337" t="s">
        <v>17</v>
      </c>
      <c r="D6337" t="s">
        <v>87</v>
      </c>
      <c r="E6337" t="s">
        <v>890</v>
      </c>
      <c r="F6337" t="s">
        <v>891</v>
      </c>
      <c r="G6337" t="s">
        <v>0</v>
      </c>
      <c r="H6337">
        <v>13</v>
      </c>
      <c r="I6337">
        <v>21.937000000000001</v>
      </c>
      <c r="J6337">
        <v>14.071</v>
      </c>
      <c r="K6337">
        <v>-7.8659999999999997</v>
      </c>
      <c r="L6337">
        <v>9</v>
      </c>
      <c r="M6337">
        <v>0</v>
      </c>
      <c r="N6337">
        <v>4</v>
      </c>
      <c r="O6337" t="s">
        <v>53</v>
      </c>
      <c r="P6337" t="s">
        <v>53</v>
      </c>
      <c r="Q6337" t="s">
        <v>53</v>
      </c>
    </row>
    <row r="6338" spans="1:17" x14ac:dyDescent="0.2">
      <c r="A6338" s="30" t="str">
        <f>IF(C6338&amp;G6338&amp;D6338&lt;&gt;'Funnel setup'!$K$3&amp;'Funnel setup'!$K$4&amp;'Funnel setup'!$K$5,".",IF(A6337=".",1,A6337+1))</f>
        <v>.</v>
      </c>
      <c r="B6338" s="431" t="str">
        <f t="shared" si="98"/>
        <v>Varicose VeinCCG of GP PracticeNHS EREWASH CCG (03X)Aberdeen Varicose Vein Questionnaire</v>
      </c>
      <c r="C6338" t="s">
        <v>17</v>
      </c>
      <c r="D6338" t="s">
        <v>87</v>
      </c>
      <c r="E6338" t="s">
        <v>893</v>
      </c>
      <c r="F6338" t="s">
        <v>894</v>
      </c>
      <c r="G6338" t="s">
        <v>0</v>
      </c>
      <c r="H6338">
        <v>13</v>
      </c>
      <c r="I6338">
        <v>29.483000000000001</v>
      </c>
      <c r="J6338">
        <v>23.631</v>
      </c>
      <c r="K6338">
        <v>-5.8520000000000003</v>
      </c>
      <c r="L6338">
        <v>9</v>
      </c>
      <c r="M6338">
        <v>0</v>
      </c>
      <c r="N6338">
        <v>4</v>
      </c>
      <c r="O6338" t="s">
        <v>53</v>
      </c>
      <c r="P6338" t="s">
        <v>53</v>
      </c>
      <c r="Q6338" t="s">
        <v>53</v>
      </c>
    </row>
    <row r="6339" spans="1:17" x14ac:dyDescent="0.2">
      <c r="A6339" s="30" t="str">
        <f>IF(C6339&amp;G6339&amp;D6339&lt;&gt;'Funnel setup'!$K$3&amp;'Funnel setup'!$K$4&amp;'Funnel setup'!$K$5,".",IF(A6338=".",1,A6338+1))</f>
        <v>.</v>
      </c>
      <c r="B6339" s="431" t="str">
        <f t="shared" ref="B6339:B6402" si="99">C6339&amp;D6339&amp;F6339&amp;G6339</f>
        <v>Varicose VeinCCG of GP PracticeNHS FAREHAM AND GOSPORT CCG (10K)Aberdeen Varicose Vein Questionnaire</v>
      </c>
      <c r="C6339" t="s">
        <v>17</v>
      </c>
      <c r="D6339" t="s">
        <v>87</v>
      </c>
      <c r="E6339" t="s">
        <v>896</v>
      </c>
      <c r="F6339" t="s">
        <v>897</v>
      </c>
      <c r="G6339" t="s">
        <v>0</v>
      </c>
      <c r="H6339" t="s">
        <v>53</v>
      </c>
      <c r="I6339" t="s">
        <v>53</v>
      </c>
      <c r="J6339" t="s">
        <v>53</v>
      </c>
      <c r="K6339" t="s">
        <v>53</v>
      </c>
      <c r="L6339" t="s">
        <v>53</v>
      </c>
      <c r="M6339" t="s">
        <v>53</v>
      </c>
      <c r="N6339" t="s">
        <v>53</v>
      </c>
      <c r="O6339" t="s">
        <v>53</v>
      </c>
      <c r="P6339" t="s">
        <v>53</v>
      </c>
      <c r="Q6339" t="s">
        <v>53</v>
      </c>
    </row>
    <row r="6340" spans="1:17" x14ac:dyDescent="0.2">
      <c r="A6340" s="30" t="str">
        <f>IF(C6340&amp;G6340&amp;D6340&lt;&gt;'Funnel setup'!$K$3&amp;'Funnel setup'!$K$4&amp;'Funnel setup'!$K$5,".",IF(A6339=".",1,A6339+1))</f>
        <v>.</v>
      </c>
      <c r="B6340" s="431" t="str">
        <f t="shared" si="99"/>
        <v>Varicose VeinCCG of GP PracticeNHS FYLDE &amp; WYRE CCG (02M)Aberdeen Varicose Vein Questionnaire</v>
      </c>
      <c r="C6340" t="s">
        <v>17</v>
      </c>
      <c r="D6340" t="s">
        <v>87</v>
      </c>
      <c r="E6340" t="s">
        <v>899</v>
      </c>
      <c r="F6340" t="s">
        <v>900</v>
      </c>
      <c r="G6340" t="s">
        <v>0</v>
      </c>
      <c r="H6340">
        <v>10</v>
      </c>
      <c r="I6340">
        <v>16.850000000000001</v>
      </c>
      <c r="J6340">
        <v>8.35</v>
      </c>
      <c r="K6340">
        <v>-8.5</v>
      </c>
      <c r="L6340">
        <v>10</v>
      </c>
      <c r="M6340">
        <v>0</v>
      </c>
      <c r="N6340">
        <v>0</v>
      </c>
      <c r="O6340" t="s">
        <v>53</v>
      </c>
      <c r="P6340" t="s">
        <v>53</v>
      </c>
      <c r="Q6340" t="s">
        <v>53</v>
      </c>
    </row>
    <row r="6341" spans="1:17" x14ac:dyDescent="0.2">
      <c r="A6341" s="30" t="str">
        <f>IF(C6341&amp;G6341&amp;D6341&lt;&gt;'Funnel setup'!$K$3&amp;'Funnel setup'!$K$4&amp;'Funnel setup'!$K$5,".",IF(A6340=".",1,A6340+1))</f>
        <v>.</v>
      </c>
      <c r="B6341" s="431" t="str">
        <f t="shared" si="99"/>
        <v>Varicose VeinCCG of GP PracticeNHS GLOUCESTERSHIRE CCG (11M)Aberdeen Varicose Vein Questionnaire</v>
      </c>
      <c r="C6341" t="s">
        <v>17</v>
      </c>
      <c r="D6341" t="s">
        <v>87</v>
      </c>
      <c r="E6341" t="s">
        <v>902</v>
      </c>
      <c r="F6341" t="s">
        <v>903</v>
      </c>
      <c r="G6341" t="s">
        <v>0</v>
      </c>
      <c r="H6341">
        <v>81</v>
      </c>
      <c r="I6341">
        <v>17.978999999999999</v>
      </c>
      <c r="J6341">
        <v>8.7710000000000008</v>
      </c>
      <c r="K6341">
        <v>-9.2080000000000002</v>
      </c>
      <c r="L6341">
        <v>70</v>
      </c>
      <c r="M6341">
        <v>0</v>
      </c>
      <c r="N6341">
        <v>11</v>
      </c>
      <c r="O6341">
        <v>6.5119999999999996</v>
      </c>
      <c r="P6341">
        <v>-14.41079012</v>
      </c>
      <c r="Q6341">
        <v>12.111000000000001</v>
      </c>
    </row>
    <row r="6342" spans="1:17" x14ac:dyDescent="0.2">
      <c r="A6342" s="30" t="str">
        <f>IF(C6342&amp;G6342&amp;D6342&lt;&gt;'Funnel setup'!$K$3&amp;'Funnel setup'!$K$4&amp;'Funnel setup'!$K$5,".",IF(A6341=".",1,A6341+1))</f>
        <v>.</v>
      </c>
      <c r="B6342" s="431" t="str">
        <f t="shared" si="99"/>
        <v>Varicose VeinCCG of GP PracticeNHS GREAT YARMOUTH AND WAVENEY CCG (06M)Aberdeen Varicose Vein Questionnaire</v>
      </c>
      <c r="C6342" t="s">
        <v>17</v>
      </c>
      <c r="D6342" t="s">
        <v>87</v>
      </c>
      <c r="E6342" t="s">
        <v>905</v>
      </c>
      <c r="F6342" t="s">
        <v>906</v>
      </c>
      <c r="G6342" t="s">
        <v>0</v>
      </c>
      <c r="H6342">
        <v>45</v>
      </c>
      <c r="I6342">
        <v>17.373999999999999</v>
      </c>
      <c r="J6342">
        <v>6.4550000000000001</v>
      </c>
      <c r="K6342">
        <v>-10.919</v>
      </c>
      <c r="L6342">
        <v>40</v>
      </c>
      <c r="M6342">
        <v>0</v>
      </c>
      <c r="N6342">
        <v>5</v>
      </c>
      <c r="O6342">
        <v>4.3840000000000003</v>
      </c>
      <c r="P6342">
        <v>-16.538062669999999</v>
      </c>
      <c r="Q6342">
        <v>12.169</v>
      </c>
    </row>
    <row r="6343" spans="1:17" x14ac:dyDescent="0.2">
      <c r="A6343" s="30" t="str">
        <f>IF(C6343&amp;G6343&amp;D6343&lt;&gt;'Funnel setup'!$K$3&amp;'Funnel setup'!$K$4&amp;'Funnel setup'!$K$5,".",IF(A6342=".",1,A6342+1))</f>
        <v>.</v>
      </c>
      <c r="B6343" s="431" t="str">
        <f t="shared" si="99"/>
        <v>Varicose VeinCCG of GP PracticeNHS GREATER HUDDERSFIELD CCG (03A)Aberdeen Varicose Vein Questionnaire</v>
      </c>
      <c r="C6343" t="s">
        <v>17</v>
      </c>
      <c r="D6343" t="s">
        <v>87</v>
      </c>
      <c r="E6343" t="s">
        <v>908</v>
      </c>
      <c r="F6343" t="s">
        <v>909</v>
      </c>
      <c r="G6343" t="s">
        <v>0</v>
      </c>
      <c r="H6343">
        <v>72</v>
      </c>
      <c r="I6343">
        <v>19.399000000000001</v>
      </c>
      <c r="J6343">
        <v>9.5190000000000001</v>
      </c>
      <c r="K6343">
        <v>-9.8800000000000008</v>
      </c>
      <c r="L6343">
        <v>66</v>
      </c>
      <c r="M6343">
        <v>0</v>
      </c>
      <c r="N6343">
        <v>6</v>
      </c>
      <c r="O6343">
        <v>8.8320000000000007</v>
      </c>
      <c r="P6343">
        <v>-12.090931149999999</v>
      </c>
      <c r="Q6343">
        <v>13.308999999999999</v>
      </c>
    </row>
    <row r="6344" spans="1:17" x14ac:dyDescent="0.2">
      <c r="A6344" s="30" t="str">
        <f>IF(C6344&amp;G6344&amp;D6344&lt;&gt;'Funnel setup'!$K$3&amp;'Funnel setup'!$K$4&amp;'Funnel setup'!$K$5,".",IF(A6343=".",1,A6343+1))</f>
        <v>.</v>
      </c>
      <c r="B6344" s="431" t="str">
        <f t="shared" si="99"/>
        <v>Varicose VeinCCG of GP PracticeNHS GREATER PRESTON CCG (01E)Aberdeen Varicose Vein Questionnaire</v>
      </c>
      <c r="C6344" t="s">
        <v>17</v>
      </c>
      <c r="D6344" t="s">
        <v>87</v>
      </c>
      <c r="E6344" t="s">
        <v>486</v>
      </c>
      <c r="F6344" t="s">
        <v>487</v>
      </c>
      <c r="G6344" t="s">
        <v>0</v>
      </c>
      <c r="H6344">
        <v>40</v>
      </c>
      <c r="I6344">
        <v>16.814</v>
      </c>
      <c r="J6344">
        <v>10.586</v>
      </c>
      <c r="K6344">
        <v>-6.2279999999999998</v>
      </c>
      <c r="L6344">
        <v>32</v>
      </c>
      <c r="M6344">
        <v>0</v>
      </c>
      <c r="N6344">
        <v>8</v>
      </c>
      <c r="O6344">
        <v>8.5549999999999997</v>
      </c>
      <c r="P6344">
        <v>-12.36764822</v>
      </c>
      <c r="Q6344">
        <v>10.724</v>
      </c>
    </row>
    <row r="6345" spans="1:17" x14ac:dyDescent="0.2">
      <c r="A6345" s="30" t="str">
        <f>IF(C6345&amp;G6345&amp;D6345&lt;&gt;'Funnel setup'!$K$3&amp;'Funnel setup'!$K$4&amp;'Funnel setup'!$K$5,".",IF(A6344=".",1,A6344+1))</f>
        <v>.</v>
      </c>
      <c r="B6345" s="431" t="str">
        <f t="shared" si="99"/>
        <v>Varicose VeinCCG of GP PracticeNHS GREENWICH CCG (08A)Aberdeen Varicose Vein Questionnaire</v>
      </c>
      <c r="C6345" t="s">
        <v>17</v>
      </c>
      <c r="D6345" t="s">
        <v>87</v>
      </c>
      <c r="E6345" t="s">
        <v>489</v>
      </c>
      <c r="F6345" t="s">
        <v>490</v>
      </c>
      <c r="G6345" t="s">
        <v>0</v>
      </c>
      <c r="H6345">
        <v>31</v>
      </c>
      <c r="I6345">
        <v>23.771000000000001</v>
      </c>
      <c r="J6345">
        <v>18.286000000000001</v>
      </c>
      <c r="K6345">
        <v>-5.4850000000000003</v>
      </c>
      <c r="L6345">
        <v>23</v>
      </c>
      <c r="M6345">
        <v>0</v>
      </c>
      <c r="N6345">
        <v>8</v>
      </c>
      <c r="O6345">
        <v>20.274000000000001</v>
      </c>
      <c r="P6345">
        <v>-0.64892421199999994</v>
      </c>
      <c r="Q6345">
        <v>17.225999999999999</v>
      </c>
    </row>
    <row r="6346" spans="1:17" x14ac:dyDescent="0.2">
      <c r="A6346" s="30" t="str">
        <f>IF(C6346&amp;G6346&amp;D6346&lt;&gt;'Funnel setup'!$K$3&amp;'Funnel setup'!$K$4&amp;'Funnel setup'!$K$5,".",IF(A6345=".",1,A6345+1))</f>
        <v>.</v>
      </c>
      <c r="B6346" s="431" t="str">
        <f t="shared" si="99"/>
        <v>Varicose VeinCCG of GP PracticeNHS GUILDFORD AND WAVERLEY CCG (09N)Aberdeen Varicose Vein Questionnaire</v>
      </c>
      <c r="C6346" t="s">
        <v>17</v>
      </c>
      <c r="D6346" t="s">
        <v>87</v>
      </c>
      <c r="E6346" t="s">
        <v>911</v>
      </c>
      <c r="F6346" t="s">
        <v>912</v>
      </c>
      <c r="G6346" t="s">
        <v>0</v>
      </c>
      <c r="H6346">
        <v>11</v>
      </c>
      <c r="I6346">
        <v>17.465</v>
      </c>
      <c r="J6346">
        <v>7.2910000000000004</v>
      </c>
      <c r="K6346">
        <v>-10.173999999999999</v>
      </c>
      <c r="L6346">
        <v>11</v>
      </c>
      <c r="M6346">
        <v>0</v>
      </c>
      <c r="N6346">
        <v>0</v>
      </c>
      <c r="O6346" t="s">
        <v>53</v>
      </c>
      <c r="P6346" t="s">
        <v>53</v>
      </c>
      <c r="Q6346" t="s">
        <v>53</v>
      </c>
    </row>
    <row r="6347" spans="1:17" x14ac:dyDescent="0.2">
      <c r="A6347" s="30" t="str">
        <f>IF(C6347&amp;G6347&amp;D6347&lt;&gt;'Funnel setup'!$K$3&amp;'Funnel setup'!$K$4&amp;'Funnel setup'!$K$5,".",IF(A6346=".",1,A6346+1))</f>
        <v>.</v>
      </c>
      <c r="B6347" s="431" t="str">
        <f t="shared" si="99"/>
        <v>Varicose VeinCCG of GP PracticeNHS HALTON CCG (01F)Aberdeen Varicose Vein Questionnaire</v>
      </c>
      <c r="C6347" t="s">
        <v>17</v>
      </c>
      <c r="D6347" t="s">
        <v>87</v>
      </c>
      <c r="E6347" t="s">
        <v>914</v>
      </c>
      <c r="F6347" t="s">
        <v>915</v>
      </c>
      <c r="G6347" t="s">
        <v>0</v>
      </c>
      <c r="H6347">
        <v>12</v>
      </c>
      <c r="I6347">
        <v>16.75</v>
      </c>
      <c r="J6347">
        <v>12.199</v>
      </c>
      <c r="K6347">
        <v>-4.5519999999999996</v>
      </c>
      <c r="L6347">
        <v>9</v>
      </c>
      <c r="M6347">
        <v>0</v>
      </c>
      <c r="N6347">
        <v>3</v>
      </c>
      <c r="O6347" t="s">
        <v>53</v>
      </c>
      <c r="P6347" t="s">
        <v>53</v>
      </c>
      <c r="Q6347" t="s">
        <v>53</v>
      </c>
    </row>
    <row r="6348" spans="1:17" x14ac:dyDescent="0.2">
      <c r="A6348" s="30" t="str">
        <f>IF(C6348&amp;G6348&amp;D6348&lt;&gt;'Funnel setup'!$K$3&amp;'Funnel setup'!$K$4&amp;'Funnel setup'!$K$5,".",IF(A6347=".",1,A6347+1))</f>
        <v>.</v>
      </c>
      <c r="B6348" s="431" t="str">
        <f t="shared" si="99"/>
        <v>Varicose VeinCCG of GP PracticeNHS HAMBLETON, RICHMONDSHIRE AND WHITBY CCG (03D)Aberdeen Varicose Vein Questionnaire</v>
      </c>
      <c r="C6348" t="s">
        <v>17</v>
      </c>
      <c r="D6348" t="s">
        <v>87</v>
      </c>
      <c r="E6348" t="s">
        <v>917</v>
      </c>
      <c r="F6348" t="s">
        <v>918</v>
      </c>
      <c r="G6348" t="s">
        <v>0</v>
      </c>
      <c r="H6348">
        <v>17</v>
      </c>
      <c r="I6348">
        <v>21.68</v>
      </c>
      <c r="J6348">
        <v>11.125</v>
      </c>
      <c r="K6348">
        <v>-10.555999999999999</v>
      </c>
      <c r="L6348">
        <v>16</v>
      </c>
      <c r="M6348">
        <v>0</v>
      </c>
      <c r="N6348">
        <v>1</v>
      </c>
      <c r="O6348" t="s">
        <v>53</v>
      </c>
      <c r="P6348" t="s">
        <v>53</v>
      </c>
      <c r="Q6348" t="s">
        <v>53</v>
      </c>
    </row>
    <row r="6349" spans="1:17" x14ac:dyDescent="0.2">
      <c r="A6349" s="30" t="str">
        <f>IF(C6349&amp;G6349&amp;D6349&lt;&gt;'Funnel setup'!$K$3&amp;'Funnel setup'!$K$4&amp;'Funnel setup'!$K$5,".",IF(A6348=".",1,A6348+1))</f>
        <v>.</v>
      </c>
      <c r="B6349" s="431" t="str">
        <f t="shared" si="99"/>
        <v>Varicose VeinCCG of GP PracticeNHS HAMMERSMITH AND FULHAM CCG (08C)Aberdeen Varicose Vein Questionnaire</v>
      </c>
      <c r="C6349" t="s">
        <v>17</v>
      </c>
      <c r="D6349" t="s">
        <v>87</v>
      </c>
      <c r="E6349" t="s">
        <v>920</v>
      </c>
      <c r="F6349" t="s">
        <v>921</v>
      </c>
      <c r="G6349" t="s">
        <v>0</v>
      </c>
      <c r="H6349">
        <v>32</v>
      </c>
      <c r="I6349">
        <v>22.937999999999999</v>
      </c>
      <c r="J6349">
        <v>16.344999999999999</v>
      </c>
      <c r="K6349">
        <v>-6.593</v>
      </c>
      <c r="L6349">
        <v>21</v>
      </c>
      <c r="M6349">
        <v>0</v>
      </c>
      <c r="N6349">
        <v>11</v>
      </c>
      <c r="O6349">
        <v>18.745999999999999</v>
      </c>
      <c r="P6349">
        <v>-2.1768386369999999</v>
      </c>
      <c r="Q6349">
        <v>16.600000000000001</v>
      </c>
    </row>
    <row r="6350" spans="1:17" x14ac:dyDescent="0.2">
      <c r="A6350" s="30" t="str">
        <f>IF(C6350&amp;G6350&amp;D6350&lt;&gt;'Funnel setup'!$K$3&amp;'Funnel setup'!$K$4&amp;'Funnel setup'!$K$5,".",IF(A6349=".",1,A6349+1))</f>
        <v>.</v>
      </c>
      <c r="B6350" s="431" t="str">
        <f t="shared" si="99"/>
        <v>Varicose VeinCCG of GP PracticeNHS HARDWICK CCG (03Y)Aberdeen Varicose Vein Questionnaire</v>
      </c>
      <c r="C6350" t="s">
        <v>17</v>
      </c>
      <c r="D6350" t="s">
        <v>87</v>
      </c>
      <c r="E6350" t="s">
        <v>923</v>
      </c>
      <c r="F6350" t="s">
        <v>924</v>
      </c>
      <c r="G6350" t="s">
        <v>0</v>
      </c>
      <c r="H6350">
        <v>15</v>
      </c>
      <c r="I6350">
        <v>23.535</v>
      </c>
      <c r="J6350">
        <v>13.656000000000001</v>
      </c>
      <c r="K6350">
        <v>-9.8789999999999996</v>
      </c>
      <c r="L6350">
        <v>13</v>
      </c>
      <c r="M6350">
        <v>0</v>
      </c>
      <c r="N6350">
        <v>2</v>
      </c>
      <c r="O6350" t="s">
        <v>53</v>
      </c>
      <c r="P6350" t="s">
        <v>53</v>
      </c>
      <c r="Q6350" t="s">
        <v>53</v>
      </c>
    </row>
    <row r="6351" spans="1:17" x14ac:dyDescent="0.2">
      <c r="A6351" s="30" t="str">
        <f>IF(C6351&amp;G6351&amp;D6351&lt;&gt;'Funnel setup'!$K$3&amp;'Funnel setup'!$K$4&amp;'Funnel setup'!$K$5,".",IF(A6350=".",1,A6350+1))</f>
        <v>.</v>
      </c>
      <c r="B6351" s="431" t="str">
        <f t="shared" si="99"/>
        <v>Varicose VeinCCG of GP PracticeNHS HARINGEY CCG (08D)Aberdeen Varicose Vein Questionnaire</v>
      </c>
      <c r="C6351" t="s">
        <v>17</v>
      </c>
      <c r="D6351" t="s">
        <v>87</v>
      </c>
      <c r="E6351" t="s">
        <v>926</v>
      </c>
      <c r="F6351" t="s">
        <v>927</v>
      </c>
      <c r="G6351" t="s">
        <v>0</v>
      </c>
      <c r="H6351">
        <v>6</v>
      </c>
      <c r="I6351">
        <v>26.658999999999999</v>
      </c>
      <c r="J6351">
        <v>17.937000000000001</v>
      </c>
      <c r="K6351">
        <v>-8.7219999999999995</v>
      </c>
      <c r="L6351">
        <v>5</v>
      </c>
      <c r="M6351">
        <v>0</v>
      </c>
      <c r="N6351">
        <v>1</v>
      </c>
      <c r="O6351" t="s">
        <v>53</v>
      </c>
      <c r="P6351" t="s">
        <v>53</v>
      </c>
      <c r="Q6351" t="s">
        <v>53</v>
      </c>
    </row>
    <row r="6352" spans="1:17" x14ac:dyDescent="0.2">
      <c r="A6352" s="30" t="str">
        <f>IF(C6352&amp;G6352&amp;D6352&lt;&gt;'Funnel setup'!$K$3&amp;'Funnel setup'!$K$4&amp;'Funnel setup'!$K$5,".",IF(A6351=".",1,A6351+1))</f>
        <v>.</v>
      </c>
      <c r="B6352" s="431" t="str">
        <f t="shared" si="99"/>
        <v>Varicose VeinCCG of GP PracticeNHS HARROGATE AND RURAL DISTRICT CCG (03E)Aberdeen Varicose Vein Questionnaire</v>
      </c>
      <c r="C6352" t="s">
        <v>17</v>
      </c>
      <c r="D6352" t="s">
        <v>87</v>
      </c>
      <c r="E6352" t="s">
        <v>929</v>
      </c>
      <c r="F6352" t="s">
        <v>930</v>
      </c>
      <c r="G6352" t="s">
        <v>0</v>
      </c>
      <c r="H6352">
        <v>19</v>
      </c>
      <c r="I6352">
        <v>22.195</v>
      </c>
      <c r="J6352">
        <v>13.031000000000001</v>
      </c>
      <c r="K6352">
        <v>-9.1630000000000003</v>
      </c>
      <c r="L6352">
        <v>16</v>
      </c>
      <c r="M6352">
        <v>0</v>
      </c>
      <c r="N6352">
        <v>3</v>
      </c>
      <c r="O6352" t="s">
        <v>53</v>
      </c>
      <c r="P6352" t="s">
        <v>53</v>
      </c>
      <c r="Q6352" t="s">
        <v>53</v>
      </c>
    </row>
    <row r="6353" spans="1:17" x14ac:dyDescent="0.2">
      <c r="A6353" s="30" t="str">
        <f>IF(C6353&amp;G6353&amp;D6353&lt;&gt;'Funnel setup'!$K$3&amp;'Funnel setup'!$K$4&amp;'Funnel setup'!$K$5,".",IF(A6352=".",1,A6352+1))</f>
        <v>.</v>
      </c>
      <c r="B6353" s="431" t="str">
        <f t="shared" si="99"/>
        <v>Varicose VeinCCG of GP PracticeNHS HARROW CCG (08E)Aberdeen Varicose Vein Questionnaire</v>
      </c>
      <c r="C6353" t="s">
        <v>17</v>
      </c>
      <c r="D6353" t="s">
        <v>87</v>
      </c>
      <c r="E6353" t="s">
        <v>492</v>
      </c>
      <c r="F6353" t="s">
        <v>493</v>
      </c>
      <c r="G6353" t="s">
        <v>0</v>
      </c>
      <c r="H6353">
        <v>19</v>
      </c>
      <c r="I6353">
        <v>25.997</v>
      </c>
      <c r="J6353">
        <v>20.782</v>
      </c>
      <c r="K6353">
        <v>-5.2160000000000002</v>
      </c>
      <c r="L6353">
        <v>13</v>
      </c>
      <c r="M6353">
        <v>0</v>
      </c>
      <c r="N6353">
        <v>6</v>
      </c>
      <c r="O6353" t="s">
        <v>53</v>
      </c>
      <c r="P6353" t="s">
        <v>53</v>
      </c>
      <c r="Q6353" t="s">
        <v>53</v>
      </c>
    </row>
    <row r="6354" spans="1:17" x14ac:dyDescent="0.2">
      <c r="A6354" s="30" t="str">
        <f>IF(C6354&amp;G6354&amp;D6354&lt;&gt;'Funnel setup'!$K$3&amp;'Funnel setup'!$K$4&amp;'Funnel setup'!$K$5,".",IF(A6353=".",1,A6353+1))</f>
        <v>.</v>
      </c>
      <c r="B6354" s="431" t="str">
        <f t="shared" si="99"/>
        <v>Varicose VeinCCG of GP PracticeNHS HARTLEPOOL AND STOCKTON-ON-TEES CCG (00K)Aberdeen Varicose Vein Questionnaire</v>
      </c>
      <c r="C6354" t="s">
        <v>17</v>
      </c>
      <c r="D6354" t="s">
        <v>87</v>
      </c>
      <c r="E6354" t="s">
        <v>495</v>
      </c>
      <c r="F6354" t="s">
        <v>496</v>
      </c>
      <c r="G6354" t="s">
        <v>0</v>
      </c>
      <c r="H6354">
        <v>45</v>
      </c>
      <c r="I6354">
        <v>23.434000000000001</v>
      </c>
      <c r="J6354">
        <v>13.224</v>
      </c>
      <c r="K6354">
        <v>-10.210000000000001</v>
      </c>
      <c r="L6354">
        <v>35</v>
      </c>
      <c r="M6354">
        <v>0</v>
      </c>
      <c r="N6354">
        <v>10</v>
      </c>
      <c r="O6354">
        <v>14.409000000000001</v>
      </c>
      <c r="P6354">
        <v>-6.5130261379999999</v>
      </c>
      <c r="Q6354">
        <v>15.93</v>
      </c>
    </row>
    <row r="6355" spans="1:17" x14ac:dyDescent="0.2">
      <c r="A6355" s="30" t="str">
        <f>IF(C6355&amp;G6355&amp;D6355&lt;&gt;'Funnel setup'!$K$3&amp;'Funnel setup'!$K$4&amp;'Funnel setup'!$K$5,".",IF(A6354=".",1,A6354+1))</f>
        <v>.</v>
      </c>
      <c r="B6355" s="431" t="str">
        <f t="shared" si="99"/>
        <v>Varicose VeinCCG of GP PracticeNHS HASTINGS AND ROTHER CCG (09P)Aberdeen Varicose Vein Questionnaire</v>
      </c>
      <c r="C6355" t="s">
        <v>17</v>
      </c>
      <c r="D6355" t="s">
        <v>87</v>
      </c>
      <c r="E6355" t="s">
        <v>498</v>
      </c>
      <c r="F6355" t="s">
        <v>499</v>
      </c>
      <c r="G6355" t="s">
        <v>0</v>
      </c>
      <c r="H6355" t="s">
        <v>53</v>
      </c>
      <c r="I6355" t="s">
        <v>53</v>
      </c>
      <c r="J6355" t="s">
        <v>53</v>
      </c>
      <c r="K6355" t="s">
        <v>53</v>
      </c>
      <c r="L6355" t="s">
        <v>53</v>
      </c>
      <c r="M6355" t="s">
        <v>53</v>
      </c>
      <c r="N6355" t="s">
        <v>53</v>
      </c>
      <c r="O6355" t="s">
        <v>53</v>
      </c>
      <c r="P6355" t="s">
        <v>53</v>
      </c>
      <c r="Q6355" t="s">
        <v>53</v>
      </c>
    </row>
    <row r="6356" spans="1:17" x14ac:dyDescent="0.2">
      <c r="A6356" s="30" t="str">
        <f>IF(C6356&amp;G6356&amp;D6356&lt;&gt;'Funnel setup'!$K$3&amp;'Funnel setup'!$K$4&amp;'Funnel setup'!$K$5,".",IF(A6355=".",1,A6355+1))</f>
        <v>.</v>
      </c>
      <c r="B6356" s="431" t="str">
        <f t="shared" si="99"/>
        <v>Varicose VeinCCG of GP PracticeNHS HAVERING CCG (08F)Aberdeen Varicose Vein Questionnaire</v>
      </c>
      <c r="C6356" t="s">
        <v>17</v>
      </c>
      <c r="D6356" t="s">
        <v>87</v>
      </c>
      <c r="E6356" t="s">
        <v>501</v>
      </c>
      <c r="F6356" t="s">
        <v>502</v>
      </c>
      <c r="G6356" t="s">
        <v>0</v>
      </c>
      <c r="H6356">
        <v>25</v>
      </c>
      <c r="I6356">
        <v>21.617999999999999</v>
      </c>
      <c r="J6356">
        <v>13.638</v>
      </c>
      <c r="K6356">
        <v>-7.98</v>
      </c>
      <c r="L6356">
        <v>19</v>
      </c>
      <c r="M6356">
        <v>0</v>
      </c>
      <c r="N6356">
        <v>6</v>
      </c>
      <c r="O6356" t="s">
        <v>53</v>
      </c>
      <c r="P6356" t="s">
        <v>53</v>
      </c>
      <c r="Q6356" t="s">
        <v>53</v>
      </c>
    </row>
    <row r="6357" spans="1:17" x14ac:dyDescent="0.2">
      <c r="A6357" s="30" t="str">
        <f>IF(C6357&amp;G6357&amp;D6357&lt;&gt;'Funnel setup'!$K$3&amp;'Funnel setup'!$K$4&amp;'Funnel setup'!$K$5,".",IF(A6356=".",1,A6356+1))</f>
        <v>.</v>
      </c>
      <c r="B6357" s="431" t="str">
        <f t="shared" si="99"/>
        <v>Varicose VeinCCG of GP PracticeNHS HEREFORDSHIRE CCG (05F)Aberdeen Varicose Vein Questionnaire</v>
      </c>
      <c r="C6357" t="s">
        <v>17</v>
      </c>
      <c r="D6357" t="s">
        <v>87</v>
      </c>
      <c r="E6357" t="s">
        <v>504</v>
      </c>
      <c r="F6357" t="s">
        <v>505</v>
      </c>
      <c r="G6357" t="s">
        <v>0</v>
      </c>
      <c r="H6357">
        <v>41</v>
      </c>
      <c r="I6357">
        <v>19.606000000000002</v>
      </c>
      <c r="J6357">
        <v>9.125</v>
      </c>
      <c r="K6357">
        <v>-10.481</v>
      </c>
      <c r="L6357">
        <v>37</v>
      </c>
      <c r="M6357">
        <v>0</v>
      </c>
      <c r="N6357">
        <v>4</v>
      </c>
      <c r="O6357">
        <v>7.8849999999999998</v>
      </c>
      <c r="P6357">
        <v>-13.03741501</v>
      </c>
      <c r="Q6357">
        <v>14.996</v>
      </c>
    </row>
    <row r="6358" spans="1:17" x14ac:dyDescent="0.2">
      <c r="A6358" s="30" t="str">
        <f>IF(C6358&amp;G6358&amp;D6358&lt;&gt;'Funnel setup'!$K$3&amp;'Funnel setup'!$K$4&amp;'Funnel setup'!$K$5,".",IF(A6357=".",1,A6357+1))</f>
        <v>.</v>
      </c>
      <c r="B6358" s="431" t="str">
        <f t="shared" si="99"/>
        <v>Varicose VeinCCG of GP PracticeNHS HERTS VALLEYS CCG (06N)Aberdeen Varicose Vein Questionnaire</v>
      </c>
      <c r="C6358" t="s">
        <v>17</v>
      </c>
      <c r="D6358" t="s">
        <v>87</v>
      </c>
      <c r="E6358" t="s">
        <v>507</v>
      </c>
      <c r="F6358" t="s">
        <v>508</v>
      </c>
      <c r="G6358" t="s">
        <v>0</v>
      </c>
      <c r="H6358">
        <v>97</v>
      </c>
      <c r="I6358">
        <v>20.533999999999999</v>
      </c>
      <c r="J6358">
        <v>10.925000000000001</v>
      </c>
      <c r="K6358">
        <v>-9.61</v>
      </c>
      <c r="L6358">
        <v>81</v>
      </c>
      <c r="M6358">
        <v>0</v>
      </c>
      <c r="N6358">
        <v>16</v>
      </c>
      <c r="O6358">
        <v>10.271000000000001</v>
      </c>
      <c r="P6358">
        <v>-10.65184732</v>
      </c>
      <c r="Q6358">
        <v>14.734</v>
      </c>
    </row>
    <row r="6359" spans="1:17" x14ac:dyDescent="0.2">
      <c r="A6359" s="30" t="str">
        <f>IF(C6359&amp;G6359&amp;D6359&lt;&gt;'Funnel setup'!$K$3&amp;'Funnel setup'!$K$4&amp;'Funnel setup'!$K$5,".",IF(A6358=".",1,A6358+1))</f>
        <v>.</v>
      </c>
      <c r="B6359" s="431" t="str">
        <f t="shared" si="99"/>
        <v>Varicose VeinCCG of GP PracticeNHS HEYWOOD, MIDDLETON AND ROCHDALE CCG (01D)Aberdeen Varicose Vein Questionnaire</v>
      </c>
      <c r="C6359" t="s">
        <v>17</v>
      </c>
      <c r="D6359" t="s">
        <v>87</v>
      </c>
      <c r="E6359" t="s">
        <v>510</v>
      </c>
      <c r="F6359" t="s">
        <v>511</v>
      </c>
      <c r="G6359" t="s">
        <v>0</v>
      </c>
      <c r="H6359" t="s">
        <v>53</v>
      </c>
      <c r="I6359" t="s">
        <v>53</v>
      </c>
      <c r="J6359" t="s">
        <v>53</v>
      </c>
      <c r="K6359" t="s">
        <v>53</v>
      </c>
      <c r="L6359" t="s">
        <v>53</v>
      </c>
      <c r="M6359" t="s">
        <v>53</v>
      </c>
      <c r="N6359" t="s">
        <v>53</v>
      </c>
      <c r="O6359" t="s">
        <v>53</v>
      </c>
      <c r="P6359" t="s">
        <v>53</v>
      </c>
      <c r="Q6359" t="s">
        <v>53</v>
      </c>
    </row>
    <row r="6360" spans="1:17" x14ac:dyDescent="0.2">
      <c r="A6360" s="30" t="str">
        <f>IF(C6360&amp;G6360&amp;D6360&lt;&gt;'Funnel setup'!$K$3&amp;'Funnel setup'!$K$4&amp;'Funnel setup'!$K$5,".",IF(A6359=".",1,A6359+1))</f>
        <v>.</v>
      </c>
      <c r="B6360" s="431" t="str">
        <f t="shared" si="99"/>
        <v>Varicose VeinCCG of GP PracticeNHS HIGH WEALD LEWES HAVENS CCG (99K)Aberdeen Varicose Vein Questionnaire</v>
      </c>
      <c r="C6360" t="s">
        <v>17</v>
      </c>
      <c r="D6360" t="s">
        <v>87</v>
      </c>
      <c r="E6360" t="s">
        <v>513</v>
      </c>
      <c r="F6360" t="s">
        <v>514</v>
      </c>
      <c r="G6360" t="s">
        <v>0</v>
      </c>
      <c r="H6360">
        <v>15</v>
      </c>
      <c r="I6360">
        <v>24.277999999999999</v>
      </c>
      <c r="J6360">
        <v>13.593999999999999</v>
      </c>
      <c r="K6360">
        <v>-10.683</v>
      </c>
      <c r="L6360">
        <v>12</v>
      </c>
      <c r="M6360">
        <v>0</v>
      </c>
      <c r="N6360">
        <v>3</v>
      </c>
      <c r="O6360" t="s">
        <v>53</v>
      </c>
      <c r="P6360" t="s">
        <v>53</v>
      </c>
      <c r="Q6360" t="s">
        <v>53</v>
      </c>
    </row>
    <row r="6361" spans="1:17" x14ac:dyDescent="0.2">
      <c r="A6361" s="30" t="str">
        <f>IF(C6361&amp;G6361&amp;D6361&lt;&gt;'Funnel setup'!$K$3&amp;'Funnel setup'!$K$4&amp;'Funnel setup'!$K$5,".",IF(A6360=".",1,A6360+1))</f>
        <v>.</v>
      </c>
      <c r="B6361" s="431" t="str">
        <f t="shared" si="99"/>
        <v>Varicose VeinCCG of GP PracticeNHS HILLINGDON CCG (08G)Aberdeen Varicose Vein Questionnaire</v>
      </c>
      <c r="C6361" t="s">
        <v>17</v>
      </c>
      <c r="D6361" t="s">
        <v>87</v>
      </c>
      <c r="E6361" t="s">
        <v>516</v>
      </c>
      <c r="F6361" t="s">
        <v>517</v>
      </c>
      <c r="G6361" t="s">
        <v>0</v>
      </c>
      <c r="H6361">
        <v>13</v>
      </c>
      <c r="I6361">
        <v>24.338000000000001</v>
      </c>
      <c r="J6361">
        <v>14.597</v>
      </c>
      <c r="K6361">
        <v>-9.7409999999999997</v>
      </c>
      <c r="L6361">
        <v>11</v>
      </c>
      <c r="M6361">
        <v>0</v>
      </c>
      <c r="N6361">
        <v>2</v>
      </c>
      <c r="O6361" t="s">
        <v>53</v>
      </c>
      <c r="P6361" t="s">
        <v>53</v>
      </c>
      <c r="Q6361" t="s">
        <v>53</v>
      </c>
    </row>
    <row r="6362" spans="1:17" x14ac:dyDescent="0.2">
      <c r="A6362" s="30" t="str">
        <f>IF(C6362&amp;G6362&amp;D6362&lt;&gt;'Funnel setup'!$K$3&amp;'Funnel setup'!$K$4&amp;'Funnel setup'!$K$5,".",IF(A6361=".",1,A6361+1))</f>
        <v>.</v>
      </c>
      <c r="B6362" s="431" t="str">
        <f t="shared" si="99"/>
        <v>Varicose VeinCCG of GP PracticeNHS HORSHAM AND MID SUSSEX CCG (09X)Aberdeen Varicose Vein Questionnaire</v>
      </c>
      <c r="C6362" t="s">
        <v>17</v>
      </c>
      <c r="D6362" t="s">
        <v>87</v>
      </c>
      <c r="E6362" t="s">
        <v>519</v>
      </c>
      <c r="F6362" t="s">
        <v>520</v>
      </c>
      <c r="G6362" t="s">
        <v>0</v>
      </c>
      <c r="H6362">
        <v>16</v>
      </c>
      <c r="I6362">
        <v>28.853000000000002</v>
      </c>
      <c r="J6362">
        <v>16.524000000000001</v>
      </c>
      <c r="K6362">
        <v>-12.329000000000001</v>
      </c>
      <c r="L6362">
        <v>15</v>
      </c>
      <c r="M6362">
        <v>0</v>
      </c>
      <c r="N6362">
        <v>1</v>
      </c>
      <c r="O6362" t="s">
        <v>53</v>
      </c>
      <c r="P6362" t="s">
        <v>53</v>
      </c>
      <c r="Q6362" t="s">
        <v>53</v>
      </c>
    </row>
    <row r="6363" spans="1:17" x14ac:dyDescent="0.2">
      <c r="A6363" s="30" t="str">
        <f>IF(C6363&amp;G6363&amp;D6363&lt;&gt;'Funnel setup'!$K$3&amp;'Funnel setup'!$K$4&amp;'Funnel setup'!$K$5,".",IF(A6362=".",1,A6362+1))</f>
        <v>.</v>
      </c>
      <c r="B6363" s="431" t="str">
        <f t="shared" si="99"/>
        <v>Varicose VeinCCG of GP PracticeNHS HOUNSLOW CCG (07Y)Aberdeen Varicose Vein Questionnaire</v>
      </c>
      <c r="C6363" t="s">
        <v>17</v>
      </c>
      <c r="D6363" t="s">
        <v>87</v>
      </c>
      <c r="E6363" t="s">
        <v>522</v>
      </c>
      <c r="F6363" t="s">
        <v>523</v>
      </c>
      <c r="G6363" t="s">
        <v>0</v>
      </c>
      <c r="H6363">
        <v>42</v>
      </c>
      <c r="I6363">
        <v>21.088999999999999</v>
      </c>
      <c r="J6363">
        <v>19.021999999999998</v>
      </c>
      <c r="K6363">
        <v>-2.0680000000000001</v>
      </c>
      <c r="L6363">
        <v>23</v>
      </c>
      <c r="M6363">
        <v>0</v>
      </c>
      <c r="N6363">
        <v>19</v>
      </c>
      <c r="O6363">
        <v>19.446000000000002</v>
      </c>
      <c r="P6363">
        <v>-1.4766234060000001</v>
      </c>
      <c r="Q6363">
        <v>18.359000000000002</v>
      </c>
    </row>
    <row r="6364" spans="1:17" x14ac:dyDescent="0.2">
      <c r="A6364" s="30" t="str">
        <f>IF(C6364&amp;G6364&amp;D6364&lt;&gt;'Funnel setup'!$K$3&amp;'Funnel setup'!$K$4&amp;'Funnel setup'!$K$5,".",IF(A6363=".",1,A6363+1))</f>
        <v>.</v>
      </c>
      <c r="B6364" s="431" t="str">
        <f t="shared" si="99"/>
        <v>Varicose VeinCCG of GP PracticeNHS HULL CCG (03F)Aberdeen Varicose Vein Questionnaire</v>
      </c>
      <c r="C6364" t="s">
        <v>17</v>
      </c>
      <c r="D6364" t="s">
        <v>87</v>
      </c>
      <c r="E6364" t="s">
        <v>525</v>
      </c>
      <c r="F6364" t="s">
        <v>526</v>
      </c>
      <c r="G6364" t="s">
        <v>0</v>
      </c>
      <c r="H6364">
        <v>44</v>
      </c>
      <c r="I6364">
        <v>19.076000000000001</v>
      </c>
      <c r="J6364">
        <v>8.9979999999999993</v>
      </c>
      <c r="K6364">
        <v>-10.077</v>
      </c>
      <c r="L6364">
        <v>38</v>
      </c>
      <c r="M6364">
        <v>0</v>
      </c>
      <c r="N6364">
        <v>6</v>
      </c>
      <c r="O6364">
        <v>8.1760000000000002</v>
      </c>
      <c r="P6364">
        <v>-12.746933240000001</v>
      </c>
      <c r="Q6364">
        <v>12.173</v>
      </c>
    </row>
    <row r="6365" spans="1:17" x14ac:dyDescent="0.2">
      <c r="A6365" s="30" t="str">
        <f>IF(C6365&amp;G6365&amp;D6365&lt;&gt;'Funnel setup'!$K$3&amp;'Funnel setup'!$K$4&amp;'Funnel setup'!$K$5,".",IF(A6364=".",1,A6364+1))</f>
        <v>.</v>
      </c>
      <c r="B6365" s="431" t="str">
        <f t="shared" si="99"/>
        <v>Varicose VeinCCG of GP PracticeNHS IPSWICH AND EAST SUFFOLK CCG (06L)Aberdeen Varicose Vein Questionnaire</v>
      </c>
      <c r="C6365" t="s">
        <v>17</v>
      </c>
      <c r="D6365" t="s">
        <v>87</v>
      </c>
      <c r="E6365" t="s">
        <v>528</v>
      </c>
      <c r="F6365" t="s">
        <v>529</v>
      </c>
      <c r="G6365" t="s">
        <v>0</v>
      </c>
      <c r="H6365">
        <v>108</v>
      </c>
      <c r="I6365">
        <v>19.756</v>
      </c>
      <c r="J6365">
        <v>11.335000000000001</v>
      </c>
      <c r="K6365">
        <v>-8.4209999999999994</v>
      </c>
      <c r="L6365">
        <v>91</v>
      </c>
      <c r="M6365">
        <v>0</v>
      </c>
      <c r="N6365">
        <v>17</v>
      </c>
      <c r="O6365">
        <v>10.497</v>
      </c>
      <c r="P6365">
        <v>-10.42503445</v>
      </c>
      <c r="Q6365">
        <v>12.993</v>
      </c>
    </row>
    <row r="6366" spans="1:17" x14ac:dyDescent="0.2">
      <c r="A6366" s="30" t="str">
        <f>IF(C6366&amp;G6366&amp;D6366&lt;&gt;'Funnel setup'!$K$3&amp;'Funnel setup'!$K$4&amp;'Funnel setup'!$K$5,".",IF(A6365=".",1,A6365+1))</f>
        <v>.</v>
      </c>
      <c r="B6366" s="431" t="str">
        <f t="shared" si="99"/>
        <v>Varicose VeinCCG of GP PracticeNHS ISLINGTON CCG (08H)Aberdeen Varicose Vein Questionnaire</v>
      </c>
      <c r="C6366" t="s">
        <v>17</v>
      </c>
      <c r="D6366" t="s">
        <v>87</v>
      </c>
      <c r="E6366" t="s">
        <v>534</v>
      </c>
      <c r="F6366" t="s">
        <v>535</v>
      </c>
      <c r="G6366" t="s">
        <v>0</v>
      </c>
      <c r="H6366">
        <v>28</v>
      </c>
      <c r="I6366">
        <v>21.658999999999999</v>
      </c>
      <c r="J6366">
        <v>14.163</v>
      </c>
      <c r="K6366">
        <v>-7.4960000000000004</v>
      </c>
      <c r="L6366">
        <v>25</v>
      </c>
      <c r="M6366">
        <v>0</v>
      </c>
      <c r="N6366">
        <v>3</v>
      </c>
      <c r="O6366" t="s">
        <v>53</v>
      </c>
      <c r="P6366" t="s">
        <v>53</v>
      </c>
      <c r="Q6366" t="s">
        <v>53</v>
      </c>
    </row>
    <row r="6367" spans="1:17" x14ac:dyDescent="0.2">
      <c r="A6367" s="30" t="str">
        <f>IF(C6367&amp;G6367&amp;D6367&lt;&gt;'Funnel setup'!$K$3&amp;'Funnel setup'!$K$4&amp;'Funnel setup'!$K$5,".",IF(A6366=".",1,A6366+1))</f>
        <v>.</v>
      </c>
      <c r="B6367" s="431" t="str">
        <f t="shared" si="99"/>
        <v>Varicose VeinCCG of GP PracticeNHS KERNOW CCG (11N)Aberdeen Varicose Vein Questionnaire</v>
      </c>
      <c r="C6367" t="s">
        <v>17</v>
      </c>
      <c r="D6367" t="s">
        <v>87</v>
      </c>
      <c r="E6367" t="s">
        <v>537</v>
      </c>
      <c r="F6367" t="s">
        <v>538</v>
      </c>
      <c r="G6367" t="s">
        <v>0</v>
      </c>
      <c r="H6367">
        <v>107</v>
      </c>
      <c r="I6367">
        <v>22.257999999999999</v>
      </c>
      <c r="J6367">
        <v>13.247999999999999</v>
      </c>
      <c r="K6367">
        <v>-9.0090000000000003</v>
      </c>
      <c r="L6367">
        <v>90</v>
      </c>
      <c r="M6367">
        <v>0</v>
      </c>
      <c r="N6367">
        <v>17</v>
      </c>
      <c r="O6367">
        <v>14.141999999999999</v>
      </c>
      <c r="P6367">
        <v>-6.7802741329999998</v>
      </c>
      <c r="Q6367">
        <v>17.893000000000001</v>
      </c>
    </row>
    <row r="6368" spans="1:17" x14ac:dyDescent="0.2">
      <c r="A6368" s="30" t="str">
        <f>IF(C6368&amp;G6368&amp;D6368&lt;&gt;'Funnel setup'!$K$3&amp;'Funnel setup'!$K$4&amp;'Funnel setup'!$K$5,".",IF(A6367=".",1,A6367+1))</f>
        <v>.</v>
      </c>
      <c r="B6368" s="431" t="str">
        <f t="shared" si="99"/>
        <v>Varicose VeinCCG of GP PracticeNHS KINGSTON CCG (08J)Aberdeen Varicose Vein Questionnaire</v>
      </c>
      <c r="C6368" t="s">
        <v>17</v>
      </c>
      <c r="D6368" t="s">
        <v>87</v>
      </c>
      <c r="E6368" t="s">
        <v>540</v>
      </c>
      <c r="F6368" t="s">
        <v>541</v>
      </c>
      <c r="G6368" t="s">
        <v>0</v>
      </c>
      <c r="H6368" t="s">
        <v>53</v>
      </c>
      <c r="I6368" t="s">
        <v>53</v>
      </c>
      <c r="J6368" t="s">
        <v>53</v>
      </c>
      <c r="K6368" t="s">
        <v>53</v>
      </c>
      <c r="L6368" t="s">
        <v>53</v>
      </c>
      <c r="M6368" t="s">
        <v>53</v>
      </c>
      <c r="N6368" t="s">
        <v>53</v>
      </c>
      <c r="O6368" t="s">
        <v>53</v>
      </c>
      <c r="P6368" t="s">
        <v>53</v>
      </c>
      <c r="Q6368" t="s">
        <v>53</v>
      </c>
    </row>
    <row r="6369" spans="1:17" x14ac:dyDescent="0.2">
      <c r="A6369" s="30" t="str">
        <f>IF(C6369&amp;G6369&amp;D6369&lt;&gt;'Funnel setup'!$K$3&amp;'Funnel setup'!$K$4&amp;'Funnel setup'!$K$5,".",IF(A6368=".",1,A6368+1))</f>
        <v>.</v>
      </c>
      <c r="B6369" s="431" t="str">
        <f t="shared" si="99"/>
        <v>Varicose VeinCCG of GP PracticeNHS KNOWSLEY CCG (01J)Aberdeen Varicose Vein Questionnaire</v>
      </c>
      <c r="C6369" t="s">
        <v>17</v>
      </c>
      <c r="D6369" t="s">
        <v>87</v>
      </c>
      <c r="E6369" t="s">
        <v>543</v>
      </c>
      <c r="F6369" t="s">
        <v>544</v>
      </c>
      <c r="G6369" t="s">
        <v>0</v>
      </c>
      <c r="H6369" t="s">
        <v>53</v>
      </c>
      <c r="I6369" t="s">
        <v>53</v>
      </c>
      <c r="J6369" t="s">
        <v>53</v>
      </c>
      <c r="K6369" t="s">
        <v>53</v>
      </c>
      <c r="L6369" t="s">
        <v>53</v>
      </c>
      <c r="M6369" t="s">
        <v>53</v>
      </c>
      <c r="N6369" t="s">
        <v>53</v>
      </c>
      <c r="O6369" t="s">
        <v>53</v>
      </c>
      <c r="P6369" t="s">
        <v>53</v>
      </c>
      <c r="Q6369" t="s">
        <v>53</v>
      </c>
    </row>
    <row r="6370" spans="1:17" x14ac:dyDescent="0.2">
      <c r="A6370" s="30" t="str">
        <f>IF(C6370&amp;G6370&amp;D6370&lt;&gt;'Funnel setup'!$K$3&amp;'Funnel setup'!$K$4&amp;'Funnel setup'!$K$5,".",IF(A6369=".",1,A6369+1))</f>
        <v>.</v>
      </c>
      <c r="B6370" s="431" t="str">
        <f t="shared" si="99"/>
        <v>Varicose VeinCCG of GP PracticeNHS LAMBETH CCG (08K)Aberdeen Varicose Vein Questionnaire</v>
      </c>
      <c r="C6370" t="s">
        <v>17</v>
      </c>
      <c r="D6370" t="s">
        <v>87</v>
      </c>
      <c r="E6370" t="s">
        <v>546</v>
      </c>
      <c r="F6370" t="s">
        <v>547</v>
      </c>
      <c r="G6370" t="s">
        <v>0</v>
      </c>
      <c r="H6370">
        <v>22</v>
      </c>
      <c r="I6370">
        <v>24.56</v>
      </c>
      <c r="J6370">
        <v>15.634</v>
      </c>
      <c r="K6370">
        <v>-8.9260000000000002</v>
      </c>
      <c r="L6370">
        <v>18</v>
      </c>
      <c r="M6370">
        <v>0</v>
      </c>
      <c r="N6370">
        <v>4</v>
      </c>
      <c r="O6370" t="s">
        <v>53</v>
      </c>
      <c r="P6370" t="s">
        <v>53</v>
      </c>
      <c r="Q6370" t="s">
        <v>53</v>
      </c>
    </row>
    <row r="6371" spans="1:17" x14ac:dyDescent="0.2">
      <c r="A6371" s="30" t="str">
        <f>IF(C6371&amp;G6371&amp;D6371&lt;&gt;'Funnel setup'!$K$3&amp;'Funnel setup'!$K$4&amp;'Funnel setup'!$K$5,".",IF(A6370=".",1,A6370+1))</f>
        <v>.</v>
      </c>
      <c r="B6371" s="431" t="str">
        <f t="shared" si="99"/>
        <v>Varicose VeinCCG of GP PracticeNHS LANCASHIRE NORTH CCG (01K)Aberdeen Varicose Vein Questionnaire</v>
      </c>
      <c r="C6371" t="s">
        <v>17</v>
      </c>
      <c r="D6371" t="s">
        <v>87</v>
      </c>
      <c r="E6371" t="s">
        <v>549</v>
      </c>
      <c r="F6371" t="s">
        <v>550</v>
      </c>
      <c r="G6371" t="s">
        <v>0</v>
      </c>
      <c r="H6371">
        <v>13</v>
      </c>
      <c r="I6371">
        <v>17.635000000000002</v>
      </c>
      <c r="J6371">
        <v>11.502000000000001</v>
      </c>
      <c r="K6371">
        <v>-6.133</v>
      </c>
      <c r="L6371">
        <v>11</v>
      </c>
      <c r="M6371">
        <v>0</v>
      </c>
      <c r="N6371">
        <v>2</v>
      </c>
      <c r="O6371" t="s">
        <v>53</v>
      </c>
      <c r="P6371" t="s">
        <v>53</v>
      </c>
      <c r="Q6371" t="s">
        <v>53</v>
      </c>
    </row>
    <row r="6372" spans="1:17" x14ac:dyDescent="0.2">
      <c r="A6372" s="30" t="str">
        <f>IF(C6372&amp;G6372&amp;D6372&lt;&gt;'Funnel setup'!$K$3&amp;'Funnel setup'!$K$4&amp;'Funnel setup'!$K$5,".",IF(A6371=".",1,A6371+1))</f>
        <v>.</v>
      </c>
      <c r="B6372" s="431" t="str">
        <f t="shared" si="99"/>
        <v>Varicose VeinCCG of GP PracticeNHS LEEDS NORTH CCG (02V)Aberdeen Varicose Vein Questionnaire</v>
      </c>
      <c r="C6372" t="s">
        <v>17</v>
      </c>
      <c r="D6372" t="s">
        <v>87</v>
      </c>
      <c r="E6372" t="s">
        <v>552</v>
      </c>
      <c r="F6372" t="s">
        <v>337</v>
      </c>
      <c r="G6372" t="s">
        <v>0</v>
      </c>
      <c r="H6372">
        <v>50</v>
      </c>
      <c r="I6372">
        <v>18.465</v>
      </c>
      <c r="J6372">
        <v>11.696999999999999</v>
      </c>
      <c r="K6372">
        <v>-6.7679999999999998</v>
      </c>
      <c r="L6372">
        <v>39</v>
      </c>
      <c r="M6372">
        <v>0</v>
      </c>
      <c r="N6372">
        <v>11</v>
      </c>
      <c r="O6372">
        <v>10.047000000000001</v>
      </c>
      <c r="P6372">
        <v>-10.875060449999999</v>
      </c>
      <c r="Q6372">
        <v>13.414999999999999</v>
      </c>
    </row>
    <row r="6373" spans="1:17" x14ac:dyDescent="0.2">
      <c r="A6373" s="30" t="str">
        <f>IF(C6373&amp;G6373&amp;D6373&lt;&gt;'Funnel setup'!$K$3&amp;'Funnel setup'!$K$4&amp;'Funnel setup'!$K$5,".",IF(A6372=".",1,A6372+1))</f>
        <v>.</v>
      </c>
      <c r="B6373" s="431" t="str">
        <f t="shared" si="99"/>
        <v>Varicose VeinCCG of GP PracticeNHS LEEDS SOUTH AND EAST CCG (03G)Aberdeen Varicose Vein Questionnaire</v>
      </c>
      <c r="C6373" t="s">
        <v>17</v>
      </c>
      <c r="D6373" t="s">
        <v>87</v>
      </c>
      <c r="E6373" t="s">
        <v>396</v>
      </c>
      <c r="F6373" t="s">
        <v>397</v>
      </c>
      <c r="G6373" t="s">
        <v>0</v>
      </c>
      <c r="H6373">
        <v>90</v>
      </c>
      <c r="I6373">
        <v>19.635999999999999</v>
      </c>
      <c r="J6373">
        <v>11.914</v>
      </c>
      <c r="K6373">
        <v>-7.7220000000000004</v>
      </c>
      <c r="L6373">
        <v>78</v>
      </c>
      <c r="M6373">
        <v>0</v>
      </c>
      <c r="N6373">
        <v>12</v>
      </c>
      <c r="O6373">
        <v>11.404</v>
      </c>
      <c r="P6373">
        <v>-9.5188340950000008</v>
      </c>
      <c r="Q6373">
        <v>14.84</v>
      </c>
    </row>
    <row r="6374" spans="1:17" x14ac:dyDescent="0.2">
      <c r="A6374" s="30" t="str">
        <f>IF(C6374&amp;G6374&amp;D6374&lt;&gt;'Funnel setup'!$K$3&amp;'Funnel setup'!$K$4&amp;'Funnel setup'!$K$5,".",IF(A6373=".",1,A6373+1))</f>
        <v>.</v>
      </c>
      <c r="B6374" s="431" t="str">
        <f t="shared" si="99"/>
        <v>Varicose VeinCCG of GP PracticeNHS LEEDS WEST CCG (03C)Aberdeen Varicose Vein Questionnaire</v>
      </c>
      <c r="C6374" t="s">
        <v>17</v>
      </c>
      <c r="D6374" t="s">
        <v>87</v>
      </c>
      <c r="E6374" t="s">
        <v>399</v>
      </c>
      <c r="F6374" t="s">
        <v>400</v>
      </c>
      <c r="G6374" t="s">
        <v>0</v>
      </c>
      <c r="H6374">
        <v>97</v>
      </c>
      <c r="I6374">
        <v>18.009</v>
      </c>
      <c r="J6374">
        <v>10.721</v>
      </c>
      <c r="K6374">
        <v>-7.2880000000000003</v>
      </c>
      <c r="L6374">
        <v>83</v>
      </c>
      <c r="M6374">
        <v>0</v>
      </c>
      <c r="N6374">
        <v>14</v>
      </c>
      <c r="O6374">
        <v>9.0269999999999992</v>
      </c>
      <c r="P6374">
        <v>-11.895083830000001</v>
      </c>
      <c r="Q6374">
        <v>15.545</v>
      </c>
    </row>
    <row r="6375" spans="1:17" x14ac:dyDescent="0.2">
      <c r="A6375" s="30" t="str">
        <f>IF(C6375&amp;G6375&amp;D6375&lt;&gt;'Funnel setup'!$K$3&amp;'Funnel setup'!$K$4&amp;'Funnel setup'!$K$5,".",IF(A6374=".",1,A6374+1))</f>
        <v>.</v>
      </c>
      <c r="B6375" s="431" t="str">
        <f t="shared" si="99"/>
        <v>Varicose VeinCCG of GP PracticeNHS LEICESTER CITY CCG (04C)Aberdeen Varicose Vein Questionnaire</v>
      </c>
      <c r="C6375" t="s">
        <v>17</v>
      </c>
      <c r="D6375" t="s">
        <v>87</v>
      </c>
      <c r="E6375" t="s">
        <v>554</v>
      </c>
      <c r="F6375" t="s">
        <v>555</v>
      </c>
      <c r="G6375" t="s">
        <v>0</v>
      </c>
      <c r="H6375">
        <v>13</v>
      </c>
      <c r="I6375">
        <v>23.068000000000001</v>
      </c>
      <c r="J6375">
        <v>11.375</v>
      </c>
      <c r="K6375">
        <v>-11.693</v>
      </c>
      <c r="L6375">
        <v>10</v>
      </c>
      <c r="M6375">
        <v>0</v>
      </c>
      <c r="N6375">
        <v>3</v>
      </c>
      <c r="O6375" t="s">
        <v>53</v>
      </c>
      <c r="P6375" t="s">
        <v>53</v>
      </c>
      <c r="Q6375" t="s">
        <v>53</v>
      </c>
    </row>
    <row r="6376" spans="1:17" x14ac:dyDescent="0.2">
      <c r="A6376" s="30" t="str">
        <f>IF(C6376&amp;G6376&amp;D6376&lt;&gt;'Funnel setup'!$K$3&amp;'Funnel setup'!$K$4&amp;'Funnel setup'!$K$5,".",IF(A6375=".",1,A6375+1))</f>
        <v>.</v>
      </c>
      <c r="B6376" s="431" t="str">
        <f t="shared" si="99"/>
        <v>Varicose VeinCCG of GP PracticeNHS LEWISHAM CCG (08L)Aberdeen Varicose Vein Questionnaire</v>
      </c>
      <c r="C6376" t="s">
        <v>17</v>
      </c>
      <c r="D6376" t="s">
        <v>87</v>
      </c>
      <c r="E6376" t="s">
        <v>557</v>
      </c>
      <c r="F6376" t="s">
        <v>558</v>
      </c>
      <c r="G6376" t="s">
        <v>0</v>
      </c>
      <c r="H6376">
        <v>38</v>
      </c>
      <c r="I6376">
        <v>20.451000000000001</v>
      </c>
      <c r="J6376">
        <v>18.288</v>
      </c>
      <c r="K6376">
        <v>-2.1629999999999998</v>
      </c>
      <c r="L6376">
        <v>23</v>
      </c>
      <c r="M6376">
        <v>0</v>
      </c>
      <c r="N6376">
        <v>15</v>
      </c>
      <c r="O6376">
        <v>19.055</v>
      </c>
      <c r="P6376">
        <v>-1.867714004</v>
      </c>
      <c r="Q6376">
        <v>20.225999999999999</v>
      </c>
    </row>
    <row r="6377" spans="1:17" x14ac:dyDescent="0.2">
      <c r="A6377" s="30" t="str">
        <f>IF(C6377&amp;G6377&amp;D6377&lt;&gt;'Funnel setup'!$K$3&amp;'Funnel setup'!$K$4&amp;'Funnel setup'!$K$5,".",IF(A6376=".",1,A6376+1))</f>
        <v>.</v>
      </c>
      <c r="B6377" s="431" t="str">
        <f t="shared" si="99"/>
        <v>Varicose VeinCCG of GP PracticeNHS LINCOLNSHIRE EAST CCG (03T)Aberdeen Varicose Vein Questionnaire</v>
      </c>
      <c r="C6377" t="s">
        <v>17</v>
      </c>
      <c r="D6377" t="s">
        <v>87</v>
      </c>
      <c r="E6377" t="s">
        <v>560</v>
      </c>
      <c r="F6377" t="s">
        <v>561</v>
      </c>
      <c r="G6377" t="s">
        <v>0</v>
      </c>
      <c r="H6377">
        <v>29</v>
      </c>
      <c r="I6377">
        <v>22.41</v>
      </c>
      <c r="J6377">
        <v>10.692</v>
      </c>
      <c r="K6377">
        <v>-11.718</v>
      </c>
      <c r="L6377">
        <v>25</v>
      </c>
      <c r="M6377">
        <v>0</v>
      </c>
      <c r="N6377">
        <v>4</v>
      </c>
      <c r="O6377" t="s">
        <v>53</v>
      </c>
      <c r="P6377" t="s">
        <v>53</v>
      </c>
      <c r="Q6377" t="s">
        <v>53</v>
      </c>
    </row>
    <row r="6378" spans="1:17" x14ac:dyDescent="0.2">
      <c r="A6378" s="30" t="str">
        <f>IF(C6378&amp;G6378&amp;D6378&lt;&gt;'Funnel setup'!$K$3&amp;'Funnel setup'!$K$4&amp;'Funnel setup'!$K$5,".",IF(A6377=".",1,A6377+1))</f>
        <v>.</v>
      </c>
      <c r="B6378" s="431" t="str">
        <f t="shared" si="99"/>
        <v>Varicose VeinCCG of GP PracticeNHS LINCOLNSHIRE WEST CCG (04D)Aberdeen Varicose Vein Questionnaire</v>
      </c>
      <c r="C6378" t="s">
        <v>17</v>
      </c>
      <c r="D6378" t="s">
        <v>87</v>
      </c>
      <c r="E6378" t="s">
        <v>408</v>
      </c>
      <c r="F6378" t="s">
        <v>409</v>
      </c>
      <c r="G6378" t="s">
        <v>0</v>
      </c>
      <c r="H6378">
        <v>15</v>
      </c>
      <c r="I6378">
        <v>26.15</v>
      </c>
      <c r="J6378">
        <v>15.956</v>
      </c>
      <c r="K6378">
        <v>-10.193</v>
      </c>
      <c r="L6378">
        <v>12</v>
      </c>
      <c r="M6378">
        <v>0</v>
      </c>
      <c r="N6378">
        <v>3</v>
      </c>
      <c r="O6378" t="s">
        <v>53</v>
      </c>
      <c r="P6378" t="s">
        <v>53</v>
      </c>
      <c r="Q6378" t="s">
        <v>53</v>
      </c>
    </row>
    <row r="6379" spans="1:17" x14ac:dyDescent="0.2">
      <c r="A6379" s="30" t="str">
        <f>IF(C6379&amp;G6379&amp;D6379&lt;&gt;'Funnel setup'!$K$3&amp;'Funnel setup'!$K$4&amp;'Funnel setup'!$K$5,".",IF(A6378=".",1,A6378+1))</f>
        <v>.</v>
      </c>
      <c r="B6379" s="431" t="str">
        <f t="shared" si="99"/>
        <v>Varicose VeinCCG of GP PracticeNHS LIVERPOOL CCG (99A)Aberdeen Varicose Vein Questionnaire</v>
      </c>
      <c r="C6379" t="s">
        <v>17</v>
      </c>
      <c r="D6379" t="s">
        <v>87</v>
      </c>
      <c r="E6379" t="s">
        <v>411</v>
      </c>
      <c r="F6379" t="s">
        <v>412</v>
      </c>
      <c r="G6379" t="s">
        <v>0</v>
      </c>
      <c r="H6379">
        <v>26</v>
      </c>
      <c r="I6379">
        <v>25.391999999999999</v>
      </c>
      <c r="J6379">
        <v>17.608000000000001</v>
      </c>
      <c r="K6379">
        <v>-7.7839999999999998</v>
      </c>
      <c r="L6379">
        <v>21</v>
      </c>
      <c r="M6379">
        <v>0</v>
      </c>
      <c r="N6379">
        <v>5</v>
      </c>
      <c r="O6379" t="s">
        <v>53</v>
      </c>
      <c r="P6379" t="s">
        <v>53</v>
      </c>
      <c r="Q6379" t="s">
        <v>53</v>
      </c>
    </row>
    <row r="6380" spans="1:17" x14ac:dyDescent="0.2">
      <c r="A6380" s="30" t="str">
        <f>IF(C6380&amp;G6380&amp;D6380&lt;&gt;'Funnel setup'!$K$3&amp;'Funnel setup'!$K$4&amp;'Funnel setup'!$K$5,".",IF(A6379=".",1,A6379+1))</f>
        <v>.</v>
      </c>
      <c r="B6380" s="431" t="str">
        <f t="shared" si="99"/>
        <v>Varicose VeinCCG of GP PracticeNHS LUTON CCG (06P)Aberdeen Varicose Vein Questionnaire</v>
      </c>
      <c r="C6380" t="s">
        <v>17</v>
      </c>
      <c r="D6380" t="s">
        <v>87</v>
      </c>
      <c r="E6380" t="s">
        <v>414</v>
      </c>
      <c r="F6380" t="s">
        <v>415</v>
      </c>
      <c r="G6380" t="s">
        <v>0</v>
      </c>
      <c r="H6380">
        <v>20</v>
      </c>
      <c r="I6380">
        <v>23.332999999999998</v>
      </c>
      <c r="J6380">
        <v>15.67</v>
      </c>
      <c r="K6380">
        <v>-7.6630000000000003</v>
      </c>
      <c r="L6380">
        <v>17</v>
      </c>
      <c r="M6380">
        <v>0</v>
      </c>
      <c r="N6380">
        <v>3</v>
      </c>
      <c r="O6380" t="s">
        <v>53</v>
      </c>
      <c r="P6380" t="s">
        <v>53</v>
      </c>
      <c r="Q6380" t="s">
        <v>53</v>
      </c>
    </row>
    <row r="6381" spans="1:17" x14ac:dyDescent="0.2">
      <c r="A6381" s="30" t="str">
        <f>IF(C6381&amp;G6381&amp;D6381&lt;&gt;'Funnel setup'!$K$3&amp;'Funnel setup'!$K$4&amp;'Funnel setup'!$K$5,".",IF(A6380=".",1,A6380+1))</f>
        <v>.</v>
      </c>
      <c r="B6381" s="431" t="str">
        <f t="shared" si="99"/>
        <v>Varicose VeinCCG of GP PracticeNHS MANSFIELD AND ASHFIELD CCG (04E)Aberdeen Varicose Vein Questionnaire</v>
      </c>
      <c r="C6381" t="s">
        <v>17</v>
      </c>
      <c r="D6381" t="s">
        <v>87</v>
      </c>
      <c r="E6381" t="s">
        <v>417</v>
      </c>
      <c r="F6381" t="s">
        <v>418</v>
      </c>
      <c r="G6381" t="s">
        <v>0</v>
      </c>
      <c r="H6381">
        <v>59</v>
      </c>
      <c r="I6381">
        <v>23.038</v>
      </c>
      <c r="J6381">
        <v>14.465999999999999</v>
      </c>
      <c r="K6381">
        <v>-8.5719999999999992</v>
      </c>
      <c r="L6381">
        <v>50</v>
      </c>
      <c r="M6381">
        <v>0</v>
      </c>
      <c r="N6381">
        <v>9</v>
      </c>
      <c r="O6381">
        <v>15.667999999999999</v>
      </c>
      <c r="P6381">
        <v>-5.2541603859999997</v>
      </c>
      <c r="Q6381">
        <v>16.841000000000001</v>
      </c>
    </row>
    <row r="6382" spans="1:17" x14ac:dyDescent="0.2">
      <c r="A6382" s="30" t="str">
        <f>IF(C6382&amp;G6382&amp;D6382&lt;&gt;'Funnel setup'!$K$3&amp;'Funnel setup'!$K$4&amp;'Funnel setup'!$K$5,".",IF(A6381=".",1,A6381+1))</f>
        <v>.</v>
      </c>
      <c r="B6382" s="431" t="str">
        <f t="shared" si="99"/>
        <v>Varicose VeinCCG of GP PracticeNHS MEDWAY CCG (09W)Aberdeen Varicose Vein Questionnaire</v>
      </c>
      <c r="C6382" t="s">
        <v>17</v>
      </c>
      <c r="D6382" t="s">
        <v>87</v>
      </c>
      <c r="E6382" t="s">
        <v>610</v>
      </c>
      <c r="F6382" t="s">
        <v>611</v>
      </c>
      <c r="G6382" t="s">
        <v>0</v>
      </c>
      <c r="H6382">
        <v>15</v>
      </c>
      <c r="I6382">
        <v>18.536000000000001</v>
      </c>
      <c r="J6382">
        <v>12.8</v>
      </c>
      <c r="K6382">
        <v>-5.7359999999999998</v>
      </c>
      <c r="L6382">
        <v>10</v>
      </c>
      <c r="M6382">
        <v>0</v>
      </c>
      <c r="N6382">
        <v>5</v>
      </c>
      <c r="O6382" t="s">
        <v>53</v>
      </c>
      <c r="P6382" t="s">
        <v>53</v>
      </c>
      <c r="Q6382" t="s">
        <v>53</v>
      </c>
    </row>
    <row r="6383" spans="1:17" x14ac:dyDescent="0.2">
      <c r="A6383" s="30" t="str">
        <f>IF(C6383&amp;G6383&amp;D6383&lt;&gt;'Funnel setup'!$K$3&amp;'Funnel setup'!$K$4&amp;'Funnel setup'!$K$5,".",IF(A6382=".",1,A6382+1))</f>
        <v>.</v>
      </c>
      <c r="B6383" s="431" t="str">
        <f t="shared" si="99"/>
        <v>Varicose VeinCCG of GP PracticeNHS MERTON CCG (08R)Aberdeen Varicose Vein Questionnaire</v>
      </c>
      <c r="C6383" t="s">
        <v>17</v>
      </c>
      <c r="D6383" t="s">
        <v>87</v>
      </c>
      <c r="E6383" t="s">
        <v>613</v>
      </c>
      <c r="F6383" t="s">
        <v>614</v>
      </c>
      <c r="G6383" t="s">
        <v>0</v>
      </c>
      <c r="H6383">
        <v>12</v>
      </c>
      <c r="I6383">
        <v>22.722000000000001</v>
      </c>
      <c r="J6383">
        <v>20.623999999999999</v>
      </c>
      <c r="K6383">
        <v>-2.0979999999999999</v>
      </c>
      <c r="L6383">
        <v>7</v>
      </c>
      <c r="M6383">
        <v>0</v>
      </c>
      <c r="N6383">
        <v>5</v>
      </c>
      <c r="O6383" t="s">
        <v>53</v>
      </c>
      <c r="P6383" t="s">
        <v>53</v>
      </c>
      <c r="Q6383" t="s">
        <v>53</v>
      </c>
    </row>
    <row r="6384" spans="1:17" x14ac:dyDescent="0.2">
      <c r="A6384" s="30" t="str">
        <f>IF(C6384&amp;G6384&amp;D6384&lt;&gt;'Funnel setup'!$K$3&amp;'Funnel setup'!$K$4&amp;'Funnel setup'!$K$5,".",IF(A6383=".",1,A6383+1))</f>
        <v>.</v>
      </c>
      <c r="B6384" s="431" t="str">
        <f t="shared" si="99"/>
        <v>Varicose VeinCCG of GP PracticeNHS MID ESSEX CCG (06Q)Aberdeen Varicose Vein Questionnaire</v>
      </c>
      <c r="C6384" t="s">
        <v>17</v>
      </c>
      <c r="D6384" t="s">
        <v>87</v>
      </c>
      <c r="E6384" t="s">
        <v>616</v>
      </c>
      <c r="F6384" t="s">
        <v>617</v>
      </c>
      <c r="G6384" t="s">
        <v>0</v>
      </c>
      <c r="H6384">
        <v>21</v>
      </c>
      <c r="I6384">
        <v>24.372</v>
      </c>
      <c r="J6384">
        <v>15.336</v>
      </c>
      <c r="K6384">
        <v>-9.0359999999999996</v>
      </c>
      <c r="L6384">
        <v>19</v>
      </c>
      <c r="M6384">
        <v>0</v>
      </c>
      <c r="N6384">
        <v>2</v>
      </c>
      <c r="O6384" t="s">
        <v>53</v>
      </c>
      <c r="P6384" t="s">
        <v>53</v>
      </c>
      <c r="Q6384" t="s">
        <v>53</v>
      </c>
    </row>
    <row r="6385" spans="1:17" x14ac:dyDescent="0.2">
      <c r="A6385" s="30" t="str">
        <f>IF(C6385&amp;G6385&amp;D6385&lt;&gt;'Funnel setup'!$K$3&amp;'Funnel setup'!$K$4&amp;'Funnel setup'!$K$5,".",IF(A6384=".",1,A6384+1))</f>
        <v>.</v>
      </c>
      <c r="B6385" s="431" t="str">
        <f t="shared" si="99"/>
        <v>Varicose VeinCCG of GP PracticeNHS MILTON KEYNES CCG (04F)Aberdeen Varicose Vein Questionnaire</v>
      </c>
      <c r="C6385" t="s">
        <v>17</v>
      </c>
      <c r="D6385" t="s">
        <v>87</v>
      </c>
      <c r="E6385" t="s">
        <v>619</v>
      </c>
      <c r="F6385" t="s">
        <v>338</v>
      </c>
      <c r="G6385" t="s">
        <v>0</v>
      </c>
      <c r="H6385">
        <v>19</v>
      </c>
      <c r="I6385">
        <v>26.004999999999999</v>
      </c>
      <c r="J6385">
        <v>18.135000000000002</v>
      </c>
      <c r="K6385">
        <v>-7.87</v>
      </c>
      <c r="L6385">
        <v>16</v>
      </c>
      <c r="M6385">
        <v>0</v>
      </c>
      <c r="N6385">
        <v>3</v>
      </c>
      <c r="O6385" t="s">
        <v>53</v>
      </c>
      <c r="P6385" t="s">
        <v>53</v>
      </c>
      <c r="Q6385" t="s">
        <v>53</v>
      </c>
    </row>
    <row r="6386" spans="1:17" x14ac:dyDescent="0.2">
      <c r="A6386" s="30" t="str">
        <f>IF(C6386&amp;G6386&amp;D6386&lt;&gt;'Funnel setup'!$K$3&amp;'Funnel setup'!$K$4&amp;'Funnel setup'!$K$5,".",IF(A6385=".",1,A6385+1))</f>
        <v>.</v>
      </c>
      <c r="B6386" s="431" t="str">
        <f t="shared" si="99"/>
        <v>Varicose VeinCCG of GP PracticeNHS NENE CCG (04G)Aberdeen Varicose Vein Questionnaire</v>
      </c>
      <c r="C6386" t="s">
        <v>17</v>
      </c>
      <c r="D6386" t="s">
        <v>87</v>
      </c>
      <c r="E6386" t="s">
        <v>621</v>
      </c>
      <c r="F6386" t="s">
        <v>622</v>
      </c>
      <c r="G6386" t="s">
        <v>0</v>
      </c>
      <c r="H6386">
        <v>33</v>
      </c>
      <c r="I6386">
        <v>25.106000000000002</v>
      </c>
      <c r="J6386">
        <v>14.839</v>
      </c>
      <c r="K6386">
        <v>-10.266999999999999</v>
      </c>
      <c r="L6386">
        <v>27</v>
      </c>
      <c r="M6386">
        <v>0</v>
      </c>
      <c r="N6386">
        <v>6</v>
      </c>
      <c r="O6386">
        <v>17.64</v>
      </c>
      <c r="P6386">
        <v>-3.2826408140000001</v>
      </c>
      <c r="Q6386">
        <v>21.300999999999998</v>
      </c>
    </row>
    <row r="6387" spans="1:17" x14ac:dyDescent="0.2">
      <c r="A6387" s="30" t="str">
        <f>IF(C6387&amp;G6387&amp;D6387&lt;&gt;'Funnel setup'!$K$3&amp;'Funnel setup'!$K$4&amp;'Funnel setup'!$K$5,".",IF(A6386=".",1,A6386+1))</f>
        <v>.</v>
      </c>
      <c r="B6387" s="431" t="str">
        <f t="shared" si="99"/>
        <v>Varicose VeinCCG of GP PracticeNHS NEWARK &amp; SHERWOOD CCG (04H)Aberdeen Varicose Vein Questionnaire</v>
      </c>
      <c r="C6387" t="s">
        <v>17</v>
      </c>
      <c r="D6387" t="s">
        <v>87</v>
      </c>
      <c r="E6387" t="s">
        <v>624</v>
      </c>
      <c r="F6387" t="s">
        <v>625</v>
      </c>
      <c r="G6387" t="s">
        <v>0</v>
      </c>
      <c r="H6387">
        <v>31</v>
      </c>
      <c r="I6387">
        <v>22.741</v>
      </c>
      <c r="J6387">
        <v>13.061999999999999</v>
      </c>
      <c r="K6387">
        <v>-9.6790000000000003</v>
      </c>
      <c r="L6387">
        <v>26</v>
      </c>
      <c r="M6387">
        <v>0</v>
      </c>
      <c r="N6387">
        <v>5</v>
      </c>
      <c r="O6387">
        <v>13.833</v>
      </c>
      <c r="P6387">
        <v>-7.0897722119999997</v>
      </c>
      <c r="Q6387">
        <v>15.225</v>
      </c>
    </row>
    <row r="6388" spans="1:17" x14ac:dyDescent="0.2">
      <c r="A6388" s="30" t="str">
        <f>IF(C6388&amp;G6388&amp;D6388&lt;&gt;'Funnel setup'!$K$3&amp;'Funnel setup'!$K$4&amp;'Funnel setup'!$K$5,".",IF(A6387=".",1,A6387+1))</f>
        <v>.</v>
      </c>
      <c r="B6388" s="431" t="str">
        <f t="shared" si="99"/>
        <v>Varicose VeinCCG of GP PracticeNHS NEWCASTLE GATESHEAD CCG (13T)Aberdeen Varicose Vein Questionnaire</v>
      </c>
      <c r="C6388" t="s">
        <v>17</v>
      </c>
      <c r="D6388" t="s">
        <v>87</v>
      </c>
      <c r="E6388" t="s">
        <v>6553</v>
      </c>
      <c r="F6388" t="s">
        <v>6543</v>
      </c>
      <c r="G6388" t="s">
        <v>0</v>
      </c>
      <c r="H6388">
        <v>137</v>
      </c>
      <c r="I6388">
        <v>17.111000000000001</v>
      </c>
      <c r="J6388">
        <v>10.494999999999999</v>
      </c>
      <c r="K6388">
        <v>-6.6159999999999997</v>
      </c>
      <c r="L6388">
        <v>113</v>
      </c>
      <c r="M6388">
        <v>0</v>
      </c>
      <c r="N6388">
        <v>24</v>
      </c>
      <c r="O6388">
        <v>8.4250000000000007</v>
      </c>
      <c r="P6388">
        <v>-12.497883659999999</v>
      </c>
      <c r="Q6388">
        <v>12.242000000000001</v>
      </c>
    </row>
    <row r="6389" spans="1:17" x14ac:dyDescent="0.2">
      <c r="A6389" s="30" t="str">
        <f>IF(C6389&amp;G6389&amp;D6389&lt;&gt;'Funnel setup'!$K$3&amp;'Funnel setup'!$K$4&amp;'Funnel setup'!$K$5,".",IF(A6388=".",1,A6388+1))</f>
        <v>.</v>
      </c>
      <c r="B6389" s="431" t="str">
        <f t="shared" si="99"/>
        <v>Varicose VeinCCG of GP PracticeNHS NEWHAM CCG (08M)Aberdeen Varicose Vein Questionnaire</v>
      </c>
      <c r="C6389" t="s">
        <v>17</v>
      </c>
      <c r="D6389" t="s">
        <v>87</v>
      </c>
      <c r="E6389" t="s">
        <v>630</v>
      </c>
      <c r="F6389" t="s">
        <v>631</v>
      </c>
      <c r="G6389" t="s">
        <v>0</v>
      </c>
      <c r="H6389">
        <v>21</v>
      </c>
      <c r="I6389">
        <v>26.152999999999999</v>
      </c>
      <c r="J6389">
        <v>22.710999999999999</v>
      </c>
      <c r="K6389">
        <v>-3.4420000000000002</v>
      </c>
      <c r="L6389">
        <v>14</v>
      </c>
      <c r="M6389">
        <v>0</v>
      </c>
      <c r="N6389">
        <v>7</v>
      </c>
      <c r="O6389" t="s">
        <v>53</v>
      </c>
      <c r="P6389" t="s">
        <v>53</v>
      </c>
      <c r="Q6389" t="s">
        <v>53</v>
      </c>
    </row>
    <row r="6390" spans="1:17" x14ac:dyDescent="0.2">
      <c r="A6390" s="30" t="str">
        <f>IF(C6390&amp;G6390&amp;D6390&lt;&gt;'Funnel setup'!$K$3&amp;'Funnel setup'!$K$4&amp;'Funnel setup'!$K$5,".",IF(A6389=".",1,A6389+1))</f>
        <v>.</v>
      </c>
      <c r="B6390" s="431" t="str">
        <f t="shared" si="99"/>
        <v>Varicose VeinCCG of GP PracticeNHS NORTH &amp; WEST READING CCG (10N)Aberdeen Varicose Vein Questionnaire</v>
      </c>
      <c r="C6390" t="s">
        <v>17</v>
      </c>
      <c r="D6390" t="s">
        <v>87</v>
      </c>
      <c r="E6390" t="s">
        <v>633</v>
      </c>
      <c r="F6390" t="s">
        <v>634</v>
      </c>
      <c r="G6390" t="s">
        <v>0</v>
      </c>
      <c r="H6390" t="s">
        <v>53</v>
      </c>
      <c r="I6390" t="s">
        <v>53</v>
      </c>
      <c r="J6390" t="s">
        <v>53</v>
      </c>
      <c r="K6390" t="s">
        <v>53</v>
      </c>
      <c r="L6390" t="s">
        <v>53</v>
      </c>
      <c r="M6390" t="s">
        <v>53</v>
      </c>
      <c r="N6390" t="s">
        <v>53</v>
      </c>
      <c r="O6390" t="s">
        <v>53</v>
      </c>
      <c r="P6390" t="s">
        <v>53</v>
      </c>
      <c r="Q6390" t="s">
        <v>53</v>
      </c>
    </row>
    <row r="6391" spans="1:17" x14ac:dyDescent="0.2">
      <c r="A6391" s="30" t="str">
        <f>IF(C6391&amp;G6391&amp;D6391&lt;&gt;'Funnel setup'!$K$3&amp;'Funnel setup'!$K$4&amp;'Funnel setup'!$K$5,".",IF(A6390=".",1,A6390+1))</f>
        <v>.</v>
      </c>
      <c r="B6391" s="431" t="str">
        <f t="shared" si="99"/>
        <v>Varicose VeinCCG of GP PracticeNHS NORTH DERBYSHIRE CCG (04J)Aberdeen Varicose Vein Questionnaire</v>
      </c>
      <c r="C6391" t="s">
        <v>17</v>
      </c>
      <c r="D6391" t="s">
        <v>87</v>
      </c>
      <c r="E6391" t="s">
        <v>636</v>
      </c>
      <c r="F6391" t="s">
        <v>637</v>
      </c>
      <c r="G6391" t="s">
        <v>0</v>
      </c>
      <c r="H6391">
        <v>39</v>
      </c>
      <c r="I6391">
        <v>19.992000000000001</v>
      </c>
      <c r="J6391">
        <v>14.289</v>
      </c>
      <c r="K6391">
        <v>-5.702</v>
      </c>
      <c r="L6391">
        <v>32</v>
      </c>
      <c r="M6391">
        <v>0</v>
      </c>
      <c r="N6391">
        <v>7</v>
      </c>
      <c r="O6391">
        <v>13.201000000000001</v>
      </c>
      <c r="P6391">
        <v>-7.7217567740000002</v>
      </c>
      <c r="Q6391">
        <v>15.608000000000001</v>
      </c>
    </row>
    <row r="6392" spans="1:17" x14ac:dyDescent="0.2">
      <c r="A6392" s="30" t="str">
        <f>IF(C6392&amp;G6392&amp;D6392&lt;&gt;'Funnel setup'!$K$3&amp;'Funnel setup'!$K$4&amp;'Funnel setup'!$K$5,".",IF(A6391=".",1,A6391+1))</f>
        <v>.</v>
      </c>
      <c r="B6392" s="431" t="str">
        <f t="shared" si="99"/>
        <v>Varicose VeinCCG of GP PracticeNHS NORTH DURHAM CCG (00J)Aberdeen Varicose Vein Questionnaire</v>
      </c>
      <c r="C6392" t="s">
        <v>17</v>
      </c>
      <c r="D6392" t="s">
        <v>87</v>
      </c>
      <c r="E6392" t="s">
        <v>639</v>
      </c>
      <c r="F6392" t="s">
        <v>640</v>
      </c>
      <c r="G6392" t="s">
        <v>0</v>
      </c>
      <c r="H6392">
        <v>27</v>
      </c>
      <c r="I6392">
        <v>21.263999999999999</v>
      </c>
      <c r="J6392">
        <v>10.68</v>
      </c>
      <c r="K6392">
        <v>-10.584</v>
      </c>
      <c r="L6392">
        <v>24</v>
      </c>
      <c r="M6392">
        <v>0</v>
      </c>
      <c r="N6392">
        <v>3</v>
      </c>
      <c r="O6392" t="s">
        <v>53</v>
      </c>
      <c r="P6392" t="s">
        <v>53</v>
      </c>
      <c r="Q6392" t="s">
        <v>53</v>
      </c>
    </row>
    <row r="6393" spans="1:17" x14ac:dyDescent="0.2">
      <c r="A6393" s="30" t="str">
        <f>IF(C6393&amp;G6393&amp;D6393&lt;&gt;'Funnel setup'!$K$3&amp;'Funnel setup'!$K$4&amp;'Funnel setup'!$K$5,".",IF(A6392=".",1,A6392+1))</f>
        <v>.</v>
      </c>
      <c r="B6393" s="431" t="str">
        <f t="shared" si="99"/>
        <v>Varicose VeinCCG of GP PracticeNHS NORTH EAST ESSEX CCG (06T)Aberdeen Varicose Vein Questionnaire</v>
      </c>
      <c r="C6393" t="s">
        <v>17</v>
      </c>
      <c r="D6393" t="s">
        <v>87</v>
      </c>
      <c r="E6393" t="s">
        <v>642</v>
      </c>
      <c r="F6393" t="s">
        <v>643</v>
      </c>
      <c r="G6393" t="s">
        <v>0</v>
      </c>
      <c r="H6393">
        <v>20</v>
      </c>
      <c r="I6393">
        <v>23.521000000000001</v>
      </c>
      <c r="J6393">
        <v>16.695</v>
      </c>
      <c r="K6393">
        <v>-6.8259999999999996</v>
      </c>
      <c r="L6393">
        <v>16</v>
      </c>
      <c r="M6393">
        <v>0</v>
      </c>
      <c r="N6393">
        <v>4</v>
      </c>
      <c r="O6393" t="s">
        <v>53</v>
      </c>
      <c r="P6393" t="s">
        <v>53</v>
      </c>
      <c r="Q6393" t="s">
        <v>53</v>
      </c>
    </row>
    <row r="6394" spans="1:17" x14ac:dyDescent="0.2">
      <c r="A6394" s="30" t="str">
        <f>IF(C6394&amp;G6394&amp;D6394&lt;&gt;'Funnel setup'!$K$3&amp;'Funnel setup'!$K$4&amp;'Funnel setup'!$K$5,".",IF(A6393=".",1,A6393+1))</f>
        <v>.</v>
      </c>
      <c r="B6394" s="431" t="str">
        <f t="shared" si="99"/>
        <v>Varicose VeinCCG of GP PracticeNHS NORTH EAST HAMPSHIRE AND FARNHAM CCG (99M)Aberdeen Varicose Vein Questionnaire</v>
      </c>
      <c r="C6394" t="s">
        <v>17</v>
      </c>
      <c r="D6394" t="s">
        <v>87</v>
      </c>
      <c r="E6394" t="s">
        <v>645</v>
      </c>
      <c r="F6394" t="s">
        <v>646</v>
      </c>
      <c r="G6394" t="s">
        <v>0</v>
      </c>
      <c r="H6394">
        <v>9</v>
      </c>
      <c r="I6394">
        <v>21.204999999999998</v>
      </c>
      <c r="J6394">
        <v>16.518999999999998</v>
      </c>
      <c r="K6394">
        <v>-4.6859999999999999</v>
      </c>
      <c r="L6394">
        <v>7</v>
      </c>
      <c r="M6394">
        <v>0</v>
      </c>
      <c r="N6394">
        <v>2</v>
      </c>
      <c r="O6394" t="s">
        <v>53</v>
      </c>
      <c r="P6394" t="s">
        <v>53</v>
      </c>
      <c r="Q6394" t="s">
        <v>53</v>
      </c>
    </row>
    <row r="6395" spans="1:17" x14ac:dyDescent="0.2">
      <c r="A6395" s="30" t="str">
        <f>IF(C6395&amp;G6395&amp;D6395&lt;&gt;'Funnel setup'!$K$3&amp;'Funnel setup'!$K$4&amp;'Funnel setup'!$K$5,".",IF(A6394=".",1,A6394+1))</f>
        <v>.</v>
      </c>
      <c r="B6395" s="431" t="str">
        <f t="shared" si="99"/>
        <v>Varicose VeinCCG of GP PracticeNHS NORTH EAST LINCOLNSHIRE CCG (03H)Aberdeen Varicose Vein Questionnaire</v>
      </c>
      <c r="C6395" t="s">
        <v>17</v>
      </c>
      <c r="D6395" t="s">
        <v>87</v>
      </c>
      <c r="E6395" t="s">
        <v>648</v>
      </c>
      <c r="F6395" t="s">
        <v>649</v>
      </c>
      <c r="G6395" t="s">
        <v>0</v>
      </c>
      <c r="H6395" t="s">
        <v>53</v>
      </c>
      <c r="I6395" t="s">
        <v>53</v>
      </c>
      <c r="J6395" t="s">
        <v>53</v>
      </c>
      <c r="K6395" t="s">
        <v>53</v>
      </c>
      <c r="L6395" t="s">
        <v>53</v>
      </c>
      <c r="M6395" t="s">
        <v>53</v>
      </c>
      <c r="N6395" t="s">
        <v>53</v>
      </c>
      <c r="O6395" t="s">
        <v>53</v>
      </c>
      <c r="P6395" t="s">
        <v>53</v>
      </c>
      <c r="Q6395" t="s">
        <v>53</v>
      </c>
    </row>
    <row r="6396" spans="1:17" x14ac:dyDescent="0.2">
      <c r="A6396" s="30" t="str">
        <f>IF(C6396&amp;G6396&amp;D6396&lt;&gt;'Funnel setup'!$K$3&amp;'Funnel setup'!$K$4&amp;'Funnel setup'!$K$5,".",IF(A6395=".",1,A6395+1))</f>
        <v>.</v>
      </c>
      <c r="B6396" s="431" t="str">
        <f t="shared" si="99"/>
        <v>Varicose VeinCCG of GP PracticeNHS NORTH KIRKLEES CCG (03J)Aberdeen Varicose Vein Questionnaire</v>
      </c>
      <c r="C6396" t="s">
        <v>17</v>
      </c>
      <c r="D6396" t="s">
        <v>87</v>
      </c>
      <c r="E6396" t="s">
        <v>654</v>
      </c>
      <c r="F6396" t="s">
        <v>655</v>
      </c>
      <c r="G6396" t="s">
        <v>0</v>
      </c>
      <c r="H6396">
        <v>19</v>
      </c>
      <c r="I6396">
        <v>18.100999999999999</v>
      </c>
      <c r="J6396">
        <v>8.6310000000000002</v>
      </c>
      <c r="K6396">
        <v>-9.4700000000000006</v>
      </c>
      <c r="L6396">
        <v>18</v>
      </c>
      <c r="M6396">
        <v>0</v>
      </c>
      <c r="N6396">
        <v>1</v>
      </c>
      <c r="O6396" t="s">
        <v>53</v>
      </c>
      <c r="P6396" t="s">
        <v>53</v>
      </c>
      <c r="Q6396" t="s">
        <v>53</v>
      </c>
    </row>
    <row r="6397" spans="1:17" x14ac:dyDescent="0.2">
      <c r="A6397" s="30" t="str">
        <f>IF(C6397&amp;G6397&amp;D6397&lt;&gt;'Funnel setup'!$K$3&amp;'Funnel setup'!$K$4&amp;'Funnel setup'!$K$5,".",IF(A6396=".",1,A6396+1))</f>
        <v>.</v>
      </c>
      <c r="B6397" s="431" t="str">
        <f t="shared" si="99"/>
        <v>Varicose VeinCCG of GP PracticeNHS NORTH LINCOLNSHIRE CCG (03K)Aberdeen Varicose Vein Questionnaire</v>
      </c>
      <c r="C6397" t="s">
        <v>17</v>
      </c>
      <c r="D6397" t="s">
        <v>87</v>
      </c>
      <c r="E6397" t="s">
        <v>657</v>
      </c>
      <c r="F6397" t="s">
        <v>658</v>
      </c>
      <c r="G6397" t="s">
        <v>0</v>
      </c>
      <c r="H6397">
        <v>9</v>
      </c>
      <c r="I6397">
        <v>20.751000000000001</v>
      </c>
      <c r="J6397">
        <v>7.9290000000000003</v>
      </c>
      <c r="K6397">
        <v>-12.821999999999999</v>
      </c>
      <c r="L6397">
        <v>9</v>
      </c>
      <c r="M6397">
        <v>0</v>
      </c>
      <c r="N6397">
        <v>0</v>
      </c>
      <c r="O6397" t="s">
        <v>53</v>
      </c>
      <c r="P6397" t="s">
        <v>53</v>
      </c>
      <c r="Q6397" t="s">
        <v>53</v>
      </c>
    </row>
    <row r="6398" spans="1:17" x14ac:dyDescent="0.2">
      <c r="A6398" s="30" t="str">
        <f>IF(C6398&amp;G6398&amp;D6398&lt;&gt;'Funnel setup'!$K$3&amp;'Funnel setup'!$K$4&amp;'Funnel setup'!$K$5,".",IF(A6397=".",1,A6397+1))</f>
        <v>.</v>
      </c>
      <c r="B6398" s="431" t="str">
        <f t="shared" si="99"/>
        <v>Varicose VeinCCG of GP PracticeNHS NORTH MANCHESTER CCG (01M)Aberdeen Varicose Vein Questionnaire</v>
      </c>
      <c r="C6398" t="s">
        <v>17</v>
      </c>
      <c r="D6398" t="s">
        <v>87</v>
      </c>
      <c r="E6398" t="s">
        <v>660</v>
      </c>
      <c r="F6398" t="s">
        <v>661</v>
      </c>
      <c r="G6398" t="s">
        <v>0</v>
      </c>
      <c r="H6398" t="s">
        <v>53</v>
      </c>
      <c r="I6398" t="s">
        <v>53</v>
      </c>
      <c r="J6398" t="s">
        <v>53</v>
      </c>
      <c r="K6398" t="s">
        <v>53</v>
      </c>
      <c r="L6398" t="s">
        <v>53</v>
      </c>
      <c r="M6398" t="s">
        <v>53</v>
      </c>
      <c r="N6398" t="s">
        <v>53</v>
      </c>
      <c r="O6398" t="s">
        <v>53</v>
      </c>
      <c r="P6398" t="s">
        <v>53</v>
      </c>
      <c r="Q6398" t="s">
        <v>53</v>
      </c>
    </row>
    <row r="6399" spans="1:17" x14ac:dyDescent="0.2">
      <c r="A6399" s="30" t="str">
        <f>IF(C6399&amp;G6399&amp;D6399&lt;&gt;'Funnel setup'!$K$3&amp;'Funnel setup'!$K$4&amp;'Funnel setup'!$K$5,".",IF(A6398=".",1,A6398+1))</f>
        <v>.</v>
      </c>
      <c r="B6399" s="431" t="str">
        <f t="shared" si="99"/>
        <v>Varicose VeinCCG of GP PracticeNHS NORTH NORFOLK CCG (06V)Aberdeen Varicose Vein Questionnaire</v>
      </c>
      <c r="C6399" t="s">
        <v>17</v>
      </c>
      <c r="D6399" t="s">
        <v>87</v>
      </c>
      <c r="E6399" t="s">
        <v>663</v>
      </c>
      <c r="F6399" t="s">
        <v>664</v>
      </c>
      <c r="G6399" t="s">
        <v>0</v>
      </c>
      <c r="H6399">
        <v>61</v>
      </c>
      <c r="I6399">
        <v>20.09</v>
      </c>
      <c r="J6399">
        <v>9.3239999999999998</v>
      </c>
      <c r="K6399">
        <v>-10.766</v>
      </c>
      <c r="L6399">
        <v>54</v>
      </c>
      <c r="M6399">
        <v>0</v>
      </c>
      <c r="N6399">
        <v>7</v>
      </c>
      <c r="O6399">
        <v>8.5419999999999998</v>
      </c>
      <c r="P6399">
        <v>-12.38077698</v>
      </c>
      <c r="Q6399">
        <v>12.041</v>
      </c>
    </row>
    <row r="6400" spans="1:17" x14ac:dyDescent="0.2">
      <c r="A6400" s="30" t="str">
        <f>IF(C6400&amp;G6400&amp;D6400&lt;&gt;'Funnel setup'!$K$3&amp;'Funnel setup'!$K$4&amp;'Funnel setup'!$K$5,".",IF(A6399=".",1,A6399+1))</f>
        <v>.</v>
      </c>
      <c r="B6400" s="431" t="str">
        <f t="shared" si="99"/>
        <v>Varicose VeinCCG of GP PracticeNHS NORTH SOMERSET CCG (11T)Aberdeen Varicose Vein Questionnaire</v>
      </c>
      <c r="C6400" t="s">
        <v>17</v>
      </c>
      <c r="D6400" t="s">
        <v>87</v>
      </c>
      <c r="E6400" t="s">
        <v>666</v>
      </c>
      <c r="F6400" t="s">
        <v>667</v>
      </c>
      <c r="G6400" t="s">
        <v>0</v>
      </c>
      <c r="H6400">
        <v>6</v>
      </c>
      <c r="I6400">
        <v>14.151</v>
      </c>
      <c r="J6400">
        <v>7.8369999999999997</v>
      </c>
      <c r="K6400">
        <v>-6.3140000000000001</v>
      </c>
      <c r="L6400">
        <v>4</v>
      </c>
      <c r="M6400">
        <v>1</v>
      </c>
      <c r="N6400">
        <v>1</v>
      </c>
      <c r="O6400" t="s">
        <v>53</v>
      </c>
      <c r="P6400" t="s">
        <v>53</v>
      </c>
      <c r="Q6400" t="s">
        <v>53</v>
      </c>
    </row>
    <row r="6401" spans="1:17" x14ac:dyDescent="0.2">
      <c r="A6401" s="30" t="str">
        <f>IF(C6401&amp;G6401&amp;D6401&lt;&gt;'Funnel setup'!$K$3&amp;'Funnel setup'!$K$4&amp;'Funnel setup'!$K$5,".",IF(A6400=".",1,A6400+1))</f>
        <v>.</v>
      </c>
      <c r="B6401" s="431" t="str">
        <f t="shared" si="99"/>
        <v>Varicose VeinCCG of GP PracticeNHS NORTH STAFFORDSHIRE CCG (05G)Aberdeen Varicose Vein Questionnaire</v>
      </c>
      <c r="C6401" t="s">
        <v>17</v>
      </c>
      <c r="D6401" t="s">
        <v>87</v>
      </c>
      <c r="E6401" t="s">
        <v>669</v>
      </c>
      <c r="F6401" t="s">
        <v>670</v>
      </c>
      <c r="G6401" t="s">
        <v>0</v>
      </c>
      <c r="H6401">
        <v>8</v>
      </c>
      <c r="I6401">
        <v>18.486000000000001</v>
      </c>
      <c r="J6401">
        <v>10.420999999999999</v>
      </c>
      <c r="K6401">
        <v>-8.0649999999999995</v>
      </c>
      <c r="L6401">
        <v>7</v>
      </c>
      <c r="M6401">
        <v>0</v>
      </c>
      <c r="N6401">
        <v>1</v>
      </c>
      <c r="O6401" t="s">
        <v>53</v>
      </c>
      <c r="P6401" t="s">
        <v>53</v>
      </c>
      <c r="Q6401" t="s">
        <v>53</v>
      </c>
    </row>
    <row r="6402" spans="1:17" x14ac:dyDescent="0.2">
      <c r="A6402" s="30" t="str">
        <f>IF(C6402&amp;G6402&amp;D6402&lt;&gt;'Funnel setup'!$K$3&amp;'Funnel setup'!$K$4&amp;'Funnel setup'!$K$5,".",IF(A6401=".",1,A6401+1))</f>
        <v>.</v>
      </c>
      <c r="B6402" s="431" t="str">
        <f t="shared" si="99"/>
        <v>Varicose VeinCCG of GP PracticeNHS NORTH TYNESIDE CCG (99C)Aberdeen Varicose Vein Questionnaire</v>
      </c>
      <c r="C6402" t="s">
        <v>17</v>
      </c>
      <c r="D6402" t="s">
        <v>87</v>
      </c>
      <c r="E6402" t="s">
        <v>672</v>
      </c>
      <c r="F6402" t="s">
        <v>673</v>
      </c>
      <c r="G6402" t="s">
        <v>0</v>
      </c>
      <c r="H6402">
        <v>47</v>
      </c>
      <c r="I6402">
        <v>19.155999999999999</v>
      </c>
      <c r="J6402">
        <v>11.861000000000001</v>
      </c>
      <c r="K6402">
        <v>-7.2949999999999999</v>
      </c>
      <c r="L6402">
        <v>35</v>
      </c>
      <c r="M6402">
        <v>0</v>
      </c>
      <c r="N6402">
        <v>12</v>
      </c>
      <c r="O6402">
        <v>10.637</v>
      </c>
      <c r="P6402">
        <v>-10.285444549999999</v>
      </c>
      <c r="Q6402">
        <v>20.2</v>
      </c>
    </row>
    <row r="6403" spans="1:17" x14ac:dyDescent="0.2">
      <c r="A6403" s="30" t="str">
        <f>IF(C6403&amp;G6403&amp;D6403&lt;&gt;'Funnel setup'!$K$3&amp;'Funnel setup'!$K$4&amp;'Funnel setup'!$K$5,".",IF(A6402=".",1,A6402+1))</f>
        <v>.</v>
      </c>
      <c r="B6403" s="431" t="str">
        <f t="shared" ref="B6403:B6466" si="100">C6403&amp;D6403&amp;F6403&amp;G6403</f>
        <v>Varicose VeinCCG of GP PracticeNHS NORTH WEST SURREY CCG (09Y)Aberdeen Varicose Vein Questionnaire</v>
      </c>
      <c r="C6403" t="s">
        <v>17</v>
      </c>
      <c r="D6403" t="s">
        <v>87</v>
      </c>
      <c r="E6403" t="s">
        <v>675</v>
      </c>
      <c r="F6403" t="s">
        <v>676</v>
      </c>
      <c r="G6403" t="s">
        <v>0</v>
      </c>
      <c r="H6403">
        <v>18</v>
      </c>
      <c r="I6403">
        <v>20.393999999999998</v>
      </c>
      <c r="J6403">
        <v>14.499000000000001</v>
      </c>
      <c r="K6403">
        <v>-5.8949999999999996</v>
      </c>
      <c r="L6403">
        <v>13</v>
      </c>
      <c r="M6403">
        <v>0</v>
      </c>
      <c r="N6403">
        <v>5</v>
      </c>
      <c r="O6403" t="s">
        <v>53</v>
      </c>
      <c r="P6403" t="s">
        <v>53</v>
      </c>
      <c r="Q6403" t="s">
        <v>53</v>
      </c>
    </row>
    <row r="6404" spans="1:17" x14ac:dyDescent="0.2">
      <c r="A6404" s="30" t="str">
        <f>IF(C6404&amp;G6404&amp;D6404&lt;&gt;'Funnel setup'!$K$3&amp;'Funnel setup'!$K$4&amp;'Funnel setup'!$K$5,".",IF(A6403=".",1,A6403+1))</f>
        <v>.</v>
      </c>
      <c r="B6404" s="431" t="str">
        <f t="shared" si="100"/>
        <v>Varicose VeinCCG of GP PracticeNHS NORTHERN, EASTERN AND WESTERN DEVON CCG (99P)Aberdeen Varicose Vein Questionnaire</v>
      </c>
      <c r="C6404" t="s">
        <v>17</v>
      </c>
      <c r="D6404" t="s">
        <v>87</v>
      </c>
      <c r="E6404" t="s">
        <v>678</v>
      </c>
      <c r="F6404" t="s">
        <v>679</v>
      </c>
      <c r="G6404" t="s">
        <v>0</v>
      </c>
      <c r="H6404">
        <v>98</v>
      </c>
      <c r="I6404">
        <v>24.67</v>
      </c>
      <c r="J6404">
        <v>15.295999999999999</v>
      </c>
      <c r="K6404">
        <v>-9.3740000000000006</v>
      </c>
      <c r="L6404">
        <v>85</v>
      </c>
      <c r="M6404">
        <v>0</v>
      </c>
      <c r="N6404">
        <v>13</v>
      </c>
      <c r="O6404">
        <v>17.300999999999998</v>
      </c>
      <c r="P6404">
        <v>-3.6213661730000002</v>
      </c>
      <c r="Q6404">
        <v>17.350999999999999</v>
      </c>
    </row>
    <row r="6405" spans="1:17" x14ac:dyDescent="0.2">
      <c r="A6405" s="30" t="str">
        <f>IF(C6405&amp;G6405&amp;D6405&lt;&gt;'Funnel setup'!$K$3&amp;'Funnel setup'!$K$4&amp;'Funnel setup'!$K$5,".",IF(A6404=".",1,A6404+1))</f>
        <v>.</v>
      </c>
      <c r="B6405" s="431" t="str">
        <f t="shared" si="100"/>
        <v>Varicose VeinCCG of GP PracticeNHS NORTHUMBERLAND CCG (00L)Aberdeen Varicose Vein Questionnaire</v>
      </c>
      <c r="C6405" t="s">
        <v>17</v>
      </c>
      <c r="D6405" t="s">
        <v>87</v>
      </c>
      <c r="E6405" t="s">
        <v>681</v>
      </c>
      <c r="F6405" t="s">
        <v>336</v>
      </c>
      <c r="G6405" t="s">
        <v>0</v>
      </c>
      <c r="H6405">
        <v>59</v>
      </c>
      <c r="I6405">
        <v>19.047000000000001</v>
      </c>
      <c r="J6405">
        <v>11.718</v>
      </c>
      <c r="K6405">
        <v>-7.3289999999999997</v>
      </c>
      <c r="L6405">
        <v>49</v>
      </c>
      <c r="M6405">
        <v>0</v>
      </c>
      <c r="N6405">
        <v>10</v>
      </c>
      <c r="O6405">
        <v>10.021000000000001</v>
      </c>
      <c r="P6405">
        <v>-10.90111317</v>
      </c>
      <c r="Q6405">
        <v>14.125999999999999</v>
      </c>
    </row>
    <row r="6406" spans="1:17" x14ac:dyDescent="0.2">
      <c r="A6406" s="30" t="str">
        <f>IF(C6406&amp;G6406&amp;D6406&lt;&gt;'Funnel setup'!$K$3&amp;'Funnel setup'!$K$4&amp;'Funnel setup'!$K$5,".",IF(A6405=".",1,A6405+1))</f>
        <v>.</v>
      </c>
      <c r="B6406" s="431" t="str">
        <f t="shared" si="100"/>
        <v>Varicose VeinCCG of GP PracticeNHS NORWICH CCG (06W)Aberdeen Varicose Vein Questionnaire</v>
      </c>
      <c r="C6406" t="s">
        <v>17</v>
      </c>
      <c r="D6406" t="s">
        <v>87</v>
      </c>
      <c r="E6406" t="s">
        <v>770</v>
      </c>
      <c r="F6406" t="s">
        <v>771</v>
      </c>
      <c r="G6406" t="s">
        <v>0</v>
      </c>
      <c r="H6406">
        <v>43</v>
      </c>
      <c r="I6406">
        <v>17.709</v>
      </c>
      <c r="J6406">
        <v>9.5960000000000001</v>
      </c>
      <c r="K6406">
        <v>-8.1129999999999995</v>
      </c>
      <c r="L6406">
        <v>40</v>
      </c>
      <c r="M6406">
        <v>0</v>
      </c>
      <c r="N6406">
        <v>3</v>
      </c>
      <c r="O6406">
        <v>7.468</v>
      </c>
      <c r="P6406">
        <v>-13.45424497</v>
      </c>
      <c r="Q6406">
        <v>13.951000000000001</v>
      </c>
    </row>
    <row r="6407" spans="1:17" x14ac:dyDescent="0.2">
      <c r="A6407" s="30" t="str">
        <f>IF(C6407&amp;G6407&amp;D6407&lt;&gt;'Funnel setup'!$K$3&amp;'Funnel setup'!$K$4&amp;'Funnel setup'!$K$5,".",IF(A6406=".",1,A6406+1))</f>
        <v>.</v>
      </c>
      <c r="B6407" s="431" t="str">
        <f t="shared" si="100"/>
        <v>Varicose VeinCCG of GP PracticeNHS NOTTINGHAM CITY CCG (04K)Aberdeen Varicose Vein Questionnaire</v>
      </c>
      <c r="C6407" t="s">
        <v>17</v>
      </c>
      <c r="D6407" t="s">
        <v>87</v>
      </c>
      <c r="E6407" t="s">
        <v>773</v>
      </c>
      <c r="F6407" t="s">
        <v>774</v>
      </c>
      <c r="G6407" t="s">
        <v>0</v>
      </c>
      <c r="H6407">
        <v>45</v>
      </c>
      <c r="I6407">
        <v>24.161999999999999</v>
      </c>
      <c r="J6407">
        <v>18.97</v>
      </c>
      <c r="K6407">
        <v>-5.1920000000000002</v>
      </c>
      <c r="L6407">
        <v>32</v>
      </c>
      <c r="M6407">
        <v>0</v>
      </c>
      <c r="N6407">
        <v>13</v>
      </c>
      <c r="O6407">
        <v>20.978999999999999</v>
      </c>
      <c r="P6407">
        <v>5.6755132999999999E-2</v>
      </c>
      <c r="Q6407">
        <v>23.271999999999998</v>
      </c>
    </row>
    <row r="6408" spans="1:17" x14ac:dyDescent="0.2">
      <c r="A6408" s="30" t="str">
        <f>IF(C6408&amp;G6408&amp;D6408&lt;&gt;'Funnel setup'!$K$3&amp;'Funnel setup'!$K$4&amp;'Funnel setup'!$K$5,".",IF(A6407=".",1,A6407+1))</f>
        <v>.</v>
      </c>
      <c r="B6408" s="431" t="str">
        <f t="shared" si="100"/>
        <v>Varicose VeinCCG of GP PracticeNHS NOTTINGHAM NORTH AND EAST CCG (04L)Aberdeen Varicose Vein Questionnaire</v>
      </c>
      <c r="C6408" t="s">
        <v>17</v>
      </c>
      <c r="D6408" t="s">
        <v>87</v>
      </c>
      <c r="E6408" t="s">
        <v>776</v>
      </c>
      <c r="F6408" t="s">
        <v>777</v>
      </c>
      <c r="G6408" t="s">
        <v>0</v>
      </c>
      <c r="H6408">
        <v>25</v>
      </c>
      <c r="I6408">
        <v>21.158000000000001</v>
      </c>
      <c r="J6408">
        <v>13.009</v>
      </c>
      <c r="K6408">
        <v>-8.1489999999999991</v>
      </c>
      <c r="L6408">
        <v>20</v>
      </c>
      <c r="M6408">
        <v>0</v>
      </c>
      <c r="N6408">
        <v>5</v>
      </c>
      <c r="O6408" t="s">
        <v>53</v>
      </c>
      <c r="P6408" t="s">
        <v>53</v>
      </c>
      <c r="Q6408" t="s">
        <v>53</v>
      </c>
    </row>
    <row r="6409" spans="1:17" x14ac:dyDescent="0.2">
      <c r="A6409" s="30" t="str">
        <f>IF(C6409&amp;G6409&amp;D6409&lt;&gt;'Funnel setup'!$K$3&amp;'Funnel setup'!$K$4&amp;'Funnel setup'!$K$5,".",IF(A6408=".",1,A6408+1))</f>
        <v>.</v>
      </c>
      <c r="B6409" s="431" t="str">
        <f t="shared" si="100"/>
        <v>Varicose VeinCCG of GP PracticeNHS NOTTINGHAM WEST CCG (04M)Aberdeen Varicose Vein Questionnaire</v>
      </c>
      <c r="C6409" t="s">
        <v>17</v>
      </c>
      <c r="D6409" t="s">
        <v>87</v>
      </c>
      <c r="E6409" t="s">
        <v>779</v>
      </c>
      <c r="F6409" t="s">
        <v>780</v>
      </c>
      <c r="G6409" t="s">
        <v>0</v>
      </c>
      <c r="H6409">
        <v>18</v>
      </c>
      <c r="I6409">
        <v>21.154</v>
      </c>
      <c r="J6409">
        <v>10.851000000000001</v>
      </c>
      <c r="K6409">
        <v>-10.303000000000001</v>
      </c>
      <c r="L6409">
        <v>16</v>
      </c>
      <c r="M6409">
        <v>0</v>
      </c>
      <c r="N6409">
        <v>2</v>
      </c>
      <c r="O6409" t="s">
        <v>53</v>
      </c>
      <c r="P6409" t="s">
        <v>53</v>
      </c>
      <c r="Q6409" t="s">
        <v>53</v>
      </c>
    </row>
    <row r="6410" spans="1:17" x14ac:dyDescent="0.2">
      <c r="A6410" s="30" t="str">
        <f>IF(C6410&amp;G6410&amp;D6410&lt;&gt;'Funnel setup'!$K$3&amp;'Funnel setup'!$K$4&amp;'Funnel setup'!$K$5,".",IF(A6409=".",1,A6409+1))</f>
        <v>.</v>
      </c>
      <c r="B6410" s="431" t="str">
        <f t="shared" si="100"/>
        <v>Varicose VeinCCG of GP PracticeNHS OLDHAM CCG (00Y)Aberdeen Varicose Vein Questionnaire</v>
      </c>
      <c r="C6410" t="s">
        <v>17</v>
      </c>
      <c r="D6410" t="s">
        <v>87</v>
      </c>
      <c r="E6410" t="s">
        <v>782</v>
      </c>
      <c r="F6410" t="s">
        <v>783</v>
      </c>
      <c r="G6410" t="s">
        <v>0</v>
      </c>
      <c r="H6410" t="s">
        <v>53</v>
      </c>
      <c r="I6410" t="s">
        <v>53</v>
      </c>
      <c r="J6410" t="s">
        <v>53</v>
      </c>
      <c r="K6410" t="s">
        <v>53</v>
      </c>
      <c r="L6410" t="s">
        <v>53</v>
      </c>
      <c r="M6410" t="s">
        <v>53</v>
      </c>
      <c r="N6410" t="s">
        <v>53</v>
      </c>
      <c r="O6410" t="s">
        <v>53</v>
      </c>
      <c r="P6410" t="s">
        <v>53</v>
      </c>
      <c r="Q6410" t="s">
        <v>53</v>
      </c>
    </row>
    <row r="6411" spans="1:17" x14ac:dyDescent="0.2">
      <c r="A6411" s="30" t="str">
        <f>IF(C6411&amp;G6411&amp;D6411&lt;&gt;'Funnel setup'!$K$3&amp;'Funnel setup'!$K$4&amp;'Funnel setup'!$K$5,".",IF(A6410=".",1,A6410+1))</f>
        <v>.</v>
      </c>
      <c r="B6411" s="431" t="str">
        <f t="shared" si="100"/>
        <v>Varicose VeinCCG of GP PracticeNHS OXFORDSHIRE CCG (10Q)Aberdeen Varicose Vein Questionnaire</v>
      </c>
      <c r="C6411" t="s">
        <v>17</v>
      </c>
      <c r="D6411" t="s">
        <v>87</v>
      </c>
      <c r="E6411" t="s">
        <v>785</v>
      </c>
      <c r="F6411" t="s">
        <v>786</v>
      </c>
      <c r="G6411" t="s">
        <v>0</v>
      </c>
      <c r="H6411">
        <v>31</v>
      </c>
      <c r="I6411">
        <v>25.452000000000002</v>
      </c>
      <c r="J6411">
        <v>13.010999999999999</v>
      </c>
      <c r="K6411">
        <v>-12.441000000000001</v>
      </c>
      <c r="L6411">
        <v>26</v>
      </c>
      <c r="M6411">
        <v>0</v>
      </c>
      <c r="N6411">
        <v>5</v>
      </c>
      <c r="O6411">
        <v>15.054</v>
      </c>
      <c r="P6411">
        <v>-5.8680436970000001</v>
      </c>
      <c r="Q6411">
        <v>20.483000000000001</v>
      </c>
    </row>
    <row r="6412" spans="1:17" x14ac:dyDescent="0.2">
      <c r="A6412" s="30" t="str">
        <f>IF(C6412&amp;G6412&amp;D6412&lt;&gt;'Funnel setup'!$K$3&amp;'Funnel setup'!$K$4&amp;'Funnel setup'!$K$5,".",IF(A6411=".",1,A6411+1))</f>
        <v>.</v>
      </c>
      <c r="B6412" s="431" t="str">
        <f t="shared" si="100"/>
        <v>Varicose VeinCCG of GP PracticeNHS PORTSMOUTH CCG (10R)Aberdeen Varicose Vein Questionnaire</v>
      </c>
      <c r="C6412" t="s">
        <v>17</v>
      </c>
      <c r="D6412" t="s">
        <v>87</v>
      </c>
      <c r="E6412" t="s">
        <v>788</v>
      </c>
      <c r="F6412" t="s">
        <v>789</v>
      </c>
      <c r="G6412" t="s">
        <v>0</v>
      </c>
      <c r="H6412" t="s">
        <v>53</v>
      </c>
      <c r="I6412" t="s">
        <v>53</v>
      </c>
      <c r="J6412" t="s">
        <v>53</v>
      </c>
      <c r="K6412" t="s">
        <v>53</v>
      </c>
      <c r="L6412" t="s">
        <v>53</v>
      </c>
      <c r="M6412" t="s">
        <v>53</v>
      </c>
      <c r="N6412" t="s">
        <v>53</v>
      </c>
      <c r="O6412" t="s">
        <v>53</v>
      </c>
      <c r="P6412" t="s">
        <v>53</v>
      </c>
      <c r="Q6412" t="s">
        <v>53</v>
      </c>
    </row>
    <row r="6413" spans="1:17" x14ac:dyDescent="0.2">
      <c r="A6413" s="30" t="str">
        <f>IF(C6413&amp;G6413&amp;D6413&lt;&gt;'Funnel setup'!$K$3&amp;'Funnel setup'!$K$4&amp;'Funnel setup'!$K$5,".",IF(A6412=".",1,A6412+1))</f>
        <v>.</v>
      </c>
      <c r="B6413" s="431" t="str">
        <f t="shared" si="100"/>
        <v>Varicose VeinCCG of GP PracticeNHS REDBRIDGE CCG (08N)Aberdeen Varicose Vein Questionnaire</v>
      </c>
      <c r="C6413" t="s">
        <v>17</v>
      </c>
      <c r="D6413" t="s">
        <v>87</v>
      </c>
      <c r="E6413" t="s">
        <v>791</v>
      </c>
      <c r="F6413" t="s">
        <v>792</v>
      </c>
      <c r="G6413" t="s">
        <v>0</v>
      </c>
      <c r="H6413">
        <v>16</v>
      </c>
      <c r="I6413">
        <v>20.178000000000001</v>
      </c>
      <c r="J6413">
        <v>15.885</v>
      </c>
      <c r="K6413">
        <v>-4.2930000000000001</v>
      </c>
      <c r="L6413">
        <v>12</v>
      </c>
      <c r="M6413">
        <v>0</v>
      </c>
      <c r="N6413">
        <v>4</v>
      </c>
      <c r="O6413" t="s">
        <v>53</v>
      </c>
      <c r="P6413" t="s">
        <v>53</v>
      </c>
      <c r="Q6413" t="s">
        <v>53</v>
      </c>
    </row>
    <row r="6414" spans="1:17" x14ac:dyDescent="0.2">
      <c r="A6414" s="30" t="str">
        <f>IF(C6414&amp;G6414&amp;D6414&lt;&gt;'Funnel setup'!$K$3&amp;'Funnel setup'!$K$4&amp;'Funnel setup'!$K$5,".",IF(A6413=".",1,A6413+1))</f>
        <v>.</v>
      </c>
      <c r="B6414" s="431" t="str">
        <f t="shared" si="100"/>
        <v>Varicose VeinCCG of GP PracticeNHS REDDITCH AND BROMSGROVE CCG (05J)Aberdeen Varicose Vein Questionnaire</v>
      </c>
      <c r="C6414" t="s">
        <v>17</v>
      </c>
      <c r="D6414" t="s">
        <v>87</v>
      </c>
      <c r="E6414" t="s">
        <v>794</v>
      </c>
      <c r="F6414" t="s">
        <v>795</v>
      </c>
      <c r="G6414" t="s">
        <v>0</v>
      </c>
      <c r="H6414">
        <v>8</v>
      </c>
      <c r="I6414">
        <v>15.944000000000001</v>
      </c>
      <c r="J6414">
        <v>12.073</v>
      </c>
      <c r="K6414">
        <v>-3.871</v>
      </c>
      <c r="L6414">
        <v>5</v>
      </c>
      <c r="M6414">
        <v>0</v>
      </c>
      <c r="N6414">
        <v>3</v>
      </c>
      <c r="O6414" t="s">
        <v>53</v>
      </c>
      <c r="P6414" t="s">
        <v>53</v>
      </c>
      <c r="Q6414" t="s">
        <v>53</v>
      </c>
    </row>
    <row r="6415" spans="1:17" x14ac:dyDescent="0.2">
      <c r="A6415" s="30" t="str">
        <f>IF(C6415&amp;G6415&amp;D6415&lt;&gt;'Funnel setup'!$K$3&amp;'Funnel setup'!$K$4&amp;'Funnel setup'!$K$5,".",IF(A6414=".",1,A6414+1))</f>
        <v>.</v>
      </c>
      <c r="B6415" s="431" t="str">
        <f t="shared" si="100"/>
        <v>Varicose VeinCCG of GP PracticeNHS RICHMOND CCG (08P)Aberdeen Varicose Vein Questionnaire</v>
      </c>
      <c r="C6415" t="s">
        <v>17</v>
      </c>
      <c r="D6415" t="s">
        <v>87</v>
      </c>
      <c r="E6415" t="s">
        <v>797</v>
      </c>
      <c r="F6415" t="s">
        <v>798</v>
      </c>
      <c r="G6415" t="s">
        <v>0</v>
      </c>
      <c r="H6415">
        <v>13</v>
      </c>
      <c r="I6415">
        <v>20.829000000000001</v>
      </c>
      <c r="J6415">
        <v>19.402999999999999</v>
      </c>
      <c r="K6415">
        <v>-1.4259999999999999</v>
      </c>
      <c r="L6415">
        <v>8</v>
      </c>
      <c r="M6415">
        <v>0</v>
      </c>
      <c r="N6415">
        <v>5</v>
      </c>
      <c r="O6415" t="s">
        <v>53</v>
      </c>
      <c r="P6415" t="s">
        <v>53</v>
      </c>
      <c r="Q6415" t="s">
        <v>53</v>
      </c>
    </row>
    <row r="6416" spans="1:17" x14ac:dyDescent="0.2">
      <c r="A6416" s="30" t="str">
        <f>IF(C6416&amp;G6416&amp;D6416&lt;&gt;'Funnel setup'!$K$3&amp;'Funnel setup'!$K$4&amp;'Funnel setup'!$K$5,".",IF(A6415=".",1,A6415+1))</f>
        <v>.</v>
      </c>
      <c r="B6416" s="431" t="str">
        <f t="shared" si="100"/>
        <v>Varicose VeinCCG of GP PracticeNHS ROTHERHAM CCG (03L)Aberdeen Varicose Vein Questionnaire</v>
      </c>
      <c r="C6416" t="s">
        <v>17</v>
      </c>
      <c r="D6416" t="s">
        <v>87</v>
      </c>
      <c r="E6416" t="s">
        <v>800</v>
      </c>
      <c r="F6416" t="s">
        <v>801</v>
      </c>
      <c r="G6416" t="s">
        <v>0</v>
      </c>
      <c r="H6416">
        <v>54</v>
      </c>
      <c r="I6416">
        <v>18.686</v>
      </c>
      <c r="J6416">
        <v>12.714</v>
      </c>
      <c r="K6416">
        <v>-5.9720000000000004</v>
      </c>
      <c r="L6416">
        <v>40</v>
      </c>
      <c r="M6416">
        <v>0</v>
      </c>
      <c r="N6416">
        <v>14</v>
      </c>
      <c r="O6416">
        <v>11.89</v>
      </c>
      <c r="P6416">
        <v>-9.032338674</v>
      </c>
      <c r="Q6416">
        <v>17.434000000000001</v>
      </c>
    </row>
    <row r="6417" spans="1:17" x14ac:dyDescent="0.2">
      <c r="A6417" s="30" t="str">
        <f>IF(C6417&amp;G6417&amp;D6417&lt;&gt;'Funnel setup'!$K$3&amp;'Funnel setup'!$K$4&amp;'Funnel setup'!$K$5,".",IF(A6416=".",1,A6416+1))</f>
        <v>.</v>
      </c>
      <c r="B6417" s="431" t="str">
        <f t="shared" si="100"/>
        <v>Varicose VeinCCG of GP PracticeNHS RUSHCLIFFE CCG (04N)Aberdeen Varicose Vein Questionnaire</v>
      </c>
      <c r="C6417" t="s">
        <v>17</v>
      </c>
      <c r="D6417" t="s">
        <v>87</v>
      </c>
      <c r="E6417" t="s">
        <v>803</v>
      </c>
      <c r="F6417" t="s">
        <v>804</v>
      </c>
      <c r="G6417" t="s">
        <v>0</v>
      </c>
      <c r="H6417">
        <v>29</v>
      </c>
      <c r="I6417">
        <v>23.1</v>
      </c>
      <c r="J6417">
        <v>12.193</v>
      </c>
      <c r="K6417">
        <v>-10.907</v>
      </c>
      <c r="L6417">
        <v>24</v>
      </c>
      <c r="M6417">
        <v>0</v>
      </c>
      <c r="N6417">
        <v>5</v>
      </c>
      <c r="O6417" t="s">
        <v>53</v>
      </c>
      <c r="P6417" t="s">
        <v>53</v>
      </c>
      <c r="Q6417" t="s">
        <v>53</v>
      </c>
    </row>
    <row r="6418" spans="1:17" x14ac:dyDescent="0.2">
      <c r="A6418" s="30" t="str">
        <f>IF(C6418&amp;G6418&amp;D6418&lt;&gt;'Funnel setup'!$K$3&amp;'Funnel setup'!$K$4&amp;'Funnel setup'!$K$5,".",IF(A6417=".",1,A6417+1))</f>
        <v>.</v>
      </c>
      <c r="B6418" s="431" t="str">
        <f t="shared" si="100"/>
        <v>Varicose VeinCCG of GP PracticeNHS SALFORD CCG (01G)Aberdeen Varicose Vein Questionnaire</v>
      </c>
      <c r="C6418" t="s">
        <v>17</v>
      </c>
      <c r="D6418" t="s">
        <v>87</v>
      </c>
      <c r="E6418" t="s">
        <v>806</v>
      </c>
      <c r="F6418" t="s">
        <v>807</v>
      </c>
      <c r="G6418" t="s">
        <v>0</v>
      </c>
      <c r="H6418">
        <v>8</v>
      </c>
      <c r="I6418">
        <v>37.875999999999998</v>
      </c>
      <c r="J6418">
        <v>26.585999999999999</v>
      </c>
      <c r="K6418">
        <v>-11.29</v>
      </c>
      <c r="L6418">
        <v>8</v>
      </c>
      <c r="M6418">
        <v>0</v>
      </c>
      <c r="N6418">
        <v>0</v>
      </c>
      <c r="O6418" t="s">
        <v>53</v>
      </c>
      <c r="P6418" t="s">
        <v>53</v>
      </c>
      <c r="Q6418" t="s">
        <v>53</v>
      </c>
    </row>
    <row r="6419" spans="1:17" x14ac:dyDescent="0.2">
      <c r="A6419" s="30" t="str">
        <f>IF(C6419&amp;G6419&amp;D6419&lt;&gt;'Funnel setup'!$K$3&amp;'Funnel setup'!$K$4&amp;'Funnel setup'!$K$5,".",IF(A6418=".",1,A6418+1))</f>
        <v>.</v>
      </c>
      <c r="B6419" s="431" t="str">
        <f t="shared" si="100"/>
        <v>Varicose VeinCCG of GP PracticeNHS SANDWELL AND WEST BIRMINGHAM CCG (05L)Aberdeen Varicose Vein Questionnaire</v>
      </c>
      <c r="C6419" t="s">
        <v>17</v>
      </c>
      <c r="D6419" t="s">
        <v>87</v>
      </c>
      <c r="E6419" t="s">
        <v>809</v>
      </c>
      <c r="F6419" t="s">
        <v>810</v>
      </c>
      <c r="G6419" t="s">
        <v>0</v>
      </c>
      <c r="H6419">
        <v>120</v>
      </c>
      <c r="I6419">
        <v>20.573</v>
      </c>
      <c r="J6419">
        <v>12.925000000000001</v>
      </c>
      <c r="K6419">
        <v>-7.6479999999999997</v>
      </c>
      <c r="L6419">
        <v>92</v>
      </c>
      <c r="M6419">
        <v>0</v>
      </c>
      <c r="N6419">
        <v>28</v>
      </c>
      <c r="O6419">
        <v>13.141999999999999</v>
      </c>
      <c r="P6419">
        <v>-7.7801974840000003</v>
      </c>
      <c r="Q6419">
        <v>15.83</v>
      </c>
    </row>
    <row r="6420" spans="1:17" x14ac:dyDescent="0.2">
      <c r="A6420" s="30" t="str">
        <f>IF(C6420&amp;G6420&amp;D6420&lt;&gt;'Funnel setup'!$K$3&amp;'Funnel setup'!$K$4&amp;'Funnel setup'!$K$5,".",IF(A6419=".",1,A6419+1))</f>
        <v>.</v>
      </c>
      <c r="B6420" s="431" t="str">
        <f t="shared" si="100"/>
        <v>Varicose VeinCCG of GP PracticeNHS SCARBOROUGH AND RYEDALE CCG (03M)Aberdeen Varicose Vein Questionnaire</v>
      </c>
      <c r="C6420" t="s">
        <v>17</v>
      </c>
      <c r="D6420" t="s">
        <v>87</v>
      </c>
      <c r="E6420" t="s">
        <v>812</v>
      </c>
      <c r="F6420" t="s">
        <v>813</v>
      </c>
      <c r="G6420" t="s">
        <v>0</v>
      </c>
      <c r="H6420">
        <v>26</v>
      </c>
      <c r="I6420">
        <v>20.373000000000001</v>
      </c>
      <c r="J6420">
        <v>9.7219999999999995</v>
      </c>
      <c r="K6420">
        <v>-10.651999999999999</v>
      </c>
      <c r="L6420">
        <v>23</v>
      </c>
      <c r="M6420">
        <v>0</v>
      </c>
      <c r="N6420">
        <v>3</v>
      </c>
      <c r="O6420" t="s">
        <v>53</v>
      </c>
      <c r="P6420" t="s">
        <v>53</v>
      </c>
      <c r="Q6420" t="s">
        <v>53</v>
      </c>
    </row>
    <row r="6421" spans="1:17" x14ac:dyDescent="0.2">
      <c r="A6421" s="30" t="str">
        <f>IF(C6421&amp;G6421&amp;D6421&lt;&gt;'Funnel setup'!$K$3&amp;'Funnel setup'!$K$4&amp;'Funnel setup'!$K$5,".",IF(A6420=".",1,A6420+1))</f>
        <v>.</v>
      </c>
      <c r="B6421" s="431" t="str">
        <f t="shared" si="100"/>
        <v>Varicose VeinCCG of GP PracticeNHS SHEFFIELD CCG (03N)Aberdeen Varicose Vein Questionnaire</v>
      </c>
      <c r="C6421" t="s">
        <v>17</v>
      </c>
      <c r="D6421" t="s">
        <v>87</v>
      </c>
      <c r="E6421" t="s">
        <v>815</v>
      </c>
      <c r="F6421" t="s">
        <v>816</v>
      </c>
      <c r="G6421" t="s">
        <v>0</v>
      </c>
      <c r="H6421">
        <v>74</v>
      </c>
      <c r="I6421">
        <v>22.986999999999998</v>
      </c>
      <c r="J6421">
        <v>13.553000000000001</v>
      </c>
      <c r="K6421">
        <v>-9.4339999999999993</v>
      </c>
      <c r="L6421">
        <v>62</v>
      </c>
      <c r="M6421">
        <v>0</v>
      </c>
      <c r="N6421">
        <v>12</v>
      </c>
      <c r="O6421">
        <v>14.526</v>
      </c>
      <c r="P6421">
        <v>-6.396379724</v>
      </c>
      <c r="Q6421">
        <v>16.988</v>
      </c>
    </row>
    <row r="6422" spans="1:17" x14ac:dyDescent="0.2">
      <c r="A6422" s="30" t="str">
        <f>IF(C6422&amp;G6422&amp;D6422&lt;&gt;'Funnel setup'!$K$3&amp;'Funnel setup'!$K$4&amp;'Funnel setup'!$K$5,".",IF(A6421=".",1,A6421+1))</f>
        <v>.</v>
      </c>
      <c r="B6422" s="431" t="str">
        <f t="shared" si="100"/>
        <v>Varicose VeinCCG of GP PracticeNHS SHROPSHIRE CCG (05N)Aberdeen Varicose Vein Questionnaire</v>
      </c>
      <c r="C6422" t="s">
        <v>17</v>
      </c>
      <c r="D6422" t="s">
        <v>87</v>
      </c>
      <c r="E6422" t="s">
        <v>818</v>
      </c>
      <c r="F6422" t="s">
        <v>819</v>
      </c>
      <c r="G6422" t="s">
        <v>0</v>
      </c>
      <c r="H6422">
        <v>27</v>
      </c>
      <c r="I6422">
        <v>23.908999999999999</v>
      </c>
      <c r="J6422">
        <v>11.975</v>
      </c>
      <c r="K6422">
        <v>-11.933999999999999</v>
      </c>
      <c r="L6422">
        <v>24</v>
      </c>
      <c r="M6422">
        <v>0</v>
      </c>
      <c r="N6422">
        <v>3</v>
      </c>
      <c r="O6422" t="s">
        <v>53</v>
      </c>
      <c r="P6422" t="s">
        <v>53</v>
      </c>
      <c r="Q6422" t="s">
        <v>53</v>
      </c>
    </row>
    <row r="6423" spans="1:17" x14ac:dyDescent="0.2">
      <c r="A6423" s="30" t="str">
        <f>IF(C6423&amp;G6423&amp;D6423&lt;&gt;'Funnel setup'!$K$3&amp;'Funnel setup'!$K$4&amp;'Funnel setup'!$K$5,".",IF(A6422=".",1,A6422+1))</f>
        <v>.</v>
      </c>
      <c r="B6423" s="431" t="str">
        <f t="shared" si="100"/>
        <v>Varicose VeinCCG of GP PracticeNHS SOLIHULL CCG (05P)Aberdeen Varicose Vein Questionnaire</v>
      </c>
      <c r="C6423" t="s">
        <v>17</v>
      </c>
      <c r="D6423" t="s">
        <v>87</v>
      </c>
      <c r="E6423" t="s">
        <v>824</v>
      </c>
      <c r="F6423" t="s">
        <v>825</v>
      </c>
      <c r="G6423" t="s">
        <v>0</v>
      </c>
      <c r="H6423">
        <v>52</v>
      </c>
      <c r="I6423">
        <v>19.001999999999999</v>
      </c>
      <c r="J6423">
        <v>9.3870000000000005</v>
      </c>
      <c r="K6423">
        <v>-9.6140000000000008</v>
      </c>
      <c r="L6423">
        <v>45</v>
      </c>
      <c r="M6423">
        <v>0</v>
      </c>
      <c r="N6423">
        <v>7</v>
      </c>
      <c r="O6423">
        <v>7.9269999999999996</v>
      </c>
      <c r="P6423">
        <v>-12.99504503</v>
      </c>
      <c r="Q6423">
        <v>10.756</v>
      </c>
    </row>
    <row r="6424" spans="1:17" x14ac:dyDescent="0.2">
      <c r="A6424" s="30" t="str">
        <f>IF(C6424&amp;G6424&amp;D6424&lt;&gt;'Funnel setup'!$K$3&amp;'Funnel setup'!$K$4&amp;'Funnel setup'!$K$5,".",IF(A6423=".",1,A6423+1))</f>
        <v>.</v>
      </c>
      <c r="B6424" s="431" t="str">
        <f t="shared" si="100"/>
        <v>Varicose VeinCCG of GP PracticeNHS SOMERSET CCG (11X)Aberdeen Varicose Vein Questionnaire</v>
      </c>
      <c r="C6424" t="s">
        <v>17</v>
      </c>
      <c r="D6424" t="s">
        <v>87</v>
      </c>
      <c r="E6424" t="s">
        <v>827</v>
      </c>
      <c r="F6424" t="s">
        <v>828</v>
      </c>
      <c r="G6424" t="s">
        <v>0</v>
      </c>
      <c r="H6424">
        <v>80</v>
      </c>
      <c r="I6424">
        <v>21.777999999999999</v>
      </c>
      <c r="J6424">
        <v>11.247999999999999</v>
      </c>
      <c r="K6424">
        <v>-10.53</v>
      </c>
      <c r="L6424">
        <v>67</v>
      </c>
      <c r="M6424">
        <v>1</v>
      </c>
      <c r="N6424">
        <v>12</v>
      </c>
      <c r="O6424">
        <v>11.581</v>
      </c>
      <c r="P6424">
        <v>-9.3411023520000001</v>
      </c>
      <c r="Q6424">
        <v>15.87</v>
      </c>
    </row>
    <row r="6425" spans="1:17" x14ac:dyDescent="0.2">
      <c r="A6425" s="30" t="str">
        <f>IF(C6425&amp;G6425&amp;D6425&lt;&gt;'Funnel setup'!$K$3&amp;'Funnel setup'!$K$4&amp;'Funnel setup'!$K$5,".",IF(A6424=".",1,A6424+1))</f>
        <v>.</v>
      </c>
      <c r="B6425" s="431" t="str">
        <f t="shared" si="100"/>
        <v>Varicose VeinCCG of GP PracticeNHS SOUTH CHESHIRE CCG (01R)Aberdeen Varicose Vein Questionnaire</v>
      </c>
      <c r="C6425" t="s">
        <v>17</v>
      </c>
      <c r="D6425" t="s">
        <v>87</v>
      </c>
      <c r="E6425" t="s">
        <v>830</v>
      </c>
      <c r="F6425" t="s">
        <v>831</v>
      </c>
      <c r="G6425" t="s">
        <v>0</v>
      </c>
      <c r="H6425">
        <v>8</v>
      </c>
      <c r="I6425">
        <v>20.984999999999999</v>
      </c>
      <c r="J6425">
        <v>9.9990000000000006</v>
      </c>
      <c r="K6425">
        <v>-10.986000000000001</v>
      </c>
      <c r="L6425">
        <v>8</v>
      </c>
      <c r="M6425">
        <v>0</v>
      </c>
      <c r="N6425">
        <v>0</v>
      </c>
      <c r="O6425" t="s">
        <v>53</v>
      </c>
      <c r="P6425" t="s">
        <v>53</v>
      </c>
      <c r="Q6425" t="s">
        <v>53</v>
      </c>
    </row>
    <row r="6426" spans="1:17" x14ac:dyDescent="0.2">
      <c r="A6426" s="30" t="str">
        <f>IF(C6426&amp;G6426&amp;D6426&lt;&gt;'Funnel setup'!$K$3&amp;'Funnel setup'!$K$4&amp;'Funnel setup'!$K$5,".",IF(A6425=".",1,A6425+1))</f>
        <v>.</v>
      </c>
      <c r="B6426" s="431" t="str">
        <f t="shared" si="100"/>
        <v>Varicose VeinCCG of GP PracticeNHS SOUTH DEVON AND TORBAY CCG (99Q)Aberdeen Varicose Vein Questionnaire</v>
      </c>
      <c r="C6426" t="s">
        <v>17</v>
      </c>
      <c r="D6426" t="s">
        <v>87</v>
      </c>
      <c r="E6426" t="s">
        <v>833</v>
      </c>
      <c r="F6426" t="s">
        <v>834</v>
      </c>
      <c r="G6426" t="s">
        <v>0</v>
      </c>
      <c r="H6426">
        <v>7</v>
      </c>
      <c r="I6426">
        <v>22.997</v>
      </c>
      <c r="J6426">
        <v>12.17</v>
      </c>
      <c r="K6426">
        <v>-10.827</v>
      </c>
      <c r="L6426">
        <v>7</v>
      </c>
      <c r="M6426">
        <v>0</v>
      </c>
      <c r="N6426">
        <v>0</v>
      </c>
      <c r="O6426" t="s">
        <v>53</v>
      </c>
      <c r="P6426" t="s">
        <v>53</v>
      </c>
      <c r="Q6426" t="s">
        <v>53</v>
      </c>
    </row>
    <row r="6427" spans="1:17" x14ac:dyDescent="0.2">
      <c r="A6427" s="30" t="str">
        <f>IF(C6427&amp;G6427&amp;D6427&lt;&gt;'Funnel setup'!$K$3&amp;'Funnel setup'!$K$4&amp;'Funnel setup'!$K$5,".",IF(A6426=".",1,A6426+1))</f>
        <v>.</v>
      </c>
      <c r="B6427" s="431" t="str">
        <f t="shared" si="100"/>
        <v>Varicose VeinCCG of GP PracticeNHS SOUTH EAST STAFFORDSHIRE AND SEISDON PENINSULA CCG (05Q)Aberdeen Varicose Vein Questionnaire</v>
      </c>
      <c r="C6427" t="s">
        <v>17</v>
      </c>
      <c r="D6427" t="s">
        <v>87</v>
      </c>
      <c r="E6427" t="s">
        <v>836</v>
      </c>
      <c r="F6427" t="s">
        <v>837</v>
      </c>
      <c r="G6427" t="s">
        <v>0</v>
      </c>
      <c r="H6427">
        <v>36</v>
      </c>
      <c r="I6427">
        <v>21.588999999999999</v>
      </c>
      <c r="J6427">
        <v>13.516</v>
      </c>
      <c r="K6427">
        <v>-8.0730000000000004</v>
      </c>
      <c r="L6427">
        <v>29</v>
      </c>
      <c r="M6427">
        <v>0</v>
      </c>
      <c r="N6427">
        <v>7</v>
      </c>
      <c r="O6427">
        <v>13.771000000000001</v>
      </c>
      <c r="P6427">
        <v>-7.151951285</v>
      </c>
      <c r="Q6427">
        <v>15.702</v>
      </c>
    </row>
    <row r="6428" spans="1:17" x14ac:dyDescent="0.2">
      <c r="A6428" s="30" t="str">
        <f>IF(C6428&amp;G6428&amp;D6428&lt;&gt;'Funnel setup'!$K$3&amp;'Funnel setup'!$K$4&amp;'Funnel setup'!$K$5,".",IF(A6427=".",1,A6427+1))</f>
        <v>.</v>
      </c>
      <c r="B6428" s="431" t="str">
        <f t="shared" si="100"/>
        <v>Varicose VeinCCG of GP PracticeNHS SOUTH EASTERN HAMPSHIRE CCG (10V)Aberdeen Varicose Vein Questionnaire</v>
      </c>
      <c r="C6428" t="s">
        <v>17</v>
      </c>
      <c r="D6428" t="s">
        <v>87</v>
      </c>
      <c r="E6428" t="s">
        <v>839</v>
      </c>
      <c r="F6428" t="s">
        <v>840</v>
      </c>
      <c r="G6428" t="s">
        <v>0</v>
      </c>
      <c r="H6428" t="s">
        <v>53</v>
      </c>
      <c r="I6428" t="s">
        <v>53</v>
      </c>
      <c r="J6428" t="s">
        <v>53</v>
      </c>
      <c r="K6428" t="s">
        <v>53</v>
      </c>
      <c r="L6428" t="s">
        <v>53</v>
      </c>
      <c r="M6428" t="s">
        <v>53</v>
      </c>
      <c r="N6428" t="s">
        <v>53</v>
      </c>
      <c r="O6428" t="s">
        <v>53</v>
      </c>
      <c r="P6428" t="s">
        <v>53</v>
      </c>
      <c r="Q6428" t="s">
        <v>53</v>
      </c>
    </row>
    <row r="6429" spans="1:17" x14ac:dyDescent="0.2">
      <c r="A6429" s="30" t="str">
        <f>IF(C6429&amp;G6429&amp;D6429&lt;&gt;'Funnel setup'!$K$3&amp;'Funnel setup'!$K$4&amp;'Funnel setup'!$K$5,".",IF(A6428=".",1,A6428+1))</f>
        <v>.</v>
      </c>
      <c r="B6429" s="431" t="str">
        <f t="shared" si="100"/>
        <v>Varicose VeinCCG of GP PracticeNHS SOUTH GLOUCESTERSHIRE CCG (12A)Aberdeen Varicose Vein Questionnaire</v>
      </c>
      <c r="C6429" t="s">
        <v>17</v>
      </c>
      <c r="D6429" t="s">
        <v>87</v>
      </c>
      <c r="E6429" t="s">
        <v>842</v>
      </c>
      <c r="F6429" t="s">
        <v>843</v>
      </c>
      <c r="G6429" t="s">
        <v>0</v>
      </c>
      <c r="H6429">
        <v>16</v>
      </c>
      <c r="I6429">
        <v>19.425999999999998</v>
      </c>
      <c r="J6429">
        <v>10.516</v>
      </c>
      <c r="K6429">
        <v>-8.91</v>
      </c>
      <c r="L6429">
        <v>13</v>
      </c>
      <c r="M6429">
        <v>0</v>
      </c>
      <c r="N6429">
        <v>3</v>
      </c>
      <c r="O6429" t="s">
        <v>53</v>
      </c>
      <c r="P6429" t="s">
        <v>53</v>
      </c>
      <c r="Q6429" t="s">
        <v>53</v>
      </c>
    </row>
    <row r="6430" spans="1:17" x14ac:dyDescent="0.2">
      <c r="A6430" s="30" t="str">
        <f>IF(C6430&amp;G6430&amp;D6430&lt;&gt;'Funnel setup'!$K$3&amp;'Funnel setup'!$K$4&amp;'Funnel setup'!$K$5,".",IF(A6429=".",1,A6429+1))</f>
        <v>.</v>
      </c>
      <c r="B6430" s="431" t="str">
        <f t="shared" si="100"/>
        <v>Varicose VeinCCG of GP PracticeNHS SOUTH LINCOLNSHIRE CCG (99D)Aberdeen Varicose Vein Questionnaire</v>
      </c>
      <c r="C6430" t="s">
        <v>17</v>
      </c>
      <c r="D6430" t="s">
        <v>87</v>
      </c>
      <c r="E6430" t="s">
        <v>848</v>
      </c>
      <c r="F6430" t="s">
        <v>849</v>
      </c>
      <c r="G6430" t="s">
        <v>0</v>
      </c>
      <c r="H6430">
        <v>13</v>
      </c>
      <c r="I6430">
        <v>22.797999999999998</v>
      </c>
      <c r="J6430">
        <v>8.8580000000000005</v>
      </c>
      <c r="K6430">
        <v>-13.94</v>
      </c>
      <c r="L6430">
        <v>12</v>
      </c>
      <c r="M6430">
        <v>0</v>
      </c>
      <c r="N6430">
        <v>1</v>
      </c>
      <c r="O6430" t="s">
        <v>53</v>
      </c>
      <c r="P6430" t="s">
        <v>53</v>
      </c>
      <c r="Q6430" t="s">
        <v>53</v>
      </c>
    </row>
    <row r="6431" spans="1:17" x14ac:dyDescent="0.2">
      <c r="A6431" s="30" t="str">
        <f>IF(C6431&amp;G6431&amp;D6431&lt;&gt;'Funnel setup'!$K$3&amp;'Funnel setup'!$K$4&amp;'Funnel setup'!$K$5,".",IF(A6430=".",1,A6430+1))</f>
        <v>.</v>
      </c>
      <c r="B6431" s="431" t="str">
        <f t="shared" si="100"/>
        <v>Varicose VeinCCG of GP PracticeNHS SOUTH MANCHESTER CCG (01N)Aberdeen Varicose Vein Questionnaire</v>
      </c>
      <c r="C6431" t="s">
        <v>17</v>
      </c>
      <c r="D6431" t="s">
        <v>87</v>
      </c>
      <c r="E6431" t="s">
        <v>851</v>
      </c>
      <c r="F6431" t="s">
        <v>852</v>
      </c>
      <c r="G6431" t="s">
        <v>0</v>
      </c>
      <c r="H6431">
        <v>14</v>
      </c>
      <c r="I6431">
        <v>21.603999999999999</v>
      </c>
      <c r="J6431">
        <v>11.731999999999999</v>
      </c>
      <c r="K6431">
        <v>-9.8719999999999999</v>
      </c>
      <c r="L6431">
        <v>13</v>
      </c>
      <c r="M6431">
        <v>0</v>
      </c>
      <c r="N6431">
        <v>1</v>
      </c>
      <c r="O6431" t="s">
        <v>53</v>
      </c>
      <c r="P6431" t="s">
        <v>53</v>
      </c>
      <c r="Q6431" t="s">
        <v>53</v>
      </c>
    </row>
    <row r="6432" spans="1:17" x14ac:dyDescent="0.2">
      <c r="A6432" s="30" t="str">
        <f>IF(C6432&amp;G6432&amp;D6432&lt;&gt;'Funnel setup'!$K$3&amp;'Funnel setup'!$K$4&amp;'Funnel setup'!$K$5,".",IF(A6431=".",1,A6431+1))</f>
        <v>.</v>
      </c>
      <c r="B6432" s="431" t="str">
        <f t="shared" si="100"/>
        <v>Varicose VeinCCG of GP PracticeNHS SOUTH NORFOLK CCG (06Y)Aberdeen Varicose Vein Questionnaire</v>
      </c>
      <c r="C6432" t="s">
        <v>17</v>
      </c>
      <c r="D6432" t="s">
        <v>87</v>
      </c>
      <c r="E6432" t="s">
        <v>932</v>
      </c>
      <c r="F6432" t="s">
        <v>933</v>
      </c>
      <c r="G6432" t="s">
        <v>0</v>
      </c>
      <c r="H6432">
        <v>40</v>
      </c>
      <c r="I6432">
        <v>17.948</v>
      </c>
      <c r="J6432">
        <v>11.529</v>
      </c>
      <c r="K6432">
        <v>-6.4189999999999996</v>
      </c>
      <c r="L6432">
        <v>32</v>
      </c>
      <c r="M6432">
        <v>0</v>
      </c>
      <c r="N6432">
        <v>8</v>
      </c>
      <c r="O6432">
        <v>9.3849999999999998</v>
      </c>
      <c r="P6432">
        <v>-11.537115139999999</v>
      </c>
      <c r="Q6432">
        <v>12.178000000000001</v>
      </c>
    </row>
    <row r="6433" spans="1:17" x14ac:dyDescent="0.2">
      <c r="A6433" s="30" t="str">
        <f>IF(C6433&amp;G6433&amp;D6433&lt;&gt;'Funnel setup'!$K$3&amp;'Funnel setup'!$K$4&amp;'Funnel setup'!$K$5,".",IF(A6432=".",1,A6432+1))</f>
        <v>.</v>
      </c>
      <c r="B6433" s="431" t="str">
        <f t="shared" si="100"/>
        <v>Varicose VeinCCG of GP PracticeNHS SOUTH READING CCG (10W)Aberdeen Varicose Vein Questionnaire</v>
      </c>
      <c r="C6433" t="s">
        <v>17</v>
      </c>
      <c r="D6433" t="s">
        <v>87</v>
      </c>
      <c r="E6433" t="s">
        <v>935</v>
      </c>
      <c r="F6433" t="s">
        <v>936</v>
      </c>
      <c r="G6433" t="s">
        <v>0</v>
      </c>
      <c r="H6433" t="s">
        <v>53</v>
      </c>
      <c r="I6433" t="s">
        <v>53</v>
      </c>
      <c r="J6433" t="s">
        <v>53</v>
      </c>
      <c r="K6433" t="s">
        <v>53</v>
      </c>
      <c r="L6433" t="s">
        <v>53</v>
      </c>
      <c r="M6433" t="s">
        <v>53</v>
      </c>
      <c r="N6433" t="s">
        <v>53</v>
      </c>
      <c r="O6433" t="s">
        <v>53</v>
      </c>
      <c r="P6433" t="s">
        <v>53</v>
      </c>
      <c r="Q6433" t="s">
        <v>53</v>
      </c>
    </row>
    <row r="6434" spans="1:17" x14ac:dyDescent="0.2">
      <c r="A6434" s="30" t="str">
        <f>IF(C6434&amp;G6434&amp;D6434&lt;&gt;'Funnel setup'!$K$3&amp;'Funnel setup'!$K$4&amp;'Funnel setup'!$K$5,".",IF(A6433=".",1,A6433+1))</f>
        <v>.</v>
      </c>
      <c r="B6434" s="431" t="str">
        <f t="shared" si="100"/>
        <v>Varicose VeinCCG of GP PracticeNHS SOUTH SEFTON CCG (01T)Aberdeen Varicose Vein Questionnaire</v>
      </c>
      <c r="C6434" t="s">
        <v>17</v>
      </c>
      <c r="D6434" t="s">
        <v>87</v>
      </c>
      <c r="E6434" t="s">
        <v>938</v>
      </c>
      <c r="F6434" t="s">
        <v>939</v>
      </c>
      <c r="G6434" t="s">
        <v>0</v>
      </c>
      <c r="H6434">
        <v>12</v>
      </c>
      <c r="I6434">
        <v>22.329000000000001</v>
      </c>
      <c r="J6434">
        <v>11.746</v>
      </c>
      <c r="K6434">
        <v>-10.583</v>
      </c>
      <c r="L6434">
        <v>11</v>
      </c>
      <c r="M6434">
        <v>0</v>
      </c>
      <c r="N6434">
        <v>1</v>
      </c>
      <c r="O6434" t="s">
        <v>53</v>
      </c>
      <c r="P6434" t="s">
        <v>53</v>
      </c>
      <c r="Q6434" t="s">
        <v>53</v>
      </c>
    </row>
    <row r="6435" spans="1:17" x14ac:dyDescent="0.2">
      <c r="A6435" s="30" t="str">
        <f>IF(C6435&amp;G6435&amp;D6435&lt;&gt;'Funnel setup'!$K$3&amp;'Funnel setup'!$K$4&amp;'Funnel setup'!$K$5,".",IF(A6434=".",1,A6434+1))</f>
        <v>.</v>
      </c>
      <c r="B6435" s="431" t="str">
        <f t="shared" si="100"/>
        <v>Varicose VeinCCG of GP PracticeNHS SOUTH TEES CCG (00M)Aberdeen Varicose Vein Questionnaire</v>
      </c>
      <c r="C6435" t="s">
        <v>17</v>
      </c>
      <c r="D6435" t="s">
        <v>87</v>
      </c>
      <c r="E6435" t="s">
        <v>941</v>
      </c>
      <c r="F6435" t="s">
        <v>942</v>
      </c>
      <c r="G6435" t="s">
        <v>0</v>
      </c>
      <c r="H6435">
        <v>25</v>
      </c>
      <c r="I6435">
        <v>20.847999999999999</v>
      </c>
      <c r="J6435">
        <v>12.211</v>
      </c>
      <c r="K6435">
        <v>-8.6370000000000005</v>
      </c>
      <c r="L6435">
        <v>22</v>
      </c>
      <c r="M6435">
        <v>0</v>
      </c>
      <c r="N6435">
        <v>3</v>
      </c>
      <c r="O6435" t="s">
        <v>53</v>
      </c>
      <c r="P6435" t="s">
        <v>53</v>
      </c>
      <c r="Q6435" t="s">
        <v>53</v>
      </c>
    </row>
    <row r="6436" spans="1:17" x14ac:dyDescent="0.2">
      <c r="A6436" s="30" t="str">
        <f>IF(C6436&amp;G6436&amp;D6436&lt;&gt;'Funnel setup'!$K$3&amp;'Funnel setup'!$K$4&amp;'Funnel setup'!$K$5,".",IF(A6435=".",1,A6435+1))</f>
        <v>.</v>
      </c>
      <c r="B6436" s="431" t="str">
        <f t="shared" si="100"/>
        <v>Varicose VeinCCG of GP PracticeNHS SOUTH TYNESIDE CCG (00N)Aberdeen Varicose Vein Questionnaire</v>
      </c>
      <c r="C6436" t="s">
        <v>17</v>
      </c>
      <c r="D6436" t="s">
        <v>87</v>
      </c>
      <c r="E6436" t="s">
        <v>1016</v>
      </c>
      <c r="F6436" t="s">
        <v>1017</v>
      </c>
      <c r="G6436" t="s">
        <v>0</v>
      </c>
      <c r="H6436">
        <v>112</v>
      </c>
      <c r="I6436">
        <v>19.242999999999999</v>
      </c>
      <c r="J6436">
        <v>12.93</v>
      </c>
      <c r="K6436">
        <v>-6.3140000000000001</v>
      </c>
      <c r="L6436">
        <v>93</v>
      </c>
      <c r="M6436">
        <v>0</v>
      </c>
      <c r="N6436">
        <v>19</v>
      </c>
      <c r="O6436">
        <v>12.093</v>
      </c>
      <c r="P6436">
        <v>-8.8293953770000009</v>
      </c>
      <c r="Q6436">
        <v>15.119</v>
      </c>
    </row>
    <row r="6437" spans="1:17" x14ac:dyDescent="0.2">
      <c r="A6437" s="30" t="str">
        <f>IF(C6437&amp;G6437&amp;D6437&lt;&gt;'Funnel setup'!$K$3&amp;'Funnel setup'!$K$4&amp;'Funnel setup'!$K$5,".",IF(A6436=".",1,A6436+1))</f>
        <v>.</v>
      </c>
      <c r="B6437" s="431" t="str">
        <f t="shared" si="100"/>
        <v>Varicose VeinCCG of GP PracticeNHS SOUTH WARWICKSHIRE CCG (05R)Aberdeen Varicose Vein Questionnaire</v>
      </c>
      <c r="C6437" t="s">
        <v>17</v>
      </c>
      <c r="D6437" t="s">
        <v>87</v>
      </c>
      <c r="E6437" t="s">
        <v>944</v>
      </c>
      <c r="F6437" t="s">
        <v>945</v>
      </c>
      <c r="G6437" t="s">
        <v>0</v>
      </c>
      <c r="H6437">
        <v>32</v>
      </c>
      <c r="I6437">
        <v>21.074000000000002</v>
      </c>
      <c r="J6437">
        <v>14.797000000000001</v>
      </c>
      <c r="K6437">
        <v>-6.2770000000000001</v>
      </c>
      <c r="L6437">
        <v>27</v>
      </c>
      <c r="M6437">
        <v>0</v>
      </c>
      <c r="N6437">
        <v>5</v>
      </c>
      <c r="O6437">
        <v>15.159000000000001</v>
      </c>
      <c r="P6437">
        <v>-5.7638949239999997</v>
      </c>
      <c r="Q6437">
        <v>19.193999999999999</v>
      </c>
    </row>
    <row r="6438" spans="1:17" x14ac:dyDescent="0.2">
      <c r="A6438" s="30" t="str">
        <f>IF(C6438&amp;G6438&amp;D6438&lt;&gt;'Funnel setup'!$K$3&amp;'Funnel setup'!$K$4&amp;'Funnel setup'!$K$5,".",IF(A6437=".",1,A6437+1))</f>
        <v>.</v>
      </c>
      <c r="B6438" s="431" t="str">
        <f t="shared" si="100"/>
        <v>Varicose VeinCCG of GP PracticeNHS SOUTH WEST LINCOLNSHIRE CCG (04Q)Aberdeen Varicose Vein Questionnaire</v>
      </c>
      <c r="C6438" t="s">
        <v>17</v>
      </c>
      <c r="D6438" t="s">
        <v>87</v>
      </c>
      <c r="E6438" t="s">
        <v>947</v>
      </c>
      <c r="F6438" t="s">
        <v>948</v>
      </c>
      <c r="G6438" t="s">
        <v>0</v>
      </c>
      <c r="H6438">
        <v>16</v>
      </c>
      <c r="I6438">
        <v>20.922000000000001</v>
      </c>
      <c r="J6438">
        <v>12.14</v>
      </c>
      <c r="K6438">
        <v>-8.782</v>
      </c>
      <c r="L6438">
        <v>15</v>
      </c>
      <c r="M6438">
        <v>0</v>
      </c>
      <c r="N6438">
        <v>1</v>
      </c>
      <c r="O6438" t="s">
        <v>53</v>
      </c>
      <c r="P6438" t="s">
        <v>53</v>
      </c>
      <c r="Q6438" t="s">
        <v>53</v>
      </c>
    </row>
    <row r="6439" spans="1:17" x14ac:dyDescent="0.2">
      <c r="A6439" s="30" t="str">
        <f>IF(C6439&amp;G6439&amp;D6439&lt;&gt;'Funnel setup'!$K$3&amp;'Funnel setup'!$K$4&amp;'Funnel setup'!$K$5,".",IF(A6438=".",1,A6438+1))</f>
        <v>.</v>
      </c>
      <c r="B6439" s="431" t="str">
        <f t="shared" si="100"/>
        <v>Varicose VeinCCG of GP PracticeNHS SOUTH WORCESTERSHIRE CCG (05T)Aberdeen Varicose Vein Questionnaire</v>
      </c>
      <c r="C6439" t="s">
        <v>17</v>
      </c>
      <c r="D6439" t="s">
        <v>87</v>
      </c>
      <c r="E6439" t="s">
        <v>950</v>
      </c>
      <c r="F6439" t="s">
        <v>951</v>
      </c>
      <c r="G6439" t="s">
        <v>0</v>
      </c>
      <c r="H6439">
        <v>11</v>
      </c>
      <c r="I6439">
        <v>17.163</v>
      </c>
      <c r="J6439">
        <v>14.289</v>
      </c>
      <c r="K6439">
        <v>-2.8730000000000002</v>
      </c>
      <c r="L6439">
        <v>8</v>
      </c>
      <c r="M6439">
        <v>0</v>
      </c>
      <c r="N6439">
        <v>3</v>
      </c>
      <c r="O6439" t="s">
        <v>53</v>
      </c>
      <c r="P6439" t="s">
        <v>53</v>
      </c>
      <c r="Q6439" t="s">
        <v>53</v>
      </c>
    </row>
    <row r="6440" spans="1:17" x14ac:dyDescent="0.2">
      <c r="A6440" s="30" t="str">
        <f>IF(C6440&amp;G6440&amp;D6440&lt;&gt;'Funnel setup'!$K$3&amp;'Funnel setup'!$K$4&amp;'Funnel setup'!$K$5,".",IF(A6439=".",1,A6439+1))</f>
        <v>.</v>
      </c>
      <c r="B6440" s="431" t="str">
        <f t="shared" si="100"/>
        <v>Varicose VeinCCG of GP PracticeNHS SOUTHAMPTON CCG (10X)Aberdeen Varicose Vein Questionnaire</v>
      </c>
      <c r="C6440" t="s">
        <v>17</v>
      </c>
      <c r="D6440" t="s">
        <v>87</v>
      </c>
      <c r="E6440" t="s">
        <v>953</v>
      </c>
      <c r="F6440" t="s">
        <v>954</v>
      </c>
      <c r="G6440" t="s">
        <v>0</v>
      </c>
      <c r="H6440">
        <v>7</v>
      </c>
      <c r="I6440">
        <v>18.716999999999999</v>
      </c>
      <c r="J6440">
        <v>7.5810000000000004</v>
      </c>
      <c r="K6440">
        <v>-11.135999999999999</v>
      </c>
      <c r="L6440">
        <v>5</v>
      </c>
      <c r="M6440">
        <v>0</v>
      </c>
      <c r="N6440">
        <v>2</v>
      </c>
      <c r="O6440" t="s">
        <v>53</v>
      </c>
      <c r="P6440" t="s">
        <v>53</v>
      </c>
      <c r="Q6440" t="s">
        <v>53</v>
      </c>
    </row>
    <row r="6441" spans="1:17" x14ac:dyDescent="0.2">
      <c r="A6441" s="30" t="str">
        <f>IF(C6441&amp;G6441&amp;D6441&lt;&gt;'Funnel setup'!$K$3&amp;'Funnel setup'!$K$4&amp;'Funnel setup'!$K$5,".",IF(A6440=".",1,A6440+1))</f>
        <v>.</v>
      </c>
      <c r="B6441" s="431" t="str">
        <f t="shared" si="100"/>
        <v>Varicose VeinCCG of GP PracticeNHS SOUTHEND CCG (99G)Aberdeen Varicose Vein Questionnaire</v>
      </c>
      <c r="C6441" t="s">
        <v>17</v>
      </c>
      <c r="D6441" t="s">
        <v>87</v>
      </c>
      <c r="E6441" t="s">
        <v>956</v>
      </c>
      <c r="F6441" t="s">
        <v>957</v>
      </c>
      <c r="G6441" t="s">
        <v>0</v>
      </c>
      <c r="H6441" t="s">
        <v>53</v>
      </c>
      <c r="I6441" t="s">
        <v>53</v>
      </c>
      <c r="J6441" t="s">
        <v>53</v>
      </c>
      <c r="K6441" t="s">
        <v>53</v>
      </c>
      <c r="L6441" t="s">
        <v>53</v>
      </c>
      <c r="M6441" t="s">
        <v>53</v>
      </c>
      <c r="N6441" t="s">
        <v>53</v>
      </c>
      <c r="O6441" t="s">
        <v>53</v>
      </c>
      <c r="P6441" t="s">
        <v>53</v>
      </c>
      <c r="Q6441" t="s">
        <v>53</v>
      </c>
    </row>
    <row r="6442" spans="1:17" x14ac:dyDescent="0.2">
      <c r="A6442" s="30" t="str">
        <f>IF(C6442&amp;G6442&amp;D6442&lt;&gt;'Funnel setup'!$K$3&amp;'Funnel setup'!$K$4&amp;'Funnel setup'!$K$5,".",IF(A6441=".",1,A6441+1))</f>
        <v>.</v>
      </c>
      <c r="B6442" s="431" t="str">
        <f t="shared" si="100"/>
        <v>Varicose VeinCCG of GP PracticeNHS SOUTHERN DERBYSHIRE CCG (04R)Aberdeen Varicose Vein Questionnaire</v>
      </c>
      <c r="C6442" t="s">
        <v>17</v>
      </c>
      <c r="D6442" t="s">
        <v>87</v>
      </c>
      <c r="E6442" t="s">
        <v>959</v>
      </c>
      <c r="F6442" t="s">
        <v>960</v>
      </c>
      <c r="G6442" t="s">
        <v>0</v>
      </c>
      <c r="H6442">
        <v>23</v>
      </c>
      <c r="I6442">
        <v>20.802</v>
      </c>
      <c r="J6442">
        <v>12.785</v>
      </c>
      <c r="K6442">
        <v>-8.0169999999999995</v>
      </c>
      <c r="L6442">
        <v>21</v>
      </c>
      <c r="M6442">
        <v>0</v>
      </c>
      <c r="N6442">
        <v>2</v>
      </c>
      <c r="O6442" t="s">
        <v>53</v>
      </c>
      <c r="P6442" t="s">
        <v>53</v>
      </c>
      <c r="Q6442" t="s">
        <v>53</v>
      </c>
    </row>
    <row r="6443" spans="1:17" x14ac:dyDescent="0.2">
      <c r="A6443" s="30" t="str">
        <f>IF(C6443&amp;G6443&amp;D6443&lt;&gt;'Funnel setup'!$K$3&amp;'Funnel setup'!$K$4&amp;'Funnel setup'!$K$5,".",IF(A6442=".",1,A6442+1))</f>
        <v>.</v>
      </c>
      <c r="B6443" s="431" t="str">
        <f t="shared" si="100"/>
        <v>Varicose VeinCCG of GP PracticeNHS SOUTHPORT AND FORMBY CCG (01V)Aberdeen Varicose Vein Questionnaire</v>
      </c>
      <c r="C6443" t="s">
        <v>17</v>
      </c>
      <c r="D6443" t="s">
        <v>87</v>
      </c>
      <c r="E6443" t="s">
        <v>962</v>
      </c>
      <c r="F6443" t="s">
        <v>963</v>
      </c>
      <c r="G6443" t="s">
        <v>0</v>
      </c>
      <c r="H6443">
        <v>36</v>
      </c>
      <c r="I6443">
        <v>24.61</v>
      </c>
      <c r="J6443">
        <v>15.439</v>
      </c>
      <c r="K6443">
        <v>-9.1709999999999994</v>
      </c>
      <c r="L6443">
        <v>30</v>
      </c>
      <c r="M6443">
        <v>0</v>
      </c>
      <c r="N6443">
        <v>6</v>
      </c>
      <c r="O6443">
        <v>17.417000000000002</v>
      </c>
      <c r="P6443">
        <v>-3.5058400600000001</v>
      </c>
      <c r="Q6443">
        <v>22.641999999999999</v>
      </c>
    </row>
    <row r="6444" spans="1:17" x14ac:dyDescent="0.2">
      <c r="A6444" s="30" t="str">
        <f>IF(C6444&amp;G6444&amp;D6444&lt;&gt;'Funnel setup'!$K$3&amp;'Funnel setup'!$K$4&amp;'Funnel setup'!$K$5,".",IF(A6443=".",1,A6443+1))</f>
        <v>.</v>
      </c>
      <c r="B6444" s="431" t="str">
        <f t="shared" si="100"/>
        <v>Varicose VeinCCG of GP PracticeNHS SOUTHWARK CCG (08Q)Aberdeen Varicose Vein Questionnaire</v>
      </c>
      <c r="C6444" t="s">
        <v>17</v>
      </c>
      <c r="D6444" t="s">
        <v>87</v>
      </c>
      <c r="E6444" t="s">
        <v>965</v>
      </c>
      <c r="F6444" t="s">
        <v>966</v>
      </c>
      <c r="G6444" t="s">
        <v>0</v>
      </c>
      <c r="H6444">
        <v>32</v>
      </c>
      <c r="I6444">
        <v>20.565999999999999</v>
      </c>
      <c r="J6444">
        <v>15.563000000000001</v>
      </c>
      <c r="K6444">
        <v>-5.0030000000000001</v>
      </c>
      <c r="L6444">
        <v>22</v>
      </c>
      <c r="M6444">
        <v>0</v>
      </c>
      <c r="N6444">
        <v>10</v>
      </c>
      <c r="O6444">
        <v>15.773999999999999</v>
      </c>
      <c r="P6444">
        <v>-5.1483959510000004</v>
      </c>
      <c r="Q6444">
        <v>21.558</v>
      </c>
    </row>
    <row r="6445" spans="1:17" x14ac:dyDescent="0.2">
      <c r="A6445" s="30" t="str">
        <f>IF(C6445&amp;G6445&amp;D6445&lt;&gt;'Funnel setup'!$K$3&amp;'Funnel setup'!$K$4&amp;'Funnel setup'!$K$5,".",IF(A6444=".",1,A6444+1))</f>
        <v>.</v>
      </c>
      <c r="B6445" s="431" t="str">
        <f t="shared" si="100"/>
        <v>Varicose VeinCCG of GP PracticeNHS ST HELENS CCG (01X)Aberdeen Varicose Vein Questionnaire</v>
      </c>
      <c r="C6445" t="s">
        <v>17</v>
      </c>
      <c r="D6445" t="s">
        <v>87</v>
      </c>
      <c r="E6445" t="s">
        <v>968</v>
      </c>
      <c r="F6445" t="s">
        <v>969</v>
      </c>
      <c r="G6445" t="s">
        <v>0</v>
      </c>
      <c r="H6445">
        <v>19</v>
      </c>
      <c r="I6445">
        <v>20.826000000000001</v>
      </c>
      <c r="J6445">
        <v>17.655000000000001</v>
      </c>
      <c r="K6445">
        <v>-3.1709999999999998</v>
      </c>
      <c r="L6445">
        <v>12</v>
      </c>
      <c r="M6445">
        <v>0</v>
      </c>
      <c r="N6445">
        <v>7</v>
      </c>
      <c r="O6445" t="s">
        <v>53</v>
      </c>
      <c r="P6445" t="s">
        <v>53</v>
      </c>
      <c r="Q6445" t="s">
        <v>53</v>
      </c>
    </row>
    <row r="6446" spans="1:17" x14ac:dyDescent="0.2">
      <c r="A6446" s="30" t="str">
        <f>IF(C6446&amp;G6446&amp;D6446&lt;&gt;'Funnel setup'!$K$3&amp;'Funnel setup'!$K$4&amp;'Funnel setup'!$K$5,".",IF(A6445=".",1,A6445+1))</f>
        <v>.</v>
      </c>
      <c r="B6446" s="431" t="str">
        <f t="shared" si="100"/>
        <v>Varicose VeinCCG of GP PracticeNHS STAFFORD AND SURROUNDS CCG (05V)Aberdeen Varicose Vein Questionnaire</v>
      </c>
      <c r="C6446" t="s">
        <v>17</v>
      </c>
      <c r="D6446" t="s">
        <v>87</v>
      </c>
      <c r="E6446" t="s">
        <v>971</v>
      </c>
      <c r="F6446" t="s">
        <v>972</v>
      </c>
      <c r="G6446" t="s">
        <v>0</v>
      </c>
      <c r="H6446">
        <v>12</v>
      </c>
      <c r="I6446">
        <v>25.359000000000002</v>
      </c>
      <c r="J6446">
        <v>9.9350000000000005</v>
      </c>
      <c r="K6446">
        <v>-15.423999999999999</v>
      </c>
      <c r="L6446">
        <v>11</v>
      </c>
      <c r="M6446">
        <v>0</v>
      </c>
      <c r="N6446">
        <v>1</v>
      </c>
      <c r="O6446" t="s">
        <v>53</v>
      </c>
      <c r="P6446" t="s">
        <v>53</v>
      </c>
      <c r="Q6446" t="s">
        <v>53</v>
      </c>
    </row>
    <row r="6447" spans="1:17" x14ac:dyDescent="0.2">
      <c r="A6447" s="30" t="str">
        <f>IF(C6447&amp;G6447&amp;D6447&lt;&gt;'Funnel setup'!$K$3&amp;'Funnel setup'!$K$4&amp;'Funnel setup'!$K$5,".",IF(A6446=".",1,A6446+1))</f>
        <v>.</v>
      </c>
      <c r="B6447" s="431" t="str">
        <f t="shared" si="100"/>
        <v>Varicose VeinCCG of GP PracticeNHS STOCKPORT CCG (01W)Aberdeen Varicose Vein Questionnaire</v>
      </c>
      <c r="C6447" t="s">
        <v>17</v>
      </c>
      <c r="D6447" t="s">
        <v>87</v>
      </c>
      <c r="E6447" t="s">
        <v>974</v>
      </c>
      <c r="F6447" t="s">
        <v>975</v>
      </c>
      <c r="G6447" t="s">
        <v>0</v>
      </c>
      <c r="H6447">
        <v>19</v>
      </c>
      <c r="I6447">
        <v>23.117999999999999</v>
      </c>
      <c r="J6447">
        <v>11.518000000000001</v>
      </c>
      <c r="K6447">
        <v>-11.6</v>
      </c>
      <c r="L6447">
        <v>16</v>
      </c>
      <c r="M6447">
        <v>0</v>
      </c>
      <c r="N6447">
        <v>3</v>
      </c>
      <c r="O6447" t="s">
        <v>53</v>
      </c>
      <c r="P6447" t="s">
        <v>53</v>
      </c>
      <c r="Q6447" t="s">
        <v>53</v>
      </c>
    </row>
    <row r="6448" spans="1:17" x14ac:dyDescent="0.2">
      <c r="A6448" s="30" t="str">
        <f>IF(C6448&amp;G6448&amp;D6448&lt;&gt;'Funnel setup'!$K$3&amp;'Funnel setup'!$K$4&amp;'Funnel setup'!$K$5,".",IF(A6447=".",1,A6447+1))</f>
        <v>.</v>
      </c>
      <c r="B6448" s="431" t="str">
        <f t="shared" si="100"/>
        <v>Varicose VeinCCG of GP PracticeNHS STOKE ON TRENT CCG (05W)Aberdeen Varicose Vein Questionnaire</v>
      </c>
      <c r="C6448" t="s">
        <v>17</v>
      </c>
      <c r="D6448" t="s">
        <v>87</v>
      </c>
      <c r="E6448" t="s">
        <v>977</v>
      </c>
      <c r="F6448" t="s">
        <v>978</v>
      </c>
      <c r="G6448" t="s">
        <v>0</v>
      </c>
      <c r="H6448" t="s">
        <v>53</v>
      </c>
      <c r="I6448" t="s">
        <v>53</v>
      </c>
      <c r="J6448" t="s">
        <v>53</v>
      </c>
      <c r="K6448" t="s">
        <v>53</v>
      </c>
      <c r="L6448" t="s">
        <v>53</v>
      </c>
      <c r="M6448" t="s">
        <v>53</v>
      </c>
      <c r="N6448" t="s">
        <v>53</v>
      </c>
      <c r="O6448" t="s">
        <v>53</v>
      </c>
      <c r="P6448" t="s">
        <v>53</v>
      </c>
      <c r="Q6448" t="s">
        <v>53</v>
      </c>
    </row>
    <row r="6449" spans="1:17" x14ac:dyDescent="0.2">
      <c r="A6449" s="30" t="str">
        <f>IF(C6449&amp;G6449&amp;D6449&lt;&gt;'Funnel setup'!$K$3&amp;'Funnel setup'!$K$4&amp;'Funnel setup'!$K$5,".",IF(A6448=".",1,A6448+1))</f>
        <v>.</v>
      </c>
      <c r="B6449" s="431" t="str">
        <f t="shared" si="100"/>
        <v>Varicose VeinCCG of GP PracticeNHS SUNDERLAND CCG (00P)Aberdeen Varicose Vein Questionnaire</v>
      </c>
      <c r="C6449" t="s">
        <v>17</v>
      </c>
      <c r="D6449" t="s">
        <v>87</v>
      </c>
      <c r="E6449" t="s">
        <v>980</v>
      </c>
      <c r="F6449" t="s">
        <v>981</v>
      </c>
      <c r="G6449" t="s">
        <v>0</v>
      </c>
      <c r="H6449">
        <v>144</v>
      </c>
      <c r="I6449">
        <v>17.635000000000002</v>
      </c>
      <c r="J6449">
        <v>12.202</v>
      </c>
      <c r="K6449">
        <v>-5.4329999999999998</v>
      </c>
      <c r="L6449">
        <v>109</v>
      </c>
      <c r="M6449">
        <v>1</v>
      </c>
      <c r="N6449">
        <v>34</v>
      </c>
      <c r="O6449">
        <v>10.518000000000001</v>
      </c>
      <c r="P6449">
        <v>-10.4041937</v>
      </c>
      <c r="Q6449">
        <v>13.166</v>
      </c>
    </row>
    <row r="6450" spans="1:17" x14ac:dyDescent="0.2">
      <c r="A6450" s="30" t="str">
        <f>IF(C6450&amp;G6450&amp;D6450&lt;&gt;'Funnel setup'!$K$3&amp;'Funnel setup'!$K$4&amp;'Funnel setup'!$K$5,".",IF(A6449=".",1,A6449+1))</f>
        <v>.</v>
      </c>
      <c r="B6450" s="431" t="str">
        <f t="shared" si="100"/>
        <v>Varicose VeinCCG of GP PracticeNHS SURREY DOWNS CCG (99H)Aberdeen Varicose Vein Questionnaire</v>
      </c>
      <c r="C6450" t="s">
        <v>17</v>
      </c>
      <c r="D6450" t="s">
        <v>87</v>
      </c>
      <c r="E6450" t="s">
        <v>983</v>
      </c>
      <c r="F6450" t="s">
        <v>984</v>
      </c>
      <c r="G6450" t="s">
        <v>0</v>
      </c>
      <c r="H6450">
        <v>33</v>
      </c>
      <c r="I6450">
        <v>25.917000000000002</v>
      </c>
      <c r="J6450">
        <v>13.734999999999999</v>
      </c>
      <c r="K6450">
        <v>-12.182</v>
      </c>
      <c r="L6450">
        <v>31</v>
      </c>
      <c r="M6450">
        <v>0</v>
      </c>
      <c r="N6450">
        <v>2</v>
      </c>
      <c r="O6450">
        <v>16.420000000000002</v>
      </c>
      <c r="P6450">
        <v>-4.5020335720000002</v>
      </c>
      <c r="Q6450">
        <v>17.594999999999999</v>
      </c>
    </row>
    <row r="6451" spans="1:17" x14ac:dyDescent="0.2">
      <c r="A6451" s="30" t="str">
        <f>IF(C6451&amp;G6451&amp;D6451&lt;&gt;'Funnel setup'!$K$3&amp;'Funnel setup'!$K$4&amp;'Funnel setup'!$K$5,".",IF(A6450=".",1,A6450+1))</f>
        <v>.</v>
      </c>
      <c r="B6451" s="431" t="str">
        <f t="shared" si="100"/>
        <v>Varicose VeinCCG of GP PracticeNHS SURREY HEATH CCG (10C)Aberdeen Varicose Vein Questionnaire</v>
      </c>
      <c r="C6451" t="s">
        <v>17</v>
      </c>
      <c r="D6451" t="s">
        <v>87</v>
      </c>
      <c r="E6451" t="s">
        <v>986</v>
      </c>
      <c r="F6451" t="s">
        <v>987</v>
      </c>
      <c r="G6451" t="s">
        <v>0</v>
      </c>
      <c r="H6451" t="s">
        <v>53</v>
      </c>
      <c r="I6451" t="s">
        <v>53</v>
      </c>
      <c r="J6451" t="s">
        <v>53</v>
      </c>
      <c r="K6451" t="s">
        <v>53</v>
      </c>
      <c r="L6451" t="s">
        <v>53</v>
      </c>
      <c r="M6451" t="s">
        <v>53</v>
      </c>
      <c r="N6451" t="s">
        <v>53</v>
      </c>
      <c r="O6451" t="s">
        <v>53</v>
      </c>
      <c r="P6451" t="s">
        <v>53</v>
      </c>
      <c r="Q6451" t="s">
        <v>53</v>
      </c>
    </row>
    <row r="6452" spans="1:17" x14ac:dyDescent="0.2">
      <c r="A6452" s="30" t="str">
        <f>IF(C6452&amp;G6452&amp;D6452&lt;&gt;'Funnel setup'!$K$3&amp;'Funnel setup'!$K$4&amp;'Funnel setup'!$K$5,".",IF(A6451=".",1,A6451+1))</f>
        <v>.</v>
      </c>
      <c r="B6452" s="431" t="str">
        <f t="shared" si="100"/>
        <v>Varicose VeinCCG of GP PracticeNHS SUTTON CCG (08T)Aberdeen Varicose Vein Questionnaire</v>
      </c>
      <c r="C6452" t="s">
        <v>17</v>
      </c>
      <c r="D6452" t="s">
        <v>87</v>
      </c>
      <c r="E6452" t="s">
        <v>989</v>
      </c>
      <c r="F6452" t="s">
        <v>990</v>
      </c>
      <c r="G6452" t="s">
        <v>0</v>
      </c>
      <c r="H6452">
        <v>16</v>
      </c>
      <c r="I6452">
        <v>26.561</v>
      </c>
      <c r="J6452">
        <v>13.478999999999999</v>
      </c>
      <c r="K6452">
        <v>-13.082000000000001</v>
      </c>
      <c r="L6452">
        <v>14</v>
      </c>
      <c r="M6452">
        <v>0</v>
      </c>
      <c r="N6452">
        <v>2</v>
      </c>
      <c r="O6452" t="s">
        <v>53</v>
      </c>
      <c r="P6452" t="s">
        <v>53</v>
      </c>
      <c r="Q6452" t="s">
        <v>53</v>
      </c>
    </row>
    <row r="6453" spans="1:17" x14ac:dyDescent="0.2">
      <c r="A6453" s="30" t="str">
        <f>IF(C6453&amp;G6453&amp;D6453&lt;&gt;'Funnel setup'!$K$3&amp;'Funnel setup'!$K$4&amp;'Funnel setup'!$K$5,".",IF(A6452=".",1,A6452+1))</f>
        <v>.</v>
      </c>
      <c r="B6453" s="431" t="str">
        <f t="shared" si="100"/>
        <v>Varicose VeinCCG of GP PracticeNHS SWALE CCG (10D)Aberdeen Varicose Vein Questionnaire</v>
      </c>
      <c r="C6453" t="s">
        <v>17</v>
      </c>
      <c r="D6453" t="s">
        <v>87</v>
      </c>
      <c r="E6453" t="s">
        <v>992</v>
      </c>
      <c r="F6453" t="s">
        <v>993</v>
      </c>
      <c r="G6453" t="s">
        <v>0</v>
      </c>
      <c r="H6453" t="s">
        <v>53</v>
      </c>
      <c r="I6453" t="s">
        <v>53</v>
      </c>
      <c r="J6453" t="s">
        <v>53</v>
      </c>
      <c r="K6453" t="s">
        <v>53</v>
      </c>
      <c r="L6453" t="s">
        <v>53</v>
      </c>
      <c r="M6453" t="s">
        <v>53</v>
      </c>
      <c r="N6453" t="s">
        <v>53</v>
      </c>
      <c r="O6453" t="s">
        <v>53</v>
      </c>
      <c r="P6453" t="s">
        <v>53</v>
      </c>
      <c r="Q6453" t="s">
        <v>53</v>
      </c>
    </row>
    <row r="6454" spans="1:17" x14ac:dyDescent="0.2">
      <c r="A6454" s="30" t="str">
        <f>IF(C6454&amp;G6454&amp;D6454&lt;&gt;'Funnel setup'!$K$3&amp;'Funnel setup'!$K$4&amp;'Funnel setup'!$K$5,".",IF(A6453=".",1,A6453+1))</f>
        <v>.</v>
      </c>
      <c r="B6454" s="431" t="str">
        <f t="shared" si="100"/>
        <v>Varicose VeinCCG of GP PracticeNHS SWINDON CCG (12D)Aberdeen Varicose Vein Questionnaire</v>
      </c>
      <c r="C6454" t="s">
        <v>17</v>
      </c>
      <c r="D6454" t="s">
        <v>87</v>
      </c>
      <c r="E6454" t="s">
        <v>995</v>
      </c>
      <c r="F6454" t="s">
        <v>996</v>
      </c>
      <c r="G6454" t="s">
        <v>0</v>
      </c>
      <c r="H6454">
        <v>40</v>
      </c>
      <c r="I6454">
        <v>22.843</v>
      </c>
      <c r="J6454">
        <v>15.173</v>
      </c>
      <c r="K6454">
        <v>-7.67</v>
      </c>
      <c r="L6454">
        <v>34</v>
      </c>
      <c r="M6454">
        <v>0</v>
      </c>
      <c r="N6454">
        <v>6</v>
      </c>
      <c r="O6454">
        <v>15.95</v>
      </c>
      <c r="P6454">
        <v>-4.9728219410000003</v>
      </c>
      <c r="Q6454">
        <v>22.231000000000002</v>
      </c>
    </row>
    <row r="6455" spans="1:17" x14ac:dyDescent="0.2">
      <c r="A6455" s="30" t="str">
        <f>IF(C6455&amp;G6455&amp;D6455&lt;&gt;'Funnel setup'!$K$3&amp;'Funnel setup'!$K$4&amp;'Funnel setup'!$K$5,".",IF(A6454=".",1,A6454+1))</f>
        <v>.</v>
      </c>
      <c r="B6455" s="431" t="str">
        <f t="shared" si="100"/>
        <v>Varicose VeinCCG of GP PracticeNHS TAMESIDE AND GLOSSOP CCG (01Y)Aberdeen Varicose Vein Questionnaire</v>
      </c>
      <c r="C6455" t="s">
        <v>17</v>
      </c>
      <c r="D6455" t="s">
        <v>87</v>
      </c>
      <c r="E6455" t="s">
        <v>998</v>
      </c>
      <c r="F6455" t="s">
        <v>999</v>
      </c>
      <c r="G6455" t="s">
        <v>0</v>
      </c>
      <c r="H6455">
        <v>30</v>
      </c>
      <c r="I6455">
        <v>20.164999999999999</v>
      </c>
      <c r="J6455">
        <v>16.23</v>
      </c>
      <c r="K6455">
        <v>-3.9350000000000001</v>
      </c>
      <c r="L6455">
        <v>19</v>
      </c>
      <c r="M6455">
        <v>1</v>
      </c>
      <c r="N6455">
        <v>10</v>
      </c>
      <c r="O6455">
        <v>16.472999999999999</v>
      </c>
      <c r="P6455">
        <v>-4.4494301299999997</v>
      </c>
      <c r="Q6455">
        <v>18.399999999999999</v>
      </c>
    </row>
    <row r="6456" spans="1:17" x14ac:dyDescent="0.2">
      <c r="A6456" s="30" t="str">
        <f>IF(C6456&amp;G6456&amp;D6456&lt;&gt;'Funnel setup'!$K$3&amp;'Funnel setup'!$K$4&amp;'Funnel setup'!$K$5,".",IF(A6455=".",1,A6455+1))</f>
        <v>.</v>
      </c>
      <c r="B6456" s="431" t="str">
        <f t="shared" si="100"/>
        <v>Varicose VeinCCG of GP PracticeNHS TELFORD AND WREKIN CCG (05X)Aberdeen Varicose Vein Questionnaire</v>
      </c>
      <c r="C6456" t="s">
        <v>17</v>
      </c>
      <c r="D6456" t="s">
        <v>87</v>
      </c>
      <c r="E6456" t="s">
        <v>1001</v>
      </c>
      <c r="F6456" t="s">
        <v>1002</v>
      </c>
      <c r="G6456" t="s">
        <v>0</v>
      </c>
      <c r="H6456">
        <v>8</v>
      </c>
      <c r="I6456">
        <v>29.504000000000001</v>
      </c>
      <c r="J6456">
        <v>11.206</v>
      </c>
      <c r="K6456">
        <v>-18.297999999999998</v>
      </c>
      <c r="L6456">
        <v>8</v>
      </c>
      <c r="M6456">
        <v>0</v>
      </c>
      <c r="N6456">
        <v>0</v>
      </c>
      <c r="O6456" t="s">
        <v>53</v>
      </c>
      <c r="P6456" t="s">
        <v>53</v>
      </c>
      <c r="Q6456" t="s">
        <v>53</v>
      </c>
    </row>
    <row r="6457" spans="1:17" x14ac:dyDescent="0.2">
      <c r="A6457" s="30" t="str">
        <f>IF(C6457&amp;G6457&amp;D6457&lt;&gt;'Funnel setup'!$K$3&amp;'Funnel setup'!$K$4&amp;'Funnel setup'!$K$5,".",IF(A6456=".",1,A6456+1))</f>
        <v>.</v>
      </c>
      <c r="B6457" s="431" t="str">
        <f t="shared" si="100"/>
        <v>Varicose VeinCCG of GP PracticeNHS THURROCK CCG (07G)Aberdeen Varicose Vein Questionnaire</v>
      </c>
      <c r="C6457" t="s">
        <v>17</v>
      </c>
      <c r="D6457" t="s">
        <v>87</v>
      </c>
      <c r="E6457" t="s">
        <v>1007</v>
      </c>
      <c r="F6457" t="s">
        <v>1008</v>
      </c>
      <c r="G6457" t="s">
        <v>0</v>
      </c>
      <c r="H6457" t="s">
        <v>53</v>
      </c>
      <c r="I6457" t="s">
        <v>53</v>
      </c>
      <c r="J6457" t="s">
        <v>53</v>
      </c>
      <c r="K6457" t="s">
        <v>53</v>
      </c>
      <c r="L6457" t="s">
        <v>53</v>
      </c>
      <c r="M6457" t="s">
        <v>53</v>
      </c>
      <c r="N6457" t="s">
        <v>53</v>
      </c>
      <c r="O6457" t="s">
        <v>53</v>
      </c>
      <c r="P6457" t="s">
        <v>53</v>
      </c>
      <c r="Q6457" t="s">
        <v>53</v>
      </c>
    </row>
    <row r="6458" spans="1:17" x14ac:dyDescent="0.2">
      <c r="A6458" s="30" t="str">
        <f>IF(C6458&amp;G6458&amp;D6458&lt;&gt;'Funnel setup'!$K$3&amp;'Funnel setup'!$K$4&amp;'Funnel setup'!$K$5,".",IF(A6457=".",1,A6457+1))</f>
        <v>.</v>
      </c>
      <c r="B6458" s="431" t="str">
        <f t="shared" si="100"/>
        <v>Varicose VeinCCG of GP PracticeNHS TOWER HAMLETS CCG (08V)Aberdeen Varicose Vein Questionnaire</v>
      </c>
      <c r="C6458" t="s">
        <v>17</v>
      </c>
      <c r="D6458" t="s">
        <v>87</v>
      </c>
      <c r="E6458" t="s">
        <v>1010</v>
      </c>
      <c r="F6458" t="s">
        <v>1011</v>
      </c>
      <c r="G6458" t="s">
        <v>0</v>
      </c>
      <c r="H6458">
        <v>7</v>
      </c>
      <c r="I6458">
        <v>18.669</v>
      </c>
      <c r="J6458">
        <v>9.6839999999999993</v>
      </c>
      <c r="K6458">
        <v>-8.9849999999999994</v>
      </c>
      <c r="L6458">
        <v>6</v>
      </c>
      <c r="M6458">
        <v>0</v>
      </c>
      <c r="N6458">
        <v>1</v>
      </c>
      <c r="O6458" t="s">
        <v>53</v>
      </c>
      <c r="P6458" t="s">
        <v>53</v>
      </c>
      <c r="Q6458" t="s">
        <v>53</v>
      </c>
    </row>
    <row r="6459" spans="1:17" x14ac:dyDescent="0.2">
      <c r="A6459" s="30" t="str">
        <f>IF(C6459&amp;G6459&amp;D6459&lt;&gt;'Funnel setup'!$K$3&amp;'Funnel setup'!$K$4&amp;'Funnel setup'!$K$5,".",IF(A6458=".",1,A6458+1))</f>
        <v>.</v>
      </c>
      <c r="B6459" s="431" t="str">
        <f t="shared" si="100"/>
        <v>Varicose VeinCCG of GP PracticeNHS TRAFFORD CCG (02A)Aberdeen Varicose Vein Questionnaire</v>
      </c>
      <c r="C6459" t="s">
        <v>17</v>
      </c>
      <c r="D6459" t="s">
        <v>87</v>
      </c>
      <c r="E6459" t="s">
        <v>1013</v>
      </c>
      <c r="F6459" t="s">
        <v>1014</v>
      </c>
      <c r="G6459" t="s">
        <v>0</v>
      </c>
      <c r="H6459">
        <v>34</v>
      </c>
      <c r="I6459">
        <v>16.541</v>
      </c>
      <c r="J6459">
        <v>8.0109999999999992</v>
      </c>
      <c r="K6459">
        <v>-8.5299999999999994</v>
      </c>
      <c r="L6459">
        <v>30</v>
      </c>
      <c r="M6459">
        <v>0</v>
      </c>
      <c r="N6459">
        <v>4</v>
      </c>
      <c r="O6459">
        <v>5.1029999999999998</v>
      </c>
      <c r="P6459">
        <v>-15.819059620000001</v>
      </c>
      <c r="Q6459">
        <v>10.109</v>
      </c>
    </row>
    <row r="6460" spans="1:17" x14ac:dyDescent="0.2">
      <c r="A6460" s="30" t="str">
        <f>IF(C6460&amp;G6460&amp;D6460&lt;&gt;'Funnel setup'!$K$3&amp;'Funnel setup'!$K$4&amp;'Funnel setup'!$K$5,".",IF(A6459=".",1,A6459+1))</f>
        <v>.</v>
      </c>
      <c r="B6460" s="431" t="str">
        <f t="shared" si="100"/>
        <v>Varicose VeinCCG of GP PracticeNHS VALE OF YORK CCG (03Q)Aberdeen Varicose Vein Questionnaire</v>
      </c>
      <c r="C6460" t="s">
        <v>17</v>
      </c>
      <c r="D6460" t="s">
        <v>87</v>
      </c>
      <c r="E6460" t="s">
        <v>420</v>
      </c>
      <c r="F6460" t="s">
        <v>421</v>
      </c>
      <c r="G6460" t="s">
        <v>0</v>
      </c>
      <c r="H6460">
        <v>33</v>
      </c>
      <c r="I6460">
        <v>23.556999999999999</v>
      </c>
      <c r="J6460">
        <v>8.8510000000000009</v>
      </c>
      <c r="K6460">
        <v>-14.706</v>
      </c>
      <c r="L6460">
        <v>31</v>
      </c>
      <c r="M6460">
        <v>0</v>
      </c>
      <c r="N6460">
        <v>2</v>
      </c>
      <c r="O6460">
        <v>9.7569999999999997</v>
      </c>
      <c r="P6460">
        <v>-11.165431099999999</v>
      </c>
      <c r="Q6460">
        <v>16.984000000000002</v>
      </c>
    </row>
    <row r="6461" spans="1:17" x14ac:dyDescent="0.2">
      <c r="A6461" s="30" t="str">
        <f>IF(C6461&amp;G6461&amp;D6461&lt;&gt;'Funnel setup'!$K$3&amp;'Funnel setup'!$K$4&amp;'Funnel setup'!$K$5,".",IF(A6460=".",1,A6460+1))</f>
        <v>.</v>
      </c>
      <c r="B6461" s="431" t="str">
        <f t="shared" si="100"/>
        <v>Varicose VeinCCG of GP PracticeNHS VALE ROYAL CCG (02D)Aberdeen Varicose Vein Questionnaire</v>
      </c>
      <c r="C6461" t="s">
        <v>17</v>
      </c>
      <c r="D6461" t="s">
        <v>87</v>
      </c>
      <c r="E6461" t="s">
        <v>423</v>
      </c>
      <c r="F6461" t="s">
        <v>424</v>
      </c>
      <c r="G6461" t="s">
        <v>0</v>
      </c>
      <c r="H6461" t="s">
        <v>53</v>
      </c>
      <c r="I6461" t="s">
        <v>53</v>
      </c>
      <c r="J6461" t="s">
        <v>53</v>
      </c>
      <c r="K6461" t="s">
        <v>53</v>
      </c>
      <c r="L6461" t="s">
        <v>53</v>
      </c>
      <c r="M6461" t="s">
        <v>53</v>
      </c>
      <c r="N6461" t="s">
        <v>53</v>
      </c>
      <c r="O6461" t="s">
        <v>53</v>
      </c>
      <c r="P6461" t="s">
        <v>53</v>
      </c>
      <c r="Q6461" t="s">
        <v>53</v>
      </c>
    </row>
    <row r="6462" spans="1:17" x14ac:dyDescent="0.2">
      <c r="A6462" s="30" t="str">
        <f>IF(C6462&amp;G6462&amp;D6462&lt;&gt;'Funnel setup'!$K$3&amp;'Funnel setup'!$K$4&amp;'Funnel setup'!$K$5,".",IF(A6461=".",1,A6461+1))</f>
        <v>.</v>
      </c>
      <c r="B6462" s="431" t="str">
        <f t="shared" si="100"/>
        <v>Varicose VeinCCG of GP PracticeNHS WAKEFIELD CCG (03R)Aberdeen Varicose Vein Questionnaire</v>
      </c>
      <c r="C6462" t="s">
        <v>17</v>
      </c>
      <c r="D6462" t="s">
        <v>87</v>
      </c>
      <c r="E6462" t="s">
        <v>426</v>
      </c>
      <c r="F6462" t="s">
        <v>427</v>
      </c>
      <c r="G6462" t="s">
        <v>0</v>
      </c>
      <c r="H6462">
        <v>81</v>
      </c>
      <c r="I6462">
        <v>18.716999999999999</v>
      </c>
      <c r="J6462">
        <v>10.461</v>
      </c>
      <c r="K6462">
        <v>-8.2569999999999997</v>
      </c>
      <c r="L6462">
        <v>66</v>
      </c>
      <c r="M6462">
        <v>0</v>
      </c>
      <c r="N6462">
        <v>15</v>
      </c>
      <c r="O6462">
        <v>9.1069999999999993</v>
      </c>
      <c r="P6462">
        <v>-11.81565668</v>
      </c>
      <c r="Q6462">
        <v>14.23</v>
      </c>
    </row>
    <row r="6463" spans="1:17" x14ac:dyDescent="0.2">
      <c r="A6463" s="30" t="str">
        <f>IF(C6463&amp;G6463&amp;D6463&lt;&gt;'Funnel setup'!$K$3&amp;'Funnel setup'!$K$4&amp;'Funnel setup'!$K$5,".",IF(A6462=".",1,A6462+1))</f>
        <v>.</v>
      </c>
      <c r="B6463" s="431" t="str">
        <f t="shared" si="100"/>
        <v>Varicose VeinCCG of GP PracticeNHS WALSALL CCG (05Y)Aberdeen Varicose Vein Questionnaire</v>
      </c>
      <c r="C6463" t="s">
        <v>17</v>
      </c>
      <c r="D6463" t="s">
        <v>87</v>
      </c>
      <c r="E6463" t="s">
        <v>429</v>
      </c>
      <c r="F6463" t="s">
        <v>430</v>
      </c>
      <c r="G6463" t="s">
        <v>0</v>
      </c>
      <c r="H6463">
        <v>29</v>
      </c>
      <c r="I6463">
        <v>22.776</v>
      </c>
      <c r="J6463">
        <v>14.433</v>
      </c>
      <c r="K6463">
        <v>-8.3420000000000005</v>
      </c>
      <c r="L6463">
        <v>25</v>
      </c>
      <c r="M6463">
        <v>0</v>
      </c>
      <c r="N6463">
        <v>4</v>
      </c>
      <c r="O6463" t="s">
        <v>53</v>
      </c>
      <c r="P6463" t="s">
        <v>53</v>
      </c>
      <c r="Q6463" t="s">
        <v>53</v>
      </c>
    </row>
    <row r="6464" spans="1:17" x14ac:dyDescent="0.2">
      <c r="A6464" s="30" t="str">
        <f>IF(C6464&amp;G6464&amp;D6464&lt;&gt;'Funnel setup'!$K$3&amp;'Funnel setup'!$K$4&amp;'Funnel setup'!$K$5,".",IF(A6463=".",1,A6463+1))</f>
        <v>.</v>
      </c>
      <c r="B6464" s="431" t="str">
        <f t="shared" si="100"/>
        <v>Varicose VeinCCG of GP PracticeNHS WALTHAM FOREST CCG (08W)Aberdeen Varicose Vein Questionnaire</v>
      </c>
      <c r="C6464" t="s">
        <v>17</v>
      </c>
      <c r="D6464" t="s">
        <v>87</v>
      </c>
      <c r="E6464" t="s">
        <v>432</v>
      </c>
      <c r="F6464" t="s">
        <v>433</v>
      </c>
      <c r="G6464" t="s">
        <v>0</v>
      </c>
      <c r="H6464">
        <v>16</v>
      </c>
      <c r="I6464">
        <v>23.986999999999998</v>
      </c>
      <c r="J6464">
        <v>17.626999999999999</v>
      </c>
      <c r="K6464">
        <v>-6.36</v>
      </c>
      <c r="L6464">
        <v>13</v>
      </c>
      <c r="M6464">
        <v>0</v>
      </c>
      <c r="N6464">
        <v>3</v>
      </c>
      <c r="O6464" t="s">
        <v>53</v>
      </c>
      <c r="P6464" t="s">
        <v>53</v>
      </c>
      <c r="Q6464" t="s">
        <v>53</v>
      </c>
    </row>
    <row r="6465" spans="1:17" x14ac:dyDescent="0.2">
      <c r="A6465" s="30" t="str">
        <f>IF(C6465&amp;G6465&amp;D6465&lt;&gt;'Funnel setup'!$K$3&amp;'Funnel setup'!$K$4&amp;'Funnel setup'!$K$5,".",IF(A6464=".",1,A6464+1))</f>
        <v>.</v>
      </c>
      <c r="B6465" s="431" t="str">
        <f t="shared" si="100"/>
        <v>Varicose VeinCCG of GP PracticeNHS WANDSWORTH CCG (08X)Aberdeen Varicose Vein Questionnaire</v>
      </c>
      <c r="C6465" t="s">
        <v>17</v>
      </c>
      <c r="D6465" t="s">
        <v>87</v>
      </c>
      <c r="E6465" t="s">
        <v>435</v>
      </c>
      <c r="F6465" t="s">
        <v>436</v>
      </c>
      <c r="G6465" t="s">
        <v>0</v>
      </c>
      <c r="H6465">
        <v>29</v>
      </c>
      <c r="I6465">
        <v>20.724</v>
      </c>
      <c r="J6465">
        <v>16.172000000000001</v>
      </c>
      <c r="K6465">
        <v>-4.5519999999999996</v>
      </c>
      <c r="L6465">
        <v>21</v>
      </c>
      <c r="M6465">
        <v>0</v>
      </c>
      <c r="N6465">
        <v>8</v>
      </c>
      <c r="O6465" t="s">
        <v>53</v>
      </c>
      <c r="P6465" t="s">
        <v>53</v>
      </c>
      <c r="Q6465" t="s">
        <v>53</v>
      </c>
    </row>
    <row r="6466" spans="1:17" x14ac:dyDescent="0.2">
      <c r="A6466" s="30" t="str">
        <f>IF(C6466&amp;G6466&amp;D6466&lt;&gt;'Funnel setup'!$K$3&amp;'Funnel setup'!$K$4&amp;'Funnel setup'!$K$5,".",IF(A6465=".",1,A6465+1))</f>
        <v>.</v>
      </c>
      <c r="B6466" s="431" t="str">
        <f t="shared" si="100"/>
        <v>Varicose VeinCCG of GP PracticeNHS WARRINGTON CCG (02E)Aberdeen Varicose Vein Questionnaire</v>
      </c>
      <c r="C6466" t="s">
        <v>17</v>
      </c>
      <c r="D6466" t="s">
        <v>87</v>
      </c>
      <c r="E6466" t="s">
        <v>441</v>
      </c>
      <c r="F6466" t="s">
        <v>442</v>
      </c>
      <c r="G6466" t="s">
        <v>0</v>
      </c>
      <c r="H6466">
        <v>6</v>
      </c>
      <c r="I6466">
        <v>21.175999999999998</v>
      </c>
      <c r="J6466">
        <v>16.187999999999999</v>
      </c>
      <c r="K6466">
        <v>-4.9870000000000001</v>
      </c>
      <c r="L6466">
        <v>4</v>
      </c>
      <c r="M6466">
        <v>0</v>
      </c>
      <c r="N6466">
        <v>2</v>
      </c>
      <c r="O6466" t="s">
        <v>53</v>
      </c>
      <c r="P6466" t="s">
        <v>53</v>
      </c>
      <c r="Q6466" t="s">
        <v>53</v>
      </c>
    </row>
    <row r="6467" spans="1:17" x14ac:dyDescent="0.2">
      <c r="A6467" s="30" t="str">
        <f>IF(C6467&amp;G6467&amp;D6467&lt;&gt;'Funnel setup'!$K$3&amp;'Funnel setup'!$K$4&amp;'Funnel setup'!$K$5,".",IF(A6466=".",1,A6466+1))</f>
        <v>.</v>
      </c>
      <c r="B6467" s="431" t="str">
        <f t="shared" ref="B6467:B6530" si="101">C6467&amp;D6467&amp;F6467&amp;G6467</f>
        <v>Varicose VeinCCG of GP PracticeNHS WARWICKSHIRE NORTH CCG (05H)Aberdeen Varicose Vein Questionnaire</v>
      </c>
      <c r="C6467" t="s">
        <v>17</v>
      </c>
      <c r="D6467" t="s">
        <v>87</v>
      </c>
      <c r="E6467" t="s">
        <v>438</v>
      </c>
      <c r="F6467" t="s">
        <v>439</v>
      </c>
      <c r="G6467" t="s">
        <v>0</v>
      </c>
      <c r="H6467">
        <v>8</v>
      </c>
      <c r="I6467">
        <v>21.45</v>
      </c>
      <c r="J6467">
        <v>12.646000000000001</v>
      </c>
      <c r="K6467">
        <v>-8.8040000000000003</v>
      </c>
      <c r="L6467">
        <v>8</v>
      </c>
      <c r="M6467">
        <v>0</v>
      </c>
      <c r="N6467">
        <v>0</v>
      </c>
      <c r="O6467" t="s">
        <v>53</v>
      </c>
      <c r="P6467" t="s">
        <v>53</v>
      </c>
      <c r="Q6467" t="s">
        <v>53</v>
      </c>
    </row>
    <row r="6468" spans="1:17" x14ac:dyDescent="0.2">
      <c r="A6468" s="30" t="str">
        <f>IF(C6468&amp;G6468&amp;D6468&lt;&gt;'Funnel setup'!$K$3&amp;'Funnel setup'!$K$4&amp;'Funnel setup'!$K$5,".",IF(A6467=".",1,A6467+1))</f>
        <v>.</v>
      </c>
      <c r="B6468" s="431" t="str">
        <f t="shared" si="101"/>
        <v>Varicose VeinCCG of GP PracticeNHS WEST CHESHIRE CCG (02F)Aberdeen Varicose Vein Questionnaire</v>
      </c>
      <c r="C6468" t="s">
        <v>17</v>
      </c>
      <c r="D6468" t="s">
        <v>87</v>
      </c>
      <c r="E6468" t="s">
        <v>402</v>
      </c>
      <c r="F6468" t="s">
        <v>403</v>
      </c>
      <c r="G6468" t="s">
        <v>0</v>
      </c>
      <c r="H6468">
        <v>28</v>
      </c>
      <c r="I6468">
        <v>21.593</v>
      </c>
      <c r="J6468">
        <v>12.662000000000001</v>
      </c>
      <c r="K6468">
        <v>-8.9309999999999992</v>
      </c>
      <c r="L6468">
        <v>27</v>
      </c>
      <c r="M6468">
        <v>0</v>
      </c>
      <c r="N6468">
        <v>1</v>
      </c>
      <c r="O6468" t="s">
        <v>53</v>
      </c>
      <c r="P6468" t="s">
        <v>53</v>
      </c>
      <c r="Q6468" t="s">
        <v>53</v>
      </c>
    </row>
    <row r="6469" spans="1:17" x14ac:dyDescent="0.2">
      <c r="A6469" s="30" t="str">
        <f>IF(C6469&amp;G6469&amp;D6469&lt;&gt;'Funnel setup'!$K$3&amp;'Funnel setup'!$K$4&amp;'Funnel setup'!$K$5,".",IF(A6468=".",1,A6468+1))</f>
        <v>.</v>
      </c>
      <c r="B6469" s="431" t="str">
        <f t="shared" si="101"/>
        <v>Varicose VeinCCG of GP PracticeNHS WEST ESSEX CCG (07H)Aberdeen Varicose Vein Questionnaire</v>
      </c>
      <c r="C6469" t="s">
        <v>17</v>
      </c>
      <c r="D6469" t="s">
        <v>87</v>
      </c>
      <c r="E6469" t="s">
        <v>405</v>
      </c>
      <c r="F6469" t="s">
        <v>406</v>
      </c>
      <c r="G6469" t="s">
        <v>0</v>
      </c>
      <c r="H6469">
        <v>14</v>
      </c>
      <c r="I6469">
        <v>27.42</v>
      </c>
      <c r="J6469">
        <v>14.353999999999999</v>
      </c>
      <c r="K6469">
        <v>-13.067</v>
      </c>
      <c r="L6469">
        <v>14</v>
      </c>
      <c r="M6469">
        <v>0</v>
      </c>
      <c r="N6469">
        <v>0</v>
      </c>
      <c r="O6469" t="s">
        <v>53</v>
      </c>
      <c r="P6469" t="s">
        <v>53</v>
      </c>
      <c r="Q6469" t="s">
        <v>53</v>
      </c>
    </row>
    <row r="6470" spans="1:17" x14ac:dyDescent="0.2">
      <c r="A6470" s="30" t="str">
        <f>IF(C6470&amp;G6470&amp;D6470&lt;&gt;'Funnel setup'!$K$3&amp;'Funnel setup'!$K$4&amp;'Funnel setup'!$K$5,".",IF(A6469=".",1,A6469+1))</f>
        <v>.</v>
      </c>
      <c r="B6470" s="431" t="str">
        <f t="shared" si="101"/>
        <v>Varicose VeinCCG of GP PracticeNHS WEST HAMPSHIRE CCG (11A)Aberdeen Varicose Vein Questionnaire</v>
      </c>
      <c r="C6470" t="s">
        <v>17</v>
      </c>
      <c r="D6470" t="s">
        <v>87</v>
      </c>
      <c r="E6470" t="s">
        <v>444</v>
      </c>
      <c r="F6470" t="s">
        <v>445</v>
      </c>
      <c r="G6470" t="s">
        <v>0</v>
      </c>
      <c r="H6470">
        <v>12</v>
      </c>
      <c r="I6470">
        <v>28.515000000000001</v>
      </c>
      <c r="J6470">
        <v>16.786999999999999</v>
      </c>
      <c r="K6470">
        <v>-11.728</v>
      </c>
      <c r="L6470">
        <v>9</v>
      </c>
      <c r="M6470">
        <v>0</v>
      </c>
      <c r="N6470">
        <v>3</v>
      </c>
      <c r="O6470" t="s">
        <v>53</v>
      </c>
      <c r="P6470" t="s">
        <v>53</v>
      </c>
      <c r="Q6470" t="s">
        <v>53</v>
      </c>
    </row>
    <row r="6471" spans="1:17" x14ac:dyDescent="0.2">
      <c r="A6471" s="30" t="str">
        <f>IF(C6471&amp;G6471&amp;D6471&lt;&gt;'Funnel setup'!$K$3&amp;'Funnel setup'!$K$4&amp;'Funnel setup'!$K$5,".",IF(A6470=".",1,A6470+1))</f>
        <v>.</v>
      </c>
      <c r="B6471" s="431" t="str">
        <f t="shared" si="101"/>
        <v>Varicose VeinCCG of GP PracticeNHS WEST KENT CCG (99J)Aberdeen Varicose Vein Questionnaire</v>
      </c>
      <c r="C6471" t="s">
        <v>17</v>
      </c>
      <c r="D6471" t="s">
        <v>87</v>
      </c>
      <c r="E6471" t="s">
        <v>447</v>
      </c>
      <c r="F6471" t="s">
        <v>448</v>
      </c>
      <c r="G6471" t="s">
        <v>0</v>
      </c>
      <c r="H6471" t="s">
        <v>53</v>
      </c>
      <c r="I6471" t="s">
        <v>53</v>
      </c>
      <c r="J6471" t="s">
        <v>53</v>
      </c>
      <c r="K6471" t="s">
        <v>53</v>
      </c>
      <c r="L6471" t="s">
        <v>53</v>
      </c>
      <c r="M6471" t="s">
        <v>53</v>
      </c>
      <c r="N6471" t="s">
        <v>53</v>
      </c>
      <c r="O6471" t="s">
        <v>53</v>
      </c>
      <c r="P6471" t="s">
        <v>53</v>
      </c>
      <c r="Q6471" t="s">
        <v>53</v>
      </c>
    </row>
    <row r="6472" spans="1:17" x14ac:dyDescent="0.2">
      <c r="A6472" s="30" t="str">
        <f>IF(C6472&amp;G6472&amp;D6472&lt;&gt;'Funnel setup'!$K$3&amp;'Funnel setup'!$K$4&amp;'Funnel setup'!$K$5,".",IF(A6471=".",1,A6471+1))</f>
        <v>.</v>
      </c>
      <c r="B6472" s="431" t="str">
        <f t="shared" si="101"/>
        <v>Varicose VeinCCG of GP PracticeNHS WEST LANCASHIRE CCG (02G)Aberdeen Varicose Vein Questionnaire</v>
      </c>
      <c r="C6472" t="s">
        <v>17</v>
      </c>
      <c r="D6472" t="s">
        <v>87</v>
      </c>
      <c r="E6472" t="s">
        <v>450</v>
      </c>
      <c r="F6472" t="s">
        <v>451</v>
      </c>
      <c r="G6472" t="s">
        <v>0</v>
      </c>
      <c r="H6472">
        <v>22</v>
      </c>
      <c r="I6472">
        <v>22.376000000000001</v>
      </c>
      <c r="J6472">
        <v>13.629</v>
      </c>
      <c r="K6472">
        <v>-8.7479999999999993</v>
      </c>
      <c r="L6472">
        <v>18</v>
      </c>
      <c r="M6472">
        <v>0</v>
      </c>
      <c r="N6472">
        <v>4</v>
      </c>
      <c r="O6472" t="s">
        <v>53</v>
      </c>
      <c r="P6472" t="s">
        <v>53</v>
      </c>
      <c r="Q6472" t="s">
        <v>53</v>
      </c>
    </row>
    <row r="6473" spans="1:17" x14ac:dyDescent="0.2">
      <c r="A6473" s="30" t="str">
        <f>IF(C6473&amp;G6473&amp;D6473&lt;&gt;'Funnel setup'!$K$3&amp;'Funnel setup'!$K$4&amp;'Funnel setup'!$K$5,".",IF(A6472=".",1,A6472+1))</f>
        <v>.</v>
      </c>
      <c r="B6473" s="431" t="str">
        <f t="shared" si="101"/>
        <v>Varicose VeinCCG of GP PracticeNHS WEST LEICESTERSHIRE CCG (04V)Aberdeen Varicose Vein Questionnaire</v>
      </c>
      <c r="C6473" t="s">
        <v>17</v>
      </c>
      <c r="D6473" t="s">
        <v>87</v>
      </c>
      <c r="E6473" t="s">
        <v>453</v>
      </c>
      <c r="F6473" t="s">
        <v>454</v>
      </c>
      <c r="G6473" t="s">
        <v>0</v>
      </c>
      <c r="H6473">
        <v>23</v>
      </c>
      <c r="I6473">
        <v>22.913</v>
      </c>
      <c r="J6473">
        <v>14.154999999999999</v>
      </c>
      <c r="K6473">
        <v>-8.7579999999999991</v>
      </c>
      <c r="L6473">
        <v>18</v>
      </c>
      <c r="M6473">
        <v>0</v>
      </c>
      <c r="N6473">
        <v>5</v>
      </c>
      <c r="O6473" t="s">
        <v>53</v>
      </c>
      <c r="P6473" t="s">
        <v>53</v>
      </c>
      <c r="Q6473" t="s">
        <v>53</v>
      </c>
    </row>
    <row r="6474" spans="1:17" x14ac:dyDescent="0.2">
      <c r="A6474" s="30" t="str">
        <f>IF(C6474&amp;G6474&amp;D6474&lt;&gt;'Funnel setup'!$K$3&amp;'Funnel setup'!$K$4&amp;'Funnel setup'!$K$5,".",IF(A6473=".",1,A6473+1))</f>
        <v>.</v>
      </c>
      <c r="B6474" s="431" t="str">
        <f t="shared" si="101"/>
        <v>Varicose VeinCCG of GP PracticeNHS WEST LONDON CCG (08Y)Aberdeen Varicose Vein Questionnaire</v>
      </c>
      <c r="C6474" t="s">
        <v>17</v>
      </c>
      <c r="D6474" t="s">
        <v>87</v>
      </c>
      <c r="E6474" t="s">
        <v>456</v>
      </c>
      <c r="F6474" t="s">
        <v>457</v>
      </c>
      <c r="G6474" t="s">
        <v>0</v>
      </c>
      <c r="H6474">
        <v>18</v>
      </c>
      <c r="I6474">
        <v>22.466999999999999</v>
      </c>
      <c r="J6474">
        <v>11.536</v>
      </c>
      <c r="K6474">
        <v>-10.930999999999999</v>
      </c>
      <c r="L6474">
        <v>16</v>
      </c>
      <c r="M6474">
        <v>0</v>
      </c>
      <c r="N6474">
        <v>2</v>
      </c>
      <c r="O6474" t="s">
        <v>53</v>
      </c>
      <c r="P6474" t="s">
        <v>53</v>
      </c>
      <c r="Q6474" t="s">
        <v>53</v>
      </c>
    </row>
    <row r="6475" spans="1:17" x14ac:dyDescent="0.2">
      <c r="A6475" s="30" t="str">
        <f>IF(C6475&amp;G6475&amp;D6475&lt;&gt;'Funnel setup'!$K$3&amp;'Funnel setup'!$K$4&amp;'Funnel setup'!$K$5,".",IF(A6474=".",1,A6474+1))</f>
        <v>.</v>
      </c>
      <c r="B6475" s="431" t="str">
        <f t="shared" si="101"/>
        <v>Varicose VeinCCG of GP PracticeNHS WEST NORFOLK CCG (07J)Aberdeen Varicose Vein Questionnaire</v>
      </c>
      <c r="C6475" t="s">
        <v>17</v>
      </c>
      <c r="D6475" t="s">
        <v>87</v>
      </c>
      <c r="E6475" t="s">
        <v>459</v>
      </c>
      <c r="F6475" t="s">
        <v>460</v>
      </c>
      <c r="G6475" t="s">
        <v>0</v>
      </c>
      <c r="H6475">
        <v>19</v>
      </c>
      <c r="I6475">
        <v>16.446000000000002</v>
      </c>
      <c r="J6475">
        <v>10.856999999999999</v>
      </c>
      <c r="K6475">
        <v>-5.5890000000000004</v>
      </c>
      <c r="L6475">
        <v>13</v>
      </c>
      <c r="M6475">
        <v>0</v>
      </c>
      <c r="N6475">
        <v>6</v>
      </c>
      <c r="O6475" t="s">
        <v>53</v>
      </c>
      <c r="P6475" t="s">
        <v>53</v>
      </c>
      <c r="Q6475" t="s">
        <v>53</v>
      </c>
    </row>
    <row r="6476" spans="1:17" x14ac:dyDescent="0.2">
      <c r="A6476" s="30" t="str">
        <f>IF(C6476&amp;G6476&amp;D6476&lt;&gt;'Funnel setup'!$K$3&amp;'Funnel setup'!$K$4&amp;'Funnel setup'!$K$5,".",IF(A6475=".",1,A6475+1))</f>
        <v>.</v>
      </c>
      <c r="B6476" s="431" t="str">
        <f t="shared" si="101"/>
        <v>Varicose VeinCCG of GP PracticeNHS WEST SUFFOLK CCG (07K)Aberdeen Varicose Vein Questionnaire</v>
      </c>
      <c r="C6476" t="s">
        <v>17</v>
      </c>
      <c r="D6476" t="s">
        <v>87</v>
      </c>
      <c r="E6476" t="s">
        <v>462</v>
      </c>
      <c r="F6476" t="s">
        <v>463</v>
      </c>
      <c r="G6476" t="s">
        <v>0</v>
      </c>
      <c r="H6476">
        <v>28</v>
      </c>
      <c r="I6476">
        <v>19.788</v>
      </c>
      <c r="J6476">
        <v>11.516</v>
      </c>
      <c r="K6476">
        <v>-8.2729999999999997</v>
      </c>
      <c r="L6476">
        <v>25</v>
      </c>
      <c r="M6476">
        <v>0</v>
      </c>
      <c r="N6476">
        <v>3</v>
      </c>
      <c r="O6476" t="s">
        <v>53</v>
      </c>
      <c r="P6476" t="s">
        <v>53</v>
      </c>
      <c r="Q6476" t="s">
        <v>53</v>
      </c>
    </row>
    <row r="6477" spans="1:17" x14ac:dyDescent="0.2">
      <c r="A6477" s="30" t="str">
        <f>IF(C6477&amp;G6477&amp;D6477&lt;&gt;'Funnel setup'!$K$3&amp;'Funnel setup'!$K$4&amp;'Funnel setup'!$K$5,".",IF(A6476=".",1,A6476+1))</f>
        <v>.</v>
      </c>
      <c r="B6477" s="431" t="str">
        <f t="shared" si="101"/>
        <v>Varicose VeinCCG of GP PracticeNHS WIGAN BOROUGH CCG (02H)Aberdeen Varicose Vein Questionnaire</v>
      </c>
      <c r="C6477" t="s">
        <v>17</v>
      </c>
      <c r="D6477" t="s">
        <v>87</v>
      </c>
      <c r="E6477" t="s">
        <v>465</v>
      </c>
      <c r="F6477" t="s">
        <v>466</v>
      </c>
      <c r="G6477" t="s">
        <v>0</v>
      </c>
      <c r="H6477">
        <v>14</v>
      </c>
      <c r="I6477">
        <v>23.613</v>
      </c>
      <c r="J6477">
        <v>14.992000000000001</v>
      </c>
      <c r="K6477">
        <v>-8.6219999999999999</v>
      </c>
      <c r="L6477">
        <v>13</v>
      </c>
      <c r="M6477">
        <v>0</v>
      </c>
      <c r="N6477">
        <v>1</v>
      </c>
      <c r="O6477" t="s">
        <v>53</v>
      </c>
      <c r="P6477" t="s">
        <v>53</v>
      </c>
      <c r="Q6477" t="s">
        <v>53</v>
      </c>
    </row>
    <row r="6478" spans="1:17" x14ac:dyDescent="0.2">
      <c r="A6478" s="30" t="str">
        <f>IF(C6478&amp;G6478&amp;D6478&lt;&gt;'Funnel setup'!$K$3&amp;'Funnel setup'!$K$4&amp;'Funnel setup'!$K$5,".",IF(A6477=".",1,A6477+1))</f>
        <v>.</v>
      </c>
      <c r="B6478" s="431" t="str">
        <f t="shared" si="101"/>
        <v>Varicose VeinCCG of GP PracticeNHS WILTSHIRE CCG (99N)Aberdeen Varicose Vein Questionnaire</v>
      </c>
      <c r="C6478" t="s">
        <v>17</v>
      </c>
      <c r="D6478" t="s">
        <v>87</v>
      </c>
      <c r="E6478" t="s">
        <v>468</v>
      </c>
      <c r="F6478" t="s">
        <v>469</v>
      </c>
      <c r="G6478" t="s">
        <v>0</v>
      </c>
      <c r="H6478">
        <v>51</v>
      </c>
      <c r="I6478">
        <v>23.696000000000002</v>
      </c>
      <c r="J6478">
        <v>13.705</v>
      </c>
      <c r="K6478">
        <v>-9.99</v>
      </c>
      <c r="L6478">
        <v>44</v>
      </c>
      <c r="M6478">
        <v>0</v>
      </c>
      <c r="N6478">
        <v>7</v>
      </c>
      <c r="O6478">
        <v>14.804</v>
      </c>
      <c r="P6478">
        <v>-6.1183604970000003</v>
      </c>
      <c r="Q6478">
        <v>16.791</v>
      </c>
    </row>
    <row r="6479" spans="1:17" x14ac:dyDescent="0.2">
      <c r="A6479" s="30" t="str">
        <f>IF(C6479&amp;G6479&amp;D6479&lt;&gt;'Funnel setup'!$K$3&amp;'Funnel setup'!$K$4&amp;'Funnel setup'!$K$5,".",IF(A6478=".",1,A6478+1))</f>
        <v>.</v>
      </c>
      <c r="B6479" s="431" t="str">
        <f t="shared" si="101"/>
        <v>Varicose VeinCCG of GP PracticeNHS WIRRAL CCG (12F)Aberdeen Varicose Vein Questionnaire</v>
      </c>
      <c r="C6479" t="s">
        <v>17</v>
      </c>
      <c r="D6479" t="s">
        <v>87</v>
      </c>
      <c r="E6479" t="s">
        <v>474</v>
      </c>
      <c r="F6479" t="s">
        <v>475</v>
      </c>
      <c r="G6479" t="s">
        <v>0</v>
      </c>
      <c r="H6479">
        <v>51</v>
      </c>
      <c r="I6479">
        <v>21.843</v>
      </c>
      <c r="J6479">
        <v>11.069000000000001</v>
      </c>
      <c r="K6479">
        <v>-10.773999999999999</v>
      </c>
      <c r="L6479">
        <v>47</v>
      </c>
      <c r="M6479">
        <v>0</v>
      </c>
      <c r="N6479">
        <v>4</v>
      </c>
      <c r="O6479">
        <v>11.692</v>
      </c>
      <c r="P6479">
        <v>-9.2308041840000001</v>
      </c>
      <c r="Q6479">
        <v>14.429</v>
      </c>
    </row>
    <row r="6480" spans="1:17" x14ac:dyDescent="0.2">
      <c r="A6480" s="30" t="str">
        <f>IF(C6480&amp;G6480&amp;D6480&lt;&gt;'Funnel setup'!$K$3&amp;'Funnel setup'!$K$4&amp;'Funnel setup'!$K$5,".",IF(A6479=".",1,A6479+1))</f>
        <v>.</v>
      </c>
      <c r="B6480" s="431" t="str">
        <f t="shared" si="101"/>
        <v>Varicose VeinCCG of GP PracticeNHS WOKINGHAM CCG (11D)Aberdeen Varicose Vein Questionnaire</v>
      </c>
      <c r="C6480" t="s">
        <v>17</v>
      </c>
      <c r="D6480" t="s">
        <v>87</v>
      </c>
      <c r="E6480" t="s">
        <v>477</v>
      </c>
      <c r="F6480" t="s">
        <v>478</v>
      </c>
      <c r="G6480" t="s">
        <v>0</v>
      </c>
      <c r="H6480" t="s">
        <v>53</v>
      </c>
      <c r="I6480" t="s">
        <v>53</v>
      </c>
      <c r="J6480" t="s">
        <v>53</v>
      </c>
      <c r="K6480" t="s">
        <v>53</v>
      </c>
      <c r="L6480" t="s">
        <v>53</v>
      </c>
      <c r="M6480" t="s">
        <v>53</v>
      </c>
      <c r="N6480" t="s">
        <v>53</v>
      </c>
      <c r="O6480" t="s">
        <v>53</v>
      </c>
      <c r="P6480" t="s">
        <v>53</v>
      </c>
      <c r="Q6480" t="s">
        <v>53</v>
      </c>
    </row>
    <row r="6481" spans="1:17" x14ac:dyDescent="0.2">
      <c r="A6481" s="30" t="str">
        <f>IF(C6481&amp;G6481&amp;D6481&lt;&gt;'Funnel setup'!$K$3&amp;'Funnel setup'!$K$4&amp;'Funnel setup'!$K$5,".",IF(A6480=".",1,A6480+1))</f>
        <v>.</v>
      </c>
      <c r="B6481" s="431" t="str">
        <f t="shared" si="101"/>
        <v>Varicose VeinCCG of GP PracticeNHS WOLVERHAMPTON CCG (06A)Aberdeen Varicose Vein Questionnaire</v>
      </c>
      <c r="C6481" t="s">
        <v>17</v>
      </c>
      <c r="D6481" t="s">
        <v>87</v>
      </c>
      <c r="E6481" t="s">
        <v>480</v>
      </c>
      <c r="F6481" t="s">
        <v>481</v>
      </c>
      <c r="G6481" t="s">
        <v>0</v>
      </c>
      <c r="H6481">
        <v>40</v>
      </c>
      <c r="I6481">
        <v>20.63</v>
      </c>
      <c r="J6481">
        <v>11.965999999999999</v>
      </c>
      <c r="K6481">
        <v>-8.6639999999999997</v>
      </c>
      <c r="L6481">
        <v>31</v>
      </c>
      <c r="M6481">
        <v>0</v>
      </c>
      <c r="N6481">
        <v>9</v>
      </c>
      <c r="O6481">
        <v>12.29</v>
      </c>
      <c r="P6481">
        <v>-8.6326893229999992</v>
      </c>
      <c r="Q6481">
        <v>11.689</v>
      </c>
    </row>
    <row r="6482" spans="1:17" x14ac:dyDescent="0.2">
      <c r="A6482" s="30" t="str">
        <f>IF(C6482&amp;G6482&amp;D6482&lt;&gt;'Funnel setup'!$K$3&amp;'Funnel setup'!$K$4&amp;'Funnel setup'!$K$5,".",IF(A6481=".",1,A6481+1))</f>
        <v>.</v>
      </c>
      <c r="B6482" s="431" t="str">
        <f t="shared" si="101"/>
        <v>Varicose VeinCCG of GP PracticeNHS WYRE FOREST CCG (06D)Aberdeen Varicose Vein Questionnaire</v>
      </c>
      <c r="C6482" t="s">
        <v>17</v>
      </c>
      <c r="D6482" t="s">
        <v>87</v>
      </c>
      <c r="E6482" t="s">
        <v>483</v>
      </c>
      <c r="F6482" t="s">
        <v>484</v>
      </c>
      <c r="G6482" t="s">
        <v>0</v>
      </c>
      <c r="H6482" t="s">
        <v>53</v>
      </c>
      <c r="I6482" t="s">
        <v>53</v>
      </c>
      <c r="J6482" t="s">
        <v>53</v>
      </c>
      <c r="K6482" t="s">
        <v>53</v>
      </c>
      <c r="L6482" t="s">
        <v>53</v>
      </c>
      <c r="M6482" t="s">
        <v>53</v>
      </c>
      <c r="N6482" t="s">
        <v>53</v>
      </c>
      <c r="O6482" t="s">
        <v>53</v>
      </c>
      <c r="P6482" t="s">
        <v>53</v>
      </c>
      <c r="Q6482" t="s">
        <v>53</v>
      </c>
    </row>
    <row r="6483" spans="1:17" x14ac:dyDescent="0.2">
      <c r="A6483" s="30" t="str">
        <f>IF(C6483&amp;G6483&amp;D6483&lt;&gt;'Funnel setup'!$K$3&amp;'Funnel setup'!$K$4&amp;'Funnel setup'!$K$5,".",IF(A6482=".",1,A6482+1))</f>
        <v>.</v>
      </c>
      <c r="B6483" s="431" t="str">
        <f t="shared" si="101"/>
        <v>Varicose VeinCCG of GP PracticeNATIONAL COMMISSIONING HUB 1 (13Q)EQ VAS</v>
      </c>
      <c r="C6483" t="s">
        <v>17</v>
      </c>
      <c r="D6483" t="s">
        <v>87</v>
      </c>
      <c r="E6483" t="s">
        <v>563</v>
      </c>
      <c r="F6483" t="s">
        <v>564</v>
      </c>
      <c r="G6483" t="s">
        <v>179</v>
      </c>
      <c r="H6483">
        <v>13</v>
      </c>
      <c r="I6483">
        <v>85.769000000000005</v>
      </c>
      <c r="J6483">
        <v>86.691999999999993</v>
      </c>
      <c r="K6483">
        <v>0.92300000000000004</v>
      </c>
      <c r="L6483">
        <v>7</v>
      </c>
      <c r="M6483">
        <v>2</v>
      </c>
      <c r="N6483">
        <v>4</v>
      </c>
      <c r="O6483" t="s">
        <v>53</v>
      </c>
      <c r="P6483" t="s">
        <v>53</v>
      </c>
      <c r="Q6483" t="s">
        <v>53</v>
      </c>
    </row>
    <row r="6484" spans="1:17" x14ac:dyDescent="0.2">
      <c r="A6484" s="30" t="str">
        <f>IF(C6484&amp;G6484&amp;D6484&lt;&gt;'Funnel setup'!$K$3&amp;'Funnel setup'!$K$4&amp;'Funnel setup'!$K$5,".",IF(A6483=".",1,A6483+1))</f>
        <v>.</v>
      </c>
      <c r="B6484" s="431" t="str">
        <f t="shared" si="101"/>
        <v>Varicose VeinCCG of GP PracticeNHS AIREDALE, WHARFEDALE AND CRAVEN CCG (02N)EQ VAS</v>
      </c>
      <c r="C6484" t="s">
        <v>17</v>
      </c>
      <c r="D6484" t="s">
        <v>87</v>
      </c>
      <c r="E6484" t="s">
        <v>566</v>
      </c>
      <c r="F6484" t="s">
        <v>567</v>
      </c>
      <c r="G6484" t="s">
        <v>179</v>
      </c>
      <c r="H6484">
        <v>48</v>
      </c>
      <c r="I6484">
        <v>80.521000000000001</v>
      </c>
      <c r="J6484">
        <v>80</v>
      </c>
      <c r="K6484">
        <v>-0.52100000000000002</v>
      </c>
      <c r="L6484">
        <v>17</v>
      </c>
      <c r="M6484">
        <v>9</v>
      </c>
      <c r="N6484">
        <v>22</v>
      </c>
      <c r="O6484">
        <v>78.337999999999994</v>
      </c>
      <c r="P6484">
        <v>-0.625752529</v>
      </c>
      <c r="Q6484">
        <v>13.321999999999999</v>
      </c>
    </row>
    <row r="6485" spans="1:17" x14ac:dyDescent="0.2">
      <c r="A6485" s="30" t="str">
        <f>IF(C6485&amp;G6485&amp;D6485&lt;&gt;'Funnel setup'!$K$3&amp;'Funnel setup'!$K$4&amp;'Funnel setup'!$K$5,".",IF(A6484=".",1,A6484+1))</f>
        <v>.</v>
      </c>
      <c r="B6485" s="431" t="str">
        <f t="shared" si="101"/>
        <v>Varicose VeinCCG of GP PracticeNHS ASHFORD CCG (09C)EQ VAS</v>
      </c>
      <c r="C6485" t="s">
        <v>17</v>
      </c>
      <c r="D6485" t="s">
        <v>87</v>
      </c>
      <c r="E6485" t="s">
        <v>569</v>
      </c>
      <c r="F6485" t="s">
        <v>339</v>
      </c>
      <c r="G6485" t="s">
        <v>179</v>
      </c>
      <c r="H6485" t="s">
        <v>53</v>
      </c>
      <c r="I6485" t="s">
        <v>53</v>
      </c>
      <c r="J6485" t="s">
        <v>53</v>
      </c>
      <c r="K6485" t="s">
        <v>53</v>
      </c>
      <c r="L6485" t="s">
        <v>53</v>
      </c>
      <c r="M6485" t="s">
        <v>53</v>
      </c>
      <c r="N6485" t="s">
        <v>53</v>
      </c>
      <c r="O6485" t="s">
        <v>53</v>
      </c>
      <c r="P6485" t="s">
        <v>53</v>
      </c>
      <c r="Q6485" t="s">
        <v>53</v>
      </c>
    </row>
    <row r="6486" spans="1:17" x14ac:dyDescent="0.2">
      <c r="A6486" s="30" t="str">
        <f>IF(C6486&amp;G6486&amp;D6486&lt;&gt;'Funnel setup'!$K$3&amp;'Funnel setup'!$K$4&amp;'Funnel setup'!$K$5,".",IF(A6485=".",1,A6485+1))</f>
        <v>.</v>
      </c>
      <c r="B6486" s="431" t="str">
        <f t="shared" si="101"/>
        <v>Varicose VeinCCG of GP PracticeNHS AYLESBURY VALE CCG (10Y)EQ VAS</v>
      </c>
      <c r="C6486" t="s">
        <v>17</v>
      </c>
      <c r="D6486" t="s">
        <v>87</v>
      </c>
      <c r="E6486" t="s">
        <v>571</v>
      </c>
      <c r="F6486" t="s">
        <v>572</v>
      </c>
      <c r="G6486" t="s">
        <v>179</v>
      </c>
      <c r="H6486">
        <v>13</v>
      </c>
      <c r="I6486">
        <v>76</v>
      </c>
      <c r="J6486">
        <v>81.230999999999995</v>
      </c>
      <c r="K6486">
        <v>5.2309999999999999</v>
      </c>
      <c r="L6486">
        <v>10</v>
      </c>
      <c r="M6486">
        <v>0</v>
      </c>
      <c r="N6486">
        <v>3</v>
      </c>
      <c r="O6486" t="s">
        <v>53</v>
      </c>
      <c r="P6486" t="s">
        <v>53</v>
      </c>
      <c r="Q6486" t="s">
        <v>53</v>
      </c>
    </row>
    <row r="6487" spans="1:17" x14ac:dyDescent="0.2">
      <c r="A6487" s="30" t="str">
        <f>IF(C6487&amp;G6487&amp;D6487&lt;&gt;'Funnel setup'!$K$3&amp;'Funnel setup'!$K$4&amp;'Funnel setup'!$K$5,".",IF(A6486=".",1,A6486+1))</f>
        <v>.</v>
      </c>
      <c r="B6487" s="431" t="str">
        <f t="shared" si="101"/>
        <v>Varicose VeinCCG of GP PracticeNHS BARKING AND DAGENHAM CCG (07L)EQ VAS</v>
      </c>
      <c r="C6487" t="s">
        <v>17</v>
      </c>
      <c r="D6487" t="s">
        <v>87</v>
      </c>
      <c r="E6487" t="s">
        <v>574</v>
      </c>
      <c r="F6487" t="s">
        <v>575</v>
      </c>
      <c r="G6487" t="s">
        <v>179</v>
      </c>
      <c r="H6487">
        <v>19</v>
      </c>
      <c r="I6487">
        <v>76.578999999999994</v>
      </c>
      <c r="J6487">
        <v>73.578999999999994</v>
      </c>
      <c r="K6487">
        <v>-3</v>
      </c>
      <c r="L6487">
        <v>7</v>
      </c>
      <c r="M6487">
        <v>4</v>
      </c>
      <c r="N6487">
        <v>8</v>
      </c>
      <c r="O6487" t="s">
        <v>53</v>
      </c>
      <c r="P6487" t="s">
        <v>53</v>
      </c>
      <c r="Q6487" t="s">
        <v>53</v>
      </c>
    </row>
    <row r="6488" spans="1:17" x14ac:dyDescent="0.2">
      <c r="A6488" s="30" t="str">
        <f>IF(C6488&amp;G6488&amp;D6488&lt;&gt;'Funnel setup'!$K$3&amp;'Funnel setup'!$K$4&amp;'Funnel setup'!$K$5,".",IF(A6487=".",1,A6487+1))</f>
        <v>.</v>
      </c>
      <c r="B6488" s="431" t="str">
        <f t="shared" si="101"/>
        <v>Varicose VeinCCG of GP PracticeNHS BARNET CCG (07M)EQ VAS</v>
      </c>
      <c r="C6488" t="s">
        <v>17</v>
      </c>
      <c r="D6488" t="s">
        <v>87</v>
      </c>
      <c r="E6488" t="s">
        <v>577</v>
      </c>
      <c r="F6488" t="s">
        <v>578</v>
      </c>
      <c r="G6488" t="s">
        <v>179</v>
      </c>
      <c r="H6488">
        <v>12</v>
      </c>
      <c r="I6488">
        <v>74.167000000000002</v>
      </c>
      <c r="J6488">
        <v>72.5</v>
      </c>
      <c r="K6488">
        <v>-1.667</v>
      </c>
      <c r="L6488">
        <v>4</v>
      </c>
      <c r="M6488">
        <v>1</v>
      </c>
      <c r="N6488">
        <v>7</v>
      </c>
      <c r="O6488" t="s">
        <v>53</v>
      </c>
      <c r="P6488" t="s">
        <v>53</v>
      </c>
      <c r="Q6488" t="s">
        <v>53</v>
      </c>
    </row>
    <row r="6489" spans="1:17" x14ac:dyDescent="0.2">
      <c r="A6489" s="30" t="str">
        <f>IF(C6489&amp;G6489&amp;D6489&lt;&gt;'Funnel setup'!$K$3&amp;'Funnel setup'!$K$4&amp;'Funnel setup'!$K$5,".",IF(A6488=".",1,A6488+1))</f>
        <v>.</v>
      </c>
      <c r="B6489" s="431" t="str">
        <f t="shared" si="101"/>
        <v>Varicose VeinCCG of GP PracticeNHS BARNSLEY CCG (02P)EQ VAS</v>
      </c>
      <c r="C6489" t="s">
        <v>17</v>
      </c>
      <c r="D6489" t="s">
        <v>87</v>
      </c>
      <c r="E6489" t="s">
        <v>580</v>
      </c>
      <c r="F6489" t="s">
        <v>581</v>
      </c>
      <c r="G6489" t="s">
        <v>179</v>
      </c>
      <c r="H6489">
        <v>41</v>
      </c>
      <c r="I6489">
        <v>80.659000000000006</v>
      </c>
      <c r="J6489">
        <v>75.902000000000001</v>
      </c>
      <c r="K6489">
        <v>-4.7560000000000002</v>
      </c>
      <c r="L6489">
        <v>14</v>
      </c>
      <c r="M6489">
        <v>9</v>
      </c>
      <c r="N6489">
        <v>18</v>
      </c>
      <c r="O6489">
        <v>74.590999999999994</v>
      </c>
      <c r="P6489">
        <v>-4.3732710819999996</v>
      </c>
      <c r="Q6489">
        <v>18.709</v>
      </c>
    </row>
    <row r="6490" spans="1:17" x14ac:dyDescent="0.2">
      <c r="A6490" s="30" t="str">
        <f>IF(C6490&amp;G6490&amp;D6490&lt;&gt;'Funnel setup'!$K$3&amp;'Funnel setup'!$K$4&amp;'Funnel setup'!$K$5,".",IF(A6489=".",1,A6489+1))</f>
        <v>.</v>
      </c>
      <c r="B6490" s="431" t="str">
        <f t="shared" si="101"/>
        <v>Varicose VeinCCG of GP PracticeNHS BASILDON AND BRENTWOOD CCG (99E)EQ VAS</v>
      </c>
      <c r="C6490" t="s">
        <v>17</v>
      </c>
      <c r="D6490" t="s">
        <v>87</v>
      </c>
      <c r="E6490" t="s">
        <v>583</v>
      </c>
      <c r="F6490" t="s">
        <v>584</v>
      </c>
      <c r="G6490" t="s">
        <v>179</v>
      </c>
      <c r="H6490">
        <v>9</v>
      </c>
      <c r="I6490">
        <v>75.111000000000004</v>
      </c>
      <c r="J6490">
        <v>80.667000000000002</v>
      </c>
      <c r="K6490">
        <v>5.556</v>
      </c>
      <c r="L6490">
        <v>5</v>
      </c>
      <c r="M6490">
        <v>0</v>
      </c>
      <c r="N6490">
        <v>4</v>
      </c>
      <c r="O6490" t="s">
        <v>53</v>
      </c>
      <c r="P6490" t="s">
        <v>53</v>
      </c>
      <c r="Q6490" t="s">
        <v>53</v>
      </c>
    </row>
    <row r="6491" spans="1:17" x14ac:dyDescent="0.2">
      <c r="A6491" s="30" t="str">
        <f>IF(C6491&amp;G6491&amp;D6491&lt;&gt;'Funnel setup'!$K$3&amp;'Funnel setup'!$K$4&amp;'Funnel setup'!$K$5,".",IF(A6490=".",1,A6490+1))</f>
        <v>.</v>
      </c>
      <c r="B6491" s="431" t="str">
        <f t="shared" si="101"/>
        <v>Varicose VeinCCG of GP PracticeNHS BASSETLAW CCG (02Q)EQ VAS</v>
      </c>
      <c r="C6491" t="s">
        <v>17</v>
      </c>
      <c r="D6491" t="s">
        <v>87</v>
      </c>
      <c r="E6491" t="s">
        <v>586</v>
      </c>
      <c r="F6491" t="s">
        <v>587</v>
      </c>
      <c r="G6491" t="s">
        <v>179</v>
      </c>
      <c r="H6491">
        <v>8</v>
      </c>
      <c r="I6491">
        <v>73.5</v>
      </c>
      <c r="J6491">
        <v>70.625</v>
      </c>
      <c r="K6491">
        <v>-2.875</v>
      </c>
      <c r="L6491">
        <v>2</v>
      </c>
      <c r="M6491">
        <v>3</v>
      </c>
      <c r="N6491">
        <v>3</v>
      </c>
      <c r="O6491" t="s">
        <v>53</v>
      </c>
      <c r="P6491" t="s">
        <v>53</v>
      </c>
      <c r="Q6491" t="s">
        <v>53</v>
      </c>
    </row>
    <row r="6492" spans="1:17" x14ac:dyDescent="0.2">
      <c r="A6492" s="30" t="str">
        <f>IF(C6492&amp;G6492&amp;D6492&lt;&gt;'Funnel setup'!$K$3&amp;'Funnel setup'!$K$4&amp;'Funnel setup'!$K$5,".",IF(A6491=".",1,A6491+1))</f>
        <v>.</v>
      </c>
      <c r="B6492" s="431" t="str">
        <f t="shared" si="101"/>
        <v>Varicose VeinCCG of GP PracticeNHS BATH AND NORTH EAST SOMERSET CCG (11E)EQ VAS</v>
      </c>
      <c r="C6492" t="s">
        <v>17</v>
      </c>
      <c r="D6492" t="s">
        <v>87</v>
      </c>
      <c r="E6492" t="s">
        <v>589</v>
      </c>
      <c r="F6492" t="s">
        <v>590</v>
      </c>
      <c r="G6492" t="s">
        <v>179</v>
      </c>
      <c r="H6492">
        <v>36</v>
      </c>
      <c r="I6492">
        <v>87.75</v>
      </c>
      <c r="J6492">
        <v>86.111000000000004</v>
      </c>
      <c r="K6492">
        <v>-1.639</v>
      </c>
      <c r="L6492">
        <v>9</v>
      </c>
      <c r="M6492">
        <v>10</v>
      </c>
      <c r="N6492">
        <v>17</v>
      </c>
      <c r="O6492">
        <v>79.444000000000003</v>
      </c>
      <c r="P6492">
        <v>0.48017637299999999</v>
      </c>
      <c r="Q6492">
        <v>9.5519999999999996</v>
      </c>
    </row>
    <row r="6493" spans="1:17" x14ac:dyDescent="0.2">
      <c r="A6493" s="30" t="str">
        <f>IF(C6493&amp;G6493&amp;D6493&lt;&gt;'Funnel setup'!$K$3&amp;'Funnel setup'!$K$4&amp;'Funnel setup'!$K$5,".",IF(A6492=".",1,A6492+1))</f>
        <v>.</v>
      </c>
      <c r="B6493" s="431" t="str">
        <f t="shared" si="101"/>
        <v>Varicose VeinCCG of GP PracticeNHS BEDFORDSHIRE CCG (06F)EQ VAS</v>
      </c>
      <c r="C6493" t="s">
        <v>17</v>
      </c>
      <c r="D6493" t="s">
        <v>87</v>
      </c>
      <c r="E6493" t="s">
        <v>592</v>
      </c>
      <c r="F6493" t="s">
        <v>593</v>
      </c>
      <c r="G6493" t="s">
        <v>179</v>
      </c>
      <c r="H6493">
        <v>32</v>
      </c>
      <c r="I6493">
        <v>75.125</v>
      </c>
      <c r="J6493">
        <v>76.281000000000006</v>
      </c>
      <c r="K6493">
        <v>1.1559999999999999</v>
      </c>
      <c r="L6493">
        <v>17</v>
      </c>
      <c r="M6493">
        <v>4</v>
      </c>
      <c r="N6493">
        <v>11</v>
      </c>
      <c r="O6493">
        <v>77.843999999999994</v>
      </c>
      <c r="P6493">
        <v>-1.1201070440000001</v>
      </c>
      <c r="Q6493">
        <v>14.346</v>
      </c>
    </row>
    <row r="6494" spans="1:17" x14ac:dyDescent="0.2">
      <c r="A6494" s="30" t="str">
        <f>IF(C6494&amp;G6494&amp;D6494&lt;&gt;'Funnel setup'!$K$3&amp;'Funnel setup'!$K$4&amp;'Funnel setup'!$K$5,".",IF(A6493=".",1,A6493+1))</f>
        <v>.</v>
      </c>
      <c r="B6494" s="431" t="str">
        <f t="shared" si="101"/>
        <v>Varicose VeinCCG of GP PracticeNHS BEXLEY CCG (07N)EQ VAS</v>
      </c>
      <c r="C6494" t="s">
        <v>17</v>
      </c>
      <c r="D6494" t="s">
        <v>87</v>
      </c>
      <c r="E6494" t="s">
        <v>595</v>
      </c>
      <c r="F6494" t="s">
        <v>596</v>
      </c>
      <c r="G6494" t="s">
        <v>179</v>
      </c>
      <c r="H6494">
        <v>12</v>
      </c>
      <c r="I6494">
        <v>74.582999999999998</v>
      </c>
      <c r="J6494">
        <v>77.917000000000002</v>
      </c>
      <c r="K6494">
        <v>3.3330000000000002</v>
      </c>
      <c r="L6494">
        <v>5</v>
      </c>
      <c r="M6494">
        <v>3</v>
      </c>
      <c r="N6494">
        <v>4</v>
      </c>
      <c r="O6494" t="s">
        <v>53</v>
      </c>
      <c r="P6494" t="s">
        <v>53</v>
      </c>
      <c r="Q6494" t="s">
        <v>53</v>
      </c>
    </row>
    <row r="6495" spans="1:17" x14ac:dyDescent="0.2">
      <c r="A6495" s="30" t="str">
        <f>IF(C6495&amp;G6495&amp;D6495&lt;&gt;'Funnel setup'!$K$3&amp;'Funnel setup'!$K$4&amp;'Funnel setup'!$K$5,".",IF(A6494=".",1,A6494+1))</f>
        <v>.</v>
      </c>
      <c r="B6495" s="431" t="str">
        <f t="shared" si="101"/>
        <v>Varicose VeinCCG of GP PracticeNHS BIRMINGHAM CROSSCITY CCG (13P)EQ VAS</v>
      </c>
      <c r="C6495" t="s">
        <v>17</v>
      </c>
      <c r="D6495" t="s">
        <v>87</v>
      </c>
      <c r="E6495" t="s">
        <v>598</v>
      </c>
      <c r="F6495" t="s">
        <v>599</v>
      </c>
      <c r="G6495" t="s">
        <v>179</v>
      </c>
      <c r="H6495">
        <v>82</v>
      </c>
      <c r="I6495">
        <v>73.950999999999993</v>
      </c>
      <c r="J6495">
        <v>76.488</v>
      </c>
      <c r="K6495">
        <v>2.5369999999999999</v>
      </c>
      <c r="L6495">
        <v>38</v>
      </c>
      <c r="M6495">
        <v>12</v>
      </c>
      <c r="N6495">
        <v>32</v>
      </c>
      <c r="O6495">
        <v>79.356999999999999</v>
      </c>
      <c r="P6495">
        <v>0.39248763399999997</v>
      </c>
      <c r="Q6495">
        <v>18.63</v>
      </c>
    </row>
    <row r="6496" spans="1:17" x14ac:dyDescent="0.2">
      <c r="A6496" s="30" t="str">
        <f>IF(C6496&amp;G6496&amp;D6496&lt;&gt;'Funnel setup'!$K$3&amp;'Funnel setup'!$K$4&amp;'Funnel setup'!$K$5,".",IF(A6495=".",1,A6495+1))</f>
        <v>.</v>
      </c>
      <c r="B6496" s="431" t="str">
        <f t="shared" si="101"/>
        <v>Varicose VeinCCG of GP PracticeNHS BIRMINGHAM SOUTH AND CENTRAL CCG (04X)EQ VAS</v>
      </c>
      <c r="C6496" t="s">
        <v>17</v>
      </c>
      <c r="D6496" t="s">
        <v>87</v>
      </c>
      <c r="E6496" t="s">
        <v>601</v>
      </c>
      <c r="F6496" t="s">
        <v>602</v>
      </c>
      <c r="G6496" t="s">
        <v>179</v>
      </c>
      <c r="H6496">
        <v>10</v>
      </c>
      <c r="I6496">
        <v>78.5</v>
      </c>
      <c r="J6496">
        <v>82</v>
      </c>
      <c r="K6496">
        <v>3.5</v>
      </c>
      <c r="L6496">
        <v>7</v>
      </c>
      <c r="M6496">
        <v>0</v>
      </c>
      <c r="N6496">
        <v>3</v>
      </c>
      <c r="O6496" t="s">
        <v>53</v>
      </c>
      <c r="P6496" t="s">
        <v>53</v>
      </c>
      <c r="Q6496" t="s">
        <v>53</v>
      </c>
    </row>
    <row r="6497" spans="1:17" x14ac:dyDescent="0.2">
      <c r="A6497" s="30" t="str">
        <f>IF(C6497&amp;G6497&amp;D6497&lt;&gt;'Funnel setup'!$K$3&amp;'Funnel setup'!$K$4&amp;'Funnel setup'!$K$5,".",IF(A6496=".",1,A6496+1))</f>
        <v>.</v>
      </c>
      <c r="B6497" s="431" t="str">
        <f t="shared" si="101"/>
        <v>Varicose VeinCCG of GP PracticeNHS BLACKBURN WITH DARWEN CCG (00Q)EQ VAS</v>
      </c>
      <c r="C6497" t="s">
        <v>17</v>
      </c>
      <c r="D6497" t="s">
        <v>87</v>
      </c>
      <c r="E6497" t="s">
        <v>604</v>
      </c>
      <c r="F6497" t="s">
        <v>605</v>
      </c>
      <c r="G6497" t="s">
        <v>179</v>
      </c>
      <c r="H6497">
        <v>27</v>
      </c>
      <c r="I6497">
        <v>82.63</v>
      </c>
      <c r="J6497">
        <v>79.703999999999994</v>
      </c>
      <c r="K6497">
        <v>-2.9260000000000002</v>
      </c>
      <c r="L6497">
        <v>9</v>
      </c>
      <c r="M6497">
        <v>7</v>
      </c>
      <c r="N6497">
        <v>11</v>
      </c>
      <c r="O6497" t="s">
        <v>53</v>
      </c>
      <c r="P6497" t="s">
        <v>53</v>
      </c>
      <c r="Q6497" t="s">
        <v>53</v>
      </c>
    </row>
    <row r="6498" spans="1:17" x14ac:dyDescent="0.2">
      <c r="A6498" s="30" t="str">
        <f>IF(C6498&amp;G6498&amp;D6498&lt;&gt;'Funnel setup'!$K$3&amp;'Funnel setup'!$K$4&amp;'Funnel setup'!$K$5,".",IF(A6497=".",1,A6497+1))</f>
        <v>.</v>
      </c>
      <c r="B6498" s="431" t="str">
        <f t="shared" si="101"/>
        <v>Varicose VeinCCG of GP PracticeNHS BLACKPOOL CCG (00R)EQ VAS</v>
      </c>
      <c r="C6498" t="s">
        <v>17</v>
      </c>
      <c r="D6498" t="s">
        <v>87</v>
      </c>
      <c r="E6498" t="s">
        <v>607</v>
      </c>
      <c r="F6498" t="s">
        <v>608</v>
      </c>
      <c r="G6498" t="s">
        <v>179</v>
      </c>
      <c r="H6498">
        <v>6</v>
      </c>
      <c r="I6498">
        <v>59.832999999999998</v>
      </c>
      <c r="J6498">
        <v>67.832999999999998</v>
      </c>
      <c r="K6498">
        <v>8</v>
      </c>
      <c r="L6498">
        <v>4</v>
      </c>
      <c r="M6498">
        <v>0</v>
      </c>
      <c r="N6498">
        <v>2</v>
      </c>
      <c r="O6498" t="s">
        <v>53</v>
      </c>
      <c r="P6498" t="s">
        <v>53</v>
      </c>
      <c r="Q6498" t="s">
        <v>53</v>
      </c>
    </row>
    <row r="6499" spans="1:17" x14ac:dyDescent="0.2">
      <c r="A6499" s="30" t="str">
        <f>IF(C6499&amp;G6499&amp;D6499&lt;&gt;'Funnel setup'!$K$3&amp;'Funnel setup'!$K$4&amp;'Funnel setup'!$K$5,".",IF(A6498=".",1,A6498+1))</f>
        <v>.</v>
      </c>
      <c r="B6499" s="431" t="str">
        <f t="shared" si="101"/>
        <v>Varicose VeinCCG of GP PracticeNHS BOLTON CCG (00T)EQ VAS</v>
      </c>
      <c r="C6499" t="s">
        <v>17</v>
      </c>
      <c r="D6499" t="s">
        <v>87</v>
      </c>
      <c r="E6499" t="s">
        <v>683</v>
      </c>
      <c r="F6499" t="s">
        <v>684</v>
      </c>
      <c r="G6499" t="s">
        <v>179</v>
      </c>
      <c r="H6499">
        <v>39</v>
      </c>
      <c r="I6499">
        <v>82.076999999999998</v>
      </c>
      <c r="J6499">
        <v>80.051000000000002</v>
      </c>
      <c r="K6499">
        <v>-2.0259999999999998</v>
      </c>
      <c r="L6499">
        <v>13</v>
      </c>
      <c r="M6499">
        <v>14</v>
      </c>
      <c r="N6499">
        <v>12</v>
      </c>
      <c r="O6499">
        <v>78.091999999999999</v>
      </c>
      <c r="P6499">
        <v>-0.87180599199999997</v>
      </c>
      <c r="Q6499">
        <v>17.916</v>
      </c>
    </row>
    <row r="6500" spans="1:17" x14ac:dyDescent="0.2">
      <c r="A6500" s="30" t="str">
        <f>IF(C6500&amp;G6500&amp;D6500&lt;&gt;'Funnel setup'!$K$3&amp;'Funnel setup'!$K$4&amp;'Funnel setup'!$K$5,".",IF(A6499=".",1,A6499+1))</f>
        <v>.</v>
      </c>
      <c r="B6500" s="431" t="str">
        <f t="shared" si="101"/>
        <v>Varicose VeinCCG of GP PracticeNHS BRADFORD CITY CCG (02W)EQ VAS</v>
      </c>
      <c r="C6500" t="s">
        <v>17</v>
      </c>
      <c r="D6500" t="s">
        <v>87</v>
      </c>
      <c r="E6500" t="s">
        <v>689</v>
      </c>
      <c r="F6500" t="s">
        <v>690</v>
      </c>
      <c r="G6500" t="s">
        <v>179</v>
      </c>
      <c r="H6500">
        <v>6</v>
      </c>
      <c r="I6500">
        <v>67.167000000000002</v>
      </c>
      <c r="J6500">
        <v>50.667000000000002</v>
      </c>
      <c r="K6500">
        <v>-16.5</v>
      </c>
      <c r="L6500">
        <v>1</v>
      </c>
      <c r="M6500">
        <v>0</v>
      </c>
      <c r="N6500">
        <v>5</v>
      </c>
      <c r="O6500" t="s">
        <v>53</v>
      </c>
      <c r="P6500" t="s">
        <v>53</v>
      </c>
      <c r="Q6500" t="s">
        <v>53</v>
      </c>
    </row>
    <row r="6501" spans="1:17" x14ac:dyDescent="0.2">
      <c r="A6501" s="30" t="str">
        <f>IF(C6501&amp;G6501&amp;D6501&lt;&gt;'Funnel setup'!$K$3&amp;'Funnel setup'!$K$4&amp;'Funnel setup'!$K$5,".",IF(A6500=".",1,A6500+1))</f>
        <v>.</v>
      </c>
      <c r="B6501" s="431" t="str">
        <f t="shared" si="101"/>
        <v>Varicose VeinCCG of GP PracticeNHS BRADFORD DISTRICTS CCG (02R)EQ VAS</v>
      </c>
      <c r="C6501" t="s">
        <v>17</v>
      </c>
      <c r="D6501" t="s">
        <v>87</v>
      </c>
      <c r="E6501" t="s">
        <v>692</v>
      </c>
      <c r="F6501" t="s">
        <v>693</v>
      </c>
      <c r="G6501" t="s">
        <v>179</v>
      </c>
      <c r="H6501">
        <v>43</v>
      </c>
      <c r="I6501">
        <v>80.441999999999993</v>
      </c>
      <c r="J6501">
        <v>77.256</v>
      </c>
      <c r="K6501">
        <v>-3.1859999999999999</v>
      </c>
      <c r="L6501">
        <v>15</v>
      </c>
      <c r="M6501">
        <v>8</v>
      </c>
      <c r="N6501">
        <v>20</v>
      </c>
      <c r="O6501">
        <v>76.650000000000006</v>
      </c>
      <c r="P6501">
        <v>-2.3136681139999999</v>
      </c>
      <c r="Q6501">
        <v>14.032999999999999</v>
      </c>
    </row>
    <row r="6502" spans="1:17" x14ac:dyDescent="0.2">
      <c r="A6502" s="30" t="str">
        <f>IF(C6502&amp;G6502&amp;D6502&lt;&gt;'Funnel setup'!$K$3&amp;'Funnel setup'!$K$4&amp;'Funnel setup'!$K$5,".",IF(A6501=".",1,A6501+1))</f>
        <v>.</v>
      </c>
      <c r="B6502" s="431" t="str">
        <f t="shared" si="101"/>
        <v>Varicose VeinCCG of GP PracticeNHS BRENT CCG (07P)EQ VAS</v>
      </c>
      <c r="C6502" t="s">
        <v>17</v>
      </c>
      <c r="D6502" t="s">
        <v>87</v>
      </c>
      <c r="E6502" t="s">
        <v>695</v>
      </c>
      <c r="F6502" t="s">
        <v>696</v>
      </c>
      <c r="G6502" t="s">
        <v>179</v>
      </c>
      <c r="H6502">
        <v>34</v>
      </c>
      <c r="I6502">
        <v>74.352999999999994</v>
      </c>
      <c r="J6502">
        <v>70.412000000000006</v>
      </c>
      <c r="K6502">
        <v>-3.9409999999999998</v>
      </c>
      <c r="L6502">
        <v>11</v>
      </c>
      <c r="M6502">
        <v>9</v>
      </c>
      <c r="N6502">
        <v>14</v>
      </c>
      <c r="O6502">
        <v>75.236000000000004</v>
      </c>
      <c r="P6502">
        <v>-3.7276894290000002</v>
      </c>
      <c r="Q6502">
        <v>15.634</v>
      </c>
    </row>
    <row r="6503" spans="1:17" x14ac:dyDescent="0.2">
      <c r="A6503" s="30" t="str">
        <f>IF(C6503&amp;G6503&amp;D6503&lt;&gt;'Funnel setup'!$K$3&amp;'Funnel setup'!$K$4&amp;'Funnel setup'!$K$5,".",IF(A6502=".",1,A6502+1))</f>
        <v>.</v>
      </c>
      <c r="B6503" s="431" t="str">
        <f t="shared" si="101"/>
        <v>Varicose VeinCCG of GP PracticeNHS BRIGHTON AND HOVE CCG (09D)EQ VAS</v>
      </c>
      <c r="C6503" t="s">
        <v>17</v>
      </c>
      <c r="D6503" t="s">
        <v>87</v>
      </c>
      <c r="E6503" t="s">
        <v>698</v>
      </c>
      <c r="F6503" t="s">
        <v>699</v>
      </c>
      <c r="G6503" t="s">
        <v>179</v>
      </c>
      <c r="H6503">
        <v>22</v>
      </c>
      <c r="I6503">
        <v>76.454999999999998</v>
      </c>
      <c r="J6503">
        <v>75</v>
      </c>
      <c r="K6503">
        <v>-1.4550000000000001</v>
      </c>
      <c r="L6503">
        <v>9</v>
      </c>
      <c r="M6503">
        <v>3</v>
      </c>
      <c r="N6503">
        <v>10</v>
      </c>
      <c r="O6503" t="s">
        <v>53</v>
      </c>
      <c r="P6503" t="s">
        <v>53</v>
      </c>
      <c r="Q6503" t="s">
        <v>53</v>
      </c>
    </row>
    <row r="6504" spans="1:17" x14ac:dyDescent="0.2">
      <c r="A6504" s="30" t="str">
        <f>IF(C6504&amp;G6504&amp;D6504&lt;&gt;'Funnel setup'!$K$3&amp;'Funnel setup'!$K$4&amp;'Funnel setup'!$K$5,".",IF(A6503=".",1,A6503+1))</f>
        <v>.</v>
      </c>
      <c r="B6504" s="431" t="str">
        <f t="shared" si="101"/>
        <v>Varicose VeinCCG of GP PracticeNHS BRISTOL CCG (11H)EQ VAS</v>
      </c>
      <c r="C6504" t="s">
        <v>17</v>
      </c>
      <c r="D6504" t="s">
        <v>87</v>
      </c>
      <c r="E6504" t="s">
        <v>701</v>
      </c>
      <c r="F6504" t="s">
        <v>702</v>
      </c>
      <c r="G6504" t="s">
        <v>179</v>
      </c>
      <c r="H6504" t="s">
        <v>53</v>
      </c>
      <c r="I6504" t="s">
        <v>53</v>
      </c>
      <c r="J6504" t="s">
        <v>53</v>
      </c>
      <c r="K6504" t="s">
        <v>53</v>
      </c>
      <c r="L6504" t="s">
        <v>53</v>
      </c>
      <c r="M6504" t="s">
        <v>53</v>
      </c>
      <c r="N6504" t="s">
        <v>53</v>
      </c>
      <c r="O6504" t="s">
        <v>53</v>
      </c>
      <c r="P6504" t="s">
        <v>53</v>
      </c>
      <c r="Q6504" t="s">
        <v>53</v>
      </c>
    </row>
    <row r="6505" spans="1:17" x14ac:dyDescent="0.2">
      <c r="A6505" s="30" t="str">
        <f>IF(C6505&amp;G6505&amp;D6505&lt;&gt;'Funnel setup'!$K$3&amp;'Funnel setup'!$K$4&amp;'Funnel setup'!$K$5,".",IF(A6504=".",1,A6504+1))</f>
        <v>.</v>
      </c>
      <c r="B6505" s="431" t="str">
        <f t="shared" si="101"/>
        <v>Varicose VeinCCG of GP PracticeNHS BROMLEY CCG (07Q)EQ VAS</v>
      </c>
      <c r="C6505" t="s">
        <v>17</v>
      </c>
      <c r="D6505" t="s">
        <v>87</v>
      </c>
      <c r="E6505" t="s">
        <v>704</v>
      </c>
      <c r="F6505" t="s">
        <v>705</v>
      </c>
      <c r="G6505" t="s">
        <v>179</v>
      </c>
      <c r="H6505">
        <v>45</v>
      </c>
      <c r="I6505">
        <v>83.043999999999997</v>
      </c>
      <c r="J6505">
        <v>80.644000000000005</v>
      </c>
      <c r="K6505">
        <v>-2.4</v>
      </c>
      <c r="L6505">
        <v>16</v>
      </c>
      <c r="M6505">
        <v>10</v>
      </c>
      <c r="N6505">
        <v>19</v>
      </c>
      <c r="O6505">
        <v>79.918000000000006</v>
      </c>
      <c r="P6505">
        <v>0.95358619499999997</v>
      </c>
      <c r="Q6505">
        <v>10.381</v>
      </c>
    </row>
    <row r="6506" spans="1:17" x14ac:dyDescent="0.2">
      <c r="A6506" s="30" t="str">
        <f>IF(C6506&amp;G6506&amp;D6506&lt;&gt;'Funnel setup'!$K$3&amp;'Funnel setup'!$K$4&amp;'Funnel setup'!$K$5,".",IF(A6505=".",1,A6505+1))</f>
        <v>.</v>
      </c>
      <c r="B6506" s="431" t="str">
        <f t="shared" si="101"/>
        <v>Varicose VeinCCG of GP PracticeNHS BURY CCG (00V)EQ VAS</v>
      </c>
      <c r="C6506" t="s">
        <v>17</v>
      </c>
      <c r="D6506" t="s">
        <v>87</v>
      </c>
      <c r="E6506" t="s">
        <v>707</v>
      </c>
      <c r="F6506" t="s">
        <v>708</v>
      </c>
      <c r="G6506" t="s">
        <v>179</v>
      </c>
      <c r="H6506" t="s">
        <v>53</v>
      </c>
      <c r="I6506" t="s">
        <v>53</v>
      </c>
      <c r="J6506" t="s">
        <v>53</v>
      </c>
      <c r="K6506" t="s">
        <v>53</v>
      </c>
      <c r="L6506" t="s">
        <v>53</v>
      </c>
      <c r="M6506" t="s">
        <v>53</v>
      </c>
      <c r="N6506" t="s">
        <v>53</v>
      </c>
      <c r="O6506" t="s">
        <v>53</v>
      </c>
      <c r="P6506" t="s">
        <v>53</v>
      </c>
      <c r="Q6506" t="s">
        <v>53</v>
      </c>
    </row>
    <row r="6507" spans="1:17" x14ac:dyDescent="0.2">
      <c r="A6507" s="30" t="str">
        <f>IF(C6507&amp;G6507&amp;D6507&lt;&gt;'Funnel setup'!$K$3&amp;'Funnel setup'!$K$4&amp;'Funnel setup'!$K$5,".",IF(A6506=".",1,A6506+1))</f>
        <v>.</v>
      </c>
      <c r="B6507" s="431" t="str">
        <f t="shared" si="101"/>
        <v>Varicose VeinCCG of GP PracticeNHS CALDERDALE CCG (02T)EQ VAS</v>
      </c>
      <c r="C6507" t="s">
        <v>17</v>
      </c>
      <c r="D6507" t="s">
        <v>87</v>
      </c>
      <c r="E6507" t="s">
        <v>710</v>
      </c>
      <c r="F6507" t="s">
        <v>711</v>
      </c>
      <c r="G6507" t="s">
        <v>179</v>
      </c>
      <c r="H6507">
        <v>36</v>
      </c>
      <c r="I6507">
        <v>78.805999999999997</v>
      </c>
      <c r="J6507">
        <v>79.861000000000004</v>
      </c>
      <c r="K6507">
        <v>1.056</v>
      </c>
      <c r="L6507">
        <v>14</v>
      </c>
      <c r="M6507">
        <v>6</v>
      </c>
      <c r="N6507">
        <v>16</v>
      </c>
      <c r="O6507">
        <v>79.430999999999997</v>
      </c>
      <c r="P6507">
        <v>0.46694327000000002</v>
      </c>
      <c r="Q6507">
        <v>11.388</v>
      </c>
    </row>
    <row r="6508" spans="1:17" x14ac:dyDescent="0.2">
      <c r="A6508" s="30" t="str">
        <f>IF(C6508&amp;G6508&amp;D6508&lt;&gt;'Funnel setup'!$K$3&amp;'Funnel setup'!$K$4&amp;'Funnel setup'!$K$5,".",IF(A6507=".",1,A6507+1))</f>
        <v>.</v>
      </c>
      <c r="B6508" s="431" t="str">
        <f t="shared" si="101"/>
        <v>Varicose VeinCCG of GP PracticeNHS CAMBRIDGESHIRE AND PETERBOROUGH CCG (06H)EQ VAS</v>
      </c>
      <c r="C6508" t="s">
        <v>17</v>
      </c>
      <c r="D6508" t="s">
        <v>87</v>
      </c>
      <c r="E6508" t="s">
        <v>713</v>
      </c>
      <c r="F6508" t="s">
        <v>714</v>
      </c>
      <c r="G6508" t="s">
        <v>179</v>
      </c>
      <c r="H6508">
        <v>33</v>
      </c>
      <c r="I6508">
        <v>77.090999999999994</v>
      </c>
      <c r="J6508">
        <v>80.515000000000001</v>
      </c>
      <c r="K6508">
        <v>3.4239999999999999</v>
      </c>
      <c r="L6508">
        <v>16</v>
      </c>
      <c r="M6508">
        <v>5</v>
      </c>
      <c r="N6508">
        <v>12</v>
      </c>
      <c r="O6508">
        <v>81.19</v>
      </c>
      <c r="P6508">
        <v>2.2257328790000002</v>
      </c>
      <c r="Q6508">
        <v>15.093999999999999</v>
      </c>
    </row>
    <row r="6509" spans="1:17" x14ac:dyDescent="0.2">
      <c r="A6509" s="30" t="str">
        <f>IF(C6509&amp;G6509&amp;D6509&lt;&gt;'Funnel setup'!$K$3&amp;'Funnel setup'!$K$4&amp;'Funnel setup'!$K$5,".",IF(A6508=".",1,A6508+1))</f>
        <v>.</v>
      </c>
      <c r="B6509" s="431" t="str">
        <f t="shared" si="101"/>
        <v>Varicose VeinCCG of GP PracticeNHS CAMDEN CCG (07R)EQ VAS</v>
      </c>
      <c r="C6509" t="s">
        <v>17</v>
      </c>
      <c r="D6509" t="s">
        <v>87</v>
      </c>
      <c r="E6509" t="s">
        <v>716</v>
      </c>
      <c r="F6509" t="s">
        <v>717</v>
      </c>
      <c r="G6509" t="s">
        <v>179</v>
      </c>
      <c r="H6509">
        <v>24</v>
      </c>
      <c r="I6509">
        <v>81.125</v>
      </c>
      <c r="J6509">
        <v>77.167000000000002</v>
      </c>
      <c r="K6509">
        <v>-3.9580000000000002</v>
      </c>
      <c r="L6509">
        <v>8</v>
      </c>
      <c r="M6509">
        <v>3</v>
      </c>
      <c r="N6509">
        <v>13</v>
      </c>
      <c r="O6509" t="s">
        <v>53</v>
      </c>
      <c r="P6509" t="s">
        <v>53</v>
      </c>
      <c r="Q6509" t="s">
        <v>53</v>
      </c>
    </row>
    <row r="6510" spans="1:17" x14ac:dyDescent="0.2">
      <c r="A6510" s="30" t="str">
        <f>IF(C6510&amp;G6510&amp;D6510&lt;&gt;'Funnel setup'!$K$3&amp;'Funnel setup'!$K$4&amp;'Funnel setup'!$K$5,".",IF(A6509=".",1,A6509+1))</f>
        <v>.</v>
      </c>
      <c r="B6510" s="431" t="str">
        <f t="shared" si="101"/>
        <v>Varicose VeinCCG of GP PracticeNHS CANNOCK CHASE CCG (04Y)EQ VAS</v>
      </c>
      <c r="C6510" t="s">
        <v>17</v>
      </c>
      <c r="D6510" t="s">
        <v>87</v>
      </c>
      <c r="E6510" t="s">
        <v>719</v>
      </c>
      <c r="F6510" t="s">
        <v>720</v>
      </c>
      <c r="G6510" t="s">
        <v>179</v>
      </c>
      <c r="H6510">
        <v>19</v>
      </c>
      <c r="I6510">
        <v>75.683999999999997</v>
      </c>
      <c r="J6510">
        <v>76.841999999999999</v>
      </c>
      <c r="K6510">
        <v>1.1579999999999999</v>
      </c>
      <c r="L6510">
        <v>11</v>
      </c>
      <c r="M6510">
        <v>3</v>
      </c>
      <c r="N6510">
        <v>5</v>
      </c>
      <c r="O6510" t="s">
        <v>53</v>
      </c>
      <c r="P6510" t="s">
        <v>53</v>
      </c>
      <c r="Q6510" t="s">
        <v>53</v>
      </c>
    </row>
    <row r="6511" spans="1:17" x14ac:dyDescent="0.2">
      <c r="A6511" s="30" t="str">
        <f>IF(C6511&amp;G6511&amp;D6511&lt;&gt;'Funnel setup'!$K$3&amp;'Funnel setup'!$K$4&amp;'Funnel setup'!$K$5,".",IF(A6510=".",1,A6510+1))</f>
        <v>.</v>
      </c>
      <c r="B6511" s="431" t="str">
        <f t="shared" si="101"/>
        <v>Varicose VeinCCG of GP PracticeNHS CASTLE POINT AND ROCHFORD CCG (99F)EQ VAS</v>
      </c>
      <c r="C6511" t="s">
        <v>17</v>
      </c>
      <c r="D6511" t="s">
        <v>87</v>
      </c>
      <c r="E6511" t="s">
        <v>725</v>
      </c>
      <c r="F6511" t="s">
        <v>726</v>
      </c>
      <c r="G6511" t="s">
        <v>179</v>
      </c>
      <c r="H6511" t="s">
        <v>53</v>
      </c>
      <c r="I6511" t="s">
        <v>53</v>
      </c>
      <c r="J6511" t="s">
        <v>53</v>
      </c>
      <c r="K6511" t="s">
        <v>53</v>
      </c>
      <c r="L6511" t="s">
        <v>53</v>
      </c>
      <c r="M6511" t="s">
        <v>53</v>
      </c>
      <c r="N6511" t="s">
        <v>53</v>
      </c>
      <c r="O6511" t="s">
        <v>53</v>
      </c>
      <c r="P6511" t="s">
        <v>53</v>
      </c>
      <c r="Q6511" t="s">
        <v>53</v>
      </c>
    </row>
    <row r="6512" spans="1:17" x14ac:dyDescent="0.2">
      <c r="A6512" s="30" t="str">
        <f>IF(C6512&amp;G6512&amp;D6512&lt;&gt;'Funnel setup'!$K$3&amp;'Funnel setup'!$K$4&amp;'Funnel setup'!$K$5,".",IF(A6511=".",1,A6511+1))</f>
        <v>.</v>
      </c>
      <c r="B6512" s="431" t="str">
        <f t="shared" si="101"/>
        <v>Varicose VeinCCG of GP PracticeNHS CENTRAL LONDON (WESTMINSTER) CCG (09A)EQ VAS</v>
      </c>
      <c r="C6512" t="s">
        <v>17</v>
      </c>
      <c r="D6512" t="s">
        <v>87</v>
      </c>
      <c r="E6512" t="s">
        <v>728</v>
      </c>
      <c r="F6512" t="s">
        <v>729</v>
      </c>
      <c r="G6512" t="s">
        <v>179</v>
      </c>
      <c r="H6512">
        <v>24</v>
      </c>
      <c r="I6512">
        <v>75.957999999999998</v>
      </c>
      <c r="J6512">
        <v>78</v>
      </c>
      <c r="K6512">
        <v>2.0419999999999998</v>
      </c>
      <c r="L6512">
        <v>13</v>
      </c>
      <c r="M6512">
        <v>4</v>
      </c>
      <c r="N6512">
        <v>7</v>
      </c>
      <c r="O6512" t="s">
        <v>53</v>
      </c>
      <c r="P6512" t="s">
        <v>53</v>
      </c>
      <c r="Q6512" t="s">
        <v>53</v>
      </c>
    </row>
    <row r="6513" spans="1:17" x14ac:dyDescent="0.2">
      <c r="A6513" s="30" t="str">
        <f>IF(C6513&amp;G6513&amp;D6513&lt;&gt;'Funnel setup'!$K$3&amp;'Funnel setup'!$K$4&amp;'Funnel setup'!$K$5,".",IF(A6512=".",1,A6512+1))</f>
        <v>.</v>
      </c>
      <c r="B6513" s="431" t="str">
        <f t="shared" si="101"/>
        <v>Varicose VeinCCG of GP PracticeNHS CENTRAL MANCHESTER CCG (00W)EQ VAS</v>
      </c>
      <c r="C6513" t="s">
        <v>17</v>
      </c>
      <c r="D6513" t="s">
        <v>87</v>
      </c>
      <c r="E6513" t="s">
        <v>731</v>
      </c>
      <c r="F6513" t="s">
        <v>732</v>
      </c>
      <c r="G6513" t="s">
        <v>179</v>
      </c>
      <c r="H6513" t="s">
        <v>53</v>
      </c>
      <c r="I6513" t="s">
        <v>53</v>
      </c>
      <c r="J6513" t="s">
        <v>53</v>
      </c>
      <c r="K6513" t="s">
        <v>53</v>
      </c>
      <c r="L6513" t="s">
        <v>53</v>
      </c>
      <c r="M6513" t="s">
        <v>53</v>
      </c>
      <c r="N6513" t="s">
        <v>53</v>
      </c>
      <c r="O6513" t="s">
        <v>53</v>
      </c>
      <c r="P6513" t="s">
        <v>53</v>
      </c>
      <c r="Q6513" t="s">
        <v>53</v>
      </c>
    </row>
    <row r="6514" spans="1:17" x14ac:dyDescent="0.2">
      <c r="A6514" s="30" t="str">
        <f>IF(C6514&amp;G6514&amp;D6514&lt;&gt;'Funnel setup'!$K$3&amp;'Funnel setup'!$K$4&amp;'Funnel setup'!$K$5,".",IF(A6513=".",1,A6513+1))</f>
        <v>.</v>
      </c>
      <c r="B6514" s="431" t="str">
        <f t="shared" si="101"/>
        <v>Varicose VeinCCG of GP PracticeNHS CHILTERN CCG (10H)EQ VAS</v>
      </c>
      <c r="C6514" t="s">
        <v>17</v>
      </c>
      <c r="D6514" t="s">
        <v>87</v>
      </c>
      <c r="E6514" t="s">
        <v>734</v>
      </c>
      <c r="F6514" t="s">
        <v>735</v>
      </c>
      <c r="G6514" t="s">
        <v>179</v>
      </c>
      <c r="H6514">
        <v>25</v>
      </c>
      <c r="I6514">
        <v>78.239999999999995</v>
      </c>
      <c r="J6514">
        <v>76.12</v>
      </c>
      <c r="K6514">
        <v>-2.12</v>
      </c>
      <c r="L6514">
        <v>9</v>
      </c>
      <c r="M6514">
        <v>6</v>
      </c>
      <c r="N6514">
        <v>10</v>
      </c>
      <c r="O6514" t="s">
        <v>53</v>
      </c>
      <c r="P6514" t="s">
        <v>53</v>
      </c>
      <c r="Q6514" t="s">
        <v>53</v>
      </c>
    </row>
    <row r="6515" spans="1:17" x14ac:dyDescent="0.2">
      <c r="A6515" s="30" t="str">
        <f>IF(C6515&amp;G6515&amp;D6515&lt;&gt;'Funnel setup'!$K$3&amp;'Funnel setup'!$K$4&amp;'Funnel setup'!$K$5,".",IF(A6514=".",1,A6514+1))</f>
        <v>.</v>
      </c>
      <c r="B6515" s="431" t="str">
        <f t="shared" si="101"/>
        <v>Varicose VeinCCG of GP PracticeNHS CHORLEY AND SOUTH RIBBLE CCG (00X)EQ VAS</v>
      </c>
      <c r="C6515" t="s">
        <v>17</v>
      </c>
      <c r="D6515" t="s">
        <v>87</v>
      </c>
      <c r="E6515" t="s">
        <v>737</v>
      </c>
      <c r="F6515" t="s">
        <v>738</v>
      </c>
      <c r="G6515" t="s">
        <v>179</v>
      </c>
      <c r="H6515">
        <v>18</v>
      </c>
      <c r="I6515">
        <v>80.444000000000003</v>
      </c>
      <c r="J6515">
        <v>76.221999999999994</v>
      </c>
      <c r="K6515">
        <v>-4.2220000000000004</v>
      </c>
      <c r="L6515">
        <v>7</v>
      </c>
      <c r="M6515">
        <v>3</v>
      </c>
      <c r="N6515">
        <v>8</v>
      </c>
      <c r="O6515" t="s">
        <v>53</v>
      </c>
      <c r="P6515" t="s">
        <v>53</v>
      </c>
      <c r="Q6515" t="s">
        <v>53</v>
      </c>
    </row>
    <row r="6516" spans="1:17" x14ac:dyDescent="0.2">
      <c r="A6516" s="30" t="str">
        <f>IF(C6516&amp;G6516&amp;D6516&lt;&gt;'Funnel setup'!$K$3&amp;'Funnel setup'!$K$4&amp;'Funnel setup'!$K$5,".",IF(A6515=".",1,A6515+1))</f>
        <v>.</v>
      </c>
      <c r="B6516" s="431" t="str">
        <f t="shared" si="101"/>
        <v>Varicose VeinCCG of GP PracticeNHS CITY AND HACKNEY CCG (07T)EQ VAS</v>
      </c>
      <c r="C6516" t="s">
        <v>17</v>
      </c>
      <c r="D6516" t="s">
        <v>87</v>
      </c>
      <c r="E6516" t="s">
        <v>740</v>
      </c>
      <c r="F6516" t="s">
        <v>741</v>
      </c>
      <c r="G6516" t="s">
        <v>179</v>
      </c>
      <c r="H6516">
        <v>13</v>
      </c>
      <c r="I6516">
        <v>81.691999999999993</v>
      </c>
      <c r="J6516">
        <v>78.076999999999998</v>
      </c>
      <c r="K6516">
        <v>-3.6150000000000002</v>
      </c>
      <c r="L6516">
        <v>6</v>
      </c>
      <c r="M6516">
        <v>3</v>
      </c>
      <c r="N6516">
        <v>4</v>
      </c>
      <c r="O6516" t="s">
        <v>53</v>
      </c>
      <c r="P6516" t="s">
        <v>53</v>
      </c>
      <c r="Q6516" t="s">
        <v>53</v>
      </c>
    </row>
    <row r="6517" spans="1:17" x14ac:dyDescent="0.2">
      <c r="A6517" s="30" t="str">
        <f>IF(C6517&amp;G6517&amp;D6517&lt;&gt;'Funnel setup'!$K$3&amp;'Funnel setup'!$K$4&amp;'Funnel setup'!$K$5,".",IF(A6516=".",1,A6516+1))</f>
        <v>.</v>
      </c>
      <c r="B6517" s="431" t="str">
        <f t="shared" si="101"/>
        <v>Varicose VeinCCG of GP PracticeNHS COASTAL WEST SUSSEX CCG (09G)EQ VAS</v>
      </c>
      <c r="C6517" t="s">
        <v>17</v>
      </c>
      <c r="D6517" t="s">
        <v>87</v>
      </c>
      <c r="E6517" t="s">
        <v>743</v>
      </c>
      <c r="F6517" t="s">
        <v>744</v>
      </c>
      <c r="G6517" t="s">
        <v>179</v>
      </c>
      <c r="H6517">
        <v>16</v>
      </c>
      <c r="I6517">
        <v>69.875</v>
      </c>
      <c r="J6517">
        <v>75.875</v>
      </c>
      <c r="K6517">
        <v>6</v>
      </c>
      <c r="L6517">
        <v>8</v>
      </c>
      <c r="M6517">
        <v>2</v>
      </c>
      <c r="N6517">
        <v>6</v>
      </c>
      <c r="O6517" t="s">
        <v>53</v>
      </c>
      <c r="P6517" t="s">
        <v>53</v>
      </c>
      <c r="Q6517" t="s">
        <v>53</v>
      </c>
    </row>
    <row r="6518" spans="1:17" x14ac:dyDescent="0.2">
      <c r="A6518" s="30" t="str">
        <f>IF(C6518&amp;G6518&amp;D6518&lt;&gt;'Funnel setup'!$K$3&amp;'Funnel setup'!$K$4&amp;'Funnel setup'!$K$5,".",IF(A6517=".",1,A6517+1))</f>
        <v>.</v>
      </c>
      <c r="B6518" s="431" t="str">
        <f t="shared" si="101"/>
        <v>Varicose VeinCCG of GP PracticeNHS COVENTRY AND RUGBY CCG (05A)EQ VAS</v>
      </c>
      <c r="C6518" t="s">
        <v>17</v>
      </c>
      <c r="D6518" t="s">
        <v>87</v>
      </c>
      <c r="E6518" t="s">
        <v>749</v>
      </c>
      <c r="F6518" t="s">
        <v>750</v>
      </c>
      <c r="G6518" t="s">
        <v>179</v>
      </c>
      <c r="H6518">
        <v>11</v>
      </c>
      <c r="I6518">
        <v>86.090999999999994</v>
      </c>
      <c r="J6518">
        <v>81.817999999999998</v>
      </c>
      <c r="K6518">
        <v>-4.2729999999999997</v>
      </c>
      <c r="L6518">
        <v>1</v>
      </c>
      <c r="M6518">
        <v>3</v>
      </c>
      <c r="N6518">
        <v>7</v>
      </c>
      <c r="O6518" t="s">
        <v>53</v>
      </c>
      <c r="P6518" t="s">
        <v>53</v>
      </c>
      <c r="Q6518" t="s">
        <v>53</v>
      </c>
    </row>
    <row r="6519" spans="1:17" x14ac:dyDescent="0.2">
      <c r="A6519" s="30" t="str">
        <f>IF(C6519&amp;G6519&amp;D6519&lt;&gt;'Funnel setup'!$K$3&amp;'Funnel setup'!$K$4&amp;'Funnel setup'!$K$5,".",IF(A6518=".",1,A6518+1))</f>
        <v>.</v>
      </c>
      <c r="B6519" s="431" t="str">
        <f t="shared" si="101"/>
        <v>Varicose VeinCCG of GP PracticeNHS CRAWLEY CCG (09H)EQ VAS</v>
      </c>
      <c r="C6519" t="s">
        <v>17</v>
      </c>
      <c r="D6519" t="s">
        <v>87</v>
      </c>
      <c r="E6519" t="s">
        <v>752</v>
      </c>
      <c r="F6519" t="s">
        <v>753</v>
      </c>
      <c r="G6519" t="s">
        <v>179</v>
      </c>
      <c r="H6519">
        <v>17</v>
      </c>
      <c r="I6519">
        <v>72.941000000000003</v>
      </c>
      <c r="J6519">
        <v>76.647000000000006</v>
      </c>
      <c r="K6519">
        <v>3.706</v>
      </c>
      <c r="L6519">
        <v>9</v>
      </c>
      <c r="M6519">
        <v>3</v>
      </c>
      <c r="N6519">
        <v>5</v>
      </c>
      <c r="O6519" t="s">
        <v>53</v>
      </c>
      <c r="P6519" t="s">
        <v>53</v>
      </c>
      <c r="Q6519" t="s">
        <v>53</v>
      </c>
    </row>
    <row r="6520" spans="1:17" x14ac:dyDescent="0.2">
      <c r="A6520" s="30" t="str">
        <f>IF(C6520&amp;G6520&amp;D6520&lt;&gt;'Funnel setup'!$K$3&amp;'Funnel setup'!$K$4&amp;'Funnel setup'!$K$5,".",IF(A6519=".",1,A6519+1))</f>
        <v>.</v>
      </c>
      <c r="B6520" s="431" t="str">
        <f t="shared" si="101"/>
        <v>Varicose VeinCCG of GP PracticeNHS CROYDON CCG (07V)EQ VAS</v>
      </c>
      <c r="C6520" t="s">
        <v>17</v>
      </c>
      <c r="D6520" t="s">
        <v>87</v>
      </c>
      <c r="E6520" t="s">
        <v>755</v>
      </c>
      <c r="F6520" t="s">
        <v>756</v>
      </c>
      <c r="G6520" t="s">
        <v>179</v>
      </c>
      <c r="H6520" t="s">
        <v>53</v>
      </c>
      <c r="I6520" t="s">
        <v>53</v>
      </c>
      <c r="J6520" t="s">
        <v>53</v>
      </c>
      <c r="K6520" t="s">
        <v>53</v>
      </c>
      <c r="L6520" t="s">
        <v>53</v>
      </c>
      <c r="M6520" t="s">
        <v>53</v>
      </c>
      <c r="N6520" t="s">
        <v>53</v>
      </c>
      <c r="O6520" t="s">
        <v>53</v>
      </c>
      <c r="P6520" t="s">
        <v>53</v>
      </c>
      <c r="Q6520" t="s">
        <v>53</v>
      </c>
    </row>
    <row r="6521" spans="1:17" x14ac:dyDescent="0.2">
      <c r="A6521" s="30" t="str">
        <f>IF(C6521&amp;G6521&amp;D6521&lt;&gt;'Funnel setup'!$K$3&amp;'Funnel setup'!$K$4&amp;'Funnel setup'!$K$5,".",IF(A6520=".",1,A6520+1))</f>
        <v>.</v>
      </c>
      <c r="B6521" s="431" t="str">
        <f t="shared" si="101"/>
        <v>Varicose VeinCCG of GP PracticeNHS CUMBRIA CCG (01H)EQ VAS</v>
      </c>
      <c r="C6521" t="s">
        <v>17</v>
      </c>
      <c r="D6521" t="s">
        <v>87</v>
      </c>
      <c r="E6521" t="s">
        <v>758</v>
      </c>
      <c r="F6521" t="s">
        <v>759</v>
      </c>
      <c r="G6521" t="s">
        <v>179</v>
      </c>
      <c r="H6521">
        <v>57</v>
      </c>
      <c r="I6521">
        <v>82.350999999999999</v>
      </c>
      <c r="J6521">
        <v>82.438999999999993</v>
      </c>
      <c r="K6521">
        <v>8.7999999999999995E-2</v>
      </c>
      <c r="L6521">
        <v>23</v>
      </c>
      <c r="M6521">
        <v>14</v>
      </c>
      <c r="N6521">
        <v>20</v>
      </c>
      <c r="O6521">
        <v>79.852999999999994</v>
      </c>
      <c r="P6521">
        <v>0.88857850400000005</v>
      </c>
      <c r="Q6521">
        <v>8.4130000000000003</v>
      </c>
    </row>
    <row r="6522" spans="1:17" x14ac:dyDescent="0.2">
      <c r="A6522" s="30" t="str">
        <f>IF(C6522&amp;G6522&amp;D6522&lt;&gt;'Funnel setup'!$K$3&amp;'Funnel setup'!$K$4&amp;'Funnel setup'!$K$5,".",IF(A6521=".",1,A6521+1))</f>
        <v>.</v>
      </c>
      <c r="B6522" s="431" t="str">
        <f t="shared" si="101"/>
        <v>Varicose VeinCCG of GP PracticeNHS DARLINGTON CCG (00C)EQ VAS</v>
      </c>
      <c r="C6522" t="s">
        <v>17</v>
      </c>
      <c r="D6522" t="s">
        <v>87</v>
      </c>
      <c r="E6522" t="s">
        <v>761</v>
      </c>
      <c r="F6522" t="s">
        <v>762</v>
      </c>
      <c r="G6522" t="s">
        <v>179</v>
      </c>
      <c r="H6522">
        <v>7</v>
      </c>
      <c r="I6522">
        <v>79.286000000000001</v>
      </c>
      <c r="J6522">
        <v>82.713999999999999</v>
      </c>
      <c r="K6522">
        <v>3.4289999999999998</v>
      </c>
      <c r="L6522">
        <v>4</v>
      </c>
      <c r="M6522">
        <v>1</v>
      </c>
      <c r="N6522">
        <v>2</v>
      </c>
      <c r="O6522" t="s">
        <v>53</v>
      </c>
      <c r="P6522" t="s">
        <v>53</v>
      </c>
      <c r="Q6522" t="s">
        <v>53</v>
      </c>
    </row>
    <row r="6523" spans="1:17" x14ac:dyDescent="0.2">
      <c r="A6523" s="30" t="str">
        <f>IF(C6523&amp;G6523&amp;D6523&lt;&gt;'Funnel setup'!$K$3&amp;'Funnel setup'!$K$4&amp;'Funnel setup'!$K$5,".",IF(A6522=".",1,A6522+1))</f>
        <v>.</v>
      </c>
      <c r="B6523" s="431" t="str">
        <f t="shared" si="101"/>
        <v>Varicose VeinCCG of GP PracticeNHS DARTFORD, GRAVESHAM AND SWANLEY CCG (09J)EQ VAS</v>
      </c>
      <c r="C6523" t="s">
        <v>17</v>
      </c>
      <c r="D6523" t="s">
        <v>87</v>
      </c>
      <c r="E6523" t="s">
        <v>764</v>
      </c>
      <c r="F6523" t="s">
        <v>765</v>
      </c>
      <c r="G6523" t="s">
        <v>179</v>
      </c>
      <c r="H6523" t="s">
        <v>53</v>
      </c>
      <c r="I6523" t="s">
        <v>53</v>
      </c>
      <c r="J6523" t="s">
        <v>53</v>
      </c>
      <c r="K6523" t="s">
        <v>53</v>
      </c>
      <c r="L6523" t="s">
        <v>53</v>
      </c>
      <c r="M6523" t="s">
        <v>53</v>
      </c>
      <c r="N6523" t="s">
        <v>53</v>
      </c>
      <c r="O6523" t="s">
        <v>53</v>
      </c>
      <c r="P6523" t="s">
        <v>53</v>
      </c>
      <c r="Q6523" t="s">
        <v>53</v>
      </c>
    </row>
    <row r="6524" spans="1:17" x14ac:dyDescent="0.2">
      <c r="A6524" s="30" t="str">
        <f>IF(C6524&amp;G6524&amp;D6524&lt;&gt;'Funnel setup'!$K$3&amp;'Funnel setup'!$K$4&amp;'Funnel setup'!$K$5,".",IF(A6523=".",1,A6523+1))</f>
        <v>.</v>
      </c>
      <c r="B6524" s="431" t="str">
        <f t="shared" si="101"/>
        <v>Varicose VeinCCG of GP PracticeNHS DONCASTER CCG (02X)EQ VAS</v>
      </c>
      <c r="C6524" t="s">
        <v>17</v>
      </c>
      <c r="D6524" t="s">
        <v>87</v>
      </c>
      <c r="E6524" t="s">
        <v>767</v>
      </c>
      <c r="F6524" t="s">
        <v>768</v>
      </c>
      <c r="G6524" t="s">
        <v>179</v>
      </c>
      <c r="H6524">
        <v>17</v>
      </c>
      <c r="I6524">
        <v>83.765000000000001</v>
      </c>
      <c r="J6524">
        <v>86.882000000000005</v>
      </c>
      <c r="K6524">
        <v>3.1179999999999999</v>
      </c>
      <c r="L6524">
        <v>6</v>
      </c>
      <c r="M6524">
        <v>5</v>
      </c>
      <c r="N6524">
        <v>6</v>
      </c>
      <c r="O6524" t="s">
        <v>53</v>
      </c>
      <c r="P6524" t="s">
        <v>53</v>
      </c>
      <c r="Q6524" t="s">
        <v>53</v>
      </c>
    </row>
    <row r="6525" spans="1:17" x14ac:dyDescent="0.2">
      <c r="A6525" s="30" t="str">
        <f>IF(C6525&amp;G6525&amp;D6525&lt;&gt;'Funnel setup'!$K$3&amp;'Funnel setup'!$K$4&amp;'Funnel setup'!$K$5,".",IF(A6524=".",1,A6524+1))</f>
        <v>.</v>
      </c>
      <c r="B6525" s="431" t="str">
        <f t="shared" si="101"/>
        <v>Varicose VeinCCG of GP PracticeNHS DORSET CCG (11J)EQ VAS</v>
      </c>
      <c r="C6525" t="s">
        <v>17</v>
      </c>
      <c r="D6525" t="s">
        <v>87</v>
      </c>
      <c r="E6525" t="s">
        <v>854</v>
      </c>
      <c r="F6525" t="s">
        <v>855</v>
      </c>
      <c r="G6525" t="s">
        <v>179</v>
      </c>
      <c r="H6525">
        <v>54</v>
      </c>
      <c r="I6525">
        <v>76.721999999999994</v>
      </c>
      <c r="J6525">
        <v>74.019000000000005</v>
      </c>
      <c r="K6525">
        <v>-2.7040000000000002</v>
      </c>
      <c r="L6525">
        <v>21</v>
      </c>
      <c r="M6525">
        <v>8</v>
      </c>
      <c r="N6525">
        <v>25</v>
      </c>
      <c r="O6525">
        <v>76.61</v>
      </c>
      <c r="P6525">
        <v>-2.3541772230000002</v>
      </c>
      <c r="Q6525">
        <v>14.651</v>
      </c>
    </row>
    <row r="6526" spans="1:17" x14ac:dyDescent="0.2">
      <c r="A6526" s="30" t="str">
        <f>IF(C6526&amp;G6526&amp;D6526&lt;&gt;'Funnel setup'!$K$3&amp;'Funnel setup'!$K$4&amp;'Funnel setup'!$K$5,".",IF(A6525=".",1,A6525+1))</f>
        <v>.</v>
      </c>
      <c r="B6526" s="431" t="str">
        <f t="shared" si="101"/>
        <v>Varicose VeinCCG of GP PracticeNHS DUDLEY CCG (05C)EQ VAS</v>
      </c>
      <c r="C6526" t="s">
        <v>17</v>
      </c>
      <c r="D6526" t="s">
        <v>87</v>
      </c>
      <c r="E6526" t="s">
        <v>857</v>
      </c>
      <c r="F6526" t="s">
        <v>858</v>
      </c>
      <c r="G6526" t="s">
        <v>179</v>
      </c>
      <c r="H6526">
        <v>104</v>
      </c>
      <c r="I6526">
        <v>79.183000000000007</v>
      </c>
      <c r="J6526">
        <v>76.423000000000002</v>
      </c>
      <c r="K6526">
        <v>-2.76</v>
      </c>
      <c r="L6526">
        <v>32</v>
      </c>
      <c r="M6526">
        <v>20</v>
      </c>
      <c r="N6526">
        <v>52</v>
      </c>
      <c r="O6526">
        <v>76.789000000000001</v>
      </c>
      <c r="P6526">
        <v>-2.1754261650000002</v>
      </c>
      <c r="Q6526">
        <v>12.585000000000001</v>
      </c>
    </row>
    <row r="6527" spans="1:17" x14ac:dyDescent="0.2">
      <c r="A6527" s="30" t="str">
        <f>IF(C6527&amp;G6527&amp;D6527&lt;&gt;'Funnel setup'!$K$3&amp;'Funnel setup'!$K$4&amp;'Funnel setup'!$K$5,".",IF(A6526=".",1,A6526+1))</f>
        <v>.</v>
      </c>
      <c r="B6527" s="431" t="str">
        <f t="shared" si="101"/>
        <v>Varicose VeinCCG of GP PracticeNHS DURHAM DALES, EASINGTON AND SEDGEFIELD CCG (00D)EQ VAS</v>
      </c>
      <c r="C6527" t="s">
        <v>17</v>
      </c>
      <c r="D6527" t="s">
        <v>87</v>
      </c>
      <c r="E6527" t="s">
        <v>860</v>
      </c>
      <c r="F6527" t="s">
        <v>861</v>
      </c>
      <c r="G6527" t="s">
        <v>179</v>
      </c>
      <c r="H6527">
        <v>34</v>
      </c>
      <c r="I6527">
        <v>83.823999999999998</v>
      </c>
      <c r="J6527">
        <v>78.352999999999994</v>
      </c>
      <c r="K6527">
        <v>-5.4710000000000001</v>
      </c>
      <c r="L6527">
        <v>5</v>
      </c>
      <c r="M6527">
        <v>9</v>
      </c>
      <c r="N6527">
        <v>20</v>
      </c>
      <c r="O6527">
        <v>77.304000000000002</v>
      </c>
      <c r="P6527">
        <v>-1.659853201</v>
      </c>
      <c r="Q6527">
        <v>9.6359999999999992</v>
      </c>
    </row>
    <row r="6528" spans="1:17" x14ac:dyDescent="0.2">
      <c r="A6528" s="30" t="str">
        <f>IF(C6528&amp;G6528&amp;D6528&lt;&gt;'Funnel setup'!$K$3&amp;'Funnel setup'!$K$4&amp;'Funnel setup'!$K$5,".",IF(A6527=".",1,A6527+1))</f>
        <v>.</v>
      </c>
      <c r="B6528" s="431" t="str">
        <f t="shared" si="101"/>
        <v>Varicose VeinCCG of GP PracticeNHS EALING CCG (07W)EQ VAS</v>
      </c>
      <c r="C6528" t="s">
        <v>17</v>
      </c>
      <c r="D6528" t="s">
        <v>87</v>
      </c>
      <c r="E6528" t="s">
        <v>863</v>
      </c>
      <c r="F6528" t="s">
        <v>864</v>
      </c>
      <c r="G6528" t="s">
        <v>179</v>
      </c>
      <c r="H6528">
        <v>25</v>
      </c>
      <c r="I6528">
        <v>73.72</v>
      </c>
      <c r="J6528">
        <v>67.64</v>
      </c>
      <c r="K6528">
        <v>-6.08</v>
      </c>
      <c r="L6528">
        <v>8</v>
      </c>
      <c r="M6528">
        <v>4</v>
      </c>
      <c r="N6528">
        <v>13</v>
      </c>
      <c r="O6528" t="s">
        <v>53</v>
      </c>
      <c r="P6528" t="s">
        <v>53</v>
      </c>
      <c r="Q6528" t="s">
        <v>53</v>
      </c>
    </row>
    <row r="6529" spans="1:17" x14ac:dyDescent="0.2">
      <c r="A6529" s="30" t="str">
        <f>IF(C6529&amp;G6529&amp;D6529&lt;&gt;'Funnel setup'!$K$3&amp;'Funnel setup'!$K$4&amp;'Funnel setup'!$K$5,".",IF(A6528=".",1,A6528+1))</f>
        <v>.</v>
      </c>
      <c r="B6529" s="431" t="str">
        <f t="shared" si="101"/>
        <v>Varicose VeinCCG of GP PracticeNHS EAST AND NORTH HERTFORDSHIRE CCG (06K)EQ VAS</v>
      </c>
      <c r="C6529" t="s">
        <v>17</v>
      </c>
      <c r="D6529" t="s">
        <v>87</v>
      </c>
      <c r="E6529" t="s">
        <v>866</v>
      </c>
      <c r="F6529" t="s">
        <v>867</v>
      </c>
      <c r="G6529" t="s">
        <v>179</v>
      </c>
      <c r="H6529">
        <v>28</v>
      </c>
      <c r="I6529">
        <v>75.963999999999999</v>
      </c>
      <c r="J6529">
        <v>71</v>
      </c>
      <c r="K6529">
        <v>-4.9640000000000004</v>
      </c>
      <c r="L6529">
        <v>11</v>
      </c>
      <c r="M6529">
        <v>3</v>
      </c>
      <c r="N6529">
        <v>14</v>
      </c>
      <c r="O6529" t="s">
        <v>53</v>
      </c>
      <c r="P6529" t="s">
        <v>53</v>
      </c>
      <c r="Q6529" t="s">
        <v>53</v>
      </c>
    </row>
    <row r="6530" spans="1:17" x14ac:dyDescent="0.2">
      <c r="A6530" s="30" t="str">
        <f>IF(C6530&amp;G6530&amp;D6530&lt;&gt;'Funnel setup'!$K$3&amp;'Funnel setup'!$K$4&amp;'Funnel setup'!$K$5,".",IF(A6529=".",1,A6529+1))</f>
        <v>.</v>
      </c>
      <c r="B6530" s="431" t="str">
        <f t="shared" si="101"/>
        <v>Varicose VeinCCG of GP PracticeNHS EAST LANCASHIRE CCG (01A)EQ VAS</v>
      </c>
      <c r="C6530" t="s">
        <v>17</v>
      </c>
      <c r="D6530" t="s">
        <v>87</v>
      </c>
      <c r="E6530" t="s">
        <v>869</v>
      </c>
      <c r="F6530" t="s">
        <v>870</v>
      </c>
      <c r="G6530" t="s">
        <v>179</v>
      </c>
      <c r="H6530">
        <v>101</v>
      </c>
      <c r="I6530">
        <v>77.722999999999999</v>
      </c>
      <c r="J6530">
        <v>77.831999999999994</v>
      </c>
      <c r="K6530">
        <v>0.109</v>
      </c>
      <c r="L6530">
        <v>38</v>
      </c>
      <c r="M6530">
        <v>25</v>
      </c>
      <c r="N6530">
        <v>38</v>
      </c>
      <c r="O6530">
        <v>77.8</v>
      </c>
      <c r="P6530">
        <v>-1.164061547</v>
      </c>
      <c r="Q6530">
        <v>12.913</v>
      </c>
    </row>
    <row r="6531" spans="1:17" x14ac:dyDescent="0.2">
      <c r="A6531" s="30" t="str">
        <f>IF(C6531&amp;G6531&amp;D6531&lt;&gt;'Funnel setup'!$K$3&amp;'Funnel setup'!$K$4&amp;'Funnel setup'!$K$5,".",IF(A6530=".",1,A6530+1))</f>
        <v>.</v>
      </c>
      <c r="B6531" s="431" t="str">
        <f t="shared" ref="B6531:B6594" si="102">C6531&amp;D6531&amp;F6531&amp;G6531</f>
        <v>Varicose VeinCCG of GP PracticeNHS EAST LEICESTERSHIRE AND RUTLAND CCG (03W)EQ VAS</v>
      </c>
      <c r="C6531" t="s">
        <v>17</v>
      </c>
      <c r="D6531" t="s">
        <v>87</v>
      </c>
      <c r="E6531" t="s">
        <v>872</v>
      </c>
      <c r="F6531" t="s">
        <v>873</v>
      </c>
      <c r="G6531" t="s">
        <v>179</v>
      </c>
      <c r="H6531">
        <v>21</v>
      </c>
      <c r="I6531">
        <v>76.094999999999999</v>
      </c>
      <c r="J6531">
        <v>79.429000000000002</v>
      </c>
      <c r="K6531">
        <v>3.3330000000000002</v>
      </c>
      <c r="L6531">
        <v>12</v>
      </c>
      <c r="M6531">
        <v>6</v>
      </c>
      <c r="N6531">
        <v>3</v>
      </c>
      <c r="O6531" t="s">
        <v>53</v>
      </c>
      <c r="P6531" t="s">
        <v>53</v>
      </c>
      <c r="Q6531" t="s">
        <v>53</v>
      </c>
    </row>
    <row r="6532" spans="1:17" x14ac:dyDescent="0.2">
      <c r="A6532" s="30" t="str">
        <f>IF(C6532&amp;G6532&amp;D6532&lt;&gt;'Funnel setup'!$K$3&amp;'Funnel setup'!$K$4&amp;'Funnel setup'!$K$5,".",IF(A6531=".",1,A6531+1))</f>
        <v>.</v>
      </c>
      <c r="B6532" s="431" t="str">
        <f t="shared" si="102"/>
        <v>Varicose VeinCCG of GP PracticeNHS EAST RIDING OF YORKSHIRE CCG (02Y)EQ VAS</v>
      </c>
      <c r="C6532" t="s">
        <v>17</v>
      </c>
      <c r="D6532" t="s">
        <v>87</v>
      </c>
      <c r="E6532" t="s">
        <v>875</v>
      </c>
      <c r="F6532" t="s">
        <v>876</v>
      </c>
      <c r="G6532" t="s">
        <v>179</v>
      </c>
      <c r="H6532">
        <v>58</v>
      </c>
      <c r="I6532">
        <v>81.638000000000005</v>
      </c>
      <c r="J6532">
        <v>81.19</v>
      </c>
      <c r="K6532">
        <v>-0.44800000000000001</v>
      </c>
      <c r="L6532">
        <v>23</v>
      </c>
      <c r="M6532">
        <v>10</v>
      </c>
      <c r="N6532">
        <v>25</v>
      </c>
      <c r="O6532">
        <v>79.662000000000006</v>
      </c>
      <c r="P6532">
        <v>0.69782387000000001</v>
      </c>
      <c r="Q6532">
        <v>15.907</v>
      </c>
    </row>
    <row r="6533" spans="1:17" x14ac:dyDescent="0.2">
      <c r="A6533" s="30" t="str">
        <f>IF(C6533&amp;G6533&amp;D6533&lt;&gt;'Funnel setup'!$K$3&amp;'Funnel setup'!$K$4&amp;'Funnel setup'!$K$5,".",IF(A6532=".",1,A6532+1))</f>
        <v>.</v>
      </c>
      <c r="B6533" s="431" t="str">
        <f t="shared" si="102"/>
        <v>Varicose VeinCCG of GP PracticeNHS EAST STAFFORDSHIRE CCG (05D)EQ VAS</v>
      </c>
      <c r="C6533" t="s">
        <v>17</v>
      </c>
      <c r="D6533" t="s">
        <v>87</v>
      </c>
      <c r="E6533" t="s">
        <v>878</v>
      </c>
      <c r="F6533" t="s">
        <v>879</v>
      </c>
      <c r="G6533" t="s">
        <v>179</v>
      </c>
      <c r="H6533">
        <v>9</v>
      </c>
      <c r="I6533">
        <v>83.555999999999997</v>
      </c>
      <c r="J6533">
        <v>82</v>
      </c>
      <c r="K6533">
        <v>-1.556</v>
      </c>
      <c r="L6533">
        <v>3</v>
      </c>
      <c r="M6533">
        <v>1</v>
      </c>
      <c r="N6533">
        <v>5</v>
      </c>
      <c r="O6533" t="s">
        <v>53</v>
      </c>
      <c r="P6533" t="s">
        <v>53</v>
      </c>
      <c r="Q6533" t="s">
        <v>53</v>
      </c>
    </row>
    <row r="6534" spans="1:17" x14ac:dyDescent="0.2">
      <c r="A6534" s="30" t="str">
        <f>IF(C6534&amp;G6534&amp;D6534&lt;&gt;'Funnel setup'!$K$3&amp;'Funnel setup'!$K$4&amp;'Funnel setup'!$K$5,".",IF(A6533=".",1,A6533+1))</f>
        <v>.</v>
      </c>
      <c r="B6534" s="431" t="str">
        <f t="shared" si="102"/>
        <v>Varicose VeinCCG of GP PracticeNHS EAST SURREY CCG (09L)EQ VAS</v>
      </c>
      <c r="C6534" t="s">
        <v>17</v>
      </c>
      <c r="D6534" t="s">
        <v>87</v>
      </c>
      <c r="E6534" t="s">
        <v>881</v>
      </c>
      <c r="F6534" t="s">
        <v>882</v>
      </c>
      <c r="G6534" t="s">
        <v>179</v>
      </c>
      <c r="H6534">
        <v>16</v>
      </c>
      <c r="I6534">
        <v>78.5</v>
      </c>
      <c r="J6534">
        <v>77.938000000000002</v>
      </c>
      <c r="K6534">
        <v>-0.56299999999999994</v>
      </c>
      <c r="L6534">
        <v>8</v>
      </c>
      <c r="M6534">
        <v>3</v>
      </c>
      <c r="N6534">
        <v>5</v>
      </c>
      <c r="O6534" t="s">
        <v>53</v>
      </c>
      <c r="P6534" t="s">
        <v>53</v>
      </c>
      <c r="Q6534" t="s">
        <v>53</v>
      </c>
    </row>
    <row r="6535" spans="1:17" x14ac:dyDescent="0.2">
      <c r="A6535" s="30" t="str">
        <f>IF(C6535&amp;G6535&amp;D6535&lt;&gt;'Funnel setup'!$K$3&amp;'Funnel setup'!$K$4&amp;'Funnel setup'!$K$5,".",IF(A6534=".",1,A6534+1))</f>
        <v>.</v>
      </c>
      <c r="B6535" s="431" t="str">
        <f t="shared" si="102"/>
        <v>Varicose VeinCCG of GP PracticeNHS EASTBOURNE, HAILSHAM AND SEAFORD CCG (09F)EQ VAS</v>
      </c>
      <c r="C6535" t="s">
        <v>17</v>
      </c>
      <c r="D6535" t="s">
        <v>87</v>
      </c>
      <c r="E6535" t="s">
        <v>884</v>
      </c>
      <c r="F6535" t="s">
        <v>885</v>
      </c>
      <c r="G6535" t="s">
        <v>179</v>
      </c>
      <c r="H6535">
        <v>11</v>
      </c>
      <c r="I6535">
        <v>80.272999999999996</v>
      </c>
      <c r="J6535">
        <v>77.364000000000004</v>
      </c>
      <c r="K6535">
        <v>-2.9089999999999998</v>
      </c>
      <c r="L6535">
        <v>6</v>
      </c>
      <c r="M6535">
        <v>1</v>
      </c>
      <c r="N6535">
        <v>4</v>
      </c>
      <c r="O6535" t="s">
        <v>53</v>
      </c>
      <c r="P6535" t="s">
        <v>53</v>
      </c>
      <c r="Q6535" t="s">
        <v>53</v>
      </c>
    </row>
    <row r="6536" spans="1:17" x14ac:dyDescent="0.2">
      <c r="A6536" s="30" t="str">
        <f>IF(C6536&amp;G6536&amp;D6536&lt;&gt;'Funnel setup'!$K$3&amp;'Funnel setup'!$K$4&amp;'Funnel setup'!$K$5,".",IF(A6535=".",1,A6535+1))</f>
        <v>.</v>
      </c>
      <c r="B6536" s="431" t="str">
        <f t="shared" si="102"/>
        <v>Varicose VeinCCG of GP PracticeNHS EASTERN CHESHIRE CCG (01C)EQ VAS</v>
      </c>
      <c r="C6536" t="s">
        <v>17</v>
      </c>
      <c r="D6536" t="s">
        <v>87</v>
      </c>
      <c r="E6536" t="s">
        <v>887</v>
      </c>
      <c r="F6536" t="s">
        <v>888</v>
      </c>
      <c r="G6536" t="s">
        <v>179</v>
      </c>
      <c r="H6536">
        <v>34</v>
      </c>
      <c r="I6536">
        <v>82.647000000000006</v>
      </c>
      <c r="J6536">
        <v>85.412000000000006</v>
      </c>
      <c r="K6536">
        <v>2.7650000000000001</v>
      </c>
      <c r="L6536">
        <v>20</v>
      </c>
      <c r="M6536">
        <v>5</v>
      </c>
      <c r="N6536">
        <v>9</v>
      </c>
      <c r="O6536">
        <v>82.459000000000003</v>
      </c>
      <c r="P6536">
        <v>3.4952283020000001</v>
      </c>
      <c r="Q6536">
        <v>7.87</v>
      </c>
    </row>
    <row r="6537" spans="1:17" x14ac:dyDescent="0.2">
      <c r="A6537" s="30" t="str">
        <f>IF(C6537&amp;G6537&amp;D6537&lt;&gt;'Funnel setup'!$K$3&amp;'Funnel setup'!$K$4&amp;'Funnel setup'!$K$5,".",IF(A6536=".",1,A6536+1))</f>
        <v>.</v>
      </c>
      <c r="B6537" s="431" t="str">
        <f t="shared" si="102"/>
        <v>Varicose VeinCCG of GP PracticeNHS ENFIELD CCG (07X)EQ VAS</v>
      </c>
      <c r="C6537" t="s">
        <v>17</v>
      </c>
      <c r="D6537" t="s">
        <v>87</v>
      </c>
      <c r="E6537" t="s">
        <v>890</v>
      </c>
      <c r="F6537" t="s">
        <v>891</v>
      </c>
      <c r="G6537" t="s">
        <v>179</v>
      </c>
      <c r="H6537">
        <v>12</v>
      </c>
      <c r="I6537">
        <v>75.5</v>
      </c>
      <c r="J6537">
        <v>72.75</v>
      </c>
      <c r="K6537">
        <v>-2.75</v>
      </c>
      <c r="L6537">
        <v>4</v>
      </c>
      <c r="M6537">
        <v>3</v>
      </c>
      <c r="N6537">
        <v>5</v>
      </c>
      <c r="O6537" t="s">
        <v>53</v>
      </c>
      <c r="P6537" t="s">
        <v>53</v>
      </c>
      <c r="Q6537" t="s">
        <v>53</v>
      </c>
    </row>
    <row r="6538" spans="1:17" x14ac:dyDescent="0.2">
      <c r="A6538" s="30" t="str">
        <f>IF(C6538&amp;G6538&amp;D6538&lt;&gt;'Funnel setup'!$K$3&amp;'Funnel setup'!$K$4&amp;'Funnel setup'!$K$5,".",IF(A6537=".",1,A6537+1))</f>
        <v>.</v>
      </c>
      <c r="B6538" s="431" t="str">
        <f t="shared" si="102"/>
        <v>Varicose VeinCCG of GP PracticeNHS EREWASH CCG (03X)EQ VAS</v>
      </c>
      <c r="C6538" t="s">
        <v>17</v>
      </c>
      <c r="D6538" t="s">
        <v>87</v>
      </c>
      <c r="E6538" t="s">
        <v>893</v>
      </c>
      <c r="F6538" t="s">
        <v>894</v>
      </c>
      <c r="G6538" t="s">
        <v>179</v>
      </c>
      <c r="H6538">
        <v>13</v>
      </c>
      <c r="I6538">
        <v>66.846000000000004</v>
      </c>
      <c r="J6538">
        <v>66.923000000000002</v>
      </c>
      <c r="K6538">
        <v>7.6999999999999999E-2</v>
      </c>
      <c r="L6538">
        <v>6</v>
      </c>
      <c r="M6538">
        <v>2</v>
      </c>
      <c r="N6538">
        <v>5</v>
      </c>
      <c r="O6538" t="s">
        <v>53</v>
      </c>
      <c r="P6538" t="s">
        <v>53</v>
      </c>
      <c r="Q6538" t="s">
        <v>53</v>
      </c>
    </row>
    <row r="6539" spans="1:17" x14ac:dyDescent="0.2">
      <c r="A6539" s="30" t="str">
        <f>IF(C6539&amp;G6539&amp;D6539&lt;&gt;'Funnel setup'!$K$3&amp;'Funnel setup'!$K$4&amp;'Funnel setup'!$K$5,".",IF(A6538=".",1,A6538+1))</f>
        <v>.</v>
      </c>
      <c r="B6539" s="431" t="str">
        <f t="shared" si="102"/>
        <v>Varicose VeinCCG of GP PracticeNHS FAREHAM AND GOSPORT CCG (10K)EQ VAS</v>
      </c>
      <c r="C6539" t="s">
        <v>17</v>
      </c>
      <c r="D6539" t="s">
        <v>87</v>
      </c>
      <c r="E6539" t="s">
        <v>896</v>
      </c>
      <c r="F6539" t="s">
        <v>897</v>
      </c>
      <c r="G6539" t="s">
        <v>179</v>
      </c>
      <c r="H6539" t="s">
        <v>53</v>
      </c>
      <c r="I6539" t="s">
        <v>53</v>
      </c>
      <c r="J6539" t="s">
        <v>53</v>
      </c>
      <c r="K6539" t="s">
        <v>53</v>
      </c>
      <c r="L6539" t="s">
        <v>53</v>
      </c>
      <c r="M6539" t="s">
        <v>53</v>
      </c>
      <c r="N6539" t="s">
        <v>53</v>
      </c>
      <c r="O6539" t="s">
        <v>53</v>
      </c>
      <c r="P6539" t="s">
        <v>53</v>
      </c>
      <c r="Q6539" t="s">
        <v>53</v>
      </c>
    </row>
    <row r="6540" spans="1:17" x14ac:dyDescent="0.2">
      <c r="A6540" s="30" t="str">
        <f>IF(C6540&amp;G6540&amp;D6540&lt;&gt;'Funnel setup'!$K$3&amp;'Funnel setup'!$K$4&amp;'Funnel setup'!$K$5,".",IF(A6539=".",1,A6539+1))</f>
        <v>.</v>
      </c>
      <c r="B6540" s="431" t="str">
        <f t="shared" si="102"/>
        <v>Varicose VeinCCG of GP PracticeNHS FYLDE &amp; WYRE CCG (02M)EQ VAS</v>
      </c>
      <c r="C6540" t="s">
        <v>17</v>
      </c>
      <c r="D6540" t="s">
        <v>87</v>
      </c>
      <c r="E6540" t="s">
        <v>899</v>
      </c>
      <c r="F6540" t="s">
        <v>900</v>
      </c>
      <c r="G6540" t="s">
        <v>179</v>
      </c>
      <c r="H6540">
        <v>10</v>
      </c>
      <c r="I6540">
        <v>86.1</v>
      </c>
      <c r="J6540">
        <v>82.3</v>
      </c>
      <c r="K6540">
        <v>-3.8</v>
      </c>
      <c r="L6540">
        <v>1</v>
      </c>
      <c r="M6540">
        <v>3</v>
      </c>
      <c r="N6540">
        <v>6</v>
      </c>
      <c r="O6540" t="s">
        <v>53</v>
      </c>
      <c r="P6540" t="s">
        <v>53</v>
      </c>
      <c r="Q6540" t="s">
        <v>53</v>
      </c>
    </row>
    <row r="6541" spans="1:17" x14ac:dyDescent="0.2">
      <c r="A6541" s="30" t="str">
        <f>IF(C6541&amp;G6541&amp;D6541&lt;&gt;'Funnel setup'!$K$3&amp;'Funnel setup'!$K$4&amp;'Funnel setup'!$K$5,".",IF(A6540=".",1,A6540+1))</f>
        <v>.</v>
      </c>
      <c r="B6541" s="431" t="str">
        <f t="shared" si="102"/>
        <v>Varicose VeinCCG of GP PracticeNHS GLOUCESTERSHIRE CCG (11M)EQ VAS</v>
      </c>
      <c r="C6541" t="s">
        <v>17</v>
      </c>
      <c r="D6541" t="s">
        <v>87</v>
      </c>
      <c r="E6541" t="s">
        <v>902</v>
      </c>
      <c r="F6541" t="s">
        <v>903</v>
      </c>
      <c r="G6541" t="s">
        <v>179</v>
      </c>
      <c r="H6541">
        <v>78</v>
      </c>
      <c r="I6541">
        <v>83.41</v>
      </c>
      <c r="J6541">
        <v>84.795000000000002</v>
      </c>
      <c r="K6541">
        <v>1.385</v>
      </c>
      <c r="L6541">
        <v>30</v>
      </c>
      <c r="M6541">
        <v>23</v>
      </c>
      <c r="N6541">
        <v>25</v>
      </c>
      <c r="O6541">
        <v>80.525999999999996</v>
      </c>
      <c r="P6541">
        <v>1.5622840929999999</v>
      </c>
      <c r="Q6541">
        <v>11.087999999999999</v>
      </c>
    </row>
    <row r="6542" spans="1:17" x14ac:dyDescent="0.2">
      <c r="A6542" s="30" t="str">
        <f>IF(C6542&amp;G6542&amp;D6542&lt;&gt;'Funnel setup'!$K$3&amp;'Funnel setup'!$K$4&amp;'Funnel setup'!$K$5,".",IF(A6541=".",1,A6541+1))</f>
        <v>.</v>
      </c>
      <c r="B6542" s="431" t="str">
        <f t="shared" si="102"/>
        <v>Varicose VeinCCG of GP PracticeNHS GREAT YARMOUTH AND WAVENEY CCG (06M)EQ VAS</v>
      </c>
      <c r="C6542" t="s">
        <v>17</v>
      </c>
      <c r="D6542" t="s">
        <v>87</v>
      </c>
      <c r="E6542" t="s">
        <v>905</v>
      </c>
      <c r="F6542" t="s">
        <v>906</v>
      </c>
      <c r="G6542" t="s">
        <v>179</v>
      </c>
      <c r="H6542">
        <v>44</v>
      </c>
      <c r="I6542">
        <v>82.75</v>
      </c>
      <c r="J6542">
        <v>83.159000000000006</v>
      </c>
      <c r="K6542">
        <v>0.40899999999999997</v>
      </c>
      <c r="L6542">
        <v>21</v>
      </c>
      <c r="M6542">
        <v>11</v>
      </c>
      <c r="N6542">
        <v>12</v>
      </c>
      <c r="O6542">
        <v>80.433999999999997</v>
      </c>
      <c r="P6542">
        <v>1.470455509</v>
      </c>
      <c r="Q6542">
        <v>10.999000000000001</v>
      </c>
    </row>
    <row r="6543" spans="1:17" x14ac:dyDescent="0.2">
      <c r="A6543" s="30" t="str">
        <f>IF(C6543&amp;G6543&amp;D6543&lt;&gt;'Funnel setup'!$K$3&amp;'Funnel setup'!$K$4&amp;'Funnel setup'!$K$5,".",IF(A6542=".",1,A6542+1))</f>
        <v>.</v>
      </c>
      <c r="B6543" s="431" t="str">
        <f t="shared" si="102"/>
        <v>Varicose VeinCCG of GP PracticeNHS GREATER HUDDERSFIELD CCG (03A)EQ VAS</v>
      </c>
      <c r="C6543" t="s">
        <v>17</v>
      </c>
      <c r="D6543" t="s">
        <v>87</v>
      </c>
      <c r="E6543" t="s">
        <v>908</v>
      </c>
      <c r="F6543" t="s">
        <v>909</v>
      </c>
      <c r="G6543" t="s">
        <v>179</v>
      </c>
      <c r="H6543">
        <v>63</v>
      </c>
      <c r="I6543">
        <v>84.429000000000002</v>
      </c>
      <c r="J6543">
        <v>80.650999999999996</v>
      </c>
      <c r="K6543">
        <v>-3.778</v>
      </c>
      <c r="L6543">
        <v>18</v>
      </c>
      <c r="M6543">
        <v>18</v>
      </c>
      <c r="N6543">
        <v>27</v>
      </c>
      <c r="O6543">
        <v>77.933999999999997</v>
      </c>
      <c r="P6543">
        <v>-1.029787526</v>
      </c>
      <c r="Q6543">
        <v>11.167</v>
      </c>
    </row>
    <row r="6544" spans="1:17" x14ac:dyDescent="0.2">
      <c r="A6544" s="30" t="str">
        <f>IF(C6544&amp;G6544&amp;D6544&lt;&gt;'Funnel setup'!$K$3&amp;'Funnel setup'!$K$4&amp;'Funnel setup'!$K$5,".",IF(A6543=".",1,A6543+1))</f>
        <v>.</v>
      </c>
      <c r="B6544" s="431" t="str">
        <f t="shared" si="102"/>
        <v>Varicose VeinCCG of GP PracticeNHS GREATER PRESTON CCG (01E)EQ VAS</v>
      </c>
      <c r="C6544" t="s">
        <v>17</v>
      </c>
      <c r="D6544" t="s">
        <v>87</v>
      </c>
      <c r="E6544" t="s">
        <v>486</v>
      </c>
      <c r="F6544" t="s">
        <v>487</v>
      </c>
      <c r="G6544" t="s">
        <v>179</v>
      </c>
      <c r="H6544">
        <v>39</v>
      </c>
      <c r="I6544">
        <v>86.462000000000003</v>
      </c>
      <c r="J6544">
        <v>82.718000000000004</v>
      </c>
      <c r="K6544">
        <v>-3.7440000000000002</v>
      </c>
      <c r="L6544">
        <v>11</v>
      </c>
      <c r="M6544">
        <v>11</v>
      </c>
      <c r="N6544">
        <v>17</v>
      </c>
      <c r="O6544">
        <v>77.123000000000005</v>
      </c>
      <c r="P6544">
        <v>-1.8410518810000001</v>
      </c>
      <c r="Q6544">
        <v>14.141</v>
      </c>
    </row>
    <row r="6545" spans="1:17" x14ac:dyDescent="0.2">
      <c r="A6545" s="30" t="str">
        <f>IF(C6545&amp;G6545&amp;D6545&lt;&gt;'Funnel setup'!$K$3&amp;'Funnel setup'!$K$4&amp;'Funnel setup'!$K$5,".",IF(A6544=".",1,A6544+1))</f>
        <v>.</v>
      </c>
      <c r="B6545" s="431" t="str">
        <f t="shared" si="102"/>
        <v>Varicose VeinCCG of GP PracticeNHS GREENWICH CCG (08A)EQ VAS</v>
      </c>
      <c r="C6545" t="s">
        <v>17</v>
      </c>
      <c r="D6545" t="s">
        <v>87</v>
      </c>
      <c r="E6545" t="s">
        <v>489</v>
      </c>
      <c r="F6545" t="s">
        <v>490</v>
      </c>
      <c r="G6545" t="s">
        <v>179</v>
      </c>
      <c r="H6545">
        <v>31</v>
      </c>
      <c r="I6545">
        <v>74.194000000000003</v>
      </c>
      <c r="J6545">
        <v>74.064999999999998</v>
      </c>
      <c r="K6545">
        <v>-0.129</v>
      </c>
      <c r="L6545">
        <v>10</v>
      </c>
      <c r="M6545">
        <v>11</v>
      </c>
      <c r="N6545">
        <v>10</v>
      </c>
      <c r="O6545">
        <v>77.662000000000006</v>
      </c>
      <c r="P6545">
        <v>-1.3022165370000001</v>
      </c>
      <c r="Q6545">
        <v>13.557</v>
      </c>
    </row>
    <row r="6546" spans="1:17" x14ac:dyDescent="0.2">
      <c r="A6546" s="30" t="str">
        <f>IF(C6546&amp;G6546&amp;D6546&lt;&gt;'Funnel setup'!$K$3&amp;'Funnel setup'!$K$4&amp;'Funnel setup'!$K$5,".",IF(A6545=".",1,A6545+1))</f>
        <v>.</v>
      </c>
      <c r="B6546" s="431" t="str">
        <f t="shared" si="102"/>
        <v>Varicose VeinCCG of GP PracticeNHS GUILDFORD AND WAVERLEY CCG (09N)EQ VAS</v>
      </c>
      <c r="C6546" t="s">
        <v>17</v>
      </c>
      <c r="D6546" t="s">
        <v>87</v>
      </c>
      <c r="E6546" t="s">
        <v>911</v>
      </c>
      <c r="F6546" t="s">
        <v>912</v>
      </c>
      <c r="G6546" t="s">
        <v>179</v>
      </c>
      <c r="H6546">
        <v>11</v>
      </c>
      <c r="I6546">
        <v>81.364000000000004</v>
      </c>
      <c r="J6546">
        <v>80.909000000000006</v>
      </c>
      <c r="K6546">
        <v>-0.45500000000000002</v>
      </c>
      <c r="L6546">
        <v>5</v>
      </c>
      <c r="M6546">
        <v>2</v>
      </c>
      <c r="N6546">
        <v>4</v>
      </c>
      <c r="O6546" t="s">
        <v>53</v>
      </c>
      <c r="P6546" t="s">
        <v>53</v>
      </c>
      <c r="Q6546" t="s">
        <v>53</v>
      </c>
    </row>
    <row r="6547" spans="1:17" x14ac:dyDescent="0.2">
      <c r="A6547" s="30" t="str">
        <f>IF(C6547&amp;G6547&amp;D6547&lt;&gt;'Funnel setup'!$K$3&amp;'Funnel setup'!$K$4&amp;'Funnel setup'!$K$5,".",IF(A6546=".",1,A6546+1))</f>
        <v>.</v>
      </c>
      <c r="B6547" s="431" t="str">
        <f t="shared" si="102"/>
        <v>Varicose VeinCCG of GP PracticeNHS HALTON CCG (01F)EQ VAS</v>
      </c>
      <c r="C6547" t="s">
        <v>17</v>
      </c>
      <c r="D6547" t="s">
        <v>87</v>
      </c>
      <c r="E6547" t="s">
        <v>914</v>
      </c>
      <c r="F6547" t="s">
        <v>915</v>
      </c>
      <c r="G6547" t="s">
        <v>179</v>
      </c>
      <c r="H6547">
        <v>10</v>
      </c>
      <c r="I6547">
        <v>74.400000000000006</v>
      </c>
      <c r="J6547">
        <v>80.3</v>
      </c>
      <c r="K6547">
        <v>5.9</v>
      </c>
      <c r="L6547">
        <v>6</v>
      </c>
      <c r="M6547">
        <v>0</v>
      </c>
      <c r="N6547">
        <v>4</v>
      </c>
      <c r="O6547" t="s">
        <v>53</v>
      </c>
      <c r="P6547" t="s">
        <v>53</v>
      </c>
      <c r="Q6547" t="s">
        <v>53</v>
      </c>
    </row>
    <row r="6548" spans="1:17" x14ac:dyDescent="0.2">
      <c r="A6548" s="30" t="str">
        <f>IF(C6548&amp;G6548&amp;D6548&lt;&gt;'Funnel setup'!$K$3&amp;'Funnel setup'!$K$4&amp;'Funnel setup'!$K$5,".",IF(A6547=".",1,A6547+1))</f>
        <v>.</v>
      </c>
      <c r="B6548" s="431" t="str">
        <f t="shared" si="102"/>
        <v>Varicose VeinCCG of GP PracticeNHS HAMBLETON, RICHMONDSHIRE AND WHITBY CCG (03D)EQ VAS</v>
      </c>
      <c r="C6548" t="s">
        <v>17</v>
      </c>
      <c r="D6548" t="s">
        <v>87</v>
      </c>
      <c r="E6548" t="s">
        <v>917</v>
      </c>
      <c r="F6548" t="s">
        <v>918</v>
      </c>
      <c r="G6548" t="s">
        <v>179</v>
      </c>
      <c r="H6548">
        <v>16</v>
      </c>
      <c r="I6548">
        <v>76.188000000000002</v>
      </c>
      <c r="J6548">
        <v>75.75</v>
      </c>
      <c r="K6548">
        <v>-0.438</v>
      </c>
      <c r="L6548">
        <v>6</v>
      </c>
      <c r="M6548">
        <v>2</v>
      </c>
      <c r="N6548">
        <v>8</v>
      </c>
      <c r="O6548" t="s">
        <v>53</v>
      </c>
      <c r="P6548" t="s">
        <v>53</v>
      </c>
      <c r="Q6548" t="s">
        <v>53</v>
      </c>
    </row>
    <row r="6549" spans="1:17" x14ac:dyDescent="0.2">
      <c r="A6549" s="30" t="str">
        <f>IF(C6549&amp;G6549&amp;D6549&lt;&gt;'Funnel setup'!$K$3&amp;'Funnel setup'!$K$4&amp;'Funnel setup'!$K$5,".",IF(A6548=".",1,A6548+1))</f>
        <v>.</v>
      </c>
      <c r="B6549" s="431" t="str">
        <f t="shared" si="102"/>
        <v>Varicose VeinCCG of GP PracticeNHS HAMMERSMITH AND FULHAM CCG (08C)EQ VAS</v>
      </c>
      <c r="C6549" t="s">
        <v>17</v>
      </c>
      <c r="D6549" t="s">
        <v>87</v>
      </c>
      <c r="E6549" t="s">
        <v>920</v>
      </c>
      <c r="F6549" t="s">
        <v>921</v>
      </c>
      <c r="G6549" t="s">
        <v>179</v>
      </c>
      <c r="H6549">
        <v>27</v>
      </c>
      <c r="I6549">
        <v>74.814999999999998</v>
      </c>
      <c r="J6549">
        <v>77.962999999999994</v>
      </c>
      <c r="K6549">
        <v>3.1480000000000001</v>
      </c>
      <c r="L6549">
        <v>12</v>
      </c>
      <c r="M6549">
        <v>8</v>
      </c>
      <c r="N6549">
        <v>7</v>
      </c>
      <c r="O6549" t="s">
        <v>53</v>
      </c>
      <c r="P6549" t="s">
        <v>53</v>
      </c>
      <c r="Q6549" t="s">
        <v>53</v>
      </c>
    </row>
    <row r="6550" spans="1:17" x14ac:dyDescent="0.2">
      <c r="A6550" s="30" t="str">
        <f>IF(C6550&amp;G6550&amp;D6550&lt;&gt;'Funnel setup'!$K$3&amp;'Funnel setup'!$K$4&amp;'Funnel setup'!$K$5,".",IF(A6549=".",1,A6549+1))</f>
        <v>.</v>
      </c>
      <c r="B6550" s="431" t="str">
        <f t="shared" si="102"/>
        <v>Varicose VeinCCG of GP PracticeNHS HARDWICK CCG (03Y)EQ VAS</v>
      </c>
      <c r="C6550" t="s">
        <v>17</v>
      </c>
      <c r="D6550" t="s">
        <v>87</v>
      </c>
      <c r="E6550" t="s">
        <v>923</v>
      </c>
      <c r="F6550" t="s">
        <v>924</v>
      </c>
      <c r="G6550" t="s">
        <v>179</v>
      </c>
      <c r="H6550">
        <v>15</v>
      </c>
      <c r="I6550">
        <v>72.599999999999994</v>
      </c>
      <c r="J6550">
        <v>75.066999999999993</v>
      </c>
      <c r="K6550">
        <v>2.4670000000000001</v>
      </c>
      <c r="L6550">
        <v>7</v>
      </c>
      <c r="M6550">
        <v>0</v>
      </c>
      <c r="N6550">
        <v>8</v>
      </c>
      <c r="O6550" t="s">
        <v>53</v>
      </c>
      <c r="P6550" t="s">
        <v>53</v>
      </c>
      <c r="Q6550" t="s">
        <v>53</v>
      </c>
    </row>
    <row r="6551" spans="1:17" x14ac:dyDescent="0.2">
      <c r="A6551" s="30" t="str">
        <f>IF(C6551&amp;G6551&amp;D6551&lt;&gt;'Funnel setup'!$K$3&amp;'Funnel setup'!$K$4&amp;'Funnel setup'!$K$5,".",IF(A6550=".",1,A6550+1))</f>
        <v>.</v>
      </c>
      <c r="B6551" s="431" t="str">
        <f t="shared" si="102"/>
        <v>Varicose VeinCCG of GP PracticeNHS HARINGEY CCG (08D)EQ VAS</v>
      </c>
      <c r="C6551" t="s">
        <v>17</v>
      </c>
      <c r="D6551" t="s">
        <v>87</v>
      </c>
      <c r="E6551" t="s">
        <v>926</v>
      </c>
      <c r="F6551" t="s">
        <v>927</v>
      </c>
      <c r="G6551" t="s">
        <v>179</v>
      </c>
      <c r="H6551">
        <v>6</v>
      </c>
      <c r="I6551">
        <v>76.667000000000002</v>
      </c>
      <c r="J6551">
        <v>70.5</v>
      </c>
      <c r="K6551">
        <v>-6.1669999999999998</v>
      </c>
      <c r="L6551">
        <v>2</v>
      </c>
      <c r="M6551">
        <v>0</v>
      </c>
      <c r="N6551">
        <v>4</v>
      </c>
      <c r="O6551" t="s">
        <v>53</v>
      </c>
      <c r="P6551" t="s">
        <v>53</v>
      </c>
      <c r="Q6551" t="s">
        <v>53</v>
      </c>
    </row>
    <row r="6552" spans="1:17" x14ac:dyDescent="0.2">
      <c r="A6552" s="30" t="str">
        <f>IF(C6552&amp;G6552&amp;D6552&lt;&gt;'Funnel setup'!$K$3&amp;'Funnel setup'!$K$4&amp;'Funnel setup'!$K$5,".",IF(A6551=".",1,A6551+1))</f>
        <v>.</v>
      </c>
      <c r="B6552" s="431" t="str">
        <f t="shared" si="102"/>
        <v>Varicose VeinCCG of GP PracticeNHS HARROGATE AND RURAL DISTRICT CCG (03E)EQ VAS</v>
      </c>
      <c r="C6552" t="s">
        <v>17</v>
      </c>
      <c r="D6552" t="s">
        <v>87</v>
      </c>
      <c r="E6552" t="s">
        <v>929</v>
      </c>
      <c r="F6552" t="s">
        <v>930</v>
      </c>
      <c r="G6552" t="s">
        <v>179</v>
      </c>
      <c r="H6552">
        <v>19</v>
      </c>
      <c r="I6552">
        <v>73</v>
      </c>
      <c r="J6552">
        <v>78.052999999999997</v>
      </c>
      <c r="K6552">
        <v>5.0529999999999999</v>
      </c>
      <c r="L6552">
        <v>8</v>
      </c>
      <c r="M6552">
        <v>4</v>
      </c>
      <c r="N6552">
        <v>7</v>
      </c>
      <c r="O6552" t="s">
        <v>53</v>
      </c>
      <c r="P6552" t="s">
        <v>53</v>
      </c>
      <c r="Q6552" t="s">
        <v>53</v>
      </c>
    </row>
    <row r="6553" spans="1:17" x14ac:dyDescent="0.2">
      <c r="A6553" s="30" t="str">
        <f>IF(C6553&amp;G6553&amp;D6553&lt;&gt;'Funnel setup'!$K$3&amp;'Funnel setup'!$K$4&amp;'Funnel setup'!$K$5,".",IF(A6552=".",1,A6552+1))</f>
        <v>.</v>
      </c>
      <c r="B6553" s="431" t="str">
        <f t="shared" si="102"/>
        <v>Varicose VeinCCG of GP PracticeNHS HARROW CCG (08E)EQ VAS</v>
      </c>
      <c r="C6553" t="s">
        <v>17</v>
      </c>
      <c r="D6553" t="s">
        <v>87</v>
      </c>
      <c r="E6553" t="s">
        <v>492</v>
      </c>
      <c r="F6553" t="s">
        <v>493</v>
      </c>
      <c r="G6553" t="s">
        <v>179</v>
      </c>
      <c r="H6553">
        <v>18</v>
      </c>
      <c r="I6553">
        <v>73.555999999999997</v>
      </c>
      <c r="J6553">
        <v>72.444000000000003</v>
      </c>
      <c r="K6553">
        <v>-1.111</v>
      </c>
      <c r="L6553">
        <v>11</v>
      </c>
      <c r="M6553">
        <v>1</v>
      </c>
      <c r="N6553">
        <v>6</v>
      </c>
      <c r="O6553" t="s">
        <v>53</v>
      </c>
      <c r="P6553" t="s">
        <v>53</v>
      </c>
      <c r="Q6553" t="s">
        <v>53</v>
      </c>
    </row>
    <row r="6554" spans="1:17" x14ac:dyDescent="0.2">
      <c r="A6554" s="30" t="str">
        <f>IF(C6554&amp;G6554&amp;D6554&lt;&gt;'Funnel setup'!$K$3&amp;'Funnel setup'!$K$4&amp;'Funnel setup'!$K$5,".",IF(A6553=".",1,A6553+1))</f>
        <v>.</v>
      </c>
      <c r="B6554" s="431" t="str">
        <f t="shared" si="102"/>
        <v>Varicose VeinCCG of GP PracticeNHS HARTLEPOOL AND STOCKTON-ON-TEES CCG (00K)EQ VAS</v>
      </c>
      <c r="C6554" t="s">
        <v>17</v>
      </c>
      <c r="D6554" t="s">
        <v>87</v>
      </c>
      <c r="E6554" t="s">
        <v>495</v>
      </c>
      <c r="F6554" t="s">
        <v>496</v>
      </c>
      <c r="G6554" t="s">
        <v>179</v>
      </c>
      <c r="H6554">
        <v>44</v>
      </c>
      <c r="I6554">
        <v>72.682000000000002</v>
      </c>
      <c r="J6554">
        <v>76.295000000000002</v>
      </c>
      <c r="K6554">
        <v>3.6139999999999999</v>
      </c>
      <c r="L6554">
        <v>22</v>
      </c>
      <c r="M6554">
        <v>7</v>
      </c>
      <c r="N6554">
        <v>15</v>
      </c>
      <c r="O6554">
        <v>80.646000000000001</v>
      </c>
      <c r="P6554">
        <v>1.6820818989999999</v>
      </c>
      <c r="Q6554">
        <v>12.522</v>
      </c>
    </row>
    <row r="6555" spans="1:17" x14ac:dyDescent="0.2">
      <c r="A6555" s="30" t="str">
        <f>IF(C6555&amp;G6555&amp;D6555&lt;&gt;'Funnel setup'!$K$3&amp;'Funnel setup'!$K$4&amp;'Funnel setup'!$K$5,".",IF(A6554=".",1,A6554+1))</f>
        <v>.</v>
      </c>
      <c r="B6555" s="431" t="str">
        <f t="shared" si="102"/>
        <v>Varicose VeinCCG of GP PracticeNHS HASTINGS AND ROTHER CCG (09P)EQ VAS</v>
      </c>
      <c r="C6555" t="s">
        <v>17</v>
      </c>
      <c r="D6555" t="s">
        <v>87</v>
      </c>
      <c r="E6555" t="s">
        <v>498</v>
      </c>
      <c r="F6555" t="s">
        <v>499</v>
      </c>
      <c r="G6555" t="s">
        <v>179</v>
      </c>
      <c r="H6555" t="s">
        <v>53</v>
      </c>
      <c r="I6555" t="s">
        <v>53</v>
      </c>
      <c r="J6555" t="s">
        <v>53</v>
      </c>
      <c r="K6555" t="s">
        <v>53</v>
      </c>
      <c r="L6555" t="s">
        <v>53</v>
      </c>
      <c r="M6555" t="s">
        <v>53</v>
      </c>
      <c r="N6555" t="s">
        <v>53</v>
      </c>
      <c r="O6555" t="s">
        <v>53</v>
      </c>
      <c r="P6555" t="s">
        <v>53</v>
      </c>
      <c r="Q6555" t="s">
        <v>53</v>
      </c>
    </row>
    <row r="6556" spans="1:17" x14ac:dyDescent="0.2">
      <c r="A6556" s="30" t="str">
        <f>IF(C6556&amp;G6556&amp;D6556&lt;&gt;'Funnel setup'!$K$3&amp;'Funnel setup'!$K$4&amp;'Funnel setup'!$K$5,".",IF(A6555=".",1,A6555+1))</f>
        <v>.</v>
      </c>
      <c r="B6556" s="431" t="str">
        <f t="shared" si="102"/>
        <v>Varicose VeinCCG of GP PracticeNHS HAVERING CCG (08F)EQ VAS</v>
      </c>
      <c r="C6556" t="s">
        <v>17</v>
      </c>
      <c r="D6556" t="s">
        <v>87</v>
      </c>
      <c r="E6556" t="s">
        <v>501</v>
      </c>
      <c r="F6556" t="s">
        <v>502</v>
      </c>
      <c r="G6556" t="s">
        <v>179</v>
      </c>
      <c r="H6556">
        <v>24</v>
      </c>
      <c r="I6556">
        <v>75</v>
      </c>
      <c r="J6556">
        <v>76.042000000000002</v>
      </c>
      <c r="K6556">
        <v>1.042</v>
      </c>
      <c r="L6556">
        <v>11</v>
      </c>
      <c r="M6556">
        <v>5</v>
      </c>
      <c r="N6556">
        <v>8</v>
      </c>
      <c r="O6556" t="s">
        <v>53</v>
      </c>
      <c r="P6556" t="s">
        <v>53</v>
      </c>
      <c r="Q6556" t="s">
        <v>53</v>
      </c>
    </row>
    <row r="6557" spans="1:17" x14ac:dyDescent="0.2">
      <c r="A6557" s="30" t="str">
        <f>IF(C6557&amp;G6557&amp;D6557&lt;&gt;'Funnel setup'!$K$3&amp;'Funnel setup'!$K$4&amp;'Funnel setup'!$K$5,".",IF(A6556=".",1,A6556+1))</f>
        <v>.</v>
      </c>
      <c r="B6557" s="431" t="str">
        <f t="shared" si="102"/>
        <v>Varicose VeinCCG of GP PracticeNHS HEREFORDSHIRE CCG (05F)EQ VAS</v>
      </c>
      <c r="C6557" t="s">
        <v>17</v>
      </c>
      <c r="D6557" t="s">
        <v>87</v>
      </c>
      <c r="E6557" t="s">
        <v>504</v>
      </c>
      <c r="F6557" t="s">
        <v>505</v>
      </c>
      <c r="G6557" t="s">
        <v>179</v>
      </c>
      <c r="H6557">
        <v>37</v>
      </c>
      <c r="I6557">
        <v>86.135000000000005</v>
      </c>
      <c r="J6557">
        <v>81.703000000000003</v>
      </c>
      <c r="K6557">
        <v>-4.4320000000000004</v>
      </c>
      <c r="L6557">
        <v>17</v>
      </c>
      <c r="M6557">
        <v>6</v>
      </c>
      <c r="N6557">
        <v>14</v>
      </c>
      <c r="O6557">
        <v>78.152000000000001</v>
      </c>
      <c r="P6557">
        <v>-0.81241990799999997</v>
      </c>
      <c r="Q6557">
        <v>18.553000000000001</v>
      </c>
    </row>
    <row r="6558" spans="1:17" x14ac:dyDescent="0.2">
      <c r="A6558" s="30" t="str">
        <f>IF(C6558&amp;G6558&amp;D6558&lt;&gt;'Funnel setup'!$K$3&amp;'Funnel setup'!$K$4&amp;'Funnel setup'!$K$5,".",IF(A6557=".",1,A6557+1))</f>
        <v>.</v>
      </c>
      <c r="B6558" s="431" t="str">
        <f t="shared" si="102"/>
        <v>Varicose VeinCCG of GP PracticeNHS HERTS VALLEYS CCG (06N)EQ VAS</v>
      </c>
      <c r="C6558" t="s">
        <v>17</v>
      </c>
      <c r="D6558" t="s">
        <v>87</v>
      </c>
      <c r="E6558" t="s">
        <v>507</v>
      </c>
      <c r="F6558" t="s">
        <v>508</v>
      </c>
      <c r="G6558" t="s">
        <v>179</v>
      </c>
      <c r="H6558">
        <v>92</v>
      </c>
      <c r="I6558">
        <v>76.87</v>
      </c>
      <c r="J6558">
        <v>77.87</v>
      </c>
      <c r="K6558">
        <v>1</v>
      </c>
      <c r="L6558">
        <v>44</v>
      </c>
      <c r="M6558">
        <v>16</v>
      </c>
      <c r="N6558">
        <v>32</v>
      </c>
      <c r="O6558">
        <v>77.894000000000005</v>
      </c>
      <c r="P6558">
        <v>-1.0702456499999999</v>
      </c>
      <c r="Q6558">
        <v>14.645</v>
      </c>
    </row>
    <row r="6559" spans="1:17" x14ac:dyDescent="0.2">
      <c r="A6559" s="30" t="str">
        <f>IF(C6559&amp;G6559&amp;D6559&lt;&gt;'Funnel setup'!$K$3&amp;'Funnel setup'!$K$4&amp;'Funnel setup'!$K$5,".",IF(A6558=".",1,A6558+1))</f>
        <v>.</v>
      </c>
      <c r="B6559" s="431" t="str">
        <f t="shared" si="102"/>
        <v>Varicose VeinCCG of GP PracticeNHS HEYWOOD, MIDDLETON AND ROCHDALE CCG (01D)EQ VAS</v>
      </c>
      <c r="C6559" t="s">
        <v>17</v>
      </c>
      <c r="D6559" t="s">
        <v>87</v>
      </c>
      <c r="E6559" t="s">
        <v>510</v>
      </c>
      <c r="F6559" t="s">
        <v>511</v>
      </c>
      <c r="G6559" t="s">
        <v>179</v>
      </c>
      <c r="H6559" t="s">
        <v>53</v>
      </c>
      <c r="I6559" t="s">
        <v>53</v>
      </c>
      <c r="J6559" t="s">
        <v>53</v>
      </c>
      <c r="K6559" t="s">
        <v>53</v>
      </c>
      <c r="L6559" t="s">
        <v>53</v>
      </c>
      <c r="M6559" t="s">
        <v>53</v>
      </c>
      <c r="N6559" t="s">
        <v>53</v>
      </c>
      <c r="O6559" t="s">
        <v>53</v>
      </c>
      <c r="P6559" t="s">
        <v>53</v>
      </c>
      <c r="Q6559" t="s">
        <v>53</v>
      </c>
    </row>
    <row r="6560" spans="1:17" x14ac:dyDescent="0.2">
      <c r="A6560" s="30" t="str">
        <f>IF(C6560&amp;G6560&amp;D6560&lt;&gt;'Funnel setup'!$K$3&amp;'Funnel setup'!$K$4&amp;'Funnel setup'!$K$5,".",IF(A6559=".",1,A6559+1))</f>
        <v>.</v>
      </c>
      <c r="B6560" s="431" t="str">
        <f t="shared" si="102"/>
        <v>Varicose VeinCCG of GP PracticeNHS HIGH WEALD LEWES HAVENS CCG (99K)EQ VAS</v>
      </c>
      <c r="C6560" t="s">
        <v>17</v>
      </c>
      <c r="D6560" t="s">
        <v>87</v>
      </c>
      <c r="E6560" t="s">
        <v>513</v>
      </c>
      <c r="F6560" t="s">
        <v>514</v>
      </c>
      <c r="G6560" t="s">
        <v>179</v>
      </c>
      <c r="H6560">
        <v>16</v>
      </c>
      <c r="I6560">
        <v>77.5</v>
      </c>
      <c r="J6560">
        <v>81</v>
      </c>
      <c r="K6560">
        <v>3.5</v>
      </c>
      <c r="L6560">
        <v>8</v>
      </c>
      <c r="M6560">
        <v>3</v>
      </c>
      <c r="N6560">
        <v>5</v>
      </c>
      <c r="O6560" t="s">
        <v>53</v>
      </c>
      <c r="P6560" t="s">
        <v>53</v>
      </c>
      <c r="Q6560" t="s">
        <v>53</v>
      </c>
    </row>
    <row r="6561" spans="1:17" x14ac:dyDescent="0.2">
      <c r="A6561" s="30" t="str">
        <f>IF(C6561&amp;G6561&amp;D6561&lt;&gt;'Funnel setup'!$K$3&amp;'Funnel setup'!$K$4&amp;'Funnel setup'!$K$5,".",IF(A6560=".",1,A6560+1))</f>
        <v>.</v>
      </c>
      <c r="B6561" s="431" t="str">
        <f t="shared" si="102"/>
        <v>Varicose VeinCCG of GP PracticeNHS HILLINGDON CCG (08G)EQ VAS</v>
      </c>
      <c r="C6561" t="s">
        <v>17</v>
      </c>
      <c r="D6561" t="s">
        <v>87</v>
      </c>
      <c r="E6561" t="s">
        <v>516</v>
      </c>
      <c r="F6561" t="s">
        <v>517</v>
      </c>
      <c r="G6561" t="s">
        <v>179</v>
      </c>
      <c r="H6561">
        <v>13</v>
      </c>
      <c r="I6561">
        <v>75.769000000000005</v>
      </c>
      <c r="J6561">
        <v>81.462000000000003</v>
      </c>
      <c r="K6561">
        <v>5.6920000000000002</v>
      </c>
      <c r="L6561">
        <v>8</v>
      </c>
      <c r="M6561">
        <v>2</v>
      </c>
      <c r="N6561">
        <v>3</v>
      </c>
      <c r="O6561" t="s">
        <v>53</v>
      </c>
      <c r="P6561" t="s">
        <v>53</v>
      </c>
      <c r="Q6561" t="s">
        <v>53</v>
      </c>
    </row>
    <row r="6562" spans="1:17" x14ac:dyDescent="0.2">
      <c r="A6562" s="30" t="str">
        <f>IF(C6562&amp;G6562&amp;D6562&lt;&gt;'Funnel setup'!$K$3&amp;'Funnel setup'!$K$4&amp;'Funnel setup'!$K$5,".",IF(A6561=".",1,A6561+1))</f>
        <v>.</v>
      </c>
      <c r="B6562" s="431" t="str">
        <f t="shared" si="102"/>
        <v>Varicose VeinCCG of GP PracticeNHS HORSHAM AND MID SUSSEX CCG (09X)EQ VAS</v>
      </c>
      <c r="C6562" t="s">
        <v>17</v>
      </c>
      <c r="D6562" t="s">
        <v>87</v>
      </c>
      <c r="E6562" t="s">
        <v>519</v>
      </c>
      <c r="F6562" t="s">
        <v>520</v>
      </c>
      <c r="G6562" t="s">
        <v>179</v>
      </c>
      <c r="H6562">
        <v>15</v>
      </c>
      <c r="I6562">
        <v>80.466999999999999</v>
      </c>
      <c r="J6562">
        <v>82.533000000000001</v>
      </c>
      <c r="K6562">
        <v>2.0670000000000002</v>
      </c>
      <c r="L6562">
        <v>7</v>
      </c>
      <c r="M6562">
        <v>3</v>
      </c>
      <c r="N6562">
        <v>5</v>
      </c>
      <c r="O6562" t="s">
        <v>53</v>
      </c>
      <c r="P6562" t="s">
        <v>53</v>
      </c>
      <c r="Q6562" t="s">
        <v>53</v>
      </c>
    </row>
    <row r="6563" spans="1:17" x14ac:dyDescent="0.2">
      <c r="A6563" s="30" t="str">
        <f>IF(C6563&amp;G6563&amp;D6563&lt;&gt;'Funnel setup'!$K$3&amp;'Funnel setup'!$K$4&amp;'Funnel setup'!$K$5,".",IF(A6562=".",1,A6562+1))</f>
        <v>.</v>
      </c>
      <c r="B6563" s="431" t="str">
        <f t="shared" si="102"/>
        <v>Varicose VeinCCG of GP PracticeNHS HOUNSLOW CCG (07Y)EQ VAS</v>
      </c>
      <c r="C6563" t="s">
        <v>17</v>
      </c>
      <c r="D6563" t="s">
        <v>87</v>
      </c>
      <c r="E6563" t="s">
        <v>522</v>
      </c>
      <c r="F6563" t="s">
        <v>523</v>
      </c>
      <c r="G6563" t="s">
        <v>179</v>
      </c>
      <c r="H6563">
        <v>42</v>
      </c>
      <c r="I6563">
        <v>76.5</v>
      </c>
      <c r="J6563">
        <v>73.094999999999999</v>
      </c>
      <c r="K6563">
        <v>-3.4049999999999998</v>
      </c>
      <c r="L6563">
        <v>10</v>
      </c>
      <c r="M6563">
        <v>8</v>
      </c>
      <c r="N6563">
        <v>24</v>
      </c>
      <c r="O6563">
        <v>75.156999999999996</v>
      </c>
      <c r="P6563">
        <v>-3.8073368689999998</v>
      </c>
      <c r="Q6563">
        <v>13.068</v>
      </c>
    </row>
    <row r="6564" spans="1:17" x14ac:dyDescent="0.2">
      <c r="A6564" s="30" t="str">
        <f>IF(C6564&amp;G6564&amp;D6564&lt;&gt;'Funnel setup'!$K$3&amp;'Funnel setup'!$K$4&amp;'Funnel setup'!$K$5,".",IF(A6563=".",1,A6563+1))</f>
        <v>.</v>
      </c>
      <c r="B6564" s="431" t="str">
        <f t="shared" si="102"/>
        <v>Varicose VeinCCG of GP PracticeNHS HULL CCG (03F)EQ VAS</v>
      </c>
      <c r="C6564" t="s">
        <v>17</v>
      </c>
      <c r="D6564" t="s">
        <v>87</v>
      </c>
      <c r="E6564" t="s">
        <v>525</v>
      </c>
      <c r="F6564" t="s">
        <v>526</v>
      </c>
      <c r="G6564" t="s">
        <v>179</v>
      </c>
      <c r="H6564">
        <v>42</v>
      </c>
      <c r="I6564">
        <v>76.667000000000002</v>
      </c>
      <c r="J6564">
        <v>82.31</v>
      </c>
      <c r="K6564">
        <v>5.6429999999999998</v>
      </c>
      <c r="L6564">
        <v>20</v>
      </c>
      <c r="M6564">
        <v>9</v>
      </c>
      <c r="N6564">
        <v>13</v>
      </c>
      <c r="O6564">
        <v>82.662999999999997</v>
      </c>
      <c r="P6564">
        <v>3.6987189090000001</v>
      </c>
      <c r="Q6564">
        <v>17.155000000000001</v>
      </c>
    </row>
    <row r="6565" spans="1:17" x14ac:dyDescent="0.2">
      <c r="A6565" s="30" t="str">
        <f>IF(C6565&amp;G6565&amp;D6565&lt;&gt;'Funnel setup'!$K$3&amp;'Funnel setup'!$K$4&amp;'Funnel setup'!$K$5,".",IF(A6564=".",1,A6564+1))</f>
        <v>.</v>
      </c>
      <c r="B6565" s="431" t="str">
        <f t="shared" si="102"/>
        <v>Varicose VeinCCG of GP PracticeNHS IPSWICH AND EAST SUFFOLK CCG (06L)EQ VAS</v>
      </c>
      <c r="C6565" t="s">
        <v>17</v>
      </c>
      <c r="D6565" t="s">
        <v>87</v>
      </c>
      <c r="E6565" t="s">
        <v>528</v>
      </c>
      <c r="F6565" t="s">
        <v>529</v>
      </c>
      <c r="G6565" t="s">
        <v>179</v>
      </c>
      <c r="H6565">
        <v>106</v>
      </c>
      <c r="I6565">
        <v>80.263999999999996</v>
      </c>
      <c r="J6565">
        <v>79.528000000000006</v>
      </c>
      <c r="K6565">
        <v>-0.73599999999999999</v>
      </c>
      <c r="L6565">
        <v>41</v>
      </c>
      <c r="M6565">
        <v>19</v>
      </c>
      <c r="N6565">
        <v>46</v>
      </c>
      <c r="O6565">
        <v>77.944000000000003</v>
      </c>
      <c r="P6565">
        <v>-1.019671979</v>
      </c>
      <c r="Q6565">
        <v>14.387</v>
      </c>
    </row>
    <row r="6566" spans="1:17" x14ac:dyDescent="0.2">
      <c r="A6566" s="30" t="str">
        <f>IF(C6566&amp;G6566&amp;D6566&lt;&gt;'Funnel setup'!$K$3&amp;'Funnel setup'!$K$4&amp;'Funnel setup'!$K$5,".",IF(A6565=".",1,A6565+1))</f>
        <v>.</v>
      </c>
      <c r="B6566" s="431" t="str">
        <f t="shared" si="102"/>
        <v>Varicose VeinCCG of GP PracticeNHS ISLINGTON CCG (08H)EQ VAS</v>
      </c>
      <c r="C6566" t="s">
        <v>17</v>
      </c>
      <c r="D6566" t="s">
        <v>87</v>
      </c>
      <c r="E6566" t="s">
        <v>534</v>
      </c>
      <c r="F6566" t="s">
        <v>535</v>
      </c>
      <c r="G6566" t="s">
        <v>179</v>
      </c>
      <c r="H6566">
        <v>23</v>
      </c>
      <c r="I6566">
        <v>79.695999999999998</v>
      </c>
      <c r="J6566">
        <v>75.825999999999993</v>
      </c>
      <c r="K6566">
        <v>-3.87</v>
      </c>
      <c r="L6566">
        <v>9</v>
      </c>
      <c r="M6566">
        <v>6</v>
      </c>
      <c r="N6566">
        <v>8</v>
      </c>
      <c r="O6566" t="s">
        <v>53</v>
      </c>
      <c r="P6566" t="s">
        <v>53</v>
      </c>
      <c r="Q6566" t="s">
        <v>53</v>
      </c>
    </row>
    <row r="6567" spans="1:17" x14ac:dyDescent="0.2">
      <c r="A6567" s="30" t="str">
        <f>IF(C6567&amp;G6567&amp;D6567&lt;&gt;'Funnel setup'!$K$3&amp;'Funnel setup'!$K$4&amp;'Funnel setup'!$K$5,".",IF(A6566=".",1,A6566+1))</f>
        <v>.</v>
      </c>
      <c r="B6567" s="431" t="str">
        <f t="shared" si="102"/>
        <v>Varicose VeinCCG of GP PracticeNHS KERNOW CCG (11N)EQ VAS</v>
      </c>
      <c r="C6567" t="s">
        <v>17</v>
      </c>
      <c r="D6567" t="s">
        <v>87</v>
      </c>
      <c r="E6567" t="s">
        <v>537</v>
      </c>
      <c r="F6567" t="s">
        <v>538</v>
      </c>
      <c r="G6567" t="s">
        <v>179</v>
      </c>
      <c r="H6567">
        <v>103</v>
      </c>
      <c r="I6567">
        <v>76.349999999999994</v>
      </c>
      <c r="J6567">
        <v>76.067999999999998</v>
      </c>
      <c r="K6567">
        <v>-0.28199999999999997</v>
      </c>
      <c r="L6567">
        <v>38</v>
      </c>
      <c r="M6567">
        <v>17</v>
      </c>
      <c r="N6567">
        <v>48</v>
      </c>
      <c r="O6567">
        <v>77.849999999999994</v>
      </c>
      <c r="P6567">
        <v>-1.114400592</v>
      </c>
      <c r="Q6567">
        <v>13.102</v>
      </c>
    </row>
    <row r="6568" spans="1:17" x14ac:dyDescent="0.2">
      <c r="A6568" s="30" t="str">
        <f>IF(C6568&amp;G6568&amp;D6568&lt;&gt;'Funnel setup'!$K$3&amp;'Funnel setup'!$K$4&amp;'Funnel setup'!$K$5,".",IF(A6567=".",1,A6567+1))</f>
        <v>.</v>
      </c>
      <c r="B6568" s="431" t="str">
        <f t="shared" si="102"/>
        <v>Varicose VeinCCG of GP PracticeNHS KINGSTON CCG (08J)EQ VAS</v>
      </c>
      <c r="C6568" t="s">
        <v>17</v>
      </c>
      <c r="D6568" t="s">
        <v>87</v>
      </c>
      <c r="E6568" t="s">
        <v>540</v>
      </c>
      <c r="F6568" t="s">
        <v>541</v>
      </c>
      <c r="G6568" t="s">
        <v>179</v>
      </c>
      <c r="H6568" t="s">
        <v>53</v>
      </c>
      <c r="I6568" t="s">
        <v>53</v>
      </c>
      <c r="J6568" t="s">
        <v>53</v>
      </c>
      <c r="K6568" t="s">
        <v>53</v>
      </c>
      <c r="L6568" t="s">
        <v>53</v>
      </c>
      <c r="M6568" t="s">
        <v>53</v>
      </c>
      <c r="N6568" t="s">
        <v>53</v>
      </c>
      <c r="O6568" t="s">
        <v>53</v>
      </c>
      <c r="P6568" t="s">
        <v>53</v>
      </c>
      <c r="Q6568" t="s">
        <v>53</v>
      </c>
    </row>
    <row r="6569" spans="1:17" x14ac:dyDescent="0.2">
      <c r="A6569" s="30" t="str">
        <f>IF(C6569&amp;G6569&amp;D6569&lt;&gt;'Funnel setup'!$K$3&amp;'Funnel setup'!$K$4&amp;'Funnel setup'!$K$5,".",IF(A6568=".",1,A6568+1))</f>
        <v>.</v>
      </c>
      <c r="B6569" s="431" t="str">
        <f t="shared" si="102"/>
        <v>Varicose VeinCCG of GP PracticeNHS KNOWSLEY CCG (01J)EQ VAS</v>
      </c>
      <c r="C6569" t="s">
        <v>17</v>
      </c>
      <c r="D6569" t="s">
        <v>87</v>
      </c>
      <c r="E6569" t="s">
        <v>543</v>
      </c>
      <c r="F6569" t="s">
        <v>544</v>
      </c>
      <c r="G6569" t="s">
        <v>179</v>
      </c>
      <c r="H6569">
        <v>6</v>
      </c>
      <c r="I6569">
        <v>77.5</v>
      </c>
      <c r="J6569">
        <v>73.832999999999998</v>
      </c>
      <c r="K6569">
        <v>-3.6669999999999998</v>
      </c>
      <c r="L6569">
        <v>0</v>
      </c>
      <c r="M6569">
        <v>3</v>
      </c>
      <c r="N6569">
        <v>3</v>
      </c>
      <c r="O6569" t="s">
        <v>53</v>
      </c>
      <c r="P6569" t="s">
        <v>53</v>
      </c>
      <c r="Q6569" t="s">
        <v>53</v>
      </c>
    </row>
    <row r="6570" spans="1:17" x14ac:dyDescent="0.2">
      <c r="A6570" s="30" t="str">
        <f>IF(C6570&amp;G6570&amp;D6570&lt;&gt;'Funnel setup'!$K$3&amp;'Funnel setup'!$K$4&amp;'Funnel setup'!$K$5,".",IF(A6569=".",1,A6569+1))</f>
        <v>.</v>
      </c>
      <c r="B6570" s="431" t="str">
        <f t="shared" si="102"/>
        <v>Varicose VeinCCG of GP PracticeNHS LAMBETH CCG (08K)EQ VAS</v>
      </c>
      <c r="C6570" t="s">
        <v>17</v>
      </c>
      <c r="D6570" t="s">
        <v>87</v>
      </c>
      <c r="E6570" t="s">
        <v>546</v>
      </c>
      <c r="F6570" t="s">
        <v>547</v>
      </c>
      <c r="G6570" t="s">
        <v>179</v>
      </c>
      <c r="H6570">
        <v>23</v>
      </c>
      <c r="I6570">
        <v>79.695999999999998</v>
      </c>
      <c r="J6570">
        <v>79.825999999999993</v>
      </c>
      <c r="K6570">
        <v>0.13</v>
      </c>
      <c r="L6570">
        <v>7</v>
      </c>
      <c r="M6570">
        <v>3</v>
      </c>
      <c r="N6570">
        <v>13</v>
      </c>
      <c r="O6570" t="s">
        <v>53</v>
      </c>
      <c r="P6570" t="s">
        <v>53</v>
      </c>
      <c r="Q6570" t="s">
        <v>53</v>
      </c>
    </row>
    <row r="6571" spans="1:17" x14ac:dyDescent="0.2">
      <c r="A6571" s="30" t="str">
        <f>IF(C6571&amp;G6571&amp;D6571&lt;&gt;'Funnel setup'!$K$3&amp;'Funnel setup'!$K$4&amp;'Funnel setup'!$K$5,".",IF(A6570=".",1,A6570+1))</f>
        <v>.</v>
      </c>
      <c r="B6571" s="431" t="str">
        <f t="shared" si="102"/>
        <v>Varicose VeinCCG of GP PracticeNHS LANCASHIRE NORTH CCG (01K)EQ VAS</v>
      </c>
      <c r="C6571" t="s">
        <v>17</v>
      </c>
      <c r="D6571" t="s">
        <v>87</v>
      </c>
      <c r="E6571" t="s">
        <v>549</v>
      </c>
      <c r="F6571" t="s">
        <v>550</v>
      </c>
      <c r="G6571" t="s">
        <v>179</v>
      </c>
      <c r="H6571">
        <v>10</v>
      </c>
      <c r="I6571">
        <v>84.4</v>
      </c>
      <c r="J6571">
        <v>82.5</v>
      </c>
      <c r="K6571">
        <v>-1.9</v>
      </c>
      <c r="L6571">
        <v>4</v>
      </c>
      <c r="M6571">
        <v>1</v>
      </c>
      <c r="N6571">
        <v>5</v>
      </c>
      <c r="O6571" t="s">
        <v>53</v>
      </c>
      <c r="P6571" t="s">
        <v>53</v>
      </c>
      <c r="Q6571" t="s">
        <v>53</v>
      </c>
    </row>
    <row r="6572" spans="1:17" x14ac:dyDescent="0.2">
      <c r="A6572" s="30" t="str">
        <f>IF(C6572&amp;G6572&amp;D6572&lt;&gt;'Funnel setup'!$K$3&amp;'Funnel setup'!$K$4&amp;'Funnel setup'!$K$5,".",IF(A6571=".",1,A6571+1))</f>
        <v>.</v>
      </c>
      <c r="B6572" s="431" t="str">
        <f t="shared" si="102"/>
        <v>Varicose VeinCCG of GP PracticeNHS LEEDS NORTH CCG (02V)EQ VAS</v>
      </c>
      <c r="C6572" t="s">
        <v>17</v>
      </c>
      <c r="D6572" t="s">
        <v>87</v>
      </c>
      <c r="E6572" t="s">
        <v>552</v>
      </c>
      <c r="F6572" t="s">
        <v>337</v>
      </c>
      <c r="G6572" t="s">
        <v>179</v>
      </c>
      <c r="H6572">
        <v>47</v>
      </c>
      <c r="I6572">
        <v>82.319000000000003</v>
      </c>
      <c r="J6572">
        <v>80.063999999999993</v>
      </c>
      <c r="K6572">
        <v>-2.2549999999999999</v>
      </c>
      <c r="L6572">
        <v>16</v>
      </c>
      <c r="M6572">
        <v>8</v>
      </c>
      <c r="N6572">
        <v>23</v>
      </c>
      <c r="O6572">
        <v>78.483000000000004</v>
      </c>
      <c r="P6572">
        <v>-0.48086338000000001</v>
      </c>
      <c r="Q6572">
        <v>13.574</v>
      </c>
    </row>
    <row r="6573" spans="1:17" x14ac:dyDescent="0.2">
      <c r="A6573" s="30" t="str">
        <f>IF(C6573&amp;G6573&amp;D6573&lt;&gt;'Funnel setup'!$K$3&amp;'Funnel setup'!$K$4&amp;'Funnel setup'!$K$5,".",IF(A6572=".",1,A6572+1))</f>
        <v>.</v>
      </c>
      <c r="B6573" s="431" t="str">
        <f t="shared" si="102"/>
        <v>Varicose VeinCCG of GP PracticeNHS LEEDS SOUTH AND EAST CCG (03G)EQ VAS</v>
      </c>
      <c r="C6573" t="s">
        <v>17</v>
      </c>
      <c r="D6573" t="s">
        <v>87</v>
      </c>
      <c r="E6573" t="s">
        <v>396</v>
      </c>
      <c r="F6573" t="s">
        <v>397</v>
      </c>
      <c r="G6573" t="s">
        <v>179</v>
      </c>
      <c r="H6573">
        <v>83</v>
      </c>
      <c r="I6573">
        <v>81.024000000000001</v>
      </c>
      <c r="J6573">
        <v>84.036000000000001</v>
      </c>
      <c r="K6573">
        <v>3.012</v>
      </c>
      <c r="L6573">
        <v>35</v>
      </c>
      <c r="M6573">
        <v>15</v>
      </c>
      <c r="N6573">
        <v>33</v>
      </c>
      <c r="O6573">
        <v>81.811999999999998</v>
      </c>
      <c r="P6573">
        <v>2.8477106980000002</v>
      </c>
      <c r="Q6573">
        <v>11.186999999999999</v>
      </c>
    </row>
    <row r="6574" spans="1:17" x14ac:dyDescent="0.2">
      <c r="A6574" s="30" t="str">
        <f>IF(C6574&amp;G6574&amp;D6574&lt;&gt;'Funnel setup'!$K$3&amp;'Funnel setup'!$K$4&amp;'Funnel setup'!$K$5,".",IF(A6573=".",1,A6573+1))</f>
        <v>.</v>
      </c>
      <c r="B6574" s="431" t="str">
        <f t="shared" si="102"/>
        <v>Varicose VeinCCG of GP PracticeNHS LEEDS WEST CCG (03C)EQ VAS</v>
      </c>
      <c r="C6574" t="s">
        <v>17</v>
      </c>
      <c r="D6574" t="s">
        <v>87</v>
      </c>
      <c r="E6574" t="s">
        <v>399</v>
      </c>
      <c r="F6574" t="s">
        <v>400</v>
      </c>
      <c r="G6574" t="s">
        <v>179</v>
      </c>
      <c r="H6574">
        <v>93</v>
      </c>
      <c r="I6574">
        <v>82.634</v>
      </c>
      <c r="J6574">
        <v>82.483999999999995</v>
      </c>
      <c r="K6574">
        <v>-0.151</v>
      </c>
      <c r="L6574">
        <v>31</v>
      </c>
      <c r="M6574">
        <v>20</v>
      </c>
      <c r="N6574">
        <v>42</v>
      </c>
      <c r="O6574">
        <v>79.823999999999998</v>
      </c>
      <c r="P6574">
        <v>0.86021177800000004</v>
      </c>
      <c r="Q6574">
        <v>10.923999999999999</v>
      </c>
    </row>
    <row r="6575" spans="1:17" x14ac:dyDescent="0.2">
      <c r="A6575" s="30" t="str">
        <f>IF(C6575&amp;G6575&amp;D6575&lt;&gt;'Funnel setup'!$K$3&amp;'Funnel setup'!$K$4&amp;'Funnel setup'!$K$5,".",IF(A6574=".",1,A6574+1))</f>
        <v>.</v>
      </c>
      <c r="B6575" s="431" t="str">
        <f t="shared" si="102"/>
        <v>Varicose VeinCCG of GP PracticeNHS LEICESTER CITY CCG (04C)EQ VAS</v>
      </c>
      <c r="C6575" t="s">
        <v>17</v>
      </c>
      <c r="D6575" t="s">
        <v>87</v>
      </c>
      <c r="E6575" t="s">
        <v>554</v>
      </c>
      <c r="F6575" t="s">
        <v>555</v>
      </c>
      <c r="G6575" t="s">
        <v>179</v>
      </c>
      <c r="H6575">
        <v>13</v>
      </c>
      <c r="I6575">
        <v>75.385000000000005</v>
      </c>
      <c r="J6575">
        <v>80.537999999999997</v>
      </c>
      <c r="K6575">
        <v>5.1539999999999999</v>
      </c>
      <c r="L6575">
        <v>6</v>
      </c>
      <c r="M6575">
        <v>4</v>
      </c>
      <c r="N6575">
        <v>3</v>
      </c>
      <c r="O6575" t="s">
        <v>53</v>
      </c>
      <c r="P6575" t="s">
        <v>53</v>
      </c>
      <c r="Q6575" t="s">
        <v>53</v>
      </c>
    </row>
    <row r="6576" spans="1:17" x14ac:dyDescent="0.2">
      <c r="A6576" s="30" t="str">
        <f>IF(C6576&amp;G6576&amp;D6576&lt;&gt;'Funnel setup'!$K$3&amp;'Funnel setup'!$K$4&amp;'Funnel setup'!$K$5,".",IF(A6575=".",1,A6575+1))</f>
        <v>.</v>
      </c>
      <c r="B6576" s="431" t="str">
        <f t="shared" si="102"/>
        <v>Varicose VeinCCG of GP PracticeNHS LEWISHAM CCG (08L)EQ VAS</v>
      </c>
      <c r="C6576" t="s">
        <v>17</v>
      </c>
      <c r="D6576" t="s">
        <v>87</v>
      </c>
      <c r="E6576" t="s">
        <v>557</v>
      </c>
      <c r="F6576" t="s">
        <v>558</v>
      </c>
      <c r="G6576" t="s">
        <v>179</v>
      </c>
      <c r="H6576">
        <v>36</v>
      </c>
      <c r="I6576">
        <v>75.028000000000006</v>
      </c>
      <c r="J6576">
        <v>74.417000000000002</v>
      </c>
      <c r="K6576">
        <v>-0.61099999999999999</v>
      </c>
      <c r="L6576">
        <v>16</v>
      </c>
      <c r="M6576">
        <v>6</v>
      </c>
      <c r="N6576">
        <v>14</v>
      </c>
      <c r="O6576">
        <v>79.183000000000007</v>
      </c>
      <c r="P6576">
        <v>0.218997262</v>
      </c>
      <c r="Q6576">
        <v>14.000999999999999</v>
      </c>
    </row>
    <row r="6577" spans="1:17" x14ac:dyDescent="0.2">
      <c r="A6577" s="30" t="str">
        <f>IF(C6577&amp;G6577&amp;D6577&lt;&gt;'Funnel setup'!$K$3&amp;'Funnel setup'!$K$4&amp;'Funnel setup'!$K$5,".",IF(A6576=".",1,A6576+1))</f>
        <v>.</v>
      </c>
      <c r="B6577" s="431" t="str">
        <f t="shared" si="102"/>
        <v>Varicose VeinCCG of GP PracticeNHS LINCOLNSHIRE EAST CCG (03T)EQ VAS</v>
      </c>
      <c r="C6577" t="s">
        <v>17</v>
      </c>
      <c r="D6577" t="s">
        <v>87</v>
      </c>
      <c r="E6577" t="s">
        <v>560</v>
      </c>
      <c r="F6577" t="s">
        <v>561</v>
      </c>
      <c r="G6577" t="s">
        <v>179</v>
      </c>
      <c r="H6577">
        <v>25</v>
      </c>
      <c r="I6577">
        <v>80.680000000000007</v>
      </c>
      <c r="J6577">
        <v>81.400000000000006</v>
      </c>
      <c r="K6577">
        <v>0.72</v>
      </c>
      <c r="L6577">
        <v>12</v>
      </c>
      <c r="M6577">
        <v>4</v>
      </c>
      <c r="N6577">
        <v>9</v>
      </c>
      <c r="O6577" t="s">
        <v>53</v>
      </c>
      <c r="P6577" t="s">
        <v>53</v>
      </c>
      <c r="Q6577" t="s">
        <v>53</v>
      </c>
    </row>
    <row r="6578" spans="1:17" x14ac:dyDescent="0.2">
      <c r="A6578" s="30" t="str">
        <f>IF(C6578&amp;G6578&amp;D6578&lt;&gt;'Funnel setup'!$K$3&amp;'Funnel setup'!$K$4&amp;'Funnel setup'!$K$5,".",IF(A6577=".",1,A6577+1))</f>
        <v>.</v>
      </c>
      <c r="B6578" s="431" t="str">
        <f t="shared" si="102"/>
        <v>Varicose VeinCCG of GP PracticeNHS LINCOLNSHIRE WEST CCG (04D)EQ VAS</v>
      </c>
      <c r="C6578" t="s">
        <v>17</v>
      </c>
      <c r="D6578" t="s">
        <v>87</v>
      </c>
      <c r="E6578" t="s">
        <v>408</v>
      </c>
      <c r="F6578" t="s">
        <v>409</v>
      </c>
      <c r="G6578" t="s">
        <v>179</v>
      </c>
      <c r="H6578">
        <v>15</v>
      </c>
      <c r="I6578">
        <v>72.132999999999996</v>
      </c>
      <c r="J6578">
        <v>71.132999999999996</v>
      </c>
      <c r="K6578">
        <v>-1</v>
      </c>
      <c r="L6578">
        <v>8</v>
      </c>
      <c r="M6578">
        <v>2</v>
      </c>
      <c r="N6578">
        <v>5</v>
      </c>
      <c r="O6578" t="s">
        <v>53</v>
      </c>
      <c r="P6578" t="s">
        <v>53</v>
      </c>
      <c r="Q6578" t="s">
        <v>53</v>
      </c>
    </row>
    <row r="6579" spans="1:17" x14ac:dyDescent="0.2">
      <c r="A6579" s="30" t="str">
        <f>IF(C6579&amp;G6579&amp;D6579&lt;&gt;'Funnel setup'!$K$3&amp;'Funnel setup'!$K$4&amp;'Funnel setup'!$K$5,".",IF(A6578=".",1,A6578+1))</f>
        <v>.</v>
      </c>
      <c r="B6579" s="431" t="str">
        <f t="shared" si="102"/>
        <v>Varicose VeinCCG of GP PracticeNHS LIVERPOOL CCG (99A)EQ VAS</v>
      </c>
      <c r="C6579" t="s">
        <v>17</v>
      </c>
      <c r="D6579" t="s">
        <v>87</v>
      </c>
      <c r="E6579" t="s">
        <v>411</v>
      </c>
      <c r="F6579" t="s">
        <v>412</v>
      </c>
      <c r="G6579" t="s">
        <v>179</v>
      </c>
      <c r="H6579">
        <v>26</v>
      </c>
      <c r="I6579">
        <v>71.191999999999993</v>
      </c>
      <c r="J6579">
        <v>67.191999999999993</v>
      </c>
      <c r="K6579">
        <v>-4</v>
      </c>
      <c r="L6579">
        <v>10</v>
      </c>
      <c r="M6579">
        <v>3</v>
      </c>
      <c r="N6579">
        <v>13</v>
      </c>
      <c r="O6579" t="s">
        <v>53</v>
      </c>
      <c r="P6579" t="s">
        <v>53</v>
      </c>
      <c r="Q6579" t="s">
        <v>53</v>
      </c>
    </row>
    <row r="6580" spans="1:17" x14ac:dyDescent="0.2">
      <c r="A6580" s="30" t="str">
        <f>IF(C6580&amp;G6580&amp;D6580&lt;&gt;'Funnel setup'!$K$3&amp;'Funnel setup'!$K$4&amp;'Funnel setup'!$K$5,".",IF(A6579=".",1,A6579+1))</f>
        <v>.</v>
      </c>
      <c r="B6580" s="431" t="str">
        <f t="shared" si="102"/>
        <v>Varicose VeinCCG of GP PracticeNHS LUTON CCG (06P)EQ VAS</v>
      </c>
      <c r="C6580" t="s">
        <v>17</v>
      </c>
      <c r="D6580" t="s">
        <v>87</v>
      </c>
      <c r="E6580" t="s">
        <v>414</v>
      </c>
      <c r="F6580" t="s">
        <v>415</v>
      </c>
      <c r="G6580" t="s">
        <v>179</v>
      </c>
      <c r="H6580">
        <v>17</v>
      </c>
      <c r="I6580">
        <v>71.352999999999994</v>
      </c>
      <c r="J6580">
        <v>72.647000000000006</v>
      </c>
      <c r="K6580">
        <v>1.294</v>
      </c>
      <c r="L6580">
        <v>7</v>
      </c>
      <c r="M6580">
        <v>3</v>
      </c>
      <c r="N6580">
        <v>7</v>
      </c>
      <c r="O6580" t="s">
        <v>53</v>
      </c>
      <c r="P6580" t="s">
        <v>53</v>
      </c>
      <c r="Q6580" t="s">
        <v>53</v>
      </c>
    </row>
    <row r="6581" spans="1:17" x14ac:dyDescent="0.2">
      <c r="A6581" s="30" t="str">
        <f>IF(C6581&amp;G6581&amp;D6581&lt;&gt;'Funnel setup'!$K$3&amp;'Funnel setup'!$K$4&amp;'Funnel setup'!$K$5,".",IF(A6580=".",1,A6580+1))</f>
        <v>.</v>
      </c>
      <c r="B6581" s="431" t="str">
        <f t="shared" si="102"/>
        <v>Varicose VeinCCG of GP PracticeNHS MANSFIELD AND ASHFIELD CCG (04E)EQ VAS</v>
      </c>
      <c r="C6581" t="s">
        <v>17</v>
      </c>
      <c r="D6581" t="s">
        <v>87</v>
      </c>
      <c r="E6581" t="s">
        <v>417</v>
      </c>
      <c r="F6581" t="s">
        <v>418</v>
      </c>
      <c r="G6581" t="s">
        <v>179</v>
      </c>
      <c r="H6581">
        <v>55</v>
      </c>
      <c r="I6581">
        <v>75.509</v>
      </c>
      <c r="J6581">
        <v>75.763999999999996</v>
      </c>
      <c r="K6581">
        <v>0.255</v>
      </c>
      <c r="L6581">
        <v>23</v>
      </c>
      <c r="M6581">
        <v>12</v>
      </c>
      <c r="N6581">
        <v>20</v>
      </c>
      <c r="O6581">
        <v>77.941999999999993</v>
      </c>
      <c r="P6581">
        <v>-1.0220819910000001</v>
      </c>
      <c r="Q6581">
        <v>19.187000000000001</v>
      </c>
    </row>
    <row r="6582" spans="1:17" x14ac:dyDescent="0.2">
      <c r="A6582" s="30" t="str">
        <f>IF(C6582&amp;G6582&amp;D6582&lt;&gt;'Funnel setup'!$K$3&amp;'Funnel setup'!$K$4&amp;'Funnel setup'!$K$5,".",IF(A6581=".",1,A6581+1))</f>
        <v>.</v>
      </c>
      <c r="B6582" s="431" t="str">
        <f t="shared" si="102"/>
        <v>Varicose VeinCCG of GP PracticeNHS MEDWAY CCG (09W)EQ VAS</v>
      </c>
      <c r="C6582" t="s">
        <v>17</v>
      </c>
      <c r="D6582" t="s">
        <v>87</v>
      </c>
      <c r="E6582" t="s">
        <v>610</v>
      </c>
      <c r="F6582" t="s">
        <v>611</v>
      </c>
      <c r="G6582" t="s">
        <v>179</v>
      </c>
      <c r="H6582">
        <v>14</v>
      </c>
      <c r="I6582">
        <v>82.143000000000001</v>
      </c>
      <c r="J6582">
        <v>79.429000000000002</v>
      </c>
      <c r="K6582">
        <v>-2.714</v>
      </c>
      <c r="L6582">
        <v>3</v>
      </c>
      <c r="M6582">
        <v>2</v>
      </c>
      <c r="N6582">
        <v>9</v>
      </c>
      <c r="O6582" t="s">
        <v>53</v>
      </c>
      <c r="P6582" t="s">
        <v>53</v>
      </c>
      <c r="Q6582" t="s">
        <v>53</v>
      </c>
    </row>
    <row r="6583" spans="1:17" x14ac:dyDescent="0.2">
      <c r="A6583" s="30" t="str">
        <f>IF(C6583&amp;G6583&amp;D6583&lt;&gt;'Funnel setup'!$K$3&amp;'Funnel setup'!$K$4&amp;'Funnel setup'!$K$5,".",IF(A6582=".",1,A6582+1))</f>
        <v>.</v>
      </c>
      <c r="B6583" s="431" t="str">
        <f t="shared" si="102"/>
        <v>Varicose VeinCCG of GP PracticeNHS MERTON CCG (08R)EQ VAS</v>
      </c>
      <c r="C6583" t="s">
        <v>17</v>
      </c>
      <c r="D6583" t="s">
        <v>87</v>
      </c>
      <c r="E6583" t="s">
        <v>613</v>
      </c>
      <c r="F6583" t="s">
        <v>614</v>
      </c>
      <c r="G6583" t="s">
        <v>179</v>
      </c>
      <c r="H6583">
        <v>14</v>
      </c>
      <c r="I6583">
        <v>73.070999999999998</v>
      </c>
      <c r="J6583">
        <v>70.786000000000001</v>
      </c>
      <c r="K6583">
        <v>-2.286</v>
      </c>
      <c r="L6583">
        <v>3</v>
      </c>
      <c r="M6583">
        <v>3</v>
      </c>
      <c r="N6583">
        <v>8</v>
      </c>
      <c r="O6583" t="s">
        <v>53</v>
      </c>
      <c r="P6583" t="s">
        <v>53</v>
      </c>
      <c r="Q6583" t="s">
        <v>53</v>
      </c>
    </row>
    <row r="6584" spans="1:17" x14ac:dyDescent="0.2">
      <c r="A6584" s="30" t="str">
        <f>IF(C6584&amp;G6584&amp;D6584&lt;&gt;'Funnel setup'!$K$3&amp;'Funnel setup'!$K$4&amp;'Funnel setup'!$K$5,".",IF(A6583=".",1,A6583+1))</f>
        <v>.</v>
      </c>
      <c r="B6584" s="431" t="str">
        <f t="shared" si="102"/>
        <v>Varicose VeinCCG of GP PracticeNHS MID ESSEX CCG (06Q)EQ VAS</v>
      </c>
      <c r="C6584" t="s">
        <v>17</v>
      </c>
      <c r="D6584" t="s">
        <v>87</v>
      </c>
      <c r="E6584" t="s">
        <v>616</v>
      </c>
      <c r="F6584" t="s">
        <v>617</v>
      </c>
      <c r="G6584" t="s">
        <v>179</v>
      </c>
      <c r="H6584">
        <v>22</v>
      </c>
      <c r="I6584">
        <v>67.727000000000004</v>
      </c>
      <c r="J6584">
        <v>73.590999999999994</v>
      </c>
      <c r="K6584">
        <v>5.8639999999999999</v>
      </c>
      <c r="L6584">
        <v>10</v>
      </c>
      <c r="M6584">
        <v>3</v>
      </c>
      <c r="N6584">
        <v>9</v>
      </c>
      <c r="O6584" t="s">
        <v>53</v>
      </c>
      <c r="P6584" t="s">
        <v>53</v>
      </c>
      <c r="Q6584" t="s">
        <v>53</v>
      </c>
    </row>
    <row r="6585" spans="1:17" x14ac:dyDescent="0.2">
      <c r="A6585" s="30" t="str">
        <f>IF(C6585&amp;G6585&amp;D6585&lt;&gt;'Funnel setup'!$K$3&amp;'Funnel setup'!$K$4&amp;'Funnel setup'!$K$5,".",IF(A6584=".",1,A6584+1))</f>
        <v>.</v>
      </c>
      <c r="B6585" s="431" t="str">
        <f t="shared" si="102"/>
        <v>Varicose VeinCCG of GP PracticeNHS MILTON KEYNES CCG (04F)EQ VAS</v>
      </c>
      <c r="C6585" t="s">
        <v>17</v>
      </c>
      <c r="D6585" t="s">
        <v>87</v>
      </c>
      <c r="E6585" t="s">
        <v>619</v>
      </c>
      <c r="F6585" t="s">
        <v>338</v>
      </c>
      <c r="G6585" t="s">
        <v>179</v>
      </c>
      <c r="H6585">
        <v>20</v>
      </c>
      <c r="I6585">
        <v>78</v>
      </c>
      <c r="J6585">
        <v>75.849999999999994</v>
      </c>
      <c r="K6585">
        <v>-2.15</v>
      </c>
      <c r="L6585">
        <v>10</v>
      </c>
      <c r="M6585">
        <v>4</v>
      </c>
      <c r="N6585">
        <v>6</v>
      </c>
      <c r="O6585" t="s">
        <v>53</v>
      </c>
      <c r="P6585" t="s">
        <v>53</v>
      </c>
      <c r="Q6585" t="s">
        <v>53</v>
      </c>
    </row>
    <row r="6586" spans="1:17" x14ac:dyDescent="0.2">
      <c r="A6586" s="30" t="str">
        <f>IF(C6586&amp;G6586&amp;D6586&lt;&gt;'Funnel setup'!$K$3&amp;'Funnel setup'!$K$4&amp;'Funnel setup'!$K$5,".",IF(A6585=".",1,A6585+1))</f>
        <v>.</v>
      </c>
      <c r="B6586" s="431" t="str">
        <f t="shared" si="102"/>
        <v>Varicose VeinCCG of GP PracticeNHS NENE CCG (04G)EQ VAS</v>
      </c>
      <c r="C6586" t="s">
        <v>17</v>
      </c>
      <c r="D6586" t="s">
        <v>87</v>
      </c>
      <c r="E6586" t="s">
        <v>621</v>
      </c>
      <c r="F6586" t="s">
        <v>622</v>
      </c>
      <c r="G6586" t="s">
        <v>179</v>
      </c>
      <c r="H6586">
        <v>30</v>
      </c>
      <c r="I6586">
        <v>80.066999999999993</v>
      </c>
      <c r="J6586">
        <v>78.933000000000007</v>
      </c>
      <c r="K6586">
        <v>-1.133</v>
      </c>
      <c r="L6586">
        <v>10</v>
      </c>
      <c r="M6586">
        <v>8</v>
      </c>
      <c r="N6586">
        <v>12</v>
      </c>
      <c r="O6586">
        <v>79.728999999999999</v>
      </c>
      <c r="P6586">
        <v>0.76458842599999999</v>
      </c>
      <c r="Q6586">
        <v>11.712</v>
      </c>
    </row>
    <row r="6587" spans="1:17" x14ac:dyDescent="0.2">
      <c r="A6587" s="30" t="str">
        <f>IF(C6587&amp;G6587&amp;D6587&lt;&gt;'Funnel setup'!$K$3&amp;'Funnel setup'!$K$4&amp;'Funnel setup'!$K$5,".",IF(A6586=".",1,A6586+1))</f>
        <v>.</v>
      </c>
      <c r="B6587" s="431" t="str">
        <f t="shared" si="102"/>
        <v>Varicose VeinCCG of GP PracticeNHS NEWARK &amp; SHERWOOD CCG (04H)EQ VAS</v>
      </c>
      <c r="C6587" t="s">
        <v>17</v>
      </c>
      <c r="D6587" t="s">
        <v>87</v>
      </c>
      <c r="E6587" t="s">
        <v>624</v>
      </c>
      <c r="F6587" t="s">
        <v>625</v>
      </c>
      <c r="G6587" t="s">
        <v>179</v>
      </c>
      <c r="H6587">
        <v>30</v>
      </c>
      <c r="I6587">
        <v>83.7</v>
      </c>
      <c r="J6587">
        <v>82.867000000000004</v>
      </c>
      <c r="K6587">
        <v>-0.83299999999999996</v>
      </c>
      <c r="L6587">
        <v>11</v>
      </c>
      <c r="M6587">
        <v>7</v>
      </c>
      <c r="N6587">
        <v>12</v>
      </c>
      <c r="O6587">
        <v>80.23</v>
      </c>
      <c r="P6587">
        <v>1.2657585200000001</v>
      </c>
      <c r="Q6587">
        <v>9.6419999999999995</v>
      </c>
    </row>
    <row r="6588" spans="1:17" x14ac:dyDescent="0.2">
      <c r="A6588" s="30" t="str">
        <f>IF(C6588&amp;G6588&amp;D6588&lt;&gt;'Funnel setup'!$K$3&amp;'Funnel setup'!$K$4&amp;'Funnel setup'!$K$5,".",IF(A6587=".",1,A6587+1))</f>
        <v>.</v>
      </c>
      <c r="B6588" s="431" t="str">
        <f t="shared" si="102"/>
        <v>Varicose VeinCCG of GP PracticeNHS NEWCASTLE GATESHEAD CCG (13T)EQ VAS</v>
      </c>
      <c r="C6588" t="s">
        <v>17</v>
      </c>
      <c r="D6588" t="s">
        <v>87</v>
      </c>
      <c r="E6588" t="s">
        <v>6553</v>
      </c>
      <c r="F6588" t="s">
        <v>6543</v>
      </c>
      <c r="G6588" t="s">
        <v>179</v>
      </c>
      <c r="H6588">
        <v>128</v>
      </c>
      <c r="I6588">
        <v>81.352000000000004</v>
      </c>
      <c r="J6588">
        <v>77.977000000000004</v>
      </c>
      <c r="K6588">
        <v>-3.375</v>
      </c>
      <c r="L6588">
        <v>41</v>
      </c>
      <c r="M6588">
        <v>23</v>
      </c>
      <c r="N6588">
        <v>64</v>
      </c>
      <c r="O6588">
        <v>76.616</v>
      </c>
      <c r="P6588">
        <v>-2.347668165</v>
      </c>
      <c r="Q6588">
        <v>14.72</v>
      </c>
    </row>
    <row r="6589" spans="1:17" x14ac:dyDescent="0.2">
      <c r="A6589" s="30" t="str">
        <f>IF(C6589&amp;G6589&amp;D6589&lt;&gt;'Funnel setup'!$K$3&amp;'Funnel setup'!$K$4&amp;'Funnel setup'!$K$5,".",IF(A6588=".",1,A6588+1))</f>
        <v>.</v>
      </c>
      <c r="B6589" s="431" t="str">
        <f t="shared" si="102"/>
        <v>Varicose VeinCCG of GP PracticeNHS NEWHAM CCG (08M)EQ VAS</v>
      </c>
      <c r="C6589" t="s">
        <v>17</v>
      </c>
      <c r="D6589" t="s">
        <v>87</v>
      </c>
      <c r="E6589" t="s">
        <v>630</v>
      </c>
      <c r="F6589" t="s">
        <v>631</v>
      </c>
      <c r="G6589" t="s">
        <v>179</v>
      </c>
      <c r="H6589">
        <v>19</v>
      </c>
      <c r="I6589">
        <v>72.578999999999994</v>
      </c>
      <c r="J6589">
        <v>73.525999999999996</v>
      </c>
      <c r="K6589">
        <v>0.94699999999999995</v>
      </c>
      <c r="L6589">
        <v>9</v>
      </c>
      <c r="M6589">
        <v>4</v>
      </c>
      <c r="N6589">
        <v>6</v>
      </c>
      <c r="O6589" t="s">
        <v>53</v>
      </c>
      <c r="P6589" t="s">
        <v>53</v>
      </c>
      <c r="Q6589" t="s">
        <v>53</v>
      </c>
    </row>
    <row r="6590" spans="1:17" x14ac:dyDescent="0.2">
      <c r="A6590" s="30" t="str">
        <f>IF(C6590&amp;G6590&amp;D6590&lt;&gt;'Funnel setup'!$K$3&amp;'Funnel setup'!$K$4&amp;'Funnel setup'!$K$5,".",IF(A6589=".",1,A6589+1))</f>
        <v>.</v>
      </c>
      <c r="B6590" s="431" t="str">
        <f t="shared" si="102"/>
        <v>Varicose VeinCCG of GP PracticeNHS NORTH &amp; WEST READING CCG (10N)EQ VAS</v>
      </c>
      <c r="C6590" t="s">
        <v>17</v>
      </c>
      <c r="D6590" t="s">
        <v>87</v>
      </c>
      <c r="E6590" t="s">
        <v>633</v>
      </c>
      <c r="F6590" t="s">
        <v>634</v>
      </c>
      <c r="G6590" t="s">
        <v>179</v>
      </c>
      <c r="H6590" t="s">
        <v>53</v>
      </c>
      <c r="I6590" t="s">
        <v>53</v>
      </c>
      <c r="J6590" t="s">
        <v>53</v>
      </c>
      <c r="K6590" t="s">
        <v>53</v>
      </c>
      <c r="L6590" t="s">
        <v>53</v>
      </c>
      <c r="M6590" t="s">
        <v>53</v>
      </c>
      <c r="N6590" t="s">
        <v>53</v>
      </c>
      <c r="O6590" t="s">
        <v>53</v>
      </c>
      <c r="P6590" t="s">
        <v>53</v>
      </c>
      <c r="Q6590" t="s">
        <v>53</v>
      </c>
    </row>
    <row r="6591" spans="1:17" x14ac:dyDescent="0.2">
      <c r="A6591" s="30" t="str">
        <f>IF(C6591&amp;G6591&amp;D6591&lt;&gt;'Funnel setup'!$K$3&amp;'Funnel setup'!$K$4&amp;'Funnel setup'!$K$5,".",IF(A6590=".",1,A6590+1))</f>
        <v>.</v>
      </c>
      <c r="B6591" s="431" t="str">
        <f t="shared" si="102"/>
        <v>Varicose VeinCCG of GP PracticeNHS NORTH DERBYSHIRE CCG (04J)EQ VAS</v>
      </c>
      <c r="C6591" t="s">
        <v>17</v>
      </c>
      <c r="D6591" t="s">
        <v>87</v>
      </c>
      <c r="E6591" t="s">
        <v>636</v>
      </c>
      <c r="F6591" t="s">
        <v>637</v>
      </c>
      <c r="G6591" t="s">
        <v>179</v>
      </c>
      <c r="H6591">
        <v>36</v>
      </c>
      <c r="I6591">
        <v>84.778000000000006</v>
      </c>
      <c r="J6591">
        <v>84.361000000000004</v>
      </c>
      <c r="K6591">
        <v>-0.41699999999999998</v>
      </c>
      <c r="L6591">
        <v>12</v>
      </c>
      <c r="M6591">
        <v>10</v>
      </c>
      <c r="N6591">
        <v>14</v>
      </c>
      <c r="O6591">
        <v>79.822000000000003</v>
      </c>
      <c r="P6591">
        <v>0.85799723299999997</v>
      </c>
      <c r="Q6591">
        <v>11.356999999999999</v>
      </c>
    </row>
    <row r="6592" spans="1:17" x14ac:dyDescent="0.2">
      <c r="A6592" s="30" t="str">
        <f>IF(C6592&amp;G6592&amp;D6592&lt;&gt;'Funnel setup'!$K$3&amp;'Funnel setup'!$K$4&amp;'Funnel setup'!$K$5,".",IF(A6591=".",1,A6591+1))</f>
        <v>.</v>
      </c>
      <c r="B6592" s="431" t="str">
        <f t="shared" si="102"/>
        <v>Varicose VeinCCG of GP PracticeNHS NORTH DURHAM CCG (00J)EQ VAS</v>
      </c>
      <c r="C6592" t="s">
        <v>17</v>
      </c>
      <c r="D6592" t="s">
        <v>87</v>
      </c>
      <c r="E6592" t="s">
        <v>639</v>
      </c>
      <c r="F6592" t="s">
        <v>640</v>
      </c>
      <c r="G6592" t="s">
        <v>179</v>
      </c>
      <c r="H6592">
        <v>24</v>
      </c>
      <c r="I6592">
        <v>77.875</v>
      </c>
      <c r="J6592">
        <v>78.792000000000002</v>
      </c>
      <c r="K6592">
        <v>0.91700000000000004</v>
      </c>
      <c r="L6592">
        <v>11</v>
      </c>
      <c r="M6592">
        <v>3</v>
      </c>
      <c r="N6592">
        <v>10</v>
      </c>
      <c r="O6592" t="s">
        <v>53</v>
      </c>
      <c r="P6592" t="s">
        <v>53</v>
      </c>
      <c r="Q6592" t="s">
        <v>53</v>
      </c>
    </row>
    <row r="6593" spans="1:17" x14ac:dyDescent="0.2">
      <c r="A6593" s="30" t="str">
        <f>IF(C6593&amp;G6593&amp;D6593&lt;&gt;'Funnel setup'!$K$3&amp;'Funnel setup'!$K$4&amp;'Funnel setup'!$K$5,".",IF(A6592=".",1,A6592+1))</f>
        <v>.</v>
      </c>
      <c r="B6593" s="431" t="str">
        <f t="shared" si="102"/>
        <v>Varicose VeinCCG of GP PracticeNHS NORTH EAST ESSEX CCG (06T)EQ VAS</v>
      </c>
      <c r="C6593" t="s">
        <v>17</v>
      </c>
      <c r="D6593" t="s">
        <v>87</v>
      </c>
      <c r="E6593" t="s">
        <v>642</v>
      </c>
      <c r="F6593" t="s">
        <v>643</v>
      </c>
      <c r="G6593" t="s">
        <v>179</v>
      </c>
      <c r="H6593">
        <v>17</v>
      </c>
      <c r="I6593">
        <v>75.117999999999995</v>
      </c>
      <c r="J6593">
        <v>66.941000000000003</v>
      </c>
      <c r="K6593">
        <v>-8.1760000000000002</v>
      </c>
      <c r="L6593">
        <v>5</v>
      </c>
      <c r="M6593">
        <v>2</v>
      </c>
      <c r="N6593">
        <v>10</v>
      </c>
      <c r="O6593" t="s">
        <v>53</v>
      </c>
      <c r="P6593" t="s">
        <v>53</v>
      </c>
      <c r="Q6593" t="s">
        <v>53</v>
      </c>
    </row>
    <row r="6594" spans="1:17" x14ac:dyDescent="0.2">
      <c r="A6594" s="30" t="str">
        <f>IF(C6594&amp;G6594&amp;D6594&lt;&gt;'Funnel setup'!$K$3&amp;'Funnel setup'!$K$4&amp;'Funnel setup'!$K$5,".",IF(A6593=".",1,A6593+1))</f>
        <v>.</v>
      </c>
      <c r="B6594" s="431" t="str">
        <f t="shared" si="102"/>
        <v>Varicose VeinCCG of GP PracticeNHS NORTH EAST HAMPSHIRE AND FARNHAM CCG (99M)EQ VAS</v>
      </c>
      <c r="C6594" t="s">
        <v>17</v>
      </c>
      <c r="D6594" t="s">
        <v>87</v>
      </c>
      <c r="E6594" t="s">
        <v>645</v>
      </c>
      <c r="F6594" t="s">
        <v>646</v>
      </c>
      <c r="G6594" t="s">
        <v>179</v>
      </c>
      <c r="H6594">
        <v>8</v>
      </c>
      <c r="I6594">
        <v>84.375</v>
      </c>
      <c r="J6594">
        <v>83.625</v>
      </c>
      <c r="K6594">
        <v>-0.75</v>
      </c>
      <c r="L6594">
        <v>4</v>
      </c>
      <c r="M6594">
        <v>1</v>
      </c>
      <c r="N6594">
        <v>3</v>
      </c>
      <c r="O6594" t="s">
        <v>53</v>
      </c>
      <c r="P6594" t="s">
        <v>53</v>
      </c>
      <c r="Q6594" t="s">
        <v>53</v>
      </c>
    </row>
    <row r="6595" spans="1:17" x14ac:dyDescent="0.2">
      <c r="A6595" s="30" t="str">
        <f>IF(C6595&amp;G6595&amp;D6595&lt;&gt;'Funnel setup'!$K$3&amp;'Funnel setup'!$K$4&amp;'Funnel setup'!$K$5,".",IF(A6594=".",1,A6594+1))</f>
        <v>.</v>
      </c>
      <c r="B6595" s="431" t="str">
        <f t="shared" ref="B6595:B6658" si="103">C6595&amp;D6595&amp;F6595&amp;G6595</f>
        <v>Varicose VeinCCG of GP PracticeNHS NORTH EAST LINCOLNSHIRE CCG (03H)EQ VAS</v>
      </c>
      <c r="C6595" t="s">
        <v>17</v>
      </c>
      <c r="D6595" t="s">
        <v>87</v>
      </c>
      <c r="E6595" t="s">
        <v>648</v>
      </c>
      <c r="F6595" t="s">
        <v>649</v>
      </c>
      <c r="G6595" t="s">
        <v>179</v>
      </c>
      <c r="H6595" t="s">
        <v>53</v>
      </c>
      <c r="I6595" t="s">
        <v>53</v>
      </c>
      <c r="J6595" t="s">
        <v>53</v>
      </c>
      <c r="K6595" t="s">
        <v>53</v>
      </c>
      <c r="L6595" t="s">
        <v>53</v>
      </c>
      <c r="M6595" t="s">
        <v>53</v>
      </c>
      <c r="N6595" t="s">
        <v>53</v>
      </c>
      <c r="O6595" t="s">
        <v>53</v>
      </c>
      <c r="P6595" t="s">
        <v>53</v>
      </c>
      <c r="Q6595" t="s">
        <v>53</v>
      </c>
    </row>
    <row r="6596" spans="1:17" x14ac:dyDescent="0.2">
      <c r="A6596" s="30" t="str">
        <f>IF(C6596&amp;G6596&amp;D6596&lt;&gt;'Funnel setup'!$K$3&amp;'Funnel setup'!$K$4&amp;'Funnel setup'!$K$5,".",IF(A6595=".",1,A6595+1))</f>
        <v>.</v>
      </c>
      <c r="B6596" s="431" t="str">
        <f t="shared" si="103"/>
        <v>Varicose VeinCCG of GP PracticeNHS NORTH KIRKLEES CCG (03J)EQ VAS</v>
      </c>
      <c r="C6596" t="s">
        <v>17</v>
      </c>
      <c r="D6596" t="s">
        <v>87</v>
      </c>
      <c r="E6596" t="s">
        <v>654</v>
      </c>
      <c r="F6596" t="s">
        <v>655</v>
      </c>
      <c r="G6596" t="s">
        <v>179</v>
      </c>
      <c r="H6596">
        <v>18</v>
      </c>
      <c r="I6596">
        <v>83.555999999999997</v>
      </c>
      <c r="J6596">
        <v>78.332999999999998</v>
      </c>
      <c r="K6596">
        <v>-5.2220000000000004</v>
      </c>
      <c r="L6596">
        <v>5</v>
      </c>
      <c r="M6596">
        <v>5</v>
      </c>
      <c r="N6596">
        <v>8</v>
      </c>
      <c r="O6596" t="s">
        <v>53</v>
      </c>
      <c r="P6596" t="s">
        <v>53</v>
      </c>
      <c r="Q6596" t="s">
        <v>53</v>
      </c>
    </row>
    <row r="6597" spans="1:17" x14ac:dyDescent="0.2">
      <c r="A6597" s="30" t="str">
        <f>IF(C6597&amp;G6597&amp;D6597&lt;&gt;'Funnel setup'!$K$3&amp;'Funnel setup'!$K$4&amp;'Funnel setup'!$K$5,".",IF(A6596=".",1,A6596+1))</f>
        <v>.</v>
      </c>
      <c r="B6597" s="431" t="str">
        <f t="shared" si="103"/>
        <v>Varicose VeinCCG of GP PracticeNHS NORTH LINCOLNSHIRE CCG (03K)EQ VAS</v>
      </c>
      <c r="C6597" t="s">
        <v>17</v>
      </c>
      <c r="D6597" t="s">
        <v>87</v>
      </c>
      <c r="E6597" t="s">
        <v>657</v>
      </c>
      <c r="F6597" t="s">
        <v>658</v>
      </c>
      <c r="G6597" t="s">
        <v>179</v>
      </c>
      <c r="H6597">
        <v>9</v>
      </c>
      <c r="I6597">
        <v>87.111000000000004</v>
      </c>
      <c r="J6597">
        <v>85.111000000000004</v>
      </c>
      <c r="K6597">
        <v>-2</v>
      </c>
      <c r="L6597">
        <v>2</v>
      </c>
      <c r="M6597">
        <v>2</v>
      </c>
      <c r="N6597">
        <v>5</v>
      </c>
      <c r="O6597" t="s">
        <v>53</v>
      </c>
      <c r="P6597" t="s">
        <v>53</v>
      </c>
      <c r="Q6597" t="s">
        <v>53</v>
      </c>
    </row>
    <row r="6598" spans="1:17" x14ac:dyDescent="0.2">
      <c r="A6598" s="30" t="str">
        <f>IF(C6598&amp;G6598&amp;D6598&lt;&gt;'Funnel setup'!$K$3&amp;'Funnel setup'!$K$4&amp;'Funnel setup'!$K$5,".",IF(A6597=".",1,A6597+1))</f>
        <v>.</v>
      </c>
      <c r="B6598" s="431" t="str">
        <f t="shared" si="103"/>
        <v>Varicose VeinCCG of GP PracticeNHS NORTH MANCHESTER CCG (01M)EQ VAS</v>
      </c>
      <c r="C6598" t="s">
        <v>17</v>
      </c>
      <c r="D6598" t="s">
        <v>87</v>
      </c>
      <c r="E6598" t="s">
        <v>660</v>
      </c>
      <c r="F6598" t="s">
        <v>661</v>
      </c>
      <c r="G6598" t="s">
        <v>179</v>
      </c>
      <c r="H6598" t="s">
        <v>53</v>
      </c>
      <c r="I6598" t="s">
        <v>53</v>
      </c>
      <c r="J6598" t="s">
        <v>53</v>
      </c>
      <c r="K6598" t="s">
        <v>53</v>
      </c>
      <c r="L6598" t="s">
        <v>53</v>
      </c>
      <c r="M6598" t="s">
        <v>53</v>
      </c>
      <c r="N6598" t="s">
        <v>53</v>
      </c>
      <c r="O6598" t="s">
        <v>53</v>
      </c>
      <c r="P6598" t="s">
        <v>53</v>
      </c>
      <c r="Q6598" t="s">
        <v>53</v>
      </c>
    </row>
    <row r="6599" spans="1:17" x14ac:dyDescent="0.2">
      <c r="A6599" s="30" t="str">
        <f>IF(C6599&amp;G6599&amp;D6599&lt;&gt;'Funnel setup'!$K$3&amp;'Funnel setup'!$K$4&amp;'Funnel setup'!$K$5,".",IF(A6598=".",1,A6598+1))</f>
        <v>.</v>
      </c>
      <c r="B6599" s="431" t="str">
        <f t="shared" si="103"/>
        <v>Varicose VeinCCG of GP PracticeNHS NORTH NORFOLK CCG (06V)EQ VAS</v>
      </c>
      <c r="C6599" t="s">
        <v>17</v>
      </c>
      <c r="D6599" t="s">
        <v>87</v>
      </c>
      <c r="E6599" t="s">
        <v>663</v>
      </c>
      <c r="F6599" t="s">
        <v>664</v>
      </c>
      <c r="G6599" t="s">
        <v>179</v>
      </c>
      <c r="H6599">
        <v>56</v>
      </c>
      <c r="I6599">
        <v>82.018000000000001</v>
      </c>
      <c r="J6599">
        <v>83.463999999999999</v>
      </c>
      <c r="K6599">
        <v>1.446</v>
      </c>
      <c r="L6599">
        <v>24</v>
      </c>
      <c r="M6599">
        <v>10</v>
      </c>
      <c r="N6599">
        <v>22</v>
      </c>
      <c r="O6599">
        <v>82.536000000000001</v>
      </c>
      <c r="P6599">
        <v>3.5717003709999999</v>
      </c>
      <c r="Q6599">
        <v>8.1140000000000008</v>
      </c>
    </row>
    <row r="6600" spans="1:17" x14ac:dyDescent="0.2">
      <c r="A6600" s="30" t="str">
        <f>IF(C6600&amp;G6600&amp;D6600&lt;&gt;'Funnel setup'!$K$3&amp;'Funnel setup'!$K$4&amp;'Funnel setup'!$K$5,".",IF(A6599=".",1,A6599+1))</f>
        <v>.</v>
      </c>
      <c r="B6600" s="431" t="str">
        <f t="shared" si="103"/>
        <v>Varicose VeinCCG of GP PracticeNHS NORTH SOMERSET CCG (11T)EQ VAS</v>
      </c>
      <c r="C6600" t="s">
        <v>17</v>
      </c>
      <c r="D6600" t="s">
        <v>87</v>
      </c>
      <c r="E6600" t="s">
        <v>666</v>
      </c>
      <c r="F6600" t="s">
        <v>667</v>
      </c>
      <c r="G6600" t="s">
        <v>179</v>
      </c>
      <c r="H6600">
        <v>6</v>
      </c>
      <c r="I6600">
        <v>91.667000000000002</v>
      </c>
      <c r="J6600">
        <v>84.832999999999998</v>
      </c>
      <c r="K6600">
        <v>-6.8330000000000002</v>
      </c>
      <c r="L6600">
        <v>0</v>
      </c>
      <c r="M6600">
        <v>1</v>
      </c>
      <c r="N6600">
        <v>5</v>
      </c>
      <c r="O6600" t="s">
        <v>53</v>
      </c>
      <c r="P6600" t="s">
        <v>53</v>
      </c>
      <c r="Q6600" t="s">
        <v>53</v>
      </c>
    </row>
    <row r="6601" spans="1:17" x14ac:dyDescent="0.2">
      <c r="A6601" s="30" t="str">
        <f>IF(C6601&amp;G6601&amp;D6601&lt;&gt;'Funnel setup'!$K$3&amp;'Funnel setup'!$K$4&amp;'Funnel setup'!$K$5,".",IF(A6600=".",1,A6600+1))</f>
        <v>.</v>
      </c>
      <c r="B6601" s="431" t="str">
        <f t="shared" si="103"/>
        <v>Varicose VeinCCG of GP PracticeNHS NORTH STAFFORDSHIRE CCG (05G)EQ VAS</v>
      </c>
      <c r="C6601" t="s">
        <v>17</v>
      </c>
      <c r="D6601" t="s">
        <v>87</v>
      </c>
      <c r="E6601" t="s">
        <v>669</v>
      </c>
      <c r="F6601" t="s">
        <v>670</v>
      </c>
      <c r="G6601" t="s">
        <v>179</v>
      </c>
      <c r="H6601">
        <v>8</v>
      </c>
      <c r="I6601">
        <v>88.375</v>
      </c>
      <c r="J6601">
        <v>87.75</v>
      </c>
      <c r="K6601">
        <v>-0.625</v>
      </c>
      <c r="L6601">
        <v>3</v>
      </c>
      <c r="M6601">
        <v>1</v>
      </c>
      <c r="N6601">
        <v>4</v>
      </c>
      <c r="O6601" t="s">
        <v>53</v>
      </c>
      <c r="P6601" t="s">
        <v>53</v>
      </c>
      <c r="Q6601" t="s">
        <v>53</v>
      </c>
    </row>
    <row r="6602" spans="1:17" x14ac:dyDescent="0.2">
      <c r="A6602" s="30" t="str">
        <f>IF(C6602&amp;G6602&amp;D6602&lt;&gt;'Funnel setup'!$K$3&amp;'Funnel setup'!$K$4&amp;'Funnel setup'!$K$5,".",IF(A6601=".",1,A6601+1))</f>
        <v>.</v>
      </c>
      <c r="B6602" s="431" t="str">
        <f t="shared" si="103"/>
        <v>Varicose VeinCCG of GP PracticeNHS NORTH TYNESIDE CCG (99C)EQ VAS</v>
      </c>
      <c r="C6602" t="s">
        <v>17</v>
      </c>
      <c r="D6602" t="s">
        <v>87</v>
      </c>
      <c r="E6602" t="s">
        <v>672</v>
      </c>
      <c r="F6602" t="s">
        <v>673</v>
      </c>
      <c r="G6602" t="s">
        <v>179</v>
      </c>
      <c r="H6602">
        <v>46</v>
      </c>
      <c r="I6602">
        <v>79.522000000000006</v>
      </c>
      <c r="J6602">
        <v>78.587000000000003</v>
      </c>
      <c r="K6602">
        <v>-0.93500000000000005</v>
      </c>
      <c r="L6602">
        <v>16</v>
      </c>
      <c r="M6602">
        <v>12</v>
      </c>
      <c r="N6602">
        <v>18</v>
      </c>
      <c r="O6602">
        <v>77.903999999999996</v>
      </c>
      <c r="P6602">
        <v>-1.0604773270000001</v>
      </c>
      <c r="Q6602">
        <v>15.855</v>
      </c>
    </row>
    <row r="6603" spans="1:17" x14ac:dyDescent="0.2">
      <c r="A6603" s="30" t="str">
        <f>IF(C6603&amp;G6603&amp;D6603&lt;&gt;'Funnel setup'!$K$3&amp;'Funnel setup'!$K$4&amp;'Funnel setup'!$K$5,".",IF(A6602=".",1,A6602+1))</f>
        <v>.</v>
      </c>
      <c r="B6603" s="431" t="str">
        <f t="shared" si="103"/>
        <v>Varicose VeinCCG of GP PracticeNHS NORTH WEST SURREY CCG (09Y)EQ VAS</v>
      </c>
      <c r="C6603" t="s">
        <v>17</v>
      </c>
      <c r="D6603" t="s">
        <v>87</v>
      </c>
      <c r="E6603" t="s">
        <v>675</v>
      </c>
      <c r="F6603" t="s">
        <v>676</v>
      </c>
      <c r="G6603" t="s">
        <v>179</v>
      </c>
      <c r="H6603">
        <v>18</v>
      </c>
      <c r="I6603">
        <v>79</v>
      </c>
      <c r="J6603">
        <v>79.332999999999998</v>
      </c>
      <c r="K6603">
        <v>0.33300000000000002</v>
      </c>
      <c r="L6603">
        <v>8</v>
      </c>
      <c r="M6603">
        <v>3</v>
      </c>
      <c r="N6603">
        <v>7</v>
      </c>
      <c r="O6603" t="s">
        <v>53</v>
      </c>
      <c r="P6603" t="s">
        <v>53</v>
      </c>
      <c r="Q6603" t="s">
        <v>53</v>
      </c>
    </row>
    <row r="6604" spans="1:17" x14ac:dyDescent="0.2">
      <c r="A6604" s="30" t="str">
        <f>IF(C6604&amp;G6604&amp;D6604&lt;&gt;'Funnel setup'!$K$3&amp;'Funnel setup'!$K$4&amp;'Funnel setup'!$K$5,".",IF(A6603=".",1,A6603+1))</f>
        <v>.</v>
      </c>
      <c r="B6604" s="431" t="str">
        <f t="shared" si="103"/>
        <v>Varicose VeinCCG of GP PracticeNHS NORTHERN, EASTERN AND WESTERN DEVON CCG (99P)EQ VAS</v>
      </c>
      <c r="C6604" t="s">
        <v>17</v>
      </c>
      <c r="D6604" t="s">
        <v>87</v>
      </c>
      <c r="E6604" t="s">
        <v>678</v>
      </c>
      <c r="F6604" t="s">
        <v>679</v>
      </c>
      <c r="G6604" t="s">
        <v>179</v>
      </c>
      <c r="H6604">
        <v>99</v>
      </c>
      <c r="I6604">
        <v>77.736999999999995</v>
      </c>
      <c r="J6604">
        <v>75.798000000000002</v>
      </c>
      <c r="K6604">
        <v>-1.9390000000000001</v>
      </c>
      <c r="L6604">
        <v>35</v>
      </c>
      <c r="M6604">
        <v>15</v>
      </c>
      <c r="N6604">
        <v>49</v>
      </c>
      <c r="O6604">
        <v>76.921000000000006</v>
      </c>
      <c r="P6604">
        <v>-2.0432588730000001</v>
      </c>
      <c r="Q6604">
        <v>13.916</v>
      </c>
    </row>
    <row r="6605" spans="1:17" x14ac:dyDescent="0.2">
      <c r="A6605" s="30" t="str">
        <f>IF(C6605&amp;G6605&amp;D6605&lt;&gt;'Funnel setup'!$K$3&amp;'Funnel setup'!$K$4&amp;'Funnel setup'!$K$5,".",IF(A6604=".",1,A6604+1))</f>
        <v>.</v>
      </c>
      <c r="B6605" s="431" t="str">
        <f t="shared" si="103"/>
        <v>Varicose VeinCCG of GP PracticeNHS NORTHUMBERLAND CCG (00L)EQ VAS</v>
      </c>
      <c r="C6605" t="s">
        <v>17</v>
      </c>
      <c r="D6605" t="s">
        <v>87</v>
      </c>
      <c r="E6605" t="s">
        <v>681</v>
      </c>
      <c r="F6605" t="s">
        <v>336</v>
      </c>
      <c r="G6605" t="s">
        <v>179</v>
      </c>
      <c r="H6605">
        <v>59</v>
      </c>
      <c r="I6605">
        <v>79.236999999999995</v>
      </c>
      <c r="J6605">
        <v>76.338999999999999</v>
      </c>
      <c r="K6605">
        <v>-2.8980000000000001</v>
      </c>
      <c r="L6605">
        <v>20</v>
      </c>
      <c r="M6605">
        <v>12</v>
      </c>
      <c r="N6605">
        <v>27</v>
      </c>
      <c r="O6605">
        <v>75.715999999999994</v>
      </c>
      <c r="P6605">
        <v>-3.2477055699999999</v>
      </c>
      <c r="Q6605">
        <v>13.869</v>
      </c>
    </row>
    <row r="6606" spans="1:17" x14ac:dyDescent="0.2">
      <c r="A6606" s="30" t="str">
        <f>IF(C6606&amp;G6606&amp;D6606&lt;&gt;'Funnel setup'!$K$3&amp;'Funnel setup'!$K$4&amp;'Funnel setup'!$K$5,".",IF(A6605=".",1,A6605+1))</f>
        <v>.</v>
      </c>
      <c r="B6606" s="431" t="str">
        <f t="shared" si="103"/>
        <v>Varicose VeinCCG of GP PracticeNHS NORWICH CCG (06W)EQ VAS</v>
      </c>
      <c r="C6606" t="s">
        <v>17</v>
      </c>
      <c r="D6606" t="s">
        <v>87</v>
      </c>
      <c r="E6606" t="s">
        <v>770</v>
      </c>
      <c r="F6606" t="s">
        <v>771</v>
      </c>
      <c r="G6606" t="s">
        <v>179</v>
      </c>
      <c r="H6606">
        <v>41</v>
      </c>
      <c r="I6606">
        <v>81.975999999999999</v>
      </c>
      <c r="J6606">
        <v>82.072999999999993</v>
      </c>
      <c r="K6606">
        <v>9.8000000000000004E-2</v>
      </c>
      <c r="L6606">
        <v>15</v>
      </c>
      <c r="M6606">
        <v>10</v>
      </c>
      <c r="N6606">
        <v>16</v>
      </c>
      <c r="O6606">
        <v>79.682000000000002</v>
      </c>
      <c r="P6606">
        <v>0.71816665999999996</v>
      </c>
      <c r="Q6606">
        <v>7.9640000000000004</v>
      </c>
    </row>
    <row r="6607" spans="1:17" x14ac:dyDescent="0.2">
      <c r="A6607" s="30" t="str">
        <f>IF(C6607&amp;G6607&amp;D6607&lt;&gt;'Funnel setup'!$K$3&amp;'Funnel setup'!$K$4&amp;'Funnel setup'!$K$5,".",IF(A6606=".",1,A6606+1))</f>
        <v>.</v>
      </c>
      <c r="B6607" s="431" t="str">
        <f t="shared" si="103"/>
        <v>Varicose VeinCCG of GP PracticeNHS NOTTINGHAM CITY CCG (04K)EQ VAS</v>
      </c>
      <c r="C6607" t="s">
        <v>17</v>
      </c>
      <c r="D6607" t="s">
        <v>87</v>
      </c>
      <c r="E6607" t="s">
        <v>773</v>
      </c>
      <c r="F6607" t="s">
        <v>774</v>
      </c>
      <c r="G6607" t="s">
        <v>179</v>
      </c>
      <c r="H6607">
        <v>41</v>
      </c>
      <c r="I6607">
        <v>74.634</v>
      </c>
      <c r="J6607">
        <v>74.39</v>
      </c>
      <c r="K6607">
        <v>-0.24399999999999999</v>
      </c>
      <c r="L6607">
        <v>16</v>
      </c>
      <c r="M6607">
        <v>8</v>
      </c>
      <c r="N6607">
        <v>17</v>
      </c>
      <c r="O6607">
        <v>77.117000000000004</v>
      </c>
      <c r="P6607">
        <v>-1.8472219489999999</v>
      </c>
      <c r="Q6607">
        <v>11.673999999999999</v>
      </c>
    </row>
    <row r="6608" spans="1:17" x14ac:dyDescent="0.2">
      <c r="A6608" s="30" t="str">
        <f>IF(C6608&amp;G6608&amp;D6608&lt;&gt;'Funnel setup'!$K$3&amp;'Funnel setup'!$K$4&amp;'Funnel setup'!$K$5,".",IF(A6607=".",1,A6607+1))</f>
        <v>.</v>
      </c>
      <c r="B6608" s="431" t="str">
        <f t="shared" si="103"/>
        <v>Varicose VeinCCG of GP PracticeNHS NOTTINGHAM NORTH AND EAST CCG (04L)EQ VAS</v>
      </c>
      <c r="C6608" t="s">
        <v>17</v>
      </c>
      <c r="D6608" t="s">
        <v>87</v>
      </c>
      <c r="E6608" t="s">
        <v>776</v>
      </c>
      <c r="F6608" t="s">
        <v>777</v>
      </c>
      <c r="G6608" t="s">
        <v>179</v>
      </c>
      <c r="H6608">
        <v>25</v>
      </c>
      <c r="I6608">
        <v>80.239999999999995</v>
      </c>
      <c r="J6608">
        <v>82.32</v>
      </c>
      <c r="K6608">
        <v>2.08</v>
      </c>
      <c r="L6608">
        <v>11</v>
      </c>
      <c r="M6608">
        <v>7</v>
      </c>
      <c r="N6608">
        <v>7</v>
      </c>
      <c r="O6608" t="s">
        <v>53</v>
      </c>
      <c r="P6608" t="s">
        <v>53</v>
      </c>
      <c r="Q6608" t="s">
        <v>53</v>
      </c>
    </row>
    <row r="6609" spans="1:17" x14ac:dyDescent="0.2">
      <c r="A6609" s="30" t="str">
        <f>IF(C6609&amp;G6609&amp;D6609&lt;&gt;'Funnel setup'!$K$3&amp;'Funnel setup'!$K$4&amp;'Funnel setup'!$K$5,".",IF(A6608=".",1,A6608+1))</f>
        <v>.</v>
      </c>
      <c r="B6609" s="431" t="str">
        <f t="shared" si="103"/>
        <v>Varicose VeinCCG of GP PracticeNHS NOTTINGHAM WEST CCG (04M)EQ VAS</v>
      </c>
      <c r="C6609" t="s">
        <v>17</v>
      </c>
      <c r="D6609" t="s">
        <v>87</v>
      </c>
      <c r="E6609" t="s">
        <v>779</v>
      </c>
      <c r="F6609" t="s">
        <v>780</v>
      </c>
      <c r="G6609" t="s">
        <v>179</v>
      </c>
      <c r="H6609">
        <v>16</v>
      </c>
      <c r="I6609">
        <v>77.188000000000002</v>
      </c>
      <c r="J6609">
        <v>75.125</v>
      </c>
      <c r="K6609">
        <v>-2.0630000000000002</v>
      </c>
      <c r="L6609">
        <v>6</v>
      </c>
      <c r="M6609">
        <v>2</v>
      </c>
      <c r="N6609">
        <v>8</v>
      </c>
      <c r="O6609" t="s">
        <v>53</v>
      </c>
      <c r="P6609" t="s">
        <v>53</v>
      </c>
      <c r="Q6609" t="s">
        <v>53</v>
      </c>
    </row>
    <row r="6610" spans="1:17" x14ac:dyDescent="0.2">
      <c r="A6610" s="30" t="str">
        <f>IF(C6610&amp;G6610&amp;D6610&lt;&gt;'Funnel setup'!$K$3&amp;'Funnel setup'!$K$4&amp;'Funnel setup'!$K$5,".",IF(A6609=".",1,A6609+1))</f>
        <v>.</v>
      </c>
      <c r="B6610" s="431" t="str">
        <f t="shared" si="103"/>
        <v>Varicose VeinCCG of GP PracticeNHS OLDHAM CCG (00Y)EQ VAS</v>
      </c>
      <c r="C6610" t="s">
        <v>17</v>
      </c>
      <c r="D6610" t="s">
        <v>87</v>
      </c>
      <c r="E6610" t="s">
        <v>782</v>
      </c>
      <c r="F6610" t="s">
        <v>783</v>
      </c>
      <c r="G6610" t="s">
        <v>179</v>
      </c>
      <c r="H6610" t="s">
        <v>53</v>
      </c>
      <c r="I6610" t="s">
        <v>53</v>
      </c>
      <c r="J6610" t="s">
        <v>53</v>
      </c>
      <c r="K6610" t="s">
        <v>53</v>
      </c>
      <c r="L6610" t="s">
        <v>53</v>
      </c>
      <c r="M6610" t="s">
        <v>53</v>
      </c>
      <c r="N6610" t="s">
        <v>53</v>
      </c>
      <c r="O6610" t="s">
        <v>53</v>
      </c>
      <c r="P6610" t="s">
        <v>53</v>
      </c>
      <c r="Q6610" t="s">
        <v>53</v>
      </c>
    </row>
    <row r="6611" spans="1:17" x14ac:dyDescent="0.2">
      <c r="A6611" s="30" t="str">
        <f>IF(C6611&amp;G6611&amp;D6611&lt;&gt;'Funnel setup'!$K$3&amp;'Funnel setup'!$K$4&amp;'Funnel setup'!$K$5,".",IF(A6610=".",1,A6610+1))</f>
        <v>.</v>
      </c>
      <c r="B6611" s="431" t="str">
        <f t="shared" si="103"/>
        <v>Varicose VeinCCG of GP PracticeNHS OXFORDSHIRE CCG (10Q)EQ VAS</v>
      </c>
      <c r="C6611" t="s">
        <v>17</v>
      </c>
      <c r="D6611" t="s">
        <v>87</v>
      </c>
      <c r="E6611" t="s">
        <v>785</v>
      </c>
      <c r="F6611" t="s">
        <v>786</v>
      </c>
      <c r="G6611" t="s">
        <v>179</v>
      </c>
      <c r="H6611">
        <v>31</v>
      </c>
      <c r="I6611">
        <v>78.194000000000003</v>
      </c>
      <c r="J6611">
        <v>79.644999999999996</v>
      </c>
      <c r="K6611">
        <v>1.452</v>
      </c>
      <c r="L6611">
        <v>12</v>
      </c>
      <c r="M6611">
        <v>9</v>
      </c>
      <c r="N6611">
        <v>10</v>
      </c>
      <c r="O6611">
        <v>79.566000000000003</v>
      </c>
      <c r="P6611">
        <v>0.60230365200000002</v>
      </c>
      <c r="Q6611">
        <v>11.15</v>
      </c>
    </row>
    <row r="6612" spans="1:17" x14ac:dyDescent="0.2">
      <c r="A6612" s="30" t="str">
        <f>IF(C6612&amp;G6612&amp;D6612&lt;&gt;'Funnel setup'!$K$3&amp;'Funnel setup'!$K$4&amp;'Funnel setup'!$K$5,".",IF(A6611=".",1,A6611+1))</f>
        <v>.</v>
      </c>
      <c r="B6612" s="431" t="str">
        <f t="shared" si="103"/>
        <v>Varicose VeinCCG of GP PracticeNHS PORTSMOUTH CCG (10R)EQ VAS</v>
      </c>
      <c r="C6612" t="s">
        <v>17</v>
      </c>
      <c r="D6612" t="s">
        <v>87</v>
      </c>
      <c r="E6612" t="s">
        <v>788</v>
      </c>
      <c r="F6612" t="s">
        <v>789</v>
      </c>
      <c r="G6612" t="s">
        <v>179</v>
      </c>
      <c r="H6612" t="s">
        <v>53</v>
      </c>
      <c r="I6612" t="s">
        <v>53</v>
      </c>
      <c r="J6612" t="s">
        <v>53</v>
      </c>
      <c r="K6612" t="s">
        <v>53</v>
      </c>
      <c r="L6612" t="s">
        <v>53</v>
      </c>
      <c r="M6612" t="s">
        <v>53</v>
      </c>
      <c r="N6612" t="s">
        <v>53</v>
      </c>
      <c r="O6612" t="s">
        <v>53</v>
      </c>
      <c r="P6612" t="s">
        <v>53</v>
      </c>
      <c r="Q6612" t="s">
        <v>53</v>
      </c>
    </row>
    <row r="6613" spans="1:17" x14ac:dyDescent="0.2">
      <c r="A6613" s="30" t="str">
        <f>IF(C6613&amp;G6613&amp;D6613&lt;&gt;'Funnel setup'!$K$3&amp;'Funnel setup'!$K$4&amp;'Funnel setup'!$K$5,".",IF(A6612=".",1,A6612+1))</f>
        <v>.</v>
      </c>
      <c r="B6613" s="431" t="str">
        <f t="shared" si="103"/>
        <v>Varicose VeinCCG of GP PracticeNHS REDBRIDGE CCG (08N)EQ VAS</v>
      </c>
      <c r="C6613" t="s">
        <v>17</v>
      </c>
      <c r="D6613" t="s">
        <v>87</v>
      </c>
      <c r="E6613" t="s">
        <v>791</v>
      </c>
      <c r="F6613" t="s">
        <v>792</v>
      </c>
      <c r="G6613" t="s">
        <v>179</v>
      </c>
      <c r="H6613">
        <v>15</v>
      </c>
      <c r="I6613">
        <v>81</v>
      </c>
      <c r="J6613">
        <v>79.667000000000002</v>
      </c>
      <c r="K6613">
        <v>-1.333</v>
      </c>
      <c r="L6613">
        <v>5</v>
      </c>
      <c r="M6613">
        <v>5</v>
      </c>
      <c r="N6613">
        <v>5</v>
      </c>
      <c r="O6613" t="s">
        <v>53</v>
      </c>
      <c r="P6613" t="s">
        <v>53</v>
      </c>
      <c r="Q6613" t="s">
        <v>53</v>
      </c>
    </row>
    <row r="6614" spans="1:17" x14ac:dyDescent="0.2">
      <c r="A6614" s="30" t="str">
        <f>IF(C6614&amp;G6614&amp;D6614&lt;&gt;'Funnel setup'!$K$3&amp;'Funnel setup'!$K$4&amp;'Funnel setup'!$K$5,".",IF(A6613=".",1,A6613+1))</f>
        <v>.</v>
      </c>
      <c r="B6614" s="431" t="str">
        <f t="shared" si="103"/>
        <v>Varicose VeinCCG of GP PracticeNHS REDDITCH AND BROMSGROVE CCG (05J)EQ VAS</v>
      </c>
      <c r="C6614" t="s">
        <v>17</v>
      </c>
      <c r="D6614" t="s">
        <v>87</v>
      </c>
      <c r="E6614" t="s">
        <v>794</v>
      </c>
      <c r="F6614" t="s">
        <v>795</v>
      </c>
      <c r="G6614" t="s">
        <v>179</v>
      </c>
      <c r="H6614">
        <v>8</v>
      </c>
      <c r="I6614">
        <v>86.5</v>
      </c>
      <c r="J6614">
        <v>87.5</v>
      </c>
      <c r="K6614">
        <v>1</v>
      </c>
      <c r="L6614">
        <v>3</v>
      </c>
      <c r="M6614">
        <v>2</v>
      </c>
      <c r="N6614">
        <v>3</v>
      </c>
      <c r="O6614" t="s">
        <v>53</v>
      </c>
      <c r="P6614" t="s">
        <v>53</v>
      </c>
      <c r="Q6614" t="s">
        <v>53</v>
      </c>
    </row>
    <row r="6615" spans="1:17" x14ac:dyDescent="0.2">
      <c r="A6615" s="30" t="str">
        <f>IF(C6615&amp;G6615&amp;D6615&lt;&gt;'Funnel setup'!$K$3&amp;'Funnel setup'!$K$4&amp;'Funnel setup'!$K$5,".",IF(A6614=".",1,A6614+1))</f>
        <v>.</v>
      </c>
      <c r="B6615" s="431" t="str">
        <f t="shared" si="103"/>
        <v>Varicose VeinCCG of GP PracticeNHS RICHMOND CCG (08P)EQ VAS</v>
      </c>
      <c r="C6615" t="s">
        <v>17</v>
      </c>
      <c r="D6615" t="s">
        <v>87</v>
      </c>
      <c r="E6615" t="s">
        <v>797</v>
      </c>
      <c r="F6615" t="s">
        <v>798</v>
      </c>
      <c r="G6615" t="s">
        <v>179</v>
      </c>
      <c r="H6615">
        <v>14</v>
      </c>
      <c r="I6615">
        <v>74.786000000000001</v>
      </c>
      <c r="J6615">
        <v>73.713999999999999</v>
      </c>
      <c r="K6615">
        <v>-1.071</v>
      </c>
      <c r="L6615">
        <v>7</v>
      </c>
      <c r="M6615">
        <v>0</v>
      </c>
      <c r="N6615">
        <v>7</v>
      </c>
      <c r="O6615" t="s">
        <v>53</v>
      </c>
      <c r="P6615" t="s">
        <v>53</v>
      </c>
      <c r="Q6615" t="s">
        <v>53</v>
      </c>
    </row>
    <row r="6616" spans="1:17" x14ac:dyDescent="0.2">
      <c r="A6616" s="30" t="str">
        <f>IF(C6616&amp;G6616&amp;D6616&lt;&gt;'Funnel setup'!$K$3&amp;'Funnel setup'!$K$4&amp;'Funnel setup'!$K$5,".",IF(A6615=".",1,A6615+1))</f>
        <v>.</v>
      </c>
      <c r="B6616" s="431" t="str">
        <f t="shared" si="103"/>
        <v>Varicose VeinCCG of GP PracticeNHS ROTHERHAM CCG (03L)EQ VAS</v>
      </c>
      <c r="C6616" t="s">
        <v>17</v>
      </c>
      <c r="D6616" t="s">
        <v>87</v>
      </c>
      <c r="E6616" t="s">
        <v>800</v>
      </c>
      <c r="F6616" t="s">
        <v>801</v>
      </c>
      <c r="G6616" t="s">
        <v>179</v>
      </c>
      <c r="H6616">
        <v>52</v>
      </c>
      <c r="I6616">
        <v>82.519000000000005</v>
      </c>
      <c r="J6616">
        <v>81.5</v>
      </c>
      <c r="K6616">
        <v>-1.0189999999999999</v>
      </c>
      <c r="L6616">
        <v>17</v>
      </c>
      <c r="M6616">
        <v>15</v>
      </c>
      <c r="N6616">
        <v>20</v>
      </c>
      <c r="O6616">
        <v>79.849000000000004</v>
      </c>
      <c r="P6616">
        <v>0.88479155300000001</v>
      </c>
      <c r="Q6616">
        <v>12.891</v>
      </c>
    </row>
    <row r="6617" spans="1:17" x14ac:dyDescent="0.2">
      <c r="A6617" s="30" t="str">
        <f>IF(C6617&amp;G6617&amp;D6617&lt;&gt;'Funnel setup'!$K$3&amp;'Funnel setup'!$K$4&amp;'Funnel setup'!$K$5,".",IF(A6616=".",1,A6616+1))</f>
        <v>.</v>
      </c>
      <c r="B6617" s="431" t="str">
        <f t="shared" si="103"/>
        <v>Varicose VeinCCG of GP PracticeNHS RUSHCLIFFE CCG (04N)EQ VAS</v>
      </c>
      <c r="C6617" t="s">
        <v>17</v>
      </c>
      <c r="D6617" t="s">
        <v>87</v>
      </c>
      <c r="E6617" t="s">
        <v>803</v>
      </c>
      <c r="F6617" t="s">
        <v>804</v>
      </c>
      <c r="G6617" t="s">
        <v>179</v>
      </c>
      <c r="H6617">
        <v>28</v>
      </c>
      <c r="I6617">
        <v>81.429000000000002</v>
      </c>
      <c r="J6617">
        <v>78.786000000000001</v>
      </c>
      <c r="K6617">
        <v>-2.6429999999999998</v>
      </c>
      <c r="L6617">
        <v>8</v>
      </c>
      <c r="M6617">
        <v>8</v>
      </c>
      <c r="N6617">
        <v>12</v>
      </c>
      <c r="O6617" t="s">
        <v>53</v>
      </c>
      <c r="P6617" t="s">
        <v>53</v>
      </c>
      <c r="Q6617" t="s">
        <v>53</v>
      </c>
    </row>
    <row r="6618" spans="1:17" x14ac:dyDescent="0.2">
      <c r="A6618" s="30" t="str">
        <f>IF(C6618&amp;G6618&amp;D6618&lt;&gt;'Funnel setup'!$K$3&amp;'Funnel setup'!$K$4&amp;'Funnel setup'!$K$5,".",IF(A6617=".",1,A6617+1))</f>
        <v>.</v>
      </c>
      <c r="B6618" s="431" t="str">
        <f t="shared" si="103"/>
        <v>Varicose VeinCCG of GP PracticeNHS SALFORD CCG (01G)EQ VAS</v>
      </c>
      <c r="C6618" t="s">
        <v>17</v>
      </c>
      <c r="D6618" t="s">
        <v>87</v>
      </c>
      <c r="E6618" t="s">
        <v>806</v>
      </c>
      <c r="F6618" t="s">
        <v>807</v>
      </c>
      <c r="G6618" t="s">
        <v>179</v>
      </c>
      <c r="H6618">
        <v>7</v>
      </c>
      <c r="I6618">
        <v>81.856999999999999</v>
      </c>
      <c r="J6618">
        <v>73.713999999999999</v>
      </c>
      <c r="K6618">
        <v>-8.1430000000000007</v>
      </c>
      <c r="L6618">
        <v>2</v>
      </c>
      <c r="M6618">
        <v>0</v>
      </c>
      <c r="N6618">
        <v>5</v>
      </c>
      <c r="O6618" t="s">
        <v>53</v>
      </c>
      <c r="P6618" t="s">
        <v>53</v>
      </c>
      <c r="Q6618" t="s">
        <v>53</v>
      </c>
    </row>
    <row r="6619" spans="1:17" x14ac:dyDescent="0.2">
      <c r="A6619" s="30" t="str">
        <f>IF(C6619&amp;G6619&amp;D6619&lt;&gt;'Funnel setup'!$K$3&amp;'Funnel setup'!$K$4&amp;'Funnel setup'!$K$5,".",IF(A6618=".",1,A6618+1))</f>
        <v>.</v>
      </c>
      <c r="B6619" s="431" t="str">
        <f t="shared" si="103"/>
        <v>Varicose VeinCCG of GP PracticeNHS SANDWELL AND WEST BIRMINGHAM CCG (05L)EQ VAS</v>
      </c>
      <c r="C6619" t="s">
        <v>17</v>
      </c>
      <c r="D6619" t="s">
        <v>87</v>
      </c>
      <c r="E6619" t="s">
        <v>809</v>
      </c>
      <c r="F6619" t="s">
        <v>810</v>
      </c>
      <c r="G6619" t="s">
        <v>179</v>
      </c>
      <c r="H6619">
        <v>116</v>
      </c>
      <c r="I6619">
        <v>77.861999999999995</v>
      </c>
      <c r="J6619">
        <v>75.474000000000004</v>
      </c>
      <c r="K6619">
        <v>-2.3879999999999999</v>
      </c>
      <c r="L6619">
        <v>46</v>
      </c>
      <c r="M6619">
        <v>17</v>
      </c>
      <c r="N6619">
        <v>53</v>
      </c>
      <c r="O6619">
        <v>77.363</v>
      </c>
      <c r="P6619">
        <v>-1.6010891599999999</v>
      </c>
      <c r="Q6619">
        <v>16.018000000000001</v>
      </c>
    </row>
    <row r="6620" spans="1:17" x14ac:dyDescent="0.2">
      <c r="A6620" s="30" t="str">
        <f>IF(C6620&amp;G6620&amp;D6620&lt;&gt;'Funnel setup'!$K$3&amp;'Funnel setup'!$K$4&amp;'Funnel setup'!$K$5,".",IF(A6619=".",1,A6619+1))</f>
        <v>.</v>
      </c>
      <c r="B6620" s="431" t="str">
        <f t="shared" si="103"/>
        <v>Varicose VeinCCG of GP PracticeNHS SCARBOROUGH AND RYEDALE CCG (03M)EQ VAS</v>
      </c>
      <c r="C6620" t="s">
        <v>17</v>
      </c>
      <c r="D6620" t="s">
        <v>87</v>
      </c>
      <c r="E6620" t="s">
        <v>812</v>
      </c>
      <c r="F6620" t="s">
        <v>813</v>
      </c>
      <c r="G6620" t="s">
        <v>179</v>
      </c>
      <c r="H6620">
        <v>26</v>
      </c>
      <c r="I6620">
        <v>80.537999999999997</v>
      </c>
      <c r="J6620">
        <v>81.230999999999995</v>
      </c>
      <c r="K6620">
        <v>0.69199999999999995</v>
      </c>
      <c r="L6620">
        <v>12</v>
      </c>
      <c r="M6620">
        <v>6</v>
      </c>
      <c r="N6620">
        <v>8</v>
      </c>
      <c r="O6620" t="s">
        <v>53</v>
      </c>
      <c r="P6620" t="s">
        <v>53</v>
      </c>
      <c r="Q6620" t="s">
        <v>53</v>
      </c>
    </row>
    <row r="6621" spans="1:17" x14ac:dyDescent="0.2">
      <c r="A6621" s="30" t="str">
        <f>IF(C6621&amp;G6621&amp;D6621&lt;&gt;'Funnel setup'!$K$3&amp;'Funnel setup'!$K$4&amp;'Funnel setup'!$K$5,".",IF(A6620=".",1,A6620+1))</f>
        <v>.</v>
      </c>
      <c r="B6621" s="431" t="str">
        <f t="shared" si="103"/>
        <v>Varicose VeinCCG of GP PracticeNHS SHEFFIELD CCG (03N)EQ VAS</v>
      </c>
      <c r="C6621" t="s">
        <v>17</v>
      </c>
      <c r="D6621" t="s">
        <v>87</v>
      </c>
      <c r="E6621" t="s">
        <v>815</v>
      </c>
      <c r="F6621" t="s">
        <v>816</v>
      </c>
      <c r="G6621" t="s">
        <v>179</v>
      </c>
      <c r="H6621">
        <v>73</v>
      </c>
      <c r="I6621">
        <v>81.753</v>
      </c>
      <c r="J6621">
        <v>80.247</v>
      </c>
      <c r="K6621">
        <v>-1.5069999999999999</v>
      </c>
      <c r="L6621">
        <v>24</v>
      </c>
      <c r="M6621">
        <v>15</v>
      </c>
      <c r="N6621">
        <v>34</v>
      </c>
      <c r="O6621">
        <v>79.671999999999997</v>
      </c>
      <c r="P6621">
        <v>0.70753544999999995</v>
      </c>
      <c r="Q6621">
        <v>11.474</v>
      </c>
    </row>
    <row r="6622" spans="1:17" x14ac:dyDescent="0.2">
      <c r="A6622" s="30" t="str">
        <f>IF(C6622&amp;G6622&amp;D6622&lt;&gt;'Funnel setup'!$K$3&amp;'Funnel setup'!$K$4&amp;'Funnel setup'!$K$5,".",IF(A6621=".",1,A6621+1))</f>
        <v>.</v>
      </c>
      <c r="B6622" s="431" t="str">
        <f t="shared" si="103"/>
        <v>Varicose VeinCCG of GP PracticeNHS SHROPSHIRE CCG (05N)EQ VAS</v>
      </c>
      <c r="C6622" t="s">
        <v>17</v>
      </c>
      <c r="D6622" t="s">
        <v>87</v>
      </c>
      <c r="E6622" t="s">
        <v>818</v>
      </c>
      <c r="F6622" t="s">
        <v>819</v>
      </c>
      <c r="G6622" t="s">
        <v>179</v>
      </c>
      <c r="H6622">
        <v>29</v>
      </c>
      <c r="I6622">
        <v>81.414000000000001</v>
      </c>
      <c r="J6622">
        <v>81.206999999999994</v>
      </c>
      <c r="K6622">
        <v>-0.20699999999999999</v>
      </c>
      <c r="L6622">
        <v>10</v>
      </c>
      <c r="M6622">
        <v>5</v>
      </c>
      <c r="N6622">
        <v>14</v>
      </c>
      <c r="O6622" t="s">
        <v>53</v>
      </c>
      <c r="P6622" t="s">
        <v>53</v>
      </c>
      <c r="Q6622" t="s">
        <v>53</v>
      </c>
    </row>
    <row r="6623" spans="1:17" x14ac:dyDescent="0.2">
      <c r="A6623" s="30" t="str">
        <f>IF(C6623&amp;G6623&amp;D6623&lt;&gt;'Funnel setup'!$K$3&amp;'Funnel setup'!$K$4&amp;'Funnel setup'!$K$5,".",IF(A6622=".",1,A6622+1))</f>
        <v>.</v>
      </c>
      <c r="B6623" s="431" t="str">
        <f t="shared" si="103"/>
        <v>Varicose VeinCCG of GP PracticeNHS SOLIHULL CCG (05P)EQ VAS</v>
      </c>
      <c r="C6623" t="s">
        <v>17</v>
      </c>
      <c r="D6623" t="s">
        <v>87</v>
      </c>
      <c r="E6623" t="s">
        <v>824</v>
      </c>
      <c r="F6623" t="s">
        <v>825</v>
      </c>
      <c r="G6623" t="s">
        <v>179</v>
      </c>
      <c r="H6623">
        <v>52</v>
      </c>
      <c r="I6623">
        <v>81.653999999999996</v>
      </c>
      <c r="J6623">
        <v>82.980999999999995</v>
      </c>
      <c r="K6623">
        <v>1.327</v>
      </c>
      <c r="L6623">
        <v>28</v>
      </c>
      <c r="M6623">
        <v>10</v>
      </c>
      <c r="N6623">
        <v>14</v>
      </c>
      <c r="O6623">
        <v>81.058000000000007</v>
      </c>
      <c r="P6623">
        <v>2.0942733310000001</v>
      </c>
      <c r="Q6623">
        <v>11.914999999999999</v>
      </c>
    </row>
    <row r="6624" spans="1:17" x14ac:dyDescent="0.2">
      <c r="A6624" s="30" t="str">
        <f>IF(C6624&amp;G6624&amp;D6624&lt;&gt;'Funnel setup'!$K$3&amp;'Funnel setup'!$K$4&amp;'Funnel setup'!$K$5,".",IF(A6623=".",1,A6623+1))</f>
        <v>.</v>
      </c>
      <c r="B6624" s="431" t="str">
        <f t="shared" si="103"/>
        <v>Varicose VeinCCG of GP PracticeNHS SOMERSET CCG (11X)EQ VAS</v>
      </c>
      <c r="C6624" t="s">
        <v>17</v>
      </c>
      <c r="D6624" t="s">
        <v>87</v>
      </c>
      <c r="E6624" t="s">
        <v>827</v>
      </c>
      <c r="F6624" t="s">
        <v>828</v>
      </c>
      <c r="G6624" t="s">
        <v>179</v>
      </c>
      <c r="H6624">
        <v>76</v>
      </c>
      <c r="I6624">
        <v>77.263000000000005</v>
      </c>
      <c r="J6624">
        <v>77.644999999999996</v>
      </c>
      <c r="K6624">
        <v>0.38200000000000001</v>
      </c>
      <c r="L6624">
        <v>34</v>
      </c>
      <c r="M6624">
        <v>15</v>
      </c>
      <c r="N6624">
        <v>27</v>
      </c>
      <c r="O6624">
        <v>79.399000000000001</v>
      </c>
      <c r="P6624">
        <v>0.43534244900000002</v>
      </c>
      <c r="Q6624">
        <v>13.301</v>
      </c>
    </row>
    <row r="6625" spans="1:17" x14ac:dyDescent="0.2">
      <c r="A6625" s="30" t="str">
        <f>IF(C6625&amp;G6625&amp;D6625&lt;&gt;'Funnel setup'!$K$3&amp;'Funnel setup'!$K$4&amp;'Funnel setup'!$K$5,".",IF(A6624=".",1,A6624+1))</f>
        <v>.</v>
      </c>
      <c r="B6625" s="431" t="str">
        <f t="shared" si="103"/>
        <v>Varicose VeinCCG of GP PracticeNHS SOUTH CHESHIRE CCG (01R)EQ VAS</v>
      </c>
      <c r="C6625" t="s">
        <v>17</v>
      </c>
      <c r="D6625" t="s">
        <v>87</v>
      </c>
      <c r="E6625" t="s">
        <v>830</v>
      </c>
      <c r="F6625" t="s">
        <v>831</v>
      </c>
      <c r="G6625" t="s">
        <v>179</v>
      </c>
      <c r="H6625">
        <v>8</v>
      </c>
      <c r="I6625">
        <v>74.375</v>
      </c>
      <c r="J6625">
        <v>83.125</v>
      </c>
      <c r="K6625">
        <v>8.75</v>
      </c>
      <c r="L6625">
        <v>5</v>
      </c>
      <c r="M6625">
        <v>3</v>
      </c>
      <c r="N6625">
        <v>0</v>
      </c>
      <c r="O6625" t="s">
        <v>53</v>
      </c>
      <c r="P6625" t="s">
        <v>53</v>
      </c>
      <c r="Q6625" t="s">
        <v>53</v>
      </c>
    </row>
    <row r="6626" spans="1:17" x14ac:dyDescent="0.2">
      <c r="A6626" s="30" t="str">
        <f>IF(C6626&amp;G6626&amp;D6626&lt;&gt;'Funnel setup'!$K$3&amp;'Funnel setup'!$K$4&amp;'Funnel setup'!$K$5,".",IF(A6625=".",1,A6625+1))</f>
        <v>.</v>
      </c>
      <c r="B6626" s="431" t="str">
        <f t="shared" si="103"/>
        <v>Varicose VeinCCG of GP PracticeNHS SOUTH DEVON AND TORBAY CCG (99Q)EQ VAS</v>
      </c>
      <c r="C6626" t="s">
        <v>17</v>
      </c>
      <c r="D6626" t="s">
        <v>87</v>
      </c>
      <c r="E6626" t="s">
        <v>833</v>
      </c>
      <c r="F6626" t="s">
        <v>834</v>
      </c>
      <c r="G6626" t="s">
        <v>179</v>
      </c>
      <c r="H6626">
        <v>7</v>
      </c>
      <c r="I6626">
        <v>66.429000000000002</v>
      </c>
      <c r="J6626">
        <v>80.570999999999998</v>
      </c>
      <c r="K6626">
        <v>14.143000000000001</v>
      </c>
      <c r="L6626">
        <v>6</v>
      </c>
      <c r="M6626">
        <v>0</v>
      </c>
      <c r="N6626">
        <v>1</v>
      </c>
      <c r="O6626" t="s">
        <v>53</v>
      </c>
      <c r="P6626" t="s">
        <v>53</v>
      </c>
      <c r="Q6626" t="s">
        <v>53</v>
      </c>
    </row>
    <row r="6627" spans="1:17" x14ac:dyDescent="0.2">
      <c r="A6627" s="30" t="str">
        <f>IF(C6627&amp;G6627&amp;D6627&lt;&gt;'Funnel setup'!$K$3&amp;'Funnel setup'!$K$4&amp;'Funnel setup'!$K$5,".",IF(A6626=".",1,A6626+1))</f>
        <v>.</v>
      </c>
      <c r="B6627" s="431" t="str">
        <f t="shared" si="103"/>
        <v>Varicose VeinCCG of GP PracticeNHS SOUTH EAST STAFFORDSHIRE AND SEISDON PENINSULA CCG (05Q)EQ VAS</v>
      </c>
      <c r="C6627" t="s">
        <v>17</v>
      </c>
      <c r="D6627" t="s">
        <v>87</v>
      </c>
      <c r="E6627" t="s">
        <v>836</v>
      </c>
      <c r="F6627" t="s">
        <v>837</v>
      </c>
      <c r="G6627" t="s">
        <v>179</v>
      </c>
      <c r="H6627">
        <v>35</v>
      </c>
      <c r="I6627">
        <v>78.400000000000006</v>
      </c>
      <c r="J6627">
        <v>81.171000000000006</v>
      </c>
      <c r="K6627">
        <v>2.7709999999999999</v>
      </c>
      <c r="L6627">
        <v>18</v>
      </c>
      <c r="M6627">
        <v>6</v>
      </c>
      <c r="N6627">
        <v>11</v>
      </c>
      <c r="O6627">
        <v>81.116</v>
      </c>
      <c r="P6627">
        <v>2.1518912910000001</v>
      </c>
      <c r="Q6627">
        <v>12.109</v>
      </c>
    </row>
    <row r="6628" spans="1:17" x14ac:dyDescent="0.2">
      <c r="A6628" s="30" t="str">
        <f>IF(C6628&amp;G6628&amp;D6628&lt;&gt;'Funnel setup'!$K$3&amp;'Funnel setup'!$K$4&amp;'Funnel setup'!$K$5,".",IF(A6627=".",1,A6627+1))</f>
        <v>.</v>
      </c>
      <c r="B6628" s="431" t="str">
        <f t="shared" si="103"/>
        <v>Varicose VeinCCG of GP PracticeNHS SOUTH EASTERN HAMPSHIRE CCG (10V)EQ VAS</v>
      </c>
      <c r="C6628" t="s">
        <v>17</v>
      </c>
      <c r="D6628" t="s">
        <v>87</v>
      </c>
      <c r="E6628" t="s">
        <v>839</v>
      </c>
      <c r="F6628" t="s">
        <v>840</v>
      </c>
      <c r="G6628" t="s">
        <v>179</v>
      </c>
      <c r="H6628" t="s">
        <v>53</v>
      </c>
      <c r="I6628" t="s">
        <v>53</v>
      </c>
      <c r="J6628" t="s">
        <v>53</v>
      </c>
      <c r="K6628" t="s">
        <v>53</v>
      </c>
      <c r="L6628" t="s">
        <v>53</v>
      </c>
      <c r="M6628" t="s">
        <v>53</v>
      </c>
      <c r="N6628" t="s">
        <v>53</v>
      </c>
      <c r="O6628" t="s">
        <v>53</v>
      </c>
      <c r="P6628" t="s">
        <v>53</v>
      </c>
      <c r="Q6628" t="s">
        <v>53</v>
      </c>
    </row>
    <row r="6629" spans="1:17" x14ac:dyDescent="0.2">
      <c r="A6629" s="30" t="str">
        <f>IF(C6629&amp;G6629&amp;D6629&lt;&gt;'Funnel setup'!$K$3&amp;'Funnel setup'!$K$4&amp;'Funnel setup'!$K$5,".",IF(A6628=".",1,A6628+1))</f>
        <v>.</v>
      </c>
      <c r="B6629" s="431" t="str">
        <f t="shared" si="103"/>
        <v>Varicose VeinCCG of GP PracticeNHS SOUTH GLOUCESTERSHIRE CCG (12A)EQ VAS</v>
      </c>
      <c r="C6629" t="s">
        <v>17</v>
      </c>
      <c r="D6629" t="s">
        <v>87</v>
      </c>
      <c r="E6629" t="s">
        <v>842</v>
      </c>
      <c r="F6629" t="s">
        <v>843</v>
      </c>
      <c r="G6629" t="s">
        <v>179</v>
      </c>
      <c r="H6629">
        <v>16</v>
      </c>
      <c r="I6629">
        <v>78.188000000000002</v>
      </c>
      <c r="J6629">
        <v>78.563000000000002</v>
      </c>
      <c r="K6629">
        <v>0.375</v>
      </c>
      <c r="L6629">
        <v>9</v>
      </c>
      <c r="M6629">
        <v>2</v>
      </c>
      <c r="N6629">
        <v>5</v>
      </c>
      <c r="O6629" t="s">
        <v>53</v>
      </c>
      <c r="P6629" t="s">
        <v>53</v>
      </c>
      <c r="Q6629" t="s">
        <v>53</v>
      </c>
    </row>
    <row r="6630" spans="1:17" x14ac:dyDescent="0.2">
      <c r="A6630" s="30" t="str">
        <f>IF(C6630&amp;G6630&amp;D6630&lt;&gt;'Funnel setup'!$K$3&amp;'Funnel setup'!$K$4&amp;'Funnel setup'!$K$5,".",IF(A6629=".",1,A6629+1))</f>
        <v>.</v>
      </c>
      <c r="B6630" s="431" t="str">
        <f t="shared" si="103"/>
        <v>Varicose VeinCCG of GP PracticeNHS SOUTH LINCOLNSHIRE CCG (99D)EQ VAS</v>
      </c>
      <c r="C6630" t="s">
        <v>17</v>
      </c>
      <c r="D6630" t="s">
        <v>87</v>
      </c>
      <c r="E6630" t="s">
        <v>848</v>
      </c>
      <c r="F6630" t="s">
        <v>849</v>
      </c>
      <c r="G6630" t="s">
        <v>179</v>
      </c>
      <c r="H6630">
        <v>13</v>
      </c>
      <c r="I6630">
        <v>77.537999999999997</v>
      </c>
      <c r="J6630">
        <v>77</v>
      </c>
      <c r="K6630">
        <v>-0.53800000000000003</v>
      </c>
      <c r="L6630">
        <v>7</v>
      </c>
      <c r="M6630">
        <v>1</v>
      </c>
      <c r="N6630">
        <v>5</v>
      </c>
      <c r="O6630" t="s">
        <v>53</v>
      </c>
      <c r="P6630" t="s">
        <v>53</v>
      </c>
      <c r="Q6630" t="s">
        <v>53</v>
      </c>
    </row>
    <row r="6631" spans="1:17" x14ac:dyDescent="0.2">
      <c r="A6631" s="30" t="str">
        <f>IF(C6631&amp;G6631&amp;D6631&lt;&gt;'Funnel setup'!$K$3&amp;'Funnel setup'!$K$4&amp;'Funnel setup'!$K$5,".",IF(A6630=".",1,A6630+1))</f>
        <v>.</v>
      </c>
      <c r="B6631" s="431" t="str">
        <f t="shared" si="103"/>
        <v>Varicose VeinCCG of GP PracticeNHS SOUTH MANCHESTER CCG (01N)EQ VAS</v>
      </c>
      <c r="C6631" t="s">
        <v>17</v>
      </c>
      <c r="D6631" t="s">
        <v>87</v>
      </c>
      <c r="E6631" t="s">
        <v>851</v>
      </c>
      <c r="F6631" t="s">
        <v>852</v>
      </c>
      <c r="G6631" t="s">
        <v>179</v>
      </c>
      <c r="H6631">
        <v>16</v>
      </c>
      <c r="I6631">
        <v>75.688000000000002</v>
      </c>
      <c r="J6631">
        <v>73.063000000000002</v>
      </c>
      <c r="K6631">
        <v>-2.625</v>
      </c>
      <c r="L6631">
        <v>7</v>
      </c>
      <c r="M6631">
        <v>2</v>
      </c>
      <c r="N6631">
        <v>7</v>
      </c>
      <c r="O6631" t="s">
        <v>53</v>
      </c>
      <c r="P6631" t="s">
        <v>53</v>
      </c>
      <c r="Q6631" t="s">
        <v>53</v>
      </c>
    </row>
    <row r="6632" spans="1:17" x14ac:dyDescent="0.2">
      <c r="A6632" s="30" t="str">
        <f>IF(C6632&amp;G6632&amp;D6632&lt;&gt;'Funnel setup'!$K$3&amp;'Funnel setup'!$K$4&amp;'Funnel setup'!$K$5,".",IF(A6631=".",1,A6631+1))</f>
        <v>.</v>
      </c>
      <c r="B6632" s="431" t="str">
        <f t="shared" si="103"/>
        <v>Varicose VeinCCG of GP PracticeNHS SOUTH NORFOLK CCG (06Y)EQ VAS</v>
      </c>
      <c r="C6632" t="s">
        <v>17</v>
      </c>
      <c r="D6632" t="s">
        <v>87</v>
      </c>
      <c r="E6632" t="s">
        <v>932</v>
      </c>
      <c r="F6632" t="s">
        <v>933</v>
      </c>
      <c r="G6632" t="s">
        <v>179</v>
      </c>
      <c r="H6632">
        <v>36</v>
      </c>
      <c r="I6632">
        <v>82.471999999999994</v>
      </c>
      <c r="J6632">
        <v>81.25</v>
      </c>
      <c r="K6632">
        <v>-1.222</v>
      </c>
      <c r="L6632">
        <v>15</v>
      </c>
      <c r="M6632">
        <v>4</v>
      </c>
      <c r="N6632">
        <v>17</v>
      </c>
      <c r="O6632">
        <v>77.055000000000007</v>
      </c>
      <c r="P6632">
        <v>-1.909327615</v>
      </c>
      <c r="Q6632">
        <v>13.673</v>
      </c>
    </row>
    <row r="6633" spans="1:17" x14ac:dyDescent="0.2">
      <c r="A6633" s="30" t="str">
        <f>IF(C6633&amp;G6633&amp;D6633&lt;&gt;'Funnel setup'!$K$3&amp;'Funnel setup'!$K$4&amp;'Funnel setup'!$K$5,".",IF(A6632=".",1,A6632+1))</f>
        <v>.</v>
      </c>
      <c r="B6633" s="431" t="str">
        <f t="shared" si="103"/>
        <v>Varicose VeinCCG of GP PracticeNHS SOUTH READING CCG (10W)EQ VAS</v>
      </c>
      <c r="C6633" t="s">
        <v>17</v>
      </c>
      <c r="D6633" t="s">
        <v>87</v>
      </c>
      <c r="E6633" t="s">
        <v>935</v>
      </c>
      <c r="F6633" t="s">
        <v>936</v>
      </c>
      <c r="G6633" t="s">
        <v>179</v>
      </c>
      <c r="H6633" t="s">
        <v>53</v>
      </c>
      <c r="I6633" t="s">
        <v>53</v>
      </c>
      <c r="J6633" t="s">
        <v>53</v>
      </c>
      <c r="K6633" t="s">
        <v>53</v>
      </c>
      <c r="L6633" t="s">
        <v>53</v>
      </c>
      <c r="M6633" t="s">
        <v>53</v>
      </c>
      <c r="N6633" t="s">
        <v>53</v>
      </c>
      <c r="O6633" t="s">
        <v>53</v>
      </c>
      <c r="P6633" t="s">
        <v>53</v>
      </c>
      <c r="Q6633" t="s">
        <v>53</v>
      </c>
    </row>
    <row r="6634" spans="1:17" x14ac:dyDescent="0.2">
      <c r="A6634" s="30" t="str">
        <f>IF(C6634&amp;G6634&amp;D6634&lt;&gt;'Funnel setup'!$K$3&amp;'Funnel setup'!$K$4&amp;'Funnel setup'!$K$5,".",IF(A6633=".",1,A6633+1))</f>
        <v>.</v>
      </c>
      <c r="B6634" s="431" t="str">
        <f t="shared" si="103"/>
        <v>Varicose VeinCCG of GP PracticeNHS SOUTH SEFTON CCG (01T)EQ VAS</v>
      </c>
      <c r="C6634" t="s">
        <v>17</v>
      </c>
      <c r="D6634" t="s">
        <v>87</v>
      </c>
      <c r="E6634" t="s">
        <v>938</v>
      </c>
      <c r="F6634" t="s">
        <v>939</v>
      </c>
      <c r="G6634" t="s">
        <v>179</v>
      </c>
      <c r="H6634">
        <v>11</v>
      </c>
      <c r="I6634">
        <v>77</v>
      </c>
      <c r="J6634">
        <v>77.635999999999996</v>
      </c>
      <c r="K6634">
        <v>0.63600000000000001</v>
      </c>
      <c r="L6634">
        <v>3</v>
      </c>
      <c r="M6634">
        <v>4</v>
      </c>
      <c r="N6634">
        <v>4</v>
      </c>
      <c r="O6634" t="s">
        <v>53</v>
      </c>
      <c r="P6634" t="s">
        <v>53</v>
      </c>
      <c r="Q6634" t="s">
        <v>53</v>
      </c>
    </row>
    <row r="6635" spans="1:17" x14ac:dyDescent="0.2">
      <c r="A6635" s="30" t="str">
        <f>IF(C6635&amp;G6635&amp;D6635&lt;&gt;'Funnel setup'!$K$3&amp;'Funnel setup'!$K$4&amp;'Funnel setup'!$K$5,".",IF(A6634=".",1,A6634+1))</f>
        <v>.</v>
      </c>
      <c r="B6635" s="431" t="str">
        <f t="shared" si="103"/>
        <v>Varicose VeinCCG of GP PracticeNHS SOUTH TEES CCG (00M)EQ VAS</v>
      </c>
      <c r="C6635" t="s">
        <v>17</v>
      </c>
      <c r="D6635" t="s">
        <v>87</v>
      </c>
      <c r="E6635" t="s">
        <v>941</v>
      </c>
      <c r="F6635" t="s">
        <v>942</v>
      </c>
      <c r="G6635" t="s">
        <v>179</v>
      </c>
      <c r="H6635">
        <v>24</v>
      </c>
      <c r="I6635">
        <v>77.707999999999998</v>
      </c>
      <c r="J6635">
        <v>78.75</v>
      </c>
      <c r="K6635">
        <v>1.042</v>
      </c>
      <c r="L6635">
        <v>12</v>
      </c>
      <c r="M6635">
        <v>6</v>
      </c>
      <c r="N6635">
        <v>6</v>
      </c>
      <c r="O6635" t="s">
        <v>53</v>
      </c>
      <c r="P6635" t="s">
        <v>53</v>
      </c>
      <c r="Q6635" t="s">
        <v>53</v>
      </c>
    </row>
    <row r="6636" spans="1:17" x14ac:dyDescent="0.2">
      <c r="A6636" s="30" t="str">
        <f>IF(C6636&amp;G6636&amp;D6636&lt;&gt;'Funnel setup'!$K$3&amp;'Funnel setup'!$K$4&amp;'Funnel setup'!$K$5,".",IF(A6635=".",1,A6635+1))</f>
        <v>.</v>
      </c>
      <c r="B6636" s="431" t="str">
        <f t="shared" si="103"/>
        <v>Varicose VeinCCG of GP PracticeNHS SOUTH TYNESIDE CCG (00N)EQ VAS</v>
      </c>
      <c r="C6636" t="s">
        <v>17</v>
      </c>
      <c r="D6636" t="s">
        <v>87</v>
      </c>
      <c r="E6636" t="s">
        <v>1016</v>
      </c>
      <c r="F6636" t="s">
        <v>1017</v>
      </c>
      <c r="G6636" t="s">
        <v>179</v>
      </c>
      <c r="H6636">
        <v>102</v>
      </c>
      <c r="I6636">
        <v>77.52</v>
      </c>
      <c r="J6636">
        <v>76.989999999999995</v>
      </c>
      <c r="K6636">
        <v>-0.52900000000000003</v>
      </c>
      <c r="L6636">
        <v>39</v>
      </c>
      <c r="M6636">
        <v>19</v>
      </c>
      <c r="N6636">
        <v>44</v>
      </c>
      <c r="O6636">
        <v>78.162000000000006</v>
      </c>
      <c r="P6636">
        <v>-0.80209662100000001</v>
      </c>
      <c r="Q6636">
        <v>12.006</v>
      </c>
    </row>
    <row r="6637" spans="1:17" x14ac:dyDescent="0.2">
      <c r="A6637" s="30" t="str">
        <f>IF(C6637&amp;G6637&amp;D6637&lt;&gt;'Funnel setup'!$K$3&amp;'Funnel setup'!$K$4&amp;'Funnel setup'!$K$5,".",IF(A6636=".",1,A6636+1))</f>
        <v>.</v>
      </c>
      <c r="B6637" s="431" t="str">
        <f t="shared" si="103"/>
        <v>Varicose VeinCCG of GP PracticeNHS SOUTH WARWICKSHIRE CCG (05R)EQ VAS</v>
      </c>
      <c r="C6637" t="s">
        <v>17</v>
      </c>
      <c r="D6637" t="s">
        <v>87</v>
      </c>
      <c r="E6637" t="s">
        <v>944</v>
      </c>
      <c r="F6637" t="s">
        <v>945</v>
      </c>
      <c r="G6637" t="s">
        <v>179</v>
      </c>
      <c r="H6637">
        <v>32</v>
      </c>
      <c r="I6637">
        <v>80.625</v>
      </c>
      <c r="J6637">
        <v>79.468999999999994</v>
      </c>
      <c r="K6637">
        <v>-1.1559999999999999</v>
      </c>
      <c r="L6637">
        <v>14</v>
      </c>
      <c r="M6637">
        <v>6</v>
      </c>
      <c r="N6637">
        <v>12</v>
      </c>
      <c r="O6637">
        <v>78.581999999999994</v>
      </c>
      <c r="P6637">
        <v>-0.3823935</v>
      </c>
      <c r="Q6637">
        <v>9.6880000000000006</v>
      </c>
    </row>
    <row r="6638" spans="1:17" x14ac:dyDescent="0.2">
      <c r="A6638" s="30" t="str">
        <f>IF(C6638&amp;G6638&amp;D6638&lt;&gt;'Funnel setup'!$K$3&amp;'Funnel setup'!$K$4&amp;'Funnel setup'!$K$5,".",IF(A6637=".",1,A6637+1))</f>
        <v>.</v>
      </c>
      <c r="B6638" s="431" t="str">
        <f t="shared" si="103"/>
        <v>Varicose VeinCCG of GP PracticeNHS SOUTH WEST LINCOLNSHIRE CCG (04Q)EQ VAS</v>
      </c>
      <c r="C6638" t="s">
        <v>17</v>
      </c>
      <c r="D6638" t="s">
        <v>87</v>
      </c>
      <c r="E6638" t="s">
        <v>947</v>
      </c>
      <c r="F6638" t="s">
        <v>948</v>
      </c>
      <c r="G6638" t="s">
        <v>179</v>
      </c>
      <c r="H6638">
        <v>15</v>
      </c>
      <c r="I6638">
        <v>82.533000000000001</v>
      </c>
      <c r="J6638">
        <v>75.533000000000001</v>
      </c>
      <c r="K6638">
        <v>-7</v>
      </c>
      <c r="L6638">
        <v>3</v>
      </c>
      <c r="M6638">
        <v>4</v>
      </c>
      <c r="N6638">
        <v>8</v>
      </c>
      <c r="O6638" t="s">
        <v>53</v>
      </c>
      <c r="P6638" t="s">
        <v>53</v>
      </c>
      <c r="Q6638" t="s">
        <v>53</v>
      </c>
    </row>
    <row r="6639" spans="1:17" x14ac:dyDescent="0.2">
      <c r="A6639" s="30" t="str">
        <f>IF(C6639&amp;G6639&amp;D6639&lt;&gt;'Funnel setup'!$K$3&amp;'Funnel setup'!$K$4&amp;'Funnel setup'!$K$5,".",IF(A6638=".",1,A6638+1))</f>
        <v>.</v>
      </c>
      <c r="B6639" s="431" t="str">
        <f t="shared" si="103"/>
        <v>Varicose VeinCCG of GP PracticeNHS SOUTH WORCESTERSHIRE CCG (05T)EQ VAS</v>
      </c>
      <c r="C6639" t="s">
        <v>17</v>
      </c>
      <c r="D6639" t="s">
        <v>87</v>
      </c>
      <c r="E6639" t="s">
        <v>950</v>
      </c>
      <c r="F6639" t="s">
        <v>951</v>
      </c>
      <c r="G6639" t="s">
        <v>179</v>
      </c>
      <c r="H6639">
        <v>11</v>
      </c>
      <c r="I6639">
        <v>85</v>
      </c>
      <c r="J6639">
        <v>83.090999999999994</v>
      </c>
      <c r="K6639">
        <v>-1.909</v>
      </c>
      <c r="L6639">
        <v>4</v>
      </c>
      <c r="M6639">
        <v>1</v>
      </c>
      <c r="N6639">
        <v>6</v>
      </c>
      <c r="O6639" t="s">
        <v>53</v>
      </c>
      <c r="P6639" t="s">
        <v>53</v>
      </c>
      <c r="Q6639" t="s">
        <v>53</v>
      </c>
    </row>
    <row r="6640" spans="1:17" x14ac:dyDescent="0.2">
      <c r="A6640" s="30" t="str">
        <f>IF(C6640&amp;G6640&amp;D6640&lt;&gt;'Funnel setup'!$K$3&amp;'Funnel setup'!$K$4&amp;'Funnel setup'!$K$5,".",IF(A6639=".",1,A6639+1))</f>
        <v>.</v>
      </c>
      <c r="B6640" s="431" t="str">
        <f t="shared" si="103"/>
        <v>Varicose VeinCCG of GP PracticeNHS SOUTHAMPTON CCG (10X)EQ VAS</v>
      </c>
      <c r="C6640" t="s">
        <v>17</v>
      </c>
      <c r="D6640" t="s">
        <v>87</v>
      </c>
      <c r="E6640" t="s">
        <v>953</v>
      </c>
      <c r="F6640" t="s">
        <v>954</v>
      </c>
      <c r="G6640" t="s">
        <v>179</v>
      </c>
      <c r="H6640">
        <v>6</v>
      </c>
      <c r="I6640">
        <v>84.5</v>
      </c>
      <c r="J6640">
        <v>80.832999999999998</v>
      </c>
      <c r="K6640">
        <v>-3.6669999999999998</v>
      </c>
      <c r="L6640">
        <v>1</v>
      </c>
      <c r="M6640">
        <v>3</v>
      </c>
      <c r="N6640">
        <v>2</v>
      </c>
      <c r="O6640" t="s">
        <v>53</v>
      </c>
      <c r="P6640" t="s">
        <v>53</v>
      </c>
      <c r="Q6640" t="s">
        <v>53</v>
      </c>
    </row>
    <row r="6641" spans="1:17" x14ac:dyDescent="0.2">
      <c r="A6641" s="30" t="str">
        <f>IF(C6641&amp;G6641&amp;D6641&lt;&gt;'Funnel setup'!$K$3&amp;'Funnel setup'!$K$4&amp;'Funnel setup'!$K$5,".",IF(A6640=".",1,A6640+1))</f>
        <v>.</v>
      </c>
      <c r="B6641" s="431" t="str">
        <f t="shared" si="103"/>
        <v>Varicose VeinCCG of GP PracticeNHS SOUTHEND CCG (99G)EQ VAS</v>
      </c>
      <c r="C6641" t="s">
        <v>17</v>
      </c>
      <c r="D6641" t="s">
        <v>87</v>
      </c>
      <c r="E6641" t="s">
        <v>956</v>
      </c>
      <c r="F6641" t="s">
        <v>957</v>
      </c>
      <c r="G6641" t="s">
        <v>179</v>
      </c>
      <c r="H6641" t="s">
        <v>53</v>
      </c>
      <c r="I6641" t="s">
        <v>53</v>
      </c>
      <c r="J6641" t="s">
        <v>53</v>
      </c>
      <c r="K6641" t="s">
        <v>53</v>
      </c>
      <c r="L6641" t="s">
        <v>53</v>
      </c>
      <c r="M6641" t="s">
        <v>53</v>
      </c>
      <c r="N6641" t="s">
        <v>53</v>
      </c>
      <c r="O6641" t="s">
        <v>53</v>
      </c>
      <c r="P6641" t="s">
        <v>53</v>
      </c>
      <c r="Q6641" t="s">
        <v>53</v>
      </c>
    </row>
    <row r="6642" spans="1:17" x14ac:dyDescent="0.2">
      <c r="A6642" s="30" t="str">
        <f>IF(C6642&amp;G6642&amp;D6642&lt;&gt;'Funnel setup'!$K$3&amp;'Funnel setup'!$K$4&amp;'Funnel setup'!$K$5,".",IF(A6641=".",1,A6641+1))</f>
        <v>.</v>
      </c>
      <c r="B6642" s="431" t="str">
        <f t="shared" si="103"/>
        <v>Varicose VeinCCG of GP PracticeNHS SOUTHERN DERBYSHIRE CCG (04R)EQ VAS</v>
      </c>
      <c r="C6642" t="s">
        <v>17</v>
      </c>
      <c r="D6642" t="s">
        <v>87</v>
      </c>
      <c r="E6642" t="s">
        <v>959</v>
      </c>
      <c r="F6642" t="s">
        <v>960</v>
      </c>
      <c r="G6642" t="s">
        <v>179</v>
      </c>
      <c r="H6642">
        <v>21</v>
      </c>
      <c r="I6642">
        <v>79</v>
      </c>
      <c r="J6642">
        <v>79.048000000000002</v>
      </c>
      <c r="K6642">
        <v>4.8000000000000001E-2</v>
      </c>
      <c r="L6642">
        <v>9</v>
      </c>
      <c r="M6642">
        <v>1</v>
      </c>
      <c r="N6642">
        <v>11</v>
      </c>
      <c r="O6642" t="s">
        <v>53</v>
      </c>
      <c r="P6642" t="s">
        <v>53</v>
      </c>
      <c r="Q6642" t="s">
        <v>53</v>
      </c>
    </row>
    <row r="6643" spans="1:17" x14ac:dyDescent="0.2">
      <c r="A6643" s="30" t="str">
        <f>IF(C6643&amp;G6643&amp;D6643&lt;&gt;'Funnel setup'!$K$3&amp;'Funnel setup'!$K$4&amp;'Funnel setup'!$K$5,".",IF(A6642=".",1,A6642+1))</f>
        <v>.</v>
      </c>
      <c r="B6643" s="431" t="str">
        <f t="shared" si="103"/>
        <v>Varicose VeinCCG of GP PracticeNHS SOUTHPORT AND FORMBY CCG (01V)EQ VAS</v>
      </c>
      <c r="C6643" t="s">
        <v>17</v>
      </c>
      <c r="D6643" t="s">
        <v>87</v>
      </c>
      <c r="E6643" t="s">
        <v>962</v>
      </c>
      <c r="F6643" t="s">
        <v>963</v>
      </c>
      <c r="G6643" t="s">
        <v>179</v>
      </c>
      <c r="H6643">
        <v>35</v>
      </c>
      <c r="I6643">
        <v>76.143000000000001</v>
      </c>
      <c r="J6643">
        <v>73.914000000000001</v>
      </c>
      <c r="K6643">
        <v>-2.2290000000000001</v>
      </c>
      <c r="L6643">
        <v>11</v>
      </c>
      <c r="M6643">
        <v>8</v>
      </c>
      <c r="N6643">
        <v>16</v>
      </c>
      <c r="O6643">
        <v>76.522999999999996</v>
      </c>
      <c r="P6643">
        <v>-2.4415269350000002</v>
      </c>
      <c r="Q6643">
        <v>11.794</v>
      </c>
    </row>
    <row r="6644" spans="1:17" x14ac:dyDescent="0.2">
      <c r="A6644" s="30" t="str">
        <f>IF(C6644&amp;G6644&amp;D6644&lt;&gt;'Funnel setup'!$K$3&amp;'Funnel setup'!$K$4&amp;'Funnel setup'!$K$5,".",IF(A6643=".",1,A6643+1))</f>
        <v>.</v>
      </c>
      <c r="B6644" s="431" t="str">
        <f t="shared" si="103"/>
        <v>Varicose VeinCCG of GP PracticeNHS SOUTHWARK CCG (08Q)EQ VAS</v>
      </c>
      <c r="C6644" t="s">
        <v>17</v>
      </c>
      <c r="D6644" t="s">
        <v>87</v>
      </c>
      <c r="E6644" t="s">
        <v>965</v>
      </c>
      <c r="F6644" t="s">
        <v>966</v>
      </c>
      <c r="G6644" t="s">
        <v>179</v>
      </c>
      <c r="H6644">
        <v>28</v>
      </c>
      <c r="I6644">
        <v>76.213999999999999</v>
      </c>
      <c r="J6644">
        <v>74.536000000000001</v>
      </c>
      <c r="K6644">
        <v>-1.679</v>
      </c>
      <c r="L6644">
        <v>10</v>
      </c>
      <c r="M6644">
        <v>3</v>
      </c>
      <c r="N6644">
        <v>15</v>
      </c>
      <c r="O6644" t="s">
        <v>53</v>
      </c>
      <c r="P6644" t="s">
        <v>53</v>
      </c>
      <c r="Q6644" t="s">
        <v>53</v>
      </c>
    </row>
    <row r="6645" spans="1:17" x14ac:dyDescent="0.2">
      <c r="A6645" s="30" t="str">
        <f>IF(C6645&amp;G6645&amp;D6645&lt;&gt;'Funnel setup'!$K$3&amp;'Funnel setup'!$K$4&amp;'Funnel setup'!$K$5,".",IF(A6644=".",1,A6644+1))</f>
        <v>.</v>
      </c>
      <c r="B6645" s="431" t="str">
        <f t="shared" si="103"/>
        <v>Varicose VeinCCG of GP PracticeNHS ST HELENS CCG (01X)EQ VAS</v>
      </c>
      <c r="C6645" t="s">
        <v>17</v>
      </c>
      <c r="D6645" t="s">
        <v>87</v>
      </c>
      <c r="E6645" t="s">
        <v>968</v>
      </c>
      <c r="F6645" t="s">
        <v>969</v>
      </c>
      <c r="G6645" t="s">
        <v>179</v>
      </c>
      <c r="H6645">
        <v>17</v>
      </c>
      <c r="I6645">
        <v>78.176000000000002</v>
      </c>
      <c r="J6645">
        <v>74.293999999999997</v>
      </c>
      <c r="K6645">
        <v>-3.8820000000000001</v>
      </c>
      <c r="L6645">
        <v>6</v>
      </c>
      <c r="M6645">
        <v>4</v>
      </c>
      <c r="N6645">
        <v>7</v>
      </c>
      <c r="O6645" t="s">
        <v>53</v>
      </c>
      <c r="P6645" t="s">
        <v>53</v>
      </c>
      <c r="Q6645" t="s">
        <v>53</v>
      </c>
    </row>
    <row r="6646" spans="1:17" x14ac:dyDescent="0.2">
      <c r="A6646" s="30" t="str">
        <f>IF(C6646&amp;G6646&amp;D6646&lt;&gt;'Funnel setup'!$K$3&amp;'Funnel setup'!$K$4&amp;'Funnel setup'!$K$5,".",IF(A6645=".",1,A6645+1))</f>
        <v>.</v>
      </c>
      <c r="B6646" s="431" t="str">
        <f t="shared" si="103"/>
        <v>Varicose VeinCCG of GP PracticeNHS STAFFORD AND SURROUNDS CCG (05V)EQ VAS</v>
      </c>
      <c r="C6646" t="s">
        <v>17</v>
      </c>
      <c r="D6646" t="s">
        <v>87</v>
      </c>
      <c r="E6646" t="s">
        <v>971</v>
      </c>
      <c r="F6646" t="s">
        <v>972</v>
      </c>
      <c r="G6646" t="s">
        <v>179</v>
      </c>
      <c r="H6646">
        <v>12</v>
      </c>
      <c r="I6646">
        <v>79.75</v>
      </c>
      <c r="J6646">
        <v>77.667000000000002</v>
      </c>
      <c r="K6646">
        <v>-2.0830000000000002</v>
      </c>
      <c r="L6646">
        <v>5</v>
      </c>
      <c r="M6646">
        <v>1</v>
      </c>
      <c r="N6646">
        <v>6</v>
      </c>
      <c r="O6646" t="s">
        <v>53</v>
      </c>
      <c r="P6646" t="s">
        <v>53</v>
      </c>
      <c r="Q6646" t="s">
        <v>53</v>
      </c>
    </row>
    <row r="6647" spans="1:17" x14ac:dyDescent="0.2">
      <c r="A6647" s="30" t="str">
        <f>IF(C6647&amp;G6647&amp;D6647&lt;&gt;'Funnel setup'!$K$3&amp;'Funnel setup'!$K$4&amp;'Funnel setup'!$K$5,".",IF(A6646=".",1,A6646+1))</f>
        <v>.</v>
      </c>
      <c r="B6647" s="431" t="str">
        <f t="shared" si="103"/>
        <v>Varicose VeinCCG of GP PracticeNHS STOCKPORT CCG (01W)EQ VAS</v>
      </c>
      <c r="C6647" t="s">
        <v>17</v>
      </c>
      <c r="D6647" t="s">
        <v>87</v>
      </c>
      <c r="E6647" t="s">
        <v>974</v>
      </c>
      <c r="F6647" t="s">
        <v>975</v>
      </c>
      <c r="G6647" t="s">
        <v>179</v>
      </c>
      <c r="H6647">
        <v>16</v>
      </c>
      <c r="I6647">
        <v>68.125</v>
      </c>
      <c r="J6647">
        <v>70.688000000000002</v>
      </c>
      <c r="K6647">
        <v>2.5630000000000002</v>
      </c>
      <c r="L6647">
        <v>8</v>
      </c>
      <c r="M6647">
        <v>3</v>
      </c>
      <c r="N6647">
        <v>5</v>
      </c>
      <c r="O6647" t="s">
        <v>53</v>
      </c>
      <c r="P6647" t="s">
        <v>53</v>
      </c>
      <c r="Q6647" t="s">
        <v>53</v>
      </c>
    </row>
    <row r="6648" spans="1:17" x14ac:dyDescent="0.2">
      <c r="A6648" s="30" t="str">
        <f>IF(C6648&amp;G6648&amp;D6648&lt;&gt;'Funnel setup'!$K$3&amp;'Funnel setup'!$K$4&amp;'Funnel setup'!$K$5,".",IF(A6647=".",1,A6647+1))</f>
        <v>.</v>
      </c>
      <c r="B6648" s="431" t="str">
        <f t="shared" si="103"/>
        <v>Varicose VeinCCG of GP PracticeNHS STOKE ON TRENT CCG (05W)EQ VAS</v>
      </c>
      <c r="C6648" t="s">
        <v>17</v>
      </c>
      <c r="D6648" t="s">
        <v>87</v>
      </c>
      <c r="E6648" t="s">
        <v>977</v>
      </c>
      <c r="F6648" t="s">
        <v>978</v>
      </c>
      <c r="G6648" t="s">
        <v>179</v>
      </c>
      <c r="H6648" t="s">
        <v>53</v>
      </c>
      <c r="I6648" t="s">
        <v>53</v>
      </c>
      <c r="J6648" t="s">
        <v>53</v>
      </c>
      <c r="K6648" t="s">
        <v>53</v>
      </c>
      <c r="L6648" t="s">
        <v>53</v>
      </c>
      <c r="M6648" t="s">
        <v>53</v>
      </c>
      <c r="N6648" t="s">
        <v>53</v>
      </c>
      <c r="O6648" t="s">
        <v>53</v>
      </c>
      <c r="P6648" t="s">
        <v>53</v>
      </c>
      <c r="Q6648" t="s">
        <v>53</v>
      </c>
    </row>
    <row r="6649" spans="1:17" x14ac:dyDescent="0.2">
      <c r="A6649" s="30" t="str">
        <f>IF(C6649&amp;G6649&amp;D6649&lt;&gt;'Funnel setup'!$K$3&amp;'Funnel setup'!$K$4&amp;'Funnel setup'!$K$5,".",IF(A6648=".",1,A6648+1))</f>
        <v>.</v>
      </c>
      <c r="B6649" s="431" t="str">
        <f t="shared" si="103"/>
        <v>Varicose VeinCCG of GP PracticeNHS SUNDERLAND CCG (00P)EQ VAS</v>
      </c>
      <c r="C6649" t="s">
        <v>17</v>
      </c>
      <c r="D6649" t="s">
        <v>87</v>
      </c>
      <c r="E6649" t="s">
        <v>980</v>
      </c>
      <c r="F6649" t="s">
        <v>981</v>
      </c>
      <c r="G6649" t="s">
        <v>179</v>
      </c>
      <c r="H6649">
        <v>134</v>
      </c>
      <c r="I6649">
        <v>80.700999999999993</v>
      </c>
      <c r="J6649">
        <v>78.918000000000006</v>
      </c>
      <c r="K6649">
        <v>-1.784</v>
      </c>
      <c r="L6649">
        <v>39</v>
      </c>
      <c r="M6649">
        <v>27</v>
      </c>
      <c r="N6649">
        <v>68</v>
      </c>
      <c r="O6649">
        <v>78.585999999999999</v>
      </c>
      <c r="P6649">
        <v>-0.37801042200000001</v>
      </c>
      <c r="Q6649">
        <v>12.728</v>
      </c>
    </row>
    <row r="6650" spans="1:17" x14ac:dyDescent="0.2">
      <c r="A6650" s="30" t="str">
        <f>IF(C6650&amp;G6650&amp;D6650&lt;&gt;'Funnel setup'!$K$3&amp;'Funnel setup'!$K$4&amp;'Funnel setup'!$K$5,".",IF(A6649=".",1,A6649+1))</f>
        <v>.</v>
      </c>
      <c r="B6650" s="431" t="str">
        <f t="shared" si="103"/>
        <v>Varicose VeinCCG of GP PracticeNHS SURREY DOWNS CCG (99H)EQ VAS</v>
      </c>
      <c r="C6650" t="s">
        <v>17</v>
      </c>
      <c r="D6650" t="s">
        <v>87</v>
      </c>
      <c r="E6650" t="s">
        <v>983</v>
      </c>
      <c r="F6650" t="s">
        <v>984</v>
      </c>
      <c r="G6650" t="s">
        <v>179</v>
      </c>
      <c r="H6650">
        <v>33</v>
      </c>
      <c r="I6650">
        <v>82.575999999999993</v>
      </c>
      <c r="J6650">
        <v>82.364000000000004</v>
      </c>
      <c r="K6650">
        <v>-0.21199999999999999</v>
      </c>
      <c r="L6650">
        <v>13</v>
      </c>
      <c r="M6650">
        <v>2</v>
      </c>
      <c r="N6650">
        <v>18</v>
      </c>
      <c r="O6650">
        <v>79.849999999999994</v>
      </c>
      <c r="P6650">
        <v>0.88629212199999996</v>
      </c>
      <c r="Q6650">
        <v>11.395</v>
      </c>
    </row>
    <row r="6651" spans="1:17" x14ac:dyDescent="0.2">
      <c r="A6651" s="30" t="str">
        <f>IF(C6651&amp;G6651&amp;D6651&lt;&gt;'Funnel setup'!$K$3&amp;'Funnel setup'!$K$4&amp;'Funnel setup'!$K$5,".",IF(A6650=".",1,A6650+1))</f>
        <v>.</v>
      </c>
      <c r="B6651" s="431" t="str">
        <f t="shared" si="103"/>
        <v>Varicose VeinCCG of GP PracticeNHS SURREY HEATH CCG (10C)EQ VAS</v>
      </c>
      <c r="C6651" t="s">
        <v>17</v>
      </c>
      <c r="D6651" t="s">
        <v>87</v>
      </c>
      <c r="E6651" t="s">
        <v>986</v>
      </c>
      <c r="F6651" t="s">
        <v>987</v>
      </c>
      <c r="G6651" t="s">
        <v>179</v>
      </c>
      <c r="H6651" t="s">
        <v>53</v>
      </c>
      <c r="I6651" t="s">
        <v>53</v>
      </c>
      <c r="J6651" t="s">
        <v>53</v>
      </c>
      <c r="K6651" t="s">
        <v>53</v>
      </c>
      <c r="L6651" t="s">
        <v>53</v>
      </c>
      <c r="M6651" t="s">
        <v>53</v>
      </c>
      <c r="N6651" t="s">
        <v>53</v>
      </c>
      <c r="O6651" t="s">
        <v>53</v>
      </c>
      <c r="P6651" t="s">
        <v>53</v>
      </c>
      <c r="Q6651" t="s">
        <v>53</v>
      </c>
    </row>
    <row r="6652" spans="1:17" x14ac:dyDescent="0.2">
      <c r="A6652" s="30" t="str">
        <f>IF(C6652&amp;G6652&amp;D6652&lt;&gt;'Funnel setup'!$K$3&amp;'Funnel setup'!$K$4&amp;'Funnel setup'!$K$5,".",IF(A6651=".",1,A6651+1))</f>
        <v>.</v>
      </c>
      <c r="B6652" s="431" t="str">
        <f t="shared" si="103"/>
        <v>Varicose VeinCCG of GP PracticeNHS SUTTON CCG (08T)EQ VAS</v>
      </c>
      <c r="C6652" t="s">
        <v>17</v>
      </c>
      <c r="D6652" t="s">
        <v>87</v>
      </c>
      <c r="E6652" t="s">
        <v>989</v>
      </c>
      <c r="F6652" t="s">
        <v>990</v>
      </c>
      <c r="G6652" t="s">
        <v>179</v>
      </c>
      <c r="H6652">
        <v>16</v>
      </c>
      <c r="I6652">
        <v>79.938000000000002</v>
      </c>
      <c r="J6652">
        <v>74.438000000000002</v>
      </c>
      <c r="K6652">
        <v>-5.5</v>
      </c>
      <c r="L6652">
        <v>5</v>
      </c>
      <c r="M6652">
        <v>0</v>
      </c>
      <c r="N6652">
        <v>11</v>
      </c>
      <c r="O6652" t="s">
        <v>53</v>
      </c>
      <c r="P6652" t="s">
        <v>53</v>
      </c>
      <c r="Q6652" t="s">
        <v>53</v>
      </c>
    </row>
    <row r="6653" spans="1:17" x14ac:dyDescent="0.2">
      <c r="A6653" s="30" t="str">
        <f>IF(C6653&amp;G6653&amp;D6653&lt;&gt;'Funnel setup'!$K$3&amp;'Funnel setup'!$K$4&amp;'Funnel setup'!$K$5,".",IF(A6652=".",1,A6652+1))</f>
        <v>.</v>
      </c>
      <c r="B6653" s="431" t="str">
        <f t="shared" si="103"/>
        <v>Varicose VeinCCG of GP PracticeNHS SWALE CCG (10D)EQ VAS</v>
      </c>
      <c r="C6653" t="s">
        <v>17</v>
      </c>
      <c r="D6653" t="s">
        <v>87</v>
      </c>
      <c r="E6653" t="s">
        <v>992</v>
      </c>
      <c r="F6653" t="s">
        <v>993</v>
      </c>
      <c r="G6653" t="s">
        <v>179</v>
      </c>
      <c r="H6653" t="s">
        <v>53</v>
      </c>
      <c r="I6653" t="s">
        <v>53</v>
      </c>
      <c r="J6653" t="s">
        <v>53</v>
      </c>
      <c r="K6653" t="s">
        <v>53</v>
      </c>
      <c r="L6653" t="s">
        <v>53</v>
      </c>
      <c r="M6653" t="s">
        <v>53</v>
      </c>
      <c r="N6653" t="s">
        <v>53</v>
      </c>
      <c r="O6653" t="s">
        <v>53</v>
      </c>
      <c r="P6653" t="s">
        <v>53</v>
      </c>
      <c r="Q6653" t="s">
        <v>53</v>
      </c>
    </row>
    <row r="6654" spans="1:17" x14ac:dyDescent="0.2">
      <c r="A6654" s="30" t="str">
        <f>IF(C6654&amp;G6654&amp;D6654&lt;&gt;'Funnel setup'!$K$3&amp;'Funnel setup'!$K$4&amp;'Funnel setup'!$K$5,".",IF(A6653=".",1,A6653+1))</f>
        <v>.</v>
      </c>
      <c r="B6654" s="431" t="str">
        <f t="shared" si="103"/>
        <v>Varicose VeinCCG of GP PracticeNHS SWINDON CCG (12D)EQ VAS</v>
      </c>
      <c r="C6654" t="s">
        <v>17</v>
      </c>
      <c r="D6654" t="s">
        <v>87</v>
      </c>
      <c r="E6654" t="s">
        <v>995</v>
      </c>
      <c r="F6654" t="s">
        <v>996</v>
      </c>
      <c r="G6654" t="s">
        <v>179</v>
      </c>
      <c r="H6654">
        <v>38</v>
      </c>
      <c r="I6654">
        <v>78.183999999999997</v>
      </c>
      <c r="J6654">
        <v>77.158000000000001</v>
      </c>
      <c r="K6654">
        <v>-1.026</v>
      </c>
      <c r="L6654">
        <v>12</v>
      </c>
      <c r="M6654">
        <v>10</v>
      </c>
      <c r="N6654">
        <v>16</v>
      </c>
      <c r="O6654">
        <v>76.319000000000003</v>
      </c>
      <c r="P6654">
        <v>-2.6454222650000001</v>
      </c>
      <c r="Q6654">
        <v>16.617999999999999</v>
      </c>
    </row>
    <row r="6655" spans="1:17" x14ac:dyDescent="0.2">
      <c r="A6655" s="30" t="str">
        <f>IF(C6655&amp;G6655&amp;D6655&lt;&gt;'Funnel setup'!$K$3&amp;'Funnel setup'!$K$4&amp;'Funnel setup'!$K$5,".",IF(A6654=".",1,A6654+1))</f>
        <v>.</v>
      </c>
      <c r="B6655" s="431" t="str">
        <f t="shared" si="103"/>
        <v>Varicose VeinCCG of GP PracticeNHS TAMESIDE AND GLOSSOP CCG (01Y)EQ VAS</v>
      </c>
      <c r="C6655" t="s">
        <v>17</v>
      </c>
      <c r="D6655" t="s">
        <v>87</v>
      </c>
      <c r="E6655" t="s">
        <v>998</v>
      </c>
      <c r="F6655" t="s">
        <v>999</v>
      </c>
      <c r="G6655" t="s">
        <v>179</v>
      </c>
      <c r="H6655">
        <v>28</v>
      </c>
      <c r="I6655">
        <v>76.570999999999998</v>
      </c>
      <c r="J6655">
        <v>72.463999999999999</v>
      </c>
      <c r="K6655">
        <v>-4.1070000000000002</v>
      </c>
      <c r="L6655">
        <v>10</v>
      </c>
      <c r="M6655">
        <v>5</v>
      </c>
      <c r="N6655">
        <v>13</v>
      </c>
      <c r="O6655" t="s">
        <v>53</v>
      </c>
      <c r="P6655" t="s">
        <v>53</v>
      </c>
      <c r="Q6655" t="s">
        <v>53</v>
      </c>
    </row>
    <row r="6656" spans="1:17" x14ac:dyDescent="0.2">
      <c r="A6656" s="30" t="str">
        <f>IF(C6656&amp;G6656&amp;D6656&lt;&gt;'Funnel setup'!$K$3&amp;'Funnel setup'!$K$4&amp;'Funnel setup'!$K$5,".",IF(A6655=".",1,A6655+1))</f>
        <v>.</v>
      </c>
      <c r="B6656" s="431" t="str">
        <f t="shared" si="103"/>
        <v>Varicose VeinCCG of GP PracticeNHS TELFORD AND WREKIN CCG (05X)EQ VAS</v>
      </c>
      <c r="C6656" t="s">
        <v>17</v>
      </c>
      <c r="D6656" t="s">
        <v>87</v>
      </c>
      <c r="E6656" t="s">
        <v>1001</v>
      </c>
      <c r="F6656" t="s">
        <v>1002</v>
      </c>
      <c r="G6656" t="s">
        <v>179</v>
      </c>
      <c r="H6656">
        <v>9</v>
      </c>
      <c r="I6656">
        <v>73.778000000000006</v>
      </c>
      <c r="J6656">
        <v>74.332999999999998</v>
      </c>
      <c r="K6656">
        <v>0.55600000000000005</v>
      </c>
      <c r="L6656">
        <v>4</v>
      </c>
      <c r="M6656">
        <v>2</v>
      </c>
      <c r="N6656">
        <v>3</v>
      </c>
      <c r="O6656" t="s">
        <v>53</v>
      </c>
      <c r="P6656" t="s">
        <v>53</v>
      </c>
      <c r="Q6656" t="s">
        <v>53</v>
      </c>
    </row>
    <row r="6657" spans="1:17" x14ac:dyDescent="0.2">
      <c r="A6657" s="30" t="str">
        <f>IF(C6657&amp;G6657&amp;D6657&lt;&gt;'Funnel setup'!$K$3&amp;'Funnel setup'!$K$4&amp;'Funnel setup'!$K$5,".",IF(A6656=".",1,A6656+1))</f>
        <v>.</v>
      </c>
      <c r="B6657" s="431" t="str">
        <f t="shared" si="103"/>
        <v>Varicose VeinCCG of GP PracticeNHS THURROCK CCG (07G)EQ VAS</v>
      </c>
      <c r="C6657" t="s">
        <v>17</v>
      </c>
      <c r="D6657" t="s">
        <v>87</v>
      </c>
      <c r="E6657" t="s">
        <v>1007</v>
      </c>
      <c r="F6657" t="s">
        <v>1008</v>
      </c>
      <c r="G6657" t="s">
        <v>179</v>
      </c>
      <c r="H6657" t="s">
        <v>53</v>
      </c>
      <c r="I6657" t="s">
        <v>53</v>
      </c>
      <c r="J6657" t="s">
        <v>53</v>
      </c>
      <c r="K6657" t="s">
        <v>53</v>
      </c>
      <c r="L6657" t="s">
        <v>53</v>
      </c>
      <c r="M6657" t="s">
        <v>53</v>
      </c>
      <c r="N6657" t="s">
        <v>53</v>
      </c>
      <c r="O6657" t="s">
        <v>53</v>
      </c>
      <c r="P6657" t="s">
        <v>53</v>
      </c>
      <c r="Q6657" t="s">
        <v>53</v>
      </c>
    </row>
    <row r="6658" spans="1:17" x14ac:dyDescent="0.2">
      <c r="A6658" s="30" t="str">
        <f>IF(C6658&amp;G6658&amp;D6658&lt;&gt;'Funnel setup'!$K$3&amp;'Funnel setup'!$K$4&amp;'Funnel setup'!$K$5,".",IF(A6657=".",1,A6657+1))</f>
        <v>.</v>
      </c>
      <c r="B6658" s="431" t="str">
        <f t="shared" si="103"/>
        <v>Varicose VeinCCG of GP PracticeNHS TOWER HAMLETS CCG (08V)EQ VAS</v>
      </c>
      <c r="C6658" t="s">
        <v>17</v>
      </c>
      <c r="D6658" t="s">
        <v>87</v>
      </c>
      <c r="E6658" t="s">
        <v>1010</v>
      </c>
      <c r="F6658" t="s">
        <v>1011</v>
      </c>
      <c r="G6658" t="s">
        <v>179</v>
      </c>
      <c r="H6658">
        <v>7</v>
      </c>
      <c r="I6658">
        <v>83</v>
      </c>
      <c r="J6658">
        <v>80</v>
      </c>
      <c r="K6658">
        <v>-3</v>
      </c>
      <c r="L6658">
        <v>1</v>
      </c>
      <c r="M6658">
        <v>3</v>
      </c>
      <c r="N6658">
        <v>3</v>
      </c>
      <c r="O6658" t="s">
        <v>53</v>
      </c>
      <c r="P6658" t="s">
        <v>53</v>
      </c>
      <c r="Q6658" t="s">
        <v>53</v>
      </c>
    </row>
    <row r="6659" spans="1:17" x14ac:dyDescent="0.2">
      <c r="A6659" s="30" t="str">
        <f>IF(C6659&amp;G6659&amp;D6659&lt;&gt;'Funnel setup'!$K$3&amp;'Funnel setup'!$K$4&amp;'Funnel setup'!$K$5,".",IF(A6658=".",1,A6658+1))</f>
        <v>.</v>
      </c>
      <c r="B6659" s="431" t="str">
        <f t="shared" ref="B6659:B6722" si="104">C6659&amp;D6659&amp;F6659&amp;G6659</f>
        <v>Varicose VeinCCG of GP PracticeNHS TRAFFORD CCG (02A)EQ VAS</v>
      </c>
      <c r="C6659" t="s">
        <v>17</v>
      </c>
      <c r="D6659" t="s">
        <v>87</v>
      </c>
      <c r="E6659" t="s">
        <v>1013</v>
      </c>
      <c r="F6659" t="s">
        <v>1014</v>
      </c>
      <c r="G6659" t="s">
        <v>179</v>
      </c>
      <c r="H6659">
        <v>34</v>
      </c>
      <c r="I6659">
        <v>85.823999999999998</v>
      </c>
      <c r="J6659">
        <v>83.087999999999994</v>
      </c>
      <c r="K6659">
        <v>-2.7349999999999999</v>
      </c>
      <c r="L6659">
        <v>11</v>
      </c>
      <c r="M6659">
        <v>6</v>
      </c>
      <c r="N6659">
        <v>17</v>
      </c>
      <c r="O6659">
        <v>77.438000000000002</v>
      </c>
      <c r="P6659">
        <v>-1.5259040719999999</v>
      </c>
      <c r="Q6659">
        <v>9.7959999999999994</v>
      </c>
    </row>
    <row r="6660" spans="1:17" x14ac:dyDescent="0.2">
      <c r="A6660" s="30" t="str">
        <f>IF(C6660&amp;G6660&amp;D6660&lt;&gt;'Funnel setup'!$K$3&amp;'Funnel setup'!$K$4&amp;'Funnel setup'!$K$5,".",IF(A6659=".",1,A6659+1))</f>
        <v>.</v>
      </c>
      <c r="B6660" s="431" t="str">
        <f t="shared" si="104"/>
        <v>Varicose VeinCCG of GP PracticeNHS VALE OF YORK CCG (03Q)EQ VAS</v>
      </c>
      <c r="C6660" t="s">
        <v>17</v>
      </c>
      <c r="D6660" t="s">
        <v>87</v>
      </c>
      <c r="E6660" t="s">
        <v>420</v>
      </c>
      <c r="F6660" t="s">
        <v>421</v>
      </c>
      <c r="G6660" t="s">
        <v>179</v>
      </c>
      <c r="H6660">
        <v>35</v>
      </c>
      <c r="I6660">
        <v>80.513999999999996</v>
      </c>
      <c r="J6660">
        <v>80.343000000000004</v>
      </c>
      <c r="K6660">
        <v>-0.17100000000000001</v>
      </c>
      <c r="L6660">
        <v>17</v>
      </c>
      <c r="M6660">
        <v>8</v>
      </c>
      <c r="N6660">
        <v>10</v>
      </c>
      <c r="O6660">
        <v>79.033000000000001</v>
      </c>
      <c r="P6660">
        <v>6.9262492999999994E-2</v>
      </c>
      <c r="Q6660">
        <v>19.007999999999999</v>
      </c>
    </row>
    <row r="6661" spans="1:17" x14ac:dyDescent="0.2">
      <c r="A6661" s="30" t="str">
        <f>IF(C6661&amp;G6661&amp;D6661&lt;&gt;'Funnel setup'!$K$3&amp;'Funnel setup'!$K$4&amp;'Funnel setup'!$K$5,".",IF(A6660=".",1,A6660+1))</f>
        <v>.</v>
      </c>
      <c r="B6661" s="431" t="str">
        <f t="shared" si="104"/>
        <v>Varicose VeinCCG of GP PracticeNHS VALE ROYAL CCG (02D)EQ VAS</v>
      </c>
      <c r="C6661" t="s">
        <v>17</v>
      </c>
      <c r="D6661" t="s">
        <v>87</v>
      </c>
      <c r="E6661" t="s">
        <v>423</v>
      </c>
      <c r="F6661" t="s">
        <v>424</v>
      </c>
      <c r="G6661" t="s">
        <v>179</v>
      </c>
      <c r="H6661" t="s">
        <v>53</v>
      </c>
      <c r="I6661" t="s">
        <v>53</v>
      </c>
      <c r="J6661" t="s">
        <v>53</v>
      </c>
      <c r="K6661" t="s">
        <v>53</v>
      </c>
      <c r="L6661" t="s">
        <v>53</v>
      </c>
      <c r="M6661" t="s">
        <v>53</v>
      </c>
      <c r="N6661" t="s">
        <v>53</v>
      </c>
      <c r="O6661" t="s">
        <v>53</v>
      </c>
      <c r="P6661" t="s">
        <v>53</v>
      </c>
      <c r="Q6661" t="s">
        <v>53</v>
      </c>
    </row>
    <row r="6662" spans="1:17" x14ac:dyDescent="0.2">
      <c r="A6662" s="30" t="str">
        <f>IF(C6662&amp;G6662&amp;D6662&lt;&gt;'Funnel setup'!$K$3&amp;'Funnel setup'!$K$4&amp;'Funnel setup'!$K$5,".",IF(A6661=".",1,A6661+1))</f>
        <v>.</v>
      </c>
      <c r="B6662" s="431" t="str">
        <f t="shared" si="104"/>
        <v>Varicose VeinCCG of GP PracticeNHS WAKEFIELD CCG (03R)EQ VAS</v>
      </c>
      <c r="C6662" t="s">
        <v>17</v>
      </c>
      <c r="D6662" t="s">
        <v>87</v>
      </c>
      <c r="E6662" t="s">
        <v>426</v>
      </c>
      <c r="F6662" t="s">
        <v>427</v>
      </c>
      <c r="G6662" t="s">
        <v>179</v>
      </c>
      <c r="H6662">
        <v>77</v>
      </c>
      <c r="I6662">
        <v>80.882999999999996</v>
      </c>
      <c r="J6662">
        <v>79.960999999999999</v>
      </c>
      <c r="K6662">
        <v>-0.92200000000000004</v>
      </c>
      <c r="L6662">
        <v>27</v>
      </c>
      <c r="M6662">
        <v>15</v>
      </c>
      <c r="N6662">
        <v>35</v>
      </c>
      <c r="O6662">
        <v>79.328000000000003</v>
      </c>
      <c r="P6662">
        <v>0.36381071100000001</v>
      </c>
      <c r="Q6662">
        <v>11.602</v>
      </c>
    </row>
    <row r="6663" spans="1:17" x14ac:dyDescent="0.2">
      <c r="A6663" s="30" t="str">
        <f>IF(C6663&amp;G6663&amp;D6663&lt;&gt;'Funnel setup'!$K$3&amp;'Funnel setup'!$K$4&amp;'Funnel setup'!$K$5,".",IF(A6662=".",1,A6662+1))</f>
        <v>.</v>
      </c>
      <c r="B6663" s="431" t="str">
        <f t="shared" si="104"/>
        <v>Varicose VeinCCG of GP PracticeNHS WALSALL CCG (05Y)EQ VAS</v>
      </c>
      <c r="C6663" t="s">
        <v>17</v>
      </c>
      <c r="D6663" t="s">
        <v>87</v>
      </c>
      <c r="E6663" t="s">
        <v>429</v>
      </c>
      <c r="F6663" t="s">
        <v>430</v>
      </c>
      <c r="G6663" t="s">
        <v>179</v>
      </c>
      <c r="H6663">
        <v>31</v>
      </c>
      <c r="I6663">
        <v>78.418999999999997</v>
      </c>
      <c r="J6663">
        <v>79.451999999999998</v>
      </c>
      <c r="K6663">
        <v>1.032</v>
      </c>
      <c r="L6663">
        <v>13</v>
      </c>
      <c r="M6663">
        <v>9</v>
      </c>
      <c r="N6663">
        <v>9</v>
      </c>
      <c r="O6663">
        <v>80.331000000000003</v>
      </c>
      <c r="P6663">
        <v>1.3668351780000001</v>
      </c>
      <c r="Q6663">
        <v>8.1210000000000004</v>
      </c>
    </row>
    <row r="6664" spans="1:17" x14ac:dyDescent="0.2">
      <c r="A6664" s="30" t="str">
        <f>IF(C6664&amp;G6664&amp;D6664&lt;&gt;'Funnel setup'!$K$3&amp;'Funnel setup'!$K$4&amp;'Funnel setup'!$K$5,".",IF(A6663=".",1,A6663+1))</f>
        <v>.</v>
      </c>
      <c r="B6664" s="431" t="str">
        <f t="shared" si="104"/>
        <v>Varicose VeinCCG of GP PracticeNHS WALTHAM FOREST CCG (08W)EQ VAS</v>
      </c>
      <c r="C6664" t="s">
        <v>17</v>
      </c>
      <c r="D6664" t="s">
        <v>87</v>
      </c>
      <c r="E6664" t="s">
        <v>432</v>
      </c>
      <c r="F6664" t="s">
        <v>433</v>
      </c>
      <c r="G6664" t="s">
        <v>179</v>
      </c>
      <c r="H6664">
        <v>15</v>
      </c>
      <c r="I6664">
        <v>77</v>
      </c>
      <c r="J6664">
        <v>78.599999999999994</v>
      </c>
      <c r="K6664">
        <v>1.6</v>
      </c>
      <c r="L6664">
        <v>8</v>
      </c>
      <c r="M6664">
        <v>1</v>
      </c>
      <c r="N6664">
        <v>6</v>
      </c>
      <c r="O6664" t="s">
        <v>53</v>
      </c>
      <c r="P6664" t="s">
        <v>53</v>
      </c>
      <c r="Q6664" t="s">
        <v>53</v>
      </c>
    </row>
    <row r="6665" spans="1:17" x14ac:dyDescent="0.2">
      <c r="A6665" s="30" t="str">
        <f>IF(C6665&amp;G6665&amp;D6665&lt;&gt;'Funnel setup'!$K$3&amp;'Funnel setup'!$K$4&amp;'Funnel setup'!$K$5,".",IF(A6664=".",1,A6664+1))</f>
        <v>.</v>
      </c>
      <c r="B6665" s="431" t="str">
        <f t="shared" si="104"/>
        <v>Varicose VeinCCG of GP PracticeNHS WANDSWORTH CCG (08X)EQ VAS</v>
      </c>
      <c r="C6665" t="s">
        <v>17</v>
      </c>
      <c r="D6665" t="s">
        <v>87</v>
      </c>
      <c r="E6665" t="s">
        <v>435</v>
      </c>
      <c r="F6665" t="s">
        <v>436</v>
      </c>
      <c r="G6665" t="s">
        <v>179</v>
      </c>
      <c r="H6665">
        <v>30</v>
      </c>
      <c r="I6665">
        <v>76.667000000000002</v>
      </c>
      <c r="J6665">
        <v>79</v>
      </c>
      <c r="K6665">
        <v>2.3330000000000002</v>
      </c>
      <c r="L6665">
        <v>16</v>
      </c>
      <c r="M6665">
        <v>5</v>
      </c>
      <c r="N6665">
        <v>9</v>
      </c>
      <c r="O6665">
        <v>80.168999999999997</v>
      </c>
      <c r="P6665">
        <v>1.204765307</v>
      </c>
      <c r="Q6665">
        <v>14.582000000000001</v>
      </c>
    </row>
    <row r="6666" spans="1:17" x14ac:dyDescent="0.2">
      <c r="A6666" s="30" t="str">
        <f>IF(C6666&amp;G6666&amp;D6666&lt;&gt;'Funnel setup'!$K$3&amp;'Funnel setup'!$K$4&amp;'Funnel setup'!$K$5,".",IF(A6665=".",1,A6665+1))</f>
        <v>.</v>
      </c>
      <c r="B6666" s="431" t="str">
        <f t="shared" si="104"/>
        <v>Varicose VeinCCG of GP PracticeNHS WARRINGTON CCG (02E)EQ VAS</v>
      </c>
      <c r="C6666" t="s">
        <v>17</v>
      </c>
      <c r="D6666" t="s">
        <v>87</v>
      </c>
      <c r="E6666" t="s">
        <v>441</v>
      </c>
      <c r="F6666" t="s">
        <v>442</v>
      </c>
      <c r="G6666" t="s">
        <v>179</v>
      </c>
      <c r="H6666" t="s">
        <v>53</v>
      </c>
      <c r="I6666" t="s">
        <v>53</v>
      </c>
      <c r="J6666" t="s">
        <v>53</v>
      </c>
      <c r="K6666" t="s">
        <v>53</v>
      </c>
      <c r="L6666" t="s">
        <v>53</v>
      </c>
      <c r="M6666" t="s">
        <v>53</v>
      </c>
      <c r="N6666" t="s">
        <v>53</v>
      </c>
      <c r="O6666" t="s">
        <v>53</v>
      </c>
      <c r="P6666" t="s">
        <v>53</v>
      </c>
      <c r="Q6666" t="s">
        <v>53</v>
      </c>
    </row>
    <row r="6667" spans="1:17" x14ac:dyDescent="0.2">
      <c r="A6667" s="30" t="str">
        <f>IF(C6667&amp;G6667&amp;D6667&lt;&gt;'Funnel setup'!$K$3&amp;'Funnel setup'!$K$4&amp;'Funnel setup'!$K$5,".",IF(A6666=".",1,A6666+1))</f>
        <v>.</v>
      </c>
      <c r="B6667" s="431" t="str">
        <f t="shared" si="104"/>
        <v>Varicose VeinCCG of GP PracticeNHS WARWICKSHIRE NORTH CCG (05H)EQ VAS</v>
      </c>
      <c r="C6667" t="s">
        <v>17</v>
      </c>
      <c r="D6667" t="s">
        <v>87</v>
      </c>
      <c r="E6667" t="s">
        <v>438</v>
      </c>
      <c r="F6667" t="s">
        <v>439</v>
      </c>
      <c r="G6667" t="s">
        <v>179</v>
      </c>
      <c r="H6667">
        <v>8</v>
      </c>
      <c r="I6667">
        <v>73.875</v>
      </c>
      <c r="J6667">
        <v>79</v>
      </c>
      <c r="K6667">
        <v>5.125</v>
      </c>
      <c r="L6667">
        <v>5</v>
      </c>
      <c r="M6667">
        <v>2</v>
      </c>
      <c r="N6667">
        <v>1</v>
      </c>
      <c r="O6667" t="s">
        <v>53</v>
      </c>
      <c r="P6667" t="s">
        <v>53</v>
      </c>
      <c r="Q6667" t="s">
        <v>53</v>
      </c>
    </row>
    <row r="6668" spans="1:17" x14ac:dyDescent="0.2">
      <c r="A6668" s="30" t="str">
        <f>IF(C6668&amp;G6668&amp;D6668&lt;&gt;'Funnel setup'!$K$3&amp;'Funnel setup'!$K$4&amp;'Funnel setup'!$K$5,".",IF(A6667=".",1,A6667+1))</f>
        <v>.</v>
      </c>
      <c r="B6668" s="431" t="str">
        <f t="shared" si="104"/>
        <v>Varicose VeinCCG of GP PracticeNHS WEST CHESHIRE CCG (02F)EQ VAS</v>
      </c>
      <c r="C6668" t="s">
        <v>17</v>
      </c>
      <c r="D6668" t="s">
        <v>87</v>
      </c>
      <c r="E6668" t="s">
        <v>402</v>
      </c>
      <c r="F6668" t="s">
        <v>403</v>
      </c>
      <c r="G6668" t="s">
        <v>179</v>
      </c>
      <c r="H6668">
        <v>28</v>
      </c>
      <c r="I6668">
        <v>78.893000000000001</v>
      </c>
      <c r="J6668">
        <v>80.75</v>
      </c>
      <c r="K6668">
        <v>1.857</v>
      </c>
      <c r="L6668">
        <v>8</v>
      </c>
      <c r="M6668">
        <v>9</v>
      </c>
      <c r="N6668">
        <v>11</v>
      </c>
      <c r="O6668" t="s">
        <v>53</v>
      </c>
      <c r="P6668" t="s">
        <v>53</v>
      </c>
      <c r="Q6668" t="s">
        <v>53</v>
      </c>
    </row>
    <row r="6669" spans="1:17" x14ac:dyDescent="0.2">
      <c r="A6669" s="30" t="str">
        <f>IF(C6669&amp;G6669&amp;D6669&lt;&gt;'Funnel setup'!$K$3&amp;'Funnel setup'!$K$4&amp;'Funnel setup'!$K$5,".",IF(A6668=".",1,A6668+1))</f>
        <v>.</v>
      </c>
      <c r="B6669" s="431" t="str">
        <f t="shared" si="104"/>
        <v>Varicose VeinCCG of GP PracticeNHS WEST ESSEX CCG (07H)EQ VAS</v>
      </c>
      <c r="C6669" t="s">
        <v>17</v>
      </c>
      <c r="D6669" t="s">
        <v>87</v>
      </c>
      <c r="E6669" t="s">
        <v>405</v>
      </c>
      <c r="F6669" t="s">
        <v>406</v>
      </c>
      <c r="G6669" t="s">
        <v>179</v>
      </c>
      <c r="H6669">
        <v>14</v>
      </c>
      <c r="I6669">
        <v>78.643000000000001</v>
      </c>
      <c r="J6669">
        <v>77.143000000000001</v>
      </c>
      <c r="K6669">
        <v>-1.5</v>
      </c>
      <c r="L6669">
        <v>8</v>
      </c>
      <c r="M6669">
        <v>2</v>
      </c>
      <c r="N6669">
        <v>4</v>
      </c>
      <c r="O6669" t="s">
        <v>53</v>
      </c>
      <c r="P6669" t="s">
        <v>53</v>
      </c>
      <c r="Q6669" t="s">
        <v>53</v>
      </c>
    </row>
    <row r="6670" spans="1:17" x14ac:dyDescent="0.2">
      <c r="A6670" s="30" t="str">
        <f>IF(C6670&amp;G6670&amp;D6670&lt;&gt;'Funnel setup'!$K$3&amp;'Funnel setup'!$K$4&amp;'Funnel setup'!$K$5,".",IF(A6669=".",1,A6669+1))</f>
        <v>.</v>
      </c>
      <c r="B6670" s="431" t="str">
        <f t="shared" si="104"/>
        <v>Varicose VeinCCG of GP PracticeNHS WEST HAMPSHIRE CCG (11A)EQ VAS</v>
      </c>
      <c r="C6670" t="s">
        <v>17</v>
      </c>
      <c r="D6670" t="s">
        <v>87</v>
      </c>
      <c r="E6670" t="s">
        <v>444</v>
      </c>
      <c r="F6670" t="s">
        <v>445</v>
      </c>
      <c r="G6670" t="s">
        <v>179</v>
      </c>
      <c r="H6670">
        <v>12</v>
      </c>
      <c r="I6670">
        <v>82.332999999999998</v>
      </c>
      <c r="J6670">
        <v>82.417000000000002</v>
      </c>
      <c r="K6670">
        <v>8.3000000000000004E-2</v>
      </c>
      <c r="L6670">
        <v>5</v>
      </c>
      <c r="M6670">
        <v>3</v>
      </c>
      <c r="N6670">
        <v>4</v>
      </c>
      <c r="O6670" t="s">
        <v>53</v>
      </c>
      <c r="P6670" t="s">
        <v>53</v>
      </c>
      <c r="Q6670" t="s">
        <v>53</v>
      </c>
    </row>
    <row r="6671" spans="1:17" x14ac:dyDescent="0.2">
      <c r="A6671" s="30" t="str">
        <f>IF(C6671&amp;G6671&amp;D6671&lt;&gt;'Funnel setup'!$K$3&amp;'Funnel setup'!$K$4&amp;'Funnel setup'!$K$5,".",IF(A6670=".",1,A6670+1))</f>
        <v>.</v>
      </c>
      <c r="B6671" s="431" t="str">
        <f t="shared" si="104"/>
        <v>Varicose VeinCCG of GP PracticeNHS WEST KENT CCG (99J)EQ VAS</v>
      </c>
      <c r="C6671" t="s">
        <v>17</v>
      </c>
      <c r="D6671" t="s">
        <v>87</v>
      </c>
      <c r="E6671" t="s">
        <v>447</v>
      </c>
      <c r="F6671" t="s">
        <v>448</v>
      </c>
      <c r="G6671" t="s">
        <v>179</v>
      </c>
      <c r="H6671" t="s">
        <v>53</v>
      </c>
      <c r="I6671" t="s">
        <v>53</v>
      </c>
      <c r="J6671" t="s">
        <v>53</v>
      </c>
      <c r="K6671" t="s">
        <v>53</v>
      </c>
      <c r="L6671" t="s">
        <v>53</v>
      </c>
      <c r="M6671" t="s">
        <v>53</v>
      </c>
      <c r="N6671" t="s">
        <v>53</v>
      </c>
      <c r="O6671" t="s">
        <v>53</v>
      </c>
      <c r="P6671" t="s">
        <v>53</v>
      </c>
      <c r="Q6671" t="s">
        <v>53</v>
      </c>
    </row>
    <row r="6672" spans="1:17" x14ac:dyDescent="0.2">
      <c r="A6672" s="30" t="str">
        <f>IF(C6672&amp;G6672&amp;D6672&lt;&gt;'Funnel setup'!$K$3&amp;'Funnel setup'!$K$4&amp;'Funnel setup'!$K$5,".",IF(A6671=".",1,A6671+1))</f>
        <v>.</v>
      </c>
      <c r="B6672" s="431" t="str">
        <f t="shared" si="104"/>
        <v>Varicose VeinCCG of GP PracticeNHS WEST LANCASHIRE CCG (02G)EQ VAS</v>
      </c>
      <c r="C6672" t="s">
        <v>17</v>
      </c>
      <c r="D6672" t="s">
        <v>87</v>
      </c>
      <c r="E6672" t="s">
        <v>450</v>
      </c>
      <c r="F6672" t="s">
        <v>451</v>
      </c>
      <c r="G6672" t="s">
        <v>179</v>
      </c>
      <c r="H6672">
        <v>23</v>
      </c>
      <c r="I6672">
        <v>71.435000000000002</v>
      </c>
      <c r="J6672">
        <v>71</v>
      </c>
      <c r="K6672">
        <v>-0.435</v>
      </c>
      <c r="L6672">
        <v>8</v>
      </c>
      <c r="M6672">
        <v>3</v>
      </c>
      <c r="N6672">
        <v>12</v>
      </c>
      <c r="O6672" t="s">
        <v>53</v>
      </c>
      <c r="P6672" t="s">
        <v>53</v>
      </c>
      <c r="Q6672" t="s">
        <v>53</v>
      </c>
    </row>
    <row r="6673" spans="1:17" x14ac:dyDescent="0.2">
      <c r="A6673" s="30" t="str">
        <f>IF(C6673&amp;G6673&amp;D6673&lt;&gt;'Funnel setup'!$K$3&amp;'Funnel setup'!$K$4&amp;'Funnel setup'!$K$5,".",IF(A6672=".",1,A6672+1))</f>
        <v>.</v>
      </c>
      <c r="B6673" s="431" t="str">
        <f t="shared" si="104"/>
        <v>Varicose VeinCCG of GP PracticeNHS WEST LEICESTERSHIRE CCG (04V)EQ VAS</v>
      </c>
      <c r="C6673" t="s">
        <v>17</v>
      </c>
      <c r="D6673" t="s">
        <v>87</v>
      </c>
      <c r="E6673" t="s">
        <v>453</v>
      </c>
      <c r="F6673" t="s">
        <v>454</v>
      </c>
      <c r="G6673" t="s">
        <v>179</v>
      </c>
      <c r="H6673">
        <v>22</v>
      </c>
      <c r="I6673">
        <v>76.864000000000004</v>
      </c>
      <c r="J6673">
        <v>70.590999999999994</v>
      </c>
      <c r="K6673">
        <v>-6.2729999999999997</v>
      </c>
      <c r="L6673">
        <v>6</v>
      </c>
      <c r="M6673">
        <v>5</v>
      </c>
      <c r="N6673">
        <v>11</v>
      </c>
      <c r="O6673" t="s">
        <v>53</v>
      </c>
      <c r="P6673" t="s">
        <v>53</v>
      </c>
      <c r="Q6673" t="s">
        <v>53</v>
      </c>
    </row>
    <row r="6674" spans="1:17" x14ac:dyDescent="0.2">
      <c r="A6674" s="30" t="str">
        <f>IF(C6674&amp;G6674&amp;D6674&lt;&gt;'Funnel setup'!$K$3&amp;'Funnel setup'!$K$4&amp;'Funnel setup'!$K$5,".",IF(A6673=".",1,A6673+1))</f>
        <v>.</v>
      </c>
      <c r="B6674" s="431" t="str">
        <f t="shared" si="104"/>
        <v>Varicose VeinCCG of GP PracticeNHS WEST LONDON CCG (08Y)EQ VAS</v>
      </c>
      <c r="C6674" t="s">
        <v>17</v>
      </c>
      <c r="D6674" t="s">
        <v>87</v>
      </c>
      <c r="E6674" t="s">
        <v>456</v>
      </c>
      <c r="F6674" t="s">
        <v>457</v>
      </c>
      <c r="G6674" t="s">
        <v>179</v>
      </c>
      <c r="H6674">
        <v>15</v>
      </c>
      <c r="I6674">
        <v>77.2</v>
      </c>
      <c r="J6674">
        <v>76.867000000000004</v>
      </c>
      <c r="K6674">
        <v>-0.33300000000000002</v>
      </c>
      <c r="L6674">
        <v>7</v>
      </c>
      <c r="M6674">
        <v>4</v>
      </c>
      <c r="N6674">
        <v>4</v>
      </c>
      <c r="O6674" t="s">
        <v>53</v>
      </c>
      <c r="P6674" t="s">
        <v>53</v>
      </c>
      <c r="Q6674" t="s">
        <v>53</v>
      </c>
    </row>
    <row r="6675" spans="1:17" x14ac:dyDescent="0.2">
      <c r="A6675" s="30" t="str">
        <f>IF(C6675&amp;G6675&amp;D6675&lt;&gt;'Funnel setup'!$K$3&amp;'Funnel setup'!$K$4&amp;'Funnel setup'!$K$5,".",IF(A6674=".",1,A6674+1))</f>
        <v>.</v>
      </c>
      <c r="B6675" s="431" t="str">
        <f t="shared" si="104"/>
        <v>Varicose VeinCCG of GP PracticeNHS WEST NORFOLK CCG (07J)EQ VAS</v>
      </c>
      <c r="C6675" t="s">
        <v>17</v>
      </c>
      <c r="D6675" t="s">
        <v>87</v>
      </c>
      <c r="E6675" t="s">
        <v>459</v>
      </c>
      <c r="F6675" t="s">
        <v>460</v>
      </c>
      <c r="G6675" t="s">
        <v>179</v>
      </c>
      <c r="H6675">
        <v>19</v>
      </c>
      <c r="I6675">
        <v>74.525999999999996</v>
      </c>
      <c r="J6675">
        <v>79.263000000000005</v>
      </c>
      <c r="K6675">
        <v>4.7370000000000001</v>
      </c>
      <c r="L6675">
        <v>6</v>
      </c>
      <c r="M6675">
        <v>5</v>
      </c>
      <c r="N6675">
        <v>8</v>
      </c>
      <c r="O6675" t="s">
        <v>53</v>
      </c>
      <c r="P6675" t="s">
        <v>53</v>
      </c>
      <c r="Q6675" t="s">
        <v>53</v>
      </c>
    </row>
    <row r="6676" spans="1:17" x14ac:dyDescent="0.2">
      <c r="A6676" s="30" t="str">
        <f>IF(C6676&amp;G6676&amp;D6676&lt;&gt;'Funnel setup'!$K$3&amp;'Funnel setup'!$K$4&amp;'Funnel setup'!$K$5,".",IF(A6675=".",1,A6675+1))</f>
        <v>.</v>
      </c>
      <c r="B6676" s="431" t="str">
        <f t="shared" si="104"/>
        <v>Varicose VeinCCG of GP PracticeNHS WEST SUFFOLK CCG (07K)EQ VAS</v>
      </c>
      <c r="C6676" t="s">
        <v>17</v>
      </c>
      <c r="D6676" t="s">
        <v>87</v>
      </c>
      <c r="E6676" t="s">
        <v>462</v>
      </c>
      <c r="F6676" t="s">
        <v>463</v>
      </c>
      <c r="G6676" t="s">
        <v>179</v>
      </c>
      <c r="H6676">
        <v>28</v>
      </c>
      <c r="I6676">
        <v>77.179000000000002</v>
      </c>
      <c r="J6676">
        <v>79.570999999999998</v>
      </c>
      <c r="K6676">
        <v>2.3929999999999998</v>
      </c>
      <c r="L6676">
        <v>14</v>
      </c>
      <c r="M6676">
        <v>7</v>
      </c>
      <c r="N6676">
        <v>7</v>
      </c>
      <c r="O6676" t="s">
        <v>53</v>
      </c>
      <c r="P6676" t="s">
        <v>53</v>
      </c>
      <c r="Q6676" t="s">
        <v>53</v>
      </c>
    </row>
    <row r="6677" spans="1:17" x14ac:dyDescent="0.2">
      <c r="A6677" s="30" t="str">
        <f>IF(C6677&amp;G6677&amp;D6677&lt;&gt;'Funnel setup'!$K$3&amp;'Funnel setup'!$K$4&amp;'Funnel setup'!$K$5,".",IF(A6676=".",1,A6676+1))</f>
        <v>.</v>
      </c>
      <c r="B6677" s="431" t="str">
        <f t="shared" si="104"/>
        <v>Varicose VeinCCG of GP PracticeNHS WIGAN BOROUGH CCG (02H)EQ VAS</v>
      </c>
      <c r="C6677" t="s">
        <v>17</v>
      </c>
      <c r="D6677" t="s">
        <v>87</v>
      </c>
      <c r="E6677" t="s">
        <v>465</v>
      </c>
      <c r="F6677" t="s">
        <v>466</v>
      </c>
      <c r="G6677" t="s">
        <v>179</v>
      </c>
      <c r="H6677">
        <v>13</v>
      </c>
      <c r="I6677">
        <v>79.537999999999997</v>
      </c>
      <c r="J6677">
        <v>78</v>
      </c>
      <c r="K6677">
        <v>-1.538</v>
      </c>
      <c r="L6677">
        <v>6</v>
      </c>
      <c r="M6677">
        <v>2</v>
      </c>
      <c r="N6677">
        <v>5</v>
      </c>
      <c r="O6677" t="s">
        <v>53</v>
      </c>
      <c r="P6677" t="s">
        <v>53</v>
      </c>
      <c r="Q6677" t="s">
        <v>53</v>
      </c>
    </row>
    <row r="6678" spans="1:17" x14ac:dyDescent="0.2">
      <c r="A6678" s="30" t="str">
        <f>IF(C6678&amp;G6678&amp;D6678&lt;&gt;'Funnel setup'!$K$3&amp;'Funnel setup'!$K$4&amp;'Funnel setup'!$K$5,".",IF(A6677=".",1,A6677+1))</f>
        <v>.</v>
      </c>
      <c r="B6678" s="431" t="str">
        <f t="shared" si="104"/>
        <v>Varicose VeinCCG of GP PracticeNHS WILTSHIRE CCG (99N)EQ VAS</v>
      </c>
      <c r="C6678" t="s">
        <v>17</v>
      </c>
      <c r="D6678" t="s">
        <v>87</v>
      </c>
      <c r="E6678" t="s">
        <v>468</v>
      </c>
      <c r="F6678" t="s">
        <v>469</v>
      </c>
      <c r="G6678" t="s">
        <v>179</v>
      </c>
      <c r="H6678">
        <v>50</v>
      </c>
      <c r="I6678">
        <v>77.08</v>
      </c>
      <c r="J6678">
        <v>76.540000000000006</v>
      </c>
      <c r="K6678">
        <v>-0.54</v>
      </c>
      <c r="L6678">
        <v>21</v>
      </c>
      <c r="M6678">
        <v>8</v>
      </c>
      <c r="N6678">
        <v>21</v>
      </c>
      <c r="O6678">
        <v>78.192999999999998</v>
      </c>
      <c r="P6678">
        <v>-0.77057639200000005</v>
      </c>
      <c r="Q6678">
        <v>12.699</v>
      </c>
    </row>
    <row r="6679" spans="1:17" x14ac:dyDescent="0.2">
      <c r="A6679" s="30" t="str">
        <f>IF(C6679&amp;G6679&amp;D6679&lt;&gt;'Funnel setup'!$K$3&amp;'Funnel setup'!$K$4&amp;'Funnel setup'!$K$5,".",IF(A6678=".",1,A6678+1))</f>
        <v>.</v>
      </c>
      <c r="B6679" s="431" t="str">
        <f t="shared" si="104"/>
        <v>Varicose VeinCCG of GP PracticeNHS WIRRAL CCG (12F)EQ VAS</v>
      </c>
      <c r="C6679" t="s">
        <v>17</v>
      </c>
      <c r="D6679" t="s">
        <v>87</v>
      </c>
      <c r="E6679" t="s">
        <v>474</v>
      </c>
      <c r="F6679" t="s">
        <v>475</v>
      </c>
      <c r="G6679" t="s">
        <v>179</v>
      </c>
      <c r="H6679">
        <v>50</v>
      </c>
      <c r="I6679">
        <v>82.66</v>
      </c>
      <c r="J6679">
        <v>80.260000000000005</v>
      </c>
      <c r="K6679">
        <v>-2.4</v>
      </c>
      <c r="L6679">
        <v>17</v>
      </c>
      <c r="M6679">
        <v>14</v>
      </c>
      <c r="N6679">
        <v>19</v>
      </c>
      <c r="O6679">
        <v>78.664000000000001</v>
      </c>
      <c r="P6679">
        <v>-0.29998706200000003</v>
      </c>
      <c r="Q6679">
        <v>13.047000000000001</v>
      </c>
    </row>
    <row r="6680" spans="1:17" x14ac:dyDescent="0.2">
      <c r="A6680" s="30" t="str">
        <f>IF(C6680&amp;G6680&amp;D6680&lt;&gt;'Funnel setup'!$K$3&amp;'Funnel setup'!$K$4&amp;'Funnel setup'!$K$5,".",IF(A6679=".",1,A6679+1))</f>
        <v>.</v>
      </c>
      <c r="B6680" s="431" t="str">
        <f t="shared" si="104"/>
        <v>Varicose VeinCCG of GP PracticeNHS WOKINGHAM CCG (11D)EQ VAS</v>
      </c>
      <c r="C6680" t="s">
        <v>17</v>
      </c>
      <c r="D6680" t="s">
        <v>87</v>
      </c>
      <c r="E6680" t="s">
        <v>477</v>
      </c>
      <c r="F6680" t="s">
        <v>478</v>
      </c>
      <c r="G6680" t="s">
        <v>179</v>
      </c>
      <c r="H6680" t="s">
        <v>53</v>
      </c>
      <c r="I6680" t="s">
        <v>53</v>
      </c>
      <c r="J6680" t="s">
        <v>53</v>
      </c>
      <c r="K6680" t="s">
        <v>53</v>
      </c>
      <c r="L6680" t="s">
        <v>53</v>
      </c>
      <c r="M6680" t="s">
        <v>53</v>
      </c>
      <c r="N6680" t="s">
        <v>53</v>
      </c>
      <c r="O6680" t="s">
        <v>53</v>
      </c>
      <c r="P6680" t="s">
        <v>53</v>
      </c>
      <c r="Q6680" t="s">
        <v>53</v>
      </c>
    </row>
    <row r="6681" spans="1:17" x14ac:dyDescent="0.2">
      <c r="A6681" s="30" t="str">
        <f>IF(C6681&amp;G6681&amp;D6681&lt;&gt;'Funnel setup'!$K$3&amp;'Funnel setup'!$K$4&amp;'Funnel setup'!$K$5,".",IF(A6680=".",1,A6680+1))</f>
        <v>.</v>
      </c>
      <c r="B6681" s="431" t="str">
        <f t="shared" si="104"/>
        <v>Varicose VeinCCG of GP PracticeNHS WOLVERHAMPTON CCG (06A)EQ VAS</v>
      </c>
      <c r="C6681" t="s">
        <v>17</v>
      </c>
      <c r="D6681" t="s">
        <v>87</v>
      </c>
      <c r="E6681" t="s">
        <v>480</v>
      </c>
      <c r="F6681" t="s">
        <v>481</v>
      </c>
      <c r="G6681" t="s">
        <v>179</v>
      </c>
      <c r="H6681">
        <v>40</v>
      </c>
      <c r="I6681">
        <v>73.775000000000006</v>
      </c>
      <c r="J6681">
        <v>77.924999999999997</v>
      </c>
      <c r="K6681">
        <v>4.1500000000000004</v>
      </c>
      <c r="L6681">
        <v>20</v>
      </c>
      <c r="M6681">
        <v>6</v>
      </c>
      <c r="N6681">
        <v>14</v>
      </c>
      <c r="O6681">
        <v>80.852999999999994</v>
      </c>
      <c r="P6681">
        <v>1.888564621</v>
      </c>
      <c r="Q6681">
        <v>13.256</v>
      </c>
    </row>
    <row r="6682" spans="1:17" x14ac:dyDescent="0.2">
      <c r="A6682" s="30" t="str">
        <f>IF(C6682&amp;G6682&amp;D6682&lt;&gt;'Funnel setup'!$K$3&amp;'Funnel setup'!$K$4&amp;'Funnel setup'!$K$5,".",IF(A6681=".",1,A6681+1))</f>
        <v>.</v>
      </c>
      <c r="B6682" s="431" t="str">
        <f t="shared" si="104"/>
        <v>Varicose VeinCCG of GP PracticeNHS WYRE FOREST CCG (06D)EQ VAS</v>
      </c>
      <c r="C6682" t="s">
        <v>17</v>
      </c>
      <c r="D6682" t="s">
        <v>87</v>
      </c>
      <c r="E6682" t="s">
        <v>483</v>
      </c>
      <c r="F6682" t="s">
        <v>484</v>
      </c>
      <c r="G6682" t="s">
        <v>179</v>
      </c>
      <c r="H6682" t="s">
        <v>53</v>
      </c>
      <c r="I6682" t="s">
        <v>53</v>
      </c>
      <c r="J6682" t="s">
        <v>53</v>
      </c>
      <c r="K6682" t="s">
        <v>53</v>
      </c>
      <c r="L6682" t="s">
        <v>53</v>
      </c>
      <c r="M6682" t="s">
        <v>53</v>
      </c>
      <c r="N6682" t="s">
        <v>53</v>
      </c>
      <c r="O6682" t="s">
        <v>53</v>
      </c>
      <c r="P6682" t="s">
        <v>53</v>
      </c>
      <c r="Q6682" t="s">
        <v>53</v>
      </c>
    </row>
    <row r="6683" spans="1:17" x14ac:dyDescent="0.2">
      <c r="A6683" s="30" t="str">
        <f>IF(C6683&amp;G6683&amp;D6683&lt;&gt;'Funnel setup'!$K$3&amp;'Funnel setup'!$K$4&amp;'Funnel setup'!$K$5,".",IF(A6682=".",1,A6682+1))</f>
        <v>.</v>
      </c>
      <c r="B6683" s="431" t="str">
        <f t="shared" si="104"/>
        <v>Varicose VeinCCG of GP PracticeNATIONAL COMMISSIONING HUB 1 (13Q)EQ-5D Index</v>
      </c>
      <c r="C6683" t="s">
        <v>17</v>
      </c>
      <c r="D6683" t="s">
        <v>87</v>
      </c>
      <c r="E6683" t="s">
        <v>563</v>
      </c>
      <c r="F6683" t="s">
        <v>564</v>
      </c>
      <c r="G6683" t="s">
        <v>52</v>
      </c>
      <c r="H6683">
        <v>13</v>
      </c>
      <c r="I6683">
        <v>0.92900000000000005</v>
      </c>
      <c r="J6683">
        <v>0.95699999999999996</v>
      </c>
      <c r="K6683">
        <v>2.8000000000000001E-2</v>
      </c>
      <c r="L6683">
        <v>3</v>
      </c>
      <c r="M6683">
        <v>9</v>
      </c>
      <c r="N6683">
        <v>1</v>
      </c>
      <c r="O6683" t="s">
        <v>53</v>
      </c>
      <c r="P6683" t="s">
        <v>53</v>
      </c>
      <c r="Q6683" t="s">
        <v>53</v>
      </c>
    </row>
    <row r="6684" spans="1:17" x14ac:dyDescent="0.2">
      <c r="A6684" s="30" t="str">
        <f>IF(C6684&amp;G6684&amp;D6684&lt;&gt;'Funnel setup'!$K$3&amp;'Funnel setup'!$K$4&amp;'Funnel setup'!$K$5,".",IF(A6683=".",1,A6683+1))</f>
        <v>.</v>
      </c>
      <c r="B6684" s="431" t="str">
        <f t="shared" si="104"/>
        <v>Varicose VeinCCG of GP PracticeNHS AIREDALE, WHARFEDALE AND CRAVEN CCG (02N)EQ-5D Index</v>
      </c>
      <c r="C6684" t="s">
        <v>17</v>
      </c>
      <c r="D6684" t="s">
        <v>87</v>
      </c>
      <c r="E6684" t="s">
        <v>566</v>
      </c>
      <c r="F6684" t="s">
        <v>567</v>
      </c>
      <c r="G6684" t="s">
        <v>52</v>
      </c>
      <c r="H6684">
        <v>47</v>
      </c>
      <c r="I6684">
        <v>0.79100000000000004</v>
      </c>
      <c r="J6684">
        <v>0.88500000000000001</v>
      </c>
      <c r="K6684">
        <v>9.4E-2</v>
      </c>
      <c r="L6684">
        <v>27</v>
      </c>
      <c r="M6684">
        <v>15</v>
      </c>
      <c r="N6684">
        <v>5</v>
      </c>
      <c r="O6684">
        <v>0.86099999999999999</v>
      </c>
      <c r="P6684">
        <v>0.114337964</v>
      </c>
      <c r="Q6684">
        <v>0.19</v>
      </c>
    </row>
    <row r="6685" spans="1:17" x14ac:dyDescent="0.2">
      <c r="A6685" s="30" t="str">
        <f>IF(C6685&amp;G6685&amp;D6685&lt;&gt;'Funnel setup'!$K$3&amp;'Funnel setup'!$K$4&amp;'Funnel setup'!$K$5,".",IF(A6684=".",1,A6684+1))</f>
        <v>.</v>
      </c>
      <c r="B6685" s="431" t="str">
        <f t="shared" si="104"/>
        <v>Varicose VeinCCG of GP PracticeNHS ASHFORD CCG (09C)EQ-5D Index</v>
      </c>
      <c r="C6685" t="s">
        <v>17</v>
      </c>
      <c r="D6685" t="s">
        <v>87</v>
      </c>
      <c r="E6685" t="s">
        <v>569</v>
      </c>
      <c r="F6685" t="s">
        <v>339</v>
      </c>
      <c r="G6685" t="s">
        <v>52</v>
      </c>
      <c r="H6685" t="s">
        <v>53</v>
      </c>
      <c r="I6685" t="s">
        <v>53</v>
      </c>
      <c r="J6685" t="s">
        <v>53</v>
      </c>
      <c r="K6685" t="s">
        <v>53</v>
      </c>
      <c r="L6685" t="s">
        <v>53</v>
      </c>
      <c r="M6685" t="s">
        <v>53</v>
      </c>
      <c r="N6685" t="s">
        <v>53</v>
      </c>
      <c r="O6685" t="s">
        <v>53</v>
      </c>
      <c r="P6685" t="s">
        <v>53</v>
      </c>
      <c r="Q6685" t="s">
        <v>53</v>
      </c>
    </row>
    <row r="6686" spans="1:17" x14ac:dyDescent="0.2">
      <c r="A6686" s="30" t="str">
        <f>IF(C6686&amp;G6686&amp;D6686&lt;&gt;'Funnel setup'!$K$3&amp;'Funnel setup'!$K$4&amp;'Funnel setup'!$K$5,".",IF(A6685=".",1,A6685+1))</f>
        <v>.</v>
      </c>
      <c r="B6686" s="431" t="str">
        <f t="shared" si="104"/>
        <v>Varicose VeinCCG of GP PracticeNHS AYLESBURY VALE CCG (10Y)EQ-5D Index</v>
      </c>
      <c r="C6686" t="s">
        <v>17</v>
      </c>
      <c r="D6686" t="s">
        <v>87</v>
      </c>
      <c r="E6686" t="s">
        <v>571</v>
      </c>
      <c r="F6686" t="s">
        <v>572</v>
      </c>
      <c r="G6686" t="s">
        <v>52</v>
      </c>
      <c r="H6686">
        <v>13</v>
      </c>
      <c r="I6686">
        <v>0.63600000000000001</v>
      </c>
      <c r="J6686">
        <v>0.81</v>
      </c>
      <c r="K6686">
        <v>0.17399999999999999</v>
      </c>
      <c r="L6686">
        <v>11</v>
      </c>
      <c r="M6686">
        <v>1</v>
      </c>
      <c r="N6686">
        <v>1</v>
      </c>
      <c r="O6686" t="s">
        <v>53</v>
      </c>
      <c r="P6686" t="s">
        <v>53</v>
      </c>
      <c r="Q6686" t="s">
        <v>53</v>
      </c>
    </row>
    <row r="6687" spans="1:17" x14ac:dyDescent="0.2">
      <c r="A6687" s="30" t="str">
        <f>IF(C6687&amp;G6687&amp;D6687&lt;&gt;'Funnel setup'!$K$3&amp;'Funnel setup'!$K$4&amp;'Funnel setup'!$K$5,".",IF(A6686=".",1,A6686+1))</f>
        <v>.</v>
      </c>
      <c r="B6687" s="431" t="str">
        <f t="shared" si="104"/>
        <v>Varicose VeinCCG of GP PracticeNHS BARKING AND DAGENHAM CCG (07L)EQ-5D Index</v>
      </c>
      <c r="C6687" t="s">
        <v>17</v>
      </c>
      <c r="D6687" t="s">
        <v>87</v>
      </c>
      <c r="E6687" t="s">
        <v>574</v>
      </c>
      <c r="F6687" t="s">
        <v>575</v>
      </c>
      <c r="G6687" t="s">
        <v>52</v>
      </c>
      <c r="H6687">
        <v>20</v>
      </c>
      <c r="I6687">
        <v>0.755</v>
      </c>
      <c r="J6687">
        <v>0.751</v>
      </c>
      <c r="K6687">
        <v>-4.0000000000000001E-3</v>
      </c>
      <c r="L6687">
        <v>9</v>
      </c>
      <c r="M6687">
        <v>1</v>
      </c>
      <c r="N6687">
        <v>10</v>
      </c>
      <c r="O6687" t="s">
        <v>53</v>
      </c>
      <c r="P6687" t="s">
        <v>53</v>
      </c>
      <c r="Q6687" t="s">
        <v>53</v>
      </c>
    </row>
    <row r="6688" spans="1:17" x14ac:dyDescent="0.2">
      <c r="A6688" s="30" t="str">
        <f>IF(C6688&amp;G6688&amp;D6688&lt;&gt;'Funnel setup'!$K$3&amp;'Funnel setup'!$K$4&amp;'Funnel setup'!$K$5,".",IF(A6687=".",1,A6687+1))</f>
        <v>.</v>
      </c>
      <c r="B6688" s="431" t="str">
        <f t="shared" si="104"/>
        <v>Varicose VeinCCG of GP PracticeNHS BARNET CCG (07M)EQ-5D Index</v>
      </c>
      <c r="C6688" t="s">
        <v>17</v>
      </c>
      <c r="D6688" t="s">
        <v>87</v>
      </c>
      <c r="E6688" t="s">
        <v>577</v>
      </c>
      <c r="F6688" t="s">
        <v>578</v>
      </c>
      <c r="G6688" t="s">
        <v>52</v>
      </c>
      <c r="H6688">
        <v>12</v>
      </c>
      <c r="I6688">
        <v>0.69399999999999995</v>
      </c>
      <c r="J6688">
        <v>0.74299999999999999</v>
      </c>
      <c r="K6688">
        <v>4.9000000000000002E-2</v>
      </c>
      <c r="L6688">
        <v>4</v>
      </c>
      <c r="M6688">
        <v>5</v>
      </c>
      <c r="N6688">
        <v>3</v>
      </c>
      <c r="O6688" t="s">
        <v>53</v>
      </c>
      <c r="P6688" t="s">
        <v>53</v>
      </c>
      <c r="Q6688" t="s">
        <v>53</v>
      </c>
    </row>
    <row r="6689" spans="1:17" x14ac:dyDescent="0.2">
      <c r="A6689" s="30" t="str">
        <f>IF(C6689&amp;G6689&amp;D6689&lt;&gt;'Funnel setup'!$K$3&amp;'Funnel setup'!$K$4&amp;'Funnel setup'!$K$5,".",IF(A6688=".",1,A6688+1))</f>
        <v>.</v>
      </c>
      <c r="B6689" s="431" t="str">
        <f t="shared" si="104"/>
        <v>Varicose VeinCCG of GP PracticeNHS BARNSLEY CCG (02P)EQ-5D Index</v>
      </c>
      <c r="C6689" t="s">
        <v>17</v>
      </c>
      <c r="D6689" t="s">
        <v>87</v>
      </c>
      <c r="E6689" t="s">
        <v>580</v>
      </c>
      <c r="F6689" t="s">
        <v>581</v>
      </c>
      <c r="G6689" t="s">
        <v>52</v>
      </c>
      <c r="H6689">
        <v>41</v>
      </c>
      <c r="I6689">
        <v>0.75700000000000001</v>
      </c>
      <c r="J6689">
        <v>0.83799999999999997</v>
      </c>
      <c r="K6689">
        <v>0.08</v>
      </c>
      <c r="L6689">
        <v>18</v>
      </c>
      <c r="M6689">
        <v>11</v>
      </c>
      <c r="N6689">
        <v>12</v>
      </c>
      <c r="O6689">
        <v>0.82299999999999995</v>
      </c>
      <c r="P6689">
        <v>7.6110673000000004E-2</v>
      </c>
      <c r="Q6689">
        <v>0.20799999999999999</v>
      </c>
    </row>
    <row r="6690" spans="1:17" x14ac:dyDescent="0.2">
      <c r="A6690" s="30" t="str">
        <f>IF(C6690&amp;G6690&amp;D6690&lt;&gt;'Funnel setup'!$K$3&amp;'Funnel setup'!$K$4&amp;'Funnel setup'!$K$5,".",IF(A6689=".",1,A6689+1))</f>
        <v>.</v>
      </c>
      <c r="B6690" s="431" t="str">
        <f t="shared" si="104"/>
        <v>Varicose VeinCCG of GP PracticeNHS BASILDON AND BRENTWOOD CCG (99E)EQ-5D Index</v>
      </c>
      <c r="C6690" t="s">
        <v>17</v>
      </c>
      <c r="D6690" t="s">
        <v>87</v>
      </c>
      <c r="E6690" t="s">
        <v>583</v>
      </c>
      <c r="F6690" t="s">
        <v>584</v>
      </c>
      <c r="G6690" t="s">
        <v>52</v>
      </c>
      <c r="H6690">
        <v>8</v>
      </c>
      <c r="I6690">
        <v>0.84599999999999997</v>
      </c>
      <c r="J6690">
        <v>0.93200000000000005</v>
      </c>
      <c r="K6690">
        <v>8.5000000000000006E-2</v>
      </c>
      <c r="L6690">
        <v>4</v>
      </c>
      <c r="M6690">
        <v>2</v>
      </c>
      <c r="N6690">
        <v>2</v>
      </c>
      <c r="O6690" t="s">
        <v>53</v>
      </c>
      <c r="P6690" t="s">
        <v>53</v>
      </c>
      <c r="Q6690" t="s">
        <v>53</v>
      </c>
    </row>
    <row r="6691" spans="1:17" x14ac:dyDescent="0.2">
      <c r="A6691" s="30" t="str">
        <f>IF(C6691&amp;G6691&amp;D6691&lt;&gt;'Funnel setup'!$K$3&amp;'Funnel setup'!$K$4&amp;'Funnel setup'!$K$5,".",IF(A6690=".",1,A6690+1))</f>
        <v>.</v>
      </c>
      <c r="B6691" s="431" t="str">
        <f t="shared" si="104"/>
        <v>Varicose VeinCCG of GP PracticeNHS BASSETLAW CCG (02Q)EQ-5D Index</v>
      </c>
      <c r="C6691" t="s">
        <v>17</v>
      </c>
      <c r="D6691" t="s">
        <v>87</v>
      </c>
      <c r="E6691" t="s">
        <v>586</v>
      </c>
      <c r="F6691" t="s">
        <v>587</v>
      </c>
      <c r="G6691" t="s">
        <v>52</v>
      </c>
      <c r="H6691">
        <v>8</v>
      </c>
      <c r="I6691">
        <v>0.75</v>
      </c>
      <c r="J6691">
        <v>0.83499999999999996</v>
      </c>
      <c r="K6691">
        <v>8.5000000000000006E-2</v>
      </c>
      <c r="L6691">
        <v>4</v>
      </c>
      <c r="M6691">
        <v>3</v>
      </c>
      <c r="N6691">
        <v>1</v>
      </c>
      <c r="O6691" t="s">
        <v>53</v>
      </c>
      <c r="P6691" t="s">
        <v>53</v>
      </c>
      <c r="Q6691" t="s">
        <v>53</v>
      </c>
    </row>
    <row r="6692" spans="1:17" x14ac:dyDescent="0.2">
      <c r="A6692" s="30" t="str">
        <f>IF(C6692&amp;G6692&amp;D6692&lt;&gt;'Funnel setup'!$K$3&amp;'Funnel setup'!$K$4&amp;'Funnel setup'!$K$5,".",IF(A6691=".",1,A6691+1))</f>
        <v>.</v>
      </c>
      <c r="B6692" s="431" t="str">
        <f t="shared" si="104"/>
        <v>Varicose VeinCCG of GP PracticeNHS BATH AND NORTH EAST SOMERSET CCG (11E)EQ-5D Index</v>
      </c>
      <c r="C6692" t="s">
        <v>17</v>
      </c>
      <c r="D6692" t="s">
        <v>87</v>
      </c>
      <c r="E6692" t="s">
        <v>589</v>
      </c>
      <c r="F6692" t="s">
        <v>590</v>
      </c>
      <c r="G6692" t="s">
        <v>52</v>
      </c>
      <c r="H6692">
        <v>37</v>
      </c>
      <c r="I6692">
        <v>0.84699999999999998</v>
      </c>
      <c r="J6692">
        <v>0.91800000000000004</v>
      </c>
      <c r="K6692">
        <v>7.1999999999999995E-2</v>
      </c>
      <c r="L6692">
        <v>17</v>
      </c>
      <c r="M6692">
        <v>17</v>
      </c>
      <c r="N6692">
        <v>3</v>
      </c>
      <c r="O6692">
        <v>0.84099999999999997</v>
      </c>
      <c r="P6692">
        <v>9.4503177999999993E-2</v>
      </c>
      <c r="Q6692">
        <v>0.104</v>
      </c>
    </row>
    <row r="6693" spans="1:17" x14ac:dyDescent="0.2">
      <c r="A6693" s="30" t="str">
        <f>IF(C6693&amp;G6693&amp;D6693&lt;&gt;'Funnel setup'!$K$3&amp;'Funnel setup'!$K$4&amp;'Funnel setup'!$K$5,".",IF(A6692=".",1,A6692+1))</f>
        <v>.</v>
      </c>
      <c r="B6693" s="431" t="str">
        <f t="shared" si="104"/>
        <v>Varicose VeinCCG of GP PracticeNHS BEDFORDSHIRE CCG (06F)EQ-5D Index</v>
      </c>
      <c r="C6693" t="s">
        <v>17</v>
      </c>
      <c r="D6693" t="s">
        <v>87</v>
      </c>
      <c r="E6693" t="s">
        <v>592</v>
      </c>
      <c r="F6693" t="s">
        <v>593</v>
      </c>
      <c r="G6693" t="s">
        <v>52</v>
      </c>
      <c r="H6693">
        <v>32</v>
      </c>
      <c r="I6693">
        <v>0.77700000000000002</v>
      </c>
      <c r="J6693">
        <v>0.86299999999999999</v>
      </c>
      <c r="K6693">
        <v>8.5999999999999993E-2</v>
      </c>
      <c r="L6693">
        <v>18</v>
      </c>
      <c r="M6693">
        <v>10</v>
      </c>
      <c r="N6693">
        <v>4</v>
      </c>
      <c r="O6693">
        <v>0.85399999999999998</v>
      </c>
      <c r="P6693">
        <v>0.107394134</v>
      </c>
      <c r="Q6693">
        <v>0.11600000000000001</v>
      </c>
    </row>
    <row r="6694" spans="1:17" x14ac:dyDescent="0.2">
      <c r="A6694" s="30" t="str">
        <f>IF(C6694&amp;G6694&amp;D6694&lt;&gt;'Funnel setup'!$K$3&amp;'Funnel setup'!$K$4&amp;'Funnel setup'!$K$5,".",IF(A6693=".",1,A6693+1))</f>
        <v>.</v>
      </c>
      <c r="B6694" s="431" t="str">
        <f t="shared" si="104"/>
        <v>Varicose VeinCCG of GP PracticeNHS BEXLEY CCG (07N)EQ-5D Index</v>
      </c>
      <c r="C6694" t="s">
        <v>17</v>
      </c>
      <c r="D6694" t="s">
        <v>87</v>
      </c>
      <c r="E6694" t="s">
        <v>595</v>
      </c>
      <c r="F6694" t="s">
        <v>596</v>
      </c>
      <c r="G6694" t="s">
        <v>52</v>
      </c>
      <c r="H6694">
        <v>14</v>
      </c>
      <c r="I6694">
        <v>0.73299999999999998</v>
      </c>
      <c r="J6694">
        <v>0.82699999999999996</v>
      </c>
      <c r="K6694">
        <v>9.4E-2</v>
      </c>
      <c r="L6694">
        <v>6</v>
      </c>
      <c r="M6694">
        <v>6</v>
      </c>
      <c r="N6694">
        <v>2</v>
      </c>
      <c r="O6694" t="s">
        <v>53</v>
      </c>
      <c r="P6694" t="s">
        <v>53</v>
      </c>
      <c r="Q6694" t="s">
        <v>53</v>
      </c>
    </row>
    <row r="6695" spans="1:17" x14ac:dyDescent="0.2">
      <c r="A6695" s="30" t="str">
        <f>IF(C6695&amp;G6695&amp;D6695&lt;&gt;'Funnel setup'!$K$3&amp;'Funnel setup'!$K$4&amp;'Funnel setup'!$K$5,".",IF(A6694=".",1,A6694+1))</f>
        <v>.</v>
      </c>
      <c r="B6695" s="431" t="str">
        <f t="shared" si="104"/>
        <v>Varicose VeinCCG of GP PracticeNHS BIRMINGHAM CROSSCITY CCG (13P)EQ-5D Index</v>
      </c>
      <c r="C6695" t="s">
        <v>17</v>
      </c>
      <c r="D6695" t="s">
        <v>87</v>
      </c>
      <c r="E6695" t="s">
        <v>598</v>
      </c>
      <c r="F6695" t="s">
        <v>599</v>
      </c>
      <c r="G6695" t="s">
        <v>52</v>
      </c>
      <c r="H6695">
        <v>88</v>
      </c>
      <c r="I6695">
        <v>0.70599999999999996</v>
      </c>
      <c r="J6695">
        <v>0.85699999999999998</v>
      </c>
      <c r="K6695">
        <v>0.151</v>
      </c>
      <c r="L6695">
        <v>49</v>
      </c>
      <c r="M6695">
        <v>29</v>
      </c>
      <c r="N6695">
        <v>10</v>
      </c>
      <c r="O6695">
        <v>0.88700000000000001</v>
      </c>
      <c r="P6695">
        <v>0.140440124</v>
      </c>
      <c r="Q6695">
        <v>0.182</v>
      </c>
    </row>
    <row r="6696" spans="1:17" x14ac:dyDescent="0.2">
      <c r="A6696" s="30" t="str">
        <f>IF(C6696&amp;G6696&amp;D6696&lt;&gt;'Funnel setup'!$K$3&amp;'Funnel setup'!$K$4&amp;'Funnel setup'!$K$5,".",IF(A6695=".",1,A6695+1))</f>
        <v>.</v>
      </c>
      <c r="B6696" s="431" t="str">
        <f t="shared" si="104"/>
        <v>Varicose VeinCCG of GP PracticeNHS BIRMINGHAM SOUTH AND CENTRAL CCG (04X)EQ-5D Index</v>
      </c>
      <c r="C6696" t="s">
        <v>17</v>
      </c>
      <c r="D6696" t="s">
        <v>87</v>
      </c>
      <c r="E6696" t="s">
        <v>601</v>
      </c>
      <c r="F6696" t="s">
        <v>602</v>
      </c>
      <c r="G6696" t="s">
        <v>52</v>
      </c>
      <c r="H6696">
        <v>7</v>
      </c>
      <c r="I6696">
        <v>0.83699999999999997</v>
      </c>
      <c r="J6696">
        <v>0.92400000000000004</v>
      </c>
      <c r="K6696">
        <v>8.6999999999999994E-2</v>
      </c>
      <c r="L6696">
        <v>4</v>
      </c>
      <c r="M6696">
        <v>2</v>
      </c>
      <c r="N6696">
        <v>1</v>
      </c>
      <c r="O6696" t="s">
        <v>53</v>
      </c>
      <c r="P6696" t="s">
        <v>53</v>
      </c>
      <c r="Q6696" t="s">
        <v>53</v>
      </c>
    </row>
    <row r="6697" spans="1:17" x14ac:dyDescent="0.2">
      <c r="A6697" s="30" t="str">
        <f>IF(C6697&amp;G6697&amp;D6697&lt;&gt;'Funnel setup'!$K$3&amp;'Funnel setup'!$K$4&amp;'Funnel setup'!$K$5,".",IF(A6696=".",1,A6696+1))</f>
        <v>.</v>
      </c>
      <c r="B6697" s="431" t="str">
        <f t="shared" si="104"/>
        <v>Varicose VeinCCG of GP PracticeNHS BLACKBURN WITH DARWEN CCG (00Q)EQ-5D Index</v>
      </c>
      <c r="C6697" t="s">
        <v>17</v>
      </c>
      <c r="D6697" t="s">
        <v>87</v>
      </c>
      <c r="E6697" t="s">
        <v>604</v>
      </c>
      <c r="F6697" t="s">
        <v>605</v>
      </c>
      <c r="G6697" t="s">
        <v>52</v>
      </c>
      <c r="H6697">
        <v>26</v>
      </c>
      <c r="I6697">
        <v>0.82899999999999996</v>
      </c>
      <c r="J6697">
        <v>0.85799999999999998</v>
      </c>
      <c r="K6697">
        <v>2.9000000000000001E-2</v>
      </c>
      <c r="L6697">
        <v>9</v>
      </c>
      <c r="M6697">
        <v>10</v>
      </c>
      <c r="N6697">
        <v>7</v>
      </c>
      <c r="O6697" t="s">
        <v>53</v>
      </c>
      <c r="P6697" t="s">
        <v>53</v>
      </c>
      <c r="Q6697" t="s">
        <v>53</v>
      </c>
    </row>
    <row r="6698" spans="1:17" x14ac:dyDescent="0.2">
      <c r="A6698" s="30" t="str">
        <f>IF(C6698&amp;G6698&amp;D6698&lt;&gt;'Funnel setup'!$K$3&amp;'Funnel setup'!$K$4&amp;'Funnel setup'!$K$5,".",IF(A6697=".",1,A6697+1))</f>
        <v>.</v>
      </c>
      <c r="B6698" s="431" t="str">
        <f t="shared" si="104"/>
        <v>Varicose VeinCCG of GP PracticeNHS BLACKPOOL CCG (00R)EQ-5D Index</v>
      </c>
      <c r="C6698" t="s">
        <v>17</v>
      </c>
      <c r="D6698" t="s">
        <v>87</v>
      </c>
      <c r="E6698" t="s">
        <v>607</v>
      </c>
      <c r="F6698" t="s">
        <v>608</v>
      </c>
      <c r="G6698" t="s">
        <v>52</v>
      </c>
      <c r="H6698">
        <v>7</v>
      </c>
      <c r="I6698">
        <v>0.63600000000000001</v>
      </c>
      <c r="J6698">
        <v>0.79</v>
      </c>
      <c r="K6698">
        <v>0.154</v>
      </c>
      <c r="L6698">
        <v>5</v>
      </c>
      <c r="M6698">
        <v>2</v>
      </c>
      <c r="N6698">
        <v>0</v>
      </c>
      <c r="O6698" t="s">
        <v>53</v>
      </c>
      <c r="P6698" t="s">
        <v>53</v>
      </c>
      <c r="Q6698" t="s">
        <v>53</v>
      </c>
    </row>
    <row r="6699" spans="1:17" x14ac:dyDescent="0.2">
      <c r="A6699" s="30" t="str">
        <f>IF(C6699&amp;G6699&amp;D6699&lt;&gt;'Funnel setup'!$K$3&amp;'Funnel setup'!$K$4&amp;'Funnel setup'!$K$5,".",IF(A6698=".",1,A6698+1))</f>
        <v>.</v>
      </c>
      <c r="B6699" s="431" t="str">
        <f t="shared" si="104"/>
        <v>Varicose VeinCCG of GP PracticeNHS BOLTON CCG (00T)EQ-5D Index</v>
      </c>
      <c r="C6699" t="s">
        <v>17</v>
      </c>
      <c r="D6699" t="s">
        <v>87</v>
      </c>
      <c r="E6699" t="s">
        <v>683</v>
      </c>
      <c r="F6699" t="s">
        <v>684</v>
      </c>
      <c r="G6699" t="s">
        <v>52</v>
      </c>
      <c r="H6699">
        <v>39</v>
      </c>
      <c r="I6699">
        <v>0.752</v>
      </c>
      <c r="J6699">
        <v>0.81299999999999994</v>
      </c>
      <c r="K6699">
        <v>6.0999999999999999E-2</v>
      </c>
      <c r="L6699">
        <v>19</v>
      </c>
      <c r="M6699">
        <v>11</v>
      </c>
      <c r="N6699">
        <v>9</v>
      </c>
      <c r="O6699">
        <v>0.80100000000000005</v>
      </c>
      <c r="P6699">
        <v>5.4481645000000002E-2</v>
      </c>
      <c r="Q6699">
        <v>0.19600000000000001</v>
      </c>
    </row>
    <row r="6700" spans="1:17" x14ac:dyDescent="0.2">
      <c r="A6700" s="30" t="str">
        <f>IF(C6700&amp;G6700&amp;D6700&lt;&gt;'Funnel setup'!$K$3&amp;'Funnel setup'!$K$4&amp;'Funnel setup'!$K$5,".",IF(A6699=".",1,A6699+1))</f>
        <v>.</v>
      </c>
      <c r="B6700" s="431" t="str">
        <f t="shared" si="104"/>
        <v>Varicose VeinCCG of GP PracticeNHS BRADFORD CITY CCG (02W)EQ-5D Index</v>
      </c>
      <c r="C6700" t="s">
        <v>17</v>
      </c>
      <c r="D6700" t="s">
        <v>87</v>
      </c>
      <c r="E6700" t="s">
        <v>689</v>
      </c>
      <c r="F6700" t="s">
        <v>690</v>
      </c>
      <c r="G6700" t="s">
        <v>52</v>
      </c>
      <c r="H6700">
        <v>6</v>
      </c>
      <c r="I6700">
        <v>0.45700000000000002</v>
      </c>
      <c r="J6700">
        <v>0.41199999999999998</v>
      </c>
      <c r="K6700">
        <v>-4.4999999999999998E-2</v>
      </c>
      <c r="L6700">
        <v>3</v>
      </c>
      <c r="M6700">
        <v>0</v>
      </c>
      <c r="N6700">
        <v>3</v>
      </c>
      <c r="O6700" t="s">
        <v>53</v>
      </c>
      <c r="P6700" t="s">
        <v>53</v>
      </c>
      <c r="Q6700" t="s">
        <v>53</v>
      </c>
    </row>
    <row r="6701" spans="1:17" x14ac:dyDescent="0.2">
      <c r="A6701" s="30" t="str">
        <f>IF(C6701&amp;G6701&amp;D6701&lt;&gt;'Funnel setup'!$K$3&amp;'Funnel setup'!$K$4&amp;'Funnel setup'!$K$5,".",IF(A6700=".",1,A6700+1))</f>
        <v>.</v>
      </c>
      <c r="B6701" s="431" t="str">
        <f t="shared" si="104"/>
        <v>Varicose VeinCCG of GP PracticeNHS BRADFORD DISTRICTS CCG (02R)EQ-5D Index</v>
      </c>
      <c r="C6701" t="s">
        <v>17</v>
      </c>
      <c r="D6701" t="s">
        <v>87</v>
      </c>
      <c r="E6701" t="s">
        <v>692</v>
      </c>
      <c r="F6701" t="s">
        <v>693</v>
      </c>
      <c r="G6701" t="s">
        <v>52</v>
      </c>
      <c r="H6701">
        <v>44</v>
      </c>
      <c r="I6701">
        <v>0.79100000000000004</v>
      </c>
      <c r="J6701">
        <v>0.84499999999999997</v>
      </c>
      <c r="K6701">
        <v>5.5E-2</v>
      </c>
      <c r="L6701">
        <v>19</v>
      </c>
      <c r="M6701">
        <v>18</v>
      </c>
      <c r="N6701">
        <v>7</v>
      </c>
      <c r="O6701">
        <v>0.83299999999999996</v>
      </c>
      <c r="P6701">
        <v>8.6501658999999995E-2</v>
      </c>
      <c r="Q6701">
        <v>0.19800000000000001</v>
      </c>
    </row>
    <row r="6702" spans="1:17" x14ac:dyDescent="0.2">
      <c r="A6702" s="30" t="str">
        <f>IF(C6702&amp;G6702&amp;D6702&lt;&gt;'Funnel setup'!$K$3&amp;'Funnel setup'!$K$4&amp;'Funnel setup'!$K$5,".",IF(A6701=".",1,A6701+1))</f>
        <v>.</v>
      </c>
      <c r="B6702" s="431" t="str">
        <f t="shared" si="104"/>
        <v>Varicose VeinCCG of GP PracticeNHS BRENT CCG (07P)EQ-5D Index</v>
      </c>
      <c r="C6702" t="s">
        <v>17</v>
      </c>
      <c r="D6702" t="s">
        <v>87</v>
      </c>
      <c r="E6702" t="s">
        <v>695</v>
      </c>
      <c r="F6702" t="s">
        <v>696</v>
      </c>
      <c r="G6702" t="s">
        <v>52</v>
      </c>
      <c r="H6702">
        <v>36</v>
      </c>
      <c r="I6702">
        <v>0.61199999999999999</v>
      </c>
      <c r="J6702">
        <v>0.753</v>
      </c>
      <c r="K6702">
        <v>0.14099999999999999</v>
      </c>
      <c r="L6702">
        <v>20</v>
      </c>
      <c r="M6702">
        <v>9</v>
      </c>
      <c r="N6702">
        <v>7</v>
      </c>
      <c r="O6702">
        <v>0.84799999999999998</v>
      </c>
      <c r="P6702">
        <v>0.10078438300000001</v>
      </c>
      <c r="Q6702">
        <v>0.218</v>
      </c>
    </row>
    <row r="6703" spans="1:17" x14ac:dyDescent="0.2">
      <c r="A6703" s="30" t="str">
        <f>IF(C6703&amp;G6703&amp;D6703&lt;&gt;'Funnel setup'!$K$3&amp;'Funnel setup'!$K$4&amp;'Funnel setup'!$K$5,".",IF(A6702=".",1,A6702+1))</f>
        <v>.</v>
      </c>
      <c r="B6703" s="431" t="str">
        <f t="shared" si="104"/>
        <v>Varicose VeinCCG of GP PracticeNHS BRIGHTON AND HOVE CCG (09D)EQ-5D Index</v>
      </c>
      <c r="C6703" t="s">
        <v>17</v>
      </c>
      <c r="D6703" t="s">
        <v>87</v>
      </c>
      <c r="E6703" t="s">
        <v>698</v>
      </c>
      <c r="F6703" t="s">
        <v>699</v>
      </c>
      <c r="G6703" t="s">
        <v>52</v>
      </c>
      <c r="H6703">
        <v>21</v>
      </c>
      <c r="I6703">
        <v>0.70099999999999996</v>
      </c>
      <c r="J6703">
        <v>0.79400000000000004</v>
      </c>
      <c r="K6703">
        <v>9.2999999999999999E-2</v>
      </c>
      <c r="L6703">
        <v>13</v>
      </c>
      <c r="M6703">
        <v>6</v>
      </c>
      <c r="N6703">
        <v>2</v>
      </c>
      <c r="O6703" t="s">
        <v>53</v>
      </c>
      <c r="P6703" t="s">
        <v>53</v>
      </c>
      <c r="Q6703" t="s">
        <v>53</v>
      </c>
    </row>
    <row r="6704" spans="1:17" x14ac:dyDescent="0.2">
      <c r="A6704" s="30" t="str">
        <f>IF(C6704&amp;G6704&amp;D6704&lt;&gt;'Funnel setup'!$K$3&amp;'Funnel setup'!$K$4&amp;'Funnel setup'!$K$5,".",IF(A6703=".",1,A6703+1))</f>
        <v>.</v>
      </c>
      <c r="B6704" s="431" t="str">
        <f t="shared" si="104"/>
        <v>Varicose VeinCCG of GP PracticeNHS BRISTOL CCG (11H)EQ-5D Index</v>
      </c>
      <c r="C6704" t="s">
        <v>17</v>
      </c>
      <c r="D6704" t="s">
        <v>87</v>
      </c>
      <c r="E6704" t="s">
        <v>701</v>
      </c>
      <c r="F6704" t="s">
        <v>702</v>
      </c>
      <c r="G6704" t="s">
        <v>52</v>
      </c>
      <c r="H6704" t="s">
        <v>53</v>
      </c>
      <c r="I6704" t="s">
        <v>53</v>
      </c>
      <c r="J6704" t="s">
        <v>53</v>
      </c>
      <c r="K6704" t="s">
        <v>53</v>
      </c>
      <c r="L6704" t="s">
        <v>53</v>
      </c>
      <c r="M6704" t="s">
        <v>53</v>
      </c>
      <c r="N6704" t="s">
        <v>53</v>
      </c>
      <c r="O6704" t="s">
        <v>53</v>
      </c>
      <c r="P6704" t="s">
        <v>53</v>
      </c>
      <c r="Q6704" t="s">
        <v>53</v>
      </c>
    </row>
    <row r="6705" spans="1:17" x14ac:dyDescent="0.2">
      <c r="A6705" s="30" t="str">
        <f>IF(C6705&amp;G6705&amp;D6705&lt;&gt;'Funnel setup'!$K$3&amp;'Funnel setup'!$K$4&amp;'Funnel setup'!$K$5,".",IF(A6704=".",1,A6704+1))</f>
        <v>.</v>
      </c>
      <c r="B6705" s="431" t="str">
        <f t="shared" si="104"/>
        <v>Varicose VeinCCG of GP PracticeNHS BROMLEY CCG (07Q)EQ-5D Index</v>
      </c>
      <c r="C6705" t="s">
        <v>17</v>
      </c>
      <c r="D6705" t="s">
        <v>87</v>
      </c>
      <c r="E6705" t="s">
        <v>704</v>
      </c>
      <c r="F6705" t="s">
        <v>705</v>
      </c>
      <c r="G6705" t="s">
        <v>52</v>
      </c>
      <c r="H6705">
        <v>44</v>
      </c>
      <c r="I6705">
        <v>0.76100000000000001</v>
      </c>
      <c r="J6705">
        <v>0.84399999999999997</v>
      </c>
      <c r="K6705">
        <v>8.3000000000000004E-2</v>
      </c>
      <c r="L6705">
        <v>22</v>
      </c>
      <c r="M6705">
        <v>18</v>
      </c>
      <c r="N6705">
        <v>4</v>
      </c>
      <c r="O6705">
        <v>0.84699999999999998</v>
      </c>
      <c r="P6705">
        <v>9.9836452000000006E-2</v>
      </c>
      <c r="Q6705">
        <v>0.13700000000000001</v>
      </c>
    </row>
    <row r="6706" spans="1:17" x14ac:dyDescent="0.2">
      <c r="A6706" s="30" t="str">
        <f>IF(C6706&amp;G6706&amp;D6706&lt;&gt;'Funnel setup'!$K$3&amp;'Funnel setup'!$K$4&amp;'Funnel setup'!$K$5,".",IF(A6705=".",1,A6705+1))</f>
        <v>.</v>
      </c>
      <c r="B6706" s="431" t="str">
        <f t="shared" si="104"/>
        <v>Varicose VeinCCG of GP PracticeNHS BURY CCG (00V)EQ-5D Index</v>
      </c>
      <c r="C6706" t="s">
        <v>17</v>
      </c>
      <c r="D6706" t="s">
        <v>87</v>
      </c>
      <c r="E6706" t="s">
        <v>707</v>
      </c>
      <c r="F6706" t="s">
        <v>708</v>
      </c>
      <c r="G6706" t="s">
        <v>52</v>
      </c>
      <c r="H6706" t="s">
        <v>53</v>
      </c>
      <c r="I6706" t="s">
        <v>53</v>
      </c>
      <c r="J6706" t="s">
        <v>53</v>
      </c>
      <c r="K6706" t="s">
        <v>53</v>
      </c>
      <c r="L6706" t="s">
        <v>53</v>
      </c>
      <c r="M6706" t="s">
        <v>53</v>
      </c>
      <c r="N6706" t="s">
        <v>53</v>
      </c>
      <c r="O6706" t="s">
        <v>53</v>
      </c>
      <c r="P6706" t="s">
        <v>53</v>
      </c>
      <c r="Q6706" t="s">
        <v>53</v>
      </c>
    </row>
    <row r="6707" spans="1:17" x14ac:dyDescent="0.2">
      <c r="A6707" s="30" t="str">
        <f>IF(C6707&amp;G6707&amp;D6707&lt;&gt;'Funnel setup'!$K$3&amp;'Funnel setup'!$K$4&amp;'Funnel setup'!$K$5,".",IF(A6706=".",1,A6706+1))</f>
        <v>.</v>
      </c>
      <c r="B6707" s="431" t="str">
        <f t="shared" si="104"/>
        <v>Varicose VeinCCG of GP PracticeNHS CALDERDALE CCG (02T)EQ-5D Index</v>
      </c>
      <c r="C6707" t="s">
        <v>17</v>
      </c>
      <c r="D6707" t="s">
        <v>87</v>
      </c>
      <c r="E6707" t="s">
        <v>710</v>
      </c>
      <c r="F6707" t="s">
        <v>711</v>
      </c>
      <c r="G6707" t="s">
        <v>52</v>
      </c>
      <c r="H6707">
        <v>37</v>
      </c>
      <c r="I6707">
        <v>0.75600000000000001</v>
      </c>
      <c r="J6707">
        <v>0.83399999999999996</v>
      </c>
      <c r="K6707">
        <v>7.9000000000000001E-2</v>
      </c>
      <c r="L6707">
        <v>21</v>
      </c>
      <c r="M6707">
        <v>10</v>
      </c>
      <c r="N6707">
        <v>6</v>
      </c>
      <c r="O6707">
        <v>0.82699999999999996</v>
      </c>
      <c r="P6707">
        <v>8.0050621000000002E-2</v>
      </c>
      <c r="Q6707">
        <v>0.183</v>
      </c>
    </row>
    <row r="6708" spans="1:17" x14ac:dyDescent="0.2">
      <c r="A6708" s="30" t="str">
        <f>IF(C6708&amp;G6708&amp;D6708&lt;&gt;'Funnel setup'!$K$3&amp;'Funnel setup'!$K$4&amp;'Funnel setup'!$K$5,".",IF(A6707=".",1,A6707+1))</f>
        <v>.</v>
      </c>
      <c r="B6708" s="431" t="str">
        <f t="shared" si="104"/>
        <v>Varicose VeinCCG of GP PracticeNHS CAMBRIDGESHIRE AND PETERBOROUGH CCG (06H)EQ-5D Index</v>
      </c>
      <c r="C6708" t="s">
        <v>17</v>
      </c>
      <c r="D6708" t="s">
        <v>87</v>
      </c>
      <c r="E6708" t="s">
        <v>713</v>
      </c>
      <c r="F6708" t="s">
        <v>714</v>
      </c>
      <c r="G6708" t="s">
        <v>52</v>
      </c>
      <c r="H6708">
        <v>32</v>
      </c>
      <c r="I6708">
        <v>0.71299999999999997</v>
      </c>
      <c r="J6708">
        <v>0.877</v>
      </c>
      <c r="K6708">
        <v>0.16400000000000001</v>
      </c>
      <c r="L6708">
        <v>19</v>
      </c>
      <c r="M6708">
        <v>12</v>
      </c>
      <c r="N6708">
        <v>1</v>
      </c>
      <c r="O6708">
        <v>0.88800000000000001</v>
      </c>
      <c r="P6708">
        <v>0.14130843900000001</v>
      </c>
      <c r="Q6708">
        <v>0.127</v>
      </c>
    </row>
    <row r="6709" spans="1:17" x14ac:dyDescent="0.2">
      <c r="A6709" s="30" t="str">
        <f>IF(C6709&amp;G6709&amp;D6709&lt;&gt;'Funnel setup'!$K$3&amp;'Funnel setup'!$K$4&amp;'Funnel setup'!$K$5,".",IF(A6708=".",1,A6708+1))</f>
        <v>.</v>
      </c>
      <c r="B6709" s="431" t="str">
        <f t="shared" si="104"/>
        <v>Varicose VeinCCG of GP PracticeNHS CAMDEN CCG (07R)EQ-5D Index</v>
      </c>
      <c r="C6709" t="s">
        <v>17</v>
      </c>
      <c r="D6709" t="s">
        <v>87</v>
      </c>
      <c r="E6709" t="s">
        <v>716</v>
      </c>
      <c r="F6709" t="s">
        <v>717</v>
      </c>
      <c r="G6709" t="s">
        <v>52</v>
      </c>
      <c r="H6709">
        <v>25</v>
      </c>
      <c r="I6709">
        <v>0.78500000000000003</v>
      </c>
      <c r="J6709">
        <v>0.84299999999999997</v>
      </c>
      <c r="K6709">
        <v>5.8000000000000003E-2</v>
      </c>
      <c r="L6709">
        <v>13</v>
      </c>
      <c r="M6709">
        <v>6</v>
      </c>
      <c r="N6709">
        <v>6</v>
      </c>
      <c r="O6709" t="s">
        <v>53</v>
      </c>
      <c r="P6709" t="s">
        <v>53</v>
      </c>
      <c r="Q6709" t="s">
        <v>53</v>
      </c>
    </row>
    <row r="6710" spans="1:17" x14ac:dyDescent="0.2">
      <c r="A6710" s="30" t="str">
        <f>IF(C6710&amp;G6710&amp;D6710&lt;&gt;'Funnel setup'!$K$3&amp;'Funnel setup'!$K$4&amp;'Funnel setup'!$K$5,".",IF(A6709=".",1,A6709+1))</f>
        <v>.</v>
      </c>
      <c r="B6710" s="431" t="str">
        <f t="shared" si="104"/>
        <v>Varicose VeinCCG of GP PracticeNHS CANNOCK CHASE CCG (04Y)EQ-5D Index</v>
      </c>
      <c r="C6710" t="s">
        <v>17</v>
      </c>
      <c r="D6710" t="s">
        <v>87</v>
      </c>
      <c r="E6710" t="s">
        <v>719</v>
      </c>
      <c r="F6710" t="s">
        <v>720</v>
      </c>
      <c r="G6710" t="s">
        <v>52</v>
      </c>
      <c r="H6710">
        <v>19</v>
      </c>
      <c r="I6710">
        <v>0.82899999999999996</v>
      </c>
      <c r="J6710">
        <v>0.84499999999999997</v>
      </c>
      <c r="K6710">
        <v>1.6E-2</v>
      </c>
      <c r="L6710">
        <v>8</v>
      </c>
      <c r="M6710">
        <v>8</v>
      </c>
      <c r="N6710">
        <v>3</v>
      </c>
      <c r="O6710" t="s">
        <v>53</v>
      </c>
      <c r="P6710" t="s">
        <v>53</v>
      </c>
      <c r="Q6710" t="s">
        <v>53</v>
      </c>
    </row>
    <row r="6711" spans="1:17" x14ac:dyDescent="0.2">
      <c r="A6711" s="30" t="str">
        <f>IF(C6711&amp;G6711&amp;D6711&lt;&gt;'Funnel setup'!$K$3&amp;'Funnel setup'!$K$4&amp;'Funnel setup'!$K$5,".",IF(A6710=".",1,A6710+1))</f>
        <v>.</v>
      </c>
      <c r="B6711" s="431" t="str">
        <f t="shared" si="104"/>
        <v>Varicose VeinCCG of GP PracticeNHS CASTLE POINT AND ROCHFORD CCG (99F)EQ-5D Index</v>
      </c>
      <c r="C6711" t="s">
        <v>17</v>
      </c>
      <c r="D6711" t="s">
        <v>87</v>
      </c>
      <c r="E6711" t="s">
        <v>725</v>
      </c>
      <c r="F6711" t="s">
        <v>726</v>
      </c>
      <c r="G6711" t="s">
        <v>52</v>
      </c>
      <c r="H6711" t="s">
        <v>53</v>
      </c>
      <c r="I6711" t="s">
        <v>53</v>
      </c>
      <c r="J6711" t="s">
        <v>53</v>
      </c>
      <c r="K6711" t="s">
        <v>53</v>
      </c>
      <c r="L6711" t="s">
        <v>53</v>
      </c>
      <c r="M6711" t="s">
        <v>53</v>
      </c>
      <c r="N6711" t="s">
        <v>53</v>
      </c>
      <c r="O6711" t="s">
        <v>53</v>
      </c>
      <c r="P6711" t="s">
        <v>53</v>
      </c>
      <c r="Q6711" t="s">
        <v>53</v>
      </c>
    </row>
    <row r="6712" spans="1:17" x14ac:dyDescent="0.2">
      <c r="A6712" s="30" t="str">
        <f>IF(C6712&amp;G6712&amp;D6712&lt;&gt;'Funnel setup'!$K$3&amp;'Funnel setup'!$K$4&amp;'Funnel setup'!$K$5,".",IF(A6711=".",1,A6711+1))</f>
        <v>.</v>
      </c>
      <c r="B6712" s="431" t="str">
        <f t="shared" si="104"/>
        <v>Varicose VeinCCG of GP PracticeNHS CENTRAL LONDON (WESTMINSTER) CCG (09A)EQ-5D Index</v>
      </c>
      <c r="C6712" t="s">
        <v>17</v>
      </c>
      <c r="D6712" t="s">
        <v>87</v>
      </c>
      <c r="E6712" t="s">
        <v>728</v>
      </c>
      <c r="F6712" t="s">
        <v>729</v>
      </c>
      <c r="G6712" t="s">
        <v>52</v>
      </c>
      <c r="H6712">
        <v>21</v>
      </c>
      <c r="I6712">
        <v>0.65500000000000003</v>
      </c>
      <c r="J6712">
        <v>0.84199999999999997</v>
      </c>
      <c r="K6712">
        <v>0.187</v>
      </c>
      <c r="L6712">
        <v>17</v>
      </c>
      <c r="M6712">
        <v>2</v>
      </c>
      <c r="N6712">
        <v>2</v>
      </c>
      <c r="O6712" t="s">
        <v>53</v>
      </c>
      <c r="P6712" t="s">
        <v>53</v>
      </c>
      <c r="Q6712" t="s">
        <v>53</v>
      </c>
    </row>
    <row r="6713" spans="1:17" x14ac:dyDescent="0.2">
      <c r="A6713" s="30" t="str">
        <f>IF(C6713&amp;G6713&amp;D6713&lt;&gt;'Funnel setup'!$K$3&amp;'Funnel setup'!$K$4&amp;'Funnel setup'!$K$5,".",IF(A6712=".",1,A6712+1))</f>
        <v>.</v>
      </c>
      <c r="B6713" s="431" t="str">
        <f t="shared" si="104"/>
        <v>Varicose VeinCCG of GP PracticeNHS CENTRAL MANCHESTER CCG (00W)EQ-5D Index</v>
      </c>
      <c r="C6713" t="s">
        <v>17</v>
      </c>
      <c r="D6713" t="s">
        <v>87</v>
      </c>
      <c r="E6713" t="s">
        <v>731</v>
      </c>
      <c r="F6713" t="s">
        <v>732</v>
      </c>
      <c r="G6713" t="s">
        <v>52</v>
      </c>
      <c r="H6713" t="s">
        <v>53</v>
      </c>
      <c r="I6713" t="s">
        <v>53</v>
      </c>
      <c r="J6713" t="s">
        <v>53</v>
      </c>
      <c r="K6713" t="s">
        <v>53</v>
      </c>
      <c r="L6713" t="s">
        <v>53</v>
      </c>
      <c r="M6713" t="s">
        <v>53</v>
      </c>
      <c r="N6713" t="s">
        <v>53</v>
      </c>
      <c r="O6713" t="s">
        <v>53</v>
      </c>
      <c r="P6713" t="s">
        <v>53</v>
      </c>
      <c r="Q6713" t="s">
        <v>53</v>
      </c>
    </row>
    <row r="6714" spans="1:17" x14ac:dyDescent="0.2">
      <c r="A6714" s="30" t="str">
        <f>IF(C6714&amp;G6714&amp;D6714&lt;&gt;'Funnel setup'!$K$3&amp;'Funnel setup'!$K$4&amp;'Funnel setup'!$K$5,".",IF(A6713=".",1,A6713+1))</f>
        <v>.</v>
      </c>
      <c r="B6714" s="431" t="str">
        <f t="shared" si="104"/>
        <v>Varicose VeinCCG of GP PracticeNHS CHILTERN CCG (10H)EQ-5D Index</v>
      </c>
      <c r="C6714" t="s">
        <v>17</v>
      </c>
      <c r="D6714" t="s">
        <v>87</v>
      </c>
      <c r="E6714" t="s">
        <v>734</v>
      </c>
      <c r="F6714" t="s">
        <v>735</v>
      </c>
      <c r="G6714" t="s">
        <v>52</v>
      </c>
      <c r="H6714">
        <v>23</v>
      </c>
      <c r="I6714">
        <v>0.745</v>
      </c>
      <c r="J6714">
        <v>0.89300000000000002</v>
      </c>
      <c r="K6714">
        <v>0.14799999999999999</v>
      </c>
      <c r="L6714">
        <v>12</v>
      </c>
      <c r="M6714">
        <v>6</v>
      </c>
      <c r="N6714">
        <v>5</v>
      </c>
      <c r="O6714" t="s">
        <v>53</v>
      </c>
      <c r="P6714" t="s">
        <v>53</v>
      </c>
      <c r="Q6714" t="s">
        <v>53</v>
      </c>
    </row>
    <row r="6715" spans="1:17" x14ac:dyDescent="0.2">
      <c r="A6715" s="30" t="str">
        <f>IF(C6715&amp;G6715&amp;D6715&lt;&gt;'Funnel setup'!$K$3&amp;'Funnel setup'!$K$4&amp;'Funnel setup'!$K$5,".",IF(A6714=".",1,A6714+1))</f>
        <v>.</v>
      </c>
      <c r="B6715" s="431" t="str">
        <f t="shared" si="104"/>
        <v>Varicose VeinCCG of GP PracticeNHS CHORLEY AND SOUTH RIBBLE CCG (00X)EQ-5D Index</v>
      </c>
      <c r="C6715" t="s">
        <v>17</v>
      </c>
      <c r="D6715" t="s">
        <v>87</v>
      </c>
      <c r="E6715" t="s">
        <v>737</v>
      </c>
      <c r="F6715" t="s">
        <v>738</v>
      </c>
      <c r="G6715" t="s">
        <v>52</v>
      </c>
      <c r="H6715">
        <v>19</v>
      </c>
      <c r="I6715">
        <v>0.77100000000000002</v>
      </c>
      <c r="J6715">
        <v>0.84</v>
      </c>
      <c r="K6715">
        <v>6.9000000000000006E-2</v>
      </c>
      <c r="L6715">
        <v>7</v>
      </c>
      <c r="M6715">
        <v>10</v>
      </c>
      <c r="N6715">
        <v>2</v>
      </c>
      <c r="O6715" t="s">
        <v>53</v>
      </c>
      <c r="P6715" t="s">
        <v>53</v>
      </c>
      <c r="Q6715" t="s">
        <v>53</v>
      </c>
    </row>
    <row r="6716" spans="1:17" x14ac:dyDescent="0.2">
      <c r="A6716" s="30" t="str">
        <f>IF(C6716&amp;G6716&amp;D6716&lt;&gt;'Funnel setup'!$K$3&amp;'Funnel setup'!$K$4&amp;'Funnel setup'!$K$5,".",IF(A6715=".",1,A6715+1))</f>
        <v>.</v>
      </c>
      <c r="B6716" s="431" t="str">
        <f t="shared" si="104"/>
        <v>Varicose VeinCCG of GP PracticeNHS CITY AND HACKNEY CCG (07T)EQ-5D Index</v>
      </c>
      <c r="C6716" t="s">
        <v>17</v>
      </c>
      <c r="D6716" t="s">
        <v>87</v>
      </c>
      <c r="E6716" t="s">
        <v>740</v>
      </c>
      <c r="F6716" t="s">
        <v>741</v>
      </c>
      <c r="G6716" t="s">
        <v>52</v>
      </c>
      <c r="H6716">
        <v>12</v>
      </c>
      <c r="I6716">
        <v>0.82499999999999996</v>
      </c>
      <c r="J6716">
        <v>0.92200000000000004</v>
      </c>
      <c r="K6716">
        <v>9.7000000000000003E-2</v>
      </c>
      <c r="L6716">
        <v>5</v>
      </c>
      <c r="M6716">
        <v>5</v>
      </c>
      <c r="N6716">
        <v>2</v>
      </c>
      <c r="O6716" t="s">
        <v>53</v>
      </c>
      <c r="P6716" t="s">
        <v>53</v>
      </c>
      <c r="Q6716" t="s">
        <v>53</v>
      </c>
    </row>
    <row r="6717" spans="1:17" x14ac:dyDescent="0.2">
      <c r="A6717" s="30" t="str">
        <f>IF(C6717&amp;G6717&amp;D6717&lt;&gt;'Funnel setup'!$K$3&amp;'Funnel setup'!$K$4&amp;'Funnel setup'!$K$5,".",IF(A6716=".",1,A6716+1))</f>
        <v>.</v>
      </c>
      <c r="B6717" s="431" t="str">
        <f t="shared" si="104"/>
        <v>Varicose VeinCCG of GP PracticeNHS COASTAL WEST SUSSEX CCG (09G)EQ-5D Index</v>
      </c>
      <c r="C6717" t="s">
        <v>17</v>
      </c>
      <c r="D6717" t="s">
        <v>87</v>
      </c>
      <c r="E6717" t="s">
        <v>743</v>
      </c>
      <c r="F6717" t="s">
        <v>744</v>
      </c>
      <c r="G6717" t="s">
        <v>52</v>
      </c>
      <c r="H6717">
        <v>17</v>
      </c>
      <c r="I6717">
        <v>0.64900000000000002</v>
      </c>
      <c r="J6717">
        <v>0.80200000000000005</v>
      </c>
      <c r="K6717">
        <v>0.154</v>
      </c>
      <c r="L6717">
        <v>11</v>
      </c>
      <c r="M6717">
        <v>3</v>
      </c>
      <c r="N6717">
        <v>3</v>
      </c>
      <c r="O6717" t="s">
        <v>53</v>
      </c>
      <c r="P6717" t="s">
        <v>53</v>
      </c>
      <c r="Q6717" t="s">
        <v>53</v>
      </c>
    </row>
    <row r="6718" spans="1:17" x14ac:dyDescent="0.2">
      <c r="A6718" s="30" t="str">
        <f>IF(C6718&amp;G6718&amp;D6718&lt;&gt;'Funnel setup'!$K$3&amp;'Funnel setup'!$K$4&amp;'Funnel setup'!$K$5,".",IF(A6717=".",1,A6717+1))</f>
        <v>.</v>
      </c>
      <c r="B6718" s="431" t="str">
        <f t="shared" si="104"/>
        <v>Varicose VeinCCG of GP PracticeNHS COVENTRY AND RUGBY CCG (05A)EQ-5D Index</v>
      </c>
      <c r="C6718" t="s">
        <v>17</v>
      </c>
      <c r="D6718" t="s">
        <v>87</v>
      </c>
      <c r="E6718" t="s">
        <v>749</v>
      </c>
      <c r="F6718" t="s">
        <v>750</v>
      </c>
      <c r="G6718" t="s">
        <v>52</v>
      </c>
      <c r="H6718">
        <v>14</v>
      </c>
      <c r="I6718">
        <v>0.82</v>
      </c>
      <c r="J6718">
        <v>0.95599999999999996</v>
      </c>
      <c r="K6718">
        <v>0.13600000000000001</v>
      </c>
      <c r="L6718">
        <v>9</v>
      </c>
      <c r="M6718">
        <v>5</v>
      </c>
      <c r="N6718">
        <v>0</v>
      </c>
      <c r="O6718" t="s">
        <v>53</v>
      </c>
      <c r="P6718" t="s">
        <v>53</v>
      </c>
      <c r="Q6718" t="s">
        <v>53</v>
      </c>
    </row>
    <row r="6719" spans="1:17" x14ac:dyDescent="0.2">
      <c r="A6719" s="30" t="str">
        <f>IF(C6719&amp;G6719&amp;D6719&lt;&gt;'Funnel setup'!$K$3&amp;'Funnel setup'!$K$4&amp;'Funnel setup'!$K$5,".",IF(A6718=".",1,A6718+1))</f>
        <v>.</v>
      </c>
      <c r="B6719" s="431" t="str">
        <f t="shared" si="104"/>
        <v>Varicose VeinCCG of GP PracticeNHS CRAWLEY CCG (09H)EQ-5D Index</v>
      </c>
      <c r="C6719" t="s">
        <v>17</v>
      </c>
      <c r="D6719" t="s">
        <v>87</v>
      </c>
      <c r="E6719" t="s">
        <v>752</v>
      </c>
      <c r="F6719" t="s">
        <v>753</v>
      </c>
      <c r="G6719" t="s">
        <v>52</v>
      </c>
      <c r="H6719">
        <v>18</v>
      </c>
      <c r="I6719">
        <v>0.72399999999999998</v>
      </c>
      <c r="J6719">
        <v>0.83899999999999997</v>
      </c>
      <c r="K6719">
        <v>0.115</v>
      </c>
      <c r="L6719">
        <v>9</v>
      </c>
      <c r="M6719">
        <v>6</v>
      </c>
      <c r="N6719">
        <v>3</v>
      </c>
      <c r="O6719" t="s">
        <v>53</v>
      </c>
      <c r="P6719" t="s">
        <v>53</v>
      </c>
      <c r="Q6719" t="s">
        <v>53</v>
      </c>
    </row>
    <row r="6720" spans="1:17" x14ac:dyDescent="0.2">
      <c r="A6720" s="30" t="str">
        <f>IF(C6720&amp;G6720&amp;D6720&lt;&gt;'Funnel setup'!$K$3&amp;'Funnel setup'!$K$4&amp;'Funnel setup'!$K$5,".",IF(A6719=".",1,A6719+1))</f>
        <v>.</v>
      </c>
      <c r="B6720" s="431" t="str">
        <f t="shared" si="104"/>
        <v>Varicose VeinCCG of GP PracticeNHS CROYDON CCG (07V)EQ-5D Index</v>
      </c>
      <c r="C6720" t="s">
        <v>17</v>
      </c>
      <c r="D6720" t="s">
        <v>87</v>
      </c>
      <c r="E6720" t="s">
        <v>755</v>
      </c>
      <c r="F6720" t="s">
        <v>756</v>
      </c>
      <c r="G6720" t="s">
        <v>52</v>
      </c>
      <c r="H6720" t="s">
        <v>53</v>
      </c>
      <c r="I6720" t="s">
        <v>53</v>
      </c>
      <c r="J6720" t="s">
        <v>53</v>
      </c>
      <c r="K6720" t="s">
        <v>53</v>
      </c>
      <c r="L6720" t="s">
        <v>53</v>
      </c>
      <c r="M6720" t="s">
        <v>53</v>
      </c>
      <c r="N6720" t="s">
        <v>53</v>
      </c>
      <c r="O6720" t="s">
        <v>53</v>
      </c>
      <c r="P6720" t="s">
        <v>53</v>
      </c>
      <c r="Q6720" t="s">
        <v>53</v>
      </c>
    </row>
    <row r="6721" spans="1:17" x14ac:dyDescent="0.2">
      <c r="A6721" s="30" t="str">
        <f>IF(C6721&amp;G6721&amp;D6721&lt;&gt;'Funnel setup'!$K$3&amp;'Funnel setup'!$K$4&amp;'Funnel setup'!$K$5,".",IF(A6720=".",1,A6720+1))</f>
        <v>.</v>
      </c>
      <c r="B6721" s="431" t="str">
        <f t="shared" si="104"/>
        <v>Varicose VeinCCG of GP PracticeNHS CUMBRIA CCG (01H)EQ-5D Index</v>
      </c>
      <c r="C6721" t="s">
        <v>17</v>
      </c>
      <c r="D6721" t="s">
        <v>87</v>
      </c>
      <c r="E6721" t="s">
        <v>758</v>
      </c>
      <c r="F6721" t="s">
        <v>759</v>
      </c>
      <c r="G6721" t="s">
        <v>52</v>
      </c>
      <c r="H6721">
        <v>59</v>
      </c>
      <c r="I6721">
        <v>0.76300000000000001</v>
      </c>
      <c r="J6721">
        <v>0.88800000000000001</v>
      </c>
      <c r="K6721">
        <v>0.124</v>
      </c>
      <c r="L6721">
        <v>35</v>
      </c>
      <c r="M6721">
        <v>18</v>
      </c>
      <c r="N6721">
        <v>6</v>
      </c>
      <c r="O6721">
        <v>0.86399999999999999</v>
      </c>
      <c r="P6721">
        <v>0.117317561</v>
      </c>
      <c r="Q6721">
        <v>0.14399999999999999</v>
      </c>
    </row>
    <row r="6722" spans="1:17" x14ac:dyDescent="0.2">
      <c r="A6722" s="30" t="str">
        <f>IF(C6722&amp;G6722&amp;D6722&lt;&gt;'Funnel setup'!$K$3&amp;'Funnel setup'!$K$4&amp;'Funnel setup'!$K$5,".",IF(A6721=".",1,A6721+1))</f>
        <v>.</v>
      </c>
      <c r="B6722" s="431" t="str">
        <f t="shared" si="104"/>
        <v>Varicose VeinCCG of GP PracticeNHS DARLINGTON CCG (00C)EQ-5D Index</v>
      </c>
      <c r="C6722" t="s">
        <v>17</v>
      </c>
      <c r="D6722" t="s">
        <v>87</v>
      </c>
      <c r="E6722" t="s">
        <v>761</v>
      </c>
      <c r="F6722" t="s">
        <v>762</v>
      </c>
      <c r="G6722" t="s">
        <v>52</v>
      </c>
      <c r="H6722">
        <v>7</v>
      </c>
      <c r="I6722">
        <v>0.73</v>
      </c>
      <c r="J6722">
        <v>0.85399999999999998</v>
      </c>
      <c r="K6722">
        <v>0.124</v>
      </c>
      <c r="L6722">
        <v>5</v>
      </c>
      <c r="M6722">
        <v>2</v>
      </c>
      <c r="N6722">
        <v>0</v>
      </c>
      <c r="O6722" t="s">
        <v>53</v>
      </c>
      <c r="P6722" t="s">
        <v>53</v>
      </c>
      <c r="Q6722" t="s">
        <v>53</v>
      </c>
    </row>
    <row r="6723" spans="1:17" x14ac:dyDescent="0.2">
      <c r="A6723" s="30" t="str">
        <f>IF(C6723&amp;G6723&amp;D6723&lt;&gt;'Funnel setup'!$K$3&amp;'Funnel setup'!$K$4&amp;'Funnel setup'!$K$5,".",IF(A6722=".",1,A6722+1))</f>
        <v>.</v>
      </c>
      <c r="B6723" s="431" t="str">
        <f t="shared" ref="B6723:B6786" si="105">C6723&amp;D6723&amp;F6723&amp;G6723</f>
        <v>Varicose VeinCCG of GP PracticeNHS DARTFORD, GRAVESHAM AND SWANLEY CCG (09J)EQ-5D Index</v>
      </c>
      <c r="C6723" t="s">
        <v>17</v>
      </c>
      <c r="D6723" t="s">
        <v>87</v>
      </c>
      <c r="E6723" t="s">
        <v>764</v>
      </c>
      <c r="F6723" t="s">
        <v>765</v>
      </c>
      <c r="G6723" t="s">
        <v>52</v>
      </c>
      <c r="H6723" t="s">
        <v>53</v>
      </c>
      <c r="I6723" t="s">
        <v>53</v>
      </c>
      <c r="J6723" t="s">
        <v>53</v>
      </c>
      <c r="K6723" t="s">
        <v>53</v>
      </c>
      <c r="L6723" t="s">
        <v>53</v>
      </c>
      <c r="M6723" t="s">
        <v>53</v>
      </c>
      <c r="N6723" t="s">
        <v>53</v>
      </c>
      <c r="O6723" t="s">
        <v>53</v>
      </c>
      <c r="P6723" t="s">
        <v>53</v>
      </c>
      <c r="Q6723" t="s">
        <v>53</v>
      </c>
    </row>
    <row r="6724" spans="1:17" x14ac:dyDescent="0.2">
      <c r="A6724" s="30" t="str">
        <f>IF(C6724&amp;G6724&amp;D6724&lt;&gt;'Funnel setup'!$K$3&amp;'Funnel setup'!$K$4&amp;'Funnel setup'!$K$5,".",IF(A6723=".",1,A6723+1))</f>
        <v>.</v>
      </c>
      <c r="B6724" s="431" t="str">
        <f t="shared" si="105"/>
        <v>Varicose VeinCCG of GP PracticeNHS DONCASTER CCG (02X)EQ-5D Index</v>
      </c>
      <c r="C6724" t="s">
        <v>17</v>
      </c>
      <c r="D6724" t="s">
        <v>87</v>
      </c>
      <c r="E6724" t="s">
        <v>767</v>
      </c>
      <c r="F6724" t="s">
        <v>768</v>
      </c>
      <c r="G6724" t="s">
        <v>52</v>
      </c>
      <c r="H6724">
        <v>15</v>
      </c>
      <c r="I6724">
        <v>0.78200000000000003</v>
      </c>
      <c r="J6724">
        <v>0.90200000000000002</v>
      </c>
      <c r="K6724">
        <v>0.12</v>
      </c>
      <c r="L6724">
        <v>7</v>
      </c>
      <c r="M6724">
        <v>5</v>
      </c>
      <c r="N6724">
        <v>3</v>
      </c>
      <c r="O6724" t="s">
        <v>53</v>
      </c>
      <c r="P6724" t="s">
        <v>53</v>
      </c>
      <c r="Q6724" t="s">
        <v>53</v>
      </c>
    </row>
    <row r="6725" spans="1:17" x14ac:dyDescent="0.2">
      <c r="A6725" s="30" t="str">
        <f>IF(C6725&amp;G6725&amp;D6725&lt;&gt;'Funnel setup'!$K$3&amp;'Funnel setup'!$K$4&amp;'Funnel setup'!$K$5,".",IF(A6724=".",1,A6724+1))</f>
        <v>.</v>
      </c>
      <c r="B6725" s="431" t="str">
        <f t="shared" si="105"/>
        <v>Varicose VeinCCG of GP PracticeNHS DORSET CCG (11J)EQ-5D Index</v>
      </c>
      <c r="C6725" t="s">
        <v>17</v>
      </c>
      <c r="D6725" t="s">
        <v>87</v>
      </c>
      <c r="E6725" t="s">
        <v>854</v>
      </c>
      <c r="F6725" t="s">
        <v>855</v>
      </c>
      <c r="G6725" t="s">
        <v>52</v>
      </c>
      <c r="H6725">
        <v>55</v>
      </c>
      <c r="I6725">
        <v>0.70799999999999996</v>
      </c>
      <c r="J6725">
        <v>0.82199999999999995</v>
      </c>
      <c r="K6725">
        <v>0.115</v>
      </c>
      <c r="L6725">
        <v>29</v>
      </c>
      <c r="M6725">
        <v>14</v>
      </c>
      <c r="N6725">
        <v>12</v>
      </c>
      <c r="O6725">
        <v>0.85899999999999999</v>
      </c>
      <c r="P6725">
        <v>0.111817795</v>
      </c>
      <c r="Q6725">
        <v>0.20799999999999999</v>
      </c>
    </row>
    <row r="6726" spans="1:17" x14ac:dyDescent="0.2">
      <c r="A6726" s="30" t="str">
        <f>IF(C6726&amp;G6726&amp;D6726&lt;&gt;'Funnel setup'!$K$3&amp;'Funnel setup'!$K$4&amp;'Funnel setup'!$K$5,".",IF(A6725=".",1,A6725+1))</f>
        <v>.</v>
      </c>
      <c r="B6726" s="431" t="str">
        <f t="shared" si="105"/>
        <v>Varicose VeinCCG of GP PracticeNHS DUDLEY CCG (05C)EQ-5D Index</v>
      </c>
      <c r="C6726" t="s">
        <v>17</v>
      </c>
      <c r="D6726" t="s">
        <v>87</v>
      </c>
      <c r="E6726" t="s">
        <v>857</v>
      </c>
      <c r="F6726" t="s">
        <v>858</v>
      </c>
      <c r="G6726" t="s">
        <v>52</v>
      </c>
      <c r="H6726">
        <v>107</v>
      </c>
      <c r="I6726">
        <v>0.73799999999999999</v>
      </c>
      <c r="J6726">
        <v>0.84399999999999997</v>
      </c>
      <c r="K6726">
        <v>0.107</v>
      </c>
      <c r="L6726">
        <v>58</v>
      </c>
      <c r="M6726">
        <v>34</v>
      </c>
      <c r="N6726">
        <v>15</v>
      </c>
      <c r="O6726">
        <v>0.85699999999999998</v>
      </c>
      <c r="P6726">
        <v>0.110012287</v>
      </c>
      <c r="Q6726">
        <v>0.16800000000000001</v>
      </c>
    </row>
    <row r="6727" spans="1:17" x14ac:dyDescent="0.2">
      <c r="A6727" s="30" t="str">
        <f>IF(C6727&amp;G6727&amp;D6727&lt;&gt;'Funnel setup'!$K$3&amp;'Funnel setup'!$K$4&amp;'Funnel setup'!$K$5,".",IF(A6726=".",1,A6726+1))</f>
        <v>.</v>
      </c>
      <c r="B6727" s="431" t="str">
        <f t="shared" si="105"/>
        <v>Varicose VeinCCG of GP PracticeNHS DURHAM DALES, EASINGTON AND SEDGEFIELD CCG (00D)EQ-5D Index</v>
      </c>
      <c r="C6727" t="s">
        <v>17</v>
      </c>
      <c r="D6727" t="s">
        <v>87</v>
      </c>
      <c r="E6727" t="s">
        <v>860</v>
      </c>
      <c r="F6727" t="s">
        <v>861</v>
      </c>
      <c r="G6727" t="s">
        <v>52</v>
      </c>
      <c r="H6727">
        <v>35</v>
      </c>
      <c r="I6727">
        <v>0.747</v>
      </c>
      <c r="J6727">
        <v>0.86599999999999999</v>
      </c>
      <c r="K6727">
        <v>0.11899999999999999</v>
      </c>
      <c r="L6727">
        <v>21</v>
      </c>
      <c r="M6727">
        <v>8</v>
      </c>
      <c r="N6727">
        <v>6</v>
      </c>
      <c r="O6727">
        <v>0.88800000000000001</v>
      </c>
      <c r="P6727">
        <v>0.141715498</v>
      </c>
      <c r="Q6727">
        <v>0.13500000000000001</v>
      </c>
    </row>
    <row r="6728" spans="1:17" x14ac:dyDescent="0.2">
      <c r="A6728" s="30" t="str">
        <f>IF(C6728&amp;G6728&amp;D6728&lt;&gt;'Funnel setup'!$K$3&amp;'Funnel setup'!$K$4&amp;'Funnel setup'!$K$5,".",IF(A6727=".",1,A6727+1))</f>
        <v>.</v>
      </c>
      <c r="B6728" s="431" t="str">
        <f t="shared" si="105"/>
        <v>Varicose VeinCCG of GP PracticeNHS EALING CCG (07W)EQ-5D Index</v>
      </c>
      <c r="C6728" t="s">
        <v>17</v>
      </c>
      <c r="D6728" t="s">
        <v>87</v>
      </c>
      <c r="E6728" t="s">
        <v>863</v>
      </c>
      <c r="F6728" t="s">
        <v>864</v>
      </c>
      <c r="G6728" t="s">
        <v>52</v>
      </c>
      <c r="H6728">
        <v>24</v>
      </c>
      <c r="I6728">
        <v>0.755</v>
      </c>
      <c r="J6728">
        <v>0.76500000000000001</v>
      </c>
      <c r="K6728">
        <v>0.01</v>
      </c>
      <c r="L6728">
        <v>9</v>
      </c>
      <c r="M6728">
        <v>10</v>
      </c>
      <c r="N6728">
        <v>5</v>
      </c>
      <c r="O6728" t="s">
        <v>53</v>
      </c>
      <c r="P6728" t="s">
        <v>53</v>
      </c>
      <c r="Q6728" t="s">
        <v>53</v>
      </c>
    </row>
    <row r="6729" spans="1:17" x14ac:dyDescent="0.2">
      <c r="A6729" s="30" t="str">
        <f>IF(C6729&amp;G6729&amp;D6729&lt;&gt;'Funnel setup'!$K$3&amp;'Funnel setup'!$K$4&amp;'Funnel setup'!$K$5,".",IF(A6728=".",1,A6728+1))</f>
        <v>.</v>
      </c>
      <c r="B6729" s="431" t="str">
        <f t="shared" si="105"/>
        <v>Varicose VeinCCG of GP PracticeNHS EAST AND NORTH HERTFORDSHIRE CCG (06K)EQ-5D Index</v>
      </c>
      <c r="C6729" t="s">
        <v>17</v>
      </c>
      <c r="D6729" t="s">
        <v>87</v>
      </c>
      <c r="E6729" t="s">
        <v>866</v>
      </c>
      <c r="F6729" t="s">
        <v>867</v>
      </c>
      <c r="G6729" t="s">
        <v>52</v>
      </c>
      <c r="H6729">
        <v>29</v>
      </c>
      <c r="I6729">
        <v>0.66500000000000004</v>
      </c>
      <c r="J6729">
        <v>0.83299999999999996</v>
      </c>
      <c r="K6729">
        <v>0.16800000000000001</v>
      </c>
      <c r="L6729">
        <v>18</v>
      </c>
      <c r="M6729">
        <v>7</v>
      </c>
      <c r="N6729">
        <v>4</v>
      </c>
      <c r="O6729" t="s">
        <v>53</v>
      </c>
      <c r="P6729" t="s">
        <v>53</v>
      </c>
      <c r="Q6729" t="s">
        <v>53</v>
      </c>
    </row>
    <row r="6730" spans="1:17" x14ac:dyDescent="0.2">
      <c r="A6730" s="30" t="str">
        <f>IF(C6730&amp;G6730&amp;D6730&lt;&gt;'Funnel setup'!$K$3&amp;'Funnel setup'!$K$4&amp;'Funnel setup'!$K$5,".",IF(A6729=".",1,A6729+1))</f>
        <v>.</v>
      </c>
      <c r="B6730" s="431" t="str">
        <f t="shared" si="105"/>
        <v>Varicose VeinCCG of GP PracticeNHS EAST LANCASHIRE CCG (01A)EQ-5D Index</v>
      </c>
      <c r="C6730" t="s">
        <v>17</v>
      </c>
      <c r="D6730" t="s">
        <v>87</v>
      </c>
      <c r="E6730" t="s">
        <v>869</v>
      </c>
      <c r="F6730" t="s">
        <v>870</v>
      </c>
      <c r="G6730" t="s">
        <v>52</v>
      </c>
      <c r="H6730">
        <v>104</v>
      </c>
      <c r="I6730">
        <v>0.749</v>
      </c>
      <c r="J6730">
        <v>0.83099999999999996</v>
      </c>
      <c r="K6730">
        <v>8.2000000000000003E-2</v>
      </c>
      <c r="L6730">
        <v>53</v>
      </c>
      <c r="M6730">
        <v>35</v>
      </c>
      <c r="N6730">
        <v>16</v>
      </c>
      <c r="O6730">
        <v>0.83099999999999996</v>
      </c>
      <c r="P6730">
        <v>8.4143567000000002E-2</v>
      </c>
      <c r="Q6730">
        <v>0.16400000000000001</v>
      </c>
    </row>
    <row r="6731" spans="1:17" x14ac:dyDescent="0.2">
      <c r="A6731" s="30" t="str">
        <f>IF(C6731&amp;G6731&amp;D6731&lt;&gt;'Funnel setup'!$K$3&amp;'Funnel setup'!$K$4&amp;'Funnel setup'!$K$5,".",IF(A6730=".",1,A6730+1))</f>
        <v>.</v>
      </c>
      <c r="B6731" s="431" t="str">
        <f t="shared" si="105"/>
        <v>Varicose VeinCCG of GP PracticeNHS EAST LEICESTERSHIRE AND RUTLAND CCG (03W)EQ-5D Index</v>
      </c>
      <c r="C6731" t="s">
        <v>17</v>
      </c>
      <c r="D6731" t="s">
        <v>87</v>
      </c>
      <c r="E6731" t="s">
        <v>872</v>
      </c>
      <c r="F6731" t="s">
        <v>873</v>
      </c>
      <c r="G6731" t="s">
        <v>52</v>
      </c>
      <c r="H6731">
        <v>20</v>
      </c>
      <c r="I6731">
        <v>0.72399999999999998</v>
      </c>
      <c r="J6731">
        <v>0.89</v>
      </c>
      <c r="K6731">
        <v>0.16600000000000001</v>
      </c>
      <c r="L6731">
        <v>12</v>
      </c>
      <c r="M6731">
        <v>5</v>
      </c>
      <c r="N6731">
        <v>3</v>
      </c>
      <c r="O6731" t="s">
        <v>53</v>
      </c>
      <c r="P6731" t="s">
        <v>53</v>
      </c>
      <c r="Q6731" t="s">
        <v>53</v>
      </c>
    </row>
    <row r="6732" spans="1:17" x14ac:dyDescent="0.2">
      <c r="A6732" s="30" t="str">
        <f>IF(C6732&amp;G6732&amp;D6732&lt;&gt;'Funnel setup'!$K$3&amp;'Funnel setup'!$K$4&amp;'Funnel setup'!$K$5,".",IF(A6731=".",1,A6731+1))</f>
        <v>.</v>
      </c>
      <c r="B6732" s="431" t="str">
        <f t="shared" si="105"/>
        <v>Varicose VeinCCG of GP PracticeNHS EAST RIDING OF YORKSHIRE CCG (02Y)EQ-5D Index</v>
      </c>
      <c r="C6732" t="s">
        <v>17</v>
      </c>
      <c r="D6732" t="s">
        <v>87</v>
      </c>
      <c r="E6732" t="s">
        <v>875</v>
      </c>
      <c r="F6732" t="s">
        <v>876</v>
      </c>
      <c r="G6732" t="s">
        <v>52</v>
      </c>
      <c r="H6732">
        <v>59</v>
      </c>
      <c r="I6732">
        <v>0.75800000000000001</v>
      </c>
      <c r="J6732">
        <v>0.88800000000000001</v>
      </c>
      <c r="K6732">
        <v>0.13</v>
      </c>
      <c r="L6732">
        <v>37</v>
      </c>
      <c r="M6732">
        <v>17</v>
      </c>
      <c r="N6732">
        <v>5</v>
      </c>
      <c r="O6732">
        <v>0.879</v>
      </c>
      <c r="P6732">
        <v>0.132041089</v>
      </c>
      <c r="Q6732">
        <v>0.13100000000000001</v>
      </c>
    </row>
    <row r="6733" spans="1:17" x14ac:dyDescent="0.2">
      <c r="A6733" s="30" t="str">
        <f>IF(C6733&amp;G6733&amp;D6733&lt;&gt;'Funnel setup'!$K$3&amp;'Funnel setup'!$K$4&amp;'Funnel setup'!$K$5,".",IF(A6732=".",1,A6732+1))</f>
        <v>.</v>
      </c>
      <c r="B6733" s="431" t="str">
        <f t="shared" si="105"/>
        <v>Varicose VeinCCG of GP PracticeNHS EAST STAFFORDSHIRE CCG (05D)EQ-5D Index</v>
      </c>
      <c r="C6733" t="s">
        <v>17</v>
      </c>
      <c r="D6733" t="s">
        <v>87</v>
      </c>
      <c r="E6733" t="s">
        <v>878</v>
      </c>
      <c r="F6733" t="s">
        <v>879</v>
      </c>
      <c r="G6733" t="s">
        <v>52</v>
      </c>
      <c r="H6733">
        <v>9</v>
      </c>
      <c r="I6733">
        <v>0.84899999999999998</v>
      </c>
      <c r="J6733">
        <v>0.92</v>
      </c>
      <c r="K6733">
        <v>7.1999999999999995E-2</v>
      </c>
      <c r="L6733">
        <v>4</v>
      </c>
      <c r="M6733">
        <v>4</v>
      </c>
      <c r="N6733">
        <v>1</v>
      </c>
      <c r="O6733" t="s">
        <v>53</v>
      </c>
      <c r="P6733" t="s">
        <v>53</v>
      </c>
      <c r="Q6733" t="s">
        <v>53</v>
      </c>
    </row>
    <row r="6734" spans="1:17" x14ac:dyDescent="0.2">
      <c r="A6734" s="30" t="str">
        <f>IF(C6734&amp;G6734&amp;D6734&lt;&gt;'Funnel setup'!$K$3&amp;'Funnel setup'!$K$4&amp;'Funnel setup'!$K$5,".",IF(A6733=".",1,A6733+1))</f>
        <v>.</v>
      </c>
      <c r="B6734" s="431" t="str">
        <f t="shared" si="105"/>
        <v>Varicose VeinCCG of GP PracticeNHS EAST SURREY CCG (09L)EQ-5D Index</v>
      </c>
      <c r="C6734" t="s">
        <v>17</v>
      </c>
      <c r="D6734" t="s">
        <v>87</v>
      </c>
      <c r="E6734" t="s">
        <v>881</v>
      </c>
      <c r="F6734" t="s">
        <v>882</v>
      </c>
      <c r="G6734" t="s">
        <v>52</v>
      </c>
      <c r="H6734">
        <v>19</v>
      </c>
      <c r="I6734">
        <v>0.82</v>
      </c>
      <c r="J6734">
        <v>0.88500000000000001</v>
      </c>
      <c r="K6734">
        <v>6.6000000000000003E-2</v>
      </c>
      <c r="L6734">
        <v>10</v>
      </c>
      <c r="M6734">
        <v>7</v>
      </c>
      <c r="N6734">
        <v>2</v>
      </c>
      <c r="O6734" t="s">
        <v>53</v>
      </c>
      <c r="P6734" t="s">
        <v>53</v>
      </c>
      <c r="Q6734" t="s">
        <v>53</v>
      </c>
    </row>
    <row r="6735" spans="1:17" x14ac:dyDescent="0.2">
      <c r="A6735" s="30" t="str">
        <f>IF(C6735&amp;G6735&amp;D6735&lt;&gt;'Funnel setup'!$K$3&amp;'Funnel setup'!$K$4&amp;'Funnel setup'!$K$5,".",IF(A6734=".",1,A6734+1))</f>
        <v>.</v>
      </c>
      <c r="B6735" s="431" t="str">
        <f t="shared" si="105"/>
        <v>Varicose VeinCCG of GP PracticeNHS EASTBOURNE, HAILSHAM AND SEAFORD CCG (09F)EQ-5D Index</v>
      </c>
      <c r="C6735" t="s">
        <v>17</v>
      </c>
      <c r="D6735" t="s">
        <v>87</v>
      </c>
      <c r="E6735" t="s">
        <v>884</v>
      </c>
      <c r="F6735" t="s">
        <v>885</v>
      </c>
      <c r="G6735" t="s">
        <v>52</v>
      </c>
      <c r="H6735">
        <v>11</v>
      </c>
      <c r="I6735">
        <v>0.73399999999999999</v>
      </c>
      <c r="J6735">
        <v>0.84399999999999997</v>
      </c>
      <c r="K6735">
        <v>0.11</v>
      </c>
      <c r="L6735">
        <v>7</v>
      </c>
      <c r="M6735">
        <v>3</v>
      </c>
      <c r="N6735">
        <v>1</v>
      </c>
      <c r="O6735" t="s">
        <v>53</v>
      </c>
      <c r="P6735" t="s">
        <v>53</v>
      </c>
      <c r="Q6735" t="s">
        <v>53</v>
      </c>
    </row>
    <row r="6736" spans="1:17" x14ac:dyDescent="0.2">
      <c r="A6736" s="30" t="str">
        <f>IF(C6736&amp;G6736&amp;D6736&lt;&gt;'Funnel setup'!$K$3&amp;'Funnel setup'!$K$4&amp;'Funnel setup'!$K$5,".",IF(A6735=".",1,A6735+1))</f>
        <v>.</v>
      </c>
      <c r="B6736" s="431" t="str">
        <f t="shared" si="105"/>
        <v>Varicose VeinCCG of GP PracticeNHS EASTERN CHESHIRE CCG (01C)EQ-5D Index</v>
      </c>
      <c r="C6736" t="s">
        <v>17</v>
      </c>
      <c r="D6736" t="s">
        <v>87</v>
      </c>
      <c r="E6736" t="s">
        <v>887</v>
      </c>
      <c r="F6736" t="s">
        <v>888</v>
      </c>
      <c r="G6736" t="s">
        <v>52</v>
      </c>
      <c r="H6736">
        <v>33</v>
      </c>
      <c r="I6736">
        <v>0.72799999999999998</v>
      </c>
      <c r="J6736">
        <v>0.875</v>
      </c>
      <c r="K6736">
        <v>0.14699999999999999</v>
      </c>
      <c r="L6736">
        <v>21</v>
      </c>
      <c r="M6736">
        <v>9</v>
      </c>
      <c r="N6736">
        <v>3</v>
      </c>
      <c r="O6736">
        <v>0.86099999999999999</v>
      </c>
      <c r="P6736">
        <v>0.114347633</v>
      </c>
      <c r="Q6736">
        <v>0.191</v>
      </c>
    </row>
    <row r="6737" spans="1:17" x14ac:dyDescent="0.2">
      <c r="A6737" s="30" t="str">
        <f>IF(C6737&amp;G6737&amp;D6737&lt;&gt;'Funnel setup'!$K$3&amp;'Funnel setup'!$K$4&amp;'Funnel setup'!$K$5,".",IF(A6736=".",1,A6736+1))</f>
        <v>.</v>
      </c>
      <c r="B6737" s="431" t="str">
        <f t="shared" si="105"/>
        <v>Varicose VeinCCG of GP PracticeNHS ENFIELD CCG (07X)EQ-5D Index</v>
      </c>
      <c r="C6737" t="s">
        <v>17</v>
      </c>
      <c r="D6737" t="s">
        <v>87</v>
      </c>
      <c r="E6737" t="s">
        <v>890</v>
      </c>
      <c r="F6737" t="s">
        <v>891</v>
      </c>
      <c r="G6737" t="s">
        <v>52</v>
      </c>
      <c r="H6737">
        <v>12</v>
      </c>
      <c r="I6737">
        <v>0.73599999999999999</v>
      </c>
      <c r="J6737">
        <v>0.878</v>
      </c>
      <c r="K6737">
        <v>0.14199999999999999</v>
      </c>
      <c r="L6737">
        <v>6</v>
      </c>
      <c r="M6737">
        <v>5</v>
      </c>
      <c r="N6737">
        <v>1</v>
      </c>
      <c r="O6737" t="s">
        <v>53</v>
      </c>
      <c r="P6737" t="s">
        <v>53</v>
      </c>
      <c r="Q6737" t="s">
        <v>53</v>
      </c>
    </row>
    <row r="6738" spans="1:17" x14ac:dyDescent="0.2">
      <c r="A6738" s="30" t="str">
        <f>IF(C6738&amp;G6738&amp;D6738&lt;&gt;'Funnel setup'!$K$3&amp;'Funnel setup'!$K$4&amp;'Funnel setup'!$K$5,".",IF(A6737=".",1,A6737+1))</f>
        <v>.</v>
      </c>
      <c r="B6738" s="431" t="str">
        <f t="shared" si="105"/>
        <v>Varicose VeinCCG of GP PracticeNHS EREWASH CCG (03X)EQ-5D Index</v>
      </c>
      <c r="C6738" t="s">
        <v>17</v>
      </c>
      <c r="D6738" t="s">
        <v>87</v>
      </c>
      <c r="E6738" t="s">
        <v>893</v>
      </c>
      <c r="F6738" t="s">
        <v>894</v>
      </c>
      <c r="G6738" t="s">
        <v>52</v>
      </c>
      <c r="H6738">
        <v>14</v>
      </c>
      <c r="I6738">
        <v>0.58699999999999997</v>
      </c>
      <c r="J6738">
        <v>0.60699999999999998</v>
      </c>
      <c r="K6738">
        <v>0.02</v>
      </c>
      <c r="L6738">
        <v>6</v>
      </c>
      <c r="M6738">
        <v>4</v>
      </c>
      <c r="N6738">
        <v>4</v>
      </c>
      <c r="O6738" t="s">
        <v>53</v>
      </c>
      <c r="P6738" t="s">
        <v>53</v>
      </c>
      <c r="Q6738" t="s">
        <v>53</v>
      </c>
    </row>
    <row r="6739" spans="1:17" x14ac:dyDescent="0.2">
      <c r="A6739" s="30" t="str">
        <f>IF(C6739&amp;G6739&amp;D6739&lt;&gt;'Funnel setup'!$K$3&amp;'Funnel setup'!$K$4&amp;'Funnel setup'!$K$5,".",IF(A6738=".",1,A6738+1))</f>
        <v>.</v>
      </c>
      <c r="B6739" s="431" t="str">
        <f t="shared" si="105"/>
        <v>Varicose VeinCCG of GP PracticeNHS FAREHAM AND GOSPORT CCG (10K)EQ-5D Index</v>
      </c>
      <c r="C6739" t="s">
        <v>17</v>
      </c>
      <c r="D6739" t="s">
        <v>87</v>
      </c>
      <c r="E6739" t="s">
        <v>896</v>
      </c>
      <c r="F6739" t="s">
        <v>897</v>
      </c>
      <c r="G6739" t="s">
        <v>52</v>
      </c>
      <c r="H6739" t="s">
        <v>53</v>
      </c>
      <c r="I6739" t="s">
        <v>53</v>
      </c>
      <c r="J6739" t="s">
        <v>53</v>
      </c>
      <c r="K6739" t="s">
        <v>53</v>
      </c>
      <c r="L6739" t="s">
        <v>53</v>
      </c>
      <c r="M6739" t="s">
        <v>53</v>
      </c>
      <c r="N6739" t="s">
        <v>53</v>
      </c>
      <c r="O6739" t="s">
        <v>53</v>
      </c>
      <c r="P6739" t="s">
        <v>53</v>
      </c>
      <c r="Q6739" t="s">
        <v>53</v>
      </c>
    </row>
    <row r="6740" spans="1:17" x14ac:dyDescent="0.2">
      <c r="A6740" s="30" t="str">
        <f>IF(C6740&amp;G6740&amp;D6740&lt;&gt;'Funnel setup'!$K$3&amp;'Funnel setup'!$K$4&amp;'Funnel setup'!$K$5,".",IF(A6739=".",1,A6739+1))</f>
        <v>.</v>
      </c>
      <c r="B6740" s="431" t="str">
        <f t="shared" si="105"/>
        <v>Varicose VeinCCG of GP PracticeNHS FYLDE &amp; WYRE CCG (02M)EQ-5D Index</v>
      </c>
      <c r="C6740" t="s">
        <v>17</v>
      </c>
      <c r="D6740" t="s">
        <v>87</v>
      </c>
      <c r="E6740" t="s">
        <v>899</v>
      </c>
      <c r="F6740" t="s">
        <v>900</v>
      </c>
      <c r="G6740" t="s">
        <v>52</v>
      </c>
      <c r="H6740">
        <v>9</v>
      </c>
      <c r="I6740">
        <v>0.77500000000000002</v>
      </c>
      <c r="J6740">
        <v>0.94399999999999995</v>
      </c>
      <c r="K6740">
        <v>0.16800000000000001</v>
      </c>
      <c r="L6740">
        <v>4</v>
      </c>
      <c r="M6740">
        <v>5</v>
      </c>
      <c r="N6740">
        <v>0</v>
      </c>
      <c r="O6740" t="s">
        <v>53</v>
      </c>
      <c r="P6740" t="s">
        <v>53</v>
      </c>
      <c r="Q6740" t="s">
        <v>53</v>
      </c>
    </row>
    <row r="6741" spans="1:17" x14ac:dyDescent="0.2">
      <c r="A6741" s="30" t="str">
        <f>IF(C6741&amp;G6741&amp;D6741&lt;&gt;'Funnel setup'!$K$3&amp;'Funnel setup'!$K$4&amp;'Funnel setup'!$K$5,".",IF(A6740=".",1,A6740+1))</f>
        <v>.</v>
      </c>
      <c r="B6741" s="431" t="str">
        <f t="shared" si="105"/>
        <v>Varicose VeinCCG of GP PracticeNHS GLOUCESTERSHIRE CCG (11M)EQ-5D Index</v>
      </c>
      <c r="C6741" t="s">
        <v>17</v>
      </c>
      <c r="D6741" t="s">
        <v>87</v>
      </c>
      <c r="E6741" t="s">
        <v>902</v>
      </c>
      <c r="F6741" t="s">
        <v>903</v>
      </c>
      <c r="G6741" t="s">
        <v>52</v>
      </c>
      <c r="H6741">
        <v>78</v>
      </c>
      <c r="I6741">
        <v>0.83299999999999996</v>
      </c>
      <c r="J6741">
        <v>0.93300000000000005</v>
      </c>
      <c r="K6741">
        <v>0.1</v>
      </c>
      <c r="L6741">
        <v>43</v>
      </c>
      <c r="M6741">
        <v>32</v>
      </c>
      <c r="N6741">
        <v>3</v>
      </c>
      <c r="O6741">
        <v>0.86299999999999999</v>
      </c>
      <c r="P6741">
        <v>0.116018222</v>
      </c>
      <c r="Q6741">
        <v>0.10199999999999999</v>
      </c>
    </row>
    <row r="6742" spans="1:17" x14ac:dyDescent="0.2">
      <c r="A6742" s="30" t="str">
        <f>IF(C6742&amp;G6742&amp;D6742&lt;&gt;'Funnel setup'!$K$3&amp;'Funnel setup'!$K$4&amp;'Funnel setup'!$K$5,".",IF(A6741=".",1,A6741+1))</f>
        <v>.</v>
      </c>
      <c r="B6742" s="431" t="str">
        <f t="shared" si="105"/>
        <v>Varicose VeinCCG of GP PracticeNHS GREAT YARMOUTH AND WAVENEY CCG (06M)EQ-5D Index</v>
      </c>
      <c r="C6742" t="s">
        <v>17</v>
      </c>
      <c r="D6742" t="s">
        <v>87</v>
      </c>
      <c r="E6742" t="s">
        <v>905</v>
      </c>
      <c r="F6742" t="s">
        <v>906</v>
      </c>
      <c r="G6742" t="s">
        <v>52</v>
      </c>
      <c r="H6742">
        <v>46</v>
      </c>
      <c r="I6742">
        <v>0.77500000000000002</v>
      </c>
      <c r="J6742">
        <v>0.90400000000000003</v>
      </c>
      <c r="K6742">
        <v>0.128</v>
      </c>
      <c r="L6742">
        <v>30</v>
      </c>
      <c r="M6742">
        <v>10</v>
      </c>
      <c r="N6742">
        <v>6</v>
      </c>
      <c r="O6742">
        <v>0.871</v>
      </c>
      <c r="P6742">
        <v>0.124158167</v>
      </c>
      <c r="Q6742">
        <v>0.13</v>
      </c>
    </row>
    <row r="6743" spans="1:17" x14ac:dyDescent="0.2">
      <c r="A6743" s="30" t="str">
        <f>IF(C6743&amp;G6743&amp;D6743&lt;&gt;'Funnel setup'!$K$3&amp;'Funnel setup'!$K$4&amp;'Funnel setup'!$K$5,".",IF(A6742=".",1,A6742+1))</f>
        <v>.</v>
      </c>
      <c r="B6743" s="431" t="str">
        <f t="shared" si="105"/>
        <v>Varicose VeinCCG of GP PracticeNHS GREATER HUDDERSFIELD CCG (03A)EQ-5D Index</v>
      </c>
      <c r="C6743" t="s">
        <v>17</v>
      </c>
      <c r="D6743" t="s">
        <v>87</v>
      </c>
      <c r="E6743" t="s">
        <v>908</v>
      </c>
      <c r="F6743" t="s">
        <v>909</v>
      </c>
      <c r="G6743" t="s">
        <v>52</v>
      </c>
      <c r="H6743">
        <v>66</v>
      </c>
      <c r="I6743">
        <v>0.77800000000000002</v>
      </c>
      <c r="J6743">
        <v>0.89700000000000002</v>
      </c>
      <c r="K6743">
        <v>0.11899999999999999</v>
      </c>
      <c r="L6743">
        <v>34</v>
      </c>
      <c r="M6743">
        <v>26</v>
      </c>
      <c r="N6743">
        <v>6</v>
      </c>
      <c r="O6743">
        <v>0.88100000000000001</v>
      </c>
      <c r="P6743">
        <v>0.13407596899999999</v>
      </c>
      <c r="Q6743">
        <v>0.151</v>
      </c>
    </row>
    <row r="6744" spans="1:17" x14ac:dyDescent="0.2">
      <c r="A6744" s="30" t="str">
        <f>IF(C6744&amp;G6744&amp;D6744&lt;&gt;'Funnel setup'!$K$3&amp;'Funnel setup'!$K$4&amp;'Funnel setup'!$K$5,".",IF(A6743=".",1,A6743+1))</f>
        <v>.</v>
      </c>
      <c r="B6744" s="431" t="str">
        <f t="shared" si="105"/>
        <v>Varicose VeinCCG of GP PracticeNHS GREATER PRESTON CCG (01E)EQ-5D Index</v>
      </c>
      <c r="C6744" t="s">
        <v>17</v>
      </c>
      <c r="D6744" t="s">
        <v>87</v>
      </c>
      <c r="E6744" t="s">
        <v>486</v>
      </c>
      <c r="F6744" t="s">
        <v>487</v>
      </c>
      <c r="G6744" t="s">
        <v>52</v>
      </c>
      <c r="H6744">
        <v>39</v>
      </c>
      <c r="I6744">
        <v>0.82499999999999996</v>
      </c>
      <c r="J6744">
        <v>0.91900000000000004</v>
      </c>
      <c r="K6744">
        <v>9.4E-2</v>
      </c>
      <c r="L6744">
        <v>22</v>
      </c>
      <c r="M6744">
        <v>12</v>
      </c>
      <c r="N6744">
        <v>5</v>
      </c>
      <c r="O6744">
        <v>0.85599999999999998</v>
      </c>
      <c r="P6744">
        <v>0.109723771</v>
      </c>
      <c r="Q6744">
        <v>0.121</v>
      </c>
    </row>
    <row r="6745" spans="1:17" x14ac:dyDescent="0.2">
      <c r="A6745" s="30" t="str">
        <f>IF(C6745&amp;G6745&amp;D6745&lt;&gt;'Funnel setup'!$K$3&amp;'Funnel setup'!$K$4&amp;'Funnel setup'!$K$5,".",IF(A6744=".",1,A6744+1))</f>
        <v>.</v>
      </c>
      <c r="B6745" s="431" t="str">
        <f t="shared" si="105"/>
        <v>Varicose VeinCCG of GP PracticeNHS GREENWICH CCG (08A)EQ-5D Index</v>
      </c>
      <c r="C6745" t="s">
        <v>17</v>
      </c>
      <c r="D6745" t="s">
        <v>87</v>
      </c>
      <c r="E6745" t="s">
        <v>489</v>
      </c>
      <c r="F6745" t="s">
        <v>490</v>
      </c>
      <c r="G6745" t="s">
        <v>52</v>
      </c>
      <c r="H6745">
        <v>33</v>
      </c>
      <c r="I6745">
        <v>0.67700000000000005</v>
      </c>
      <c r="J6745">
        <v>0.74199999999999999</v>
      </c>
      <c r="K6745">
        <v>6.5000000000000002E-2</v>
      </c>
      <c r="L6745">
        <v>18</v>
      </c>
      <c r="M6745">
        <v>6</v>
      </c>
      <c r="N6745">
        <v>9</v>
      </c>
      <c r="O6745">
        <v>0.78700000000000003</v>
      </c>
      <c r="P6745">
        <v>4.0344722E-2</v>
      </c>
      <c r="Q6745">
        <v>0.223</v>
      </c>
    </row>
    <row r="6746" spans="1:17" x14ac:dyDescent="0.2">
      <c r="A6746" s="30" t="str">
        <f>IF(C6746&amp;G6746&amp;D6746&lt;&gt;'Funnel setup'!$K$3&amp;'Funnel setup'!$K$4&amp;'Funnel setup'!$K$5,".",IF(A6745=".",1,A6745+1))</f>
        <v>.</v>
      </c>
      <c r="B6746" s="431" t="str">
        <f t="shared" si="105"/>
        <v>Varicose VeinCCG of GP PracticeNHS GUILDFORD AND WAVERLEY CCG (09N)EQ-5D Index</v>
      </c>
      <c r="C6746" t="s">
        <v>17</v>
      </c>
      <c r="D6746" t="s">
        <v>87</v>
      </c>
      <c r="E6746" t="s">
        <v>911</v>
      </c>
      <c r="F6746" t="s">
        <v>912</v>
      </c>
      <c r="G6746" t="s">
        <v>52</v>
      </c>
      <c r="H6746">
        <v>11</v>
      </c>
      <c r="I6746">
        <v>0.73599999999999999</v>
      </c>
      <c r="J6746">
        <v>0.872</v>
      </c>
      <c r="K6746">
        <v>0.13600000000000001</v>
      </c>
      <c r="L6746">
        <v>6</v>
      </c>
      <c r="M6746">
        <v>2</v>
      </c>
      <c r="N6746">
        <v>3</v>
      </c>
      <c r="O6746" t="s">
        <v>53</v>
      </c>
      <c r="P6746" t="s">
        <v>53</v>
      </c>
      <c r="Q6746" t="s">
        <v>53</v>
      </c>
    </row>
    <row r="6747" spans="1:17" x14ac:dyDescent="0.2">
      <c r="A6747" s="30" t="str">
        <f>IF(C6747&amp;G6747&amp;D6747&lt;&gt;'Funnel setup'!$K$3&amp;'Funnel setup'!$K$4&amp;'Funnel setup'!$K$5,".",IF(A6746=".",1,A6746+1))</f>
        <v>.</v>
      </c>
      <c r="B6747" s="431" t="str">
        <f t="shared" si="105"/>
        <v>Varicose VeinCCG of GP PracticeNHS HALTON CCG (01F)EQ-5D Index</v>
      </c>
      <c r="C6747" t="s">
        <v>17</v>
      </c>
      <c r="D6747" t="s">
        <v>87</v>
      </c>
      <c r="E6747" t="s">
        <v>914</v>
      </c>
      <c r="F6747" t="s">
        <v>915</v>
      </c>
      <c r="G6747" t="s">
        <v>52</v>
      </c>
      <c r="H6747">
        <v>11</v>
      </c>
      <c r="I6747">
        <v>0.78800000000000003</v>
      </c>
      <c r="J6747">
        <v>0.81599999999999995</v>
      </c>
      <c r="K6747">
        <v>2.7E-2</v>
      </c>
      <c r="L6747">
        <v>5</v>
      </c>
      <c r="M6747">
        <v>3</v>
      </c>
      <c r="N6747">
        <v>3</v>
      </c>
      <c r="O6747" t="s">
        <v>53</v>
      </c>
      <c r="P6747" t="s">
        <v>53</v>
      </c>
      <c r="Q6747" t="s">
        <v>53</v>
      </c>
    </row>
    <row r="6748" spans="1:17" x14ac:dyDescent="0.2">
      <c r="A6748" s="30" t="str">
        <f>IF(C6748&amp;G6748&amp;D6748&lt;&gt;'Funnel setup'!$K$3&amp;'Funnel setup'!$K$4&amp;'Funnel setup'!$K$5,".",IF(A6747=".",1,A6747+1))</f>
        <v>.</v>
      </c>
      <c r="B6748" s="431" t="str">
        <f t="shared" si="105"/>
        <v>Varicose VeinCCG of GP PracticeNHS HAMBLETON, RICHMONDSHIRE AND WHITBY CCG (03D)EQ-5D Index</v>
      </c>
      <c r="C6748" t="s">
        <v>17</v>
      </c>
      <c r="D6748" t="s">
        <v>87</v>
      </c>
      <c r="E6748" t="s">
        <v>917</v>
      </c>
      <c r="F6748" t="s">
        <v>918</v>
      </c>
      <c r="G6748" t="s">
        <v>52</v>
      </c>
      <c r="H6748">
        <v>15</v>
      </c>
      <c r="I6748">
        <v>0.83399999999999996</v>
      </c>
      <c r="J6748">
        <v>0.88300000000000001</v>
      </c>
      <c r="K6748">
        <v>4.9000000000000002E-2</v>
      </c>
      <c r="L6748">
        <v>9</v>
      </c>
      <c r="M6748">
        <v>4</v>
      </c>
      <c r="N6748">
        <v>2</v>
      </c>
      <c r="O6748" t="s">
        <v>53</v>
      </c>
      <c r="P6748" t="s">
        <v>53</v>
      </c>
      <c r="Q6748" t="s">
        <v>53</v>
      </c>
    </row>
    <row r="6749" spans="1:17" x14ac:dyDescent="0.2">
      <c r="A6749" s="30" t="str">
        <f>IF(C6749&amp;G6749&amp;D6749&lt;&gt;'Funnel setup'!$K$3&amp;'Funnel setup'!$K$4&amp;'Funnel setup'!$K$5,".",IF(A6748=".",1,A6748+1))</f>
        <v>.</v>
      </c>
      <c r="B6749" s="431" t="str">
        <f t="shared" si="105"/>
        <v>Varicose VeinCCG of GP PracticeNHS HAMMERSMITH AND FULHAM CCG (08C)EQ-5D Index</v>
      </c>
      <c r="C6749" t="s">
        <v>17</v>
      </c>
      <c r="D6749" t="s">
        <v>87</v>
      </c>
      <c r="E6749" t="s">
        <v>920</v>
      </c>
      <c r="F6749" t="s">
        <v>921</v>
      </c>
      <c r="G6749" t="s">
        <v>52</v>
      </c>
      <c r="H6749">
        <v>30</v>
      </c>
      <c r="I6749">
        <v>0.75600000000000001</v>
      </c>
      <c r="J6749">
        <v>0.78100000000000003</v>
      </c>
      <c r="K6749">
        <v>2.5000000000000001E-2</v>
      </c>
      <c r="L6749">
        <v>10</v>
      </c>
      <c r="M6749">
        <v>14</v>
      </c>
      <c r="N6749">
        <v>6</v>
      </c>
      <c r="O6749">
        <v>0.79800000000000004</v>
      </c>
      <c r="P6749">
        <v>5.1592008000000002E-2</v>
      </c>
      <c r="Q6749">
        <v>0.20899999999999999</v>
      </c>
    </row>
    <row r="6750" spans="1:17" x14ac:dyDescent="0.2">
      <c r="A6750" s="30" t="str">
        <f>IF(C6750&amp;G6750&amp;D6750&lt;&gt;'Funnel setup'!$K$3&amp;'Funnel setup'!$K$4&amp;'Funnel setup'!$K$5,".",IF(A6749=".",1,A6749+1))</f>
        <v>.</v>
      </c>
      <c r="B6750" s="431" t="str">
        <f t="shared" si="105"/>
        <v>Varicose VeinCCG of GP PracticeNHS HARDWICK CCG (03Y)EQ-5D Index</v>
      </c>
      <c r="C6750" t="s">
        <v>17</v>
      </c>
      <c r="D6750" t="s">
        <v>87</v>
      </c>
      <c r="E6750" t="s">
        <v>923</v>
      </c>
      <c r="F6750" t="s">
        <v>924</v>
      </c>
      <c r="G6750" t="s">
        <v>52</v>
      </c>
      <c r="H6750">
        <v>13</v>
      </c>
      <c r="I6750">
        <v>0.68899999999999995</v>
      </c>
      <c r="J6750">
        <v>0.73599999999999999</v>
      </c>
      <c r="K6750">
        <v>4.7E-2</v>
      </c>
      <c r="L6750">
        <v>6</v>
      </c>
      <c r="M6750">
        <v>5</v>
      </c>
      <c r="N6750">
        <v>2</v>
      </c>
      <c r="O6750" t="s">
        <v>53</v>
      </c>
      <c r="P6750" t="s">
        <v>53</v>
      </c>
      <c r="Q6750" t="s">
        <v>53</v>
      </c>
    </row>
    <row r="6751" spans="1:17" x14ac:dyDescent="0.2">
      <c r="A6751" s="30" t="str">
        <f>IF(C6751&amp;G6751&amp;D6751&lt;&gt;'Funnel setup'!$K$3&amp;'Funnel setup'!$K$4&amp;'Funnel setup'!$K$5,".",IF(A6750=".",1,A6750+1))</f>
        <v>.</v>
      </c>
      <c r="B6751" s="431" t="str">
        <f t="shared" si="105"/>
        <v>Varicose VeinCCG of GP PracticeNHS HARINGEY CCG (08D)EQ-5D Index</v>
      </c>
      <c r="C6751" t="s">
        <v>17</v>
      </c>
      <c r="D6751" t="s">
        <v>87</v>
      </c>
      <c r="E6751" t="s">
        <v>926</v>
      </c>
      <c r="F6751" t="s">
        <v>927</v>
      </c>
      <c r="G6751" t="s">
        <v>52</v>
      </c>
      <c r="H6751">
        <v>6</v>
      </c>
      <c r="I6751">
        <v>0.55700000000000005</v>
      </c>
      <c r="J6751">
        <v>0.59699999999999998</v>
      </c>
      <c r="K6751">
        <v>0.04</v>
      </c>
      <c r="L6751">
        <v>3</v>
      </c>
      <c r="M6751">
        <v>1</v>
      </c>
      <c r="N6751">
        <v>2</v>
      </c>
      <c r="O6751" t="s">
        <v>53</v>
      </c>
      <c r="P6751" t="s">
        <v>53</v>
      </c>
      <c r="Q6751" t="s">
        <v>53</v>
      </c>
    </row>
    <row r="6752" spans="1:17" x14ac:dyDescent="0.2">
      <c r="A6752" s="30" t="str">
        <f>IF(C6752&amp;G6752&amp;D6752&lt;&gt;'Funnel setup'!$K$3&amp;'Funnel setup'!$K$4&amp;'Funnel setup'!$K$5,".",IF(A6751=".",1,A6751+1))</f>
        <v>.</v>
      </c>
      <c r="B6752" s="431" t="str">
        <f t="shared" si="105"/>
        <v>Varicose VeinCCG of GP PracticeNHS HARROGATE AND RURAL DISTRICT CCG (03E)EQ-5D Index</v>
      </c>
      <c r="C6752" t="s">
        <v>17</v>
      </c>
      <c r="D6752" t="s">
        <v>87</v>
      </c>
      <c r="E6752" t="s">
        <v>929</v>
      </c>
      <c r="F6752" t="s">
        <v>930</v>
      </c>
      <c r="G6752" t="s">
        <v>52</v>
      </c>
      <c r="H6752">
        <v>19</v>
      </c>
      <c r="I6752">
        <v>0.77800000000000002</v>
      </c>
      <c r="J6752">
        <v>0.875</v>
      </c>
      <c r="K6752">
        <v>9.7000000000000003E-2</v>
      </c>
      <c r="L6752">
        <v>12</v>
      </c>
      <c r="M6752">
        <v>5</v>
      </c>
      <c r="N6752">
        <v>2</v>
      </c>
      <c r="O6752" t="s">
        <v>53</v>
      </c>
      <c r="P6752" t="s">
        <v>53</v>
      </c>
      <c r="Q6752" t="s">
        <v>53</v>
      </c>
    </row>
    <row r="6753" spans="1:17" x14ac:dyDescent="0.2">
      <c r="A6753" s="30" t="str">
        <f>IF(C6753&amp;G6753&amp;D6753&lt;&gt;'Funnel setup'!$K$3&amp;'Funnel setup'!$K$4&amp;'Funnel setup'!$K$5,".",IF(A6752=".",1,A6752+1))</f>
        <v>.</v>
      </c>
      <c r="B6753" s="431" t="str">
        <f t="shared" si="105"/>
        <v>Varicose VeinCCG of GP PracticeNHS HARROW CCG (08E)EQ-5D Index</v>
      </c>
      <c r="C6753" t="s">
        <v>17</v>
      </c>
      <c r="D6753" t="s">
        <v>87</v>
      </c>
      <c r="E6753" t="s">
        <v>492</v>
      </c>
      <c r="F6753" t="s">
        <v>493</v>
      </c>
      <c r="G6753" t="s">
        <v>52</v>
      </c>
      <c r="H6753">
        <v>19</v>
      </c>
      <c r="I6753">
        <v>0.70699999999999996</v>
      </c>
      <c r="J6753">
        <v>0.75800000000000001</v>
      </c>
      <c r="K6753">
        <v>5.0999999999999997E-2</v>
      </c>
      <c r="L6753">
        <v>9</v>
      </c>
      <c r="M6753">
        <v>6</v>
      </c>
      <c r="N6753">
        <v>4</v>
      </c>
      <c r="O6753" t="s">
        <v>53</v>
      </c>
      <c r="P6753" t="s">
        <v>53</v>
      </c>
      <c r="Q6753" t="s">
        <v>53</v>
      </c>
    </row>
    <row r="6754" spans="1:17" x14ac:dyDescent="0.2">
      <c r="A6754" s="30" t="str">
        <f>IF(C6754&amp;G6754&amp;D6754&lt;&gt;'Funnel setup'!$K$3&amp;'Funnel setup'!$K$4&amp;'Funnel setup'!$K$5,".",IF(A6753=".",1,A6753+1))</f>
        <v>.</v>
      </c>
      <c r="B6754" s="431" t="str">
        <f t="shared" si="105"/>
        <v>Varicose VeinCCG of GP PracticeNHS HARTLEPOOL AND STOCKTON-ON-TEES CCG (00K)EQ-5D Index</v>
      </c>
      <c r="C6754" t="s">
        <v>17</v>
      </c>
      <c r="D6754" t="s">
        <v>87</v>
      </c>
      <c r="E6754" t="s">
        <v>495</v>
      </c>
      <c r="F6754" t="s">
        <v>496</v>
      </c>
      <c r="G6754" t="s">
        <v>52</v>
      </c>
      <c r="H6754">
        <v>42</v>
      </c>
      <c r="I6754">
        <v>0.72</v>
      </c>
      <c r="J6754">
        <v>0.80500000000000005</v>
      </c>
      <c r="K6754">
        <v>8.5000000000000006E-2</v>
      </c>
      <c r="L6754">
        <v>24</v>
      </c>
      <c r="M6754">
        <v>11</v>
      </c>
      <c r="N6754">
        <v>7</v>
      </c>
      <c r="O6754">
        <v>0.83699999999999997</v>
      </c>
      <c r="P6754">
        <v>9.0071856000000006E-2</v>
      </c>
      <c r="Q6754">
        <v>0.151</v>
      </c>
    </row>
    <row r="6755" spans="1:17" x14ac:dyDescent="0.2">
      <c r="A6755" s="30" t="str">
        <f>IF(C6755&amp;G6755&amp;D6755&lt;&gt;'Funnel setup'!$K$3&amp;'Funnel setup'!$K$4&amp;'Funnel setup'!$K$5,".",IF(A6754=".",1,A6754+1))</f>
        <v>.</v>
      </c>
      <c r="B6755" s="431" t="str">
        <f t="shared" si="105"/>
        <v>Varicose VeinCCG of GP PracticeNHS HASTINGS AND ROTHER CCG (09P)EQ-5D Index</v>
      </c>
      <c r="C6755" t="s">
        <v>17</v>
      </c>
      <c r="D6755" t="s">
        <v>87</v>
      </c>
      <c r="E6755" t="s">
        <v>498</v>
      </c>
      <c r="F6755" t="s">
        <v>499</v>
      </c>
      <c r="G6755" t="s">
        <v>52</v>
      </c>
      <c r="H6755" t="s">
        <v>53</v>
      </c>
      <c r="I6755" t="s">
        <v>53</v>
      </c>
      <c r="J6755" t="s">
        <v>53</v>
      </c>
      <c r="K6755" t="s">
        <v>53</v>
      </c>
      <c r="L6755" t="s">
        <v>53</v>
      </c>
      <c r="M6755" t="s">
        <v>53</v>
      </c>
      <c r="N6755" t="s">
        <v>53</v>
      </c>
      <c r="O6755" t="s">
        <v>53</v>
      </c>
      <c r="P6755" t="s">
        <v>53</v>
      </c>
      <c r="Q6755" t="s">
        <v>53</v>
      </c>
    </row>
    <row r="6756" spans="1:17" x14ac:dyDescent="0.2">
      <c r="A6756" s="30" t="str">
        <f>IF(C6756&amp;G6756&amp;D6756&lt;&gt;'Funnel setup'!$K$3&amp;'Funnel setup'!$K$4&amp;'Funnel setup'!$K$5,".",IF(A6755=".",1,A6755+1))</f>
        <v>.</v>
      </c>
      <c r="B6756" s="431" t="str">
        <f t="shared" si="105"/>
        <v>Varicose VeinCCG of GP PracticeNHS HAVERING CCG (08F)EQ-5D Index</v>
      </c>
      <c r="C6756" t="s">
        <v>17</v>
      </c>
      <c r="D6756" t="s">
        <v>87</v>
      </c>
      <c r="E6756" t="s">
        <v>501</v>
      </c>
      <c r="F6756" t="s">
        <v>502</v>
      </c>
      <c r="G6756" t="s">
        <v>52</v>
      </c>
      <c r="H6756">
        <v>25</v>
      </c>
      <c r="I6756">
        <v>0.69299999999999995</v>
      </c>
      <c r="J6756">
        <v>0.82099999999999995</v>
      </c>
      <c r="K6756">
        <v>0.128</v>
      </c>
      <c r="L6756">
        <v>13</v>
      </c>
      <c r="M6756">
        <v>8</v>
      </c>
      <c r="N6756">
        <v>4</v>
      </c>
      <c r="O6756" t="s">
        <v>53</v>
      </c>
      <c r="P6756" t="s">
        <v>53</v>
      </c>
      <c r="Q6756" t="s">
        <v>53</v>
      </c>
    </row>
    <row r="6757" spans="1:17" x14ac:dyDescent="0.2">
      <c r="A6757" s="30" t="str">
        <f>IF(C6757&amp;G6757&amp;D6757&lt;&gt;'Funnel setup'!$K$3&amp;'Funnel setup'!$K$4&amp;'Funnel setup'!$K$5,".",IF(A6756=".",1,A6756+1))</f>
        <v>.</v>
      </c>
      <c r="B6757" s="431" t="str">
        <f t="shared" si="105"/>
        <v>Varicose VeinCCG of GP PracticeNHS HEREFORDSHIRE CCG (05F)EQ-5D Index</v>
      </c>
      <c r="C6757" t="s">
        <v>17</v>
      </c>
      <c r="D6757" t="s">
        <v>87</v>
      </c>
      <c r="E6757" t="s">
        <v>504</v>
      </c>
      <c r="F6757" t="s">
        <v>505</v>
      </c>
      <c r="G6757" t="s">
        <v>52</v>
      </c>
      <c r="H6757">
        <v>38</v>
      </c>
      <c r="I6757">
        <v>0.78600000000000003</v>
      </c>
      <c r="J6757">
        <v>0.93</v>
      </c>
      <c r="K6757">
        <v>0.14299999999999999</v>
      </c>
      <c r="L6757">
        <v>24</v>
      </c>
      <c r="M6757">
        <v>11</v>
      </c>
      <c r="N6757">
        <v>3</v>
      </c>
      <c r="O6757">
        <v>0.90200000000000002</v>
      </c>
      <c r="P6757">
        <v>0.154797452</v>
      </c>
      <c r="Q6757">
        <v>0.14599999999999999</v>
      </c>
    </row>
    <row r="6758" spans="1:17" x14ac:dyDescent="0.2">
      <c r="A6758" s="30" t="str">
        <f>IF(C6758&amp;G6758&amp;D6758&lt;&gt;'Funnel setup'!$K$3&amp;'Funnel setup'!$K$4&amp;'Funnel setup'!$K$5,".",IF(A6757=".",1,A6757+1))</f>
        <v>.</v>
      </c>
      <c r="B6758" s="431" t="str">
        <f t="shared" si="105"/>
        <v>Varicose VeinCCG of GP PracticeNHS HERTS VALLEYS CCG (06N)EQ-5D Index</v>
      </c>
      <c r="C6758" t="s">
        <v>17</v>
      </c>
      <c r="D6758" t="s">
        <v>87</v>
      </c>
      <c r="E6758" t="s">
        <v>507</v>
      </c>
      <c r="F6758" t="s">
        <v>508</v>
      </c>
      <c r="G6758" t="s">
        <v>52</v>
      </c>
      <c r="H6758">
        <v>95</v>
      </c>
      <c r="I6758">
        <v>0.73899999999999999</v>
      </c>
      <c r="J6758">
        <v>0.83</v>
      </c>
      <c r="K6758">
        <v>9.0999999999999998E-2</v>
      </c>
      <c r="L6758">
        <v>51</v>
      </c>
      <c r="M6758">
        <v>26</v>
      </c>
      <c r="N6758">
        <v>18</v>
      </c>
      <c r="O6758">
        <v>0.81599999999999995</v>
      </c>
      <c r="P6758">
        <v>6.9018623000000001E-2</v>
      </c>
      <c r="Q6758">
        <v>0.188</v>
      </c>
    </row>
    <row r="6759" spans="1:17" x14ac:dyDescent="0.2">
      <c r="A6759" s="30" t="str">
        <f>IF(C6759&amp;G6759&amp;D6759&lt;&gt;'Funnel setup'!$K$3&amp;'Funnel setup'!$K$4&amp;'Funnel setup'!$K$5,".",IF(A6758=".",1,A6758+1))</f>
        <v>.</v>
      </c>
      <c r="B6759" s="431" t="str">
        <f t="shared" si="105"/>
        <v>Varicose VeinCCG of GP PracticeNHS HEYWOOD, MIDDLETON AND ROCHDALE CCG (01D)EQ-5D Index</v>
      </c>
      <c r="C6759" t="s">
        <v>17</v>
      </c>
      <c r="D6759" t="s">
        <v>87</v>
      </c>
      <c r="E6759" t="s">
        <v>510</v>
      </c>
      <c r="F6759" t="s">
        <v>511</v>
      </c>
      <c r="G6759" t="s">
        <v>52</v>
      </c>
      <c r="H6759" t="s">
        <v>53</v>
      </c>
      <c r="I6759" t="s">
        <v>53</v>
      </c>
      <c r="J6759" t="s">
        <v>53</v>
      </c>
      <c r="K6759" t="s">
        <v>53</v>
      </c>
      <c r="L6759" t="s">
        <v>53</v>
      </c>
      <c r="M6759" t="s">
        <v>53</v>
      </c>
      <c r="N6759" t="s">
        <v>53</v>
      </c>
      <c r="O6759" t="s">
        <v>53</v>
      </c>
      <c r="P6759" t="s">
        <v>53</v>
      </c>
      <c r="Q6759" t="s">
        <v>53</v>
      </c>
    </row>
    <row r="6760" spans="1:17" x14ac:dyDescent="0.2">
      <c r="A6760" s="30" t="str">
        <f>IF(C6760&amp;G6760&amp;D6760&lt;&gt;'Funnel setup'!$K$3&amp;'Funnel setup'!$K$4&amp;'Funnel setup'!$K$5,".",IF(A6759=".",1,A6759+1))</f>
        <v>.</v>
      </c>
      <c r="B6760" s="431" t="str">
        <f t="shared" si="105"/>
        <v>Varicose VeinCCG of GP PracticeNHS HIGH WEALD LEWES HAVENS CCG (99K)EQ-5D Index</v>
      </c>
      <c r="C6760" t="s">
        <v>17</v>
      </c>
      <c r="D6760" t="s">
        <v>87</v>
      </c>
      <c r="E6760" t="s">
        <v>513</v>
      </c>
      <c r="F6760" t="s">
        <v>514</v>
      </c>
      <c r="G6760" t="s">
        <v>52</v>
      </c>
      <c r="H6760">
        <v>15</v>
      </c>
      <c r="I6760">
        <v>0.76</v>
      </c>
      <c r="J6760">
        <v>0.84399999999999997</v>
      </c>
      <c r="K6760">
        <v>8.4000000000000005E-2</v>
      </c>
      <c r="L6760">
        <v>7</v>
      </c>
      <c r="M6760">
        <v>6</v>
      </c>
      <c r="N6760">
        <v>2</v>
      </c>
      <c r="O6760" t="s">
        <v>53</v>
      </c>
      <c r="P6760" t="s">
        <v>53</v>
      </c>
      <c r="Q6760" t="s">
        <v>53</v>
      </c>
    </row>
    <row r="6761" spans="1:17" x14ac:dyDescent="0.2">
      <c r="A6761" s="30" t="str">
        <f>IF(C6761&amp;G6761&amp;D6761&lt;&gt;'Funnel setup'!$K$3&amp;'Funnel setup'!$K$4&amp;'Funnel setup'!$K$5,".",IF(A6760=".",1,A6760+1))</f>
        <v>.</v>
      </c>
      <c r="B6761" s="431" t="str">
        <f t="shared" si="105"/>
        <v>Varicose VeinCCG of GP PracticeNHS HILLINGDON CCG (08G)EQ-5D Index</v>
      </c>
      <c r="C6761" t="s">
        <v>17</v>
      </c>
      <c r="D6761" t="s">
        <v>87</v>
      </c>
      <c r="E6761" t="s">
        <v>516</v>
      </c>
      <c r="F6761" t="s">
        <v>517</v>
      </c>
      <c r="G6761" t="s">
        <v>52</v>
      </c>
      <c r="H6761">
        <v>13</v>
      </c>
      <c r="I6761">
        <v>0.80700000000000005</v>
      </c>
      <c r="J6761">
        <v>0.80600000000000005</v>
      </c>
      <c r="K6761">
        <v>-2E-3</v>
      </c>
      <c r="L6761">
        <v>7</v>
      </c>
      <c r="M6761">
        <v>3</v>
      </c>
      <c r="N6761">
        <v>3</v>
      </c>
      <c r="O6761" t="s">
        <v>53</v>
      </c>
      <c r="P6761" t="s">
        <v>53</v>
      </c>
      <c r="Q6761" t="s">
        <v>53</v>
      </c>
    </row>
    <row r="6762" spans="1:17" x14ac:dyDescent="0.2">
      <c r="A6762" s="30" t="str">
        <f>IF(C6762&amp;G6762&amp;D6762&lt;&gt;'Funnel setup'!$K$3&amp;'Funnel setup'!$K$4&amp;'Funnel setup'!$K$5,".",IF(A6761=".",1,A6761+1))</f>
        <v>.</v>
      </c>
      <c r="B6762" s="431" t="str">
        <f t="shared" si="105"/>
        <v>Varicose VeinCCG of GP PracticeNHS HORSHAM AND MID SUSSEX CCG (09X)EQ-5D Index</v>
      </c>
      <c r="C6762" t="s">
        <v>17</v>
      </c>
      <c r="D6762" t="s">
        <v>87</v>
      </c>
      <c r="E6762" t="s">
        <v>519</v>
      </c>
      <c r="F6762" t="s">
        <v>520</v>
      </c>
      <c r="G6762" t="s">
        <v>52</v>
      </c>
      <c r="H6762">
        <v>15</v>
      </c>
      <c r="I6762">
        <v>0.76600000000000001</v>
      </c>
      <c r="J6762">
        <v>0.78900000000000003</v>
      </c>
      <c r="K6762">
        <v>2.3E-2</v>
      </c>
      <c r="L6762">
        <v>7</v>
      </c>
      <c r="M6762">
        <v>5</v>
      </c>
      <c r="N6762">
        <v>3</v>
      </c>
      <c r="O6762" t="s">
        <v>53</v>
      </c>
      <c r="P6762" t="s">
        <v>53</v>
      </c>
      <c r="Q6762" t="s">
        <v>53</v>
      </c>
    </row>
    <row r="6763" spans="1:17" x14ac:dyDescent="0.2">
      <c r="A6763" s="30" t="str">
        <f>IF(C6763&amp;G6763&amp;D6763&lt;&gt;'Funnel setup'!$K$3&amp;'Funnel setup'!$K$4&amp;'Funnel setup'!$K$5,".",IF(A6762=".",1,A6762+1))</f>
        <v>.</v>
      </c>
      <c r="B6763" s="431" t="str">
        <f t="shared" si="105"/>
        <v>Varicose VeinCCG of GP PracticeNHS HOUNSLOW CCG (07Y)EQ-5D Index</v>
      </c>
      <c r="C6763" t="s">
        <v>17</v>
      </c>
      <c r="D6763" t="s">
        <v>87</v>
      </c>
      <c r="E6763" t="s">
        <v>522</v>
      </c>
      <c r="F6763" t="s">
        <v>523</v>
      </c>
      <c r="G6763" t="s">
        <v>52</v>
      </c>
      <c r="H6763">
        <v>41</v>
      </c>
      <c r="I6763">
        <v>0.752</v>
      </c>
      <c r="J6763">
        <v>0.74299999999999999</v>
      </c>
      <c r="K6763">
        <v>-8.0000000000000002E-3</v>
      </c>
      <c r="L6763">
        <v>16</v>
      </c>
      <c r="M6763">
        <v>8</v>
      </c>
      <c r="N6763">
        <v>17</v>
      </c>
      <c r="O6763">
        <v>0.746</v>
      </c>
      <c r="P6763">
        <v>-7.9454500000000002E-4</v>
      </c>
      <c r="Q6763">
        <v>0.218</v>
      </c>
    </row>
    <row r="6764" spans="1:17" x14ac:dyDescent="0.2">
      <c r="A6764" s="30" t="str">
        <f>IF(C6764&amp;G6764&amp;D6764&lt;&gt;'Funnel setup'!$K$3&amp;'Funnel setup'!$K$4&amp;'Funnel setup'!$K$5,".",IF(A6763=".",1,A6763+1))</f>
        <v>.</v>
      </c>
      <c r="B6764" s="431" t="str">
        <f t="shared" si="105"/>
        <v>Varicose VeinCCG of GP PracticeNHS HULL CCG (03F)EQ-5D Index</v>
      </c>
      <c r="C6764" t="s">
        <v>17</v>
      </c>
      <c r="D6764" t="s">
        <v>87</v>
      </c>
      <c r="E6764" t="s">
        <v>525</v>
      </c>
      <c r="F6764" t="s">
        <v>526</v>
      </c>
      <c r="G6764" t="s">
        <v>52</v>
      </c>
      <c r="H6764">
        <v>48</v>
      </c>
      <c r="I6764">
        <v>0.77</v>
      </c>
      <c r="J6764">
        <v>0.88100000000000001</v>
      </c>
      <c r="K6764">
        <v>0.112</v>
      </c>
      <c r="L6764">
        <v>29</v>
      </c>
      <c r="M6764">
        <v>13</v>
      </c>
      <c r="N6764">
        <v>6</v>
      </c>
      <c r="O6764">
        <v>0.86899999999999999</v>
      </c>
      <c r="P6764">
        <v>0.122023145</v>
      </c>
      <c r="Q6764">
        <v>0.214</v>
      </c>
    </row>
    <row r="6765" spans="1:17" x14ac:dyDescent="0.2">
      <c r="A6765" s="30" t="str">
        <f>IF(C6765&amp;G6765&amp;D6765&lt;&gt;'Funnel setup'!$K$3&amp;'Funnel setup'!$K$4&amp;'Funnel setup'!$K$5,".",IF(A6764=".",1,A6764+1))</f>
        <v>.</v>
      </c>
      <c r="B6765" s="431" t="str">
        <f t="shared" si="105"/>
        <v>Varicose VeinCCG of GP PracticeNHS IPSWICH AND EAST SUFFOLK CCG (06L)EQ-5D Index</v>
      </c>
      <c r="C6765" t="s">
        <v>17</v>
      </c>
      <c r="D6765" t="s">
        <v>87</v>
      </c>
      <c r="E6765" t="s">
        <v>528</v>
      </c>
      <c r="F6765" t="s">
        <v>529</v>
      </c>
      <c r="G6765" t="s">
        <v>52</v>
      </c>
      <c r="H6765">
        <v>106</v>
      </c>
      <c r="I6765">
        <v>0.749</v>
      </c>
      <c r="J6765">
        <v>0.84099999999999997</v>
      </c>
      <c r="K6765">
        <v>9.1999999999999998E-2</v>
      </c>
      <c r="L6765">
        <v>56</v>
      </c>
      <c r="M6765">
        <v>32</v>
      </c>
      <c r="N6765">
        <v>18</v>
      </c>
      <c r="O6765">
        <v>0.83199999999999996</v>
      </c>
      <c r="P6765">
        <v>8.5067757999999993E-2</v>
      </c>
      <c r="Q6765">
        <v>0.17399999999999999</v>
      </c>
    </row>
    <row r="6766" spans="1:17" x14ac:dyDescent="0.2">
      <c r="A6766" s="30" t="str">
        <f>IF(C6766&amp;G6766&amp;D6766&lt;&gt;'Funnel setup'!$K$3&amp;'Funnel setup'!$K$4&amp;'Funnel setup'!$K$5,".",IF(A6765=".",1,A6765+1))</f>
        <v>.</v>
      </c>
      <c r="B6766" s="431" t="str">
        <f t="shared" si="105"/>
        <v>Varicose VeinCCG of GP PracticeNHS ISLINGTON CCG (08H)EQ-5D Index</v>
      </c>
      <c r="C6766" t="s">
        <v>17</v>
      </c>
      <c r="D6766" t="s">
        <v>87</v>
      </c>
      <c r="E6766" t="s">
        <v>534</v>
      </c>
      <c r="F6766" t="s">
        <v>535</v>
      </c>
      <c r="G6766" t="s">
        <v>52</v>
      </c>
      <c r="H6766">
        <v>26</v>
      </c>
      <c r="I6766">
        <v>0.65800000000000003</v>
      </c>
      <c r="J6766">
        <v>0.745</v>
      </c>
      <c r="K6766">
        <v>8.6999999999999994E-2</v>
      </c>
      <c r="L6766">
        <v>15</v>
      </c>
      <c r="M6766">
        <v>8</v>
      </c>
      <c r="N6766">
        <v>3</v>
      </c>
      <c r="O6766" t="s">
        <v>53</v>
      </c>
      <c r="P6766" t="s">
        <v>53</v>
      </c>
      <c r="Q6766" t="s">
        <v>53</v>
      </c>
    </row>
    <row r="6767" spans="1:17" x14ac:dyDescent="0.2">
      <c r="A6767" s="30" t="str">
        <f>IF(C6767&amp;G6767&amp;D6767&lt;&gt;'Funnel setup'!$K$3&amp;'Funnel setup'!$K$4&amp;'Funnel setup'!$K$5,".",IF(A6766=".",1,A6766+1))</f>
        <v>.</v>
      </c>
      <c r="B6767" s="431" t="str">
        <f t="shared" si="105"/>
        <v>Varicose VeinCCG of GP PracticeNHS KERNOW CCG (11N)EQ-5D Index</v>
      </c>
      <c r="C6767" t="s">
        <v>17</v>
      </c>
      <c r="D6767" t="s">
        <v>87</v>
      </c>
      <c r="E6767" t="s">
        <v>537</v>
      </c>
      <c r="F6767" t="s">
        <v>538</v>
      </c>
      <c r="G6767" t="s">
        <v>52</v>
      </c>
      <c r="H6767">
        <v>104</v>
      </c>
      <c r="I6767">
        <v>0.747</v>
      </c>
      <c r="J6767">
        <v>0.81299999999999994</v>
      </c>
      <c r="K6767">
        <v>6.6000000000000003E-2</v>
      </c>
      <c r="L6767">
        <v>47</v>
      </c>
      <c r="M6767">
        <v>35</v>
      </c>
      <c r="N6767">
        <v>22</v>
      </c>
      <c r="O6767">
        <v>0.82399999999999995</v>
      </c>
      <c r="P6767">
        <v>7.7368257999999995E-2</v>
      </c>
      <c r="Q6767">
        <v>0.17100000000000001</v>
      </c>
    </row>
    <row r="6768" spans="1:17" x14ac:dyDescent="0.2">
      <c r="A6768" s="30" t="str">
        <f>IF(C6768&amp;G6768&amp;D6768&lt;&gt;'Funnel setup'!$K$3&amp;'Funnel setup'!$K$4&amp;'Funnel setup'!$K$5,".",IF(A6767=".",1,A6767+1))</f>
        <v>.</v>
      </c>
      <c r="B6768" s="431" t="str">
        <f t="shared" si="105"/>
        <v>Varicose VeinCCG of GP PracticeNHS KINGSTON CCG (08J)EQ-5D Index</v>
      </c>
      <c r="C6768" t="s">
        <v>17</v>
      </c>
      <c r="D6768" t="s">
        <v>87</v>
      </c>
      <c r="E6768" t="s">
        <v>540</v>
      </c>
      <c r="F6768" t="s">
        <v>541</v>
      </c>
      <c r="G6768" t="s">
        <v>52</v>
      </c>
      <c r="H6768" t="s">
        <v>53</v>
      </c>
      <c r="I6768" t="s">
        <v>53</v>
      </c>
      <c r="J6768" t="s">
        <v>53</v>
      </c>
      <c r="K6768" t="s">
        <v>53</v>
      </c>
      <c r="L6768" t="s">
        <v>53</v>
      </c>
      <c r="M6768" t="s">
        <v>53</v>
      </c>
      <c r="N6768" t="s">
        <v>53</v>
      </c>
      <c r="O6768" t="s">
        <v>53</v>
      </c>
      <c r="P6768" t="s">
        <v>53</v>
      </c>
      <c r="Q6768" t="s">
        <v>53</v>
      </c>
    </row>
    <row r="6769" spans="1:17" x14ac:dyDescent="0.2">
      <c r="A6769" s="30" t="str">
        <f>IF(C6769&amp;G6769&amp;D6769&lt;&gt;'Funnel setup'!$K$3&amp;'Funnel setup'!$K$4&amp;'Funnel setup'!$K$5,".",IF(A6768=".",1,A6768+1))</f>
        <v>.</v>
      </c>
      <c r="B6769" s="431" t="str">
        <f t="shared" si="105"/>
        <v>Varicose VeinCCG of GP PracticeNHS KNOWSLEY CCG (01J)EQ-5D Index</v>
      </c>
      <c r="C6769" t="s">
        <v>17</v>
      </c>
      <c r="D6769" t="s">
        <v>87</v>
      </c>
      <c r="E6769" t="s">
        <v>543</v>
      </c>
      <c r="F6769" t="s">
        <v>544</v>
      </c>
      <c r="G6769" t="s">
        <v>52</v>
      </c>
      <c r="H6769">
        <v>6</v>
      </c>
      <c r="I6769">
        <v>0.70899999999999996</v>
      </c>
      <c r="J6769">
        <v>0.754</v>
      </c>
      <c r="K6769">
        <v>4.5999999999999999E-2</v>
      </c>
      <c r="L6769">
        <v>2</v>
      </c>
      <c r="M6769">
        <v>4</v>
      </c>
      <c r="N6769">
        <v>0</v>
      </c>
      <c r="O6769" t="s">
        <v>53</v>
      </c>
      <c r="P6769" t="s">
        <v>53</v>
      </c>
      <c r="Q6769" t="s">
        <v>53</v>
      </c>
    </row>
    <row r="6770" spans="1:17" x14ac:dyDescent="0.2">
      <c r="A6770" s="30" t="str">
        <f>IF(C6770&amp;G6770&amp;D6770&lt;&gt;'Funnel setup'!$K$3&amp;'Funnel setup'!$K$4&amp;'Funnel setup'!$K$5,".",IF(A6769=".",1,A6769+1))</f>
        <v>.</v>
      </c>
      <c r="B6770" s="431" t="str">
        <f t="shared" si="105"/>
        <v>Varicose VeinCCG of GP PracticeNHS LAMBETH CCG (08K)EQ-5D Index</v>
      </c>
      <c r="C6770" t="s">
        <v>17</v>
      </c>
      <c r="D6770" t="s">
        <v>87</v>
      </c>
      <c r="E6770" t="s">
        <v>546</v>
      </c>
      <c r="F6770" t="s">
        <v>547</v>
      </c>
      <c r="G6770" t="s">
        <v>52</v>
      </c>
      <c r="H6770">
        <v>22</v>
      </c>
      <c r="I6770">
        <v>0.76900000000000002</v>
      </c>
      <c r="J6770">
        <v>0.88600000000000001</v>
      </c>
      <c r="K6770">
        <v>0.11700000000000001</v>
      </c>
      <c r="L6770">
        <v>12</v>
      </c>
      <c r="M6770">
        <v>8</v>
      </c>
      <c r="N6770">
        <v>2</v>
      </c>
      <c r="O6770" t="s">
        <v>53</v>
      </c>
      <c r="P6770" t="s">
        <v>53</v>
      </c>
      <c r="Q6770" t="s">
        <v>53</v>
      </c>
    </row>
    <row r="6771" spans="1:17" x14ac:dyDescent="0.2">
      <c r="A6771" s="30" t="str">
        <f>IF(C6771&amp;G6771&amp;D6771&lt;&gt;'Funnel setup'!$K$3&amp;'Funnel setup'!$K$4&amp;'Funnel setup'!$K$5,".",IF(A6770=".",1,A6770+1))</f>
        <v>.</v>
      </c>
      <c r="B6771" s="431" t="str">
        <f t="shared" si="105"/>
        <v>Varicose VeinCCG of GP PracticeNHS LANCASHIRE NORTH CCG (01K)EQ-5D Index</v>
      </c>
      <c r="C6771" t="s">
        <v>17</v>
      </c>
      <c r="D6771" t="s">
        <v>87</v>
      </c>
      <c r="E6771" t="s">
        <v>549</v>
      </c>
      <c r="F6771" t="s">
        <v>550</v>
      </c>
      <c r="G6771" t="s">
        <v>52</v>
      </c>
      <c r="H6771">
        <v>9</v>
      </c>
      <c r="I6771">
        <v>0.81899999999999995</v>
      </c>
      <c r="J6771">
        <v>0.86699999999999999</v>
      </c>
      <c r="K6771">
        <v>4.8000000000000001E-2</v>
      </c>
      <c r="L6771">
        <v>3</v>
      </c>
      <c r="M6771">
        <v>5</v>
      </c>
      <c r="N6771">
        <v>1</v>
      </c>
      <c r="O6771" t="s">
        <v>53</v>
      </c>
      <c r="P6771" t="s">
        <v>53</v>
      </c>
      <c r="Q6771" t="s">
        <v>53</v>
      </c>
    </row>
    <row r="6772" spans="1:17" x14ac:dyDescent="0.2">
      <c r="A6772" s="30" t="str">
        <f>IF(C6772&amp;G6772&amp;D6772&lt;&gt;'Funnel setup'!$K$3&amp;'Funnel setup'!$K$4&amp;'Funnel setup'!$K$5,".",IF(A6771=".",1,A6771+1))</f>
        <v>.</v>
      </c>
      <c r="B6772" s="431" t="str">
        <f t="shared" si="105"/>
        <v>Varicose VeinCCG of GP PracticeNHS LEEDS NORTH CCG (02V)EQ-5D Index</v>
      </c>
      <c r="C6772" t="s">
        <v>17</v>
      </c>
      <c r="D6772" t="s">
        <v>87</v>
      </c>
      <c r="E6772" t="s">
        <v>552</v>
      </c>
      <c r="F6772" t="s">
        <v>337</v>
      </c>
      <c r="G6772" t="s">
        <v>52</v>
      </c>
      <c r="H6772">
        <v>46</v>
      </c>
      <c r="I6772">
        <v>0.76400000000000001</v>
      </c>
      <c r="J6772">
        <v>0.875</v>
      </c>
      <c r="K6772">
        <v>0.111</v>
      </c>
      <c r="L6772">
        <v>25</v>
      </c>
      <c r="M6772">
        <v>14</v>
      </c>
      <c r="N6772">
        <v>7</v>
      </c>
      <c r="O6772">
        <v>0.85799999999999998</v>
      </c>
      <c r="P6772">
        <v>0.111452418</v>
      </c>
      <c r="Q6772">
        <v>0.126</v>
      </c>
    </row>
    <row r="6773" spans="1:17" x14ac:dyDescent="0.2">
      <c r="A6773" s="30" t="str">
        <f>IF(C6773&amp;G6773&amp;D6773&lt;&gt;'Funnel setup'!$K$3&amp;'Funnel setup'!$K$4&amp;'Funnel setup'!$K$5,".",IF(A6772=".",1,A6772+1))</f>
        <v>.</v>
      </c>
      <c r="B6773" s="431" t="str">
        <f t="shared" si="105"/>
        <v>Varicose VeinCCG of GP PracticeNHS LEEDS SOUTH AND EAST CCG (03G)EQ-5D Index</v>
      </c>
      <c r="C6773" t="s">
        <v>17</v>
      </c>
      <c r="D6773" t="s">
        <v>87</v>
      </c>
      <c r="E6773" t="s">
        <v>396</v>
      </c>
      <c r="F6773" t="s">
        <v>397</v>
      </c>
      <c r="G6773" t="s">
        <v>52</v>
      </c>
      <c r="H6773">
        <v>84</v>
      </c>
      <c r="I6773">
        <v>0.78300000000000003</v>
      </c>
      <c r="J6773">
        <v>0.89</v>
      </c>
      <c r="K6773">
        <v>0.107</v>
      </c>
      <c r="L6773">
        <v>52</v>
      </c>
      <c r="M6773">
        <v>21</v>
      </c>
      <c r="N6773">
        <v>11</v>
      </c>
      <c r="O6773">
        <v>0.86499999999999999</v>
      </c>
      <c r="P6773">
        <v>0.118079192</v>
      </c>
      <c r="Q6773">
        <v>0.13700000000000001</v>
      </c>
    </row>
    <row r="6774" spans="1:17" x14ac:dyDescent="0.2">
      <c r="A6774" s="30" t="str">
        <f>IF(C6774&amp;G6774&amp;D6774&lt;&gt;'Funnel setup'!$K$3&amp;'Funnel setup'!$K$4&amp;'Funnel setup'!$K$5,".",IF(A6773=".",1,A6773+1))</f>
        <v>.</v>
      </c>
      <c r="B6774" s="431" t="str">
        <f t="shared" si="105"/>
        <v>Varicose VeinCCG of GP PracticeNHS LEEDS WEST CCG (03C)EQ-5D Index</v>
      </c>
      <c r="C6774" t="s">
        <v>17</v>
      </c>
      <c r="D6774" t="s">
        <v>87</v>
      </c>
      <c r="E6774" t="s">
        <v>399</v>
      </c>
      <c r="F6774" t="s">
        <v>400</v>
      </c>
      <c r="G6774" t="s">
        <v>52</v>
      </c>
      <c r="H6774">
        <v>97</v>
      </c>
      <c r="I6774">
        <v>0.78800000000000003</v>
      </c>
      <c r="J6774">
        <v>0.86299999999999999</v>
      </c>
      <c r="K6774">
        <v>7.4999999999999997E-2</v>
      </c>
      <c r="L6774">
        <v>46</v>
      </c>
      <c r="M6774">
        <v>35</v>
      </c>
      <c r="N6774">
        <v>16</v>
      </c>
      <c r="O6774">
        <v>0.84</v>
      </c>
      <c r="P6774">
        <v>9.3182214999999999E-2</v>
      </c>
      <c r="Q6774">
        <v>0.17199999999999999</v>
      </c>
    </row>
    <row r="6775" spans="1:17" x14ac:dyDescent="0.2">
      <c r="A6775" s="30" t="str">
        <f>IF(C6775&amp;G6775&amp;D6775&lt;&gt;'Funnel setup'!$K$3&amp;'Funnel setup'!$K$4&amp;'Funnel setup'!$K$5,".",IF(A6774=".",1,A6774+1))</f>
        <v>.</v>
      </c>
      <c r="B6775" s="431" t="str">
        <f t="shared" si="105"/>
        <v>Varicose VeinCCG of GP PracticeNHS LEICESTER CITY CCG (04C)EQ-5D Index</v>
      </c>
      <c r="C6775" t="s">
        <v>17</v>
      </c>
      <c r="D6775" t="s">
        <v>87</v>
      </c>
      <c r="E6775" t="s">
        <v>554</v>
      </c>
      <c r="F6775" t="s">
        <v>555</v>
      </c>
      <c r="G6775" t="s">
        <v>52</v>
      </c>
      <c r="H6775">
        <v>13</v>
      </c>
      <c r="I6775">
        <v>0.71699999999999997</v>
      </c>
      <c r="J6775">
        <v>0.873</v>
      </c>
      <c r="K6775">
        <v>0.155</v>
      </c>
      <c r="L6775">
        <v>8</v>
      </c>
      <c r="M6775">
        <v>3</v>
      </c>
      <c r="N6775">
        <v>2</v>
      </c>
      <c r="O6775" t="s">
        <v>53</v>
      </c>
      <c r="P6775" t="s">
        <v>53</v>
      </c>
      <c r="Q6775" t="s">
        <v>53</v>
      </c>
    </row>
    <row r="6776" spans="1:17" x14ac:dyDescent="0.2">
      <c r="A6776" s="30" t="str">
        <f>IF(C6776&amp;G6776&amp;D6776&lt;&gt;'Funnel setup'!$K$3&amp;'Funnel setup'!$K$4&amp;'Funnel setup'!$K$5,".",IF(A6775=".",1,A6775+1))</f>
        <v>.</v>
      </c>
      <c r="B6776" s="431" t="str">
        <f t="shared" si="105"/>
        <v>Varicose VeinCCG of GP PracticeNHS LEWISHAM CCG (08L)EQ-5D Index</v>
      </c>
      <c r="C6776" t="s">
        <v>17</v>
      </c>
      <c r="D6776" t="s">
        <v>87</v>
      </c>
      <c r="E6776" t="s">
        <v>557</v>
      </c>
      <c r="F6776" t="s">
        <v>558</v>
      </c>
      <c r="G6776" t="s">
        <v>52</v>
      </c>
      <c r="H6776">
        <v>38</v>
      </c>
      <c r="I6776">
        <v>0.71199999999999997</v>
      </c>
      <c r="J6776">
        <v>0.749</v>
      </c>
      <c r="K6776">
        <v>3.5999999999999997E-2</v>
      </c>
      <c r="L6776">
        <v>16</v>
      </c>
      <c r="M6776">
        <v>12</v>
      </c>
      <c r="N6776">
        <v>10</v>
      </c>
      <c r="O6776">
        <v>0.80400000000000005</v>
      </c>
      <c r="P6776">
        <v>5.7056882000000003E-2</v>
      </c>
      <c r="Q6776">
        <v>0.19900000000000001</v>
      </c>
    </row>
    <row r="6777" spans="1:17" x14ac:dyDescent="0.2">
      <c r="A6777" s="30" t="str">
        <f>IF(C6777&amp;G6777&amp;D6777&lt;&gt;'Funnel setup'!$K$3&amp;'Funnel setup'!$K$4&amp;'Funnel setup'!$K$5,".",IF(A6776=".",1,A6776+1))</f>
        <v>.</v>
      </c>
      <c r="B6777" s="431" t="str">
        <f t="shared" si="105"/>
        <v>Varicose VeinCCG of GP PracticeNHS LINCOLNSHIRE EAST CCG (03T)EQ-5D Index</v>
      </c>
      <c r="C6777" t="s">
        <v>17</v>
      </c>
      <c r="D6777" t="s">
        <v>87</v>
      </c>
      <c r="E6777" t="s">
        <v>560</v>
      </c>
      <c r="F6777" t="s">
        <v>561</v>
      </c>
      <c r="G6777" t="s">
        <v>52</v>
      </c>
      <c r="H6777">
        <v>28</v>
      </c>
      <c r="I6777">
        <v>0.73499999999999999</v>
      </c>
      <c r="J6777">
        <v>0.81499999999999995</v>
      </c>
      <c r="K6777">
        <v>0.08</v>
      </c>
      <c r="L6777">
        <v>16</v>
      </c>
      <c r="M6777">
        <v>9</v>
      </c>
      <c r="N6777">
        <v>3</v>
      </c>
      <c r="O6777" t="s">
        <v>53</v>
      </c>
      <c r="P6777" t="s">
        <v>53</v>
      </c>
      <c r="Q6777" t="s">
        <v>53</v>
      </c>
    </row>
    <row r="6778" spans="1:17" x14ac:dyDescent="0.2">
      <c r="A6778" s="30" t="str">
        <f>IF(C6778&amp;G6778&amp;D6778&lt;&gt;'Funnel setup'!$K$3&amp;'Funnel setup'!$K$4&amp;'Funnel setup'!$K$5,".",IF(A6777=".",1,A6777+1))</f>
        <v>.</v>
      </c>
      <c r="B6778" s="431" t="str">
        <f t="shared" si="105"/>
        <v>Varicose VeinCCG of GP PracticeNHS LINCOLNSHIRE WEST CCG (04D)EQ-5D Index</v>
      </c>
      <c r="C6778" t="s">
        <v>17</v>
      </c>
      <c r="D6778" t="s">
        <v>87</v>
      </c>
      <c r="E6778" t="s">
        <v>408</v>
      </c>
      <c r="F6778" t="s">
        <v>409</v>
      </c>
      <c r="G6778" t="s">
        <v>52</v>
      </c>
      <c r="H6778">
        <v>13</v>
      </c>
      <c r="I6778">
        <v>0.60399999999999998</v>
      </c>
      <c r="J6778">
        <v>0.80700000000000005</v>
      </c>
      <c r="K6778">
        <v>0.20300000000000001</v>
      </c>
      <c r="L6778">
        <v>8</v>
      </c>
      <c r="M6778">
        <v>3</v>
      </c>
      <c r="N6778">
        <v>2</v>
      </c>
      <c r="O6778" t="s">
        <v>53</v>
      </c>
      <c r="P6778" t="s">
        <v>53</v>
      </c>
      <c r="Q6778" t="s">
        <v>53</v>
      </c>
    </row>
    <row r="6779" spans="1:17" x14ac:dyDescent="0.2">
      <c r="A6779" s="30" t="str">
        <f>IF(C6779&amp;G6779&amp;D6779&lt;&gt;'Funnel setup'!$K$3&amp;'Funnel setup'!$K$4&amp;'Funnel setup'!$K$5,".",IF(A6778=".",1,A6778+1))</f>
        <v>.</v>
      </c>
      <c r="B6779" s="431" t="str">
        <f t="shared" si="105"/>
        <v>Varicose VeinCCG of GP PracticeNHS LIVERPOOL CCG (99A)EQ-5D Index</v>
      </c>
      <c r="C6779" t="s">
        <v>17</v>
      </c>
      <c r="D6779" t="s">
        <v>87</v>
      </c>
      <c r="E6779" t="s">
        <v>411</v>
      </c>
      <c r="F6779" t="s">
        <v>412</v>
      </c>
      <c r="G6779" t="s">
        <v>52</v>
      </c>
      <c r="H6779">
        <v>25</v>
      </c>
      <c r="I6779">
        <v>0.65400000000000003</v>
      </c>
      <c r="J6779">
        <v>0.71599999999999997</v>
      </c>
      <c r="K6779">
        <v>6.2E-2</v>
      </c>
      <c r="L6779">
        <v>13</v>
      </c>
      <c r="M6779">
        <v>4</v>
      </c>
      <c r="N6779">
        <v>8</v>
      </c>
      <c r="O6779" t="s">
        <v>53</v>
      </c>
      <c r="P6779" t="s">
        <v>53</v>
      </c>
      <c r="Q6779" t="s">
        <v>53</v>
      </c>
    </row>
    <row r="6780" spans="1:17" x14ac:dyDescent="0.2">
      <c r="A6780" s="30" t="str">
        <f>IF(C6780&amp;G6780&amp;D6780&lt;&gt;'Funnel setup'!$K$3&amp;'Funnel setup'!$K$4&amp;'Funnel setup'!$K$5,".",IF(A6779=".",1,A6779+1))</f>
        <v>.</v>
      </c>
      <c r="B6780" s="431" t="str">
        <f t="shared" si="105"/>
        <v>Varicose VeinCCG of GP PracticeNHS LUTON CCG (06P)EQ-5D Index</v>
      </c>
      <c r="C6780" t="s">
        <v>17</v>
      </c>
      <c r="D6780" t="s">
        <v>87</v>
      </c>
      <c r="E6780" t="s">
        <v>414</v>
      </c>
      <c r="F6780" t="s">
        <v>415</v>
      </c>
      <c r="G6780" t="s">
        <v>52</v>
      </c>
      <c r="H6780">
        <v>19</v>
      </c>
      <c r="I6780">
        <v>0.67400000000000004</v>
      </c>
      <c r="J6780">
        <v>0.82799999999999996</v>
      </c>
      <c r="K6780">
        <v>0.154</v>
      </c>
      <c r="L6780">
        <v>13</v>
      </c>
      <c r="M6780">
        <v>4</v>
      </c>
      <c r="N6780">
        <v>2</v>
      </c>
      <c r="O6780" t="s">
        <v>53</v>
      </c>
      <c r="P6780" t="s">
        <v>53</v>
      </c>
      <c r="Q6780" t="s">
        <v>53</v>
      </c>
    </row>
    <row r="6781" spans="1:17" x14ac:dyDescent="0.2">
      <c r="A6781" s="30" t="str">
        <f>IF(C6781&amp;G6781&amp;D6781&lt;&gt;'Funnel setup'!$K$3&amp;'Funnel setup'!$K$4&amp;'Funnel setup'!$K$5,".",IF(A6780=".",1,A6780+1))</f>
        <v>.</v>
      </c>
      <c r="B6781" s="431" t="str">
        <f t="shared" si="105"/>
        <v>Varicose VeinCCG of GP PracticeNHS MANSFIELD AND ASHFIELD CCG (04E)EQ-5D Index</v>
      </c>
      <c r="C6781" t="s">
        <v>17</v>
      </c>
      <c r="D6781" t="s">
        <v>87</v>
      </c>
      <c r="E6781" t="s">
        <v>417</v>
      </c>
      <c r="F6781" t="s">
        <v>418</v>
      </c>
      <c r="G6781" t="s">
        <v>52</v>
      </c>
      <c r="H6781">
        <v>53</v>
      </c>
      <c r="I6781">
        <v>0.69</v>
      </c>
      <c r="J6781">
        <v>0.80400000000000005</v>
      </c>
      <c r="K6781">
        <v>0.115</v>
      </c>
      <c r="L6781">
        <v>29</v>
      </c>
      <c r="M6781">
        <v>13</v>
      </c>
      <c r="N6781">
        <v>11</v>
      </c>
      <c r="O6781">
        <v>0.85799999999999998</v>
      </c>
      <c r="P6781">
        <v>0.11084340500000001</v>
      </c>
      <c r="Q6781">
        <v>0.19700000000000001</v>
      </c>
    </row>
    <row r="6782" spans="1:17" x14ac:dyDescent="0.2">
      <c r="A6782" s="30" t="str">
        <f>IF(C6782&amp;G6782&amp;D6782&lt;&gt;'Funnel setup'!$K$3&amp;'Funnel setup'!$K$4&amp;'Funnel setup'!$K$5,".",IF(A6781=".",1,A6781+1))</f>
        <v>.</v>
      </c>
      <c r="B6782" s="431" t="str">
        <f t="shared" si="105"/>
        <v>Varicose VeinCCG of GP PracticeNHS MEDWAY CCG (09W)EQ-5D Index</v>
      </c>
      <c r="C6782" t="s">
        <v>17</v>
      </c>
      <c r="D6782" t="s">
        <v>87</v>
      </c>
      <c r="E6782" t="s">
        <v>610</v>
      </c>
      <c r="F6782" t="s">
        <v>611</v>
      </c>
      <c r="G6782" t="s">
        <v>52</v>
      </c>
      <c r="H6782">
        <v>15</v>
      </c>
      <c r="I6782">
        <v>0.80700000000000005</v>
      </c>
      <c r="J6782">
        <v>0.85399999999999998</v>
      </c>
      <c r="K6782">
        <v>4.7E-2</v>
      </c>
      <c r="L6782">
        <v>5</v>
      </c>
      <c r="M6782">
        <v>7</v>
      </c>
      <c r="N6782">
        <v>3</v>
      </c>
      <c r="O6782" t="s">
        <v>53</v>
      </c>
      <c r="P6782" t="s">
        <v>53</v>
      </c>
      <c r="Q6782" t="s">
        <v>53</v>
      </c>
    </row>
    <row r="6783" spans="1:17" x14ac:dyDescent="0.2">
      <c r="A6783" s="30" t="str">
        <f>IF(C6783&amp;G6783&amp;D6783&lt;&gt;'Funnel setup'!$K$3&amp;'Funnel setup'!$K$4&amp;'Funnel setup'!$K$5,".",IF(A6782=".",1,A6782+1))</f>
        <v>.</v>
      </c>
      <c r="B6783" s="431" t="str">
        <f t="shared" si="105"/>
        <v>Varicose VeinCCG of GP PracticeNHS MERTON CCG (08R)EQ-5D Index</v>
      </c>
      <c r="C6783" t="s">
        <v>17</v>
      </c>
      <c r="D6783" t="s">
        <v>87</v>
      </c>
      <c r="E6783" t="s">
        <v>613</v>
      </c>
      <c r="F6783" t="s">
        <v>614</v>
      </c>
      <c r="G6783" t="s">
        <v>52</v>
      </c>
      <c r="H6783">
        <v>12</v>
      </c>
      <c r="I6783">
        <v>0.70499999999999996</v>
      </c>
      <c r="J6783">
        <v>0.74299999999999999</v>
      </c>
      <c r="K6783">
        <v>3.7999999999999999E-2</v>
      </c>
      <c r="L6783">
        <v>4</v>
      </c>
      <c r="M6783">
        <v>5</v>
      </c>
      <c r="N6783">
        <v>3</v>
      </c>
      <c r="O6783" t="s">
        <v>53</v>
      </c>
      <c r="P6783" t="s">
        <v>53</v>
      </c>
      <c r="Q6783" t="s">
        <v>53</v>
      </c>
    </row>
    <row r="6784" spans="1:17" x14ac:dyDescent="0.2">
      <c r="A6784" s="30" t="str">
        <f>IF(C6784&amp;G6784&amp;D6784&lt;&gt;'Funnel setup'!$K$3&amp;'Funnel setup'!$K$4&amp;'Funnel setup'!$K$5,".",IF(A6783=".",1,A6783+1))</f>
        <v>.</v>
      </c>
      <c r="B6784" s="431" t="str">
        <f t="shared" si="105"/>
        <v>Varicose VeinCCG of GP PracticeNHS MID ESSEX CCG (06Q)EQ-5D Index</v>
      </c>
      <c r="C6784" t="s">
        <v>17</v>
      </c>
      <c r="D6784" t="s">
        <v>87</v>
      </c>
      <c r="E6784" t="s">
        <v>616</v>
      </c>
      <c r="F6784" t="s">
        <v>617</v>
      </c>
      <c r="G6784" t="s">
        <v>52</v>
      </c>
      <c r="H6784">
        <v>22</v>
      </c>
      <c r="I6784">
        <v>0.73099999999999998</v>
      </c>
      <c r="J6784">
        <v>0.79300000000000004</v>
      </c>
      <c r="K6784">
        <v>6.2E-2</v>
      </c>
      <c r="L6784">
        <v>14</v>
      </c>
      <c r="M6784">
        <v>4</v>
      </c>
      <c r="N6784">
        <v>4</v>
      </c>
      <c r="O6784" t="s">
        <v>53</v>
      </c>
      <c r="P6784" t="s">
        <v>53</v>
      </c>
      <c r="Q6784" t="s">
        <v>53</v>
      </c>
    </row>
    <row r="6785" spans="1:17" x14ac:dyDescent="0.2">
      <c r="A6785" s="30" t="str">
        <f>IF(C6785&amp;G6785&amp;D6785&lt;&gt;'Funnel setup'!$K$3&amp;'Funnel setup'!$K$4&amp;'Funnel setup'!$K$5,".",IF(A6784=".",1,A6784+1))</f>
        <v>.</v>
      </c>
      <c r="B6785" s="431" t="str">
        <f t="shared" si="105"/>
        <v>Varicose VeinCCG of GP PracticeNHS MILTON KEYNES CCG (04F)EQ-5D Index</v>
      </c>
      <c r="C6785" t="s">
        <v>17</v>
      </c>
      <c r="D6785" t="s">
        <v>87</v>
      </c>
      <c r="E6785" t="s">
        <v>619</v>
      </c>
      <c r="F6785" t="s">
        <v>338</v>
      </c>
      <c r="G6785" t="s">
        <v>52</v>
      </c>
      <c r="H6785">
        <v>20</v>
      </c>
      <c r="I6785">
        <v>0.67900000000000005</v>
      </c>
      <c r="J6785">
        <v>0.80200000000000005</v>
      </c>
      <c r="K6785">
        <v>0.124</v>
      </c>
      <c r="L6785">
        <v>12</v>
      </c>
      <c r="M6785">
        <v>4</v>
      </c>
      <c r="N6785">
        <v>4</v>
      </c>
      <c r="O6785" t="s">
        <v>53</v>
      </c>
      <c r="P6785" t="s">
        <v>53</v>
      </c>
      <c r="Q6785" t="s">
        <v>53</v>
      </c>
    </row>
    <row r="6786" spans="1:17" x14ac:dyDescent="0.2">
      <c r="A6786" s="30" t="str">
        <f>IF(C6786&amp;G6786&amp;D6786&lt;&gt;'Funnel setup'!$K$3&amp;'Funnel setup'!$K$4&amp;'Funnel setup'!$K$5,".",IF(A6785=".",1,A6785+1))</f>
        <v>.</v>
      </c>
      <c r="B6786" s="431" t="str">
        <f t="shared" si="105"/>
        <v>Varicose VeinCCG of GP PracticeNHS NENE CCG (04G)EQ-5D Index</v>
      </c>
      <c r="C6786" t="s">
        <v>17</v>
      </c>
      <c r="D6786" t="s">
        <v>87</v>
      </c>
      <c r="E6786" t="s">
        <v>621</v>
      </c>
      <c r="F6786" t="s">
        <v>622</v>
      </c>
      <c r="G6786" t="s">
        <v>52</v>
      </c>
      <c r="H6786">
        <v>31</v>
      </c>
      <c r="I6786">
        <v>0.68700000000000006</v>
      </c>
      <c r="J6786">
        <v>0.80300000000000005</v>
      </c>
      <c r="K6786">
        <v>0.115</v>
      </c>
      <c r="L6786">
        <v>16</v>
      </c>
      <c r="M6786">
        <v>9</v>
      </c>
      <c r="N6786">
        <v>6</v>
      </c>
      <c r="O6786">
        <v>0.86599999999999999</v>
      </c>
      <c r="P6786">
        <v>0.118790838</v>
      </c>
      <c r="Q6786">
        <v>0.16600000000000001</v>
      </c>
    </row>
    <row r="6787" spans="1:17" x14ac:dyDescent="0.2">
      <c r="A6787" s="30" t="str">
        <f>IF(C6787&amp;G6787&amp;D6787&lt;&gt;'Funnel setup'!$K$3&amp;'Funnel setup'!$K$4&amp;'Funnel setup'!$K$5,".",IF(A6786=".",1,A6786+1))</f>
        <v>.</v>
      </c>
      <c r="B6787" s="431" t="str">
        <f t="shared" ref="B6787:B6850" si="106">C6787&amp;D6787&amp;F6787&amp;G6787</f>
        <v>Varicose VeinCCG of GP PracticeNHS NEWARK &amp; SHERWOOD CCG (04H)EQ-5D Index</v>
      </c>
      <c r="C6787" t="s">
        <v>17</v>
      </c>
      <c r="D6787" t="s">
        <v>87</v>
      </c>
      <c r="E6787" t="s">
        <v>624</v>
      </c>
      <c r="F6787" t="s">
        <v>625</v>
      </c>
      <c r="G6787" t="s">
        <v>52</v>
      </c>
      <c r="H6787">
        <v>31</v>
      </c>
      <c r="I6787">
        <v>0.71099999999999997</v>
      </c>
      <c r="J6787">
        <v>0.83699999999999997</v>
      </c>
      <c r="K6787">
        <v>0.126</v>
      </c>
      <c r="L6787">
        <v>16</v>
      </c>
      <c r="M6787">
        <v>9</v>
      </c>
      <c r="N6787">
        <v>6</v>
      </c>
      <c r="O6787">
        <v>0.85099999999999998</v>
      </c>
      <c r="P6787">
        <v>0.10474894899999999</v>
      </c>
      <c r="Q6787">
        <v>0.17499999999999999</v>
      </c>
    </row>
    <row r="6788" spans="1:17" x14ac:dyDescent="0.2">
      <c r="A6788" s="30" t="str">
        <f>IF(C6788&amp;G6788&amp;D6788&lt;&gt;'Funnel setup'!$K$3&amp;'Funnel setup'!$K$4&amp;'Funnel setup'!$K$5,".",IF(A6787=".",1,A6787+1))</f>
        <v>.</v>
      </c>
      <c r="B6788" s="431" t="str">
        <f t="shared" si="106"/>
        <v>Varicose VeinCCG of GP PracticeNHS NEWCASTLE GATESHEAD CCG (13T)EQ-5D Index</v>
      </c>
      <c r="C6788" t="s">
        <v>17</v>
      </c>
      <c r="D6788" t="s">
        <v>87</v>
      </c>
      <c r="E6788" t="s">
        <v>6553</v>
      </c>
      <c r="F6788" t="s">
        <v>6543</v>
      </c>
      <c r="G6788" t="s">
        <v>52</v>
      </c>
      <c r="H6788">
        <v>132</v>
      </c>
      <c r="I6788">
        <v>0.75900000000000001</v>
      </c>
      <c r="J6788">
        <v>0.83799999999999997</v>
      </c>
      <c r="K6788">
        <v>7.9000000000000001E-2</v>
      </c>
      <c r="L6788">
        <v>68</v>
      </c>
      <c r="M6788">
        <v>40</v>
      </c>
      <c r="N6788">
        <v>24</v>
      </c>
      <c r="O6788">
        <v>0.82899999999999996</v>
      </c>
      <c r="P6788">
        <v>8.2225933000000001E-2</v>
      </c>
      <c r="Q6788">
        <v>0.14599999999999999</v>
      </c>
    </row>
    <row r="6789" spans="1:17" x14ac:dyDescent="0.2">
      <c r="A6789" s="30" t="str">
        <f>IF(C6789&amp;G6789&amp;D6789&lt;&gt;'Funnel setup'!$K$3&amp;'Funnel setup'!$K$4&amp;'Funnel setup'!$K$5,".",IF(A6788=".",1,A6788+1))</f>
        <v>.</v>
      </c>
      <c r="B6789" s="431" t="str">
        <f t="shared" si="106"/>
        <v>Varicose VeinCCG of GP PracticeNHS NEWHAM CCG (08M)EQ-5D Index</v>
      </c>
      <c r="C6789" t="s">
        <v>17</v>
      </c>
      <c r="D6789" t="s">
        <v>87</v>
      </c>
      <c r="E6789" t="s">
        <v>630</v>
      </c>
      <c r="F6789" t="s">
        <v>631</v>
      </c>
      <c r="G6789" t="s">
        <v>52</v>
      </c>
      <c r="H6789">
        <v>19</v>
      </c>
      <c r="I6789">
        <v>0.72199999999999998</v>
      </c>
      <c r="J6789">
        <v>0.754</v>
      </c>
      <c r="K6789">
        <v>3.2000000000000001E-2</v>
      </c>
      <c r="L6789">
        <v>8</v>
      </c>
      <c r="M6789">
        <v>7</v>
      </c>
      <c r="N6789">
        <v>4</v>
      </c>
      <c r="O6789" t="s">
        <v>53</v>
      </c>
      <c r="P6789" t="s">
        <v>53</v>
      </c>
      <c r="Q6789" t="s">
        <v>53</v>
      </c>
    </row>
    <row r="6790" spans="1:17" x14ac:dyDescent="0.2">
      <c r="A6790" s="30" t="str">
        <f>IF(C6790&amp;G6790&amp;D6790&lt;&gt;'Funnel setup'!$K$3&amp;'Funnel setup'!$K$4&amp;'Funnel setup'!$K$5,".",IF(A6789=".",1,A6789+1))</f>
        <v>.</v>
      </c>
      <c r="B6790" s="431" t="str">
        <f t="shared" si="106"/>
        <v>Varicose VeinCCG of GP PracticeNHS NORTH &amp; WEST READING CCG (10N)EQ-5D Index</v>
      </c>
      <c r="C6790" t="s">
        <v>17</v>
      </c>
      <c r="D6790" t="s">
        <v>87</v>
      </c>
      <c r="E6790" t="s">
        <v>633</v>
      </c>
      <c r="F6790" t="s">
        <v>634</v>
      </c>
      <c r="G6790" t="s">
        <v>52</v>
      </c>
      <c r="H6790" t="s">
        <v>53</v>
      </c>
      <c r="I6790" t="s">
        <v>53</v>
      </c>
      <c r="J6790" t="s">
        <v>53</v>
      </c>
      <c r="K6790" t="s">
        <v>53</v>
      </c>
      <c r="L6790" t="s">
        <v>53</v>
      </c>
      <c r="M6790" t="s">
        <v>53</v>
      </c>
      <c r="N6790" t="s">
        <v>53</v>
      </c>
      <c r="O6790" t="s">
        <v>53</v>
      </c>
      <c r="P6790" t="s">
        <v>53</v>
      </c>
      <c r="Q6790" t="s">
        <v>53</v>
      </c>
    </row>
    <row r="6791" spans="1:17" x14ac:dyDescent="0.2">
      <c r="A6791" s="30" t="str">
        <f>IF(C6791&amp;G6791&amp;D6791&lt;&gt;'Funnel setup'!$K$3&amp;'Funnel setup'!$K$4&amp;'Funnel setup'!$K$5,".",IF(A6790=".",1,A6790+1))</f>
        <v>.</v>
      </c>
      <c r="B6791" s="431" t="str">
        <f t="shared" si="106"/>
        <v>Varicose VeinCCG of GP PracticeNHS NORTH DERBYSHIRE CCG (04J)EQ-5D Index</v>
      </c>
      <c r="C6791" t="s">
        <v>17</v>
      </c>
      <c r="D6791" t="s">
        <v>87</v>
      </c>
      <c r="E6791" t="s">
        <v>636</v>
      </c>
      <c r="F6791" t="s">
        <v>637</v>
      </c>
      <c r="G6791" t="s">
        <v>52</v>
      </c>
      <c r="H6791">
        <v>37</v>
      </c>
      <c r="I6791">
        <v>0.84599999999999997</v>
      </c>
      <c r="J6791">
        <v>0.874</v>
      </c>
      <c r="K6791">
        <v>2.8000000000000001E-2</v>
      </c>
      <c r="L6791">
        <v>8</v>
      </c>
      <c r="M6791">
        <v>21</v>
      </c>
      <c r="N6791">
        <v>8</v>
      </c>
      <c r="O6791">
        <v>0.80200000000000005</v>
      </c>
      <c r="P6791">
        <v>5.5047642000000001E-2</v>
      </c>
      <c r="Q6791">
        <v>0.11</v>
      </c>
    </row>
    <row r="6792" spans="1:17" x14ac:dyDescent="0.2">
      <c r="A6792" s="30" t="str">
        <f>IF(C6792&amp;G6792&amp;D6792&lt;&gt;'Funnel setup'!$K$3&amp;'Funnel setup'!$K$4&amp;'Funnel setup'!$K$5,".",IF(A6791=".",1,A6791+1))</f>
        <v>.</v>
      </c>
      <c r="B6792" s="431" t="str">
        <f t="shared" si="106"/>
        <v>Varicose VeinCCG of GP PracticeNHS NORTH DURHAM CCG (00J)EQ-5D Index</v>
      </c>
      <c r="C6792" t="s">
        <v>17</v>
      </c>
      <c r="D6792" t="s">
        <v>87</v>
      </c>
      <c r="E6792" t="s">
        <v>639</v>
      </c>
      <c r="F6792" t="s">
        <v>640</v>
      </c>
      <c r="G6792" t="s">
        <v>52</v>
      </c>
      <c r="H6792">
        <v>23</v>
      </c>
      <c r="I6792">
        <v>0.75600000000000001</v>
      </c>
      <c r="J6792">
        <v>0.88100000000000001</v>
      </c>
      <c r="K6792">
        <v>0.125</v>
      </c>
      <c r="L6792">
        <v>12</v>
      </c>
      <c r="M6792">
        <v>7</v>
      </c>
      <c r="N6792">
        <v>4</v>
      </c>
      <c r="O6792" t="s">
        <v>53</v>
      </c>
      <c r="P6792" t="s">
        <v>53</v>
      </c>
      <c r="Q6792" t="s">
        <v>53</v>
      </c>
    </row>
    <row r="6793" spans="1:17" x14ac:dyDescent="0.2">
      <c r="A6793" s="30" t="str">
        <f>IF(C6793&amp;G6793&amp;D6793&lt;&gt;'Funnel setup'!$K$3&amp;'Funnel setup'!$K$4&amp;'Funnel setup'!$K$5,".",IF(A6792=".",1,A6792+1))</f>
        <v>.</v>
      </c>
      <c r="B6793" s="431" t="str">
        <f t="shared" si="106"/>
        <v>Varicose VeinCCG of GP PracticeNHS NORTH EAST ESSEX CCG (06T)EQ-5D Index</v>
      </c>
      <c r="C6793" t="s">
        <v>17</v>
      </c>
      <c r="D6793" t="s">
        <v>87</v>
      </c>
      <c r="E6793" t="s">
        <v>642</v>
      </c>
      <c r="F6793" t="s">
        <v>643</v>
      </c>
      <c r="G6793" t="s">
        <v>52</v>
      </c>
      <c r="H6793">
        <v>17</v>
      </c>
      <c r="I6793">
        <v>0.61499999999999999</v>
      </c>
      <c r="J6793">
        <v>0.77700000000000002</v>
      </c>
      <c r="K6793">
        <v>0.16200000000000001</v>
      </c>
      <c r="L6793">
        <v>9</v>
      </c>
      <c r="M6793">
        <v>5</v>
      </c>
      <c r="N6793">
        <v>3</v>
      </c>
      <c r="O6793" t="s">
        <v>53</v>
      </c>
      <c r="P6793" t="s">
        <v>53</v>
      </c>
      <c r="Q6793" t="s">
        <v>53</v>
      </c>
    </row>
    <row r="6794" spans="1:17" x14ac:dyDescent="0.2">
      <c r="A6794" s="30" t="str">
        <f>IF(C6794&amp;G6794&amp;D6794&lt;&gt;'Funnel setup'!$K$3&amp;'Funnel setup'!$K$4&amp;'Funnel setup'!$K$5,".",IF(A6793=".",1,A6793+1))</f>
        <v>.</v>
      </c>
      <c r="B6794" s="431" t="str">
        <f t="shared" si="106"/>
        <v>Varicose VeinCCG of GP PracticeNHS NORTH EAST HAMPSHIRE AND FARNHAM CCG (99M)EQ-5D Index</v>
      </c>
      <c r="C6794" t="s">
        <v>17</v>
      </c>
      <c r="D6794" t="s">
        <v>87</v>
      </c>
      <c r="E6794" t="s">
        <v>645</v>
      </c>
      <c r="F6794" t="s">
        <v>646</v>
      </c>
      <c r="G6794" t="s">
        <v>52</v>
      </c>
      <c r="H6794">
        <v>9</v>
      </c>
      <c r="I6794">
        <v>0.77400000000000002</v>
      </c>
      <c r="J6794">
        <v>0.9</v>
      </c>
      <c r="K6794">
        <v>0.126</v>
      </c>
      <c r="L6794">
        <v>5</v>
      </c>
      <c r="M6794">
        <v>1</v>
      </c>
      <c r="N6794">
        <v>3</v>
      </c>
      <c r="O6794" t="s">
        <v>53</v>
      </c>
      <c r="P6794" t="s">
        <v>53</v>
      </c>
      <c r="Q6794" t="s">
        <v>53</v>
      </c>
    </row>
    <row r="6795" spans="1:17" x14ac:dyDescent="0.2">
      <c r="A6795" s="30" t="str">
        <f>IF(C6795&amp;G6795&amp;D6795&lt;&gt;'Funnel setup'!$K$3&amp;'Funnel setup'!$K$4&amp;'Funnel setup'!$K$5,".",IF(A6794=".",1,A6794+1))</f>
        <v>.</v>
      </c>
      <c r="B6795" s="431" t="str">
        <f t="shared" si="106"/>
        <v>Varicose VeinCCG of GP PracticeNHS NORTH EAST LINCOLNSHIRE CCG (03H)EQ-5D Index</v>
      </c>
      <c r="C6795" t="s">
        <v>17</v>
      </c>
      <c r="D6795" t="s">
        <v>87</v>
      </c>
      <c r="E6795" t="s">
        <v>648</v>
      </c>
      <c r="F6795" t="s">
        <v>649</v>
      </c>
      <c r="G6795" t="s">
        <v>52</v>
      </c>
      <c r="H6795" t="s">
        <v>53</v>
      </c>
      <c r="I6795" t="s">
        <v>53</v>
      </c>
      <c r="J6795" t="s">
        <v>53</v>
      </c>
      <c r="K6795" t="s">
        <v>53</v>
      </c>
      <c r="L6795" t="s">
        <v>53</v>
      </c>
      <c r="M6795" t="s">
        <v>53</v>
      </c>
      <c r="N6795" t="s">
        <v>53</v>
      </c>
      <c r="O6795" t="s">
        <v>53</v>
      </c>
      <c r="P6795" t="s">
        <v>53</v>
      </c>
      <c r="Q6795" t="s">
        <v>53</v>
      </c>
    </row>
    <row r="6796" spans="1:17" x14ac:dyDescent="0.2">
      <c r="A6796" s="30" t="str">
        <f>IF(C6796&amp;G6796&amp;D6796&lt;&gt;'Funnel setup'!$K$3&amp;'Funnel setup'!$K$4&amp;'Funnel setup'!$K$5,".",IF(A6795=".",1,A6795+1))</f>
        <v>.</v>
      </c>
      <c r="B6796" s="431" t="str">
        <f t="shared" si="106"/>
        <v>Varicose VeinCCG of GP PracticeNHS NORTH KIRKLEES CCG (03J)EQ-5D Index</v>
      </c>
      <c r="C6796" t="s">
        <v>17</v>
      </c>
      <c r="D6796" t="s">
        <v>87</v>
      </c>
      <c r="E6796" t="s">
        <v>654</v>
      </c>
      <c r="F6796" t="s">
        <v>655</v>
      </c>
      <c r="G6796" t="s">
        <v>52</v>
      </c>
      <c r="H6796">
        <v>18</v>
      </c>
      <c r="I6796">
        <v>0.83699999999999997</v>
      </c>
      <c r="J6796">
        <v>0.89400000000000002</v>
      </c>
      <c r="K6796">
        <v>5.7000000000000002E-2</v>
      </c>
      <c r="L6796">
        <v>7</v>
      </c>
      <c r="M6796">
        <v>8</v>
      </c>
      <c r="N6796">
        <v>3</v>
      </c>
      <c r="O6796" t="s">
        <v>53</v>
      </c>
      <c r="P6796" t="s">
        <v>53</v>
      </c>
      <c r="Q6796" t="s">
        <v>53</v>
      </c>
    </row>
    <row r="6797" spans="1:17" x14ac:dyDescent="0.2">
      <c r="A6797" s="30" t="str">
        <f>IF(C6797&amp;G6797&amp;D6797&lt;&gt;'Funnel setup'!$K$3&amp;'Funnel setup'!$K$4&amp;'Funnel setup'!$K$5,".",IF(A6796=".",1,A6796+1))</f>
        <v>.</v>
      </c>
      <c r="B6797" s="431" t="str">
        <f t="shared" si="106"/>
        <v>Varicose VeinCCG of GP PracticeNHS NORTH LINCOLNSHIRE CCG (03K)EQ-5D Index</v>
      </c>
      <c r="C6797" t="s">
        <v>17</v>
      </c>
      <c r="D6797" t="s">
        <v>87</v>
      </c>
      <c r="E6797" t="s">
        <v>657</v>
      </c>
      <c r="F6797" t="s">
        <v>658</v>
      </c>
      <c r="G6797" t="s">
        <v>52</v>
      </c>
      <c r="H6797">
        <v>9</v>
      </c>
      <c r="I6797">
        <v>0.753</v>
      </c>
      <c r="J6797">
        <v>0.83299999999999996</v>
      </c>
      <c r="K6797">
        <v>8.1000000000000003E-2</v>
      </c>
      <c r="L6797">
        <v>8</v>
      </c>
      <c r="M6797">
        <v>0</v>
      </c>
      <c r="N6797">
        <v>1</v>
      </c>
      <c r="O6797" t="s">
        <v>53</v>
      </c>
      <c r="P6797" t="s">
        <v>53</v>
      </c>
      <c r="Q6797" t="s">
        <v>53</v>
      </c>
    </row>
    <row r="6798" spans="1:17" x14ac:dyDescent="0.2">
      <c r="A6798" s="30" t="str">
        <f>IF(C6798&amp;G6798&amp;D6798&lt;&gt;'Funnel setup'!$K$3&amp;'Funnel setup'!$K$4&amp;'Funnel setup'!$K$5,".",IF(A6797=".",1,A6797+1))</f>
        <v>.</v>
      </c>
      <c r="B6798" s="431" t="str">
        <f t="shared" si="106"/>
        <v>Varicose VeinCCG of GP PracticeNHS NORTH MANCHESTER CCG (01M)EQ-5D Index</v>
      </c>
      <c r="C6798" t="s">
        <v>17</v>
      </c>
      <c r="D6798" t="s">
        <v>87</v>
      </c>
      <c r="E6798" t="s">
        <v>660</v>
      </c>
      <c r="F6798" t="s">
        <v>661</v>
      </c>
      <c r="G6798" t="s">
        <v>52</v>
      </c>
      <c r="H6798" t="s">
        <v>53</v>
      </c>
      <c r="I6798" t="s">
        <v>53</v>
      </c>
      <c r="J6798" t="s">
        <v>53</v>
      </c>
      <c r="K6798" t="s">
        <v>53</v>
      </c>
      <c r="L6798" t="s">
        <v>53</v>
      </c>
      <c r="M6798" t="s">
        <v>53</v>
      </c>
      <c r="N6798" t="s">
        <v>53</v>
      </c>
      <c r="O6798" t="s">
        <v>53</v>
      </c>
      <c r="P6798" t="s">
        <v>53</v>
      </c>
      <c r="Q6798" t="s">
        <v>53</v>
      </c>
    </row>
    <row r="6799" spans="1:17" x14ac:dyDescent="0.2">
      <c r="A6799" s="30" t="str">
        <f>IF(C6799&amp;G6799&amp;D6799&lt;&gt;'Funnel setup'!$K$3&amp;'Funnel setup'!$K$4&amp;'Funnel setup'!$K$5,".",IF(A6798=".",1,A6798+1))</f>
        <v>.</v>
      </c>
      <c r="B6799" s="431" t="str">
        <f t="shared" si="106"/>
        <v>Varicose VeinCCG of GP PracticeNHS NORTH NORFOLK CCG (06V)EQ-5D Index</v>
      </c>
      <c r="C6799" t="s">
        <v>17</v>
      </c>
      <c r="D6799" t="s">
        <v>87</v>
      </c>
      <c r="E6799" t="s">
        <v>663</v>
      </c>
      <c r="F6799" t="s">
        <v>664</v>
      </c>
      <c r="G6799" t="s">
        <v>52</v>
      </c>
      <c r="H6799">
        <v>57</v>
      </c>
      <c r="I6799">
        <v>0.78300000000000003</v>
      </c>
      <c r="J6799">
        <v>0.90300000000000002</v>
      </c>
      <c r="K6799">
        <v>0.12</v>
      </c>
      <c r="L6799">
        <v>28</v>
      </c>
      <c r="M6799">
        <v>25</v>
      </c>
      <c r="N6799">
        <v>4</v>
      </c>
      <c r="O6799">
        <v>0.88700000000000001</v>
      </c>
      <c r="P6799">
        <v>0.13987122199999999</v>
      </c>
      <c r="Q6799">
        <v>0.109</v>
      </c>
    </row>
    <row r="6800" spans="1:17" x14ac:dyDescent="0.2">
      <c r="A6800" s="30" t="str">
        <f>IF(C6800&amp;G6800&amp;D6800&lt;&gt;'Funnel setup'!$K$3&amp;'Funnel setup'!$K$4&amp;'Funnel setup'!$K$5,".",IF(A6799=".",1,A6799+1))</f>
        <v>.</v>
      </c>
      <c r="B6800" s="431" t="str">
        <f t="shared" si="106"/>
        <v>Varicose VeinCCG of GP PracticeNHS NORTH SOMERSET CCG (11T)EQ-5D Index</v>
      </c>
      <c r="C6800" t="s">
        <v>17</v>
      </c>
      <c r="D6800" t="s">
        <v>87</v>
      </c>
      <c r="E6800" t="s">
        <v>666</v>
      </c>
      <c r="F6800" t="s">
        <v>667</v>
      </c>
      <c r="G6800" t="s">
        <v>52</v>
      </c>
      <c r="H6800">
        <v>6</v>
      </c>
      <c r="I6800">
        <v>0.81799999999999995</v>
      </c>
      <c r="J6800">
        <v>0.875</v>
      </c>
      <c r="K6800">
        <v>5.6000000000000001E-2</v>
      </c>
      <c r="L6800">
        <v>2</v>
      </c>
      <c r="M6800">
        <v>3</v>
      </c>
      <c r="N6800">
        <v>1</v>
      </c>
      <c r="O6800" t="s">
        <v>53</v>
      </c>
      <c r="P6800" t="s">
        <v>53</v>
      </c>
      <c r="Q6800" t="s">
        <v>53</v>
      </c>
    </row>
    <row r="6801" spans="1:17" x14ac:dyDescent="0.2">
      <c r="A6801" s="30" t="str">
        <f>IF(C6801&amp;G6801&amp;D6801&lt;&gt;'Funnel setup'!$K$3&amp;'Funnel setup'!$K$4&amp;'Funnel setup'!$K$5,".",IF(A6800=".",1,A6800+1))</f>
        <v>.</v>
      </c>
      <c r="B6801" s="431" t="str">
        <f t="shared" si="106"/>
        <v>Varicose VeinCCG of GP PracticeNHS NORTH STAFFORDSHIRE CCG (05G)EQ-5D Index</v>
      </c>
      <c r="C6801" t="s">
        <v>17</v>
      </c>
      <c r="D6801" t="s">
        <v>87</v>
      </c>
      <c r="E6801" t="s">
        <v>669</v>
      </c>
      <c r="F6801" t="s">
        <v>670</v>
      </c>
      <c r="G6801" t="s">
        <v>52</v>
      </c>
      <c r="H6801" t="s">
        <v>53</v>
      </c>
      <c r="I6801" t="s">
        <v>53</v>
      </c>
      <c r="J6801" t="s">
        <v>53</v>
      </c>
      <c r="K6801" t="s">
        <v>53</v>
      </c>
      <c r="L6801" t="s">
        <v>53</v>
      </c>
      <c r="M6801" t="s">
        <v>53</v>
      </c>
      <c r="N6801" t="s">
        <v>53</v>
      </c>
      <c r="O6801" t="s">
        <v>53</v>
      </c>
      <c r="P6801" t="s">
        <v>53</v>
      </c>
      <c r="Q6801" t="s">
        <v>53</v>
      </c>
    </row>
    <row r="6802" spans="1:17" x14ac:dyDescent="0.2">
      <c r="A6802" s="30" t="str">
        <f>IF(C6802&amp;G6802&amp;D6802&lt;&gt;'Funnel setup'!$K$3&amp;'Funnel setup'!$K$4&amp;'Funnel setup'!$K$5,".",IF(A6801=".",1,A6801+1))</f>
        <v>.</v>
      </c>
      <c r="B6802" s="431" t="str">
        <f t="shared" si="106"/>
        <v>Varicose VeinCCG of GP PracticeNHS NORTH TYNESIDE CCG (99C)EQ-5D Index</v>
      </c>
      <c r="C6802" t="s">
        <v>17</v>
      </c>
      <c r="D6802" t="s">
        <v>87</v>
      </c>
      <c r="E6802" t="s">
        <v>672</v>
      </c>
      <c r="F6802" t="s">
        <v>673</v>
      </c>
      <c r="G6802" t="s">
        <v>52</v>
      </c>
      <c r="H6802">
        <v>48</v>
      </c>
      <c r="I6802">
        <v>0.75600000000000001</v>
      </c>
      <c r="J6802">
        <v>0.85599999999999998</v>
      </c>
      <c r="K6802">
        <v>9.9000000000000005E-2</v>
      </c>
      <c r="L6802">
        <v>25</v>
      </c>
      <c r="M6802">
        <v>17</v>
      </c>
      <c r="N6802">
        <v>6</v>
      </c>
      <c r="O6802">
        <v>0.84499999999999997</v>
      </c>
      <c r="P6802">
        <v>9.8075085000000006E-2</v>
      </c>
      <c r="Q6802">
        <v>0.20499999999999999</v>
      </c>
    </row>
    <row r="6803" spans="1:17" x14ac:dyDescent="0.2">
      <c r="A6803" s="30" t="str">
        <f>IF(C6803&amp;G6803&amp;D6803&lt;&gt;'Funnel setup'!$K$3&amp;'Funnel setup'!$K$4&amp;'Funnel setup'!$K$5,".",IF(A6802=".",1,A6802+1))</f>
        <v>.</v>
      </c>
      <c r="B6803" s="431" t="str">
        <f t="shared" si="106"/>
        <v>Varicose VeinCCG of GP PracticeNHS NORTH WEST SURREY CCG (09Y)EQ-5D Index</v>
      </c>
      <c r="C6803" t="s">
        <v>17</v>
      </c>
      <c r="D6803" t="s">
        <v>87</v>
      </c>
      <c r="E6803" t="s">
        <v>675</v>
      </c>
      <c r="F6803" t="s">
        <v>676</v>
      </c>
      <c r="G6803" t="s">
        <v>52</v>
      </c>
      <c r="H6803">
        <v>18</v>
      </c>
      <c r="I6803">
        <v>0.75</v>
      </c>
      <c r="J6803">
        <v>0.86799999999999999</v>
      </c>
      <c r="K6803">
        <v>0.11799999999999999</v>
      </c>
      <c r="L6803">
        <v>13</v>
      </c>
      <c r="M6803">
        <v>3</v>
      </c>
      <c r="N6803">
        <v>2</v>
      </c>
      <c r="O6803" t="s">
        <v>53</v>
      </c>
      <c r="P6803" t="s">
        <v>53</v>
      </c>
      <c r="Q6803" t="s">
        <v>53</v>
      </c>
    </row>
    <row r="6804" spans="1:17" x14ac:dyDescent="0.2">
      <c r="A6804" s="30" t="str">
        <f>IF(C6804&amp;G6804&amp;D6804&lt;&gt;'Funnel setup'!$K$3&amp;'Funnel setup'!$K$4&amp;'Funnel setup'!$K$5,".",IF(A6803=".",1,A6803+1))</f>
        <v>.</v>
      </c>
      <c r="B6804" s="431" t="str">
        <f t="shared" si="106"/>
        <v>Varicose VeinCCG of GP PracticeNHS NORTHERN, EASTERN AND WESTERN DEVON CCG (99P)EQ-5D Index</v>
      </c>
      <c r="C6804" t="s">
        <v>17</v>
      </c>
      <c r="D6804" t="s">
        <v>87</v>
      </c>
      <c r="E6804" t="s">
        <v>678</v>
      </c>
      <c r="F6804" t="s">
        <v>679</v>
      </c>
      <c r="G6804" t="s">
        <v>52</v>
      </c>
      <c r="H6804">
        <v>98</v>
      </c>
      <c r="I6804">
        <v>0.71899999999999997</v>
      </c>
      <c r="J6804">
        <v>0.84599999999999997</v>
      </c>
      <c r="K6804">
        <v>0.126</v>
      </c>
      <c r="L6804">
        <v>54</v>
      </c>
      <c r="M6804">
        <v>28</v>
      </c>
      <c r="N6804">
        <v>16</v>
      </c>
      <c r="O6804">
        <v>0.87</v>
      </c>
      <c r="P6804">
        <v>0.123150037</v>
      </c>
      <c r="Q6804">
        <v>0.14699999999999999</v>
      </c>
    </row>
    <row r="6805" spans="1:17" x14ac:dyDescent="0.2">
      <c r="A6805" s="30" t="str">
        <f>IF(C6805&amp;G6805&amp;D6805&lt;&gt;'Funnel setup'!$K$3&amp;'Funnel setup'!$K$4&amp;'Funnel setup'!$K$5,".",IF(A6804=".",1,A6804+1))</f>
        <v>.</v>
      </c>
      <c r="B6805" s="431" t="str">
        <f t="shared" si="106"/>
        <v>Varicose VeinCCG of GP PracticeNHS NORTHUMBERLAND CCG (00L)EQ-5D Index</v>
      </c>
      <c r="C6805" t="s">
        <v>17</v>
      </c>
      <c r="D6805" t="s">
        <v>87</v>
      </c>
      <c r="E6805" t="s">
        <v>681</v>
      </c>
      <c r="F6805" t="s">
        <v>336</v>
      </c>
      <c r="G6805" t="s">
        <v>52</v>
      </c>
      <c r="H6805">
        <v>58</v>
      </c>
      <c r="I6805">
        <v>0.73499999999999999</v>
      </c>
      <c r="J6805">
        <v>0.83899999999999997</v>
      </c>
      <c r="K6805">
        <v>0.104</v>
      </c>
      <c r="L6805">
        <v>28</v>
      </c>
      <c r="M6805">
        <v>21</v>
      </c>
      <c r="N6805">
        <v>9</v>
      </c>
      <c r="O6805">
        <v>0.83399999999999996</v>
      </c>
      <c r="P6805">
        <v>8.6929700999999998E-2</v>
      </c>
      <c r="Q6805">
        <v>0.19900000000000001</v>
      </c>
    </row>
    <row r="6806" spans="1:17" x14ac:dyDescent="0.2">
      <c r="A6806" s="30" t="str">
        <f>IF(C6806&amp;G6806&amp;D6806&lt;&gt;'Funnel setup'!$K$3&amp;'Funnel setup'!$K$4&amp;'Funnel setup'!$K$5,".",IF(A6805=".",1,A6805+1))</f>
        <v>.</v>
      </c>
      <c r="B6806" s="431" t="str">
        <f t="shared" si="106"/>
        <v>Varicose VeinCCG of GP PracticeNHS NORWICH CCG (06W)EQ-5D Index</v>
      </c>
      <c r="C6806" t="s">
        <v>17</v>
      </c>
      <c r="D6806" t="s">
        <v>87</v>
      </c>
      <c r="E6806" t="s">
        <v>770</v>
      </c>
      <c r="F6806" t="s">
        <v>771</v>
      </c>
      <c r="G6806" t="s">
        <v>52</v>
      </c>
      <c r="H6806">
        <v>41</v>
      </c>
      <c r="I6806">
        <v>0.79200000000000004</v>
      </c>
      <c r="J6806">
        <v>0.88200000000000001</v>
      </c>
      <c r="K6806">
        <v>0.09</v>
      </c>
      <c r="L6806">
        <v>23</v>
      </c>
      <c r="M6806">
        <v>16</v>
      </c>
      <c r="N6806">
        <v>2</v>
      </c>
      <c r="O6806">
        <v>0.84699999999999998</v>
      </c>
      <c r="P6806">
        <v>0.100673606</v>
      </c>
      <c r="Q6806">
        <v>0.183</v>
      </c>
    </row>
    <row r="6807" spans="1:17" x14ac:dyDescent="0.2">
      <c r="A6807" s="30" t="str">
        <f>IF(C6807&amp;G6807&amp;D6807&lt;&gt;'Funnel setup'!$K$3&amp;'Funnel setup'!$K$4&amp;'Funnel setup'!$K$5,".",IF(A6806=".",1,A6806+1))</f>
        <v>.</v>
      </c>
      <c r="B6807" s="431" t="str">
        <f t="shared" si="106"/>
        <v>Varicose VeinCCG of GP PracticeNHS NOTTINGHAM CITY CCG (04K)EQ-5D Index</v>
      </c>
      <c r="C6807" t="s">
        <v>17</v>
      </c>
      <c r="D6807" t="s">
        <v>87</v>
      </c>
      <c r="E6807" t="s">
        <v>773</v>
      </c>
      <c r="F6807" t="s">
        <v>774</v>
      </c>
      <c r="G6807" t="s">
        <v>52</v>
      </c>
      <c r="H6807">
        <v>43</v>
      </c>
      <c r="I6807">
        <v>0.69799999999999995</v>
      </c>
      <c r="J6807">
        <v>0.77900000000000003</v>
      </c>
      <c r="K6807">
        <v>8.1000000000000003E-2</v>
      </c>
      <c r="L6807">
        <v>19</v>
      </c>
      <c r="M6807">
        <v>18</v>
      </c>
      <c r="N6807">
        <v>6</v>
      </c>
      <c r="O6807">
        <v>0.81299999999999994</v>
      </c>
      <c r="P6807">
        <v>6.6392881000000001E-2</v>
      </c>
      <c r="Q6807">
        <v>0.18</v>
      </c>
    </row>
    <row r="6808" spans="1:17" x14ac:dyDescent="0.2">
      <c r="A6808" s="30" t="str">
        <f>IF(C6808&amp;G6808&amp;D6808&lt;&gt;'Funnel setup'!$K$3&amp;'Funnel setup'!$K$4&amp;'Funnel setup'!$K$5,".",IF(A6807=".",1,A6807+1))</f>
        <v>.</v>
      </c>
      <c r="B6808" s="431" t="str">
        <f t="shared" si="106"/>
        <v>Varicose VeinCCG of GP PracticeNHS NOTTINGHAM NORTH AND EAST CCG (04L)EQ-5D Index</v>
      </c>
      <c r="C6808" t="s">
        <v>17</v>
      </c>
      <c r="D6808" t="s">
        <v>87</v>
      </c>
      <c r="E6808" t="s">
        <v>776</v>
      </c>
      <c r="F6808" t="s">
        <v>777</v>
      </c>
      <c r="G6808" t="s">
        <v>52</v>
      </c>
      <c r="H6808">
        <v>24</v>
      </c>
      <c r="I6808">
        <v>0.752</v>
      </c>
      <c r="J6808">
        <v>0.85499999999999998</v>
      </c>
      <c r="K6808">
        <v>0.104</v>
      </c>
      <c r="L6808">
        <v>11</v>
      </c>
      <c r="M6808">
        <v>10</v>
      </c>
      <c r="N6808">
        <v>3</v>
      </c>
      <c r="O6808" t="s">
        <v>53</v>
      </c>
      <c r="P6808" t="s">
        <v>53</v>
      </c>
      <c r="Q6808" t="s">
        <v>53</v>
      </c>
    </row>
    <row r="6809" spans="1:17" x14ac:dyDescent="0.2">
      <c r="A6809" s="30" t="str">
        <f>IF(C6809&amp;G6809&amp;D6809&lt;&gt;'Funnel setup'!$K$3&amp;'Funnel setup'!$K$4&amp;'Funnel setup'!$K$5,".",IF(A6808=".",1,A6808+1))</f>
        <v>.</v>
      </c>
      <c r="B6809" s="431" t="str">
        <f t="shared" si="106"/>
        <v>Varicose VeinCCG of GP PracticeNHS NOTTINGHAM WEST CCG (04M)EQ-5D Index</v>
      </c>
      <c r="C6809" t="s">
        <v>17</v>
      </c>
      <c r="D6809" t="s">
        <v>87</v>
      </c>
      <c r="E6809" t="s">
        <v>779</v>
      </c>
      <c r="F6809" t="s">
        <v>780</v>
      </c>
      <c r="G6809" t="s">
        <v>52</v>
      </c>
      <c r="H6809">
        <v>16</v>
      </c>
      <c r="I6809">
        <v>0.78600000000000003</v>
      </c>
      <c r="J6809">
        <v>0.84299999999999997</v>
      </c>
      <c r="K6809">
        <v>5.7000000000000002E-2</v>
      </c>
      <c r="L6809">
        <v>6</v>
      </c>
      <c r="M6809">
        <v>7</v>
      </c>
      <c r="N6809">
        <v>3</v>
      </c>
      <c r="O6809" t="s">
        <v>53</v>
      </c>
      <c r="P6809" t="s">
        <v>53</v>
      </c>
      <c r="Q6809" t="s">
        <v>53</v>
      </c>
    </row>
    <row r="6810" spans="1:17" x14ac:dyDescent="0.2">
      <c r="A6810" s="30" t="str">
        <f>IF(C6810&amp;G6810&amp;D6810&lt;&gt;'Funnel setup'!$K$3&amp;'Funnel setup'!$K$4&amp;'Funnel setup'!$K$5,".",IF(A6809=".",1,A6809+1))</f>
        <v>.</v>
      </c>
      <c r="B6810" s="431" t="str">
        <f t="shared" si="106"/>
        <v>Varicose VeinCCG of GP PracticeNHS OLDHAM CCG (00Y)EQ-5D Index</v>
      </c>
      <c r="C6810" t="s">
        <v>17</v>
      </c>
      <c r="D6810" t="s">
        <v>87</v>
      </c>
      <c r="E6810" t="s">
        <v>782</v>
      </c>
      <c r="F6810" t="s">
        <v>783</v>
      </c>
      <c r="G6810" t="s">
        <v>52</v>
      </c>
      <c r="H6810" t="s">
        <v>53</v>
      </c>
      <c r="I6810" t="s">
        <v>53</v>
      </c>
      <c r="J6810" t="s">
        <v>53</v>
      </c>
      <c r="K6810" t="s">
        <v>53</v>
      </c>
      <c r="L6810" t="s">
        <v>53</v>
      </c>
      <c r="M6810" t="s">
        <v>53</v>
      </c>
      <c r="N6810" t="s">
        <v>53</v>
      </c>
      <c r="O6810" t="s">
        <v>53</v>
      </c>
      <c r="P6810" t="s">
        <v>53</v>
      </c>
      <c r="Q6810" t="s">
        <v>53</v>
      </c>
    </row>
    <row r="6811" spans="1:17" x14ac:dyDescent="0.2">
      <c r="A6811" s="30" t="str">
        <f>IF(C6811&amp;G6811&amp;D6811&lt;&gt;'Funnel setup'!$K$3&amp;'Funnel setup'!$K$4&amp;'Funnel setup'!$K$5,".",IF(A6810=".",1,A6810+1))</f>
        <v>.</v>
      </c>
      <c r="B6811" s="431" t="str">
        <f t="shared" si="106"/>
        <v>Varicose VeinCCG of GP PracticeNHS OXFORDSHIRE CCG (10Q)EQ-5D Index</v>
      </c>
      <c r="C6811" t="s">
        <v>17</v>
      </c>
      <c r="D6811" t="s">
        <v>87</v>
      </c>
      <c r="E6811" t="s">
        <v>785</v>
      </c>
      <c r="F6811" t="s">
        <v>786</v>
      </c>
      <c r="G6811" t="s">
        <v>52</v>
      </c>
      <c r="H6811">
        <v>29</v>
      </c>
      <c r="I6811">
        <v>0.78200000000000003</v>
      </c>
      <c r="J6811">
        <v>0.85899999999999999</v>
      </c>
      <c r="K6811">
        <v>7.6999999999999999E-2</v>
      </c>
      <c r="L6811">
        <v>16</v>
      </c>
      <c r="M6811">
        <v>7</v>
      </c>
      <c r="N6811">
        <v>6</v>
      </c>
      <c r="O6811" t="s">
        <v>53</v>
      </c>
      <c r="P6811" t="s">
        <v>53</v>
      </c>
      <c r="Q6811" t="s">
        <v>53</v>
      </c>
    </row>
    <row r="6812" spans="1:17" x14ac:dyDescent="0.2">
      <c r="A6812" s="30" t="str">
        <f>IF(C6812&amp;G6812&amp;D6812&lt;&gt;'Funnel setup'!$K$3&amp;'Funnel setup'!$K$4&amp;'Funnel setup'!$K$5,".",IF(A6811=".",1,A6811+1))</f>
        <v>.</v>
      </c>
      <c r="B6812" s="431" t="str">
        <f t="shared" si="106"/>
        <v>Varicose VeinCCG of GP PracticeNHS PORTSMOUTH CCG (10R)EQ-5D Index</v>
      </c>
      <c r="C6812" t="s">
        <v>17</v>
      </c>
      <c r="D6812" t="s">
        <v>87</v>
      </c>
      <c r="E6812" t="s">
        <v>788</v>
      </c>
      <c r="F6812" t="s">
        <v>789</v>
      </c>
      <c r="G6812" t="s">
        <v>52</v>
      </c>
      <c r="H6812" t="s">
        <v>53</v>
      </c>
      <c r="I6812" t="s">
        <v>53</v>
      </c>
      <c r="J6812" t="s">
        <v>53</v>
      </c>
      <c r="K6812" t="s">
        <v>53</v>
      </c>
      <c r="L6812" t="s">
        <v>53</v>
      </c>
      <c r="M6812" t="s">
        <v>53</v>
      </c>
      <c r="N6812" t="s">
        <v>53</v>
      </c>
      <c r="O6812" t="s">
        <v>53</v>
      </c>
      <c r="P6812" t="s">
        <v>53</v>
      </c>
      <c r="Q6812" t="s">
        <v>53</v>
      </c>
    </row>
    <row r="6813" spans="1:17" x14ac:dyDescent="0.2">
      <c r="A6813" s="30" t="str">
        <f>IF(C6813&amp;G6813&amp;D6813&lt;&gt;'Funnel setup'!$K$3&amp;'Funnel setup'!$K$4&amp;'Funnel setup'!$K$5,".",IF(A6812=".",1,A6812+1))</f>
        <v>.</v>
      </c>
      <c r="B6813" s="431" t="str">
        <f t="shared" si="106"/>
        <v>Varicose VeinCCG of GP PracticeNHS REDBRIDGE CCG (08N)EQ-5D Index</v>
      </c>
      <c r="C6813" t="s">
        <v>17</v>
      </c>
      <c r="D6813" t="s">
        <v>87</v>
      </c>
      <c r="E6813" t="s">
        <v>791</v>
      </c>
      <c r="F6813" t="s">
        <v>792</v>
      </c>
      <c r="G6813" t="s">
        <v>52</v>
      </c>
      <c r="H6813">
        <v>15</v>
      </c>
      <c r="I6813">
        <v>0.73399999999999999</v>
      </c>
      <c r="J6813">
        <v>0.84599999999999997</v>
      </c>
      <c r="K6813">
        <v>0.112</v>
      </c>
      <c r="L6813">
        <v>11</v>
      </c>
      <c r="M6813">
        <v>2</v>
      </c>
      <c r="N6813">
        <v>2</v>
      </c>
      <c r="O6813" t="s">
        <v>53</v>
      </c>
      <c r="P6813" t="s">
        <v>53</v>
      </c>
      <c r="Q6813" t="s">
        <v>53</v>
      </c>
    </row>
    <row r="6814" spans="1:17" x14ac:dyDescent="0.2">
      <c r="A6814" s="30" t="str">
        <f>IF(C6814&amp;G6814&amp;D6814&lt;&gt;'Funnel setup'!$K$3&amp;'Funnel setup'!$K$4&amp;'Funnel setup'!$K$5,".",IF(A6813=".",1,A6813+1))</f>
        <v>.</v>
      </c>
      <c r="B6814" s="431" t="str">
        <f t="shared" si="106"/>
        <v>Varicose VeinCCG of GP PracticeNHS REDDITCH AND BROMSGROVE CCG (05J)EQ-5D Index</v>
      </c>
      <c r="C6814" t="s">
        <v>17</v>
      </c>
      <c r="D6814" t="s">
        <v>87</v>
      </c>
      <c r="E6814" t="s">
        <v>794</v>
      </c>
      <c r="F6814" t="s">
        <v>795</v>
      </c>
      <c r="G6814" t="s">
        <v>52</v>
      </c>
      <c r="H6814">
        <v>7</v>
      </c>
      <c r="I6814">
        <v>0.83699999999999997</v>
      </c>
      <c r="J6814">
        <v>0.89100000000000001</v>
      </c>
      <c r="K6814">
        <v>5.3999999999999999E-2</v>
      </c>
      <c r="L6814">
        <v>3</v>
      </c>
      <c r="M6814">
        <v>3</v>
      </c>
      <c r="N6814">
        <v>1</v>
      </c>
      <c r="O6814" t="s">
        <v>53</v>
      </c>
      <c r="P6814" t="s">
        <v>53</v>
      </c>
      <c r="Q6814" t="s">
        <v>53</v>
      </c>
    </row>
    <row r="6815" spans="1:17" x14ac:dyDescent="0.2">
      <c r="A6815" s="30" t="str">
        <f>IF(C6815&amp;G6815&amp;D6815&lt;&gt;'Funnel setup'!$K$3&amp;'Funnel setup'!$K$4&amp;'Funnel setup'!$K$5,".",IF(A6814=".",1,A6814+1))</f>
        <v>.</v>
      </c>
      <c r="B6815" s="431" t="str">
        <f t="shared" si="106"/>
        <v>Varicose VeinCCG of GP PracticeNHS RICHMOND CCG (08P)EQ-5D Index</v>
      </c>
      <c r="C6815" t="s">
        <v>17</v>
      </c>
      <c r="D6815" t="s">
        <v>87</v>
      </c>
      <c r="E6815" t="s">
        <v>797</v>
      </c>
      <c r="F6815" t="s">
        <v>798</v>
      </c>
      <c r="G6815" t="s">
        <v>52</v>
      </c>
      <c r="H6815">
        <v>13</v>
      </c>
      <c r="I6815">
        <v>0.76100000000000001</v>
      </c>
      <c r="J6815">
        <v>0.82599999999999996</v>
      </c>
      <c r="K6815">
        <v>6.5000000000000002E-2</v>
      </c>
      <c r="L6815">
        <v>7</v>
      </c>
      <c r="M6815">
        <v>1</v>
      </c>
      <c r="N6815">
        <v>5</v>
      </c>
      <c r="O6815" t="s">
        <v>53</v>
      </c>
      <c r="P6815" t="s">
        <v>53</v>
      </c>
      <c r="Q6815" t="s">
        <v>53</v>
      </c>
    </row>
    <row r="6816" spans="1:17" x14ac:dyDescent="0.2">
      <c r="A6816" s="30" t="str">
        <f>IF(C6816&amp;G6816&amp;D6816&lt;&gt;'Funnel setup'!$K$3&amp;'Funnel setup'!$K$4&amp;'Funnel setup'!$K$5,".",IF(A6815=".",1,A6815+1))</f>
        <v>.</v>
      </c>
      <c r="B6816" s="431" t="str">
        <f t="shared" si="106"/>
        <v>Varicose VeinCCG of GP PracticeNHS ROTHERHAM CCG (03L)EQ-5D Index</v>
      </c>
      <c r="C6816" t="s">
        <v>17</v>
      </c>
      <c r="D6816" t="s">
        <v>87</v>
      </c>
      <c r="E6816" t="s">
        <v>800</v>
      </c>
      <c r="F6816" t="s">
        <v>801</v>
      </c>
      <c r="G6816" t="s">
        <v>52</v>
      </c>
      <c r="H6816">
        <v>49</v>
      </c>
      <c r="I6816">
        <v>0.70699999999999996</v>
      </c>
      <c r="J6816">
        <v>0.82599999999999996</v>
      </c>
      <c r="K6816">
        <v>0.11899999999999999</v>
      </c>
      <c r="L6816">
        <v>28</v>
      </c>
      <c r="M6816">
        <v>15</v>
      </c>
      <c r="N6816">
        <v>6</v>
      </c>
      <c r="O6816">
        <v>0.83499999999999996</v>
      </c>
      <c r="P6816">
        <v>8.8492264000000001E-2</v>
      </c>
      <c r="Q6816">
        <v>0.20899999999999999</v>
      </c>
    </row>
    <row r="6817" spans="1:17" x14ac:dyDescent="0.2">
      <c r="A6817" s="30" t="str">
        <f>IF(C6817&amp;G6817&amp;D6817&lt;&gt;'Funnel setup'!$K$3&amp;'Funnel setup'!$K$4&amp;'Funnel setup'!$K$5,".",IF(A6816=".",1,A6816+1))</f>
        <v>.</v>
      </c>
      <c r="B6817" s="431" t="str">
        <f t="shared" si="106"/>
        <v>Varicose VeinCCG of GP PracticeNHS RUSHCLIFFE CCG (04N)EQ-5D Index</v>
      </c>
      <c r="C6817" t="s">
        <v>17</v>
      </c>
      <c r="D6817" t="s">
        <v>87</v>
      </c>
      <c r="E6817" t="s">
        <v>803</v>
      </c>
      <c r="F6817" t="s">
        <v>804</v>
      </c>
      <c r="G6817" t="s">
        <v>52</v>
      </c>
      <c r="H6817">
        <v>27</v>
      </c>
      <c r="I6817">
        <v>0.76300000000000001</v>
      </c>
      <c r="J6817">
        <v>0.84799999999999998</v>
      </c>
      <c r="K6817">
        <v>8.5000000000000006E-2</v>
      </c>
      <c r="L6817">
        <v>13</v>
      </c>
      <c r="M6817">
        <v>11</v>
      </c>
      <c r="N6817">
        <v>3</v>
      </c>
      <c r="O6817" t="s">
        <v>53</v>
      </c>
      <c r="P6817" t="s">
        <v>53</v>
      </c>
      <c r="Q6817" t="s">
        <v>53</v>
      </c>
    </row>
    <row r="6818" spans="1:17" x14ac:dyDescent="0.2">
      <c r="A6818" s="30" t="str">
        <f>IF(C6818&amp;G6818&amp;D6818&lt;&gt;'Funnel setup'!$K$3&amp;'Funnel setup'!$K$4&amp;'Funnel setup'!$K$5,".",IF(A6817=".",1,A6817+1))</f>
        <v>.</v>
      </c>
      <c r="B6818" s="431" t="str">
        <f t="shared" si="106"/>
        <v>Varicose VeinCCG of GP PracticeNHS SALFORD CCG (01G)EQ-5D Index</v>
      </c>
      <c r="C6818" t="s">
        <v>17</v>
      </c>
      <c r="D6818" t="s">
        <v>87</v>
      </c>
      <c r="E6818" t="s">
        <v>806</v>
      </c>
      <c r="F6818" t="s">
        <v>807</v>
      </c>
      <c r="G6818" t="s">
        <v>52</v>
      </c>
      <c r="H6818">
        <v>8</v>
      </c>
      <c r="I6818">
        <v>0.59899999999999998</v>
      </c>
      <c r="J6818">
        <v>0.67800000000000005</v>
      </c>
      <c r="K6818">
        <v>7.9000000000000001E-2</v>
      </c>
      <c r="L6818">
        <v>4</v>
      </c>
      <c r="M6818">
        <v>3</v>
      </c>
      <c r="N6818">
        <v>1</v>
      </c>
      <c r="O6818" t="s">
        <v>53</v>
      </c>
      <c r="P6818" t="s">
        <v>53</v>
      </c>
      <c r="Q6818" t="s">
        <v>53</v>
      </c>
    </row>
    <row r="6819" spans="1:17" x14ac:dyDescent="0.2">
      <c r="A6819" s="30" t="str">
        <f>IF(C6819&amp;G6819&amp;D6819&lt;&gt;'Funnel setup'!$K$3&amp;'Funnel setup'!$K$4&amp;'Funnel setup'!$K$5,".",IF(A6818=".",1,A6818+1))</f>
        <v>.</v>
      </c>
      <c r="B6819" s="431" t="str">
        <f t="shared" si="106"/>
        <v>Varicose VeinCCG of GP PracticeNHS SANDWELL AND WEST BIRMINGHAM CCG (05L)EQ-5D Index</v>
      </c>
      <c r="C6819" t="s">
        <v>17</v>
      </c>
      <c r="D6819" t="s">
        <v>87</v>
      </c>
      <c r="E6819" t="s">
        <v>809</v>
      </c>
      <c r="F6819" t="s">
        <v>810</v>
      </c>
      <c r="G6819" t="s">
        <v>52</v>
      </c>
      <c r="H6819">
        <v>124</v>
      </c>
      <c r="I6819">
        <v>0.73099999999999998</v>
      </c>
      <c r="J6819">
        <v>0.82</v>
      </c>
      <c r="K6819">
        <v>0.09</v>
      </c>
      <c r="L6819">
        <v>58</v>
      </c>
      <c r="M6819">
        <v>36</v>
      </c>
      <c r="N6819">
        <v>30</v>
      </c>
      <c r="O6819">
        <v>0.83699999999999997</v>
      </c>
      <c r="P6819">
        <v>8.9805454000000007E-2</v>
      </c>
      <c r="Q6819">
        <v>0.188</v>
      </c>
    </row>
    <row r="6820" spans="1:17" x14ac:dyDescent="0.2">
      <c r="A6820" s="30" t="str">
        <f>IF(C6820&amp;G6820&amp;D6820&lt;&gt;'Funnel setup'!$K$3&amp;'Funnel setup'!$K$4&amp;'Funnel setup'!$K$5,".",IF(A6819=".",1,A6819+1))</f>
        <v>.</v>
      </c>
      <c r="B6820" s="431" t="str">
        <f t="shared" si="106"/>
        <v>Varicose VeinCCG of GP PracticeNHS SCARBOROUGH AND RYEDALE CCG (03M)EQ-5D Index</v>
      </c>
      <c r="C6820" t="s">
        <v>17</v>
      </c>
      <c r="D6820" t="s">
        <v>87</v>
      </c>
      <c r="E6820" t="s">
        <v>812</v>
      </c>
      <c r="F6820" t="s">
        <v>813</v>
      </c>
      <c r="G6820" t="s">
        <v>52</v>
      </c>
      <c r="H6820">
        <v>27</v>
      </c>
      <c r="I6820">
        <v>0.75700000000000001</v>
      </c>
      <c r="J6820">
        <v>0.90900000000000003</v>
      </c>
      <c r="K6820">
        <v>0.151</v>
      </c>
      <c r="L6820">
        <v>18</v>
      </c>
      <c r="M6820">
        <v>8</v>
      </c>
      <c r="N6820">
        <v>1</v>
      </c>
      <c r="O6820" t="s">
        <v>53</v>
      </c>
      <c r="P6820" t="s">
        <v>53</v>
      </c>
      <c r="Q6820" t="s">
        <v>53</v>
      </c>
    </row>
    <row r="6821" spans="1:17" x14ac:dyDescent="0.2">
      <c r="A6821" s="30" t="str">
        <f>IF(C6821&amp;G6821&amp;D6821&lt;&gt;'Funnel setup'!$K$3&amp;'Funnel setup'!$K$4&amp;'Funnel setup'!$K$5,".",IF(A6820=".",1,A6820+1))</f>
        <v>.</v>
      </c>
      <c r="B6821" s="431" t="str">
        <f t="shared" si="106"/>
        <v>Varicose VeinCCG of GP PracticeNHS SHEFFIELD CCG (03N)EQ-5D Index</v>
      </c>
      <c r="C6821" t="s">
        <v>17</v>
      </c>
      <c r="D6821" t="s">
        <v>87</v>
      </c>
      <c r="E6821" t="s">
        <v>815</v>
      </c>
      <c r="F6821" t="s">
        <v>816</v>
      </c>
      <c r="G6821" t="s">
        <v>52</v>
      </c>
      <c r="H6821">
        <v>71</v>
      </c>
      <c r="I6821">
        <v>0.76400000000000001</v>
      </c>
      <c r="J6821">
        <v>0.871</v>
      </c>
      <c r="K6821">
        <v>0.107</v>
      </c>
      <c r="L6821">
        <v>39</v>
      </c>
      <c r="M6821">
        <v>19</v>
      </c>
      <c r="N6821">
        <v>13</v>
      </c>
      <c r="O6821">
        <v>0.86599999999999999</v>
      </c>
      <c r="P6821">
        <v>0.119692618</v>
      </c>
      <c r="Q6821">
        <v>0.157</v>
      </c>
    </row>
    <row r="6822" spans="1:17" x14ac:dyDescent="0.2">
      <c r="A6822" s="30" t="str">
        <f>IF(C6822&amp;G6822&amp;D6822&lt;&gt;'Funnel setup'!$K$3&amp;'Funnel setup'!$K$4&amp;'Funnel setup'!$K$5,".",IF(A6821=".",1,A6821+1))</f>
        <v>.</v>
      </c>
      <c r="B6822" s="431" t="str">
        <f t="shared" si="106"/>
        <v>Varicose VeinCCG of GP PracticeNHS SHROPSHIRE CCG (05N)EQ-5D Index</v>
      </c>
      <c r="C6822" t="s">
        <v>17</v>
      </c>
      <c r="D6822" t="s">
        <v>87</v>
      </c>
      <c r="E6822" t="s">
        <v>818</v>
      </c>
      <c r="F6822" t="s">
        <v>819</v>
      </c>
      <c r="G6822" t="s">
        <v>52</v>
      </c>
      <c r="H6822">
        <v>27</v>
      </c>
      <c r="I6822">
        <v>0.81</v>
      </c>
      <c r="J6822">
        <v>0.90700000000000003</v>
      </c>
      <c r="K6822">
        <v>9.7000000000000003E-2</v>
      </c>
      <c r="L6822">
        <v>15</v>
      </c>
      <c r="M6822">
        <v>9</v>
      </c>
      <c r="N6822">
        <v>3</v>
      </c>
      <c r="O6822" t="s">
        <v>53</v>
      </c>
      <c r="P6822" t="s">
        <v>53</v>
      </c>
      <c r="Q6822" t="s">
        <v>53</v>
      </c>
    </row>
    <row r="6823" spans="1:17" x14ac:dyDescent="0.2">
      <c r="A6823" s="30" t="str">
        <f>IF(C6823&amp;G6823&amp;D6823&lt;&gt;'Funnel setup'!$K$3&amp;'Funnel setup'!$K$4&amp;'Funnel setup'!$K$5,".",IF(A6822=".",1,A6822+1))</f>
        <v>.</v>
      </c>
      <c r="B6823" s="431" t="str">
        <f t="shared" si="106"/>
        <v>Varicose VeinCCG of GP PracticeNHS SOLIHULL CCG (05P)EQ-5D Index</v>
      </c>
      <c r="C6823" t="s">
        <v>17</v>
      </c>
      <c r="D6823" t="s">
        <v>87</v>
      </c>
      <c r="E6823" t="s">
        <v>824</v>
      </c>
      <c r="F6823" t="s">
        <v>825</v>
      </c>
      <c r="G6823" t="s">
        <v>52</v>
      </c>
      <c r="H6823">
        <v>50</v>
      </c>
      <c r="I6823">
        <v>0.752</v>
      </c>
      <c r="J6823">
        <v>0.879</v>
      </c>
      <c r="K6823">
        <v>0.127</v>
      </c>
      <c r="L6823">
        <v>29</v>
      </c>
      <c r="M6823">
        <v>16</v>
      </c>
      <c r="N6823">
        <v>5</v>
      </c>
      <c r="O6823">
        <v>0.86199999999999999</v>
      </c>
      <c r="P6823">
        <v>0.114777581</v>
      </c>
      <c r="Q6823">
        <v>0.16600000000000001</v>
      </c>
    </row>
    <row r="6824" spans="1:17" x14ac:dyDescent="0.2">
      <c r="A6824" s="30" t="str">
        <f>IF(C6824&amp;G6824&amp;D6824&lt;&gt;'Funnel setup'!$K$3&amp;'Funnel setup'!$K$4&amp;'Funnel setup'!$K$5,".",IF(A6823=".",1,A6823+1))</f>
        <v>.</v>
      </c>
      <c r="B6824" s="431" t="str">
        <f t="shared" si="106"/>
        <v>Varicose VeinCCG of GP PracticeNHS SOMERSET CCG (11X)EQ-5D Index</v>
      </c>
      <c r="C6824" t="s">
        <v>17</v>
      </c>
      <c r="D6824" t="s">
        <v>87</v>
      </c>
      <c r="E6824" t="s">
        <v>827</v>
      </c>
      <c r="F6824" t="s">
        <v>828</v>
      </c>
      <c r="G6824" t="s">
        <v>52</v>
      </c>
      <c r="H6824">
        <v>77</v>
      </c>
      <c r="I6824">
        <v>0.72299999999999998</v>
      </c>
      <c r="J6824">
        <v>0.83799999999999997</v>
      </c>
      <c r="K6824">
        <v>0.115</v>
      </c>
      <c r="L6824">
        <v>43</v>
      </c>
      <c r="M6824">
        <v>20</v>
      </c>
      <c r="N6824">
        <v>14</v>
      </c>
      <c r="O6824">
        <v>0.86699999999999999</v>
      </c>
      <c r="P6824">
        <v>0.120315159</v>
      </c>
      <c r="Q6824">
        <v>0.14699999999999999</v>
      </c>
    </row>
    <row r="6825" spans="1:17" x14ac:dyDescent="0.2">
      <c r="A6825" s="30" t="str">
        <f>IF(C6825&amp;G6825&amp;D6825&lt;&gt;'Funnel setup'!$K$3&amp;'Funnel setup'!$K$4&amp;'Funnel setup'!$K$5,".",IF(A6824=".",1,A6824+1))</f>
        <v>.</v>
      </c>
      <c r="B6825" s="431" t="str">
        <f t="shared" si="106"/>
        <v>Varicose VeinCCG of GP PracticeNHS SOUTH CHESHIRE CCG (01R)EQ-5D Index</v>
      </c>
      <c r="C6825" t="s">
        <v>17</v>
      </c>
      <c r="D6825" t="s">
        <v>87</v>
      </c>
      <c r="E6825" t="s">
        <v>830</v>
      </c>
      <c r="F6825" t="s">
        <v>831</v>
      </c>
      <c r="G6825" t="s">
        <v>52</v>
      </c>
      <c r="H6825">
        <v>8</v>
      </c>
      <c r="I6825">
        <v>0.66300000000000003</v>
      </c>
      <c r="J6825">
        <v>0.93600000000000005</v>
      </c>
      <c r="K6825">
        <v>0.27300000000000002</v>
      </c>
      <c r="L6825">
        <v>5</v>
      </c>
      <c r="M6825">
        <v>3</v>
      </c>
      <c r="N6825">
        <v>0</v>
      </c>
      <c r="O6825" t="s">
        <v>53</v>
      </c>
      <c r="P6825" t="s">
        <v>53</v>
      </c>
      <c r="Q6825" t="s">
        <v>53</v>
      </c>
    </row>
    <row r="6826" spans="1:17" x14ac:dyDescent="0.2">
      <c r="A6826" s="30" t="str">
        <f>IF(C6826&amp;G6826&amp;D6826&lt;&gt;'Funnel setup'!$K$3&amp;'Funnel setup'!$K$4&amp;'Funnel setup'!$K$5,".",IF(A6825=".",1,A6825+1))</f>
        <v>.</v>
      </c>
      <c r="B6826" s="431" t="str">
        <f t="shared" si="106"/>
        <v>Varicose VeinCCG of GP PracticeNHS SOUTH DEVON AND TORBAY CCG (99Q)EQ-5D Index</v>
      </c>
      <c r="C6826" t="s">
        <v>17</v>
      </c>
      <c r="D6826" t="s">
        <v>87</v>
      </c>
      <c r="E6826" t="s">
        <v>833</v>
      </c>
      <c r="F6826" t="s">
        <v>834</v>
      </c>
      <c r="G6826" t="s">
        <v>52</v>
      </c>
      <c r="H6826">
        <v>7</v>
      </c>
      <c r="I6826">
        <v>0.78100000000000003</v>
      </c>
      <c r="J6826">
        <v>0.86199999999999999</v>
      </c>
      <c r="K6826">
        <v>8.1000000000000003E-2</v>
      </c>
      <c r="L6826">
        <v>3</v>
      </c>
      <c r="M6826">
        <v>4</v>
      </c>
      <c r="N6826">
        <v>0</v>
      </c>
      <c r="O6826" t="s">
        <v>53</v>
      </c>
      <c r="P6826" t="s">
        <v>53</v>
      </c>
      <c r="Q6826" t="s">
        <v>53</v>
      </c>
    </row>
    <row r="6827" spans="1:17" x14ac:dyDescent="0.2">
      <c r="A6827" s="30" t="str">
        <f>IF(C6827&amp;G6827&amp;D6827&lt;&gt;'Funnel setup'!$K$3&amp;'Funnel setup'!$K$4&amp;'Funnel setup'!$K$5,".",IF(A6826=".",1,A6826+1))</f>
        <v>.</v>
      </c>
      <c r="B6827" s="431" t="str">
        <f t="shared" si="106"/>
        <v>Varicose VeinCCG of GP PracticeNHS SOUTH EAST STAFFORDSHIRE AND SEISDON PENINSULA CCG (05Q)EQ-5D Index</v>
      </c>
      <c r="C6827" t="s">
        <v>17</v>
      </c>
      <c r="D6827" t="s">
        <v>87</v>
      </c>
      <c r="E6827" t="s">
        <v>836</v>
      </c>
      <c r="F6827" t="s">
        <v>837</v>
      </c>
      <c r="G6827" t="s">
        <v>52</v>
      </c>
      <c r="H6827">
        <v>33</v>
      </c>
      <c r="I6827">
        <v>0.73899999999999999</v>
      </c>
      <c r="J6827">
        <v>0.85899999999999999</v>
      </c>
      <c r="K6827">
        <v>0.12</v>
      </c>
      <c r="L6827">
        <v>20</v>
      </c>
      <c r="M6827">
        <v>9</v>
      </c>
      <c r="N6827">
        <v>4</v>
      </c>
      <c r="O6827">
        <v>0.85799999999999998</v>
      </c>
      <c r="P6827">
        <v>0.11082017600000001</v>
      </c>
      <c r="Q6827">
        <v>0.14499999999999999</v>
      </c>
    </row>
    <row r="6828" spans="1:17" x14ac:dyDescent="0.2">
      <c r="A6828" s="30" t="str">
        <f>IF(C6828&amp;G6828&amp;D6828&lt;&gt;'Funnel setup'!$K$3&amp;'Funnel setup'!$K$4&amp;'Funnel setup'!$K$5,".",IF(A6827=".",1,A6827+1))</f>
        <v>.</v>
      </c>
      <c r="B6828" s="431" t="str">
        <f t="shared" si="106"/>
        <v>Varicose VeinCCG of GP PracticeNHS SOUTH EASTERN HAMPSHIRE CCG (10V)EQ-5D Index</v>
      </c>
      <c r="C6828" t="s">
        <v>17</v>
      </c>
      <c r="D6828" t="s">
        <v>87</v>
      </c>
      <c r="E6828" t="s">
        <v>839</v>
      </c>
      <c r="F6828" t="s">
        <v>840</v>
      </c>
      <c r="G6828" t="s">
        <v>52</v>
      </c>
      <c r="H6828" t="s">
        <v>53</v>
      </c>
      <c r="I6828" t="s">
        <v>53</v>
      </c>
      <c r="J6828" t="s">
        <v>53</v>
      </c>
      <c r="K6828" t="s">
        <v>53</v>
      </c>
      <c r="L6828" t="s">
        <v>53</v>
      </c>
      <c r="M6828" t="s">
        <v>53</v>
      </c>
      <c r="N6828" t="s">
        <v>53</v>
      </c>
      <c r="O6828" t="s">
        <v>53</v>
      </c>
      <c r="P6828" t="s">
        <v>53</v>
      </c>
      <c r="Q6828" t="s">
        <v>53</v>
      </c>
    </row>
    <row r="6829" spans="1:17" x14ac:dyDescent="0.2">
      <c r="A6829" s="30" t="str">
        <f>IF(C6829&amp;G6829&amp;D6829&lt;&gt;'Funnel setup'!$K$3&amp;'Funnel setup'!$K$4&amp;'Funnel setup'!$K$5,".",IF(A6828=".",1,A6828+1))</f>
        <v>.</v>
      </c>
      <c r="B6829" s="431" t="str">
        <f t="shared" si="106"/>
        <v>Varicose VeinCCG of GP PracticeNHS SOUTH GLOUCESTERSHIRE CCG (12A)EQ-5D Index</v>
      </c>
      <c r="C6829" t="s">
        <v>17</v>
      </c>
      <c r="D6829" t="s">
        <v>87</v>
      </c>
      <c r="E6829" t="s">
        <v>842</v>
      </c>
      <c r="F6829" t="s">
        <v>843</v>
      </c>
      <c r="G6829" t="s">
        <v>52</v>
      </c>
      <c r="H6829">
        <v>17</v>
      </c>
      <c r="I6829">
        <v>0.76</v>
      </c>
      <c r="J6829">
        <v>0.93799999999999994</v>
      </c>
      <c r="K6829">
        <v>0.17799999999999999</v>
      </c>
      <c r="L6829">
        <v>8</v>
      </c>
      <c r="M6829">
        <v>9</v>
      </c>
      <c r="N6829">
        <v>0</v>
      </c>
      <c r="O6829" t="s">
        <v>53</v>
      </c>
      <c r="P6829" t="s">
        <v>53</v>
      </c>
      <c r="Q6829" t="s">
        <v>53</v>
      </c>
    </row>
    <row r="6830" spans="1:17" x14ac:dyDescent="0.2">
      <c r="A6830" s="30" t="str">
        <f>IF(C6830&amp;G6830&amp;D6830&lt;&gt;'Funnel setup'!$K$3&amp;'Funnel setup'!$K$4&amp;'Funnel setup'!$K$5,".",IF(A6829=".",1,A6829+1))</f>
        <v>.</v>
      </c>
      <c r="B6830" s="431" t="str">
        <f t="shared" si="106"/>
        <v>Varicose VeinCCG of GP PracticeNHS SOUTH LINCOLNSHIRE CCG (99D)EQ-5D Index</v>
      </c>
      <c r="C6830" t="s">
        <v>17</v>
      </c>
      <c r="D6830" t="s">
        <v>87</v>
      </c>
      <c r="E6830" t="s">
        <v>848</v>
      </c>
      <c r="F6830" t="s">
        <v>849</v>
      </c>
      <c r="G6830" t="s">
        <v>52</v>
      </c>
      <c r="H6830">
        <v>13</v>
      </c>
      <c r="I6830">
        <v>0.67700000000000005</v>
      </c>
      <c r="J6830">
        <v>0.89200000000000002</v>
      </c>
      <c r="K6830">
        <v>0.215</v>
      </c>
      <c r="L6830">
        <v>8</v>
      </c>
      <c r="M6830">
        <v>3</v>
      </c>
      <c r="N6830">
        <v>2</v>
      </c>
      <c r="O6830" t="s">
        <v>53</v>
      </c>
      <c r="P6830" t="s">
        <v>53</v>
      </c>
      <c r="Q6830" t="s">
        <v>53</v>
      </c>
    </row>
    <row r="6831" spans="1:17" x14ac:dyDescent="0.2">
      <c r="A6831" s="30" t="str">
        <f>IF(C6831&amp;G6831&amp;D6831&lt;&gt;'Funnel setup'!$K$3&amp;'Funnel setup'!$K$4&amp;'Funnel setup'!$K$5,".",IF(A6830=".",1,A6830+1))</f>
        <v>.</v>
      </c>
      <c r="B6831" s="431" t="str">
        <f t="shared" si="106"/>
        <v>Varicose VeinCCG of GP PracticeNHS SOUTH MANCHESTER CCG (01N)EQ-5D Index</v>
      </c>
      <c r="C6831" t="s">
        <v>17</v>
      </c>
      <c r="D6831" t="s">
        <v>87</v>
      </c>
      <c r="E6831" t="s">
        <v>851</v>
      </c>
      <c r="F6831" t="s">
        <v>852</v>
      </c>
      <c r="G6831" t="s">
        <v>52</v>
      </c>
      <c r="H6831">
        <v>16</v>
      </c>
      <c r="I6831">
        <v>0.82399999999999995</v>
      </c>
      <c r="J6831">
        <v>0.83399999999999996</v>
      </c>
      <c r="K6831">
        <v>1.0999999999999999E-2</v>
      </c>
      <c r="L6831">
        <v>4</v>
      </c>
      <c r="M6831">
        <v>6</v>
      </c>
      <c r="N6831">
        <v>6</v>
      </c>
      <c r="O6831" t="s">
        <v>53</v>
      </c>
      <c r="P6831" t="s">
        <v>53</v>
      </c>
      <c r="Q6831" t="s">
        <v>53</v>
      </c>
    </row>
    <row r="6832" spans="1:17" x14ac:dyDescent="0.2">
      <c r="A6832" s="30" t="str">
        <f>IF(C6832&amp;G6832&amp;D6832&lt;&gt;'Funnel setup'!$K$3&amp;'Funnel setup'!$K$4&amp;'Funnel setup'!$K$5,".",IF(A6831=".",1,A6831+1))</f>
        <v>.</v>
      </c>
      <c r="B6832" s="431" t="str">
        <f t="shared" si="106"/>
        <v>Varicose VeinCCG of GP PracticeNHS SOUTH NORFOLK CCG (06Y)EQ-5D Index</v>
      </c>
      <c r="C6832" t="s">
        <v>17</v>
      </c>
      <c r="D6832" t="s">
        <v>87</v>
      </c>
      <c r="E6832" t="s">
        <v>932</v>
      </c>
      <c r="F6832" t="s">
        <v>933</v>
      </c>
      <c r="G6832" t="s">
        <v>52</v>
      </c>
      <c r="H6832">
        <v>40</v>
      </c>
      <c r="I6832">
        <v>0.82399999999999995</v>
      </c>
      <c r="J6832">
        <v>0.89</v>
      </c>
      <c r="K6832">
        <v>6.6000000000000003E-2</v>
      </c>
      <c r="L6832">
        <v>20</v>
      </c>
      <c r="M6832">
        <v>16</v>
      </c>
      <c r="N6832">
        <v>4</v>
      </c>
      <c r="O6832">
        <v>0.81699999999999995</v>
      </c>
      <c r="P6832">
        <v>7.0076713999999998E-2</v>
      </c>
      <c r="Q6832">
        <v>0.113</v>
      </c>
    </row>
    <row r="6833" spans="1:17" x14ac:dyDescent="0.2">
      <c r="A6833" s="30" t="str">
        <f>IF(C6833&amp;G6833&amp;D6833&lt;&gt;'Funnel setup'!$K$3&amp;'Funnel setup'!$K$4&amp;'Funnel setup'!$K$5,".",IF(A6832=".",1,A6832+1))</f>
        <v>.</v>
      </c>
      <c r="B6833" s="431" t="str">
        <f t="shared" si="106"/>
        <v>Varicose VeinCCG of GP PracticeNHS SOUTH READING CCG (10W)EQ-5D Index</v>
      </c>
      <c r="C6833" t="s">
        <v>17</v>
      </c>
      <c r="D6833" t="s">
        <v>87</v>
      </c>
      <c r="E6833" t="s">
        <v>935</v>
      </c>
      <c r="F6833" t="s">
        <v>936</v>
      </c>
      <c r="G6833" t="s">
        <v>52</v>
      </c>
      <c r="H6833" t="s">
        <v>53</v>
      </c>
      <c r="I6833" t="s">
        <v>53</v>
      </c>
      <c r="J6833" t="s">
        <v>53</v>
      </c>
      <c r="K6833" t="s">
        <v>53</v>
      </c>
      <c r="L6833" t="s">
        <v>53</v>
      </c>
      <c r="M6833" t="s">
        <v>53</v>
      </c>
      <c r="N6833" t="s">
        <v>53</v>
      </c>
      <c r="O6833" t="s">
        <v>53</v>
      </c>
      <c r="P6833" t="s">
        <v>53</v>
      </c>
      <c r="Q6833" t="s">
        <v>53</v>
      </c>
    </row>
    <row r="6834" spans="1:17" x14ac:dyDescent="0.2">
      <c r="A6834" s="30" t="str">
        <f>IF(C6834&amp;G6834&amp;D6834&lt;&gt;'Funnel setup'!$K$3&amp;'Funnel setup'!$K$4&amp;'Funnel setup'!$K$5,".",IF(A6833=".",1,A6833+1))</f>
        <v>.</v>
      </c>
      <c r="B6834" s="431" t="str">
        <f t="shared" si="106"/>
        <v>Varicose VeinCCG of GP PracticeNHS SOUTH SEFTON CCG (01T)EQ-5D Index</v>
      </c>
      <c r="C6834" t="s">
        <v>17</v>
      </c>
      <c r="D6834" t="s">
        <v>87</v>
      </c>
      <c r="E6834" t="s">
        <v>938</v>
      </c>
      <c r="F6834" t="s">
        <v>939</v>
      </c>
      <c r="G6834" t="s">
        <v>52</v>
      </c>
      <c r="H6834">
        <v>11</v>
      </c>
      <c r="I6834">
        <v>0.76800000000000002</v>
      </c>
      <c r="J6834">
        <v>0.81899999999999995</v>
      </c>
      <c r="K6834">
        <v>5.0999999999999997E-2</v>
      </c>
      <c r="L6834">
        <v>3</v>
      </c>
      <c r="M6834">
        <v>5</v>
      </c>
      <c r="N6834">
        <v>3</v>
      </c>
      <c r="O6834" t="s">
        <v>53</v>
      </c>
      <c r="P6834" t="s">
        <v>53</v>
      </c>
      <c r="Q6834" t="s">
        <v>53</v>
      </c>
    </row>
    <row r="6835" spans="1:17" x14ac:dyDescent="0.2">
      <c r="A6835" s="30" t="str">
        <f>IF(C6835&amp;G6835&amp;D6835&lt;&gt;'Funnel setup'!$K$3&amp;'Funnel setup'!$K$4&amp;'Funnel setup'!$K$5,".",IF(A6834=".",1,A6834+1))</f>
        <v>.</v>
      </c>
      <c r="B6835" s="431" t="str">
        <f t="shared" si="106"/>
        <v>Varicose VeinCCG of GP PracticeNHS SOUTH TEES CCG (00M)EQ-5D Index</v>
      </c>
      <c r="C6835" t="s">
        <v>17</v>
      </c>
      <c r="D6835" t="s">
        <v>87</v>
      </c>
      <c r="E6835" t="s">
        <v>941</v>
      </c>
      <c r="F6835" t="s">
        <v>942</v>
      </c>
      <c r="G6835" t="s">
        <v>52</v>
      </c>
      <c r="H6835">
        <v>26</v>
      </c>
      <c r="I6835">
        <v>0.73</v>
      </c>
      <c r="J6835">
        <v>0.85799999999999998</v>
      </c>
      <c r="K6835">
        <v>0.127</v>
      </c>
      <c r="L6835">
        <v>15</v>
      </c>
      <c r="M6835">
        <v>8</v>
      </c>
      <c r="N6835">
        <v>3</v>
      </c>
      <c r="O6835" t="s">
        <v>53</v>
      </c>
      <c r="P6835" t="s">
        <v>53</v>
      </c>
      <c r="Q6835" t="s">
        <v>53</v>
      </c>
    </row>
    <row r="6836" spans="1:17" x14ac:dyDescent="0.2">
      <c r="A6836" s="30" t="str">
        <f>IF(C6836&amp;G6836&amp;D6836&lt;&gt;'Funnel setup'!$K$3&amp;'Funnel setup'!$K$4&amp;'Funnel setup'!$K$5,".",IF(A6835=".",1,A6835+1))</f>
        <v>.</v>
      </c>
      <c r="B6836" s="431" t="str">
        <f t="shared" si="106"/>
        <v>Varicose VeinCCG of GP PracticeNHS SOUTH TYNESIDE CCG (00N)EQ-5D Index</v>
      </c>
      <c r="C6836" t="s">
        <v>17</v>
      </c>
      <c r="D6836" t="s">
        <v>87</v>
      </c>
      <c r="E6836" t="s">
        <v>1016</v>
      </c>
      <c r="F6836" t="s">
        <v>1017</v>
      </c>
      <c r="G6836" t="s">
        <v>52</v>
      </c>
      <c r="H6836">
        <v>106</v>
      </c>
      <c r="I6836">
        <v>0.754</v>
      </c>
      <c r="J6836">
        <v>0.82399999999999995</v>
      </c>
      <c r="K6836">
        <v>7.0000000000000007E-2</v>
      </c>
      <c r="L6836">
        <v>45</v>
      </c>
      <c r="M6836">
        <v>37</v>
      </c>
      <c r="N6836">
        <v>24</v>
      </c>
      <c r="O6836">
        <v>0.82499999999999996</v>
      </c>
      <c r="P6836">
        <v>7.7894041999999997E-2</v>
      </c>
      <c r="Q6836">
        <v>0.187</v>
      </c>
    </row>
    <row r="6837" spans="1:17" x14ac:dyDescent="0.2">
      <c r="A6837" s="30" t="str">
        <f>IF(C6837&amp;G6837&amp;D6837&lt;&gt;'Funnel setup'!$K$3&amp;'Funnel setup'!$K$4&amp;'Funnel setup'!$K$5,".",IF(A6836=".",1,A6836+1))</f>
        <v>.</v>
      </c>
      <c r="B6837" s="431" t="str">
        <f t="shared" si="106"/>
        <v>Varicose VeinCCG of GP PracticeNHS SOUTH WARWICKSHIRE CCG (05R)EQ-5D Index</v>
      </c>
      <c r="C6837" t="s">
        <v>17</v>
      </c>
      <c r="D6837" t="s">
        <v>87</v>
      </c>
      <c r="E6837" t="s">
        <v>944</v>
      </c>
      <c r="F6837" t="s">
        <v>945</v>
      </c>
      <c r="G6837" t="s">
        <v>52</v>
      </c>
      <c r="H6837">
        <v>30</v>
      </c>
      <c r="I6837">
        <v>0.77600000000000002</v>
      </c>
      <c r="J6837">
        <v>0.90900000000000003</v>
      </c>
      <c r="K6837">
        <v>0.13200000000000001</v>
      </c>
      <c r="L6837">
        <v>20</v>
      </c>
      <c r="M6837">
        <v>9</v>
      </c>
      <c r="N6837">
        <v>1</v>
      </c>
      <c r="O6837">
        <v>0.89200000000000002</v>
      </c>
      <c r="P6837">
        <v>0.14556480899999999</v>
      </c>
      <c r="Q6837">
        <v>0.13300000000000001</v>
      </c>
    </row>
    <row r="6838" spans="1:17" x14ac:dyDescent="0.2">
      <c r="A6838" s="30" t="str">
        <f>IF(C6838&amp;G6838&amp;D6838&lt;&gt;'Funnel setup'!$K$3&amp;'Funnel setup'!$K$4&amp;'Funnel setup'!$K$5,".",IF(A6837=".",1,A6837+1))</f>
        <v>.</v>
      </c>
      <c r="B6838" s="431" t="str">
        <f t="shared" si="106"/>
        <v>Varicose VeinCCG of GP PracticeNHS SOUTH WEST LINCOLNSHIRE CCG (04Q)EQ-5D Index</v>
      </c>
      <c r="C6838" t="s">
        <v>17</v>
      </c>
      <c r="D6838" t="s">
        <v>87</v>
      </c>
      <c r="E6838" t="s">
        <v>947</v>
      </c>
      <c r="F6838" t="s">
        <v>948</v>
      </c>
      <c r="G6838" t="s">
        <v>52</v>
      </c>
      <c r="H6838">
        <v>14</v>
      </c>
      <c r="I6838">
        <v>0.75800000000000001</v>
      </c>
      <c r="J6838">
        <v>0.76</v>
      </c>
      <c r="K6838">
        <v>2E-3</v>
      </c>
      <c r="L6838">
        <v>5</v>
      </c>
      <c r="M6838">
        <v>6</v>
      </c>
      <c r="N6838">
        <v>3</v>
      </c>
      <c r="O6838" t="s">
        <v>53</v>
      </c>
      <c r="P6838" t="s">
        <v>53</v>
      </c>
      <c r="Q6838" t="s">
        <v>53</v>
      </c>
    </row>
    <row r="6839" spans="1:17" x14ac:dyDescent="0.2">
      <c r="A6839" s="30" t="str">
        <f>IF(C6839&amp;G6839&amp;D6839&lt;&gt;'Funnel setup'!$K$3&amp;'Funnel setup'!$K$4&amp;'Funnel setup'!$K$5,".",IF(A6838=".",1,A6838+1))</f>
        <v>.</v>
      </c>
      <c r="B6839" s="431" t="str">
        <f t="shared" si="106"/>
        <v>Varicose VeinCCG of GP PracticeNHS SOUTH WORCESTERSHIRE CCG (05T)EQ-5D Index</v>
      </c>
      <c r="C6839" t="s">
        <v>17</v>
      </c>
      <c r="D6839" t="s">
        <v>87</v>
      </c>
      <c r="E6839" t="s">
        <v>950</v>
      </c>
      <c r="F6839" t="s">
        <v>951</v>
      </c>
      <c r="G6839" t="s">
        <v>52</v>
      </c>
      <c r="H6839">
        <v>11</v>
      </c>
      <c r="I6839">
        <v>0.84399999999999997</v>
      </c>
      <c r="J6839">
        <v>0.83499999999999996</v>
      </c>
      <c r="K6839">
        <v>-8.9999999999999993E-3</v>
      </c>
      <c r="L6839">
        <v>2</v>
      </c>
      <c r="M6839">
        <v>5</v>
      </c>
      <c r="N6839">
        <v>4</v>
      </c>
      <c r="O6839" t="s">
        <v>53</v>
      </c>
      <c r="P6839" t="s">
        <v>53</v>
      </c>
      <c r="Q6839" t="s">
        <v>53</v>
      </c>
    </row>
    <row r="6840" spans="1:17" x14ac:dyDescent="0.2">
      <c r="A6840" s="30" t="str">
        <f>IF(C6840&amp;G6840&amp;D6840&lt;&gt;'Funnel setup'!$K$3&amp;'Funnel setup'!$K$4&amp;'Funnel setup'!$K$5,".",IF(A6839=".",1,A6839+1))</f>
        <v>.</v>
      </c>
      <c r="B6840" s="431" t="str">
        <f t="shared" si="106"/>
        <v>Varicose VeinCCG of GP PracticeNHS SOUTHAMPTON CCG (10X)EQ-5D Index</v>
      </c>
      <c r="C6840" t="s">
        <v>17</v>
      </c>
      <c r="D6840" t="s">
        <v>87</v>
      </c>
      <c r="E6840" t="s">
        <v>953</v>
      </c>
      <c r="F6840" t="s">
        <v>954</v>
      </c>
      <c r="G6840" t="s">
        <v>52</v>
      </c>
      <c r="H6840">
        <v>6</v>
      </c>
      <c r="I6840">
        <v>0.67</v>
      </c>
      <c r="J6840">
        <v>0.90100000000000002</v>
      </c>
      <c r="K6840">
        <v>0.23100000000000001</v>
      </c>
      <c r="L6840">
        <v>5</v>
      </c>
      <c r="M6840">
        <v>1</v>
      </c>
      <c r="N6840">
        <v>0</v>
      </c>
      <c r="O6840" t="s">
        <v>53</v>
      </c>
      <c r="P6840" t="s">
        <v>53</v>
      </c>
      <c r="Q6840" t="s">
        <v>53</v>
      </c>
    </row>
    <row r="6841" spans="1:17" x14ac:dyDescent="0.2">
      <c r="A6841" s="30" t="str">
        <f>IF(C6841&amp;G6841&amp;D6841&lt;&gt;'Funnel setup'!$K$3&amp;'Funnel setup'!$K$4&amp;'Funnel setup'!$K$5,".",IF(A6840=".",1,A6840+1))</f>
        <v>.</v>
      </c>
      <c r="B6841" s="431" t="str">
        <f t="shared" si="106"/>
        <v>Varicose VeinCCG of GP PracticeNHS SOUTHEND CCG (99G)EQ-5D Index</v>
      </c>
      <c r="C6841" t="s">
        <v>17</v>
      </c>
      <c r="D6841" t="s">
        <v>87</v>
      </c>
      <c r="E6841" t="s">
        <v>956</v>
      </c>
      <c r="F6841" t="s">
        <v>957</v>
      </c>
      <c r="G6841" t="s">
        <v>52</v>
      </c>
      <c r="H6841" t="s">
        <v>53</v>
      </c>
      <c r="I6841" t="s">
        <v>53</v>
      </c>
      <c r="J6841" t="s">
        <v>53</v>
      </c>
      <c r="K6841" t="s">
        <v>53</v>
      </c>
      <c r="L6841" t="s">
        <v>53</v>
      </c>
      <c r="M6841" t="s">
        <v>53</v>
      </c>
      <c r="N6841" t="s">
        <v>53</v>
      </c>
      <c r="O6841" t="s">
        <v>53</v>
      </c>
      <c r="P6841" t="s">
        <v>53</v>
      </c>
      <c r="Q6841" t="s">
        <v>53</v>
      </c>
    </row>
    <row r="6842" spans="1:17" x14ac:dyDescent="0.2">
      <c r="A6842" s="30" t="str">
        <f>IF(C6842&amp;G6842&amp;D6842&lt;&gt;'Funnel setup'!$K$3&amp;'Funnel setup'!$K$4&amp;'Funnel setup'!$K$5,".",IF(A6841=".",1,A6841+1))</f>
        <v>.</v>
      </c>
      <c r="B6842" s="431" t="str">
        <f t="shared" si="106"/>
        <v>Varicose VeinCCG of GP PracticeNHS SOUTHERN DERBYSHIRE CCG (04R)EQ-5D Index</v>
      </c>
      <c r="C6842" t="s">
        <v>17</v>
      </c>
      <c r="D6842" t="s">
        <v>87</v>
      </c>
      <c r="E6842" t="s">
        <v>959</v>
      </c>
      <c r="F6842" t="s">
        <v>960</v>
      </c>
      <c r="G6842" t="s">
        <v>52</v>
      </c>
      <c r="H6842">
        <v>22</v>
      </c>
      <c r="I6842">
        <v>0.74299999999999999</v>
      </c>
      <c r="J6842">
        <v>0.84499999999999997</v>
      </c>
      <c r="K6842">
        <v>0.10199999999999999</v>
      </c>
      <c r="L6842">
        <v>12</v>
      </c>
      <c r="M6842">
        <v>7</v>
      </c>
      <c r="N6842">
        <v>3</v>
      </c>
      <c r="O6842" t="s">
        <v>53</v>
      </c>
      <c r="P6842" t="s">
        <v>53</v>
      </c>
      <c r="Q6842" t="s">
        <v>53</v>
      </c>
    </row>
    <row r="6843" spans="1:17" x14ac:dyDescent="0.2">
      <c r="A6843" s="30" t="str">
        <f>IF(C6843&amp;G6843&amp;D6843&lt;&gt;'Funnel setup'!$K$3&amp;'Funnel setup'!$K$4&amp;'Funnel setup'!$K$5,".",IF(A6842=".",1,A6842+1))</f>
        <v>.</v>
      </c>
      <c r="B6843" s="431" t="str">
        <f t="shared" si="106"/>
        <v>Varicose VeinCCG of GP PracticeNHS SOUTHPORT AND FORMBY CCG (01V)EQ-5D Index</v>
      </c>
      <c r="C6843" t="s">
        <v>17</v>
      </c>
      <c r="D6843" t="s">
        <v>87</v>
      </c>
      <c r="E6843" t="s">
        <v>962</v>
      </c>
      <c r="F6843" t="s">
        <v>963</v>
      </c>
      <c r="G6843" t="s">
        <v>52</v>
      </c>
      <c r="H6843">
        <v>35</v>
      </c>
      <c r="I6843">
        <v>0.76600000000000001</v>
      </c>
      <c r="J6843">
        <v>0.78800000000000003</v>
      </c>
      <c r="K6843">
        <v>2.1999999999999999E-2</v>
      </c>
      <c r="L6843">
        <v>13</v>
      </c>
      <c r="M6843">
        <v>13</v>
      </c>
      <c r="N6843">
        <v>9</v>
      </c>
      <c r="O6843">
        <v>0.79700000000000004</v>
      </c>
      <c r="P6843">
        <v>5.0539385999999999E-2</v>
      </c>
      <c r="Q6843">
        <v>0.184</v>
      </c>
    </row>
    <row r="6844" spans="1:17" x14ac:dyDescent="0.2">
      <c r="A6844" s="30" t="str">
        <f>IF(C6844&amp;G6844&amp;D6844&lt;&gt;'Funnel setup'!$K$3&amp;'Funnel setup'!$K$4&amp;'Funnel setup'!$K$5,".",IF(A6843=".",1,A6843+1))</f>
        <v>.</v>
      </c>
      <c r="B6844" s="431" t="str">
        <f t="shared" si="106"/>
        <v>Varicose VeinCCG of GP PracticeNHS SOUTHWARK CCG (08Q)EQ-5D Index</v>
      </c>
      <c r="C6844" t="s">
        <v>17</v>
      </c>
      <c r="D6844" t="s">
        <v>87</v>
      </c>
      <c r="E6844" t="s">
        <v>965</v>
      </c>
      <c r="F6844" t="s">
        <v>966</v>
      </c>
      <c r="G6844" t="s">
        <v>52</v>
      </c>
      <c r="H6844">
        <v>28</v>
      </c>
      <c r="I6844">
        <v>0.75900000000000001</v>
      </c>
      <c r="J6844">
        <v>0.78500000000000003</v>
      </c>
      <c r="K6844">
        <v>2.5999999999999999E-2</v>
      </c>
      <c r="L6844">
        <v>9</v>
      </c>
      <c r="M6844">
        <v>12</v>
      </c>
      <c r="N6844">
        <v>7</v>
      </c>
      <c r="O6844" t="s">
        <v>53</v>
      </c>
      <c r="P6844" t="s">
        <v>53</v>
      </c>
      <c r="Q6844" t="s">
        <v>53</v>
      </c>
    </row>
    <row r="6845" spans="1:17" x14ac:dyDescent="0.2">
      <c r="A6845" s="30" t="str">
        <f>IF(C6845&amp;G6845&amp;D6845&lt;&gt;'Funnel setup'!$K$3&amp;'Funnel setup'!$K$4&amp;'Funnel setup'!$K$5,".",IF(A6844=".",1,A6844+1))</f>
        <v>.</v>
      </c>
      <c r="B6845" s="431" t="str">
        <f t="shared" si="106"/>
        <v>Varicose VeinCCG of GP PracticeNHS ST HELENS CCG (01X)EQ-5D Index</v>
      </c>
      <c r="C6845" t="s">
        <v>17</v>
      </c>
      <c r="D6845" t="s">
        <v>87</v>
      </c>
      <c r="E6845" t="s">
        <v>968</v>
      </c>
      <c r="F6845" t="s">
        <v>969</v>
      </c>
      <c r="G6845" t="s">
        <v>52</v>
      </c>
      <c r="H6845">
        <v>16</v>
      </c>
      <c r="I6845">
        <v>0.76800000000000002</v>
      </c>
      <c r="J6845">
        <v>0.84699999999999998</v>
      </c>
      <c r="K6845">
        <v>7.9000000000000001E-2</v>
      </c>
      <c r="L6845">
        <v>10</v>
      </c>
      <c r="M6845">
        <v>5</v>
      </c>
      <c r="N6845">
        <v>1</v>
      </c>
      <c r="O6845" t="s">
        <v>53</v>
      </c>
      <c r="P6845" t="s">
        <v>53</v>
      </c>
      <c r="Q6845" t="s">
        <v>53</v>
      </c>
    </row>
    <row r="6846" spans="1:17" x14ac:dyDescent="0.2">
      <c r="A6846" s="30" t="str">
        <f>IF(C6846&amp;G6846&amp;D6846&lt;&gt;'Funnel setup'!$K$3&amp;'Funnel setup'!$K$4&amp;'Funnel setup'!$K$5,".",IF(A6845=".",1,A6845+1))</f>
        <v>.</v>
      </c>
      <c r="B6846" s="431" t="str">
        <f t="shared" si="106"/>
        <v>Varicose VeinCCG of GP PracticeNHS STAFFORD AND SURROUNDS CCG (05V)EQ-5D Index</v>
      </c>
      <c r="C6846" t="s">
        <v>17</v>
      </c>
      <c r="D6846" t="s">
        <v>87</v>
      </c>
      <c r="E6846" t="s">
        <v>971</v>
      </c>
      <c r="F6846" t="s">
        <v>972</v>
      </c>
      <c r="G6846" t="s">
        <v>52</v>
      </c>
      <c r="H6846">
        <v>12</v>
      </c>
      <c r="I6846">
        <v>0.67700000000000005</v>
      </c>
      <c r="J6846">
        <v>0.75700000000000001</v>
      </c>
      <c r="K6846">
        <v>0.08</v>
      </c>
      <c r="L6846">
        <v>6</v>
      </c>
      <c r="M6846">
        <v>4</v>
      </c>
      <c r="N6846">
        <v>2</v>
      </c>
      <c r="O6846" t="s">
        <v>53</v>
      </c>
      <c r="P6846" t="s">
        <v>53</v>
      </c>
      <c r="Q6846" t="s">
        <v>53</v>
      </c>
    </row>
    <row r="6847" spans="1:17" x14ac:dyDescent="0.2">
      <c r="A6847" s="30" t="str">
        <f>IF(C6847&amp;G6847&amp;D6847&lt;&gt;'Funnel setup'!$K$3&amp;'Funnel setup'!$K$4&amp;'Funnel setup'!$K$5,".",IF(A6846=".",1,A6846+1))</f>
        <v>.</v>
      </c>
      <c r="B6847" s="431" t="str">
        <f t="shared" si="106"/>
        <v>Varicose VeinCCG of GP PracticeNHS STOCKPORT CCG (01W)EQ-5D Index</v>
      </c>
      <c r="C6847" t="s">
        <v>17</v>
      </c>
      <c r="D6847" t="s">
        <v>87</v>
      </c>
      <c r="E6847" t="s">
        <v>974</v>
      </c>
      <c r="F6847" t="s">
        <v>975</v>
      </c>
      <c r="G6847" t="s">
        <v>52</v>
      </c>
      <c r="H6847">
        <v>18</v>
      </c>
      <c r="I6847">
        <v>0.68400000000000005</v>
      </c>
      <c r="J6847">
        <v>0.82</v>
      </c>
      <c r="K6847">
        <v>0.13600000000000001</v>
      </c>
      <c r="L6847">
        <v>10</v>
      </c>
      <c r="M6847">
        <v>6</v>
      </c>
      <c r="N6847">
        <v>2</v>
      </c>
      <c r="O6847" t="s">
        <v>53</v>
      </c>
      <c r="P6847" t="s">
        <v>53</v>
      </c>
      <c r="Q6847" t="s">
        <v>53</v>
      </c>
    </row>
    <row r="6848" spans="1:17" x14ac:dyDescent="0.2">
      <c r="A6848" s="30" t="str">
        <f>IF(C6848&amp;G6848&amp;D6848&lt;&gt;'Funnel setup'!$K$3&amp;'Funnel setup'!$K$4&amp;'Funnel setup'!$K$5,".",IF(A6847=".",1,A6847+1))</f>
        <v>.</v>
      </c>
      <c r="B6848" s="431" t="str">
        <f t="shared" si="106"/>
        <v>Varicose VeinCCG of GP PracticeNHS STOKE ON TRENT CCG (05W)EQ-5D Index</v>
      </c>
      <c r="C6848" t="s">
        <v>17</v>
      </c>
      <c r="D6848" t="s">
        <v>87</v>
      </c>
      <c r="E6848" t="s">
        <v>977</v>
      </c>
      <c r="F6848" t="s">
        <v>978</v>
      </c>
      <c r="G6848" t="s">
        <v>52</v>
      </c>
      <c r="H6848" t="s">
        <v>53</v>
      </c>
      <c r="I6848" t="s">
        <v>53</v>
      </c>
      <c r="J6848" t="s">
        <v>53</v>
      </c>
      <c r="K6848" t="s">
        <v>53</v>
      </c>
      <c r="L6848" t="s">
        <v>53</v>
      </c>
      <c r="M6848" t="s">
        <v>53</v>
      </c>
      <c r="N6848" t="s">
        <v>53</v>
      </c>
      <c r="O6848" t="s">
        <v>53</v>
      </c>
      <c r="P6848" t="s">
        <v>53</v>
      </c>
      <c r="Q6848" t="s">
        <v>53</v>
      </c>
    </row>
    <row r="6849" spans="1:17" x14ac:dyDescent="0.2">
      <c r="A6849" s="30" t="str">
        <f>IF(C6849&amp;G6849&amp;D6849&lt;&gt;'Funnel setup'!$K$3&amp;'Funnel setup'!$K$4&amp;'Funnel setup'!$K$5,".",IF(A6848=".",1,A6848+1))</f>
        <v>.</v>
      </c>
      <c r="B6849" s="431" t="str">
        <f t="shared" si="106"/>
        <v>Varicose VeinCCG of GP PracticeNHS SUNDERLAND CCG (00P)EQ-5D Index</v>
      </c>
      <c r="C6849" t="s">
        <v>17</v>
      </c>
      <c r="D6849" t="s">
        <v>87</v>
      </c>
      <c r="E6849" t="s">
        <v>980</v>
      </c>
      <c r="F6849" t="s">
        <v>981</v>
      </c>
      <c r="G6849" t="s">
        <v>52</v>
      </c>
      <c r="H6849">
        <v>143</v>
      </c>
      <c r="I6849">
        <v>0.72499999999999998</v>
      </c>
      <c r="J6849">
        <v>0.79100000000000004</v>
      </c>
      <c r="K6849">
        <v>6.6000000000000003E-2</v>
      </c>
      <c r="L6849">
        <v>66</v>
      </c>
      <c r="M6849">
        <v>41</v>
      </c>
      <c r="N6849">
        <v>36</v>
      </c>
      <c r="O6849">
        <v>0.80900000000000005</v>
      </c>
      <c r="P6849">
        <v>6.1966265999999999E-2</v>
      </c>
      <c r="Q6849">
        <v>0.223</v>
      </c>
    </row>
    <row r="6850" spans="1:17" x14ac:dyDescent="0.2">
      <c r="A6850" s="30" t="str">
        <f>IF(C6850&amp;G6850&amp;D6850&lt;&gt;'Funnel setup'!$K$3&amp;'Funnel setup'!$K$4&amp;'Funnel setup'!$K$5,".",IF(A6849=".",1,A6849+1))</f>
        <v>.</v>
      </c>
      <c r="B6850" s="431" t="str">
        <f t="shared" si="106"/>
        <v>Varicose VeinCCG of GP PracticeNHS SURREY DOWNS CCG (99H)EQ-5D Index</v>
      </c>
      <c r="C6850" t="s">
        <v>17</v>
      </c>
      <c r="D6850" t="s">
        <v>87</v>
      </c>
      <c r="E6850" t="s">
        <v>983</v>
      </c>
      <c r="F6850" t="s">
        <v>984</v>
      </c>
      <c r="G6850" t="s">
        <v>52</v>
      </c>
      <c r="H6850">
        <v>34</v>
      </c>
      <c r="I6850">
        <v>0.76</v>
      </c>
      <c r="J6850">
        <v>0.89800000000000002</v>
      </c>
      <c r="K6850">
        <v>0.13900000000000001</v>
      </c>
      <c r="L6850">
        <v>21</v>
      </c>
      <c r="M6850">
        <v>10</v>
      </c>
      <c r="N6850">
        <v>3</v>
      </c>
      <c r="O6850">
        <v>0.88</v>
      </c>
      <c r="P6850">
        <v>0.132805163</v>
      </c>
      <c r="Q6850">
        <v>0.127</v>
      </c>
    </row>
    <row r="6851" spans="1:17" x14ac:dyDescent="0.2">
      <c r="A6851" s="30" t="str">
        <f>IF(C6851&amp;G6851&amp;D6851&lt;&gt;'Funnel setup'!$K$3&amp;'Funnel setup'!$K$4&amp;'Funnel setup'!$K$5,".",IF(A6850=".",1,A6850+1))</f>
        <v>.</v>
      </c>
      <c r="B6851" s="431" t="str">
        <f t="shared" ref="B6851:B6914" si="107">C6851&amp;D6851&amp;F6851&amp;G6851</f>
        <v>Varicose VeinCCG of GP PracticeNHS SURREY HEATH CCG (10C)EQ-5D Index</v>
      </c>
      <c r="C6851" t="s">
        <v>17</v>
      </c>
      <c r="D6851" t="s">
        <v>87</v>
      </c>
      <c r="E6851" t="s">
        <v>986</v>
      </c>
      <c r="F6851" t="s">
        <v>987</v>
      </c>
      <c r="G6851" t="s">
        <v>52</v>
      </c>
      <c r="H6851" t="s">
        <v>53</v>
      </c>
      <c r="I6851" t="s">
        <v>53</v>
      </c>
      <c r="J6851" t="s">
        <v>53</v>
      </c>
      <c r="K6851" t="s">
        <v>53</v>
      </c>
      <c r="L6851" t="s">
        <v>53</v>
      </c>
      <c r="M6851" t="s">
        <v>53</v>
      </c>
      <c r="N6851" t="s">
        <v>53</v>
      </c>
      <c r="O6851" t="s">
        <v>53</v>
      </c>
      <c r="P6851" t="s">
        <v>53</v>
      </c>
      <c r="Q6851" t="s">
        <v>53</v>
      </c>
    </row>
    <row r="6852" spans="1:17" x14ac:dyDescent="0.2">
      <c r="A6852" s="30" t="str">
        <f>IF(C6852&amp;G6852&amp;D6852&lt;&gt;'Funnel setup'!$K$3&amp;'Funnel setup'!$K$4&amp;'Funnel setup'!$K$5,".",IF(A6851=".",1,A6851+1))</f>
        <v>.</v>
      </c>
      <c r="B6852" s="431" t="str">
        <f t="shared" si="107"/>
        <v>Varicose VeinCCG of GP PracticeNHS SUTTON CCG (08T)EQ-5D Index</v>
      </c>
      <c r="C6852" t="s">
        <v>17</v>
      </c>
      <c r="D6852" t="s">
        <v>87</v>
      </c>
      <c r="E6852" t="s">
        <v>989</v>
      </c>
      <c r="F6852" t="s">
        <v>990</v>
      </c>
      <c r="G6852" t="s">
        <v>52</v>
      </c>
      <c r="H6852">
        <v>16</v>
      </c>
      <c r="I6852">
        <v>0.79</v>
      </c>
      <c r="J6852">
        <v>0.85399999999999998</v>
      </c>
      <c r="K6852">
        <v>6.4000000000000001E-2</v>
      </c>
      <c r="L6852">
        <v>5</v>
      </c>
      <c r="M6852">
        <v>9</v>
      </c>
      <c r="N6852">
        <v>2</v>
      </c>
      <c r="O6852" t="s">
        <v>53</v>
      </c>
      <c r="P6852" t="s">
        <v>53</v>
      </c>
      <c r="Q6852" t="s">
        <v>53</v>
      </c>
    </row>
    <row r="6853" spans="1:17" x14ac:dyDescent="0.2">
      <c r="A6853" s="30" t="str">
        <f>IF(C6853&amp;G6853&amp;D6853&lt;&gt;'Funnel setup'!$K$3&amp;'Funnel setup'!$K$4&amp;'Funnel setup'!$K$5,".",IF(A6852=".",1,A6852+1))</f>
        <v>.</v>
      </c>
      <c r="B6853" s="431" t="str">
        <f t="shared" si="107"/>
        <v>Varicose VeinCCG of GP PracticeNHS SWALE CCG (10D)EQ-5D Index</v>
      </c>
      <c r="C6853" t="s">
        <v>17</v>
      </c>
      <c r="D6853" t="s">
        <v>87</v>
      </c>
      <c r="E6853" t="s">
        <v>992</v>
      </c>
      <c r="F6853" t="s">
        <v>993</v>
      </c>
      <c r="G6853" t="s">
        <v>52</v>
      </c>
      <c r="H6853" t="s">
        <v>53</v>
      </c>
      <c r="I6853" t="s">
        <v>53</v>
      </c>
      <c r="J6853" t="s">
        <v>53</v>
      </c>
      <c r="K6853" t="s">
        <v>53</v>
      </c>
      <c r="L6853" t="s">
        <v>53</v>
      </c>
      <c r="M6853" t="s">
        <v>53</v>
      </c>
      <c r="N6853" t="s">
        <v>53</v>
      </c>
      <c r="O6853" t="s">
        <v>53</v>
      </c>
      <c r="P6853" t="s">
        <v>53</v>
      </c>
      <c r="Q6853" t="s">
        <v>53</v>
      </c>
    </row>
    <row r="6854" spans="1:17" x14ac:dyDescent="0.2">
      <c r="A6854" s="30" t="str">
        <f>IF(C6854&amp;G6854&amp;D6854&lt;&gt;'Funnel setup'!$K$3&amp;'Funnel setup'!$K$4&amp;'Funnel setup'!$K$5,".",IF(A6853=".",1,A6853+1))</f>
        <v>.</v>
      </c>
      <c r="B6854" s="431" t="str">
        <f t="shared" si="107"/>
        <v>Varicose VeinCCG of GP PracticeNHS SWINDON CCG (12D)EQ-5D Index</v>
      </c>
      <c r="C6854" t="s">
        <v>17</v>
      </c>
      <c r="D6854" t="s">
        <v>87</v>
      </c>
      <c r="E6854" t="s">
        <v>995</v>
      </c>
      <c r="F6854" t="s">
        <v>996</v>
      </c>
      <c r="G6854" t="s">
        <v>52</v>
      </c>
      <c r="H6854">
        <v>38</v>
      </c>
      <c r="I6854">
        <v>0.69599999999999995</v>
      </c>
      <c r="J6854">
        <v>0.84199999999999997</v>
      </c>
      <c r="K6854">
        <v>0.14499999999999999</v>
      </c>
      <c r="L6854">
        <v>20</v>
      </c>
      <c r="M6854">
        <v>13</v>
      </c>
      <c r="N6854">
        <v>5</v>
      </c>
      <c r="O6854">
        <v>0.84699999999999998</v>
      </c>
      <c r="P6854">
        <v>0.10050484899999999</v>
      </c>
      <c r="Q6854">
        <v>0.13900000000000001</v>
      </c>
    </row>
    <row r="6855" spans="1:17" x14ac:dyDescent="0.2">
      <c r="A6855" s="30" t="str">
        <f>IF(C6855&amp;G6855&amp;D6855&lt;&gt;'Funnel setup'!$K$3&amp;'Funnel setup'!$K$4&amp;'Funnel setup'!$K$5,".",IF(A6854=".",1,A6854+1))</f>
        <v>.</v>
      </c>
      <c r="B6855" s="431" t="str">
        <f t="shared" si="107"/>
        <v>Varicose VeinCCG of GP PracticeNHS TAMESIDE AND GLOSSOP CCG (01Y)EQ-5D Index</v>
      </c>
      <c r="C6855" t="s">
        <v>17</v>
      </c>
      <c r="D6855" t="s">
        <v>87</v>
      </c>
      <c r="E6855" t="s">
        <v>998</v>
      </c>
      <c r="F6855" t="s">
        <v>999</v>
      </c>
      <c r="G6855" t="s">
        <v>52</v>
      </c>
      <c r="H6855">
        <v>27</v>
      </c>
      <c r="I6855">
        <v>0.75800000000000001</v>
      </c>
      <c r="J6855">
        <v>0.76</v>
      </c>
      <c r="K6855">
        <v>3.0000000000000001E-3</v>
      </c>
      <c r="L6855">
        <v>8</v>
      </c>
      <c r="M6855">
        <v>12</v>
      </c>
      <c r="N6855">
        <v>7</v>
      </c>
      <c r="O6855" t="s">
        <v>53</v>
      </c>
      <c r="P6855" t="s">
        <v>53</v>
      </c>
      <c r="Q6855" t="s">
        <v>53</v>
      </c>
    </row>
    <row r="6856" spans="1:17" x14ac:dyDescent="0.2">
      <c r="A6856" s="30" t="str">
        <f>IF(C6856&amp;G6856&amp;D6856&lt;&gt;'Funnel setup'!$K$3&amp;'Funnel setup'!$K$4&amp;'Funnel setup'!$K$5,".",IF(A6855=".",1,A6855+1))</f>
        <v>.</v>
      </c>
      <c r="B6856" s="431" t="str">
        <f t="shared" si="107"/>
        <v>Varicose VeinCCG of GP PracticeNHS TELFORD AND WREKIN CCG (05X)EQ-5D Index</v>
      </c>
      <c r="C6856" t="s">
        <v>17</v>
      </c>
      <c r="D6856" t="s">
        <v>87</v>
      </c>
      <c r="E6856" t="s">
        <v>1001</v>
      </c>
      <c r="F6856" t="s">
        <v>1002</v>
      </c>
      <c r="G6856" t="s">
        <v>52</v>
      </c>
      <c r="H6856">
        <v>7</v>
      </c>
      <c r="I6856">
        <v>0.69199999999999995</v>
      </c>
      <c r="J6856">
        <v>0.90500000000000003</v>
      </c>
      <c r="K6856">
        <v>0.21299999999999999</v>
      </c>
      <c r="L6856">
        <v>5</v>
      </c>
      <c r="M6856">
        <v>0</v>
      </c>
      <c r="N6856">
        <v>2</v>
      </c>
      <c r="O6856" t="s">
        <v>53</v>
      </c>
      <c r="P6856" t="s">
        <v>53</v>
      </c>
      <c r="Q6856" t="s">
        <v>53</v>
      </c>
    </row>
    <row r="6857" spans="1:17" x14ac:dyDescent="0.2">
      <c r="A6857" s="30" t="str">
        <f>IF(C6857&amp;G6857&amp;D6857&lt;&gt;'Funnel setup'!$K$3&amp;'Funnel setup'!$K$4&amp;'Funnel setup'!$K$5,".",IF(A6856=".",1,A6856+1))</f>
        <v>.</v>
      </c>
      <c r="B6857" s="431" t="str">
        <f t="shared" si="107"/>
        <v>Varicose VeinCCG of GP PracticeNHS THURROCK CCG (07G)EQ-5D Index</v>
      </c>
      <c r="C6857" t="s">
        <v>17</v>
      </c>
      <c r="D6857" t="s">
        <v>87</v>
      </c>
      <c r="E6857" t="s">
        <v>1007</v>
      </c>
      <c r="F6857" t="s">
        <v>1008</v>
      </c>
      <c r="G6857" t="s">
        <v>52</v>
      </c>
      <c r="H6857" t="s">
        <v>53</v>
      </c>
      <c r="I6857" t="s">
        <v>53</v>
      </c>
      <c r="J6857" t="s">
        <v>53</v>
      </c>
      <c r="K6857" t="s">
        <v>53</v>
      </c>
      <c r="L6857" t="s">
        <v>53</v>
      </c>
      <c r="M6857" t="s">
        <v>53</v>
      </c>
      <c r="N6857" t="s">
        <v>53</v>
      </c>
      <c r="O6857" t="s">
        <v>53</v>
      </c>
      <c r="P6857" t="s">
        <v>53</v>
      </c>
      <c r="Q6857" t="s">
        <v>53</v>
      </c>
    </row>
    <row r="6858" spans="1:17" x14ac:dyDescent="0.2">
      <c r="A6858" s="30" t="str">
        <f>IF(C6858&amp;G6858&amp;D6858&lt;&gt;'Funnel setup'!$K$3&amp;'Funnel setup'!$K$4&amp;'Funnel setup'!$K$5,".",IF(A6857=".",1,A6857+1))</f>
        <v>.</v>
      </c>
      <c r="B6858" s="431" t="str">
        <f t="shared" si="107"/>
        <v>Varicose VeinCCG of GP PracticeNHS TOWER HAMLETS CCG (08V)EQ-5D Index</v>
      </c>
      <c r="C6858" t="s">
        <v>17</v>
      </c>
      <c r="D6858" t="s">
        <v>87</v>
      </c>
      <c r="E6858" t="s">
        <v>1010</v>
      </c>
      <c r="F6858" t="s">
        <v>1011</v>
      </c>
      <c r="G6858" t="s">
        <v>52</v>
      </c>
      <c r="H6858">
        <v>7</v>
      </c>
      <c r="I6858">
        <v>0.76100000000000001</v>
      </c>
      <c r="J6858">
        <v>0.94899999999999995</v>
      </c>
      <c r="K6858">
        <v>0.188</v>
      </c>
      <c r="L6858">
        <v>7</v>
      </c>
      <c r="M6858">
        <v>0</v>
      </c>
      <c r="N6858">
        <v>0</v>
      </c>
      <c r="O6858" t="s">
        <v>53</v>
      </c>
      <c r="P6858" t="s">
        <v>53</v>
      </c>
      <c r="Q6858" t="s">
        <v>53</v>
      </c>
    </row>
    <row r="6859" spans="1:17" x14ac:dyDescent="0.2">
      <c r="A6859" s="30" t="str">
        <f>IF(C6859&amp;G6859&amp;D6859&lt;&gt;'Funnel setup'!$K$3&amp;'Funnel setup'!$K$4&amp;'Funnel setup'!$K$5,".",IF(A6858=".",1,A6858+1))</f>
        <v>.</v>
      </c>
      <c r="B6859" s="431" t="str">
        <f t="shared" si="107"/>
        <v>Varicose VeinCCG of GP PracticeNHS TRAFFORD CCG (02A)EQ-5D Index</v>
      </c>
      <c r="C6859" t="s">
        <v>17</v>
      </c>
      <c r="D6859" t="s">
        <v>87</v>
      </c>
      <c r="E6859" t="s">
        <v>1013</v>
      </c>
      <c r="F6859" t="s">
        <v>1014</v>
      </c>
      <c r="G6859" t="s">
        <v>52</v>
      </c>
      <c r="H6859">
        <v>34</v>
      </c>
      <c r="I6859">
        <v>0.81200000000000006</v>
      </c>
      <c r="J6859">
        <v>0.92500000000000004</v>
      </c>
      <c r="K6859">
        <v>0.113</v>
      </c>
      <c r="L6859">
        <v>23</v>
      </c>
      <c r="M6859">
        <v>8</v>
      </c>
      <c r="N6859">
        <v>3</v>
      </c>
      <c r="O6859">
        <v>0.86</v>
      </c>
      <c r="P6859">
        <v>0.11347550100000001</v>
      </c>
      <c r="Q6859">
        <v>0.10100000000000001</v>
      </c>
    </row>
    <row r="6860" spans="1:17" x14ac:dyDescent="0.2">
      <c r="A6860" s="30" t="str">
        <f>IF(C6860&amp;G6860&amp;D6860&lt;&gt;'Funnel setup'!$K$3&amp;'Funnel setup'!$K$4&amp;'Funnel setup'!$K$5,".",IF(A6859=".",1,A6859+1))</f>
        <v>.</v>
      </c>
      <c r="B6860" s="431" t="str">
        <f t="shared" si="107"/>
        <v>Varicose VeinCCG of GP PracticeNHS VALE OF YORK CCG (03Q)EQ-5D Index</v>
      </c>
      <c r="C6860" t="s">
        <v>17</v>
      </c>
      <c r="D6860" t="s">
        <v>87</v>
      </c>
      <c r="E6860" t="s">
        <v>420</v>
      </c>
      <c r="F6860" t="s">
        <v>421</v>
      </c>
      <c r="G6860" t="s">
        <v>52</v>
      </c>
      <c r="H6860">
        <v>35</v>
      </c>
      <c r="I6860">
        <v>0.73499999999999999</v>
      </c>
      <c r="J6860">
        <v>0.84699999999999998</v>
      </c>
      <c r="K6860">
        <v>0.111</v>
      </c>
      <c r="L6860">
        <v>21</v>
      </c>
      <c r="M6860">
        <v>10</v>
      </c>
      <c r="N6860">
        <v>4</v>
      </c>
      <c r="O6860">
        <v>0.83</v>
      </c>
      <c r="P6860">
        <v>8.3360944000000006E-2</v>
      </c>
      <c r="Q6860">
        <v>0.17599999999999999</v>
      </c>
    </row>
    <row r="6861" spans="1:17" x14ac:dyDescent="0.2">
      <c r="A6861" s="30" t="str">
        <f>IF(C6861&amp;G6861&amp;D6861&lt;&gt;'Funnel setup'!$K$3&amp;'Funnel setup'!$K$4&amp;'Funnel setup'!$K$5,".",IF(A6860=".",1,A6860+1))</f>
        <v>.</v>
      </c>
      <c r="B6861" s="431" t="str">
        <f t="shared" si="107"/>
        <v>Varicose VeinCCG of GP PracticeNHS VALE ROYAL CCG (02D)EQ-5D Index</v>
      </c>
      <c r="C6861" t="s">
        <v>17</v>
      </c>
      <c r="D6861" t="s">
        <v>87</v>
      </c>
      <c r="E6861" t="s">
        <v>423</v>
      </c>
      <c r="F6861" t="s">
        <v>424</v>
      </c>
      <c r="G6861" t="s">
        <v>52</v>
      </c>
      <c r="H6861" t="s">
        <v>53</v>
      </c>
      <c r="I6861" t="s">
        <v>53</v>
      </c>
      <c r="J6861" t="s">
        <v>53</v>
      </c>
      <c r="K6861" t="s">
        <v>53</v>
      </c>
      <c r="L6861" t="s">
        <v>53</v>
      </c>
      <c r="M6861" t="s">
        <v>53</v>
      </c>
      <c r="N6861" t="s">
        <v>53</v>
      </c>
      <c r="O6861" t="s">
        <v>53</v>
      </c>
      <c r="P6861" t="s">
        <v>53</v>
      </c>
      <c r="Q6861" t="s">
        <v>53</v>
      </c>
    </row>
    <row r="6862" spans="1:17" x14ac:dyDescent="0.2">
      <c r="A6862" s="30" t="str">
        <f>IF(C6862&amp;G6862&amp;D6862&lt;&gt;'Funnel setup'!$K$3&amp;'Funnel setup'!$K$4&amp;'Funnel setup'!$K$5,".",IF(A6861=".",1,A6861+1))</f>
        <v>.</v>
      </c>
      <c r="B6862" s="431" t="str">
        <f t="shared" si="107"/>
        <v>Varicose VeinCCG of GP PracticeNHS WAKEFIELD CCG (03R)EQ-5D Index</v>
      </c>
      <c r="C6862" t="s">
        <v>17</v>
      </c>
      <c r="D6862" t="s">
        <v>87</v>
      </c>
      <c r="E6862" t="s">
        <v>426</v>
      </c>
      <c r="F6862" t="s">
        <v>427</v>
      </c>
      <c r="G6862" t="s">
        <v>52</v>
      </c>
      <c r="H6862">
        <v>78</v>
      </c>
      <c r="I6862">
        <v>0.75700000000000001</v>
      </c>
      <c r="J6862">
        <v>0.86699999999999999</v>
      </c>
      <c r="K6862">
        <v>0.11</v>
      </c>
      <c r="L6862">
        <v>40</v>
      </c>
      <c r="M6862">
        <v>24</v>
      </c>
      <c r="N6862">
        <v>14</v>
      </c>
      <c r="O6862">
        <v>0.86799999999999999</v>
      </c>
      <c r="P6862">
        <v>0.12126724699999999</v>
      </c>
      <c r="Q6862">
        <v>0.17399999999999999</v>
      </c>
    </row>
    <row r="6863" spans="1:17" x14ac:dyDescent="0.2">
      <c r="A6863" s="30" t="str">
        <f>IF(C6863&amp;G6863&amp;D6863&lt;&gt;'Funnel setup'!$K$3&amp;'Funnel setup'!$K$4&amp;'Funnel setup'!$K$5,".",IF(A6862=".",1,A6862+1))</f>
        <v>.</v>
      </c>
      <c r="B6863" s="431" t="str">
        <f t="shared" si="107"/>
        <v>Varicose VeinCCG of GP PracticeNHS WALSALL CCG (05Y)EQ-5D Index</v>
      </c>
      <c r="C6863" t="s">
        <v>17</v>
      </c>
      <c r="D6863" t="s">
        <v>87</v>
      </c>
      <c r="E6863" t="s">
        <v>429</v>
      </c>
      <c r="F6863" t="s">
        <v>430</v>
      </c>
      <c r="G6863" t="s">
        <v>52</v>
      </c>
      <c r="H6863">
        <v>32</v>
      </c>
      <c r="I6863">
        <v>0.72099999999999997</v>
      </c>
      <c r="J6863">
        <v>0.77700000000000002</v>
      </c>
      <c r="K6863">
        <v>5.6000000000000001E-2</v>
      </c>
      <c r="L6863">
        <v>18</v>
      </c>
      <c r="M6863">
        <v>5</v>
      </c>
      <c r="N6863">
        <v>9</v>
      </c>
      <c r="O6863">
        <v>0.79600000000000004</v>
      </c>
      <c r="P6863">
        <v>4.9343203000000002E-2</v>
      </c>
      <c r="Q6863">
        <v>0.23</v>
      </c>
    </row>
    <row r="6864" spans="1:17" x14ac:dyDescent="0.2">
      <c r="A6864" s="30" t="str">
        <f>IF(C6864&amp;G6864&amp;D6864&lt;&gt;'Funnel setup'!$K$3&amp;'Funnel setup'!$K$4&amp;'Funnel setup'!$K$5,".",IF(A6863=".",1,A6863+1))</f>
        <v>.</v>
      </c>
      <c r="B6864" s="431" t="str">
        <f t="shared" si="107"/>
        <v>Varicose VeinCCG of GP PracticeNHS WALTHAM FOREST CCG (08W)EQ-5D Index</v>
      </c>
      <c r="C6864" t="s">
        <v>17</v>
      </c>
      <c r="D6864" t="s">
        <v>87</v>
      </c>
      <c r="E6864" t="s">
        <v>432</v>
      </c>
      <c r="F6864" t="s">
        <v>433</v>
      </c>
      <c r="G6864" t="s">
        <v>52</v>
      </c>
      <c r="H6864">
        <v>14</v>
      </c>
      <c r="I6864">
        <v>0.68799999999999994</v>
      </c>
      <c r="J6864">
        <v>0.83399999999999996</v>
      </c>
      <c r="K6864">
        <v>0.14699999999999999</v>
      </c>
      <c r="L6864">
        <v>10</v>
      </c>
      <c r="M6864">
        <v>4</v>
      </c>
      <c r="N6864">
        <v>0</v>
      </c>
      <c r="O6864" t="s">
        <v>53</v>
      </c>
      <c r="P6864" t="s">
        <v>53</v>
      </c>
      <c r="Q6864" t="s">
        <v>53</v>
      </c>
    </row>
    <row r="6865" spans="1:17" x14ac:dyDescent="0.2">
      <c r="A6865" s="30" t="str">
        <f>IF(C6865&amp;G6865&amp;D6865&lt;&gt;'Funnel setup'!$K$3&amp;'Funnel setup'!$K$4&amp;'Funnel setup'!$K$5,".",IF(A6864=".",1,A6864+1))</f>
        <v>.</v>
      </c>
      <c r="B6865" s="431" t="str">
        <f t="shared" si="107"/>
        <v>Varicose VeinCCG of GP PracticeNHS WANDSWORTH CCG (08X)EQ-5D Index</v>
      </c>
      <c r="C6865" t="s">
        <v>17</v>
      </c>
      <c r="D6865" t="s">
        <v>87</v>
      </c>
      <c r="E6865" t="s">
        <v>435</v>
      </c>
      <c r="F6865" t="s">
        <v>436</v>
      </c>
      <c r="G6865" t="s">
        <v>52</v>
      </c>
      <c r="H6865">
        <v>30</v>
      </c>
      <c r="I6865">
        <v>0.745</v>
      </c>
      <c r="J6865">
        <v>0.76300000000000001</v>
      </c>
      <c r="K6865">
        <v>1.7999999999999999E-2</v>
      </c>
      <c r="L6865">
        <v>11</v>
      </c>
      <c r="M6865">
        <v>11</v>
      </c>
      <c r="N6865">
        <v>8</v>
      </c>
      <c r="O6865">
        <v>0.76300000000000001</v>
      </c>
      <c r="P6865">
        <v>1.5938564999999998E-2</v>
      </c>
      <c r="Q6865">
        <v>0.19800000000000001</v>
      </c>
    </row>
    <row r="6866" spans="1:17" x14ac:dyDescent="0.2">
      <c r="A6866" s="30" t="str">
        <f>IF(C6866&amp;G6866&amp;D6866&lt;&gt;'Funnel setup'!$K$3&amp;'Funnel setup'!$K$4&amp;'Funnel setup'!$K$5,".",IF(A6865=".",1,A6865+1))</f>
        <v>.</v>
      </c>
      <c r="B6866" s="431" t="str">
        <f t="shared" si="107"/>
        <v>Varicose VeinCCG of GP PracticeNHS WARRINGTON CCG (02E)EQ-5D Index</v>
      </c>
      <c r="C6866" t="s">
        <v>17</v>
      </c>
      <c r="D6866" t="s">
        <v>87</v>
      </c>
      <c r="E6866" t="s">
        <v>441</v>
      </c>
      <c r="F6866" t="s">
        <v>442</v>
      </c>
      <c r="G6866" t="s">
        <v>52</v>
      </c>
      <c r="H6866" t="s">
        <v>53</v>
      </c>
      <c r="I6866" t="s">
        <v>53</v>
      </c>
      <c r="J6866" t="s">
        <v>53</v>
      </c>
      <c r="K6866" t="s">
        <v>53</v>
      </c>
      <c r="L6866" t="s">
        <v>53</v>
      </c>
      <c r="M6866" t="s">
        <v>53</v>
      </c>
      <c r="N6866" t="s">
        <v>53</v>
      </c>
      <c r="O6866" t="s">
        <v>53</v>
      </c>
      <c r="P6866" t="s">
        <v>53</v>
      </c>
      <c r="Q6866" t="s">
        <v>53</v>
      </c>
    </row>
    <row r="6867" spans="1:17" x14ac:dyDescent="0.2">
      <c r="A6867" s="30" t="str">
        <f>IF(C6867&amp;G6867&amp;D6867&lt;&gt;'Funnel setup'!$K$3&amp;'Funnel setup'!$K$4&amp;'Funnel setup'!$K$5,".",IF(A6866=".",1,A6866+1))</f>
        <v>.</v>
      </c>
      <c r="B6867" s="431" t="str">
        <f t="shared" si="107"/>
        <v>Varicose VeinCCG of GP PracticeNHS WARWICKSHIRE NORTH CCG (05H)EQ-5D Index</v>
      </c>
      <c r="C6867" t="s">
        <v>17</v>
      </c>
      <c r="D6867" t="s">
        <v>87</v>
      </c>
      <c r="E6867" t="s">
        <v>438</v>
      </c>
      <c r="F6867" t="s">
        <v>439</v>
      </c>
      <c r="G6867" t="s">
        <v>52</v>
      </c>
      <c r="H6867">
        <v>7</v>
      </c>
      <c r="I6867">
        <v>0.69299999999999995</v>
      </c>
      <c r="J6867">
        <v>0.73099999999999998</v>
      </c>
      <c r="K6867">
        <v>3.7999999999999999E-2</v>
      </c>
      <c r="L6867">
        <v>4</v>
      </c>
      <c r="M6867">
        <v>1</v>
      </c>
      <c r="N6867">
        <v>2</v>
      </c>
      <c r="O6867" t="s">
        <v>53</v>
      </c>
      <c r="P6867" t="s">
        <v>53</v>
      </c>
      <c r="Q6867" t="s">
        <v>53</v>
      </c>
    </row>
    <row r="6868" spans="1:17" x14ac:dyDescent="0.2">
      <c r="A6868" s="30" t="str">
        <f>IF(C6868&amp;G6868&amp;D6868&lt;&gt;'Funnel setup'!$K$3&amp;'Funnel setup'!$K$4&amp;'Funnel setup'!$K$5,".",IF(A6867=".",1,A6867+1))</f>
        <v>.</v>
      </c>
      <c r="B6868" s="431" t="str">
        <f t="shared" si="107"/>
        <v>Varicose VeinCCG of GP PracticeNHS WEST CHESHIRE CCG (02F)EQ-5D Index</v>
      </c>
      <c r="C6868" t="s">
        <v>17</v>
      </c>
      <c r="D6868" t="s">
        <v>87</v>
      </c>
      <c r="E6868" t="s">
        <v>402</v>
      </c>
      <c r="F6868" t="s">
        <v>403</v>
      </c>
      <c r="G6868" t="s">
        <v>52</v>
      </c>
      <c r="H6868">
        <v>28</v>
      </c>
      <c r="I6868">
        <v>0.74299999999999999</v>
      </c>
      <c r="J6868">
        <v>0.9</v>
      </c>
      <c r="K6868">
        <v>0.157</v>
      </c>
      <c r="L6868">
        <v>15</v>
      </c>
      <c r="M6868">
        <v>10</v>
      </c>
      <c r="N6868">
        <v>3</v>
      </c>
      <c r="O6868" t="s">
        <v>53</v>
      </c>
      <c r="P6868" t="s">
        <v>53</v>
      </c>
      <c r="Q6868" t="s">
        <v>53</v>
      </c>
    </row>
    <row r="6869" spans="1:17" x14ac:dyDescent="0.2">
      <c r="A6869" s="30" t="str">
        <f>IF(C6869&amp;G6869&amp;D6869&lt;&gt;'Funnel setup'!$K$3&amp;'Funnel setup'!$K$4&amp;'Funnel setup'!$K$5,".",IF(A6868=".",1,A6868+1))</f>
        <v>.</v>
      </c>
      <c r="B6869" s="431" t="str">
        <f t="shared" si="107"/>
        <v>Varicose VeinCCG of GP PracticeNHS WEST ESSEX CCG (07H)EQ-5D Index</v>
      </c>
      <c r="C6869" t="s">
        <v>17</v>
      </c>
      <c r="D6869" t="s">
        <v>87</v>
      </c>
      <c r="E6869" t="s">
        <v>405</v>
      </c>
      <c r="F6869" t="s">
        <v>406</v>
      </c>
      <c r="G6869" t="s">
        <v>52</v>
      </c>
      <c r="H6869">
        <v>15</v>
      </c>
      <c r="I6869">
        <v>0.66600000000000004</v>
      </c>
      <c r="J6869">
        <v>0.81799999999999995</v>
      </c>
      <c r="K6869">
        <v>0.152</v>
      </c>
      <c r="L6869">
        <v>7</v>
      </c>
      <c r="M6869">
        <v>6</v>
      </c>
      <c r="N6869">
        <v>2</v>
      </c>
      <c r="O6869" t="s">
        <v>53</v>
      </c>
      <c r="P6869" t="s">
        <v>53</v>
      </c>
      <c r="Q6869" t="s">
        <v>53</v>
      </c>
    </row>
    <row r="6870" spans="1:17" x14ac:dyDescent="0.2">
      <c r="A6870" s="30" t="str">
        <f>IF(C6870&amp;G6870&amp;D6870&lt;&gt;'Funnel setup'!$K$3&amp;'Funnel setup'!$K$4&amp;'Funnel setup'!$K$5,".",IF(A6869=".",1,A6869+1))</f>
        <v>.</v>
      </c>
      <c r="B6870" s="431" t="str">
        <f t="shared" si="107"/>
        <v>Varicose VeinCCG of GP PracticeNHS WEST HAMPSHIRE CCG (11A)EQ-5D Index</v>
      </c>
      <c r="C6870" t="s">
        <v>17</v>
      </c>
      <c r="D6870" t="s">
        <v>87</v>
      </c>
      <c r="E6870" t="s">
        <v>444</v>
      </c>
      <c r="F6870" t="s">
        <v>445</v>
      </c>
      <c r="G6870" t="s">
        <v>52</v>
      </c>
      <c r="H6870">
        <v>11</v>
      </c>
      <c r="I6870">
        <v>0.871</v>
      </c>
      <c r="J6870">
        <v>0.87</v>
      </c>
      <c r="K6870">
        <v>-2E-3</v>
      </c>
      <c r="L6870">
        <v>4</v>
      </c>
      <c r="M6870">
        <v>4</v>
      </c>
      <c r="N6870">
        <v>3</v>
      </c>
      <c r="O6870" t="s">
        <v>53</v>
      </c>
      <c r="P6870" t="s">
        <v>53</v>
      </c>
      <c r="Q6870" t="s">
        <v>53</v>
      </c>
    </row>
    <row r="6871" spans="1:17" x14ac:dyDescent="0.2">
      <c r="A6871" s="30" t="str">
        <f>IF(C6871&amp;G6871&amp;D6871&lt;&gt;'Funnel setup'!$K$3&amp;'Funnel setup'!$K$4&amp;'Funnel setup'!$K$5,".",IF(A6870=".",1,A6870+1))</f>
        <v>.</v>
      </c>
      <c r="B6871" s="431" t="str">
        <f t="shared" si="107"/>
        <v>Varicose VeinCCG of GP PracticeNHS WEST KENT CCG (99J)EQ-5D Index</v>
      </c>
      <c r="C6871" t="s">
        <v>17</v>
      </c>
      <c r="D6871" t="s">
        <v>87</v>
      </c>
      <c r="E6871" t="s">
        <v>447</v>
      </c>
      <c r="F6871" t="s">
        <v>448</v>
      </c>
      <c r="G6871" t="s">
        <v>52</v>
      </c>
      <c r="H6871" t="s">
        <v>53</v>
      </c>
      <c r="I6871" t="s">
        <v>53</v>
      </c>
      <c r="J6871" t="s">
        <v>53</v>
      </c>
      <c r="K6871" t="s">
        <v>53</v>
      </c>
      <c r="L6871" t="s">
        <v>53</v>
      </c>
      <c r="M6871" t="s">
        <v>53</v>
      </c>
      <c r="N6871" t="s">
        <v>53</v>
      </c>
      <c r="O6871" t="s">
        <v>53</v>
      </c>
      <c r="P6871" t="s">
        <v>53</v>
      </c>
      <c r="Q6871" t="s">
        <v>53</v>
      </c>
    </row>
    <row r="6872" spans="1:17" x14ac:dyDescent="0.2">
      <c r="A6872" s="30" t="str">
        <f>IF(C6872&amp;G6872&amp;D6872&lt;&gt;'Funnel setup'!$K$3&amp;'Funnel setup'!$K$4&amp;'Funnel setup'!$K$5,".",IF(A6871=".",1,A6871+1))</f>
        <v>.</v>
      </c>
      <c r="B6872" s="431" t="str">
        <f t="shared" si="107"/>
        <v>Varicose VeinCCG of GP PracticeNHS WEST LANCASHIRE CCG (02G)EQ-5D Index</v>
      </c>
      <c r="C6872" t="s">
        <v>17</v>
      </c>
      <c r="D6872" t="s">
        <v>87</v>
      </c>
      <c r="E6872" t="s">
        <v>450</v>
      </c>
      <c r="F6872" t="s">
        <v>451</v>
      </c>
      <c r="G6872" t="s">
        <v>52</v>
      </c>
      <c r="H6872">
        <v>24</v>
      </c>
      <c r="I6872">
        <v>0.78400000000000003</v>
      </c>
      <c r="J6872">
        <v>0.79</v>
      </c>
      <c r="K6872">
        <v>6.0000000000000001E-3</v>
      </c>
      <c r="L6872">
        <v>9</v>
      </c>
      <c r="M6872">
        <v>8</v>
      </c>
      <c r="N6872">
        <v>7</v>
      </c>
      <c r="O6872" t="s">
        <v>53</v>
      </c>
      <c r="P6872" t="s">
        <v>53</v>
      </c>
      <c r="Q6872" t="s">
        <v>53</v>
      </c>
    </row>
    <row r="6873" spans="1:17" x14ac:dyDescent="0.2">
      <c r="A6873" s="30" t="str">
        <f>IF(C6873&amp;G6873&amp;D6873&lt;&gt;'Funnel setup'!$K$3&amp;'Funnel setup'!$K$4&amp;'Funnel setup'!$K$5,".",IF(A6872=".",1,A6872+1))</f>
        <v>.</v>
      </c>
      <c r="B6873" s="431" t="str">
        <f t="shared" si="107"/>
        <v>Varicose VeinCCG of GP PracticeNHS WEST LEICESTERSHIRE CCG (04V)EQ-5D Index</v>
      </c>
      <c r="C6873" t="s">
        <v>17</v>
      </c>
      <c r="D6873" t="s">
        <v>87</v>
      </c>
      <c r="E6873" t="s">
        <v>453</v>
      </c>
      <c r="F6873" t="s">
        <v>454</v>
      </c>
      <c r="G6873" t="s">
        <v>52</v>
      </c>
      <c r="H6873">
        <v>20</v>
      </c>
      <c r="I6873">
        <v>0.72699999999999998</v>
      </c>
      <c r="J6873">
        <v>0.755</v>
      </c>
      <c r="K6873">
        <v>2.8000000000000001E-2</v>
      </c>
      <c r="L6873">
        <v>10</v>
      </c>
      <c r="M6873">
        <v>4</v>
      </c>
      <c r="N6873">
        <v>6</v>
      </c>
      <c r="O6873" t="s">
        <v>53</v>
      </c>
      <c r="P6873" t="s">
        <v>53</v>
      </c>
      <c r="Q6873" t="s">
        <v>53</v>
      </c>
    </row>
    <row r="6874" spans="1:17" x14ac:dyDescent="0.2">
      <c r="A6874" s="30" t="str">
        <f>IF(C6874&amp;G6874&amp;D6874&lt;&gt;'Funnel setup'!$K$3&amp;'Funnel setup'!$K$4&amp;'Funnel setup'!$K$5,".",IF(A6873=".",1,A6873+1))</f>
        <v>.</v>
      </c>
      <c r="B6874" s="431" t="str">
        <f t="shared" si="107"/>
        <v>Varicose VeinCCG of GP PracticeNHS WEST LONDON CCG (08Y)EQ-5D Index</v>
      </c>
      <c r="C6874" t="s">
        <v>17</v>
      </c>
      <c r="D6874" t="s">
        <v>87</v>
      </c>
      <c r="E6874" t="s">
        <v>456</v>
      </c>
      <c r="F6874" t="s">
        <v>457</v>
      </c>
      <c r="G6874" t="s">
        <v>52</v>
      </c>
      <c r="H6874">
        <v>17</v>
      </c>
      <c r="I6874">
        <v>0.77600000000000002</v>
      </c>
      <c r="J6874">
        <v>0.87</v>
      </c>
      <c r="K6874">
        <v>9.4E-2</v>
      </c>
      <c r="L6874">
        <v>12</v>
      </c>
      <c r="M6874">
        <v>4</v>
      </c>
      <c r="N6874">
        <v>1</v>
      </c>
      <c r="O6874" t="s">
        <v>53</v>
      </c>
      <c r="P6874" t="s">
        <v>53</v>
      </c>
      <c r="Q6874" t="s">
        <v>53</v>
      </c>
    </row>
    <row r="6875" spans="1:17" x14ac:dyDescent="0.2">
      <c r="A6875" s="30" t="str">
        <f>IF(C6875&amp;G6875&amp;D6875&lt;&gt;'Funnel setup'!$K$3&amp;'Funnel setup'!$K$4&amp;'Funnel setup'!$K$5,".",IF(A6874=".",1,A6874+1))</f>
        <v>.</v>
      </c>
      <c r="B6875" s="431" t="str">
        <f t="shared" si="107"/>
        <v>Varicose VeinCCG of GP PracticeNHS WEST NORFOLK CCG (07J)EQ-5D Index</v>
      </c>
      <c r="C6875" t="s">
        <v>17</v>
      </c>
      <c r="D6875" t="s">
        <v>87</v>
      </c>
      <c r="E6875" t="s">
        <v>459</v>
      </c>
      <c r="F6875" t="s">
        <v>460</v>
      </c>
      <c r="G6875" t="s">
        <v>52</v>
      </c>
      <c r="H6875">
        <v>17</v>
      </c>
      <c r="I6875">
        <v>0.70699999999999996</v>
      </c>
      <c r="J6875">
        <v>0.88500000000000001</v>
      </c>
      <c r="K6875">
        <v>0.17799999999999999</v>
      </c>
      <c r="L6875">
        <v>10</v>
      </c>
      <c r="M6875">
        <v>3</v>
      </c>
      <c r="N6875">
        <v>4</v>
      </c>
      <c r="O6875" t="s">
        <v>53</v>
      </c>
      <c r="P6875" t="s">
        <v>53</v>
      </c>
      <c r="Q6875" t="s">
        <v>53</v>
      </c>
    </row>
    <row r="6876" spans="1:17" x14ac:dyDescent="0.2">
      <c r="A6876" s="30" t="str">
        <f>IF(C6876&amp;G6876&amp;D6876&lt;&gt;'Funnel setup'!$K$3&amp;'Funnel setup'!$K$4&amp;'Funnel setup'!$K$5,".",IF(A6875=".",1,A6875+1))</f>
        <v>.</v>
      </c>
      <c r="B6876" s="431" t="str">
        <f t="shared" si="107"/>
        <v>Varicose VeinCCG of GP PracticeNHS WEST SUFFOLK CCG (07K)EQ-5D Index</v>
      </c>
      <c r="C6876" t="s">
        <v>17</v>
      </c>
      <c r="D6876" t="s">
        <v>87</v>
      </c>
      <c r="E6876" t="s">
        <v>462</v>
      </c>
      <c r="F6876" t="s">
        <v>463</v>
      </c>
      <c r="G6876" t="s">
        <v>52</v>
      </c>
      <c r="H6876">
        <v>28</v>
      </c>
      <c r="I6876">
        <v>0.79</v>
      </c>
      <c r="J6876">
        <v>0.84599999999999997</v>
      </c>
      <c r="K6876">
        <v>5.6000000000000001E-2</v>
      </c>
      <c r="L6876">
        <v>13</v>
      </c>
      <c r="M6876">
        <v>12</v>
      </c>
      <c r="N6876">
        <v>3</v>
      </c>
      <c r="O6876" t="s">
        <v>53</v>
      </c>
      <c r="P6876" t="s">
        <v>53</v>
      </c>
      <c r="Q6876" t="s">
        <v>53</v>
      </c>
    </row>
    <row r="6877" spans="1:17" x14ac:dyDescent="0.2">
      <c r="A6877" s="30" t="str">
        <f>IF(C6877&amp;G6877&amp;D6877&lt;&gt;'Funnel setup'!$K$3&amp;'Funnel setup'!$K$4&amp;'Funnel setup'!$K$5,".",IF(A6876=".",1,A6876+1))</f>
        <v>.</v>
      </c>
      <c r="B6877" s="431" t="str">
        <f t="shared" si="107"/>
        <v>Varicose VeinCCG of GP PracticeNHS WIGAN BOROUGH CCG (02H)EQ-5D Index</v>
      </c>
      <c r="C6877" t="s">
        <v>17</v>
      </c>
      <c r="D6877" t="s">
        <v>87</v>
      </c>
      <c r="E6877" t="s">
        <v>465</v>
      </c>
      <c r="F6877" t="s">
        <v>466</v>
      </c>
      <c r="G6877" t="s">
        <v>52</v>
      </c>
      <c r="H6877">
        <v>13</v>
      </c>
      <c r="I6877">
        <v>0.77700000000000002</v>
      </c>
      <c r="J6877">
        <v>0.83699999999999997</v>
      </c>
      <c r="K6877">
        <v>0.06</v>
      </c>
      <c r="L6877">
        <v>5</v>
      </c>
      <c r="M6877">
        <v>4</v>
      </c>
      <c r="N6877">
        <v>4</v>
      </c>
      <c r="O6877" t="s">
        <v>53</v>
      </c>
      <c r="P6877" t="s">
        <v>53</v>
      </c>
      <c r="Q6877" t="s">
        <v>53</v>
      </c>
    </row>
    <row r="6878" spans="1:17" x14ac:dyDescent="0.2">
      <c r="A6878" s="30" t="str">
        <f>IF(C6878&amp;G6878&amp;D6878&lt;&gt;'Funnel setup'!$K$3&amp;'Funnel setup'!$K$4&amp;'Funnel setup'!$K$5,".",IF(A6877=".",1,A6877+1))</f>
        <v>.</v>
      </c>
      <c r="B6878" s="431" t="str">
        <f t="shared" si="107"/>
        <v>Varicose VeinCCG of GP PracticeNHS WILTSHIRE CCG (99N)EQ-5D Index</v>
      </c>
      <c r="C6878" t="s">
        <v>17</v>
      </c>
      <c r="D6878" t="s">
        <v>87</v>
      </c>
      <c r="E6878" t="s">
        <v>468</v>
      </c>
      <c r="F6878" t="s">
        <v>469</v>
      </c>
      <c r="G6878" t="s">
        <v>52</v>
      </c>
      <c r="H6878">
        <v>48</v>
      </c>
      <c r="I6878">
        <v>0.71399999999999997</v>
      </c>
      <c r="J6878">
        <v>0.85</v>
      </c>
      <c r="K6878">
        <v>0.13600000000000001</v>
      </c>
      <c r="L6878">
        <v>33</v>
      </c>
      <c r="M6878">
        <v>9</v>
      </c>
      <c r="N6878">
        <v>6</v>
      </c>
      <c r="O6878">
        <v>0.876</v>
      </c>
      <c r="P6878">
        <v>0.128872134</v>
      </c>
      <c r="Q6878">
        <v>0.121</v>
      </c>
    </row>
    <row r="6879" spans="1:17" x14ac:dyDescent="0.2">
      <c r="A6879" s="30" t="str">
        <f>IF(C6879&amp;G6879&amp;D6879&lt;&gt;'Funnel setup'!$K$3&amp;'Funnel setup'!$K$4&amp;'Funnel setup'!$K$5,".",IF(A6878=".",1,A6878+1))</f>
        <v>.</v>
      </c>
      <c r="B6879" s="431" t="str">
        <f t="shared" si="107"/>
        <v>Varicose VeinCCG of GP PracticeNHS WIRRAL CCG (12F)EQ-5D Index</v>
      </c>
      <c r="C6879" t="s">
        <v>17</v>
      </c>
      <c r="D6879" t="s">
        <v>87</v>
      </c>
      <c r="E6879" t="s">
        <v>474</v>
      </c>
      <c r="F6879" t="s">
        <v>475</v>
      </c>
      <c r="G6879" t="s">
        <v>52</v>
      </c>
      <c r="H6879">
        <v>48</v>
      </c>
      <c r="I6879">
        <v>0.68400000000000005</v>
      </c>
      <c r="J6879">
        <v>0.80400000000000005</v>
      </c>
      <c r="K6879">
        <v>0.12</v>
      </c>
      <c r="L6879">
        <v>25</v>
      </c>
      <c r="M6879">
        <v>18</v>
      </c>
      <c r="N6879">
        <v>5</v>
      </c>
      <c r="O6879">
        <v>0.82699999999999996</v>
      </c>
      <c r="P6879">
        <v>8.0320581000000002E-2</v>
      </c>
      <c r="Q6879">
        <v>0.223</v>
      </c>
    </row>
    <row r="6880" spans="1:17" x14ac:dyDescent="0.2">
      <c r="A6880" s="30" t="str">
        <f>IF(C6880&amp;G6880&amp;D6880&lt;&gt;'Funnel setup'!$K$3&amp;'Funnel setup'!$K$4&amp;'Funnel setup'!$K$5,".",IF(A6879=".",1,A6879+1))</f>
        <v>.</v>
      </c>
      <c r="B6880" s="431" t="str">
        <f t="shared" si="107"/>
        <v>Varicose VeinCCG of GP PracticeNHS WOKINGHAM CCG (11D)EQ-5D Index</v>
      </c>
      <c r="C6880" t="s">
        <v>17</v>
      </c>
      <c r="D6880" t="s">
        <v>87</v>
      </c>
      <c r="E6880" t="s">
        <v>477</v>
      </c>
      <c r="F6880" t="s">
        <v>478</v>
      </c>
      <c r="G6880" t="s">
        <v>52</v>
      </c>
      <c r="H6880" t="s">
        <v>53</v>
      </c>
      <c r="I6880" t="s">
        <v>53</v>
      </c>
      <c r="J6880" t="s">
        <v>53</v>
      </c>
      <c r="K6880" t="s">
        <v>53</v>
      </c>
      <c r="L6880" t="s">
        <v>53</v>
      </c>
      <c r="M6880" t="s">
        <v>53</v>
      </c>
      <c r="N6880" t="s">
        <v>53</v>
      </c>
      <c r="O6880" t="s">
        <v>53</v>
      </c>
      <c r="P6880" t="s">
        <v>53</v>
      </c>
      <c r="Q6880" t="s">
        <v>53</v>
      </c>
    </row>
    <row r="6881" spans="1:17" x14ac:dyDescent="0.2">
      <c r="A6881" s="30" t="str">
        <f>IF(C6881&amp;G6881&amp;D6881&lt;&gt;'Funnel setup'!$K$3&amp;'Funnel setup'!$K$4&amp;'Funnel setup'!$K$5,".",IF(A6880=".",1,A6880+1))</f>
        <v>.</v>
      </c>
      <c r="B6881" s="431" t="str">
        <f t="shared" si="107"/>
        <v>Varicose VeinCCG of GP PracticeNHS WOLVERHAMPTON CCG (06A)EQ-5D Index</v>
      </c>
      <c r="C6881" t="s">
        <v>17</v>
      </c>
      <c r="D6881" t="s">
        <v>87</v>
      </c>
      <c r="E6881" t="s">
        <v>480</v>
      </c>
      <c r="F6881" t="s">
        <v>481</v>
      </c>
      <c r="G6881" t="s">
        <v>52</v>
      </c>
      <c r="H6881">
        <v>38</v>
      </c>
      <c r="I6881">
        <v>0.70899999999999996</v>
      </c>
      <c r="J6881">
        <v>0.85699999999999998</v>
      </c>
      <c r="K6881">
        <v>0.14799999999999999</v>
      </c>
      <c r="L6881">
        <v>25</v>
      </c>
      <c r="M6881">
        <v>9</v>
      </c>
      <c r="N6881">
        <v>4</v>
      </c>
      <c r="O6881">
        <v>0.89</v>
      </c>
      <c r="P6881">
        <v>0.14355052300000001</v>
      </c>
      <c r="Q6881">
        <v>0.2</v>
      </c>
    </row>
    <row r="6882" spans="1:17" x14ac:dyDescent="0.2">
      <c r="A6882" s="30" t="str">
        <f>IF(C6882&amp;G6882&amp;D6882&lt;&gt;'Funnel setup'!$K$3&amp;'Funnel setup'!$K$4&amp;'Funnel setup'!$K$5,".",IF(A6881=".",1,A6881+1))</f>
        <v>.</v>
      </c>
      <c r="B6882" s="431" t="str">
        <f t="shared" si="107"/>
        <v>Varicose VeinCCG of GP PracticeNHS WYRE FOREST CCG (06D)EQ-5D Index</v>
      </c>
      <c r="C6882" t="s">
        <v>17</v>
      </c>
      <c r="D6882" t="s">
        <v>87</v>
      </c>
      <c r="E6882" t="s">
        <v>483</v>
      </c>
      <c r="F6882" t="s">
        <v>484</v>
      </c>
      <c r="G6882" t="s">
        <v>52</v>
      </c>
      <c r="H6882" t="s">
        <v>53</v>
      </c>
      <c r="I6882" t="s">
        <v>53</v>
      </c>
      <c r="J6882" t="s">
        <v>53</v>
      </c>
      <c r="K6882" t="s">
        <v>53</v>
      </c>
      <c r="L6882" t="s">
        <v>53</v>
      </c>
      <c r="M6882" t="s">
        <v>53</v>
      </c>
      <c r="N6882" t="s">
        <v>53</v>
      </c>
      <c r="O6882" t="s">
        <v>53</v>
      </c>
      <c r="P6882" t="s">
        <v>53</v>
      </c>
      <c r="Q6882" t="s">
        <v>53</v>
      </c>
    </row>
    <row r="6883" spans="1:17" x14ac:dyDescent="0.2">
      <c r="A6883" s="30" t="str">
        <f>IF(C6883&amp;G6883&amp;D6883&lt;&gt;'Funnel setup'!$K$3&amp;'Funnel setup'!$K$4&amp;'Funnel setup'!$K$5,".",IF(A6882=".",1,A6882+1))</f>
        <v>.</v>
      </c>
      <c r="B6883" s="431" t="str">
        <f t="shared" si="107"/>
        <v>Varicose VeinEnglandEnglandAberdeen Varicose Vein Questionnaire</v>
      </c>
      <c r="C6883" t="s">
        <v>17</v>
      </c>
      <c r="D6883" t="s">
        <v>163</v>
      </c>
      <c r="E6883" t="s">
        <v>163</v>
      </c>
      <c r="F6883" t="s">
        <v>163</v>
      </c>
      <c r="G6883" t="s">
        <v>0</v>
      </c>
      <c r="H6883">
        <v>5721</v>
      </c>
      <c r="I6883">
        <v>20.922000000000001</v>
      </c>
      <c r="J6883">
        <v>12.641</v>
      </c>
      <c r="K6883">
        <v>-8.2810000000000006</v>
      </c>
      <c r="L6883">
        <v>4732</v>
      </c>
      <c r="M6883">
        <v>5</v>
      </c>
      <c r="N6883">
        <v>984</v>
      </c>
      <c r="O6883">
        <v>12.641</v>
      </c>
      <c r="P6883">
        <v>-8.2810064669999992</v>
      </c>
      <c r="Q6883">
        <v>16.199000000000002</v>
      </c>
    </row>
    <row r="6884" spans="1:17" x14ac:dyDescent="0.2">
      <c r="A6884" s="30" t="str">
        <f>IF(C6884&amp;G6884&amp;D6884&lt;&gt;'Funnel setup'!$K$3&amp;'Funnel setup'!$K$4&amp;'Funnel setup'!$K$5,".",IF(A6883=".",1,A6883+1))</f>
        <v>.</v>
      </c>
      <c r="B6884" s="431" t="str">
        <f t="shared" si="107"/>
        <v>Varicose VeinEnglandEnglandEQ VAS</v>
      </c>
      <c r="C6884" t="s">
        <v>17</v>
      </c>
      <c r="D6884" t="s">
        <v>163</v>
      </c>
      <c r="E6884" t="s">
        <v>163</v>
      </c>
      <c r="F6884" t="s">
        <v>163</v>
      </c>
      <c r="G6884" t="s">
        <v>179</v>
      </c>
      <c r="H6884">
        <v>5505</v>
      </c>
      <c r="I6884">
        <v>78.963999999999999</v>
      </c>
      <c r="J6884">
        <v>78.424000000000007</v>
      </c>
      <c r="K6884">
        <v>-0.54</v>
      </c>
      <c r="L6884">
        <v>2161</v>
      </c>
      <c r="M6884">
        <v>1083</v>
      </c>
      <c r="N6884">
        <v>2261</v>
      </c>
      <c r="O6884">
        <v>78.424000000000007</v>
      </c>
      <c r="P6884">
        <v>-0.54005449599999999</v>
      </c>
      <c r="Q6884">
        <v>13.509</v>
      </c>
    </row>
    <row r="6885" spans="1:17" x14ac:dyDescent="0.2">
      <c r="A6885" s="30" t="str">
        <f>IF(C6885&amp;G6885&amp;D6885&lt;&gt;'Funnel setup'!$K$3&amp;'Funnel setup'!$K$4&amp;'Funnel setup'!$K$5,".",IF(A6884=".",1,A6884+1))</f>
        <v>.</v>
      </c>
      <c r="B6885" s="431" t="str">
        <f t="shared" si="107"/>
        <v>Varicose VeinEnglandEnglandEQ-5D Index</v>
      </c>
      <c r="C6885" t="s">
        <v>17</v>
      </c>
      <c r="D6885" t="s">
        <v>163</v>
      </c>
      <c r="E6885" t="s">
        <v>163</v>
      </c>
      <c r="F6885" t="s">
        <v>163</v>
      </c>
      <c r="G6885" t="s">
        <v>52</v>
      </c>
      <c r="H6885">
        <v>5559</v>
      </c>
      <c r="I6885">
        <v>0.747</v>
      </c>
      <c r="J6885">
        <v>0.84199999999999997</v>
      </c>
      <c r="K6885">
        <v>9.5000000000000001E-2</v>
      </c>
      <c r="L6885">
        <v>2894</v>
      </c>
      <c r="M6885">
        <v>1748</v>
      </c>
      <c r="N6885">
        <v>917</v>
      </c>
      <c r="O6885">
        <v>0.84199999999999997</v>
      </c>
      <c r="P6885">
        <v>9.4882892999999996E-2</v>
      </c>
      <c r="Q6885">
        <v>0.17399999999999999</v>
      </c>
    </row>
    <row r="6886" spans="1:17" x14ac:dyDescent="0.2">
      <c r="A6886" s="30" t="str">
        <f>IF(C6886&amp;G6886&amp;D6886&lt;&gt;'Funnel setup'!$K$3&amp;'Funnel setup'!$K$4&amp;'Funnel setup'!$K$5,".",IF(A6885=".",1,A6885+1))</f>
        <v>.</v>
      </c>
      <c r="B6886" s="431" t="str">
        <f t="shared" si="107"/>
        <v>Varicose VeinProviderAINTREE UNIVERSITY HOSPITAL NHS FOUNDATION TRUST (REM)Aberdeen Varicose Vein Questionnaire</v>
      </c>
      <c r="C6886" t="s">
        <v>17</v>
      </c>
      <c r="D6886" t="s">
        <v>1</v>
      </c>
      <c r="E6886" t="s">
        <v>3838</v>
      </c>
      <c r="F6886" t="s">
        <v>3839</v>
      </c>
      <c r="G6886" t="s">
        <v>0</v>
      </c>
      <c r="H6886">
        <v>23</v>
      </c>
      <c r="I6886">
        <v>22.167999999999999</v>
      </c>
      <c r="J6886">
        <v>14.972</v>
      </c>
      <c r="K6886">
        <v>-7.1959999999999997</v>
      </c>
      <c r="L6886">
        <v>20</v>
      </c>
      <c r="M6886">
        <v>0</v>
      </c>
      <c r="N6886">
        <v>3</v>
      </c>
      <c r="O6886" t="s">
        <v>53</v>
      </c>
      <c r="P6886" t="s">
        <v>53</v>
      </c>
      <c r="Q6886" t="s">
        <v>53</v>
      </c>
    </row>
    <row r="6887" spans="1:17" x14ac:dyDescent="0.2">
      <c r="A6887" s="30" t="str">
        <f>IF(C6887&amp;G6887&amp;D6887&lt;&gt;'Funnel setup'!$K$3&amp;'Funnel setup'!$K$4&amp;'Funnel setup'!$K$5,".",IF(A6886=".",1,A6886+1))</f>
        <v>.</v>
      </c>
      <c r="B6887" s="431" t="str">
        <f t="shared" si="107"/>
        <v>Varicose VeinProviderAIREDALE NHS FOUNDATION TRUST (RCF)Aberdeen Varicose Vein Questionnaire</v>
      </c>
      <c r="C6887" t="s">
        <v>17</v>
      </c>
      <c r="D6887" t="s">
        <v>1</v>
      </c>
      <c r="E6887" t="s">
        <v>3841</v>
      </c>
      <c r="F6887" t="s">
        <v>3842</v>
      </c>
      <c r="G6887" t="s">
        <v>0</v>
      </c>
      <c r="H6887">
        <v>65</v>
      </c>
      <c r="I6887">
        <v>16.707000000000001</v>
      </c>
      <c r="J6887">
        <v>8.6530000000000005</v>
      </c>
      <c r="K6887">
        <v>-8.0540000000000003</v>
      </c>
      <c r="L6887">
        <v>54</v>
      </c>
      <c r="M6887">
        <v>0</v>
      </c>
      <c r="N6887">
        <v>11</v>
      </c>
      <c r="O6887">
        <v>6.165</v>
      </c>
      <c r="P6887">
        <v>-14.75777549</v>
      </c>
      <c r="Q6887">
        <v>10.611000000000001</v>
      </c>
    </row>
    <row r="6888" spans="1:17" x14ac:dyDescent="0.2">
      <c r="A6888" s="30" t="str">
        <f>IF(C6888&amp;G6888&amp;D6888&lt;&gt;'Funnel setup'!$K$3&amp;'Funnel setup'!$K$4&amp;'Funnel setup'!$K$5,".",IF(A6887=".",1,A6887+1))</f>
        <v>.</v>
      </c>
      <c r="B6888" s="431" t="str">
        <f t="shared" si="107"/>
        <v>Varicose VeinProviderASHFORD AND ST PETER'S HOSPITALS NHS FOUNDATION TRUST (RTK)Aberdeen Varicose Vein Questionnaire</v>
      </c>
      <c r="C6888" t="s">
        <v>17</v>
      </c>
      <c r="D6888" t="s">
        <v>1</v>
      </c>
      <c r="E6888" t="s">
        <v>3844</v>
      </c>
      <c r="F6888" t="s">
        <v>345</v>
      </c>
      <c r="G6888" t="s">
        <v>0</v>
      </c>
      <c r="H6888">
        <v>19</v>
      </c>
      <c r="I6888">
        <v>20.913</v>
      </c>
      <c r="J6888">
        <v>13.791</v>
      </c>
      <c r="K6888">
        <v>-7.1219999999999999</v>
      </c>
      <c r="L6888">
        <v>15</v>
      </c>
      <c r="M6888">
        <v>0</v>
      </c>
      <c r="N6888">
        <v>4</v>
      </c>
      <c r="O6888" t="s">
        <v>53</v>
      </c>
      <c r="P6888" t="s">
        <v>53</v>
      </c>
      <c r="Q6888" t="s">
        <v>53</v>
      </c>
    </row>
    <row r="6889" spans="1:17" x14ac:dyDescent="0.2">
      <c r="A6889" s="30" t="str">
        <f>IF(C6889&amp;G6889&amp;D6889&lt;&gt;'Funnel setup'!$K$3&amp;'Funnel setup'!$K$4&amp;'Funnel setup'!$K$5,".",IF(A6888=".",1,A6888+1))</f>
        <v>.</v>
      </c>
      <c r="B6889" s="431" t="str">
        <f t="shared" si="107"/>
        <v>Varicose VeinProviderASHTEAD HOSPITAL (NVC01)Aberdeen Varicose Vein Questionnaire</v>
      </c>
      <c r="C6889" t="s">
        <v>17</v>
      </c>
      <c r="D6889" t="s">
        <v>1</v>
      </c>
      <c r="E6889" t="s">
        <v>3846</v>
      </c>
      <c r="F6889" t="s">
        <v>3847</v>
      </c>
      <c r="G6889" t="s">
        <v>0</v>
      </c>
      <c r="H6889">
        <v>15</v>
      </c>
      <c r="I6889">
        <v>27.86</v>
      </c>
      <c r="J6889">
        <v>12.505000000000001</v>
      </c>
      <c r="K6889">
        <v>-15.355</v>
      </c>
      <c r="L6889">
        <v>14</v>
      </c>
      <c r="M6889">
        <v>0</v>
      </c>
      <c r="N6889">
        <v>1</v>
      </c>
      <c r="O6889" t="s">
        <v>53</v>
      </c>
      <c r="P6889" t="s">
        <v>53</v>
      </c>
      <c r="Q6889" t="s">
        <v>53</v>
      </c>
    </row>
    <row r="6890" spans="1:17" x14ac:dyDescent="0.2">
      <c r="A6890" s="30" t="str">
        <f>IF(C6890&amp;G6890&amp;D6890&lt;&gt;'Funnel setup'!$K$3&amp;'Funnel setup'!$K$4&amp;'Funnel setup'!$K$5,".",IF(A6889=".",1,A6889+1))</f>
        <v>.</v>
      </c>
      <c r="B6890" s="431" t="str">
        <f t="shared" si="107"/>
        <v>Varicose VeinProviderBARKING, HAVERING AND REDBRIDGE UNIVERSITY HOSPITALS NHS TRUST (RF4)Aberdeen Varicose Vein Questionnaire</v>
      </c>
      <c r="C6890" t="s">
        <v>17</v>
      </c>
      <c r="D6890" t="s">
        <v>1</v>
      </c>
      <c r="E6890" t="s">
        <v>3509</v>
      </c>
      <c r="F6890" t="s">
        <v>3510</v>
      </c>
      <c r="G6890" t="s">
        <v>0</v>
      </c>
      <c r="H6890">
        <v>28</v>
      </c>
      <c r="I6890">
        <v>20.14</v>
      </c>
      <c r="J6890">
        <v>13.185</v>
      </c>
      <c r="K6890">
        <v>-6.9550000000000001</v>
      </c>
      <c r="L6890">
        <v>21</v>
      </c>
      <c r="M6890">
        <v>0</v>
      </c>
      <c r="N6890">
        <v>7</v>
      </c>
      <c r="O6890" t="s">
        <v>53</v>
      </c>
      <c r="P6890" t="s">
        <v>53</v>
      </c>
      <c r="Q6890" t="s">
        <v>53</v>
      </c>
    </row>
    <row r="6891" spans="1:17" x14ac:dyDescent="0.2">
      <c r="A6891" s="30" t="str">
        <f>IF(C6891&amp;G6891&amp;D6891&lt;&gt;'Funnel setup'!$K$3&amp;'Funnel setup'!$K$4&amp;'Funnel setup'!$K$5,".",IF(A6890=".",1,A6890+1))</f>
        <v>.</v>
      </c>
      <c r="B6891" s="431" t="str">
        <f t="shared" si="107"/>
        <v>Varicose VeinProviderBARNSLEY HOSPITAL NHS FOUNDATION TRUST (RFF)Aberdeen Varicose Vein Questionnaire</v>
      </c>
      <c r="C6891" t="s">
        <v>17</v>
      </c>
      <c r="D6891" t="s">
        <v>1</v>
      </c>
      <c r="E6891" t="s">
        <v>3549</v>
      </c>
      <c r="F6891" t="s">
        <v>3550</v>
      </c>
      <c r="G6891" t="s">
        <v>0</v>
      </c>
      <c r="H6891">
        <v>11</v>
      </c>
      <c r="I6891">
        <v>20.289000000000001</v>
      </c>
      <c r="J6891">
        <v>15.114000000000001</v>
      </c>
      <c r="K6891">
        <v>-5.1749999999999998</v>
      </c>
      <c r="L6891">
        <v>9</v>
      </c>
      <c r="M6891">
        <v>0</v>
      </c>
      <c r="N6891">
        <v>2</v>
      </c>
      <c r="O6891" t="s">
        <v>53</v>
      </c>
      <c r="P6891" t="s">
        <v>53</v>
      </c>
      <c r="Q6891" t="s">
        <v>53</v>
      </c>
    </row>
    <row r="6892" spans="1:17" x14ac:dyDescent="0.2">
      <c r="A6892" s="30" t="str">
        <f>IF(C6892&amp;G6892&amp;D6892&lt;&gt;'Funnel setup'!$K$3&amp;'Funnel setup'!$K$4&amp;'Funnel setup'!$K$5,".",IF(A6891=".",1,A6891+1))</f>
        <v>.</v>
      </c>
      <c r="B6892" s="431" t="str">
        <f t="shared" si="107"/>
        <v>Varicose VeinProviderBARTS HEALTH NHS TRUST (R1H)Aberdeen Varicose Vein Questionnaire</v>
      </c>
      <c r="C6892" t="s">
        <v>17</v>
      </c>
      <c r="D6892" t="s">
        <v>1</v>
      </c>
      <c r="E6892" t="s">
        <v>3552</v>
      </c>
      <c r="F6892" t="s">
        <v>3553</v>
      </c>
      <c r="G6892" t="s">
        <v>0</v>
      </c>
      <c r="H6892">
        <v>60</v>
      </c>
      <c r="I6892">
        <v>24.8</v>
      </c>
      <c r="J6892">
        <v>18.006</v>
      </c>
      <c r="K6892">
        <v>-6.7949999999999999</v>
      </c>
      <c r="L6892">
        <v>47</v>
      </c>
      <c r="M6892">
        <v>0</v>
      </c>
      <c r="N6892">
        <v>13</v>
      </c>
      <c r="O6892">
        <v>21.215</v>
      </c>
      <c r="P6892">
        <v>0.29286690399999998</v>
      </c>
      <c r="Q6892">
        <v>22.391999999999999</v>
      </c>
    </row>
    <row r="6893" spans="1:17" x14ac:dyDescent="0.2">
      <c r="A6893" s="30" t="str">
        <f>IF(C6893&amp;G6893&amp;D6893&lt;&gt;'Funnel setup'!$K$3&amp;'Funnel setup'!$K$4&amp;'Funnel setup'!$K$5,".",IF(A6892=".",1,A6892+1))</f>
        <v>.</v>
      </c>
      <c r="B6893" s="431" t="str">
        <f t="shared" si="107"/>
        <v>Varicose VeinProviderBASILDON AND THURROCK UNIVERSITY HOSPITALS NHS FOUNDATION TRUST (RDD)Aberdeen Varicose Vein Questionnaire</v>
      </c>
      <c r="C6893" t="s">
        <v>17</v>
      </c>
      <c r="D6893" t="s">
        <v>1</v>
      </c>
      <c r="E6893" t="s">
        <v>3555</v>
      </c>
      <c r="F6893" t="s">
        <v>3556</v>
      </c>
      <c r="G6893" t="s">
        <v>0</v>
      </c>
      <c r="H6893" t="s">
        <v>53</v>
      </c>
      <c r="I6893" t="s">
        <v>53</v>
      </c>
      <c r="J6893" t="s">
        <v>53</v>
      </c>
      <c r="K6893" t="s">
        <v>53</v>
      </c>
      <c r="L6893" t="s">
        <v>53</v>
      </c>
      <c r="M6893" t="s">
        <v>53</v>
      </c>
      <c r="N6893" t="s">
        <v>53</v>
      </c>
      <c r="O6893" t="s">
        <v>53</v>
      </c>
      <c r="P6893" t="s">
        <v>53</v>
      </c>
      <c r="Q6893" t="s">
        <v>53</v>
      </c>
    </row>
    <row r="6894" spans="1:17" x14ac:dyDescent="0.2">
      <c r="A6894" s="30" t="str">
        <f>IF(C6894&amp;G6894&amp;D6894&lt;&gt;'Funnel setup'!$K$3&amp;'Funnel setup'!$K$4&amp;'Funnel setup'!$K$5,".",IF(A6893=".",1,A6893+1))</f>
        <v>.</v>
      </c>
      <c r="B6894" s="431" t="str">
        <f t="shared" si="107"/>
        <v>Varicose VeinProviderBEDFORD HOSPITAL NHS TRUST (RC1)Aberdeen Varicose Vein Questionnaire</v>
      </c>
      <c r="C6894" t="s">
        <v>17</v>
      </c>
      <c r="D6894" t="s">
        <v>1</v>
      </c>
      <c r="E6894" t="s">
        <v>3558</v>
      </c>
      <c r="F6894" t="s">
        <v>3559</v>
      </c>
      <c r="G6894" t="s">
        <v>0</v>
      </c>
      <c r="H6894">
        <v>33</v>
      </c>
      <c r="I6894">
        <v>21.972000000000001</v>
      </c>
      <c r="J6894">
        <v>14.856999999999999</v>
      </c>
      <c r="K6894">
        <v>-7.1159999999999997</v>
      </c>
      <c r="L6894">
        <v>27</v>
      </c>
      <c r="M6894">
        <v>0</v>
      </c>
      <c r="N6894">
        <v>6</v>
      </c>
      <c r="O6894">
        <v>14.855</v>
      </c>
      <c r="P6894">
        <v>-6.0674435449999997</v>
      </c>
      <c r="Q6894">
        <v>16.704999999999998</v>
      </c>
    </row>
    <row r="6895" spans="1:17" x14ac:dyDescent="0.2">
      <c r="A6895" s="30" t="str">
        <f>IF(C6895&amp;G6895&amp;D6895&lt;&gt;'Funnel setup'!$K$3&amp;'Funnel setup'!$K$4&amp;'Funnel setup'!$K$5,".",IF(A6894=".",1,A6894+1))</f>
        <v>.</v>
      </c>
      <c r="B6895" s="431" t="str">
        <f t="shared" si="107"/>
        <v>Varicose VeinProviderBLACKPOOL TEACHING HOSPITALS NHS FOUNDATION TRUST (RXL)Aberdeen Varicose Vein Questionnaire</v>
      </c>
      <c r="C6895" t="s">
        <v>17</v>
      </c>
      <c r="D6895" t="s">
        <v>1</v>
      </c>
      <c r="E6895" t="s">
        <v>3561</v>
      </c>
      <c r="F6895" t="s">
        <v>3562</v>
      </c>
      <c r="G6895" t="s">
        <v>0</v>
      </c>
      <c r="H6895">
        <v>10</v>
      </c>
      <c r="I6895">
        <v>26.954000000000001</v>
      </c>
      <c r="J6895">
        <v>13.266</v>
      </c>
      <c r="K6895">
        <v>-13.688000000000001</v>
      </c>
      <c r="L6895">
        <v>10</v>
      </c>
      <c r="M6895">
        <v>0</v>
      </c>
      <c r="N6895">
        <v>0</v>
      </c>
      <c r="O6895" t="s">
        <v>53</v>
      </c>
      <c r="P6895" t="s">
        <v>53</v>
      </c>
      <c r="Q6895" t="s">
        <v>53</v>
      </c>
    </row>
    <row r="6896" spans="1:17" x14ac:dyDescent="0.2">
      <c r="A6896" s="30" t="str">
        <f>IF(C6896&amp;G6896&amp;D6896&lt;&gt;'Funnel setup'!$K$3&amp;'Funnel setup'!$K$4&amp;'Funnel setup'!$K$5,".",IF(A6895=".",1,A6895+1))</f>
        <v>.</v>
      </c>
      <c r="B6896" s="431" t="str">
        <f t="shared" si="107"/>
        <v>Varicose VeinProviderBMI - SHIRLEY OAKS HOSPITAL (NT436)Aberdeen Varicose Vein Questionnaire</v>
      </c>
      <c r="C6896" t="s">
        <v>17</v>
      </c>
      <c r="D6896" t="s">
        <v>1</v>
      </c>
      <c r="E6896" t="s">
        <v>3576</v>
      </c>
      <c r="F6896" t="s">
        <v>3577</v>
      </c>
      <c r="G6896" t="s">
        <v>0</v>
      </c>
      <c r="H6896" t="s">
        <v>53</v>
      </c>
      <c r="I6896" t="s">
        <v>53</v>
      </c>
      <c r="J6896" t="s">
        <v>53</v>
      </c>
      <c r="K6896" t="s">
        <v>53</v>
      </c>
      <c r="L6896" t="s">
        <v>53</v>
      </c>
      <c r="M6896" t="s">
        <v>53</v>
      </c>
      <c r="N6896" t="s">
        <v>53</v>
      </c>
      <c r="O6896" t="s">
        <v>53</v>
      </c>
      <c r="P6896" t="s">
        <v>53</v>
      </c>
      <c r="Q6896" t="s">
        <v>53</v>
      </c>
    </row>
    <row r="6897" spans="1:17" x14ac:dyDescent="0.2">
      <c r="A6897" s="30" t="str">
        <f>IF(C6897&amp;G6897&amp;D6897&lt;&gt;'Funnel setup'!$K$3&amp;'Funnel setup'!$K$4&amp;'Funnel setup'!$K$5,".",IF(A6896=".",1,A6896+1))</f>
        <v>.</v>
      </c>
      <c r="B6897" s="431" t="str">
        <f t="shared" si="107"/>
        <v>Varicose VeinProviderBMI - THE DROITWICH SPA HOSPITAL (NT412)Aberdeen Varicose Vein Questionnaire</v>
      </c>
      <c r="C6897" t="s">
        <v>17</v>
      </c>
      <c r="D6897" t="s">
        <v>1</v>
      </c>
      <c r="E6897" t="s">
        <v>3600</v>
      </c>
      <c r="F6897" t="s">
        <v>3601</v>
      </c>
      <c r="G6897" t="s">
        <v>0</v>
      </c>
      <c r="H6897" t="s">
        <v>53</v>
      </c>
      <c r="I6897" t="s">
        <v>53</v>
      </c>
      <c r="J6897" t="s">
        <v>53</v>
      </c>
      <c r="K6897" t="s">
        <v>53</v>
      </c>
      <c r="L6897" t="s">
        <v>53</v>
      </c>
      <c r="M6897" t="s">
        <v>53</v>
      </c>
      <c r="N6897" t="s">
        <v>53</v>
      </c>
      <c r="O6897" t="s">
        <v>53</v>
      </c>
      <c r="P6897" t="s">
        <v>53</v>
      </c>
      <c r="Q6897" t="s">
        <v>53</v>
      </c>
    </row>
    <row r="6898" spans="1:17" x14ac:dyDescent="0.2">
      <c r="A6898" s="30" t="str">
        <f>IF(C6898&amp;G6898&amp;D6898&lt;&gt;'Funnel setup'!$K$3&amp;'Funnel setup'!$K$4&amp;'Funnel setup'!$K$5,".",IF(A6897=".",1,A6897+1))</f>
        <v>.</v>
      </c>
      <c r="B6898" s="431" t="str">
        <f t="shared" si="107"/>
        <v>Varicose VeinProviderBMI - THE SHELBURNE HOSPITAL (NT435)Aberdeen Varicose Vein Questionnaire</v>
      </c>
      <c r="C6898" t="s">
        <v>17</v>
      </c>
      <c r="D6898" t="s">
        <v>1</v>
      </c>
      <c r="E6898" t="s">
        <v>4318</v>
      </c>
      <c r="F6898" t="s">
        <v>4319</v>
      </c>
      <c r="G6898" t="s">
        <v>0</v>
      </c>
      <c r="H6898" t="s">
        <v>53</v>
      </c>
      <c r="I6898" t="s">
        <v>53</v>
      </c>
      <c r="J6898" t="s">
        <v>53</v>
      </c>
      <c r="K6898" t="s">
        <v>53</v>
      </c>
      <c r="L6898" t="s">
        <v>53</v>
      </c>
      <c r="M6898" t="s">
        <v>53</v>
      </c>
      <c r="N6898" t="s">
        <v>53</v>
      </c>
      <c r="O6898" t="s">
        <v>53</v>
      </c>
      <c r="P6898" t="s">
        <v>53</v>
      </c>
      <c r="Q6898" t="s">
        <v>53</v>
      </c>
    </row>
    <row r="6899" spans="1:17" x14ac:dyDescent="0.2">
      <c r="A6899" s="30" t="str">
        <f>IF(C6899&amp;G6899&amp;D6899&lt;&gt;'Funnel setup'!$K$3&amp;'Funnel setup'!$K$4&amp;'Funnel setup'!$K$5,".",IF(A6898=".",1,A6898+1))</f>
        <v>.</v>
      </c>
      <c r="B6899" s="431" t="str">
        <f t="shared" si="107"/>
        <v>Varicose VeinProviderBMI - THE SOUTH CHESHIRE PRIVATE HOSPITAL (NT439)Aberdeen Varicose Vein Questionnaire</v>
      </c>
      <c r="C6899" t="s">
        <v>17</v>
      </c>
      <c r="D6899" t="s">
        <v>1</v>
      </c>
      <c r="E6899" t="s">
        <v>3307</v>
      </c>
      <c r="F6899" t="s">
        <v>3308</v>
      </c>
      <c r="G6899" t="s">
        <v>0</v>
      </c>
      <c r="H6899" t="s">
        <v>53</v>
      </c>
      <c r="I6899" t="s">
        <v>53</v>
      </c>
      <c r="J6899" t="s">
        <v>53</v>
      </c>
      <c r="K6899" t="s">
        <v>53</v>
      </c>
      <c r="L6899" t="s">
        <v>53</v>
      </c>
      <c r="M6899" t="s">
        <v>53</v>
      </c>
      <c r="N6899" t="s">
        <v>53</v>
      </c>
      <c r="O6899" t="s">
        <v>53</v>
      </c>
      <c r="P6899" t="s">
        <v>53</v>
      </c>
      <c r="Q6899" t="s">
        <v>53</v>
      </c>
    </row>
    <row r="6900" spans="1:17" x14ac:dyDescent="0.2">
      <c r="A6900" s="30" t="str">
        <f>IF(C6900&amp;G6900&amp;D6900&lt;&gt;'Funnel setup'!$K$3&amp;'Funnel setup'!$K$4&amp;'Funnel setup'!$K$5,".",IF(A6899=".",1,A6899+1))</f>
        <v>.</v>
      </c>
      <c r="B6900" s="431" t="str">
        <f t="shared" si="107"/>
        <v>Varicose VeinProviderBMI SOUTHEND PRIVATE HOSPITAL (NT490)Aberdeen Varicose Vein Questionnaire</v>
      </c>
      <c r="C6900" t="s">
        <v>17</v>
      </c>
      <c r="D6900" t="s">
        <v>1</v>
      </c>
      <c r="E6900" t="s">
        <v>3325</v>
      </c>
      <c r="F6900" t="s">
        <v>3326</v>
      </c>
      <c r="G6900" t="s">
        <v>0</v>
      </c>
      <c r="H6900" t="s">
        <v>53</v>
      </c>
      <c r="I6900" t="s">
        <v>53</v>
      </c>
      <c r="J6900" t="s">
        <v>53</v>
      </c>
      <c r="K6900" t="s">
        <v>53</v>
      </c>
      <c r="L6900" t="s">
        <v>53</v>
      </c>
      <c r="M6900" t="s">
        <v>53</v>
      </c>
      <c r="N6900" t="s">
        <v>53</v>
      </c>
      <c r="O6900" t="s">
        <v>53</v>
      </c>
      <c r="P6900" t="s">
        <v>53</v>
      </c>
      <c r="Q6900" t="s">
        <v>53</v>
      </c>
    </row>
    <row r="6901" spans="1:17" x14ac:dyDescent="0.2">
      <c r="A6901" s="30" t="str">
        <f>IF(C6901&amp;G6901&amp;D6901&lt;&gt;'Funnel setup'!$K$3&amp;'Funnel setup'!$K$4&amp;'Funnel setup'!$K$5,".",IF(A6900=".",1,A6900+1))</f>
        <v>.</v>
      </c>
      <c r="B6901" s="431" t="str">
        <f t="shared" si="107"/>
        <v>Varicose VeinProviderBOLTON NHS FOUNDATION TRUST (RMC)Aberdeen Varicose Vein Questionnaire</v>
      </c>
      <c r="C6901" t="s">
        <v>17</v>
      </c>
      <c r="D6901" t="s">
        <v>1</v>
      </c>
      <c r="E6901" t="s">
        <v>3358</v>
      </c>
      <c r="F6901" t="s">
        <v>3359</v>
      </c>
      <c r="G6901" t="s">
        <v>0</v>
      </c>
      <c r="H6901">
        <v>52</v>
      </c>
      <c r="I6901">
        <v>19.494</v>
      </c>
      <c r="J6901">
        <v>12.907</v>
      </c>
      <c r="K6901">
        <v>-6.5880000000000001</v>
      </c>
      <c r="L6901">
        <v>47</v>
      </c>
      <c r="M6901">
        <v>0</v>
      </c>
      <c r="N6901">
        <v>5</v>
      </c>
      <c r="O6901">
        <v>12.269</v>
      </c>
      <c r="P6901">
        <v>-8.6534889960000001</v>
      </c>
      <c r="Q6901">
        <v>16.968</v>
      </c>
    </row>
    <row r="6902" spans="1:17" x14ac:dyDescent="0.2">
      <c r="A6902" s="30" t="str">
        <f>IF(C6902&amp;G6902&amp;D6902&lt;&gt;'Funnel setup'!$K$3&amp;'Funnel setup'!$K$4&amp;'Funnel setup'!$K$5,".",IF(A6901=".",1,A6901+1))</f>
        <v>.</v>
      </c>
      <c r="B6902" s="431" t="str">
        <f t="shared" si="107"/>
        <v>Varicose VeinProviderBOSTON WEST HOSPITAL (NVC27)Aberdeen Varicose Vein Questionnaire</v>
      </c>
      <c r="C6902" t="s">
        <v>17</v>
      </c>
      <c r="D6902" t="s">
        <v>1</v>
      </c>
      <c r="E6902" t="s">
        <v>3376</v>
      </c>
      <c r="F6902" t="s">
        <v>3377</v>
      </c>
      <c r="G6902" t="s">
        <v>0</v>
      </c>
      <c r="H6902">
        <v>20</v>
      </c>
      <c r="I6902">
        <v>20.888999999999999</v>
      </c>
      <c r="J6902">
        <v>6.8150000000000004</v>
      </c>
      <c r="K6902">
        <v>-14.074</v>
      </c>
      <c r="L6902">
        <v>20</v>
      </c>
      <c r="M6902">
        <v>0</v>
      </c>
      <c r="N6902">
        <v>0</v>
      </c>
      <c r="O6902" t="s">
        <v>53</v>
      </c>
      <c r="P6902" t="s">
        <v>53</v>
      </c>
      <c r="Q6902" t="s">
        <v>53</v>
      </c>
    </row>
    <row r="6903" spans="1:17" x14ac:dyDescent="0.2">
      <c r="A6903" s="30" t="str">
        <f>IF(C6903&amp;G6903&amp;D6903&lt;&gt;'Funnel setup'!$K$3&amp;'Funnel setup'!$K$4&amp;'Funnel setup'!$K$5,".",IF(A6902=".",1,A6902+1))</f>
        <v>.</v>
      </c>
      <c r="B6903" s="431" t="str">
        <f t="shared" si="107"/>
        <v>Varicose VeinProviderBRADFORD TEACHING HOSPITALS NHS FOUNDATION TRUST (RAE)Aberdeen Varicose Vein Questionnaire</v>
      </c>
      <c r="C6903" t="s">
        <v>17</v>
      </c>
      <c r="D6903" t="s">
        <v>1</v>
      </c>
      <c r="E6903" t="s">
        <v>3361</v>
      </c>
      <c r="F6903" t="s">
        <v>3362</v>
      </c>
      <c r="G6903" t="s">
        <v>0</v>
      </c>
      <c r="H6903">
        <v>43</v>
      </c>
      <c r="I6903">
        <v>22.518000000000001</v>
      </c>
      <c r="J6903">
        <v>16.492000000000001</v>
      </c>
      <c r="K6903">
        <v>-6.0259999999999998</v>
      </c>
      <c r="L6903">
        <v>35</v>
      </c>
      <c r="M6903">
        <v>0</v>
      </c>
      <c r="N6903">
        <v>8</v>
      </c>
      <c r="O6903">
        <v>18.215</v>
      </c>
      <c r="P6903">
        <v>-2.7077113900000001</v>
      </c>
      <c r="Q6903">
        <v>20.411000000000001</v>
      </c>
    </row>
    <row r="6904" spans="1:17" x14ac:dyDescent="0.2">
      <c r="A6904" s="30" t="str">
        <f>IF(C6904&amp;G6904&amp;D6904&lt;&gt;'Funnel setup'!$K$3&amp;'Funnel setup'!$K$4&amp;'Funnel setup'!$K$5,".",IF(A6903=".",1,A6903+1))</f>
        <v>.</v>
      </c>
      <c r="B6904" s="431" t="str">
        <f t="shared" si="107"/>
        <v>Varicose VeinProviderBRIGHTON AND SUSSEX UNIVERSITY HOSPITALS NHS TRUST (RXH)Aberdeen Varicose Vein Questionnaire</v>
      </c>
      <c r="C6904" t="s">
        <v>17</v>
      </c>
      <c r="D6904" t="s">
        <v>1</v>
      </c>
      <c r="E6904" t="s">
        <v>3367</v>
      </c>
      <c r="F6904" t="s">
        <v>3368</v>
      </c>
      <c r="G6904" t="s">
        <v>0</v>
      </c>
      <c r="H6904">
        <v>44</v>
      </c>
      <c r="I6904">
        <v>24.837</v>
      </c>
      <c r="J6904">
        <v>14.445</v>
      </c>
      <c r="K6904">
        <v>-10.393000000000001</v>
      </c>
      <c r="L6904">
        <v>36</v>
      </c>
      <c r="M6904">
        <v>0</v>
      </c>
      <c r="N6904">
        <v>8</v>
      </c>
      <c r="O6904">
        <v>16.887</v>
      </c>
      <c r="P6904">
        <v>-4.0358466699999997</v>
      </c>
      <c r="Q6904">
        <v>17.992999999999999</v>
      </c>
    </row>
    <row r="6905" spans="1:17" x14ac:dyDescent="0.2">
      <c r="A6905" s="30" t="str">
        <f>IF(C6905&amp;G6905&amp;D6905&lt;&gt;'Funnel setup'!$K$3&amp;'Funnel setup'!$K$4&amp;'Funnel setup'!$K$5,".",IF(A6904=".",1,A6904+1))</f>
        <v>.</v>
      </c>
      <c r="B6905" s="431" t="str">
        <f t="shared" si="107"/>
        <v>Varicose VeinProviderBUCKINGHAMSHIRE HEALTHCARE NHS TRUST (RXQ)Aberdeen Varicose Vein Questionnaire</v>
      </c>
      <c r="C6905" t="s">
        <v>17</v>
      </c>
      <c r="D6905" t="s">
        <v>1</v>
      </c>
      <c r="E6905" t="s">
        <v>3370</v>
      </c>
      <c r="F6905" t="s">
        <v>3371</v>
      </c>
      <c r="G6905" t="s">
        <v>0</v>
      </c>
      <c r="H6905">
        <v>39</v>
      </c>
      <c r="I6905">
        <v>22.506</v>
      </c>
      <c r="J6905">
        <v>13.664</v>
      </c>
      <c r="K6905">
        <v>-8.8420000000000005</v>
      </c>
      <c r="L6905">
        <v>32</v>
      </c>
      <c r="M6905">
        <v>0</v>
      </c>
      <c r="N6905">
        <v>7</v>
      </c>
      <c r="O6905">
        <v>14.403</v>
      </c>
      <c r="P6905">
        <v>-6.5196072770000004</v>
      </c>
      <c r="Q6905">
        <v>18.030999999999999</v>
      </c>
    </row>
    <row r="6906" spans="1:17" x14ac:dyDescent="0.2">
      <c r="A6906" s="30" t="str">
        <f>IF(C6906&amp;G6906&amp;D6906&lt;&gt;'Funnel setup'!$K$3&amp;'Funnel setup'!$K$4&amp;'Funnel setup'!$K$5,".",IF(A6905=".",1,A6905+1))</f>
        <v>.</v>
      </c>
      <c r="B6906" s="431" t="str">
        <f t="shared" si="107"/>
        <v>Varicose VeinProviderBURTON HOSPITALS NHS FOUNDATION TRUST (RJF)Aberdeen Varicose Vein Questionnaire</v>
      </c>
      <c r="C6906" t="s">
        <v>17</v>
      </c>
      <c r="D6906" t="s">
        <v>1</v>
      </c>
      <c r="E6906" t="s">
        <v>3373</v>
      </c>
      <c r="F6906" t="s">
        <v>3374</v>
      </c>
      <c r="G6906" t="s">
        <v>0</v>
      </c>
      <c r="H6906">
        <v>14</v>
      </c>
      <c r="I6906">
        <v>15.561999999999999</v>
      </c>
      <c r="J6906">
        <v>7.032</v>
      </c>
      <c r="K6906">
        <v>-8.5299999999999994</v>
      </c>
      <c r="L6906">
        <v>13</v>
      </c>
      <c r="M6906">
        <v>0</v>
      </c>
      <c r="N6906">
        <v>1</v>
      </c>
      <c r="O6906" t="s">
        <v>53</v>
      </c>
      <c r="P6906" t="s">
        <v>53</v>
      </c>
      <c r="Q6906" t="s">
        <v>53</v>
      </c>
    </row>
    <row r="6907" spans="1:17" x14ac:dyDescent="0.2">
      <c r="A6907" s="30" t="str">
        <f>IF(C6907&amp;G6907&amp;D6907&lt;&gt;'Funnel setup'!$K$3&amp;'Funnel setup'!$K$4&amp;'Funnel setup'!$K$5,".",IF(A6906=".",1,A6906+1))</f>
        <v>.</v>
      </c>
      <c r="B6907" s="431" t="str">
        <f t="shared" si="107"/>
        <v>Varicose VeinProviderCALDERDALE AND HUDDERSFIELD NHS FOUNDATION TRUST (RWY)Aberdeen Varicose Vein Questionnaire</v>
      </c>
      <c r="C6907" t="s">
        <v>17</v>
      </c>
      <c r="D6907" t="s">
        <v>1</v>
      </c>
      <c r="E6907" t="s">
        <v>3379</v>
      </c>
      <c r="F6907" t="s">
        <v>3380</v>
      </c>
      <c r="G6907" t="s">
        <v>0</v>
      </c>
      <c r="H6907">
        <v>104</v>
      </c>
      <c r="I6907">
        <v>19.54</v>
      </c>
      <c r="J6907">
        <v>9.7240000000000002</v>
      </c>
      <c r="K6907">
        <v>-9.8149999999999995</v>
      </c>
      <c r="L6907">
        <v>92</v>
      </c>
      <c r="M6907">
        <v>0</v>
      </c>
      <c r="N6907">
        <v>12</v>
      </c>
      <c r="O6907">
        <v>8.9570000000000007</v>
      </c>
      <c r="P6907">
        <v>-11.965108150000001</v>
      </c>
      <c r="Q6907">
        <v>13.872999999999999</v>
      </c>
    </row>
    <row r="6908" spans="1:17" x14ac:dyDescent="0.2">
      <c r="A6908" s="30" t="str">
        <f>IF(C6908&amp;G6908&amp;D6908&lt;&gt;'Funnel setup'!$K$3&amp;'Funnel setup'!$K$4&amp;'Funnel setup'!$K$5,".",IF(A6907=".",1,A6907+1))</f>
        <v>.</v>
      </c>
      <c r="B6908" s="431" t="str">
        <f t="shared" si="107"/>
        <v>Varicose VeinProviderCAMBRIDGE UNIVERSITY HOSPITALS NHS FOUNDATION TRUST (RGT)Aberdeen Varicose Vein Questionnaire</v>
      </c>
      <c r="C6908" t="s">
        <v>17</v>
      </c>
      <c r="D6908" t="s">
        <v>1</v>
      </c>
      <c r="E6908" t="s">
        <v>3076</v>
      </c>
      <c r="F6908" t="s">
        <v>3077</v>
      </c>
      <c r="G6908" t="s">
        <v>0</v>
      </c>
      <c r="H6908">
        <v>30</v>
      </c>
      <c r="I6908">
        <v>19.527999999999999</v>
      </c>
      <c r="J6908">
        <v>10.395</v>
      </c>
      <c r="K6908">
        <v>-9.1329999999999991</v>
      </c>
      <c r="L6908">
        <v>28</v>
      </c>
      <c r="M6908">
        <v>0</v>
      </c>
      <c r="N6908">
        <v>2</v>
      </c>
      <c r="O6908">
        <v>9.6929999999999996</v>
      </c>
      <c r="P6908">
        <v>-11.22946746</v>
      </c>
      <c r="Q6908">
        <v>11.54</v>
      </c>
    </row>
    <row r="6909" spans="1:17" x14ac:dyDescent="0.2">
      <c r="A6909" s="30" t="str">
        <f>IF(C6909&amp;G6909&amp;D6909&lt;&gt;'Funnel setup'!$K$3&amp;'Funnel setup'!$K$4&amp;'Funnel setup'!$K$5,".",IF(A6908=".",1,A6908+1))</f>
        <v>.</v>
      </c>
      <c r="B6909" s="431" t="str">
        <f t="shared" si="107"/>
        <v>Varicose VeinProviderCENTRAL MANCHESTER UNIVERSITY HOSPITALS NHS FOUNDATION TRUST (RW3)Aberdeen Varicose Vein Questionnaire</v>
      </c>
      <c r="C6909" t="s">
        <v>17</v>
      </c>
      <c r="D6909" t="s">
        <v>1</v>
      </c>
      <c r="E6909" t="s">
        <v>3079</v>
      </c>
      <c r="F6909" t="s">
        <v>3080</v>
      </c>
      <c r="G6909" t="s">
        <v>0</v>
      </c>
      <c r="H6909">
        <v>8</v>
      </c>
      <c r="I6909">
        <v>37.008000000000003</v>
      </c>
      <c r="J6909">
        <v>22.728000000000002</v>
      </c>
      <c r="K6909">
        <v>-14.28</v>
      </c>
      <c r="L6909">
        <v>7</v>
      </c>
      <c r="M6909">
        <v>0</v>
      </c>
      <c r="N6909">
        <v>1</v>
      </c>
      <c r="O6909" t="s">
        <v>53</v>
      </c>
      <c r="P6909" t="s">
        <v>53</v>
      </c>
      <c r="Q6909" t="s">
        <v>53</v>
      </c>
    </row>
    <row r="6910" spans="1:17" x14ac:dyDescent="0.2">
      <c r="A6910" s="30" t="str">
        <f>IF(C6910&amp;G6910&amp;D6910&lt;&gt;'Funnel setup'!$K$3&amp;'Funnel setup'!$K$4&amp;'Funnel setup'!$K$5,".",IF(A6909=".",1,A6909+1))</f>
        <v>.</v>
      </c>
      <c r="B6910" s="431" t="str">
        <f t="shared" si="107"/>
        <v>Varicose VeinProviderCHELSEA AND WESTMINSTER HOSPITAL NHS FOUNDATION TRUST (RQM)Aberdeen Varicose Vein Questionnaire</v>
      </c>
      <c r="C6910" t="s">
        <v>17</v>
      </c>
      <c r="D6910" t="s">
        <v>1</v>
      </c>
      <c r="E6910" t="s">
        <v>3082</v>
      </c>
      <c r="F6910" t="s">
        <v>3083</v>
      </c>
      <c r="G6910" t="s">
        <v>0</v>
      </c>
      <c r="H6910">
        <v>20</v>
      </c>
      <c r="I6910">
        <v>23.923999999999999</v>
      </c>
      <c r="J6910">
        <v>13.786</v>
      </c>
      <c r="K6910">
        <v>-10.138</v>
      </c>
      <c r="L6910">
        <v>16</v>
      </c>
      <c r="M6910">
        <v>0</v>
      </c>
      <c r="N6910">
        <v>4</v>
      </c>
      <c r="O6910" t="s">
        <v>53</v>
      </c>
      <c r="P6910" t="s">
        <v>53</v>
      </c>
      <c r="Q6910" t="s">
        <v>53</v>
      </c>
    </row>
    <row r="6911" spans="1:17" x14ac:dyDescent="0.2">
      <c r="A6911" s="30" t="str">
        <f>IF(C6911&amp;G6911&amp;D6911&lt;&gt;'Funnel setup'!$K$3&amp;'Funnel setup'!$K$4&amp;'Funnel setup'!$K$5,".",IF(A6910=".",1,A6910+1))</f>
        <v>.</v>
      </c>
      <c r="B6911" s="431" t="str">
        <f t="shared" si="107"/>
        <v>Varicose VeinProviderCHESTERFIELD ROYAL HOSPITAL NHS FOUNDATION TRUST (RFS)Aberdeen Varicose Vein Questionnaire</v>
      </c>
      <c r="C6911" t="s">
        <v>17</v>
      </c>
      <c r="D6911" t="s">
        <v>1</v>
      </c>
      <c r="E6911" t="s">
        <v>3085</v>
      </c>
      <c r="F6911" t="s">
        <v>3086</v>
      </c>
      <c r="G6911" t="s">
        <v>0</v>
      </c>
      <c r="H6911">
        <v>25</v>
      </c>
      <c r="I6911">
        <v>19.440000000000001</v>
      </c>
      <c r="J6911">
        <v>10.224</v>
      </c>
      <c r="K6911">
        <v>-9.2159999999999993</v>
      </c>
      <c r="L6911">
        <v>24</v>
      </c>
      <c r="M6911">
        <v>0</v>
      </c>
      <c r="N6911">
        <v>1</v>
      </c>
      <c r="O6911" t="s">
        <v>53</v>
      </c>
      <c r="P6911" t="s">
        <v>53</v>
      </c>
      <c r="Q6911" t="s">
        <v>53</v>
      </c>
    </row>
    <row r="6912" spans="1:17" x14ac:dyDescent="0.2">
      <c r="A6912" s="30" t="str">
        <f>IF(C6912&amp;G6912&amp;D6912&lt;&gt;'Funnel setup'!$K$3&amp;'Funnel setup'!$K$4&amp;'Funnel setup'!$K$5,".",IF(A6911=".",1,A6911+1))</f>
        <v>.</v>
      </c>
      <c r="B6912" s="431" t="str">
        <f t="shared" si="107"/>
        <v>Varicose VeinProviderCIRCLE - NOTTINGHAM NHS TREATMENT CENTRE (NV313)Aberdeen Varicose Vein Questionnaire</v>
      </c>
      <c r="C6912" t="s">
        <v>17</v>
      </c>
      <c r="D6912" t="s">
        <v>1</v>
      </c>
      <c r="E6912" t="s">
        <v>3094</v>
      </c>
      <c r="F6912" t="s">
        <v>3095</v>
      </c>
      <c r="G6912" t="s">
        <v>0</v>
      </c>
      <c r="H6912">
        <v>163</v>
      </c>
      <c r="I6912">
        <v>22.757999999999999</v>
      </c>
      <c r="J6912">
        <v>15.491</v>
      </c>
      <c r="K6912">
        <v>-7.2670000000000003</v>
      </c>
      <c r="L6912">
        <v>127</v>
      </c>
      <c r="M6912">
        <v>0</v>
      </c>
      <c r="N6912">
        <v>36</v>
      </c>
      <c r="O6912">
        <v>16.295999999999999</v>
      </c>
      <c r="P6912">
        <v>-4.6267160900000004</v>
      </c>
      <c r="Q6912">
        <v>19.542999999999999</v>
      </c>
    </row>
    <row r="6913" spans="1:17" x14ac:dyDescent="0.2">
      <c r="A6913" s="30" t="str">
        <f>IF(C6913&amp;G6913&amp;D6913&lt;&gt;'Funnel setup'!$K$3&amp;'Funnel setup'!$K$4&amp;'Funnel setup'!$K$5,".",IF(A6912=".",1,A6912+1))</f>
        <v>.</v>
      </c>
      <c r="B6913" s="431" t="str">
        <f t="shared" si="107"/>
        <v>Varicose VeinProviderCIRCLE BATH HOSPITAL (NV302)Aberdeen Varicose Vein Questionnaire</v>
      </c>
      <c r="C6913" t="s">
        <v>17</v>
      </c>
      <c r="D6913" t="s">
        <v>1</v>
      </c>
      <c r="E6913" t="s">
        <v>3097</v>
      </c>
      <c r="F6913" t="s">
        <v>3098</v>
      </c>
      <c r="G6913" t="s">
        <v>0</v>
      </c>
      <c r="H6913">
        <v>16</v>
      </c>
      <c r="I6913">
        <v>19.010999999999999</v>
      </c>
      <c r="J6913">
        <v>9.6129999999999995</v>
      </c>
      <c r="K6913">
        <v>-9.3979999999999997</v>
      </c>
      <c r="L6913">
        <v>14</v>
      </c>
      <c r="M6913">
        <v>0</v>
      </c>
      <c r="N6913">
        <v>2</v>
      </c>
      <c r="O6913" t="s">
        <v>53</v>
      </c>
      <c r="P6913" t="s">
        <v>53</v>
      </c>
      <c r="Q6913" t="s">
        <v>53</v>
      </c>
    </row>
    <row r="6914" spans="1:17" x14ac:dyDescent="0.2">
      <c r="A6914" s="30" t="str">
        <f>IF(C6914&amp;G6914&amp;D6914&lt;&gt;'Funnel setup'!$K$3&amp;'Funnel setup'!$K$4&amp;'Funnel setup'!$K$5,".",IF(A6913=".",1,A6913+1))</f>
        <v>.</v>
      </c>
      <c r="B6914" s="431" t="str">
        <f t="shared" si="107"/>
        <v>Varicose VeinProviderCIRENCESTER NHS TREATMENT CENTRE (NTPH4)Aberdeen Varicose Vein Questionnaire</v>
      </c>
      <c r="C6914" t="s">
        <v>17</v>
      </c>
      <c r="D6914" t="s">
        <v>1</v>
      </c>
      <c r="E6914" t="s">
        <v>3088</v>
      </c>
      <c r="F6914" t="s">
        <v>3089</v>
      </c>
      <c r="G6914" t="s">
        <v>0</v>
      </c>
      <c r="H6914">
        <v>35</v>
      </c>
      <c r="I6914">
        <v>16.722000000000001</v>
      </c>
      <c r="J6914">
        <v>10.34</v>
      </c>
      <c r="K6914">
        <v>-6.3819999999999997</v>
      </c>
      <c r="L6914">
        <v>30</v>
      </c>
      <c r="M6914">
        <v>0</v>
      </c>
      <c r="N6914">
        <v>5</v>
      </c>
      <c r="O6914">
        <v>7.7510000000000003</v>
      </c>
      <c r="P6914">
        <v>-13.171236670000001</v>
      </c>
      <c r="Q6914">
        <v>13.111000000000001</v>
      </c>
    </row>
    <row r="6915" spans="1:17" x14ac:dyDescent="0.2">
      <c r="A6915" s="30" t="str">
        <f>IF(C6915&amp;G6915&amp;D6915&lt;&gt;'Funnel setup'!$K$3&amp;'Funnel setup'!$K$4&amp;'Funnel setup'!$K$5,".",IF(A6914=".",1,A6914+1))</f>
        <v>.</v>
      </c>
      <c r="B6915" s="431" t="str">
        <f t="shared" ref="B6915:B6978" si="108">C6915&amp;D6915&amp;F6915&amp;G6915</f>
        <v>Varicose VeinProviderCITY HOSPITALS SUNDERLAND NHS FOUNDATION TRUST (RLN)Aberdeen Varicose Vein Questionnaire</v>
      </c>
      <c r="C6915" t="s">
        <v>17</v>
      </c>
      <c r="D6915" t="s">
        <v>1</v>
      </c>
      <c r="E6915" t="s">
        <v>3100</v>
      </c>
      <c r="F6915" t="s">
        <v>3101</v>
      </c>
      <c r="G6915" t="s">
        <v>0</v>
      </c>
      <c r="H6915">
        <v>241</v>
      </c>
      <c r="I6915">
        <v>18.553000000000001</v>
      </c>
      <c r="J6915">
        <v>12.606999999999999</v>
      </c>
      <c r="K6915">
        <v>-5.9470000000000001</v>
      </c>
      <c r="L6915">
        <v>191</v>
      </c>
      <c r="M6915">
        <v>1</v>
      </c>
      <c r="N6915">
        <v>49</v>
      </c>
      <c r="O6915">
        <v>11.369</v>
      </c>
      <c r="P6915">
        <v>-9.5534296409999993</v>
      </c>
      <c r="Q6915">
        <v>14.384</v>
      </c>
    </row>
    <row r="6916" spans="1:17" x14ac:dyDescent="0.2">
      <c r="A6916" s="30" t="str">
        <f>IF(C6916&amp;G6916&amp;D6916&lt;&gt;'Funnel setup'!$K$3&amp;'Funnel setup'!$K$4&amp;'Funnel setup'!$K$5,".",IF(A6915=".",1,A6915+1))</f>
        <v>.</v>
      </c>
      <c r="B6916" s="431" t="str">
        <f t="shared" si="108"/>
        <v>Varicose VeinProviderCOBALT HOSPITAL (NVC29)Aberdeen Varicose Vein Questionnaire</v>
      </c>
      <c r="C6916" t="s">
        <v>17</v>
      </c>
      <c r="D6916" t="s">
        <v>1</v>
      </c>
      <c r="E6916" t="s">
        <v>3106</v>
      </c>
      <c r="F6916" t="s">
        <v>3107</v>
      </c>
      <c r="G6916" t="s">
        <v>0</v>
      </c>
      <c r="H6916">
        <v>20</v>
      </c>
      <c r="I6916">
        <v>18.620999999999999</v>
      </c>
      <c r="J6916">
        <v>9.0850000000000009</v>
      </c>
      <c r="K6916">
        <v>-9.5359999999999996</v>
      </c>
      <c r="L6916">
        <v>19</v>
      </c>
      <c r="M6916">
        <v>0</v>
      </c>
      <c r="N6916">
        <v>1</v>
      </c>
      <c r="O6916" t="s">
        <v>53</v>
      </c>
      <c r="P6916" t="s">
        <v>53</v>
      </c>
      <c r="Q6916" t="s">
        <v>53</v>
      </c>
    </row>
    <row r="6917" spans="1:17" x14ac:dyDescent="0.2">
      <c r="A6917" s="30" t="str">
        <f>IF(C6917&amp;G6917&amp;D6917&lt;&gt;'Funnel setup'!$K$3&amp;'Funnel setup'!$K$4&amp;'Funnel setup'!$K$5,".",IF(A6916=".",1,A6916+1))</f>
        <v>.</v>
      </c>
      <c r="B6917" s="431" t="str">
        <f t="shared" si="108"/>
        <v>Varicose VeinProviderCOLCHESTER HOSPITAL UNIVERSITY NHS FOUNDATION TRUST (RDE)Aberdeen Varicose Vein Questionnaire</v>
      </c>
      <c r="C6917" t="s">
        <v>17</v>
      </c>
      <c r="D6917" t="s">
        <v>1</v>
      </c>
      <c r="E6917" t="s">
        <v>3109</v>
      </c>
      <c r="F6917" t="s">
        <v>3110</v>
      </c>
      <c r="G6917" t="s">
        <v>0</v>
      </c>
      <c r="H6917">
        <v>17</v>
      </c>
      <c r="I6917">
        <v>24.11</v>
      </c>
      <c r="J6917">
        <v>18.954999999999998</v>
      </c>
      <c r="K6917">
        <v>-5.1539999999999999</v>
      </c>
      <c r="L6917">
        <v>13</v>
      </c>
      <c r="M6917">
        <v>0</v>
      </c>
      <c r="N6917">
        <v>4</v>
      </c>
      <c r="O6917" t="s">
        <v>53</v>
      </c>
      <c r="P6917" t="s">
        <v>53</v>
      </c>
      <c r="Q6917" t="s">
        <v>53</v>
      </c>
    </row>
    <row r="6918" spans="1:17" x14ac:dyDescent="0.2">
      <c r="A6918" s="30" t="str">
        <f>IF(C6918&amp;G6918&amp;D6918&lt;&gt;'Funnel setup'!$K$3&amp;'Funnel setup'!$K$4&amp;'Funnel setup'!$K$5,".",IF(A6917=".",1,A6917+1))</f>
        <v>.</v>
      </c>
      <c r="B6918" s="431" t="str">
        <f t="shared" si="108"/>
        <v>Varicose VeinProviderCOUNTESS OF CHESTER HOSPITAL NHS FOUNDATION TRUST (RJR)Aberdeen Varicose Vein Questionnaire</v>
      </c>
      <c r="C6918" t="s">
        <v>17</v>
      </c>
      <c r="D6918" t="s">
        <v>1</v>
      </c>
      <c r="E6918" t="s">
        <v>3781</v>
      </c>
      <c r="F6918" t="s">
        <v>3782</v>
      </c>
      <c r="G6918" t="s">
        <v>0</v>
      </c>
      <c r="H6918">
        <v>19</v>
      </c>
      <c r="I6918">
        <v>21.347999999999999</v>
      </c>
      <c r="J6918">
        <v>13.614000000000001</v>
      </c>
      <c r="K6918">
        <v>-7.7350000000000003</v>
      </c>
      <c r="L6918">
        <v>18</v>
      </c>
      <c r="M6918">
        <v>0</v>
      </c>
      <c r="N6918">
        <v>1</v>
      </c>
      <c r="O6918" t="s">
        <v>53</v>
      </c>
      <c r="P6918" t="s">
        <v>53</v>
      </c>
      <c r="Q6918" t="s">
        <v>53</v>
      </c>
    </row>
    <row r="6919" spans="1:17" x14ac:dyDescent="0.2">
      <c r="A6919" s="30" t="str">
        <f>IF(C6919&amp;G6919&amp;D6919&lt;&gt;'Funnel setup'!$K$3&amp;'Funnel setup'!$K$4&amp;'Funnel setup'!$K$5,".",IF(A6918=".",1,A6918+1))</f>
        <v>.</v>
      </c>
      <c r="B6919" s="431" t="str">
        <f t="shared" si="108"/>
        <v>Varicose VeinProviderCOUNTY DURHAM AND DARLINGTON NHS FOUNDATION TRUST (RXP)Aberdeen Varicose Vein Questionnaire</v>
      </c>
      <c r="C6919" t="s">
        <v>17</v>
      </c>
      <c r="D6919" t="s">
        <v>1</v>
      </c>
      <c r="E6919" t="s">
        <v>3784</v>
      </c>
      <c r="F6919" t="s">
        <v>3785</v>
      </c>
      <c r="G6919" t="s">
        <v>0</v>
      </c>
      <c r="H6919">
        <v>14</v>
      </c>
      <c r="I6919">
        <v>19.692</v>
      </c>
      <c r="J6919">
        <v>12.585000000000001</v>
      </c>
      <c r="K6919">
        <v>-7.1059999999999999</v>
      </c>
      <c r="L6919">
        <v>12</v>
      </c>
      <c r="M6919">
        <v>0</v>
      </c>
      <c r="N6919">
        <v>2</v>
      </c>
      <c r="O6919" t="s">
        <v>53</v>
      </c>
      <c r="P6919" t="s">
        <v>53</v>
      </c>
      <c r="Q6919" t="s">
        <v>53</v>
      </c>
    </row>
    <row r="6920" spans="1:17" x14ac:dyDescent="0.2">
      <c r="A6920" s="30" t="str">
        <f>IF(C6920&amp;G6920&amp;D6920&lt;&gt;'Funnel setup'!$K$3&amp;'Funnel setup'!$K$4&amp;'Funnel setup'!$K$5,".",IF(A6919=".",1,A6919+1))</f>
        <v>.</v>
      </c>
      <c r="B6920" s="431" t="str">
        <f t="shared" si="108"/>
        <v>Varicose VeinProviderDARTFORD AND GRAVESHAM NHS TRUST (RN7)Aberdeen Varicose Vein Questionnaire</v>
      </c>
      <c r="C6920" t="s">
        <v>17</v>
      </c>
      <c r="D6920" t="s">
        <v>1</v>
      </c>
      <c r="E6920" t="s">
        <v>3787</v>
      </c>
      <c r="F6920" t="s">
        <v>3788</v>
      </c>
      <c r="G6920" t="s">
        <v>0</v>
      </c>
      <c r="H6920" t="s">
        <v>53</v>
      </c>
      <c r="I6920" t="s">
        <v>53</v>
      </c>
      <c r="J6920" t="s">
        <v>53</v>
      </c>
      <c r="K6920" t="s">
        <v>53</v>
      </c>
      <c r="L6920" t="s">
        <v>53</v>
      </c>
      <c r="M6920" t="s">
        <v>53</v>
      </c>
      <c r="N6920" t="s">
        <v>53</v>
      </c>
      <c r="O6920" t="s">
        <v>53</v>
      </c>
      <c r="P6920" t="s">
        <v>53</v>
      </c>
      <c r="Q6920" t="s">
        <v>53</v>
      </c>
    </row>
    <row r="6921" spans="1:17" x14ac:dyDescent="0.2">
      <c r="A6921" s="30" t="str">
        <f>IF(C6921&amp;G6921&amp;D6921&lt;&gt;'Funnel setup'!$K$3&amp;'Funnel setup'!$K$4&amp;'Funnel setup'!$K$5,".",IF(A6920=".",1,A6920+1))</f>
        <v>.</v>
      </c>
      <c r="B6921" s="431" t="str">
        <f t="shared" si="108"/>
        <v>Varicose VeinProviderDERBY TEACHING HOSPITALS NHS FOUNDATION TRUST (RTG)Aberdeen Varicose Vein Questionnaire</v>
      </c>
      <c r="C6921" t="s">
        <v>17</v>
      </c>
      <c r="D6921" t="s">
        <v>1</v>
      </c>
      <c r="E6921" t="s">
        <v>3790</v>
      </c>
      <c r="F6921" t="s">
        <v>3791</v>
      </c>
      <c r="G6921" t="s">
        <v>0</v>
      </c>
      <c r="H6921">
        <v>21</v>
      </c>
      <c r="I6921">
        <v>21.777999999999999</v>
      </c>
      <c r="J6921">
        <v>12.305999999999999</v>
      </c>
      <c r="K6921">
        <v>-9.4710000000000001</v>
      </c>
      <c r="L6921">
        <v>17</v>
      </c>
      <c r="M6921">
        <v>0</v>
      </c>
      <c r="N6921">
        <v>4</v>
      </c>
      <c r="O6921" t="s">
        <v>53</v>
      </c>
      <c r="P6921" t="s">
        <v>53</v>
      </c>
      <c r="Q6921" t="s">
        <v>53</v>
      </c>
    </row>
    <row r="6922" spans="1:17" x14ac:dyDescent="0.2">
      <c r="A6922" s="30" t="str">
        <f>IF(C6922&amp;G6922&amp;D6922&lt;&gt;'Funnel setup'!$K$3&amp;'Funnel setup'!$K$4&amp;'Funnel setup'!$K$5,".",IF(A6921=".",1,A6921+1))</f>
        <v>.</v>
      </c>
      <c r="B6922" s="431" t="str">
        <f t="shared" si="108"/>
        <v>Varicose VeinProviderDEVIZES NHS TREATMENT CENTRE (NTPH3)Aberdeen Varicose Vein Questionnaire</v>
      </c>
      <c r="C6922" t="s">
        <v>17</v>
      </c>
      <c r="D6922" t="s">
        <v>1</v>
      </c>
      <c r="E6922" t="s">
        <v>3796</v>
      </c>
      <c r="F6922" t="s">
        <v>3797</v>
      </c>
      <c r="G6922" t="s">
        <v>0</v>
      </c>
      <c r="H6922">
        <v>18</v>
      </c>
      <c r="I6922">
        <v>20.390999999999998</v>
      </c>
      <c r="J6922">
        <v>12.291</v>
      </c>
      <c r="K6922">
        <v>-8.1</v>
      </c>
      <c r="L6922">
        <v>16</v>
      </c>
      <c r="M6922">
        <v>0</v>
      </c>
      <c r="N6922">
        <v>2</v>
      </c>
      <c r="O6922" t="s">
        <v>53</v>
      </c>
      <c r="P6922" t="s">
        <v>53</v>
      </c>
      <c r="Q6922" t="s">
        <v>53</v>
      </c>
    </row>
    <row r="6923" spans="1:17" x14ac:dyDescent="0.2">
      <c r="A6923" s="30" t="str">
        <f>IF(C6923&amp;G6923&amp;D6923&lt;&gt;'Funnel setup'!$K$3&amp;'Funnel setup'!$K$4&amp;'Funnel setup'!$K$5,".",IF(A6922=".",1,A6922+1))</f>
        <v>.</v>
      </c>
      <c r="B6923" s="431" t="str">
        <f t="shared" si="108"/>
        <v>Varicose VeinProviderDONCASTER AND BASSETLAW HOSPITALS NHS FOUNDATION TRUST (RP5)Aberdeen Varicose Vein Questionnaire</v>
      </c>
      <c r="C6923" t="s">
        <v>17</v>
      </c>
      <c r="D6923" t="s">
        <v>1</v>
      </c>
      <c r="E6923" t="s">
        <v>3799</v>
      </c>
      <c r="F6923" t="s">
        <v>3800</v>
      </c>
      <c r="G6923" t="s">
        <v>0</v>
      </c>
      <c r="H6923">
        <v>35</v>
      </c>
      <c r="I6923">
        <v>19.391999999999999</v>
      </c>
      <c r="J6923">
        <v>11.714</v>
      </c>
      <c r="K6923">
        <v>-7.6779999999999999</v>
      </c>
      <c r="L6923">
        <v>29</v>
      </c>
      <c r="M6923">
        <v>0</v>
      </c>
      <c r="N6923">
        <v>6</v>
      </c>
      <c r="O6923">
        <v>10.87</v>
      </c>
      <c r="P6923">
        <v>-10.05291847</v>
      </c>
      <c r="Q6923">
        <v>14.032</v>
      </c>
    </row>
    <row r="6924" spans="1:17" x14ac:dyDescent="0.2">
      <c r="A6924" s="30" t="str">
        <f>IF(C6924&amp;G6924&amp;D6924&lt;&gt;'Funnel setup'!$K$3&amp;'Funnel setup'!$K$4&amp;'Funnel setup'!$K$5,".",IF(A6923=".",1,A6923+1))</f>
        <v>.</v>
      </c>
      <c r="B6924" s="431" t="str">
        <f t="shared" si="108"/>
        <v>Varicose VeinProviderDORSET COUNTY HOSPITAL NHS FOUNDATION TRUST (RBD)Aberdeen Varicose Vein Questionnaire</v>
      </c>
      <c r="C6924" t="s">
        <v>17</v>
      </c>
      <c r="D6924" t="s">
        <v>1</v>
      </c>
      <c r="E6924" t="s">
        <v>3802</v>
      </c>
      <c r="F6924" t="s">
        <v>3803</v>
      </c>
      <c r="G6924" t="s">
        <v>0</v>
      </c>
      <c r="H6924">
        <v>34</v>
      </c>
      <c r="I6924">
        <v>21.498000000000001</v>
      </c>
      <c r="J6924">
        <v>11.99</v>
      </c>
      <c r="K6924">
        <v>-9.5079999999999991</v>
      </c>
      <c r="L6924">
        <v>26</v>
      </c>
      <c r="M6924">
        <v>0</v>
      </c>
      <c r="N6924">
        <v>8</v>
      </c>
      <c r="O6924">
        <v>12.365</v>
      </c>
      <c r="P6924">
        <v>-8.5569778939999992</v>
      </c>
      <c r="Q6924">
        <v>17.469000000000001</v>
      </c>
    </row>
    <row r="6925" spans="1:17" x14ac:dyDescent="0.2">
      <c r="A6925" s="30" t="str">
        <f>IF(C6925&amp;G6925&amp;D6925&lt;&gt;'Funnel setup'!$K$3&amp;'Funnel setup'!$K$4&amp;'Funnel setup'!$K$5,".",IF(A6924=".",1,A6924+1))</f>
        <v>.</v>
      </c>
      <c r="B6925" s="431" t="str">
        <f t="shared" si="108"/>
        <v>Varicose VeinProviderEAST AND NORTH HERTFORDSHIRE NHS TRUST (RWH)Aberdeen Varicose Vein Questionnaire</v>
      </c>
      <c r="C6925" t="s">
        <v>17</v>
      </c>
      <c r="D6925" t="s">
        <v>1</v>
      </c>
      <c r="E6925" t="s">
        <v>3814</v>
      </c>
      <c r="F6925" t="s">
        <v>3815</v>
      </c>
      <c r="G6925" t="s">
        <v>0</v>
      </c>
      <c r="H6925">
        <v>22</v>
      </c>
      <c r="I6925">
        <v>23.495000000000001</v>
      </c>
      <c r="J6925">
        <v>12.37</v>
      </c>
      <c r="K6925">
        <v>-11.125</v>
      </c>
      <c r="L6925">
        <v>20</v>
      </c>
      <c r="M6925">
        <v>0</v>
      </c>
      <c r="N6925">
        <v>2</v>
      </c>
      <c r="O6925" t="s">
        <v>53</v>
      </c>
      <c r="P6925" t="s">
        <v>53</v>
      </c>
      <c r="Q6925" t="s">
        <v>53</v>
      </c>
    </row>
    <row r="6926" spans="1:17" x14ac:dyDescent="0.2">
      <c r="A6926" s="30" t="str">
        <f>IF(C6926&amp;G6926&amp;D6926&lt;&gt;'Funnel setup'!$K$3&amp;'Funnel setup'!$K$4&amp;'Funnel setup'!$K$5,".",IF(A6925=".",1,A6925+1))</f>
        <v>.</v>
      </c>
      <c r="B6926" s="431" t="str">
        <f t="shared" si="108"/>
        <v>Varicose VeinProviderEAST CHESHIRE NHS TRUST (RJN)Aberdeen Varicose Vein Questionnaire</v>
      </c>
      <c r="C6926" t="s">
        <v>17</v>
      </c>
      <c r="D6926" t="s">
        <v>1</v>
      </c>
      <c r="E6926" t="s">
        <v>3817</v>
      </c>
      <c r="F6926" t="s">
        <v>3818</v>
      </c>
      <c r="G6926" t="s">
        <v>0</v>
      </c>
      <c r="H6926" t="s">
        <v>53</v>
      </c>
      <c r="I6926" t="s">
        <v>53</v>
      </c>
      <c r="J6926" t="s">
        <v>53</v>
      </c>
      <c r="K6926" t="s">
        <v>53</v>
      </c>
      <c r="L6926" t="s">
        <v>53</v>
      </c>
      <c r="M6926" t="s">
        <v>53</v>
      </c>
      <c r="N6926" t="s">
        <v>53</v>
      </c>
      <c r="O6926" t="s">
        <v>53</v>
      </c>
      <c r="P6926" t="s">
        <v>53</v>
      </c>
      <c r="Q6926" t="s">
        <v>53</v>
      </c>
    </row>
    <row r="6927" spans="1:17" x14ac:dyDescent="0.2">
      <c r="A6927" s="30" t="str">
        <f>IF(C6927&amp;G6927&amp;D6927&lt;&gt;'Funnel setup'!$K$3&amp;'Funnel setup'!$K$4&amp;'Funnel setup'!$K$5,".",IF(A6926=".",1,A6926+1))</f>
        <v>.</v>
      </c>
      <c r="B6927" s="431" t="str">
        <f t="shared" si="108"/>
        <v>Varicose VeinProviderEAST KENT HOSPITALS UNIVERSITY NHS FOUNDATION TRUST (RVV)Aberdeen Varicose Vein Questionnaire</v>
      </c>
      <c r="C6927" t="s">
        <v>17</v>
      </c>
      <c r="D6927" t="s">
        <v>1</v>
      </c>
      <c r="E6927" t="s">
        <v>3820</v>
      </c>
      <c r="F6927" t="s">
        <v>3821</v>
      </c>
      <c r="G6927" t="s">
        <v>0</v>
      </c>
      <c r="H6927" t="s">
        <v>53</v>
      </c>
      <c r="I6927" t="s">
        <v>53</v>
      </c>
      <c r="J6927" t="s">
        <v>53</v>
      </c>
      <c r="K6927" t="s">
        <v>53</v>
      </c>
      <c r="L6927" t="s">
        <v>53</v>
      </c>
      <c r="M6927" t="s">
        <v>53</v>
      </c>
      <c r="N6927" t="s">
        <v>53</v>
      </c>
      <c r="O6927" t="s">
        <v>53</v>
      </c>
      <c r="P6927" t="s">
        <v>53</v>
      </c>
      <c r="Q6927" t="s">
        <v>53</v>
      </c>
    </row>
    <row r="6928" spans="1:17" x14ac:dyDescent="0.2">
      <c r="A6928" s="30" t="str">
        <f>IF(C6928&amp;G6928&amp;D6928&lt;&gt;'Funnel setup'!$K$3&amp;'Funnel setup'!$K$4&amp;'Funnel setup'!$K$5,".",IF(A6927=".",1,A6927+1))</f>
        <v>.</v>
      </c>
      <c r="B6928" s="431" t="str">
        <f t="shared" si="108"/>
        <v>Varicose VeinProviderEAST LANCASHIRE HOSPITALS NHS TRUST (RXR)Aberdeen Varicose Vein Questionnaire</v>
      </c>
      <c r="C6928" t="s">
        <v>17</v>
      </c>
      <c r="D6928" t="s">
        <v>1</v>
      </c>
      <c r="E6928" t="s">
        <v>3823</v>
      </c>
      <c r="F6928" t="s">
        <v>3824</v>
      </c>
      <c r="G6928" t="s">
        <v>0</v>
      </c>
      <c r="H6928">
        <v>107</v>
      </c>
      <c r="I6928">
        <v>18.693999999999999</v>
      </c>
      <c r="J6928">
        <v>10.451000000000001</v>
      </c>
      <c r="K6928">
        <v>-8.2430000000000003</v>
      </c>
      <c r="L6928">
        <v>94</v>
      </c>
      <c r="M6928">
        <v>1</v>
      </c>
      <c r="N6928">
        <v>12</v>
      </c>
      <c r="O6928">
        <v>9.5340000000000007</v>
      </c>
      <c r="P6928">
        <v>-11.38865279</v>
      </c>
      <c r="Q6928">
        <v>13.401999999999999</v>
      </c>
    </row>
    <row r="6929" spans="1:17" x14ac:dyDescent="0.2">
      <c r="A6929" s="30" t="str">
        <f>IF(C6929&amp;G6929&amp;D6929&lt;&gt;'Funnel setup'!$K$3&amp;'Funnel setup'!$K$4&amp;'Funnel setup'!$K$5,".",IF(A6928=".",1,A6928+1))</f>
        <v>.</v>
      </c>
      <c r="B6929" s="431" t="str">
        <f t="shared" si="108"/>
        <v>Varicose VeinProviderEAST SUSSEX HEALTHCARE NHS TRUST (RXC)Aberdeen Varicose Vein Questionnaire</v>
      </c>
      <c r="C6929" t="s">
        <v>17</v>
      </c>
      <c r="D6929" t="s">
        <v>1</v>
      </c>
      <c r="E6929" t="s">
        <v>3826</v>
      </c>
      <c r="F6929" t="s">
        <v>3827</v>
      </c>
      <c r="G6929" t="s">
        <v>0</v>
      </c>
      <c r="H6929">
        <v>8</v>
      </c>
      <c r="I6929">
        <v>18.611000000000001</v>
      </c>
      <c r="J6929">
        <v>11.163</v>
      </c>
      <c r="K6929">
        <v>-7.4480000000000004</v>
      </c>
      <c r="L6929">
        <v>7</v>
      </c>
      <c r="M6929">
        <v>0</v>
      </c>
      <c r="N6929">
        <v>1</v>
      </c>
      <c r="O6929" t="s">
        <v>53</v>
      </c>
      <c r="P6929" t="s">
        <v>53</v>
      </c>
      <c r="Q6929" t="s">
        <v>53</v>
      </c>
    </row>
    <row r="6930" spans="1:17" x14ac:dyDescent="0.2">
      <c r="A6930" s="30" t="str">
        <f>IF(C6930&amp;G6930&amp;D6930&lt;&gt;'Funnel setup'!$K$3&amp;'Funnel setup'!$K$4&amp;'Funnel setup'!$K$5,".",IF(A6929=".",1,A6929+1))</f>
        <v>.</v>
      </c>
      <c r="B6930" s="431" t="str">
        <f t="shared" si="108"/>
        <v>Varicose VeinProviderEMERSONS GREEN NHS TREATMENT CENTRE (NTPH2)Aberdeen Varicose Vein Questionnaire</v>
      </c>
      <c r="C6930" t="s">
        <v>17</v>
      </c>
      <c r="D6930" t="s">
        <v>1</v>
      </c>
      <c r="E6930" t="s">
        <v>3829</v>
      </c>
      <c r="F6930" t="s">
        <v>3830</v>
      </c>
      <c r="G6930" t="s">
        <v>0</v>
      </c>
      <c r="H6930">
        <v>61</v>
      </c>
      <c r="I6930">
        <v>17.934999999999999</v>
      </c>
      <c r="J6930">
        <v>9.7029999999999994</v>
      </c>
      <c r="K6930">
        <v>-8.2330000000000005</v>
      </c>
      <c r="L6930">
        <v>50</v>
      </c>
      <c r="M6930">
        <v>1</v>
      </c>
      <c r="N6930">
        <v>10</v>
      </c>
      <c r="O6930">
        <v>7.492</v>
      </c>
      <c r="P6930">
        <v>-13.43063553</v>
      </c>
      <c r="Q6930">
        <v>12.551</v>
      </c>
    </row>
    <row r="6931" spans="1:17" x14ac:dyDescent="0.2">
      <c r="A6931" s="30" t="str">
        <f>IF(C6931&amp;G6931&amp;D6931&lt;&gt;'Funnel setup'!$K$3&amp;'Funnel setup'!$K$4&amp;'Funnel setup'!$K$5,".",IF(A6930=".",1,A6930+1))</f>
        <v>.</v>
      </c>
      <c r="B6931" s="431" t="str">
        <f t="shared" si="108"/>
        <v>Varicose VeinProviderEPSOM AND ST HELIER UNIVERSITY HOSPITALS NHS TRUST (RVR)Aberdeen Varicose Vein Questionnaire</v>
      </c>
      <c r="C6931" t="s">
        <v>17</v>
      </c>
      <c r="D6931" t="s">
        <v>1</v>
      </c>
      <c r="E6931" t="s">
        <v>3849</v>
      </c>
      <c r="F6931" t="s">
        <v>3850</v>
      </c>
      <c r="G6931" t="s">
        <v>0</v>
      </c>
      <c r="H6931">
        <v>29</v>
      </c>
      <c r="I6931">
        <v>25.984999999999999</v>
      </c>
      <c r="J6931">
        <v>14.537000000000001</v>
      </c>
      <c r="K6931">
        <v>-11.448</v>
      </c>
      <c r="L6931">
        <v>27</v>
      </c>
      <c r="M6931">
        <v>0</v>
      </c>
      <c r="N6931">
        <v>2</v>
      </c>
      <c r="O6931" t="s">
        <v>53</v>
      </c>
      <c r="P6931" t="s">
        <v>53</v>
      </c>
      <c r="Q6931" t="s">
        <v>53</v>
      </c>
    </row>
    <row r="6932" spans="1:17" x14ac:dyDescent="0.2">
      <c r="A6932" s="30" t="str">
        <f>IF(C6932&amp;G6932&amp;D6932&lt;&gt;'Funnel setup'!$K$3&amp;'Funnel setup'!$K$4&amp;'Funnel setup'!$K$5,".",IF(A6931=".",1,A6931+1))</f>
        <v>.</v>
      </c>
      <c r="B6932" s="431" t="str">
        <f t="shared" si="108"/>
        <v>Varicose VeinProviderEUXTON HALL HOSPITAL (NVC05)Aberdeen Varicose Vein Questionnaire</v>
      </c>
      <c r="C6932" t="s">
        <v>17</v>
      </c>
      <c r="D6932" t="s">
        <v>1</v>
      </c>
      <c r="E6932" t="s">
        <v>3852</v>
      </c>
      <c r="F6932" t="s">
        <v>3853</v>
      </c>
      <c r="G6932" t="s">
        <v>0</v>
      </c>
      <c r="H6932" t="s">
        <v>53</v>
      </c>
      <c r="I6932" t="s">
        <v>53</v>
      </c>
      <c r="J6932" t="s">
        <v>53</v>
      </c>
      <c r="K6932" t="s">
        <v>53</v>
      </c>
      <c r="L6932" t="s">
        <v>53</v>
      </c>
      <c r="M6932" t="s">
        <v>53</v>
      </c>
      <c r="N6932" t="s">
        <v>53</v>
      </c>
      <c r="O6932" t="s">
        <v>53</v>
      </c>
      <c r="P6932" t="s">
        <v>53</v>
      </c>
      <c r="Q6932" t="s">
        <v>53</v>
      </c>
    </row>
    <row r="6933" spans="1:17" x14ac:dyDescent="0.2">
      <c r="A6933" s="30" t="str">
        <f>IF(C6933&amp;G6933&amp;D6933&lt;&gt;'Funnel setup'!$K$3&amp;'Funnel setup'!$K$4&amp;'Funnel setup'!$K$5,".",IF(A6932=".",1,A6932+1))</f>
        <v>.</v>
      </c>
      <c r="B6933" s="431" t="str">
        <f t="shared" si="108"/>
        <v>Varicose VeinProviderFAIRFIELD HOSPITAL (NVG01)Aberdeen Varicose Vein Questionnaire</v>
      </c>
      <c r="C6933" t="s">
        <v>17</v>
      </c>
      <c r="D6933" t="s">
        <v>1</v>
      </c>
      <c r="E6933" t="s">
        <v>3855</v>
      </c>
      <c r="F6933" t="s">
        <v>3856</v>
      </c>
      <c r="G6933" t="s">
        <v>0</v>
      </c>
      <c r="H6933" t="s">
        <v>53</v>
      </c>
      <c r="I6933" t="s">
        <v>53</v>
      </c>
      <c r="J6933" t="s">
        <v>53</v>
      </c>
      <c r="K6933" t="s">
        <v>53</v>
      </c>
      <c r="L6933" t="s">
        <v>53</v>
      </c>
      <c r="M6933" t="s">
        <v>53</v>
      </c>
      <c r="N6933" t="s">
        <v>53</v>
      </c>
      <c r="O6933" t="s">
        <v>53</v>
      </c>
      <c r="P6933" t="s">
        <v>53</v>
      </c>
      <c r="Q6933" t="s">
        <v>53</v>
      </c>
    </row>
    <row r="6934" spans="1:17" x14ac:dyDescent="0.2">
      <c r="A6934" s="30" t="str">
        <f>IF(C6934&amp;G6934&amp;D6934&lt;&gt;'Funnel setup'!$K$3&amp;'Funnel setup'!$K$4&amp;'Funnel setup'!$K$5,".",IF(A6933=".",1,A6933+1))</f>
        <v>.</v>
      </c>
      <c r="B6934" s="431" t="str">
        <f t="shared" si="108"/>
        <v>Varicose VeinProviderFRIMLEY HEALTH NHS FOUNDATION TRUST (RDU)Aberdeen Varicose Vein Questionnaire</v>
      </c>
      <c r="C6934" t="s">
        <v>17</v>
      </c>
      <c r="D6934" t="s">
        <v>1</v>
      </c>
      <c r="E6934" t="s">
        <v>3861</v>
      </c>
      <c r="F6934" t="s">
        <v>3862</v>
      </c>
      <c r="G6934" t="s">
        <v>0</v>
      </c>
      <c r="H6934">
        <v>27</v>
      </c>
      <c r="I6934">
        <v>19.98</v>
      </c>
      <c r="J6934">
        <v>11.272</v>
      </c>
      <c r="K6934">
        <v>-8.7080000000000002</v>
      </c>
      <c r="L6934">
        <v>25</v>
      </c>
      <c r="M6934">
        <v>0</v>
      </c>
      <c r="N6934">
        <v>2</v>
      </c>
      <c r="O6934" t="s">
        <v>53</v>
      </c>
      <c r="P6934" t="s">
        <v>53</v>
      </c>
      <c r="Q6934" t="s">
        <v>53</v>
      </c>
    </row>
    <row r="6935" spans="1:17" x14ac:dyDescent="0.2">
      <c r="A6935" s="30" t="str">
        <f>IF(C6935&amp;G6935&amp;D6935&lt;&gt;'Funnel setup'!$K$3&amp;'Funnel setup'!$K$4&amp;'Funnel setup'!$K$5,".",IF(A6934=".",1,A6934+1))</f>
        <v>.</v>
      </c>
      <c r="B6935" s="431" t="str">
        <f t="shared" si="108"/>
        <v>Varicose VeinProviderFULWOOD HALL HOSPITAL (NVC07)Aberdeen Varicose Vein Questionnaire</v>
      </c>
      <c r="C6935" t="s">
        <v>17</v>
      </c>
      <c r="D6935" t="s">
        <v>1</v>
      </c>
      <c r="E6935" t="s">
        <v>3864</v>
      </c>
      <c r="F6935" t="s">
        <v>3865</v>
      </c>
      <c r="G6935" t="s">
        <v>0</v>
      </c>
      <c r="H6935">
        <v>51</v>
      </c>
      <c r="I6935">
        <v>17.132999999999999</v>
      </c>
      <c r="J6935">
        <v>11.435</v>
      </c>
      <c r="K6935">
        <v>-5.6980000000000004</v>
      </c>
      <c r="L6935">
        <v>40</v>
      </c>
      <c r="M6935">
        <v>0</v>
      </c>
      <c r="N6935">
        <v>11</v>
      </c>
      <c r="O6935">
        <v>9.6959999999999997</v>
      </c>
      <c r="P6935">
        <v>-11.22649474</v>
      </c>
      <c r="Q6935">
        <v>11.95</v>
      </c>
    </row>
    <row r="6936" spans="1:17" x14ac:dyDescent="0.2">
      <c r="A6936" s="30" t="str">
        <f>IF(C6936&amp;G6936&amp;D6936&lt;&gt;'Funnel setup'!$K$3&amp;'Funnel setup'!$K$4&amp;'Funnel setup'!$K$5,".",IF(A6935=".",1,A6935+1))</f>
        <v>.</v>
      </c>
      <c r="B6936" s="431" t="str">
        <f t="shared" si="108"/>
        <v>Varicose VeinProviderGATESHEAD HEALTH NHS FOUNDATION TRUST (RR7)Aberdeen Varicose Vein Questionnaire</v>
      </c>
      <c r="C6936" t="s">
        <v>17</v>
      </c>
      <c r="D6936" t="s">
        <v>1</v>
      </c>
      <c r="E6936" t="s">
        <v>3867</v>
      </c>
      <c r="F6936" t="s">
        <v>3868</v>
      </c>
      <c r="G6936" t="s">
        <v>0</v>
      </c>
      <c r="H6936">
        <v>77</v>
      </c>
      <c r="I6936">
        <v>16.861999999999998</v>
      </c>
      <c r="J6936">
        <v>10.744999999999999</v>
      </c>
      <c r="K6936">
        <v>-6.117</v>
      </c>
      <c r="L6936">
        <v>59</v>
      </c>
      <c r="M6936">
        <v>0</v>
      </c>
      <c r="N6936">
        <v>18</v>
      </c>
      <c r="O6936">
        <v>8.36</v>
      </c>
      <c r="P6936">
        <v>-12.56281409</v>
      </c>
      <c r="Q6936">
        <v>10.997</v>
      </c>
    </row>
    <row r="6937" spans="1:17" x14ac:dyDescent="0.2">
      <c r="A6937" s="30" t="str">
        <f>IF(C6937&amp;G6937&amp;D6937&lt;&gt;'Funnel setup'!$K$3&amp;'Funnel setup'!$K$4&amp;'Funnel setup'!$K$5,".",IF(A6936=".",1,A6936+1))</f>
        <v>.</v>
      </c>
      <c r="B6937" s="431" t="str">
        <f t="shared" si="108"/>
        <v>Varicose VeinProviderGEORGE ELIOT HOSPITAL NHS TRUST (RLT)Aberdeen Varicose Vein Questionnaire</v>
      </c>
      <c r="C6937" t="s">
        <v>17</v>
      </c>
      <c r="D6937" t="s">
        <v>1</v>
      </c>
      <c r="E6937" t="s">
        <v>3870</v>
      </c>
      <c r="F6937" t="s">
        <v>3871</v>
      </c>
      <c r="G6937" t="s">
        <v>0</v>
      </c>
      <c r="H6937" t="s">
        <v>53</v>
      </c>
      <c r="I6937" t="s">
        <v>53</v>
      </c>
      <c r="J6937" t="s">
        <v>53</v>
      </c>
      <c r="K6937" t="s">
        <v>53</v>
      </c>
      <c r="L6937" t="s">
        <v>53</v>
      </c>
      <c r="M6937" t="s">
        <v>53</v>
      </c>
      <c r="N6937" t="s">
        <v>53</v>
      </c>
      <c r="O6937" t="s">
        <v>53</v>
      </c>
      <c r="P6937" t="s">
        <v>53</v>
      </c>
      <c r="Q6937" t="s">
        <v>53</v>
      </c>
    </row>
    <row r="6938" spans="1:17" x14ac:dyDescent="0.2">
      <c r="A6938" s="30" t="str">
        <f>IF(C6938&amp;G6938&amp;D6938&lt;&gt;'Funnel setup'!$K$3&amp;'Funnel setup'!$K$4&amp;'Funnel setup'!$K$5,".",IF(A6937=".",1,A6937+1))</f>
        <v>.</v>
      </c>
      <c r="B6938" s="431" t="str">
        <f t="shared" si="108"/>
        <v>Varicose VeinProviderGLOUCESTERSHIRE HOSPITALS NHS FOUNDATION TRUST (RTE)Aberdeen Varicose Vein Questionnaire</v>
      </c>
      <c r="C6938" t="s">
        <v>17</v>
      </c>
      <c r="D6938" t="s">
        <v>1</v>
      </c>
      <c r="E6938" t="s">
        <v>3873</v>
      </c>
      <c r="F6938" t="s">
        <v>3874</v>
      </c>
      <c r="G6938" t="s">
        <v>0</v>
      </c>
      <c r="H6938">
        <v>48</v>
      </c>
      <c r="I6938">
        <v>19.66</v>
      </c>
      <c r="J6938">
        <v>7.8970000000000002</v>
      </c>
      <c r="K6938">
        <v>-11.763</v>
      </c>
      <c r="L6938">
        <v>44</v>
      </c>
      <c r="M6938">
        <v>0</v>
      </c>
      <c r="N6938">
        <v>4</v>
      </c>
      <c r="O6938">
        <v>6.4669999999999996</v>
      </c>
      <c r="P6938">
        <v>-14.45564469</v>
      </c>
      <c r="Q6938">
        <v>12.552</v>
      </c>
    </row>
    <row r="6939" spans="1:17" x14ac:dyDescent="0.2">
      <c r="A6939" s="30" t="str">
        <f>IF(C6939&amp;G6939&amp;D6939&lt;&gt;'Funnel setup'!$K$3&amp;'Funnel setup'!$K$4&amp;'Funnel setup'!$K$5,".",IF(A6938=".",1,A6938+1))</f>
        <v>.</v>
      </c>
      <c r="B6939" s="431" t="str">
        <f t="shared" si="108"/>
        <v>Varicose VeinProviderGREAT WESTERN HOSPITALS NHS FOUNDATION TRUST (RN3)Aberdeen Varicose Vein Questionnaire</v>
      </c>
      <c r="C6939" t="s">
        <v>17</v>
      </c>
      <c r="D6939" t="s">
        <v>1</v>
      </c>
      <c r="E6939" t="s">
        <v>3876</v>
      </c>
      <c r="F6939" t="s">
        <v>3877</v>
      </c>
      <c r="G6939" t="s">
        <v>0</v>
      </c>
      <c r="H6939">
        <v>23</v>
      </c>
      <c r="I6939">
        <v>29.695</v>
      </c>
      <c r="J6939">
        <v>19.085999999999999</v>
      </c>
      <c r="K6939">
        <v>-10.609</v>
      </c>
      <c r="L6939">
        <v>19</v>
      </c>
      <c r="M6939">
        <v>0</v>
      </c>
      <c r="N6939">
        <v>4</v>
      </c>
      <c r="O6939" t="s">
        <v>53</v>
      </c>
      <c r="P6939" t="s">
        <v>53</v>
      </c>
      <c r="Q6939" t="s">
        <v>53</v>
      </c>
    </row>
    <row r="6940" spans="1:17" x14ac:dyDescent="0.2">
      <c r="A6940" s="30" t="str">
        <f>IF(C6940&amp;G6940&amp;D6940&lt;&gt;'Funnel setup'!$K$3&amp;'Funnel setup'!$K$4&amp;'Funnel setup'!$K$5,".",IF(A6939=".",1,A6939+1))</f>
        <v>.</v>
      </c>
      <c r="B6940" s="431" t="str">
        <f t="shared" si="108"/>
        <v>Varicose VeinProviderGUY'S AND ST THOMAS' NHS FOUNDATION TRUST (RJ1)Aberdeen Varicose Vein Questionnaire</v>
      </c>
      <c r="C6940" t="s">
        <v>17</v>
      </c>
      <c r="D6940" t="s">
        <v>1</v>
      </c>
      <c r="E6940" t="s">
        <v>3879</v>
      </c>
      <c r="F6940" t="s">
        <v>3880</v>
      </c>
      <c r="G6940" t="s">
        <v>0</v>
      </c>
      <c r="H6940">
        <v>74</v>
      </c>
      <c r="I6940">
        <v>23.294</v>
      </c>
      <c r="J6940">
        <v>17.838999999999999</v>
      </c>
      <c r="K6940">
        <v>-5.4550000000000001</v>
      </c>
      <c r="L6940">
        <v>51</v>
      </c>
      <c r="M6940">
        <v>0</v>
      </c>
      <c r="N6940">
        <v>23</v>
      </c>
      <c r="O6940">
        <v>19.318000000000001</v>
      </c>
      <c r="P6940">
        <v>-1.604285269</v>
      </c>
      <c r="Q6940">
        <v>17.960999999999999</v>
      </c>
    </row>
    <row r="6941" spans="1:17" x14ac:dyDescent="0.2">
      <c r="A6941" s="30" t="str">
        <f>IF(C6941&amp;G6941&amp;D6941&lt;&gt;'Funnel setup'!$K$3&amp;'Funnel setup'!$K$4&amp;'Funnel setup'!$K$5,".",IF(A6940=".",1,A6940+1))</f>
        <v>.</v>
      </c>
      <c r="B6941" s="431" t="str">
        <f t="shared" si="108"/>
        <v>Varicose VeinProviderHAMPSHIRE HOSPITALS NHS FOUNDATION TRUST (RN5)Aberdeen Varicose Vein Questionnaire</v>
      </c>
      <c r="C6941" t="s">
        <v>17</v>
      </c>
      <c r="D6941" t="s">
        <v>1</v>
      </c>
      <c r="E6941" t="s">
        <v>3882</v>
      </c>
      <c r="F6941" t="s">
        <v>3883</v>
      </c>
      <c r="G6941" t="s">
        <v>0</v>
      </c>
      <c r="H6941" t="s">
        <v>53</v>
      </c>
      <c r="I6941" t="s">
        <v>53</v>
      </c>
      <c r="J6941" t="s">
        <v>53</v>
      </c>
      <c r="K6941" t="s">
        <v>53</v>
      </c>
      <c r="L6941" t="s">
        <v>53</v>
      </c>
      <c r="M6941" t="s">
        <v>53</v>
      </c>
      <c r="N6941" t="s">
        <v>53</v>
      </c>
      <c r="O6941" t="s">
        <v>53</v>
      </c>
      <c r="P6941" t="s">
        <v>53</v>
      </c>
      <c r="Q6941" t="s">
        <v>53</v>
      </c>
    </row>
    <row r="6942" spans="1:17" x14ac:dyDescent="0.2">
      <c r="A6942" s="30" t="str">
        <f>IF(C6942&amp;G6942&amp;D6942&lt;&gt;'Funnel setup'!$K$3&amp;'Funnel setup'!$K$4&amp;'Funnel setup'!$K$5,".",IF(A6941=".",1,A6941+1))</f>
        <v>.</v>
      </c>
      <c r="B6942" s="431" t="str">
        <f t="shared" si="108"/>
        <v>Varicose VeinProviderHARROGATE AND DISTRICT NHS FOUNDATION TRUST (RCD)Aberdeen Varicose Vein Questionnaire</v>
      </c>
      <c r="C6942" t="s">
        <v>17</v>
      </c>
      <c r="D6942" t="s">
        <v>1</v>
      </c>
      <c r="E6942" t="s">
        <v>3885</v>
      </c>
      <c r="F6942" t="s">
        <v>3886</v>
      </c>
      <c r="G6942" t="s">
        <v>0</v>
      </c>
      <c r="H6942" t="s">
        <v>53</v>
      </c>
      <c r="I6942" t="s">
        <v>53</v>
      </c>
      <c r="J6942" t="s">
        <v>53</v>
      </c>
      <c r="K6942" t="s">
        <v>53</v>
      </c>
      <c r="L6942" t="s">
        <v>53</v>
      </c>
      <c r="M6942" t="s">
        <v>53</v>
      </c>
      <c r="N6942" t="s">
        <v>53</v>
      </c>
      <c r="O6942" t="s">
        <v>53</v>
      </c>
      <c r="P6942" t="s">
        <v>53</v>
      </c>
      <c r="Q6942" t="s">
        <v>53</v>
      </c>
    </row>
    <row r="6943" spans="1:17" x14ac:dyDescent="0.2">
      <c r="A6943" s="30" t="str">
        <f>IF(C6943&amp;G6943&amp;D6943&lt;&gt;'Funnel setup'!$K$3&amp;'Funnel setup'!$K$4&amp;'Funnel setup'!$K$5,".",IF(A6942=".",1,A6942+1))</f>
        <v>.</v>
      </c>
      <c r="B6943" s="431" t="str">
        <f t="shared" si="108"/>
        <v>Varicose VeinProviderHEART OF ENGLAND NHS FOUNDATION TRUST (RR1)Aberdeen Varicose Vein Questionnaire</v>
      </c>
      <c r="C6943" t="s">
        <v>17</v>
      </c>
      <c r="D6943" t="s">
        <v>1</v>
      </c>
      <c r="E6943" t="s">
        <v>3888</v>
      </c>
      <c r="F6943" t="s">
        <v>3889</v>
      </c>
      <c r="G6943" t="s">
        <v>0</v>
      </c>
      <c r="H6943">
        <v>156</v>
      </c>
      <c r="I6943">
        <v>21.4</v>
      </c>
      <c r="J6943">
        <v>11.336</v>
      </c>
      <c r="K6943">
        <v>-10.064</v>
      </c>
      <c r="L6943">
        <v>133</v>
      </c>
      <c r="M6943">
        <v>0</v>
      </c>
      <c r="N6943">
        <v>23</v>
      </c>
      <c r="O6943">
        <v>11.484999999999999</v>
      </c>
      <c r="P6943">
        <v>-9.4371457020000005</v>
      </c>
      <c r="Q6943">
        <v>14.333</v>
      </c>
    </row>
    <row r="6944" spans="1:17" x14ac:dyDescent="0.2">
      <c r="A6944" s="30" t="str">
        <f>IF(C6944&amp;G6944&amp;D6944&lt;&gt;'Funnel setup'!$K$3&amp;'Funnel setup'!$K$4&amp;'Funnel setup'!$K$5,".",IF(A6943=".",1,A6943+1))</f>
        <v>.</v>
      </c>
      <c r="B6944" s="431" t="str">
        <f t="shared" si="108"/>
        <v>Varicose VeinProviderHINCHINGBROOKE HEALTH CARE NHS TRUST (RQQ)Aberdeen Varicose Vein Questionnaire</v>
      </c>
      <c r="C6944" t="s">
        <v>17</v>
      </c>
      <c r="D6944" t="s">
        <v>1</v>
      </c>
      <c r="E6944" t="s">
        <v>3894</v>
      </c>
      <c r="F6944" t="s">
        <v>3895</v>
      </c>
      <c r="G6944" t="s">
        <v>0</v>
      </c>
      <c r="H6944" t="s">
        <v>53</v>
      </c>
      <c r="I6944" t="s">
        <v>53</v>
      </c>
      <c r="J6944" t="s">
        <v>53</v>
      </c>
      <c r="K6944" t="s">
        <v>53</v>
      </c>
      <c r="L6944" t="s">
        <v>53</v>
      </c>
      <c r="M6944" t="s">
        <v>53</v>
      </c>
      <c r="N6944" t="s">
        <v>53</v>
      </c>
      <c r="O6944" t="s">
        <v>53</v>
      </c>
      <c r="P6944" t="s">
        <v>53</v>
      </c>
      <c r="Q6944" t="s">
        <v>53</v>
      </c>
    </row>
    <row r="6945" spans="1:17" x14ac:dyDescent="0.2">
      <c r="A6945" s="30" t="str">
        <f>IF(C6945&amp;G6945&amp;D6945&lt;&gt;'Funnel setup'!$K$3&amp;'Funnel setup'!$K$4&amp;'Funnel setup'!$K$5,".",IF(A6944=".",1,A6944+1))</f>
        <v>.</v>
      </c>
      <c r="B6945" s="431" t="str">
        <f t="shared" si="108"/>
        <v>Varicose VeinProviderHULL AND EAST YORKSHIRE HOSPITALS NHS TRUST (RWA)Aberdeen Varicose Vein Questionnaire</v>
      </c>
      <c r="C6945" t="s">
        <v>17</v>
      </c>
      <c r="D6945" t="s">
        <v>1</v>
      </c>
      <c r="E6945" t="s">
        <v>3906</v>
      </c>
      <c r="F6945" t="s">
        <v>3907</v>
      </c>
      <c r="G6945" t="s">
        <v>0</v>
      </c>
      <c r="H6945">
        <v>97</v>
      </c>
      <c r="I6945">
        <v>19.303999999999998</v>
      </c>
      <c r="J6945">
        <v>8.3390000000000004</v>
      </c>
      <c r="K6945">
        <v>-10.965</v>
      </c>
      <c r="L6945">
        <v>86</v>
      </c>
      <c r="M6945">
        <v>0</v>
      </c>
      <c r="N6945">
        <v>11</v>
      </c>
      <c r="O6945">
        <v>7.1150000000000002</v>
      </c>
      <c r="P6945">
        <v>-13.80777636</v>
      </c>
      <c r="Q6945">
        <v>10.286</v>
      </c>
    </row>
    <row r="6946" spans="1:17" x14ac:dyDescent="0.2">
      <c r="A6946" s="30" t="str">
        <f>IF(C6946&amp;G6946&amp;D6946&lt;&gt;'Funnel setup'!$K$3&amp;'Funnel setup'!$K$4&amp;'Funnel setup'!$K$5,".",IF(A6945=".",1,A6945+1))</f>
        <v>.</v>
      </c>
      <c r="B6946" s="431" t="str">
        <f t="shared" si="108"/>
        <v>Varicose VeinProviderIMPERIAL COLLEGE HEALTHCARE NHS TRUST (RYJ)Aberdeen Varicose Vein Questionnaire</v>
      </c>
      <c r="C6946" t="s">
        <v>17</v>
      </c>
      <c r="D6946" t="s">
        <v>1</v>
      </c>
      <c r="E6946" t="s">
        <v>4558</v>
      </c>
      <c r="F6946" t="s">
        <v>4559</v>
      </c>
      <c r="G6946" t="s">
        <v>0</v>
      </c>
      <c r="H6946">
        <v>183</v>
      </c>
      <c r="I6946">
        <v>21.706</v>
      </c>
      <c r="J6946">
        <v>17.806000000000001</v>
      </c>
      <c r="K6946">
        <v>-3.9009999999999998</v>
      </c>
      <c r="L6946">
        <v>123</v>
      </c>
      <c r="M6946">
        <v>0</v>
      </c>
      <c r="N6946">
        <v>60</v>
      </c>
      <c r="O6946">
        <v>19.010000000000002</v>
      </c>
      <c r="P6946">
        <v>-1.9123013959999999</v>
      </c>
      <c r="Q6946">
        <v>19.428000000000001</v>
      </c>
    </row>
    <row r="6947" spans="1:17" x14ac:dyDescent="0.2">
      <c r="A6947" s="30" t="str">
        <f>IF(C6947&amp;G6947&amp;D6947&lt;&gt;'Funnel setup'!$K$3&amp;'Funnel setup'!$K$4&amp;'Funnel setup'!$K$5,".",IF(A6946=".",1,A6946+1))</f>
        <v>.</v>
      </c>
      <c r="B6947" s="431" t="str">
        <f t="shared" si="108"/>
        <v>Varicose VeinProviderIPSWICH HOSPITAL NHS TRUST (RGQ)Aberdeen Varicose Vein Questionnaire</v>
      </c>
      <c r="C6947" t="s">
        <v>17</v>
      </c>
      <c r="D6947" t="s">
        <v>1</v>
      </c>
      <c r="E6947" t="s">
        <v>3909</v>
      </c>
      <c r="F6947" t="s">
        <v>3910</v>
      </c>
      <c r="G6947" t="s">
        <v>0</v>
      </c>
      <c r="H6947">
        <v>102</v>
      </c>
      <c r="I6947">
        <v>19.632999999999999</v>
      </c>
      <c r="J6947">
        <v>11.228</v>
      </c>
      <c r="K6947">
        <v>-8.4060000000000006</v>
      </c>
      <c r="L6947">
        <v>87</v>
      </c>
      <c r="M6947">
        <v>0</v>
      </c>
      <c r="N6947">
        <v>15</v>
      </c>
      <c r="O6947">
        <v>10.311</v>
      </c>
      <c r="P6947">
        <v>-10.61129976</v>
      </c>
      <c r="Q6947">
        <v>12.685</v>
      </c>
    </row>
    <row r="6948" spans="1:17" x14ac:dyDescent="0.2">
      <c r="A6948" s="30" t="str">
        <f>IF(C6948&amp;G6948&amp;D6948&lt;&gt;'Funnel setup'!$K$3&amp;'Funnel setup'!$K$4&amp;'Funnel setup'!$K$5,".",IF(A6947=".",1,A6947+1))</f>
        <v>.</v>
      </c>
      <c r="B6948" s="431" t="str">
        <f t="shared" si="108"/>
        <v>Varicose VeinProviderJAMES PAGET UNIVERSITY HOSPITALS NHS FOUNDATION TRUST (RGP)Aberdeen Varicose Vein Questionnaire</v>
      </c>
      <c r="C6948" t="s">
        <v>17</v>
      </c>
      <c r="D6948" t="s">
        <v>1</v>
      </c>
      <c r="E6948" t="s">
        <v>3915</v>
      </c>
      <c r="F6948" t="s">
        <v>3916</v>
      </c>
      <c r="G6948" t="s">
        <v>0</v>
      </c>
      <c r="H6948">
        <v>26</v>
      </c>
      <c r="I6948">
        <v>15.621</v>
      </c>
      <c r="J6948">
        <v>8.2319999999999993</v>
      </c>
      <c r="K6948">
        <v>-7.3890000000000002</v>
      </c>
      <c r="L6948">
        <v>23</v>
      </c>
      <c r="M6948">
        <v>0</v>
      </c>
      <c r="N6948">
        <v>3</v>
      </c>
      <c r="O6948" t="s">
        <v>53</v>
      </c>
      <c r="P6948" t="s">
        <v>53</v>
      </c>
      <c r="Q6948" t="s">
        <v>53</v>
      </c>
    </row>
    <row r="6949" spans="1:17" x14ac:dyDescent="0.2">
      <c r="A6949" s="30" t="str">
        <f>IF(C6949&amp;G6949&amp;D6949&lt;&gt;'Funnel setup'!$K$3&amp;'Funnel setup'!$K$4&amp;'Funnel setup'!$K$5,".",IF(A6948=".",1,A6948+1))</f>
        <v>.</v>
      </c>
      <c r="B6949" s="431" t="str">
        <f t="shared" si="108"/>
        <v>Varicose VeinProviderKETTERING GENERAL HOSPITAL NHS FOUNDATION TRUST (RNQ)Aberdeen Varicose Vein Questionnaire</v>
      </c>
      <c r="C6949" t="s">
        <v>17</v>
      </c>
      <c r="D6949" t="s">
        <v>1</v>
      </c>
      <c r="E6949" t="s">
        <v>3918</v>
      </c>
      <c r="F6949" t="s">
        <v>3919</v>
      </c>
      <c r="G6949" t="s">
        <v>0</v>
      </c>
      <c r="H6949" t="s">
        <v>53</v>
      </c>
      <c r="I6949" t="s">
        <v>53</v>
      </c>
      <c r="J6949" t="s">
        <v>53</v>
      </c>
      <c r="K6949" t="s">
        <v>53</v>
      </c>
      <c r="L6949" t="s">
        <v>53</v>
      </c>
      <c r="M6949" t="s">
        <v>53</v>
      </c>
      <c r="N6949" t="s">
        <v>53</v>
      </c>
      <c r="O6949" t="s">
        <v>53</v>
      </c>
      <c r="P6949" t="s">
        <v>53</v>
      </c>
      <c r="Q6949" t="s">
        <v>53</v>
      </c>
    </row>
    <row r="6950" spans="1:17" x14ac:dyDescent="0.2">
      <c r="A6950" s="30" t="str">
        <f>IF(C6950&amp;G6950&amp;D6950&lt;&gt;'Funnel setup'!$K$3&amp;'Funnel setup'!$K$4&amp;'Funnel setup'!$K$5,".",IF(A6949=".",1,A6949+1))</f>
        <v>.</v>
      </c>
      <c r="B6950" s="431" t="str">
        <f t="shared" si="108"/>
        <v>Varicose VeinProviderKING'S COLLEGE HOSPITAL NHS FOUNDATION TRUST (RJZ)Aberdeen Varicose Vein Questionnaire</v>
      </c>
      <c r="C6950" t="s">
        <v>17</v>
      </c>
      <c r="D6950" t="s">
        <v>1</v>
      </c>
      <c r="E6950" t="s">
        <v>3924</v>
      </c>
      <c r="F6950" t="s">
        <v>3925</v>
      </c>
      <c r="G6950" t="s">
        <v>0</v>
      </c>
      <c r="H6950">
        <v>18</v>
      </c>
      <c r="I6950">
        <v>16.238</v>
      </c>
      <c r="J6950">
        <v>8.6609999999999996</v>
      </c>
      <c r="K6950">
        <v>-7.577</v>
      </c>
      <c r="L6950">
        <v>16</v>
      </c>
      <c r="M6950">
        <v>0</v>
      </c>
      <c r="N6950">
        <v>2</v>
      </c>
      <c r="O6950" t="s">
        <v>53</v>
      </c>
      <c r="P6950" t="s">
        <v>53</v>
      </c>
      <c r="Q6950" t="s">
        <v>53</v>
      </c>
    </row>
    <row r="6951" spans="1:17" x14ac:dyDescent="0.2">
      <c r="A6951" s="30" t="str">
        <f>IF(C6951&amp;G6951&amp;D6951&lt;&gt;'Funnel setup'!$K$3&amp;'Funnel setup'!$K$4&amp;'Funnel setup'!$K$5,".",IF(A6950=".",1,A6950+1))</f>
        <v>.</v>
      </c>
      <c r="B6951" s="431" t="str">
        <f t="shared" si="108"/>
        <v>Varicose VeinProviderLANCASHIRE TEACHING HOSPITALS NHS FOUNDATION TRUST (RXN)Aberdeen Varicose Vein Questionnaire</v>
      </c>
      <c r="C6951" t="s">
        <v>17</v>
      </c>
      <c r="D6951" t="s">
        <v>1</v>
      </c>
      <c r="E6951" t="s">
        <v>3567</v>
      </c>
      <c r="F6951" t="s">
        <v>3568</v>
      </c>
      <c r="G6951" t="s">
        <v>0</v>
      </c>
      <c r="H6951">
        <v>13</v>
      </c>
      <c r="I6951">
        <v>15.349</v>
      </c>
      <c r="J6951">
        <v>9.6910000000000007</v>
      </c>
      <c r="K6951">
        <v>-5.657</v>
      </c>
      <c r="L6951">
        <v>12</v>
      </c>
      <c r="M6951">
        <v>0</v>
      </c>
      <c r="N6951">
        <v>1</v>
      </c>
      <c r="O6951" t="s">
        <v>53</v>
      </c>
      <c r="P6951" t="s">
        <v>53</v>
      </c>
      <c r="Q6951" t="s">
        <v>53</v>
      </c>
    </row>
    <row r="6952" spans="1:17" x14ac:dyDescent="0.2">
      <c r="A6952" s="30" t="str">
        <f>IF(C6952&amp;G6952&amp;D6952&lt;&gt;'Funnel setup'!$K$3&amp;'Funnel setup'!$K$4&amp;'Funnel setup'!$K$5,".",IF(A6951=".",1,A6951+1))</f>
        <v>.</v>
      </c>
      <c r="B6952" s="431" t="str">
        <f t="shared" si="108"/>
        <v>Varicose VeinProviderLEEDS TEACHING HOSPITALS NHS TRUST (RR8)Aberdeen Varicose Vein Questionnaire</v>
      </c>
      <c r="C6952" t="s">
        <v>17</v>
      </c>
      <c r="D6952" t="s">
        <v>1</v>
      </c>
      <c r="E6952" t="s">
        <v>3930</v>
      </c>
      <c r="F6952" t="s">
        <v>344</v>
      </c>
      <c r="G6952" t="s">
        <v>0</v>
      </c>
      <c r="H6952">
        <v>232</v>
      </c>
      <c r="I6952">
        <v>19.088000000000001</v>
      </c>
      <c r="J6952">
        <v>11.922000000000001</v>
      </c>
      <c r="K6952">
        <v>-7.1660000000000004</v>
      </c>
      <c r="L6952">
        <v>193</v>
      </c>
      <c r="M6952">
        <v>0</v>
      </c>
      <c r="N6952">
        <v>39</v>
      </c>
      <c r="O6952">
        <v>10.913</v>
      </c>
      <c r="P6952">
        <v>-10.00920131</v>
      </c>
      <c r="Q6952">
        <v>15.526999999999999</v>
      </c>
    </row>
    <row r="6953" spans="1:17" x14ac:dyDescent="0.2">
      <c r="A6953" s="30" t="str">
        <f>IF(C6953&amp;G6953&amp;D6953&lt;&gt;'Funnel setup'!$K$3&amp;'Funnel setup'!$K$4&amp;'Funnel setup'!$K$5,".",IF(A6952=".",1,A6952+1))</f>
        <v>.</v>
      </c>
      <c r="B6953" s="431" t="str">
        <f t="shared" si="108"/>
        <v>Varicose VeinProviderLEWISHAM AND GREENWICH NHS TRUST (RJ2)Aberdeen Varicose Vein Questionnaire</v>
      </c>
      <c r="C6953" t="s">
        <v>17</v>
      </c>
      <c r="D6953" t="s">
        <v>1</v>
      </c>
      <c r="E6953" t="s">
        <v>3522</v>
      </c>
      <c r="F6953" t="s">
        <v>3523</v>
      </c>
      <c r="G6953" t="s">
        <v>0</v>
      </c>
      <c r="H6953">
        <v>90</v>
      </c>
      <c r="I6953">
        <v>21.04</v>
      </c>
      <c r="J6953">
        <v>15.611000000000001</v>
      </c>
      <c r="K6953">
        <v>-5.4290000000000003</v>
      </c>
      <c r="L6953">
        <v>64</v>
      </c>
      <c r="M6953">
        <v>0</v>
      </c>
      <c r="N6953">
        <v>26</v>
      </c>
      <c r="O6953">
        <v>16.646999999999998</v>
      </c>
      <c r="P6953">
        <v>-4.2758565070000003</v>
      </c>
      <c r="Q6953">
        <v>18.251000000000001</v>
      </c>
    </row>
    <row r="6954" spans="1:17" x14ac:dyDescent="0.2">
      <c r="A6954" s="30" t="str">
        <f>IF(C6954&amp;G6954&amp;D6954&lt;&gt;'Funnel setup'!$K$3&amp;'Funnel setup'!$K$4&amp;'Funnel setup'!$K$5,".",IF(A6953=".",1,A6953+1))</f>
        <v>.</v>
      </c>
      <c r="B6954" s="431" t="str">
        <f t="shared" si="108"/>
        <v>Varicose VeinProviderLONDON NORTH WEST HEALTHCARE NHS TRUST (R1K)Aberdeen Varicose Vein Questionnaire</v>
      </c>
      <c r="C6954" t="s">
        <v>17</v>
      </c>
      <c r="D6954" t="s">
        <v>1</v>
      </c>
      <c r="E6954" t="s">
        <v>6515</v>
      </c>
      <c r="F6954" t="s">
        <v>6516</v>
      </c>
      <c r="G6954" t="s">
        <v>0</v>
      </c>
      <c r="H6954">
        <v>44</v>
      </c>
      <c r="I6954">
        <v>27.654</v>
      </c>
      <c r="J6954">
        <v>21.843</v>
      </c>
      <c r="K6954">
        <v>-5.81</v>
      </c>
      <c r="L6954">
        <v>28</v>
      </c>
      <c r="M6954">
        <v>0</v>
      </c>
      <c r="N6954">
        <v>16</v>
      </c>
      <c r="O6954">
        <v>26.510999999999999</v>
      </c>
      <c r="P6954">
        <v>5.5884673569999999</v>
      </c>
      <c r="Q6954">
        <v>23.477</v>
      </c>
    </row>
    <row r="6955" spans="1:17" x14ac:dyDescent="0.2">
      <c r="A6955" s="30" t="str">
        <f>IF(C6955&amp;G6955&amp;D6955&lt;&gt;'Funnel setup'!$K$3&amp;'Funnel setup'!$K$4&amp;'Funnel setup'!$K$5,".",IF(A6954=".",1,A6954+1))</f>
        <v>.</v>
      </c>
      <c r="B6955" s="431" t="str">
        <f t="shared" si="108"/>
        <v>Varicose VeinProviderLUTON AND DUNSTABLE UNIVERSITY HOSPITAL NHS FOUNDATION TRUST (RC9)Aberdeen Varicose Vein Questionnaire</v>
      </c>
      <c r="C6955" t="s">
        <v>17</v>
      </c>
      <c r="D6955" t="s">
        <v>1</v>
      </c>
      <c r="E6955" t="s">
        <v>3528</v>
      </c>
      <c r="F6955" t="s">
        <v>3529</v>
      </c>
      <c r="G6955" t="s">
        <v>0</v>
      </c>
      <c r="H6955">
        <v>12</v>
      </c>
      <c r="I6955">
        <v>24.574999999999999</v>
      </c>
      <c r="J6955">
        <v>16.78</v>
      </c>
      <c r="K6955">
        <v>-7.7949999999999999</v>
      </c>
      <c r="L6955">
        <v>10</v>
      </c>
      <c r="M6955">
        <v>0</v>
      </c>
      <c r="N6955">
        <v>2</v>
      </c>
      <c r="O6955" t="s">
        <v>53</v>
      </c>
      <c r="P6955" t="s">
        <v>53</v>
      </c>
      <c r="Q6955" t="s">
        <v>53</v>
      </c>
    </row>
    <row r="6956" spans="1:17" x14ac:dyDescent="0.2">
      <c r="A6956" s="30" t="str">
        <f>IF(C6956&amp;G6956&amp;D6956&lt;&gt;'Funnel setup'!$K$3&amp;'Funnel setup'!$K$4&amp;'Funnel setup'!$K$5,".",IF(A6955=".",1,A6955+1))</f>
        <v>.</v>
      </c>
      <c r="B6956" s="431" t="str">
        <f t="shared" si="108"/>
        <v>Varicose VeinProviderMAIDSTONE AND TUNBRIDGE WELLS NHS TRUST (RWF)Aberdeen Varicose Vein Questionnaire</v>
      </c>
      <c r="C6956" t="s">
        <v>17</v>
      </c>
      <c r="D6956" t="s">
        <v>1</v>
      </c>
      <c r="E6956" t="s">
        <v>3627</v>
      </c>
      <c r="F6956" t="s">
        <v>3628</v>
      </c>
      <c r="G6956" t="s">
        <v>0</v>
      </c>
      <c r="H6956">
        <v>7</v>
      </c>
      <c r="I6956">
        <v>23.739000000000001</v>
      </c>
      <c r="J6956">
        <v>16.52</v>
      </c>
      <c r="K6956">
        <v>-7.2190000000000003</v>
      </c>
      <c r="L6956">
        <v>5</v>
      </c>
      <c r="M6956">
        <v>0</v>
      </c>
      <c r="N6956">
        <v>2</v>
      </c>
      <c r="O6956" t="s">
        <v>53</v>
      </c>
      <c r="P6956" t="s">
        <v>53</v>
      </c>
      <c r="Q6956" t="s">
        <v>53</v>
      </c>
    </row>
    <row r="6957" spans="1:17" x14ac:dyDescent="0.2">
      <c r="A6957" s="30" t="str">
        <f>IF(C6957&amp;G6957&amp;D6957&lt;&gt;'Funnel setup'!$K$3&amp;'Funnel setup'!$K$4&amp;'Funnel setup'!$K$5,".",IF(A6956=".",1,A6956+1))</f>
        <v>.</v>
      </c>
      <c r="B6957" s="431" t="str">
        <f t="shared" si="108"/>
        <v>Varicose VeinProviderMEDWAY NHS FOUNDATION TRUST (RPA)Aberdeen Varicose Vein Questionnaire</v>
      </c>
      <c r="C6957" t="s">
        <v>17</v>
      </c>
      <c r="D6957" t="s">
        <v>1</v>
      </c>
      <c r="E6957" t="s">
        <v>3630</v>
      </c>
      <c r="F6957" t="s">
        <v>3631</v>
      </c>
      <c r="G6957" t="s">
        <v>0</v>
      </c>
      <c r="H6957">
        <v>6</v>
      </c>
      <c r="I6957">
        <v>20.567</v>
      </c>
      <c r="J6957">
        <v>7.8259999999999996</v>
      </c>
      <c r="K6957">
        <v>-12.741</v>
      </c>
      <c r="L6957">
        <v>6</v>
      </c>
      <c r="M6957">
        <v>0</v>
      </c>
      <c r="N6957">
        <v>0</v>
      </c>
      <c r="O6957" t="s">
        <v>53</v>
      </c>
      <c r="P6957" t="s">
        <v>53</v>
      </c>
      <c r="Q6957" t="s">
        <v>53</v>
      </c>
    </row>
    <row r="6958" spans="1:17" x14ac:dyDescent="0.2">
      <c r="A6958" s="30" t="str">
        <f>IF(C6958&amp;G6958&amp;D6958&lt;&gt;'Funnel setup'!$K$3&amp;'Funnel setup'!$K$4&amp;'Funnel setup'!$K$5,".",IF(A6957=".",1,A6957+1))</f>
        <v>.</v>
      </c>
      <c r="B6958" s="431" t="str">
        <f t="shared" si="108"/>
        <v>Varicose VeinProviderMID CHESHIRE HOSPITALS NHS FOUNDATION TRUST (RBT)Aberdeen Varicose Vein Questionnaire</v>
      </c>
      <c r="C6958" t="s">
        <v>17</v>
      </c>
      <c r="D6958" t="s">
        <v>1</v>
      </c>
      <c r="E6958" t="s">
        <v>3633</v>
      </c>
      <c r="F6958" t="s">
        <v>342</v>
      </c>
      <c r="G6958" t="s">
        <v>0</v>
      </c>
      <c r="H6958">
        <v>12</v>
      </c>
      <c r="I6958">
        <v>20.056999999999999</v>
      </c>
      <c r="J6958">
        <v>9.7040000000000006</v>
      </c>
      <c r="K6958">
        <v>-10.353</v>
      </c>
      <c r="L6958">
        <v>12</v>
      </c>
      <c r="M6958">
        <v>0</v>
      </c>
      <c r="N6958">
        <v>0</v>
      </c>
      <c r="O6958" t="s">
        <v>53</v>
      </c>
      <c r="P6958" t="s">
        <v>53</v>
      </c>
      <c r="Q6958" t="s">
        <v>53</v>
      </c>
    </row>
    <row r="6959" spans="1:17" x14ac:dyDescent="0.2">
      <c r="A6959" s="30" t="str">
        <f>IF(C6959&amp;G6959&amp;D6959&lt;&gt;'Funnel setup'!$K$3&amp;'Funnel setup'!$K$4&amp;'Funnel setup'!$K$5,".",IF(A6958=".",1,A6958+1))</f>
        <v>.</v>
      </c>
      <c r="B6959" s="431" t="str">
        <f t="shared" si="108"/>
        <v>Varicose VeinProviderMID ESSEX HOSPITAL SERVICES NHS TRUST (RQ8)Aberdeen Varicose Vein Questionnaire</v>
      </c>
      <c r="C6959" t="s">
        <v>17</v>
      </c>
      <c r="D6959" t="s">
        <v>1</v>
      </c>
      <c r="E6959" t="s">
        <v>3635</v>
      </c>
      <c r="F6959" t="s">
        <v>3636</v>
      </c>
      <c r="G6959" t="s">
        <v>0</v>
      </c>
      <c r="H6959">
        <v>27</v>
      </c>
      <c r="I6959">
        <v>24.677</v>
      </c>
      <c r="J6959">
        <v>15.86</v>
      </c>
      <c r="K6959">
        <v>-8.8170000000000002</v>
      </c>
      <c r="L6959">
        <v>23</v>
      </c>
      <c r="M6959">
        <v>0</v>
      </c>
      <c r="N6959">
        <v>4</v>
      </c>
      <c r="O6959" t="s">
        <v>53</v>
      </c>
      <c r="P6959" t="s">
        <v>53</v>
      </c>
      <c r="Q6959" t="s">
        <v>53</v>
      </c>
    </row>
    <row r="6960" spans="1:17" x14ac:dyDescent="0.2">
      <c r="A6960" s="30" t="str">
        <f>IF(C6960&amp;G6960&amp;D6960&lt;&gt;'Funnel setup'!$K$3&amp;'Funnel setup'!$K$4&amp;'Funnel setup'!$K$5,".",IF(A6959=".",1,A6959+1))</f>
        <v>.</v>
      </c>
      <c r="B6960" s="431" t="str">
        <f t="shared" si="108"/>
        <v>Varicose VeinProviderMID STAFFORDSHIRE NHS FOUNDATION TRUST (RJD)Aberdeen Varicose Vein Questionnaire</v>
      </c>
      <c r="C6960" t="s">
        <v>17</v>
      </c>
      <c r="D6960" t="s">
        <v>1</v>
      </c>
      <c r="E6960" t="s">
        <v>3638</v>
      </c>
      <c r="F6960" t="s">
        <v>3639</v>
      </c>
      <c r="G6960" t="s">
        <v>0</v>
      </c>
      <c r="H6960" t="s">
        <v>53</v>
      </c>
      <c r="I6960" t="s">
        <v>53</v>
      </c>
      <c r="J6960" t="s">
        <v>53</v>
      </c>
      <c r="K6960" t="s">
        <v>53</v>
      </c>
      <c r="L6960" t="s">
        <v>53</v>
      </c>
      <c r="M6960" t="s">
        <v>53</v>
      </c>
      <c r="N6960" t="s">
        <v>53</v>
      </c>
      <c r="O6960" t="s">
        <v>53</v>
      </c>
      <c r="P6960" t="s">
        <v>53</v>
      </c>
      <c r="Q6960" t="s">
        <v>53</v>
      </c>
    </row>
    <row r="6961" spans="1:17" x14ac:dyDescent="0.2">
      <c r="A6961" s="30" t="str">
        <f>IF(C6961&amp;G6961&amp;D6961&lt;&gt;'Funnel setup'!$K$3&amp;'Funnel setup'!$K$4&amp;'Funnel setup'!$K$5,".",IF(A6960=".",1,A6960+1))</f>
        <v>.</v>
      </c>
      <c r="B6961" s="431" t="str">
        <f t="shared" si="108"/>
        <v>Varicose VeinProviderMID YORKSHIRE HOSPITALS NHS TRUST (RXF)Aberdeen Varicose Vein Questionnaire</v>
      </c>
      <c r="C6961" t="s">
        <v>17</v>
      </c>
      <c r="D6961" t="s">
        <v>1</v>
      </c>
      <c r="E6961" t="s">
        <v>3641</v>
      </c>
      <c r="F6961" t="s">
        <v>3642</v>
      </c>
      <c r="G6961" t="s">
        <v>0</v>
      </c>
      <c r="H6961">
        <v>78</v>
      </c>
      <c r="I6961">
        <v>18.216999999999999</v>
      </c>
      <c r="J6961">
        <v>9.8170000000000002</v>
      </c>
      <c r="K6961">
        <v>-8.4009999999999998</v>
      </c>
      <c r="L6961">
        <v>67</v>
      </c>
      <c r="M6961">
        <v>0</v>
      </c>
      <c r="N6961">
        <v>11</v>
      </c>
      <c r="O6961">
        <v>8.1560000000000006</v>
      </c>
      <c r="P6961">
        <v>-12.766550929999999</v>
      </c>
      <c r="Q6961">
        <v>13.002000000000001</v>
      </c>
    </row>
    <row r="6962" spans="1:17" x14ac:dyDescent="0.2">
      <c r="A6962" s="30" t="str">
        <f>IF(C6962&amp;G6962&amp;D6962&lt;&gt;'Funnel setup'!$K$3&amp;'Funnel setup'!$K$4&amp;'Funnel setup'!$K$5,".",IF(A6961=".",1,A6961+1))</f>
        <v>.</v>
      </c>
      <c r="B6962" s="431" t="str">
        <f t="shared" si="108"/>
        <v>Varicose VeinProviderMILTON KEYNES UNIVERSITY HOSPITAL NHS FOUNDATION TRUST (RD8)Aberdeen Varicose Vein Questionnaire</v>
      </c>
      <c r="C6962" t="s">
        <v>17</v>
      </c>
      <c r="D6962" t="s">
        <v>1</v>
      </c>
      <c r="E6962" t="s">
        <v>3643</v>
      </c>
      <c r="F6962" t="s">
        <v>6580</v>
      </c>
      <c r="G6962" t="s">
        <v>0</v>
      </c>
      <c r="H6962">
        <v>21</v>
      </c>
      <c r="I6962">
        <v>25.378</v>
      </c>
      <c r="J6962">
        <v>15.206</v>
      </c>
      <c r="K6962">
        <v>-10.173</v>
      </c>
      <c r="L6962">
        <v>19</v>
      </c>
      <c r="M6962">
        <v>0</v>
      </c>
      <c r="N6962">
        <v>2</v>
      </c>
      <c r="O6962" t="s">
        <v>53</v>
      </c>
      <c r="P6962" t="s">
        <v>53</v>
      </c>
      <c r="Q6962" t="s">
        <v>53</v>
      </c>
    </row>
    <row r="6963" spans="1:17" x14ac:dyDescent="0.2">
      <c r="A6963" s="30" t="str">
        <f>IF(C6963&amp;G6963&amp;D6963&lt;&gt;'Funnel setup'!$K$3&amp;'Funnel setup'!$K$4&amp;'Funnel setup'!$K$5,".",IF(A6962=".",1,A6962+1))</f>
        <v>.</v>
      </c>
      <c r="B6963" s="431" t="str">
        <f t="shared" si="108"/>
        <v>Varicose VeinProviderNORFOLK AND NORWICH UNIVERSITY HOSPITALS NHS FOUNDATION TRUST (RM1)Aberdeen Varicose Vein Questionnaire</v>
      </c>
      <c r="C6963" t="s">
        <v>17</v>
      </c>
      <c r="D6963" t="s">
        <v>1</v>
      </c>
      <c r="E6963" t="s">
        <v>3651</v>
      </c>
      <c r="F6963" t="s">
        <v>3652</v>
      </c>
      <c r="G6963" t="s">
        <v>0</v>
      </c>
      <c r="H6963">
        <v>165</v>
      </c>
      <c r="I6963">
        <v>18.901</v>
      </c>
      <c r="J6963">
        <v>9.2479999999999993</v>
      </c>
      <c r="K6963">
        <v>-9.6530000000000005</v>
      </c>
      <c r="L6963">
        <v>145</v>
      </c>
      <c r="M6963">
        <v>0</v>
      </c>
      <c r="N6963">
        <v>20</v>
      </c>
      <c r="O6963">
        <v>7.8120000000000003</v>
      </c>
      <c r="P6963">
        <v>-13.11079627</v>
      </c>
      <c r="Q6963">
        <v>12.116</v>
      </c>
    </row>
    <row r="6964" spans="1:17" x14ac:dyDescent="0.2">
      <c r="A6964" s="30" t="str">
        <f>IF(C6964&amp;G6964&amp;D6964&lt;&gt;'Funnel setup'!$K$3&amp;'Funnel setup'!$K$4&amp;'Funnel setup'!$K$5,".",IF(A6963=".",1,A6963+1))</f>
        <v>.</v>
      </c>
      <c r="B6964" s="431" t="str">
        <f t="shared" si="108"/>
        <v>Varicose VeinProviderNORTH CUMBRIA UNIVERSITY HOSPITALS NHS TRUST (RNL)Aberdeen Varicose Vein Questionnaire</v>
      </c>
      <c r="C6964" t="s">
        <v>17</v>
      </c>
      <c r="D6964" t="s">
        <v>1</v>
      </c>
      <c r="E6964" t="s">
        <v>3657</v>
      </c>
      <c r="F6964" t="s">
        <v>3658</v>
      </c>
      <c r="G6964" t="s">
        <v>0</v>
      </c>
      <c r="H6964">
        <v>31</v>
      </c>
      <c r="I6964">
        <v>21.228000000000002</v>
      </c>
      <c r="J6964">
        <v>9.0250000000000004</v>
      </c>
      <c r="K6964">
        <v>-12.202999999999999</v>
      </c>
      <c r="L6964">
        <v>30</v>
      </c>
      <c r="M6964">
        <v>0</v>
      </c>
      <c r="N6964">
        <v>1</v>
      </c>
      <c r="O6964">
        <v>7.6989999999999998</v>
      </c>
      <c r="P6964">
        <v>-13.222958800000001</v>
      </c>
      <c r="Q6964">
        <v>10.923999999999999</v>
      </c>
    </row>
    <row r="6965" spans="1:17" x14ac:dyDescent="0.2">
      <c r="A6965" s="30" t="str">
        <f>IF(C6965&amp;G6965&amp;D6965&lt;&gt;'Funnel setup'!$K$3&amp;'Funnel setup'!$K$4&amp;'Funnel setup'!$K$5,".",IF(A6964=".",1,A6964+1))</f>
        <v>.</v>
      </c>
      <c r="B6965" s="431" t="str">
        <f t="shared" si="108"/>
        <v>Varicose VeinProviderNORTH DOWNS HOSPITAL (NVC11)Aberdeen Varicose Vein Questionnaire</v>
      </c>
      <c r="C6965" t="s">
        <v>17</v>
      </c>
      <c r="D6965" t="s">
        <v>1</v>
      </c>
      <c r="E6965" t="s">
        <v>3660</v>
      </c>
      <c r="F6965" t="s">
        <v>3661</v>
      </c>
      <c r="G6965" t="s">
        <v>0</v>
      </c>
      <c r="H6965" t="s">
        <v>53</v>
      </c>
      <c r="I6965" t="s">
        <v>53</v>
      </c>
      <c r="J6965" t="s">
        <v>53</v>
      </c>
      <c r="K6965" t="s">
        <v>53</v>
      </c>
      <c r="L6965" t="s">
        <v>53</v>
      </c>
      <c r="M6965" t="s">
        <v>53</v>
      </c>
      <c r="N6965" t="s">
        <v>53</v>
      </c>
      <c r="O6965" t="s">
        <v>53</v>
      </c>
      <c r="P6965" t="s">
        <v>53</v>
      </c>
      <c r="Q6965" t="s">
        <v>53</v>
      </c>
    </row>
    <row r="6966" spans="1:17" x14ac:dyDescent="0.2">
      <c r="A6966" s="30" t="str">
        <f>IF(C6966&amp;G6966&amp;D6966&lt;&gt;'Funnel setup'!$K$3&amp;'Funnel setup'!$K$4&amp;'Funnel setup'!$K$5,".",IF(A6965=".",1,A6965+1))</f>
        <v>.</v>
      </c>
      <c r="B6966" s="431" t="str">
        <f t="shared" si="108"/>
        <v>Varicose VeinProviderNORTH EAST LONDON TREATMENT CENTRE CARE UK (NTP15)Aberdeen Varicose Vein Questionnaire</v>
      </c>
      <c r="C6966" t="s">
        <v>17</v>
      </c>
      <c r="D6966" t="s">
        <v>1</v>
      </c>
      <c r="E6966" t="s">
        <v>3663</v>
      </c>
      <c r="F6966" t="s">
        <v>3664</v>
      </c>
      <c r="G6966" t="s">
        <v>0</v>
      </c>
      <c r="H6966">
        <v>24</v>
      </c>
      <c r="I6966">
        <v>22.103999999999999</v>
      </c>
      <c r="J6966">
        <v>15.848000000000001</v>
      </c>
      <c r="K6966">
        <v>-6.2569999999999997</v>
      </c>
      <c r="L6966">
        <v>18</v>
      </c>
      <c r="M6966">
        <v>0</v>
      </c>
      <c r="N6966">
        <v>6</v>
      </c>
      <c r="O6966" t="s">
        <v>53</v>
      </c>
      <c r="P6966" t="s">
        <v>53</v>
      </c>
      <c r="Q6966" t="s">
        <v>53</v>
      </c>
    </row>
    <row r="6967" spans="1:17" x14ac:dyDescent="0.2">
      <c r="A6967" s="30" t="str">
        <f>IF(C6967&amp;G6967&amp;D6967&lt;&gt;'Funnel setup'!$K$3&amp;'Funnel setup'!$K$4&amp;'Funnel setup'!$K$5,".",IF(A6966=".",1,A6966+1))</f>
        <v>.</v>
      </c>
      <c r="B6967" s="431" t="str">
        <f t="shared" si="108"/>
        <v>Varicose VeinProviderNORTH TEES AND HARTLEPOOL NHS FOUNDATION TRUST (RVW)Aberdeen Varicose Vein Questionnaire</v>
      </c>
      <c r="C6967" t="s">
        <v>17</v>
      </c>
      <c r="D6967" t="s">
        <v>1</v>
      </c>
      <c r="E6967" t="s">
        <v>3669</v>
      </c>
      <c r="F6967" t="s">
        <v>3670</v>
      </c>
      <c r="G6967" t="s">
        <v>0</v>
      </c>
      <c r="H6967">
        <v>60</v>
      </c>
      <c r="I6967">
        <v>21.914000000000001</v>
      </c>
      <c r="J6967">
        <v>12.281000000000001</v>
      </c>
      <c r="K6967">
        <v>-9.6329999999999991</v>
      </c>
      <c r="L6967">
        <v>49</v>
      </c>
      <c r="M6967">
        <v>0</v>
      </c>
      <c r="N6967">
        <v>11</v>
      </c>
      <c r="O6967">
        <v>12.712999999999999</v>
      </c>
      <c r="P6967">
        <v>-8.2097203069999996</v>
      </c>
      <c r="Q6967">
        <v>14.71</v>
      </c>
    </row>
    <row r="6968" spans="1:17" x14ac:dyDescent="0.2">
      <c r="A6968" s="30" t="str">
        <f>IF(C6968&amp;G6968&amp;D6968&lt;&gt;'Funnel setup'!$K$3&amp;'Funnel setup'!$K$4&amp;'Funnel setup'!$K$5,".",IF(A6967=".",1,A6967+1))</f>
        <v>.</v>
      </c>
      <c r="B6968" s="431" t="str">
        <f t="shared" si="108"/>
        <v>Varicose VeinProviderNORTHAMPTON GENERAL HOSPITAL NHS TRUST (RNS)Aberdeen Varicose Vein Questionnaire</v>
      </c>
      <c r="C6968" t="s">
        <v>17</v>
      </c>
      <c r="D6968" t="s">
        <v>1</v>
      </c>
      <c r="E6968" t="s">
        <v>3675</v>
      </c>
      <c r="F6968" t="s">
        <v>3676</v>
      </c>
      <c r="G6968" t="s">
        <v>0</v>
      </c>
      <c r="H6968">
        <v>25</v>
      </c>
      <c r="I6968">
        <v>26.922000000000001</v>
      </c>
      <c r="J6968">
        <v>16.617999999999999</v>
      </c>
      <c r="K6968">
        <v>-10.305</v>
      </c>
      <c r="L6968">
        <v>20</v>
      </c>
      <c r="M6968">
        <v>0</v>
      </c>
      <c r="N6968">
        <v>5</v>
      </c>
      <c r="O6968" t="s">
        <v>53</v>
      </c>
      <c r="P6968" t="s">
        <v>53</v>
      </c>
      <c r="Q6968" t="s">
        <v>53</v>
      </c>
    </row>
    <row r="6969" spans="1:17" x14ac:dyDescent="0.2">
      <c r="A6969" s="30" t="str">
        <f>IF(C6969&amp;G6969&amp;D6969&lt;&gt;'Funnel setup'!$K$3&amp;'Funnel setup'!$K$4&amp;'Funnel setup'!$K$5,".",IF(A6968=".",1,A6968+1))</f>
        <v>.</v>
      </c>
      <c r="B6969" s="431" t="str">
        <f t="shared" si="108"/>
        <v>Varicose VeinProviderNORTHERN DEVON HEALTHCARE NHS TRUST (RBZ)Aberdeen Varicose Vein Questionnaire</v>
      </c>
      <c r="C6969" t="s">
        <v>17</v>
      </c>
      <c r="D6969" t="s">
        <v>1</v>
      </c>
      <c r="E6969" t="s">
        <v>3678</v>
      </c>
      <c r="F6969" t="s">
        <v>3679</v>
      </c>
      <c r="G6969" t="s">
        <v>0</v>
      </c>
      <c r="H6969">
        <v>11</v>
      </c>
      <c r="I6969">
        <v>18.648</v>
      </c>
      <c r="J6969">
        <v>13.711</v>
      </c>
      <c r="K6969">
        <v>-4.9370000000000003</v>
      </c>
      <c r="L6969">
        <v>9</v>
      </c>
      <c r="M6969">
        <v>0</v>
      </c>
      <c r="N6969">
        <v>2</v>
      </c>
      <c r="O6969" t="s">
        <v>53</v>
      </c>
      <c r="P6969" t="s">
        <v>53</v>
      </c>
      <c r="Q6969" t="s">
        <v>53</v>
      </c>
    </row>
    <row r="6970" spans="1:17" x14ac:dyDescent="0.2">
      <c r="A6970" s="30" t="str">
        <f>IF(C6970&amp;G6970&amp;D6970&lt;&gt;'Funnel setup'!$K$3&amp;'Funnel setup'!$K$4&amp;'Funnel setup'!$K$5,".",IF(A6969=".",1,A6969+1))</f>
        <v>.</v>
      </c>
      <c r="B6970" s="431" t="str">
        <f t="shared" si="108"/>
        <v>Varicose VeinProviderNORTHERN LINCOLNSHIRE AND GOOLE NHS FOUNDATION TRUST (RJL)Aberdeen Varicose Vein Questionnaire</v>
      </c>
      <c r="C6970" t="s">
        <v>17</v>
      </c>
      <c r="D6970" t="s">
        <v>1</v>
      </c>
      <c r="E6970" t="s">
        <v>3681</v>
      </c>
      <c r="F6970" t="s">
        <v>3682</v>
      </c>
      <c r="G6970" t="s">
        <v>0</v>
      </c>
      <c r="H6970">
        <v>6</v>
      </c>
      <c r="I6970">
        <v>19.908999999999999</v>
      </c>
      <c r="J6970">
        <v>10.476000000000001</v>
      </c>
      <c r="K6970">
        <v>-9.4329999999999998</v>
      </c>
      <c r="L6970">
        <v>5</v>
      </c>
      <c r="M6970">
        <v>0</v>
      </c>
      <c r="N6970">
        <v>1</v>
      </c>
      <c r="O6970" t="s">
        <v>53</v>
      </c>
      <c r="P6970" t="s">
        <v>53</v>
      </c>
      <c r="Q6970" t="s">
        <v>53</v>
      </c>
    </row>
    <row r="6971" spans="1:17" x14ac:dyDescent="0.2">
      <c r="A6971" s="30" t="str">
        <f>IF(C6971&amp;G6971&amp;D6971&lt;&gt;'Funnel setup'!$K$3&amp;'Funnel setup'!$K$4&amp;'Funnel setup'!$K$5,".",IF(A6970=".",1,A6970+1))</f>
        <v>.</v>
      </c>
      <c r="B6971" s="431" t="str">
        <f t="shared" si="108"/>
        <v>Varicose VeinProviderOAKS HOSPITAL (NVC13)Aberdeen Varicose Vein Questionnaire</v>
      </c>
      <c r="C6971" t="s">
        <v>17</v>
      </c>
      <c r="D6971" t="s">
        <v>1</v>
      </c>
      <c r="E6971" t="s">
        <v>3270</v>
      </c>
      <c r="F6971" t="s">
        <v>3271</v>
      </c>
      <c r="G6971" t="s">
        <v>0</v>
      </c>
      <c r="H6971" t="s">
        <v>53</v>
      </c>
      <c r="I6971" t="s">
        <v>53</v>
      </c>
      <c r="J6971" t="s">
        <v>53</v>
      </c>
      <c r="K6971" t="s">
        <v>53</v>
      </c>
      <c r="L6971" t="s">
        <v>53</v>
      </c>
      <c r="M6971" t="s">
        <v>53</v>
      </c>
      <c r="N6971" t="s">
        <v>53</v>
      </c>
      <c r="O6971" t="s">
        <v>53</v>
      </c>
      <c r="P6971" t="s">
        <v>53</v>
      </c>
      <c r="Q6971" t="s">
        <v>53</v>
      </c>
    </row>
    <row r="6972" spans="1:17" x14ac:dyDescent="0.2">
      <c r="A6972" s="30" t="str">
        <f>IF(C6972&amp;G6972&amp;D6972&lt;&gt;'Funnel setup'!$K$3&amp;'Funnel setup'!$K$4&amp;'Funnel setup'!$K$5,".",IF(A6971=".",1,A6971+1))</f>
        <v>.</v>
      </c>
      <c r="B6972" s="431" t="str">
        <f t="shared" si="108"/>
        <v>Varicose VeinProviderOXFORD UNIVERSITY HOSPITALS NHS FOUNDATION TRUST (RTH)Aberdeen Varicose Vein Questionnaire</v>
      </c>
      <c r="C6972" t="s">
        <v>17</v>
      </c>
      <c r="D6972" t="s">
        <v>1</v>
      </c>
      <c r="E6972" t="s">
        <v>3278</v>
      </c>
      <c r="F6972" t="s">
        <v>6578</v>
      </c>
      <c r="G6972" t="s">
        <v>0</v>
      </c>
      <c r="H6972">
        <v>36</v>
      </c>
      <c r="I6972">
        <v>24.981000000000002</v>
      </c>
      <c r="J6972">
        <v>13.124000000000001</v>
      </c>
      <c r="K6972">
        <v>-11.856999999999999</v>
      </c>
      <c r="L6972">
        <v>31</v>
      </c>
      <c r="M6972">
        <v>0</v>
      </c>
      <c r="N6972">
        <v>5</v>
      </c>
      <c r="O6972">
        <v>14.856</v>
      </c>
      <c r="P6972">
        <v>-6.0667128510000001</v>
      </c>
      <c r="Q6972">
        <v>20.184999999999999</v>
      </c>
    </row>
    <row r="6973" spans="1:17" x14ac:dyDescent="0.2">
      <c r="A6973" s="30" t="str">
        <f>IF(C6973&amp;G6973&amp;D6973&lt;&gt;'Funnel setup'!$K$3&amp;'Funnel setup'!$K$4&amp;'Funnel setup'!$K$5,".",IF(A6972=".",1,A6972+1))</f>
        <v>.</v>
      </c>
      <c r="B6973" s="431" t="str">
        <f t="shared" si="108"/>
        <v>Varicose VeinProviderPENNINE ACUTE HOSPITALS NHS TRUST (RW6)Aberdeen Varicose Vein Questionnaire</v>
      </c>
      <c r="C6973" t="s">
        <v>17</v>
      </c>
      <c r="D6973" t="s">
        <v>1</v>
      </c>
      <c r="E6973" t="s">
        <v>3216</v>
      </c>
      <c r="F6973" t="s">
        <v>3217</v>
      </c>
      <c r="G6973" t="s">
        <v>0</v>
      </c>
      <c r="H6973">
        <v>12</v>
      </c>
      <c r="I6973">
        <v>24.762</v>
      </c>
      <c r="J6973">
        <v>13.856999999999999</v>
      </c>
      <c r="K6973">
        <v>-10.904999999999999</v>
      </c>
      <c r="L6973">
        <v>11</v>
      </c>
      <c r="M6973">
        <v>0</v>
      </c>
      <c r="N6973">
        <v>1</v>
      </c>
      <c r="O6973" t="s">
        <v>53</v>
      </c>
      <c r="P6973" t="s">
        <v>53</v>
      </c>
      <c r="Q6973" t="s">
        <v>53</v>
      </c>
    </row>
    <row r="6974" spans="1:17" x14ac:dyDescent="0.2">
      <c r="A6974" s="30" t="str">
        <f>IF(C6974&amp;G6974&amp;D6974&lt;&gt;'Funnel setup'!$K$3&amp;'Funnel setup'!$K$4&amp;'Funnel setup'!$K$5,".",IF(A6973=".",1,A6973+1))</f>
        <v>.</v>
      </c>
      <c r="B6974" s="431" t="str">
        <f t="shared" si="108"/>
        <v>Varicose VeinProviderPETERBOROUGH AND STAMFORD HOSPITALS NHS FOUNDATION TRUST (RGN)Aberdeen Varicose Vein Questionnaire</v>
      </c>
      <c r="C6974" t="s">
        <v>17</v>
      </c>
      <c r="D6974" t="s">
        <v>1</v>
      </c>
      <c r="E6974" t="s">
        <v>3219</v>
      </c>
      <c r="F6974" t="s">
        <v>3220</v>
      </c>
      <c r="G6974" t="s">
        <v>0</v>
      </c>
      <c r="H6974">
        <v>15</v>
      </c>
      <c r="I6974">
        <v>25.027000000000001</v>
      </c>
      <c r="J6974">
        <v>10.256</v>
      </c>
      <c r="K6974">
        <v>-14.771000000000001</v>
      </c>
      <c r="L6974">
        <v>14</v>
      </c>
      <c r="M6974">
        <v>0</v>
      </c>
      <c r="N6974">
        <v>1</v>
      </c>
      <c r="O6974" t="s">
        <v>53</v>
      </c>
      <c r="P6974" t="s">
        <v>53</v>
      </c>
      <c r="Q6974" t="s">
        <v>53</v>
      </c>
    </row>
    <row r="6975" spans="1:17" x14ac:dyDescent="0.2">
      <c r="A6975" s="30" t="str">
        <f>IF(C6975&amp;G6975&amp;D6975&lt;&gt;'Funnel setup'!$K$3&amp;'Funnel setup'!$K$4&amp;'Funnel setup'!$K$5,".",IF(A6974=".",1,A6974+1))</f>
        <v>.</v>
      </c>
      <c r="B6975" s="431" t="str">
        <f t="shared" si="108"/>
        <v>Varicose VeinProviderPINEHILL HOSPITAL (NVC15)Aberdeen Varicose Vein Questionnaire</v>
      </c>
      <c r="C6975" t="s">
        <v>17</v>
      </c>
      <c r="D6975" t="s">
        <v>1</v>
      </c>
      <c r="E6975" t="s">
        <v>3222</v>
      </c>
      <c r="F6975" t="s">
        <v>3223</v>
      </c>
      <c r="G6975" t="s">
        <v>0</v>
      </c>
      <c r="H6975" t="s">
        <v>53</v>
      </c>
      <c r="I6975" t="s">
        <v>53</v>
      </c>
      <c r="J6975" t="s">
        <v>53</v>
      </c>
      <c r="K6975" t="s">
        <v>53</v>
      </c>
      <c r="L6975" t="s">
        <v>53</v>
      </c>
      <c r="M6975" t="s">
        <v>53</v>
      </c>
      <c r="N6975" t="s">
        <v>53</v>
      </c>
      <c r="O6975" t="s">
        <v>53</v>
      </c>
      <c r="P6975" t="s">
        <v>53</v>
      </c>
      <c r="Q6975" t="s">
        <v>53</v>
      </c>
    </row>
    <row r="6976" spans="1:17" x14ac:dyDescent="0.2">
      <c r="A6976" s="30" t="str">
        <f>IF(C6976&amp;G6976&amp;D6976&lt;&gt;'Funnel setup'!$K$3&amp;'Funnel setup'!$K$4&amp;'Funnel setup'!$K$5,".",IF(A6975=".",1,A6975+1))</f>
        <v>.</v>
      </c>
      <c r="B6976" s="431" t="str">
        <f t="shared" si="108"/>
        <v>Varicose VeinProviderPLYMOUTH HOSPITALS NHS TRUST (RK9)Aberdeen Varicose Vein Questionnaire</v>
      </c>
      <c r="C6976" t="s">
        <v>17</v>
      </c>
      <c r="D6976" t="s">
        <v>1</v>
      </c>
      <c r="E6976" t="s">
        <v>3225</v>
      </c>
      <c r="F6976" t="s">
        <v>3226</v>
      </c>
      <c r="G6976" t="s">
        <v>0</v>
      </c>
      <c r="H6976">
        <v>57</v>
      </c>
      <c r="I6976">
        <v>25.282</v>
      </c>
      <c r="J6976">
        <v>18.148</v>
      </c>
      <c r="K6976">
        <v>-7.1340000000000003</v>
      </c>
      <c r="L6976">
        <v>47</v>
      </c>
      <c r="M6976">
        <v>0</v>
      </c>
      <c r="N6976">
        <v>10</v>
      </c>
      <c r="O6976">
        <v>20.643000000000001</v>
      </c>
      <c r="P6976">
        <v>-0.27964866100000002</v>
      </c>
      <c r="Q6976">
        <v>18.600999999999999</v>
      </c>
    </row>
    <row r="6977" spans="1:17" x14ac:dyDescent="0.2">
      <c r="A6977" s="30" t="str">
        <f>IF(C6977&amp;G6977&amp;D6977&lt;&gt;'Funnel setup'!$K$3&amp;'Funnel setup'!$K$4&amp;'Funnel setup'!$K$5,".",IF(A6976=".",1,A6976+1))</f>
        <v>.</v>
      </c>
      <c r="B6977" s="431" t="str">
        <f t="shared" si="108"/>
        <v>Varicose VeinProviderPORTSMOUTH HOSPITALS NHS TRUST (RHU)Aberdeen Varicose Vein Questionnaire</v>
      </c>
      <c r="C6977" t="s">
        <v>17</v>
      </c>
      <c r="D6977" t="s">
        <v>1</v>
      </c>
      <c r="E6977" t="s">
        <v>3234</v>
      </c>
      <c r="F6977" t="s">
        <v>3235</v>
      </c>
      <c r="G6977" t="s">
        <v>0</v>
      </c>
      <c r="H6977" t="s">
        <v>53</v>
      </c>
      <c r="I6977" t="s">
        <v>53</v>
      </c>
      <c r="J6977" t="s">
        <v>53</v>
      </c>
      <c r="K6977" t="s">
        <v>53</v>
      </c>
      <c r="L6977" t="s">
        <v>53</v>
      </c>
      <c r="M6977" t="s">
        <v>53</v>
      </c>
      <c r="N6977" t="s">
        <v>53</v>
      </c>
      <c r="O6977" t="s">
        <v>53</v>
      </c>
      <c r="P6977" t="s">
        <v>53</v>
      </c>
      <c r="Q6977" t="s">
        <v>53</v>
      </c>
    </row>
    <row r="6978" spans="1:17" x14ac:dyDescent="0.2">
      <c r="A6978" s="30" t="str">
        <f>IF(C6978&amp;G6978&amp;D6978&lt;&gt;'Funnel setup'!$K$3&amp;'Funnel setup'!$K$4&amp;'Funnel setup'!$K$5,".",IF(A6977=".",1,A6977+1))</f>
        <v>.</v>
      </c>
      <c r="B6978" s="431" t="str">
        <f t="shared" si="108"/>
        <v>Varicose VeinProviderROYAL BERKSHIRE NHS FOUNDATION TRUST (RHW)Aberdeen Varicose Vein Questionnaire</v>
      </c>
      <c r="C6978" t="s">
        <v>17</v>
      </c>
      <c r="D6978" t="s">
        <v>1</v>
      </c>
      <c r="E6978" t="s">
        <v>3832</v>
      </c>
      <c r="F6978" t="s">
        <v>3833</v>
      </c>
      <c r="G6978" t="s">
        <v>0</v>
      </c>
      <c r="H6978">
        <v>6</v>
      </c>
      <c r="I6978">
        <v>34.167999999999999</v>
      </c>
      <c r="J6978">
        <v>15.747</v>
      </c>
      <c r="K6978">
        <v>-18.420999999999999</v>
      </c>
      <c r="L6978">
        <v>6</v>
      </c>
      <c r="M6978">
        <v>0</v>
      </c>
      <c r="N6978">
        <v>0</v>
      </c>
      <c r="O6978" t="s">
        <v>53</v>
      </c>
      <c r="P6978" t="s">
        <v>53</v>
      </c>
      <c r="Q6978" t="s">
        <v>53</v>
      </c>
    </row>
    <row r="6979" spans="1:17" x14ac:dyDescent="0.2">
      <c r="A6979" s="30" t="str">
        <f>IF(C6979&amp;G6979&amp;D6979&lt;&gt;'Funnel setup'!$K$3&amp;'Funnel setup'!$K$4&amp;'Funnel setup'!$K$5,".",IF(A6978=".",1,A6978+1))</f>
        <v>.</v>
      </c>
      <c r="B6979" s="431" t="str">
        <f t="shared" ref="B6979:B7042" si="109">C6979&amp;D6979&amp;F6979&amp;G6979</f>
        <v>Varicose VeinProviderROYAL CORNWALL HOSPITALS NHS TRUST (REF)Aberdeen Varicose Vein Questionnaire</v>
      </c>
      <c r="C6979" t="s">
        <v>17</v>
      </c>
      <c r="D6979" t="s">
        <v>1</v>
      </c>
      <c r="E6979" t="s">
        <v>3745</v>
      </c>
      <c r="F6979" t="s">
        <v>3746</v>
      </c>
      <c r="G6979" t="s">
        <v>0</v>
      </c>
      <c r="H6979">
        <v>87</v>
      </c>
      <c r="I6979">
        <v>21.495999999999999</v>
      </c>
      <c r="J6979">
        <v>13.026</v>
      </c>
      <c r="K6979">
        <v>-8.4700000000000006</v>
      </c>
      <c r="L6979">
        <v>73</v>
      </c>
      <c r="M6979">
        <v>0</v>
      </c>
      <c r="N6979">
        <v>14</v>
      </c>
      <c r="O6979">
        <v>13.577</v>
      </c>
      <c r="P6979">
        <v>-7.3458209520000004</v>
      </c>
      <c r="Q6979">
        <v>17.582000000000001</v>
      </c>
    </row>
    <row r="6980" spans="1:17" x14ac:dyDescent="0.2">
      <c r="A6980" s="30" t="str">
        <f>IF(C6980&amp;G6980&amp;D6980&lt;&gt;'Funnel setup'!$K$3&amp;'Funnel setup'!$K$4&amp;'Funnel setup'!$K$5,".",IF(A6979=".",1,A6979+1))</f>
        <v>.</v>
      </c>
      <c r="B6980" s="431" t="str">
        <f t="shared" si="109"/>
        <v>Varicose VeinProviderROYAL DEVON AND EXETER NHS FOUNDATION TRUST (RH8)Aberdeen Varicose Vein Questionnaire</v>
      </c>
      <c r="C6980" t="s">
        <v>17</v>
      </c>
      <c r="D6980" t="s">
        <v>1</v>
      </c>
      <c r="E6980" t="s">
        <v>3442</v>
      </c>
      <c r="F6980" t="s">
        <v>3443</v>
      </c>
      <c r="G6980" t="s">
        <v>0</v>
      </c>
      <c r="H6980">
        <v>50</v>
      </c>
      <c r="I6980">
        <v>24.105</v>
      </c>
      <c r="J6980">
        <v>11.683</v>
      </c>
      <c r="K6980">
        <v>-12.422000000000001</v>
      </c>
      <c r="L6980">
        <v>46</v>
      </c>
      <c r="M6980">
        <v>0</v>
      </c>
      <c r="N6980">
        <v>4</v>
      </c>
      <c r="O6980">
        <v>13.3</v>
      </c>
      <c r="P6980">
        <v>-7.6223716699999997</v>
      </c>
      <c r="Q6980">
        <v>14.603</v>
      </c>
    </row>
    <row r="6981" spans="1:17" x14ac:dyDescent="0.2">
      <c r="A6981" s="30" t="str">
        <f>IF(C6981&amp;G6981&amp;D6981&lt;&gt;'Funnel setup'!$K$3&amp;'Funnel setup'!$K$4&amp;'Funnel setup'!$K$5,".",IF(A6980=".",1,A6980+1))</f>
        <v>.</v>
      </c>
      <c r="B6981" s="431" t="str">
        <f t="shared" si="109"/>
        <v>Varicose VeinProviderROYAL FREE LONDON NHS FOUNDATION TRUST (RAL)Aberdeen Varicose Vein Questionnaire</v>
      </c>
      <c r="C6981" t="s">
        <v>17</v>
      </c>
      <c r="D6981" t="s">
        <v>1</v>
      </c>
      <c r="E6981" t="s">
        <v>3445</v>
      </c>
      <c r="F6981" t="s">
        <v>3446</v>
      </c>
      <c r="G6981" t="s">
        <v>0</v>
      </c>
      <c r="H6981">
        <v>28</v>
      </c>
      <c r="I6981">
        <v>22.952999999999999</v>
      </c>
      <c r="J6981">
        <v>14.352</v>
      </c>
      <c r="K6981">
        <v>-8.6010000000000009</v>
      </c>
      <c r="L6981">
        <v>25</v>
      </c>
      <c r="M6981">
        <v>0</v>
      </c>
      <c r="N6981">
        <v>3</v>
      </c>
      <c r="O6981" t="s">
        <v>53</v>
      </c>
      <c r="P6981" t="s">
        <v>53</v>
      </c>
      <c r="Q6981" t="s">
        <v>53</v>
      </c>
    </row>
    <row r="6982" spans="1:17" x14ac:dyDescent="0.2">
      <c r="A6982" s="30" t="str">
        <f>IF(C6982&amp;G6982&amp;D6982&lt;&gt;'Funnel setup'!$K$3&amp;'Funnel setup'!$K$4&amp;'Funnel setup'!$K$5,".",IF(A6981=".",1,A6981+1))</f>
        <v>.</v>
      </c>
      <c r="B6982" s="431" t="str">
        <f t="shared" si="109"/>
        <v>Varicose VeinProviderROYAL UNITED HOSPITALS BATH NHS FOUNDATION TRUST (RD1)Aberdeen Varicose Vein Questionnaire</v>
      </c>
      <c r="C6982" t="s">
        <v>17</v>
      </c>
      <c r="D6982" t="s">
        <v>1</v>
      </c>
      <c r="E6982" t="s">
        <v>3454</v>
      </c>
      <c r="F6982" t="s">
        <v>3455</v>
      </c>
      <c r="G6982" t="s">
        <v>0</v>
      </c>
      <c r="H6982">
        <v>16</v>
      </c>
      <c r="I6982">
        <v>18.587</v>
      </c>
      <c r="J6982">
        <v>11.305999999999999</v>
      </c>
      <c r="K6982">
        <v>-7.2809999999999997</v>
      </c>
      <c r="L6982">
        <v>14</v>
      </c>
      <c r="M6982">
        <v>0</v>
      </c>
      <c r="N6982">
        <v>2</v>
      </c>
      <c r="O6982" t="s">
        <v>53</v>
      </c>
      <c r="P6982" t="s">
        <v>53</v>
      </c>
      <c r="Q6982" t="s">
        <v>53</v>
      </c>
    </row>
    <row r="6983" spans="1:17" x14ac:dyDescent="0.2">
      <c r="A6983" s="30" t="str">
        <f>IF(C6983&amp;G6983&amp;D6983&lt;&gt;'Funnel setup'!$K$3&amp;'Funnel setup'!$K$4&amp;'Funnel setup'!$K$5,".",IF(A6982=".",1,A6982+1))</f>
        <v>.</v>
      </c>
      <c r="B6983" s="431" t="str">
        <f t="shared" si="109"/>
        <v>Varicose VeinProviderSALISBURY NHS FOUNDATION TRUST (RNZ)Aberdeen Varicose Vein Questionnaire</v>
      </c>
      <c r="C6983" t="s">
        <v>17</v>
      </c>
      <c r="D6983" t="s">
        <v>1</v>
      </c>
      <c r="E6983" t="s">
        <v>3460</v>
      </c>
      <c r="F6983" t="s">
        <v>3461</v>
      </c>
      <c r="G6983" t="s">
        <v>0</v>
      </c>
      <c r="H6983">
        <v>42</v>
      </c>
      <c r="I6983">
        <v>26.541</v>
      </c>
      <c r="J6983">
        <v>17.231000000000002</v>
      </c>
      <c r="K6983">
        <v>-9.31</v>
      </c>
      <c r="L6983">
        <v>34</v>
      </c>
      <c r="M6983">
        <v>0</v>
      </c>
      <c r="N6983">
        <v>8</v>
      </c>
      <c r="O6983">
        <v>20.064</v>
      </c>
      <c r="P6983">
        <v>-0.85874509200000004</v>
      </c>
      <c r="Q6983">
        <v>21.111000000000001</v>
      </c>
    </row>
    <row r="6984" spans="1:17" x14ac:dyDescent="0.2">
      <c r="A6984" s="30" t="str">
        <f>IF(C6984&amp;G6984&amp;D6984&lt;&gt;'Funnel setup'!$K$3&amp;'Funnel setup'!$K$4&amp;'Funnel setup'!$K$5,".",IF(A6983=".",1,A6983+1))</f>
        <v>.</v>
      </c>
      <c r="B6984" s="431" t="str">
        <f t="shared" si="109"/>
        <v>Varicose VeinProviderSANDWELL AND WEST BIRMINGHAM HOSPITALS NHS TRUST (RXK)Aberdeen Varicose Vein Questionnaire</v>
      </c>
      <c r="C6984" t="s">
        <v>17</v>
      </c>
      <c r="D6984" t="s">
        <v>1</v>
      </c>
      <c r="E6984" t="s">
        <v>3463</v>
      </c>
      <c r="F6984" t="s">
        <v>3464</v>
      </c>
      <c r="G6984" t="s">
        <v>0</v>
      </c>
      <c r="H6984">
        <v>114</v>
      </c>
      <c r="I6984">
        <v>21.262</v>
      </c>
      <c r="J6984">
        <v>13.802</v>
      </c>
      <c r="K6984">
        <v>-7.46</v>
      </c>
      <c r="L6984">
        <v>89</v>
      </c>
      <c r="M6984">
        <v>0</v>
      </c>
      <c r="N6984">
        <v>25</v>
      </c>
      <c r="O6984">
        <v>14.475</v>
      </c>
      <c r="P6984">
        <v>-6.4475459209999997</v>
      </c>
      <c r="Q6984">
        <v>16.984000000000002</v>
      </c>
    </row>
    <row r="6985" spans="1:17" x14ac:dyDescent="0.2">
      <c r="A6985" s="30" t="str">
        <f>IF(C6985&amp;G6985&amp;D6985&lt;&gt;'Funnel setup'!$K$3&amp;'Funnel setup'!$K$4&amp;'Funnel setup'!$K$5,".",IF(A6984=".",1,A6984+1))</f>
        <v>.</v>
      </c>
      <c r="B6985" s="431" t="str">
        <f t="shared" si="109"/>
        <v>Varicose VeinProviderSHEFFIELD TEACHING HOSPITALS NHS FOUNDATION TRUST (RHQ)Aberdeen Varicose Vein Questionnaire</v>
      </c>
      <c r="C6985" t="s">
        <v>17</v>
      </c>
      <c r="D6985" t="s">
        <v>1</v>
      </c>
      <c r="E6985" t="s">
        <v>3466</v>
      </c>
      <c r="F6985" t="s">
        <v>3467</v>
      </c>
      <c r="G6985" t="s">
        <v>0</v>
      </c>
      <c r="H6985">
        <v>159</v>
      </c>
      <c r="I6985">
        <v>20.53</v>
      </c>
      <c r="J6985">
        <v>13.84</v>
      </c>
      <c r="K6985">
        <v>-6.6909999999999998</v>
      </c>
      <c r="L6985">
        <v>120</v>
      </c>
      <c r="M6985">
        <v>0</v>
      </c>
      <c r="N6985">
        <v>39</v>
      </c>
      <c r="O6985">
        <v>13.784000000000001</v>
      </c>
      <c r="P6985">
        <v>-7.1380294260000001</v>
      </c>
      <c r="Q6985">
        <v>16.596</v>
      </c>
    </row>
    <row r="6986" spans="1:17" x14ac:dyDescent="0.2">
      <c r="A6986" s="30" t="str">
        <f>IF(C6986&amp;G6986&amp;D6986&lt;&gt;'Funnel setup'!$K$3&amp;'Funnel setup'!$K$4&amp;'Funnel setup'!$K$5,".",IF(A6985=".",1,A6985+1))</f>
        <v>.</v>
      </c>
      <c r="B6986" s="431" t="str">
        <f t="shared" si="109"/>
        <v>Varicose VeinProviderSHERWOOD FOREST HOSPITALS NHS FOUNDATION TRUST (RK5)Aberdeen Varicose Vein Questionnaire</v>
      </c>
      <c r="C6986" t="s">
        <v>17</v>
      </c>
      <c r="D6986" t="s">
        <v>1</v>
      </c>
      <c r="E6986" t="s">
        <v>3475</v>
      </c>
      <c r="F6986" t="s">
        <v>3476</v>
      </c>
      <c r="G6986" t="s">
        <v>0</v>
      </c>
      <c r="H6986">
        <v>75</v>
      </c>
      <c r="I6986">
        <v>24.849</v>
      </c>
      <c r="J6986">
        <v>14.185</v>
      </c>
      <c r="K6986">
        <v>-10.663</v>
      </c>
      <c r="L6986">
        <v>67</v>
      </c>
      <c r="M6986">
        <v>0</v>
      </c>
      <c r="N6986">
        <v>8</v>
      </c>
      <c r="O6986">
        <v>16.268000000000001</v>
      </c>
      <c r="P6986">
        <v>-4.6540627859999999</v>
      </c>
      <c r="Q6986">
        <v>17.003</v>
      </c>
    </row>
    <row r="6987" spans="1:17" x14ac:dyDescent="0.2">
      <c r="A6987" s="30" t="str">
        <f>IF(C6987&amp;G6987&amp;D6987&lt;&gt;'Funnel setup'!$K$3&amp;'Funnel setup'!$K$4&amp;'Funnel setup'!$K$5,".",IF(A6986=".",1,A6986+1))</f>
        <v>.</v>
      </c>
      <c r="B6987" s="431" t="str">
        <f t="shared" si="109"/>
        <v>Varicose VeinProviderSHREWSBURY AND TELFORD HOSPITAL NHS TRUST (RXW)Aberdeen Varicose Vein Questionnaire</v>
      </c>
      <c r="C6987" t="s">
        <v>17</v>
      </c>
      <c r="D6987" t="s">
        <v>1</v>
      </c>
      <c r="E6987" t="s">
        <v>3478</v>
      </c>
      <c r="F6987" t="s">
        <v>3479</v>
      </c>
      <c r="G6987" t="s">
        <v>0</v>
      </c>
      <c r="H6987">
        <v>32</v>
      </c>
      <c r="I6987">
        <v>24.064</v>
      </c>
      <c r="J6987">
        <v>11.273999999999999</v>
      </c>
      <c r="K6987">
        <v>-12.79</v>
      </c>
      <c r="L6987">
        <v>30</v>
      </c>
      <c r="M6987">
        <v>0</v>
      </c>
      <c r="N6987">
        <v>2</v>
      </c>
      <c r="O6987">
        <v>12.593</v>
      </c>
      <c r="P6987">
        <v>-8.328953641</v>
      </c>
      <c r="Q6987">
        <v>14.384</v>
      </c>
    </row>
    <row r="6988" spans="1:17" x14ac:dyDescent="0.2">
      <c r="A6988" s="30" t="str">
        <f>IF(C6988&amp;G6988&amp;D6988&lt;&gt;'Funnel setup'!$K$3&amp;'Funnel setup'!$K$4&amp;'Funnel setup'!$K$5,".",IF(A6987=".",1,A6987+1))</f>
        <v>.</v>
      </c>
      <c r="B6988" s="431" t="str">
        <f t="shared" si="109"/>
        <v>Varicose VeinProviderSOUTH TEES HOSPITALS NHS FOUNDATION TRUST (RTR)Aberdeen Varicose Vein Questionnaire</v>
      </c>
      <c r="C6988" t="s">
        <v>17</v>
      </c>
      <c r="D6988" t="s">
        <v>1</v>
      </c>
      <c r="E6988" t="s">
        <v>3482</v>
      </c>
      <c r="F6988" t="s">
        <v>3483</v>
      </c>
      <c r="G6988" t="s">
        <v>0</v>
      </c>
      <c r="H6988">
        <v>28</v>
      </c>
      <c r="I6988">
        <v>21.742999999999999</v>
      </c>
      <c r="J6988">
        <v>14.43</v>
      </c>
      <c r="K6988">
        <v>-7.3129999999999997</v>
      </c>
      <c r="L6988">
        <v>24</v>
      </c>
      <c r="M6988">
        <v>0</v>
      </c>
      <c r="N6988">
        <v>4</v>
      </c>
      <c r="O6988" t="s">
        <v>53</v>
      </c>
      <c r="P6988" t="s">
        <v>53</v>
      </c>
      <c r="Q6988" t="s">
        <v>53</v>
      </c>
    </row>
    <row r="6989" spans="1:17" x14ac:dyDescent="0.2">
      <c r="A6989" s="30" t="str">
        <f>IF(C6989&amp;G6989&amp;D6989&lt;&gt;'Funnel setup'!$K$3&amp;'Funnel setup'!$K$4&amp;'Funnel setup'!$K$5,".",IF(A6988=".",1,A6988+1))</f>
        <v>.</v>
      </c>
      <c r="B6989" s="431" t="str">
        <f t="shared" si="109"/>
        <v>Varicose VeinProviderSOUTH WARWICKSHIRE NHS FOUNDATION TRUST (RJC)Aberdeen Varicose Vein Questionnaire</v>
      </c>
      <c r="C6989" t="s">
        <v>17</v>
      </c>
      <c r="D6989" t="s">
        <v>1</v>
      </c>
      <c r="E6989" t="s">
        <v>3421</v>
      </c>
      <c r="F6989" t="s">
        <v>3422</v>
      </c>
      <c r="G6989" t="s">
        <v>0</v>
      </c>
      <c r="H6989">
        <v>29</v>
      </c>
      <c r="I6989">
        <v>21.286999999999999</v>
      </c>
      <c r="J6989">
        <v>16.396000000000001</v>
      </c>
      <c r="K6989">
        <v>-4.8920000000000003</v>
      </c>
      <c r="L6989">
        <v>23</v>
      </c>
      <c r="M6989">
        <v>0</v>
      </c>
      <c r="N6989">
        <v>6</v>
      </c>
      <c r="O6989" t="s">
        <v>53</v>
      </c>
      <c r="P6989" t="s">
        <v>53</v>
      </c>
      <c r="Q6989" t="s">
        <v>53</v>
      </c>
    </row>
    <row r="6990" spans="1:17" x14ac:dyDescent="0.2">
      <c r="A6990" s="30" t="str">
        <f>IF(C6990&amp;G6990&amp;D6990&lt;&gt;'Funnel setup'!$K$3&amp;'Funnel setup'!$K$4&amp;'Funnel setup'!$K$5,".",IF(A6989=".",1,A6989+1))</f>
        <v>.</v>
      </c>
      <c r="B6990" s="431" t="str">
        <f t="shared" si="109"/>
        <v>Varicose VeinProviderSOUTHAMPTON NHS TREATMENT CENTRE (NTP11)Aberdeen Varicose Vein Questionnaire</v>
      </c>
      <c r="C6990" t="s">
        <v>17</v>
      </c>
      <c r="D6990" t="s">
        <v>1</v>
      </c>
      <c r="E6990" t="s">
        <v>3424</v>
      </c>
      <c r="F6990" t="s">
        <v>3425</v>
      </c>
      <c r="G6990" t="s">
        <v>0</v>
      </c>
      <c r="H6990">
        <v>13</v>
      </c>
      <c r="I6990">
        <v>19.893000000000001</v>
      </c>
      <c r="J6990">
        <v>12.728999999999999</v>
      </c>
      <c r="K6990">
        <v>-7.1639999999999997</v>
      </c>
      <c r="L6990">
        <v>7</v>
      </c>
      <c r="M6990">
        <v>0</v>
      </c>
      <c r="N6990">
        <v>6</v>
      </c>
      <c r="O6990" t="s">
        <v>53</v>
      </c>
      <c r="P6990" t="s">
        <v>53</v>
      </c>
      <c r="Q6990" t="s">
        <v>53</v>
      </c>
    </row>
    <row r="6991" spans="1:17" x14ac:dyDescent="0.2">
      <c r="A6991" s="30" t="str">
        <f>IF(C6991&amp;G6991&amp;D6991&lt;&gt;'Funnel setup'!$K$3&amp;'Funnel setup'!$K$4&amp;'Funnel setup'!$K$5,".",IF(A6990=".",1,A6990+1))</f>
        <v>.</v>
      </c>
      <c r="B6991" s="431" t="str">
        <f t="shared" si="109"/>
        <v>Varicose VeinProviderSOUTHEND UNIVERSITY HOSPITAL NHS FOUNDATION TRUST (RAJ)Aberdeen Varicose Vein Questionnaire</v>
      </c>
      <c r="C6991" t="s">
        <v>17</v>
      </c>
      <c r="D6991" t="s">
        <v>1</v>
      </c>
      <c r="E6991" t="s">
        <v>3427</v>
      </c>
      <c r="F6991" t="s">
        <v>3428</v>
      </c>
      <c r="G6991" t="s">
        <v>0</v>
      </c>
      <c r="H6991" t="s">
        <v>53</v>
      </c>
      <c r="I6991" t="s">
        <v>53</v>
      </c>
      <c r="J6991" t="s">
        <v>53</v>
      </c>
      <c r="K6991" t="s">
        <v>53</v>
      </c>
      <c r="L6991" t="s">
        <v>53</v>
      </c>
      <c r="M6991" t="s">
        <v>53</v>
      </c>
      <c r="N6991" t="s">
        <v>53</v>
      </c>
      <c r="O6991" t="s">
        <v>53</v>
      </c>
      <c r="P6991" t="s">
        <v>53</v>
      </c>
      <c r="Q6991" t="s">
        <v>53</v>
      </c>
    </row>
    <row r="6992" spans="1:17" x14ac:dyDescent="0.2">
      <c r="A6992" s="30" t="str">
        <f>IF(C6992&amp;G6992&amp;D6992&lt;&gt;'Funnel setup'!$K$3&amp;'Funnel setup'!$K$4&amp;'Funnel setup'!$K$5,".",IF(A6991=".",1,A6991+1))</f>
        <v>.</v>
      </c>
      <c r="B6992" s="431" t="str">
        <f t="shared" si="109"/>
        <v>Varicose VeinProviderSOUTHPORT AND ORMSKIRK HOSPITAL NHS TRUST (RVY)Aberdeen Varicose Vein Questionnaire</v>
      </c>
      <c r="C6992" t="s">
        <v>17</v>
      </c>
      <c r="D6992" t="s">
        <v>1</v>
      </c>
      <c r="E6992" t="s">
        <v>3430</v>
      </c>
      <c r="F6992" t="s">
        <v>3431</v>
      </c>
      <c r="G6992" t="s">
        <v>0</v>
      </c>
      <c r="H6992">
        <v>64</v>
      </c>
      <c r="I6992">
        <v>23.654</v>
      </c>
      <c r="J6992">
        <v>14.348000000000001</v>
      </c>
      <c r="K6992">
        <v>-9.3070000000000004</v>
      </c>
      <c r="L6992">
        <v>53</v>
      </c>
      <c r="M6992">
        <v>0</v>
      </c>
      <c r="N6992">
        <v>11</v>
      </c>
      <c r="O6992">
        <v>15.602</v>
      </c>
      <c r="P6992">
        <v>-5.3203047080000001</v>
      </c>
      <c r="Q6992">
        <v>19.553999999999998</v>
      </c>
    </row>
    <row r="6993" spans="1:17" x14ac:dyDescent="0.2">
      <c r="A6993" s="30" t="str">
        <f>IF(C6993&amp;G6993&amp;D6993&lt;&gt;'Funnel setup'!$K$3&amp;'Funnel setup'!$K$4&amp;'Funnel setup'!$K$5,".",IF(A6992=".",1,A6992+1))</f>
        <v>.</v>
      </c>
      <c r="B6993" s="431" t="str">
        <f t="shared" si="109"/>
        <v>Varicose VeinProviderSPIRE CHESHIRE HOSPITAL (NT324)Aberdeen Varicose Vein Questionnaire</v>
      </c>
      <c r="C6993" t="s">
        <v>17</v>
      </c>
      <c r="D6993" t="s">
        <v>1</v>
      </c>
      <c r="E6993" t="s">
        <v>3439</v>
      </c>
      <c r="F6993" t="s">
        <v>3440</v>
      </c>
      <c r="G6993" t="s">
        <v>0</v>
      </c>
      <c r="H6993">
        <v>6</v>
      </c>
      <c r="I6993">
        <v>13.388999999999999</v>
      </c>
      <c r="J6993">
        <v>3.9780000000000002</v>
      </c>
      <c r="K6993">
        <v>-9.4120000000000008</v>
      </c>
      <c r="L6993">
        <v>6</v>
      </c>
      <c r="M6993">
        <v>0</v>
      </c>
      <c r="N6993">
        <v>0</v>
      </c>
      <c r="O6993" t="s">
        <v>53</v>
      </c>
      <c r="P6993" t="s">
        <v>53</v>
      </c>
      <c r="Q6993" t="s">
        <v>53</v>
      </c>
    </row>
    <row r="6994" spans="1:17" x14ac:dyDescent="0.2">
      <c r="A6994" s="30" t="str">
        <f>IF(C6994&amp;G6994&amp;D6994&lt;&gt;'Funnel setup'!$K$3&amp;'Funnel setup'!$K$4&amp;'Funnel setup'!$K$5,".",IF(A6993=".",1,A6993+1))</f>
        <v>.</v>
      </c>
      <c r="B6994" s="431" t="str">
        <f t="shared" si="109"/>
        <v>Varicose VeinProviderSPIRE ELLAND HOSPITAL (NT348)Aberdeen Varicose Vein Questionnaire</v>
      </c>
      <c r="C6994" t="s">
        <v>17</v>
      </c>
      <c r="D6994" t="s">
        <v>1</v>
      </c>
      <c r="E6994" t="s">
        <v>3418</v>
      </c>
      <c r="F6994" t="s">
        <v>3419</v>
      </c>
      <c r="G6994" t="s">
        <v>0</v>
      </c>
      <c r="H6994">
        <v>14</v>
      </c>
      <c r="I6994">
        <v>19.670999999999999</v>
      </c>
      <c r="J6994">
        <v>8.5640000000000001</v>
      </c>
      <c r="K6994">
        <v>-11.106999999999999</v>
      </c>
      <c r="L6994">
        <v>14</v>
      </c>
      <c r="M6994">
        <v>0</v>
      </c>
      <c r="N6994">
        <v>0</v>
      </c>
      <c r="O6994" t="s">
        <v>53</v>
      </c>
      <c r="P6994" t="s">
        <v>53</v>
      </c>
      <c r="Q6994" t="s">
        <v>53</v>
      </c>
    </row>
    <row r="6995" spans="1:17" x14ac:dyDescent="0.2">
      <c r="A6995" s="30" t="str">
        <f>IF(C6995&amp;G6995&amp;D6995&lt;&gt;'Funnel setup'!$K$3&amp;'Funnel setup'!$K$4&amp;'Funnel setup'!$K$5,".",IF(A6994=".",1,A6994+1))</f>
        <v>.</v>
      </c>
      <c r="B6995" s="431" t="str">
        <f t="shared" si="109"/>
        <v>Varicose VeinProviderSPIRE FYLDE COAST HOSPITAL (NT347)Aberdeen Varicose Vein Questionnaire</v>
      </c>
      <c r="C6995" t="s">
        <v>17</v>
      </c>
      <c r="D6995" t="s">
        <v>1</v>
      </c>
      <c r="E6995" t="s">
        <v>4370</v>
      </c>
      <c r="F6995" t="s">
        <v>4371</v>
      </c>
      <c r="G6995" t="s">
        <v>0</v>
      </c>
      <c r="H6995">
        <v>7</v>
      </c>
      <c r="I6995">
        <v>14.146000000000001</v>
      </c>
      <c r="J6995">
        <v>10.209</v>
      </c>
      <c r="K6995">
        <v>-3.9380000000000002</v>
      </c>
      <c r="L6995">
        <v>6</v>
      </c>
      <c r="M6995">
        <v>0</v>
      </c>
      <c r="N6995">
        <v>1</v>
      </c>
      <c r="O6995" t="s">
        <v>53</v>
      </c>
      <c r="P6995" t="s">
        <v>53</v>
      </c>
      <c r="Q6995" t="s">
        <v>53</v>
      </c>
    </row>
    <row r="6996" spans="1:17" x14ac:dyDescent="0.2">
      <c r="A6996" s="30" t="str">
        <f>IF(C6996&amp;G6996&amp;D6996&lt;&gt;'Funnel setup'!$K$3&amp;'Funnel setup'!$K$4&amp;'Funnel setup'!$K$5,".",IF(A6995=".",1,A6995+1))</f>
        <v>.</v>
      </c>
      <c r="B6996" s="431" t="str">
        <f t="shared" si="109"/>
        <v>Varicose VeinProviderSPIRE LIVERPOOL HOSPITAL (NT337)Aberdeen Varicose Vein Questionnaire</v>
      </c>
      <c r="C6996" t="s">
        <v>17</v>
      </c>
      <c r="D6996" t="s">
        <v>1</v>
      </c>
      <c r="E6996" t="s">
        <v>3927</v>
      </c>
      <c r="F6996" t="s">
        <v>3928</v>
      </c>
      <c r="G6996" t="s">
        <v>0</v>
      </c>
      <c r="H6996" t="s">
        <v>53</v>
      </c>
      <c r="I6996" t="s">
        <v>53</v>
      </c>
      <c r="J6996" t="s">
        <v>53</v>
      </c>
      <c r="K6996" t="s">
        <v>53</v>
      </c>
      <c r="L6996" t="s">
        <v>53</v>
      </c>
      <c r="M6996" t="s">
        <v>53</v>
      </c>
      <c r="N6996" t="s">
        <v>53</v>
      </c>
      <c r="O6996" t="s">
        <v>53</v>
      </c>
      <c r="P6996" t="s">
        <v>53</v>
      </c>
      <c r="Q6996" t="s">
        <v>53</v>
      </c>
    </row>
    <row r="6997" spans="1:17" x14ac:dyDescent="0.2">
      <c r="A6997" s="30" t="str">
        <f>IF(C6997&amp;G6997&amp;D6997&lt;&gt;'Funnel setup'!$K$3&amp;'Funnel setup'!$K$4&amp;'Funnel setup'!$K$5,".",IF(A6996=".",1,A6996+1))</f>
        <v>.</v>
      </c>
      <c r="B6997" s="431" t="str">
        <f t="shared" si="109"/>
        <v>Varicose VeinProviderSPIRE METHLEY PARK HOSPITAL (NT350)Aberdeen Varicose Vein Questionnaire</v>
      </c>
      <c r="C6997" t="s">
        <v>17</v>
      </c>
      <c r="D6997" t="s">
        <v>1</v>
      </c>
      <c r="E6997" t="s">
        <v>3157</v>
      </c>
      <c r="F6997" t="s">
        <v>3158</v>
      </c>
      <c r="G6997" t="s">
        <v>0</v>
      </c>
      <c r="H6997">
        <v>23</v>
      </c>
      <c r="I6997">
        <v>16.675000000000001</v>
      </c>
      <c r="J6997">
        <v>7.702</v>
      </c>
      <c r="K6997">
        <v>-8.9730000000000008</v>
      </c>
      <c r="L6997">
        <v>20</v>
      </c>
      <c r="M6997">
        <v>0</v>
      </c>
      <c r="N6997">
        <v>3</v>
      </c>
      <c r="O6997" t="s">
        <v>53</v>
      </c>
      <c r="P6997" t="s">
        <v>53</v>
      </c>
      <c r="Q6997" t="s">
        <v>53</v>
      </c>
    </row>
    <row r="6998" spans="1:17" x14ac:dyDescent="0.2">
      <c r="A6998" s="30" t="str">
        <f>IF(C6998&amp;G6998&amp;D6998&lt;&gt;'Funnel setup'!$K$3&amp;'Funnel setup'!$K$4&amp;'Funnel setup'!$K$5,".",IF(A6997=".",1,A6997+1))</f>
        <v>.</v>
      </c>
      <c r="B6998" s="431" t="str">
        <f t="shared" si="109"/>
        <v>Varicose VeinProviderSPIRE MURRAYFIELD HOSPITAL (NT325)Aberdeen Varicose Vein Questionnaire</v>
      </c>
      <c r="C6998" t="s">
        <v>17</v>
      </c>
      <c r="D6998" t="s">
        <v>1</v>
      </c>
      <c r="E6998" t="s">
        <v>3163</v>
      </c>
      <c r="F6998" t="s">
        <v>3164</v>
      </c>
      <c r="G6998" t="s">
        <v>0</v>
      </c>
      <c r="H6998">
        <v>15</v>
      </c>
      <c r="I6998">
        <v>20.199000000000002</v>
      </c>
      <c r="J6998">
        <v>9.9339999999999993</v>
      </c>
      <c r="K6998">
        <v>-10.265000000000001</v>
      </c>
      <c r="L6998">
        <v>15</v>
      </c>
      <c r="M6998">
        <v>0</v>
      </c>
      <c r="N6998">
        <v>0</v>
      </c>
      <c r="O6998" t="s">
        <v>53</v>
      </c>
      <c r="P6998" t="s">
        <v>53</v>
      </c>
      <c r="Q6998" t="s">
        <v>53</v>
      </c>
    </row>
    <row r="6999" spans="1:17" x14ac:dyDescent="0.2">
      <c r="A6999" s="30" t="str">
        <f>IF(C6999&amp;G6999&amp;D6999&lt;&gt;'Funnel setup'!$K$3&amp;'Funnel setup'!$K$4&amp;'Funnel setup'!$K$5,".",IF(A6998=".",1,A6998+1))</f>
        <v>.</v>
      </c>
      <c r="B6999" s="431" t="str">
        <f t="shared" si="109"/>
        <v>Varicose VeinProviderSPIRE WASHINGTON HOSPITAL (NT333)Aberdeen Varicose Vein Questionnaire</v>
      </c>
      <c r="C6999" t="s">
        <v>17</v>
      </c>
      <c r="D6999" t="s">
        <v>1</v>
      </c>
      <c r="E6999" t="s">
        <v>3189</v>
      </c>
      <c r="F6999" t="s">
        <v>3190</v>
      </c>
      <c r="G6999" t="s">
        <v>0</v>
      </c>
      <c r="H6999">
        <v>27</v>
      </c>
      <c r="I6999">
        <v>18.317</v>
      </c>
      <c r="J6999">
        <v>9.0920000000000005</v>
      </c>
      <c r="K6999">
        <v>-9.2249999999999996</v>
      </c>
      <c r="L6999">
        <v>24</v>
      </c>
      <c r="M6999">
        <v>0</v>
      </c>
      <c r="N6999">
        <v>3</v>
      </c>
      <c r="O6999" t="s">
        <v>53</v>
      </c>
      <c r="P6999" t="s">
        <v>53</v>
      </c>
      <c r="Q6999" t="s">
        <v>53</v>
      </c>
    </row>
    <row r="7000" spans="1:17" x14ac:dyDescent="0.2">
      <c r="A7000" s="30" t="str">
        <f>IF(C7000&amp;G7000&amp;D7000&lt;&gt;'Funnel setup'!$K$3&amp;'Funnel setup'!$K$4&amp;'Funnel setup'!$K$5,".",IF(A6999=".",1,A6999+1))</f>
        <v>.</v>
      </c>
      <c r="B7000" s="431" t="str">
        <f t="shared" si="109"/>
        <v>Varicose VeinProviderST GEORGE'S UNIVERSITY HOSPITALS NHS FOUNDATION TRUST (RJ7)Aberdeen Varicose Vein Questionnaire</v>
      </c>
      <c r="C7000" t="s">
        <v>17</v>
      </c>
      <c r="D7000" t="s">
        <v>1</v>
      </c>
      <c r="E7000" t="s">
        <v>3124</v>
      </c>
      <c r="F7000" t="s">
        <v>3125</v>
      </c>
      <c r="G7000" t="s">
        <v>0</v>
      </c>
      <c r="H7000">
        <v>31</v>
      </c>
      <c r="I7000">
        <v>21.196000000000002</v>
      </c>
      <c r="J7000">
        <v>17.2</v>
      </c>
      <c r="K7000">
        <v>-3.9969999999999999</v>
      </c>
      <c r="L7000">
        <v>23</v>
      </c>
      <c r="M7000">
        <v>0</v>
      </c>
      <c r="N7000">
        <v>8</v>
      </c>
      <c r="O7000">
        <v>17.57</v>
      </c>
      <c r="P7000">
        <v>-3.3522264989999999</v>
      </c>
      <c r="Q7000">
        <v>18.337</v>
      </c>
    </row>
    <row r="7001" spans="1:17" x14ac:dyDescent="0.2">
      <c r="A7001" s="30" t="str">
        <f>IF(C7001&amp;G7001&amp;D7001&lt;&gt;'Funnel setup'!$K$3&amp;'Funnel setup'!$K$4&amp;'Funnel setup'!$K$5,".",IF(A7000=".",1,A7000+1))</f>
        <v>.</v>
      </c>
      <c r="B7001" s="431" t="str">
        <f t="shared" si="109"/>
        <v>Varicose VeinProviderST HELENS AND KNOWSLEY HOSPITALS NHS TRUST (RBN)Aberdeen Varicose Vein Questionnaire</v>
      </c>
      <c r="C7001" t="s">
        <v>17</v>
      </c>
      <c r="D7001" t="s">
        <v>1</v>
      </c>
      <c r="E7001" t="s">
        <v>3127</v>
      </c>
      <c r="F7001" t="s">
        <v>3128</v>
      </c>
      <c r="G7001" t="s">
        <v>0</v>
      </c>
      <c r="H7001">
        <v>29</v>
      </c>
      <c r="I7001">
        <v>21.588999999999999</v>
      </c>
      <c r="J7001">
        <v>18.609000000000002</v>
      </c>
      <c r="K7001">
        <v>-2.9790000000000001</v>
      </c>
      <c r="L7001">
        <v>17</v>
      </c>
      <c r="M7001">
        <v>0</v>
      </c>
      <c r="N7001">
        <v>12</v>
      </c>
      <c r="O7001" t="s">
        <v>53</v>
      </c>
      <c r="P7001" t="s">
        <v>53</v>
      </c>
      <c r="Q7001" t="s">
        <v>53</v>
      </c>
    </row>
    <row r="7002" spans="1:17" x14ac:dyDescent="0.2">
      <c r="A7002" s="30" t="str">
        <f>IF(C7002&amp;G7002&amp;D7002&lt;&gt;'Funnel setup'!$K$3&amp;'Funnel setup'!$K$4&amp;'Funnel setup'!$K$5,".",IF(A7001=".",1,A7001+1))</f>
        <v>.</v>
      </c>
      <c r="B7002" s="431" t="str">
        <f t="shared" si="109"/>
        <v>Varicose VeinProviderSURREY AND SUSSEX HEALTHCARE NHS TRUST (RTP)Aberdeen Varicose Vein Questionnaire</v>
      </c>
      <c r="C7002" t="s">
        <v>17</v>
      </c>
      <c r="D7002" t="s">
        <v>1</v>
      </c>
      <c r="E7002" t="s">
        <v>3145</v>
      </c>
      <c r="F7002" t="s">
        <v>3146</v>
      </c>
      <c r="G7002" t="s">
        <v>0</v>
      </c>
      <c r="H7002">
        <v>50</v>
      </c>
      <c r="I7002">
        <v>25.45</v>
      </c>
      <c r="J7002">
        <v>15.901</v>
      </c>
      <c r="K7002">
        <v>-9.5489999999999995</v>
      </c>
      <c r="L7002">
        <v>39</v>
      </c>
      <c r="M7002">
        <v>0</v>
      </c>
      <c r="N7002">
        <v>11</v>
      </c>
      <c r="O7002">
        <v>17.797999999999998</v>
      </c>
      <c r="P7002">
        <v>-3.1247044499999999</v>
      </c>
      <c r="Q7002">
        <v>15.654</v>
      </c>
    </row>
    <row r="7003" spans="1:17" x14ac:dyDescent="0.2">
      <c r="A7003" s="30" t="str">
        <f>IF(C7003&amp;G7003&amp;D7003&lt;&gt;'Funnel setup'!$K$3&amp;'Funnel setup'!$K$4&amp;'Funnel setup'!$K$5,".",IF(A7002=".",1,A7002+1))</f>
        <v>.</v>
      </c>
      <c r="B7003" s="431" t="str">
        <f t="shared" si="109"/>
        <v>Varicose VeinProviderTAMESIDE HOSPITAL NHS FOUNDATION TRUST (RMP)Aberdeen Varicose Vein Questionnaire</v>
      </c>
      <c r="C7003" t="s">
        <v>17</v>
      </c>
      <c r="D7003" t="s">
        <v>1</v>
      </c>
      <c r="E7003" t="s">
        <v>3148</v>
      </c>
      <c r="F7003" t="s">
        <v>3149</v>
      </c>
      <c r="G7003" t="s">
        <v>0</v>
      </c>
      <c r="H7003">
        <v>29</v>
      </c>
      <c r="I7003">
        <v>20.414999999999999</v>
      </c>
      <c r="J7003">
        <v>17.315000000000001</v>
      </c>
      <c r="K7003">
        <v>-3.1</v>
      </c>
      <c r="L7003">
        <v>17</v>
      </c>
      <c r="M7003">
        <v>1</v>
      </c>
      <c r="N7003">
        <v>11</v>
      </c>
      <c r="O7003" t="s">
        <v>53</v>
      </c>
      <c r="P7003" t="s">
        <v>53</v>
      </c>
      <c r="Q7003" t="s">
        <v>53</v>
      </c>
    </row>
    <row r="7004" spans="1:17" x14ac:dyDescent="0.2">
      <c r="A7004" s="30" t="str">
        <f>IF(C7004&amp;G7004&amp;D7004&lt;&gt;'Funnel setup'!$K$3&amp;'Funnel setup'!$K$4&amp;'Funnel setup'!$K$5,".",IF(A7003=".",1,A7003+1))</f>
        <v>.</v>
      </c>
      <c r="B7004" s="431" t="str">
        <f t="shared" si="109"/>
        <v>Varicose VeinProviderTAUNTON AND SOMERSET NHS FOUNDATION TRUST (RBA)Aberdeen Varicose Vein Questionnaire</v>
      </c>
      <c r="C7004" t="s">
        <v>17</v>
      </c>
      <c r="D7004" t="s">
        <v>1</v>
      </c>
      <c r="E7004" t="s">
        <v>3151</v>
      </c>
      <c r="F7004" t="s">
        <v>3152</v>
      </c>
      <c r="G7004" t="s">
        <v>0</v>
      </c>
      <c r="H7004">
        <v>80</v>
      </c>
      <c r="I7004">
        <v>21.82</v>
      </c>
      <c r="J7004">
        <v>11.018000000000001</v>
      </c>
      <c r="K7004">
        <v>-10.802</v>
      </c>
      <c r="L7004">
        <v>68</v>
      </c>
      <c r="M7004">
        <v>1</v>
      </c>
      <c r="N7004">
        <v>11</v>
      </c>
      <c r="O7004">
        <v>11.342000000000001</v>
      </c>
      <c r="P7004">
        <v>-9.5799569219999992</v>
      </c>
      <c r="Q7004">
        <v>16.759</v>
      </c>
    </row>
    <row r="7005" spans="1:17" x14ac:dyDescent="0.2">
      <c r="A7005" s="30" t="str">
        <f>IF(C7005&amp;G7005&amp;D7005&lt;&gt;'Funnel setup'!$K$3&amp;'Funnel setup'!$K$4&amp;'Funnel setup'!$K$5,".",IF(A7004=".",1,A7004+1))</f>
        <v>.</v>
      </c>
      <c r="B7005" s="431" t="str">
        <f t="shared" si="109"/>
        <v>Varicose VeinProviderTEES VALLEY TREATMENT CENTRE (NVC35)Aberdeen Varicose Vein Questionnaire</v>
      </c>
      <c r="C7005" t="s">
        <v>17</v>
      </c>
      <c r="D7005" t="s">
        <v>1</v>
      </c>
      <c r="E7005" t="s">
        <v>3112</v>
      </c>
      <c r="F7005" t="s">
        <v>3113</v>
      </c>
      <c r="G7005" t="s">
        <v>0</v>
      </c>
      <c r="H7005">
        <v>12</v>
      </c>
      <c r="I7005">
        <v>17.512</v>
      </c>
      <c r="J7005">
        <v>7.8040000000000003</v>
      </c>
      <c r="K7005">
        <v>-9.7080000000000002</v>
      </c>
      <c r="L7005">
        <v>10</v>
      </c>
      <c r="M7005">
        <v>0</v>
      </c>
      <c r="N7005">
        <v>2</v>
      </c>
      <c r="O7005" t="s">
        <v>53</v>
      </c>
      <c r="P7005" t="s">
        <v>53</v>
      </c>
      <c r="Q7005" t="s">
        <v>53</v>
      </c>
    </row>
    <row r="7006" spans="1:17" x14ac:dyDescent="0.2">
      <c r="A7006" s="30" t="str">
        <f>IF(C7006&amp;G7006&amp;D7006&lt;&gt;'Funnel setup'!$K$3&amp;'Funnel setup'!$K$4&amp;'Funnel setup'!$K$5,".",IF(A7005=".",1,A7005+1))</f>
        <v>.</v>
      </c>
      <c r="B7006" s="431" t="str">
        <f t="shared" si="109"/>
        <v>Varicose VeinProviderTHE DUDLEY GROUP NHS FOUNDATION TRUST (RNA)Aberdeen Varicose Vein Questionnaire</v>
      </c>
      <c r="C7006" t="s">
        <v>17</v>
      </c>
      <c r="D7006" t="s">
        <v>1</v>
      </c>
      <c r="E7006" t="s">
        <v>3121</v>
      </c>
      <c r="F7006" t="s">
        <v>3122</v>
      </c>
      <c r="G7006" t="s">
        <v>0</v>
      </c>
      <c r="H7006">
        <v>136</v>
      </c>
      <c r="I7006">
        <v>19.756</v>
      </c>
      <c r="J7006">
        <v>12.391999999999999</v>
      </c>
      <c r="K7006">
        <v>-7.3639999999999999</v>
      </c>
      <c r="L7006">
        <v>111</v>
      </c>
      <c r="M7006">
        <v>0</v>
      </c>
      <c r="N7006">
        <v>25</v>
      </c>
      <c r="O7006">
        <v>11.87</v>
      </c>
      <c r="P7006">
        <v>-9.0525291909999996</v>
      </c>
      <c r="Q7006">
        <v>15.574</v>
      </c>
    </row>
    <row r="7007" spans="1:17" x14ac:dyDescent="0.2">
      <c r="A7007" s="30" t="str">
        <f>IF(C7007&amp;G7007&amp;D7007&lt;&gt;'Funnel setup'!$K$3&amp;'Funnel setup'!$K$4&amp;'Funnel setup'!$K$5,".",IF(A7006=".",1,A7006+1))</f>
        <v>.</v>
      </c>
      <c r="B7007" s="431" t="str">
        <f t="shared" si="109"/>
        <v>Varicose VeinProviderTHE HILLINGDON HOSPITALS NHS FOUNDATION TRUST (RAS)Aberdeen Varicose Vein Questionnaire</v>
      </c>
      <c r="C7007" t="s">
        <v>17</v>
      </c>
      <c r="D7007" t="s">
        <v>1</v>
      </c>
      <c r="E7007" t="s">
        <v>3115</v>
      </c>
      <c r="F7007" t="s">
        <v>3116</v>
      </c>
      <c r="G7007" t="s">
        <v>0</v>
      </c>
      <c r="H7007">
        <v>14</v>
      </c>
      <c r="I7007">
        <v>24.463999999999999</v>
      </c>
      <c r="J7007">
        <v>15.592000000000001</v>
      </c>
      <c r="K7007">
        <v>-8.8719999999999999</v>
      </c>
      <c r="L7007">
        <v>10</v>
      </c>
      <c r="M7007">
        <v>0</v>
      </c>
      <c r="N7007">
        <v>4</v>
      </c>
      <c r="O7007" t="s">
        <v>53</v>
      </c>
      <c r="P7007" t="s">
        <v>53</v>
      </c>
      <c r="Q7007" t="s">
        <v>53</v>
      </c>
    </row>
    <row r="7008" spans="1:17" x14ac:dyDescent="0.2">
      <c r="A7008" s="30" t="str">
        <f>IF(C7008&amp;G7008&amp;D7008&lt;&gt;'Funnel setup'!$K$3&amp;'Funnel setup'!$K$4&amp;'Funnel setup'!$K$5,".",IF(A7007=".",1,A7007+1))</f>
        <v>.</v>
      </c>
      <c r="B7008" s="431" t="str">
        <f t="shared" si="109"/>
        <v>Varicose VeinProviderTHE NEWCASTLE UPON TYNE HOSPITALS NHS FOUNDATION TRUST (RTD)Aberdeen Varicose Vein Questionnaire</v>
      </c>
      <c r="C7008" t="s">
        <v>17</v>
      </c>
      <c r="D7008" t="s">
        <v>1</v>
      </c>
      <c r="E7008" t="s">
        <v>3748</v>
      </c>
      <c r="F7008" t="s">
        <v>3749</v>
      </c>
      <c r="G7008" t="s">
        <v>0</v>
      </c>
      <c r="H7008">
        <v>186</v>
      </c>
      <c r="I7008">
        <v>18.518000000000001</v>
      </c>
      <c r="J7008">
        <v>10.98</v>
      </c>
      <c r="K7008">
        <v>-7.5380000000000003</v>
      </c>
      <c r="L7008">
        <v>155</v>
      </c>
      <c r="M7008">
        <v>0</v>
      </c>
      <c r="N7008">
        <v>31</v>
      </c>
      <c r="O7008">
        <v>9.4619999999999997</v>
      </c>
      <c r="P7008">
        <v>-11.460393079999999</v>
      </c>
      <c r="Q7008">
        <v>15.167999999999999</v>
      </c>
    </row>
    <row r="7009" spans="1:17" x14ac:dyDescent="0.2">
      <c r="A7009" s="30" t="str">
        <f>IF(C7009&amp;G7009&amp;D7009&lt;&gt;'Funnel setup'!$K$3&amp;'Funnel setup'!$K$4&amp;'Funnel setup'!$K$5,".",IF(A7008=".",1,A7008+1))</f>
        <v>.</v>
      </c>
      <c r="B7009" s="431" t="str">
        <f t="shared" si="109"/>
        <v>Varicose VeinProviderTHE PRINCESS ALEXANDRA HOSPITAL NHS TRUST (RQW)Aberdeen Varicose Vein Questionnaire</v>
      </c>
      <c r="C7009" t="s">
        <v>17</v>
      </c>
      <c r="D7009" t="s">
        <v>1</v>
      </c>
      <c r="E7009" t="s">
        <v>3751</v>
      </c>
      <c r="F7009" t="s">
        <v>3752</v>
      </c>
      <c r="G7009" t="s">
        <v>0</v>
      </c>
      <c r="H7009">
        <v>23</v>
      </c>
      <c r="I7009">
        <v>26.437000000000001</v>
      </c>
      <c r="J7009">
        <v>14.46</v>
      </c>
      <c r="K7009">
        <v>-11.977</v>
      </c>
      <c r="L7009">
        <v>22</v>
      </c>
      <c r="M7009">
        <v>0</v>
      </c>
      <c r="N7009">
        <v>1</v>
      </c>
      <c r="O7009" t="s">
        <v>53</v>
      </c>
      <c r="P7009" t="s">
        <v>53</v>
      </c>
      <c r="Q7009" t="s">
        <v>53</v>
      </c>
    </row>
    <row r="7010" spans="1:17" x14ac:dyDescent="0.2">
      <c r="A7010" s="30" t="str">
        <f>IF(C7010&amp;G7010&amp;D7010&lt;&gt;'Funnel setup'!$K$3&amp;'Funnel setup'!$K$4&amp;'Funnel setup'!$K$5,".",IF(A7009=".",1,A7009+1))</f>
        <v>.</v>
      </c>
      <c r="B7010" s="431" t="str">
        <f t="shared" si="109"/>
        <v>Varicose VeinProviderTHE QUEEN ELIZABETH HOSPITAL, KING'S LYNN, NHS FOUNDATION TRUST (RCX)Aberdeen Varicose Vein Questionnaire</v>
      </c>
      <c r="C7010" t="s">
        <v>17</v>
      </c>
      <c r="D7010" t="s">
        <v>1</v>
      </c>
      <c r="E7010" t="s">
        <v>3754</v>
      </c>
      <c r="F7010" t="s">
        <v>3755</v>
      </c>
      <c r="G7010" t="s">
        <v>0</v>
      </c>
      <c r="H7010">
        <v>19</v>
      </c>
      <c r="I7010">
        <v>15.074999999999999</v>
      </c>
      <c r="J7010">
        <v>11.013999999999999</v>
      </c>
      <c r="K7010">
        <v>-4.0609999999999999</v>
      </c>
      <c r="L7010">
        <v>13</v>
      </c>
      <c r="M7010">
        <v>0</v>
      </c>
      <c r="N7010">
        <v>6</v>
      </c>
      <c r="O7010" t="s">
        <v>53</v>
      </c>
      <c r="P7010" t="s">
        <v>53</v>
      </c>
      <c r="Q7010" t="s">
        <v>53</v>
      </c>
    </row>
    <row r="7011" spans="1:17" x14ac:dyDescent="0.2">
      <c r="A7011" s="30" t="str">
        <f>IF(C7011&amp;G7011&amp;D7011&lt;&gt;'Funnel setup'!$K$3&amp;'Funnel setup'!$K$4&amp;'Funnel setup'!$K$5,".",IF(A7010=".",1,A7010+1))</f>
        <v>.</v>
      </c>
      <c r="B7011" s="431" t="str">
        <f t="shared" si="109"/>
        <v>Varicose VeinProviderTHE ROTHERHAM NHS FOUNDATION TRUST (RFR)Aberdeen Varicose Vein Questionnaire</v>
      </c>
      <c r="C7011" t="s">
        <v>17</v>
      </c>
      <c r="D7011" t="s">
        <v>1</v>
      </c>
      <c r="E7011" t="s">
        <v>3739</v>
      </c>
      <c r="F7011" t="s">
        <v>3740</v>
      </c>
      <c r="G7011" t="s">
        <v>0</v>
      </c>
      <c r="H7011">
        <v>7</v>
      </c>
      <c r="I7011">
        <v>19.036000000000001</v>
      </c>
      <c r="J7011">
        <v>6.7729999999999997</v>
      </c>
      <c r="K7011">
        <v>-12.263</v>
      </c>
      <c r="L7011">
        <v>6</v>
      </c>
      <c r="M7011">
        <v>0</v>
      </c>
      <c r="N7011">
        <v>1</v>
      </c>
      <c r="O7011" t="s">
        <v>53</v>
      </c>
      <c r="P7011" t="s">
        <v>53</v>
      </c>
      <c r="Q7011" t="s">
        <v>53</v>
      </c>
    </row>
    <row r="7012" spans="1:17" x14ac:dyDescent="0.2">
      <c r="A7012" s="30" t="str">
        <f>IF(C7012&amp;G7012&amp;D7012&lt;&gt;'Funnel setup'!$K$3&amp;'Funnel setup'!$K$4&amp;'Funnel setup'!$K$5,".",IF(A7011=".",1,A7011+1))</f>
        <v>.</v>
      </c>
      <c r="B7012" s="431" t="str">
        <f t="shared" si="109"/>
        <v>Varicose VeinProviderTHE ROYAL BOURNEMOUTH AND CHRISTCHURCH HOSPITALS NHS FOUNDATION TRUST (RDZ)Aberdeen Varicose Vein Questionnaire</v>
      </c>
      <c r="C7012" t="s">
        <v>17</v>
      </c>
      <c r="D7012" t="s">
        <v>1</v>
      </c>
      <c r="E7012" t="s">
        <v>3742</v>
      </c>
      <c r="F7012" t="s">
        <v>3743</v>
      </c>
      <c r="G7012" t="s">
        <v>0</v>
      </c>
      <c r="H7012" t="s">
        <v>53</v>
      </c>
      <c r="I7012" t="s">
        <v>53</v>
      </c>
      <c r="J7012" t="s">
        <v>53</v>
      </c>
      <c r="K7012" t="s">
        <v>53</v>
      </c>
      <c r="L7012" t="s">
        <v>53</v>
      </c>
      <c r="M7012" t="s">
        <v>53</v>
      </c>
      <c r="N7012" t="s">
        <v>53</v>
      </c>
      <c r="O7012" t="s">
        <v>53</v>
      </c>
      <c r="P7012" t="s">
        <v>53</v>
      </c>
      <c r="Q7012" t="s">
        <v>53</v>
      </c>
    </row>
    <row r="7013" spans="1:17" x14ac:dyDescent="0.2">
      <c r="A7013" s="30" t="str">
        <f>IF(C7013&amp;G7013&amp;D7013&lt;&gt;'Funnel setup'!$K$3&amp;'Funnel setup'!$K$4&amp;'Funnel setup'!$K$5,".",IF(A7012=".",1,A7012+1))</f>
        <v>.</v>
      </c>
      <c r="B7013" s="431" t="str">
        <f t="shared" si="109"/>
        <v>Varicose VeinProviderTHE ROYAL WOLVERHAMPTON NHS TRUST (RL4)Aberdeen Varicose Vein Questionnaire</v>
      </c>
      <c r="C7013" t="s">
        <v>17</v>
      </c>
      <c r="D7013" t="s">
        <v>1</v>
      </c>
      <c r="E7013" t="s">
        <v>3382</v>
      </c>
      <c r="F7013" t="s">
        <v>3383</v>
      </c>
      <c r="G7013" t="s">
        <v>0</v>
      </c>
      <c r="H7013">
        <v>76</v>
      </c>
      <c r="I7013">
        <v>21.427</v>
      </c>
      <c r="J7013">
        <v>12.484999999999999</v>
      </c>
      <c r="K7013">
        <v>-8.9429999999999996</v>
      </c>
      <c r="L7013">
        <v>58</v>
      </c>
      <c r="M7013">
        <v>0</v>
      </c>
      <c r="N7013">
        <v>18</v>
      </c>
      <c r="O7013">
        <v>13.186999999999999</v>
      </c>
      <c r="P7013">
        <v>-7.735317105</v>
      </c>
      <c r="Q7013">
        <v>14.545</v>
      </c>
    </row>
    <row r="7014" spans="1:17" x14ac:dyDescent="0.2">
      <c r="A7014" s="30" t="str">
        <f>IF(C7014&amp;G7014&amp;D7014&lt;&gt;'Funnel setup'!$K$3&amp;'Funnel setup'!$K$4&amp;'Funnel setup'!$K$5,".",IF(A7013=".",1,A7013+1))</f>
        <v>.</v>
      </c>
      <c r="B7014" s="431" t="str">
        <f t="shared" si="109"/>
        <v>Varicose VeinProviderTHE WESTBOURNE CENTRE (NVC44)Aberdeen Varicose Vein Questionnaire</v>
      </c>
      <c r="C7014" t="s">
        <v>17</v>
      </c>
      <c r="D7014" t="s">
        <v>1</v>
      </c>
      <c r="E7014" t="s">
        <v>3775</v>
      </c>
      <c r="F7014" t="s">
        <v>3776</v>
      </c>
      <c r="G7014" t="s">
        <v>0</v>
      </c>
      <c r="H7014" t="s">
        <v>53</v>
      </c>
      <c r="I7014" t="s">
        <v>53</v>
      </c>
      <c r="J7014" t="s">
        <v>53</v>
      </c>
      <c r="K7014" t="s">
        <v>53</v>
      </c>
      <c r="L7014" t="s">
        <v>53</v>
      </c>
      <c r="M7014" t="s">
        <v>53</v>
      </c>
      <c r="N7014" t="s">
        <v>53</v>
      </c>
      <c r="O7014" t="s">
        <v>53</v>
      </c>
      <c r="P7014" t="s">
        <v>53</v>
      </c>
      <c r="Q7014" t="s">
        <v>53</v>
      </c>
    </row>
    <row r="7015" spans="1:17" x14ac:dyDescent="0.2">
      <c r="A7015" s="30" t="str">
        <f>IF(C7015&amp;G7015&amp;D7015&lt;&gt;'Funnel setup'!$K$3&amp;'Funnel setup'!$K$4&amp;'Funnel setup'!$K$5,".",IF(A7014=".",1,A7014+1))</f>
        <v>.</v>
      </c>
      <c r="B7015" s="431" t="str">
        <f t="shared" si="109"/>
        <v>Varicose VeinProviderTORBAY AND SOUTH DEVON NHS FOUNDATION TRUST (RA9)Aberdeen Varicose Vein Questionnaire</v>
      </c>
      <c r="C7015" t="s">
        <v>17</v>
      </c>
      <c r="D7015" t="s">
        <v>1</v>
      </c>
      <c r="E7015" t="s">
        <v>3480</v>
      </c>
      <c r="F7015" t="s">
        <v>6584</v>
      </c>
      <c r="G7015" t="s">
        <v>0</v>
      </c>
      <c r="H7015" t="s">
        <v>53</v>
      </c>
      <c r="I7015" t="s">
        <v>53</v>
      </c>
      <c r="J7015" t="s">
        <v>53</v>
      </c>
      <c r="K7015" t="s">
        <v>53</v>
      </c>
      <c r="L7015" t="s">
        <v>53</v>
      </c>
      <c r="M7015" t="s">
        <v>53</v>
      </c>
      <c r="N7015" t="s">
        <v>53</v>
      </c>
      <c r="O7015" t="s">
        <v>53</v>
      </c>
      <c r="P7015" t="s">
        <v>53</v>
      </c>
      <c r="Q7015" t="s">
        <v>53</v>
      </c>
    </row>
    <row r="7016" spans="1:17" x14ac:dyDescent="0.2">
      <c r="A7016" s="30" t="str">
        <f>IF(C7016&amp;G7016&amp;D7016&lt;&gt;'Funnel setup'!$K$3&amp;'Funnel setup'!$K$4&amp;'Funnel setup'!$K$5,".",IF(A7015=".",1,A7015+1))</f>
        <v>.</v>
      </c>
      <c r="B7016" s="431" t="str">
        <f t="shared" si="109"/>
        <v>Varicose VeinProviderTYNESIDE SURGICAL SERVICES AT THE NORTH EAST NHS SURGERY CENTRE (NN401)Aberdeen Varicose Vein Questionnaire</v>
      </c>
      <c r="C7016" t="s">
        <v>17</v>
      </c>
      <c r="D7016" t="s">
        <v>1</v>
      </c>
      <c r="E7016" t="s">
        <v>4506</v>
      </c>
      <c r="F7016" t="s">
        <v>4507</v>
      </c>
      <c r="G7016" t="s">
        <v>0</v>
      </c>
      <c r="H7016" t="s">
        <v>53</v>
      </c>
      <c r="I7016" t="s">
        <v>53</v>
      </c>
      <c r="J7016" t="s">
        <v>53</v>
      </c>
      <c r="K7016" t="s">
        <v>53</v>
      </c>
      <c r="L7016" t="s">
        <v>53</v>
      </c>
      <c r="M7016" t="s">
        <v>53</v>
      </c>
      <c r="N7016" t="s">
        <v>53</v>
      </c>
      <c r="O7016" t="s">
        <v>53</v>
      </c>
      <c r="P7016" t="s">
        <v>53</v>
      </c>
      <c r="Q7016" t="s">
        <v>53</v>
      </c>
    </row>
    <row r="7017" spans="1:17" x14ac:dyDescent="0.2">
      <c r="A7017" s="30" t="str">
        <f>IF(C7017&amp;G7017&amp;D7017&lt;&gt;'Funnel setup'!$K$3&amp;'Funnel setup'!$K$4&amp;'Funnel setup'!$K$5,".",IF(A7016=".",1,A7016+1))</f>
        <v>.</v>
      </c>
      <c r="B7017" s="431" t="str">
        <f t="shared" si="109"/>
        <v>Varicose VeinProviderUNITED LINCOLNSHIRE HOSPITALS NHS TRUST (RWD)Aberdeen Varicose Vein Questionnaire</v>
      </c>
      <c r="C7017" t="s">
        <v>17</v>
      </c>
      <c r="D7017" t="s">
        <v>1</v>
      </c>
      <c r="E7017" t="s">
        <v>3763</v>
      </c>
      <c r="F7017" t="s">
        <v>3764</v>
      </c>
      <c r="G7017" t="s">
        <v>0</v>
      </c>
      <c r="H7017">
        <v>41</v>
      </c>
      <c r="I7017">
        <v>24.129000000000001</v>
      </c>
      <c r="J7017">
        <v>14.628</v>
      </c>
      <c r="K7017">
        <v>-9.5009999999999994</v>
      </c>
      <c r="L7017">
        <v>34</v>
      </c>
      <c r="M7017">
        <v>0</v>
      </c>
      <c r="N7017">
        <v>7</v>
      </c>
      <c r="O7017">
        <v>15.805999999999999</v>
      </c>
      <c r="P7017">
        <v>-5.1161148169999997</v>
      </c>
      <c r="Q7017">
        <v>17.806000000000001</v>
      </c>
    </row>
    <row r="7018" spans="1:17" x14ac:dyDescent="0.2">
      <c r="A7018" s="30" t="str">
        <f>IF(C7018&amp;G7018&amp;D7018&lt;&gt;'Funnel setup'!$K$3&amp;'Funnel setup'!$K$4&amp;'Funnel setup'!$K$5,".",IF(A7017=".",1,A7017+1))</f>
        <v>.</v>
      </c>
      <c r="B7018" s="431" t="str">
        <f t="shared" si="109"/>
        <v>Varicose VeinProviderUNIVERSITY COLLEGE LONDON HOSPITALS NHS FOUNDATION TRUST (RRV)Aberdeen Varicose Vein Questionnaire</v>
      </c>
      <c r="C7018" t="s">
        <v>17</v>
      </c>
      <c r="D7018" t="s">
        <v>1</v>
      </c>
      <c r="E7018" t="s">
        <v>3766</v>
      </c>
      <c r="F7018" t="s">
        <v>3767</v>
      </c>
      <c r="G7018" t="s">
        <v>0</v>
      </c>
      <c r="H7018">
        <v>64</v>
      </c>
      <c r="I7018">
        <v>20.053999999999998</v>
      </c>
      <c r="J7018">
        <v>12.462</v>
      </c>
      <c r="K7018">
        <v>-7.5919999999999996</v>
      </c>
      <c r="L7018">
        <v>54</v>
      </c>
      <c r="M7018">
        <v>0</v>
      </c>
      <c r="N7018">
        <v>10</v>
      </c>
      <c r="O7018">
        <v>12.426</v>
      </c>
      <c r="P7018">
        <v>-8.4961608450000004</v>
      </c>
      <c r="Q7018">
        <v>14.801</v>
      </c>
    </row>
    <row r="7019" spans="1:17" x14ac:dyDescent="0.2">
      <c r="A7019" s="30" t="str">
        <f>IF(C7019&amp;G7019&amp;D7019&lt;&gt;'Funnel setup'!$K$3&amp;'Funnel setup'!$K$4&amp;'Funnel setup'!$K$5,".",IF(A7018=".",1,A7018+1))</f>
        <v>.</v>
      </c>
      <c r="B7019" s="431" t="str">
        <f t="shared" si="109"/>
        <v>Varicose VeinProviderUNIVERSITY HOSPITAL OF SOUTH MANCHESTER NHS FOUNDATION TRUST (RM2)Aberdeen Varicose Vein Questionnaire</v>
      </c>
      <c r="C7019" t="s">
        <v>17</v>
      </c>
      <c r="D7019" t="s">
        <v>1</v>
      </c>
      <c r="E7019" t="s">
        <v>3769</v>
      </c>
      <c r="F7019" t="s">
        <v>3770</v>
      </c>
      <c r="G7019" t="s">
        <v>0</v>
      </c>
      <c r="H7019">
        <v>109</v>
      </c>
      <c r="I7019">
        <v>19.143000000000001</v>
      </c>
      <c r="J7019">
        <v>11.199</v>
      </c>
      <c r="K7019">
        <v>-7.944</v>
      </c>
      <c r="L7019">
        <v>94</v>
      </c>
      <c r="M7019">
        <v>0</v>
      </c>
      <c r="N7019">
        <v>15</v>
      </c>
      <c r="O7019">
        <v>9.9920000000000009</v>
      </c>
      <c r="P7019">
        <v>-10.930086709999999</v>
      </c>
      <c r="Q7019">
        <v>14.35</v>
      </c>
    </row>
    <row r="7020" spans="1:17" x14ac:dyDescent="0.2">
      <c r="A7020" s="30" t="str">
        <f>IF(C7020&amp;G7020&amp;D7020&lt;&gt;'Funnel setup'!$K$3&amp;'Funnel setup'!$K$4&amp;'Funnel setup'!$K$5,".",IF(A7019=".",1,A7019+1))</f>
        <v>.</v>
      </c>
      <c r="B7020" s="431" t="str">
        <f t="shared" si="109"/>
        <v>Varicose VeinProviderUNIVERSITY HOSPITALS BIRMINGHAM NHS FOUNDATION TRUST (RRK)Aberdeen Varicose Vein Questionnaire</v>
      </c>
      <c r="C7020" t="s">
        <v>17</v>
      </c>
      <c r="D7020" t="s">
        <v>1</v>
      </c>
      <c r="E7020" t="s">
        <v>3778</v>
      </c>
      <c r="F7020" t="s">
        <v>3779</v>
      </c>
      <c r="G7020" t="s">
        <v>0</v>
      </c>
      <c r="H7020">
        <v>11</v>
      </c>
      <c r="I7020">
        <v>26.771999999999998</v>
      </c>
      <c r="J7020">
        <v>11.335000000000001</v>
      </c>
      <c r="K7020">
        <v>-15.436999999999999</v>
      </c>
      <c r="L7020">
        <v>10</v>
      </c>
      <c r="M7020">
        <v>0</v>
      </c>
      <c r="N7020">
        <v>1</v>
      </c>
      <c r="O7020" t="s">
        <v>53</v>
      </c>
      <c r="P7020" t="s">
        <v>53</v>
      </c>
      <c r="Q7020" t="s">
        <v>53</v>
      </c>
    </row>
    <row r="7021" spans="1:17" x14ac:dyDescent="0.2">
      <c r="A7021" s="30" t="str">
        <f>IF(C7021&amp;G7021&amp;D7021&lt;&gt;'Funnel setup'!$K$3&amp;'Funnel setup'!$K$4&amp;'Funnel setup'!$K$5,".",IF(A7020=".",1,A7020+1))</f>
        <v>.</v>
      </c>
      <c r="B7021" s="431" t="str">
        <f t="shared" si="109"/>
        <v>Varicose VeinProviderUNIVERSITY HOSPITALS BRISTOL NHS FOUNDATION TRUST (RA7)Aberdeen Varicose Vein Questionnaire</v>
      </c>
      <c r="C7021" t="s">
        <v>17</v>
      </c>
      <c r="D7021" t="s">
        <v>1</v>
      </c>
      <c r="E7021" t="s">
        <v>3835</v>
      </c>
      <c r="F7021" t="s">
        <v>3836</v>
      </c>
      <c r="G7021" t="s">
        <v>0</v>
      </c>
      <c r="H7021" t="s">
        <v>53</v>
      </c>
      <c r="I7021" t="s">
        <v>53</v>
      </c>
      <c r="J7021" t="s">
        <v>53</v>
      </c>
      <c r="K7021" t="s">
        <v>53</v>
      </c>
      <c r="L7021" t="s">
        <v>53</v>
      </c>
      <c r="M7021" t="s">
        <v>53</v>
      </c>
      <c r="N7021" t="s">
        <v>53</v>
      </c>
      <c r="O7021" t="s">
        <v>53</v>
      </c>
      <c r="P7021" t="s">
        <v>53</v>
      </c>
      <c r="Q7021" t="s">
        <v>53</v>
      </c>
    </row>
    <row r="7022" spans="1:17" x14ac:dyDescent="0.2">
      <c r="A7022" s="30" t="str">
        <f>IF(C7022&amp;G7022&amp;D7022&lt;&gt;'Funnel setup'!$K$3&amp;'Funnel setup'!$K$4&amp;'Funnel setup'!$K$5,".",IF(A7021=".",1,A7021+1))</f>
        <v>.</v>
      </c>
      <c r="B7022" s="431" t="str">
        <f t="shared" si="109"/>
        <v>Varicose VeinProviderUNIVERSITY HOSPITALS COVENTRY AND WARWICKSHIRE NHS TRUST (RKB)Aberdeen Varicose Vein Questionnaire</v>
      </c>
      <c r="C7022" t="s">
        <v>17</v>
      </c>
      <c r="D7022" t="s">
        <v>1</v>
      </c>
      <c r="E7022" t="s">
        <v>3715</v>
      </c>
      <c r="F7022" t="s">
        <v>3716</v>
      </c>
      <c r="G7022" t="s">
        <v>0</v>
      </c>
      <c r="H7022">
        <v>14</v>
      </c>
      <c r="I7022">
        <v>21.105</v>
      </c>
      <c r="J7022">
        <v>15.148999999999999</v>
      </c>
      <c r="K7022">
        <v>-5.9560000000000004</v>
      </c>
      <c r="L7022">
        <v>13</v>
      </c>
      <c r="M7022">
        <v>0</v>
      </c>
      <c r="N7022">
        <v>1</v>
      </c>
      <c r="O7022" t="s">
        <v>53</v>
      </c>
      <c r="P7022" t="s">
        <v>53</v>
      </c>
      <c r="Q7022" t="s">
        <v>53</v>
      </c>
    </row>
    <row r="7023" spans="1:17" x14ac:dyDescent="0.2">
      <c r="A7023" s="30" t="str">
        <f>IF(C7023&amp;G7023&amp;D7023&lt;&gt;'Funnel setup'!$K$3&amp;'Funnel setup'!$K$4&amp;'Funnel setup'!$K$5,".",IF(A7022=".",1,A7022+1))</f>
        <v>.</v>
      </c>
      <c r="B7023" s="431" t="str">
        <f t="shared" si="109"/>
        <v>Varicose VeinProviderUNIVERSITY HOSPITALS OF LEICESTER NHS TRUST (RWE)Aberdeen Varicose Vein Questionnaire</v>
      </c>
      <c r="C7023" t="s">
        <v>17</v>
      </c>
      <c r="D7023" t="s">
        <v>1</v>
      </c>
      <c r="E7023" t="s">
        <v>3718</v>
      </c>
      <c r="F7023" t="s">
        <v>3719</v>
      </c>
      <c r="G7023" t="s">
        <v>0</v>
      </c>
      <c r="H7023">
        <v>50</v>
      </c>
      <c r="I7023">
        <v>22.164000000000001</v>
      </c>
      <c r="J7023">
        <v>11.972</v>
      </c>
      <c r="K7023">
        <v>-10.192</v>
      </c>
      <c r="L7023">
        <v>40</v>
      </c>
      <c r="M7023">
        <v>0</v>
      </c>
      <c r="N7023">
        <v>10</v>
      </c>
      <c r="O7023">
        <v>12.17</v>
      </c>
      <c r="P7023">
        <v>-8.7524106550000003</v>
      </c>
      <c r="Q7023">
        <v>14.555</v>
      </c>
    </row>
    <row r="7024" spans="1:17" x14ac:dyDescent="0.2">
      <c r="A7024" s="30" t="str">
        <f>IF(C7024&amp;G7024&amp;D7024&lt;&gt;'Funnel setup'!$K$3&amp;'Funnel setup'!$K$4&amp;'Funnel setup'!$K$5,".",IF(A7023=".",1,A7023+1))</f>
        <v>.</v>
      </c>
      <c r="B7024" s="431" t="str">
        <f t="shared" si="109"/>
        <v>Varicose VeinProviderUNIVERSITY HOSPITALS OF MORECAMBE BAY NHS FOUNDATION TRUST (RTX)Aberdeen Varicose Vein Questionnaire</v>
      </c>
      <c r="C7024" t="s">
        <v>17</v>
      </c>
      <c r="D7024" t="s">
        <v>1</v>
      </c>
      <c r="E7024" t="s">
        <v>3721</v>
      </c>
      <c r="F7024" t="s">
        <v>3722</v>
      </c>
      <c r="G7024" t="s">
        <v>0</v>
      </c>
      <c r="H7024">
        <v>32</v>
      </c>
      <c r="I7024">
        <v>19.863</v>
      </c>
      <c r="J7024">
        <v>11.811</v>
      </c>
      <c r="K7024">
        <v>-8.0519999999999996</v>
      </c>
      <c r="L7024">
        <v>29</v>
      </c>
      <c r="M7024">
        <v>0</v>
      </c>
      <c r="N7024">
        <v>3</v>
      </c>
      <c r="O7024">
        <v>11.632</v>
      </c>
      <c r="P7024">
        <v>-9.290433707</v>
      </c>
      <c r="Q7024">
        <v>13.85</v>
      </c>
    </row>
    <row r="7025" spans="1:17" x14ac:dyDescent="0.2">
      <c r="A7025" s="30" t="str">
        <f>IF(C7025&amp;G7025&amp;D7025&lt;&gt;'Funnel setup'!$K$3&amp;'Funnel setup'!$K$4&amp;'Funnel setup'!$K$5,".",IF(A7024=".",1,A7024+1))</f>
        <v>.</v>
      </c>
      <c r="B7025" s="431" t="str">
        <f t="shared" si="109"/>
        <v>Varicose VeinProviderUNIVERSITY HOSPITALS OF NORTH MIDLANDS NHS TRUST (RJE)Aberdeen Varicose Vein Questionnaire</v>
      </c>
      <c r="C7025" t="s">
        <v>17</v>
      </c>
      <c r="D7025" t="s">
        <v>1</v>
      </c>
      <c r="E7025" t="s">
        <v>3724</v>
      </c>
      <c r="F7025" t="s">
        <v>3725</v>
      </c>
      <c r="G7025" t="s">
        <v>0</v>
      </c>
      <c r="H7025">
        <v>9</v>
      </c>
      <c r="I7025">
        <v>19.707000000000001</v>
      </c>
      <c r="J7025">
        <v>14.887</v>
      </c>
      <c r="K7025">
        <v>-4.819</v>
      </c>
      <c r="L7025">
        <v>7</v>
      </c>
      <c r="M7025">
        <v>0</v>
      </c>
      <c r="N7025">
        <v>2</v>
      </c>
      <c r="O7025" t="s">
        <v>53</v>
      </c>
      <c r="P7025" t="s">
        <v>53</v>
      </c>
      <c r="Q7025" t="s">
        <v>53</v>
      </c>
    </row>
    <row r="7026" spans="1:17" x14ac:dyDescent="0.2">
      <c r="A7026" s="30" t="str">
        <f>IF(C7026&amp;G7026&amp;D7026&lt;&gt;'Funnel setup'!$K$3&amp;'Funnel setup'!$K$4&amp;'Funnel setup'!$K$5,".",IF(A7025=".",1,A7025+1))</f>
        <v>.</v>
      </c>
      <c r="B7026" s="431" t="str">
        <f t="shared" si="109"/>
        <v>Varicose VeinProviderWALSALL HEALTHCARE NHS TRUST (RBK)Aberdeen Varicose Vein Questionnaire</v>
      </c>
      <c r="C7026" t="s">
        <v>17</v>
      </c>
      <c r="D7026" t="s">
        <v>1</v>
      </c>
      <c r="E7026" t="s">
        <v>3727</v>
      </c>
      <c r="F7026" t="s">
        <v>3728</v>
      </c>
      <c r="G7026" t="s">
        <v>0</v>
      </c>
      <c r="H7026">
        <v>20</v>
      </c>
      <c r="I7026">
        <v>22.556000000000001</v>
      </c>
      <c r="J7026">
        <v>12.387</v>
      </c>
      <c r="K7026">
        <v>-10.169</v>
      </c>
      <c r="L7026">
        <v>17</v>
      </c>
      <c r="M7026">
        <v>0</v>
      </c>
      <c r="N7026">
        <v>3</v>
      </c>
      <c r="O7026" t="s">
        <v>53</v>
      </c>
      <c r="P7026" t="s">
        <v>53</v>
      </c>
      <c r="Q7026" t="s">
        <v>53</v>
      </c>
    </row>
    <row r="7027" spans="1:17" x14ac:dyDescent="0.2">
      <c r="A7027" s="30" t="str">
        <f>IF(C7027&amp;G7027&amp;D7027&lt;&gt;'Funnel setup'!$K$3&amp;'Funnel setup'!$K$4&amp;'Funnel setup'!$K$5,".",IF(A7026=".",1,A7026+1))</f>
        <v>.</v>
      </c>
      <c r="B7027" s="431" t="str">
        <f t="shared" si="109"/>
        <v>Varicose VeinProviderWARRINGTON AND HALTON HOSPITALS NHS FOUNDATION TRUST (RWW)Aberdeen Varicose Vein Questionnaire</v>
      </c>
      <c r="C7027" t="s">
        <v>17</v>
      </c>
      <c r="D7027" t="s">
        <v>1</v>
      </c>
      <c r="E7027" t="s">
        <v>3730</v>
      </c>
      <c r="F7027" t="s">
        <v>3731</v>
      </c>
      <c r="G7027" t="s">
        <v>0</v>
      </c>
      <c r="H7027">
        <v>15</v>
      </c>
      <c r="I7027">
        <v>22.015999999999998</v>
      </c>
      <c r="J7027">
        <v>13.343</v>
      </c>
      <c r="K7027">
        <v>-8.6739999999999995</v>
      </c>
      <c r="L7027">
        <v>13</v>
      </c>
      <c r="M7027">
        <v>0</v>
      </c>
      <c r="N7027">
        <v>2</v>
      </c>
      <c r="O7027" t="s">
        <v>53</v>
      </c>
      <c r="P7027" t="s">
        <v>53</v>
      </c>
      <c r="Q7027" t="s">
        <v>53</v>
      </c>
    </row>
    <row r="7028" spans="1:17" x14ac:dyDescent="0.2">
      <c r="A7028" s="30" t="str">
        <f>IF(C7028&amp;G7028&amp;D7028&lt;&gt;'Funnel setup'!$K$3&amp;'Funnel setup'!$K$4&amp;'Funnel setup'!$K$5,".",IF(A7027=".",1,A7027+1))</f>
        <v>.</v>
      </c>
      <c r="B7028" s="431" t="str">
        <f t="shared" si="109"/>
        <v>Varicose VeinProviderWEST HERTFORDSHIRE HOSPITALS NHS TRUST (RWG)Aberdeen Varicose Vein Questionnaire</v>
      </c>
      <c r="C7028" t="s">
        <v>17</v>
      </c>
      <c r="D7028" t="s">
        <v>1</v>
      </c>
      <c r="E7028" t="s">
        <v>3733</v>
      </c>
      <c r="F7028" t="s">
        <v>3734</v>
      </c>
      <c r="G7028" t="s">
        <v>0</v>
      </c>
      <c r="H7028">
        <v>99</v>
      </c>
      <c r="I7028">
        <v>20.100999999999999</v>
      </c>
      <c r="J7028">
        <v>10.622</v>
      </c>
      <c r="K7028">
        <v>-9.48</v>
      </c>
      <c r="L7028">
        <v>83</v>
      </c>
      <c r="M7028">
        <v>0</v>
      </c>
      <c r="N7028">
        <v>16</v>
      </c>
      <c r="O7028">
        <v>9.7870000000000008</v>
      </c>
      <c r="P7028">
        <v>-11.135372479999999</v>
      </c>
      <c r="Q7028">
        <v>14.504</v>
      </c>
    </row>
    <row r="7029" spans="1:17" x14ac:dyDescent="0.2">
      <c r="A7029" s="30" t="str">
        <f>IF(C7029&amp;G7029&amp;D7029&lt;&gt;'Funnel setup'!$K$3&amp;'Funnel setup'!$K$4&amp;'Funnel setup'!$K$5,".",IF(A7028=".",1,A7028+1))</f>
        <v>.</v>
      </c>
      <c r="B7029" s="431" t="str">
        <f t="shared" si="109"/>
        <v>Varicose VeinProviderWEST SUFFOLK NHS FOUNDATION TRUST (RGR)Aberdeen Varicose Vein Questionnaire</v>
      </c>
      <c r="C7029" t="s">
        <v>17</v>
      </c>
      <c r="D7029" t="s">
        <v>1</v>
      </c>
      <c r="E7029" t="s">
        <v>3712</v>
      </c>
      <c r="F7029" t="s">
        <v>3713</v>
      </c>
      <c r="G7029" t="s">
        <v>0</v>
      </c>
      <c r="H7029">
        <v>30</v>
      </c>
      <c r="I7029">
        <v>20.460999999999999</v>
      </c>
      <c r="J7029">
        <v>11.605</v>
      </c>
      <c r="K7029">
        <v>-8.8559999999999999</v>
      </c>
      <c r="L7029">
        <v>27</v>
      </c>
      <c r="M7029">
        <v>0</v>
      </c>
      <c r="N7029">
        <v>3</v>
      </c>
      <c r="O7029">
        <v>11.486000000000001</v>
      </c>
      <c r="P7029">
        <v>-9.4364136100000007</v>
      </c>
      <c r="Q7029">
        <v>12.404999999999999</v>
      </c>
    </row>
    <row r="7030" spans="1:17" x14ac:dyDescent="0.2">
      <c r="A7030" s="30" t="str">
        <f>IF(C7030&amp;G7030&amp;D7030&lt;&gt;'Funnel setup'!$K$3&amp;'Funnel setup'!$K$4&amp;'Funnel setup'!$K$5,".",IF(A7029=".",1,A7029+1))</f>
        <v>.</v>
      </c>
      <c r="B7030" s="431" t="str">
        <f t="shared" si="109"/>
        <v>Varicose VeinProviderWESTERN SUSSEX HOSPITALS NHS FOUNDATION TRUST (RYR)Aberdeen Varicose Vein Questionnaire</v>
      </c>
      <c r="C7030" t="s">
        <v>17</v>
      </c>
      <c r="D7030" t="s">
        <v>1</v>
      </c>
      <c r="E7030" t="s">
        <v>3706</v>
      </c>
      <c r="F7030" t="s">
        <v>3707</v>
      </c>
      <c r="G7030" t="s">
        <v>0</v>
      </c>
      <c r="H7030">
        <v>12</v>
      </c>
      <c r="I7030">
        <v>20.663</v>
      </c>
      <c r="J7030">
        <v>10.6</v>
      </c>
      <c r="K7030">
        <v>-10.063000000000001</v>
      </c>
      <c r="L7030">
        <v>10</v>
      </c>
      <c r="M7030">
        <v>0</v>
      </c>
      <c r="N7030">
        <v>2</v>
      </c>
      <c r="O7030" t="s">
        <v>53</v>
      </c>
      <c r="P7030" t="s">
        <v>53</v>
      </c>
      <c r="Q7030" t="s">
        <v>53</v>
      </c>
    </row>
    <row r="7031" spans="1:17" x14ac:dyDescent="0.2">
      <c r="A7031" s="30" t="str">
        <f>IF(C7031&amp;G7031&amp;D7031&lt;&gt;'Funnel setup'!$K$3&amp;'Funnel setup'!$K$4&amp;'Funnel setup'!$K$5,".",IF(A7030=".",1,A7030+1))</f>
        <v>.</v>
      </c>
      <c r="B7031" s="431" t="str">
        <f t="shared" si="109"/>
        <v>Varicose VeinProviderWILL ADAMS NHS TREATMENT CENTRE (NTP16)Aberdeen Varicose Vein Questionnaire</v>
      </c>
      <c r="C7031" t="s">
        <v>17</v>
      </c>
      <c r="D7031" t="s">
        <v>1</v>
      </c>
      <c r="E7031" t="s">
        <v>3531</v>
      </c>
      <c r="F7031" t="s">
        <v>3532</v>
      </c>
      <c r="G7031" t="s">
        <v>0</v>
      </c>
      <c r="H7031">
        <v>14</v>
      </c>
      <c r="I7031">
        <v>17.526</v>
      </c>
      <c r="J7031">
        <v>16.337</v>
      </c>
      <c r="K7031">
        <v>-1.19</v>
      </c>
      <c r="L7031">
        <v>7</v>
      </c>
      <c r="M7031">
        <v>0</v>
      </c>
      <c r="N7031">
        <v>7</v>
      </c>
      <c r="O7031" t="s">
        <v>53</v>
      </c>
      <c r="P7031" t="s">
        <v>53</v>
      </c>
      <c r="Q7031" t="s">
        <v>53</v>
      </c>
    </row>
    <row r="7032" spans="1:17" x14ac:dyDescent="0.2">
      <c r="A7032" s="30" t="str">
        <f>IF(C7032&amp;G7032&amp;D7032&lt;&gt;'Funnel setup'!$K$3&amp;'Funnel setup'!$K$4&amp;'Funnel setup'!$K$5,".",IF(A7031=".",1,A7031+1))</f>
        <v>.</v>
      </c>
      <c r="B7032" s="431" t="str">
        <f t="shared" si="109"/>
        <v>Varicose VeinProviderWIRRAL UNIVERSITY TEACHING HOSPITAL NHS FOUNDATION TRUST (RBL)Aberdeen Varicose Vein Questionnaire</v>
      </c>
      <c r="C7032" t="s">
        <v>17</v>
      </c>
      <c r="D7032" t="s">
        <v>1</v>
      </c>
      <c r="E7032" t="s">
        <v>3537</v>
      </c>
      <c r="F7032" t="s">
        <v>3538</v>
      </c>
      <c r="G7032" t="s">
        <v>0</v>
      </c>
      <c r="H7032">
        <v>45</v>
      </c>
      <c r="I7032">
        <v>22.460999999999999</v>
      </c>
      <c r="J7032">
        <v>11.656000000000001</v>
      </c>
      <c r="K7032">
        <v>-10.805</v>
      </c>
      <c r="L7032">
        <v>40</v>
      </c>
      <c r="M7032">
        <v>0</v>
      </c>
      <c r="N7032">
        <v>5</v>
      </c>
      <c r="O7032">
        <v>12.602</v>
      </c>
      <c r="P7032">
        <v>-8.3207577609999994</v>
      </c>
      <c r="Q7032">
        <v>14.183999999999999</v>
      </c>
    </row>
    <row r="7033" spans="1:17" x14ac:dyDescent="0.2">
      <c r="A7033" s="30" t="str">
        <f>IF(C7033&amp;G7033&amp;D7033&lt;&gt;'Funnel setup'!$K$3&amp;'Funnel setup'!$K$4&amp;'Funnel setup'!$K$5,".",IF(A7032=".",1,A7032+1))</f>
        <v>.</v>
      </c>
      <c r="B7033" s="431" t="str">
        <f t="shared" si="109"/>
        <v>Varicose VeinProviderWORCESTERSHIRE ACUTE HOSPITALS NHS TRUST (RWP)Aberdeen Varicose Vein Questionnaire</v>
      </c>
      <c r="C7033" t="s">
        <v>17</v>
      </c>
      <c r="D7033" t="s">
        <v>1</v>
      </c>
      <c r="E7033" t="s">
        <v>3543</v>
      </c>
      <c r="F7033" t="s">
        <v>3544</v>
      </c>
      <c r="G7033" t="s">
        <v>0</v>
      </c>
      <c r="H7033">
        <v>21</v>
      </c>
      <c r="I7033">
        <v>17.562999999999999</v>
      </c>
      <c r="J7033">
        <v>12.601000000000001</v>
      </c>
      <c r="K7033">
        <v>-4.9619999999999997</v>
      </c>
      <c r="L7033">
        <v>15</v>
      </c>
      <c r="M7033">
        <v>0</v>
      </c>
      <c r="N7033">
        <v>6</v>
      </c>
      <c r="O7033" t="s">
        <v>53</v>
      </c>
      <c r="P7033" t="s">
        <v>53</v>
      </c>
      <c r="Q7033" t="s">
        <v>53</v>
      </c>
    </row>
    <row r="7034" spans="1:17" x14ac:dyDescent="0.2">
      <c r="A7034" s="30" t="str">
        <f>IF(C7034&amp;G7034&amp;D7034&lt;&gt;'Funnel setup'!$K$3&amp;'Funnel setup'!$K$4&amp;'Funnel setup'!$K$5,".",IF(A7033=".",1,A7033+1))</f>
        <v>.</v>
      </c>
      <c r="B7034" s="431" t="str">
        <f t="shared" si="109"/>
        <v>Varicose VeinProviderWRIGHTINGTON, WIGAN AND LEIGH NHS FOUNDATION TRUST (RRF)Aberdeen Varicose Vein Questionnaire</v>
      </c>
      <c r="C7034" t="s">
        <v>17</v>
      </c>
      <c r="D7034" t="s">
        <v>1</v>
      </c>
      <c r="E7034" t="s">
        <v>3546</v>
      </c>
      <c r="F7034" t="s">
        <v>3547</v>
      </c>
      <c r="G7034" t="s">
        <v>0</v>
      </c>
      <c r="H7034" t="s">
        <v>53</v>
      </c>
      <c r="I7034" t="s">
        <v>53</v>
      </c>
      <c r="J7034" t="s">
        <v>53</v>
      </c>
      <c r="K7034" t="s">
        <v>53</v>
      </c>
      <c r="L7034" t="s">
        <v>53</v>
      </c>
      <c r="M7034" t="s">
        <v>53</v>
      </c>
      <c r="N7034" t="s">
        <v>53</v>
      </c>
      <c r="O7034" t="s">
        <v>53</v>
      </c>
      <c r="P7034" t="s">
        <v>53</v>
      </c>
      <c r="Q7034" t="s">
        <v>53</v>
      </c>
    </row>
    <row r="7035" spans="1:17" x14ac:dyDescent="0.2">
      <c r="A7035" s="30" t="str">
        <f>IF(C7035&amp;G7035&amp;D7035&lt;&gt;'Funnel setup'!$K$3&amp;'Funnel setup'!$K$4&amp;'Funnel setup'!$K$5,".",IF(A7034=".",1,A7034+1))</f>
        <v>.</v>
      </c>
      <c r="B7035" s="431" t="str">
        <f t="shared" si="109"/>
        <v>Varicose VeinProviderWYE VALLEY NHS TRUST (RLQ)Aberdeen Varicose Vein Questionnaire</v>
      </c>
      <c r="C7035" t="s">
        <v>17</v>
      </c>
      <c r="D7035" t="s">
        <v>1</v>
      </c>
      <c r="E7035" t="s">
        <v>3517</v>
      </c>
      <c r="F7035" t="s">
        <v>3518</v>
      </c>
      <c r="G7035" t="s">
        <v>0</v>
      </c>
      <c r="H7035">
        <v>42</v>
      </c>
      <c r="I7035">
        <v>19.486999999999998</v>
      </c>
      <c r="J7035">
        <v>9.0139999999999993</v>
      </c>
      <c r="K7035">
        <v>-10.473000000000001</v>
      </c>
      <c r="L7035">
        <v>38</v>
      </c>
      <c r="M7035">
        <v>0</v>
      </c>
      <c r="N7035">
        <v>4</v>
      </c>
      <c r="O7035">
        <v>7.6680000000000001</v>
      </c>
      <c r="P7035">
        <v>-13.254036709999999</v>
      </c>
      <c r="Q7035">
        <v>14.878</v>
      </c>
    </row>
    <row r="7036" spans="1:17" x14ac:dyDescent="0.2">
      <c r="A7036" s="30" t="str">
        <f>IF(C7036&amp;G7036&amp;D7036&lt;&gt;'Funnel setup'!$K$3&amp;'Funnel setup'!$K$4&amp;'Funnel setup'!$K$5,".",IF(A7035=".",1,A7035+1))</f>
        <v>.</v>
      </c>
      <c r="B7036" s="431" t="str">
        <f t="shared" si="109"/>
        <v>Varicose VeinProviderYORK TEACHING HOSPITAL NHS FOUNDATION TRUST (RCB)Aberdeen Varicose Vein Questionnaire</v>
      </c>
      <c r="C7036" t="s">
        <v>17</v>
      </c>
      <c r="D7036" t="s">
        <v>1</v>
      </c>
      <c r="E7036" t="s">
        <v>3515</v>
      </c>
      <c r="F7036" t="s">
        <v>343</v>
      </c>
      <c r="G7036" t="s">
        <v>0</v>
      </c>
      <c r="H7036">
        <v>99</v>
      </c>
      <c r="I7036">
        <v>22.198</v>
      </c>
      <c r="J7036">
        <v>10.481</v>
      </c>
      <c r="K7036">
        <v>-11.715999999999999</v>
      </c>
      <c r="L7036">
        <v>87</v>
      </c>
      <c r="M7036">
        <v>0</v>
      </c>
      <c r="N7036">
        <v>12</v>
      </c>
      <c r="O7036">
        <v>10.914</v>
      </c>
      <c r="P7036">
        <v>-10.008059449999999</v>
      </c>
      <c r="Q7036">
        <v>16.033999999999999</v>
      </c>
    </row>
    <row r="7037" spans="1:17" x14ac:dyDescent="0.2">
      <c r="A7037" s="30" t="str">
        <f>IF(C7037&amp;G7037&amp;D7037&lt;&gt;'Funnel setup'!$K$3&amp;'Funnel setup'!$K$4&amp;'Funnel setup'!$K$5,".",IF(A7036=".",1,A7036+1))</f>
        <v>.</v>
      </c>
      <c r="B7037" s="431" t="str">
        <f t="shared" si="109"/>
        <v>Varicose VeinProviderAINTREE UNIVERSITY HOSPITAL NHS FOUNDATION TRUST (REM)EQ VAS</v>
      </c>
      <c r="C7037" t="s">
        <v>17</v>
      </c>
      <c r="D7037" t="s">
        <v>1</v>
      </c>
      <c r="E7037" t="s">
        <v>3838</v>
      </c>
      <c r="F7037" t="s">
        <v>3839</v>
      </c>
      <c r="G7037" t="s">
        <v>179</v>
      </c>
      <c r="H7037">
        <v>25</v>
      </c>
      <c r="I7037">
        <v>73.16</v>
      </c>
      <c r="J7037">
        <v>71.16</v>
      </c>
      <c r="K7037">
        <v>-2</v>
      </c>
      <c r="L7037">
        <v>10</v>
      </c>
      <c r="M7037">
        <v>3</v>
      </c>
      <c r="N7037">
        <v>12</v>
      </c>
      <c r="O7037" t="s">
        <v>53</v>
      </c>
      <c r="P7037" t="s">
        <v>53</v>
      </c>
      <c r="Q7037" t="s">
        <v>53</v>
      </c>
    </row>
    <row r="7038" spans="1:17" x14ac:dyDescent="0.2">
      <c r="A7038" s="30" t="str">
        <f>IF(C7038&amp;G7038&amp;D7038&lt;&gt;'Funnel setup'!$K$3&amp;'Funnel setup'!$K$4&amp;'Funnel setup'!$K$5,".",IF(A7037=".",1,A7037+1))</f>
        <v>.</v>
      </c>
      <c r="B7038" s="431" t="str">
        <f t="shared" si="109"/>
        <v>Varicose VeinProviderAIREDALE NHS FOUNDATION TRUST (RCF)EQ VAS</v>
      </c>
      <c r="C7038" t="s">
        <v>17</v>
      </c>
      <c r="D7038" t="s">
        <v>1</v>
      </c>
      <c r="E7038" t="s">
        <v>3841</v>
      </c>
      <c r="F7038" t="s">
        <v>3842</v>
      </c>
      <c r="G7038" t="s">
        <v>179</v>
      </c>
      <c r="H7038">
        <v>61</v>
      </c>
      <c r="I7038">
        <v>80.066000000000003</v>
      </c>
      <c r="J7038">
        <v>79.147999999999996</v>
      </c>
      <c r="K7038">
        <v>-0.91800000000000004</v>
      </c>
      <c r="L7038">
        <v>22</v>
      </c>
      <c r="M7038">
        <v>9</v>
      </c>
      <c r="N7038">
        <v>30</v>
      </c>
      <c r="O7038">
        <v>77.95</v>
      </c>
      <c r="P7038">
        <v>-1.0144460200000001</v>
      </c>
      <c r="Q7038">
        <v>12.510999999999999</v>
      </c>
    </row>
    <row r="7039" spans="1:17" x14ac:dyDescent="0.2">
      <c r="A7039" s="30" t="str">
        <f>IF(C7039&amp;G7039&amp;D7039&lt;&gt;'Funnel setup'!$K$3&amp;'Funnel setup'!$K$4&amp;'Funnel setup'!$K$5,".",IF(A7038=".",1,A7038+1))</f>
        <v>.</v>
      </c>
      <c r="B7039" s="431" t="str">
        <f t="shared" si="109"/>
        <v>Varicose VeinProviderASHFORD AND ST PETER'S HOSPITALS NHS FOUNDATION TRUST (RTK)EQ VAS</v>
      </c>
      <c r="C7039" t="s">
        <v>17</v>
      </c>
      <c r="D7039" t="s">
        <v>1</v>
      </c>
      <c r="E7039" t="s">
        <v>3844</v>
      </c>
      <c r="F7039" t="s">
        <v>345</v>
      </c>
      <c r="G7039" t="s">
        <v>179</v>
      </c>
      <c r="H7039">
        <v>19</v>
      </c>
      <c r="I7039">
        <v>81.578999999999994</v>
      </c>
      <c r="J7039">
        <v>78.947000000000003</v>
      </c>
      <c r="K7039">
        <v>-2.6320000000000001</v>
      </c>
      <c r="L7039">
        <v>7</v>
      </c>
      <c r="M7039">
        <v>4</v>
      </c>
      <c r="N7039">
        <v>8</v>
      </c>
      <c r="O7039" t="s">
        <v>53</v>
      </c>
      <c r="P7039" t="s">
        <v>53</v>
      </c>
      <c r="Q7039" t="s">
        <v>53</v>
      </c>
    </row>
    <row r="7040" spans="1:17" x14ac:dyDescent="0.2">
      <c r="A7040" s="30" t="str">
        <f>IF(C7040&amp;G7040&amp;D7040&lt;&gt;'Funnel setup'!$K$3&amp;'Funnel setup'!$K$4&amp;'Funnel setup'!$K$5,".",IF(A7039=".",1,A7039+1))</f>
        <v>.</v>
      </c>
      <c r="B7040" s="431" t="str">
        <f t="shared" si="109"/>
        <v>Varicose VeinProviderASHTEAD HOSPITAL (NVC01)EQ VAS</v>
      </c>
      <c r="C7040" t="s">
        <v>17</v>
      </c>
      <c r="D7040" t="s">
        <v>1</v>
      </c>
      <c r="E7040" t="s">
        <v>3846</v>
      </c>
      <c r="F7040" t="s">
        <v>3847</v>
      </c>
      <c r="G7040" t="s">
        <v>179</v>
      </c>
      <c r="H7040">
        <v>14</v>
      </c>
      <c r="I7040">
        <v>77.856999999999999</v>
      </c>
      <c r="J7040">
        <v>84.213999999999999</v>
      </c>
      <c r="K7040">
        <v>6.3570000000000002</v>
      </c>
      <c r="L7040">
        <v>8</v>
      </c>
      <c r="M7040">
        <v>0</v>
      </c>
      <c r="N7040">
        <v>6</v>
      </c>
      <c r="O7040" t="s">
        <v>53</v>
      </c>
      <c r="P7040" t="s">
        <v>53</v>
      </c>
      <c r="Q7040" t="s">
        <v>53</v>
      </c>
    </row>
    <row r="7041" spans="1:17" x14ac:dyDescent="0.2">
      <c r="A7041" s="30" t="str">
        <f>IF(C7041&amp;G7041&amp;D7041&lt;&gt;'Funnel setup'!$K$3&amp;'Funnel setup'!$K$4&amp;'Funnel setup'!$K$5,".",IF(A7040=".",1,A7040+1))</f>
        <v>.</v>
      </c>
      <c r="B7041" s="431" t="str">
        <f t="shared" si="109"/>
        <v>Varicose VeinProviderBARKING, HAVERING AND REDBRIDGE UNIVERSITY HOSPITALS NHS TRUST (RF4)EQ VAS</v>
      </c>
      <c r="C7041" t="s">
        <v>17</v>
      </c>
      <c r="D7041" t="s">
        <v>1</v>
      </c>
      <c r="E7041" t="s">
        <v>3509</v>
      </c>
      <c r="F7041" t="s">
        <v>3510</v>
      </c>
      <c r="G7041" t="s">
        <v>179</v>
      </c>
      <c r="H7041">
        <v>28</v>
      </c>
      <c r="I7041">
        <v>73.429000000000002</v>
      </c>
      <c r="J7041">
        <v>74.356999999999999</v>
      </c>
      <c r="K7041">
        <v>0.92900000000000005</v>
      </c>
      <c r="L7041">
        <v>12</v>
      </c>
      <c r="M7041">
        <v>7</v>
      </c>
      <c r="N7041">
        <v>9</v>
      </c>
      <c r="O7041" t="s">
        <v>53</v>
      </c>
      <c r="P7041" t="s">
        <v>53</v>
      </c>
      <c r="Q7041" t="s">
        <v>53</v>
      </c>
    </row>
    <row r="7042" spans="1:17" x14ac:dyDescent="0.2">
      <c r="A7042" s="30" t="str">
        <f>IF(C7042&amp;G7042&amp;D7042&lt;&gt;'Funnel setup'!$K$3&amp;'Funnel setup'!$K$4&amp;'Funnel setup'!$K$5,".",IF(A7041=".",1,A7041+1))</f>
        <v>.</v>
      </c>
      <c r="B7042" s="431" t="str">
        <f t="shared" si="109"/>
        <v>Varicose VeinProviderBARNSLEY HOSPITAL NHS FOUNDATION TRUST (RFF)EQ VAS</v>
      </c>
      <c r="C7042" t="s">
        <v>17</v>
      </c>
      <c r="D7042" t="s">
        <v>1</v>
      </c>
      <c r="E7042" t="s">
        <v>3549</v>
      </c>
      <c r="F7042" t="s">
        <v>3550</v>
      </c>
      <c r="G7042" t="s">
        <v>179</v>
      </c>
      <c r="H7042">
        <v>12</v>
      </c>
      <c r="I7042">
        <v>87</v>
      </c>
      <c r="J7042">
        <v>78.75</v>
      </c>
      <c r="K7042">
        <v>-8.25</v>
      </c>
      <c r="L7042">
        <v>5</v>
      </c>
      <c r="M7042">
        <v>2</v>
      </c>
      <c r="N7042">
        <v>5</v>
      </c>
      <c r="O7042" t="s">
        <v>53</v>
      </c>
      <c r="P7042" t="s">
        <v>53</v>
      </c>
      <c r="Q7042" t="s">
        <v>53</v>
      </c>
    </row>
    <row r="7043" spans="1:17" x14ac:dyDescent="0.2">
      <c r="A7043" s="30" t="str">
        <f>IF(C7043&amp;G7043&amp;D7043&lt;&gt;'Funnel setup'!$K$3&amp;'Funnel setup'!$K$4&amp;'Funnel setup'!$K$5,".",IF(A7042=".",1,A7042+1))</f>
        <v>.</v>
      </c>
      <c r="B7043" s="431" t="str">
        <f t="shared" ref="B7043:B7106" si="110">C7043&amp;D7043&amp;F7043&amp;G7043</f>
        <v>Varicose VeinProviderBARTS HEALTH NHS TRUST (R1H)EQ VAS</v>
      </c>
      <c r="C7043" t="s">
        <v>17</v>
      </c>
      <c r="D7043" t="s">
        <v>1</v>
      </c>
      <c r="E7043" t="s">
        <v>3552</v>
      </c>
      <c r="F7043" t="s">
        <v>3553</v>
      </c>
      <c r="G7043" t="s">
        <v>179</v>
      </c>
      <c r="H7043">
        <v>55</v>
      </c>
      <c r="I7043">
        <v>77.272999999999996</v>
      </c>
      <c r="J7043">
        <v>76.382000000000005</v>
      </c>
      <c r="K7043">
        <v>-0.89100000000000001</v>
      </c>
      <c r="L7043">
        <v>25</v>
      </c>
      <c r="M7043">
        <v>10</v>
      </c>
      <c r="N7043">
        <v>20</v>
      </c>
      <c r="O7043">
        <v>79.591999999999999</v>
      </c>
      <c r="P7043">
        <v>0.62754469899999998</v>
      </c>
      <c r="Q7043">
        <v>15.686</v>
      </c>
    </row>
    <row r="7044" spans="1:17" x14ac:dyDescent="0.2">
      <c r="A7044" s="30" t="str">
        <f>IF(C7044&amp;G7044&amp;D7044&lt;&gt;'Funnel setup'!$K$3&amp;'Funnel setup'!$K$4&amp;'Funnel setup'!$K$5,".",IF(A7043=".",1,A7043+1))</f>
        <v>.</v>
      </c>
      <c r="B7044" s="431" t="str">
        <f t="shared" si="110"/>
        <v>Varicose VeinProviderBASILDON AND THURROCK UNIVERSITY HOSPITALS NHS FOUNDATION TRUST (RDD)EQ VAS</v>
      </c>
      <c r="C7044" t="s">
        <v>17</v>
      </c>
      <c r="D7044" t="s">
        <v>1</v>
      </c>
      <c r="E7044" t="s">
        <v>3555</v>
      </c>
      <c r="F7044" t="s">
        <v>3556</v>
      </c>
      <c r="G7044" t="s">
        <v>179</v>
      </c>
      <c r="H7044" t="s">
        <v>53</v>
      </c>
      <c r="I7044" t="s">
        <v>53</v>
      </c>
      <c r="J7044" t="s">
        <v>53</v>
      </c>
      <c r="K7044" t="s">
        <v>53</v>
      </c>
      <c r="L7044" t="s">
        <v>53</v>
      </c>
      <c r="M7044" t="s">
        <v>53</v>
      </c>
      <c r="N7044" t="s">
        <v>53</v>
      </c>
      <c r="O7044" t="s">
        <v>53</v>
      </c>
      <c r="P7044" t="s">
        <v>53</v>
      </c>
      <c r="Q7044" t="s">
        <v>53</v>
      </c>
    </row>
    <row r="7045" spans="1:17" x14ac:dyDescent="0.2">
      <c r="A7045" s="30" t="str">
        <f>IF(C7045&amp;G7045&amp;D7045&lt;&gt;'Funnel setup'!$K$3&amp;'Funnel setup'!$K$4&amp;'Funnel setup'!$K$5,".",IF(A7044=".",1,A7044+1))</f>
        <v>.</v>
      </c>
      <c r="B7045" s="431" t="str">
        <f t="shared" si="110"/>
        <v>Varicose VeinProviderBEDFORD HOSPITAL NHS TRUST (RC1)EQ VAS</v>
      </c>
      <c r="C7045" t="s">
        <v>17</v>
      </c>
      <c r="D7045" t="s">
        <v>1</v>
      </c>
      <c r="E7045" t="s">
        <v>3558</v>
      </c>
      <c r="F7045" t="s">
        <v>3559</v>
      </c>
      <c r="G7045" t="s">
        <v>179</v>
      </c>
      <c r="H7045">
        <v>29</v>
      </c>
      <c r="I7045">
        <v>74.447999999999993</v>
      </c>
      <c r="J7045">
        <v>73.793000000000006</v>
      </c>
      <c r="K7045">
        <v>-0.65500000000000003</v>
      </c>
      <c r="L7045">
        <v>13</v>
      </c>
      <c r="M7045">
        <v>7</v>
      </c>
      <c r="N7045">
        <v>9</v>
      </c>
      <c r="O7045" t="s">
        <v>53</v>
      </c>
      <c r="P7045" t="s">
        <v>53</v>
      </c>
      <c r="Q7045" t="s">
        <v>53</v>
      </c>
    </row>
    <row r="7046" spans="1:17" x14ac:dyDescent="0.2">
      <c r="A7046" s="30" t="str">
        <f>IF(C7046&amp;G7046&amp;D7046&lt;&gt;'Funnel setup'!$K$3&amp;'Funnel setup'!$K$4&amp;'Funnel setup'!$K$5,".",IF(A7045=".",1,A7045+1))</f>
        <v>.</v>
      </c>
      <c r="B7046" s="431" t="str">
        <f t="shared" si="110"/>
        <v>Varicose VeinProviderBLACKPOOL TEACHING HOSPITALS NHS FOUNDATION TRUST (RXL)EQ VAS</v>
      </c>
      <c r="C7046" t="s">
        <v>17</v>
      </c>
      <c r="D7046" t="s">
        <v>1</v>
      </c>
      <c r="E7046" t="s">
        <v>3561</v>
      </c>
      <c r="F7046" t="s">
        <v>3562</v>
      </c>
      <c r="G7046" t="s">
        <v>179</v>
      </c>
      <c r="H7046">
        <v>8</v>
      </c>
      <c r="I7046">
        <v>68</v>
      </c>
      <c r="J7046">
        <v>70</v>
      </c>
      <c r="K7046">
        <v>2</v>
      </c>
      <c r="L7046">
        <v>4</v>
      </c>
      <c r="M7046">
        <v>1</v>
      </c>
      <c r="N7046">
        <v>3</v>
      </c>
      <c r="O7046" t="s">
        <v>53</v>
      </c>
      <c r="P7046" t="s">
        <v>53</v>
      </c>
      <c r="Q7046" t="s">
        <v>53</v>
      </c>
    </row>
    <row r="7047" spans="1:17" x14ac:dyDescent="0.2">
      <c r="A7047" s="30" t="str">
        <f>IF(C7047&amp;G7047&amp;D7047&lt;&gt;'Funnel setup'!$K$3&amp;'Funnel setup'!$K$4&amp;'Funnel setup'!$K$5,".",IF(A7046=".",1,A7046+1))</f>
        <v>.</v>
      </c>
      <c r="B7047" s="431" t="str">
        <f t="shared" si="110"/>
        <v>Varicose VeinProviderBMI - SHIRLEY OAKS HOSPITAL (NT436)EQ VAS</v>
      </c>
      <c r="C7047" t="s">
        <v>17</v>
      </c>
      <c r="D7047" t="s">
        <v>1</v>
      </c>
      <c r="E7047" t="s">
        <v>3576</v>
      </c>
      <c r="F7047" t="s">
        <v>3577</v>
      </c>
      <c r="G7047" t="s">
        <v>179</v>
      </c>
      <c r="H7047" t="s">
        <v>53</v>
      </c>
      <c r="I7047" t="s">
        <v>53</v>
      </c>
      <c r="J7047" t="s">
        <v>53</v>
      </c>
      <c r="K7047" t="s">
        <v>53</v>
      </c>
      <c r="L7047" t="s">
        <v>53</v>
      </c>
      <c r="M7047" t="s">
        <v>53</v>
      </c>
      <c r="N7047" t="s">
        <v>53</v>
      </c>
      <c r="O7047" t="s">
        <v>53</v>
      </c>
      <c r="P7047" t="s">
        <v>53</v>
      </c>
      <c r="Q7047" t="s">
        <v>53</v>
      </c>
    </row>
    <row r="7048" spans="1:17" x14ac:dyDescent="0.2">
      <c r="A7048" s="30" t="str">
        <f>IF(C7048&amp;G7048&amp;D7048&lt;&gt;'Funnel setup'!$K$3&amp;'Funnel setup'!$K$4&amp;'Funnel setup'!$K$5,".",IF(A7047=".",1,A7047+1))</f>
        <v>.</v>
      </c>
      <c r="B7048" s="431" t="str">
        <f t="shared" si="110"/>
        <v>Varicose VeinProviderBMI - THE DROITWICH SPA HOSPITAL (NT412)EQ VAS</v>
      </c>
      <c r="C7048" t="s">
        <v>17</v>
      </c>
      <c r="D7048" t="s">
        <v>1</v>
      </c>
      <c r="E7048" t="s">
        <v>3600</v>
      </c>
      <c r="F7048" t="s">
        <v>3601</v>
      </c>
      <c r="G7048" t="s">
        <v>179</v>
      </c>
      <c r="H7048" t="s">
        <v>53</v>
      </c>
      <c r="I7048" t="s">
        <v>53</v>
      </c>
      <c r="J7048" t="s">
        <v>53</v>
      </c>
      <c r="K7048" t="s">
        <v>53</v>
      </c>
      <c r="L7048" t="s">
        <v>53</v>
      </c>
      <c r="M7048" t="s">
        <v>53</v>
      </c>
      <c r="N7048" t="s">
        <v>53</v>
      </c>
      <c r="O7048" t="s">
        <v>53</v>
      </c>
      <c r="P7048" t="s">
        <v>53</v>
      </c>
      <c r="Q7048" t="s">
        <v>53</v>
      </c>
    </row>
    <row r="7049" spans="1:17" x14ac:dyDescent="0.2">
      <c r="A7049" s="30" t="str">
        <f>IF(C7049&amp;G7049&amp;D7049&lt;&gt;'Funnel setup'!$K$3&amp;'Funnel setup'!$K$4&amp;'Funnel setup'!$K$5,".",IF(A7048=".",1,A7048+1))</f>
        <v>.</v>
      </c>
      <c r="B7049" s="431" t="str">
        <f t="shared" si="110"/>
        <v>Varicose VeinProviderBMI - THE SHELBURNE HOSPITAL (NT435)EQ VAS</v>
      </c>
      <c r="C7049" t="s">
        <v>17</v>
      </c>
      <c r="D7049" t="s">
        <v>1</v>
      </c>
      <c r="E7049" t="s">
        <v>4318</v>
      </c>
      <c r="F7049" t="s">
        <v>4319</v>
      </c>
      <c r="G7049" t="s">
        <v>179</v>
      </c>
      <c r="H7049" t="s">
        <v>53</v>
      </c>
      <c r="I7049" t="s">
        <v>53</v>
      </c>
      <c r="J7049" t="s">
        <v>53</v>
      </c>
      <c r="K7049" t="s">
        <v>53</v>
      </c>
      <c r="L7049" t="s">
        <v>53</v>
      </c>
      <c r="M7049" t="s">
        <v>53</v>
      </c>
      <c r="N7049" t="s">
        <v>53</v>
      </c>
      <c r="O7049" t="s">
        <v>53</v>
      </c>
      <c r="P7049" t="s">
        <v>53</v>
      </c>
      <c r="Q7049" t="s">
        <v>53</v>
      </c>
    </row>
    <row r="7050" spans="1:17" x14ac:dyDescent="0.2">
      <c r="A7050" s="30" t="str">
        <f>IF(C7050&amp;G7050&amp;D7050&lt;&gt;'Funnel setup'!$K$3&amp;'Funnel setup'!$K$4&amp;'Funnel setup'!$K$5,".",IF(A7049=".",1,A7049+1))</f>
        <v>.</v>
      </c>
      <c r="B7050" s="431" t="str">
        <f t="shared" si="110"/>
        <v>Varicose VeinProviderBMI SOUTHEND PRIVATE HOSPITAL (NT490)EQ VAS</v>
      </c>
      <c r="C7050" t="s">
        <v>17</v>
      </c>
      <c r="D7050" t="s">
        <v>1</v>
      </c>
      <c r="E7050" t="s">
        <v>3325</v>
      </c>
      <c r="F7050" t="s">
        <v>3326</v>
      </c>
      <c r="G7050" t="s">
        <v>179</v>
      </c>
      <c r="H7050" t="s">
        <v>53</v>
      </c>
      <c r="I7050" t="s">
        <v>53</v>
      </c>
      <c r="J7050" t="s">
        <v>53</v>
      </c>
      <c r="K7050" t="s">
        <v>53</v>
      </c>
      <c r="L7050" t="s">
        <v>53</v>
      </c>
      <c r="M7050" t="s">
        <v>53</v>
      </c>
      <c r="N7050" t="s">
        <v>53</v>
      </c>
      <c r="O7050" t="s">
        <v>53</v>
      </c>
      <c r="P7050" t="s">
        <v>53</v>
      </c>
      <c r="Q7050" t="s">
        <v>53</v>
      </c>
    </row>
    <row r="7051" spans="1:17" x14ac:dyDescent="0.2">
      <c r="A7051" s="30" t="str">
        <f>IF(C7051&amp;G7051&amp;D7051&lt;&gt;'Funnel setup'!$K$3&amp;'Funnel setup'!$K$4&amp;'Funnel setup'!$K$5,".",IF(A7050=".",1,A7050+1))</f>
        <v>.</v>
      </c>
      <c r="B7051" s="431" t="str">
        <f t="shared" si="110"/>
        <v>Varicose VeinProviderBOLTON NHS FOUNDATION TRUST (RMC)EQ VAS</v>
      </c>
      <c r="C7051" t="s">
        <v>17</v>
      </c>
      <c r="D7051" t="s">
        <v>1</v>
      </c>
      <c r="E7051" t="s">
        <v>3358</v>
      </c>
      <c r="F7051" t="s">
        <v>3359</v>
      </c>
      <c r="G7051" t="s">
        <v>179</v>
      </c>
      <c r="H7051">
        <v>52</v>
      </c>
      <c r="I7051">
        <v>80.385000000000005</v>
      </c>
      <c r="J7051">
        <v>77.962000000000003</v>
      </c>
      <c r="K7051">
        <v>-2.423</v>
      </c>
      <c r="L7051">
        <v>20</v>
      </c>
      <c r="M7051">
        <v>13</v>
      </c>
      <c r="N7051">
        <v>19</v>
      </c>
      <c r="O7051">
        <v>76.662000000000006</v>
      </c>
      <c r="P7051">
        <v>-2.3023134810000001</v>
      </c>
      <c r="Q7051">
        <v>17.259</v>
      </c>
    </row>
    <row r="7052" spans="1:17" x14ac:dyDescent="0.2">
      <c r="A7052" s="30" t="str">
        <f>IF(C7052&amp;G7052&amp;D7052&lt;&gt;'Funnel setup'!$K$3&amp;'Funnel setup'!$K$4&amp;'Funnel setup'!$K$5,".",IF(A7051=".",1,A7051+1))</f>
        <v>.</v>
      </c>
      <c r="B7052" s="431" t="str">
        <f t="shared" si="110"/>
        <v>Varicose VeinProviderBOSTON WEST HOSPITAL (NVC27)EQ VAS</v>
      </c>
      <c r="C7052" t="s">
        <v>17</v>
      </c>
      <c r="D7052" t="s">
        <v>1</v>
      </c>
      <c r="E7052" t="s">
        <v>3376</v>
      </c>
      <c r="F7052" t="s">
        <v>3377</v>
      </c>
      <c r="G7052" t="s">
        <v>179</v>
      </c>
      <c r="H7052">
        <v>18</v>
      </c>
      <c r="I7052">
        <v>86.221999999999994</v>
      </c>
      <c r="J7052">
        <v>87.278000000000006</v>
      </c>
      <c r="K7052">
        <v>1.056</v>
      </c>
      <c r="L7052">
        <v>8</v>
      </c>
      <c r="M7052">
        <v>2</v>
      </c>
      <c r="N7052">
        <v>8</v>
      </c>
      <c r="O7052" t="s">
        <v>53</v>
      </c>
      <c r="P7052" t="s">
        <v>53</v>
      </c>
      <c r="Q7052" t="s">
        <v>53</v>
      </c>
    </row>
    <row r="7053" spans="1:17" x14ac:dyDescent="0.2">
      <c r="A7053" s="30" t="str">
        <f>IF(C7053&amp;G7053&amp;D7053&lt;&gt;'Funnel setup'!$K$3&amp;'Funnel setup'!$K$4&amp;'Funnel setup'!$K$5,".",IF(A7052=".",1,A7052+1))</f>
        <v>.</v>
      </c>
      <c r="B7053" s="431" t="str">
        <f t="shared" si="110"/>
        <v>Varicose VeinProviderBRADFORD TEACHING HOSPITALS NHS FOUNDATION TRUST (RAE)EQ VAS</v>
      </c>
      <c r="C7053" t="s">
        <v>17</v>
      </c>
      <c r="D7053" t="s">
        <v>1</v>
      </c>
      <c r="E7053" t="s">
        <v>3361</v>
      </c>
      <c r="F7053" t="s">
        <v>3362</v>
      </c>
      <c r="G7053" t="s">
        <v>179</v>
      </c>
      <c r="H7053">
        <v>39</v>
      </c>
      <c r="I7053">
        <v>77.41</v>
      </c>
      <c r="J7053">
        <v>72.128</v>
      </c>
      <c r="K7053">
        <v>-5.282</v>
      </c>
      <c r="L7053">
        <v>13</v>
      </c>
      <c r="M7053">
        <v>8</v>
      </c>
      <c r="N7053">
        <v>18</v>
      </c>
      <c r="O7053">
        <v>74.183000000000007</v>
      </c>
      <c r="P7053">
        <v>-4.7808465099999999</v>
      </c>
      <c r="Q7053">
        <v>15.91</v>
      </c>
    </row>
    <row r="7054" spans="1:17" x14ac:dyDescent="0.2">
      <c r="A7054" s="30" t="str">
        <f>IF(C7054&amp;G7054&amp;D7054&lt;&gt;'Funnel setup'!$K$3&amp;'Funnel setup'!$K$4&amp;'Funnel setup'!$K$5,".",IF(A7053=".",1,A7053+1))</f>
        <v>.</v>
      </c>
      <c r="B7054" s="431" t="str">
        <f t="shared" si="110"/>
        <v>Varicose VeinProviderBRIGHTON AND SUSSEX UNIVERSITY HOSPITALS NHS TRUST (RXH)EQ VAS</v>
      </c>
      <c r="C7054" t="s">
        <v>17</v>
      </c>
      <c r="D7054" t="s">
        <v>1</v>
      </c>
      <c r="E7054" t="s">
        <v>3367</v>
      </c>
      <c r="F7054" t="s">
        <v>3368</v>
      </c>
      <c r="G7054" t="s">
        <v>179</v>
      </c>
      <c r="H7054">
        <v>44</v>
      </c>
      <c r="I7054">
        <v>74.340999999999994</v>
      </c>
      <c r="J7054">
        <v>75.567999999999998</v>
      </c>
      <c r="K7054">
        <v>1.2270000000000001</v>
      </c>
      <c r="L7054">
        <v>20</v>
      </c>
      <c r="M7054">
        <v>6</v>
      </c>
      <c r="N7054">
        <v>18</v>
      </c>
      <c r="O7054">
        <v>78.576999999999998</v>
      </c>
      <c r="P7054">
        <v>-0.387165229</v>
      </c>
      <c r="Q7054">
        <v>12.363</v>
      </c>
    </row>
    <row r="7055" spans="1:17" x14ac:dyDescent="0.2">
      <c r="A7055" s="30" t="str">
        <f>IF(C7055&amp;G7055&amp;D7055&lt;&gt;'Funnel setup'!$K$3&amp;'Funnel setup'!$K$4&amp;'Funnel setup'!$K$5,".",IF(A7054=".",1,A7054+1))</f>
        <v>.</v>
      </c>
      <c r="B7055" s="431" t="str">
        <f t="shared" si="110"/>
        <v>Varicose VeinProviderBUCKINGHAMSHIRE HEALTHCARE NHS TRUST (RXQ)EQ VAS</v>
      </c>
      <c r="C7055" t="s">
        <v>17</v>
      </c>
      <c r="D7055" t="s">
        <v>1</v>
      </c>
      <c r="E7055" t="s">
        <v>3370</v>
      </c>
      <c r="F7055" t="s">
        <v>3371</v>
      </c>
      <c r="G7055" t="s">
        <v>179</v>
      </c>
      <c r="H7055">
        <v>40</v>
      </c>
      <c r="I7055">
        <v>78.099999999999994</v>
      </c>
      <c r="J7055">
        <v>79.775000000000006</v>
      </c>
      <c r="K7055">
        <v>1.675</v>
      </c>
      <c r="L7055">
        <v>22</v>
      </c>
      <c r="M7055">
        <v>5</v>
      </c>
      <c r="N7055">
        <v>13</v>
      </c>
      <c r="O7055">
        <v>80.91</v>
      </c>
      <c r="P7055">
        <v>1.945963925</v>
      </c>
      <c r="Q7055">
        <v>14.263</v>
      </c>
    </row>
    <row r="7056" spans="1:17" x14ac:dyDescent="0.2">
      <c r="A7056" s="30" t="str">
        <f>IF(C7056&amp;G7056&amp;D7056&lt;&gt;'Funnel setup'!$K$3&amp;'Funnel setup'!$K$4&amp;'Funnel setup'!$K$5,".",IF(A7055=".",1,A7055+1))</f>
        <v>.</v>
      </c>
      <c r="B7056" s="431" t="str">
        <f t="shared" si="110"/>
        <v>Varicose VeinProviderBURTON HOSPITALS NHS FOUNDATION TRUST (RJF)EQ VAS</v>
      </c>
      <c r="C7056" t="s">
        <v>17</v>
      </c>
      <c r="D7056" t="s">
        <v>1</v>
      </c>
      <c r="E7056" t="s">
        <v>3373</v>
      </c>
      <c r="F7056" t="s">
        <v>3374</v>
      </c>
      <c r="G7056" t="s">
        <v>179</v>
      </c>
      <c r="H7056">
        <v>15</v>
      </c>
      <c r="I7056">
        <v>82.8</v>
      </c>
      <c r="J7056">
        <v>83.867000000000004</v>
      </c>
      <c r="K7056">
        <v>1.0669999999999999</v>
      </c>
      <c r="L7056">
        <v>7</v>
      </c>
      <c r="M7056">
        <v>0</v>
      </c>
      <c r="N7056">
        <v>8</v>
      </c>
      <c r="O7056" t="s">
        <v>53</v>
      </c>
      <c r="P7056" t="s">
        <v>53</v>
      </c>
      <c r="Q7056" t="s">
        <v>53</v>
      </c>
    </row>
    <row r="7057" spans="1:17" x14ac:dyDescent="0.2">
      <c r="A7057" s="30" t="str">
        <f>IF(C7057&amp;G7057&amp;D7057&lt;&gt;'Funnel setup'!$K$3&amp;'Funnel setup'!$K$4&amp;'Funnel setup'!$K$5,".",IF(A7056=".",1,A7056+1))</f>
        <v>.</v>
      </c>
      <c r="B7057" s="431" t="str">
        <f t="shared" si="110"/>
        <v>Varicose VeinProviderCALDERDALE AND HUDDERSFIELD NHS FOUNDATION TRUST (RWY)EQ VAS</v>
      </c>
      <c r="C7057" t="s">
        <v>17</v>
      </c>
      <c r="D7057" t="s">
        <v>1</v>
      </c>
      <c r="E7057" t="s">
        <v>3379</v>
      </c>
      <c r="F7057" t="s">
        <v>3380</v>
      </c>
      <c r="G7057" t="s">
        <v>179</v>
      </c>
      <c r="H7057">
        <v>98</v>
      </c>
      <c r="I7057">
        <v>82.153000000000006</v>
      </c>
      <c r="J7057">
        <v>80.132999999999996</v>
      </c>
      <c r="K7057">
        <v>-2.02</v>
      </c>
      <c r="L7057">
        <v>31</v>
      </c>
      <c r="M7057">
        <v>24</v>
      </c>
      <c r="N7057">
        <v>43</v>
      </c>
      <c r="O7057">
        <v>78.549000000000007</v>
      </c>
      <c r="P7057">
        <v>-0.41504286699999998</v>
      </c>
      <c r="Q7057">
        <v>11.228</v>
      </c>
    </row>
    <row r="7058" spans="1:17" x14ac:dyDescent="0.2">
      <c r="A7058" s="30" t="str">
        <f>IF(C7058&amp;G7058&amp;D7058&lt;&gt;'Funnel setup'!$K$3&amp;'Funnel setup'!$K$4&amp;'Funnel setup'!$K$5,".",IF(A7057=".",1,A7057+1))</f>
        <v>.</v>
      </c>
      <c r="B7058" s="431" t="str">
        <f t="shared" si="110"/>
        <v>Varicose VeinProviderCAMBRIDGE UNIVERSITY HOSPITALS NHS FOUNDATION TRUST (RGT)EQ VAS</v>
      </c>
      <c r="C7058" t="s">
        <v>17</v>
      </c>
      <c r="D7058" t="s">
        <v>1</v>
      </c>
      <c r="E7058" t="s">
        <v>3076</v>
      </c>
      <c r="F7058" t="s">
        <v>3077</v>
      </c>
      <c r="G7058" t="s">
        <v>179</v>
      </c>
      <c r="H7058">
        <v>30</v>
      </c>
      <c r="I7058">
        <v>80.867000000000004</v>
      </c>
      <c r="J7058">
        <v>80.632999999999996</v>
      </c>
      <c r="K7058">
        <v>-0.23300000000000001</v>
      </c>
      <c r="L7058">
        <v>13</v>
      </c>
      <c r="M7058">
        <v>5</v>
      </c>
      <c r="N7058">
        <v>12</v>
      </c>
      <c r="O7058">
        <v>79.061000000000007</v>
      </c>
      <c r="P7058">
        <v>9.6831457999999995E-2</v>
      </c>
      <c r="Q7058">
        <v>13.987</v>
      </c>
    </row>
    <row r="7059" spans="1:17" x14ac:dyDescent="0.2">
      <c r="A7059" s="30" t="str">
        <f>IF(C7059&amp;G7059&amp;D7059&lt;&gt;'Funnel setup'!$K$3&amp;'Funnel setup'!$K$4&amp;'Funnel setup'!$K$5,".",IF(A7058=".",1,A7058+1))</f>
        <v>.</v>
      </c>
      <c r="B7059" s="431" t="str">
        <f t="shared" si="110"/>
        <v>Varicose VeinProviderCENTRAL MANCHESTER UNIVERSITY HOSPITALS NHS FOUNDATION TRUST (RW3)EQ VAS</v>
      </c>
      <c r="C7059" t="s">
        <v>17</v>
      </c>
      <c r="D7059" t="s">
        <v>1</v>
      </c>
      <c r="E7059" t="s">
        <v>3079</v>
      </c>
      <c r="F7059" t="s">
        <v>3080</v>
      </c>
      <c r="G7059" t="s">
        <v>179</v>
      </c>
      <c r="H7059">
        <v>7</v>
      </c>
      <c r="I7059">
        <v>86</v>
      </c>
      <c r="J7059">
        <v>79</v>
      </c>
      <c r="K7059">
        <v>-7</v>
      </c>
      <c r="L7059">
        <v>3</v>
      </c>
      <c r="M7059">
        <v>0</v>
      </c>
      <c r="N7059">
        <v>4</v>
      </c>
      <c r="O7059" t="s">
        <v>53</v>
      </c>
      <c r="P7059" t="s">
        <v>53</v>
      </c>
      <c r="Q7059" t="s">
        <v>53</v>
      </c>
    </row>
    <row r="7060" spans="1:17" x14ac:dyDescent="0.2">
      <c r="A7060" s="30" t="str">
        <f>IF(C7060&amp;G7060&amp;D7060&lt;&gt;'Funnel setup'!$K$3&amp;'Funnel setup'!$K$4&amp;'Funnel setup'!$K$5,".",IF(A7059=".",1,A7059+1))</f>
        <v>.</v>
      </c>
      <c r="B7060" s="431" t="str">
        <f t="shared" si="110"/>
        <v>Varicose VeinProviderCHELSEA AND WESTMINSTER HOSPITAL NHS FOUNDATION TRUST (RQM)EQ VAS</v>
      </c>
      <c r="C7060" t="s">
        <v>17</v>
      </c>
      <c r="D7060" t="s">
        <v>1</v>
      </c>
      <c r="E7060" t="s">
        <v>3082</v>
      </c>
      <c r="F7060" t="s">
        <v>3083</v>
      </c>
      <c r="G7060" t="s">
        <v>179</v>
      </c>
      <c r="H7060">
        <v>19</v>
      </c>
      <c r="I7060">
        <v>78.367999999999995</v>
      </c>
      <c r="J7060">
        <v>76.947000000000003</v>
      </c>
      <c r="K7060">
        <v>-1.421</v>
      </c>
      <c r="L7060">
        <v>7</v>
      </c>
      <c r="M7060">
        <v>6</v>
      </c>
      <c r="N7060">
        <v>6</v>
      </c>
      <c r="O7060" t="s">
        <v>53</v>
      </c>
      <c r="P7060" t="s">
        <v>53</v>
      </c>
      <c r="Q7060" t="s">
        <v>53</v>
      </c>
    </row>
    <row r="7061" spans="1:17" x14ac:dyDescent="0.2">
      <c r="A7061" s="30" t="str">
        <f>IF(C7061&amp;G7061&amp;D7061&lt;&gt;'Funnel setup'!$K$3&amp;'Funnel setup'!$K$4&amp;'Funnel setup'!$K$5,".",IF(A7060=".",1,A7060+1))</f>
        <v>.</v>
      </c>
      <c r="B7061" s="431" t="str">
        <f t="shared" si="110"/>
        <v>Varicose VeinProviderCHESTERFIELD ROYAL HOSPITAL NHS FOUNDATION TRUST (RFS)EQ VAS</v>
      </c>
      <c r="C7061" t="s">
        <v>17</v>
      </c>
      <c r="D7061" t="s">
        <v>1</v>
      </c>
      <c r="E7061" t="s">
        <v>3085</v>
      </c>
      <c r="F7061" t="s">
        <v>3086</v>
      </c>
      <c r="G7061" t="s">
        <v>179</v>
      </c>
      <c r="H7061">
        <v>25</v>
      </c>
      <c r="I7061">
        <v>81.44</v>
      </c>
      <c r="J7061">
        <v>82.2</v>
      </c>
      <c r="K7061">
        <v>0.76</v>
      </c>
      <c r="L7061">
        <v>9</v>
      </c>
      <c r="M7061">
        <v>6</v>
      </c>
      <c r="N7061">
        <v>10</v>
      </c>
      <c r="O7061" t="s">
        <v>53</v>
      </c>
      <c r="P7061" t="s">
        <v>53</v>
      </c>
      <c r="Q7061" t="s">
        <v>53</v>
      </c>
    </row>
    <row r="7062" spans="1:17" x14ac:dyDescent="0.2">
      <c r="A7062" s="30" t="str">
        <f>IF(C7062&amp;G7062&amp;D7062&lt;&gt;'Funnel setup'!$K$3&amp;'Funnel setup'!$K$4&amp;'Funnel setup'!$K$5,".",IF(A7061=".",1,A7061+1))</f>
        <v>.</v>
      </c>
      <c r="B7062" s="431" t="str">
        <f t="shared" si="110"/>
        <v>Varicose VeinProviderCIRCLE - NOTTINGHAM NHS TREATMENT CENTRE (NV313)EQ VAS</v>
      </c>
      <c r="C7062" t="s">
        <v>17</v>
      </c>
      <c r="D7062" t="s">
        <v>1</v>
      </c>
      <c r="E7062" t="s">
        <v>3094</v>
      </c>
      <c r="F7062" t="s">
        <v>3095</v>
      </c>
      <c r="G7062" t="s">
        <v>179</v>
      </c>
      <c r="H7062">
        <v>156</v>
      </c>
      <c r="I7062">
        <v>76.852999999999994</v>
      </c>
      <c r="J7062">
        <v>77.34</v>
      </c>
      <c r="K7062">
        <v>0.48699999999999999</v>
      </c>
      <c r="L7062">
        <v>67</v>
      </c>
      <c r="M7062">
        <v>31</v>
      </c>
      <c r="N7062">
        <v>58</v>
      </c>
      <c r="O7062">
        <v>78.103999999999999</v>
      </c>
      <c r="P7062">
        <v>-0.86002558600000001</v>
      </c>
      <c r="Q7062">
        <v>11.558999999999999</v>
      </c>
    </row>
    <row r="7063" spans="1:17" x14ac:dyDescent="0.2">
      <c r="A7063" s="30" t="str">
        <f>IF(C7063&amp;G7063&amp;D7063&lt;&gt;'Funnel setup'!$K$3&amp;'Funnel setup'!$K$4&amp;'Funnel setup'!$K$5,".",IF(A7062=".",1,A7062+1))</f>
        <v>.</v>
      </c>
      <c r="B7063" s="431" t="str">
        <f t="shared" si="110"/>
        <v>Varicose VeinProviderCIRCLE BATH HOSPITAL (NV302)EQ VAS</v>
      </c>
      <c r="C7063" t="s">
        <v>17</v>
      </c>
      <c r="D7063" t="s">
        <v>1</v>
      </c>
      <c r="E7063" t="s">
        <v>3097</v>
      </c>
      <c r="F7063" t="s">
        <v>3098</v>
      </c>
      <c r="G7063" t="s">
        <v>179</v>
      </c>
      <c r="H7063">
        <v>13</v>
      </c>
      <c r="I7063">
        <v>88.076999999999998</v>
      </c>
      <c r="J7063">
        <v>84.537999999999997</v>
      </c>
      <c r="K7063">
        <v>-3.5379999999999998</v>
      </c>
      <c r="L7063">
        <v>3</v>
      </c>
      <c r="M7063">
        <v>4</v>
      </c>
      <c r="N7063">
        <v>6</v>
      </c>
      <c r="O7063" t="s">
        <v>53</v>
      </c>
      <c r="P7063" t="s">
        <v>53</v>
      </c>
      <c r="Q7063" t="s">
        <v>53</v>
      </c>
    </row>
    <row r="7064" spans="1:17" x14ac:dyDescent="0.2">
      <c r="A7064" s="30" t="str">
        <f>IF(C7064&amp;G7064&amp;D7064&lt;&gt;'Funnel setup'!$K$3&amp;'Funnel setup'!$K$4&amp;'Funnel setup'!$K$5,".",IF(A7063=".",1,A7063+1))</f>
        <v>.</v>
      </c>
      <c r="B7064" s="431" t="str">
        <f t="shared" si="110"/>
        <v>Varicose VeinProviderCIRENCESTER NHS TREATMENT CENTRE (NTPH4)EQ VAS</v>
      </c>
      <c r="C7064" t="s">
        <v>17</v>
      </c>
      <c r="D7064" t="s">
        <v>1</v>
      </c>
      <c r="E7064" t="s">
        <v>3088</v>
      </c>
      <c r="F7064" t="s">
        <v>3089</v>
      </c>
      <c r="G7064" t="s">
        <v>179</v>
      </c>
      <c r="H7064">
        <v>33</v>
      </c>
      <c r="I7064">
        <v>83.364000000000004</v>
      </c>
      <c r="J7064">
        <v>83.152000000000001</v>
      </c>
      <c r="K7064">
        <v>-0.21199999999999999</v>
      </c>
      <c r="L7064">
        <v>10</v>
      </c>
      <c r="M7064">
        <v>11</v>
      </c>
      <c r="N7064">
        <v>12</v>
      </c>
      <c r="O7064">
        <v>79.186999999999998</v>
      </c>
      <c r="P7064">
        <v>0.22313799400000001</v>
      </c>
      <c r="Q7064">
        <v>13.403</v>
      </c>
    </row>
    <row r="7065" spans="1:17" x14ac:dyDescent="0.2">
      <c r="A7065" s="30" t="str">
        <f>IF(C7065&amp;G7065&amp;D7065&lt;&gt;'Funnel setup'!$K$3&amp;'Funnel setup'!$K$4&amp;'Funnel setup'!$K$5,".",IF(A7064=".",1,A7064+1))</f>
        <v>.</v>
      </c>
      <c r="B7065" s="431" t="str">
        <f t="shared" si="110"/>
        <v>Varicose VeinProviderCITY HOSPITALS SUNDERLAND NHS FOUNDATION TRUST (RLN)EQ VAS</v>
      </c>
      <c r="C7065" t="s">
        <v>17</v>
      </c>
      <c r="D7065" t="s">
        <v>1</v>
      </c>
      <c r="E7065" t="s">
        <v>3100</v>
      </c>
      <c r="F7065" t="s">
        <v>3101</v>
      </c>
      <c r="G7065" t="s">
        <v>179</v>
      </c>
      <c r="H7065">
        <v>218</v>
      </c>
      <c r="I7065">
        <v>79.260999999999996</v>
      </c>
      <c r="J7065">
        <v>78.087000000000003</v>
      </c>
      <c r="K7065">
        <v>-1.1739999999999999</v>
      </c>
      <c r="L7065">
        <v>72</v>
      </c>
      <c r="M7065">
        <v>42</v>
      </c>
      <c r="N7065">
        <v>104</v>
      </c>
      <c r="O7065">
        <v>78.296999999999997</v>
      </c>
      <c r="P7065">
        <v>-0.66715896600000002</v>
      </c>
      <c r="Q7065">
        <v>12.396000000000001</v>
      </c>
    </row>
    <row r="7066" spans="1:17" x14ac:dyDescent="0.2">
      <c r="A7066" s="30" t="str">
        <f>IF(C7066&amp;G7066&amp;D7066&lt;&gt;'Funnel setup'!$K$3&amp;'Funnel setup'!$K$4&amp;'Funnel setup'!$K$5,".",IF(A7065=".",1,A7065+1))</f>
        <v>.</v>
      </c>
      <c r="B7066" s="431" t="str">
        <f t="shared" si="110"/>
        <v>Varicose VeinProviderCOBALT HOSPITAL (NVC29)EQ VAS</v>
      </c>
      <c r="C7066" t="s">
        <v>17</v>
      </c>
      <c r="D7066" t="s">
        <v>1</v>
      </c>
      <c r="E7066" t="s">
        <v>3106</v>
      </c>
      <c r="F7066" t="s">
        <v>3107</v>
      </c>
      <c r="G7066" t="s">
        <v>179</v>
      </c>
      <c r="H7066">
        <v>21</v>
      </c>
      <c r="I7066">
        <v>80.619</v>
      </c>
      <c r="J7066">
        <v>78.143000000000001</v>
      </c>
      <c r="K7066">
        <v>-2.476</v>
      </c>
      <c r="L7066">
        <v>5</v>
      </c>
      <c r="M7066">
        <v>5</v>
      </c>
      <c r="N7066">
        <v>11</v>
      </c>
      <c r="O7066" t="s">
        <v>53</v>
      </c>
      <c r="P7066" t="s">
        <v>53</v>
      </c>
      <c r="Q7066" t="s">
        <v>53</v>
      </c>
    </row>
    <row r="7067" spans="1:17" x14ac:dyDescent="0.2">
      <c r="A7067" s="30" t="str">
        <f>IF(C7067&amp;G7067&amp;D7067&lt;&gt;'Funnel setup'!$K$3&amp;'Funnel setup'!$K$4&amp;'Funnel setup'!$K$5,".",IF(A7066=".",1,A7066+1))</f>
        <v>.</v>
      </c>
      <c r="B7067" s="431" t="str">
        <f t="shared" si="110"/>
        <v>Varicose VeinProviderCOLCHESTER HOSPITAL UNIVERSITY NHS FOUNDATION TRUST (RDE)EQ VAS</v>
      </c>
      <c r="C7067" t="s">
        <v>17</v>
      </c>
      <c r="D7067" t="s">
        <v>1</v>
      </c>
      <c r="E7067" t="s">
        <v>3109</v>
      </c>
      <c r="F7067" t="s">
        <v>3110</v>
      </c>
      <c r="G7067" t="s">
        <v>179</v>
      </c>
      <c r="H7067">
        <v>14</v>
      </c>
      <c r="I7067">
        <v>78</v>
      </c>
      <c r="J7067">
        <v>68.213999999999999</v>
      </c>
      <c r="K7067">
        <v>-9.7859999999999996</v>
      </c>
      <c r="L7067">
        <v>3</v>
      </c>
      <c r="M7067">
        <v>2</v>
      </c>
      <c r="N7067">
        <v>9</v>
      </c>
      <c r="O7067" t="s">
        <v>53</v>
      </c>
      <c r="P7067" t="s">
        <v>53</v>
      </c>
      <c r="Q7067" t="s">
        <v>53</v>
      </c>
    </row>
    <row r="7068" spans="1:17" x14ac:dyDescent="0.2">
      <c r="A7068" s="30" t="str">
        <f>IF(C7068&amp;G7068&amp;D7068&lt;&gt;'Funnel setup'!$K$3&amp;'Funnel setup'!$K$4&amp;'Funnel setup'!$K$5,".",IF(A7067=".",1,A7067+1))</f>
        <v>.</v>
      </c>
      <c r="B7068" s="431" t="str">
        <f t="shared" si="110"/>
        <v>Varicose VeinProviderCOUNTESS OF CHESTER HOSPITAL NHS FOUNDATION TRUST (RJR)EQ VAS</v>
      </c>
      <c r="C7068" t="s">
        <v>17</v>
      </c>
      <c r="D7068" t="s">
        <v>1</v>
      </c>
      <c r="E7068" t="s">
        <v>3781</v>
      </c>
      <c r="F7068" t="s">
        <v>3782</v>
      </c>
      <c r="G7068" t="s">
        <v>179</v>
      </c>
      <c r="H7068">
        <v>18</v>
      </c>
      <c r="I7068">
        <v>82.888999999999996</v>
      </c>
      <c r="J7068">
        <v>81.667000000000002</v>
      </c>
      <c r="K7068">
        <v>-1.222</v>
      </c>
      <c r="L7068">
        <v>3</v>
      </c>
      <c r="M7068">
        <v>8</v>
      </c>
      <c r="N7068">
        <v>7</v>
      </c>
      <c r="O7068" t="s">
        <v>53</v>
      </c>
      <c r="P7068" t="s">
        <v>53</v>
      </c>
      <c r="Q7068" t="s">
        <v>53</v>
      </c>
    </row>
    <row r="7069" spans="1:17" x14ac:dyDescent="0.2">
      <c r="A7069" s="30" t="str">
        <f>IF(C7069&amp;G7069&amp;D7069&lt;&gt;'Funnel setup'!$K$3&amp;'Funnel setup'!$K$4&amp;'Funnel setup'!$K$5,".",IF(A7068=".",1,A7068+1))</f>
        <v>.</v>
      </c>
      <c r="B7069" s="431" t="str">
        <f t="shared" si="110"/>
        <v>Varicose VeinProviderCOUNTY DURHAM AND DARLINGTON NHS FOUNDATION TRUST (RXP)EQ VAS</v>
      </c>
      <c r="C7069" t="s">
        <v>17</v>
      </c>
      <c r="D7069" t="s">
        <v>1</v>
      </c>
      <c r="E7069" t="s">
        <v>3784</v>
      </c>
      <c r="F7069" t="s">
        <v>3785</v>
      </c>
      <c r="G7069" t="s">
        <v>179</v>
      </c>
      <c r="H7069">
        <v>13</v>
      </c>
      <c r="I7069">
        <v>73.614999999999995</v>
      </c>
      <c r="J7069">
        <v>75.076999999999998</v>
      </c>
      <c r="K7069">
        <v>1.462</v>
      </c>
      <c r="L7069">
        <v>5</v>
      </c>
      <c r="M7069">
        <v>1</v>
      </c>
      <c r="N7069">
        <v>7</v>
      </c>
      <c r="O7069" t="s">
        <v>53</v>
      </c>
      <c r="P7069" t="s">
        <v>53</v>
      </c>
      <c r="Q7069" t="s">
        <v>53</v>
      </c>
    </row>
    <row r="7070" spans="1:17" x14ac:dyDescent="0.2">
      <c r="A7070" s="30" t="str">
        <f>IF(C7070&amp;G7070&amp;D7070&lt;&gt;'Funnel setup'!$K$3&amp;'Funnel setup'!$K$4&amp;'Funnel setup'!$K$5,".",IF(A7069=".",1,A7069+1))</f>
        <v>.</v>
      </c>
      <c r="B7070" s="431" t="str">
        <f t="shared" si="110"/>
        <v>Varicose VeinProviderDARTFORD AND GRAVESHAM NHS TRUST (RN7)EQ VAS</v>
      </c>
      <c r="C7070" t="s">
        <v>17</v>
      </c>
      <c r="D7070" t="s">
        <v>1</v>
      </c>
      <c r="E7070" t="s">
        <v>3787</v>
      </c>
      <c r="F7070" t="s">
        <v>3788</v>
      </c>
      <c r="G7070" t="s">
        <v>179</v>
      </c>
      <c r="H7070" t="s">
        <v>53</v>
      </c>
      <c r="I7070" t="s">
        <v>53</v>
      </c>
      <c r="J7070" t="s">
        <v>53</v>
      </c>
      <c r="K7070" t="s">
        <v>53</v>
      </c>
      <c r="L7070" t="s">
        <v>53</v>
      </c>
      <c r="M7070" t="s">
        <v>53</v>
      </c>
      <c r="N7070" t="s">
        <v>53</v>
      </c>
      <c r="O7070" t="s">
        <v>53</v>
      </c>
      <c r="P7070" t="s">
        <v>53</v>
      </c>
      <c r="Q7070" t="s">
        <v>53</v>
      </c>
    </row>
    <row r="7071" spans="1:17" x14ac:dyDescent="0.2">
      <c r="A7071" s="30" t="str">
        <f>IF(C7071&amp;G7071&amp;D7071&lt;&gt;'Funnel setup'!$K$3&amp;'Funnel setup'!$K$4&amp;'Funnel setup'!$K$5,".",IF(A7070=".",1,A7070+1))</f>
        <v>.</v>
      </c>
      <c r="B7071" s="431" t="str">
        <f t="shared" si="110"/>
        <v>Varicose VeinProviderDERBY TEACHING HOSPITALS NHS FOUNDATION TRUST (RTG)EQ VAS</v>
      </c>
      <c r="C7071" t="s">
        <v>17</v>
      </c>
      <c r="D7071" t="s">
        <v>1</v>
      </c>
      <c r="E7071" t="s">
        <v>3790</v>
      </c>
      <c r="F7071" t="s">
        <v>3791</v>
      </c>
      <c r="G7071" t="s">
        <v>179</v>
      </c>
      <c r="H7071">
        <v>19</v>
      </c>
      <c r="I7071">
        <v>83.789000000000001</v>
      </c>
      <c r="J7071">
        <v>76.841999999999999</v>
      </c>
      <c r="K7071">
        <v>-6.9470000000000001</v>
      </c>
      <c r="L7071">
        <v>5</v>
      </c>
      <c r="M7071">
        <v>3</v>
      </c>
      <c r="N7071">
        <v>11</v>
      </c>
      <c r="O7071" t="s">
        <v>53</v>
      </c>
      <c r="P7071" t="s">
        <v>53</v>
      </c>
      <c r="Q7071" t="s">
        <v>53</v>
      </c>
    </row>
    <row r="7072" spans="1:17" x14ac:dyDescent="0.2">
      <c r="A7072" s="30" t="str">
        <f>IF(C7072&amp;G7072&amp;D7072&lt;&gt;'Funnel setup'!$K$3&amp;'Funnel setup'!$K$4&amp;'Funnel setup'!$K$5,".",IF(A7071=".",1,A7071+1))</f>
        <v>.</v>
      </c>
      <c r="B7072" s="431" t="str">
        <f t="shared" si="110"/>
        <v>Varicose VeinProviderDEVIZES NHS TREATMENT CENTRE (NTPH3)EQ VAS</v>
      </c>
      <c r="C7072" t="s">
        <v>17</v>
      </c>
      <c r="D7072" t="s">
        <v>1</v>
      </c>
      <c r="E7072" t="s">
        <v>3796</v>
      </c>
      <c r="F7072" t="s">
        <v>3797</v>
      </c>
      <c r="G7072" t="s">
        <v>179</v>
      </c>
      <c r="H7072">
        <v>17</v>
      </c>
      <c r="I7072">
        <v>74.882000000000005</v>
      </c>
      <c r="J7072">
        <v>80.941000000000003</v>
      </c>
      <c r="K7072">
        <v>6.0590000000000002</v>
      </c>
      <c r="L7072">
        <v>10</v>
      </c>
      <c r="M7072">
        <v>3</v>
      </c>
      <c r="N7072">
        <v>4</v>
      </c>
      <c r="O7072" t="s">
        <v>53</v>
      </c>
      <c r="P7072" t="s">
        <v>53</v>
      </c>
      <c r="Q7072" t="s">
        <v>53</v>
      </c>
    </row>
    <row r="7073" spans="1:17" x14ac:dyDescent="0.2">
      <c r="A7073" s="30" t="str">
        <f>IF(C7073&amp;G7073&amp;D7073&lt;&gt;'Funnel setup'!$K$3&amp;'Funnel setup'!$K$4&amp;'Funnel setup'!$K$5,".",IF(A7072=".",1,A7072+1))</f>
        <v>.</v>
      </c>
      <c r="B7073" s="431" t="str">
        <f t="shared" si="110"/>
        <v>Varicose VeinProviderDONCASTER AND BASSETLAW HOSPITALS NHS FOUNDATION TRUST (RP5)EQ VAS</v>
      </c>
      <c r="C7073" t="s">
        <v>17</v>
      </c>
      <c r="D7073" t="s">
        <v>1</v>
      </c>
      <c r="E7073" t="s">
        <v>3799</v>
      </c>
      <c r="F7073" t="s">
        <v>3800</v>
      </c>
      <c r="G7073" t="s">
        <v>179</v>
      </c>
      <c r="H7073">
        <v>32</v>
      </c>
      <c r="I7073">
        <v>80.875</v>
      </c>
      <c r="J7073">
        <v>83.188000000000002</v>
      </c>
      <c r="K7073">
        <v>2.3130000000000002</v>
      </c>
      <c r="L7073">
        <v>11</v>
      </c>
      <c r="M7073">
        <v>8</v>
      </c>
      <c r="N7073">
        <v>13</v>
      </c>
      <c r="O7073">
        <v>81.914000000000001</v>
      </c>
      <c r="P7073">
        <v>2.95044248</v>
      </c>
      <c r="Q7073">
        <v>13.343</v>
      </c>
    </row>
    <row r="7074" spans="1:17" x14ac:dyDescent="0.2">
      <c r="A7074" s="30" t="str">
        <f>IF(C7074&amp;G7074&amp;D7074&lt;&gt;'Funnel setup'!$K$3&amp;'Funnel setup'!$K$4&amp;'Funnel setup'!$K$5,".",IF(A7073=".",1,A7073+1))</f>
        <v>.</v>
      </c>
      <c r="B7074" s="431" t="str">
        <f t="shared" si="110"/>
        <v>Varicose VeinProviderDORSET COUNTY HOSPITAL NHS FOUNDATION TRUST (RBD)EQ VAS</v>
      </c>
      <c r="C7074" t="s">
        <v>17</v>
      </c>
      <c r="D7074" t="s">
        <v>1</v>
      </c>
      <c r="E7074" t="s">
        <v>3802</v>
      </c>
      <c r="F7074" t="s">
        <v>3803</v>
      </c>
      <c r="G7074" t="s">
        <v>179</v>
      </c>
      <c r="H7074">
        <v>36</v>
      </c>
      <c r="I7074">
        <v>75.471999999999994</v>
      </c>
      <c r="J7074">
        <v>70.917000000000002</v>
      </c>
      <c r="K7074">
        <v>-4.556</v>
      </c>
      <c r="L7074">
        <v>13</v>
      </c>
      <c r="M7074">
        <v>3</v>
      </c>
      <c r="N7074">
        <v>20</v>
      </c>
      <c r="O7074">
        <v>75.313999999999993</v>
      </c>
      <c r="P7074">
        <v>-3.6504242260000002</v>
      </c>
      <c r="Q7074">
        <v>15.516</v>
      </c>
    </row>
    <row r="7075" spans="1:17" x14ac:dyDescent="0.2">
      <c r="A7075" s="30" t="str">
        <f>IF(C7075&amp;G7075&amp;D7075&lt;&gt;'Funnel setup'!$K$3&amp;'Funnel setup'!$K$4&amp;'Funnel setup'!$K$5,".",IF(A7074=".",1,A7074+1))</f>
        <v>.</v>
      </c>
      <c r="B7075" s="431" t="str">
        <f t="shared" si="110"/>
        <v>Varicose VeinProviderEAST AND NORTH HERTFORDSHIRE NHS TRUST (RWH)EQ VAS</v>
      </c>
      <c r="C7075" t="s">
        <v>17</v>
      </c>
      <c r="D7075" t="s">
        <v>1</v>
      </c>
      <c r="E7075" t="s">
        <v>3814</v>
      </c>
      <c r="F7075" t="s">
        <v>3815</v>
      </c>
      <c r="G7075" t="s">
        <v>179</v>
      </c>
      <c r="H7075">
        <v>19</v>
      </c>
      <c r="I7075">
        <v>78.683999999999997</v>
      </c>
      <c r="J7075">
        <v>76.263000000000005</v>
      </c>
      <c r="K7075">
        <v>-2.4209999999999998</v>
      </c>
      <c r="L7075">
        <v>9</v>
      </c>
      <c r="M7075">
        <v>1</v>
      </c>
      <c r="N7075">
        <v>9</v>
      </c>
      <c r="O7075" t="s">
        <v>53</v>
      </c>
      <c r="P7075" t="s">
        <v>53</v>
      </c>
      <c r="Q7075" t="s">
        <v>53</v>
      </c>
    </row>
    <row r="7076" spans="1:17" x14ac:dyDescent="0.2">
      <c r="A7076" s="30" t="str">
        <f>IF(C7076&amp;G7076&amp;D7076&lt;&gt;'Funnel setup'!$K$3&amp;'Funnel setup'!$K$4&amp;'Funnel setup'!$K$5,".",IF(A7075=".",1,A7075+1))</f>
        <v>.</v>
      </c>
      <c r="B7076" s="431" t="str">
        <f t="shared" si="110"/>
        <v>Varicose VeinProviderEAST CHESHIRE NHS TRUST (RJN)EQ VAS</v>
      </c>
      <c r="C7076" t="s">
        <v>17</v>
      </c>
      <c r="D7076" t="s">
        <v>1</v>
      </c>
      <c r="E7076" t="s">
        <v>3817</v>
      </c>
      <c r="F7076" t="s">
        <v>3818</v>
      </c>
      <c r="G7076" t="s">
        <v>179</v>
      </c>
      <c r="H7076" t="s">
        <v>53</v>
      </c>
      <c r="I7076" t="s">
        <v>53</v>
      </c>
      <c r="J7076" t="s">
        <v>53</v>
      </c>
      <c r="K7076" t="s">
        <v>53</v>
      </c>
      <c r="L7076" t="s">
        <v>53</v>
      </c>
      <c r="M7076" t="s">
        <v>53</v>
      </c>
      <c r="N7076" t="s">
        <v>53</v>
      </c>
      <c r="O7076" t="s">
        <v>53</v>
      </c>
      <c r="P7076" t="s">
        <v>53</v>
      </c>
      <c r="Q7076" t="s">
        <v>53</v>
      </c>
    </row>
    <row r="7077" spans="1:17" x14ac:dyDescent="0.2">
      <c r="A7077" s="30" t="str">
        <f>IF(C7077&amp;G7077&amp;D7077&lt;&gt;'Funnel setup'!$K$3&amp;'Funnel setup'!$K$4&amp;'Funnel setup'!$K$5,".",IF(A7076=".",1,A7076+1))</f>
        <v>.</v>
      </c>
      <c r="B7077" s="431" t="str">
        <f t="shared" si="110"/>
        <v>Varicose VeinProviderEAST KENT HOSPITALS UNIVERSITY NHS FOUNDATION TRUST (RVV)EQ VAS</v>
      </c>
      <c r="C7077" t="s">
        <v>17</v>
      </c>
      <c r="D7077" t="s">
        <v>1</v>
      </c>
      <c r="E7077" t="s">
        <v>3820</v>
      </c>
      <c r="F7077" t="s">
        <v>3821</v>
      </c>
      <c r="G7077" t="s">
        <v>179</v>
      </c>
      <c r="H7077" t="s">
        <v>53</v>
      </c>
      <c r="I7077" t="s">
        <v>53</v>
      </c>
      <c r="J7077" t="s">
        <v>53</v>
      </c>
      <c r="K7077" t="s">
        <v>53</v>
      </c>
      <c r="L7077" t="s">
        <v>53</v>
      </c>
      <c r="M7077" t="s">
        <v>53</v>
      </c>
      <c r="N7077" t="s">
        <v>53</v>
      </c>
      <c r="O7077" t="s">
        <v>53</v>
      </c>
      <c r="P7077" t="s">
        <v>53</v>
      </c>
      <c r="Q7077" t="s">
        <v>53</v>
      </c>
    </row>
    <row r="7078" spans="1:17" x14ac:dyDescent="0.2">
      <c r="A7078" s="30" t="str">
        <f>IF(C7078&amp;G7078&amp;D7078&lt;&gt;'Funnel setup'!$K$3&amp;'Funnel setup'!$K$4&amp;'Funnel setup'!$K$5,".",IF(A7077=".",1,A7077+1))</f>
        <v>.</v>
      </c>
      <c r="B7078" s="431" t="str">
        <f t="shared" si="110"/>
        <v>Varicose VeinProviderEAST LANCASHIRE HOSPITALS NHS TRUST (RXR)EQ VAS</v>
      </c>
      <c r="C7078" t="s">
        <v>17</v>
      </c>
      <c r="D7078" t="s">
        <v>1</v>
      </c>
      <c r="E7078" t="s">
        <v>3823</v>
      </c>
      <c r="F7078" t="s">
        <v>3824</v>
      </c>
      <c r="G7078" t="s">
        <v>179</v>
      </c>
      <c r="H7078">
        <v>109</v>
      </c>
      <c r="I7078">
        <v>78.403999999999996</v>
      </c>
      <c r="J7078">
        <v>78.11</v>
      </c>
      <c r="K7078">
        <v>-0.29399999999999998</v>
      </c>
      <c r="L7078">
        <v>41</v>
      </c>
      <c r="M7078">
        <v>28</v>
      </c>
      <c r="N7078">
        <v>40</v>
      </c>
      <c r="O7078">
        <v>77.795000000000002</v>
      </c>
      <c r="P7078">
        <v>-1.1693417610000001</v>
      </c>
      <c r="Q7078">
        <v>13.832000000000001</v>
      </c>
    </row>
    <row r="7079" spans="1:17" x14ac:dyDescent="0.2">
      <c r="A7079" s="30" t="str">
        <f>IF(C7079&amp;G7079&amp;D7079&lt;&gt;'Funnel setup'!$K$3&amp;'Funnel setup'!$K$4&amp;'Funnel setup'!$K$5,".",IF(A7078=".",1,A7078+1))</f>
        <v>.</v>
      </c>
      <c r="B7079" s="431" t="str">
        <f t="shared" si="110"/>
        <v>Varicose VeinProviderEAST SUSSEX HEALTHCARE NHS TRUST (RXC)EQ VAS</v>
      </c>
      <c r="C7079" t="s">
        <v>17</v>
      </c>
      <c r="D7079" t="s">
        <v>1</v>
      </c>
      <c r="E7079" t="s">
        <v>3826</v>
      </c>
      <c r="F7079" t="s">
        <v>3827</v>
      </c>
      <c r="G7079" t="s">
        <v>179</v>
      </c>
      <c r="H7079">
        <v>8</v>
      </c>
      <c r="I7079">
        <v>81.75</v>
      </c>
      <c r="J7079">
        <v>80.125</v>
      </c>
      <c r="K7079">
        <v>-1.625</v>
      </c>
      <c r="L7079">
        <v>4</v>
      </c>
      <c r="M7079">
        <v>1</v>
      </c>
      <c r="N7079">
        <v>3</v>
      </c>
      <c r="O7079" t="s">
        <v>53</v>
      </c>
      <c r="P7079" t="s">
        <v>53</v>
      </c>
      <c r="Q7079" t="s">
        <v>53</v>
      </c>
    </row>
    <row r="7080" spans="1:17" x14ac:dyDescent="0.2">
      <c r="A7080" s="30" t="str">
        <f>IF(C7080&amp;G7080&amp;D7080&lt;&gt;'Funnel setup'!$K$3&amp;'Funnel setup'!$K$4&amp;'Funnel setup'!$K$5,".",IF(A7079=".",1,A7079+1))</f>
        <v>.</v>
      </c>
      <c r="B7080" s="431" t="str">
        <f t="shared" si="110"/>
        <v>Varicose VeinProviderEMERSONS GREEN NHS TREATMENT CENTRE (NTPH2)EQ VAS</v>
      </c>
      <c r="C7080" t="s">
        <v>17</v>
      </c>
      <c r="D7080" t="s">
        <v>1</v>
      </c>
      <c r="E7080" t="s">
        <v>3829</v>
      </c>
      <c r="F7080" t="s">
        <v>3830</v>
      </c>
      <c r="G7080" t="s">
        <v>179</v>
      </c>
      <c r="H7080">
        <v>61</v>
      </c>
      <c r="I7080">
        <v>83.492000000000004</v>
      </c>
      <c r="J7080">
        <v>83.459000000000003</v>
      </c>
      <c r="K7080">
        <v>-3.3000000000000002E-2</v>
      </c>
      <c r="L7080">
        <v>22</v>
      </c>
      <c r="M7080">
        <v>12</v>
      </c>
      <c r="N7080">
        <v>27</v>
      </c>
      <c r="O7080">
        <v>79.311999999999998</v>
      </c>
      <c r="P7080">
        <v>0.34766980199999997</v>
      </c>
      <c r="Q7080">
        <v>14.186999999999999</v>
      </c>
    </row>
    <row r="7081" spans="1:17" x14ac:dyDescent="0.2">
      <c r="A7081" s="30" t="str">
        <f>IF(C7081&amp;G7081&amp;D7081&lt;&gt;'Funnel setup'!$K$3&amp;'Funnel setup'!$K$4&amp;'Funnel setup'!$K$5,".",IF(A7080=".",1,A7080+1))</f>
        <v>.</v>
      </c>
      <c r="B7081" s="431" t="str">
        <f t="shared" si="110"/>
        <v>Varicose VeinProviderEPSOM AND ST HELIER UNIVERSITY HOSPITALS NHS TRUST (RVR)EQ VAS</v>
      </c>
      <c r="C7081" t="s">
        <v>17</v>
      </c>
      <c r="D7081" t="s">
        <v>1</v>
      </c>
      <c r="E7081" t="s">
        <v>3849</v>
      </c>
      <c r="F7081" t="s">
        <v>3850</v>
      </c>
      <c r="G7081" t="s">
        <v>179</v>
      </c>
      <c r="H7081">
        <v>30</v>
      </c>
      <c r="I7081">
        <v>80.667000000000002</v>
      </c>
      <c r="J7081">
        <v>77.832999999999998</v>
      </c>
      <c r="K7081">
        <v>-2.8330000000000002</v>
      </c>
      <c r="L7081">
        <v>11</v>
      </c>
      <c r="M7081">
        <v>2</v>
      </c>
      <c r="N7081">
        <v>17</v>
      </c>
      <c r="O7081">
        <v>75.569000000000003</v>
      </c>
      <c r="P7081">
        <v>-3.395531622</v>
      </c>
      <c r="Q7081">
        <v>13.976000000000001</v>
      </c>
    </row>
    <row r="7082" spans="1:17" x14ac:dyDescent="0.2">
      <c r="A7082" s="30" t="str">
        <f>IF(C7082&amp;G7082&amp;D7082&lt;&gt;'Funnel setup'!$K$3&amp;'Funnel setup'!$K$4&amp;'Funnel setup'!$K$5,".",IF(A7081=".",1,A7081+1))</f>
        <v>.</v>
      </c>
      <c r="B7082" s="431" t="str">
        <f t="shared" si="110"/>
        <v>Varicose VeinProviderEUXTON HALL HOSPITAL (NVC05)EQ VAS</v>
      </c>
      <c r="C7082" t="s">
        <v>17</v>
      </c>
      <c r="D7082" t="s">
        <v>1</v>
      </c>
      <c r="E7082" t="s">
        <v>3852</v>
      </c>
      <c r="F7082" t="s">
        <v>3853</v>
      </c>
      <c r="G7082" t="s">
        <v>179</v>
      </c>
      <c r="H7082" t="s">
        <v>53</v>
      </c>
      <c r="I7082" t="s">
        <v>53</v>
      </c>
      <c r="J7082" t="s">
        <v>53</v>
      </c>
      <c r="K7082" t="s">
        <v>53</v>
      </c>
      <c r="L7082" t="s">
        <v>53</v>
      </c>
      <c r="M7082" t="s">
        <v>53</v>
      </c>
      <c r="N7082" t="s">
        <v>53</v>
      </c>
      <c r="O7082" t="s">
        <v>53</v>
      </c>
      <c r="P7082" t="s">
        <v>53</v>
      </c>
      <c r="Q7082" t="s">
        <v>53</v>
      </c>
    </row>
    <row r="7083" spans="1:17" x14ac:dyDescent="0.2">
      <c r="A7083" s="30" t="str">
        <f>IF(C7083&amp;G7083&amp;D7083&lt;&gt;'Funnel setup'!$K$3&amp;'Funnel setup'!$K$4&amp;'Funnel setup'!$K$5,".",IF(A7082=".",1,A7082+1))</f>
        <v>.</v>
      </c>
      <c r="B7083" s="431" t="str">
        <f t="shared" si="110"/>
        <v>Varicose VeinProviderFAIRFIELD HOSPITAL (NVG01)EQ VAS</v>
      </c>
      <c r="C7083" t="s">
        <v>17</v>
      </c>
      <c r="D7083" t="s">
        <v>1</v>
      </c>
      <c r="E7083" t="s">
        <v>3855</v>
      </c>
      <c r="F7083" t="s">
        <v>3856</v>
      </c>
      <c r="G7083" t="s">
        <v>179</v>
      </c>
      <c r="H7083" t="s">
        <v>53</v>
      </c>
      <c r="I7083" t="s">
        <v>53</v>
      </c>
      <c r="J7083" t="s">
        <v>53</v>
      </c>
      <c r="K7083" t="s">
        <v>53</v>
      </c>
      <c r="L7083" t="s">
        <v>53</v>
      </c>
      <c r="M7083" t="s">
        <v>53</v>
      </c>
      <c r="N7083" t="s">
        <v>53</v>
      </c>
      <c r="O7083" t="s">
        <v>53</v>
      </c>
      <c r="P7083" t="s">
        <v>53</v>
      </c>
      <c r="Q7083" t="s">
        <v>53</v>
      </c>
    </row>
    <row r="7084" spans="1:17" x14ac:dyDescent="0.2">
      <c r="A7084" s="30" t="str">
        <f>IF(C7084&amp;G7084&amp;D7084&lt;&gt;'Funnel setup'!$K$3&amp;'Funnel setup'!$K$4&amp;'Funnel setup'!$K$5,".",IF(A7083=".",1,A7083+1))</f>
        <v>.</v>
      </c>
      <c r="B7084" s="431" t="str">
        <f t="shared" si="110"/>
        <v>Varicose VeinProviderFRIMLEY HEALTH NHS FOUNDATION TRUST (RDU)EQ VAS</v>
      </c>
      <c r="C7084" t="s">
        <v>17</v>
      </c>
      <c r="D7084" t="s">
        <v>1</v>
      </c>
      <c r="E7084" t="s">
        <v>3861</v>
      </c>
      <c r="F7084" t="s">
        <v>3862</v>
      </c>
      <c r="G7084" t="s">
        <v>179</v>
      </c>
      <c r="H7084">
        <v>26</v>
      </c>
      <c r="I7084">
        <v>81.230999999999995</v>
      </c>
      <c r="J7084">
        <v>83.076999999999998</v>
      </c>
      <c r="K7084">
        <v>1.8460000000000001</v>
      </c>
      <c r="L7084">
        <v>14</v>
      </c>
      <c r="M7084">
        <v>4</v>
      </c>
      <c r="N7084">
        <v>8</v>
      </c>
      <c r="O7084" t="s">
        <v>53</v>
      </c>
      <c r="P7084" t="s">
        <v>53</v>
      </c>
      <c r="Q7084" t="s">
        <v>53</v>
      </c>
    </row>
    <row r="7085" spans="1:17" x14ac:dyDescent="0.2">
      <c r="A7085" s="30" t="str">
        <f>IF(C7085&amp;G7085&amp;D7085&lt;&gt;'Funnel setup'!$K$3&amp;'Funnel setup'!$K$4&amp;'Funnel setup'!$K$5,".",IF(A7084=".",1,A7084+1))</f>
        <v>.</v>
      </c>
      <c r="B7085" s="431" t="str">
        <f t="shared" si="110"/>
        <v>Varicose VeinProviderFULWOOD HALL HOSPITAL (NVC07)EQ VAS</v>
      </c>
      <c r="C7085" t="s">
        <v>17</v>
      </c>
      <c r="D7085" t="s">
        <v>1</v>
      </c>
      <c r="E7085" t="s">
        <v>3864</v>
      </c>
      <c r="F7085" t="s">
        <v>3865</v>
      </c>
      <c r="G7085" t="s">
        <v>179</v>
      </c>
      <c r="H7085">
        <v>50</v>
      </c>
      <c r="I7085">
        <v>86.28</v>
      </c>
      <c r="J7085">
        <v>82.26</v>
      </c>
      <c r="K7085">
        <v>-4.0199999999999996</v>
      </c>
      <c r="L7085">
        <v>16</v>
      </c>
      <c r="M7085">
        <v>12</v>
      </c>
      <c r="N7085">
        <v>22</v>
      </c>
      <c r="O7085">
        <v>76.914000000000001</v>
      </c>
      <c r="P7085">
        <v>-2.0502639779999998</v>
      </c>
      <c r="Q7085">
        <v>14.29</v>
      </c>
    </row>
    <row r="7086" spans="1:17" x14ac:dyDescent="0.2">
      <c r="A7086" s="30" t="str">
        <f>IF(C7086&amp;G7086&amp;D7086&lt;&gt;'Funnel setup'!$K$3&amp;'Funnel setup'!$K$4&amp;'Funnel setup'!$K$5,".",IF(A7085=".",1,A7085+1))</f>
        <v>.</v>
      </c>
      <c r="B7086" s="431" t="str">
        <f t="shared" si="110"/>
        <v>Varicose VeinProviderGATESHEAD HEALTH NHS FOUNDATION TRUST (RR7)EQ VAS</v>
      </c>
      <c r="C7086" t="s">
        <v>17</v>
      </c>
      <c r="D7086" t="s">
        <v>1</v>
      </c>
      <c r="E7086" t="s">
        <v>3867</v>
      </c>
      <c r="F7086" t="s">
        <v>3868</v>
      </c>
      <c r="G7086" t="s">
        <v>179</v>
      </c>
      <c r="H7086">
        <v>72</v>
      </c>
      <c r="I7086">
        <v>83.971999999999994</v>
      </c>
      <c r="J7086">
        <v>78.846999999999994</v>
      </c>
      <c r="K7086">
        <v>-5.125</v>
      </c>
      <c r="L7086">
        <v>24</v>
      </c>
      <c r="M7086">
        <v>10</v>
      </c>
      <c r="N7086">
        <v>38</v>
      </c>
      <c r="O7086">
        <v>75.91</v>
      </c>
      <c r="P7086">
        <v>-3.0538098370000002</v>
      </c>
      <c r="Q7086">
        <v>14.045</v>
      </c>
    </row>
    <row r="7087" spans="1:17" x14ac:dyDescent="0.2">
      <c r="A7087" s="30" t="str">
        <f>IF(C7087&amp;G7087&amp;D7087&lt;&gt;'Funnel setup'!$K$3&amp;'Funnel setup'!$K$4&amp;'Funnel setup'!$K$5,".",IF(A7086=".",1,A7086+1))</f>
        <v>.</v>
      </c>
      <c r="B7087" s="431" t="str">
        <f t="shared" si="110"/>
        <v>Varicose VeinProviderGEORGE ELIOT HOSPITAL NHS TRUST (RLT)EQ VAS</v>
      </c>
      <c r="C7087" t="s">
        <v>17</v>
      </c>
      <c r="D7087" t="s">
        <v>1</v>
      </c>
      <c r="E7087" t="s">
        <v>3870</v>
      </c>
      <c r="F7087" t="s">
        <v>3871</v>
      </c>
      <c r="G7087" t="s">
        <v>179</v>
      </c>
      <c r="H7087" t="s">
        <v>53</v>
      </c>
      <c r="I7087" t="s">
        <v>53</v>
      </c>
      <c r="J7087" t="s">
        <v>53</v>
      </c>
      <c r="K7087" t="s">
        <v>53</v>
      </c>
      <c r="L7087" t="s">
        <v>53</v>
      </c>
      <c r="M7087" t="s">
        <v>53</v>
      </c>
      <c r="N7087" t="s">
        <v>53</v>
      </c>
      <c r="O7087" t="s">
        <v>53</v>
      </c>
      <c r="P7087" t="s">
        <v>53</v>
      </c>
      <c r="Q7087" t="s">
        <v>53</v>
      </c>
    </row>
    <row r="7088" spans="1:17" x14ac:dyDescent="0.2">
      <c r="A7088" s="30" t="str">
        <f>IF(C7088&amp;G7088&amp;D7088&lt;&gt;'Funnel setup'!$K$3&amp;'Funnel setup'!$K$4&amp;'Funnel setup'!$K$5,".",IF(A7087=".",1,A7087+1))</f>
        <v>.</v>
      </c>
      <c r="B7088" s="431" t="str">
        <f t="shared" si="110"/>
        <v>Varicose VeinProviderGLOUCESTERSHIRE HOSPITALS NHS FOUNDATION TRUST (RTE)EQ VAS</v>
      </c>
      <c r="C7088" t="s">
        <v>17</v>
      </c>
      <c r="D7088" t="s">
        <v>1</v>
      </c>
      <c r="E7088" t="s">
        <v>3873</v>
      </c>
      <c r="F7088" t="s">
        <v>3874</v>
      </c>
      <c r="G7088" t="s">
        <v>179</v>
      </c>
      <c r="H7088">
        <v>45</v>
      </c>
      <c r="I7088">
        <v>84</v>
      </c>
      <c r="J7088">
        <v>87.355999999999995</v>
      </c>
      <c r="K7088">
        <v>3.3559999999999999</v>
      </c>
      <c r="L7088">
        <v>22</v>
      </c>
      <c r="M7088">
        <v>11</v>
      </c>
      <c r="N7088">
        <v>12</v>
      </c>
      <c r="O7088">
        <v>82.866</v>
      </c>
      <c r="P7088">
        <v>3.9015065760000001</v>
      </c>
      <c r="Q7088">
        <v>6.641</v>
      </c>
    </row>
    <row r="7089" spans="1:17" x14ac:dyDescent="0.2">
      <c r="A7089" s="30" t="str">
        <f>IF(C7089&amp;G7089&amp;D7089&lt;&gt;'Funnel setup'!$K$3&amp;'Funnel setup'!$K$4&amp;'Funnel setup'!$K$5,".",IF(A7088=".",1,A7088+1))</f>
        <v>.</v>
      </c>
      <c r="B7089" s="431" t="str">
        <f t="shared" si="110"/>
        <v>Varicose VeinProviderGREAT WESTERN HOSPITALS NHS FOUNDATION TRUST (RN3)EQ VAS</v>
      </c>
      <c r="C7089" t="s">
        <v>17</v>
      </c>
      <c r="D7089" t="s">
        <v>1</v>
      </c>
      <c r="E7089" t="s">
        <v>3876</v>
      </c>
      <c r="F7089" t="s">
        <v>3877</v>
      </c>
      <c r="G7089" t="s">
        <v>179</v>
      </c>
      <c r="H7089">
        <v>24</v>
      </c>
      <c r="I7089">
        <v>73.542000000000002</v>
      </c>
      <c r="J7089">
        <v>69.832999999999998</v>
      </c>
      <c r="K7089">
        <v>-3.7080000000000002</v>
      </c>
      <c r="L7089">
        <v>8</v>
      </c>
      <c r="M7089">
        <v>5</v>
      </c>
      <c r="N7089">
        <v>11</v>
      </c>
      <c r="O7089" t="s">
        <v>53</v>
      </c>
      <c r="P7089" t="s">
        <v>53</v>
      </c>
      <c r="Q7089" t="s">
        <v>53</v>
      </c>
    </row>
    <row r="7090" spans="1:17" x14ac:dyDescent="0.2">
      <c r="A7090" s="30" t="str">
        <f>IF(C7090&amp;G7090&amp;D7090&lt;&gt;'Funnel setup'!$K$3&amp;'Funnel setup'!$K$4&amp;'Funnel setup'!$K$5,".",IF(A7089=".",1,A7089+1))</f>
        <v>.</v>
      </c>
      <c r="B7090" s="431" t="str">
        <f t="shared" si="110"/>
        <v>Varicose VeinProviderGUY'S AND ST THOMAS' NHS FOUNDATION TRUST (RJ1)EQ VAS</v>
      </c>
      <c r="C7090" t="s">
        <v>17</v>
      </c>
      <c r="D7090" t="s">
        <v>1</v>
      </c>
      <c r="E7090" t="s">
        <v>3879</v>
      </c>
      <c r="F7090" t="s">
        <v>3880</v>
      </c>
      <c r="G7090" t="s">
        <v>179</v>
      </c>
      <c r="H7090">
        <v>71</v>
      </c>
      <c r="I7090">
        <v>74.281999999999996</v>
      </c>
      <c r="J7090">
        <v>74.944000000000003</v>
      </c>
      <c r="K7090">
        <v>0.66200000000000003</v>
      </c>
      <c r="L7090">
        <v>25</v>
      </c>
      <c r="M7090">
        <v>14</v>
      </c>
      <c r="N7090">
        <v>32</v>
      </c>
      <c r="O7090">
        <v>77.793999999999997</v>
      </c>
      <c r="P7090">
        <v>-1.1700952499999999</v>
      </c>
      <c r="Q7090">
        <v>11.903</v>
      </c>
    </row>
    <row r="7091" spans="1:17" x14ac:dyDescent="0.2">
      <c r="A7091" s="30" t="str">
        <f>IF(C7091&amp;G7091&amp;D7091&lt;&gt;'Funnel setup'!$K$3&amp;'Funnel setup'!$K$4&amp;'Funnel setup'!$K$5,".",IF(A7090=".",1,A7090+1))</f>
        <v>.</v>
      </c>
      <c r="B7091" s="431" t="str">
        <f t="shared" si="110"/>
        <v>Varicose VeinProviderHAMPSHIRE HOSPITALS NHS FOUNDATION TRUST (RN5)EQ VAS</v>
      </c>
      <c r="C7091" t="s">
        <v>17</v>
      </c>
      <c r="D7091" t="s">
        <v>1</v>
      </c>
      <c r="E7091" t="s">
        <v>3882</v>
      </c>
      <c r="F7091" t="s">
        <v>3883</v>
      </c>
      <c r="G7091" t="s">
        <v>179</v>
      </c>
      <c r="H7091" t="s">
        <v>53</v>
      </c>
      <c r="I7091" t="s">
        <v>53</v>
      </c>
      <c r="J7091" t="s">
        <v>53</v>
      </c>
      <c r="K7091" t="s">
        <v>53</v>
      </c>
      <c r="L7091" t="s">
        <v>53</v>
      </c>
      <c r="M7091" t="s">
        <v>53</v>
      </c>
      <c r="N7091" t="s">
        <v>53</v>
      </c>
      <c r="O7091" t="s">
        <v>53</v>
      </c>
      <c r="P7091" t="s">
        <v>53</v>
      </c>
      <c r="Q7091" t="s">
        <v>53</v>
      </c>
    </row>
    <row r="7092" spans="1:17" x14ac:dyDescent="0.2">
      <c r="A7092" s="30" t="str">
        <f>IF(C7092&amp;G7092&amp;D7092&lt;&gt;'Funnel setup'!$K$3&amp;'Funnel setup'!$K$4&amp;'Funnel setup'!$K$5,".",IF(A7091=".",1,A7091+1))</f>
        <v>.</v>
      </c>
      <c r="B7092" s="431" t="str">
        <f t="shared" si="110"/>
        <v>Varicose VeinProviderHARROGATE AND DISTRICT NHS FOUNDATION TRUST (RCD)EQ VAS</v>
      </c>
      <c r="C7092" t="s">
        <v>17</v>
      </c>
      <c r="D7092" t="s">
        <v>1</v>
      </c>
      <c r="E7092" t="s">
        <v>3885</v>
      </c>
      <c r="F7092" t="s">
        <v>3886</v>
      </c>
      <c r="G7092" t="s">
        <v>179</v>
      </c>
      <c r="H7092" t="s">
        <v>53</v>
      </c>
      <c r="I7092" t="s">
        <v>53</v>
      </c>
      <c r="J7092" t="s">
        <v>53</v>
      </c>
      <c r="K7092" t="s">
        <v>53</v>
      </c>
      <c r="L7092" t="s">
        <v>53</v>
      </c>
      <c r="M7092" t="s">
        <v>53</v>
      </c>
      <c r="N7092" t="s">
        <v>53</v>
      </c>
      <c r="O7092" t="s">
        <v>53</v>
      </c>
      <c r="P7092" t="s">
        <v>53</v>
      </c>
      <c r="Q7092" t="s">
        <v>53</v>
      </c>
    </row>
    <row r="7093" spans="1:17" x14ac:dyDescent="0.2">
      <c r="A7093" s="30" t="str">
        <f>IF(C7093&amp;G7093&amp;D7093&lt;&gt;'Funnel setup'!$K$3&amp;'Funnel setup'!$K$4&amp;'Funnel setup'!$K$5,".",IF(A7092=".",1,A7092+1))</f>
        <v>.</v>
      </c>
      <c r="B7093" s="431" t="str">
        <f t="shared" si="110"/>
        <v>Varicose VeinProviderHEART OF ENGLAND NHS FOUNDATION TRUST (RR1)EQ VAS</v>
      </c>
      <c r="C7093" t="s">
        <v>17</v>
      </c>
      <c r="D7093" t="s">
        <v>1</v>
      </c>
      <c r="E7093" t="s">
        <v>3888</v>
      </c>
      <c r="F7093" t="s">
        <v>3889</v>
      </c>
      <c r="G7093" t="s">
        <v>179</v>
      </c>
      <c r="H7093">
        <v>148</v>
      </c>
      <c r="I7093">
        <v>77.872</v>
      </c>
      <c r="J7093">
        <v>80.061000000000007</v>
      </c>
      <c r="K7093">
        <v>2.1890000000000001</v>
      </c>
      <c r="L7093">
        <v>75</v>
      </c>
      <c r="M7093">
        <v>28</v>
      </c>
      <c r="N7093">
        <v>45</v>
      </c>
      <c r="O7093">
        <v>80.534000000000006</v>
      </c>
      <c r="P7093">
        <v>1.5695145639999999</v>
      </c>
      <c r="Q7093">
        <v>13.355</v>
      </c>
    </row>
    <row r="7094" spans="1:17" x14ac:dyDescent="0.2">
      <c r="A7094" s="30" t="str">
        <f>IF(C7094&amp;G7094&amp;D7094&lt;&gt;'Funnel setup'!$K$3&amp;'Funnel setup'!$K$4&amp;'Funnel setup'!$K$5,".",IF(A7093=".",1,A7093+1))</f>
        <v>.</v>
      </c>
      <c r="B7094" s="431" t="str">
        <f t="shared" si="110"/>
        <v>Varicose VeinProviderHINCHINGBROOKE HEALTH CARE NHS TRUST (RQQ)EQ VAS</v>
      </c>
      <c r="C7094" t="s">
        <v>17</v>
      </c>
      <c r="D7094" t="s">
        <v>1</v>
      </c>
      <c r="E7094" t="s">
        <v>3894</v>
      </c>
      <c r="F7094" t="s">
        <v>3895</v>
      </c>
      <c r="G7094" t="s">
        <v>179</v>
      </c>
      <c r="H7094" t="s">
        <v>53</v>
      </c>
      <c r="I7094" t="s">
        <v>53</v>
      </c>
      <c r="J7094" t="s">
        <v>53</v>
      </c>
      <c r="K7094" t="s">
        <v>53</v>
      </c>
      <c r="L7094" t="s">
        <v>53</v>
      </c>
      <c r="M7094" t="s">
        <v>53</v>
      </c>
      <c r="N7094" t="s">
        <v>53</v>
      </c>
      <c r="O7094" t="s">
        <v>53</v>
      </c>
      <c r="P7094" t="s">
        <v>53</v>
      </c>
      <c r="Q7094" t="s">
        <v>53</v>
      </c>
    </row>
    <row r="7095" spans="1:17" x14ac:dyDescent="0.2">
      <c r="A7095" s="30" t="str">
        <f>IF(C7095&amp;G7095&amp;D7095&lt;&gt;'Funnel setup'!$K$3&amp;'Funnel setup'!$K$4&amp;'Funnel setup'!$K$5,".",IF(A7094=".",1,A7094+1))</f>
        <v>.</v>
      </c>
      <c r="B7095" s="431" t="str">
        <f t="shared" si="110"/>
        <v>Varicose VeinProviderHULL AND EAST YORKSHIRE HOSPITALS NHS TRUST (RWA)EQ VAS</v>
      </c>
      <c r="C7095" t="s">
        <v>17</v>
      </c>
      <c r="D7095" t="s">
        <v>1</v>
      </c>
      <c r="E7095" t="s">
        <v>3906</v>
      </c>
      <c r="F7095" t="s">
        <v>3907</v>
      </c>
      <c r="G7095" t="s">
        <v>179</v>
      </c>
      <c r="H7095">
        <v>95</v>
      </c>
      <c r="I7095">
        <v>80.978999999999999</v>
      </c>
      <c r="J7095">
        <v>82.337000000000003</v>
      </c>
      <c r="K7095">
        <v>1.3580000000000001</v>
      </c>
      <c r="L7095">
        <v>39</v>
      </c>
      <c r="M7095">
        <v>18</v>
      </c>
      <c r="N7095">
        <v>38</v>
      </c>
      <c r="O7095">
        <v>80.082999999999998</v>
      </c>
      <c r="P7095">
        <v>1.1186331519999999</v>
      </c>
      <c r="Q7095">
        <v>15.526999999999999</v>
      </c>
    </row>
    <row r="7096" spans="1:17" x14ac:dyDescent="0.2">
      <c r="A7096" s="30" t="str">
        <f>IF(C7096&amp;G7096&amp;D7096&lt;&gt;'Funnel setup'!$K$3&amp;'Funnel setup'!$K$4&amp;'Funnel setup'!$K$5,".",IF(A7095=".",1,A7095+1))</f>
        <v>.</v>
      </c>
      <c r="B7096" s="431" t="str">
        <f t="shared" si="110"/>
        <v>Varicose VeinProviderIMPERIAL COLLEGE HEALTHCARE NHS TRUST (RYJ)EQ VAS</v>
      </c>
      <c r="C7096" t="s">
        <v>17</v>
      </c>
      <c r="D7096" t="s">
        <v>1</v>
      </c>
      <c r="E7096" t="s">
        <v>4558</v>
      </c>
      <c r="F7096" t="s">
        <v>4559</v>
      </c>
      <c r="G7096" t="s">
        <v>179</v>
      </c>
      <c r="H7096">
        <v>176</v>
      </c>
      <c r="I7096">
        <v>76.489000000000004</v>
      </c>
      <c r="J7096">
        <v>75.682000000000002</v>
      </c>
      <c r="K7096">
        <v>-0.80700000000000005</v>
      </c>
      <c r="L7096">
        <v>67</v>
      </c>
      <c r="M7096">
        <v>35</v>
      </c>
      <c r="N7096">
        <v>74</v>
      </c>
      <c r="O7096">
        <v>77.745000000000005</v>
      </c>
      <c r="P7096">
        <v>-1.219493639</v>
      </c>
      <c r="Q7096">
        <v>13.663</v>
      </c>
    </row>
    <row r="7097" spans="1:17" x14ac:dyDescent="0.2">
      <c r="A7097" s="30" t="str">
        <f>IF(C7097&amp;G7097&amp;D7097&lt;&gt;'Funnel setup'!$K$3&amp;'Funnel setup'!$K$4&amp;'Funnel setup'!$K$5,".",IF(A7096=".",1,A7096+1))</f>
        <v>.</v>
      </c>
      <c r="B7097" s="431" t="str">
        <f t="shared" si="110"/>
        <v>Varicose VeinProviderIPSWICH HOSPITAL NHS TRUST (RGQ)EQ VAS</v>
      </c>
      <c r="C7097" t="s">
        <v>17</v>
      </c>
      <c r="D7097" t="s">
        <v>1</v>
      </c>
      <c r="E7097" t="s">
        <v>3909</v>
      </c>
      <c r="F7097" t="s">
        <v>3910</v>
      </c>
      <c r="G7097" t="s">
        <v>179</v>
      </c>
      <c r="H7097">
        <v>100</v>
      </c>
      <c r="I7097">
        <v>80.63</v>
      </c>
      <c r="J7097">
        <v>79.349999999999994</v>
      </c>
      <c r="K7097">
        <v>-1.28</v>
      </c>
      <c r="L7097">
        <v>38</v>
      </c>
      <c r="M7097">
        <v>17</v>
      </c>
      <c r="N7097">
        <v>45</v>
      </c>
      <c r="O7097">
        <v>77.638000000000005</v>
      </c>
      <c r="P7097">
        <v>-1.3263247890000001</v>
      </c>
      <c r="Q7097">
        <v>14.788</v>
      </c>
    </row>
    <row r="7098" spans="1:17" x14ac:dyDescent="0.2">
      <c r="A7098" s="30" t="str">
        <f>IF(C7098&amp;G7098&amp;D7098&lt;&gt;'Funnel setup'!$K$3&amp;'Funnel setup'!$K$4&amp;'Funnel setup'!$K$5,".",IF(A7097=".",1,A7097+1))</f>
        <v>.</v>
      </c>
      <c r="B7098" s="431" t="str">
        <f t="shared" si="110"/>
        <v>Varicose VeinProviderJAMES PAGET UNIVERSITY HOSPITALS NHS FOUNDATION TRUST (RGP)EQ VAS</v>
      </c>
      <c r="C7098" t="s">
        <v>17</v>
      </c>
      <c r="D7098" t="s">
        <v>1</v>
      </c>
      <c r="E7098" t="s">
        <v>3915</v>
      </c>
      <c r="F7098" t="s">
        <v>3916</v>
      </c>
      <c r="G7098" t="s">
        <v>179</v>
      </c>
      <c r="H7098">
        <v>23</v>
      </c>
      <c r="I7098">
        <v>83.216999999999999</v>
      </c>
      <c r="J7098">
        <v>83.695999999999998</v>
      </c>
      <c r="K7098">
        <v>0.47799999999999998</v>
      </c>
      <c r="L7098">
        <v>9</v>
      </c>
      <c r="M7098">
        <v>6</v>
      </c>
      <c r="N7098">
        <v>8</v>
      </c>
      <c r="O7098" t="s">
        <v>53</v>
      </c>
      <c r="P7098" t="s">
        <v>53</v>
      </c>
      <c r="Q7098" t="s">
        <v>53</v>
      </c>
    </row>
    <row r="7099" spans="1:17" x14ac:dyDescent="0.2">
      <c r="A7099" s="30" t="str">
        <f>IF(C7099&amp;G7099&amp;D7099&lt;&gt;'Funnel setup'!$K$3&amp;'Funnel setup'!$K$4&amp;'Funnel setup'!$K$5,".",IF(A7098=".",1,A7098+1))</f>
        <v>.</v>
      </c>
      <c r="B7099" s="431" t="str">
        <f t="shared" si="110"/>
        <v>Varicose VeinProviderKETTERING GENERAL HOSPITAL NHS FOUNDATION TRUST (RNQ)EQ VAS</v>
      </c>
      <c r="C7099" t="s">
        <v>17</v>
      </c>
      <c r="D7099" t="s">
        <v>1</v>
      </c>
      <c r="E7099" t="s">
        <v>3918</v>
      </c>
      <c r="F7099" t="s">
        <v>3919</v>
      </c>
      <c r="G7099" t="s">
        <v>179</v>
      </c>
      <c r="H7099" t="s">
        <v>53</v>
      </c>
      <c r="I7099" t="s">
        <v>53</v>
      </c>
      <c r="J7099" t="s">
        <v>53</v>
      </c>
      <c r="K7099" t="s">
        <v>53</v>
      </c>
      <c r="L7099" t="s">
        <v>53</v>
      </c>
      <c r="M7099" t="s">
        <v>53</v>
      </c>
      <c r="N7099" t="s">
        <v>53</v>
      </c>
      <c r="O7099" t="s">
        <v>53</v>
      </c>
      <c r="P7099" t="s">
        <v>53</v>
      </c>
      <c r="Q7099" t="s">
        <v>53</v>
      </c>
    </row>
    <row r="7100" spans="1:17" x14ac:dyDescent="0.2">
      <c r="A7100" s="30" t="str">
        <f>IF(C7100&amp;G7100&amp;D7100&lt;&gt;'Funnel setup'!$K$3&amp;'Funnel setup'!$K$4&amp;'Funnel setup'!$K$5,".",IF(A7099=".",1,A7099+1))</f>
        <v>.</v>
      </c>
      <c r="B7100" s="431" t="str">
        <f t="shared" si="110"/>
        <v>Varicose VeinProviderKING'S COLLEGE HOSPITAL NHS FOUNDATION TRUST (RJZ)EQ VAS</v>
      </c>
      <c r="C7100" t="s">
        <v>17</v>
      </c>
      <c r="D7100" t="s">
        <v>1</v>
      </c>
      <c r="E7100" t="s">
        <v>3924</v>
      </c>
      <c r="F7100" t="s">
        <v>3925</v>
      </c>
      <c r="G7100" t="s">
        <v>179</v>
      </c>
      <c r="H7100">
        <v>17</v>
      </c>
      <c r="I7100">
        <v>83.647000000000006</v>
      </c>
      <c r="J7100">
        <v>77.647000000000006</v>
      </c>
      <c r="K7100">
        <v>-6</v>
      </c>
      <c r="L7100">
        <v>5</v>
      </c>
      <c r="M7100">
        <v>2</v>
      </c>
      <c r="N7100">
        <v>10</v>
      </c>
      <c r="O7100" t="s">
        <v>53</v>
      </c>
      <c r="P7100" t="s">
        <v>53</v>
      </c>
      <c r="Q7100" t="s">
        <v>53</v>
      </c>
    </row>
    <row r="7101" spans="1:17" x14ac:dyDescent="0.2">
      <c r="A7101" s="30" t="str">
        <f>IF(C7101&amp;G7101&amp;D7101&lt;&gt;'Funnel setup'!$K$3&amp;'Funnel setup'!$K$4&amp;'Funnel setup'!$K$5,".",IF(A7100=".",1,A7100+1))</f>
        <v>.</v>
      </c>
      <c r="B7101" s="431" t="str">
        <f t="shared" si="110"/>
        <v>Varicose VeinProviderLANCASHIRE TEACHING HOSPITALS NHS FOUNDATION TRUST (RXN)EQ VAS</v>
      </c>
      <c r="C7101" t="s">
        <v>17</v>
      </c>
      <c r="D7101" t="s">
        <v>1</v>
      </c>
      <c r="E7101" t="s">
        <v>3567</v>
      </c>
      <c r="F7101" t="s">
        <v>3568</v>
      </c>
      <c r="G7101" t="s">
        <v>179</v>
      </c>
      <c r="H7101">
        <v>11</v>
      </c>
      <c r="I7101">
        <v>81.272999999999996</v>
      </c>
      <c r="J7101">
        <v>77.272999999999996</v>
      </c>
      <c r="K7101">
        <v>-4</v>
      </c>
      <c r="L7101">
        <v>2</v>
      </c>
      <c r="M7101">
        <v>4</v>
      </c>
      <c r="N7101">
        <v>5</v>
      </c>
      <c r="O7101" t="s">
        <v>53</v>
      </c>
      <c r="P7101" t="s">
        <v>53</v>
      </c>
      <c r="Q7101" t="s">
        <v>53</v>
      </c>
    </row>
    <row r="7102" spans="1:17" x14ac:dyDescent="0.2">
      <c r="A7102" s="30" t="str">
        <f>IF(C7102&amp;G7102&amp;D7102&lt;&gt;'Funnel setup'!$K$3&amp;'Funnel setup'!$K$4&amp;'Funnel setup'!$K$5,".",IF(A7101=".",1,A7101+1))</f>
        <v>.</v>
      </c>
      <c r="B7102" s="431" t="str">
        <f t="shared" si="110"/>
        <v>Varicose VeinProviderLEEDS TEACHING HOSPITALS NHS TRUST (RR8)EQ VAS</v>
      </c>
      <c r="C7102" t="s">
        <v>17</v>
      </c>
      <c r="D7102" t="s">
        <v>1</v>
      </c>
      <c r="E7102" t="s">
        <v>3930</v>
      </c>
      <c r="F7102" t="s">
        <v>344</v>
      </c>
      <c r="G7102" t="s">
        <v>179</v>
      </c>
      <c r="H7102">
        <v>220</v>
      </c>
      <c r="I7102">
        <v>81.918000000000006</v>
      </c>
      <c r="J7102">
        <v>82.268000000000001</v>
      </c>
      <c r="K7102">
        <v>0.35</v>
      </c>
      <c r="L7102">
        <v>82</v>
      </c>
      <c r="M7102">
        <v>44</v>
      </c>
      <c r="N7102">
        <v>94</v>
      </c>
      <c r="O7102">
        <v>80.204999999999998</v>
      </c>
      <c r="P7102">
        <v>1.240768689</v>
      </c>
      <c r="Q7102">
        <v>11.798</v>
      </c>
    </row>
    <row r="7103" spans="1:17" x14ac:dyDescent="0.2">
      <c r="A7103" s="30" t="str">
        <f>IF(C7103&amp;G7103&amp;D7103&lt;&gt;'Funnel setup'!$K$3&amp;'Funnel setup'!$K$4&amp;'Funnel setup'!$K$5,".",IF(A7102=".",1,A7102+1))</f>
        <v>.</v>
      </c>
      <c r="B7103" s="431" t="str">
        <f t="shared" si="110"/>
        <v>Varicose VeinProviderLEWISHAM AND GREENWICH NHS TRUST (RJ2)EQ VAS</v>
      </c>
      <c r="C7103" t="s">
        <v>17</v>
      </c>
      <c r="D7103" t="s">
        <v>1</v>
      </c>
      <c r="E7103" t="s">
        <v>3522</v>
      </c>
      <c r="F7103" t="s">
        <v>3523</v>
      </c>
      <c r="G7103" t="s">
        <v>179</v>
      </c>
      <c r="H7103">
        <v>89</v>
      </c>
      <c r="I7103">
        <v>77.494</v>
      </c>
      <c r="J7103">
        <v>76.697000000000003</v>
      </c>
      <c r="K7103">
        <v>-0.79800000000000004</v>
      </c>
      <c r="L7103">
        <v>36</v>
      </c>
      <c r="M7103">
        <v>22</v>
      </c>
      <c r="N7103">
        <v>31</v>
      </c>
      <c r="O7103">
        <v>79.123000000000005</v>
      </c>
      <c r="P7103">
        <v>0.15912645</v>
      </c>
      <c r="Q7103">
        <v>12.865</v>
      </c>
    </row>
    <row r="7104" spans="1:17" x14ac:dyDescent="0.2">
      <c r="A7104" s="30" t="str">
        <f>IF(C7104&amp;G7104&amp;D7104&lt;&gt;'Funnel setup'!$K$3&amp;'Funnel setup'!$K$4&amp;'Funnel setup'!$K$5,".",IF(A7103=".",1,A7103+1))</f>
        <v>.</v>
      </c>
      <c r="B7104" s="431" t="str">
        <f t="shared" si="110"/>
        <v>Varicose VeinProviderLONDON NORTH WEST HEALTHCARE NHS TRUST (R1K)EQ VAS</v>
      </c>
      <c r="C7104" t="s">
        <v>17</v>
      </c>
      <c r="D7104" t="s">
        <v>1</v>
      </c>
      <c r="E7104" t="s">
        <v>6515</v>
      </c>
      <c r="F7104" t="s">
        <v>6516</v>
      </c>
      <c r="G7104" t="s">
        <v>179</v>
      </c>
      <c r="H7104">
        <v>38</v>
      </c>
      <c r="I7104">
        <v>73.974000000000004</v>
      </c>
      <c r="J7104">
        <v>69.894999999999996</v>
      </c>
      <c r="K7104">
        <v>-4.0789999999999997</v>
      </c>
      <c r="L7104">
        <v>15</v>
      </c>
      <c r="M7104">
        <v>6</v>
      </c>
      <c r="N7104">
        <v>17</v>
      </c>
      <c r="O7104">
        <v>73.991</v>
      </c>
      <c r="P7104">
        <v>-4.9730796340000003</v>
      </c>
      <c r="Q7104">
        <v>16.616</v>
      </c>
    </row>
    <row r="7105" spans="1:17" x14ac:dyDescent="0.2">
      <c r="A7105" s="30" t="str">
        <f>IF(C7105&amp;G7105&amp;D7105&lt;&gt;'Funnel setup'!$K$3&amp;'Funnel setup'!$K$4&amp;'Funnel setup'!$K$5,".",IF(A7104=".",1,A7104+1))</f>
        <v>.</v>
      </c>
      <c r="B7105" s="431" t="str">
        <f t="shared" si="110"/>
        <v>Varicose VeinProviderLUTON AND DUNSTABLE UNIVERSITY HOSPITAL NHS FOUNDATION TRUST (RC9)EQ VAS</v>
      </c>
      <c r="C7105" t="s">
        <v>17</v>
      </c>
      <c r="D7105" t="s">
        <v>1</v>
      </c>
      <c r="E7105" t="s">
        <v>3528</v>
      </c>
      <c r="F7105" t="s">
        <v>3529</v>
      </c>
      <c r="G7105" t="s">
        <v>179</v>
      </c>
      <c r="H7105">
        <v>12</v>
      </c>
      <c r="I7105">
        <v>70.25</v>
      </c>
      <c r="J7105">
        <v>74.417000000000002</v>
      </c>
      <c r="K7105">
        <v>4.1669999999999998</v>
      </c>
      <c r="L7105">
        <v>6</v>
      </c>
      <c r="M7105">
        <v>2</v>
      </c>
      <c r="N7105">
        <v>4</v>
      </c>
      <c r="O7105" t="s">
        <v>53</v>
      </c>
      <c r="P7105" t="s">
        <v>53</v>
      </c>
      <c r="Q7105" t="s">
        <v>53</v>
      </c>
    </row>
    <row r="7106" spans="1:17" x14ac:dyDescent="0.2">
      <c r="A7106" s="30" t="str">
        <f>IF(C7106&amp;G7106&amp;D7106&lt;&gt;'Funnel setup'!$K$3&amp;'Funnel setup'!$K$4&amp;'Funnel setup'!$K$5,".",IF(A7105=".",1,A7105+1))</f>
        <v>.</v>
      </c>
      <c r="B7106" s="431" t="str">
        <f t="shared" si="110"/>
        <v>Varicose VeinProviderMAIDSTONE AND TUNBRIDGE WELLS NHS TRUST (RWF)EQ VAS</v>
      </c>
      <c r="C7106" t="s">
        <v>17</v>
      </c>
      <c r="D7106" t="s">
        <v>1</v>
      </c>
      <c r="E7106" t="s">
        <v>3627</v>
      </c>
      <c r="F7106" t="s">
        <v>3628</v>
      </c>
      <c r="G7106" t="s">
        <v>179</v>
      </c>
      <c r="H7106">
        <v>7</v>
      </c>
      <c r="I7106">
        <v>78.856999999999999</v>
      </c>
      <c r="J7106">
        <v>82.856999999999999</v>
      </c>
      <c r="K7106">
        <v>4</v>
      </c>
      <c r="L7106">
        <v>4</v>
      </c>
      <c r="M7106">
        <v>2</v>
      </c>
      <c r="N7106">
        <v>1</v>
      </c>
      <c r="O7106" t="s">
        <v>53</v>
      </c>
      <c r="P7106" t="s">
        <v>53</v>
      </c>
      <c r="Q7106" t="s">
        <v>53</v>
      </c>
    </row>
    <row r="7107" spans="1:17" x14ac:dyDescent="0.2">
      <c r="A7107" s="30" t="str">
        <f>IF(C7107&amp;G7107&amp;D7107&lt;&gt;'Funnel setup'!$K$3&amp;'Funnel setup'!$K$4&amp;'Funnel setup'!$K$5,".",IF(A7106=".",1,A7106+1))</f>
        <v>.</v>
      </c>
      <c r="B7107" s="431" t="str">
        <f t="shared" ref="B7107:B7170" si="111">C7107&amp;D7107&amp;F7107&amp;G7107</f>
        <v>Varicose VeinProviderMEDWAY NHS FOUNDATION TRUST (RPA)EQ VAS</v>
      </c>
      <c r="C7107" t="s">
        <v>17</v>
      </c>
      <c r="D7107" t="s">
        <v>1</v>
      </c>
      <c r="E7107" t="s">
        <v>3630</v>
      </c>
      <c r="F7107" t="s">
        <v>3631</v>
      </c>
      <c r="G7107" t="s">
        <v>179</v>
      </c>
      <c r="H7107" t="s">
        <v>53</v>
      </c>
      <c r="I7107" t="s">
        <v>53</v>
      </c>
      <c r="J7107" t="s">
        <v>53</v>
      </c>
      <c r="K7107" t="s">
        <v>53</v>
      </c>
      <c r="L7107" t="s">
        <v>53</v>
      </c>
      <c r="M7107" t="s">
        <v>53</v>
      </c>
      <c r="N7107" t="s">
        <v>53</v>
      </c>
      <c r="O7107" t="s">
        <v>53</v>
      </c>
      <c r="P7107" t="s">
        <v>53</v>
      </c>
      <c r="Q7107" t="s">
        <v>53</v>
      </c>
    </row>
    <row r="7108" spans="1:17" x14ac:dyDescent="0.2">
      <c r="A7108" s="30" t="str">
        <f>IF(C7108&amp;G7108&amp;D7108&lt;&gt;'Funnel setup'!$K$3&amp;'Funnel setup'!$K$4&amp;'Funnel setup'!$K$5,".",IF(A7107=".",1,A7107+1))</f>
        <v>.</v>
      </c>
      <c r="B7108" s="431" t="str">
        <f t="shared" si="111"/>
        <v>Varicose VeinProviderMID CHESHIRE HOSPITALS NHS FOUNDATION TRUST (RBT)EQ VAS</v>
      </c>
      <c r="C7108" t="s">
        <v>17</v>
      </c>
      <c r="D7108" t="s">
        <v>1</v>
      </c>
      <c r="E7108" t="s">
        <v>3633</v>
      </c>
      <c r="F7108" t="s">
        <v>342</v>
      </c>
      <c r="G7108" t="s">
        <v>179</v>
      </c>
      <c r="H7108">
        <v>12</v>
      </c>
      <c r="I7108">
        <v>74.667000000000002</v>
      </c>
      <c r="J7108">
        <v>84.582999999999998</v>
      </c>
      <c r="K7108">
        <v>9.9169999999999998</v>
      </c>
      <c r="L7108">
        <v>6</v>
      </c>
      <c r="M7108">
        <v>4</v>
      </c>
      <c r="N7108">
        <v>2</v>
      </c>
      <c r="O7108" t="s">
        <v>53</v>
      </c>
      <c r="P7108" t="s">
        <v>53</v>
      </c>
      <c r="Q7108" t="s">
        <v>53</v>
      </c>
    </row>
    <row r="7109" spans="1:17" x14ac:dyDescent="0.2">
      <c r="A7109" s="30" t="str">
        <f>IF(C7109&amp;G7109&amp;D7109&lt;&gt;'Funnel setup'!$K$3&amp;'Funnel setup'!$K$4&amp;'Funnel setup'!$K$5,".",IF(A7108=".",1,A7108+1))</f>
        <v>.</v>
      </c>
      <c r="B7109" s="431" t="str">
        <f t="shared" si="111"/>
        <v>Varicose VeinProviderMID ESSEX HOSPITAL SERVICES NHS TRUST (RQ8)EQ VAS</v>
      </c>
      <c r="C7109" t="s">
        <v>17</v>
      </c>
      <c r="D7109" t="s">
        <v>1</v>
      </c>
      <c r="E7109" t="s">
        <v>3635</v>
      </c>
      <c r="F7109" t="s">
        <v>3636</v>
      </c>
      <c r="G7109" t="s">
        <v>179</v>
      </c>
      <c r="H7109">
        <v>28</v>
      </c>
      <c r="I7109">
        <v>69.143000000000001</v>
      </c>
      <c r="J7109">
        <v>74.143000000000001</v>
      </c>
      <c r="K7109">
        <v>5</v>
      </c>
      <c r="L7109">
        <v>14</v>
      </c>
      <c r="M7109">
        <v>2</v>
      </c>
      <c r="N7109">
        <v>12</v>
      </c>
      <c r="O7109" t="s">
        <v>53</v>
      </c>
      <c r="P7109" t="s">
        <v>53</v>
      </c>
      <c r="Q7109" t="s">
        <v>53</v>
      </c>
    </row>
    <row r="7110" spans="1:17" x14ac:dyDescent="0.2">
      <c r="A7110" s="30" t="str">
        <f>IF(C7110&amp;G7110&amp;D7110&lt;&gt;'Funnel setup'!$K$3&amp;'Funnel setup'!$K$4&amp;'Funnel setup'!$K$5,".",IF(A7109=".",1,A7109+1))</f>
        <v>.</v>
      </c>
      <c r="B7110" s="431" t="str">
        <f t="shared" si="111"/>
        <v>Varicose VeinProviderMID STAFFORDSHIRE NHS FOUNDATION TRUST (RJD)EQ VAS</v>
      </c>
      <c r="C7110" t="s">
        <v>17</v>
      </c>
      <c r="D7110" t="s">
        <v>1</v>
      </c>
      <c r="E7110" t="s">
        <v>3638</v>
      </c>
      <c r="F7110" t="s">
        <v>3639</v>
      </c>
      <c r="G7110" t="s">
        <v>179</v>
      </c>
      <c r="H7110" t="s">
        <v>53</v>
      </c>
      <c r="I7110" t="s">
        <v>53</v>
      </c>
      <c r="J7110" t="s">
        <v>53</v>
      </c>
      <c r="K7110" t="s">
        <v>53</v>
      </c>
      <c r="L7110" t="s">
        <v>53</v>
      </c>
      <c r="M7110" t="s">
        <v>53</v>
      </c>
      <c r="N7110" t="s">
        <v>53</v>
      </c>
      <c r="O7110" t="s">
        <v>53</v>
      </c>
      <c r="P7110" t="s">
        <v>53</v>
      </c>
      <c r="Q7110" t="s">
        <v>53</v>
      </c>
    </row>
    <row r="7111" spans="1:17" x14ac:dyDescent="0.2">
      <c r="A7111" s="30" t="str">
        <f>IF(C7111&amp;G7111&amp;D7111&lt;&gt;'Funnel setup'!$K$3&amp;'Funnel setup'!$K$4&amp;'Funnel setup'!$K$5,".",IF(A7110=".",1,A7110+1))</f>
        <v>.</v>
      </c>
      <c r="B7111" s="431" t="str">
        <f t="shared" si="111"/>
        <v>Varicose VeinProviderMID YORKSHIRE HOSPITALS NHS TRUST (RXF)EQ VAS</v>
      </c>
      <c r="C7111" t="s">
        <v>17</v>
      </c>
      <c r="D7111" t="s">
        <v>1</v>
      </c>
      <c r="E7111" t="s">
        <v>3641</v>
      </c>
      <c r="F7111" t="s">
        <v>3642</v>
      </c>
      <c r="G7111" t="s">
        <v>179</v>
      </c>
      <c r="H7111">
        <v>71</v>
      </c>
      <c r="I7111">
        <v>80.507000000000005</v>
      </c>
      <c r="J7111">
        <v>79.394000000000005</v>
      </c>
      <c r="K7111">
        <v>-1.113</v>
      </c>
      <c r="L7111">
        <v>23</v>
      </c>
      <c r="M7111">
        <v>12</v>
      </c>
      <c r="N7111">
        <v>36</v>
      </c>
      <c r="O7111">
        <v>78.882999999999996</v>
      </c>
      <c r="P7111">
        <v>-8.1212244000000003E-2</v>
      </c>
      <c r="Q7111">
        <v>10.707000000000001</v>
      </c>
    </row>
    <row r="7112" spans="1:17" x14ac:dyDescent="0.2">
      <c r="A7112" s="30" t="str">
        <f>IF(C7112&amp;G7112&amp;D7112&lt;&gt;'Funnel setup'!$K$3&amp;'Funnel setup'!$K$4&amp;'Funnel setup'!$K$5,".",IF(A7111=".",1,A7111+1))</f>
        <v>.</v>
      </c>
      <c r="B7112" s="431" t="str">
        <f t="shared" si="111"/>
        <v>Varicose VeinProviderMILTON KEYNES UNIVERSITY HOSPITAL NHS FOUNDATION TRUST (RD8)EQ VAS</v>
      </c>
      <c r="C7112" t="s">
        <v>17</v>
      </c>
      <c r="D7112" t="s">
        <v>1</v>
      </c>
      <c r="E7112" t="s">
        <v>3643</v>
      </c>
      <c r="F7112" t="s">
        <v>6580</v>
      </c>
      <c r="G7112" t="s">
        <v>179</v>
      </c>
      <c r="H7112">
        <v>19</v>
      </c>
      <c r="I7112">
        <v>82.316000000000003</v>
      </c>
      <c r="J7112">
        <v>79.525999999999996</v>
      </c>
      <c r="K7112">
        <v>-2.7890000000000001</v>
      </c>
      <c r="L7112">
        <v>10</v>
      </c>
      <c r="M7112">
        <v>2</v>
      </c>
      <c r="N7112">
        <v>7</v>
      </c>
      <c r="O7112" t="s">
        <v>53</v>
      </c>
      <c r="P7112" t="s">
        <v>53</v>
      </c>
      <c r="Q7112" t="s">
        <v>53</v>
      </c>
    </row>
    <row r="7113" spans="1:17" x14ac:dyDescent="0.2">
      <c r="A7113" s="30" t="str">
        <f>IF(C7113&amp;G7113&amp;D7113&lt;&gt;'Funnel setup'!$K$3&amp;'Funnel setup'!$K$4&amp;'Funnel setup'!$K$5,".",IF(A7112=".",1,A7112+1))</f>
        <v>.</v>
      </c>
      <c r="B7113" s="431" t="str">
        <f t="shared" si="111"/>
        <v>Varicose VeinProviderNORFOLK AND NORWICH UNIVERSITY HOSPITALS NHS FOUNDATION TRUST (RM1)EQ VAS</v>
      </c>
      <c r="C7113" t="s">
        <v>17</v>
      </c>
      <c r="D7113" t="s">
        <v>1</v>
      </c>
      <c r="E7113" t="s">
        <v>3651</v>
      </c>
      <c r="F7113" t="s">
        <v>3652</v>
      </c>
      <c r="G7113" t="s">
        <v>179</v>
      </c>
      <c r="H7113">
        <v>158</v>
      </c>
      <c r="I7113">
        <v>82.391999999999996</v>
      </c>
      <c r="J7113">
        <v>82.784999999999997</v>
      </c>
      <c r="K7113">
        <v>0.39200000000000002</v>
      </c>
      <c r="L7113">
        <v>66</v>
      </c>
      <c r="M7113">
        <v>33</v>
      </c>
      <c r="N7113">
        <v>59</v>
      </c>
      <c r="O7113">
        <v>80.397999999999996</v>
      </c>
      <c r="P7113">
        <v>1.4342058360000001</v>
      </c>
      <c r="Q7113">
        <v>10.340999999999999</v>
      </c>
    </row>
    <row r="7114" spans="1:17" x14ac:dyDescent="0.2">
      <c r="A7114" s="30" t="str">
        <f>IF(C7114&amp;G7114&amp;D7114&lt;&gt;'Funnel setup'!$K$3&amp;'Funnel setup'!$K$4&amp;'Funnel setup'!$K$5,".",IF(A7113=".",1,A7113+1))</f>
        <v>.</v>
      </c>
      <c r="B7114" s="431" t="str">
        <f t="shared" si="111"/>
        <v>Varicose VeinProviderNORTH CUMBRIA UNIVERSITY HOSPITALS NHS TRUST (RNL)EQ VAS</v>
      </c>
      <c r="C7114" t="s">
        <v>17</v>
      </c>
      <c r="D7114" t="s">
        <v>1</v>
      </c>
      <c r="E7114" t="s">
        <v>3657</v>
      </c>
      <c r="F7114" t="s">
        <v>3658</v>
      </c>
      <c r="G7114" t="s">
        <v>179</v>
      </c>
      <c r="H7114">
        <v>32</v>
      </c>
      <c r="I7114">
        <v>83.968999999999994</v>
      </c>
      <c r="J7114">
        <v>82.843999999999994</v>
      </c>
      <c r="K7114">
        <v>-1.125</v>
      </c>
      <c r="L7114">
        <v>11</v>
      </c>
      <c r="M7114">
        <v>9</v>
      </c>
      <c r="N7114">
        <v>12</v>
      </c>
      <c r="O7114">
        <v>79.236999999999995</v>
      </c>
      <c r="P7114">
        <v>0.272677367</v>
      </c>
      <c r="Q7114">
        <v>7.4550000000000001</v>
      </c>
    </row>
    <row r="7115" spans="1:17" x14ac:dyDescent="0.2">
      <c r="A7115" s="30" t="str">
        <f>IF(C7115&amp;G7115&amp;D7115&lt;&gt;'Funnel setup'!$K$3&amp;'Funnel setup'!$K$4&amp;'Funnel setup'!$K$5,".",IF(A7114=".",1,A7114+1))</f>
        <v>.</v>
      </c>
      <c r="B7115" s="431" t="str">
        <f t="shared" si="111"/>
        <v>Varicose VeinProviderNORTH DOWNS HOSPITAL (NVC11)EQ VAS</v>
      </c>
      <c r="C7115" t="s">
        <v>17</v>
      </c>
      <c r="D7115" t="s">
        <v>1</v>
      </c>
      <c r="E7115" t="s">
        <v>3660</v>
      </c>
      <c r="F7115" t="s">
        <v>3661</v>
      </c>
      <c r="G7115" t="s">
        <v>179</v>
      </c>
      <c r="H7115" t="s">
        <v>53</v>
      </c>
      <c r="I7115" t="s">
        <v>53</v>
      </c>
      <c r="J7115" t="s">
        <v>53</v>
      </c>
      <c r="K7115" t="s">
        <v>53</v>
      </c>
      <c r="L7115" t="s">
        <v>53</v>
      </c>
      <c r="M7115" t="s">
        <v>53</v>
      </c>
      <c r="N7115" t="s">
        <v>53</v>
      </c>
      <c r="O7115" t="s">
        <v>53</v>
      </c>
      <c r="P7115" t="s">
        <v>53</v>
      </c>
      <c r="Q7115" t="s">
        <v>53</v>
      </c>
    </row>
    <row r="7116" spans="1:17" x14ac:dyDescent="0.2">
      <c r="A7116" s="30" t="str">
        <f>IF(C7116&amp;G7116&amp;D7116&lt;&gt;'Funnel setup'!$K$3&amp;'Funnel setup'!$K$4&amp;'Funnel setup'!$K$5,".",IF(A7115=".",1,A7115+1))</f>
        <v>.</v>
      </c>
      <c r="B7116" s="431" t="str">
        <f t="shared" si="111"/>
        <v>Varicose VeinProviderNORTH EAST LONDON TREATMENT CENTRE CARE UK (NTP15)EQ VAS</v>
      </c>
      <c r="C7116" t="s">
        <v>17</v>
      </c>
      <c r="D7116" t="s">
        <v>1</v>
      </c>
      <c r="E7116" t="s">
        <v>3663</v>
      </c>
      <c r="F7116" t="s">
        <v>3664</v>
      </c>
      <c r="G7116" t="s">
        <v>179</v>
      </c>
      <c r="H7116">
        <v>23</v>
      </c>
      <c r="I7116">
        <v>79.564999999999998</v>
      </c>
      <c r="J7116">
        <v>77.174000000000007</v>
      </c>
      <c r="K7116">
        <v>-2.391</v>
      </c>
      <c r="L7116">
        <v>8</v>
      </c>
      <c r="M7116">
        <v>5</v>
      </c>
      <c r="N7116">
        <v>10</v>
      </c>
      <c r="O7116" t="s">
        <v>53</v>
      </c>
      <c r="P7116" t="s">
        <v>53</v>
      </c>
      <c r="Q7116" t="s">
        <v>53</v>
      </c>
    </row>
    <row r="7117" spans="1:17" x14ac:dyDescent="0.2">
      <c r="A7117" s="30" t="str">
        <f>IF(C7117&amp;G7117&amp;D7117&lt;&gt;'Funnel setup'!$K$3&amp;'Funnel setup'!$K$4&amp;'Funnel setup'!$K$5,".",IF(A7116=".",1,A7116+1))</f>
        <v>.</v>
      </c>
      <c r="B7117" s="431" t="str">
        <f t="shared" si="111"/>
        <v>Varicose VeinProviderNORTH TEES AND HARTLEPOOL NHS FOUNDATION TRUST (RVW)EQ VAS</v>
      </c>
      <c r="C7117" t="s">
        <v>17</v>
      </c>
      <c r="D7117" t="s">
        <v>1</v>
      </c>
      <c r="E7117" t="s">
        <v>3669</v>
      </c>
      <c r="F7117" t="s">
        <v>3670</v>
      </c>
      <c r="G7117" t="s">
        <v>179</v>
      </c>
      <c r="H7117">
        <v>59</v>
      </c>
      <c r="I7117">
        <v>74.406999999999996</v>
      </c>
      <c r="J7117">
        <v>76.626999999999995</v>
      </c>
      <c r="K7117">
        <v>2.2200000000000002</v>
      </c>
      <c r="L7117">
        <v>27</v>
      </c>
      <c r="M7117">
        <v>12</v>
      </c>
      <c r="N7117">
        <v>20</v>
      </c>
      <c r="O7117">
        <v>80.823999999999998</v>
      </c>
      <c r="P7117">
        <v>1.860041998</v>
      </c>
      <c r="Q7117">
        <v>11.923999999999999</v>
      </c>
    </row>
    <row r="7118" spans="1:17" x14ac:dyDescent="0.2">
      <c r="A7118" s="30" t="str">
        <f>IF(C7118&amp;G7118&amp;D7118&lt;&gt;'Funnel setup'!$K$3&amp;'Funnel setup'!$K$4&amp;'Funnel setup'!$K$5,".",IF(A7117=".",1,A7117+1))</f>
        <v>.</v>
      </c>
      <c r="B7118" s="431" t="str">
        <f t="shared" si="111"/>
        <v>Varicose VeinProviderNORTHAMPTON GENERAL HOSPITAL NHS TRUST (RNS)EQ VAS</v>
      </c>
      <c r="C7118" t="s">
        <v>17</v>
      </c>
      <c r="D7118" t="s">
        <v>1</v>
      </c>
      <c r="E7118" t="s">
        <v>3675</v>
      </c>
      <c r="F7118" t="s">
        <v>3676</v>
      </c>
      <c r="G7118" t="s">
        <v>179</v>
      </c>
      <c r="H7118">
        <v>23</v>
      </c>
      <c r="I7118">
        <v>77</v>
      </c>
      <c r="J7118">
        <v>75.477999999999994</v>
      </c>
      <c r="K7118">
        <v>-1.522</v>
      </c>
      <c r="L7118">
        <v>7</v>
      </c>
      <c r="M7118">
        <v>6</v>
      </c>
      <c r="N7118">
        <v>10</v>
      </c>
      <c r="O7118" t="s">
        <v>53</v>
      </c>
      <c r="P7118" t="s">
        <v>53</v>
      </c>
      <c r="Q7118" t="s">
        <v>53</v>
      </c>
    </row>
    <row r="7119" spans="1:17" x14ac:dyDescent="0.2">
      <c r="A7119" s="30" t="str">
        <f>IF(C7119&amp;G7119&amp;D7119&lt;&gt;'Funnel setup'!$K$3&amp;'Funnel setup'!$K$4&amp;'Funnel setup'!$K$5,".",IF(A7118=".",1,A7118+1))</f>
        <v>.</v>
      </c>
      <c r="B7119" s="431" t="str">
        <f t="shared" si="111"/>
        <v>Varicose VeinProviderNORTHERN DEVON HEALTHCARE NHS TRUST (RBZ)EQ VAS</v>
      </c>
      <c r="C7119" t="s">
        <v>17</v>
      </c>
      <c r="D7119" t="s">
        <v>1</v>
      </c>
      <c r="E7119" t="s">
        <v>3678</v>
      </c>
      <c r="F7119" t="s">
        <v>3679</v>
      </c>
      <c r="G7119" t="s">
        <v>179</v>
      </c>
      <c r="H7119">
        <v>10</v>
      </c>
      <c r="I7119">
        <v>76.8</v>
      </c>
      <c r="J7119">
        <v>73.5</v>
      </c>
      <c r="K7119">
        <v>-3.3</v>
      </c>
      <c r="L7119">
        <v>3</v>
      </c>
      <c r="M7119">
        <v>1</v>
      </c>
      <c r="N7119">
        <v>6</v>
      </c>
      <c r="O7119" t="s">
        <v>53</v>
      </c>
      <c r="P7119" t="s">
        <v>53</v>
      </c>
      <c r="Q7119" t="s">
        <v>53</v>
      </c>
    </row>
    <row r="7120" spans="1:17" x14ac:dyDescent="0.2">
      <c r="A7120" s="30" t="str">
        <f>IF(C7120&amp;G7120&amp;D7120&lt;&gt;'Funnel setup'!$K$3&amp;'Funnel setup'!$K$4&amp;'Funnel setup'!$K$5,".",IF(A7119=".",1,A7119+1))</f>
        <v>.</v>
      </c>
      <c r="B7120" s="431" t="str">
        <f t="shared" si="111"/>
        <v>Varicose VeinProviderNORTHERN LINCOLNSHIRE AND GOOLE NHS FOUNDATION TRUST (RJL)EQ VAS</v>
      </c>
      <c r="C7120" t="s">
        <v>17</v>
      </c>
      <c r="D7120" t="s">
        <v>1</v>
      </c>
      <c r="E7120" t="s">
        <v>3681</v>
      </c>
      <c r="F7120" t="s">
        <v>3682</v>
      </c>
      <c r="G7120" t="s">
        <v>179</v>
      </c>
      <c r="H7120">
        <v>6</v>
      </c>
      <c r="I7120">
        <v>85.332999999999998</v>
      </c>
      <c r="J7120">
        <v>83.832999999999998</v>
      </c>
      <c r="K7120">
        <v>-1.5</v>
      </c>
      <c r="L7120">
        <v>3</v>
      </c>
      <c r="M7120">
        <v>1</v>
      </c>
      <c r="N7120">
        <v>2</v>
      </c>
      <c r="O7120" t="s">
        <v>53</v>
      </c>
      <c r="P7120" t="s">
        <v>53</v>
      </c>
      <c r="Q7120" t="s">
        <v>53</v>
      </c>
    </row>
    <row r="7121" spans="1:17" x14ac:dyDescent="0.2">
      <c r="A7121" s="30" t="str">
        <f>IF(C7121&amp;G7121&amp;D7121&lt;&gt;'Funnel setup'!$K$3&amp;'Funnel setup'!$K$4&amp;'Funnel setup'!$K$5,".",IF(A7120=".",1,A7120+1))</f>
        <v>.</v>
      </c>
      <c r="B7121" s="431" t="str">
        <f t="shared" si="111"/>
        <v>Varicose VeinProviderOAKS HOSPITAL (NVC13)EQ VAS</v>
      </c>
      <c r="C7121" t="s">
        <v>17</v>
      </c>
      <c r="D7121" t="s">
        <v>1</v>
      </c>
      <c r="E7121" t="s">
        <v>3270</v>
      </c>
      <c r="F7121" t="s">
        <v>3271</v>
      </c>
      <c r="G7121" t="s">
        <v>179</v>
      </c>
      <c r="H7121" t="s">
        <v>53</v>
      </c>
      <c r="I7121" t="s">
        <v>53</v>
      </c>
      <c r="J7121" t="s">
        <v>53</v>
      </c>
      <c r="K7121" t="s">
        <v>53</v>
      </c>
      <c r="L7121" t="s">
        <v>53</v>
      </c>
      <c r="M7121" t="s">
        <v>53</v>
      </c>
      <c r="N7121" t="s">
        <v>53</v>
      </c>
      <c r="O7121" t="s">
        <v>53</v>
      </c>
      <c r="P7121" t="s">
        <v>53</v>
      </c>
      <c r="Q7121" t="s">
        <v>53</v>
      </c>
    </row>
    <row r="7122" spans="1:17" x14ac:dyDescent="0.2">
      <c r="A7122" s="30" t="str">
        <f>IF(C7122&amp;G7122&amp;D7122&lt;&gt;'Funnel setup'!$K$3&amp;'Funnel setup'!$K$4&amp;'Funnel setup'!$K$5,".",IF(A7121=".",1,A7121+1))</f>
        <v>.</v>
      </c>
      <c r="B7122" s="431" t="str">
        <f t="shared" si="111"/>
        <v>Varicose VeinProviderOXFORD UNIVERSITY HOSPITALS NHS FOUNDATION TRUST (RTH)EQ VAS</v>
      </c>
      <c r="C7122" t="s">
        <v>17</v>
      </c>
      <c r="D7122" t="s">
        <v>1</v>
      </c>
      <c r="E7122" t="s">
        <v>3278</v>
      </c>
      <c r="F7122" t="s">
        <v>6578</v>
      </c>
      <c r="G7122" t="s">
        <v>179</v>
      </c>
      <c r="H7122">
        <v>36</v>
      </c>
      <c r="I7122">
        <v>78.667000000000002</v>
      </c>
      <c r="J7122">
        <v>80.138999999999996</v>
      </c>
      <c r="K7122">
        <v>1.472</v>
      </c>
      <c r="L7122">
        <v>15</v>
      </c>
      <c r="M7122">
        <v>10</v>
      </c>
      <c r="N7122">
        <v>11</v>
      </c>
      <c r="O7122">
        <v>79.495000000000005</v>
      </c>
      <c r="P7122">
        <v>0.53073164799999994</v>
      </c>
      <c r="Q7122">
        <v>10.951000000000001</v>
      </c>
    </row>
    <row r="7123" spans="1:17" x14ac:dyDescent="0.2">
      <c r="A7123" s="30" t="str">
        <f>IF(C7123&amp;G7123&amp;D7123&lt;&gt;'Funnel setup'!$K$3&amp;'Funnel setup'!$K$4&amp;'Funnel setup'!$K$5,".",IF(A7122=".",1,A7122+1))</f>
        <v>.</v>
      </c>
      <c r="B7123" s="431" t="str">
        <f t="shared" si="111"/>
        <v>Varicose VeinProviderPENNINE ACUTE HOSPITALS NHS TRUST (RW6)EQ VAS</v>
      </c>
      <c r="C7123" t="s">
        <v>17</v>
      </c>
      <c r="D7123" t="s">
        <v>1</v>
      </c>
      <c r="E7123" t="s">
        <v>3216</v>
      </c>
      <c r="F7123" t="s">
        <v>3217</v>
      </c>
      <c r="G7123" t="s">
        <v>179</v>
      </c>
      <c r="H7123">
        <v>13</v>
      </c>
      <c r="I7123">
        <v>76.846000000000004</v>
      </c>
      <c r="J7123">
        <v>75.385000000000005</v>
      </c>
      <c r="K7123">
        <v>-1.462</v>
      </c>
      <c r="L7123">
        <v>4</v>
      </c>
      <c r="M7123">
        <v>2</v>
      </c>
      <c r="N7123">
        <v>7</v>
      </c>
      <c r="O7123" t="s">
        <v>53</v>
      </c>
      <c r="P7123" t="s">
        <v>53</v>
      </c>
      <c r="Q7123" t="s">
        <v>53</v>
      </c>
    </row>
    <row r="7124" spans="1:17" x14ac:dyDescent="0.2">
      <c r="A7124" s="30" t="str">
        <f>IF(C7124&amp;G7124&amp;D7124&lt;&gt;'Funnel setup'!$K$3&amp;'Funnel setup'!$K$4&amp;'Funnel setup'!$K$5,".",IF(A7123=".",1,A7123+1))</f>
        <v>.</v>
      </c>
      <c r="B7124" s="431" t="str">
        <f t="shared" si="111"/>
        <v>Varicose VeinProviderPETERBOROUGH AND STAMFORD HOSPITALS NHS FOUNDATION TRUST (RGN)EQ VAS</v>
      </c>
      <c r="C7124" t="s">
        <v>17</v>
      </c>
      <c r="D7124" t="s">
        <v>1</v>
      </c>
      <c r="E7124" t="s">
        <v>3219</v>
      </c>
      <c r="F7124" t="s">
        <v>3220</v>
      </c>
      <c r="G7124" t="s">
        <v>179</v>
      </c>
      <c r="H7124">
        <v>15</v>
      </c>
      <c r="I7124">
        <v>78.066999999999993</v>
      </c>
      <c r="J7124">
        <v>80.599999999999994</v>
      </c>
      <c r="K7124">
        <v>2.5329999999999999</v>
      </c>
      <c r="L7124">
        <v>8</v>
      </c>
      <c r="M7124">
        <v>4</v>
      </c>
      <c r="N7124">
        <v>3</v>
      </c>
      <c r="O7124" t="s">
        <v>53</v>
      </c>
      <c r="P7124" t="s">
        <v>53</v>
      </c>
      <c r="Q7124" t="s">
        <v>53</v>
      </c>
    </row>
    <row r="7125" spans="1:17" x14ac:dyDescent="0.2">
      <c r="A7125" s="30" t="str">
        <f>IF(C7125&amp;G7125&amp;D7125&lt;&gt;'Funnel setup'!$K$3&amp;'Funnel setup'!$K$4&amp;'Funnel setup'!$K$5,".",IF(A7124=".",1,A7124+1))</f>
        <v>.</v>
      </c>
      <c r="B7125" s="431" t="str">
        <f t="shared" si="111"/>
        <v>Varicose VeinProviderPINEHILL HOSPITAL (NVC15)EQ VAS</v>
      </c>
      <c r="C7125" t="s">
        <v>17</v>
      </c>
      <c r="D7125" t="s">
        <v>1</v>
      </c>
      <c r="E7125" t="s">
        <v>3222</v>
      </c>
      <c r="F7125" t="s">
        <v>3223</v>
      </c>
      <c r="G7125" t="s">
        <v>179</v>
      </c>
      <c r="H7125" t="s">
        <v>53</v>
      </c>
      <c r="I7125" t="s">
        <v>53</v>
      </c>
      <c r="J7125" t="s">
        <v>53</v>
      </c>
      <c r="K7125" t="s">
        <v>53</v>
      </c>
      <c r="L7125" t="s">
        <v>53</v>
      </c>
      <c r="M7125" t="s">
        <v>53</v>
      </c>
      <c r="N7125" t="s">
        <v>53</v>
      </c>
      <c r="O7125" t="s">
        <v>53</v>
      </c>
      <c r="P7125" t="s">
        <v>53</v>
      </c>
      <c r="Q7125" t="s">
        <v>53</v>
      </c>
    </row>
    <row r="7126" spans="1:17" x14ac:dyDescent="0.2">
      <c r="A7126" s="30" t="str">
        <f>IF(C7126&amp;G7126&amp;D7126&lt;&gt;'Funnel setup'!$K$3&amp;'Funnel setup'!$K$4&amp;'Funnel setup'!$K$5,".",IF(A7125=".",1,A7125+1))</f>
        <v>.</v>
      </c>
      <c r="B7126" s="431" t="str">
        <f t="shared" si="111"/>
        <v>Varicose VeinProviderPLYMOUTH HOSPITALS NHS TRUST (RK9)EQ VAS</v>
      </c>
      <c r="C7126" t="s">
        <v>17</v>
      </c>
      <c r="D7126" t="s">
        <v>1</v>
      </c>
      <c r="E7126" t="s">
        <v>3225</v>
      </c>
      <c r="F7126" t="s">
        <v>3226</v>
      </c>
      <c r="G7126" t="s">
        <v>179</v>
      </c>
      <c r="H7126">
        <v>56</v>
      </c>
      <c r="I7126">
        <v>76.213999999999999</v>
      </c>
      <c r="J7126">
        <v>73.804000000000002</v>
      </c>
      <c r="K7126">
        <v>-2.411</v>
      </c>
      <c r="L7126">
        <v>20</v>
      </c>
      <c r="M7126">
        <v>8</v>
      </c>
      <c r="N7126">
        <v>28</v>
      </c>
      <c r="O7126">
        <v>75.28</v>
      </c>
      <c r="P7126">
        <v>-3.68383846</v>
      </c>
      <c r="Q7126">
        <v>12.708</v>
      </c>
    </row>
    <row r="7127" spans="1:17" x14ac:dyDescent="0.2">
      <c r="A7127" s="30" t="str">
        <f>IF(C7127&amp;G7127&amp;D7127&lt;&gt;'Funnel setup'!$K$3&amp;'Funnel setup'!$K$4&amp;'Funnel setup'!$K$5,".",IF(A7126=".",1,A7126+1))</f>
        <v>.</v>
      </c>
      <c r="B7127" s="431" t="str">
        <f t="shared" si="111"/>
        <v>Varicose VeinProviderPORTSMOUTH HOSPITALS NHS TRUST (RHU)EQ VAS</v>
      </c>
      <c r="C7127" t="s">
        <v>17</v>
      </c>
      <c r="D7127" t="s">
        <v>1</v>
      </c>
      <c r="E7127" t="s">
        <v>3234</v>
      </c>
      <c r="F7127" t="s">
        <v>3235</v>
      </c>
      <c r="G7127" t="s">
        <v>179</v>
      </c>
      <c r="H7127" t="s">
        <v>53</v>
      </c>
      <c r="I7127" t="s">
        <v>53</v>
      </c>
      <c r="J7127" t="s">
        <v>53</v>
      </c>
      <c r="K7127" t="s">
        <v>53</v>
      </c>
      <c r="L7127" t="s">
        <v>53</v>
      </c>
      <c r="M7127" t="s">
        <v>53</v>
      </c>
      <c r="N7127" t="s">
        <v>53</v>
      </c>
      <c r="O7127" t="s">
        <v>53</v>
      </c>
      <c r="P7127" t="s">
        <v>53</v>
      </c>
      <c r="Q7127" t="s">
        <v>53</v>
      </c>
    </row>
    <row r="7128" spans="1:17" x14ac:dyDescent="0.2">
      <c r="A7128" s="30" t="str">
        <f>IF(C7128&amp;G7128&amp;D7128&lt;&gt;'Funnel setup'!$K$3&amp;'Funnel setup'!$K$4&amp;'Funnel setup'!$K$5,".",IF(A7127=".",1,A7127+1))</f>
        <v>.</v>
      </c>
      <c r="B7128" s="431" t="str">
        <f t="shared" si="111"/>
        <v>Varicose VeinProviderROYAL BERKSHIRE NHS FOUNDATION TRUST (RHW)EQ VAS</v>
      </c>
      <c r="C7128" t="s">
        <v>17</v>
      </c>
      <c r="D7128" t="s">
        <v>1</v>
      </c>
      <c r="E7128" t="s">
        <v>3832</v>
      </c>
      <c r="F7128" t="s">
        <v>3833</v>
      </c>
      <c r="G7128" t="s">
        <v>179</v>
      </c>
      <c r="H7128">
        <v>6</v>
      </c>
      <c r="I7128">
        <v>78.832999999999998</v>
      </c>
      <c r="J7128">
        <v>73.167000000000002</v>
      </c>
      <c r="K7128">
        <v>-5.6669999999999998</v>
      </c>
      <c r="L7128">
        <v>3</v>
      </c>
      <c r="M7128">
        <v>0</v>
      </c>
      <c r="N7128">
        <v>3</v>
      </c>
      <c r="O7128" t="s">
        <v>53</v>
      </c>
      <c r="P7128" t="s">
        <v>53</v>
      </c>
      <c r="Q7128" t="s">
        <v>53</v>
      </c>
    </row>
    <row r="7129" spans="1:17" x14ac:dyDescent="0.2">
      <c r="A7129" s="30" t="str">
        <f>IF(C7129&amp;G7129&amp;D7129&lt;&gt;'Funnel setup'!$K$3&amp;'Funnel setup'!$K$4&amp;'Funnel setup'!$K$5,".",IF(A7128=".",1,A7128+1))</f>
        <v>.</v>
      </c>
      <c r="B7129" s="431" t="str">
        <f t="shared" si="111"/>
        <v>Varicose VeinProviderROYAL CORNWALL HOSPITALS NHS TRUST (REF)EQ VAS</v>
      </c>
      <c r="C7129" t="s">
        <v>17</v>
      </c>
      <c r="D7129" t="s">
        <v>1</v>
      </c>
      <c r="E7129" t="s">
        <v>3745</v>
      </c>
      <c r="F7129" t="s">
        <v>3746</v>
      </c>
      <c r="G7129" t="s">
        <v>179</v>
      </c>
      <c r="H7129">
        <v>84</v>
      </c>
      <c r="I7129">
        <v>77.274000000000001</v>
      </c>
      <c r="J7129">
        <v>77.429000000000002</v>
      </c>
      <c r="K7129">
        <v>0.155</v>
      </c>
      <c r="L7129">
        <v>33</v>
      </c>
      <c r="M7129">
        <v>13</v>
      </c>
      <c r="N7129">
        <v>38</v>
      </c>
      <c r="O7129">
        <v>79.126999999999995</v>
      </c>
      <c r="P7129">
        <v>0.16305520100000001</v>
      </c>
      <c r="Q7129">
        <v>13.51</v>
      </c>
    </row>
    <row r="7130" spans="1:17" x14ac:dyDescent="0.2">
      <c r="A7130" s="30" t="str">
        <f>IF(C7130&amp;G7130&amp;D7130&lt;&gt;'Funnel setup'!$K$3&amp;'Funnel setup'!$K$4&amp;'Funnel setup'!$K$5,".",IF(A7129=".",1,A7129+1))</f>
        <v>.</v>
      </c>
      <c r="B7130" s="431" t="str">
        <f t="shared" si="111"/>
        <v>Varicose VeinProviderROYAL DEVON AND EXETER NHS FOUNDATION TRUST (RH8)EQ VAS</v>
      </c>
      <c r="C7130" t="s">
        <v>17</v>
      </c>
      <c r="D7130" t="s">
        <v>1</v>
      </c>
      <c r="E7130" t="s">
        <v>3442</v>
      </c>
      <c r="F7130" t="s">
        <v>3443</v>
      </c>
      <c r="G7130" t="s">
        <v>179</v>
      </c>
      <c r="H7130">
        <v>53</v>
      </c>
      <c r="I7130">
        <v>76.396000000000001</v>
      </c>
      <c r="J7130">
        <v>76.623000000000005</v>
      </c>
      <c r="K7130">
        <v>0.22600000000000001</v>
      </c>
      <c r="L7130">
        <v>22</v>
      </c>
      <c r="M7130">
        <v>10</v>
      </c>
      <c r="N7130">
        <v>21</v>
      </c>
      <c r="O7130">
        <v>78.528999999999996</v>
      </c>
      <c r="P7130">
        <v>-0.43494624399999998</v>
      </c>
      <c r="Q7130">
        <v>14.244999999999999</v>
      </c>
    </row>
    <row r="7131" spans="1:17" x14ac:dyDescent="0.2">
      <c r="A7131" s="30" t="str">
        <f>IF(C7131&amp;G7131&amp;D7131&lt;&gt;'Funnel setup'!$K$3&amp;'Funnel setup'!$K$4&amp;'Funnel setup'!$K$5,".",IF(A7130=".",1,A7130+1))</f>
        <v>.</v>
      </c>
      <c r="B7131" s="431" t="str">
        <f t="shared" si="111"/>
        <v>Varicose VeinProviderROYAL FREE LONDON NHS FOUNDATION TRUST (RAL)EQ VAS</v>
      </c>
      <c r="C7131" t="s">
        <v>17</v>
      </c>
      <c r="D7131" t="s">
        <v>1</v>
      </c>
      <c r="E7131" t="s">
        <v>3445</v>
      </c>
      <c r="F7131" t="s">
        <v>3446</v>
      </c>
      <c r="G7131" t="s">
        <v>179</v>
      </c>
      <c r="H7131">
        <v>27</v>
      </c>
      <c r="I7131">
        <v>73.37</v>
      </c>
      <c r="J7131">
        <v>69.852000000000004</v>
      </c>
      <c r="K7131">
        <v>-3.5190000000000001</v>
      </c>
      <c r="L7131">
        <v>10</v>
      </c>
      <c r="M7131">
        <v>3</v>
      </c>
      <c r="N7131">
        <v>14</v>
      </c>
      <c r="O7131" t="s">
        <v>53</v>
      </c>
      <c r="P7131" t="s">
        <v>53</v>
      </c>
      <c r="Q7131" t="s">
        <v>53</v>
      </c>
    </row>
    <row r="7132" spans="1:17" x14ac:dyDescent="0.2">
      <c r="A7132" s="30" t="str">
        <f>IF(C7132&amp;G7132&amp;D7132&lt;&gt;'Funnel setup'!$K$3&amp;'Funnel setup'!$K$4&amp;'Funnel setup'!$K$5,".",IF(A7131=".",1,A7131+1))</f>
        <v>.</v>
      </c>
      <c r="B7132" s="431" t="str">
        <f t="shared" si="111"/>
        <v>Varicose VeinProviderROYAL UNITED HOSPITALS BATH NHS FOUNDATION TRUST (RD1)EQ VAS</v>
      </c>
      <c r="C7132" t="s">
        <v>17</v>
      </c>
      <c r="D7132" t="s">
        <v>1</v>
      </c>
      <c r="E7132" t="s">
        <v>3454</v>
      </c>
      <c r="F7132" t="s">
        <v>3455</v>
      </c>
      <c r="G7132" t="s">
        <v>179</v>
      </c>
      <c r="H7132">
        <v>15</v>
      </c>
      <c r="I7132">
        <v>82.867000000000004</v>
      </c>
      <c r="J7132">
        <v>77.599999999999994</v>
      </c>
      <c r="K7132">
        <v>-5.2670000000000003</v>
      </c>
      <c r="L7132">
        <v>1</v>
      </c>
      <c r="M7132">
        <v>4</v>
      </c>
      <c r="N7132">
        <v>10</v>
      </c>
      <c r="O7132" t="s">
        <v>53</v>
      </c>
      <c r="P7132" t="s">
        <v>53</v>
      </c>
      <c r="Q7132" t="s">
        <v>53</v>
      </c>
    </row>
    <row r="7133" spans="1:17" x14ac:dyDescent="0.2">
      <c r="A7133" s="30" t="str">
        <f>IF(C7133&amp;G7133&amp;D7133&lt;&gt;'Funnel setup'!$K$3&amp;'Funnel setup'!$K$4&amp;'Funnel setup'!$K$5,".",IF(A7132=".",1,A7132+1))</f>
        <v>.</v>
      </c>
      <c r="B7133" s="431" t="str">
        <f t="shared" si="111"/>
        <v>Varicose VeinProviderSALISBURY NHS FOUNDATION TRUST (RNZ)EQ VAS</v>
      </c>
      <c r="C7133" t="s">
        <v>17</v>
      </c>
      <c r="D7133" t="s">
        <v>1</v>
      </c>
      <c r="E7133" t="s">
        <v>3460</v>
      </c>
      <c r="F7133" t="s">
        <v>3461</v>
      </c>
      <c r="G7133" t="s">
        <v>179</v>
      </c>
      <c r="H7133">
        <v>42</v>
      </c>
      <c r="I7133">
        <v>79</v>
      </c>
      <c r="J7133">
        <v>75.143000000000001</v>
      </c>
      <c r="K7133">
        <v>-3.8570000000000002</v>
      </c>
      <c r="L7133">
        <v>14</v>
      </c>
      <c r="M7133">
        <v>11</v>
      </c>
      <c r="N7133">
        <v>17</v>
      </c>
      <c r="O7133">
        <v>76.34</v>
      </c>
      <c r="P7133">
        <v>-2.624059103</v>
      </c>
      <c r="Q7133">
        <v>12.93</v>
      </c>
    </row>
    <row r="7134" spans="1:17" x14ac:dyDescent="0.2">
      <c r="A7134" s="30" t="str">
        <f>IF(C7134&amp;G7134&amp;D7134&lt;&gt;'Funnel setup'!$K$3&amp;'Funnel setup'!$K$4&amp;'Funnel setup'!$K$5,".",IF(A7133=".",1,A7133+1))</f>
        <v>.</v>
      </c>
      <c r="B7134" s="431" t="str">
        <f t="shared" si="111"/>
        <v>Varicose VeinProviderSANDWELL AND WEST BIRMINGHAM HOSPITALS NHS TRUST (RXK)EQ VAS</v>
      </c>
      <c r="C7134" t="s">
        <v>17</v>
      </c>
      <c r="D7134" t="s">
        <v>1</v>
      </c>
      <c r="E7134" t="s">
        <v>3463</v>
      </c>
      <c r="F7134" t="s">
        <v>3464</v>
      </c>
      <c r="G7134" t="s">
        <v>179</v>
      </c>
      <c r="H7134">
        <v>111</v>
      </c>
      <c r="I7134">
        <v>76.108000000000004</v>
      </c>
      <c r="J7134">
        <v>74.018000000000001</v>
      </c>
      <c r="K7134">
        <v>-2.09</v>
      </c>
      <c r="L7134">
        <v>47</v>
      </c>
      <c r="M7134">
        <v>15</v>
      </c>
      <c r="N7134">
        <v>49</v>
      </c>
      <c r="O7134">
        <v>77.001999999999995</v>
      </c>
      <c r="P7134">
        <v>-1.962157393</v>
      </c>
      <c r="Q7134">
        <v>18.704000000000001</v>
      </c>
    </row>
    <row r="7135" spans="1:17" x14ac:dyDescent="0.2">
      <c r="A7135" s="30" t="str">
        <f>IF(C7135&amp;G7135&amp;D7135&lt;&gt;'Funnel setup'!$K$3&amp;'Funnel setup'!$K$4&amp;'Funnel setup'!$K$5,".",IF(A7134=".",1,A7134+1))</f>
        <v>.</v>
      </c>
      <c r="B7135" s="431" t="str">
        <f t="shared" si="111"/>
        <v>Varicose VeinProviderSHEFFIELD TEACHING HOSPITALS NHS FOUNDATION TRUST (RHQ)EQ VAS</v>
      </c>
      <c r="C7135" t="s">
        <v>17</v>
      </c>
      <c r="D7135" t="s">
        <v>1</v>
      </c>
      <c r="E7135" t="s">
        <v>3466</v>
      </c>
      <c r="F7135" t="s">
        <v>3467</v>
      </c>
      <c r="G7135" t="s">
        <v>179</v>
      </c>
      <c r="H7135">
        <v>156</v>
      </c>
      <c r="I7135">
        <v>81.391000000000005</v>
      </c>
      <c r="J7135">
        <v>79.647000000000006</v>
      </c>
      <c r="K7135">
        <v>-1.744</v>
      </c>
      <c r="L7135">
        <v>51</v>
      </c>
      <c r="M7135">
        <v>39</v>
      </c>
      <c r="N7135">
        <v>66</v>
      </c>
      <c r="O7135">
        <v>78.741</v>
      </c>
      <c r="P7135">
        <v>-0.222981816</v>
      </c>
      <c r="Q7135">
        <v>12.978</v>
      </c>
    </row>
    <row r="7136" spans="1:17" x14ac:dyDescent="0.2">
      <c r="A7136" s="30" t="str">
        <f>IF(C7136&amp;G7136&amp;D7136&lt;&gt;'Funnel setup'!$K$3&amp;'Funnel setup'!$K$4&amp;'Funnel setup'!$K$5,".",IF(A7135=".",1,A7135+1))</f>
        <v>.</v>
      </c>
      <c r="B7136" s="431" t="str">
        <f t="shared" si="111"/>
        <v>Varicose VeinProviderSHERWOOD FOREST HOSPITALS NHS FOUNDATION TRUST (RK5)EQ VAS</v>
      </c>
      <c r="C7136" t="s">
        <v>17</v>
      </c>
      <c r="D7136" t="s">
        <v>1</v>
      </c>
      <c r="E7136" t="s">
        <v>3475</v>
      </c>
      <c r="F7136" t="s">
        <v>3476</v>
      </c>
      <c r="G7136" t="s">
        <v>179</v>
      </c>
      <c r="H7136">
        <v>69</v>
      </c>
      <c r="I7136">
        <v>76.087000000000003</v>
      </c>
      <c r="J7136">
        <v>75.667000000000002</v>
      </c>
      <c r="K7136">
        <v>-0.42</v>
      </c>
      <c r="L7136">
        <v>26</v>
      </c>
      <c r="M7136">
        <v>14</v>
      </c>
      <c r="N7136">
        <v>29</v>
      </c>
      <c r="O7136">
        <v>77.793999999999997</v>
      </c>
      <c r="P7136">
        <v>-1.1696767180000001</v>
      </c>
      <c r="Q7136">
        <v>17.382000000000001</v>
      </c>
    </row>
    <row r="7137" spans="1:17" x14ac:dyDescent="0.2">
      <c r="A7137" s="30" t="str">
        <f>IF(C7137&amp;G7137&amp;D7137&lt;&gt;'Funnel setup'!$K$3&amp;'Funnel setup'!$K$4&amp;'Funnel setup'!$K$5,".",IF(A7136=".",1,A7136+1))</f>
        <v>.</v>
      </c>
      <c r="B7137" s="431" t="str">
        <f t="shared" si="111"/>
        <v>Varicose VeinProviderSHREWSBURY AND TELFORD HOSPITAL NHS TRUST (RXW)EQ VAS</v>
      </c>
      <c r="C7137" t="s">
        <v>17</v>
      </c>
      <c r="D7137" t="s">
        <v>1</v>
      </c>
      <c r="E7137" t="s">
        <v>3478</v>
      </c>
      <c r="F7137" t="s">
        <v>3479</v>
      </c>
      <c r="G7137" t="s">
        <v>179</v>
      </c>
      <c r="H7137">
        <v>35</v>
      </c>
      <c r="I7137">
        <v>82.057000000000002</v>
      </c>
      <c r="J7137">
        <v>80.313999999999993</v>
      </c>
      <c r="K7137">
        <v>-1.7430000000000001</v>
      </c>
      <c r="L7137">
        <v>13</v>
      </c>
      <c r="M7137">
        <v>6</v>
      </c>
      <c r="N7137">
        <v>16</v>
      </c>
      <c r="O7137">
        <v>77.960999999999999</v>
      </c>
      <c r="P7137">
        <v>-1.002819669</v>
      </c>
      <c r="Q7137">
        <v>9.8510000000000009</v>
      </c>
    </row>
    <row r="7138" spans="1:17" x14ac:dyDescent="0.2">
      <c r="A7138" s="30" t="str">
        <f>IF(C7138&amp;G7138&amp;D7138&lt;&gt;'Funnel setup'!$K$3&amp;'Funnel setup'!$K$4&amp;'Funnel setup'!$K$5,".",IF(A7137=".",1,A7137+1))</f>
        <v>.</v>
      </c>
      <c r="B7138" s="431" t="str">
        <f t="shared" si="111"/>
        <v>Varicose VeinProviderSOUTH TEES HOSPITALS NHS FOUNDATION TRUST (RTR)EQ VAS</v>
      </c>
      <c r="C7138" t="s">
        <v>17</v>
      </c>
      <c r="D7138" t="s">
        <v>1</v>
      </c>
      <c r="E7138" t="s">
        <v>3482</v>
      </c>
      <c r="F7138" t="s">
        <v>3483</v>
      </c>
      <c r="G7138" t="s">
        <v>179</v>
      </c>
      <c r="H7138">
        <v>26</v>
      </c>
      <c r="I7138">
        <v>77.423000000000002</v>
      </c>
      <c r="J7138">
        <v>76.076999999999998</v>
      </c>
      <c r="K7138">
        <v>-1.3460000000000001</v>
      </c>
      <c r="L7138">
        <v>13</v>
      </c>
      <c r="M7138">
        <v>2</v>
      </c>
      <c r="N7138">
        <v>11</v>
      </c>
      <c r="O7138" t="s">
        <v>53</v>
      </c>
      <c r="P7138" t="s">
        <v>53</v>
      </c>
      <c r="Q7138" t="s">
        <v>53</v>
      </c>
    </row>
    <row r="7139" spans="1:17" x14ac:dyDescent="0.2">
      <c r="A7139" s="30" t="str">
        <f>IF(C7139&amp;G7139&amp;D7139&lt;&gt;'Funnel setup'!$K$3&amp;'Funnel setup'!$K$4&amp;'Funnel setup'!$K$5,".",IF(A7138=".",1,A7138+1))</f>
        <v>.</v>
      </c>
      <c r="B7139" s="431" t="str">
        <f t="shared" si="111"/>
        <v>Varicose VeinProviderSOUTH WARWICKSHIRE NHS FOUNDATION TRUST (RJC)EQ VAS</v>
      </c>
      <c r="C7139" t="s">
        <v>17</v>
      </c>
      <c r="D7139" t="s">
        <v>1</v>
      </c>
      <c r="E7139" t="s">
        <v>3421</v>
      </c>
      <c r="F7139" t="s">
        <v>3422</v>
      </c>
      <c r="G7139" t="s">
        <v>179</v>
      </c>
      <c r="H7139">
        <v>29</v>
      </c>
      <c r="I7139">
        <v>80.483000000000004</v>
      </c>
      <c r="J7139">
        <v>80.861999999999995</v>
      </c>
      <c r="K7139">
        <v>0.379</v>
      </c>
      <c r="L7139">
        <v>14</v>
      </c>
      <c r="M7139">
        <v>5</v>
      </c>
      <c r="N7139">
        <v>10</v>
      </c>
      <c r="O7139" t="s">
        <v>53</v>
      </c>
      <c r="P7139" t="s">
        <v>53</v>
      </c>
      <c r="Q7139" t="s">
        <v>53</v>
      </c>
    </row>
    <row r="7140" spans="1:17" x14ac:dyDescent="0.2">
      <c r="A7140" s="30" t="str">
        <f>IF(C7140&amp;G7140&amp;D7140&lt;&gt;'Funnel setup'!$K$3&amp;'Funnel setup'!$K$4&amp;'Funnel setup'!$K$5,".",IF(A7139=".",1,A7139+1))</f>
        <v>.</v>
      </c>
      <c r="B7140" s="431" t="str">
        <f t="shared" si="111"/>
        <v>Varicose VeinProviderSOUTHAMPTON NHS TREATMENT CENTRE (NTP11)EQ VAS</v>
      </c>
      <c r="C7140" t="s">
        <v>17</v>
      </c>
      <c r="D7140" t="s">
        <v>1</v>
      </c>
      <c r="E7140" t="s">
        <v>3424</v>
      </c>
      <c r="F7140" t="s">
        <v>3425</v>
      </c>
      <c r="G7140" t="s">
        <v>179</v>
      </c>
      <c r="H7140">
        <v>12</v>
      </c>
      <c r="I7140">
        <v>83.832999999999998</v>
      </c>
      <c r="J7140">
        <v>81.332999999999998</v>
      </c>
      <c r="K7140">
        <v>-2.5</v>
      </c>
      <c r="L7140">
        <v>3</v>
      </c>
      <c r="M7140">
        <v>5</v>
      </c>
      <c r="N7140">
        <v>4</v>
      </c>
      <c r="O7140" t="s">
        <v>53</v>
      </c>
      <c r="P7140" t="s">
        <v>53</v>
      </c>
      <c r="Q7140" t="s">
        <v>53</v>
      </c>
    </row>
    <row r="7141" spans="1:17" x14ac:dyDescent="0.2">
      <c r="A7141" s="30" t="str">
        <f>IF(C7141&amp;G7141&amp;D7141&lt;&gt;'Funnel setup'!$K$3&amp;'Funnel setup'!$K$4&amp;'Funnel setup'!$K$5,".",IF(A7140=".",1,A7140+1))</f>
        <v>.</v>
      </c>
      <c r="B7141" s="431" t="str">
        <f t="shared" si="111"/>
        <v>Varicose VeinProviderSOUTHEND UNIVERSITY HOSPITAL NHS FOUNDATION TRUST (RAJ)EQ VAS</v>
      </c>
      <c r="C7141" t="s">
        <v>17</v>
      </c>
      <c r="D7141" t="s">
        <v>1</v>
      </c>
      <c r="E7141" t="s">
        <v>3427</v>
      </c>
      <c r="F7141" t="s">
        <v>3428</v>
      </c>
      <c r="G7141" t="s">
        <v>179</v>
      </c>
      <c r="H7141" t="s">
        <v>53</v>
      </c>
      <c r="I7141" t="s">
        <v>53</v>
      </c>
      <c r="J7141" t="s">
        <v>53</v>
      </c>
      <c r="K7141" t="s">
        <v>53</v>
      </c>
      <c r="L7141" t="s">
        <v>53</v>
      </c>
      <c r="M7141" t="s">
        <v>53</v>
      </c>
      <c r="N7141" t="s">
        <v>53</v>
      </c>
      <c r="O7141" t="s">
        <v>53</v>
      </c>
      <c r="P7141" t="s">
        <v>53</v>
      </c>
      <c r="Q7141" t="s">
        <v>53</v>
      </c>
    </row>
    <row r="7142" spans="1:17" x14ac:dyDescent="0.2">
      <c r="A7142" s="30" t="str">
        <f>IF(C7142&amp;G7142&amp;D7142&lt;&gt;'Funnel setup'!$K$3&amp;'Funnel setup'!$K$4&amp;'Funnel setup'!$K$5,".",IF(A7141=".",1,A7141+1))</f>
        <v>.</v>
      </c>
      <c r="B7142" s="431" t="str">
        <f t="shared" si="111"/>
        <v>Varicose VeinProviderSOUTHPORT AND ORMSKIRK HOSPITAL NHS TRUST (RVY)EQ VAS</v>
      </c>
      <c r="C7142" t="s">
        <v>17</v>
      </c>
      <c r="D7142" t="s">
        <v>1</v>
      </c>
      <c r="E7142" t="s">
        <v>3430</v>
      </c>
      <c r="F7142" t="s">
        <v>3431</v>
      </c>
      <c r="G7142" t="s">
        <v>179</v>
      </c>
      <c r="H7142">
        <v>63</v>
      </c>
      <c r="I7142">
        <v>73.778000000000006</v>
      </c>
      <c r="J7142">
        <v>73.016000000000005</v>
      </c>
      <c r="K7142">
        <v>-0.76200000000000001</v>
      </c>
      <c r="L7142">
        <v>21</v>
      </c>
      <c r="M7142">
        <v>13</v>
      </c>
      <c r="N7142">
        <v>29</v>
      </c>
      <c r="O7142">
        <v>75.63</v>
      </c>
      <c r="P7142">
        <v>-3.3344308909999998</v>
      </c>
      <c r="Q7142">
        <v>15.454000000000001</v>
      </c>
    </row>
    <row r="7143" spans="1:17" x14ac:dyDescent="0.2">
      <c r="A7143" s="30" t="str">
        <f>IF(C7143&amp;G7143&amp;D7143&lt;&gt;'Funnel setup'!$K$3&amp;'Funnel setup'!$K$4&amp;'Funnel setup'!$K$5,".",IF(A7142=".",1,A7142+1))</f>
        <v>.</v>
      </c>
      <c r="B7143" s="431" t="str">
        <f t="shared" si="111"/>
        <v>Varicose VeinProviderSPIRE CHESHIRE HOSPITAL (NT324)EQ VAS</v>
      </c>
      <c r="C7143" t="s">
        <v>17</v>
      </c>
      <c r="D7143" t="s">
        <v>1</v>
      </c>
      <c r="E7143" t="s">
        <v>3439</v>
      </c>
      <c r="F7143" t="s">
        <v>3440</v>
      </c>
      <c r="G7143" t="s">
        <v>179</v>
      </c>
      <c r="H7143" t="s">
        <v>53</v>
      </c>
      <c r="I7143" t="s">
        <v>53</v>
      </c>
      <c r="J7143" t="s">
        <v>53</v>
      </c>
      <c r="K7143" t="s">
        <v>53</v>
      </c>
      <c r="L7143" t="s">
        <v>53</v>
      </c>
      <c r="M7143" t="s">
        <v>53</v>
      </c>
      <c r="N7143" t="s">
        <v>53</v>
      </c>
      <c r="O7143" t="s">
        <v>53</v>
      </c>
      <c r="P7143" t="s">
        <v>53</v>
      </c>
      <c r="Q7143" t="s">
        <v>53</v>
      </c>
    </row>
    <row r="7144" spans="1:17" x14ac:dyDescent="0.2">
      <c r="A7144" s="30" t="str">
        <f>IF(C7144&amp;G7144&amp;D7144&lt;&gt;'Funnel setup'!$K$3&amp;'Funnel setup'!$K$4&amp;'Funnel setup'!$K$5,".",IF(A7143=".",1,A7143+1))</f>
        <v>.</v>
      </c>
      <c r="B7144" s="431" t="str">
        <f t="shared" si="111"/>
        <v>Varicose VeinProviderSPIRE ELLAND HOSPITAL (NT348)EQ VAS</v>
      </c>
      <c r="C7144" t="s">
        <v>17</v>
      </c>
      <c r="D7144" t="s">
        <v>1</v>
      </c>
      <c r="E7144" t="s">
        <v>3418</v>
      </c>
      <c r="F7144" t="s">
        <v>3419</v>
      </c>
      <c r="G7144" t="s">
        <v>179</v>
      </c>
      <c r="H7144">
        <v>12</v>
      </c>
      <c r="I7144">
        <v>89.082999999999998</v>
      </c>
      <c r="J7144">
        <v>82.417000000000002</v>
      </c>
      <c r="K7144">
        <v>-6.6669999999999998</v>
      </c>
      <c r="L7144">
        <v>2</v>
      </c>
      <c r="M7144">
        <v>5</v>
      </c>
      <c r="N7144">
        <v>5</v>
      </c>
      <c r="O7144" t="s">
        <v>53</v>
      </c>
      <c r="P7144" t="s">
        <v>53</v>
      </c>
      <c r="Q7144" t="s">
        <v>53</v>
      </c>
    </row>
    <row r="7145" spans="1:17" x14ac:dyDescent="0.2">
      <c r="A7145" s="30" t="str">
        <f>IF(C7145&amp;G7145&amp;D7145&lt;&gt;'Funnel setup'!$K$3&amp;'Funnel setup'!$K$4&amp;'Funnel setup'!$K$5,".",IF(A7144=".",1,A7144+1))</f>
        <v>.</v>
      </c>
      <c r="B7145" s="431" t="str">
        <f t="shared" si="111"/>
        <v>Varicose VeinProviderSPIRE FYLDE COAST HOSPITAL (NT347)EQ VAS</v>
      </c>
      <c r="C7145" t="s">
        <v>17</v>
      </c>
      <c r="D7145" t="s">
        <v>1</v>
      </c>
      <c r="E7145" t="s">
        <v>4370</v>
      </c>
      <c r="F7145" t="s">
        <v>4371</v>
      </c>
      <c r="G7145" t="s">
        <v>179</v>
      </c>
      <c r="H7145">
        <v>7</v>
      </c>
      <c r="I7145">
        <v>84.429000000000002</v>
      </c>
      <c r="J7145">
        <v>83.570999999999998</v>
      </c>
      <c r="K7145">
        <v>-0.85699999999999998</v>
      </c>
      <c r="L7145">
        <v>1</v>
      </c>
      <c r="M7145">
        <v>1</v>
      </c>
      <c r="N7145">
        <v>5</v>
      </c>
      <c r="O7145" t="s">
        <v>53</v>
      </c>
      <c r="P7145" t="s">
        <v>53</v>
      </c>
      <c r="Q7145" t="s">
        <v>53</v>
      </c>
    </row>
    <row r="7146" spans="1:17" x14ac:dyDescent="0.2">
      <c r="A7146" s="30" t="str">
        <f>IF(C7146&amp;G7146&amp;D7146&lt;&gt;'Funnel setup'!$K$3&amp;'Funnel setup'!$K$4&amp;'Funnel setup'!$K$5,".",IF(A7145=".",1,A7145+1))</f>
        <v>.</v>
      </c>
      <c r="B7146" s="431" t="str">
        <f t="shared" si="111"/>
        <v>Varicose VeinProviderSPIRE LIVERPOOL HOSPITAL (NT337)EQ VAS</v>
      </c>
      <c r="C7146" t="s">
        <v>17</v>
      </c>
      <c r="D7146" t="s">
        <v>1</v>
      </c>
      <c r="E7146" t="s">
        <v>3927</v>
      </c>
      <c r="F7146" t="s">
        <v>3928</v>
      </c>
      <c r="G7146" t="s">
        <v>179</v>
      </c>
      <c r="H7146" t="s">
        <v>53</v>
      </c>
      <c r="I7146" t="s">
        <v>53</v>
      </c>
      <c r="J7146" t="s">
        <v>53</v>
      </c>
      <c r="K7146" t="s">
        <v>53</v>
      </c>
      <c r="L7146" t="s">
        <v>53</v>
      </c>
      <c r="M7146" t="s">
        <v>53</v>
      </c>
      <c r="N7146" t="s">
        <v>53</v>
      </c>
      <c r="O7146" t="s">
        <v>53</v>
      </c>
      <c r="P7146" t="s">
        <v>53</v>
      </c>
      <c r="Q7146" t="s">
        <v>53</v>
      </c>
    </row>
    <row r="7147" spans="1:17" x14ac:dyDescent="0.2">
      <c r="A7147" s="30" t="str">
        <f>IF(C7147&amp;G7147&amp;D7147&lt;&gt;'Funnel setup'!$K$3&amp;'Funnel setup'!$K$4&amp;'Funnel setup'!$K$5,".",IF(A7146=".",1,A7146+1))</f>
        <v>.</v>
      </c>
      <c r="B7147" s="431" t="str">
        <f t="shared" si="111"/>
        <v>Varicose VeinProviderSPIRE METHLEY PARK HOSPITAL (NT350)EQ VAS</v>
      </c>
      <c r="C7147" t="s">
        <v>17</v>
      </c>
      <c r="D7147" t="s">
        <v>1</v>
      </c>
      <c r="E7147" t="s">
        <v>3157</v>
      </c>
      <c r="F7147" t="s">
        <v>3158</v>
      </c>
      <c r="G7147" t="s">
        <v>179</v>
      </c>
      <c r="H7147">
        <v>23</v>
      </c>
      <c r="I7147">
        <v>81.13</v>
      </c>
      <c r="J7147">
        <v>87.347999999999999</v>
      </c>
      <c r="K7147">
        <v>6.2169999999999996</v>
      </c>
      <c r="L7147">
        <v>11</v>
      </c>
      <c r="M7147">
        <v>6</v>
      </c>
      <c r="N7147">
        <v>6</v>
      </c>
      <c r="O7147" t="s">
        <v>53</v>
      </c>
      <c r="P7147" t="s">
        <v>53</v>
      </c>
      <c r="Q7147" t="s">
        <v>53</v>
      </c>
    </row>
    <row r="7148" spans="1:17" x14ac:dyDescent="0.2">
      <c r="A7148" s="30" t="str">
        <f>IF(C7148&amp;G7148&amp;D7148&lt;&gt;'Funnel setup'!$K$3&amp;'Funnel setup'!$K$4&amp;'Funnel setup'!$K$5,".",IF(A7147=".",1,A7147+1))</f>
        <v>.</v>
      </c>
      <c r="B7148" s="431" t="str">
        <f t="shared" si="111"/>
        <v>Varicose VeinProviderSPIRE MURRAYFIELD HOSPITAL (NT325)EQ VAS</v>
      </c>
      <c r="C7148" t="s">
        <v>17</v>
      </c>
      <c r="D7148" t="s">
        <v>1</v>
      </c>
      <c r="E7148" t="s">
        <v>3163</v>
      </c>
      <c r="F7148" t="s">
        <v>3164</v>
      </c>
      <c r="G7148" t="s">
        <v>179</v>
      </c>
      <c r="H7148">
        <v>14</v>
      </c>
      <c r="I7148">
        <v>80.786000000000001</v>
      </c>
      <c r="J7148">
        <v>87</v>
      </c>
      <c r="K7148">
        <v>6.2140000000000004</v>
      </c>
      <c r="L7148">
        <v>5</v>
      </c>
      <c r="M7148">
        <v>6</v>
      </c>
      <c r="N7148">
        <v>3</v>
      </c>
      <c r="O7148" t="s">
        <v>53</v>
      </c>
      <c r="P7148" t="s">
        <v>53</v>
      </c>
      <c r="Q7148" t="s">
        <v>53</v>
      </c>
    </row>
    <row r="7149" spans="1:17" x14ac:dyDescent="0.2">
      <c r="A7149" s="30" t="str">
        <f>IF(C7149&amp;G7149&amp;D7149&lt;&gt;'Funnel setup'!$K$3&amp;'Funnel setup'!$K$4&amp;'Funnel setup'!$K$5,".",IF(A7148=".",1,A7148+1))</f>
        <v>.</v>
      </c>
      <c r="B7149" s="431" t="str">
        <f t="shared" si="111"/>
        <v>Varicose VeinProviderSPIRE WASHINGTON HOSPITAL (NT333)EQ VAS</v>
      </c>
      <c r="C7149" t="s">
        <v>17</v>
      </c>
      <c r="D7149" t="s">
        <v>1</v>
      </c>
      <c r="E7149" t="s">
        <v>3189</v>
      </c>
      <c r="F7149" t="s">
        <v>3190</v>
      </c>
      <c r="G7149" t="s">
        <v>179</v>
      </c>
      <c r="H7149">
        <v>25</v>
      </c>
      <c r="I7149">
        <v>80.52</v>
      </c>
      <c r="J7149">
        <v>78.36</v>
      </c>
      <c r="K7149">
        <v>-2.16</v>
      </c>
      <c r="L7149">
        <v>5</v>
      </c>
      <c r="M7149">
        <v>8</v>
      </c>
      <c r="N7149">
        <v>12</v>
      </c>
      <c r="O7149" t="s">
        <v>53</v>
      </c>
      <c r="P7149" t="s">
        <v>53</v>
      </c>
      <c r="Q7149" t="s">
        <v>53</v>
      </c>
    </row>
    <row r="7150" spans="1:17" x14ac:dyDescent="0.2">
      <c r="A7150" s="30" t="str">
        <f>IF(C7150&amp;G7150&amp;D7150&lt;&gt;'Funnel setup'!$K$3&amp;'Funnel setup'!$K$4&amp;'Funnel setup'!$K$5,".",IF(A7149=".",1,A7149+1))</f>
        <v>.</v>
      </c>
      <c r="B7150" s="431" t="str">
        <f t="shared" si="111"/>
        <v>Varicose VeinProviderST GEORGE'S UNIVERSITY HOSPITALS NHS FOUNDATION TRUST (RJ7)EQ VAS</v>
      </c>
      <c r="C7150" t="s">
        <v>17</v>
      </c>
      <c r="D7150" t="s">
        <v>1</v>
      </c>
      <c r="E7150" t="s">
        <v>3124</v>
      </c>
      <c r="F7150" t="s">
        <v>3125</v>
      </c>
      <c r="G7150" t="s">
        <v>179</v>
      </c>
      <c r="H7150">
        <v>34</v>
      </c>
      <c r="I7150">
        <v>76.471000000000004</v>
      </c>
      <c r="J7150">
        <v>76.293999999999997</v>
      </c>
      <c r="K7150">
        <v>-0.17599999999999999</v>
      </c>
      <c r="L7150">
        <v>12</v>
      </c>
      <c r="M7150">
        <v>7</v>
      </c>
      <c r="N7150">
        <v>15</v>
      </c>
      <c r="O7150">
        <v>76.701999999999998</v>
      </c>
      <c r="P7150">
        <v>-2.2618531580000001</v>
      </c>
      <c r="Q7150">
        <v>16.341000000000001</v>
      </c>
    </row>
    <row r="7151" spans="1:17" x14ac:dyDescent="0.2">
      <c r="A7151" s="30" t="str">
        <f>IF(C7151&amp;G7151&amp;D7151&lt;&gt;'Funnel setup'!$K$3&amp;'Funnel setup'!$K$4&amp;'Funnel setup'!$K$5,".",IF(A7150=".",1,A7150+1))</f>
        <v>.</v>
      </c>
      <c r="B7151" s="431" t="str">
        <f t="shared" si="111"/>
        <v>Varicose VeinProviderST HELENS AND KNOWSLEY HOSPITALS NHS TRUST (RBN)EQ VAS</v>
      </c>
      <c r="C7151" t="s">
        <v>17</v>
      </c>
      <c r="D7151" t="s">
        <v>1</v>
      </c>
      <c r="E7151" t="s">
        <v>3127</v>
      </c>
      <c r="F7151" t="s">
        <v>3128</v>
      </c>
      <c r="G7151" t="s">
        <v>179</v>
      </c>
      <c r="H7151">
        <v>27</v>
      </c>
      <c r="I7151">
        <v>76.888999999999996</v>
      </c>
      <c r="J7151">
        <v>72.332999999999998</v>
      </c>
      <c r="K7151">
        <v>-4.556</v>
      </c>
      <c r="L7151">
        <v>8</v>
      </c>
      <c r="M7151">
        <v>8</v>
      </c>
      <c r="N7151">
        <v>11</v>
      </c>
      <c r="O7151" t="s">
        <v>53</v>
      </c>
      <c r="P7151" t="s">
        <v>53</v>
      </c>
      <c r="Q7151" t="s">
        <v>53</v>
      </c>
    </row>
    <row r="7152" spans="1:17" x14ac:dyDescent="0.2">
      <c r="A7152" s="30" t="str">
        <f>IF(C7152&amp;G7152&amp;D7152&lt;&gt;'Funnel setup'!$K$3&amp;'Funnel setup'!$K$4&amp;'Funnel setup'!$K$5,".",IF(A7151=".",1,A7151+1))</f>
        <v>.</v>
      </c>
      <c r="B7152" s="431" t="str">
        <f t="shared" si="111"/>
        <v>Varicose VeinProviderSURREY AND SUSSEX HEALTHCARE NHS TRUST (RTP)EQ VAS</v>
      </c>
      <c r="C7152" t="s">
        <v>17</v>
      </c>
      <c r="D7152" t="s">
        <v>1</v>
      </c>
      <c r="E7152" t="s">
        <v>3145</v>
      </c>
      <c r="F7152" t="s">
        <v>3146</v>
      </c>
      <c r="G7152" t="s">
        <v>179</v>
      </c>
      <c r="H7152">
        <v>46</v>
      </c>
      <c r="I7152">
        <v>77.347999999999999</v>
      </c>
      <c r="J7152">
        <v>78.456999999999994</v>
      </c>
      <c r="K7152">
        <v>1.109</v>
      </c>
      <c r="L7152">
        <v>23</v>
      </c>
      <c r="M7152">
        <v>7</v>
      </c>
      <c r="N7152">
        <v>16</v>
      </c>
      <c r="O7152">
        <v>79.524000000000001</v>
      </c>
      <c r="P7152">
        <v>0.56011588800000001</v>
      </c>
      <c r="Q7152">
        <v>11.474</v>
      </c>
    </row>
    <row r="7153" spans="1:17" x14ac:dyDescent="0.2">
      <c r="A7153" s="30" t="str">
        <f>IF(C7153&amp;G7153&amp;D7153&lt;&gt;'Funnel setup'!$K$3&amp;'Funnel setup'!$K$4&amp;'Funnel setup'!$K$5,".",IF(A7152=".",1,A7152+1))</f>
        <v>.</v>
      </c>
      <c r="B7153" s="431" t="str">
        <f t="shared" si="111"/>
        <v>Varicose VeinProviderTAMESIDE HOSPITAL NHS FOUNDATION TRUST (RMP)EQ VAS</v>
      </c>
      <c r="C7153" t="s">
        <v>17</v>
      </c>
      <c r="D7153" t="s">
        <v>1</v>
      </c>
      <c r="E7153" t="s">
        <v>3148</v>
      </c>
      <c r="F7153" t="s">
        <v>3149</v>
      </c>
      <c r="G7153" t="s">
        <v>179</v>
      </c>
      <c r="H7153">
        <v>27</v>
      </c>
      <c r="I7153">
        <v>74.332999999999998</v>
      </c>
      <c r="J7153">
        <v>71.147999999999996</v>
      </c>
      <c r="K7153">
        <v>-3.1850000000000001</v>
      </c>
      <c r="L7153">
        <v>9</v>
      </c>
      <c r="M7153">
        <v>4</v>
      </c>
      <c r="N7153">
        <v>14</v>
      </c>
      <c r="O7153" t="s">
        <v>53</v>
      </c>
      <c r="P7153" t="s">
        <v>53</v>
      </c>
      <c r="Q7153" t="s">
        <v>53</v>
      </c>
    </row>
    <row r="7154" spans="1:17" x14ac:dyDescent="0.2">
      <c r="A7154" s="30" t="str">
        <f>IF(C7154&amp;G7154&amp;D7154&lt;&gt;'Funnel setup'!$K$3&amp;'Funnel setup'!$K$4&amp;'Funnel setup'!$K$5,".",IF(A7153=".",1,A7153+1))</f>
        <v>.</v>
      </c>
      <c r="B7154" s="431" t="str">
        <f t="shared" si="111"/>
        <v>Varicose VeinProviderTAUNTON AND SOMERSET NHS FOUNDATION TRUST (RBA)EQ VAS</v>
      </c>
      <c r="C7154" t="s">
        <v>17</v>
      </c>
      <c r="D7154" t="s">
        <v>1</v>
      </c>
      <c r="E7154" t="s">
        <v>3151</v>
      </c>
      <c r="F7154" t="s">
        <v>3152</v>
      </c>
      <c r="G7154" t="s">
        <v>179</v>
      </c>
      <c r="H7154">
        <v>78</v>
      </c>
      <c r="I7154">
        <v>78.204999999999998</v>
      </c>
      <c r="J7154">
        <v>78.858999999999995</v>
      </c>
      <c r="K7154">
        <v>0.65400000000000003</v>
      </c>
      <c r="L7154">
        <v>34</v>
      </c>
      <c r="M7154">
        <v>16</v>
      </c>
      <c r="N7154">
        <v>28</v>
      </c>
      <c r="O7154">
        <v>79.683999999999997</v>
      </c>
      <c r="P7154">
        <v>0.71992094200000001</v>
      </c>
      <c r="Q7154">
        <v>12.983000000000001</v>
      </c>
    </row>
    <row r="7155" spans="1:17" x14ac:dyDescent="0.2">
      <c r="A7155" s="30" t="str">
        <f>IF(C7155&amp;G7155&amp;D7155&lt;&gt;'Funnel setup'!$K$3&amp;'Funnel setup'!$K$4&amp;'Funnel setup'!$K$5,".",IF(A7154=".",1,A7154+1))</f>
        <v>.</v>
      </c>
      <c r="B7155" s="431" t="str">
        <f t="shared" si="111"/>
        <v>Varicose VeinProviderTEES VALLEY TREATMENT CENTRE (NVC35)EQ VAS</v>
      </c>
      <c r="C7155" t="s">
        <v>17</v>
      </c>
      <c r="D7155" t="s">
        <v>1</v>
      </c>
      <c r="E7155" t="s">
        <v>3112</v>
      </c>
      <c r="F7155" t="s">
        <v>3113</v>
      </c>
      <c r="G7155" t="s">
        <v>179</v>
      </c>
      <c r="H7155">
        <v>11</v>
      </c>
      <c r="I7155">
        <v>81.635999999999996</v>
      </c>
      <c r="J7155">
        <v>87.635999999999996</v>
      </c>
      <c r="K7155">
        <v>6</v>
      </c>
      <c r="L7155">
        <v>6</v>
      </c>
      <c r="M7155">
        <v>5</v>
      </c>
      <c r="N7155">
        <v>0</v>
      </c>
      <c r="O7155" t="s">
        <v>53</v>
      </c>
      <c r="P7155" t="s">
        <v>53</v>
      </c>
      <c r="Q7155" t="s">
        <v>53</v>
      </c>
    </row>
    <row r="7156" spans="1:17" x14ac:dyDescent="0.2">
      <c r="A7156" s="30" t="str">
        <f>IF(C7156&amp;G7156&amp;D7156&lt;&gt;'Funnel setup'!$K$3&amp;'Funnel setup'!$K$4&amp;'Funnel setup'!$K$5,".",IF(A7155=".",1,A7155+1))</f>
        <v>.</v>
      </c>
      <c r="B7156" s="431" t="str">
        <f t="shared" si="111"/>
        <v>Varicose VeinProviderTHE DUDLEY GROUP NHS FOUNDATION TRUST (RNA)EQ VAS</v>
      </c>
      <c r="C7156" t="s">
        <v>17</v>
      </c>
      <c r="D7156" t="s">
        <v>1</v>
      </c>
      <c r="E7156" t="s">
        <v>3121</v>
      </c>
      <c r="F7156" t="s">
        <v>3122</v>
      </c>
      <c r="G7156" t="s">
        <v>179</v>
      </c>
      <c r="H7156">
        <v>133</v>
      </c>
      <c r="I7156">
        <v>79.241</v>
      </c>
      <c r="J7156">
        <v>77.022999999999996</v>
      </c>
      <c r="K7156">
        <v>-2.218</v>
      </c>
      <c r="L7156">
        <v>40</v>
      </c>
      <c r="M7156">
        <v>27</v>
      </c>
      <c r="N7156">
        <v>66</v>
      </c>
      <c r="O7156">
        <v>77.117000000000004</v>
      </c>
      <c r="P7156">
        <v>-1.8473344199999999</v>
      </c>
      <c r="Q7156">
        <v>12.414999999999999</v>
      </c>
    </row>
    <row r="7157" spans="1:17" x14ac:dyDescent="0.2">
      <c r="A7157" s="30" t="str">
        <f>IF(C7157&amp;G7157&amp;D7157&lt;&gt;'Funnel setup'!$K$3&amp;'Funnel setup'!$K$4&amp;'Funnel setup'!$K$5,".",IF(A7156=".",1,A7156+1))</f>
        <v>.</v>
      </c>
      <c r="B7157" s="431" t="str">
        <f t="shared" si="111"/>
        <v>Varicose VeinProviderTHE HILLINGDON HOSPITALS NHS FOUNDATION TRUST (RAS)EQ VAS</v>
      </c>
      <c r="C7157" t="s">
        <v>17</v>
      </c>
      <c r="D7157" t="s">
        <v>1</v>
      </c>
      <c r="E7157" t="s">
        <v>3115</v>
      </c>
      <c r="F7157" t="s">
        <v>3116</v>
      </c>
      <c r="G7157" t="s">
        <v>179</v>
      </c>
      <c r="H7157">
        <v>14</v>
      </c>
      <c r="I7157">
        <v>73.929000000000002</v>
      </c>
      <c r="J7157">
        <v>77.570999999999998</v>
      </c>
      <c r="K7157">
        <v>3.6429999999999998</v>
      </c>
      <c r="L7157">
        <v>6</v>
      </c>
      <c r="M7157">
        <v>3</v>
      </c>
      <c r="N7157">
        <v>5</v>
      </c>
      <c r="O7157" t="s">
        <v>53</v>
      </c>
      <c r="P7157" t="s">
        <v>53</v>
      </c>
      <c r="Q7157" t="s">
        <v>53</v>
      </c>
    </row>
    <row r="7158" spans="1:17" x14ac:dyDescent="0.2">
      <c r="A7158" s="30" t="str">
        <f>IF(C7158&amp;G7158&amp;D7158&lt;&gt;'Funnel setup'!$K$3&amp;'Funnel setup'!$K$4&amp;'Funnel setup'!$K$5,".",IF(A7157=".",1,A7157+1))</f>
        <v>.</v>
      </c>
      <c r="B7158" s="431" t="str">
        <f t="shared" si="111"/>
        <v>Varicose VeinProviderTHE NEWCASTLE UPON TYNE HOSPITALS NHS FOUNDATION TRUST (RTD)EQ VAS</v>
      </c>
      <c r="C7158" t="s">
        <v>17</v>
      </c>
      <c r="D7158" t="s">
        <v>1</v>
      </c>
      <c r="E7158" t="s">
        <v>3748</v>
      </c>
      <c r="F7158" t="s">
        <v>3749</v>
      </c>
      <c r="G7158" t="s">
        <v>179</v>
      </c>
      <c r="H7158">
        <v>180</v>
      </c>
      <c r="I7158">
        <v>78.983000000000004</v>
      </c>
      <c r="J7158">
        <v>77.733000000000004</v>
      </c>
      <c r="K7158">
        <v>-1.25</v>
      </c>
      <c r="L7158">
        <v>63</v>
      </c>
      <c r="M7158">
        <v>40</v>
      </c>
      <c r="N7158">
        <v>77</v>
      </c>
      <c r="O7158">
        <v>77.408000000000001</v>
      </c>
      <c r="P7158">
        <v>-1.5563763319999999</v>
      </c>
      <c r="Q7158">
        <v>14.894</v>
      </c>
    </row>
    <row r="7159" spans="1:17" x14ac:dyDescent="0.2">
      <c r="A7159" s="30" t="str">
        <f>IF(C7159&amp;G7159&amp;D7159&lt;&gt;'Funnel setup'!$K$3&amp;'Funnel setup'!$K$4&amp;'Funnel setup'!$K$5,".",IF(A7158=".",1,A7158+1))</f>
        <v>.</v>
      </c>
      <c r="B7159" s="431" t="str">
        <f t="shared" si="111"/>
        <v>Varicose VeinProviderTHE PRINCESS ALEXANDRA HOSPITAL NHS TRUST (RQW)EQ VAS</v>
      </c>
      <c r="C7159" t="s">
        <v>17</v>
      </c>
      <c r="D7159" t="s">
        <v>1</v>
      </c>
      <c r="E7159" t="s">
        <v>3751</v>
      </c>
      <c r="F7159" t="s">
        <v>3752</v>
      </c>
      <c r="G7159" t="s">
        <v>179</v>
      </c>
      <c r="H7159">
        <v>23</v>
      </c>
      <c r="I7159">
        <v>75.435000000000002</v>
      </c>
      <c r="J7159">
        <v>69.956999999999994</v>
      </c>
      <c r="K7159">
        <v>-5.4779999999999998</v>
      </c>
      <c r="L7159">
        <v>9</v>
      </c>
      <c r="M7159">
        <v>4</v>
      </c>
      <c r="N7159">
        <v>10</v>
      </c>
      <c r="O7159" t="s">
        <v>53</v>
      </c>
      <c r="P7159" t="s">
        <v>53</v>
      </c>
      <c r="Q7159" t="s">
        <v>53</v>
      </c>
    </row>
    <row r="7160" spans="1:17" x14ac:dyDescent="0.2">
      <c r="A7160" s="30" t="str">
        <f>IF(C7160&amp;G7160&amp;D7160&lt;&gt;'Funnel setup'!$K$3&amp;'Funnel setup'!$K$4&amp;'Funnel setup'!$K$5,".",IF(A7159=".",1,A7159+1))</f>
        <v>.</v>
      </c>
      <c r="B7160" s="431" t="str">
        <f t="shared" si="111"/>
        <v>Varicose VeinProviderTHE QUEEN ELIZABETH HOSPITAL, KING'S LYNN, NHS FOUNDATION TRUST (RCX)EQ VAS</v>
      </c>
      <c r="C7160" t="s">
        <v>17</v>
      </c>
      <c r="D7160" t="s">
        <v>1</v>
      </c>
      <c r="E7160" t="s">
        <v>3754</v>
      </c>
      <c r="F7160" t="s">
        <v>3755</v>
      </c>
      <c r="G7160" t="s">
        <v>179</v>
      </c>
      <c r="H7160">
        <v>17</v>
      </c>
      <c r="I7160">
        <v>70.471000000000004</v>
      </c>
      <c r="J7160">
        <v>78.176000000000002</v>
      </c>
      <c r="K7160">
        <v>7.7060000000000004</v>
      </c>
      <c r="L7160">
        <v>7</v>
      </c>
      <c r="M7160">
        <v>3</v>
      </c>
      <c r="N7160">
        <v>7</v>
      </c>
      <c r="O7160" t="s">
        <v>53</v>
      </c>
      <c r="P7160" t="s">
        <v>53</v>
      </c>
      <c r="Q7160" t="s">
        <v>53</v>
      </c>
    </row>
    <row r="7161" spans="1:17" x14ac:dyDescent="0.2">
      <c r="A7161" s="30" t="str">
        <f>IF(C7161&amp;G7161&amp;D7161&lt;&gt;'Funnel setup'!$K$3&amp;'Funnel setup'!$K$4&amp;'Funnel setup'!$K$5,".",IF(A7160=".",1,A7160+1))</f>
        <v>.</v>
      </c>
      <c r="B7161" s="431" t="str">
        <f t="shared" si="111"/>
        <v>Varicose VeinProviderTHE ROTHERHAM NHS FOUNDATION TRUST (RFR)EQ VAS</v>
      </c>
      <c r="C7161" t="s">
        <v>17</v>
      </c>
      <c r="D7161" t="s">
        <v>1</v>
      </c>
      <c r="E7161" t="s">
        <v>3739</v>
      </c>
      <c r="F7161" t="s">
        <v>3740</v>
      </c>
      <c r="G7161" t="s">
        <v>179</v>
      </c>
      <c r="H7161">
        <v>7</v>
      </c>
      <c r="I7161">
        <v>89.286000000000001</v>
      </c>
      <c r="J7161">
        <v>89.286000000000001</v>
      </c>
      <c r="K7161">
        <v>0</v>
      </c>
      <c r="L7161">
        <v>2</v>
      </c>
      <c r="M7161">
        <v>3</v>
      </c>
      <c r="N7161">
        <v>2</v>
      </c>
      <c r="O7161" t="s">
        <v>53</v>
      </c>
      <c r="P7161" t="s">
        <v>53</v>
      </c>
      <c r="Q7161" t="s">
        <v>53</v>
      </c>
    </row>
    <row r="7162" spans="1:17" x14ac:dyDescent="0.2">
      <c r="A7162" s="30" t="str">
        <f>IF(C7162&amp;G7162&amp;D7162&lt;&gt;'Funnel setup'!$K$3&amp;'Funnel setup'!$K$4&amp;'Funnel setup'!$K$5,".",IF(A7161=".",1,A7161+1))</f>
        <v>.</v>
      </c>
      <c r="B7162" s="431" t="str">
        <f t="shared" si="111"/>
        <v>Varicose VeinProviderTHE ROYAL BOURNEMOUTH AND CHRISTCHURCH HOSPITALS NHS FOUNDATION TRUST (RDZ)EQ VAS</v>
      </c>
      <c r="C7162" t="s">
        <v>17</v>
      </c>
      <c r="D7162" t="s">
        <v>1</v>
      </c>
      <c r="E7162" t="s">
        <v>3742</v>
      </c>
      <c r="F7162" t="s">
        <v>3743</v>
      </c>
      <c r="G7162" t="s">
        <v>179</v>
      </c>
      <c r="H7162" t="s">
        <v>53</v>
      </c>
      <c r="I7162" t="s">
        <v>53</v>
      </c>
      <c r="J7162" t="s">
        <v>53</v>
      </c>
      <c r="K7162" t="s">
        <v>53</v>
      </c>
      <c r="L7162" t="s">
        <v>53</v>
      </c>
      <c r="M7162" t="s">
        <v>53</v>
      </c>
      <c r="N7162" t="s">
        <v>53</v>
      </c>
      <c r="O7162" t="s">
        <v>53</v>
      </c>
      <c r="P7162" t="s">
        <v>53</v>
      </c>
      <c r="Q7162" t="s">
        <v>53</v>
      </c>
    </row>
    <row r="7163" spans="1:17" x14ac:dyDescent="0.2">
      <c r="A7163" s="30" t="str">
        <f>IF(C7163&amp;G7163&amp;D7163&lt;&gt;'Funnel setup'!$K$3&amp;'Funnel setup'!$K$4&amp;'Funnel setup'!$K$5,".",IF(A7162=".",1,A7162+1))</f>
        <v>.</v>
      </c>
      <c r="B7163" s="431" t="str">
        <f t="shared" si="111"/>
        <v>Varicose VeinProviderTHE ROYAL WOLVERHAMPTON NHS TRUST (RL4)EQ VAS</v>
      </c>
      <c r="C7163" t="s">
        <v>17</v>
      </c>
      <c r="D7163" t="s">
        <v>1</v>
      </c>
      <c r="E7163" t="s">
        <v>3382</v>
      </c>
      <c r="F7163" t="s">
        <v>3383</v>
      </c>
      <c r="G7163" t="s">
        <v>179</v>
      </c>
      <c r="H7163">
        <v>76</v>
      </c>
      <c r="I7163">
        <v>74.658000000000001</v>
      </c>
      <c r="J7163">
        <v>78.025999999999996</v>
      </c>
      <c r="K7163">
        <v>3.3679999999999999</v>
      </c>
      <c r="L7163">
        <v>40</v>
      </c>
      <c r="M7163">
        <v>12</v>
      </c>
      <c r="N7163">
        <v>24</v>
      </c>
      <c r="O7163">
        <v>81.13</v>
      </c>
      <c r="P7163">
        <v>2.1660579250000001</v>
      </c>
      <c r="Q7163">
        <v>12.246</v>
      </c>
    </row>
    <row r="7164" spans="1:17" x14ac:dyDescent="0.2">
      <c r="A7164" s="30" t="str">
        <f>IF(C7164&amp;G7164&amp;D7164&lt;&gt;'Funnel setup'!$K$3&amp;'Funnel setup'!$K$4&amp;'Funnel setup'!$K$5,".",IF(A7163=".",1,A7163+1))</f>
        <v>.</v>
      </c>
      <c r="B7164" s="431" t="str">
        <f t="shared" si="111"/>
        <v>Varicose VeinProviderTHE WESTBOURNE CENTRE (NVC44)EQ VAS</v>
      </c>
      <c r="C7164" t="s">
        <v>17</v>
      </c>
      <c r="D7164" t="s">
        <v>1</v>
      </c>
      <c r="E7164" t="s">
        <v>3775</v>
      </c>
      <c r="F7164" t="s">
        <v>3776</v>
      </c>
      <c r="G7164" t="s">
        <v>179</v>
      </c>
      <c r="H7164" t="s">
        <v>53</v>
      </c>
      <c r="I7164" t="s">
        <v>53</v>
      </c>
      <c r="J7164" t="s">
        <v>53</v>
      </c>
      <c r="K7164" t="s">
        <v>53</v>
      </c>
      <c r="L7164" t="s">
        <v>53</v>
      </c>
      <c r="M7164" t="s">
        <v>53</v>
      </c>
      <c r="N7164" t="s">
        <v>53</v>
      </c>
      <c r="O7164" t="s">
        <v>53</v>
      </c>
      <c r="P7164" t="s">
        <v>53</v>
      </c>
      <c r="Q7164" t="s">
        <v>53</v>
      </c>
    </row>
    <row r="7165" spans="1:17" x14ac:dyDescent="0.2">
      <c r="A7165" s="30" t="str">
        <f>IF(C7165&amp;G7165&amp;D7165&lt;&gt;'Funnel setup'!$K$3&amp;'Funnel setup'!$K$4&amp;'Funnel setup'!$K$5,".",IF(A7164=".",1,A7164+1))</f>
        <v>.</v>
      </c>
      <c r="B7165" s="431" t="str">
        <f t="shared" si="111"/>
        <v>Varicose VeinProviderTORBAY AND SOUTH DEVON NHS FOUNDATION TRUST (RA9)EQ VAS</v>
      </c>
      <c r="C7165" t="s">
        <v>17</v>
      </c>
      <c r="D7165" t="s">
        <v>1</v>
      </c>
      <c r="E7165" t="s">
        <v>3480</v>
      </c>
      <c r="F7165" t="s">
        <v>6584</v>
      </c>
      <c r="G7165" t="s">
        <v>179</v>
      </c>
      <c r="H7165" t="s">
        <v>53</v>
      </c>
      <c r="I7165" t="s">
        <v>53</v>
      </c>
      <c r="J7165" t="s">
        <v>53</v>
      </c>
      <c r="K7165" t="s">
        <v>53</v>
      </c>
      <c r="L7165" t="s">
        <v>53</v>
      </c>
      <c r="M7165" t="s">
        <v>53</v>
      </c>
      <c r="N7165" t="s">
        <v>53</v>
      </c>
      <c r="O7165" t="s">
        <v>53</v>
      </c>
      <c r="P7165" t="s">
        <v>53</v>
      </c>
      <c r="Q7165" t="s">
        <v>53</v>
      </c>
    </row>
    <row r="7166" spans="1:17" x14ac:dyDescent="0.2">
      <c r="A7166" s="30" t="str">
        <f>IF(C7166&amp;G7166&amp;D7166&lt;&gt;'Funnel setup'!$K$3&amp;'Funnel setup'!$K$4&amp;'Funnel setup'!$K$5,".",IF(A7165=".",1,A7165+1))</f>
        <v>.</v>
      </c>
      <c r="B7166" s="431" t="str">
        <f t="shared" si="111"/>
        <v>Varicose VeinProviderTYNESIDE SURGICAL SERVICES AT THE NORTH EAST NHS SURGERY CENTRE (NN401)EQ VAS</v>
      </c>
      <c r="C7166" t="s">
        <v>17</v>
      </c>
      <c r="D7166" t="s">
        <v>1</v>
      </c>
      <c r="E7166" t="s">
        <v>4506</v>
      </c>
      <c r="F7166" t="s">
        <v>4507</v>
      </c>
      <c r="G7166" t="s">
        <v>179</v>
      </c>
      <c r="H7166" t="s">
        <v>53</v>
      </c>
      <c r="I7166" t="s">
        <v>53</v>
      </c>
      <c r="J7166" t="s">
        <v>53</v>
      </c>
      <c r="K7166" t="s">
        <v>53</v>
      </c>
      <c r="L7166" t="s">
        <v>53</v>
      </c>
      <c r="M7166" t="s">
        <v>53</v>
      </c>
      <c r="N7166" t="s">
        <v>53</v>
      </c>
      <c r="O7166" t="s">
        <v>53</v>
      </c>
      <c r="P7166" t="s">
        <v>53</v>
      </c>
      <c r="Q7166" t="s">
        <v>53</v>
      </c>
    </row>
    <row r="7167" spans="1:17" x14ac:dyDescent="0.2">
      <c r="A7167" s="30" t="str">
        <f>IF(C7167&amp;G7167&amp;D7167&lt;&gt;'Funnel setup'!$K$3&amp;'Funnel setup'!$K$4&amp;'Funnel setup'!$K$5,".",IF(A7166=".",1,A7166+1))</f>
        <v>.</v>
      </c>
      <c r="B7167" s="431" t="str">
        <f t="shared" si="111"/>
        <v>Varicose VeinProviderUNITED LINCOLNSHIRE HOSPITALS NHS TRUST (RWD)EQ VAS</v>
      </c>
      <c r="C7167" t="s">
        <v>17</v>
      </c>
      <c r="D7167" t="s">
        <v>1</v>
      </c>
      <c r="E7167" t="s">
        <v>3763</v>
      </c>
      <c r="F7167" t="s">
        <v>3764</v>
      </c>
      <c r="G7167" t="s">
        <v>179</v>
      </c>
      <c r="H7167">
        <v>39</v>
      </c>
      <c r="I7167">
        <v>76.513000000000005</v>
      </c>
      <c r="J7167">
        <v>72.051000000000002</v>
      </c>
      <c r="K7167">
        <v>-4.4619999999999997</v>
      </c>
      <c r="L7167">
        <v>15</v>
      </c>
      <c r="M7167">
        <v>8</v>
      </c>
      <c r="N7167">
        <v>16</v>
      </c>
      <c r="O7167">
        <v>76.072000000000003</v>
      </c>
      <c r="P7167">
        <v>-2.892474886</v>
      </c>
      <c r="Q7167">
        <v>15.646000000000001</v>
      </c>
    </row>
    <row r="7168" spans="1:17" x14ac:dyDescent="0.2">
      <c r="A7168" s="30" t="str">
        <f>IF(C7168&amp;G7168&amp;D7168&lt;&gt;'Funnel setup'!$K$3&amp;'Funnel setup'!$K$4&amp;'Funnel setup'!$K$5,".",IF(A7167=".",1,A7167+1))</f>
        <v>.</v>
      </c>
      <c r="B7168" s="431" t="str">
        <f t="shared" si="111"/>
        <v>Varicose VeinProviderUNIVERSITY COLLEGE LONDON HOSPITALS NHS FOUNDATION TRUST (RRV)EQ VAS</v>
      </c>
      <c r="C7168" t="s">
        <v>17</v>
      </c>
      <c r="D7168" t="s">
        <v>1</v>
      </c>
      <c r="E7168" t="s">
        <v>3766</v>
      </c>
      <c r="F7168" t="s">
        <v>3767</v>
      </c>
      <c r="G7168" t="s">
        <v>179</v>
      </c>
      <c r="H7168">
        <v>59</v>
      </c>
      <c r="I7168">
        <v>81.525000000000006</v>
      </c>
      <c r="J7168">
        <v>79.305000000000007</v>
      </c>
      <c r="K7168">
        <v>-2.2200000000000002</v>
      </c>
      <c r="L7168">
        <v>24</v>
      </c>
      <c r="M7168">
        <v>11</v>
      </c>
      <c r="N7168">
        <v>24</v>
      </c>
      <c r="O7168">
        <v>79.081000000000003</v>
      </c>
      <c r="P7168">
        <v>0.116899222</v>
      </c>
      <c r="Q7168">
        <v>14.298</v>
      </c>
    </row>
    <row r="7169" spans="1:17" x14ac:dyDescent="0.2">
      <c r="A7169" s="30" t="str">
        <f>IF(C7169&amp;G7169&amp;D7169&lt;&gt;'Funnel setup'!$K$3&amp;'Funnel setup'!$K$4&amp;'Funnel setup'!$K$5,".",IF(A7168=".",1,A7168+1))</f>
        <v>.</v>
      </c>
      <c r="B7169" s="431" t="str">
        <f t="shared" si="111"/>
        <v>Varicose VeinProviderUNIVERSITY HOSPITAL OF SOUTH MANCHESTER NHS FOUNDATION TRUST (RM2)EQ VAS</v>
      </c>
      <c r="C7169" t="s">
        <v>17</v>
      </c>
      <c r="D7169" t="s">
        <v>1</v>
      </c>
      <c r="E7169" t="s">
        <v>3769</v>
      </c>
      <c r="F7169" t="s">
        <v>3770</v>
      </c>
      <c r="G7169" t="s">
        <v>179</v>
      </c>
      <c r="H7169">
        <v>108</v>
      </c>
      <c r="I7169">
        <v>81.009</v>
      </c>
      <c r="J7169">
        <v>80.88</v>
      </c>
      <c r="K7169">
        <v>-0.13</v>
      </c>
      <c r="L7169">
        <v>48</v>
      </c>
      <c r="M7169">
        <v>20</v>
      </c>
      <c r="N7169">
        <v>40</v>
      </c>
      <c r="O7169">
        <v>78.575000000000003</v>
      </c>
      <c r="P7169">
        <v>-0.38898353299999999</v>
      </c>
      <c r="Q7169">
        <v>11.347</v>
      </c>
    </row>
    <row r="7170" spans="1:17" x14ac:dyDescent="0.2">
      <c r="A7170" s="30" t="str">
        <f>IF(C7170&amp;G7170&amp;D7170&lt;&gt;'Funnel setup'!$K$3&amp;'Funnel setup'!$K$4&amp;'Funnel setup'!$K$5,".",IF(A7169=".",1,A7169+1))</f>
        <v>.</v>
      </c>
      <c r="B7170" s="431" t="str">
        <f t="shared" si="111"/>
        <v>Varicose VeinProviderUNIVERSITY HOSPITALS BIRMINGHAM NHS FOUNDATION TRUST (RRK)EQ VAS</v>
      </c>
      <c r="C7170" t="s">
        <v>17</v>
      </c>
      <c r="D7170" t="s">
        <v>1</v>
      </c>
      <c r="E7170" t="s">
        <v>3778</v>
      </c>
      <c r="F7170" t="s">
        <v>3779</v>
      </c>
      <c r="G7170" t="s">
        <v>179</v>
      </c>
      <c r="H7170">
        <v>12</v>
      </c>
      <c r="I7170">
        <v>73.667000000000002</v>
      </c>
      <c r="J7170">
        <v>81</v>
      </c>
      <c r="K7170">
        <v>7.3330000000000002</v>
      </c>
      <c r="L7170">
        <v>6</v>
      </c>
      <c r="M7170">
        <v>0</v>
      </c>
      <c r="N7170">
        <v>6</v>
      </c>
      <c r="O7170" t="s">
        <v>53</v>
      </c>
      <c r="P7170" t="s">
        <v>53</v>
      </c>
      <c r="Q7170" t="s">
        <v>53</v>
      </c>
    </row>
    <row r="7171" spans="1:17" x14ac:dyDescent="0.2">
      <c r="A7171" s="30" t="str">
        <f>IF(C7171&amp;G7171&amp;D7171&lt;&gt;'Funnel setup'!$K$3&amp;'Funnel setup'!$K$4&amp;'Funnel setup'!$K$5,".",IF(A7170=".",1,A7170+1))</f>
        <v>.</v>
      </c>
      <c r="B7171" s="431" t="str">
        <f t="shared" ref="B7171:B7234" si="112">C7171&amp;D7171&amp;F7171&amp;G7171</f>
        <v>Varicose VeinProviderUNIVERSITY HOSPITALS BRISTOL NHS FOUNDATION TRUST (RA7)EQ VAS</v>
      </c>
      <c r="C7171" t="s">
        <v>17</v>
      </c>
      <c r="D7171" t="s">
        <v>1</v>
      </c>
      <c r="E7171" t="s">
        <v>3835</v>
      </c>
      <c r="F7171" t="s">
        <v>3836</v>
      </c>
      <c r="G7171" t="s">
        <v>179</v>
      </c>
      <c r="H7171" t="s">
        <v>53</v>
      </c>
      <c r="I7171" t="s">
        <v>53</v>
      </c>
      <c r="J7171" t="s">
        <v>53</v>
      </c>
      <c r="K7171" t="s">
        <v>53</v>
      </c>
      <c r="L7171" t="s">
        <v>53</v>
      </c>
      <c r="M7171" t="s">
        <v>53</v>
      </c>
      <c r="N7171" t="s">
        <v>53</v>
      </c>
      <c r="O7171" t="s">
        <v>53</v>
      </c>
      <c r="P7171" t="s">
        <v>53</v>
      </c>
      <c r="Q7171" t="s">
        <v>53</v>
      </c>
    </row>
    <row r="7172" spans="1:17" x14ac:dyDescent="0.2">
      <c r="A7172" s="30" t="str">
        <f>IF(C7172&amp;G7172&amp;D7172&lt;&gt;'Funnel setup'!$K$3&amp;'Funnel setup'!$K$4&amp;'Funnel setup'!$K$5,".",IF(A7171=".",1,A7171+1))</f>
        <v>.</v>
      </c>
      <c r="B7172" s="431" t="str">
        <f t="shared" si="112"/>
        <v>Varicose VeinProviderUNIVERSITY HOSPITALS COVENTRY AND WARWICKSHIRE NHS TRUST (RKB)EQ VAS</v>
      </c>
      <c r="C7172" t="s">
        <v>17</v>
      </c>
      <c r="D7172" t="s">
        <v>1</v>
      </c>
      <c r="E7172" t="s">
        <v>3715</v>
      </c>
      <c r="F7172" t="s">
        <v>3716</v>
      </c>
      <c r="G7172" t="s">
        <v>179</v>
      </c>
      <c r="H7172">
        <v>10</v>
      </c>
      <c r="I7172">
        <v>86.7</v>
      </c>
      <c r="J7172">
        <v>81.099999999999994</v>
      </c>
      <c r="K7172">
        <v>-5.6</v>
      </c>
      <c r="L7172">
        <v>0</v>
      </c>
      <c r="M7172">
        <v>4</v>
      </c>
      <c r="N7172">
        <v>6</v>
      </c>
      <c r="O7172" t="s">
        <v>53</v>
      </c>
      <c r="P7172" t="s">
        <v>53</v>
      </c>
      <c r="Q7172" t="s">
        <v>53</v>
      </c>
    </row>
    <row r="7173" spans="1:17" x14ac:dyDescent="0.2">
      <c r="A7173" s="30" t="str">
        <f>IF(C7173&amp;G7173&amp;D7173&lt;&gt;'Funnel setup'!$K$3&amp;'Funnel setup'!$K$4&amp;'Funnel setup'!$K$5,".",IF(A7172=".",1,A7172+1))</f>
        <v>.</v>
      </c>
      <c r="B7173" s="431" t="str">
        <f t="shared" si="112"/>
        <v>Varicose VeinProviderUNIVERSITY HOSPITALS OF LEICESTER NHS TRUST (RWE)EQ VAS</v>
      </c>
      <c r="C7173" t="s">
        <v>17</v>
      </c>
      <c r="D7173" t="s">
        <v>1</v>
      </c>
      <c r="E7173" t="s">
        <v>3718</v>
      </c>
      <c r="F7173" t="s">
        <v>3719</v>
      </c>
      <c r="G7173" t="s">
        <v>179</v>
      </c>
      <c r="H7173">
        <v>48</v>
      </c>
      <c r="I7173">
        <v>75.603999999999999</v>
      </c>
      <c r="J7173">
        <v>75.103999999999999</v>
      </c>
      <c r="K7173">
        <v>-0.5</v>
      </c>
      <c r="L7173">
        <v>20</v>
      </c>
      <c r="M7173">
        <v>12</v>
      </c>
      <c r="N7173">
        <v>16</v>
      </c>
      <c r="O7173">
        <v>77.046999999999997</v>
      </c>
      <c r="P7173">
        <v>-1.9166523559999999</v>
      </c>
      <c r="Q7173">
        <v>15.518000000000001</v>
      </c>
    </row>
    <row r="7174" spans="1:17" x14ac:dyDescent="0.2">
      <c r="A7174" s="30" t="str">
        <f>IF(C7174&amp;G7174&amp;D7174&lt;&gt;'Funnel setup'!$K$3&amp;'Funnel setup'!$K$4&amp;'Funnel setup'!$K$5,".",IF(A7173=".",1,A7173+1))</f>
        <v>.</v>
      </c>
      <c r="B7174" s="431" t="str">
        <f t="shared" si="112"/>
        <v>Varicose VeinProviderUNIVERSITY HOSPITALS OF MORECAMBE BAY NHS FOUNDATION TRUST (RTX)EQ VAS</v>
      </c>
      <c r="C7174" t="s">
        <v>17</v>
      </c>
      <c r="D7174" t="s">
        <v>1</v>
      </c>
      <c r="E7174" t="s">
        <v>3721</v>
      </c>
      <c r="F7174" t="s">
        <v>3722</v>
      </c>
      <c r="G7174" t="s">
        <v>179</v>
      </c>
      <c r="H7174">
        <v>27</v>
      </c>
      <c r="I7174">
        <v>83.332999999999998</v>
      </c>
      <c r="J7174">
        <v>80.962999999999994</v>
      </c>
      <c r="K7174">
        <v>-2.37</v>
      </c>
      <c r="L7174">
        <v>11</v>
      </c>
      <c r="M7174">
        <v>4</v>
      </c>
      <c r="N7174">
        <v>12</v>
      </c>
      <c r="O7174" t="s">
        <v>53</v>
      </c>
      <c r="P7174" t="s">
        <v>53</v>
      </c>
      <c r="Q7174" t="s">
        <v>53</v>
      </c>
    </row>
    <row r="7175" spans="1:17" x14ac:dyDescent="0.2">
      <c r="A7175" s="30" t="str">
        <f>IF(C7175&amp;G7175&amp;D7175&lt;&gt;'Funnel setup'!$K$3&amp;'Funnel setup'!$K$4&amp;'Funnel setup'!$K$5,".",IF(A7174=".",1,A7174+1))</f>
        <v>.</v>
      </c>
      <c r="B7175" s="431" t="str">
        <f t="shared" si="112"/>
        <v>Varicose VeinProviderUNIVERSITY HOSPITALS OF NORTH MIDLANDS NHS TRUST (RJE)EQ VAS</v>
      </c>
      <c r="C7175" t="s">
        <v>17</v>
      </c>
      <c r="D7175" t="s">
        <v>1</v>
      </c>
      <c r="E7175" t="s">
        <v>3724</v>
      </c>
      <c r="F7175" t="s">
        <v>3725</v>
      </c>
      <c r="G7175" t="s">
        <v>179</v>
      </c>
      <c r="H7175">
        <v>9</v>
      </c>
      <c r="I7175">
        <v>83.888999999999996</v>
      </c>
      <c r="J7175">
        <v>84.667000000000002</v>
      </c>
      <c r="K7175">
        <v>0.77800000000000002</v>
      </c>
      <c r="L7175">
        <v>4</v>
      </c>
      <c r="M7175">
        <v>0</v>
      </c>
      <c r="N7175">
        <v>5</v>
      </c>
      <c r="O7175" t="s">
        <v>53</v>
      </c>
      <c r="P7175" t="s">
        <v>53</v>
      </c>
      <c r="Q7175" t="s">
        <v>53</v>
      </c>
    </row>
    <row r="7176" spans="1:17" x14ac:dyDescent="0.2">
      <c r="A7176" s="30" t="str">
        <f>IF(C7176&amp;G7176&amp;D7176&lt;&gt;'Funnel setup'!$K$3&amp;'Funnel setup'!$K$4&amp;'Funnel setup'!$K$5,".",IF(A7175=".",1,A7175+1))</f>
        <v>.</v>
      </c>
      <c r="B7176" s="431" t="str">
        <f t="shared" si="112"/>
        <v>Varicose VeinProviderWALSALL HEALTHCARE NHS TRUST (RBK)EQ VAS</v>
      </c>
      <c r="C7176" t="s">
        <v>17</v>
      </c>
      <c r="D7176" t="s">
        <v>1</v>
      </c>
      <c r="E7176" t="s">
        <v>3727</v>
      </c>
      <c r="F7176" t="s">
        <v>3728</v>
      </c>
      <c r="G7176" t="s">
        <v>179</v>
      </c>
      <c r="H7176">
        <v>22</v>
      </c>
      <c r="I7176">
        <v>76.272999999999996</v>
      </c>
      <c r="J7176">
        <v>75</v>
      </c>
      <c r="K7176">
        <v>-1.2729999999999999</v>
      </c>
      <c r="L7176">
        <v>9</v>
      </c>
      <c r="M7176">
        <v>6</v>
      </c>
      <c r="N7176">
        <v>7</v>
      </c>
      <c r="O7176" t="s">
        <v>53</v>
      </c>
      <c r="P7176" t="s">
        <v>53</v>
      </c>
      <c r="Q7176" t="s">
        <v>53</v>
      </c>
    </row>
    <row r="7177" spans="1:17" x14ac:dyDescent="0.2">
      <c r="A7177" s="30" t="str">
        <f>IF(C7177&amp;G7177&amp;D7177&lt;&gt;'Funnel setup'!$K$3&amp;'Funnel setup'!$K$4&amp;'Funnel setup'!$K$5,".",IF(A7176=".",1,A7176+1))</f>
        <v>.</v>
      </c>
      <c r="B7177" s="431" t="str">
        <f t="shared" si="112"/>
        <v>Varicose VeinProviderWARRINGTON AND HALTON HOSPITALS NHS FOUNDATION TRUST (RWW)EQ VAS</v>
      </c>
      <c r="C7177" t="s">
        <v>17</v>
      </c>
      <c r="D7177" t="s">
        <v>1</v>
      </c>
      <c r="E7177" t="s">
        <v>3730</v>
      </c>
      <c r="F7177" t="s">
        <v>3731</v>
      </c>
      <c r="G7177" t="s">
        <v>179</v>
      </c>
      <c r="H7177">
        <v>13</v>
      </c>
      <c r="I7177">
        <v>77</v>
      </c>
      <c r="J7177">
        <v>80.691999999999993</v>
      </c>
      <c r="K7177">
        <v>3.6920000000000002</v>
      </c>
      <c r="L7177">
        <v>7</v>
      </c>
      <c r="M7177">
        <v>2</v>
      </c>
      <c r="N7177">
        <v>4</v>
      </c>
      <c r="O7177" t="s">
        <v>53</v>
      </c>
      <c r="P7177" t="s">
        <v>53</v>
      </c>
      <c r="Q7177" t="s">
        <v>53</v>
      </c>
    </row>
    <row r="7178" spans="1:17" x14ac:dyDescent="0.2">
      <c r="A7178" s="30" t="str">
        <f>IF(C7178&amp;G7178&amp;D7178&lt;&gt;'Funnel setup'!$K$3&amp;'Funnel setup'!$K$4&amp;'Funnel setup'!$K$5,".",IF(A7177=".",1,A7177+1))</f>
        <v>.</v>
      </c>
      <c r="B7178" s="431" t="str">
        <f t="shared" si="112"/>
        <v>Varicose VeinProviderWEST HERTFORDSHIRE HOSPITALS NHS TRUST (RWG)EQ VAS</v>
      </c>
      <c r="C7178" t="s">
        <v>17</v>
      </c>
      <c r="D7178" t="s">
        <v>1</v>
      </c>
      <c r="E7178" t="s">
        <v>3733</v>
      </c>
      <c r="F7178" t="s">
        <v>3734</v>
      </c>
      <c r="G7178" t="s">
        <v>179</v>
      </c>
      <c r="H7178">
        <v>94</v>
      </c>
      <c r="I7178">
        <v>76.17</v>
      </c>
      <c r="J7178">
        <v>77.83</v>
      </c>
      <c r="K7178">
        <v>1.66</v>
      </c>
      <c r="L7178">
        <v>46</v>
      </c>
      <c r="M7178">
        <v>16</v>
      </c>
      <c r="N7178">
        <v>32</v>
      </c>
      <c r="O7178">
        <v>78.12</v>
      </c>
      <c r="P7178">
        <v>-0.84364490800000003</v>
      </c>
      <c r="Q7178">
        <v>14.836</v>
      </c>
    </row>
    <row r="7179" spans="1:17" x14ac:dyDescent="0.2">
      <c r="A7179" s="30" t="str">
        <f>IF(C7179&amp;G7179&amp;D7179&lt;&gt;'Funnel setup'!$K$3&amp;'Funnel setup'!$K$4&amp;'Funnel setup'!$K$5,".",IF(A7178=".",1,A7178+1))</f>
        <v>.</v>
      </c>
      <c r="B7179" s="431" t="str">
        <f t="shared" si="112"/>
        <v>Varicose VeinProviderWEST SUFFOLK NHS FOUNDATION TRUST (RGR)EQ VAS</v>
      </c>
      <c r="C7179" t="s">
        <v>17</v>
      </c>
      <c r="D7179" t="s">
        <v>1</v>
      </c>
      <c r="E7179" t="s">
        <v>3712</v>
      </c>
      <c r="F7179" t="s">
        <v>3713</v>
      </c>
      <c r="G7179" t="s">
        <v>179</v>
      </c>
      <c r="H7179">
        <v>30</v>
      </c>
      <c r="I7179">
        <v>75.167000000000002</v>
      </c>
      <c r="J7179">
        <v>80.099999999999994</v>
      </c>
      <c r="K7179">
        <v>4.9329999999999998</v>
      </c>
      <c r="L7179">
        <v>15</v>
      </c>
      <c r="M7179">
        <v>7</v>
      </c>
      <c r="N7179">
        <v>8</v>
      </c>
      <c r="O7179">
        <v>81.281000000000006</v>
      </c>
      <c r="P7179">
        <v>2.3170752609999998</v>
      </c>
      <c r="Q7179">
        <v>7.9939999999999998</v>
      </c>
    </row>
    <row r="7180" spans="1:17" x14ac:dyDescent="0.2">
      <c r="A7180" s="30" t="str">
        <f>IF(C7180&amp;G7180&amp;D7180&lt;&gt;'Funnel setup'!$K$3&amp;'Funnel setup'!$K$4&amp;'Funnel setup'!$K$5,".",IF(A7179=".",1,A7179+1))</f>
        <v>.</v>
      </c>
      <c r="B7180" s="431" t="str">
        <f t="shared" si="112"/>
        <v>Varicose VeinProviderWESTERN SUSSEX HOSPITALS NHS FOUNDATION TRUST (RYR)EQ VAS</v>
      </c>
      <c r="C7180" t="s">
        <v>17</v>
      </c>
      <c r="D7180" t="s">
        <v>1</v>
      </c>
      <c r="E7180" t="s">
        <v>3706</v>
      </c>
      <c r="F7180" t="s">
        <v>3707</v>
      </c>
      <c r="G7180" t="s">
        <v>179</v>
      </c>
      <c r="H7180">
        <v>10</v>
      </c>
      <c r="I7180">
        <v>74.400000000000006</v>
      </c>
      <c r="J7180">
        <v>78.599999999999994</v>
      </c>
      <c r="K7180">
        <v>4.2</v>
      </c>
      <c r="L7180">
        <v>5</v>
      </c>
      <c r="M7180">
        <v>2</v>
      </c>
      <c r="N7180">
        <v>3</v>
      </c>
      <c r="O7180" t="s">
        <v>53</v>
      </c>
      <c r="P7180" t="s">
        <v>53</v>
      </c>
      <c r="Q7180" t="s">
        <v>53</v>
      </c>
    </row>
    <row r="7181" spans="1:17" x14ac:dyDescent="0.2">
      <c r="A7181" s="30" t="str">
        <f>IF(C7181&amp;G7181&amp;D7181&lt;&gt;'Funnel setup'!$K$3&amp;'Funnel setup'!$K$4&amp;'Funnel setup'!$K$5,".",IF(A7180=".",1,A7180+1))</f>
        <v>.</v>
      </c>
      <c r="B7181" s="431" t="str">
        <f t="shared" si="112"/>
        <v>Varicose VeinProviderWILL ADAMS NHS TREATMENT CENTRE (NTP16)EQ VAS</v>
      </c>
      <c r="C7181" t="s">
        <v>17</v>
      </c>
      <c r="D7181" t="s">
        <v>1</v>
      </c>
      <c r="E7181" t="s">
        <v>3531</v>
      </c>
      <c r="F7181" t="s">
        <v>3532</v>
      </c>
      <c r="G7181" t="s">
        <v>179</v>
      </c>
      <c r="H7181">
        <v>13</v>
      </c>
      <c r="I7181">
        <v>79.230999999999995</v>
      </c>
      <c r="J7181">
        <v>76.769000000000005</v>
      </c>
      <c r="K7181">
        <v>-2.4620000000000002</v>
      </c>
      <c r="L7181">
        <v>4</v>
      </c>
      <c r="M7181">
        <v>2</v>
      </c>
      <c r="N7181">
        <v>7</v>
      </c>
      <c r="O7181" t="s">
        <v>53</v>
      </c>
      <c r="P7181" t="s">
        <v>53</v>
      </c>
      <c r="Q7181" t="s">
        <v>53</v>
      </c>
    </row>
    <row r="7182" spans="1:17" x14ac:dyDescent="0.2">
      <c r="A7182" s="30" t="str">
        <f>IF(C7182&amp;G7182&amp;D7182&lt;&gt;'Funnel setup'!$K$3&amp;'Funnel setup'!$K$4&amp;'Funnel setup'!$K$5,".",IF(A7181=".",1,A7181+1))</f>
        <v>.</v>
      </c>
      <c r="B7182" s="431" t="str">
        <f t="shared" si="112"/>
        <v>Varicose VeinProviderWIRRAL UNIVERSITY TEACHING HOSPITAL NHS FOUNDATION TRUST (RBL)EQ VAS</v>
      </c>
      <c r="C7182" t="s">
        <v>17</v>
      </c>
      <c r="D7182" t="s">
        <v>1</v>
      </c>
      <c r="E7182" t="s">
        <v>3537</v>
      </c>
      <c r="F7182" t="s">
        <v>3538</v>
      </c>
      <c r="G7182" t="s">
        <v>179</v>
      </c>
      <c r="H7182">
        <v>46</v>
      </c>
      <c r="I7182">
        <v>81.174000000000007</v>
      </c>
      <c r="J7182">
        <v>78.260999999999996</v>
      </c>
      <c r="K7182">
        <v>-2.9129999999999998</v>
      </c>
      <c r="L7182">
        <v>18</v>
      </c>
      <c r="M7182">
        <v>9</v>
      </c>
      <c r="N7182">
        <v>19</v>
      </c>
      <c r="O7182">
        <v>77.323999999999998</v>
      </c>
      <c r="P7182">
        <v>-1.6396206390000001</v>
      </c>
      <c r="Q7182">
        <v>13.37</v>
      </c>
    </row>
    <row r="7183" spans="1:17" x14ac:dyDescent="0.2">
      <c r="A7183" s="30" t="str">
        <f>IF(C7183&amp;G7183&amp;D7183&lt;&gt;'Funnel setup'!$K$3&amp;'Funnel setup'!$K$4&amp;'Funnel setup'!$K$5,".",IF(A7182=".",1,A7182+1))</f>
        <v>.</v>
      </c>
      <c r="B7183" s="431" t="str">
        <f t="shared" si="112"/>
        <v>Varicose VeinProviderWORCESTERSHIRE ACUTE HOSPITALS NHS TRUST (RWP)EQ VAS</v>
      </c>
      <c r="C7183" t="s">
        <v>17</v>
      </c>
      <c r="D7183" t="s">
        <v>1</v>
      </c>
      <c r="E7183" t="s">
        <v>3543</v>
      </c>
      <c r="F7183" t="s">
        <v>3544</v>
      </c>
      <c r="G7183" t="s">
        <v>179</v>
      </c>
      <c r="H7183">
        <v>21</v>
      </c>
      <c r="I7183">
        <v>86.762</v>
      </c>
      <c r="J7183">
        <v>84.667000000000002</v>
      </c>
      <c r="K7183">
        <v>-2.0950000000000002</v>
      </c>
      <c r="L7183">
        <v>6</v>
      </c>
      <c r="M7183">
        <v>4</v>
      </c>
      <c r="N7183">
        <v>11</v>
      </c>
      <c r="O7183" t="s">
        <v>53</v>
      </c>
      <c r="P7183" t="s">
        <v>53</v>
      </c>
      <c r="Q7183" t="s">
        <v>53</v>
      </c>
    </row>
    <row r="7184" spans="1:17" x14ac:dyDescent="0.2">
      <c r="A7184" s="30" t="str">
        <f>IF(C7184&amp;G7184&amp;D7184&lt;&gt;'Funnel setup'!$K$3&amp;'Funnel setup'!$K$4&amp;'Funnel setup'!$K$5,".",IF(A7183=".",1,A7183+1))</f>
        <v>.</v>
      </c>
      <c r="B7184" s="431" t="str">
        <f t="shared" si="112"/>
        <v>Varicose VeinProviderWRIGHTINGTON, WIGAN AND LEIGH NHS FOUNDATION TRUST (RRF)EQ VAS</v>
      </c>
      <c r="C7184" t="s">
        <v>17</v>
      </c>
      <c r="D7184" t="s">
        <v>1</v>
      </c>
      <c r="E7184" t="s">
        <v>3546</v>
      </c>
      <c r="F7184" t="s">
        <v>3547</v>
      </c>
      <c r="G7184" t="s">
        <v>179</v>
      </c>
      <c r="H7184" t="s">
        <v>53</v>
      </c>
      <c r="I7184" t="s">
        <v>53</v>
      </c>
      <c r="J7184" t="s">
        <v>53</v>
      </c>
      <c r="K7184" t="s">
        <v>53</v>
      </c>
      <c r="L7184" t="s">
        <v>53</v>
      </c>
      <c r="M7184" t="s">
        <v>53</v>
      </c>
      <c r="N7184" t="s">
        <v>53</v>
      </c>
      <c r="O7184" t="s">
        <v>53</v>
      </c>
      <c r="P7184" t="s">
        <v>53</v>
      </c>
      <c r="Q7184" t="s">
        <v>53</v>
      </c>
    </row>
    <row r="7185" spans="1:17" x14ac:dyDescent="0.2">
      <c r="A7185" s="30" t="str">
        <f>IF(C7185&amp;G7185&amp;D7185&lt;&gt;'Funnel setup'!$K$3&amp;'Funnel setup'!$K$4&amp;'Funnel setup'!$K$5,".",IF(A7184=".",1,A7184+1))</f>
        <v>.</v>
      </c>
      <c r="B7185" s="431" t="str">
        <f t="shared" si="112"/>
        <v>Varicose VeinProviderWYE VALLEY NHS TRUST (RLQ)EQ VAS</v>
      </c>
      <c r="C7185" t="s">
        <v>17</v>
      </c>
      <c r="D7185" t="s">
        <v>1</v>
      </c>
      <c r="E7185" t="s">
        <v>3517</v>
      </c>
      <c r="F7185" t="s">
        <v>3518</v>
      </c>
      <c r="G7185" t="s">
        <v>179</v>
      </c>
      <c r="H7185">
        <v>38</v>
      </c>
      <c r="I7185">
        <v>85.974000000000004</v>
      </c>
      <c r="J7185">
        <v>81.525999999999996</v>
      </c>
      <c r="K7185">
        <v>-4.4470000000000001</v>
      </c>
      <c r="L7185">
        <v>17</v>
      </c>
      <c r="M7185">
        <v>6</v>
      </c>
      <c r="N7185">
        <v>15</v>
      </c>
      <c r="O7185">
        <v>77.989999999999995</v>
      </c>
      <c r="P7185">
        <v>-0.97420905999999996</v>
      </c>
      <c r="Q7185">
        <v>18.327000000000002</v>
      </c>
    </row>
    <row r="7186" spans="1:17" x14ac:dyDescent="0.2">
      <c r="A7186" s="30" t="str">
        <f>IF(C7186&amp;G7186&amp;D7186&lt;&gt;'Funnel setup'!$K$3&amp;'Funnel setup'!$K$4&amp;'Funnel setup'!$K$5,".",IF(A7185=".",1,A7185+1))</f>
        <v>.</v>
      </c>
      <c r="B7186" s="431" t="str">
        <f t="shared" si="112"/>
        <v>Varicose VeinProviderYORK TEACHING HOSPITAL NHS FOUNDATION TRUST (RCB)EQ VAS</v>
      </c>
      <c r="C7186" t="s">
        <v>17</v>
      </c>
      <c r="D7186" t="s">
        <v>1</v>
      </c>
      <c r="E7186" t="s">
        <v>3515</v>
      </c>
      <c r="F7186" t="s">
        <v>343</v>
      </c>
      <c r="G7186" t="s">
        <v>179</v>
      </c>
      <c r="H7186">
        <v>99</v>
      </c>
      <c r="I7186">
        <v>78.403999999999996</v>
      </c>
      <c r="J7186">
        <v>78.667000000000002</v>
      </c>
      <c r="K7186">
        <v>0.26300000000000001</v>
      </c>
      <c r="L7186">
        <v>44</v>
      </c>
      <c r="M7186">
        <v>18</v>
      </c>
      <c r="N7186">
        <v>37</v>
      </c>
      <c r="O7186">
        <v>78.364000000000004</v>
      </c>
      <c r="P7186">
        <v>-0.59997085699999997</v>
      </c>
      <c r="Q7186">
        <v>16.163</v>
      </c>
    </row>
    <row r="7187" spans="1:17" x14ac:dyDescent="0.2">
      <c r="A7187" s="30" t="str">
        <f>IF(C7187&amp;G7187&amp;D7187&lt;&gt;'Funnel setup'!$K$3&amp;'Funnel setup'!$K$4&amp;'Funnel setup'!$K$5,".",IF(A7186=".",1,A7186+1))</f>
        <v>.</v>
      </c>
      <c r="B7187" s="431" t="str">
        <f t="shared" si="112"/>
        <v>Varicose VeinProviderAINTREE UNIVERSITY HOSPITAL NHS FOUNDATION TRUST (REM)EQ-5D Index</v>
      </c>
      <c r="C7187" t="s">
        <v>17</v>
      </c>
      <c r="D7187" t="s">
        <v>1</v>
      </c>
      <c r="E7187" t="s">
        <v>3838</v>
      </c>
      <c r="F7187" t="s">
        <v>3839</v>
      </c>
      <c r="G7187" t="s">
        <v>52</v>
      </c>
      <c r="H7187">
        <v>22</v>
      </c>
      <c r="I7187">
        <v>0.70099999999999996</v>
      </c>
      <c r="J7187">
        <v>0.79</v>
      </c>
      <c r="K7187">
        <v>8.8999999999999996E-2</v>
      </c>
      <c r="L7187">
        <v>12</v>
      </c>
      <c r="M7187">
        <v>5</v>
      </c>
      <c r="N7187">
        <v>5</v>
      </c>
      <c r="O7187" t="s">
        <v>53</v>
      </c>
      <c r="P7187" t="s">
        <v>53</v>
      </c>
      <c r="Q7187" t="s">
        <v>53</v>
      </c>
    </row>
    <row r="7188" spans="1:17" x14ac:dyDescent="0.2">
      <c r="A7188" s="30" t="str">
        <f>IF(C7188&amp;G7188&amp;D7188&lt;&gt;'Funnel setup'!$K$3&amp;'Funnel setup'!$K$4&amp;'Funnel setup'!$K$5,".",IF(A7187=".",1,A7187+1))</f>
        <v>.</v>
      </c>
      <c r="B7188" s="431" t="str">
        <f t="shared" si="112"/>
        <v>Varicose VeinProviderAIREDALE NHS FOUNDATION TRUST (RCF)EQ-5D Index</v>
      </c>
      <c r="C7188" t="s">
        <v>17</v>
      </c>
      <c r="D7188" t="s">
        <v>1</v>
      </c>
      <c r="E7188" t="s">
        <v>3841</v>
      </c>
      <c r="F7188" t="s">
        <v>3842</v>
      </c>
      <c r="G7188" t="s">
        <v>52</v>
      </c>
      <c r="H7188">
        <v>64</v>
      </c>
      <c r="I7188">
        <v>0.79200000000000004</v>
      </c>
      <c r="J7188">
        <v>0.90100000000000002</v>
      </c>
      <c r="K7188">
        <v>0.109</v>
      </c>
      <c r="L7188">
        <v>36</v>
      </c>
      <c r="M7188">
        <v>23</v>
      </c>
      <c r="N7188">
        <v>5</v>
      </c>
      <c r="O7188">
        <v>0.873</v>
      </c>
      <c r="P7188">
        <v>0.12593432600000001</v>
      </c>
      <c r="Q7188">
        <v>0.14499999999999999</v>
      </c>
    </row>
    <row r="7189" spans="1:17" x14ac:dyDescent="0.2">
      <c r="A7189" s="30" t="str">
        <f>IF(C7189&amp;G7189&amp;D7189&lt;&gt;'Funnel setup'!$K$3&amp;'Funnel setup'!$K$4&amp;'Funnel setup'!$K$5,".",IF(A7188=".",1,A7188+1))</f>
        <v>.</v>
      </c>
      <c r="B7189" s="431" t="str">
        <f t="shared" si="112"/>
        <v>Varicose VeinProviderASHFORD AND ST PETER'S HOSPITALS NHS FOUNDATION TRUST (RTK)EQ-5D Index</v>
      </c>
      <c r="C7189" t="s">
        <v>17</v>
      </c>
      <c r="D7189" t="s">
        <v>1</v>
      </c>
      <c r="E7189" t="s">
        <v>3844</v>
      </c>
      <c r="F7189" t="s">
        <v>345</v>
      </c>
      <c r="G7189" t="s">
        <v>52</v>
      </c>
      <c r="H7189">
        <v>19</v>
      </c>
      <c r="I7189">
        <v>0.73499999999999999</v>
      </c>
      <c r="J7189">
        <v>0.86299999999999999</v>
      </c>
      <c r="K7189">
        <v>0.129</v>
      </c>
      <c r="L7189">
        <v>13</v>
      </c>
      <c r="M7189">
        <v>3</v>
      </c>
      <c r="N7189">
        <v>3</v>
      </c>
      <c r="O7189" t="s">
        <v>53</v>
      </c>
      <c r="P7189" t="s">
        <v>53</v>
      </c>
      <c r="Q7189" t="s">
        <v>53</v>
      </c>
    </row>
    <row r="7190" spans="1:17" x14ac:dyDescent="0.2">
      <c r="A7190" s="30" t="str">
        <f>IF(C7190&amp;G7190&amp;D7190&lt;&gt;'Funnel setup'!$K$3&amp;'Funnel setup'!$K$4&amp;'Funnel setup'!$K$5,".",IF(A7189=".",1,A7189+1))</f>
        <v>.</v>
      </c>
      <c r="B7190" s="431" t="str">
        <f t="shared" si="112"/>
        <v>Varicose VeinProviderASHTEAD HOSPITAL (NVC01)EQ-5D Index</v>
      </c>
      <c r="C7190" t="s">
        <v>17</v>
      </c>
      <c r="D7190" t="s">
        <v>1</v>
      </c>
      <c r="E7190" t="s">
        <v>3846</v>
      </c>
      <c r="F7190" t="s">
        <v>3847</v>
      </c>
      <c r="G7190" t="s">
        <v>52</v>
      </c>
      <c r="H7190">
        <v>15</v>
      </c>
      <c r="I7190">
        <v>0.78600000000000003</v>
      </c>
      <c r="J7190">
        <v>0.93</v>
      </c>
      <c r="K7190">
        <v>0.14399999999999999</v>
      </c>
      <c r="L7190">
        <v>8</v>
      </c>
      <c r="M7190">
        <v>5</v>
      </c>
      <c r="N7190">
        <v>2</v>
      </c>
      <c r="O7190" t="s">
        <v>53</v>
      </c>
      <c r="P7190" t="s">
        <v>53</v>
      </c>
      <c r="Q7190" t="s">
        <v>53</v>
      </c>
    </row>
    <row r="7191" spans="1:17" x14ac:dyDescent="0.2">
      <c r="A7191" s="30" t="str">
        <f>IF(C7191&amp;G7191&amp;D7191&lt;&gt;'Funnel setup'!$K$3&amp;'Funnel setup'!$K$4&amp;'Funnel setup'!$K$5,".",IF(A7190=".",1,A7190+1))</f>
        <v>.</v>
      </c>
      <c r="B7191" s="431" t="str">
        <f t="shared" si="112"/>
        <v>Varicose VeinProviderBARKING, HAVERING AND REDBRIDGE UNIVERSITY HOSPITALS NHS TRUST (RF4)EQ-5D Index</v>
      </c>
      <c r="C7191" t="s">
        <v>17</v>
      </c>
      <c r="D7191" t="s">
        <v>1</v>
      </c>
      <c r="E7191" t="s">
        <v>3509</v>
      </c>
      <c r="F7191" t="s">
        <v>3510</v>
      </c>
      <c r="G7191" t="s">
        <v>52</v>
      </c>
      <c r="H7191">
        <v>28</v>
      </c>
      <c r="I7191">
        <v>0.65600000000000003</v>
      </c>
      <c r="J7191">
        <v>0.83</v>
      </c>
      <c r="K7191">
        <v>0.17399999999999999</v>
      </c>
      <c r="L7191">
        <v>17</v>
      </c>
      <c r="M7191">
        <v>7</v>
      </c>
      <c r="N7191">
        <v>4</v>
      </c>
      <c r="O7191" t="s">
        <v>53</v>
      </c>
      <c r="P7191" t="s">
        <v>53</v>
      </c>
      <c r="Q7191" t="s">
        <v>53</v>
      </c>
    </row>
    <row r="7192" spans="1:17" x14ac:dyDescent="0.2">
      <c r="A7192" s="30" t="str">
        <f>IF(C7192&amp;G7192&amp;D7192&lt;&gt;'Funnel setup'!$K$3&amp;'Funnel setup'!$K$4&amp;'Funnel setup'!$K$5,".",IF(A7191=".",1,A7191+1))</f>
        <v>.</v>
      </c>
      <c r="B7192" s="431" t="str">
        <f t="shared" si="112"/>
        <v>Varicose VeinProviderBARNSLEY HOSPITAL NHS FOUNDATION TRUST (RFF)EQ-5D Index</v>
      </c>
      <c r="C7192" t="s">
        <v>17</v>
      </c>
      <c r="D7192" t="s">
        <v>1</v>
      </c>
      <c r="E7192" t="s">
        <v>3549</v>
      </c>
      <c r="F7192" t="s">
        <v>3550</v>
      </c>
      <c r="G7192" t="s">
        <v>52</v>
      </c>
      <c r="H7192">
        <v>12</v>
      </c>
      <c r="I7192">
        <v>0.751</v>
      </c>
      <c r="J7192">
        <v>0.91500000000000004</v>
      </c>
      <c r="K7192">
        <v>0.16400000000000001</v>
      </c>
      <c r="L7192">
        <v>8</v>
      </c>
      <c r="M7192">
        <v>2</v>
      </c>
      <c r="N7192">
        <v>2</v>
      </c>
      <c r="O7192" t="s">
        <v>53</v>
      </c>
      <c r="P7192" t="s">
        <v>53</v>
      </c>
      <c r="Q7192" t="s">
        <v>53</v>
      </c>
    </row>
    <row r="7193" spans="1:17" x14ac:dyDescent="0.2">
      <c r="A7193" s="30" t="str">
        <f>IF(C7193&amp;G7193&amp;D7193&lt;&gt;'Funnel setup'!$K$3&amp;'Funnel setup'!$K$4&amp;'Funnel setup'!$K$5,".",IF(A7192=".",1,A7192+1))</f>
        <v>.</v>
      </c>
      <c r="B7193" s="431" t="str">
        <f t="shared" si="112"/>
        <v>Varicose VeinProviderBARTS HEALTH NHS TRUST (R1H)EQ-5D Index</v>
      </c>
      <c r="C7193" t="s">
        <v>17</v>
      </c>
      <c r="D7193" t="s">
        <v>1</v>
      </c>
      <c r="E7193" t="s">
        <v>3552</v>
      </c>
      <c r="F7193" t="s">
        <v>3553</v>
      </c>
      <c r="G7193" t="s">
        <v>52</v>
      </c>
      <c r="H7193">
        <v>56</v>
      </c>
      <c r="I7193">
        <v>0.73199999999999998</v>
      </c>
      <c r="J7193">
        <v>0.82199999999999995</v>
      </c>
      <c r="K7193">
        <v>0.09</v>
      </c>
      <c r="L7193">
        <v>31</v>
      </c>
      <c r="M7193">
        <v>15</v>
      </c>
      <c r="N7193">
        <v>10</v>
      </c>
      <c r="O7193">
        <v>0.84399999999999997</v>
      </c>
      <c r="P7193">
        <v>9.7107214999999997E-2</v>
      </c>
      <c r="Q7193">
        <v>0.17199999999999999</v>
      </c>
    </row>
    <row r="7194" spans="1:17" x14ac:dyDescent="0.2">
      <c r="A7194" s="30" t="str">
        <f>IF(C7194&amp;G7194&amp;D7194&lt;&gt;'Funnel setup'!$K$3&amp;'Funnel setup'!$K$4&amp;'Funnel setup'!$K$5,".",IF(A7193=".",1,A7193+1))</f>
        <v>.</v>
      </c>
      <c r="B7194" s="431" t="str">
        <f t="shared" si="112"/>
        <v>Varicose VeinProviderBASILDON AND THURROCK UNIVERSITY HOSPITALS NHS FOUNDATION TRUST (RDD)EQ-5D Index</v>
      </c>
      <c r="C7194" t="s">
        <v>17</v>
      </c>
      <c r="D7194" t="s">
        <v>1</v>
      </c>
      <c r="E7194" t="s">
        <v>3555</v>
      </c>
      <c r="F7194" t="s">
        <v>3556</v>
      </c>
      <c r="G7194" t="s">
        <v>52</v>
      </c>
      <c r="H7194" t="s">
        <v>53</v>
      </c>
      <c r="I7194" t="s">
        <v>53</v>
      </c>
      <c r="J7194" t="s">
        <v>53</v>
      </c>
      <c r="K7194" t="s">
        <v>53</v>
      </c>
      <c r="L7194" t="s">
        <v>53</v>
      </c>
      <c r="M7194" t="s">
        <v>53</v>
      </c>
      <c r="N7194" t="s">
        <v>53</v>
      </c>
      <c r="O7194" t="s">
        <v>53</v>
      </c>
      <c r="P7194" t="s">
        <v>53</v>
      </c>
      <c r="Q7194" t="s">
        <v>53</v>
      </c>
    </row>
    <row r="7195" spans="1:17" x14ac:dyDescent="0.2">
      <c r="A7195" s="30" t="str">
        <f>IF(C7195&amp;G7195&amp;D7195&lt;&gt;'Funnel setup'!$K$3&amp;'Funnel setup'!$K$4&amp;'Funnel setup'!$K$5,".",IF(A7194=".",1,A7194+1))</f>
        <v>.</v>
      </c>
      <c r="B7195" s="431" t="str">
        <f t="shared" si="112"/>
        <v>Varicose VeinProviderBEDFORD HOSPITAL NHS TRUST (RC1)EQ-5D Index</v>
      </c>
      <c r="C7195" t="s">
        <v>17</v>
      </c>
      <c r="D7195" t="s">
        <v>1</v>
      </c>
      <c r="E7195" t="s">
        <v>3558</v>
      </c>
      <c r="F7195" t="s">
        <v>3559</v>
      </c>
      <c r="G7195" t="s">
        <v>52</v>
      </c>
      <c r="H7195">
        <v>29</v>
      </c>
      <c r="I7195">
        <v>0.78700000000000003</v>
      </c>
      <c r="J7195">
        <v>0.86299999999999999</v>
      </c>
      <c r="K7195">
        <v>7.5999999999999998E-2</v>
      </c>
      <c r="L7195">
        <v>16</v>
      </c>
      <c r="M7195">
        <v>10</v>
      </c>
      <c r="N7195">
        <v>3</v>
      </c>
      <c r="O7195" t="s">
        <v>53</v>
      </c>
      <c r="P7195" t="s">
        <v>53</v>
      </c>
      <c r="Q7195" t="s">
        <v>53</v>
      </c>
    </row>
    <row r="7196" spans="1:17" x14ac:dyDescent="0.2">
      <c r="A7196" s="30" t="str">
        <f>IF(C7196&amp;G7196&amp;D7196&lt;&gt;'Funnel setup'!$K$3&amp;'Funnel setup'!$K$4&amp;'Funnel setup'!$K$5,".",IF(A7195=".",1,A7195+1))</f>
        <v>.</v>
      </c>
      <c r="B7196" s="431" t="str">
        <f t="shared" si="112"/>
        <v>Varicose VeinProviderBLACKPOOL TEACHING HOSPITALS NHS FOUNDATION TRUST (RXL)EQ-5D Index</v>
      </c>
      <c r="C7196" t="s">
        <v>17</v>
      </c>
      <c r="D7196" t="s">
        <v>1</v>
      </c>
      <c r="E7196" t="s">
        <v>3561</v>
      </c>
      <c r="F7196" t="s">
        <v>3562</v>
      </c>
      <c r="G7196" t="s">
        <v>52</v>
      </c>
      <c r="H7196">
        <v>9</v>
      </c>
      <c r="I7196">
        <v>0.625</v>
      </c>
      <c r="J7196">
        <v>0.84799999999999998</v>
      </c>
      <c r="K7196">
        <v>0.223</v>
      </c>
      <c r="L7196">
        <v>7</v>
      </c>
      <c r="M7196">
        <v>2</v>
      </c>
      <c r="N7196">
        <v>0</v>
      </c>
      <c r="O7196" t="s">
        <v>53</v>
      </c>
      <c r="P7196" t="s">
        <v>53</v>
      </c>
      <c r="Q7196" t="s">
        <v>53</v>
      </c>
    </row>
    <row r="7197" spans="1:17" x14ac:dyDescent="0.2">
      <c r="A7197" s="30" t="str">
        <f>IF(C7197&amp;G7197&amp;D7197&lt;&gt;'Funnel setup'!$K$3&amp;'Funnel setup'!$K$4&amp;'Funnel setup'!$K$5,".",IF(A7196=".",1,A7196+1))</f>
        <v>.</v>
      </c>
      <c r="B7197" s="431" t="str">
        <f t="shared" si="112"/>
        <v>Varicose VeinProviderBMI - SHIRLEY OAKS HOSPITAL (NT436)EQ-5D Index</v>
      </c>
      <c r="C7197" t="s">
        <v>17</v>
      </c>
      <c r="D7197" t="s">
        <v>1</v>
      </c>
      <c r="E7197" t="s">
        <v>3576</v>
      </c>
      <c r="F7197" t="s">
        <v>3577</v>
      </c>
      <c r="G7197" t="s">
        <v>52</v>
      </c>
      <c r="H7197" t="s">
        <v>53</v>
      </c>
      <c r="I7197" t="s">
        <v>53</v>
      </c>
      <c r="J7197" t="s">
        <v>53</v>
      </c>
      <c r="K7197" t="s">
        <v>53</v>
      </c>
      <c r="L7197" t="s">
        <v>53</v>
      </c>
      <c r="M7197" t="s">
        <v>53</v>
      </c>
      <c r="N7197" t="s">
        <v>53</v>
      </c>
      <c r="O7197" t="s">
        <v>53</v>
      </c>
      <c r="P7197" t="s">
        <v>53</v>
      </c>
      <c r="Q7197" t="s">
        <v>53</v>
      </c>
    </row>
    <row r="7198" spans="1:17" x14ac:dyDescent="0.2">
      <c r="A7198" s="30" t="str">
        <f>IF(C7198&amp;G7198&amp;D7198&lt;&gt;'Funnel setup'!$K$3&amp;'Funnel setup'!$K$4&amp;'Funnel setup'!$K$5,".",IF(A7197=".",1,A7197+1))</f>
        <v>.</v>
      </c>
      <c r="B7198" s="431" t="str">
        <f t="shared" si="112"/>
        <v>Varicose VeinProviderBMI - THE DROITWICH SPA HOSPITAL (NT412)EQ-5D Index</v>
      </c>
      <c r="C7198" t="s">
        <v>17</v>
      </c>
      <c r="D7198" t="s">
        <v>1</v>
      </c>
      <c r="E7198" t="s">
        <v>3600</v>
      </c>
      <c r="F7198" t="s">
        <v>3601</v>
      </c>
      <c r="G7198" t="s">
        <v>52</v>
      </c>
      <c r="H7198" t="s">
        <v>53</v>
      </c>
      <c r="I7198" t="s">
        <v>53</v>
      </c>
      <c r="J7198" t="s">
        <v>53</v>
      </c>
      <c r="K7198" t="s">
        <v>53</v>
      </c>
      <c r="L7198" t="s">
        <v>53</v>
      </c>
      <c r="M7198" t="s">
        <v>53</v>
      </c>
      <c r="N7198" t="s">
        <v>53</v>
      </c>
      <c r="O7198" t="s">
        <v>53</v>
      </c>
      <c r="P7198" t="s">
        <v>53</v>
      </c>
      <c r="Q7198" t="s">
        <v>53</v>
      </c>
    </row>
    <row r="7199" spans="1:17" x14ac:dyDescent="0.2">
      <c r="A7199" s="30" t="str">
        <f>IF(C7199&amp;G7199&amp;D7199&lt;&gt;'Funnel setup'!$K$3&amp;'Funnel setup'!$K$4&amp;'Funnel setup'!$K$5,".",IF(A7198=".",1,A7198+1))</f>
        <v>.</v>
      </c>
      <c r="B7199" s="431" t="str">
        <f t="shared" si="112"/>
        <v>Varicose VeinProviderBMI - THE SHELBURNE HOSPITAL (NT435)EQ-5D Index</v>
      </c>
      <c r="C7199" t="s">
        <v>17</v>
      </c>
      <c r="D7199" t="s">
        <v>1</v>
      </c>
      <c r="E7199" t="s">
        <v>4318</v>
      </c>
      <c r="F7199" t="s">
        <v>4319</v>
      </c>
      <c r="G7199" t="s">
        <v>52</v>
      </c>
      <c r="H7199" t="s">
        <v>53</v>
      </c>
      <c r="I7199" t="s">
        <v>53</v>
      </c>
      <c r="J7199" t="s">
        <v>53</v>
      </c>
      <c r="K7199" t="s">
        <v>53</v>
      </c>
      <c r="L7199" t="s">
        <v>53</v>
      </c>
      <c r="M7199" t="s">
        <v>53</v>
      </c>
      <c r="N7199" t="s">
        <v>53</v>
      </c>
      <c r="O7199" t="s">
        <v>53</v>
      </c>
      <c r="P7199" t="s">
        <v>53</v>
      </c>
      <c r="Q7199" t="s">
        <v>53</v>
      </c>
    </row>
    <row r="7200" spans="1:17" x14ac:dyDescent="0.2">
      <c r="A7200" s="30" t="str">
        <f>IF(C7200&amp;G7200&amp;D7200&lt;&gt;'Funnel setup'!$K$3&amp;'Funnel setup'!$K$4&amp;'Funnel setup'!$K$5,".",IF(A7199=".",1,A7199+1))</f>
        <v>.</v>
      </c>
      <c r="B7200" s="431" t="str">
        <f t="shared" si="112"/>
        <v>Varicose VeinProviderBMI - THE SOUTH CHESHIRE PRIVATE HOSPITAL (NT439)EQ-5D Index</v>
      </c>
      <c r="C7200" t="s">
        <v>17</v>
      </c>
      <c r="D7200" t="s">
        <v>1</v>
      </c>
      <c r="E7200" t="s">
        <v>3307</v>
      </c>
      <c r="F7200" t="s">
        <v>3308</v>
      </c>
      <c r="G7200" t="s">
        <v>52</v>
      </c>
      <c r="H7200" t="s">
        <v>53</v>
      </c>
      <c r="I7200" t="s">
        <v>53</v>
      </c>
      <c r="J7200" t="s">
        <v>53</v>
      </c>
      <c r="K7200" t="s">
        <v>53</v>
      </c>
      <c r="L7200" t="s">
        <v>53</v>
      </c>
      <c r="M7200" t="s">
        <v>53</v>
      </c>
      <c r="N7200" t="s">
        <v>53</v>
      </c>
      <c r="O7200" t="s">
        <v>53</v>
      </c>
      <c r="P7200" t="s">
        <v>53</v>
      </c>
      <c r="Q7200" t="s">
        <v>53</v>
      </c>
    </row>
    <row r="7201" spans="1:17" x14ac:dyDescent="0.2">
      <c r="A7201" s="30" t="str">
        <f>IF(C7201&amp;G7201&amp;D7201&lt;&gt;'Funnel setup'!$K$3&amp;'Funnel setup'!$K$4&amp;'Funnel setup'!$K$5,".",IF(A7200=".",1,A7200+1))</f>
        <v>.</v>
      </c>
      <c r="B7201" s="431" t="str">
        <f t="shared" si="112"/>
        <v>Varicose VeinProviderBMI SOUTHEND PRIVATE HOSPITAL (NT490)EQ-5D Index</v>
      </c>
      <c r="C7201" t="s">
        <v>17</v>
      </c>
      <c r="D7201" t="s">
        <v>1</v>
      </c>
      <c r="E7201" t="s">
        <v>3325</v>
      </c>
      <c r="F7201" t="s">
        <v>3326</v>
      </c>
      <c r="G7201" t="s">
        <v>52</v>
      </c>
      <c r="H7201" t="s">
        <v>53</v>
      </c>
      <c r="I7201" t="s">
        <v>53</v>
      </c>
      <c r="J7201" t="s">
        <v>53</v>
      </c>
      <c r="K7201" t="s">
        <v>53</v>
      </c>
      <c r="L7201" t="s">
        <v>53</v>
      </c>
      <c r="M7201" t="s">
        <v>53</v>
      </c>
      <c r="N7201" t="s">
        <v>53</v>
      </c>
      <c r="O7201" t="s">
        <v>53</v>
      </c>
      <c r="P7201" t="s">
        <v>53</v>
      </c>
      <c r="Q7201" t="s">
        <v>53</v>
      </c>
    </row>
    <row r="7202" spans="1:17" x14ac:dyDescent="0.2">
      <c r="A7202" s="30" t="str">
        <f>IF(C7202&amp;G7202&amp;D7202&lt;&gt;'Funnel setup'!$K$3&amp;'Funnel setup'!$K$4&amp;'Funnel setup'!$K$5,".",IF(A7201=".",1,A7201+1))</f>
        <v>.</v>
      </c>
      <c r="B7202" s="431" t="str">
        <f t="shared" si="112"/>
        <v>Varicose VeinProviderBOLTON NHS FOUNDATION TRUST (RMC)EQ-5D Index</v>
      </c>
      <c r="C7202" t="s">
        <v>17</v>
      </c>
      <c r="D7202" t="s">
        <v>1</v>
      </c>
      <c r="E7202" t="s">
        <v>3358</v>
      </c>
      <c r="F7202" t="s">
        <v>3359</v>
      </c>
      <c r="G7202" t="s">
        <v>52</v>
      </c>
      <c r="H7202">
        <v>53</v>
      </c>
      <c r="I7202">
        <v>0.75600000000000001</v>
      </c>
      <c r="J7202">
        <v>0.82299999999999995</v>
      </c>
      <c r="K7202">
        <v>6.6000000000000003E-2</v>
      </c>
      <c r="L7202">
        <v>24</v>
      </c>
      <c r="M7202">
        <v>17</v>
      </c>
      <c r="N7202">
        <v>12</v>
      </c>
      <c r="O7202">
        <v>0.80500000000000005</v>
      </c>
      <c r="P7202">
        <v>5.7909069000000001E-2</v>
      </c>
      <c r="Q7202">
        <v>0.16600000000000001</v>
      </c>
    </row>
    <row r="7203" spans="1:17" x14ac:dyDescent="0.2">
      <c r="A7203" s="30" t="str">
        <f>IF(C7203&amp;G7203&amp;D7203&lt;&gt;'Funnel setup'!$K$3&amp;'Funnel setup'!$K$4&amp;'Funnel setup'!$K$5,".",IF(A7202=".",1,A7202+1))</f>
        <v>.</v>
      </c>
      <c r="B7203" s="431" t="str">
        <f t="shared" si="112"/>
        <v>Varicose VeinProviderBOSTON WEST HOSPITAL (NVC27)EQ-5D Index</v>
      </c>
      <c r="C7203" t="s">
        <v>17</v>
      </c>
      <c r="D7203" t="s">
        <v>1</v>
      </c>
      <c r="E7203" t="s">
        <v>3376</v>
      </c>
      <c r="F7203" t="s">
        <v>3377</v>
      </c>
      <c r="G7203" t="s">
        <v>52</v>
      </c>
      <c r="H7203">
        <v>19</v>
      </c>
      <c r="I7203">
        <v>0.79100000000000004</v>
      </c>
      <c r="J7203">
        <v>0.93300000000000005</v>
      </c>
      <c r="K7203">
        <v>0.14099999999999999</v>
      </c>
      <c r="L7203">
        <v>14</v>
      </c>
      <c r="M7203">
        <v>4</v>
      </c>
      <c r="N7203">
        <v>1</v>
      </c>
      <c r="O7203" t="s">
        <v>53</v>
      </c>
      <c r="P7203" t="s">
        <v>53</v>
      </c>
      <c r="Q7203" t="s">
        <v>53</v>
      </c>
    </row>
    <row r="7204" spans="1:17" x14ac:dyDescent="0.2">
      <c r="A7204" s="30" t="str">
        <f>IF(C7204&amp;G7204&amp;D7204&lt;&gt;'Funnel setup'!$K$3&amp;'Funnel setup'!$K$4&amp;'Funnel setup'!$K$5,".",IF(A7203=".",1,A7203+1))</f>
        <v>.</v>
      </c>
      <c r="B7204" s="431" t="str">
        <f t="shared" si="112"/>
        <v>Varicose VeinProviderBRADFORD TEACHING HOSPITALS NHS FOUNDATION TRUST (RAE)EQ-5D Index</v>
      </c>
      <c r="C7204" t="s">
        <v>17</v>
      </c>
      <c r="D7204" t="s">
        <v>1</v>
      </c>
      <c r="E7204" t="s">
        <v>3361</v>
      </c>
      <c r="F7204" t="s">
        <v>3362</v>
      </c>
      <c r="G7204" t="s">
        <v>52</v>
      </c>
      <c r="H7204">
        <v>38</v>
      </c>
      <c r="I7204">
        <v>0.71799999999999997</v>
      </c>
      <c r="J7204">
        <v>0.749</v>
      </c>
      <c r="K7204">
        <v>3.2000000000000001E-2</v>
      </c>
      <c r="L7204">
        <v>16</v>
      </c>
      <c r="M7204">
        <v>13</v>
      </c>
      <c r="N7204">
        <v>9</v>
      </c>
      <c r="O7204">
        <v>0.79900000000000004</v>
      </c>
      <c r="P7204">
        <v>5.2610576999999999E-2</v>
      </c>
      <c r="Q7204">
        <v>0.23100000000000001</v>
      </c>
    </row>
    <row r="7205" spans="1:17" x14ac:dyDescent="0.2">
      <c r="A7205" s="30" t="str">
        <f>IF(C7205&amp;G7205&amp;D7205&lt;&gt;'Funnel setup'!$K$3&amp;'Funnel setup'!$K$4&amp;'Funnel setup'!$K$5,".",IF(A7204=".",1,A7204+1))</f>
        <v>.</v>
      </c>
      <c r="B7205" s="431" t="str">
        <f t="shared" si="112"/>
        <v>Varicose VeinProviderBRIGHTON AND SUSSEX UNIVERSITY HOSPITALS NHS TRUST (RXH)EQ-5D Index</v>
      </c>
      <c r="C7205" t="s">
        <v>17</v>
      </c>
      <c r="D7205" t="s">
        <v>1</v>
      </c>
      <c r="E7205" t="s">
        <v>3367</v>
      </c>
      <c r="F7205" t="s">
        <v>3368</v>
      </c>
      <c r="G7205" t="s">
        <v>52</v>
      </c>
      <c r="H7205">
        <v>42</v>
      </c>
      <c r="I7205">
        <v>0.68100000000000005</v>
      </c>
      <c r="J7205">
        <v>0.79500000000000004</v>
      </c>
      <c r="K7205">
        <v>0.113</v>
      </c>
      <c r="L7205">
        <v>24</v>
      </c>
      <c r="M7205">
        <v>13</v>
      </c>
      <c r="N7205">
        <v>5</v>
      </c>
      <c r="O7205">
        <v>0.84199999999999997</v>
      </c>
      <c r="P7205">
        <v>9.4962835999999995E-2</v>
      </c>
      <c r="Q7205">
        <v>0.19500000000000001</v>
      </c>
    </row>
    <row r="7206" spans="1:17" x14ac:dyDescent="0.2">
      <c r="A7206" s="30" t="str">
        <f>IF(C7206&amp;G7206&amp;D7206&lt;&gt;'Funnel setup'!$K$3&amp;'Funnel setup'!$K$4&amp;'Funnel setup'!$K$5,".",IF(A7205=".",1,A7205+1))</f>
        <v>.</v>
      </c>
      <c r="B7206" s="431" t="str">
        <f t="shared" si="112"/>
        <v>Varicose VeinProviderBUCKINGHAMSHIRE HEALTHCARE NHS TRUST (RXQ)EQ-5D Index</v>
      </c>
      <c r="C7206" t="s">
        <v>17</v>
      </c>
      <c r="D7206" t="s">
        <v>1</v>
      </c>
      <c r="E7206" t="s">
        <v>3370</v>
      </c>
      <c r="F7206" t="s">
        <v>3371</v>
      </c>
      <c r="G7206" t="s">
        <v>52</v>
      </c>
      <c r="H7206">
        <v>38</v>
      </c>
      <c r="I7206">
        <v>0.71399999999999997</v>
      </c>
      <c r="J7206">
        <v>0.876</v>
      </c>
      <c r="K7206">
        <v>0.16200000000000001</v>
      </c>
      <c r="L7206">
        <v>26</v>
      </c>
      <c r="M7206">
        <v>7</v>
      </c>
      <c r="N7206">
        <v>5</v>
      </c>
      <c r="O7206">
        <v>0.90100000000000002</v>
      </c>
      <c r="P7206">
        <v>0.154386844</v>
      </c>
      <c r="Q7206">
        <v>0.2</v>
      </c>
    </row>
    <row r="7207" spans="1:17" x14ac:dyDescent="0.2">
      <c r="A7207" s="30" t="str">
        <f>IF(C7207&amp;G7207&amp;D7207&lt;&gt;'Funnel setup'!$K$3&amp;'Funnel setup'!$K$4&amp;'Funnel setup'!$K$5,".",IF(A7206=".",1,A7206+1))</f>
        <v>.</v>
      </c>
      <c r="B7207" s="431" t="str">
        <f t="shared" si="112"/>
        <v>Varicose VeinProviderBURTON HOSPITALS NHS FOUNDATION TRUST (RJF)EQ-5D Index</v>
      </c>
      <c r="C7207" t="s">
        <v>17</v>
      </c>
      <c r="D7207" t="s">
        <v>1</v>
      </c>
      <c r="E7207" t="s">
        <v>3373</v>
      </c>
      <c r="F7207" t="s">
        <v>3374</v>
      </c>
      <c r="G7207" t="s">
        <v>52</v>
      </c>
      <c r="H7207">
        <v>14</v>
      </c>
      <c r="I7207">
        <v>0.78100000000000003</v>
      </c>
      <c r="J7207">
        <v>0.94899999999999995</v>
      </c>
      <c r="K7207">
        <v>0.16800000000000001</v>
      </c>
      <c r="L7207">
        <v>9</v>
      </c>
      <c r="M7207">
        <v>4</v>
      </c>
      <c r="N7207">
        <v>1</v>
      </c>
      <c r="O7207" t="s">
        <v>53</v>
      </c>
      <c r="P7207" t="s">
        <v>53</v>
      </c>
      <c r="Q7207" t="s">
        <v>53</v>
      </c>
    </row>
    <row r="7208" spans="1:17" x14ac:dyDescent="0.2">
      <c r="A7208" s="30" t="str">
        <f>IF(C7208&amp;G7208&amp;D7208&lt;&gt;'Funnel setup'!$K$3&amp;'Funnel setup'!$K$4&amp;'Funnel setup'!$K$5,".",IF(A7207=".",1,A7207+1))</f>
        <v>.</v>
      </c>
      <c r="B7208" s="431" t="str">
        <f t="shared" si="112"/>
        <v>Varicose VeinProviderCALDERDALE AND HUDDERSFIELD NHS FOUNDATION TRUST (RWY)EQ-5D Index</v>
      </c>
      <c r="C7208" t="s">
        <v>17</v>
      </c>
      <c r="D7208" t="s">
        <v>1</v>
      </c>
      <c r="E7208" t="s">
        <v>3379</v>
      </c>
      <c r="F7208" t="s">
        <v>3380</v>
      </c>
      <c r="G7208" t="s">
        <v>52</v>
      </c>
      <c r="H7208">
        <v>100</v>
      </c>
      <c r="I7208">
        <v>0.76100000000000001</v>
      </c>
      <c r="J7208">
        <v>0.871</v>
      </c>
      <c r="K7208">
        <v>0.11</v>
      </c>
      <c r="L7208">
        <v>54</v>
      </c>
      <c r="M7208">
        <v>35</v>
      </c>
      <c r="N7208">
        <v>11</v>
      </c>
      <c r="O7208">
        <v>0.86399999999999999</v>
      </c>
      <c r="P7208">
        <v>0.117059015</v>
      </c>
      <c r="Q7208">
        <v>0.16600000000000001</v>
      </c>
    </row>
    <row r="7209" spans="1:17" x14ac:dyDescent="0.2">
      <c r="A7209" s="30" t="str">
        <f>IF(C7209&amp;G7209&amp;D7209&lt;&gt;'Funnel setup'!$K$3&amp;'Funnel setup'!$K$4&amp;'Funnel setup'!$K$5,".",IF(A7208=".",1,A7208+1))</f>
        <v>.</v>
      </c>
      <c r="B7209" s="431" t="str">
        <f t="shared" si="112"/>
        <v>Varicose VeinProviderCAMBRIDGE UNIVERSITY HOSPITALS NHS FOUNDATION TRUST (RGT)EQ-5D Index</v>
      </c>
      <c r="C7209" t="s">
        <v>17</v>
      </c>
      <c r="D7209" t="s">
        <v>1</v>
      </c>
      <c r="E7209" t="s">
        <v>3076</v>
      </c>
      <c r="F7209" t="s">
        <v>3077</v>
      </c>
      <c r="G7209" t="s">
        <v>52</v>
      </c>
      <c r="H7209">
        <v>29</v>
      </c>
      <c r="I7209">
        <v>0.76700000000000002</v>
      </c>
      <c r="J7209">
        <v>0.88900000000000001</v>
      </c>
      <c r="K7209">
        <v>0.123</v>
      </c>
      <c r="L7209">
        <v>16</v>
      </c>
      <c r="M7209">
        <v>12</v>
      </c>
      <c r="N7209">
        <v>1</v>
      </c>
      <c r="O7209" t="s">
        <v>53</v>
      </c>
      <c r="P7209" t="s">
        <v>53</v>
      </c>
      <c r="Q7209" t="s">
        <v>53</v>
      </c>
    </row>
    <row r="7210" spans="1:17" x14ac:dyDescent="0.2">
      <c r="A7210" s="30" t="str">
        <f>IF(C7210&amp;G7210&amp;D7210&lt;&gt;'Funnel setup'!$K$3&amp;'Funnel setup'!$K$4&amp;'Funnel setup'!$K$5,".",IF(A7209=".",1,A7209+1))</f>
        <v>.</v>
      </c>
      <c r="B7210" s="431" t="str">
        <f t="shared" si="112"/>
        <v>Varicose VeinProviderCENTRAL MANCHESTER UNIVERSITY HOSPITALS NHS FOUNDATION TRUST (RW3)EQ-5D Index</v>
      </c>
      <c r="C7210" t="s">
        <v>17</v>
      </c>
      <c r="D7210" t="s">
        <v>1</v>
      </c>
      <c r="E7210" t="s">
        <v>3079</v>
      </c>
      <c r="F7210" t="s">
        <v>3080</v>
      </c>
      <c r="G7210" t="s">
        <v>52</v>
      </c>
      <c r="H7210">
        <v>8</v>
      </c>
      <c r="I7210">
        <v>0.57799999999999996</v>
      </c>
      <c r="J7210">
        <v>0.61899999999999999</v>
      </c>
      <c r="K7210">
        <v>4.2000000000000003E-2</v>
      </c>
      <c r="L7210">
        <v>3</v>
      </c>
      <c r="M7210">
        <v>2</v>
      </c>
      <c r="N7210">
        <v>3</v>
      </c>
      <c r="O7210" t="s">
        <v>53</v>
      </c>
      <c r="P7210" t="s">
        <v>53</v>
      </c>
      <c r="Q7210" t="s">
        <v>53</v>
      </c>
    </row>
    <row r="7211" spans="1:17" x14ac:dyDescent="0.2">
      <c r="A7211" s="30" t="str">
        <f>IF(C7211&amp;G7211&amp;D7211&lt;&gt;'Funnel setup'!$K$3&amp;'Funnel setup'!$K$4&amp;'Funnel setup'!$K$5,".",IF(A7210=".",1,A7210+1))</f>
        <v>.</v>
      </c>
      <c r="B7211" s="431" t="str">
        <f t="shared" si="112"/>
        <v>Varicose VeinProviderCHELSEA AND WESTMINSTER HOSPITAL NHS FOUNDATION TRUST (RQM)EQ-5D Index</v>
      </c>
      <c r="C7211" t="s">
        <v>17</v>
      </c>
      <c r="D7211" t="s">
        <v>1</v>
      </c>
      <c r="E7211" t="s">
        <v>3082</v>
      </c>
      <c r="F7211" t="s">
        <v>3083</v>
      </c>
      <c r="G7211" t="s">
        <v>52</v>
      </c>
      <c r="H7211">
        <v>20</v>
      </c>
      <c r="I7211">
        <v>0.71</v>
      </c>
      <c r="J7211">
        <v>0.85399999999999998</v>
      </c>
      <c r="K7211">
        <v>0.14399999999999999</v>
      </c>
      <c r="L7211">
        <v>15</v>
      </c>
      <c r="M7211">
        <v>3</v>
      </c>
      <c r="N7211">
        <v>2</v>
      </c>
      <c r="O7211" t="s">
        <v>53</v>
      </c>
      <c r="P7211" t="s">
        <v>53</v>
      </c>
      <c r="Q7211" t="s">
        <v>53</v>
      </c>
    </row>
    <row r="7212" spans="1:17" x14ac:dyDescent="0.2">
      <c r="A7212" s="30" t="str">
        <f>IF(C7212&amp;G7212&amp;D7212&lt;&gt;'Funnel setup'!$K$3&amp;'Funnel setup'!$K$4&amp;'Funnel setup'!$K$5,".",IF(A7211=".",1,A7211+1))</f>
        <v>.</v>
      </c>
      <c r="B7212" s="431" t="str">
        <f t="shared" si="112"/>
        <v>Varicose VeinProviderCHESTERFIELD ROYAL HOSPITAL NHS FOUNDATION TRUST (RFS)EQ-5D Index</v>
      </c>
      <c r="C7212" t="s">
        <v>17</v>
      </c>
      <c r="D7212" t="s">
        <v>1</v>
      </c>
      <c r="E7212" t="s">
        <v>3085</v>
      </c>
      <c r="F7212" t="s">
        <v>3086</v>
      </c>
      <c r="G7212" t="s">
        <v>52</v>
      </c>
      <c r="H7212">
        <v>24</v>
      </c>
      <c r="I7212">
        <v>0.82899999999999996</v>
      </c>
      <c r="J7212">
        <v>0.90500000000000003</v>
      </c>
      <c r="K7212">
        <v>7.5999999999999998E-2</v>
      </c>
      <c r="L7212">
        <v>8</v>
      </c>
      <c r="M7212">
        <v>15</v>
      </c>
      <c r="N7212">
        <v>1</v>
      </c>
      <c r="O7212" t="s">
        <v>53</v>
      </c>
      <c r="P7212" t="s">
        <v>53</v>
      </c>
      <c r="Q7212" t="s">
        <v>53</v>
      </c>
    </row>
    <row r="7213" spans="1:17" x14ac:dyDescent="0.2">
      <c r="A7213" s="30" t="str">
        <f>IF(C7213&amp;G7213&amp;D7213&lt;&gt;'Funnel setup'!$K$3&amp;'Funnel setup'!$K$4&amp;'Funnel setup'!$K$5,".",IF(A7212=".",1,A7212+1))</f>
        <v>.</v>
      </c>
      <c r="B7213" s="431" t="str">
        <f t="shared" si="112"/>
        <v>Varicose VeinProviderCIRCLE - NOTTINGHAM NHS TREATMENT CENTRE (NV313)EQ-5D Index</v>
      </c>
      <c r="C7213" t="s">
        <v>17</v>
      </c>
      <c r="D7213" t="s">
        <v>1</v>
      </c>
      <c r="E7213" t="s">
        <v>3094</v>
      </c>
      <c r="F7213" t="s">
        <v>3095</v>
      </c>
      <c r="G7213" t="s">
        <v>52</v>
      </c>
      <c r="H7213">
        <v>155</v>
      </c>
      <c r="I7213">
        <v>0.72499999999999998</v>
      </c>
      <c r="J7213">
        <v>0.80200000000000005</v>
      </c>
      <c r="K7213">
        <v>7.8E-2</v>
      </c>
      <c r="L7213">
        <v>70</v>
      </c>
      <c r="M7213">
        <v>60</v>
      </c>
      <c r="N7213">
        <v>25</v>
      </c>
      <c r="O7213">
        <v>0.81699999999999995</v>
      </c>
      <c r="P7213">
        <v>6.9775045999999993E-2</v>
      </c>
      <c r="Q7213">
        <v>0.19800000000000001</v>
      </c>
    </row>
    <row r="7214" spans="1:17" x14ac:dyDescent="0.2">
      <c r="A7214" s="30" t="str">
        <f>IF(C7214&amp;G7214&amp;D7214&lt;&gt;'Funnel setup'!$K$3&amp;'Funnel setup'!$K$4&amp;'Funnel setup'!$K$5,".",IF(A7213=".",1,A7213+1))</f>
        <v>.</v>
      </c>
      <c r="B7214" s="431" t="str">
        <f t="shared" si="112"/>
        <v>Varicose VeinProviderCIRCLE BATH HOSPITAL (NV302)EQ-5D Index</v>
      </c>
      <c r="C7214" t="s">
        <v>17</v>
      </c>
      <c r="D7214" t="s">
        <v>1</v>
      </c>
      <c r="E7214" t="s">
        <v>3097</v>
      </c>
      <c r="F7214" t="s">
        <v>3098</v>
      </c>
      <c r="G7214" t="s">
        <v>52</v>
      </c>
      <c r="H7214">
        <v>16</v>
      </c>
      <c r="I7214">
        <v>0.84799999999999998</v>
      </c>
      <c r="J7214">
        <v>0.88600000000000001</v>
      </c>
      <c r="K7214">
        <v>3.7999999999999999E-2</v>
      </c>
      <c r="L7214">
        <v>5</v>
      </c>
      <c r="M7214">
        <v>7</v>
      </c>
      <c r="N7214">
        <v>4</v>
      </c>
      <c r="O7214" t="s">
        <v>53</v>
      </c>
      <c r="P7214" t="s">
        <v>53</v>
      </c>
      <c r="Q7214" t="s">
        <v>53</v>
      </c>
    </row>
    <row r="7215" spans="1:17" x14ac:dyDescent="0.2">
      <c r="A7215" s="30" t="str">
        <f>IF(C7215&amp;G7215&amp;D7215&lt;&gt;'Funnel setup'!$K$3&amp;'Funnel setup'!$K$4&amp;'Funnel setup'!$K$5,".",IF(A7214=".",1,A7214+1))</f>
        <v>.</v>
      </c>
      <c r="B7215" s="431" t="str">
        <f t="shared" si="112"/>
        <v>Varicose VeinProviderCIRENCESTER NHS TREATMENT CENTRE (NTPH4)EQ-5D Index</v>
      </c>
      <c r="C7215" t="s">
        <v>17</v>
      </c>
      <c r="D7215" t="s">
        <v>1</v>
      </c>
      <c r="E7215" t="s">
        <v>3088</v>
      </c>
      <c r="F7215" t="s">
        <v>3089</v>
      </c>
      <c r="G7215" t="s">
        <v>52</v>
      </c>
      <c r="H7215">
        <v>34</v>
      </c>
      <c r="I7215">
        <v>0.82699999999999996</v>
      </c>
      <c r="J7215">
        <v>0.88100000000000001</v>
      </c>
      <c r="K7215">
        <v>5.3999999999999999E-2</v>
      </c>
      <c r="L7215">
        <v>15</v>
      </c>
      <c r="M7215">
        <v>14</v>
      </c>
      <c r="N7215">
        <v>5</v>
      </c>
      <c r="O7215">
        <v>0.82</v>
      </c>
      <c r="P7215">
        <v>7.3405549E-2</v>
      </c>
      <c r="Q7215">
        <v>0.11700000000000001</v>
      </c>
    </row>
    <row r="7216" spans="1:17" x14ac:dyDescent="0.2">
      <c r="A7216" s="30" t="str">
        <f>IF(C7216&amp;G7216&amp;D7216&lt;&gt;'Funnel setup'!$K$3&amp;'Funnel setup'!$K$4&amp;'Funnel setup'!$K$5,".",IF(A7215=".",1,A7215+1))</f>
        <v>.</v>
      </c>
      <c r="B7216" s="431" t="str">
        <f t="shared" si="112"/>
        <v>Varicose VeinProviderCITY HOSPITALS SUNDERLAND NHS FOUNDATION TRUST (RLN)EQ-5D Index</v>
      </c>
      <c r="C7216" t="s">
        <v>17</v>
      </c>
      <c r="D7216" t="s">
        <v>1</v>
      </c>
      <c r="E7216" t="s">
        <v>3100</v>
      </c>
      <c r="F7216" t="s">
        <v>3101</v>
      </c>
      <c r="G7216" t="s">
        <v>52</v>
      </c>
      <c r="H7216">
        <v>233</v>
      </c>
      <c r="I7216">
        <v>0.73599999999999999</v>
      </c>
      <c r="J7216">
        <v>0.81699999999999995</v>
      </c>
      <c r="K7216">
        <v>0.08</v>
      </c>
      <c r="L7216">
        <v>104</v>
      </c>
      <c r="M7216">
        <v>77</v>
      </c>
      <c r="N7216">
        <v>52</v>
      </c>
      <c r="O7216">
        <v>0.82599999999999996</v>
      </c>
      <c r="P7216">
        <v>7.9608342999999998E-2</v>
      </c>
      <c r="Q7216">
        <v>0.193</v>
      </c>
    </row>
    <row r="7217" spans="1:17" x14ac:dyDescent="0.2">
      <c r="A7217" s="30" t="str">
        <f>IF(C7217&amp;G7217&amp;D7217&lt;&gt;'Funnel setup'!$K$3&amp;'Funnel setup'!$K$4&amp;'Funnel setup'!$K$5,".",IF(A7216=".",1,A7216+1))</f>
        <v>.</v>
      </c>
      <c r="B7217" s="431" t="str">
        <f t="shared" si="112"/>
        <v>Varicose VeinProviderCOBALT HOSPITAL (NVC29)EQ-5D Index</v>
      </c>
      <c r="C7217" t="s">
        <v>17</v>
      </c>
      <c r="D7217" t="s">
        <v>1</v>
      </c>
      <c r="E7217" t="s">
        <v>3106</v>
      </c>
      <c r="F7217" t="s">
        <v>3107</v>
      </c>
      <c r="G7217" t="s">
        <v>52</v>
      </c>
      <c r="H7217">
        <v>22</v>
      </c>
      <c r="I7217">
        <v>0.72299999999999998</v>
      </c>
      <c r="J7217">
        <v>0.92300000000000004</v>
      </c>
      <c r="K7217">
        <v>0.2</v>
      </c>
      <c r="L7217">
        <v>14</v>
      </c>
      <c r="M7217">
        <v>7</v>
      </c>
      <c r="N7217">
        <v>1</v>
      </c>
      <c r="O7217" t="s">
        <v>53</v>
      </c>
      <c r="P7217" t="s">
        <v>53</v>
      </c>
      <c r="Q7217" t="s">
        <v>53</v>
      </c>
    </row>
    <row r="7218" spans="1:17" x14ac:dyDescent="0.2">
      <c r="A7218" s="30" t="str">
        <f>IF(C7218&amp;G7218&amp;D7218&lt;&gt;'Funnel setup'!$K$3&amp;'Funnel setup'!$K$4&amp;'Funnel setup'!$K$5,".",IF(A7217=".",1,A7217+1))</f>
        <v>.</v>
      </c>
      <c r="B7218" s="431" t="str">
        <f t="shared" si="112"/>
        <v>Varicose VeinProviderCOLCHESTER HOSPITAL UNIVERSITY NHS FOUNDATION TRUST (RDE)EQ-5D Index</v>
      </c>
      <c r="C7218" t="s">
        <v>17</v>
      </c>
      <c r="D7218" t="s">
        <v>1</v>
      </c>
      <c r="E7218" t="s">
        <v>3109</v>
      </c>
      <c r="F7218" t="s">
        <v>3110</v>
      </c>
      <c r="G7218" t="s">
        <v>52</v>
      </c>
      <c r="H7218">
        <v>14</v>
      </c>
      <c r="I7218">
        <v>0.61</v>
      </c>
      <c r="J7218">
        <v>0.70799999999999996</v>
      </c>
      <c r="K7218">
        <v>9.8000000000000004E-2</v>
      </c>
      <c r="L7218">
        <v>6</v>
      </c>
      <c r="M7218">
        <v>4</v>
      </c>
      <c r="N7218">
        <v>4</v>
      </c>
      <c r="O7218" t="s">
        <v>53</v>
      </c>
      <c r="P7218" t="s">
        <v>53</v>
      </c>
      <c r="Q7218" t="s">
        <v>53</v>
      </c>
    </row>
    <row r="7219" spans="1:17" x14ac:dyDescent="0.2">
      <c r="A7219" s="30" t="str">
        <f>IF(C7219&amp;G7219&amp;D7219&lt;&gt;'Funnel setup'!$K$3&amp;'Funnel setup'!$K$4&amp;'Funnel setup'!$K$5,".",IF(A7218=".",1,A7218+1))</f>
        <v>.</v>
      </c>
      <c r="B7219" s="431" t="str">
        <f t="shared" si="112"/>
        <v>Varicose VeinProviderCOUNTESS OF CHESTER HOSPITAL NHS FOUNDATION TRUST (RJR)EQ-5D Index</v>
      </c>
      <c r="C7219" t="s">
        <v>17</v>
      </c>
      <c r="D7219" t="s">
        <v>1</v>
      </c>
      <c r="E7219" t="s">
        <v>3781</v>
      </c>
      <c r="F7219" t="s">
        <v>3782</v>
      </c>
      <c r="G7219" t="s">
        <v>52</v>
      </c>
      <c r="H7219">
        <v>18</v>
      </c>
      <c r="I7219">
        <v>0.755</v>
      </c>
      <c r="J7219">
        <v>0.877</v>
      </c>
      <c r="K7219">
        <v>0.123</v>
      </c>
      <c r="L7219">
        <v>9</v>
      </c>
      <c r="M7219">
        <v>6</v>
      </c>
      <c r="N7219">
        <v>3</v>
      </c>
      <c r="O7219" t="s">
        <v>53</v>
      </c>
      <c r="P7219" t="s">
        <v>53</v>
      </c>
      <c r="Q7219" t="s">
        <v>53</v>
      </c>
    </row>
    <row r="7220" spans="1:17" x14ac:dyDescent="0.2">
      <c r="A7220" s="30" t="str">
        <f>IF(C7220&amp;G7220&amp;D7220&lt;&gt;'Funnel setup'!$K$3&amp;'Funnel setup'!$K$4&amp;'Funnel setup'!$K$5,".",IF(A7219=".",1,A7219+1))</f>
        <v>.</v>
      </c>
      <c r="B7220" s="431" t="str">
        <f t="shared" si="112"/>
        <v>Varicose VeinProviderCOUNTY DURHAM AND DARLINGTON NHS FOUNDATION TRUST (RXP)EQ-5D Index</v>
      </c>
      <c r="C7220" t="s">
        <v>17</v>
      </c>
      <c r="D7220" t="s">
        <v>1</v>
      </c>
      <c r="E7220" t="s">
        <v>3784</v>
      </c>
      <c r="F7220" t="s">
        <v>3785</v>
      </c>
      <c r="G7220" t="s">
        <v>52</v>
      </c>
      <c r="H7220">
        <v>13</v>
      </c>
      <c r="I7220">
        <v>0.72699999999999998</v>
      </c>
      <c r="J7220">
        <v>0.88700000000000001</v>
      </c>
      <c r="K7220">
        <v>0.16</v>
      </c>
      <c r="L7220">
        <v>9</v>
      </c>
      <c r="M7220">
        <v>3</v>
      </c>
      <c r="N7220">
        <v>1</v>
      </c>
      <c r="O7220" t="s">
        <v>53</v>
      </c>
      <c r="P7220" t="s">
        <v>53</v>
      </c>
      <c r="Q7220" t="s">
        <v>53</v>
      </c>
    </row>
    <row r="7221" spans="1:17" x14ac:dyDescent="0.2">
      <c r="A7221" s="30" t="str">
        <f>IF(C7221&amp;G7221&amp;D7221&lt;&gt;'Funnel setup'!$K$3&amp;'Funnel setup'!$K$4&amp;'Funnel setup'!$K$5,".",IF(A7220=".",1,A7220+1))</f>
        <v>.</v>
      </c>
      <c r="B7221" s="431" t="str">
        <f t="shared" si="112"/>
        <v>Varicose VeinProviderDARTFORD AND GRAVESHAM NHS TRUST (RN7)EQ-5D Index</v>
      </c>
      <c r="C7221" t="s">
        <v>17</v>
      </c>
      <c r="D7221" t="s">
        <v>1</v>
      </c>
      <c r="E7221" t="s">
        <v>3787</v>
      </c>
      <c r="F7221" t="s">
        <v>3788</v>
      </c>
      <c r="G7221" t="s">
        <v>52</v>
      </c>
      <c r="H7221" t="s">
        <v>53</v>
      </c>
      <c r="I7221" t="s">
        <v>53</v>
      </c>
      <c r="J7221" t="s">
        <v>53</v>
      </c>
      <c r="K7221" t="s">
        <v>53</v>
      </c>
      <c r="L7221" t="s">
        <v>53</v>
      </c>
      <c r="M7221" t="s">
        <v>53</v>
      </c>
      <c r="N7221" t="s">
        <v>53</v>
      </c>
      <c r="O7221" t="s">
        <v>53</v>
      </c>
      <c r="P7221" t="s">
        <v>53</v>
      </c>
      <c r="Q7221" t="s">
        <v>53</v>
      </c>
    </row>
    <row r="7222" spans="1:17" x14ac:dyDescent="0.2">
      <c r="A7222" s="30" t="str">
        <f>IF(C7222&amp;G7222&amp;D7222&lt;&gt;'Funnel setup'!$K$3&amp;'Funnel setup'!$K$4&amp;'Funnel setup'!$K$5,".",IF(A7221=".",1,A7221+1))</f>
        <v>.</v>
      </c>
      <c r="B7222" s="431" t="str">
        <f t="shared" si="112"/>
        <v>Varicose VeinProviderDERBY TEACHING HOSPITALS NHS FOUNDATION TRUST (RTG)EQ-5D Index</v>
      </c>
      <c r="C7222" t="s">
        <v>17</v>
      </c>
      <c r="D7222" t="s">
        <v>1</v>
      </c>
      <c r="E7222" t="s">
        <v>3790</v>
      </c>
      <c r="F7222" t="s">
        <v>3791</v>
      </c>
      <c r="G7222" t="s">
        <v>52</v>
      </c>
      <c r="H7222">
        <v>20</v>
      </c>
      <c r="I7222">
        <v>0.80500000000000005</v>
      </c>
      <c r="J7222">
        <v>0.84599999999999997</v>
      </c>
      <c r="K7222">
        <v>4.1000000000000002E-2</v>
      </c>
      <c r="L7222">
        <v>8</v>
      </c>
      <c r="M7222">
        <v>8</v>
      </c>
      <c r="N7222">
        <v>4</v>
      </c>
      <c r="O7222" t="s">
        <v>53</v>
      </c>
      <c r="P7222" t="s">
        <v>53</v>
      </c>
      <c r="Q7222" t="s">
        <v>53</v>
      </c>
    </row>
    <row r="7223" spans="1:17" x14ac:dyDescent="0.2">
      <c r="A7223" s="30" t="str">
        <f>IF(C7223&amp;G7223&amp;D7223&lt;&gt;'Funnel setup'!$K$3&amp;'Funnel setup'!$K$4&amp;'Funnel setup'!$K$5,".",IF(A7222=".",1,A7222+1))</f>
        <v>.</v>
      </c>
      <c r="B7223" s="431" t="str">
        <f t="shared" si="112"/>
        <v>Varicose VeinProviderDEVIZES NHS TREATMENT CENTRE (NTPH3)EQ-5D Index</v>
      </c>
      <c r="C7223" t="s">
        <v>17</v>
      </c>
      <c r="D7223" t="s">
        <v>1</v>
      </c>
      <c r="E7223" t="s">
        <v>3796</v>
      </c>
      <c r="F7223" t="s">
        <v>3797</v>
      </c>
      <c r="G7223" t="s">
        <v>52</v>
      </c>
      <c r="H7223">
        <v>16</v>
      </c>
      <c r="I7223">
        <v>0.72699999999999998</v>
      </c>
      <c r="J7223">
        <v>0.9</v>
      </c>
      <c r="K7223">
        <v>0.17199999999999999</v>
      </c>
      <c r="L7223">
        <v>11</v>
      </c>
      <c r="M7223">
        <v>3</v>
      </c>
      <c r="N7223">
        <v>2</v>
      </c>
      <c r="O7223" t="s">
        <v>53</v>
      </c>
      <c r="P7223" t="s">
        <v>53</v>
      </c>
      <c r="Q7223" t="s">
        <v>53</v>
      </c>
    </row>
    <row r="7224" spans="1:17" x14ac:dyDescent="0.2">
      <c r="A7224" s="30" t="str">
        <f>IF(C7224&amp;G7224&amp;D7224&lt;&gt;'Funnel setup'!$K$3&amp;'Funnel setup'!$K$4&amp;'Funnel setup'!$K$5,".",IF(A7223=".",1,A7223+1))</f>
        <v>.</v>
      </c>
      <c r="B7224" s="431" t="str">
        <f t="shared" si="112"/>
        <v>Varicose VeinProviderDONCASTER AND BASSETLAW HOSPITALS NHS FOUNDATION TRUST (RP5)EQ-5D Index</v>
      </c>
      <c r="C7224" t="s">
        <v>17</v>
      </c>
      <c r="D7224" t="s">
        <v>1</v>
      </c>
      <c r="E7224" t="s">
        <v>3799</v>
      </c>
      <c r="F7224" t="s">
        <v>3800</v>
      </c>
      <c r="G7224" t="s">
        <v>52</v>
      </c>
      <c r="H7224">
        <v>31</v>
      </c>
      <c r="I7224">
        <v>0.73199999999999998</v>
      </c>
      <c r="J7224">
        <v>0.85</v>
      </c>
      <c r="K7224">
        <v>0.11899999999999999</v>
      </c>
      <c r="L7224">
        <v>17</v>
      </c>
      <c r="M7224">
        <v>10</v>
      </c>
      <c r="N7224">
        <v>4</v>
      </c>
      <c r="O7224">
        <v>0.84099999999999997</v>
      </c>
      <c r="P7224">
        <v>9.4710595999999994E-2</v>
      </c>
      <c r="Q7224">
        <v>0.14599999999999999</v>
      </c>
    </row>
    <row r="7225" spans="1:17" x14ac:dyDescent="0.2">
      <c r="A7225" s="30" t="str">
        <f>IF(C7225&amp;G7225&amp;D7225&lt;&gt;'Funnel setup'!$K$3&amp;'Funnel setup'!$K$4&amp;'Funnel setup'!$K$5,".",IF(A7224=".",1,A7224+1))</f>
        <v>.</v>
      </c>
      <c r="B7225" s="431" t="str">
        <f t="shared" si="112"/>
        <v>Varicose VeinProviderDORSET COUNTY HOSPITAL NHS FOUNDATION TRUST (RBD)EQ-5D Index</v>
      </c>
      <c r="C7225" t="s">
        <v>17</v>
      </c>
      <c r="D7225" t="s">
        <v>1</v>
      </c>
      <c r="E7225" t="s">
        <v>3802</v>
      </c>
      <c r="F7225" t="s">
        <v>3803</v>
      </c>
      <c r="G7225" t="s">
        <v>52</v>
      </c>
      <c r="H7225">
        <v>38</v>
      </c>
      <c r="I7225">
        <v>0.66800000000000004</v>
      </c>
      <c r="J7225">
        <v>0.77200000000000002</v>
      </c>
      <c r="K7225">
        <v>0.105</v>
      </c>
      <c r="L7225">
        <v>19</v>
      </c>
      <c r="M7225">
        <v>7</v>
      </c>
      <c r="N7225">
        <v>12</v>
      </c>
      <c r="O7225">
        <v>0.84599999999999997</v>
      </c>
      <c r="P7225">
        <v>9.9216421999999999E-2</v>
      </c>
      <c r="Q7225">
        <v>0.24199999999999999</v>
      </c>
    </row>
    <row r="7226" spans="1:17" x14ac:dyDescent="0.2">
      <c r="A7226" s="30" t="str">
        <f>IF(C7226&amp;G7226&amp;D7226&lt;&gt;'Funnel setup'!$K$3&amp;'Funnel setup'!$K$4&amp;'Funnel setup'!$K$5,".",IF(A7225=".",1,A7225+1))</f>
        <v>.</v>
      </c>
      <c r="B7226" s="431" t="str">
        <f t="shared" si="112"/>
        <v>Varicose VeinProviderEAST AND NORTH HERTFORDSHIRE NHS TRUST (RWH)EQ-5D Index</v>
      </c>
      <c r="C7226" t="s">
        <v>17</v>
      </c>
      <c r="D7226" t="s">
        <v>1</v>
      </c>
      <c r="E7226" t="s">
        <v>3814</v>
      </c>
      <c r="F7226" t="s">
        <v>3815</v>
      </c>
      <c r="G7226" t="s">
        <v>52</v>
      </c>
      <c r="H7226">
        <v>21</v>
      </c>
      <c r="I7226">
        <v>0.69299999999999995</v>
      </c>
      <c r="J7226">
        <v>0.86799999999999999</v>
      </c>
      <c r="K7226">
        <v>0.17399999999999999</v>
      </c>
      <c r="L7226">
        <v>16</v>
      </c>
      <c r="M7226">
        <v>3</v>
      </c>
      <c r="N7226">
        <v>2</v>
      </c>
      <c r="O7226" t="s">
        <v>53</v>
      </c>
      <c r="P7226" t="s">
        <v>53</v>
      </c>
      <c r="Q7226" t="s">
        <v>53</v>
      </c>
    </row>
    <row r="7227" spans="1:17" x14ac:dyDescent="0.2">
      <c r="A7227" s="30" t="str">
        <f>IF(C7227&amp;G7227&amp;D7227&lt;&gt;'Funnel setup'!$K$3&amp;'Funnel setup'!$K$4&amp;'Funnel setup'!$K$5,".",IF(A7226=".",1,A7226+1))</f>
        <v>.</v>
      </c>
      <c r="B7227" s="431" t="str">
        <f t="shared" si="112"/>
        <v>Varicose VeinProviderEAST CHESHIRE NHS TRUST (RJN)EQ-5D Index</v>
      </c>
      <c r="C7227" t="s">
        <v>17</v>
      </c>
      <c r="D7227" t="s">
        <v>1</v>
      </c>
      <c r="E7227" t="s">
        <v>3817</v>
      </c>
      <c r="F7227" t="s">
        <v>3818</v>
      </c>
      <c r="G7227" t="s">
        <v>52</v>
      </c>
      <c r="H7227" t="s">
        <v>53</v>
      </c>
      <c r="I7227" t="s">
        <v>53</v>
      </c>
      <c r="J7227" t="s">
        <v>53</v>
      </c>
      <c r="K7227" t="s">
        <v>53</v>
      </c>
      <c r="L7227" t="s">
        <v>53</v>
      </c>
      <c r="M7227" t="s">
        <v>53</v>
      </c>
      <c r="N7227" t="s">
        <v>53</v>
      </c>
      <c r="O7227" t="s">
        <v>53</v>
      </c>
      <c r="P7227" t="s">
        <v>53</v>
      </c>
      <c r="Q7227" t="s">
        <v>53</v>
      </c>
    </row>
    <row r="7228" spans="1:17" x14ac:dyDescent="0.2">
      <c r="A7228" s="30" t="str">
        <f>IF(C7228&amp;G7228&amp;D7228&lt;&gt;'Funnel setup'!$K$3&amp;'Funnel setup'!$K$4&amp;'Funnel setup'!$K$5,".",IF(A7227=".",1,A7227+1))</f>
        <v>.</v>
      </c>
      <c r="B7228" s="431" t="str">
        <f t="shared" si="112"/>
        <v>Varicose VeinProviderEAST KENT HOSPITALS UNIVERSITY NHS FOUNDATION TRUST (RVV)EQ-5D Index</v>
      </c>
      <c r="C7228" t="s">
        <v>17</v>
      </c>
      <c r="D7228" t="s">
        <v>1</v>
      </c>
      <c r="E7228" t="s">
        <v>3820</v>
      </c>
      <c r="F7228" t="s">
        <v>3821</v>
      </c>
      <c r="G7228" t="s">
        <v>52</v>
      </c>
      <c r="H7228" t="s">
        <v>53</v>
      </c>
      <c r="I7228" t="s">
        <v>53</v>
      </c>
      <c r="J7228" t="s">
        <v>53</v>
      </c>
      <c r="K7228" t="s">
        <v>53</v>
      </c>
      <c r="L7228" t="s">
        <v>53</v>
      </c>
      <c r="M7228" t="s">
        <v>53</v>
      </c>
      <c r="N7228" t="s">
        <v>53</v>
      </c>
      <c r="O7228" t="s">
        <v>53</v>
      </c>
      <c r="P7228" t="s">
        <v>53</v>
      </c>
      <c r="Q7228" t="s">
        <v>53</v>
      </c>
    </row>
    <row r="7229" spans="1:17" x14ac:dyDescent="0.2">
      <c r="A7229" s="30" t="str">
        <f>IF(C7229&amp;G7229&amp;D7229&lt;&gt;'Funnel setup'!$K$3&amp;'Funnel setup'!$K$4&amp;'Funnel setup'!$K$5,".",IF(A7228=".",1,A7228+1))</f>
        <v>.</v>
      </c>
      <c r="B7229" s="431" t="str">
        <f t="shared" si="112"/>
        <v>Varicose VeinProviderEAST LANCASHIRE HOSPITALS NHS TRUST (RXR)EQ-5D Index</v>
      </c>
      <c r="C7229" t="s">
        <v>17</v>
      </c>
      <c r="D7229" t="s">
        <v>1</v>
      </c>
      <c r="E7229" t="s">
        <v>3823</v>
      </c>
      <c r="F7229" t="s">
        <v>3824</v>
      </c>
      <c r="G7229" t="s">
        <v>52</v>
      </c>
      <c r="H7229">
        <v>110</v>
      </c>
      <c r="I7229">
        <v>0.76700000000000002</v>
      </c>
      <c r="J7229">
        <v>0.83499999999999996</v>
      </c>
      <c r="K7229">
        <v>6.8000000000000005E-2</v>
      </c>
      <c r="L7229">
        <v>54</v>
      </c>
      <c r="M7229">
        <v>36</v>
      </c>
      <c r="N7229">
        <v>20</v>
      </c>
      <c r="O7229">
        <v>0.82599999999999996</v>
      </c>
      <c r="P7229">
        <v>7.9001466000000006E-2</v>
      </c>
      <c r="Q7229">
        <v>0.16600000000000001</v>
      </c>
    </row>
    <row r="7230" spans="1:17" x14ac:dyDescent="0.2">
      <c r="A7230" s="30" t="str">
        <f>IF(C7230&amp;G7230&amp;D7230&lt;&gt;'Funnel setup'!$K$3&amp;'Funnel setup'!$K$4&amp;'Funnel setup'!$K$5,".",IF(A7229=".",1,A7229+1))</f>
        <v>.</v>
      </c>
      <c r="B7230" s="431" t="str">
        <f t="shared" si="112"/>
        <v>Varicose VeinProviderEAST SUSSEX HEALTHCARE NHS TRUST (RXC)EQ-5D Index</v>
      </c>
      <c r="C7230" t="s">
        <v>17</v>
      </c>
      <c r="D7230" t="s">
        <v>1</v>
      </c>
      <c r="E7230" t="s">
        <v>3826</v>
      </c>
      <c r="F7230" t="s">
        <v>3827</v>
      </c>
      <c r="G7230" t="s">
        <v>52</v>
      </c>
      <c r="H7230">
        <v>8</v>
      </c>
      <c r="I7230">
        <v>0.74199999999999999</v>
      </c>
      <c r="J7230">
        <v>0.83499999999999996</v>
      </c>
      <c r="K7230">
        <v>9.2999999999999999E-2</v>
      </c>
      <c r="L7230">
        <v>4</v>
      </c>
      <c r="M7230">
        <v>3</v>
      </c>
      <c r="N7230">
        <v>1</v>
      </c>
      <c r="O7230" t="s">
        <v>53</v>
      </c>
      <c r="P7230" t="s">
        <v>53</v>
      </c>
      <c r="Q7230" t="s">
        <v>53</v>
      </c>
    </row>
    <row r="7231" spans="1:17" x14ac:dyDescent="0.2">
      <c r="A7231" s="30" t="str">
        <f>IF(C7231&amp;G7231&amp;D7231&lt;&gt;'Funnel setup'!$K$3&amp;'Funnel setup'!$K$4&amp;'Funnel setup'!$K$5,".",IF(A7230=".",1,A7230+1))</f>
        <v>.</v>
      </c>
      <c r="B7231" s="431" t="str">
        <f t="shared" si="112"/>
        <v>Varicose VeinProviderEMERSONS GREEN NHS TREATMENT CENTRE (NTPH2)EQ-5D Index</v>
      </c>
      <c r="C7231" t="s">
        <v>17</v>
      </c>
      <c r="D7231" t="s">
        <v>1</v>
      </c>
      <c r="E7231" t="s">
        <v>3829</v>
      </c>
      <c r="F7231" t="s">
        <v>3830</v>
      </c>
      <c r="G7231" t="s">
        <v>52</v>
      </c>
      <c r="H7231">
        <v>63</v>
      </c>
      <c r="I7231">
        <v>0.82</v>
      </c>
      <c r="J7231">
        <v>0.93700000000000006</v>
      </c>
      <c r="K7231">
        <v>0.11700000000000001</v>
      </c>
      <c r="L7231">
        <v>33</v>
      </c>
      <c r="M7231">
        <v>27</v>
      </c>
      <c r="N7231">
        <v>3</v>
      </c>
      <c r="O7231">
        <v>0.878</v>
      </c>
      <c r="P7231">
        <v>0.13131234999999999</v>
      </c>
      <c r="Q7231">
        <v>0.10199999999999999</v>
      </c>
    </row>
    <row r="7232" spans="1:17" x14ac:dyDescent="0.2">
      <c r="A7232" s="30" t="str">
        <f>IF(C7232&amp;G7232&amp;D7232&lt;&gt;'Funnel setup'!$K$3&amp;'Funnel setup'!$K$4&amp;'Funnel setup'!$K$5,".",IF(A7231=".",1,A7231+1))</f>
        <v>.</v>
      </c>
      <c r="B7232" s="431" t="str">
        <f t="shared" si="112"/>
        <v>Varicose VeinProviderEPSOM AND ST HELIER UNIVERSITY HOSPITALS NHS TRUST (RVR)EQ-5D Index</v>
      </c>
      <c r="C7232" t="s">
        <v>17</v>
      </c>
      <c r="D7232" t="s">
        <v>1</v>
      </c>
      <c r="E7232" t="s">
        <v>3849</v>
      </c>
      <c r="F7232" t="s">
        <v>3850</v>
      </c>
      <c r="G7232" t="s">
        <v>52</v>
      </c>
      <c r="H7232">
        <v>30</v>
      </c>
      <c r="I7232">
        <v>0.749</v>
      </c>
      <c r="J7232">
        <v>0.876</v>
      </c>
      <c r="K7232">
        <v>0.127</v>
      </c>
      <c r="L7232">
        <v>16</v>
      </c>
      <c r="M7232">
        <v>11</v>
      </c>
      <c r="N7232">
        <v>3</v>
      </c>
      <c r="O7232">
        <v>0.84299999999999997</v>
      </c>
      <c r="P7232">
        <v>9.6090970999999997E-2</v>
      </c>
      <c r="Q7232">
        <v>0.13900000000000001</v>
      </c>
    </row>
    <row r="7233" spans="1:17" x14ac:dyDescent="0.2">
      <c r="A7233" s="30" t="str">
        <f>IF(C7233&amp;G7233&amp;D7233&lt;&gt;'Funnel setup'!$K$3&amp;'Funnel setup'!$K$4&amp;'Funnel setup'!$K$5,".",IF(A7232=".",1,A7232+1))</f>
        <v>.</v>
      </c>
      <c r="B7233" s="431" t="str">
        <f t="shared" si="112"/>
        <v>Varicose VeinProviderEUXTON HALL HOSPITAL (NVC05)EQ-5D Index</v>
      </c>
      <c r="C7233" t="s">
        <v>17</v>
      </c>
      <c r="D7233" t="s">
        <v>1</v>
      </c>
      <c r="E7233" t="s">
        <v>3852</v>
      </c>
      <c r="F7233" t="s">
        <v>3853</v>
      </c>
      <c r="G7233" t="s">
        <v>52</v>
      </c>
      <c r="H7233" t="s">
        <v>53</v>
      </c>
      <c r="I7233" t="s">
        <v>53</v>
      </c>
      <c r="J7233" t="s">
        <v>53</v>
      </c>
      <c r="K7233" t="s">
        <v>53</v>
      </c>
      <c r="L7233" t="s">
        <v>53</v>
      </c>
      <c r="M7233" t="s">
        <v>53</v>
      </c>
      <c r="N7233" t="s">
        <v>53</v>
      </c>
      <c r="O7233" t="s">
        <v>53</v>
      </c>
      <c r="P7233" t="s">
        <v>53</v>
      </c>
      <c r="Q7233" t="s">
        <v>53</v>
      </c>
    </row>
    <row r="7234" spans="1:17" x14ac:dyDescent="0.2">
      <c r="A7234" s="30" t="str">
        <f>IF(C7234&amp;G7234&amp;D7234&lt;&gt;'Funnel setup'!$K$3&amp;'Funnel setup'!$K$4&amp;'Funnel setup'!$K$5,".",IF(A7233=".",1,A7233+1))</f>
        <v>.</v>
      </c>
      <c r="B7234" s="431" t="str">
        <f t="shared" si="112"/>
        <v>Varicose VeinProviderFAIRFIELD HOSPITAL (NVG01)EQ-5D Index</v>
      </c>
      <c r="C7234" t="s">
        <v>17</v>
      </c>
      <c r="D7234" t="s">
        <v>1</v>
      </c>
      <c r="E7234" t="s">
        <v>3855</v>
      </c>
      <c r="F7234" t="s">
        <v>3856</v>
      </c>
      <c r="G7234" t="s">
        <v>52</v>
      </c>
      <c r="H7234" t="s">
        <v>53</v>
      </c>
      <c r="I7234" t="s">
        <v>53</v>
      </c>
      <c r="J7234" t="s">
        <v>53</v>
      </c>
      <c r="K7234" t="s">
        <v>53</v>
      </c>
      <c r="L7234" t="s">
        <v>53</v>
      </c>
      <c r="M7234" t="s">
        <v>53</v>
      </c>
      <c r="N7234" t="s">
        <v>53</v>
      </c>
      <c r="O7234" t="s">
        <v>53</v>
      </c>
      <c r="P7234" t="s">
        <v>53</v>
      </c>
      <c r="Q7234" t="s">
        <v>53</v>
      </c>
    </row>
    <row r="7235" spans="1:17" x14ac:dyDescent="0.2">
      <c r="A7235" s="30" t="str">
        <f>IF(C7235&amp;G7235&amp;D7235&lt;&gt;'Funnel setup'!$K$3&amp;'Funnel setup'!$K$4&amp;'Funnel setup'!$K$5,".",IF(A7234=".",1,A7234+1))</f>
        <v>.</v>
      </c>
      <c r="B7235" s="431" t="str">
        <f t="shared" ref="B7235:B7298" si="113">C7235&amp;D7235&amp;F7235&amp;G7235</f>
        <v>Varicose VeinProviderFRIMLEY HEALTH NHS FOUNDATION TRUST (RDU)EQ-5D Index</v>
      </c>
      <c r="C7235" t="s">
        <v>17</v>
      </c>
      <c r="D7235" t="s">
        <v>1</v>
      </c>
      <c r="E7235" t="s">
        <v>3861</v>
      </c>
      <c r="F7235" t="s">
        <v>3862</v>
      </c>
      <c r="G7235" t="s">
        <v>52</v>
      </c>
      <c r="H7235">
        <v>27</v>
      </c>
      <c r="I7235">
        <v>0.79300000000000004</v>
      </c>
      <c r="J7235">
        <v>0.91800000000000004</v>
      </c>
      <c r="K7235">
        <v>0.125</v>
      </c>
      <c r="L7235">
        <v>17</v>
      </c>
      <c r="M7235">
        <v>5</v>
      </c>
      <c r="N7235">
        <v>5</v>
      </c>
      <c r="O7235" t="s">
        <v>53</v>
      </c>
      <c r="P7235" t="s">
        <v>53</v>
      </c>
      <c r="Q7235" t="s">
        <v>53</v>
      </c>
    </row>
    <row r="7236" spans="1:17" x14ac:dyDescent="0.2">
      <c r="A7236" s="30" t="str">
        <f>IF(C7236&amp;G7236&amp;D7236&lt;&gt;'Funnel setup'!$K$3&amp;'Funnel setup'!$K$4&amp;'Funnel setup'!$K$5,".",IF(A7235=".",1,A7235+1))</f>
        <v>.</v>
      </c>
      <c r="B7236" s="431" t="str">
        <f t="shared" si="113"/>
        <v>Varicose VeinProviderFULWOOD HALL HOSPITAL (NVC07)EQ-5D Index</v>
      </c>
      <c r="C7236" t="s">
        <v>17</v>
      </c>
      <c r="D7236" t="s">
        <v>1</v>
      </c>
      <c r="E7236" t="s">
        <v>3864</v>
      </c>
      <c r="F7236" t="s">
        <v>3865</v>
      </c>
      <c r="G7236" t="s">
        <v>52</v>
      </c>
      <c r="H7236">
        <v>51</v>
      </c>
      <c r="I7236">
        <v>0.81100000000000005</v>
      </c>
      <c r="J7236">
        <v>0.89</v>
      </c>
      <c r="K7236">
        <v>7.9000000000000001E-2</v>
      </c>
      <c r="L7236">
        <v>25</v>
      </c>
      <c r="M7236">
        <v>18</v>
      </c>
      <c r="N7236">
        <v>8</v>
      </c>
      <c r="O7236">
        <v>0.84399999999999997</v>
      </c>
      <c r="P7236">
        <v>9.7182763000000005E-2</v>
      </c>
      <c r="Q7236">
        <v>0.124</v>
      </c>
    </row>
    <row r="7237" spans="1:17" x14ac:dyDescent="0.2">
      <c r="A7237" s="30" t="str">
        <f>IF(C7237&amp;G7237&amp;D7237&lt;&gt;'Funnel setup'!$K$3&amp;'Funnel setup'!$K$4&amp;'Funnel setup'!$K$5,".",IF(A7236=".",1,A7236+1))</f>
        <v>.</v>
      </c>
      <c r="B7237" s="431" t="str">
        <f t="shared" si="113"/>
        <v>Varicose VeinProviderGATESHEAD HEALTH NHS FOUNDATION TRUST (RR7)EQ-5D Index</v>
      </c>
      <c r="C7237" t="s">
        <v>17</v>
      </c>
      <c r="D7237" t="s">
        <v>1</v>
      </c>
      <c r="E7237" t="s">
        <v>3867</v>
      </c>
      <c r="F7237" t="s">
        <v>3868</v>
      </c>
      <c r="G7237" t="s">
        <v>52</v>
      </c>
      <c r="H7237">
        <v>70</v>
      </c>
      <c r="I7237">
        <v>0.752</v>
      </c>
      <c r="J7237">
        <v>0.82599999999999996</v>
      </c>
      <c r="K7237">
        <v>7.3999999999999996E-2</v>
      </c>
      <c r="L7237">
        <v>34</v>
      </c>
      <c r="M7237">
        <v>22</v>
      </c>
      <c r="N7237">
        <v>14</v>
      </c>
      <c r="O7237">
        <v>0.81299999999999994</v>
      </c>
      <c r="P7237">
        <v>6.6536168000000007E-2</v>
      </c>
      <c r="Q7237">
        <v>0.19700000000000001</v>
      </c>
    </row>
    <row r="7238" spans="1:17" x14ac:dyDescent="0.2">
      <c r="A7238" s="30" t="str">
        <f>IF(C7238&amp;G7238&amp;D7238&lt;&gt;'Funnel setup'!$K$3&amp;'Funnel setup'!$K$4&amp;'Funnel setup'!$K$5,".",IF(A7237=".",1,A7237+1))</f>
        <v>.</v>
      </c>
      <c r="B7238" s="431" t="str">
        <f t="shared" si="113"/>
        <v>Varicose VeinProviderGEORGE ELIOT HOSPITAL NHS TRUST (RLT)EQ-5D Index</v>
      </c>
      <c r="C7238" t="s">
        <v>17</v>
      </c>
      <c r="D7238" t="s">
        <v>1</v>
      </c>
      <c r="E7238" t="s">
        <v>3870</v>
      </c>
      <c r="F7238" t="s">
        <v>3871</v>
      </c>
      <c r="G7238" t="s">
        <v>52</v>
      </c>
      <c r="H7238" t="s">
        <v>53</v>
      </c>
      <c r="I7238" t="s">
        <v>53</v>
      </c>
      <c r="J7238" t="s">
        <v>53</v>
      </c>
      <c r="K7238" t="s">
        <v>53</v>
      </c>
      <c r="L7238" t="s">
        <v>53</v>
      </c>
      <c r="M7238" t="s">
        <v>53</v>
      </c>
      <c r="N7238" t="s">
        <v>53</v>
      </c>
      <c r="O7238" t="s">
        <v>53</v>
      </c>
      <c r="P7238" t="s">
        <v>53</v>
      </c>
      <c r="Q7238" t="s">
        <v>53</v>
      </c>
    </row>
    <row r="7239" spans="1:17" x14ac:dyDescent="0.2">
      <c r="A7239" s="30" t="str">
        <f>IF(C7239&amp;G7239&amp;D7239&lt;&gt;'Funnel setup'!$K$3&amp;'Funnel setup'!$K$4&amp;'Funnel setup'!$K$5,".",IF(A7238=".",1,A7238+1))</f>
        <v>.</v>
      </c>
      <c r="B7239" s="431" t="str">
        <f t="shared" si="113"/>
        <v>Varicose VeinProviderGLOUCESTERSHIRE HOSPITALS NHS FOUNDATION TRUST (RTE)EQ-5D Index</v>
      </c>
      <c r="C7239" t="s">
        <v>17</v>
      </c>
      <c r="D7239" t="s">
        <v>1</v>
      </c>
      <c r="E7239" t="s">
        <v>3873</v>
      </c>
      <c r="F7239" t="s">
        <v>3874</v>
      </c>
      <c r="G7239" t="s">
        <v>52</v>
      </c>
      <c r="H7239">
        <v>45</v>
      </c>
      <c r="I7239">
        <v>0.80300000000000005</v>
      </c>
      <c r="J7239">
        <v>0.93899999999999995</v>
      </c>
      <c r="K7239">
        <v>0.13600000000000001</v>
      </c>
      <c r="L7239">
        <v>31</v>
      </c>
      <c r="M7239">
        <v>13</v>
      </c>
      <c r="N7239">
        <v>1</v>
      </c>
      <c r="O7239">
        <v>0.879</v>
      </c>
      <c r="P7239">
        <v>0.13186527000000001</v>
      </c>
      <c r="Q7239">
        <v>9.4E-2</v>
      </c>
    </row>
    <row r="7240" spans="1:17" x14ac:dyDescent="0.2">
      <c r="A7240" s="30" t="str">
        <f>IF(C7240&amp;G7240&amp;D7240&lt;&gt;'Funnel setup'!$K$3&amp;'Funnel setup'!$K$4&amp;'Funnel setup'!$K$5,".",IF(A7239=".",1,A7239+1))</f>
        <v>.</v>
      </c>
      <c r="B7240" s="431" t="str">
        <f t="shared" si="113"/>
        <v>Varicose VeinProviderGREAT WESTERN HOSPITALS NHS FOUNDATION TRUST (RN3)EQ-5D Index</v>
      </c>
      <c r="C7240" t="s">
        <v>17</v>
      </c>
      <c r="D7240" t="s">
        <v>1</v>
      </c>
      <c r="E7240" t="s">
        <v>3876</v>
      </c>
      <c r="F7240" t="s">
        <v>3877</v>
      </c>
      <c r="G7240" t="s">
        <v>52</v>
      </c>
      <c r="H7240">
        <v>22</v>
      </c>
      <c r="I7240">
        <v>0.56599999999999995</v>
      </c>
      <c r="J7240">
        <v>0.81499999999999995</v>
      </c>
      <c r="K7240">
        <v>0.249</v>
      </c>
      <c r="L7240">
        <v>14</v>
      </c>
      <c r="M7240">
        <v>8</v>
      </c>
      <c r="N7240">
        <v>0</v>
      </c>
      <c r="O7240" t="s">
        <v>53</v>
      </c>
      <c r="P7240" t="s">
        <v>53</v>
      </c>
      <c r="Q7240" t="s">
        <v>53</v>
      </c>
    </row>
    <row r="7241" spans="1:17" x14ac:dyDescent="0.2">
      <c r="A7241" s="30" t="str">
        <f>IF(C7241&amp;G7241&amp;D7241&lt;&gt;'Funnel setup'!$K$3&amp;'Funnel setup'!$K$4&amp;'Funnel setup'!$K$5,".",IF(A7240=".",1,A7240+1))</f>
        <v>.</v>
      </c>
      <c r="B7241" s="431" t="str">
        <f t="shared" si="113"/>
        <v>Varicose VeinProviderGUY'S AND ST THOMAS' NHS FOUNDATION TRUST (RJ1)EQ-5D Index</v>
      </c>
      <c r="C7241" t="s">
        <v>17</v>
      </c>
      <c r="D7241" t="s">
        <v>1</v>
      </c>
      <c r="E7241" t="s">
        <v>3879</v>
      </c>
      <c r="F7241" t="s">
        <v>3880</v>
      </c>
      <c r="G7241" t="s">
        <v>52</v>
      </c>
      <c r="H7241">
        <v>72</v>
      </c>
      <c r="I7241">
        <v>0.70199999999999996</v>
      </c>
      <c r="J7241">
        <v>0.76500000000000001</v>
      </c>
      <c r="K7241">
        <v>6.3E-2</v>
      </c>
      <c r="L7241">
        <v>32</v>
      </c>
      <c r="M7241">
        <v>23</v>
      </c>
      <c r="N7241">
        <v>17</v>
      </c>
      <c r="O7241">
        <v>0.8</v>
      </c>
      <c r="P7241">
        <v>5.2762781000000002E-2</v>
      </c>
      <c r="Q7241">
        <v>0.17599999999999999</v>
      </c>
    </row>
    <row r="7242" spans="1:17" x14ac:dyDescent="0.2">
      <c r="A7242" s="30" t="str">
        <f>IF(C7242&amp;G7242&amp;D7242&lt;&gt;'Funnel setup'!$K$3&amp;'Funnel setup'!$K$4&amp;'Funnel setup'!$K$5,".",IF(A7241=".",1,A7241+1))</f>
        <v>.</v>
      </c>
      <c r="B7242" s="431" t="str">
        <f t="shared" si="113"/>
        <v>Varicose VeinProviderHAMPSHIRE HOSPITALS NHS FOUNDATION TRUST (RN5)EQ-5D Index</v>
      </c>
      <c r="C7242" t="s">
        <v>17</v>
      </c>
      <c r="D7242" t="s">
        <v>1</v>
      </c>
      <c r="E7242" t="s">
        <v>3882</v>
      </c>
      <c r="F7242" t="s">
        <v>3883</v>
      </c>
      <c r="G7242" t="s">
        <v>52</v>
      </c>
      <c r="H7242" t="s">
        <v>53</v>
      </c>
      <c r="I7242" t="s">
        <v>53</v>
      </c>
      <c r="J7242" t="s">
        <v>53</v>
      </c>
      <c r="K7242" t="s">
        <v>53</v>
      </c>
      <c r="L7242" t="s">
        <v>53</v>
      </c>
      <c r="M7242" t="s">
        <v>53</v>
      </c>
      <c r="N7242" t="s">
        <v>53</v>
      </c>
      <c r="O7242" t="s">
        <v>53</v>
      </c>
      <c r="P7242" t="s">
        <v>53</v>
      </c>
      <c r="Q7242" t="s">
        <v>53</v>
      </c>
    </row>
    <row r="7243" spans="1:17" x14ac:dyDescent="0.2">
      <c r="A7243" s="30" t="str">
        <f>IF(C7243&amp;G7243&amp;D7243&lt;&gt;'Funnel setup'!$K$3&amp;'Funnel setup'!$K$4&amp;'Funnel setup'!$K$5,".",IF(A7242=".",1,A7242+1))</f>
        <v>.</v>
      </c>
      <c r="B7243" s="431" t="str">
        <f t="shared" si="113"/>
        <v>Varicose VeinProviderHARROGATE AND DISTRICT NHS FOUNDATION TRUST (RCD)EQ-5D Index</v>
      </c>
      <c r="C7243" t="s">
        <v>17</v>
      </c>
      <c r="D7243" t="s">
        <v>1</v>
      </c>
      <c r="E7243" t="s">
        <v>3885</v>
      </c>
      <c r="F7243" t="s">
        <v>3886</v>
      </c>
      <c r="G7243" t="s">
        <v>52</v>
      </c>
      <c r="H7243" t="s">
        <v>53</v>
      </c>
      <c r="I7243" t="s">
        <v>53</v>
      </c>
      <c r="J7243" t="s">
        <v>53</v>
      </c>
      <c r="K7243" t="s">
        <v>53</v>
      </c>
      <c r="L7243" t="s">
        <v>53</v>
      </c>
      <c r="M7243" t="s">
        <v>53</v>
      </c>
      <c r="N7243" t="s">
        <v>53</v>
      </c>
      <c r="O7243" t="s">
        <v>53</v>
      </c>
      <c r="P7243" t="s">
        <v>53</v>
      </c>
      <c r="Q7243" t="s">
        <v>53</v>
      </c>
    </row>
    <row r="7244" spans="1:17" x14ac:dyDescent="0.2">
      <c r="A7244" s="30" t="str">
        <f>IF(C7244&amp;G7244&amp;D7244&lt;&gt;'Funnel setup'!$K$3&amp;'Funnel setup'!$K$4&amp;'Funnel setup'!$K$5,".",IF(A7243=".",1,A7243+1))</f>
        <v>.</v>
      </c>
      <c r="B7244" s="431" t="str">
        <f t="shared" si="113"/>
        <v>Varicose VeinProviderHEART OF ENGLAND NHS FOUNDATION TRUST (RR1)EQ-5D Index</v>
      </c>
      <c r="C7244" t="s">
        <v>17</v>
      </c>
      <c r="D7244" t="s">
        <v>1</v>
      </c>
      <c r="E7244" t="s">
        <v>3888</v>
      </c>
      <c r="F7244" t="s">
        <v>3889</v>
      </c>
      <c r="G7244" t="s">
        <v>52</v>
      </c>
      <c r="H7244">
        <v>149</v>
      </c>
      <c r="I7244">
        <v>0.72</v>
      </c>
      <c r="J7244">
        <v>0.85399999999999998</v>
      </c>
      <c r="K7244">
        <v>0.13500000000000001</v>
      </c>
      <c r="L7244">
        <v>88</v>
      </c>
      <c r="M7244">
        <v>44</v>
      </c>
      <c r="N7244">
        <v>17</v>
      </c>
      <c r="O7244">
        <v>0.86699999999999999</v>
      </c>
      <c r="P7244">
        <v>0.120131053</v>
      </c>
      <c r="Q7244">
        <v>0.16800000000000001</v>
      </c>
    </row>
    <row r="7245" spans="1:17" x14ac:dyDescent="0.2">
      <c r="A7245" s="30" t="str">
        <f>IF(C7245&amp;G7245&amp;D7245&lt;&gt;'Funnel setup'!$K$3&amp;'Funnel setup'!$K$4&amp;'Funnel setup'!$K$5,".",IF(A7244=".",1,A7244+1))</f>
        <v>.</v>
      </c>
      <c r="B7245" s="431" t="str">
        <f t="shared" si="113"/>
        <v>Varicose VeinProviderHINCHINGBROOKE HEALTH CARE NHS TRUST (RQQ)EQ-5D Index</v>
      </c>
      <c r="C7245" t="s">
        <v>17</v>
      </c>
      <c r="D7245" t="s">
        <v>1</v>
      </c>
      <c r="E7245" t="s">
        <v>3894</v>
      </c>
      <c r="F7245" t="s">
        <v>3895</v>
      </c>
      <c r="G7245" t="s">
        <v>52</v>
      </c>
      <c r="H7245" t="s">
        <v>53</v>
      </c>
      <c r="I7245" t="s">
        <v>53</v>
      </c>
      <c r="J7245" t="s">
        <v>53</v>
      </c>
      <c r="K7245" t="s">
        <v>53</v>
      </c>
      <c r="L7245" t="s">
        <v>53</v>
      </c>
      <c r="M7245" t="s">
        <v>53</v>
      </c>
      <c r="N7245" t="s">
        <v>53</v>
      </c>
      <c r="O7245" t="s">
        <v>53</v>
      </c>
      <c r="P7245" t="s">
        <v>53</v>
      </c>
      <c r="Q7245" t="s">
        <v>53</v>
      </c>
    </row>
    <row r="7246" spans="1:17" x14ac:dyDescent="0.2">
      <c r="A7246" s="30" t="str">
        <f>IF(C7246&amp;G7246&amp;D7246&lt;&gt;'Funnel setup'!$K$3&amp;'Funnel setup'!$K$4&amp;'Funnel setup'!$K$5,".",IF(A7245=".",1,A7245+1))</f>
        <v>.</v>
      </c>
      <c r="B7246" s="431" t="str">
        <f t="shared" si="113"/>
        <v>Varicose VeinProviderHULL AND EAST YORKSHIRE HOSPITALS NHS TRUST (RWA)EQ-5D Index</v>
      </c>
      <c r="C7246" t="s">
        <v>17</v>
      </c>
      <c r="D7246" t="s">
        <v>1</v>
      </c>
      <c r="E7246" t="s">
        <v>3906</v>
      </c>
      <c r="F7246" t="s">
        <v>3907</v>
      </c>
      <c r="G7246" t="s">
        <v>52</v>
      </c>
      <c r="H7246">
        <v>100</v>
      </c>
      <c r="I7246">
        <v>0.77800000000000002</v>
      </c>
      <c r="J7246">
        <v>0.89</v>
      </c>
      <c r="K7246">
        <v>0.112</v>
      </c>
      <c r="L7246">
        <v>64</v>
      </c>
      <c r="M7246">
        <v>25</v>
      </c>
      <c r="N7246">
        <v>11</v>
      </c>
      <c r="O7246">
        <v>0.86399999999999999</v>
      </c>
      <c r="P7246">
        <v>0.116771945</v>
      </c>
      <c r="Q7246">
        <v>0.182</v>
      </c>
    </row>
    <row r="7247" spans="1:17" x14ac:dyDescent="0.2">
      <c r="A7247" s="30" t="str">
        <f>IF(C7247&amp;G7247&amp;D7247&lt;&gt;'Funnel setup'!$K$3&amp;'Funnel setup'!$K$4&amp;'Funnel setup'!$K$5,".",IF(A7246=".",1,A7246+1))</f>
        <v>.</v>
      </c>
      <c r="B7247" s="431" t="str">
        <f t="shared" si="113"/>
        <v>Varicose VeinProviderIMPERIAL COLLEGE HEALTHCARE NHS TRUST (RYJ)EQ-5D Index</v>
      </c>
      <c r="C7247" t="s">
        <v>17</v>
      </c>
      <c r="D7247" t="s">
        <v>1</v>
      </c>
      <c r="E7247" t="s">
        <v>4558</v>
      </c>
      <c r="F7247" t="s">
        <v>4559</v>
      </c>
      <c r="G7247" t="s">
        <v>52</v>
      </c>
      <c r="H7247">
        <v>174</v>
      </c>
      <c r="I7247">
        <v>0.73299999999999998</v>
      </c>
      <c r="J7247">
        <v>0.78</v>
      </c>
      <c r="K7247">
        <v>4.7E-2</v>
      </c>
      <c r="L7247">
        <v>81</v>
      </c>
      <c r="M7247">
        <v>48</v>
      </c>
      <c r="N7247">
        <v>45</v>
      </c>
      <c r="O7247">
        <v>0.79400000000000004</v>
      </c>
      <c r="P7247">
        <v>4.6758518999999998E-2</v>
      </c>
      <c r="Q7247">
        <v>0.193</v>
      </c>
    </row>
    <row r="7248" spans="1:17" x14ac:dyDescent="0.2">
      <c r="A7248" s="30" t="str">
        <f>IF(C7248&amp;G7248&amp;D7248&lt;&gt;'Funnel setup'!$K$3&amp;'Funnel setup'!$K$4&amp;'Funnel setup'!$K$5,".",IF(A7247=".",1,A7247+1))</f>
        <v>.</v>
      </c>
      <c r="B7248" s="431" t="str">
        <f t="shared" si="113"/>
        <v>Varicose VeinProviderIPSWICH HOSPITAL NHS TRUST (RGQ)EQ-5D Index</v>
      </c>
      <c r="C7248" t="s">
        <v>17</v>
      </c>
      <c r="D7248" t="s">
        <v>1</v>
      </c>
      <c r="E7248" t="s">
        <v>3909</v>
      </c>
      <c r="F7248" t="s">
        <v>3910</v>
      </c>
      <c r="G7248" t="s">
        <v>52</v>
      </c>
      <c r="H7248">
        <v>100</v>
      </c>
      <c r="I7248">
        <v>0.748</v>
      </c>
      <c r="J7248">
        <v>0.84099999999999997</v>
      </c>
      <c r="K7248">
        <v>9.2999999999999999E-2</v>
      </c>
      <c r="L7248">
        <v>54</v>
      </c>
      <c r="M7248">
        <v>29</v>
      </c>
      <c r="N7248">
        <v>17</v>
      </c>
      <c r="O7248">
        <v>0.83199999999999996</v>
      </c>
      <c r="P7248">
        <v>8.5592114999999996E-2</v>
      </c>
      <c r="Q7248">
        <v>0.17399999999999999</v>
      </c>
    </row>
    <row r="7249" spans="1:17" x14ac:dyDescent="0.2">
      <c r="A7249" s="30" t="str">
        <f>IF(C7249&amp;G7249&amp;D7249&lt;&gt;'Funnel setup'!$K$3&amp;'Funnel setup'!$K$4&amp;'Funnel setup'!$K$5,".",IF(A7248=".",1,A7248+1))</f>
        <v>.</v>
      </c>
      <c r="B7249" s="431" t="str">
        <f t="shared" si="113"/>
        <v>Varicose VeinProviderJAMES PAGET UNIVERSITY HOSPITALS NHS FOUNDATION TRUST (RGP)EQ-5D Index</v>
      </c>
      <c r="C7249" t="s">
        <v>17</v>
      </c>
      <c r="D7249" t="s">
        <v>1</v>
      </c>
      <c r="E7249" t="s">
        <v>3915</v>
      </c>
      <c r="F7249" t="s">
        <v>3916</v>
      </c>
      <c r="G7249" t="s">
        <v>52</v>
      </c>
      <c r="H7249">
        <v>26</v>
      </c>
      <c r="I7249">
        <v>0.80500000000000005</v>
      </c>
      <c r="J7249">
        <v>0.89800000000000002</v>
      </c>
      <c r="K7249">
        <v>9.2999999999999999E-2</v>
      </c>
      <c r="L7249">
        <v>13</v>
      </c>
      <c r="M7249">
        <v>9</v>
      </c>
      <c r="N7249">
        <v>4</v>
      </c>
      <c r="O7249" t="s">
        <v>53</v>
      </c>
      <c r="P7249" t="s">
        <v>53</v>
      </c>
      <c r="Q7249" t="s">
        <v>53</v>
      </c>
    </row>
    <row r="7250" spans="1:17" x14ac:dyDescent="0.2">
      <c r="A7250" s="30" t="str">
        <f>IF(C7250&amp;G7250&amp;D7250&lt;&gt;'Funnel setup'!$K$3&amp;'Funnel setup'!$K$4&amp;'Funnel setup'!$K$5,".",IF(A7249=".",1,A7249+1))</f>
        <v>.</v>
      </c>
      <c r="B7250" s="431" t="str">
        <f t="shared" si="113"/>
        <v>Varicose VeinProviderKETTERING GENERAL HOSPITAL NHS FOUNDATION TRUST (RNQ)EQ-5D Index</v>
      </c>
      <c r="C7250" t="s">
        <v>17</v>
      </c>
      <c r="D7250" t="s">
        <v>1</v>
      </c>
      <c r="E7250" t="s">
        <v>3918</v>
      </c>
      <c r="F7250" t="s">
        <v>3919</v>
      </c>
      <c r="G7250" t="s">
        <v>52</v>
      </c>
      <c r="H7250" t="s">
        <v>53</v>
      </c>
      <c r="I7250" t="s">
        <v>53</v>
      </c>
      <c r="J7250" t="s">
        <v>53</v>
      </c>
      <c r="K7250" t="s">
        <v>53</v>
      </c>
      <c r="L7250" t="s">
        <v>53</v>
      </c>
      <c r="M7250" t="s">
        <v>53</v>
      </c>
      <c r="N7250" t="s">
        <v>53</v>
      </c>
      <c r="O7250" t="s">
        <v>53</v>
      </c>
      <c r="P7250" t="s">
        <v>53</v>
      </c>
      <c r="Q7250" t="s">
        <v>53</v>
      </c>
    </row>
    <row r="7251" spans="1:17" x14ac:dyDescent="0.2">
      <c r="A7251" s="30" t="str">
        <f>IF(C7251&amp;G7251&amp;D7251&lt;&gt;'Funnel setup'!$K$3&amp;'Funnel setup'!$K$4&amp;'Funnel setup'!$K$5,".",IF(A7250=".",1,A7250+1))</f>
        <v>.</v>
      </c>
      <c r="B7251" s="431" t="str">
        <f t="shared" si="113"/>
        <v>Varicose VeinProviderKING'S COLLEGE HOSPITAL NHS FOUNDATION TRUST (RJZ)EQ-5D Index</v>
      </c>
      <c r="C7251" t="s">
        <v>17</v>
      </c>
      <c r="D7251" t="s">
        <v>1</v>
      </c>
      <c r="E7251" t="s">
        <v>3924</v>
      </c>
      <c r="F7251" t="s">
        <v>3925</v>
      </c>
      <c r="G7251" t="s">
        <v>52</v>
      </c>
      <c r="H7251">
        <v>19</v>
      </c>
      <c r="I7251">
        <v>0.82199999999999995</v>
      </c>
      <c r="J7251">
        <v>0.85699999999999998</v>
      </c>
      <c r="K7251">
        <v>3.5000000000000003E-2</v>
      </c>
      <c r="L7251">
        <v>6</v>
      </c>
      <c r="M7251">
        <v>11</v>
      </c>
      <c r="N7251">
        <v>2</v>
      </c>
      <c r="O7251" t="s">
        <v>53</v>
      </c>
      <c r="P7251" t="s">
        <v>53</v>
      </c>
      <c r="Q7251" t="s">
        <v>53</v>
      </c>
    </row>
    <row r="7252" spans="1:17" x14ac:dyDescent="0.2">
      <c r="A7252" s="30" t="str">
        <f>IF(C7252&amp;G7252&amp;D7252&lt;&gt;'Funnel setup'!$K$3&amp;'Funnel setup'!$K$4&amp;'Funnel setup'!$K$5,".",IF(A7251=".",1,A7251+1))</f>
        <v>.</v>
      </c>
      <c r="B7252" s="431" t="str">
        <f t="shared" si="113"/>
        <v>Varicose VeinProviderLANCASHIRE TEACHING HOSPITALS NHS FOUNDATION TRUST (RXN)EQ-5D Index</v>
      </c>
      <c r="C7252" t="s">
        <v>17</v>
      </c>
      <c r="D7252" t="s">
        <v>1</v>
      </c>
      <c r="E7252" t="s">
        <v>3567</v>
      </c>
      <c r="F7252" t="s">
        <v>3568</v>
      </c>
      <c r="G7252" t="s">
        <v>52</v>
      </c>
      <c r="H7252">
        <v>11</v>
      </c>
      <c r="I7252">
        <v>0.82899999999999996</v>
      </c>
      <c r="J7252">
        <v>0.88600000000000001</v>
      </c>
      <c r="K7252">
        <v>5.7000000000000002E-2</v>
      </c>
      <c r="L7252">
        <v>4</v>
      </c>
      <c r="M7252">
        <v>6</v>
      </c>
      <c r="N7252">
        <v>1</v>
      </c>
      <c r="O7252" t="s">
        <v>53</v>
      </c>
      <c r="P7252" t="s">
        <v>53</v>
      </c>
      <c r="Q7252" t="s">
        <v>53</v>
      </c>
    </row>
    <row r="7253" spans="1:17" x14ac:dyDescent="0.2">
      <c r="A7253" s="30" t="str">
        <f>IF(C7253&amp;G7253&amp;D7253&lt;&gt;'Funnel setup'!$K$3&amp;'Funnel setup'!$K$4&amp;'Funnel setup'!$K$5,".",IF(A7252=".",1,A7252+1))</f>
        <v>.</v>
      </c>
      <c r="B7253" s="431" t="str">
        <f t="shared" si="113"/>
        <v>Varicose VeinProviderLEEDS TEACHING HOSPITALS NHS TRUST (RR8)EQ-5D Index</v>
      </c>
      <c r="C7253" t="s">
        <v>17</v>
      </c>
      <c r="D7253" t="s">
        <v>1</v>
      </c>
      <c r="E7253" t="s">
        <v>3930</v>
      </c>
      <c r="F7253" t="s">
        <v>344</v>
      </c>
      <c r="G7253" t="s">
        <v>52</v>
      </c>
      <c r="H7253">
        <v>224</v>
      </c>
      <c r="I7253">
        <v>0.77900000000000003</v>
      </c>
      <c r="J7253">
        <v>0.86</v>
      </c>
      <c r="K7253">
        <v>8.1000000000000003E-2</v>
      </c>
      <c r="L7253">
        <v>117</v>
      </c>
      <c r="M7253">
        <v>68</v>
      </c>
      <c r="N7253">
        <v>39</v>
      </c>
      <c r="O7253">
        <v>0.84</v>
      </c>
      <c r="P7253">
        <v>9.3130487999999997E-2</v>
      </c>
      <c r="Q7253">
        <v>0.16700000000000001</v>
      </c>
    </row>
    <row r="7254" spans="1:17" x14ac:dyDescent="0.2">
      <c r="A7254" s="30" t="str">
        <f>IF(C7254&amp;G7254&amp;D7254&lt;&gt;'Funnel setup'!$K$3&amp;'Funnel setup'!$K$4&amp;'Funnel setup'!$K$5,".",IF(A7253=".",1,A7253+1))</f>
        <v>.</v>
      </c>
      <c r="B7254" s="431" t="str">
        <f t="shared" si="113"/>
        <v>Varicose VeinProviderLEWISHAM AND GREENWICH NHS TRUST (RJ2)EQ-5D Index</v>
      </c>
      <c r="C7254" t="s">
        <v>17</v>
      </c>
      <c r="D7254" t="s">
        <v>1</v>
      </c>
      <c r="E7254" t="s">
        <v>3522</v>
      </c>
      <c r="F7254" t="s">
        <v>3523</v>
      </c>
      <c r="G7254" t="s">
        <v>52</v>
      </c>
      <c r="H7254">
        <v>89</v>
      </c>
      <c r="I7254">
        <v>0.72799999999999998</v>
      </c>
      <c r="J7254">
        <v>0.80300000000000005</v>
      </c>
      <c r="K7254">
        <v>7.3999999999999996E-2</v>
      </c>
      <c r="L7254">
        <v>45</v>
      </c>
      <c r="M7254">
        <v>29</v>
      </c>
      <c r="N7254">
        <v>15</v>
      </c>
      <c r="O7254">
        <v>0.82899999999999996</v>
      </c>
      <c r="P7254">
        <v>8.2359740000000001E-2</v>
      </c>
      <c r="Q7254">
        <v>0.184</v>
      </c>
    </row>
    <row r="7255" spans="1:17" x14ac:dyDescent="0.2">
      <c r="A7255" s="30" t="str">
        <f>IF(C7255&amp;G7255&amp;D7255&lt;&gt;'Funnel setup'!$K$3&amp;'Funnel setup'!$K$4&amp;'Funnel setup'!$K$5,".",IF(A7254=".",1,A7254+1))</f>
        <v>.</v>
      </c>
      <c r="B7255" s="431" t="str">
        <f t="shared" si="113"/>
        <v>Varicose VeinProviderLONDON NORTH WEST HEALTHCARE NHS TRUST (R1K)EQ-5D Index</v>
      </c>
      <c r="C7255" t="s">
        <v>17</v>
      </c>
      <c r="D7255" t="s">
        <v>1</v>
      </c>
      <c r="E7255" t="s">
        <v>6515</v>
      </c>
      <c r="F7255" t="s">
        <v>6516</v>
      </c>
      <c r="G7255" t="s">
        <v>52</v>
      </c>
      <c r="H7255">
        <v>42</v>
      </c>
      <c r="I7255">
        <v>0.66600000000000004</v>
      </c>
      <c r="J7255">
        <v>0.74199999999999999</v>
      </c>
      <c r="K7255">
        <v>7.5999999999999998E-2</v>
      </c>
      <c r="L7255">
        <v>20</v>
      </c>
      <c r="M7255">
        <v>15</v>
      </c>
      <c r="N7255">
        <v>7</v>
      </c>
      <c r="O7255">
        <v>0.80800000000000005</v>
      </c>
      <c r="P7255">
        <v>6.1741677000000002E-2</v>
      </c>
      <c r="Q7255">
        <v>0.218</v>
      </c>
    </row>
    <row r="7256" spans="1:17" x14ac:dyDescent="0.2">
      <c r="A7256" s="30" t="str">
        <f>IF(C7256&amp;G7256&amp;D7256&lt;&gt;'Funnel setup'!$K$3&amp;'Funnel setup'!$K$4&amp;'Funnel setup'!$K$5,".",IF(A7255=".",1,A7255+1))</f>
        <v>.</v>
      </c>
      <c r="B7256" s="431" t="str">
        <f t="shared" si="113"/>
        <v>Varicose VeinProviderLUTON AND DUNSTABLE UNIVERSITY HOSPITAL NHS FOUNDATION TRUST (RC9)EQ-5D Index</v>
      </c>
      <c r="C7256" t="s">
        <v>17</v>
      </c>
      <c r="D7256" t="s">
        <v>1</v>
      </c>
      <c r="E7256" t="s">
        <v>3528</v>
      </c>
      <c r="F7256" t="s">
        <v>3529</v>
      </c>
      <c r="G7256" t="s">
        <v>52</v>
      </c>
      <c r="H7256">
        <v>12</v>
      </c>
      <c r="I7256">
        <v>0.59199999999999997</v>
      </c>
      <c r="J7256">
        <v>0.82</v>
      </c>
      <c r="K7256">
        <v>0.22800000000000001</v>
      </c>
      <c r="L7256">
        <v>9</v>
      </c>
      <c r="M7256">
        <v>2</v>
      </c>
      <c r="N7256">
        <v>1</v>
      </c>
      <c r="O7256" t="s">
        <v>53</v>
      </c>
      <c r="P7256" t="s">
        <v>53</v>
      </c>
      <c r="Q7256" t="s">
        <v>53</v>
      </c>
    </row>
    <row r="7257" spans="1:17" x14ac:dyDescent="0.2">
      <c r="A7257" s="30" t="str">
        <f>IF(C7257&amp;G7257&amp;D7257&lt;&gt;'Funnel setup'!$K$3&amp;'Funnel setup'!$K$4&amp;'Funnel setup'!$K$5,".",IF(A7256=".",1,A7256+1))</f>
        <v>.</v>
      </c>
      <c r="B7257" s="431" t="str">
        <f t="shared" si="113"/>
        <v>Varicose VeinProviderMAIDSTONE AND TUNBRIDGE WELLS NHS TRUST (RWF)EQ-5D Index</v>
      </c>
      <c r="C7257" t="s">
        <v>17</v>
      </c>
      <c r="D7257" t="s">
        <v>1</v>
      </c>
      <c r="E7257" t="s">
        <v>3627</v>
      </c>
      <c r="F7257" t="s">
        <v>3628</v>
      </c>
      <c r="G7257" t="s">
        <v>52</v>
      </c>
      <c r="H7257">
        <v>7</v>
      </c>
      <c r="I7257">
        <v>0.70299999999999996</v>
      </c>
      <c r="J7257">
        <v>0.82</v>
      </c>
      <c r="K7257">
        <v>0.11799999999999999</v>
      </c>
      <c r="L7257">
        <v>4</v>
      </c>
      <c r="M7257">
        <v>2</v>
      </c>
      <c r="N7257">
        <v>1</v>
      </c>
      <c r="O7257" t="s">
        <v>53</v>
      </c>
      <c r="P7257" t="s">
        <v>53</v>
      </c>
      <c r="Q7257" t="s">
        <v>53</v>
      </c>
    </row>
    <row r="7258" spans="1:17" x14ac:dyDescent="0.2">
      <c r="A7258" s="30" t="str">
        <f>IF(C7258&amp;G7258&amp;D7258&lt;&gt;'Funnel setup'!$K$3&amp;'Funnel setup'!$K$4&amp;'Funnel setup'!$K$5,".",IF(A7257=".",1,A7257+1))</f>
        <v>.</v>
      </c>
      <c r="B7258" s="431" t="str">
        <f t="shared" si="113"/>
        <v>Varicose VeinProviderMEDWAY NHS FOUNDATION TRUST (RPA)EQ-5D Index</v>
      </c>
      <c r="C7258" t="s">
        <v>17</v>
      </c>
      <c r="D7258" t="s">
        <v>1</v>
      </c>
      <c r="E7258" t="s">
        <v>3630</v>
      </c>
      <c r="F7258" t="s">
        <v>3631</v>
      </c>
      <c r="G7258" t="s">
        <v>52</v>
      </c>
      <c r="H7258">
        <v>6</v>
      </c>
      <c r="I7258">
        <v>0.89800000000000002</v>
      </c>
      <c r="J7258">
        <v>0.92100000000000004</v>
      </c>
      <c r="K7258">
        <v>2.1999999999999999E-2</v>
      </c>
      <c r="L7258">
        <v>1</v>
      </c>
      <c r="M7258">
        <v>4</v>
      </c>
      <c r="N7258">
        <v>1</v>
      </c>
      <c r="O7258" t="s">
        <v>53</v>
      </c>
      <c r="P7258" t="s">
        <v>53</v>
      </c>
      <c r="Q7258" t="s">
        <v>53</v>
      </c>
    </row>
    <row r="7259" spans="1:17" x14ac:dyDescent="0.2">
      <c r="A7259" s="30" t="str">
        <f>IF(C7259&amp;G7259&amp;D7259&lt;&gt;'Funnel setup'!$K$3&amp;'Funnel setup'!$K$4&amp;'Funnel setup'!$K$5,".",IF(A7258=".",1,A7258+1))</f>
        <v>.</v>
      </c>
      <c r="B7259" s="431" t="str">
        <f t="shared" si="113"/>
        <v>Varicose VeinProviderMID CHESHIRE HOSPITALS NHS FOUNDATION TRUST (RBT)EQ-5D Index</v>
      </c>
      <c r="C7259" t="s">
        <v>17</v>
      </c>
      <c r="D7259" t="s">
        <v>1</v>
      </c>
      <c r="E7259" t="s">
        <v>3633</v>
      </c>
      <c r="F7259" t="s">
        <v>342</v>
      </c>
      <c r="G7259" t="s">
        <v>52</v>
      </c>
      <c r="H7259">
        <v>11</v>
      </c>
      <c r="I7259">
        <v>0.71299999999999997</v>
      </c>
      <c r="J7259">
        <v>0.93400000000000005</v>
      </c>
      <c r="K7259">
        <v>0.221</v>
      </c>
      <c r="L7259">
        <v>7</v>
      </c>
      <c r="M7259">
        <v>3</v>
      </c>
      <c r="N7259">
        <v>1</v>
      </c>
      <c r="O7259" t="s">
        <v>53</v>
      </c>
      <c r="P7259" t="s">
        <v>53</v>
      </c>
      <c r="Q7259" t="s">
        <v>53</v>
      </c>
    </row>
    <row r="7260" spans="1:17" x14ac:dyDescent="0.2">
      <c r="A7260" s="30" t="str">
        <f>IF(C7260&amp;G7260&amp;D7260&lt;&gt;'Funnel setup'!$K$3&amp;'Funnel setup'!$K$4&amp;'Funnel setup'!$K$5,".",IF(A7259=".",1,A7259+1))</f>
        <v>.</v>
      </c>
      <c r="B7260" s="431" t="str">
        <f t="shared" si="113"/>
        <v>Varicose VeinProviderMID ESSEX HOSPITAL SERVICES NHS TRUST (RQ8)EQ-5D Index</v>
      </c>
      <c r="C7260" t="s">
        <v>17</v>
      </c>
      <c r="D7260" t="s">
        <v>1</v>
      </c>
      <c r="E7260" t="s">
        <v>3635</v>
      </c>
      <c r="F7260" t="s">
        <v>3636</v>
      </c>
      <c r="G7260" t="s">
        <v>52</v>
      </c>
      <c r="H7260">
        <v>28</v>
      </c>
      <c r="I7260">
        <v>0.76200000000000001</v>
      </c>
      <c r="J7260">
        <v>0.81799999999999995</v>
      </c>
      <c r="K7260">
        <v>5.6000000000000001E-2</v>
      </c>
      <c r="L7260">
        <v>16</v>
      </c>
      <c r="M7260">
        <v>6</v>
      </c>
      <c r="N7260">
        <v>6</v>
      </c>
      <c r="O7260" t="s">
        <v>53</v>
      </c>
      <c r="P7260" t="s">
        <v>53</v>
      </c>
      <c r="Q7260" t="s">
        <v>53</v>
      </c>
    </row>
    <row r="7261" spans="1:17" x14ac:dyDescent="0.2">
      <c r="A7261" s="30" t="str">
        <f>IF(C7261&amp;G7261&amp;D7261&lt;&gt;'Funnel setup'!$K$3&amp;'Funnel setup'!$K$4&amp;'Funnel setup'!$K$5,".",IF(A7260=".",1,A7260+1))</f>
        <v>.</v>
      </c>
      <c r="B7261" s="431" t="str">
        <f t="shared" si="113"/>
        <v>Varicose VeinProviderMID STAFFORDSHIRE NHS FOUNDATION TRUST (RJD)EQ-5D Index</v>
      </c>
      <c r="C7261" t="s">
        <v>17</v>
      </c>
      <c r="D7261" t="s">
        <v>1</v>
      </c>
      <c r="E7261" t="s">
        <v>3638</v>
      </c>
      <c r="F7261" t="s">
        <v>3639</v>
      </c>
      <c r="G7261" t="s">
        <v>52</v>
      </c>
      <c r="H7261" t="s">
        <v>53</v>
      </c>
      <c r="I7261" t="s">
        <v>53</v>
      </c>
      <c r="J7261" t="s">
        <v>53</v>
      </c>
      <c r="K7261" t="s">
        <v>53</v>
      </c>
      <c r="L7261" t="s">
        <v>53</v>
      </c>
      <c r="M7261" t="s">
        <v>53</v>
      </c>
      <c r="N7261" t="s">
        <v>53</v>
      </c>
      <c r="O7261" t="s">
        <v>53</v>
      </c>
      <c r="P7261" t="s">
        <v>53</v>
      </c>
      <c r="Q7261" t="s">
        <v>53</v>
      </c>
    </row>
    <row r="7262" spans="1:17" x14ac:dyDescent="0.2">
      <c r="A7262" s="30" t="str">
        <f>IF(C7262&amp;G7262&amp;D7262&lt;&gt;'Funnel setup'!$K$3&amp;'Funnel setup'!$K$4&amp;'Funnel setup'!$K$5,".",IF(A7261=".",1,A7261+1))</f>
        <v>.</v>
      </c>
      <c r="B7262" s="431" t="str">
        <f t="shared" si="113"/>
        <v>Varicose VeinProviderMID YORKSHIRE HOSPITALS NHS TRUST (RXF)EQ-5D Index</v>
      </c>
      <c r="C7262" t="s">
        <v>17</v>
      </c>
      <c r="D7262" t="s">
        <v>1</v>
      </c>
      <c r="E7262" t="s">
        <v>3641</v>
      </c>
      <c r="F7262" t="s">
        <v>3642</v>
      </c>
      <c r="G7262" t="s">
        <v>52</v>
      </c>
      <c r="H7262">
        <v>74</v>
      </c>
      <c r="I7262">
        <v>0.748</v>
      </c>
      <c r="J7262">
        <v>0.86399999999999999</v>
      </c>
      <c r="K7262">
        <v>0.11600000000000001</v>
      </c>
      <c r="L7262">
        <v>39</v>
      </c>
      <c r="M7262">
        <v>21</v>
      </c>
      <c r="N7262">
        <v>14</v>
      </c>
      <c r="O7262">
        <v>0.86699999999999999</v>
      </c>
      <c r="P7262">
        <v>0.120399768</v>
      </c>
      <c r="Q7262">
        <v>0.17399999999999999</v>
      </c>
    </row>
    <row r="7263" spans="1:17" x14ac:dyDescent="0.2">
      <c r="A7263" s="30" t="str">
        <f>IF(C7263&amp;G7263&amp;D7263&lt;&gt;'Funnel setup'!$K$3&amp;'Funnel setup'!$K$4&amp;'Funnel setup'!$K$5,".",IF(A7262=".",1,A7262+1))</f>
        <v>.</v>
      </c>
      <c r="B7263" s="431" t="str">
        <f t="shared" si="113"/>
        <v>Varicose VeinProviderMILTON KEYNES UNIVERSITY HOSPITAL NHS FOUNDATION TRUST (RD8)EQ-5D Index</v>
      </c>
      <c r="C7263" t="s">
        <v>17</v>
      </c>
      <c r="D7263" t="s">
        <v>1</v>
      </c>
      <c r="E7263" t="s">
        <v>3643</v>
      </c>
      <c r="F7263" t="s">
        <v>6580</v>
      </c>
      <c r="G7263" t="s">
        <v>52</v>
      </c>
      <c r="H7263">
        <v>20</v>
      </c>
      <c r="I7263">
        <v>0.71399999999999997</v>
      </c>
      <c r="J7263">
        <v>0.81299999999999994</v>
      </c>
      <c r="K7263">
        <v>0.1</v>
      </c>
      <c r="L7263">
        <v>8</v>
      </c>
      <c r="M7263">
        <v>6</v>
      </c>
      <c r="N7263">
        <v>6</v>
      </c>
      <c r="O7263" t="s">
        <v>53</v>
      </c>
      <c r="P7263" t="s">
        <v>53</v>
      </c>
      <c r="Q7263" t="s">
        <v>53</v>
      </c>
    </row>
    <row r="7264" spans="1:17" x14ac:dyDescent="0.2">
      <c r="A7264" s="30" t="str">
        <f>IF(C7264&amp;G7264&amp;D7264&lt;&gt;'Funnel setup'!$K$3&amp;'Funnel setup'!$K$4&amp;'Funnel setup'!$K$5,".",IF(A7263=".",1,A7263+1))</f>
        <v>.</v>
      </c>
      <c r="B7264" s="431" t="str">
        <f t="shared" si="113"/>
        <v>Varicose VeinProviderNORFOLK AND NORWICH UNIVERSITY HOSPITALS NHS FOUNDATION TRUST (RM1)EQ-5D Index</v>
      </c>
      <c r="C7264" t="s">
        <v>17</v>
      </c>
      <c r="D7264" t="s">
        <v>1</v>
      </c>
      <c r="E7264" t="s">
        <v>3651</v>
      </c>
      <c r="F7264" t="s">
        <v>3652</v>
      </c>
      <c r="G7264" t="s">
        <v>52</v>
      </c>
      <c r="H7264">
        <v>160</v>
      </c>
      <c r="I7264">
        <v>0.79200000000000004</v>
      </c>
      <c r="J7264">
        <v>0.90600000000000003</v>
      </c>
      <c r="K7264">
        <v>0.113</v>
      </c>
      <c r="L7264">
        <v>90</v>
      </c>
      <c r="M7264">
        <v>60</v>
      </c>
      <c r="N7264">
        <v>10</v>
      </c>
      <c r="O7264">
        <v>0.86899999999999999</v>
      </c>
      <c r="P7264">
        <v>0.122717612</v>
      </c>
      <c r="Q7264">
        <v>0.13600000000000001</v>
      </c>
    </row>
    <row r="7265" spans="1:17" x14ac:dyDescent="0.2">
      <c r="A7265" s="30" t="str">
        <f>IF(C7265&amp;G7265&amp;D7265&lt;&gt;'Funnel setup'!$K$3&amp;'Funnel setup'!$K$4&amp;'Funnel setup'!$K$5,".",IF(A7264=".",1,A7264+1))</f>
        <v>.</v>
      </c>
      <c r="B7265" s="431" t="str">
        <f t="shared" si="113"/>
        <v>Varicose VeinProviderNORTH CUMBRIA UNIVERSITY HOSPITALS NHS TRUST (RNL)EQ-5D Index</v>
      </c>
      <c r="C7265" t="s">
        <v>17</v>
      </c>
      <c r="D7265" t="s">
        <v>1</v>
      </c>
      <c r="E7265" t="s">
        <v>3657</v>
      </c>
      <c r="F7265" t="s">
        <v>3658</v>
      </c>
      <c r="G7265" t="s">
        <v>52</v>
      </c>
      <c r="H7265">
        <v>34</v>
      </c>
      <c r="I7265">
        <v>0.77</v>
      </c>
      <c r="J7265">
        <v>0.875</v>
      </c>
      <c r="K7265">
        <v>0.105</v>
      </c>
      <c r="L7265">
        <v>20</v>
      </c>
      <c r="M7265">
        <v>9</v>
      </c>
      <c r="N7265">
        <v>5</v>
      </c>
      <c r="O7265">
        <v>0.84199999999999997</v>
      </c>
      <c r="P7265">
        <v>9.5077457000000004E-2</v>
      </c>
      <c r="Q7265">
        <v>0.159</v>
      </c>
    </row>
    <row r="7266" spans="1:17" x14ac:dyDescent="0.2">
      <c r="A7266" s="30" t="str">
        <f>IF(C7266&amp;G7266&amp;D7266&lt;&gt;'Funnel setup'!$K$3&amp;'Funnel setup'!$K$4&amp;'Funnel setup'!$K$5,".",IF(A7265=".",1,A7265+1))</f>
        <v>.</v>
      </c>
      <c r="B7266" s="431" t="str">
        <f t="shared" si="113"/>
        <v>Varicose VeinProviderNORTH DOWNS HOSPITAL (NVC11)EQ-5D Index</v>
      </c>
      <c r="C7266" t="s">
        <v>17</v>
      </c>
      <c r="D7266" t="s">
        <v>1</v>
      </c>
      <c r="E7266" t="s">
        <v>3660</v>
      </c>
      <c r="F7266" t="s">
        <v>3661</v>
      </c>
      <c r="G7266" t="s">
        <v>52</v>
      </c>
      <c r="H7266" t="s">
        <v>53</v>
      </c>
      <c r="I7266" t="s">
        <v>53</v>
      </c>
      <c r="J7266" t="s">
        <v>53</v>
      </c>
      <c r="K7266" t="s">
        <v>53</v>
      </c>
      <c r="L7266" t="s">
        <v>53</v>
      </c>
      <c r="M7266" t="s">
        <v>53</v>
      </c>
      <c r="N7266" t="s">
        <v>53</v>
      </c>
      <c r="O7266" t="s">
        <v>53</v>
      </c>
      <c r="P7266" t="s">
        <v>53</v>
      </c>
      <c r="Q7266" t="s">
        <v>53</v>
      </c>
    </row>
    <row r="7267" spans="1:17" x14ac:dyDescent="0.2">
      <c r="A7267" s="30" t="str">
        <f>IF(C7267&amp;G7267&amp;D7267&lt;&gt;'Funnel setup'!$K$3&amp;'Funnel setup'!$K$4&amp;'Funnel setup'!$K$5,".",IF(A7266=".",1,A7266+1))</f>
        <v>.</v>
      </c>
      <c r="B7267" s="431" t="str">
        <f t="shared" si="113"/>
        <v>Varicose VeinProviderNORTH EAST LONDON TREATMENT CENTRE CARE UK (NTP15)EQ-5D Index</v>
      </c>
      <c r="C7267" t="s">
        <v>17</v>
      </c>
      <c r="D7267" t="s">
        <v>1</v>
      </c>
      <c r="E7267" t="s">
        <v>3663</v>
      </c>
      <c r="F7267" t="s">
        <v>3664</v>
      </c>
      <c r="G7267" t="s">
        <v>52</v>
      </c>
      <c r="H7267">
        <v>23</v>
      </c>
      <c r="I7267">
        <v>0.77200000000000002</v>
      </c>
      <c r="J7267">
        <v>0.79700000000000004</v>
      </c>
      <c r="K7267">
        <v>2.4E-2</v>
      </c>
      <c r="L7267">
        <v>12</v>
      </c>
      <c r="M7267">
        <v>3</v>
      </c>
      <c r="N7267">
        <v>8</v>
      </c>
      <c r="O7267" t="s">
        <v>53</v>
      </c>
      <c r="P7267" t="s">
        <v>53</v>
      </c>
      <c r="Q7267" t="s">
        <v>53</v>
      </c>
    </row>
    <row r="7268" spans="1:17" x14ac:dyDescent="0.2">
      <c r="A7268" s="30" t="str">
        <f>IF(C7268&amp;G7268&amp;D7268&lt;&gt;'Funnel setup'!$K$3&amp;'Funnel setup'!$K$4&amp;'Funnel setup'!$K$5,".",IF(A7267=".",1,A7267+1))</f>
        <v>.</v>
      </c>
      <c r="B7268" s="431" t="str">
        <f t="shared" si="113"/>
        <v>Varicose VeinProviderNORTH TEES AND HARTLEPOOL NHS FOUNDATION TRUST (RVW)EQ-5D Index</v>
      </c>
      <c r="C7268" t="s">
        <v>17</v>
      </c>
      <c r="D7268" t="s">
        <v>1</v>
      </c>
      <c r="E7268" t="s">
        <v>3669</v>
      </c>
      <c r="F7268" t="s">
        <v>3670</v>
      </c>
      <c r="G7268" t="s">
        <v>52</v>
      </c>
      <c r="H7268">
        <v>55</v>
      </c>
      <c r="I7268">
        <v>0.73199999999999998</v>
      </c>
      <c r="J7268">
        <v>0.83199999999999996</v>
      </c>
      <c r="K7268">
        <v>0.10100000000000001</v>
      </c>
      <c r="L7268">
        <v>32</v>
      </c>
      <c r="M7268">
        <v>15</v>
      </c>
      <c r="N7268">
        <v>8</v>
      </c>
      <c r="O7268">
        <v>0.86699999999999999</v>
      </c>
      <c r="P7268">
        <v>0.12055808</v>
      </c>
      <c r="Q7268">
        <v>0.16600000000000001</v>
      </c>
    </row>
    <row r="7269" spans="1:17" x14ac:dyDescent="0.2">
      <c r="A7269" s="30" t="str">
        <f>IF(C7269&amp;G7269&amp;D7269&lt;&gt;'Funnel setup'!$K$3&amp;'Funnel setup'!$K$4&amp;'Funnel setup'!$K$5,".",IF(A7268=".",1,A7268+1))</f>
        <v>.</v>
      </c>
      <c r="B7269" s="431" t="str">
        <f t="shared" si="113"/>
        <v>Varicose VeinProviderNORTHAMPTON GENERAL HOSPITAL NHS TRUST (RNS)EQ-5D Index</v>
      </c>
      <c r="C7269" t="s">
        <v>17</v>
      </c>
      <c r="D7269" t="s">
        <v>1</v>
      </c>
      <c r="E7269" t="s">
        <v>3675</v>
      </c>
      <c r="F7269" t="s">
        <v>3676</v>
      </c>
      <c r="G7269" t="s">
        <v>52</v>
      </c>
      <c r="H7269">
        <v>24</v>
      </c>
      <c r="I7269">
        <v>0.69599999999999995</v>
      </c>
      <c r="J7269">
        <v>0.79100000000000004</v>
      </c>
      <c r="K7269">
        <v>9.5000000000000001E-2</v>
      </c>
      <c r="L7269">
        <v>13</v>
      </c>
      <c r="M7269">
        <v>6</v>
      </c>
      <c r="N7269">
        <v>5</v>
      </c>
      <c r="O7269" t="s">
        <v>53</v>
      </c>
      <c r="P7269" t="s">
        <v>53</v>
      </c>
      <c r="Q7269" t="s">
        <v>53</v>
      </c>
    </row>
    <row r="7270" spans="1:17" x14ac:dyDescent="0.2">
      <c r="A7270" s="30" t="str">
        <f>IF(C7270&amp;G7270&amp;D7270&lt;&gt;'Funnel setup'!$K$3&amp;'Funnel setup'!$K$4&amp;'Funnel setup'!$K$5,".",IF(A7269=".",1,A7269+1))</f>
        <v>.</v>
      </c>
      <c r="B7270" s="431" t="str">
        <f t="shared" si="113"/>
        <v>Varicose VeinProviderNORTHERN DEVON HEALTHCARE NHS TRUST (RBZ)EQ-5D Index</v>
      </c>
      <c r="C7270" t="s">
        <v>17</v>
      </c>
      <c r="D7270" t="s">
        <v>1</v>
      </c>
      <c r="E7270" t="s">
        <v>3678</v>
      </c>
      <c r="F7270" t="s">
        <v>3679</v>
      </c>
      <c r="G7270" t="s">
        <v>52</v>
      </c>
      <c r="H7270">
        <v>10</v>
      </c>
      <c r="I7270">
        <v>0.753</v>
      </c>
      <c r="J7270">
        <v>0.86399999999999999</v>
      </c>
      <c r="K7270">
        <v>0.112</v>
      </c>
      <c r="L7270">
        <v>7</v>
      </c>
      <c r="M7270">
        <v>3</v>
      </c>
      <c r="N7270">
        <v>0</v>
      </c>
      <c r="O7270" t="s">
        <v>53</v>
      </c>
      <c r="P7270" t="s">
        <v>53</v>
      </c>
      <c r="Q7270" t="s">
        <v>53</v>
      </c>
    </row>
    <row r="7271" spans="1:17" x14ac:dyDescent="0.2">
      <c r="A7271" s="30" t="str">
        <f>IF(C7271&amp;G7271&amp;D7271&lt;&gt;'Funnel setup'!$K$3&amp;'Funnel setup'!$K$4&amp;'Funnel setup'!$K$5,".",IF(A7270=".",1,A7270+1))</f>
        <v>.</v>
      </c>
      <c r="B7271" s="431" t="str">
        <f t="shared" si="113"/>
        <v>Varicose VeinProviderNORTHERN LINCOLNSHIRE AND GOOLE NHS FOUNDATION TRUST (RJL)EQ-5D Index</v>
      </c>
      <c r="C7271" t="s">
        <v>17</v>
      </c>
      <c r="D7271" t="s">
        <v>1</v>
      </c>
      <c r="E7271" t="s">
        <v>3681</v>
      </c>
      <c r="F7271" t="s">
        <v>3682</v>
      </c>
      <c r="G7271" t="s">
        <v>52</v>
      </c>
      <c r="H7271">
        <v>6</v>
      </c>
      <c r="I7271">
        <v>0.80900000000000005</v>
      </c>
      <c r="J7271">
        <v>0.82199999999999995</v>
      </c>
      <c r="K7271">
        <v>1.2E-2</v>
      </c>
      <c r="L7271">
        <v>3</v>
      </c>
      <c r="M7271">
        <v>2</v>
      </c>
      <c r="N7271">
        <v>1</v>
      </c>
      <c r="O7271" t="s">
        <v>53</v>
      </c>
      <c r="P7271" t="s">
        <v>53</v>
      </c>
      <c r="Q7271" t="s">
        <v>53</v>
      </c>
    </row>
    <row r="7272" spans="1:17" x14ac:dyDescent="0.2">
      <c r="A7272" s="30" t="str">
        <f>IF(C7272&amp;G7272&amp;D7272&lt;&gt;'Funnel setup'!$K$3&amp;'Funnel setup'!$K$4&amp;'Funnel setup'!$K$5,".",IF(A7271=".",1,A7271+1))</f>
        <v>.</v>
      </c>
      <c r="B7272" s="431" t="str">
        <f t="shared" si="113"/>
        <v>Varicose VeinProviderOAKS HOSPITAL (NVC13)EQ-5D Index</v>
      </c>
      <c r="C7272" t="s">
        <v>17</v>
      </c>
      <c r="D7272" t="s">
        <v>1</v>
      </c>
      <c r="E7272" t="s">
        <v>3270</v>
      </c>
      <c r="F7272" t="s">
        <v>3271</v>
      </c>
      <c r="G7272" t="s">
        <v>52</v>
      </c>
      <c r="H7272" t="s">
        <v>53</v>
      </c>
      <c r="I7272" t="s">
        <v>53</v>
      </c>
      <c r="J7272" t="s">
        <v>53</v>
      </c>
      <c r="K7272" t="s">
        <v>53</v>
      </c>
      <c r="L7272" t="s">
        <v>53</v>
      </c>
      <c r="M7272" t="s">
        <v>53</v>
      </c>
      <c r="N7272" t="s">
        <v>53</v>
      </c>
      <c r="O7272" t="s">
        <v>53</v>
      </c>
      <c r="P7272" t="s">
        <v>53</v>
      </c>
      <c r="Q7272" t="s">
        <v>53</v>
      </c>
    </row>
    <row r="7273" spans="1:17" x14ac:dyDescent="0.2">
      <c r="A7273" s="30" t="str">
        <f>IF(C7273&amp;G7273&amp;D7273&lt;&gt;'Funnel setup'!$K$3&amp;'Funnel setup'!$K$4&amp;'Funnel setup'!$K$5,".",IF(A7272=".",1,A7272+1))</f>
        <v>.</v>
      </c>
      <c r="B7273" s="431" t="str">
        <f t="shared" si="113"/>
        <v>Varicose VeinProviderOXFORD UNIVERSITY HOSPITALS NHS FOUNDATION TRUST (RTH)EQ-5D Index</v>
      </c>
      <c r="C7273" t="s">
        <v>17</v>
      </c>
      <c r="D7273" t="s">
        <v>1</v>
      </c>
      <c r="E7273" t="s">
        <v>3278</v>
      </c>
      <c r="F7273" t="s">
        <v>6578</v>
      </c>
      <c r="G7273" t="s">
        <v>52</v>
      </c>
      <c r="H7273">
        <v>34</v>
      </c>
      <c r="I7273">
        <v>0.77900000000000003</v>
      </c>
      <c r="J7273">
        <v>0.84899999999999998</v>
      </c>
      <c r="K7273">
        <v>7.0000000000000007E-2</v>
      </c>
      <c r="L7273">
        <v>17</v>
      </c>
      <c r="M7273">
        <v>11</v>
      </c>
      <c r="N7273">
        <v>6</v>
      </c>
      <c r="O7273">
        <v>0.83499999999999996</v>
      </c>
      <c r="P7273">
        <v>8.8200236000000001E-2</v>
      </c>
      <c r="Q7273">
        <v>0.16200000000000001</v>
      </c>
    </row>
    <row r="7274" spans="1:17" x14ac:dyDescent="0.2">
      <c r="A7274" s="30" t="str">
        <f>IF(C7274&amp;G7274&amp;D7274&lt;&gt;'Funnel setup'!$K$3&amp;'Funnel setup'!$K$4&amp;'Funnel setup'!$K$5,".",IF(A7273=".",1,A7273+1))</f>
        <v>.</v>
      </c>
      <c r="B7274" s="431" t="str">
        <f t="shared" si="113"/>
        <v>Varicose VeinProviderPENNINE ACUTE HOSPITALS NHS TRUST (RW6)EQ-5D Index</v>
      </c>
      <c r="C7274" t="s">
        <v>17</v>
      </c>
      <c r="D7274" t="s">
        <v>1</v>
      </c>
      <c r="E7274" t="s">
        <v>3216</v>
      </c>
      <c r="F7274" t="s">
        <v>3217</v>
      </c>
      <c r="G7274" t="s">
        <v>52</v>
      </c>
      <c r="H7274">
        <v>13</v>
      </c>
      <c r="I7274">
        <v>0.50900000000000001</v>
      </c>
      <c r="J7274">
        <v>0.78100000000000003</v>
      </c>
      <c r="K7274">
        <v>0.27200000000000002</v>
      </c>
      <c r="L7274">
        <v>8</v>
      </c>
      <c r="M7274">
        <v>1</v>
      </c>
      <c r="N7274">
        <v>4</v>
      </c>
      <c r="O7274" t="s">
        <v>53</v>
      </c>
      <c r="P7274" t="s">
        <v>53</v>
      </c>
      <c r="Q7274" t="s">
        <v>53</v>
      </c>
    </row>
    <row r="7275" spans="1:17" x14ac:dyDescent="0.2">
      <c r="A7275" s="30" t="str">
        <f>IF(C7275&amp;G7275&amp;D7275&lt;&gt;'Funnel setup'!$K$3&amp;'Funnel setup'!$K$4&amp;'Funnel setup'!$K$5,".",IF(A7274=".",1,A7274+1))</f>
        <v>.</v>
      </c>
      <c r="B7275" s="431" t="str">
        <f t="shared" si="113"/>
        <v>Varicose VeinProviderPETERBOROUGH AND STAMFORD HOSPITALS NHS FOUNDATION TRUST (RGN)EQ-5D Index</v>
      </c>
      <c r="C7275" t="s">
        <v>17</v>
      </c>
      <c r="D7275" t="s">
        <v>1</v>
      </c>
      <c r="E7275" t="s">
        <v>3219</v>
      </c>
      <c r="F7275" t="s">
        <v>3220</v>
      </c>
      <c r="G7275" t="s">
        <v>52</v>
      </c>
      <c r="H7275">
        <v>14</v>
      </c>
      <c r="I7275">
        <v>0.60899999999999999</v>
      </c>
      <c r="J7275">
        <v>0.91400000000000003</v>
      </c>
      <c r="K7275">
        <v>0.30499999999999999</v>
      </c>
      <c r="L7275">
        <v>10</v>
      </c>
      <c r="M7275">
        <v>3</v>
      </c>
      <c r="N7275">
        <v>1</v>
      </c>
      <c r="O7275" t="s">
        <v>53</v>
      </c>
      <c r="P7275" t="s">
        <v>53</v>
      </c>
      <c r="Q7275" t="s">
        <v>53</v>
      </c>
    </row>
    <row r="7276" spans="1:17" x14ac:dyDescent="0.2">
      <c r="A7276" s="30" t="str">
        <f>IF(C7276&amp;G7276&amp;D7276&lt;&gt;'Funnel setup'!$K$3&amp;'Funnel setup'!$K$4&amp;'Funnel setup'!$K$5,".",IF(A7275=".",1,A7275+1))</f>
        <v>.</v>
      </c>
      <c r="B7276" s="431" t="str">
        <f t="shared" si="113"/>
        <v>Varicose VeinProviderPINEHILL HOSPITAL (NVC15)EQ-5D Index</v>
      </c>
      <c r="C7276" t="s">
        <v>17</v>
      </c>
      <c r="D7276" t="s">
        <v>1</v>
      </c>
      <c r="E7276" t="s">
        <v>3222</v>
      </c>
      <c r="F7276" t="s">
        <v>3223</v>
      </c>
      <c r="G7276" t="s">
        <v>52</v>
      </c>
      <c r="H7276" t="s">
        <v>53</v>
      </c>
      <c r="I7276" t="s">
        <v>53</v>
      </c>
      <c r="J7276" t="s">
        <v>53</v>
      </c>
      <c r="K7276" t="s">
        <v>53</v>
      </c>
      <c r="L7276" t="s">
        <v>53</v>
      </c>
      <c r="M7276" t="s">
        <v>53</v>
      </c>
      <c r="N7276" t="s">
        <v>53</v>
      </c>
      <c r="O7276" t="s">
        <v>53</v>
      </c>
      <c r="P7276" t="s">
        <v>53</v>
      </c>
      <c r="Q7276" t="s">
        <v>53</v>
      </c>
    </row>
    <row r="7277" spans="1:17" x14ac:dyDescent="0.2">
      <c r="A7277" s="30" t="str">
        <f>IF(C7277&amp;G7277&amp;D7277&lt;&gt;'Funnel setup'!$K$3&amp;'Funnel setup'!$K$4&amp;'Funnel setup'!$K$5,".",IF(A7276=".",1,A7276+1))</f>
        <v>.</v>
      </c>
      <c r="B7277" s="431" t="str">
        <f t="shared" si="113"/>
        <v>Varicose VeinProviderPLYMOUTH HOSPITALS NHS TRUST (RK9)EQ-5D Index</v>
      </c>
      <c r="C7277" t="s">
        <v>17</v>
      </c>
      <c r="D7277" t="s">
        <v>1</v>
      </c>
      <c r="E7277" t="s">
        <v>3225</v>
      </c>
      <c r="F7277" t="s">
        <v>3226</v>
      </c>
      <c r="G7277" t="s">
        <v>52</v>
      </c>
      <c r="H7277">
        <v>56</v>
      </c>
      <c r="I7277">
        <v>0.76400000000000001</v>
      </c>
      <c r="J7277">
        <v>0.80300000000000005</v>
      </c>
      <c r="K7277">
        <v>3.9E-2</v>
      </c>
      <c r="L7277">
        <v>24</v>
      </c>
      <c r="M7277">
        <v>19</v>
      </c>
      <c r="N7277">
        <v>13</v>
      </c>
      <c r="O7277">
        <v>0.80800000000000005</v>
      </c>
      <c r="P7277">
        <v>6.1340884999999998E-2</v>
      </c>
      <c r="Q7277">
        <v>0.17799999999999999</v>
      </c>
    </row>
    <row r="7278" spans="1:17" x14ac:dyDescent="0.2">
      <c r="A7278" s="30" t="str">
        <f>IF(C7278&amp;G7278&amp;D7278&lt;&gt;'Funnel setup'!$K$3&amp;'Funnel setup'!$K$4&amp;'Funnel setup'!$K$5,".",IF(A7277=".",1,A7277+1))</f>
        <v>.</v>
      </c>
      <c r="B7278" s="431" t="str">
        <f t="shared" si="113"/>
        <v>Varicose VeinProviderPORTSMOUTH HOSPITALS NHS TRUST (RHU)EQ-5D Index</v>
      </c>
      <c r="C7278" t="s">
        <v>17</v>
      </c>
      <c r="D7278" t="s">
        <v>1</v>
      </c>
      <c r="E7278" t="s">
        <v>3234</v>
      </c>
      <c r="F7278" t="s">
        <v>3235</v>
      </c>
      <c r="G7278" t="s">
        <v>52</v>
      </c>
      <c r="H7278" t="s">
        <v>53</v>
      </c>
      <c r="I7278" t="s">
        <v>53</v>
      </c>
      <c r="J7278" t="s">
        <v>53</v>
      </c>
      <c r="K7278" t="s">
        <v>53</v>
      </c>
      <c r="L7278" t="s">
        <v>53</v>
      </c>
      <c r="M7278" t="s">
        <v>53</v>
      </c>
      <c r="N7278" t="s">
        <v>53</v>
      </c>
      <c r="O7278" t="s">
        <v>53</v>
      </c>
      <c r="P7278" t="s">
        <v>53</v>
      </c>
      <c r="Q7278" t="s">
        <v>53</v>
      </c>
    </row>
    <row r="7279" spans="1:17" x14ac:dyDescent="0.2">
      <c r="A7279" s="30" t="str">
        <f>IF(C7279&amp;G7279&amp;D7279&lt;&gt;'Funnel setup'!$K$3&amp;'Funnel setup'!$K$4&amp;'Funnel setup'!$K$5,".",IF(A7278=".",1,A7278+1))</f>
        <v>.</v>
      </c>
      <c r="B7279" s="431" t="str">
        <f t="shared" si="113"/>
        <v>Varicose VeinProviderROYAL BERKSHIRE NHS FOUNDATION TRUST (RHW)EQ-5D Index</v>
      </c>
      <c r="C7279" t="s">
        <v>17</v>
      </c>
      <c r="D7279" t="s">
        <v>1</v>
      </c>
      <c r="E7279" t="s">
        <v>3832</v>
      </c>
      <c r="F7279" t="s">
        <v>3833</v>
      </c>
      <c r="G7279" t="s">
        <v>52</v>
      </c>
      <c r="H7279">
        <v>6</v>
      </c>
      <c r="I7279">
        <v>0.72</v>
      </c>
      <c r="J7279">
        <v>0.64700000000000002</v>
      </c>
      <c r="K7279">
        <v>-7.2999999999999995E-2</v>
      </c>
      <c r="L7279">
        <v>1</v>
      </c>
      <c r="M7279">
        <v>1</v>
      </c>
      <c r="N7279">
        <v>4</v>
      </c>
      <c r="O7279" t="s">
        <v>53</v>
      </c>
      <c r="P7279" t="s">
        <v>53</v>
      </c>
      <c r="Q7279" t="s">
        <v>53</v>
      </c>
    </row>
    <row r="7280" spans="1:17" x14ac:dyDescent="0.2">
      <c r="A7280" s="30" t="str">
        <f>IF(C7280&amp;G7280&amp;D7280&lt;&gt;'Funnel setup'!$K$3&amp;'Funnel setup'!$K$4&amp;'Funnel setup'!$K$5,".",IF(A7279=".",1,A7279+1))</f>
        <v>.</v>
      </c>
      <c r="B7280" s="431" t="str">
        <f t="shared" si="113"/>
        <v>Varicose VeinProviderROYAL CORNWALL HOSPITALS NHS TRUST (REF)EQ-5D Index</v>
      </c>
      <c r="C7280" t="s">
        <v>17</v>
      </c>
      <c r="D7280" t="s">
        <v>1</v>
      </c>
      <c r="E7280" t="s">
        <v>3745</v>
      </c>
      <c r="F7280" t="s">
        <v>3746</v>
      </c>
      <c r="G7280" t="s">
        <v>52</v>
      </c>
      <c r="H7280">
        <v>85</v>
      </c>
      <c r="I7280">
        <v>0.74</v>
      </c>
      <c r="J7280">
        <v>0.81599999999999995</v>
      </c>
      <c r="K7280">
        <v>7.5999999999999998E-2</v>
      </c>
      <c r="L7280">
        <v>36</v>
      </c>
      <c r="M7280">
        <v>33</v>
      </c>
      <c r="N7280">
        <v>16</v>
      </c>
      <c r="O7280">
        <v>0.83299999999999996</v>
      </c>
      <c r="P7280">
        <v>8.6185106999999997E-2</v>
      </c>
      <c r="Q7280">
        <v>0.152</v>
      </c>
    </row>
    <row r="7281" spans="1:17" x14ac:dyDescent="0.2">
      <c r="A7281" s="30" t="str">
        <f>IF(C7281&amp;G7281&amp;D7281&lt;&gt;'Funnel setup'!$K$3&amp;'Funnel setup'!$K$4&amp;'Funnel setup'!$K$5,".",IF(A7280=".",1,A7280+1))</f>
        <v>.</v>
      </c>
      <c r="B7281" s="431" t="str">
        <f t="shared" si="113"/>
        <v>Varicose VeinProviderROYAL DEVON AND EXETER NHS FOUNDATION TRUST (RH8)EQ-5D Index</v>
      </c>
      <c r="C7281" t="s">
        <v>17</v>
      </c>
      <c r="D7281" t="s">
        <v>1</v>
      </c>
      <c r="E7281" t="s">
        <v>3442</v>
      </c>
      <c r="F7281" t="s">
        <v>3443</v>
      </c>
      <c r="G7281" t="s">
        <v>52</v>
      </c>
      <c r="H7281">
        <v>53</v>
      </c>
      <c r="I7281">
        <v>0.69799999999999995</v>
      </c>
      <c r="J7281">
        <v>0.85599999999999998</v>
      </c>
      <c r="K7281">
        <v>0.158</v>
      </c>
      <c r="L7281">
        <v>31</v>
      </c>
      <c r="M7281">
        <v>13</v>
      </c>
      <c r="N7281">
        <v>9</v>
      </c>
      <c r="O7281">
        <v>0.89</v>
      </c>
      <c r="P7281">
        <v>0.14318277500000001</v>
      </c>
      <c r="Q7281">
        <v>0.158</v>
      </c>
    </row>
    <row r="7282" spans="1:17" x14ac:dyDescent="0.2">
      <c r="A7282" s="30" t="str">
        <f>IF(C7282&amp;G7282&amp;D7282&lt;&gt;'Funnel setup'!$K$3&amp;'Funnel setup'!$K$4&amp;'Funnel setup'!$K$5,".",IF(A7281=".",1,A7281+1))</f>
        <v>.</v>
      </c>
      <c r="B7282" s="431" t="str">
        <f t="shared" si="113"/>
        <v>Varicose VeinProviderROYAL FREE LONDON NHS FOUNDATION TRUST (RAL)EQ-5D Index</v>
      </c>
      <c r="C7282" t="s">
        <v>17</v>
      </c>
      <c r="D7282" t="s">
        <v>1</v>
      </c>
      <c r="E7282" t="s">
        <v>3445</v>
      </c>
      <c r="F7282" t="s">
        <v>3446</v>
      </c>
      <c r="G7282" t="s">
        <v>52</v>
      </c>
      <c r="H7282">
        <v>27</v>
      </c>
      <c r="I7282">
        <v>0.72799999999999998</v>
      </c>
      <c r="J7282">
        <v>0.82399999999999995</v>
      </c>
      <c r="K7282">
        <v>9.7000000000000003E-2</v>
      </c>
      <c r="L7282">
        <v>16</v>
      </c>
      <c r="M7282">
        <v>8</v>
      </c>
      <c r="N7282">
        <v>3</v>
      </c>
      <c r="O7282" t="s">
        <v>53</v>
      </c>
      <c r="P7282" t="s">
        <v>53</v>
      </c>
      <c r="Q7282" t="s">
        <v>53</v>
      </c>
    </row>
    <row r="7283" spans="1:17" x14ac:dyDescent="0.2">
      <c r="A7283" s="30" t="str">
        <f>IF(C7283&amp;G7283&amp;D7283&lt;&gt;'Funnel setup'!$K$3&amp;'Funnel setup'!$K$4&amp;'Funnel setup'!$K$5,".",IF(A7282=".",1,A7282+1))</f>
        <v>.</v>
      </c>
      <c r="B7283" s="431" t="str">
        <f t="shared" si="113"/>
        <v>Varicose VeinProviderROYAL UNITED HOSPITALS BATH NHS FOUNDATION TRUST (RD1)EQ-5D Index</v>
      </c>
      <c r="C7283" t="s">
        <v>17</v>
      </c>
      <c r="D7283" t="s">
        <v>1</v>
      </c>
      <c r="E7283" t="s">
        <v>3454</v>
      </c>
      <c r="F7283" t="s">
        <v>3455</v>
      </c>
      <c r="G7283" t="s">
        <v>52</v>
      </c>
      <c r="H7283">
        <v>15</v>
      </c>
      <c r="I7283">
        <v>0.79</v>
      </c>
      <c r="J7283">
        <v>0.85099999999999998</v>
      </c>
      <c r="K7283">
        <v>6.0999999999999999E-2</v>
      </c>
      <c r="L7283">
        <v>9</v>
      </c>
      <c r="M7283">
        <v>5</v>
      </c>
      <c r="N7283">
        <v>1</v>
      </c>
      <c r="O7283" t="s">
        <v>53</v>
      </c>
      <c r="P7283" t="s">
        <v>53</v>
      </c>
      <c r="Q7283" t="s">
        <v>53</v>
      </c>
    </row>
    <row r="7284" spans="1:17" x14ac:dyDescent="0.2">
      <c r="A7284" s="30" t="str">
        <f>IF(C7284&amp;G7284&amp;D7284&lt;&gt;'Funnel setup'!$K$3&amp;'Funnel setup'!$K$4&amp;'Funnel setup'!$K$5,".",IF(A7283=".",1,A7283+1))</f>
        <v>.</v>
      </c>
      <c r="B7284" s="431" t="str">
        <f t="shared" si="113"/>
        <v>Varicose VeinProviderSALISBURY NHS FOUNDATION TRUST (RNZ)EQ-5D Index</v>
      </c>
      <c r="C7284" t="s">
        <v>17</v>
      </c>
      <c r="D7284" t="s">
        <v>1</v>
      </c>
      <c r="E7284" t="s">
        <v>3460</v>
      </c>
      <c r="F7284" t="s">
        <v>3461</v>
      </c>
      <c r="G7284" t="s">
        <v>52</v>
      </c>
      <c r="H7284">
        <v>38</v>
      </c>
      <c r="I7284">
        <v>0.748</v>
      </c>
      <c r="J7284">
        <v>0.83799999999999997</v>
      </c>
      <c r="K7284">
        <v>9.0999999999999998E-2</v>
      </c>
      <c r="L7284">
        <v>19</v>
      </c>
      <c r="M7284">
        <v>14</v>
      </c>
      <c r="N7284">
        <v>5</v>
      </c>
      <c r="O7284">
        <v>0.85199999999999998</v>
      </c>
      <c r="P7284">
        <v>0.10508917500000001</v>
      </c>
      <c r="Q7284">
        <v>0.114</v>
      </c>
    </row>
    <row r="7285" spans="1:17" x14ac:dyDescent="0.2">
      <c r="A7285" s="30" t="str">
        <f>IF(C7285&amp;G7285&amp;D7285&lt;&gt;'Funnel setup'!$K$3&amp;'Funnel setup'!$K$4&amp;'Funnel setup'!$K$5,".",IF(A7284=".",1,A7284+1))</f>
        <v>.</v>
      </c>
      <c r="B7285" s="431" t="str">
        <f t="shared" si="113"/>
        <v>Varicose VeinProviderSANDWELL AND WEST BIRMINGHAM HOSPITALS NHS TRUST (RXK)EQ-5D Index</v>
      </c>
      <c r="C7285" t="s">
        <v>17</v>
      </c>
      <c r="D7285" t="s">
        <v>1</v>
      </c>
      <c r="E7285" t="s">
        <v>3463</v>
      </c>
      <c r="F7285" t="s">
        <v>3464</v>
      </c>
      <c r="G7285" t="s">
        <v>52</v>
      </c>
      <c r="H7285">
        <v>120</v>
      </c>
      <c r="I7285">
        <v>0.71599999999999997</v>
      </c>
      <c r="J7285">
        <v>0.81</v>
      </c>
      <c r="K7285">
        <v>9.5000000000000001E-2</v>
      </c>
      <c r="L7285">
        <v>56</v>
      </c>
      <c r="M7285">
        <v>35</v>
      </c>
      <c r="N7285">
        <v>29</v>
      </c>
      <c r="O7285">
        <v>0.83399999999999996</v>
      </c>
      <c r="P7285">
        <v>8.7130378999999994E-2</v>
      </c>
      <c r="Q7285">
        <v>0.19500000000000001</v>
      </c>
    </row>
    <row r="7286" spans="1:17" x14ac:dyDescent="0.2">
      <c r="A7286" s="30" t="str">
        <f>IF(C7286&amp;G7286&amp;D7286&lt;&gt;'Funnel setup'!$K$3&amp;'Funnel setup'!$K$4&amp;'Funnel setup'!$K$5,".",IF(A7285=".",1,A7285+1))</f>
        <v>.</v>
      </c>
      <c r="B7286" s="431" t="str">
        <f t="shared" si="113"/>
        <v>Varicose VeinProviderSHEFFIELD TEACHING HOSPITALS NHS FOUNDATION TRUST (RHQ)EQ-5D Index</v>
      </c>
      <c r="C7286" t="s">
        <v>17</v>
      </c>
      <c r="D7286" t="s">
        <v>1</v>
      </c>
      <c r="E7286" t="s">
        <v>3466</v>
      </c>
      <c r="F7286" t="s">
        <v>3467</v>
      </c>
      <c r="G7286" t="s">
        <v>52</v>
      </c>
      <c r="H7286">
        <v>151</v>
      </c>
      <c r="I7286">
        <v>0.76500000000000001</v>
      </c>
      <c r="J7286">
        <v>0.84499999999999997</v>
      </c>
      <c r="K7286">
        <v>8.1000000000000003E-2</v>
      </c>
      <c r="L7286">
        <v>72</v>
      </c>
      <c r="M7286">
        <v>45</v>
      </c>
      <c r="N7286">
        <v>34</v>
      </c>
      <c r="O7286">
        <v>0.83599999999999997</v>
      </c>
      <c r="P7286">
        <v>8.9359214000000006E-2</v>
      </c>
      <c r="Q7286">
        <v>0.186</v>
      </c>
    </row>
    <row r="7287" spans="1:17" x14ac:dyDescent="0.2">
      <c r="A7287" s="30" t="str">
        <f>IF(C7287&amp;G7287&amp;D7287&lt;&gt;'Funnel setup'!$K$3&amp;'Funnel setup'!$K$4&amp;'Funnel setup'!$K$5,".",IF(A7286=".",1,A7286+1))</f>
        <v>.</v>
      </c>
      <c r="B7287" s="431" t="str">
        <f t="shared" si="113"/>
        <v>Varicose VeinProviderSHERWOOD FOREST HOSPITALS NHS FOUNDATION TRUST (RK5)EQ-5D Index</v>
      </c>
      <c r="C7287" t="s">
        <v>17</v>
      </c>
      <c r="D7287" t="s">
        <v>1</v>
      </c>
      <c r="E7287" t="s">
        <v>3475</v>
      </c>
      <c r="F7287" t="s">
        <v>3476</v>
      </c>
      <c r="G7287" t="s">
        <v>52</v>
      </c>
      <c r="H7287">
        <v>69</v>
      </c>
      <c r="I7287">
        <v>0.68200000000000005</v>
      </c>
      <c r="J7287">
        <v>0.79700000000000004</v>
      </c>
      <c r="K7287">
        <v>0.115</v>
      </c>
      <c r="L7287">
        <v>35</v>
      </c>
      <c r="M7287">
        <v>20</v>
      </c>
      <c r="N7287">
        <v>14</v>
      </c>
      <c r="O7287">
        <v>0.85499999999999998</v>
      </c>
      <c r="P7287">
        <v>0.107793949</v>
      </c>
      <c r="Q7287">
        <v>0.188</v>
      </c>
    </row>
    <row r="7288" spans="1:17" x14ac:dyDescent="0.2">
      <c r="A7288" s="30" t="str">
        <f>IF(C7288&amp;G7288&amp;D7288&lt;&gt;'Funnel setup'!$K$3&amp;'Funnel setup'!$K$4&amp;'Funnel setup'!$K$5,".",IF(A7287=".",1,A7287+1))</f>
        <v>.</v>
      </c>
      <c r="B7288" s="431" t="str">
        <f t="shared" si="113"/>
        <v>Varicose VeinProviderSHREWSBURY AND TELFORD HOSPITAL NHS TRUST (RXW)EQ-5D Index</v>
      </c>
      <c r="C7288" t="s">
        <v>17</v>
      </c>
      <c r="D7288" t="s">
        <v>1</v>
      </c>
      <c r="E7288" t="s">
        <v>3478</v>
      </c>
      <c r="F7288" t="s">
        <v>3479</v>
      </c>
      <c r="G7288" t="s">
        <v>52</v>
      </c>
      <c r="H7288">
        <v>32</v>
      </c>
      <c r="I7288">
        <v>0.81299999999999994</v>
      </c>
      <c r="J7288">
        <v>0.91900000000000004</v>
      </c>
      <c r="K7288">
        <v>0.106</v>
      </c>
      <c r="L7288">
        <v>18</v>
      </c>
      <c r="M7288">
        <v>9</v>
      </c>
      <c r="N7288">
        <v>5</v>
      </c>
      <c r="O7288">
        <v>0.87</v>
      </c>
      <c r="P7288">
        <v>0.123579932</v>
      </c>
      <c r="Q7288">
        <v>0.126</v>
      </c>
    </row>
    <row r="7289" spans="1:17" x14ac:dyDescent="0.2">
      <c r="A7289" s="30" t="str">
        <f>IF(C7289&amp;G7289&amp;D7289&lt;&gt;'Funnel setup'!$K$3&amp;'Funnel setup'!$K$4&amp;'Funnel setup'!$K$5,".",IF(A7288=".",1,A7288+1))</f>
        <v>.</v>
      </c>
      <c r="B7289" s="431" t="str">
        <f t="shared" si="113"/>
        <v>Varicose VeinProviderSOUTH TEES HOSPITALS NHS FOUNDATION TRUST (RTR)EQ-5D Index</v>
      </c>
      <c r="C7289" t="s">
        <v>17</v>
      </c>
      <c r="D7289" t="s">
        <v>1</v>
      </c>
      <c r="E7289" t="s">
        <v>3482</v>
      </c>
      <c r="F7289" t="s">
        <v>3483</v>
      </c>
      <c r="G7289" t="s">
        <v>52</v>
      </c>
      <c r="H7289">
        <v>27</v>
      </c>
      <c r="I7289">
        <v>0.80200000000000005</v>
      </c>
      <c r="J7289">
        <v>0.83099999999999996</v>
      </c>
      <c r="K7289">
        <v>2.9000000000000001E-2</v>
      </c>
      <c r="L7289">
        <v>11</v>
      </c>
      <c r="M7289">
        <v>10</v>
      </c>
      <c r="N7289">
        <v>6</v>
      </c>
      <c r="O7289" t="s">
        <v>53</v>
      </c>
      <c r="P7289" t="s">
        <v>53</v>
      </c>
      <c r="Q7289" t="s">
        <v>53</v>
      </c>
    </row>
    <row r="7290" spans="1:17" x14ac:dyDescent="0.2">
      <c r="A7290" s="30" t="str">
        <f>IF(C7290&amp;G7290&amp;D7290&lt;&gt;'Funnel setup'!$K$3&amp;'Funnel setup'!$K$4&amp;'Funnel setup'!$K$5,".",IF(A7289=".",1,A7289+1))</f>
        <v>.</v>
      </c>
      <c r="B7290" s="431" t="str">
        <f t="shared" si="113"/>
        <v>Varicose VeinProviderSOUTH WARWICKSHIRE NHS FOUNDATION TRUST (RJC)EQ-5D Index</v>
      </c>
      <c r="C7290" t="s">
        <v>17</v>
      </c>
      <c r="D7290" t="s">
        <v>1</v>
      </c>
      <c r="E7290" t="s">
        <v>3421</v>
      </c>
      <c r="F7290" t="s">
        <v>3422</v>
      </c>
      <c r="G7290" t="s">
        <v>52</v>
      </c>
      <c r="H7290">
        <v>27</v>
      </c>
      <c r="I7290">
        <v>0.80400000000000005</v>
      </c>
      <c r="J7290">
        <v>0.94399999999999995</v>
      </c>
      <c r="K7290">
        <v>0.14000000000000001</v>
      </c>
      <c r="L7290">
        <v>19</v>
      </c>
      <c r="M7290">
        <v>8</v>
      </c>
      <c r="N7290">
        <v>0</v>
      </c>
      <c r="O7290" t="s">
        <v>53</v>
      </c>
      <c r="P7290" t="s">
        <v>53</v>
      </c>
      <c r="Q7290" t="s">
        <v>53</v>
      </c>
    </row>
    <row r="7291" spans="1:17" x14ac:dyDescent="0.2">
      <c r="A7291" s="30" t="str">
        <f>IF(C7291&amp;G7291&amp;D7291&lt;&gt;'Funnel setup'!$K$3&amp;'Funnel setup'!$K$4&amp;'Funnel setup'!$K$5,".",IF(A7290=".",1,A7290+1))</f>
        <v>.</v>
      </c>
      <c r="B7291" s="431" t="str">
        <f t="shared" si="113"/>
        <v>Varicose VeinProviderSOUTHAMPTON NHS TREATMENT CENTRE (NTP11)EQ-5D Index</v>
      </c>
      <c r="C7291" t="s">
        <v>17</v>
      </c>
      <c r="D7291" t="s">
        <v>1</v>
      </c>
      <c r="E7291" t="s">
        <v>3424</v>
      </c>
      <c r="F7291" t="s">
        <v>3425</v>
      </c>
      <c r="G7291" t="s">
        <v>52</v>
      </c>
      <c r="H7291">
        <v>12</v>
      </c>
      <c r="I7291">
        <v>0.78900000000000003</v>
      </c>
      <c r="J7291">
        <v>0.86299999999999999</v>
      </c>
      <c r="K7291">
        <v>7.3999999999999996E-2</v>
      </c>
      <c r="L7291">
        <v>6</v>
      </c>
      <c r="M7291">
        <v>3</v>
      </c>
      <c r="N7291">
        <v>3</v>
      </c>
      <c r="O7291" t="s">
        <v>53</v>
      </c>
      <c r="P7291" t="s">
        <v>53</v>
      </c>
      <c r="Q7291" t="s">
        <v>53</v>
      </c>
    </row>
    <row r="7292" spans="1:17" x14ac:dyDescent="0.2">
      <c r="A7292" s="30" t="str">
        <f>IF(C7292&amp;G7292&amp;D7292&lt;&gt;'Funnel setup'!$K$3&amp;'Funnel setup'!$K$4&amp;'Funnel setup'!$K$5,".",IF(A7291=".",1,A7291+1))</f>
        <v>.</v>
      </c>
      <c r="B7292" s="431" t="str">
        <f t="shared" si="113"/>
        <v>Varicose VeinProviderSOUTHEND UNIVERSITY HOSPITAL NHS FOUNDATION TRUST (RAJ)EQ-5D Index</v>
      </c>
      <c r="C7292" t="s">
        <v>17</v>
      </c>
      <c r="D7292" t="s">
        <v>1</v>
      </c>
      <c r="E7292" t="s">
        <v>3427</v>
      </c>
      <c r="F7292" t="s">
        <v>3428</v>
      </c>
      <c r="G7292" t="s">
        <v>52</v>
      </c>
      <c r="H7292" t="s">
        <v>53</v>
      </c>
      <c r="I7292" t="s">
        <v>53</v>
      </c>
      <c r="J7292" t="s">
        <v>53</v>
      </c>
      <c r="K7292" t="s">
        <v>53</v>
      </c>
      <c r="L7292" t="s">
        <v>53</v>
      </c>
      <c r="M7292" t="s">
        <v>53</v>
      </c>
      <c r="N7292" t="s">
        <v>53</v>
      </c>
      <c r="O7292" t="s">
        <v>53</v>
      </c>
      <c r="P7292" t="s">
        <v>53</v>
      </c>
      <c r="Q7292" t="s">
        <v>53</v>
      </c>
    </row>
    <row r="7293" spans="1:17" x14ac:dyDescent="0.2">
      <c r="A7293" s="30" t="str">
        <f>IF(C7293&amp;G7293&amp;D7293&lt;&gt;'Funnel setup'!$K$3&amp;'Funnel setup'!$K$4&amp;'Funnel setup'!$K$5,".",IF(A7292=".",1,A7292+1))</f>
        <v>.</v>
      </c>
      <c r="B7293" s="431" t="str">
        <f t="shared" si="113"/>
        <v>Varicose VeinProviderSOUTHPORT AND ORMSKIRK HOSPITAL NHS TRUST (RVY)EQ-5D Index</v>
      </c>
      <c r="C7293" t="s">
        <v>17</v>
      </c>
      <c r="D7293" t="s">
        <v>1</v>
      </c>
      <c r="E7293" t="s">
        <v>3430</v>
      </c>
      <c r="F7293" t="s">
        <v>3431</v>
      </c>
      <c r="G7293" t="s">
        <v>52</v>
      </c>
      <c r="H7293">
        <v>64</v>
      </c>
      <c r="I7293">
        <v>0.76700000000000002</v>
      </c>
      <c r="J7293">
        <v>0.78600000000000003</v>
      </c>
      <c r="K7293">
        <v>1.9E-2</v>
      </c>
      <c r="L7293">
        <v>23</v>
      </c>
      <c r="M7293">
        <v>24</v>
      </c>
      <c r="N7293">
        <v>17</v>
      </c>
      <c r="O7293">
        <v>0.78700000000000003</v>
      </c>
      <c r="P7293">
        <v>4.0598840999999997E-2</v>
      </c>
      <c r="Q7293">
        <v>0.19500000000000001</v>
      </c>
    </row>
    <row r="7294" spans="1:17" x14ac:dyDescent="0.2">
      <c r="A7294" s="30" t="str">
        <f>IF(C7294&amp;G7294&amp;D7294&lt;&gt;'Funnel setup'!$K$3&amp;'Funnel setup'!$K$4&amp;'Funnel setup'!$K$5,".",IF(A7293=".",1,A7293+1))</f>
        <v>.</v>
      </c>
      <c r="B7294" s="431" t="str">
        <f t="shared" si="113"/>
        <v>Varicose VeinProviderSPIRE CHESHIRE HOSPITAL (NT324)EQ-5D Index</v>
      </c>
      <c r="C7294" t="s">
        <v>17</v>
      </c>
      <c r="D7294" t="s">
        <v>1</v>
      </c>
      <c r="E7294" t="s">
        <v>3439</v>
      </c>
      <c r="F7294" t="s">
        <v>3440</v>
      </c>
      <c r="G7294" t="s">
        <v>52</v>
      </c>
      <c r="H7294">
        <v>6</v>
      </c>
      <c r="I7294">
        <v>0.90300000000000002</v>
      </c>
      <c r="J7294">
        <v>0.94899999999999995</v>
      </c>
      <c r="K7294">
        <v>4.5999999999999999E-2</v>
      </c>
      <c r="L7294">
        <v>1</v>
      </c>
      <c r="M7294">
        <v>4</v>
      </c>
      <c r="N7294">
        <v>1</v>
      </c>
      <c r="O7294" t="s">
        <v>53</v>
      </c>
      <c r="P7294" t="s">
        <v>53</v>
      </c>
      <c r="Q7294" t="s">
        <v>53</v>
      </c>
    </row>
    <row r="7295" spans="1:17" x14ac:dyDescent="0.2">
      <c r="A7295" s="30" t="str">
        <f>IF(C7295&amp;G7295&amp;D7295&lt;&gt;'Funnel setup'!$K$3&amp;'Funnel setup'!$K$4&amp;'Funnel setup'!$K$5,".",IF(A7294=".",1,A7294+1))</f>
        <v>.</v>
      </c>
      <c r="B7295" s="431" t="str">
        <f t="shared" si="113"/>
        <v>Varicose VeinProviderSPIRE ELLAND HOSPITAL (NT348)EQ-5D Index</v>
      </c>
      <c r="C7295" t="s">
        <v>17</v>
      </c>
      <c r="D7295" t="s">
        <v>1</v>
      </c>
      <c r="E7295" t="s">
        <v>3418</v>
      </c>
      <c r="F7295" t="s">
        <v>3419</v>
      </c>
      <c r="G7295" t="s">
        <v>52</v>
      </c>
      <c r="H7295">
        <v>12</v>
      </c>
      <c r="I7295">
        <v>0.86799999999999999</v>
      </c>
      <c r="J7295">
        <v>0.93</v>
      </c>
      <c r="K7295">
        <v>6.3E-2</v>
      </c>
      <c r="L7295">
        <v>5</v>
      </c>
      <c r="M7295">
        <v>6</v>
      </c>
      <c r="N7295">
        <v>1</v>
      </c>
      <c r="O7295" t="s">
        <v>53</v>
      </c>
      <c r="P7295" t="s">
        <v>53</v>
      </c>
      <c r="Q7295" t="s">
        <v>53</v>
      </c>
    </row>
    <row r="7296" spans="1:17" x14ac:dyDescent="0.2">
      <c r="A7296" s="30" t="str">
        <f>IF(C7296&amp;G7296&amp;D7296&lt;&gt;'Funnel setup'!$K$3&amp;'Funnel setup'!$K$4&amp;'Funnel setup'!$K$5,".",IF(A7295=".",1,A7295+1))</f>
        <v>.</v>
      </c>
      <c r="B7296" s="431" t="str">
        <f t="shared" si="113"/>
        <v>Varicose VeinProviderSPIRE FYLDE COAST HOSPITAL (NT347)EQ-5D Index</v>
      </c>
      <c r="C7296" t="s">
        <v>17</v>
      </c>
      <c r="D7296" t="s">
        <v>1</v>
      </c>
      <c r="E7296" t="s">
        <v>4370</v>
      </c>
      <c r="F7296" t="s">
        <v>4371</v>
      </c>
      <c r="G7296" t="s">
        <v>52</v>
      </c>
      <c r="H7296">
        <v>6</v>
      </c>
      <c r="I7296">
        <v>0.8</v>
      </c>
      <c r="J7296">
        <v>0.89800000000000002</v>
      </c>
      <c r="K7296">
        <v>9.8000000000000004E-2</v>
      </c>
      <c r="L7296">
        <v>2</v>
      </c>
      <c r="M7296">
        <v>4</v>
      </c>
      <c r="N7296">
        <v>0</v>
      </c>
      <c r="O7296" t="s">
        <v>53</v>
      </c>
      <c r="P7296" t="s">
        <v>53</v>
      </c>
      <c r="Q7296" t="s">
        <v>53</v>
      </c>
    </row>
    <row r="7297" spans="1:17" x14ac:dyDescent="0.2">
      <c r="A7297" s="30" t="str">
        <f>IF(C7297&amp;G7297&amp;D7297&lt;&gt;'Funnel setup'!$K$3&amp;'Funnel setup'!$K$4&amp;'Funnel setup'!$K$5,".",IF(A7296=".",1,A7296+1))</f>
        <v>.</v>
      </c>
      <c r="B7297" s="431" t="str">
        <f t="shared" si="113"/>
        <v>Varicose VeinProviderSPIRE LIVERPOOL HOSPITAL (NT337)EQ-5D Index</v>
      </c>
      <c r="C7297" t="s">
        <v>17</v>
      </c>
      <c r="D7297" t="s">
        <v>1</v>
      </c>
      <c r="E7297" t="s">
        <v>3927</v>
      </c>
      <c r="F7297" t="s">
        <v>3928</v>
      </c>
      <c r="G7297" t="s">
        <v>52</v>
      </c>
      <c r="H7297" t="s">
        <v>53</v>
      </c>
      <c r="I7297" t="s">
        <v>53</v>
      </c>
      <c r="J7297" t="s">
        <v>53</v>
      </c>
      <c r="K7297" t="s">
        <v>53</v>
      </c>
      <c r="L7297" t="s">
        <v>53</v>
      </c>
      <c r="M7297" t="s">
        <v>53</v>
      </c>
      <c r="N7297" t="s">
        <v>53</v>
      </c>
      <c r="O7297" t="s">
        <v>53</v>
      </c>
      <c r="P7297" t="s">
        <v>53</v>
      </c>
      <c r="Q7297" t="s">
        <v>53</v>
      </c>
    </row>
    <row r="7298" spans="1:17" x14ac:dyDescent="0.2">
      <c r="A7298" s="30" t="str">
        <f>IF(C7298&amp;G7298&amp;D7298&lt;&gt;'Funnel setup'!$K$3&amp;'Funnel setup'!$K$4&amp;'Funnel setup'!$K$5,".",IF(A7297=".",1,A7297+1))</f>
        <v>.</v>
      </c>
      <c r="B7298" s="431" t="str">
        <f t="shared" si="113"/>
        <v>Varicose VeinProviderSPIRE METHLEY PARK HOSPITAL (NT350)EQ-5D Index</v>
      </c>
      <c r="C7298" t="s">
        <v>17</v>
      </c>
      <c r="D7298" t="s">
        <v>1</v>
      </c>
      <c r="E7298" t="s">
        <v>3157</v>
      </c>
      <c r="F7298" t="s">
        <v>3158</v>
      </c>
      <c r="G7298" t="s">
        <v>52</v>
      </c>
      <c r="H7298">
        <v>23</v>
      </c>
      <c r="I7298">
        <v>0.82</v>
      </c>
      <c r="J7298">
        <v>0.96499999999999997</v>
      </c>
      <c r="K7298">
        <v>0.14399999999999999</v>
      </c>
      <c r="L7298">
        <v>13</v>
      </c>
      <c r="M7298">
        <v>9</v>
      </c>
      <c r="N7298">
        <v>1</v>
      </c>
      <c r="O7298" t="s">
        <v>53</v>
      </c>
      <c r="P7298" t="s">
        <v>53</v>
      </c>
      <c r="Q7298" t="s">
        <v>53</v>
      </c>
    </row>
    <row r="7299" spans="1:17" x14ac:dyDescent="0.2">
      <c r="A7299" s="30" t="str">
        <f>IF(C7299&amp;G7299&amp;D7299&lt;&gt;'Funnel setup'!$K$3&amp;'Funnel setup'!$K$4&amp;'Funnel setup'!$K$5,".",IF(A7298=".",1,A7298+1))</f>
        <v>.</v>
      </c>
      <c r="B7299" s="431" t="str">
        <f t="shared" ref="B7299:B7362" si="114">C7299&amp;D7299&amp;F7299&amp;G7299</f>
        <v>Varicose VeinProviderSPIRE MURRAYFIELD HOSPITAL (NT325)EQ-5D Index</v>
      </c>
      <c r="C7299" t="s">
        <v>17</v>
      </c>
      <c r="D7299" t="s">
        <v>1</v>
      </c>
      <c r="E7299" t="s">
        <v>3163</v>
      </c>
      <c r="F7299" t="s">
        <v>3164</v>
      </c>
      <c r="G7299" t="s">
        <v>52</v>
      </c>
      <c r="H7299">
        <v>14</v>
      </c>
      <c r="I7299">
        <v>0.71799999999999997</v>
      </c>
      <c r="J7299">
        <v>0.91400000000000003</v>
      </c>
      <c r="K7299">
        <v>0.19700000000000001</v>
      </c>
      <c r="L7299">
        <v>11</v>
      </c>
      <c r="M7299">
        <v>3</v>
      </c>
      <c r="N7299">
        <v>0</v>
      </c>
      <c r="O7299" t="s">
        <v>53</v>
      </c>
      <c r="P7299" t="s">
        <v>53</v>
      </c>
      <c r="Q7299" t="s">
        <v>53</v>
      </c>
    </row>
    <row r="7300" spans="1:17" x14ac:dyDescent="0.2">
      <c r="A7300" s="30" t="str">
        <f>IF(C7300&amp;G7300&amp;D7300&lt;&gt;'Funnel setup'!$K$3&amp;'Funnel setup'!$K$4&amp;'Funnel setup'!$K$5,".",IF(A7299=".",1,A7299+1))</f>
        <v>.</v>
      </c>
      <c r="B7300" s="431" t="str">
        <f t="shared" si="114"/>
        <v>Varicose VeinProviderSPIRE WASHINGTON HOSPITAL (NT333)EQ-5D Index</v>
      </c>
      <c r="C7300" t="s">
        <v>17</v>
      </c>
      <c r="D7300" t="s">
        <v>1</v>
      </c>
      <c r="E7300" t="s">
        <v>3189</v>
      </c>
      <c r="F7300" t="s">
        <v>3190</v>
      </c>
      <c r="G7300" t="s">
        <v>52</v>
      </c>
      <c r="H7300">
        <v>26</v>
      </c>
      <c r="I7300">
        <v>0.73699999999999999</v>
      </c>
      <c r="J7300">
        <v>0.81299999999999994</v>
      </c>
      <c r="K7300">
        <v>7.5999999999999998E-2</v>
      </c>
      <c r="L7300">
        <v>15</v>
      </c>
      <c r="M7300">
        <v>6</v>
      </c>
      <c r="N7300">
        <v>5</v>
      </c>
      <c r="O7300" t="s">
        <v>53</v>
      </c>
      <c r="P7300" t="s">
        <v>53</v>
      </c>
      <c r="Q7300" t="s">
        <v>53</v>
      </c>
    </row>
    <row r="7301" spans="1:17" x14ac:dyDescent="0.2">
      <c r="A7301" s="30" t="str">
        <f>IF(C7301&amp;G7301&amp;D7301&lt;&gt;'Funnel setup'!$K$3&amp;'Funnel setup'!$K$4&amp;'Funnel setup'!$K$5,".",IF(A7300=".",1,A7300+1))</f>
        <v>.</v>
      </c>
      <c r="B7301" s="431" t="str">
        <f t="shared" si="114"/>
        <v>Varicose VeinProviderST GEORGE'S UNIVERSITY HOSPITALS NHS FOUNDATION TRUST (RJ7)EQ-5D Index</v>
      </c>
      <c r="C7301" t="s">
        <v>17</v>
      </c>
      <c r="D7301" t="s">
        <v>1</v>
      </c>
      <c r="E7301" t="s">
        <v>3124</v>
      </c>
      <c r="F7301" t="s">
        <v>3125</v>
      </c>
      <c r="G7301" t="s">
        <v>52</v>
      </c>
      <c r="H7301">
        <v>33</v>
      </c>
      <c r="I7301">
        <v>0.77600000000000002</v>
      </c>
      <c r="J7301">
        <v>0.755</v>
      </c>
      <c r="K7301">
        <v>-2.1000000000000001E-2</v>
      </c>
      <c r="L7301">
        <v>8</v>
      </c>
      <c r="M7301">
        <v>16</v>
      </c>
      <c r="N7301">
        <v>9</v>
      </c>
      <c r="O7301">
        <v>0.74299999999999999</v>
      </c>
      <c r="P7301">
        <v>-3.9105920000000001E-3</v>
      </c>
      <c r="Q7301">
        <v>0.23400000000000001</v>
      </c>
    </row>
    <row r="7302" spans="1:17" x14ac:dyDescent="0.2">
      <c r="A7302" s="30" t="str">
        <f>IF(C7302&amp;G7302&amp;D7302&lt;&gt;'Funnel setup'!$K$3&amp;'Funnel setup'!$K$4&amp;'Funnel setup'!$K$5,".",IF(A7301=".",1,A7301+1))</f>
        <v>.</v>
      </c>
      <c r="B7302" s="431" t="str">
        <f t="shared" si="114"/>
        <v>Varicose VeinProviderST HELENS AND KNOWSLEY HOSPITALS NHS TRUST (RBN)EQ-5D Index</v>
      </c>
      <c r="C7302" t="s">
        <v>17</v>
      </c>
      <c r="D7302" t="s">
        <v>1</v>
      </c>
      <c r="E7302" t="s">
        <v>3127</v>
      </c>
      <c r="F7302" t="s">
        <v>3128</v>
      </c>
      <c r="G7302" t="s">
        <v>52</v>
      </c>
      <c r="H7302">
        <v>27</v>
      </c>
      <c r="I7302">
        <v>0.75600000000000001</v>
      </c>
      <c r="J7302">
        <v>0.80300000000000005</v>
      </c>
      <c r="K7302">
        <v>4.7E-2</v>
      </c>
      <c r="L7302">
        <v>13</v>
      </c>
      <c r="M7302">
        <v>10</v>
      </c>
      <c r="N7302">
        <v>4</v>
      </c>
      <c r="O7302" t="s">
        <v>53</v>
      </c>
      <c r="P7302" t="s">
        <v>53</v>
      </c>
      <c r="Q7302" t="s">
        <v>53</v>
      </c>
    </row>
    <row r="7303" spans="1:17" x14ac:dyDescent="0.2">
      <c r="A7303" s="30" t="str">
        <f>IF(C7303&amp;G7303&amp;D7303&lt;&gt;'Funnel setup'!$K$3&amp;'Funnel setup'!$K$4&amp;'Funnel setup'!$K$5,".",IF(A7302=".",1,A7302+1))</f>
        <v>.</v>
      </c>
      <c r="B7303" s="431" t="str">
        <f t="shared" si="114"/>
        <v>Varicose VeinProviderSURREY AND SUSSEX HEALTHCARE NHS TRUST (RTP)EQ-5D Index</v>
      </c>
      <c r="C7303" t="s">
        <v>17</v>
      </c>
      <c r="D7303" t="s">
        <v>1</v>
      </c>
      <c r="E7303" t="s">
        <v>3145</v>
      </c>
      <c r="F7303" t="s">
        <v>3146</v>
      </c>
      <c r="G7303" t="s">
        <v>52</v>
      </c>
      <c r="H7303">
        <v>50</v>
      </c>
      <c r="I7303">
        <v>0.77200000000000002</v>
      </c>
      <c r="J7303">
        <v>0.84799999999999998</v>
      </c>
      <c r="K7303">
        <v>7.6999999999999999E-2</v>
      </c>
      <c r="L7303">
        <v>27</v>
      </c>
      <c r="M7303">
        <v>14</v>
      </c>
      <c r="N7303">
        <v>9</v>
      </c>
      <c r="O7303">
        <v>0.84199999999999997</v>
      </c>
      <c r="P7303">
        <v>9.5205561999999994E-2</v>
      </c>
      <c r="Q7303">
        <v>0.16300000000000001</v>
      </c>
    </row>
    <row r="7304" spans="1:17" x14ac:dyDescent="0.2">
      <c r="A7304" s="30" t="str">
        <f>IF(C7304&amp;G7304&amp;D7304&lt;&gt;'Funnel setup'!$K$3&amp;'Funnel setup'!$K$4&amp;'Funnel setup'!$K$5,".",IF(A7303=".",1,A7303+1))</f>
        <v>.</v>
      </c>
      <c r="B7304" s="431" t="str">
        <f t="shared" si="114"/>
        <v>Varicose VeinProviderTAMESIDE HOSPITAL NHS FOUNDATION TRUST (RMP)EQ-5D Index</v>
      </c>
      <c r="C7304" t="s">
        <v>17</v>
      </c>
      <c r="D7304" t="s">
        <v>1</v>
      </c>
      <c r="E7304" t="s">
        <v>3148</v>
      </c>
      <c r="F7304" t="s">
        <v>3149</v>
      </c>
      <c r="G7304" t="s">
        <v>52</v>
      </c>
      <c r="H7304">
        <v>26</v>
      </c>
      <c r="I7304">
        <v>0.748</v>
      </c>
      <c r="J7304">
        <v>0.74299999999999999</v>
      </c>
      <c r="K7304">
        <v>-5.0000000000000001E-3</v>
      </c>
      <c r="L7304">
        <v>7</v>
      </c>
      <c r="M7304">
        <v>12</v>
      </c>
      <c r="N7304">
        <v>7</v>
      </c>
      <c r="O7304" t="s">
        <v>53</v>
      </c>
      <c r="P7304" t="s">
        <v>53</v>
      </c>
      <c r="Q7304" t="s">
        <v>53</v>
      </c>
    </row>
    <row r="7305" spans="1:17" x14ac:dyDescent="0.2">
      <c r="A7305" s="30" t="str">
        <f>IF(C7305&amp;G7305&amp;D7305&lt;&gt;'Funnel setup'!$K$3&amp;'Funnel setup'!$K$4&amp;'Funnel setup'!$K$5,".",IF(A7304=".",1,A7304+1))</f>
        <v>.</v>
      </c>
      <c r="B7305" s="431" t="str">
        <f t="shared" si="114"/>
        <v>Varicose VeinProviderTAUNTON AND SOMERSET NHS FOUNDATION TRUST (RBA)EQ-5D Index</v>
      </c>
      <c r="C7305" t="s">
        <v>17</v>
      </c>
      <c r="D7305" t="s">
        <v>1</v>
      </c>
      <c r="E7305" t="s">
        <v>3151</v>
      </c>
      <c r="F7305" t="s">
        <v>3152</v>
      </c>
      <c r="G7305" t="s">
        <v>52</v>
      </c>
      <c r="H7305">
        <v>77</v>
      </c>
      <c r="I7305">
        <v>0.72</v>
      </c>
      <c r="J7305">
        <v>0.85099999999999998</v>
      </c>
      <c r="K7305">
        <v>0.13200000000000001</v>
      </c>
      <c r="L7305">
        <v>45</v>
      </c>
      <c r="M7305">
        <v>20</v>
      </c>
      <c r="N7305">
        <v>12</v>
      </c>
      <c r="O7305">
        <v>0.876</v>
      </c>
      <c r="P7305">
        <v>0.12959412300000001</v>
      </c>
      <c r="Q7305">
        <v>0.13500000000000001</v>
      </c>
    </row>
    <row r="7306" spans="1:17" x14ac:dyDescent="0.2">
      <c r="A7306" s="30" t="str">
        <f>IF(C7306&amp;G7306&amp;D7306&lt;&gt;'Funnel setup'!$K$3&amp;'Funnel setup'!$K$4&amp;'Funnel setup'!$K$5,".",IF(A7305=".",1,A7305+1))</f>
        <v>.</v>
      </c>
      <c r="B7306" s="431" t="str">
        <f t="shared" si="114"/>
        <v>Varicose VeinProviderTEES VALLEY TREATMENT CENTRE (NVC35)EQ-5D Index</v>
      </c>
      <c r="C7306" t="s">
        <v>17</v>
      </c>
      <c r="D7306" t="s">
        <v>1</v>
      </c>
      <c r="E7306" t="s">
        <v>3112</v>
      </c>
      <c r="F7306" t="s">
        <v>3113</v>
      </c>
      <c r="G7306" t="s">
        <v>52</v>
      </c>
      <c r="H7306">
        <v>12</v>
      </c>
      <c r="I7306">
        <v>0.74099999999999999</v>
      </c>
      <c r="J7306">
        <v>0.89300000000000002</v>
      </c>
      <c r="K7306">
        <v>0.153</v>
      </c>
      <c r="L7306">
        <v>8</v>
      </c>
      <c r="M7306">
        <v>3</v>
      </c>
      <c r="N7306">
        <v>1</v>
      </c>
      <c r="O7306" t="s">
        <v>53</v>
      </c>
      <c r="P7306" t="s">
        <v>53</v>
      </c>
      <c r="Q7306" t="s">
        <v>53</v>
      </c>
    </row>
    <row r="7307" spans="1:17" x14ac:dyDescent="0.2">
      <c r="A7307" s="30" t="str">
        <f>IF(C7307&amp;G7307&amp;D7307&lt;&gt;'Funnel setup'!$K$3&amp;'Funnel setup'!$K$4&amp;'Funnel setup'!$K$5,".",IF(A7306=".",1,A7306+1))</f>
        <v>.</v>
      </c>
      <c r="B7307" s="431" t="str">
        <f t="shared" si="114"/>
        <v>Varicose VeinProviderTHE DUDLEY GROUP NHS FOUNDATION TRUST (RNA)EQ-5D Index</v>
      </c>
      <c r="C7307" t="s">
        <v>17</v>
      </c>
      <c r="D7307" t="s">
        <v>1</v>
      </c>
      <c r="E7307" t="s">
        <v>3121</v>
      </c>
      <c r="F7307" t="s">
        <v>3122</v>
      </c>
      <c r="G7307" t="s">
        <v>52</v>
      </c>
      <c r="H7307">
        <v>134</v>
      </c>
      <c r="I7307">
        <v>0.76100000000000001</v>
      </c>
      <c r="J7307">
        <v>0.84499999999999997</v>
      </c>
      <c r="K7307">
        <v>8.4000000000000005E-2</v>
      </c>
      <c r="L7307">
        <v>69</v>
      </c>
      <c r="M7307">
        <v>45</v>
      </c>
      <c r="N7307">
        <v>20</v>
      </c>
      <c r="O7307">
        <v>0.84699999999999998</v>
      </c>
      <c r="P7307">
        <v>9.9793973999999994E-2</v>
      </c>
      <c r="Q7307">
        <v>0.17599999999999999</v>
      </c>
    </row>
    <row r="7308" spans="1:17" x14ac:dyDescent="0.2">
      <c r="A7308" s="30" t="str">
        <f>IF(C7308&amp;G7308&amp;D7308&lt;&gt;'Funnel setup'!$K$3&amp;'Funnel setup'!$K$4&amp;'Funnel setup'!$K$5,".",IF(A7307=".",1,A7307+1))</f>
        <v>.</v>
      </c>
      <c r="B7308" s="431" t="str">
        <f t="shared" si="114"/>
        <v>Varicose VeinProviderTHE HILLINGDON HOSPITALS NHS FOUNDATION TRUST (RAS)EQ-5D Index</v>
      </c>
      <c r="C7308" t="s">
        <v>17</v>
      </c>
      <c r="D7308" t="s">
        <v>1</v>
      </c>
      <c r="E7308" t="s">
        <v>3115</v>
      </c>
      <c r="F7308" t="s">
        <v>3116</v>
      </c>
      <c r="G7308" t="s">
        <v>52</v>
      </c>
      <c r="H7308">
        <v>14</v>
      </c>
      <c r="I7308">
        <v>0.76200000000000001</v>
      </c>
      <c r="J7308">
        <v>0.79200000000000004</v>
      </c>
      <c r="K7308">
        <v>0.03</v>
      </c>
      <c r="L7308">
        <v>8</v>
      </c>
      <c r="M7308">
        <v>3</v>
      </c>
      <c r="N7308">
        <v>3</v>
      </c>
      <c r="O7308" t="s">
        <v>53</v>
      </c>
      <c r="P7308" t="s">
        <v>53</v>
      </c>
      <c r="Q7308" t="s">
        <v>53</v>
      </c>
    </row>
    <row r="7309" spans="1:17" x14ac:dyDescent="0.2">
      <c r="A7309" s="30" t="str">
        <f>IF(C7309&amp;G7309&amp;D7309&lt;&gt;'Funnel setup'!$K$3&amp;'Funnel setup'!$K$4&amp;'Funnel setup'!$K$5,".",IF(A7308=".",1,A7308+1))</f>
        <v>.</v>
      </c>
      <c r="B7309" s="431" t="str">
        <f t="shared" si="114"/>
        <v>Varicose VeinProviderTHE NEWCASTLE UPON TYNE HOSPITALS NHS FOUNDATION TRUST (RTD)EQ-5D Index</v>
      </c>
      <c r="C7309" t="s">
        <v>17</v>
      </c>
      <c r="D7309" t="s">
        <v>1</v>
      </c>
      <c r="E7309" t="s">
        <v>3748</v>
      </c>
      <c r="F7309" t="s">
        <v>3749</v>
      </c>
      <c r="G7309" t="s">
        <v>52</v>
      </c>
      <c r="H7309">
        <v>184</v>
      </c>
      <c r="I7309">
        <v>0.753</v>
      </c>
      <c r="J7309">
        <v>0.83299999999999996</v>
      </c>
      <c r="K7309">
        <v>7.9000000000000001E-2</v>
      </c>
      <c r="L7309">
        <v>95</v>
      </c>
      <c r="M7309">
        <v>55</v>
      </c>
      <c r="N7309">
        <v>34</v>
      </c>
      <c r="O7309">
        <v>0.82699999999999996</v>
      </c>
      <c r="P7309">
        <v>7.9936104999999993E-2</v>
      </c>
      <c r="Q7309">
        <v>0.193</v>
      </c>
    </row>
    <row r="7310" spans="1:17" x14ac:dyDescent="0.2">
      <c r="A7310" s="30" t="str">
        <f>IF(C7310&amp;G7310&amp;D7310&lt;&gt;'Funnel setup'!$K$3&amp;'Funnel setup'!$K$4&amp;'Funnel setup'!$K$5,".",IF(A7309=".",1,A7309+1))</f>
        <v>.</v>
      </c>
      <c r="B7310" s="431" t="str">
        <f t="shared" si="114"/>
        <v>Varicose VeinProviderTHE PRINCESS ALEXANDRA HOSPITAL NHS TRUST (RQW)EQ-5D Index</v>
      </c>
      <c r="C7310" t="s">
        <v>17</v>
      </c>
      <c r="D7310" t="s">
        <v>1</v>
      </c>
      <c r="E7310" t="s">
        <v>3751</v>
      </c>
      <c r="F7310" t="s">
        <v>3752</v>
      </c>
      <c r="G7310" t="s">
        <v>52</v>
      </c>
      <c r="H7310">
        <v>23</v>
      </c>
      <c r="I7310">
        <v>0.65200000000000002</v>
      </c>
      <c r="J7310">
        <v>0.79400000000000004</v>
      </c>
      <c r="K7310">
        <v>0.14199999999999999</v>
      </c>
      <c r="L7310">
        <v>12</v>
      </c>
      <c r="M7310">
        <v>7</v>
      </c>
      <c r="N7310">
        <v>4</v>
      </c>
      <c r="O7310" t="s">
        <v>53</v>
      </c>
      <c r="P7310" t="s">
        <v>53</v>
      </c>
      <c r="Q7310" t="s">
        <v>53</v>
      </c>
    </row>
    <row r="7311" spans="1:17" x14ac:dyDescent="0.2">
      <c r="A7311" s="30" t="str">
        <f>IF(C7311&amp;G7311&amp;D7311&lt;&gt;'Funnel setup'!$K$3&amp;'Funnel setup'!$K$4&amp;'Funnel setup'!$K$5,".",IF(A7310=".",1,A7310+1))</f>
        <v>.</v>
      </c>
      <c r="B7311" s="431" t="str">
        <f t="shared" si="114"/>
        <v>Varicose VeinProviderTHE QUEEN ELIZABETH HOSPITAL, KING'S LYNN, NHS FOUNDATION TRUST (RCX)EQ-5D Index</v>
      </c>
      <c r="C7311" t="s">
        <v>17</v>
      </c>
      <c r="D7311" t="s">
        <v>1</v>
      </c>
      <c r="E7311" t="s">
        <v>3754</v>
      </c>
      <c r="F7311" t="s">
        <v>3755</v>
      </c>
      <c r="G7311" t="s">
        <v>52</v>
      </c>
      <c r="H7311">
        <v>17</v>
      </c>
      <c r="I7311">
        <v>0.73499999999999999</v>
      </c>
      <c r="J7311">
        <v>0.85399999999999998</v>
      </c>
      <c r="K7311">
        <v>0.12</v>
      </c>
      <c r="L7311">
        <v>9</v>
      </c>
      <c r="M7311">
        <v>4</v>
      </c>
      <c r="N7311">
        <v>4</v>
      </c>
      <c r="O7311" t="s">
        <v>53</v>
      </c>
      <c r="P7311" t="s">
        <v>53</v>
      </c>
      <c r="Q7311" t="s">
        <v>53</v>
      </c>
    </row>
    <row r="7312" spans="1:17" x14ac:dyDescent="0.2">
      <c r="A7312" s="30" t="str">
        <f>IF(C7312&amp;G7312&amp;D7312&lt;&gt;'Funnel setup'!$K$3&amp;'Funnel setup'!$K$4&amp;'Funnel setup'!$K$5,".",IF(A7311=".",1,A7311+1))</f>
        <v>.</v>
      </c>
      <c r="B7312" s="431" t="str">
        <f t="shared" si="114"/>
        <v>Varicose VeinProviderTHE ROTHERHAM NHS FOUNDATION TRUST (RFR)EQ-5D Index</v>
      </c>
      <c r="C7312" t="s">
        <v>17</v>
      </c>
      <c r="D7312" t="s">
        <v>1</v>
      </c>
      <c r="E7312" t="s">
        <v>3739</v>
      </c>
      <c r="F7312" t="s">
        <v>3740</v>
      </c>
      <c r="G7312" t="s">
        <v>52</v>
      </c>
      <c r="H7312">
        <v>7</v>
      </c>
      <c r="I7312">
        <v>0.63800000000000001</v>
      </c>
      <c r="J7312">
        <v>0.874</v>
      </c>
      <c r="K7312">
        <v>0.23499999999999999</v>
      </c>
      <c r="L7312">
        <v>4</v>
      </c>
      <c r="M7312">
        <v>3</v>
      </c>
      <c r="N7312">
        <v>0</v>
      </c>
      <c r="O7312" t="s">
        <v>53</v>
      </c>
      <c r="P7312" t="s">
        <v>53</v>
      </c>
      <c r="Q7312" t="s">
        <v>53</v>
      </c>
    </row>
    <row r="7313" spans="1:17" x14ac:dyDescent="0.2">
      <c r="A7313" s="30" t="str">
        <f>IF(C7313&amp;G7313&amp;D7313&lt;&gt;'Funnel setup'!$K$3&amp;'Funnel setup'!$K$4&amp;'Funnel setup'!$K$5,".",IF(A7312=".",1,A7312+1))</f>
        <v>.</v>
      </c>
      <c r="B7313" s="431" t="str">
        <f t="shared" si="114"/>
        <v>Varicose VeinProviderTHE ROYAL BOURNEMOUTH AND CHRISTCHURCH HOSPITALS NHS FOUNDATION TRUST (RDZ)EQ-5D Index</v>
      </c>
      <c r="C7313" t="s">
        <v>17</v>
      </c>
      <c r="D7313" t="s">
        <v>1</v>
      </c>
      <c r="E7313" t="s">
        <v>3742</v>
      </c>
      <c r="F7313" t="s">
        <v>3743</v>
      </c>
      <c r="G7313" t="s">
        <v>52</v>
      </c>
      <c r="H7313" t="s">
        <v>53</v>
      </c>
      <c r="I7313" t="s">
        <v>53</v>
      </c>
      <c r="J7313" t="s">
        <v>53</v>
      </c>
      <c r="K7313" t="s">
        <v>53</v>
      </c>
      <c r="L7313" t="s">
        <v>53</v>
      </c>
      <c r="M7313" t="s">
        <v>53</v>
      </c>
      <c r="N7313" t="s">
        <v>53</v>
      </c>
      <c r="O7313" t="s">
        <v>53</v>
      </c>
      <c r="P7313" t="s">
        <v>53</v>
      </c>
      <c r="Q7313" t="s">
        <v>53</v>
      </c>
    </row>
    <row r="7314" spans="1:17" x14ac:dyDescent="0.2">
      <c r="A7314" s="30" t="str">
        <f>IF(C7314&amp;G7314&amp;D7314&lt;&gt;'Funnel setup'!$K$3&amp;'Funnel setup'!$K$4&amp;'Funnel setup'!$K$5,".",IF(A7313=".",1,A7313+1))</f>
        <v>.</v>
      </c>
      <c r="B7314" s="431" t="str">
        <f t="shared" si="114"/>
        <v>Varicose VeinProviderTHE ROYAL WOLVERHAMPTON NHS TRUST (RL4)EQ-5D Index</v>
      </c>
      <c r="C7314" t="s">
        <v>17</v>
      </c>
      <c r="D7314" t="s">
        <v>1</v>
      </c>
      <c r="E7314" t="s">
        <v>3382</v>
      </c>
      <c r="F7314" t="s">
        <v>3383</v>
      </c>
      <c r="G7314" t="s">
        <v>52</v>
      </c>
      <c r="H7314">
        <v>74</v>
      </c>
      <c r="I7314">
        <v>0.71799999999999997</v>
      </c>
      <c r="J7314">
        <v>0.83799999999999997</v>
      </c>
      <c r="K7314">
        <v>0.12</v>
      </c>
      <c r="L7314">
        <v>44</v>
      </c>
      <c r="M7314">
        <v>20</v>
      </c>
      <c r="N7314">
        <v>10</v>
      </c>
      <c r="O7314">
        <v>0.871</v>
      </c>
      <c r="P7314">
        <v>0.124745286</v>
      </c>
      <c r="Q7314">
        <v>0.19400000000000001</v>
      </c>
    </row>
    <row r="7315" spans="1:17" x14ac:dyDescent="0.2">
      <c r="A7315" s="30" t="str">
        <f>IF(C7315&amp;G7315&amp;D7315&lt;&gt;'Funnel setup'!$K$3&amp;'Funnel setup'!$K$4&amp;'Funnel setup'!$K$5,".",IF(A7314=".",1,A7314+1))</f>
        <v>.</v>
      </c>
      <c r="B7315" s="431" t="str">
        <f t="shared" si="114"/>
        <v>Varicose VeinProviderTHE WESTBOURNE CENTRE (NVC44)EQ-5D Index</v>
      </c>
      <c r="C7315" t="s">
        <v>17</v>
      </c>
      <c r="D7315" t="s">
        <v>1</v>
      </c>
      <c r="E7315" t="s">
        <v>3775</v>
      </c>
      <c r="F7315" t="s">
        <v>3776</v>
      </c>
      <c r="G7315" t="s">
        <v>52</v>
      </c>
      <c r="H7315" t="s">
        <v>53</v>
      </c>
      <c r="I7315" t="s">
        <v>53</v>
      </c>
      <c r="J7315" t="s">
        <v>53</v>
      </c>
      <c r="K7315" t="s">
        <v>53</v>
      </c>
      <c r="L7315" t="s">
        <v>53</v>
      </c>
      <c r="M7315" t="s">
        <v>53</v>
      </c>
      <c r="N7315" t="s">
        <v>53</v>
      </c>
      <c r="O7315" t="s">
        <v>53</v>
      </c>
      <c r="P7315" t="s">
        <v>53</v>
      </c>
      <c r="Q7315" t="s">
        <v>53</v>
      </c>
    </row>
    <row r="7316" spans="1:17" x14ac:dyDescent="0.2">
      <c r="A7316" s="30" t="str">
        <f>IF(C7316&amp;G7316&amp;D7316&lt;&gt;'Funnel setup'!$K$3&amp;'Funnel setup'!$K$4&amp;'Funnel setup'!$K$5,".",IF(A7315=".",1,A7315+1))</f>
        <v>.</v>
      </c>
      <c r="B7316" s="431" t="str">
        <f t="shared" si="114"/>
        <v>Varicose VeinProviderTORBAY AND SOUTH DEVON NHS FOUNDATION TRUST (RA9)EQ-5D Index</v>
      </c>
      <c r="C7316" t="s">
        <v>17</v>
      </c>
      <c r="D7316" t="s">
        <v>1</v>
      </c>
      <c r="E7316" t="s">
        <v>3480</v>
      </c>
      <c r="F7316" t="s">
        <v>6584</v>
      </c>
      <c r="G7316" t="s">
        <v>52</v>
      </c>
      <c r="H7316" t="s">
        <v>53</v>
      </c>
      <c r="I7316" t="s">
        <v>53</v>
      </c>
      <c r="J7316" t="s">
        <v>53</v>
      </c>
      <c r="K7316" t="s">
        <v>53</v>
      </c>
      <c r="L7316" t="s">
        <v>53</v>
      </c>
      <c r="M7316" t="s">
        <v>53</v>
      </c>
      <c r="N7316" t="s">
        <v>53</v>
      </c>
      <c r="O7316" t="s">
        <v>53</v>
      </c>
      <c r="P7316" t="s">
        <v>53</v>
      </c>
      <c r="Q7316" t="s">
        <v>53</v>
      </c>
    </row>
    <row r="7317" spans="1:17" x14ac:dyDescent="0.2">
      <c r="A7317" s="30" t="str">
        <f>IF(C7317&amp;G7317&amp;D7317&lt;&gt;'Funnel setup'!$K$3&amp;'Funnel setup'!$K$4&amp;'Funnel setup'!$K$5,".",IF(A7316=".",1,A7316+1))</f>
        <v>.</v>
      </c>
      <c r="B7317" s="431" t="str">
        <f t="shared" si="114"/>
        <v>Varicose VeinProviderTYNESIDE SURGICAL SERVICES AT THE NORTH EAST NHS SURGERY CENTRE (NN401)EQ-5D Index</v>
      </c>
      <c r="C7317" t="s">
        <v>17</v>
      </c>
      <c r="D7317" t="s">
        <v>1</v>
      </c>
      <c r="E7317" t="s">
        <v>4506</v>
      </c>
      <c r="F7317" t="s">
        <v>4507</v>
      </c>
      <c r="G7317" t="s">
        <v>52</v>
      </c>
      <c r="H7317" t="s">
        <v>53</v>
      </c>
      <c r="I7317" t="s">
        <v>53</v>
      </c>
      <c r="J7317" t="s">
        <v>53</v>
      </c>
      <c r="K7317" t="s">
        <v>53</v>
      </c>
      <c r="L7317" t="s">
        <v>53</v>
      </c>
      <c r="M7317" t="s">
        <v>53</v>
      </c>
      <c r="N7317" t="s">
        <v>53</v>
      </c>
      <c r="O7317" t="s">
        <v>53</v>
      </c>
      <c r="P7317" t="s">
        <v>53</v>
      </c>
      <c r="Q7317" t="s">
        <v>53</v>
      </c>
    </row>
    <row r="7318" spans="1:17" x14ac:dyDescent="0.2">
      <c r="A7318" s="30" t="str">
        <f>IF(C7318&amp;G7318&amp;D7318&lt;&gt;'Funnel setup'!$K$3&amp;'Funnel setup'!$K$4&amp;'Funnel setup'!$K$5,".",IF(A7317=".",1,A7317+1))</f>
        <v>.</v>
      </c>
      <c r="B7318" s="431" t="str">
        <f t="shared" si="114"/>
        <v>Varicose VeinProviderUNITED LINCOLNSHIRE HOSPITALS NHS TRUST (RWD)EQ-5D Index</v>
      </c>
      <c r="C7318" t="s">
        <v>17</v>
      </c>
      <c r="D7318" t="s">
        <v>1</v>
      </c>
      <c r="E7318" t="s">
        <v>3763</v>
      </c>
      <c r="F7318" t="s">
        <v>3764</v>
      </c>
      <c r="G7318" t="s">
        <v>52</v>
      </c>
      <c r="H7318">
        <v>38</v>
      </c>
      <c r="I7318">
        <v>0.65300000000000002</v>
      </c>
      <c r="J7318">
        <v>0.753</v>
      </c>
      <c r="K7318">
        <v>0.1</v>
      </c>
      <c r="L7318">
        <v>19</v>
      </c>
      <c r="M7318">
        <v>13</v>
      </c>
      <c r="N7318">
        <v>6</v>
      </c>
      <c r="O7318">
        <v>0.81599999999999995</v>
      </c>
      <c r="P7318">
        <v>6.9463983000000007E-2</v>
      </c>
      <c r="Q7318">
        <v>0.23200000000000001</v>
      </c>
    </row>
    <row r="7319" spans="1:17" x14ac:dyDescent="0.2">
      <c r="A7319" s="30" t="str">
        <f>IF(C7319&amp;G7319&amp;D7319&lt;&gt;'Funnel setup'!$K$3&amp;'Funnel setup'!$K$4&amp;'Funnel setup'!$K$5,".",IF(A7318=".",1,A7318+1))</f>
        <v>.</v>
      </c>
      <c r="B7319" s="431" t="str">
        <f t="shared" si="114"/>
        <v>Varicose VeinProviderUNIVERSITY COLLEGE LONDON HOSPITALS NHS FOUNDATION TRUST (RRV)EQ-5D Index</v>
      </c>
      <c r="C7319" t="s">
        <v>17</v>
      </c>
      <c r="D7319" t="s">
        <v>1</v>
      </c>
      <c r="E7319" t="s">
        <v>3766</v>
      </c>
      <c r="F7319" t="s">
        <v>3767</v>
      </c>
      <c r="G7319" t="s">
        <v>52</v>
      </c>
      <c r="H7319">
        <v>61</v>
      </c>
      <c r="I7319">
        <v>0.68799999999999994</v>
      </c>
      <c r="J7319">
        <v>0.80300000000000005</v>
      </c>
      <c r="K7319">
        <v>0.115</v>
      </c>
      <c r="L7319">
        <v>34</v>
      </c>
      <c r="M7319">
        <v>18</v>
      </c>
      <c r="N7319">
        <v>9</v>
      </c>
      <c r="O7319">
        <v>0.83499999999999996</v>
      </c>
      <c r="P7319">
        <v>8.7917967999999999E-2</v>
      </c>
      <c r="Q7319">
        <v>0.17599999999999999</v>
      </c>
    </row>
    <row r="7320" spans="1:17" x14ac:dyDescent="0.2">
      <c r="A7320" s="30" t="str">
        <f>IF(C7320&amp;G7320&amp;D7320&lt;&gt;'Funnel setup'!$K$3&amp;'Funnel setup'!$K$4&amp;'Funnel setup'!$K$5,".",IF(A7319=".",1,A7319+1))</f>
        <v>.</v>
      </c>
      <c r="B7320" s="431" t="str">
        <f t="shared" si="114"/>
        <v>Varicose VeinProviderUNIVERSITY HOSPITAL OF SOUTH MANCHESTER NHS FOUNDATION TRUST (RM2)EQ-5D Index</v>
      </c>
      <c r="C7320" t="s">
        <v>17</v>
      </c>
      <c r="D7320" t="s">
        <v>1</v>
      </c>
      <c r="E7320" t="s">
        <v>3769</v>
      </c>
      <c r="F7320" t="s">
        <v>3770</v>
      </c>
      <c r="G7320" t="s">
        <v>52</v>
      </c>
      <c r="H7320">
        <v>109</v>
      </c>
      <c r="I7320">
        <v>0.77800000000000002</v>
      </c>
      <c r="J7320">
        <v>0.871</v>
      </c>
      <c r="K7320">
        <v>9.2999999999999999E-2</v>
      </c>
      <c r="L7320">
        <v>58</v>
      </c>
      <c r="M7320">
        <v>35</v>
      </c>
      <c r="N7320">
        <v>16</v>
      </c>
      <c r="O7320">
        <v>0.83899999999999997</v>
      </c>
      <c r="P7320">
        <v>9.1973706000000002E-2</v>
      </c>
      <c r="Q7320">
        <v>0.154</v>
      </c>
    </row>
    <row r="7321" spans="1:17" x14ac:dyDescent="0.2">
      <c r="A7321" s="30" t="str">
        <f>IF(C7321&amp;G7321&amp;D7321&lt;&gt;'Funnel setup'!$K$3&amp;'Funnel setup'!$K$4&amp;'Funnel setup'!$K$5,".",IF(A7320=".",1,A7320+1))</f>
        <v>.</v>
      </c>
      <c r="B7321" s="431" t="str">
        <f t="shared" si="114"/>
        <v>Varicose VeinProviderUNIVERSITY HOSPITALS BIRMINGHAM NHS FOUNDATION TRUST (RRK)EQ-5D Index</v>
      </c>
      <c r="C7321" t="s">
        <v>17</v>
      </c>
      <c r="D7321" t="s">
        <v>1</v>
      </c>
      <c r="E7321" t="s">
        <v>3778</v>
      </c>
      <c r="F7321" t="s">
        <v>3779</v>
      </c>
      <c r="G7321" t="s">
        <v>52</v>
      </c>
      <c r="H7321">
        <v>10</v>
      </c>
      <c r="I7321">
        <v>0.70499999999999996</v>
      </c>
      <c r="J7321">
        <v>0.91600000000000004</v>
      </c>
      <c r="K7321">
        <v>0.21099999999999999</v>
      </c>
      <c r="L7321">
        <v>7</v>
      </c>
      <c r="M7321">
        <v>2</v>
      </c>
      <c r="N7321">
        <v>1</v>
      </c>
      <c r="O7321" t="s">
        <v>53</v>
      </c>
      <c r="P7321" t="s">
        <v>53</v>
      </c>
      <c r="Q7321" t="s">
        <v>53</v>
      </c>
    </row>
    <row r="7322" spans="1:17" x14ac:dyDescent="0.2">
      <c r="A7322" s="30" t="str">
        <f>IF(C7322&amp;G7322&amp;D7322&lt;&gt;'Funnel setup'!$K$3&amp;'Funnel setup'!$K$4&amp;'Funnel setup'!$K$5,".",IF(A7321=".",1,A7321+1))</f>
        <v>.</v>
      </c>
      <c r="B7322" s="431" t="str">
        <f t="shared" si="114"/>
        <v>Varicose VeinProviderUNIVERSITY HOSPITALS BRISTOL NHS FOUNDATION TRUST (RA7)EQ-5D Index</v>
      </c>
      <c r="C7322" t="s">
        <v>17</v>
      </c>
      <c r="D7322" t="s">
        <v>1</v>
      </c>
      <c r="E7322" t="s">
        <v>3835</v>
      </c>
      <c r="F7322" t="s">
        <v>3836</v>
      </c>
      <c r="G7322" t="s">
        <v>52</v>
      </c>
      <c r="H7322" t="s">
        <v>53</v>
      </c>
      <c r="I7322" t="s">
        <v>53</v>
      </c>
      <c r="J7322" t="s">
        <v>53</v>
      </c>
      <c r="K7322" t="s">
        <v>53</v>
      </c>
      <c r="L7322" t="s">
        <v>53</v>
      </c>
      <c r="M7322" t="s">
        <v>53</v>
      </c>
      <c r="N7322" t="s">
        <v>53</v>
      </c>
      <c r="O7322" t="s">
        <v>53</v>
      </c>
      <c r="P7322" t="s">
        <v>53</v>
      </c>
      <c r="Q7322" t="s">
        <v>53</v>
      </c>
    </row>
    <row r="7323" spans="1:17" x14ac:dyDescent="0.2">
      <c r="A7323" s="30" t="str">
        <f>IF(C7323&amp;G7323&amp;D7323&lt;&gt;'Funnel setup'!$K$3&amp;'Funnel setup'!$K$4&amp;'Funnel setup'!$K$5,".",IF(A7322=".",1,A7322+1))</f>
        <v>.</v>
      </c>
      <c r="B7323" s="431" t="str">
        <f t="shared" si="114"/>
        <v>Varicose VeinProviderUNIVERSITY HOSPITALS COVENTRY AND WARWICKSHIRE NHS TRUST (RKB)EQ-5D Index</v>
      </c>
      <c r="C7323" t="s">
        <v>17</v>
      </c>
      <c r="D7323" t="s">
        <v>1</v>
      </c>
      <c r="E7323" t="s">
        <v>3715</v>
      </c>
      <c r="F7323" t="s">
        <v>3716</v>
      </c>
      <c r="G7323" t="s">
        <v>52</v>
      </c>
      <c r="H7323">
        <v>13</v>
      </c>
      <c r="I7323">
        <v>0.84099999999999997</v>
      </c>
      <c r="J7323">
        <v>0.95299999999999996</v>
      </c>
      <c r="K7323">
        <v>0.112</v>
      </c>
      <c r="L7323">
        <v>7</v>
      </c>
      <c r="M7323">
        <v>6</v>
      </c>
      <c r="N7323">
        <v>0</v>
      </c>
      <c r="O7323" t="s">
        <v>53</v>
      </c>
      <c r="P7323" t="s">
        <v>53</v>
      </c>
      <c r="Q7323" t="s">
        <v>53</v>
      </c>
    </row>
    <row r="7324" spans="1:17" x14ac:dyDescent="0.2">
      <c r="A7324" s="30" t="str">
        <f>IF(C7324&amp;G7324&amp;D7324&lt;&gt;'Funnel setup'!$K$3&amp;'Funnel setup'!$K$4&amp;'Funnel setup'!$K$5,".",IF(A7323=".",1,A7323+1))</f>
        <v>.</v>
      </c>
      <c r="B7324" s="431" t="str">
        <f t="shared" si="114"/>
        <v>Varicose VeinProviderUNIVERSITY HOSPITALS OF LEICESTER NHS TRUST (RWE)EQ-5D Index</v>
      </c>
      <c r="C7324" t="s">
        <v>17</v>
      </c>
      <c r="D7324" t="s">
        <v>1</v>
      </c>
      <c r="E7324" t="s">
        <v>3718</v>
      </c>
      <c r="F7324" t="s">
        <v>3719</v>
      </c>
      <c r="G7324" t="s">
        <v>52</v>
      </c>
      <c r="H7324">
        <v>46</v>
      </c>
      <c r="I7324">
        <v>0.70699999999999996</v>
      </c>
      <c r="J7324">
        <v>0.83</v>
      </c>
      <c r="K7324">
        <v>0.122</v>
      </c>
      <c r="L7324">
        <v>27</v>
      </c>
      <c r="M7324">
        <v>9</v>
      </c>
      <c r="N7324">
        <v>10</v>
      </c>
      <c r="O7324">
        <v>0.83699999999999997</v>
      </c>
      <c r="P7324">
        <v>9.0563989999999997E-2</v>
      </c>
      <c r="Q7324">
        <v>0.16200000000000001</v>
      </c>
    </row>
    <row r="7325" spans="1:17" x14ac:dyDescent="0.2">
      <c r="A7325" s="30" t="str">
        <f>IF(C7325&amp;G7325&amp;D7325&lt;&gt;'Funnel setup'!$K$3&amp;'Funnel setup'!$K$4&amp;'Funnel setup'!$K$5,".",IF(A7324=".",1,A7324+1))</f>
        <v>.</v>
      </c>
      <c r="B7325" s="431" t="str">
        <f t="shared" si="114"/>
        <v>Varicose VeinProviderUNIVERSITY HOSPITALS OF MORECAMBE BAY NHS FOUNDATION TRUST (RTX)EQ-5D Index</v>
      </c>
      <c r="C7325" t="s">
        <v>17</v>
      </c>
      <c r="D7325" t="s">
        <v>1</v>
      </c>
      <c r="E7325" t="s">
        <v>3721</v>
      </c>
      <c r="F7325" t="s">
        <v>3722</v>
      </c>
      <c r="G7325" t="s">
        <v>52</v>
      </c>
      <c r="H7325">
        <v>26</v>
      </c>
      <c r="I7325">
        <v>0.79800000000000004</v>
      </c>
      <c r="J7325">
        <v>0.88</v>
      </c>
      <c r="K7325">
        <v>8.3000000000000004E-2</v>
      </c>
      <c r="L7325">
        <v>12</v>
      </c>
      <c r="M7325">
        <v>12</v>
      </c>
      <c r="N7325">
        <v>2</v>
      </c>
      <c r="O7325" t="s">
        <v>53</v>
      </c>
      <c r="P7325" t="s">
        <v>53</v>
      </c>
      <c r="Q7325" t="s">
        <v>53</v>
      </c>
    </row>
    <row r="7326" spans="1:17" x14ac:dyDescent="0.2">
      <c r="A7326" s="30" t="str">
        <f>IF(C7326&amp;G7326&amp;D7326&lt;&gt;'Funnel setup'!$K$3&amp;'Funnel setup'!$K$4&amp;'Funnel setup'!$K$5,".",IF(A7325=".",1,A7325+1))</f>
        <v>.</v>
      </c>
      <c r="B7326" s="431" t="str">
        <f t="shared" si="114"/>
        <v>Varicose VeinProviderUNIVERSITY HOSPITALS OF NORTH MIDLANDS NHS TRUST (RJE)EQ-5D Index</v>
      </c>
      <c r="C7326" t="s">
        <v>17</v>
      </c>
      <c r="D7326" t="s">
        <v>1</v>
      </c>
      <c r="E7326" t="s">
        <v>3724</v>
      </c>
      <c r="F7326" t="s">
        <v>3725</v>
      </c>
      <c r="G7326" t="s">
        <v>52</v>
      </c>
      <c r="H7326">
        <v>7</v>
      </c>
      <c r="I7326">
        <v>0.81399999999999995</v>
      </c>
      <c r="J7326">
        <v>0.89100000000000001</v>
      </c>
      <c r="K7326">
        <v>7.6999999999999999E-2</v>
      </c>
      <c r="L7326">
        <v>4</v>
      </c>
      <c r="M7326">
        <v>2</v>
      </c>
      <c r="N7326">
        <v>1</v>
      </c>
      <c r="O7326" t="s">
        <v>53</v>
      </c>
      <c r="P7326" t="s">
        <v>53</v>
      </c>
      <c r="Q7326" t="s">
        <v>53</v>
      </c>
    </row>
    <row r="7327" spans="1:17" x14ac:dyDescent="0.2">
      <c r="A7327" s="30" t="str">
        <f>IF(C7327&amp;G7327&amp;D7327&lt;&gt;'Funnel setup'!$K$3&amp;'Funnel setup'!$K$4&amp;'Funnel setup'!$K$5,".",IF(A7326=".",1,A7326+1))</f>
        <v>.</v>
      </c>
      <c r="B7327" s="431" t="str">
        <f t="shared" si="114"/>
        <v>Varicose VeinProviderWALSALL HEALTHCARE NHS TRUST (RBK)EQ-5D Index</v>
      </c>
      <c r="C7327" t="s">
        <v>17</v>
      </c>
      <c r="D7327" t="s">
        <v>1</v>
      </c>
      <c r="E7327" t="s">
        <v>3727</v>
      </c>
      <c r="F7327" t="s">
        <v>3728</v>
      </c>
      <c r="G7327" t="s">
        <v>52</v>
      </c>
      <c r="H7327">
        <v>23</v>
      </c>
      <c r="I7327">
        <v>0.73099999999999998</v>
      </c>
      <c r="J7327">
        <v>0.80200000000000005</v>
      </c>
      <c r="K7327">
        <v>7.0999999999999994E-2</v>
      </c>
      <c r="L7327">
        <v>13</v>
      </c>
      <c r="M7327">
        <v>5</v>
      </c>
      <c r="N7327">
        <v>5</v>
      </c>
      <c r="O7327" t="s">
        <v>53</v>
      </c>
      <c r="P7327" t="s">
        <v>53</v>
      </c>
      <c r="Q7327" t="s">
        <v>53</v>
      </c>
    </row>
    <row r="7328" spans="1:17" x14ac:dyDescent="0.2">
      <c r="A7328" s="30" t="str">
        <f>IF(C7328&amp;G7328&amp;D7328&lt;&gt;'Funnel setup'!$K$3&amp;'Funnel setup'!$K$4&amp;'Funnel setup'!$K$5,".",IF(A7327=".",1,A7327+1))</f>
        <v>.</v>
      </c>
      <c r="B7328" s="431" t="str">
        <f t="shared" si="114"/>
        <v>Varicose VeinProviderWARRINGTON AND HALTON HOSPITALS NHS FOUNDATION TRUST (RWW)EQ-5D Index</v>
      </c>
      <c r="C7328" t="s">
        <v>17</v>
      </c>
      <c r="D7328" t="s">
        <v>1</v>
      </c>
      <c r="E7328" t="s">
        <v>3730</v>
      </c>
      <c r="F7328" t="s">
        <v>3731</v>
      </c>
      <c r="G7328" t="s">
        <v>52</v>
      </c>
      <c r="H7328">
        <v>13</v>
      </c>
      <c r="I7328">
        <v>0.78600000000000003</v>
      </c>
      <c r="J7328">
        <v>0.80200000000000005</v>
      </c>
      <c r="K7328">
        <v>1.4999999999999999E-2</v>
      </c>
      <c r="L7328">
        <v>6</v>
      </c>
      <c r="M7328">
        <v>3</v>
      </c>
      <c r="N7328">
        <v>4</v>
      </c>
      <c r="O7328" t="s">
        <v>53</v>
      </c>
      <c r="P7328" t="s">
        <v>53</v>
      </c>
      <c r="Q7328" t="s">
        <v>53</v>
      </c>
    </row>
    <row r="7329" spans="1:17" x14ac:dyDescent="0.2">
      <c r="A7329" s="30" t="str">
        <f>IF(C7329&amp;G7329&amp;D7329&lt;&gt;'Funnel setup'!$K$3&amp;'Funnel setup'!$K$4&amp;'Funnel setup'!$K$5,".",IF(A7328=".",1,A7328+1))</f>
        <v>.</v>
      </c>
      <c r="B7329" s="431" t="str">
        <f t="shared" si="114"/>
        <v>Varicose VeinProviderWEST HERTFORDSHIRE HOSPITALS NHS TRUST (RWG)EQ-5D Index</v>
      </c>
      <c r="C7329" t="s">
        <v>17</v>
      </c>
      <c r="D7329" t="s">
        <v>1</v>
      </c>
      <c r="E7329" t="s">
        <v>3733</v>
      </c>
      <c r="F7329" t="s">
        <v>3734</v>
      </c>
      <c r="G7329" t="s">
        <v>52</v>
      </c>
      <c r="H7329">
        <v>97</v>
      </c>
      <c r="I7329">
        <v>0.74199999999999999</v>
      </c>
      <c r="J7329">
        <v>0.82699999999999996</v>
      </c>
      <c r="K7329">
        <v>8.5000000000000006E-2</v>
      </c>
      <c r="L7329">
        <v>50</v>
      </c>
      <c r="M7329">
        <v>26</v>
      </c>
      <c r="N7329">
        <v>21</v>
      </c>
      <c r="O7329">
        <v>0.81100000000000005</v>
      </c>
      <c r="P7329">
        <v>6.4370196000000005E-2</v>
      </c>
      <c r="Q7329">
        <v>0.188</v>
      </c>
    </row>
    <row r="7330" spans="1:17" x14ac:dyDescent="0.2">
      <c r="A7330" s="30" t="str">
        <f>IF(C7330&amp;G7330&amp;D7330&lt;&gt;'Funnel setup'!$K$3&amp;'Funnel setup'!$K$4&amp;'Funnel setup'!$K$5,".",IF(A7329=".",1,A7329+1))</f>
        <v>.</v>
      </c>
      <c r="B7330" s="431" t="str">
        <f t="shared" si="114"/>
        <v>Varicose VeinProviderWEST SUFFOLK NHS FOUNDATION TRUST (RGR)EQ-5D Index</v>
      </c>
      <c r="C7330" t="s">
        <v>17</v>
      </c>
      <c r="D7330" t="s">
        <v>1</v>
      </c>
      <c r="E7330" t="s">
        <v>3712</v>
      </c>
      <c r="F7330" t="s">
        <v>3713</v>
      </c>
      <c r="G7330" t="s">
        <v>52</v>
      </c>
      <c r="H7330">
        <v>30</v>
      </c>
      <c r="I7330">
        <v>0.78800000000000003</v>
      </c>
      <c r="J7330">
        <v>0.84199999999999997</v>
      </c>
      <c r="K7330">
        <v>5.3999999999999999E-2</v>
      </c>
      <c r="L7330">
        <v>13</v>
      </c>
      <c r="M7330">
        <v>13</v>
      </c>
      <c r="N7330">
        <v>4</v>
      </c>
      <c r="O7330">
        <v>0.81799999999999995</v>
      </c>
      <c r="P7330">
        <v>7.1070260999999996E-2</v>
      </c>
      <c r="Q7330">
        <v>0.17100000000000001</v>
      </c>
    </row>
    <row r="7331" spans="1:17" x14ac:dyDescent="0.2">
      <c r="A7331" s="30" t="str">
        <f>IF(C7331&amp;G7331&amp;D7331&lt;&gt;'Funnel setup'!$K$3&amp;'Funnel setup'!$K$4&amp;'Funnel setup'!$K$5,".",IF(A7330=".",1,A7330+1))</f>
        <v>.</v>
      </c>
      <c r="B7331" s="431" t="str">
        <f t="shared" si="114"/>
        <v>Varicose VeinProviderWESTERN SUSSEX HOSPITALS NHS FOUNDATION TRUST (RYR)EQ-5D Index</v>
      </c>
      <c r="C7331" t="s">
        <v>17</v>
      </c>
      <c r="D7331" t="s">
        <v>1</v>
      </c>
      <c r="E7331" t="s">
        <v>3706</v>
      </c>
      <c r="F7331" t="s">
        <v>3707</v>
      </c>
      <c r="G7331" t="s">
        <v>52</v>
      </c>
      <c r="H7331">
        <v>11</v>
      </c>
      <c r="I7331">
        <v>0.72</v>
      </c>
      <c r="J7331">
        <v>0.81399999999999995</v>
      </c>
      <c r="K7331">
        <v>9.5000000000000001E-2</v>
      </c>
      <c r="L7331">
        <v>6</v>
      </c>
      <c r="M7331">
        <v>3</v>
      </c>
      <c r="N7331">
        <v>2</v>
      </c>
      <c r="O7331" t="s">
        <v>53</v>
      </c>
      <c r="P7331" t="s">
        <v>53</v>
      </c>
      <c r="Q7331" t="s">
        <v>53</v>
      </c>
    </row>
    <row r="7332" spans="1:17" x14ac:dyDescent="0.2">
      <c r="A7332" s="30" t="str">
        <f>IF(C7332&amp;G7332&amp;D7332&lt;&gt;'Funnel setup'!$K$3&amp;'Funnel setup'!$K$4&amp;'Funnel setup'!$K$5,".",IF(A7331=".",1,A7331+1))</f>
        <v>.</v>
      </c>
      <c r="B7332" s="431" t="str">
        <f t="shared" si="114"/>
        <v>Varicose VeinProviderWILL ADAMS NHS TREATMENT CENTRE (NTP16)EQ-5D Index</v>
      </c>
      <c r="C7332" t="s">
        <v>17</v>
      </c>
      <c r="D7332" t="s">
        <v>1</v>
      </c>
      <c r="E7332" t="s">
        <v>3531</v>
      </c>
      <c r="F7332" t="s">
        <v>3532</v>
      </c>
      <c r="G7332" t="s">
        <v>52</v>
      </c>
      <c r="H7332">
        <v>15</v>
      </c>
      <c r="I7332">
        <v>0.75800000000000001</v>
      </c>
      <c r="J7332">
        <v>0.80500000000000005</v>
      </c>
      <c r="K7332">
        <v>4.7E-2</v>
      </c>
      <c r="L7332">
        <v>6</v>
      </c>
      <c r="M7332">
        <v>4</v>
      </c>
      <c r="N7332">
        <v>5</v>
      </c>
      <c r="O7332" t="s">
        <v>53</v>
      </c>
      <c r="P7332" t="s">
        <v>53</v>
      </c>
      <c r="Q7332" t="s">
        <v>53</v>
      </c>
    </row>
    <row r="7333" spans="1:17" x14ac:dyDescent="0.2">
      <c r="A7333" s="30" t="str">
        <f>IF(C7333&amp;G7333&amp;D7333&lt;&gt;'Funnel setup'!$K$3&amp;'Funnel setup'!$K$4&amp;'Funnel setup'!$K$5,".",IF(A7332=".",1,A7332+1))</f>
        <v>.</v>
      </c>
      <c r="B7333" s="431" t="str">
        <f t="shared" si="114"/>
        <v>Varicose VeinProviderWIRRAL UNIVERSITY TEACHING HOSPITAL NHS FOUNDATION TRUST (RBL)EQ-5D Index</v>
      </c>
      <c r="C7333" t="s">
        <v>17</v>
      </c>
      <c r="D7333" t="s">
        <v>1</v>
      </c>
      <c r="E7333" t="s">
        <v>3537</v>
      </c>
      <c r="F7333" t="s">
        <v>3538</v>
      </c>
      <c r="G7333" t="s">
        <v>52</v>
      </c>
      <c r="H7333">
        <v>44</v>
      </c>
      <c r="I7333">
        <v>0.68100000000000005</v>
      </c>
      <c r="J7333">
        <v>0.79400000000000004</v>
      </c>
      <c r="K7333">
        <v>0.113</v>
      </c>
      <c r="L7333">
        <v>20</v>
      </c>
      <c r="M7333">
        <v>18</v>
      </c>
      <c r="N7333">
        <v>6</v>
      </c>
      <c r="O7333">
        <v>0.81899999999999995</v>
      </c>
      <c r="P7333">
        <v>7.2493841000000003E-2</v>
      </c>
      <c r="Q7333">
        <v>0.23200000000000001</v>
      </c>
    </row>
    <row r="7334" spans="1:17" x14ac:dyDescent="0.2">
      <c r="A7334" s="30" t="str">
        <f>IF(C7334&amp;G7334&amp;D7334&lt;&gt;'Funnel setup'!$K$3&amp;'Funnel setup'!$K$4&amp;'Funnel setup'!$K$5,".",IF(A7333=".",1,A7333+1))</f>
        <v>.</v>
      </c>
      <c r="B7334" s="431" t="str">
        <f t="shared" si="114"/>
        <v>Varicose VeinProviderWORCESTERSHIRE ACUTE HOSPITALS NHS TRUST (RWP)EQ-5D Index</v>
      </c>
      <c r="C7334" t="s">
        <v>17</v>
      </c>
      <c r="D7334" t="s">
        <v>1</v>
      </c>
      <c r="E7334" t="s">
        <v>3543</v>
      </c>
      <c r="F7334" t="s">
        <v>3544</v>
      </c>
      <c r="G7334" t="s">
        <v>52</v>
      </c>
      <c r="H7334">
        <v>20</v>
      </c>
      <c r="I7334">
        <v>0.872</v>
      </c>
      <c r="J7334">
        <v>0.879</v>
      </c>
      <c r="K7334">
        <v>7.0000000000000001E-3</v>
      </c>
      <c r="L7334">
        <v>5</v>
      </c>
      <c r="M7334">
        <v>9</v>
      </c>
      <c r="N7334">
        <v>6</v>
      </c>
      <c r="O7334" t="s">
        <v>53</v>
      </c>
      <c r="P7334" t="s">
        <v>53</v>
      </c>
      <c r="Q7334" t="s">
        <v>53</v>
      </c>
    </row>
    <row r="7335" spans="1:17" x14ac:dyDescent="0.2">
      <c r="A7335" s="30" t="str">
        <f>IF(C7335&amp;G7335&amp;D7335&lt;&gt;'Funnel setup'!$K$3&amp;'Funnel setup'!$K$4&amp;'Funnel setup'!$K$5,".",IF(A7334=".",1,A7334+1))</f>
        <v>.</v>
      </c>
      <c r="B7335" s="431" t="str">
        <f t="shared" si="114"/>
        <v>Varicose VeinProviderWRIGHTINGTON, WIGAN AND LEIGH NHS FOUNDATION TRUST (RRF)EQ-5D Index</v>
      </c>
      <c r="C7335" t="s">
        <v>17</v>
      </c>
      <c r="D7335" t="s">
        <v>1</v>
      </c>
      <c r="E7335" t="s">
        <v>3546</v>
      </c>
      <c r="F7335" t="s">
        <v>3547</v>
      </c>
      <c r="G7335" t="s">
        <v>52</v>
      </c>
      <c r="H7335" t="s">
        <v>53</v>
      </c>
      <c r="I7335" t="s">
        <v>53</v>
      </c>
      <c r="J7335" t="s">
        <v>53</v>
      </c>
      <c r="K7335" t="s">
        <v>53</v>
      </c>
      <c r="L7335" t="s">
        <v>53</v>
      </c>
      <c r="M7335" t="s">
        <v>53</v>
      </c>
      <c r="N7335" t="s">
        <v>53</v>
      </c>
      <c r="O7335" t="s">
        <v>53</v>
      </c>
      <c r="P7335" t="s">
        <v>53</v>
      </c>
      <c r="Q7335" t="s">
        <v>53</v>
      </c>
    </row>
    <row r="7336" spans="1:17" x14ac:dyDescent="0.2">
      <c r="A7336" s="30" t="str">
        <f>IF(C7336&amp;G7336&amp;D7336&lt;&gt;'Funnel setup'!$K$3&amp;'Funnel setup'!$K$4&amp;'Funnel setup'!$K$5,".",IF(A7335=".",1,A7335+1))</f>
        <v>.</v>
      </c>
      <c r="B7336" s="431" t="str">
        <f t="shared" si="114"/>
        <v>Varicose VeinProviderWYE VALLEY NHS TRUST (RLQ)EQ-5D Index</v>
      </c>
      <c r="C7336" t="s">
        <v>17</v>
      </c>
      <c r="D7336" t="s">
        <v>1</v>
      </c>
      <c r="E7336" t="s">
        <v>3517</v>
      </c>
      <c r="F7336" t="s">
        <v>3518</v>
      </c>
      <c r="G7336" t="s">
        <v>52</v>
      </c>
      <c r="H7336">
        <v>39</v>
      </c>
      <c r="I7336">
        <v>0.79200000000000004</v>
      </c>
      <c r="J7336">
        <v>0.93100000000000005</v>
      </c>
      <c r="K7336">
        <v>0.14000000000000001</v>
      </c>
      <c r="L7336">
        <v>24</v>
      </c>
      <c r="M7336">
        <v>12</v>
      </c>
      <c r="N7336">
        <v>3</v>
      </c>
      <c r="O7336">
        <v>0.9</v>
      </c>
      <c r="P7336">
        <v>0.153307155</v>
      </c>
      <c r="Q7336">
        <v>0.14499999999999999</v>
      </c>
    </row>
    <row r="7337" spans="1:17" x14ac:dyDescent="0.2">
      <c r="A7337" s="30" t="str">
        <f>IF(C7337&amp;G7337&amp;D7337&lt;&gt;'Funnel setup'!$K$3&amp;'Funnel setup'!$K$4&amp;'Funnel setup'!$K$5,".",IF(A7336=".",1,A7336+1))</f>
        <v>.</v>
      </c>
      <c r="B7337" s="431" t="str">
        <f t="shared" si="114"/>
        <v>Varicose VeinProviderYORK TEACHING HOSPITAL NHS FOUNDATION TRUST (RCB)EQ-5D Index</v>
      </c>
      <c r="C7337" t="s">
        <v>17</v>
      </c>
      <c r="D7337" t="s">
        <v>1</v>
      </c>
      <c r="E7337" t="s">
        <v>3515</v>
      </c>
      <c r="F7337" t="s">
        <v>343</v>
      </c>
      <c r="G7337" t="s">
        <v>52</v>
      </c>
      <c r="H7337">
        <v>100</v>
      </c>
      <c r="I7337">
        <v>0.73799999999999999</v>
      </c>
      <c r="J7337">
        <v>0.87</v>
      </c>
      <c r="K7337">
        <v>0.13200000000000001</v>
      </c>
      <c r="L7337">
        <v>63</v>
      </c>
      <c r="M7337">
        <v>29</v>
      </c>
      <c r="N7337">
        <v>8</v>
      </c>
      <c r="O7337">
        <v>0.86699999999999999</v>
      </c>
      <c r="P7337">
        <v>0.120391529</v>
      </c>
      <c r="Q7337">
        <v>0.16</v>
      </c>
    </row>
    <row r="7338" spans="1:17" x14ac:dyDescent="0.2">
      <c r="A7338" s="30" t="str">
        <f>IF(C7338&amp;G7338&amp;D7338&lt;&gt;'Funnel setup'!$K$3&amp;'Funnel setup'!$K$4&amp;'Funnel setup'!$K$5,".",IF(A7337=".",1,A7337+1))</f>
        <v>.</v>
      </c>
      <c r="B7338" s="431" t="str">
        <f t="shared" si="114"/>
        <v/>
      </c>
      <c r="H7338" s="145"/>
      <c r="I7338" s="145"/>
      <c r="J7338" s="145"/>
      <c r="K7338" s="145"/>
      <c r="L7338" s="145"/>
      <c r="M7338" s="145"/>
      <c r="N7338" s="145"/>
      <c r="O7338" s="145"/>
      <c r="P7338" s="145"/>
      <c r="Q7338" s="145"/>
    </row>
    <row r="7339" spans="1:17" x14ac:dyDescent="0.2">
      <c r="A7339" s="30" t="str">
        <f>IF(C7339&amp;G7339&amp;D7339&lt;&gt;'Funnel setup'!$K$3&amp;'Funnel setup'!$K$4&amp;'Funnel setup'!$K$5,".",IF(A7338=".",1,A7338+1))</f>
        <v>.</v>
      </c>
      <c r="B7339" s="431" t="str">
        <f t="shared" si="114"/>
        <v/>
      </c>
      <c r="H7339" s="145"/>
      <c r="I7339" s="145"/>
      <c r="J7339" s="145"/>
      <c r="K7339" s="145"/>
      <c r="L7339" s="145"/>
      <c r="M7339" s="145"/>
      <c r="N7339" s="145"/>
      <c r="O7339" s="145"/>
      <c r="P7339" s="145"/>
      <c r="Q7339" s="145"/>
    </row>
    <row r="7340" spans="1:17" x14ac:dyDescent="0.2">
      <c r="A7340" s="30" t="str">
        <f>IF(C7340&amp;G7340&amp;D7340&lt;&gt;'Funnel setup'!$K$3&amp;'Funnel setup'!$K$4&amp;'Funnel setup'!$K$5,".",IF(A7339=".",1,A7339+1))</f>
        <v>.</v>
      </c>
      <c r="B7340" s="431" t="str">
        <f t="shared" si="114"/>
        <v/>
      </c>
      <c r="H7340" s="145"/>
      <c r="I7340" s="145"/>
      <c r="J7340" s="145"/>
      <c r="K7340" s="145"/>
      <c r="L7340" s="145"/>
      <c r="M7340" s="145"/>
      <c r="N7340" s="145"/>
      <c r="O7340" s="145"/>
      <c r="P7340" s="145"/>
      <c r="Q7340" s="145"/>
    </row>
    <row r="7341" spans="1:17" x14ac:dyDescent="0.2">
      <c r="A7341" s="30" t="str">
        <f>IF(C7341&amp;G7341&amp;D7341&lt;&gt;'Funnel setup'!$K$3&amp;'Funnel setup'!$K$4&amp;'Funnel setup'!$K$5,".",IF(A7340=".",1,A7340+1))</f>
        <v>.</v>
      </c>
      <c r="B7341" s="431" t="str">
        <f t="shared" si="114"/>
        <v/>
      </c>
      <c r="H7341" s="145"/>
      <c r="I7341" s="145"/>
      <c r="J7341" s="145"/>
      <c r="K7341" s="145"/>
      <c r="L7341" s="145"/>
      <c r="M7341" s="145"/>
      <c r="N7341" s="145"/>
      <c r="O7341" s="145"/>
      <c r="P7341" s="145"/>
      <c r="Q7341" s="145"/>
    </row>
    <row r="7342" spans="1:17" x14ac:dyDescent="0.2">
      <c r="A7342" s="30" t="str">
        <f>IF(C7342&amp;G7342&amp;D7342&lt;&gt;'Funnel setup'!$K$3&amp;'Funnel setup'!$K$4&amp;'Funnel setup'!$K$5,".",IF(A7341=".",1,A7341+1))</f>
        <v>.</v>
      </c>
      <c r="B7342" s="431" t="str">
        <f t="shared" si="114"/>
        <v/>
      </c>
      <c r="H7342" s="145"/>
      <c r="I7342" s="145"/>
      <c r="J7342" s="145"/>
      <c r="K7342" s="145"/>
      <c r="L7342" s="145"/>
      <c r="M7342" s="145"/>
      <c r="N7342" s="145"/>
      <c r="O7342" s="145"/>
      <c r="P7342" s="145"/>
      <c r="Q7342" s="145"/>
    </row>
    <row r="7343" spans="1:17" x14ac:dyDescent="0.2">
      <c r="A7343" s="30" t="str">
        <f>IF(C7343&amp;G7343&amp;D7343&lt;&gt;'Funnel setup'!$K$3&amp;'Funnel setup'!$K$4&amp;'Funnel setup'!$K$5,".",IF(A7342=".",1,A7342+1))</f>
        <v>.</v>
      </c>
      <c r="B7343" s="431" t="str">
        <f t="shared" si="114"/>
        <v/>
      </c>
      <c r="H7343" s="145"/>
      <c r="I7343" s="145"/>
      <c r="J7343" s="145"/>
      <c r="K7343" s="145"/>
      <c r="L7343" s="145"/>
      <c r="M7343" s="145"/>
      <c r="N7343" s="145"/>
      <c r="O7343" s="145"/>
      <c r="P7343" s="145"/>
      <c r="Q7343" s="145"/>
    </row>
    <row r="7344" spans="1:17" x14ac:dyDescent="0.2">
      <c r="A7344" s="30" t="str">
        <f>IF(C7344&amp;G7344&amp;D7344&lt;&gt;'Funnel setup'!$K$3&amp;'Funnel setup'!$K$4&amp;'Funnel setup'!$K$5,".",IF(A7343=".",1,A7343+1))</f>
        <v>.</v>
      </c>
      <c r="B7344" s="431" t="str">
        <f t="shared" si="114"/>
        <v/>
      </c>
      <c r="H7344" s="145"/>
      <c r="I7344" s="145"/>
      <c r="J7344" s="145"/>
      <c r="K7344" s="145"/>
      <c r="L7344" s="145"/>
      <c r="M7344" s="145"/>
      <c r="N7344" s="145"/>
      <c r="O7344" s="145"/>
      <c r="P7344" s="145"/>
      <c r="Q7344" s="145"/>
    </row>
    <row r="7345" spans="1:17" x14ac:dyDescent="0.2">
      <c r="A7345" s="30" t="str">
        <f>IF(C7345&amp;G7345&amp;D7345&lt;&gt;'Funnel setup'!$K$3&amp;'Funnel setup'!$K$4&amp;'Funnel setup'!$K$5,".",IF(A7344=".",1,A7344+1))</f>
        <v>.</v>
      </c>
      <c r="B7345" s="431" t="str">
        <f t="shared" si="114"/>
        <v/>
      </c>
      <c r="H7345" s="145"/>
      <c r="I7345" s="145"/>
      <c r="J7345" s="145"/>
      <c r="K7345" s="145"/>
      <c r="L7345" s="145"/>
      <c r="M7345" s="145"/>
      <c r="N7345" s="145"/>
      <c r="O7345" s="145"/>
      <c r="P7345" s="145"/>
      <c r="Q7345" s="145"/>
    </row>
    <row r="7346" spans="1:17" x14ac:dyDescent="0.2">
      <c r="A7346" s="30" t="str">
        <f>IF(C7346&amp;G7346&amp;D7346&lt;&gt;'Funnel setup'!$K$3&amp;'Funnel setup'!$K$4&amp;'Funnel setup'!$K$5,".",IF(A7345=".",1,A7345+1))</f>
        <v>.</v>
      </c>
      <c r="B7346" s="431" t="str">
        <f t="shared" si="114"/>
        <v/>
      </c>
      <c r="H7346" s="145"/>
      <c r="I7346" s="145"/>
      <c r="J7346" s="145"/>
      <c r="K7346" s="145"/>
      <c r="L7346" s="145"/>
      <c r="M7346" s="145"/>
      <c r="N7346" s="145"/>
      <c r="O7346" s="145"/>
      <c r="P7346" s="145"/>
      <c r="Q7346" s="145"/>
    </row>
    <row r="7347" spans="1:17" x14ac:dyDescent="0.2">
      <c r="A7347" s="30" t="str">
        <f>IF(C7347&amp;G7347&amp;D7347&lt;&gt;'Funnel setup'!$K$3&amp;'Funnel setup'!$K$4&amp;'Funnel setup'!$K$5,".",IF(A7346=".",1,A7346+1))</f>
        <v>.</v>
      </c>
      <c r="B7347" s="431" t="str">
        <f t="shared" si="114"/>
        <v/>
      </c>
      <c r="H7347" s="145"/>
      <c r="I7347" s="145"/>
      <c r="J7347" s="145"/>
      <c r="K7347" s="145"/>
      <c r="L7347" s="145"/>
      <c r="M7347" s="145"/>
      <c r="N7347" s="145"/>
      <c r="O7347" s="145"/>
      <c r="P7347" s="145"/>
      <c r="Q7347" s="145"/>
    </row>
    <row r="7348" spans="1:17" x14ac:dyDescent="0.2">
      <c r="A7348" s="30" t="str">
        <f>IF(C7348&amp;G7348&amp;D7348&lt;&gt;'Funnel setup'!$K$3&amp;'Funnel setup'!$K$4&amp;'Funnel setup'!$K$5,".",IF(A7347=".",1,A7347+1))</f>
        <v>.</v>
      </c>
      <c r="B7348" s="431" t="str">
        <f t="shared" si="114"/>
        <v/>
      </c>
      <c r="H7348" s="145"/>
      <c r="I7348" s="145"/>
      <c r="J7348" s="145"/>
      <c r="K7348" s="145"/>
      <c r="L7348" s="145"/>
      <c r="M7348" s="145"/>
      <c r="N7348" s="145"/>
      <c r="O7348" s="145"/>
      <c r="P7348" s="145"/>
      <c r="Q7348" s="145"/>
    </row>
    <row r="7349" spans="1:17" x14ac:dyDescent="0.2">
      <c r="A7349" s="30" t="str">
        <f>IF(C7349&amp;G7349&amp;D7349&lt;&gt;'Funnel setup'!$K$3&amp;'Funnel setup'!$K$4&amp;'Funnel setup'!$K$5,".",IF(A7348=".",1,A7348+1))</f>
        <v>.</v>
      </c>
      <c r="B7349" s="431" t="str">
        <f t="shared" si="114"/>
        <v/>
      </c>
      <c r="H7349" s="145"/>
      <c r="I7349" s="145"/>
      <c r="J7349" s="145"/>
      <c r="K7349" s="145"/>
      <c r="L7349" s="145"/>
      <c r="M7349" s="145"/>
      <c r="N7349" s="145"/>
      <c r="O7349" s="145"/>
      <c r="P7349" s="145"/>
      <c r="Q7349" s="145"/>
    </row>
    <row r="7350" spans="1:17" x14ac:dyDescent="0.2">
      <c r="A7350" s="30" t="str">
        <f>IF(C7350&amp;G7350&amp;D7350&lt;&gt;'Funnel setup'!$K$3&amp;'Funnel setup'!$K$4&amp;'Funnel setup'!$K$5,".",IF(A7349=".",1,A7349+1))</f>
        <v>.</v>
      </c>
      <c r="B7350" s="431" t="str">
        <f t="shared" si="114"/>
        <v/>
      </c>
      <c r="H7350" s="145"/>
      <c r="I7350" s="145"/>
      <c r="J7350" s="145"/>
      <c r="K7350" s="145"/>
      <c r="L7350" s="145"/>
      <c r="M7350" s="145"/>
      <c r="N7350" s="145"/>
      <c r="O7350" s="145"/>
      <c r="P7350" s="145"/>
      <c r="Q7350" s="145"/>
    </row>
    <row r="7351" spans="1:17" x14ac:dyDescent="0.2">
      <c r="A7351" s="30" t="str">
        <f>IF(C7351&amp;G7351&amp;D7351&lt;&gt;'Funnel setup'!$K$3&amp;'Funnel setup'!$K$4&amp;'Funnel setup'!$K$5,".",IF(A7350=".",1,A7350+1))</f>
        <v>.</v>
      </c>
      <c r="B7351" s="431" t="str">
        <f t="shared" si="114"/>
        <v/>
      </c>
      <c r="H7351" s="145"/>
      <c r="I7351" s="145"/>
      <c r="J7351" s="145"/>
      <c r="K7351" s="145"/>
      <c r="L7351" s="145"/>
      <c r="M7351" s="145"/>
      <c r="N7351" s="145"/>
      <c r="O7351" s="145"/>
      <c r="P7351" s="145"/>
      <c r="Q7351" s="145"/>
    </row>
    <row r="7352" spans="1:17" x14ac:dyDescent="0.2">
      <c r="A7352" s="30" t="str">
        <f>IF(C7352&amp;G7352&amp;D7352&lt;&gt;'Funnel setup'!$K$3&amp;'Funnel setup'!$K$4&amp;'Funnel setup'!$K$5,".",IF(A7351=".",1,A7351+1))</f>
        <v>.</v>
      </c>
      <c r="B7352" s="431" t="str">
        <f t="shared" si="114"/>
        <v/>
      </c>
      <c r="H7352" s="145"/>
      <c r="I7352" s="145"/>
      <c r="J7352" s="145"/>
      <c r="K7352" s="145"/>
      <c r="L7352" s="145"/>
      <c r="M7352" s="145"/>
      <c r="N7352" s="145"/>
      <c r="O7352" s="145"/>
      <c r="P7352" s="145"/>
      <c r="Q7352" s="145"/>
    </row>
    <row r="7353" spans="1:17" x14ac:dyDescent="0.2">
      <c r="A7353" s="30" t="str">
        <f>IF(C7353&amp;G7353&amp;D7353&lt;&gt;'Funnel setup'!$K$3&amp;'Funnel setup'!$K$4&amp;'Funnel setup'!$K$5,".",IF(A7352=".",1,A7352+1))</f>
        <v>.</v>
      </c>
      <c r="B7353" s="431" t="str">
        <f t="shared" si="114"/>
        <v/>
      </c>
      <c r="H7353" s="145"/>
      <c r="I7353" s="145"/>
      <c r="J7353" s="145"/>
      <c r="K7353" s="145"/>
      <c r="L7353" s="145"/>
      <c r="M7353" s="145"/>
      <c r="N7353" s="145"/>
      <c r="O7353" s="145"/>
      <c r="P7353" s="145"/>
      <c r="Q7353" s="145"/>
    </row>
    <row r="7354" spans="1:17" x14ac:dyDescent="0.2">
      <c r="A7354" s="30" t="str">
        <f>IF(C7354&amp;G7354&amp;D7354&lt;&gt;'Funnel setup'!$K$3&amp;'Funnel setup'!$K$4&amp;'Funnel setup'!$K$5,".",IF(A7353=".",1,A7353+1))</f>
        <v>.</v>
      </c>
      <c r="B7354" s="431" t="str">
        <f t="shared" si="114"/>
        <v/>
      </c>
      <c r="H7354" s="145"/>
      <c r="I7354" s="145"/>
      <c r="J7354" s="145"/>
      <c r="K7354" s="145"/>
      <c r="L7354" s="145"/>
      <c r="M7354" s="145"/>
      <c r="N7354" s="145"/>
      <c r="O7354" s="145"/>
      <c r="P7354" s="145"/>
      <c r="Q7354" s="145"/>
    </row>
    <row r="7355" spans="1:17" x14ac:dyDescent="0.2">
      <c r="A7355" s="30" t="str">
        <f>IF(C7355&amp;G7355&amp;D7355&lt;&gt;'Funnel setup'!$K$3&amp;'Funnel setup'!$K$4&amp;'Funnel setup'!$K$5,".",IF(A7354=".",1,A7354+1))</f>
        <v>.</v>
      </c>
      <c r="B7355" s="431" t="str">
        <f t="shared" si="114"/>
        <v/>
      </c>
      <c r="H7355" s="145"/>
      <c r="I7355" s="145"/>
      <c r="J7355" s="145"/>
      <c r="K7355" s="145"/>
      <c r="L7355" s="145"/>
      <c r="M7355" s="145"/>
      <c r="N7355" s="145"/>
      <c r="O7355" s="145"/>
      <c r="P7355" s="145"/>
      <c r="Q7355" s="145"/>
    </row>
    <row r="7356" spans="1:17" x14ac:dyDescent="0.2">
      <c r="A7356" s="30" t="str">
        <f>IF(C7356&amp;G7356&amp;D7356&lt;&gt;'Funnel setup'!$K$3&amp;'Funnel setup'!$K$4&amp;'Funnel setup'!$K$5,".",IF(A7355=".",1,A7355+1))</f>
        <v>.</v>
      </c>
      <c r="B7356" s="431" t="str">
        <f t="shared" si="114"/>
        <v/>
      </c>
      <c r="H7356" s="145"/>
      <c r="I7356" s="145"/>
      <c r="J7356" s="145"/>
      <c r="K7356" s="145"/>
      <c r="L7356" s="145"/>
      <c r="M7356" s="145"/>
      <c r="N7356" s="145"/>
      <c r="O7356" s="145"/>
      <c r="P7356" s="145"/>
      <c r="Q7356" s="145"/>
    </row>
    <row r="7357" spans="1:17" x14ac:dyDescent="0.2">
      <c r="A7357" s="30" t="str">
        <f>IF(C7357&amp;G7357&amp;D7357&lt;&gt;'Funnel setup'!$K$3&amp;'Funnel setup'!$K$4&amp;'Funnel setup'!$K$5,".",IF(A7356=".",1,A7356+1))</f>
        <v>.</v>
      </c>
      <c r="B7357" s="431" t="str">
        <f t="shared" si="114"/>
        <v/>
      </c>
      <c r="H7357" s="145"/>
      <c r="I7357" s="145"/>
      <c r="J7357" s="145"/>
      <c r="K7357" s="145"/>
      <c r="L7357" s="145"/>
      <c r="M7357" s="145"/>
      <c r="N7357" s="145"/>
      <c r="O7357" s="145"/>
      <c r="P7357" s="145"/>
      <c r="Q7357" s="145"/>
    </row>
    <row r="7358" spans="1:17" x14ac:dyDescent="0.2">
      <c r="A7358" s="30" t="str">
        <f>IF(C7358&amp;G7358&amp;D7358&lt;&gt;'Funnel setup'!$K$3&amp;'Funnel setup'!$K$4&amp;'Funnel setup'!$K$5,".",IF(A7357=".",1,A7357+1))</f>
        <v>.</v>
      </c>
      <c r="B7358" s="431" t="str">
        <f t="shared" si="114"/>
        <v/>
      </c>
      <c r="H7358" s="145"/>
      <c r="I7358" s="145"/>
      <c r="J7358" s="145"/>
      <c r="K7358" s="145"/>
      <c r="L7358" s="145"/>
      <c r="M7358" s="145"/>
      <c r="N7358" s="145"/>
      <c r="O7358" s="145"/>
      <c r="P7358" s="145"/>
      <c r="Q7358" s="145"/>
    </row>
    <row r="7359" spans="1:17" x14ac:dyDescent="0.2">
      <c r="A7359" s="30" t="str">
        <f>IF(C7359&amp;G7359&amp;D7359&lt;&gt;'Funnel setup'!$K$3&amp;'Funnel setup'!$K$4&amp;'Funnel setup'!$K$5,".",IF(A7358=".",1,A7358+1))</f>
        <v>.</v>
      </c>
      <c r="B7359" s="431" t="str">
        <f t="shared" si="114"/>
        <v/>
      </c>
      <c r="H7359" s="145"/>
      <c r="I7359" s="145"/>
      <c r="J7359" s="145"/>
      <c r="K7359" s="145"/>
      <c r="L7359" s="145"/>
      <c r="M7359" s="145"/>
      <c r="N7359" s="145"/>
      <c r="O7359" s="145"/>
      <c r="P7359" s="145"/>
      <c r="Q7359" s="145"/>
    </row>
    <row r="7360" spans="1:17" x14ac:dyDescent="0.2">
      <c r="A7360" s="30" t="str">
        <f>IF(C7360&amp;G7360&amp;D7360&lt;&gt;'Funnel setup'!$K$3&amp;'Funnel setup'!$K$4&amp;'Funnel setup'!$K$5,".",IF(A7359=".",1,A7359+1))</f>
        <v>.</v>
      </c>
      <c r="B7360" s="431" t="str">
        <f t="shared" si="114"/>
        <v/>
      </c>
      <c r="H7360" s="145"/>
      <c r="I7360" s="145"/>
      <c r="J7360" s="145"/>
      <c r="K7360" s="145"/>
      <c r="L7360" s="145"/>
      <c r="M7360" s="145"/>
      <c r="N7360" s="145"/>
      <c r="O7360" s="145"/>
      <c r="P7360" s="145"/>
      <c r="Q7360" s="145"/>
    </row>
    <row r="7361" spans="1:17" x14ac:dyDescent="0.2">
      <c r="A7361" s="30" t="str">
        <f>IF(C7361&amp;G7361&amp;D7361&lt;&gt;'Funnel setup'!$K$3&amp;'Funnel setup'!$K$4&amp;'Funnel setup'!$K$5,".",IF(A7360=".",1,A7360+1))</f>
        <v>.</v>
      </c>
      <c r="B7361" s="431" t="str">
        <f t="shared" si="114"/>
        <v/>
      </c>
      <c r="H7361" s="145"/>
      <c r="I7361" s="145"/>
      <c r="J7361" s="145"/>
      <c r="K7361" s="145"/>
      <c r="L7361" s="145"/>
      <c r="M7361" s="145"/>
      <c r="N7361" s="145"/>
      <c r="O7361" s="145"/>
      <c r="P7361" s="145"/>
      <c r="Q7361" s="145"/>
    </row>
    <row r="7362" spans="1:17" x14ac:dyDescent="0.2">
      <c r="A7362" s="30" t="str">
        <f>IF(C7362&amp;G7362&amp;D7362&lt;&gt;'Funnel setup'!$K$3&amp;'Funnel setup'!$K$4&amp;'Funnel setup'!$K$5,".",IF(A7361=".",1,A7361+1))</f>
        <v>.</v>
      </c>
      <c r="B7362" s="431" t="str">
        <f t="shared" si="114"/>
        <v/>
      </c>
      <c r="H7362" s="145"/>
      <c r="I7362" s="145"/>
      <c r="J7362" s="145"/>
      <c r="K7362" s="145"/>
      <c r="L7362" s="145"/>
      <c r="M7362" s="145"/>
      <c r="N7362" s="145"/>
      <c r="O7362" s="145"/>
      <c r="P7362" s="145"/>
      <c r="Q7362" s="145"/>
    </row>
    <row r="7363" spans="1:17" x14ac:dyDescent="0.2">
      <c r="A7363" s="30" t="str">
        <f>IF(C7363&amp;G7363&amp;D7363&lt;&gt;'Funnel setup'!$K$3&amp;'Funnel setup'!$K$4&amp;'Funnel setup'!$K$5,".",IF(A7362=".",1,A7362+1))</f>
        <v>.</v>
      </c>
      <c r="B7363" s="431" t="str">
        <f t="shared" ref="B7363:B7426" si="115">C7363&amp;D7363&amp;F7363&amp;G7363</f>
        <v/>
      </c>
      <c r="H7363" s="145"/>
      <c r="I7363" s="145"/>
      <c r="J7363" s="145"/>
      <c r="K7363" s="145"/>
      <c r="L7363" s="145"/>
      <c r="M7363" s="145"/>
      <c r="N7363" s="145"/>
      <c r="O7363" s="145"/>
      <c r="P7363" s="145"/>
      <c r="Q7363" s="145"/>
    </row>
    <row r="7364" spans="1:17" x14ac:dyDescent="0.2">
      <c r="A7364" s="30" t="str">
        <f>IF(C7364&amp;G7364&amp;D7364&lt;&gt;'Funnel setup'!$K$3&amp;'Funnel setup'!$K$4&amp;'Funnel setup'!$K$5,".",IF(A7363=".",1,A7363+1))</f>
        <v>.</v>
      </c>
      <c r="B7364" s="431" t="str">
        <f t="shared" si="115"/>
        <v/>
      </c>
      <c r="H7364" s="145"/>
      <c r="I7364" s="145"/>
      <c r="J7364" s="145"/>
      <c r="K7364" s="145"/>
      <c r="L7364" s="145"/>
      <c r="M7364" s="145"/>
      <c r="N7364" s="145"/>
      <c r="O7364" s="145"/>
      <c r="P7364" s="145"/>
      <c r="Q7364" s="145"/>
    </row>
    <row r="7365" spans="1:17" x14ac:dyDescent="0.2">
      <c r="A7365" s="30" t="str">
        <f>IF(C7365&amp;G7365&amp;D7365&lt;&gt;'Funnel setup'!$K$3&amp;'Funnel setup'!$K$4&amp;'Funnel setup'!$K$5,".",IF(A7364=".",1,A7364+1))</f>
        <v>.</v>
      </c>
      <c r="B7365" s="431" t="str">
        <f t="shared" si="115"/>
        <v/>
      </c>
      <c r="H7365" s="145"/>
      <c r="I7365" s="145"/>
      <c r="J7365" s="145"/>
      <c r="K7365" s="145"/>
      <c r="L7365" s="145"/>
      <c r="M7365" s="145"/>
      <c r="N7365" s="145"/>
      <c r="O7365" s="145"/>
      <c r="P7365" s="145"/>
      <c r="Q7365" s="145"/>
    </row>
    <row r="7366" spans="1:17" x14ac:dyDescent="0.2">
      <c r="A7366" s="30" t="str">
        <f>IF(C7366&amp;G7366&amp;D7366&lt;&gt;'Funnel setup'!$K$3&amp;'Funnel setup'!$K$4&amp;'Funnel setup'!$K$5,".",IF(A7365=".",1,A7365+1))</f>
        <v>.</v>
      </c>
      <c r="B7366" s="431" t="str">
        <f t="shared" si="115"/>
        <v/>
      </c>
      <c r="H7366" s="145"/>
      <c r="I7366" s="145"/>
      <c r="J7366" s="145"/>
      <c r="K7366" s="145"/>
      <c r="L7366" s="145"/>
      <c r="M7366" s="145"/>
      <c r="N7366" s="145"/>
      <c r="O7366" s="145"/>
      <c r="P7366" s="145"/>
      <c r="Q7366" s="145"/>
    </row>
    <row r="7367" spans="1:17" x14ac:dyDescent="0.2">
      <c r="A7367" s="30" t="str">
        <f>IF(C7367&amp;G7367&amp;D7367&lt;&gt;'Funnel setup'!$K$3&amp;'Funnel setup'!$K$4&amp;'Funnel setup'!$K$5,".",IF(A7366=".",1,A7366+1))</f>
        <v>.</v>
      </c>
      <c r="B7367" s="431" t="str">
        <f t="shared" si="115"/>
        <v/>
      </c>
      <c r="H7367" s="145"/>
      <c r="I7367" s="145"/>
      <c r="J7367" s="145"/>
      <c r="K7367" s="145"/>
      <c r="L7367" s="145"/>
      <c r="M7367" s="145"/>
      <c r="N7367" s="145"/>
      <c r="O7367" s="145"/>
      <c r="P7367" s="145"/>
      <c r="Q7367" s="145"/>
    </row>
    <row r="7368" spans="1:17" x14ac:dyDescent="0.2">
      <c r="A7368" s="30" t="str">
        <f>IF(C7368&amp;G7368&amp;D7368&lt;&gt;'Funnel setup'!$K$3&amp;'Funnel setup'!$K$4&amp;'Funnel setup'!$K$5,".",IF(A7367=".",1,A7367+1))</f>
        <v>.</v>
      </c>
      <c r="B7368" s="431" t="str">
        <f t="shared" si="115"/>
        <v/>
      </c>
      <c r="H7368" s="145"/>
      <c r="I7368" s="145"/>
      <c r="J7368" s="145"/>
      <c r="K7368" s="145"/>
      <c r="L7368" s="145"/>
      <c r="M7368" s="145"/>
      <c r="N7368" s="145"/>
      <c r="O7368" s="145"/>
      <c r="P7368" s="145"/>
      <c r="Q7368" s="145"/>
    </row>
    <row r="7369" spans="1:17" x14ac:dyDescent="0.2">
      <c r="A7369" s="30" t="str">
        <f>IF(C7369&amp;G7369&amp;D7369&lt;&gt;'Funnel setup'!$K$3&amp;'Funnel setup'!$K$4&amp;'Funnel setup'!$K$5,".",IF(A7368=".",1,A7368+1))</f>
        <v>.</v>
      </c>
      <c r="B7369" s="431" t="str">
        <f t="shared" si="115"/>
        <v/>
      </c>
      <c r="H7369" s="145"/>
      <c r="I7369" s="145"/>
      <c r="J7369" s="145"/>
      <c r="K7369" s="145"/>
      <c r="L7369" s="145"/>
      <c r="M7369" s="145"/>
      <c r="N7369" s="145"/>
      <c r="O7369" s="145"/>
      <c r="P7369" s="145"/>
      <c r="Q7369" s="145"/>
    </row>
    <row r="7370" spans="1:17" x14ac:dyDescent="0.2">
      <c r="A7370" s="30" t="str">
        <f>IF(C7370&amp;G7370&amp;D7370&lt;&gt;'Funnel setup'!$K$3&amp;'Funnel setup'!$K$4&amp;'Funnel setup'!$K$5,".",IF(A7369=".",1,A7369+1))</f>
        <v>.</v>
      </c>
      <c r="B7370" s="431" t="str">
        <f t="shared" si="115"/>
        <v/>
      </c>
      <c r="H7370" s="145"/>
      <c r="I7370" s="145"/>
      <c r="J7370" s="145"/>
      <c r="K7370" s="145"/>
      <c r="L7370" s="145"/>
      <c r="M7370" s="145"/>
      <c r="N7370" s="145"/>
      <c r="O7370" s="145"/>
      <c r="P7370" s="145"/>
      <c r="Q7370" s="145"/>
    </row>
    <row r="7371" spans="1:17" x14ac:dyDescent="0.2">
      <c r="A7371" s="30" t="str">
        <f>IF(C7371&amp;G7371&amp;D7371&lt;&gt;'Funnel setup'!$K$3&amp;'Funnel setup'!$K$4&amp;'Funnel setup'!$K$5,".",IF(A7370=".",1,A7370+1))</f>
        <v>.</v>
      </c>
      <c r="B7371" s="431" t="str">
        <f t="shared" si="115"/>
        <v/>
      </c>
      <c r="H7371" s="145"/>
      <c r="I7371" s="145"/>
      <c r="J7371" s="145"/>
      <c r="K7371" s="145"/>
      <c r="L7371" s="145"/>
      <c r="M7371" s="145"/>
      <c r="N7371" s="145"/>
      <c r="O7371" s="145"/>
      <c r="P7371" s="145"/>
      <c r="Q7371" s="145"/>
    </row>
    <row r="7372" spans="1:17" x14ac:dyDescent="0.2">
      <c r="A7372" s="30" t="str">
        <f>IF(C7372&amp;G7372&amp;D7372&lt;&gt;'Funnel setup'!$K$3&amp;'Funnel setup'!$K$4&amp;'Funnel setup'!$K$5,".",IF(A7371=".",1,A7371+1))</f>
        <v>.</v>
      </c>
      <c r="B7372" s="431" t="str">
        <f t="shared" si="115"/>
        <v/>
      </c>
      <c r="H7372" s="145"/>
      <c r="I7372" s="145"/>
      <c r="J7372" s="145"/>
      <c r="K7372" s="145"/>
      <c r="L7372" s="145"/>
      <c r="M7372" s="145"/>
      <c r="N7372" s="145"/>
      <c r="O7372" s="145"/>
      <c r="P7372" s="145"/>
      <c r="Q7372" s="145"/>
    </row>
    <row r="7373" spans="1:17" x14ac:dyDescent="0.2">
      <c r="A7373" s="30" t="str">
        <f>IF(C7373&amp;G7373&amp;D7373&lt;&gt;'Funnel setup'!$K$3&amp;'Funnel setup'!$K$4&amp;'Funnel setup'!$K$5,".",IF(A7372=".",1,A7372+1))</f>
        <v>.</v>
      </c>
      <c r="B7373" s="431" t="str">
        <f t="shared" si="115"/>
        <v/>
      </c>
      <c r="H7373" s="145"/>
      <c r="I7373" s="145"/>
      <c r="J7373" s="145"/>
      <c r="K7373" s="145"/>
      <c r="L7373" s="145"/>
      <c r="M7373" s="145"/>
      <c r="N7373" s="145"/>
      <c r="O7373" s="145"/>
      <c r="P7373" s="145"/>
      <c r="Q7373" s="145"/>
    </row>
    <row r="7374" spans="1:17" x14ac:dyDescent="0.2">
      <c r="A7374" s="30" t="str">
        <f>IF(C7374&amp;G7374&amp;D7374&lt;&gt;'Funnel setup'!$K$3&amp;'Funnel setup'!$K$4&amp;'Funnel setup'!$K$5,".",IF(A7373=".",1,A7373+1))</f>
        <v>.</v>
      </c>
      <c r="B7374" s="431" t="str">
        <f t="shared" si="115"/>
        <v/>
      </c>
      <c r="H7374" s="145"/>
      <c r="I7374" s="145"/>
      <c r="J7374" s="145"/>
      <c r="K7374" s="145"/>
      <c r="L7374" s="145"/>
      <c r="M7374" s="145"/>
      <c r="N7374" s="145"/>
      <c r="O7374" s="145"/>
      <c r="P7374" s="145"/>
      <c r="Q7374" s="145"/>
    </row>
    <row r="7375" spans="1:17" x14ac:dyDescent="0.2">
      <c r="A7375" s="30" t="str">
        <f>IF(C7375&amp;G7375&amp;D7375&lt;&gt;'Funnel setup'!$K$3&amp;'Funnel setup'!$K$4&amp;'Funnel setup'!$K$5,".",IF(A7374=".",1,A7374+1))</f>
        <v>.</v>
      </c>
      <c r="B7375" s="431" t="str">
        <f t="shared" si="115"/>
        <v/>
      </c>
      <c r="H7375" s="145"/>
      <c r="I7375" s="145"/>
      <c r="J7375" s="145"/>
      <c r="K7375" s="145"/>
      <c r="L7375" s="145"/>
      <c r="M7375" s="145"/>
      <c r="N7375" s="145"/>
      <c r="O7375" s="145"/>
      <c r="P7375" s="145"/>
      <c r="Q7375" s="145"/>
    </row>
    <row r="7376" spans="1:17" x14ac:dyDescent="0.2">
      <c r="A7376" s="30" t="str">
        <f>IF(C7376&amp;G7376&amp;D7376&lt;&gt;'Funnel setup'!$K$3&amp;'Funnel setup'!$K$4&amp;'Funnel setup'!$K$5,".",IF(A7375=".",1,A7375+1))</f>
        <v>.</v>
      </c>
      <c r="B7376" s="431" t="str">
        <f t="shared" si="115"/>
        <v/>
      </c>
      <c r="H7376" s="145"/>
      <c r="I7376" s="145"/>
      <c r="J7376" s="145"/>
      <c r="K7376" s="145"/>
      <c r="L7376" s="145"/>
      <c r="M7376" s="145"/>
      <c r="N7376" s="145"/>
      <c r="O7376" s="145"/>
      <c r="P7376" s="145"/>
      <c r="Q7376" s="145"/>
    </row>
    <row r="7377" spans="1:17" x14ac:dyDescent="0.2">
      <c r="A7377" s="30" t="str">
        <f>IF(C7377&amp;G7377&amp;D7377&lt;&gt;'Funnel setup'!$K$3&amp;'Funnel setup'!$K$4&amp;'Funnel setup'!$K$5,".",IF(A7376=".",1,A7376+1))</f>
        <v>.</v>
      </c>
      <c r="B7377" s="431" t="str">
        <f t="shared" si="115"/>
        <v/>
      </c>
      <c r="H7377" s="145"/>
      <c r="I7377" s="145"/>
      <c r="J7377" s="145"/>
      <c r="K7377" s="145"/>
      <c r="L7377" s="145"/>
      <c r="M7377" s="145"/>
      <c r="N7377" s="145"/>
      <c r="O7377" s="145"/>
      <c r="P7377" s="145"/>
      <c r="Q7377" s="145"/>
    </row>
    <row r="7378" spans="1:17" x14ac:dyDescent="0.2">
      <c r="A7378" s="30" t="str">
        <f>IF(C7378&amp;G7378&amp;D7378&lt;&gt;'Funnel setup'!$K$3&amp;'Funnel setup'!$K$4&amp;'Funnel setup'!$K$5,".",IF(A7377=".",1,A7377+1))</f>
        <v>.</v>
      </c>
      <c r="B7378" s="431" t="str">
        <f t="shared" si="115"/>
        <v/>
      </c>
      <c r="H7378" s="145"/>
      <c r="I7378" s="145"/>
      <c r="J7378" s="145"/>
      <c r="K7378" s="145"/>
      <c r="L7378" s="145"/>
      <c r="M7378" s="145"/>
      <c r="N7378" s="145"/>
      <c r="O7378" s="145"/>
      <c r="P7378" s="145"/>
      <c r="Q7378" s="145"/>
    </row>
    <row r="7379" spans="1:17" x14ac:dyDescent="0.2">
      <c r="A7379" s="30" t="str">
        <f>IF(C7379&amp;G7379&amp;D7379&lt;&gt;'Funnel setup'!$K$3&amp;'Funnel setup'!$K$4&amp;'Funnel setup'!$K$5,".",IF(A7378=".",1,A7378+1))</f>
        <v>.</v>
      </c>
      <c r="B7379" s="431" t="str">
        <f t="shared" si="115"/>
        <v/>
      </c>
      <c r="H7379" s="145"/>
      <c r="I7379" s="145"/>
      <c r="J7379" s="145"/>
      <c r="K7379" s="145"/>
      <c r="L7379" s="145"/>
      <c r="M7379" s="145"/>
      <c r="N7379" s="145"/>
      <c r="O7379" s="145"/>
      <c r="P7379" s="145"/>
      <c r="Q7379" s="145"/>
    </row>
    <row r="7380" spans="1:17" x14ac:dyDescent="0.2">
      <c r="A7380" s="30" t="str">
        <f>IF(C7380&amp;G7380&amp;D7380&lt;&gt;'Funnel setup'!$K$3&amp;'Funnel setup'!$K$4&amp;'Funnel setup'!$K$5,".",IF(A7379=".",1,A7379+1))</f>
        <v>.</v>
      </c>
      <c r="B7380" s="431" t="str">
        <f t="shared" si="115"/>
        <v/>
      </c>
      <c r="H7380" s="145"/>
      <c r="I7380" s="145"/>
      <c r="J7380" s="145"/>
      <c r="K7380" s="145"/>
      <c r="L7380" s="145"/>
      <c r="M7380" s="145"/>
      <c r="N7380" s="145"/>
      <c r="O7380" s="145"/>
      <c r="P7380" s="145"/>
      <c r="Q7380" s="145"/>
    </row>
    <row r="7381" spans="1:17" x14ac:dyDescent="0.2">
      <c r="A7381" s="30" t="str">
        <f>IF(C7381&amp;G7381&amp;D7381&lt;&gt;'Funnel setup'!$K$3&amp;'Funnel setup'!$K$4&amp;'Funnel setup'!$K$5,".",IF(A7380=".",1,A7380+1))</f>
        <v>.</v>
      </c>
      <c r="B7381" s="431" t="str">
        <f t="shared" si="115"/>
        <v/>
      </c>
      <c r="H7381" s="145"/>
      <c r="I7381" s="145"/>
      <c r="J7381" s="145"/>
      <c r="K7381" s="145"/>
      <c r="L7381" s="145"/>
      <c r="M7381" s="145"/>
      <c r="N7381" s="145"/>
      <c r="O7381" s="145"/>
      <c r="P7381" s="145"/>
      <c r="Q7381" s="145"/>
    </row>
    <row r="7382" spans="1:17" x14ac:dyDescent="0.2">
      <c r="A7382" s="30" t="str">
        <f>IF(C7382&amp;G7382&amp;D7382&lt;&gt;'Funnel setup'!$K$3&amp;'Funnel setup'!$K$4&amp;'Funnel setup'!$K$5,".",IF(A7381=".",1,A7381+1))</f>
        <v>.</v>
      </c>
      <c r="B7382" s="431" t="str">
        <f t="shared" si="115"/>
        <v/>
      </c>
      <c r="H7382" s="145"/>
      <c r="I7382" s="145"/>
      <c r="J7382" s="145"/>
      <c r="K7382" s="145"/>
      <c r="L7382" s="145"/>
      <c r="M7382" s="145"/>
      <c r="N7382" s="145"/>
      <c r="O7382" s="145"/>
      <c r="P7382" s="145"/>
      <c r="Q7382" s="145"/>
    </row>
    <row r="7383" spans="1:17" x14ac:dyDescent="0.2">
      <c r="A7383" s="30" t="str">
        <f>IF(C7383&amp;G7383&amp;D7383&lt;&gt;'Funnel setup'!$K$3&amp;'Funnel setup'!$K$4&amp;'Funnel setup'!$K$5,".",IF(A7382=".",1,A7382+1))</f>
        <v>.</v>
      </c>
      <c r="B7383" s="431" t="str">
        <f t="shared" si="115"/>
        <v/>
      </c>
      <c r="H7383" s="145"/>
      <c r="I7383" s="145"/>
      <c r="J7383" s="145"/>
      <c r="K7383" s="145"/>
      <c r="L7383" s="145"/>
      <c r="M7383" s="145"/>
      <c r="N7383" s="145"/>
      <c r="O7383" s="145"/>
      <c r="P7383" s="145"/>
      <c r="Q7383" s="145"/>
    </row>
    <row r="7384" spans="1:17" x14ac:dyDescent="0.2">
      <c r="A7384" s="30" t="str">
        <f>IF(C7384&amp;G7384&amp;D7384&lt;&gt;'Funnel setup'!$K$3&amp;'Funnel setup'!$K$4&amp;'Funnel setup'!$K$5,".",IF(A7383=".",1,A7383+1))</f>
        <v>.</v>
      </c>
      <c r="B7384" s="431" t="str">
        <f t="shared" si="115"/>
        <v/>
      </c>
      <c r="H7384" s="145"/>
      <c r="I7384" s="145"/>
      <c r="J7384" s="145"/>
      <c r="K7384" s="145"/>
      <c r="L7384" s="145"/>
      <c r="M7384" s="145"/>
      <c r="N7384" s="145"/>
      <c r="O7384" s="145"/>
      <c r="P7384" s="145"/>
      <c r="Q7384" s="145"/>
    </row>
    <row r="7385" spans="1:17" x14ac:dyDescent="0.2">
      <c r="A7385" s="30" t="str">
        <f>IF(C7385&amp;G7385&amp;D7385&lt;&gt;'Funnel setup'!$K$3&amp;'Funnel setup'!$K$4&amp;'Funnel setup'!$K$5,".",IF(A7384=".",1,A7384+1))</f>
        <v>.</v>
      </c>
      <c r="B7385" s="431" t="str">
        <f t="shared" si="115"/>
        <v/>
      </c>
      <c r="H7385" s="145"/>
      <c r="I7385" s="145"/>
      <c r="J7385" s="145"/>
      <c r="K7385" s="145"/>
      <c r="L7385" s="145"/>
      <c r="M7385" s="145"/>
      <c r="N7385" s="145"/>
      <c r="O7385" s="145"/>
      <c r="P7385" s="145"/>
      <c r="Q7385" s="145"/>
    </row>
    <row r="7386" spans="1:17" x14ac:dyDescent="0.2">
      <c r="A7386" s="30" t="str">
        <f>IF(C7386&amp;G7386&amp;D7386&lt;&gt;'Funnel setup'!$K$3&amp;'Funnel setup'!$K$4&amp;'Funnel setup'!$K$5,".",IF(A7385=".",1,A7385+1))</f>
        <v>.</v>
      </c>
      <c r="B7386" s="431" t="str">
        <f t="shared" si="115"/>
        <v/>
      </c>
      <c r="H7386" s="145"/>
      <c r="I7386" s="145"/>
      <c r="J7386" s="145"/>
      <c r="K7386" s="145"/>
      <c r="L7386" s="145"/>
      <c r="M7386" s="145"/>
      <c r="N7386" s="145"/>
      <c r="O7386" s="145"/>
      <c r="P7386" s="145"/>
      <c r="Q7386" s="145"/>
    </row>
    <row r="7387" spans="1:17" x14ac:dyDescent="0.2">
      <c r="A7387" s="30" t="str">
        <f>IF(C7387&amp;G7387&amp;D7387&lt;&gt;'Funnel setup'!$K$3&amp;'Funnel setup'!$K$4&amp;'Funnel setup'!$K$5,".",IF(A7386=".",1,A7386+1))</f>
        <v>.</v>
      </c>
      <c r="B7387" s="431" t="str">
        <f t="shared" si="115"/>
        <v/>
      </c>
      <c r="H7387" s="145"/>
      <c r="I7387" s="145"/>
      <c r="J7387" s="145"/>
      <c r="K7387" s="145"/>
      <c r="L7387" s="145"/>
      <c r="M7387" s="145"/>
      <c r="N7387" s="145"/>
      <c r="O7387" s="145"/>
      <c r="P7387" s="145"/>
      <c r="Q7387" s="145"/>
    </row>
    <row r="7388" spans="1:17" x14ac:dyDescent="0.2">
      <c r="A7388" s="30" t="str">
        <f>IF(C7388&amp;G7388&amp;D7388&lt;&gt;'Funnel setup'!$K$3&amp;'Funnel setup'!$K$4&amp;'Funnel setup'!$K$5,".",IF(A7387=".",1,A7387+1))</f>
        <v>.</v>
      </c>
      <c r="B7388" s="431" t="str">
        <f t="shared" si="115"/>
        <v/>
      </c>
      <c r="H7388" s="145"/>
      <c r="I7388" s="145"/>
      <c r="J7388" s="145"/>
      <c r="K7388" s="145"/>
      <c r="L7388" s="145"/>
      <c r="M7388" s="145"/>
      <c r="N7388" s="145"/>
      <c r="O7388" s="145"/>
      <c r="P7388" s="145"/>
      <c r="Q7388" s="145"/>
    </row>
    <row r="7389" spans="1:17" x14ac:dyDescent="0.2">
      <c r="A7389" s="30" t="str">
        <f>IF(C7389&amp;G7389&amp;D7389&lt;&gt;'Funnel setup'!$K$3&amp;'Funnel setup'!$K$4&amp;'Funnel setup'!$K$5,".",IF(A7388=".",1,A7388+1))</f>
        <v>.</v>
      </c>
      <c r="B7389" s="431" t="str">
        <f t="shared" si="115"/>
        <v/>
      </c>
      <c r="H7389" s="145"/>
      <c r="I7389" s="145"/>
      <c r="J7389" s="145"/>
      <c r="K7389" s="145"/>
      <c r="L7389" s="145"/>
      <c r="M7389" s="145"/>
      <c r="N7389" s="145"/>
      <c r="O7389" s="145"/>
      <c r="P7389" s="145"/>
      <c r="Q7389" s="145"/>
    </row>
    <row r="7390" spans="1:17" x14ac:dyDescent="0.2">
      <c r="A7390" s="30" t="str">
        <f>IF(C7390&amp;G7390&amp;D7390&lt;&gt;'Funnel setup'!$K$3&amp;'Funnel setup'!$K$4&amp;'Funnel setup'!$K$5,".",IF(A7389=".",1,A7389+1))</f>
        <v>.</v>
      </c>
      <c r="B7390" s="431" t="str">
        <f t="shared" si="115"/>
        <v/>
      </c>
      <c r="H7390" s="145"/>
      <c r="I7390" s="145"/>
      <c r="J7390" s="145"/>
      <c r="K7390" s="145"/>
      <c r="L7390" s="145"/>
      <c r="M7390" s="145"/>
      <c r="N7390" s="145"/>
      <c r="O7390" s="145"/>
      <c r="P7390" s="145"/>
      <c r="Q7390" s="145"/>
    </row>
    <row r="7391" spans="1:17" x14ac:dyDescent="0.2">
      <c r="A7391" s="30" t="str">
        <f>IF(C7391&amp;G7391&amp;D7391&lt;&gt;'Funnel setup'!$K$3&amp;'Funnel setup'!$K$4&amp;'Funnel setup'!$K$5,".",IF(A7390=".",1,A7390+1))</f>
        <v>.</v>
      </c>
      <c r="B7391" s="431" t="str">
        <f t="shared" si="115"/>
        <v/>
      </c>
      <c r="H7391" s="145"/>
      <c r="I7391" s="145"/>
      <c r="J7391" s="145"/>
      <c r="K7391" s="145"/>
      <c r="L7391" s="145"/>
      <c r="M7391" s="145"/>
      <c r="N7391" s="145"/>
      <c r="O7391" s="145"/>
      <c r="P7391" s="145"/>
      <c r="Q7391" s="145"/>
    </row>
    <row r="7392" spans="1:17" x14ac:dyDescent="0.2">
      <c r="A7392" s="30" t="str">
        <f>IF(C7392&amp;G7392&amp;D7392&lt;&gt;'Funnel setup'!$K$3&amp;'Funnel setup'!$K$4&amp;'Funnel setup'!$K$5,".",IF(A7391=".",1,A7391+1))</f>
        <v>.</v>
      </c>
      <c r="B7392" s="431" t="str">
        <f t="shared" si="115"/>
        <v/>
      </c>
      <c r="H7392" s="145"/>
      <c r="I7392" s="145"/>
      <c r="J7392" s="145"/>
      <c r="K7392" s="145"/>
      <c r="L7392" s="145"/>
      <c r="M7392" s="145"/>
      <c r="N7392" s="145"/>
      <c r="O7392" s="145"/>
      <c r="P7392" s="145"/>
      <c r="Q7392" s="145"/>
    </row>
    <row r="7393" spans="1:17" x14ac:dyDescent="0.2">
      <c r="A7393" s="30" t="str">
        <f>IF(C7393&amp;G7393&amp;D7393&lt;&gt;'Funnel setup'!$K$3&amp;'Funnel setup'!$K$4&amp;'Funnel setup'!$K$5,".",IF(A7392=".",1,A7392+1))</f>
        <v>.</v>
      </c>
      <c r="B7393" s="431" t="str">
        <f t="shared" si="115"/>
        <v/>
      </c>
      <c r="H7393" s="145"/>
      <c r="I7393" s="145"/>
      <c r="J7393" s="145"/>
      <c r="K7393" s="145"/>
      <c r="L7393" s="145"/>
      <c r="M7393" s="145"/>
      <c r="N7393" s="145"/>
      <c r="O7393" s="145"/>
      <c r="P7393" s="145"/>
      <c r="Q7393" s="145"/>
    </row>
    <row r="7394" spans="1:17" x14ac:dyDescent="0.2">
      <c r="A7394" s="30" t="str">
        <f>IF(C7394&amp;G7394&amp;D7394&lt;&gt;'Funnel setup'!$K$3&amp;'Funnel setup'!$K$4&amp;'Funnel setup'!$K$5,".",IF(A7393=".",1,A7393+1))</f>
        <v>.</v>
      </c>
      <c r="B7394" s="431" t="str">
        <f t="shared" si="115"/>
        <v/>
      </c>
      <c r="H7394" s="145"/>
      <c r="I7394" s="145"/>
      <c r="J7394" s="145"/>
      <c r="K7394" s="145"/>
      <c r="L7394" s="145"/>
      <c r="M7394" s="145"/>
      <c r="N7394" s="145"/>
      <c r="O7394" s="145"/>
      <c r="P7394" s="145"/>
      <c r="Q7394" s="145"/>
    </row>
    <row r="7395" spans="1:17" x14ac:dyDescent="0.2">
      <c r="A7395" s="30" t="str">
        <f>IF(C7395&amp;G7395&amp;D7395&lt;&gt;'Funnel setup'!$K$3&amp;'Funnel setup'!$K$4&amp;'Funnel setup'!$K$5,".",IF(A7394=".",1,A7394+1))</f>
        <v>.</v>
      </c>
      <c r="B7395" s="431" t="str">
        <f t="shared" si="115"/>
        <v/>
      </c>
      <c r="H7395" s="145"/>
      <c r="I7395" s="145"/>
      <c r="J7395" s="145"/>
      <c r="K7395" s="145"/>
      <c r="L7395" s="145"/>
      <c r="M7395" s="145"/>
      <c r="N7395" s="145"/>
      <c r="O7395" s="145"/>
      <c r="P7395" s="145"/>
      <c r="Q7395" s="145"/>
    </row>
    <row r="7396" spans="1:17" x14ac:dyDescent="0.2">
      <c r="A7396" s="30" t="str">
        <f>IF(C7396&amp;G7396&amp;D7396&lt;&gt;'Funnel setup'!$K$3&amp;'Funnel setup'!$K$4&amp;'Funnel setup'!$K$5,".",IF(A7395=".",1,A7395+1))</f>
        <v>.</v>
      </c>
      <c r="B7396" s="431" t="str">
        <f t="shared" si="115"/>
        <v/>
      </c>
      <c r="H7396" s="145"/>
      <c r="I7396" s="145"/>
      <c r="J7396" s="145"/>
      <c r="K7396" s="145"/>
      <c r="L7396" s="145"/>
      <c r="M7396" s="145"/>
      <c r="N7396" s="145"/>
      <c r="O7396" s="145"/>
      <c r="P7396" s="145"/>
      <c r="Q7396" s="145"/>
    </row>
    <row r="7397" spans="1:17" x14ac:dyDescent="0.2">
      <c r="A7397" s="30" t="str">
        <f>IF(C7397&amp;G7397&amp;D7397&lt;&gt;'Funnel setup'!$K$3&amp;'Funnel setup'!$K$4&amp;'Funnel setup'!$K$5,".",IF(A7396=".",1,A7396+1))</f>
        <v>.</v>
      </c>
      <c r="B7397" s="431" t="str">
        <f t="shared" si="115"/>
        <v/>
      </c>
      <c r="H7397" s="145"/>
      <c r="I7397" s="145"/>
      <c r="J7397" s="145"/>
      <c r="K7397" s="145"/>
      <c r="L7397" s="145"/>
      <c r="M7397" s="145"/>
      <c r="N7397" s="145"/>
      <c r="O7397" s="145"/>
      <c r="P7397" s="145"/>
      <c r="Q7397" s="145"/>
    </row>
    <row r="7398" spans="1:17" x14ac:dyDescent="0.2">
      <c r="A7398" s="30" t="str">
        <f>IF(C7398&amp;G7398&amp;D7398&lt;&gt;'Funnel setup'!$K$3&amp;'Funnel setup'!$K$4&amp;'Funnel setup'!$K$5,".",IF(A7397=".",1,A7397+1))</f>
        <v>.</v>
      </c>
      <c r="B7398" s="431" t="str">
        <f t="shared" si="115"/>
        <v/>
      </c>
      <c r="H7398" s="145"/>
      <c r="I7398" s="145"/>
      <c r="J7398" s="145"/>
      <c r="K7398" s="145"/>
      <c r="L7398" s="145"/>
      <c r="M7398" s="145"/>
      <c r="N7398" s="145"/>
      <c r="O7398" s="145"/>
      <c r="P7398" s="145"/>
      <c r="Q7398" s="145"/>
    </row>
    <row r="7399" spans="1:17" x14ac:dyDescent="0.2">
      <c r="A7399" s="30" t="str">
        <f>IF(C7399&amp;G7399&amp;D7399&lt;&gt;'Funnel setup'!$K$3&amp;'Funnel setup'!$K$4&amp;'Funnel setup'!$K$5,".",IF(A7398=".",1,A7398+1))</f>
        <v>.</v>
      </c>
      <c r="B7399" s="431" t="str">
        <f t="shared" si="115"/>
        <v/>
      </c>
      <c r="H7399" s="145"/>
      <c r="I7399" s="145"/>
      <c r="J7399" s="145"/>
      <c r="K7399" s="145"/>
      <c r="L7399" s="145"/>
      <c r="M7399" s="145"/>
      <c r="N7399" s="145"/>
      <c r="O7399" s="145"/>
      <c r="P7399" s="145"/>
      <c r="Q7399" s="145"/>
    </row>
    <row r="7400" spans="1:17" x14ac:dyDescent="0.2">
      <c r="A7400" s="30" t="str">
        <f>IF(C7400&amp;G7400&amp;D7400&lt;&gt;'Funnel setup'!$K$3&amp;'Funnel setup'!$K$4&amp;'Funnel setup'!$K$5,".",IF(A7399=".",1,A7399+1))</f>
        <v>.</v>
      </c>
      <c r="B7400" s="431" t="str">
        <f t="shared" si="115"/>
        <v/>
      </c>
      <c r="H7400" s="145"/>
      <c r="I7400" s="145"/>
      <c r="J7400" s="145"/>
      <c r="K7400" s="145"/>
      <c r="L7400" s="145"/>
      <c r="M7400" s="145"/>
      <c r="N7400" s="145"/>
      <c r="O7400" s="145"/>
      <c r="P7400" s="145"/>
      <c r="Q7400" s="145"/>
    </row>
    <row r="7401" spans="1:17" x14ac:dyDescent="0.2">
      <c r="A7401" s="30" t="str">
        <f>IF(C7401&amp;G7401&amp;D7401&lt;&gt;'Funnel setup'!$K$3&amp;'Funnel setup'!$K$4&amp;'Funnel setup'!$K$5,".",IF(A7400=".",1,A7400+1))</f>
        <v>.</v>
      </c>
      <c r="B7401" s="431" t="str">
        <f t="shared" si="115"/>
        <v/>
      </c>
      <c r="H7401" s="145"/>
      <c r="I7401" s="145"/>
      <c r="J7401" s="145"/>
      <c r="K7401" s="145"/>
      <c r="L7401" s="145"/>
      <c r="M7401" s="145"/>
      <c r="N7401" s="145"/>
      <c r="O7401" s="145"/>
      <c r="P7401" s="145"/>
      <c r="Q7401" s="145"/>
    </row>
    <row r="7402" spans="1:17" x14ac:dyDescent="0.2">
      <c r="A7402" s="30" t="str">
        <f>IF(C7402&amp;G7402&amp;D7402&lt;&gt;'Funnel setup'!$K$3&amp;'Funnel setup'!$K$4&amp;'Funnel setup'!$K$5,".",IF(A7401=".",1,A7401+1))</f>
        <v>.</v>
      </c>
      <c r="B7402" s="431" t="str">
        <f t="shared" si="115"/>
        <v/>
      </c>
      <c r="H7402" s="145"/>
      <c r="I7402" s="145"/>
      <c r="J7402" s="145"/>
      <c r="K7402" s="145"/>
      <c r="L7402" s="145"/>
      <c r="M7402" s="145"/>
      <c r="N7402" s="145"/>
      <c r="O7402" s="145"/>
      <c r="P7402" s="145"/>
      <c r="Q7402" s="145"/>
    </row>
    <row r="7403" spans="1:17" x14ac:dyDescent="0.2">
      <c r="A7403" s="30" t="str">
        <f>IF(C7403&amp;G7403&amp;D7403&lt;&gt;'Funnel setup'!$K$3&amp;'Funnel setup'!$K$4&amp;'Funnel setup'!$K$5,".",IF(A7402=".",1,A7402+1))</f>
        <v>.</v>
      </c>
      <c r="B7403" s="431" t="str">
        <f t="shared" si="115"/>
        <v/>
      </c>
      <c r="H7403" s="145"/>
      <c r="I7403" s="145"/>
      <c r="J7403" s="145"/>
      <c r="K7403" s="145"/>
      <c r="L7403" s="145"/>
      <c r="M7403" s="145"/>
      <c r="N7403" s="145"/>
      <c r="O7403" s="145"/>
      <c r="P7403" s="145"/>
      <c r="Q7403" s="145"/>
    </row>
    <row r="7404" spans="1:17" x14ac:dyDescent="0.2">
      <c r="A7404" s="30" t="str">
        <f>IF(C7404&amp;G7404&amp;D7404&lt;&gt;'Funnel setup'!$K$3&amp;'Funnel setup'!$K$4&amp;'Funnel setup'!$K$5,".",IF(A7403=".",1,A7403+1))</f>
        <v>.</v>
      </c>
      <c r="B7404" s="431" t="str">
        <f t="shared" si="115"/>
        <v/>
      </c>
      <c r="H7404" s="145"/>
      <c r="I7404" s="145"/>
      <c r="J7404" s="145"/>
      <c r="K7404" s="145"/>
      <c r="L7404" s="145"/>
      <c r="M7404" s="145"/>
      <c r="N7404" s="145"/>
      <c r="O7404" s="145"/>
      <c r="P7404" s="145"/>
      <c r="Q7404" s="145"/>
    </row>
    <row r="7405" spans="1:17" x14ac:dyDescent="0.2">
      <c r="A7405" s="30" t="str">
        <f>IF(C7405&amp;G7405&amp;D7405&lt;&gt;'Funnel setup'!$K$3&amp;'Funnel setup'!$K$4&amp;'Funnel setup'!$K$5,".",IF(A7404=".",1,A7404+1))</f>
        <v>.</v>
      </c>
      <c r="B7405" s="431" t="str">
        <f t="shared" si="115"/>
        <v/>
      </c>
      <c r="H7405" s="145"/>
      <c r="I7405" s="145"/>
      <c r="J7405" s="145"/>
      <c r="K7405" s="145"/>
      <c r="L7405" s="145"/>
      <c r="M7405" s="145"/>
      <c r="N7405" s="145"/>
      <c r="O7405" s="145"/>
      <c r="P7405" s="145"/>
      <c r="Q7405" s="145"/>
    </row>
    <row r="7406" spans="1:17" x14ac:dyDescent="0.2">
      <c r="A7406" s="30" t="str">
        <f>IF(C7406&amp;G7406&amp;D7406&lt;&gt;'Funnel setup'!$K$3&amp;'Funnel setup'!$K$4&amp;'Funnel setup'!$K$5,".",IF(A7405=".",1,A7405+1))</f>
        <v>.</v>
      </c>
      <c r="B7406" s="431" t="str">
        <f t="shared" si="115"/>
        <v/>
      </c>
      <c r="H7406" s="145"/>
      <c r="I7406" s="145"/>
      <c r="J7406" s="145"/>
      <c r="K7406" s="145"/>
      <c r="L7406" s="145"/>
      <c r="M7406" s="145"/>
      <c r="N7406" s="145"/>
      <c r="O7406" s="145"/>
      <c r="P7406" s="145"/>
      <c r="Q7406" s="145"/>
    </row>
    <row r="7407" spans="1:17" x14ac:dyDescent="0.2">
      <c r="A7407" s="30" t="str">
        <f>IF(C7407&amp;G7407&amp;D7407&lt;&gt;'Funnel setup'!$K$3&amp;'Funnel setup'!$K$4&amp;'Funnel setup'!$K$5,".",IF(A7406=".",1,A7406+1))</f>
        <v>.</v>
      </c>
      <c r="B7407" s="431" t="str">
        <f t="shared" si="115"/>
        <v/>
      </c>
      <c r="H7407" s="145"/>
      <c r="I7407" s="145"/>
      <c r="J7407" s="145"/>
      <c r="K7407" s="145"/>
      <c r="L7407" s="145"/>
      <c r="M7407" s="145"/>
      <c r="N7407" s="145"/>
      <c r="O7407" s="145"/>
      <c r="P7407" s="145"/>
      <c r="Q7407" s="145"/>
    </row>
    <row r="7408" spans="1:17" x14ac:dyDescent="0.2">
      <c r="A7408" s="30" t="str">
        <f>IF(C7408&amp;G7408&amp;D7408&lt;&gt;'Funnel setup'!$K$3&amp;'Funnel setup'!$K$4&amp;'Funnel setup'!$K$5,".",IF(A7407=".",1,A7407+1))</f>
        <v>.</v>
      </c>
      <c r="B7408" s="431" t="str">
        <f t="shared" si="115"/>
        <v/>
      </c>
      <c r="H7408" s="145"/>
      <c r="I7408" s="145"/>
      <c r="J7408" s="145"/>
      <c r="K7408" s="145"/>
      <c r="L7408" s="145"/>
      <c r="M7408" s="145"/>
      <c r="N7408" s="145"/>
      <c r="O7408" s="145"/>
      <c r="P7408" s="145"/>
      <c r="Q7408" s="145"/>
    </row>
    <row r="7409" spans="1:17" x14ac:dyDescent="0.2">
      <c r="A7409" s="30" t="str">
        <f>IF(C7409&amp;G7409&amp;D7409&lt;&gt;'Funnel setup'!$K$3&amp;'Funnel setup'!$K$4&amp;'Funnel setup'!$K$5,".",IF(A7408=".",1,A7408+1))</f>
        <v>.</v>
      </c>
      <c r="B7409" s="431" t="str">
        <f t="shared" si="115"/>
        <v/>
      </c>
      <c r="H7409" s="145"/>
      <c r="I7409" s="145"/>
      <c r="J7409" s="145"/>
      <c r="K7409" s="145"/>
      <c r="L7409" s="145"/>
      <c r="M7409" s="145"/>
      <c r="N7409" s="145"/>
      <c r="O7409" s="145"/>
      <c r="P7409" s="145"/>
      <c r="Q7409" s="145"/>
    </row>
    <row r="7410" spans="1:17" x14ac:dyDescent="0.2">
      <c r="A7410" s="30" t="str">
        <f>IF(C7410&amp;G7410&amp;D7410&lt;&gt;'Funnel setup'!$K$3&amp;'Funnel setup'!$K$4&amp;'Funnel setup'!$K$5,".",IF(A7409=".",1,A7409+1))</f>
        <v>.</v>
      </c>
      <c r="B7410" s="431" t="str">
        <f t="shared" si="115"/>
        <v/>
      </c>
      <c r="H7410" s="145"/>
      <c r="I7410" s="145"/>
      <c r="J7410" s="145"/>
      <c r="K7410" s="145"/>
      <c r="L7410" s="145"/>
      <c r="M7410" s="145"/>
      <c r="N7410" s="145"/>
      <c r="O7410" s="145"/>
      <c r="P7410" s="145"/>
      <c r="Q7410" s="145"/>
    </row>
    <row r="7411" spans="1:17" x14ac:dyDescent="0.2">
      <c r="A7411" s="30" t="str">
        <f>IF(C7411&amp;G7411&amp;D7411&lt;&gt;'Funnel setup'!$K$3&amp;'Funnel setup'!$K$4&amp;'Funnel setup'!$K$5,".",IF(A7410=".",1,A7410+1))</f>
        <v>.</v>
      </c>
      <c r="B7411" s="431" t="str">
        <f t="shared" si="115"/>
        <v/>
      </c>
      <c r="H7411" s="145"/>
      <c r="I7411" s="145"/>
      <c r="J7411" s="145"/>
      <c r="K7411" s="145"/>
      <c r="L7411" s="145"/>
      <c r="M7411" s="145"/>
      <c r="N7411" s="145"/>
      <c r="O7411" s="145"/>
      <c r="P7411" s="145"/>
      <c r="Q7411" s="145"/>
    </row>
    <row r="7412" spans="1:17" x14ac:dyDescent="0.2">
      <c r="A7412" s="30" t="str">
        <f>IF(C7412&amp;G7412&amp;D7412&lt;&gt;'Funnel setup'!$K$3&amp;'Funnel setup'!$K$4&amp;'Funnel setup'!$K$5,".",IF(A7411=".",1,A7411+1))</f>
        <v>.</v>
      </c>
      <c r="B7412" s="431" t="str">
        <f t="shared" si="115"/>
        <v/>
      </c>
      <c r="H7412" s="145"/>
      <c r="I7412" s="145"/>
      <c r="J7412" s="145"/>
      <c r="K7412" s="145"/>
      <c r="L7412" s="145"/>
      <c r="M7412" s="145"/>
      <c r="N7412" s="145"/>
      <c r="O7412" s="145"/>
      <c r="P7412" s="145"/>
      <c r="Q7412" s="145"/>
    </row>
    <row r="7413" spans="1:17" x14ac:dyDescent="0.2">
      <c r="A7413" s="30" t="str">
        <f>IF(C7413&amp;G7413&amp;D7413&lt;&gt;'Funnel setup'!$K$3&amp;'Funnel setup'!$K$4&amp;'Funnel setup'!$K$5,".",IF(A7412=".",1,A7412+1))</f>
        <v>.</v>
      </c>
      <c r="B7413" s="431" t="str">
        <f t="shared" si="115"/>
        <v/>
      </c>
      <c r="H7413" s="145"/>
      <c r="I7413" s="145"/>
      <c r="J7413" s="145"/>
      <c r="K7413" s="145"/>
      <c r="L7413" s="145"/>
      <c r="M7413" s="145"/>
      <c r="N7413" s="145"/>
      <c r="O7413" s="145"/>
      <c r="P7413" s="145"/>
      <c r="Q7413" s="145"/>
    </row>
    <row r="7414" spans="1:17" x14ac:dyDescent="0.2">
      <c r="A7414" s="30" t="str">
        <f>IF(C7414&amp;G7414&amp;D7414&lt;&gt;'Funnel setup'!$K$3&amp;'Funnel setup'!$K$4&amp;'Funnel setup'!$K$5,".",IF(A7413=".",1,A7413+1))</f>
        <v>.</v>
      </c>
      <c r="B7414" s="431" t="str">
        <f t="shared" si="115"/>
        <v/>
      </c>
      <c r="H7414" s="145"/>
      <c r="I7414" s="145"/>
      <c r="J7414" s="145"/>
      <c r="K7414" s="145"/>
      <c r="L7414" s="145"/>
      <c r="M7414" s="145"/>
      <c r="N7414" s="145"/>
      <c r="O7414" s="145"/>
      <c r="P7414" s="145"/>
      <c r="Q7414" s="145"/>
    </row>
    <row r="7415" spans="1:17" x14ac:dyDescent="0.2">
      <c r="A7415" s="30" t="str">
        <f>IF(C7415&amp;G7415&amp;D7415&lt;&gt;'Funnel setup'!$K$3&amp;'Funnel setup'!$K$4&amp;'Funnel setup'!$K$5,".",IF(A7414=".",1,A7414+1))</f>
        <v>.</v>
      </c>
      <c r="B7415" s="431" t="str">
        <f t="shared" si="115"/>
        <v/>
      </c>
      <c r="H7415" s="145"/>
      <c r="I7415" s="145"/>
      <c r="J7415" s="145"/>
      <c r="K7415" s="145"/>
      <c r="L7415" s="145"/>
      <c r="M7415" s="145"/>
      <c r="N7415" s="145"/>
      <c r="O7415" s="145"/>
      <c r="P7415" s="145"/>
      <c r="Q7415" s="145"/>
    </row>
    <row r="7416" spans="1:17" x14ac:dyDescent="0.2">
      <c r="A7416" s="30" t="str">
        <f>IF(C7416&amp;G7416&amp;D7416&lt;&gt;'Funnel setup'!$K$3&amp;'Funnel setup'!$K$4&amp;'Funnel setup'!$K$5,".",IF(A7415=".",1,A7415+1))</f>
        <v>.</v>
      </c>
      <c r="B7416" s="431" t="str">
        <f t="shared" si="115"/>
        <v/>
      </c>
      <c r="H7416" s="145"/>
      <c r="I7416" s="145"/>
      <c r="J7416" s="145"/>
      <c r="K7416" s="145"/>
      <c r="L7416" s="145"/>
      <c r="M7416" s="145"/>
      <c r="N7416" s="145"/>
      <c r="O7416" s="145"/>
      <c r="P7416" s="145"/>
      <c r="Q7416" s="145"/>
    </row>
    <row r="7417" spans="1:17" x14ac:dyDescent="0.2">
      <c r="A7417" s="30" t="str">
        <f>IF(C7417&amp;G7417&amp;D7417&lt;&gt;'Funnel setup'!$K$3&amp;'Funnel setup'!$K$4&amp;'Funnel setup'!$K$5,".",IF(A7416=".",1,A7416+1))</f>
        <v>.</v>
      </c>
      <c r="B7417" s="431" t="str">
        <f t="shared" si="115"/>
        <v/>
      </c>
      <c r="H7417" s="145"/>
      <c r="I7417" s="145"/>
      <c r="J7417" s="145"/>
      <c r="K7417" s="145"/>
      <c r="L7417" s="145"/>
      <c r="M7417" s="145"/>
      <c r="N7417" s="145"/>
      <c r="O7417" s="145"/>
      <c r="P7417" s="145"/>
      <c r="Q7417" s="145"/>
    </row>
    <row r="7418" spans="1:17" x14ac:dyDescent="0.2">
      <c r="A7418" s="30" t="str">
        <f>IF(C7418&amp;G7418&amp;D7418&lt;&gt;'Funnel setup'!$K$3&amp;'Funnel setup'!$K$4&amp;'Funnel setup'!$K$5,".",IF(A7417=".",1,A7417+1))</f>
        <v>.</v>
      </c>
      <c r="B7418" s="431" t="str">
        <f t="shared" si="115"/>
        <v/>
      </c>
      <c r="H7418" s="145"/>
      <c r="I7418" s="145"/>
      <c r="J7418" s="145"/>
      <c r="K7418" s="145"/>
      <c r="L7418" s="145"/>
      <c r="M7418" s="145"/>
      <c r="N7418" s="145"/>
      <c r="O7418" s="145"/>
      <c r="P7418" s="145"/>
      <c r="Q7418" s="145"/>
    </row>
    <row r="7419" spans="1:17" x14ac:dyDescent="0.2">
      <c r="A7419" s="30" t="str">
        <f>IF(C7419&amp;G7419&amp;D7419&lt;&gt;'Funnel setup'!$K$3&amp;'Funnel setup'!$K$4&amp;'Funnel setup'!$K$5,".",IF(A7418=".",1,A7418+1))</f>
        <v>.</v>
      </c>
      <c r="B7419" s="431" t="str">
        <f t="shared" si="115"/>
        <v/>
      </c>
      <c r="H7419" s="145"/>
      <c r="I7419" s="145"/>
      <c r="J7419" s="145"/>
      <c r="K7419" s="145"/>
      <c r="L7419" s="145"/>
      <c r="M7419" s="145"/>
      <c r="N7419" s="145"/>
      <c r="O7419" s="145"/>
      <c r="P7419" s="145"/>
      <c r="Q7419" s="145"/>
    </row>
    <row r="7420" spans="1:17" x14ac:dyDescent="0.2">
      <c r="A7420" s="30" t="str">
        <f>IF(C7420&amp;G7420&amp;D7420&lt;&gt;'Funnel setup'!$K$3&amp;'Funnel setup'!$K$4&amp;'Funnel setup'!$K$5,".",IF(A7419=".",1,A7419+1))</f>
        <v>.</v>
      </c>
      <c r="B7420" s="431" t="str">
        <f t="shared" si="115"/>
        <v/>
      </c>
      <c r="H7420" s="145"/>
      <c r="I7420" s="145"/>
      <c r="J7420" s="145"/>
      <c r="K7420" s="145"/>
      <c r="L7420" s="145"/>
      <c r="M7420" s="145"/>
      <c r="N7420" s="145"/>
      <c r="O7420" s="145"/>
      <c r="P7420" s="145"/>
      <c r="Q7420" s="145"/>
    </row>
    <row r="7421" spans="1:17" x14ac:dyDescent="0.2">
      <c r="A7421" s="30" t="str">
        <f>IF(C7421&amp;G7421&amp;D7421&lt;&gt;'Funnel setup'!$K$3&amp;'Funnel setup'!$K$4&amp;'Funnel setup'!$K$5,".",IF(A7420=".",1,A7420+1))</f>
        <v>.</v>
      </c>
      <c r="B7421" s="431" t="str">
        <f t="shared" si="115"/>
        <v/>
      </c>
      <c r="H7421" s="145"/>
      <c r="I7421" s="145"/>
      <c r="J7421" s="145"/>
      <c r="K7421" s="145"/>
      <c r="L7421" s="145"/>
      <c r="M7421" s="145"/>
      <c r="N7421" s="145"/>
      <c r="O7421" s="145"/>
      <c r="P7421" s="145"/>
      <c r="Q7421" s="145"/>
    </row>
    <row r="7422" spans="1:17" x14ac:dyDescent="0.2">
      <c r="A7422" s="30" t="str">
        <f>IF(C7422&amp;G7422&amp;D7422&lt;&gt;'Funnel setup'!$K$3&amp;'Funnel setup'!$K$4&amp;'Funnel setup'!$K$5,".",IF(A7421=".",1,A7421+1))</f>
        <v>.</v>
      </c>
      <c r="B7422" s="431" t="str">
        <f t="shared" si="115"/>
        <v/>
      </c>
      <c r="H7422" s="145"/>
      <c r="I7422" s="145"/>
      <c r="J7422" s="145"/>
      <c r="K7422" s="145"/>
      <c r="L7422" s="145"/>
      <c r="M7422" s="145"/>
      <c r="N7422" s="145"/>
      <c r="O7422" s="145"/>
      <c r="P7422" s="145"/>
      <c r="Q7422" s="145"/>
    </row>
    <row r="7423" spans="1:17" x14ac:dyDescent="0.2">
      <c r="A7423" s="30" t="str">
        <f>IF(C7423&amp;G7423&amp;D7423&lt;&gt;'Funnel setup'!$K$3&amp;'Funnel setup'!$K$4&amp;'Funnel setup'!$K$5,".",IF(A7422=".",1,A7422+1))</f>
        <v>.</v>
      </c>
      <c r="B7423" s="431" t="str">
        <f t="shared" si="115"/>
        <v/>
      </c>
      <c r="H7423" s="145"/>
      <c r="I7423" s="145"/>
      <c r="J7423" s="145"/>
      <c r="K7423" s="145"/>
      <c r="L7423" s="145"/>
      <c r="M7423" s="145"/>
      <c r="N7423" s="145"/>
      <c r="O7423" s="145"/>
      <c r="P7423" s="145"/>
      <c r="Q7423" s="145"/>
    </row>
    <row r="7424" spans="1:17" x14ac:dyDescent="0.2">
      <c r="A7424" s="30" t="str">
        <f>IF(C7424&amp;G7424&amp;D7424&lt;&gt;'Funnel setup'!$K$3&amp;'Funnel setup'!$K$4&amp;'Funnel setup'!$K$5,".",IF(A7423=".",1,A7423+1))</f>
        <v>.</v>
      </c>
      <c r="B7424" s="431" t="str">
        <f t="shared" si="115"/>
        <v/>
      </c>
      <c r="H7424" s="145"/>
      <c r="I7424" s="145"/>
      <c r="J7424" s="145"/>
      <c r="K7424" s="145"/>
      <c r="L7424" s="145"/>
      <c r="M7424" s="145"/>
      <c r="N7424" s="145"/>
      <c r="O7424" s="145"/>
      <c r="P7424" s="145"/>
      <c r="Q7424" s="145"/>
    </row>
    <row r="7425" spans="1:17" x14ac:dyDescent="0.2">
      <c r="A7425" s="30" t="str">
        <f>IF(C7425&amp;G7425&amp;D7425&lt;&gt;'Funnel setup'!$K$3&amp;'Funnel setup'!$K$4&amp;'Funnel setup'!$K$5,".",IF(A7424=".",1,A7424+1))</f>
        <v>.</v>
      </c>
      <c r="B7425" s="431" t="str">
        <f t="shared" si="115"/>
        <v/>
      </c>
      <c r="H7425" s="145"/>
      <c r="I7425" s="145"/>
      <c r="J7425" s="145"/>
      <c r="K7425" s="145"/>
      <c r="L7425" s="145"/>
      <c r="M7425" s="145"/>
      <c r="N7425" s="145"/>
      <c r="O7425" s="145"/>
      <c r="P7425" s="145"/>
      <c r="Q7425" s="145"/>
    </row>
    <row r="7426" spans="1:17" x14ac:dyDescent="0.2">
      <c r="A7426" s="30" t="str">
        <f>IF(C7426&amp;G7426&amp;D7426&lt;&gt;'Funnel setup'!$K$3&amp;'Funnel setup'!$K$4&amp;'Funnel setup'!$K$5,".",IF(A7425=".",1,A7425+1))</f>
        <v>.</v>
      </c>
      <c r="B7426" s="431" t="str">
        <f t="shared" si="115"/>
        <v/>
      </c>
      <c r="H7426" s="145"/>
      <c r="I7426" s="145"/>
      <c r="J7426" s="145"/>
      <c r="K7426" s="145"/>
      <c r="L7426" s="145"/>
      <c r="M7426" s="145"/>
      <c r="N7426" s="145"/>
      <c r="O7426" s="145"/>
      <c r="P7426" s="145"/>
      <c r="Q7426" s="145"/>
    </row>
    <row r="7427" spans="1:17" x14ac:dyDescent="0.2">
      <c r="A7427" s="30" t="str">
        <f>IF(C7427&amp;G7427&amp;D7427&lt;&gt;'Funnel setup'!$K$3&amp;'Funnel setup'!$K$4&amp;'Funnel setup'!$K$5,".",IF(A7426=".",1,A7426+1))</f>
        <v>.</v>
      </c>
      <c r="B7427" s="431" t="str">
        <f t="shared" ref="B7427:B7435" si="116">C7427&amp;D7427&amp;F7427&amp;G7427</f>
        <v/>
      </c>
      <c r="H7427" s="145"/>
      <c r="I7427" s="145"/>
      <c r="J7427" s="145"/>
      <c r="K7427" s="145"/>
      <c r="L7427" s="145"/>
      <c r="M7427" s="145"/>
      <c r="N7427" s="145"/>
      <c r="O7427" s="145"/>
      <c r="P7427" s="145"/>
      <c r="Q7427" s="145"/>
    </row>
    <row r="7428" spans="1:17" x14ac:dyDescent="0.2">
      <c r="A7428" s="30" t="str">
        <f>IF(C7428&amp;G7428&amp;D7428&lt;&gt;'Funnel setup'!$K$3&amp;'Funnel setup'!$K$4&amp;'Funnel setup'!$K$5,".",IF(A7427=".",1,A7427+1))</f>
        <v>.</v>
      </c>
      <c r="B7428" s="431" t="str">
        <f t="shared" si="116"/>
        <v/>
      </c>
      <c r="H7428" s="145"/>
      <c r="I7428" s="145"/>
      <c r="J7428" s="145"/>
      <c r="K7428" s="145"/>
      <c r="L7428" s="145"/>
      <c r="M7428" s="145"/>
      <c r="N7428" s="145"/>
      <c r="O7428" s="145"/>
      <c r="P7428" s="145"/>
      <c r="Q7428" s="145"/>
    </row>
    <row r="7429" spans="1:17" x14ac:dyDescent="0.2">
      <c r="A7429" s="30" t="str">
        <f>IF(C7429&amp;G7429&amp;D7429&lt;&gt;'Funnel setup'!$K$3&amp;'Funnel setup'!$K$4&amp;'Funnel setup'!$K$5,".",IF(A7428=".",1,A7428+1))</f>
        <v>.</v>
      </c>
      <c r="B7429" s="431" t="str">
        <f t="shared" si="116"/>
        <v/>
      </c>
      <c r="H7429" s="145"/>
      <c r="I7429" s="145"/>
      <c r="J7429" s="145"/>
      <c r="K7429" s="145"/>
      <c r="L7429" s="145"/>
      <c r="M7429" s="145"/>
      <c r="N7429" s="145"/>
      <c r="O7429" s="145"/>
      <c r="P7429" s="145"/>
      <c r="Q7429" s="145"/>
    </row>
    <row r="7430" spans="1:17" x14ac:dyDescent="0.2">
      <c r="A7430" s="30" t="str">
        <f>IF(C7430&amp;G7430&amp;D7430&lt;&gt;'Funnel setup'!$K$3&amp;'Funnel setup'!$K$4&amp;'Funnel setup'!$K$5,".",IF(A7429=".",1,A7429+1))</f>
        <v>.</v>
      </c>
      <c r="B7430" s="431" t="str">
        <f t="shared" si="116"/>
        <v/>
      </c>
      <c r="H7430" s="145"/>
      <c r="I7430" s="145"/>
      <c r="J7430" s="145"/>
      <c r="K7430" s="145"/>
      <c r="L7430" s="145"/>
      <c r="M7430" s="145"/>
      <c r="N7430" s="145"/>
      <c r="O7430" s="145"/>
      <c r="P7430" s="145"/>
      <c r="Q7430" s="145"/>
    </row>
    <row r="7431" spans="1:17" x14ac:dyDescent="0.2">
      <c r="A7431" s="30" t="str">
        <f>IF(C7431&amp;G7431&amp;D7431&lt;&gt;'Funnel setup'!$K$3&amp;'Funnel setup'!$K$4&amp;'Funnel setup'!$K$5,".",IF(A7430=".",1,A7430+1))</f>
        <v>.</v>
      </c>
      <c r="B7431" s="431" t="str">
        <f t="shared" si="116"/>
        <v/>
      </c>
      <c r="H7431" s="145"/>
      <c r="I7431" s="145"/>
      <c r="J7431" s="145"/>
      <c r="K7431" s="145"/>
      <c r="L7431" s="145"/>
      <c r="M7431" s="145"/>
      <c r="N7431" s="145"/>
      <c r="O7431" s="145"/>
      <c r="P7431" s="145"/>
      <c r="Q7431" s="145"/>
    </row>
    <row r="7432" spans="1:17" x14ac:dyDescent="0.2">
      <c r="A7432" s="30" t="str">
        <f>IF(C7432&amp;G7432&amp;D7432&lt;&gt;'Funnel setup'!$K$3&amp;'Funnel setup'!$K$4&amp;'Funnel setup'!$K$5,".",IF(A7431=".",1,A7431+1))</f>
        <v>.</v>
      </c>
      <c r="B7432" s="431" t="str">
        <f t="shared" si="116"/>
        <v/>
      </c>
      <c r="H7432" s="145"/>
      <c r="I7432" s="145"/>
      <c r="J7432" s="145"/>
      <c r="K7432" s="145"/>
      <c r="L7432" s="145"/>
      <c r="M7432" s="145"/>
      <c r="N7432" s="145"/>
      <c r="O7432" s="145"/>
      <c r="P7432" s="145"/>
      <c r="Q7432" s="145"/>
    </row>
    <row r="7433" spans="1:17" x14ac:dyDescent="0.2">
      <c r="A7433" s="30" t="str">
        <f>IF(C7433&amp;G7433&amp;D7433&lt;&gt;'Funnel setup'!$K$3&amp;'Funnel setup'!$K$4&amp;'Funnel setup'!$K$5,".",IF(A7432=".",1,A7432+1))</f>
        <v>.</v>
      </c>
      <c r="B7433" s="431" t="str">
        <f t="shared" si="116"/>
        <v/>
      </c>
      <c r="H7433" s="145"/>
      <c r="I7433" s="145"/>
      <c r="J7433" s="145"/>
      <c r="K7433" s="145"/>
      <c r="L7433" s="145"/>
      <c r="M7433" s="145"/>
      <c r="N7433" s="145"/>
      <c r="O7433" s="145"/>
      <c r="P7433" s="145"/>
      <c r="Q7433" s="145"/>
    </row>
    <row r="7434" spans="1:17" x14ac:dyDescent="0.2">
      <c r="A7434" s="30" t="str">
        <f>IF(C7434&amp;G7434&amp;D7434&lt;&gt;'Funnel setup'!$K$3&amp;'Funnel setup'!$K$4&amp;'Funnel setup'!$K$5,".",IF(A7433=".",1,A7433+1))</f>
        <v>.</v>
      </c>
      <c r="B7434" s="431" t="str">
        <f t="shared" si="116"/>
        <v/>
      </c>
      <c r="H7434" s="145"/>
      <c r="I7434" s="145"/>
      <c r="J7434" s="145"/>
      <c r="K7434" s="145"/>
      <c r="L7434" s="145"/>
      <c r="M7434" s="145"/>
      <c r="N7434" s="145"/>
      <c r="O7434" s="145"/>
      <c r="P7434" s="145"/>
      <c r="Q7434" s="145"/>
    </row>
    <row r="7435" spans="1:17" x14ac:dyDescent="0.2">
      <c r="A7435" s="30" t="str">
        <f>IF(C7435&amp;G7435&amp;D7435&lt;&gt;'Funnel setup'!$K$3&amp;'Funnel setup'!$K$4&amp;'Funnel setup'!$K$5,".",IF(A7434=".",1,A7434+1))</f>
        <v>.</v>
      </c>
      <c r="B7435" s="431" t="str">
        <f t="shared" si="116"/>
        <v/>
      </c>
      <c r="H7435" s="145"/>
      <c r="I7435" s="145"/>
      <c r="J7435" s="145"/>
      <c r="K7435" s="145"/>
      <c r="L7435" s="145"/>
      <c r="M7435" s="145"/>
      <c r="N7435" s="145"/>
      <c r="O7435" s="145"/>
      <c r="P7435" s="145"/>
      <c r="Q7435" s="145"/>
    </row>
    <row r="7436" spans="1:17" x14ac:dyDescent="0.2">
      <c r="A7436" s="30" t="str">
        <f>IF(C7436&amp;G7436&amp;D7436&lt;&gt;'Funnel setup'!$K$3&amp;'Funnel setup'!$K$4&amp;'Funnel setup'!$K$5,".",IF(A7435=".",1,A7435+1))</f>
        <v>.</v>
      </c>
      <c r="B7436" s="431" t="str">
        <f t="shared" ref="B7436:B7499" si="117">C7436&amp;D7436&amp;F7436&amp;G7436</f>
        <v/>
      </c>
      <c r="H7436" s="145"/>
      <c r="I7436" s="145"/>
      <c r="J7436" s="145"/>
      <c r="K7436" s="145"/>
      <c r="L7436" s="145"/>
      <c r="M7436" s="145"/>
      <c r="N7436" s="145"/>
      <c r="O7436" s="145"/>
      <c r="P7436" s="145"/>
      <c r="Q7436" s="145"/>
    </row>
    <row r="7437" spans="1:17" x14ac:dyDescent="0.2">
      <c r="A7437" s="30" t="str">
        <f>IF(C7437&amp;G7437&amp;D7437&lt;&gt;'Funnel setup'!$K$3&amp;'Funnel setup'!$K$4&amp;'Funnel setup'!$K$5,".",IF(A7436=".",1,A7436+1))</f>
        <v>.</v>
      </c>
      <c r="B7437" s="431" t="str">
        <f t="shared" si="117"/>
        <v/>
      </c>
      <c r="H7437" s="145"/>
      <c r="I7437" s="145"/>
      <c r="J7437" s="145"/>
      <c r="K7437" s="145"/>
      <c r="L7437" s="145"/>
      <c r="M7437" s="145"/>
      <c r="N7437" s="145"/>
      <c r="O7437" s="145"/>
      <c r="P7437" s="145"/>
      <c r="Q7437" s="145"/>
    </row>
    <row r="7438" spans="1:17" x14ac:dyDescent="0.2">
      <c r="A7438" s="30" t="str">
        <f>IF(C7438&amp;G7438&amp;D7438&lt;&gt;'Funnel setup'!$K$3&amp;'Funnel setup'!$K$4&amp;'Funnel setup'!$K$5,".",IF(A7437=".",1,A7437+1))</f>
        <v>.</v>
      </c>
      <c r="B7438" s="431" t="str">
        <f t="shared" si="117"/>
        <v/>
      </c>
      <c r="H7438" s="145"/>
      <c r="I7438" s="145"/>
      <c r="J7438" s="145"/>
      <c r="K7438" s="145"/>
      <c r="L7438" s="145"/>
      <c r="M7438" s="145"/>
      <c r="N7438" s="145"/>
      <c r="O7438" s="145"/>
      <c r="P7438" s="145"/>
      <c r="Q7438" s="145"/>
    </row>
    <row r="7439" spans="1:17" x14ac:dyDescent="0.2">
      <c r="A7439" s="30" t="str">
        <f>IF(C7439&amp;G7439&amp;D7439&lt;&gt;'Funnel setup'!$K$3&amp;'Funnel setup'!$K$4&amp;'Funnel setup'!$K$5,".",IF(A7438=".",1,A7438+1))</f>
        <v>.</v>
      </c>
      <c r="B7439" s="431" t="str">
        <f t="shared" si="117"/>
        <v/>
      </c>
      <c r="H7439" s="145"/>
      <c r="I7439" s="145"/>
      <c r="J7439" s="145"/>
      <c r="K7439" s="145"/>
      <c r="L7439" s="145"/>
      <c r="M7439" s="145"/>
      <c r="N7439" s="145"/>
      <c r="O7439" s="145"/>
      <c r="P7439" s="145"/>
      <c r="Q7439" s="145"/>
    </row>
    <row r="7440" spans="1:17" x14ac:dyDescent="0.2">
      <c r="A7440" s="30" t="str">
        <f>IF(C7440&amp;G7440&amp;D7440&lt;&gt;'Funnel setup'!$K$3&amp;'Funnel setup'!$K$4&amp;'Funnel setup'!$K$5,".",IF(A7439=".",1,A7439+1))</f>
        <v>.</v>
      </c>
      <c r="B7440" s="431" t="str">
        <f t="shared" si="117"/>
        <v/>
      </c>
      <c r="H7440" s="145"/>
      <c r="I7440" s="145"/>
      <c r="J7440" s="145"/>
      <c r="K7440" s="145"/>
      <c r="L7440" s="145"/>
      <c r="M7440" s="145"/>
      <c r="N7440" s="145"/>
      <c r="O7440" s="145"/>
      <c r="P7440" s="145"/>
      <c r="Q7440" s="145"/>
    </row>
    <row r="7441" spans="1:17" x14ac:dyDescent="0.2">
      <c r="A7441" s="30" t="str">
        <f>IF(C7441&amp;G7441&amp;D7441&lt;&gt;'Funnel setup'!$K$3&amp;'Funnel setup'!$K$4&amp;'Funnel setup'!$K$5,".",IF(A7440=".",1,A7440+1))</f>
        <v>.</v>
      </c>
      <c r="B7441" s="431" t="str">
        <f t="shared" si="117"/>
        <v/>
      </c>
      <c r="H7441" s="145"/>
      <c r="I7441" s="145"/>
      <c r="J7441" s="145"/>
      <c r="K7441" s="145"/>
      <c r="L7441" s="145"/>
      <c r="M7441" s="145"/>
      <c r="N7441" s="145"/>
      <c r="O7441" s="145"/>
      <c r="P7441" s="145"/>
      <c r="Q7441" s="145"/>
    </row>
    <row r="7442" spans="1:17" x14ac:dyDescent="0.2">
      <c r="A7442" s="30" t="str">
        <f>IF(C7442&amp;G7442&amp;D7442&lt;&gt;'Funnel setup'!$K$3&amp;'Funnel setup'!$K$4&amp;'Funnel setup'!$K$5,".",IF(A7441=".",1,A7441+1))</f>
        <v>.</v>
      </c>
      <c r="B7442" s="431" t="str">
        <f t="shared" si="117"/>
        <v/>
      </c>
      <c r="H7442" s="145"/>
      <c r="I7442" s="145"/>
      <c r="J7442" s="145"/>
      <c r="K7442" s="145"/>
      <c r="L7442" s="145"/>
      <c r="M7442" s="145"/>
      <c r="N7442" s="145"/>
      <c r="O7442" s="145"/>
      <c r="P7442" s="145"/>
      <c r="Q7442" s="145"/>
    </row>
    <row r="7443" spans="1:17" x14ac:dyDescent="0.2">
      <c r="A7443" s="30" t="str">
        <f>IF(C7443&amp;G7443&amp;D7443&lt;&gt;'Funnel setup'!$K$3&amp;'Funnel setup'!$K$4&amp;'Funnel setup'!$K$5,".",IF(A7442=".",1,A7442+1))</f>
        <v>.</v>
      </c>
      <c r="B7443" s="431" t="str">
        <f t="shared" si="117"/>
        <v/>
      </c>
      <c r="H7443" s="145"/>
      <c r="I7443" s="145"/>
      <c r="J7443" s="145"/>
      <c r="K7443" s="145"/>
      <c r="L7443" s="145"/>
      <c r="M7443" s="145"/>
      <c r="N7443" s="145"/>
      <c r="O7443" s="145"/>
      <c r="P7443" s="145"/>
      <c r="Q7443" s="145"/>
    </row>
    <row r="7444" spans="1:17" x14ac:dyDescent="0.2">
      <c r="A7444" s="30" t="str">
        <f>IF(C7444&amp;G7444&amp;D7444&lt;&gt;'Funnel setup'!$K$3&amp;'Funnel setup'!$K$4&amp;'Funnel setup'!$K$5,".",IF(A7443=".",1,A7443+1))</f>
        <v>.</v>
      </c>
      <c r="B7444" s="431" t="str">
        <f t="shared" si="117"/>
        <v/>
      </c>
      <c r="H7444" s="145"/>
      <c r="I7444" s="145"/>
      <c r="J7444" s="145"/>
      <c r="K7444" s="145"/>
      <c r="L7444" s="145"/>
      <c r="M7444" s="145"/>
      <c r="N7444" s="145"/>
      <c r="O7444" s="145"/>
      <c r="P7444" s="145"/>
      <c r="Q7444" s="145"/>
    </row>
    <row r="7445" spans="1:17" x14ac:dyDescent="0.2">
      <c r="A7445" s="30" t="str">
        <f>IF(C7445&amp;G7445&amp;D7445&lt;&gt;'Funnel setup'!$K$3&amp;'Funnel setup'!$K$4&amp;'Funnel setup'!$K$5,".",IF(A7444=".",1,A7444+1))</f>
        <v>.</v>
      </c>
      <c r="B7445" s="431" t="str">
        <f t="shared" si="117"/>
        <v/>
      </c>
      <c r="H7445" s="145"/>
      <c r="I7445" s="145"/>
      <c r="J7445" s="145"/>
      <c r="K7445" s="145"/>
      <c r="L7445" s="145"/>
      <c r="M7445" s="145"/>
      <c r="N7445" s="145"/>
      <c r="O7445" s="145"/>
      <c r="P7445" s="145"/>
      <c r="Q7445" s="145"/>
    </row>
    <row r="7446" spans="1:17" x14ac:dyDescent="0.2">
      <c r="A7446" s="30" t="str">
        <f>IF(C7446&amp;G7446&amp;D7446&lt;&gt;'Funnel setup'!$K$3&amp;'Funnel setup'!$K$4&amp;'Funnel setup'!$K$5,".",IF(A7445=".",1,A7445+1))</f>
        <v>.</v>
      </c>
      <c r="B7446" s="431" t="str">
        <f t="shared" si="117"/>
        <v/>
      </c>
      <c r="H7446" s="145"/>
      <c r="I7446" s="145"/>
      <c r="J7446" s="145"/>
      <c r="K7446" s="145"/>
      <c r="L7446" s="145"/>
      <c r="M7446" s="145"/>
      <c r="N7446" s="145"/>
      <c r="O7446" s="145"/>
      <c r="P7446" s="145"/>
      <c r="Q7446" s="145"/>
    </row>
    <row r="7447" spans="1:17" x14ac:dyDescent="0.2">
      <c r="A7447" s="30" t="str">
        <f>IF(C7447&amp;G7447&amp;D7447&lt;&gt;'Funnel setup'!$K$3&amp;'Funnel setup'!$K$4&amp;'Funnel setup'!$K$5,".",IF(A7446=".",1,A7446+1))</f>
        <v>.</v>
      </c>
      <c r="B7447" s="431" t="str">
        <f t="shared" si="117"/>
        <v/>
      </c>
      <c r="H7447" s="145"/>
      <c r="I7447" s="145"/>
      <c r="J7447" s="145"/>
      <c r="K7447" s="145"/>
      <c r="L7447" s="145"/>
      <c r="M7447" s="145"/>
      <c r="N7447" s="145"/>
      <c r="O7447" s="145"/>
      <c r="P7447" s="145"/>
      <c r="Q7447" s="145"/>
    </row>
    <row r="7448" spans="1:17" x14ac:dyDescent="0.2">
      <c r="A7448" s="30" t="str">
        <f>IF(C7448&amp;G7448&amp;D7448&lt;&gt;'Funnel setup'!$K$3&amp;'Funnel setup'!$K$4&amp;'Funnel setup'!$K$5,".",IF(A7447=".",1,A7447+1))</f>
        <v>.</v>
      </c>
      <c r="B7448" s="431" t="str">
        <f t="shared" si="117"/>
        <v/>
      </c>
      <c r="H7448" s="145"/>
      <c r="I7448" s="145"/>
      <c r="J7448" s="145"/>
      <c r="K7448" s="145"/>
      <c r="L7448" s="145"/>
      <c r="M7448" s="145"/>
      <c r="N7448" s="145"/>
      <c r="O7448" s="145"/>
      <c r="P7448" s="145"/>
      <c r="Q7448" s="145"/>
    </row>
    <row r="7449" spans="1:17" x14ac:dyDescent="0.2">
      <c r="A7449" s="30" t="str">
        <f>IF(C7449&amp;G7449&amp;D7449&lt;&gt;'Funnel setup'!$K$3&amp;'Funnel setup'!$K$4&amp;'Funnel setup'!$K$5,".",IF(A7448=".",1,A7448+1))</f>
        <v>.</v>
      </c>
      <c r="B7449" s="431" t="str">
        <f t="shared" si="117"/>
        <v/>
      </c>
      <c r="H7449" s="145"/>
      <c r="I7449" s="145"/>
      <c r="J7449" s="145"/>
      <c r="K7449" s="145"/>
      <c r="L7449" s="145"/>
      <c r="M7449" s="145"/>
      <c r="N7449" s="145"/>
      <c r="O7449" s="145"/>
      <c r="P7449" s="145"/>
      <c r="Q7449" s="145"/>
    </row>
    <row r="7450" spans="1:17" x14ac:dyDescent="0.2">
      <c r="A7450" s="30" t="str">
        <f>IF(C7450&amp;G7450&amp;D7450&lt;&gt;'Funnel setup'!$K$3&amp;'Funnel setup'!$K$4&amp;'Funnel setup'!$K$5,".",IF(A7449=".",1,A7449+1))</f>
        <v>.</v>
      </c>
      <c r="B7450" s="431" t="str">
        <f t="shared" si="117"/>
        <v/>
      </c>
      <c r="H7450" s="145"/>
      <c r="I7450" s="145"/>
      <c r="J7450" s="145"/>
      <c r="K7450" s="145"/>
      <c r="L7450" s="145"/>
      <c r="M7450" s="145"/>
      <c r="N7450" s="145"/>
      <c r="O7450" s="145"/>
      <c r="P7450" s="145"/>
      <c r="Q7450" s="145"/>
    </row>
    <row r="7451" spans="1:17" x14ac:dyDescent="0.2">
      <c r="A7451" s="30" t="str">
        <f>IF(C7451&amp;G7451&amp;D7451&lt;&gt;'Funnel setup'!$K$3&amp;'Funnel setup'!$K$4&amp;'Funnel setup'!$K$5,".",IF(A7450=".",1,A7450+1))</f>
        <v>.</v>
      </c>
      <c r="B7451" s="431" t="str">
        <f t="shared" si="117"/>
        <v/>
      </c>
      <c r="H7451" s="145"/>
      <c r="I7451" s="145"/>
      <c r="J7451" s="145"/>
      <c r="K7451" s="145"/>
      <c r="L7451" s="145"/>
      <c r="M7451" s="145"/>
      <c r="N7451" s="145"/>
      <c r="O7451" s="145"/>
      <c r="P7451" s="145"/>
      <c r="Q7451" s="145"/>
    </row>
    <row r="7452" spans="1:17" x14ac:dyDescent="0.2">
      <c r="A7452" s="30" t="str">
        <f>IF(C7452&amp;G7452&amp;D7452&lt;&gt;'Funnel setup'!$K$3&amp;'Funnel setup'!$K$4&amp;'Funnel setup'!$K$5,".",IF(A7451=".",1,A7451+1))</f>
        <v>.</v>
      </c>
      <c r="B7452" s="431" t="str">
        <f t="shared" si="117"/>
        <v/>
      </c>
      <c r="H7452" s="145"/>
      <c r="I7452" s="145"/>
      <c r="J7452" s="145"/>
      <c r="K7452" s="145"/>
      <c r="L7452" s="145"/>
      <c r="M7452" s="145"/>
      <c r="N7452" s="145"/>
      <c r="O7452" s="145"/>
      <c r="P7452" s="145"/>
      <c r="Q7452" s="145"/>
    </row>
    <row r="7453" spans="1:17" x14ac:dyDescent="0.2">
      <c r="A7453" s="30" t="str">
        <f>IF(C7453&amp;G7453&amp;D7453&lt;&gt;'Funnel setup'!$K$3&amp;'Funnel setup'!$K$4&amp;'Funnel setup'!$K$5,".",IF(A7452=".",1,A7452+1))</f>
        <v>.</v>
      </c>
      <c r="B7453" s="431" t="str">
        <f t="shared" si="117"/>
        <v/>
      </c>
      <c r="H7453" s="145"/>
      <c r="I7453" s="145"/>
      <c r="J7453" s="145"/>
      <c r="K7453" s="145"/>
      <c r="L7453" s="145"/>
      <c r="M7453" s="145"/>
      <c r="N7453" s="145"/>
      <c r="O7453" s="145"/>
      <c r="P7453" s="145"/>
      <c r="Q7453" s="145"/>
    </row>
    <row r="7454" spans="1:17" x14ac:dyDescent="0.2">
      <c r="A7454" s="30" t="str">
        <f>IF(C7454&amp;G7454&amp;D7454&lt;&gt;'Funnel setup'!$K$3&amp;'Funnel setup'!$K$4&amp;'Funnel setup'!$K$5,".",IF(A7453=".",1,A7453+1))</f>
        <v>.</v>
      </c>
      <c r="B7454" s="431" t="str">
        <f t="shared" si="117"/>
        <v/>
      </c>
      <c r="H7454" s="145"/>
      <c r="I7454" s="145"/>
      <c r="J7454" s="145"/>
      <c r="K7454" s="145"/>
      <c r="L7454" s="145"/>
      <c r="M7454" s="145"/>
      <c r="N7454" s="145"/>
      <c r="O7454" s="145"/>
      <c r="P7454" s="145"/>
      <c r="Q7454" s="145"/>
    </row>
    <row r="7455" spans="1:17" x14ac:dyDescent="0.2">
      <c r="A7455" s="30" t="str">
        <f>IF(C7455&amp;G7455&amp;D7455&lt;&gt;'Funnel setup'!$K$3&amp;'Funnel setup'!$K$4&amp;'Funnel setup'!$K$5,".",IF(A7454=".",1,A7454+1))</f>
        <v>.</v>
      </c>
      <c r="B7455" s="431" t="str">
        <f t="shared" si="117"/>
        <v/>
      </c>
      <c r="H7455" s="145"/>
      <c r="I7455" s="145"/>
      <c r="J7455" s="145"/>
      <c r="K7455" s="145"/>
      <c r="L7455" s="145"/>
      <c r="M7455" s="145"/>
      <c r="N7455" s="145"/>
      <c r="O7455" s="145"/>
      <c r="P7455" s="145"/>
      <c r="Q7455" s="145"/>
    </row>
    <row r="7456" spans="1:17" x14ac:dyDescent="0.2">
      <c r="A7456" s="30" t="str">
        <f>IF(C7456&amp;G7456&amp;D7456&lt;&gt;'Funnel setup'!$K$3&amp;'Funnel setup'!$K$4&amp;'Funnel setup'!$K$5,".",IF(A7455=".",1,A7455+1))</f>
        <v>.</v>
      </c>
      <c r="B7456" s="431" t="str">
        <f t="shared" si="117"/>
        <v/>
      </c>
      <c r="H7456" s="145"/>
      <c r="I7456" s="145"/>
      <c r="J7456" s="145"/>
      <c r="K7456" s="145"/>
      <c r="L7456" s="145"/>
      <c r="M7456" s="145"/>
      <c r="N7456" s="145"/>
      <c r="O7456" s="145"/>
      <c r="P7456" s="145"/>
      <c r="Q7456" s="145"/>
    </row>
    <row r="7457" spans="1:17" x14ac:dyDescent="0.2">
      <c r="A7457" s="30" t="str">
        <f>IF(C7457&amp;G7457&amp;D7457&lt;&gt;'Funnel setup'!$K$3&amp;'Funnel setup'!$K$4&amp;'Funnel setup'!$K$5,".",IF(A7456=".",1,A7456+1))</f>
        <v>.</v>
      </c>
      <c r="B7457" s="431" t="str">
        <f t="shared" si="117"/>
        <v/>
      </c>
      <c r="H7457" s="145"/>
      <c r="I7457" s="145"/>
      <c r="J7457" s="145"/>
      <c r="K7457" s="145"/>
      <c r="L7457" s="145"/>
      <c r="M7457" s="145"/>
      <c r="N7457" s="145"/>
      <c r="O7457" s="145"/>
      <c r="P7457" s="145"/>
      <c r="Q7457" s="145"/>
    </row>
    <row r="7458" spans="1:17" x14ac:dyDescent="0.2">
      <c r="A7458" s="30" t="str">
        <f>IF(C7458&amp;G7458&amp;D7458&lt;&gt;'Funnel setup'!$K$3&amp;'Funnel setup'!$K$4&amp;'Funnel setup'!$K$5,".",IF(A7457=".",1,A7457+1))</f>
        <v>.</v>
      </c>
      <c r="B7458" s="431" t="str">
        <f t="shared" si="117"/>
        <v/>
      </c>
      <c r="H7458" s="145"/>
      <c r="I7458" s="145"/>
      <c r="J7458" s="145"/>
      <c r="K7458" s="145"/>
      <c r="L7458" s="145"/>
      <c r="M7458" s="145"/>
      <c r="N7458" s="145"/>
      <c r="O7458" s="145"/>
      <c r="P7458" s="145"/>
      <c r="Q7458" s="145"/>
    </row>
    <row r="7459" spans="1:17" x14ac:dyDescent="0.2">
      <c r="A7459" s="30" t="str">
        <f>IF(C7459&amp;G7459&amp;D7459&lt;&gt;'Funnel setup'!$K$3&amp;'Funnel setup'!$K$4&amp;'Funnel setup'!$K$5,".",IF(A7458=".",1,A7458+1))</f>
        <v>.</v>
      </c>
      <c r="B7459" s="431" t="str">
        <f t="shared" si="117"/>
        <v/>
      </c>
      <c r="H7459" s="145"/>
      <c r="I7459" s="145"/>
      <c r="J7459" s="145"/>
      <c r="K7459" s="145"/>
      <c r="L7459" s="145"/>
      <c r="M7459" s="145"/>
      <c r="N7459" s="145"/>
      <c r="O7459" s="145"/>
      <c r="P7459" s="145"/>
      <c r="Q7459" s="145"/>
    </row>
    <row r="7460" spans="1:17" x14ac:dyDescent="0.2">
      <c r="A7460" s="30" t="str">
        <f>IF(C7460&amp;G7460&amp;D7460&lt;&gt;'Funnel setup'!$K$3&amp;'Funnel setup'!$K$4&amp;'Funnel setup'!$K$5,".",IF(A7459=".",1,A7459+1))</f>
        <v>.</v>
      </c>
      <c r="B7460" s="431" t="str">
        <f t="shared" si="117"/>
        <v/>
      </c>
      <c r="H7460" s="145"/>
      <c r="I7460" s="145"/>
      <c r="J7460" s="145"/>
      <c r="K7460" s="145"/>
      <c r="L7460" s="145"/>
      <c r="M7460" s="145"/>
      <c r="N7460" s="145"/>
      <c r="O7460" s="145"/>
      <c r="P7460" s="145"/>
      <c r="Q7460" s="145"/>
    </row>
    <row r="7461" spans="1:17" x14ac:dyDescent="0.2">
      <c r="A7461" s="30" t="str">
        <f>IF(C7461&amp;G7461&amp;D7461&lt;&gt;'Funnel setup'!$K$3&amp;'Funnel setup'!$K$4&amp;'Funnel setup'!$K$5,".",IF(A7460=".",1,A7460+1))</f>
        <v>.</v>
      </c>
      <c r="B7461" s="431" t="str">
        <f t="shared" si="117"/>
        <v/>
      </c>
      <c r="H7461" s="145"/>
      <c r="I7461" s="145"/>
      <c r="J7461" s="145"/>
      <c r="K7461" s="145"/>
      <c r="L7461" s="145"/>
      <c r="M7461" s="145"/>
      <c r="N7461" s="145"/>
      <c r="O7461" s="145"/>
      <c r="P7461" s="145"/>
      <c r="Q7461" s="145"/>
    </row>
    <row r="7462" spans="1:17" x14ac:dyDescent="0.2">
      <c r="A7462" s="30" t="str">
        <f>IF(C7462&amp;G7462&amp;D7462&lt;&gt;'Funnel setup'!$K$3&amp;'Funnel setup'!$K$4&amp;'Funnel setup'!$K$5,".",IF(A7461=".",1,A7461+1))</f>
        <v>.</v>
      </c>
      <c r="B7462" s="431" t="str">
        <f t="shared" si="117"/>
        <v/>
      </c>
      <c r="H7462" s="145"/>
      <c r="I7462" s="145"/>
      <c r="J7462" s="145"/>
      <c r="K7462" s="145"/>
      <c r="L7462" s="145"/>
      <c r="M7462" s="145"/>
      <c r="N7462" s="145"/>
      <c r="O7462" s="145"/>
      <c r="P7462" s="145"/>
      <c r="Q7462" s="145"/>
    </row>
    <row r="7463" spans="1:17" x14ac:dyDescent="0.2">
      <c r="A7463" s="30" t="str">
        <f>IF(C7463&amp;G7463&amp;D7463&lt;&gt;'Funnel setup'!$K$3&amp;'Funnel setup'!$K$4&amp;'Funnel setup'!$K$5,".",IF(A7462=".",1,A7462+1))</f>
        <v>.</v>
      </c>
      <c r="B7463" s="431" t="str">
        <f t="shared" si="117"/>
        <v/>
      </c>
      <c r="H7463" s="145"/>
      <c r="I7463" s="145"/>
      <c r="J7463" s="145"/>
      <c r="K7463" s="145"/>
      <c r="L7463" s="145"/>
      <c r="M7463" s="145"/>
      <c r="N7463" s="145"/>
      <c r="O7463" s="145"/>
      <c r="P7463" s="145"/>
      <c r="Q7463" s="145"/>
    </row>
    <row r="7464" spans="1:17" x14ac:dyDescent="0.2">
      <c r="A7464" s="30" t="str">
        <f>IF(C7464&amp;G7464&amp;D7464&lt;&gt;'Funnel setup'!$K$3&amp;'Funnel setup'!$K$4&amp;'Funnel setup'!$K$5,".",IF(A7463=".",1,A7463+1))</f>
        <v>.</v>
      </c>
      <c r="B7464" s="431" t="str">
        <f t="shared" si="117"/>
        <v/>
      </c>
      <c r="H7464" s="145"/>
      <c r="I7464" s="145"/>
      <c r="J7464" s="145"/>
      <c r="K7464" s="145"/>
      <c r="L7464" s="145"/>
      <c r="M7464" s="145"/>
      <c r="N7464" s="145"/>
      <c r="O7464" s="145"/>
      <c r="P7464" s="145"/>
      <c r="Q7464" s="145"/>
    </row>
    <row r="7465" spans="1:17" x14ac:dyDescent="0.2">
      <c r="A7465" s="30" t="str">
        <f>IF(C7465&amp;G7465&amp;D7465&lt;&gt;'Funnel setup'!$K$3&amp;'Funnel setup'!$K$4&amp;'Funnel setup'!$K$5,".",IF(A7464=".",1,A7464+1))</f>
        <v>.</v>
      </c>
      <c r="B7465" s="431" t="str">
        <f t="shared" si="117"/>
        <v/>
      </c>
      <c r="H7465" s="145"/>
      <c r="I7465" s="145"/>
      <c r="J7465" s="145"/>
      <c r="K7465" s="145"/>
      <c r="L7465" s="145"/>
      <c r="M7465" s="145"/>
      <c r="N7465" s="145"/>
      <c r="O7465" s="145"/>
      <c r="P7465" s="145"/>
      <c r="Q7465" s="145"/>
    </row>
    <row r="7466" spans="1:17" x14ac:dyDescent="0.2">
      <c r="A7466" s="30" t="str">
        <f>IF(C7466&amp;G7466&amp;D7466&lt;&gt;'Funnel setup'!$K$3&amp;'Funnel setup'!$K$4&amp;'Funnel setup'!$K$5,".",IF(A7465=".",1,A7465+1))</f>
        <v>.</v>
      </c>
      <c r="B7466" s="431" t="str">
        <f t="shared" si="117"/>
        <v/>
      </c>
      <c r="H7466" s="145"/>
      <c r="I7466" s="145"/>
      <c r="J7466" s="145"/>
      <c r="K7466" s="145"/>
      <c r="L7466" s="145"/>
      <c r="M7466" s="145"/>
      <c r="N7466" s="145"/>
      <c r="O7466" s="145"/>
      <c r="P7466" s="145"/>
      <c r="Q7466" s="145"/>
    </row>
    <row r="7467" spans="1:17" x14ac:dyDescent="0.2">
      <c r="A7467" s="30" t="str">
        <f>IF(C7467&amp;G7467&amp;D7467&lt;&gt;'Funnel setup'!$K$3&amp;'Funnel setup'!$K$4&amp;'Funnel setup'!$K$5,".",IF(A7466=".",1,A7466+1))</f>
        <v>.</v>
      </c>
      <c r="B7467" s="431" t="str">
        <f t="shared" si="117"/>
        <v/>
      </c>
      <c r="H7467" s="145"/>
      <c r="I7467" s="145"/>
      <c r="J7467" s="145"/>
      <c r="K7467" s="145"/>
      <c r="L7467" s="145"/>
      <c r="M7467" s="145"/>
      <c r="N7467" s="145"/>
      <c r="O7467" s="145"/>
      <c r="P7467" s="145"/>
      <c r="Q7467" s="145"/>
    </row>
    <row r="7468" spans="1:17" x14ac:dyDescent="0.2">
      <c r="A7468" s="30" t="str">
        <f>IF(C7468&amp;G7468&amp;D7468&lt;&gt;'Funnel setup'!$K$3&amp;'Funnel setup'!$K$4&amp;'Funnel setup'!$K$5,".",IF(A7467=".",1,A7467+1))</f>
        <v>.</v>
      </c>
      <c r="B7468" s="431" t="str">
        <f t="shared" si="117"/>
        <v/>
      </c>
      <c r="H7468" s="145"/>
      <c r="I7468" s="145"/>
      <c r="J7468" s="145"/>
      <c r="K7468" s="145"/>
      <c r="L7468" s="145"/>
      <c r="M7468" s="145"/>
      <c r="N7468" s="145"/>
      <c r="O7468" s="145"/>
      <c r="P7468" s="145"/>
      <c r="Q7468" s="145"/>
    </row>
    <row r="7469" spans="1:17" x14ac:dyDescent="0.2">
      <c r="A7469" s="30" t="str">
        <f>IF(C7469&amp;G7469&amp;D7469&lt;&gt;'Funnel setup'!$K$3&amp;'Funnel setup'!$K$4&amp;'Funnel setup'!$K$5,".",IF(A7468=".",1,A7468+1))</f>
        <v>.</v>
      </c>
      <c r="B7469" s="431" t="str">
        <f t="shared" si="117"/>
        <v/>
      </c>
      <c r="H7469" s="145"/>
      <c r="I7469" s="145"/>
      <c r="J7469" s="145"/>
      <c r="K7469" s="145"/>
      <c r="L7469" s="145"/>
      <c r="M7469" s="145"/>
      <c r="N7469" s="145"/>
      <c r="O7469" s="145"/>
      <c r="P7469" s="145"/>
      <c r="Q7469" s="145"/>
    </row>
    <row r="7470" spans="1:17" x14ac:dyDescent="0.2">
      <c r="A7470" s="30" t="str">
        <f>IF(C7470&amp;G7470&amp;D7470&lt;&gt;'Funnel setup'!$K$3&amp;'Funnel setup'!$K$4&amp;'Funnel setup'!$K$5,".",IF(A7469=".",1,A7469+1))</f>
        <v>.</v>
      </c>
      <c r="B7470" s="431" t="str">
        <f t="shared" si="117"/>
        <v/>
      </c>
      <c r="H7470" s="145"/>
      <c r="I7470" s="145"/>
      <c r="J7470" s="145"/>
      <c r="K7470" s="145"/>
      <c r="L7470" s="145"/>
      <c r="M7470" s="145"/>
      <c r="N7470" s="145"/>
      <c r="O7470" s="145"/>
      <c r="P7470" s="145"/>
      <c r="Q7470" s="145"/>
    </row>
    <row r="7471" spans="1:17" x14ac:dyDescent="0.2">
      <c r="A7471" s="30" t="str">
        <f>IF(C7471&amp;G7471&amp;D7471&lt;&gt;'Funnel setup'!$K$3&amp;'Funnel setup'!$K$4&amp;'Funnel setup'!$K$5,".",IF(A7470=".",1,A7470+1))</f>
        <v>.</v>
      </c>
      <c r="B7471" s="431" t="str">
        <f t="shared" si="117"/>
        <v/>
      </c>
      <c r="H7471" s="145"/>
      <c r="I7471" s="145"/>
      <c r="J7471" s="145"/>
      <c r="K7471" s="145"/>
      <c r="L7471" s="145"/>
      <c r="M7471" s="145"/>
      <c r="N7471" s="145"/>
      <c r="O7471" s="145"/>
      <c r="P7471" s="145"/>
      <c r="Q7471" s="145"/>
    </row>
    <row r="7472" spans="1:17" x14ac:dyDescent="0.2">
      <c r="A7472" s="30" t="str">
        <f>IF(C7472&amp;G7472&amp;D7472&lt;&gt;'Funnel setup'!$K$3&amp;'Funnel setup'!$K$4&amp;'Funnel setup'!$K$5,".",IF(A7471=".",1,A7471+1))</f>
        <v>.</v>
      </c>
      <c r="B7472" s="431" t="str">
        <f t="shared" si="117"/>
        <v/>
      </c>
      <c r="H7472" s="145"/>
      <c r="I7472" s="145"/>
      <c r="J7472" s="145"/>
      <c r="K7472" s="145"/>
      <c r="L7472" s="145"/>
      <c r="M7472" s="145"/>
      <c r="N7472" s="145"/>
      <c r="O7472" s="145"/>
      <c r="P7472" s="145"/>
      <c r="Q7472" s="145"/>
    </row>
    <row r="7473" spans="1:17" x14ac:dyDescent="0.2">
      <c r="A7473" s="30" t="str">
        <f>IF(C7473&amp;G7473&amp;D7473&lt;&gt;'Funnel setup'!$K$3&amp;'Funnel setup'!$K$4&amp;'Funnel setup'!$K$5,".",IF(A7472=".",1,A7472+1))</f>
        <v>.</v>
      </c>
      <c r="B7473" s="431" t="str">
        <f t="shared" si="117"/>
        <v/>
      </c>
      <c r="H7473" s="145"/>
      <c r="I7473" s="145"/>
      <c r="J7473" s="145"/>
      <c r="K7473" s="145"/>
      <c r="L7473" s="145"/>
      <c r="M7473" s="145"/>
      <c r="N7473" s="145"/>
      <c r="O7473" s="145"/>
      <c r="P7473" s="145"/>
      <c r="Q7473" s="145"/>
    </row>
    <row r="7474" spans="1:17" x14ac:dyDescent="0.2">
      <c r="A7474" s="30" t="str">
        <f>IF(C7474&amp;G7474&amp;D7474&lt;&gt;'Funnel setup'!$K$3&amp;'Funnel setup'!$K$4&amp;'Funnel setup'!$K$5,".",IF(A7473=".",1,A7473+1))</f>
        <v>.</v>
      </c>
      <c r="B7474" s="431" t="str">
        <f t="shared" si="117"/>
        <v/>
      </c>
      <c r="H7474" s="145"/>
      <c r="I7474" s="145"/>
      <c r="J7474" s="145"/>
      <c r="K7474" s="145"/>
      <c r="L7474" s="145"/>
      <c r="M7474" s="145"/>
      <c r="N7474" s="145"/>
      <c r="O7474" s="145"/>
      <c r="P7474" s="145"/>
      <c r="Q7474" s="145"/>
    </row>
    <row r="7475" spans="1:17" x14ac:dyDescent="0.2">
      <c r="A7475" s="30" t="str">
        <f>IF(C7475&amp;G7475&amp;D7475&lt;&gt;'Funnel setup'!$K$3&amp;'Funnel setup'!$K$4&amp;'Funnel setup'!$K$5,".",IF(A7474=".",1,A7474+1))</f>
        <v>.</v>
      </c>
      <c r="B7475" s="431" t="str">
        <f t="shared" si="117"/>
        <v/>
      </c>
      <c r="H7475" s="145"/>
      <c r="I7475" s="145"/>
      <c r="J7475" s="145"/>
      <c r="K7475" s="145"/>
      <c r="L7475" s="145"/>
      <c r="M7475" s="145"/>
      <c r="N7475" s="145"/>
      <c r="O7475" s="145"/>
      <c r="P7475" s="145"/>
      <c r="Q7475" s="145"/>
    </row>
    <row r="7476" spans="1:17" x14ac:dyDescent="0.2">
      <c r="A7476" s="30" t="str">
        <f>IF(C7476&amp;G7476&amp;D7476&lt;&gt;'Funnel setup'!$K$3&amp;'Funnel setup'!$K$4&amp;'Funnel setup'!$K$5,".",IF(A7475=".",1,A7475+1))</f>
        <v>.</v>
      </c>
      <c r="B7476" s="431" t="str">
        <f t="shared" si="117"/>
        <v/>
      </c>
      <c r="H7476" s="145"/>
      <c r="I7476" s="145"/>
      <c r="J7476" s="145"/>
      <c r="K7476" s="145"/>
      <c r="L7476" s="145"/>
      <c r="M7476" s="145"/>
      <c r="N7476" s="145"/>
      <c r="O7476" s="145"/>
      <c r="P7476" s="145"/>
      <c r="Q7476" s="145"/>
    </row>
    <row r="7477" spans="1:17" x14ac:dyDescent="0.2">
      <c r="A7477" s="30" t="str">
        <f>IF(C7477&amp;G7477&amp;D7477&lt;&gt;'Funnel setup'!$K$3&amp;'Funnel setup'!$K$4&amp;'Funnel setup'!$K$5,".",IF(A7476=".",1,A7476+1))</f>
        <v>.</v>
      </c>
      <c r="B7477" s="431" t="str">
        <f t="shared" si="117"/>
        <v/>
      </c>
      <c r="H7477" s="145"/>
      <c r="I7477" s="145"/>
      <c r="J7477" s="145"/>
      <c r="K7477" s="145"/>
      <c r="L7477" s="145"/>
      <c r="M7477" s="145"/>
      <c r="N7477" s="145"/>
      <c r="O7477" s="145"/>
      <c r="P7477" s="145"/>
      <c r="Q7477" s="145"/>
    </row>
    <row r="7478" spans="1:17" x14ac:dyDescent="0.2">
      <c r="A7478" s="30" t="str">
        <f>IF(C7478&amp;G7478&amp;D7478&lt;&gt;'Funnel setup'!$K$3&amp;'Funnel setup'!$K$4&amp;'Funnel setup'!$K$5,".",IF(A7477=".",1,A7477+1))</f>
        <v>.</v>
      </c>
      <c r="B7478" s="431" t="str">
        <f t="shared" si="117"/>
        <v/>
      </c>
      <c r="H7478" s="145"/>
      <c r="I7478" s="145"/>
      <c r="J7478" s="145"/>
      <c r="K7478" s="145"/>
      <c r="L7478" s="145"/>
      <c r="M7478" s="145"/>
      <c r="N7478" s="145"/>
      <c r="O7478" s="145"/>
      <c r="P7478" s="145"/>
      <c r="Q7478" s="145"/>
    </row>
    <row r="7479" spans="1:17" x14ac:dyDescent="0.2">
      <c r="A7479" s="30" t="str">
        <f>IF(C7479&amp;G7479&amp;D7479&lt;&gt;'Funnel setup'!$K$3&amp;'Funnel setup'!$K$4&amp;'Funnel setup'!$K$5,".",IF(A7478=".",1,A7478+1))</f>
        <v>.</v>
      </c>
      <c r="B7479" s="431" t="str">
        <f t="shared" si="117"/>
        <v/>
      </c>
      <c r="H7479" s="145"/>
      <c r="I7479" s="145"/>
      <c r="J7479" s="145"/>
      <c r="K7479" s="145"/>
      <c r="L7479" s="145"/>
      <c r="M7479" s="145"/>
      <c r="N7479" s="145"/>
      <c r="O7479" s="145"/>
      <c r="P7479" s="145"/>
      <c r="Q7479" s="145"/>
    </row>
    <row r="7480" spans="1:17" x14ac:dyDescent="0.2">
      <c r="A7480" s="30" t="str">
        <f>IF(C7480&amp;G7480&amp;D7480&lt;&gt;'Funnel setup'!$K$3&amp;'Funnel setup'!$K$4&amp;'Funnel setup'!$K$5,".",IF(A7479=".",1,A7479+1))</f>
        <v>.</v>
      </c>
      <c r="B7480" s="431" t="str">
        <f t="shared" si="117"/>
        <v/>
      </c>
      <c r="H7480" s="145"/>
      <c r="I7480" s="145"/>
      <c r="J7480" s="145"/>
      <c r="K7480" s="145"/>
      <c r="L7480" s="145"/>
      <c r="M7480" s="145"/>
      <c r="N7480" s="145"/>
      <c r="O7480" s="145"/>
      <c r="P7480" s="145"/>
      <c r="Q7480" s="145"/>
    </row>
    <row r="7481" spans="1:17" x14ac:dyDescent="0.2">
      <c r="A7481" s="30" t="str">
        <f>IF(C7481&amp;G7481&amp;D7481&lt;&gt;'Funnel setup'!$K$3&amp;'Funnel setup'!$K$4&amp;'Funnel setup'!$K$5,".",IF(A7480=".",1,A7480+1))</f>
        <v>.</v>
      </c>
      <c r="B7481" s="431" t="str">
        <f t="shared" si="117"/>
        <v/>
      </c>
      <c r="H7481" s="145"/>
      <c r="I7481" s="145"/>
      <c r="J7481" s="145"/>
      <c r="K7481" s="145"/>
      <c r="L7481" s="145"/>
      <c r="M7481" s="145"/>
      <c r="N7481" s="145"/>
      <c r="O7481" s="145"/>
      <c r="P7481" s="145"/>
      <c r="Q7481" s="145"/>
    </row>
    <row r="7482" spans="1:17" x14ac:dyDescent="0.2">
      <c r="A7482" s="30" t="str">
        <f>IF(C7482&amp;G7482&amp;D7482&lt;&gt;'Funnel setup'!$K$3&amp;'Funnel setup'!$K$4&amp;'Funnel setup'!$K$5,".",IF(A7481=".",1,A7481+1))</f>
        <v>.</v>
      </c>
      <c r="B7482" s="431" t="str">
        <f t="shared" si="117"/>
        <v/>
      </c>
      <c r="H7482" s="145"/>
      <c r="I7482" s="145"/>
      <c r="J7482" s="145"/>
      <c r="K7482" s="145"/>
      <c r="L7482" s="145"/>
      <c r="M7482" s="145"/>
      <c r="N7482" s="145"/>
      <c r="O7482" s="145"/>
      <c r="P7482" s="145"/>
      <c r="Q7482" s="145"/>
    </row>
    <row r="7483" spans="1:17" x14ac:dyDescent="0.2">
      <c r="A7483" s="30" t="str">
        <f>IF(C7483&amp;G7483&amp;D7483&lt;&gt;'Funnel setup'!$K$3&amp;'Funnel setup'!$K$4&amp;'Funnel setup'!$K$5,".",IF(A7482=".",1,A7482+1))</f>
        <v>.</v>
      </c>
      <c r="B7483" s="431" t="str">
        <f t="shared" si="117"/>
        <v/>
      </c>
      <c r="H7483" s="145"/>
      <c r="I7483" s="145"/>
      <c r="J7483" s="145"/>
      <c r="K7483" s="145"/>
      <c r="L7483" s="145"/>
      <c r="M7483" s="145"/>
      <c r="N7483" s="145"/>
      <c r="O7483" s="145"/>
      <c r="P7483" s="145"/>
      <c r="Q7483" s="145"/>
    </row>
    <row r="7484" spans="1:17" x14ac:dyDescent="0.2">
      <c r="A7484" s="30" t="str">
        <f>IF(C7484&amp;G7484&amp;D7484&lt;&gt;'Funnel setup'!$K$3&amp;'Funnel setup'!$K$4&amp;'Funnel setup'!$K$5,".",IF(A7483=".",1,A7483+1))</f>
        <v>.</v>
      </c>
      <c r="B7484" s="431" t="str">
        <f t="shared" si="117"/>
        <v/>
      </c>
      <c r="H7484" s="145"/>
      <c r="I7484" s="145"/>
      <c r="J7484" s="145"/>
      <c r="K7484" s="145"/>
      <c r="L7484" s="145"/>
      <c r="M7484" s="145"/>
      <c r="N7484" s="145"/>
      <c r="O7484" s="145"/>
      <c r="P7484" s="145"/>
      <c r="Q7484" s="145"/>
    </row>
    <row r="7485" spans="1:17" x14ac:dyDescent="0.2">
      <c r="A7485" s="30" t="str">
        <f>IF(C7485&amp;G7485&amp;D7485&lt;&gt;'Funnel setup'!$K$3&amp;'Funnel setup'!$K$4&amp;'Funnel setup'!$K$5,".",IF(A7484=".",1,A7484+1))</f>
        <v>.</v>
      </c>
      <c r="B7485" s="431" t="str">
        <f t="shared" si="117"/>
        <v/>
      </c>
      <c r="H7485" s="145"/>
      <c r="I7485" s="145"/>
      <c r="J7485" s="145"/>
      <c r="K7485" s="145"/>
      <c r="L7485" s="145"/>
      <c r="M7485" s="145"/>
      <c r="N7485" s="145"/>
      <c r="O7485" s="145"/>
      <c r="P7485" s="145"/>
      <c r="Q7485" s="145"/>
    </row>
    <row r="7486" spans="1:17" x14ac:dyDescent="0.2">
      <c r="A7486" s="30" t="str">
        <f>IF(C7486&amp;G7486&amp;D7486&lt;&gt;'Funnel setup'!$K$3&amp;'Funnel setup'!$K$4&amp;'Funnel setup'!$K$5,".",IF(A7485=".",1,A7485+1))</f>
        <v>.</v>
      </c>
      <c r="B7486" s="431" t="str">
        <f t="shared" si="117"/>
        <v/>
      </c>
      <c r="H7486" s="145"/>
      <c r="I7486" s="145"/>
      <c r="J7486" s="145"/>
      <c r="K7486" s="145"/>
      <c r="L7486" s="145"/>
      <c r="M7486" s="145"/>
      <c r="N7486" s="145"/>
      <c r="O7486" s="145"/>
      <c r="P7486" s="145"/>
      <c r="Q7486" s="145"/>
    </row>
    <row r="7487" spans="1:17" x14ac:dyDescent="0.2">
      <c r="A7487" s="30" t="str">
        <f>IF(C7487&amp;G7487&amp;D7487&lt;&gt;'Funnel setup'!$K$3&amp;'Funnel setup'!$K$4&amp;'Funnel setup'!$K$5,".",IF(A7486=".",1,A7486+1))</f>
        <v>.</v>
      </c>
      <c r="B7487" s="431" t="str">
        <f t="shared" si="117"/>
        <v/>
      </c>
      <c r="H7487" s="145"/>
      <c r="I7487" s="145"/>
      <c r="J7487" s="145"/>
      <c r="K7487" s="145"/>
      <c r="L7487" s="145"/>
      <c r="M7487" s="145"/>
      <c r="N7487" s="145"/>
      <c r="O7487" s="145"/>
      <c r="P7487" s="145"/>
      <c r="Q7487" s="145"/>
    </row>
    <row r="7488" spans="1:17" x14ac:dyDescent="0.2">
      <c r="A7488" s="30" t="str">
        <f>IF(C7488&amp;G7488&amp;D7488&lt;&gt;'Funnel setup'!$K$3&amp;'Funnel setup'!$K$4&amp;'Funnel setup'!$K$5,".",IF(A7487=".",1,A7487+1))</f>
        <v>.</v>
      </c>
      <c r="B7488" s="431" t="str">
        <f t="shared" si="117"/>
        <v/>
      </c>
      <c r="H7488" s="145"/>
      <c r="I7488" s="145"/>
      <c r="J7488" s="145"/>
      <c r="K7488" s="145"/>
      <c r="L7488" s="145"/>
      <c r="M7488" s="145"/>
      <c r="N7488" s="145"/>
      <c r="O7488" s="145"/>
      <c r="P7488" s="145"/>
      <c r="Q7488" s="145"/>
    </row>
    <row r="7489" spans="1:17" x14ac:dyDescent="0.2">
      <c r="A7489" s="30" t="str">
        <f>IF(C7489&amp;G7489&amp;D7489&lt;&gt;'Funnel setup'!$K$3&amp;'Funnel setup'!$K$4&amp;'Funnel setup'!$K$5,".",IF(A7488=".",1,A7488+1))</f>
        <v>.</v>
      </c>
      <c r="B7489" s="431" t="str">
        <f t="shared" si="117"/>
        <v/>
      </c>
      <c r="H7489" s="145"/>
      <c r="I7489" s="145"/>
      <c r="J7489" s="145"/>
      <c r="K7489" s="145"/>
      <c r="L7489" s="145"/>
      <c r="M7489" s="145"/>
      <c r="N7489" s="145"/>
      <c r="O7489" s="145"/>
      <c r="P7489" s="145"/>
      <c r="Q7489" s="145"/>
    </row>
    <row r="7490" spans="1:17" x14ac:dyDescent="0.2">
      <c r="A7490" s="30" t="str">
        <f>IF(C7490&amp;G7490&amp;D7490&lt;&gt;'Funnel setup'!$K$3&amp;'Funnel setup'!$K$4&amp;'Funnel setup'!$K$5,".",IF(A7489=".",1,A7489+1))</f>
        <v>.</v>
      </c>
      <c r="B7490" s="431" t="str">
        <f t="shared" si="117"/>
        <v/>
      </c>
      <c r="H7490" s="145"/>
      <c r="I7490" s="145"/>
      <c r="J7490" s="145"/>
      <c r="K7490" s="145"/>
      <c r="L7490" s="145"/>
      <c r="M7490" s="145"/>
      <c r="N7490" s="145"/>
      <c r="O7490" s="145"/>
      <c r="P7490" s="145"/>
      <c r="Q7490" s="145"/>
    </row>
    <row r="7491" spans="1:17" x14ac:dyDescent="0.2">
      <c r="A7491" s="30" t="str">
        <f>IF(C7491&amp;G7491&amp;D7491&lt;&gt;'Funnel setup'!$K$3&amp;'Funnel setup'!$K$4&amp;'Funnel setup'!$K$5,".",IF(A7490=".",1,A7490+1))</f>
        <v>.</v>
      </c>
      <c r="B7491" s="431" t="str">
        <f t="shared" si="117"/>
        <v/>
      </c>
      <c r="H7491" s="145"/>
      <c r="I7491" s="145"/>
      <c r="J7491" s="145"/>
      <c r="K7491" s="145"/>
      <c r="L7491" s="145"/>
      <c r="M7491" s="145"/>
      <c r="N7491" s="145"/>
      <c r="O7491" s="145"/>
      <c r="P7491" s="145"/>
      <c r="Q7491" s="145"/>
    </row>
    <row r="7492" spans="1:17" x14ac:dyDescent="0.2">
      <c r="A7492" s="30" t="str">
        <f>IF(C7492&amp;G7492&amp;D7492&lt;&gt;'Funnel setup'!$K$3&amp;'Funnel setup'!$K$4&amp;'Funnel setup'!$K$5,".",IF(A7491=".",1,A7491+1))</f>
        <v>.</v>
      </c>
      <c r="B7492" s="431" t="str">
        <f t="shared" si="117"/>
        <v/>
      </c>
      <c r="H7492" s="145"/>
      <c r="I7492" s="145"/>
      <c r="J7492" s="145"/>
      <c r="K7492" s="145"/>
      <c r="L7492" s="145"/>
      <c r="M7492" s="145"/>
      <c r="N7492" s="145"/>
      <c r="O7492" s="145"/>
      <c r="P7492" s="145"/>
      <c r="Q7492" s="145"/>
    </row>
    <row r="7493" spans="1:17" x14ac:dyDescent="0.2">
      <c r="A7493" s="30" t="str">
        <f>IF(C7493&amp;G7493&amp;D7493&lt;&gt;'Funnel setup'!$K$3&amp;'Funnel setup'!$K$4&amp;'Funnel setup'!$K$5,".",IF(A7492=".",1,A7492+1))</f>
        <v>.</v>
      </c>
      <c r="B7493" s="431" t="str">
        <f t="shared" si="117"/>
        <v/>
      </c>
      <c r="H7493" s="145"/>
      <c r="I7493" s="145"/>
      <c r="J7493" s="145"/>
      <c r="K7493" s="145"/>
      <c r="L7493" s="145"/>
      <c r="M7493" s="145"/>
      <c r="N7493" s="145"/>
      <c r="O7493" s="145"/>
      <c r="P7493" s="145"/>
      <c r="Q7493" s="145"/>
    </row>
    <row r="7494" spans="1:17" x14ac:dyDescent="0.2">
      <c r="A7494" s="30" t="str">
        <f>IF(C7494&amp;G7494&amp;D7494&lt;&gt;'Funnel setup'!$K$3&amp;'Funnel setup'!$K$4&amp;'Funnel setup'!$K$5,".",IF(A7493=".",1,A7493+1))</f>
        <v>.</v>
      </c>
      <c r="B7494" s="431" t="str">
        <f t="shared" si="117"/>
        <v/>
      </c>
      <c r="H7494" s="145"/>
      <c r="I7494" s="145"/>
      <c r="J7494" s="145"/>
      <c r="K7494" s="145"/>
      <c r="L7494" s="145"/>
      <c r="M7494" s="145"/>
      <c r="N7494" s="145"/>
      <c r="O7494" s="145"/>
      <c r="P7494" s="145"/>
      <c r="Q7494" s="145"/>
    </row>
    <row r="7495" spans="1:17" x14ac:dyDescent="0.2">
      <c r="A7495" s="30" t="str">
        <f>IF(C7495&amp;G7495&amp;D7495&lt;&gt;'Funnel setup'!$K$3&amp;'Funnel setup'!$K$4&amp;'Funnel setup'!$K$5,".",IF(A7494=".",1,A7494+1))</f>
        <v>.</v>
      </c>
      <c r="B7495" s="431" t="str">
        <f t="shared" si="117"/>
        <v/>
      </c>
      <c r="H7495" s="145"/>
      <c r="I7495" s="145"/>
      <c r="J7495" s="145"/>
      <c r="K7495" s="145"/>
      <c r="L7495" s="145"/>
      <c r="M7495" s="145"/>
      <c r="N7495" s="145"/>
      <c r="O7495" s="145"/>
      <c r="P7495" s="145"/>
      <c r="Q7495" s="145"/>
    </row>
    <row r="7496" spans="1:17" x14ac:dyDescent="0.2">
      <c r="A7496" s="30" t="str">
        <f>IF(C7496&amp;G7496&amp;D7496&lt;&gt;'Funnel setup'!$K$3&amp;'Funnel setup'!$K$4&amp;'Funnel setup'!$K$5,".",IF(A7495=".",1,A7495+1))</f>
        <v>.</v>
      </c>
      <c r="B7496" s="431" t="str">
        <f t="shared" si="117"/>
        <v/>
      </c>
      <c r="H7496" s="145"/>
      <c r="I7496" s="145"/>
      <c r="J7496" s="145"/>
      <c r="K7496" s="145"/>
      <c r="L7496" s="145"/>
      <c r="M7496" s="145"/>
      <c r="N7496" s="145"/>
      <c r="O7496" s="145"/>
      <c r="P7496" s="145"/>
      <c r="Q7496" s="145"/>
    </row>
    <row r="7497" spans="1:17" x14ac:dyDescent="0.2">
      <c r="A7497" s="30" t="str">
        <f>IF(C7497&amp;G7497&amp;D7497&lt;&gt;'Funnel setup'!$K$3&amp;'Funnel setup'!$K$4&amp;'Funnel setup'!$K$5,".",IF(A7496=".",1,A7496+1))</f>
        <v>.</v>
      </c>
      <c r="B7497" s="431" t="str">
        <f t="shared" si="117"/>
        <v/>
      </c>
      <c r="H7497" s="145"/>
      <c r="I7497" s="145"/>
      <c r="J7497" s="145"/>
      <c r="K7497" s="145"/>
      <c r="L7497" s="145"/>
      <c r="M7497" s="145"/>
      <c r="N7497" s="145"/>
      <c r="O7497" s="145"/>
      <c r="P7497" s="145"/>
      <c r="Q7497" s="145"/>
    </row>
    <row r="7498" spans="1:17" x14ac:dyDescent="0.2">
      <c r="A7498" s="30" t="str">
        <f>IF(C7498&amp;G7498&amp;D7498&lt;&gt;'Funnel setup'!$K$3&amp;'Funnel setup'!$K$4&amp;'Funnel setup'!$K$5,".",IF(A7497=".",1,A7497+1))</f>
        <v>.</v>
      </c>
      <c r="B7498" s="431" t="str">
        <f t="shared" si="117"/>
        <v/>
      </c>
      <c r="H7498" s="145"/>
      <c r="I7498" s="145"/>
      <c r="J7498" s="145"/>
      <c r="K7498" s="145"/>
      <c r="L7498" s="145"/>
      <c r="M7498" s="145"/>
      <c r="N7498" s="145"/>
      <c r="O7498" s="145"/>
      <c r="P7498" s="145"/>
      <c r="Q7498" s="145"/>
    </row>
    <row r="7499" spans="1:17" x14ac:dyDescent="0.2">
      <c r="A7499" s="30" t="str">
        <f>IF(C7499&amp;G7499&amp;D7499&lt;&gt;'Funnel setup'!$K$3&amp;'Funnel setup'!$K$4&amp;'Funnel setup'!$K$5,".",IF(A7498=".",1,A7498+1))</f>
        <v>.</v>
      </c>
      <c r="B7499" s="431" t="str">
        <f t="shared" si="117"/>
        <v/>
      </c>
      <c r="H7499" s="145"/>
      <c r="I7499" s="145"/>
      <c r="J7499" s="145"/>
      <c r="K7499" s="145"/>
      <c r="L7499" s="145"/>
      <c r="M7499" s="145"/>
      <c r="N7499" s="145"/>
      <c r="O7499" s="145"/>
      <c r="P7499" s="145"/>
      <c r="Q7499" s="145"/>
    </row>
    <row r="7500" spans="1:17" x14ac:dyDescent="0.2">
      <c r="A7500" s="30" t="str">
        <f>IF(C7500&amp;G7500&amp;D7500&lt;&gt;'Funnel setup'!$K$3&amp;'Funnel setup'!$K$4&amp;'Funnel setup'!$K$5,".",IF(A7499=".",1,A7499+1))</f>
        <v>.</v>
      </c>
      <c r="B7500" s="431" t="str">
        <f t="shared" ref="B7500:B7501" si="118">C7500&amp;D7500&amp;F7500&amp;G7500</f>
        <v/>
      </c>
      <c r="H7500" s="145"/>
      <c r="I7500" s="145"/>
      <c r="J7500" s="145"/>
      <c r="K7500" s="145"/>
      <c r="L7500" s="145"/>
      <c r="M7500" s="145"/>
      <c r="N7500" s="145"/>
      <c r="O7500" s="145"/>
      <c r="P7500" s="145"/>
      <c r="Q7500" s="145"/>
    </row>
    <row r="7501" spans="1:17" x14ac:dyDescent="0.2">
      <c r="A7501" s="30" t="str">
        <f>IF(C7501&amp;G7501&amp;D7501&lt;&gt;'Funnel setup'!$K$3&amp;'Funnel setup'!$K$4&amp;'Funnel setup'!$K$5,".",IF(A7500=".",1,A7500+1))</f>
        <v>.</v>
      </c>
      <c r="B7501" s="431" t="str">
        <f t="shared" si="118"/>
        <v/>
      </c>
      <c r="H7501" s="145"/>
      <c r="I7501" s="145"/>
      <c r="J7501" s="145"/>
      <c r="K7501" s="145"/>
      <c r="L7501" s="145"/>
      <c r="M7501" s="145"/>
      <c r="N7501" s="145"/>
      <c r="O7501" s="145"/>
      <c r="P7501" s="145"/>
      <c r="Q7501" s="145"/>
    </row>
  </sheetData>
  <conditionalFormatting sqref="A1:A1048576">
    <cfRule type="cellIs" dxfId="11" priority="1" operator="equal">
      <formula>"."</formula>
    </cfRule>
  </conditionalFormatting>
  <conditionalFormatting sqref="B1:B1048576">
    <cfRule type="cellIs" dxfId="10" priority="2" operator="notEqual">
      <formula>""</formula>
    </cfRule>
  </conditionalFormatting>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34"/>
  </sheetPr>
  <dimension ref="A1:Q7501"/>
  <sheetViews>
    <sheetView zoomScale="85" workbookViewId="0">
      <pane ySplit="1" topLeftCell="A2" activePane="bottomLeft" state="frozen"/>
      <selection activeCell="E31" sqref="E31"/>
      <selection pane="bottomLeft" activeCell="E31" sqref="E31"/>
    </sheetView>
  </sheetViews>
  <sheetFormatPr defaultRowHeight="12.75" x14ac:dyDescent="0.2"/>
  <cols>
    <col min="1" max="1" width="10.7109375" style="30" customWidth="1"/>
    <col min="2" max="2" width="49.5703125" style="30" customWidth="1"/>
    <col min="3" max="3" width="31.140625" customWidth="1"/>
    <col min="4" max="4" width="19.28515625" bestFit="1" customWidth="1"/>
    <col min="5" max="5" width="13.5703125" style="144" customWidth="1"/>
    <col min="6" max="6" width="56.42578125" customWidth="1"/>
    <col min="7" max="7" width="15.7109375" customWidth="1"/>
    <col min="8" max="8" width="10" customWidth="1"/>
    <col min="11" max="11" width="14.5703125" customWidth="1"/>
    <col min="12" max="12" width="10.28515625" customWidth="1"/>
    <col min="13" max="13" width="11.140625" customWidth="1"/>
    <col min="14" max="14" width="10.42578125" customWidth="1"/>
    <col min="15" max="15" width="11.140625" customWidth="1"/>
    <col min="16" max="16" width="15" customWidth="1"/>
    <col min="17" max="17" width="10.28515625" customWidth="1"/>
  </cols>
  <sheetData>
    <row r="1" spans="1:17" ht="47.25" customHeight="1" x14ac:dyDescent="0.2">
      <c r="A1" s="182" t="s">
        <v>190</v>
      </c>
      <c r="B1" s="30" t="s">
        <v>75</v>
      </c>
      <c r="C1" s="147" t="s">
        <v>35</v>
      </c>
      <c r="D1" s="147" t="s">
        <v>60</v>
      </c>
      <c r="E1" s="147" t="s">
        <v>61</v>
      </c>
      <c r="F1" s="147" t="s">
        <v>62</v>
      </c>
      <c r="G1" s="147" t="s">
        <v>63</v>
      </c>
      <c r="H1" s="147" t="s">
        <v>85</v>
      </c>
      <c r="I1" s="147" t="s">
        <v>265</v>
      </c>
      <c r="J1" s="147" t="s">
        <v>266</v>
      </c>
      <c r="K1" s="147" t="s">
        <v>251</v>
      </c>
      <c r="L1" s="147" t="s">
        <v>72</v>
      </c>
      <c r="M1" s="147" t="s">
        <v>207</v>
      </c>
      <c r="N1" s="147" t="s">
        <v>208</v>
      </c>
      <c r="O1" s="147" t="s">
        <v>252</v>
      </c>
      <c r="P1" s="147" t="s">
        <v>86</v>
      </c>
      <c r="Q1" s="148" t="s">
        <v>2</v>
      </c>
    </row>
    <row r="2" spans="1:17" x14ac:dyDescent="0.2">
      <c r="A2" s="30" t="str">
        <f>IF(C2&amp;G2&amp;D2&lt;&gt;'Funnel setup'!$K$3&amp;'Funnel setup'!$K$4&amp;'Funnel setup'!$K$5,".",IF(A1=".",1,A1+1))</f>
        <v>.</v>
      </c>
      <c r="B2" s="431" t="str">
        <f>C2&amp;D2&amp;F2&amp;G2</f>
        <v>Groin HerniaCCG of GP PracticeEAST COMMISSIONING HUB (14E)EQ VAS</v>
      </c>
      <c r="C2" t="s">
        <v>50</v>
      </c>
      <c r="D2" t="s">
        <v>87</v>
      </c>
      <c r="E2" t="s">
        <v>6551</v>
      </c>
      <c r="F2" t="s">
        <v>6542</v>
      </c>
      <c r="G2" t="s">
        <v>179</v>
      </c>
      <c r="H2" t="s">
        <v>53</v>
      </c>
      <c r="I2" t="s">
        <v>53</v>
      </c>
      <c r="J2" t="s">
        <v>53</v>
      </c>
      <c r="K2" t="s">
        <v>53</v>
      </c>
      <c r="L2" t="s">
        <v>53</v>
      </c>
      <c r="M2" t="s">
        <v>53</v>
      </c>
      <c r="N2" t="s">
        <v>53</v>
      </c>
      <c r="O2" t="s">
        <v>53</v>
      </c>
      <c r="P2" t="s">
        <v>53</v>
      </c>
      <c r="Q2" t="s">
        <v>53</v>
      </c>
    </row>
    <row r="3" spans="1:17" s="30" customFormat="1" x14ac:dyDescent="0.2">
      <c r="A3" s="30" t="str">
        <f>IF(C3&amp;G3&amp;D3&lt;&gt;'Funnel setup'!$K$3&amp;'Funnel setup'!$K$4&amp;'Funnel setup'!$K$5,".",IF(A2=".",1,A2+1))</f>
        <v>.</v>
      </c>
      <c r="B3" s="431" t="str">
        <f t="shared" ref="B3:B66" si="0">C3&amp;D3&amp;F3&amp;G3</f>
        <v>Groin HerniaCCG of GP PracticeNATIONAL COMMISSIONING HUB 1 (13Q)EQ VAS</v>
      </c>
      <c r="C3" t="s">
        <v>50</v>
      </c>
      <c r="D3" t="s">
        <v>87</v>
      </c>
      <c r="E3" t="s">
        <v>563</v>
      </c>
      <c r="F3" t="s">
        <v>564</v>
      </c>
      <c r="G3" t="s">
        <v>179</v>
      </c>
      <c r="H3">
        <v>32</v>
      </c>
      <c r="I3">
        <v>83</v>
      </c>
      <c r="J3">
        <v>87.156000000000006</v>
      </c>
      <c r="K3">
        <v>4.1559999999999997</v>
      </c>
      <c r="L3">
        <v>18</v>
      </c>
      <c r="M3">
        <v>8</v>
      </c>
      <c r="N3">
        <v>6</v>
      </c>
      <c r="O3">
        <v>83.546000000000006</v>
      </c>
      <c r="P3">
        <v>2.9004378150000001</v>
      </c>
      <c r="Q3">
        <v>7.9290000000000003</v>
      </c>
    </row>
    <row r="4" spans="1:17" s="30" customFormat="1" x14ac:dyDescent="0.2">
      <c r="A4" s="30" t="str">
        <f>IF(C4&amp;G4&amp;D4&lt;&gt;'Funnel setup'!$K$3&amp;'Funnel setup'!$K$4&amp;'Funnel setup'!$K$5,".",IF(A3=".",1,A3+1))</f>
        <v>.</v>
      </c>
      <c r="B4" s="431" t="str">
        <f t="shared" si="0"/>
        <v>Groin HerniaCCG of GP PracticeNHS AIREDALE, WHARFEDALE AND CRAVEN CCG (02N)EQ VAS</v>
      </c>
      <c r="C4" t="s">
        <v>50</v>
      </c>
      <c r="D4" t="s">
        <v>87</v>
      </c>
      <c r="E4" t="s">
        <v>566</v>
      </c>
      <c r="F4" t="s">
        <v>567</v>
      </c>
      <c r="G4" t="s">
        <v>179</v>
      </c>
      <c r="H4">
        <v>103</v>
      </c>
      <c r="I4">
        <v>78.34</v>
      </c>
      <c r="J4">
        <v>80.251999999999995</v>
      </c>
      <c r="K4">
        <v>1.913</v>
      </c>
      <c r="L4">
        <v>49</v>
      </c>
      <c r="M4">
        <v>21</v>
      </c>
      <c r="N4">
        <v>33</v>
      </c>
      <c r="O4">
        <v>81.881</v>
      </c>
      <c r="P4">
        <v>1.2359991269999999</v>
      </c>
      <c r="Q4">
        <v>10.923999999999999</v>
      </c>
    </row>
    <row r="5" spans="1:17" s="30" customFormat="1" x14ac:dyDescent="0.2">
      <c r="A5" s="30" t="str">
        <f>IF(C5&amp;G5&amp;D5&lt;&gt;'Funnel setup'!$K$3&amp;'Funnel setup'!$K$4&amp;'Funnel setup'!$K$5,".",IF(A4=".",1,A4+1))</f>
        <v>.</v>
      </c>
      <c r="B5" s="431" t="str">
        <f t="shared" si="0"/>
        <v>Groin HerniaCCG of GP PracticeNHS ASHFORD CCG (09C)EQ VAS</v>
      </c>
      <c r="C5" t="s">
        <v>50</v>
      </c>
      <c r="D5" t="s">
        <v>87</v>
      </c>
      <c r="E5" t="s">
        <v>569</v>
      </c>
      <c r="F5" t="s">
        <v>339</v>
      </c>
      <c r="G5" t="s">
        <v>179</v>
      </c>
      <c r="H5">
        <v>33</v>
      </c>
      <c r="I5">
        <v>81.152000000000001</v>
      </c>
      <c r="J5">
        <v>78.03</v>
      </c>
      <c r="K5">
        <v>-3.121</v>
      </c>
      <c r="L5">
        <v>14</v>
      </c>
      <c r="M5">
        <v>3</v>
      </c>
      <c r="N5">
        <v>16</v>
      </c>
      <c r="O5">
        <v>77.685000000000002</v>
      </c>
      <c r="P5">
        <v>-2.9600529760000001</v>
      </c>
      <c r="Q5">
        <v>16.605</v>
      </c>
    </row>
    <row r="6" spans="1:17" s="30" customFormat="1" x14ac:dyDescent="0.2">
      <c r="A6" s="30" t="str">
        <f>IF(C6&amp;G6&amp;D6&lt;&gt;'Funnel setup'!$K$3&amp;'Funnel setup'!$K$4&amp;'Funnel setup'!$K$5,".",IF(A5=".",1,A5+1))</f>
        <v>.</v>
      </c>
      <c r="B6" s="431" t="str">
        <f t="shared" si="0"/>
        <v>Groin HerniaCCG of GP PracticeNHS AYLESBURY VALE CCG (10Y)EQ VAS</v>
      </c>
      <c r="C6" t="s">
        <v>50</v>
      </c>
      <c r="D6" t="s">
        <v>87</v>
      </c>
      <c r="E6" t="s">
        <v>571</v>
      </c>
      <c r="F6" t="s">
        <v>572</v>
      </c>
      <c r="G6" t="s">
        <v>179</v>
      </c>
      <c r="H6">
        <v>82</v>
      </c>
      <c r="I6">
        <v>83.146000000000001</v>
      </c>
      <c r="J6">
        <v>83.537000000000006</v>
      </c>
      <c r="K6">
        <v>0.39</v>
      </c>
      <c r="L6">
        <v>34</v>
      </c>
      <c r="M6">
        <v>14</v>
      </c>
      <c r="N6">
        <v>34</v>
      </c>
      <c r="O6">
        <v>81.361000000000004</v>
      </c>
      <c r="P6">
        <v>0.71567321100000003</v>
      </c>
      <c r="Q6">
        <v>9.7590000000000003</v>
      </c>
    </row>
    <row r="7" spans="1:17" s="30" customFormat="1" x14ac:dyDescent="0.2">
      <c r="A7" s="30" t="str">
        <f>IF(C7&amp;G7&amp;D7&lt;&gt;'Funnel setup'!$K$3&amp;'Funnel setup'!$K$4&amp;'Funnel setup'!$K$5,".",IF(A6=".",1,A6+1))</f>
        <v>.</v>
      </c>
      <c r="B7" s="431" t="str">
        <f t="shared" si="0"/>
        <v>Groin HerniaCCG of GP PracticeNHS BARKING AND DAGENHAM CCG (07L)EQ VAS</v>
      </c>
      <c r="C7" t="s">
        <v>50</v>
      </c>
      <c r="D7" t="s">
        <v>87</v>
      </c>
      <c r="E7" t="s">
        <v>574</v>
      </c>
      <c r="F7" t="s">
        <v>575</v>
      </c>
      <c r="G7" t="s">
        <v>179</v>
      </c>
      <c r="H7">
        <v>33</v>
      </c>
      <c r="I7">
        <v>76.242000000000004</v>
      </c>
      <c r="J7">
        <v>79.394000000000005</v>
      </c>
      <c r="K7">
        <v>3.1520000000000001</v>
      </c>
      <c r="L7">
        <v>15</v>
      </c>
      <c r="M7">
        <v>4</v>
      </c>
      <c r="N7">
        <v>14</v>
      </c>
      <c r="O7">
        <v>81.701999999999998</v>
      </c>
      <c r="P7">
        <v>1.0568278310000001</v>
      </c>
      <c r="Q7">
        <v>10.492000000000001</v>
      </c>
    </row>
    <row r="8" spans="1:17" s="30" customFormat="1" x14ac:dyDescent="0.2">
      <c r="A8" s="30" t="str">
        <f>IF(C8&amp;G8&amp;D8&lt;&gt;'Funnel setup'!$K$3&amp;'Funnel setup'!$K$4&amp;'Funnel setup'!$K$5,".",IF(A7=".",1,A7+1))</f>
        <v>.</v>
      </c>
      <c r="B8" s="431" t="str">
        <f t="shared" si="0"/>
        <v>Groin HerniaCCG of GP PracticeNHS BARNET CCG (07M)EQ VAS</v>
      </c>
      <c r="C8" t="s">
        <v>50</v>
      </c>
      <c r="D8" t="s">
        <v>87</v>
      </c>
      <c r="E8" t="s">
        <v>577</v>
      </c>
      <c r="F8" t="s">
        <v>578</v>
      </c>
      <c r="G8" t="s">
        <v>179</v>
      </c>
      <c r="H8">
        <v>31</v>
      </c>
      <c r="I8">
        <v>80</v>
      </c>
      <c r="J8">
        <v>78.709999999999994</v>
      </c>
      <c r="K8">
        <v>-1.29</v>
      </c>
      <c r="L8">
        <v>11</v>
      </c>
      <c r="M8">
        <v>8</v>
      </c>
      <c r="N8">
        <v>12</v>
      </c>
      <c r="O8">
        <v>79.141000000000005</v>
      </c>
      <c r="P8">
        <v>-1.5048427879999999</v>
      </c>
      <c r="Q8">
        <v>13.61</v>
      </c>
    </row>
    <row r="9" spans="1:17" s="30" customFormat="1" x14ac:dyDescent="0.2">
      <c r="A9" s="30" t="str">
        <f>IF(C9&amp;G9&amp;D9&lt;&gt;'Funnel setup'!$K$3&amp;'Funnel setup'!$K$4&amp;'Funnel setup'!$K$5,".",IF(A8=".",1,A8+1))</f>
        <v>.</v>
      </c>
      <c r="B9" s="431" t="str">
        <f t="shared" si="0"/>
        <v>Groin HerniaCCG of GP PracticeNHS BARNSLEY CCG (02P)EQ VAS</v>
      </c>
      <c r="C9" t="s">
        <v>50</v>
      </c>
      <c r="D9" t="s">
        <v>87</v>
      </c>
      <c r="E9" t="s">
        <v>580</v>
      </c>
      <c r="F9" t="s">
        <v>581</v>
      </c>
      <c r="G9" t="s">
        <v>179</v>
      </c>
      <c r="H9">
        <v>126</v>
      </c>
      <c r="I9">
        <v>82.094999999999999</v>
      </c>
      <c r="J9">
        <v>80.302000000000007</v>
      </c>
      <c r="K9">
        <v>-1.794</v>
      </c>
      <c r="L9">
        <v>38</v>
      </c>
      <c r="M9">
        <v>28</v>
      </c>
      <c r="N9">
        <v>60</v>
      </c>
      <c r="O9">
        <v>79.551000000000002</v>
      </c>
      <c r="P9">
        <v>-1.0948682700000001</v>
      </c>
      <c r="Q9">
        <v>14.284000000000001</v>
      </c>
    </row>
    <row r="10" spans="1:17" s="30" customFormat="1" x14ac:dyDescent="0.2">
      <c r="A10" s="30" t="str">
        <f>IF(C10&amp;G10&amp;D10&lt;&gt;'Funnel setup'!$K$3&amp;'Funnel setup'!$K$4&amp;'Funnel setup'!$K$5,".",IF(A9=".",1,A9+1))</f>
        <v>.</v>
      </c>
      <c r="B10" s="431" t="str">
        <f t="shared" si="0"/>
        <v>Groin HerniaCCG of GP PracticeNHS BASILDON AND BRENTWOOD CCG (99E)EQ VAS</v>
      </c>
      <c r="C10" t="s">
        <v>50</v>
      </c>
      <c r="D10" t="s">
        <v>87</v>
      </c>
      <c r="E10" t="s">
        <v>583</v>
      </c>
      <c r="F10" t="s">
        <v>584</v>
      </c>
      <c r="G10" t="s">
        <v>179</v>
      </c>
      <c r="H10">
        <v>66</v>
      </c>
      <c r="I10">
        <v>78.47</v>
      </c>
      <c r="J10">
        <v>77.802999999999997</v>
      </c>
      <c r="K10">
        <v>-0.66700000000000004</v>
      </c>
      <c r="L10">
        <v>27</v>
      </c>
      <c r="M10">
        <v>10</v>
      </c>
      <c r="N10">
        <v>29</v>
      </c>
      <c r="O10">
        <v>79.305000000000007</v>
      </c>
      <c r="P10">
        <v>-1.3408863390000001</v>
      </c>
      <c r="Q10">
        <v>13.298999999999999</v>
      </c>
    </row>
    <row r="11" spans="1:17" s="30" customFormat="1" x14ac:dyDescent="0.2">
      <c r="A11" s="30" t="str">
        <f>IF(C11&amp;G11&amp;D11&lt;&gt;'Funnel setup'!$K$3&amp;'Funnel setup'!$K$4&amp;'Funnel setup'!$K$5,".",IF(A10=".",1,A10+1))</f>
        <v>.</v>
      </c>
      <c r="B11" s="431" t="str">
        <f t="shared" si="0"/>
        <v>Groin HerniaCCG of GP PracticeNHS BASSETLAW CCG (02Q)EQ VAS</v>
      </c>
      <c r="C11" t="s">
        <v>50</v>
      </c>
      <c r="D11" t="s">
        <v>87</v>
      </c>
      <c r="E11" t="s">
        <v>586</v>
      </c>
      <c r="F11" t="s">
        <v>587</v>
      </c>
      <c r="G11" t="s">
        <v>179</v>
      </c>
      <c r="H11">
        <v>92</v>
      </c>
      <c r="I11">
        <v>78.716999999999999</v>
      </c>
      <c r="J11">
        <v>77.412999999999997</v>
      </c>
      <c r="K11">
        <v>-1.304</v>
      </c>
      <c r="L11">
        <v>31</v>
      </c>
      <c r="M11">
        <v>19</v>
      </c>
      <c r="N11">
        <v>42</v>
      </c>
      <c r="O11">
        <v>79.290999999999997</v>
      </c>
      <c r="P11">
        <v>-1.3545873989999999</v>
      </c>
      <c r="Q11">
        <v>13.568</v>
      </c>
    </row>
    <row r="12" spans="1:17" s="30" customFormat="1" x14ac:dyDescent="0.2">
      <c r="A12" s="30" t="str">
        <f>IF(C12&amp;G12&amp;D12&lt;&gt;'Funnel setup'!$K$3&amp;'Funnel setup'!$K$4&amp;'Funnel setup'!$K$5,".",IF(A11=".",1,A11+1))</f>
        <v>.</v>
      </c>
      <c r="B12" s="431" t="str">
        <f t="shared" si="0"/>
        <v>Groin HerniaCCG of GP PracticeNHS BATH AND NORTH EAST SOMERSET CCG (11E)EQ VAS</v>
      </c>
      <c r="C12" t="s">
        <v>50</v>
      </c>
      <c r="D12" t="s">
        <v>87</v>
      </c>
      <c r="E12" t="s">
        <v>589</v>
      </c>
      <c r="F12" t="s">
        <v>590</v>
      </c>
      <c r="G12" t="s">
        <v>179</v>
      </c>
      <c r="H12">
        <v>96</v>
      </c>
      <c r="I12">
        <v>85.063000000000002</v>
      </c>
      <c r="J12">
        <v>83.521000000000001</v>
      </c>
      <c r="K12">
        <v>-1.542</v>
      </c>
      <c r="L12">
        <v>25</v>
      </c>
      <c r="M12">
        <v>22</v>
      </c>
      <c r="N12">
        <v>49</v>
      </c>
      <c r="O12">
        <v>79.83</v>
      </c>
      <c r="P12">
        <v>-0.81559567899999996</v>
      </c>
      <c r="Q12">
        <v>10.946</v>
      </c>
    </row>
    <row r="13" spans="1:17" s="30" customFormat="1" x14ac:dyDescent="0.2">
      <c r="A13" s="30" t="str">
        <f>IF(C13&amp;G13&amp;D13&lt;&gt;'Funnel setup'!$K$3&amp;'Funnel setup'!$K$4&amp;'Funnel setup'!$K$5,".",IF(A12=".",1,A12+1))</f>
        <v>.</v>
      </c>
      <c r="B13" s="431" t="str">
        <f t="shared" si="0"/>
        <v>Groin HerniaCCG of GP PracticeNHS BEDFORDSHIRE CCG (06F)EQ VAS</v>
      </c>
      <c r="C13" t="s">
        <v>50</v>
      </c>
      <c r="D13" t="s">
        <v>87</v>
      </c>
      <c r="E13" t="s">
        <v>592</v>
      </c>
      <c r="F13" t="s">
        <v>593</v>
      </c>
      <c r="G13" t="s">
        <v>179</v>
      </c>
      <c r="H13">
        <v>181</v>
      </c>
      <c r="I13">
        <v>81.376000000000005</v>
      </c>
      <c r="J13">
        <v>82.043999999999997</v>
      </c>
      <c r="K13">
        <v>0.66900000000000004</v>
      </c>
      <c r="L13">
        <v>75</v>
      </c>
      <c r="M13">
        <v>40</v>
      </c>
      <c r="N13">
        <v>66</v>
      </c>
      <c r="O13">
        <v>81.287999999999997</v>
      </c>
      <c r="P13">
        <v>0.64306335100000001</v>
      </c>
      <c r="Q13">
        <v>10.804</v>
      </c>
    </row>
    <row r="14" spans="1:17" s="30" customFormat="1" x14ac:dyDescent="0.2">
      <c r="A14" s="30" t="str">
        <f>IF(C14&amp;G14&amp;D14&lt;&gt;'Funnel setup'!$K$3&amp;'Funnel setup'!$K$4&amp;'Funnel setup'!$K$5,".",IF(A13=".",1,A13+1))</f>
        <v>.</v>
      </c>
      <c r="B14" s="431" t="str">
        <f t="shared" si="0"/>
        <v>Groin HerniaCCG of GP PracticeNHS BEXLEY CCG (07N)EQ VAS</v>
      </c>
      <c r="C14" t="s">
        <v>50</v>
      </c>
      <c r="D14" t="s">
        <v>87</v>
      </c>
      <c r="E14" t="s">
        <v>595</v>
      </c>
      <c r="F14" t="s">
        <v>596</v>
      </c>
      <c r="G14" t="s">
        <v>179</v>
      </c>
      <c r="H14">
        <v>106</v>
      </c>
      <c r="I14">
        <v>80.207999999999998</v>
      </c>
      <c r="J14">
        <v>78.566000000000003</v>
      </c>
      <c r="K14">
        <v>-1.6419999999999999</v>
      </c>
      <c r="L14">
        <v>35</v>
      </c>
      <c r="M14">
        <v>23</v>
      </c>
      <c r="N14">
        <v>48</v>
      </c>
      <c r="O14">
        <v>79.58</v>
      </c>
      <c r="P14">
        <v>-1.065676319</v>
      </c>
      <c r="Q14">
        <v>12.83</v>
      </c>
    </row>
    <row r="15" spans="1:17" s="30" customFormat="1" x14ac:dyDescent="0.2">
      <c r="A15" s="30" t="str">
        <f>IF(C15&amp;G15&amp;D15&lt;&gt;'Funnel setup'!$K$3&amp;'Funnel setup'!$K$4&amp;'Funnel setup'!$K$5,".",IF(A14=".",1,A14+1))</f>
        <v>.</v>
      </c>
      <c r="B15" s="431" t="str">
        <f t="shared" si="0"/>
        <v>Groin HerniaCCG of GP PracticeNHS BIRMINGHAM CROSSCITY CCG (13P)EQ VAS</v>
      </c>
      <c r="C15" t="s">
        <v>50</v>
      </c>
      <c r="D15" t="s">
        <v>87</v>
      </c>
      <c r="E15" t="s">
        <v>598</v>
      </c>
      <c r="F15" t="s">
        <v>599</v>
      </c>
      <c r="G15" t="s">
        <v>179</v>
      </c>
      <c r="H15">
        <v>285</v>
      </c>
      <c r="I15">
        <v>80.512</v>
      </c>
      <c r="J15">
        <v>79.712000000000003</v>
      </c>
      <c r="K15">
        <v>-0.8</v>
      </c>
      <c r="L15">
        <v>105</v>
      </c>
      <c r="M15">
        <v>52</v>
      </c>
      <c r="N15">
        <v>128</v>
      </c>
      <c r="O15">
        <v>80.47</v>
      </c>
      <c r="P15">
        <v>-0.17585740399999999</v>
      </c>
      <c r="Q15">
        <v>12.523999999999999</v>
      </c>
    </row>
    <row r="16" spans="1:17" s="30" customFormat="1" x14ac:dyDescent="0.2">
      <c r="A16" s="30" t="str">
        <f>IF(C16&amp;G16&amp;D16&lt;&gt;'Funnel setup'!$K$3&amp;'Funnel setup'!$K$4&amp;'Funnel setup'!$K$5,".",IF(A15=".",1,A15+1))</f>
        <v>.</v>
      </c>
      <c r="B16" s="431" t="str">
        <f t="shared" si="0"/>
        <v>Groin HerniaCCG of GP PracticeNHS BIRMINGHAM SOUTH AND CENTRAL CCG (04X)EQ VAS</v>
      </c>
      <c r="C16" t="s">
        <v>50</v>
      </c>
      <c r="D16" t="s">
        <v>87</v>
      </c>
      <c r="E16" t="s">
        <v>601</v>
      </c>
      <c r="F16" t="s">
        <v>602</v>
      </c>
      <c r="G16" t="s">
        <v>179</v>
      </c>
      <c r="H16">
        <v>60</v>
      </c>
      <c r="I16">
        <v>79.466999999999999</v>
      </c>
      <c r="J16">
        <v>80.966999999999999</v>
      </c>
      <c r="K16">
        <v>1.5</v>
      </c>
      <c r="L16">
        <v>25</v>
      </c>
      <c r="M16">
        <v>11</v>
      </c>
      <c r="N16">
        <v>24</v>
      </c>
      <c r="O16">
        <v>82.683999999999997</v>
      </c>
      <c r="P16">
        <v>2.0389610560000002</v>
      </c>
      <c r="Q16">
        <v>11.247999999999999</v>
      </c>
    </row>
    <row r="17" spans="1:17" s="30" customFormat="1" x14ac:dyDescent="0.2">
      <c r="A17" s="30" t="str">
        <f>IF(C17&amp;G17&amp;D17&lt;&gt;'Funnel setup'!$K$3&amp;'Funnel setup'!$K$4&amp;'Funnel setup'!$K$5,".",IF(A16=".",1,A16+1))</f>
        <v>.</v>
      </c>
      <c r="B17" s="431" t="str">
        <f t="shared" si="0"/>
        <v>Groin HerniaCCG of GP PracticeNHS BLACKBURN WITH DARWEN CCG (00Q)EQ VAS</v>
      </c>
      <c r="C17" t="s">
        <v>50</v>
      </c>
      <c r="D17" t="s">
        <v>87</v>
      </c>
      <c r="E17" t="s">
        <v>604</v>
      </c>
      <c r="F17" t="s">
        <v>605</v>
      </c>
      <c r="G17" t="s">
        <v>179</v>
      </c>
      <c r="H17">
        <v>67</v>
      </c>
      <c r="I17">
        <v>77.134</v>
      </c>
      <c r="J17">
        <v>77.269000000000005</v>
      </c>
      <c r="K17">
        <v>0.13400000000000001</v>
      </c>
      <c r="L17">
        <v>24</v>
      </c>
      <c r="M17">
        <v>9</v>
      </c>
      <c r="N17">
        <v>34</v>
      </c>
      <c r="O17">
        <v>79.838999999999999</v>
      </c>
      <c r="P17">
        <v>-0.80685695400000002</v>
      </c>
      <c r="Q17">
        <v>13.494</v>
      </c>
    </row>
    <row r="18" spans="1:17" s="30" customFormat="1" x14ac:dyDescent="0.2">
      <c r="A18" s="30" t="str">
        <f>IF(C18&amp;G18&amp;D18&lt;&gt;'Funnel setup'!$K$3&amp;'Funnel setup'!$K$4&amp;'Funnel setup'!$K$5,".",IF(A17=".",1,A17+1))</f>
        <v>.</v>
      </c>
      <c r="B18" s="431" t="str">
        <f t="shared" si="0"/>
        <v>Groin HerniaCCG of GP PracticeNHS BLACKPOOL CCG (00R)EQ VAS</v>
      </c>
      <c r="C18" t="s">
        <v>50</v>
      </c>
      <c r="D18" t="s">
        <v>87</v>
      </c>
      <c r="E18" t="s">
        <v>607</v>
      </c>
      <c r="F18" t="s">
        <v>608</v>
      </c>
      <c r="G18" t="s">
        <v>179</v>
      </c>
      <c r="H18">
        <v>25</v>
      </c>
      <c r="I18">
        <v>81.84</v>
      </c>
      <c r="J18">
        <v>75.599999999999994</v>
      </c>
      <c r="K18">
        <v>-6.24</v>
      </c>
      <c r="L18">
        <v>8</v>
      </c>
      <c r="M18">
        <v>5</v>
      </c>
      <c r="N18">
        <v>12</v>
      </c>
      <c r="O18" t="s">
        <v>53</v>
      </c>
      <c r="P18" t="s">
        <v>53</v>
      </c>
      <c r="Q18" t="s">
        <v>53</v>
      </c>
    </row>
    <row r="19" spans="1:17" s="30" customFormat="1" x14ac:dyDescent="0.2">
      <c r="A19" s="30" t="str">
        <f>IF(C19&amp;G19&amp;D19&lt;&gt;'Funnel setup'!$K$3&amp;'Funnel setup'!$K$4&amp;'Funnel setup'!$K$5,".",IF(A18=".",1,A18+1))</f>
        <v>.</v>
      </c>
      <c r="B19" s="431" t="str">
        <f t="shared" si="0"/>
        <v>Groin HerniaCCG of GP PracticeNHS BOLTON CCG (00T)EQ VAS</v>
      </c>
      <c r="C19" t="s">
        <v>50</v>
      </c>
      <c r="D19" t="s">
        <v>87</v>
      </c>
      <c r="E19" t="s">
        <v>683</v>
      </c>
      <c r="F19" t="s">
        <v>684</v>
      </c>
      <c r="G19" t="s">
        <v>179</v>
      </c>
      <c r="H19">
        <v>148</v>
      </c>
      <c r="I19">
        <v>82.182000000000002</v>
      </c>
      <c r="J19">
        <v>81.094999999999999</v>
      </c>
      <c r="K19">
        <v>-1.0880000000000001</v>
      </c>
      <c r="L19">
        <v>55</v>
      </c>
      <c r="M19">
        <v>28</v>
      </c>
      <c r="N19">
        <v>65</v>
      </c>
      <c r="O19">
        <v>80.766999999999996</v>
      </c>
      <c r="P19">
        <v>0.121513628</v>
      </c>
      <c r="Q19">
        <v>11.676</v>
      </c>
    </row>
    <row r="20" spans="1:17" s="30" customFormat="1" x14ac:dyDescent="0.2">
      <c r="A20" s="30" t="str">
        <f>IF(C20&amp;G20&amp;D20&lt;&gt;'Funnel setup'!$K$3&amp;'Funnel setup'!$K$4&amp;'Funnel setup'!$K$5,".",IF(A19=".",1,A19+1))</f>
        <v>.</v>
      </c>
      <c r="B20" s="431" t="str">
        <f t="shared" si="0"/>
        <v>Groin HerniaCCG of GP PracticeNHS BRACKNELL AND ASCOT CCG (10G)EQ VAS</v>
      </c>
      <c r="C20" t="s">
        <v>50</v>
      </c>
      <c r="D20" t="s">
        <v>87</v>
      </c>
      <c r="E20" t="s">
        <v>686</v>
      </c>
      <c r="F20" t="s">
        <v>687</v>
      </c>
      <c r="G20" t="s">
        <v>179</v>
      </c>
      <c r="H20">
        <v>47</v>
      </c>
      <c r="I20">
        <v>78.83</v>
      </c>
      <c r="J20">
        <v>75.66</v>
      </c>
      <c r="K20">
        <v>-3.17</v>
      </c>
      <c r="L20">
        <v>16</v>
      </c>
      <c r="M20">
        <v>8</v>
      </c>
      <c r="N20">
        <v>23</v>
      </c>
      <c r="O20">
        <v>76.195999999999998</v>
      </c>
      <c r="P20">
        <v>-4.4495540580000004</v>
      </c>
      <c r="Q20">
        <v>12.839</v>
      </c>
    </row>
    <row r="21" spans="1:17" s="30" customFormat="1" x14ac:dyDescent="0.2">
      <c r="A21" s="30" t="str">
        <f>IF(C21&amp;G21&amp;D21&lt;&gt;'Funnel setup'!$K$3&amp;'Funnel setup'!$K$4&amp;'Funnel setup'!$K$5,".",IF(A20=".",1,A20+1))</f>
        <v>.</v>
      </c>
      <c r="B21" s="431" t="str">
        <f t="shared" si="0"/>
        <v>Groin HerniaCCG of GP PracticeNHS BRADFORD CITY CCG (02W)EQ VAS</v>
      </c>
      <c r="C21" t="s">
        <v>50</v>
      </c>
      <c r="D21" t="s">
        <v>87</v>
      </c>
      <c r="E21" t="s">
        <v>689</v>
      </c>
      <c r="F21" t="s">
        <v>690</v>
      </c>
      <c r="G21" t="s">
        <v>179</v>
      </c>
      <c r="H21">
        <v>10</v>
      </c>
      <c r="I21">
        <v>72</v>
      </c>
      <c r="J21">
        <v>73.7</v>
      </c>
      <c r="K21">
        <v>1.7</v>
      </c>
      <c r="L21">
        <v>3</v>
      </c>
      <c r="M21">
        <v>5</v>
      </c>
      <c r="N21">
        <v>2</v>
      </c>
      <c r="O21" t="s">
        <v>53</v>
      </c>
      <c r="P21" t="s">
        <v>53</v>
      </c>
      <c r="Q21" t="s">
        <v>53</v>
      </c>
    </row>
    <row r="22" spans="1:17" s="30" customFormat="1" x14ac:dyDescent="0.2">
      <c r="A22" s="30" t="str">
        <f>IF(C22&amp;G22&amp;D22&lt;&gt;'Funnel setup'!$K$3&amp;'Funnel setup'!$K$4&amp;'Funnel setup'!$K$5,".",IF(A21=".",1,A21+1))</f>
        <v>.</v>
      </c>
      <c r="B22" s="431" t="str">
        <f t="shared" si="0"/>
        <v>Groin HerniaCCG of GP PracticeNHS BRADFORD DISTRICTS CCG (02R)EQ VAS</v>
      </c>
      <c r="C22" t="s">
        <v>50</v>
      </c>
      <c r="D22" t="s">
        <v>87</v>
      </c>
      <c r="E22" t="s">
        <v>692</v>
      </c>
      <c r="F22" t="s">
        <v>693</v>
      </c>
      <c r="G22" t="s">
        <v>179</v>
      </c>
      <c r="H22">
        <v>90</v>
      </c>
      <c r="I22">
        <v>77.944000000000003</v>
      </c>
      <c r="J22">
        <v>77.921999999999997</v>
      </c>
      <c r="K22">
        <v>-2.1999999999999999E-2</v>
      </c>
      <c r="L22">
        <v>32</v>
      </c>
      <c r="M22">
        <v>18</v>
      </c>
      <c r="N22">
        <v>40</v>
      </c>
      <c r="O22">
        <v>80.337999999999994</v>
      </c>
      <c r="P22">
        <v>-0.30698723900000002</v>
      </c>
      <c r="Q22">
        <v>14.202</v>
      </c>
    </row>
    <row r="23" spans="1:17" s="30" customFormat="1" x14ac:dyDescent="0.2">
      <c r="A23" s="30" t="str">
        <f>IF(C23&amp;G23&amp;D23&lt;&gt;'Funnel setup'!$K$3&amp;'Funnel setup'!$K$4&amp;'Funnel setup'!$K$5,".",IF(A22=".",1,A22+1))</f>
        <v>.</v>
      </c>
      <c r="B23" s="431" t="str">
        <f t="shared" si="0"/>
        <v>Groin HerniaCCG of GP PracticeNHS BRENT CCG (07P)EQ VAS</v>
      </c>
      <c r="C23" t="s">
        <v>50</v>
      </c>
      <c r="D23" t="s">
        <v>87</v>
      </c>
      <c r="E23" t="s">
        <v>695</v>
      </c>
      <c r="F23" t="s">
        <v>696</v>
      </c>
      <c r="G23" t="s">
        <v>179</v>
      </c>
      <c r="H23">
        <v>24</v>
      </c>
      <c r="I23">
        <v>80.207999999999998</v>
      </c>
      <c r="J23">
        <v>78.5</v>
      </c>
      <c r="K23">
        <v>-1.708</v>
      </c>
      <c r="L23">
        <v>9</v>
      </c>
      <c r="M23">
        <v>6</v>
      </c>
      <c r="N23">
        <v>9</v>
      </c>
      <c r="O23" t="s">
        <v>53</v>
      </c>
      <c r="P23" t="s">
        <v>53</v>
      </c>
      <c r="Q23" t="s">
        <v>53</v>
      </c>
    </row>
    <row r="24" spans="1:17" s="30" customFormat="1" x14ac:dyDescent="0.2">
      <c r="A24" s="30" t="str">
        <f>IF(C24&amp;G24&amp;D24&lt;&gt;'Funnel setup'!$K$3&amp;'Funnel setup'!$K$4&amp;'Funnel setup'!$K$5,".",IF(A23=".",1,A23+1))</f>
        <v>.</v>
      </c>
      <c r="B24" s="431" t="str">
        <f t="shared" si="0"/>
        <v>Groin HerniaCCG of GP PracticeNHS BRIGHTON AND HOVE CCG (09D)EQ VAS</v>
      </c>
      <c r="C24" t="s">
        <v>50</v>
      </c>
      <c r="D24" t="s">
        <v>87</v>
      </c>
      <c r="E24" t="s">
        <v>698</v>
      </c>
      <c r="F24" t="s">
        <v>699</v>
      </c>
      <c r="G24" t="s">
        <v>179</v>
      </c>
      <c r="H24">
        <v>125</v>
      </c>
      <c r="I24">
        <v>80.56</v>
      </c>
      <c r="J24">
        <v>79.656000000000006</v>
      </c>
      <c r="K24">
        <v>-0.90400000000000003</v>
      </c>
      <c r="L24">
        <v>45</v>
      </c>
      <c r="M24">
        <v>20</v>
      </c>
      <c r="N24">
        <v>60</v>
      </c>
      <c r="O24">
        <v>79.766999999999996</v>
      </c>
      <c r="P24">
        <v>-0.87826233799999998</v>
      </c>
      <c r="Q24">
        <v>10.326000000000001</v>
      </c>
    </row>
    <row r="25" spans="1:17" s="30" customFormat="1" x14ac:dyDescent="0.2">
      <c r="A25" s="30" t="str">
        <f>IF(C25&amp;G25&amp;D25&lt;&gt;'Funnel setup'!$K$3&amp;'Funnel setup'!$K$4&amp;'Funnel setup'!$K$5,".",IF(A24=".",1,A24+1))</f>
        <v>.</v>
      </c>
      <c r="B25" s="431" t="str">
        <f t="shared" si="0"/>
        <v>Groin HerniaCCG of GP PracticeNHS BRISTOL CCG (11H)EQ VAS</v>
      </c>
      <c r="C25" t="s">
        <v>50</v>
      </c>
      <c r="D25" t="s">
        <v>87</v>
      </c>
      <c r="E25" t="s">
        <v>701</v>
      </c>
      <c r="F25" t="s">
        <v>702</v>
      </c>
      <c r="G25" t="s">
        <v>179</v>
      </c>
      <c r="H25">
        <v>89</v>
      </c>
      <c r="I25">
        <v>78.572999999999993</v>
      </c>
      <c r="J25">
        <v>78.763999999999996</v>
      </c>
      <c r="K25">
        <v>0.191</v>
      </c>
      <c r="L25">
        <v>37</v>
      </c>
      <c r="M25">
        <v>18</v>
      </c>
      <c r="N25">
        <v>34</v>
      </c>
      <c r="O25">
        <v>79.817999999999998</v>
      </c>
      <c r="P25">
        <v>-0.82693922399999997</v>
      </c>
      <c r="Q25">
        <v>12.468</v>
      </c>
    </row>
    <row r="26" spans="1:17" s="30" customFormat="1" x14ac:dyDescent="0.2">
      <c r="A26" s="30" t="str">
        <f>IF(C26&amp;G26&amp;D26&lt;&gt;'Funnel setup'!$K$3&amp;'Funnel setup'!$K$4&amp;'Funnel setup'!$K$5,".",IF(A25=".",1,A25+1))</f>
        <v>.</v>
      </c>
      <c r="B26" s="431" t="str">
        <f t="shared" si="0"/>
        <v>Groin HerniaCCG of GP PracticeNHS BROMLEY CCG (07Q)EQ VAS</v>
      </c>
      <c r="C26" t="s">
        <v>50</v>
      </c>
      <c r="D26" t="s">
        <v>87</v>
      </c>
      <c r="E26" t="s">
        <v>704</v>
      </c>
      <c r="F26" t="s">
        <v>705</v>
      </c>
      <c r="G26" t="s">
        <v>179</v>
      </c>
      <c r="H26">
        <v>52</v>
      </c>
      <c r="I26">
        <v>81.153999999999996</v>
      </c>
      <c r="J26">
        <v>79.058000000000007</v>
      </c>
      <c r="K26">
        <v>-2.0960000000000001</v>
      </c>
      <c r="L26">
        <v>12</v>
      </c>
      <c r="M26">
        <v>16</v>
      </c>
      <c r="N26">
        <v>24</v>
      </c>
      <c r="O26">
        <v>79.998000000000005</v>
      </c>
      <c r="P26">
        <v>-0.64743887600000005</v>
      </c>
      <c r="Q26">
        <v>11.286</v>
      </c>
    </row>
    <row r="27" spans="1:17" s="30" customFormat="1" x14ac:dyDescent="0.2">
      <c r="A27" s="30" t="str">
        <f>IF(C27&amp;G27&amp;D27&lt;&gt;'Funnel setup'!$K$3&amp;'Funnel setup'!$K$4&amp;'Funnel setup'!$K$5,".",IF(A26=".",1,A26+1))</f>
        <v>.</v>
      </c>
      <c r="B27" s="431" t="str">
        <f t="shared" si="0"/>
        <v>Groin HerniaCCG of GP PracticeNHS BURY CCG (00V)EQ VAS</v>
      </c>
      <c r="C27" t="s">
        <v>50</v>
      </c>
      <c r="D27" t="s">
        <v>87</v>
      </c>
      <c r="E27" t="s">
        <v>707</v>
      </c>
      <c r="F27" t="s">
        <v>708</v>
      </c>
      <c r="G27" t="s">
        <v>179</v>
      </c>
      <c r="H27">
        <v>48</v>
      </c>
      <c r="I27">
        <v>82.146000000000001</v>
      </c>
      <c r="J27">
        <v>80.332999999999998</v>
      </c>
      <c r="K27">
        <v>-1.8129999999999999</v>
      </c>
      <c r="L27">
        <v>16</v>
      </c>
      <c r="M27">
        <v>12</v>
      </c>
      <c r="N27">
        <v>20</v>
      </c>
      <c r="O27">
        <v>80.320999999999998</v>
      </c>
      <c r="P27">
        <v>-0.32423798799999998</v>
      </c>
      <c r="Q27">
        <v>11.666</v>
      </c>
    </row>
    <row r="28" spans="1:17" s="30" customFormat="1" x14ac:dyDescent="0.2">
      <c r="A28" s="30" t="str">
        <f>IF(C28&amp;G28&amp;D28&lt;&gt;'Funnel setup'!$K$3&amp;'Funnel setup'!$K$4&amp;'Funnel setup'!$K$5,".",IF(A27=".",1,A27+1))</f>
        <v>.</v>
      </c>
      <c r="B28" s="431" t="str">
        <f t="shared" si="0"/>
        <v>Groin HerniaCCG of GP PracticeNHS CALDERDALE CCG (02T)EQ VAS</v>
      </c>
      <c r="C28" t="s">
        <v>50</v>
      </c>
      <c r="D28" t="s">
        <v>87</v>
      </c>
      <c r="E28" t="s">
        <v>710</v>
      </c>
      <c r="F28" t="s">
        <v>711</v>
      </c>
      <c r="G28" t="s">
        <v>179</v>
      </c>
      <c r="H28">
        <v>106</v>
      </c>
      <c r="I28">
        <v>82.406000000000006</v>
      </c>
      <c r="J28">
        <v>83.442999999999998</v>
      </c>
      <c r="K28">
        <v>1.038</v>
      </c>
      <c r="L28">
        <v>45</v>
      </c>
      <c r="M28">
        <v>20</v>
      </c>
      <c r="N28">
        <v>41</v>
      </c>
      <c r="O28">
        <v>81.838999999999999</v>
      </c>
      <c r="P28">
        <v>1.193477315</v>
      </c>
      <c r="Q28">
        <v>12.537000000000001</v>
      </c>
    </row>
    <row r="29" spans="1:17" s="30" customFormat="1" x14ac:dyDescent="0.2">
      <c r="A29" s="30" t="str">
        <f>IF(C29&amp;G29&amp;D29&lt;&gt;'Funnel setup'!$K$3&amp;'Funnel setup'!$K$4&amp;'Funnel setup'!$K$5,".",IF(A28=".",1,A28+1))</f>
        <v>.</v>
      </c>
      <c r="B29" s="431" t="str">
        <f t="shared" si="0"/>
        <v>Groin HerniaCCG of GP PracticeNHS CAMBRIDGESHIRE AND PETERBOROUGH CCG (06H)EQ VAS</v>
      </c>
      <c r="C29" t="s">
        <v>50</v>
      </c>
      <c r="D29" t="s">
        <v>87</v>
      </c>
      <c r="E29" t="s">
        <v>713</v>
      </c>
      <c r="F29" t="s">
        <v>714</v>
      </c>
      <c r="G29" t="s">
        <v>179</v>
      </c>
      <c r="H29">
        <v>372</v>
      </c>
      <c r="I29">
        <v>80.909000000000006</v>
      </c>
      <c r="J29">
        <v>80.254999999999995</v>
      </c>
      <c r="K29">
        <v>-0.65300000000000002</v>
      </c>
      <c r="L29">
        <v>135</v>
      </c>
      <c r="M29">
        <v>72</v>
      </c>
      <c r="N29">
        <v>165</v>
      </c>
      <c r="O29">
        <v>79.799000000000007</v>
      </c>
      <c r="P29">
        <v>-0.84639953400000001</v>
      </c>
      <c r="Q29">
        <v>12.823</v>
      </c>
    </row>
    <row r="30" spans="1:17" s="30" customFormat="1" x14ac:dyDescent="0.2">
      <c r="A30" s="30" t="str">
        <f>IF(C30&amp;G30&amp;D30&lt;&gt;'Funnel setup'!$K$3&amp;'Funnel setup'!$K$4&amp;'Funnel setup'!$K$5,".",IF(A29=".",1,A29+1))</f>
        <v>.</v>
      </c>
      <c r="B30" s="431" t="str">
        <f t="shared" si="0"/>
        <v>Groin HerniaCCG of GP PracticeNHS CAMDEN CCG (07R)EQ VAS</v>
      </c>
      <c r="C30" t="s">
        <v>50</v>
      </c>
      <c r="D30" t="s">
        <v>87</v>
      </c>
      <c r="E30" t="s">
        <v>716</v>
      </c>
      <c r="F30" t="s">
        <v>717</v>
      </c>
      <c r="G30" t="s">
        <v>179</v>
      </c>
      <c r="H30">
        <v>20</v>
      </c>
      <c r="I30">
        <v>82.8</v>
      </c>
      <c r="J30">
        <v>82.1</v>
      </c>
      <c r="K30">
        <v>-0.7</v>
      </c>
      <c r="L30">
        <v>8</v>
      </c>
      <c r="M30">
        <v>4</v>
      </c>
      <c r="N30">
        <v>8</v>
      </c>
      <c r="O30" t="s">
        <v>53</v>
      </c>
      <c r="P30" t="s">
        <v>53</v>
      </c>
      <c r="Q30" t="s">
        <v>53</v>
      </c>
    </row>
    <row r="31" spans="1:17" s="30" customFormat="1" x14ac:dyDescent="0.2">
      <c r="A31" s="30" t="str">
        <f>IF(C31&amp;G31&amp;D31&lt;&gt;'Funnel setup'!$K$3&amp;'Funnel setup'!$K$4&amp;'Funnel setup'!$K$5,".",IF(A30=".",1,A30+1))</f>
        <v>.</v>
      </c>
      <c r="B31" s="431" t="str">
        <f t="shared" si="0"/>
        <v>Groin HerniaCCG of GP PracticeNHS CANNOCK CHASE CCG (04Y)EQ VAS</v>
      </c>
      <c r="C31" t="s">
        <v>50</v>
      </c>
      <c r="D31" t="s">
        <v>87</v>
      </c>
      <c r="E31" t="s">
        <v>719</v>
      </c>
      <c r="F31" t="s">
        <v>720</v>
      </c>
      <c r="G31" t="s">
        <v>179</v>
      </c>
      <c r="H31">
        <v>66</v>
      </c>
      <c r="I31">
        <v>81.197000000000003</v>
      </c>
      <c r="J31">
        <v>79.438999999999993</v>
      </c>
      <c r="K31">
        <v>-1.758</v>
      </c>
      <c r="L31">
        <v>20</v>
      </c>
      <c r="M31">
        <v>14</v>
      </c>
      <c r="N31">
        <v>32</v>
      </c>
      <c r="O31">
        <v>78.331999999999994</v>
      </c>
      <c r="P31">
        <v>-2.3134796639999999</v>
      </c>
      <c r="Q31">
        <v>13.589</v>
      </c>
    </row>
    <row r="32" spans="1:17" s="30" customFormat="1" x14ac:dyDescent="0.2">
      <c r="A32" s="30" t="str">
        <f>IF(C32&amp;G32&amp;D32&lt;&gt;'Funnel setup'!$K$3&amp;'Funnel setup'!$K$4&amp;'Funnel setup'!$K$5,".",IF(A31=".",1,A31+1))</f>
        <v>.</v>
      </c>
      <c r="B32" s="431" t="str">
        <f t="shared" si="0"/>
        <v>Groin HerniaCCG of GP PracticeNHS CANTERBURY AND COASTAL CCG (09E)EQ VAS</v>
      </c>
      <c r="C32" t="s">
        <v>50</v>
      </c>
      <c r="D32" t="s">
        <v>87</v>
      </c>
      <c r="E32" t="s">
        <v>722</v>
      </c>
      <c r="F32" t="s">
        <v>723</v>
      </c>
      <c r="G32" t="s">
        <v>179</v>
      </c>
      <c r="H32">
        <v>56</v>
      </c>
      <c r="I32">
        <v>79.106999999999999</v>
      </c>
      <c r="J32">
        <v>82.088999999999999</v>
      </c>
      <c r="K32">
        <v>2.9820000000000002</v>
      </c>
      <c r="L32">
        <v>30</v>
      </c>
      <c r="M32">
        <v>5</v>
      </c>
      <c r="N32">
        <v>21</v>
      </c>
      <c r="O32">
        <v>83.007000000000005</v>
      </c>
      <c r="P32">
        <v>2.3613473030000001</v>
      </c>
      <c r="Q32">
        <v>11.577</v>
      </c>
    </row>
    <row r="33" spans="1:17" s="30" customFormat="1" x14ac:dyDescent="0.2">
      <c r="A33" s="30" t="str">
        <f>IF(C33&amp;G33&amp;D33&lt;&gt;'Funnel setup'!$K$3&amp;'Funnel setup'!$K$4&amp;'Funnel setup'!$K$5,".",IF(A32=".",1,A32+1))</f>
        <v>.</v>
      </c>
      <c r="B33" s="431" t="str">
        <f t="shared" si="0"/>
        <v>Groin HerniaCCG of GP PracticeNHS CASTLE POINT AND ROCHFORD CCG (99F)EQ VAS</v>
      </c>
      <c r="C33" t="s">
        <v>50</v>
      </c>
      <c r="D33" t="s">
        <v>87</v>
      </c>
      <c r="E33" t="s">
        <v>725</v>
      </c>
      <c r="F33" t="s">
        <v>726</v>
      </c>
      <c r="G33" t="s">
        <v>179</v>
      </c>
      <c r="H33">
        <v>93</v>
      </c>
      <c r="I33">
        <v>81.236999999999995</v>
      </c>
      <c r="J33">
        <v>81.86</v>
      </c>
      <c r="K33">
        <v>0.624</v>
      </c>
      <c r="L33">
        <v>40</v>
      </c>
      <c r="M33">
        <v>17</v>
      </c>
      <c r="N33">
        <v>36</v>
      </c>
      <c r="O33">
        <v>81.637</v>
      </c>
      <c r="P33">
        <v>0.99116756100000003</v>
      </c>
      <c r="Q33">
        <v>11.473000000000001</v>
      </c>
    </row>
    <row r="34" spans="1:17" s="30" customFormat="1" x14ac:dyDescent="0.2">
      <c r="A34" s="30" t="str">
        <f>IF(C34&amp;G34&amp;D34&lt;&gt;'Funnel setup'!$K$3&amp;'Funnel setup'!$K$4&amp;'Funnel setup'!$K$5,".",IF(A33=".",1,A33+1))</f>
        <v>.</v>
      </c>
      <c r="B34" s="431" t="str">
        <f t="shared" si="0"/>
        <v>Groin HerniaCCG of GP PracticeNHS CENTRAL LONDON (WESTMINSTER) CCG (09A)EQ VAS</v>
      </c>
      <c r="C34" t="s">
        <v>50</v>
      </c>
      <c r="D34" t="s">
        <v>87</v>
      </c>
      <c r="E34" t="s">
        <v>728</v>
      </c>
      <c r="F34" t="s">
        <v>729</v>
      </c>
      <c r="G34" t="s">
        <v>179</v>
      </c>
      <c r="H34">
        <v>16</v>
      </c>
      <c r="I34">
        <v>79.688000000000002</v>
      </c>
      <c r="J34">
        <v>78.125</v>
      </c>
      <c r="K34">
        <v>-1.5629999999999999</v>
      </c>
      <c r="L34">
        <v>5</v>
      </c>
      <c r="M34">
        <v>3</v>
      </c>
      <c r="N34">
        <v>8</v>
      </c>
      <c r="O34" t="s">
        <v>53</v>
      </c>
      <c r="P34" t="s">
        <v>53</v>
      </c>
      <c r="Q34" t="s">
        <v>53</v>
      </c>
    </row>
    <row r="35" spans="1:17" s="30" customFormat="1" x14ac:dyDescent="0.2">
      <c r="A35" s="30" t="str">
        <f>IF(C35&amp;G35&amp;D35&lt;&gt;'Funnel setup'!$K$3&amp;'Funnel setup'!$K$4&amp;'Funnel setup'!$K$5,".",IF(A34=".",1,A34+1))</f>
        <v>.</v>
      </c>
      <c r="B35" s="431" t="str">
        <f t="shared" si="0"/>
        <v>Groin HerniaCCG of GP PracticeNHS CENTRAL MANCHESTER CCG (00W)EQ VAS</v>
      </c>
      <c r="C35" t="s">
        <v>50</v>
      </c>
      <c r="D35" t="s">
        <v>87</v>
      </c>
      <c r="E35" t="s">
        <v>731</v>
      </c>
      <c r="F35" t="s">
        <v>732</v>
      </c>
      <c r="G35" t="s">
        <v>179</v>
      </c>
      <c r="H35">
        <v>16</v>
      </c>
      <c r="I35">
        <v>73.438000000000002</v>
      </c>
      <c r="J35">
        <v>75.625</v>
      </c>
      <c r="K35">
        <v>2.1880000000000002</v>
      </c>
      <c r="L35">
        <v>9</v>
      </c>
      <c r="M35">
        <v>2</v>
      </c>
      <c r="N35">
        <v>5</v>
      </c>
      <c r="O35" t="s">
        <v>53</v>
      </c>
      <c r="P35" t="s">
        <v>53</v>
      </c>
      <c r="Q35" t="s">
        <v>53</v>
      </c>
    </row>
    <row r="36" spans="1:17" s="30" customFormat="1" x14ac:dyDescent="0.2">
      <c r="A36" s="30" t="str">
        <f>IF(C36&amp;G36&amp;D36&lt;&gt;'Funnel setup'!$K$3&amp;'Funnel setup'!$K$4&amp;'Funnel setup'!$K$5,".",IF(A35=".",1,A35+1))</f>
        <v>.</v>
      </c>
      <c r="B36" s="431" t="str">
        <f t="shared" si="0"/>
        <v>Groin HerniaCCG of GP PracticeNHS CHILTERN CCG (10H)EQ VAS</v>
      </c>
      <c r="C36" t="s">
        <v>50</v>
      </c>
      <c r="D36" t="s">
        <v>87</v>
      </c>
      <c r="E36" t="s">
        <v>734</v>
      </c>
      <c r="F36" t="s">
        <v>735</v>
      </c>
      <c r="G36" t="s">
        <v>179</v>
      </c>
      <c r="H36">
        <v>112</v>
      </c>
      <c r="I36">
        <v>79.08</v>
      </c>
      <c r="J36">
        <v>81.83</v>
      </c>
      <c r="K36">
        <v>2.75</v>
      </c>
      <c r="L36">
        <v>50</v>
      </c>
      <c r="M36">
        <v>23</v>
      </c>
      <c r="N36">
        <v>39</v>
      </c>
      <c r="O36">
        <v>82.332999999999998</v>
      </c>
      <c r="P36">
        <v>1.6879366099999999</v>
      </c>
      <c r="Q36">
        <v>11.46</v>
      </c>
    </row>
    <row r="37" spans="1:17" s="30" customFormat="1" x14ac:dyDescent="0.2">
      <c r="A37" s="30" t="str">
        <f>IF(C37&amp;G37&amp;D37&lt;&gt;'Funnel setup'!$K$3&amp;'Funnel setup'!$K$4&amp;'Funnel setup'!$K$5,".",IF(A36=".",1,A36+1))</f>
        <v>.</v>
      </c>
      <c r="B37" s="431" t="str">
        <f t="shared" si="0"/>
        <v>Groin HerniaCCG of GP PracticeNHS CHORLEY AND SOUTH RIBBLE CCG (00X)EQ VAS</v>
      </c>
      <c r="C37" t="s">
        <v>50</v>
      </c>
      <c r="D37" t="s">
        <v>87</v>
      </c>
      <c r="E37" t="s">
        <v>737</v>
      </c>
      <c r="F37" t="s">
        <v>738</v>
      </c>
      <c r="G37" t="s">
        <v>179</v>
      </c>
      <c r="H37">
        <v>117</v>
      </c>
      <c r="I37">
        <v>79.700999999999993</v>
      </c>
      <c r="J37">
        <v>80.41</v>
      </c>
      <c r="K37">
        <v>0.70899999999999996</v>
      </c>
      <c r="L37">
        <v>49</v>
      </c>
      <c r="M37">
        <v>24</v>
      </c>
      <c r="N37">
        <v>44</v>
      </c>
      <c r="O37">
        <v>81.165999999999997</v>
      </c>
      <c r="P37">
        <v>0.52078257699999997</v>
      </c>
      <c r="Q37">
        <v>13.849</v>
      </c>
    </row>
    <row r="38" spans="1:17" s="30" customFormat="1" x14ac:dyDescent="0.2">
      <c r="A38" s="30" t="str">
        <f>IF(C38&amp;G38&amp;D38&lt;&gt;'Funnel setup'!$K$3&amp;'Funnel setup'!$K$4&amp;'Funnel setup'!$K$5,".",IF(A37=".",1,A37+1))</f>
        <v>.</v>
      </c>
      <c r="B38" s="431" t="str">
        <f t="shared" si="0"/>
        <v>Groin HerniaCCG of GP PracticeNHS CITY AND HACKNEY CCG (07T)EQ VAS</v>
      </c>
      <c r="C38" t="s">
        <v>50</v>
      </c>
      <c r="D38" t="s">
        <v>87</v>
      </c>
      <c r="E38" t="s">
        <v>740</v>
      </c>
      <c r="F38" t="s">
        <v>741</v>
      </c>
      <c r="G38" t="s">
        <v>179</v>
      </c>
      <c r="H38">
        <v>23</v>
      </c>
      <c r="I38">
        <v>77.435000000000002</v>
      </c>
      <c r="J38">
        <v>80.391000000000005</v>
      </c>
      <c r="K38">
        <v>2.9569999999999999</v>
      </c>
      <c r="L38">
        <v>10</v>
      </c>
      <c r="M38">
        <v>7</v>
      </c>
      <c r="N38">
        <v>6</v>
      </c>
      <c r="O38" t="s">
        <v>53</v>
      </c>
      <c r="P38" t="s">
        <v>53</v>
      </c>
      <c r="Q38" t="s">
        <v>53</v>
      </c>
    </row>
    <row r="39" spans="1:17" s="30" customFormat="1" x14ac:dyDescent="0.2">
      <c r="A39" s="30" t="str">
        <f>IF(C39&amp;G39&amp;D39&lt;&gt;'Funnel setup'!$K$3&amp;'Funnel setup'!$K$4&amp;'Funnel setup'!$K$5,".",IF(A38=".",1,A38+1))</f>
        <v>.</v>
      </c>
      <c r="B39" s="431" t="str">
        <f t="shared" si="0"/>
        <v>Groin HerniaCCG of GP PracticeNHS COASTAL WEST SUSSEX CCG (09G)EQ VAS</v>
      </c>
      <c r="C39" t="s">
        <v>50</v>
      </c>
      <c r="D39" t="s">
        <v>87</v>
      </c>
      <c r="E39" t="s">
        <v>743</v>
      </c>
      <c r="F39" t="s">
        <v>744</v>
      </c>
      <c r="G39" t="s">
        <v>179</v>
      </c>
      <c r="H39">
        <v>146</v>
      </c>
      <c r="I39">
        <v>78.602999999999994</v>
      </c>
      <c r="J39">
        <v>76.87</v>
      </c>
      <c r="K39">
        <v>-1.7330000000000001</v>
      </c>
      <c r="L39">
        <v>51</v>
      </c>
      <c r="M39">
        <v>26</v>
      </c>
      <c r="N39">
        <v>69</v>
      </c>
      <c r="O39">
        <v>77.522999999999996</v>
      </c>
      <c r="P39">
        <v>-3.1228731139999999</v>
      </c>
      <c r="Q39">
        <v>13.422000000000001</v>
      </c>
    </row>
    <row r="40" spans="1:17" s="30" customFormat="1" x14ac:dyDescent="0.2">
      <c r="A40" s="30" t="str">
        <f>IF(C40&amp;G40&amp;D40&lt;&gt;'Funnel setup'!$K$3&amp;'Funnel setup'!$K$4&amp;'Funnel setup'!$K$5,".",IF(A39=".",1,A39+1))</f>
        <v>.</v>
      </c>
      <c r="B40" s="431" t="str">
        <f t="shared" si="0"/>
        <v>Groin HerniaCCG of GP PracticeNHS CORBY CCG (03V)EQ VAS</v>
      </c>
      <c r="C40" t="s">
        <v>50</v>
      </c>
      <c r="D40" t="s">
        <v>87</v>
      </c>
      <c r="E40" t="s">
        <v>746</v>
      </c>
      <c r="F40" t="s">
        <v>747</v>
      </c>
      <c r="G40" t="s">
        <v>179</v>
      </c>
      <c r="H40">
        <v>16</v>
      </c>
      <c r="I40">
        <v>82.063000000000002</v>
      </c>
      <c r="J40">
        <v>73.625</v>
      </c>
      <c r="K40">
        <v>-8.4380000000000006</v>
      </c>
      <c r="L40">
        <v>5</v>
      </c>
      <c r="M40">
        <v>1</v>
      </c>
      <c r="N40">
        <v>10</v>
      </c>
      <c r="O40" t="s">
        <v>53</v>
      </c>
      <c r="P40" t="s">
        <v>53</v>
      </c>
      <c r="Q40" t="s">
        <v>53</v>
      </c>
    </row>
    <row r="41" spans="1:17" s="30" customFormat="1" x14ac:dyDescent="0.2">
      <c r="A41" s="30" t="str">
        <f>IF(C41&amp;G41&amp;D41&lt;&gt;'Funnel setup'!$K$3&amp;'Funnel setup'!$K$4&amp;'Funnel setup'!$K$5,".",IF(A40=".",1,A40+1))</f>
        <v>.</v>
      </c>
      <c r="B41" s="431" t="str">
        <f t="shared" si="0"/>
        <v>Groin HerniaCCG of GP PracticeNHS COVENTRY AND RUGBY CCG (05A)EQ VAS</v>
      </c>
      <c r="C41" t="s">
        <v>50</v>
      </c>
      <c r="D41" t="s">
        <v>87</v>
      </c>
      <c r="E41" t="s">
        <v>749</v>
      </c>
      <c r="F41" t="s">
        <v>750</v>
      </c>
      <c r="G41" t="s">
        <v>179</v>
      </c>
      <c r="H41">
        <v>53</v>
      </c>
      <c r="I41">
        <v>78.093999999999994</v>
      </c>
      <c r="J41">
        <v>79.509</v>
      </c>
      <c r="K41">
        <v>1.415</v>
      </c>
      <c r="L41">
        <v>26</v>
      </c>
      <c r="M41">
        <v>9</v>
      </c>
      <c r="N41">
        <v>18</v>
      </c>
      <c r="O41">
        <v>80.757000000000005</v>
      </c>
      <c r="P41">
        <v>0.111670375</v>
      </c>
      <c r="Q41">
        <v>12.391</v>
      </c>
    </row>
    <row r="42" spans="1:17" s="30" customFormat="1" x14ac:dyDescent="0.2">
      <c r="A42" s="30" t="str">
        <f>IF(C42&amp;G42&amp;D42&lt;&gt;'Funnel setup'!$K$3&amp;'Funnel setup'!$K$4&amp;'Funnel setup'!$K$5,".",IF(A41=".",1,A41+1))</f>
        <v>.</v>
      </c>
      <c r="B42" s="431" t="str">
        <f t="shared" si="0"/>
        <v>Groin HerniaCCG of GP PracticeNHS CRAWLEY CCG (09H)EQ VAS</v>
      </c>
      <c r="C42" t="s">
        <v>50</v>
      </c>
      <c r="D42" t="s">
        <v>87</v>
      </c>
      <c r="E42" t="s">
        <v>752</v>
      </c>
      <c r="F42" t="s">
        <v>753</v>
      </c>
      <c r="G42" t="s">
        <v>179</v>
      </c>
      <c r="H42">
        <v>50</v>
      </c>
      <c r="I42">
        <v>80.599999999999994</v>
      </c>
      <c r="J42">
        <v>81.94</v>
      </c>
      <c r="K42">
        <v>1.34</v>
      </c>
      <c r="L42">
        <v>23</v>
      </c>
      <c r="M42">
        <v>9</v>
      </c>
      <c r="N42">
        <v>18</v>
      </c>
      <c r="O42">
        <v>80.811000000000007</v>
      </c>
      <c r="P42">
        <v>0.16599360199999999</v>
      </c>
      <c r="Q42">
        <v>12.686</v>
      </c>
    </row>
    <row r="43" spans="1:17" s="30" customFormat="1" x14ac:dyDescent="0.2">
      <c r="A43" s="30" t="str">
        <f>IF(C43&amp;G43&amp;D43&lt;&gt;'Funnel setup'!$K$3&amp;'Funnel setup'!$K$4&amp;'Funnel setup'!$K$5,".",IF(A42=".",1,A42+1))</f>
        <v>.</v>
      </c>
      <c r="B43" s="431" t="str">
        <f t="shared" si="0"/>
        <v>Groin HerniaCCG of GP PracticeNHS CROYDON CCG (07V)EQ VAS</v>
      </c>
      <c r="C43" t="s">
        <v>50</v>
      </c>
      <c r="D43" t="s">
        <v>87</v>
      </c>
      <c r="E43" t="s">
        <v>755</v>
      </c>
      <c r="F43" t="s">
        <v>756</v>
      </c>
      <c r="G43" t="s">
        <v>179</v>
      </c>
      <c r="H43">
        <v>29</v>
      </c>
      <c r="I43">
        <v>77.034000000000006</v>
      </c>
      <c r="J43">
        <v>79.344999999999999</v>
      </c>
      <c r="K43">
        <v>2.31</v>
      </c>
      <c r="L43">
        <v>14</v>
      </c>
      <c r="M43">
        <v>5</v>
      </c>
      <c r="N43">
        <v>10</v>
      </c>
      <c r="O43" t="s">
        <v>53</v>
      </c>
      <c r="P43" t="s">
        <v>53</v>
      </c>
      <c r="Q43" t="s">
        <v>53</v>
      </c>
    </row>
    <row r="44" spans="1:17" s="30" customFormat="1" x14ac:dyDescent="0.2">
      <c r="A44" s="30" t="str">
        <f>IF(C44&amp;G44&amp;D44&lt;&gt;'Funnel setup'!$K$3&amp;'Funnel setup'!$K$4&amp;'Funnel setup'!$K$5,".",IF(A43=".",1,A43+1))</f>
        <v>.</v>
      </c>
      <c r="B44" s="431" t="str">
        <f t="shared" si="0"/>
        <v>Groin HerniaCCG of GP PracticeNHS CUMBRIA CCG (01H)EQ VAS</v>
      </c>
      <c r="C44" t="s">
        <v>50</v>
      </c>
      <c r="D44" t="s">
        <v>87</v>
      </c>
      <c r="E44" t="s">
        <v>758</v>
      </c>
      <c r="F44" t="s">
        <v>759</v>
      </c>
      <c r="G44" t="s">
        <v>179</v>
      </c>
      <c r="H44">
        <v>247</v>
      </c>
      <c r="I44">
        <v>83.052999999999997</v>
      </c>
      <c r="J44">
        <v>78.760999999999996</v>
      </c>
      <c r="K44">
        <v>-4.2910000000000004</v>
      </c>
      <c r="L44">
        <v>74</v>
      </c>
      <c r="M44">
        <v>47</v>
      </c>
      <c r="N44">
        <v>126</v>
      </c>
      <c r="O44">
        <v>77.795000000000002</v>
      </c>
      <c r="P44">
        <v>-2.8508013540000001</v>
      </c>
      <c r="Q44">
        <v>14.728999999999999</v>
      </c>
    </row>
    <row r="45" spans="1:17" s="30" customFormat="1" x14ac:dyDescent="0.2">
      <c r="A45" s="30" t="str">
        <f>IF(C45&amp;G45&amp;D45&lt;&gt;'Funnel setup'!$K$3&amp;'Funnel setup'!$K$4&amp;'Funnel setup'!$K$5,".",IF(A44=".",1,A44+1))</f>
        <v>.</v>
      </c>
      <c r="B45" s="431" t="str">
        <f t="shared" si="0"/>
        <v>Groin HerniaCCG of GP PracticeNHS DARLINGTON CCG (00C)EQ VAS</v>
      </c>
      <c r="C45" t="s">
        <v>50</v>
      </c>
      <c r="D45" t="s">
        <v>87</v>
      </c>
      <c r="E45" t="s">
        <v>761</v>
      </c>
      <c r="F45" t="s">
        <v>762</v>
      </c>
      <c r="G45" t="s">
        <v>179</v>
      </c>
      <c r="H45">
        <v>32</v>
      </c>
      <c r="I45">
        <v>81.438000000000002</v>
      </c>
      <c r="J45">
        <v>79.938000000000002</v>
      </c>
      <c r="K45">
        <v>-1.5</v>
      </c>
      <c r="L45">
        <v>14</v>
      </c>
      <c r="M45">
        <v>4</v>
      </c>
      <c r="N45">
        <v>14</v>
      </c>
      <c r="O45">
        <v>80.876000000000005</v>
      </c>
      <c r="P45">
        <v>0.23039103999999999</v>
      </c>
      <c r="Q45">
        <v>13.048</v>
      </c>
    </row>
    <row r="46" spans="1:17" s="30" customFormat="1" x14ac:dyDescent="0.2">
      <c r="A46" s="30" t="str">
        <f>IF(C46&amp;G46&amp;D46&lt;&gt;'Funnel setup'!$K$3&amp;'Funnel setup'!$K$4&amp;'Funnel setup'!$K$5,".",IF(A45=".",1,A45+1))</f>
        <v>.</v>
      </c>
      <c r="B46" s="431" t="str">
        <f t="shared" si="0"/>
        <v>Groin HerniaCCG of GP PracticeNHS DARTFORD, GRAVESHAM AND SWANLEY CCG (09J)EQ VAS</v>
      </c>
      <c r="C46" t="s">
        <v>50</v>
      </c>
      <c r="D46" t="s">
        <v>87</v>
      </c>
      <c r="E46" t="s">
        <v>764</v>
      </c>
      <c r="F46" t="s">
        <v>765</v>
      </c>
      <c r="G46" t="s">
        <v>179</v>
      </c>
      <c r="H46">
        <v>101</v>
      </c>
      <c r="I46">
        <v>81.762</v>
      </c>
      <c r="J46">
        <v>81.149000000000001</v>
      </c>
      <c r="K46">
        <v>-0.61399999999999999</v>
      </c>
      <c r="L46">
        <v>34</v>
      </c>
      <c r="M46">
        <v>23</v>
      </c>
      <c r="N46">
        <v>44</v>
      </c>
      <c r="O46">
        <v>80.876999999999995</v>
      </c>
      <c r="P46">
        <v>0.23159591900000001</v>
      </c>
      <c r="Q46">
        <v>11.612</v>
      </c>
    </row>
    <row r="47" spans="1:17" s="30" customFormat="1" x14ac:dyDescent="0.2">
      <c r="A47" s="30" t="str">
        <f>IF(C47&amp;G47&amp;D47&lt;&gt;'Funnel setup'!$K$3&amp;'Funnel setup'!$K$4&amp;'Funnel setup'!$K$5,".",IF(A46=".",1,A46+1))</f>
        <v>.</v>
      </c>
      <c r="B47" s="431" t="str">
        <f t="shared" si="0"/>
        <v>Groin HerniaCCG of GP PracticeNHS DONCASTER CCG (02X)EQ VAS</v>
      </c>
      <c r="C47" t="s">
        <v>50</v>
      </c>
      <c r="D47" t="s">
        <v>87</v>
      </c>
      <c r="E47" t="s">
        <v>767</v>
      </c>
      <c r="F47" t="s">
        <v>768</v>
      </c>
      <c r="G47" t="s">
        <v>179</v>
      </c>
      <c r="H47">
        <v>139</v>
      </c>
      <c r="I47">
        <v>80.403000000000006</v>
      </c>
      <c r="J47">
        <v>78.236999999999995</v>
      </c>
      <c r="K47">
        <v>-2.165</v>
      </c>
      <c r="L47">
        <v>45</v>
      </c>
      <c r="M47">
        <v>30</v>
      </c>
      <c r="N47">
        <v>64</v>
      </c>
      <c r="O47">
        <v>78.929000000000002</v>
      </c>
      <c r="P47">
        <v>-1.716780556</v>
      </c>
      <c r="Q47">
        <v>11.88</v>
      </c>
    </row>
    <row r="48" spans="1:17" s="30" customFormat="1" x14ac:dyDescent="0.2">
      <c r="A48" s="30" t="str">
        <f>IF(C48&amp;G48&amp;D48&lt;&gt;'Funnel setup'!$K$3&amp;'Funnel setup'!$K$4&amp;'Funnel setup'!$K$5,".",IF(A47=".",1,A47+1))</f>
        <v>.</v>
      </c>
      <c r="B48" s="431" t="str">
        <f t="shared" si="0"/>
        <v>Groin HerniaCCG of GP PracticeNHS DORSET CCG (11J)EQ VAS</v>
      </c>
      <c r="C48" t="s">
        <v>50</v>
      </c>
      <c r="D48" t="s">
        <v>87</v>
      </c>
      <c r="E48" t="s">
        <v>854</v>
      </c>
      <c r="F48" t="s">
        <v>855</v>
      </c>
      <c r="G48" t="s">
        <v>179</v>
      </c>
      <c r="H48">
        <v>385</v>
      </c>
      <c r="I48">
        <v>80.795000000000002</v>
      </c>
      <c r="J48">
        <v>80.965999999999994</v>
      </c>
      <c r="K48">
        <v>0.17100000000000001</v>
      </c>
      <c r="L48">
        <v>143</v>
      </c>
      <c r="M48">
        <v>88</v>
      </c>
      <c r="N48">
        <v>154</v>
      </c>
      <c r="O48">
        <v>80.3</v>
      </c>
      <c r="P48">
        <v>-0.34556804800000002</v>
      </c>
      <c r="Q48">
        <v>11.766999999999999</v>
      </c>
    </row>
    <row r="49" spans="1:17" s="30" customFormat="1" x14ac:dyDescent="0.2">
      <c r="A49" s="30" t="str">
        <f>IF(C49&amp;G49&amp;D49&lt;&gt;'Funnel setup'!$K$3&amp;'Funnel setup'!$K$4&amp;'Funnel setup'!$K$5,".",IF(A48=".",1,A48+1))</f>
        <v>.</v>
      </c>
      <c r="B49" s="431" t="str">
        <f t="shared" si="0"/>
        <v>Groin HerniaCCG of GP PracticeNHS DUDLEY CCG (05C)EQ VAS</v>
      </c>
      <c r="C49" t="s">
        <v>50</v>
      </c>
      <c r="D49" t="s">
        <v>87</v>
      </c>
      <c r="E49" t="s">
        <v>857</v>
      </c>
      <c r="F49" t="s">
        <v>858</v>
      </c>
      <c r="G49" t="s">
        <v>179</v>
      </c>
      <c r="H49">
        <v>147</v>
      </c>
      <c r="I49">
        <v>82.305999999999997</v>
      </c>
      <c r="J49">
        <v>79.230999999999995</v>
      </c>
      <c r="K49">
        <v>-3.0750000000000002</v>
      </c>
      <c r="L49">
        <v>44</v>
      </c>
      <c r="M49">
        <v>25</v>
      </c>
      <c r="N49">
        <v>78</v>
      </c>
      <c r="O49">
        <v>78.230999999999995</v>
      </c>
      <c r="P49">
        <v>-2.4141884899999999</v>
      </c>
      <c r="Q49">
        <v>11.548</v>
      </c>
    </row>
    <row r="50" spans="1:17" s="30" customFormat="1" x14ac:dyDescent="0.2">
      <c r="A50" s="30" t="str">
        <f>IF(C50&amp;G50&amp;D50&lt;&gt;'Funnel setup'!$K$3&amp;'Funnel setup'!$K$4&amp;'Funnel setup'!$K$5,".",IF(A49=".",1,A49+1))</f>
        <v>.</v>
      </c>
      <c r="B50" s="431" t="str">
        <f t="shared" si="0"/>
        <v>Groin HerniaCCG of GP PracticeNHS DURHAM DALES, EASINGTON AND SEDGEFIELD CCG (00D)EQ VAS</v>
      </c>
      <c r="C50" t="s">
        <v>50</v>
      </c>
      <c r="D50" t="s">
        <v>87</v>
      </c>
      <c r="E50" t="s">
        <v>860</v>
      </c>
      <c r="F50" t="s">
        <v>861</v>
      </c>
      <c r="G50" t="s">
        <v>179</v>
      </c>
      <c r="H50">
        <v>109</v>
      </c>
      <c r="I50">
        <v>81.908000000000001</v>
      </c>
      <c r="J50">
        <v>77.018000000000001</v>
      </c>
      <c r="K50">
        <v>-4.8899999999999997</v>
      </c>
      <c r="L50">
        <v>29</v>
      </c>
      <c r="M50">
        <v>23</v>
      </c>
      <c r="N50">
        <v>57</v>
      </c>
      <c r="O50">
        <v>77.706999999999994</v>
      </c>
      <c r="P50">
        <v>-2.9386709830000002</v>
      </c>
      <c r="Q50">
        <v>13.448</v>
      </c>
    </row>
    <row r="51" spans="1:17" s="30" customFormat="1" x14ac:dyDescent="0.2">
      <c r="A51" s="30" t="str">
        <f>IF(C51&amp;G51&amp;D51&lt;&gt;'Funnel setup'!$K$3&amp;'Funnel setup'!$K$4&amp;'Funnel setup'!$K$5,".",IF(A50=".",1,A50+1))</f>
        <v>.</v>
      </c>
      <c r="B51" s="431" t="str">
        <f t="shared" si="0"/>
        <v>Groin HerniaCCG of GP PracticeNHS EALING CCG (07W)EQ VAS</v>
      </c>
      <c r="C51" t="s">
        <v>50</v>
      </c>
      <c r="D51" t="s">
        <v>87</v>
      </c>
      <c r="E51" t="s">
        <v>863</v>
      </c>
      <c r="F51" t="s">
        <v>864</v>
      </c>
      <c r="G51" t="s">
        <v>179</v>
      </c>
      <c r="H51">
        <v>32</v>
      </c>
      <c r="I51">
        <v>75.593999999999994</v>
      </c>
      <c r="J51">
        <v>75</v>
      </c>
      <c r="K51">
        <v>-0.59399999999999997</v>
      </c>
      <c r="L51">
        <v>13</v>
      </c>
      <c r="M51">
        <v>5</v>
      </c>
      <c r="N51">
        <v>14</v>
      </c>
      <c r="O51">
        <v>78.647999999999996</v>
      </c>
      <c r="P51">
        <v>-1.99738189</v>
      </c>
      <c r="Q51">
        <v>14.875999999999999</v>
      </c>
    </row>
    <row r="52" spans="1:17" s="30" customFormat="1" x14ac:dyDescent="0.2">
      <c r="A52" s="30" t="str">
        <f>IF(C52&amp;G52&amp;D52&lt;&gt;'Funnel setup'!$K$3&amp;'Funnel setup'!$K$4&amp;'Funnel setup'!$K$5,".",IF(A51=".",1,A51+1))</f>
        <v>.</v>
      </c>
      <c r="B52" s="431" t="str">
        <f t="shared" si="0"/>
        <v>Groin HerniaCCG of GP PracticeNHS EAST AND NORTH HERTFORDSHIRE CCG (06K)EQ VAS</v>
      </c>
      <c r="C52" t="s">
        <v>50</v>
      </c>
      <c r="D52" t="s">
        <v>87</v>
      </c>
      <c r="E52" t="s">
        <v>866</v>
      </c>
      <c r="F52" t="s">
        <v>867</v>
      </c>
      <c r="G52" t="s">
        <v>179</v>
      </c>
      <c r="H52">
        <v>187</v>
      </c>
      <c r="I52">
        <v>81.341999999999999</v>
      </c>
      <c r="J52">
        <v>80.706000000000003</v>
      </c>
      <c r="K52">
        <v>-0.63600000000000001</v>
      </c>
      <c r="L52">
        <v>68</v>
      </c>
      <c r="M52">
        <v>40</v>
      </c>
      <c r="N52">
        <v>79</v>
      </c>
      <c r="O52">
        <v>79.680000000000007</v>
      </c>
      <c r="P52">
        <v>-0.965716884</v>
      </c>
      <c r="Q52">
        <v>11.743</v>
      </c>
    </row>
    <row r="53" spans="1:17" s="30" customFormat="1" x14ac:dyDescent="0.2">
      <c r="A53" s="30" t="str">
        <f>IF(C53&amp;G53&amp;D53&lt;&gt;'Funnel setup'!$K$3&amp;'Funnel setup'!$K$4&amp;'Funnel setup'!$K$5,".",IF(A52=".",1,A52+1))</f>
        <v>.</v>
      </c>
      <c r="B53" s="431" t="str">
        <f t="shared" si="0"/>
        <v>Groin HerniaCCG of GP PracticeNHS EAST LANCASHIRE CCG (01A)EQ VAS</v>
      </c>
      <c r="C53" t="s">
        <v>50</v>
      </c>
      <c r="D53" t="s">
        <v>87</v>
      </c>
      <c r="E53" t="s">
        <v>869</v>
      </c>
      <c r="F53" t="s">
        <v>870</v>
      </c>
      <c r="G53" t="s">
        <v>179</v>
      </c>
      <c r="H53">
        <v>198</v>
      </c>
      <c r="I53">
        <v>79.864000000000004</v>
      </c>
      <c r="J53">
        <v>79.763000000000005</v>
      </c>
      <c r="K53">
        <v>-0.10100000000000001</v>
      </c>
      <c r="L53">
        <v>75</v>
      </c>
      <c r="M53">
        <v>53</v>
      </c>
      <c r="N53">
        <v>70</v>
      </c>
      <c r="O53">
        <v>81.272000000000006</v>
      </c>
      <c r="P53">
        <v>0.62686636100000004</v>
      </c>
      <c r="Q53">
        <v>11.79</v>
      </c>
    </row>
    <row r="54" spans="1:17" s="30" customFormat="1" x14ac:dyDescent="0.2">
      <c r="A54" s="30" t="str">
        <f>IF(C54&amp;G54&amp;D54&lt;&gt;'Funnel setup'!$K$3&amp;'Funnel setup'!$K$4&amp;'Funnel setup'!$K$5,".",IF(A53=".",1,A53+1))</f>
        <v>.</v>
      </c>
      <c r="B54" s="431" t="str">
        <f t="shared" si="0"/>
        <v>Groin HerniaCCG of GP PracticeNHS EAST LEICESTERSHIRE AND RUTLAND CCG (03W)EQ VAS</v>
      </c>
      <c r="C54" t="s">
        <v>50</v>
      </c>
      <c r="D54" t="s">
        <v>87</v>
      </c>
      <c r="E54" t="s">
        <v>872</v>
      </c>
      <c r="F54" t="s">
        <v>873</v>
      </c>
      <c r="G54" t="s">
        <v>179</v>
      </c>
      <c r="H54">
        <v>149</v>
      </c>
      <c r="I54">
        <v>82.066999999999993</v>
      </c>
      <c r="J54">
        <v>81.314999999999998</v>
      </c>
      <c r="K54">
        <v>-0.752</v>
      </c>
      <c r="L54">
        <v>54</v>
      </c>
      <c r="M54">
        <v>32</v>
      </c>
      <c r="N54">
        <v>63</v>
      </c>
      <c r="O54">
        <v>80.141999999999996</v>
      </c>
      <c r="P54">
        <v>-0.50317251299999999</v>
      </c>
      <c r="Q54">
        <v>11.256</v>
      </c>
    </row>
    <row r="55" spans="1:17" s="30" customFormat="1" x14ac:dyDescent="0.2">
      <c r="A55" s="30" t="str">
        <f>IF(C55&amp;G55&amp;D55&lt;&gt;'Funnel setup'!$K$3&amp;'Funnel setup'!$K$4&amp;'Funnel setup'!$K$5,".",IF(A54=".",1,A54+1))</f>
        <v>.</v>
      </c>
      <c r="B55" s="431" t="str">
        <f t="shared" si="0"/>
        <v>Groin HerniaCCG of GP PracticeNHS EAST RIDING OF YORKSHIRE CCG (02Y)EQ VAS</v>
      </c>
      <c r="C55" t="s">
        <v>50</v>
      </c>
      <c r="D55" t="s">
        <v>87</v>
      </c>
      <c r="E55" t="s">
        <v>875</v>
      </c>
      <c r="F55" t="s">
        <v>876</v>
      </c>
      <c r="G55" t="s">
        <v>179</v>
      </c>
      <c r="H55">
        <v>238</v>
      </c>
      <c r="I55">
        <v>79.798000000000002</v>
      </c>
      <c r="J55">
        <v>79.272999999999996</v>
      </c>
      <c r="K55">
        <v>-0.52500000000000002</v>
      </c>
      <c r="L55">
        <v>97</v>
      </c>
      <c r="M55">
        <v>47</v>
      </c>
      <c r="N55">
        <v>94</v>
      </c>
      <c r="O55">
        <v>79.694000000000003</v>
      </c>
      <c r="P55">
        <v>-0.95139267100000002</v>
      </c>
      <c r="Q55">
        <v>12.845000000000001</v>
      </c>
    </row>
    <row r="56" spans="1:17" s="30" customFormat="1" x14ac:dyDescent="0.2">
      <c r="A56" s="30" t="str">
        <f>IF(C56&amp;G56&amp;D56&lt;&gt;'Funnel setup'!$K$3&amp;'Funnel setup'!$K$4&amp;'Funnel setup'!$K$5,".",IF(A55=".",1,A55+1))</f>
        <v>.</v>
      </c>
      <c r="B56" s="431" t="str">
        <f t="shared" si="0"/>
        <v>Groin HerniaCCG of GP PracticeNHS EAST STAFFORDSHIRE CCG (05D)EQ VAS</v>
      </c>
      <c r="C56" t="s">
        <v>50</v>
      </c>
      <c r="D56" t="s">
        <v>87</v>
      </c>
      <c r="E56" t="s">
        <v>878</v>
      </c>
      <c r="F56" t="s">
        <v>879</v>
      </c>
      <c r="G56" t="s">
        <v>179</v>
      </c>
      <c r="H56">
        <v>71</v>
      </c>
      <c r="I56">
        <v>84.760999999999996</v>
      </c>
      <c r="J56">
        <v>82.576999999999998</v>
      </c>
      <c r="K56">
        <v>-2.1829999999999998</v>
      </c>
      <c r="L56">
        <v>24</v>
      </c>
      <c r="M56">
        <v>19</v>
      </c>
      <c r="N56">
        <v>28</v>
      </c>
      <c r="O56">
        <v>79.558000000000007</v>
      </c>
      <c r="P56">
        <v>-1.087746589</v>
      </c>
      <c r="Q56">
        <v>15.891999999999999</v>
      </c>
    </row>
    <row r="57" spans="1:17" s="30" customFormat="1" x14ac:dyDescent="0.2">
      <c r="A57" s="30" t="str">
        <f>IF(C57&amp;G57&amp;D57&lt;&gt;'Funnel setup'!$K$3&amp;'Funnel setup'!$K$4&amp;'Funnel setup'!$K$5,".",IF(A56=".",1,A56+1))</f>
        <v>.</v>
      </c>
      <c r="B57" s="431" t="str">
        <f t="shared" si="0"/>
        <v>Groin HerniaCCG of GP PracticeNHS EAST SURREY CCG (09L)EQ VAS</v>
      </c>
      <c r="C57" t="s">
        <v>50</v>
      </c>
      <c r="D57" t="s">
        <v>87</v>
      </c>
      <c r="E57" t="s">
        <v>881</v>
      </c>
      <c r="F57" t="s">
        <v>882</v>
      </c>
      <c r="G57" t="s">
        <v>179</v>
      </c>
      <c r="H57">
        <v>76</v>
      </c>
      <c r="I57">
        <v>82.421000000000006</v>
      </c>
      <c r="J57">
        <v>80.632000000000005</v>
      </c>
      <c r="K57">
        <v>-1.7889999999999999</v>
      </c>
      <c r="L57">
        <v>23</v>
      </c>
      <c r="M57">
        <v>15</v>
      </c>
      <c r="N57">
        <v>38</v>
      </c>
      <c r="O57">
        <v>78.620999999999995</v>
      </c>
      <c r="P57">
        <v>-2.024305891</v>
      </c>
      <c r="Q57">
        <v>11.554</v>
      </c>
    </row>
    <row r="58" spans="1:17" s="30" customFormat="1" x14ac:dyDescent="0.2">
      <c r="A58" s="30" t="str">
        <f>IF(C58&amp;G58&amp;D58&lt;&gt;'Funnel setup'!$K$3&amp;'Funnel setup'!$K$4&amp;'Funnel setup'!$K$5,".",IF(A57=".",1,A57+1))</f>
        <v>.</v>
      </c>
      <c r="B58" s="431" t="str">
        <f t="shared" si="0"/>
        <v>Groin HerniaCCG of GP PracticeNHS EASTBOURNE, HAILSHAM AND SEAFORD CCG (09F)EQ VAS</v>
      </c>
      <c r="C58" t="s">
        <v>50</v>
      </c>
      <c r="D58" t="s">
        <v>87</v>
      </c>
      <c r="E58" t="s">
        <v>884</v>
      </c>
      <c r="F58" t="s">
        <v>885</v>
      </c>
      <c r="G58" t="s">
        <v>179</v>
      </c>
      <c r="H58">
        <v>50</v>
      </c>
      <c r="I58">
        <v>79.14</v>
      </c>
      <c r="J58">
        <v>78.84</v>
      </c>
      <c r="K58">
        <v>-0.3</v>
      </c>
      <c r="L58">
        <v>23</v>
      </c>
      <c r="M58">
        <v>10</v>
      </c>
      <c r="N58">
        <v>17</v>
      </c>
      <c r="O58">
        <v>80.326999999999998</v>
      </c>
      <c r="P58">
        <v>-0.318388693</v>
      </c>
      <c r="Q58">
        <v>13.234</v>
      </c>
    </row>
    <row r="59" spans="1:17" s="30" customFormat="1" x14ac:dyDescent="0.2">
      <c r="A59" s="30" t="str">
        <f>IF(C59&amp;G59&amp;D59&lt;&gt;'Funnel setup'!$K$3&amp;'Funnel setup'!$K$4&amp;'Funnel setup'!$K$5,".",IF(A58=".",1,A58+1))</f>
        <v>.</v>
      </c>
      <c r="B59" s="431" t="str">
        <f t="shared" si="0"/>
        <v>Groin HerniaCCG of GP PracticeNHS EASTERN CHESHIRE CCG (01C)EQ VAS</v>
      </c>
      <c r="C59" t="s">
        <v>50</v>
      </c>
      <c r="D59" t="s">
        <v>87</v>
      </c>
      <c r="E59" t="s">
        <v>887</v>
      </c>
      <c r="F59" t="s">
        <v>888</v>
      </c>
      <c r="G59" t="s">
        <v>179</v>
      </c>
      <c r="H59">
        <v>95</v>
      </c>
      <c r="I59">
        <v>78.084000000000003</v>
      </c>
      <c r="J59">
        <v>78.337000000000003</v>
      </c>
      <c r="K59">
        <v>0.253</v>
      </c>
      <c r="L59">
        <v>43</v>
      </c>
      <c r="M59">
        <v>19</v>
      </c>
      <c r="N59">
        <v>33</v>
      </c>
      <c r="O59">
        <v>80.260000000000005</v>
      </c>
      <c r="P59">
        <v>-0.38568697299999999</v>
      </c>
      <c r="Q59">
        <v>11.968999999999999</v>
      </c>
    </row>
    <row r="60" spans="1:17" s="30" customFormat="1" x14ac:dyDescent="0.2">
      <c r="A60" s="30" t="str">
        <f>IF(C60&amp;G60&amp;D60&lt;&gt;'Funnel setup'!$K$3&amp;'Funnel setup'!$K$4&amp;'Funnel setup'!$K$5,".",IF(A59=".",1,A59+1))</f>
        <v>.</v>
      </c>
      <c r="B60" s="431" t="str">
        <f t="shared" si="0"/>
        <v>Groin HerniaCCG of GP PracticeNHS ENFIELD CCG (07X)EQ VAS</v>
      </c>
      <c r="C60" t="s">
        <v>50</v>
      </c>
      <c r="D60" t="s">
        <v>87</v>
      </c>
      <c r="E60" t="s">
        <v>890</v>
      </c>
      <c r="F60" t="s">
        <v>891</v>
      </c>
      <c r="G60" t="s">
        <v>179</v>
      </c>
      <c r="H60">
        <v>36</v>
      </c>
      <c r="I60">
        <v>79.111000000000004</v>
      </c>
      <c r="J60">
        <v>77.667000000000002</v>
      </c>
      <c r="K60">
        <v>-1.444</v>
      </c>
      <c r="L60">
        <v>12</v>
      </c>
      <c r="M60">
        <v>5</v>
      </c>
      <c r="N60">
        <v>19</v>
      </c>
      <c r="O60">
        <v>78.819999999999993</v>
      </c>
      <c r="P60">
        <v>-1.8252328870000001</v>
      </c>
      <c r="Q60">
        <v>13.12</v>
      </c>
    </row>
    <row r="61" spans="1:17" s="30" customFormat="1" x14ac:dyDescent="0.2">
      <c r="A61" s="30" t="str">
        <f>IF(C61&amp;G61&amp;D61&lt;&gt;'Funnel setup'!$K$3&amp;'Funnel setup'!$K$4&amp;'Funnel setup'!$K$5,".",IF(A60=".",1,A60+1))</f>
        <v>.</v>
      </c>
      <c r="B61" s="431" t="str">
        <f t="shared" si="0"/>
        <v>Groin HerniaCCG of GP PracticeNHS EREWASH CCG (03X)EQ VAS</v>
      </c>
      <c r="C61" t="s">
        <v>50</v>
      </c>
      <c r="D61" t="s">
        <v>87</v>
      </c>
      <c r="E61" t="s">
        <v>893</v>
      </c>
      <c r="F61" t="s">
        <v>894</v>
      </c>
      <c r="G61" t="s">
        <v>179</v>
      </c>
      <c r="H61">
        <v>32</v>
      </c>
      <c r="I61">
        <v>83.25</v>
      </c>
      <c r="J61">
        <v>79.281000000000006</v>
      </c>
      <c r="K61">
        <v>-3.9689999999999999</v>
      </c>
      <c r="L61">
        <v>10</v>
      </c>
      <c r="M61">
        <v>11</v>
      </c>
      <c r="N61">
        <v>11</v>
      </c>
      <c r="O61">
        <v>78.215999999999994</v>
      </c>
      <c r="P61">
        <v>-2.4290606709999998</v>
      </c>
      <c r="Q61">
        <v>13.586</v>
      </c>
    </row>
    <row r="62" spans="1:17" s="30" customFormat="1" x14ac:dyDescent="0.2">
      <c r="A62" s="30" t="str">
        <f>IF(C62&amp;G62&amp;D62&lt;&gt;'Funnel setup'!$K$3&amp;'Funnel setup'!$K$4&amp;'Funnel setup'!$K$5,".",IF(A61=".",1,A61+1))</f>
        <v>.</v>
      </c>
      <c r="B62" s="431" t="str">
        <f t="shared" si="0"/>
        <v>Groin HerniaCCG of GP PracticeNHS FAREHAM AND GOSPORT CCG (10K)EQ VAS</v>
      </c>
      <c r="C62" t="s">
        <v>50</v>
      </c>
      <c r="D62" t="s">
        <v>87</v>
      </c>
      <c r="E62" t="s">
        <v>896</v>
      </c>
      <c r="F62" t="s">
        <v>897</v>
      </c>
      <c r="G62" t="s">
        <v>179</v>
      </c>
      <c r="H62">
        <v>82</v>
      </c>
      <c r="I62">
        <v>83.756</v>
      </c>
      <c r="J62">
        <v>84.097999999999999</v>
      </c>
      <c r="K62">
        <v>0.34100000000000003</v>
      </c>
      <c r="L62">
        <v>26</v>
      </c>
      <c r="M62">
        <v>23</v>
      </c>
      <c r="N62">
        <v>33</v>
      </c>
      <c r="O62">
        <v>80.457999999999998</v>
      </c>
      <c r="P62">
        <v>-0.187561535</v>
      </c>
      <c r="Q62">
        <v>8.8219999999999992</v>
      </c>
    </row>
    <row r="63" spans="1:17" s="30" customFormat="1" x14ac:dyDescent="0.2">
      <c r="A63" s="30" t="str">
        <f>IF(C63&amp;G63&amp;D63&lt;&gt;'Funnel setup'!$K$3&amp;'Funnel setup'!$K$4&amp;'Funnel setup'!$K$5,".",IF(A62=".",1,A62+1))</f>
        <v>.</v>
      </c>
      <c r="B63" s="431" t="str">
        <f t="shared" si="0"/>
        <v>Groin HerniaCCG of GP PracticeNHS FYLDE &amp; WYRE CCG (02M)EQ VAS</v>
      </c>
      <c r="C63" t="s">
        <v>50</v>
      </c>
      <c r="D63" t="s">
        <v>87</v>
      </c>
      <c r="E63" t="s">
        <v>899</v>
      </c>
      <c r="F63" t="s">
        <v>900</v>
      </c>
      <c r="G63" t="s">
        <v>179</v>
      </c>
      <c r="H63">
        <v>32</v>
      </c>
      <c r="I63">
        <v>75.968999999999994</v>
      </c>
      <c r="J63">
        <v>78.313000000000002</v>
      </c>
      <c r="K63">
        <v>2.3439999999999999</v>
      </c>
      <c r="L63">
        <v>13</v>
      </c>
      <c r="M63">
        <v>7</v>
      </c>
      <c r="N63">
        <v>12</v>
      </c>
      <c r="O63">
        <v>80.801000000000002</v>
      </c>
      <c r="P63">
        <v>0.15555297400000001</v>
      </c>
      <c r="Q63">
        <v>11.813000000000001</v>
      </c>
    </row>
    <row r="64" spans="1:17" s="30" customFormat="1" ht="15" customHeight="1" x14ac:dyDescent="0.2">
      <c r="A64" s="30" t="str">
        <f>IF(C64&amp;G64&amp;D64&lt;&gt;'Funnel setup'!$K$3&amp;'Funnel setup'!$K$4&amp;'Funnel setup'!$K$5,".",IF(A63=".",1,A63+1))</f>
        <v>.</v>
      </c>
      <c r="B64" s="431" t="str">
        <f t="shared" si="0"/>
        <v>Groin HerniaCCG of GP PracticeNHS GLOUCESTERSHIRE CCG (11M)EQ VAS</v>
      </c>
      <c r="C64" t="s">
        <v>50</v>
      </c>
      <c r="D64" t="s">
        <v>87</v>
      </c>
      <c r="E64" t="s">
        <v>902</v>
      </c>
      <c r="F64" t="s">
        <v>903</v>
      </c>
      <c r="G64" t="s">
        <v>179</v>
      </c>
      <c r="H64">
        <v>293</v>
      </c>
      <c r="I64">
        <v>83.048000000000002</v>
      </c>
      <c r="J64">
        <v>82.948999999999998</v>
      </c>
      <c r="K64">
        <v>-9.9000000000000005E-2</v>
      </c>
      <c r="L64">
        <v>123</v>
      </c>
      <c r="M64">
        <v>51</v>
      </c>
      <c r="N64">
        <v>119</v>
      </c>
      <c r="O64">
        <v>80.837999999999994</v>
      </c>
      <c r="P64">
        <v>0.19253888199999999</v>
      </c>
      <c r="Q64">
        <v>10.676</v>
      </c>
    </row>
    <row r="65" spans="1:17" s="30" customFormat="1" ht="15" customHeight="1" x14ac:dyDescent="0.2">
      <c r="A65" s="30" t="str">
        <f>IF(C65&amp;G65&amp;D65&lt;&gt;'Funnel setup'!$K$3&amp;'Funnel setup'!$K$4&amp;'Funnel setup'!$K$5,".",IF(A64=".",1,A64+1))</f>
        <v>.</v>
      </c>
      <c r="B65" s="431" t="str">
        <f t="shared" si="0"/>
        <v>Groin HerniaCCG of GP PracticeNHS GREAT YARMOUTH AND WAVENEY CCG (06M)EQ VAS</v>
      </c>
      <c r="C65" t="s">
        <v>50</v>
      </c>
      <c r="D65" t="s">
        <v>87</v>
      </c>
      <c r="E65" t="s">
        <v>905</v>
      </c>
      <c r="F65" t="s">
        <v>906</v>
      </c>
      <c r="G65" t="s">
        <v>179</v>
      </c>
      <c r="H65">
        <v>120</v>
      </c>
      <c r="I65">
        <v>78.7</v>
      </c>
      <c r="J65">
        <v>77.849999999999994</v>
      </c>
      <c r="K65">
        <v>-0.85</v>
      </c>
      <c r="L65">
        <v>43</v>
      </c>
      <c r="M65">
        <v>20</v>
      </c>
      <c r="N65">
        <v>57</v>
      </c>
      <c r="O65">
        <v>78.680000000000007</v>
      </c>
      <c r="P65">
        <v>-1.9654143070000001</v>
      </c>
      <c r="Q65">
        <v>11.814</v>
      </c>
    </row>
    <row r="66" spans="1:17" s="30" customFormat="1" ht="15" customHeight="1" x14ac:dyDescent="0.2">
      <c r="A66" s="30" t="str">
        <f>IF(C66&amp;G66&amp;D66&lt;&gt;'Funnel setup'!$K$3&amp;'Funnel setup'!$K$4&amp;'Funnel setup'!$K$5,".",IF(A65=".",1,A65+1))</f>
        <v>.</v>
      </c>
      <c r="B66" s="431" t="str">
        <f t="shared" si="0"/>
        <v>Groin HerniaCCG of GP PracticeNHS GREATER HUDDERSFIELD CCG (03A)EQ VAS</v>
      </c>
      <c r="C66" t="s">
        <v>50</v>
      </c>
      <c r="D66" t="s">
        <v>87</v>
      </c>
      <c r="E66" t="s">
        <v>908</v>
      </c>
      <c r="F66" t="s">
        <v>909</v>
      </c>
      <c r="G66" t="s">
        <v>179</v>
      </c>
      <c r="H66">
        <v>141</v>
      </c>
      <c r="I66">
        <v>82.063999999999993</v>
      </c>
      <c r="J66">
        <v>80.070999999999998</v>
      </c>
      <c r="K66">
        <v>-1.9930000000000001</v>
      </c>
      <c r="L66">
        <v>49</v>
      </c>
      <c r="M66">
        <v>33</v>
      </c>
      <c r="N66">
        <v>59</v>
      </c>
      <c r="O66">
        <v>78.77</v>
      </c>
      <c r="P66">
        <v>-1.8752272299999999</v>
      </c>
      <c r="Q66">
        <v>13.116</v>
      </c>
    </row>
    <row r="67" spans="1:17" s="30" customFormat="1" ht="15" customHeight="1" x14ac:dyDescent="0.2">
      <c r="A67" s="30" t="str">
        <f>IF(C67&amp;G67&amp;D67&lt;&gt;'Funnel setup'!$K$3&amp;'Funnel setup'!$K$4&amp;'Funnel setup'!$K$5,".",IF(A66=".",1,A66+1))</f>
        <v>.</v>
      </c>
      <c r="B67" s="431" t="str">
        <f t="shared" ref="B67:B130" si="1">C67&amp;D67&amp;F67&amp;G67</f>
        <v>Groin HerniaCCG of GP PracticeNHS GREATER PRESTON CCG (01E)EQ VAS</v>
      </c>
      <c r="C67" t="s">
        <v>50</v>
      </c>
      <c r="D67" t="s">
        <v>87</v>
      </c>
      <c r="E67" t="s">
        <v>486</v>
      </c>
      <c r="F67" t="s">
        <v>487</v>
      </c>
      <c r="G67" t="s">
        <v>179</v>
      </c>
      <c r="H67">
        <v>122</v>
      </c>
      <c r="I67">
        <v>81.057000000000002</v>
      </c>
      <c r="J67">
        <v>80.704999999999998</v>
      </c>
      <c r="K67">
        <v>-0.35199999999999998</v>
      </c>
      <c r="L67">
        <v>51</v>
      </c>
      <c r="M67">
        <v>20</v>
      </c>
      <c r="N67">
        <v>51</v>
      </c>
      <c r="O67">
        <v>79.831000000000003</v>
      </c>
      <c r="P67">
        <v>-0.81455531699999995</v>
      </c>
      <c r="Q67">
        <v>12.547000000000001</v>
      </c>
    </row>
    <row r="68" spans="1:17" s="30" customFormat="1" ht="15" customHeight="1" x14ac:dyDescent="0.2">
      <c r="A68" s="30" t="str">
        <f>IF(C68&amp;G68&amp;D68&lt;&gt;'Funnel setup'!$K$3&amp;'Funnel setup'!$K$4&amp;'Funnel setup'!$K$5,".",IF(A67=".",1,A67+1))</f>
        <v>.</v>
      </c>
      <c r="B68" s="431" t="str">
        <f t="shared" si="1"/>
        <v>Groin HerniaCCG of GP PracticeNHS GREENWICH CCG (08A)EQ VAS</v>
      </c>
      <c r="C68" t="s">
        <v>50</v>
      </c>
      <c r="D68" t="s">
        <v>87</v>
      </c>
      <c r="E68" t="s">
        <v>489</v>
      </c>
      <c r="F68" t="s">
        <v>490</v>
      </c>
      <c r="G68" t="s">
        <v>179</v>
      </c>
      <c r="H68">
        <v>63</v>
      </c>
      <c r="I68">
        <v>78.73</v>
      </c>
      <c r="J68">
        <v>77.81</v>
      </c>
      <c r="K68">
        <v>-0.92100000000000004</v>
      </c>
      <c r="L68">
        <v>24</v>
      </c>
      <c r="M68">
        <v>8</v>
      </c>
      <c r="N68">
        <v>31</v>
      </c>
      <c r="O68">
        <v>79.658000000000001</v>
      </c>
      <c r="P68">
        <v>-0.98747487</v>
      </c>
      <c r="Q68">
        <v>11.292999999999999</v>
      </c>
    </row>
    <row r="69" spans="1:17" s="30" customFormat="1" ht="15" customHeight="1" x14ac:dyDescent="0.2">
      <c r="A69" s="30" t="str">
        <f>IF(C69&amp;G69&amp;D69&lt;&gt;'Funnel setup'!$K$3&amp;'Funnel setup'!$K$4&amp;'Funnel setup'!$K$5,".",IF(A68=".",1,A68+1))</f>
        <v>.</v>
      </c>
      <c r="B69" s="431" t="str">
        <f t="shared" si="1"/>
        <v>Groin HerniaCCG of GP PracticeNHS GUILDFORD AND WAVERLEY CCG (09N)EQ VAS</v>
      </c>
      <c r="C69" t="s">
        <v>50</v>
      </c>
      <c r="D69" t="s">
        <v>87</v>
      </c>
      <c r="E69" t="s">
        <v>911</v>
      </c>
      <c r="F69" t="s">
        <v>912</v>
      </c>
      <c r="G69" t="s">
        <v>179</v>
      </c>
      <c r="H69">
        <v>131</v>
      </c>
      <c r="I69">
        <v>80.823999999999998</v>
      </c>
      <c r="J69">
        <v>83.786000000000001</v>
      </c>
      <c r="K69">
        <v>2.9620000000000002</v>
      </c>
      <c r="L69">
        <v>62</v>
      </c>
      <c r="M69">
        <v>22</v>
      </c>
      <c r="N69">
        <v>47</v>
      </c>
      <c r="O69">
        <v>82.828000000000003</v>
      </c>
      <c r="P69">
        <v>2.1821963059999998</v>
      </c>
      <c r="Q69">
        <v>9.6389999999999993</v>
      </c>
    </row>
    <row r="70" spans="1:17" s="30" customFormat="1" ht="15" customHeight="1" x14ac:dyDescent="0.2">
      <c r="A70" s="30" t="str">
        <f>IF(C70&amp;G70&amp;D70&lt;&gt;'Funnel setup'!$K$3&amp;'Funnel setup'!$K$4&amp;'Funnel setup'!$K$5,".",IF(A69=".",1,A69+1))</f>
        <v>.</v>
      </c>
      <c r="B70" s="431" t="str">
        <f t="shared" si="1"/>
        <v>Groin HerniaCCG of GP PracticeNHS HALTON CCG (01F)EQ VAS</v>
      </c>
      <c r="C70" t="s">
        <v>50</v>
      </c>
      <c r="D70" t="s">
        <v>87</v>
      </c>
      <c r="E70" t="s">
        <v>914</v>
      </c>
      <c r="F70" t="s">
        <v>915</v>
      </c>
      <c r="G70" t="s">
        <v>179</v>
      </c>
      <c r="H70">
        <v>51</v>
      </c>
      <c r="I70">
        <v>80.784000000000006</v>
      </c>
      <c r="J70">
        <v>78.254999999999995</v>
      </c>
      <c r="K70">
        <v>-2.5289999999999999</v>
      </c>
      <c r="L70">
        <v>17</v>
      </c>
      <c r="M70">
        <v>7</v>
      </c>
      <c r="N70">
        <v>27</v>
      </c>
      <c r="O70">
        <v>78.787999999999997</v>
      </c>
      <c r="P70">
        <v>-1.8569420679999999</v>
      </c>
      <c r="Q70">
        <v>10.324999999999999</v>
      </c>
    </row>
    <row r="71" spans="1:17" s="30" customFormat="1" ht="15" customHeight="1" x14ac:dyDescent="0.2">
      <c r="A71" s="30" t="str">
        <f>IF(C71&amp;G71&amp;D71&lt;&gt;'Funnel setup'!$K$3&amp;'Funnel setup'!$K$4&amp;'Funnel setup'!$K$5,".",IF(A70=".",1,A70+1))</f>
        <v>.</v>
      </c>
      <c r="B71" s="431" t="str">
        <f t="shared" si="1"/>
        <v>Groin HerniaCCG of GP PracticeNHS HAMBLETON, RICHMONDSHIRE AND WHITBY CCG (03D)EQ VAS</v>
      </c>
      <c r="C71" t="s">
        <v>50</v>
      </c>
      <c r="D71" t="s">
        <v>87</v>
      </c>
      <c r="E71" t="s">
        <v>917</v>
      </c>
      <c r="F71" t="s">
        <v>918</v>
      </c>
      <c r="G71" t="s">
        <v>179</v>
      </c>
      <c r="H71">
        <v>69</v>
      </c>
      <c r="I71">
        <v>82.564999999999998</v>
      </c>
      <c r="J71">
        <v>83</v>
      </c>
      <c r="K71">
        <v>0.435</v>
      </c>
      <c r="L71">
        <v>25</v>
      </c>
      <c r="M71">
        <v>19</v>
      </c>
      <c r="N71">
        <v>25</v>
      </c>
      <c r="O71">
        <v>80.894999999999996</v>
      </c>
      <c r="P71">
        <v>0.249794506</v>
      </c>
      <c r="Q71">
        <v>11.073</v>
      </c>
    </row>
    <row r="72" spans="1:17" s="30" customFormat="1" ht="15" customHeight="1" x14ac:dyDescent="0.2">
      <c r="A72" s="30" t="str">
        <f>IF(C72&amp;G72&amp;D72&lt;&gt;'Funnel setup'!$K$3&amp;'Funnel setup'!$K$4&amp;'Funnel setup'!$K$5,".",IF(A71=".",1,A71+1))</f>
        <v>.</v>
      </c>
      <c r="B72" s="431" t="str">
        <f t="shared" si="1"/>
        <v>Groin HerniaCCG of GP PracticeNHS HAMMERSMITH AND FULHAM CCG (08C)EQ VAS</v>
      </c>
      <c r="C72" t="s">
        <v>50</v>
      </c>
      <c r="D72" t="s">
        <v>87</v>
      </c>
      <c r="E72" t="s">
        <v>920</v>
      </c>
      <c r="F72" t="s">
        <v>921</v>
      </c>
      <c r="G72" t="s">
        <v>179</v>
      </c>
      <c r="H72" t="s">
        <v>53</v>
      </c>
      <c r="I72" t="s">
        <v>53</v>
      </c>
      <c r="J72" t="s">
        <v>53</v>
      </c>
      <c r="K72" t="s">
        <v>53</v>
      </c>
      <c r="L72" t="s">
        <v>53</v>
      </c>
      <c r="M72" t="s">
        <v>53</v>
      </c>
      <c r="N72" t="s">
        <v>53</v>
      </c>
      <c r="O72" t="s">
        <v>53</v>
      </c>
      <c r="P72" t="s">
        <v>53</v>
      </c>
      <c r="Q72" t="s">
        <v>53</v>
      </c>
    </row>
    <row r="73" spans="1:17" s="30" customFormat="1" ht="15" customHeight="1" x14ac:dyDescent="0.2">
      <c r="A73" s="30" t="str">
        <f>IF(C73&amp;G73&amp;D73&lt;&gt;'Funnel setup'!$K$3&amp;'Funnel setup'!$K$4&amp;'Funnel setup'!$K$5,".",IF(A72=".",1,A72+1))</f>
        <v>.</v>
      </c>
      <c r="B73" s="431" t="str">
        <f t="shared" si="1"/>
        <v>Groin HerniaCCG of GP PracticeNHS HARDWICK CCG (03Y)EQ VAS</v>
      </c>
      <c r="C73" t="s">
        <v>50</v>
      </c>
      <c r="D73" t="s">
        <v>87</v>
      </c>
      <c r="E73" t="s">
        <v>923</v>
      </c>
      <c r="F73" t="s">
        <v>924</v>
      </c>
      <c r="G73" t="s">
        <v>179</v>
      </c>
      <c r="H73">
        <v>76</v>
      </c>
      <c r="I73">
        <v>77.513000000000005</v>
      </c>
      <c r="J73">
        <v>75.605000000000004</v>
      </c>
      <c r="K73">
        <v>-1.9079999999999999</v>
      </c>
      <c r="L73">
        <v>34</v>
      </c>
      <c r="M73">
        <v>15</v>
      </c>
      <c r="N73">
        <v>27</v>
      </c>
      <c r="O73">
        <v>78.411000000000001</v>
      </c>
      <c r="P73">
        <v>-2.2340396870000001</v>
      </c>
      <c r="Q73">
        <v>14.946999999999999</v>
      </c>
    </row>
    <row r="74" spans="1:17" s="30" customFormat="1" ht="15" customHeight="1" x14ac:dyDescent="0.2">
      <c r="A74" s="30" t="str">
        <f>IF(C74&amp;G74&amp;D74&lt;&gt;'Funnel setup'!$K$3&amp;'Funnel setup'!$K$4&amp;'Funnel setup'!$K$5,".",IF(A73=".",1,A73+1))</f>
        <v>.</v>
      </c>
      <c r="B74" s="431" t="str">
        <f t="shared" si="1"/>
        <v>Groin HerniaCCG of GP PracticeNHS HARINGEY CCG (08D)EQ VAS</v>
      </c>
      <c r="C74" t="s">
        <v>50</v>
      </c>
      <c r="D74" t="s">
        <v>87</v>
      </c>
      <c r="E74" t="s">
        <v>926</v>
      </c>
      <c r="F74" t="s">
        <v>927</v>
      </c>
      <c r="G74" t="s">
        <v>179</v>
      </c>
      <c r="H74">
        <v>27</v>
      </c>
      <c r="I74">
        <v>77.519000000000005</v>
      </c>
      <c r="J74">
        <v>74.778000000000006</v>
      </c>
      <c r="K74">
        <v>-2.7410000000000001</v>
      </c>
      <c r="L74">
        <v>14</v>
      </c>
      <c r="M74">
        <v>2</v>
      </c>
      <c r="N74">
        <v>11</v>
      </c>
      <c r="O74" t="s">
        <v>53</v>
      </c>
      <c r="P74" t="s">
        <v>53</v>
      </c>
      <c r="Q74" t="s">
        <v>53</v>
      </c>
    </row>
    <row r="75" spans="1:17" s="30" customFormat="1" ht="15" customHeight="1" x14ac:dyDescent="0.2">
      <c r="A75" s="30" t="str">
        <f>IF(C75&amp;G75&amp;D75&lt;&gt;'Funnel setup'!$K$3&amp;'Funnel setup'!$K$4&amp;'Funnel setup'!$K$5,".",IF(A74=".",1,A74+1))</f>
        <v>.</v>
      </c>
      <c r="B75" s="431" t="str">
        <f t="shared" si="1"/>
        <v>Groin HerniaCCG of GP PracticeNHS HARROGATE AND RURAL DISTRICT CCG (03E)EQ VAS</v>
      </c>
      <c r="C75" t="s">
        <v>50</v>
      </c>
      <c r="D75" t="s">
        <v>87</v>
      </c>
      <c r="E75" t="s">
        <v>929</v>
      </c>
      <c r="F75" t="s">
        <v>930</v>
      </c>
      <c r="G75" t="s">
        <v>179</v>
      </c>
      <c r="H75">
        <v>151</v>
      </c>
      <c r="I75">
        <v>81.649000000000001</v>
      </c>
      <c r="J75">
        <v>80.53</v>
      </c>
      <c r="K75">
        <v>-1.119</v>
      </c>
      <c r="L75">
        <v>57</v>
      </c>
      <c r="M75">
        <v>29</v>
      </c>
      <c r="N75">
        <v>65</v>
      </c>
      <c r="O75">
        <v>80.144999999999996</v>
      </c>
      <c r="P75">
        <v>-0.50049780399999999</v>
      </c>
      <c r="Q75">
        <v>11.519</v>
      </c>
    </row>
    <row r="76" spans="1:17" s="30" customFormat="1" ht="15" customHeight="1" x14ac:dyDescent="0.2">
      <c r="A76" s="30" t="str">
        <f>IF(C76&amp;G76&amp;D76&lt;&gt;'Funnel setup'!$K$3&amp;'Funnel setup'!$K$4&amp;'Funnel setup'!$K$5,".",IF(A75=".",1,A75+1))</f>
        <v>.</v>
      </c>
      <c r="B76" s="431" t="str">
        <f t="shared" si="1"/>
        <v>Groin HerniaCCG of GP PracticeNHS HARROW CCG (08E)EQ VAS</v>
      </c>
      <c r="C76" t="s">
        <v>50</v>
      </c>
      <c r="D76" t="s">
        <v>87</v>
      </c>
      <c r="E76" t="s">
        <v>492</v>
      </c>
      <c r="F76" t="s">
        <v>493</v>
      </c>
      <c r="G76" t="s">
        <v>179</v>
      </c>
      <c r="H76">
        <v>51</v>
      </c>
      <c r="I76">
        <v>76.647000000000006</v>
      </c>
      <c r="J76">
        <v>77.626999999999995</v>
      </c>
      <c r="K76">
        <v>0.98</v>
      </c>
      <c r="L76">
        <v>22</v>
      </c>
      <c r="M76">
        <v>11</v>
      </c>
      <c r="N76">
        <v>18</v>
      </c>
      <c r="O76">
        <v>80.938999999999993</v>
      </c>
      <c r="P76">
        <v>0.29344445000000002</v>
      </c>
      <c r="Q76">
        <v>12.401999999999999</v>
      </c>
    </row>
    <row r="77" spans="1:17" s="30" customFormat="1" ht="15" customHeight="1" x14ac:dyDescent="0.2">
      <c r="A77" s="30" t="str">
        <f>IF(C77&amp;G77&amp;D77&lt;&gt;'Funnel setup'!$K$3&amp;'Funnel setup'!$K$4&amp;'Funnel setup'!$K$5,".",IF(A76=".",1,A76+1))</f>
        <v>.</v>
      </c>
      <c r="B77" s="431" t="str">
        <f t="shared" si="1"/>
        <v>Groin HerniaCCG of GP PracticeNHS HARTLEPOOL AND STOCKTON-ON-TEES CCG (00K)EQ VAS</v>
      </c>
      <c r="C77" t="s">
        <v>50</v>
      </c>
      <c r="D77" t="s">
        <v>87</v>
      </c>
      <c r="E77" t="s">
        <v>495</v>
      </c>
      <c r="F77" t="s">
        <v>496</v>
      </c>
      <c r="G77" t="s">
        <v>179</v>
      </c>
      <c r="H77">
        <v>162</v>
      </c>
      <c r="I77">
        <v>82.037000000000006</v>
      </c>
      <c r="J77">
        <v>81.488</v>
      </c>
      <c r="K77">
        <v>-0.54900000000000004</v>
      </c>
      <c r="L77">
        <v>62</v>
      </c>
      <c r="M77">
        <v>28</v>
      </c>
      <c r="N77">
        <v>72</v>
      </c>
      <c r="O77">
        <v>80.807000000000002</v>
      </c>
      <c r="P77">
        <v>0.16116112099999999</v>
      </c>
      <c r="Q77">
        <v>11.412000000000001</v>
      </c>
    </row>
    <row r="78" spans="1:17" s="30" customFormat="1" ht="15" customHeight="1" x14ac:dyDescent="0.2">
      <c r="A78" s="30" t="str">
        <f>IF(C78&amp;G78&amp;D78&lt;&gt;'Funnel setup'!$K$3&amp;'Funnel setup'!$K$4&amp;'Funnel setup'!$K$5,".",IF(A77=".",1,A77+1))</f>
        <v>.</v>
      </c>
      <c r="B78" s="431" t="str">
        <f t="shared" si="1"/>
        <v>Groin HerniaCCG of GP PracticeNHS HASTINGS AND ROTHER CCG (09P)EQ VAS</v>
      </c>
      <c r="C78" t="s">
        <v>50</v>
      </c>
      <c r="D78" t="s">
        <v>87</v>
      </c>
      <c r="E78" t="s">
        <v>498</v>
      </c>
      <c r="F78" t="s">
        <v>499</v>
      </c>
      <c r="G78" t="s">
        <v>179</v>
      </c>
      <c r="H78">
        <v>89</v>
      </c>
      <c r="I78">
        <v>77.382000000000005</v>
      </c>
      <c r="J78">
        <v>78.921000000000006</v>
      </c>
      <c r="K78">
        <v>1.5389999999999999</v>
      </c>
      <c r="L78">
        <v>44</v>
      </c>
      <c r="M78">
        <v>11</v>
      </c>
      <c r="N78">
        <v>34</v>
      </c>
      <c r="O78">
        <v>80.278000000000006</v>
      </c>
      <c r="P78">
        <v>-0.36708292199999998</v>
      </c>
      <c r="Q78">
        <v>14.391999999999999</v>
      </c>
    </row>
    <row r="79" spans="1:17" s="30" customFormat="1" ht="15" customHeight="1" x14ac:dyDescent="0.2">
      <c r="A79" s="30" t="str">
        <f>IF(C79&amp;G79&amp;D79&lt;&gt;'Funnel setup'!$K$3&amp;'Funnel setup'!$K$4&amp;'Funnel setup'!$K$5,".",IF(A78=".",1,A78+1))</f>
        <v>.</v>
      </c>
      <c r="B79" s="431" t="str">
        <f t="shared" si="1"/>
        <v>Groin HerniaCCG of GP PracticeNHS HAVERING CCG (08F)EQ VAS</v>
      </c>
      <c r="C79" t="s">
        <v>50</v>
      </c>
      <c r="D79" t="s">
        <v>87</v>
      </c>
      <c r="E79" t="s">
        <v>501</v>
      </c>
      <c r="F79" t="s">
        <v>502</v>
      </c>
      <c r="G79" t="s">
        <v>179</v>
      </c>
      <c r="H79">
        <v>94</v>
      </c>
      <c r="I79">
        <v>82.266000000000005</v>
      </c>
      <c r="J79">
        <v>78.350999999999999</v>
      </c>
      <c r="K79">
        <v>-3.915</v>
      </c>
      <c r="L79">
        <v>31</v>
      </c>
      <c r="M79">
        <v>20</v>
      </c>
      <c r="N79">
        <v>43</v>
      </c>
      <c r="O79">
        <v>78.424999999999997</v>
      </c>
      <c r="P79">
        <v>-2.2204542790000001</v>
      </c>
      <c r="Q79">
        <v>14.25</v>
      </c>
    </row>
    <row r="80" spans="1:17" s="30" customFormat="1" ht="15" customHeight="1" x14ac:dyDescent="0.2">
      <c r="A80" s="30" t="str">
        <f>IF(C80&amp;G80&amp;D80&lt;&gt;'Funnel setup'!$K$3&amp;'Funnel setup'!$K$4&amp;'Funnel setup'!$K$5,".",IF(A79=".",1,A79+1))</f>
        <v>.</v>
      </c>
      <c r="B80" s="431" t="str">
        <f t="shared" si="1"/>
        <v>Groin HerniaCCG of GP PracticeNHS HEREFORDSHIRE CCG (05F)EQ VAS</v>
      </c>
      <c r="C80" t="s">
        <v>50</v>
      </c>
      <c r="D80" t="s">
        <v>87</v>
      </c>
      <c r="E80" t="s">
        <v>504</v>
      </c>
      <c r="F80" t="s">
        <v>505</v>
      </c>
      <c r="G80" t="s">
        <v>179</v>
      </c>
      <c r="H80">
        <v>147</v>
      </c>
      <c r="I80">
        <v>79.122</v>
      </c>
      <c r="J80">
        <v>80.945999999999998</v>
      </c>
      <c r="K80">
        <v>1.823</v>
      </c>
      <c r="L80">
        <v>62</v>
      </c>
      <c r="M80">
        <v>28</v>
      </c>
      <c r="N80">
        <v>57</v>
      </c>
      <c r="O80">
        <v>81.701999999999998</v>
      </c>
      <c r="P80">
        <v>1.0565344109999999</v>
      </c>
      <c r="Q80">
        <v>11.298</v>
      </c>
    </row>
    <row r="81" spans="1:17" s="30" customFormat="1" ht="15" customHeight="1" x14ac:dyDescent="0.2">
      <c r="A81" s="30" t="str">
        <f>IF(C81&amp;G81&amp;D81&lt;&gt;'Funnel setup'!$K$3&amp;'Funnel setup'!$K$4&amp;'Funnel setup'!$K$5,".",IF(A80=".",1,A80+1))</f>
        <v>.</v>
      </c>
      <c r="B81" s="431" t="str">
        <f t="shared" si="1"/>
        <v>Groin HerniaCCG of GP PracticeNHS HERTS VALLEYS CCG (06N)EQ VAS</v>
      </c>
      <c r="C81" t="s">
        <v>50</v>
      </c>
      <c r="D81" t="s">
        <v>87</v>
      </c>
      <c r="E81" t="s">
        <v>507</v>
      </c>
      <c r="F81" t="s">
        <v>508</v>
      </c>
      <c r="G81" t="s">
        <v>179</v>
      </c>
      <c r="H81">
        <v>254</v>
      </c>
      <c r="I81">
        <v>81.528000000000006</v>
      </c>
      <c r="J81">
        <v>80.971999999999994</v>
      </c>
      <c r="K81">
        <v>-0.55500000000000005</v>
      </c>
      <c r="L81">
        <v>100</v>
      </c>
      <c r="M81">
        <v>55</v>
      </c>
      <c r="N81">
        <v>99</v>
      </c>
      <c r="O81">
        <v>79.959999999999994</v>
      </c>
      <c r="P81">
        <v>-0.68557610899999999</v>
      </c>
      <c r="Q81">
        <v>12.755000000000001</v>
      </c>
    </row>
    <row r="82" spans="1:17" s="30" customFormat="1" ht="15" customHeight="1" x14ac:dyDescent="0.2">
      <c r="A82" s="30" t="str">
        <f>IF(C82&amp;G82&amp;D82&lt;&gt;'Funnel setup'!$K$3&amp;'Funnel setup'!$K$4&amp;'Funnel setup'!$K$5,".",IF(A81=".",1,A81+1))</f>
        <v>.</v>
      </c>
      <c r="B82" s="431" t="str">
        <f t="shared" si="1"/>
        <v>Groin HerniaCCG of GP PracticeNHS HEYWOOD, MIDDLETON AND ROCHDALE CCG (01D)EQ VAS</v>
      </c>
      <c r="C82" t="s">
        <v>50</v>
      </c>
      <c r="D82" t="s">
        <v>87</v>
      </c>
      <c r="E82" t="s">
        <v>510</v>
      </c>
      <c r="F82" t="s">
        <v>511</v>
      </c>
      <c r="G82" t="s">
        <v>179</v>
      </c>
      <c r="H82">
        <v>35</v>
      </c>
      <c r="I82">
        <v>74.686000000000007</v>
      </c>
      <c r="J82">
        <v>73.171000000000006</v>
      </c>
      <c r="K82">
        <v>-1.514</v>
      </c>
      <c r="L82">
        <v>13</v>
      </c>
      <c r="M82">
        <v>5</v>
      </c>
      <c r="N82">
        <v>17</v>
      </c>
      <c r="O82">
        <v>76.341999999999999</v>
      </c>
      <c r="P82">
        <v>-4.3039292979999999</v>
      </c>
      <c r="Q82">
        <v>16.626999999999999</v>
      </c>
    </row>
    <row r="83" spans="1:17" s="30" customFormat="1" ht="15" customHeight="1" x14ac:dyDescent="0.2">
      <c r="A83" s="30" t="str">
        <f>IF(C83&amp;G83&amp;D83&lt;&gt;'Funnel setup'!$K$3&amp;'Funnel setup'!$K$4&amp;'Funnel setup'!$K$5,".",IF(A82=".",1,A82+1))</f>
        <v>.</v>
      </c>
      <c r="B83" s="431" t="str">
        <f t="shared" si="1"/>
        <v>Groin HerniaCCG of GP PracticeNHS HIGH WEALD LEWES HAVENS CCG (99K)EQ VAS</v>
      </c>
      <c r="C83" t="s">
        <v>50</v>
      </c>
      <c r="D83" t="s">
        <v>87</v>
      </c>
      <c r="E83" t="s">
        <v>513</v>
      </c>
      <c r="F83" t="s">
        <v>514</v>
      </c>
      <c r="G83" t="s">
        <v>179</v>
      </c>
      <c r="H83">
        <v>82</v>
      </c>
      <c r="I83">
        <v>80.683000000000007</v>
      </c>
      <c r="J83">
        <v>77.524000000000001</v>
      </c>
      <c r="K83">
        <v>-3.1589999999999998</v>
      </c>
      <c r="L83">
        <v>27</v>
      </c>
      <c r="M83">
        <v>16</v>
      </c>
      <c r="N83">
        <v>39</v>
      </c>
      <c r="O83">
        <v>77.471000000000004</v>
      </c>
      <c r="P83">
        <v>-3.1745137950000002</v>
      </c>
      <c r="Q83">
        <v>14.914999999999999</v>
      </c>
    </row>
    <row r="84" spans="1:17" s="30" customFormat="1" ht="25.5" customHeight="1" x14ac:dyDescent="0.2">
      <c r="A84" s="30" t="str">
        <f>IF(C84&amp;G84&amp;D84&lt;&gt;'Funnel setup'!$K$3&amp;'Funnel setup'!$K$4&amp;'Funnel setup'!$K$5,".",IF(A83=".",1,A83+1))</f>
        <v>.</v>
      </c>
      <c r="B84" s="431" t="str">
        <f t="shared" si="1"/>
        <v>Groin HerniaCCG of GP PracticeNHS HILLINGDON CCG (08G)EQ VAS</v>
      </c>
      <c r="C84" t="s">
        <v>50</v>
      </c>
      <c r="D84" t="s">
        <v>87</v>
      </c>
      <c r="E84" t="s">
        <v>516</v>
      </c>
      <c r="F84" t="s">
        <v>517</v>
      </c>
      <c r="G84" t="s">
        <v>179</v>
      </c>
      <c r="H84">
        <v>47</v>
      </c>
      <c r="I84">
        <v>79.638000000000005</v>
      </c>
      <c r="J84">
        <v>78.850999999999999</v>
      </c>
      <c r="K84">
        <v>-0.78700000000000003</v>
      </c>
      <c r="L84">
        <v>18</v>
      </c>
      <c r="M84">
        <v>10</v>
      </c>
      <c r="N84">
        <v>19</v>
      </c>
      <c r="O84">
        <v>79.924000000000007</v>
      </c>
      <c r="P84">
        <v>-0.72175831300000004</v>
      </c>
      <c r="Q84">
        <v>13.236000000000001</v>
      </c>
    </row>
    <row r="85" spans="1:17" s="30" customFormat="1" x14ac:dyDescent="0.2">
      <c r="A85" s="30" t="str">
        <f>IF(C85&amp;G85&amp;D85&lt;&gt;'Funnel setup'!$K$3&amp;'Funnel setup'!$K$4&amp;'Funnel setup'!$K$5,".",IF(A84=".",1,A84+1))</f>
        <v>.</v>
      </c>
      <c r="B85" s="431" t="str">
        <f t="shared" si="1"/>
        <v>Groin HerniaCCG of GP PracticeNHS HORSHAM AND MID SUSSEX CCG (09X)EQ VAS</v>
      </c>
      <c r="C85" t="s">
        <v>50</v>
      </c>
      <c r="D85" t="s">
        <v>87</v>
      </c>
      <c r="E85" t="s">
        <v>519</v>
      </c>
      <c r="F85" t="s">
        <v>520</v>
      </c>
      <c r="G85" t="s">
        <v>179</v>
      </c>
      <c r="H85">
        <v>133</v>
      </c>
      <c r="I85">
        <v>83.585999999999999</v>
      </c>
      <c r="J85">
        <v>82.263000000000005</v>
      </c>
      <c r="K85">
        <v>-1.323</v>
      </c>
      <c r="L85">
        <v>44</v>
      </c>
      <c r="M85">
        <v>35</v>
      </c>
      <c r="N85">
        <v>54</v>
      </c>
      <c r="O85">
        <v>80.445999999999998</v>
      </c>
      <c r="P85">
        <v>-0.19929638599999999</v>
      </c>
      <c r="Q85">
        <v>10.516999999999999</v>
      </c>
    </row>
    <row r="86" spans="1:17" s="30" customFormat="1" x14ac:dyDescent="0.2">
      <c r="A86" s="30" t="str">
        <f>IF(C86&amp;G86&amp;D86&lt;&gt;'Funnel setup'!$K$3&amp;'Funnel setup'!$K$4&amp;'Funnel setup'!$K$5,".",IF(A85=".",1,A85+1))</f>
        <v>.</v>
      </c>
      <c r="B86" s="431" t="str">
        <f t="shared" si="1"/>
        <v>Groin HerniaCCG of GP PracticeNHS HOUNSLOW CCG (07Y)EQ VAS</v>
      </c>
      <c r="C86" t="s">
        <v>50</v>
      </c>
      <c r="D86" t="s">
        <v>87</v>
      </c>
      <c r="E86" t="s">
        <v>522</v>
      </c>
      <c r="F86" t="s">
        <v>523</v>
      </c>
      <c r="G86" t="s">
        <v>179</v>
      </c>
      <c r="H86">
        <v>22</v>
      </c>
      <c r="I86">
        <v>76.317999999999998</v>
      </c>
      <c r="J86">
        <v>71.135999999999996</v>
      </c>
      <c r="K86">
        <v>-5.1820000000000004</v>
      </c>
      <c r="L86">
        <v>5</v>
      </c>
      <c r="M86">
        <v>9</v>
      </c>
      <c r="N86">
        <v>8</v>
      </c>
      <c r="O86" t="s">
        <v>53</v>
      </c>
      <c r="P86" t="s">
        <v>53</v>
      </c>
      <c r="Q86" t="s">
        <v>53</v>
      </c>
    </row>
    <row r="87" spans="1:17" s="30" customFormat="1" x14ac:dyDescent="0.2">
      <c r="A87" s="30" t="str">
        <f>IF(C87&amp;G87&amp;D87&lt;&gt;'Funnel setup'!$K$3&amp;'Funnel setup'!$K$4&amp;'Funnel setup'!$K$5,".",IF(A86=".",1,A86+1))</f>
        <v>.</v>
      </c>
      <c r="B87" s="431" t="str">
        <f t="shared" si="1"/>
        <v>Groin HerniaCCG of GP PracticeNHS HULL CCG (03F)EQ VAS</v>
      </c>
      <c r="C87" t="s">
        <v>50</v>
      </c>
      <c r="D87" t="s">
        <v>87</v>
      </c>
      <c r="E87" t="s">
        <v>525</v>
      </c>
      <c r="F87" t="s">
        <v>526</v>
      </c>
      <c r="G87" t="s">
        <v>179</v>
      </c>
      <c r="H87">
        <v>191</v>
      </c>
      <c r="I87">
        <v>79.89</v>
      </c>
      <c r="J87">
        <v>77.775000000000006</v>
      </c>
      <c r="K87">
        <v>-2.1150000000000002</v>
      </c>
      <c r="L87">
        <v>75</v>
      </c>
      <c r="M87">
        <v>35</v>
      </c>
      <c r="N87">
        <v>81</v>
      </c>
      <c r="O87">
        <v>78.905000000000001</v>
      </c>
      <c r="P87">
        <v>-1.7402120139999999</v>
      </c>
      <c r="Q87">
        <v>13.852</v>
      </c>
    </row>
    <row r="88" spans="1:17" s="30" customFormat="1" x14ac:dyDescent="0.2">
      <c r="A88" s="30" t="str">
        <f>IF(C88&amp;G88&amp;D88&lt;&gt;'Funnel setup'!$K$3&amp;'Funnel setup'!$K$4&amp;'Funnel setup'!$K$5,".",IF(A87=".",1,A87+1))</f>
        <v>.</v>
      </c>
      <c r="B88" s="431" t="str">
        <f t="shared" si="1"/>
        <v>Groin HerniaCCG of GP PracticeNHS IPSWICH AND EAST SUFFOLK CCG (06L)EQ VAS</v>
      </c>
      <c r="C88" t="s">
        <v>50</v>
      </c>
      <c r="D88" t="s">
        <v>87</v>
      </c>
      <c r="E88" t="s">
        <v>528</v>
      </c>
      <c r="F88" t="s">
        <v>529</v>
      </c>
      <c r="G88" t="s">
        <v>179</v>
      </c>
      <c r="H88">
        <v>233</v>
      </c>
      <c r="I88">
        <v>78.566999999999993</v>
      </c>
      <c r="J88">
        <v>80.884</v>
      </c>
      <c r="K88">
        <v>2.3180000000000001</v>
      </c>
      <c r="L88">
        <v>102</v>
      </c>
      <c r="M88">
        <v>55</v>
      </c>
      <c r="N88">
        <v>76</v>
      </c>
      <c r="O88">
        <v>81.988</v>
      </c>
      <c r="P88">
        <v>1.3429693810000001</v>
      </c>
      <c r="Q88">
        <v>12.195</v>
      </c>
    </row>
    <row r="89" spans="1:17" s="30" customFormat="1" x14ac:dyDescent="0.2">
      <c r="A89" s="30" t="str">
        <f>IF(C89&amp;G89&amp;D89&lt;&gt;'Funnel setup'!$K$3&amp;'Funnel setup'!$K$4&amp;'Funnel setup'!$K$5,".",IF(A88=".",1,A88+1))</f>
        <v>.</v>
      </c>
      <c r="B89" s="431" t="str">
        <f t="shared" si="1"/>
        <v>Groin HerniaCCG of GP PracticeNHS ISLE OF WIGHT CCG (10L)EQ VAS</v>
      </c>
      <c r="C89" t="s">
        <v>50</v>
      </c>
      <c r="D89" t="s">
        <v>87</v>
      </c>
      <c r="E89" t="s">
        <v>531</v>
      </c>
      <c r="F89" t="s">
        <v>532</v>
      </c>
      <c r="G89" t="s">
        <v>179</v>
      </c>
      <c r="H89">
        <v>49</v>
      </c>
      <c r="I89">
        <v>79.98</v>
      </c>
      <c r="J89">
        <v>76.388000000000005</v>
      </c>
      <c r="K89">
        <v>-3.5920000000000001</v>
      </c>
      <c r="L89">
        <v>16</v>
      </c>
      <c r="M89">
        <v>13</v>
      </c>
      <c r="N89">
        <v>20</v>
      </c>
      <c r="O89">
        <v>78.266999999999996</v>
      </c>
      <c r="P89">
        <v>-2.3780819449999999</v>
      </c>
      <c r="Q89">
        <v>13.07</v>
      </c>
    </row>
    <row r="90" spans="1:17" s="30" customFormat="1" x14ac:dyDescent="0.2">
      <c r="A90" s="30" t="str">
        <f>IF(C90&amp;G90&amp;D90&lt;&gt;'Funnel setup'!$K$3&amp;'Funnel setup'!$K$4&amp;'Funnel setup'!$K$5,".",IF(A89=".",1,A89+1))</f>
        <v>.</v>
      </c>
      <c r="B90" s="431" t="str">
        <f t="shared" si="1"/>
        <v>Groin HerniaCCG of GP PracticeNHS ISLINGTON CCG (08H)EQ VAS</v>
      </c>
      <c r="C90" t="s">
        <v>50</v>
      </c>
      <c r="D90" t="s">
        <v>87</v>
      </c>
      <c r="E90" t="s">
        <v>534</v>
      </c>
      <c r="F90" t="s">
        <v>535</v>
      </c>
      <c r="G90" t="s">
        <v>179</v>
      </c>
      <c r="H90">
        <v>26</v>
      </c>
      <c r="I90">
        <v>78.191999999999993</v>
      </c>
      <c r="J90">
        <v>74.076999999999998</v>
      </c>
      <c r="K90">
        <v>-4.1150000000000002</v>
      </c>
      <c r="L90">
        <v>8</v>
      </c>
      <c r="M90">
        <v>6</v>
      </c>
      <c r="N90">
        <v>12</v>
      </c>
      <c r="O90" t="s">
        <v>53</v>
      </c>
      <c r="P90" t="s">
        <v>53</v>
      </c>
      <c r="Q90" t="s">
        <v>53</v>
      </c>
    </row>
    <row r="91" spans="1:17" s="30" customFormat="1" x14ac:dyDescent="0.2">
      <c r="A91" s="30" t="str">
        <f>IF(C91&amp;G91&amp;D91&lt;&gt;'Funnel setup'!$K$3&amp;'Funnel setup'!$K$4&amp;'Funnel setup'!$K$5,".",IF(A90=".",1,A90+1))</f>
        <v>.</v>
      </c>
      <c r="B91" s="431" t="str">
        <f t="shared" si="1"/>
        <v>Groin HerniaCCG of GP PracticeNHS KERNOW CCG (11N)EQ VAS</v>
      </c>
      <c r="C91" t="s">
        <v>50</v>
      </c>
      <c r="D91" t="s">
        <v>87</v>
      </c>
      <c r="E91" t="s">
        <v>537</v>
      </c>
      <c r="F91" t="s">
        <v>538</v>
      </c>
      <c r="G91" t="s">
        <v>179</v>
      </c>
      <c r="H91">
        <v>223</v>
      </c>
      <c r="I91">
        <v>81.686000000000007</v>
      </c>
      <c r="J91">
        <v>81.888000000000005</v>
      </c>
      <c r="K91">
        <v>0.20200000000000001</v>
      </c>
      <c r="L91">
        <v>94</v>
      </c>
      <c r="M91">
        <v>44</v>
      </c>
      <c r="N91">
        <v>85</v>
      </c>
      <c r="O91">
        <v>81.159000000000006</v>
      </c>
      <c r="P91">
        <v>0.51320098800000002</v>
      </c>
      <c r="Q91">
        <v>12.141</v>
      </c>
    </row>
    <row r="92" spans="1:17" s="30" customFormat="1" x14ac:dyDescent="0.2">
      <c r="A92" s="30" t="str">
        <f>IF(C92&amp;G92&amp;D92&lt;&gt;'Funnel setup'!$K$3&amp;'Funnel setup'!$K$4&amp;'Funnel setup'!$K$5,".",IF(A91=".",1,A91+1))</f>
        <v>.</v>
      </c>
      <c r="B92" s="431" t="str">
        <f t="shared" si="1"/>
        <v>Groin HerniaCCG of GP PracticeNHS KINGSTON CCG (08J)EQ VAS</v>
      </c>
      <c r="C92" t="s">
        <v>50</v>
      </c>
      <c r="D92" t="s">
        <v>87</v>
      </c>
      <c r="E92" t="s">
        <v>540</v>
      </c>
      <c r="F92" t="s">
        <v>541</v>
      </c>
      <c r="G92" t="s">
        <v>179</v>
      </c>
      <c r="H92">
        <v>6</v>
      </c>
      <c r="I92">
        <v>81.832999999999998</v>
      </c>
      <c r="J92">
        <v>75.5</v>
      </c>
      <c r="K92">
        <v>-6.3330000000000002</v>
      </c>
      <c r="L92">
        <v>2</v>
      </c>
      <c r="M92">
        <v>2</v>
      </c>
      <c r="N92">
        <v>2</v>
      </c>
      <c r="O92" t="s">
        <v>53</v>
      </c>
      <c r="P92" t="s">
        <v>53</v>
      </c>
      <c r="Q92" t="s">
        <v>53</v>
      </c>
    </row>
    <row r="93" spans="1:17" s="30" customFormat="1" x14ac:dyDescent="0.2">
      <c r="A93" s="30" t="str">
        <f>IF(C93&amp;G93&amp;D93&lt;&gt;'Funnel setup'!$K$3&amp;'Funnel setup'!$K$4&amp;'Funnel setup'!$K$5,".",IF(A92=".",1,A92+1))</f>
        <v>.</v>
      </c>
      <c r="B93" s="431" t="str">
        <f t="shared" si="1"/>
        <v>Groin HerniaCCG of GP PracticeNHS KNOWSLEY CCG (01J)EQ VAS</v>
      </c>
      <c r="C93" t="s">
        <v>50</v>
      </c>
      <c r="D93" t="s">
        <v>87</v>
      </c>
      <c r="E93" t="s">
        <v>543</v>
      </c>
      <c r="F93" t="s">
        <v>544</v>
      </c>
      <c r="G93" t="s">
        <v>179</v>
      </c>
      <c r="H93">
        <v>39</v>
      </c>
      <c r="I93">
        <v>77.076999999999998</v>
      </c>
      <c r="J93">
        <v>76.974000000000004</v>
      </c>
      <c r="K93">
        <v>-0.10299999999999999</v>
      </c>
      <c r="L93">
        <v>16</v>
      </c>
      <c r="M93">
        <v>6</v>
      </c>
      <c r="N93">
        <v>17</v>
      </c>
      <c r="O93">
        <v>80.703000000000003</v>
      </c>
      <c r="P93">
        <v>5.7945578999999997E-2</v>
      </c>
      <c r="Q93">
        <v>14.051</v>
      </c>
    </row>
    <row r="94" spans="1:17" s="30" customFormat="1" x14ac:dyDescent="0.2">
      <c r="A94" s="30" t="str">
        <f>IF(C94&amp;G94&amp;D94&lt;&gt;'Funnel setup'!$K$3&amp;'Funnel setup'!$K$4&amp;'Funnel setup'!$K$5,".",IF(A93=".",1,A93+1))</f>
        <v>.</v>
      </c>
      <c r="B94" s="431" t="str">
        <f t="shared" si="1"/>
        <v>Groin HerniaCCG of GP PracticeNHS LAMBETH CCG (08K)EQ VAS</v>
      </c>
      <c r="C94" t="s">
        <v>50</v>
      </c>
      <c r="D94" t="s">
        <v>87</v>
      </c>
      <c r="E94" t="s">
        <v>546</v>
      </c>
      <c r="F94" t="s">
        <v>547</v>
      </c>
      <c r="G94" t="s">
        <v>179</v>
      </c>
      <c r="H94">
        <v>19</v>
      </c>
      <c r="I94">
        <v>78.894999999999996</v>
      </c>
      <c r="J94">
        <v>80.683999999999997</v>
      </c>
      <c r="K94">
        <v>1.7889999999999999</v>
      </c>
      <c r="L94">
        <v>10</v>
      </c>
      <c r="M94">
        <v>0</v>
      </c>
      <c r="N94">
        <v>9</v>
      </c>
      <c r="O94" t="s">
        <v>53</v>
      </c>
      <c r="P94" t="s">
        <v>53</v>
      </c>
      <c r="Q94" t="s">
        <v>53</v>
      </c>
    </row>
    <row r="95" spans="1:17" s="30" customFormat="1" x14ac:dyDescent="0.2">
      <c r="A95" s="30" t="str">
        <f>IF(C95&amp;G95&amp;D95&lt;&gt;'Funnel setup'!$K$3&amp;'Funnel setup'!$K$4&amp;'Funnel setup'!$K$5,".",IF(A94=".",1,A94+1))</f>
        <v>.</v>
      </c>
      <c r="B95" s="431" t="str">
        <f t="shared" si="1"/>
        <v>Groin HerniaCCG of GP PracticeNHS LANCASHIRE NORTH CCG (01K)EQ VAS</v>
      </c>
      <c r="C95" t="s">
        <v>50</v>
      </c>
      <c r="D95" t="s">
        <v>87</v>
      </c>
      <c r="E95" t="s">
        <v>549</v>
      </c>
      <c r="F95" t="s">
        <v>550</v>
      </c>
      <c r="G95" t="s">
        <v>179</v>
      </c>
      <c r="H95">
        <v>75</v>
      </c>
      <c r="I95">
        <v>78.760000000000005</v>
      </c>
      <c r="J95">
        <v>82.28</v>
      </c>
      <c r="K95">
        <v>3.52</v>
      </c>
      <c r="L95">
        <v>34</v>
      </c>
      <c r="M95">
        <v>14</v>
      </c>
      <c r="N95">
        <v>27</v>
      </c>
      <c r="O95">
        <v>82.206000000000003</v>
      </c>
      <c r="P95">
        <v>1.5601126750000001</v>
      </c>
      <c r="Q95">
        <v>11.537000000000001</v>
      </c>
    </row>
    <row r="96" spans="1:17" s="30" customFormat="1" x14ac:dyDescent="0.2">
      <c r="A96" s="30" t="str">
        <f>IF(C96&amp;G96&amp;D96&lt;&gt;'Funnel setup'!$K$3&amp;'Funnel setup'!$K$4&amp;'Funnel setup'!$K$5,".",IF(A95=".",1,A95+1))</f>
        <v>.</v>
      </c>
      <c r="B96" s="431" t="str">
        <f t="shared" si="1"/>
        <v>Groin HerniaCCG of GP PracticeNHS LEEDS NORTH CCG (02V)EQ VAS</v>
      </c>
      <c r="C96" t="s">
        <v>50</v>
      </c>
      <c r="D96" t="s">
        <v>87</v>
      </c>
      <c r="E96" t="s">
        <v>552</v>
      </c>
      <c r="F96" t="s">
        <v>337</v>
      </c>
      <c r="G96" t="s">
        <v>179</v>
      </c>
      <c r="H96">
        <v>109</v>
      </c>
      <c r="I96">
        <v>80.522999999999996</v>
      </c>
      <c r="J96">
        <v>80.210999999999999</v>
      </c>
      <c r="K96">
        <v>-0.312</v>
      </c>
      <c r="L96">
        <v>40</v>
      </c>
      <c r="M96">
        <v>24</v>
      </c>
      <c r="N96">
        <v>45</v>
      </c>
      <c r="O96">
        <v>80.320999999999998</v>
      </c>
      <c r="P96">
        <v>-0.32399546200000001</v>
      </c>
      <c r="Q96">
        <v>10.754</v>
      </c>
    </row>
    <row r="97" spans="1:17" s="30" customFormat="1" x14ac:dyDescent="0.2">
      <c r="A97" s="30" t="str">
        <f>IF(C97&amp;G97&amp;D97&lt;&gt;'Funnel setup'!$K$3&amp;'Funnel setup'!$K$4&amp;'Funnel setup'!$K$5,".",IF(A96=".",1,A96+1))</f>
        <v>.</v>
      </c>
      <c r="B97" s="431" t="str">
        <f t="shared" si="1"/>
        <v>Groin HerniaCCG of GP PracticeNHS LEEDS SOUTH AND EAST CCG (03G)EQ VAS</v>
      </c>
      <c r="C97" t="s">
        <v>50</v>
      </c>
      <c r="D97" t="s">
        <v>87</v>
      </c>
      <c r="E97" t="s">
        <v>396</v>
      </c>
      <c r="F97" t="s">
        <v>397</v>
      </c>
      <c r="G97" t="s">
        <v>179</v>
      </c>
      <c r="H97">
        <v>70</v>
      </c>
      <c r="I97">
        <v>81.171000000000006</v>
      </c>
      <c r="J97">
        <v>82.370999999999995</v>
      </c>
      <c r="K97">
        <v>1.2</v>
      </c>
      <c r="L97">
        <v>30</v>
      </c>
      <c r="M97">
        <v>16</v>
      </c>
      <c r="N97">
        <v>24</v>
      </c>
      <c r="O97">
        <v>81.242000000000004</v>
      </c>
      <c r="P97">
        <v>0.59664980700000003</v>
      </c>
      <c r="Q97">
        <v>13.19</v>
      </c>
    </row>
    <row r="98" spans="1:17" s="30" customFormat="1" x14ac:dyDescent="0.2">
      <c r="A98" s="30" t="str">
        <f>IF(C98&amp;G98&amp;D98&lt;&gt;'Funnel setup'!$K$3&amp;'Funnel setup'!$K$4&amp;'Funnel setup'!$K$5,".",IF(A97=".",1,A97+1))</f>
        <v>.</v>
      </c>
      <c r="B98" s="431" t="str">
        <f t="shared" si="1"/>
        <v>Groin HerniaCCG of GP PracticeNHS LEEDS WEST CCG (03C)EQ VAS</v>
      </c>
      <c r="C98" t="s">
        <v>50</v>
      </c>
      <c r="D98" t="s">
        <v>87</v>
      </c>
      <c r="E98" t="s">
        <v>399</v>
      </c>
      <c r="F98" t="s">
        <v>400</v>
      </c>
      <c r="G98" t="s">
        <v>179</v>
      </c>
      <c r="H98">
        <v>109</v>
      </c>
      <c r="I98">
        <v>78.742999999999995</v>
      </c>
      <c r="J98">
        <v>81.587000000000003</v>
      </c>
      <c r="K98">
        <v>2.8439999999999999</v>
      </c>
      <c r="L98">
        <v>50</v>
      </c>
      <c r="M98">
        <v>20</v>
      </c>
      <c r="N98">
        <v>39</v>
      </c>
      <c r="O98">
        <v>81.906000000000006</v>
      </c>
      <c r="P98">
        <v>1.260186595</v>
      </c>
      <c r="Q98">
        <v>9.9369999999999994</v>
      </c>
    </row>
    <row r="99" spans="1:17" s="30" customFormat="1" x14ac:dyDescent="0.2">
      <c r="A99" s="30" t="str">
        <f>IF(C99&amp;G99&amp;D99&lt;&gt;'Funnel setup'!$K$3&amp;'Funnel setup'!$K$4&amp;'Funnel setup'!$K$5,".",IF(A98=".",1,A98+1))</f>
        <v>.</v>
      </c>
      <c r="B99" s="431" t="str">
        <f t="shared" si="1"/>
        <v>Groin HerniaCCG of GP PracticeNHS LEICESTER CITY CCG (04C)EQ VAS</v>
      </c>
      <c r="C99" t="s">
        <v>50</v>
      </c>
      <c r="D99" t="s">
        <v>87</v>
      </c>
      <c r="E99" t="s">
        <v>554</v>
      </c>
      <c r="F99" t="s">
        <v>555</v>
      </c>
      <c r="G99" t="s">
        <v>179</v>
      </c>
      <c r="H99">
        <v>92</v>
      </c>
      <c r="I99">
        <v>77.522000000000006</v>
      </c>
      <c r="J99">
        <v>78.533000000000001</v>
      </c>
      <c r="K99">
        <v>1.0109999999999999</v>
      </c>
      <c r="L99">
        <v>39</v>
      </c>
      <c r="M99">
        <v>12</v>
      </c>
      <c r="N99">
        <v>41</v>
      </c>
      <c r="O99">
        <v>81.37</v>
      </c>
      <c r="P99">
        <v>0.724813806</v>
      </c>
      <c r="Q99">
        <v>12.734</v>
      </c>
    </row>
    <row r="100" spans="1:17" s="30" customFormat="1" x14ac:dyDescent="0.2">
      <c r="A100" s="30" t="str">
        <f>IF(C100&amp;G100&amp;D100&lt;&gt;'Funnel setup'!$K$3&amp;'Funnel setup'!$K$4&amp;'Funnel setup'!$K$5,".",IF(A99=".",1,A99+1))</f>
        <v>.</v>
      </c>
      <c r="B100" s="431" t="str">
        <f t="shared" si="1"/>
        <v>Groin HerniaCCG of GP PracticeNHS LEWISHAM CCG (08L)EQ VAS</v>
      </c>
      <c r="C100" t="s">
        <v>50</v>
      </c>
      <c r="D100" t="s">
        <v>87</v>
      </c>
      <c r="E100" t="s">
        <v>557</v>
      </c>
      <c r="F100" t="s">
        <v>558</v>
      </c>
      <c r="G100" t="s">
        <v>179</v>
      </c>
      <c r="H100">
        <v>101</v>
      </c>
      <c r="I100">
        <v>78.653000000000006</v>
      </c>
      <c r="J100">
        <v>79.911000000000001</v>
      </c>
      <c r="K100">
        <v>1.2569999999999999</v>
      </c>
      <c r="L100">
        <v>42</v>
      </c>
      <c r="M100">
        <v>17</v>
      </c>
      <c r="N100">
        <v>42</v>
      </c>
      <c r="O100">
        <v>81.281000000000006</v>
      </c>
      <c r="P100">
        <v>0.63603279300000004</v>
      </c>
      <c r="Q100">
        <v>12.176</v>
      </c>
    </row>
    <row r="101" spans="1:17" s="30" customFormat="1" x14ac:dyDescent="0.2">
      <c r="A101" s="30" t="str">
        <f>IF(C101&amp;G101&amp;D101&lt;&gt;'Funnel setup'!$K$3&amp;'Funnel setup'!$K$4&amp;'Funnel setup'!$K$5,".",IF(A100=".",1,A100+1))</f>
        <v>.</v>
      </c>
      <c r="B101" s="431" t="str">
        <f t="shared" si="1"/>
        <v>Groin HerniaCCG of GP PracticeNHS LINCOLNSHIRE EAST CCG (03T)EQ VAS</v>
      </c>
      <c r="C101" t="s">
        <v>50</v>
      </c>
      <c r="D101" t="s">
        <v>87</v>
      </c>
      <c r="E101" t="s">
        <v>560</v>
      </c>
      <c r="F101" t="s">
        <v>561</v>
      </c>
      <c r="G101" t="s">
        <v>179</v>
      </c>
      <c r="H101">
        <v>124</v>
      </c>
      <c r="I101">
        <v>80.677000000000007</v>
      </c>
      <c r="J101">
        <v>82.694000000000003</v>
      </c>
      <c r="K101">
        <v>2.016</v>
      </c>
      <c r="L101">
        <v>62</v>
      </c>
      <c r="M101">
        <v>16</v>
      </c>
      <c r="N101">
        <v>46</v>
      </c>
      <c r="O101">
        <v>83.063000000000002</v>
      </c>
      <c r="P101">
        <v>2.417303768</v>
      </c>
      <c r="Q101">
        <v>12.141999999999999</v>
      </c>
    </row>
    <row r="102" spans="1:17" s="30" customFormat="1" x14ac:dyDescent="0.2">
      <c r="A102" s="30" t="str">
        <f>IF(C102&amp;G102&amp;D102&lt;&gt;'Funnel setup'!$K$3&amp;'Funnel setup'!$K$4&amp;'Funnel setup'!$K$5,".",IF(A101=".",1,A101+1))</f>
        <v>.</v>
      </c>
      <c r="B102" s="431" t="str">
        <f t="shared" si="1"/>
        <v>Groin HerniaCCG of GP PracticeNHS LINCOLNSHIRE WEST CCG (04D)EQ VAS</v>
      </c>
      <c r="C102" t="s">
        <v>50</v>
      </c>
      <c r="D102" t="s">
        <v>87</v>
      </c>
      <c r="E102" t="s">
        <v>408</v>
      </c>
      <c r="F102" t="s">
        <v>409</v>
      </c>
      <c r="G102" t="s">
        <v>179</v>
      </c>
      <c r="H102">
        <v>56</v>
      </c>
      <c r="I102">
        <v>79.445999999999998</v>
      </c>
      <c r="J102">
        <v>77.804000000000002</v>
      </c>
      <c r="K102">
        <v>-1.643</v>
      </c>
      <c r="L102">
        <v>18</v>
      </c>
      <c r="M102">
        <v>12</v>
      </c>
      <c r="N102">
        <v>26</v>
      </c>
      <c r="O102">
        <v>79.278999999999996</v>
      </c>
      <c r="P102">
        <v>-1.3664090120000001</v>
      </c>
      <c r="Q102">
        <v>10.613</v>
      </c>
    </row>
    <row r="103" spans="1:17" s="30" customFormat="1" x14ac:dyDescent="0.2">
      <c r="A103" s="30" t="str">
        <f>IF(C103&amp;G103&amp;D103&lt;&gt;'Funnel setup'!$K$3&amp;'Funnel setup'!$K$4&amp;'Funnel setup'!$K$5,".",IF(A102=".",1,A102+1))</f>
        <v>.</v>
      </c>
      <c r="B103" s="431" t="str">
        <f t="shared" si="1"/>
        <v>Groin HerniaCCG of GP PracticeNHS LIVERPOOL CCG (99A)EQ VAS</v>
      </c>
      <c r="C103" t="s">
        <v>50</v>
      </c>
      <c r="D103" t="s">
        <v>87</v>
      </c>
      <c r="E103" t="s">
        <v>411</v>
      </c>
      <c r="F103" t="s">
        <v>412</v>
      </c>
      <c r="G103" t="s">
        <v>179</v>
      </c>
      <c r="H103">
        <v>106</v>
      </c>
      <c r="I103">
        <v>79.613</v>
      </c>
      <c r="J103">
        <v>78.406000000000006</v>
      </c>
      <c r="K103">
        <v>-1.208</v>
      </c>
      <c r="L103">
        <v>42</v>
      </c>
      <c r="M103">
        <v>16</v>
      </c>
      <c r="N103">
        <v>48</v>
      </c>
      <c r="O103">
        <v>80.876000000000005</v>
      </c>
      <c r="P103">
        <v>0.23056875199999999</v>
      </c>
      <c r="Q103">
        <v>12.180999999999999</v>
      </c>
    </row>
    <row r="104" spans="1:17" s="30" customFormat="1" x14ac:dyDescent="0.2">
      <c r="A104" s="30" t="str">
        <f>IF(C104&amp;G104&amp;D104&lt;&gt;'Funnel setup'!$K$3&amp;'Funnel setup'!$K$4&amp;'Funnel setup'!$K$5,".",IF(A103=".",1,A103+1))</f>
        <v>.</v>
      </c>
      <c r="B104" s="431" t="str">
        <f t="shared" si="1"/>
        <v>Groin HerniaCCG of GP PracticeNHS LUTON CCG (06P)EQ VAS</v>
      </c>
      <c r="C104" t="s">
        <v>50</v>
      </c>
      <c r="D104" t="s">
        <v>87</v>
      </c>
      <c r="E104" t="s">
        <v>414</v>
      </c>
      <c r="F104" t="s">
        <v>415</v>
      </c>
      <c r="G104" t="s">
        <v>179</v>
      </c>
      <c r="H104">
        <v>72</v>
      </c>
      <c r="I104">
        <v>75.444000000000003</v>
      </c>
      <c r="J104">
        <v>79.138999999999996</v>
      </c>
      <c r="K104">
        <v>3.694</v>
      </c>
      <c r="L104">
        <v>36</v>
      </c>
      <c r="M104">
        <v>12</v>
      </c>
      <c r="N104">
        <v>24</v>
      </c>
      <c r="O104">
        <v>82.634</v>
      </c>
      <c r="P104">
        <v>1.9888673670000001</v>
      </c>
      <c r="Q104">
        <v>12.451000000000001</v>
      </c>
    </row>
    <row r="105" spans="1:17" s="30" customFormat="1" x14ac:dyDescent="0.2">
      <c r="A105" s="30" t="str">
        <f>IF(C105&amp;G105&amp;D105&lt;&gt;'Funnel setup'!$K$3&amp;'Funnel setup'!$K$4&amp;'Funnel setup'!$K$5,".",IF(A104=".",1,A104+1))</f>
        <v>.</v>
      </c>
      <c r="B105" s="431" t="str">
        <f t="shared" si="1"/>
        <v>Groin HerniaCCG of GP PracticeNHS MANSFIELD AND ASHFIELD CCG (04E)EQ VAS</v>
      </c>
      <c r="C105" t="s">
        <v>50</v>
      </c>
      <c r="D105" t="s">
        <v>87</v>
      </c>
      <c r="E105" t="s">
        <v>417</v>
      </c>
      <c r="F105" t="s">
        <v>418</v>
      </c>
      <c r="G105" t="s">
        <v>179</v>
      </c>
      <c r="H105">
        <v>112</v>
      </c>
      <c r="I105">
        <v>79.018000000000001</v>
      </c>
      <c r="J105">
        <v>78.106999999999999</v>
      </c>
      <c r="K105">
        <v>-0.91100000000000003</v>
      </c>
      <c r="L105">
        <v>45</v>
      </c>
      <c r="M105">
        <v>25</v>
      </c>
      <c r="N105">
        <v>42</v>
      </c>
      <c r="O105">
        <v>80.191000000000003</v>
      </c>
      <c r="P105">
        <v>-0.45467765399999999</v>
      </c>
      <c r="Q105">
        <v>11.257999999999999</v>
      </c>
    </row>
    <row r="106" spans="1:17" s="30" customFormat="1" x14ac:dyDescent="0.2">
      <c r="A106" s="30" t="str">
        <f>IF(C106&amp;G106&amp;D106&lt;&gt;'Funnel setup'!$K$3&amp;'Funnel setup'!$K$4&amp;'Funnel setup'!$K$5,".",IF(A105=".",1,A105+1))</f>
        <v>.</v>
      </c>
      <c r="B106" s="431" t="str">
        <f t="shared" si="1"/>
        <v>Groin HerniaCCG of GP PracticeNHS MEDWAY CCG (09W)EQ VAS</v>
      </c>
      <c r="C106" t="s">
        <v>50</v>
      </c>
      <c r="D106" t="s">
        <v>87</v>
      </c>
      <c r="E106" t="s">
        <v>610</v>
      </c>
      <c r="F106" t="s">
        <v>611</v>
      </c>
      <c r="G106" t="s">
        <v>179</v>
      </c>
      <c r="H106">
        <v>84</v>
      </c>
      <c r="I106">
        <v>81.512</v>
      </c>
      <c r="J106">
        <v>81.036000000000001</v>
      </c>
      <c r="K106">
        <v>-0.47599999999999998</v>
      </c>
      <c r="L106">
        <v>34</v>
      </c>
      <c r="M106">
        <v>22</v>
      </c>
      <c r="N106">
        <v>28</v>
      </c>
      <c r="O106">
        <v>81.009</v>
      </c>
      <c r="P106">
        <v>0.36366873</v>
      </c>
      <c r="Q106">
        <v>11.476000000000001</v>
      </c>
    </row>
    <row r="107" spans="1:17" s="30" customFormat="1" x14ac:dyDescent="0.2">
      <c r="A107" s="30" t="str">
        <f>IF(C107&amp;G107&amp;D107&lt;&gt;'Funnel setup'!$K$3&amp;'Funnel setup'!$K$4&amp;'Funnel setup'!$K$5,".",IF(A106=".",1,A106+1))</f>
        <v>.</v>
      </c>
      <c r="B107" s="431" t="str">
        <f t="shared" si="1"/>
        <v>Groin HerniaCCG of GP PracticeNHS MERTON CCG (08R)EQ VAS</v>
      </c>
      <c r="C107" t="s">
        <v>50</v>
      </c>
      <c r="D107" t="s">
        <v>87</v>
      </c>
      <c r="E107" t="s">
        <v>613</v>
      </c>
      <c r="F107" t="s">
        <v>614</v>
      </c>
      <c r="G107" t="s">
        <v>179</v>
      </c>
      <c r="H107">
        <v>29</v>
      </c>
      <c r="I107">
        <v>82.620999999999995</v>
      </c>
      <c r="J107">
        <v>80.483000000000004</v>
      </c>
      <c r="K107">
        <v>-2.1379999999999999</v>
      </c>
      <c r="L107">
        <v>8</v>
      </c>
      <c r="M107">
        <v>6</v>
      </c>
      <c r="N107">
        <v>15</v>
      </c>
      <c r="O107" t="s">
        <v>53</v>
      </c>
      <c r="P107" t="s">
        <v>53</v>
      </c>
      <c r="Q107" t="s">
        <v>53</v>
      </c>
    </row>
    <row r="108" spans="1:17" s="30" customFormat="1" x14ac:dyDescent="0.2">
      <c r="A108" s="30" t="str">
        <f>IF(C108&amp;G108&amp;D108&lt;&gt;'Funnel setup'!$K$3&amp;'Funnel setup'!$K$4&amp;'Funnel setup'!$K$5,".",IF(A107=".",1,A107+1))</f>
        <v>.</v>
      </c>
      <c r="B108" s="431" t="str">
        <f t="shared" si="1"/>
        <v>Groin HerniaCCG of GP PracticeNHS MID ESSEX CCG (06Q)EQ VAS</v>
      </c>
      <c r="C108" t="s">
        <v>50</v>
      </c>
      <c r="D108" t="s">
        <v>87</v>
      </c>
      <c r="E108" t="s">
        <v>616</v>
      </c>
      <c r="F108" t="s">
        <v>617</v>
      </c>
      <c r="G108" t="s">
        <v>179</v>
      </c>
      <c r="H108">
        <v>154</v>
      </c>
      <c r="I108">
        <v>80.480999999999995</v>
      </c>
      <c r="J108">
        <v>80.649000000000001</v>
      </c>
      <c r="K108">
        <v>0.16900000000000001</v>
      </c>
      <c r="L108">
        <v>59</v>
      </c>
      <c r="M108">
        <v>37</v>
      </c>
      <c r="N108">
        <v>58</v>
      </c>
      <c r="O108">
        <v>80.656000000000006</v>
      </c>
      <c r="P108">
        <v>1.1024767E-2</v>
      </c>
      <c r="Q108">
        <v>10.779</v>
      </c>
    </row>
    <row r="109" spans="1:17" s="30" customFormat="1" x14ac:dyDescent="0.2">
      <c r="A109" s="30" t="str">
        <f>IF(C109&amp;G109&amp;D109&lt;&gt;'Funnel setup'!$K$3&amp;'Funnel setup'!$K$4&amp;'Funnel setup'!$K$5,".",IF(A108=".",1,A108+1))</f>
        <v>.</v>
      </c>
      <c r="B109" s="431" t="str">
        <f t="shared" si="1"/>
        <v>Groin HerniaCCG of GP PracticeNHS MILTON KEYNES CCG (04F)EQ VAS</v>
      </c>
      <c r="C109" t="s">
        <v>50</v>
      </c>
      <c r="D109" t="s">
        <v>87</v>
      </c>
      <c r="E109" t="s">
        <v>619</v>
      </c>
      <c r="F109" t="s">
        <v>338</v>
      </c>
      <c r="G109" t="s">
        <v>179</v>
      </c>
      <c r="H109">
        <v>93</v>
      </c>
      <c r="I109">
        <v>79.075000000000003</v>
      </c>
      <c r="J109">
        <v>78.257999999999996</v>
      </c>
      <c r="K109">
        <v>-0.81699999999999995</v>
      </c>
      <c r="L109">
        <v>38</v>
      </c>
      <c r="M109">
        <v>16</v>
      </c>
      <c r="N109">
        <v>39</v>
      </c>
      <c r="O109">
        <v>78.718999999999994</v>
      </c>
      <c r="P109">
        <v>-1.9260127810000001</v>
      </c>
      <c r="Q109">
        <v>11.616</v>
      </c>
    </row>
    <row r="110" spans="1:17" s="30" customFormat="1" x14ac:dyDescent="0.2">
      <c r="A110" s="30" t="str">
        <f>IF(C110&amp;G110&amp;D110&lt;&gt;'Funnel setup'!$K$3&amp;'Funnel setup'!$K$4&amp;'Funnel setup'!$K$5,".",IF(A109=".",1,A109+1))</f>
        <v>.</v>
      </c>
      <c r="B110" s="431" t="str">
        <f t="shared" si="1"/>
        <v>Groin HerniaCCG of GP PracticeNHS NENE CCG (04G)EQ VAS</v>
      </c>
      <c r="C110" t="s">
        <v>50</v>
      </c>
      <c r="D110" t="s">
        <v>87</v>
      </c>
      <c r="E110" t="s">
        <v>621</v>
      </c>
      <c r="F110" t="s">
        <v>622</v>
      </c>
      <c r="G110" t="s">
        <v>179</v>
      </c>
      <c r="H110">
        <v>210</v>
      </c>
      <c r="I110">
        <v>77.513999999999996</v>
      </c>
      <c r="J110">
        <v>81.566999999999993</v>
      </c>
      <c r="K110">
        <v>4.0519999999999996</v>
      </c>
      <c r="L110">
        <v>94</v>
      </c>
      <c r="M110">
        <v>39</v>
      </c>
      <c r="N110">
        <v>77</v>
      </c>
      <c r="O110">
        <v>82.472999999999999</v>
      </c>
      <c r="P110">
        <v>1.827679925</v>
      </c>
      <c r="Q110">
        <v>13.166</v>
      </c>
    </row>
    <row r="111" spans="1:17" s="30" customFormat="1" x14ac:dyDescent="0.2">
      <c r="A111" s="30" t="str">
        <f>IF(C111&amp;G111&amp;D111&lt;&gt;'Funnel setup'!$K$3&amp;'Funnel setup'!$K$4&amp;'Funnel setup'!$K$5,".",IF(A110=".",1,A110+1))</f>
        <v>.</v>
      </c>
      <c r="B111" s="431" t="str">
        <f t="shared" si="1"/>
        <v>Groin HerniaCCG of GP PracticeNHS NEWARK &amp; SHERWOOD CCG (04H)EQ VAS</v>
      </c>
      <c r="C111" t="s">
        <v>50</v>
      </c>
      <c r="D111" t="s">
        <v>87</v>
      </c>
      <c r="E111" t="s">
        <v>624</v>
      </c>
      <c r="F111" t="s">
        <v>625</v>
      </c>
      <c r="G111" t="s">
        <v>179</v>
      </c>
      <c r="H111">
        <v>93</v>
      </c>
      <c r="I111">
        <v>77.730999999999995</v>
      </c>
      <c r="J111">
        <v>79.796000000000006</v>
      </c>
      <c r="K111">
        <v>2.0649999999999999</v>
      </c>
      <c r="L111">
        <v>42</v>
      </c>
      <c r="M111">
        <v>18</v>
      </c>
      <c r="N111">
        <v>33</v>
      </c>
      <c r="O111">
        <v>81.564999999999998</v>
      </c>
      <c r="P111">
        <v>0.91975530400000005</v>
      </c>
      <c r="Q111">
        <v>13.119</v>
      </c>
    </row>
    <row r="112" spans="1:17" s="30" customFormat="1" x14ac:dyDescent="0.2">
      <c r="A112" s="30" t="str">
        <f>IF(C112&amp;G112&amp;D112&lt;&gt;'Funnel setup'!$K$3&amp;'Funnel setup'!$K$4&amp;'Funnel setup'!$K$5,".",IF(A111=".",1,A111+1))</f>
        <v>.</v>
      </c>
      <c r="B112" s="431" t="str">
        <f t="shared" si="1"/>
        <v>Groin HerniaCCG of GP PracticeNHS NEWBURY AND DISTRICT CCG (10M)EQ VAS</v>
      </c>
      <c r="C112" t="s">
        <v>50</v>
      </c>
      <c r="D112" t="s">
        <v>87</v>
      </c>
      <c r="E112" t="s">
        <v>627</v>
      </c>
      <c r="F112" t="s">
        <v>628</v>
      </c>
      <c r="G112" t="s">
        <v>179</v>
      </c>
      <c r="H112">
        <v>23</v>
      </c>
      <c r="I112">
        <v>85.522000000000006</v>
      </c>
      <c r="J112">
        <v>84.391000000000005</v>
      </c>
      <c r="K112">
        <v>-1.1299999999999999</v>
      </c>
      <c r="L112">
        <v>9</v>
      </c>
      <c r="M112">
        <v>6</v>
      </c>
      <c r="N112">
        <v>8</v>
      </c>
      <c r="O112" t="s">
        <v>53</v>
      </c>
      <c r="P112" t="s">
        <v>53</v>
      </c>
      <c r="Q112" t="s">
        <v>53</v>
      </c>
    </row>
    <row r="113" spans="1:17" s="30" customFormat="1" x14ac:dyDescent="0.2">
      <c r="A113" s="30" t="str">
        <f>IF(C113&amp;G113&amp;D113&lt;&gt;'Funnel setup'!$K$3&amp;'Funnel setup'!$K$4&amp;'Funnel setup'!$K$5,".",IF(A112=".",1,A112+1))</f>
        <v>.</v>
      </c>
      <c r="B113" s="431" t="str">
        <f t="shared" si="1"/>
        <v>Groin HerniaCCG of GP PracticeNHS NEWCASTLE GATESHEAD CCG (13T)EQ VAS</v>
      </c>
      <c r="C113" t="s">
        <v>50</v>
      </c>
      <c r="D113" t="s">
        <v>87</v>
      </c>
      <c r="E113" t="s">
        <v>6553</v>
      </c>
      <c r="F113" t="s">
        <v>6543</v>
      </c>
      <c r="G113" t="s">
        <v>179</v>
      </c>
      <c r="H113">
        <v>178</v>
      </c>
      <c r="I113">
        <v>81.960999999999999</v>
      </c>
      <c r="J113">
        <v>79.551000000000002</v>
      </c>
      <c r="K113">
        <v>-2.41</v>
      </c>
      <c r="L113">
        <v>56</v>
      </c>
      <c r="M113">
        <v>38</v>
      </c>
      <c r="N113">
        <v>84</v>
      </c>
      <c r="O113">
        <v>78.927999999999997</v>
      </c>
      <c r="P113">
        <v>-1.717823514</v>
      </c>
      <c r="Q113">
        <v>12.8</v>
      </c>
    </row>
    <row r="114" spans="1:17" s="30" customFormat="1" x14ac:dyDescent="0.2">
      <c r="A114" s="30" t="str">
        <f>IF(C114&amp;G114&amp;D114&lt;&gt;'Funnel setup'!$K$3&amp;'Funnel setup'!$K$4&amp;'Funnel setup'!$K$5,".",IF(A113=".",1,A113+1))</f>
        <v>.</v>
      </c>
      <c r="B114" s="431" t="str">
        <f t="shared" si="1"/>
        <v>Groin HerniaCCG of GP PracticeNHS NEWHAM CCG (08M)EQ VAS</v>
      </c>
      <c r="C114" t="s">
        <v>50</v>
      </c>
      <c r="D114" t="s">
        <v>87</v>
      </c>
      <c r="E114" t="s">
        <v>630</v>
      </c>
      <c r="F114" t="s">
        <v>631</v>
      </c>
      <c r="G114" t="s">
        <v>179</v>
      </c>
      <c r="H114">
        <v>49</v>
      </c>
      <c r="I114">
        <v>80.183999999999997</v>
      </c>
      <c r="J114">
        <v>73.408000000000001</v>
      </c>
      <c r="K114">
        <v>-6.7759999999999998</v>
      </c>
      <c r="L114">
        <v>13</v>
      </c>
      <c r="M114">
        <v>8</v>
      </c>
      <c r="N114">
        <v>28</v>
      </c>
      <c r="O114">
        <v>75.926000000000002</v>
      </c>
      <c r="P114">
        <v>-4.7189693869999996</v>
      </c>
      <c r="Q114">
        <v>18.032</v>
      </c>
    </row>
    <row r="115" spans="1:17" s="30" customFormat="1" x14ac:dyDescent="0.2">
      <c r="A115" s="30" t="str">
        <f>IF(C115&amp;G115&amp;D115&lt;&gt;'Funnel setup'!$K$3&amp;'Funnel setup'!$K$4&amp;'Funnel setup'!$K$5,".",IF(A114=".",1,A114+1))</f>
        <v>.</v>
      </c>
      <c r="B115" s="431" t="str">
        <f t="shared" si="1"/>
        <v>Groin HerniaCCG of GP PracticeNHS NORTH &amp; WEST READING CCG (10N)EQ VAS</v>
      </c>
      <c r="C115" t="s">
        <v>50</v>
      </c>
      <c r="D115" t="s">
        <v>87</v>
      </c>
      <c r="E115" t="s">
        <v>633</v>
      </c>
      <c r="F115" t="s">
        <v>634</v>
      </c>
      <c r="G115" t="s">
        <v>179</v>
      </c>
      <c r="H115">
        <v>33</v>
      </c>
      <c r="I115">
        <v>82.727000000000004</v>
      </c>
      <c r="J115">
        <v>82.635999999999996</v>
      </c>
      <c r="K115">
        <v>-9.0999999999999998E-2</v>
      </c>
      <c r="L115">
        <v>12</v>
      </c>
      <c r="M115">
        <v>7</v>
      </c>
      <c r="N115">
        <v>14</v>
      </c>
      <c r="O115">
        <v>81.266999999999996</v>
      </c>
      <c r="P115">
        <v>0.62128750099999996</v>
      </c>
      <c r="Q115">
        <v>9.234</v>
      </c>
    </row>
    <row r="116" spans="1:17" s="30" customFormat="1" x14ac:dyDescent="0.2">
      <c r="A116" s="30" t="str">
        <f>IF(C116&amp;G116&amp;D116&lt;&gt;'Funnel setup'!$K$3&amp;'Funnel setup'!$K$4&amp;'Funnel setup'!$K$5,".",IF(A115=".",1,A115+1))</f>
        <v>.</v>
      </c>
      <c r="B116" s="431" t="str">
        <f t="shared" si="1"/>
        <v>Groin HerniaCCG of GP PracticeNHS NORTH DERBYSHIRE CCG (04J)EQ VAS</v>
      </c>
      <c r="C116" t="s">
        <v>50</v>
      </c>
      <c r="D116" t="s">
        <v>87</v>
      </c>
      <c r="E116" t="s">
        <v>636</v>
      </c>
      <c r="F116" t="s">
        <v>637</v>
      </c>
      <c r="G116" t="s">
        <v>179</v>
      </c>
      <c r="H116">
        <v>148</v>
      </c>
      <c r="I116">
        <v>82.290999999999997</v>
      </c>
      <c r="J116">
        <v>80.77</v>
      </c>
      <c r="K116">
        <v>-1.52</v>
      </c>
      <c r="L116">
        <v>53</v>
      </c>
      <c r="M116">
        <v>28</v>
      </c>
      <c r="N116">
        <v>67</v>
      </c>
      <c r="O116">
        <v>80.254999999999995</v>
      </c>
      <c r="P116">
        <v>-0.389948868</v>
      </c>
      <c r="Q116">
        <v>9.8780000000000001</v>
      </c>
    </row>
    <row r="117" spans="1:17" s="30" customFormat="1" x14ac:dyDescent="0.2">
      <c r="A117" s="30" t="str">
        <f>IF(C117&amp;G117&amp;D117&lt;&gt;'Funnel setup'!$K$3&amp;'Funnel setup'!$K$4&amp;'Funnel setup'!$K$5,".",IF(A116=".",1,A116+1))</f>
        <v>.</v>
      </c>
      <c r="B117" s="431" t="str">
        <f t="shared" si="1"/>
        <v>Groin HerniaCCG of GP PracticeNHS NORTH DURHAM CCG (00J)EQ VAS</v>
      </c>
      <c r="C117" t="s">
        <v>50</v>
      </c>
      <c r="D117" t="s">
        <v>87</v>
      </c>
      <c r="E117" t="s">
        <v>639</v>
      </c>
      <c r="F117" t="s">
        <v>640</v>
      </c>
      <c r="G117" t="s">
        <v>179</v>
      </c>
      <c r="H117">
        <v>137</v>
      </c>
      <c r="I117">
        <v>80.307000000000002</v>
      </c>
      <c r="J117">
        <v>77.584000000000003</v>
      </c>
      <c r="K117">
        <v>-2.7229999999999999</v>
      </c>
      <c r="L117">
        <v>42</v>
      </c>
      <c r="M117">
        <v>28</v>
      </c>
      <c r="N117">
        <v>67</v>
      </c>
      <c r="O117">
        <v>77.867000000000004</v>
      </c>
      <c r="P117">
        <v>-2.778040861</v>
      </c>
      <c r="Q117">
        <v>12.298</v>
      </c>
    </row>
    <row r="118" spans="1:17" s="30" customFormat="1" x14ac:dyDescent="0.2">
      <c r="A118" s="30" t="str">
        <f>IF(C118&amp;G118&amp;D118&lt;&gt;'Funnel setup'!$K$3&amp;'Funnel setup'!$K$4&amp;'Funnel setup'!$K$5,".",IF(A117=".",1,A117+1))</f>
        <v>.</v>
      </c>
      <c r="B118" s="431" t="str">
        <f t="shared" si="1"/>
        <v>Groin HerniaCCG of GP PracticeNHS NORTH EAST ESSEX CCG (06T)EQ VAS</v>
      </c>
      <c r="C118" t="s">
        <v>50</v>
      </c>
      <c r="D118" t="s">
        <v>87</v>
      </c>
      <c r="E118" t="s">
        <v>642</v>
      </c>
      <c r="F118" t="s">
        <v>643</v>
      </c>
      <c r="G118" t="s">
        <v>179</v>
      </c>
      <c r="H118">
        <v>204</v>
      </c>
      <c r="I118">
        <v>77.77</v>
      </c>
      <c r="J118">
        <v>77.789000000000001</v>
      </c>
      <c r="K118">
        <v>0.02</v>
      </c>
      <c r="L118">
        <v>75</v>
      </c>
      <c r="M118">
        <v>44</v>
      </c>
      <c r="N118">
        <v>85</v>
      </c>
      <c r="O118">
        <v>79.938000000000002</v>
      </c>
      <c r="P118">
        <v>-0.70712476000000002</v>
      </c>
      <c r="Q118">
        <v>12.183999999999999</v>
      </c>
    </row>
    <row r="119" spans="1:17" s="30" customFormat="1" x14ac:dyDescent="0.2">
      <c r="A119" s="30" t="str">
        <f>IF(C119&amp;G119&amp;D119&lt;&gt;'Funnel setup'!$K$3&amp;'Funnel setup'!$K$4&amp;'Funnel setup'!$K$5,".",IF(A118=".",1,A118+1))</f>
        <v>.</v>
      </c>
      <c r="B119" s="431" t="str">
        <f t="shared" si="1"/>
        <v>Groin HerniaCCG of GP PracticeNHS NORTH EAST HAMPSHIRE AND FARNHAM CCG (99M)EQ VAS</v>
      </c>
      <c r="C119" t="s">
        <v>50</v>
      </c>
      <c r="D119" t="s">
        <v>87</v>
      </c>
      <c r="E119" t="s">
        <v>645</v>
      </c>
      <c r="F119" t="s">
        <v>646</v>
      </c>
      <c r="G119" t="s">
        <v>179</v>
      </c>
      <c r="H119">
        <v>118</v>
      </c>
      <c r="I119">
        <v>80.016999999999996</v>
      </c>
      <c r="J119">
        <v>78.974999999999994</v>
      </c>
      <c r="K119">
        <v>-1.042</v>
      </c>
      <c r="L119">
        <v>40</v>
      </c>
      <c r="M119">
        <v>28</v>
      </c>
      <c r="N119">
        <v>50</v>
      </c>
      <c r="O119">
        <v>78.36</v>
      </c>
      <c r="P119">
        <v>-2.2850924969999999</v>
      </c>
      <c r="Q119">
        <v>13.355</v>
      </c>
    </row>
    <row r="120" spans="1:17" s="30" customFormat="1" x14ac:dyDescent="0.2">
      <c r="A120" s="30" t="str">
        <f>IF(C120&amp;G120&amp;D120&lt;&gt;'Funnel setup'!$K$3&amp;'Funnel setup'!$K$4&amp;'Funnel setup'!$K$5,".",IF(A119=".",1,A119+1))</f>
        <v>.</v>
      </c>
      <c r="B120" s="431" t="str">
        <f t="shared" si="1"/>
        <v>Groin HerniaCCG of GP PracticeNHS NORTH EAST LINCOLNSHIRE CCG (03H)EQ VAS</v>
      </c>
      <c r="C120" t="s">
        <v>50</v>
      </c>
      <c r="D120" t="s">
        <v>87</v>
      </c>
      <c r="E120" t="s">
        <v>648</v>
      </c>
      <c r="F120" t="s">
        <v>649</v>
      </c>
      <c r="G120" t="s">
        <v>179</v>
      </c>
      <c r="H120">
        <v>63</v>
      </c>
      <c r="I120">
        <v>77.683000000000007</v>
      </c>
      <c r="J120">
        <v>77.016000000000005</v>
      </c>
      <c r="K120">
        <v>-0.66700000000000004</v>
      </c>
      <c r="L120">
        <v>24</v>
      </c>
      <c r="M120">
        <v>10</v>
      </c>
      <c r="N120">
        <v>29</v>
      </c>
      <c r="O120">
        <v>79.302000000000007</v>
      </c>
      <c r="P120">
        <v>-1.343150056</v>
      </c>
      <c r="Q120">
        <v>13.266</v>
      </c>
    </row>
    <row r="121" spans="1:17" s="30" customFormat="1" x14ac:dyDescent="0.2">
      <c r="A121" s="30" t="str">
        <f>IF(C121&amp;G121&amp;D121&lt;&gt;'Funnel setup'!$K$3&amp;'Funnel setup'!$K$4&amp;'Funnel setup'!$K$5,".",IF(A120=".",1,A120+1))</f>
        <v>.</v>
      </c>
      <c r="B121" s="431" t="str">
        <f t="shared" si="1"/>
        <v>Groin HerniaCCG of GP PracticeNHS NORTH HAMPSHIRE CCG (10J)EQ VAS</v>
      </c>
      <c r="C121" t="s">
        <v>50</v>
      </c>
      <c r="D121" t="s">
        <v>87</v>
      </c>
      <c r="E121" t="s">
        <v>651</v>
      </c>
      <c r="F121" t="s">
        <v>652</v>
      </c>
      <c r="G121" t="s">
        <v>179</v>
      </c>
      <c r="H121">
        <v>47</v>
      </c>
      <c r="I121">
        <v>85.489000000000004</v>
      </c>
      <c r="J121">
        <v>80.34</v>
      </c>
      <c r="K121">
        <v>-5.149</v>
      </c>
      <c r="L121">
        <v>14</v>
      </c>
      <c r="M121">
        <v>11</v>
      </c>
      <c r="N121">
        <v>22</v>
      </c>
      <c r="O121">
        <v>77.084000000000003</v>
      </c>
      <c r="P121">
        <v>-3.5613105389999999</v>
      </c>
      <c r="Q121">
        <v>14.647</v>
      </c>
    </row>
    <row r="122" spans="1:17" s="30" customFormat="1" x14ac:dyDescent="0.2">
      <c r="A122" s="30" t="str">
        <f>IF(C122&amp;G122&amp;D122&lt;&gt;'Funnel setup'!$K$3&amp;'Funnel setup'!$K$4&amp;'Funnel setup'!$K$5,".",IF(A121=".",1,A121+1))</f>
        <v>.</v>
      </c>
      <c r="B122" s="431" t="str">
        <f t="shared" si="1"/>
        <v>Groin HerniaCCG of GP PracticeNHS NORTH KIRKLEES CCG (03J)EQ VAS</v>
      </c>
      <c r="C122" t="s">
        <v>50</v>
      </c>
      <c r="D122" t="s">
        <v>87</v>
      </c>
      <c r="E122" t="s">
        <v>654</v>
      </c>
      <c r="F122" t="s">
        <v>655</v>
      </c>
      <c r="G122" t="s">
        <v>179</v>
      </c>
      <c r="H122">
        <v>47</v>
      </c>
      <c r="I122">
        <v>83.212999999999994</v>
      </c>
      <c r="J122">
        <v>81.850999999999999</v>
      </c>
      <c r="K122">
        <v>-1.3620000000000001</v>
      </c>
      <c r="L122">
        <v>18</v>
      </c>
      <c r="M122">
        <v>5</v>
      </c>
      <c r="N122">
        <v>24</v>
      </c>
      <c r="O122">
        <v>80.647000000000006</v>
      </c>
      <c r="P122">
        <v>1.3959090000000001E-3</v>
      </c>
      <c r="Q122">
        <v>10.866</v>
      </c>
    </row>
    <row r="123" spans="1:17" s="30" customFormat="1" x14ac:dyDescent="0.2">
      <c r="A123" s="30" t="str">
        <f>IF(C123&amp;G123&amp;D123&lt;&gt;'Funnel setup'!$K$3&amp;'Funnel setup'!$K$4&amp;'Funnel setup'!$K$5,".",IF(A122=".",1,A122+1))</f>
        <v>.</v>
      </c>
      <c r="B123" s="431" t="str">
        <f t="shared" si="1"/>
        <v>Groin HerniaCCG of GP PracticeNHS NORTH LINCOLNSHIRE CCG (03K)EQ VAS</v>
      </c>
      <c r="C123" t="s">
        <v>50</v>
      </c>
      <c r="D123" t="s">
        <v>87</v>
      </c>
      <c r="E123" t="s">
        <v>657</v>
      </c>
      <c r="F123" t="s">
        <v>658</v>
      </c>
      <c r="G123" t="s">
        <v>179</v>
      </c>
      <c r="H123">
        <v>49</v>
      </c>
      <c r="I123">
        <v>74.98</v>
      </c>
      <c r="J123">
        <v>76.061000000000007</v>
      </c>
      <c r="K123">
        <v>1.0820000000000001</v>
      </c>
      <c r="L123">
        <v>19</v>
      </c>
      <c r="M123">
        <v>13</v>
      </c>
      <c r="N123">
        <v>17</v>
      </c>
      <c r="O123">
        <v>78.852000000000004</v>
      </c>
      <c r="P123">
        <v>-1.7935779329999999</v>
      </c>
      <c r="Q123">
        <v>13.909000000000001</v>
      </c>
    </row>
    <row r="124" spans="1:17" s="30" customFormat="1" x14ac:dyDescent="0.2">
      <c r="A124" s="30" t="str">
        <f>IF(C124&amp;G124&amp;D124&lt;&gt;'Funnel setup'!$K$3&amp;'Funnel setup'!$K$4&amp;'Funnel setup'!$K$5,".",IF(A123=".",1,A123+1))</f>
        <v>.</v>
      </c>
      <c r="B124" s="431" t="str">
        <f t="shared" si="1"/>
        <v>Groin HerniaCCG of GP PracticeNHS NORTH MANCHESTER CCG (01M)EQ VAS</v>
      </c>
      <c r="C124" t="s">
        <v>50</v>
      </c>
      <c r="D124" t="s">
        <v>87</v>
      </c>
      <c r="E124" t="s">
        <v>660</v>
      </c>
      <c r="F124" t="s">
        <v>661</v>
      </c>
      <c r="G124" t="s">
        <v>179</v>
      </c>
      <c r="H124">
        <v>18</v>
      </c>
      <c r="I124">
        <v>74.667000000000002</v>
      </c>
      <c r="J124">
        <v>75.667000000000002</v>
      </c>
      <c r="K124">
        <v>1</v>
      </c>
      <c r="L124">
        <v>6</v>
      </c>
      <c r="M124">
        <v>2</v>
      </c>
      <c r="N124">
        <v>10</v>
      </c>
      <c r="O124" t="s">
        <v>53</v>
      </c>
      <c r="P124" t="s">
        <v>53</v>
      </c>
      <c r="Q124" t="s">
        <v>53</v>
      </c>
    </row>
    <row r="125" spans="1:17" s="30" customFormat="1" x14ac:dyDescent="0.2">
      <c r="A125" s="30" t="str">
        <f>IF(C125&amp;G125&amp;D125&lt;&gt;'Funnel setup'!$K$3&amp;'Funnel setup'!$K$4&amp;'Funnel setup'!$K$5,".",IF(A124=".",1,A124+1))</f>
        <v>.</v>
      </c>
      <c r="B125" s="431" t="str">
        <f t="shared" si="1"/>
        <v>Groin HerniaCCG of GP PracticeNHS NORTH NORFOLK CCG (06V)EQ VAS</v>
      </c>
      <c r="C125" t="s">
        <v>50</v>
      </c>
      <c r="D125" t="s">
        <v>87</v>
      </c>
      <c r="E125" t="s">
        <v>663</v>
      </c>
      <c r="F125" t="s">
        <v>664</v>
      </c>
      <c r="G125" t="s">
        <v>179</v>
      </c>
      <c r="H125">
        <v>114</v>
      </c>
      <c r="I125">
        <v>80.561000000000007</v>
      </c>
      <c r="J125">
        <v>83.93</v>
      </c>
      <c r="K125">
        <v>3.3679999999999999</v>
      </c>
      <c r="L125">
        <v>53</v>
      </c>
      <c r="M125">
        <v>22</v>
      </c>
      <c r="N125">
        <v>39</v>
      </c>
      <c r="O125">
        <v>82.948999999999998</v>
      </c>
      <c r="P125">
        <v>2.303533684</v>
      </c>
      <c r="Q125">
        <v>10.459</v>
      </c>
    </row>
    <row r="126" spans="1:17" s="30" customFormat="1" x14ac:dyDescent="0.2">
      <c r="A126" s="30" t="str">
        <f>IF(C126&amp;G126&amp;D126&lt;&gt;'Funnel setup'!$K$3&amp;'Funnel setup'!$K$4&amp;'Funnel setup'!$K$5,".",IF(A125=".",1,A125+1))</f>
        <v>.</v>
      </c>
      <c r="B126" s="431" t="str">
        <f t="shared" si="1"/>
        <v>Groin HerniaCCG of GP PracticeNHS NORTH SOMERSET CCG (11T)EQ VAS</v>
      </c>
      <c r="C126" t="s">
        <v>50</v>
      </c>
      <c r="D126" t="s">
        <v>87</v>
      </c>
      <c r="E126" t="s">
        <v>666</v>
      </c>
      <c r="F126" t="s">
        <v>667</v>
      </c>
      <c r="G126" t="s">
        <v>179</v>
      </c>
      <c r="H126">
        <v>77</v>
      </c>
      <c r="I126">
        <v>81.272999999999996</v>
      </c>
      <c r="J126">
        <v>79.700999999999993</v>
      </c>
      <c r="K126">
        <v>-1.571</v>
      </c>
      <c r="L126">
        <v>35</v>
      </c>
      <c r="M126">
        <v>12</v>
      </c>
      <c r="N126">
        <v>30</v>
      </c>
      <c r="O126">
        <v>79.093999999999994</v>
      </c>
      <c r="P126">
        <v>-1.5509858729999999</v>
      </c>
      <c r="Q126">
        <v>17.608000000000001</v>
      </c>
    </row>
    <row r="127" spans="1:17" s="30" customFormat="1" x14ac:dyDescent="0.2">
      <c r="A127" s="30" t="str">
        <f>IF(C127&amp;G127&amp;D127&lt;&gt;'Funnel setup'!$K$3&amp;'Funnel setup'!$K$4&amp;'Funnel setup'!$K$5,".",IF(A126=".",1,A126+1))</f>
        <v>.</v>
      </c>
      <c r="B127" s="431" t="str">
        <f t="shared" si="1"/>
        <v>Groin HerniaCCG of GP PracticeNHS NORTH STAFFORDSHIRE CCG (05G)EQ VAS</v>
      </c>
      <c r="C127" t="s">
        <v>50</v>
      </c>
      <c r="D127" t="s">
        <v>87</v>
      </c>
      <c r="E127" t="s">
        <v>669</v>
      </c>
      <c r="F127" t="s">
        <v>670</v>
      </c>
      <c r="G127" t="s">
        <v>179</v>
      </c>
      <c r="H127">
        <v>70</v>
      </c>
      <c r="I127">
        <v>82.914000000000001</v>
      </c>
      <c r="J127">
        <v>84.585999999999999</v>
      </c>
      <c r="K127">
        <v>1.671</v>
      </c>
      <c r="L127">
        <v>29</v>
      </c>
      <c r="M127">
        <v>17</v>
      </c>
      <c r="N127">
        <v>24</v>
      </c>
      <c r="O127">
        <v>83.299000000000007</v>
      </c>
      <c r="P127">
        <v>2.6533266270000002</v>
      </c>
      <c r="Q127">
        <v>8.2279999999999998</v>
      </c>
    </row>
    <row r="128" spans="1:17" s="30" customFormat="1" x14ac:dyDescent="0.2">
      <c r="A128" s="30" t="str">
        <f>IF(C128&amp;G128&amp;D128&lt;&gt;'Funnel setup'!$K$3&amp;'Funnel setup'!$K$4&amp;'Funnel setup'!$K$5,".",IF(A127=".",1,A127+1))</f>
        <v>.</v>
      </c>
      <c r="B128" s="431" t="str">
        <f t="shared" si="1"/>
        <v>Groin HerniaCCG of GP PracticeNHS NORTH TYNESIDE CCG (99C)EQ VAS</v>
      </c>
      <c r="C128" t="s">
        <v>50</v>
      </c>
      <c r="D128" t="s">
        <v>87</v>
      </c>
      <c r="E128" t="s">
        <v>672</v>
      </c>
      <c r="F128" t="s">
        <v>673</v>
      </c>
      <c r="G128" t="s">
        <v>179</v>
      </c>
      <c r="H128">
        <v>147</v>
      </c>
      <c r="I128">
        <v>80.265000000000001</v>
      </c>
      <c r="J128">
        <v>79.162999999999997</v>
      </c>
      <c r="K128">
        <v>-1.1020000000000001</v>
      </c>
      <c r="L128">
        <v>53</v>
      </c>
      <c r="M128">
        <v>33</v>
      </c>
      <c r="N128">
        <v>61</v>
      </c>
      <c r="O128">
        <v>79.474999999999994</v>
      </c>
      <c r="P128">
        <v>-1.1702586349999999</v>
      </c>
      <c r="Q128">
        <v>12.726000000000001</v>
      </c>
    </row>
    <row r="129" spans="1:17" s="30" customFormat="1" x14ac:dyDescent="0.2">
      <c r="A129" s="30" t="str">
        <f>IF(C129&amp;G129&amp;D129&lt;&gt;'Funnel setup'!$K$3&amp;'Funnel setup'!$K$4&amp;'Funnel setup'!$K$5,".",IF(A128=".",1,A128+1))</f>
        <v>.</v>
      </c>
      <c r="B129" s="431" t="str">
        <f t="shared" si="1"/>
        <v>Groin HerniaCCG of GP PracticeNHS NORTH WEST SURREY CCG (09Y)EQ VAS</v>
      </c>
      <c r="C129" t="s">
        <v>50</v>
      </c>
      <c r="D129" t="s">
        <v>87</v>
      </c>
      <c r="E129" t="s">
        <v>675</v>
      </c>
      <c r="F129" t="s">
        <v>676</v>
      </c>
      <c r="G129" t="s">
        <v>179</v>
      </c>
      <c r="H129">
        <v>84</v>
      </c>
      <c r="I129">
        <v>81.774000000000001</v>
      </c>
      <c r="J129">
        <v>81.344999999999999</v>
      </c>
      <c r="K129">
        <v>-0.42899999999999999</v>
      </c>
      <c r="L129">
        <v>31</v>
      </c>
      <c r="M129">
        <v>20</v>
      </c>
      <c r="N129">
        <v>33</v>
      </c>
      <c r="O129">
        <v>79.694000000000003</v>
      </c>
      <c r="P129">
        <v>-0.95176478499999995</v>
      </c>
      <c r="Q129">
        <v>12.756</v>
      </c>
    </row>
    <row r="130" spans="1:17" s="30" customFormat="1" x14ac:dyDescent="0.2">
      <c r="A130" s="30" t="str">
        <f>IF(C130&amp;G130&amp;D130&lt;&gt;'Funnel setup'!$K$3&amp;'Funnel setup'!$K$4&amp;'Funnel setup'!$K$5,".",IF(A129=".",1,A129+1))</f>
        <v>.</v>
      </c>
      <c r="B130" s="431" t="str">
        <f t="shared" si="1"/>
        <v>Groin HerniaCCG of GP PracticeNHS NORTHERN, EASTERN AND WESTERN DEVON CCG (99P)EQ VAS</v>
      </c>
      <c r="C130" t="s">
        <v>50</v>
      </c>
      <c r="D130" t="s">
        <v>87</v>
      </c>
      <c r="E130" t="s">
        <v>678</v>
      </c>
      <c r="F130" t="s">
        <v>679</v>
      </c>
      <c r="G130" t="s">
        <v>179</v>
      </c>
      <c r="H130">
        <v>599</v>
      </c>
      <c r="I130">
        <v>80.695999999999998</v>
      </c>
      <c r="J130">
        <v>81.123999999999995</v>
      </c>
      <c r="K130">
        <v>0.42699999999999999</v>
      </c>
      <c r="L130">
        <v>242</v>
      </c>
      <c r="M130">
        <v>125</v>
      </c>
      <c r="N130">
        <v>232</v>
      </c>
      <c r="O130">
        <v>80.724999999999994</v>
      </c>
      <c r="P130">
        <v>7.9100634000000003E-2</v>
      </c>
      <c r="Q130">
        <v>11.407999999999999</v>
      </c>
    </row>
    <row r="131" spans="1:17" s="30" customFormat="1" x14ac:dyDescent="0.2">
      <c r="A131" s="30" t="str">
        <f>IF(C131&amp;G131&amp;D131&lt;&gt;'Funnel setup'!$K$3&amp;'Funnel setup'!$K$4&amp;'Funnel setup'!$K$5,".",IF(A130=".",1,A130+1))</f>
        <v>.</v>
      </c>
      <c r="B131" s="431" t="str">
        <f t="shared" ref="B131:B194" si="2">C131&amp;D131&amp;F131&amp;G131</f>
        <v>Groin HerniaCCG of GP PracticeNHS NORTHUMBERLAND CCG (00L)EQ VAS</v>
      </c>
      <c r="C131" t="s">
        <v>50</v>
      </c>
      <c r="D131" t="s">
        <v>87</v>
      </c>
      <c r="E131" t="s">
        <v>681</v>
      </c>
      <c r="F131" t="s">
        <v>336</v>
      </c>
      <c r="G131" t="s">
        <v>179</v>
      </c>
      <c r="H131">
        <v>203</v>
      </c>
      <c r="I131">
        <v>78.822999999999993</v>
      </c>
      <c r="J131">
        <v>78.828000000000003</v>
      </c>
      <c r="K131">
        <v>5.0000000000000001E-3</v>
      </c>
      <c r="L131">
        <v>77</v>
      </c>
      <c r="M131">
        <v>43</v>
      </c>
      <c r="N131">
        <v>83</v>
      </c>
      <c r="O131">
        <v>80.418999999999997</v>
      </c>
      <c r="P131">
        <v>-0.226095143</v>
      </c>
      <c r="Q131">
        <v>12.875999999999999</v>
      </c>
    </row>
    <row r="132" spans="1:17" s="30" customFormat="1" x14ac:dyDescent="0.2">
      <c r="A132" s="30" t="str">
        <f>IF(C132&amp;G132&amp;D132&lt;&gt;'Funnel setup'!$K$3&amp;'Funnel setup'!$K$4&amp;'Funnel setup'!$K$5,".",IF(A131=".",1,A131+1))</f>
        <v>.</v>
      </c>
      <c r="B132" s="431" t="str">
        <f t="shared" si="2"/>
        <v>Groin HerniaCCG of GP PracticeNHS NORWICH CCG (06W)EQ VAS</v>
      </c>
      <c r="C132" t="s">
        <v>50</v>
      </c>
      <c r="D132" t="s">
        <v>87</v>
      </c>
      <c r="E132" t="s">
        <v>770</v>
      </c>
      <c r="F132" t="s">
        <v>771</v>
      </c>
      <c r="G132" t="s">
        <v>179</v>
      </c>
      <c r="H132">
        <v>101</v>
      </c>
      <c r="I132">
        <v>78.841999999999999</v>
      </c>
      <c r="J132">
        <v>81.177999999999997</v>
      </c>
      <c r="K132">
        <v>2.3370000000000002</v>
      </c>
      <c r="L132">
        <v>42</v>
      </c>
      <c r="M132">
        <v>24</v>
      </c>
      <c r="N132">
        <v>35</v>
      </c>
      <c r="O132">
        <v>81.524000000000001</v>
      </c>
      <c r="P132">
        <v>0.87825401800000003</v>
      </c>
      <c r="Q132">
        <v>9.7929999999999993</v>
      </c>
    </row>
    <row r="133" spans="1:17" s="30" customFormat="1" x14ac:dyDescent="0.2">
      <c r="A133" s="30" t="str">
        <f>IF(C133&amp;G133&amp;D133&lt;&gt;'Funnel setup'!$K$3&amp;'Funnel setup'!$K$4&amp;'Funnel setup'!$K$5,".",IF(A132=".",1,A132+1))</f>
        <v>.</v>
      </c>
      <c r="B133" s="431" t="str">
        <f t="shared" si="2"/>
        <v>Groin HerniaCCG of GP PracticeNHS NOTTINGHAM CITY CCG (04K)EQ VAS</v>
      </c>
      <c r="C133" t="s">
        <v>50</v>
      </c>
      <c r="D133" t="s">
        <v>87</v>
      </c>
      <c r="E133" t="s">
        <v>773</v>
      </c>
      <c r="F133" t="s">
        <v>774</v>
      </c>
      <c r="G133" t="s">
        <v>179</v>
      </c>
      <c r="H133">
        <v>50</v>
      </c>
      <c r="I133">
        <v>83.48</v>
      </c>
      <c r="J133">
        <v>75.2</v>
      </c>
      <c r="K133">
        <v>-8.2799999999999994</v>
      </c>
      <c r="L133">
        <v>12</v>
      </c>
      <c r="M133">
        <v>6</v>
      </c>
      <c r="N133">
        <v>32</v>
      </c>
      <c r="O133">
        <v>74.037999999999997</v>
      </c>
      <c r="P133">
        <v>-6.6077873839999999</v>
      </c>
      <c r="Q133">
        <v>14.113</v>
      </c>
    </row>
    <row r="134" spans="1:17" s="30" customFormat="1" x14ac:dyDescent="0.2">
      <c r="A134" s="30" t="str">
        <f>IF(C134&amp;G134&amp;D134&lt;&gt;'Funnel setup'!$K$3&amp;'Funnel setup'!$K$4&amp;'Funnel setup'!$K$5,".",IF(A133=".",1,A133+1))</f>
        <v>.</v>
      </c>
      <c r="B134" s="431" t="str">
        <f t="shared" si="2"/>
        <v>Groin HerniaCCG of GP PracticeNHS NOTTINGHAM NORTH AND EAST CCG (04L)EQ VAS</v>
      </c>
      <c r="C134" t="s">
        <v>50</v>
      </c>
      <c r="D134" t="s">
        <v>87</v>
      </c>
      <c r="E134" t="s">
        <v>776</v>
      </c>
      <c r="F134" t="s">
        <v>777</v>
      </c>
      <c r="G134" t="s">
        <v>179</v>
      </c>
      <c r="H134">
        <v>17</v>
      </c>
      <c r="I134">
        <v>80.234999999999999</v>
      </c>
      <c r="J134">
        <v>82.234999999999999</v>
      </c>
      <c r="K134">
        <v>2</v>
      </c>
      <c r="L134">
        <v>7</v>
      </c>
      <c r="M134">
        <v>3</v>
      </c>
      <c r="N134">
        <v>7</v>
      </c>
      <c r="O134" t="s">
        <v>53</v>
      </c>
      <c r="P134" t="s">
        <v>53</v>
      </c>
      <c r="Q134" t="s">
        <v>53</v>
      </c>
    </row>
    <row r="135" spans="1:17" s="30" customFormat="1" x14ac:dyDescent="0.2">
      <c r="A135" s="30" t="str">
        <f>IF(C135&amp;G135&amp;D135&lt;&gt;'Funnel setup'!$K$3&amp;'Funnel setup'!$K$4&amp;'Funnel setup'!$K$5,".",IF(A134=".",1,A134+1))</f>
        <v>.</v>
      </c>
      <c r="B135" s="431" t="str">
        <f t="shared" si="2"/>
        <v>Groin HerniaCCG of GP PracticeNHS NOTTINGHAM WEST CCG (04M)EQ VAS</v>
      </c>
      <c r="C135" t="s">
        <v>50</v>
      </c>
      <c r="D135" t="s">
        <v>87</v>
      </c>
      <c r="E135" t="s">
        <v>779</v>
      </c>
      <c r="F135" t="s">
        <v>780</v>
      </c>
      <c r="G135" t="s">
        <v>179</v>
      </c>
      <c r="H135">
        <v>35</v>
      </c>
      <c r="I135">
        <v>82.629000000000005</v>
      </c>
      <c r="J135">
        <v>86.656999999999996</v>
      </c>
      <c r="K135">
        <v>4.0289999999999999</v>
      </c>
      <c r="L135">
        <v>19</v>
      </c>
      <c r="M135">
        <v>7</v>
      </c>
      <c r="N135">
        <v>9</v>
      </c>
      <c r="O135">
        <v>83.855999999999995</v>
      </c>
      <c r="P135">
        <v>3.2105373149999998</v>
      </c>
      <c r="Q135">
        <v>9.8160000000000007</v>
      </c>
    </row>
    <row r="136" spans="1:17" s="30" customFormat="1" x14ac:dyDescent="0.2">
      <c r="A136" s="30" t="str">
        <f>IF(C136&amp;G136&amp;D136&lt;&gt;'Funnel setup'!$K$3&amp;'Funnel setup'!$K$4&amp;'Funnel setup'!$K$5,".",IF(A135=".",1,A135+1))</f>
        <v>.</v>
      </c>
      <c r="B136" s="431" t="str">
        <f t="shared" si="2"/>
        <v>Groin HerniaCCG of GP PracticeNHS OLDHAM CCG (00Y)EQ VAS</v>
      </c>
      <c r="C136" t="s">
        <v>50</v>
      </c>
      <c r="D136" t="s">
        <v>87</v>
      </c>
      <c r="E136" t="s">
        <v>782</v>
      </c>
      <c r="F136" t="s">
        <v>783</v>
      </c>
      <c r="G136" t="s">
        <v>179</v>
      </c>
      <c r="H136">
        <v>21</v>
      </c>
      <c r="I136">
        <v>79.332999999999998</v>
      </c>
      <c r="J136">
        <v>79.238</v>
      </c>
      <c r="K136">
        <v>-9.5000000000000001E-2</v>
      </c>
      <c r="L136">
        <v>8</v>
      </c>
      <c r="M136">
        <v>6</v>
      </c>
      <c r="N136">
        <v>7</v>
      </c>
      <c r="O136" t="s">
        <v>53</v>
      </c>
      <c r="P136" t="s">
        <v>53</v>
      </c>
      <c r="Q136" t="s">
        <v>53</v>
      </c>
    </row>
    <row r="137" spans="1:17" s="30" customFormat="1" x14ac:dyDescent="0.2">
      <c r="A137" s="30" t="str">
        <f>IF(C137&amp;G137&amp;D137&lt;&gt;'Funnel setup'!$K$3&amp;'Funnel setup'!$K$4&amp;'Funnel setup'!$K$5,".",IF(A136=".",1,A136+1))</f>
        <v>.</v>
      </c>
      <c r="B137" s="431" t="str">
        <f t="shared" si="2"/>
        <v>Groin HerniaCCG of GP PracticeNHS OXFORDSHIRE CCG (10Q)EQ VAS</v>
      </c>
      <c r="C137" t="s">
        <v>50</v>
      </c>
      <c r="D137" t="s">
        <v>87</v>
      </c>
      <c r="E137" t="s">
        <v>785</v>
      </c>
      <c r="F137" t="s">
        <v>786</v>
      </c>
      <c r="G137" t="s">
        <v>179</v>
      </c>
      <c r="H137">
        <v>250</v>
      </c>
      <c r="I137">
        <v>82.272000000000006</v>
      </c>
      <c r="J137">
        <v>81.347999999999999</v>
      </c>
      <c r="K137">
        <v>-0.92400000000000004</v>
      </c>
      <c r="L137">
        <v>95</v>
      </c>
      <c r="M137">
        <v>46</v>
      </c>
      <c r="N137">
        <v>109</v>
      </c>
      <c r="O137">
        <v>80.037999999999997</v>
      </c>
      <c r="P137">
        <v>-0.60763204000000004</v>
      </c>
      <c r="Q137">
        <v>11.609</v>
      </c>
    </row>
    <row r="138" spans="1:17" s="30" customFormat="1" x14ac:dyDescent="0.2">
      <c r="A138" s="30" t="str">
        <f>IF(C138&amp;G138&amp;D138&lt;&gt;'Funnel setup'!$K$3&amp;'Funnel setup'!$K$4&amp;'Funnel setup'!$K$5,".",IF(A137=".",1,A137+1))</f>
        <v>.</v>
      </c>
      <c r="B138" s="431" t="str">
        <f t="shared" si="2"/>
        <v>Groin HerniaCCG of GP PracticeNHS PORTSMOUTH CCG (10R)EQ VAS</v>
      </c>
      <c r="C138" t="s">
        <v>50</v>
      </c>
      <c r="D138" t="s">
        <v>87</v>
      </c>
      <c r="E138" t="s">
        <v>788</v>
      </c>
      <c r="F138" t="s">
        <v>789</v>
      </c>
      <c r="G138" t="s">
        <v>179</v>
      </c>
      <c r="H138">
        <v>70</v>
      </c>
      <c r="I138">
        <v>84.856999999999999</v>
      </c>
      <c r="J138">
        <v>82.070999999999998</v>
      </c>
      <c r="K138">
        <v>-2.786</v>
      </c>
      <c r="L138">
        <v>21</v>
      </c>
      <c r="M138">
        <v>19</v>
      </c>
      <c r="N138">
        <v>30</v>
      </c>
      <c r="O138">
        <v>79.088999999999999</v>
      </c>
      <c r="P138">
        <v>-1.5566406530000001</v>
      </c>
      <c r="Q138">
        <v>12.337999999999999</v>
      </c>
    </row>
    <row r="139" spans="1:17" s="30" customFormat="1" x14ac:dyDescent="0.2">
      <c r="A139" s="30" t="str">
        <f>IF(C139&amp;G139&amp;D139&lt;&gt;'Funnel setup'!$K$3&amp;'Funnel setup'!$K$4&amp;'Funnel setup'!$K$5,".",IF(A138=".",1,A138+1))</f>
        <v>.</v>
      </c>
      <c r="B139" s="431" t="str">
        <f t="shared" si="2"/>
        <v>Groin HerniaCCG of GP PracticeNHS REDBRIDGE CCG (08N)EQ VAS</v>
      </c>
      <c r="C139" t="s">
        <v>50</v>
      </c>
      <c r="D139" t="s">
        <v>87</v>
      </c>
      <c r="E139" t="s">
        <v>791</v>
      </c>
      <c r="F139" t="s">
        <v>792</v>
      </c>
      <c r="G139" t="s">
        <v>179</v>
      </c>
      <c r="H139">
        <v>19</v>
      </c>
      <c r="I139">
        <v>80.316000000000003</v>
      </c>
      <c r="J139">
        <v>76.052999999999997</v>
      </c>
      <c r="K139">
        <v>-4.2629999999999999</v>
      </c>
      <c r="L139">
        <v>5</v>
      </c>
      <c r="M139">
        <v>4</v>
      </c>
      <c r="N139">
        <v>10</v>
      </c>
      <c r="O139" t="s">
        <v>53</v>
      </c>
      <c r="P139" t="s">
        <v>53</v>
      </c>
      <c r="Q139" t="s">
        <v>53</v>
      </c>
    </row>
    <row r="140" spans="1:17" s="30" customFormat="1" x14ac:dyDescent="0.2">
      <c r="A140" s="30" t="str">
        <f>IF(C140&amp;G140&amp;D140&lt;&gt;'Funnel setup'!$K$3&amp;'Funnel setup'!$K$4&amp;'Funnel setup'!$K$5,".",IF(A139=".",1,A139+1))</f>
        <v>.</v>
      </c>
      <c r="B140" s="431" t="str">
        <f t="shared" si="2"/>
        <v>Groin HerniaCCG of GP PracticeNHS REDDITCH AND BROMSGROVE CCG (05J)EQ VAS</v>
      </c>
      <c r="C140" t="s">
        <v>50</v>
      </c>
      <c r="D140" t="s">
        <v>87</v>
      </c>
      <c r="E140" t="s">
        <v>794</v>
      </c>
      <c r="F140" t="s">
        <v>795</v>
      </c>
      <c r="G140" t="s">
        <v>179</v>
      </c>
      <c r="H140">
        <v>82</v>
      </c>
      <c r="I140">
        <v>82.072999999999993</v>
      </c>
      <c r="J140">
        <v>79.328999999999994</v>
      </c>
      <c r="K140">
        <v>-2.7440000000000002</v>
      </c>
      <c r="L140">
        <v>26</v>
      </c>
      <c r="M140">
        <v>22</v>
      </c>
      <c r="N140">
        <v>34</v>
      </c>
      <c r="O140">
        <v>79.382999999999996</v>
      </c>
      <c r="P140">
        <v>-1.262178824</v>
      </c>
      <c r="Q140">
        <v>11.901999999999999</v>
      </c>
    </row>
    <row r="141" spans="1:17" s="30" customFormat="1" x14ac:dyDescent="0.2">
      <c r="A141" s="30" t="str">
        <f>IF(C141&amp;G141&amp;D141&lt;&gt;'Funnel setup'!$K$3&amp;'Funnel setup'!$K$4&amp;'Funnel setup'!$K$5,".",IF(A140=".",1,A140+1))</f>
        <v>.</v>
      </c>
      <c r="B141" s="431" t="str">
        <f t="shared" si="2"/>
        <v>Groin HerniaCCG of GP PracticeNHS RICHMOND CCG (08P)EQ VAS</v>
      </c>
      <c r="C141" t="s">
        <v>50</v>
      </c>
      <c r="D141" t="s">
        <v>87</v>
      </c>
      <c r="E141" t="s">
        <v>797</v>
      </c>
      <c r="F141" t="s">
        <v>798</v>
      </c>
      <c r="G141" t="s">
        <v>179</v>
      </c>
      <c r="H141">
        <v>9</v>
      </c>
      <c r="I141">
        <v>88.332999999999998</v>
      </c>
      <c r="J141">
        <v>81.667000000000002</v>
      </c>
      <c r="K141">
        <v>-6.6669999999999998</v>
      </c>
      <c r="L141">
        <v>2</v>
      </c>
      <c r="M141">
        <v>1</v>
      </c>
      <c r="N141">
        <v>6</v>
      </c>
      <c r="O141" t="s">
        <v>53</v>
      </c>
      <c r="P141" t="s">
        <v>53</v>
      </c>
      <c r="Q141" t="s">
        <v>53</v>
      </c>
    </row>
    <row r="142" spans="1:17" s="30" customFormat="1" x14ac:dyDescent="0.2">
      <c r="A142" s="30" t="str">
        <f>IF(C142&amp;G142&amp;D142&lt;&gt;'Funnel setup'!$K$3&amp;'Funnel setup'!$K$4&amp;'Funnel setup'!$K$5,".",IF(A141=".",1,A141+1))</f>
        <v>.</v>
      </c>
      <c r="B142" s="431" t="str">
        <f t="shared" si="2"/>
        <v>Groin HerniaCCG of GP PracticeNHS ROTHERHAM CCG (03L)EQ VAS</v>
      </c>
      <c r="C142" t="s">
        <v>50</v>
      </c>
      <c r="D142" t="s">
        <v>87</v>
      </c>
      <c r="E142" t="s">
        <v>800</v>
      </c>
      <c r="F142" t="s">
        <v>801</v>
      </c>
      <c r="G142" t="s">
        <v>179</v>
      </c>
      <c r="H142">
        <v>78</v>
      </c>
      <c r="I142">
        <v>77.667000000000002</v>
      </c>
      <c r="J142">
        <v>78.885000000000005</v>
      </c>
      <c r="K142">
        <v>1.218</v>
      </c>
      <c r="L142">
        <v>29</v>
      </c>
      <c r="M142">
        <v>19</v>
      </c>
      <c r="N142">
        <v>30</v>
      </c>
      <c r="O142">
        <v>81.819000000000003</v>
      </c>
      <c r="P142">
        <v>1.1740393339999999</v>
      </c>
      <c r="Q142">
        <v>10.715999999999999</v>
      </c>
    </row>
    <row r="143" spans="1:17" s="30" customFormat="1" x14ac:dyDescent="0.2">
      <c r="A143" s="30" t="str">
        <f>IF(C143&amp;G143&amp;D143&lt;&gt;'Funnel setup'!$K$3&amp;'Funnel setup'!$K$4&amp;'Funnel setup'!$K$5,".",IF(A142=".",1,A142+1))</f>
        <v>.</v>
      </c>
      <c r="B143" s="431" t="str">
        <f t="shared" si="2"/>
        <v>Groin HerniaCCG of GP PracticeNHS RUSHCLIFFE CCG (04N)EQ VAS</v>
      </c>
      <c r="C143" t="s">
        <v>50</v>
      </c>
      <c r="D143" t="s">
        <v>87</v>
      </c>
      <c r="E143" t="s">
        <v>803</v>
      </c>
      <c r="F143" t="s">
        <v>804</v>
      </c>
      <c r="G143" t="s">
        <v>179</v>
      </c>
      <c r="H143">
        <v>75</v>
      </c>
      <c r="I143">
        <v>83.293000000000006</v>
      </c>
      <c r="J143">
        <v>82.24</v>
      </c>
      <c r="K143">
        <v>-1.0529999999999999</v>
      </c>
      <c r="L143">
        <v>31</v>
      </c>
      <c r="M143">
        <v>12</v>
      </c>
      <c r="N143">
        <v>32</v>
      </c>
      <c r="O143">
        <v>79.869</v>
      </c>
      <c r="P143">
        <v>-0.77647536100000003</v>
      </c>
      <c r="Q143">
        <v>11.548999999999999</v>
      </c>
    </row>
    <row r="144" spans="1:17" s="30" customFormat="1" x14ac:dyDescent="0.2">
      <c r="A144" s="30" t="str">
        <f>IF(C144&amp;G144&amp;D144&lt;&gt;'Funnel setup'!$K$3&amp;'Funnel setup'!$K$4&amp;'Funnel setup'!$K$5,".",IF(A143=".",1,A143+1))</f>
        <v>.</v>
      </c>
      <c r="B144" s="431" t="str">
        <f t="shared" si="2"/>
        <v>Groin HerniaCCG of GP PracticeNHS SALFORD CCG (01G)EQ VAS</v>
      </c>
      <c r="C144" t="s">
        <v>50</v>
      </c>
      <c r="D144" t="s">
        <v>87</v>
      </c>
      <c r="E144" t="s">
        <v>806</v>
      </c>
      <c r="F144" t="s">
        <v>807</v>
      </c>
      <c r="G144" t="s">
        <v>179</v>
      </c>
      <c r="H144">
        <v>63</v>
      </c>
      <c r="I144">
        <v>81.316999999999993</v>
      </c>
      <c r="J144">
        <v>77.983999999999995</v>
      </c>
      <c r="K144">
        <v>-3.3330000000000002</v>
      </c>
      <c r="L144">
        <v>20</v>
      </c>
      <c r="M144">
        <v>16</v>
      </c>
      <c r="N144">
        <v>27</v>
      </c>
      <c r="O144">
        <v>78.197999999999993</v>
      </c>
      <c r="P144">
        <v>-2.4477330610000001</v>
      </c>
      <c r="Q144">
        <v>13.586</v>
      </c>
    </row>
    <row r="145" spans="1:17" s="30" customFormat="1" x14ac:dyDescent="0.2">
      <c r="A145" s="30" t="str">
        <f>IF(C145&amp;G145&amp;D145&lt;&gt;'Funnel setup'!$K$3&amp;'Funnel setup'!$K$4&amp;'Funnel setup'!$K$5,".",IF(A144=".",1,A144+1))</f>
        <v>.</v>
      </c>
      <c r="B145" s="431" t="str">
        <f t="shared" si="2"/>
        <v>Groin HerniaCCG of GP PracticeNHS SANDWELL AND WEST BIRMINGHAM CCG (05L)EQ VAS</v>
      </c>
      <c r="C145" t="s">
        <v>50</v>
      </c>
      <c r="D145" t="s">
        <v>87</v>
      </c>
      <c r="E145" t="s">
        <v>809</v>
      </c>
      <c r="F145" t="s">
        <v>810</v>
      </c>
      <c r="G145" t="s">
        <v>179</v>
      </c>
      <c r="H145">
        <v>165</v>
      </c>
      <c r="I145">
        <v>81.569999999999993</v>
      </c>
      <c r="J145">
        <v>78.667000000000002</v>
      </c>
      <c r="K145">
        <v>-2.903</v>
      </c>
      <c r="L145">
        <v>52</v>
      </c>
      <c r="M145">
        <v>36</v>
      </c>
      <c r="N145">
        <v>77</v>
      </c>
      <c r="O145">
        <v>79.138999999999996</v>
      </c>
      <c r="P145">
        <v>-1.5067200030000001</v>
      </c>
      <c r="Q145">
        <v>13.381</v>
      </c>
    </row>
    <row r="146" spans="1:17" s="30" customFormat="1" x14ac:dyDescent="0.2">
      <c r="A146" s="30" t="str">
        <f>IF(C146&amp;G146&amp;D146&lt;&gt;'Funnel setup'!$K$3&amp;'Funnel setup'!$K$4&amp;'Funnel setup'!$K$5,".",IF(A145=".",1,A145+1))</f>
        <v>.</v>
      </c>
      <c r="B146" s="431" t="str">
        <f t="shared" si="2"/>
        <v>Groin HerniaCCG of GP PracticeNHS SCARBOROUGH AND RYEDALE CCG (03M)EQ VAS</v>
      </c>
      <c r="C146" t="s">
        <v>50</v>
      </c>
      <c r="D146" t="s">
        <v>87</v>
      </c>
      <c r="E146" t="s">
        <v>812</v>
      </c>
      <c r="F146" t="s">
        <v>813</v>
      </c>
      <c r="G146" t="s">
        <v>179</v>
      </c>
      <c r="H146">
        <v>84</v>
      </c>
      <c r="I146">
        <v>79.798000000000002</v>
      </c>
      <c r="J146">
        <v>78.856999999999999</v>
      </c>
      <c r="K146">
        <v>-0.94</v>
      </c>
      <c r="L146">
        <v>27</v>
      </c>
      <c r="M146">
        <v>16</v>
      </c>
      <c r="N146">
        <v>41</v>
      </c>
      <c r="O146">
        <v>79.763999999999996</v>
      </c>
      <c r="P146">
        <v>-0.88176841399999994</v>
      </c>
      <c r="Q146">
        <v>12.849</v>
      </c>
    </row>
    <row r="147" spans="1:17" s="30" customFormat="1" x14ac:dyDescent="0.2">
      <c r="A147" s="30" t="str">
        <f>IF(C147&amp;G147&amp;D147&lt;&gt;'Funnel setup'!$K$3&amp;'Funnel setup'!$K$4&amp;'Funnel setup'!$K$5,".",IF(A146=".",1,A146+1))</f>
        <v>.</v>
      </c>
      <c r="B147" s="431" t="str">
        <f t="shared" si="2"/>
        <v>Groin HerniaCCG of GP PracticeNHS SHEFFIELD CCG (03N)EQ VAS</v>
      </c>
      <c r="C147" t="s">
        <v>50</v>
      </c>
      <c r="D147" t="s">
        <v>87</v>
      </c>
      <c r="E147" t="s">
        <v>815</v>
      </c>
      <c r="F147" t="s">
        <v>816</v>
      </c>
      <c r="G147" t="s">
        <v>179</v>
      </c>
      <c r="H147">
        <v>193</v>
      </c>
      <c r="I147">
        <v>78.325999999999993</v>
      </c>
      <c r="J147">
        <v>77.704999999999998</v>
      </c>
      <c r="K147">
        <v>-0.622</v>
      </c>
      <c r="L147">
        <v>78</v>
      </c>
      <c r="M147">
        <v>35</v>
      </c>
      <c r="N147">
        <v>80</v>
      </c>
      <c r="O147">
        <v>80.438999999999993</v>
      </c>
      <c r="P147">
        <v>-0.206344851</v>
      </c>
      <c r="Q147">
        <v>13.202999999999999</v>
      </c>
    </row>
    <row r="148" spans="1:17" s="30" customFormat="1" x14ac:dyDescent="0.2">
      <c r="A148" s="30" t="str">
        <f>IF(C148&amp;G148&amp;D148&lt;&gt;'Funnel setup'!$K$3&amp;'Funnel setup'!$K$4&amp;'Funnel setup'!$K$5,".",IF(A147=".",1,A147+1))</f>
        <v>.</v>
      </c>
      <c r="B148" s="431" t="str">
        <f t="shared" si="2"/>
        <v>Groin HerniaCCG of GP PracticeNHS SHROPSHIRE CCG (05N)EQ VAS</v>
      </c>
      <c r="C148" t="s">
        <v>50</v>
      </c>
      <c r="D148" t="s">
        <v>87</v>
      </c>
      <c r="E148" t="s">
        <v>818</v>
      </c>
      <c r="F148" t="s">
        <v>819</v>
      </c>
      <c r="G148" t="s">
        <v>179</v>
      </c>
      <c r="H148">
        <v>177</v>
      </c>
      <c r="I148">
        <v>79.977000000000004</v>
      </c>
      <c r="J148">
        <v>81.52</v>
      </c>
      <c r="K148">
        <v>1.542</v>
      </c>
      <c r="L148">
        <v>76</v>
      </c>
      <c r="M148">
        <v>41</v>
      </c>
      <c r="N148">
        <v>60</v>
      </c>
      <c r="O148">
        <v>80.974000000000004</v>
      </c>
      <c r="P148">
        <v>0.32899706299999998</v>
      </c>
      <c r="Q148">
        <v>11.420999999999999</v>
      </c>
    </row>
    <row r="149" spans="1:17" s="30" customFormat="1" x14ac:dyDescent="0.2">
      <c r="A149" s="30" t="str">
        <f>IF(C149&amp;G149&amp;D149&lt;&gt;'Funnel setup'!$K$3&amp;'Funnel setup'!$K$4&amp;'Funnel setup'!$K$5,".",IF(A148=".",1,A148+1))</f>
        <v>.</v>
      </c>
      <c r="B149" s="431" t="str">
        <f t="shared" si="2"/>
        <v>Groin HerniaCCG of GP PracticeNHS SLOUGH CCG (10T)EQ VAS</v>
      </c>
      <c r="C149" t="s">
        <v>50</v>
      </c>
      <c r="D149" t="s">
        <v>87</v>
      </c>
      <c r="E149" t="s">
        <v>821</v>
      </c>
      <c r="F149" t="s">
        <v>822</v>
      </c>
      <c r="G149" t="s">
        <v>179</v>
      </c>
      <c r="H149">
        <v>15</v>
      </c>
      <c r="I149">
        <v>75.533000000000001</v>
      </c>
      <c r="J149">
        <v>80.332999999999998</v>
      </c>
      <c r="K149">
        <v>4.8</v>
      </c>
      <c r="L149">
        <v>9</v>
      </c>
      <c r="M149">
        <v>2</v>
      </c>
      <c r="N149">
        <v>4</v>
      </c>
      <c r="O149" t="s">
        <v>53</v>
      </c>
      <c r="P149" t="s">
        <v>53</v>
      </c>
      <c r="Q149" t="s">
        <v>53</v>
      </c>
    </row>
    <row r="150" spans="1:17" s="30" customFormat="1" x14ac:dyDescent="0.2">
      <c r="A150" s="30" t="str">
        <f>IF(C150&amp;G150&amp;D150&lt;&gt;'Funnel setup'!$K$3&amp;'Funnel setup'!$K$4&amp;'Funnel setup'!$K$5,".",IF(A149=".",1,A149+1))</f>
        <v>.</v>
      </c>
      <c r="B150" s="431" t="str">
        <f t="shared" si="2"/>
        <v>Groin HerniaCCG of GP PracticeNHS SOLIHULL CCG (05P)EQ VAS</v>
      </c>
      <c r="C150" t="s">
        <v>50</v>
      </c>
      <c r="D150" t="s">
        <v>87</v>
      </c>
      <c r="E150" t="s">
        <v>824</v>
      </c>
      <c r="F150" t="s">
        <v>825</v>
      </c>
      <c r="G150" t="s">
        <v>179</v>
      </c>
      <c r="H150">
        <v>100</v>
      </c>
      <c r="I150">
        <v>79.72</v>
      </c>
      <c r="J150">
        <v>77.83</v>
      </c>
      <c r="K150">
        <v>-1.89</v>
      </c>
      <c r="L150">
        <v>29</v>
      </c>
      <c r="M150">
        <v>28</v>
      </c>
      <c r="N150">
        <v>43</v>
      </c>
      <c r="O150">
        <v>78.286000000000001</v>
      </c>
      <c r="P150">
        <v>-2.359732079</v>
      </c>
      <c r="Q150">
        <v>13.465</v>
      </c>
    </row>
    <row r="151" spans="1:17" s="30" customFormat="1" x14ac:dyDescent="0.2">
      <c r="A151" s="30" t="str">
        <f>IF(C151&amp;G151&amp;D151&lt;&gt;'Funnel setup'!$K$3&amp;'Funnel setup'!$K$4&amp;'Funnel setup'!$K$5,".",IF(A150=".",1,A150+1))</f>
        <v>.</v>
      </c>
      <c r="B151" s="431" t="str">
        <f t="shared" si="2"/>
        <v>Groin HerniaCCG of GP PracticeNHS SOMERSET CCG (11X)EQ VAS</v>
      </c>
      <c r="C151" t="s">
        <v>50</v>
      </c>
      <c r="D151" t="s">
        <v>87</v>
      </c>
      <c r="E151" t="s">
        <v>827</v>
      </c>
      <c r="F151" t="s">
        <v>828</v>
      </c>
      <c r="G151" t="s">
        <v>179</v>
      </c>
      <c r="H151">
        <v>394</v>
      </c>
      <c r="I151">
        <v>83.814999999999998</v>
      </c>
      <c r="J151">
        <v>83.540999999999997</v>
      </c>
      <c r="K151">
        <v>-0.27400000000000002</v>
      </c>
      <c r="L151">
        <v>151</v>
      </c>
      <c r="M151">
        <v>84</v>
      </c>
      <c r="N151">
        <v>159</v>
      </c>
      <c r="O151">
        <v>81.093999999999994</v>
      </c>
      <c r="P151">
        <v>0.44859787200000001</v>
      </c>
      <c r="Q151">
        <v>10.201000000000001</v>
      </c>
    </row>
    <row r="152" spans="1:17" s="30" customFormat="1" x14ac:dyDescent="0.2">
      <c r="A152" s="30" t="str">
        <f>IF(C152&amp;G152&amp;D152&lt;&gt;'Funnel setup'!$K$3&amp;'Funnel setup'!$K$4&amp;'Funnel setup'!$K$5,".",IF(A151=".",1,A151+1))</f>
        <v>.</v>
      </c>
      <c r="B152" s="431" t="str">
        <f t="shared" si="2"/>
        <v>Groin HerniaCCG of GP PracticeNHS SOUTH CHESHIRE CCG (01R)EQ VAS</v>
      </c>
      <c r="C152" t="s">
        <v>50</v>
      </c>
      <c r="D152" t="s">
        <v>87</v>
      </c>
      <c r="E152" t="s">
        <v>830</v>
      </c>
      <c r="F152" t="s">
        <v>831</v>
      </c>
      <c r="G152" t="s">
        <v>179</v>
      </c>
      <c r="H152">
        <v>116</v>
      </c>
      <c r="I152">
        <v>81.147000000000006</v>
      </c>
      <c r="J152">
        <v>80.861999999999995</v>
      </c>
      <c r="K152">
        <v>-0.28399999999999997</v>
      </c>
      <c r="L152">
        <v>47</v>
      </c>
      <c r="M152">
        <v>24</v>
      </c>
      <c r="N152">
        <v>45</v>
      </c>
      <c r="O152">
        <v>80.018000000000001</v>
      </c>
      <c r="P152">
        <v>-0.62754769399999999</v>
      </c>
      <c r="Q152">
        <v>12.272</v>
      </c>
    </row>
    <row r="153" spans="1:17" s="30" customFormat="1" x14ac:dyDescent="0.2">
      <c r="A153" s="30" t="str">
        <f>IF(C153&amp;G153&amp;D153&lt;&gt;'Funnel setup'!$K$3&amp;'Funnel setup'!$K$4&amp;'Funnel setup'!$K$5,".",IF(A152=".",1,A152+1))</f>
        <v>.</v>
      </c>
      <c r="B153" s="431" t="str">
        <f t="shared" si="2"/>
        <v>Groin HerniaCCG of GP PracticeNHS SOUTH DEVON AND TORBAY CCG (99Q)EQ VAS</v>
      </c>
      <c r="C153" t="s">
        <v>50</v>
      </c>
      <c r="D153" t="s">
        <v>87</v>
      </c>
      <c r="E153" t="s">
        <v>833</v>
      </c>
      <c r="F153" t="s">
        <v>834</v>
      </c>
      <c r="G153" t="s">
        <v>179</v>
      </c>
      <c r="H153">
        <v>147</v>
      </c>
      <c r="I153">
        <v>84.66</v>
      </c>
      <c r="J153">
        <v>81.448999999999998</v>
      </c>
      <c r="K153">
        <v>-3.2109999999999999</v>
      </c>
      <c r="L153">
        <v>44</v>
      </c>
      <c r="M153">
        <v>30</v>
      </c>
      <c r="N153">
        <v>73</v>
      </c>
      <c r="O153">
        <v>78.39</v>
      </c>
      <c r="P153">
        <v>-2.2555881430000002</v>
      </c>
      <c r="Q153">
        <v>13.66</v>
      </c>
    </row>
    <row r="154" spans="1:17" s="30" customFormat="1" x14ac:dyDescent="0.2">
      <c r="A154" s="30" t="str">
        <f>IF(C154&amp;G154&amp;D154&lt;&gt;'Funnel setup'!$K$3&amp;'Funnel setup'!$K$4&amp;'Funnel setup'!$K$5,".",IF(A153=".",1,A153+1))</f>
        <v>.</v>
      </c>
      <c r="B154" s="431" t="str">
        <f t="shared" si="2"/>
        <v>Groin HerniaCCG of GP PracticeNHS SOUTH EAST STAFFORDSHIRE AND SEISDON PENINSULA CCG (05Q)EQ VAS</v>
      </c>
      <c r="C154" t="s">
        <v>50</v>
      </c>
      <c r="D154" t="s">
        <v>87</v>
      </c>
      <c r="E154" t="s">
        <v>836</v>
      </c>
      <c r="F154" t="s">
        <v>837</v>
      </c>
      <c r="G154" t="s">
        <v>179</v>
      </c>
      <c r="H154">
        <v>136</v>
      </c>
      <c r="I154">
        <v>81.903999999999996</v>
      </c>
      <c r="J154">
        <v>81.566000000000003</v>
      </c>
      <c r="K154">
        <v>-0.33800000000000002</v>
      </c>
      <c r="L154">
        <v>56</v>
      </c>
      <c r="M154">
        <v>20</v>
      </c>
      <c r="N154">
        <v>60</v>
      </c>
      <c r="O154">
        <v>80.822000000000003</v>
      </c>
      <c r="P154">
        <v>0.17663493699999999</v>
      </c>
      <c r="Q154">
        <v>11.491</v>
      </c>
    </row>
    <row r="155" spans="1:17" s="30" customFormat="1" x14ac:dyDescent="0.2">
      <c r="A155" s="30" t="str">
        <f>IF(C155&amp;G155&amp;D155&lt;&gt;'Funnel setup'!$K$3&amp;'Funnel setup'!$K$4&amp;'Funnel setup'!$K$5,".",IF(A154=".",1,A154+1))</f>
        <v>.</v>
      </c>
      <c r="B155" s="431" t="str">
        <f t="shared" si="2"/>
        <v>Groin HerniaCCG of GP PracticeNHS SOUTH EASTERN HAMPSHIRE CCG (10V)EQ VAS</v>
      </c>
      <c r="C155" t="s">
        <v>50</v>
      </c>
      <c r="D155" t="s">
        <v>87</v>
      </c>
      <c r="E155" t="s">
        <v>839</v>
      </c>
      <c r="F155" t="s">
        <v>840</v>
      </c>
      <c r="G155" t="s">
        <v>179</v>
      </c>
      <c r="H155">
        <v>80</v>
      </c>
      <c r="I155">
        <v>79.2</v>
      </c>
      <c r="J155">
        <v>83.1</v>
      </c>
      <c r="K155">
        <v>3.9</v>
      </c>
      <c r="L155">
        <v>35</v>
      </c>
      <c r="M155">
        <v>20</v>
      </c>
      <c r="N155">
        <v>25</v>
      </c>
      <c r="O155">
        <v>82.043999999999997</v>
      </c>
      <c r="P155">
        <v>1.3989531909999999</v>
      </c>
      <c r="Q155">
        <v>11.602</v>
      </c>
    </row>
    <row r="156" spans="1:17" s="30" customFormat="1" x14ac:dyDescent="0.2">
      <c r="A156" s="30" t="str">
        <f>IF(C156&amp;G156&amp;D156&lt;&gt;'Funnel setup'!$K$3&amp;'Funnel setup'!$K$4&amp;'Funnel setup'!$K$5,".",IF(A155=".",1,A155+1))</f>
        <v>.</v>
      </c>
      <c r="B156" s="431" t="str">
        <f t="shared" si="2"/>
        <v>Groin HerniaCCG of GP PracticeNHS SOUTH GLOUCESTERSHIRE CCG (12A)EQ VAS</v>
      </c>
      <c r="C156" t="s">
        <v>50</v>
      </c>
      <c r="D156" t="s">
        <v>87</v>
      </c>
      <c r="E156" t="s">
        <v>842</v>
      </c>
      <c r="F156" t="s">
        <v>843</v>
      </c>
      <c r="G156" t="s">
        <v>179</v>
      </c>
      <c r="H156">
        <v>68</v>
      </c>
      <c r="I156">
        <v>82</v>
      </c>
      <c r="J156">
        <v>82.941000000000003</v>
      </c>
      <c r="K156">
        <v>0.94099999999999995</v>
      </c>
      <c r="L156">
        <v>31</v>
      </c>
      <c r="M156">
        <v>15</v>
      </c>
      <c r="N156">
        <v>22</v>
      </c>
      <c r="O156">
        <v>81.308000000000007</v>
      </c>
      <c r="P156">
        <v>0.66220763999999999</v>
      </c>
      <c r="Q156">
        <v>10.859</v>
      </c>
    </row>
    <row r="157" spans="1:17" s="30" customFormat="1" x14ac:dyDescent="0.2">
      <c r="A157" s="30" t="str">
        <f>IF(C157&amp;G157&amp;D157&lt;&gt;'Funnel setup'!$K$3&amp;'Funnel setup'!$K$4&amp;'Funnel setup'!$K$5,".",IF(A156=".",1,A156+1))</f>
        <v>.</v>
      </c>
      <c r="B157" s="431" t="str">
        <f t="shared" si="2"/>
        <v>Groin HerniaCCG of GP PracticeNHS SOUTH KENT COAST CCG (10A)EQ VAS</v>
      </c>
      <c r="C157" t="s">
        <v>50</v>
      </c>
      <c r="D157" t="s">
        <v>87</v>
      </c>
      <c r="E157" t="s">
        <v>845</v>
      </c>
      <c r="F157" t="s">
        <v>846</v>
      </c>
      <c r="G157" t="s">
        <v>179</v>
      </c>
      <c r="H157">
        <v>80</v>
      </c>
      <c r="I157">
        <v>80.8</v>
      </c>
      <c r="J157">
        <v>80.625</v>
      </c>
      <c r="K157">
        <v>-0.17499999999999999</v>
      </c>
      <c r="L157">
        <v>30</v>
      </c>
      <c r="M157">
        <v>21</v>
      </c>
      <c r="N157">
        <v>29</v>
      </c>
      <c r="O157">
        <v>80.293999999999997</v>
      </c>
      <c r="P157">
        <v>-0.35157706900000002</v>
      </c>
      <c r="Q157">
        <v>11.978</v>
      </c>
    </row>
    <row r="158" spans="1:17" s="30" customFormat="1" x14ac:dyDescent="0.2">
      <c r="A158" s="30" t="str">
        <f>IF(C158&amp;G158&amp;D158&lt;&gt;'Funnel setup'!$K$3&amp;'Funnel setup'!$K$4&amp;'Funnel setup'!$K$5,".",IF(A157=".",1,A157+1))</f>
        <v>.</v>
      </c>
      <c r="B158" s="431" t="str">
        <f t="shared" si="2"/>
        <v>Groin HerniaCCG of GP PracticeNHS SOUTH LINCOLNSHIRE CCG (99D)EQ VAS</v>
      </c>
      <c r="C158" t="s">
        <v>50</v>
      </c>
      <c r="D158" t="s">
        <v>87</v>
      </c>
      <c r="E158" t="s">
        <v>848</v>
      </c>
      <c r="F158" t="s">
        <v>849</v>
      </c>
      <c r="G158" t="s">
        <v>179</v>
      </c>
      <c r="H158">
        <v>100</v>
      </c>
      <c r="I158">
        <v>83.58</v>
      </c>
      <c r="J158">
        <v>81.2</v>
      </c>
      <c r="K158">
        <v>-2.38</v>
      </c>
      <c r="L158">
        <v>37</v>
      </c>
      <c r="M158">
        <v>15</v>
      </c>
      <c r="N158">
        <v>48</v>
      </c>
      <c r="O158">
        <v>79.783000000000001</v>
      </c>
      <c r="P158">
        <v>-0.86271419299999996</v>
      </c>
      <c r="Q158">
        <v>11.435</v>
      </c>
    </row>
    <row r="159" spans="1:17" s="30" customFormat="1" x14ac:dyDescent="0.2">
      <c r="A159" s="30" t="str">
        <f>IF(C159&amp;G159&amp;D159&lt;&gt;'Funnel setup'!$K$3&amp;'Funnel setup'!$K$4&amp;'Funnel setup'!$K$5,".",IF(A158=".",1,A158+1))</f>
        <v>.</v>
      </c>
      <c r="B159" s="431" t="str">
        <f t="shared" si="2"/>
        <v>Groin HerniaCCG of GP PracticeNHS SOUTH MANCHESTER CCG (01N)EQ VAS</v>
      </c>
      <c r="C159" t="s">
        <v>50</v>
      </c>
      <c r="D159" t="s">
        <v>87</v>
      </c>
      <c r="E159" t="s">
        <v>851</v>
      </c>
      <c r="F159" t="s">
        <v>852</v>
      </c>
      <c r="G159" t="s">
        <v>179</v>
      </c>
      <c r="H159">
        <v>20</v>
      </c>
      <c r="I159">
        <v>73.95</v>
      </c>
      <c r="J159">
        <v>71.05</v>
      </c>
      <c r="K159">
        <v>-2.9</v>
      </c>
      <c r="L159">
        <v>6</v>
      </c>
      <c r="M159">
        <v>4</v>
      </c>
      <c r="N159">
        <v>10</v>
      </c>
      <c r="O159" t="s">
        <v>53</v>
      </c>
      <c r="P159" t="s">
        <v>53</v>
      </c>
      <c r="Q159" t="s">
        <v>53</v>
      </c>
    </row>
    <row r="160" spans="1:17" s="30" customFormat="1" x14ac:dyDescent="0.2">
      <c r="A160" s="30" t="str">
        <f>IF(C160&amp;G160&amp;D160&lt;&gt;'Funnel setup'!$K$3&amp;'Funnel setup'!$K$4&amp;'Funnel setup'!$K$5,".",IF(A159=".",1,A159+1))</f>
        <v>.</v>
      </c>
      <c r="B160" s="431" t="str">
        <f t="shared" si="2"/>
        <v>Groin HerniaCCG of GP PracticeNHS SOUTH NORFOLK CCG (06Y)EQ VAS</v>
      </c>
      <c r="C160" t="s">
        <v>50</v>
      </c>
      <c r="D160" t="s">
        <v>87</v>
      </c>
      <c r="E160" t="s">
        <v>932</v>
      </c>
      <c r="F160" t="s">
        <v>933</v>
      </c>
      <c r="G160" t="s">
        <v>179</v>
      </c>
      <c r="H160">
        <v>161</v>
      </c>
      <c r="I160">
        <v>80.025000000000006</v>
      </c>
      <c r="J160">
        <v>81.117999999999995</v>
      </c>
      <c r="K160">
        <v>1.093</v>
      </c>
      <c r="L160">
        <v>70</v>
      </c>
      <c r="M160">
        <v>35</v>
      </c>
      <c r="N160">
        <v>56</v>
      </c>
      <c r="O160">
        <v>80.989000000000004</v>
      </c>
      <c r="P160">
        <v>0.34376434900000002</v>
      </c>
      <c r="Q160">
        <v>10.942</v>
      </c>
    </row>
    <row r="161" spans="1:17" s="30" customFormat="1" x14ac:dyDescent="0.2">
      <c r="A161" s="30" t="str">
        <f>IF(C161&amp;G161&amp;D161&lt;&gt;'Funnel setup'!$K$3&amp;'Funnel setup'!$K$4&amp;'Funnel setup'!$K$5,".",IF(A160=".",1,A160+1))</f>
        <v>.</v>
      </c>
      <c r="B161" s="431" t="str">
        <f t="shared" si="2"/>
        <v>Groin HerniaCCG of GP PracticeNHS SOUTH READING CCG (10W)EQ VAS</v>
      </c>
      <c r="C161" t="s">
        <v>50</v>
      </c>
      <c r="D161" t="s">
        <v>87</v>
      </c>
      <c r="E161" t="s">
        <v>935</v>
      </c>
      <c r="F161" t="s">
        <v>936</v>
      </c>
      <c r="G161" t="s">
        <v>179</v>
      </c>
      <c r="H161">
        <v>29</v>
      </c>
      <c r="I161">
        <v>82.620999999999995</v>
      </c>
      <c r="J161">
        <v>83.552000000000007</v>
      </c>
      <c r="K161">
        <v>0.93100000000000005</v>
      </c>
      <c r="L161">
        <v>12</v>
      </c>
      <c r="M161">
        <v>8</v>
      </c>
      <c r="N161">
        <v>9</v>
      </c>
      <c r="O161" t="s">
        <v>53</v>
      </c>
      <c r="P161" t="s">
        <v>53</v>
      </c>
      <c r="Q161" t="s">
        <v>53</v>
      </c>
    </row>
    <row r="162" spans="1:17" s="30" customFormat="1" x14ac:dyDescent="0.2">
      <c r="A162" s="30" t="str">
        <f>IF(C162&amp;G162&amp;D162&lt;&gt;'Funnel setup'!$K$3&amp;'Funnel setup'!$K$4&amp;'Funnel setup'!$K$5,".",IF(A161=".",1,A161+1))</f>
        <v>.</v>
      </c>
      <c r="B162" s="431" t="str">
        <f t="shared" si="2"/>
        <v>Groin HerniaCCG of GP PracticeNHS SOUTH SEFTON CCG (01T)EQ VAS</v>
      </c>
      <c r="C162" t="s">
        <v>50</v>
      </c>
      <c r="D162" t="s">
        <v>87</v>
      </c>
      <c r="E162" t="s">
        <v>938</v>
      </c>
      <c r="F162" t="s">
        <v>939</v>
      </c>
      <c r="G162" t="s">
        <v>179</v>
      </c>
      <c r="H162">
        <v>71</v>
      </c>
      <c r="I162">
        <v>75.605999999999995</v>
      </c>
      <c r="J162">
        <v>78.423000000000002</v>
      </c>
      <c r="K162">
        <v>2.8170000000000002</v>
      </c>
      <c r="L162">
        <v>30</v>
      </c>
      <c r="M162">
        <v>15</v>
      </c>
      <c r="N162">
        <v>26</v>
      </c>
      <c r="O162">
        <v>80.436000000000007</v>
      </c>
      <c r="P162">
        <v>-0.209014166</v>
      </c>
      <c r="Q162">
        <v>14.7</v>
      </c>
    </row>
    <row r="163" spans="1:17" s="30" customFormat="1" x14ac:dyDescent="0.2">
      <c r="A163" s="30" t="str">
        <f>IF(C163&amp;G163&amp;D163&lt;&gt;'Funnel setup'!$K$3&amp;'Funnel setup'!$K$4&amp;'Funnel setup'!$K$5,".",IF(A162=".",1,A162+1))</f>
        <v>.</v>
      </c>
      <c r="B163" s="431" t="str">
        <f t="shared" si="2"/>
        <v>Groin HerniaCCG of GP PracticeNHS SOUTH TEES CCG (00M)EQ VAS</v>
      </c>
      <c r="C163" t="s">
        <v>50</v>
      </c>
      <c r="D163" t="s">
        <v>87</v>
      </c>
      <c r="E163" t="s">
        <v>941</v>
      </c>
      <c r="F163" t="s">
        <v>942</v>
      </c>
      <c r="G163" t="s">
        <v>179</v>
      </c>
      <c r="H163">
        <v>118</v>
      </c>
      <c r="I163">
        <v>78.212000000000003</v>
      </c>
      <c r="J163">
        <v>78.653000000000006</v>
      </c>
      <c r="K163">
        <v>0.441</v>
      </c>
      <c r="L163">
        <v>45</v>
      </c>
      <c r="M163">
        <v>22</v>
      </c>
      <c r="N163">
        <v>51</v>
      </c>
      <c r="O163">
        <v>80.239999999999995</v>
      </c>
      <c r="P163">
        <v>-0.405820395</v>
      </c>
      <c r="Q163">
        <v>13.445</v>
      </c>
    </row>
    <row r="164" spans="1:17" s="30" customFormat="1" x14ac:dyDescent="0.2">
      <c r="A164" s="30" t="str">
        <f>IF(C164&amp;G164&amp;D164&lt;&gt;'Funnel setup'!$K$3&amp;'Funnel setup'!$K$4&amp;'Funnel setup'!$K$5,".",IF(A163=".",1,A163+1))</f>
        <v>.</v>
      </c>
      <c r="B164" s="431" t="str">
        <f t="shared" si="2"/>
        <v>Groin HerniaCCG of GP PracticeNHS SOUTH TYNESIDE CCG (00N)EQ VAS</v>
      </c>
      <c r="C164" t="s">
        <v>50</v>
      </c>
      <c r="D164" t="s">
        <v>87</v>
      </c>
      <c r="E164" t="s">
        <v>1016</v>
      </c>
      <c r="F164" t="s">
        <v>1017</v>
      </c>
      <c r="G164" t="s">
        <v>179</v>
      </c>
      <c r="H164">
        <v>86</v>
      </c>
      <c r="I164">
        <v>78.894999999999996</v>
      </c>
      <c r="J164">
        <v>76.522999999999996</v>
      </c>
      <c r="K164">
        <v>-2.3719999999999999</v>
      </c>
      <c r="L164">
        <v>32</v>
      </c>
      <c r="M164">
        <v>19</v>
      </c>
      <c r="N164">
        <v>35</v>
      </c>
      <c r="O164">
        <v>77.466999999999999</v>
      </c>
      <c r="P164">
        <v>-3.1785205009999999</v>
      </c>
      <c r="Q164">
        <v>14.083</v>
      </c>
    </row>
    <row r="165" spans="1:17" s="30" customFormat="1" x14ac:dyDescent="0.2">
      <c r="A165" s="30" t="str">
        <f>IF(C165&amp;G165&amp;D165&lt;&gt;'Funnel setup'!$K$3&amp;'Funnel setup'!$K$4&amp;'Funnel setup'!$K$5,".",IF(A164=".",1,A164+1))</f>
        <v>.</v>
      </c>
      <c r="B165" s="431" t="str">
        <f t="shared" si="2"/>
        <v>Groin HerniaCCG of GP PracticeNHS SOUTH WARWICKSHIRE CCG (05R)EQ VAS</v>
      </c>
      <c r="C165" t="s">
        <v>50</v>
      </c>
      <c r="D165" t="s">
        <v>87</v>
      </c>
      <c r="E165" t="s">
        <v>944</v>
      </c>
      <c r="F165" t="s">
        <v>945</v>
      </c>
      <c r="G165" t="s">
        <v>179</v>
      </c>
      <c r="H165">
        <v>221</v>
      </c>
      <c r="I165">
        <v>80.700999999999993</v>
      </c>
      <c r="J165">
        <v>80.370999999999995</v>
      </c>
      <c r="K165">
        <v>-0.33</v>
      </c>
      <c r="L165">
        <v>96</v>
      </c>
      <c r="M165">
        <v>41</v>
      </c>
      <c r="N165">
        <v>84</v>
      </c>
      <c r="O165">
        <v>80.710999999999999</v>
      </c>
      <c r="P165">
        <v>6.5315709999999999E-2</v>
      </c>
      <c r="Q165">
        <v>11.49</v>
      </c>
    </row>
    <row r="166" spans="1:17" s="30" customFormat="1" x14ac:dyDescent="0.2">
      <c r="A166" s="30" t="str">
        <f>IF(C166&amp;G166&amp;D166&lt;&gt;'Funnel setup'!$K$3&amp;'Funnel setup'!$K$4&amp;'Funnel setup'!$K$5,".",IF(A165=".",1,A165+1))</f>
        <v>.</v>
      </c>
      <c r="B166" s="431" t="str">
        <f t="shared" si="2"/>
        <v>Groin HerniaCCG of GP PracticeNHS SOUTH WEST LINCOLNSHIRE CCG (04Q)EQ VAS</v>
      </c>
      <c r="C166" t="s">
        <v>50</v>
      </c>
      <c r="D166" t="s">
        <v>87</v>
      </c>
      <c r="E166" t="s">
        <v>947</v>
      </c>
      <c r="F166" t="s">
        <v>948</v>
      </c>
      <c r="G166" t="s">
        <v>179</v>
      </c>
      <c r="H166">
        <v>56</v>
      </c>
      <c r="I166">
        <v>83.463999999999999</v>
      </c>
      <c r="J166">
        <v>79.445999999999998</v>
      </c>
      <c r="K166">
        <v>-4.0179999999999998</v>
      </c>
      <c r="L166">
        <v>17</v>
      </c>
      <c r="M166">
        <v>8</v>
      </c>
      <c r="N166">
        <v>31</v>
      </c>
      <c r="O166">
        <v>77.709000000000003</v>
      </c>
      <c r="P166">
        <v>-2.9362573919999999</v>
      </c>
      <c r="Q166">
        <v>11.106</v>
      </c>
    </row>
    <row r="167" spans="1:17" s="30" customFormat="1" x14ac:dyDescent="0.2">
      <c r="A167" s="30" t="str">
        <f>IF(C167&amp;G167&amp;D167&lt;&gt;'Funnel setup'!$K$3&amp;'Funnel setup'!$K$4&amp;'Funnel setup'!$K$5,".",IF(A166=".",1,A166+1))</f>
        <v>.</v>
      </c>
      <c r="B167" s="431" t="str">
        <f t="shared" si="2"/>
        <v>Groin HerniaCCG of GP PracticeNHS SOUTH WORCESTERSHIRE CCG (05T)EQ VAS</v>
      </c>
      <c r="C167" t="s">
        <v>50</v>
      </c>
      <c r="D167" t="s">
        <v>87</v>
      </c>
      <c r="E167" t="s">
        <v>950</v>
      </c>
      <c r="F167" t="s">
        <v>951</v>
      </c>
      <c r="G167" t="s">
        <v>179</v>
      </c>
      <c r="H167">
        <v>138</v>
      </c>
      <c r="I167">
        <v>81.855000000000004</v>
      </c>
      <c r="J167">
        <v>82.064999999999998</v>
      </c>
      <c r="K167">
        <v>0.21</v>
      </c>
      <c r="L167">
        <v>59</v>
      </c>
      <c r="M167">
        <v>26</v>
      </c>
      <c r="N167">
        <v>53</v>
      </c>
      <c r="O167">
        <v>81.308000000000007</v>
      </c>
      <c r="P167">
        <v>0.66268699200000003</v>
      </c>
      <c r="Q167">
        <v>11.193</v>
      </c>
    </row>
    <row r="168" spans="1:17" s="30" customFormat="1" x14ac:dyDescent="0.2">
      <c r="A168" s="30" t="str">
        <f>IF(C168&amp;G168&amp;D168&lt;&gt;'Funnel setup'!$K$3&amp;'Funnel setup'!$K$4&amp;'Funnel setup'!$K$5,".",IF(A167=".",1,A167+1))</f>
        <v>.</v>
      </c>
      <c r="B168" s="431" t="str">
        <f t="shared" si="2"/>
        <v>Groin HerniaCCG of GP PracticeNHS SOUTHAMPTON CCG (10X)EQ VAS</v>
      </c>
      <c r="C168" t="s">
        <v>50</v>
      </c>
      <c r="D168" t="s">
        <v>87</v>
      </c>
      <c r="E168" t="s">
        <v>953</v>
      </c>
      <c r="F168" t="s">
        <v>954</v>
      </c>
      <c r="G168" t="s">
        <v>179</v>
      </c>
      <c r="H168">
        <v>89</v>
      </c>
      <c r="I168">
        <v>81.09</v>
      </c>
      <c r="J168">
        <v>78.662999999999997</v>
      </c>
      <c r="K168">
        <v>-2.427</v>
      </c>
      <c r="L168">
        <v>30</v>
      </c>
      <c r="M168">
        <v>17</v>
      </c>
      <c r="N168">
        <v>42</v>
      </c>
      <c r="O168">
        <v>78.721000000000004</v>
      </c>
      <c r="P168">
        <v>-1.9244750340000001</v>
      </c>
      <c r="Q168">
        <v>12.99</v>
      </c>
    </row>
    <row r="169" spans="1:17" s="30" customFormat="1" x14ac:dyDescent="0.2">
      <c r="A169" s="30" t="str">
        <f>IF(C169&amp;G169&amp;D169&lt;&gt;'Funnel setup'!$K$3&amp;'Funnel setup'!$K$4&amp;'Funnel setup'!$K$5,".",IF(A168=".",1,A168+1))</f>
        <v>.</v>
      </c>
      <c r="B169" s="431" t="str">
        <f t="shared" si="2"/>
        <v>Groin HerniaCCG of GP PracticeNHS SOUTHEND CCG (99G)EQ VAS</v>
      </c>
      <c r="C169" t="s">
        <v>50</v>
      </c>
      <c r="D169" t="s">
        <v>87</v>
      </c>
      <c r="E169" t="s">
        <v>956</v>
      </c>
      <c r="F169" t="s">
        <v>957</v>
      </c>
      <c r="G169" t="s">
        <v>179</v>
      </c>
      <c r="H169">
        <v>50</v>
      </c>
      <c r="I169">
        <v>82</v>
      </c>
      <c r="J169">
        <v>77.02</v>
      </c>
      <c r="K169">
        <v>-4.9800000000000004</v>
      </c>
      <c r="L169">
        <v>14</v>
      </c>
      <c r="M169">
        <v>9</v>
      </c>
      <c r="N169">
        <v>27</v>
      </c>
      <c r="O169">
        <v>77.552999999999997</v>
      </c>
      <c r="P169">
        <v>-3.092072398</v>
      </c>
      <c r="Q169">
        <v>10.941000000000001</v>
      </c>
    </row>
    <row r="170" spans="1:17" s="30" customFormat="1" x14ac:dyDescent="0.2">
      <c r="A170" s="30" t="str">
        <f>IF(C170&amp;G170&amp;D170&lt;&gt;'Funnel setup'!$K$3&amp;'Funnel setup'!$K$4&amp;'Funnel setup'!$K$5,".",IF(A169=".",1,A169+1))</f>
        <v>.</v>
      </c>
      <c r="B170" s="431" t="str">
        <f t="shared" si="2"/>
        <v>Groin HerniaCCG of GP PracticeNHS SOUTHERN DERBYSHIRE CCG (04R)EQ VAS</v>
      </c>
      <c r="C170" t="s">
        <v>50</v>
      </c>
      <c r="D170" t="s">
        <v>87</v>
      </c>
      <c r="E170" t="s">
        <v>959</v>
      </c>
      <c r="F170" t="s">
        <v>960</v>
      </c>
      <c r="G170" t="s">
        <v>179</v>
      </c>
      <c r="H170">
        <v>147</v>
      </c>
      <c r="I170">
        <v>80.796000000000006</v>
      </c>
      <c r="J170">
        <v>78.543999999999997</v>
      </c>
      <c r="K170">
        <v>-2.2519999999999998</v>
      </c>
      <c r="L170">
        <v>55</v>
      </c>
      <c r="M170">
        <v>28</v>
      </c>
      <c r="N170">
        <v>64</v>
      </c>
      <c r="O170">
        <v>78.709000000000003</v>
      </c>
      <c r="P170">
        <v>-1.9360891140000001</v>
      </c>
      <c r="Q170">
        <v>13.327999999999999</v>
      </c>
    </row>
    <row r="171" spans="1:17" s="30" customFormat="1" x14ac:dyDescent="0.2">
      <c r="A171" s="30" t="str">
        <f>IF(C171&amp;G171&amp;D171&lt;&gt;'Funnel setup'!$K$3&amp;'Funnel setup'!$K$4&amp;'Funnel setup'!$K$5,".",IF(A170=".",1,A170+1))</f>
        <v>.</v>
      </c>
      <c r="B171" s="431" t="str">
        <f t="shared" si="2"/>
        <v>Groin HerniaCCG of GP PracticeNHS SOUTHPORT AND FORMBY CCG (01V)EQ VAS</v>
      </c>
      <c r="C171" t="s">
        <v>50</v>
      </c>
      <c r="D171" t="s">
        <v>87</v>
      </c>
      <c r="E171" t="s">
        <v>962</v>
      </c>
      <c r="F171" t="s">
        <v>963</v>
      </c>
      <c r="G171" t="s">
        <v>179</v>
      </c>
      <c r="H171">
        <v>104</v>
      </c>
      <c r="I171">
        <v>80.864999999999995</v>
      </c>
      <c r="J171">
        <v>79.576999999999998</v>
      </c>
      <c r="K171">
        <v>-1.288</v>
      </c>
      <c r="L171">
        <v>33</v>
      </c>
      <c r="M171">
        <v>27</v>
      </c>
      <c r="N171">
        <v>44</v>
      </c>
      <c r="O171">
        <v>79.436000000000007</v>
      </c>
      <c r="P171">
        <v>-1.2092183649999999</v>
      </c>
      <c r="Q171">
        <v>12.56</v>
      </c>
    </row>
    <row r="172" spans="1:17" s="30" customFormat="1" x14ac:dyDescent="0.2">
      <c r="A172" s="30" t="str">
        <f>IF(C172&amp;G172&amp;D172&lt;&gt;'Funnel setup'!$K$3&amp;'Funnel setup'!$K$4&amp;'Funnel setup'!$K$5,".",IF(A171=".",1,A171+1))</f>
        <v>.</v>
      </c>
      <c r="B172" s="431" t="str">
        <f t="shared" si="2"/>
        <v>Groin HerniaCCG of GP PracticeNHS SOUTHWARK CCG (08Q)EQ VAS</v>
      </c>
      <c r="C172" t="s">
        <v>50</v>
      </c>
      <c r="D172" t="s">
        <v>87</v>
      </c>
      <c r="E172" t="s">
        <v>965</v>
      </c>
      <c r="F172" t="s">
        <v>966</v>
      </c>
      <c r="G172" t="s">
        <v>179</v>
      </c>
      <c r="H172">
        <v>22</v>
      </c>
      <c r="I172">
        <v>84.864000000000004</v>
      </c>
      <c r="J172">
        <v>84.364000000000004</v>
      </c>
      <c r="K172">
        <v>-0.5</v>
      </c>
      <c r="L172">
        <v>7</v>
      </c>
      <c r="M172">
        <v>6</v>
      </c>
      <c r="N172">
        <v>9</v>
      </c>
      <c r="O172" t="s">
        <v>53</v>
      </c>
      <c r="P172" t="s">
        <v>53</v>
      </c>
      <c r="Q172" t="s">
        <v>53</v>
      </c>
    </row>
    <row r="173" spans="1:17" s="30" customFormat="1" x14ac:dyDescent="0.2">
      <c r="A173" s="30" t="str">
        <f>IF(C173&amp;G173&amp;D173&lt;&gt;'Funnel setup'!$K$3&amp;'Funnel setup'!$K$4&amp;'Funnel setup'!$K$5,".",IF(A172=".",1,A172+1))</f>
        <v>.</v>
      </c>
      <c r="B173" s="431" t="str">
        <f t="shared" si="2"/>
        <v>Groin HerniaCCG of GP PracticeNHS ST HELENS CCG (01X)EQ VAS</v>
      </c>
      <c r="C173" t="s">
        <v>50</v>
      </c>
      <c r="D173" t="s">
        <v>87</v>
      </c>
      <c r="E173" t="s">
        <v>968</v>
      </c>
      <c r="F173" t="s">
        <v>969</v>
      </c>
      <c r="G173" t="s">
        <v>179</v>
      </c>
      <c r="H173">
        <v>91</v>
      </c>
      <c r="I173">
        <v>85.143000000000001</v>
      </c>
      <c r="J173">
        <v>83.022000000000006</v>
      </c>
      <c r="K173">
        <v>-2.121</v>
      </c>
      <c r="L173">
        <v>28</v>
      </c>
      <c r="M173">
        <v>18</v>
      </c>
      <c r="N173">
        <v>45</v>
      </c>
      <c r="O173">
        <v>81.474000000000004</v>
      </c>
      <c r="P173">
        <v>0.82833120100000002</v>
      </c>
      <c r="Q173">
        <v>10.851000000000001</v>
      </c>
    </row>
    <row r="174" spans="1:17" s="30" customFormat="1" x14ac:dyDescent="0.2">
      <c r="A174" s="30" t="str">
        <f>IF(C174&amp;G174&amp;D174&lt;&gt;'Funnel setup'!$K$3&amp;'Funnel setup'!$K$4&amp;'Funnel setup'!$K$5,".",IF(A173=".",1,A173+1))</f>
        <v>.</v>
      </c>
      <c r="B174" s="431" t="str">
        <f t="shared" si="2"/>
        <v>Groin HerniaCCG of GP PracticeNHS STAFFORD AND SURROUNDS CCG (05V)EQ VAS</v>
      </c>
      <c r="C174" t="s">
        <v>50</v>
      </c>
      <c r="D174" t="s">
        <v>87</v>
      </c>
      <c r="E174" t="s">
        <v>971</v>
      </c>
      <c r="F174" t="s">
        <v>972</v>
      </c>
      <c r="G174" t="s">
        <v>179</v>
      </c>
      <c r="H174">
        <v>107</v>
      </c>
      <c r="I174">
        <v>82.215000000000003</v>
      </c>
      <c r="J174">
        <v>81.606999999999999</v>
      </c>
      <c r="K174">
        <v>-0.60699999999999998</v>
      </c>
      <c r="L174">
        <v>35</v>
      </c>
      <c r="M174">
        <v>30</v>
      </c>
      <c r="N174">
        <v>42</v>
      </c>
      <c r="O174">
        <v>80.864000000000004</v>
      </c>
      <c r="P174">
        <v>0.21827553699999999</v>
      </c>
      <c r="Q174">
        <v>9.5609999999999999</v>
      </c>
    </row>
    <row r="175" spans="1:17" s="30" customFormat="1" x14ac:dyDescent="0.2">
      <c r="A175" s="30" t="str">
        <f>IF(C175&amp;G175&amp;D175&lt;&gt;'Funnel setup'!$K$3&amp;'Funnel setup'!$K$4&amp;'Funnel setup'!$K$5,".",IF(A174=".",1,A174+1))</f>
        <v>.</v>
      </c>
      <c r="B175" s="431" t="str">
        <f t="shared" si="2"/>
        <v>Groin HerniaCCG of GP PracticeNHS STOCKPORT CCG (01W)EQ VAS</v>
      </c>
      <c r="C175" t="s">
        <v>50</v>
      </c>
      <c r="D175" t="s">
        <v>87</v>
      </c>
      <c r="E175" t="s">
        <v>974</v>
      </c>
      <c r="F175" t="s">
        <v>975</v>
      </c>
      <c r="G175" t="s">
        <v>179</v>
      </c>
      <c r="H175">
        <v>123</v>
      </c>
      <c r="I175">
        <v>80.935000000000002</v>
      </c>
      <c r="J175">
        <v>80.584999999999994</v>
      </c>
      <c r="K175">
        <v>-0.35</v>
      </c>
      <c r="L175">
        <v>49</v>
      </c>
      <c r="M175">
        <v>26</v>
      </c>
      <c r="N175">
        <v>48</v>
      </c>
      <c r="O175">
        <v>79.903000000000006</v>
      </c>
      <c r="P175">
        <v>-0.74272740999999998</v>
      </c>
      <c r="Q175">
        <v>14.547000000000001</v>
      </c>
    </row>
    <row r="176" spans="1:17" s="30" customFormat="1" x14ac:dyDescent="0.2">
      <c r="A176" s="30" t="str">
        <f>IF(C176&amp;G176&amp;D176&lt;&gt;'Funnel setup'!$K$3&amp;'Funnel setup'!$K$4&amp;'Funnel setup'!$K$5,".",IF(A175=".",1,A175+1))</f>
        <v>.</v>
      </c>
      <c r="B176" s="431" t="str">
        <f t="shared" si="2"/>
        <v>Groin HerniaCCG of GP PracticeNHS STOKE ON TRENT CCG (05W)EQ VAS</v>
      </c>
      <c r="C176" t="s">
        <v>50</v>
      </c>
      <c r="D176" t="s">
        <v>87</v>
      </c>
      <c r="E176" t="s">
        <v>977</v>
      </c>
      <c r="F176" t="s">
        <v>978</v>
      </c>
      <c r="G176" t="s">
        <v>179</v>
      </c>
      <c r="H176">
        <v>50</v>
      </c>
      <c r="I176">
        <v>79.62</v>
      </c>
      <c r="J176">
        <v>81.760000000000005</v>
      </c>
      <c r="K176">
        <v>2.14</v>
      </c>
      <c r="L176">
        <v>22</v>
      </c>
      <c r="M176">
        <v>16</v>
      </c>
      <c r="N176">
        <v>12</v>
      </c>
      <c r="O176">
        <v>83.131</v>
      </c>
      <c r="P176">
        <v>2.4855107059999999</v>
      </c>
      <c r="Q176">
        <v>12.301</v>
      </c>
    </row>
    <row r="177" spans="1:17" s="30" customFormat="1" x14ac:dyDescent="0.2">
      <c r="A177" s="30" t="str">
        <f>IF(C177&amp;G177&amp;D177&lt;&gt;'Funnel setup'!$K$3&amp;'Funnel setup'!$K$4&amp;'Funnel setup'!$K$5,".",IF(A176=".",1,A176+1))</f>
        <v>.</v>
      </c>
      <c r="B177" s="431" t="str">
        <f t="shared" si="2"/>
        <v>Groin HerniaCCG of GP PracticeNHS SUNDERLAND CCG (00P)EQ VAS</v>
      </c>
      <c r="C177" t="s">
        <v>50</v>
      </c>
      <c r="D177" t="s">
        <v>87</v>
      </c>
      <c r="E177" t="s">
        <v>980</v>
      </c>
      <c r="F177" t="s">
        <v>981</v>
      </c>
      <c r="G177" t="s">
        <v>179</v>
      </c>
      <c r="H177">
        <v>140</v>
      </c>
      <c r="I177">
        <v>74.778999999999996</v>
      </c>
      <c r="J177">
        <v>73.429000000000002</v>
      </c>
      <c r="K177">
        <v>-1.35</v>
      </c>
      <c r="L177">
        <v>52</v>
      </c>
      <c r="M177">
        <v>28</v>
      </c>
      <c r="N177">
        <v>60</v>
      </c>
      <c r="O177">
        <v>79.03</v>
      </c>
      <c r="P177">
        <v>-1.615704722</v>
      </c>
      <c r="Q177">
        <v>15.234</v>
      </c>
    </row>
    <row r="178" spans="1:17" s="30" customFormat="1" x14ac:dyDescent="0.2">
      <c r="A178" s="30" t="str">
        <f>IF(C178&amp;G178&amp;D178&lt;&gt;'Funnel setup'!$K$3&amp;'Funnel setup'!$K$4&amp;'Funnel setup'!$K$5,".",IF(A177=".",1,A177+1))</f>
        <v>.</v>
      </c>
      <c r="B178" s="431" t="str">
        <f t="shared" si="2"/>
        <v>Groin HerniaCCG of GP PracticeNHS SURREY DOWNS CCG (99H)EQ VAS</v>
      </c>
      <c r="C178" t="s">
        <v>50</v>
      </c>
      <c r="D178" t="s">
        <v>87</v>
      </c>
      <c r="E178" t="s">
        <v>983</v>
      </c>
      <c r="F178" t="s">
        <v>984</v>
      </c>
      <c r="G178" t="s">
        <v>179</v>
      </c>
      <c r="H178">
        <v>111</v>
      </c>
      <c r="I178">
        <v>81.045000000000002</v>
      </c>
      <c r="J178">
        <v>80.45</v>
      </c>
      <c r="K178">
        <v>-0.59499999999999997</v>
      </c>
      <c r="L178">
        <v>38</v>
      </c>
      <c r="M178">
        <v>27</v>
      </c>
      <c r="N178">
        <v>46</v>
      </c>
      <c r="O178">
        <v>79.927000000000007</v>
      </c>
      <c r="P178">
        <v>-0.71796038699999998</v>
      </c>
      <c r="Q178">
        <v>11.164999999999999</v>
      </c>
    </row>
    <row r="179" spans="1:17" s="30" customFormat="1" x14ac:dyDescent="0.2">
      <c r="A179" s="30" t="str">
        <f>IF(C179&amp;G179&amp;D179&lt;&gt;'Funnel setup'!$K$3&amp;'Funnel setup'!$K$4&amp;'Funnel setup'!$K$5,".",IF(A178=".",1,A178+1))</f>
        <v>.</v>
      </c>
      <c r="B179" s="431" t="str">
        <f t="shared" si="2"/>
        <v>Groin HerniaCCG of GP PracticeNHS SURREY HEATH CCG (10C)EQ VAS</v>
      </c>
      <c r="C179" t="s">
        <v>50</v>
      </c>
      <c r="D179" t="s">
        <v>87</v>
      </c>
      <c r="E179" t="s">
        <v>986</v>
      </c>
      <c r="F179" t="s">
        <v>987</v>
      </c>
      <c r="G179" t="s">
        <v>179</v>
      </c>
      <c r="H179">
        <v>59</v>
      </c>
      <c r="I179">
        <v>78.135999999999996</v>
      </c>
      <c r="J179">
        <v>79.745999999999995</v>
      </c>
      <c r="K179">
        <v>1.61</v>
      </c>
      <c r="L179">
        <v>26</v>
      </c>
      <c r="M179">
        <v>8</v>
      </c>
      <c r="N179">
        <v>25</v>
      </c>
      <c r="O179">
        <v>80.363</v>
      </c>
      <c r="P179">
        <v>-0.28260179600000002</v>
      </c>
      <c r="Q179">
        <v>10.993</v>
      </c>
    </row>
    <row r="180" spans="1:17" s="30" customFormat="1" x14ac:dyDescent="0.2">
      <c r="A180" s="30" t="str">
        <f>IF(C180&amp;G180&amp;D180&lt;&gt;'Funnel setup'!$K$3&amp;'Funnel setup'!$K$4&amp;'Funnel setup'!$K$5,".",IF(A179=".",1,A179+1))</f>
        <v>.</v>
      </c>
      <c r="B180" s="431" t="str">
        <f t="shared" si="2"/>
        <v>Groin HerniaCCG of GP PracticeNHS SUTTON CCG (08T)EQ VAS</v>
      </c>
      <c r="C180" t="s">
        <v>50</v>
      </c>
      <c r="D180" t="s">
        <v>87</v>
      </c>
      <c r="E180" t="s">
        <v>989</v>
      </c>
      <c r="F180" t="s">
        <v>990</v>
      </c>
      <c r="G180" t="s">
        <v>179</v>
      </c>
      <c r="H180">
        <v>49</v>
      </c>
      <c r="I180">
        <v>81.265000000000001</v>
      </c>
      <c r="J180">
        <v>80.468999999999994</v>
      </c>
      <c r="K180">
        <v>-0.79600000000000004</v>
      </c>
      <c r="L180">
        <v>19</v>
      </c>
      <c r="M180">
        <v>10</v>
      </c>
      <c r="N180">
        <v>20</v>
      </c>
      <c r="O180">
        <v>79.658000000000001</v>
      </c>
      <c r="P180">
        <v>-0.98782797099999997</v>
      </c>
      <c r="Q180">
        <v>12.071999999999999</v>
      </c>
    </row>
    <row r="181" spans="1:17" s="30" customFormat="1" x14ac:dyDescent="0.2">
      <c r="A181" s="30" t="str">
        <f>IF(C181&amp;G181&amp;D181&lt;&gt;'Funnel setup'!$K$3&amp;'Funnel setup'!$K$4&amp;'Funnel setup'!$K$5,".",IF(A180=".",1,A180+1))</f>
        <v>.</v>
      </c>
      <c r="B181" s="431" t="str">
        <f t="shared" si="2"/>
        <v>Groin HerniaCCG of GP PracticeNHS SWALE CCG (10D)EQ VAS</v>
      </c>
      <c r="C181" t="s">
        <v>50</v>
      </c>
      <c r="D181" t="s">
        <v>87</v>
      </c>
      <c r="E181" t="s">
        <v>992</v>
      </c>
      <c r="F181" t="s">
        <v>993</v>
      </c>
      <c r="G181" t="s">
        <v>179</v>
      </c>
      <c r="H181">
        <v>40</v>
      </c>
      <c r="I181">
        <v>81.424999999999997</v>
      </c>
      <c r="J181">
        <v>81.625</v>
      </c>
      <c r="K181">
        <v>0.2</v>
      </c>
      <c r="L181">
        <v>20</v>
      </c>
      <c r="M181">
        <v>4</v>
      </c>
      <c r="N181">
        <v>16</v>
      </c>
      <c r="O181">
        <v>81.772999999999996</v>
      </c>
      <c r="P181">
        <v>1.1278903760000001</v>
      </c>
      <c r="Q181">
        <v>12.558</v>
      </c>
    </row>
    <row r="182" spans="1:17" s="30" customFormat="1" x14ac:dyDescent="0.2">
      <c r="A182" s="30" t="str">
        <f>IF(C182&amp;G182&amp;D182&lt;&gt;'Funnel setup'!$K$3&amp;'Funnel setup'!$K$4&amp;'Funnel setup'!$K$5,".",IF(A181=".",1,A181+1))</f>
        <v>.</v>
      </c>
      <c r="B182" s="431" t="str">
        <f t="shared" si="2"/>
        <v>Groin HerniaCCG of GP PracticeNHS SWINDON CCG (12D)EQ VAS</v>
      </c>
      <c r="C182" t="s">
        <v>50</v>
      </c>
      <c r="D182" t="s">
        <v>87</v>
      </c>
      <c r="E182" t="s">
        <v>995</v>
      </c>
      <c r="F182" t="s">
        <v>996</v>
      </c>
      <c r="G182" t="s">
        <v>179</v>
      </c>
      <c r="H182">
        <v>73</v>
      </c>
      <c r="I182">
        <v>82.849000000000004</v>
      </c>
      <c r="J182">
        <v>85.137</v>
      </c>
      <c r="K182">
        <v>2.2879999999999998</v>
      </c>
      <c r="L182">
        <v>34</v>
      </c>
      <c r="M182">
        <v>12</v>
      </c>
      <c r="N182">
        <v>27</v>
      </c>
      <c r="O182">
        <v>81.831999999999994</v>
      </c>
      <c r="P182">
        <v>1.1866449750000001</v>
      </c>
      <c r="Q182">
        <v>8.9760000000000009</v>
      </c>
    </row>
    <row r="183" spans="1:17" s="30" customFormat="1" x14ac:dyDescent="0.2">
      <c r="A183" s="30" t="str">
        <f>IF(C183&amp;G183&amp;D183&lt;&gt;'Funnel setup'!$K$3&amp;'Funnel setup'!$K$4&amp;'Funnel setup'!$K$5,".",IF(A182=".",1,A182+1))</f>
        <v>.</v>
      </c>
      <c r="B183" s="431" t="str">
        <f t="shared" si="2"/>
        <v>Groin HerniaCCG of GP PracticeNHS TAMESIDE AND GLOSSOP CCG (01Y)EQ VAS</v>
      </c>
      <c r="C183" t="s">
        <v>50</v>
      </c>
      <c r="D183" t="s">
        <v>87</v>
      </c>
      <c r="E183" t="s">
        <v>998</v>
      </c>
      <c r="F183" t="s">
        <v>999</v>
      </c>
      <c r="G183" t="s">
        <v>179</v>
      </c>
      <c r="H183">
        <v>45</v>
      </c>
      <c r="I183">
        <v>77.911000000000001</v>
      </c>
      <c r="J183">
        <v>80.599999999999994</v>
      </c>
      <c r="K183">
        <v>2.6890000000000001</v>
      </c>
      <c r="L183">
        <v>20</v>
      </c>
      <c r="M183">
        <v>8</v>
      </c>
      <c r="N183">
        <v>17</v>
      </c>
      <c r="O183">
        <v>81.647999999999996</v>
      </c>
      <c r="P183">
        <v>1.0024062229999999</v>
      </c>
      <c r="Q183">
        <v>11.372</v>
      </c>
    </row>
    <row r="184" spans="1:17" s="30" customFormat="1" x14ac:dyDescent="0.2">
      <c r="A184" s="30" t="str">
        <f>IF(C184&amp;G184&amp;D184&lt;&gt;'Funnel setup'!$K$3&amp;'Funnel setup'!$K$4&amp;'Funnel setup'!$K$5,".",IF(A183=".",1,A183+1))</f>
        <v>.</v>
      </c>
      <c r="B184" s="431" t="str">
        <f t="shared" si="2"/>
        <v>Groin HerniaCCG of GP PracticeNHS TELFORD AND WREKIN CCG (05X)EQ VAS</v>
      </c>
      <c r="C184" t="s">
        <v>50</v>
      </c>
      <c r="D184" t="s">
        <v>87</v>
      </c>
      <c r="E184" t="s">
        <v>1001</v>
      </c>
      <c r="F184" t="s">
        <v>1002</v>
      </c>
      <c r="G184" t="s">
        <v>179</v>
      </c>
      <c r="H184">
        <v>62</v>
      </c>
      <c r="I184">
        <v>75.968000000000004</v>
      </c>
      <c r="J184">
        <v>79.370999999999995</v>
      </c>
      <c r="K184">
        <v>3.403</v>
      </c>
      <c r="L184">
        <v>26</v>
      </c>
      <c r="M184">
        <v>16</v>
      </c>
      <c r="N184">
        <v>20</v>
      </c>
      <c r="O184">
        <v>81.804000000000002</v>
      </c>
      <c r="P184">
        <v>1.1581179429999999</v>
      </c>
      <c r="Q184">
        <v>12.736000000000001</v>
      </c>
    </row>
    <row r="185" spans="1:17" s="30" customFormat="1" x14ac:dyDescent="0.2">
      <c r="A185" s="30" t="str">
        <f>IF(C185&amp;G185&amp;D185&lt;&gt;'Funnel setup'!$K$3&amp;'Funnel setup'!$K$4&amp;'Funnel setup'!$K$5,".",IF(A184=".",1,A184+1))</f>
        <v>.</v>
      </c>
      <c r="B185" s="431" t="str">
        <f t="shared" si="2"/>
        <v>Groin HerniaCCG of GP PracticeNHS THANET CCG (10E)EQ VAS</v>
      </c>
      <c r="C185" t="s">
        <v>50</v>
      </c>
      <c r="D185" t="s">
        <v>87</v>
      </c>
      <c r="E185" t="s">
        <v>1004</v>
      </c>
      <c r="F185" t="s">
        <v>1005</v>
      </c>
      <c r="G185" t="s">
        <v>179</v>
      </c>
      <c r="H185">
        <v>41</v>
      </c>
      <c r="I185">
        <v>75.828999999999994</v>
      </c>
      <c r="J185">
        <v>77.097999999999999</v>
      </c>
      <c r="K185">
        <v>1.268</v>
      </c>
      <c r="L185">
        <v>16</v>
      </c>
      <c r="M185">
        <v>8</v>
      </c>
      <c r="N185">
        <v>17</v>
      </c>
      <c r="O185">
        <v>81.096000000000004</v>
      </c>
      <c r="P185">
        <v>0.45072783399999999</v>
      </c>
      <c r="Q185">
        <v>13.416</v>
      </c>
    </row>
    <row r="186" spans="1:17" s="30" customFormat="1" x14ac:dyDescent="0.2">
      <c r="A186" s="30" t="str">
        <f>IF(C186&amp;G186&amp;D186&lt;&gt;'Funnel setup'!$K$3&amp;'Funnel setup'!$K$4&amp;'Funnel setup'!$K$5,".",IF(A185=".",1,A185+1))</f>
        <v>.</v>
      </c>
      <c r="B186" s="431" t="str">
        <f t="shared" si="2"/>
        <v>Groin HerniaCCG of GP PracticeNHS THURROCK CCG (07G)EQ VAS</v>
      </c>
      <c r="C186" t="s">
        <v>50</v>
      </c>
      <c r="D186" t="s">
        <v>87</v>
      </c>
      <c r="E186" t="s">
        <v>1007</v>
      </c>
      <c r="F186" t="s">
        <v>1008</v>
      </c>
      <c r="G186" t="s">
        <v>179</v>
      </c>
      <c r="H186">
        <v>33</v>
      </c>
      <c r="I186">
        <v>78.364000000000004</v>
      </c>
      <c r="J186">
        <v>79.847999999999999</v>
      </c>
      <c r="K186">
        <v>1.4850000000000001</v>
      </c>
      <c r="L186">
        <v>14</v>
      </c>
      <c r="M186">
        <v>5</v>
      </c>
      <c r="N186">
        <v>14</v>
      </c>
      <c r="O186">
        <v>80.762</v>
      </c>
      <c r="P186">
        <v>0.11659887300000001</v>
      </c>
      <c r="Q186">
        <v>13.327999999999999</v>
      </c>
    </row>
    <row r="187" spans="1:17" s="30" customFormat="1" x14ac:dyDescent="0.2">
      <c r="A187" s="30" t="str">
        <f>IF(C187&amp;G187&amp;D187&lt;&gt;'Funnel setup'!$K$3&amp;'Funnel setup'!$K$4&amp;'Funnel setup'!$K$5,".",IF(A186=".",1,A186+1))</f>
        <v>.</v>
      </c>
      <c r="B187" s="431" t="str">
        <f t="shared" si="2"/>
        <v>Groin HerniaCCG of GP PracticeNHS TOWER HAMLETS CCG (08V)EQ VAS</v>
      </c>
      <c r="C187" t="s">
        <v>50</v>
      </c>
      <c r="D187" t="s">
        <v>87</v>
      </c>
      <c r="E187" t="s">
        <v>1010</v>
      </c>
      <c r="F187" t="s">
        <v>1011</v>
      </c>
      <c r="G187" t="s">
        <v>179</v>
      </c>
      <c r="H187">
        <v>20</v>
      </c>
      <c r="I187">
        <v>79.55</v>
      </c>
      <c r="J187">
        <v>79.150000000000006</v>
      </c>
      <c r="K187">
        <v>-0.4</v>
      </c>
      <c r="L187">
        <v>6</v>
      </c>
      <c r="M187">
        <v>5</v>
      </c>
      <c r="N187">
        <v>9</v>
      </c>
      <c r="O187" t="s">
        <v>53</v>
      </c>
      <c r="P187" t="s">
        <v>53</v>
      </c>
      <c r="Q187" t="s">
        <v>53</v>
      </c>
    </row>
    <row r="188" spans="1:17" s="30" customFormat="1" x14ac:dyDescent="0.2">
      <c r="A188" s="30" t="str">
        <f>IF(C188&amp;G188&amp;D188&lt;&gt;'Funnel setup'!$K$3&amp;'Funnel setup'!$K$4&amp;'Funnel setup'!$K$5,".",IF(A187=".",1,A187+1))</f>
        <v>.</v>
      </c>
      <c r="B188" s="431" t="str">
        <f t="shared" si="2"/>
        <v>Groin HerniaCCG of GP PracticeNHS TRAFFORD CCG (02A)EQ VAS</v>
      </c>
      <c r="C188" t="s">
        <v>50</v>
      </c>
      <c r="D188" t="s">
        <v>87</v>
      </c>
      <c r="E188" t="s">
        <v>1013</v>
      </c>
      <c r="F188" t="s">
        <v>1014</v>
      </c>
      <c r="G188" t="s">
        <v>179</v>
      </c>
      <c r="H188">
        <v>69</v>
      </c>
      <c r="I188">
        <v>82.754000000000005</v>
      </c>
      <c r="J188">
        <v>82.463999999999999</v>
      </c>
      <c r="K188">
        <v>-0.28999999999999998</v>
      </c>
      <c r="L188">
        <v>23</v>
      </c>
      <c r="M188">
        <v>16</v>
      </c>
      <c r="N188">
        <v>30</v>
      </c>
      <c r="O188">
        <v>81.834000000000003</v>
      </c>
      <c r="P188">
        <v>1.18895401</v>
      </c>
      <c r="Q188">
        <v>12.007</v>
      </c>
    </row>
    <row r="189" spans="1:17" s="30" customFormat="1" x14ac:dyDescent="0.2">
      <c r="A189" s="30" t="str">
        <f>IF(C189&amp;G189&amp;D189&lt;&gt;'Funnel setup'!$K$3&amp;'Funnel setup'!$K$4&amp;'Funnel setup'!$K$5,".",IF(A188=".",1,A188+1))</f>
        <v>.</v>
      </c>
      <c r="B189" s="431" t="str">
        <f t="shared" si="2"/>
        <v>Groin HerniaCCG of GP PracticeNHS VALE OF YORK CCG (03Q)EQ VAS</v>
      </c>
      <c r="C189" t="s">
        <v>50</v>
      </c>
      <c r="D189" t="s">
        <v>87</v>
      </c>
      <c r="E189" t="s">
        <v>420</v>
      </c>
      <c r="F189" t="s">
        <v>421</v>
      </c>
      <c r="G189" t="s">
        <v>179</v>
      </c>
      <c r="H189">
        <v>164</v>
      </c>
      <c r="I189">
        <v>81.805000000000007</v>
      </c>
      <c r="J189">
        <v>80.64</v>
      </c>
      <c r="K189">
        <v>-1.165</v>
      </c>
      <c r="L189">
        <v>60</v>
      </c>
      <c r="M189">
        <v>34</v>
      </c>
      <c r="N189">
        <v>70</v>
      </c>
      <c r="O189">
        <v>79.188999999999993</v>
      </c>
      <c r="P189">
        <v>-1.455989631</v>
      </c>
      <c r="Q189">
        <v>13.1</v>
      </c>
    </row>
    <row r="190" spans="1:17" s="30" customFormat="1" x14ac:dyDescent="0.2">
      <c r="A190" s="30" t="str">
        <f>IF(C190&amp;G190&amp;D190&lt;&gt;'Funnel setup'!$K$3&amp;'Funnel setup'!$K$4&amp;'Funnel setup'!$K$5,".",IF(A189=".",1,A189+1))</f>
        <v>.</v>
      </c>
      <c r="B190" s="431" t="str">
        <f t="shared" si="2"/>
        <v>Groin HerniaCCG of GP PracticeNHS VALE ROYAL CCG (02D)EQ VAS</v>
      </c>
      <c r="C190" t="s">
        <v>50</v>
      </c>
      <c r="D190" t="s">
        <v>87</v>
      </c>
      <c r="E190" t="s">
        <v>423</v>
      </c>
      <c r="F190" t="s">
        <v>424</v>
      </c>
      <c r="G190" t="s">
        <v>179</v>
      </c>
      <c r="H190">
        <v>71</v>
      </c>
      <c r="I190">
        <v>82.013999999999996</v>
      </c>
      <c r="J190">
        <v>82.366</v>
      </c>
      <c r="K190">
        <v>0.35199999999999998</v>
      </c>
      <c r="L190">
        <v>23</v>
      </c>
      <c r="M190">
        <v>18</v>
      </c>
      <c r="N190">
        <v>30</v>
      </c>
      <c r="O190">
        <v>80.748000000000005</v>
      </c>
      <c r="P190">
        <v>0.10290074</v>
      </c>
      <c r="Q190">
        <v>10.210000000000001</v>
      </c>
    </row>
    <row r="191" spans="1:17" s="30" customFormat="1" x14ac:dyDescent="0.2">
      <c r="A191" s="30" t="str">
        <f>IF(C191&amp;G191&amp;D191&lt;&gt;'Funnel setup'!$K$3&amp;'Funnel setup'!$K$4&amp;'Funnel setup'!$K$5,".",IF(A190=".",1,A190+1))</f>
        <v>.</v>
      </c>
      <c r="B191" s="431" t="str">
        <f t="shared" si="2"/>
        <v>Groin HerniaCCG of GP PracticeNHS WAKEFIELD CCG (03R)EQ VAS</v>
      </c>
      <c r="C191" t="s">
        <v>50</v>
      </c>
      <c r="D191" t="s">
        <v>87</v>
      </c>
      <c r="E191" t="s">
        <v>426</v>
      </c>
      <c r="F191" t="s">
        <v>427</v>
      </c>
      <c r="G191" t="s">
        <v>179</v>
      </c>
      <c r="H191">
        <v>184</v>
      </c>
      <c r="I191">
        <v>82.245000000000005</v>
      </c>
      <c r="J191">
        <v>78.158000000000001</v>
      </c>
      <c r="K191">
        <v>-4.0869999999999997</v>
      </c>
      <c r="L191">
        <v>55</v>
      </c>
      <c r="M191">
        <v>40</v>
      </c>
      <c r="N191">
        <v>89</v>
      </c>
      <c r="O191">
        <v>78.126999999999995</v>
      </c>
      <c r="P191">
        <v>-2.5187839350000001</v>
      </c>
      <c r="Q191">
        <v>13.909000000000001</v>
      </c>
    </row>
    <row r="192" spans="1:17" s="30" customFormat="1" x14ac:dyDescent="0.2">
      <c r="A192" s="30" t="str">
        <f>IF(C192&amp;G192&amp;D192&lt;&gt;'Funnel setup'!$K$3&amp;'Funnel setup'!$K$4&amp;'Funnel setup'!$K$5,".",IF(A191=".",1,A191+1))</f>
        <v>.</v>
      </c>
      <c r="B192" s="431" t="str">
        <f t="shared" si="2"/>
        <v>Groin HerniaCCG of GP PracticeNHS WALSALL CCG (05Y)EQ VAS</v>
      </c>
      <c r="C192" t="s">
        <v>50</v>
      </c>
      <c r="D192" t="s">
        <v>87</v>
      </c>
      <c r="E192" t="s">
        <v>429</v>
      </c>
      <c r="F192" t="s">
        <v>430</v>
      </c>
      <c r="G192" t="s">
        <v>179</v>
      </c>
      <c r="H192">
        <v>90</v>
      </c>
      <c r="I192">
        <v>80.378</v>
      </c>
      <c r="J192">
        <v>79.522000000000006</v>
      </c>
      <c r="K192">
        <v>-0.85599999999999998</v>
      </c>
      <c r="L192">
        <v>35</v>
      </c>
      <c r="M192">
        <v>21</v>
      </c>
      <c r="N192">
        <v>34</v>
      </c>
      <c r="O192">
        <v>80.531000000000006</v>
      </c>
      <c r="P192">
        <v>-0.114611486</v>
      </c>
      <c r="Q192">
        <v>12.321</v>
      </c>
    </row>
    <row r="193" spans="1:17" s="30" customFormat="1" x14ac:dyDescent="0.2">
      <c r="A193" s="30" t="str">
        <f>IF(C193&amp;G193&amp;D193&lt;&gt;'Funnel setup'!$K$3&amp;'Funnel setup'!$K$4&amp;'Funnel setup'!$K$5,".",IF(A192=".",1,A192+1))</f>
        <v>.</v>
      </c>
      <c r="B193" s="431" t="str">
        <f t="shared" si="2"/>
        <v>Groin HerniaCCG of GP PracticeNHS WALTHAM FOREST CCG (08W)EQ VAS</v>
      </c>
      <c r="C193" t="s">
        <v>50</v>
      </c>
      <c r="D193" t="s">
        <v>87</v>
      </c>
      <c r="E193" t="s">
        <v>432</v>
      </c>
      <c r="F193" t="s">
        <v>433</v>
      </c>
      <c r="G193" t="s">
        <v>179</v>
      </c>
      <c r="H193">
        <v>7</v>
      </c>
      <c r="I193">
        <v>74.143000000000001</v>
      </c>
      <c r="J193">
        <v>65</v>
      </c>
      <c r="K193">
        <v>-9.1430000000000007</v>
      </c>
      <c r="L193">
        <v>1</v>
      </c>
      <c r="M193">
        <v>2</v>
      </c>
      <c r="N193">
        <v>4</v>
      </c>
      <c r="O193" t="s">
        <v>53</v>
      </c>
      <c r="P193" t="s">
        <v>53</v>
      </c>
      <c r="Q193" t="s">
        <v>53</v>
      </c>
    </row>
    <row r="194" spans="1:17" s="30" customFormat="1" x14ac:dyDescent="0.2">
      <c r="A194" s="30" t="str">
        <f>IF(C194&amp;G194&amp;D194&lt;&gt;'Funnel setup'!$K$3&amp;'Funnel setup'!$K$4&amp;'Funnel setup'!$K$5,".",IF(A193=".",1,A193+1))</f>
        <v>.</v>
      </c>
      <c r="B194" s="431" t="str">
        <f t="shared" si="2"/>
        <v>Groin HerniaCCG of GP PracticeNHS WANDSWORTH CCG (08X)EQ VAS</v>
      </c>
      <c r="C194" t="s">
        <v>50</v>
      </c>
      <c r="D194" t="s">
        <v>87</v>
      </c>
      <c r="E194" t="s">
        <v>435</v>
      </c>
      <c r="F194" t="s">
        <v>436</v>
      </c>
      <c r="G194" t="s">
        <v>179</v>
      </c>
      <c r="H194">
        <v>30</v>
      </c>
      <c r="I194">
        <v>78.832999999999998</v>
      </c>
      <c r="J194">
        <v>76.832999999999998</v>
      </c>
      <c r="K194">
        <v>-2</v>
      </c>
      <c r="L194">
        <v>8</v>
      </c>
      <c r="M194">
        <v>5</v>
      </c>
      <c r="N194">
        <v>17</v>
      </c>
      <c r="O194">
        <v>78.549000000000007</v>
      </c>
      <c r="P194">
        <v>-2.0960581129999998</v>
      </c>
      <c r="Q194">
        <v>10.968</v>
      </c>
    </row>
    <row r="195" spans="1:17" s="30" customFormat="1" x14ac:dyDescent="0.2">
      <c r="A195" s="30" t="str">
        <f>IF(C195&amp;G195&amp;D195&lt;&gt;'Funnel setup'!$K$3&amp;'Funnel setup'!$K$4&amp;'Funnel setup'!$K$5,".",IF(A194=".",1,A194+1))</f>
        <v>.</v>
      </c>
      <c r="B195" s="431" t="str">
        <f t="shared" ref="B195:B258" si="3">C195&amp;D195&amp;F195&amp;G195</f>
        <v>Groin HerniaCCG of GP PracticeNHS WARRINGTON CCG (02E)EQ VAS</v>
      </c>
      <c r="C195" t="s">
        <v>50</v>
      </c>
      <c r="D195" t="s">
        <v>87</v>
      </c>
      <c r="E195" t="s">
        <v>441</v>
      </c>
      <c r="F195" t="s">
        <v>442</v>
      </c>
      <c r="G195" t="s">
        <v>179</v>
      </c>
      <c r="H195">
        <v>79</v>
      </c>
      <c r="I195">
        <v>82.126999999999995</v>
      </c>
      <c r="J195">
        <v>80.721999999999994</v>
      </c>
      <c r="K195">
        <v>-1.405</v>
      </c>
      <c r="L195">
        <v>27</v>
      </c>
      <c r="M195">
        <v>16</v>
      </c>
      <c r="N195">
        <v>36</v>
      </c>
      <c r="O195">
        <v>79.534000000000006</v>
      </c>
      <c r="P195">
        <v>-1.111140493</v>
      </c>
      <c r="Q195">
        <v>10.965999999999999</v>
      </c>
    </row>
    <row r="196" spans="1:17" s="30" customFormat="1" x14ac:dyDescent="0.2">
      <c r="A196" s="30" t="str">
        <f>IF(C196&amp;G196&amp;D196&lt;&gt;'Funnel setup'!$K$3&amp;'Funnel setup'!$K$4&amp;'Funnel setup'!$K$5,".",IF(A195=".",1,A195+1))</f>
        <v>.</v>
      </c>
      <c r="B196" s="431" t="str">
        <f t="shared" si="3"/>
        <v>Groin HerniaCCG of GP PracticeNHS WARWICKSHIRE NORTH CCG (05H)EQ VAS</v>
      </c>
      <c r="C196" t="s">
        <v>50</v>
      </c>
      <c r="D196" t="s">
        <v>87</v>
      </c>
      <c r="E196" t="s">
        <v>438</v>
      </c>
      <c r="F196" t="s">
        <v>439</v>
      </c>
      <c r="G196" t="s">
        <v>179</v>
      </c>
      <c r="H196">
        <v>43</v>
      </c>
      <c r="I196">
        <v>83.256</v>
      </c>
      <c r="J196">
        <v>83.046999999999997</v>
      </c>
      <c r="K196">
        <v>-0.20899999999999999</v>
      </c>
      <c r="L196">
        <v>16</v>
      </c>
      <c r="M196">
        <v>11</v>
      </c>
      <c r="N196">
        <v>16</v>
      </c>
      <c r="O196">
        <v>81.227000000000004</v>
      </c>
      <c r="P196">
        <v>0.58205025099999996</v>
      </c>
      <c r="Q196">
        <v>11.019</v>
      </c>
    </row>
    <row r="197" spans="1:17" s="30" customFormat="1" x14ac:dyDescent="0.2">
      <c r="A197" s="30" t="str">
        <f>IF(C197&amp;G197&amp;D197&lt;&gt;'Funnel setup'!$K$3&amp;'Funnel setup'!$K$4&amp;'Funnel setup'!$K$5,".",IF(A196=".",1,A196+1))</f>
        <v>.</v>
      </c>
      <c r="B197" s="431" t="str">
        <f t="shared" si="3"/>
        <v>Groin HerniaCCG of GP PracticeNHS WEST CHESHIRE CCG (02F)EQ VAS</v>
      </c>
      <c r="C197" t="s">
        <v>50</v>
      </c>
      <c r="D197" t="s">
        <v>87</v>
      </c>
      <c r="E197" t="s">
        <v>402</v>
      </c>
      <c r="F197" t="s">
        <v>403</v>
      </c>
      <c r="G197" t="s">
        <v>179</v>
      </c>
      <c r="H197">
        <v>122</v>
      </c>
      <c r="I197">
        <v>80.557000000000002</v>
      </c>
      <c r="J197">
        <v>81.704999999999998</v>
      </c>
      <c r="K197">
        <v>1.1479999999999999</v>
      </c>
      <c r="L197">
        <v>56</v>
      </c>
      <c r="M197">
        <v>20</v>
      </c>
      <c r="N197">
        <v>46</v>
      </c>
      <c r="O197">
        <v>81.347999999999999</v>
      </c>
      <c r="P197">
        <v>0.70277514399999996</v>
      </c>
      <c r="Q197">
        <v>12.237</v>
      </c>
    </row>
    <row r="198" spans="1:17" s="30" customFormat="1" x14ac:dyDescent="0.2">
      <c r="A198" s="30" t="str">
        <f>IF(C198&amp;G198&amp;D198&lt;&gt;'Funnel setup'!$K$3&amp;'Funnel setup'!$K$4&amp;'Funnel setup'!$K$5,".",IF(A197=".",1,A197+1))</f>
        <v>.</v>
      </c>
      <c r="B198" s="431" t="str">
        <f t="shared" si="3"/>
        <v>Groin HerniaCCG of GP PracticeNHS WEST ESSEX CCG (07H)EQ VAS</v>
      </c>
      <c r="C198" t="s">
        <v>50</v>
      </c>
      <c r="D198" t="s">
        <v>87</v>
      </c>
      <c r="E198" t="s">
        <v>405</v>
      </c>
      <c r="F198" t="s">
        <v>406</v>
      </c>
      <c r="G198" t="s">
        <v>179</v>
      </c>
      <c r="H198">
        <v>108</v>
      </c>
      <c r="I198">
        <v>78.25</v>
      </c>
      <c r="J198">
        <v>79.906999999999996</v>
      </c>
      <c r="K198">
        <v>1.657</v>
      </c>
      <c r="L198">
        <v>45</v>
      </c>
      <c r="M198">
        <v>22</v>
      </c>
      <c r="N198">
        <v>41</v>
      </c>
      <c r="O198">
        <v>80.555000000000007</v>
      </c>
      <c r="P198">
        <v>-9.0046375999999997E-2</v>
      </c>
      <c r="Q198">
        <v>11.653</v>
      </c>
    </row>
    <row r="199" spans="1:17" s="30" customFormat="1" x14ac:dyDescent="0.2">
      <c r="A199" s="30" t="str">
        <f>IF(C199&amp;G199&amp;D199&lt;&gt;'Funnel setup'!$K$3&amp;'Funnel setup'!$K$4&amp;'Funnel setup'!$K$5,".",IF(A198=".",1,A198+1))</f>
        <v>.</v>
      </c>
      <c r="B199" s="431" t="str">
        <f t="shared" si="3"/>
        <v>Groin HerniaCCG of GP PracticeNHS WEST HAMPSHIRE CCG (11A)EQ VAS</v>
      </c>
      <c r="C199" t="s">
        <v>50</v>
      </c>
      <c r="D199" t="s">
        <v>87</v>
      </c>
      <c r="E199" t="s">
        <v>444</v>
      </c>
      <c r="F199" t="s">
        <v>445</v>
      </c>
      <c r="G199" t="s">
        <v>179</v>
      </c>
      <c r="H199">
        <v>229</v>
      </c>
      <c r="I199">
        <v>81.262</v>
      </c>
      <c r="J199">
        <v>81.724999999999994</v>
      </c>
      <c r="K199">
        <v>0.46300000000000002</v>
      </c>
      <c r="L199">
        <v>93</v>
      </c>
      <c r="M199">
        <v>46</v>
      </c>
      <c r="N199">
        <v>90</v>
      </c>
      <c r="O199">
        <v>80.981999999999999</v>
      </c>
      <c r="P199">
        <v>0.337026557</v>
      </c>
      <c r="Q199">
        <v>11.41</v>
      </c>
    </row>
    <row r="200" spans="1:17" s="30" customFormat="1" x14ac:dyDescent="0.2">
      <c r="A200" s="30" t="str">
        <f>IF(C200&amp;G200&amp;D200&lt;&gt;'Funnel setup'!$K$3&amp;'Funnel setup'!$K$4&amp;'Funnel setup'!$K$5,".",IF(A199=".",1,A199+1))</f>
        <v>.</v>
      </c>
      <c r="B200" s="431" t="str">
        <f t="shared" si="3"/>
        <v>Groin HerniaCCG of GP PracticeNHS WEST KENT CCG (99J)EQ VAS</v>
      </c>
      <c r="C200" t="s">
        <v>50</v>
      </c>
      <c r="D200" t="s">
        <v>87</v>
      </c>
      <c r="E200" t="s">
        <v>447</v>
      </c>
      <c r="F200" t="s">
        <v>448</v>
      </c>
      <c r="G200" t="s">
        <v>179</v>
      </c>
      <c r="H200">
        <v>145</v>
      </c>
      <c r="I200">
        <v>82.986000000000004</v>
      </c>
      <c r="J200">
        <v>83.31</v>
      </c>
      <c r="K200">
        <v>0.32400000000000001</v>
      </c>
      <c r="L200">
        <v>60</v>
      </c>
      <c r="M200">
        <v>27</v>
      </c>
      <c r="N200">
        <v>58</v>
      </c>
      <c r="O200">
        <v>81.650999999999996</v>
      </c>
      <c r="P200">
        <v>1.0060007820000001</v>
      </c>
      <c r="Q200">
        <v>11.747</v>
      </c>
    </row>
    <row r="201" spans="1:17" s="30" customFormat="1" x14ac:dyDescent="0.2">
      <c r="A201" s="30" t="str">
        <f>IF(C201&amp;G201&amp;D201&lt;&gt;'Funnel setup'!$K$3&amp;'Funnel setup'!$K$4&amp;'Funnel setup'!$K$5,".",IF(A200=".",1,A200+1))</f>
        <v>.</v>
      </c>
      <c r="B201" s="431" t="str">
        <f t="shared" si="3"/>
        <v>Groin HerniaCCG of GP PracticeNHS WEST LANCASHIRE CCG (02G)EQ VAS</v>
      </c>
      <c r="C201" t="s">
        <v>50</v>
      </c>
      <c r="D201" t="s">
        <v>87</v>
      </c>
      <c r="E201" t="s">
        <v>450</v>
      </c>
      <c r="F201" t="s">
        <v>451</v>
      </c>
      <c r="G201" t="s">
        <v>179</v>
      </c>
      <c r="H201">
        <v>91</v>
      </c>
      <c r="I201">
        <v>80.614999999999995</v>
      </c>
      <c r="J201">
        <v>77.242000000000004</v>
      </c>
      <c r="K201">
        <v>-3.3740000000000001</v>
      </c>
      <c r="L201">
        <v>30</v>
      </c>
      <c r="M201">
        <v>13</v>
      </c>
      <c r="N201">
        <v>48</v>
      </c>
      <c r="O201">
        <v>78.287000000000006</v>
      </c>
      <c r="P201">
        <v>-2.3582585570000001</v>
      </c>
      <c r="Q201">
        <v>15.263999999999999</v>
      </c>
    </row>
    <row r="202" spans="1:17" s="30" customFormat="1" x14ac:dyDescent="0.2">
      <c r="A202" s="30" t="str">
        <f>IF(C202&amp;G202&amp;D202&lt;&gt;'Funnel setup'!$K$3&amp;'Funnel setup'!$K$4&amp;'Funnel setup'!$K$5,".",IF(A201=".",1,A201+1))</f>
        <v>.</v>
      </c>
      <c r="B202" s="431" t="str">
        <f t="shared" si="3"/>
        <v>Groin HerniaCCG of GP PracticeNHS WEST LEICESTERSHIRE CCG (04V)EQ VAS</v>
      </c>
      <c r="C202" t="s">
        <v>50</v>
      </c>
      <c r="D202" t="s">
        <v>87</v>
      </c>
      <c r="E202" t="s">
        <v>453</v>
      </c>
      <c r="F202" t="s">
        <v>454</v>
      </c>
      <c r="G202" t="s">
        <v>179</v>
      </c>
      <c r="H202">
        <v>175</v>
      </c>
      <c r="I202">
        <v>81.2</v>
      </c>
      <c r="J202">
        <v>80.850999999999999</v>
      </c>
      <c r="K202">
        <v>-0.34899999999999998</v>
      </c>
      <c r="L202">
        <v>75</v>
      </c>
      <c r="M202">
        <v>37</v>
      </c>
      <c r="N202">
        <v>63</v>
      </c>
      <c r="O202">
        <v>80.622</v>
      </c>
      <c r="P202">
        <v>-2.3534557000000001E-2</v>
      </c>
      <c r="Q202">
        <v>12.398</v>
      </c>
    </row>
    <row r="203" spans="1:17" s="30" customFormat="1" x14ac:dyDescent="0.2">
      <c r="A203" s="30" t="str">
        <f>IF(C203&amp;G203&amp;D203&lt;&gt;'Funnel setup'!$K$3&amp;'Funnel setup'!$K$4&amp;'Funnel setup'!$K$5,".",IF(A202=".",1,A202+1))</f>
        <v>.</v>
      </c>
      <c r="B203" s="431" t="str">
        <f t="shared" si="3"/>
        <v>Groin HerniaCCG of GP PracticeNHS WEST LONDON CCG (08Y)EQ VAS</v>
      </c>
      <c r="C203" t="s">
        <v>50</v>
      </c>
      <c r="D203" t="s">
        <v>87</v>
      </c>
      <c r="E203" t="s">
        <v>456</v>
      </c>
      <c r="F203" t="s">
        <v>457</v>
      </c>
      <c r="G203" t="s">
        <v>179</v>
      </c>
      <c r="H203">
        <v>8</v>
      </c>
      <c r="I203">
        <v>81.75</v>
      </c>
      <c r="J203">
        <v>84.75</v>
      </c>
      <c r="K203">
        <v>3</v>
      </c>
      <c r="L203">
        <v>4</v>
      </c>
      <c r="M203">
        <v>0</v>
      </c>
      <c r="N203">
        <v>4</v>
      </c>
      <c r="O203" t="s">
        <v>53</v>
      </c>
      <c r="P203" t="s">
        <v>53</v>
      </c>
      <c r="Q203" t="s">
        <v>53</v>
      </c>
    </row>
    <row r="204" spans="1:17" s="30" customFormat="1" x14ac:dyDescent="0.2">
      <c r="A204" s="30" t="str">
        <f>IF(C204&amp;G204&amp;D204&lt;&gt;'Funnel setup'!$K$3&amp;'Funnel setup'!$K$4&amp;'Funnel setup'!$K$5,".",IF(A203=".",1,A203+1))</f>
        <v>.</v>
      </c>
      <c r="B204" s="431" t="str">
        <f t="shared" si="3"/>
        <v>Groin HerniaCCG of GP PracticeNHS WEST NORFOLK CCG (07J)EQ VAS</v>
      </c>
      <c r="C204" t="s">
        <v>50</v>
      </c>
      <c r="D204" t="s">
        <v>87</v>
      </c>
      <c r="E204" t="s">
        <v>459</v>
      </c>
      <c r="F204" t="s">
        <v>460</v>
      </c>
      <c r="G204" t="s">
        <v>179</v>
      </c>
      <c r="H204">
        <v>68</v>
      </c>
      <c r="I204">
        <v>82.191000000000003</v>
      </c>
      <c r="J204">
        <v>80.162000000000006</v>
      </c>
      <c r="K204">
        <v>-2.0289999999999999</v>
      </c>
      <c r="L204">
        <v>22</v>
      </c>
      <c r="M204">
        <v>16</v>
      </c>
      <c r="N204">
        <v>30</v>
      </c>
      <c r="O204">
        <v>79.869</v>
      </c>
      <c r="P204">
        <v>-0.77632600100000004</v>
      </c>
      <c r="Q204">
        <v>10.295</v>
      </c>
    </row>
    <row r="205" spans="1:17" s="30" customFormat="1" x14ac:dyDescent="0.2">
      <c r="A205" s="30" t="str">
        <f>IF(C205&amp;G205&amp;D205&lt;&gt;'Funnel setup'!$K$3&amp;'Funnel setup'!$K$4&amp;'Funnel setup'!$K$5,".",IF(A204=".",1,A204+1))</f>
        <v>.</v>
      </c>
      <c r="B205" s="431" t="str">
        <f t="shared" si="3"/>
        <v>Groin HerniaCCG of GP PracticeNHS WEST SUFFOLK CCG (07K)EQ VAS</v>
      </c>
      <c r="C205" t="s">
        <v>50</v>
      </c>
      <c r="D205" t="s">
        <v>87</v>
      </c>
      <c r="E205" t="s">
        <v>462</v>
      </c>
      <c r="F205" t="s">
        <v>463</v>
      </c>
      <c r="G205" t="s">
        <v>179</v>
      </c>
      <c r="H205">
        <v>138</v>
      </c>
      <c r="I205">
        <v>79.268000000000001</v>
      </c>
      <c r="J205">
        <v>78.593999999999994</v>
      </c>
      <c r="K205">
        <v>-0.67400000000000004</v>
      </c>
      <c r="L205">
        <v>54</v>
      </c>
      <c r="M205">
        <v>25</v>
      </c>
      <c r="N205">
        <v>59</v>
      </c>
      <c r="O205">
        <v>79.707999999999998</v>
      </c>
      <c r="P205">
        <v>-0.93766560099999996</v>
      </c>
      <c r="Q205">
        <v>15.406000000000001</v>
      </c>
    </row>
    <row r="206" spans="1:17" s="30" customFormat="1" x14ac:dyDescent="0.2">
      <c r="A206" s="30" t="str">
        <f>IF(C206&amp;G206&amp;D206&lt;&gt;'Funnel setup'!$K$3&amp;'Funnel setup'!$K$4&amp;'Funnel setup'!$K$5,".",IF(A205=".",1,A205+1))</f>
        <v>.</v>
      </c>
      <c r="B206" s="431" t="str">
        <f t="shared" si="3"/>
        <v>Groin HerniaCCG of GP PracticeNHS WIGAN BOROUGH CCG (02H)EQ VAS</v>
      </c>
      <c r="C206" t="s">
        <v>50</v>
      </c>
      <c r="D206" t="s">
        <v>87</v>
      </c>
      <c r="E206" t="s">
        <v>465</v>
      </c>
      <c r="F206" t="s">
        <v>466</v>
      </c>
      <c r="G206" t="s">
        <v>179</v>
      </c>
      <c r="H206">
        <v>150</v>
      </c>
      <c r="I206">
        <v>79.692999999999998</v>
      </c>
      <c r="J206">
        <v>77.753</v>
      </c>
      <c r="K206">
        <v>-1.94</v>
      </c>
      <c r="L206">
        <v>49</v>
      </c>
      <c r="M206">
        <v>31</v>
      </c>
      <c r="N206">
        <v>70</v>
      </c>
      <c r="O206">
        <v>78.864999999999995</v>
      </c>
      <c r="P206">
        <v>-1.7802265070000001</v>
      </c>
      <c r="Q206">
        <v>13.029</v>
      </c>
    </row>
    <row r="207" spans="1:17" s="30" customFormat="1" x14ac:dyDescent="0.2">
      <c r="A207" s="30" t="str">
        <f>IF(C207&amp;G207&amp;D207&lt;&gt;'Funnel setup'!$K$3&amp;'Funnel setup'!$K$4&amp;'Funnel setup'!$K$5,".",IF(A206=".",1,A206+1))</f>
        <v>.</v>
      </c>
      <c r="B207" s="431" t="str">
        <f t="shared" si="3"/>
        <v>Groin HerniaCCG of GP PracticeNHS WILTSHIRE CCG (99N)EQ VAS</v>
      </c>
      <c r="C207" t="s">
        <v>50</v>
      </c>
      <c r="D207" t="s">
        <v>87</v>
      </c>
      <c r="E207" t="s">
        <v>468</v>
      </c>
      <c r="F207" t="s">
        <v>469</v>
      </c>
      <c r="G207" t="s">
        <v>179</v>
      </c>
      <c r="H207">
        <v>259</v>
      </c>
      <c r="I207">
        <v>82.656000000000006</v>
      </c>
      <c r="J207">
        <v>82.378</v>
      </c>
      <c r="K207">
        <v>-0.27800000000000002</v>
      </c>
      <c r="L207">
        <v>99</v>
      </c>
      <c r="M207">
        <v>45</v>
      </c>
      <c r="N207">
        <v>115</v>
      </c>
      <c r="O207">
        <v>80.769000000000005</v>
      </c>
      <c r="P207">
        <v>0.12340812399999999</v>
      </c>
      <c r="Q207">
        <v>10.44</v>
      </c>
    </row>
    <row r="208" spans="1:17" s="30" customFormat="1" x14ac:dyDescent="0.2">
      <c r="A208" s="30" t="str">
        <f>IF(C208&amp;G208&amp;D208&lt;&gt;'Funnel setup'!$K$3&amp;'Funnel setup'!$K$4&amp;'Funnel setup'!$K$5,".",IF(A207=".",1,A207+1))</f>
        <v>.</v>
      </c>
      <c r="B208" s="431" t="str">
        <f t="shared" si="3"/>
        <v>Groin HerniaCCG of GP PracticeNHS WINDSOR, ASCOT AND MAIDENHEAD CCG (11C)EQ VAS</v>
      </c>
      <c r="C208" t="s">
        <v>50</v>
      </c>
      <c r="D208" t="s">
        <v>87</v>
      </c>
      <c r="E208" t="s">
        <v>471</v>
      </c>
      <c r="F208" t="s">
        <v>472</v>
      </c>
      <c r="G208" t="s">
        <v>179</v>
      </c>
      <c r="H208">
        <v>42</v>
      </c>
      <c r="I208">
        <v>81.929000000000002</v>
      </c>
      <c r="J208">
        <v>80.951999999999998</v>
      </c>
      <c r="K208">
        <v>-0.97599999999999998</v>
      </c>
      <c r="L208">
        <v>12</v>
      </c>
      <c r="M208">
        <v>11</v>
      </c>
      <c r="N208">
        <v>19</v>
      </c>
      <c r="O208">
        <v>80.510999999999996</v>
      </c>
      <c r="P208">
        <v>-0.13444384400000001</v>
      </c>
      <c r="Q208">
        <v>11.621</v>
      </c>
    </row>
    <row r="209" spans="1:17" s="30" customFormat="1" x14ac:dyDescent="0.2">
      <c r="A209" s="30" t="str">
        <f>IF(C209&amp;G209&amp;D209&lt;&gt;'Funnel setup'!$K$3&amp;'Funnel setup'!$K$4&amp;'Funnel setup'!$K$5,".",IF(A208=".",1,A208+1))</f>
        <v>.</v>
      </c>
      <c r="B209" s="431" t="str">
        <f t="shared" si="3"/>
        <v>Groin HerniaCCG of GP PracticeNHS WIRRAL CCG (12F)EQ VAS</v>
      </c>
      <c r="C209" t="s">
        <v>50</v>
      </c>
      <c r="D209" t="s">
        <v>87</v>
      </c>
      <c r="E209" t="s">
        <v>474</v>
      </c>
      <c r="F209" t="s">
        <v>475</v>
      </c>
      <c r="G209" t="s">
        <v>179</v>
      </c>
      <c r="H209">
        <v>123</v>
      </c>
      <c r="I209">
        <v>79.397999999999996</v>
      </c>
      <c r="J209">
        <v>76.650000000000006</v>
      </c>
      <c r="K209">
        <v>-2.7480000000000002</v>
      </c>
      <c r="L209">
        <v>40</v>
      </c>
      <c r="M209">
        <v>25</v>
      </c>
      <c r="N209">
        <v>58</v>
      </c>
      <c r="O209">
        <v>78.070999999999998</v>
      </c>
      <c r="P209">
        <v>-2.574585774</v>
      </c>
      <c r="Q209">
        <v>15.566000000000001</v>
      </c>
    </row>
    <row r="210" spans="1:17" s="30" customFormat="1" x14ac:dyDescent="0.2">
      <c r="A210" s="30" t="str">
        <f>IF(C210&amp;G210&amp;D210&lt;&gt;'Funnel setup'!$K$3&amp;'Funnel setup'!$K$4&amp;'Funnel setup'!$K$5,".",IF(A209=".",1,A209+1))</f>
        <v>.</v>
      </c>
      <c r="B210" s="431" t="str">
        <f t="shared" si="3"/>
        <v>Groin HerniaCCG of GP PracticeNHS WOKINGHAM CCG (11D)EQ VAS</v>
      </c>
      <c r="C210" t="s">
        <v>50</v>
      </c>
      <c r="D210" t="s">
        <v>87</v>
      </c>
      <c r="E210" t="s">
        <v>477</v>
      </c>
      <c r="F210" t="s">
        <v>478</v>
      </c>
      <c r="G210" t="s">
        <v>179</v>
      </c>
      <c r="H210">
        <v>54</v>
      </c>
      <c r="I210">
        <v>84.111000000000004</v>
      </c>
      <c r="J210">
        <v>79.406999999999996</v>
      </c>
      <c r="K210">
        <v>-4.7039999999999997</v>
      </c>
      <c r="L210">
        <v>17</v>
      </c>
      <c r="M210">
        <v>11</v>
      </c>
      <c r="N210">
        <v>26</v>
      </c>
      <c r="O210">
        <v>77.266000000000005</v>
      </c>
      <c r="P210">
        <v>-3.3795442499999999</v>
      </c>
      <c r="Q210">
        <v>12.012</v>
      </c>
    </row>
    <row r="211" spans="1:17" s="30" customFormat="1" x14ac:dyDescent="0.2">
      <c r="A211" s="30" t="str">
        <f>IF(C211&amp;G211&amp;D211&lt;&gt;'Funnel setup'!$K$3&amp;'Funnel setup'!$K$4&amp;'Funnel setup'!$K$5,".",IF(A210=".",1,A210+1))</f>
        <v>.</v>
      </c>
      <c r="B211" s="431" t="str">
        <f t="shared" si="3"/>
        <v>Groin HerniaCCG of GP PracticeNHS WOLVERHAMPTON CCG (06A)EQ VAS</v>
      </c>
      <c r="C211" t="s">
        <v>50</v>
      </c>
      <c r="D211" t="s">
        <v>87</v>
      </c>
      <c r="E211" t="s">
        <v>480</v>
      </c>
      <c r="F211" t="s">
        <v>481</v>
      </c>
      <c r="G211" t="s">
        <v>179</v>
      </c>
      <c r="H211">
        <v>105</v>
      </c>
      <c r="I211">
        <v>79.180999999999997</v>
      </c>
      <c r="J211">
        <v>77.951999999999998</v>
      </c>
      <c r="K211">
        <v>-1.2290000000000001</v>
      </c>
      <c r="L211">
        <v>34</v>
      </c>
      <c r="M211">
        <v>22</v>
      </c>
      <c r="N211">
        <v>49</v>
      </c>
      <c r="O211">
        <v>79.052000000000007</v>
      </c>
      <c r="P211">
        <v>-1.5939207209999999</v>
      </c>
      <c r="Q211">
        <v>13.548</v>
      </c>
    </row>
    <row r="212" spans="1:17" s="30" customFormat="1" x14ac:dyDescent="0.2">
      <c r="A212" s="30" t="str">
        <f>IF(C212&amp;G212&amp;D212&lt;&gt;'Funnel setup'!$K$3&amp;'Funnel setup'!$K$4&amp;'Funnel setup'!$K$5,".",IF(A211=".",1,A211+1))</f>
        <v>.</v>
      </c>
      <c r="B212" s="431" t="str">
        <f t="shared" si="3"/>
        <v>Groin HerniaCCG of GP PracticeNHS WYRE FOREST CCG (06D)EQ VAS</v>
      </c>
      <c r="C212" t="s">
        <v>50</v>
      </c>
      <c r="D212" t="s">
        <v>87</v>
      </c>
      <c r="E212" t="s">
        <v>483</v>
      </c>
      <c r="F212" t="s">
        <v>484</v>
      </c>
      <c r="G212" t="s">
        <v>179</v>
      </c>
      <c r="H212">
        <v>82</v>
      </c>
      <c r="I212">
        <v>81.840999999999994</v>
      </c>
      <c r="J212">
        <v>81.427000000000007</v>
      </c>
      <c r="K212">
        <v>-0.41499999999999998</v>
      </c>
      <c r="L212">
        <v>30</v>
      </c>
      <c r="M212">
        <v>18</v>
      </c>
      <c r="N212">
        <v>34</v>
      </c>
      <c r="O212">
        <v>81.471999999999994</v>
      </c>
      <c r="P212">
        <v>0.82621986400000003</v>
      </c>
      <c r="Q212">
        <v>10.541</v>
      </c>
    </row>
    <row r="213" spans="1:17" s="30" customFormat="1" x14ac:dyDescent="0.2">
      <c r="A213" s="30" t="str">
        <f>IF(C213&amp;G213&amp;D213&lt;&gt;'Funnel setup'!$K$3&amp;'Funnel setup'!$K$4&amp;'Funnel setup'!$K$5,".",IF(A212=".",1,A212+1))</f>
        <v>.</v>
      </c>
      <c r="B213" s="431" t="str">
        <f t="shared" si="3"/>
        <v>Groin HerniaCCG of GP PracticeSOUTH CENTRAL COMMISSIONING HUB (14H)EQ VAS</v>
      </c>
      <c r="C213" t="s">
        <v>50</v>
      </c>
      <c r="D213" t="s">
        <v>87</v>
      </c>
      <c r="E213" t="s">
        <v>6547</v>
      </c>
      <c r="F213" t="s">
        <v>6544</v>
      </c>
      <c r="G213" t="s">
        <v>179</v>
      </c>
      <c r="H213" t="s">
        <v>53</v>
      </c>
      <c r="I213" t="s">
        <v>53</v>
      </c>
      <c r="J213" t="s">
        <v>53</v>
      </c>
      <c r="K213" t="s">
        <v>53</v>
      </c>
      <c r="L213" t="s">
        <v>53</v>
      </c>
      <c r="M213" t="s">
        <v>53</v>
      </c>
      <c r="N213" t="s">
        <v>53</v>
      </c>
      <c r="O213" t="s">
        <v>53</v>
      </c>
      <c r="P213" t="s">
        <v>53</v>
      </c>
      <c r="Q213" t="s">
        <v>53</v>
      </c>
    </row>
    <row r="214" spans="1:17" s="30" customFormat="1" x14ac:dyDescent="0.2">
      <c r="A214" s="30" t="str">
        <f>IF(C214&amp;G214&amp;D214&lt;&gt;'Funnel setup'!$K$3&amp;'Funnel setup'!$K$4&amp;'Funnel setup'!$K$5,".",IF(A213=".",1,A213+1))</f>
        <v>.</v>
      </c>
      <c r="B214" s="431" t="str">
        <f t="shared" si="3"/>
        <v>Groin HerniaCCG of GP PracticeSOUTH EAST COMMISSIONING HUB (14G)EQ VAS</v>
      </c>
      <c r="C214" t="s">
        <v>50</v>
      </c>
      <c r="D214" t="s">
        <v>87</v>
      </c>
      <c r="E214" t="s">
        <v>6549</v>
      </c>
      <c r="F214" t="s">
        <v>6545</v>
      </c>
      <c r="G214" t="s">
        <v>179</v>
      </c>
      <c r="H214" t="s">
        <v>53</v>
      </c>
      <c r="I214" t="s">
        <v>53</v>
      </c>
      <c r="J214" t="s">
        <v>53</v>
      </c>
      <c r="K214" t="s">
        <v>53</v>
      </c>
      <c r="L214" t="s">
        <v>53</v>
      </c>
      <c r="M214" t="s">
        <v>53</v>
      </c>
      <c r="N214" t="s">
        <v>53</v>
      </c>
      <c r="O214" t="s">
        <v>53</v>
      </c>
      <c r="P214" t="s">
        <v>53</v>
      </c>
      <c r="Q214" t="s">
        <v>53</v>
      </c>
    </row>
    <row r="215" spans="1:17" s="30" customFormat="1" x14ac:dyDescent="0.2">
      <c r="A215" s="30" t="str">
        <f>IF(C215&amp;G215&amp;D215&lt;&gt;'Funnel setup'!$K$3&amp;'Funnel setup'!$K$4&amp;'Funnel setup'!$K$5,".",IF(A214=".",1,A214+1))</f>
        <v>.</v>
      </c>
      <c r="B215" s="431" t="str">
        <f t="shared" si="3"/>
        <v>Groin HerniaCCG of GP PracticeEAST COMMISSIONING HUB (14E)EQ-5D Index</v>
      </c>
      <c r="C215" t="s">
        <v>50</v>
      </c>
      <c r="D215" t="s">
        <v>87</v>
      </c>
      <c r="E215" t="s">
        <v>6551</v>
      </c>
      <c r="F215" t="s">
        <v>6542</v>
      </c>
      <c r="G215" t="s">
        <v>52</v>
      </c>
      <c r="H215" t="s">
        <v>53</v>
      </c>
      <c r="I215" t="s">
        <v>53</v>
      </c>
      <c r="J215" t="s">
        <v>53</v>
      </c>
      <c r="K215" t="s">
        <v>53</v>
      </c>
      <c r="L215" t="s">
        <v>53</v>
      </c>
      <c r="M215" t="s">
        <v>53</v>
      </c>
      <c r="N215" t="s">
        <v>53</v>
      </c>
      <c r="O215" t="s">
        <v>53</v>
      </c>
      <c r="P215" t="s">
        <v>53</v>
      </c>
      <c r="Q215" t="s">
        <v>53</v>
      </c>
    </row>
    <row r="216" spans="1:17" s="30" customFormat="1" x14ac:dyDescent="0.2">
      <c r="A216" s="30" t="str">
        <f>IF(C216&amp;G216&amp;D216&lt;&gt;'Funnel setup'!$K$3&amp;'Funnel setup'!$K$4&amp;'Funnel setup'!$K$5,".",IF(A215=".",1,A215+1))</f>
        <v>.</v>
      </c>
      <c r="B216" s="431" t="str">
        <f t="shared" si="3"/>
        <v>Groin HerniaCCG of GP PracticeNATIONAL COMMISSIONING HUB 1 (13Q)EQ-5D Index</v>
      </c>
      <c r="C216" t="s">
        <v>50</v>
      </c>
      <c r="D216" t="s">
        <v>87</v>
      </c>
      <c r="E216" t="s">
        <v>563</v>
      </c>
      <c r="F216" t="s">
        <v>564</v>
      </c>
      <c r="G216" t="s">
        <v>52</v>
      </c>
      <c r="H216">
        <v>32</v>
      </c>
      <c r="I216">
        <v>0.81599999999999995</v>
      </c>
      <c r="J216">
        <v>0.93500000000000005</v>
      </c>
      <c r="K216">
        <v>0.11899999999999999</v>
      </c>
      <c r="L216">
        <v>19</v>
      </c>
      <c r="M216">
        <v>11</v>
      </c>
      <c r="N216">
        <v>2</v>
      </c>
      <c r="O216">
        <v>0.91400000000000003</v>
      </c>
      <c r="P216">
        <v>0.120729472</v>
      </c>
      <c r="Q216">
        <v>0.125</v>
      </c>
    </row>
    <row r="217" spans="1:17" s="30" customFormat="1" x14ac:dyDescent="0.2">
      <c r="A217" s="30" t="str">
        <f>IF(C217&amp;G217&amp;D217&lt;&gt;'Funnel setup'!$K$3&amp;'Funnel setup'!$K$4&amp;'Funnel setup'!$K$5,".",IF(A216=".",1,A216+1))</f>
        <v>.</v>
      </c>
      <c r="B217" s="431" t="str">
        <f t="shared" si="3"/>
        <v>Groin HerniaCCG of GP PracticeNHS AIREDALE, WHARFEDALE AND CRAVEN CCG (02N)EQ-5D Index</v>
      </c>
      <c r="C217" t="s">
        <v>50</v>
      </c>
      <c r="D217" t="s">
        <v>87</v>
      </c>
      <c r="E217" t="s">
        <v>566</v>
      </c>
      <c r="F217" t="s">
        <v>567</v>
      </c>
      <c r="G217" t="s">
        <v>52</v>
      </c>
      <c r="H217">
        <v>106</v>
      </c>
      <c r="I217">
        <v>0.84699999999999998</v>
      </c>
      <c r="J217">
        <v>0.90700000000000003</v>
      </c>
      <c r="K217">
        <v>0.06</v>
      </c>
      <c r="L217">
        <v>46</v>
      </c>
      <c r="M217">
        <v>39</v>
      </c>
      <c r="N217">
        <v>21</v>
      </c>
      <c r="O217">
        <v>0.89400000000000002</v>
      </c>
      <c r="P217">
        <v>0.100423871</v>
      </c>
      <c r="Q217">
        <v>0.128</v>
      </c>
    </row>
    <row r="218" spans="1:17" s="30" customFormat="1" x14ac:dyDescent="0.2">
      <c r="A218" s="30" t="str">
        <f>IF(C218&amp;G218&amp;D218&lt;&gt;'Funnel setup'!$K$3&amp;'Funnel setup'!$K$4&amp;'Funnel setup'!$K$5,".",IF(A217=".",1,A217+1))</f>
        <v>.</v>
      </c>
      <c r="B218" s="431" t="str">
        <f t="shared" si="3"/>
        <v>Groin HerniaCCG of GP PracticeNHS ASHFORD CCG (09C)EQ-5D Index</v>
      </c>
      <c r="C218" t="s">
        <v>50</v>
      </c>
      <c r="D218" t="s">
        <v>87</v>
      </c>
      <c r="E218" t="s">
        <v>569</v>
      </c>
      <c r="F218" t="s">
        <v>339</v>
      </c>
      <c r="G218" t="s">
        <v>52</v>
      </c>
      <c r="H218">
        <v>33</v>
      </c>
      <c r="I218">
        <v>0.80300000000000005</v>
      </c>
      <c r="J218">
        <v>0.89400000000000002</v>
      </c>
      <c r="K218">
        <v>9.0999999999999998E-2</v>
      </c>
      <c r="L218">
        <v>15</v>
      </c>
      <c r="M218">
        <v>10</v>
      </c>
      <c r="N218">
        <v>8</v>
      </c>
      <c r="O218">
        <v>0.88500000000000001</v>
      </c>
      <c r="P218">
        <v>9.1904218999999995E-2</v>
      </c>
      <c r="Q218">
        <v>0.11799999999999999</v>
      </c>
    </row>
    <row r="219" spans="1:17" s="30" customFormat="1" x14ac:dyDescent="0.2">
      <c r="A219" s="30" t="str">
        <f>IF(C219&amp;G219&amp;D219&lt;&gt;'Funnel setup'!$K$3&amp;'Funnel setup'!$K$4&amp;'Funnel setup'!$K$5,".",IF(A218=".",1,A218+1))</f>
        <v>.</v>
      </c>
      <c r="B219" s="431" t="str">
        <f t="shared" si="3"/>
        <v>Groin HerniaCCG of GP PracticeNHS AYLESBURY VALE CCG (10Y)EQ-5D Index</v>
      </c>
      <c r="C219" t="s">
        <v>50</v>
      </c>
      <c r="D219" t="s">
        <v>87</v>
      </c>
      <c r="E219" t="s">
        <v>571</v>
      </c>
      <c r="F219" t="s">
        <v>572</v>
      </c>
      <c r="G219" t="s">
        <v>52</v>
      </c>
      <c r="H219">
        <v>87</v>
      </c>
      <c r="I219">
        <v>0.77100000000000002</v>
      </c>
      <c r="J219">
        <v>0.92900000000000005</v>
      </c>
      <c r="K219">
        <v>0.158</v>
      </c>
      <c r="L219">
        <v>55</v>
      </c>
      <c r="M219">
        <v>27</v>
      </c>
      <c r="N219">
        <v>5</v>
      </c>
      <c r="O219">
        <v>0.92200000000000004</v>
      </c>
      <c r="P219">
        <v>0.12823146499999999</v>
      </c>
      <c r="Q219">
        <v>0.107</v>
      </c>
    </row>
    <row r="220" spans="1:17" s="30" customFormat="1" x14ac:dyDescent="0.2">
      <c r="A220" s="30" t="str">
        <f>IF(C220&amp;G220&amp;D220&lt;&gt;'Funnel setup'!$K$3&amp;'Funnel setup'!$K$4&amp;'Funnel setup'!$K$5,".",IF(A219=".",1,A219+1))</f>
        <v>.</v>
      </c>
      <c r="B220" s="431" t="str">
        <f t="shared" si="3"/>
        <v>Groin HerniaCCG of GP PracticeNHS BARKING AND DAGENHAM CCG (07L)EQ-5D Index</v>
      </c>
      <c r="C220" t="s">
        <v>50</v>
      </c>
      <c r="D220" t="s">
        <v>87</v>
      </c>
      <c r="E220" t="s">
        <v>574</v>
      </c>
      <c r="F220" t="s">
        <v>575</v>
      </c>
      <c r="G220" t="s">
        <v>52</v>
      </c>
      <c r="H220">
        <v>27</v>
      </c>
      <c r="I220">
        <v>0.82</v>
      </c>
      <c r="J220">
        <v>0.80300000000000005</v>
      </c>
      <c r="K220">
        <v>-1.7000000000000001E-2</v>
      </c>
      <c r="L220">
        <v>8</v>
      </c>
      <c r="M220">
        <v>10</v>
      </c>
      <c r="N220">
        <v>9</v>
      </c>
      <c r="O220" t="s">
        <v>53</v>
      </c>
      <c r="P220" t="s">
        <v>53</v>
      </c>
      <c r="Q220" t="s">
        <v>53</v>
      </c>
    </row>
    <row r="221" spans="1:17" s="30" customFormat="1" x14ac:dyDescent="0.2">
      <c r="A221" s="30" t="str">
        <f>IF(C221&amp;G221&amp;D221&lt;&gt;'Funnel setup'!$K$3&amp;'Funnel setup'!$K$4&amp;'Funnel setup'!$K$5,".",IF(A220=".",1,A220+1))</f>
        <v>.</v>
      </c>
      <c r="B221" s="431" t="str">
        <f t="shared" si="3"/>
        <v>Groin HerniaCCG of GP PracticeNHS BARNET CCG (07M)EQ-5D Index</v>
      </c>
      <c r="C221" t="s">
        <v>50</v>
      </c>
      <c r="D221" t="s">
        <v>87</v>
      </c>
      <c r="E221" t="s">
        <v>577</v>
      </c>
      <c r="F221" t="s">
        <v>578</v>
      </c>
      <c r="G221" t="s">
        <v>52</v>
      </c>
      <c r="H221">
        <v>16</v>
      </c>
      <c r="I221">
        <v>0.71199999999999997</v>
      </c>
      <c r="J221">
        <v>0.755</v>
      </c>
      <c r="K221">
        <v>4.2999999999999997E-2</v>
      </c>
      <c r="L221">
        <v>7</v>
      </c>
      <c r="M221">
        <v>5</v>
      </c>
      <c r="N221">
        <v>4</v>
      </c>
      <c r="O221" t="s">
        <v>53</v>
      </c>
      <c r="P221" t="s">
        <v>53</v>
      </c>
      <c r="Q221" t="s">
        <v>53</v>
      </c>
    </row>
    <row r="222" spans="1:17" s="30" customFormat="1" x14ac:dyDescent="0.2">
      <c r="A222" s="30" t="str">
        <f>IF(C222&amp;G222&amp;D222&lt;&gt;'Funnel setup'!$K$3&amp;'Funnel setup'!$K$4&amp;'Funnel setup'!$K$5,".",IF(A221=".",1,A221+1))</f>
        <v>.</v>
      </c>
      <c r="B222" s="431" t="str">
        <f t="shared" si="3"/>
        <v>Groin HerniaCCG of GP PracticeNHS BARNSLEY CCG (02P)EQ-5D Index</v>
      </c>
      <c r="C222" t="s">
        <v>50</v>
      </c>
      <c r="D222" t="s">
        <v>87</v>
      </c>
      <c r="E222" t="s">
        <v>580</v>
      </c>
      <c r="F222" t="s">
        <v>581</v>
      </c>
      <c r="G222" t="s">
        <v>52</v>
      </c>
      <c r="H222">
        <v>120</v>
      </c>
      <c r="I222">
        <v>0.79100000000000004</v>
      </c>
      <c r="J222">
        <v>0.89100000000000001</v>
      </c>
      <c r="K222">
        <v>0.10100000000000001</v>
      </c>
      <c r="L222">
        <v>66</v>
      </c>
      <c r="M222">
        <v>35</v>
      </c>
      <c r="N222">
        <v>19</v>
      </c>
      <c r="O222">
        <v>0.88600000000000001</v>
      </c>
      <c r="P222">
        <v>9.2642664E-2</v>
      </c>
      <c r="Q222">
        <v>0.153</v>
      </c>
    </row>
    <row r="223" spans="1:17" s="30" customFormat="1" x14ac:dyDescent="0.2">
      <c r="A223" s="30" t="str">
        <f>IF(C223&amp;G223&amp;D223&lt;&gt;'Funnel setup'!$K$3&amp;'Funnel setup'!$K$4&amp;'Funnel setup'!$K$5,".",IF(A222=".",1,A222+1))</f>
        <v>.</v>
      </c>
      <c r="B223" s="431" t="str">
        <f t="shared" si="3"/>
        <v>Groin HerniaCCG of GP PracticeNHS BASILDON AND BRENTWOOD CCG (99E)EQ-5D Index</v>
      </c>
      <c r="C223" t="s">
        <v>50</v>
      </c>
      <c r="D223" t="s">
        <v>87</v>
      </c>
      <c r="E223" t="s">
        <v>583</v>
      </c>
      <c r="F223" t="s">
        <v>584</v>
      </c>
      <c r="G223" t="s">
        <v>52</v>
      </c>
      <c r="H223">
        <v>65</v>
      </c>
      <c r="I223">
        <v>0.745</v>
      </c>
      <c r="J223">
        <v>0.86899999999999999</v>
      </c>
      <c r="K223">
        <v>0.123</v>
      </c>
      <c r="L223">
        <v>40</v>
      </c>
      <c r="M223">
        <v>19</v>
      </c>
      <c r="N223">
        <v>6</v>
      </c>
      <c r="O223">
        <v>0.90100000000000002</v>
      </c>
      <c r="P223">
        <v>0.10749057400000001</v>
      </c>
      <c r="Q223">
        <v>0.14899999999999999</v>
      </c>
    </row>
    <row r="224" spans="1:17" s="30" customFormat="1" x14ac:dyDescent="0.2">
      <c r="A224" s="30" t="str">
        <f>IF(C224&amp;G224&amp;D224&lt;&gt;'Funnel setup'!$K$3&amp;'Funnel setup'!$K$4&amp;'Funnel setup'!$K$5,".",IF(A223=".",1,A223+1))</f>
        <v>.</v>
      </c>
      <c r="B224" s="431" t="str">
        <f t="shared" si="3"/>
        <v>Groin HerniaCCG of GP PracticeNHS BASSETLAW CCG (02Q)EQ-5D Index</v>
      </c>
      <c r="C224" t="s">
        <v>50</v>
      </c>
      <c r="D224" t="s">
        <v>87</v>
      </c>
      <c r="E224" t="s">
        <v>586</v>
      </c>
      <c r="F224" t="s">
        <v>587</v>
      </c>
      <c r="G224" t="s">
        <v>52</v>
      </c>
      <c r="H224">
        <v>97</v>
      </c>
      <c r="I224">
        <v>0.79</v>
      </c>
      <c r="J224">
        <v>0.82799999999999996</v>
      </c>
      <c r="K224">
        <v>3.6999999999999998E-2</v>
      </c>
      <c r="L224">
        <v>40</v>
      </c>
      <c r="M224">
        <v>29</v>
      </c>
      <c r="N224">
        <v>28</v>
      </c>
      <c r="O224">
        <v>0.84399999999999997</v>
      </c>
      <c r="P224">
        <v>5.0606579999999998E-2</v>
      </c>
      <c r="Q224">
        <v>0.20300000000000001</v>
      </c>
    </row>
    <row r="225" spans="1:17" s="30" customFormat="1" x14ac:dyDescent="0.2">
      <c r="A225" s="30" t="str">
        <f>IF(C225&amp;G225&amp;D225&lt;&gt;'Funnel setup'!$K$3&amp;'Funnel setup'!$K$4&amp;'Funnel setup'!$K$5,".",IF(A224=".",1,A224+1))</f>
        <v>.</v>
      </c>
      <c r="B225" s="431" t="str">
        <f t="shared" si="3"/>
        <v>Groin HerniaCCG of GP PracticeNHS BATH AND NORTH EAST SOMERSET CCG (11E)EQ-5D Index</v>
      </c>
      <c r="C225" t="s">
        <v>50</v>
      </c>
      <c r="D225" t="s">
        <v>87</v>
      </c>
      <c r="E225" t="s">
        <v>589</v>
      </c>
      <c r="F225" t="s">
        <v>590</v>
      </c>
      <c r="G225" t="s">
        <v>52</v>
      </c>
      <c r="H225">
        <v>100</v>
      </c>
      <c r="I225">
        <v>0.85199999999999998</v>
      </c>
      <c r="J225">
        <v>0.89800000000000002</v>
      </c>
      <c r="K225">
        <v>4.5999999999999999E-2</v>
      </c>
      <c r="L225">
        <v>38</v>
      </c>
      <c r="M225">
        <v>42</v>
      </c>
      <c r="N225">
        <v>20</v>
      </c>
      <c r="O225">
        <v>0.86499999999999999</v>
      </c>
      <c r="P225">
        <v>7.1379165999999994E-2</v>
      </c>
      <c r="Q225">
        <v>0.14699999999999999</v>
      </c>
    </row>
    <row r="226" spans="1:17" s="30" customFormat="1" x14ac:dyDescent="0.2">
      <c r="A226" s="30" t="str">
        <f>IF(C226&amp;G226&amp;D226&lt;&gt;'Funnel setup'!$K$3&amp;'Funnel setup'!$K$4&amp;'Funnel setup'!$K$5,".",IF(A225=".",1,A225+1))</f>
        <v>.</v>
      </c>
      <c r="B226" s="431" t="str">
        <f t="shared" si="3"/>
        <v>Groin HerniaCCG of GP PracticeNHS BEDFORDSHIRE CCG (06F)EQ-5D Index</v>
      </c>
      <c r="C226" t="s">
        <v>50</v>
      </c>
      <c r="D226" t="s">
        <v>87</v>
      </c>
      <c r="E226" t="s">
        <v>592</v>
      </c>
      <c r="F226" t="s">
        <v>593</v>
      </c>
      <c r="G226" t="s">
        <v>52</v>
      </c>
      <c r="H226">
        <v>182</v>
      </c>
      <c r="I226">
        <v>0.78800000000000003</v>
      </c>
      <c r="J226">
        <v>0.88400000000000001</v>
      </c>
      <c r="K226">
        <v>9.5000000000000001E-2</v>
      </c>
      <c r="L226">
        <v>95</v>
      </c>
      <c r="M226">
        <v>56</v>
      </c>
      <c r="N226">
        <v>31</v>
      </c>
      <c r="O226">
        <v>0.876</v>
      </c>
      <c r="P226">
        <v>8.3027221999999998E-2</v>
      </c>
      <c r="Q226">
        <v>0.14099999999999999</v>
      </c>
    </row>
    <row r="227" spans="1:17" s="30" customFormat="1" x14ac:dyDescent="0.2">
      <c r="A227" s="30" t="str">
        <f>IF(C227&amp;G227&amp;D227&lt;&gt;'Funnel setup'!$K$3&amp;'Funnel setup'!$K$4&amp;'Funnel setup'!$K$5,".",IF(A226=".",1,A226+1))</f>
        <v>.</v>
      </c>
      <c r="B227" s="431" t="str">
        <f t="shared" si="3"/>
        <v>Groin HerniaCCG of GP PracticeNHS BEXLEY CCG (07N)EQ-5D Index</v>
      </c>
      <c r="C227" t="s">
        <v>50</v>
      </c>
      <c r="D227" t="s">
        <v>87</v>
      </c>
      <c r="E227" t="s">
        <v>595</v>
      </c>
      <c r="F227" t="s">
        <v>596</v>
      </c>
      <c r="G227" t="s">
        <v>52</v>
      </c>
      <c r="H227">
        <v>30</v>
      </c>
      <c r="I227">
        <v>0.76300000000000001</v>
      </c>
      <c r="J227">
        <v>0.78800000000000003</v>
      </c>
      <c r="K227">
        <v>2.5999999999999999E-2</v>
      </c>
      <c r="L227">
        <v>11</v>
      </c>
      <c r="M227">
        <v>14</v>
      </c>
      <c r="N227">
        <v>5</v>
      </c>
      <c r="O227">
        <v>0.84199999999999997</v>
      </c>
      <c r="P227">
        <v>4.8313939E-2</v>
      </c>
      <c r="Q227">
        <v>0.184</v>
      </c>
    </row>
    <row r="228" spans="1:17" s="30" customFormat="1" x14ac:dyDescent="0.2">
      <c r="A228" s="30" t="str">
        <f>IF(C228&amp;G228&amp;D228&lt;&gt;'Funnel setup'!$K$3&amp;'Funnel setup'!$K$4&amp;'Funnel setup'!$K$5,".",IF(A227=".",1,A227+1))</f>
        <v>.</v>
      </c>
      <c r="B228" s="431" t="str">
        <f t="shared" si="3"/>
        <v>Groin HerniaCCG of GP PracticeNHS BIRMINGHAM CROSSCITY CCG (13P)EQ-5D Index</v>
      </c>
      <c r="C228" t="s">
        <v>50</v>
      </c>
      <c r="D228" t="s">
        <v>87</v>
      </c>
      <c r="E228" t="s">
        <v>598</v>
      </c>
      <c r="F228" t="s">
        <v>599</v>
      </c>
      <c r="G228" t="s">
        <v>52</v>
      </c>
      <c r="H228">
        <v>279</v>
      </c>
      <c r="I228">
        <v>0.78500000000000003</v>
      </c>
      <c r="J228">
        <v>0.873</v>
      </c>
      <c r="K228">
        <v>8.7999999999999995E-2</v>
      </c>
      <c r="L228">
        <v>147</v>
      </c>
      <c r="M228">
        <v>85</v>
      </c>
      <c r="N228">
        <v>47</v>
      </c>
      <c r="O228">
        <v>0.88700000000000001</v>
      </c>
      <c r="P228">
        <v>9.3421049000000006E-2</v>
      </c>
      <c r="Q228">
        <v>0.14799999999999999</v>
      </c>
    </row>
    <row r="229" spans="1:17" s="30" customFormat="1" x14ac:dyDescent="0.2">
      <c r="A229" s="30" t="str">
        <f>IF(C229&amp;G229&amp;D229&lt;&gt;'Funnel setup'!$K$3&amp;'Funnel setup'!$K$4&amp;'Funnel setup'!$K$5,".",IF(A228=".",1,A228+1))</f>
        <v>.</v>
      </c>
      <c r="B229" s="431" t="str">
        <f t="shared" si="3"/>
        <v>Groin HerniaCCG of GP PracticeNHS BIRMINGHAM SOUTH AND CENTRAL CCG (04X)EQ-5D Index</v>
      </c>
      <c r="C229" t="s">
        <v>50</v>
      </c>
      <c r="D229" t="s">
        <v>87</v>
      </c>
      <c r="E229" t="s">
        <v>601</v>
      </c>
      <c r="F229" t="s">
        <v>602</v>
      </c>
      <c r="G229" t="s">
        <v>52</v>
      </c>
      <c r="H229">
        <v>58</v>
      </c>
      <c r="I229">
        <v>0.79200000000000004</v>
      </c>
      <c r="J229">
        <v>0.83899999999999997</v>
      </c>
      <c r="K229">
        <v>4.7E-2</v>
      </c>
      <c r="L229">
        <v>26</v>
      </c>
      <c r="M229">
        <v>18</v>
      </c>
      <c r="N229">
        <v>14</v>
      </c>
      <c r="O229">
        <v>0.86</v>
      </c>
      <c r="P229">
        <v>6.6514719999999999E-2</v>
      </c>
      <c r="Q229">
        <v>0.187</v>
      </c>
    </row>
    <row r="230" spans="1:17" s="30" customFormat="1" x14ac:dyDescent="0.2">
      <c r="A230" s="30" t="str">
        <f>IF(C230&amp;G230&amp;D230&lt;&gt;'Funnel setup'!$K$3&amp;'Funnel setup'!$K$4&amp;'Funnel setup'!$K$5,".",IF(A229=".",1,A229+1))</f>
        <v>.</v>
      </c>
      <c r="B230" s="431" t="str">
        <f t="shared" si="3"/>
        <v>Groin HerniaCCG of GP PracticeNHS BLACKBURN WITH DARWEN CCG (00Q)EQ-5D Index</v>
      </c>
      <c r="C230" t="s">
        <v>50</v>
      </c>
      <c r="D230" t="s">
        <v>87</v>
      </c>
      <c r="E230" t="s">
        <v>604</v>
      </c>
      <c r="F230" t="s">
        <v>605</v>
      </c>
      <c r="G230" t="s">
        <v>52</v>
      </c>
      <c r="H230">
        <v>76</v>
      </c>
      <c r="I230">
        <v>0.69399999999999995</v>
      </c>
      <c r="J230">
        <v>0.84599999999999997</v>
      </c>
      <c r="K230">
        <v>0.152</v>
      </c>
      <c r="L230">
        <v>39</v>
      </c>
      <c r="M230">
        <v>21</v>
      </c>
      <c r="N230">
        <v>16</v>
      </c>
      <c r="O230">
        <v>0.90200000000000002</v>
      </c>
      <c r="P230">
        <v>0.108178393</v>
      </c>
      <c r="Q230">
        <v>0.17799999999999999</v>
      </c>
    </row>
    <row r="231" spans="1:17" s="30" customFormat="1" x14ac:dyDescent="0.2">
      <c r="A231" s="30" t="str">
        <f>IF(C231&amp;G231&amp;D231&lt;&gt;'Funnel setup'!$K$3&amp;'Funnel setup'!$K$4&amp;'Funnel setup'!$K$5,".",IF(A230=".",1,A230+1))</f>
        <v>.</v>
      </c>
      <c r="B231" s="431" t="str">
        <f t="shared" si="3"/>
        <v>Groin HerniaCCG of GP PracticeNHS BLACKPOOL CCG (00R)EQ-5D Index</v>
      </c>
      <c r="C231" t="s">
        <v>50</v>
      </c>
      <c r="D231" t="s">
        <v>87</v>
      </c>
      <c r="E231" t="s">
        <v>607</v>
      </c>
      <c r="F231" t="s">
        <v>608</v>
      </c>
      <c r="G231" t="s">
        <v>52</v>
      </c>
      <c r="H231">
        <v>18</v>
      </c>
      <c r="I231">
        <v>0.77500000000000002</v>
      </c>
      <c r="J231">
        <v>0.77600000000000002</v>
      </c>
      <c r="K231">
        <v>2E-3</v>
      </c>
      <c r="L231">
        <v>10</v>
      </c>
      <c r="M231">
        <v>4</v>
      </c>
      <c r="N231">
        <v>4</v>
      </c>
      <c r="O231" t="s">
        <v>53</v>
      </c>
      <c r="P231" t="s">
        <v>53</v>
      </c>
      <c r="Q231" t="s">
        <v>53</v>
      </c>
    </row>
    <row r="232" spans="1:17" s="30" customFormat="1" x14ac:dyDescent="0.2">
      <c r="A232" s="30" t="str">
        <f>IF(C232&amp;G232&amp;D232&lt;&gt;'Funnel setup'!$K$3&amp;'Funnel setup'!$K$4&amp;'Funnel setup'!$K$5,".",IF(A231=".",1,A231+1))</f>
        <v>.</v>
      </c>
      <c r="B232" s="431" t="str">
        <f t="shared" si="3"/>
        <v>Groin HerniaCCG of GP PracticeNHS BOLTON CCG (00T)EQ-5D Index</v>
      </c>
      <c r="C232" t="s">
        <v>50</v>
      </c>
      <c r="D232" t="s">
        <v>87</v>
      </c>
      <c r="E232" t="s">
        <v>683</v>
      </c>
      <c r="F232" t="s">
        <v>684</v>
      </c>
      <c r="G232" t="s">
        <v>52</v>
      </c>
      <c r="H232">
        <v>143</v>
      </c>
      <c r="I232">
        <v>0.82699999999999996</v>
      </c>
      <c r="J232">
        <v>0.88900000000000001</v>
      </c>
      <c r="K232">
        <v>6.2E-2</v>
      </c>
      <c r="L232">
        <v>64</v>
      </c>
      <c r="M232">
        <v>56</v>
      </c>
      <c r="N232">
        <v>23</v>
      </c>
      <c r="O232">
        <v>0.88100000000000001</v>
      </c>
      <c r="P232">
        <v>8.7344862999999995E-2</v>
      </c>
      <c r="Q232">
        <v>0.16700000000000001</v>
      </c>
    </row>
    <row r="233" spans="1:17" s="30" customFormat="1" x14ac:dyDescent="0.2">
      <c r="A233" s="30" t="str">
        <f>IF(C233&amp;G233&amp;D233&lt;&gt;'Funnel setup'!$K$3&amp;'Funnel setup'!$K$4&amp;'Funnel setup'!$K$5,".",IF(A232=".",1,A232+1))</f>
        <v>.</v>
      </c>
      <c r="B233" s="431" t="str">
        <f t="shared" si="3"/>
        <v>Groin HerniaCCG of GP PracticeNHS BRACKNELL AND ASCOT CCG (10G)EQ-5D Index</v>
      </c>
      <c r="C233" t="s">
        <v>50</v>
      </c>
      <c r="D233" t="s">
        <v>87</v>
      </c>
      <c r="E233" t="s">
        <v>686</v>
      </c>
      <c r="F233" t="s">
        <v>687</v>
      </c>
      <c r="G233" t="s">
        <v>52</v>
      </c>
      <c r="H233">
        <v>41</v>
      </c>
      <c r="I233">
        <v>0.754</v>
      </c>
      <c r="J233">
        <v>0.78200000000000003</v>
      </c>
      <c r="K233">
        <v>2.8000000000000001E-2</v>
      </c>
      <c r="L233">
        <v>17</v>
      </c>
      <c r="M233">
        <v>12</v>
      </c>
      <c r="N233">
        <v>12</v>
      </c>
      <c r="O233">
        <v>0.78800000000000003</v>
      </c>
      <c r="P233">
        <v>-5.2348860000000002E-3</v>
      </c>
      <c r="Q233">
        <v>0.224</v>
      </c>
    </row>
    <row r="234" spans="1:17" s="30" customFormat="1" x14ac:dyDescent="0.2">
      <c r="A234" s="30" t="str">
        <f>IF(C234&amp;G234&amp;D234&lt;&gt;'Funnel setup'!$K$3&amp;'Funnel setup'!$K$4&amp;'Funnel setup'!$K$5,".",IF(A233=".",1,A233+1))</f>
        <v>.</v>
      </c>
      <c r="B234" s="431" t="str">
        <f t="shared" si="3"/>
        <v>Groin HerniaCCG of GP PracticeNHS BRADFORD CITY CCG (02W)EQ-5D Index</v>
      </c>
      <c r="C234" t="s">
        <v>50</v>
      </c>
      <c r="D234" t="s">
        <v>87</v>
      </c>
      <c r="E234" t="s">
        <v>689</v>
      </c>
      <c r="F234" t="s">
        <v>690</v>
      </c>
      <c r="G234" t="s">
        <v>52</v>
      </c>
      <c r="H234">
        <v>11</v>
      </c>
      <c r="I234">
        <v>0.7</v>
      </c>
      <c r="J234">
        <v>0.81599999999999995</v>
      </c>
      <c r="K234">
        <v>0.11700000000000001</v>
      </c>
      <c r="L234">
        <v>7</v>
      </c>
      <c r="M234">
        <v>1</v>
      </c>
      <c r="N234">
        <v>3</v>
      </c>
      <c r="O234" t="s">
        <v>53</v>
      </c>
      <c r="P234" t="s">
        <v>53</v>
      </c>
      <c r="Q234" t="s">
        <v>53</v>
      </c>
    </row>
    <row r="235" spans="1:17" s="30" customFormat="1" x14ac:dyDescent="0.2">
      <c r="A235" s="30" t="str">
        <f>IF(C235&amp;G235&amp;D235&lt;&gt;'Funnel setup'!$K$3&amp;'Funnel setup'!$K$4&amp;'Funnel setup'!$K$5,".",IF(A234=".",1,A234+1))</f>
        <v>.</v>
      </c>
      <c r="B235" s="431" t="str">
        <f t="shared" si="3"/>
        <v>Groin HerniaCCG of GP PracticeNHS BRADFORD DISTRICTS CCG (02R)EQ-5D Index</v>
      </c>
      <c r="C235" t="s">
        <v>50</v>
      </c>
      <c r="D235" t="s">
        <v>87</v>
      </c>
      <c r="E235" t="s">
        <v>692</v>
      </c>
      <c r="F235" t="s">
        <v>693</v>
      </c>
      <c r="G235" t="s">
        <v>52</v>
      </c>
      <c r="H235">
        <v>91</v>
      </c>
      <c r="I235">
        <v>0.78200000000000003</v>
      </c>
      <c r="J235">
        <v>0.85099999999999998</v>
      </c>
      <c r="K235">
        <v>6.9000000000000006E-2</v>
      </c>
      <c r="L235">
        <v>41</v>
      </c>
      <c r="M235">
        <v>27</v>
      </c>
      <c r="N235">
        <v>23</v>
      </c>
      <c r="O235">
        <v>0.877</v>
      </c>
      <c r="P235">
        <v>8.3327996000000001E-2</v>
      </c>
      <c r="Q235">
        <v>0.186</v>
      </c>
    </row>
    <row r="236" spans="1:17" s="30" customFormat="1" x14ac:dyDescent="0.2">
      <c r="A236" s="30" t="str">
        <f>IF(C236&amp;G236&amp;D236&lt;&gt;'Funnel setup'!$K$3&amp;'Funnel setup'!$K$4&amp;'Funnel setup'!$K$5,".",IF(A235=".",1,A235+1))</f>
        <v>.</v>
      </c>
      <c r="B236" s="431" t="str">
        <f t="shared" si="3"/>
        <v>Groin HerniaCCG of GP PracticeNHS BRENT CCG (07P)EQ-5D Index</v>
      </c>
      <c r="C236" t="s">
        <v>50</v>
      </c>
      <c r="D236" t="s">
        <v>87</v>
      </c>
      <c r="E236" t="s">
        <v>695</v>
      </c>
      <c r="F236" t="s">
        <v>696</v>
      </c>
      <c r="G236" t="s">
        <v>52</v>
      </c>
      <c r="H236">
        <v>17</v>
      </c>
      <c r="I236">
        <v>0.69699999999999995</v>
      </c>
      <c r="J236">
        <v>0.76600000000000001</v>
      </c>
      <c r="K236">
        <v>6.9000000000000006E-2</v>
      </c>
      <c r="L236">
        <v>5</v>
      </c>
      <c r="M236">
        <v>5</v>
      </c>
      <c r="N236">
        <v>7</v>
      </c>
      <c r="O236" t="s">
        <v>53</v>
      </c>
      <c r="P236" t="s">
        <v>53</v>
      </c>
      <c r="Q236" t="s">
        <v>53</v>
      </c>
    </row>
    <row r="237" spans="1:17" s="30" customFormat="1" x14ac:dyDescent="0.2">
      <c r="A237" s="30" t="str">
        <f>IF(C237&amp;G237&amp;D237&lt;&gt;'Funnel setup'!$K$3&amp;'Funnel setup'!$K$4&amp;'Funnel setup'!$K$5,".",IF(A236=".",1,A236+1))</f>
        <v>.</v>
      </c>
      <c r="B237" s="431" t="str">
        <f t="shared" si="3"/>
        <v>Groin HerniaCCG of GP PracticeNHS BRIGHTON AND HOVE CCG (09D)EQ-5D Index</v>
      </c>
      <c r="C237" t="s">
        <v>50</v>
      </c>
      <c r="D237" t="s">
        <v>87</v>
      </c>
      <c r="E237" t="s">
        <v>698</v>
      </c>
      <c r="F237" t="s">
        <v>699</v>
      </c>
      <c r="G237" t="s">
        <v>52</v>
      </c>
      <c r="H237">
        <v>126</v>
      </c>
      <c r="I237">
        <v>0.79700000000000004</v>
      </c>
      <c r="J237">
        <v>0.88900000000000001</v>
      </c>
      <c r="K237">
        <v>9.1999999999999998E-2</v>
      </c>
      <c r="L237">
        <v>60</v>
      </c>
      <c r="M237">
        <v>44</v>
      </c>
      <c r="N237">
        <v>22</v>
      </c>
      <c r="O237">
        <v>0.89100000000000001</v>
      </c>
      <c r="P237">
        <v>9.7528135000000002E-2</v>
      </c>
      <c r="Q237">
        <v>0.13500000000000001</v>
      </c>
    </row>
    <row r="238" spans="1:17" s="30" customFormat="1" x14ac:dyDescent="0.2">
      <c r="A238" s="30" t="str">
        <f>IF(C238&amp;G238&amp;D238&lt;&gt;'Funnel setup'!$K$3&amp;'Funnel setup'!$K$4&amp;'Funnel setup'!$K$5,".",IF(A237=".",1,A237+1))</f>
        <v>.</v>
      </c>
      <c r="B238" s="431" t="str">
        <f t="shared" si="3"/>
        <v>Groin HerniaCCG of GP PracticeNHS BRISTOL CCG (11H)EQ-5D Index</v>
      </c>
      <c r="C238" t="s">
        <v>50</v>
      </c>
      <c r="D238" t="s">
        <v>87</v>
      </c>
      <c r="E238" t="s">
        <v>701</v>
      </c>
      <c r="F238" t="s">
        <v>702</v>
      </c>
      <c r="G238" t="s">
        <v>52</v>
      </c>
      <c r="H238">
        <v>88</v>
      </c>
      <c r="I238">
        <v>0.76700000000000002</v>
      </c>
      <c r="J238">
        <v>0.90100000000000002</v>
      </c>
      <c r="K238">
        <v>0.13300000000000001</v>
      </c>
      <c r="L238">
        <v>55</v>
      </c>
      <c r="M238">
        <v>22</v>
      </c>
      <c r="N238">
        <v>11</v>
      </c>
      <c r="O238">
        <v>0.91200000000000003</v>
      </c>
      <c r="P238">
        <v>0.11863839700000001</v>
      </c>
      <c r="Q238">
        <v>0.13700000000000001</v>
      </c>
    </row>
    <row r="239" spans="1:17" s="30" customFormat="1" x14ac:dyDescent="0.2">
      <c r="A239" s="30" t="str">
        <f>IF(C239&amp;G239&amp;D239&lt;&gt;'Funnel setup'!$K$3&amp;'Funnel setup'!$K$4&amp;'Funnel setup'!$K$5,".",IF(A238=".",1,A238+1))</f>
        <v>.</v>
      </c>
      <c r="B239" s="431" t="str">
        <f t="shared" si="3"/>
        <v>Groin HerniaCCG of GP PracticeNHS BROMLEY CCG (07Q)EQ-5D Index</v>
      </c>
      <c r="C239" t="s">
        <v>50</v>
      </c>
      <c r="D239" t="s">
        <v>87</v>
      </c>
      <c r="E239" t="s">
        <v>704</v>
      </c>
      <c r="F239" t="s">
        <v>705</v>
      </c>
      <c r="G239" t="s">
        <v>52</v>
      </c>
      <c r="H239">
        <v>15</v>
      </c>
      <c r="I239">
        <v>0.76300000000000001</v>
      </c>
      <c r="J239">
        <v>0.872</v>
      </c>
      <c r="K239">
        <v>0.11</v>
      </c>
      <c r="L239">
        <v>7</v>
      </c>
      <c r="M239">
        <v>7</v>
      </c>
      <c r="N239">
        <v>1</v>
      </c>
      <c r="O239" t="s">
        <v>53</v>
      </c>
      <c r="P239" t="s">
        <v>53</v>
      </c>
      <c r="Q239" t="s">
        <v>53</v>
      </c>
    </row>
    <row r="240" spans="1:17" s="30" customFormat="1" x14ac:dyDescent="0.2">
      <c r="A240" s="30" t="str">
        <f>IF(C240&amp;G240&amp;D240&lt;&gt;'Funnel setup'!$K$3&amp;'Funnel setup'!$K$4&amp;'Funnel setup'!$K$5,".",IF(A239=".",1,A239+1))</f>
        <v>.</v>
      </c>
      <c r="B240" s="431" t="str">
        <f t="shared" si="3"/>
        <v>Groin HerniaCCG of GP PracticeNHS BURY CCG (00V)EQ-5D Index</v>
      </c>
      <c r="C240" t="s">
        <v>50</v>
      </c>
      <c r="D240" t="s">
        <v>87</v>
      </c>
      <c r="E240" t="s">
        <v>707</v>
      </c>
      <c r="F240" t="s">
        <v>708</v>
      </c>
      <c r="G240" t="s">
        <v>52</v>
      </c>
      <c r="H240">
        <v>50</v>
      </c>
      <c r="I240">
        <v>0.78700000000000003</v>
      </c>
      <c r="J240">
        <v>0.89100000000000001</v>
      </c>
      <c r="K240">
        <v>0.104</v>
      </c>
      <c r="L240">
        <v>32</v>
      </c>
      <c r="M240">
        <v>10</v>
      </c>
      <c r="N240">
        <v>8</v>
      </c>
      <c r="O240">
        <v>0.90300000000000002</v>
      </c>
      <c r="P240">
        <v>0.10944693899999999</v>
      </c>
      <c r="Q240">
        <v>0.151</v>
      </c>
    </row>
    <row r="241" spans="1:17" s="30" customFormat="1" x14ac:dyDescent="0.2">
      <c r="A241" s="30" t="str">
        <f>IF(C241&amp;G241&amp;D241&lt;&gt;'Funnel setup'!$K$3&amp;'Funnel setup'!$K$4&amp;'Funnel setup'!$K$5,".",IF(A240=".",1,A240+1))</f>
        <v>.</v>
      </c>
      <c r="B241" s="431" t="str">
        <f t="shared" si="3"/>
        <v>Groin HerniaCCG of GP PracticeNHS CALDERDALE CCG (02T)EQ-5D Index</v>
      </c>
      <c r="C241" t="s">
        <v>50</v>
      </c>
      <c r="D241" t="s">
        <v>87</v>
      </c>
      <c r="E241" t="s">
        <v>710</v>
      </c>
      <c r="F241" t="s">
        <v>711</v>
      </c>
      <c r="G241" t="s">
        <v>52</v>
      </c>
      <c r="H241">
        <v>108</v>
      </c>
      <c r="I241">
        <v>0.79400000000000004</v>
      </c>
      <c r="J241">
        <v>0.92</v>
      </c>
      <c r="K241">
        <v>0.127</v>
      </c>
      <c r="L241">
        <v>65</v>
      </c>
      <c r="M241">
        <v>28</v>
      </c>
      <c r="N241">
        <v>15</v>
      </c>
      <c r="O241">
        <v>0.90900000000000003</v>
      </c>
      <c r="P241">
        <v>0.11598871299999999</v>
      </c>
      <c r="Q241">
        <v>0.124</v>
      </c>
    </row>
    <row r="242" spans="1:17" s="30" customFormat="1" x14ac:dyDescent="0.2">
      <c r="A242" s="30" t="str">
        <f>IF(C242&amp;G242&amp;D242&lt;&gt;'Funnel setup'!$K$3&amp;'Funnel setup'!$K$4&amp;'Funnel setup'!$K$5,".",IF(A241=".",1,A241+1))</f>
        <v>.</v>
      </c>
      <c r="B242" s="431" t="str">
        <f t="shared" si="3"/>
        <v>Groin HerniaCCG of GP PracticeNHS CAMBRIDGESHIRE AND PETERBOROUGH CCG (06H)EQ-5D Index</v>
      </c>
      <c r="C242" t="s">
        <v>50</v>
      </c>
      <c r="D242" t="s">
        <v>87</v>
      </c>
      <c r="E242" t="s">
        <v>713</v>
      </c>
      <c r="F242" t="s">
        <v>714</v>
      </c>
      <c r="G242" t="s">
        <v>52</v>
      </c>
      <c r="H242">
        <v>371</v>
      </c>
      <c r="I242">
        <v>0.77500000000000002</v>
      </c>
      <c r="J242">
        <v>0.89800000000000002</v>
      </c>
      <c r="K242">
        <v>0.123</v>
      </c>
      <c r="L242">
        <v>228</v>
      </c>
      <c r="M242">
        <v>90</v>
      </c>
      <c r="N242">
        <v>53</v>
      </c>
      <c r="O242">
        <v>0.89800000000000002</v>
      </c>
      <c r="P242">
        <v>0.10470443</v>
      </c>
      <c r="Q242">
        <v>0.13900000000000001</v>
      </c>
    </row>
    <row r="243" spans="1:17" s="30" customFormat="1" x14ac:dyDescent="0.2">
      <c r="A243" s="30" t="str">
        <f>IF(C243&amp;G243&amp;D243&lt;&gt;'Funnel setup'!$K$3&amp;'Funnel setup'!$K$4&amp;'Funnel setup'!$K$5,".",IF(A242=".",1,A242+1))</f>
        <v>.</v>
      </c>
      <c r="B243" s="431" t="str">
        <f t="shared" si="3"/>
        <v>Groin HerniaCCG of GP PracticeNHS CAMDEN CCG (07R)EQ-5D Index</v>
      </c>
      <c r="C243" t="s">
        <v>50</v>
      </c>
      <c r="D243" t="s">
        <v>87</v>
      </c>
      <c r="E243" t="s">
        <v>716</v>
      </c>
      <c r="F243" t="s">
        <v>717</v>
      </c>
      <c r="G243" t="s">
        <v>52</v>
      </c>
      <c r="H243">
        <v>8</v>
      </c>
      <c r="I243">
        <v>0.76900000000000002</v>
      </c>
      <c r="J243">
        <v>0.92100000000000004</v>
      </c>
      <c r="K243">
        <v>0.152</v>
      </c>
      <c r="L243">
        <v>6</v>
      </c>
      <c r="M243">
        <v>1</v>
      </c>
      <c r="N243">
        <v>1</v>
      </c>
      <c r="O243" t="s">
        <v>53</v>
      </c>
      <c r="P243" t="s">
        <v>53</v>
      </c>
      <c r="Q243" t="s">
        <v>53</v>
      </c>
    </row>
    <row r="244" spans="1:17" s="30" customFormat="1" x14ac:dyDescent="0.2">
      <c r="A244" s="30" t="str">
        <f>IF(C244&amp;G244&amp;D244&lt;&gt;'Funnel setup'!$K$3&amp;'Funnel setup'!$K$4&amp;'Funnel setup'!$K$5,".",IF(A243=".",1,A243+1))</f>
        <v>.</v>
      </c>
      <c r="B244" s="431" t="str">
        <f t="shared" si="3"/>
        <v>Groin HerniaCCG of GP PracticeNHS CANNOCK CHASE CCG (04Y)EQ-5D Index</v>
      </c>
      <c r="C244" t="s">
        <v>50</v>
      </c>
      <c r="D244" t="s">
        <v>87</v>
      </c>
      <c r="E244" t="s">
        <v>719</v>
      </c>
      <c r="F244" t="s">
        <v>720</v>
      </c>
      <c r="G244" t="s">
        <v>52</v>
      </c>
      <c r="H244">
        <v>64</v>
      </c>
      <c r="I244">
        <v>0.82499999999999996</v>
      </c>
      <c r="J244">
        <v>0.88300000000000001</v>
      </c>
      <c r="K244">
        <v>5.8999999999999997E-2</v>
      </c>
      <c r="L244">
        <v>31</v>
      </c>
      <c r="M244">
        <v>23</v>
      </c>
      <c r="N244">
        <v>10</v>
      </c>
      <c r="O244">
        <v>0.87</v>
      </c>
      <c r="P244">
        <v>7.6321275999999993E-2</v>
      </c>
      <c r="Q244">
        <v>0.21099999999999999</v>
      </c>
    </row>
    <row r="245" spans="1:17" s="30" customFormat="1" x14ac:dyDescent="0.2">
      <c r="A245" s="30" t="str">
        <f>IF(C245&amp;G245&amp;D245&lt;&gt;'Funnel setup'!$K$3&amp;'Funnel setup'!$K$4&amp;'Funnel setup'!$K$5,".",IF(A244=".",1,A244+1))</f>
        <v>.</v>
      </c>
      <c r="B245" s="431" t="str">
        <f t="shared" si="3"/>
        <v>Groin HerniaCCG of GP PracticeNHS CANTERBURY AND COASTAL CCG (09E)EQ-5D Index</v>
      </c>
      <c r="C245" t="s">
        <v>50</v>
      </c>
      <c r="D245" t="s">
        <v>87</v>
      </c>
      <c r="E245" t="s">
        <v>722</v>
      </c>
      <c r="F245" t="s">
        <v>723</v>
      </c>
      <c r="G245" t="s">
        <v>52</v>
      </c>
      <c r="H245">
        <v>54</v>
      </c>
      <c r="I245">
        <v>0.81100000000000005</v>
      </c>
      <c r="J245">
        <v>0.91</v>
      </c>
      <c r="K245">
        <v>9.8000000000000004E-2</v>
      </c>
      <c r="L245">
        <v>29</v>
      </c>
      <c r="M245">
        <v>18</v>
      </c>
      <c r="N245">
        <v>7</v>
      </c>
      <c r="O245">
        <v>0.89400000000000002</v>
      </c>
      <c r="P245">
        <v>0.100703285</v>
      </c>
      <c r="Q245">
        <v>0.13600000000000001</v>
      </c>
    </row>
    <row r="246" spans="1:17" s="30" customFormat="1" x14ac:dyDescent="0.2">
      <c r="A246" s="30" t="str">
        <f>IF(C246&amp;G246&amp;D246&lt;&gt;'Funnel setup'!$K$3&amp;'Funnel setup'!$K$4&amp;'Funnel setup'!$K$5,".",IF(A245=".",1,A245+1))</f>
        <v>.</v>
      </c>
      <c r="B246" s="431" t="str">
        <f t="shared" si="3"/>
        <v>Groin HerniaCCG of GP PracticeNHS CASTLE POINT AND ROCHFORD CCG (99F)EQ-5D Index</v>
      </c>
      <c r="C246" t="s">
        <v>50</v>
      </c>
      <c r="D246" t="s">
        <v>87</v>
      </c>
      <c r="E246" t="s">
        <v>725</v>
      </c>
      <c r="F246" t="s">
        <v>726</v>
      </c>
      <c r="G246" t="s">
        <v>52</v>
      </c>
      <c r="H246">
        <v>89</v>
      </c>
      <c r="I246">
        <v>0.82299999999999995</v>
      </c>
      <c r="J246">
        <v>0.90700000000000003</v>
      </c>
      <c r="K246">
        <v>8.4000000000000005E-2</v>
      </c>
      <c r="L246">
        <v>45</v>
      </c>
      <c r="M246">
        <v>28</v>
      </c>
      <c r="N246">
        <v>16</v>
      </c>
      <c r="O246">
        <v>0.88800000000000001</v>
      </c>
      <c r="P246">
        <v>9.4846176000000004E-2</v>
      </c>
      <c r="Q246">
        <v>0.114</v>
      </c>
    </row>
    <row r="247" spans="1:17" s="30" customFormat="1" x14ac:dyDescent="0.2">
      <c r="A247" s="30" t="str">
        <f>IF(C247&amp;G247&amp;D247&lt;&gt;'Funnel setup'!$K$3&amp;'Funnel setup'!$K$4&amp;'Funnel setup'!$K$5,".",IF(A246=".",1,A246+1))</f>
        <v>.</v>
      </c>
      <c r="B247" s="431" t="str">
        <f t="shared" si="3"/>
        <v>Groin HerniaCCG of GP PracticeNHS CENTRAL LONDON (WESTMINSTER) CCG (09A)EQ-5D Index</v>
      </c>
      <c r="C247" t="s">
        <v>50</v>
      </c>
      <c r="D247" t="s">
        <v>87</v>
      </c>
      <c r="E247" t="s">
        <v>728</v>
      </c>
      <c r="F247" t="s">
        <v>729</v>
      </c>
      <c r="G247" t="s">
        <v>52</v>
      </c>
      <c r="H247">
        <v>10</v>
      </c>
      <c r="I247">
        <v>0.81299999999999994</v>
      </c>
      <c r="J247">
        <v>0.85899999999999999</v>
      </c>
      <c r="K247">
        <v>4.5999999999999999E-2</v>
      </c>
      <c r="L247">
        <v>3</v>
      </c>
      <c r="M247">
        <v>4</v>
      </c>
      <c r="N247">
        <v>3</v>
      </c>
      <c r="O247" t="s">
        <v>53</v>
      </c>
      <c r="P247" t="s">
        <v>53</v>
      </c>
      <c r="Q247" t="s">
        <v>53</v>
      </c>
    </row>
    <row r="248" spans="1:17" s="30" customFormat="1" x14ac:dyDescent="0.2">
      <c r="A248" s="30" t="str">
        <f>IF(C248&amp;G248&amp;D248&lt;&gt;'Funnel setup'!$K$3&amp;'Funnel setup'!$K$4&amp;'Funnel setup'!$K$5,".",IF(A247=".",1,A247+1))</f>
        <v>.</v>
      </c>
      <c r="B248" s="431" t="str">
        <f t="shared" si="3"/>
        <v>Groin HerniaCCG of GP PracticeNHS CENTRAL MANCHESTER CCG (00W)EQ-5D Index</v>
      </c>
      <c r="C248" t="s">
        <v>50</v>
      </c>
      <c r="D248" t="s">
        <v>87</v>
      </c>
      <c r="E248" t="s">
        <v>731</v>
      </c>
      <c r="F248" t="s">
        <v>732</v>
      </c>
      <c r="G248" t="s">
        <v>52</v>
      </c>
      <c r="H248">
        <v>17</v>
      </c>
      <c r="I248">
        <v>0.68899999999999995</v>
      </c>
      <c r="J248">
        <v>0.80800000000000005</v>
      </c>
      <c r="K248">
        <v>0.11899999999999999</v>
      </c>
      <c r="L248">
        <v>11</v>
      </c>
      <c r="M248">
        <v>1</v>
      </c>
      <c r="N248">
        <v>5</v>
      </c>
      <c r="O248" t="s">
        <v>53</v>
      </c>
      <c r="P248" t="s">
        <v>53</v>
      </c>
      <c r="Q248" t="s">
        <v>53</v>
      </c>
    </row>
    <row r="249" spans="1:17" s="30" customFormat="1" x14ac:dyDescent="0.2">
      <c r="A249" s="30" t="str">
        <f>IF(C249&amp;G249&amp;D249&lt;&gt;'Funnel setup'!$K$3&amp;'Funnel setup'!$K$4&amp;'Funnel setup'!$K$5,".",IF(A248=".",1,A248+1))</f>
        <v>.</v>
      </c>
      <c r="B249" s="431" t="str">
        <f t="shared" si="3"/>
        <v>Groin HerniaCCG of GP PracticeNHS CHILTERN CCG (10H)EQ-5D Index</v>
      </c>
      <c r="C249" t="s">
        <v>50</v>
      </c>
      <c r="D249" t="s">
        <v>87</v>
      </c>
      <c r="E249" t="s">
        <v>734</v>
      </c>
      <c r="F249" t="s">
        <v>735</v>
      </c>
      <c r="G249" t="s">
        <v>52</v>
      </c>
      <c r="H249">
        <v>101</v>
      </c>
      <c r="I249">
        <v>0.76200000000000001</v>
      </c>
      <c r="J249">
        <v>0.876</v>
      </c>
      <c r="K249">
        <v>0.114</v>
      </c>
      <c r="L249">
        <v>58</v>
      </c>
      <c r="M249">
        <v>29</v>
      </c>
      <c r="N249">
        <v>14</v>
      </c>
      <c r="O249">
        <v>0.88</v>
      </c>
      <c r="P249">
        <v>8.6406559999999993E-2</v>
      </c>
      <c r="Q249">
        <v>0.157</v>
      </c>
    </row>
    <row r="250" spans="1:17" s="30" customFormat="1" x14ac:dyDescent="0.2">
      <c r="A250" s="30" t="str">
        <f>IF(C250&amp;G250&amp;D250&lt;&gt;'Funnel setup'!$K$3&amp;'Funnel setup'!$K$4&amp;'Funnel setup'!$K$5,".",IF(A249=".",1,A249+1))</f>
        <v>.</v>
      </c>
      <c r="B250" s="431" t="str">
        <f t="shared" si="3"/>
        <v>Groin HerniaCCG of GP PracticeNHS CHORLEY AND SOUTH RIBBLE CCG (00X)EQ-5D Index</v>
      </c>
      <c r="C250" t="s">
        <v>50</v>
      </c>
      <c r="D250" t="s">
        <v>87</v>
      </c>
      <c r="E250" t="s">
        <v>737</v>
      </c>
      <c r="F250" t="s">
        <v>738</v>
      </c>
      <c r="G250" t="s">
        <v>52</v>
      </c>
      <c r="H250">
        <v>122</v>
      </c>
      <c r="I250">
        <v>0.78800000000000003</v>
      </c>
      <c r="J250">
        <v>0.87</v>
      </c>
      <c r="K250">
        <v>8.1000000000000003E-2</v>
      </c>
      <c r="L250">
        <v>61</v>
      </c>
      <c r="M250">
        <v>37</v>
      </c>
      <c r="N250">
        <v>24</v>
      </c>
      <c r="O250">
        <v>0.874</v>
      </c>
      <c r="P250">
        <v>8.0191283000000002E-2</v>
      </c>
      <c r="Q250">
        <v>0.16200000000000001</v>
      </c>
    </row>
    <row r="251" spans="1:17" s="30" customFormat="1" x14ac:dyDescent="0.2">
      <c r="A251" s="30" t="str">
        <f>IF(C251&amp;G251&amp;D251&lt;&gt;'Funnel setup'!$K$3&amp;'Funnel setup'!$K$4&amp;'Funnel setup'!$K$5,".",IF(A250=".",1,A250+1))</f>
        <v>.</v>
      </c>
      <c r="B251" s="431" t="str">
        <f t="shared" si="3"/>
        <v>Groin HerniaCCG of GP PracticeNHS CITY AND HACKNEY CCG (07T)EQ-5D Index</v>
      </c>
      <c r="C251" t="s">
        <v>50</v>
      </c>
      <c r="D251" t="s">
        <v>87</v>
      </c>
      <c r="E251" t="s">
        <v>740</v>
      </c>
      <c r="F251" t="s">
        <v>741</v>
      </c>
      <c r="G251" t="s">
        <v>52</v>
      </c>
      <c r="H251">
        <v>21</v>
      </c>
      <c r="I251">
        <v>0.73899999999999999</v>
      </c>
      <c r="J251">
        <v>0.89500000000000002</v>
      </c>
      <c r="K251">
        <v>0.156</v>
      </c>
      <c r="L251">
        <v>11</v>
      </c>
      <c r="M251">
        <v>6</v>
      </c>
      <c r="N251">
        <v>4</v>
      </c>
      <c r="O251" t="s">
        <v>53</v>
      </c>
      <c r="P251" t="s">
        <v>53</v>
      </c>
      <c r="Q251" t="s">
        <v>53</v>
      </c>
    </row>
    <row r="252" spans="1:17" s="30" customFormat="1" x14ac:dyDescent="0.2">
      <c r="A252" s="30" t="str">
        <f>IF(C252&amp;G252&amp;D252&lt;&gt;'Funnel setup'!$K$3&amp;'Funnel setup'!$K$4&amp;'Funnel setup'!$K$5,".",IF(A251=".",1,A251+1))</f>
        <v>.</v>
      </c>
      <c r="B252" s="431" t="str">
        <f t="shared" si="3"/>
        <v>Groin HerniaCCG of GP PracticeNHS COASTAL WEST SUSSEX CCG (09G)EQ-5D Index</v>
      </c>
      <c r="C252" t="s">
        <v>50</v>
      </c>
      <c r="D252" t="s">
        <v>87</v>
      </c>
      <c r="E252" t="s">
        <v>743</v>
      </c>
      <c r="F252" t="s">
        <v>744</v>
      </c>
      <c r="G252" t="s">
        <v>52</v>
      </c>
      <c r="H252">
        <v>147</v>
      </c>
      <c r="I252">
        <v>0.79200000000000004</v>
      </c>
      <c r="J252">
        <v>0.877</v>
      </c>
      <c r="K252">
        <v>8.5000000000000006E-2</v>
      </c>
      <c r="L252">
        <v>70</v>
      </c>
      <c r="M252">
        <v>53</v>
      </c>
      <c r="N252">
        <v>24</v>
      </c>
      <c r="O252">
        <v>0.871</v>
      </c>
      <c r="P252">
        <v>7.7397065000000001E-2</v>
      </c>
      <c r="Q252">
        <v>0.156</v>
      </c>
    </row>
    <row r="253" spans="1:17" s="30" customFormat="1" x14ac:dyDescent="0.2">
      <c r="A253" s="30" t="str">
        <f>IF(C253&amp;G253&amp;D253&lt;&gt;'Funnel setup'!$K$3&amp;'Funnel setup'!$K$4&amp;'Funnel setup'!$K$5,".",IF(A252=".",1,A252+1))</f>
        <v>.</v>
      </c>
      <c r="B253" s="431" t="str">
        <f t="shared" si="3"/>
        <v>Groin HerniaCCG of GP PracticeNHS CORBY CCG (03V)EQ-5D Index</v>
      </c>
      <c r="C253" t="s">
        <v>50</v>
      </c>
      <c r="D253" t="s">
        <v>87</v>
      </c>
      <c r="E253" t="s">
        <v>746</v>
      </c>
      <c r="F253" t="s">
        <v>747</v>
      </c>
      <c r="G253" t="s">
        <v>52</v>
      </c>
      <c r="H253">
        <v>17</v>
      </c>
      <c r="I253">
        <v>0.79300000000000004</v>
      </c>
      <c r="J253">
        <v>0.81699999999999995</v>
      </c>
      <c r="K253">
        <v>2.4E-2</v>
      </c>
      <c r="L253">
        <v>7</v>
      </c>
      <c r="M253">
        <v>6</v>
      </c>
      <c r="N253">
        <v>4</v>
      </c>
      <c r="O253" t="s">
        <v>53</v>
      </c>
      <c r="P253" t="s">
        <v>53</v>
      </c>
      <c r="Q253" t="s">
        <v>53</v>
      </c>
    </row>
    <row r="254" spans="1:17" s="30" customFormat="1" x14ac:dyDescent="0.2">
      <c r="A254" s="30" t="str">
        <f>IF(C254&amp;G254&amp;D254&lt;&gt;'Funnel setup'!$K$3&amp;'Funnel setup'!$K$4&amp;'Funnel setup'!$K$5,".",IF(A253=".",1,A253+1))</f>
        <v>.</v>
      </c>
      <c r="B254" s="431" t="str">
        <f t="shared" si="3"/>
        <v>Groin HerniaCCG of GP PracticeNHS COVENTRY AND RUGBY CCG (05A)EQ-5D Index</v>
      </c>
      <c r="C254" t="s">
        <v>50</v>
      </c>
      <c r="D254" t="s">
        <v>87</v>
      </c>
      <c r="E254" t="s">
        <v>749</v>
      </c>
      <c r="F254" t="s">
        <v>750</v>
      </c>
      <c r="G254" t="s">
        <v>52</v>
      </c>
      <c r="H254">
        <v>54</v>
      </c>
      <c r="I254">
        <v>0.71699999999999997</v>
      </c>
      <c r="J254">
        <v>0.85699999999999998</v>
      </c>
      <c r="K254">
        <v>0.14000000000000001</v>
      </c>
      <c r="L254">
        <v>34</v>
      </c>
      <c r="M254">
        <v>10</v>
      </c>
      <c r="N254">
        <v>10</v>
      </c>
      <c r="O254">
        <v>0.88400000000000001</v>
      </c>
      <c r="P254">
        <v>9.0230369000000005E-2</v>
      </c>
      <c r="Q254">
        <v>0.22700000000000001</v>
      </c>
    </row>
    <row r="255" spans="1:17" s="30" customFormat="1" x14ac:dyDescent="0.2">
      <c r="A255" s="30" t="str">
        <f>IF(C255&amp;G255&amp;D255&lt;&gt;'Funnel setup'!$K$3&amp;'Funnel setup'!$K$4&amp;'Funnel setup'!$K$5,".",IF(A254=".",1,A254+1))</f>
        <v>.</v>
      </c>
      <c r="B255" s="431" t="str">
        <f t="shared" si="3"/>
        <v>Groin HerniaCCG of GP PracticeNHS CRAWLEY CCG (09H)EQ-5D Index</v>
      </c>
      <c r="C255" t="s">
        <v>50</v>
      </c>
      <c r="D255" t="s">
        <v>87</v>
      </c>
      <c r="E255" t="s">
        <v>752</v>
      </c>
      <c r="F255" t="s">
        <v>753</v>
      </c>
      <c r="G255" t="s">
        <v>52</v>
      </c>
      <c r="H255">
        <v>52</v>
      </c>
      <c r="I255">
        <v>0.81499999999999995</v>
      </c>
      <c r="J255">
        <v>0.88500000000000001</v>
      </c>
      <c r="K255">
        <v>7.0000000000000007E-2</v>
      </c>
      <c r="L255">
        <v>31</v>
      </c>
      <c r="M255">
        <v>12</v>
      </c>
      <c r="N255">
        <v>9</v>
      </c>
      <c r="O255">
        <v>0.86899999999999999</v>
      </c>
      <c r="P255">
        <v>7.5992162000000002E-2</v>
      </c>
      <c r="Q255">
        <v>0.14599999999999999</v>
      </c>
    </row>
    <row r="256" spans="1:17" s="30" customFormat="1" x14ac:dyDescent="0.2">
      <c r="A256" s="30" t="str">
        <f>IF(C256&amp;G256&amp;D256&lt;&gt;'Funnel setup'!$K$3&amp;'Funnel setup'!$K$4&amp;'Funnel setup'!$K$5,".",IF(A255=".",1,A255+1))</f>
        <v>.</v>
      </c>
      <c r="B256" s="431" t="str">
        <f t="shared" si="3"/>
        <v>Groin HerniaCCG of GP PracticeNHS CROYDON CCG (07V)EQ-5D Index</v>
      </c>
      <c r="C256" t="s">
        <v>50</v>
      </c>
      <c r="D256" t="s">
        <v>87</v>
      </c>
      <c r="E256" t="s">
        <v>755</v>
      </c>
      <c r="F256" t="s">
        <v>756</v>
      </c>
      <c r="G256" t="s">
        <v>52</v>
      </c>
      <c r="H256">
        <v>21</v>
      </c>
      <c r="I256">
        <v>0.84099999999999997</v>
      </c>
      <c r="J256">
        <v>0.76400000000000001</v>
      </c>
      <c r="K256">
        <v>-7.6999999999999999E-2</v>
      </c>
      <c r="L256">
        <v>6</v>
      </c>
      <c r="M256">
        <v>8</v>
      </c>
      <c r="N256">
        <v>7</v>
      </c>
      <c r="O256" t="s">
        <v>53</v>
      </c>
      <c r="P256" t="s">
        <v>53</v>
      </c>
      <c r="Q256" t="s">
        <v>53</v>
      </c>
    </row>
    <row r="257" spans="1:17" s="30" customFormat="1" x14ac:dyDescent="0.2">
      <c r="A257" s="30" t="str">
        <f>IF(C257&amp;G257&amp;D257&lt;&gt;'Funnel setup'!$K$3&amp;'Funnel setup'!$K$4&amp;'Funnel setup'!$K$5,".",IF(A256=".",1,A256+1))</f>
        <v>.</v>
      </c>
      <c r="B257" s="431" t="str">
        <f t="shared" si="3"/>
        <v>Groin HerniaCCG of GP PracticeNHS CUMBRIA CCG (01H)EQ-5D Index</v>
      </c>
      <c r="C257" t="s">
        <v>50</v>
      </c>
      <c r="D257" t="s">
        <v>87</v>
      </c>
      <c r="E257" t="s">
        <v>758</v>
      </c>
      <c r="F257" t="s">
        <v>759</v>
      </c>
      <c r="G257" t="s">
        <v>52</v>
      </c>
      <c r="H257">
        <v>243</v>
      </c>
      <c r="I257">
        <v>0.81499999999999995</v>
      </c>
      <c r="J257">
        <v>0.875</v>
      </c>
      <c r="K257">
        <v>0.06</v>
      </c>
      <c r="L257">
        <v>109</v>
      </c>
      <c r="M257">
        <v>86</v>
      </c>
      <c r="N257">
        <v>48</v>
      </c>
      <c r="O257">
        <v>0.86499999999999999</v>
      </c>
      <c r="P257">
        <v>7.1796009999999993E-2</v>
      </c>
      <c r="Q257">
        <v>0.17299999999999999</v>
      </c>
    </row>
    <row r="258" spans="1:17" s="30" customFormat="1" x14ac:dyDescent="0.2">
      <c r="A258" s="30" t="str">
        <f>IF(C258&amp;G258&amp;D258&lt;&gt;'Funnel setup'!$K$3&amp;'Funnel setup'!$K$4&amp;'Funnel setup'!$K$5,".",IF(A257=".",1,A257+1))</f>
        <v>.</v>
      </c>
      <c r="B258" s="431" t="str">
        <f t="shared" si="3"/>
        <v>Groin HerniaCCG of GP PracticeNHS DARLINGTON CCG (00C)EQ-5D Index</v>
      </c>
      <c r="C258" t="s">
        <v>50</v>
      </c>
      <c r="D258" t="s">
        <v>87</v>
      </c>
      <c r="E258" t="s">
        <v>761</v>
      </c>
      <c r="F258" t="s">
        <v>762</v>
      </c>
      <c r="G258" t="s">
        <v>52</v>
      </c>
      <c r="H258">
        <v>32</v>
      </c>
      <c r="I258">
        <v>0.79400000000000004</v>
      </c>
      <c r="J258">
        <v>0.875</v>
      </c>
      <c r="K258">
        <v>8.2000000000000003E-2</v>
      </c>
      <c r="L258">
        <v>18</v>
      </c>
      <c r="M258">
        <v>7</v>
      </c>
      <c r="N258">
        <v>7</v>
      </c>
      <c r="O258">
        <v>0.88</v>
      </c>
      <c r="P258">
        <v>8.6878939000000002E-2</v>
      </c>
      <c r="Q258">
        <v>0.17100000000000001</v>
      </c>
    </row>
    <row r="259" spans="1:17" s="30" customFormat="1" x14ac:dyDescent="0.2">
      <c r="A259" s="30" t="str">
        <f>IF(C259&amp;G259&amp;D259&lt;&gt;'Funnel setup'!$K$3&amp;'Funnel setup'!$K$4&amp;'Funnel setup'!$K$5,".",IF(A258=".",1,A258+1))</f>
        <v>.</v>
      </c>
      <c r="B259" s="431" t="str">
        <f t="shared" ref="B259:B322" si="4">C259&amp;D259&amp;F259&amp;G259</f>
        <v>Groin HerniaCCG of GP PracticeNHS DARTFORD, GRAVESHAM AND SWANLEY CCG (09J)EQ-5D Index</v>
      </c>
      <c r="C259" t="s">
        <v>50</v>
      </c>
      <c r="D259" t="s">
        <v>87</v>
      </c>
      <c r="E259" t="s">
        <v>764</v>
      </c>
      <c r="F259" t="s">
        <v>765</v>
      </c>
      <c r="G259" t="s">
        <v>52</v>
      </c>
      <c r="H259">
        <v>48</v>
      </c>
      <c r="I259">
        <v>0.81599999999999995</v>
      </c>
      <c r="J259">
        <v>0.90400000000000003</v>
      </c>
      <c r="K259">
        <v>8.8999999999999996E-2</v>
      </c>
      <c r="L259">
        <v>25</v>
      </c>
      <c r="M259">
        <v>16</v>
      </c>
      <c r="N259">
        <v>7</v>
      </c>
      <c r="O259">
        <v>0.90500000000000003</v>
      </c>
      <c r="P259">
        <v>0.111582547</v>
      </c>
      <c r="Q259">
        <v>0.123</v>
      </c>
    </row>
    <row r="260" spans="1:17" s="30" customFormat="1" x14ac:dyDescent="0.2">
      <c r="A260" s="30" t="str">
        <f>IF(C260&amp;G260&amp;D260&lt;&gt;'Funnel setup'!$K$3&amp;'Funnel setup'!$K$4&amp;'Funnel setup'!$K$5,".",IF(A259=".",1,A259+1))</f>
        <v>.</v>
      </c>
      <c r="B260" s="431" t="str">
        <f t="shared" si="4"/>
        <v>Groin HerniaCCG of GP PracticeNHS DONCASTER CCG (02X)EQ-5D Index</v>
      </c>
      <c r="C260" t="s">
        <v>50</v>
      </c>
      <c r="D260" t="s">
        <v>87</v>
      </c>
      <c r="E260" t="s">
        <v>767</v>
      </c>
      <c r="F260" t="s">
        <v>768</v>
      </c>
      <c r="G260" t="s">
        <v>52</v>
      </c>
      <c r="H260">
        <v>143</v>
      </c>
      <c r="I260">
        <v>0.753</v>
      </c>
      <c r="J260">
        <v>0.83099999999999996</v>
      </c>
      <c r="K260">
        <v>7.9000000000000001E-2</v>
      </c>
      <c r="L260">
        <v>78</v>
      </c>
      <c r="M260">
        <v>35</v>
      </c>
      <c r="N260">
        <v>30</v>
      </c>
      <c r="O260">
        <v>0.85399999999999998</v>
      </c>
      <c r="P260">
        <v>6.0429126E-2</v>
      </c>
      <c r="Q260">
        <v>0.182</v>
      </c>
    </row>
    <row r="261" spans="1:17" s="30" customFormat="1" x14ac:dyDescent="0.2">
      <c r="A261" s="30" t="str">
        <f>IF(C261&amp;G261&amp;D261&lt;&gt;'Funnel setup'!$K$3&amp;'Funnel setup'!$K$4&amp;'Funnel setup'!$K$5,".",IF(A260=".",1,A260+1))</f>
        <v>.</v>
      </c>
      <c r="B261" s="431" t="str">
        <f t="shared" si="4"/>
        <v>Groin HerniaCCG of GP PracticeNHS DORSET CCG (11J)EQ-5D Index</v>
      </c>
      <c r="C261" t="s">
        <v>50</v>
      </c>
      <c r="D261" t="s">
        <v>87</v>
      </c>
      <c r="E261" t="s">
        <v>854</v>
      </c>
      <c r="F261" t="s">
        <v>855</v>
      </c>
      <c r="G261" t="s">
        <v>52</v>
      </c>
      <c r="H261">
        <v>386</v>
      </c>
      <c r="I261">
        <v>0.81399999999999995</v>
      </c>
      <c r="J261">
        <v>0.90500000000000003</v>
      </c>
      <c r="K261">
        <v>9.0999999999999998E-2</v>
      </c>
      <c r="L261">
        <v>186</v>
      </c>
      <c r="M261">
        <v>136</v>
      </c>
      <c r="N261">
        <v>64</v>
      </c>
      <c r="O261">
        <v>0.89</v>
      </c>
      <c r="P261">
        <v>9.6421185000000006E-2</v>
      </c>
      <c r="Q261">
        <v>0.14199999999999999</v>
      </c>
    </row>
    <row r="262" spans="1:17" s="30" customFormat="1" x14ac:dyDescent="0.2">
      <c r="A262" s="30" t="str">
        <f>IF(C262&amp;G262&amp;D262&lt;&gt;'Funnel setup'!$K$3&amp;'Funnel setup'!$K$4&amp;'Funnel setup'!$K$5,".",IF(A261=".",1,A261+1))</f>
        <v>.</v>
      </c>
      <c r="B262" s="431" t="str">
        <f t="shared" si="4"/>
        <v>Groin HerniaCCG of GP PracticeNHS DUDLEY CCG (05C)EQ-5D Index</v>
      </c>
      <c r="C262" t="s">
        <v>50</v>
      </c>
      <c r="D262" t="s">
        <v>87</v>
      </c>
      <c r="E262" t="s">
        <v>857</v>
      </c>
      <c r="F262" t="s">
        <v>858</v>
      </c>
      <c r="G262" t="s">
        <v>52</v>
      </c>
      <c r="H262">
        <v>156</v>
      </c>
      <c r="I262">
        <v>0.82199999999999995</v>
      </c>
      <c r="J262">
        <v>0.85799999999999998</v>
      </c>
      <c r="K262">
        <v>3.5999999999999997E-2</v>
      </c>
      <c r="L262">
        <v>61</v>
      </c>
      <c r="M262">
        <v>58</v>
      </c>
      <c r="N262">
        <v>37</v>
      </c>
      <c r="O262">
        <v>0.85299999999999998</v>
      </c>
      <c r="P262">
        <v>5.9566941999999998E-2</v>
      </c>
      <c r="Q262">
        <v>0.188</v>
      </c>
    </row>
    <row r="263" spans="1:17" s="30" customFormat="1" x14ac:dyDescent="0.2">
      <c r="A263" s="30" t="str">
        <f>IF(C263&amp;G263&amp;D263&lt;&gt;'Funnel setup'!$K$3&amp;'Funnel setup'!$K$4&amp;'Funnel setup'!$K$5,".",IF(A262=".",1,A262+1))</f>
        <v>.</v>
      </c>
      <c r="B263" s="431" t="str">
        <f t="shared" si="4"/>
        <v>Groin HerniaCCG of GP PracticeNHS DURHAM DALES, EASINGTON AND SEDGEFIELD CCG (00D)EQ-5D Index</v>
      </c>
      <c r="C263" t="s">
        <v>50</v>
      </c>
      <c r="D263" t="s">
        <v>87</v>
      </c>
      <c r="E263" t="s">
        <v>860</v>
      </c>
      <c r="F263" t="s">
        <v>861</v>
      </c>
      <c r="G263" t="s">
        <v>52</v>
      </c>
      <c r="H263">
        <v>110</v>
      </c>
      <c r="I263">
        <v>0.79900000000000004</v>
      </c>
      <c r="J263">
        <v>0.80600000000000005</v>
      </c>
      <c r="K263">
        <v>7.0000000000000001E-3</v>
      </c>
      <c r="L263">
        <v>43</v>
      </c>
      <c r="M263">
        <v>29</v>
      </c>
      <c r="N263">
        <v>38</v>
      </c>
      <c r="O263">
        <v>0.82499999999999996</v>
      </c>
      <c r="P263">
        <v>3.118957E-2</v>
      </c>
      <c r="Q263">
        <v>0.16900000000000001</v>
      </c>
    </row>
    <row r="264" spans="1:17" s="30" customFormat="1" x14ac:dyDescent="0.2">
      <c r="A264" s="30" t="str">
        <f>IF(C264&amp;G264&amp;D264&lt;&gt;'Funnel setup'!$K$3&amp;'Funnel setup'!$K$4&amp;'Funnel setup'!$K$5,".",IF(A263=".",1,A263+1))</f>
        <v>.</v>
      </c>
      <c r="B264" s="431" t="str">
        <f t="shared" si="4"/>
        <v>Groin HerniaCCG of GP PracticeNHS EALING CCG (07W)EQ-5D Index</v>
      </c>
      <c r="C264" t="s">
        <v>50</v>
      </c>
      <c r="D264" t="s">
        <v>87</v>
      </c>
      <c r="E264" t="s">
        <v>863</v>
      </c>
      <c r="F264" t="s">
        <v>864</v>
      </c>
      <c r="G264" t="s">
        <v>52</v>
      </c>
      <c r="H264">
        <v>13</v>
      </c>
      <c r="I264">
        <v>0.63600000000000001</v>
      </c>
      <c r="J264">
        <v>0.65800000000000003</v>
      </c>
      <c r="K264">
        <v>2.1999999999999999E-2</v>
      </c>
      <c r="L264">
        <v>7</v>
      </c>
      <c r="M264">
        <v>2</v>
      </c>
      <c r="N264">
        <v>4</v>
      </c>
      <c r="O264" t="s">
        <v>53</v>
      </c>
      <c r="P264" t="s">
        <v>53</v>
      </c>
      <c r="Q264" t="s">
        <v>53</v>
      </c>
    </row>
    <row r="265" spans="1:17" s="30" customFormat="1" x14ac:dyDescent="0.2">
      <c r="A265" s="30" t="str">
        <f>IF(C265&amp;G265&amp;D265&lt;&gt;'Funnel setup'!$K$3&amp;'Funnel setup'!$K$4&amp;'Funnel setup'!$K$5,".",IF(A264=".",1,A264+1))</f>
        <v>.</v>
      </c>
      <c r="B265" s="431" t="str">
        <f t="shared" si="4"/>
        <v>Groin HerniaCCG of GP PracticeNHS EAST AND NORTH HERTFORDSHIRE CCG (06K)EQ-5D Index</v>
      </c>
      <c r="C265" t="s">
        <v>50</v>
      </c>
      <c r="D265" t="s">
        <v>87</v>
      </c>
      <c r="E265" t="s">
        <v>866</v>
      </c>
      <c r="F265" t="s">
        <v>867</v>
      </c>
      <c r="G265" t="s">
        <v>52</v>
      </c>
      <c r="H265">
        <v>191</v>
      </c>
      <c r="I265">
        <v>0.78100000000000003</v>
      </c>
      <c r="J265">
        <v>0.88100000000000001</v>
      </c>
      <c r="K265">
        <v>9.9000000000000005E-2</v>
      </c>
      <c r="L265">
        <v>97</v>
      </c>
      <c r="M265">
        <v>66</v>
      </c>
      <c r="N265">
        <v>28</v>
      </c>
      <c r="O265">
        <v>0.876</v>
      </c>
      <c r="P265">
        <v>8.2370181000000001E-2</v>
      </c>
      <c r="Q265">
        <v>0.14699999999999999</v>
      </c>
    </row>
    <row r="266" spans="1:17" s="30" customFormat="1" x14ac:dyDescent="0.2">
      <c r="A266" s="30" t="str">
        <f>IF(C266&amp;G266&amp;D266&lt;&gt;'Funnel setup'!$K$3&amp;'Funnel setup'!$K$4&amp;'Funnel setup'!$K$5,".",IF(A265=".",1,A265+1))</f>
        <v>.</v>
      </c>
      <c r="B266" s="431" t="str">
        <f t="shared" si="4"/>
        <v>Groin HerniaCCG of GP PracticeNHS EAST LANCASHIRE CCG (01A)EQ-5D Index</v>
      </c>
      <c r="C266" t="s">
        <v>50</v>
      </c>
      <c r="D266" t="s">
        <v>87</v>
      </c>
      <c r="E266" t="s">
        <v>869</v>
      </c>
      <c r="F266" t="s">
        <v>870</v>
      </c>
      <c r="G266" t="s">
        <v>52</v>
      </c>
      <c r="H266">
        <v>197</v>
      </c>
      <c r="I266">
        <v>0.77500000000000002</v>
      </c>
      <c r="J266">
        <v>0.89100000000000001</v>
      </c>
      <c r="K266">
        <v>0.11600000000000001</v>
      </c>
      <c r="L266">
        <v>106</v>
      </c>
      <c r="M266">
        <v>71</v>
      </c>
      <c r="N266">
        <v>20</v>
      </c>
      <c r="O266">
        <v>0.91200000000000003</v>
      </c>
      <c r="P266">
        <v>0.118867839</v>
      </c>
      <c r="Q266">
        <v>0.14399999999999999</v>
      </c>
    </row>
    <row r="267" spans="1:17" s="30" customFormat="1" x14ac:dyDescent="0.2">
      <c r="A267" s="30" t="str">
        <f>IF(C267&amp;G267&amp;D267&lt;&gt;'Funnel setup'!$K$3&amp;'Funnel setup'!$K$4&amp;'Funnel setup'!$K$5,".",IF(A266=".",1,A266+1))</f>
        <v>.</v>
      </c>
      <c r="B267" s="431" t="str">
        <f t="shared" si="4"/>
        <v>Groin HerniaCCG of GP PracticeNHS EAST LEICESTERSHIRE AND RUTLAND CCG (03W)EQ-5D Index</v>
      </c>
      <c r="C267" t="s">
        <v>50</v>
      </c>
      <c r="D267" t="s">
        <v>87</v>
      </c>
      <c r="E267" t="s">
        <v>872</v>
      </c>
      <c r="F267" t="s">
        <v>873</v>
      </c>
      <c r="G267" t="s">
        <v>52</v>
      </c>
      <c r="H267">
        <v>149</v>
      </c>
      <c r="I267">
        <v>0.81699999999999995</v>
      </c>
      <c r="J267">
        <v>0.88100000000000001</v>
      </c>
      <c r="K267">
        <v>6.4000000000000001E-2</v>
      </c>
      <c r="L267">
        <v>69</v>
      </c>
      <c r="M267">
        <v>51</v>
      </c>
      <c r="N267">
        <v>29</v>
      </c>
      <c r="O267">
        <v>0.86499999999999999</v>
      </c>
      <c r="P267">
        <v>7.2026352000000002E-2</v>
      </c>
      <c r="Q267">
        <v>0.14000000000000001</v>
      </c>
    </row>
    <row r="268" spans="1:17" s="30" customFormat="1" x14ac:dyDescent="0.2">
      <c r="A268" s="30" t="str">
        <f>IF(C268&amp;G268&amp;D268&lt;&gt;'Funnel setup'!$K$3&amp;'Funnel setup'!$K$4&amp;'Funnel setup'!$K$5,".",IF(A267=".",1,A267+1))</f>
        <v>.</v>
      </c>
      <c r="B268" s="431" t="str">
        <f t="shared" si="4"/>
        <v>Groin HerniaCCG of GP PracticeNHS EAST RIDING OF YORKSHIRE CCG (02Y)EQ-5D Index</v>
      </c>
      <c r="C268" t="s">
        <v>50</v>
      </c>
      <c r="D268" t="s">
        <v>87</v>
      </c>
      <c r="E268" t="s">
        <v>875</v>
      </c>
      <c r="F268" t="s">
        <v>876</v>
      </c>
      <c r="G268" t="s">
        <v>52</v>
      </c>
      <c r="H268">
        <v>239</v>
      </c>
      <c r="I268">
        <v>0.79500000000000004</v>
      </c>
      <c r="J268">
        <v>0.874</v>
      </c>
      <c r="K268">
        <v>7.9000000000000001E-2</v>
      </c>
      <c r="L268">
        <v>118</v>
      </c>
      <c r="M268">
        <v>84</v>
      </c>
      <c r="N268">
        <v>37</v>
      </c>
      <c r="O268">
        <v>0.874</v>
      </c>
      <c r="P268">
        <v>8.0671837999999996E-2</v>
      </c>
      <c r="Q268">
        <v>0.17799999999999999</v>
      </c>
    </row>
    <row r="269" spans="1:17" s="30" customFormat="1" x14ac:dyDescent="0.2">
      <c r="A269" s="30" t="str">
        <f>IF(C269&amp;G269&amp;D269&lt;&gt;'Funnel setup'!$K$3&amp;'Funnel setup'!$K$4&amp;'Funnel setup'!$K$5,".",IF(A268=".",1,A268+1))</f>
        <v>.</v>
      </c>
      <c r="B269" s="431" t="str">
        <f t="shared" si="4"/>
        <v>Groin HerniaCCG of GP PracticeNHS EAST STAFFORDSHIRE CCG (05D)EQ-5D Index</v>
      </c>
      <c r="C269" t="s">
        <v>50</v>
      </c>
      <c r="D269" t="s">
        <v>87</v>
      </c>
      <c r="E269" t="s">
        <v>878</v>
      </c>
      <c r="F269" t="s">
        <v>879</v>
      </c>
      <c r="G269" t="s">
        <v>52</v>
      </c>
      <c r="H269">
        <v>73</v>
      </c>
      <c r="I269">
        <v>0.81299999999999994</v>
      </c>
      <c r="J269">
        <v>0.91</v>
      </c>
      <c r="K269">
        <v>9.8000000000000004E-2</v>
      </c>
      <c r="L269">
        <v>34</v>
      </c>
      <c r="M269">
        <v>29</v>
      </c>
      <c r="N269">
        <v>10</v>
      </c>
      <c r="O269">
        <v>0.89400000000000002</v>
      </c>
      <c r="P269">
        <v>0.100642177</v>
      </c>
      <c r="Q269">
        <v>0.14899999999999999</v>
      </c>
    </row>
    <row r="270" spans="1:17" s="30" customFormat="1" x14ac:dyDescent="0.2">
      <c r="A270" s="30" t="str">
        <f>IF(C270&amp;G270&amp;D270&lt;&gt;'Funnel setup'!$K$3&amp;'Funnel setup'!$K$4&amp;'Funnel setup'!$K$5,".",IF(A269=".",1,A269+1))</f>
        <v>.</v>
      </c>
      <c r="B270" s="431" t="str">
        <f t="shared" si="4"/>
        <v>Groin HerniaCCG of GP PracticeNHS EAST SURREY CCG (09L)EQ-5D Index</v>
      </c>
      <c r="C270" t="s">
        <v>50</v>
      </c>
      <c r="D270" t="s">
        <v>87</v>
      </c>
      <c r="E270" t="s">
        <v>881</v>
      </c>
      <c r="F270" t="s">
        <v>882</v>
      </c>
      <c r="G270" t="s">
        <v>52</v>
      </c>
      <c r="H270">
        <v>79</v>
      </c>
      <c r="I270">
        <v>0.81899999999999995</v>
      </c>
      <c r="J270">
        <v>0.88200000000000001</v>
      </c>
      <c r="K270">
        <v>6.3E-2</v>
      </c>
      <c r="L270">
        <v>41</v>
      </c>
      <c r="M270">
        <v>22</v>
      </c>
      <c r="N270">
        <v>16</v>
      </c>
      <c r="O270">
        <v>0.86299999999999999</v>
      </c>
      <c r="P270">
        <v>6.9391420999999995E-2</v>
      </c>
      <c r="Q270">
        <v>0.18</v>
      </c>
    </row>
    <row r="271" spans="1:17" s="30" customFormat="1" x14ac:dyDescent="0.2">
      <c r="A271" s="30" t="str">
        <f>IF(C271&amp;G271&amp;D271&lt;&gt;'Funnel setup'!$K$3&amp;'Funnel setup'!$K$4&amp;'Funnel setup'!$K$5,".",IF(A270=".",1,A270+1))</f>
        <v>.</v>
      </c>
      <c r="B271" s="431" t="str">
        <f t="shared" si="4"/>
        <v>Groin HerniaCCG of GP PracticeNHS EASTBOURNE, HAILSHAM AND SEAFORD CCG (09F)EQ-5D Index</v>
      </c>
      <c r="C271" t="s">
        <v>50</v>
      </c>
      <c r="D271" t="s">
        <v>87</v>
      </c>
      <c r="E271" t="s">
        <v>884</v>
      </c>
      <c r="F271" t="s">
        <v>885</v>
      </c>
      <c r="G271" t="s">
        <v>52</v>
      </c>
      <c r="H271">
        <v>50</v>
      </c>
      <c r="I271">
        <v>0.80400000000000005</v>
      </c>
      <c r="J271">
        <v>0.88100000000000001</v>
      </c>
      <c r="K271">
        <v>7.8E-2</v>
      </c>
      <c r="L271">
        <v>25</v>
      </c>
      <c r="M271">
        <v>13</v>
      </c>
      <c r="N271">
        <v>12</v>
      </c>
      <c r="O271">
        <v>0.871</v>
      </c>
      <c r="P271">
        <v>7.7771891999999995E-2</v>
      </c>
      <c r="Q271">
        <v>0.13200000000000001</v>
      </c>
    </row>
    <row r="272" spans="1:17" s="30" customFormat="1" x14ac:dyDescent="0.2">
      <c r="A272" s="30" t="str">
        <f>IF(C272&amp;G272&amp;D272&lt;&gt;'Funnel setup'!$K$3&amp;'Funnel setup'!$K$4&amp;'Funnel setup'!$K$5,".",IF(A271=".",1,A271+1))</f>
        <v>.</v>
      </c>
      <c r="B272" s="431" t="str">
        <f t="shared" si="4"/>
        <v>Groin HerniaCCG of GP PracticeNHS EASTERN CHESHIRE CCG (01C)EQ-5D Index</v>
      </c>
      <c r="C272" t="s">
        <v>50</v>
      </c>
      <c r="D272" t="s">
        <v>87</v>
      </c>
      <c r="E272" t="s">
        <v>887</v>
      </c>
      <c r="F272" t="s">
        <v>888</v>
      </c>
      <c r="G272" t="s">
        <v>52</v>
      </c>
      <c r="H272">
        <v>90</v>
      </c>
      <c r="I272">
        <v>0.80600000000000005</v>
      </c>
      <c r="J272">
        <v>0.86599999999999999</v>
      </c>
      <c r="K272">
        <v>6.0999999999999999E-2</v>
      </c>
      <c r="L272">
        <v>46</v>
      </c>
      <c r="M272">
        <v>25</v>
      </c>
      <c r="N272">
        <v>19</v>
      </c>
      <c r="O272">
        <v>0.86799999999999999</v>
      </c>
      <c r="P272">
        <v>7.4730560000000001E-2</v>
      </c>
      <c r="Q272">
        <v>0.192</v>
      </c>
    </row>
    <row r="273" spans="1:17" s="30" customFormat="1" x14ac:dyDescent="0.2">
      <c r="A273" s="30" t="str">
        <f>IF(C273&amp;G273&amp;D273&lt;&gt;'Funnel setup'!$K$3&amp;'Funnel setup'!$K$4&amp;'Funnel setup'!$K$5,".",IF(A272=".",1,A272+1))</f>
        <v>.</v>
      </c>
      <c r="B273" s="431" t="str">
        <f t="shared" si="4"/>
        <v>Groin HerniaCCG of GP PracticeNHS ENFIELD CCG (07X)EQ-5D Index</v>
      </c>
      <c r="C273" t="s">
        <v>50</v>
      </c>
      <c r="D273" t="s">
        <v>87</v>
      </c>
      <c r="E273" t="s">
        <v>890</v>
      </c>
      <c r="F273" t="s">
        <v>891</v>
      </c>
      <c r="G273" t="s">
        <v>52</v>
      </c>
      <c r="H273">
        <v>32</v>
      </c>
      <c r="I273">
        <v>0.73599999999999999</v>
      </c>
      <c r="J273">
        <v>0.873</v>
      </c>
      <c r="K273">
        <v>0.13800000000000001</v>
      </c>
      <c r="L273">
        <v>18</v>
      </c>
      <c r="M273">
        <v>9</v>
      </c>
      <c r="N273">
        <v>5</v>
      </c>
      <c r="O273">
        <v>0.89300000000000002</v>
      </c>
      <c r="P273">
        <v>9.9472714000000004E-2</v>
      </c>
      <c r="Q273">
        <v>0.13500000000000001</v>
      </c>
    </row>
    <row r="274" spans="1:17" s="30" customFormat="1" x14ac:dyDescent="0.2">
      <c r="A274" s="30" t="str">
        <f>IF(C274&amp;G274&amp;D274&lt;&gt;'Funnel setup'!$K$3&amp;'Funnel setup'!$K$4&amp;'Funnel setup'!$K$5,".",IF(A273=".",1,A273+1))</f>
        <v>.</v>
      </c>
      <c r="B274" s="431" t="str">
        <f t="shared" si="4"/>
        <v>Groin HerniaCCG of GP PracticeNHS EREWASH CCG (03X)EQ-5D Index</v>
      </c>
      <c r="C274" t="s">
        <v>50</v>
      </c>
      <c r="D274" t="s">
        <v>87</v>
      </c>
      <c r="E274" t="s">
        <v>893</v>
      </c>
      <c r="F274" t="s">
        <v>894</v>
      </c>
      <c r="G274" t="s">
        <v>52</v>
      </c>
      <c r="H274">
        <v>33</v>
      </c>
      <c r="I274">
        <v>0.79</v>
      </c>
      <c r="J274">
        <v>0.86799999999999999</v>
      </c>
      <c r="K274">
        <v>7.8E-2</v>
      </c>
      <c r="L274">
        <v>17</v>
      </c>
      <c r="M274">
        <v>10</v>
      </c>
      <c r="N274">
        <v>6</v>
      </c>
      <c r="O274">
        <v>0.85899999999999999</v>
      </c>
      <c r="P274">
        <v>6.6038515000000006E-2</v>
      </c>
      <c r="Q274">
        <v>0.13400000000000001</v>
      </c>
    </row>
    <row r="275" spans="1:17" s="30" customFormat="1" x14ac:dyDescent="0.2">
      <c r="A275" s="30" t="str">
        <f>IF(C275&amp;G275&amp;D275&lt;&gt;'Funnel setup'!$K$3&amp;'Funnel setup'!$K$4&amp;'Funnel setup'!$K$5,".",IF(A274=".",1,A274+1))</f>
        <v>.</v>
      </c>
      <c r="B275" s="431" t="str">
        <f t="shared" si="4"/>
        <v>Groin HerniaCCG of GP PracticeNHS FAREHAM AND GOSPORT CCG (10K)EQ-5D Index</v>
      </c>
      <c r="C275" t="s">
        <v>50</v>
      </c>
      <c r="D275" t="s">
        <v>87</v>
      </c>
      <c r="E275" t="s">
        <v>896</v>
      </c>
      <c r="F275" t="s">
        <v>897</v>
      </c>
      <c r="G275" t="s">
        <v>52</v>
      </c>
      <c r="H275">
        <v>90</v>
      </c>
      <c r="I275">
        <v>0.83799999999999997</v>
      </c>
      <c r="J275">
        <v>0.93600000000000005</v>
      </c>
      <c r="K275">
        <v>9.8000000000000004E-2</v>
      </c>
      <c r="L275">
        <v>44</v>
      </c>
      <c r="M275">
        <v>38</v>
      </c>
      <c r="N275">
        <v>8</v>
      </c>
      <c r="O275">
        <v>0.89500000000000002</v>
      </c>
      <c r="P275">
        <v>0.101140298</v>
      </c>
      <c r="Q275">
        <v>0.113</v>
      </c>
    </row>
    <row r="276" spans="1:17" s="30" customFormat="1" x14ac:dyDescent="0.2">
      <c r="A276" s="30" t="str">
        <f>IF(C276&amp;G276&amp;D276&lt;&gt;'Funnel setup'!$K$3&amp;'Funnel setup'!$K$4&amp;'Funnel setup'!$K$5,".",IF(A275=".",1,A275+1))</f>
        <v>.</v>
      </c>
      <c r="B276" s="431" t="str">
        <f t="shared" si="4"/>
        <v>Groin HerniaCCG of GP PracticeNHS FYLDE &amp; WYRE CCG (02M)EQ-5D Index</v>
      </c>
      <c r="C276" t="s">
        <v>50</v>
      </c>
      <c r="D276" t="s">
        <v>87</v>
      </c>
      <c r="E276" t="s">
        <v>899</v>
      </c>
      <c r="F276" t="s">
        <v>900</v>
      </c>
      <c r="G276" t="s">
        <v>52</v>
      </c>
      <c r="H276">
        <v>28</v>
      </c>
      <c r="I276">
        <v>0.80700000000000005</v>
      </c>
      <c r="J276">
        <v>0.85</v>
      </c>
      <c r="K276">
        <v>4.2999999999999997E-2</v>
      </c>
      <c r="L276">
        <v>12</v>
      </c>
      <c r="M276">
        <v>11</v>
      </c>
      <c r="N276">
        <v>5</v>
      </c>
      <c r="O276" t="s">
        <v>53</v>
      </c>
      <c r="P276" t="s">
        <v>53</v>
      </c>
      <c r="Q276" t="s">
        <v>53</v>
      </c>
    </row>
    <row r="277" spans="1:17" s="30" customFormat="1" x14ac:dyDescent="0.2">
      <c r="A277" s="30" t="str">
        <f>IF(C277&amp;G277&amp;D277&lt;&gt;'Funnel setup'!$K$3&amp;'Funnel setup'!$K$4&amp;'Funnel setup'!$K$5,".",IF(A276=".",1,A276+1))</f>
        <v>.</v>
      </c>
      <c r="B277" s="431" t="str">
        <f t="shared" si="4"/>
        <v>Groin HerniaCCG of GP PracticeNHS GLOUCESTERSHIRE CCG (11M)EQ-5D Index</v>
      </c>
      <c r="C277" t="s">
        <v>50</v>
      </c>
      <c r="D277" t="s">
        <v>87</v>
      </c>
      <c r="E277" t="s">
        <v>902</v>
      </c>
      <c r="F277" t="s">
        <v>903</v>
      </c>
      <c r="G277" t="s">
        <v>52</v>
      </c>
      <c r="H277">
        <v>291</v>
      </c>
      <c r="I277">
        <v>0.85</v>
      </c>
      <c r="J277">
        <v>0.91600000000000004</v>
      </c>
      <c r="K277">
        <v>6.6000000000000003E-2</v>
      </c>
      <c r="L277">
        <v>128</v>
      </c>
      <c r="M277">
        <v>127</v>
      </c>
      <c r="N277">
        <v>36</v>
      </c>
      <c r="O277">
        <v>0.88400000000000001</v>
      </c>
      <c r="P277">
        <v>9.0901153999999998E-2</v>
      </c>
      <c r="Q277">
        <v>0.13600000000000001</v>
      </c>
    </row>
    <row r="278" spans="1:17" s="30" customFormat="1" x14ac:dyDescent="0.2">
      <c r="A278" s="30" t="str">
        <f>IF(C278&amp;G278&amp;D278&lt;&gt;'Funnel setup'!$K$3&amp;'Funnel setup'!$K$4&amp;'Funnel setup'!$K$5,".",IF(A277=".",1,A277+1))</f>
        <v>.</v>
      </c>
      <c r="B278" s="431" t="str">
        <f t="shared" si="4"/>
        <v>Groin HerniaCCG of GP PracticeNHS GREAT YARMOUTH AND WAVENEY CCG (06M)EQ-5D Index</v>
      </c>
      <c r="C278" t="s">
        <v>50</v>
      </c>
      <c r="D278" t="s">
        <v>87</v>
      </c>
      <c r="E278" t="s">
        <v>905</v>
      </c>
      <c r="F278" t="s">
        <v>906</v>
      </c>
      <c r="G278" t="s">
        <v>52</v>
      </c>
      <c r="H278">
        <v>121</v>
      </c>
      <c r="I278">
        <v>0.77</v>
      </c>
      <c r="J278">
        <v>0.87</v>
      </c>
      <c r="K278">
        <v>0.1</v>
      </c>
      <c r="L278">
        <v>69</v>
      </c>
      <c r="M278">
        <v>34</v>
      </c>
      <c r="N278">
        <v>18</v>
      </c>
      <c r="O278">
        <v>0.877</v>
      </c>
      <c r="P278">
        <v>8.3917368000000006E-2</v>
      </c>
      <c r="Q278">
        <v>0.14899999999999999</v>
      </c>
    </row>
    <row r="279" spans="1:17" s="30" customFormat="1" x14ac:dyDescent="0.2">
      <c r="A279" s="30" t="str">
        <f>IF(C279&amp;G279&amp;D279&lt;&gt;'Funnel setup'!$K$3&amp;'Funnel setup'!$K$4&amp;'Funnel setup'!$K$5,".",IF(A278=".",1,A278+1))</f>
        <v>.</v>
      </c>
      <c r="B279" s="431" t="str">
        <f t="shared" si="4"/>
        <v>Groin HerniaCCG of GP PracticeNHS GREATER HUDDERSFIELD CCG (03A)EQ-5D Index</v>
      </c>
      <c r="C279" t="s">
        <v>50</v>
      </c>
      <c r="D279" t="s">
        <v>87</v>
      </c>
      <c r="E279" t="s">
        <v>908</v>
      </c>
      <c r="F279" t="s">
        <v>909</v>
      </c>
      <c r="G279" t="s">
        <v>52</v>
      </c>
      <c r="H279">
        <v>144</v>
      </c>
      <c r="I279">
        <v>0.81200000000000006</v>
      </c>
      <c r="J279">
        <v>0.9</v>
      </c>
      <c r="K279">
        <v>8.6999999999999994E-2</v>
      </c>
      <c r="L279">
        <v>71</v>
      </c>
      <c r="M279">
        <v>46</v>
      </c>
      <c r="N279">
        <v>27</v>
      </c>
      <c r="O279">
        <v>0.89100000000000001</v>
      </c>
      <c r="P279">
        <v>9.7411420999999998E-2</v>
      </c>
      <c r="Q279">
        <v>0.15</v>
      </c>
    </row>
    <row r="280" spans="1:17" s="30" customFormat="1" x14ac:dyDescent="0.2">
      <c r="A280" s="30" t="str">
        <f>IF(C280&amp;G280&amp;D280&lt;&gt;'Funnel setup'!$K$3&amp;'Funnel setup'!$K$4&amp;'Funnel setup'!$K$5,".",IF(A279=".",1,A279+1))</f>
        <v>.</v>
      </c>
      <c r="B280" s="431" t="str">
        <f t="shared" si="4"/>
        <v>Groin HerniaCCG of GP PracticeNHS GREATER PRESTON CCG (01E)EQ-5D Index</v>
      </c>
      <c r="C280" t="s">
        <v>50</v>
      </c>
      <c r="D280" t="s">
        <v>87</v>
      </c>
      <c r="E280" t="s">
        <v>486</v>
      </c>
      <c r="F280" t="s">
        <v>487</v>
      </c>
      <c r="G280" t="s">
        <v>52</v>
      </c>
      <c r="H280">
        <v>129</v>
      </c>
      <c r="I280">
        <v>0.82699999999999996</v>
      </c>
      <c r="J280">
        <v>0.876</v>
      </c>
      <c r="K280">
        <v>4.9000000000000002E-2</v>
      </c>
      <c r="L280">
        <v>50</v>
      </c>
      <c r="M280">
        <v>58</v>
      </c>
      <c r="N280">
        <v>21</v>
      </c>
      <c r="O280">
        <v>0.86699999999999999</v>
      </c>
      <c r="P280">
        <v>7.3770081000000001E-2</v>
      </c>
      <c r="Q280">
        <v>0.13200000000000001</v>
      </c>
    </row>
    <row r="281" spans="1:17" s="30" customFormat="1" x14ac:dyDescent="0.2">
      <c r="A281" s="30" t="str">
        <f>IF(C281&amp;G281&amp;D281&lt;&gt;'Funnel setup'!$K$3&amp;'Funnel setup'!$K$4&amp;'Funnel setup'!$K$5,".",IF(A280=".",1,A280+1))</f>
        <v>.</v>
      </c>
      <c r="B281" s="431" t="str">
        <f t="shared" si="4"/>
        <v>Groin HerniaCCG of GP PracticeNHS GREENWICH CCG (08A)EQ-5D Index</v>
      </c>
      <c r="C281" t="s">
        <v>50</v>
      </c>
      <c r="D281" t="s">
        <v>87</v>
      </c>
      <c r="E281" t="s">
        <v>489</v>
      </c>
      <c r="F281" t="s">
        <v>490</v>
      </c>
      <c r="G281" t="s">
        <v>52</v>
      </c>
      <c r="H281">
        <v>23</v>
      </c>
      <c r="I281">
        <v>0.68600000000000005</v>
      </c>
      <c r="J281">
        <v>0.72599999999999998</v>
      </c>
      <c r="K281">
        <v>0.04</v>
      </c>
      <c r="L281">
        <v>9</v>
      </c>
      <c r="M281">
        <v>8</v>
      </c>
      <c r="N281">
        <v>6</v>
      </c>
      <c r="O281" t="s">
        <v>53</v>
      </c>
      <c r="P281" t="s">
        <v>53</v>
      </c>
      <c r="Q281" t="s">
        <v>53</v>
      </c>
    </row>
    <row r="282" spans="1:17" s="30" customFormat="1" x14ac:dyDescent="0.2">
      <c r="A282" s="30" t="str">
        <f>IF(C282&amp;G282&amp;D282&lt;&gt;'Funnel setup'!$K$3&amp;'Funnel setup'!$K$4&amp;'Funnel setup'!$K$5,".",IF(A281=".",1,A281+1))</f>
        <v>.</v>
      </c>
      <c r="B282" s="431" t="str">
        <f t="shared" si="4"/>
        <v>Groin HerniaCCG of GP PracticeNHS GUILDFORD AND WAVERLEY CCG (09N)EQ-5D Index</v>
      </c>
      <c r="C282" t="s">
        <v>50</v>
      </c>
      <c r="D282" t="s">
        <v>87</v>
      </c>
      <c r="E282" t="s">
        <v>911</v>
      </c>
      <c r="F282" t="s">
        <v>912</v>
      </c>
      <c r="G282" t="s">
        <v>52</v>
      </c>
      <c r="H282">
        <v>135</v>
      </c>
      <c r="I282">
        <v>0.8</v>
      </c>
      <c r="J282">
        <v>0.90600000000000003</v>
      </c>
      <c r="K282">
        <v>0.106</v>
      </c>
      <c r="L282">
        <v>76</v>
      </c>
      <c r="M282">
        <v>46</v>
      </c>
      <c r="N282">
        <v>13</v>
      </c>
      <c r="O282">
        <v>0.89600000000000002</v>
      </c>
      <c r="P282">
        <v>0.10223232</v>
      </c>
      <c r="Q282">
        <v>0.157</v>
      </c>
    </row>
    <row r="283" spans="1:17" s="30" customFormat="1" x14ac:dyDescent="0.2">
      <c r="A283" s="30" t="str">
        <f>IF(C283&amp;G283&amp;D283&lt;&gt;'Funnel setup'!$K$3&amp;'Funnel setup'!$K$4&amp;'Funnel setup'!$K$5,".",IF(A282=".",1,A282+1))</f>
        <v>.</v>
      </c>
      <c r="B283" s="431" t="str">
        <f t="shared" si="4"/>
        <v>Groin HerniaCCG of GP PracticeNHS HALTON CCG (01F)EQ-5D Index</v>
      </c>
      <c r="C283" t="s">
        <v>50</v>
      </c>
      <c r="D283" t="s">
        <v>87</v>
      </c>
      <c r="E283" t="s">
        <v>914</v>
      </c>
      <c r="F283" t="s">
        <v>915</v>
      </c>
      <c r="G283" t="s">
        <v>52</v>
      </c>
      <c r="H283">
        <v>50</v>
      </c>
      <c r="I283">
        <v>0.78700000000000003</v>
      </c>
      <c r="J283">
        <v>0.84799999999999998</v>
      </c>
      <c r="K283">
        <v>6.0999999999999999E-2</v>
      </c>
      <c r="L283">
        <v>25</v>
      </c>
      <c r="M283">
        <v>12</v>
      </c>
      <c r="N283">
        <v>13</v>
      </c>
      <c r="O283">
        <v>0.85599999999999998</v>
      </c>
      <c r="P283">
        <v>6.2757489999999999E-2</v>
      </c>
      <c r="Q283">
        <v>0.11799999999999999</v>
      </c>
    </row>
    <row r="284" spans="1:17" s="30" customFormat="1" x14ac:dyDescent="0.2">
      <c r="A284" s="30" t="str">
        <f>IF(C284&amp;G284&amp;D284&lt;&gt;'Funnel setup'!$K$3&amp;'Funnel setup'!$K$4&amp;'Funnel setup'!$K$5,".",IF(A283=".",1,A283+1))</f>
        <v>.</v>
      </c>
      <c r="B284" s="431" t="str">
        <f t="shared" si="4"/>
        <v>Groin HerniaCCG of GP PracticeNHS HAMBLETON, RICHMONDSHIRE AND WHITBY CCG (03D)EQ-5D Index</v>
      </c>
      <c r="C284" t="s">
        <v>50</v>
      </c>
      <c r="D284" t="s">
        <v>87</v>
      </c>
      <c r="E284" t="s">
        <v>917</v>
      </c>
      <c r="F284" t="s">
        <v>918</v>
      </c>
      <c r="G284" t="s">
        <v>52</v>
      </c>
      <c r="H284">
        <v>69</v>
      </c>
      <c r="I284">
        <v>0.78</v>
      </c>
      <c r="J284">
        <v>0.92300000000000004</v>
      </c>
      <c r="K284">
        <v>0.14299999999999999</v>
      </c>
      <c r="L284">
        <v>42</v>
      </c>
      <c r="M284">
        <v>18</v>
      </c>
      <c r="N284">
        <v>9</v>
      </c>
      <c r="O284">
        <v>0.90400000000000003</v>
      </c>
      <c r="P284">
        <v>0.11098815300000001</v>
      </c>
      <c r="Q284">
        <v>0.124</v>
      </c>
    </row>
    <row r="285" spans="1:17" s="30" customFormat="1" x14ac:dyDescent="0.2">
      <c r="A285" s="30" t="str">
        <f>IF(C285&amp;G285&amp;D285&lt;&gt;'Funnel setup'!$K$3&amp;'Funnel setup'!$K$4&amp;'Funnel setup'!$K$5,".",IF(A284=".",1,A284+1))</f>
        <v>.</v>
      </c>
      <c r="B285" s="431" t="str">
        <f t="shared" si="4"/>
        <v>Groin HerniaCCG of GP PracticeNHS HAMMERSMITH AND FULHAM CCG (08C)EQ-5D Index</v>
      </c>
      <c r="C285" t="s">
        <v>50</v>
      </c>
      <c r="D285" t="s">
        <v>87</v>
      </c>
      <c r="E285" t="s">
        <v>920</v>
      </c>
      <c r="F285" t="s">
        <v>921</v>
      </c>
      <c r="G285" t="s">
        <v>52</v>
      </c>
      <c r="H285" t="s">
        <v>53</v>
      </c>
      <c r="I285" t="s">
        <v>53</v>
      </c>
      <c r="J285" t="s">
        <v>53</v>
      </c>
      <c r="K285" t="s">
        <v>53</v>
      </c>
      <c r="L285" t="s">
        <v>53</v>
      </c>
      <c r="M285" t="s">
        <v>53</v>
      </c>
      <c r="N285" t="s">
        <v>53</v>
      </c>
      <c r="O285" t="s">
        <v>53</v>
      </c>
      <c r="P285" t="s">
        <v>53</v>
      </c>
      <c r="Q285" t="s">
        <v>53</v>
      </c>
    </row>
    <row r="286" spans="1:17" s="30" customFormat="1" x14ac:dyDescent="0.2">
      <c r="A286" s="30" t="str">
        <f>IF(C286&amp;G286&amp;D286&lt;&gt;'Funnel setup'!$K$3&amp;'Funnel setup'!$K$4&amp;'Funnel setup'!$K$5,".",IF(A285=".",1,A285+1))</f>
        <v>.</v>
      </c>
      <c r="B286" s="431" t="str">
        <f t="shared" si="4"/>
        <v>Groin HerniaCCG of GP PracticeNHS HARDWICK CCG (03Y)EQ-5D Index</v>
      </c>
      <c r="C286" t="s">
        <v>50</v>
      </c>
      <c r="D286" t="s">
        <v>87</v>
      </c>
      <c r="E286" t="s">
        <v>923</v>
      </c>
      <c r="F286" t="s">
        <v>924</v>
      </c>
      <c r="G286" t="s">
        <v>52</v>
      </c>
      <c r="H286">
        <v>72</v>
      </c>
      <c r="I286">
        <v>0.76200000000000001</v>
      </c>
      <c r="J286">
        <v>0.83699999999999997</v>
      </c>
      <c r="K286">
        <v>7.4999999999999997E-2</v>
      </c>
      <c r="L286">
        <v>38</v>
      </c>
      <c r="M286">
        <v>19</v>
      </c>
      <c r="N286">
        <v>15</v>
      </c>
      <c r="O286">
        <v>0.86499999999999999</v>
      </c>
      <c r="P286">
        <v>7.1351123000000002E-2</v>
      </c>
      <c r="Q286">
        <v>0.16300000000000001</v>
      </c>
    </row>
    <row r="287" spans="1:17" s="30" customFormat="1" x14ac:dyDescent="0.2">
      <c r="A287" s="30" t="str">
        <f>IF(C287&amp;G287&amp;D287&lt;&gt;'Funnel setup'!$K$3&amp;'Funnel setup'!$K$4&amp;'Funnel setup'!$K$5,".",IF(A286=".",1,A286+1))</f>
        <v>.</v>
      </c>
      <c r="B287" s="431" t="str">
        <f t="shared" si="4"/>
        <v>Groin HerniaCCG of GP PracticeNHS HARINGEY CCG (08D)EQ-5D Index</v>
      </c>
      <c r="C287" t="s">
        <v>50</v>
      </c>
      <c r="D287" t="s">
        <v>87</v>
      </c>
      <c r="E287" t="s">
        <v>926</v>
      </c>
      <c r="F287" t="s">
        <v>927</v>
      </c>
      <c r="G287" t="s">
        <v>52</v>
      </c>
      <c r="H287">
        <v>21</v>
      </c>
      <c r="I287">
        <v>0.76200000000000001</v>
      </c>
      <c r="J287">
        <v>0.84799999999999998</v>
      </c>
      <c r="K287">
        <v>8.5999999999999993E-2</v>
      </c>
      <c r="L287">
        <v>11</v>
      </c>
      <c r="M287">
        <v>4</v>
      </c>
      <c r="N287">
        <v>6</v>
      </c>
      <c r="O287" t="s">
        <v>53</v>
      </c>
      <c r="P287" t="s">
        <v>53</v>
      </c>
      <c r="Q287" t="s">
        <v>53</v>
      </c>
    </row>
    <row r="288" spans="1:17" s="30" customFormat="1" x14ac:dyDescent="0.2">
      <c r="A288" s="30" t="str">
        <f>IF(C288&amp;G288&amp;D288&lt;&gt;'Funnel setup'!$K$3&amp;'Funnel setup'!$K$4&amp;'Funnel setup'!$K$5,".",IF(A287=".",1,A287+1))</f>
        <v>.</v>
      </c>
      <c r="B288" s="431" t="str">
        <f t="shared" si="4"/>
        <v>Groin HerniaCCG of GP PracticeNHS HARROGATE AND RURAL DISTRICT CCG (03E)EQ-5D Index</v>
      </c>
      <c r="C288" t="s">
        <v>50</v>
      </c>
      <c r="D288" t="s">
        <v>87</v>
      </c>
      <c r="E288" t="s">
        <v>929</v>
      </c>
      <c r="F288" t="s">
        <v>930</v>
      </c>
      <c r="G288" t="s">
        <v>52</v>
      </c>
      <c r="H288">
        <v>152</v>
      </c>
      <c r="I288">
        <v>0.81200000000000006</v>
      </c>
      <c r="J288">
        <v>0.88200000000000001</v>
      </c>
      <c r="K288">
        <v>7.0000000000000007E-2</v>
      </c>
      <c r="L288">
        <v>77</v>
      </c>
      <c r="M288">
        <v>36</v>
      </c>
      <c r="N288">
        <v>39</v>
      </c>
      <c r="O288">
        <v>0.86899999999999999</v>
      </c>
      <c r="P288">
        <v>7.5975866000000003E-2</v>
      </c>
      <c r="Q288">
        <v>0.16</v>
      </c>
    </row>
    <row r="289" spans="1:17" s="30" customFormat="1" x14ac:dyDescent="0.2">
      <c r="A289" s="30" t="str">
        <f>IF(C289&amp;G289&amp;D289&lt;&gt;'Funnel setup'!$K$3&amp;'Funnel setup'!$K$4&amp;'Funnel setup'!$K$5,".",IF(A288=".",1,A288+1))</f>
        <v>.</v>
      </c>
      <c r="B289" s="431" t="str">
        <f t="shared" si="4"/>
        <v>Groin HerniaCCG of GP PracticeNHS HARROW CCG (08E)EQ-5D Index</v>
      </c>
      <c r="C289" t="s">
        <v>50</v>
      </c>
      <c r="D289" t="s">
        <v>87</v>
      </c>
      <c r="E289" t="s">
        <v>492</v>
      </c>
      <c r="F289" t="s">
        <v>493</v>
      </c>
      <c r="G289" t="s">
        <v>52</v>
      </c>
      <c r="H289">
        <v>40</v>
      </c>
      <c r="I289">
        <v>0.76400000000000001</v>
      </c>
      <c r="J289">
        <v>0.82799999999999996</v>
      </c>
      <c r="K289">
        <v>6.4000000000000001E-2</v>
      </c>
      <c r="L289">
        <v>20</v>
      </c>
      <c r="M289">
        <v>9</v>
      </c>
      <c r="N289">
        <v>11</v>
      </c>
      <c r="O289">
        <v>0.85</v>
      </c>
      <c r="P289">
        <v>5.6901869000000001E-2</v>
      </c>
      <c r="Q289">
        <v>0.21099999999999999</v>
      </c>
    </row>
    <row r="290" spans="1:17" s="30" customFormat="1" x14ac:dyDescent="0.2">
      <c r="A290" s="30" t="str">
        <f>IF(C290&amp;G290&amp;D290&lt;&gt;'Funnel setup'!$K$3&amp;'Funnel setup'!$K$4&amp;'Funnel setup'!$K$5,".",IF(A289=".",1,A289+1))</f>
        <v>.</v>
      </c>
      <c r="B290" s="431" t="str">
        <f t="shared" si="4"/>
        <v>Groin HerniaCCG of GP PracticeNHS HARTLEPOOL AND STOCKTON-ON-TEES CCG (00K)EQ-5D Index</v>
      </c>
      <c r="C290" t="s">
        <v>50</v>
      </c>
      <c r="D290" t="s">
        <v>87</v>
      </c>
      <c r="E290" t="s">
        <v>495</v>
      </c>
      <c r="F290" t="s">
        <v>496</v>
      </c>
      <c r="G290" t="s">
        <v>52</v>
      </c>
      <c r="H290">
        <v>174</v>
      </c>
      <c r="I290">
        <v>0.79500000000000004</v>
      </c>
      <c r="J290">
        <v>0.86499999999999999</v>
      </c>
      <c r="K290">
        <v>6.9000000000000006E-2</v>
      </c>
      <c r="L290">
        <v>80</v>
      </c>
      <c r="M290">
        <v>58</v>
      </c>
      <c r="N290">
        <v>36</v>
      </c>
      <c r="O290">
        <v>0.86599999999999999</v>
      </c>
      <c r="P290">
        <v>7.2230820000000001E-2</v>
      </c>
      <c r="Q290">
        <v>0.154</v>
      </c>
    </row>
    <row r="291" spans="1:17" s="30" customFormat="1" x14ac:dyDescent="0.2">
      <c r="A291" s="30" t="str">
        <f>IF(C291&amp;G291&amp;D291&lt;&gt;'Funnel setup'!$K$3&amp;'Funnel setup'!$K$4&amp;'Funnel setup'!$K$5,".",IF(A290=".",1,A290+1))</f>
        <v>.</v>
      </c>
      <c r="B291" s="431" t="str">
        <f t="shared" si="4"/>
        <v>Groin HerniaCCG of GP PracticeNHS HASTINGS AND ROTHER CCG (09P)EQ-5D Index</v>
      </c>
      <c r="C291" t="s">
        <v>50</v>
      </c>
      <c r="D291" t="s">
        <v>87</v>
      </c>
      <c r="E291" t="s">
        <v>498</v>
      </c>
      <c r="F291" t="s">
        <v>499</v>
      </c>
      <c r="G291" t="s">
        <v>52</v>
      </c>
      <c r="H291">
        <v>87</v>
      </c>
      <c r="I291">
        <v>0.77</v>
      </c>
      <c r="J291">
        <v>0.88400000000000001</v>
      </c>
      <c r="K291">
        <v>0.114</v>
      </c>
      <c r="L291">
        <v>52</v>
      </c>
      <c r="M291">
        <v>22</v>
      </c>
      <c r="N291">
        <v>13</v>
      </c>
      <c r="O291">
        <v>0.88600000000000001</v>
      </c>
      <c r="P291">
        <v>9.2344197000000003E-2</v>
      </c>
      <c r="Q291">
        <v>0.14599999999999999</v>
      </c>
    </row>
    <row r="292" spans="1:17" s="30" customFormat="1" x14ac:dyDescent="0.2">
      <c r="A292" s="30" t="str">
        <f>IF(C292&amp;G292&amp;D292&lt;&gt;'Funnel setup'!$K$3&amp;'Funnel setup'!$K$4&amp;'Funnel setup'!$K$5,".",IF(A291=".",1,A291+1))</f>
        <v>.</v>
      </c>
      <c r="B292" s="431" t="str">
        <f t="shared" si="4"/>
        <v>Groin HerniaCCG of GP PracticeNHS HAVERING CCG (08F)EQ-5D Index</v>
      </c>
      <c r="C292" t="s">
        <v>50</v>
      </c>
      <c r="D292" t="s">
        <v>87</v>
      </c>
      <c r="E292" t="s">
        <v>501</v>
      </c>
      <c r="F292" t="s">
        <v>502</v>
      </c>
      <c r="G292" t="s">
        <v>52</v>
      </c>
      <c r="H292">
        <v>71</v>
      </c>
      <c r="I292">
        <v>0.78500000000000003</v>
      </c>
      <c r="J292">
        <v>0.86199999999999999</v>
      </c>
      <c r="K292">
        <v>7.6999999999999999E-2</v>
      </c>
      <c r="L292">
        <v>39</v>
      </c>
      <c r="M292">
        <v>20</v>
      </c>
      <c r="N292">
        <v>12</v>
      </c>
      <c r="O292">
        <v>0.86899999999999999</v>
      </c>
      <c r="P292">
        <v>7.5948222999999995E-2</v>
      </c>
      <c r="Q292">
        <v>0.14499999999999999</v>
      </c>
    </row>
    <row r="293" spans="1:17" s="30" customFormat="1" x14ac:dyDescent="0.2">
      <c r="A293" s="30" t="str">
        <f>IF(C293&amp;G293&amp;D293&lt;&gt;'Funnel setup'!$K$3&amp;'Funnel setup'!$K$4&amp;'Funnel setup'!$K$5,".",IF(A292=".",1,A292+1))</f>
        <v>.</v>
      </c>
      <c r="B293" s="431" t="str">
        <f t="shared" si="4"/>
        <v>Groin HerniaCCG of GP PracticeNHS HEREFORDSHIRE CCG (05F)EQ-5D Index</v>
      </c>
      <c r="C293" t="s">
        <v>50</v>
      </c>
      <c r="D293" t="s">
        <v>87</v>
      </c>
      <c r="E293" t="s">
        <v>504</v>
      </c>
      <c r="F293" t="s">
        <v>505</v>
      </c>
      <c r="G293" t="s">
        <v>52</v>
      </c>
      <c r="H293">
        <v>143</v>
      </c>
      <c r="I293">
        <v>0.77300000000000002</v>
      </c>
      <c r="J293">
        <v>0.89900000000000002</v>
      </c>
      <c r="K293">
        <v>0.126</v>
      </c>
      <c r="L293">
        <v>85</v>
      </c>
      <c r="M293">
        <v>36</v>
      </c>
      <c r="N293">
        <v>22</v>
      </c>
      <c r="O293">
        <v>0.89400000000000002</v>
      </c>
      <c r="P293">
        <v>0.10037626600000001</v>
      </c>
      <c r="Q293">
        <v>0.156</v>
      </c>
    </row>
    <row r="294" spans="1:17" s="30" customFormat="1" x14ac:dyDescent="0.2">
      <c r="A294" s="30" t="str">
        <f>IF(C294&amp;G294&amp;D294&lt;&gt;'Funnel setup'!$K$3&amp;'Funnel setup'!$K$4&amp;'Funnel setup'!$K$5,".",IF(A293=".",1,A293+1))</f>
        <v>.</v>
      </c>
      <c r="B294" s="431" t="str">
        <f t="shared" si="4"/>
        <v>Groin HerniaCCG of GP PracticeNHS HERTS VALLEYS CCG (06N)EQ-5D Index</v>
      </c>
      <c r="C294" t="s">
        <v>50</v>
      </c>
      <c r="D294" t="s">
        <v>87</v>
      </c>
      <c r="E294" t="s">
        <v>507</v>
      </c>
      <c r="F294" t="s">
        <v>508</v>
      </c>
      <c r="G294" t="s">
        <v>52</v>
      </c>
      <c r="H294">
        <v>255</v>
      </c>
      <c r="I294">
        <v>0.79700000000000004</v>
      </c>
      <c r="J294">
        <v>0.88500000000000001</v>
      </c>
      <c r="K294">
        <v>8.7999999999999995E-2</v>
      </c>
      <c r="L294">
        <v>135</v>
      </c>
      <c r="M294">
        <v>80</v>
      </c>
      <c r="N294">
        <v>40</v>
      </c>
      <c r="O294">
        <v>0.873</v>
      </c>
      <c r="P294">
        <v>7.9982573000000001E-2</v>
      </c>
      <c r="Q294">
        <v>0.14799999999999999</v>
      </c>
    </row>
    <row r="295" spans="1:17" s="30" customFormat="1" x14ac:dyDescent="0.2">
      <c r="A295" s="30" t="str">
        <f>IF(C295&amp;G295&amp;D295&lt;&gt;'Funnel setup'!$K$3&amp;'Funnel setup'!$K$4&amp;'Funnel setup'!$K$5,".",IF(A294=".",1,A294+1))</f>
        <v>.</v>
      </c>
      <c r="B295" s="431" t="str">
        <f t="shared" si="4"/>
        <v>Groin HerniaCCG of GP PracticeNHS HEYWOOD, MIDDLETON AND ROCHDALE CCG (01D)EQ-5D Index</v>
      </c>
      <c r="C295" t="s">
        <v>50</v>
      </c>
      <c r="D295" t="s">
        <v>87</v>
      </c>
      <c r="E295" t="s">
        <v>510</v>
      </c>
      <c r="F295" t="s">
        <v>511</v>
      </c>
      <c r="G295" t="s">
        <v>52</v>
      </c>
      <c r="H295">
        <v>34</v>
      </c>
      <c r="I295">
        <v>0.73499999999999999</v>
      </c>
      <c r="J295">
        <v>0.84599999999999997</v>
      </c>
      <c r="K295">
        <v>0.111</v>
      </c>
      <c r="L295">
        <v>19</v>
      </c>
      <c r="M295">
        <v>9</v>
      </c>
      <c r="N295">
        <v>6</v>
      </c>
      <c r="O295">
        <v>0.874</v>
      </c>
      <c r="P295">
        <v>8.0858736E-2</v>
      </c>
      <c r="Q295">
        <v>0.13</v>
      </c>
    </row>
    <row r="296" spans="1:17" s="30" customFormat="1" x14ac:dyDescent="0.2">
      <c r="A296" s="30" t="str">
        <f>IF(C296&amp;G296&amp;D296&lt;&gt;'Funnel setup'!$K$3&amp;'Funnel setup'!$K$4&amp;'Funnel setup'!$K$5,".",IF(A295=".",1,A295+1))</f>
        <v>.</v>
      </c>
      <c r="B296" s="431" t="str">
        <f t="shared" si="4"/>
        <v>Groin HerniaCCG of GP PracticeNHS HIGH WEALD LEWES HAVENS CCG (99K)EQ-5D Index</v>
      </c>
      <c r="C296" t="s">
        <v>50</v>
      </c>
      <c r="D296" t="s">
        <v>87</v>
      </c>
      <c r="E296" t="s">
        <v>513</v>
      </c>
      <c r="F296" t="s">
        <v>514</v>
      </c>
      <c r="G296" t="s">
        <v>52</v>
      </c>
      <c r="H296">
        <v>78</v>
      </c>
      <c r="I296">
        <v>0.78900000000000003</v>
      </c>
      <c r="J296">
        <v>0.89500000000000002</v>
      </c>
      <c r="K296">
        <v>0.106</v>
      </c>
      <c r="L296">
        <v>39</v>
      </c>
      <c r="M296">
        <v>27</v>
      </c>
      <c r="N296">
        <v>12</v>
      </c>
      <c r="O296">
        <v>0.89</v>
      </c>
      <c r="P296">
        <v>9.7014649999999994E-2</v>
      </c>
      <c r="Q296">
        <v>0.154</v>
      </c>
    </row>
    <row r="297" spans="1:17" s="30" customFormat="1" x14ac:dyDescent="0.2">
      <c r="A297" s="30" t="str">
        <f>IF(C297&amp;G297&amp;D297&lt;&gt;'Funnel setup'!$K$3&amp;'Funnel setup'!$K$4&amp;'Funnel setup'!$K$5,".",IF(A296=".",1,A296+1))</f>
        <v>.</v>
      </c>
      <c r="B297" s="431" t="str">
        <f t="shared" si="4"/>
        <v>Groin HerniaCCG of GP PracticeNHS HILLINGDON CCG (08G)EQ-5D Index</v>
      </c>
      <c r="C297" t="s">
        <v>50</v>
      </c>
      <c r="D297" t="s">
        <v>87</v>
      </c>
      <c r="E297" t="s">
        <v>516</v>
      </c>
      <c r="F297" t="s">
        <v>517</v>
      </c>
      <c r="G297" t="s">
        <v>52</v>
      </c>
      <c r="H297">
        <v>49</v>
      </c>
      <c r="I297">
        <v>0.81200000000000006</v>
      </c>
      <c r="J297">
        <v>0.876</v>
      </c>
      <c r="K297">
        <v>6.4000000000000001E-2</v>
      </c>
      <c r="L297">
        <v>26</v>
      </c>
      <c r="M297">
        <v>14</v>
      </c>
      <c r="N297">
        <v>9</v>
      </c>
      <c r="O297">
        <v>0.873</v>
      </c>
      <c r="P297">
        <v>7.9605403000000005E-2</v>
      </c>
      <c r="Q297">
        <v>0.156</v>
      </c>
    </row>
    <row r="298" spans="1:17" s="30" customFormat="1" x14ac:dyDescent="0.2">
      <c r="A298" s="30" t="str">
        <f>IF(C298&amp;G298&amp;D298&lt;&gt;'Funnel setup'!$K$3&amp;'Funnel setup'!$K$4&amp;'Funnel setup'!$K$5,".",IF(A297=".",1,A297+1))</f>
        <v>.</v>
      </c>
      <c r="B298" s="431" t="str">
        <f t="shared" si="4"/>
        <v>Groin HerniaCCG of GP PracticeNHS HORSHAM AND MID SUSSEX CCG (09X)EQ-5D Index</v>
      </c>
      <c r="C298" t="s">
        <v>50</v>
      </c>
      <c r="D298" t="s">
        <v>87</v>
      </c>
      <c r="E298" t="s">
        <v>519</v>
      </c>
      <c r="F298" t="s">
        <v>520</v>
      </c>
      <c r="G298" t="s">
        <v>52</v>
      </c>
      <c r="H298">
        <v>140</v>
      </c>
      <c r="I298">
        <v>0.83699999999999997</v>
      </c>
      <c r="J298">
        <v>0.90900000000000003</v>
      </c>
      <c r="K298">
        <v>7.1999999999999995E-2</v>
      </c>
      <c r="L298">
        <v>62</v>
      </c>
      <c r="M298">
        <v>57</v>
      </c>
      <c r="N298">
        <v>21</v>
      </c>
      <c r="O298">
        <v>0.88300000000000001</v>
      </c>
      <c r="P298">
        <v>9.0121145999999999E-2</v>
      </c>
      <c r="Q298">
        <v>0.15</v>
      </c>
    </row>
    <row r="299" spans="1:17" s="30" customFormat="1" x14ac:dyDescent="0.2">
      <c r="A299" s="30" t="str">
        <f>IF(C299&amp;G299&amp;D299&lt;&gt;'Funnel setup'!$K$3&amp;'Funnel setup'!$K$4&amp;'Funnel setup'!$K$5,".",IF(A298=".",1,A298+1))</f>
        <v>.</v>
      </c>
      <c r="B299" s="431" t="str">
        <f t="shared" si="4"/>
        <v>Groin HerniaCCG of GP PracticeNHS HOUNSLOW CCG (07Y)EQ-5D Index</v>
      </c>
      <c r="C299" t="s">
        <v>50</v>
      </c>
      <c r="D299" t="s">
        <v>87</v>
      </c>
      <c r="E299" t="s">
        <v>522</v>
      </c>
      <c r="F299" t="s">
        <v>523</v>
      </c>
      <c r="G299" t="s">
        <v>52</v>
      </c>
      <c r="H299">
        <v>8</v>
      </c>
      <c r="I299">
        <v>0.91500000000000004</v>
      </c>
      <c r="J299">
        <v>0.75</v>
      </c>
      <c r="K299">
        <v>-0.16500000000000001</v>
      </c>
      <c r="L299">
        <v>0</v>
      </c>
      <c r="M299">
        <v>4</v>
      </c>
      <c r="N299">
        <v>4</v>
      </c>
      <c r="O299" t="s">
        <v>53</v>
      </c>
      <c r="P299" t="s">
        <v>53</v>
      </c>
      <c r="Q299" t="s">
        <v>53</v>
      </c>
    </row>
    <row r="300" spans="1:17" s="30" customFormat="1" x14ac:dyDescent="0.2">
      <c r="A300" s="30" t="str">
        <f>IF(C300&amp;G300&amp;D300&lt;&gt;'Funnel setup'!$K$3&amp;'Funnel setup'!$K$4&amp;'Funnel setup'!$K$5,".",IF(A299=".",1,A299+1))</f>
        <v>.</v>
      </c>
      <c r="B300" s="431" t="str">
        <f t="shared" si="4"/>
        <v>Groin HerniaCCG of GP PracticeNHS HULL CCG (03F)EQ-5D Index</v>
      </c>
      <c r="C300" t="s">
        <v>50</v>
      </c>
      <c r="D300" t="s">
        <v>87</v>
      </c>
      <c r="E300" t="s">
        <v>525</v>
      </c>
      <c r="F300" t="s">
        <v>526</v>
      </c>
      <c r="G300" t="s">
        <v>52</v>
      </c>
      <c r="H300">
        <v>194</v>
      </c>
      <c r="I300">
        <v>0.77600000000000002</v>
      </c>
      <c r="J300">
        <v>0.88600000000000001</v>
      </c>
      <c r="K300">
        <v>0.109</v>
      </c>
      <c r="L300">
        <v>100</v>
      </c>
      <c r="M300">
        <v>69</v>
      </c>
      <c r="N300">
        <v>25</v>
      </c>
      <c r="O300">
        <v>0.90300000000000002</v>
      </c>
      <c r="P300">
        <v>0.109213222</v>
      </c>
      <c r="Q300">
        <v>0.158</v>
      </c>
    </row>
    <row r="301" spans="1:17" s="30" customFormat="1" x14ac:dyDescent="0.2">
      <c r="A301" s="30" t="str">
        <f>IF(C301&amp;G301&amp;D301&lt;&gt;'Funnel setup'!$K$3&amp;'Funnel setup'!$K$4&amp;'Funnel setup'!$K$5,".",IF(A300=".",1,A300+1))</f>
        <v>.</v>
      </c>
      <c r="B301" s="431" t="str">
        <f t="shared" si="4"/>
        <v>Groin HerniaCCG of GP PracticeNHS IPSWICH AND EAST SUFFOLK CCG (06L)EQ-5D Index</v>
      </c>
      <c r="C301" t="s">
        <v>50</v>
      </c>
      <c r="D301" t="s">
        <v>87</v>
      </c>
      <c r="E301" t="s">
        <v>528</v>
      </c>
      <c r="F301" t="s">
        <v>529</v>
      </c>
      <c r="G301" t="s">
        <v>52</v>
      </c>
      <c r="H301">
        <v>232</v>
      </c>
      <c r="I301">
        <v>0.77200000000000002</v>
      </c>
      <c r="J301">
        <v>0.87</v>
      </c>
      <c r="K301">
        <v>9.9000000000000005E-2</v>
      </c>
      <c r="L301">
        <v>137</v>
      </c>
      <c r="M301">
        <v>63</v>
      </c>
      <c r="N301">
        <v>32</v>
      </c>
      <c r="O301">
        <v>0.874</v>
      </c>
      <c r="P301">
        <v>8.0717624000000002E-2</v>
      </c>
      <c r="Q301">
        <v>0.20699999999999999</v>
      </c>
    </row>
    <row r="302" spans="1:17" s="30" customFormat="1" x14ac:dyDescent="0.2">
      <c r="A302" s="30" t="str">
        <f>IF(C302&amp;G302&amp;D302&lt;&gt;'Funnel setup'!$K$3&amp;'Funnel setup'!$K$4&amp;'Funnel setup'!$K$5,".",IF(A301=".",1,A301+1))</f>
        <v>.</v>
      </c>
      <c r="B302" s="431" t="str">
        <f t="shared" si="4"/>
        <v>Groin HerniaCCG of GP PracticeNHS ISLE OF WIGHT CCG (10L)EQ-5D Index</v>
      </c>
      <c r="C302" t="s">
        <v>50</v>
      </c>
      <c r="D302" t="s">
        <v>87</v>
      </c>
      <c r="E302" t="s">
        <v>531</v>
      </c>
      <c r="F302" t="s">
        <v>532</v>
      </c>
      <c r="G302" t="s">
        <v>52</v>
      </c>
      <c r="H302">
        <v>49</v>
      </c>
      <c r="I302">
        <v>0.79700000000000004</v>
      </c>
      <c r="J302">
        <v>0.90500000000000003</v>
      </c>
      <c r="K302">
        <v>0.108</v>
      </c>
      <c r="L302">
        <v>29</v>
      </c>
      <c r="M302">
        <v>14</v>
      </c>
      <c r="N302">
        <v>6</v>
      </c>
      <c r="O302">
        <v>0.91300000000000003</v>
      </c>
      <c r="P302">
        <v>0.120057945</v>
      </c>
      <c r="Q302">
        <v>0.113</v>
      </c>
    </row>
    <row r="303" spans="1:17" s="30" customFormat="1" x14ac:dyDescent="0.2">
      <c r="A303" s="30" t="str">
        <f>IF(C303&amp;G303&amp;D303&lt;&gt;'Funnel setup'!$K$3&amp;'Funnel setup'!$K$4&amp;'Funnel setup'!$K$5,".",IF(A302=".",1,A302+1))</f>
        <v>.</v>
      </c>
      <c r="B303" s="431" t="str">
        <f t="shared" si="4"/>
        <v>Groin HerniaCCG of GP PracticeNHS ISLINGTON CCG (08H)EQ-5D Index</v>
      </c>
      <c r="C303" t="s">
        <v>50</v>
      </c>
      <c r="D303" t="s">
        <v>87</v>
      </c>
      <c r="E303" t="s">
        <v>534</v>
      </c>
      <c r="F303" t="s">
        <v>535</v>
      </c>
      <c r="G303" t="s">
        <v>52</v>
      </c>
      <c r="H303">
        <v>12</v>
      </c>
      <c r="I303">
        <v>0.7</v>
      </c>
      <c r="J303">
        <v>0.745</v>
      </c>
      <c r="K303">
        <v>4.4999999999999998E-2</v>
      </c>
      <c r="L303">
        <v>6</v>
      </c>
      <c r="M303">
        <v>1</v>
      </c>
      <c r="N303">
        <v>5</v>
      </c>
      <c r="O303" t="s">
        <v>53</v>
      </c>
      <c r="P303" t="s">
        <v>53</v>
      </c>
      <c r="Q303" t="s">
        <v>53</v>
      </c>
    </row>
    <row r="304" spans="1:17" s="30" customFormat="1" x14ac:dyDescent="0.2">
      <c r="A304" s="30" t="str">
        <f>IF(C304&amp;G304&amp;D304&lt;&gt;'Funnel setup'!$K$3&amp;'Funnel setup'!$K$4&amp;'Funnel setup'!$K$5,".",IF(A303=".",1,A303+1))</f>
        <v>.</v>
      </c>
      <c r="B304" s="431" t="str">
        <f t="shared" si="4"/>
        <v>Groin HerniaCCG of GP PracticeNHS KERNOW CCG (11N)EQ-5D Index</v>
      </c>
      <c r="C304" t="s">
        <v>50</v>
      </c>
      <c r="D304" t="s">
        <v>87</v>
      </c>
      <c r="E304" t="s">
        <v>537</v>
      </c>
      <c r="F304" t="s">
        <v>538</v>
      </c>
      <c r="G304" t="s">
        <v>52</v>
      </c>
      <c r="H304">
        <v>217</v>
      </c>
      <c r="I304">
        <v>0.80800000000000005</v>
      </c>
      <c r="J304">
        <v>0.91400000000000003</v>
      </c>
      <c r="K304">
        <v>0.106</v>
      </c>
      <c r="L304">
        <v>122</v>
      </c>
      <c r="M304">
        <v>69</v>
      </c>
      <c r="N304">
        <v>26</v>
      </c>
      <c r="O304">
        <v>0.90500000000000003</v>
      </c>
      <c r="P304">
        <v>0.111949332</v>
      </c>
      <c r="Q304">
        <v>0.121</v>
      </c>
    </row>
    <row r="305" spans="1:17" s="30" customFormat="1" x14ac:dyDescent="0.2">
      <c r="A305" s="30" t="str">
        <f>IF(C305&amp;G305&amp;D305&lt;&gt;'Funnel setup'!$K$3&amp;'Funnel setup'!$K$4&amp;'Funnel setup'!$K$5,".",IF(A304=".",1,A304+1))</f>
        <v>.</v>
      </c>
      <c r="B305" s="431" t="str">
        <f t="shared" si="4"/>
        <v>Groin HerniaCCG of GP PracticeNHS KINGSTON CCG (08J)EQ-5D Index</v>
      </c>
      <c r="C305" t="s">
        <v>50</v>
      </c>
      <c r="D305" t="s">
        <v>87</v>
      </c>
      <c r="E305" t="s">
        <v>540</v>
      </c>
      <c r="F305" t="s">
        <v>541</v>
      </c>
      <c r="G305" t="s">
        <v>52</v>
      </c>
      <c r="H305" t="s">
        <v>53</v>
      </c>
      <c r="I305" t="s">
        <v>53</v>
      </c>
      <c r="J305" t="s">
        <v>53</v>
      </c>
      <c r="K305" t="s">
        <v>53</v>
      </c>
      <c r="L305" t="s">
        <v>53</v>
      </c>
      <c r="M305" t="s">
        <v>53</v>
      </c>
      <c r="N305" t="s">
        <v>53</v>
      </c>
      <c r="O305" t="s">
        <v>53</v>
      </c>
      <c r="P305" t="s">
        <v>53</v>
      </c>
      <c r="Q305" t="s">
        <v>53</v>
      </c>
    </row>
    <row r="306" spans="1:17" s="30" customFormat="1" x14ac:dyDescent="0.2">
      <c r="A306" s="30" t="str">
        <f>IF(C306&amp;G306&amp;D306&lt;&gt;'Funnel setup'!$K$3&amp;'Funnel setup'!$K$4&amp;'Funnel setup'!$K$5,".",IF(A305=".",1,A305+1))</f>
        <v>.</v>
      </c>
      <c r="B306" s="431" t="str">
        <f t="shared" si="4"/>
        <v>Groin HerniaCCG of GP PracticeNHS KNOWSLEY CCG (01J)EQ-5D Index</v>
      </c>
      <c r="C306" t="s">
        <v>50</v>
      </c>
      <c r="D306" t="s">
        <v>87</v>
      </c>
      <c r="E306" t="s">
        <v>543</v>
      </c>
      <c r="F306" t="s">
        <v>544</v>
      </c>
      <c r="G306" t="s">
        <v>52</v>
      </c>
      <c r="H306">
        <v>38</v>
      </c>
      <c r="I306">
        <v>0.76700000000000002</v>
      </c>
      <c r="J306">
        <v>0.83899999999999997</v>
      </c>
      <c r="K306">
        <v>7.1999999999999995E-2</v>
      </c>
      <c r="L306">
        <v>18</v>
      </c>
      <c r="M306">
        <v>14</v>
      </c>
      <c r="N306">
        <v>6</v>
      </c>
      <c r="O306">
        <v>0.878</v>
      </c>
      <c r="P306">
        <v>8.4739610000000007E-2</v>
      </c>
      <c r="Q306">
        <v>0.21</v>
      </c>
    </row>
    <row r="307" spans="1:17" s="30" customFormat="1" x14ac:dyDescent="0.2">
      <c r="A307" s="30" t="str">
        <f>IF(C307&amp;G307&amp;D307&lt;&gt;'Funnel setup'!$K$3&amp;'Funnel setup'!$K$4&amp;'Funnel setup'!$K$5,".",IF(A306=".",1,A306+1))</f>
        <v>.</v>
      </c>
      <c r="B307" s="431" t="str">
        <f t="shared" si="4"/>
        <v>Groin HerniaCCG of GP PracticeNHS LAMBETH CCG (08K)EQ-5D Index</v>
      </c>
      <c r="C307" t="s">
        <v>50</v>
      </c>
      <c r="D307" t="s">
        <v>87</v>
      </c>
      <c r="E307" t="s">
        <v>546</v>
      </c>
      <c r="F307" t="s">
        <v>547</v>
      </c>
      <c r="G307" t="s">
        <v>52</v>
      </c>
      <c r="H307">
        <v>7</v>
      </c>
      <c r="I307">
        <v>0.78300000000000003</v>
      </c>
      <c r="J307">
        <v>0.77300000000000002</v>
      </c>
      <c r="K307">
        <v>-0.01</v>
      </c>
      <c r="L307">
        <v>3</v>
      </c>
      <c r="M307">
        <v>2</v>
      </c>
      <c r="N307">
        <v>2</v>
      </c>
      <c r="O307" t="s">
        <v>53</v>
      </c>
      <c r="P307" t="s">
        <v>53</v>
      </c>
      <c r="Q307" t="s">
        <v>53</v>
      </c>
    </row>
    <row r="308" spans="1:17" s="30" customFormat="1" x14ac:dyDescent="0.2">
      <c r="A308" s="30" t="str">
        <f>IF(C308&amp;G308&amp;D308&lt;&gt;'Funnel setup'!$K$3&amp;'Funnel setup'!$K$4&amp;'Funnel setup'!$K$5,".",IF(A307=".",1,A307+1))</f>
        <v>.</v>
      </c>
      <c r="B308" s="431" t="str">
        <f t="shared" si="4"/>
        <v>Groin HerniaCCG of GP PracticeNHS LANCASHIRE NORTH CCG (01K)EQ-5D Index</v>
      </c>
      <c r="C308" t="s">
        <v>50</v>
      </c>
      <c r="D308" t="s">
        <v>87</v>
      </c>
      <c r="E308" t="s">
        <v>549</v>
      </c>
      <c r="F308" t="s">
        <v>550</v>
      </c>
      <c r="G308" t="s">
        <v>52</v>
      </c>
      <c r="H308">
        <v>75</v>
      </c>
      <c r="I308">
        <v>0.78500000000000003</v>
      </c>
      <c r="J308">
        <v>0.86299999999999999</v>
      </c>
      <c r="K308">
        <v>7.8E-2</v>
      </c>
      <c r="L308">
        <v>41</v>
      </c>
      <c r="M308">
        <v>20</v>
      </c>
      <c r="N308">
        <v>14</v>
      </c>
      <c r="O308">
        <v>0.85799999999999998</v>
      </c>
      <c r="P308">
        <v>6.4989353E-2</v>
      </c>
      <c r="Q308">
        <v>0.17399999999999999</v>
      </c>
    </row>
    <row r="309" spans="1:17" s="30" customFormat="1" x14ac:dyDescent="0.2">
      <c r="A309" s="30" t="str">
        <f>IF(C309&amp;G309&amp;D309&lt;&gt;'Funnel setup'!$K$3&amp;'Funnel setup'!$K$4&amp;'Funnel setup'!$K$5,".",IF(A308=".",1,A308+1))</f>
        <v>.</v>
      </c>
      <c r="B309" s="431" t="str">
        <f t="shared" si="4"/>
        <v>Groin HerniaCCG of GP PracticeNHS LEEDS NORTH CCG (02V)EQ-5D Index</v>
      </c>
      <c r="C309" t="s">
        <v>50</v>
      </c>
      <c r="D309" t="s">
        <v>87</v>
      </c>
      <c r="E309" t="s">
        <v>552</v>
      </c>
      <c r="F309" t="s">
        <v>337</v>
      </c>
      <c r="G309" t="s">
        <v>52</v>
      </c>
      <c r="H309">
        <v>111</v>
      </c>
      <c r="I309">
        <v>0.85099999999999998</v>
      </c>
      <c r="J309">
        <v>0.91</v>
      </c>
      <c r="K309">
        <v>5.8999999999999997E-2</v>
      </c>
      <c r="L309">
        <v>45</v>
      </c>
      <c r="M309">
        <v>51</v>
      </c>
      <c r="N309">
        <v>15</v>
      </c>
      <c r="O309">
        <v>0.89200000000000002</v>
      </c>
      <c r="P309">
        <v>9.8985877999999999E-2</v>
      </c>
      <c r="Q309">
        <v>0.10299999999999999</v>
      </c>
    </row>
    <row r="310" spans="1:17" s="30" customFormat="1" x14ac:dyDescent="0.2">
      <c r="A310" s="30" t="str">
        <f>IF(C310&amp;G310&amp;D310&lt;&gt;'Funnel setup'!$K$3&amp;'Funnel setup'!$K$4&amp;'Funnel setup'!$K$5,".",IF(A309=".",1,A309+1))</f>
        <v>.</v>
      </c>
      <c r="B310" s="431" t="str">
        <f t="shared" si="4"/>
        <v>Groin HerniaCCG of GP PracticeNHS LEEDS SOUTH AND EAST CCG (03G)EQ-5D Index</v>
      </c>
      <c r="C310" t="s">
        <v>50</v>
      </c>
      <c r="D310" t="s">
        <v>87</v>
      </c>
      <c r="E310" t="s">
        <v>396</v>
      </c>
      <c r="F310" t="s">
        <v>397</v>
      </c>
      <c r="G310" t="s">
        <v>52</v>
      </c>
      <c r="H310">
        <v>75</v>
      </c>
      <c r="I310">
        <v>0.80600000000000005</v>
      </c>
      <c r="J310">
        <v>0.89500000000000002</v>
      </c>
      <c r="K310">
        <v>8.8999999999999996E-2</v>
      </c>
      <c r="L310">
        <v>40</v>
      </c>
      <c r="M310">
        <v>21</v>
      </c>
      <c r="N310">
        <v>14</v>
      </c>
      <c r="O310">
        <v>0.88900000000000001</v>
      </c>
      <c r="P310">
        <v>9.5881170000000002E-2</v>
      </c>
      <c r="Q310">
        <v>0.11899999999999999</v>
      </c>
    </row>
    <row r="311" spans="1:17" s="30" customFormat="1" x14ac:dyDescent="0.2">
      <c r="A311" s="30" t="str">
        <f>IF(C311&amp;G311&amp;D311&lt;&gt;'Funnel setup'!$K$3&amp;'Funnel setup'!$K$4&amp;'Funnel setup'!$K$5,".",IF(A310=".",1,A310+1))</f>
        <v>.</v>
      </c>
      <c r="B311" s="431" t="str">
        <f t="shared" si="4"/>
        <v>Groin HerniaCCG of GP PracticeNHS LEEDS WEST CCG (03C)EQ-5D Index</v>
      </c>
      <c r="C311" t="s">
        <v>50</v>
      </c>
      <c r="D311" t="s">
        <v>87</v>
      </c>
      <c r="E311" t="s">
        <v>399</v>
      </c>
      <c r="F311" t="s">
        <v>400</v>
      </c>
      <c r="G311" t="s">
        <v>52</v>
      </c>
      <c r="H311">
        <v>113</v>
      </c>
      <c r="I311">
        <v>0.79100000000000004</v>
      </c>
      <c r="J311">
        <v>0.89700000000000002</v>
      </c>
      <c r="K311">
        <v>0.106</v>
      </c>
      <c r="L311">
        <v>62</v>
      </c>
      <c r="M311">
        <v>34</v>
      </c>
      <c r="N311">
        <v>17</v>
      </c>
      <c r="O311">
        <v>0.89100000000000001</v>
      </c>
      <c r="P311">
        <v>9.7530466999999996E-2</v>
      </c>
      <c r="Q311">
        <v>0.126</v>
      </c>
    </row>
    <row r="312" spans="1:17" s="30" customFormat="1" x14ac:dyDescent="0.2">
      <c r="A312" s="30" t="str">
        <f>IF(C312&amp;G312&amp;D312&lt;&gt;'Funnel setup'!$K$3&amp;'Funnel setup'!$K$4&amp;'Funnel setup'!$K$5,".",IF(A311=".",1,A311+1))</f>
        <v>.</v>
      </c>
      <c r="B312" s="431" t="str">
        <f t="shared" si="4"/>
        <v>Groin HerniaCCG of GP PracticeNHS LEICESTER CITY CCG (04C)EQ-5D Index</v>
      </c>
      <c r="C312" t="s">
        <v>50</v>
      </c>
      <c r="D312" t="s">
        <v>87</v>
      </c>
      <c r="E312" t="s">
        <v>554</v>
      </c>
      <c r="F312" t="s">
        <v>555</v>
      </c>
      <c r="G312" t="s">
        <v>52</v>
      </c>
      <c r="H312">
        <v>88</v>
      </c>
      <c r="I312">
        <v>0.76800000000000002</v>
      </c>
      <c r="J312">
        <v>0.85299999999999998</v>
      </c>
      <c r="K312">
        <v>8.5000000000000006E-2</v>
      </c>
      <c r="L312">
        <v>43</v>
      </c>
      <c r="M312">
        <v>28</v>
      </c>
      <c r="N312">
        <v>17</v>
      </c>
      <c r="O312">
        <v>0.88500000000000001</v>
      </c>
      <c r="P312">
        <v>9.1212435999999994E-2</v>
      </c>
      <c r="Q312">
        <v>0.152</v>
      </c>
    </row>
    <row r="313" spans="1:17" s="30" customFormat="1" x14ac:dyDescent="0.2">
      <c r="A313" s="30" t="str">
        <f>IF(C313&amp;G313&amp;D313&lt;&gt;'Funnel setup'!$K$3&amp;'Funnel setup'!$K$4&amp;'Funnel setup'!$K$5,".",IF(A312=".",1,A312+1))</f>
        <v>.</v>
      </c>
      <c r="B313" s="431" t="str">
        <f t="shared" si="4"/>
        <v>Groin HerniaCCG of GP PracticeNHS LEWISHAM CCG (08L)EQ-5D Index</v>
      </c>
      <c r="C313" t="s">
        <v>50</v>
      </c>
      <c r="D313" t="s">
        <v>87</v>
      </c>
      <c r="E313" t="s">
        <v>557</v>
      </c>
      <c r="F313" t="s">
        <v>558</v>
      </c>
      <c r="G313" t="s">
        <v>52</v>
      </c>
      <c r="H313">
        <v>29</v>
      </c>
      <c r="I313">
        <v>0.69899999999999995</v>
      </c>
      <c r="J313">
        <v>0.80300000000000005</v>
      </c>
      <c r="K313">
        <v>0.104</v>
      </c>
      <c r="L313">
        <v>14</v>
      </c>
      <c r="M313">
        <v>8</v>
      </c>
      <c r="N313">
        <v>7</v>
      </c>
      <c r="O313" t="s">
        <v>53</v>
      </c>
      <c r="P313" t="s">
        <v>53</v>
      </c>
      <c r="Q313" t="s">
        <v>53</v>
      </c>
    </row>
    <row r="314" spans="1:17" s="30" customFormat="1" x14ac:dyDescent="0.2">
      <c r="A314" s="30" t="str">
        <f>IF(C314&amp;G314&amp;D314&lt;&gt;'Funnel setup'!$K$3&amp;'Funnel setup'!$K$4&amp;'Funnel setup'!$K$5,".",IF(A313=".",1,A313+1))</f>
        <v>.</v>
      </c>
      <c r="B314" s="431" t="str">
        <f t="shared" si="4"/>
        <v>Groin HerniaCCG of GP PracticeNHS LINCOLNSHIRE EAST CCG (03T)EQ-5D Index</v>
      </c>
      <c r="C314" t="s">
        <v>50</v>
      </c>
      <c r="D314" t="s">
        <v>87</v>
      </c>
      <c r="E314" t="s">
        <v>560</v>
      </c>
      <c r="F314" t="s">
        <v>561</v>
      </c>
      <c r="G314" t="s">
        <v>52</v>
      </c>
      <c r="H314">
        <v>123</v>
      </c>
      <c r="I314">
        <v>0.8</v>
      </c>
      <c r="J314">
        <v>0.88800000000000001</v>
      </c>
      <c r="K314">
        <v>8.7999999999999995E-2</v>
      </c>
      <c r="L314">
        <v>66</v>
      </c>
      <c r="M314">
        <v>40</v>
      </c>
      <c r="N314">
        <v>17</v>
      </c>
      <c r="O314">
        <v>0.88700000000000001</v>
      </c>
      <c r="P314">
        <v>9.4052664999999994E-2</v>
      </c>
      <c r="Q314">
        <v>0.16600000000000001</v>
      </c>
    </row>
    <row r="315" spans="1:17" s="30" customFormat="1" x14ac:dyDescent="0.2">
      <c r="A315" s="30" t="str">
        <f>IF(C315&amp;G315&amp;D315&lt;&gt;'Funnel setup'!$K$3&amp;'Funnel setup'!$K$4&amp;'Funnel setup'!$K$5,".",IF(A314=".",1,A314+1))</f>
        <v>.</v>
      </c>
      <c r="B315" s="431" t="str">
        <f t="shared" si="4"/>
        <v>Groin HerniaCCG of GP PracticeNHS LINCOLNSHIRE WEST CCG (04D)EQ-5D Index</v>
      </c>
      <c r="C315" t="s">
        <v>50</v>
      </c>
      <c r="D315" t="s">
        <v>87</v>
      </c>
      <c r="E315" t="s">
        <v>408</v>
      </c>
      <c r="F315" t="s">
        <v>409</v>
      </c>
      <c r="G315" t="s">
        <v>52</v>
      </c>
      <c r="H315">
        <v>55</v>
      </c>
      <c r="I315">
        <v>0.755</v>
      </c>
      <c r="J315">
        <v>0.877</v>
      </c>
      <c r="K315">
        <v>0.122</v>
      </c>
      <c r="L315">
        <v>30</v>
      </c>
      <c r="M315">
        <v>17</v>
      </c>
      <c r="N315">
        <v>8</v>
      </c>
      <c r="O315">
        <v>0.9</v>
      </c>
      <c r="P315">
        <v>0.10686855200000001</v>
      </c>
      <c r="Q315">
        <v>0.14599999999999999</v>
      </c>
    </row>
    <row r="316" spans="1:17" s="30" customFormat="1" x14ac:dyDescent="0.2">
      <c r="A316" s="30" t="str">
        <f>IF(C316&amp;G316&amp;D316&lt;&gt;'Funnel setup'!$K$3&amp;'Funnel setup'!$K$4&amp;'Funnel setup'!$K$5,".",IF(A315=".",1,A315+1))</f>
        <v>.</v>
      </c>
      <c r="B316" s="431" t="str">
        <f t="shared" si="4"/>
        <v>Groin HerniaCCG of GP PracticeNHS LIVERPOOL CCG (99A)EQ-5D Index</v>
      </c>
      <c r="C316" t="s">
        <v>50</v>
      </c>
      <c r="D316" t="s">
        <v>87</v>
      </c>
      <c r="E316" t="s">
        <v>411</v>
      </c>
      <c r="F316" t="s">
        <v>412</v>
      </c>
      <c r="G316" t="s">
        <v>52</v>
      </c>
      <c r="H316">
        <v>108</v>
      </c>
      <c r="I316">
        <v>0.76300000000000001</v>
      </c>
      <c r="J316">
        <v>0.81499999999999995</v>
      </c>
      <c r="K316">
        <v>5.1999999999999998E-2</v>
      </c>
      <c r="L316">
        <v>59</v>
      </c>
      <c r="M316">
        <v>27</v>
      </c>
      <c r="N316">
        <v>22</v>
      </c>
      <c r="O316">
        <v>0.85599999999999998</v>
      </c>
      <c r="P316">
        <v>6.2745582999999994E-2</v>
      </c>
      <c r="Q316">
        <v>0.223</v>
      </c>
    </row>
    <row r="317" spans="1:17" s="30" customFormat="1" x14ac:dyDescent="0.2">
      <c r="A317" s="30" t="str">
        <f>IF(C317&amp;G317&amp;D317&lt;&gt;'Funnel setup'!$K$3&amp;'Funnel setup'!$K$4&amp;'Funnel setup'!$K$5,".",IF(A316=".",1,A316+1))</f>
        <v>.</v>
      </c>
      <c r="B317" s="431" t="str">
        <f t="shared" si="4"/>
        <v>Groin HerniaCCG of GP PracticeNHS LUTON CCG (06P)EQ-5D Index</v>
      </c>
      <c r="C317" t="s">
        <v>50</v>
      </c>
      <c r="D317" t="s">
        <v>87</v>
      </c>
      <c r="E317" t="s">
        <v>414</v>
      </c>
      <c r="F317" t="s">
        <v>415</v>
      </c>
      <c r="G317" t="s">
        <v>52</v>
      </c>
      <c r="H317">
        <v>66</v>
      </c>
      <c r="I317">
        <v>0.755</v>
      </c>
      <c r="J317">
        <v>0.84799999999999998</v>
      </c>
      <c r="K317">
        <v>9.2999999999999999E-2</v>
      </c>
      <c r="L317">
        <v>38</v>
      </c>
      <c r="M317">
        <v>21</v>
      </c>
      <c r="N317">
        <v>7</v>
      </c>
      <c r="O317">
        <v>0.877</v>
      </c>
      <c r="P317">
        <v>8.3975895999999994E-2</v>
      </c>
      <c r="Q317">
        <v>0.16600000000000001</v>
      </c>
    </row>
    <row r="318" spans="1:17" s="30" customFormat="1" x14ac:dyDescent="0.2">
      <c r="A318" s="30" t="str">
        <f>IF(C318&amp;G318&amp;D318&lt;&gt;'Funnel setup'!$K$3&amp;'Funnel setup'!$K$4&amp;'Funnel setup'!$K$5,".",IF(A317=".",1,A317+1))</f>
        <v>.</v>
      </c>
      <c r="B318" s="431" t="str">
        <f t="shared" si="4"/>
        <v>Groin HerniaCCG of GP PracticeNHS MANSFIELD AND ASHFIELD CCG (04E)EQ-5D Index</v>
      </c>
      <c r="C318" t="s">
        <v>50</v>
      </c>
      <c r="D318" t="s">
        <v>87</v>
      </c>
      <c r="E318" t="s">
        <v>417</v>
      </c>
      <c r="F318" t="s">
        <v>418</v>
      </c>
      <c r="G318" t="s">
        <v>52</v>
      </c>
      <c r="H318">
        <v>117</v>
      </c>
      <c r="I318">
        <v>0.77100000000000002</v>
      </c>
      <c r="J318">
        <v>0.85499999999999998</v>
      </c>
      <c r="K318">
        <v>8.3000000000000004E-2</v>
      </c>
      <c r="L318">
        <v>63</v>
      </c>
      <c r="M318">
        <v>26</v>
      </c>
      <c r="N318">
        <v>28</v>
      </c>
      <c r="O318">
        <v>0.876</v>
      </c>
      <c r="P318">
        <v>8.2508083999999995E-2</v>
      </c>
      <c r="Q318">
        <v>0.14599999999999999</v>
      </c>
    </row>
    <row r="319" spans="1:17" s="30" customFormat="1" x14ac:dyDescent="0.2">
      <c r="A319" s="30" t="str">
        <f>IF(C319&amp;G319&amp;D319&lt;&gt;'Funnel setup'!$K$3&amp;'Funnel setup'!$K$4&amp;'Funnel setup'!$K$5,".",IF(A318=".",1,A318+1))</f>
        <v>.</v>
      </c>
      <c r="B319" s="431" t="str">
        <f t="shared" si="4"/>
        <v>Groin HerniaCCG of GP PracticeNHS MEDWAY CCG (09W)EQ-5D Index</v>
      </c>
      <c r="C319" t="s">
        <v>50</v>
      </c>
      <c r="D319" t="s">
        <v>87</v>
      </c>
      <c r="E319" t="s">
        <v>610</v>
      </c>
      <c r="F319" t="s">
        <v>611</v>
      </c>
      <c r="G319" t="s">
        <v>52</v>
      </c>
      <c r="H319">
        <v>83</v>
      </c>
      <c r="I319">
        <v>0.79600000000000004</v>
      </c>
      <c r="J319">
        <v>0.89900000000000002</v>
      </c>
      <c r="K319">
        <v>0.10299999999999999</v>
      </c>
      <c r="L319">
        <v>47</v>
      </c>
      <c r="M319">
        <v>21</v>
      </c>
      <c r="N319">
        <v>15</v>
      </c>
      <c r="O319">
        <v>0.89700000000000002</v>
      </c>
      <c r="P319">
        <v>0.103865898</v>
      </c>
      <c r="Q319">
        <v>0.14599999999999999</v>
      </c>
    </row>
    <row r="320" spans="1:17" s="30" customFormat="1" x14ac:dyDescent="0.2">
      <c r="A320" s="30" t="str">
        <f>IF(C320&amp;G320&amp;D320&lt;&gt;'Funnel setup'!$K$3&amp;'Funnel setup'!$K$4&amp;'Funnel setup'!$K$5,".",IF(A319=".",1,A319+1))</f>
        <v>.</v>
      </c>
      <c r="B320" s="431" t="str">
        <f t="shared" si="4"/>
        <v>Groin HerniaCCG of GP PracticeNHS MERTON CCG (08R)EQ-5D Index</v>
      </c>
      <c r="C320" t="s">
        <v>50</v>
      </c>
      <c r="D320" t="s">
        <v>87</v>
      </c>
      <c r="E320" t="s">
        <v>613</v>
      </c>
      <c r="F320" t="s">
        <v>614</v>
      </c>
      <c r="G320" t="s">
        <v>52</v>
      </c>
      <c r="H320">
        <v>7</v>
      </c>
      <c r="I320">
        <v>0.89800000000000002</v>
      </c>
      <c r="J320">
        <v>0.90300000000000002</v>
      </c>
      <c r="K320">
        <v>5.0000000000000001E-3</v>
      </c>
      <c r="L320">
        <v>2</v>
      </c>
      <c r="M320">
        <v>5</v>
      </c>
      <c r="N320">
        <v>0</v>
      </c>
      <c r="O320" t="s">
        <v>53</v>
      </c>
      <c r="P320" t="s">
        <v>53</v>
      </c>
      <c r="Q320" t="s">
        <v>53</v>
      </c>
    </row>
    <row r="321" spans="1:17" s="30" customFormat="1" x14ac:dyDescent="0.2">
      <c r="A321" s="30" t="str">
        <f>IF(C321&amp;G321&amp;D321&lt;&gt;'Funnel setup'!$K$3&amp;'Funnel setup'!$K$4&amp;'Funnel setup'!$K$5,".",IF(A320=".",1,A320+1))</f>
        <v>.</v>
      </c>
      <c r="B321" s="431" t="str">
        <f t="shared" si="4"/>
        <v>Groin HerniaCCG of GP PracticeNHS MID ESSEX CCG (06Q)EQ-5D Index</v>
      </c>
      <c r="C321" t="s">
        <v>50</v>
      </c>
      <c r="D321" t="s">
        <v>87</v>
      </c>
      <c r="E321" t="s">
        <v>616</v>
      </c>
      <c r="F321" t="s">
        <v>617</v>
      </c>
      <c r="G321" t="s">
        <v>52</v>
      </c>
      <c r="H321">
        <v>152</v>
      </c>
      <c r="I321">
        <v>0.81</v>
      </c>
      <c r="J321">
        <v>0.89500000000000002</v>
      </c>
      <c r="K321">
        <v>8.5000000000000006E-2</v>
      </c>
      <c r="L321">
        <v>78</v>
      </c>
      <c r="M321">
        <v>44</v>
      </c>
      <c r="N321">
        <v>30</v>
      </c>
      <c r="O321">
        <v>0.88600000000000001</v>
      </c>
      <c r="P321">
        <v>9.2330844999999995E-2</v>
      </c>
      <c r="Q321">
        <v>0.14799999999999999</v>
      </c>
    </row>
    <row r="322" spans="1:17" s="30" customFormat="1" x14ac:dyDescent="0.2">
      <c r="A322" s="30" t="str">
        <f>IF(C322&amp;G322&amp;D322&lt;&gt;'Funnel setup'!$K$3&amp;'Funnel setup'!$K$4&amp;'Funnel setup'!$K$5,".",IF(A321=".",1,A321+1))</f>
        <v>.</v>
      </c>
      <c r="B322" s="431" t="str">
        <f t="shared" si="4"/>
        <v>Groin HerniaCCG of GP PracticeNHS MILTON KEYNES CCG (04F)EQ-5D Index</v>
      </c>
      <c r="C322" t="s">
        <v>50</v>
      </c>
      <c r="D322" t="s">
        <v>87</v>
      </c>
      <c r="E322" t="s">
        <v>619</v>
      </c>
      <c r="F322" t="s">
        <v>338</v>
      </c>
      <c r="G322" t="s">
        <v>52</v>
      </c>
      <c r="H322">
        <v>95</v>
      </c>
      <c r="I322">
        <v>0.79100000000000004</v>
      </c>
      <c r="J322">
        <v>0.83499999999999996</v>
      </c>
      <c r="K322">
        <v>4.3999999999999997E-2</v>
      </c>
      <c r="L322">
        <v>48</v>
      </c>
      <c r="M322">
        <v>22</v>
      </c>
      <c r="N322">
        <v>25</v>
      </c>
      <c r="O322">
        <v>0.83599999999999997</v>
      </c>
      <c r="P322">
        <v>4.2955304999999999E-2</v>
      </c>
      <c r="Q322">
        <v>0.19</v>
      </c>
    </row>
    <row r="323" spans="1:17" s="30" customFormat="1" x14ac:dyDescent="0.2">
      <c r="A323" s="30" t="str">
        <f>IF(C323&amp;G323&amp;D323&lt;&gt;'Funnel setup'!$K$3&amp;'Funnel setup'!$K$4&amp;'Funnel setup'!$K$5,".",IF(A322=".",1,A322+1))</f>
        <v>.</v>
      </c>
      <c r="B323" s="431" t="str">
        <f t="shared" ref="B323:B386" si="5">C323&amp;D323&amp;F323&amp;G323</f>
        <v>Groin HerniaCCG of GP PracticeNHS NENE CCG (04G)EQ-5D Index</v>
      </c>
      <c r="C323" t="s">
        <v>50</v>
      </c>
      <c r="D323" t="s">
        <v>87</v>
      </c>
      <c r="E323" t="s">
        <v>621</v>
      </c>
      <c r="F323" t="s">
        <v>622</v>
      </c>
      <c r="G323" t="s">
        <v>52</v>
      </c>
      <c r="H323">
        <v>205</v>
      </c>
      <c r="I323">
        <v>0.77300000000000002</v>
      </c>
      <c r="J323">
        <v>0.88800000000000001</v>
      </c>
      <c r="K323">
        <v>0.115</v>
      </c>
      <c r="L323">
        <v>118</v>
      </c>
      <c r="M323">
        <v>62</v>
      </c>
      <c r="N323">
        <v>25</v>
      </c>
      <c r="O323">
        <v>0.89600000000000002</v>
      </c>
      <c r="P323">
        <v>0.102569199</v>
      </c>
      <c r="Q323">
        <v>0.16</v>
      </c>
    </row>
    <row r="324" spans="1:17" s="30" customFormat="1" x14ac:dyDescent="0.2">
      <c r="A324" s="30" t="str">
        <f>IF(C324&amp;G324&amp;D324&lt;&gt;'Funnel setup'!$K$3&amp;'Funnel setup'!$K$4&amp;'Funnel setup'!$K$5,".",IF(A323=".",1,A323+1))</f>
        <v>.</v>
      </c>
      <c r="B324" s="431" t="str">
        <f t="shared" si="5"/>
        <v>Groin HerniaCCG of GP PracticeNHS NEWARK &amp; SHERWOOD CCG (04H)EQ-5D Index</v>
      </c>
      <c r="C324" t="s">
        <v>50</v>
      </c>
      <c r="D324" t="s">
        <v>87</v>
      </c>
      <c r="E324" t="s">
        <v>624</v>
      </c>
      <c r="F324" t="s">
        <v>625</v>
      </c>
      <c r="G324" t="s">
        <v>52</v>
      </c>
      <c r="H324">
        <v>90</v>
      </c>
      <c r="I324">
        <v>0.78100000000000003</v>
      </c>
      <c r="J324">
        <v>0.872</v>
      </c>
      <c r="K324">
        <v>9.0999999999999998E-2</v>
      </c>
      <c r="L324">
        <v>50</v>
      </c>
      <c r="M324">
        <v>25</v>
      </c>
      <c r="N324">
        <v>15</v>
      </c>
      <c r="O324">
        <v>0.88800000000000001</v>
      </c>
      <c r="P324">
        <v>9.4840147E-2</v>
      </c>
      <c r="Q324">
        <v>0.128</v>
      </c>
    </row>
    <row r="325" spans="1:17" s="30" customFormat="1" x14ac:dyDescent="0.2">
      <c r="A325" s="30" t="str">
        <f>IF(C325&amp;G325&amp;D325&lt;&gt;'Funnel setup'!$K$3&amp;'Funnel setup'!$K$4&amp;'Funnel setup'!$K$5,".",IF(A324=".",1,A324+1))</f>
        <v>.</v>
      </c>
      <c r="B325" s="431" t="str">
        <f t="shared" si="5"/>
        <v>Groin HerniaCCG of GP PracticeNHS NEWBURY AND DISTRICT CCG (10M)EQ-5D Index</v>
      </c>
      <c r="C325" t="s">
        <v>50</v>
      </c>
      <c r="D325" t="s">
        <v>87</v>
      </c>
      <c r="E325" t="s">
        <v>627</v>
      </c>
      <c r="F325" t="s">
        <v>628</v>
      </c>
      <c r="G325" t="s">
        <v>52</v>
      </c>
      <c r="H325">
        <v>24</v>
      </c>
      <c r="I325">
        <v>0.82399999999999995</v>
      </c>
      <c r="J325">
        <v>0.90600000000000003</v>
      </c>
      <c r="K325">
        <v>8.2000000000000003E-2</v>
      </c>
      <c r="L325">
        <v>13</v>
      </c>
      <c r="M325">
        <v>7</v>
      </c>
      <c r="N325">
        <v>4</v>
      </c>
      <c r="O325" t="s">
        <v>53</v>
      </c>
      <c r="P325" t="s">
        <v>53</v>
      </c>
      <c r="Q325" t="s">
        <v>53</v>
      </c>
    </row>
    <row r="326" spans="1:17" s="30" customFormat="1" x14ac:dyDescent="0.2">
      <c r="A326" s="30" t="str">
        <f>IF(C326&amp;G326&amp;D326&lt;&gt;'Funnel setup'!$K$3&amp;'Funnel setup'!$K$4&amp;'Funnel setup'!$K$5,".",IF(A325=".",1,A325+1))</f>
        <v>.</v>
      </c>
      <c r="B326" s="431" t="str">
        <f t="shared" si="5"/>
        <v>Groin HerniaCCG of GP PracticeNHS NEWCASTLE GATESHEAD CCG (13T)EQ-5D Index</v>
      </c>
      <c r="C326" t="s">
        <v>50</v>
      </c>
      <c r="D326" t="s">
        <v>87</v>
      </c>
      <c r="E326" t="s">
        <v>6553</v>
      </c>
      <c r="F326" t="s">
        <v>6543</v>
      </c>
      <c r="G326" t="s">
        <v>52</v>
      </c>
      <c r="H326">
        <v>179</v>
      </c>
      <c r="I326">
        <v>0.79400000000000004</v>
      </c>
      <c r="J326">
        <v>0.876</v>
      </c>
      <c r="K326">
        <v>8.2000000000000003E-2</v>
      </c>
      <c r="L326">
        <v>89</v>
      </c>
      <c r="M326">
        <v>60</v>
      </c>
      <c r="N326">
        <v>30</v>
      </c>
      <c r="O326">
        <v>0.88300000000000001</v>
      </c>
      <c r="P326">
        <v>8.9957633999999995E-2</v>
      </c>
      <c r="Q326">
        <v>0.154</v>
      </c>
    </row>
    <row r="327" spans="1:17" s="30" customFormat="1" x14ac:dyDescent="0.2">
      <c r="A327" s="30" t="str">
        <f>IF(C327&amp;G327&amp;D327&lt;&gt;'Funnel setup'!$K$3&amp;'Funnel setup'!$K$4&amp;'Funnel setup'!$K$5,".",IF(A326=".",1,A326+1))</f>
        <v>.</v>
      </c>
      <c r="B327" s="431" t="str">
        <f t="shared" si="5"/>
        <v>Groin HerniaCCG of GP PracticeNHS NEWHAM CCG (08M)EQ-5D Index</v>
      </c>
      <c r="C327" t="s">
        <v>50</v>
      </c>
      <c r="D327" t="s">
        <v>87</v>
      </c>
      <c r="E327" t="s">
        <v>630</v>
      </c>
      <c r="F327" t="s">
        <v>631</v>
      </c>
      <c r="G327" t="s">
        <v>52</v>
      </c>
      <c r="H327">
        <v>53</v>
      </c>
      <c r="I327">
        <v>0.75600000000000001</v>
      </c>
      <c r="J327">
        <v>0.79100000000000004</v>
      </c>
      <c r="K327">
        <v>3.5000000000000003E-2</v>
      </c>
      <c r="L327">
        <v>18</v>
      </c>
      <c r="M327">
        <v>20</v>
      </c>
      <c r="N327">
        <v>15</v>
      </c>
      <c r="O327">
        <v>0.83799999999999997</v>
      </c>
      <c r="P327">
        <v>4.4944123000000002E-2</v>
      </c>
      <c r="Q327">
        <v>0.22</v>
      </c>
    </row>
    <row r="328" spans="1:17" s="30" customFormat="1" x14ac:dyDescent="0.2">
      <c r="A328" s="30" t="str">
        <f>IF(C328&amp;G328&amp;D328&lt;&gt;'Funnel setup'!$K$3&amp;'Funnel setup'!$K$4&amp;'Funnel setup'!$K$5,".",IF(A327=".",1,A327+1))</f>
        <v>.</v>
      </c>
      <c r="B328" s="431" t="str">
        <f t="shared" si="5"/>
        <v>Groin HerniaCCG of GP PracticeNHS NORTH &amp; WEST READING CCG (10N)EQ-5D Index</v>
      </c>
      <c r="C328" t="s">
        <v>50</v>
      </c>
      <c r="D328" t="s">
        <v>87</v>
      </c>
      <c r="E328" t="s">
        <v>633</v>
      </c>
      <c r="F328" t="s">
        <v>634</v>
      </c>
      <c r="G328" t="s">
        <v>52</v>
      </c>
      <c r="H328">
        <v>35</v>
      </c>
      <c r="I328">
        <v>0.81799999999999995</v>
      </c>
      <c r="J328">
        <v>0.91600000000000004</v>
      </c>
      <c r="K328">
        <v>9.9000000000000005E-2</v>
      </c>
      <c r="L328">
        <v>21</v>
      </c>
      <c r="M328">
        <v>12</v>
      </c>
      <c r="N328">
        <v>2</v>
      </c>
      <c r="O328">
        <v>0.90300000000000002</v>
      </c>
      <c r="P328">
        <v>0.10971028400000001</v>
      </c>
      <c r="Q328">
        <v>0.09</v>
      </c>
    </row>
    <row r="329" spans="1:17" s="30" customFormat="1" x14ac:dyDescent="0.2">
      <c r="A329" s="30" t="str">
        <f>IF(C329&amp;G329&amp;D329&lt;&gt;'Funnel setup'!$K$3&amp;'Funnel setup'!$K$4&amp;'Funnel setup'!$K$5,".",IF(A328=".",1,A328+1))</f>
        <v>.</v>
      </c>
      <c r="B329" s="431" t="str">
        <f t="shared" si="5"/>
        <v>Groin HerniaCCG of GP PracticeNHS NORTH DERBYSHIRE CCG (04J)EQ-5D Index</v>
      </c>
      <c r="C329" t="s">
        <v>50</v>
      </c>
      <c r="D329" t="s">
        <v>87</v>
      </c>
      <c r="E329" t="s">
        <v>636</v>
      </c>
      <c r="F329" t="s">
        <v>637</v>
      </c>
      <c r="G329" t="s">
        <v>52</v>
      </c>
      <c r="H329">
        <v>147</v>
      </c>
      <c r="I329">
        <v>0.78700000000000003</v>
      </c>
      <c r="J329">
        <v>0.89600000000000002</v>
      </c>
      <c r="K329">
        <v>0.11</v>
      </c>
      <c r="L329">
        <v>84</v>
      </c>
      <c r="M329">
        <v>40</v>
      </c>
      <c r="N329">
        <v>23</v>
      </c>
      <c r="O329">
        <v>0.89600000000000002</v>
      </c>
      <c r="P329">
        <v>0.102953802</v>
      </c>
      <c r="Q329">
        <v>0.13200000000000001</v>
      </c>
    </row>
    <row r="330" spans="1:17" s="30" customFormat="1" x14ac:dyDescent="0.2">
      <c r="A330" s="30" t="str">
        <f>IF(C330&amp;G330&amp;D330&lt;&gt;'Funnel setup'!$K$3&amp;'Funnel setup'!$K$4&amp;'Funnel setup'!$K$5,".",IF(A329=".",1,A329+1))</f>
        <v>.</v>
      </c>
      <c r="B330" s="431" t="str">
        <f t="shared" si="5"/>
        <v>Groin HerniaCCG of GP PracticeNHS NORTH DURHAM CCG (00J)EQ-5D Index</v>
      </c>
      <c r="C330" t="s">
        <v>50</v>
      </c>
      <c r="D330" t="s">
        <v>87</v>
      </c>
      <c r="E330" t="s">
        <v>639</v>
      </c>
      <c r="F330" t="s">
        <v>640</v>
      </c>
      <c r="G330" t="s">
        <v>52</v>
      </c>
      <c r="H330">
        <v>135</v>
      </c>
      <c r="I330">
        <v>0.79400000000000004</v>
      </c>
      <c r="J330">
        <v>0.85899999999999999</v>
      </c>
      <c r="K330">
        <v>6.4000000000000001E-2</v>
      </c>
      <c r="L330">
        <v>65</v>
      </c>
      <c r="M330">
        <v>46</v>
      </c>
      <c r="N330">
        <v>24</v>
      </c>
      <c r="O330">
        <v>0.85799999999999998</v>
      </c>
      <c r="P330">
        <v>6.4241276999999999E-2</v>
      </c>
      <c r="Q330">
        <v>0.17399999999999999</v>
      </c>
    </row>
    <row r="331" spans="1:17" s="30" customFormat="1" x14ac:dyDescent="0.2">
      <c r="A331" s="30" t="str">
        <f>IF(C331&amp;G331&amp;D331&lt;&gt;'Funnel setup'!$K$3&amp;'Funnel setup'!$K$4&amp;'Funnel setup'!$K$5,".",IF(A330=".",1,A330+1))</f>
        <v>.</v>
      </c>
      <c r="B331" s="431" t="str">
        <f t="shared" si="5"/>
        <v>Groin HerniaCCG of GP PracticeNHS NORTH EAST ESSEX CCG (06T)EQ-5D Index</v>
      </c>
      <c r="C331" t="s">
        <v>50</v>
      </c>
      <c r="D331" t="s">
        <v>87</v>
      </c>
      <c r="E331" t="s">
        <v>642</v>
      </c>
      <c r="F331" t="s">
        <v>643</v>
      </c>
      <c r="G331" t="s">
        <v>52</v>
      </c>
      <c r="H331">
        <v>204</v>
      </c>
      <c r="I331">
        <v>0.77100000000000002</v>
      </c>
      <c r="J331">
        <v>0.877</v>
      </c>
      <c r="K331">
        <v>0.107</v>
      </c>
      <c r="L331">
        <v>108</v>
      </c>
      <c r="M331">
        <v>68</v>
      </c>
      <c r="N331">
        <v>28</v>
      </c>
      <c r="O331">
        <v>0.89200000000000002</v>
      </c>
      <c r="P331">
        <v>9.8404828999999999E-2</v>
      </c>
      <c r="Q331">
        <v>0.152</v>
      </c>
    </row>
    <row r="332" spans="1:17" s="30" customFormat="1" x14ac:dyDescent="0.2">
      <c r="A332" s="30" t="str">
        <f>IF(C332&amp;G332&amp;D332&lt;&gt;'Funnel setup'!$K$3&amp;'Funnel setup'!$K$4&amp;'Funnel setup'!$K$5,".",IF(A331=".",1,A331+1))</f>
        <v>.</v>
      </c>
      <c r="B332" s="431" t="str">
        <f t="shared" si="5"/>
        <v>Groin HerniaCCG of GP PracticeNHS NORTH EAST HAMPSHIRE AND FARNHAM CCG (99M)EQ-5D Index</v>
      </c>
      <c r="C332" t="s">
        <v>50</v>
      </c>
      <c r="D332" t="s">
        <v>87</v>
      </c>
      <c r="E332" t="s">
        <v>645</v>
      </c>
      <c r="F332" t="s">
        <v>646</v>
      </c>
      <c r="G332" t="s">
        <v>52</v>
      </c>
      <c r="H332">
        <v>119</v>
      </c>
      <c r="I332">
        <v>0.78200000000000003</v>
      </c>
      <c r="J332">
        <v>0.84799999999999998</v>
      </c>
      <c r="K332">
        <v>6.7000000000000004E-2</v>
      </c>
      <c r="L332">
        <v>58</v>
      </c>
      <c r="M332">
        <v>35</v>
      </c>
      <c r="N332">
        <v>26</v>
      </c>
      <c r="O332">
        <v>0.84799999999999998</v>
      </c>
      <c r="P332">
        <v>5.4931583999999999E-2</v>
      </c>
      <c r="Q332">
        <v>0.17599999999999999</v>
      </c>
    </row>
    <row r="333" spans="1:17" s="30" customFormat="1" x14ac:dyDescent="0.2">
      <c r="A333" s="30" t="str">
        <f>IF(C333&amp;G333&amp;D333&lt;&gt;'Funnel setup'!$K$3&amp;'Funnel setup'!$K$4&amp;'Funnel setup'!$K$5,".",IF(A332=".",1,A332+1))</f>
        <v>.</v>
      </c>
      <c r="B333" s="431" t="str">
        <f t="shared" si="5"/>
        <v>Groin HerniaCCG of GP PracticeNHS NORTH EAST LINCOLNSHIRE CCG (03H)EQ-5D Index</v>
      </c>
      <c r="C333" t="s">
        <v>50</v>
      </c>
      <c r="D333" t="s">
        <v>87</v>
      </c>
      <c r="E333" t="s">
        <v>648</v>
      </c>
      <c r="F333" t="s">
        <v>649</v>
      </c>
      <c r="G333" t="s">
        <v>52</v>
      </c>
      <c r="H333">
        <v>64</v>
      </c>
      <c r="I333">
        <v>0.72199999999999998</v>
      </c>
      <c r="J333">
        <v>0.82899999999999996</v>
      </c>
      <c r="K333">
        <v>0.107</v>
      </c>
      <c r="L333">
        <v>37</v>
      </c>
      <c r="M333">
        <v>20</v>
      </c>
      <c r="N333">
        <v>7</v>
      </c>
      <c r="O333">
        <v>0.875</v>
      </c>
      <c r="P333">
        <v>8.1222287000000004E-2</v>
      </c>
      <c r="Q333">
        <v>0.17599999999999999</v>
      </c>
    </row>
    <row r="334" spans="1:17" s="30" customFormat="1" x14ac:dyDescent="0.2">
      <c r="A334" s="30" t="str">
        <f>IF(C334&amp;G334&amp;D334&lt;&gt;'Funnel setup'!$K$3&amp;'Funnel setup'!$K$4&amp;'Funnel setup'!$K$5,".",IF(A333=".",1,A333+1))</f>
        <v>.</v>
      </c>
      <c r="B334" s="431" t="str">
        <f t="shared" si="5"/>
        <v>Groin HerniaCCG of GP PracticeNHS NORTH HAMPSHIRE CCG (10J)EQ-5D Index</v>
      </c>
      <c r="C334" t="s">
        <v>50</v>
      </c>
      <c r="D334" t="s">
        <v>87</v>
      </c>
      <c r="E334" t="s">
        <v>651</v>
      </c>
      <c r="F334" t="s">
        <v>652</v>
      </c>
      <c r="G334" t="s">
        <v>52</v>
      </c>
      <c r="H334">
        <v>47</v>
      </c>
      <c r="I334">
        <v>0.81200000000000006</v>
      </c>
      <c r="J334">
        <v>0.92700000000000005</v>
      </c>
      <c r="K334">
        <v>0.115</v>
      </c>
      <c r="L334">
        <v>26</v>
      </c>
      <c r="M334">
        <v>18</v>
      </c>
      <c r="N334">
        <v>3</v>
      </c>
      <c r="O334">
        <v>0.90200000000000002</v>
      </c>
      <c r="P334">
        <v>0.108301944</v>
      </c>
      <c r="Q334">
        <v>0.11899999999999999</v>
      </c>
    </row>
    <row r="335" spans="1:17" s="30" customFormat="1" x14ac:dyDescent="0.2">
      <c r="A335" s="30" t="str">
        <f>IF(C335&amp;G335&amp;D335&lt;&gt;'Funnel setup'!$K$3&amp;'Funnel setup'!$K$4&amp;'Funnel setup'!$K$5,".",IF(A334=".",1,A334+1))</f>
        <v>.</v>
      </c>
      <c r="B335" s="431" t="str">
        <f t="shared" si="5"/>
        <v>Groin HerniaCCG of GP PracticeNHS NORTH KIRKLEES CCG (03J)EQ-5D Index</v>
      </c>
      <c r="C335" t="s">
        <v>50</v>
      </c>
      <c r="D335" t="s">
        <v>87</v>
      </c>
      <c r="E335" t="s">
        <v>654</v>
      </c>
      <c r="F335" t="s">
        <v>655</v>
      </c>
      <c r="G335" t="s">
        <v>52</v>
      </c>
      <c r="H335">
        <v>48</v>
      </c>
      <c r="I335">
        <v>0.873</v>
      </c>
      <c r="J335">
        <v>0.88900000000000001</v>
      </c>
      <c r="K335">
        <v>1.6E-2</v>
      </c>
      <c r="L335">
        <v>13</v>
      </c>
      <c r="M335">
        <v>25</v>
      </c>
      <c r="N335">
        <v>10</v>
      </c>
      <c r="O335">
        <v>0.86699999999999999</v>
      </c>
      <c r="P335">
        <v>7.3277118000000002E-2</v>
      </c>
      <c r="Q335">
        <v>0.157</v>
      </c>
    </row>
    <row r="336" spans="1:17" s="30" customFormat="1" x14ac:dyDescent="0.2">
      <c r="A336" s="30" t="str">
        <f>IF(C336&amp;G336&amp;D336&lt;&gt;'Funnel setup'!$K$3&amp;'Funnel setup'!$K$4&amp;'Funnel setup'!$K$5,".",IF(A335=".",1,A335+1))</f>
        <v>.</v>
      </c>
      <c r="B336" s="431" t="str">
        <f t="shared" si="5"/>
        <v>Groin HerniaCCG of GP PracticeNHS NORTH LINCOLNSHIRE CCG (03K)EQ-5D Index</v>
      </c>
      <c r="C336" t="s">
        <v>50</v>
      </c>
      <c r="D336" t="s">
        <v>87</v>
      </c>
      <c r="E336" t="s">
        <v>657</v>
      </c>
      <c r="F336" t="s">
        <v>658</v>
      </c>
      <c r="G336" t="s">
        <v>52</v>
      </c>
      <c r="H336">
        <v>48</v>
      </c>
      <c r="I336">
        <v>0.70699999999999996</v>
      </c>
      <c r="J336">
        <v>0.81899999999999995</v>
      </c>
      <c r="K336">
        <v>0.112</v>
      </c>
      <c r="L336">
        <v>31</v>
      </c>
      <c r="M336">
        <v>11</v>
      </c>
      <c r="N336">
        <v>6</v>
      </c>
      <c r="O336">
        <v>0.84699999999999998</v>
      </c>
      <c r="P336">
        <v>5.3981201999999999E-2</v>
      </c>
      <c r="Q336">
        <v>0.158</v>
      </c>
    </row>
    <row r="337" spans="1:17" s="30" customFormat="1" x14ac:dyDescent="0.2">
      <c r="A337" s="30" t="str">
        <f>IF(C337&amp;G337&amp;D337&lt;&gt;'Funnel setup'!$K$3&amp;'Funnel setup'!$K$4&amp;'Funnel setup'!$K$5,".",IF(A336=".",1,A336+1))</f>
        <v>.</v>
      </c>
      <c r="B337" s="431" t="str">
        <f t="shared" si="5"/>
        <v>Groin HerniaCCG of GP PracticeNHS NORTH MANCHESTER CCG (01M)EQ-5D Index</v>
      </c>
      <c r="C337" t="s">
        <v>50</v>
      </c>
      <c r="D337" t="s">
        <v>87</v>
      </c>
      <c r="E337" t="s">
        <v>660</v>
      </c>
      <c r="F337" t="s">
        <v>661</v>
      </c>
      <c r="G337" t="s">
        <v>52</v>
      </c>
      <c r="H337">
        <v>22</v>
      </c>
      <c r="I337">
        <v>0.8</v>
      </c>
      <c r="J337">
        <v>0.83799999999999997</v>
      </c>
      <c r="K337">
        <v>3.7999999999999999E-2</v>
      </c>
      <c r="L337">
        <v>9</v>
      </c>
      <c r="M337">
        <v>8</v>
      </c>
      <c r="N337">
        <v>5</v>
      </c>
      <c r="O337" t="s">
        <v>53</v>
      </c>
      <c r="P337" t="s">
        <v>53</v>
      </c>
      <c r="Q337" t="s">
        <v>53</v>
      </c>
    </row>
    <row r="338" spans="1:17" s="30" customFormat="1" x14ac:dyDescent="0.2">
      <c r="A338" s="30" t="str">
        <f>IF(C338&amp;G338&amp;D338&lt;&gt;'Funnel setup'!$K$3&amp;'Funnel setup'!$K$4&amp;'Funnel setup'!$K$5,".",IF(A337=".",1,A337+1))</f>
        <v>.</v>
      </c>
      <c r="B338" s="431" t="str">
        <f t="shared" si="5"/>
        <v>Groin HerniaCCG of GP PracticeNHS NORTH NORFOLK CCG (06V)EQ-5D Index</v>
      </c>
      <c r="C338" t="s">
        <v>50</v>
      </c>
      <c r="D338" t="s">
        <v>87</v>
      </c>
      <c r="E338" t="s">
        <v>663</v>
      </c>
      <c r="F338" t="s">
        <v>664</v>
      </c>
      <c r="G338" t="s">
        <v>52</v>
      </c>
      <c r="H338">
        <v>112</v>
      </c>
      <c r="I338">
        <v>0.80500000000000005</v>
      </c>
      <c r="J338">
        <v>0.89600000000000002</v>
      </c>
      <c r="K338">
        <v>9.0999999999999998E-2</v>
      </c>
      <c r="L338">
        <v>63</v>
      </c>
      <c r="M338">
        <v>35</v>
      </c>
      <c r="N338">
        <v>14</v>
      </c>
      <c r="O338">
        <v>0.879</v>
      </c>
      <c r="P338">
        <v>8.5996412999999994E-2</v>
      </c>
      <c r="Q338">
        <v>0.126</v>
      </c>
    </row>
    <row r="339" spans="1:17" s="30" customFormat="1" x14ac:dyDescent="0.2">
      <c r="A339" s="30" t="str">
        <f>IF(C339&amp;G339&amp;D339&lt;&gt;'Funnel setup'!$K$3&amp;'Funnel setup'!$K$4&amp;'Funnel setup'!$K$5,".",IF(A338=".",1,A338+1))</f>
        <v>.</v>
      </c>
      <c r="B339" s="431" t="str">
        <f t="shared" si="5"/>
        <v>Groin HerniaCCG of GP PracticeNHS NORTH SOMERSET CCG (11T)EQ-5D Index</v>
      </c>
      <c r="C339" t="s">
        <v>50</v>
      </c>
      <c r="D339" t="s">
        <v>87</v>
      </c>
      <c r="E339" t="s">
        <v>666</v>
      </c>
      <c r="F339" t="s">
        <v>667</v>
      </c>
      <c r="G339" t="s">
        <v>52</v>
      </c>
      <c r="H339">
        <v>77</v>
      </c>
      <c r="I339">
        <v>0.78100000000000003</v>
      </c>
      <c r="J339">
        <v>0.89600000000000002</v>
      </c>
      <c r="K339">
        <v>0.115</v>
      </c>
      <c r="L339">
        <v>46</v>
      </c>
      <c r="M339">
        <v>24</v>
      </c>
      <c r="N339">
        <v>7</v>
      </c>
      <c r="O339">
        <v>0.89100000000000001</v>
      </c>
      <c r="P339">
        <v>9.7602189000000006E-2</v>
      </c>
      <c r="Q339">
        <v>0.158</v>
      </c>
    </row>
    <row r="340" spans="1:17" s="30" customFormat="1" x14ac:dyDescent="0.2">
      <c r="A340" s="30" t="str">
        <f>IF(C340&amp;G340&amp;D340&lt;&gt;'Funnel setup'!$K$3&amp;'Funnel setup'!$K$4&amp;'Funnel setup'!$K$5,".",IF(A339=".",1,A339+1))</f>
        <v>.</v>
      </c>
      <c r="B340" s="431" t="str">
        <f t="shared" si="5"/>
        <v>Groin HerniaCCG of GP PracticeNHS NORTH STAFFORDSHIRE CCG (05G)EQ-5D Index</v>
      </c>
      <c r="C340" t="s">
        <v>50</v>
      </c>
      <c r="D340" t="s">
        <v>87</v>
      </c>
      <c r="E340" t="s">
        <v>669</v>
      </c>
      <c r="F340" t="s">
        <v>670</v>
      </c>
      <c r="G340" t="s">
        <v>52</v>
      </c>
      <c r="H340">
        <v>69</v>
      </c>
      <c r="I340">
        <v>0.78800000000000003</v>
      </c>
      <c r="J340">
        <v>0.877</v>
      </c>
      <c r="K340">
        <v>8.7999999999999995E-2</v>
      </c>
      <c r="L340">
        <v>37</v>
      </c>
      <c r="M340">
        <v>21</v>
      </c>
      <c r="N340">
        <v>11</v>
      </c>
      <c r="O340">
        <v>0.86599999999999999</v>
      </c>
      <c r="P340">
        <v>7.2760351000000001E-2</v>
      </c>
      <c r="Q340">
        <v>0.19</v>
      </c>
    </row>
    <row r="341" spans="1:17" s="30" customFormat="1" x14ac:dyDescent="0.2">
      <c r="A341" s="30" t="str">
        <f>IF(C341&amp;G341&amp;D341&lt;&gt;'Funnel setup'!$K$3&amp;'Funnel setup'!$K$4&amp;'Funnel setup'!$K$5,".",IF(A340=".",1,A340+1))</f>
        <v>.</v>
      </c>
      <c r="B341" s="431" t="str">
        <f t="shared" si="5"/>
        <v>Groin HerniaCCG of GP PracticeNHS NORTH TYNESIDE CCG (99C)EQ-5D Index</v>
      </c>
      <c r="C341" t="s">
        <v>50</v>
      </c>
      <c r="D341" t="s">
        <v>87</v>
      </c>
      <c r="E341" t="s">
        <v>672</v>
      </c>
      <c r="F341" t="s">
        <v>673</v>
      </c>
      <c r="G341" t="s">
        <v>52</v>
      </c>
      <c r="H341">
        <v>143</v>
      </c>
      <c r="I341">
        <v>0.78700000000000003</v>
      </c>
      <c r="J341">
        <v>0.86299999999999999</v>
      </c>
      <c r="K341">
        <v>7.4999999999999997E-2</v>
      </c>
      <c r="L341">
        <v>61</v>
      </c>
      <c r="M341">
        <v>56</v>
      </c>
      <c r="N341">
        <v>26</v>
      </c>
      <c r="O341">
        <v>0.86599999999999999</v>
      </c>
      <c r="P341">
        <v>7.2930396999999994E-2</v>
      </c>
      <c r="Q341">
        <v>0.17199999999999999</v>
      </c>
    </row>
    <row r="342" spans="1:17" s="30" customFormat="1" x14ac:dyDescent="0.2">
      <c r="A342" s="30" t="str">
        <f>IF(C342&amp;G342&amp;D342&lt;&gt;'Funnel setup'!$K$3&amp;'Funnel setup'!$K$4&amp;'Funnel setup'!$K$5,".",IF(A341=".",1,A341+1))</f>
        <v>.</v>
      </c>
      <c r="B342" s="431" t="str">
        <f t="shared" si="5"/>
        <v>Groin HerniaCCG of GP PracticeNHS NORTH WEST SURREY CCG (09Y)EQ-5D Index</v>
      </c>
      <c r="C342" t="s">
        <v>50</v>
      </c>
      <c r="D342" t="s">
        <v>87</v>
      </c>
      <c r="E342" t="s">
        <v>675</v>
      </c>
      <c r="F342" t="s">
        <v>676</v>
      </c>
      <c r="G342" t="s">
        <v>52</v>
      </c>
      <c r="H342">
        <v>49</v>
      </c>
      <c r="I342">
        <v>0.77700000000000002</v>
      </c>
      <c r="J342">
        <v>0.86599999999999999</v>
      </c>
      <c r="K342">
        <v>8.8999999999999996E-2</v>
      </c>
      <c r="L342">
        <v>28</v>
      </c>
      <c r="M342">
        <v>12</v>
      </c>
      <c r="N342">
        <v>9</v>
      </c>
      <c r="O342">
        <v>0.86</v>
      </c>
      <c r="P342">
        <v>6.6823361999999997E-2</v>
      </c>
      <c r="Q342">
        <v>0.214</v>
      </c>
    </row>
    <row r="343" spans="1:17" s="30" customFormat="1" x14ac:dyDescent="0.2">
      <c r="A343" s="30" t="str">
        <f>IF(C343&amp;G343&amp;D343&lt;&gt;'Funnel setup'!$K$3&amp;'Funnel setup'!$K$4&amp;'Funnel setup'!$K$5,".",IF(A342=".",1,A342+1))</f>
        <v>.</v>
      </c>
      <c r="B343" s="431" t="str">
        <f t="shared" si="5"/>
        <v>Groin HerniaCCG of GP PracticeNHS NORTHERN, EASTERN AND WESTERN DEVON CCG (99P)EQ-5D Index</v>
      </c>
      <c r="C343" t="s">
        <v>50</v>
      </c>
      <c r="D343" t="s">
        <v>87</v>
      </c>
      <c r="E343" t="s">
        <v>678</v>
      </c>
      <c r="F343" t="s">
        <v>679</v>
      </c>
      <c r="G343" t="s">
        <v>52</v>
      </c>
      <c r="H343">
        <v>600</v>
      </c>
      <c r="I343">
        <v>0.77400000000000002</v>
      </c>
      <c r="J343">
        <v>0.88600000000000001</v>
      </c>
      <c r="K343">
        <v>0.112</v>
      </c>
      <c r="L343">
        <v>347</v>
      </c>
      <c r="M343">
        <v>176</v>
      </c>
      <c r="N343">
        <v>77</v>
      </c>
      <c r="O343">
        <v>0.88400000000000001</v>
      </c>
      <c r="P343">
        <v>9.0743034E-2</v>
      </c>
      <c r="Q343">
        <v>0.154</v>
      </c>
    </row>
    <row r="344" spans="1:17" s="30" customFormat="1" x14ac:dyDescent="0.2">
      <c r="A344" s="30" t="str">
        <f>IF(C344&amp;G344&amp;D344&lt;&gt;'Funnel setup'!$K$3&amp;'Funnel setup'!$K$4&amp;'Funnel setup'!$K$5,".",IF(A343=".",1,A343+1))</f>
        <v>.</v>
      </c>
      <c r="B344" s="431" t="str">
        <f t="shared" si="5"/>
        <v>Groin HerniaCCG of GP PracticeNHS NORTHUMBERLAND CCG (00L)EQ-5D Index</v>
      </c>
      <c r="C344" t="s">
        <v>50</v>
      </c>
      <c r="D344" t="s">
        <v>87</v>
      </c>
      <c r="E344" t="s">
        <v>681</v>
      </c>
      <c r="F344" t="s">
        <v>336</v>
      </c>
      <c r="G344" t="s">
        <v>52</v>
      </c>
      <c r="H344">
        <v>203</v>
      </c>
      <c r="I344">
        <v>0.78100000000000003</v>
      </c>
      <c r="J344">
        <v>0.85799999999999998</v>
      </c>
      <c r="K344">
        <v>7.6999999999999999E-2</v>
      </c>
      <c r="L344">
        <v>114</v>
      </c>
      <c r="M344">
        <v>54</v>
      </c>
      <c r="N344">
        <v>35</v>
      </c>
      <c r="O344">
        <v>0.871</v>
      </c>
      <c r="P344">
        <v>7.7984292999999996E-2</v>
      </c>
      <c r="Q344">
        <v>0.17299999999999999</v>
      </c>
    </row>
    <row r="345" spans="1:17" s="30" customFormat="1" x14ac:dyDescent="0.2">
      <c r="A345" s="30" t="str">
        <f>IF(C345&amp;G345&amp;D345&lt;&gt;'Funnel setup'!$K$3&amp;'Funnel setup'!$K$4&amp;'Funnel setup'!$K$5,".",IF(A344=".",1,A344+1))</f>
        <v>.</v>
      </c>
      <c r="B345" s="431" t="str">
        <f t="shared" si="5"/>
        <v>Groin HerniaCCG of GP PracticeNHS NORWICH CCG (06W)EQ-5D Index</v>
      </c>
      <c r="C345" t="s">
        <v>50</v>
      </c>
      <c r="D345" t="s">
        <v>87</v>
      </c>
      <c r="E345" t="s">
        <v>770</v>
      </c>
      <c r="F345" t="s">
        <v>771</v>
      </c>
      <c r="G345" t="s">
        <v>52</v>
      </c>
      <c r="H345">
        <v>106</v>
      </c>
      <c r="I345">
        <v>0.745</v>
      </c>
      <c r="J345">
        <v>0.89500000000000002</v>
      </c>
      <c r="K345">
        <v>0.151</v>
      </c>
      <c r="L345">
        <v>69</v>
      </c>
      <c r="M345">
        <v>26</v>
      </c>
      <c r="N345">
        <v>11</v>
      </c>
      <c r="O345">
        <v>0.90400000000000003</v>
      </c>
      <c r="P345">
        <v>0.111005616</v>
      </c>
      <c r="Q345">
        <v>0.124</v>
      </c>
    </row>
    <row r="346" spans="1:17" s="30" customFormat="1" x14ac:dyDescent="0.2">
      <c r="A346" s="30" t="str">
        <f>IF(C346&amp;G346&amp;D346&lt;&gt;'Funnel setup'!$K$3&amp;'Funnel setup'!$K$4&amp;'Funnel setup'!$K$5,".",IF(A345=".",1,A345+1))</f>
        <v>.</v>
      </c>
      <c r="B346" s="431" t="str">
        <f t="shared" si="5"/>
        <v>Groin HerniaCCG of GP PracticeNHS NOTTINGHAM CITY CCG (04K)EQ-5D Index</v>
      </c>
      <c r="C346" t="s">
        <v>50</v>
      </c>
      <c r="D346" t="s">
        <v>87</v>
      </c>
      <c r="E346" t="s">
        <v>773</v>
      </c>
      <c r="F346" t="s">
        <v>774</v>
      </c>
      <c r="G346" t="s">
        <v>52</v>
      </c>
      <c r="H346">
        <v>50</v>
      </c>
      <c r="I346">
        <v>0.84099999999999997</v>
      </c>
      <c r="J346">
        <v>0.86</v>
      </c>
      <c r="K346">
        <v>1.9E-2</v>
      </c>
      <c r="L346">
        <v>19</v>
      </c>
      <c r="M346">
        <v>18</v>
      </c>
      <c r="N346">
        <v>13</v>
      </c>
      <c r="O346">
        <v>0.85299999999999998</v>
      </c>
      <c r="P346">
        <v>5.9491252000000001E-2</v>
      </c>
      <c r="Q346">
        <v>0.17699999999999999</v>
      </c>
    </row>
    <row r="347" spans="1:17" s="30" customFormat="1" x14ac:dyDescent="0.2">
      <c r="A347" s="30" t="str">
        <f>IF(C347&amp;G347&amp;D347&lt;&gt;'Funnel setup'!$K$3&amp;'Funnel setup'!$K$4&amp;'Funnel setup'!$K$5,".",IF(A346=".",1,A346+1))</f>
        <v>.</v>
      </c>
      <c r="B347" s="431" t="str">
        <f t="shared" si="5"/>
        <v>Groin HerniaCCG of GP PracticeNHS NOTTINGHAM NORTH AND EAST CCG (04L)EQ-5D Index</v>
      </c>
      <c r="C347" t="s">
        <v>50</v>
      </c>
      <c r="D347" t="s">
        <v>87</v>
      </c>
      <c r="E347" t="s">
        <v>776</v>
      </c>
      <c r="F347" t="s">
        <v>777</v>
      </c>
      <c r="G347" t="s">
        <v>52</v>
      </c>
      <c r="H347">
        <v>21</v>
      </c>
      <c r="I347">
        <v>0.83</v>
      </c>
      <c r="J347">
        <v>0.92500000000000004</v>
      </c>
      <c r="K347">
        <v>9.5000000000000001E-2</v>
      </c>
      <c r="L347">
        <v>13</v>
      </c>
      <c r="M347">
        <v>5</v>
      </c>
      <c r="N347">
        <v>3</v>
      </c>
      <c r="O347" t="s">
        <v>53</v>
      </c>
      <c r="P347" t="s">
        <v>53</v>
      </c>
      <c r="Q347" t="s">
        <v>53</v>
      </c>
    </row>
    <row r="348" spans="1:17" s="30" customFormat="1" x14ac:dyDescent="0.2">
      <c r="A348" s="30" t="str">
        <f>IF(C348&amp;G348&amp;D348&lt;&gt;'Funnel setup'!$K$3&amp;'Funnel setup'!$K$4&amp;'Funnel setup'!$K$5,".",IF(A347=".",1,A347+1))</f>
        <v>.</v>
      </c>
      <c r="B348" s="431" t="str">
        <f t="shared" si="5"/>
        <v>Groin HerniaCCG of GP PracticeNHS NOTTINGHAM WEST CCG (04M)EQ-5D Index</v>
      </c>
      <c r="C348" t="s">
        <v>50</v>
      </c>
      <c r="D348" t="s">
        <v>87</v>
      </c>
      <c r="E348" t="s">
        <v>779</v>
      </c>
      <c r="F348" t="s">
        <v>780</v>
      </c>
      <c r="G348" t="s">
        <v>52</v>
      </c>
      <c r="H348">
        <v>34</v>
      </c>
      <c r="I348">
        <v>0.83899999999999997</v>
      </c>
      <c r="J348">
        <v>0.91</v>
      </c>
      <c r="K348">
        <v>7.0000000000000007E-2</v>
      </c>
      <c r="L348">
        <v>18</v>
      </c>
      <c r="M348">
        <v>11</v>
      </c>
      <c r="N348">
        <v>5</v>
      </c>
      <c r="O348">
        <v>0.875</v>
      </c>
      <c r="P348">
        <v>8.1756122000000001E-2</v>
      </c>
      <c r="Q348">
        <v>0.121</v>
      </c>
    </row>
    <row r="349" spans="1:17" s="30" customFormat="1" x14ac:dyDescent="0.2">
      <c r="A349" s="30" t="str">
        <f>IF(C349&amp;G349&amp;D349&lt;&gt;'Funnel setup'!$K$3&amp;'Funnel setup'!$K$4&amp;'Funnel setup'!$K$5,".",IF(A348=".",1,A348+1))</f>
        <v>.</v>
      </c>
      <c r="B349" s="431" t="str">
        <f t="shared" si="5"/>
        <v>Groin HerniaCCG of GP PracticeNHS OLDHAM CCG (00Y)EQ-5D Index</v>
      </c>
      <c r="C349" t="s">
        <v>50</v>
      </c>
      <c r="D349" t="s">
        <v>87</v>
      </c>
      <c r="E349" t="s">
        <v>782</v>
      </c>
      <c r="F349" t="s">
        <v>783</v>
      </c>
      <c r="G349" t="s">
        <v>52</v>
      </c>
      <c r="H349">
        <v>23</v>
      </c>
      <c r="I349">
        <v>0.78900000000000003</v>
      </c>
      <c r="J349">
        <v>0.85499999999999998</v>
      </c>
      <c r="K349">
        <v>6.6000000000000003E-2</v>
      </c>
      <c r="L349">
        <v>14</v>
      </c>
      <c r="M349">
        <v>6</v>
      </c>
      <c r="N349">
        <v>3</v>
      </c>
      <c r="O349" t="s">
        <v>53</v>
      </c>
      <c r="P349" t="s">
        <v>53</v>
      </c>
      <c r="Q349" t="s">
        <v>53</v>
      </c>
    </row>
    <row r="350" spans="1:17" s="30" customFormat="1" x14ac:dyDescent="0.2">
      <c r="A350" s="30" t="str">
        <f>IF(C350&amp;G350&amp;D350&lt;&gt;'Funnel setup'!$K$3&amp;'Funnel setup'!$K$4&amp;'Funnel setup'!$K$5,".",IF(A349=".",1,A349+1))</f>
        <v>.</v>
      </c>
      <c r="B350" s="431" t="str">
        <f t="shared" si="5"/>
        <v>Groin HerniaCCG of GP PracticeNHS OXFORDSHIRE CCG (10Q)EQ-5D Index</v>
      </c>
      <c r="C350" t="s">
        <v>50</v>
      </c>
      <c r="D350" t="s">
        <v>87</v>
      </c>
      <c r="E350" t="s">
        <v>785</v>
      </c>
      <c r="F350" t="s">
        <v>786</v>
      </c>
      <c r="G350" t="s">
        <v>52</v>
      </c>
      <c r="H350">
        <v>246</v>
      </c>
      <c r="I350">
        <v>0.81200000000000006</v>
      </c>
      <c r="J350">
        <v>0.89600000000000002</v>
      </c>
      <c r="K350">
        <v>8.4000000000000005E-2</v>
      </c>
      <c r="L350">
        <v>122</v>
      </c>
      <c r="M350">
        <v>92</v>
      </c>
      <c r="N350">
        <v>32</v>
      </c>
      <c r="O350">
        <v>0.88100000000000001</v>
      </c>
      <c r="P350">
        <v>8.7354693999999997E-2</v>
      </c>
      <c r="Q350">
        <v>0.16</v>
      </c>
    </row>
    <row r="351" spans="1:17" s="30" customFormat="1" x14ac:dyDescent="0.2">
      <c r="A351" s="30" t="str">
        <f>IF(C351&amp;G351&amp;D351&lt;&gt;'Funnel setup'!$K$3&amp;'Funnel setup'!$K$4&amp;'Funnel setup'!$K$5,".",IF(A350=".",1,A350+1))</f>
        <v>.</v>
      </c>
      <c r="B351" s="431" t="str">
        <f t="shared" si="5"/>
        <v>Groin HerniaCCG of GP PracticeNHS PORTSMOUTH CCG (10R)EQ-5D Index</v>
      </c>
      <c r="C351" t="s">
        <v>50</v>
      </c>
      <c r="D351" t="s">
        <v>87</v>
      </c>
      <c r="E351" t="s">
        <v>788</v>
      </c>
      <c r="F351" t="s">
        <v>789</v>
      </c>
      <c r="G351" t="s">
        <v>52</v>
      </c>
      <c r="H351">
        <v>75</v>
      </c>
      <c r="I351">
        <v>0.85799999999999998</v>
      </c>
      <c r="J351">
        <v>0.88800000000000001</v>
      </c>
      <c r="K351">
        <v>0.03</v>
      </c>
      <c r="L351">
        <v>22</v>
      </c>
      <c r="M351">
        <v>38</v>
      </c>
      <c r="N351">
        <v>15</v>
      </c>
      <c r="O351">
        <v>0.85399999999999998</v>
      </c>
      <c r="P351">
        <v>6.0638175000000002E-2</v>
      </c>
      <c r="Q351">
        <v>0.14299999999999999</v>
      </c>
    </row>
    <row r="352" spans="1:17" s="30" customFormat="1" x14ac:dyDescent="0.2">
      <c r="A352" s="30" t="str">
        <f>IF(C352&amp;G352&amp;D352&lt;&gt;'Funnel setup'!$K$3&amp;'Funnel setup'!$K$4&amp;'Funnel setup'!$K$5,".",IF(A351=".",1,A351+1))</f>
        <v>.</v>
      </c>
      <c r="B352" s="431" t="str">
        <f t="shared" si="5"/>
        <v>Groin HerniaCCG of GP PracticeNHS REDBRIDGE CCG (08N)EQ-5D Index</v>
      </c>
      <c r="C352" t="s">
        <v>50</v>
      </c>
      <c r="D352" t="s">
        <v>87</v>
      </c>
      <c r="E352" t="s">
        <v>791</v>
      </c>
      <c r="F352" t="s">
        <v>792</v>
      </c>
      <c r="G352" t="s">
        <v>52</v>
      </c>
      <c r="H352">
        <v>14</v>
      </c>
      <c r="I352">
        <v>0.81699999999999995</v>
      </c>
      <c r="J352">
        <v>0.85699999999999998</v>
      </c>
      <c r="K352">
        <v>4.1000000000000002E-2</v>
      </c>
      <c r="L352">
        <v>6</v>
      </c>
      <c r="M352">
        <v>4</v>
      </c>
      <c r="N352">
        <v>4</v>
      </c>
      <c r="O352" t="s">
        <v>53</v>
      </c>
      <c r="P352" t="s">
        <v>53</v>
      </c>
      <c r="Q352" t="s">
        <v>53</v>
      </c>
    </row>
    <row r="353" spans="1:17" s="30" customFormat="1" x14ac:dyDescent="0.2">
      <c r="A353" s="30" t="str">
        <f>IF(C353&amp;G353&amp;D353&lt;&gt;'Funnel setup'!$K$3&amp;'Funnel setup'!$K$4&amp;'Funnel setup'!$K$5,".",IF(A352=".",1,A352+1))</f>
        <v>.</v>
      </c>
      <c r="B353" s="431" t="str">
        <f t="shared" si="5"/>
        <v>Groin HerniaCCG of GP PracticeNHS REDDITCH AND BROMSGROVE CCG (05J)EQ-5D Index</v>
      </c>
      <c r="C353" t="s">
        <v>50</v>
      </c>
      <c r="D353" t="s">
        <v>87</v>
      </c>
      <c r="E353" t="s">
        <v>794</v>
      </c>
      <c r="F353" t="s">
        <v>795</v>
      </c>
      <c r="G353" t="s">
        <v>52</v>
      </c>
      <c r="H353">
        <v>82</v>
      </c>
      <c r="I353">
        <v>0.80500000000000005</v>
      </c>
      <c r="J353">
        <v>0.89300000000000002</v>
      </c>
      <c r="K353">
        <v>8.7999999999999995E-2</v>
      </c>
      <c r="L353">
        <v>41</v>
      </c>
      <c r="M353">
        <v>28</v>
      </c>
      <c r="N353">
        <v>13</v>
      </c>
      <c r="O353">
        <v>0.89500000000000002</v>
      </c>
      <c r="P353">
        <v>0.10197924799999999</v>
      </c>
      <c r="Q353">
        <v>0.11600000000000001</v>
      </c>
    </row>
    <row r="354" spans="1:17" s="30" customFormat="1" x14ac:dyDescent="0.2">
      <c r="A354" s="30" t="str">
        <f>IF(C354&amp;G354&amp;D354&lt;&gt;'Funnel setup'!$K$3&amp;'Funnel setup'!$K$4&amp;'Funnel setup'!$K$5,".",IF(A353=".",1,A353+1))</f>
        <v>.</v>
      </c>
      <c r="B354" s="431" t="str">
        <f t="shared" si="5"/>
        <v>Groin HerniaCCG of GP PracticeNHS RICHMOND CCG (08P)EQ-5D Index</v>
      </c>
      <c r="C354" t="s">
        <v>50</v>
      </c>
      <c r="D354" t="s">
        <v>87</v>
      </c>
      <c r="E354" t="s">
        <v>797</v>
      </c>
      <c r="F354" t="s">
        <v>798</v>
      </c>
      <c r="G354" t="s">
        <v>52</v>
      </c>
      <c r="H354" t="s">
        <v>53</v>
      </c>
      <c r="I354" t="s">
        <v>53</v>
      </c>
      <c r="J354" t="s">
        <v>53</v>
      </c>
      <c r="K354" t="s">
        <v>53</v>
      </c>
      <c r="L354" t="s">
        <v>53</v>
      </c>
      <c r="M354" t="s">
        <v>53</v>
      </c>
      <c r="N354" t="s">
        <v>53</v>
      </c>
      <c r="O354" t="s">
        <v>53</v>
      </c>
      <c r="P354" t="s">
        <v>53</v>
      </c>
      <c r="Q354" t="s">
        <v>53</v>
      </c>
    </row>
    <row r="355" spans="1:17" s="30" customFormat="1" x14ac:dyDescent="0.2">
      <c r="A355" s="30" t="str">
        <f>IF(C355&amp;G355&amp;D355&lt;&gt;'Funnel setup'!$K$3&amp;'Funnel setup'!$K$4&amp;'Funnel setup'!$K$5,".",IF(A354=".",1,A354+1))</f>
        <v>.</v>
      </c>
      <c r="B355" s="431" t="str">
        <f t="shared" si="5"/>
        <v>Groin HerniaCCG of GP PracticeNHS ROTHERHAM CCG (03L)EQ-5D Index</v>
      </c>
      <c r="C355" t="s">
        <v>50</v>
      </c>
      <c r="D355" t="s">
        <v>87</v>
      </c>
      <c r="E355" t="s">
        <v>800</v>
      </c>
      <c r="F355" t="s">
        <v>801</v>
      </c>
      <c r="G355" t="s">
        <v>52</v>
      </c>
      <c r="H355">
        <v>81</v>
      </c>
      <c r="I355">
        <v>0.745</v>
      </c>
      <c r="J355">
        <v>0.86299999999999999</v>
      </c>
      <c r="K355">
        <v>0.11700000000000001</v>
      </c>
      <c r="L355">
        <v>45</v>
      </c>
      <c r="M355">
        <v>24</v>
      </c>
      <c r="N355">
        <v>12</v>
      </c>
      <c r="O355">
        <v>0.89100000000000001</v>
      </c>
      <c r="P355">
        <v>9.7609222999999995E-2</v>
      </c>
      <c r="Q355">
        <v>0.14699999999999999</v>
      </c>
    </row>
    <row r="356" spans="1:17" s="30" customFormat="1" x14ac:dyDescent="0.2">
      <c r="A356" s="30" t="str">
        <f>IF(C356&amp;G356&amp;D356&lt;&gt;'Funnel setup'!$K$3&amp;'Funnel setup'!$K$4&amp;'Funnel setup'!$K$5,".",IF(A355=".",1,A355+1))</f>
        <v>.</v>
      </c>
      <c r="B356" s="431" t="str">
        <f t="shared" si="5"/>
        <v>Groin HerniaCCG of GP PracticeNHS RUSHCLIFFE CCG (04N)EQ-5D Index</v>
      </c>
      <c r="C356" t="s">
        <v>50</v>
      </c>
      <c r="D356" t="s">
        <v>87</v>
      </c>
      <c r="E356" t="s">
        <v>803</v>
      </c>
      <c r="F356" t="s">
        <v>804</v>
      </c>
      <c r="G356" t="s">
        <v>52</v>
      </c>
      <c r="H356">
        <v>77</v>
      </c>
      <c r="I356">
        <v>0.83599999999999997</v>
      </c>
      <c r="J356">
        <v>0.88100000000000001</v>
      </c>
      <c r="K356">
        <v>4.4999999999999998E-2</v>
      </c>
      <c r="L356">
        <v>34</v>
      </c>
      <c r="M356">
        <v>30</v>
      </c>
      <c r="N356">
        <v>13</v>
      </c>
      <c r="O356">
        <v>0.85499999999999998</v>
      </c>
      <c r="P356">
        <v>6.1507672999999999E-2</v>
      </c>
      <c r="Q356">
        <v>0.188</v>
      </c>
    </row>
    <row r="357" spans="1:17" s="30" customFormat="1" x14ac:dyDescent="0.2">
      <c r="A357" s="30" t="str">
        <f>IF(C357&amp;G357&amp;D357&lt;&gt;'Funnel setup'!$K$3&amp;'Funnel setup'!$K$4&amp;'Funnel setup'!$K$5,".",IF(A356=".",1,A356+1))</f>
        <v>.</v>
      </c>
      <c r="B357" s="431" t="str">
        <f t="shared" si="5"/>
        <v>Groin HerniaCCG of GP PracticeNHS SALFORD CCG (01G)EQ-5D Index</v>
      </c>
      <c r="C357" t="s">
        <v>50</v>
      </c>
      <c r="D357" t="s">
        <v>87</v>
      </c>
      <c r="E357" t="s">
        <v>806</v>
      </c>
      <c r="F357" t="s">
        <v>807</v>
      </c>
      <c r="G357" t="s">
        <v>52</v>
      </c>
      <c r="H357">
        <v>63</v>
      </c>
      <c r="I357">
        <v>0.83599999999999997</v>
      </c>
      <c r="J357">
        <v>0.87</v>
      </c>
      <c r="K357">
        <v>3.4000000000000002E-2</v>
      </c>
      <c r="L357">
        <v>26</v>
      </c>
      <c r="M357">
        <v>20</v>
      </c>
      <c r="N357">
        <v>17</v>
      </c>
      <c r="O357">
        <v>0.86599999999999999</v>
      </c>
      <c r="P357">
        <v>7.2378977999999997E-2</v>
      </c>
      <c r="Q357">
        <v>0.157</v>
      </c>
    </row>
    <row r="358" spans="1:17" s="30" customFormat="1" x14ac:dyDescent="0.2">
      <c r="A358" s="30" t="str">
        <f>IF(C358&amp;G358&amp;D358&lt;&gt;'Funnel setup'!$K$3&amp;'Funnel setup'!$K$4&amp;'Funnel setup'!$K$5,".",IF(A357=".",1,A357+1))</f>
        <v>.</v>
      </c>
      <c r="B358" s="431" t="str">
        <f t="shared" si="5"/>
        <v>Groin HerniaCCG of GP PracticeNHS SANDWELL AND WEST BIRMINGHAM CCG (05L)EQ-5D Index</v>
      </c>
      <c r="C358" t="s">
        <v>50</v>
      </c>
      <c r="D358" t="s">
        <v>87</v>
      </c>
      <c r="E358" t="s">
        <v>809</v>
      </c>
      <c r="F358" t="s">
        <v>810</v>
      </c>
      <c r="G358" t="s">
        <v>52</v>
      </c>
      <c r="H358">
        <v>173</v>
      </c>
      <c r="I358">
        <v>0.79400000000000004</v>
      </c>
      <c r="J358">
        <v>0.84399999999999997</v>
      </c>
      <c r="K358">
        <v>0.05</v>
      </c>
      <c r="L358">
        <v>78</v>
      </c>
      <c r="M358">
        <v>54</v>
      </c>
      <c r="N358">
        <v>41</v>
      </c>
      <c r="O358">
        <v>0.86399999999999999</v>
      </c>
      <c r="P358">
        <v>7.0564611999999999E-2</v>
      </c>
      <c r="Q358">
        <v>0.16600000000000001</v>
      </c>
    </row>
    <row r="359" spans="1:17" s="30" customFormat="1" x14ac:dyDescent="0.2">
      <c r="A359" s="30" t="str">
        <f>IF(C359&amp;G359&amp;D359&lt;&gt;'Funnel setup'!$K$3&amp;'Funnel setup'!$K$4&amp;'Funnel setup'!$K$5,".",IF(A358=".",1,A358+1))</f>
        <v>.</v>
      </c>
      <c r="B359" s="431" t="str">
        <f t="shared" si="5"/>
        <v>Groin HerniaCCG of GP PracticeNHS SCARBOROUGH AND RYEDALE CCG (03M)EQ-5D Index</v>
      </c>
      <c r="C359" t="s">
        <v>50</v>
      </c>
      <c r="D359" t="s">
        <v>87</v>
      </c>
      <c r="E359" t="s">
        <v>812</v>
      </c>
      <c r="F359" t="s">
        <v>813</v>
      </c>
      <c r="G359" t="s">
        <v>52</v>
      </c>
      <c r="H359">
        <v>85</v>
      </c>
      <c r="I359">
        <v>0.78200000000000003</v>
      </c>
      <c r="J359">
        <v>0.85899999999999999</v>
      </c>
      <c r="K359">
        <v>7.5999999999999998E-2</v>
      </c>
      <c r="L359">
        <v>52</v>
      </c>
      <c r="M359">
        <v>21</v>
      </c>
      <c r="N359">
        <v>12</v>
      </c>
      <c r="O359">
        <v>0.872</v>
      </c>
      <c r="P359">
        <v>7.8995077999999996E-2</v>
      </c>
      <c r="Q359">
        <v>0.182</v>
      </c>
    </row>
    <row r="360" spans="1:17" s="30" customFormat="1" x14ac:dyDescent="0.2">
      <c r="A360" s="30" t="str">
        <f>IF(C360&amp;G360&amp;D360&lt;&gt;'Funnel setup'!$K$3&amp;'Funnel setup'!$K$4&amp;'Funnel setup'!$K$5,".",IF(A359=".",1,A359+1))</f>
        <v>.</v>
      </c>
      <c r="B360" s="431" t="str">
        <f t="shared" si="5"/>
        <v>Groin HerniaCCG of GP PracticeNHS SHEFFIELD CCG (03N)EQ-5D Index</v>
      </c>
      <c r="C360" t="s">
        <v>50</v>
      </c>
      <c r="D360" t="s">
        <v>87</v>
      </c>
      <c r="E360" t="s">
        <v>815</v>
      </c>
      <c r="F360" t="s">
        <v>816</v>
      </c>
      <c r="G360" t="s">
        <v>52</v>
      </c>
      <c r="H360">
        <v>190</v>
      </c>
      <c r="I360">
        <v>0.77500000000000002</v>
      </c>
      <c r="J360">
        <v>0.83299999999999996</v>
      </c>
      <c r="K360">
        <v>5.7000000000000002E-2</v>
      </c>
      <c r="L360">
        <v>83</v>
      </c>
      <c r="M360">
        <v>61</v>
      </c>
      <c r="N360">
        <v>46</v>
      </c>
      <c r="O360">
        <v>0.86</v>
      </c>
      <c r="P360">
        <v>6.630403E-2</v>
      </c>
      <c r="Q360">
        <v>0.184</v>
      </c>
    </row>
    <row r="361" spans="1:17" s="30" customFormat="1" x14ac:dyDescent="0.2">
      <c r="A361" s="30" t="str">
        <f>IF(C361&amp;G361&amp;D361&lt;&gt;'Funnel setup'!$K$3&amp;'Funnel setup'!$K$4&amp;'Funnel setup'!$K$5,".",IF(A360=".",1,A360+1))</f>
        <v>.</v>
      </c>
      <c r="B361" s="431" t="str">
        <f t="shared" si="5"/>
        <v>Groin HerniaCCG of GP PracticeNHS SHROPSHIRE CCG (05N)EQ-5D Index</v>
      </c>
      <c r="C361" t="s">
        <v>50</v>
      </c>
      <c r="D361" t="s">
        <v>87</v>
      </c>
      <c r="E361" t="s">
        <v>818</v>
      </c>
      <c r="F361" t="s">
        <v>819</v>
      </c>
      <c r="G361" t="s">
        <v>52</v>
      </c>
      <c r="H361">
        <v>176</v>
      </c>
      <c r="I361">
        <v>0.76700000000000002</v>
      </c>
      <c r="J361">
        <v>0.89100000000000001</v>
      </c>
      <c r="K361">
        <v>0.124</v>
      </c>
      <c r="L361">
        <v>114</v>
      </c>
      <c r="M361">
        <v>41</v>
      </c>
      <c r="N361">
        <v>21</v>
      </c>
      <c r="O361">
        <v>0.88200000000000001</v>
      </c>
      <c r="P361">
        <v>8.9041148000000001E-2</v>
      </c>
      <c r="Q361">
        <v>0.158</v>
      </c>
    </row>
    <row r="362" spans="1:17" s="30" customFormat="1" x14ac:dyDescent="0.2">
      <c r="A362" s="30" t="str">
        <f>IF(C362&amp;G362&amp;D362&lt;&gt;'Funnel setup'!$K$3&amp;'Funnel setup'!$K$4&amp;'Funnel setup'!$K$5,".",IF(A361=".",1,A361+1))</f>
        <v>.</v>
      </c>
      <c r="B362" s="431" t="str">
        <f t="shared" si="5"/>
        <v>Groin HerniaCCG of GP PracticeNHS SLOUGH CCG (10T)EQ-5D Index</v>
      </c>
      <c r="C362" t="s">
        <v>50</v>
      </c>
      <c r="D362" t="s">
        <v>87</v>
      </c>
      <c r="E362" t="s">
        <v>821</v>
      </c>
      <c r="F362" t="s">
        <v>822</v>
      </c>
      <c r="G362" t="s">
        <v>52</v>
      </c>
      <c r="H362">
        <v>9</v>
      </c>
      <c r="I362">
        <v>0.82599999999999996</v>
      </c>
      <c r="J362">
        <v>0.85299999999999998</v>
      </c>
      <c r="K362">
        <v>2.7E-2</v>
      </c>
      <c r="L362">
        <v>4</v>
      </c>
      <c r="M362">
        <v>1</v>
      </c>
      <c r="N362">
        <v>4</v>
      </c>
      <c r="O362" t="s">
        <v>53</v>
      </c>
      <c r="P362" t="s">
        <v>53</v>
      </c>
      <c r="Q362" t="s">
        <v>53</v>
      </c>
    </row>
    <row r="363" spans="1:17" s="30" customFormat="1" x14ac:dyDescent="0.2">
      <c r="A363" s="30" t="str">
        <f>IF(C363&amp;G363&amp;D363&lt;&gt;'Funnel setup'!$K$3&amp;'Funnel setup'!$K$4&amp;'Funnel setup'!$K$5,".",IF(A362=".",1,A362+1))</f>
        <v>.</v>
      </c>
      <c r="B363" s="431" t="str">
        <f t="shared" si="5"/>
        <v>Groin HerniaCCG of GP PracticeNHS SOLIHULL CCG (05P)EQ-5D Index</v>
      </c>
      <c r="C363" t="s">
        <v>50</v>
      </c>
      <c r="D363" t="s">
        <v>87</v>
      </c>
      <c r="E363" t="s">
        <v>824</v>
      </c>
      <c r="F363" t="s">
        <v>825</v>
      </c>
      <c r="G363" t="s">
        <v>52</v>
      </c>
      <c r="H363">
        <v>100</v>
      </c>
      <c r="I363">
        <v>0.78500000000000003</v>
      </c>
      <c r="J363">
        <v>0.86799999999999999</v>
      </c>
      <c r="K363">
        <v>8.3000000000000004E-2</v>
      </c>
      <c r="L363">
        <v>52</v>
      </c>
      <c r="M363">
        <v>30</v>
      </c>
      <c r="N363">
        <v>18</v>
      </c>
      <c r="O363">
        <v>0.87</v>
      </c>
      <c r="P363">
        <v>7.6476930999999998E-2</v>
      </c>
      <c r="Q363">
        <v>0.18099999999999999</v>
      </c>
    </row>
    <row r="364" spans="1:17" s="30" customFormat="1" x14ac:dyDescent="0.2">
      <c r="A364" s="30" t="str">
        <f>IF(C364&amp;G364&amp;D364&lt;&gt;'Funnel setup'!$K$3&amp;'Funnel setup'!$K$4&amp;'Funnel setup'!$K$5,".",IF(A363=".",1,A363+1))</f>
        <v>.</v>
      </c>
      <c r="B364" s="431" t="str">
        <f t="shared" si="5"/>
        <v>Groin HerniaCCG of GP PracticeNHS SOMERSET CCG (11X)EQ-5D Index</v>
      </c>
      <c r="C364" t="s">
        <v>50</v>
      </c>
      <c r="D364" t="s">
        <v>87</v>
      </c>
      <c r="E364" t="s">
        <v>827</v>
      </c>
      <c r="F364" t="s">
        <v>828</v>
      </c>
      <c r="G364" t="s">
        <v>52</v>
      </c>
      <c r="H364">
        <v>398</v>
      </c>
      <c r="I364">
        <v>0.82899999999999996</v>
      </c>
      <c r="J364">
        <v>0.89</v>
      </c>
      <c r="K364">
        <v>0.06</v>
      </c>
      <c r="L364">
        <v>181</v>
      </c>
      <c r="M364">
        <v>144</v>
      </c>
      <c r="N364">
        <v>73</v>
      </c>
      <c r="O364">
        <v>0.86699999999999999</v>
      </c>
      <c r="P364">
        <v>7.3657656000000002E-2</v>
      </c>
      <c r="Q364">
        <v>0.159</v>
      </c>
    </row>
    <row r="365" spans="1:17" s="30" customFormat="1" x14ac:dyDescent="0.2">
      <c r="A365" s="30" t="str">
        <f>IF(C365&amp;G365&amp;D365&lt;&gt;'Funnel setup'!$K$3&amp;'Funnel setup'!$K$4&amp;'Funnel setup'!$K$5,".",IF(A364=".",1,A364+1))</f>
        <v>.</v>
      </c>
      <c r="B365" s="431" t="str">
        <f t="shared" si="5"/>
        <v>Groin HerniaCCG of GP PracticeNHS SOUTH CHESHIRE CCG (01R)EQ-5D Index</v>
      </c>
      <c r="C365" t="s">
        <v>50</v>
      </c>
      <c r="D365" t="s">
        <v>87</v>
      </c>
      <c r="E365" t="s">
        <v>830</v>
      </c>
      <c r="F365" t="s">
        <v>831</v>
      </c>
      <c r="G365" t="s">
        <v>52</v>
      </c>
      <c r="H365">
        <v>114</v>
      </c>
      <c r="I365">
        <v>0.81599999999999995</v>
      </c>
      <c r="J365">
        <v>0.876</v>
      </c>
      <c r="K365">
        <v>5.8999999999999997E-2</v>
      </c>
      <c r="L365">
        <v>48</v>
      </c>
      <c r="M365">
        <v>37</v>
      </c>
      <c r="N365">
        <v>29</v>
      </c>
      <c r="O365">
        <v>0.85399999999999998</v>
      </c>
      <c r="P365">
        <v>6.1098104E-2</v>
      </c>
      <c r="Q365">
        <v>0.15</v>
      </c>
    </row>
    <row r="366" spans="1:17" s="30" customFormat="1" x14ac:dyDescent="0.2">
      <c r="A366" s="30" t="str">
        <f>IF(C366&amp;G366&amp;D366&lt;&gt;'Funnel setup'!$K$3&amp;'Funnel setup'!$K$4&amp;'Funnel setup'!$K$5,".",IF(A365=".",1,A365+1))</f>
        <v>.</v>
      </c>
      <c r="B366" s="431" t="str">
        <f t="shared" si="5"/>
        <v>Groin HerniaCCG of GP PracticeNHS SOUTH DEVON AND TORBAY CCG (99Q)EQ-5D Index</v>
      </c>
      <c r="C366" t="s">
        <v>50</v>
      </c>
      <c r="D366" t="s">
        <v>87</v>
      </c>
      <c r="E366" t="s">
        <v>833</v>
      </c>
      <c r="F366" t="s">
        <v>834</v>
      </c>
      <c r="G366" t="s">
        <v>52</v>
      </c>
      <c r="H366">
        <v>151</v>
      </c>
      <c r="I366">
        <v>0.84299999999999997</v>
      </c>
      <c r="J366">
        <v>0.88800000000000001</v>
      </c>
      <c r="K366">
        <v>4.4999999999999998E-2</v>
      </c>
      <c r="L366">
        <v>60</v>
      </c>
      <c r="M366">
        <v>60</v>
      </c>
      <c r="N366">
        <v>31</v>
      </c>
      <c r="O366">
        <v>0.85499999999999998</v>
      </c>
      <c r="P366">
        <v>6.1877577000000003E-2</v>
      </c>
      <c r="Q366">
        <v>0.153</v>
      </c>
    </row>
    <row r="367" spans="1:17" s="30" customFormat="1" x14ac:dyDescent="0.2">
      <c r="A367" s="30" t="str">
        <f>IF(C367&amp;G367&amp;D367&lt;&gt;'Funnel setup'!$K$3&amp;'Funnel setup'!$K$4&amp;'Funnel setup'!$K$5,".",IF(A366=".",1,A366+1))</f>
        <v>.</v>
      </c>
      <c r="B367" s="431" t="str">
        <f t="shared" si="5"/>
        <v>Groin HerniaCCG of GP PracticeNHS SOUTH EAST STAFFORDSHIRE AND SEISDON PENINSULA CCG (05Q)EQ-5D Index</v>
      </c>
      <c r="C367" t="s">
        <v>50</v>
      </c>
      <c r="D367" t="s">
        <v>87</v>
      </c>
      <c r="E367" t="s">
        <v>836</v>
      </c>
      <c r="F367" t="s">
        <v>837</v>
      </c>
      <c r="G367" t="s">
        <v>52</v>
      </c>
      <c r="H367">
        <v>136</v>
      </c>
      <c r="I367">
        <v>0.79800000000000004</v>
      </c>
      <c r="J367">
        <v>0.88600000000000001</v>
      </c>
      <c r="K367">
        <v>8.7999999999999995E-2</v>
      </c>
      <c r="L367">
        <v>72</v>
      </c>
      <c r="M367">
        <v>41</v>
      </c>
      <c r="N367">
        <v>23</v>
      </c>
      <c r="O367">
        <v>0.88200000000000001</v>
      </c>
      <c r="P367">
        <v>8.8678814999999994E-2</v>
      </c>
      <c r="Q367">
        <v>0.13200000000000001</v>
      </c>
    </row>
    <row r="368" spans="1:17" s="30" customFormat="1" x14ac:dyDescent="0.2">
      <c r="A368" s="30" t="str">
        <f>IF(C368&amp;G368&amp;D368&lt;&gt;'Funnel setup'!$K$3&amp;'Funnel setup'!$K$4&amp;'Funnel setup'!$K$5,".",IF(A367=".",1,A367+1))</f>
        <v>.</v>
      </c>
      <c r="B368" s="431" t="str">
        <f t="shared" si="5"/>
        <v>Groin HerniaCCG of GP PracticeNHS SOUTH EASTERN HAMPSHIRE CCG (10V)EQ-5D Index</v>
      </c>
      <c r="C368" t="s">
        <v>50</v>
      </c>
      <c r="D368" t="s">
        <v>87</v>
      </c>
      <c r="E368" t="s">
        <v>839</v>
      </c>
      <c r="F368" t="s">
        <v>840</v>
      </c>
      <c r="G368" t="s">
        <v>52</v>
      </c>
      <c r="H368">
        <v>77</v>
      </c>
      <c r="I368">
        <v>0.82199999999999995</v>
      </c>
      <c r="J368">
        <v>0.90900000000000003</v>
      </c>
      <c r="K368">
        <v>8.6999999999999994E-2</v>
      </c>
      <c r="L368">
        <v>34</v>
      </c>
      <c r="M368">
        <v>29</v>
      </c>
      <c r="N368">
        <v>14</v>
      </c>
      <c r="O368">
        <v>0.89500000000000002</v>
      </c>
      <c r="P368">
        <v>0.10122487199999999</v>
      </c>
      <c r="Q368">
        <v>0.13200000000000001</v>
      </c>
    </row>
    <row r="369" spans="1:17" s="30" customFormat="1" x14ac:dyDescent="0.2">
      <c r="A369" s="30" t="str">
        <f>IF(C369&amp;G369&amp;D369&lt;&gt;'Funnel setup'!$K$3&amp;'Funnel setup'!$K$4&amp;'Funnel setup'!$K$5,".",IF(A368=".",1,A368+1))</f>
        <v>.</v>
      </c>
      <c r="B369" s="431" t="str">
        <f t="shared" si="5"/>
        <v>Groin HerniaCCG of GP PracticeNHS SOUTH GLOUCESTERSHIRE CCG (12A)EQ-5D Index</v>
      </c>
      <c r="C369" t="s">
        <v>50</v>
      </c>
      <c r="D369" t="s">
        <v>87</v>
      </c>
      <c r="E369" t="s">
        <v>842</v>
      </c>
      <c r="F369" t="s">
        <v>843</v>
      </c>
      <c r="G369" t="s">
        <v>52</v>
      </c>
      <c r="H369">
        <v>69</v>
      </c>
      <c r="I369">
        <v>0.79200000000000004</v>
      </c>
      <c r="J369">
        <v>0.92</v>
      </c>
      <c r="K369">
        <v>0.128</v>
      </c>
      <c r="L369">
        <v>42</v>
      </c>
      <c r="M369">
        <v>22</v>
      </c>
      <c r="N369">
        <v>5</v>
      </c>
      <c r="O369">
        <v>0.89900000000000002</v>
      </c>
      <c r="P369">
        <v>0.10576508799999999</v>
      </c>
      <c r="Q369">
        <v>0.13100000000000001</v>
      </c>
    </row>
    <row r="370" spans="1:17" s="30" customFormat="1" x14ac:dyDescent="0.2">
      <c r="A370" s="30" t="str">
        <f>IF(C370&amp;G370&amp;D370&lt;&gt;'Funnel setup'!$K$3&amp;'Funnel setup'!$K$4&amp;'Funnel setup'!$K$5,".",IF(A369=".",1,A369+1))</f>
        <v>.</v>
      </c>
      <c r="B370" s="431" t="str">
        <f t="shared" si="5"/>
        <v>Groin HerniaCCG of GP PracticeNHS SOUTH KENT COAST CCG (10A)EQ-5D Index</v>
      </c>
      <c r="C370" t="s">
        <v>50</v>
      </c>
      <c r="D370" t="s">
        <v>87</v>
      </c>
      <c r="E370" t="s">
        <v>845</v>
      </c>
      <c r="F370" t="s">
        <v>846</v>
      </c>
      <c r="G370" t="s">
        <v>52</v>
      </c>
      <c r="H370">
        <v>82</v>
      </c>
      <c r="I370">
        <v>0.76900000000000002</v>
      </c>
      <c r="J370">
        <v>0.86699999999999999</v>
      </c>
      <c r="K370">
        <v>9.8000000000000004E-2</v>
      </c>
      <c r="L370">
        <v>44</v>
      </c>
      <c r="M370">
        <v>24</v>
      </c>
      <c r="N370">
        <v>14</v>
      </c>
      <c r="O370">
        <v>0.878</v>
      </c>
      <c r="P370">
        <v>8.5033890000000001E-2</v>
      </c>
      <c r="Q370">
        <v>0.17399999999999999</v>
      </c>
    </row>
    <row r="371" spans="1:17" s="30" customFormat="1" x14ac:dyDescent="0.2">
      <c r="A371" s="30" t="str">
        <f>IF(C371&amp;G371&amp;D371&lt;&gt;'Funnel setup'!$K$3&amp;'Funnel setup'!$K$4&amp;'Funnel setup'!$K$5,".",IF(A370=".",1,A370+1))</f>
        <v>.</v>
      </c>
      <c r="B371" s="431" t="str">
        <f t="shared" si="5"/>
        <v>Groin HerniaCCG of GP PracticeNHS SOUTH LINCOLNSHIRE CCG (99D)EQ-5D Index</v>
      </c>
      <c r="C371" t="s">
        <v>50</v>
      </c>
      <c r="D371" t="s">
        <v>87</v>
      </c>
      <c r="E371" t="s">
        <v>848</v>
      </c>
      <c r="F371" t="s">
        <v>849</v>
      </c>
      <c r="G371" t="s">
        <v>52</v>
      </c>
      <c r="H371">
        <v>97</v>
      </c>
      <c r="I371">
        <v>0.82599999999999996</v>
      </c>
      <c r="J371">
        <v>0.88700000000000001</v>
      </c>
      <c r="K371">
        <v>0.06</v>
      </c>
      <c r="L371">
        <v>43</v>
      </c>
      <c r="M371">
        <v>32</v>
      </c>
      <c r="N371">
        <v>22</v>
      </c>
      <c r="O371">
        <v>0.88</v>
      </c>
      <c r="P371">
        <v>8.6571326000000004E-2</v>
      </c>
      <c r="Q371">
        <v>0.13100000000000001</v>
      </c>
    </row>
    <row r="372" spans="1:17" s="30" customFormat="1" x14ac:dyDescent="0.2">
      <c r="A372" s="30" t="str">
        <f>IF(C372&amp;G372&amp;D372&lt;&gt;'Funnel setup'!$K$3&amp;'Funnel setup'!$K$4&amp;'Funnel setup'!$K$5,".",IF(A371=".",1,A371+1))</f>
        <v>.</v>
      </c>
      <c r="B372" s="431" t="str">
        <f t="shared" si="5"/>
        <v>Groin HerniaCCG of GP PracticeNHS SOUTH MANCHESTER CCG (01N)EQ-5D Index</v>
      </c>
      <c r="C372" t="s">
        <v>50</v>
      </c>
      <c r="D372" t="s">
        <v>87</v>
      </c>
      <c r="E372" t="s">
        <v>851</v>
      </c>
      <c r="F372" t="s">
        <v>852</v>
      </c>
      <c r="G372" t="s">
        <v>52</v>
      </c>
      <c r="H372">
        <v>20</v>
      </c>
      <c r="I372">
        <v>0.73299999999999998</v>
      </c>
      <c r="J372">
        <v>0.77400000000000002</v>
      </c>
      <c r="K372">
        <v>0.04</v>
      </c>
      <c r="L372">
        <v>4</v>
      </c>
      <c r="M372">
        <v>12</v>
      </c>
      <c r="N372">
        <v>4</v>
      </c>
      <c r="O372" t="s">
        <v>53</v>
      </c>
      <c r="P372" t="s">
        <v>53</v>
      </c>
      <c r="Q372" t="s">
        <v>53</v>
      </c>
    </row>
    <row r="373" spans="1:17" s="30" customFormat="1" x14ac:dyDescent="0.2">
      <c r="A373" s="30" t="str">
        <f>IF(C373&amp;G373&amp;D373&lt;&gt;'Funnel setup'!$K$3&amp;'Funnel setup'!$K$4&amp;'Funnel setup'!$K$5,".",IF(A372=".",1,A372+1))</f>
        <v>.</v>
      </c>
      <c r="B373" s="431" t="str">
        <f t="shared" si="5"/>
        <v>Groin HerniaCCG of GP PracticeNHS SOUTH NORFOLK CCG (06Y)EQ-5D Index</v>
      </c>
      <c r="C373" t="s">
        <v>50</v>
      </c>
      <c r="D373" t="s">
        <v>87</v>
      </c>
      <c r="E373" t="s">
        <v>932</v>
      </c>
      <c r="F373" t="s">
        <v>933</v>
      </c>
      <c r="G373" t="s">
        <v>52</v>
      </c>
      <c r="H373">
        <v>167</v>
      </c>
      <c r="I373">
        <v>0.77500000000000002</v>
      </c>
      <c r="J373">
        <v>0.877</v>
      </c>
      <c r="K373">
        <v>0.10199999999999999</v>
      </c>
      <c r="L373">
        <v>93</v>
      </c>
      <c r="M373">
        <v>51</v>
      </c>
      <c r="N373">
        <v>23</v>
      </c>
      <c r="O373">
        <v>0.878</v>
      </c>
      <c r="P373">
        <v>8.4484798999999999E-2</v>
      </c>
      <c r="Q373">
        <v>0.17</v>
      </c>
    </row>
    <row r="374" spans="1:17" s="30" customFormat="1" x14ac:dyDescent="0.2">
      <c r="A374" s="30" t="str">
        <f>IF(C374&amp;G374&amp;D374&lt;&gt;'Funnel setup'!$K$3&amp;'Funnel setup'!$K$4&amp;'Funnel setup'!$K$5,".",IF(A373=".",1,A373+1))</f>
        <v>.</v>
      </c>
      <c r="B374" s="431" t="str">
        <f t="shared" si="5"/>
        <v>Groin HerniaCCG of GP PracticeNHS SOUTH READING CCG (10W)EQ-5D Index</v>
      </c>
      <c r="C374" t="s">
        <v>50</v>
      </c>
      <c r="D374" t="s">
        <v>87</v>
      </c>
      <c r="E374" t="s">
        <v>935</v>
      </c>
      <c r="F374" t="s">
        <v>936</v>
      </c>
      <c r="G374" t="s">
        <v>52</v>
      </c>
      <c r="H374">
        <v>29</v>
      </c>
      <c r="I374">
        <v>0.76500000000000001</v>
      </c>
      <c r="J374">
        <v>0.88200000000000001</v>
      </c>
      <c r="K374">
        <v>0.11700000000000001</v>
      </c>
      <c r="L374">
        <v>19</v>
      </c>
      <c r="M374">
        <v>8</v>
      </c>
      <c r="N374">
        <v>2</v>
      </c>
      <c r="O374" t="s">
        <v>53</v>
      </c>
      <c r="P374" t="s">
        <v>53</v>
      </c>
      <c r="Q374" t="s">
        <v>53</v>
      </c>
    </row>
    <row r="375" spans="1:17" s="30" customFormat="1" x14ac:dyDescent="0.2">
      <c r="A375" s="30" t="str">
        <f>IF(C375&amp;G375&amp;D375&lt;&gt;'Funnel setup'!$K$3&amp;'Funnel setup'!$K$4&amp;'Funnel setup'!$K$5,".",IF(A374=".",1,A374+1))</f>
        <v>.</v>
      </c>
      <c r="B375" s="431" t="str">
        <f t="shared" si="5"/>
        <v>Groin HerniaCCG of GP PracticeNHS SOUTH SEFTON CCG (01T)EQ-5D Index</v>
      </c>
      <c r="C375" t="s">
        <v>50</v>
      </c>
      <c r="D375" t="s">
        <v>87</v>
      </c>
      <c r="E375" t="s">
        <v>938</v>
      </c>
      <c r="F375" t="s">
        <v>939</v>
      </c>
      <c r="G375" t="s">
        <v>52</v>
      </c>
      <c r="H375">
        <v>72</v>
      </c>
      <c r="I375">
        <v>0.79700000000000004</v>
      </c>
      <c r="J375">
        <v>0.88500000000000001</v>
      </c>
      <c r="K375">
        <v>8.7999999999999995E-2</v>
      </c>
      <c r="L375">
        <v>42</v>
      </c>
      <c r="M375">
        <v>21</v>
      </c>
      <c r="N375">
        <v>9</v>
      </c>
      <c r="O375">
        <v>0.876</v>
      </c>
      <c r="P375">
        <v>8.2876841000000007E-2</v>
      </c>
      <c r="Q375">
        <v>0.16</v>
      </c>
    </row>
    <row r="376" spans="1:17" s="30" customFormat="1" x14ac:dyDescent="0.2">
      <c r="A376" s="30" t="str">
        <f>IF(C376&amp;G376&amp;D376&lt;&gt;'Funnel setup'!$K$3&amp;'Funnel setup'!$K$4&amp;'Funnel setup'!$K$5,".",IF(A375=".",1,A375+1))</f>
        <v>.</v>
      </c>
      <c r="B376" s="431" t="str">
        <f t="shared" si="5"/>
        <v>Groin HerniaCCG of GP PracticeNHS SOUTH TEES CCG (00M)EQ-5D Index</v>
      </c>
      <c r="C376" t="s">
        <v>50</v>
      </c>
      <c r="D376" t="s">
        <v>87</v>
      </c>
      <c r="E376" t="s">
        <v>941</v>
      </c>
      <c r="F376" t="s">
        <v>942</v>
      </c>
      <c r="G376" t="s">
        <v>52</v>
      </c>
      <c r="H376">
        <v>120</v>
      </c>
      <c r="I376">
        <v>0.76300000000000001</v>
      </c>
      <c r="J376">
        <v>0.84699999999999998</v>
      </c>
      <c r="K376">
        <v>8.5000000000000006E-2</v>
      </c>
      <c r="L376">
        <v>62</v>
      </c>
      <c r="M376">
        <v>33</v>
      </c>
      <c r="N376">
        <v>25</v>
      </c>
      <c r="O376">
        <v>0.86699999999999999</v>
      </c>
      <c r="P376">
        <v>7.3780095000000004E-2</v>
      </c>
      <c r="Q376">
        <v>0.18099999999999999</v>
      </c>
    </row>
    <row r="377" spans="1:17" s="30" customFormat="1" x14ac:dyDescent="0.2">
      <c r="A377" s="30" t="str">
        <f>IF(C377&amp;G377&amp;D377&lt;&gt;'Funnel setup'!$K$3&amp;'Funnel setup'!$K$4&amp;'Funnel setup'!$K$5,".",IF(A376=".",1,A376+1))</f>
        <v>.</v>
      </c>
      <c r="B377" s="431" t="str">
        <f t="shared" si="5"/>
        <v>Groin HerniaCCG of GP PracticeNHS SOUTH TYNESIDE CCG (00N)EQ-5D Index</v>
      </c>
      <c r="C377" t="s">
        <v>50</v>
      </c>
      <c r="D377" t="s">
        <v>87</v>
      </c>
      <c r="E377" t="s">
        <v>1016</v>
      </c>
      <c r="F377" t="s">
        <v>1017</v>
      </c>
      <c r="G377" t="s">
        <v>52</v>
      </c>
      <c r="H377">
        <v>83</v>
      </c>
      <c r="I377">
        <v>0.77500000000000002</v>
      </c>
      <c r="J377">
        <v>0.82099999999999995</v>
      </c>
      <c r="K377">
        <v>4.5999999999999999E-2</v>
      </c>
      <c r="L377">
        <v>36</v>
      </c>
      <c r="M377">
        <v>27</v>
      </c>
      <c r="N377">
        <v>20</v>
      </c>
      <c r="O377">
        <v>0.83199999999999996</v>
      </c>
      <c r="P377">
        <v>3.8795864999999999E-2</v>
      </c>
      <c r="Q377">
        <v>0.158</v>
      </c>
    </row>
    <row r="378" spans="1:17" s="30" customFormat="1" x14ac:dyDescent="0.2">
      <c r="A378" s="30" t="str">
        <f>IF(C378&amp;G378&amp;D378&lt;&gt;'Funnel setup'!$K$3&amp;'Funnel setup'!$K$4&amp;'Funnel setup'!$K$5,".",IF(A377=".",1,A377+1))</f>
        <v>.</v>
      </c>
      <c r="B378" s="431" t="str">
        <f t="shared" si="5"/>
        <v>Groin HerniaCCG of GP PracticeNHS SOUTH WARWICKSHIRE CCG (05R)EQ-5D Index</v>
      </c>
      <c r="C378" t="s">
        <v>50</v>
      </c>
      <c r="D378" t="s">
        <v>87</v>
      </c>
      <c r="E378" t="s">
        <v>944</v>
      </c>
      <c r="F378" t="s">
        <v>945</v>
      </c>
      <c r="G378" t="s">
        <v>52</v>
      </c>
      <c r="H378">
        <v>217</v>
      </c>
      <c r="I378">
        <v>0.77800000000000002</v>
      </c>
      <c r="J378">
        <v>0.89800000000000002</v>
      </c>
      <c r="K378">
        <v>0.12</v>
      </c>
      <c r="L378">
        <v>122</v>
      </c>
      <c r="M378">
        <v>74</v>
      </c>
      <c r="N378">
        <v>21</v>
      </c>
      <c r="O378">
        <v>0.89600000000000002</v>
      </c>
      <c r="P378">
        <v>0.102842725</v>
      </c>
      <c r="Q378">
        <v>0.13400000000000001</v>
      </c>
    </row>
    <row r="379" spans="1:17" s="30" customFormat="1" x14ac:dyDescent="0.2">
      <c r="A379" s="30" t="str">
        <f>IF(C379&amp;G379&amp;D379&lt;&gt;'Funnel setup'!$K$3&amp;'Funnel setup'!$K$4&amp;'Funnel setup'!$K$5,".",IF(A378=".",1,A378+1))</f>
        <v>.</v>
      </c>
      <c r="B379" s="431" t="str">
        <f t="shared" si="5"/>
        <v>Groin HerniaCCG of GP PracticeNHS SOUTH WEST LINCOLNSHIRE CCG (04Q)EQ-5D Index</v>
      </c>
      <c r="C379" t="s">
        <v>50</v>
      </c>
      <c r="D379" t="s">
        <v>87</v>
      </c>
      <c r="E379" t="s">
        <v>947</v>
      </c>
      <c r="F379" t="s">
        <v>948</v>
      </c>
      <c r="G379" t="s">
        <v>52</v>
      </c>
      <c r="H379">
        <v>58</v>
      </c>
      <c r="I379">
        <v>0.83099999999999996</v>
      </c>
      <c r="J379">
        <v>0.85099999999999998</v>
      </c>
      <c r="K379">
        <v>0.02</v>
      </c>
      <c r="L379">
        <v>22</v>
      </c>
      <c r="M379">
        <v>18</v>
      </c>
      <c r="N379">
        <v>18</v>
      </c>
      <c r="O379">
        <v>0.83499999999999996</v>
      </c>
      <c r="P379">
        <v>4.1686457000000003E-2</v>
      </c>
      <c r="Q379">
        <v>0.152</v>
      </c>
    </row>
    <row r="380" spans="1:17" s="30" customFormat="1" x14ac:dyDescent="0.2">
      <c r="A380" s="30" t="str">
        <f>IF(C380&amp;G380&amp;D380&lt;&gt;'Funnel setup'!$K$3&amp;'Funnel setup'!$K$4&amp;'Funnel setup'!$K$5,".",IF(A379=".",1,A379+1))</f>
        <v>.</v>
      </c>
      <c r="B380" s="431" t="str">
        <f t="shared" si="5"/>
        <v>Groin HerniaCCG of GP PracticeNHS SOUTH WORCESTERSHIRE CCG (05T)EQ-5D Index</v>
      </c>
      <c r="C380" t="s">
        <v>50</v>
      </c>
      <c r="D380" t="s">
        <v>87</v>
      </c>
      <c r="E380" t="s">
        <v>950</v>
      </c>
      <c r="F380" t="s">
        <v>951</v>
      </c>
      <c r="G380" t="s">
        <v>52</v>
      </c>
      <c r="H380">
        <v>146</v>
      </c>
      <c r="I380">
        <v>0.81399999999999995</v>
      </c>
      <c r="J380">
        <v>0.88700000000000001</v>
      </c>
      <c r="K380">
        <v>7.2999999999999995E-2</v>
      </c>
      <c r="L380">
        <v>76</v>
      </c>
      <c r="M380">
        <v>50</v>
      </c>
      <c r="N380">
        <v>20</v>
      </c>
      <c r="O380">
        <v>0.88300000000000001</v>
      </c>
      <c r="P380">
        <v>8.9310189999999998E-2</v>
      </c>
      <c r="Q380">
        <v>0.153</v>
      </c>
    </row>
    <row r="381" spans="1:17" s="30" customFormat="1" x14ac:dyDescent="0.2">
      <c r="A381" s="30" t="str">
        <f>IF(C381&amp;G381&amp;D381&lt;&gt;'Funnel setup'!$K$3&amp;'Funnel setup'!$K$4&amp;'Funnel setup'!$K$5,".",IF(A380=".",1,A380+1))</f>
        <v>.</v>
      </c>
      <c r="B381" s="431" t="str">
        <f t="shared" si="5"/>
        <v>Groin HerniaCCG of GP PracticeNHS SOUTHAMPTON CCG (10X)EQ-5D Index</v>
      </c>
      <c r="C381" t="s">
        <v>50</v>
      </c>
      <c r="D381" t="s">
        <v>87</v>
      </c>
      <c r="E381" t="s">
        <v>953</v>
      </c>
      <c r="F381" t="s">
        <v>954</v>
      </c>
      <c r="G381" t="s">
        <v>52</v>
      </c>
      <c r="H381">
        <v>88</v>
      </c>
      <c r="I381">
        <v>0.81200000000000006</v>
      </c>
      <c r="J381">
        <v>0.86399999999999999</v>
      </c>
      <c r="K381">
        <v>5.1999999999999998E-2</v>
      </c>
      <c r="L381">
        <v>40</v>
      </c>
      <c r="M381">
        <v>30</v>
      </c>
      <c r="N381">
        <v>18</v>
      </c>
      <c r="O381">
        <v>0.86199999999999999</v>
      </c>
      <c r="P381">
        <v>6.9029616000000002E-2</v>
      </c>
      <c r="Q381">
        <v>0.158</v>
      </c>
    </row>
    <row r="382" spans="1:17" s="30" customFormat="1" x14ac:dyDescent="0.2">
      <c r="A382" s="30" t="str">
        <f>IF(C382&amp;G382&amp;D382&lt;&gt;'Funnel setup'!$K$3&amp;'Funnel setup'!$K$4&amp;'Funnel setup'!$K$5,".",IF(A381=".",1,A381+1))</f>
        <v>.</v>
      </c>
      <c r="B382" s="431" t="str">
        <f t="shared" si="5"/>
        <v>Groin HerniaCCG of GP PracticeNHS SOUTHEND CCG (99G)EQ-5D Index</v>
      </c>
      <c r="C382" t="s">
        <v>50</v>
      </c>
      <c r="D382" t="s">
        <v>87</v>
      </c>
      <c r="E382" t="s">
        <v>956</v>
      </c>
      <c r="F382" t="s">
        <v>957</v>
      </c>
      <c r="G382" t="s">
        <v>52</v>
      </c>
      <c r="H382">
        <v>55</v>
      </c>
      <c r="I382">
        <v>0.79</v>
      </c>
      <c r="J382">
        <v>0.86699999999999999</v>
      </c>
      <c r="K382">
        <v>7.5999999999999998E-2</v>
      </c>
      <c r="L382">
        <v>28</v>
      </c>
      <c r="M382">
        <v>12</v>
      </c>
      <c r="N382">
        <v>15</v>
      </c>
      <c r="O382">
        <v>0.88300000000000001</v>
      </c>
      <c r="P382">
        <v>8.9536252999999996E-2</v>
      </c>
      <c r="Q382">
        <v>0.11799999999999999</v>
      </c>
    </row>
    <row r="383" spans="1:17" s="30" customFormat="1" x14ac:dyDescent="0.2">
      <c r="A383" s="30" t="str">
        <f>IF(C383&amp;G383&amp;D383&lt;&gt;'Funnel setup'!$K$3&amp;'Funnel setup'!$K$4&amp;'Funnel setup'!$K$5,".",IF(A382=".",1,A382+1))</f>
        <v>.</v>
      </c>
      <c r="B383" s="431" t="str">
        <f t="shared" si="5"/>
        <v>Groin HerniaCCG of GP PracticeNHS SOUTHERN DERBYSHIRE CCG (04R)EQ-5D Index</v>
      </c>
      <c r="C383" t="s">
        <v>50</v>
      </c>
      <c r="D383" t="s">
        <v>87</v>
      </c>
      <c r="E383" t="s">
        <v>959</v>
      </c>
      <c r="F383" t="s">
        <v>960</v>
      </c>
      <c r="G383" t="s">
        <v>52</v>
      </c>
      <c r="H383">
        <v>157</v>
      </c>
      <c r="I383">
        <v>0.80800000000000005</v>
      </c>
      <c r="J383">
        <v>0.871</v>
      </c>
      <c r="K383">
        <v>6.3E-2</v>
      </c>
      <c r="L383">
        <v>71</v>
      </c>
      <c r="M383">
        <v>53</v>
      </c>
      <c r="N383">
        <v>33</v>
      </c>
      <c r="O383">
        <v>0.86</v>
      </c>
      <c r="P383">
        <v>6.6701267999999994E-2</v>
      </c>
      <c r="Q383">
        <v>0.15</v>
      </c>
    </row>
    <row r="384" spans="1:17" s="30" customFormat="1" x14ac:dyDescent="0.2">
      <c r="A384" s="30" t="str">
        <f>IF(C384&amp;G384&amp;D384&lt;&gt;'Funnel setup'!$K$3&amp;'Funnel setup'!$K$4&amp;'Funnel setup'!$K$5,".",IF(A383=".",1,A383+1))</f>
        <v>.</v>
      </c>
      <c r="B384" s="431" t="str">
        <f t="shared" si="5"/>
        <v>Groin HerniaCCG of GP PracticeNHS SOUTHPORT AND FORMBY CCG (01V)EQ-5D Index</v>
      </c>
      <c r="C384" t="s">
        <v>50</v>
      </c>
      <c r="D384" t="s">
        <v>87</v>
      </c>
      <c r="E384" t="s">
        <v>962</v>
      </c>
      <c r="F384" t="s">
        <v>963</v>
      </c>
      <c r="G384" t="s">
        <v>52</v>
      </c>
      <c r="H384">
        <v>101</v>
      </c>
      <c r="I384">
        <v>0.81899999999999995</v>
      </c>
      <c r="J384">
        <v>0.879</v>
      </c>
      <c r="K384">
        <v>6.0999999999999999E-2</v>
      </c>
      <c r="L384">
        <v>51</v>
      </c>
      <c r="M384">
        <v>34</v>
      </c>
      <c r="N384">
        <v>16</v>
      </c>
      <c r="O384">
        <v>0.86699999999999999</v>
      </c>
      <c r="P384">
        <v>7.3602531999999998E-2</v>
      </c>
      <c r="Q384">
        <v>0.154</v>
      </c>
    </row>
    <row r="385" spans="1:17" s="30" customFormat="1" x14ac:dyDescent="0.2">
      <c r="A385" s="30" t="str">
        <f>IF(C385&amp;G385&amp;D385&lt;&gt;'Funnel setup'!$K$3&amp;'Funnel setup'!$K$4&amp;'Funnel setup'!$K$5,".",IF(A384=".",1,A384+1))</f>
        <v>.</v>
      </c>
      <c r="B385" s="431" t="str">
        <f t="shared" si="5"/>
        <v>Groin HerniaCCG of GP PracticeNHS SOUTHWARK CCG (08Q)EQ-5D Index</v>
      </c>
      <c r="C385" t="s">
        <v>50</v>
      </c>
      <c r="D385" t="s">
        <v>87</v>
      </c>
      <c r="E385" t="s">
        <v>965</v>
      </c>
      <c r="F385" t="s">
        <v>966</v>
      </c>
      <c r="G385" t="s">
        <v>52</v>
      </c>
      <c r="H385">
        <v>11</v>
      </c>
      <c r="I385">
        <v>0.79500000000000004</v>
      </c>
      <c r="J385">
        <v>0.86799999999999999</v>
      </c>
      <c r="K385">
        <v>7.2999999999999995E-2</v>
      </c>
      <c r="L385">
        <v>4</v>
      </c>
      <c r="M385">
        <v>4</v>
      </c>
      <c r="N385">
        <v>3</v>
      </c>
      <c r="O385" t="s">
        <v>53</v>
      </c>
      <c r="P385" t="s">
        <v>53</v>
      </c>
      <c r="Q385" t="s">
        <v>53</v>
      </c>
    </row>
    <row r="386" spans="1:17" s="30" customFormat="1" x14ac:dyDescent="0.2">
      <c r="A386" s="30" t="str">
        <f>IF(C386&amp;G386&amp;D386&lt;&gt;'Funnel setup'!$K$3&amp;'Funnel setup'!$K$4&amp;'Funnel setup'!$K$5,".",IF(A385=".",1,A385+1))</f>
        <v>.</v>
      </c>
      <c r="B386" s="431" t="str">
        <f t="shared" si="5"/>
        <v>Groin HerniaCCG of GP PracticeNHS ST HELENS CCG (01X)EQ-5D Index</v>
      </c>
      <c r="C386" t="s">
        <v>50</v>
      </c>
      <c r="D386" t="s">
        <v>87</v>
      </c>
      <c r="E386" t="s">
        <v>968</v>
      </c>
      <c r="F386" t="s">
        <v>969</v>
      </c>
      <c r="G386" t="s">
        <v>52</v>
      </c>
      <c r="H386">
        <v>88</v>
      </c>
      <c r="I386">
        <v>0.82</v>
      </c>
      <c r="J386">
        <v>0.877</v>
      </c>
      <c r="K386">
        <v>5.7000000000000002E-2</v>
      </c>
      <c r="L386">
        <v>34</v>
      </c>
      <c r="M386">
        <v>39</v>
      </c>
      <c r="N386">
        <v>15</v>
      </c>
      <c r="O386">
        <v>0.876</v>
      </c>
      <c r="P386">
        <v>8.2727257999999998E-2</v>
      </c>
      <c r="Q386">
        <v>0.151</v>
      </c>
    </row>
    <row r="387" spans="1:17" s="30" customFormat="1" x14ac:dyDescent="0.2">
      <c r="A387" s="30" t="str">
        <f>IF(C387&amp;G387&amp;D387&lt;&gt;'Funnel setup'!$K$3&amp;'Funnel setup'!$K$4&amp;'Funnel setup'!$K$5,".",IF(A386=".",1,A386+1))</f>
        <v>.</v>
      </c>
      <c r="B387" s="431" t="str">
        <f t="shared" ref="B387:B450" si="6">C387&amp;D387&amp;F387&amp;G387</f>
        <v>Groin HerniaCCG of GP PracticeNHS STAFFORD AND SURROUNDS CCG (05V)EQ-5D Index</v>
      </c>
      <c r="C387" t="s">
        <v>50</v>
      </c>
      <c r="D387" t="s">
        <v>87</v>
      </c>
      <c r="E387" t="s">
        <v>971</v>
      </c>
      <c r="F387" t="s">
        <v>972</v>
      </c>
      <c r="G387" t="s">
        <v>52</v>
      </c>
      <c r="H387">
        <v>107</v>
      </c>
      <c r="I387">
        <v>0.77700000000000002</v>
      </c>
      <c r="J387">
        <v>0.89400000000000002</v>
      </c>
      <c r="K387">
        <v>0.11700000000000001</v>
      </c>
      <c r="L387">
        <v>65</v>
      </c>
      <c r="M387">
        <v>27</v>
      </c>
      <c r="N387">
        <v>15</v>
      </c>
      <c r="O387">
        <v>0.89100000000000001</v>
      </c>
      <c r="P387">
        <v>9.8096844000000002E-2</v>
      </c>
      <c r="Q387">
        <v>0.13</v>
      </c>
    </row>
    <row r="388" spans="1:17" s="30" customFormat="1" x14ac:dyDescent="0.2">
      <c r="A388" s="30" t="str">
        <f>IF(C388&amp;G388&amp;D388&lt;&gt;'Funnel setup'!$K$3&amp;'Funnel setup'!$K$4&amp;'Funnel setup'!$K$5,".",IF(A387=".",1,A387+1))</f>
        <v>.</v>
      </c>
      <c r="B388" s="431" t="str">
        <f t="shared" si="6"/>
        <v>Groin HerniaCCG of GP PracticeNHS STOCKPORT CCG (01W)EQ-5D Index</v>
      </c>
      <c r="C388" t="s">
        <v>50</v>
      </c>
      <c r="D388" t="s">
        <v>87</v>
      </c>
      <c r="E388" t="s">
        <v>974</v>
      </c>
      <c r="F388" t="s">
        <v>975</v>
      </c>
      <c r="G388" t="s">
        <v>52</v>
      </c>
      <c r="H388">
        <v>127</v>
      </c>
      <c r="I388">
        <v>0.79800000000000004</v>
      </c>
      <c r="J388">
        <v>0.88800000000000001</v>
      </c>
      <c r="K388">
        <v>0.09</v>
      </c>
      <c r="L388">
        <v>62</v>
      </c>
      <c r="M388">
        <v>49</v>
      </c>
      <c r="N388">
        <v>16</v>
      </c>
      <c r="O388">
        <v>0.88900000000000001</v>
      </c>
      <c r="P388">
        <v>9.6082793E-2</v>
      </c>
      <c r="Q388">
        <v>0.16700000000000001</v>
      </c>
    </row>
    <row r="389" spans="1:17" s="30" customFormat="1" x14ac:dyDescent="0.2">
      <c r="A389" s="30" t="str">
        <f>IF(C389&amp;G389&amp;D389&lt;&gt;'Funnel setup'!$K$3&amp;'Funnel setup'!$K$4&amp;'Funnel setup'!$K$5,".",IF(A388=".",1,A388+1))</f>
        <v>.</v>
      </c>
      <c r="B389" s="431" t="str">
        <f t="shared" si="6"/>
        <v>Groin HerniaCCG of GP PracticeNHS STOKE ON TRENT CCG (05W)EQ-5D Index</v>
      </c>
      <c r="C389" t="s">
        <v>50</v>
      </c>
      <c r="D389" t="s">
        <v>87</v>
      </c>
      <c r="E389" t="s">
        <v>977</v>
      </c>
      <c r="F389" t="s">
        <v>978</v>
      </c>
      <c r="G389" t="s">
        <v>52</v>
      </c>
      <c r="H389">
        <v>50</v>
      </c>
      <c r="I389">
        <v>0.751</v>
      </c>
      <c r="J389">
        <v>0.89200000000000002</v>
      </c>
      <c r="K389">
        <v>0.14099999999999999</v>
      </c>
      <c r="L389">
        <v>34</v>
      </c>
      <c r="M389">
        <v>10</v>
      </c>
      <c r="N389">
        <v>6</v>
      </c>
      <c r="O389">
        <v>0.92</v>
      </c>
      <c r="P389">
        <v>0.12619944299999999</v>
      </c>
      <c r="Q389">
        <v>0.11700000000000001</v>
      </c>
    </row>
    <row r="390" spans="1:17" s="30" customFormat="1" x14ac:dyDescent="0.2">
      <c r="A390" s="30" t="str">
        <f>IF(C390&amp;G390&amp;D390&lt;&gt;'Funnel setup'!$K$3&amp;'Funnel setup'!$K$4&amp;'Funnel setup'!$K$5,".",IF(A389=".",1,A389+1))</f>
        <v>.</v>
      </c>
      <c r="B390" s="431" t="str">
        <f t="shared" si="6"/>
        <v>Groin HerniaCCG of GP PracticeNHS SUNDERLAND CCG (00P)EQ-5D Index</v>
      </c>
      <c r="C390" t="s">
        <v>50</v>
      </c>
      <c r="D390" t="s">
        <v>87</v>
      </c>
      <c r="E390" t="s">
        <v>980</v>
      </c>
      <c r="F390" t="s">
        <v>981</v>
      </c>
      <c r="G390" t="s">
        <v>52</v>
      </c>
      <c r="H390">
        <v>136</v>
      </c>
      <c r="I390">
        <v>0.73</v>
      </c>
      <c r="J390">
        <v>0.79600000000000004</v>
      </c>
      <c r="K390">
        <v>6.6000000000000003E-2</v>
      </c>
      <c r="L390">
        <v>61</v>
      </c>
      <c r="M390">
        <v>39</v>
      </c>
      <c r="N390">
        <v>36</v>
      </c>
      <c r="O390">
        <v>0.85899999999999999</v>
      </c>
      <c r="P390">
        <v>6.5249053000000001E-2</v>
      </c>
      <c r="Q390">
        <v>0.19600000000000001</v>
      </c>
    </row>
    <row r="391" spans="1:17" s="30" customFormat="1" x14ac:dyDescent="0.2">
      <c r="A391" s="30" t="str">
        <f>IF(C391&amp;G391&amp;D391&lt;&gt;'Funnel setup'!$K$3&amp;'Funnel setup'!$K$4&amp;'Funnel setup'!$K$5,".",IF(A390=".",1,A390+1))</f>
        <v>.</v>
      </c>
      <c r="B391" s="431" t="str">
        <f t="shared" si="6"/>
        <v>Groin HerniaCCG of GP PracticeNHS SURREY DOWNS CCG (99H)EQ-5D Index</v>
      </c>
      <c r="C391" t="s">
        <v>50</v>
      </c>
      <c r="D391" t="s">
        <v>87</v>
      </c>
      <c r="E391" t="s">
        <v>983</v>
      </c>
      <c r="F391" t="s">
        <v>984</v>
      </c>
      <c r="G391" t="s">
        <v>52</v>
      </c>
      <c r="H391">
        <v>74</v>
      </c>
      <c r="I391">
        <v>0.81799999999999995</v>
      </c>
      <c r="J391">
        <v>0.89200000000000002</v>
      </c>
      <c r="K391">
        <v>7.2999999999999995E-2</v>
      </c>
      <c r="L391">
        <v>40</v>
      </c>
      <c r="M391">
        <v>17</v>
      </c>
      <c r="N391">
        <v>17</v>
      </c>
      <c r="O391">
        <v>0.872</v>
      </c>
      <c r="P391">
        <v>7.8238294E-2</v>
      </c>
      <c r="Q391">
        <v>0.14299999999999999</v>
      </c>
    </row>
    <row r="392" spans="1:17" s="30" customFormat="1" x14ac:dyDescent="0.2">
      <c r="A392" s="30" t="str">
        <f>IF(C392&amp;G392&amp;D392&lt;&gt;'Funnel setup'!$K$3&amp;'Funnel setup'!$K$4&amp;'Funnel setup'!$K$5,".",IF(A391=".",1,A391+1))</f>
        <v>.</v>
      </c>
      <c r="B392" s="431" t="str">
        <f t="shared" si="6"/>
        <v>Groin HerniaCCG of GP PracticeNHS SURREY HEATH CCG (10C)EQ-5D Index</v>
      </c>
      <c r="C392" t="s">
        <v>50</v>
      </c>
      <c r="D392" t="s">
        <v>87</v>
      </c>
      <c r="E392" t="s">
        <v>986</v>
      </c>
      <c r="F392" t="s">
        <v>987</v>
      </c>
      <c r="G392" t="s">
        <v>52</v>
      </c>
      <c r="H392">
        <v>60</v>
      </c>
      <c r="I392">
        <v>0.83699999999999997</v>
      </c>
      <c r="J392">
        <v>0.88900000000000001</v>
      </c>
      <c r="K392">
        <v>5.2999999999999999E-2</v>
      </c>
      <c r="L392">
        <v>26</v>
      </c>
      <c r="M392">
        <v>25</v>
      </c>
      <c r="N392">
        <v>9</v>
      </c>
      <c r="O392">
        <v>0.86899999999999999</v>
      </c>
      <c r="P392">
        <v>7.5435678000000006E-2</v>
      </c>
      <c r="Q392">
        <v>0.13400000000000001</v>
      </c>
    </row>
    <row r="393" spans="1:17" s="30" customFormat="1" x14ac:dyDescent="0.2">
      <c r="A393" s="30" t="str">
        <f>IF(C393&amp;G393&amp;D393&lt;&gt;'Funnel setup'!$K$3&amp;'Funnel setup'!$K$4&amp;'Funnel setup'!$K$5,".",IF(A392=".",1,A392+1))</f>
        <v>.</v>
      </c>
      <c r="B393" s="431" t="str">
        <f t="shared" si="6"/>
        <v>Groin HerniaCCG of GP PracticeNHS SUTTON CCG (08T)EQ-5D Index</v>
      </c>
      <c r="C393" t="s">
        <v>50</v>
      </c>
      <c r="D393" t="s">
        <v>87</v>
      </c>
      <c r="E393" t="s">
        <v>989</v>
      </c>
      <c r="F393" t="s">
        <v>990</v>
      </c>
      <c r="G393" t="s">
        <v>52</v>
      </c>
      <c r="H393">
        <v>17</v>
      </c>
      <c r="I393">
        <v>0.79200000000000004</v>
      </c>
      <c r="J393">
        <v>0.79400000000000004</v>
      </c>
      <c r="K393">
        <v>2E-3</v>
      </c>
      <c r="L393">
        <v>4</v>
      </c>
      <c r="M393">
        <v>7</v>
      </c>
      <c r="N393">
        <v>6</v>
      </c>
      <c r="O393" t="s">
        <v>53</v>
      </c>
      <c r="P393" t="s">
        <v>53</v>
      </c>
      <c r="Q393" t="s">
        <v>53</v>
      </c>
    </row>
    <row r="394" spans="1:17" s="30" customFormat="1" x14ac:dyDescent="0.2">
      <c r="A394" s="30" t="str">
        <f>IF(C394&amp;G394&amp;D394&lt;&gt;'Funnel setup'!$K$3&amp;'Funnel setup'!$K$4&amp;'Funnel setup'!$K$5,".",IF(A393=".",1,A393+1))</f>
        <v>.</v>
      </c>
      <c r="B394" s="431" t="str">
        <f t="shared" si="6"/>
        <v>Groin HerniaCCG of GP PracticeNHS SWALE CCG (10D)EQ-5D Index</v>
      </c>
      <c r="C394" t="s">
        <v>50</v>
      </c>
      <c r="D394" t="s">
        <v>87</v>
      </c>
      <c r="E394" t="s">
        <v>992</v>
      </c>
      <c r="F394" t="s">
        <v>993</v>
      </c>
      <c r="G394" t="s">
        <v>52</v>
      </c>
      <c r="H394">
        <v>40</v>
      </c>
      <c r="I394">
        <v>0.80300000000000005</v>
      </c>
      <c r="J394">
        <v>0.90700000000000003</v>
      </c>
      <c r="K394">
        <v>0.104</v>
      </c>
      <c r="L394">
        <v>22</v>
      </c>
      <c r="M394">
        <v>11</v>
      </c>
      <c r="N394">
        <v>7</v>
      </c>
      <c r="O394">
        <v>0.89600000000000002</v>
      </c>
      <c r="P394">
        <v>0.10271318</v>
      </c>
      <c r="Q394">
        <v>0.113</v>
      </c>
    </row>
    <row r="395" spans="1:17" s="30" customFormat="1" x14ac:dyDescent="0.2">
      <c r="A395" s="30" t="str">
        <f>IF(C395&amp;G395&amp;D395&lt;&gt;'Funnel setup'!$K$3&amp;'Funnel setup'!$K$4&amp;'Funnel setup'!$K$5,".",IF(A394=".",1,A394+1))</f>
        <v>.</v>
      </c>
      <c r="B395" s="431" t="str">
        <f t="shared" si="6"/>
        <v>Groin HerniaCCG of GP PracticeNHS SWINDON CCG (12D)EQ-5D Index</v>
      </c>
      <c r="C395" t="s">
        <v>50</v>
      </c>
      <c r="D395" t="s">
        <v>87</v>
      </c>
      <c r="E395" t="s">
        <v>995</v>
      </c>
      <c r="F395" t="s">
        <v>996</v>
      </c>
      <c r="G395" t="s">
        <v>52</v>
      </c>
      <c r="H395">
        <v>74</v>
      </c>
      <c r="I395">
        <v>0.83799999999999997</v>
      </c>
      <c r="J395">
        <v>0.91200000000000003</v>
      </c>
      <c r="K395">
        <v>7.3999999999999996E-2</v>
      </c>
      <c r="L395">
        <v>32</v>
      </c>
      <c r="M395">
        <v>32</v>
      </c>
      <c r="N395">
        <v>10</v>
      </c>
      <c r="O395">
        <v>0.86899999999999999</v>
      </c>
      <c r="P395">
        <v>7.5510458000000003E-2</v>
      </c>
      <c r="Q395">
        <v>0.11600000000000001</v>
      </c>
    </row>
    <row r="396" spans="1:17" s="30" customFormat="1" x14ac:dyDescent="0.2">
      <c r="A396" s="30" t="str">
        <f>IF(C396&amp;G396&amp;D396&lt;&gt;'Funnel setup'!$K$3&amp;'Funnel setup'!$K$4&amp;'Funnel setup'!$K$5,".",IF(A395=".",1,A395+1))</f>
        <v>.</v>
      </c>
      <c r="B396" s="431" t="str">
        <f t="shared" si="6"/>
        <v>Groin HerniaCCG of GP PracticeNHS TAMESIDE AND GLOSSOP CCG (01Y)EQ-5D Index</v>
      </c>
      <c r="C396" t="s">
        <v>50</v>
      </c>
      <c r="D396" t="s">
        <v>87</v>
      </c>
      <c r="E396" t="s">
        <v>998</v>
      </c>
      <c r="F396" t="s">
        <v>999</v>
      </c>
      <c r="G396" t="s">
        <v>52</v>
      </c>
      <c r="H396">
        <v>45</v>
      </c>
      <c r="I396">
        <v>0.747</v>
      </c>
      <c r="J396">
        <v>0.86399999999999999</v>
      </c>
      <c r="K396">
        <v>0.11700000000000001</v>
      </c>
      <c r="L396">
        <v>26</v>
      </c>
      <c r="M396">
        <v>12</v>
      </c>
      <c r="N396">
        <v>7</v>
      </c>
      <c r="O396">
        <v>0.88800000000000001</v>
      </c>
      <c r="P396">
        <v>9.4666792E-2</v>
      </c>
      <c r="Q396">
        <v>0.13500000000000001</v>
      </c>
    </row>
    <row r="397" spans="1:17" s="30" customFormat="1" x14ac:dyDescent="0.2">
      <c r="A397" s="30" t="str">
        <f>IF(C397&amp;G397&amp;D397&lt;&gt;'Funnel setup'!$K$3&amp;'Funnel setup'!$K$4&amp;'Funnel setup'!$K$5,".",IF(A396=".",1,A396+1))</f>
        <v>.</v>
      </c>
      <c r="B397" s="431" t="str">
        <f t="shared" si="6"/>
        <v>Groin HerniaCCG of GP PracticeNHS TELFORD AND WREKIN CCG (05X)EQ-5D Index</v>
      </c>
      <c r="C397" t="s">
        <v>50</v>
      </c>
      <c r="D397" t="s">
        <v>87</v>
      </c>
      <c r="E397" t="s">
        <v>1001</v>
      </c>
      <c r="F397" t="s">
        <v>1002</v>
      </c>
      <c r="G397" t="s">
        <v>52</v>
      </c>
      <c r="H397">
        <v>59</v>
      </c>
      <c r="I397">
        <v>0.70199999999999996</v>
      </c>
      <c r="J397">
        <v>0.83399999999999996</v>
      </c>
      <c r="K397">
        <v>0.13100000000000001</v>
      </c>
      <c r="L397">
        <v>34</v>
      </c>
      <c r="M397">
        <v>10</v>
      </c>
      <c r="N397">
        <v>15</v>
      </c>
      <c r="O397">
        <v>0.87</v>
      </c>
      <c r="P397">
        <v>7.7089319000000003E-2</v>
      </c>
      <c r="Q397">
        <v>0.19800000000000001</v>
      </c>
    </row>
    <row r="398" spans="1:17" s="30" customFormat="1" x14ac:dyDescent="0.2">
      <c r="A398" s="30" t="str">
        <f>IF(C398&amp;G398&amp;D398&lt;&gt;'Funnel setup'!$K$3&amp;'Funnel setup'!$K$4&amp;'Funnel setup'!$K$5,".",IF(A397=".",1,A397+1))</f>
        <v>.</v>
      </c>
      <c r="B398" s="431" t="str">
        <f t="shared" si="6"/>
        <v>Groin HerniaCCG of GP PracticeNHS THANET CCG (10E)EQ-5D Index</v>
      </c>
      <c r="C398" t="s">
        <v>50</v>
      </c>
      <c r="D398" t="s">
        <v>87</v>
      </c>
      <c r="E398" t="s">
        <v>1004</v>
      </c>
      <c r="F398" t="s">
        <v>1005</v>
      </c>
      <c r="G398" t="s">
        <v>52</v>
      </c>
      <c r="H398">
        <v>44</v>
      </c>
      <c r="I398">
        <v>0.76900000000000002</v>
      </c>
      <c r="J398">
        <v>0.88400000000000001</v>
      </c>
      <c r="K398">
        <v>0.115</v>
      </c>
      <c r="L398">
        <v>29</v>
      </c>
      <c r="M398">
        <v>6</v>
      </c>
      <c r="N398">
        <v>9</v>
      </c>
      <c r="O398">
        <v>0.91100000000000003</v>
      </c>
      <c r="P398">
        <v>0.11734660099999999</v>
      </c>
      <c r="Q398">
        <v>0.154</v>
      </c>
    </row>
    <row r="399" spans="1:17" s="30" customFormat="1" x14ac:dyDescent="0.2">
      <c r="A399" s="30" t="str">
        <f>IF(C399&amp;G399&amp;D399&lt;&gt;'Funnel setup'!$K$3&amp;'Funnel setup'!$K$4&amp;'Funnel setup'!$K$5,".",IF(A398=".",1,A398+1))</f>
        <v>.</v>
      </c>
      <c r="B399" s="431" t="str">
        <f t="shared" si="6"/>
        <v>Groin HerniaCCG of GP PracticeNHS THURROCK CCG (07G)EQ-5D Index</v>
      </c>
      <c r="C399" t="s">
        <v>50</v>
      </c>
      <c r="D399" t="s">
        <v>87</v>
      </c>
      <c r="E399" t="s">
        <v>1007</v>
      </c>
      <c r="F399" t="s">
        <v>1008</v>
      </c>
      <c r="G399" t="s">
        <v>52</v>
      </c>
      <c r="H399">
        <v>33</v>
      </c>
      <c r="I399">
        <v>0.71</v>
      </c>
      <c r="J399">
        <v>0.84399999999999997</v>
      </c>
      <c r="K399">
        <v>0.13400000000000001</v>
      </c>
      <c r="L399">
        <v>20</v>
      </c>
      <c r="M399">
        <v>7</v>
      </c>
      <c r="N399">
        <v>6</v>
      </c>
      <c r="O399">
        <v>0.86099999999999999</v>
      </c>
      <c r="P399">
        <v>6.7696204999999995E-2</v>
      </c>
      <c r="Q399">
        <v>0.14799999999999999</v>
      </c>
    </row>
    <row r="400" spans="1:17" s="30" customFormat="1" x14ac:dyDescent="0.2">
      <c r="A400" s="30" t="str">
        <f>IF(C400&amp;G400&amp;D400&lt;&gt;'Funnel setup'!$K$3&amp;'Funnel setup'!$K$4&amp;'Funnel setup'!$K$5,".",IF(A399=".",1,A399+1))</f>
        <v>.</v>
      </c>
      <c r="B400" s="431" t="str">
        <f t="shared" si="6"/>
        <v>Groin HerniaCCG of GP PracticeNHS TOWER HAMLETS CCG (08V)EQ-5D Index</v>
      </c>
      <c r="C400" t="s">
        <v>50</v>
      </c>
      <c r="D400" t="s">
        <v>87</v>
      </c>
      <c r="E400" t="s">
        <v>1010</v>
      </c>
      <c r="F400" t="s">
        <v>1011</v>
      </c>
      <c r="G400" t="s">
        <v>52</v>
      </c>
      <c r="H400">
        <v>19</v>
      </c>
      <c r="I400">
        <v>0.84699999999999998</v>
      </c>
      <c r="J400">
        <v>0.77</v>
      </c>
      <c r="K400">
        <v>-7.6999999999999999E-2</v>
      </c>
      <c r="L400">
        <v>5</v>
      </c>
      <c r="M400">
        <v>10</v>
      </c>
      <c r="N400">
        <v>4</v>
      </c>
      <c r="O400" t="s">
        <v>53</v>
      </c>
      <c r="P400" t="s">
        <v>53</v>
      </c>
      <c r="Q400" t="s">
        <v>53</v>
      </c>
    </row>
    <row r="401" spans="1:17" s="30" customFormat="1" x14ac:dyDescent="0.2">
      <c r="A401" s="30" t="str">
        <f>IF(C401&amp;G401&amp;D401&lt;&gt;'Funnel setup'!$K$3&amp;'Funnel setup'!$K$4&amp;'Funnel setup'!$K$5,".",IF(A400=".",1,A400+1))</f>
        <v>.</v>
      </c>
      <c r="B401" s="431" t="str">
        <f t="shared" si="6"/>
        <v>Groin HerniaCCG of GP PracticeNHS TRAFFORD CCG (02A)EQ-5D Index</v>
      </c>
      <c r="C401" t="s">
        <v>50</v>
      </c>
      <c r="D401" t="s">
        <v>87</v>
      </c>
      <c r="E401" t="s">
        <v>1013</v>
      </c>
      <c r="F401" t="s">
        <v>1014</v>
      </c>
      <c r="G401" t="s">
        <v>52</v>
      </c>
      <c r="H401">
        <v>72</v>
      </c>
      <c r="I401">
        <v>0.8</v>
      </c>
      <c r="J401">
        <v>0.878</v>
      </c>
      <c r="K401">
        <v>7.8E-2</v>
      </c>
      <c r="L401">
        <v>38</v>
      </c>
      <c r="M401">
        <v>24</v>
      </c>
      <c r="N401">
        <v>10</v>
      </c>
      <c r="O401">
        <v>0.879</v>
      </c>
      <c r="P401">
        <v>8.5327690999999997E-2</v>
      </c>
      <c r="Q401">
        <v>0.15</v>
      </c>
    </row>
    <row r="402" spans="1:17" s="30" customFormat="1" x14ac:dyDescent="0.2">
      <c r="A402" s="30" t="str">
        <f>IF(C402&amp;G402&amp;D402&lt;&gt;'Funnel setup'!$K$3&amp;'Funnel setup'!$K$4&amp;'Funnel setup'!$K$5,".",IF(A401=".",1,A401+1))</f>
        <v>.</v>
      </c>
      <c r="B402" s="431" t="str">
        <f t="shared" si="6"/>
        <v>Groin HerniaCCG of GP PracticeNHS VALE OF YORK CCG (03Q)EQ-5D Index</v>
      </c>
      <c r="C402" t="s">
        <v>50</v>
      </c>
      <c r="D402" t="s">
        <v>87</v>
      </c>
      <c r="E402" t="s">
        <v>420</v>
      </c>
      <c r="F402" t="s">
        <v>421</v>
      </c>
      <c r="G402" t="s">
        <v>52</v>
      </c>
      <c r="H402">
        <v>166</v>
      </c>
      <c r="I402">
        <v>0.81200000000000006</v>
      </c>
      <c r="J402">
        <v>0.89200000000000002</v>
      </c>
      <c r="K402">
        <v>8.1000000000000003E-2</v>
      </c>
      <c r="L402">
        <v>76</v>
      </c>
      <c r="M402">
        <v>63</v>
      </c>
      <c r="N402">
        <v>27</v>
      </c>
      <c r="O402">
        <v>0.873</v>
      </c>
      <c r="P402">
        <v>7.9930290000000001E-2</v>
      </c>
      <c r="Q402">
        <v>0.14399999999999999</v>
      </c>
    </row>
    <row r="403" spans="1:17" s="30" customFormat="1" x14ac:dyDescent="0.2">
      <c r="A403" s="30" t="str">
        <f>IF(C403&amp;G403&amp;D403&lt;&gt;'Funnel setup'!$K$3&amp;'Funnel setup'!$K$4&amp;'Funnel setup'!$K$5,".",IF(A402=".",1,A402+1))</f>
        <v>.</v>
      </c>
      <c r="B403" s="431" t="str">
        <f t="shared" si="6"/>
        <v>Groin HerniaCCG of GP PracticeNHS VALE ROYAL CCG (02D)EQ-5D Index</v>
      </c>
      <c r="C403" t="s">
        <v>50</v>
      </c>
      <c r="D403" t="s">
        <v>87</v>
      </c>
      <c r="E403" t="s">
        <v>423</v>
      </c>
      <c r="F403" t="s">
        <v>424</v>
      </c>
      <c r="G403" t="s">
        <v>52</v>
      </c>
      <c r="H403">
        <v>68</v>
      </c>
      <c r="I403">
        <v>0.85599999999999998</v>
      </c>
      <c r="J403">
        <v>0.91200000000000003</v>
      </c>
      <c r="K403">
        <v>5.5E-2</v>
      </c>
      <c r="L403">
        <v>25</v>
      </c>
      <c r="M403">
        <v>29</v>
      </c>
      <c r="N403">
        <v>14</v>
      </c>
      <c r="O403">
        <v>0.879</v>
      </c>
      <c r="P403">
        <v>8.5926449000000002E-2</v>
      </c>
      <c r="Q403">
        <v>0.13600000000000001</v>
      </c>
    </row>
    <row r="404" spans="1:17" s="30" customFormat="1" x14ac:dyDescent="0.2">
      <c r="A404" s="30" t="str">
        <f>IF(C404&amp;G404&amp;D404&lt;&gt;'Funnel setup'!$K$3&amp;'Funnel setup'!$K$4&amp;'Funnel setup'!$K$5,".",IF(A403=".",1,A403+1))</f>
        <v>.</v>
      </c>
      <c r="B404" s="431" t="str">
        <f t="shared" si="6"/>
        <v>Groin HerniaCCG of GP PracticeNHS WAKEFIELD CCG (03R)EQ-5D Index</v>
      </c>
      <c r="C404" t="s">
        <v>50</v>
      </c>
      <c r="D404" t="s">
        <v>87</v>
      </c>
      <c r="E404" t="s">
        <v>426</v>
      </c>
      <c r="F404" t="s">
        <v>427</v>
      </c>
      <c r="G404" t="s">
        <v>52</v>
      </c>
      <c r="H404">
        <v>188</v>
      </c>
      <c r="I404">
        <v>0.82599999999999996</v>
      </c>
      <c r="J404">
        <v>0.85799999999999998</v>
      </c>
      <c r="K404">
        <v>3.2000000000000001E-2</v>
      </c>
      <c r="L404">
        <v>75</v>
      </c>
      <c r="M404">
        <v>69</v>
      </c>
      <c r="N404">
        <v>44</v>
      </c>
      <c r="O404">
        <v>0.85799999999999998</v>
      </c>
      <c r="P404">
        <v>6.4606948999999997E-2</v>
      </c>
      <c r="Q404">
        <v>0.16600000000000001</v>
      </c>
    </row>
    <row r="405" spans="1:17" s="30" customFormat="1" x14ac:dyDescent="0.2">
      <c r="A405" s="30" t="str">
        <f>IF(C405&amp;G405&amp;D405&lt;&gt;'Funnel setup'!$K$3&amp;'Funnel setup'!$K$4&amp;'Funnel setup'!$K$5,".",IF(A404=".",1,A404+1))</f>
        <v>.</v>
      </c>
      <c r="B405" s="431" t="str">
        <f t="shared" si="6"/>
        <v>Groin HerniaCCG of GP PracticeNHS WALSALL CCG (05Y)EQ-5D Index</v>
      </c>
      <c r="C405" t="s">
        <v>50</v>
      </c>
      <c r="D405" t="s">
        <v>87</v>
      </c>
      <c r="E405" t="s">
        <v>429</v>
      </c>
      <c r="F405" t="s">
        <v>430</v>
      </c>
      <c r="G405" t="s">
        <v>52</v>
      </c>
      <c r="H405">
        <v>87</v>
      </c>
      <c r="I405">
        <v>0.748</v>
      </c>
      <c r="J405">
        <v>0.86899999999999999</v>
      </c>
      <c r="K405">
        <v>0.12</v>
      </c>
      <c r="L405">
        <v>53</v>
      </c>
      <c r="M405">
        <v>21</v>
      </c>
      <c r="N405">
        <v>13</v>
      </c>
      <c r="O405">
        <v>0.89100000000000001</v>
      </c>
      <c r="P405">
        <v>9.7792669999999998E-2</v>
      </c>
      <c r="Q405">
        <v>0.17699999999999999</v>
      </c>
    </row>
    <row r="406" spans="1:17" s="30" customFormat="1" x14ac:dyDescent="0.2">
      <c r="A406" s="30" t="str">
        <f>IF(C406&amp;G406&amp;D406&lt;&gt;'Funnel setup'!$K$3&amp;'Funnel setup'!$K$4&amp;'Funnel setup'!$K$5,".",IF(A405=".",1,A405+1))</f>
        <v>.</v>
      </c>
      <c r="B406" s="431" t="str">
        <f t="shared" si="6"/>
        <v>Groin HerniaCCG of GP PracticeNHS WALTHAM FOREST CCG (08W)EQ-5D Index</v>
      </c>
      <c r="C406" t="s">
        <v>50</v>
      </c>
      <c r="D406" t="s">
        <v>87</v>
      </c>
      <c r="E406" t="s">
        <v>432</v>
      </c>
      <c r="F406" t="s">
        <v>433</v>
      </c>
      <c r="G406" t="s">
        <v>52</v>
      </c>
      <c r="H406">
        <v>9</v>
      </c>
      <c r="I406">
        <v>0.751</v>
      </c>
      <c r="J406">
        <v>0.755</v>
      </c>
      <c r="K406">
        <v>4.0000000000000001E-3</v>
      </c>
      <c r="L406">
        <v>4</v>
      </c>
      <c r="M406">
        <v>2</v>
      </c>
      <c r="N406">
        <v>3</v>
      </c>
      <c r="O406" t="s">
        <v>53</v>
      </c>
      <c r="P406" t="s">
        <v>53</v>
      </c>
      <c r="Q406" t="s">
        <v>53</v>
      </c>
    </row>
    <row r="407" spans="1:17" s="30" customFormat="1" x14ac:dyDescent="0.2">
      <c r="A407" s="30" t="str">
        <f>IF(C407&amp;G407&amp;D407&lt;&gt;'Funnel setup'!$K$3&amp;'Funnel setup'!$K$4&amp;'Funnel setup'!$K$5,".",IF(A406=".",1,A406+1))</f>
        <v>.</v>
      </c>
      <c r="B407" s="431" t="str">
        <f t="shared" si="6"/>
        <v>Groin HerniaCCG of GP PracticeNHS WANDSWORTH CCG (08X)EQ-5D Index</v>
      </c>
      <c r="C407" t="s">
        <v>50</v>
      </c>
      <c r="D407" t="s">
        <v>87</v>
      </c>
      <c r="E407" t="s">
        <v>435</v>
      </c>
      <c r="F407" t="s">
        <v>436</v>
      </c>
      <c r="G407" t="s">
        <v>52</v>
      </c>
      <c r="H407">
        <v>14</v>
      </c>
      <c r="I407">
        <v>0.79</v>
      </c>
      <c r="J407">
        <v>0.84099999999999997</v>
      </c>
      <c r="K407">
        <v>5.0999999999999997E-2</v>
      </c>
      <c r="L407">
        <v>5</v>
      </c>
      <c r="M407">
        <v>5</v>
      </c>
      <c r="N407">
        <v>4</v>
      </c>
      <c r="O407" t="s">
        <v>53</v>
      </c>
      <c r="P407" t="s">
        <v>53</v>
      </c>
      <c r="Q407" t="s">
        <v>53</v>
      </c>
    </row>
    <row r="408" spans="1:17" s="30" customFormat="1" x14ac:dyDescent="0.2">
      <c r="A408" s="30" t="str">
        <f>IF(C408&amp;G408&amp;D408&lt;&gt;'Funnel setup'!$K$3&amp;'Funnel setup'!$K$4&amp;'Funnel setup'!$K$5,".",IF(A407=".",1,A407+1))</f>
        <v>.</v>
      </c>
      <c r="B408" s="431" t="str">
        <f t="shared" si="6"/>
        <v>Groin HerniaCCG of GP PracticeNHS WARRINGTON CCG (02E)EQ-5D Index</v>
      </c>
      <c r="C408" t="s">
        <v>50</v>
      </c>
      <c r="D408" t="s">
        <v>87</v>
      </c>
      <c r="E408" t="s">
        <v>441</v>
      </c>
      <c r="F408" t="s">
        <v>442</v>
      </c>
      <c r="G408" t="s">
        <v>52</v>
      </c>
      <c r="H408">
        <v>84</v>
      </c>
      <c r="I408">
        <v>0.82399999999999995</v>
      </c>
      <c r="J408">
        <v>0.9</v>
      </c>
      <c r="K408">
        <v>7.5999999999999998E-2</v>
      </c>
      <c r="L408">
        <v>38</v>
      </c>
      <c r="M408">
        <v>32</v>
      </c>
      <c r="N408">
        <v>14</v>
      </c>
      <c r="O408">
        <v>0.88200000000000001</v>
      </c>
      <c r="P408">
        <v>8.8501244000000007E-2</v>
      </c>
      <c r="Q408">
        <v>0.124</v>
      </c>
    </row>
    <row r="409" spans="1:17" s="30" customFormat="1" x14ac:dyDescent="0.2">
      <c r="A409" s="30" t="str">
        <f>IF(C409&amp;G409&amp;D409&lt;&gt;'Funnel setup'!$K$3&amp;'Funnel setup'!$K$4&amp;'Funnel setup'!$K$5,".",IF(A408=".",1,A408+1))</f>
        <v>.</v>
      </c>
      <c r="B409" s="431" t="str">
        <f t="shared" si="6"/>
        <v>Groin HerniaCCG of GP PracticeNHS WARWICKSHIRE NORTH CCG (05H)EQ-5D Index</v>
      </c>
      <c r="C409" t="s">
        <v>50</v>
      </c>
      <c r="D409" t="s">
        <v>87</v>
      </c>
      <c r="E409" t="s">
        <v>438</v>
      </c>
      <c r="F409" t="s">
        <v>439</v>
      </c>
      <c r="G409" t="s">
        <v>52</v>
      </c>
      <c r="H409">
        <v>40</v>
      </c>
      <c r="I409">
        <v>0.76900000000000002</v>
      </c>
      <c r="J409">
        <v>0.90900000000000003</v>
      </c>
      <c r="K409">
        <v>0.14000000000000001</v>
      </c>
      <c r="L409">
        <v>24</v>
      </c>
      <c r="M409">
        <v>12</v>
      </c>
      <c r="N409">
        <v>4</v>
      </c>
      <c r="O409">
        <v>0.90800000000000003</v>
      </c>
      <c r="P409">
        <v>0.114481131</v>
      </c>
      <c r="Q409">
        <v>0.17399999999999999</v>
      </c>
    </row>
    <row r="410" spans="1:17" s="30" customFormat="1" x14ac:dyDescent="0.2">
      <c r="A410" s="30" t="str">
        <f>IF(C410&amp;G410&amp;D410&lt;&gt;'Funnel setup'!$K$3&amp;'Funnel setup'!$K$4&amp;'Funnel setup'!$K$5,".",IF(A409=".",1,A409+1))</f>
        <v>.</v>
      </c>
      <c r="B410" s="431" t="str">
        <f t="shared" si="6"/>
        <v>Groin HerniaCCG of GP PracticeNHS WEST CHESHIRE CCG (02F)EQ-5D Index</v>
      </c>
      <c r="C410" t="s">
        <v>50</v>
      </c>
      <c r="D410" t="s">
        <v>87</v>
      </c>
      <c r="E410" t="s">
        <v>402</v>
      </c>
      <c r="F410" t="s">
        <v>403</v>
      </c>
      <c r="G410" t="s">
        <v>52</v>
      </c>
      <c r="H410">
        <v>122</v>
      </c>
      <c r="I410">
        <v>0.78600000000000003</v>
      </c>
      <c r="J410">
        <v>0.86199999999999999</v>
      </c>
      <c r="K410">
        <v>7.5999999999999998E-2</v>
      </c>
      <c r="L410">
        <v>54</v>
      </c>
      <c r="M410">
        <v>43</v>
      </c>
      <c r="N410">
        <v>25</v>
      </c>
      <c r="O410">
        <v>0.86299999999999999</v>
      </c>
      <c r="P410">
        <v>6.9697598999999999E-2</v>
      </c>
      <c r="Q410">
        <v>0.157</v>
      </c>
    </row>
    <row r="411" spans="1:17" s="30" customFormat="1" x14ac:dyDescent="0.2">
      <c r="A411" s="30" t="str">
        <f>IF(C411&amp;G411&amp;D411&lt;&gt;'Funnel setup'!$K$3&amp;'Funnel setup'!$K$4&amp;'Funnel setup'!$K$5,".",IF(A410=".",1,A410+1))</f>
        <v>.</v>
      </c>
      <c r="B411" s="431" t="str">
        <f t="shared" si="6"/>
        <v>Groin HerniaCCG of GP PracticeNHS WEST ESSEX CCG (07H)EQ-5D Index</v>
      </c>
      <c r="C411" t="s">
        <v>50</v>
      </c>
      <c r="D411" t="s">
        <v>87</v>
      </c>
      <c r="E411" t="s">
        <v>405</v>
      </c>
      <c r="F411" t="s">
        <v>406</v>
      </c>
      <c r="G411" t="s">
        <v>52</v>
      </c>
      <c r="H411">
        <v>106</v>
      </c>
      <c r="I411">
        <v>0.76300000000000001</v>
      </c>
      <c r="J411">
        <v>0.84599999999999997</v>
      </c>
      <c r="K411">
        <v>8.3000000000000004E-2</v>
      </c>
      <c r="L411">
        <v>50</v>
      </c>
      <c r="M411">
        <v>39</v>
      </c>
      <c r="N411">
        <v>17</v>
      </c>
      <c r="O411">
        <v>0.85199999999999998</v>
      </c>
      <c r="P411">
        <v>5.8913265999999999E-2</v>
      </c>
      <c r="Q411">
        <v>0.189</v>
      </c>
    </row>
    <row r="412" spans="1:17" s="30" customFormat="1" x14ac:dyDescent="0.2">
      <c r="A412" s="30" t="str">
        <f>IF(C412&amp;G412&amp;D412&lt;&gt;'Funnel setup'!$K$3&amp;'Funnel setup'!$K$4&amp;'Funnel setup'!$K$5,".",IF(A411=".",1,A411+1))</f>
        <v>.</v>
      </c>
      <c r="B412" s="431" t="str">
        <f t="shared" si="6"/>
        <v>Groin HerniaCCG of GP PracticeNHS WEST HAMPSHIRE CCG (11A)EQ-5D Index</v>
      </c>
      <c r="C412" t="s">
        <v>50</v>
      </c>
      <c r="D412" t="s">
        <v>87</v>
      </c>
      <c r="E412" t="s">
        <v>444</v>
      </c>
      <c r="F412" t="s">
        <v>445</v>
      </c>
      <c r="G412" t="s">
        <v>52</v>
      </c>
      <c r="H412">
        <v>226</v>
      </c>
      <c r="I412">
        <v>0.80200000000000005</v>
      </c>
      <c r="J412">
        <v>0.89900000000000002</v>
      </c>
      <c r="K412">
        <v>9.7000000000000003E-2</v>
      </c>
      <c r="L412">
        <v>118</v>
      </c>
      <c r="M412">
        <v>79</v>
      </c>
      <c r="N412">
        <v>29</v>
      </c>
      <c r="O412">
        <v>0.88600000000000001</v>
      </c>
      <c r="P412">
        <v>9.2389058999999996E-2</v>
      </c>
      <c r="Q412">
        <v>0.16400000000000001</v>
      </c>
    </row>
    <row r="413" spans="1:17" s="30" customFormat="1" x14ac:dyDescent="0.2">
      <c r="A413" s="30" t="str">
        <f>IF(C413&amp;G413&amp;D413&lt;&gt;'Funnel setup'!$K$3&amp;'Funnel setup'!$K$4&amp;'Funnel setup'!$K$5,".",IF(A412=".",1,A412+1))</f>
        <v>.</v>
      </c>
      <c r="B413" s="431" t="str">
        <f t="shared" si="6"/>
        <v>Groin HerniaCCG of GP PracticeNHS WEST KENT CCG (99J)EQ-5D Index</v>
      </c>
      <c r="C413" t="s">
        <v>50</v>
      </c>
      <c r="D413" t="s">
        <v>87</v>
      </c>
      <c r="E413" t="s">
        <v>447</v>
      </c>
      <c r="F413" t="s">
        <v>448</v>
      </c>
      <c r="G413" t="s">
        <v>52</v>
      </c>
      <c r="H413">
        <v>78</v>
      </c>
      <c r="I413">
        <v>0.81499999999999995</v>
      </c>
      <c r="J413">
        <v>0.89900000000000002</v>
      </c>
      <c r="K413">
        <v>8.4000000000000005E-2</v>
      </c>
      <c r="L413">
        <v>48</v>
      </c>
      <c r="M413">
        <v>20</v>
      </c>
      <c r="N413">
        <v>10</v>
      </c>
      <c r="O413">
        <v>0.89</v>
      </c>
      <c r="P413">
        <v>9.6325446999999995E-2</v>
      </c>
      <c r="Q413">
        <v>0.20200000000000001</v>
      </c>
    </row>
    <row r="414" spans="1:17" s="30" customFormat="1" x14ac:dyDescent="0.2">
      <c r="A414" s="30" t="str">
        <f>IF(C414&amp;G414&amp;D414&lt;&gt;'Funnel setup'!$K$3&amp;'Funnel setup'!$K$4&amp;'Funnel setup'!$K$5,".",IF(A413=".",1,A413+1))</f>
        <v>.</v>
      </c>
      <c r="B414" s="431" t="str">
        <f t="shared" si="6"/>
        <v>Groin HerniaCCG of GP PracticeNHS WEST LANCASHIRE CCG (02G)EQ-5D Index</v>
      </c>
      <c r="C414" t="s">
        <v>50</v>
      </c>
      <c r="D414" t="s">
        <v>87</v>
      </c>
      <c r="E414" t="s">
        <v>450</v>
      </c>
      <c r="F414" t="s">
        <v>451</v>
      </c>
      <c r="G414" t="s">
        <v>52</v>
      </c>
      <c r="H414">
        <v>91</v>
      </c>
      <c r="I414">
        <v>0.753</v>
      </c>
      <c r="J414">
        <v>0.85299999999999998</v>
      </c>
      <c r="K414">
        <v>0.1</v>
      </c>
      <c r="L414">
        <v>47</v>
      </c>
      <c r="M414">
        <v>28</v>
      </c>
      <c r="N414">
        <v>16</v>
      </c>
      <c r="O414">
        <v>0.877</v>
      </c>
      <c r="P414">
        <v>8.4115017E-2</v>
      </c>
      <c r="Q414">
        <v>0.16500000000000001</v>
      </c>
    </row>
    <row r="415" spans="1:17" s="30" customFormat="1" x14ac:dyDescent="0.2">
      <c r="A415" s="30" t="str">
        <f>IF(C415&amp;G415&amp;D415&lt;&gt;'Funnel setup'!$K$3&amp;'Funnel setup'!$K$4&amp;'Funnel setup'!$K$5,".",IF(A414=".",1,A414+1))</f>
        <v>.</v>
      </c>
      <c r="B415" s="431" t="str">
        <f t="shared" si="6"/>
        <v>Groin HerniaCCG of GP PracticeNHS WEST LEICESTERSHIRE CCG (04V)EQ-5D Index</v>
      </c>
      <c r="C415" t="s">
        <v>50</v>
      </c>
      <c r="D415" t="s">
        <v>87</v>
      </c>
      <c r="E415" t="s">
        <v>453</v>
      </c>
      <c r="F415" t="s">
        <v>454</v>
      </c>
      <c r="G415" t="s">
        <v>52</v>
      </c>
      <c r="H415">
        <v>171</v>
      </c>
      <c r="I415">
        <v>0.81</v>
      </c>
      <c r="J415">
        <v>0.872</v>
      </c>
      <c r="K415">
        <v>6.2E-2</v>
      </c>
      <c r="L415">
        <v>72</v>
      </c>
      <c r="M415">
        <v>64</v>
      </c>
      <c r="N415">
        <v>35</v>
      </c>
      <c r="O415">
        <v>0.86399999999999999</v>
      </c>
      <c r="P415">
        <v>7.0670000999999996E-2</v>
      </c>
      <c r="Q415">
        <v>0.16400000000000001</v>
      </c>
    </row>
    <row r="416" spans="1:17" s="30" customFormat="1" x14ac:dyDescent="0.2">
      <c r="A416" s="30" t="str">
        <f>IF(C416&amp;G416&amp;D416&lt;&gt;'Funnel setup'!$K$3&amp;'Funnel setup'!$K$4&amp;'Funnel setup'!$K$5,".",IF(A415=".",1,A415+1))</f>
        <v>.</v>
      </c>
      <c r="B416" s="431" t="str">
        <f t="shared" si="6"/>
        <v>Groin HerniaCCG of GP PracticeNHS WEST LONDON CCG (08Y)EQ-5D Index</v>
      </c>
      <c r="C416" t="s">
        <v>50</v>
      </c>
      <c r="D416" t="s">
        <v>87</v>
      </c>
      <c r="E416" t="s">
        <v>456</v>
      </c>
      <c r="F416" t="s">
        <v>457</v>
      </c>
      <c r="G416" t="s">
        <v>52</v>
      </c>
      <c r="H416">
        <v>6</v>
      </c>
      <c r="I416">
        <v>0.79200000000000004</v>
      </c>
      <c r="J416">
        <v>0.96599999999999997</v>
      </c>
      <c r="K416">
        <v>0.17399999999999999</v>
      </c>
      <c r="L416">
        <v>4</v>
      </c>
      <c r="M416">
        <v>1</v>
      </c>
      <c r="N416">
        <v>1</v>
      </c>
      <c r="O416" t="s">
        <v>53</v>
      </c>
      <c r="P416" t="s">
        <v>53</v>
      </c>
      <c r="Q416" t="s">
        <v>53</v>
      </c>
    </row>
    <row r="417" spans="1:17" s="30" customFormat="1" x14ac:dyDescent="0.2">
      <c r="A417" s="30" t="str">
        <f>IF(C417&amp;G417&amp;D417&lt;&gt;'Funnel setup'!$K$3&amp;'Funnel setup'!$K$4&amp;'Funnel setup'!$K$5,".",IF(A416=".",1,A416+1))</f>
        <v>.</v>
      </c>
      <c r="B417" s="431" t="str">
        <f t="shared" si="6"/>
        <v>Groin HerniaCCG of GP PracticeNHS WEST NORFOLK CCG (07J)EQ-5D Index</v>
      </c>
      <c r="C417" t="s">
        <v>50</v>
      </c>
      <c r="D417" t="s">
        <v>87</v>
      </c>
      <c r="E417" t="s">
        <v>459</v>
      </c>
      <c r="F417" t="s">
        <v>460</v>
      </c>
      <c r="G417" t="s">
        <v>52</v>
      </c>
      <c r="H417">
        <v>67</v>
      </c>
      <c r="I417">
        <v>0.82099999999999995</v>
      </c>
      <c r="J417">
        <v>0.878</v>
      </c>
      <c r="K417">
        <v>5.7000000000000002E-2</v>
      </c>
      <c r="L417">
        <v>27</v>
      </c>
      <c r="M417">
        <v>32</v>
      </c>
      <c r="N417">
        <v>8</v>
      </c>
      <c r="O417">
        <v>0.879</v>
      </c>
      <c r="P417">
        <v>8.5305001000000005E-2</v>
      </c>
      <c r="Q417">
        <v>0.159</v>
      </c>
    </row>
    <row r="418" spans="1:17" s="30" customFormat="1" x14ac:dyDescent="0.2">
      <c r="A418" s="30" t="str">
        <f>IF(C418&amp;G418&amp;D418&lt;&gt;'Funnel setup'!$K$3&amp;'Funnel setup'!$K$4&amp;'Funnel setup'!$K$5,".",IF(A417=".",1,A417+1))</f>
        <v>.</v>
      </c>
      <c r="B418" s="431" t="str">
        <f t="shared" si="6"/>
        <v>Groin HerniaCCG of GP PracticeNHS WEST SUFFOLK CCG (07K)EQ-5D Index</v>
      </c>
      <c r="C418" t="s">
        <v>50</v>
      </c>
      <c r="D418" t="s">
        <v>87</v>
      </c>
      <c r="E418" t="s">
        <v>462</v>
      </c>
      <c r="F418" t="s">
        <v>463</v>
      </c>
      <c r="G418" t="s">
        <v>52</v>
      </c>
      <c r="H418">
        <v>130</v>
      </c>
      <c r="I418">
        <v>0.77</v>
      </c>
      <c r="J418">
        <v>0.877</v>
      </c>
      <c r="K418">
        <v>0.107</v>
      </c>
      <c r="L418">
        <v>81</v>
      </c>
      <c r="M418">
        <v>31</v>
      </c>
      <c r="N418">
        <v>18</v>
      </c>
      <c r="O418">
        <v>0.88500000000000001</v>
      </c>
      <c r="P418">
        <v>9.1572501000000001E-2</v>
      </c>
      <c r="Q418">
        <v>0.16</v>
      </c>
    </row>
    <row r="419" spans="1:17" s="30" customFormat="1" x14ac:dyDescent="0.2">
      <c r="A419" s="30" t="str">
        <f>IF(C419&amp;G419&amp;D419&lt;&gt;'Funnel setup'!$K$3&amp;'Funnel setup'!$K$4&amp;'Funnel setup'!$K$5,".",IF(A418=".",1,A418+1))</f>
        <v>.</v>
      </c>
      <c r="B419" s="431" t="str">
        <f t="shared" si="6"/>
        <v>Groin HerniaCCG of GP PracticeNHS WIGAN BOROUGH CCG (02H)EQ-5D Index</v>
      </c>
      <c r="C419" t="s">
        <v>50</v>
      </c>
      <c r="D419" t="s">
        <v>87</v>
      </c>
      <c r="E419" t="s">
        <v>465</v>
      </c>
      <c r="F419" t="s">
        <v>466</v>
      </c>
      <c r="G419" t="s">
        <v>52</v>
      </c>
      <c r="H419">
        <v>157</v>
      </c>
      <c r="I419">
        <v>0.76600000000000001</v>
      </c>
      <c r="J419">
        <v>0.84499999999999997</v>
      </c>
      <c r="K419">
        <v>7.8E-2</v>
      </c>
      <c r="L419">
        <v>82</v>
      </c>
      <c r="M419">
        <v>45</v>
      </c>
      <c r="N419">
        <v>30</v>
      </c>
      <c r="O419">
        <v>0.86299999999999999</v>
      </c>
      <c r="P419">
        <v>6.9602016000000003E-2</v>
      </c>
      <c r="Q419">
        <v>0.16300000000000001</v>
      </c>
    </row>
    <row r="420" spans="1:17" s="30" customFormat="1" x14ac:dyDescent="0.2">
      <c r="A420" s="30" t="str">
        <f>IF(C420&amp;G420&amp;D420&lt;&gt;'Funnel setup'!$K$3&amp;'Funnel setup'!$K$4&amp;'Funnel setup'!$K$5,".",IF(A419=".",1,A419+1))</f>
        <v>.</v>
      </c>
      <c r="B420" s="431" t="str">
        <f t="shared" si="6"/>
        <v>Groin HerniaCCG of GP PracticeNHS WILTSHIRE CCG (99N)EQ-5D Index</v>
      </c>
      <c r="C420" t="s">
        <v>50</v>
      </c>
      <c r="D420" t="s">
        <v>87</v>
      </c>
      <c r="E420" t="s">
        <v>468</v>
      </c>
      <c r="F420" t="s">
        <v>469</v>
      </c>
      <c r="G420" t="s">
        <v>52</v>
      </c>
      <c r="H420">
        <v>257</v>
      </c>
      <c r="I420">
        <v>0.81899999999999995</v>
      </c>
      <c r="J420">
        <v>0.90800000000000003</v>
      </c>
      <c r="K420">
        <v>8.8999999999999996E-2</v>
      </c>
      <c r="L420">
        <v>131</v>
      </c>
      <c r="M420">
        <v>92</v>
      </c>
      <c r="N420">
        <v>34</v>
      </c>
      <c r="O420">
        <v>0.88500000000000001</v>
      </c>
      <c r="P420">
        <v>9.2108457000000005E-2</v>
      </c>
      <c r="Q420">
        <v>0.123</v>
      </c>
    </row>
    <row r="421" spans="1:17" s="30" customFormat="1" x14ac:dyDescent="0.2">
      <c r="A421" s="30" t="str">
        <f>IF(C421&amp;G421&amp;D421&lt;&gt;'Funnel setup'!$K$3&amp;'Funnel setup'!$K$4&amp;'Funnel setup'!$K$5,".",IF(A420=".",1,A420+1))</f>
        <v>.</v>
      </c>
      <c r="B421" s="431" t="str">
        <f t="shared" si="6"/>
        <v>Groin HerniaCCG of GP PracticeNHS WINDSOR, ASCOT AND MAIDENHEAD CCG (11C)EQ-5D Index</v>
      </c>
      <c r="C421" t="s">
        <v>50</v>
      </c>
      <c r="D421" t="s">
        <v>87</v>
      </c>
      <c r="E421" t="s">
        <v>471</v>
      </c>
      <c r="F421" t="s">
        <v>472</v>
      </c>
      <c r="G421" t="s">
        <v>52</v>
      </c>
      <c r="H421">
        <v>29</v>
      </c>
      <c r="I421">
        <v>0.78</v>
      </c>
      <c r="J421">
        <v>0.89100000000000001</v>
      </c>
      <c r="K421">
        <v>0.111</v>
      </c>
      <c r="L421">
        <v>13</v>
      </c>
      <c r="M421">
        <v>12</v>
      </c>
      <c r="N421">
        <v>4</v>
      </c>
      <c r="O421" t="s">
        <v>53</v>
      </c>
      <c r="P421" t="s">
        <v>53</v>
      </c>
      <c r="Q421" t="s">
        <v>53</v>
      </c>
    </row>
    <row r="422" spans="1:17" s="30" customFormat="1" x14ac:dyDescent="0.2">
      <c r="A422" s="30" t="str">
        <f>IF(C422&amp;G422&amp;D422&lt;&gt;'Funnel setup'!$K$3&amp;'Funnel setup'!$K$4&amp;'Funnel setup'!$K$5,".",IF(A421=".",1,A421+1))</f>
        <v>.</v>
      </c>
      <c r="B422" s="431" t="str">
        <f t="shared" si="6"/>
        <v>Groin HerniaCCG of GP PracticeNHS WIRRAL CCG (12F)EQ-5D Index</v>
      </c>
      <c r="C422" t="s">
        <v>50</v>
      </c>
      <c r="D422" t="s">
        <v>87</v>
      </c>
      <c r="E422" t="s">
        <v>474</v>
      </c>
      <c r="F422" t="s">
        <v>475</v>
      </c>
      <c r="G422" t="s">
        <v>52</v>
      </c>
      <c r="H422">
        <v>121</v>
      </c>
      <c r="I422">
        <v>0.77700000000000002</v>
      </c>
      <c r="J422">
        <v>0.81899999999999995</v>
      </c>
      <c r="K422">
        <v>4.2000000000000003E-2</v>
      </c>
      <c r="L422">
        <v>51</v>
      </c>
      <c r="M422">
        <v>43</v>
      </c>
      <c r="N422">
        <v>27</v>
      </c>
      <c r="O422">
        <v>0.84299999999999997</v>
      </c>
      <c r="P422">
        <v>4.9603469999999997E-2</v>
      </c>
      <c r="Q422">
        <v>0.187</v>
      </c>
    </row>
    <row r="423" spans="1:17" s="30" customFormat="1" x14ac:dyDescent="0.2">
      <c r="A423" s="30" t="str">
        <f>IF(C423&amp;G423&amp;D423&lt;&gt;'Funnel setup'!$K$3&amp;'Funnel setup'!$K$4&amp;'Funnel setup'!$K$5,".",IF(A422=".",1,A422+1))</f>
        <v>.</v>
      </c>
      <c r="B423" s="431" t="str">
        <f t="shared" si="6"/>
        <v>Groin HerniaCCG of GP PracticeNHS WOKINGHAM CCG (11D)EQ-5D Index</v>
      </c>
      <c r="C423" t="s">
        <v>50</v>
      </c>
      <c r="D423" t="s">
        <v>87</v>
      </c>
      <c r="E423" t="s">
        <v>477</v>
      </c>
      <c r="F423" t="s">
        <v>478</v>
      </c>
      <c r="G423" t="s">
        <v>52</v>
      </c>
      <c r="H423">
        <v>55</v>
      </c>
      <c r="I423">
        <v>0.85099999999999998</v>
      </c>
      <c r="J423">
        <v>0.89</v>
      </c>
      <c r="K423">
        <v>3.9E-2</v>
      </c>
      <c r="L423">
        <v>22</v>
      </c>
      <c r="M423">
        <v>23</v>
      </c>
      <c r="N423">
        <v>10</v>
      </c>
      <c r="O423">
        <v>0.86199999999999999</v>
      </c>
      <c r="P423">
        <v>6.8308992999999998E-2</v>
      </c>
      <c r="Q423">
        <v>0.11600000000000001</v>
      </c>
    </row>
    <row r="424" spans="1:17" s="30" customFormat="1" x14ac:dyDescent="0.2">
      <c r="A424" s="30" t="str">
        <f>IF(C424&amp;G424&amp;D424&lt;&gt;'Funnel setup'!$K$3&amp;'Funnel setup'!$K$4&amp;'Funnel setup'!$K$5,".",IF(A423=".",1,A423+1))</f>
        <v>.</v>
      </c>
      <c r="B424" s="431" t="str">
        <f t="shared" si="6"/>
        <v>Groin HerniaCCG of GP PracticeNHS WOLVERHAMPTON CCG (06A)EQ-5D Index</v>
      </c>
      <c r="C424" t="s">
        <v>50</v>
      </c>
      <c r="D424" t="s">
        <v>87</v>
      </c>
      <c r="E424" t="s">
        <v>480</v>
      </c>
      <c r="F424" t="s">
        <v>481</v>
      </c>
      <c r="G424" t="s">
        <v>52</v>
      </c>
      <c r="H424">
        <v>107</v>
      </c>
      <c r="I424">
        <v>0.78900000000000003</v>
      </c>
      <c r="J424">
        <v>0.85299999999999998</v>
      </c>
      <c r="K424">
        <v>6.3E-2</v>
      </c>
      <c r="L424">
        <v>52</v>
      </c>
      <c r="M424">
        <v>34</v>
      </c>
      <c r="N424">
        <v>21</v>
      </c>
      <c r="O424">
        <v>0.87</v>
      </c>
      <c r="P424">
        <v>7.6162546999999997E-2</v>
      </c>
      <c r="Q424">
        <v>0.16400000000000001</v>
      </c>
    </row>
    <row r="425" spans="1:17" s="30" customFormat="1" x14ac:dyDescent="0.2">
      <c r="A425" s="30" t="str">
        <f>IF(C425&amp;G425&amp;D425&lt;&gt;'Funnel setup'!$K$3&amp;'Funnel setup'!$K$4&amp;'Funnel setup'!$K$5,".",IF(A424=".",1,A424+1))</f>
        <v>.</v>
      </c>
      <c r="B425" s="431" t="str">
        <f t="shared" si="6"/>
        <v>Groin HerniaCCG of GP PracticeNHS WYRE FOREST CCG (06D)EQ-5D Index</v>
      </c>
      <c r="C425" t="s">
        <v>50</v>
      </c>
      <c r="D425" t="s">
        <v>87</v>
      </c>
      <c r="E425" t="s">
        <v>483</v>
      </c>
      <c r="F425" t="s">
        <v>484</v>
      </c>
      <c r="G425" t="s">
        <v>52</v>
      </c>
      <c r="H425">
        <v>80</v>
      </c>
      <c r="I425">
        <v>0.77400000000000002</v>
      </c>
      <c r="J425">
        <v>0.874</v>
      </c>
      <c r="K425">
        <v>0.1</v>
      </c>
      <c r="L425">
        <v>39</v>
      </c>
      <c r="M425">
        <v>23</v>
      </c>
      <c r="N425">
        <v>18</v>
      </c>
      <c r="O425">
        <v>0.88400000000000001</v>
      </c>
      <c r="P425">
        <v>9.0270784000000007E-2</v>
      </c>
      <c r="Q425">
        <v>0.14299999999999999</v>
      </c>
    </row>
    <row r="426" spans="1:17" s="30" customFormat="1" x14ac:dyDescent="0.2">
      <c r="A426" s="30" t="str">
        <f>IF(C426&amp;G426&amp;D426&lt;&gt;'Funnel setup'!$K$3&amp;'Funnel setup'!$K$4&amp;'Funnel setup'!$K$5,".",IF(A425=".",1,A425+1))</f>
        <v>.</v>
      </c>
      <c r="B426" s="431" t="str">
        <f t="shared" si="6"/>
        <v>Groin HerniaCCG of GP PracticeSOUTH CENTRAL COMMISSIONING HUB (14H)EQ-5D Index</v>
      </c>
      <c r="C426" t="s">
        <v>50</v>
      </c>
      <c r="D426" t="s">
        <v>87</v>
      </c>
      <c r="E426" t="s">
        <v>6547</v>
      </c>
      <c r="F426" t="s">
        <v>6544</v>
      </c>
      <c r="G426" t="s">
        <v>52</v>
      </c>
      <c r="H426" t="s">
        <v>53</v>
      </c>
      <c r="I426" t="s">
        <v>53</v>
      </c>
      <c r="J426" t="s">
        <v>53</v>
      </c>
      <c r="K426" t="s">
        <v>53</v>
      </c>
      <c r="L426" t="s">
        <v>53</v>
      </c>
      <c r="M426" t="s">
        <v>53</v>
      </c>
      <c r="N426" t="s">
        <v>53</v>
      </c>
      <c r="O426" t="s">
        <v>53</v>
      </c>
      <c r="P426" t="s">
        <v>53</v>
      </c>
      <c r="Q426" t="s">
        <v>53</v>
      </c>
    </row>
    <row r="427" spans="1:17" s="30" customFormat="1" x14ac:dyDescent="0.2">
      <c r="A427" s="30" t="str">
        <f>IF(C427&amp;G427&amp;D427&lt;&gt;'Funnel setup'!$K$3&amp;'Funnel setup'!$K$4&amp;'Funnel setup'!$K$5,".",IF(A426=".",1,A426+1))</f>
        <v>.</v>
      </c>
      <c r="B427" s="431" t="str">
        <f t="shared" si="6"/>
        <v>Groin HerniaCCG of GP PracticeSOUTH EAST COMMISSIONING HUB (14G)EQ-5D Index</v>
      </c>
      <c r="C427" t="s">
        <v>50</v>
      </c>
      <c r="D427" t="s">
        <v>87</v>
      </c>
      <c r="E427" t="s">
        <v>6549</v>
      </c>
      <c r="F427" t="s">
        <v>6545</v>
      </c>
      <c r="G427" t="s">
        <v>52</v>
      </c>
      <c r="H427" t="s">
        <v>53</v>
      </c>
      <c r="I427" t="s">
        <v>53</v>
      </c>
      <c r="J427" t="s">
        <v>53</v>
      </c>
      <c r="K427" t="s">
        <v>53</v>
      </c>
      <c r="L427" t="s">
        <v>53</v>
      </c>
      <c r="M427" t="s">
        <v>53</v>
      </c>
      <c r="N427" t="s">
        <v>53</v>
      </c>
      <c r="O427" t="s">
        <v>53</v>
      </c>
      <c r="P427" t="s">
        <v>53</v>
      </c>
      <c r="Q427" t="s">
        <v>53</v>
      </c>
    </row>
    <row r="428" spans="1:17" s="30" customFormat="1" x14ac:dyDescent="0.2">
      <c r="A428" s="30" t="str">
        <f>IF(C428&amp;G428&amp;D428&lt;&gt;'Funnel setup'!$K$3&amp;'Funnel setup'!$K$4&amp;'Funnel setup'!$K$5,".",IF(A427=".",1,A427+1))</f>
        <v>.</v>
      </c>
      <c r="B428" s="431" t="str">
        <f t="shared" si="6"/>
        <v>Groin HerniaEnglandEnglandEQ VAS</v>
      </c>
      <c r="C428" t="s">
        <v>50</v>
      </c>
      <c r="D428" t="s">
        <v>163</v>
      </c>
      <c r="E428" t="s">
        <v>163</v>
      </c>
      <c r="F428" t="s">
        <v>163</v>
      </c>
      <c r="G428" t="s">
        <v>179</v>
      </c>
      <c r="H428">
        <v>20817</v>
      </c>
      <c r="I428">
        <v>80.644999999999996</v>
      </c>
      <c r="J428">
        <v>80.147000000000006</v>
      </c>
      <c r="K428">
        <v>-0.498</v>
      </c>
      <c r="L428">
        <v>7934</v>
      </c>
      <c r="M428">
        <v>4222</v>
      </c>
      <c r="N428">
        <v>8661</v>
      </c>
      <c r="O428">
        <v>80.147000000000006</v>
      </c>
      <c r="P428">
        <v>-0.498198588</v>
      </c>
      <c r="Q428">
        <v>12.366</v>
      </c>
    </row>
    <row r="429" spans="1:17" s="30" customFormat="1" x14ac:dyDescent="0.2">
      <c r="A429" s="30" t="str">
        <f>IF(C429&amp;G429&amp;D429&lt;&gt;'Funnel setup'!$K$3&amp;'Funnel setup'!$K$4&amp;'Funnel setup'!$K$5,".",IF(A428=".",1,A428+1))</f>
        <v>.</v>
      </c>
      <c r="B429" s="431" t="str">
        <f t="shared" si="6"/>
        <v>Groin HerniaEnglandEnglandEQ-5D Index</v>
      </c>
      <c r="C429" t="s">
        <v>50</v>
      </c>
      <c r="D429" t="s">
        <v>163</v>
      </c>
      <c r="E429" t="s">
        <v>163</v>
      </c>
      <c r="F429" t="s">
        <v>163</v>
      </c>
      <c r="G429" t="s">
        <v>52</v>
      </c>
      <c r="H429">
        <v>20191</v>
      </c>
      <c r="I429">
        <v>0.79300000000000004</v>
      </c>
      <c r="J429">
        <v>0.877</v>
      </c>
      <c r="K429">
        <v>8.4000000000000005E-2</v>
      </c>
      <c r="L429">
        <v>10248</v>
      </c>
      <c r="M429">
        <v>6475</v>
      </c>
      <c r="N429">
        <v>3468</v>
      </c>
      <c r="O429">
        <v>0.877</v>
      </c>
      <c r="P429">
        <v>8.3654400000000004E-2</v>
      </c>
      <c r="Q429">
        <v>0.159</v>
      </c>
    </row>
    <row r="430" spans="1:17" s="30" customFormat="1" x14ac:dyDescent="0.2">
      <c r="A430" s="30" t="str">
        <f>IF(C430&amp;G430&amp;D430&lt;&gt;'Funnel setup'!$K$3&amp;'Funnel setup'!$K$4&amp;'Funnel setup'!$K$5,".",IF(A429=".",1,A429+1))</f>
        <v>.</v>
      </c>
      <c r="B430" s="431" t="str">
        <f t="shared" si="6"/>
        <v>Groin HerniaProviderAINTREE UNIVERSITY HOSPITAL NHS FOUNDATION TRUST (REM)EQ VAS</v>
      </c>
      <c r="C430" t="s">
        <v>50</v>
      </c>
      <c r="D430" t="s">
        <v>1</v>
      </c>
      <c r="E430" t="s">
        <v>3838</v>
      </c>
      <c r="F430" t="s">
        <v>3839</v>
      </c>
      <c r="G430" t="s">
        <v>179</v>
      </c>
      <c r="H430">
        <v>94</v>
      </c>
      <c r="I430">
        <v>75.319000000000003</v>
      </c>
      <c r="J430">
        <v>77.563999999999993</v>
      </c>
      <c r="K430">
        <v>2.2450000000000001</v>
      </c>
      <c r="L430">
        <v>38</v>
      </c>
      <c r="M430">
        <v>16</v>
      </c>
      <c r="N430">
        <v>40</v>
      </c>
      <c r="O430">
        <v>80.825000000000003</v>
      </c>
      <c r="P430">
        <v>0.17980769199999999</v>
      </c>
      <c r="Q430">
        <v>12.798999999999999</v>
      </c>
    </row>
    <row r="431" spans="1:17" s="30" customFormat="1" x14ac:dyDescent="0.2">
      <c r="A431" s="30" t="str">
        <f>IF(C431&amp;G431&amp;D431&lt;&gt;'Funnel setup'!$K$3&amp;'Funnel setup'!$K$4&amp;'Funnel setup'!$K$5,".",IF(A430=".",1,A430+1))</f>
        <v>.</v>
      </c>
      <c r="B431" s="431" t="str">
        <f t="shared" si="6"/>
        <v>Groin HerniaProviderAIREDALE NHS FOUNDATION TRUST (RCF)EQ VAS</v>
      </c>
      <c r="C431" t="s">
        <v>50</v>
      </c>
      <c r="D431" t="s">
        <v>1</v>
      </c>
      <c r="E431" t="s">
        <v>3841</v>
      </c>
      <c r="F431" t="s">
        <v>3842</v>
      </c>
      <c r="G431" t="s">
        <v>179</v>
      </c>
      <c r="H431">
        <v>114</v>
      </c>
      <c r="I431">
        <v>77.86</v>
      </c>
      <c r="J431">
        <v>78.192999999999998</v>
      </c>
      <c r="K431">
        <v>0.33300000000000002</v>
      </c>
      <c r="L431">
        <v>45</v>
      </c>
      <c r="M431">
        <v>29</v>
      </c>
      <c r="N431">
        <v>40</v>
      </c>
      <c r="O431">
        <v>80.263999999999996</v>
      </c>
      <c r="P431">
        <v>-0.38141656499999999</v>
      </c>
      <c r="Q431">
        <v>11.744</v>
      </c>
    </row>
    <row r="432" spans="1:17" s="30" customFormat="1" x14ac:dyDescent="0.2">
      <c r="A432" s="30" t="str">
        <f>IF(C432&amp;G432&amp;D432&lt;&gt;'Funnel setup'!$K$3&amp;'Funnel setup'!$K$4&amp;'Funnel setup'!$K$5,".",IF(A431=".",1,A431+1))</f>
        <v>.</v>
      </c>
      <c r="B432" s="431" t="str">
        <f t="shared" si="6"/>
        <v>Groin HerniaProviderASHFORD AND ST PETER'S HOSPITALS NHS FOUNDATION TRUST (RTK)EQ VAS</v>
      </c>
      <c r="C432" t="s">
        <v>50</v>
      </c>
      <c r="D432" t="s">
        <v>1</v>
      </c>
      <c r="E432" t="s">
        <v>3844</v>
      </c>
      <c r="F432" t="s">
        <v>345</v>
      </c>
      <c r="G432" t="s">
        <v>179</v>
      </c>
      <c r="H432">
        <v>54</v>
      </c>
      <c r="I432">
        <v>83.87</v>
      </c>
      <c r="J432">
        <v>80.426000000000002</v>
      </c>
      <c r="K432">
        <v>-3.444</v>
      </c>
      <c r="L432">
        <v>16</v>
      </c>
      <c r="M432">
        <v>17</v>
      </c>
      <c r="N432">
        <v>21</v>
      </c>
      <c r="O432">
        <v>77.923000000000002</v>
      </c>
      <c r="P432">
        <v>-2.7225849740000001</v>
      </c>
      <c r="Q432">
        <v>15.162000000000001</v>
      </c>
    </row>
    <row r="433" spans="1:17" s="30" customFormat="1" x14ac:dyDescent="0.2">
      <c r="A433" s="30" t="str">
        <f>IF(C433&amp;G433&amp;D433&lt;&gt;'Funnel setup'!$K$3&amp;'Funnel setup'!$K$4&amp;'Funnel setup'!$K$5,".",IF(A432=".",1,A432+1))</f>
        <v>.</v>
      </c>
      <c r="B433" s="431" t="str">
        <f t="shared" si="6"/>
        <v>Groin HerniaProviderASHTEAD HOSPITAL (NVC01)EQ VAS</v>
      </c>
      <c r="C433" t="s">
        <v>50</v>
      </c>
      <c r="D433" t="s">
        <v>1</v>
      </c>
      <c r="E433" t="s">
        <v>3846</v>
      </c>
      <c r="F433" t="s">
        <v>3847</v>
      </c>
      <c r="G433" t="s">
        <v>179</v>
      </c>
      <c r="H433">
        <v>49</v>
      </c>
      <c r="I433">
        <v>80.489999999999995</v>
      </c>
      <c r="J433">
        <v>79.203999999999994</v>
      </c>
      <c r="K433">
        <v>-1.286</v>
      </c>
      <c r="L433">
        <v>18</v>
      </c>
      <c r="M433">
        <v>11</v>
      </c>
      <c r="N433">
        <v>20</v>
      </c>
      <c r="O433">
        <v>78.558999999999997</v>
      </c>
      <c r="P433">
        <v>-2.0864034500000002</v>
      </c>
      <c r="Q433">
        <v>12.754</v>
      </c>
    </row>
    <row r="434" spans="1:17" s="30" customFormat="1" x14ac:dyDescent="0.2">
      <c r="A434" s="30" t="str">
        <f>IF(C434&amp;G434&amp;D434&lt;&gt;'Funnel setup'!$K$3&amp;'Funnel setup'!$K$4&amp;'Funnel setup'!$K$5,".",IF(A433=".",1,A433+1))</f>
        <v>.</v>
      </c>
      <c r="B434" s="431" t="str">
        <f t="shared" si="6"/>
        <v>Groin HerniaProviderASPEN - CLAREMONT HOSPITAL (NYW04)EQ VAS</v>
      </c>
      <c r="C434" t="s">
        <v>50</v>
      </c>
      <c r="D434" t="s">
        <v>1</v>
      </c>
      <c r="E434" t="s">
        <v>3500</v>
      </c>
      <c r="F434" t="s">
        <v>3501</v>
      </c>
      <c r="G434" t="s">
        <v>179</v>
      </c>
      <c r="H434" t="s">
        <v>53</v>
      </c>
      <c r="I434" t="s">
        <v>53</v>
      </c>
      <c r="J434" t="s">
        <v>53</v>
      </c>
      <c r="K434" t="s">
        <v>53</v>
      </c>
      <c r="L434" t="s">
        <v>53</v>
      </c>
      <c r="M434" t="s">
        <v>53</v>
      </c>
      <c r="N434" t="s">
        <v>53</v>
      </c>
      <c r="O434" t="s">
        <v>53</v>
      </c>
      <c r="P434" t="s">
        <v>53</v>
      </c>
      <c r="Q434" t="s">
        <v>53</v>
      </c>
    </row>
    <row r="435" spans="1:17" s="30" customFormat="1" x14ac:dyDescent="0.2">
      <c r="A435" s="30" t="str">
        <f>IF(C435&amp;G435&amp;D435&lt;&gt;'Funnel setup'!$K$3&amp;'Funnel setup'!$K$4&amp;'Funnel setup'!$K$5,".",IF(A434=".",1,A434+1))</f>
        <v>.</v>
      </c>
      <c r="B435" s="431" t="str">
        <f t="shared" si="6"/>
        <v>Groin HerniaProviderASPEN - HIGHGATE HOSPITAL (NYW03)EQ VAS</v>
      </c>
      <c r="C435" t="s">
        <v>50</v>
      </c>
      <c r="D435" t="s">
        <v>1</v>
      </c>
      <c r="E435" t="s">
        <v>3503</v>
      </c>
      <c r="F435" t="s">
        <v>3504</v>
      </c>
      <c r="G435" t="s">
        <v>179</v>
      </c>
      <c r="H435" t="s">
        <v>53</v>
      </c>
      <c r="I435" t="s">
        <v>53</v>
      </c>
      <c r="J435" t="s">
        <v>53</v>
      </c>
      <c r="K435" t="s">
        <v>53</v>
      </c>
      <c r="L435" t="s">
        <v>53</v>
      </c>
      <c r="M435" t="s">
        <v>53</v>
      </c>
      <c r="N435" t="s">
        <v>53</v>
      </c>
      <c r="O435" t="s">
        <v>53</v>
      </c>
      <c r="P435" t="s">
        <v>53</v>
      </c>
      <c r="Q435" t="s">
        <v>53</v>
      </c>
    </row>
    <row r="436" spans="1:17" s="30" customFormat="1" x14ac:dyDescent="0.2">
      <c r="A436" s="30" t="str">
        <f>IF(C436&amp;G436&amp;D436&lt;&gt;'Funnel setup'!$K$3&amp;'Funnel setup'!$K$4&amp;'Funnel setup'!$K$5,".",IF(A435=".",1,A435+1))</f>
        <v>.</v>
      </c>
      <c r="B436" s="431" t="str">
        <f t="shared" si="6"/>
        <v>Groin HerniaProviderASPEN - HOLLY HOUSE HOSPITAL (NYW01)EQ VAS</v>
      </c>
      <c r="C436" t="s">
        <v>50</v>
      </c>
      <c r="D436" t="s">
        <v>1</v>
      </c>
      <c r="E436" t="s">
        <v>3506</v>
      </c>
      <c r="F436" t="s">
        <v>3507</v>
      </c>
      <c r="G436" t="s">
        <v>179</v>
      </c>
      <c r="H436" t="s">
        <v>53</v>
      </c>
      <c r="I436" t="s">
        <v>53</v>
      </c>
      <c r="J436" t="s">
        <v>53</v>
      </c>
      <c r="K436" t="s">
        <v>53</v>
      </c>
      <c r="L436" t="s">
        <v>53</v>
      </c>
      <c r="M436" t="s">
        <v>53</v>
      </c>
      <c r="N436" t="s">
        <v>53</v>
      </c>
      <c r="O436" t="s">
        <v>53</v>
      </c>
      <c r="P436" t="s">
        <v>53</v>
      </c>
      <c r="Q436" t="s">
        <v>53</v>
      </c>
    </row>
    <row r="437" spans="1:17" s="30" customFormat="1" x14ac:dyDescent="0.2">
      <c r="A437" s="30" t="str">
        <f>IF(C437&amp;G437&amp;D437&lt;&gt;'Funnel setup'!$K$3&amp;'Funnel setup'!$K$4&amp;'Funnel setup'!$K$5,".",IF(A436=".",1,A436+1))</f>
        <v>.</v>
      </c>
      <c r="B437" s="431" t="str">
        <f t="shared" si="6"/>
        <v>Groin HerniaProviderBARKING, HAVERING AND REDBRIDGE UNIVERSITY HOSPITALS NHS TRUST (RF4)EQ VAS</v>
      </c>
      <c r="C437" t="s">
        <v>50</v>
      </c>
      <c r="D437" t="s">
        <v>1</v>
      </c>
      <c r="E437" t="s">
        <v>3509</v>
      </c>
      <c r="F437" t="s">
        <v>3510</v>
      </c>
      <c r="G437" t="s">
        <v>179</v>
      </c>
      <c r="H437">
        <v>44</v>
      </c>
      <c r="I437">
        <v>80.545000000000002</v>
      </c>
      <c r="J437">
        <v>78.635999999999996</v>
      </c>
      <c r="K437">
        <v>-1.909</v>
      </c>
      <c r="L437">
        <v>19</v>
      </c>
      <c r="M437">
        <v>5</v>
      </c>
      <c r="N437">
        <v>20</v>
      </c>
      <c r="O437">
        <v>80.266999999999996</v>
      </c>
      <c r="P437">
        <v>-0.37827135499999998</v>
      </c>
      <c r="Q437">
        <v>13.784000000000001</v>
      </c>
    </row>
    <row r="438" spans="1:17" s="30" customFormat="1" x14ac:dyDescent="0.2">
      <c r="A438" s="30" t="str">
        <f>IF(C438&amp;G438&amp;D438&lt;&gt;'Funnel setup'!$K$3&amp;'Funnel setup'!$K$4&amp;'Funnel setup'!$K$5,".",IF(A437=".",1,A437+1))</f>
        <v>.</v>
      </c>
      <c r="B438" s="431" t="str">
        <f t="shared" si="6"/>
        <v>Groin HerniaProviderBARNSLEY HOSPITAL NHS FOUNDATION TRUST (RFF)EQ VAS</v>
      </c>
      <c r="C438" t="s">
        <v>50</v>
      </c>
      <c r="D438" t="s">
        <v>1</v>
      </c>
      <c r="E438" t="s">
        <v>3549</v>
      </c>
      <c r="F438" t="s">
        <v>3550</v>
      </c>
      <c r="G438" t="s">
        <v>179</v>
      </c>
      <c r="H438">
        <v>98</v>
      </c>
      <c r="I438">
        <v>82.724000000000004</v>
      </c>
      <c r="J438">
        <v>79.224000000000004</v>
      </c>
      <c r="K438">
        <v>-3.5</v>
      </c>
      <c r="L438">
        <v>26</v>
      </c>
      <c r="M438">
        <v>22</v>
      </c>
      <c r="N438">
        <v>50</v>
      </c>
      <c r="O438">
        <v>78.150999999999996</v>
      </c>
      <c r="P438">
        <v>-2.4948397720000002</v>
      </c>
      <c r="Q438">
        <v>14.955</v>
      </c>
    </row>
    <row r="439" spans="1:17" s="30" customFormat="1" x14ac:dyDescent="0.2">
      <c r="A439" s="30" t="str">
        <f>IF(C439&amp;G439&amp;D439&lt;&gt;'Funnel setup'!$K$3&amp;'Funnel setup'!$K$4&amp;'Funnel setup'!$K$5,".",IF(A438=".",1,A438+1))</f>
        <v>.</v>
      </c>
      <c r="B439" s="431" t="str">
        <f t="shared" si="6"/>
        <v>Groin HerniaProviderBARTS HEALTH NHS TRUST (R1H)EQ VAS</v>
      </c>
      <c r="C439" t="s">
        <v>50</v>
      </c>
      <c r="D439" t="s">
        <v>1</v>
      </c>
      <c r="E439" t="s">
        <v>3552</v>
      </c>
      <c r="F439" t="s">
        <v>3553</v>
      </c>
      <c r="G439" t="s">
        <v>179</v>
      </c>
      <c r="H439">
        <v>61</v>
      </c>
      <c r="I439">
        <v>80.721000000000004</v>
      </c>
      <c r="J439">
        <v>73.459000000000003</v>
      </c>
      <c r="K439">
        <v>-7.2619999999999996</v>
      </c>
      <c r="L439">
        <v>15</v>
      </c>
      <c r="M439">
        <v>13</v>
      </c>
      <c r="N439">
        <v>33</v>
      </c>
      <c r="O439">
        <v>75.947000000000003</v>
      </c>
      <c r="P439">
        <v>-4.6982703490000004</v>
      </c>
      <c r="Q439">
        <v>17.347000000000001</v>
      </c>
    </row>
    <row r="440" spans="1:17" s="30" customFormat="1" x14ac:dyDescent="0.2">
      <c r="A440" s="30" t="str">
        <f>IF(C440&amp;G440&amp;D440&lt;&gt;'Funnel setup'!$K$3&amp;'Funnel setup'!$K$4&amp;'Funnel setup'!$K$5,".",IF(A439=".",1,A439+1))</f>
        <v>.</v>
      </c>
      <c r="B440" s="431" t="str">
        <f t="shared" si="6"/>
        <v>Groin HerniaProviderBASILDON AND THURROCK UNIVERSITY HOSPITALS NHS FOUNDATION TRUST (RDD)EQ VAS</v>
      </c>
      <c r="C440" t="s">
        <v>50</v>
      </c>
      <c r="D440" t="s">
        <v>1</v>
      </c>
      <c r="E440" t="s">
        <v>3555</v>
      </c>
      <c r="F440" t="s">
        <v>3556</v>
      </c>
      <c r="G440" t="s">
        <v>179</v>
      </c>
      <c r="H440">
        <v>76</v>
      </c>
      <c r="I440">
        <v>77.25</v>
      </c>
      <c r="J440">
        <v>77.644999999999996</v>
      </c>
      <c r="K440">
        <v>0.39500000000000002</v>
      </c>
      <c r="L440">
        <v>32</v>
      </c>
      <c r="M440">
        <v>12</v>
      </c>
      <c r="N440">
        <v>32</v>
      </c>
      <c r="O440">
        <v>79.741</v>
      </c>
      <c r="P440">
        <v>-0.90424395800000001</v>
      </c>
      <c r="Q440">
        <v>15.819000000000001</v>
      </c>
    </row>
    <row r="441" spans="1:17" s="30" customFormat="1" x14ac:dyDescent="0.2">
      <c r="A441" s="30" t="str">
        <f>IF(C441&amp;G441&amp;D441&lt;&gt;'Funnel setup'!$K$3&amp;'Funnel setup'!$K$4&amp;'Funnel setup'!$K$5,".",IF(A440=".",1,A440+1))</f>
        <v>.</v>
      </c>
      <c r="B441" s="431" t="str">
        <f t="shared" si="6"/>
        <v>Groin HerniaProviderBEDFORD HOSPITAL NHS TRUST (RC1)EQ VAS</v>
      </c>
      <c r="C441" t="s">
        <v>50</v>
      </c>
      <c r="D441" t="s">
        <v>1</v>
      </c>
      <c r="E441" t="s">
        <v>3558</v>
      </c>
      <c r="F441" t="s">
        <v>3559</v>
      </c>
      <c r="G441" t="s">
        <v>179</v>
      </c>
      <c r="H441">
        <v>75</v>
      </c>
      <c r="I441">
        <v>81.052999999999997</v>
      </c>
      <c r="J441">
        <v>81.933000000000007</v>
      </c>
      <c r="K441">
        <v>0.88</v>
      </c>
      <c r="L441">
        <v>31</v>
      </c>
      <c r="M441">
        <v>18</v>
      </c>
      <c r="N441">
        <v>26</v>
      </c>
      <c r="O441">
        <v>81.760000000000005</v>
      </c>
      <c r="P441">
        <v>1.11453392</v>
      </c>
      <c r="Q441">
        <v>11.891</v>
      </c>
    </row>
    <row r="442" spans="1:17" s="30" customFormat="1" x14ac:dyDescent="0.2">
      <c r="A442" s="30" t="str">
        <f>IF(C442&amp;G442&amp;D442&lt;&gt;'Funnel setup'!$K$3&amp;'Funnel setup'!$K$4&amp;'Funnel setup'!$K$5,".",IF(A441=".",1,A441+1))</f>
        <v>.</v>
      </c>
      <c r="B442" s="431" t="str">
        <f t="shared" si="6"/>
        <v>Groin HerniaProviderBLACKPOOL TEACHING HOSPITALS NHS FOUNDATION TRUST (RXL)EQ VAS</v>
      </c>
      <c r="C442" t="s">
        <v>50</v>
      </c>
      <c r="D442" t="s">
        <v>1</v>
      </c>
      <c r="E442" t="s">
        <v>3561</v>
      </c>
      <c r="F442" t="s">
        <v>3562</v>
      </c>
      <c r="G442" t="s">
        <v>179</v>
      </c>
      <c r="H442">
        <v>39</v>
      </c>
      <c r="I442">
        <v>77.051000000000002</v>
      </c>
      <c r="J442">
        <v>74.744</v>
      </c>
      <c r="K442">
        <v>-2.3079999999999998</v>
      </c>
      <c r="L442">
        <v>13</v>
      </c>
      <c r="M442">
        <v>9</v>
      </c>
      <c r="N442">
        <v>17</v>
      </c>
      <c r="O442">
        <v>77.298000000000002</v>
      </c>
      <c r="P442">
        <v>-3.3470061539999998</v>
      </c>
      <c r="Q442">
        <v>16.256</v>
      </c>
    </row>
    <row r="443" spans="1:17" s="30" customFormat="1" x14ac:dyDescent="0.2">
      <c r="A443" s="30" t="str">
        <f>IF(C443&amp;G443&amp;D443&lt;&gt;'Funnel setup'!$K$3&amp;'Funnel setup'!$K$4&amp;'Funnel setup'!$K$5,".",IF(A442=".",1,A442+1))</f>
        <v>.</v>
      </c>
      <c r="B443" s="431" t="str">
        <f t="shared" si="6"/>
        <v>Groin HerniaProviderBLAKELANDS HOSPITAL (NVC31)EQ VAS</v>
      </c>
      <c r="C443" t="s">
        <v>50</v>
      </c>
      <c r="D443" t="s">
        <v>1</v>
      </c>
      <c r="E443" t="s">
        <v>3564</v>
      </c>
      <c r="F443" t="s">
        <v>3565</v>
      </c>
      <c r="G443" t="s">
        <v>179</v>
      </c>
      <c r="H443">
        <v>28</v>
      </c>
      <c r="I443">
        <v>80.143000000000001</v>
      </c>
      <c r="J443">
        <v>79.286000000000001</v>
      </c>
      <c r="K443">
        <v>-0.85699999999999998</v>
      </c>
      <c r="L443">
        <v>9</v>
      </c>
      <c r="M443">
        <v>6</v>
      </c>
      <c r="N443">
        <v>13</v>
      </c>
      <c r="O443" t="s">
        <v>53</v>
      </c>
      <c r="P443" t="s">
        <v>53</v>
      </c>
      <c r="Q443" t="s">
        <v>53</v>
      </c>
    </row>
    <row r="444" spans="1:17" s="30" customFormat="1" x14ac:dyDescent="0.2">
      <c r="A444" s="30" t="str">
        <f>IF(C444&amp;G444&amp;D444&lt;&gt;'Funnel setup'!$K$3&amp;'Funnel setup'!$K$4&amp;'Funnel setup'!$K$5,".",IF(A443=".",1,A443+1))</f>
        <v>.</v>
      </c>
      <c r="B444" s="431" t="str">
        <f t="shared" si="6"/>
        <v>Groin HerniaProviderBMI - BATH CLINIC (NT402)EQ VAS</v>
      </c>
      <c r="C444" t="s">
        <v>50</v>
      </c>
      <c r="D444" t="s">
        <v>1</v>
      </c>
      <c r="E444" t="s">
        <v>3488</v>
      </c>
      <c r="F444" t="s">
        <v>3489</v>
      </c>
      <c r="G444" t="s">
        <v>179</v>
      </c>
      <c r="H444">
        <v>8</v>
      </c>
      <c r="I444">
        <v>74.375</v>
      </c>
      <c r="J444">
        <v>80.5</v>
      </c>
      <c r="K444">
        <v>6.125</v>
      </c>
      <c r="L444">
        <v>4</v>
      </c>
      <c r="M444">
        <v>1</v>
      </c>
      <c r="N444">
        <v>3</v>
      </c>
      <c r="O444" t="s">
        <v>53</v>
      </c>
      <c r="P444" t="s">
        <v>53</v>
      </c>
      <c r="Q444" t="s">
        <v>53</v>
      </c>
    </row>
    <row r="445" spans="1:17" s="30" customFormat="1" x14ac:dyDescent="0.2">
      <c r="A445" s="30" t="str">
        <f>IF(C445&amp;G445&amp;D445&lt;&gt;'Funnel setup'!$K$3&amp;'Funnel setup'!$K$4&amp;'Funnel setup'!$K$5,".",IF(A444=".",1,A444+1))</f>
        <v>.</v>
      </c>
      <c r="B445" s="431" t="str">
        <f t="shared" si="6"/>
        <v>Groin HerniaProviderBMI - BISHOPS WOOD (NT405)EQ VAS</v>
      </c>
      <c r="C445" t="s">
        <v>50</v>
      </c>
      <c r="D445" t="s">
        <v>1</v>
      </c>
      <c r="E445" t="s">
        <v>3491</v>
      </c>
      <c r="F445" t="s">
        <v>3492</v>
      </c>
      <c r="G445" t="s">
        <v>179</v>
      </c>
      <c r="H445">
        <v>15</v>
      </c>
      <c r="I445">
        <v>78</v>
      </c>
      <c r="J445">
        <v>78</v>
      </c>
      <c r="K445">
        <v>0</v>
      </c>
      <c r="L445">
        <v>7</v>
      </c>
      <c r="M445">
        <v>4</v>
      </c>
      <c r="N445">
        <v>4</v>
      </c>
      <c r="O445" t="s">
        <v>53</v>
      </c>
      <c r="P445" t="s">
        <v>53</v>
      </c>
      <c r="Q445" t="s">
        <v>53</v>
      </c>
    </row>
    <row r="446" spans="1:17" s="30" customFormat="1" x14ac:dyDescent="0.2">
      <c r="A446" s="30" t="str">
        <f>IF(C446&amp;G446&amp;D446&lt;&gt;'Funnel setup'!$K$3&amp;'Funnel setup'!$K$4&amp;'Funnel setup'!$K$5,".",IF(A445=".",1,A445+1))</f>
        <v>.</v>
      </c>
      <c r="B446" s="431" t="str">
        <f t="shared" si="6"/>
        <v>Groin HerniaProviderBMI - CHELSFIELD PARK HOSPITAL (NT409)EQ VAS</v>
      </c>
      <c r="C446" t="s">
        <v>50</v>
      </c>
      <c r="D446" t="s">
        <v>1</v>
      </c>
      <c r="E446" t="s">
        <v>3494</v>
      </c>
      <c r="F446" t="s">
        <v>3495</v>
      </c>
      <c r="G446" t="s">
        <v>179</v>
      </c>
      <c r="H446" t="s">
        <v>53</v>
      </c>
      <c r="I446" t="s">
        <v>53</v>
      </c>
      <c r="J446" t="s">
        <v>53</v>
      </c>
      <c r="K446" t="s">
        <v>53</v>
      </c>
      <c r="L446" t="s">
        <v>53</v>
      </c>
      <c r="M446" t="s">
        <v>53</v>
      </c>
      <c r="N446" t="s">
        <v>53</v>
      </c>
      <c r="O446" t="s">
        <v>53</v>
      </c>
      <c r="P446" t="s">
        <v>53</v>
      </c>
      <c r="Q446" t="s">
        <v>53</v>
      </c>
    </row>
    <row r="447" spans="1:17" s="30" customFormat="1" x14ac:dyDescent="0.2">
      <c r="A447" s="30" t="str">
        <f>IF(C447&amp;G447&amp;D447&lt;&gt;'Funnel setup'!$K$3&amp;'Funnel setup'!$K$4&amp;'Funnel setup'!$K$5,".",IF(A446=".",1,A446+1))</f>
        <v>.</v>
      </c>
      <c r="B447" s="431" t="str">
        <f t="shared" si="6"/>
        <v>Groin HerniaProviderBMI - FAWKHAM MANOR HOSPITAL (NT414)EQ VAS</v>
      </c>
      <c r="C447" t="s">
        <v>50</v>
      </c>
      <c r="D447" t="s">
        <v>1</v>
      </c>
      <c r="E447" t="s">
        <v>3497</v>
      </c>
      <c r="F447" t="s">
        <v>3498</v>
      </c>
      <c r="G447" t="s">
        <v>179</v>
      </c>
      <c r="H447">
        <v>20</v>
      </c>
      <c r="I447">
        <v>86.1</v>
      </c>
      <c r="J447">
        <v>84.25</v>
      </c>
      <c r="K447">
        <v>-1.85</v>
      </c>
      <c r="L447">
        <v>5</v>
      </c>
      <c r="M447">
        <v>6</v>
      </c>
      <c r="N447">
        <v>9</v>
      </c>
      <c r="O447" t="s">
        <v>53</v>
      </c>
      <c r="P447" t="s">
        <v>53</v>
      </c>
      <c r="Q447" t="s">
        <v>53</v>
      </c>
    </row>
    <row r="448" spans="1:17" s="30" customFormat="1" x14ac:dyDescent="0.2">
      <c r="A448" s="30" t="str">
        <f>IF(C448&amp;G448&amp;D448&lt;&gt;'Funnel setup'!$K$3&amp;'Funnel setup'!$K$4&amp;'Funnel setup'!$K$5,".",IF(A447=".",1,A447+1))</f>
        <v>.</v>
      </c>
      <c r="B448" s="431" t="str">
        <f t="shared" si="6"/>
        <v>Groin HerniaProviderBMI - GORING HALL HOSPITAL (NT417)EQ VAS</v>
      </c>
      <c r="C448" t="s">
        <v>50</v>
      </c>
      <c r="D448" t="s">
        <v>1</v>
      </c>
      <c r="E448" t="s">
        <v>3403</v>
      </c>
      <c r="F448" t="s">
        <v>3404</v>
      </c>
      <c r="G448" t="s">
        <v>179</v>
      </c>
      <c r="H448">
        <v>28</v>
      </c>
      <c r="I448">
        <v>81.356999999999999</v>
      </c>
      <c r="J448">
        <v>80.320999999999998</v>
      </c>
      <c r="K448">
        <v>-1.036</v>
      </c>
      <c r="L448">
        <v>11</v>
      </c>
      <c r="M448">
        <v>3</v>
      </c>
      <c r="N448">
        <v>14</v>
      </c>
      <c r="O448" t="s">
        <v>53</v>
      </c>
      <c r="P448" t="s">
        <v>53</v>
      </c>
      <c r="Q448" t="s">
        <v>53</v>
      </c>
    </row>
    <row r="449" spans="1:17" s="30" customFormat="1" x14ac:dyDescent="0.2">
      <c r="A449" s="30" t="str">
        <f>IF(C449&amp;G449&amp;D449&lt;&gt;'Funnel setup'!$K$3&amp;'Funnel setup'!$K$4&amp;'Funnel setup'!$K$5,".",IF(A448=".",1,A448+1))</f>
        <v>.</v>
      </c>
      <c r="B449" s="431" t="str">
        <f t="shared" si="6"/>
        <v>Groin HerniaProviderBMI - SARUM ROAD HOSPITAL (NT433)EQ VAS</v>
      </c>
      <c r="C449" t="s">
        <v>50</v>
      </c>
      <c r="D449" t="s">
        <v>1</v>
      </c>
      <c r="E449" t="s">
        <v>3573</v>
      </c>
      <c r="F449" t="s">
        <v>3574</v>
      </c>
      <c r="G449" t="s">
        <v>179</v>
      </c>
      <c r="H449">
        <v>7</v>
      </c>
      <c r="I449">
        <v>75</v>
      </c>
      <c r="J449">
        <v>84</v>
      </c>
      <c r="K449">
        <v>9</v>
      </c>
      <c r="L449">
        <v>6</v>
      </c>
      <c r="M449">
        <v>1</v>
      </c>
      <c r="N449">
        <v>0</v>
      </c>
      <c r="O449" t="s">
        <v>53</v>
      </c>
      <c r="P449" t="s">
        <v>53</v>
      </c>
      <c r="Q449" t="s">
        <v>53</v>
      </c>
    </row>
    <row r="450" spans="1:17" s="30" customFormat="1" x14ac:dyDescent="0.2">
      <c r="A450" s="30" t="str">
        <f>IF(C450&amp;G450&amp;D450&lt;&gt;'Funnel setup'!$K$3&amp;'Funnel setup'!$K$4&amp;'Funnel setup'!$K$5,".",IF(A449=".",1,A449+1))</f>
        <v>.</v>
      </c>
      <c r="B450" s="431" t="str">
        <f t="shared" si="6"/>
        <v>Groin HerniaProviderBMI - SHIRLEY OAKS HOSPITAL (NT436)EQ VAS</v>
      </c>
      <c r="C450" t="s">
        <v>50</v>
      </c>
      <c r="D450" t="s">
        <v>1</v>
      </c>
      <c r="E450" t="s">
        <v>3576</v>
      </c>
      <c r="F450" t="s">
        <v>3577</v>
      </c>
      <c r="G450" t="s">
        <v>179</v>
      </c>
      <c r="H450">
        <v>12</v>
      </c>
      <c r="I450">
        <v>77.25</v>
      </c>
      <c r="J450">
        <v>75.5</v>
      </c>
      <c r="K450">
        <v>-1.75</v>
      </c>
      <c r="L450">
        <v>4</v>
      </c>
      <c r="M450">
        <v>2</v>
      </c>
      <c r="N450">
        <v>6</v>
      </c>
      <c r="O450" t="s">
        <v>53</v>
      </c>
      <c r="P450" t="s">
        <v>53</v>
      </c>
      <c r="Q450" t="s">
        <v>53</v>
      </c>
    </row>
    <row r="451" spans="1:17" s="30" customFormat="1" x14ac:dyDescent="0.2">
      <c r="A451" s="30" t="str">
        <f>IF(C451&amp;G451&amp;D451&lt;&gt;'Funnel setup'!$K$3&amp;'Funnel setup'!$K$4&amp;'Funnel setup'!$K$5,".",IF(A450=".",1,A450+1))</f>
        <v>.</v>
      </c>
      <c r="B451" s="431" t="str">
        <f t="shared" ref="B451:B514" si="7">C451&amp;D451&amp;F451&amp;G451</f>
        <v>Groin HerniaProviderBMI - THE ALEXANDRA HOSPITAL (NT401)EQ VAS</v>
      </c>
      <c r="C451" t="s">
        <v>50</v>
      </c>
      <c r="D451" t="s">
        <v>1</v>
      </c>
      <c r="E451" t="s">
        <v>3579</v>
      </c>
      <c r="F451" t="s">
        <v>3580</v>
      </c>
      <c r="G451" t="s">
        <v>179</v>
      </c>
      <c r="H451">
        <v>20</v>
      </c>
      <c r="I451">
        <v>80.900000000000006</v>
      </c>
      <c r="J451">
        <v>79.150000000000006</v>
      </c>
      <c r="K451">
        <v>-1.75</v>
      </c>
      <c r="L451">
        <v>7</v>
      </c>
      <c r="M451">
        <v>5</v>
      </c>
      <c r="N451">
        <v>8</v>
      </c>
      <c r="O451" t="s">
        <v>53</v>
      </c>
      <c r="P451" t="s">
        <v>53</v>
      </c>
      <c r="Q451" t="s">
        <v>53</v>
      </c>
    </row>
    <row r="452" spans="1:17" s="30" customFormat="1" x14ac:dyDescent="0.2">
      <c r="A452" s="30" t="str">
        <f>IF(C452&amp;G452&amp;D452&lt;&gt;'Funnel setup'!$K$3&amp;'Funnel setup'!$K$4&amp;'Funnel setup'!$K$5,".",IF(A451=".",1,A451+1))</f>
        <v>.</v>
      </c>
      <c r="B452" s="431" t="str">
        <f t="shared" si="7"/>
        <v>Groin HerniaProviderBMI - THE BEARDWOOD HOSPITAL (NT403)EQ VAS</v>
      </c>
      <c r="C452" t="s">
        <v>50</v>
      </c>
      <c r="D452" t="s">
        <v>1</v>
      </c>
      <c r="E452" t="s">
        <v>3582</v>
      </c>
      <c r="F452" t="s">
        <v>3583</v>
      </c>
      <c r="G452" t="s">
        <v>179</v>
      </c>
      <c r="H452">
        <v>44</v>
      </c>
      <c r="I452">
        <v>82.590999999999994</v>
      </c>
      <c r="J452">
        <v>79.114000000000004</v>
      </c>
      <c r="K452">
        <v>-3.4769999999999999</v>
      </c>
      <c r="L452">
        <v>12</v>
      </c>
      <c r="M452">
        <v>11</v>
      </c>
      <c r="N452">
        <v>21</v>
      </c>
      <c r="O452">
        <v>77.185000000000002</v>
      </c>
      <c r="P452">
        <v>-3.460833681</v>
      </c>
      <c r="Q452">
        <v>10.602</v>
      </c>
    </row>
    <row r="453" spans="1:17" s="30" customFormat="1" x14ac:dyDescent="0.2">
      <c r="A453" s="30" t="str">
        <f>IF(C453&amp;G453&amp;D453&lt;&gt;'Funnel setup'!$K$3&amp;'Funnel setup'!$K$4&amp;'Funnel setup'!$K$5,".",IF(A452=".",1,A452+1))</f>
        <v>.</v>
      </c>
      <c r="B453" s="431" t="str">
        <f t="shared" si="7"/>
        <v>Groin HerniaProviderBMI - THE BEAUMONT HOSPITAL (NT404)EQ VAS</v>
      </c>
      <c r="C453" t="s">
        <v>50</v>
      </c>
      <c r="D453" t="s">
        <v>1</v>
      </c>
      <c r="E453" t="s">
        <v>3585</v>
      </c>
      <c r="F453" t="s">
        <v>3586</v>
      </c>
      <c r="G453" t="s">
        <v>179</v>
      </c>
      <c r="H453">
        <v>81</v>
      </c>
      <c r="I453">
        <v>85.406999999999996</v>
      </c>
      <c r="J453">
        <v>82.593000000000004</v>
      </c>
      <c r="K453">
        <v>-2.8149999999999999</v>
      </c>
      <c r="L453">
        <v>27</v>
      </c>
      <c r="M453">
        <v>19</v>
      </c>
      <c r="N453">
        <v>35</v>
      </c>
      <c r="O453">
        <v>79.524000000000001</v>
      </c>
      <c r="P453">
        <v>-1.1217665109999999</v>
      </c>
      <c r="Q453">
        <v>9.734</v>
      </c>
    </row>
    <row r="454" spans="1:17" s="30" customFormat="1" x14ac:dyDescent="0.2">
      <c r="A454" s="30" t="str">
        <f>IF(C454&amp;G454&amp;D454&lt;&gt;'Funnel setup'!$K$3&amp;'Funnel setup'!$K$4&amp;'Funnel setup'!$K$5,".",IF(A453=".",1,A453+1))</f>
        <v>.</v>
      </c>
      <c r="B454" s="431" t="str">
        <f t="shared" si="7"/>
        <v>Groin HerniaProviderBMI - THE BLACKHEATH HOSPITAL (NT406)EQ VAS</v>
      </c>
      <c r="C454" t="s">
        <v>50</v>
      </c>
      <c r="D454" t="s">
        <v>1</v>
      </c>
      <c r="E454" t="s">
        <v>3588</v>
      </c>
      <c r="F454" t="s">
        <v>3589</v>
      </c>
      <c r="G454" t="s">
        <v>179</v>
      </c>
      <c r="H454">
        <v>9</v>
      </c>
      <c r="I454">
        <v>79.221999999999994</v>
      </c>
      <c r="J454">
        <v>83.555999999999997</v>
      </c>
      <c r="K454">
        <v>4.3330000000000002</v>
      </c>
      <c r="L454">
        <v>3</v>
      </c>
      <c r="M454">
        <v>1</v>
      </c>
      <c r="N454">
        <v>5</v>
      </c>
      <c r="O454" t="s">
        <v>53</v>
      </c>
      <c r="P454" t="s">
        <v>53</v>
      </c>
      <c r="Q454" t="s">
        <v>53</v>
      </c>
    </row>
    <row r="455" spans="1:17" s="30" customFormat="1" x14ac:dyDescent="0.2">
      <c r="A455" s="30" t="str">
        <f>IF(C455&amp;G455&amp;D455&lt;&gt;'Funnel setup'!$K$3&amp;'Funnel setup'!$K$4&amp;'Funnel setup'!$K$5,".",IF(A454=".",1,A454+1))</f>
        <v>.</v>
      </c>
      <c r="B455" s="431" t="str">
        <f t="shared" si="7"/>
        <v>Groin HerniaProviderBMI - THE CHAUCER HOSPITAL (NT408)EQ VAS</v>
      </c>
      <c r="C455" t="s">
        <v>50</v>
      </c>
      <c r="D455" t="s">
        <v>1</v>
      </c>
      <c r="E455" t="s">
        <v>3591</v>
      </c>
      <c r="F455" t="s">
        <v>3592</v>
      </c>
      <c r="G455" t="s">
        <v>179</v>
      </c>
      <c r="H455">
        <v>22</v>
      </c>
      <c r="I455">
        <v>79.090999999999994</v>
      </c>
      <c r="J455">
        <v>83.635999999999996</v>
      </c>
      <c r="K455">
        <v>4.5449999999999999</v>
      </c>
      <c r="L455">
        <v>12</v>
      </c>
      <c r="M455">
        <v>1</v>
      </c>
      <c r="N455">
        <v>9</v>
      </c>
      <c r="O455" t="s">
        <v>53</v>
      </c>
      <c r="P455" t="s">
        <v>53</v>
      </c>
      <c r="Q455" t="s">
        <v>53</v>
      </c>
    </row>
    <row r="456" spans="1:17" s="30" customFormat="1" x14ac:dyDescent="0.2">
      <c r="A456" s="30" t="str">
        <f>IF(C456&amp;G456&amp;D456&lt;&gt;'Funnel setup'!$K$3&amp;'Funnel setup'!$K$4&amp;'Funnel setup'!$K$5,".",IF(A455=".",1,A455+1))</f>
        <v>.</v>
      </c>
      <c r="B456" s="431" t="str">
        <f t="shared" si="7"/>
        <v>Groin HerniaProviderBMI - THE CHILTERN HOSPITAL (NT410)EQ VAS</v>
      </c>
      <c r="C456" t="s">
        <v>50</v>
      </c>
      <c r="D456" t="s">
        <v>1</v>
      </c>
      <c r="E456" t="s">
        <v>3594</v>
      </c>
      <c r="F456" t="s">
        <v>3595</v>
      </c>
      <c r="G456" t="s">
        <v>179</v>
      </c>
      <c r="H456">
        <v>51</v>
      </c>
      <c r="I456">
        <v>86.176000000000002</v>
      </c>
      <c r="J456">
        <v>86.549000000000007</v>
      </c>
      <c r="K456">
        <v>0.373</v>
      </c>
      <c r="L456">
        <v>18</v>
      </c>
      <c r="M456">
        <v>12</v>
      </c>
      <c r="N456">
        <v>21</v>
      </c>
      <c r="O456">
        <v>82.06</v>
      </c>
      <c r="P456">
        <v>1.414233192</v>
      </c>
      <c r="Q456">
        <v>9.4730000000000008</v>
      </c>
    </row>
    <row r="457" spans="1:17" s="30" customFormat="1" x14ac:dyDescent="0.2">
      <c r="A457" s="30" t="str">
        <f>IF(C457&amp;G457&amp;D457&lt;&gt;'Funnel setup'!$K$3&amp;'Funnel setup'!$K$4&amp;'Funnel setup'!$K$5,".",IF(A456=".",1,A456+1))</f>
        <v>.</v>
      </c>
      <c r="B457" s="431" t="str">
        <f t="shared" si="7"/>
        <v>Groin HerniaProviderBMI - THE CLEMENTINE CHURCHILL HOSPITAL (NT411)EQ VAS</v>
      </c>
      <c r="C457" t="s">
        <v>50</v>
      </c>
      <c r="D457" t="s">
        <v>1</v>
      </c>
      <c r="E457" t="s">
        <v>3597</v>
      </c>
      <c r="F457" t="s">
        <v>3598</v>
      </c>
      <c r="G457" t="s">
        <v>179</v>
      </c>
      <c r="H457">
        <v>11</v>
      </c>
      <c r="I457">
        <v>73</v>
      </c>
      <c r="J457">
        <v>70</v>
      </c>
      <c r="K457">
        <v>-3</v>
      </c>
      <c r="L457">
        <v>5</v>
      </c>
      <c r="M457">
        <v>1</v>
      </c>
      <c r="N457">
        <v>5</v>
      </c>
      <c r="O457" t="s">
        <v>53</v>
      </c>
      <c r="P457" t="s">
        <v>53</v>
      </c>
      <c r="Q457" t="s">
        <v>53</v>
      </c>
    </row>
    <row r="458" spans="1:17" s="30" customFormat="1" x14ac:dyDescent="0.2">
      <c r="A458" s="30" t="str">
        <f>IF(C458&amp;G458&amp;D458&lt;&gt;'Funnel setup'!$K$3&amp;'Funnel setup'!$K$4&amp;'Funnel setup'!$K$5,".",IF(A457=".",1,A457+1))</f>
        <v>.</v>
      </c>
      <c r="B458" s="431" t="str">
        <f t="shared" si="7"/>
        <v>Groin HerniaProviderBMI - THE DROITWICH SPA HOSPITAL (NT412)EQ VAS</v>
      </c>
      <c r="C458" t="s">
        <v>50</v>
      </c>
      <c r="D458" t="s">
        <v>1</v>
      </c>
      <c r="E458" t="s">
        <v>3600</v>
      </c>
      <c r="F458" t="s">
        <v>3601</v>
      </c>
      <c r="G458" t="s">
        <v>179</v>
      </c>
      <c r="H458">
        <v>64</v>
      </c>
      <c r="I458">
        <v>82.391000000000005</v>
      </c>
      <c r="J458">
        <v>83.108999999999995</v>
      </c>
      <c r="K458">
        <v>0.71899999999999997</v>
      </c>
      <c r="L458">
        <v>30</v>
      </c>
      <c r="M458">
        <v>8</v>
      </c>
      <c r="N458">
        <v>26</v>
      </c>
      <c r="O458">
        <v>81.364999999999995</v>
      </c>
      <c r="P458">
        <v>0.71933676400000002</v>
      </c>
      <c r="Q458">
        <v>11.332000000000001</v>
      </c>
    </row>
    <row r="459" spans="1:17" s="30" customFormat="1" x14ac:dyDescent="0.2">
      <c r="A459" s="30" t="str">
        <f>IF(C459&amp;G459&amp;D459&lt;&gt;'Funnel setup'!$K$3&amp;'Funnel setup'!$K$4&amp;'Funnel setup'!$K$5,".",IF(A458=".",1,A458+1))</f>
        <v>.</v>
      </c>
      <c r="B459" s="431" t="str">
        <f t="shared" si="7"/>
        <v>Groin HerniaProviderBMI - THE ESPERANCE HOSPITAL (NT413)EQ VAS</v>
      </c>
      <c r="C459" t="s">
        <v>50</v>
      </c>
      <c r="D459" t="s">
        <v>1</v>
      </c>
      <c r="E459" t="s">
        <v>3603</v>
      </c>
      <c r="F459" t="s">
        <v>3604</v>
      </c>
      <c r="G459" t="s">
        <v>179</v>
      </c>
      <c r="H459">
        <v>15</v>
      </c>
      <c r="I459">
        <v>83.2</v>
      </c>
      <c r="J459">
        <v>84.266999999999996</v>
      </c>
      <c r="K459">
        <v>1.0669999999999999</v>
      </c>
      <c r="L459">
        <v>9</v>
      </c>
      <c r="M459">
        <v>3</v>
      </c>
      <c r="N459">
        <v>3</v>
      </c>
      <c r="O459" t="s">
        <v>53</v>
      </c>
      <c r="P459" t="s">
        <v>53</v>
      </c>
      <c r="Q459" t="s">
        <v>53</v>
      </c>
    </row>
    <row r="460" spans="1:17" s="30" customFormat="1" x14ac:dyDescent="0.2">
      <c r="A460" s="30" t="str">
        <f>IF(C460&amp;G460&amp;D460&lt;&gt;'Funnel setup'!$K$3&amp;'Funnel setup'!$K$4&amp;'Funnel setup'!$K$5,".",IF(A459=".",1,A459+1))</f>
        <v>.</v>
      </c>
      <c r="B460" s="431" t="str">
        <f t="shared" si="7"/>
        <v>Groin HerniaProviderBMI - THE HAMPSHIRE CLINIC (NT418)EQ VAS</v>
      </c>
      <c r="C460" t="s">
        <v>50</v>
      </c>
      <c r="D460" t="s">
        <v>1</v>
      </c>
      <c r="E460" t="s">
        <v>3609</v>
      </c>
      <c r="F460" t="s">
        <v>3610</v>
      </c>
      <c r="G460" t="s">
        <v>179</v>
      </c>
      <c r="H460">
        <v>17</v>
      </c>
      <c r="I460">
        <v>88.587999999999994</v>
      </c>
      <c r="J460">
        <v>82.176000000000002</v>
      </c>
      <c r="K460">
        <v>-6.4119999999999999</v>
      </c>
      <c r="L460">
        <v>4</v>
      </c>
      <c r="M460">
        <v>4</v>
      </c>
      <c r="N460">
        <v>9</v>
      </c>
      <c r="O460" t="s">
        <v>53</v>
      </c>
      <c r="P460" t="s">
        <v>53</v>
      </c>
      <c r="Q460" t="s">
        <v>53</v>
      </c>
    </row>
    <row r="461" spans="1:17" s="30" customFormat="1" x14ac:dyDescent="0.2">
      <c r="A461" s="30" t="str">
        <f>IF(C461&amp;G461&amp;D461&lt;&gt;'Funnel setup'!$K$3&amp;'Funnel setup'!$K$4&amp;'Funnel setup'!$K$5,".",IF(A460=".",1,A460+1))</f>
        <v>.</v>
      </c>
      <c r="B461" s="431" t="str">
        <f t="shared" si="7"/>
        <v>Groin HerniaProviderBMI - THE HARBOUR HOSPITAL (NT419)EQ VAS</v>
      </c>
      <c r="C461" t="s">
        <v>50</v>
      </c>
      <c r="D461" t="s">
        <v>1</v>
      </c>
      <c r="E461" t="s">
        <v>3612</v>
      </c>
      <c r="F461" t="s">
        <v>3613</v>
      </c>
      <c r="G461" t="s">
        <v>179</v>
      </c>
      <c r="H461">
        <v>85</v>
      </c>
      <c r="I461">
        <v>81.034999999999997</v>
      </c>
      <c r="J461">
        <v>80.834999999999994</v>
      </c>
      <c r="K461">
        <v>-0.2</v>
      </c>
      <c r="L461">
        <v>30</v>
      </c>
      <c r="M461">
        <v>25</v>
      </c>
      <c r="N461">
        <v>30</v>
      </c>
      <c r="O461">
        <v>80.388999999999996</v>
      </c>
      <c r="P461">
        <v>-0.25689818199999997</v>
      </c>
      <c r="Q461">
        <v>10.955</v>
      </c>
    </row>
    <row r="462" spans="1:17" s="30" customFormat="1" x14ac:dyDescent="0.2">
      <c r="A462" s="30" t="str">
        <f>IF(C462&amp;G462&amp;D462&lt;&gt;'Funnel setup'!$K$3&amp;'Funnel setup'!$K$4&amp;'Funnel setup'!$K$5,".",IF(A461=".",1,A461+1))</f>
        <v>.</v>
      </c>
      <c r="B462" s="431" t="str">
        <f t="shared" si="7"/>
        <v>Groin HerniaProviderBMI - THE HIGHFIELD HOSPITAL (NT420)EQ VAS</v>
      </c>
      <c r="C462" t="s">
        <v>50</v>
      </c>
      <c r="D462" t="s">
        <v>1</v>
      </c>
      <c r="E462" t="s">
        <v>3615</v>
      </c>
      <c r="F462" t="s">
        <v>3616</v>
      </c>
      <c r="G462" t="s">
        <v>179</v>
      </c>
      <c r="H462">
        <v>21</v>
      </c>
      <c r="I462">
        <v>80.475999999999999</v>
      </c>
      <c r="J462">
        <v>80</v>
      </c>
      <c r="K462">
        <v>-0.47599999999999998</v>
      </c>
      <c r="L462">
        <v>6</v>
      </c>
      <c r="M462">
        <v>4</v>
      </c>
      <c r="N462">
        <v>11</v>
      </c>
      <c r="O462" t="s">
        <v>53</v>
      </c>
      <c r="P462" t="s">
        <v>53</v>
      </c>
      <c r="Q462" t="s">
        <v>53</v>
      </c>
    </row>
    <row r="463" spans="1:17" s="30" customFormat="1" x14ac:dyDescent="0.2">
      <c r="A463" s="30" t="str">
        <f>IF(C463&amp;G463&amp;D463&lt;&gt;'Funnel setup'!$K$3&amp;'Funnel setup'!$K$4&amp;'Funnel setup'!$K$5,".",IF(A462=".",1,A462+1))</f>
        <v>.</v>
      </c>
      <c r="B463" s="431" t="str">
        <f t="shared" si="7"/>
        <v>Groin HerniaProviderBMI - THE KINGS OAK HOSPITAL (NT421)EQ VAS</v>
      </c>
      <c r="C463" t="s">
        <v>50</v>
      </c>
      <c r="D463" t="s">
        <v>1</v>
      </c>
      <c r="E463" t="s">
        <v>3618</v>
      </c>
      <c r="F463" t="s">
        <v>3619</v>
      </c>
      <c r="G463" t="s">
        <v>179</v>
      </c>
      <c r="H463">
        <v>7</v>
      </c>
      <c r="I463">
        <v>83.286000000000001</v>
      </c>
      <c r="J463">
        <v>78.570999999999998</v>
      </c>
      <c r="K463">
        <v>-4.7140000000000004</v>
      </c>
      <c r="L463">
        <v>3</v>
      </c>
      <c r="M463">
        <v>1</v>
      </c>
      <c r="N463">
        <v>3</v>
      </c>
      <c r="O463" t="s">
        <v>53</v>
      </c>
      <c r="P463" t="s">
        <v>53</v>
      </c>
      <c r="Q463" t="s">
        <v>53</v>
      </c>
    </row>
    <row r="464" spans="1:17" s="30" customFormat="1" x14ac:dyDescent="0.2">
      <c r="A464" s="30" t="str">
        <f>IF(C464&amp;G464&amp;D464&lt;&gt;'Funnel setup'!$K$3&amp;'Funnel setup'!$K$4&amp;'Funnel setup'!$K$5,".",IF(A463=".",1,A463+1))</f>
        <v>.</v>
      </c>
      <c r="B464" s="431" t="str">
        <f t="shared" si="7"/>
        <v>Groin HerniaProviderBMI - THE LONDON INDEPENDENT HOSPITAL (NT422)EQ VAS</v>
      </c>
      <c r="C464" t="s">
        <v>50</v>
      </c>
      <c r="D464" t="s">
        <v>1</v>
      </c>
      <c r="E464" t="s">
        <v>3621</v>
      </c>
      <c r="F464" t="s">
        <v>3622</v>
      </c>
      <c r="G464" t="s">
        <v>179</v>
      </c>
      <c r="H464">
        <v>17</v>
      </c>
      <c r="I464">
        <v>73.234999999999999</v>
      </c>
      <c r="J464">
        <v>73.647000000000006</v>
      </c>
      <c r="K464">
        <v>0.41199999999999998</v>
      </c>
      <c r="L464">
        <v>9</v>
      </c>
      <c r="M464">
        <v>1</v>
      </c>
      <c r="N464">
        <v>7</v>
      </c>
      <c r="O464" t="s">
        <v>53</v>
      </c>
      <c r="P464" t="s">
        <v>53</v>
      </c>
      <c r="Q464" t="s">
        <v>53</v>
      </c>
    </row>
    <row r="465" spans="1:17" s="30" customFormat="1" x14ac:dyDescent="0.2">
      <c r="A465" s="30" t="str">
        <f>IF(C465&amp;G465&amp;D465&lt;&gt;'Funnel setup'!$K$3&amp;'Funnel setup'!$K$4&amp;'Funnel setup'!$K$5,".",IF(A464=".",1,A464+1))</f>
        <v>.</v>
      </c>
      <c r="B465" s="431" t="str">
        <f t="shared" si="7"/>
        <v>Groin HerniaProviderBMI - THE MANOR HOSPITAL (NT423)EQ VAS</v>
      </c>
      <c r="C465" t="s">
        <v>50</v>
      </c>
      <c r="D465" t="s">
        <v>1</v>
      </c>
      <c r="E465" t="s">
        <v>3624</v>
      </c>
      <c r="F465" t="s">
        <v>3625</v>
      </c>
      <c r="G465" t="s">
        <v>179</v>
      </c>
      <c r="H465">
        <v>26</v>
      </c>
      <c r="I465">
        <v>84.114999999999995</v>
      </c>
      <c r="J465">
        <v>83.808000000000007</v>
      </c>
      <c r="K465">
        <v>-0.308</v>
      </c>
      <c r="L465">
        <v>10</v>
      </c>
      <c r="M465">
        <v>8</v>
      </c>
      <c r="N465">
        <v>8</v>
      </c>
      <c r="O465" t="s">
        <v>53</v>
      </c>
      <c r="P465" t="s">
        <v>53</v>
      </c>
      <c r="Q465" t="s">
        <v>53</v>
      </c>
    </row>
    <row r="466" spans="1:17" s="30" customFormat="1" x14ac:dyDescent="0.2">
      <c r="A466" s="30" t="str">
        <f>IF(C466&amp;G466&amp;D466&lt;&gt;'Funnel setup'!$K$3&amp;'Funnel setup'!$K$4&amp;'Funnel setup'!$K$5,".",IF(A465=".",1,A465+1))</f>
        <v>.</v>
      </c>
      <c r="B466" s="431" t="str">
        <f t="shared" si="7"/>
        <v>Groin HerniaProviderBMI - THE MERIDEN HOSPITAL (NT424)EQ VAS</v>
      </c>
      <c r="C466" t="s">
        <v>50</v>
      </c>
      <c r="D466" t="s">
        <v>1</v>
      </c>
      <c r="E466" t="s">
        <v>3283</v>
      </c>
      <c r="F466" t="s">
        <v>3284</v>
      </c>
      <c r="G466" t="s">
        <v>179</v>
      </c>
      <c r="H466">
        <v>39</v>
      </c>
      <c r="I466">
        <v>79.667000000000002</v>
      </c>
      <c r="J466">
        <v>82.179000000000002</v>
      </c>
      <c r="K466">
        <v>2.5129999999999999</v>
      </c>
      <c r="L466">
        <v>19</v>
      </c>
      <c r="M466">
        <v>7</v>
      </c>
      <c r="N466">
        <v>13</v>
      </c>
      <c r="O466">
        <v>81.501999999999995</v>
      </c>
      <c r="P466">
        <v>0.85667411299999996</v>
      </c>
      <c r="Q466">
        <v>11.010999999999999</v>
      </c>
    </row>
    <row r="467" spans="1:17" s="30" customFormat="1" x14ac:dyDescent="0.2">
      <c r="A467" s="30" t="str">
        <f>IF(C467&amp;G467&amp;D467&lt;&gt;'Funnel setup'!$K$3&amp;'Funnel setup'!$K$4&amp;'Funnel setup'!$K$5,".",IF(A466=".",1,A466+1))</f>
        <v>.</v>
      </c>
      <c r="B467" s="431" t="str">
        <f t="shared" si="7"/>
        <v>Groin HerniaProviderBMI - THE PARK HOSPITAL (NT427)EQ VAS</v>
      </c>
      <c r="C467" t="s">
        <v>50</v>
      </c>
      <c r="D467" t="s">
        <v>1</v>
      </c>
      <c r="E467" t="s">
        <v>3286</v>
      </c>
      <c r="F467" t="s">
        <v>3287</v>
      </c>
      <c r="G467" t="s">
        <v>179</v>
      </c>
      <c r="H467" t="s">
        <v>53</v>
      </c>
      <c r="I467" t="s">
        <v>53</v>
      </c>
      <c r="J467" t="s">
        <v>53</v>
      </c>
      <c r="K467" t="s">
        <v>53</v>
      </c>
      <c r="L467" t="s">
        <v>53</v>
      </c>
      <c r="M467" t="s">
        <v>53</v>
      </c>
      <c r="N467" t="s">
        <v>53</v>
      </c>
      <c r="O467" t="s">
        <v>53</v>
      </c>
      <c r="P467" t="s">
        <v>53</v>
      </c>
      <c r="Q467" t="s">
        <v>53</v>
      </c>
    </row>
    <row r="468" spans="1:17" s="30" customFormat="1" x14ac:dyDescent="0.2">
      <c r="A468" s="30" t="str">
        <f>IF(C468&amp;G468&amp;D468&lt;&gt;'Funnel setup'!$K$3&amp;'Funnel setup'!$K$4&amp;'Funnel setup'!$K$5,".",IF(A467=".",1,A467+1))</f>
        <v>.</v>
      </c>
      <c r="B468" s="431" t="str">
        <f t="shared" si="7"/>
        <v>Groin HerniaProviderBMI - THE PRINCESS MARGARET HOSPITAL (NT428)EQ VAS</v>
      </c>
      <c r="C468" t="s">
        <v>50</v>
      </c>
      <c r="D468" t="s">
        <v>1</v>
      </c>
      <c r="E468" t="s">
        <v>3289</v>
      </c>
      <c r="F468" t="s">
        <v>3290</v>
      </c>
      <c r="G468" t="s">
        <v>179</v>
      </c>
      <c r="H468">
        <v>9</v>
      </c>
      <c r="I468">
        <v>81.667000000000002</v>
      </c>
      <c r="J468">
        <v>85.888999999999996</v>
      </c>
      <c r="K468">
        <v>4.2220000000000004</v>
      </c>
      <c r="L468">
        <v>4</v>
      </c>
      <c r="M468">
        <v>2</v>
      </c>
      <c r="N468">
        <v>3</v>
      </c>
      <c r="O468" t="s">
        <v>53</v>
      </c>
      <c r="P468" t="s">
        <v>53</v>
      </c>
      <c r="Q468" t="s">
        <v>53</v>
      </c>
    </row>
    <row r="469" spans="1:17" s="30" customFormat="1" x14ac:dyDescent="0.2">
      <c r="A469" s="30" t="str">
        <f>IF(C469&amp;G469&amp;D469&lt;&gt;'Funnel setup'!$K$3&amp;'Funnel setup'!$K$4&amp;'Funnel setup'!$K$5,".",IF(A468=".",1,A468+1))</f>
        <v>.</v>
      </c>
      <c r="B469" s="431" t="str">
        <f t="shared" si="7"/>
        <v>Groin HerniaProviderBMI - THE RIDGEWAY HOSPITAL (NT430)EQ VAS</v>
      </c>
      <c r="C469" t="s">
        <v>50</v>
      </c>
      <c r="D469" t="s">
        <v>1</v>
      </c>
      <c r="E469" t="s">
        <v>3292</v>
      </c>
      <c r="F469" t="s">
        <v>3293</v>
      </c>
      <c r="G469" t="s">
        <v>179</v>
      </c>
      <c r="H469">
        <v>42</v>
      </c>
      <c r="I469">
        <v>80.929000000000002</v>
      </c>
      <c r="J469">
        <v>80.238</v>
      </c>
      <c r="K469">
        <v>-0.69</v>
      </c>
      <c r="L469">
        <v>20</v>
      </c>
      <c r="M469">
        <v>7</v>
      </c>
      <c r="N469">
        <v>15</v>
      </c>
      <c r="O469">
        <v>78.903000000000006</v>
      </c>
      <c r="P469">
        <v>-1.7424745509999999</v>
      </c>
      <c r="Q469">
        <v>11.38</v>
      </c>
    </row>
    <row r="470" spans="1:17" s="30" customFormat="1" x14ac:dyDescent="0.2">
      <c r="A470" s="30" t="str">
        <f>IF(C470&amp;G470&amp;D470&lt;&gt;'Funnel setup'!$K$3&amp;'Funnel setup'!$K$4&amp;'Funnel setup'!$K$5,".",IF(A469=".",1,A469+1))</f>
        <v>.</v>
      </c>
      <c r="B470" s="431" t="str">
        <f t="shared" si="7"/>
        <v>Groin HerniaProviderBMI - THE RUNNYMEDE HOSPITAL (NT431)EQ VAS</v>
      </c>
      <c r="C470" t="s">
        <v>50</v>
      </c>
      <c r="D470" t="s">
        <v>1</v>
      </c>
      <c r="E470" t="s">
        <v>3295</v>
      </c>
      <c r="F470" t="s">
        <v>3296</v>
      </c>
      <c r="G470" t="s">
        <v>179</v>
      </c>
      <c r="H470">
        <v>12</v>
      </c>
      <c r="I470">
        <v>79.25</v>
      </c>
      <c r="J470">
        <v>78.332999999999998</v>
      </c>
      <c r="K470">
        <v>-0.91700000000000004</v>
      </c>
      <c r="L470">
        <v>5</v>
      </c>
      <c r="M470">
        <v>2</v>
      </c>
      <c r="N470">
        <v>5</v>
      </c>
      <c r="O470" t="s">
        <v>53</v>
      </c>
      <c r="P470" t="s">
        <v>53</v>
      </c>
      <c r="Q470" t="s">
        <v>53</v>
      </c>
    </row>
    <row r="471" spans="1:17" s="30" customFormat="1" x14ac:dyDescent="0.2">
      <c r="A471" s="30" t="str">
        <f>IF(C471&amp;G471&amp;D471&lt;&gt;'Funnel setup'!$K$3&amp;'Funnel setup'!$K$4&amp;'Funnel setup'!$K$5,".",IF(A470=".",1,A470+1))</f>
        <v>.</v>
      </c>
      <c r="B471" s="431" t="str">
        <f t="shared" si="7"/>
        <v>Groin HerniaProviderBMI - THE SANDRINGHAM HOSPITAL (NT432)EQ VAS</v>
      </c>
      <c r="C471" t="s">
        <v>50</v>
      </c>
      <c r="D471" t="s">
        <v>1</v>
      </c>
      <c r="E471" t="s">
        <v>3298</v>
      </c>
      <c r="F471" t="s">
        <v>3299</v>
      </c>
      <c r="G471" t="s">
        <v>179</v>
      </c>
      <c r="H471">
        <v>39</v>
      </c>
      <c r="I471">
        <v>87.563999999999993</v>
      </c>
      <c r="J471">
        <v>85.436000000000007</v>
      </c>
      <c r="K471">
        <v>-2.1280000000000001</v>
      </c>
      <c r="L471">
        <v>12</v>
      </c>
      <c r="M471">
        <v>9</v>
      </c>
      <c r="N471">
        <v>18</v>
      </c>
      <c r="O471">
        <v>80.775999999999996</v>
      </c>
      <c r="P471">
        <v>0.130520202</v>
      </c>
      <c r="Q471">
        <v>8.2530000000000001</v>
      </c>
    </row>
    <row r="472" spans="1:17" s="30" customFormat="1" x14ac:dyDescent="0.2">
      <c r="A472" s="30" t="str">
        <f>IF(C472&amp;G472&amp;D472&lt;&gt;'Funnel setup'!$K$3&amp;'Funnel setup'!$K$4&amp;'Funnel setup'!$K$5,".",IF(A471=".",1,A471+1))</f>
        <v>.</v>
      </c>
      <c r="B472" s="431" t="str">
        <f t="shared" si="7"/>
        <v>Groin HerniaProviderBMI - THE SAXON CLINIC (NT434)EQ VAS</v>
      </c>
      <c r="C472" t="s">
        <v>50</v>
      </c>
      <c r="D472" t="s">
        <v>1</v>
      </c>
      <c r="E472" t="s">
        <v>3301</v>
      </c>
      <c r="F472" t="s">
        <v>3302</v>
      </c>
      <c r="G472" t="s">
        <v>179</v>
      </c>
      <c r="H472">
        <v>38</v>
      </c>
      <c r="I472">
        <v>80.052999999999997</v>
      </c>
      <c r="J472">
        <v>82.710999999999999</v>
      </c>
      <c r="K472">
        <v>2.6579999999999999</v>
      </c>
      <c r="L472">
        <v>21</v>
      </c>
      <c r="M472">
        <v>5</v>
      </c>
      <c r="N472">
        <v>12</v>
      </c>
      <c r="O472">
        <v>82.161000000000001</v>
      </c>
      <c r="P472">
        <v>1.515214946</v>
      </c>
      <c r="Q472">
        <v>9.6780000000000008</v>
      </c>
    </row>
    <row r="473" spans="1:17" s="30" customFormat="1" x14ac:dyDescent="0.2">
      <c r="A473" s="30" t="str">
        <f>IF(C473&amp;G473&amp;D473&lt;&gt;'Funnel setup'!$K$3&amp;'Funnel setup'!$K$4&amp;'Funnel setup'!$K$5,".",IF(A472=".",1,A472+1))</f>
        <v>.</v>
      </c>
      <c r="B473" s="431" t="str">
        <f t="shared" si="7"/>
        <v>Groin HerniaProviderBMI - THE SOMERFIELD HOSPITAL (NT438)EQ VAS</v>
      </c>
      <c r="C473" t="s">
        <v>50</v>
      </c>
      <c r="D473" t="s">
        <v>1</v>
      </c>
      <c r="E473" t="s">
        <v>3304</v>
      </c>
      <c r="F473" t="s">
        <v>3305</v>
      </c>
      <c r="G473" t="s">
        <v>179</v>
      </c>
      <c r="H473">
        <v>37</v>
      </c>
      <c r="I473">
        <v>80.162000000000006</v>
      </c>
      <c r="J473">
        <v>81.811000000000007</v>
      </c>
      <c r="K473">
        <v>1.649</v>
      </c>
      <c r="L473">
        <v>21</v>
      </c>
      <c r="M473">
        <v>6</v>
      </c>
      <c r="N473">
        <v>10</v>
      </c>
      <c r="O473">
        <v>81.006</v>
      </c>
      <c r="P473">
        <v>0.360205267</v>
      </c>
      <c r="Q473">
        <v>15.818</v>
      </c>
    </row>
    <row r="474" spans="1:17" s="30" customFormat="1" x14ac:dyDescent="0.2">
      <c r="A474" s="30" t="str">
        <f>IF(C474&amp;G474&amp;D474&lt;&gt;'Funnel setup'!$K$3&amp;'Funnel setup'!$K$4&amp;'Funnel setup'!$K$5,".",IF(A473=".",1,A473+1))</f>
        <v>.</v>
      </c>
      <c r="B474" s="431" t="str">
        <f t="shared" si="7"/>
        <v>Groin HerniaProviderBMI - THE SOUTH CHESHIRE PRIVATE HOSPITAL (NT439)EQ VAS</v>
      </c>
      <c r="C474" t="s">
        <v>50</v>
      </c>
      <c r="D474" t="s">
        <v>1</v>
      </c>
      <c r="E474" t="s">
        <v>3307</v>
      </c>
      <c r="F474" t="s">
        <v>3308</v>
      </c>
      <c r="G474" t="s">
        <v>179</v>
      </c>
      <c r="H474">
        <v>36</v>
      </c>
      <c r="I474">
        <v>87.082999999999998</v>
      </c>
      <c r="J474">
        <v>87.332999999999998</v>
      </c>
      <c r="K474">
        <v>0.25</v>
      </c>
      <c r="L474">
        <v>18</v>
      </c>
      <c r="M474">
        <v>5</v>
      </c>
      <c r="N474">
        <v>13</v>
      </c>
      <c r="O474">
        <v>82.712999999999994</v>
      </c>
      <c r="P474">
        <v>2.0673525499999998</v>
      </c>
      <c r="Q474">
        <v>8.7040000000000006</v>
      </c>
    </row>
    <row r="475" spans="1:17" s="30" customFormat="1" x14ac:dyDescent="0.2">
      <c r="A475" s="30" t="str">
        <f>IF(C475&amp;G475&amp;D475&lt;&gt;'Funnel setup'!$K$3&amp;'Funnel setup'!$K$4&amp;'Funnel setup'!$K$5,".",IF(A474=".",1,A474+1))</f>
        <v>.</v>
      </c>
      <c r="B475" s="431" t="str">
        <f t="shared" si="7"/>
        <v>Groin HerniaProviderBMI - THE WINTERBOURNE HOSPITAL (NT443)EQ VAS</v>
      </c>
      <c r="C475" t="s">
        <v>50</v>
      </c>
      <c r="D475" t="s">
        <v>1</v>
      </c>
      <c r="E475" t="s">
        <v>3310</v>
      </c>
      <c r="F475" t="s">
        <v>3311</v>
      </c>
      <c r="G475" t="s">
        <v>179</v>
      </c>
      <c r="H475">
        <v>35</v>
      </c>
      <c r="I475">
        <v>81.028999999999996</v>
      </c>
      <c r="J475">
        <v>82.257000000000005</v>
      </c>
      <c r="K475">
        <v>1.2290000000000001</v>
      </c>
      <c r="L475">
        <v>11</v>
      </c>
      <c r="M475">
        <v>11</v>
      </c>
      <c r="N475">
        <v>13</v>
      </c>
      <c r="O475">
        <v>81.793999999999997</v>
      </c>
      <c r="P475">
        <v>1.1482046539999999</v>
      </c>
      <c r="Q475">
        <v>10.202999999999999</v>
      </c>
    </row>
    <row r="476" spans="1:17" s="30" customFormat="1" x14ac:dyDescent="0.2">
      <c r="A476" s="30" t="str">
        <f>IF(C476&amp;G476&amp;D476&lt;&gt;'Funnel setup'!$K$3&amp;'Funnel setup'!$K$4&amp;'Funnel setup'!$K$5,".",IF(A475=".",1,A475+1))</f>
        <v>.</v>
      </c>
      <c r="B476" s="431" t="str">
        <f t="shared" si="7"/>
        <v>Groin HerniaProviderBMI - THORNBURY HOSPITAL (NT440)EQ VAS</v>
      </c>
      <c r="C476" t="s">
        <v>50</v>
      </c>
      <c r="D476" t="s">
        <v>1</v>
      </c>
      <c r="E476" t="s">
        <v>3313</v>
      </c>
      <c r="F476" t="s">
        <v>3314</v>
      </c>
      <c r="G476" t="s">
        <v>179</v>
      </c>
      <c r="H476">
        <v>13</v>
      </c>
      <c r="I476">
        <v>80.076999999999998</v>
      </c>
      <c r="J476">
        <v>89.153999999999996</v>
      </c>
      <c r="K476">
        <v>9.077</v>
      </c>
      <c r="L476">
        <v>7</v>
      </c>
      <c r="M476">
        <v>3</v>
      </c>
      <c r="N476">
        <v>3</v>
      </c>
      <c r="O476" t="s">
        <v>53</v>
      </c>
      <c r="P476" t="s">
        <v>53</v>
      </c>
      <c r="Q476" t="s">
        <v>53</v>
      </c>
    </row>
    <row r="477" spans="1:17" s="30" customFormat="1" x14ac:dyDescent="0.2">
      <c r="A477" s="30" t="str">
        <f>IF(C477&amp;G477&amp;D477&lt;&gt;'Funnel setup'!$K$3&amp;'Funnel setup'!$K$4&amp;'Funnel setup'!$K$5,".",IF(A476=".",1,A476+1))</f>
        <v>.</v>
      </c>
      <c r="B477" s="431" t="str">
        <f t="shared" si="7"/>
        <v>Groin HerniaProviderBMI - THREE SHIRES HOSPITAL (NT441)EQ VAS</v>
      </c>
      <c r="C477" t="s">
        <v>50</v>
      </c>
      <c r="D477" t="s">
        <v>1</v>
      </c>
      <c r="E477" t="s">
        <v>3316</v>
      </c>
      <c r="F477" t="s">
        <v>3317</v>
      </c>
      <c r="G477" t="s">
        <v>179</v>
      </c>
      <c r="H477">
        <v>23</v>
      </c>
      <c r="I477">
        <v>87.087000000000003</v>
      </c>
      <c r="J477">
        <v>88.87</v>
      </c>
      <c r="K477">
        <v>1.7829999999999999</v>
      </c>
      <c r="L477">
        <v>12</v>
      </c>
      <c r="M477">
        <v>3</v>
      </c>
      <c r="N477">
        <v>8</v>
      </c>
      <c r="O477" t="s">
        <v>53</v>
      </c>
      <c r="P477" t="s">
        <v>53</v>
      </c>
      <c r="Q477" t="s">
        <v>53</v>
      </c>
    </row>
    <row r="478" spans="1:17" s="30" customFormat="1" x14ac:dyDescent="0.2">
      <c r="A478" s="30" t="str">
        <f>IF(C478&amp;G478&amp;D478&lt;&gt;'Funnel setup'!$K$3&amp;'Funnel setup'!$K$4&amp;'Funnel setup'!$K$5,".",IF(A477=".",1,A477+1))</f>
        <v>.</v>
      </c>
      <c r="B478" s="431" t="str">
        <f t="shared" si="7"/>
        <v>Groin HerniaProviderBMI GISBURNE PARK HOSPITAL (NT497)EQ VAS</v>
      </c>
      <c r="C478" t="s">
        <v>50</v>
      </c>
      <c r="D478" t="s">
        <v>1</v>
      </c>
      <c r="E478" t="s">
        <v>3319</v>
      </c>
      <c r="F478" t="s">
        <v>3320</v>
      </c>
      <c r="G478" t="s">
        <v>179</v>
      </c>
      <c r="H478">
        <v>38</v>
      </c>
      <c r="I478">
        <v>82.474000000000004</v>
      </c>
      <c r="J478">
        <v>86.367999999999995</v>
      </c>
      <c r="K478">
        <v>3.895</v>
      </c>
      <c r="L478">
        <v>16</v>
      </c>
      <c r="M478">
        <v>12</v>
      </c>
      <c r="N478">
        <v>10</v>
      </c>
      <c r="O478">
        <v>84.707999999999998</v>
      </c>
      <c r="P478">
        <v>4.0626228190000004</v>
      </c>
      <c r="Q478">
        <v>9.6050000000000004</v>
      </c>
    </row>
    <row r="479" spans="1:17" s="30" customFormat="1" x14ac:dyDescent="0.2">
      <c r="A479" s="30" t="str">
        <f>IF(C479&amp;G479&amp;D479&lt;&gt;'Funnel setup'!$K$3&amp;'Funnel setup'!$K$4&amp;'Funnel setup'!$K$5,".",IF(A478=".",1,A478+1))</f>
        <v>.</v>
      </c>
      <c r="B479" s="431" t="str">
        <f t="shared" si="7"/>
        <v>Groin HerniaProviderBMI MOUNT ALVERNIA HOSPITAL (NT455)EQ VAS</v>
      </c>
      <c r="C479" t="s">
        <v>50</v>
      </c>
      <c r="D479" t="s">
        <v>1</v>
      </c>
      <c r="E479" t="s">
        <v>3322</v>
      </c>
      <c r="F479" t="s">
        <v>3323</v>
      </c>
      <c r="G479" t="s">
        <v>179</v>
      </c>
      <c r="H479">
        <v>11</v>
      </c>
      <c r="I479">
        <v>79.817999999999998</v>
      </c>
      <c r="J479">
        <v>81.909000000000006</v>
      </c>
      <c r="K479">
        <v>2.0910000000000002</v>
      </c>
      <c r="L479">
        <v>4</v>
      </c>
      <c r="M479">
        <v>2</v>
      </c>
      <c r="N479">
        <v>5</v>
      </c>
      <c r="O479" t="s">
        <v>53</v>
      </c>
      <c r="P479" t="s">
        <v>53</v>
      </c>
      <c r="Q479" t="s">
        <v>53</v>
      </c>
    </row>
    <row r="480" spans="1:17" s="30" customFormat="1" x14ac:dyDescent="0.2">
      <c r="A480" s="30" t="str">
        <f>IF(C480&amp;G480&amp;D480&lt;&gt;'Funnel setup'!$K$3&amp;'Funnel setup'!$K$4&amp;'Funnel setup'!$K$5,".",IF(A479=".",1,A479+1))</f>
        <v>.</v>
      </c>
      <c r="B480" s="431" t="str">
        <f t="shared" si="7"/>
        <v>Groin HerniaProviderBMI ST EDMUNDS HOSPITAL (NT446)EQ VAS</v>
      </c>
      <c r="C480" t="s">
        <v>50</v>
      </c>
      <c r="D480" t="s">
        <v>1</v>
      </c>
      <c r="E480" t="s">
        <v>3328</v>
      </c>
      <c r="F480" t="s">
        <v>3329</v>
      </c>
      <c r="G480" t="s">
        <v>179</v>
      </c>
      <c r="H480">
        <v>12</v>
      </c>
      <c r="I480">
        <v>77.332999999999998</v>
      </c>
      <c r="J480">
        <v>81.167000000000002</v>
      </c>
      <c r="K480">
        <v>3.8330000000000002</v>
      </c>
      <c r="L480">
        <v>6</v>
      </c>
      <c r="M480">
        <v>0</v>
      </c>
      <c r="N480">
        <v>6</v>
      </c>
      <c r="O480" t="s">
        <v>53</v>
      </c>
      <c r="P480" t="s">
        <v>53</v>
      </c>
      <c r="Q480" t="s">
        <v>53</v>
      </c>
    </row>
    <row r="481" spans="1:17" s="30" customFormat="1" x14ac:dyDescent="0.2">
      <c r="A481" s="30" t="str">
        <f>IF(C481&amp;G481&amp;D481&lt;&gt;'Funnel setup'!$K$3&amp;'Funnel setup'!$K$4&amp;'Funnel setup'!$K$5,".",IF(A480=".",1,A480+1))</f>
        <v>.</v>
      </c>
      <c r="B481" s="431" t="str">
        <f t="shared" si="7"/>
        <v>Groin HerniaProviderBMI THE CAVELL HOSPITAL (NT451)EQ VAS</v>
      </c>
      <c r="C481" t="s">
        <v>50</v>
      </c>
      <c r="D481" t="s">
        <v>1</v>
      </c>
      <c r="E481" t="s">
        <v>3331</v>
      </c>
      <c r="F481" t="s">
        <v>3332</v>
      </c>
      <c r="G481" t="s">
        <v>179</v>
      </c>
      <c r="H481">
        <v>7</v>
      </c>
      <c r="I481">
        <v>77.429000000000002</v>
      </c>
      <c r="J481">
        <v>81.429000000000002</v>
      </c>
      <c r="K481">
        <v>4</v>
      </c>
      <c r="L481">
        <v>3</v>
      </c>
      <c r="M481">
        <v>1</v>
      </c>
      <c r="N481">
        <v>3</v>
      </c>
      <c r="O481" t="s">
        <v>53</v>
      </c>
      <c r="P481" t="s">
        <v>53</v>
      </c>
      <c r="Q481" t="s">
        <v>53</v>
      </c>
    </row>
    <row r="482" spans="1:17" s="30" customFormat="1" x14ac:dyDescent="0.2">
      <c r="A482" s="30" t="str">
        <f>IF(C482&amp;G482&amp;D482&lt;&gt;'Funnel setup'!$K$3&amp;'Funnel setup'!$K$4&amp;'Funnel setup'!$K$5,".",IF(A481=".",1,A481+1))</f>
        <v>.</v>
      </c>
      <c r="B482" s="431" t="str">
        <f t="shared" si="7"/>
        <v>Groin HerniaProviderBMI THE DUCHY HOSPITAL (NT447)EQ VAS</v>
      </c>
      <c r="C482" t="s">
        <v>50</v>
      </c>
      <c r="D482" t="s">
        <v>1</v>
      </c>
      <c r="E482" t="s">
        <v>3334</v>
      </c>
      <c r="F482" t="s">
        <v>3335</v>
      </c>
      <c r="G482" t="s">
        <v>179</v>
      </c>
      <c r="H482">
        <v>21</v>
      </c>
      <c r="I482">
        <v>82.619</v>
      </c>
      <c r="J482">
        <v>85.048000000000002</v>
      </c>
      <c r="K482">
        <v>2.4289999999999998</v>
      </c>
      <c r="L482">
        <v>9</v>
      </c>
      <c r="M482">
        <v>5</v>
      </c>
      <c r="N482">
        <v>7</v>
      </c>
      <c r="O482" t="s">
        <v>53</v>
      </c>
      <c r="P482" t="s">
        <v>53</v>
      </c>
      <c r="Q482" t="s">
        <v>53</v>
      </c>
    </row>
    <row r="483" spans="1:17" s="30" customFormat="1" x14ac:dyDescent="0.2">
      <c r="A483" s="30" t="str">
        <f>IF(C483&amp;G483&amp;D483&lt;&gt;'Funnel setup'!$K$3&amp;'Funnel setup'!$K$4&amp;'Funnel setup'!$K$5,".",IF(A482=".",1,A482+1))</f>
        <v>.</v>
      </c>
      <c r="B483" s="431" t="str">
        <f t="shared" si="7"/>
        <v>Groin HerniaProviderBMI THE EDGBASTON HOSPITAL (NT445)EQ VAS</v>
      </c>
      <c r="C483" t="s">
        <v>50</v>
      </c>
      <c r="D483" t="s">
        <v>1</v>
      </c>
      <c r="E483" t="s">
        <v>3337</v>
      </c>
      <c r="F483" t="s">
        <v>3338</v>
      </c>
      <c r="G483" t="s">
        <v>179</v>
      </c>
      <c r="H483">
        <v>23</v>
      </c>
      <c r="I483">
        <v>86.260999999999996</v>
      </c>
      <c r="J483">
        <v>86.087000000000003</v>
      </c>
      <c r="K483">
        <v>-0.17399999999999999</v>
      </c>
      <c r="L483">
        <v>10</v>
      </c>
      <c r="M483">
        <v>5</v>
      </c>
      <c r="N483">
        <v>8</v>
      </c>
      <c r="O483" t="s">
        <v>53</v>
      </c>
      <c r="P483" t="s">
        <v>53</v>
      </c>
      <c r="Q483" t="s">
        <v>53</v>
      </c>
    </row>
    <row r="484" spans="1:17" s="30" customFormat="1" x14ac:dyDescent="0.2">
      <c r="A484" s="30" t="str">
        <f>IF(C484&amp;G484&amp;D484&lt;&gt;'Funnel setup'!$K$3&amp;'Funnel setup'!$K$4&amp;'Funnel setup'!$K$5,".",IF(A483=".",1,A483+1))</f>
        <v>.</v>
      </c>
      <c r="B484" s="431" t="str">
        <f t="shared" si="7"/>
        <v>Groin HerniaProviderBMI THE HUDDERSFIELD HOSPITAL (NT448)EQ VAS</v>
      </c>
      <c r="C484" t="s">
        <v>50</v>
      </c>
      <c r="D484" t="s">
        <v>1</v>
      </c>
      <c r="E484" t="s">
        <v>3346</v>
      </c>
      <c r="F484" t="s">
        <v>3347</v>
      </c>
      <c r="G484" t="s">
        <v>179</v>
      </c>
      <c r="H484">
        <v>73</v>
      </c>
      <c r="I484">
        <v>83.355999999999995</v>
      </c>
      <c r="J484">
        <v>82.37</v>
      </c>
      <c r="K484">
        <v>-0.98599999999999999</v>
      </c>
      <c r="L484">
        <v>32</v>
      </c>
      <c r="M484">
        <v>11</v>
      </c>
      <c r="N484">
        <v>30</v>
      </c>
      <c r="O484">
        <v>79.242999999999995</v>
      </c>
      <c r="P484">
        <v>-1.402192114</v>
      </c>
      <c r="Q484">
        <v>11.907999999999999</v>
      </c>
    </row>
    <row r="485" spans="1:17" s="30" customFormat="1" x14ac:dyDescent="0.2">
      <c r="A485" s="30" t="str">
        <f>IF(C485&amp;G485&amp;D485&lt;&gt;'Funnel setup'!$K$3&amp;'Funnel setup'!$K$4&amp;'Funnel setup'!$K$5,".",IF(A484=".",1,A484+1))</f>
        <v>.</v>
      </c>
      <c r="B485" s="431" t="str">
        <f t="shared" si="7"/>
        <v>Groin HerniaProviderBMI THE LANCASTER HOSPITAL (NT449)EQ VAS</v>
      </c>
      <c r="C485" t="s">
        <v>50</v>
      </c>
      <c r="D485" t="s">
        <v>1</v>
      </c>
      <c r="E485" t="s">
        <v>3349</v>
      </c>
      <c r="F485" t="s">
        <v>3350</v>
      </c>
      <c r="G485" t="s">
        <v>179</v>
      </c>
      <c r="H485">
        <v>9</v>
      </c>
      <c r="I485">
        <v>89.221999999999994</v>
      </c>
      <c r="J485">
        <v>83.332999999999998</v>
      </c>
      <c r="K485">
        <v>-5.8890000000000002</v>
      </c>
      <c r="L485">
        <v>2</v>
      </c>
      <c r="M485">
        <v>3</v>
      </c>
      <c r="N485">
        <v>4</v>
      </c>
      <c r="O485" t="s">
        <v>53</v>
      </c>
      <c r="P485" t="s">
        <v>53</v>
      </c>
      <c r="Q485" t="s">
        <v>53</v>
      </c>
    </row>
    <row r="486" spans="1:17" s="30" customFormat="1" x14ac:dyDescent="0.2">
      <c r="A486" s="30" t="str">
        <f>IF(C486&amp;G486&amp;D486&lt;&gt;'Funnel setup'!$K$3&amp;'Funnel setup'!$K$4&amp;'Funnel setup'!$K$5,".",IF(A485=".",1,A485+1))</f>
        <v>.</v>
      </c>
      <c r="B486" s="431" t="str">
        <f t="shared" si="7"/>
        <v>Groin HerniaProviderBMI THE LINCOLN HOSPITAL (NT450)EQ VAS</v>
      </c>
      <c r="C486" t="s">
        <v>50</v>
      </c>
      <c r="D486" t="s">
        <v>1</v>
      </c>
      <c r="E486" t="s">
        <v>3352</v>
      </c>
      <c r="F486" t="s">
        <v>3353</v>
      </c>
      <c r="G486" t="s">
        <v>179</v>
      </c>
      <c r="H486">
        <v>36</v>
      </c>
      <c r="I486">
        <v>84.861000000000004</v>
      </c>
      <c r="J486">
        <v>80.082999999999998</v>
      </c>
      <c r="K486">
        <v>-4.7779999999999996</v>
      </c>
      <c r="L486">
        <v>12</v>
      </c>
      <c r="M486">
        <v>8</v>
      </c>
      <c r="N486">
        <v>16</v>
      </c>
      <c r="O486">
        <v>77.194999999999993</v>
      </c>
      <c r="P486">
        <v>-3.450128903</v>
      </c>
      <c r="Q486">
        <v>13.018000000000001</v>
      </c>
    </row>
    <row r="487" spans="1:17" s="30" customFormat="1" x14ac:dyDescent="0.2">
      <c r="A487" s="30" t="str">
        <f>IF(C487&amp;G487&amp;D487&lt;&gt;'Funnel setup'!$K$3&amp;'Funnel setup'!$K$4&amp;'Funnel setup'!$K$5,".",IF(A486=".",1,A486+1))</f>
        <v>.</v>
      </c>
      <c r="B487" s="431" t="str">
        <f t="shared" si="7"/>
        <v>Groin HerniaProviderBMI WOODLANDS HOSPITAL (NT457)EQ VAS</v>
      </c>
      <c r="C487" t="s">
        <v>50</v>
      </c>
      <c r="D487" t="s">
        <v>1</v>
      </c>
      <c r="E487" t="s">
        <v>3355</v>
      </c>
      <c r="F487" t="s">
        <v>3356</v>
      </c>
      <c r="G487" t="s">
        <v>179</v>
      </c>
      <c r="H487">
        <v>31</v>
      </c>
      <c r="I487">
        <v>80.290000000000006</v>
      </c>
      <c r="J487">
        <v>81.581000000000003</v>
      </c>
      <c r="K487">
        <v>1.29</v>
      </c>
      <c r="L487">
        <v>13</v>
      </c>
      <c r="M487">
        <v>6</v>
      </c>
      <c r="N487">
        <v>12</v>
      </c>
      <c r="O487">
        <v>81.930999999999997</v>
      </c>
      <c r="P487">
        <v>1.285390606</v>
      </c>
      <c r="Q487">
        <v>10.083</v>
      </c>
    </row>
    <row r="488" spans="1:17" s="30" customFormat="1" x14ac:dyDescent="0.2">
      <c r="A488" s="30" t="str">
        <f>IF(C488&amp;G488&amp;D488&lt;&gt;'Funnel setup'!$K$3&amp;'Funnel setup'!$K$4&amp;'Funnel setup'!$K$5,".",IF(A487=".",1,A487+1))</f>
        <v>.</v>
      </c>
      <c r="B488" s="431" t="str">
        <f t="shared" si="7"/>
        <v>Groin HerniaProviderBODMIN NHS TREATMENT CENTRE (NVC24)EQ VAS</v>
      </c>
      <c r="C488" t="s">
        <v>50</v>
      </c>
      <c r="D488" t="s">
        <v>1</v>
      </c>
      <c r="E488" t="s">
        <v>3228</v>
      </c>
      <c r="F488" t="s">
        <v>3229</v>
      </c>
      <c r="G488" t="s">
        <v>179</v>
      </c>
      <c r="H488">
        <v>57</v>
      </c>
      <c r="I488">
        <v>79.263000000000005</v>
      </c>
      <c r="J488">
        <v>83.456000000000003</v>
      </c>
      <c r="K488">
        <v>4.1929999999999996</v>
      </c>
      <c r="L488">
        <v>30</v>
      </c>
      <c r="M488">
        <v>12</v>
      </c>
      <c r="N488">
        <v>15</v>
      </c>
      <c r="O488">
        <v>83.406999999999996</v>
      </c>
      <c r="P488">
        <v>2.761538072</v>
      </c>
      <c r="Q488">
        <v>8.1999999999999993</v>
      </c>
    </row>
    <row r="489" spans="1:17" s="30" customFormat="1" x14ac:dyDescent="0.2">
      <c r="A489" s="30" t="str">
        <f>IF(C489&amp;G489&amp;D489&lt;&gt;'Funnel setup'!$K$3&amp;'Funnel setup'!$K$4&amp;'Funnel setup'!$K$5,".",IF(A488=".",1,A488+1))</f>
        <v>.</v>
      </c>
      <c r="B489" s="431" t="str">
        <f t="shared" si="7"/>
        <v>Groin HerniaProviderBOLTON NHS FOUNDATION TRUST (RMC)EQ VAS</v>
      </c>
      <c r="C489" t="s">
        <v>50</v>
      </c>
      <c r="D489" t="s">
        <v>1</v>
      </c>
      <c r="E489" t="s">
        <v>3358</v>
      </c>
      <c r="F489" t="s">
        <v>3359</v>
      </c>
      <c r="G489" t="s">
        <v>179</v>
      </c>
      <c r="H489">
        <v>103</v>
      </c>
      <c r="I489">
        <v>81.447000000000003</v>
      </c>
      <c r="J489">
        <v>80.290999999999997</v>
      </c>
      <c r="K489">
        <v>-1.155</v>
      </c>
      <c r="L489">
        <v>38</v>
      </c>
      <c r="M489">
        <v>23</v>
      </c>
      <c r="N489">
        <v>42</v>
      </c>
      <c r="O489">
        <v>81.037000000000006</v>
      </c>
      <c r="P489">
        <v>0.39196259700000002</v>
      </c>
      <c r="Q489">
        <v>12.832000000000001</v>
      </c>
    </row>
    <row r="490" spans="1:17" s="30" customFormat="1" x14ac:dyDescent="0.2">
      <c r="A490" s="30" t="str">
        <f>IF(C490&amp;G490&amp;D490&lt;&gt;'Funnel setup'!$K$3&amp;'Funnel setup'!$K$4&amp;'Funnel setup'!$K$5,".",IF(A489=".",1,A489+1))</f>
        <v>.</v>
      </c>
      <c r="B490" s="431" t="str">
        <f t="shared" si="7"/>
        <v>Groin HerniaProviderBOSTON WEST HOSPITAL (NVC27)EQ VAS</v>
      </c>
      <c r="C490" t="s">
        <v>50</v>
      </c>
      <c r="D490" t="s">
        <v>1</v>
      </c>
      <c r="E490" t="s">
        <v>3376</v>
      </c>
      <c r="F490" t="s">
        <v>3377</v>
      </c>
      <c r="G490" t="s">
        <v>179</v>
      </c>
      <c r="H490">
        <v>34</v>
      </c>
      <c r="I490">
        <v>83.087999999999994</v>
      </c>
      <c r="J490">
        <v>82.852999999999994</v>
      </c>
      <c r="K490">
        <v>-0.23499999999999999</v>
      </c>
      <c r="L490">
        <v>11</v>
      </c>
      <c r="M490">
        <v>6</v>
      </c>
      <c r="N490">
        <v>17</v>
      </c>
      <c r="O490">
        <v>80.218999999999994</v>
      </c>
      <c r="P490">
        <v>-0.42603128499999998</v>
      </c>
      <c r="Q490">
        <v>8.33</v>
      </c>
    </row>
    <row r="491" spans="1:17" s="30" customFormat="1" x14ac:dyDescent="0.2">
      <c r="A491" s="30" t="str">
        <f>IF(C491&amp;G491&amp;D491&lt;&gt;'Funnel setup'!$K$3&amp;'Funnel setup'!$K$4&amp;'Funnel setup'!$K$5,".",IF(A490=".",1,A490+1))</f>
        <v>.</v>
      </c>
      <c r="B491" s="431" t="str">
        <f t="shared" si="7"/>
        <v>Groin HerniaProviderBRADFORD TEACHING HOSPITALS NHS FOUNDATION TRUST (RAE)EQ VAS</v>
      </c>
      <c r="C491" t="s">
        <v>50</v>
      </c>
      <c r="D491" t="s">
        <v>1</v>
      </c>
      <c r="E491" t="s">
        <v>3361</v>
      </c>
      <c r="F491" t="s">
        <v>3362</v>
      </c>
      <c r="G491" t="s">
        <v>179</v>
      </c>
      <c r="H491">
        <v>72</v>
      </c>
      <c r="I491">
        <v>76.638999999999996</v>
      </c>
      <c r="J491">
        <v>79.055999999999997</v>
      </c>
      <c r="K491">
        <v>2.4169999999999998</v>
      </c>
      <c r="L491">
        <v>29</v>
      </c>
      <c r="M491">
        <v>18</v>
      </c>
      <c r="N491">
        <v>25</v>
      </c>
      <c r="O491">
        <v>82.242000000000004</v>
      </c>
      <c r="P491">
        <v>1.5963947249999999</v>
      </c>
      <c r="Q491">
        <v>13.92</v>
      </c>
    </row>
    <row r="492" spans="1:17" s="30" customFormat="1" x14ac:dyDescent="0.2">
      <c r="A492" s="30" t="str">
        <f>IF(C492&amp;G492&amp;D492&lt;&gt;'Funnel setup'!$K$3&amp;'Funnel setup'!$K$4&amp;'Funnel setup'!$K$5,".",IF(A491=".",1,A491+1))</f>
        <v>.</v>
      </c>
      <c r="B492" s="431" t="str">
        <f t="shared" si="7"/>
        <v>Groin HerniaProviderBRAINTREE COMMUNITY HOSPITAL (NNQ01)EQ VAS</v>
      </c>
      <c r="C492" t="s">
        <v>50</v>
      </c>
      <c r="D492" t="s">
        <v>1</v>
      </c>
      <c r="E492" t="s">
        <v>3364</v>
      </c>
      <c r="F492" t="s">
        <v>3365</v>
      </c>
      <c r="G492" t="s">
        <v>179</v>
      </c>
      <c r="H492" t="s">
        <v>53</v>
      </c>
      <c r="I492" t="s">
        <v>53</v>
      </c>
      <c r="J492" t="s">
        <v>53</v>
      </c>
      <c r="K492" t="s">
        <v>53</v>
      </c>
      <c r="L492" t="s">
        <v>53</v>
      </c>
      <c r="M492" t="s">
        <v>53</v>
      </c>
      <c r="N492" t="s">
        <v>53</v>
      </c>
      <c r="O492" t="s">
        <v>53</v>
      </c>
      <c r="P492" t="s">
        <v>53</v>
      </c>
      <c r="Q492" t="s">
        <v>53</v>
      </c>
    </row>
    <row r="493" spans="1:17" s="30" customFormat="1" x14ac:dyDescent="0.2">
      <c r="A493" s="30" t="str">
        <f>IF(C493&amp;G493&amp;D493&lt;&gt;'Funnel setup'!$K$3&amp;'Funnel setup'!$K$4&amp;'Funnel setup'!$K$5,".",IF(A492=".",1,A492+1))</f>
        <v>.</v>
      </c>
      <c r="B493" s="431" t="str">
        <f t="shared" si="7"/>
        <v>Groin HerniaProviderBRIGHTON AND SUSSEX UNIVERSITY HOSPITALS NHS TRUST (RXH)EQ VAS</v>
      </c>
      <c r="C493" t="s">
        <v>50</v>
      </c>
      <c r="D493" t="s">
        <v>1</v>
      </c>
      <c r="E493" t="s">
        <v>3367</v>
      </c>
      <c r="F493" t="s">
        <v>3368</v>
      </c>
      <c r="G493" t="s">
        <v>179</v>
      </c>
      <c r="H493">
        <v>250</v>
      </c>
      <c r="I493">
        <v>80.956000000000003</v>
      </c>
      <c r="J493">
        <v>79.152000000000001</v>
      </c>
      <c r="K493">
        <v>-1.804</v>
      </c>
      <c r="L493">
        <v>84</v>
      </c>
      <c r="M493">
        <v>44</v>
      </c>
      <c r="N493">
        <v>122</v>
      </c>
      <c r="O493">
        <v>79.072000000000003</v>
      </c>
      <c r="P493">
        <v>-1.5732292999999999</v>
      </c>
      <c r="Q493">
        <v>11.475</v>
      </c>
    </row>
    <row r="494" spans="1:17" s="30" customFormat="1" x14ac:dyDescent="0.2">
      <c r="A494" s="30" t="str">
        <f>IF(C494&amp;G494&amp;D494&lt;&gt;'Funnel setup'!$K$3&amp;'Funnel setup'!$K$4&amp;'Funnel setup'!$K$5,".",IF(A493=".",1,A493+1))</f>
        <v>.</v>
      </c>
      <c r="B494" s="431" t="str">
        <f t="shared" si="7"/>
        <v>Groin HerniaProviderBUCKINGHAMSHIRE HEALTHCARE NHS TRUST (RXQ)EQ VAS</v>
      </c>
      <c r="C494" t="s">
        <v>50</v>
      </c>
      <c r="D494" t="s">
        <v>1</v>
      </c>
      <c r="E494" t="s">
        <v>3370</v>
      </c>
      <c r="F494" t="s">
        <v>3371</v>
      </c>
      <c r="G494" t="s">
        <v>179</v>
      </c>
      <c r="H494">
        <v>161</v>
      </c>
      <c r="I494">
        <v>79.658000000000001</v>
      </c>
      <c r="J494">
        <v>81.266999999999996</v>
      </c>
      <c r="K494">
        <v>1.609</v>
      </c>
      <c r="L494">
        <v>72</v>
      </c>
      <c r="M494">
        <v>25</v>
      </c>
      <c r="N494">
        <v>64</v>
      </c>
      <c r="O494">
        <v>81.408000000000001</v>
      </c>
      <c r="P494">
        <v>0.76268612899999999</v>
      </c>
      <c r="Q494">
        <v>10.75</v>
      </c>
    </row>
    <row r="495" spans="1:17" s="30" customFormat="1" x14ac:dyDescent="0.2">
      <c r="A495" s="30" t="str">
        <f>IF(C495&amp;G495&amp;D495&lt;&gt;'Funnel setup'!$K$3&amp;'Funnel setup'!$K$4&amp;'Funnel setup'!$K$5,".",IF(A494=".",1,A494+1))</f>
        <v>.</v>
      </c>
      <c r="B495" s="431" t="str">
        <f t="shared" si="7"/>
        <v>Groin HerniaProviderBURTON HOSPITALS NHS FOUNDATION TRUST (RJF)EQ VAS</v>
      </c>
      <c r="C495" t="s">
        <v>50</v>
      </c>
      <c r="D495" t="s">
        <v>1</v>
      </c>
      <c r="E495" t="s">
        <v>3373</v>
      </c>
      <c r="F495" t="s">
        <v>3374</v>
      </c>
      <c r="G495" t="s">
        <v>179</v>
      </c>
      <c r="H495">
        <v>161</v>
      </c>
      <c r="I495">
        <v>83.522000000000006</v>
      </c>
      <c r="J495">
        <v>82.570999999999998</v>
      </c>
      <c r="K495">
        <v>-0.95</v>
      </c>
      <c r="L495">
        <v>68</v>
      </c>
      <c r="M495">
        <v>29</v>
      </c>
      <c r="N495">
        <v>64</v>
      </c>
      <c r="O495">
        <v>80.501999999999995</v>
      </c>
      <c r="P495">
        <v>-0.14305335699999999</v>
      </c>
      <c r="Q495">
        <v>13.462999999999999</v>
      </c>
    </row>
    <row r="496" spans="1:17" s="30" customFormat="1" x14ac:dyDescent="0.2">
      <c r="A496" s="30" t="str">
        <f>IF(C496&amp;G496&amp;D496&lt;&gt;'Funnel setup'!$K$3&amp;'Funnel setup'!$K$4&amp;'Funnel setup'!$K$5,".",IF(A495=".",1,A495+1))</f>
        <v>.</v>
      </c>
      <c r="B496" s="431" t="str">
        <f t="shared" si="7"/>
        <v>Groin HerniaProviderCALDERDALE AND HUDDERSFIELD NHS FOUNDATION TRUST (RWY)EQ VAS</v>
      </c>
      <c r="C496" t="s">
        <v>50</v>
      </c>
      <c r="D496" t="s">
        <v>1</v>
      </c>
      <c r="E496" t="s">
        <v>3379</v>
      </c>
      <c r="F496" t="s">
        <v>3380</v>
      </c>
      <c r="G496" t="s">
        <v>179</v>
      </c>
      <c r="H496">
        <v>149</v>
      </c>
      <c r="I496">
        <v>81.314999999999998</v>
      </c>
      <c r="J496">
        <v>79.879000000000005</v>
      </c>
      <c r="K496">
        <v>-1.4359999999999999</v>
      </c>
      <c r="L496">
        <v>51</v>
      </c>
      <c r="M496">
        <v>32</v>
      </c>
      <c r="N496">
        <v>66</v>
      </c>
      <c r="O496">
        <v>79.611999999999995</v>
      </c>
      <c r="P496">
        <v>-1.033515446</v>
      </c>
      <c r="Q496">
        <v>13.75</v>
      </c>
    </row>
    <row r="497" spans="1:17" s="30" customFormat="1" x14ac:dyDescent="0.2">
      <c r="A497" s="30" t="str">
        <f>IF(C497&amp;G497&amp;D497&lt;&gt;'Funnel setup'!$K$3&amp;'Funnel setup'!$K$4&amp;'Funnel setup'!$K$5,".",IF(A496=".",1,A496+1))</f>
        <v>.</v>
      </c>
      <c r="B497" s="431" t="str">
        <f t="shared" si="7"/>
        <v>Groin HerniaProviderCAMBRIDGE UNIVERSITY HOSPITALS NHS FOUNDATION TRUST (RGT)EQ VAS</v>
      </c>
      <c r="C497" t="s">
        <v>50</v>
      </c>
      <c r="D497" t="s">
        <v>1</v>
      </c>
      <c r="E497" t="s">
        <v>3076</v>
      </c>
      <c r="F497" t="s">
        <v>3077</v>
      </c>
      <c r="G497" t="s">
        <v>179</v>
      </c>
      <c r="H497">
        <v>207</v>
      </c>
      <c r="I497">
        <v>82.584999999999994</v>
      </c>
      <c r="J497">
        <v>82.01</v>
      </c>
      <c r="K497">
        <v>-0.57499999999999996</v>
      </c>
      <c r="L497">
        <v>72</v>
      </c>
      <c r="M497">
        <v>39</v>
      </c>
      <c r="N497">
        <v>96</v>
      </c>
      <c r="O497">
        <v>80.057000000000002</v>
      </c>
      <c r="P497">
        <v>-0.58803849699999999</v>
      </c>
      <c r="Q497">
        <v>11.775</v>
      </c>
    </row>
    <row r="498" spans="1:17" s="30" customFormat="1" x14ac:dyDescent="0.2">
      <c r="A498" s="30" t="str">
        <f>IF(C498&amp;G498&amp;D498&lt;&gt;'Funnel setup'!$K$3&amp;'Funnel setup'!$K$4&amp;'Funnel setup'!$K$5,".",IF(A497=".",1,A497+1))</f>
        <v>.</v>
      </c>
      <c r="B498" s="431" t="str">
        <f t="shared" si="7"/>
        <v>Groin HerniaProviderCENTRAL MANCHESTER UNIVERSITY HOSPITALS NHS FOUNDATION TRUST (RW3)EQ VAS</v>
      </c>
      <c r="C498" t="s">
        <v>50</v>
      </c>
      <c r="D498" t="s">
        <v>1</v>
      </c>
      <c r="E498" t="s">
        <v>3079</v>
      </c>
      <c r="F498" t="s">
        <v>3080</v>
      </c>
      <c r="G498" t="s">
        <v>179</v>
      </c>
      <c r="H498">
        <v>49</v>
      </c>
      <c r="I498">
        <v>72.551000000000002</v>
      </c>
      <c r="J498">
        <v>78.653000000000006</v>
      </c>
      <c r="K498">
        <v>6.1020000000000003</v>
      </c>
      <c r="L498">
        <v>27</v>
      </c>
      <c r="M498">
        <v>10</v>
      </c>
      <c r="N498">
        <v>12</v>
      </c>
      <c r="O498">
        <v>82.87</v>
      </c>
      <c r="P498">
        <v>2.2249418740000002</v>
      </c>
      <c r="Q498">
        <v>13.903</v>
      </c>
    </row>
    <row r="499" spans="1:17" s="30" customFormat="1" x14ac:dyDescent="0.2">
      <c r="A499" s="30" t="str">
        <f>IF(C499&amp;G499&amp;D499&lt;&gt;'Funnel setup'!$K$3&amp;'Funnel setup'!$K$4&amp;'Funnel setup'!$K$5,".",IF(A498=".",1,A498+1))</f>
        <v>.</v>
      </c>
      <c r="B499" s="431" t="str">
        <f t="shared" si="7"/>
        <v>Groin HerniaProviderCHELSEA AND WESTMINSTER HOSPITAL NHS FOUNDATION TRUST (RQM)EQ VAS</v>
      </c>
      <c r="C499" t="s">
        <v>50</v>
      </c>
      <c r="D499" t="s">
        <v>1</v>
      </c>
      <c r="E499" t="s">
        <v>3082</v>
      </c>
      <c r="F499" t="s">
        <v>3083</v>
      </c>
      <c r="G499" t="s">
        <v>179</v>
      </c>
      <c r="H499">
        <v>20</v>
      </c>
      <c r="I499">
        <v>85</v>
      </c>
      <c r="J499">
        <v>80.900000000000006</v>
      </c>
      <c r="K499">
        <v>-4.0999999999999996</v>
      </c>
      <c r="L499">
        <v>7</v>
      </c>
      <c r="M499">
        <v>2</v>
      </c>
      <c r="N499">
        <v>11</v>
      </c>
      <c r="O499" t="s">
        <v>53</v>
      </c>
      <c r="P499" t="s">
        <v>53</v>
      </c>
      <c r="Q499" t="s">
        <v>53</v>
      </c>
    </row>
    <row r="500" spans="1:17" s="30" customFormat="1" x14ac:dyDescent="0.2">
      <c r="A500" s="30" t="str">
        <f>IF(C500&amp;G500&amp;D500&lt;&gt;'Funnel setup'!$K$3&amp;'Funnel setup'!$K$4&amp;'Funnel setup'!$K$5,".",IF(A499=".",1,A499+1))</f>
        <v>.</v>
      </c>
      <c r="B500" s="431" t="str">
        <f t="shared" si="7"/>
        <v>Groin HerniaProviderCHESTERFIELD ROYAL HOSPITAL NHS FOUNDATION TRUST (RFS)EQ VAS</v>
      </c>
      <c r="C500" t="s">
        <v>50</v>
      </c>
      <c r="D500" t="s">
        <v>1</v>
      </c>
      <c r="E500" t="s">
        <v>3085</v>
      </c>
      <c r="F500" t="s">
        <v>3086</v>
      </c>
      <c r="G500" t="s">
        <v>179</v>
      </c>
      <c r="H500">
        <v>146</v>
      </c>
      <c r="I500">
        <v>79.438000000000002</v>
      </c>
      <c r="J500">
        <v>78.507000000000005</v>
      </c>
      <c r="K500">
        <v>-0.93200000000000005</v>
      </c>
      <c r="L500">
        <v>63</v>
      </c>
      <c r="M500">
        <v>27</v>
      </c>
      <c r="N500">
        <v>56</v>
      </c>
      <c r="O500">
        <v>80.016000000000005</v>
      </c>
      <c r="P500">
        <v>-0.62949956500000004</v>
      </c>
      <c r="Q500">
        <v>12.484</v>
      </c>
    </row>
    <row r="501" spans="1:17" s="30" customFormat="1" x14ac:dyDescent="0.2">
      <c r="A501" s="30" t="str">
        <f>IF(C501&amp;G501&amp;D501&lt;&gt;'Funnel setup'!$K$3&amp;'Funnel setup'!$K$4&amp;'Funnel setup'!$K$5,".",IF(A500=".",1,A500+1))</f>
        <v>.</v>
      </c>
      <c r="B501" s="431" t="str">
        <f t="shared" si="7"/>
        <v>Groin HerniaProviderCIRCLE - NOTTINGHAM NHS TREATMENT CENTRE (NV313)EQ VAS</v>
      </c>
      <c r="C501" t="s">
        <v>50</v>
      </c>
      <c r="D501" t="s">
        <v>1</v>
      </c>
      <c r="E501" t="s">
        <v>3094</v>
      </c>
      <c r="F501" t="s">
        <v>3095</v>
      </c>
      <c r="G501" t="s">
        <v>179</v>
      </c>
      <c r="H501">
        <v>181</v>
      </c>
      <c r="I501">
        <v>82.430999999999997</v>
      </c>
      <c r="J501">
        <v>81.248999999999995</v>
      </c>
      <c r="K501">
        <v>-1.1819999999999999</v>
      </c>
      <c r="L501">
        <v>75</v>
      </c>
      <c r="M501">
        <v>30</v>
      </c>
      <c r="N501">
        <v>76</v>
      </c>
      <c r="O501">
        <v>79.528999999999996</v>
      </c>
      <c r="P501">
        <v>-1.116645688</v>
      </c>
      <c r="Q501">
        <v>12.407</v>
      </c>
    </row>
    <row r="502" spans="1:17" s="30" customFormat="1" x14ac:dyDescent="0.2">
      <c r="A502" s="30" t="str">
        <f>IF(C502&amp;G502&amp;D502&lt;&gt;'Funnel setup'!$K$3&amp;'Funnel setup'!$K$4&amp;'Funnel setup'!$K$5,".",IF(A501=".",1,A501+1))</f>
        <v>.</v>
      </c>
      <c r="B502" s="431" t="str">
        <f t="shared" si="7"/>
        <v>Groin HerniaProviderCIRCLE BATH HOSPITAL (NV302)EQ VAS</v>
      </c>
      <c r="C502" t="s">
        <v>50</v>
      </c>
      <c r="D502" t="s">
        <v>1</v>
      </c>
      <c r="E502" t="s">
        <v>3097</v>
      </c>
      <c r="F502" t="s">
        <v>3098</v>
      </c>
      <c r="G502" t="s">
        <v>179</v>
      </c>
      <c r="H502">
        <v>43</v>
      </c>
      <c r="I502">
        <v>87.093000000000004</v>
      </c>
      <c r="J502">
        <v>87.488</v>
      </c>
      <c r="K502">
        <v>0.39500000000000002</v>
      </c>
      <c r="L502">
        <v>13</v>
      </c>
      <c r="M502">
        <v>17</v>
      </c>
      <c r="N502">
        <v>13</v>
      </c>
      <c r="O502">
        <v>82.372</v>
      </c>
      <c r="P502">
        <v>1.7268356890000001</v>
      </c>
      <c r="Q502">
        <v>8.86</v>
      </c>
    </row>
    <row r="503" spans="1:17" s="30" customFormat="1" x14ac:dyDescent="0.2">
      <c r="A503" s="30" t="str">
        <f>IF(C503&amp;G503&amp;D503&lt;&gt;'Funnel setup'!$K$3&amp;'Funnel setup'!$K$4&amp;'Funnel setup'!$K$5,".",IF(A502=".",1,A502+1))</f>
        <v>.</v>
      </c>
      <c r="B503" s="431" t="str">
        <f t="shared" si="7"/>
        <v>Groin HerniaProviderCIRCLE READING HOSPITAL (NV323)EQ VAS</v>
      </c>
      <c r="C503" t="s">
        <v>50</v>
      </c>
      <c r="D503" t="s">
        <v>1</v>
      </c>
      <c r="E503" t="s">
        <v>3091</v>
      </c>
      <c r="F503" t="s">
        <v>3092</v>
      </c>
      <c r="G503" t="s">
        <v>179</v>
      </c>
      <c r="H503">
        <v>28</v>
      </c>
      <c r="I503">
        <v>82.679000000000002</v>
      </c>
      <c r="J503">
        <v>81.179000000000002</v>
      </c>
      <c r="K503">
        <v>-1.5</v>
      </c>
      <c r="L503">
        <v>10</v>
      </c>
      <c r="M503">
        <v>5</v>
      </c>
      <c r="N503">
        <v>13</v>
      </c>
      <c r="O503" t="s">
        <v>53</v>
      </c>
      <c r="P503" t="s">
        <v>53</v>
      </c>
      <c r="Q503" t="s">
        <v>53</v>
      </c>
    </row>
    <row r="504" spans="1:17" s="30" customFormat="1" x14ac:dyDescent="0.2">
      <c r="A504" s="30" t="str">
        <f>IF(C504&amp;G504&amp;D504&lt;&gt;'Funnel setup'!$K$3&amp;'Funnel setup'!$K$4&amp;'Funnel setup'!$K$5,".",IF(A503=".",1,A503+1))</f>
        <v>.</v>
      </c>
      <c r="B504" s="431" t="str">
        <f t="shared" si="7"/>
        <v>Groin HerniaProviderCIRENCESTER NHS TREATMENT CENTRE (NTPH4)EQ VAS</v>
      </c>
      <c r="C504" t="s">
        <v>50</v>
      </c>
      <c r="D504" t="s">
        <v>1</v>
      </c>
      <c r="E504" t="s">
        <v>3088</v>
      </c>
      <c r="F504" t="s">
        <v>3089</v>
      </c>
      <c r="G504" t="s">
        <v>179</v>
      </c>
      <c r="H504">
        <v>72</v>
      </c>
      <c r="I504">
        <v>85.138999999999996</v>
      </c>
      <c r="J504">
        <v>86.957999999999998</v>
      </c>
      <c r="K504">
        <v>1.819</v>
      </c>
      <c r="L504">
        <v>29</v>
      </c>
      <c r="M504">
        <v>14</v>
      </c>
      <c r="N504">
        <v>29</v>
      </c>
      <c r="O504">
        <v>81.994</v>
      </c>
      <c r="P504">
        <v>1.3484348230000001</v>
      </c>
      <c r="Q504">
        <v>8.6310000000000002</v>
      </c>
    </row>
    <row r="505" spans="1:17" s="30" customFormat="1" x14ac:dyDescent="0.2">
      <c r="A505" s="30" t="str">
        <f>IF(C505&amp;G505&amp;D505&lt;&gt;'Funnel setup'!$K$3&amp;'Funnel setup'!$K$4&amp;'Funnel setup'!$K$5,".",IF(A504=".",1,A504+1))</f>
        <v>.</v>
      </c>
      <c r="B505" s="431" t="str">
        <f t="shared" si="7"/>
        <v>Groin HerniaProviderCITY HOSPITALS SUNDERLAND NHS FOUNDATION TRUST (RLN)EQ VAS</v>
      </c>
      <c r="C505" t="s">
        <v>50</v>
      </c>
      <c r="D505" t="s">
        <v>1</v>
      </c>
      <c r="E505" t="s">
        <v>3100</v>
      </c>
      <c r="F505" t="s">
        <v>3101</v>
      </c>
      <c r="G505" t="s">
        <v>179</v>
      </c>
      <c r="H505">
        <v>143</v>
      </c>
      <c r="I505">
        <v>74.923000000000002</v>
      </c>
      <c r="J505">
        <v>72.566000000000003</v>
      </c>
      <c r="K505">
        <v>-2.3570000000000002</v>
      </c>
      <c r="L505">
        <v>50</v>
      </c>
      <c r="M505">
        <v>27</v>
      </c>
      <c r="N505">
        <v>66</v>
      </c>
      <c r="O505">
        <v>78.084000000000003</v>
      </c>
      <c r="P505">
        <v>-2.5616894939999999</v>
      </c>
      <c r="Q505">
        <v>14.894</v>
      </c>
    </row>
    <row r="506" spans="1:17" s="30" customFormat="1" x14ac:dyDescent="0.2">
      <c r="A506" s="30" t="str">
        <f>IF(C506&amp;G506&amp;D506&lt;&gt;'Funnel setup'!$K$3&amp;'Funnel setup'!$K$4&amp;'Funnel setup'!$K$5,".",IF(A505=".",1,A505+1))</f>
        <v>.</v>
      </c>
      <c r="B506" s="431" t="str">
        <f t="shared" si="7"/>
        <v>Groin HerniaProviderCOBALT HOSPITAL (NVC29)EQ VAS</v>
      </c>
      <c r="C506" t="s">
        <v>50</v>
      </c>
      <c r="D506" t="s">
        <v>1</v>
      </c>
      <c r="E506" t="s">
        <v>3106</v>
      </c>
      <c r="F506" t="s">
        <v>3107</v>
      </c>
      <c r="G506" t="s">
        <v>179</v>
      </c>
      <c r="H506">
        <v>53</v>
      </c>
      <c r="I506">
        <v>86.697999999999993</v>
      </c>
      <c r="J506">
        <v>82.358000000000004</v>
      </c>
      <c r="K506">
        <v>-4.34</v>
      </c>
      <c r="L506">
        <v>14</v>
      </c>
      <c r="M506">
        <v>12</v>
      </c>
      <c r="N506">
        <v>27</v>
      </c>
      <c r="O506">
        <v>77.201999999999998</v>
      </c>
      <c r="P506">
        <v>-3.4436596119999998</v>
      </c>
      <c r="Q506">
        <v>12.32</v>
      </c>
    </row>
    <row r="507" spans="1:17" s="30" customFormat="1" x14ac:dyDescent="0.2">
      <c r="A507" s="30" t="str">
        <f>IF(C507&amp;G507&amp;D507&lt;&gt;'Funnel setup'!$K$3&amp;'Funnel setup'!$K$4&amp;'Funnel setup'!$K$5,".",IF(A506=".",1,A506+1))</f>
        <v>.</v>
      </c>
      <c r="B507" s="431" t="str">
        <f t="shared" si="7"/>
        <v>Groin HerniaProviderCOLCHESTER HOSPITAL UNIVERSITY NHS FOUNDATION TRUST (RDE)EQ VAS</v>
      </c>
      <c r="C507" t="s">
        <v>50</v>
      </c>
      <c r="D507" t="s">
        <v>1</v>
      </c>
      <c r="E507" t="s">
        <v>3109</v>
      </c>
      <c r="F507" t="s">
        <v>3110</v>
      </c>
      <c r="G507" t="s">
        <v>179</v>
      </c>
      <c r="H507">
        <v>153</v>
      </c>
      <c r="I507">
        <v>75.477000000000004</v>
      </c>
      <c r="J507">
        <v>76.084999999999994</v>
      </c>
      <c r="K507">
        <v>0.60799999999999998</v>
      </c>
      <c r="L507">
        <v>58</v>
      </c>
      <c r="M507">
        <v>35</v>
      </c>
      <c r="N507">
        <v>60</v>
      </c>
      <c r="O507">
        <v>80.102999999999994</v>
      </c>
      <c r="P507">
        <v>-0.54229810199999995</v>
      </c>
      <c r="Q507">
        <v>13.38</v>
      </c>
    </row>
    <row r="508" spans="1:17" s="30" customFormat="1" x14ac:dyDescent="0.2">
      <c r="A508" s="30" t="str">
        <f>IF(C508&amp;G508&amp;D508&lt;&gt;'Funnel setup'!$K$3&amp;'Funnel setup'!$K$4&amp;'Funnel setup'!$K$5,".",IF(A507=".",1,A507+1))</f>
        <v>.</v>
      </c>
      <c r="B508" s="431" t="str">
        <f t="shared" si="7"/>
        <v>Groin HerniaProviderCOUNTESS OF CHESTER HOSPITAL NHS FOUNDATION TRUST (RJR)EQ VAS</v>
      </c>
      <c r="C508" t="s">
        <v>50</v>
      </c>
      <c r="D508" t="s">
        <v>1</v>
      </c>
      <c r="E508" t="s">
        <v>3781</v>
      </c>
      <c r="F508" t="s">
        <v>3782</v>
      </c>
      <c r="G508" t="s">
        <v>179</v>
      </c>
      <c r="H508">
        <v>91</v>
      </c>
      <c r="I508">
        <v>78.912000000000006</v>
      </c>
      <c r="J508">
        <v>80.44</v>
      </c>
      <c r="K508">
        <v>1.5269999999999999</v>
      </c>
      <c r="L508">
        <v>44</v>
      </c>
      <c r="M508">
        <v>17</v>
      </c>
      <c r="N508">
        <v>30</v>
      </c>
      <c r="O508">
        <v>81.415999999999997</v>
      </c>
      <c r="P508">
        <v>0.77024670900000003</v>
      </c>
      <c r="Q508">
        <v>13.363</v>
      </c>
    </row>
    <row r="509" spans="1:17" s="30" customFormat="1" x14ac:dyDescent="0.2">
      <c r="A509" s="30" t="str">
        <f>IF(C509&amp;G509&amp;D509&lt;&gt;'Funnel setup'!$K$3&amp;'Funnel setup'!$K$4&amp;'Funnel setup'!$K$5,".",IF(A508=".",1,A508+1))</f>
        <v>.</v>
      </c>
      <c r="B509" s="431" t="str">
        <f t="shared" si="7"/>
        <v>Groin HerniaProviderCOUNTY DURHAM AND DARLINGTON NHS FOUNDATION TRUST (RXP)EQ VAS</v>
      </c>
      <c r="C509" t="s">
        <v>50</v>
      </c>
      <c r="D509" t="s">
        <v>1</v>
      </c>
      <c r="E509" t="s">
        <v>3784</v>
      </c>
      <c r="F509" t="s">
        <v>3785</v>
      </c>
      <c r="G509" t="s">
        <v>179</v>
      </c>
      <c r="H509">
        <v>172</v>
      </c>
      <c r="I509">
        <v>80.650999999999996</v>
      </c>
      <c r="J509">
        <v>77.366</v>
      </c>
      <c r="K509">
        <v>-3.2850000000000001</v>
      </c>
      <c r="L509">
        <v>52</v>
      </c>
      <c r="M509">
        <v>37</v>
      </c>
      <c r="N509">
        <v>83</v>
      </c>
      <c r="O509">
        <v>78.366</v>
      </c>
      <c r="P509">
        <v>-2.2795320810000002</v>
      </c>
      <c r="Q509">
        <v>13.539</v>
      </c>
    </row>
    <row r="510" spans="1:17" s="30" customFormat="1" x14ac:dyDescent="0.2">
      <c r="A510" s="30" t="str">
        <f>IF(C510&amp;G510&amp;D510&lt;&gt;'Funnel setup'!$K$3&amp;'Funnel setup'!$K$4&amp;'Funnel setup'!$K$5,".",IF(A509=".",1,A509+1))</f>
        <v>.</v>
      </c>
      <c r="B510" s="431" t="str">
        <f t="shared" si="7"/>
        <v>Groin HerniaProviderDARTFORD AND GRAVESHAM NHS TRUST (RN7)EQ VAS</v>
      </c>
      <c r="C510" t="s">
        <v>50</v>
      </c>
      <c r="D510" t="s">
        <v>1</v>
      </c>
      <c r="E510" t="s">
        <v>3787</v>
      </c>
      <c r="F510" t="s">
        <v>3788</v>
      </c>
      <c r="G510" t="s">
        <v>179</v>
      </c>
      <c r="H510">
        <v>193</v>
      </c>
      <c r="I510">
        <v>81.052000000000007</v>
      </c>
      <c r="J510">
        <v>80.658000000000001</v>
      </c>
      <c r="K510">
        <v>-0.39400000000000002</v>
      </c>
      <c r="L510">
        <v>66</v>
      </c>
      <c r="M510">
        <v>44</v>
      </c>
      <c r="N510">
        <v>83</v>
      </c>
      <c r="O510">
        <v>81.087000000000003</v>
      </c>
      <c r="P510">
        <v>0.44122196499999999</v>
      </c>
      <c r="Q510">
        <v>12.071999999999999</v>
      </c>
    </row>
    <row r="511" spans="1:17" s="30" customFormat="1" x14ac:dyDescent="0.2">
      <c r="A511" s="30" t="str">
        <f>IF(C511&amp;G511&amp;D511&lt;&gt;'Funnel setup'!$K$3&amp;'Funnel setup'!$K$4&amp;'Funnel setup'!$K$5,".",IF(A510=".",1,A510+1))</f>
        <v>.</v>
      </c>
      <c r="B511" s="431" t="str">
        <f t="shared" si="7"/>
        <v>Groin HerniaProviderDERBY TEACHING HOSPITALS NHS FOUNDATION TRUST (RTG)EQ VAS</v>
      </c>
      <c r="C511" t="s">
        <v>50</v>
      </c>
      <c r="D511" t="s">
        <v>1</v>
      </c>
      <c r="E511" t="s">
        <v>3790</v>
      </c>
      <c r="F511" t="s">
        <v>3791</v>
      </c>
      <c r="G511" t="s">
        <v>179</v>
      </c>
      <c r="H511">
        <v>140</v>
      </c>
      <c r="I511">
        <v>81.114000000000004</v>
      </c>
      <c r="J511">
        <v>79.286000000000001</v>
      </c>
      <c r="K511">
        <v>-1.829</v>
      </c>
      <c r="L511">
        <v>51</v>
      </c>
      <c r="M511">
        <v>34</v>
      </c>
      <c r="N511">
        <v>55</v>
      </c>
      <c r="O511">
        <v>79.551000000000002</v>
      </c>
      <c r="P511">
        <v>-1.0942283770000001</v>
      </c>
      <c r="Q511">
        <v>12.705</v>
      </c>
    </row>
    <row r="512" spans="1:17" s="30" customFormat="1" x14ac:dyDescent="0.2">
      <c r="A512" s="30" t="str">
        <f>IF(C512&amp;G512&amp;D512&lt;&gt;'Funnel setup'!$K$3&amp;'Funnel setup'!$K$4&amp;'Funnel setup'!$K$5,".",IF(A511=".",1,A511+1))</f>
        <v>.</v>
      </c>
      <c r="B512" s="431" t="str">
        <f t="shared" si="7"/>
        <v>Groin HerniaProviderDERBYSHIRE COMMUNITY HEALTH SERVICES NHS FOUNDATION TRUST (RY8)EQ VAS</v>
      </c>
      <c r="C512" t="s">
        <v>50</v>
      </c>
      <c r="D512" t="s">
        <v>1</v>
      </c>
      <c r="E512" t="s">
        <v>3811</v>
      </c>
      <c r="F512" t="s">
        <v>3812</v>
      </c>
      <c r="G512" t="s">
        <v>179</v>
      </c>
      <c r="H512" t="s">
        <v>53</v>
      </c>
      <c r="I512" t="s">
        <v>53</v>
      </c>
      <c r="J512" t="s">
        <v>53</v>
      </c>
      <c r="K512" t="s">
        <v>53</v>
      </c>
      <c r="L512" t="s">
        <v>53</v>
      </c>
      <c r="M512" t="s">
        <v>53</v>
      </c>
      <c r="N512" t="s">
        <v>53</v>
      </c>
      <c r="O512" t="s">
        <v>53</v>
      </c>
      <c r="P512" t="s">
        <v>53</v>
      </c>
      <c r="Q512" t="s">
        <v>53</v>
      </c>
    </row>
    <row r="513" spans="1:17" s="30" customFormat="1" x14ac:dyDescent="0.2">
      <c r="A513" s="30" t="str">
        <f>IF(C513&amp;G513&amp;D513&lt;&gt;'Funnel setup'!$K$3&amp;'Funnel setup'!$K$4&amp;'Funnel setup'!$K$5,".",IF(A512=".",1,A512+1))</f>
        <v>.</v>
      </c>
      <c r="B513" s="431" t="str">
        <f t="shared" si="7"/>
        <v>Groin HerniaProviderDEVIZES NHS TREATMENT CENTRE (NTPH3)EQ VAS</v>
      </c>
      <c r="C513" t="s">
        <v>50</v>
      </c>
      <c r="D513" t="s">
        <v>1</v>
      </c>
      <c r="E513" t="s">
        <v>3796</v>
      </c>
      <c r="F513" t="s">
        <v>3797</v>
      </c>
      <c r="G513" t="s">
        <v>179</v>
      </c>
      <c r="H513">
        <v>91</v>
      </c>
      <c r="I513">
        <v>84.406999999999996</v>
      </c>
      <c r="J513">
        <v>84.076999999999998</v>
      </c>
      <c r="K513">
        <v>-0.33</v>
      </c>
      <c r="L513">
        <v>34</v>
      </c>
      <c r="M513">
        <v>17</v>
      </c>
      <c r="N513">
        <v>40</v>
      </c>
      <c r="O513">
        <v>80.796000000000006</v>
      </c>
      <c r="P513">
        <v>0.15098120400000001</v>
      </c>
      <c r="Q513">
        <v>8.5190000000000001</v>
      </c>
    </row>
    <row r="514" spans="1:17" s="30" customFormat="1" x14ac:dyDescent="0.2">
      <c r="A514" s="30" t="str">
        <f>IF(C514&amp;G514&amp;D514&lt;&gt;'Funnel setup'!$K$3&amp;'Funnel setup'!$K$4&amp;'Funnel setup'!$K$5,".",IF(A513=".",1,A513+1))</f>
        <v>.</v>
      </c>
      <c r="B514" s="431" t="str">
        <f t="shared" si="7"/>
        <v>Groin HerniaProviderDONCASTER AND BASSETLAW HOSPITALS NHS FOUNDATION TRUST (RP5)EQ VAS</v>
      </c>
      <c r="C514" t="s">
        <v>50</v>
      </c>
      <c r="D514" t="s">
        <v>1</v>
      </c>
      <c r="E514" t="s">
        <v>3799</v>
      </c>
      <c r="F514" t="s">
        <v>3800</v>
      </c>
      <c r="G514" t="s">
        <v>179</v>
      </c>
      <c r="H514">
        <v>251</v>
      </c>
      <c r="I514">
        <v>78.828999999999994</v>
      </c>
      <c r="J514">
        <v>77.844999999999999</v>
      </c>
      <c r="K514">
        <v>-0.98399999999999999</v>
      </c>
      <c r="L514">
        <v>88</v>
      </c>
      <c r="M514">
        <v>52</v>
      </c>
      <c r="N514">
        <v>111</v>
      </c>
      <c r="O514">
        <v>79.721999999999994</v>
      </c>
      <c r="P514">
        <v>-0.92304884099999995</v>
      </c>
      <c r="Q514">
        <v>11.99</v>
      </c>
    </row>
    <row r="515" spans="1:17" s="30" customFormat="1" x14ac:dyDescent="0.2">
      <c r="A515" s="30" t="str">
        <f>IF(C515&amp;G515&amp;D515&lt;&gt;'Funnel setup'!$K$3&amp;'Funnel setup'!$K$4&amp;'Funnel setup'!$K$5,".",IF(A514=".",1,A514+1))</f>
        <v>.</v>
      </c>
      <c r="B515" s="431" t="str">
        <f t="shared" ref="B515:B578" si="8">C515&amp;D515&amp;F515&amp;G515</f>
        <v>Groin HerniaProviderDORSET COUNTY HOSPITAL NHS FOUNDATION TRUST (RBD)EQ VAS</v>
      </c>
      <c r="C515" t="s">
        <v>50</v>
      </c>
      <c r="D515" t="s">
        <v>1</v>
      </c>
      <c r="E515" t="s">
        <v>3802</v>
      </c>
      <c r="F515" t="s">
        <v>3803</v>
      </c>
      <c r="G515" t="s">
        <v>179</v>
      </c>
      <c r="H515">
        <v>62</v>
      </c>
      <c r="I515">
        <v>81.451999999999998</v>
      </c>
      <c r="J515">
        <v>80.161000000000001</v>
      </c>
      <c r="K515">
        <v>-1.29</v>
      </c>
      <c r="L515">
        <v>23</v>
      </c>
      <c r="M515">
        <v>15</v>
      </c>
      <c r="N515">
        <v>24</v>
      </c>
      <c r="O515">
        <v>79.691000000000003</v>
      </c>
      <c r="P515">
        <v>-0.95439721799999999</v>
      </c>
      <c r="Q515">
        <v>12.081</v>
      </c>
    </row>
    <row r="516" spans="1:17" s="30" customFormat="1" x14ac:dyDescent="0.2">
      <c r="A516" s="30" t="str">
        <f>IF(C516&amp;G516&amp;D516&lt;&gt;'Funnel setup'!$K$3&amp;'Funnel setup'!$K$4&amp;'Funnel setup'!$K$5,".",IF(A515=".",1,A515+1))</f>
        <v>.</v>
      </c>
      <c r="B516" s="431" t="str">
        <f t="shared" si="8"/>
        <v>Groin HerniaProviderDORSET HEALTHCARE UNIVERSITY NHS FOUNDATION TRUST (RDY)EQ VAS</v>
      </c>
      <c r="C516" t="s">
        <v>50</v>
      </c>
      <c r="D516" t="s">
        <v>1</v>
      </c>
      <c r="E516" t="s">
        <v>3805</v>
      </c>
      <c r="F516" t="s">
        <v>3806</v>
      </c>
      <c r="G516" t="s">
        <v>179</v>
      </c>
      <c r="H516">
        <v>87</v>
      </c>
      <c r="I516">
        <v>85.92</v>
      </c>
      <c r="J516">
        <v>83.253</v>
      </c>
      <c r="K516">
        <v>-2.6669999999999998</v>
      </c>
      <c r="L516">
        <v>30</v>
      </c>
      <c r="M516">
        <v>10</v>
      </c>
      <c r="N516">
        <v>47</v>
      </c>
      <c r="O516">
        <v>79.004999999999995</v>
      </c>
      <c r="P516">
        <v>-1.6403498540000001</v>
      </c>
      <c r="Q516">
        <v>11.48</v>
      </c>
    </row>
    <row r="517" spans="1:17" s="30" customFormat="1" x14ac:dyDescent="0.2">
      <c r="A517" s="30" t="str">
        <f>IF(C517&amp;G517&amp;D517&lt;&gt;'Funnel setup'!$K$3&amp;'Funnel setup'!$K$4&amp;'Funnel setup'!$K$5,".",IF(A516=".",1,A516+1))</f>
        <v>.</v>
      </c>
      <c r="B517" s="431" t="str">
        <f t="shared" si="8"/>
        <v>Groin HerniaProviderEAST AND NORTH HERTFORDSHIRE NHS TRUST (RWH)EQ VAS</v>
      </c>
      <c r="C517" t="s">
        <v>50</v>
      </c>
      <c r="D517" t="s">
        <v>1</v>
      </c>
      <c r="E517" t="s">
        <v>3814</v>
      </c>
      <c r="F517" t="s">
        <v>3815</v>
      </c>
      <c r="G517" t="s">
        <v>179</v>
      </c>
      <c r="H517">
        <v>63</v>
      </c>
      <c r="I517">
        <v>79.429000000000002</v>
      </c>
      <c r="J517">
        <v>78.286000000000001</v>
      </c>
      <c r="K517">
        <v>-1.143</v>
      </c>
      <c r="L517">
        <v>21</v>
      </c>
      <c r="M517">
        <v>14</v>
      </c>
      <c r="N517">
        <v>28</v>
      </c>
      <c r="O517">
        <v>78.878</v>
      </c>
      <c r="P517">
        <v>-1.7671005900000001</v>
      </c>
      <c r="Q517">
        <v>10.859</v>
      </c>
    </row>
    <row r="518" spans="1:17" s="30" customFormat="1" x14ac:dyDescent="0.2">
      <c r="A518" s="30" t="str">
        <f>IF(C518&amp;G518&amp;D518&lt;&gt;'Funnel setup'!$K$3&amp;'Funnel setup'!$K$4&amp;'Funnel setup'!$K$5,".",IF(A517=".",1,A517+1))</f>
        <v>.</v>
      </c>
      <c r="B518" s="431" t="str">
        <f t="shared" si="8"/>
        <v>Groin HerniaProviderEAST CHESHIRE NHS TRUST (RJN)EQ VAS</v>
      </c>
      <c r="C518" t="s">
        <v>50</v>
      </c>
      <c r="D518" t="s">
        <v>1</v>
      </c>
      <c r="E518" t="s">
        <v>3817</v>
      </c>
      <c r="F518" t="s">
        <v>3818</v>
      </c>
      <c r="G518" t="s">
        <v>179</v>
      </c>
      <c r="H518">
        <v>77</v>
      </c>
      <c r="I518">
        <v>79.325000000000003</v>
      </c>
      <c r="J518">
        <v>79.662000000000006</v>
      </c>
      <c r="K518">
        <v>0.33800000000000002</v>
      </c>
      <c r="L518">
        <v>35</v>
      </c>
      <c r="M518">
        <v>18</v>
      </c>
      <c r="N518">
        <v>24</v>
      </c>
      <c r="O518">
        <v>80.745000000000005</v>
      </c>
      <c r="P518">
        <v>9.9102568000000002E-2</v>
      </c>
      <c r="Q518">
        <v>10.837</v>
      </c>
    </row>
    <row r="519" spans="1:17" s="30" customFormat="1" x14ac:dyDescent="0.2">
      <c r="A519" s="30" t="str">
        <f>IF(C519&amp;G519&amp;D519&lt;&gt;'Funnel setup'!$K$3&amp;'Funnel setup'!$K$4&amp;'Funnel setup'!$K$5,".",IF(A518=".",1,A518+1))</f>
        <v>.</v>
      </c>
      <c r="B519" s="431" t="str">
        <f t="shared" si="8"/>
        <v>Groin HerniaProviderEAST KENT HOSPITALS UNIVERSITY NHS FOUNDATION TRUST (RVV)EQ VAS</v>
      </c>
      <c r="C519" t="s">
        <v>50</v>
      </c>
      <c r="D519" t="s">
        <v>1</v>
      </c>
      <c r="E519" t="s">
        <v>3820</v>
      </c>
      <c r="F519" t="s">
        <v>3821</v>
      </c>
      <c r="G519" t="s">
        <v>179</v>
      </c>
      <c r="H519">
        <v>180</v>
      </c>
      <c r="I519">
        <v>79.150000000000006</v>
      </c>
      <c r="J519">
        <v>79.471999999999994</v>
      </c>
      <c r="K519">
        <v>0.32200000000000001</v>
      </c>
      <c r="L519">
        <v>72</v>
      </c>
      <c r="M519">
        <v>35</v>
      </c>
      <c r="N519">
        <v>73</v>
      </c>
      <c r="O519">
        <v>80.397999999999996</v>
      </c>
      <c r="P519">
        <v>-0.24786660499999999</v>
      </c>
      <c r="Q519">
        <v>12.497</v>
      </c>
    </row>
    <row r="520" spans="1:17" s="30" customFormat="1" x14ac:dyDescent="0.2">
      <c r="A520" s="30" t="str">
        <f>IF(C520&amp;G520&amp;D520&lt;&gt;'Funnel setup'!$K$3&amp;'Funnel setup'!$K$4&amp;'Funnel setup'!$K$5,".",IF(A519=".",1,A519+1))</f>
        <v>.</v>
      </c>
      <c r="B520" s="431" t="str">
        <f t="shared" si="8"/>
        <v>Groin HerniaProviderEAST LANCASHIRE HOSPITALS NHS TRUST (RXR)EQ VAS</v>
      </c>
      <c r="C520" t="s">
        <v>50</v>
      </c>
      <c r="D520" t="s">
        <v>1</v>
      </c>
      <c r="E520" t="s">
        <v>3823</v>
      </c>
      <c r="F520" t="s">
        <v>3824</v>
      </c>
      <c r="G520" t="s">
        <v>179</v>
      </c>
      <c r="H520">
        <v>175</v>
      </c>
      <c r="I520">
        <v>77.760000000000005</v>
      </c>
      <c r="J520">
        <v>78.28</v>
      </c>
      <c r="K520">
        <v>0.52</v>
      </c>
      <c r="L520">
        <v>73</v>
      </c>
      <c r="M520">
        <v>33</v>
      </c>
      <c r="N520">
        <v>69</v>
      </c>
      <c r="O520">
        <v>81.619</v>
      </c>
      <c r="P520">
        <v>0.97334783999999996</v>
      </c>
      <c r="Q520">
        <v>12.708</v>
      </c>
    </row>
    <row r="521" spans="1:17" s="30" customFormat="1" x14ac:dyDescent="0.2">
      <c r="A521" s="30" t="str">
        <f>IF(C521&amp;G521&amp;D521&lt;&gt;'Funnel setup'!$K$3&amp;'Funnel setup'!$K$4&amp;'Funnel setup'!$K$5,".",IF(A520=".",1,A520+1))</f>
        <v>.</v>
      </c>
      <c r="B521" s="431" t="str">
        <f t="shared" si="8"/>
        <v>Groin HerniaProviderEAST SUSSEX HEALTHCARE NHS TRUST (RXC)EQ VAS</v>
      </c>
      <c r="C521" t="s">
        <v>50</v>
      </c>
      <c r="D521" t="s">
        <v>1</v>
      </c>
      <c r="E521" t="s">
        <v>3826</v>
      </c>
      <c r="F521" t="s">
        <v>3827</v>
      </c>
      <c r="G521" t="s">
        <v>179</v>
      </c>
      <c r="H521">
        <v>127</v>
      </c>
      <c r="I521">
        <v>78.89</v>
      </c>
      <c r="J521">
        <v>77.858000000000004</v>
      </c>
      <c r="K521">
        <v>-1.0309999999999999</v>
      </c>
      <c r="L521">
        <v>51</v>
      </c>
      <c r="M521">
        <v>21</v>
      </c>
      <c r="N521">
        <v>55</v>
      </c>
      <c r="O521">
        <v>78.765000000000001</v>
      </c>
      <c r="P521">
        <v>-1.8800311000000001</v>
      </c>
      <c r="Q521">
        <v>14.808999999999999</v>
      </c>
    </row>
    <row r="522" spans="1:17" s="30" customFormat="1" x14ac:dyDescent="0.2">
      <c r="A522" s="30" t="str">
        <f>IF(C522&amp;G522&amp;D522&lt;&gt;'Funnel setup'!$K$3&amp;'Funnel setup'!$K$4&amp;'Funnel setup'!$K$5,".",IF(A521=".",1,A521+1))</f>
        <v>.</v>
      </c>
      <c r="B522" s="431" t="str">
        <f t="shared" si="8"/>
        <v>Groin HerniaProviderEMERSONS GREEN NHS TREATMENT CENTRE (NTPH2)EQ VAS</v>
      </c>
      <c r="C522" t="s">
        <v>50</v>
      </c>
      <c r="D522" t="s">
        <v>1</v>
      </c>
      <c r="E522" t="s">
        <v>3829</v>
      </c>
      <c r="F522" t="s">
        <v>3830</v>
      </c>
      <c r="G522" t="s">
        <v>179</v>
      </c>
      <c r="H522">
        <v>246</v>
      </c>
      <c r="I522">
        <v>83.126000000000005</v>
      </c>
      <c r="J522">
        <v>81.337000000000003</v>
      </c>
      <c r="K522">
        <v>-1.7889999999999999</v>
      </c>
      <c r="L522">
        <v>95</v>
      </c>
      <c r="M522">
        <v>37</v>
      </c>
      <c r="N522">
        <v>114</v>
      </c>
      <c r="O522">
        <v>79.397000000000006</v>
      </c>
      <c r="P522">
        <v>-1.2479615690000001</v>
      </c>
      <c r="Q522">
        <v>12.461</v>
      </c>
    </row>
    <row r="523" spans="1:17" s="30" customFormat="1" x14ac:dyDescent="0.2">
      <c r="A523" s="30" t="str">
        <f>IF(C523&amp;G523&amp;D523&lt;&gt;'Funnel setup'!$K$3&amp;'Funnel setup'!$K$4&amp;'Funnel setup'!$K$5,".",IF(A522=".",1,A522+1))</f>
        <v>.</v>
      </c>
      <c r="B523" s="431" t="str">
        <f t="shared" si="8"/>
        <v>Groin HerniaProviderEPSOM AND ST HELIER UNIVERSITY HOSPITALS NHS TRUST (RVR)EQ VAS</v>
      </c>
      <c r="C523" t="s">
        <v>50</v>
      </c>
      <c r="D523" t="s">
        <v>1</v>
      </c>
      <c r="E523" t="s">
        <v>3849</v>
      </c>
      <c r="F523" t="s">
        <v>3850</v>
      </c>
      <c r="G523" t="s">
        <v>179</v>
      </c>
      <c r="H523">
        <v>110</v>
      </c>
      <c r="I523">
        <v>80.817999999999998</v>
      </c>
      <c r="J523">
        <v>80.436000000000007</v>
      </c>
      <c r="K523">
        <v>-0.38200000000000001</v>
      </c>
      <c r="L523">
        <v>38</v>
      </c>
      <c r="M523">
        <v>25</v>
      </c>
      <c r="N523">
        <v>47</v>
      </c>
      <c r="O523">
        <v>79.983999999999995</v>
      </c>
      <c r="P523">
        <v>-0.66137056699999996</v>
      </c>
      <c r="Q523">
        <v>10.214</v>
      </c>
    </row>
    <row r="524" spans="1:17" s="30" customFormat="1" x14ac:dyDescent="0.2">
      <c r="A524" s="30" t="str">
        <f>IF(C524&amp;G524&amp;D524&lt;&gt;'Funnel setup'!$K$3&amp;'Funnel setup'!$K$4&amp;'Funnel setup'!$K$5,".",IF(A523=".",1,A523+1))</f>
        <v>.</v>
      </c>
      <c r="B524" s="431" t="str">
        <f t="shared" si="8"/>
        <v>Groin HerniaProviderEUXTON HALL HOSPITAL (NVC05)EQ VAS</v>
      </c>
      <c r="C524" t="s">
        <v>50</v>
      </c>
      <c r="D524" t="s">
        <v>1</v>
      </c>
      <c r="E524" t="s">
        <v>3852</v>
      </c>
      <c r="F524" t="s">
        <v>3853</v>
      </c>
      <c r="G524" t="s">
        <v>179</v>
      </c>
      <c r="H524">
        <v>115</v>
      </c>
      <c r="I524">
        <v>80.338999999999999</v>
      </c>
      <c r="J524">
        <v>81.183000000000007</v>
      </c>
      <c r="K524">
        <v>0.84299999999999997</v>
      </c>
      <c r="L524">
        <v>48</v>
      </c>
      <c r="M524">
        <v>23</v>
      </c>
      <c r="N524">
        <v>44</v>
      </c>
      <c r="O524">
        <v>80.513000000000005</v>
      </c>
      <c r="P524">
        <v>-0.13196260500000001</v>
      </c>
      <c r="Q524">
        <v>13.984999999999999</v>
      </c>
    </row>
    <row r="525" spans="1:17" s="30" customFormat="1" x14ac:dyDescent="0.2">
      <c r="A525" s="30" t="str">
        <f>IF(C525&amp;G525&amp;D525&lt;&gt;'Funnel setup'!$K$3&amp;'Funnel setup'!$K$4&amp;'Funnel setup'!$K$5,".",IF(A524=".",1,A524+1))</f>
        <v>.</v>
      </c>
      <c r="B525" s="431" t="str">
        <f t="shared" si="8"/>
        <v>Groin HerniaProviderFITZWILLIAM HOSPITAL (NVC06)EQ VAS</v>
      </c>
      <c r="C525" t="s">
        <v>50</v>
      </c>
      <c r="D525" t="s">
        <v>1</v>
      </c>
      <c r="E525" t="s">
        <v>3858</v>
      </c>
      <c r="F525" t="s">
        <v>3859</v>
      </c>
      <c r="G525" t="s">
        <v>179</v>
      </c>
      <c r="H525">
        <v>37</v>
      </c>
      <c r="I525">
        <v>83.27</v>
      </c>
      <c r="J525">
        <v>78.864999999999995</v>
      </c>
      <c r="K525">
        <v>-4.4050000000000002</v>
      </c>
      <c r="L525">
        <v>11</v>
      </c>
      <c r="M525">
        <v>7</v>
      </c>
      <c r="N525">
        <v>19</v>
      </c>
      <c r="O525">
        <v>76.932000000000002</v>
      </c>
      <c r="P525">
        <v>-3.7135620610000002</v>
      </c>
      <c r="Q525">
        <v>11.548</v>
      </c>
    </row>
    <row r="526" spans="1:17" s="30" customFormat="1" x14ac:dyDescent="0.2">
      <c r="A526" s="30" t="str">
        <f>IF(C526&amp;G526&amp;D526&lt;&gt;'Funnel setup'!$K$3&amp;'Funnel setup'!$K$4&amp;'Funnel setup'!$K$5,".",IF(A525=".",1,A525+1))</f>
        <v>.</v>
      </c>
      <c r="B526" s="431" t="str">
        <f t="shared" si="8"/>
        <v>Groin HerniaProviderFOSCOTE COURT (BANBURY) TRUST LTD (AHH)EQ VAS</v>
      </c>
      <c r="C526" t="s">
        <v>50</v>
      </c>
      <c r="D526" t="s">
        <v>1</v>
      </c>
      <c r="E526" t="s">
        <v>3900</v>
      </c>
      <c r="F526" t="s">
        <v>3901</v>
      </c>
      <c r="G526" t="s">
        <v>179</v>
      </c>
      <c r="H526">
        <v>29</v>
      </c>
      <c r="I526">
        <v>82.552000000000007</v>
      </c>
      <c r="J526">
        <v>85.069000000000003</v>
      </c>
      <c r="K526">
        <v>2.5169999999999999</v>
      </c>
      <c r="L526">
        <v>10</v>
      </c>
      <c r="M526">
        <v>8</v>
      </c>
      <c r="N526">
        <v>11</v>
      </c>
      <c r="O526" t="s">
        <v>53</v>
      </c>
      <c r="P526" t="s">
        <v>53</v>
      </c>
      <c r="Q526" t="s">
        <v>53</v>
      </c>
    </row>
    <row r="527" spans="1:17" s="30" customFormat="1" x14ac:dyDescent="0.2">
      <c r="A527" s="30" t="str">
        <f>IF(C527&amp;G527&amp;D527&lt;&gt;'Funnel setup'!$K$3&amp;'Funnel setup'!$K$4&amp;'Funnel setup'!$K$5,".",IF(A526=".",1,A526+1))</f>
        <v>.</v>
      </c>
      <c r="B527" s="431" t="str">
        <f t="shared" si="8"/>
        <v>Groin HerniaProviderFRIMLEY HEALTH NHS FOUNDATION TRUST (RDU)EQ VAS</v>
      </c>
      <c r="C527" t="s">
        <v>50</v>
      </c>
      <c r="D527" t="s">
        <v>1</v>
      </c>
      <c r="E527" t="s">
        <v>3861</v>
      </c>
      <c r="F527" t="s">
        <v>3862</v>
      </c>
      <c r="G527" t="s">
        <v>179</v>
      </c>
      <c r="H527">
        <v>294</v>
      </c>
      <c r="I527">
        <v>78.468999999999994</v>
      </c>
      <c r="J527">
        <v>78.34</v>
      </c>
      <c r="K527">
        <v>-0.129</v>
      </c>
      <c r="L527">
        <v>112</v>
      </c>
      <c r="M527">
        <v>57</v>
      </c>
      <c r="N527">
        <v>125</v>
      </c>
      <c r="O527">
        <v>78.984999999999999</v>
      </c>
      <c r="P527">
        <v>-1.660814322</v>
      </c>
      <c r="Q527">
        <v>13.016999999999999</v>
      </c>
    </row>
    <row r="528" spans="1:17" s="30" customFormat="1" x14ac:dyDescent="0.2">
      <c r="A528" s="30" t="str">
        <f>IF(C528&amp;G528&amp;D528&lt;&gt;'Funnel setup'!$K$3&amp;'Funnel setup'!$K$4&amp;'Funnel setup'!$K$5,".",IF(A527=".",1,A527+1))</f>
        <v>.</v>
      </c>
      <c r="B528" s="431" t="str">
        <f t="shared" si="8"/>
        <v>Groin HerniaProviderFULWOOD HALL HOSPITAL (NVC07)EQ VAS</v>
      </c>
      <c r="C528" t="s">
        <v>50</v>
      </c>
      <c r="D528" t="s">
        <v>1</v>
      </c>
      <c r="E528" t="s">
        <v>3864</v>
      </c>
      <c r="F528" t="s">
        <v>3865</v>
      </c>
      <c r="G528" t="s">
        <v>179</v>
      </c>
      <c r="H528">
        <v>114</v>
      </c>
      <c r="I528">
        <v>82.93</v>
      </c>
      <c r="J528">
        <v>82.025999999999996</v>
      </c>
      <c r="K528">
        <v>-0.90400000000000003</v>
      </c>
      <c r="L528">
        <v>44</v>
      </c>
      <c r="M528">
        <v>23</v>
      </c>
      <c r="N528">
        <v>47</v>
      </c>
      <c r="O528">
        <v>80.221000000000004</v>
      </c>
      <c r="P528">
        <v>-0.42447557899999999</v>
      </c>
      <c r="Q528">
        <v>10.622</v>
      </c>
    </row>
    <row r="529" spans="1:17" s="30" customFormat="1" x14ac:dyDescent="0.2">
      <c r="A529" s="30" t="str">
        <f>IF(C529&amp;G529&amp;D529&lt;&gt;'Funnel setup'!$K$3&amp;'Funnel setup'!$K$4&amp;'Funnel setup'!$K$5,".",IF(A528=".",1,A528+1))</f>
        <v>.</v>
      </c>
      <c r="B529" s="431" t="str">
        <f t="shared" si="8"/>
        <v>Groin HerniaProviderGATESHEAD HEALTH NHS FOUNDATION TRUST (RR7)EQ VAS</v>
      </c>
      <c r="C529" t="s">
        <v>50</v>
      </c>
      <c r="D529" t="s">
        <v>1</v>
      </c>
      <c r="E529" t="s">
        <v>3867</v>
      </c>
      <c r="F529" t="s">
        <v>3868</v>
      </c>
      <c r="G529" t="s">
        <v>179</v>
      </c>
      <c r="H529">
        <v>142</v>
      </c>
      <c r="I529">
        <v>81.099000000000004</v>
      </c>
      <c r="J529">
        <v>80.007000000000005</v>
      </c>
      <c r="K529">
        <v>-1.0920000000000001</v>
      </c>
      <c r="L529">
        <v>47</v>
      </c>
      <c r="M529">
        <v>29</v>
      </c>
      <c r="N529">
        <v>66</v>
      </c>
      <c r="O529">
        <v>79.364999999999995</v>
      </c>
      <c r="P529">
        <v>-1.2809204270000001</v>
      </c>
      <c r="Q529">
        <v>11.64</v>
      </c>
    </row>
    <row r="530" spans="1:17" s="30" customFormat="1" x14ac:dyDescent="0.2">
      <c r="A530" s="30" t="str">
        <f>IF(C530&amp;G530&amp;D530&lt;&gt;'Funnel setup'!$K$3&amp;'Funnel setup'!$K$4&amp;'Funnel setup'!$K$5,".",IF(A529=".",1,A529+1))</f>
        <v>.</v>
      </c>
      <c r="B530" s="431" t="str">
        <f t="shared" si="8"/>
        <v>Groin HerniaProviderGEORGE ELIOT HOSPITAL NHS TRUST (RLT)EQ VAS</v>
      </c>
      <c r="C530" t="s">
        <v>50</v>
      </c>
      <c r="D530" t="s">
        <v>1</v>
      </c>
      <c r="E530" t="s">
        <v>3870</v>
      </c>
      <c r="F530" t="s">
        <v>3871</v>
      </c>
      <c r="G530" t="s">
        <v>179</v>
      </c>
      <c r="H530">
        <v>34</v>
      </c>
      <c r="I530">
        <v>83.823999999999998</v>
      </c>
      <c r="J530">
        <v>84.617999999999995</v>
      </c>
      <c r="K530">
        <v>0.79400000000000004</v>
      </c>
      <c r="L530">
        <v>15</v>
      </c>
      <c r="M530">
        <v>7</v>
      </c>
      <c r="N530">
        <v>12</v>
      </c>
      <c r="O530">
        <v>82.718999999999994</v>
      </c>
      <c r="P530">
        <v>2.073202379</v>
      </c>
      <c r="Q530">
        <v>11.305</v>
      </c>
    </row>
    <row r="531" spans="1:17" s="30" customFormat="1" x14ac:dyDescent="0.2">
      <c r="A531" s="30" t="str">
        <f>IF(C531&amp;G531&amp;D531&lt;&gt;'Funnel setup'!$K$3&amp;'Funnel setup'!$K$4&amp;'Funnel setup'!$K$5,".",IF(A530=".",1,A530+1))</f>
        <v>.</v>
      </c>
      <c r="B531" s="431" t="str">
        <f t="shared" si="8"/>
        <v>Groin HerniaProviderGLOUCESTERSHIRE HOSPITALS NHS FOUNDATION TRUST (RTE)EQ VAS</v>
      </c>
      <c r="C531" t="s">
        <v>50</v>
      </c>
      <c r="D531" t="s">
        <v>1</v>
      </c>
      <c r="E531" t="s">
        <v>3873</v>
      </c>
      <c r="F531" t="s">
        <v>3874</v>
      </c>
      <c r="G531" t="s">
        <v>179</v>
      </c>
      <c r="H531">
        <v>175</v>
      </c>
      <c r="I531">
        <v>81.942999999999998</v>
      </c>
      <c r="J531">
        <v>81.816999999999993</v>
      </c>
      <c r="K531">
        <v>-0.126</v>
      </c>
      <c r="L531">
        <v>74</v>
      </c>
      <c r="M531">
        <v>29</v>
      </c>
      <c r="N531">
        <v>72</v>
      </c>
      <c r="O531">
        <v>80.813000000000002</v>
      </c>
      <c r="P531">
        <v>0.16784054600000001</v>
      </c>
      <c r="Q531">
        <v>10.962</v>
      </c>
    </row>
    <row r="532" spans="1:17" s="30" customFormat="1" x14ac:dyDescent="0.2">
      <c r="A532" s="30" t="str">
        <f>IF(C532&amp;G532&amp;D532&lt;&gt;'Funnel setup'!$K$3&amp;'Funnel setup'!$K$4&amp;'Funnel setup'!$K$5,".",IF(A531=".",1,A531+1))</f>
        <v>.</v>
      </c>
      <c r="B532" s="431" t="str">
        <f t="shared" si="8"/>
        <v>Groin HerniaProviderGREAT WESTERN HOSPITALS NHS FOUNDATION TRUST (RN3)EQ VAS</v>
      </c>
      <c r="C532" t="s">
        <v>50</v>
      </c>
      <c r="D532" t="s">
        <v>1</v>
      </c>
      <c r="E532" t="s">
        <v>3876</v>
      </c>
      <c r="F532" t="s">
        <v>3877</v>
      </c>
      <c r="G532" t="s">
        <v>179</v>
      </c>
      <c r="H532">
        <v>64</v>
      </c>
      <c r="I532">
        <v>80.063000000000002</v>
      </c>
      <c r="J532">
        <v>80.625</v>
      </c>
      <c r="K532">
        <v>0.56299999999999994</v>
      </c>
      <c r="L532">
        <v>26</v>
      </c>
      <c r="M532">
        <v>12</v>
      </c>
      <c r="N532">
        <v>26</v>
      </c>
      <c r="O532">
        <v>80.225999999999999</v>
      </c>
      <c r="P532">
        <v>-0.41902033</v>
      </c>
      <c r="Q532">
        <v>11.169</v>
      </c>
    </row>
    <row r="533" spans="1:17" s="30" customFormat="1" x14ac:dyDescent="0.2">
      <c r="A533" s="30" t="str">
        <f>IF(C533&amp;G533&amp;D533&lt;&gt;'Funnel setup'!$K$3&amp;'Funnel setup'!$K$4&amp;'Funnel setup'!$K$5,".",IF(A532=".",1,A532+1))</f>
        <v>.</v>
      </c>
      <c r="B533" s="431" t="str">
        <f t="shared" si="8"/>
        <v>Groin HerniaProviderGUY'S AND ST THOMAS' NHS FOUNDATION TRUST (RJ1)EQ VAS</v>
      </c>
      <c r="C533" t="s">
        <v>50</v>
      </c>
      <c r="D533" t="s">
        <v>1</v>
      </c>
      <c r="E533" t="s">
        <v>3879</v>
      </c>
      <c r="F533" t="s">
        <v>3880</v>
      </c>
      <c r="G533" t="s">
        <v>179</v>
      </c>
      <c r="H533">
        <v>34</v>
      </c>
      <c r="I533">
        <v>79.382000000000005</v>
      </c>
      <c r="J533">
        <v>81.941000000000003</v>
      </c>
      <c r="K533">
        <v>2.5590000000000002</v>
      </c>
      <c r="L533">
        <v>15</v>
      </c>
      <c r="M533">
        <v>7</v>
      </c>
      <c r="N533">
        <v>12</v>
      </c>
      <c r="O533">
        <v>82.14</v>
      </c>
      <c r="P533">
        <v>1.49419236</v>
      </c>
      <c r="Q533">
        <v>10.628</v>
      </c>
    </row>
    <row r="534" spans="1:17" s="30" customFormat="1" x14ac:dyDescent="0.2">
      <c r="A534" s="30" t="str">
        <f>IF(C534&amp;G534&amp;D534&lt;&gt;'Funnel setup'!$K$3&amp;'Funnel setup'!$K$4&amp;'Funnel setup'!$K$5,".",IF(A533=".",1,A533+1))</f>
        <v>.</v>
      </c>
      <c r="B534" s="431" t="str">
        <f t="shared" si="8"/>
        <v>Groin HerniaProviderHAMPSHIRE HOSPITALS NHS FOUNDATION TRUST (RN5)EQ VAS</v>
      </c>
      <c r="C534" t="s">
        <v>50</v>
      </c>
      <c r="D534" t="s">
        <v>1</v>
      </c>
      <c r="E534" t="s">
        <v>3882</v>
      </c>
      <c r="F534" t="s">
        <v>3883</v>
      </c>
      <c r="G534" t="s">
        <v>179</v>
      </c>
      <c r="H534">
        <v>95</v>
      </c>
      <c r="I534">
        <v>80.704999999999998</v>
      </c>
      <c r="J534">
        <v>81.031999999999996</v>
      </c>
      <c r="K534">
        <v>0.32600000000000001</v>
      </c>
      <c r="L534">
        <v>37</v>
      </c>
      <c r="M534">
        <v>25</v>
      </c>
      <c r="N534">
        <v>33</v>
      </c>
      <c r="O534">
        <v>80.734999999999999</v>
      </c>
      <c r="P534">
        <v>8.9387787999999996E-2</v>
      </c>
      <c r="Q534">
        <v>13.500999999999999</v>
      </c>
    </row>
    <row r="535" spans="1:17" s="30" customFormat="1" x14ac:dyDescent="0.2">
      <c r="A535" s="30" t="str">
        <f>IF(C535&amp;G535&amp;D535&lt;&gt;'Funnel setup'!$K$3&amp;'Funnel setup'!$K$4&amp;'Funnel setup'!$K$5,".",IF(A534=".",1,A534+1))</f>
        <v>.</v>
      </c>
      <c r="B535" s="431" t="str">
        <f t="shared" si="8"/>
        <v>Groin HerniaProviderHARROGATE AND DISTRICT NHS FOUNDATION TRUST (RCD)EQ VAS</v>
      </c>
      <c r="C535" t="s">
        <v>50</v>
      </c>
      <c r="D535" t="s">
        <v>1</v>
      </c>
      <c r="E535" t="s">
        <v>3885</v>
      </c>
      <c r="F535" t="s">
        <v>3886</v>
      </c>
      <c r="G535" t="s">
        <v>179</v>
      </c>
      <c r="H535">
        <v>186</v>
      </c>
      <c r="I535">
        <v>80.203999999999994</v>
      </c>
      <c r="J535">
        <v>79.403000000000006</v>
      </c>
      <c r="K535">
        <v>-0.80100000000000005</v>
      </c>
      <c r="L535">
        <v>72</v>
      </c>
      <c r="M535">
        <v>35</v>
      </c>
      <c r="N535">
        <v>79</v>
      </c>
      <c r="O535">
        <v>80.024000000000001</v>
      </c>
      <c r="P535">
        <v>-0.62181950600000002</v>
      </c>
      <c r="Q535">
        <v>11.839</v>
      </c>
    </row>
    <row r="536" spans="1:17" s="30" customFormat="1" x14ac:dyDescent="0.2">
      <c r="A536" s="30" t="str">
        <f>IF(C536&amp;G536&amp;D536&lt;&gt;'Funnel setup'!$K$3&amp;'Funnel setup'!$K$4&amp;'Funnel setup'!$K$5,".",IF(A535=".",1,A535+1))</f>
        <v>.</v>
      </c>
      <c r="B536" s="431" t="str">
        <f t="shared" si="8"/>
        <v>Groin HerniaProviderHATHAWAY MEDICAL CENTRE (NXP04)EQ VAS</v>
      </c>
      <c r="C536" t="s">
        <v>50</v>
      </c>
      <c r="D536" t="s">
        <v>1</v>
      </c>
      <c r="E536" t="s">
        <v>3903</v>
      </c>
      <c r="F536" t="s">
        <v>3904</v>
      </c>
      <c r="G536" t="s">
        <v>179</v>
      </c>
      <c r="H536">
        <v>15</v>
      </c>
      <c r="I536">
        <v>79</v>
      </c>
      <c r="J536">
        <v>84.132999999999996</v>
      </c>
      <c r="K536">
        <v>5.133</v>
      </c>
      <c r="L536">
        <v>7</v>
      </c>
      <c r="M536">
        <v>3</v>
      </c>
      <c r="N536">
        <v>5</v>
      </c>
      <c r="O536" t="s">
        <v>53</v>
      </c>
      <c r="P536" t="s">
        <v>53</v>
      </c>
      <c r="Q536" t="s">
        <v>53</v>
      </c>
    </row>
    <row r="537" spans="1:17" s="30" customFormat="1" x14ac:dyDescent="0.2">
      <c r="A537" s="30" t="str">
        <f>IF(C537&amp;G537&amp;D537&lt;&gt;'Funnel setup'!$K$3&amp;'Funnel setup'!$K$4&amp;'Funnel setup'!$K$5,".",IF(A536=".",1,A536+1))</f>
        <v>.</v>
      </c>
      <c r="B537" s="431" t="str">
        <f t="shared" si="8"/>
        <v>Groin HerniaProviderHEART OF ENGLAND NHS FOUNDATION TRUST (RR1)EQ VAS</v>
      </c>
      <c r="C537" t="s">
        <v>50</v>
      </c>
      <c r="D537" t="s">
        <v>1</v>
      </c>
      <c r="E537" t="s">
        <v>3888</v>
      </c>
      <c r="F537" t="s">
        <v>3889</v>
      </c>
      <c r="G537" t="s">
        <v>179</v>
      </c>
      <c r="H537">
        <v>334</v>
      </c>
      <c r="I537">
        <v>79.659000000000006</v>
      </c>
      <c r="J537">
        <v>78.608000000000004</v>
      </c>
      <c r="K537">
        <v>-1.0509999999999999</v>
      </c>
      <c r="L537">
        <v>121</v>
      </c>
      <c r="M537">
        <v>67</v>
      </c>
      <c r="N537">
        <v>146</v>
      </c>
      <c r="O537">
        <v>79.649000000000001</v>
      </c>
      <c r="P537">
        <v>-0.99693387700000002</v>
      </c>
      <c r="Q537">
        <v>13.335000000000001</v>
      </c>
    </row>
    <row r="538" spans="1:17" s="30" customFormat="1" x14ac:dyDescent="0.2">
      <c r="A538" s="30" t="str">
        <f>IF(C538&amp;G538&amp;D538&lt;&gt;'Funnel setup'!$K$3&amp;'Funnel setup'!$K$4&amp;'Funnel setup'!$K$5,".",IF(A537=".",1,A537+1))</f>
        <v>.</v>
      </c>
      <c r="B538" s="431" t="str">
        <f t="shared" si="8"/>
        <v>Groin HerniaProviderHINCHINGBROOKE HEALTH CARE NHS TRUST (RQQ)EQ VAS</v>
      </c>
      <c r="C538" t="s">
        <v>50</v>
      </c>
      <c r="D538" t="s">
        <v>1</v>
      </c>
      <c r="E538" t="s">
        <v>3894</v>
      </c>
      <c r="F538" t="s">
        <v>3895</v>
      </c>
      <c r="G538" t="s">
        <v>179</v>
      </c>
      <c r="H538">
        <v>93</v>
      </c>
      <c r="I538">
        <v>79.376000000000005</v>
      </c>
      <c r="J538">
        <v>80.891999999999996</v>
      </c>
      <c r="K538">
        <v>1.516</v>
      </c>
      <c r="L538">
        <v>46</v>
      </c>
      <c r="M538">
        <v>17</v>
      </c>
      <c r="N538">
        <v>30</v>
      </c>
      <c r="O538">
        <v>81.585999999999999</v>
      </c>
      <c r="P538">
        <v>0.94105781399999999</v>
      </c>
      <c r="Q538">
        <v>12.285</v>
      </c>
    </row>
    <row r="539" spans="1:17" s="30" customFormat="1" x14ac:dyDescent="0.2">
      <c r="A539" s="30" t="str">
        <f>IF(C539&amp;G539&amp;D539&lt;&gt;'Funnel setup'!$K$3&amp;'Funnel setup'!$K$4&amp;'Funnel setup'!$K$5,".",IF(A538=".",1,A538+1))</f>
        <v>.</v>
      </c>
      <c r="B539" s="431" t="str">
        <f t="shared" si="8"/>
        <v>Groin HerniaProviderHOMERTON UNIVERSITY HOSPITAL NHS FOUNDATION TRUST (RQX)EQ VAS</v>
      </c>
      <c r="C539" t="s">
        <v>50</v>
      </c>
      <c r="D539" t="s">
        <v>1</v>
      </c>
      <c r="E539" t="s">
        <v>3897</v>
      </c>
      <c r="F539" t="s">
        <v>3898</v>
      </c>
      <c r="G539" t="s">
        <v>179</v>
      </c>
      <c r="H539">
        <v>28</v>
      </c>
      <c r="I539">
        <v>76.820999999999998</v>
      </c>
      <c r="J539">
        <v>77.643000000000001</v>
      </c>
      <c r="K539">
        <v>0.82099999999999995</v>
      </c>
      <c r="L539">
        <v>10</v>
      </c>
      <c r="M539">
        <v>8</v>
      </c>
      <c r="N539">
        <v>10</v>
      </c>
      <c r="O539" t="s">
        <v>53</v>
      </c>
      <c r="P539" t="s">
        <v>53</v>
      </c>
      <c r="Q539" t="s">
        <v>53</v>
      </c>
    </row>
    <row r="540" spans="1:17" s="30" customFormat="1" x14ac:dyDescent="0.2">
      <c r="A540" s="30" t="str">
        <f>IF(C540&amp;G540&amp;D540&lt;&gt;'Funnel setup'!$K$3&amp;'Funnel setup'!$K$4&amp;'Funnel setup'!$K$5,".",IF(A539=".",1,A539+1))</f>
        <v>.</v>
      </c>
      <c r="B540" s="431" t="str">
        <f t="shared" si="8"/>
        <v>Groin HerniaProviderHULL AND EAST YORKSHIRE HOSPITALS NHS TRUST (RWA)EQ VAS</v>
      </c>
      <c r="C540" t="s">
        <v>50</v>
      </c>
      <c r="D540" t="s">
        <v>1</v>
      </c>
      <c r="E540" t="s">
        <v>3906</v>
      </c>
      <c r="F540" t="s">
        <v>3907</v>
      </c>
      <c r="G540" t="s">
        <v>179</v>
      </c>
      <c r="H540">
        <v>274</v>
      </c>
      <c r="I540">
        <v>78.646000000000001</v>
      </c>
      <c r="J540">
        <v>77.944999999999993</v>
      </c>
      <c r="K540">
        <v>-0.70099999999999996</v>
      </c>
      <c r="L540">
        <v>109</v>
      </c>
      <c r="M540">
        <v>60</v>
      </c>
      <c r="N540">
        <v>105</v>
      </c>
      <c r="O540">
        <v>79.328000000000003</v>
      </c>
      <c r="P540">
        <v>-1.3178364419999999</v>
      </c>
      <c r="Q540">
        <v>12.724</v>
      </c>
    </row>
    <row r="541" spans="1:17" s="30" customFormat="1" x14ac:dyDescent="0.2">
      <c r="A541" s="30" t="str">
        <f>IF(C541&amp;G541&amp;D541&lt;&gt;'Funnel setup'!$K$3&amp;'Funnel setup'!$K$4&amp;'Funnel setup'!$K$5,".",IF(A540=".",1,A540+1))</f>
        <v>.</v>
      </c>
      <c r="B541" s="431" t="str">
        <f t="shared" si="8"/>
        <v>Groin HerniaProviderIMPERIAL COLLEGE HEALTHCARE NHS TRUST (RYJ)EQ VAS</v>
      </c>
      <c r="C541" t="s">
        <v>50</v>
      </c>
      <c r="D541" t="s">
        <v>1</v>
      </c>
      <c r="E541" t="s">
        <v>4558</v>
      </c>
      <c r="F541" t="s">
        <v>4559</v>
      </c>
      <c r="G541" t="s">
        <v>179</v>
      </c>
      <c r="H541" t="s">
        <v>53</v>
      </c>
      <c r="I541" t="s">
        <v>53</v>
      </c>
      <c r="J541" t="s">
        <v>53</v>
      </c>
      <c r="K541" t="s">
        <v>53</v>
      </c>
      <c r="L541" t="s">
        <v>53</v>
      </c>
      <c r="M541" t="s">
        <v>53</v>
      </c>
      <c r="N541" t="s">
        <v>53</v>
      </c>
      <c r="O541" t="s">
        <v>53</v>
      </c>
      <c r="P541" t="s">
        <v>53</v>
      </c>
      <c r="Q541" t="s">
        <v>53</v>
      </c>
    </row>
    <row r="542" spans="1:17" s="30" customFormat="1" x14ac:dyDescent="0.2">
      <c r="A542" s="30" t="str">
        <f>IF(C542&amp;G542&amp;D542&lt;&gt;'Funnel setup'!$K$3&amp;'Funnel setup'!$K$4&amp;'Funnel setup'!$K$5,".",IF(A541=".",1,A541+1))</f>
        <v>.</v>
      </c>
      <c r="B542" s="431" t="str">
        <f t="shared" si="8"/>
        <v>Groin HerniaProviderIPSWICH HOSPITAL NHS TRUST (RGQ)EQ VAS</v>
      </c>
      <c r="C542" t="s">
        <v>50</v>
      </c>
      <c r="D542" t="s">
        <v>1</v>
      </c>
      <c r="E542" t="s">
        <v>3909</v>
      </c>
      <c r="F542" t="s">
        <v>3910</v>
      </c>
      <c r="G542" t="s">
        <v>179</v>
      </c>
      <c r="H542">
        <v>191</v>
      </c>
      <c r="I542">
        <v>78.308999999999997</v>
      </c>
      <c r="J542">
        <v>80.507999999999996</v>
      </c>
      <c r="K542">
        <v>2.1989999999999998</v>
      </c>
      <c r="L542">
        <v>86</v>
      </c>
      <c r="M542">
        <v>45</v>
      </c>
      <c r="N542">
        <v>60</v>
      </c>
      <c r="O542">
        <v>82.025000000000006</v>
      </c>
      <c r="P542">
        <v>1.379874579</v>
      </c>
      <c r="Q542">
        <v>12.662000000000001</v>
      </c>
    </row>
    <row r="543" spans="1:17" s="30" customFormat="1" x14ac:dyDescent="0.2">
      <c r="A543" s="30" t="str">
        <f>IF(C543&amp;G543&amp;D543&lt;&gt;'Funnel setup'!$K$3&amp;'Funnel setup'!$K$4&amp;'Funnel setup'!$K$5,".",IF(A542=".",1,A542+1))</f>
        <v>.</v>
      </c>
      <c r="B543" s="431" t="str">
        <f t="shared" si="8"/>
        <v>Groin HerniaProviderISLE OF WIGHT NHS TRUST (R1F)EQ VAS</v>
      </c>
      <c r="C543" t="s">
        <v>50</v>
      </c>
      <c r="D543" t="s">
        <v>1</v>
      </c>
      <c r="E543" t="s">
        <v>3912</v>
      </c>
      <c r="F543" t="s">
        <v>3913</v>
      </c>
      <c r="G543" t="s">
        <v>179</v>
      </c>
      <c r="H543">
        <v>45</v>
      </c>
      <c r="I543">
        <v>79.867000000000004</v>
      </c>
      <c r="J543">
        <v>76.622</v>
      </c>
      <c r="K543">
        <v>-3.2440000000000002</v>
      </c>
      <c r="L543">
        <v>15</v>
      </c>
      <c r="M543">
        <v>11</v>
      </c>
      <c r="N543">
        <v>19</v>
      </c>
      <c r="O543">
        <v>78.840999999999994</v>
      </c>
      <c r="P543">
        <v>-1.8047165489999999</v>
      </c>
      <c r="Q543">
        <v>12.699</v>
      </c>
    </row>
    <row r="544" spans="1:17" s="30" customFormat="1" x14ac:dyDescent="0.2">
      <c r="A544" s="30" t="str">
        <f>IF(C544&amp;G544&amp;D544&lt;&gt;'Funnel setup'!$K$3&amp;'Funnel setup'!$K$4&amp;'Funnel setup'!$K$5,".",IF(A543=".",1,A543+1))</f>
        <v>.</v>
      </c>
      <c r="B544" s="431" t="str">
        <f t="shared" si="8"/>
        <v>Groin HerniaProviderJAMES PAGET UNIVERSITY HOSPITALS NHS FOUNDATION TRUST (RGP)EQ VAS</v>
      </c>
      <c r="C544" t="s">
        <v>50</v>
      </c>
      <c r="D544" t="s">
        <v>1</v>
      </c>
      <c r="E544" t="s">
        <v>3915</v>
      </c>
      <c r="F544" t="s">
        <v>3916</v>
      </c>
      <c r="G544" t="s">
        <v>179</v>
      </c>
      <c r="H544">
        <v>96</v>
      </c>
      <c r="I544">
        <v>78.864999999999995</v>
      </c>
      <c r="J544">
        <v>77.917000000000002</v>
      </c>
      <c r="K544">
        <v>-0.94799999999999995</v>
      </c>
      <c r="L544">
        <v>35</v>
      </c>
      <c r="M544">
        <v>17</v>
      </c>
      <c r="N544">
        <v>44</v>
      </c>
      <c r="O544">
        <v>78.537000000000006</v>
      </c>
      <c r="P544">
        <v>-2.1087438719999998</v>
      </c>
      <c r="Q544">
        <v>12.51</v>
      </c>
    </row>
    <row r="545" spans="1:17" s="30" customFormat="1" x14ac:dyDescent="0.2">
      <c r="A545" s="30" t="str">
        <f>IF(C545&amp;G545&amp;D545&lt;&gt;'Funnel setup'!$K$3&amp;'Funnel setup'!$K$4&amp;'Funnel setup'!$K$5,".",IF(A544=".",1,A544+1))</f>
        <v>.</v>
      </c>
      <c r="B545" s="431" t="str">
        <f t="shared" si="8"/>
        <v>Groin HerniaProviderKETTERING GENERAL HOSPITAL NHS FOUNDATION TRUST (RNQ)EQ VAS</v>
      </c>
      <c r="C545" t="s">
        <v>50</v>
      </c>
      <c r="D545" t="s">
        <v>1</v>
      </c>
      <c r="E545" t="s">
        <v>3918</v>
      </c>
      <c r="F545" t="s">
        <v>3919</v>
      </c>
      <c r="G545" t="s">
        <v>179</v>
      </c>
      <c r="H545">
        <v>45</v>
      </c>
      <c r="I545">
        <v>80.311000000000007</v>
      </c>
      <c r="J545">
        <v>76.466999999999999</v>
      </c>
      <c r="K545">
        <v>-3.8439999999999999</v>
      </c>
      <c r="L545">
        <v>16</v>
      </c>
      <c r="M545">
        <v>8</v>
      </c>
      <c r="N545">
        <v>21</v>
      </c>
      <c r="O545">
        <v>76.989999999999995</v>
      </c>
      <c r="P545">
        <v>-3.6553782400000001</v>
      </c>
      <c r="Q545">
        <v>14.282</v>
      </c>
    </row>
    <row r="546" spans="1:17" s="30" customFormat="1" x14ac:dyDescent="0.2">
      <c r="A546" s="30" t="str">
        <f>IF(C546&amp;G546&amp;D546&lt;&gt;'Funnel setup'!$K$3&amp;'Funnel setup'!$K$4&amp;'Funnel setup'!$K$5,".",IF(A545=".",1,A545+1))</f>
        <v>.</v>
      </c>
      <c r="B546" s="431" t="str">
        <f t="shared" si="8"/>
        <v>Groin HerniaProviderKING'S COLLEGE HOSPITAL NHS FOUNDATION TRUST (RJZ)EQ VAS</v>
      </c>
      <c r="C546" t="s">
        <v>50</v>
      </c>
      <c r="D546" t="s">
        <v>1</v>
      </c>
      <c r="E546" t="s">
        <v>3924</v>
      </c>
      <c r="F546" t="s">
        <v>3925</v>
      </c>
      <c r="G546" t="s">
        <v>179</v>
      </c>
      <c r="H546">
        <v>46</v>
      </c>
      <c r="I546">
        <v>79.847999999999999</v>
      </c>
      <c r="J546">
        <v>77.043000000000006</v>
      </c>
      <c r="K546">
        <v>-2.8039999999999998</v>
      </c>
      <c r="L546">
        <v>12</v>
      </c>
      <c r="M546">
        <v>13</v>
      </c>
      <c r="N546">
        <v>21</v>
      </c>
      <c r="O546">
        <v>79.736000000000004</v>
      </c>
      <c r="P546">
        <v>-0.90904310700000002</v>
      </c>
      <c r="Q546">
        <v>10.252000000000001</v>
      </c>
    </row>
    <row r="547" spans="1:17" s="30" customFormat="1" x14ac:dyDescent="0.2">
      <c r="A547" s="30" t="str">
        <f>IF(C547&amp;G547&amp;D547&lt;&gt;'Funnel setup'!$K$3&amp;'Funnel setup'!$K$4&amp;'Funnel setup'!$K$5,".",IF(A546=".",1,A546+1))</f>
        <v>.</v>
      </c>
      <c r="B547" s="431" t="str">
        <f t="shared" si="8"/>
        <v>Groin HerniaProviderLANCASHIRE TEACHING HOSPITALS NHS FOUNDATION TRUST (RXN)EQ VAS</v>
      </c>
      <c r="C547" t="s">
        <v>50</v>
      </c>
      <c r="D547" t="s">
        <v>1</v>
      </c>
      <c r="E547" t="s">
        <v>3567</v>
      </c>
      <c r="F547" t="s">
        <v>3568</v>
      </c>
      <c r="G547" t="s">
        <v>179</v>
      </c>
      <c r="H547">
        <v>55</v>
      </c>
      <c r="I547">
        <v>76.873000000000005</v>
      </c>
      <c r="J547">
        <v>78.2</v>
      </c>
      <c r="K547">
        <v>1.327</v>
      </c>
      <c r="L547">
        <v>24</v>
      </c>
      <c r="M547">
        <v>8</v>
      </c>
      <c r="N547">
        <v>23</v>
      </c>
      <c r="O547">
        <v>81.801000000000002</v>
      </c>
      <c r="P547">
        <v>1.155767566</v>
      </c>
      <c r="Q547">
        <v>13.286</v>
      </c>
    </row>
    <row r="548" spans="1:17" s="30" customFormat="1" x14ac:dyDescent="0.2">
      <c r="A548" s="30" t="str">
        <f>IF(C548&amp;G548&amp;D548&lt;&gt;'Funnel setup'!$K$3&amp;'Funnel setup'!$K$4&amp;'Funnel setup'!$K$5,".",IF(A547=".",1,A547+1))</f>
        <v>.</v>
      </c>
      <c r="B548" s="431" t="str">
        <f t="shared" si="8"/>
        <v>Groin HerniaProviderLEEDS TEACHING HOSPITALS NHS TRUST (RR8)EQ VAS</v>
      </c>
      <c r="C548" t="s">
        <v>50</v>
      </c>
      <c r="D548" t="s">
        <v>1</v>
      </c>
      <c r="E548" t="s">
        <v>3930</v>
      </c>
      <c r="F548" t="s">
        <v>344</v>
      </c>
      <c r="G548" t="s">
        <v>179</v>
      </c>
      <c r="H548">
        <v>95</v>
      </c>
      <c r="I548">
        <v>78.126000000000005</v>
      </c>
      <c r="J548">
        <v>80.010999999999996</v>
      </c>
      <c r="K548">
        <v>1.8839999999999999</v>
      </c>
      <c r="L548">
        <v>44</v>
      </c>
      <c r="M548">
        <v>16</v>
      </c>
      <c r="N548">
        <v>35</v>
      </c>
      <c r="O548">
        <v>81.013999999999996</v>
      </c>
      <c r="P548">
        <v>0.36868990899999998</v>
      </c>
      <c r="Q548">
        <v>10.006</v>
      </c>
    </row>
    <row r="549" spans="1:17" s="30" customFormat="1" x14ac:dyDescent="0.2">
      <c r="A549" s="30" t="str">
        <f>IF(C549&amp;G549&amp;D549&lt;&gt;'Funnel setup'!$K$3&amp;'Funnel setup'!$K$4&amp;'Funnel setup'!$K$5,".",IF(A548=".",1,A548+1))</f>
        <v>.</v>
      </c>
      <c r="B549" s="431" t="str">
        <f t="shared" si="8"/>
        <v>Groin HerniaProviderLEWISHAM AND GREENWICH NHS TRUST (RJ2)EQ VAS</v>
      </c>
      <c r="C549" t="s">
        <v>50</v>
      </c>
      <c r="D549" t="s">
        <v>1</v>
      </c>
      <c r="E549" t="s">
        <v>3522</v>
      </c>
      <c r="F549" t="s">
        <v>3523</v>
      </c>
      <c r="G549" t="s">
        <v>179</v>
      </c>
      <c r="H549">
        <v>156</v>
      </c>
      <c r="I549">
        <v>77.808000000000007</v>
      </c>
      <c r="J549">
        <v>77.173000000000002</v>
      </c>
      <c r="K549">
        <v>-0.63500000000000001</v>
      </c>
      <c r="L549">
        <v>59</v>
      </c>
      <c r="M549">
        <v>22</v>
      </c>
      <c r="N549">
        <v>75</v>
      </c>
      <c r="O549">
        <v>79.194000000000003</v>
      </c>
      <c r="P549">
        <v>-1.4515736530000001</v>
      </c>
      <c r="Q549">
        <v>12.802</v>
      </c>
    </row>
    <row r="550" spans="1:17" s="30" customFormat="1" x14ac:dyDescent="0.2">
      <c r="A550" s="30" t="str">
        <f>IF(C550&amp;G550&amp;D550&lt;&gt;'Funnel setup'!$K$3&amp;'Funnel setup'!$K$4&amp;'Funnel setup'!$K$5,".",IF(A549=".",1,A549+1))</f>
        <v>.</v>
      </c>
      <c r="B550" s="431" t="str">
        <f t="shared" si="8"/>
        <v>Groin HerniaProviderLONDON NORTH WEST HEALTHCARE NHS TRUST (R1K)EQ VAS</v>
      </c>
      <c r="C550" t="s">
        <v>50</v>
      </c>
      <c r="D550" t="s">
        <v>1</v>
      </c>
      <c r="E550" t="s">
        <v>6515</v>
      </c>
      <c r="F550" t="s">
        <v>6516</v>
      </c>
      <c r="G550" t="s">
        <v>179</v>
      </c>
      <c r="H550">
        <v>84</v>
      </c>
      <c r="I550">
        <v>77.975999999999999</v>
      </c>
      <c r="J550">
        <v>75.881</v>
      </c>
      <c r="K550">
        <v>-2.0950000000000002</v>
      </c>
      <c r="L550">
        <v>31</v>
      </c>
      <c r="M550">
        <v>18</v>
      </c>
      <c r="N550">
        <v>35</v>
      </c>
      <c r="O550">
        <v>78.938999999999993</v>
      </c>
      <c r="P550">
        <v>-1.706226754</v>
      </c>
      <c r="Q550">
        <v>12.464</v>
      </c>
    </row>
    <row r="551" spans="1:17" s="30" customFormat="1" x14ac:dyDescent="0.2">
      <c r="A551" s="30" t="str">
        <f>IF(C551&amp;G551&amp;D551&lt;&gt;'Funnel setup'!$K$3&amp;'Funnel setup'!$K$4&amp;'Funnel setup'!$K$5,".",IF(A550=".",1,A550+1))</f>
        <v>.</v>
      </c>
      <c r="B551" s="431" t="str">
        <f t="shared" si="8"/>
        <v>Groin HerniaProviderLUTON AND DUNSTABLE UNIVERSITY HOSPITAL NHS FOUNDATION TRUST (RC9)EQ VAS</v>
      </c>
      <c r="C551" t="s">
        <v>50</v>
      </c>
      <c r="D551" t="s">
        <v>1</v>
      </c>
      <c r="E551" t="s">
        <v>3528</v>
      </c>
      <c r="F551" t="s">
        <v>3529</v>
      </c>
      <c r="G551" t="s">
        <v>179</v>
      </c>
      <c r="H551">
        <v>127</v>
      </c>
      <c r="I551">
        <v>78.117999999999995</v>
      </c>
      <c r="J551">
        <v>79.307000000000002</v>
      </c>
      <c r="K551">
        <v>1.1890000000000001</v>
      </c>
      <c r="L551">
        <v>58</v>
      </c>
      <c r="M551">
        <v>19</v>
      </c>
      <c r="N551">
        <v>50</v>
      </c>
      <c r="O551">
        <v>81.02</v>
      </c>
      <c r="P551">
        <v>0.37410727100000002</v>
      </c>
      <c r="Q551">
        <v>13.14</v>
      </c>
    </row>
    <row r="552" spans="1:17" s="30" customFormat="1" x14ac:dyDescent="0.2">
      <c r="A552" s="30" t="str">
        <f>IF(C552&amp;G552&amp;D552&lt;&gt;'Funnel setup'!$K$3&amp;'Funnel setup'!$K$4&amp;'Funnel setup'!$K$5,".",IF(A551=".",1,A551+1))</f>
        <v>.</v>
      </c>
      <c r="B552" s="431" t="str">
        <f t="shared" si="8"/>
        <v>Groin HerniaProviderMAIDSTONE AND TUNBRIDGE WELLS NHS TRUST (RWF)EQ VAS</v>
      </c>
      <c r="C552" t="s">
        <v>50</v>
      </c>
      <c r="D552" t="s">
        <v>1</v>
      </c>
      <c r="E552" t="s">
        <v>3627</v>
      </c>
      <c r="F552" t="s">
        <v>3628</v>
      </c>
      <c r="G552" t="s">
        <v>179</v>
      </c>
      <c r="H552">
        <v>113</v>
      </c>
      <c r="I552">
        <v>82.203999999999994</v>
      </c>
      <c r="J552">
        <v>80.698999999999998</v>
      </c>
      <c r="K552">
        <v>-1.504</v>
      </c>
      <c r="L552">
        <v>47</v>
      </c>
      <c r="M552">
        <v>17</v>
      </c>
      <c r="N552">
        <v>49</v>
      </c>
      <c r="O552">
        <v>79.968000000000004</v>
      </c>
      <c r="P552">
        <v>-0.67723670199999997</v>
      </c>
      <c r="Q552">
        <v>13.515000000000001</v>
      </c>
    </row>
    <row r="553" spans="1:17" s="30" customFormat="1" x14ac:dyDescent="0.2">
      <c r="A553" s="30" t="str">
        <f>IF(C553&amp;G553&amp;D553&lt;&gt;'Funnel setup'!$K$3&amp;'Funnel setup'!$K$4&amp;'Funnel setup'!$K$5,".",IF(A552=".",1,A552+1))</f>
        <v>.</v>
      </c>
      <c r="B553" s="431" t="str">
        <f t="shared" si="8"/>
        <v>Groin HerniaProviderMEDWAY NHS FOUNDATION TRUST (RPA)EQ VAS</v>
      </c>
      <c r="C553" t="s">
        <v>50</v>
      </c>
      <c r="D553" t="s">
        <v>1</v>
      </c>
      <c r="E553" t="s">
        <v>3630</v>
      </c>
      <c r="F553" t="s">
        <v>3631</v>
      </c>
      <c r="G553" t="s">
        <v>179</v>
      </c>
      <c r="H553">
        <v>46</v>
      </c>
      <c r="I553">
        <v>77.912999999999997</v>
      </c>
      <c r="J553">
        <v>80.564999999999998</v>
      </c>
      <c r="K553">
        <v>2.6520000000000001</v>
      </c>
      <c r="L553">
        <v>24</v>
      </c>
      <c r="M553">
        <v>8</v>
      </c>
      <c r="N553">
        <v>14</v>
      </c>
      <c r="O553">
        <v>83.680999999999997</v>
      </c>
      <c r="P553">
        <v>3.0358614610000001</v>
      </c>
      <c r="Q553">
        <v>13.923</v>
      </c>
    </row>
    <row r="554" spans="1:17" s="30" customFormat="1" x14ac:dyDescent="0.2">
      <c r="A554" s="30" t="str">
        <f>IF(C554&amp;G554&amp;D554&lt;&gt;'Funnel setup'!$K$3&amp;'Funnel setup'!$K$4&amp;'Funnel setup'!$K$5,".",IF(A553=".",1,A553+1))</f>
        <v>.</v>
      </c>
      <c r="B554" s="431" t="str">
        <f t="shared" si="8"/>
        <v>Groin HerniaProviderMID CHESHIRE HOSPITALS NHS FOUNDATION TRUST (RBT)EQ VAS</v>
      </c>
      <c r="C554" t="s">
        <v>50</v>
      </c>
      <c r="D554" t="s">
        <v>1</v>
      </c>
      <c r="E554" t="s">
        <v>3633</v>
      </c>
      <c r="F554" t="s">
        <v>342</v>
      </c>
      <c r="G554" t="s">
        <v>179</v>
      </c>
      <c r="H554">
        <v>167</v>
      </c>
      <c r="I554">
        <v>80.400999999999996</v>
      </c>
      <c r="J554">
        <v>80.796000000000006</v>
      </c>
      <c r="K554">
        <v>0.39500000000000002</v>
      </c>
      <c r="L554">
        <v>61</v>
      </c>
      <c r="M554">
        <v>39</v>
      </c>
      <c r="N554">
        <v>67</v>
      </c>
      <c r="O554">
        <v>80.343000000000004</v>
      </c>
      <c r="P554">
        <v>-0.302235594</v>
      </c>
      <c r="Q554">
        <v>12.253</v>
      </c>
    </row>
    <row r="555" spans="1:17" s="30" customFormat="1" x14ac:dyDescent="0.2">
      <c r="A555" s="30" t="str">
        <f>IF(C555&amp;G555&amp;D555&lt;&gt;'Funnel setup'!$K$3&amp;'Funnel setup'!$K$4&amp;'Funnel setup'!$K$5,".",IF(A554=".",1,A554+1))</f>
        <v>.</v>
      </c>
      <c r="B555" s="431" t="str">
        <f t="shared" si="8"/>
        <v>Groin HerniaProviderMID ESSEX HOSPITAL SERVICES NHS TRUST (RQ8)EQ VAS</v>
      </c>
      <c r="C555" t="s">
        <v>50</v>
      </c>
      <c r="D555" t="s">
        <v>1</v>
      </c>
      <c r="E555" t="s">
        <v>3635</v>
      </c>
      <c r="F555" t="s">
        <v>3636</v>
      </c>
      <c r="G555" t="s">
        <v>179</v>
      </c>
      <c r="H555">
        <v>57</v>
      </c>
      <c r="I555">
        <v>75.367999999999995</v>
      </c>
      <c r="J555">
        <v>79.034999999999997</v>
      </c>
      <c r="K555">
        <v>3.6669999999999998</v>
      </c>
      <c r="L555">
        <v>23</v>
      </c>
      <c r="M555">
        <v>15</v>
      </c>
      <c r="N555">
        <v>19</v>
      </c>
      <c r="O555">
        <v>81.781000000000006</v>
      </c>
      <c r="P555">
        <v>1.1359129569999999</v>
      </c>
      <c r="Q555">
        <v>11.092000000000001</v>
      </c>
    </row>
    <row r="556" spans="1:17" s="30" customFormat="1" x14ac:dyDescent="0.2">
      <c r="A556" s="30" t="str">
        <f>IF(C556&amp;G556&amp;D556&lt;&gt;'Funnel setup'!$K$3&amp;'Funnel setup'!$K$4&amp;'Funnel setup'!$K$5,".",IF(A555=".",1,A555+1))</f>
        <v>.</v>
      </c>
      <c r="B556" s="431" t="str">
        <f t="shared" si="8"/>
        <v>Groin HerniaProviderMID STAFFORDSHIRE NHS FOUNDATION TRUST (RJD)EQ VAS</v>
      </c>
      <c r="C556" t="s">
        <v>50</v>
      </c>
      <c r="D556" t="s">
        <v>1</v>
      </c>
      <c r="E556" t="s">
        <v>3638</v>
      </c>
      <c r="F556" t="s">
        <v>3639</v>
      </c>
      <c r="G556" t="s">
        <v>179</v>
      </c>
      <c r="H556">
        <v>92</v>
      </c>
      <c r="I556">
        <v>82.283000000000001</v>
      </c>
      <c r="J556">
        <v>80.554000000000002</v>
      </c>
      <c r="K556">
        <v>-1.728</v>
      </c>
      <c r="L556">
        <v>29</v>
      </c>
      <c r="M556">
        <v>26</v>
      </c>
      <c r="N556">
        <v>37</v>
      </c>
      <c r="O556">
        <v>79.572000000000003</v>
      </c>
      <c r="P556">
        <v>-1.07347667</v>
      </c>
      <c r="Q556">
        <v>11.6</v>
      </c>
    </row>
    <row r="557" spans="1:17" s="30" customFormat="1" x14ac:dyDescent="0.2">
      <c r="A557" s="30" t="str">
        <f>IF(C557&amp;G557&amp;D557&lt;&gt;'Funnel setup'!$K$3&amp;'Funnel setup'!$K$4&amp;'Funnel setup'!$K$5,".",IF(A556=".",1,A556+1))</f>
        <v>.</v>
      </c>
      <c r="B557" s="431" t="str">
        <f t="shared" si="8"/>
        <v>Groin HerniaProviderMID YORKSHIRE HOSPITALS NHS TRUST (RXF)EQ VAS</v>
      </c>
      <c r="C557" t="s">
        <v>50</v>
      </c>
      <c r="D557" t="s">
        <v>1</v>
      </c>
      <c r="E557" t="s">
        <v>3641</v>
      </c>
      <c r="F557" t="s">
        <v>3642</v>
      </c>
      <c r="G557" t="s">
        <v>179</v>
      </c>
      <c r="H557">
        <v>161</v>
      </c>
      <c r="I557">
        <v>82.204999999999998</v>
      </c>
      <c r="J557">
        <v>78.415999999999997</v>
      </c>
      <c r="K557">
        <v>-3.7890000000000001</v>
      </c>
      <c r="L557">
        <v>48</v>
      </c>
      <c r="M557">
        <v>30</v>
      </c>
      <c r="N557">
        <v>83</v>
      </c>
      <c r="O557">
        <v>78.302999999999997</v>
      </c>
      <c r="P557">
        <v>-2.3422874450000002</v>
      </c>
      <c r="Q557">
        <v>13.744999999999999</v>
      </c>
    </row>
    <row r="558" spans="1:17" s="30" customFormat="1" x14ac:dyDescent="0.2">
      <c r="A558" s="30" t="str">
        <f>IF(C558&amp;G558&amp;D558&lt;&gt;'Funnel setup'!$K$3&amp;'Funnel setup'!$K$4&amp;'Funnel setup'!$K$5,".",IF(A557=".",1,A557+1))</f>
        <v>.</v>
      </c>
      <c r="B558" s="431" t="str">
        <f t="shared" si="8"/>
        <v>Groin HerniaProviderMILTON KEYNES UNIVERSITY HOSPITAL NHS FOUNDATION TRUST (RD8)EQ VAS</v>
      </c>
      <c r="C558" t="s">
        <v>50</v>
      </c>
      <c r="D558" t="s">
        <v>1</v>
      </c>
      <c r="E558" t="s">
        <v>3643</v>
      </c>
      <c r="F558" t="s">
        <v>6580</v>
      </c>
      <c r="G558" t="s">
        <v>179</v>
      </c>
      <c r="H558">
        <v>56</v>
      </c>
      <c r="I558">
        <v>79.75</v>
      </c>
      <c r="J558">
        <v>77.588999999999999</v>
      </c>
      <c r="K558">
        <v>-2.161</v>
      </c>
      <c r="L558">
        <v>23</v>
      </c>
      <c r="M558">
        <v>9</v>
      </c>
      <c r="N558">
        <v>24</v>
      </c>
      <c r="O558">
        <v>78.41</v>
      </c>
      <c r="P558">
        <v>-2.2350775459999999</v>
      </c>
      <c r="Q558">
        <v>11.981</v>
      </c>
    </row>
    <row r="559" spans="1:17" s="30" customFormat="1" x14ac:dyDescent="0.2">
      <c r="A559" s="30" t="str">
        <f>IF(C559&amp;G559&amp;D559&lt;&gt;'Funnel setup'!$K$3&amp;'Funnel setup'!$K$4&amp;'Funnel setup'!$K$5,".",IF(A558=".",1,A558+1))</f>
        <v>.</v>
      </c>
      <c r="B559" s="431" t="str">
        <f t="shared" si="8"/>
        <v>Groin HerniaProviderMOUNT STUART HOSPITAL (NVC08)EQ VAS</v>
      </c>
      <c r="C559" t="s">
        <v>50</v>
      </c>
      <c r="D559" t="s">
        <v>1</v>
      </c>
      <c r="E559" t="s">
        <v>3645</v>
      </c>
      <c r="F559" t="s">
        <v>3646</v>
      </c>
      <c r="G559" t="s">
        <v>179</v>
      </c>
      <c r="H559">
        <v>122</v>
      </c>
      <c r="I559">
        <v>84.721000000000004</v>
      </c>
      <c r="J559">
        <v>82.09</v>
      </c>
      <c r="K559">
        <v>-2.6309999999999998</v>
      </c>
      <c r="L559">
        <v>35</v>
      </c>
      <c r="M559">
        <v>28</v>
      </c>
      <c r="N559">
        <v>59</v>
      </c>
      <c r="O559">
        <v>78.637</v>
      </c>
      <c r="P559">
        <v>-2.0085322419999998</v>
      </c>
      <c r="Q559">
        <v>13.926</v>
      </c>
    </row>
    <row r="560" spans="1:17" s="30" customFormat="1" x14ac:dyDescent="0.2">
      <c r="A560" s="30" t="str">
        <f>IF(C560&amp;G560&amp;D560&lt;&gt;'Funnel setup'!$K$3&amp;'Funnel setup'!$K$4&amp;'Funnel setup'!$K$5,".",IF(A559=".",1,A559+1))</f>
        <v>.</v>
      </c>
      <c r="B560" s="431" t="str">
        <f t="shared" si="8"/>
        <v>Groin HerniaProviderNEW HALL HOSPITAL (NVC09)EQ VAS</v>
      </c>
      <c r="C560" t="s">
        <v>50</v>
      </c>
      <c r="D560" t="s">
        <v>1</v>
      </c>
      <c r="E560" t="s">
        <v>3648</v>
      </c>
      <c r="F560" t="s">
        <v>3649</v>
      </c>
      <c r="G560" t="s">
        <v>179</v>
      </c>
      <c r="H560">
        <v>14</v>
      </c>
      <c r="I560">
        <v>81</v>
      </c>
      <c r="J560">
        <v>83.213999999999999</v>
      </c>
      <c r="K560">
        <v>2.214</v>
      </c>
      <c r="L560">
        <v>7</v>
      </c>
      <c r="M560">
        <v>3</v>
      </c>
      <c r="N560">
        <v>4</v>
      </c>
      <c r="O560" t="s">
        <v>53</v>
      </c>
      <c r="P560" t="s">
        <v>53</v>
      </c>
      <c r="Q560" t="s">
        <v>53</v>
      </c>
    </row>
    <row r="561" spans="1:17" s="30" customFormat="1" x14ac:dyDescent="0.2">
      <c r="A561" s="30" t="str">
        <f>IF(C561&amp;G561&amp;D561&lt;&gt;'Funnel setup'!$K$3&amp;'Funnel setup'!$K$4&amp;'Funnel setup'!$K$5,".",IF(A560=".",1,A560+1))</f>
        <v>.</v>
      </c>
      <c r="B561" s="431" t="str">
        <f t="shared" si="8"/>
        <v>Groin HerniaProviderNORFOLK AND NORWICH UNIVERSITY HOSPITALS NHS FOUNDATION TRUST (RM1)EQ VAS</v>
      </c>
      <c r="C561" t="s">
        <v>50</v>
      </c>
      <c r="D561" t="s">
        <v>1</v>
      </c>
      <c r="E561" t="s">
        <v>3651</v>
      </c>
      <c r="F561" t="s">
        <v>3652</v>
      </c>
      <c r="G561" t="s">
        <v>179</v>
      </c>
      <c r="H561">
        <v>371</v>
      </c>
      <c r="I561">
        <v>79.706000000000003</v>
      </c>
      <c r="J561">
        <v>81.784000000000006</v>
      </c>
      <c r="K561">
        <v>2.0779999999999998</v>
      </c>
      <c r="L561">
        <v>159</v>
      </c>
      <c r="M561">
        <v>81</v>
      </c>
      <c r="N561">
        <v>131</v>
      </c>
      <c r="O561">
        <v>81.66</v>
      </c>
      <c r="P561">
        <v>1.0144084390000001</v>
      </c>
      <c r="Q561">
        <v>10.427</v>
      </c>
    </row>
    <row r="562" spans="1:17" s="30" customFormat="1" x14ac:dyDescent="0.2">
      <c r="A562" s="30" t="str">
        <f>IF(C562&amp;G562&amp;D562&lt;&gt;'Funnel setup'!$K$3&amp;'Funnel setup'!$K$4&amp;'Funnel setup'!$K$5,".",IF(A561=".",1,A561+1))</f>
        <v>.</v>
      </c>
      <c r="B562" s="431" t="str">
        <f t="shared" si="8"/>
        <v>Groin HerniaProviderNORTH BRISTOL NHS TRUST (RVJ)EQ VAS</v>
      </c>
      <c r="C562" t="s">
        <v>50</v>
      </c>
      <c r="D562" t="s">
        <v>1</v>
      </c>
      <c r="E562" t="s">
        <v>3654</v>
      </c>
      <c r="F562" t="s">
        <v>3655</v>
      </c>
      <c r="G562" t="s">
        <v>179</v>
      </c>
      <c r="H562">
        <v>9</v>
      </c>
      <c r="I562">
        <v>84.221999999999994</v>
      </c>
      <c r="J562">
        <v>84.444000000000003</v>
      </c>
      <c r="K562">
        <v>0.222</v>
      </c>
      <c r="L562">
        <v>4</v>
      </c>
      <c r="M562">
        <v>2</v>
      </c>
      <c r="N562">
        <v>3</v>
      </c>
      <c r="O562" t="s">
        <v>53</v>
      </c>
      <c r="P562" t="s">
        <v>53</v>
      </c>
      <c r="Q562" t="s">
        <v>53</v>
      </c>
    </row>
    <row r="563" spans="1:17" s="30" customFormat="1" x14ac:dyDescent="0.2">
      <c r="A563" s="30" t="str">
        <f>IF(C563&amp;G563&amp;D563&lt;&gt;'Funnel setup'!$K$3&amp;'Funnel setup'!$K$4&amp;'Funnel setup'!$K$5,".",IF(A562=".",1,A562+1))</f>
        <v>.</v>
      </c>
      <c r="B563" s="431" t="str">
        <f t="shared" si="8"/>
        <v>Groin HerniaProviderNORTH CUMBRIA UNIVERSITY HOSPITALS NHS TRUST (RNL)EQ VAS</v>
      </c>
      <c r="C563" t="s">
        <v>50</v>
      </c>
      <c r="D563" t="s">
        <v>1</v>
      </c>
      <c r="E563" t="s">
        <v>3657</v>
      </c>
      <c r="F563" t="s">
        <v>3658</v>
      </c>
      <c r="G563" t="s">
        <v>179</v>
      </c>
      <c r="H563">
        <v>85</v>
      </c>
      <c r="I563">
        <v>81.846999999999994</v>
      </c>
      <c r="J563">
        <v>76.400000000000006</v>
      </c>
      <c r="K563">
        <v>-5.4470000000000001</v>
      </c>
      <c r="L563">
        <v>26</v>
      </c>
      <c r="M563">
        <v>11</v>
      </c>
      <c r="N563">
        <v>48</v>
      </c>
      <c r="O563">
        <v>76.396000000000001</v>
      </c>
      <c r="P563">
        <v>-4.2498862969999998</v>
      </c>
      <c r="Q563">
        <v>16.818999999999999</v>
      </c>
    </row>
    <row r="564" spans="1:17" s="30" customFormat="1" x14ac:dyDescent="0.2">
      <c r="A564" s="30" t="str">
        <f>IF(C564&amp;G564&amp;D564&lt;&gt;'Funnel setup'!$K$3&amp;'Funnel setup'!$K$4&amp;'Funnel setup'!$K$5,".",IF(A563=".",1,A563+1))</f>
        <v>.</v>
      </c>
      <c r="B564" s="431" t="str">
        <f t="shared" si="8"/>
        <v>Groin HerniaProviderNORTH DOWNS HOSPITAL (NVC11)EQ VAS</v>
      </c>
      <c r="C564" t="s">
        <v>50</v>
      </c>
      <c r="D564" t="s">
        <v>1</v>
      </c>
      <c r="E564" t="s">
        <v>3660</v>
      </c>
      <c r="F564" t="s">
        <v>3661</v>
      </c>
      <c r="G564" t="s">
        <v>179</v>
      </c>
      <c r="H564">
        <v>32</v>
      </c>
      <c r="I564">
        <v>85.188000000000002</v>
      </c>
      <c r="J564">
        <v>85.218999999999994</v>
      </c>
      <c r="K564">
        <v>3.1E-2</v>
      </c>
      <c r="L564">
        <v>11</v>
      </c>
      <c r="M564">
        <v>7</v>
      </c>
      <c r="N564">
        <v>14</v>
      </c>
      <c r="O564">
        <v>81.001000000000005</v>
      </c>
      <c r="P564">
        <v>0.35530876700000003</v>
      </c>
      <c r="Q564">
        <v>11.456</v>
      </c>
    </row>
    <row r="565" spans="1:17" s="30" customFormat="1" x14ac:dyDescent="0.2">
      <c r="A565" s="30" t="str">
        <f>IF(C565&amp;G565&amp;D565&lt;&gt;'Funnel setup'!$K$3&amp;'Funnel setup'!$K$4&amp;'Funnel setup'!$K$5,".",IF(A564=".",1,A564+1))</f>
        <v>.</v>
      </c>
      <c r="B565" s="431" t="str">
        <f t="shared" si="8"/>
        <v>Groin HerniaProviderNORTH EAST LONDON TREATMENT CENTRE CARE UK (NTP15)EQ VAS</v>
      </c>
      <c r="C565" t="s">
        <v>50</v>
      </c>
      <c r="D565" t="s">
        <v>1</v>
      </c>
      <c r="E565" t="s">
        <v>3663</v>
      </c>
      <c r="F565" t="s">
        <v>3664</v>
      </c>
      <c r="G565" t="s">
        <v>179</v>
      </c>
      <c r="H565">
        <v>80</v>
      </c>
      <c r="I565">
        <v>81.3</v>
      </c>
      <c r="J565">
        <v>78.5</v>
      </c>
      <c r="K565">
        <v>-2.8</v>
      </c>
      <c r="L565">
        <v>23</v>
      </c>
      <c r="M565">
        <v>15</v>
      </c>
      <c r="N565">
        <v>42</v>
      </c>
      <c r="O565">
        <v>77.954999999999998</v>
      </c>
      <c r="P565">
        <v>-2.6904495939999999</v>
      </c>
      <c r="Q565">
        <v>12.272</v>
      </c>
    </row>
    <row r="566" spans="1:17" s="30" customFormat="1" x14ac:dyDescent="0.2">
      <c r="A566" s="30" t="str">
        <f>IF(C566&amp;G566&amp;D566&lt;&gt;'Funnel setup'!$K$3&amp;'Funnel setup'!$K$4&amp;'Funnel setup'!$K$5,".",IF(A565=".",1,A565+1))</f>
        <v>.</v>
      </c>
      <c r="B566" s="431" t="str">
        <f t="shared" si="8"/>
        <v>Groin HerniaProviderNORTH MIDDLESEX UNIVERSITY HOSPITAL NHS TRUST (RAP)EQ VAS</v>
      </c>
      <c r="C566" t="s">
        <v>50</v>
      </c>
      <c r="D566" t="s">
        <v>1</v>
      </c>
      <c r="E566" t="s">
        <v>3666</v>
      </c>
      <c r="F566" t="s">
        <v>3667</v>
      </c>
      <c r="G566" t="s">
        <v>179</v>
      </c>
      <c r="H566">
        <v>36</v>
      </c>
      <c r="I566">
        <v>74.832999999999998</v>
      </c>
      <c r="J566">
        <v>72.167000000000002</v>
      </c>
      <c r="K566">
        <v>-2.6669999999999998</v>
      </c>
      <c r="L566">
        <v>14</v>
      </c>
      <c r="M566">
        <v>5</v>
      </c>
      <c r="N566">
        <v>17</v>
      </c>
      <c r="O566">
        <v>76.323999999999998</v>
      </c>
      <c r="P566">
        <v>-4.3210023209999999</v>
      </c>
      <c r="Q566">
        <v>14.500999999999999</v>
      </c>
    </row>
    <row r="567" spans="1:17" s="30" customFormat="1" x14ac:dyDescent="0.2">
      <c r="A567" s="30" t="str">
        <f>IF(C567&amp;G567&amp;D567&lt;&gt;'Funnel setup'!$K$3&amp;'Funnel setup'!$K$4&amp;'Funnel setup'!$K$5,".",IF(A566=".",1,A566+1))</f>
        <v>.</v>
      </c>
      <c r="B567" s="431" t="str">
        <f t="shared" si="8"/>
        <v>Groin HerniaProviderNORTH TEES AND HARTLEPOOL NHS FOUNDATION TRUST (RVW)EQ VAS</v>
      </c>
      <c r="C567" t="s">
        <v>50</v>
      </c>
      <c r="D567" t="s">
        <v>1</v>
      </c>
      <c r="E567" t="s">
        <v>3669</v>
      </c>
      <c r="F567" t="s">
        <v>3670</v>
      </c>
      <c r="G567" t="s">
        <v>179</v>
      </c>
      <c r="H567">
        <v>108</v>
      </c>
      <c r="I567">
        <v>81.435000000000002</v>
      </c>
      <c r="J567">
        <v>76.88</v>
      </c>
      <c r="K567">
        <v>-4.556</v>
      </c>
      <c r="L567">
        <v>35</v>
      </c>
      <c r="M567">
        <v>11</v>
      </c>
      <c r="N567">
        <v>62</v>
      </c>
      <c r="O567">
        <v>77.709000000000003</v>
      </c>
      <c r="P567">
        <v>-2.9361934650000001</v>
      </c>
      <c r="Q567">
        <v>14.276</v>
      </c>
    </row>
    <row r="568" spans="1:17" s="30" customFormat="1" x14ac:dyDescent="0.2">
      <c r="A568" s="30" t="str">
        <f>IF(C568&amp;G568&amp;D568&lt;&gt;'Funnel setup'!$K$3&amp;'Funnel setup'!$K$4&amp;'Funnel setup'!$K$5,".",IF(A567=".",1,A567+1))</f>
        <v>.</v>
      </c>
      <c r="B568" s="431" t="str">
        <f t="shared" si="8"/>
        <v>Groin HerniaProviderNORTHAMPTON GENERAL HOSPITAL NHS TRUST (RNS)EQ VAS</v>
      </c>
      <c r="C568" t="s">
        <v>50</v>
      </c>
      <c r="D568" t="s">
        <v>1</v>
      </c>
      <c r="E568" t="s">
        <v>3675</v>
      </c>
      <c r="F568" t="s">
        <v>3676</v>
      </c>
      <c r="G568" t="s">
        <v>179</v>
      </c>
      <c r="H568">
        <v>85</v>
      </c>
      <c r="I568">
        <v>76.305999999999997</v>
      </c>
      <c r="J568">
        <v>81.388000000000005</v>
      </c>
      <c r="K568">
        <v>5.0819999999999999</v>
      </c>
      <c r="L568">
        <v>34</v>
      </c>
      <c r="M568">
        <v>22</v>
      </c>
      <c r="N568">
        <v>29</v>
      </c>
      <c r="O568">
        <v>83.903000000000006</v>
      </c>
      <c r="P568">
        <v>3.257268711</v>
      </c>
      <c r="Q568">
        <v>13.500999999999999</v>
      </c>
    </row>
    <row r="569" spans="1:17" s="30" customFormat="1" x14ac:dyDescent="0.2">
      <c r="A569" s="30" t="str">
        <f>IF(C569&amp;G569&amp;D569&lt;&gt;'Funnel setup'!$K$3&amp;'Funnel setup'!$K$4&amp;'Funnel setup'!$K$5,".",IF(A568=".",1,A568+1))</f>
        <v>.</v>
      </c>
      <c r="B569" s="431" t="str">
        <f t="shared" si="8"/>
        <v>Groin HerniaProviderNORTHERN DEVON HEALTHCARE NHS TRUST (RBZ)EQ VAS</v>
      </c>
      <c r="C569" t="s">
        <v>50</v>
      </c>
      <c r="D569" t="s">
        <v>1</v>
      </c>
      <c r="E569" t="s">
        <v>3678</v>
      </c>
      <c r="F569" t="s">
        <v>3679</v>
      </c>
      <c r="G569" t="s">
        <v>179</v>
      </c>
      <c r="H569">
        <v>162</v>
      </c>
      <c r="I569">
        <v>78.012</v>
      </c>
      <c r="J569">
        <v>79.894999999999996</v>
      </c>
      <c r="K569">
        <v>1.883</v>
      </c>
      <c r="L569">
        <v>69</v>
      </c>
      <c r="M569">
        <v>36</v>
      </c>
      <c r="N569">
        <v>57</v>
      </c>
      <c r="O569">
        <v>80.835999999999999</v>
      </c>
      <c r="P569">
        <v>0.190834648</v>
      </c>
      <c r="Q569">
        <v>10.849</v>
      </c>
    </row>
    <row r="570" spans="1:17" s="30" customFormat="1" x14ac:dyDescent="0.2">
      <c r="A570" s="30" t="str">
        <f>IF(C570&amp;G570&amp;D570&lt;&gt;'Funnel setup'!$K$3&amp;'Funnel setup'!$K$4&amp;'Funnel setup'!$K$5,".",IF(A569=".",1,A569+1))</f>
        <v>.</v>
      </c>
      <c r="B570" s="431" t="str">
        <f t="shared" si="8"/>
        <v>Groin HerniaProviderNORTHERN LINCOLNSHIRE AND GOOLE NHS FOUNDATION TRUST (RJL)EQ VAS</v>
      </c>
      <c r="C570" t="s">
        <v>50</v>
      </c>
      <c r="D570" t="s">
        <v>1</v>
      </c>
      <c r="E570" t="s">
        <v>3681</v>
      </c>
      <c r="F570" t="s">
        <v>3682</v>
      </c>
      <c r="G570" t="s">
        <v>179</v>
      </c>
      <c r="H570">
        <v>128</v>
      </c>
      <c r="I570">
        <v>77.444999999999993</v>
      </c>
      <c r="J570">
        <v>77.858999999999995</v>
      </c>
      <c r="K570">
        <v>0.41399999999999998</v>
      </c>
      <c r="L570">
        <v>49</v>
      </c>
      <c r="M570">
        <v>22</v>
      </c>
      <c r="N570">
        <v>57</v>
      </c>
      <c r="O570">
        <v>79.488</v>
      </c>
      <c r="P570">
        <v>-1.157617093</v>
      </c>
      <c r="Q570">
        <v>14.058999999999999</v>
      </c>
    </row>
    <row r="571" spans="1:17" s="30" customFormat="1" x14ac:dyDescent="0.2">
      <c r="A571" s="30" t="str">
        <f>IF(C571&amp;G571&amp;D571&lt;&gt;'Funnel setup'!$K$3&amp;'Funnel setup'!$K$4&amp;'Funnel setup'!$K$5,".",IF(A570=".",1,A570+1))</f>
        <v>.</v>
      </c>
      <c r="B571" s="431" t="str">
        <f t="shared" si="8"/>
        <v>Groin HerniaProviderNORTHUMBRIA HEALTHCARE NHS FOUNDATION TRUST (RTF)EQ VAS</v>
      </c>
      <c r="C571" t="s">
        <v>50</v>
      </c>
      <c r="D571" t="s">
        <v>1</v>
      </c>
      <c r="E571" t="s">
        <v>3684</v>
      </c>
      <c r="F571" t="s">
        <v>3685</v>
      </c>
      <c r="G571" t="s">
        <v>179</v>
      </c>
      <c r="H571">
        <v>306</v>
      </c>
      <c r="I571">
        <v>78.010000000000005</v>
      </c>
      <c r="J571">
        <v>78.34</v>
      </c>
      <c r="K571">
        <v>0.33</v>
      </c>
      <c r="L571">
        <v>119</v>
      </c>
      <c r="M571">
        <v>70</v>
      </c>
      <c r="N571">
        <v>117</v>
      </c>
      <c r="O571">
        <v>80.647000000000006</v>
      </c>
      <c r="P571">
        <v>1.3859860000000001E-3</v>
      </c>
      <c r="Q571">
        <v>12.61</v>
      </c>
    </row>
    <row r="572" spans="1:17" s="30" customFormat="1" x14ac:dyDescent="0.2">
      <c r="A572" s="30" t="str">
        <f>IF(C572&amp;G572&amp;D572&lt;&gt;'Funnel setup'!$K$3&amp;'Funnel setup'!$K$4&amp;'Funnel setup'!$K$5,".",IF(A571=".",1,A571+1))</f>
        <v>.</v>
      </c>
      <c r="B572" s="431" t="str">
        <f t="shared" si="8"/>
        <v>Groin HerniaProviderNOTTINGHAM UNIVERSITY HOSPITALS NHS TRUST (RX1)EQ VAS</v>
      </c>
      <c r="C572" t="s">
        <v>50</v>
      </c>
      <c r="D572" t="s">
        <v>1</v>
      </c>
      <c r="E572" t="s">
        <v>3687</v>
      </c>
      <c r="F572" t="s">
        <v>3688</v>
      </c>
      <c r="G572" t="s">
        <v>179</v>
      </c>
      <c r="H572" t="s">
        <v>53</v>
      </c>
      <c r="I572" t="s">
        <v>53</v>
      </c>
      <c r="J572" t="s">
        <v>53</v>
      </c>
      <c r="K572" t="s">
        <v>53</v>
      </c>
      <c r="L572" t="s">
        <v>53</v>
      </c>
      <c r="M572" t="s">
        <v>53</v>
      </c>
      <c r="N572" t="s">
        <v>53</v>
      </c>
      <c r="O572" t="s">
        <v>53</v>
      </c>
      <c r="P572" t="s">
        <v>53</v>
      </c>
      <c r="Q572" t="s">
        <v>53</v>
      </c>
    </row>
    <row r="573" spans="1:17" s="30" customFormat="1" x14ac:dyDescent="0.2">
      <c r="A573" s="30" t="str">
        <f>IF(C573&amp;G573&amp;D573&lt;&gt;'Funnel setup'!$K$3&amp;'Funnel setup'!$K$4&amp;'Funnel setup'!$K$5,".",IF(A572=".",1,A572+1))</f>
        <v>.</v>
      </c>
      <c r="B573" s="431" t="str">
        <f t="shared" si="8"/>
        <v>Groin HerniaProviderNUFFIELD HEALTH, BRENTWOOD HOSPITAL (NT204)EQ VAS</v>
      </c>
      <c r="C573" t="s">
        <v>50</v>
      </c>
      <c r="D573" t="s">
        <v>1</v>
      </c>
      <c r="E573" t="s">
        <v>3691</v>
      </c>
      <c r="F573" t="s">
        <v>3692</v>
      </c>
      <c r="G573" t="s">
        <v>179</v>
      </c>
      <c r="H573" t="s">
        <v>53</v>
      </c>
      <c r="I573" t="s">
        <v>53</v>
      </c>
      <c r="J573" t="s">
        <v>53</v>
      </c>
      <c r="K573" t="s">
        <v>53</v>
      </c>
      <c r="L573" t="s">
        <v>53</v>
      </c>
      <c r="M573" t="s">
        <v>53</v>
      </c>
      <c r="N573" t="s">
        <v>53</v>
      </c>
      <c r="O573" t="s">
        <v>53</v>
      </c>
      <c r="P573" t="s">
        <v>53</v>
      </c>
      <c r="Q573" t="s">
        <v>53</v>
      </c>
    </row>
    <row r="574" spans="1:17" s="30" customFormat="1" x14ac:dyDescent="0.2">
      <c r="A574" s="30" t="str">
        <f>IF(C574&amp;G574&amp;D574&lt;&gt;'Funnel setup'!$K$3&amp;'Funnel setup'!$K$4&amp;'Funnel setup'!$K$5,".",IF(A573=".",1,A573+1))</f>
        <v>.</v>
      </c>
      <c r="B574" s="431" t="str">
        <f t="shared" si="8"/>
        <v>Groin HerniaProviderNUFFIELD HEALTH, BRISTOL HOSPITAL (CHESTERFIELD) (NT206)EQ VAS</v>
      </c>
      <c r="C574" t="s">
        <v>50</v>
      </c>
      <c r="D574" t="s">
        <v>1</v>
      </c>
      <c r="E574" t="s">
        <v>3700</v>
      </c>
      <c r="F574" t="s">
        <v>3701</v>
      </c>
      <c r="G574" t="s">
        <v>179</v>
      </c>
      <c r="H574">
        <v>6</v>
      </c>
      <c r="I574">
        <v>82.5</v>
      </c>
      <c r="J574">
        <v>83.332999999999998</v>
      </c>
      <c r="K574">
        <v>0.83299999999999996</v>
      </c>
      <c r="L574">
        <v>3</v>
      </c>
      <c r="M574">
        <v>1</v>
      </c>
      <c r="N574">
        <v>2</v>
      </c>
      <c r="O574" t="s">
        <v>53</v>
      </c>
      <c r="P574" t="s">
        <v>53</v>
      </c>
      <c r="Q574" t="s">
        <v>53</v>
      </c>
    </row>
    <row r="575" spans="1:17" s="30" customFormat="1" x14ac:dyDescent="0.2">
      <c r="A575" s="30" t="str">
        <f>IF(C575&amp;G575&amp;D575&lt;&gt;'Funnel setup'!$K$3&amp;'Funnel setup'!$K$4&amp;'Funnel setup'!$K$5,".",IF(A574=".",1,A574+1))</f>
        <v>.</v>
      </c>
      <c r="B575" s="431" t="str">
        <f t="shared" si="8"/>
        <v>Groin HerniaProviderNUFFIELD HEALTH, CHELTENHAM HOSPITAL (NT211)EQ VAS</v>
      </c>
      <c r="C575" t="s">
        <v>50</v>
      </c>
      <c r="D575" t="s">
        <v>1</v>
      </c>
      <c r="E575" t="s">
        <v>3703</v>
      </c>
      <c r="F575" t="s">
        <v>3704</v>
      </c>
      <c r="G575" t="s">
        <v>179</v>
      </c>
      <c r="H575">
        <v>7</v>
      </c>
      <c r="I575">
        <v>81.143000000000001</v>
      </c>
      <c r="J575">
        <v>81</v>
      </c>
      <c r="K575">
        <v>-0.14299999999999999</v>
      </c>
      <c r="L575">
        <v>3</v>
      </c>
      <c r="M575">
        <v>2</v>
      </c>
      <c r="N575">
        <v>2</v>
      </c>
      <c r="O575" t="s">
        <v>53</v>
      </c>
      <c r="P575" t="s">
        <v>53</v>
      </c>
      <c r="Q575" t="s">
        <v>53</v>
      </c>
    </row>
    <row r="576" spans="1:17" s="30" customFormat="1" x14ac:dyDescent="0.2">
      <c r="A576" s="30" t="str">
        <f>IF(C576&amp;G576&amp;D576&lt;&gt;'Funnel setup'!$K$3&amp;'Funnel setup'!$K$4&amp;'Funnel setup'!$K$5,".",IF(A575=".",1,A575+1))</f>
        <v>.</v>
      </c>
      <c r="B576" s="431" t="str">
        <f t="shared" si="8"/>
        <v>Groin HerniaProviderNUFFIELD HEALTH, DERBY HOSPITAL (NT213)EQ VAS</v>
      </c>
      <c r="C576" t="s">
        <v>50</v>
      </c>
      <c r="D576" t="s">
        <v>1</v>
      </c>
      <c r="E576" t="s">
        <v>3340</v>
      </c>
      <c r="F576" t="s">
        <v>3341</v>
      </c>
      <c r="G576" t="s">
        <v>179</v>
      </c>
      <c r="H576">
        <v>8</v>
      </c>
      <c r="I576">
        <v>88.125</v>
      </c>
      <c r="J576">
        <v>81.75</v>
      </c>
      <c r="K576">
        <v>-6.375</v>
      </c>
      <c r="L576">
        <v>1</v>
      </c>
      <c r="M576">
        <v>3</v>
      </c>
      <c r="N576">
        <v>4</v>
      </c>
      <c r="O576" t="s">
        <v>53</v>
      </c>
      <c r="P576" t="s">
        <v>53</v>
      </c>
      <c r="Q576" t="s">
        <v>53</v>
      </c>
    </row>
    <row r="577" spans="1:17" s="30" customFormat="1" x14ac:dyDescent="0.2">
      <c r="A577" s="30" t="str">
        <f>IF(C577&amp;G577&amp;D577&lt;&gt;'Funnel setup'!$K$3&amp;'Funnel setup'!$K$4&amp;'Funnel setup'!$K$5,".",IF(A576=".",1,A576+1))</f>
        <v>.</v>
      </c>
      <c r="B577" s="431" t="str">
        <f t="shared" si="8"/>
        <v>Groin HerniaProviderNUFFIELD HEALTH, HEREFORD HOSPITAL (NT219)EQ VAS</v>
      </c>
      <c r="C577" t="s">
        <v>50</v>
      </c>
      <c r="D577" t="s">
        <v>1</v>
      </c>
      <c r="E577" t="s">
        <v>3343</v>
      </c>
      <c r="F577" t="s">
        <v>3344</v>
      </c>
      <c r="G577" t="s">
        <v>179</v>
      </c>
      <c r="H577">
        <v>66</v>
      </c>
      <c r="I577">
        <v>79.894000000000005</v>
      </c>
      <c r="J577">
        <v>82.635999999999996</v>
      </c>
      <c r="K577">
        <v>2.742</v>
      </c>
      <c r="L577">
        <v>28</v>
      </c>
      <c r="M577">
        <v>14</v>
      </c>
      <c r="N577">
        <v>24</v>
      </c>
      <c r="O577">
        <v>82.894000000000005</v>
      </c>
      <c r="P577">
        <v>2.248856688</v>
      </c>
      <c r="Q577">
        <v>10.608000000000001</v>
      </c>
    </row>
    <row r="578" spans="1:17" s="30" customFormat="1" x14ac:dyDescent="0.2">
      <c r="A578" s="30" t="str">
        <f>IF(C578&amp;G578&amp;D578&lt;&gt;'Funnel setup'!$K$3&amp;'Funnel setup'!$K$4&amp;'Funnel setup'!$K$5,".",IF(A577=".",1,A577+1))</f>
        <v>.</v>
      </c>
      <c r="B578" s="431" t="str">
        <f t="shared" si="8"/>
        <v>Groin HerniaProviderNUFFIELD HEALTH, IPSWICH HOSPITAL (NT222)EQ VAS</v>
      </c>
      <c r="C578" t="s">
        <v>50</v>
      </c>
      <c r="D578" t="s">
        <v>1</v>
      </c>
      <c r="E578" t="s">
        <v>3385</v>
      </c>
      <c r="F578" t="s">
        <v>3386</v>
      </c>
      <c r="G578" t="s">
        <v>179</v>
      </c>
      <c r="H578">
        <v>20</v>
      </c>
      <c r="I578">
        <v>81.5</v>
      </c>
      <c r="J578">
        <v>82.3</v>
      </c>
      <c r="K578">
        <v>0.8</v>
      </c>
      <c r="L578">
        <v>7</v>
      </c>
      <c r="M578">
        <v>5</v>
      </c>
      <c r="N578">
        <v>8</v>
      </c>
      <c r="O578" t="s">
        <v>53</v>
      </c>
      <c r="P578" t="s">
        <v>53</v>
      </c>
      <c r="Q578" t="s">
        <v>53</v>
      </c>
    </row>
    <row r="579" spans="1:17" s="30" customFormat="1" x14ac:dyDescent="0.2">
      <c r="A579" s="30" t="str">
        <f>IF(C579&amp;G579&amp;D579&lt;&gt;'Funnel setup'!$K$3&amp;'Funnel setup'!$K$4&amp;'Funnel setup'!$K$5,".",IF(A578=".",1,A578+1))</f>
        <v>.</v>
      </c>
      <c r="B579" s="431" t="str">
        <f t="shared" ref="B579:B642" si="9">C579&amp;D579&amp;F579&amp;G579</f>
        <v>Groin HerniaProviderNUFFIELD HEALTH, LEEDS HOSPITAL (NT225)EQ VAS</v>
      </c>
      <c r="C579" t="s">
        <v>50</v>
      </c>
      <c r="D579" t="s">
        <v>1</v>
      </c>
      <c r="E579" t="s">
        <v>3388</v>
      </c>
      <c r="F579" t="s">
        <v>3389</v>
      </c>
      <c r="G579" t="s">
        <v>179</v>
      </c>
      <c r="H579">
        <v>35</v>
      </c>
      <c r="I579">
        <v>79.742999999999995</v>
      </c>
      <c r="J579">
        <v>84.656999999999996</v>
      </c>
      <c r="K579">
        <v>4.9139999999999997</v>
      </c>
      <c r="L579">
        <v>16</v>
      </c>
      <c r="M579">
        <v>8</v>
      </c>
      <c r="N579">
        <v>11</v>
      </c>
      <c r="O579">
        <v>83.125</v>
      </c>
      <c r="P579">
        <v>2.479925449</v>
      </c>
      <c r="Q579">
        <v>9.0960000000000001</v>
      </c>
    </row>
    <row r="580" spans="1:17" s="30" customFormat="1" x14ac:dyDescent="0.2">
      <c r="A580" s="30" t="str">
        <f>IF(C580&amp;G580&amp;D580&lt;&gt;'Funnel setup'!$K$3&amp;'Funnel setup'!$K$4&amp;'Funnel setup'!$K$5,".",IF(A579=".",1,A579+1))</f>
        <v>.</v>
      </c>
      <c r="B580" s="431" t="str">
        <f t="shared" si="9"/>
        <v>Groin HerniaProviderNUFFIELD HEALTH, LEICESTER HOSPITAL (NT226)EQ VAS</v>
      </c>
      <c r="C580" t="s">
        <v>50</v>
      </c>
      <c r="D580" t="s">
        <v>1</v>
      </c>
      <c r="E580" t="s">
        <v>3391</v>
      </c>
      <c r="F580" t="s">
        <v>3392</v>
      </c>
      <c r="G580" t="s">
        <v>179</v>
      </c>
      <c r="H580">
        <v>43</v>
      </c>
      <c r="I580">
        <v>81.674000000000007</v>
      </c>
      <c r="J580">
        <v>83.512</v>
      </c>
      <c r="K580">
        <v>1.837</v>
      </c>
      <c r="L580">
        <v>16</v>
      </c>
      <c r="M580">
        <v>7</v>
      </c>
      <c r="N580">
        <v>20</v>
      </c>
      <c r="O580">
        <v>82.563999999999993</v>
      </c>
      <c r="P580">
        <v>1.918708115</v>
      </c>
      <c r="Q580">
        <v>8.7739999999999991</v>
      </c>
    </row>
    <row r="581" spans="1:17" s="30" customFormat="1" x14ac:dyDescent="0.2">
      <c r="A581" s="30" t="str">
        <f>IF(C581&amp;G581&amp;D581&lt;&gt;'Funnel setup'!$K$3&amp;'Funnel setup'!$K$4&amp;'Funnel setup'!$K$5,".",IF(A580=".",1,A580+1))</f>
        <v>.</v>
      </c>
      <c r="B581" s="431" t="str">
        <f t="shared" si="9"/>
        <v>Groin HerniaProviderNUFFIELD HEALTH, NEWCASTLE UPON TYNE HOSPITAL (NT229)EQ VAS</v>
      </c>
      <c r="C581" t="s">
        <v>50</v>
      </c>
      <c r="D581" t="s">
        <v>1</v>
      </c>
      <c r="E581" t="s">
        <v>3394</v>
      </c>
      <c r="F581" t="s">
        <v>3395</v>
      </c>
      <c r="G581" t="s">
        <v>179</v>
      </c>
      <c r="H581">
        <v>58</v>
      </c>
      <c r="I581">
        <v>83.069000000000003</v>
      </c>
      <c r="J581">
        <v>78.430999999999997</v>
      </c>
      <c r="K581">
        <v>-4.6379999999999999</v>
      </c>
      <c r="L581">
        <v>20</v>
      </c>
      <c r="M581">
        <v>10</v>
      </c>
      <c r="N581">
        <v>28</v>
      </c>
      <c r="O581">
        <v>77.561000000000007</v>
      </c>
      <c r="P581">
        <v>-3.0846986599999999</v>
      </c>
      <c r="Q581">
        <v>15.297000000000001</v>
      </c>
    </row>
    <row r="582" spans="1:17" s="30" customFormat="1" x14ac:dyDescent="0.2">
      <c r="A582" s="30" t="str">
        <f>IF(C582&amp;G582&amp;D582&lt;&gt;'Funnel setup'!$K$3&amp;'Funnel setup'!$K$4&amp;'Funnel setup'!$K$5,".",IF(A581=".",1,A581+1))</f>
        <v>.</v>
      </c>
      <c r="B582" s="431" t="str">
        <f t="shared" si="9"/>
        <v>Groin HerniaProviderNUFFIELD HEALTH, NORTH STAFFORDSHIRE HOSPITAL (NT230)EQ VAS</v>
      </c>
      <c r="C582" t="s">
        <v>50</v>
      </c>
      <c r="D582" t="s">
        <v>1</v>
      </c>
      <c r="E582" t="s">
        <v>3397</v>
      </c>
      <c r="F582" t="s">
        <v>3398</v>
      </c>
      <c r="G582" t="s">
        <v>179</v>
      </c>
      <c r="H582">
        <v>27</v>
      </c>
      <c r="I582">
        <v>81.037000000000006</v>
      </c>
      <c r="J582">
        <v>83.406999999999996</v>
      </c>
      <c r="K582">
        <v>2.37</v>
      </c>
      <c r="L582">
        <v>15</v>
      </c>
      <c r="M582">
        <v>3</v>
      </c>
      <c r="N582">
        <v>9</v>
      </c>
      <c r="O582" t="s">
        <v>53</v>
      </c>
      <c r="P582" t="s">
        <v>53</v>
      </c>
      <c r="Q582" t="s">
        <v>53</v>
      </c>
    </row>
    <row r="583" spans="1:17" s="30" customFormat="1" x14ac:dyDescent="0.2">
      <c r="A583" s="30" t="str">
        <f>IF(C583&amp;G583&amp;D583&lt;&gt;'Funnel setup'!$K$3&amp;'Funnel setup'!$K$4&amp;'Funnel setup'!$K$5,".",IF(A582=".",1,A582+1))</f>
        <v>.</v>
      </c>
      <c r="B583" s="431" t="str">
        <f t="shared" si="9"/>
        <v>Groin HerniaProviderNUFFIELD HEALTH, PLYMOUTH HOSPITAL (NT233)EQ VAS</v>
      </c>
      <c r="C583" t="s">
        <v>50</v>
      </c>
      <c r="D583" t="s">
        <v>1</v>
      </c>
      <c r="E583" t="s">
        <v>3400</v>
      </c>
      <c r="F583" t="s">
        <v>3401</v>
      </c>
      <c r="G583" t="s">
        <v>179</v>
      </c>
      <c r="H583">
        <v>214</v>
      </c>
      <c r="I583">
        <v>83.966999999999999</v>
      </c>
      <c r="J583">
        <v>84.519000000000005</v>
      </c>
      <c r="K583">
        <v>0.55100000000000005</v>
      </c>
      <c r="L583">
        <v>88</v>
      </c>
      <c r="M583">
        <v>50</v>
      </c>
      <c r="N583">
        <v>76</v>
      </c>
      <c r="O583">
        <v>81.616</v>
      </c>
      <c r="P583">
        <v>0.970075307</v>
      </c>
      <c r="Q583">
        <v>10.323</v>
      </c>
    </row>
    <row r="584" spans="1:17" s="30" customFormat="1" x14ac:dyDescent="0.2">
      <c r="A584" s="30" t="str">
        <f>IF(C584&amp;G584&amp;D584&lt;&gt;'Funnel setup'!$K$3&amp;'Funnel setup'!$K$4&amp;'Funnel setup'!$K$5,".",IF(A583=".",1,A583+1))</f>
        <v>.</v>
      </c>
      <c r="B584" s="431" t="str">
        <f t="shared" si="9"/>
        <v>Groin HerniaProviderNUFFIELD HEALTH, SHREWSBURY HOSPITAL (NT235)EQ VAS</v>
      </c>
      <c r="C584" t="s">
        <v>50</v>
      </c>
      <c r="D584" t="s">
        <v>1</v>
      </c>
      <c r="E584" t="s">
        <v>3240</v>
      </c>
      <c r="F584" t="s">
        <v>3241</v>
      </c>
      <c r="G584" t="s">
        <v>179</v>
      </c>
      <c r="H584">
        <v>50</v>
      </c>
      <c r="I584">
        <v>82.28</v>
      </c>
      <c r="J584">
        <v>84.32</v>
      </c>
      <c r="K584">
        <v>2.04</v>
      </c>
      <c r="L584">
        <v>21</v>
      </c>
      <c r="M584">
        <v>12</v>
      </c>
      <c r="N584">
        <v>17</v>
      </c>
      <c r="O584">
        <v>82.891999999999996</v>
      </c>
      <c r="P584">
        <v>2.246344626</v>
      </c>
      <c r="Q584">
        <v>11.388999999999999</v>
      </c>
    </row>
    <row r="585" spans="1:17" s="30" customFormat="1" x14ac:dyDescent="0.2">
      <c r="A585" s="30" t="str">
        <f>IF(C585&amp;G585&amp;D585&lt;&gt;'Funnel setup'!$K$3&amp;'Funnel setup'!$K$4&amp;'Funnel setup'!$K$5,".",IF(A584=".",1,A584+1))</f>
        <v>.</v>
      </c>
      <c r="B585" s="431" t="str">
        <f t="shared" si="9"/>
        <v>Groin HerniaProviderNUFFIELD HEALTH, TAUNTON HOSPITAL (NT238)EQ VAS</v>
      </c>
      <c r="C585" t="s">
        <v>50</v>
      </c>
      <c r="D585" t="s">
        <v>1</v>
      </c>
      <c r="E585" t="s">
        <v>3243</v>
      </c>
      <c r="F585" t="s">
        <v>3244</v>
      </c>
      <c r="G585" t="s">
        <v>179</v>
      </c>
      <c r="H585">
        <v>58</v>
      </c>
      <c r="I585">
        <v>84.120999999999995</v>
      </c>
      <c r="J585">
        <v>84.430999999999997</v>
      </c>
      <c r="K585">
        <v>0.31</v>
      </c>
      <c r="L585">
        <v>24</v>
      </c>
      <c r="M585">
        <v>6</v>
      </c>
      <c r="N585">
        <v>28</v>
      </c>
      <c r="O585">
        <v>81.016999999999996</v>
      </c>
      <c r="P585">
        <v>0.371400277</v>
      </c>
      <c r="Q585">
        <v>8.51</v>
      </c>
    </row>
    <row r="586" spans="1:17" s="30" customFormat="1" x14ac:dyDescent="0.2">
      <c r="A586" s="30" t="str">
        <f>IF(C586&amp;G586&amp;D586&lt;&gt;'Funnel setup'!$K$3&amp;'Funnel setup'!$K$4&amp;'Funnel setup'!$K$5,".",IF(A585=".",1,A585+1))</f>
        <v>.</v>
      </c>
      <c r="B586" s="431" t="str">
        <f t="shared" si="9"/>
        <v>Groin HerniaProviderNUFFIELD HEALTH, TEES HOSPITAL (NT237)EQ VAS</v>
      </c>
      <c r="C586" t="s">
        <v>50</v>
      </c>
      <c r="D586" t="s">
        <v>1</v>
      </c>
      <c r="E586" t="s">
        <v>3246</v>
      </c>
      <c r="F586" t="s">
        <v>3247</v>
      </c>
      <c r="G586" t="s">
        <v>179</v>
      </c>
      <c r="H586">
        <v>86</v>
      </c>
      <c r="I586">
        <v>83.522999999999996</v>
      </c>
      <c r="J586">
        <v>83.5</v>
      </c>
      <c r="K586">
        <v>-2.3E-2</v>
      </c>
      <c r="L586">
        <v>33</v>
      </c>
      <c r="M586">
        <v>21</v>
      </c>
      <c r="N586">
        <v>32</v>
      </c>
      <c r="O586">
        <v>81.200999999999993</v>
      </c>
      <c r="P586">
        <v>0.555855023</v>
      </c>
      <c r="Q586">
        <v>13.537000000000001</v>
      </c>
    </row>
    <row r="587" spans="1:17" s="30" customFormat="1" x14ac:dyDescent="0.2">
      <c r="A587" s="30" t="str">
        <f>IF(C587&amp;G587&amp;D587&lt;&gt;'Funnel setup'!$K$3&amp;'Funnel setup'!$K$4&amp;'Funnel setup'!$K$5,".",IF(A586=".",1,A586+1))</f>
        <v>.</v>
      </c>
      <c r="B587" s="431" t="str">
        <f t="shared" si="9"/>
        <v>Groin HerniaProviderNUFFIELD HEALTH, TUNBRIDGE WELLS HOSPITAL (NT239)EQ VAS</v>
      </c>
      <c r="C587" t="s">
        <v>50</v>
      </c>
      <c r="D587" t="s">
        <v>1</v>
      </c>
      <c r="E587" t="s">
        <v>3252</v>
      </c>
      <c r="F587" t="s">
        <v>3253</v>
      </c>
      <c r="G587" t="s">
        <v>179</v>
      </c>
      <c r="H587">
        <v>14</v>
      </c>
      <c r="I587">
        <v>84.643000000000001</v>
      </c>
      <c r="J587">
        <v>85.929000000000002</v>
      </c>
      <c r="K587">
        <v>1.286</v>
      </c>
      <c r="L587">
        <v>6</v>
      </c>
      <c r="M587">
        <v>3</v>
      </c>
      <c r="N587">
        <v>5</v>
      </c>
      <c r="O587" t="s">
        <v>53</v>
      </c>
      <c r="P587" t="s">
        <v>53</v>
      </c>
      <c r="Q587" t="s">
        <v>53</v>
      </c>
    </row>
    <row r="588" spans="1:17" s="30" customFormat="1" x14ac:dyDescent="0.2">
      <c r="A588" s="30" t="str">
        <f>IF(C588&amp;G588&amp;D588&lt;&gt;'Funnel setup'!$K$3&amp;'Funnel setup'!$K$4&amp;'Funnel setup'!$K$5,".",IF(A587=".",1,A587+1))</f>
        <v>.</v>
      </c>
      <c r="B588" s="431" t="str">
        <f t="shared" si="9"/>
        <v>Groin HerniaProviderNUFFIELD HEALTH, WESSEX HOSPITAL (NT214)EQ VAS</v>
      </c>
      <c r="C588" t="s">
        <v>50</v>
      </c>
      <c r="D588" t="s">
        <v>1</v>
      </c>
      <c r="E588" t="s">
        <v>3258</v>
      </c>
      <c r="F588" t="s">
        <v>3259</v>
      </c>
      <c r="G588" t="s">
        <v>179</v>
      </c>
      <c r="H588">
        <v>11</v>
      </c>
      <c r="I588">
        <v>86.817999999999998</v>
      </c>
      <c r="J588">
        <v>90</v>
      </c>
      <c r="K588">
        <v>3.1819999999999999</v>
      </c>
      <c r="L588">
        <v>3</v>
      </c>
      <c r="M588">
        <v>7</v>
      </c>
      <c r="N588">
        <v>1</v>
      </c>
      <c r="O588" t="s">
        <v>53</v>
      </c>
      <c r="P588" t="s">
        <v>53</v>
      </c>
      <c r="Q588" t="s">
        <v>53</v>
      </c>
    </row>
    <row r="589" spans="1:17" s="30" customFormat="1" x14ac:dyDescent="0.2">
      <c r="A589" s="30" t="str">
        <f>IF(C589&amp;G589&amp;D589&lt;&gt;'Funnel setup'!$K$3&amp;'Funnel setup'!$K$4&amp;'Funnel setup'!$K$5,".",IF(A588=".",1,A588+1))</f>
        <v>.</v>
      </c>
      <c r="B589" s="431" t="str">
        <f t="shared" si="9"/>
        <v>Groin HerniaProviderNUFFIELD HEALTH, WOKING HOSPITAL (NT241)EQ VAS</v>
      </c>
      <c r="C589" t="s">
        <v>50</v>
      </c>
      <c r="D589" t="s">
        <v>1</v>
      </c>
      <c r="E589" t="s">
        <v>3261</v>
      </c>
      <c r="F589" t="s">
        <v>3262</v>
      </c>
      <c r="G589" t="s">
        <v>179</v>
      </c>
      <c r="H589">
        <v>10</v>
      </c>
      <c r="I589">
        <v>86.1</v>
      </c>
      <c r="J589">
        <v>83.5</v>
      </c>
      <c r="K589">
        <v>-2.6</v>
      </c>
      <c r="L589">
        <v>4</v>
      </c>
      <c r="M589">
        <v>1</v>
      </c>
      <c r="N589">
        <v>5</v>
      </c>
      <c r="O589" t="s">
        <v>53</v>
      </c>
      <c r="P589" t="s">
        <v>53</v>
      </c>
      <c r="Q589" t="s">
        <v>53</v>
      </c>
    </row>
    <row r="590" spans="1:17" s="30" customFormat="1" x14ac:dyDescent="0.2">
      <c r="A590" s="30" t="str">
        <f>IF(C590&amp;G590&amp;D590&lt;&gt;'Funnel setup'!$K$3&amp;'Funnel setup'!$K$4&amp;'Funnel setup'!$K$5,".",IF(A589=".",1,A589+1))</f>
        <v>.</v>
      </c>
      <c r="B590" s="431" t="str">
        <f t="shared" si="9"/>
        <v>Groin HerniaProviderNUFFIELD HEALTH, WOLVERHAMPTON HOSPITAL (NT242)EQ VAS</v>
      </c>
      <c r="C590" t="s">
        <v>50</v>
      </c>
      <c r="D590" t="s">
        <v>1</v>
      </c>
      <c r="E590" t="s">
        <v>3264</v>
      </c>
      <c r="F590" t="s">
        <v>3265</v>
      </c>
      <c r="G590" t="s">
        <v>179</v>
      </c>
      <c r="H590">
        <v>24</v>
      </c>
      <c r="I590">
        <v>84.375</v>
      </c>
      <c r="J590">
        <v>80.957999999999998</v>
      </c>
      <c r="K590">
        <v>-3.4169999999999998</v>
      </c>
      <c r="L590">
        <v>6</v>
      </c>
      <c r="M590">
        <v>5</v>
      </c>
      <c r="N590">
        <v>13</v>
      </c>
      <c r="O590" t="s">
        <v>53</v>
      </c>
      <c r="P590" t="s">
        <v>53</v>
      </c>
      <c r="Q590" t="s">
        <v>53</v>
      </c>
    </row>
    <row r="591" spans="1:17" s="30" customFormat="1" x14ac:dyDescent="0.2">
      <c r="A591" s="30" t="str">
        <f>IF(C591&amp;G591&amp;D591&lt;&gt;'Funnel setup'!$K$3&amp;'Funnel setup'!$K$4&amp;'Funnel setup'!$K$5,".",IF(A590=".",1,A590+1))</f>
        <v>.</v>
      </c>
      <c r="B591" s="431" t="str">
        <f t="shared" si="9"/>
        <v>Groin HerniaProviderOAKLANDS HOSPITAL (NVC12)EQ VAS</v>
      </c>
      <c r="C591" t="s">
        <v>50</v>
      </c>
      <c r="D591" t="s">
        <v>1</v>
      </c>
      <c r="E591" t="s">
        <v>3267</v>
      </c>
      <c r="F591" t="s">
        <v>3268</v>
      </c>
      <c r="G591" t="s">
        <v>179</v>
      </c>
      <c r="H591">
        <v>36</v>
      </c>
      <c r="I591">
        <v>81.75</v>
      </c>
      <c r="J591">
        <v>81.138999999999996</v>
      </c>
      <c r="K591">
        <v>-0.61099999999999999</v>
      </c>
      <c r="L591">
        <v>12</v>
      </c>
      <c r="M591">
        <v>9</v>
      </c>
      <c r="N591">
        <v>15</v>
      </c>
      <c r="O591">
        <v>81.216999999999999</v>
      </c>
      <c r="P591">
        <v>0.57192137799999998</v>
      </c>
      <c r="Q591">
        <v>11.746</v>
      </c>
    </row>
    <row r="592" spans="1:17" s="30" customFormat="1" x14ac:dyDescent="0.2">
      <c r="A592" s="30" t="str">
        <f>IF(C592&amp;G592&amp;D592&lt;&gt;'Funnel setup'!$K$3&amp;'Funnel setup'!$K$4&amp;'Funnel setup'!$K$5,".",IF(A591=".",1,A591+1))</f>
        <v>.</v>
      </c>
      <c r="B592" s="431" t="str">
        <f t="shared" si="9"/>
        <v>Groin HerniaProviderOAKS HOSPITAL (NVC13)EQ VAS</v>
      </c>
      <c r="C592" t="s">
        <v>50</v>
      </c>
      <c r="D592" t="s">
        <v>1</v>
      </c>
      <c r="E592" t="s">
        <v>3270</v>
      </c>
      <c r="F592" t="s">
        <v>3271</v>
      </c>
      <c r="G592" t="s">
        <v>179</v>
      </c>
      <c r="H592">
        <v>77</v>
      </c>
      <c r="I592">
        <v>82.986999999999995</v>
      </c>
      <c r="J592">
        <v>80.87</v>
      </c>
      <c r="K592">
        <v>-2.117</v>
      </c>
      <c r="L592">
        <v>24</v>
      </c>
      <c r="M592">
        <v>15</v>
      </c>
      <c r="N592">
        <v>38</v>
      </c>
      <c r="O592">
        <v>79.244</v>
      </c>
      <c r="P592">
        <v>-1.400990497</v>
      </c>
      <c r="Q592">
        <v>10.397</v>
      </c>
    </row>
    <row r="593" spans="1:17" s="30" customFormat="1" x14ac:dyDescent="0.2">
      <c r="A593" s="30" t="str">
        <f>IF(C593&amp;G593&amp;D593&lt;&gt;'Funnel setup'!$K$3&amp;'Funnel setup'!$K$4&amp;'Funnel setup'!$K$5,".",IF(A592=".",1,A592+1))</f>
        <v>.</v>
      </c>
      <c r="B593" s="431" t="str">
        <f t="shared" si="9"/>
        <v>Groin HerniaProviderONE HEALTH GROUP LTD (NTX01)EQ VAS</v>
      </c>
      <c r="C593" t="s">
        <v>50</v>
      </c>
      <c r="D593" t="s">
        <v>1</v>
      </c>
      <c r="E593" t="s">
        <v>6507</v>
      </c>
      <c r="F593" t="s">
        <v>6508</v>
      </c>
      <c r="G593" t="s">
        <v>179</v>
      </c>
      <c r="H593">
        <v>31</v>
      </c>
      <c r="I593">
        <v>82.742000000000004</v>
      </c>
      <c r="J593">
        <v>84.903000000000006</v>
      </c>
      <c r="K593">
        <v>2.161</v>
      </c>
      <c r="L593">
        <v>11</v>
      </c>
      <c r="M593">
        <v>7</v>
      </c>
      <c r="N593">
        <v>13</v>
      </c>
      <c r="O593">
        <v>82.798000000000002</v>
      </c>
      <c r="P593">
        <v>2.1529512799999999</v>
      </c>
      <c r="Q593">
        <v>9.0640000000000001</v>
      </c>
    </row>
    <row r="594" spans="1:17" s="30" customFormat="1" x14ac:dyDescent="0.2">
      <c r="A594" s="30" t="str">
        <f>IF(C594&amp;G594&amp;D594&lt;&gt;'Funnel setup'!$K$3&amp;'Funnel setup'!$K$4&amp;'Funnel setup'!$K$5,".",IF(A593=".",1,A593+1))</f>
        <v>.</v>
      </c>
      <c r="B594" s="431" t="str">
        <f t="shared" si="9"/>
        <v>Groin HerniaProviderOXFORD UNIVERSITY HOSPITALS NHS FOUNDATION TRUST (RTH)EQ VAS</v>
      </c>
      <c r="C594" t="s">
        <v>50</v>
      </c>
      <c r="D594" t="s">
        <v>1</v>
      </c>
      <c r="E594" t="s">
        <v>3278</v>
      </c>
      <c r="F594" t="s">
        <v>6578</v>
      </c>
      <c r="G594" t="s">
        <v>179</v>
      </c>
      <c r="H594">
        <v>174</v>
      </c>
      <c r="I594">
        <v>81.247</v>
      </c>
      <c r="J594">
        <v>79.585999999999999</v>
      </c>
      <c r="K594">
        <v>-1.661</v>
      </c>
      <c r="L594">
        <v>63</v>
      </c>
      <c r="M594">
        <v>31</v>
      </c>
      <c r="N594">
        <v>80</v>
      </c>
      <c r="O594">
        <v>79.174999999999997</v>
      </c>
      <c r="P594">
        <v>-1.470005132</v>
      </c>
      <c r="Q594">
        <v>12.586</v>
      </c>
    </row>
    <row r="595" spans="1:17" s="30" customFormat="1" x14ac:dyDescent="0.2">
      <c r="A595" s="30" t="str">
        <f>IF(C595&amp;G595&amp;D595&lt;&gt;'Funnel setup'!$K$3&amp;'Funnel setup'!$K$4&amp;'Funnel setup'!$K$5,".",IF(A594=".",1,A594+1))</f>
        <v>.</v>
      </c>
      <c r="B595" s="431" t="str">
        <f t="shared" si="9"/>
        <v>Groin HerniaProviderPENNINE ACUTE HOSPITALS NHS TRUST (RW6)EQ VAS</v>
      </c>
      <c r="C595" t="s">
        <v>50</v>
      </c>
      <c r="D595" t="s">
        <v>1</v>
      </c>
      <c r="E595" t="s">
        <v>3216</v>
      </c>
      <c r="F595" t="s">
        <v>3217</v>
      </c>
      <c r="G595" t="s">
        <v>179</v>
      </c>
      <c r="H595">
        <v>65</v>
      </c>
      <c r="I595">
        <v>76.599999999999994</v>
      </c>
      <c r="J595">
        <v>74.215000000000003</v>
      </c>
      <c r="K595">
        <v>-2.3849999999999998</v>
      </c>
      <c r="L595">
        <v>21</v>
      </c>
      <c r="M595">
        <v>12</v>
      </c>
      <c r="N595">
        <v>32</v>
      </c>
      <c r="O595">
        <v>77.751999999999995</v>
      </c>
      <c r="P595">
        <v>-2.8937240580000001</v>
      </c>
      <c r="Q595">
        <v>16.613</v>
      </c>
    </row>
    <row r="596" spans="1:17" s="30" customFormat="1" x14ac:dyDescent="0.2">
      <c r="A596" s="30" t="str">
        <f>IF(C596&amp;G596&amp;D596&lt;&gt;'Funnel setup'!$K$3&amp;'Funnel setup'!$K$4&amp;'Funnel setup'!$K$5,".",IF(A595=".",1,A595+1))</f>
        <v>.</v>
      </c>
      <c r="B596" s="431" t="str">
        <f t="shared" si="9"/>
        <v>Groin HerniaProviderPETERBOROUGH AND STAMFORD HOSPITALS NHS FOUNDATION TRUST (RGN)EQ VAS</v>
      </c>
      <c r="C596" t="s">
        <v>50</v>
      </c>
      <c r="D596" t="s">
        <v>1</v>
      </c>
      <c r="E596" t="s">
        <v>3219</v>
      </c>
      <c r="F596" t="s">
        <v>3220</v>
      </c>
      <c r="G596" t="s">
        <v>179</v>
      </c>
      <c r="H596">
        <v>156</v>
      </c>
      <c r="I596">
        <v>81.313999999999993</v>
      </c>
      <c r="J596">
        <v>80.686000000000007</v>
      </c>
      <c r="K596">
        <v>-0.628</v>
      </c>
      <c r="L596">
        <v>62</v>
      </c>
      <c r="M596">
        <v>26</v>
      </c>
      <c r="N596">
        <v>68</v>
      </c>
      <c r="O596">
        <v>80.534000000000006</v>
      </c>
      <c r="P596">
        <v>-0.111612535</v>
      </c>
      <c r="Q596">
        <v>13.58</v>
      </c>
    </row>
    <row r="597" spans="1:17" s="30" customFormat="1" x14ac:dyDescent="0.2">
      <c r="A597" s="30" t="str">
        <f>IF(C597&amp;G597&amp;D597&lt;&gt;'Funnel setup'!$K$3&amp;'Funnel setup'!$K$4&amp;'Funnel setup'!$K$5,".",IF(A596=".",1,A596+1))</f>
        <v>.</v>
      </c>
      <c r="B597" s="431" t="str">
        <f t="shared" si="9"/>
        <v>Groin HerniaProviderPINEHILL HOSPITAL (NVC15)EQ VAS</v>
      </c>
      <c r="C597" t="s">
        <v>50</v>
      </c>
      <c r="D597" t="s">
        <v>1</v>
      </c>
      <c r="E597" t="s">
        <v>3222</v>
      </c>
      <c r="F597" t="s">
        <v>3223</v>
      </c>
      <c r="G597" t="s">
        <v>179</v>
      </c>
      <c r="H597">
        <v>35</v>
      </c>
      <c r="I597">
        <v>83.4</v>
      </c>
      <c r="J597">
        <v>86.286000000000001</v>
      </c>
      <c r="K597">
        <v>2.8860000000000001</v>
      </c>
      <c r="L597">
        <v>14</v>
      </c>
      <c r="M597">
        <v>12</v>
      </c>
      <c r="N597">
        <v>9</v>
      </c>
      <c r="O597">
        <v>83.581999999999994</v>
      </c>
      <c r="P597">
        <v>2.9370390450000001</v>
      </c>
      <c r="Q597">
        <v>7.859</v>
      </c>
    </row>
    <row r="598" spans="1:17" s="30" customFormat="1" x14ac:dyDescent="0.2">
      <c r="A598" s="30" t="str">
        <f>IF(C598&amp;G598&amp;D598&lt;&gt;'Funnel setup'!$K$3&amp;'Funnel setup'!$K$4&amp;'Funnel setup'!$K$5,".",IF(A597=".",1,A597+1))</f>
        <v>.</v>
      </c>
      <c r="B598" s="431" t="str">
        <f t="shared" si="9"/>
        <v>Groin HerniaProviderPLYMOUTH HOSPITALS NHS TRUST (RK9)EQ VAS</v>
      </c>
      <c r="C598" t="s">
        <v>50</v>
      </c>
      <c r="D598" t="s">
        <v>1</v>
      </c>
      <c r="E598" t="s">
        <v>3225</v>
      </c>
      <c r="F598" t="s">
        <v>3226</v>
      </c>
      <c r="G598" t="s">
        <v>179</v>
      </c>
      <c r="H598">
        <v>57</v>
      </c>
      <c r="I598">
        <v>80.034999999999997</v>
      </c>
      <c r="J598">
        <v>79.298000000000002</v>
      </c>
      <c r="K598">
        <v>-0.73699999999999999</v>
      </c>
      <c r="L598">
        <v>22</v>
      </c>
      <c r="M598">
        <v>8</v>
      </c>
      <c r="N598">
        <v>27</v>
      </c>
      <c r="O598">
        <v>81.628</v>
      </c>
      <c r="P598">
        <v>0.98211731300000005</v>
      </c>
      <c r="Q598">
        <v>13.304</v>
      </c>
    </row>
    <row r="599" spans="1:17" s="30" customFormat="1" x14ac:dyDescent="0.2">
      <c r="A599" s="30" t="str">
        <f>IF(C599&amp;G599&amp;D599&lt;&gt;'Funnel setup'!$K$3&amp;'Funnel setup'!$K$4&amp;'Funnel setup'!$K$5,".",IF(A598=".",1,A598+1))</f>
        <v>.</v>
      </c>
      <c r="B599" s="431" t="str">
        <f t="shared" si="9"/>
        <v>Groin HerniaProviderPOOLE HOSPITAL NHS FOUNDATION TRUST (RD3)EQ VAS</v>
      </c>
      <c r="C599" t="s">
        <v>50</v>
      </c>
      <c r="D599" t="s">
        <v>1</v>
      </c>
      <c r="E599" t="s">
        <v>3231</v>
      </c>
      <c r="F599" t="s">
        <v>3232</v>
      </c>
      <c r="G599" t="s">
        <v>179</v>
      </c>
      <c r="H599">
        <v>54</v>
      </c>
      <c r="I599">
        <v>74.13</v>
      </c>
      <c r="J599">
        <v>79.944000000000003</v>
      </c>
      <c r="K599">
        <v>5.8150000000000004</v>
      </c>
      <c r="L599">
        <v>25</v>
      </c>
      <c r="M599">
        <v>9</v>
      </c>
      <c r="N599">
        <v>20</v>
      </c>
      <c r="O599">
        <v>81.477999999999994</v>
      </c>
      <c r="P599">
        <v>0.832613461</v>
      </c>
      <c r="Q599">
        <v>12.101000000000001</v>
      </c>
    </row>
    <row r="600" spans="1:17" s="30" customFormat="1" x14ac:dyDescent="0.2">
      <c r="A600" s="30" t="str">
        <f>IF(C600&amp;G600&amp;D600&lt;&gt;'Funnel setup'!$K$3&amp;'Funnel setup'!$K$4&amp;'Funnel setup'!$K$5,".",IF(A599=".",1,A599+1))</f>
        <v>.</v>
      </c>
      <c r="B600" s="431" t="str">
        <f t="shared" si="9"/>
        <v>Groin HerniaProviderPORTSMOUTH HOSPITALS NHS TRUST (RHU)EQ VAS</v>
      </c>
      <c r="C600" t="s">
        <v>50</v>
      </c>
      <c r="D600" t="s">
        <v>1</v>
      </c>
      <c r="E600" t="s">
        <v>3234</v>
      </c>
      <c r="F600" t="s">
        <v>3235</v>
      </c>
      <c r="G600" t="s">
        <v>179</v>
      </c>
      <c r="H600">
        <v>66</v>
      </c>
      <c r="I600">
        <v>80.954999999999998</v>
      </c>
      <c r="J600">
        <v>81.954999999999998</v>
      </c>
      <c r="K600">
        <v>1</v>
      </c>
      <c r="L600">
        <v>26</v>
      </c>
      <c r="M600">
        <v>17</v>
      </c>
      <c r="N600">
        <v>23</v>
      </c>
      <c r="O600">
        <v>81.429000000000002</v>
      </c>
      <c r="P600">
        <v>0.78390798100000003</v>
      </c>
      <c r="Q600">
        <v>9.7149999999999999</v>
      </c>
    </row>
    <row r="601" spans="1:17" s="30" customFormat="1" x14ac:dyDescent="0.2">
      <c r="A601" s="30" t="str">
        <f>IF(C601&amp;G601&amp;D601&lt;&gt;'Funnel setup'!$K$3&amp;'Funnel setup'!$K$4&amp;'Funnel setup'!$K$5,".",IF(A600=".",1,A600+1))</f>
        <v>.</v>
      </c>
      <c r="B601" s="431" t="str">
        <f t="shared" si="9"/>
        <v>Groin HerniaProviderRENACRES HOSPITAL (NVC16)EQ VAS</v>
      </c>
      <c r="C601" t="s">
        <v>50</v>
      </c>
      <c r="D601" t="s">
        <v>1</v>
      </c>
      <c r="E601" t="s">
        <v>3237</v>
      </c>
      <c r="F601" t="s">
        <v>3238</v>
      </c>
      <c r="G601" t="s">
        <v>179</v>
      </c>
      <c r="H601">
        <v>82</v>
      </c>
      <c r="I601">
        <v>80.89</v>
      </c>
      <c r="J601">
        <v>78.353999999999999</v>
      </c>
      <c r="K601">
        <v>-2.5369999999999999</v>
      </c>
      <c r="L601">
        <v>26</v>
      </c>
      <c r="M601">
        <v>18</v>
      </c>
      <c r="N601">
        <v>38</v>
      </c>
      <c r="O601">
        <v>78.448999999999998</v>
      </c>
      <c r="P601">
        <v>-2.1962742629999998</v>
      </c>
      <c r="Q601">
        <v>12.88</v>
      </c>
    </row>
    <row r="602" spans="1:17" s="30" customFormat="1" x14ac:dyDescent="0.2">
      <c r="A602" s="30" t="str">
        <f>IF(C602&amp;G602&amp;D602&lt;&gt;'Funnel setup'!$K$3&amp;'Funnel setup'!$K$4&amp;'Funnel setup'!$K$5,".",IF(A601=".",1,A601+1))</f>
        <v>.</v>
      </c>
      <c r="B602" s="431" t="str">
        <f t="shared" si="9"/>
        <v>Groin HerniaProviderRIVERS HOSPITAL (NVC19)EQ VAS</v>
      </c>
      <c r="C602" t="s">
        <v>50</v>
      </c>
      <c r="D602" t="s">
        <v>1</v>
      </c>
      <c r="E602" t="s">
        <v>3204</v>
      </c>
      <c r="F602" t="s">
        <v>3205</v>
      </c>
      <c r="G602" t="s">
        <v>179</v>
      </c>
      <c r="H602">
        <v>110</v>
      </c>
      <c r="I602">
        <v>83.1</v>
      </c>
      <c r="J602">
        <v>83.227000000000004</v>
      </c>
      <c r="K602">
        <v>0.127</v>
      </c>
      <c r="L602">
        <v>42</v>
      </c>
      <c r="M602">
        <v>22</v>
      </c>
      <c r="N602">
        <v>46</v>
      </c>
      <c r="O602">
        <v>81.004999999999995</v>
      </c>
      <c r="P602">
        <v>0.35989538900000001</v>
      </c>
      <c r="Q602">
        <v>10.346</v>
      </c>
    </row>
    <row r="603" spans="1:17" s="30" customFormat="1" x14ac:dyDescent="0.2">
      <c r="A603" s="30" t="str">
        <f>IF(C603&amp;G603&amp;D603&lt;&gt;'Funnel setup'!$K$3&amp;'Funnel setup'!$K$4&amp;'Funnel setup'!$K$5,".",IF(A602=".",1,A602+1))</f>
        <v>.</v>
      </c>
      <c r="B603" s="431" t="str">
        <f t="shared" si="9"/>
        <v>Groin HerniaProviderROWLEY HALL HOSPITAL (NVC17)EQ VAS</v>
      </c>
      <c r="C603" t="s">
        <v>50</v>
      </c>
      <c r="D603" t="s">
        <v>1</v>
      </c>
      <c r="E603" t="s">
        <v>3207</v>
      </c>
      <c r="F603" t="s">
        <v>3208</v>
      </c>
      <c r="G603" t="s">
        <v>179</v>
      </c>
      <c r="H603">
        <v>26</v>
      </c>
      <c r="I603">
        <v>80.885000000000005</v>
      </c>
      <c r="J603">
        <v>80.923000000000002</v>
      </c>
      <c r="K603">
        <v>3.7999999999999999E-2</v>
      </c>
      <c r="L603">
        <v>9</v>
      </c>
      <c r="M603">
        <v>7</v>
      </c>
      <c r="N603">
        <v>10</v>
      </c>
      <c r="O603" t="s">
        <v>53</v>
      </c>
      <c r="P603" t="s">
        <v>53</v>
      </c>
      <c r="Q603" t="s">
        <v>53</v>
      </c>
    </row>
    <row r="604" spans="1:17" s="30" customFormat="1" x14ac:dyDescent="0.2">
      <c r="A604" s="30" t="str">
        <f>IF(C604&amp;G604&amp;D604&lt;&gt;'Funnel setup'!$K$3&amp;'Funnel setup'!$K$4&amp;'Funnel setup'!$K$5,".",IF(A603=".",1,A603+1))</f>
        <v>.</v>
      </c>
      <c r="B604" s="431" t="str">
        <f t="shared" si="9"/>
        <v>Groin HerniaProviderROYAL BERKSHIRE NHS FOUNDATION TRUST (RHW)EQ VAS</v>
      </c>
      <c r="C604" t="s">
        <v>50</v>
      </c>
      <c r="D604" t="s">
        <v>1</v>
      </c>
      <c r="E604" t="s">
        <v>3832</v>
      </c>
      <c r="F604" t="s">
        <v>3833</v>
      </c>
      <c r="G604" t="s">
        <v>179</v>
      </c>
      <c r="H604">
        <v>70</v>
      </c>
      <c r="I604">
        <v>82.971000000000004</v>
      </c>
      <c r="J604">
        <v>83.385999999999996</v>
      </c>
      <c r="K604">
        <v>0.41399999999999998</v>
      </c>
      <c r="L604">
        <v>30</v>
      </c>
      <c r="M604">
        <v>10</v>
      </c>
      <c r="N604">
        <v>30</v>
      </c>
      <c r="O604">
        <v>81.793000000000006</v>
      </c>
      <c r="P604">
        <v>1.1478321570000001</v>
      </c>
      <c r="Q604">
        <v>12.795999999999999</v>
      </c>
    </row>
    <row r="605" spans="1:17" s="30" customFormat="1" x14ac:dyDescent="0.2">
      <c r="A605" s="30" t="str">
        <f>IF(C605&amp;G605&amp;D605&lt;&gt;'Funnel setup'!$K$3&amp;'Funnel setup'!$K$4&amp;'Funnel setup'!$K$5,".",IF(A604=".",1,A604+1))</f>
        <v>.</v>
      </c>
      <c r="B605" s="431" t="str">
        <f t="shared" si="9"/>
        <v>Groin HerniaProviderROYAL CORNWALL HOSPITALS NHS TRUST (REF)EQ VAS</v>
      </c>
      <c r="C605" t="s">
        <v>50</v>
      </c>
      <c r="D605" t="s">
        <v>1</v>
      </c>
      <c r="E605" t="s">
        <v>3745</v>
      </c>
      <c r="F605" t="s">
        <v>3746</v>
      </c>
      <c r="G605" t="s">
        <v>179</v>
      </c>
      <c r="H605">
        <v>110</v>
      </c>
      <c r="I605">
        <v>82.236000000000004</v>
      </c>
      <c r="J605">
        <v>80.817999999999998</v>
      </c>
      <c r="K605">
        <v>-1.4179999999999999</v>
      </c>
      <c r="L605">
        <v>40</v>
      </c>
      <c r="M605">
        <v>20</v>
      </c>
      <c r="N605">
        <v>50</v>
      </c>
      <c r="O605">
        <v>80.442999999999998</v>
      </c>
      <c r="P605">
        <v>-0.20223247499999999</v>
      </c>
      <c r="Q605">
        <v>13.827</v>
      </c>
    </row>
    <row r="606" spans="1:17" s="30" customFormat="1" x14ac:dyDescent="0.2">
      <c r="A606" s="30" t="str">
        <f>IF(C606&amp;G606&amp;D606&lt;&gt;'Funnel setup'!$K$3&amp;'Funnel setup'!$K$4&amp;'Funnel setup'!$K$5,".",IF(A605=".",1,A605+1))</f>
        <v>.</v>
      </c>
      <c r="B606" s="431" t="str">
        <f t="shared" si="9"/>
        <v>Groin HerniaProviderROYAL DEVON AND EXETER NHS FOUNDATION TRUST (RH8)EQ VAS</v>
      </c>
      <c r="C606" t="s">
        <v>50</v>
      </c>
      <c r="D606" t="s">
        <v>1</v>
      </c>
      <c r="E606" t="s">
        <v>3442</v>
      </c>
      <c r="F606" t="s">
        <v>3443</v>
      </c>
      <c r="G606" t="s">
        <v>179</v>
      </c>
      <c r="H606">
        <v>234</v>
      </c>
      <c r="I606">
        <v>80.444000000000003</v>
      </c>
      <c r="J606">
        <v>80.462000000000003</v>
      </c>
      <c r="K606">
        <v>1.7000000000000001E-2</v>
      </c>
      <c r="L606">
        <v>96</v>
      </c>
      <c r="M606">
        <v>47</v>
      </c>
      <c r="N606">
        <v>91</v>
      </c>
      <c r="O606">
        <v>80.180999999999997</v>
      </c>
      <c r="P606">
        <v>-0.46461540000000001</v>
      </c>
      <c r="Q606">
        <v>11.914</v>
      </c>
    </row>
    <row r="607" spans="1:17" s="30" customFormat="1" x14ac:dyDescent="0.2">
      <c r="A607" s="30" t="str">
        <f>IF(C607&amp;G607&amp;D607&lt;&gt;'Funnel setup'!$K$3&amp;'Funnel setup'!$K$4&amp;'Funnel setup'!$K$5,".",IF(A606=".",1,A606+1))</f>
        <v>.</v>
      </c>
      <c r="B607" s="431" t="str">
        <f t="shared" si="9"/>
        <v>Groin HerniaProviderROYAL FREE LONDON NHS FOUNDATION TRUST (RAL)EQ VAS</v>
      </c>
      <c r="C607" t="s">
        <v>50</v>
      </c>
      <c r="D607" t="s">
        <v>1</v>
      </c>
      <c r="E607" t="s">
        <v>3445</v>
      </c>
      <c r="F607" t="s">
        <v>3446</v>
      </c>
      <c r="G607" t="s">
        <v>179</v>
      </c>
      <c r="H607">
        <v>43</v>
      </c>
      <c r="I607">
        <v>80.790999999999997</v>
      </c>
      <c r="J607">
        <v>79.837000000000003</v>
      </c>
      <c r="K607">
        <v>-0.95299999999999996</v>
      </c>
      <c r="L607">
        <v>15</v>
      </c>
      <c r="M607">
        <v>12</v>
      </c>
      <c r="N607">
        <v>16</v>
      </c>
      <c r="O607">
        <v>79.332999999999998</v>
      </c>
      <c r="P607">
        <v>-1.312337984</v>
      </c>
      <c r="Q607">
        <v>13.678000000000001</v>
      </c>
    </row>
    <row r="608" spans="1:17" s="30" customFormat="1" x14ac:dyDescent="0.2">
      <c r="A608" s="30" t="str">
        <f>IF(C608&amp;G608&amp;D608&lt;&gt;'Funnel setup'!$K$3&amp;'Funnel setup'!$K$4&amp;'Funnel setup'!$K$5,".",IF(A607=".",1,A607+1))</f>
        <v>.</v>
      </c>
      <c r="B608" s="431" t="str">
        <f t="shared" si="9"/>
        <v>Groin HerniaProviderROYAL LIVERPOOL AND BROADGREEN UNIVERSITY HOSPITALS NHS TRUST (RQ6)EQ VAS</v>
      </c>
      <c r="C608" t="s">
        <v>50</v>
      </c>
      <c r="D608" t="s">
        <v>1</v>
      </c>
      <c r="E608" t="s">
        <v>3448</v>
      </c>
      <c r="F608" t="s">
        <v>3449</v>
      </c>
      <c r="G608" t="s">
        <v>179</v>
      </c>
      <c r="H608">
        <v>75</v>
      </c>
      <c r="I608">
        <v>80.52</v>
      </c>
      <c r="J608">
        <v>79.52</v>
      </c>
      <c r="K608">
        <v>-1</v>
      </c>
      <c r="L608">
        <v>32</v>
      </c>
      <c r="M608">
        <v>12</v>
      </c>
      <c r="N608">
        <v>31</v>
      </c>
      <c r="O608">
        <v>81.62</v>
      </c>
      <c r="P608">
        <v>0.97505686599999997</v>
      </c>
      <c r="Q608">
        <v>12.747999999999999</v>
      </c>
    </row>
    <row r="609" spans="1:17" s="30" customFormat="1" x14ac:dyDescent="0.2">
      <c r="A609" s="30" t="str">
        <f>IF(C609&amp;G609&amp;D609&lt;&gt;'Funnel setup'!$K$3&amp;'Funnel setup'!$K$4&amp;'Funnel setup'!$K$5,".",IF(A608=".",1,A608+1))</f>
        <v>.</v>
      </c>
      <c r="B609" s="431" t="str">
        <f t="shared" si="9"/>
        <v>Groin HerniaProviderROYAL SURREY COUNTY HOSPITAL NHS FOUNDATION TRUST (RA2)EQ VAS</v>
      </c>
      <c r="C609" t="s">
        <v>50</v>
      </c>
      <c r="D609" t="s">
        <v>1</v>
      </c>
      <c r="E609" t="s">
        <v>3451</v>
      </c>
      <c r="F609" t="s">
        <v>3452</v>
      </c>
      <c r="G609" t="s">
        <v>179</v>
      </c>
      <c r="H609">
        <v>158</v>
      </c>
      <c r="I609">
        <v>80.290999999999997</v>
      </c>
      <c r="J609">
        <v>83.891999999999996</v>
      </c>
      <c r="K609">
        <v>3.601</v>
      </c>
      <c r="L609">
        <v>76</v>
      </c>
      <c r="M609">
        <v>28</v>
      </c>
      <c r="N609">
        <v>54</v>
      </c>
      <c r="O609">
        <v>82.823999999999998</v>
      </c>
      <c r="P609">
        <v>2.1781896710000002</v>
      </c>
      <c r="Q609">
        <v>9.7469999999999999</v>
      </c>
    </row>
    <row r="610" spans="1:17" s="30" customFormat="1" x14ac:dyDescent="0.2">
      <c r="A610" s="30" t="str">
        <f>IF(C610&amp;G610&amp;D610&lt;&gt;'Funnel setup'!$K$3&amp;'Funnel setup'!$K$4&amp;'Funnel setup'!$K$5,".",IF(A609=".",1,A609+1))</f>
        <v>.</v>
      </c>
      <c r="B610" s="431" t="str">
        <f t="shared" si="9"/>
        <v>Groin HerniaProviderROYAL UNITED HOSPITALS BATH NHS FOUNDATION TRUST (RD1)EQ VAS</v>
      </c>
      <c r="C610" t="s">
        <v>50</v>
      </c>
      <c r="D610" t="s">
        <v>1</v>
      </c>
      <c r="E610" t="s">
        <v>3454</v>
      </c>
      <c r="F610" t="s">
        <v>3455</v>
      </c>
      <c r="G610" t="s">
        <v>179</v>
      </c>
      <c r="H610">
        <v>97</v>
      </c>
      <c r="I610">
        <v>80.897000000000006</v>
      </c>
      <c r="J610">
        <v>79.638999999999996</v>
      </c>
      <c r="K610">
        <v>-1.258</v>
      </c>
      <c r="L610">
        <v>30</v>
      </c>
      <c r="M610">
        <v>21</v>
      </c>
      <c r="N610">
        <v>46</v>
      </c>
      <c r="O610">
        <v>79.858000000000004</v>
      </c>
      <c r="P610">
        <v>-0.78711737999999998</v>
      </c>
      <c r="Q610">
        <v>11.68</v>
      </c>
    </row>
    <row r="611" spans="1:17" s="30" customFormat="1" x14ac:dyDescent="0.2">
      <c r="A611" s="30" t="str">
        <f>IF(C611&amp;G611&amp;D611&lt;&gt;'Funnel setup'!$K$3&amp;'Funnel setup'!$K$4&amp;'Funnel setup'!$K$5,".",IF(A610=".",1,A610+1))</f>
        <v>.</v>
      </c>
      <c r="B611" s="431" t="str">
        <f t="shared" si="9"/>
        <v>Groin HerniaProviderSALFORD ROYAL NHS FOUNDATION TRUST (RM3)EQ VAS</v>
      </c>
      <c r="C611" t="s">
        <v>50</v>
      </c>
      <c r="D611" t="s">
        <v>1</v>
      </c>
      <c r="E611" t="s">
        <v>3457</v>
      </c>
      <c r="F611" t="s">
        <v>3458</v>
      </c>
      <c r="G611" t="s">
        <v>179</v>
      </c>
      <c r="H611">
        <v>35</v>
      </c>
      <c r="I611">
        <v>82.286000000000001</v>
      </c>
      <c r="J611">
        <v>78.629000000000005</v>
      </c>
      <c r="K611">
        <v>-3.657</v>
      </c>
      <c r="L611">
        <v>13</v>
      </c>
      <c r="M611">
        <v>7</v>
      </c>
      <c r="N611">
        <v>15</v>
      </c>
      <c r="O611">
        <v>78.540999999999997</v>
      </c>
      <c r="P611">
        <v>-2.1047272170000002</v>
      </c>
      <c r="Q611">
        <v>15.894</v>
      </c>
    </row>
    <row r="612" spans="1:17" s="30" customFormat="1" x14ac:dyDescent="0.2">
      <c r="A612" s="30" t="str">
        <f>IF(C612&amp;G612&amp;D612&lt;&gt;'Funnel setup'!$K$3&amp;'Funnel setup'!$K$4&amp;'Funnel setup'!$K$5,".",IF(A611=".",1,A611+1))</f>
        <v>.</v>
      </c>
      <c r="B612" s="431" t="str">
        <f t="shared" si="9"/>
        <v>Groin HerniaProviderSALISBURY NHS FOUNDATION TRUST (RNZ)EQ VAS</v>
      </c>
      <c r="C612" t="s">
        <v>50</v>
      </c>
      <c r="D612" t="s">
        <v>1</v>
      </c>
      <c r="E612" t="s">
        <v>3460</v>
      </c>
      <c r="F612" t="s">
        <v>3461</v>
      </c>
      <c r="G612" t="s">
        <v>179</v>
      </c>
      <c r="H612">
        <v>62</v>
      </c>
      <c r="I612">
        <v>81.531999999999996</v>
      </c>
      <c r="J612">
        <v>86.081000000000003</v>
      </c>
      <c r="K612">
        <v>4.548</v>
      </c>
      <c r="L612">
        <v>37</v>
      </c>
      <c r="M612">
        <v>8</v>
      </c>
      <c r="N612">
        <v>17</v>
      </c>
      <c r="O612">
        <v>85.320999999999998</v>
      </c>
      <c r="P612">
        <v>4.6756846220000003</v>
      </c>
      <c r="Q612">
        <v>10.597</v>
      </c>
    </row>
    <row r="613" spans="1:17" s="30" customFormat="1" x14ac:dyDescent="0.2">
      <c r="A613" s="30" t="str">
        <f>IF(C613&amp;G613&amp;D613&lt;&gt;'Funnel setup'!$K$3&amp;'Funnel setup'!$K$4&amp;'Funnel setup'!$K$5,".",IF(A612=".",1,A612+1))</f>
        <v>.</v>
      </c>
      <c r="B613" s="431" t="str">
        <f t="shared" si="9"/>
        <v>Groin HerniaProviderSANDWELL AND WEST BIRMINGHAM HOSPITALS NHS TRUST (RXK)EQ VAS</v>
      </c>
      <c r="C613" t="s">
        <v>50</v>
      </c>
      <c r="D613" t="s">
        <v>1</v>
      </c>
      <c r="E613" t="s">
        <v>3463</v>
      </c>
      <c r="F613" t="s">
        <v>3464</v>
      </c>
      <c r="G613" t="s">
        <v>179</v>
      </c>
      <c r="H613">
        <v>154</v>
      </c>
      <c r="I613">
        <v>81.792000000000002</v>
      </c>
      <c r="J613">
        <v>79.247</v>
      </c>
      <c r="K613">
        <v>-2.5449999999999999</v>
      </c>
      <c r="L613">
        <v>48</v>
      </c>
      <c r="M613">
        <v>34</v>
      </c>
      <c r="N613">
        <v>72</v>
      </c>
      <c r="O613">
        <v>79.989000000000004</v>
      </c>
      <c r="P613">
        <v>-0.65604228899999995</v>
      </c>
      <c r="Q613">
        <v>12.422000000000001</v>
      </c>
    </row>
    <row r="614" spans="1:17" s="30" customFormat="1" x14ac:dyDescent="0.2">
      <c r="A614" s="30" t="str">
        <f>IF(C614&amp;G614&amp;D614&lt;&gt;'Funnel setup'!$K$3&amp;'Funnel setup'!$K$4&amp;'Funnel setup'!$K$5,".",IF(A613=".",1,A613+1))</f>
        <v>.</v>
      </c>
      <c r="B614" s="431" t="str">
        <f t="shared" si="9"/>
        <v>Groin HerniaProviderSHEFFIELD TEACHING HOSPITALS NHS FOUNDATION TRUST (RHQ)EQ VAS</v>
      </c>
      <c r="C614" t="s">
        <v>50</v>
      </c>
      <c r="D614" t="s">
        <v>1</v>
      </c>
      <c r="E614" t="s">
        <v>3466</v>
      </c>
      <c r="F614" t="s">
        <v>3467</v>
      </c>
      <c r="G614" t="s">
        <v>179</v>
      </c>
      <c r="H614">
        <v>192</v>
      </c>
      <c r="I614">
        <v>77.911000000000001</v>
      </c>
      <c r="J614">
        <v>76.688000000000002</v>
      </c>
      <c r="K614">
        <v>-1.224</v>
      </c>
      <c r="L614">
        <v>76</v>
      </c>
      <c r="M614">
        <v>34</v>
      </c>
      <c r="N614">
        <v>82</v>
      </c>
      <c r="O614">
        <v>79.989999999999995</v>
      </c>
      <c r="P614">
        <v>-0.65571954099999996</v>
      </c>
      <c r="Q614">
        <v>13.138</v>
      </c>
    </row>
    <row r="615" spans="1:17" s="30" customFormat="1" x14ac:dyDescent="0.2">
      <c r="A615" s="30" t="str">
        <f>IF(C615&amp;G615&amp;D615&lt;&gt;'Funnel setup'!$K$3&amp;'Funnel setup'!$K$4&amp;'Funnel setup'!$K$5,".",IF(A614=".",1,A614+1))</f>
        <v>.</v>
      </c>
      <c r="B615" s="431" t="str">
        <f t="shared" si="9"/>
        <v>Groin HerniaProviderSHEPTON MALLET NHS TREATMENT CENTRE (NTPH1)EQ VAS</v>
      </c>
      <c r="C615" t="s">
        <v>50</v>
      </c>
      <c r="D615" t="s">
        <v>1</v>
      </c>
      <c r="E615" t="s">
        <v>3472</v>
      </c>
      <c r="F615" t="s">
        <v>3473</v>
      </c>
      <c r="G615" t="s">
        <v>179</v>
      </c>
      <c r="H615">
        <v>188</v>
      </c>
      <c r="I615">
        <v>85.622</v>
      </c>
      <c r="J615">
        <v>84.25</v>
      </c>
      <c r="K615">
        <v>-1.3720000000000001</v>
      </c>
      <c r="L615">
        <v>66</v>
      </c>
      <c r="M615">
        <v>40</v>
      </c>
      <c r="N615">
        <v>82</v>
      </c>
      <c r="O615">
        <v>80.459000000000003</v>
      </c>
      <c r="P615">
        <v>-0.186617475</v>
      </c>
      <c r="Q615">
        <v>10.88</v>
      </c>
    </row>
    <row r="616" spans="1:17" s="30" customFormat="1" x14ac:dyDescent="0.2">
      <c r="A616" s="30" t="str">
        <f>IF(C616&amp;G616&amp;D616&lt;&gt;'Funnel setup'!$K$3&amp;'Funnel setup'!$K$4&amp;'Funnel setup'!$K$5,".",IF(A615=".",1,A615+1))</f>
        <v>.</v>
      </c>
      <c r="B616" s="431" t="str">
        <f t="shared" si="9"/>
        <v>Groin HerniaProviderSHERWOOD FOREST HOSPITALS NHS FOUNDATION TRUST (RK5)EQ VAS</v>
      </c>
      <c r="C616" t="s">
        <v>50</v>
      </c>
      <c r="D616" t="s">
        <v>1</v>
      </c>
      <c r="E616" t="s">
        <v>3475</v>
      </c>
      <c r="F616" t="s">
        <v>3476</v>
      </c>
      <c r="G616" t="s">
        <v>179</v>
      </c>
      <c r="H616">
        <v>232</v>
      </c>
      <c r="I616">
        <v>79.22</v>
      </c>
      <c r="J616">
        <v>78.138000000000005</v>
      </c>
      <c r="K616">
        <v>-1.0820000000000001</v>
      </c>
      <c r="L616">
        <v>91</v>
      </c>
      <c r="M616">
        <v>50</v>
      </c>
      <c r="N616">
        <v>91</v>
      </c>
      <c r="O616">
        <v>79.483999999999995</v>
      </c>
      <c r="P616">
        <v>-1.1618382860000001</v>
      </c>
      <c r="Q616">
        <v>13.041</v>
      </c>
    </row>
    <row r="617" spans="1:17" s="30" customFormat="1" x14ac:dyDescent="0.2">
      <c r="A617" s="30" t="str">
        <f>IF(C617&amp;G617&amp;D617&lt;&gt;'Funnel setup'!$K$3&amp;'Funnel setup'!$K$4&amp;'Funnel setup'!$K$5,".",IF(A616=".",1,A616+1))</f>
        <v>.</v>
      </c>
      <c r="B617" s="431" t="str">
        <f t="shared" si="9"/>
        <v>Groin HerniaProviderSHREWSBURY AND TELFORD HOSPITAL NHS TRUST (RXW)EQ VAS</v>
      </c>
      <c r="C617" t="s">
        <v>50</v>
      </c>
      <c r="D617" t="s">
        <v>1</v>
      </c>
      <c r="E617" t="s">
        <v>3478</v>
      </c>
      <c r="F617" t="s">
        <v>3479</v>
      </c>
      <c r="G617" t="s">
        <v>179</v>
      </c>
      <c r="H617">
        <v>181</v>
      </c>
      <c r="I617">
        <v>77.674000000000007</v>
      </c>
      <c r="J617">
        <v>80.203999999999994</v>
      </c>
      <c r="K617">
        <v>2.5299999999999998</v>
      </c>
      <c r="L617">
        <v>79</v>
      </c>
      <c r="M617">
        <v>45</v>
      </c>
      <c r="N617">
        <v>57</v>
      </c>
      <c r="O617">
        <v>81.146000000000001</v>
      </c>
      <c r="P617">
        <v>0.50046913599999998</v>
      </c>
      <c r="Q617">
        <v>11.395</v>
      </c>
    </row>
    <row r="618" spans="1:17" s="30" customFormat="1" x14ac:dyDescent="0.2">
      <c r="A618" s="30" t="str">
        <f>IF(C618&amp;G618&amp;D618&lt;&gt;'Funnel setup'!$K$3&amp;'Funnel setup'!$K$4&amp;'Funnel setup'!$K$5,".",IF(A617=".",1,A617+1))</f>
        <v>.</v>
      </c>
      <c r="B618" s="431" t="str">
        <f t="shared" si="9"/>
        <v>Groin HerniaProviderSOUTH TEES HOSPITALS NHS FOUNDATION TRUST (RTR)EQ VAS</v>
      </c>
      <c r="C618" t="s">
        <v>50</v>
      </c>
      <c r="D618" t="s">
        <v>1</v>
      </c>
      <c r="E618" t="s">
        <v>3482</v>
      </c>
      <c r="F618" t="s">
        <v>3483</v>
      </c>
      <c r="G618" t="s">
        <v>179</v>
      </c>
      <c r="H618">
        <v>108</v>
      </c>
      <c r="I618">
        <v>77.814999999999998</v>
      </c>
      <c r="J618">
        <v>79.241</v>
      </c>
      <c r="K618">
        <v>1.4259999999999999</v>
      </c>
      <c r="L618">
        <v>44</v>
      </c>
      <c r="M618">
        <v>19</v>
      </c>
      <c r="N618">
        <v>45</v>
      </c>
      <c r="O618">
        <v>81.186999999999998</v>
      </c>
      <c r="P618">
        <v>0.54195777999999994</v>
      </c>
      <c r="Q618">
        <v>11.005000000000001</v>
      </c>
    </row>
    <row r="619" spans="1:17" s="30" customFormat="1" x14ac:dyDescent="0.2">
      <c r="A619" s="30" t="str">
        <f>IF(C619&amp;G619&amp;D619&lt;&gt;'Funnel setup'!$K$3&amp;'Funnel setup'!$K$4&amp;'Funnel setup'!$K$5,".",IF(A618=".",1,A618+1))</f>
        <v>.</v>
      </c>
      <c r="B619" s="431" t="str">
        <f t="shared" si="9"/>
        <v>Groin HerniaProviderSOUTH TYNESIDE NHS FOUNDATION TRUST (RE9)EQ VAS</v>
      </c>
      <c r="C619" t="s">
        <v>50</v>
      </c>
      <c r="D619" t="s">
        <v>1</v>
      </c>
      <c r="E619" t="s">
        <v>3485</v>
      </c>
      <c r="F619" t="s">
        <v>3486</v>
      </c>
      <c r="G619" t="s">
        <v>179</v>
      </c>
      <c r="H619">
        <v>63</v>
      </c>
      <c r="I619">
        <v>78.063000000000002</v>
      </c>
      <c r="J619">
        <v>75.174999999999997</v>
      </c>
      <c r="K619">
        <v>-2.8889999999999998</v>
      </c>
      <c r="L619">
        <v>23</v>
      </c>
      <c r="M619">
        <v>15</v>
      </c>
      <c r="N619">
        <v>25</v>
      </c>
      <c r="O619">
        <v>76.858000000000004</v>
      </c>
      <c r="P619">
        <v>-3.7874209200000002</v>
      </c>
      <c r="Q619">
        <v>14.896000000000001</v>
      </c>
    </row>
    <row r="620" spans="1:17" s="30" customFormat="1" x14ac:dyDescent="0.2">
      <c r="A620" s="30" t="str">
        <f>IF(C620&amp;G620&amp;D620&lt;&gt;'Funnel setup'!$K$3&amp;'Funnel setup'!$K$4&amp;'Funnel setup'!$K$5,".",IF(A619=".",1,A619+1))</f>
        <v>.</v>
      </c>
      <c r="B620" s="431" t="str">
        <f t="shared" si="9"/>
        <v>Groin HerniaProviderSOUTH WARWICKSHIRE NHS FOUNDATION TRUST (RJC)EQ VAS</v>
      </c>
      <c r="C620" t="s">
        <v>50</v>
      </c>
      <c r="D620" t="s">
        <v>1</v>
      </c>
      <c r="E620" t="s">
        <v>3421</v>
      </c>
      <c r="F620" t="s">
        <v>3422</v>
      </c>
      <c r="G620" t="s">
        <v>179</v>
      </c>
      <c r="H620">
        <v>198</v>
      </c>
      <c r="I620">
        <v>81.197000000000003</v>
      </c>
      <c r="J620">
        <v>80.869</v>
      </c>
      <c r="K620">
        <v>-0.32800000000000001</v>
      </c>
      <c r="L620">
        <v>86</v>
      </c>
      <c r="M620">
        <v>37</v>
      </c>
      <c r="N620">
        <v>75</v>
      </c>
      <c r="O620">
        <v>80.784999999999997</v>
      </c>
      <c r="P620">
        <v>0.139710905</v>
      </c>
      <c r="Q620">
        <v>10.989000000000001</v>
      </c>
    </row>
    <row r="621" spans="1:17" s="30" customFormat="1" x14ac:dyDescent="0.2">
      <c r="A621" s="30" t="str">
        <f>IF(C621&amp;G621&amp;D621&lt;&gt;'Funnel setup'!$K$3&amp;'Funnel setup'!$K$4&amp;'Funnel setup'!$K$5,".",IF(A620=".",1,A620+1))</f>
        <v>.</v>
      </c>
      <c r="B621" s="431" t="str">
        <f t="shared" si="9"/>
        <v>Groin HerniaProviderSOUTHAMPTON NHS TREATMENT CENTRE (NTP11)EQ VAS</v>
      </c>
      <c r="C621" t="s">
        <v>50</v>
      </c>
      <c r="D621" t="s">
        <v>1</v>
      </c>
      <c r="E621" t="s">
        <v>3424</v>
      </c>
      <c r="F621" t="s">
        <v>3425</v>
      </c>
      <c r="G621" t="s">
        <v>179</v>
      </c>
      <c r="H621">
        <v>131</v>
      </c>
      <c r="I621">
        <v>84.099000000000004</v>
      </c>
      <c r="J621">
        <v>81.564999999999998</v>
      </c>
      <c r="K621">
        <v>-2.5339999999999998</v>
      </c>
      <c r="L621">
        <v>46</v>
      </c>
      <c r="M621">
        <v>27</v>
      </c>
      <c r="N621">
        <v>58</v>
      </c>
      <c r="O621">
        <v>79.007999999999996</v>
      </c>
      <c r="P621">
        <v>-1.637346073</v>
      </c>
      <c r="Q621">
        <v>11.788</v>
      </c>
    </row>
    <row r="622" spans="1:17" s="30" customFormat="1" x14ac:dyDescent="0.2">
      <c r="A622" s="30" t="str">
        <f>IF(C622&amp;G622&amp;D622&lt;&gt;'Funnel setup'!$K$3&amp;'Funnel setup'!$K$4&amp;'Funnel setup'!$K$5,".",IF(A621=".",1,A621+1))</f>
        <v>.</v>
      </c>
      <c r="B622" s="431" t="str">
        <f t="shared" si="9"/>
        <v>Groin HerniaProviderSOUTHEND UNIVERSITY HOSPITAL NHS FOUNDATION TRUST (RAJ)EQ VAS</v>
      </c>
      <c r="C622" t="s">
        <v>50</v>
      </c>
      <c r="D622" t="s">
        <v>1</v>
      </c>
      <c r="E622" t="s">
        <v>3427</v>
      </c>
      <c r="F622" t="s">
        <v>3428</v>
      </c>
      <c r="G622" t="s">
        <v>179</v>
      </c>
      <c r="H622">
        <v>83</v>
      </c>
      <c r="I622">
        <v>81.325000000000003</v>
      </c>
      <c r="J622">
        <v>77.662999999999997</v>
      </c>
      <c r="K622">
        <v>-3.6629999999999998</v>
      </c>
      <c r="L622">
        <v>28</v>
      </c>
      <c r="M622">
        <v>16</v>
      </c>
      <c r="N622">
        <v>39</v>
      </c>
      <c r="O622">
        <v>78.161000000000001</v>
      </c>
      <c r="P622">
        <v>-2.484756236</v>
      </c>
      <c r="Q622">
        <v>12.438000000000001</v>
      </c>
    </row>
    <row r="623" spans="1:17" s="30" customFormat="1" x14ac:dyDescent="0.2">
      <c r="A623" s="30" t="str">
        <f>IF(C623&amp;G623&amp;D623&lt;&gt;'Funnel setup'!$K$3&amp;'Funnel setup'!$K$4&amp;'Funnel setup'!$K$5,".",IF(A622=".",1,A622+1))</f>
        <v>.</v>
      </c>
      <c r="B623" s="431" t="str">
        <f t="shared" si="9"/>
        <v>Groin HerniaProviderSOUTHERN HEALTH NHS FOUNDATION TRUST (RW1)EQ VAS</v>
      </c>
      <c r="C623" t="s">
        <v>50</v>
      </c>
      <c r="D623" t="s">
        <v>1</v>
      </c>
      <c r="E623" t="s">
        <v>3406</v>
      </c>
      <c r="F623" t="s">
        <v>3407</v>
      </c>
      <c r="G623" t="s">
        <v>179</v>
      </c>
      <c r="H623">
        <v>70</v>
      </c>
      <c r="I623">
        <v>81.643000000000001</v>
      </c>
      <c r="J623">
        <v>81.414000000000001</v>
      </c>
      <c r="K623">
        <v>-0.22900000000000001</v>
      </c>
      <c r="L623">
        <v>30</v>
      </c>
      <c r="M623">
        <v>10</v>
      </c>
      <c r="N623">
        <v>30</v>
      </c>
      <c r="O623">
        <v>80.16</v>
      </c>
      <c r="P623">
        <v>-0.485775872</v>
      </c>
      <c r="Q623">
        <v>11.111000000000001</v>
      </c>
    </row>
    <row r="624" spans="1:17" s="30" customFormat="1" x14ac:dyDescent="0.2">
      <c r="A624" s="30" t="str">
        <f>IF(C624&amp;G624&amp;D624&lt;&gt;'Funnel setup'!$K$3&amp;'Funnel setup'!$K$4&amp;'Funnel setup'!$K$5,".",IF(A623=".",1,A623+1))</f>
        <v>.</v>
      </c>
      <c r="B624" s="431" t="str">
        <f t="shared" si="9"/>
        <v>Groin HerniaProviderSOUTHPORT AND ORMSKIRK HOSPITAL NHS TRUST (RVY)EQ VAS</v>
      </c>
      <c r="C624" t="s">
        <v>50</v>
      </c>
      <c r="D624" t="s">
        <v>1</v>
      </c>
      <c r="E624" t="s">
        <v>3430</v>
      </c>
      <c r="F624" t="s">
        <v>3431</v>
      </c>
      <c r="G624" t="s">
        <v>179</v>
      </c>
      <c r="H624">
        <v>121</v>
      </c>
      <c r="I624">
        <v>80.744</v>
      </c>
      <c r="J624">
        <v>78.272999999999996</v>
      </c>
      <c r="K624">
        <v>-2.4710000000000001</v>
      </c>
      <c r="L624">
        <v>37</v>
      </c>
      <c r="M624">
        <v>26</v>
      </c>
      <c r="N624">
        <v>58</v>
      </c>
      <c r="O624">
        <v>78.709999999999994</v>
      </c>
      <c r="P624">
        <v>-1.9350848110000001</v>
      </c>
      <c r="Q624">
        <v>15.090999999999999</v>
      </c>
    </row>
    <row r="625" spans="1:17" s="30" customFormat="1" x14ac:dyDescent="0.2">
      <c r="A625" s="30" t="str">
        <f>IF(C625&amp;G625&amp;D625&lt;&gt;'Funnel setup'!$K$3&amp;'Funnel setup'!$K$4&amp;'Funnel setup'!$K$5,".",IF(A624=".",1,A624+1))</f>
        <v>.</v>
      </c>
      <c r="B625" s="431" t="str">
        <f t="shared" si="9"/>
        <v>Groin HerniaProviderSPIRE ALEXANDRA HOSPITAL (NT312)EQ VAS</v>
      </c>
      <c r="C625" t="s">
        <v>50</v>
      </c>
      <c r="D625" t="s">
        <v>1</v>
      </c>
      <c r="E625" t="s">
        <v>3433</v>
      </c>
      <c r="F625" t="s">
        <v>3434</v>
      </c>
      <c r="G625" t="s">
        <v>179</v>
      </c>
      <c r="H625">
        <v>17</v>
      </c>
      <c r="I625">
        <v>81.941000000000003</v>
      </c>
      <c r="J625">
        <v>81.765000000000001</v>
      </c>
      <c r="K625">
        <v>-0.17599999999999999</v>
      </c>
      <c r="L625">
        <v>4</v>
      </c>
      <c r="M625">
        <v>8</v>
      </c>
      <c r="N625">
        <v>5</v>
      </c>
      <c r="O625" t="s">
        <v>53</v>
      </c>
      <c r="P625" t="s">
        <v>53</v>
      </c>
      <c r="Q625" t="s">
        <v>53</v>
      </c>
    </row>
    <row r="626" spans="1:17" s="30" customFormat="1" x14ac:dyDescent="0.2">
      <c r="A626" s="30" t="str">
        <f>IF(C626&amp;G626&amp;D626&lt;&gt;'Funnel setup'!$K$3&amp;'Funnel setup'!$K$4&amp;'Funnel setup'!$K$5,".",IF(A625=".",1,A625+1))</f>
        <v>.</v>
      </c>
      <c r="B626" s="431" t="str">
        <f t="shared" si="9"/>
        <v>Groin HerniaProviderSPIRE CAMBRIDGE LEA HOSPITAL (NT317)EQ VAS</v>
      </c>
      <c r="C626" t="s">
        <v>50</v>
      </c>
      <c r="D626" t="s">
        <v>1</v>
      </c>
      <c r="E626" t="s">
        <v>3436</v>
      </c>
      <c r="F626" t="s">
        <v>3437</v>
      </c>
      <c r="G626" t="s">
        <v>179</v>
      </c>
      <c r="H626">
        <v>17</v>
      </c>
      <c r="I626">
        <v>75.823999999999998</v>
      </c>
      <c r="J626">
        <v>80.176000000000002</v>
      </c>
      <c r="K626">
        <v>4.3529999999999998</v>
      </c>
      <c r="L626">
        <v>8</v>
      </c>
      <c r="M626">
        <v>4</v>
      </c>
      <c r="N626">
        <v>5</v>
      </c>
      <c r="O626" t="s">
        <v>53</v>
      </c>
      <c r="P626" t="s">
        <v>53</v>
      </c>
      <c r="Q626" t="s">
        <v>53</v>
      </c>
    </row>
    <row r="627" spans="1:17" s="30" customFormat="1" x14ac:dyDescent="0.2">
      <c r="A627" s="30" t="str">
        <f>IF(C627&amp;G627&amp;D627&lt;&gt;'Funnel setup'!$K$3&amp;'Funnel setup'!$K$4&amp;'Funnel setup'!$K$5,".",IF(A626=".",1,A626+1))</f>
        <v>.</v>
      </c>
      <c r="B627" s="431" t="str">
        <f t="shared" si="9"/>
        <v>Groin HerniaProviderSPIRE CHESHIRE HOSPITAL (NT324)EQ VAS</v>
      </c>
      <c r="C627" t="s">
        <v>50</v>
      </c>
      <c r="D627" t="s">
        <v>1</v>
      </c>
      <c r="E627" t="s">
        <v>3439</v>
      </c>
      <c r="F627" t="s">
        <v>3440</v>
      </c>
      <c r="G627" t="s">
        <v>179</v>
      </c>
      <c r="H627">
        <v>26</v>
      </c>
      <c r="I627">
        <v>83.885000000000005</v>
      </c>
      <c r="J627">
        <v>81.730999999999995</v>
      </c>
      <c r="K627">
        <v>-2.1539999999999999</v>
      </c>
      <c r="L627">
        <v>9</v>
      </c>
      <c r="M627">
        <v>4</v>
      </c>
      <c r="N627">
        <v>13</v>
      </c>
      <c r="O627" t="s">
        <v>53</v>
      </c>
      <c r="P627" t="s">
        <v>53</v>
      </c>
      <c r="Q627" t="s">
        <v>53</v>
      </c>
    </row>
    <row r="628" spans="1:17" s="30" customFormat="1" x14ac:dyDescent="0.2">
      <c r="A628" s="30" t="str">
        <f>IF(C628&amp;G628&amp;D628&lt;&gt;'Funnel setup'!$K$3&amp;'Funnel setup'!$K$4&amp;'Funnel setup'!$K$5,".",IF(A627=".",1,A627+1))</f>
        <v>.</v>
      </c>
      <c r="B628" s="431" t="str">
        <f t="shared" si="9"/>
        <v>Groin HerniaProviderSPIRE CLARE PARK HOSPITAL (NT345)EQ VAS</v>
      </c>
      <c r="C628" t="s">
        <v>50</v>
      </c>
      <c r="D628" t="s">
        <v>1</v>
      </c>
      <c r="E628" t="s">
        <v>3412</v>
      </c>
      <c r="F628" t="s">
        <v>3413</v>
      </c>
      <c r="G628" t="s">
        <v>179</v>
      </c>
      <c r="H628" t="s">
        <v>53</v>
      </c>
      <c r="I628" t="s">
        <v>53</v>
      </c>
      <c r="J628" t="s">
        <v>53</v>
      </c>
      <c r="K628" t="s">
        <v>53</v>
      </c>
      <c r="L628" t="s">
        <v>53</v>
      </c>
      <c r="M628" t="s">
        <v>53</v>
      </c>
      <c r="N628" t="s">
        <v>53</v>
      </c>
      <c r="O628" t="s">
        <v>53</v>
      </c>
      <c r="P628" t="s">
        <v>53</v>
      </c>
      <c r="Q628" t="s">
        <v>53</v>
      </c>
    </row>
    <row r="629" spans="1:17" s="30" customFormat="1" x14ac:dyDescent="0.2">
      <c r="A629" s="30" t="str">
        <f>IF(C629&amp;G629&amp;D629&lt;&gt;'Funnel setup'!$K$3&amp;'Funnel setup'!$K$4&amp;'Funnel setup'!$K$5,".",IF(A628=".",1,A628+1))</f>
        <v>.</v>
      </c>
      <c r="B629" s="431" t="str">
        <f t="shared" si="9"/>
        <v>Groin HerniaProviderSPIRE DUNEDIN HOSPITAL (NT344)EQ VAS</v>
      </c>
      <c r="C629" t="s">
        <v>50</v>
      </c>
      <c r="D629" t="s">
        <v>1</v>
      </c>
      <c r="E629" t="s">
        <v>3415</v>
      </c>
      <c r="F629" t="s">
        <v>3416</v>
      </c>
      <c r="G629" t="s">
        <v>179</v>
      </c>
      <c r="H629">
        <v>31</v>
      </c>
      <c r="I629">
        <v>83.451999999999998</v>
      </c>
      <c r="J629">
        <v>82.613</v>
      </c>
      <c r="K629">
        <v>-0.83899999999999997</v>
      </c>
      <c r="L629">
        <v>12</v>
      </c>
      <c r="M629">
        <v>7</v>
      </c>
      <c r="N629">
        <v>12</v>
      </c>
      <c r="O629">
        <v>81.81</v>
      </c>
      <c r="P629">
        <v>1.1641466039999999</v>
      </c>
      <c r="Q629">
        <v>9.3919999999999995</v>
      </c>
    </row>
    <row r="630" spans="1:17" s="30" customFormat="1" x14ac:dyDescent="0.2">
      <c r="A630" s="30" t="str">
        <f>IF(C630&amp;G630&amp;D630&lt;&gt;'Funnel setup'!$K$3&amp;'Funnel setup'!$K$4&amp;'Funnel setup'!$K$5,".",IF(A629=".",1,A629+1))</f>
        <v>.</v>
      </c>
      <c r="B630" s="431" t="str">
        <f t="shared" si="9"/>
        <v>Groin HerniaProviderSPIRE ELLAND HOSPITAL (NT348)EQ VAS</v>
      </c>
      <c r="C630" t="s">
        <v>50</v>
      </c>
      <c r="D630" t="s">
        <v>1</v>
      </c>
      <c r="E630" t="s">
        <v>3418</v>
      </c>
      <c r="F630" t="s">
        <v>3419</v>
      </c>
      <c r="G630" t="s">
        <v>179</v>
      </c>
      <c r="H630">
        <v>41</v>
      </c>
      <c r="I630">
        <v>81.805000000000007</v>
      </c>
      <c r="J630">
        <v>84.706999999999994</v>
      </c>
      <c r="K630">
        <v>2.9020000000000001</v>
      </c>
      <c r="L630">
        <v>18</v>
      </c>
      <c r="M630">
        <v>12</v>
      </c>
      <c r="N630">
        <v>11</v>
      </c>
      <c r="O630">
        <v>84.295000000000002</v>
      </c>
      <c r="P630">
        <v>3.6490923130000001</v>
      </c>
      <c r="Q630">
        <v>10.85</v>
      </c>
    </row>
    <row r="631" spans="1:17" s="30" customFormat="1" x14ac:dyDescent="0.2">
      <c r="A631" s="30" t="str">
        <f>IF(C631&amp;G631&amp;D631&lt;&gt;'Funnel setup'!$K$3&amp;'Funnel setup'!$K$4&amp;'Funnel setup'!$K$5,".",IF(A630=".",1,A630+1))</f>
        <v>.</v>
      </c>
      <c r="B631" s="431" t="str">
        <f t="shared" si="9"/>
        <v>Groin HerniaProviderSPIRE FYLDE COAST HOSPITAL (NT347)EQ VAS</v>
      </c>
      <c r="C631" t="s">
        <v>50</v>
      </c>
      <c r="D631" t="s">
        <v>1</v>
      </c>
      <c r="E631" t="s">
        <v>4370</v>
      </c>
      <c r="F631" t="s">
        <v>4371</v>
      </c>
      <c r="G631" t="s">
        <v>179</v>
      </c>
      <c r="H631" t="s">
        <v>53</v>
      </c>
      <c r="I631" t="s">
        <v>53</v>
      </c>
      <c r="J631" t="s">
        <v>53</v>
      </c>
      <c r="K631" t="s">
        <v>53</v>
      </c>
      <c r="L631" t="s">
        <v>53</v>
      </c>
      <c r="M631" t="s">
        <v>53</v>
      </c>
      <c r="N631" t="s">
        <v>53</v>
      </c>
      <c r="O631" t="s">
        <v>53</v>
      </c>
      <c r="P631" t="s">
        <v>53</v>
      </c>
      <c r="Q631" t="s">
        <v>53</v>
      </c>
    </row>
    <row r="632" spans="1:17" s="30" customFormat="1" x14ac:dyDescent="0.2">
      <c r="A632" s="30" t="str">
        <f>IF(C632&amp;G632&amp;D632&lt;&gt;'Funnel setup'!$K$3&amp;'Funnel setup'!$K$4&amp;'Funnel setup'!$K$5,".",IF(A631=".",1,A631+1))</f>
        <v>.</v>
      </c>
      <c r="B632" s="431" t="str">
        <f t="shared" si="9"/>
        <v>Groin HerniaProviderSPIRE GATWICK PARK HOSPITAL (NT308)EQ VAS</v>
      </c>
      <c r="C632" t="s">
        <v>50</v>
      </c>
      <c r="D632" t="s">
        <v>1</v>
      </c>
      <c r="E632" t="s">
        <v>3409</v>
      </c>
      <c r="F632" t="s">
        <v>3410</v>
      </c>
      <c r="G632" t="s">
        <v>179</v>
      </c>
      <c r="H632">
        <v>30</v>
      </c>
      <c r="I632">
        <v>82.533000000000001</v>
      </c>
      <c r="J632">
        <v>82.2</v>
      </c>
      <c r="K632">
        <v>-0.33300000000000002</v>
      </c>
      <c r="L632">
        <v>12</v>
      </c>
      <c r="M632">
        <v>6</v>
      </c>
      <c r="N632">
        <v>12</v>
      </c>
      <c r="O632">
        <v>81.622</v>
      </c>
      <c r="P632">
        <v>0.97657025399999997</v>
      </c>
      <c r="Q632">
        <v>9.8849999999999998</v>
      </c>
    </row>
    <row r="633" spans="1:17" s="30" customFormat="1" x14ac:dyDescent="0.2">
      <c r="A633" s="30" t="str">
        <f>IF(C633&amp;G633&amp;D633&lt;&gt;'Funnel setup'!$K$3&amp;'Funnel setup'!$K$4&amp;'Funnel setup'!$K$5,".",IF(A632=".",1,A632+1))</f>
        <v>.</v>
      </c>
      <c r="B633" s="431" t="str">
        <f t="shared" si="9"/>
        <v>Groin HerniaProviderSPIRE HARTSWOOD HOSPITAL (NT319)EQ VAS</v>
      </c>
      <c r="C633" t="s">
        <v>50</v>
      </c>
      <c r="D633" t="s">
        <v>1</v>
      </c>
      <c r="E633" t="s">
        <v>3210</v>
      </c>
      <c r="F633" t="s">
        <v>3211</v>
      </c>
      <c r="G633" t="s">
        <v>179</v>
      </c>
      <c r="H633">
        <v>16</v>
      </c>
      <c r="I633">
        <v>86.063000000000002</v>
      </c>
      <c r="J633">
        <v>86.75</v>
      </c>
      <c r="K633">
        <v>0.68799999999999994</v>
      </c>
      <c r="L633">
        <v>6</v>
      </c>
      <c r="M633">
        <v>6</v>
      </c>
      <c r="N633">
        <v>4</v>
      </c>
      <c r="O633" t="s">
        <v>53</v>
      </c>
      <c r="P633" t="s">
        <v>53</v>
      </c>
      <c r="Q633" t="s">
        <v>53</v>
      </c>
    </row>
    <row r="634" spans="1:17" s="30" customFormat="1" x14ac:dyDescent="0.2">
      <c r="A634" s="30" t="str">
        <f>IF(C634&amp;G634&amp;D634&lt;&gt;'Funnel setup'!$K$3&amp;'Funnel setup'!$K$4&amp;'Funnel setup'!$K$5,".",IF(A633=".",1,A633+1))</f>
        <v>.</v>
      </c>
      <c r="B634" s="431" t="str">
        <f t="shared" si="9"/>
        <v>Groin HerniaProviderSPIRE HULL AND EAST RIDING HOSPITAL (NT351)EQ VAS</v>
      </c>
      <c r="C634" t="s">
        <v>50</v>
      </c>
      <c r="D634" t="s">
        <v>1</v>
      </c>
      <c r="E634" t="s">
        <v>3213</v>
      </c>
      <c r="F634" t="s">
        <v>3214</v>
      </c>
      <c r="G634" t="s">
        <v>179</v>
      </c>
      <c r="H634">
        <v>96</v>
      </c>
      <c r="I634">
        <v>81.625</v>
      </c>
      <c r="J634">
        <v>79.218999999999994</v>
      </c>
      <c r="K634">
        <v>-2.4060000000000001</v>
      </c>
      <c r="L634">
        <v>37</v>
      </c>
      <c r="M634">
        <v>16</v>
      </c>
      <c r="N634">
        <v>43</v>
      </c>
      <c r="O634">
        <v>79.319000000000003</v>
      </c>
      <c r="P634">
        <v>-1.326871229</v>
      </c>
      <c r="Q634">
        <v>13.513</v>
      </c>
    </row>
    <row r="635" spans="1:17" s="30" customFormat="1" x14ac:dyDescent="0.2">
      <c r="A635" s="30" t="str">
        <f>IF(C635&amp;G635&amp;D635&lt;&gt;'Funnel setup'!$K$3&amp;'Funnel setup'!$K$4&amp;'Funnel setup'!$K$5,".",IF(A634=".",1,A634+1))</f>
        <v>.</v>
      </c>
      <c r="B635" s="431" t="str">
        <f t="shared" si="9"/>
        <v>Groin HerniaProviderSPIRE LEEDS HOSPITAL (NT332)EQ VAS</v>
      </c>
      <c r="C635" t="s">
        <v>50</v>
      </c>
      <c r="D635" t="s">
        <v>1</v>
      </c>
      <c r="E635" t="s">
        <v>3198</v>
      </c>
      <c r="F635" t="s">
        <v>3199</v>
      </c>
      <c r="G635" t="s">
        <v>179</v>
      </c>
      <c r="H635">
        <v>82</v>
      </c>
      <c r="I635">
        <v>82.683000000000007</v>
      </c>
      <c r="J635">
        <v>83.049000000000007</v>
      </c>
      <c r="K635">
        <v>0.36599999999999999</v>
      </c>
      <c r="L635">
        <v>29</v>
      </c>
      <c r="M635">
        <v>20</v>
      </c>
      <c r="N635">
        <v>33</v>
      </c>
      <c r="O635">
        <v>81.588999999999999</v>
      </c>
      <c r="P635">
        <v>0.94378712399999998</v>
      </c>
      <c r="Q635">
        <v>10.47</v>
      </c>
    </row>
    <row r="636" spans="1:17" s="30" customFormat="1" x14ac:dyDescent="0.2">
      <c r="A636" s="30" t="str">
        <f>IF(C636&amp;G636&amp;D636&lt;&gt;'Funnel setup'!$K$3&amp;'Funnel setup'!$K$4&amp;'Funnel setup'!$K$5,".",IF(A635=".",1,A635+1))</f>
        <v>.</v>
      </c>
      <c r="B636" s="431" t="str">
        <f t="shared" si="9"/>
        <v>Groin HerniaProviderSPIRE LEICESTER HOSPITAL (NT322)EQ VAS</v>
      </c>
      <c r="C636" t="s">
        <v>50</v>
      </c>
      <c r="D636" t="s">
        <v>1</v>
      </c>
      <c r="E636" t="s">
        <v>3201</v>
      </c>
      <c r="F636" t="s">
        <v>3202</v>
      </c>
      <c r="G636" t="s">
        <v>179</v>
      </c>
      <c r="H636">
        <v>84</v>
      </c>
      <c r="I636">
        <v>77.893000000000001</v>
      </c>
      <c r="J636">
        <v>79.155000000000001</v>
      </c>
      <c r="K636">
        <v>1.262</v>
      </c>
      <c r="L636">
        <v>33</v>
      </c>
      <c r="M636">
        <v>20</v>
      </c>
      <c r="N636">
        <v>31</v>
      </c>
      <c r="O636">
        <v>80.665000000000006</v>
      </c>
      <c r="P636">
        <v>1.9192378999999999E-2</v>
      </c>
      <c r="Q636">
        <v>12.159000000000001</v>
      </c>
    </row>
    <row r="637" spans="1:17" s="30" customFormat="1" x14ac:dyDescent="0.2">
      <c r="A637" s="30" t="str">
        <f>IF(C637&amp;G637&amp;D637&lt;&gt;'Funnel setup'!$K$3&amp;'Funnel setup'!$K$4&amp;'Funnel setup'!$K$5,".",IF(A636=".",1,A636+1))</f>
        <v>.</v>
      </c>
      <c r="B637" s="431" t="str">
        <f t="shared" si="9"/>
        <v>Groin HerniaProviderSPIRE LITTLE ASTON HOSPITAL (NT321)EQ VAS</v>
      </c>
      <c r="C637" t="s">
        <v>50</v>
      </c>
      <c r="D637" t="s">
        <v>1</v>
      </c>
      <c r="E637" t="s">
        <v>3921</v>
      </c>
      <c r="F637" t="s">
        <v>3922</v>
      </c>
      <c r="G637" t="s">
        <v>179</v>
      </c>
      <c r="H637">
        <v>57</v>
      </c>
      <c r="I637">
        <v>82.227999999999994</v>
      </c>
      <c r="J637">
        <v>83.614000000000004</v>
      </c>
      <c r="K637">
        <v>1.3859999999999999</v>
      </c>
      <c r="L637">
        <v>23</v>
      </c>
      <c r="M637">
        <v>11</v>
      </c>
      <c r="N637">
        <v>23</v>
      </c>
      <c r="O637">
        <v>83.453000000000003</v>
      </c>
      <c r="P637">
        <v>2.808001483</v>
      </c>
      <c r="Q637">
        <v>10.397</v>
      </c>
    </row>
    <row r="638" spans="1:17" s="30" customFormat="1" x14ac:dyDescent="0.2">
      <c r="A638" s="30" t="str">
        <f>IF(C638&amp;G638&amp;D638&lt;&gt;'Funnel setup'!$K$3&amp;'Funnel setup'!$K$4&amp;'Funnel setup'!$K$5,".",IF(A637=".",1,A637+1))</f>
        <v>.</v>
      </c>
      <c r="B638" s="431" t="str">
        <f t="shared" si="9"/>
        <v>Groin HerniaProviderSPIRE LIVERPOOL HOSPITAL (NT337)EQ VAS</v>
      </c>
      <c r="C638" t="s">
        <v>50</v>
      </c>
      <c r="D638" t="s">
        <v>1</v>
      </c>
      <c r="E638" t="s">
        <v>3927</v>
      </c>
      <c r="F638" t="s">
        <v>3928</v>
      </c>
      <c r="G638" t="s">
        <v>179</v>
      </c>
      <c r="H638" t="s">
        <v>53</v>
      </c>
      <c r="I638" t="s">
        <v>53</v>
      </c>
      <c r="J638" t="s">
        <v>53</v>
      </c>
      <c r="K638" t="s">
        <v>53</v>
      </c>
      <c r="L638" t="s">
        <v>53</v>
      </c>
      <c r="M638" t="s">
        <v>53</v>
      </c>
      <c r="N638" t="s">
        <v>53</v>
      </c>
      <c r="O638" t="s">
        <v>53</v>
      </c>
      <c r="P638" t="s">
        <v>53</v>
      </c>
      <c r="Q638" t="s">
        <v>53</v>
      </c>
    </row>
    <row r="639" spans="1:17" s="30" customFormat="1" x14ac:dyDescent="0.2">
      <c r="A639" s="30" t="str">
        <f>IF(C639&amp;G639&amp;D639&lt;&gt;'Funnel setup'!$K$3&amp;'Funnel setup'!$K$4&amp;'Funnel setup'!$K$5,".",IF(A638=".",1,A638+1))</f>
        <v>.</v>
      </c>
      <c r="B639" s="431" t="str">
        <f t="shared" si="9"/>
        <v>Groin HerniaProviderSPIRE MANCHESTER HOSPITAL (NT327)EQ VAS</v>
      </c>
      <c r="C639" t="s">
        <v>50</v>
      </c>
      <c r="D639" t="s">
        <v>1</v>
      </c>
      <c r="E639" t="s">
        <v>3154</v>
      </c>
      <c r="F639" t="s">
        <v>3155</v>
      </c>
      <c r="G639" t="s">
        <v>179</v>
      </c>
      <c r="H639" t="s">
        <v>53</v>
      </c>
      <c r="I639" t="s">
        <v>53</v>
      </c>
      <c r="J639" t="s">
        <v>53</v>
      </c>
      <c r="K639" t="s">
        <v>53</v>
      </c>
      <c r="L639" t="s">
        <v>53</v>
      </c>
      <c r="M639" t="s">
        <v>53</v>
      </c>
      <c r="N639" t="s">
        <v>53</v>
      </c>
      <c r="O639" t="s">
        <v>53</v>
      </c>
      <c r="P639" t="s">
        <v>53</v>
      </c>
      <c r="Q639" t="s">
        <v>53</v>
      </c>
    </row>
    <row r="640" spans="1:17" s="30" customFormat="1" x14ac:dyDescent="0.2">
      <c r="A640" s="30" t="str">
        <f>IF(C640&amp;G640&amp;D640&lt;&gt;'Funnel setup'!$K$3&amp;'Funnel setup'!$K$4&amp;'Funnel setup'!$K$5,".",IF(A639=".",1,A639+1))</f>
        <v>.</v>
      </c>
      <c r="B640" s="431" t="str">
        <f t="shared" si="9"/>
        <v>Groin HerniaProviderSPIRE METHLEY PARK HOSPITAL (NT350)EQ VAS</v>
      </c>
      <c r="C640" t="s">
        <v>50</v>
      </c>
      <c r="D640" t="s">
        <v>1</v>
      </c>
      <c r="E640" t="s">
        <v>3157</v>
      </c>
      <c r="F640" t="s">
        <v>3158</v>
      </c>
      <c r="G640" t="s">
        <v>179</v>
      </c>
      <c r="H640">
        <v>83</v>
      </c>
      <c r="I640">
        <v>83.698999999999998</v>
      </c>
      <c r="J640">
        <v>80.253</v>
      </c>
      <c r="K640">
        <v>-3.4460000000000002</v>
      </c>
      <c r="L640">
        <v>27</v>
      </c>
      <c r="M640">
        <v>22</v>
      </c>
      <c r="N640">
        <v>34</v>
      </c>
      <c r="O640">
        <v>78.667000000000002</v>
      </c>
      <c r="P640">
        <v>-1.978517383</v>
      </c>
      <c r="Q640">
        <v>13.776</v>
      </c>
    </row>
    <row r="641" spans="1:17" s="30" customFormat="1" x14ac:dyDescent="0.2">
      <c r="A641" s="30" t="str">
        <f>IF(C641&amp;G641&amp;D641&lt;&gt;'Funnel setup'!$K$3&amp;'Funnel setup'!$K$4&amp;'Funnel setup'!$K$5,".",IF(A640=".",1,A640+1))</f>
        <v>.</v>
      </c>
      <c r="B641" s="431" t="str">
        <f t="shared" si="9"/>
        <v>Groin HerniaProviderSPIRE MURRAYFIELD HOSPITAL (NT325)EQ VAS</v>
      </c>
      <c r="C641" t="s">
        <v>50</v>
      </c>
      <c r="D641" t="s">
        <v>1</v>
      </c>
      <c r="E641" t="s">
        <v>3163</v>
      </c>
      <c r="F641" t="s">
        <v>3164</v>
      </c>
      <c r="G641" t="s">
        <v>179</v>
      </c>
      <c r="H641">
        <v>47</v>
      </c>
      <c r="I641">
        <v>81.084999999999994</v>
      </c>
      <c r="J641">
        <v>78.978999999999999</v>
      </c>
      <c r="K641">
        <v>-2.1059999999999999</v>
      </c>
      <c r="L641">
        <v>14</v>
      </c>
      <c r="M641">
        <v>11</v>
      </c>
      <c r="N641">
        <v>22</v>
      </c>
      <c r="O641">
        <v>79.680000000000007</v>
      </c>
      <c r="P641">
        <v>-0.96588844299999999</v>
      </c>
      <c r="Q641">
        <v>12.423999999999999</v>
      </c>
    </row>
    <row r="642" spans="1:17" s="30" customFormat="1" x14ac:dyDescent="0.2">
      <c r="A642" s="30" t="str">
        <f>IF(C642&amp;G642&amp;D642&lt;&gt;'Funnel setup'!$K$3&amp;'Funnel setup'!$K$4&amp;'Funnel setup'!$K$5,".",IF(A641=".",1,A641+1))</f>
        <v>.</v>
      </c>
      <c r="B642" s="431" t="str">
        <f t="shared" si="9"/>
        <v>Groin HerniaProviderSPIRE PARKWAY HOSPITAL (NT320)EQ VAS</v>
      </c>
      <c r="C642" t="s">
        <v>50</v>
      </c>
      <c r="D642" t="s">
        <v>1</v>
      </c>
      <c r="E642" t="s">
        <v>3166</v>
      </c>
      <c r="F642" t="s">
        <v>3167</v>
      </c>
      <c r="G642" t="s">
        <v>179</v>
      </c>
      <c r="H642">
        <v>8</v>
      </c>
      <c r="I642">
        <v>79.5</v>
      </c>
      <c r="J642">
        <v>74.875</v>
      </c>
      <c r="K642">
        <v>-4.625</v>
      </c>
      <c r="L642">
        <v>4</v>
      </c>
      <c r="M642">
        <v>2</v>
      </c>
      <c r="N642">
        <v>2</v>
      </c>
      <c r="O642" t="s">
        <v>53</v>
      </c>
      <c r="P642" t="s">
        <v>53</v>
      </c>
      <c r="Q642" t="s">
        <v>53</v>
      </c>
    </row>
    <row r="643" spans="1:17" s="30" customFormat="1" x14ac:dyDescent="0.2">
      <c r="A643" s="30" t="str">
        <f>IF(C643&amp;G643&amp;D643&lt;&gt;'Funnel setup'!$K$3&amp;'Funnel setup'!$K$4&amp;'Funnel setup'!$K$5,".",IF(A642=".",1,A642+1))</f>
        <v>.</v>
      </c>
      <c r="B643" s="431" t="str">
        <f t="shared" ref="B643:B706" si="10">C643&amp;D643&amp;F643&amp;G643</f>
        <v>Groin HerniaProviderSPIRE PORTSMOUTH HOSPITAL (NT305)EQ VAS</v>
      </c>
      <c r="C643" t="s">
        <v>50</v>
      </c>
      <c r="D643" t="s">
        <v>1</v>
      </c>
      <c r="E643" t="s">
        <v>3169</v>
      </c>
      <c r="F643" t="s">
        <v>340</v>
      </c>
      <c r="G643" t="s">
        <v>179</v>
      </c>
      <c r="H643">
        <v>7</v>
      </c>
      <c r="I643">
        <v>86.429000000000002</v>
      </c>
      <c r="J643">
        <v>87.143000000000001</v>
      </c>
      <c r="K643">
        <v>0.71399999999999997</v>
      </c>
      <c r="L643">
        <v>3</v>
      </c>
      <c r="M643">
        <v>2</v>
      </c>
      <c r="N643">
        <v>2</v>
      </c>
      <c r="O643" t="s">
        <v>53</v>
      </c>
      <c r="P643" t="s">
        <v>53</v>
      </c>
      <c r="Q643" t="s">
        <v>53</v>
      </c>
    </row>
    <row r="644" spans="1:17" s="30" customFormat="1" x14ac:dyDescent="0.2">
      <c r="A644" s="30" t="str">
        <f>IF(C644&amp;G644&amp;D644&lt;&gt;'Funnel setup'!$K$3&amp;'Funnel setup'!$K$4&amp;'Funnel setup'!$K$5,".",IF(A643=".",1,A643+1))</f>
        <v>.</v>
      </c>
      <c r="B644" s="431" t="str">
        <f t="shared" si="10"/>
        <v>Groin HerniaProviderSPIRE REGENCY HOSPITAL (NT339)EQ VAS</v>
      </c>
      <c r="C644" t="s">
        <v>50</v>
      </c>
      <c r="D644" t="s">
        <v>1</v>
      </c>
      <c r="E644" t="s">
        <v>3171</v>
      </c>
      <c r="F644" t="s">
        <v>3172</v>
      </c>
      <c r="G644" t="s">
        <v>179</v>
      </c>
      <c r="H644">
        <v>32</v>
      </c>
      <c r="I644">
        <v>85.156000000000006</v>
      </c>
      <c r="J644">
        <v>84.718999999999994</v>
      </c>
      <c r="K644">
        <v>-0.438</v>
      </c>
      <c r="L644">
        <v>11</v>
      </c>
      <c r="M644">
        <v>8</v>
      </c>
      <c r="N644">
        <v>13</v>
      </c>
      <c r="O644">
        <v>81.659000000000006</v>
      </c>
      <c r="P644">
        <v>1.0132216999999999</v>
      </c>
      <c r="Q644">
        <v>9.7769999999999992</v>
      </c>
    </row>
    <row r="645" spans="1:17" s="30" customFormat="1" x14ac:dyDescent="0.2">
      <c r="A645" s="30" t="str">
        <f>IF(C645&amp;G645&amp;D645&lt;&gt;'Funnel setup'!$K$3&amp;'Funnel setup'!$K$4&amp;'Funnel setup'!$K$5,".",IF(A644=".",1,A644+1))</f>
        <v>.</v>
      </c>
      <c r="B645" s="431" t="str">
        <f t="shared" si="10"/>
        <v>Groin HerniaProviderSPIRE SOUTH BANK HOSPITAL (NT301)EQ VAS</v>
      </c>
      <c r="C645" t="s">
        <v>50</v>
      </c>
      <c r="D645" t="s">
        <v>1</v>
      </c>
      <c r="E645" t="s">
        <v>3174</v>
      </c>
      <c r="F645" t="s">
        <v>3175</v>
      </c>
      <c r="G645" t="s">
        <v>179</v>
      </c>
      <c r="H645">
        <v>67</v>
      </c>
      <c r="I645">
        <v>84.745999999999995</v>
      </c>
      <c r="J645">
        <v>84.343000000000004</v>
      </c>
      <c r="K645">
        <v>-0.40300000000000002</v>
      </c>
      <c r="L645">
        <v>28</v>
      </c>
      <c r="M645">
        <v>17</v>
      </c>
      <c r="N645">
        <v>22</v>
      </c>
      <c r="O645">
        <v>82.257000000000005</v>
      </c>
      <c r="P645">
        <v>1.6110746149999999</v>
      </c>
      <c r="Q645">
        <v>9.2629999999999999</v>
      </c>
    </row>
    <row r="646" spans="1:17" s="30" customFormat="1" x14ac:dyDescent="0.2">
      <c r="A646" s="30" t="str">
        <f>IF(C646&amp;G646&amp;D646&lt;&gt;'Funnel setup'!$K$3&amp;'Funnel setup'!$K$4&amp;'Funnel setup'!$K$5,".",IF(A645=".",1,A645+1))</f>
        <v>.</v>
      </c>
      <c r="B646" s="431" t="str">
        <f t="shared" si="10"/>
        <v>Groin HerniaProviderSPIRE SOUTHAMPTON HOSPITAL (NT304)EQ VAS</v>
      </c>
      <c r="C646" t="s">
        <v>50</v>
      </c>
      <c r="D646" t="s">
        <v>1</v>
      </c>
      <c r="E646" t="s">
        <v>3133</v>
      </c>
      <c r="F646" t="s">
        <v>3134</v>
      </c>
      <c r="G646" t="s">
        <v>179</v>
      </c>
      <c r="H646" t="s">
        <v>53</v>
      </c>
      <c r="I646" t="s">
        <v>53</v>
      </c>
      <c r="J646" t="s">
        <v>53</v>
      </c>
      <c r="K646" t="s">
        <v>53</v>
      </c>
      <c r="L646" t="s">
        <v>53</v>
      </c>
      <c r="M646" t="s">
        <v>53</v>
      </c>
      <c r="N646" t="s">
        <v>53</v>
      </c>
      <c r="O646" t="s">
        <v>53</v>
      </c>
      <c r="P646" t="s">
        <v>53</v>
      </c>
      <c r="Q646" t="s">
        <v>53</v>
      </c>
    </row>
    <row r="647" spans="1:17" s="30" customFormat="1" x14ac:dyDescent="0.2">
      <c r="A647" s="30" t="str">
        <f>IF(C647&amp;G647&amp;D647&lt;&gt;'Funnel setup'!$K$3&amp;'Funnel setup'!$K$4&amp;'Funnel setup'!$K$5,".",IF(A646=".",1,A646+1))</f>
        <v>.</v>
      </c>
      <c r="B647" s="431" t="str">
        <f t="shared" si="10"/>
        <v>Groin HerniaProviderSPIRE ST SAVIOURS HOSPITAL (NT346)EQ VAS</v>
      </c>
      <c r="C647" t="s">
        <v>50</v>
      </c>
      <c r="D647" t="s">
        <v>1</v>
      </c>
      <c r="E647" t="s">
        <v>3177</v>
      </c>
      <c r="F647" t="s">
        <v>3178</v>
      </c>
      <c r="G647" t="s">
        <v>179</v>
      </c>
      <c r="H647">
        <v>10</v>
      </c>
      <c r="I647">
        <v>82.1</v>
      </c>
      <c r="J647">
        <v>84.9</v>
      </c>
      <c r="K647">
        <v>2.8</v>
      </c>
      <c r="L647">
        <v>6</v>
      </c>
      <c r="M647">
        <v>2</v>
      </c>
      <c r="N647">
        <v>2</v>
      </c>
      <c r="O647" t="s">
        <v>53</v>
      </c>
      <c r="P647" t="s">
        <v>53</v>
      </c>
      <c r="Q647" t="s">
        <v>53</v>
      </c>
    </row>
    <row r="648" spans="1:17" s="30" customFormat="1" x14ac:dyDescent="0.2">
      <c r="A648" s="30" t="str">
        <f>IF(C648&amp;G648&amp;D648&lt;&gt;'Funnel setup'!$K$3&amp;'Funnel setup'!$K$4&amp;'Funnel setup'!$K$5,".",IF(A647=".",1,A647+1))</f>
        <v>.</v>
      </c>
      <c r="B648" s="431" t="str">
        <f t="shared" si="10"/>
        <v>Groin HerniaProviderSPIRE SUSSEX HOSPITAL (NT309)EQ VAS</v>
      </c>
      <c r="C648" t="s">
        <v>50</v>
      </c>
      <c r="D648" t="s">
        <v>1</v>
      </c>
      <c r="E648" t="s">
        <v>3180</v>
      </c>
      <c r="F648" t="s">
        <v>3181</v>
      </c>
      <c r="G648" t="s">
        <v>179</v>
      </c>
      <c r="H648">
        <v>16</v>
      </c>
      <c r="I648">
        <v>82.5</v>
      </c>
      <c r="J648">
        <v>83.688000000000002</v>
      </c>
      <c r="K648">
        <v>1.1879999999999999</v>
      </c>
      <c r="L648">
        <v>8</v>
      </c>
      <c r="M648">
        <v>4</v>
      </c>
      <c r="N648">
        <v>4</v>
      </c>
      <c r="O648" t="s">
        <v>53</v>
      </c>
      <c r="P648" t="s">
        <v>53</v>
      </c>
      <c r="Q648" t="s">
        <v>53</v>
      </c>
    </row>
    <row r="649" spans="1:17" s="30" customFormat="1" x14ac:dyDescent="0.2">
      <c r="A649" s="30" t="str">
        <f>IF(C649&amp;G649&amp;D649&lt;&gt;'Funnel setup'!$K$3&amp;'Funnel setup'!$K$4&amp;'Funnel setup'!$K$5,".",IF(A648=".",1,A648+1))</f>
        <v>.</v>
      </c>
      <c r="B649" s="431" t="str">
        <f t="shared" si="10"/>
        <v>Groin HerniaProviderSPIRE TUNBRIDGE WELLS HOSPITAL (NT310)EQ VAS</v>
      </c>
      <c r="C649" t="s">
        <v>50</v>
      </c>
      <c r="D649" t="s">
        <v>1</v>
      </c>
      <c r="E649" t="s">
        <v>3186</v>
      </c>
      <c r="F649" t="s">
        <v>3187</v>
      </c>
      <c r="G649" t="s">
        <v>179</v>
      </c>
      <c r="H649">
        <v>12</v>
      </c>
      <c r="I649">
        <v>87.25</v>
      </c>
      <c r="J649">
        <v>87.25</v>
      </c>
      <c r="K649">
        <v>0</v>
      </c>
      <c r="L649">
        <v>3</v>
      </c>
      <c r="M649">
        <v>6</v>
      </c>
      <c r="N649">
        <v>3</v>
      </c>
      <c r="O649" t="s">
        <v>53</v>
      </c>
      <c r="P649" t="s">
        <v>53</v>
      </c>
      <c r="Q649" t="s">
        <v>53</v>
      </c>
    </row>
    <row r="650" spans="1:17" s="30" customFormat="1" x14ac:dyDescent="0.2">
      <c r="A650" s="30" t="str">
        <f>IF(C650&amp;G650&amp;D650&lt;&gt;'Funnel setup'!$K$3&amp;'Funnel setup'!$K$4&amp;'Funnel setup'!$K$5,".",IF(A649=".",1,A649+1))</f>
        <v>.</v>
      </c>
      <c r="B650" s="431" t="str">
        <f t="shared" si="10"/>
        <v>Groin HerniaProviderSPIRE WASHINGTON HOSPITAL (NT333)EQ VAS</v>
      </c>
      <c r="C650" t="s">
        <v>50</v>
      </c>
      <c r="D650" t="s">
        <v>1</v>
      </c>
      <c r="E650" t="s">
        <v>3189</v>
      </c>
      <c r="F650" t="s">
        <v>3190</v>
      </c>
      <c r="G650" t="s">
        <v>179</v>
      </c>
      <c r="H650">
        <v>24</v>
      </c>
      <c r="I650">
        <v>86.5</v>
      </c>
      <c r="J650">
        <v>80.917000000000002</v>
      </c>
      <c r="K650">
        <v>-5.5830000000000002</v>
      </c>
      <c r="L650">
        <v>5</v>
      </c>
      <c r="M650">
        <v>3</v>
      </c>
      <c r="N650">
        <v>16</v>
      </c>
      <c r="O650" t="s">
        <v>53</v>
      </c>
      <c r="P650" t="s">
        <v>53</v>
      </c>
      <c r="Q650" t="s">
        <v>53</v>
      </c>
    </row>
    <row r="651" spans="1:17" s="30" customFormat="1" x14ac:dyDescent="0.2">
      <c r="A651" s="30" t="str">
        <f>IF(C651&amp;G651&amp;D651&lt;&gt;'Funnel setup'!$K$3&amp;'Funnel setup'!$K$4&amp;'Funnel setup'!$K$5,".",IF(A650=".",1,A650+1))</f>
        <v>.</v>
      </c>
      <c r="B651" s="431" t="str">
        <f t="shared" si="10"/>
        <v>Groin HerniaProviderSPIRE WELLESLEY HOSPITAL (NT313)EQ VAS</v>
      </c>
      <c r="C651" t="s">
        <v>50</v>
      </c>
      <c r="D651" t="s">
        <v>1</v>
      </c>
      <c r="E651" t="s">
        <v>3192</v>
      </c>
      <c r="F651" t="s">
        <v>3193</v>
      </c>
      <c r="G651" t="s">
        <v>179</v>
      </c>
      <c r="H651">
        <v>57</v>
      </c>
      <c r="I651">
        <v>83.298000000000002</v>
      </c>
      <c r="J651">
        <v>82.667000000000002</v>
      </c>
      <c r="K651">
        <v>-0.63200000000000001</v>
      </c>
      <c r="L651">
        <v>21</v>
      </c>
      <c r="M651">
        <v>12</v>
      </c>
      <c r="N651">
        <v>24</v>
      </c>
      <c r="O651">
        <v>81.97</v>
      </c>
      <c r="P651">
        <v>1.3250051039999999</v>
      </c>
      <c r="Q651">
        <v>9.0020000000000007</v>
      </c>
    </row>
    <row r="652" spans="1:17" s="30" customFormat="1" x14ac:dyDescent="0.2">
      <c r="A652" s="30" t="str">
        <f>IF(C652&amp;G652&amp;D652&lt;&gt;'Funnel setup'!$K$3&amp;'Funnel setup'!$K$4&amp;'Funnel setup'!$K$5,".",IF(A651=".",1,A651+1))</f>
        <v>.</v>
      </c>
      <c r="B652" s="431" t="str">
        <f t="shared" si="10"/>
        <v>Groin HerniaProviderSPRINGFIELD HOSPITAL (NVC18)EQ VAS</v>
      </c>
      <c r="C652" t="s">
        <v>50</v>
      </c>
      <c r="D652" t="s">
        <v>1</v>
      </c>
      <c r="E652" t="s">
        <v>3195</v>
      </c>
      <c r="F652" t="s">
        <v>3196</v>
      </c>
      <c r="G652" t="s">
        <v>179</v>
      </c>
      <c r="H652">
        <v>112</v>
      </c>
      <c r="I652">
        <v>81.42</v>
      </c>
      <c r="J652">
        <v>80.58</v>
      </c>
      <c r="K652">
        <v>-0.83899999999999997</v>
      </c>
      <c r="L652">
        <v>46</v>
      </c>
      <c r="M652">
        <v>24</v>
      </c>
      <c r="N652">
        <v>42</v>
      </c>
      <c r="O652">
        <v>79.548000000000002</v>
      </c>
      <c r="P652">
        <v>-1.097743954</v>
      </c>
      <c r="Q652">
        <v>10.432</v>
      </c>
    </row>
    <row r="653" spans="1:17" s="30" customFormat="1" x14ac:dyDescent="0.2">
      <c r="A653" s="30" t="str">
        <f>IF(C653&amp;G653&amp;D653&lt;&gt;'Funnel setup'!$K$3&amp;'Funnel setup'!$K$4&amp;'Funnel setup'!$K$5,".",IF(A652=".",1,A652+1))</f>
        <v>.</v>
      </c>
      <c r="B653" s="431" t="str">
        <f t="shared" si="10"/>
        <v>Groin HerniaProviderST GEORGE'S UNIVERSITY HOSPITALS NHS FOUNDATION TRUST (RJ7)EQ VAS</v>
      </c>
      <c r="C653" t="s">
        <v>50</v>
      </c>
      <c r="D653" t="s">
        <v>1</v>
      </c>
      <c r="E653" t="s">
        <v>3124</v>
      </c>
      <c r="F653" t="s">
        <v>3125</v>
      </c>
      <c r="G653" t="s">
        <v>179</v>
      </c>
      <c r="H653">
        <v>50</v>
      </c>
      <c r="I653">
        <v>81.12</v>
      </c>
      <c r="J653">
        <v>78.3</v>
      </c>
      <c r="K653">
        <v>-2.82</v>
      </c>
      <c r="L653">
        <v>14</v>
      </c>
      <c r="M653">
        <v>8</v>
      </c>
      <c r="N653">
        <v>28</v>
      </c>
      <c r="O653">
        <v>78.058000000000007</v>
      </c>
      <c r="P653">
        <v>-2.5877615810000001</v>
      </c>
      <c r="Q653">
        <v>9.8339999999999996</v>
      </c>
    </row>
    <row r="654" spans="1:17" s="30" customFormat="1" x14ac:dyDescent="0.2">
      <c r="A654" s="30" t="str">
        <f>IF(C654&amp;G654&amp;D654&lt;&gt;'Funnel setup'!$K$3&amp;'Funnel setup'!$K$4&amp;'Funnel setup'!$K$5,".",IF(A653=".",1,A653+1))</f>
        <v>.</v>
      </c>
      <c r="B654" s="431" t="str">
        <f t="shared" si="10"/>
        <v>Groin HerniaProviderST HELENS AND KNOWSLEY HOSPITALS NHS TRUST (RBN)EQ VAS</v>
      </c>
      <c r="C654" t="s">
        <v>50</v>
      </c>
      <c r="D654" t="s">
        <v>1</v>
      </c>
      <c r="E654" t="s">
        <v>3127</v>
      </c>
      <c r="F654" t="s">
        <v>3128</v>
      </c>
      <c r="G654" t="s">
        <v>179</v>
      </c>
      <c r="H654">
        <v>160</v>
      </c>
      <c r="I654">
        <v>83.587999999999994</v>
      </c>
      <c r="J654">
        <v>80.956000000000003</v>
      </c>
      <c r="K654">
        <v>-2.6309999999999998</v>
      </c>
      <c r="L654">
        <v>55</v>
      </c>
      <c r="M654">
        <v>27</v>
      </c>
      <c r="N654">
        <v>78</v>
      </c>
      <c r="O654">
        <v>80.106999999999999</v>
      </c>
      <c r="P654">
        <v>-0.53870774300000002</v>
      </c>
      <c r="Q654">
        <v>11.61</v>
      </c>
    </row>
    <row r="655" spans="1:17" s="30" customFormat="1" x14ac:dyDescent="0.2">
      <c r="A655" s="30" t="str">
        <f>IF(C655&amp;G655&amp;D655&lt;&gt;'Funnel setup'!$K$3&amp;'Funnel setup'!$K$4&amp;'Funnel setup'!$K$5,".",IF(A654=".",1,A654+1))</f>
        <v>.</v>
      </c>
      <c r="B655" s="431" t="str">
        <f t="shared" si="10"/>
        <v>Groin HerniaProviderST HUGH'S HOSPITAL (NTE02)EQ VAS</v>
      </c>
      <c r="C655" t="s">
        <v>50</v>
      </c>
      <c r="D655" t="s">
        <v>1</v>
      </c>
      <c r="E655" t="s">
        <v>3130</v>
      </c>
      <c r="F655" t="s">
        <v>3131</v>
      </c>
      <c r="G655" t="s">
        <v>179</v>
      </c>
      <c r="H655">
        <v>30</v>
      </c>
      <c r="I655">
        <v>82.132999999999996</v>
      </c>
      <c r="J655">
        <v>81.3</v>
      </c>
      <c r="K655">
        <v>-0.83299999999999996</v>
      </c>
      <c r="L655">
        <v>13</v>
      </c>
      <c r="M655">
        <v>4</v>
      </c>
      <c r="N655">
        <v>13</v>
      </c>
      <c r="O655">
        <v>80.882000000000005</v>
      </c>
      <c r="P655">
        <v>0.23626233299999999</v>
      </c>
      <c r="Q655">
        <v>11.627000000000001</v>
      </c>
    </row>
    <row r="656" spans="1:17" s="30" customFormat="1" x14ac:dyDescent="0.2">
      <c r="A656" s="30" t="str">
        <f>IF(C656&amp;G656&amp;D656&lt;&gt;'Funnel setup'!$K$3&amp;'Funnel setup'!$K$4&amp;'Funnel setup'!$K$5,".",IF(A655=".",1,A655+1))</f>
        <v>.</v>
      </c>
      <c r="B656" s="431" t="str">
        <f t="shared" si="10"/>
        <v>Groin HerniaProviderST MARY'S NHS TREATMENT CENTRE (NTPAD)EQ VAS</v>
      </c>
      <c r="C656" t="s">
        <v>50</v>
      </c>
      <c r="D656" t="s">
        <v>1</v>
      </c>
      <c r="E656" t="s">
        <v>3139</v>
      </c>
      <c r="F656" t="s">
        <v>3140</v>
      </c>
      <c r="G656" t="s">
        <v>179</v>
      </c>
      <c r="H656">
        <v>149</v>
      </c>
      <c r="I656">
        <v>84.704999999999998</v>
      </c>
      <c r="J656">
        <v>83.691000000000003</v>
      </c>
      <c r="K656">
        <v>-1.0129999999999999</v>
      </c>
      <c r="L656">
        <v>45</v>
      </c>
      <c r="M656">
        <v>42</v>
      </c>
      <c r="N656">
        <v>62</v>
      </c>
      <c r="O656">
        <v>79.903999999999996</v>
      </c>
      <c r="P656">
        <v>-0.74109174200000005</v>
      </c>
      <c r="Q656">
        <v>11.2</v>
      </c>
    </row>
    <row r="657" spans="1:17" s="30" customFormat="1" x14ac:dyDescent="0.2">
      <c r="A657" s="30" t="str">
        <f>IF(C657&amp;G657&amp;D657&lt;&gt;'Funnel setup'!$K$3&amp;'Funnel setup'!$K$4&amp;'Funnel setup'!$K$5,".",IF(A656=".",1,A656+1))</f>
        <v>.</v>
      </c>
      <c r="B657" s="431" t="str">
        <f t="shared" si="10"/>
        <v>Groin HerniaProviderSTOCKPORT NHS FOUNDATION TRUST (RWJ)EQ VAS</v>
      </c>
      <c r="C657" t="s">
        <v>50</v>
      </c>
      <c r="D657" t="s">
        <v>1</v>
      </c>
      <c r="E657" t="s">
        <v>3142</v>
      </c>
      <c r="F657" t="s">
        <v>3143</v>
      </c>
      <c r="G657" t="s">
        <v>179</v>
      </c>
      <c r="H657">
        <v>146</v>
      </c>
      <c r="I657">
        <v>80.13</v>
      </c>
      <c r="J657">
        <v>79.959000000000003</v>
      </c>
      <c r="K657">
        <v>-0.17100000000000001</v>
      </c>
      <c r="L657">
        <v>56</v>
      </c>
      <c r="M657">
        <v>28</v>
      </c>
      <c r="N657">
        <v>62</v>
      </c>
      <c r="O657">
        <v>80.019000000000005</v>
      </c>
      <c r="P657">
        <v>-0.62596972299999998</v>
      </c>
      <c r="Q657">
        <v>13.093999999999999</v>
      </c>
    </row>
    <row r="658" spans="1:17" s="30" customFormat="1" x14ac:dyDescent="0.2">
      <c r="A658" s="30" t="str">
        <f>IF(C658&amp;G658&amp;D658&lt;&gt;'Funnel setup'!$K$3&amp;'Funnel setup'!$K$4&amp;'Funnel setup'!$K$5,".",IF(A657=".",1,A657+1))</f>
        <v>.</v>
      </c>
      <c r="B658" s="431" t="str">
        <f t="shared" si="10"/>
        <v>Groin HerniaProviderSURREY AND SUSSEX HEALTHCARE NHS TRUST (RTP)EQ VAS</v>
      </c>
      <c r="C658" t="s">
        <v>50</v>
      </c>
      <c r="D658" t="s">
        <v>1</v>
      </c>
      <c r="E658" t="s">
        <v>3145</v>
      </c>
      <c r="F658" t="s">
        <v>3146</v>
      </c>
      <c r="G658" t="s">
        <v>179</v>
      </c>
      <c r="H658">
        <v>146</v>
      </c>
      <c r="I658">
        <v>81.424999999999997</v>
      </c>
      <c r="J658">
        <v>81.11</v>
      </c>
      <c r="K658">
        <v>-0.315</v>
      </c>
      <c r="L658">
        <v>56</v>
      </c>
      <c r="M658">
        <v>32</v>
      </c>
      <c r="N658">
        <v>58</v>
      </c>
      <c r="O658">
        <v>80.051000000000002</v>
      </c>
      <c r="P658">
        <v>-0.59395225600000001</v>
      </c>
      <c r="Q658">
        <v>12.138999999999999</v>
      </c>
    </row>
    <row r="659" spans="1:17" s="30" customFormat="1" x14ac:dyDescent="0.2">
      <c r="A659" s="30" t="str">
        <f>IF(C659&amp;G659&amp;D659&lt;&gt;'Funnel setup'!$K$3&amp;'Funnel setup'!$K$4&amp;'Funnel setup'!$K$5,".",IF(A658=".",1,A658+1))</f>
        <v>.</v>
      </c>
      <c r="B659" s="431" t="str">
        <f t="shared" si="10"/>
        <v>Groin HerniaProviderTAMESIDE HOSPITAL NHS FOUNDATION TRUST (RMP)EQ VAS</v>
      </c>
      <c r="C659" t="s">
        <v>50</v>
      </c>
      <c r="D659" t="s">
        <v>1</v>
      </c>
      <c r="E659" t="s">
        <v>3148</v>
      </c>
      <c r="F659" t="s">
        <v>3149</v>
      </c>
      <c r="G659" t="s">
        <v>179</v>
      </c>
      <c r="H659">
        <v>35</v>
      </c>
      <c r="I659">
        <v>77.257000000000005</v>
      </c>
      <c r="J659">
        <v>81.599999999999994</v>
      </c>
      <c r="K659">
        <v>4.343</v>
      </c>
      <c r="L659">
        <v>18</v>
      </c>
      <c r="M659">
        <v>6</v>
      </c>
      <c r="N659">
        <v>11</v>
      </c>
      <c r="O659">
        <v>82.617000000000004</v>
      </c>
      <c r="P659">
        <v>1.971147658</v>
      </c>
      <c r="Q659">
        <v>12.067</v>
      </c>
    </row>
    <row r="660" spans="1:17" s="30" customFormat="1" x14ac:dyDescent="0.2">
      <c r="A660" s="30" t="str">
        <f>IF(C660&amp;G660&amp;D660&lt;&gt;'Funnel setup'!$K$3&amp;'Funnel setup'!$K$4&amp;'Funnel setup'!$K$5,".",IF(A659=".",1,A659+1))</f>
        <v>.</v>
      </c>
      <c r="B660" s="431" t="str">
        <f t="shared" si="10"/>
        <v>Groin HerniaProviderTAUNTON AND SOMERSET NHS FOUNDATION TRUST (RBA)EQ VAS</v>
      </c>
      <c r="C660" t="s">
        <v>50</v>
      </c>
      <c r="D660" t="s">
        <v>1</v>
      </c>
      <c r="E660" t="s">
        <v>3151</v>
      </c>
      <c r="F660" t="s">
        <v>3152</v>
      </c>
      <c r="G660" t="s">
        <v>179</v>
      </c>
      <c r="H660">
        <v>137</v>
      </c>
      <c r="I660">
        <v>82.46</v>
      </c>
      <c r="J660">
        <v>82.307000000000002</v>
      </c>
      <c r="K660">
        <v>-0.153</v>
      </c>
      <c r="L660">
        <v>56</v>
      </c>
      <c r="M660">
        <v>33</v>
      </c>
      <c r="N660">
        <v>48</v>
      </c>
      <c r="O660">
        <v>80.933999999999997</v>
      </c>
      <c r="P660">
        <v>0.28894423400000002</v>
      </c>
      <c r="Q660">
        <v>10.811999999999999</v>
      </c>
    </row>
    <row r="661" spans="1:17" s="30" customFormat="1" x14ac:dyDescent="0.2">
      <c r="A661" s="30" t="str">
        <f>IF(C661&amp;G661&amp;D661&lt;&gt;'Funnel setup'!$K$3&amp;'Funnel setup'!$K$4&amp;'Funnel setup'!$K$5,".",IF(A660=".",1,A660+1))</f>
        <v>.</v>
      </c>
      <c r="B661" s="431" t="str">
        <f t="shared" si="10"/>
        <v>Groin HerniaProviderTEES VALLEY TREATMENT CENTRE (NVC35)EQ VAS</v>
      </c>
      <c r="C661" t="s">
        <v>50</v>
      </c>
      <c r="D661" t="s">
        <v>1</v>
      </c>
      <c r="E661" t="s">
        <v>3112</v>
      </c>
      <c r="F661" t="s">
        <v>3113</v>
      </c>
      <c r="G661" t="s">
        <v>179</v>
      </c>
      <c r="H661">
        <v>58</v>
      </c>
      <c r="I661">
        <v>82.793000000000006</v>
      </c>
      <c r="J661">
        <v>83.914000000000001</v>
      </c>
      <c r="K661">
        <v>1.121</v>
      </c>
      <c r="L661">
        <v>19</v>
      </c>
      <c r="M661">
        <v>16</v>
      </c>
      <c r="N661">
        <v>23</v>
      </c>
      <c r="O661">
        <v>81.138999999999996</v>
      </c>
      <c r="P661">
        <v>0.49317830000000001</v>
      </c>
      <c r="Q661">
        <v>10.119</v>
      </c>
    </row>
    <row r="662" spans="1:17" s="30" customFormat="1" x14ac:dyDescent="0.2">
      <c r="A662" s="30" t="str">
        <f>IF(C662&amp;G662&amp;D662&lt;&gt;'Funnel setup'!$K$3&amp;'Funnel setup'!$K$4&amp;'Funnel setup'!$K$5,".",IF(A661=".",1,A661+1))</f>
        <v>.</v>
      </c>
      <c r="B662" s="431" t="str">
        <f t="shared" si="10"/>
        <v>Groin HerniaProviderTHE BERKSHIRE INDEPENDENT HOSPITAL (NVC02)EQ VAS</v>
      </c>
      <c r="C662" t="s">
        <v>50</v>
      </c>
      <c r="D662" t="s">
        <v>1</v>
      </c>
      <c r="E662" t="s">
        <v>3118</v>
      </c>
      <c r="F662" t="s">
        <v>3119</v>
      </c>
      <c r="G662" t="s">
        <v>179</v>
      </c>
      <c r="H662">
        <v>40</v>
      </c>
      <c r="I662">
        <v>87.224999999999994</v>
      </c>
      <c r="J662">
        <v>83.224999999999994</v>
      </c>
      <c r="K662">
        <v>-4</v>
      </c>
      <c r="L662">
        <v>11</v>
      </c>
      <c r="M662">
        <v>11</v>
      </c>
      <c r="N662">
        <v>18</v>
      </c>
      <c r="O662">
        <v>78.512</v>
      </c>
      <c r="P662">
        <v>-2.1339224040000002</v>
      </c>
      <c r="Q662">
        <v>11.208</v>
      </c>
    </row>
    <row r="663" spans="1:17" s="30" customFormat="1" x14ac:dyDescent="0.2">
      <c r="A663" s="30" t="str">
        <f>IF(C663&amp;G663&amp;D663&lt;&gt;'Funnel setup'!$K$3&amp;'Funnel setup'!$K$4&amp;'Funnel setup'!$K$5,".",IF(A662=".",1,A662+1))</f>
        <v>.</v>
      </c>
      <c r="B663" s="431" t="str">
        <f t="shared" si="10"/>
        <v>Groin HerniaProviderTHE DUDLEY GROUP NHS FOUNDATION TRUST (RNA)EQ VAS</v>
      </c>
      <c r="C663" t="s">
        <v>50</v>
      </c>
      <c r="D663" t="s">
        <v>1</v>
      </c>
      <c r="E663" t="s">
        <v>3121</v>
      </c>
      <c r="F663" t="s">
        <v>3122</v>
      </c>
      <c r="G663" t="s">
        <v>179</v>
      </c>
      <c r="H663">
        <v>146</v>
      </c>
      <c r="I663">
        <v>82.924999999999997</v>
      </c>
      <c r="J663">
        <v>79.411000000000001</v>
      </c>
      <c r="K663">
        <v>-3.5139999999999998</v>
      </c>
      <c r="L663">
        <v>44</v>
      </c>
      <c r="M663">
        <v>25</v>
      </c>
      <c r="N663">
        <v>77</v>
      </c>
      <c r="O663">
        <v>77.966999999999999</v>
      </c>
      <c r="P663">
        <v>-2.6782631370000001</v>
      </c>
      <c r="Q663">
        <v>11.717000000000001</v>
      </c>
    </row>
    <row r="664" spans="1:17" s="30" customFormat="1" x14ac:dyDescent="0.2">
      <c r="A664" s="30" t="str">
        <f>IF(C664&amp;G664&amp;D664&lt;&gt;'Funnel setup'!$K$3&amp;'Funnel setup'!$K$4&amp;'Funnel setup'!$K$5,".",IF(A663=".",1,A663+1))</f>
        <v>.</v>
      </c>
      <c r="B664" s="431" t="str">
        <f t="shared" si="10"/>
        <v>Groin HerniaProviderTHE HILLINGDON HOSPITALS NHS FOUNDATION TRUST (RAS)EQ VAS</v>
      </c>
      <c r="C664" t="s">
        <v>50</v>
      </c>
      <c r="D664" t="s">
        <v>1</v>
      </c>
      <c r="E664" t="s">
        <v>3115</v>
      </c>
      <c r="F664" t="s">
        <v>3116</v>
      </c>
      <c r="G664" t="s">
        <v>179</v>
      </c>
      <c r="H664">
        <v>44</v>
      </c>
      <c r="I664">
        <v>79.090999999999994</v>
      </c>
      <c r="J664">
        <v>80.659000000000006</v>
      </c>
      <c r="K664">
        <v>1.5680000000000001</v>
      </c>
      <c r="L664">
        <v>20</v>
      </c>
      <c r="M664">
        <v>8</v>
      </c>
      <c r="N664">
        <v>16</v>
      </c>
      <c r="O664">
        <v>81.972999999999999</v>
      </c>
      <c r="P664">
        <v>1.327219798</v>
      </c>
      <c r="Q664">
        <v>13.952</v>
      </c>
    </row>
    <row r="665" spans="1:17" s="30" customFormat="1" x14ac:dyDescent="0.2">
      <c r="A665" s="30" t="str">
        <f>IF(C665&amp;G665&amp;D665&lt;&gt;'Funnel setup'!$K$3&amp;'Funnel setup'!$K$4&amp;'Funnel setup'!$K$5,".",IF(A664=".",1,A664+1))</f>
        <v>.</v>
      </c>
      <c r="B665" s="431" t="str">
        <f t="shared" si="10"/>
        <v>Groin HerniaProviderTHE NEWCASTLE UPON TYNE HOSPITALS NHS FOUNDATION TRUST (RTD)EQ VAS</v>
      </c>
      <c r="C665" t="s">
        <v>50</v>
      </c>
      <c r="D665" t="s">
        <v>1</v>
      </c>
      <c r="E665" t="s">
        <v>3748</v>
      </c>
      <c r="F665" t="s">
        <v>3749</v>
      </c>
      <c r="G665" t="s">
        <v>179</v>
      </c>
      <c r="H665">
        <v>35</v>
      </c>
      <c r="I665">
        <v>79.228999999999999</v>
      </c>
      <c r="J665">
        <v>82.257000000000005</v>
      </c>
      <c r="K665">
        <v>3.0289999999999999</v>
      </c>
      <c r="L665">
        <v>19</v>
      </c>
      <c r="M665">
        <v>5</v>
      </c>
      <c r="N665">
        <v>11</v>
      </c>
      <c r="O665">
        <v>82.459000000000003</v>
      </c>
      <c r="P665">
        <v>1.8139772000000001</v>
      </c>
      <c r="Q665">
        <v>11.76</v>
      </c>
    </row>
    <row r="666" spans="1:17" s="30" customFormat="1" x14ac:dyDescent="0.2">
      <c r="A666" s="30" t="str">
        <f>IF(C666&amp;G666&amp;D666&lt;&gt;'Funnel setup'!$K$3&amp;'Funnel setup'!$K$4&amp;'Funnel setup'!$K$5,".",IF(A665=".",1,A665+1))</f>
        <v>.</v>
      </c>
      <c r="B666" s="431" t="str">
        <f t="shared" si="10"/>
        <v>Groin HerniaProviderTHE PRINCESS ALEXANDRA HOSPITAL NHS TRUST (RQW)EQ VAS</v>
      </c>
      <c r="C666" t="s">
        <v>50</v>
      </c>
      <c r="D666" t="s">
        <v>1</v>
      </c>
      <c r="E666" t="s">
        <v>3751</v>
      </c>
      <c r="F666" t="s">
        <v>3752</v>
      </c>
      <c r="G666" t="s">
        <v>179</v>
      </c>
      <c r="H666">
        <v>58</v>
      </c>
      <c r="I666">
        <v>73.483000000000004</v>
      </c>
      <c r="J666">
        <v>74.638000000000005</v>
      </c>
      <c r="K666">
        <v>1.155</v>
      </c>
      <c r="L666">
        <v>24</v>
      </c>
      <c r="M666">
        <v>10</v>
      </c>
      <c r="N666">
        <v>24</v>
      </c>
      <c r="O666">
        <v>77.510999999999996</v>
      </c>
      <c r="P666">
        <v>-3.1347876810000002</v>
      </c>
      <c r="Q666">
        <v>15.925000000000001</v>
      </c>
    </row>
    <row r="667" spans="1:17" s="30" customFormat="1" x14ac:dyDescent="0.2">
      <c r="A667" s="30" t="str">
        <f>IF(C667&amp;G667&amp;D667&lt;&gt;'Funnel setup'!$K$3&amp;'Funnel setup'!$K$4&amp;'Funnel setup'!$K$5,".",IF(A666=".",1,A666+1))</f>
        <v>.</v>
      </c>
      <c r="B667" s="431" t="str">
        <f t="shared" si="10"/>
        <v>Groin HerniaProviderTHE QUEEN ELIZABETH HOSPITAL, KING'S LYNN, NHS FOUNDATION TRUST (RCX)EQ VAS</v>
      </c>
      <c r="C667" t="s">
        <v>50</v>
      </c>
      <c r="D667" t="s">
        <v>1</v>
      </c>
      <c r="E667" t="s">
        <v>3754</v>
      </c>
      <c r="F667" t="s">
        <v>3755</v>
      </c>
      <c r="G667" t="s">
        <v>179</v>
      </c>
      <c r="H667">
        <v>62</v>
      </c>
      <c r="I667">
        <v>79.805999999999997</v>
      </c>
      <c r="J667">
        <v>78.403000000000006</v>
      </c>
      <c r="K667">
        <v>-1.403</v>
      </c>
      <c r="L667">
        <v>22</v>
      </c>
      <c r="M667">
        <v>14</v>
      </c>
      <c r="N667">
        <v>26</v>
      </c>
      <c r="O667">
        <v>80.204999999999998</v>
      </c>
      <c r="P667">
        <v>-0.44030327400000002</v>
      </c>
      <c r="Q667">
        <v>10.632</v>
      </c>
    </row>
    <row r="668" spans="1:17" s="30" customFormat="1" x14ac:dyDescent="0.2">
      <c r="A668" s="30" t="str">
        <f>IF(C668&amp;G668&amp;D668&lt;&gt;'Funnel setup'!$K$3&amp;'Funnel setup'!$K$4&amp;'Funnel setup'!$K$5,".",IF(A667=".",1,A667+1))</f>
        <v>.</v>
      </c>
      <c r="B668" s="431" t="str">
        <f t="shared" si="10"/>
        <v>Groin HerniaProviderTHE ROTHERHAM NHS FOUNDATION TRUST (RFR)EQ VAS</v>
      </c>
      <c r="C668" t="s">
        <v>50</v>
      </c>
      <c r="D668" t="s">
        <v>1</v>
      </c>
      <c r="E668" t="s">
        <v>3739</v>
      </c>
      <c r="F668" t="s">
        <v>3740</v>
      </c>
      <c r="G668" t="s">
        <v>179</v>
      </c>
      <c r="H668">
        <v>63</v>
      </c>
      <c r="I668">
        <v>78.111000000000004</v>
      </c>
      <c r="J668">
        <v>79.856999999999999</v>
      </c>
      <c r="K668">
        <v>1.746</v>
      </c>
      <c r="L668">
        <v>25</v>
      </c>
      <c r="M668">
        <v>14</v>
      </c>
      <c r="N668">
        <v>24</v>
      </c>
      <c r="O668">
        <v>82.073999999999998</v>
      </c>
      <c r="P668">
        <v>1.428149898</v>
      </c>
      <c r="Q668">
        <v>11.315</v>
      </c>
    </row>
    <row r="669" spans="1:17" s="30" customFormat="1" x14ac:dyDescent="0.2">
      <c r="A669" s="30" t="str">
        <f>IF(C669&amp;G669&amp;D669&lt;&gt;'Funnel setup'!$K$3&amp;'Funnel setup'!$K$4&amp;'Funnel setup'!$K$5,".",IF(A668=".",1,A668+1))</f>
        <v>.</v>
      </c>
      <c r="B669" s="431" t="str">
        <f t="shared" si="10"/>
        <v>Groin HerniaProviderTHE ROYAL BOURNEMOUTH AND CHRISTCHURCH HOSPITALS NHS FOUNDATION TRUST (RDZ)EQ VAS</v>
      </c>
      <c r="C669" t="s">
        <v>50</v>
      </c>
      <c r="D669" t="s">
        <v>1</v>
      </c>
      <c r="E669" t="s">
        <v>3742</v>
      </c>
      <c r="F669" t="s">
        <v>3743</v>
      </c>
      <c r="G669" t="s">
        <v>179</v>
      </c>
      <c r="H669">
        <v>46</v>
      </c>
      <c r="I669">
        <v>77</v>
      </c>
      <c r="J669">
        <v>74.977999999999994</v>
      </c>
      <c r="K669">
        <v>-2.0219999999999998</v>
      </c>
      <c r="L669">
        <v>13</v>
      </c>
      <c r="M669">
        <v>12</v>
      </c>
      <c r="N669">
        <v>21</v>
      </c>
      <c r="O669">
        <v>77.712000000000003</v>
      </c>
      <c r="P669">
        <v>-2.9331256309999998</v>
      </c>
      <c r="Q669">
        <v>14.061</v>
      </c>
    </row>
    <row r="670" spans="1:17" s="30" customFormat="1" x14ac:dyDescent="0.2">
      <c r="A670" s="30" t="str">
        <f>IF(C670&amp;G670&amp;D670&lt;&gt;'Funnel setup'!$K$3&amp;'Funnel setup'!$K$4&amp;'Funnel setup'!$K$5,".",IF(A669=".",1,A669+1))</f>
        <v>.</v>
      </c>
      <c r="B670" s="431" t="str">
        <f t="shared" si="10"/>
        <v>Groin HerniaProviderTHE ROYAL WOLVERHAMPTON NHS TRUST (RL4)EQ VAS</v>
      </c>
      <c r="C670" t="s">
        <v>50</v>
      </c>
      <c r="D670" t="s">
        <v>1</v>
      </c>
      <c r="E670" t="s">
        <v>3382</v>
      </c>
      <c r="F670" t="s">
        <v>3383</v>
      </c>
      <c r="G670" t="s">
        <v>179</v>
      </c>
      <c r="H670">
        <v>135</v>
      </c>
      <c r="I670">
        <v>79.185000000000002</v>
      </c>
      <c r="J670">
        <v>77.578000000000003</v>
      </c>
      <c r="K670">
        <v>-1.607</v>
      </c>
      <c r="L670">
        <v>44</v>
      </c>
      <c r="M670">
        <v>28</v>
      </c>
      <c r="N670">
        <v>63</v>
      </c>
      <c r="O670">
        <v>78.95</v>
      </c>
      <c r="P670">
        <v>-1.695761375</v>
      </c>
      <c r="Q670">
        <v>13.242000000000001</v>
      </c>
    </row>
    <row r="671" spans="1:17" s="30" customFormat="1" x14ac:dyDescent="0.2">
      <c r="A671" s="30" t="str">
        <f>IF(C671&amp;G671&amp;D671&lt;&gt;'Funnel setup'!$K$3&amp;'Funnel setup'!$K$4&amp;'Funnel setup'!$K$5,".",IF(A670=".",1,A670+1))</f>
        <v>.</v>
      </c>
      <c r="B671" s="431" t="str">
        <f t="shared" si="10"/>
        <v>Groin HerniaProviderTHE SPENCER WING (RAMSGATE ROAD) (NN801)EQ VAS</v>
      </c>
      <c r="C671" t="s">
        <v>50</v>
      </c>
      <c r="D671" t="s">
        <v>1</v>
      </c>
      <c r="E671" t="s">
        <v>3757</v>
      </c>
      <c r="F671" t="s">
        <v>3758</v>
      </c>
      <c r="G671" t="s">
        <v>179</v>
      </c>
      <c r="H671" t="s">
        <v>53</v>
      </c>
      <c r="I671" t="s">
        <v>53</v>
      </c>
      <c r="J671" t="s">
        <v>53</v>
      </c>
      <c r="K671" t="s">
        <v>53</v>
      </c>
      <c r="L671" t="s">
        <v>53</v>
      </c>
      <c r="M671" t="s">
        <v>53</v>
      </c>
      <c r="N671" t="s">
        <v>53</v>
      </c>
      <c r="O671" t="s">
        <v>53</v>
      </c>
      <c r="P671" t="s">
        <v>53</v>
      </c>
      <c r="Q671" t="s">
        <v>53</v>
      </c>
    </row>
    <row r="672" spans="1:17" s="30" customFormat="1" x14ac:dyDescent="0.2">
      <c r="A672" s="30" t="str">
        <f>IF(C672&amp;G672&amp;D672&lt;&gt;'Funnel setup'!$K$3&amp;'Funnel setup'!$K$4&amp;'Funnel setup'!$K$5,".",IF(A671=".",1,A671+1))</f>
        <v>.</v>
      </c>
      <c r="B672" s="431" t="str">
        <f t="shared" si="10"/>
        <v>Groin HerniaProviderTHE WESTBOURNE CENTRE (NVC44)EQ VAS</v>
      </c>
      <c r="C672" t="s">
        <v>50</v>
      </c>
      <c r="D672" t="s">
        <v>1</v>
      </c>
      <c r="E672" t="s">
        <v>3775</v>
      </c>
      <c r="F672" t="s">
        <v>3776</v>
      </c>
      <c r="G672" t="s">
        <v>179</v>
      </c>
      <c r="H672" t="s">
        <v>53</v>
      </c>
      <c r="I672" t="s">
        <v>53</v>
      </c>
      <c r="J672" t="s">
        <v>53</v>
      </c>
      <c r="K672" t="s">
        <v>53</v>
      </c>
      <c r="L672" t="s">
        <v>53</v>
      </c>
      <c r="M672" t="s">
        <v>53</v>
      </c>
      <c r="N672" t="s">
        <v>53</v>
      </c>
      <c r="O672" t="s">
        <v>53</v>
      </c>
      <c r="P672" t="s">
        <v>53</v>
      </c>
      <c r="Q672" t="s">
        <v>53</v>
      </c>
    </row>
    <row r="673" spans="1:17" s="30" customFormat="1" x14ac:dyDescent="0.2">
      <c r="A673" s="30" t="str">
        <f>IF(C673&amp;G673&amp;D673&lt;&gt;'Funnel setup'!$K$3&amp;'Funnel setup'!$K$4&amp;'Funnel setup'!$K$5,".",IF(A672=".",1,A672+1))</f>
        <v>.</v>
      </c>
      <c r="B673" s="431" t="str">
        <f t="shared" si="10"/>
        <v>Groin HerniaProviderTHE WHITTINGTON HOSPITAL NHS TRUST (RKE)EQ VAS</v>
      </c>
      <c r="C673" t="s">
        <v>50</v>
      </c>
      <c r="D673" t="s">
        <v>1</v>
      </c>
      <c r="E673" t="s">
        <v>6529</v>
      </c>
      <c r="F673" t="s">
        <v>6530</v>
      </c>
      <c r="G673" t="s">
        <v>179</v>
      </c>
      <c r="H673" t="s">
        <v>53</v>
      </c>
      <c r="I673" t="s">
        <v>53</v>
      </c>
      <c r="J673" t="s">
        <v>53</v>
      </c>
      <c r="K673" t="s">
        <v>53</v>
      </c>
      <c r="L673" t="s">
        <v>53</v>
      </c>
      <c r="M673" t="s">
        <v>53</v>
      </c>
      <c r="N673" t="s">
        <v>53</v>
      </c>
      <c r="O673" t="s">
        <v>53</v>
      </c>
      <c r="P673" t="s">
        <v>53</v>
      </c>
      <c r="Q673" t="s">
        <v>53</v>
      </c>
    </row>
    <row r="674" spans="1:17" s="30" customFormat="1" x14ac:dyDescent="0.2">
      <c r="A674" s="30" t="str">
        <f>IF(C674&amp;G674&amp;D674&lt;&gt;'Funnel setup'!$K$3&amp;'Funnel setup'!$K$4&amp;'Funnel setup'!$K$5,".",IF(A673=".",1,A673+1))</f>
        <v>.</v>
      </c>
      <c r="B674" s="431" t="str">
        <f t="shared" si="10"/>
        <v>Groin HerniaProviderTHE YORKSHIRE CLINIC (NVC20)EQ VAS</v>
      </c>
      <c r="C674" t="s">
        <v>50</v>
      </c>
      <c r="D674" t="s">
        <v>1</v>
      </c>
      <c r="E674" t="s">
        <v>3760</v>
      </c>
      <c r="F674" t="s">
        <v>3761</v>
      </c>
      <c r="G674" t="s">
        <v>179</v>
      </c>
      <c r="H674">
        <v>28</v>
      </c>
      <c r="I674">
        <v>82.286000000000001</v>
      </c>
      <c r="J674">
        <v>78.929000000000002</v>
      </c>
      <c r="K674">
        <v>-3.3570000000000002</v>
      </c>
      <c r="L674">
        <v>10</v>
      </c>
      <c r="M674">
        <v>3</v>
      </c>
      <c r="N674">
        <v>15</v>
      </c>
      <c r="O674" t="s">
        <v>53</v>
      </c>
      <c r="P674" t="s">
        <v>53</v>
      </c>
      <c r="Q674" t="s">
        <v>53</v>
      </c>
    </row>
    <row r="675" spans="1:17" s="30" customFormat="1" x14ac:dyDescent="0.2">
      <c r="A675" s="30" t="str">
        <f>IF(C675&amp;G675&amp;D675&lt;&gt;'Funnel setup'!$K$3&amp;'Funnel setup'!$K$4&amp;'Funnel setup'!$K$5,".",IF(A674=".",1,A674+1))</f>
        <v>.</v>
      </c>
      <c r="B675" s="431" t="str">
        <f t="shared" si="10"/>
        <v>Groin HerniaProviderTORBAY AND SOUTH DEVON NHS FOUNDATION TRUST (RA9)EQ VAS</v>
      </c>
      <c r="C675" t="s">
        <v>50</v>
      </c>
      <c r="D675" t="s">
        <v>1</v>
      </c>
      <c r="E675" t="s">
        <v>3480</v>
      </c>
      <c r="F675" t="s">
        <v>6584</v>
      </c>
      <c r="G675" t="s">
        <v>179</v>
      </c>
      <c r="H675">
        <v>23</v>
      </c>
      <c r="I675">
        <v>81.956999999999994</v>
      </c>
      <c r="J675">
        <v>77.956999999999994</v>
      </c>
      <c r="K675">
        <v>-4</v>
      </c>
      <c r="L675">
        <v>9</v>
      </c>
      <c r="M675">
        <v>2</v>
      </c>
      <c r="N675">
        <v>12</v>
      </c>
      <c r="O675" t="s">
        <v>53</v>
      </c>
      <c r="P675" t="s">
        <v>53</v>
      </c>
      <c r="Q675" t="s">
        <v>53</v>
      </c>
    </row>
    <row r="676" spans="1:17" s="30" customFormat="1" x14ac:dyDescent="0.2">
      <c r="A676" s="30" t="str">
        <f>IF(C676&amp;G676&amp;D676&lt;&gt;'Funnel setup'!$K$3&amp;'Funnel setup'!$K$4&amp;'Funnel setup'!$K$5,".",IF(A675=".",1,A675+1))</f>
        <v>.</v>
      </c>
      <c r="B676" s="431" t="str">
        <f t="shared" si="10"/>
        <v>Groin HerniaProviderUNITED LINCOLNSHIRE HOSPITALS NHS TRUST (RWD)EQ VAS</v>
      </c>
      <c r="C676" t="s">
        <v>50</v>
      </c>
      <c r="D676" t="s">
        <v>1</v>
      </c>
      <c r="E676" t="s">
        <v>3763</v>
      </c>
      <c r="F676" t="s">
        <v>3764</v>
      </c>
      <c r="G676" t="s">
        <v>179</v>
      </c>
      <c r="H676">
        <v>142</v>
      </c>
      <c r="I676">
        <v>80.507000000000005</v>
      </c>
      <c r="J676">
        <v>79.5</v>
      </c>
      <c r="K676">
        <v>-1.0069999999999999</v>
      </c>
      <c r="L676">
        <v>54</v>
      </c>
      <c r="M676">
        <v>21</v>
      </c>
      <c r="N676">
        <v>67</v>
      </c>
      <c r="O676">
        <v>80.551000000000002</v>
      </c>
      <c r="P676">
        <v>-9.4074844000000005E-2</v>
      </c>
      <c r="Q676">
        <v>12.798</v>
      </c>
    </row>
    <row r="677" spans="1:17" s="30" customFormat="1" x14ac:dyDescent="0.2">
      <c r="A677" s="30" t="str">
        <f>IF(C677&amp;G677&amp;D677&lt;&gt;'Funnel setup'!$K$3&amp;'Funnel setup'!$K$4&amp;'Funnel setup'!$K$5,".",IF(A676=".",1,A676+1))</f>
        <v>.</v>
      </c>
      <c r="B677" s="431" t="str">
        <f t="shared" si="10"/>
        <v>Groin HerniaProviderUNIVERSITY COLLEGE LONDON HOSPITALS NHS FOUNDATION TRUST (RRV)EQ VAS</v>
      </c>
      <c r="C677" t="s">
        <v>50</v>
      </c>
      <c r="D677" t="s">
        <v>1</v>
      </c>
      <c r="E677" t="s">
        <v>3766</v>
      </c>
      <c r="F677" t="s">
        <v>3767</v>
      </c>
      <c r="G677" t="s">
        <v>179</v>
      </c>
      <c r="H677">
        <v>64</v>
      </c>
      <c r="I677">
        <v>80.828000000000003</v>
      </c>
      <c r="J677">
        <v>79.858999999999995</v>
      </c>
      <c r="K677">
        <v>-0.96899999999999997</v>
      </c>
      <c r="L677">
        <v>24</v>
      </c>
      <c r="M677">
        <v>12</v>
      </c>
      <c r="N677">
        <v>28</v>
      </c>
      <c r="O677">
        <v>80.774000000000001</v>
      </c>
      <c r="P677">
        <v>0.12875711500000001</v>
      </c>
      <c r="Q677">
        <v>10.667999999999999</v>
      </c>
    </row>
    <row r="678" spans="1:17" s="30" customFormat="1" x14ac:dyDescent="0.2">
      <c r="A678" s="30" t="str">
        <f>IF(C678&amp;G678&amp;D678&lt;&gt;'Funnel setup'!$K$3&amp;'Funnel setup'!$K$4&amp;'Funnel setup'!$K$5,".",IF(A677=".",1,A677+1))</f>
        <v>.</v>
      </c>
      <c r="B678" s="431" t="str">
        <f t="shared" si="10"/>
        <v>Groin HerniaProviderUNIVERSITY HOSPITAL OF SOUTH MANCHESTER NHS FOUNDATION TRUST (RM2)EQ VAS</v>
      </c>
      <c r="C678" t="s">
        <v>50</v>
      </c>
      <c r="D678" t="s">
        <v>1</v>
      </c>
      <c r="E678" t="s">
        <v>3769</v>
      </c>
      <c r="F678" t="s">
        <v>3770</v>
      </c>
      <c r="G678" t="s">
        <v>179</v>
      </c>
      <c r="H678">
        <v>80</v>
      </c>
      <c r="I678">
        <v>82.313000000000002</v>
      </c>
      <c r="J678">
        <v>79.349999999999994</v>
      </c>
      <c r="K678">
        <v>-2.9620000000000002</v>
      </c>
      <c r="L678">
        <v>23</v>
      </c>
      <c r="M678">
        <v>18</v>
      </c>
      <c r="N678">
        <v>39</v>
      </c>
      <c r="O678">
        <v>78.873999999999995</v>
      </c>
      <c r="P678">
        <v>-1.771787437</v>
      </c>
      <c r="Q678">
        <v>13.186</v>
      </c>
    </row>
    <row r="679" spans="1:17" s="30" customFormat="1" x14ac:dyDescent="0.2">
      <c r="A679" s="30" t="str">
        <f>IF(C679&amp;G679&amp;D679&lt;&gt;'Funnel setup'!$K$3&amp;'Funnel setup'!$K$4&amp;'Funnel setup'!$K$5,".",IF(A678=".",1,A678+1))</f>
        <v>.</v>
      </c>
      <c r="B679" s="431" t="str">
        <f t="shared" si="10"/>
        <v>Groin HerniaProviderUNIVERSITY HOSPITAL SOUTHAMPTON NHS FOUNDATION TRUST (RHM)EQ VAS</v>
      </c>
      <c r="C679" t="s">
        <v>50</v>
      </c>
      <c r="D679" t="s">
        <v>1</v>
      </c>
      <c r="E679" t="s">
        <v>3772</v>
      </c>
      <c r="F679" t="s">
        <v>3773</v>
      </c>
      <c r="G679" t="s">
        <v>179</v>
      </c>
      <c r="H679">
        <v>21</v>
      </c>
      <c r="I679">
        <v>66.905000000000001</v>
      </c>
      <c r="J679">
        <v>69.332999999999998</v>
      </c>
      <c r="K679">
        <v>2.4289999999999998</v>
      </c>
      <c r="L679">
        <v>7</v>
      </c>
      <c r="M679">
        <v>3</v>
      </c>
      <c r="N679">
        <v>11</v>
      </c>
      <c r="O679" t="s">
        <v>53</v>
      </c>
      <c r="P679" t="s">
        <v>53</v>
      </c>
      <c r="Q679" t="s">
        <v>53</v>
      </c>
    </row>
    <row r="680" spans="1:17" s="30" customFormat="1" x14ac:dyDescent="0.2">
      <c r="A680" s="30" t="str">
        <f>IF(C680&amp;G680&amp;D680&lt;&gt;'Funnel setup'!$K$3&amp;'Funnel setup'!$K$4&amp;'Funnel setup'!$K$5,".",IF(A679=".",1,A679+1))</f>
        <v>.</v>
      </c>
      <c r="B680" s="431" t="str">
        <f t="shared" si="10"/>
        <v>Groin HerniaProviderUNIVERSITY HOSPITALS BIRMINGHAM NHS FOUNDATION TRUST (RRK)EQ VAS</v>
      </c>
      <c r="C680" t="s">
        <v>50</v>
      </c>
      <c r="D680" t="s">
        <v>1</v>
      </c>
      <c r="E680" t="s">
        <v>3778</v>
      </c>
      <c r="F680" t="s">
        <v>3779</v>
      </c>
      <c r="G680" t="s">
        <v>179</v>
      </c>
      <c r="H680">
        <v>109</v>
      </c>
      <c r="I680">
        <v>78.275000000000006</v>
      </c>
      <c r="J680">
        <v>79.063999999999993</v>
      </c>
      <c r="K680">
        <v>0.78900000000000003</v>
      </c>
      <c r="L680">
        <v>38</v>
      </c>
      <c r="M680">
        <v>28</v>
      </c>
      <c r="N680">
        <v>43</v>
      </c>
      <c r="O680">
        <v>80.903000000000006</v>
      </c>
      <c r="P680">
        <v>0.25771218299999998</v>
      </c>
      <c r="Q680">
        <v>12.121</v>
      </c>
    </row>
    <row r="681" spans="1:17" s="30" customFormat="1" x14ac:dyDescent="0.2">
      <c r="A681" s="30" t="str">
        <f>IF(C681&amp;G681&amp;D681&lt;&gt;'Funnel setup'!$K$3&amp;'Funnel setup'!$K$4&amp;'Funnel setup'!$K$5,".",IF(A680=".",1,A680+1))</f>
        <v>.</v>
      </c>
      <c r="B681" s="431" t="str">
        <f t="shared" si="10"/>
        <v>Groin HerniaProviderUNIVERSITY HOSPITALS BRISTOL NHS FOUNDATION TRUST (RA7)EQ VAS</v>
      </c>
      <c r="C681" t="s">
        <v>50</v>
      </c>
      <c r="D681" t="s">
        <v>1</v>
      </c>
      <c r="E681" t="s">
        <v>3835</v>
      </c>
      <c r="F681" t="s">
        <v>3836</v>
      </c>
      <c r="G681" t="s">
        <v>179</v>
      </c>
      <c r="H681">
        <v>22</v>
      </c>
      <c r="I681">
        <v>74.227000000000004</v>
      </c>
      <c r="J681">
        <v>75.090999999999994</v>
      </c>
      <c r="K681">
        <v>0.86399999999999999</v>
      </c>
      <c r="L681">
        <v>10</v>
      </c>
      <c r="M681">
        <v>6</v>
      </c>
      <c r="N681">
        <v>6</v>
      </c>
      <c r="O681" t="s">
        <v>53</v>
      </c>
      <c r="P681" t="s">
        <v>53</v>
      </c>
      <c r="Q681" t="s">
        <v>53</v>
      </c>
    </row>
    <row r="682" spans="1:17" s="30" customFormat="1" x14ac:dyDescent="0.2">
      <c r="A682" s="30" t="str">
        <f>IF(C682&amp;G682&amp;D682&lt;&gt;'Funnel setup'!$K$3&amp;'Funnel setup'!$K$4&amp;'Funnel setup'!$K$5,".",IF(A681=".",1,A681+1))</f>
        <v>.</v>
      </c>
      <c r="B682" s="431" t="str">
        <f t="shared" si="10"/>
        <v>Groin HerniaProviderUNIVERSITY HOSPITALS COVENTRY AND WARWICKSHIRE NHS TRUST (RKB)EQ VAS</v>
      </c>
      <c r="C682" t="s">
        <v>50</v>
      </c>
      <c r="D682" t="s">
        <v>1</v>
      </c>
      <c r="E682" t="s">
        <v>3715</v>
      </c>
      <c r="F682" t="s">
        <v>3716</v>
      </c>
      <c r="G682" t="s">
        <v>179</v>
      </c>
      <c r="H682">
        <v>31</v>
      </c>
      <c r="I682">
        <v>78.194000000000003</v>
      </c>
      <c r="J682">
        <v>78.031999999999996</v>
      </c>
      <c r="K682">
        <v>-0.161</v>
      </c>
      <c r="L682">
        <v>13</v>
      </c>
      <c r="M682">
        <v>8</v>
      </c>
      <c r="N682">
        <v>10</v>
      </c>
      <c r="O682">
        <v>80.114999999999995</v>
      </c>
      <c r="P682">
        <v>-0.530334694</v>
      </c>
      <c r="Q682">
        <v>12.154</v>
      </c>
    </row>
    <row r="683" spans="1:17" s="30" customFormat="1" x14ac:dyDescent="0.2">
      <c r="A683" s="30" t="str">
        <f>IF(C683&amp;G683&amp;D683&lt;&gt;'Funnel setup'!$K$3&amp;'Funnel setup'!$K$4&amp;'Funnel setup'!$K$5,".",IF(A682=".",1,A682+1))</f>
        <v>.</v>
      </c>
      <c r="B683" s="431" t="str">
        <f t="shared" si="10"/>
        <v>Groin HerniaProviderUNIVERSITY HOSPITALS OF LEICESTER NHS TRUST (RWE)EQ VAS</v>
      </c>
      <c r="C683" t="s">
        <v>50</v>
      </c>
      <c r="D683" t="s">
        <v>1</v>
      </c>
      <c r="E683" t="s">
        <v>3718</v>
      </c>
      <c r="F683" t="s">
        <v>3719</v>
      </c>
      <c r="G683" t="s">
        <v>179</v>
      </c>
      <c r="H683">
        <v>224</v>
      </c>
      <c r="I683">
        <v>80.597999999999999</v>
      </c>
      <c r="J683">
        <v>79.745999999999995</v>
      </c>
      <c r="K683">
        <v>-0.85299999999999998</v>
      </c>
      <c r="L683">
        <v>90</v>
      </c>
      <c r="M683">
        <v>36</v>
      </c>
      <c r="N683">
        <v>98</v>
      </c>
      <c r="O683">
        <v>80.385000000000005</v>
      </c>
      <c r="P683">
        <v>-0.26009829499999998</v>
      </c>
      <c r="Q683">
        <v>12.023999999999999</v>
      </c>
    </row>
    <row r="684" spans="1:17" s="30" customFormat="1" x14ac:dyDescent="0.2">
      <c r="A684" s="30" t="str">
        <f>IF(C684&amp;G684&amp;D684&lt;&gt;'Funnel setup'!$K$3&amp;'Funnel setup'!$K$4&amp;'Funnel setup'!$K$5,".",IF(A683=".",1,A683+1))</f>
        <v>.</v>
      </c>
      <c r="B684" s="431" t="str">
        <f t="shared" si="10"/>
        <v>Groin HerniaProviderUNIVERSITY HOSPITALS OF MORECAMBE BAY NHS FOUNDATION TRUST (RTX)EQ VAS</v>
      </c>
      <c r="C684" t="s">
        <v>50</v>
      </c>
      <c r="D684" t="s">
        <v>1</v>
      </c>
      <c r="E684" t="s">
        <v>3721</v>
      </c>
      <c r="F684" t="s">
        <v>3722</v>
      </c>
      <c r="G684" t="s">
        <v>179</v>
      </c>
      <c r="H684">
        <v>204</v>
      </c>
      <c r="I684">
        <v>82.558999999999997</v>
      </c>
      <c r="J684">
        <v>80.912000000000006</v>
      </c>
      <c r="K684">
        <v>-1.647</v>
      </c>
      <c r="L684">
        <v>70</v>
      </c>
      <c r="M684">
        <v>43</v>
      </c>
      <c r="N684">
        <v>91</v>
      </c>
      <c r="O684">
        <v>79.608000000000004</v>
      </c>
      <c r="P684">
        <v>-1.037797429</v>
      </c>
      <c r="Q684">
        <v>12.877000000000001</v>
      </c>
    </row>
    <row r="685" spans="1:17" s="30" customFormat="1" x14ac:dyDescent="0.2">
      <c r="A685" s="30" t="str">
        <f>IF(C685&amp;G685&amp;D685&lt;&gt;'Funnel setup'!$K$3&amp;'Funnel setup'!$K$4&amp;'Funnel setup'!$K$5,".",IF(A684=".",1,A684+1))</f>
        <v>.</v>
      </c>
      <c r="B685" s="431" t="str">
        <f t="shared" si="10"/>
        <v>Groin HerniaProviderUNIVERSITY HOSPITALS OF NORTH MIDLANDS NHS TRUST (RJE)EQ VAS</v>
      </c>
      <c r="C685" t="s">
        <v>50</v>
      </c>
      <c r="D685" t="s">
        <v>1</v>
      </c>
      <c r="E685" t="s">
        <v>3724</v>
      </c>
      <c r="F685" t="s">
        <v>3725</v>
      </c>
      <c r="G685" t="s">
        <v>179</v>
      </c>
      <c r="H685">
        <v>72</v>
      </c>
      <c r="I685">
        <v>80.305999999999997</v>
      </c>
      <c r="J685">
        <v>80.944000000000003</v>
      </c>
      <c r="K685">
        <v>0.63900000000000001</v>
      </c>
      <c r="L685">
        <v>24</v>
      </c>
      <c r="M685">
        <v>22</v>
      </c>
      <c r="N685">
        <v>26</v>
      </c>
      <c r="O685">
        <v>82.007000000000005</v>
      </c>
      <c r="P685">
        <v>1.3611967410000001</v>
      </c>
      <c r="Q685">
        <v>11.223000000000001</v>
      </c>
    </row>
    <row r="686" spans="1:17" s="30" customFormat="1" x14ac:dyDescent="0.2">
      <c r="A686" s="30" t="str">
        <f>IF(C686&amp;G686&amp;D686&lt;&gt;'Funnel setup'!$K$3&amp;'Funnel setup'!$K$4&amp;'Funnel setup'!$K$5,".",IF(A685=".",1,A685+1))</f>
        <v>.</v>
      </c>
      <c r="B686" s="431" t="str">
        <f t="shared" si="10"/>
        <v>Groin HerniaProviderWALSALL HEALTHCARE NHS TRUST (RBK)EQ VAS</v>
      </c>
      <c r="C686" t="s">
        <v>50</v>
      </c>
      <c r="D686" t="s">
        <v>1</v>
      </c>
      <c r="E686" t="s">
        <v>3727</v>
      </c>
      <c r="F686" t="s">
        <v>3728</v>
      </c>
      <c r="G686" t="s">
        <v>179</v>
      </c>
      <c r="H686">
        <v>61</v>
      </c>
      <c r="I686">
        <v>80.492000000000004</v>
      </c>
      <c r="J686">
        <v>80.180000000000007</v>
      </c>
      <c r="K686">
        <v>-0.311</v>
      </c>
      <c r="L686">
        <v>25</v>
      </c>
      <c r="M686">
        <v>12</v>
      </c>
      <c r="N686">
        <v>24</v>
      </c>
      <c r="O686">
        <v>80.581000000000003</v>
      </c>
      <c r="P686">
        <v>-6.4099049000000005E-2</v>
      </c>
      <c r="Q686">
        <v>12.186</v>
      </c>
    </row>
    <row r="687" spans="1:17" s="30" customFormat="1" x14ac:dyDescent="0.2">
      <c r="A687" s="30" t="str">
        <f>IF(C687&amp;G687&amp;D687&lt;&gt;'Funnel setup'!$K$3&amp;'Funnel setup'!$K$4&amp;'Funnel setup'!$K$5,".",IF(A686=".",1,A686+1))</f>
        <v>.</v>
      </c>
      <c r="B687" s="431" t="str">
        <f t="shared" si="10"/>
        <v>Groin HerniaProviderWARRINGTON AND HALTON HOSPITALS NHS FOUNDATION TRUST (RWW)EQ VAS</v>
      </c>
      <c r="C687" t="s">
        <v>50</v>
      </c>
      <c r="D687" t="s">
        <v>1</v>
      </c>
      <c r="E687" t="s">
        <v>3730</v>
      </c>
      <c r="F687" t="s">
        <v>3731</v>
      </c>
      <c r="G687" t="s">
        <v>179</v>
      </c>
      <c r="H687">
        <v>99</v>
      </c>
      <c r="I687">
        <v>80.888999999999996</v>
      </c>
      <c r="J687">
        <v>80.555999999999997</v>
      </c>
      <c r="K687">
        <v>-0.33300000000000002</v>
      </c>
      <c r="L687">
        <v>35</v>
      </c>
      <c r="M687">
        <v>19</v>
      </c>
      <c r="N687">
        <v>45</v>
      </c>
      <c r="O687">
        <v>80.173000000000002</v>
      </c>
      <c r="P687">
        <v>-0.47215094800000001</v>
      </c>
      <c r="Q687">
        <v>10.612</v>
      </c>
    </row>
    <row r="688" spans="1:17" s="30" customFormat="1" x14ac:dyDescent="0.2">
      <c r="A688" s="30" t="str">
        <f>IF(C688&amp;G688&amp;D688&lt;&gt;'Funnel setup'!$K$3&amp;'Funnel setup'!$K$4&amp;'Funnel setup'!$K$5,".",IF(A687=".",1,A687+1))</f>
        <v>.</v>
      </c>
      <c r="B688" s="431" t="str">
        <f t="shared" si="10"/>
        <v>Groin HerniaProviderWEST HERTFORDSHIRE HOSPITALS NHS TRUST (RWG)EQ VAS</v>
      </c>
      <c r="C688" t="s">
        <v>50</v>
      </c>
      <c r="D688" t="s">
        <v>1</v>
      </c>
      <c r="E688" t="s">
        <v>3733</v>
      </c>
      <c r="F688" t="s">
        <v>3734</v>
      </c>
      <c r="G688" t="s">
        <v>179</v>
      </c>
      <c r="H688">
        <v>213</v>
      </c>
      <c r="I688">
        <v>81.498000000000005</v>
      </c>
      <c r="J688">
        <v>81.201999999999998</v>
      </c>
      <c r="K688">
        <v>-0.29599999999999999</v>
      </c>
      <c r="L688">
        <v>79</v>
      </c>
      <c r="M688">
        <v>50</v>
      </c>
      <c r="N688">
        <v>84</v>
      </c>
      <c r="O688">
        <v>80.197999999999993</v>
      </c>
      <c r="P688">
        <v>-0.44756586799999998</v>
      </c>
      <c r="Q688">
        <v>12.407</v>
      </c>
    </row>
    <row r="689" spans="1:17" s="30" customFormat="1" x14ac:dyDescent="0.2">
      <c r="A689" s="30" t="str">
        <f>IF(C689&amp;G689&amp;D689&lt;&gt;'Funnel setup'!$K$3&amp;'Funnel setup'!$K$4&amp;'Funnel setup'!$K$5,".",IF(A688=".",1,A688+1))</f>
        <v>.</v>
      </c>
      <c r="B689" s="431" t="str">
        <f t="shared" si="10"/>
        <v>Groin HerniaProviderWEST MIDDLESEX UNIVERSITY HOSPITAL NHS TRUST (RFW)EQ VAS</v>
      </c>
      <c r="C689" t="s">
        <v>50</v>
      </c>
      <c r="D689" t="s">
        <v>1</v>
      </c>
      <c r="E689" t="s">
        <v>3736</v>
      </c>
      <c r="F689" t="s">
        <v>3737</v>
      </c>
      <c r="G689" t="s">
        <v>179</v>
      </c>
      <c r="H689">
        <v>30</v>
      </c>
      <c r="I689">
        <v>76.8</v>
      </c>
      <c r="J689">
        <v>75.832999999999998</v>
      </c>
      <c r="K689">
        <v>-0.96699999999999997</v>
      </c>
      <c r="L689">
        <v>8</v>
      </c>
      <c r="M689">
        <v>8</v>
      </c>
      <c r="N689">
        <v>14</v>
      </c>
      <c r="O689">
        <v>76.522999999999996</v>
      </c>
      <c r="P689">
        <v>-4.1226928039999997</v>
      </c>
      <c r="Q689">
        <v>19.068999999999999</v>
      </c>
    </row>
    <row r="690" spans="1:17" s="30" customFormat="1" x14ac:dyDescent="0.2">
      <c r="A690" s="30" t="str">
        <f>IF(C690&amp;G690&amp;D690&lt;&gt;'Funnel setup'!$K$3&amp;'Funnel setup'!$K$4&amp;'Funnel setup'!$K$5,".",IF(A689=".",1,A689+1))</f>
        <v>.</v>
      </c>
      <c r="B690" s="431" t="str">
        <f t="shared" si="10"/>
        <v>Groin HerniaProviderWEST MIDLANDS HOSPITAL (NVC21)EQ VAS</v>
      </c>
      <c r="C690" t="s">
        <v>50</v>
      </c>
      <c r="D690" t="s">
        <v>1</v>
      </c>
      <c r="E690" t="s">
        <v>3709</v>
      </c>
      <c r="F690" t="s">
        <v>3710</v>
      </c>
      <c r="G690" t="s">
        <v>179</v>
      </c>
      <c r="H690">
        <v>40</v>
      </c>
      <c r="I690">
        <v>84.05</v>
      </c>
      <c r="J690">
        <v>79.900000000000006</v>
      </c>
      <c r="K690">
        <v>-4.1500000000000004</v>
      </c>
      <c r="L690">
        <v>10</v>
      </c>
      <c r="M690">
        <v>7</v>
      </c>
      <c r="N690">
        <v>23</v>
      </c>
      <c r="O690">
        <v>78.626999999999995</v>
      </c>
      <c r="P690">
        <v>-2.018635674</v>
      </c>
      <c r="Q690">
        <v>11.701000000000001</v>
      </c>
    </row>
    <row r="691" spans="1:17" s="30" customFormat="1" x14ac:dyDescent="0.2">
      <c r="A691" s="30" t="str">
        <f>IF(C691&amp;G691&amp;D691&lt;&gt;'Funnel setup'!$K$3&amp;'Funnel setup'!$K$4&amp;'Funnel setup'!$K$5,".",IF(A690=".",1,A690+1))</f>
        <v>.</v>
      </c>
      <c r="B691" s="431" t="str">
        <f t="shared" si="10"/>
        <v>Groin HerniaProviderWEST SUFFOLK NHS FOUNDATION TRUST (RGR)EQ VAS</v>
      </c>
      <c r="C691" t="s">
        <v>50</v>
      </c>
      <c r="D691" t="s">
        <v>1</v>
      </c>
      <c r="E691" t="s">
        <v>3712</v>
      </c>
      <c r="F691" t="s">
        <v>3713</v>
      </c>
      <c r="G691" t="s">
        <v>179</v>
      </c>
      <c r="H691">
        <v>152</v>
      </c>
      <c r="I691">
        <v>79.650999999999996</v>
      </c>
      <c r="J691">
        <v>78.867999999999995</v>
      </c>
      <c r="K691">
        <v>-0.78300000000000003</v>
      </c>
      <c r="L691">
        <v>60</v>
      </c>
      <c r="M691">
        <v>30</v>
      </c>
      <c r="N691">
        <v>62</v>
      </c>
      <c r="O691">
        <v>79.564999999999998</v>
      </c>
      <c r="P691">
        <v>-1.080204699</v>
      </c>
      <c r="Q691">
        <v>14.535</v>
      </c>
    </row>
    <row r="692" spans="1:17" s="30" customFormat="1" x14ac:dyDescent="0.2">
      <c r="A692" s="30" t="str">
        <f>IF(C692&amp;G692&amp;D692&lt;&gt;'Funnel setup'!$K$3&amp;'Funnel setup'!$K$4&amp;'Funnel setup'!$K$5,".",IF(A691=".",1,A691+1))</f>
        <v>.</v>
      </c>
      <c r="B692" s="431" t="str">
        <f t="shared" si="10"/>
        <v>Groin HerniaProviderWESTERN SUSSEX HOSPITALS NHS FOUNDATION TRUST (RYR)EQ VAS</v>
      </c>
      <c r="C692" t="s">
        <v>50</v>
      </c>
      <c r="D692" t="s">
        <v>1</v>
      </c>
      <c r="E692" t="s">
        <v>3706</v>
      </c>
      <c r="F692" t="s">
        <v>3707</v>
      </c>
      <c r="G692" t="s">
        <v>179</v>
      </c>
      <c r="H692">
        <v>113</v>
      </c>
      <c r="I692">
        <v>77.363</v>
      </c>
      <c r="J692">
        <v>76.087999999999994</v>
      </c>
      <c r="K692">
        <v>-1.274</v>
      </c>
      <c r="L692">
        <v>40</v>
      </c>
      <c r="M692">
        <v>24</v>
      </c>
      <c r="N692">
        <v>49</v>
      </c>
      <c r="O692">
        <v>77.941999999999993</v>
      </c>
      <c r="P692">
        <v>-2.7030421100000002</v>
      </c>
      <c r="Q692">
        <v>12.476000000000001</v>
      </c>
    </row>
    <row r="693" spans="1:17" s="30" customFormat="1" x14ac:dyDescent="0.2">
      <c r="A693" s="30" t="str">
        <f>IF(C693&amp;G693&amp;D693&lt;&gt;'Funnel setup'!$K$3&amp;'Funnel setup'!$K$4&amp;'Funnel setup'!$K$5,".",IF(A692=".",1,A692+1))</f>
        <v>.</v>
      </c>
      <c r="B693" s="431" t="str">
        <f t="shared" si="10"/>
        <v>Groin HerniaProviderWESTON AREA HEALTH NHS TRUST (RA3)EQ VAS</v>
      </c>
      <c r="C693" t="s">
        <v>50</v>
      </c>
      <c r="D693" t="s">
        <v>1</v>
      </c>
      <c r="E693" t="s">
        <v>3525</v>
      </c>
      <c r="F693" t="s">
        <v>3526</v>
      </c>
      <c r="G693" t="s">
        <v>179</v>
      </c>
      <c r="H693">
        <v>19</v>
      </c>
      <c r="I693">
        <v>78.052999999999997</v>
      </c>
      <c r="J693">
        <v>76.158000000000001</v>
      </c>
      <c r="K693">
        <v>-1.895</v>
      </c>
      <c r="L693">
        <v>10</v>
      </c>
      <c r="M693">
        <v>2</v>
      </c>
      <c r="N693">
        <v>7</v>
      </c>
      <c r="O693" t="s">
        <v>53</v>
      </c>
      <c r="P693" t="s">
        <v>53</v>
      </c>
      <c r="Q693" t="s">
        <v>53</v>
      </c>
    </row>
    <row r="694" spans="1:17" s="30" customFormat="1" x14ac:dyDescent="0.2">
      <c r="A694" s="30" t="str">
        <f>IF(C694&amp;G694&amp;D694&lt;&gt;'Funnel setup'!$K$3&amp;'Funnel setup'!$K$4&amp;'Funnel setup'!$K$5,".",IF(A693=".",1,A693+1))</f>
        <v>.</v>
      </c>
      <c r="B694" s="431" t="str">
        <f t="shared" si="10"/>
        <v>Groin HerniaProviderWHITE HORSE HEALTH CENTRE - IHG (NXP17)EQ VAS</v>
      </c>
      <c r="C694" t="s">
        <v>50</v>
      </c>
      <c r="D694" t="s">
        <v>1</v>
      </c>
      <c r="E694" t="s">
        <v>3694</v>
      </c>
      <c r="F694" t="s">
        <v>3695</v>
      </c>
      <c r="G694" t="s">
        <v>179</v>
      </c>
      <c r="H694">
        <v>7</v>
      </c>
      <c r="I694">
        <v>83.856999999999999</v>
      </c>
      <c r="J694">
        <v>80.429000000000002</v>
      </c>
      <c r="K694">
        <v>-3.4289999999999998</v>
      </c>
      <c r="L694">
        <v>2</v>
      </c>
      <c r="M694">
        <v>2</v>
      </c>
      <c r="N694">
        <v>3</v>
      </c>
      <c r="O694" t="s">
        <v>53</v>
      </c>
      <c r="P694" t="s">
        <v>53</v>
      </c>
      <c r="Q694" t="s">
        <v>53</v>
      </c>
    </row>
    <row r="695" spans="1:17" s="30" customFormat="1" x14ac:dyDescent="0.2">
      <c r="A695" s="30" t="str">
        <f>IF(C695&amp;G695&amp;D695&lt;&gt;'Funnel setup'!$K$3&amp;'Funnel setup'!$K$4&amp;'Funnel setup'!$K$5,".",IF(A694=".",1,A694+1))</f>
        <v>.</v>
      </c>
      <c r="B695" s="431" t="str">
        <f t="shared" si="10"/>
        <v>Groin HerniaProviderWILL ADAMS NHS TREATMENT CENTRE (NTP16)EQ VAS</v>
      </c>
      <c r="C695" t="s">
        <v>50</v>
      </c>
      <c r="D695" t="s">
        <v>1</v>
      </c>
      <c r="E695" t="s">
        <v>3531</v>
      </c>
      <c r="F695" t="s">
        <v>3532</v>
      </c>
      <c r="G695" t="s">
        <v>179</v>
      </c>
      <c r="H695">
        <v>45</v>
      </c>
      <c r="I695">
        <v>86.289000000000001</v>
      </c>
      <c r="J695">
        <v>84.888999999999996</v>
      </c>
      <c r="K695">
        <v>-1.4</v>
      </c>
      <c r="L695">
        <v>16</v>
      </c>
      <c r="M695">
        <v>9</v>
      </c>
      <c r="N695">
        <v>20</v>
      </c>
      <c r="O695">
        <v>80.602000000000004</v>
      </c>
      <c r="P695">
        <v>-4.3375722999999998E-2</v>
      </c>
      <c r="Q695">
        <v>8.4120000000000008</v>
      </c>
    </row>
    <row r="696" spans="1:17" s="30" customFormat="1" x14ac:dyDescent="0.2">
      <c r="A696" s="30" t="str">
        <f>IF(C696&amp;G696&amp;D696&lt;&gt;'Funnel setup'!$K$3&amp;'Funnel setup'!$K$4&amp;'Funnel setup'!$K$5,".",IF(A695=".",1,A695+1))</f>
        <v>.</v>
      </c>
      <c r="B696" s="431" t="str">
        <f t="shared" si="10"/>
        <v>Groin HerniaProviderWINFIELD HOSPITAL (NVC22)EQ VAS</v>
      </c>
      <c r="C696" t="s">
        <v>50</v>
      </c>
      <c r="D696" t="s">
        <v>1</v>
      </c>
      <c r="E696" t="s">
        <v>3534</v>
      </c>
      <c r="F696" t="s">
        <v>3535</v>
      </c>
      <c r="G696" t="s">
        <v>179</v>
      </c>
      <c r="H696">
        <v>29</v>
      </c>
      <c r="I696">
        <v>82.171999999999997</v>
      </c>
      <c r="J696">
        <v>84.069000000000003</v>
      </c>
      <c r="K696">
        <v>1.897</v>
      </c>
      <c r="L696">
        <v>12</v>
      </c>
      <c r="M696">
        <v>6</v>
      </c>
      <c r="N696">
        <v>11</v>
      </c>
      <c r="O696" t="s">
        <v>53</v>
      </c>
      <c r="P696" t="s">
        <v>53</v>
      </c>
      <c r="Q696" t="s">
        <v>53</v>
      </c>
    </row>
    <row r="697" spans="1:17" s="30" customFormat="1" x14ac:dyDescent="0.2">
      <c r="A697" s="30" t="str">
        <f>IF(C697&amp;G697&amp;D697&lt;&gt;'Funnel setup'!$K$3&amp;'Funnel setup'!$K$4&amp;'Funnel setup'!$K$5,".",IF(A696=".",1,A696+1))</f>
        <v>.</v>
      </c>
      <c r="B697" s="431" t="str">
        <f t="shared" si="10"/>
        <v>Groin HerniaProviderWIRRAL UNIVERSITY TEACHING HOSPITAL NHS FOUNDATION TRUST (RBL)EQ VAS</v>
      </c>
      <c r="C697" t="s">
        <v>50</v>
      </c>
      <c r="D697" t="s">
        <v>1</v>
      </c>
      <c r="E697" t="s">
        <v>3537</v>
      </c>
      <c r="F697" t="s">
        <v>3538</v>
      </c>
      <c r="G697" t="s">
        <v>179</v>
      </c>
      <c r="H697">
        <v>90</v>
      </c>
      <c r="I697">
        <v>78.332999999999998</v>
      </c>
      <c r="J697">
        <v>75.210999999999999</v>
      </c>
      <c r="K697">
        <v>-3.1219999999999999</v>
      </c>
      <c r="L697">
        <v>29</v>
      </c>
      <c r="M697">
        <v>17</v>
      </c>
      <c r="N697">
        <v>44</v>
      </c>
      <c r="O697">
        <v>76.927000000000007</v>
      </c>
      <c r="P697">
        <v>-3.7179787129999999</v>
      </c>
      <c r="Q697">
        <v>16.547000000000001</v>
      </c>
    </row>
    <row r="698" spans="1:17" s="30" customFormat="1" x14ac:dyDescent="0.2">
      <c r="A698" s="30" t="str">
        <f>IF(C698&amp;G698&amp;D698&lt;&gt;'Funnel setup'!$K$3&amp;'Funnel setup'!$K$4&amp;'Funnel setup'!$K$5,".",IF(A697=".",1,A697+1))</f>
        <v>.</v>
      </c>
      <c r="B698" s="431" t="str">
        <f t="shared" si="10"/>
        <v>Groin HerniaProviderWOODLAND HOSPITAL (NVC23)EQ VAS</v>
      </c>
      <c r="C698" t="s">
        <v>50</v>
      </c>
      <c r="D698" t="s">
        <v>1</v>
      </c>
      <c r="E698" t="s">
        <v>3540</v>
      </c>
      <c r="F698" t="s">
        <v>3541</v>
      </c>
      <c r="G698" t="s">
        <v>179</v>
      </c>
      <c r="H698">
        <v>56</v>
      </c>
      <c r="I698">
        <v>73.018000000000001</v>
      </c>
      <c r="J698">
        <v>80.304000000000002</v>
      </c>
      <c r="K698">
        <v>7.2859999999999996</v>
      </c>
      <c r="L698">
        <v>34</v>
      </c>
      <c r="M698">
        <v>4</v>
      </c>
      <c r="N698">
        <v>18</v>
      </c>
      <c r="O698">
        <v>81.956000000000003</v>
      </c>
      <c r="P698">
        <v>1.3102242040000001</v>
      </c>
      <c r="Q698">
        <v>17.821000000000002</v>
      </c>
    </row>
    <row r="699" spans="1:17" s="30" customFormat="1" x14ac:dyDescent="0.2">
      <c r="A699" s="30" t="str">
        <f>IF(C699&amp;G699&amp;D699&lt;&gt;'Funnel setup'!$K$3&amp;'Funnel setup'!$K$4&amp;'Funnel setup'!$K$5,".",IF(A698=".",1,A698+1))</f>
        <v>.</v>
      </c>
      <c r="B699" s="431" t="str">
        <f t="shared" si="10"/>
        <v>Groin HerniaProviderWOODTHORPE HOSPITAL (NVC40)EQ VAS</v>
      </c>
      <c r="C699" t="s">
        <v>50</v>
      </c>
      <c r="D699" t="s">
        <v>1</v>
      </c>
      <c r="E699" t="s">
        <v>3689</v>
      </c>
      <c r="F699" t="s">
        <v>6576</v>
      </c>
      <c r="G699" t="s">
        <v>179</v>
      </c>
      <c r="H699">
        <v>40</v>
      </c>
      <c r="I699">
        <v>84.1</v>
      </c>
      <c r="J699">
        <v>79.900000000000006</v>
      </c>
      <c r="K699">
        <v>-4.2</v>
      </c>
      <c r="L699">
        <v>13</v>
      </c>
      <c r="M699">
        <v>5</v>
      </c>
      <c r="N699">
        <v>22</v>
      </c>
      <c r="O699">
        <v>76.981999999999999</v>
      </c>
      <c r="P699">
        <v>-3.6630921559999998</v>
      </c>
      <c r="Q699">
        <v>11.593999999999999</v>
      </c>
    </row>
    <row r="700" spans="1:17" s="30" customFormat="1" x14ac:dyDescent="0.2">
      <c r="A700" s="30" t="str">
        <f>IF(C700&amp;G700&amp;D700&lt;&gt;'Funnel setup'!$K$3&amp;'Funnel setup'!$K$4&amp;'Funnel setup'!$K$5,".",IF(A699=".",1,A699+1))</f>
        <v>.</v>
      </c>
      <c r="B700" s="431" t="str">
        <f t="shared" si="10"/>
        <v>Groin HerniaProviderWORCESTERSHIRE ACUTE HOSPITALS NHS TRUST (RWP)EQ VAS</v>
      </c>
      <c r="C700" t="s">
        <v>50</v>
      </c>
      <c r="D700" t="s">
        <v>1</v>
      </c>
      <c r="E700" t="s">
        <v>3543</v>
      </c>
      <c r="F700" t="s">
        <v>3544</v>
      </c>
      <c r="G700" t="s">
        <v>179</v>
      </c>
      <c r="H700">
        <v>162</v>
      </c>
      <c r="I700">
        <v>81.08</v>
      </c>
      <c r="J700">
        <v>79.852000000000004</v>
      </c>
      <c r="K700">
        <v>-1.228</v>
      </c>
      <c r="L700">
        <v>57</v>
      </c>
      <c r="M700">
        <v>37</v>
      </c>
      <c r="N700">
        <v>68</v>
      </c>
      <c r="O700">
        <v>80.674000000000007</v>
      </c>
      <c r="P700">
        <v>2.8798651000000001E-2</v>
      </c>
      <c r="Q700">
        <v>11.997</v>
      </c>
    </row>
    <row r="701" spans="1:17" s="30" customFormat="1" x14ac:dyDescent="0.2">
      <c r="A701" s="30" t="str">
        <f>IF(C701&amp;G701&amp;D701&lt;&gt;'Funnel setup'!$K$3&amp;'Funnel setup'!$K$4&amp;'Funnel setup'!$K$5,".",IF(A700=".",1,A700+1))</f>
        <v>.</v>
      </c>
      <c r="B701" s="431" t="str">
        <f t="shared" si="10"/>
        <v>Groin HerniaProviderWRIGHTINGTON, WIGAN AND LEIGH NHS FOUNDATION TRUST (RRF)EQ VAS</v>
      </c>
      <c r="C701" t="s">
        <v>50</v>
      </c>
      <c r="D701" t="s">
        <v>1</v>
      </c>
      <c r="E701" t="s">
        <v>3546</v>
      </c>
      <c r="F701" t="s">
        <v>3547</v>
      </c>
      <c r="G701" t="s">
        <v>179</v>
      </c>
      <c r="H701">
        <v>105</v>
      </c>
      <c r="I701">
        <v>78.123999999999995</v>
      </c>
      <c r="J701">
        <v>76.037999999999997</v>
      </c>
      <c r="K701">
        <v>-2.0859999999999999</v>
      </c>
      <c r="L701">
        <v>34</v>
      </c>
      <c r="M701">
        <v>17</v>
      </c>
      <c r="N701">
        <v>54</v>
      </c>
      <c r="O701">
        <v>78.448999999999998</v>
      </c>
      <c r="P701">
        <v>-2.1963505539999999</v>
      </c>
      <c r="Q701">
        <v>13.91</v>
      </c>
    </row>
    <row r="702" spans="1:17" s="30" customFormat="1" x14ac:dyDescent="0.2">
      <c r="A702" s="30" t="str">
        <f>IF(C702&amp;G702&amp;D702&lt;&gt;'Funnel setup'!$K$3&amp;'Funnel setup'!$K$4&amp;'Funnel setup'!$K$5,".",IF(A701=".",1,A701+1))</f>
        <v>.</v>
      </c>
      <c r="B702" s="431" t="str">
        <f t="shared" si="10"/>
        <v>Groin HerniaProviderWYE VALLEY NHS TRUST (RLQ)EQ VAS</v>
      </c>
      <c r="C702" t="s">
        <v>50</v>
      </c>
      <c r="D702" t="s">
        <v>1</v>
      </c>
      <c r="E702" t="s">
        <v>3517</v>
      </c>
      <c r="F702" t="s">
        <v>3518</v>
      </c>
      <c r="G702" t="s">
        <v>179</v>
      </c>
      <c r="H702">
        <v>78</v>
      </c>
      <c r="I702">
        <v>77.448999999999998</v>
      </c>
      <c r="J702">
        <v>79.563999999999993</v>
      </c>
      <c r="K702">
        <v>2.1150000000000002</v>
      </c>
      <c r="L702">
        <v>35</v>
      </c>
      <c r="M702">
        <v>14</v>
      </c>
      <c r="N702">
        <v>29</v>
      </c>
      <c r="O702">
        <v>81.322000000000003</v>
      </c>
      <c r="P702">
        <v>0.67662609900000004</v>
      </c>
      <c r="Q702">
        <v>12.007</v>
      </c>
    </row>
    <row r="703" spans="1:17" s="30" customFormat="1" x14ac:dyDescent="0.2">
      <c r="A703" s="30" t="str">
        <f>IF(C703&amp;G703&amp;D703&lt;&gt;'Funnel setup'!$K$3&amp;'Funnel setup'!$K$4&amp;'Funnel setup'!$K$5,".",IF(A702=".",1,A702+1))</f>
        <v>.</v>
      </c>
      <c r="B703" s="431" t="str">
        <f t="shared" si="10"/>
        <v>Groin HerniaProviderYEOVIL DISTRICT HOSPITAL NHS FOUNDATION TRUST (RA4)EQ VAS</v>
      </c>
      <c r="C703" t="s">
        <v>50</v>
      </c>
      <c r="D703" t="s">
        <v>1</v>
      </c>
      <c r="E703" t="s">
        <v>3520</v>
      </c>
      <c r="F703" t="s">
        <v>341</v>
      </c>
      <c r="G703" t="s">
        <v>179</v>
      </c>
      <c r="H703">
        <v>26</v>
      </c>
      <c r="I703">
        <v>81.423000000000002</v>
      </c>
      <c r="J703">
        <v>83.537999999999997</v>
      </c>
      <c r="K703">
        <v>2.1150000000000002</v>
      </c>
      <c r="L703">
        <v>9</v>
      </c>
      <c r="M703">
        <v>9</v>
      </c>
      <c r="N703">
        <v>8</v>
      </c>
      <c r="O703" t="s">
        <v>53</v>
      </c>
      <c r="P703" t="s">
        <v>53</v>
      </c>
      <c r="Q703" t="s">
        <v>53</v>
      </c>
    </row>
    <row r="704" spans="1:17" s="30" customFormat="1" x14ac:dyDescent="0.2">
      <c r="A704" s="30" t="str">
        <f>IF(C704&amp;G704&amp;D704&lt;&gt;'Funnel setup'!$K$3&amp;'Funnel setup'!$K$4&amp;'Funnel setup'!$K$5,".",IF(A703=".",1,A703+1))</f>
        <v>.</v>
      </c>
      <c r="B704" s="431" t="str">
        <f t="shared" si="10"/>
        <v>Groin HerniaProviderYORK TEACHING HOSPITAL NHS FOUNDATION TRUST (RCB)EQ VAS</v>
      </c>
      <c r="C704" t="s">
        <v>50</v>
      </c>
      <c r="D704" t="s">
        <v>1</v>
      </c>
      <c r="E704" t="s">
        <v>3515</v>
      </c>
      <c r="F704" t="s">
        <v>343</v>
      </c>
      <c r="G704" t="s">
        <v>179</v>
      </c>
      <c r="H704">
        <v>291</v>
      </c>
      <c r="I704">
        <v>81.102999999999994</v>
      </c>
      <c r="J704">
        <v>79.863</v>
      </c>
      <c r="K704">
        <v>-1.2410000000000001</v>
      </c>
      <c r="L704">
        <v>106</v>
      </c>
      <c r="M704">
        <v>60</v>
      </c>
      <c r="N704">
        <v>125</v>
      </c>
      <c r="O704">
        <v>79.301000000000002</v>
      </c>
      <c r="P704">
        <v>-1.344423763</v>
      </c>
      <c r="Q704">
        <v>13.186</v>
      </c>
    </row>
    <row r="705" spans="1:17" s="30" customFormat="1" x14ac:dyDescent="0.2">
      <c r="A705" s="30">
        <f>IF(C705&amp;G705&amp;D705&lt;&gt;'Funnel setup'!$K$3&amp;'Funnel setup'!$K$4&amp;'Funnel setup'!$K$5,".",IF(A704=".",1,A704+1))</f>
        <v>1</v>
      </c>
      <c r="B705" s="431" t="str">
        <f t="shared" si="10"/>
        <v>Groin HerniaProviderAINTREE UNIVERSITY HOSPITAL NHS FOUNDATION TRUST (REM)EQ-5D Index</v>
      </c>
      <c r="C705" t="s">
        <v>50</v>
      </c>
      <c r="D705" t="s">
        <v>1</v>
      </c>
      <c r="E705" t="s">
        <v>3838</v>
      </c>
      <c r="F705" t="s">
        <v>3839</v>
      </c>
      <c r="G705" t="s">
        <v>52</v>
      </c>
      <c r="H705">
        <v>95</v>
      </c>
      <c r="I705">
        <v>0.76500000000000001</v>
      </c>
      <c r="J705">
        <v>0.83599999999999997</v>
      </c>
      <c r="K705">
        <v>7.0999999999999994E-2</v>
      </c>
      <c r="L705">
        <v>54</v>
      </c>
      <c r="M705">
        <v>26</v>
      </c>
      <c r="N705">
        <v>15</v>
      </c>
      <c r="O705">
        <v>0.85599999999999998</v>
      </c>
      <c r="P705">
        <v>6.3055412000000005E-2</v>
      </c>
      <c r="Q705">
        <v>0.19700000000000001</v>
      </c>
    </row>
    <row r="706" spans="1:17" s="30" customFormat="1" x14ac:dyDescent="0.2">
      <c r="A706" s="30">
        <f>IF(C706&amp;G706&amp;D706&lt;&gt;'Funnel setup'!$K$3&amp;'Funnel setup'!$K$4&amp;'Funnel setup'!$K$5,".",IF(A705=".",1,A705+1))</f>
        <v>2</v>
      </c>
      <c r="B706" s="431" t="str">
        <f t="shared" si="10"/>
        <v>Groin HerniaProviderAIREDALE NHS FOUNDATION TRUST (RCF)EQ-5D Index</v>
      </c>
      <c r="C706" t="s">
        <v>50</v>
      </c>
      <c r="D706" t="s">
        <v>1</v>
      </c>
      <c r="E706" t="s">
        <v>3841</v>
      </c>
      <c r="F706" t="s">
        <v>3842</v>
      </c>
      <c r="G706" t="s">
        <v>52</v>
      </c>
      <c r="H706">
        <v>115</v>
      </c>
      <c r="I706">
        <v>0.82799999999999996</v>
      </c>
      <c r="J706">
        <v>0.89100000000000001</v>
      </c>
      <c r="K706">
        <v>6.3E-2</v>
      </c>
      <c r="L706">
        <v>53</v>
      </c>
      <c r="M706">
        <v>38</v>
      </c>
      <c r="N706">
        <v>24</v>
      </c>
      <c r="O706">
        <v>0.88800000000000001</v>
      </c>
      <c r="P706">
        <v>9.4257629999999995E-2</v>
      </c>
      <c r="Q706">
        <v>0.155</v>
      </c>
    </row>
    <row r="707" spans="1:17" s="30" customFormat="1" x14ac:dyDescent="0.2">
      <c r="A707" s="30">
        <f>IF(C707&amp;G707&amp;D707&lt;&gt;'Funnel setup'!$K$3&amp;'Funnel setup'!$K$4&amp;'Funnel setup'!$K$5,".",IF(A706=".",1,A706+1))</f>
        <v>3</v>
      </c>
      <c r="B707" s="431" t="str">
        <f t="shared" ref="B707:B770" si="11">C707&amp;D707&amp;F707&amp;G707</f>
        <v>Groin HerniaProviderASHFORD AND ST PETER'S HOSPITALS NHS FOUNDATION TRUST (RTK)EQ-5D Index</v>
      </c>
      <c r="C707" t="s">
        <v>50</v>
      </c>
      <c r="D707" t="s">
        <v>1</v>
      </c>
      <c r="E707" t="s">
        <v>3844</v>
      </c>
      <c r="F707" t="s">
        <v>345</v>
      </c>
      <c r="G707" t="s">
        <v>52</v>
      </c>
      <c r="H707">
        <v>16</v>
      </c>
      <c r="I707">
        <v>0.83</v>
      </c>
      <c r="J707">
        <v>0.76400000000000001</v>
      </c>
      <c r="K707">
        <v>-6.6000000000000003E-2</v>
      </c>
      <c r="L707">
        <v>7</v>
      </c>
      <c r="M707">
        <v>4</v>
      </c>
      <c r="N707">
        <v>5</v>
      </c>
      <c r="O707" t="s">
        <v>53</v>
      </c>
      <c r="P707" t="s">
        <v>53</v>
      </c>
      <c r="Q707" t="s">
        <v>53</v>
      </c>
    </row>
    <row r="708" spans="1:17" s="30" customFormat="1" x14ac:dyDescent="0.2">
      <c r="A708" s="30">
        <f>IF(C708&amp;G708&amp;D708&lt;&gt;'Funnel setup'!$K$3&amp;'Funnel setup'!$K$4&amp;'Funnel setup'!$K$5,".",IF(A707=".",1,A707+1))</f>
        <v>4</v>
      </c>
      <c r="B708" s="431" t="str">
        <f t="shared" si="11"/>
        <v>Groin HerniaProviderASHTEAD HOSPITAL (NVC01)EQ-5D Index</v>
      </c>
      <c r="C708" t="s">
        <v>50</v>
      </c>
      <c r="D708" t="s">
        <v>1</v>
      </c>
      <c r="E708" t="s">
        <v>3846</v>
      </c>
      <c r="F708" t="s">
        <v>3847</v>
      </c>
      <c r="G708" t="s">
        <v>52</v>
      </c>
      <c r="H708">
        <v>49</v>
      </c>
      <c r="I708">
        <v>0.82699999999999996</v>
      </c>
      <c r="J708">
        <v>0.90100000000000002</v>
      </c>
      <c r="K708">
        <v>7.4999999999999997E-2</v>
      </c>
      <c r="L708">
        <v>25</v>
      </c>
      <c r="M708">
        <v>13</v>
      </c>
      <c r="N708">
        <v>11</v>
      </c>
      <c r="O708">
        <v>0.86899999999999999</v>
      </c>
      <c r="P708">
        <v>7.5555035000000006E-2</v>
      </c>
      <c r="Q708">
        <v>0.122</v>
      </c>
    </row>
    <row r="709" spans="1:17" s="30" customFormat="1" x14ac:dyDescent="0.2">
      <c r="A709" s="30">
        <f>IF(C709&amp;G709&amp;D709&lt;&gt;'Funnel setup'!$K$3&amp;'Funnel setup'!$K$4&amp;'Funnel setup'!$K$5,".",IF(A708=".",1,A708+1))</f>
        <v>5</v>
      </c>
      <c r="B709" s="431" t="str">
        <f t="shared" si="11"/>
        <v>Groin HerniaProviderASPEN - CLAREMONT HOSPITAL (NYW04)EQ-5D Index</v>
      </c>
      <c r="C709" t="s">
        <v>50</v>
      </c>
      <c r="D709" t="s">
        <v>1</v>
      </c>
      <c r="E709" t="s">
        <v>3500</v>
      </c>
      <c r="F709" t="s">
        <v>3501</v>
      </c>
      <c r="G709" t="s">
        <v>52</v>
      </c>
      <c r="H709" t="s">
        <v>53</v>
      </c>
      <c r="I709" t="s">
        <v>53</v>
      </c>
      <c r="J709" t="s">
        <v>53</v>
      </c>
      <c r="K709" t="s">
        <v>53</v>
      </c>
      <c r="L709" t="s">
        <v>53</v>
      </c>
      <c r="M709" t="s">
        <v>53</v>
      </c>
      <c r="N709" t="s">
        <v>53</v>
      </c>
      <c r="O709" t="s">
        <v>53</v>
      </c>
      <c r="P709" t="s">
        <v>53</v>
      </c>
      <c r="Q709" t="s">
        <v>53</v>
      </c>
    </row>
    <row r="710" spans="1:17" s="30" customFormat="1" x14ac:dyDescent="0.2">
      <c r="A710" s="30">
        <f>IF(C710&amp;G710&amp;D710&lt;&gt;'Funnel setup'!$K$3&amp;'Funnel setup'!$K$4&amp;'Funnel setup'!$K$5,".",IF(A709=".",1,A709+1))</f>
        <v>6</v>
      </c>
      <c r="B710" s="431" t="str">
        <f t="shared" si="11"/>
        <v>Groin HerniaProviderASPEN - HIGHGATE HOSPITAL (NYW03)EQ-5D Index</v>
      </c>
      <c r="C710" t="s">
        <v>50</v>
      </c>
      <c r="D710" t="s">
        <v>1</v>
      </c>
      <c r="E710" t="s">
        <v>3503</v>
      </c>
      <c r="F710" t="s">
        <v>3504</v>
      </c>
      <c r="G710" t="s">
        <v>52</v>
      </c>
      <c r="H710" t="s">
        <v>53</v>
      </c>
      <c r="I710" t="s">
        <v>53</v>
      </c>
      <c r="J710" t="s">
        <v>53</v>
      </c>
      <c r="K710" t="s">
        <v>53</v>
      </c>
      <c r="L710" t="s">
        <v>53</v>
      </c>
      <c r="M710" t="s">
        <v>53</v>
      </c>
      <c r="N710" t="s">
        <v>53</v>
      </c>
      <c r="O710" t="s">
        <v>53</v>
      </c>
      <c r="P710" t="s">
        <v>53</v>
      </c>
      <c r="Q710" t="s">
        <v>53</v>
      </c>
    </row>
    <row r="711" spans="1:17" s="30" customFormat="1" x14ac:dyDescent="0.2">
      <c r="A711" s="30">
        <f>IF(C711&amp;G711&amp;D711&lt;&gt;'Funnel setup'!$K$3&amp;'Funnel setup'!$K$4&amp;'Funnel setup'!$K$5,".",IF(A710=".",1,A710+1))</f>
        <v>7</v>
      </c>
      <c r="B711" s="431" t="str">
        <f t="shared" si="11"/>
        <v>Groin HerniaProviderASPEN - HOLLY HOUSE HOSPITAL (NYW01)EQ-5D Index</v>
      </c>
      <c r="C711" t="s">
        <v>50</v>
      </c>
      <c r="D711" t="s">
        <v>1</v>
      </c>
      <c r="E711" t="s">
        <v>3506</v>
      </c>
      <c r="F711" t="s">
        <v>3507</v>
      </c>
      <c r="G711" t="s">
        <v>52</v>
      </c>
      <c r="H711" t="s">
        <v>53</v>
      </c>
      <c r="I711" t="s">
        <v>53</v>
      </c>
      <c r="J711" t="s">
        <v>53</v>
      </c>
      <c r="K711" t="s">
        <v>53</v>
      </c>
      <c r="L711" t="s">
        <v>53</v>
      </c>
      <c r="M711" t="s">
        <v>53</v>
      </c>
      <c r="N711" t="s">
        <v>53</v>
      </c>
      <c r="O711" t="s">
        <v>53</v>
      </c>
      <c r="P711" t="s">
        <v>53</v>
      </c>
      <c r="Q711" t="s">
        <v>53</v>
      </c>
    </row>
    <row r="712" spans="1:17" s="30" customFormat="1" x14ac:dyDescent="0.2">
      <c r="A712" s="30">
        <f>IF(C712&amp;G712&amp;D712&lt;&gt;'Funnel setup'!$K$3&amp;'Funnel setup'!$K$4&amp;'Funnel setup'!$K$5,".",IF(A711=".",1,A711+1))</f>
        <v>8</v>
      </c>
      <c r="B712" s="431" t="str">
        <f t="shared" si="11"/>
        <v>Groin HerniaProviderBARKING, HAVERING AND REDBRIDGE UNIVERSITY HOSPITALS NHS TRUST (RF4)EQ-5D Index</v>
      </c>
      <c r="C712" t="s">
        <v>50</v>
      </c>
      <c r="D712" t="s">
        <v>1</v>
      </c>
      <c r="E712" t="s">
        <v>3509</v>
      </c>
      <c r="F712" t="s">
        <v>3510</v>
      </c>
      <c r="G712" t="s">
        <v>52</v>
      </c>
      <c r="H712">
        <v>13</v>
      </c>
      <c r="I712">
        <v>0.79400000000000004</v>
      </c>
      <c r="J712">
        <v>0.81499999999999995</v>
      </c>
      <c r="K712">
        <v>2.1999999999999999E-2</v>
      </c>
      <c r="L712">
        <v>5</v>
      </c>
      <c r="M712">
        <v>6</v>
      </c>
      <c r="N712">
        <v>2</v>
      </c>
      <c r="O712" t="s">
        <v>53</v>
      </c>
      <c r="P712" t="s">
        <v>53</v>
      </c>
      <c r="Q712" t="s">
        <v>53</v>
      </c>
    </row>
    <row r="713" spans="1:17" s="30" customFormat="1" x14ac:dyDescent="0.2">
      <c r="A713" s="30">
        <f>IF(C713&amp;G713&amp;D713&lt;&gt;'Funnel setup'!$K$3&amp;'Funnel setup'!$K$4&amp;'Funnel setup'!$K$5,".",IF(A712=".",1,A712+1))</f>
        <v>9</v>
      </c>
      <c r="B713" s="431" t="str">
        <f t="shared" si="11"/>
        <v>Groin HerniaProviderBARNSLEY HOSPITAL NHS FOUNDATION TRUST (RFF)EQ-5D Index</v>
      </c>
      <c r="C713" t="s">
        <v>50</v>
      </c>
      <c r="D713" t="s">
        <v>1</v>
      </c>
      <c r="E713" t="s">
        <v>3549</v>
      </c>
      <c r="F713" t="s">
        <v>3550</v>
      </c>
      <c r="G713" t="s">
        <v>52</v>
      </c>
      <c r="H713">
        <v>92</v>
      </c>
      <c r="I713">
        <v>0.78600000000000003</v>
      </c>
      <c r="J713">
        <v>0.88600000000000001</v>
      </c>
      <c r="K713">
        <v>9.9000000000000005E-2</v>
      </c>
      <c r="L713">
        <v>49</v>
      </c>
      <c r="M713">
        <v>28</v>
      </c>
      <c r="N713">
        <v>15</v>
      </c>
      <c r="O713">
        <v>0.88200000000000001</v>
      </c>
      <c r="P713">
        <v>8.8611220000000004E-2</v>
      </c>
      <c r="Q713">
        <v>0.158</v>
      </c>
    </row>
    <row r="714" spans="1:17" s="30" customFormat="1" x14ac:dyDescent="0.2">
      <c r="A714" s="30">
        <f>IF(C714&amp;G714&amp;D714&lt;&gt;'Funnel setup'!$K$3&amp;'Funnel setup'!$K$4&amp;'Funnel setup'!$K$5,".",IF(A713=".",1,A713+1))</f>
        <v>10</v>
      </c>
      <c r="B714" s="431" t="str">
        <f t="shared" si="11"/>
        <v>Groin HerniaProviderBARTS HEALTH NHS TRUST (R1H)EQ-5D Index</v>
      </c>
      <c r="C714" t="s">
        <v>50</v>
      </c>
      <c r="D714" t="s">
        <v>1</v>
      </c>
      <c r="E714" t="s">
        <v>3552</v>
      </c>
      <c r="F714" t="s">
        <v>3553</v>
      </c>
      <c r="G714" t="s">
        <v>52</v>
      </c>
      <c r="H714">
        <v>67</v>
      </c>
      <c r="I714">
        <v>0.79900000000000004</v>
      </c>
      <c r="J714">
        <v>0.77900000000000003</v>
      </c>
      <c r="K714">
        <v>-2.1000000000000001E-2</v>
      </c>
      <c r="L714">
        <v>22</v>
      </c>
      <c r="M714">
        <v>25</v>
      </c>
      <c r="N714">
        <v>20</v>
      </c>
      <c r="O714">
        <v>0.82</v>
      </c>
      <c r="P714">
        <v>2.6824482E-2</v>
      </c>
      <c r="Q714">
        <v>0.254</v>
      </c>
    </row>
    <row r="715" spans="1:17" s="30" customFormat="1" x14ac:dyDescent="0.2">
      <c r="A715" s="30">
        <f>IF(C715&amp;G715&amp;D715&lt;&gt;'Funnel setup'!$K$3&amp;'Funnel setup'!$K$4&amp;'Funnel setup'!$K$5,".",IF(A714=".",1,A714+1))</f>
        <v>11</v>
      </c>
      <c r="B715" s="431" t="str">
        <f t="shared" si="11"/>
        <v>Groin HerniaProviderBASILDON AND THURROCK UNIVERSITY HOSPITALS NHS FOUNDATION TRUST (RDD)EQ-5D Index</v>
      </c>
      <c r="C715" t="s">
        <v>50</v>
      </c>
      <c r="D715" t="s">
        <v>1</v>
      </c>
      <c r="E715" t="s">
        <v>3555</v>
      </c>
      <c r="F715" t="s">
        <v>3556</v>
      </c>
      <c r="G715" t="s">
        <v>52</v>
      </c>
      <c r="H715">
        <v>79</v>
      </c>
      <c r="I715">
        <v>0.73699999999999999</v>
      </c>
      <c r="J715">
        <v>0.84499999999999997</v>
      </c>
      <c r="K715">
        <v>0.108</v>
      </c>
      <c r="L715">
        <v>47</v>
      </c>
      <c r="M715">
        <v>19</v>
      </c>
      <c r="N715">
        <v>13</v>
      </c>
      <c r="O715">
        <v>0.874</v>
      </c>
      <c r="P715">
        <v>8.0307681000000006E-2</v>
      </c>
      <c r="Q715">
        <v>0.17499999999999999</v>
      </c>
    </row>
    <row r="716" spans="1:17" s="30" customFormat="1" x14ac:dyDescent="0.2">
      <c r="A716" s="30">
        <f>IF(C716&amp;G716&amp;D716&lt;&gt;'Funnel setup'!$K$3&amp;'Funnel setup'!$K$4&amp;'Funnel setup'!$K$5,".",IF(A715=".",1,A715+1))</f>
        <v>12</v>
      </c>
      <c r="B716" s="431" t="str">
        <f t="shared" si="11"/>
        <v>Groin HerniaProviderBEDFORD HOSPITAL NHS TRUST (RC1)EQ-5D Index</v>
      </c>
      <c r="C716" t="s">
        <v>50</v>
      </c>
      <c r="D716" t="s">
        <v>1</v>
      </c>
      <c r="E716" t="s">
        <v>3558</v>
      </c>
      <c r="F716" t="s">
        <v>3559</v>
      </c>
      <c r="G716" t="s">
        <v>52</v>
      </c>
      <c r="H716">
        <v>75</v>
      </c>
      <c r="I716">
        <v>0.78100000000000003</v>
      </c>
      <c r="J716">
        <v>0.85899999999999999</v>
      </c>
      <c r="K716">
        <v>7.8E-2</v>
      </c>
      <c r="L716">
        <v>40</v>
      </c>
      <c r="M716">
        <v>22</v>
      </c>
      <c r="N716">
        <v>13</v>
      </c>
      <c r="O716">
        <v>0.86199999999999999</v>
      </c>
      <c r="P716">
        <v>6.8518924999999994E-2</v>
      </c>
      <c r="Q716">
        <v>0.16700000000000001</v>
      </c>
    </row>
    <row r="717" spans="1:17" s="30" customFormat="1" x14ac:dyDescent="0.2">
      <c r="A717" s="30">
        <f>IF(C717&amp;G717&amp;D717&lt;&gt;'Funnel setup'!$K$3&amp;'Funnel setup'!$K$4&amp;'Funnel setup'!$K$5,".",IF(A716=".",1,A716+1))</f>
        <v>13</v>
      </c>
      <c r="B717" s="431" t="str">
        <f t="shared" si="11"/>
        <v>Groin HerniaProviderBLACKPOOL TEACHING HOSPITALS NHS FOUNDATION TRUST (RXL)EQ-5D Index</v>
      </c>
      <c r="C717" t="s">
        <v>50</v>
      </c>
      <c r="D717" t="s">
        <v>1</v>
      </c>
      <c r="E717" t="s">
        <v>3561</v>
      </c>
      <c r="F717" t="s">
        <v>3562</v>
      </c>
      <c r="G717" t="s">
        <v>52</v>
      </c>
      <c r="H717">
        <v>28</v>
      </c>
      <c r="I717">
        <v>0.77800000000000002</v>
      </c>
      <c r="J717">
        <v>0.78700000000000003</v>
      </c>
      <c r="K717">
        <v>8.0000000000000002E-3</v>
      </c>
      <c r="L717">
        <v>14</v>
      </c>
      <c r="M717">
        <v>8</v>
      </c>
      <c r="N717">
        <v>6</v>
      </c>
      <c r="O717" t="s">
        <v>53</v>
      </c>
      <c r="P717" t="s">
        <v>53</v>
      </c>
      <c r="Q717" t="s">
        <v>53</v>
      </c>
    </row>
    <row r="718" spans="1:17" s="30" customFormat="1" x14ac:dyDescent="0.2">
      <c r="A718" s="30">
        <f>IF(C718&amp;G718&amp;D718&lt;&gt;'Funnel setup'!$K$3&amp;'Funnel setup'!$K$4&amp;'Funnel setup'!$K$5,".",IF(A717=".",1,A717+1))</f>
        <v>14</v>
      </c>
      <c r="B718" s="431" t="str">
        <f t="shared" si="11"/>
        <v>Groin HerniaProviderBLAKELANDS HOSPITAL (NVC31)EQ-5D Index</v>
      </c>
      <c r="C718" t="s">
        <v>50</v>
      </c>
      <c r="D718" t="s">
        <v>1</v>
      </c>
      <c r="E718" t="s">
        <v>3564</v>
      </c>
      <c r="F718" t="s">
        <v>3565</v>
      </c>
      <c r="G718" t="s">
        <v>52</v>
      </c>
      <c r="H718">
        <v>28</v>
      </c>
      <c r="I718">
        <v>0.84499999999999997</v>
      </c>
      <c r="J718">
        <v>0.875</v>
      </c>
      <c r="K718">
        <v>0.03</v>
      </c>
      <c r="L718">
        <v>10</v>
      </c>
      <c r="M718">
        <v>9</v>
      </c>
      <c r="N718">
        <v>9</v>
      </c>
      <c r="O718" t="s">
        <v>53</v>
      </c>
      <c r="P718" t="s">
        <v>53</v>
      </c>
      <c r="Q718" t="s">
        <v>53</v>
      </c>
    </row>
    <row r="719" spans="1:17" s="30" customFormat="1" x14ac:dyDescent="0.2">
      <c r="A719" s="30">
        <f>IF(C719&amp;G719&amp;D719&lt;&gt;'Funnel setup'!$K$3&amp;'Funnel setup'!$K$4&amp;'Funnel setup'!$K$5,".",IF(A718=".",1,A718+1))</f>
        <v>15</v>
      </c>
      <c r="B719" s="431" t="str">
        <f t="shared" si="11"/>
        <v>Groin HerniaProviderBMI - BATH CLINIC (NT402)EQ-5D Index</v>
      </c>
      <c r="C719" t="s">
        <v>50</v>
      </c>
      <c r="D719" t="s">
        <v>1</v>
      </c>
      <c r="E719" t="s">
        <v>3488</v>
      </c>
      <c r="F719" t="s">
        <v>3489</v>
      </c>
      <c r="G719" t="s">
        <v>52</v>
      </c>
      <c r="H719">
        <v>8</v>
      </c>
      <c r="I719">
        <v>0.84</v>
      </c>
      <c r="J719">
        <v>0.88500000000000001</v>
      </c>
      <c r="K719">
        <v>4.4999999999999998E-2</v>
      </c>
      <c r="L719">
        <v>4</v>
      </c>
      <c r="M719">
        <v>3</v>
      </c>
      <c r="N719">
        <v>1</v>
      </c>
      <c r="O719" t="s">
        <v>53</v>
      </c>
      <c r="P719" t="s">
        <v>53</v>
      </c>
      <c r="Q719" t="s">
        <v>53</v>
      </c>
    </row>
    <row r="720" spans="1:17" s="30" customFormat="1" x14ac:dyDescent="0.2">
      <c r="A720" s="30">
        <f>IF(C720&amp;G720&amp;D720&lt;&gt;'Funnel setup'!$K$3&amp;'Funnel setup'!$K$4&amp;'Funnel setup'!$K$5,".",IF(A719=".",1,A719+1))</f>
        <v>16</v>
      </c>
      <c r="B720" s="431" t="str">
        <f t="shared" si="11"/>
        <v>Groin HerniaProviderBMI - BISHOPS WOOD (NT405)EQ-5D Index</v>
      </c>
      <c r="C720" t="s">
        <v>50</v>
      </c>
      <c r="D720" t="s">
        <v>1</v>
      </c>
      <c r="E720" t="s">
        <v>3491</v>
      </c>
      <c r="F720" t="s">
        <v>3492</v>
      </c>
      <c r="G720" t="s">
        <v>52</v>
      </c>
      <c r="H720">
        <v>16</v>
      </c>
      <c r="I720">
        <v>0.82299999999999995</v>
      </c>
      <c r="J720">
        <v>0.85599999999999998</v>
      </c>
      <c r="K720">
        <v>3.3000000000000002E-2</v>
      </c>
      <c r="L720">
        <v>9</v>
      </c>
      <c r="M720">
        <v>2</v>
      </c>
      <c r="N720">
        <v>5</v>
      </c>
      <c r="O720" t="s">
        <v>53</v>
      </c>
      <c r="P720" t="s">
        <v>53</v>
      </c>
      <c r="Q720" t="s">
        <v>53</v>
      </c>
    </row>
    <row r="721" spans="1:17" s="30" customFormat="1" x14ac:dyDescent="0.2">
      <c r="A721" s="30">
        <f>IF(C721&amp;G721&amp;D721&lt;&gt;'Funnel setup'!$K$3&amp;'Funnel setup'!$K$4&amp;'Funnel setup'!$K$5,".",IF(A720=".",1,A720+1))</f>
        <v>17</v>
      </c>
      <c r="B721" s="431" t="str">
        <f t="shared" si="11"/>
        <v>Groin HerniaProviderBMI - CHELSFIELD PARK HOSPITAL (NT409)EQ-5D Index</v>
      </c>
      <c r="C721" t="s">
        <v>50</v>
      </c>
      <c r="D721" t="s">
        <v>1</v>
      </c>
      <c r="E721" t="s">
        <v>3494</v>
      </c>
      <c r="F721" t="s">
        <v>3495</v>
      </c>
      <c r="G721" t="s">
        <v>52</v>
      </c>
      <c r="H721" t="s">
        <v>53</v>
      </c>
      <c r="I721" t="s">
        <v>53</v>
      </c>
      <c r="J721" t="s">
        <v>53</v>
      </c>
      <c r="K721" t="s">
        <v>53</v>
      </c>
      <c r="L721" t="s">
        <v>53</v>
      </c>
      <c r="M721" t="s">
        <v>53</v>
      </c>
      <c r="N721" t="s">
        <v>53</v>
      </c>
      <c r="O721" t="s">
        <v>53</v>
      </c>
      <c r="P721" t="s">
        <v>53</v>
      </c>
      <c r="Q721" t="s">
        <v>53</v>
      </c>
    </row>
    <row r="722" spans="1:17" s="30" customFormat="1" x14ac:dyDescent="0.2">
      <c r="A722" s="30">
        <f>IF(C722&amp;G722&amp;D722&lt;&gt;'Funnel setup'!$K$3&amp;'Funnel setup'!$K$4&amp;'Funnel setup'!$K$5,".",IF(A721=".",1,A721+1))</f>
        <v>18</v>
      </c>
      <c r="B722" s="431" t="str">
        <f t="shared" si="11"/>
        <v>Groin HerniaProviderBMI - FAWKHAM MANOR HOSPITAL (NT414)EQ-5D Index</v>
      </c>
      <c r="C722" t="s">
        <v>50</v>
      </c>
      <c r="D722" t="s">
        <v>1</v>
      </c>
      <c r="E722" t="s">
        <v>3497</v>
      </c>
      <c r="F722" t="s">
        <v>3498</v>
      </c>
      <c r="G722" t="s">
        <v>52</v>
      </c>
      <c r="H722">
        <v>21</v>
      </c>
      <c r="I722">
        <v>0.84499999999999997</v>
      </c>
      <c r="J722">
        <v>0.91100000000000003</v>
      </c>
      <c r="K722">
        <v>6.7000000000000004E-2</v>
      </c>
      <c r="L722">
        <v>13</v>
      </c>
      <c r="M722">
        <v>4</v>
      </c>
      <c r="N722">
        <v>4</v>
      </c>
      <c r="O722" t="s">
        <v>53</v>
      </c>
      <c r="P722" t="s">
        <v>53</v>
      </c>
      <c r="Q722" t="s">
        <v>53</v>
      </c>
    </row>
    <row r="723" spans="1:17" s="30" customFormat="1" x14ac:dyDescent="0.2">
      <c r="A723" s="30">
        <f>IF(C723&amp;G723&amp;D723&lt;&gt;'Funnel setup'!$K$3&amp;'Funnel setup'!$K$4&amp;'Funnel setup'!$K$5,".",IF(A722=".",1,A722+1))</f>
        <v>19</v>
      </c>
      <c r="B723" s="431" t="str">
        <f t="shared" si="11"/>
        <v>Groin HerniaProviderBMI - GORING HALL HOSPITAL (NT417)EQ-5D Index</v>
      </c>
      <c r="C723" t="s">
        <v>50</v>
      </c>
      <c r="D723" t="s">
        <v>1</v>
      </c>
      <c r="E723" t="s">
        <v>3403</v>
      </c>
      <c r="F723" t="s">
        <v>3404</v>
      </c>
      <c r="G723" t="s">
        <v>52</v>
      </c>
      <c r="H723">
        <v>27</v>
      </c>
      <c r="I723">
        <v>0.79900000000000004</v>
      </c>
      <c r="J723">
        <v>0.93400000000000005</v>
      </c>
      <c r="K723">
        <v>0.13500000000000001</v>
      </c>
      <c r="L723">
        <v>15</v>
      </c>
      <c r="M723">
        <v>10</v>
      </c>
      <c r="N723">
        <v>2</v>
      </c>
      <c r="O723" t="s">
        <v>53</v>
      </c>
      <c r="P723" t="s">
        <v>53</v>
      </c>
      <c r="Q723" t="s">
        <v>53</v>
      </c>
    </row>
    <row r="724" spans="1:17" s="30" customFormat="1" x14ac:dyDescent="0.2">
      <c r="A724" s="30">
        <f>IF(C724&amp;G724&amp;D724&lt;&gt;'Funnel setup'!$K$3&amp;'Funnel setup'!$K$4&amp;'Funnel setup'!$K$5,".",IF(A723=".",1,A723+1))</f>
        <v>20</v>
      </c>
      <c r="B724" s="431" t="str">
        <f t="shared" si="11"/>
        <v>Groin HerniaProviderBMI - SARUM ROAD HOSPITAL (NT433)EQ-5D Index</v>
      </c>
      <c r="C724" t="s">
        <v>50</v>
      </c>
      <c r="D724" t="s">
        <v>1</v>
      </c>
      <c r="E724" t="s">
        <v>3573</v>
      </c>
      <c r="F724" t="s">
        <v>3574</v>
      </c>
      <c r="G724" t="s">
        <v>52</v>
      </c>
      <c r="H724">
        <v>7</v>
      </c>
      <c r="I724">
        <v>0.72599999999999998</v>
      </c>
      <c r="J724">
        <v>0.93100000000000005</v>
      </c>
      <c r="K724">
        <v>0.20499999999999999</v>
      </c>
      <c r="L724">
        <v>5</v>
      </c>
      <c r="M724">
        <v>1</v>
      </c>
      <c r="N724">
        <v>1</v>
      </c>
      <c r="O724" t="s">
        <v>53</v>
      </c>
      <c r="P724" t="s">
        <v>53</v>
      </c>
      <c r="Q724" t="s">
        <v>53</v>
      </c>
    </row>
    <row r="725" spans="1:17" s="30" customFormat="1" x14ac:dyDescent="0.2">
      <c r="A725" s="30">
        <f>IF(C725&amp;G725&amp;D725&lt;&gt;'Funnel setup'!$K$3&amp;'Funnel setup'!$K$4&amp;'Funnel setup'!$K$5,".",IF(A724=".",1,A724+1))</f>
        <v>21</v>
      </c>
      <c r="B725" s="431" t="str">
        <f t="shared" si="11"/>
        <v>Groin HerniaProviderBMI - SHIRLEY OAKS HOSPITAL (NT436)EQ-5D Index</v>
      </c>
      <c r="C725" t="s">
        <v>50</v>
      </c>
      <c r="D725" t="s">
        <v>1</v>
      </c>
      <c r="E725" t="s">
        <v>3576</v>
      </c>
      <c r="F725" t="s">
        <v>3577</v>
      </c>
      <c r="G725" t="s">
        <v>52</v>
      </c>
      <c r="H725">
        <v>10</v>
      </c>
      <c r="I725">
        <v>0.78800000000000003</v>
      </c>
      <c r="J725">
        <v>0.59</v>
      </c>
      <c r="K725">
        <v>-0.19800000000000001</v>
      </c>
      <c r="L725">
        <v>3</v>
      </c>
      <c r="M725">
        <v>3</v>
      </c>
      <c r="N725">
        <v>4</v>
      </c>
      <c r="O725" t="s">
        <v>53</v>
      </c>
      <c r="P725" t="s">
        <v>53</v>
      </c>
      <c r="Q725" t="s">
        <v>53</v>
      </c>
    </row>
    <row r="726" spans="1:17" s="30" customFormat="1" x14ac:dyDescent="0.2">
      <c r="A726" s="30">
        <f>IF(C726&amp;G726&amp;D726&lt;&gt;'Funnel setup'!$K$3&amp;'Funnel setup'!$K$4&amp;'Funnel setup'!$K$5,".",IF(A725=".",1,A725+1))</f>
        <v>22</v>
      </c>
      <c r="B726" s="431" t="str">
        <f t="shared" si="11"/>
        <v>Groin HerniaProviderBMI - THE ALEXANDRA HOSPITAL (NT401)EQ-5D Index</v>
      </c>
      <c r="C726" t="s">
        <v>50</v>
      </c>
      <c r="D726" t="s">
        <v>1</v>
      </c>
      <c r="E726" t="s">
        <v>3579</v>
      </c>
      <c r="F726" t="s">
        <v>3580</v>
      </c>
      <c r="G726" t="s">
        <v>52</v>
      </c>
      <c r="H726">
        <v>18</v>
      </c>
      <c r="I726">
        <v>0.82499999999999996</v>
      </c>
      <c r="J726">
        <v>0.84699999999999998</v>
      </c>
      <c r="K726">
        <v>2.1999999999999999E-2</v>
      </c>
      <c r="L726">
        <v>6</v>
      </c>
      <c r="M726">
        <v>5</v>
      </c>
      <c r="N726">
        <v>7</v>
      </c>
      <c r="O726" t="s">
        <v>53</v>
      </c>
      <c r="P726" t="s">
        <v>53</v>
      </c>
      <c r="Q726" t="s">
        <v>53</v>
      </c>
    </row>
    <row r="727" spans="1:17" s="30" customFormat="1" x14ac:dyDescent="0.2">
      <c r="A727" s="30">
        <f>IF(C727&amp;G727&amp;D727&lt;&gt;'Funnel setup'!$K$3&amp;'Funnel setup'!$K$4&amp;'Funnel setup'!$K$5,".",IF(A726=".",1,A726+1))</f>
        <v>23</v>
      </c>
      <c r="B727" s="431" t="str">
        <f t="shared" si="11"/>
        <v>Groin HerniaProviderBMI - THE BEARDWOOD HOSPITAL (NT403)EQ-5D Index</v>
      </c>
      <c r="C727" t="s">
        <v>50</v>
      </c>
      <c r="D727" t="s">
        <v>1</v>
      </c>
      <c r="E727" t="s">
        <v>3582</v>
      </c>
      <c r="F727" t="s">
        <v>3583</v>
      </c>
      <c r="G727" t="s">
        <v>52</v>
      </c>
      <c r="H727">
        <v>45</v>
      </c>
      <c r="I727">
        <v>0.79</v>
      </c>
      <c r="J727">
        <v>0.86899999999999999</v>
      </c>
      <c r="K727">
        <v>0.08</v>
      </c>
      <c r="L727">
        <v>19</v>
      </c>
      <c r="M727">
        <v>16</v>
      </c>
      <c r="N727">
        <v>10</v>
      </c>
      <c r="O727">
        <v>0.86199999999999999</v>
      </c>
      <c r="P727">
        <v>6.8197717000000005E-2</v>
      </c>
      <c r="Q727">
        <v>0.14699999999999999</v>
      </c>
    </row>
    <row r="728" spans="1:17" s="30" customFormat="1" x14ac:dyDescent="0.2">
      <c r="A728" s="30">
        <f>IF(C728&amp;G728&amp;D728&lt;&gt;'Funnel setup'!$K$3&amp;'Funnel setup'!$K$4&amp;'Funnel setup'!$K$5,".",IF(A727=".",1,A727+1))</f>
        <v>24</v>
      </c>
      <c r="B728" s="431" t="str">
        <f t="shared" si="11"/>
        <v>Groin HerniaProviderBMI - THE BEAUMONT HOSPITAL (NT404)EQ-5D Index</v>
      </c>
      <c r="C728" t="s">
        <v>50</v>
      </c>
      <c r="D728" t="s">
        <v>1</v>
      </c>
      <c r="E728" t="s">
        <v>3585</v>
      </c>
      <c r="F728" t="s">
        <v>3586</v>
      </c>
      <c r="G728" t="s">
        <v>52</v>
      </c>
      <c r="H728">
        <v>78</v>
      </c>
      <c r="I728">
        <v>0.84899999999999998</v>
      </c>
      <c r="J728">
        <v>0.92200000000000004</v>
      </c>
      <c r="K728">
        <v>7.2999999999999995E-2</v>
      </c>
      <c r="L728">
        <v>36</v>
      </c>
      <c r="M728">
        <v>32</v>
      </c>
      <c r="N728">
        <v>10</v>
      </c>
      <c r="O728">
        <v>0.89800000000000002</v>
      </c>
      <c r="P728">
        <v>0.104319943</v>
      </c>
      <c r="Q728">
        <v>0.10100000000000001</v>
      </c>
    </row>
    <row r="729" spans="1:17" s="30" customFormat="1" x14ac:dyDescent="0.2">
      <c r="A729" s="30">
        <f>IF(C729&amp;G729&amp;D729&lt;&gt;'Funnel setup'!$K$3&amp;'Funnel setup'!$K$4&amp;'Funnel setup'!$K$5,".",IF(A728=".",1,A728+1))</f>
        <v>25</v>
      </c>
      <c r="B729" s="431" t="str">
        <f t="shared" si="11"/>
        <v>Groin HerniaProviderBMI - THE BLACKHEATH HOSPITAL (NT406)EQ-5D Index</v>
      </c>
      <c r="C729" t="s">
        <v>50</v>
      </c>
      <c r="D729" t="s">
        <v>1</v>
      </c>
      <c r="E729" t="s">
        <v>3588</v>
      </c>
      <c r="F729" t="s">
        <v>3589</v>
      </c>
      <c r="G729" t="s">
        <v>52</v>
      </c>
      <c r="H729">
        <v>9</v>
      </c>
      <c r="I729">
        <v>0.85499999999999998</v>
      </c>
      <c r="J729">
        <v>0.82699999999999996</v>
      </c>
      <c r="K729">
        <v>-2.9000000000000001E-2</v>
      </c>
      <c r="L729">
        <v>1</v>
      </c>
      <c r="M729">
        <v>7</v>
      </c>
      <c r="N729">
        <v>1</v>
      </c>
      <c r="O729" t="s">
        <v>53</v>
      </c>
      <c r="P729" t="s">
        <v>53</v>
      </c>
      <c r="Q729" t="s">
        <v>53</v>
      </c>
    </row>
    <row r="730" spans="1:17" s="30" customFormat="1" x14ac:dyDescent="0.2">
      <c r="A730" s="30">
        <f>IF(C730&amp;G730&amp;D730&lt;&gt;'Funnel setup'!$K$3&amp;'Funnel setup'!$K$4&amp;'Funnel setup'!$K$5,".",IF(A729=".",1,A729+1))</f>
        <v>26</v>
      </c>
      <c r="B730" s="431" t="str">
        <f t="shared" si="11"/>
        <v>Groin HerniaProviderBMI - THE CHAUCER HOSPITAL (NT408)EQ-5D Index</v>
      </c>
      <c r="C730" t="s">
        <v>50</v>
      </c>
      <c r="D730" t="s">
        <v>1</v>
      </c>
      <c r="E730" t="s">
        <v>3591</v>
      </c>
      <c r="F730" t="s">
        <v>3592</v>
      </c>
      <c r="G730" t="s">
        <v>52</v>
      </c>
      <c r="H730">
        <v>22</v>
      </c>
      <c r="I730">
        <v>0.82399999999999995</v>
      </c>
      <c r="J730">
        <v>0.875</v>
      </c>
      <c r="K730">
        <v>5.0999999999999997E-2</v>
      </c>
      <c r="L730">
        <v>9</v>
      </c>
      <c r="M730">
        <v>8</v>
      </c>
      <c r="N730">
        <v>5</v>
      </c>
      <c r="O730" t="s">
        <v>53</v>
      </c>
      <c r="P730" t="s">
        <v>53</v>
      </c>
      <c r="Q730" t="s">
        <v>53</v>
      </c>
    </row>
    <row r="731" spans="1:17" s="30" customFormat="1" x14ac:dyDescent="0.2">
      <c r="A731" s="30">
        <f>IF(C731&amp;G731&amp;D731&lt;&gt;'Funnel setup'!$K$3&amp;'Funnel setup'!$K$4&amp;'Funnel setup'!$K$5,".",IF(A730=".",1,A730+1))</f>
        <v>27</v>
      </c>
      <c r="B731" s="431" t="str">
        <f t="shared" si="11"/>
        <v>Groin HerniaProviderBMI - THE CHILTERN HOSPITAL (NT410)EQ-5D Index</v>
      </c>
      <c r="C731" t="s">
        <v>50</v>
      </c>
      <c r="D731" t="s">
        <v>1</v>
      </c>
      <c r="E731" t="s">
        <v>3594</v>
      </c>
      <c r="F731" t="s">
        <v>3595</v>
      </c>
      <c r="G731" t="s">
        <v>52</v>
      </c>
      <c r="H731">
        <v>50</v>
      </c>
      <c r="I731">
        <v>0.82</v>
      </c>
      <c r="J731">
        <v>0.95899999999999996</v>
      </c>
      <c r="K731">
        <v>0.13900000000000001</v>
      </c>
      <c r="L731">
        <v>33</v>
      </c>
      <c r="M731">
        <v>14</v>
      </c>
      <c r="N731">
        <v>3</v>
      </c>
      <c r="O731">
        <v>0.92900000000000005</v>
      </c>
      <c r="P731">
        <v>0.135742062</v>
      </c>
      <c r="Q731">
        <v>9.4E-2</v>
      </c>
    </row>
    <row r="732" spans="1:17" s="30" customFormat="1" x14ac:dyDescent="0.2">
      <c r="A732" s="30">
        <f>IF(C732&amp;G732&amp;D732&lt;&gt;'Funnel setup'!$K$3&amp;'Funnel setup'!$K$4&amp;'Funnel setup'!$K$5,".",IF(A731=".",1,A731+1))</f>
        <v>28</v>
      </c>
      <c r="B732" s="431" t="str">
        <f t="shared" si="11"/>
        <v>Groin HerniaProviderBMI - THE CLEMENTINE CHURCHILL HOSPITAL (NT411)EQ-5D Index</v>
      </c>
      <c r="C732" t="s">
        <v>50</v>
      </c>
      <c r="D732" t="s">
        <v>1</v>
      </c>
      <c r="E732" t="s">
        <v>3597</v>
      </c>
      <c r="F732" t="s">
        <v>3598</v>
      </c>
      <c r="G732" t="s">
        <v>52</v>
      </c>
      <c r="H732">
        <v>12</v>
      </c>
      <c r="I732">
        <v>0.80300000000000005</v>
      </c>
      <c r="J732">
        <v>0.81899999999999995</v>
      </c>
      <c r="K732">
        <v>1.6E-2</v>
      </c>
      <c r="L732">
        <v>5</v>
      </c>
      <c r="M732">
        <v>4</v>
      </c>
      <c r="N732">
        <v>3</v>
      </c>
      <c r="O732" t="s">
        <v>53</v>
      </c>
      <c r="P732" t="s">
        <v>53</v>
      </c>
      <c r="Q732" t="s">
        <v>53</v>
      </c>
    </row>
    <row r="733" spans="1:17" s="30" customFormat="1" x14ac:dyDescent="0.2">
      <c r="A733" s="30">
        <f>IF(C733&amp;G733&amp;D733&lt;&gt;'Funnel setup'!$K$3&amp;'Funnel setup'!$K$4&amp;'Funnel setup'!$K$5,".",IF(A732=".",1,A732+1))</f>
        <v>29</v>
      </c>
      <c r="B733" s="431" t="str">
        <f t="shared" si="11"/>
        <v>Groin HerniaProviderBMI - THE DROITWICH SPA HOSPITAL (NT412)EQ-5D Index</v>
      </c>
      <c r="C733" t="s">
        <v>50</v>
      </c>
      <c r="D733" t="s">
        <v>1</v>
      </c>
      <c r="E733" t="s">
        <v>3600</v>
      </c>
      <c r="F733" t="s">
        <v>3601</v>
      </c>
      <c r="G733" t="s">
        <v>52</v>
      </c>
      <c r="H733">
        <v>66</v>
      </c>
      <c r="I733">
        <v>0.77400000000000002</v>
      </c>
      <c r="J733">
        <v>0.89900000000000002</v>
      </c>
      <c r="K733">
        <v>0.124</v>
      </c>
      <c r="L733">
        <v>41</v>
      </c>
      <c r="M733">
        <v>15</v>
      </c>
      <c r="N733">
        <v>10</v>
      </c>
      <c r="O733">
        <v>0.89400000000000002</v>
      </c>
      <c r="P733">
        <v>0.101002103</v>
      </c>
      <c r="Q733">
        <v>0.13600000000000001</v>
      </c>
    </row>
    <row r="734" spans="1:17" s="30" customFormat="1" x14ac:dyDescent="0.2">
      <c r="A734" s="30">
        <f>IF(C734&amp;G734&amp;D734&lt;&gt;'Funnel setup'!$K$3&amp;'Funnel setup'!$K$4&amp;'Funnel setup'!$K$5,".",IF(A733=".",1,A733+1))</f>
        <v>30</v>
      </c>
      <c r="B734" s="431" t="str">
        <f t="shared" si="11"/>
        <v>Groin HerniaProviderBMI - THE ESPERANCE HOSPITAL (NT413)EQ-5D Index</v>
      </c>
      <c r="C734" t="s">
        <v>50</v>
      </c>
      <c r="D734" t="s">
        <v>1</v>
      </c>
      <c r="E734" t="s">
        <v>3603</v>
      </c>
      <c r="F734" t="s">
        <v>3604</v>
      </c>
      <c r="G734" t="s">
        <v>52</v>
      </c>
      <c r="H734">
        <v>15</v>
      </c>
      <c r="I734">
        <v>0.84499999999999997</v>
      </c>
      <c r="J734">
        <v>0.97199999999999998</v>
      </c>
      <c r="K734">
        <v>0.126</v>
      </c>
      <c r="L734">
        <v>9</v>
      </c>
      <c r="M734">
        <v>4</v>
      </c>
      <c r="N734">
        <v>2</v>
      </c>
      <c r="O734" t="s">
        <v>53</v>
      </c>
      <c r="P734" t="s">
        <v>53</v>
      </c>
      <c r="Q734" t="s">
        <v>53</v>
      </c>
    </row>
    <row r="735" spans="1:17" s="30" customFormat="1" x14ac:dyDescent="0.2">
      <c r="A735" s="30">
        <f>IF(C735&amp;G735&amp;D735&lt;&gt;'Funnel setup'!$K$3&amp;'Funnel setup'!$K$4&amp;'Funnel setup'!$K$5,".",IF(A734=".",1,A734+1))</f>
        <v>31</v>
      </c>
      <c r="B735" s="431" t="str">
        <f t="shared" si="11"/>
        <v>Groin HerniaProviderBMI - THE HAMPSHIRE CLINIC (NT418)EQ-5D Index</v>
      </c>
      <c r="C735" t="s">
        <v>50</v>
      </c>
      <c r="D735" t="s">
        <v>1</v>
      </c>
      <c r="E735" t="s">
        <v>3609</v>
      </c>
      <c r="F735" t="s">
        <v>3610</v>
      </c>
      <c r="G735" t="s">
        <v>52</v>
      </c>
      <c r="H735">
        <v>16</v>
      </c>
      <c r="I735">
        <v>0.78500000000000003</v>
      </c>
      <c r="J735">
        <v>0.97399999999999998</v>
      </c>
      <c r="K735">
        <v>0.189</v>
      </c>
      <c r="L735">
        <v>12</v>
      </c>
      <c r="M735">
        <v>4</v>
      </c>
      <c r="N735">
        <v>0</v>
      </c>
      <c r="O735" t="s">
        <v>53</v>
      </c>
      <c r="P735" t="s">
        <v>53</v>
      </c>
      <c r="Q735" t="s">
        <v>53</v>
      </c>
    </row>
    <row r="736" spans="1:17" s="30" customFormat="1" x14ac:dyDescent="0.2">
      <c r="A736" s="30">
        <f>IF(C736&amp;G736&amp;D736&lt;&gt;'Funnel setup'!$K$3&amp;'Funnel setup'!$K$4&amp;'Funnel setup'!$K$5,".",IF(A735=".",1,A735+1))</f>
        <v>32</v>
      </c>
      <c r="B736" s="431" t="str">
        <f t="shared" si="11"/>
        <v>Groin HerniaProviderBMI - THE HARBOUR HOSPITAL (NT419)EQ-5D Index</v>
      </c>
      <c r="C736" t="s">
        <v>50</v>
      </c>
      <c r="D736" t="s">
        <v>1</v>
      </c>
      <c r="E736" t="s">
        <v>3612</v>
      </c>
      <c r="F736" t="s">
        <v>3613</v>
      </c>
      <c r="G736" t="s">
        <v>52</v>
      </c>
      <c r="H736">
        <v>87</v>
      </c>
      <c r="I736">
        <v>0.83199999999999996</v>
      </c>
      <c r="J736">
        <v>0.88800000000000001</v>
      </c>
      <c r="K736">
        <v>5.6000000000000001E-2</v>
      </c>
      <c r="L736">
        <v>37</v>
      </c>
      <c r="M736">
        <v>30</v>
      </c>
      <c r="N736">
        <v>20</v>
      </c>
      <c r="O736">
        <v>0.871</v>
      </c>
      <c r="P736">
        <v>7.7626913000000006E-2</v>
      </c>
      <c r="Q736">
        <v>0.17199999999999999</v>
      </c>
    </row>
    <row r="737" spans="1:17" s="30" customFormat="1" x14ac:dyDescent="0.2">
      <c r="A737" s="30">
        <f>IF(C737&amp;G737&amp;D737&lt;&gt;'Funnel setup'!$K$3&amp;'Funnel setup'!$K$4&amp;'Funnel setup'!$K$5,".",IF(A736=".",1,A736+1))</f>
        <v>33</v>
      </c>
      <c r="B737" s="431" t="str">
        <f t="shared" si="11"/>
        <v>Groin HerniaProviderBMI - THE HIGHFIELD HOSPITAL (NT420)EQ-5D Index</v>
      </c>
      <c r="C737" t="s">
        <v>50</v>
      </c>
      <c r="D737" t="s">
        <v>1</v>
      </c>
      <c r="E737" t="s">
        <v>3615</v>
      </c>
      <c r="F737" t="s">
        <v>3616</v>
      </c>
      <c r="G737" t="s">
        <v>52</v>
      </c>
      <c r="H737">
        <v>25</v>
      </c>
      <c r="I737">
        <v>0.8</v>
      </c>
      <c r="J737">
        <v>0.84799999999999998</v>
      </c>
      <c r="K737">
        <v>4.8000000000000001E-2</v>
      </c>
      <c r="L737">
        <v>10</v>
      </c>
      <c r="M737">
        <v>9</v>
      </c>
      <c r="N737">
        <v>6</v>
      </c>
      <c r="O737" t="s">
        <v>53</v>
      </c>
      <c r="P737" t="s">
        <v>53</v>
      </c>
      <c r="Q737" t="s">
        <v>53</v>
      </c>
    </row>
    <row r="738" spans="1:17" s="30" customFormat="1" x14ac:dyDescent="0.2">
      <c r="A738" s="30">
        <f>IF(C738&amp;G738&amp;D738&lt;&gt;'Funnel setup'!$K$3&amp;'Funnel setup'!$K$4&amp;'Funnel setup'!$K$5,".",IF(A737=".",1,A737+1))</f>
        <v>34</v>
      </c>
      <c r="B738" s="431" t="str">
        <f t="shared" si="11"/>
        <v>Groin HerniaProviderBMI - THE KINGS OAK HOSPITAL (NT421)EQ-5D Index</v>
      </c>
      <c r="C738" t="s">
        <v>50</v>
      </c>
      <c r="D738" t="s">
        <v>1</v>
      </c>
      <c r="E738" t="s">
        <v>3618</v>
      </c>
      <c r="F738" t="s">
        <v>3619</v>
      </c>
      <c r="G738" t="s">
        <v>52</v>
      </c>
      <c r="H738">
        <v>7</v>
      </c>
      <c r="I738">
        <v>0.85399999999999998</v>
      </c>
      <c r="J738">
        <v>0.95599999999999996</v>
      </c>
      <c r="K738">
        <v>0.10199999999999999</v>
      </c>
      <c r="L738">
        <v>4</v>
      </c>
      <c r="M738">
        <v>2</v>
      </c>
      <c r="N738">
        <v>1</v>
      </c>
      <c r="O738" t="s">
        <v>53</v>
      </c>
      <c r="P738" t="s">
        <v>53</v>
      </c>
      <c r="Q738" t="s">
        <v>53</v>
      </c>
    </row>
    <row r="739" spans="1:17" s="30" customFormat="1" x14ac:dyDescent="0.2">
      <c r="A739" s="30">
        <f>IF(C739&amp;G739&amp;D739&lt;&gt;'Funnel setup'!$K$3&amp;'Funnel setup'!$K$4&amp;'Funnel setup'!$K$5,".",IF(A738=".",1,A738+1))</f>
        <v>35</v>
      </c>
      <c r="B739" s="431" t="str">
        <f t="shared" si="11"/>
        <v>Groin HerniaProviderBMI - THE LONDON INDEPENDENT HOSPITAL (NT422)EQ-5D Index</v>
      </c>
      <c r="C739" t="s">
        <v>50</v>
      </c>
      <c r="D739" t="s">
        <v>1</v>
      </c>
      <c r="E739" t="s">
        <v>3621</v>
      </c>
      <c r="F739" t="s">
        <v>3622</v>
      </c>
      <c r="G739" t="s">
        <v>52</v>
      </c>
      <c r="H739">
        <v>16</v>
      </c>
      <c r="I739">
        <v>0.75900000000000001</v>
      </c>
      <c r="J739">
        <v>0.77100000000000002</v>
      </c>
      <c r="K739">
        <v>1.2E-2</v>
      </c>
      <c r="L739">
        <v>5</v>
      </c>
      <c r="M739">
        <v>7</v>
      </c>
      <c r="N739">
        <v>4</v>
      </c>
      <c r="O739" t="s">
        <v>53</v>
      </c>
      <c r="P739" t="s">
        <v>53</v>
      </c>
      <c r="Q739" t="s">
        <v>53</v>
      </c>
    </row>
    <row r="740" spans="1:17" s="30" customFormat="1" x14ac:dyDescent="0.2">
      <c r="A740" s="30">
        <f>IF(C740&amp;G740&amp;D740&lt;&gt;'Funnel setup'!$K$3&amp;'Funnel setup'!$K$4&amp;'Funnel setup'!$K$5,".",IF(A739=".",1,A739+1))</f>
        <v>36</v>
      </c>
      <c r="B740" s="431" t="str">
        <f t="shared" si="11"/>
        <v>Groin HerniaProviderBMI - THE MANOR HOSPITAL (NT423)EQ-5D Index</v>
      </c>
      <c r="C740" t="s">
        <v>50</v>
      </c>
      <c r="D740" t="s">
        <v>1</v>
      </c>
      <c r="E740" t="s">
        <v>3624</v>
      </c>
      <c r="F740" t="s">
        <v>3625</v>
      </c>
      <c r="G740" t="s">
        <v>52</v>
      </c>
      <c r="H740">
        <v>26</v>
      </c>
      <c r="I740">
        <v>0.83299999999999996</v>
      </c>
      <c r="J740">
        <v>0.871</v>
      </c>
      <c r="K740">
        <v>3.7999999999999999E-2</v>
      </c>
      <c r="L740">
        <v>10</v>
      </c>
      <c r="M740">
        <v>9</v>
      </c>
      <c r="N740">
        <v>7</v>
      </c>
      <c r="O740" t="s">
        <v>53</v>
      </c>
      <c r="P740" t="s">
        <v>53</v>
      </c>
      <c r="Q740" t="s">
        <v>53</v>
      </c>
    </row>
    <row r="741" spans="1:17" s="30" customFormat="1" x14ac:dyDescent="0.2">
      <c r="A741" s="30">
        <f>IF(C741&amp;G741&amp;D741&lt;&gt;'Funnel setup'!$K$3&amp;'Funnel setup'!$K$4&amp;'Funnel setup'!$K$5,".",IF(A740=".",1,A740+1))</f>
        <v>37</v>
      </c>
      <c r="B741" s="431" t="str">
        <f t="shared" si="11"/>
        <v>Groin HerniaProviderBMI - THE MERIDEN HOSPITAL (NT424)EQ-5D Index</v>
      </c>
      <c r="C741" t="s">
        <v>50</v>
      </c>
      <c r="D741" t="s">
        <v>1</v>
      </c>
      <c r="E741" t="s">
        <v>3283</v>
      </c>
      <c r="F741" t="s">
        <v>3284</v>
      </c>
      <c r="G741" t="s">
        <v>52</v>
      </c>
      <c r="H741">
        <v>39</v>
      </c>
      <c r="I741">
        <v>0.74199999999999999</v>
      </c>
      <c r="J741">
        <v>0.92300000000000004</v>
      </c>
      <c r="K741">
        <v>0.18099999999999999</v>
      </c>
      <c r="L741">
        <v>25</v>
      </c>
      <c r="M741">
        <v>10</v>
      </c>
      <c r="N741">
        <v>4</v>
      </c>
      <c r="O741">
        <v>0.91600000000000004</v>
      </c>
      <c r="P741">
        <v>0.1229592</v>
      </c>
      <c r="Q741">
        <v>0.17100000000000001</v>
      </c>
    </row>
    <row r="742" spans="1:17" s="30" customFormat="1" x14ac:dyDescent="0.2">
      <c r="A742" s="30">
        <f>IF(C742&amp;G742&amp;D742&lt;&gt;'Funnel setup'!$K$3&amp;'Funnel setup'!$K$4&amp;'Funnel setup'!$K$5,".",IF(A741=".",1,A741+1))</f>
        <v>38</v>
      </c>
      <c r="B742" s="431" t="str">
        <f t="shared" si="11"/>
        <v>Groin HerniaProviderBMI - THE PARK HOSPITAL (NT427)EQ-5D Index</v>
      </c>
      <c r="C742" t="s">
        <v>50</v>
      </c>
      <c r="D742" t="s">
        <v>1</v>
      </c>
      <c r="E742" t="s">
        <v>3286</v>
      </c>
      <c r="F742" t="s">
        <v>3287</v>
      </c>
      <c r="G742" t="s">
        <v>52</v>
      </c>
      <c r="H742" t="s">
        <v>53</v>
      </c>
      <c r="I742" t="s">
        <v>53</v>
      </c>
      <c r="J742" t="s">
        <v>53</v>
      </c>
      <c r="K742" t="s">
        <v>53</v>
      </c>
      <c r="L742" t="s">
        <v>53</v>
      </c>
      <c r="M742" t="s">
        <v>53</v>
      </c>
      <c r="N742" t="s">
        <v>53</v>
      </c>
      <c r="O742" t="s">
        <v>53</v>
      </c>
      <c r="P742" t="s">
        <v>53</v>
      </c>
      <c r="Q742" t="s">
        <v>53</v>
      </c>
    </row>
    <row r="743" spans="1:17" s="30" customFormat="1" x14ac:dyDescent="0.2">
      <c r="A743" s="30">
        <f>IF(C743&amp;G743&amp;D743&lt;&gt;'Funnel setup'!$K$3&amp;'Funnel setup'!$K$4&amp;'Funnel setup'!$K$5,".",IF(A742=".",1,A742+1))</f>
        <v>39</v>
      </c>
      <c r="B743" s="431" t="str">
        <f t="shared" si="11"/>
        <v>Groin HerniaProviderBMI - THE PRINCESS MARGARET HOSPITAL (NT428)EQ-5D Index</v>
      </c>
      <c r="C743" t="s">
        <v>50</v>
      </c>
      <c r="D743" t="s">
        <v>1</v>
      </c>
      <c r="E743" t="s">
        <v>3289</v>
      </c>
      <c r="F743" t="s">
        <v>3290</v>
      </c>
      <c r="G743" t="s">
        <v>52</v>
      </c>
      <c r="H743">
        <v>8</v>
      </c>
      <c r="I743">
        <v>0.81599999999999995</v>
      </c>
      <c r="J743">
        <v>0.96099999999999997</v>
      </c>
      <c r="K743">
        <v>0.14499999999999999</v>
      </c>
      <c r="L743">
        <v>5</v>
      </c>
      <c r="M743">
        <v>2</v>
      </c>
      <c r="N743">
        <v>1</v>
      </c>
      <c r="O743" t="s">
        <v>53</v>
      </c>
      <c r="P743" t="s">
        <v>53</v>
      </c>
      <c r="Q743" t="s">
        <v>53</v>
      </c>
    </row>
    <row r="744" spans="1:17" s="30" customFormat="1" x14ac:dyDescent="0.2">
      <c r="A744" s="30">
        <f>IF(C744&amp;G744&amp;D744&lt;&gt;'Funnel setup'!$K$3&amp;'Funnel setup'!$K$4&amp;'Funnel setup'!$K$5,".",IF(A743=".",1,A743+1))</f>
        <v>40</v>
      </c>
      <c r="B744" s="431" t="str">
        <f t="shared" si="11"/>
        <v>Groin HerniaProviderBMI - THE RIDGEWAY HOSPITAL (NT430)EQ-5D Index</v>
      </c>
      <c r="C744" t="s">
        <v>50</v>
      </c>
      <c r="D744" t="s">
        <v>1</v>
      </c>
      <c r="E744" t="s">
        <v>3292</v>
      </c>
      <c r="F744" t="s">
        <v>3293</v>
      </c>
      <c r="G744" t="s">
        <v>52</v>
      </c>
      <c r="H744">
        <v>43</v>
      </c>
      <c r="I744">
        <v>0.82</v>
      </c>
      <c r="J744">
        <v>0.88400000000000001</v>
      </c>
      <c r="K744">
        <v>6.4000000000000001E-2</v>
      </c>
      <c r="L744">
        <v>22</v>
      </c>
      <c r="M744">
        <v>14</v>
      </c>
      <c r="N744">
        <v>7</v>
      </c>
      <c r="O744">
        <v>0.84199999999999997</v>
      </c>
      <c r="P744">
        <v>4.8560342999999999E-2</v>
      </c>
      <c r="Q744">
        <v>0.161</v>
      </c>
    </row>
    <row r="745" spans="1:17" s="30" customFormat="1" x14ac:dyDescent="0.2">
      <c r="A745" s="30">
        <f>IF(C745&amp;G745&amp;D745&lt;&gt;'Funnel setup'!$K$3&amp;'Funnel setup'!$K$4&amp;'Funnel setup'!$K$5,".",IF(A744=".",1,A744+1))</f>
        <v>41</v>
      </c>
      <c r="B745" s="431" t="str">
        <f t="shared" si="11"/>
        <v>Groin HerniaProviderBMI - THE RUNNYMEDE HOSPITAL (NT431)EQ-5D Index</v>
      </c>
      <c r="C745" t="s">
        <v>50</v>
      </c>
      <c r="D745" t="s">
        <v>1</v>
      </c>
      <c r="E745" t="s">
        <v>3295</v>
      </c>
      <c r="F745" t="s">
        <v>3296</v>
      </c>
      <c r="G745" t="s">
        <v>52</v>
      </c>
      <c r="H745">
        <v>12</v>
      </c>
      <c r="I745">
        <v>0.75600000000000001</v>
      </c>
      <c r="J745">
        <v>0.84099999999999997</v>
      </c>
      <c r="K745">
        <v>8.5999999999999993E-2</v>
      </c>
      <c r="L745">
        <v>6</v>
      </c>
      <c r="M745">
        <v>4</v>
      </c>
      <c r="N745">
        <v>2</v>
      </c>
      <c r="O745" t="s">
        <v>53</v>
      </c>
      <c r="P745" t="s">
        <v>53</v>
      </c>
      <c r="Q745" t="s">
        <v>53</v>
      </c>
    </row>
    <row r="746" spans="1:17" s="30" customFormat="1" x14ac:dyDescent="0.2">
      <c r="A746" s="30">
        <f>IF(C746&amp;G746&amp;D746&lt;&gt;'Funnel setup'!$K$3&amp;'Funnel setup'!$K$4&amp;'Funnel setup'!$K$5,".",IF(A745=".",1,A745+1))</f>
        <v>42</v>
      </c>
      <c r="B746" s="431" t="str">
        <f t="shared" si="11"/>
        <v>Groin HerniaProviderBMI - THE SANDRINGHAM HOSPITAL (NT432)EQ-5D Index</v>
      </c>
      <c r="C746" t="s">
        <v>50</v>
      </c>
      <c r="D746" t="s">
        <v>1</v>
      </c>
      <c r="E746" t="s">
        <v>3298</v>
      </c>
      <c r="F746" t="s">
        <v>3299</v>
      </c>
      <c r="G746" t="s">
        <v>52</v>
      </c>
      <c r="H746">
        <v>40</v>
      </c>
      <c r="I746">
        <v>0.85599999999999998</v>
      </c>
      <c r="J746">
        <v>0.90700000000000003</v>
      </c>
      <c r="K746">
        <v>5.0999999999999997E-2</v>
      </c>
      <c r="L746">
        <v>14</v>
      </c>
      <c r="M746">
        <v>21</v>
      </c>
      <c r="N746">
        <v>5</v>
      </c>
      <c r="O746">
        <v>0.878</v>
      </c>
      <c r="P746">
        <v>8.4292561000000002E-2</v>
      </c>
      <c r="Q746">
        <v>0.154</v>
      </c>
    </row>
    <row r="747" spans="1:17" s="30" customFormat="1" x14ac:dyDescent="0.2">
      <c r="A747" s="30">
        <f>IF(C747&amp;G747&amp;D747&lt;&gt;'Funnel setup'!$K$3&amp;'Funnel setup'!$K$4&amp;'Funnel setup'!$K$5,".",IF(A746=".",1,A746+1))</f>
        <v>43</v>
      </c>
      <c r="B747" s="431" t="str">
        <f t="shared" si="11"/>
        <v>Groin HerniaProviderBMI - THE SAXON CLINIC (NT434)EQ-5D Index</v>
      </c>
      <c r="C747" t="s">
        <v>50</v>
      </c>
      <c r="D747" t="s">
        <v>1</v>
      </c>
      <c r="E747" t="s">
        <v>3301</v>
      </c>
      <c r="F747" t="s">
        <v>3302</v>
      </c>
      <c r="G747" t="s">
        <v>52</v>
      </c>
      <c r="H747">
        <v>38</v>
      </c>
      <c r="I747">
        <v>0.82199999999999995</v>
      </c>
      <c r="J747">
        <v>0.93100000000000005</v>
      </c>
      <c r="K747">
        <v>0.109</v>
      </c>
      <c r="L747">
        <v>23</v>
      </c>
      <c r="M747">
        <v>12</v>
      </c>
      <c r="N747">
        <v>3</v>
      </c>
      <c r="O747">
        <v>0.90900000000000003</v>
      </c>
      <c r="P747">
        <v>0.115977277</v>
      </c>
      <c r="Q747">
        <v>0.111</v>
      </c>
    </row>
    <row r="748" spans="1:17" s="30" customFormat="1" x14ac:dyDescent="0.2">
      <c r="A748" s="30">
        <f>IF(C748&amp;G748&amp;D748&lt;&gt;'Funnel setup'!$K$3&amp;'Funnel setup'!$K$4&amp;'Funnel setup'!$K$5,".",IF(A747=".",1,A747+1))</f>
        <v>44</v>
      </c>
      <c r="B748" s="431" t="str">
        <f t="shared" si="11"/>
        <v>Groin HerniaProviderBMI - THE SOMERFIELD HOSPITAL (NT438)EQ-5D Index</v>
      </c>
      <c r="C748" t="s">
        <v>50</v>
      </c>
      <c r="D748" t="s">
        <v>1</v>
      </c>
      <c r="E748" t="s">
        <v>3304</v>
      </c>
      <c r="F748" t="s">
        <v>3305</v>
      </c>
      <c r="G748" t="s">
        <v>52</v>
      </c>
      <c r="H748">
        <v>38</v>
      </c>
      <c r="I748">
        <v>0.83099999999999996</v>
      </c>
      <c r="J748">
        <v>0.90800000000000003</v>
      </c>
      <c r="K748">
        <v>7.6999999999999999E-2</v>
      </c>
      <c r="L748">
        <v>21</v>
      </c>
      <c r="M748">
        <v>11</v>
      </c>
      <c r="N748">
        <v>6</v>
      </c>
      <c r="O748">
        <v>0.88400000000000001</v>
      </c>
      <c r="P748">
        <v>9.0213208000000003E-2</v>
      </c>
      <c r="Q748">
        <v>0.16200000000000001</v>
      </c>
    </row>
    <row r="749" spans="1:17" s="30" customFormat="1" x14ac:dyDescent="0.2">
      <c r="A749" s="30">
        <f>IF(C749&amp;G749&amp;D749&lt;&gt;'Funnel setup'!$K$3&amp;'Funnel setup'!$K$4&amp;'Funnel setup'!$K$5,".",IF(A748=".",1,A748+1))</f>
        <v>45</v>
      </c>
      <c r="B749" s="431" t="str">
        <f t="shared" si="11"/>
        <v>Groin HerniaProviderBMI - THE SOUTH CHESHIRE PRIVATE HOSPITAL (NT439)EQ-5D Index</v>
      </c>
      <c r="C749" t="s">
        <v>50</v>
      </c>
      <c r="D749" t="s">
        <v>1</v>
      </c>
      <c r="E749" t="s">
        <v>3307</v>
      </c>
      <c r="F749" t="s">
        <v>3308</v>
      </c>
      <c r="G749" t="s">
        <v>52</v>
      </c>
      <c r="H749">
        <v>37</v>
      </c>
      <c r="I749">
        <v>0.83099999999999996</v>
      </c>
      <c r="J749">
        <v>0.878</v>
      </c>
      <c r="K749">
        <v>4.7E-2</v>
      </c>
      <c r="L749">
        <v>16</v>
      </c>
      <c r="M749">
        <v>14</v>
      </c>
      <c r="N749">
        <v>7</v>
      </c>
      <c r="O749">
        <v>0.84099999999999997</v>
      </c>
      <c r="P749">
        <v>4.8118213999999999E-2</v>
      </c>
      <c r="Q749">
        <v>0.187</v>
      </c>
    </row>
    <row r="750" spans="1:17" s="30" customFormat="1" x14ac:dyDescent="0.2">
      <c r="A750" s="30">
        <f>IF(C750&amp;G750&amp;D750&lt;&gt;'Funnel setup'!$K$3&amp;'Funnel setup'!$K$4&amp;'Funnel setup'!$K$5,".",IF(A749=".",1,A749+1))</f>
        <v>46</v>
      </c>
      <c r="B750" s="431" t="str">
        <f t="shared" si="11"/>
        <v>Groin HerniaProviderBMI - THE WINTERBOURNE HOSPITAL (NT443)EQ-5D Index</v>
      </c>
      <c r="C750" t="s">
        <v>50</v>
      </c>
      <c r="D750" t="s">
        <v>1</v>
      </c>
      <c r="E750" t="s">
        <v>3310</v>
      </c>
      <c r="F750" t="s">
        <v>3311</v>
      </c>
      <c r="G750" t="s">
        <v>52</v>
      </c>
      <c r="H750">
        <v>35</v>
      </c>
      <c r="I750">
        <v>0.85299999999999998</v>
      </c>
      <c r="J750">
        <v>0.91</v>
      </c>
      <c r="K750">
        <v>5.7000000000000002E-2</v>
      </c>
      <c r="L750">
        <v>16</v>
      </c>
      <c r="M750">
        <v>10</v>
      </c>
      <c r="N750">
        <v>9</v>
      </c>
      <c r="O750">
        <v>0.89400000000000002</v>
      </c>
      <c r="P750">
        <v>0.100175574</v>
      </c>
      <c r="Q750">
        <v>0.14099999999999999</v>
      </c>
    </row>
    <row r="751" spans="1:17" s="30" customFormat="1" x14ac:dyDescent="0.2">
      <c r="A751" s="30">
        <f>IF(C751&amp;G751&amp;D751&lt;&gt;'Funnel setup'!$K$3&amp;'Funnel setup'!$K$4&amp;'Funnel setup'!$K$5,".",IF(A750=".",1,A750+1))</f>
        <v>47</v>
      </c>
      <c r="B751" s="431" t="str">
        <f t="shared" si="11"/>
        <v>Groin HerniaProviderBMI - THORNBURY HOSPITAL (NT440)EQ-5D Index</v>
      </c>
      <c r="C751" t="s">
        <v>50</v>
      </c>
      <c r="D751" t="s">
        <v>1</v>
      </c>
      <c r="E751" t="s">
        <v>3313</v>
      </c>
      <c r="F751" t="s">
        <v>3314</v>
      </c>
      <c r="G751" t="s">
        <v>52</v>
      </c>
      <c r="H751">
        <v>14</v>
      </c>
      <c r="I751">
        <v>0.91900000000000004</v>
      </c>
      <c r="J751">
        <v>1</v>
      </c>
      <c r="K751">
        <v>8.1000000000000003E-2</v>
      </c>
      <c r="L751">
        <v>6</v>
      </c>
      <c r="M751">
        <v>8</v>
      </c>
      <c r="N751">
        <v>0</v>
      </c>
      <c r="O751" t="s">
        <v>53</v>
      </c>
      <c r="P751" t="s">
        <v>53</v>
      </c>
      <c r="Q751" t="s">
        <v>53</v>
      </c>
    </row>
    <row r="752" spans="1:17" s="30" customFormat="1" x14ac:dyDescent="0.2">
      <c r="A752" s="30">
        <f>IF(C752&amp;G752&amp;D752&lt;&gt;'Funnel setup'!$K$3&amp;'Funnel setup'!$K$4&amp;'Funnel setup'!$K$5,".",IF(A751=".",1,A751+1))</f>
        <v>48</v>
      </c>
      <c r="B752" s="431" t="str">
        <f t="shared" si="11"/>
        <v>Groin HerniaProviderBMI - THREE SHIRES HOSPITAL (NT441)EQ-5D Index</v>
      </c>
      <c r="C752" t="s">
        <v>50</v>
      </c>
      <c r="D752" t="s">
        <v>1</v>
      </c>
      <c r="E752" t="s">
        <v>3316</v>
      </c>
      <c r="F752" t="s">
        <v>3317</v>
      </c>
      <c r="G752" t="s">
        <v>52</v>
      </c>
      <c r="H752">
        <v>23</v>
      </c>
      <c r="I752">
        <v>0.85399999999999998</v>
      </c>
      <c r="J752">
        <v>0.94599999999999995</v>
      </c>
      <c r="K752">
        <v>9.1999999999999998E-2</v>
      </c>
      <c r="L752">
        <v>12</v>
      </c>
      <c r="M752">
        <v>10</v>
      </c>
      <c r="N752">
        <v>1</v>
      </c>
      <c r="O752" t="s">
        <v>53</v>
      </c>
      <c r="P752" t="s">
        <v>53</v>
      </c>
      <c r="Q752" t="s">
        <v>53</v>
      </c>
    </row>
    <row r="753" spans="1:17" s="30" customFormat="1" x14ac:dyDescent="0.2">
      <c r="A753" s="30">
        <f>IF(C753&amp;G753&amp;D753&lt;&gt;'Funnel setup'!$K$3&amp;'Funnel setup'!$K$4&amp;'Funnel setup'!$K$5,".",IF(A752=".",1,A752+1))</f>
        <v>49</v>
      </c>
      <c r="B753" s="431" t="str">
        <f t="shared" si="11"/>
        <v>Groin HerniaProviderBMI GISBURNE PARK HOSPITAL (NT497)EQ-5D Index</v>
      </c>
      <c r="C753" t="s">
        <v>50</v>
      </c>
      <c r="D753" t="s">
        <v>1</v>
      </c>
      <c r="E753" t="s">
        <v>3319</v>
      </c>
      <c r="F753" t="s">
        <v>3320</v>
      </c>
      <c r="G753" t="s">
        <v>52</v>
      </c>
      <c r="H753">
        <v>39</v>
      </c>
      <c r="I753">
        <v>0.82799999999999996</v>
      </c>
      <c r="J753">
        <v>0.95699999999999996</v>
      </c>
      <c r="K753">
        <v>0.129</v>
      </c>
      <c r="L753">
        <v>20</v>
      </c>
      <c r="M753">
        <v>17</v>
      </c>
      <c r="N753">
        <v>2</v>
      </c>
      <c r="O753">
        <v>0.93500000000000005</v>
      </c>
      <c r="P753">
        <v>0.141161756</v>
      </c>
      <c r="Q753">
        <v>9.8000000000000004E-2</v>
      </c>
    </row>
    <row r="754" spans="1:17" s="30" customFormat="1" x14ac:dyDescent="0.2">
      <c r="A754" s="30">
        <f>IF(C754&amp;G754&amp;D754&lt;&gt;'Funnel setup'!$K$3&amp;'Funnel setup'!$K$4&amp;'Funnel setup'!$K$5,".",IF(A753=".",1,A753+1))</f>
        <v>50</v>
      </c>
      <c r="B754" s="431" t="str">
        <f t="shared" si="11"/>
        <v>Groin HerniaProviderBMI MOUNT ALVERNIA HOSPITAL (NT455)EQ-5D Index</v>
      </c>
      <c r="C754" t="s">
        <v>50</v>
      </c>
      <c r="D754" t="s">
        <v>1</v>
      </c>
      <c r="E754" t="s">
        <v>3322</v>
      </c>
      <c r="F754" t="s">
        <v>3323</v>
      </c>
      <c r="G754" t="s">
        <v>52</v>
      </c>
      <c r="H754">
        <v>11</v>
      </c>
      <c r="I754">
        <v>0.86599999999999999</v>
      </c>
      <c r="J754">
        <v>0.97399999999999998</v>
      </c>
      <c r="K754">
        <v>0.107</v>
      </c>
      <c r="L754">
        <v>5</v>
      </c>
      <c r="M754">
        <v>5</v>
      </c>
      <c r="N754">
        <v>1</v>
      </c>
      <c r="O754" t="s">
        <v>53</v>
      </c>
      <c r="P754" t="s">
        <v>53</v>
      </c>
      <c r="Q754" t="s">
        <v>53</v>
      </c>
    </row>
    <row r="755" spans="1:17" s="30" customFormat="1" x14ac:dyDescent="0.2">
      <c r="A755" s="30">
        <f>IF(C755&amp;G755&amp;D755&lt;&gt;'Funnel setup'!$K$3&amp;'Funnel setup'!$K$4&amp;'Funnel setup'!$K$5,".",IF(A754=".",1,A754+1))</f>
        <v>51</v>
      </c>
      <c r="B755" s="431" t="str">
        <f t="shared" si="11"/>
        <v>Groin HerniaProviderBMI ST EDMUNDS HOSPITAL (NT446)EQ-5D Index</v>
      </c>
      <c r="C755" t="s">
        <v>50</v>
      </c>
      <c r="D755" t="s">
        <v>1</v>
      </c>
      <c r="E755" t="s">
        <v>3328</v>
      </c>
      <c r="F755" t="s">
        <v>3329</v>
      </c>
      <c r="G755" t="s">
        <v>52</v>
      </c>
      <c r="H755">
        <v>9</v>
      </c>
      <c r="I755">
        <v>0.71799999999999997</v>
      </c>
      <c r="J755">
        <v>0.79600000000000004</v>
      </c>
      <c r="K755">
        <v>7.8E-2</v>
      </c>
      <c r="L755">
        <v>5</v>
      </c>
      <c r="M755">
        <v>1</v>
      </c>
      <c r="N755">
        <v>3</v>
      </c>
      <c r="O755" t="s">
        <v>53</v>
      </c>
      <c r="P755" t="s">
        <v>53</v>
      </c>
      <c r="Q755" t="s">
        <v>53</v>
      </c>
    </row>
    <row r="756" spans="1:17" s="30" customFormat="1" x14ac:dyDescent="0.2">
      <c r="A756" s="30">
        <f>IF(C756&amp;G756&amp;D756&lt;&gt;'Funnel setup'!$K$3&amp;'Funnel setup'!$K$4&amp;'Funnel setup'!$K$5,".",IF(A755=".",1,A755+1))</f>
        <v>52</v>
      </c>
      <c r="B756" s="431" t="str">
        <f t="shared" si="11"/>
        <v>Groin HerniaProviderBMI THE CAVELL HOSPITAL (NT451)EQ-5D Index</v>
      </c>
      <c r="C756" t="s">
        <v>50</v>
      </c>
      <c r="D756" t="s">
        <v>1</v>
      </c>
      <c r="E756" t="s">
        <v>3331</v>
      </c>
      <c r="F756" t="s">
        <v>3332</v>
      </c>
      <c r="G756" t="s">
        <v>52</v>
      </c>
      <c r="H756">
        <v>7</v>
      </c>
      <c r="I756">
        <v>0.82299999999999995</v>
      </c>
      <c r="J756">
        <v>0.92</v>
      </c>
      <c r="K756">
        <v>9.7000000000000003E-2</v>
      </c>
      <c r="L756">
        <v>4</v>
      </c>
      <c r="M756">
        <v>3</v>
      </c>
      <c r="N756">
        <v>0</v>
      </c>
      <c r="O756" t="s">
        <v>53</v>
      </c>
      <c r="P756" t="s">
        <v>53</v>
      </c>
      <c r="Q756" t="s">
        <v>53</v>
      </c>
    </row>
    <row r="757" spans="1:17" s="30" customFormat="1" x14ac:dyDescent="0.2">
      <c r="A757" s="30">
        <f>IF(C757&amp;G757&amp;D757&lt;&gt;'Funnel setup'!$K$3&amp;'Funnel setup'!$K$4&amp;'Funnel setup'!$K$5,".",IF(A756=".",1,A756+1))</f>
        <v>53</v>
      </c>
      <c r="B757" s="431" t="str">
        <f t="shared" si="11"/>
        <v>Groin HerniaProviderBMI THE DUCHY HOSPITAL (NT447)EQ-5D Index</v>
      </c>
      <c r="C757" t="s">
        <v>50</v>
      </c>
      <c r="D757" t="s">
        <v>1</v>
      </c>
      <c r="E757" t="s">
        <v>3334</v>
      </c>
      <c r="F757" t="s">
        <v>3335</v>
      </c>
      <c r="G757" t="s">
        <v>52</v>
      </c>
      <c r="H757">
        <v>23</v>
      </c>
      <c r="I757">
        <v>0.81399999999999995</v>
      </c>
      <c r="J757">
        <v>0.93899999999999995</v>
      </c>
      <c r="K757">
        <v>0.125</v>
      </c>
      <c r="L757">
        <v>14</v>
      </c>
      <c r="M757">
        <v>5</v>
      </c>
      <c r="N757">
        <v>4</v>
      </c>
      <c r="O757" t="s">
        <v>53</v>
      </c>
      <c r="P757" t="s">
        <v>53</v>
      </c>
      <c r="Q757" t="s">
        <v>53</v>
      </c>
    </row>
    <row r="758" spans="1:17" s="30" customFormat="1" x14ac:dyDescent="0.2">
      <c r="A758" s="30">
        <f>IF(C758&amp;G758&amp;D758&lt;&gt;'Funnel setup'!$K$3&amp;'Funnel setup'!$K$4&amp;'Funnel setup'!$K$5,".",IF(A757=".",1,A757+1))</f>
        <v>54</v>
      </c>
      <c r="B758" s="431" t="str">
        <f t="shared" si="11"/>
        <v>Groin HerniaProviderBMI THE EDGBASTON HOSPITAL (NT445)EQ-5D Index</v>
      </c>
      <c r="C758" t="s">
        <v>50</v>
      </c>
      <c r="D758" t="s">
        <v>1</v>
      </c>
      <c r="E758" t="s">
        <v>3337</v>
      </c>
      <c r="F758" t="s">
        <v>3338</v>
      </c>
      <c r="G758" t="s">
        <v>52</v>
      </c>
      <c r="H758">
        <v>23</v>
      </c>
      <c r="I758">
        <v>0.84099999999999997</v>
      </c>
      <c r="J758">
        <v>0.91100000000000003</v>
      </c>
      <c r="K758">
        <v>6.9000000000000006E-2</v>
      </c>
      <c r="L758">
        <v>13</v>
      </c>
      <c r="M758">
        <v>7</v>
      </c>
      <c r="N758">
        <v>3</v>
      </c>
      <c r="O758" t="s">
        <v>53</v>
      </c>
      <c r="P758" t="s">
        <v>53</v>
      </c>
      <c r="Q758" t="s">
        <v>53</v>
      </c>
    </row>
    <row r="759" spans="1:17" s="30" customFormat="1" x14ac:dyDescent="0.2">
      <c r="A759" s="30">
        <f>IF(C759&amp;G759&amp;D759&lt;&gt;'Funnel setup'!$K$3&amp;'Funnel setup'!$K$4&amp;'Funnel setup'!$K$5,".",IF(A758=".",1,A758+1))</f>
        <v>55</v>
      </c>
      <c r="B759" s="431" t="str">
        <f t="shared" si="11"/>
        <v>Groin HerniaProviderBMI THE HUDDERSFIELD HOSPITAL (NT448)EQ-5D Index</v>
      </c>
      <c r="C759" t="s">
        <v>50</v>
      </c>
      <c r="D759" t="s">
        <v>1</v>
      </c>
      <c r="E759" t="s">
        <v>3346</v>
      </c>
      <c r="F759" t="s">
        <v>3347</v>
      </c>
      <c r="G759" t="s">
        <v>52</v>
      </c>
      <c r="H759">
        <v>76</v>
      </c>
      <c r="I759">
        <v>0.83099999999999996</v>
      </c>
      <c r="J759">
        <v>0.93100000000000005</v>
      </c>
      <c r="K759">
        <v>0.1</v>
      </c>
      <c r="L759">
        <v>40</v>
      </c>
      <c r="M759">
        <v>26</v>
      </c>
      <c r="N759">
        <v>10</v>
      </c>
      <c r="O759">
        <v>0.89700000000000002</v>
      </c>
      <c r="P759">
        <v>0.104014623</v>
      </c>
      <c r="Q759">
        <v>0.105</v>
      </c>
    </row>
    <row r="760" spans="1:17" s="30" customFormat="1" x14ac:dyDescent="0.2">
      <c r="A760" s="30">
        <f>IF(C760&amp;G760&amp;D760&lt;&gt;'Funnel setup'!$K$3&amp;'Funnel setup'!$K$4&amp;'Funnel setup'!$K$5,".",IF(A759=".",1,A759+1))</f>
        <v>56</v>
      </c>
      <c r="B760" s="431" t="str">
        <f t="shared" si="11"/>
        <v>Groin HerniaProviderBMI THE LANCASTER HOSPITAL (NT449)EQ-5D Index</v>
      </c>
      <c r="C760" t="s">
        <v>50</v>
      </c>
      <c r="D760" t="s">
        <v>1</v>
      </c>
      <c r="E760" t="s">
        <v>3349</v>
      </c>
      <c r="F760" t="s">
        <v>3350</v>
      </c>
      <c r="G760" t="s">
        <v>52</v>
      </c>
      <c r="H760">
        <v>9</v>
      </c>
      <c r="I760">
        <v>0.85799999999999998</v>
      </c>
      <c r="J760">
        <v>0.87</v>
      </c>
      <c r="K760">
        <v>1.2E-2</v>
      </c>
      <c r="L760">
        <v>3</v>
      </c>
      <c r="M760">
        <v>3</v>
      </c>
      <c r="N760">
        <v>3</v>
      </c>
      <c r="O760" t="s">
        <v>53</v>
      </c>
      <c r="P760" t="s">
        <v>53</v>
      </c>
      <c r="Q760" t="s">
        <v>53</v>
      </c>
    </row>
    <row r="761" spans="1:17" s="30" customFormat="1" x14ac:dyDescent="0.2">
      <c r="A761" s="30">
        <f>IF(C761&amp;G761&amp;D761&lt;&gt;'Funnel setup'!$K$3&amp;'Funnel setup'!$K$4&amp;'Funnel setup'!$K$5,".",IF(A760=".",1,A760+1))</f>
        <v>57</v>
      </c>
      <c r="B761" s="431" t="str">
        <f t="shared" si="11"/>
        <v>Groin HerniaProviderBMI THE LINCOLN HOSPITAL (NT450)EQ-5D Index</v>
      </c>
      <c r="C761" t="s">
        <v>50</v>
      </c>
      <c r="D761" t="s">
        <v>1</v>
      </c>
      <c r="E761" t="s">
        <v>3352</v>
      </c>
      <c r="F761" t="s">
        <v>3353</v>
      </c>
      <c r="G761" t="s">
        <v>52</v>
      </c>
      <c r="H761">
        <v>37</v>
      </c>
      <c r="I761">
        <v>0.75</v>
      </c>
      <c r="J761">
        <v>0.85599999999999998</v>
      </c>
      <c r="K761">
        <v>0.106</v>
      </c>
      <c r="L761">
        <v>19</v>
      </c>
      <c r="M761">
        <v>11</v>
      </c>
      <c r="N761">
        <v>7</v>
      </c>
      <c r="O761">
        <v>0.874</v>
      </c>
      <c r="P761">
        <v>8.0250742E-2</v>
      </c>
      <c r="Q761">
        <v>0.14899999999999999</v>
      </c>
    </row>
    <row r="762" spans="1:17" s="30" customFormat="1" x14ac:dyDescent="0.2">
      <c r="A762" s="30">
        <f>IF(C762&amp;G762&amp;D762&lt;&gt;'Funnel setup'!$K$3&amp;'Funnel setup'!$K$4&amp;'Funnel setup'!$K$5,".",IF(A761=".",1,A761+1))</f>
        <v>58</v>
      </c>
      <c r="B762" s="431" t="str">
        <f t="shared" si="11"/>
        <v>Groin HerniaProviderBMI WOODLANDS HOSPITAL (NT457)EQ-5D Index</v>
      </c>
      <c r="C762" t="s">
        <v>50</v>
      </c>
      <c r="D762" t="s">
        <v>1</v>
      </c>
      <c r="E762" t="s">
        <v>3355</v>
      </c>
      <c r="F762" t="s">
        <v>3356</v>
      </c>
      <c r="G762" t="s">
        <v>52</v>
      </c>
      <c r="H762">
        <v>30</v>
      </c>
      <c r="I762">
        <v>0.81</v>
      </c>
      <c r="J762">
        <v>0.83299999999999996</v>
      </c>
      <c r="K762">
        <v>2.3E-2</v>
      </c>
      <c r="L762">
        <v>12</v>
      </c>
      <c r="M762">
        <v>9</v>
      </c>
      <c r="N762">
        <v>9</v>
      </c>
      <c r="O762">
        <v>0.82199999999999995</v>
      </c>
      <c r="P762">
        <v>2.8878641E-2</v>
      </c>
      <c r="Q762">
        <v>0.161</v>
      </c>
    </row>
    <row r="763" spans="1:17" s="30" customFormat="1" x14ac:dyDescent="0.2">
      <c r="A763" s="30">
        <f>IF(C763&amp;G763&amp;D763&lt;&gt;'Funnel setup'!$K$3&amp;'Funnel setup'!$K$4&amp;'Funnel setup'!$K$5,".",IF(A762=".",1,A762+1))</f>
        <v>59</v>
      </c>
      <c r="B763" s="431" t="str">
        <f t="shared" si="11"/>
        <v>Groin HerniaProviderBODMIN NHS TREATMENT CENTRE (NVC24)EQ-5D Index</v>
      </c>
      <c r="C763" t="s">
        <v>50</v>
      </c>
      <c r="D763" t="s">
        <v>1</v>
      </c>
      <c r="E763" t="s">
        <v>3228</v>
      </c>
      <c r="F763" t="s">
        <v>3229</v>
      </c>
      <c r="G763" t="s">
        <v>52</v>
      </c>
      <c r="H763">
        <v>56</v>
      </c>
      <c r="I763">
        <v>0.748</v>
      </c>
      <c r="J763">
        <v>0.93799999999999994</v>
      </c>
      <c r="K763">
        <v>0.19</v>
      </c>
      <c r="L763">
        <v>39</v>
      </c>
      <c r="M763">
        <v>14</v>
      </c>
      <c r="N763">
        <v>3</v>
      </c>
      <c r="O763">
        <v>0.94199999999999995</v>
      </c>
      <c r="P763">
        <v>0.148738545</v>
      </c>
      <c r="Q763">
        <v>0.10199999999999999</v>
      </c>
    </row>
    <row r="764" spans="1:17" s="30" customFormat="1" x14ac:dyDescent="0.2">
      <c r="A764" s="30">
        <f>IF(C764&amp;G764&amp;D764&lt;&gt;'Funnel setup'!$K$3&amp;'Funnel setup'!$K$4&amp;'Funnel setup'!$K$5,".",IF(A763=".",1,A763+1))</f>
        <v>60</v>
      </c>
      <c r="B764" s="431" t="str">
        <f t="shared" si="11"/>
        <v>Groin HerniaProviderBOLTON NHS FOUNDATION TRUST (RMC)EQ-5D Index</v>
      </c>
      <c r="C764" t="s">
        <v>50</v>
      </c>
      <c r="D764" t="s">
        <v>1</v>
      </c>
      <c r="E764" t="s">
        <v>3358</v>
      </c>
      <c r="F764" t="s">
        <v>3359</v>
      </c>
      <c r="G764" t="s">
        <v>52</v>
      </c>
      <c r="H764">
        <v>102</v>
      </c>
      <c r="I764">
        <v>0.81299999999999994</v>
      </c>
      <c r="J764">
        <v>0.87</v>
      </c>
      <c r="K764">
        <v>5.7000000000000002E-2</v>
      </c>
      <c r="L764">
        <v>46</v>
      </c>
      <c r="M764">
        <v>38</v>
      </c>
      <c r="N764">
        <v>18</v>
      </c>
      <c r="O764">
        <v>0.874</v>
      </c>
      <c r="P764">
        <v>8.0903020000000006E-2</v>
      </c>
      <c r="Q764">
        <v>0.193</v>
      </c>
    </row>
    <row r="765" spans="1:17" s="30" customFormat="1" x14ac:dyDescent="0.2">
      <c r="A765" s="30">
        <f>IF(C765&amp;G765&amp;D765&lt;&gt;'Funnel setup'!$K$3&amp;'Funnel setup'!$K$4&amp;'Funnel setup'!$K$5,".",IF(A764=".",1,A764+1))</f>
        <v>61</v>
      </c>
      <c r="B765" s="431" t="str">
        <f t="shared" si="11"/>
        <v>Groin HerniaProviderBOSTON WEST HOSPITAL (NVC27)EQ-5D Index</v>
      </c>
      <c r="C765" t="s">
        <v>50</v>
      </c>
      <c r="D765" t="s">
        <v>1</v>
      </c>
      <c r="E765" t="s">
        <v>3376</v>
      </c>
      <c r="F765" t="s">
        <v>3377</v>
      </c>
      <c r="G765" t="s">
        <v>52</v>
      </c>
      <c r="H765">
        <v>34</v>
      </c>
      <c r="I765">
        <v>0.85699999999999998</v>
      </c>
      <c r="J765">
        <v>0.92700000000000005</v>
      </c>
      <c r="K765">
        <v>7.0999999999999994E-2</v>
      </c>
      <c r="L765">
        <v>15</v>
      </c>
      <c r="M765">
        <v>13</v>
      </c>
      <c r="N765">
        <v>6</v>
      </c>
      <c r="O765">
        <v>0.88900000000000001</v>
      </c>
      <c r="P765">
        <v>9.6083479999999999E-2</v>
      </c>
      <c r="Q765">
        <v>0.12</v>
      </c>
    </row>
    <row r="766" spans="1:17" s="30" customFormat="1" x14ac:dyDescent="0.2">
      <c r="A766" s="30">
        <f>IF(C766&amp;G766&amp;D766&lt;&gt;'Funnel setup'!$K$3&amp;'Funnel setup'!$K$4&amp;'Funnel setup'!$K$5,".",IF(A765=".",1,A765+1))</f>
        <v>62</v>
      </c>
      <c r="B766" s="431" t="str">
        <f t="shared" si="11"/>
        <v>Groin HerniaProviderBRADFORD TEACHING HOSPITALS NHS FOUNDATION TRUST (RAE)EQ-5D Index</v>
      </c>
      <c r="C766" t="s">
        <v>50</v>
      </c>
      <c r="D766" t="s">
        <v>1</v>
      </c>
      <c r="E766" t="s">
        <v>3361</v>
      </c>
      <c r="F766" t="s">
        <v>3362</v>
      </c>
      <c r="G766" t="s">
        <v>52</v>
      </c>
      <c r="H766">
        <v>73</v>
      </c>
      <c r="I766">
        <v>0.755</v>
      </c>
      <c r="J766">
        <v>0.85799999999999998</v>
      </c>
      <c r="K766">
        <v>0.10299999999999999</v>
      </c>
      <c r="L766">
        <v>36</v>
      </c>
      <c r="M766">
        <v>21</v>
      </c>
      <c r="N766">
        <v>16</v>
      </c>
      <c r="O766">
        <v>0.89600000000000002</v>
      </c>
      <c r="P766">
        <v>0.102408044</v>
      </c>
      <c r="Q766">
        <v>0.17</v>
      </c>
    </row>
    <row r="767" spans="1:17" s="30" customFormat="1" x14ac:dyDescent="0.2">
      <c r="A767" s="30">
        <f>IF(C767&amp;G767&amp;D767&lt;&gt;'Funnel setup'!$K$3&amp;'Funnel setup'!$K$4&amp;'Funnel setup'!$K$5,".",IF(A766=".",1,A766+1))</f>
        <v>63</v>
      </c>
      <c r="B767" s="431" t="str">
        <f t="shared" si="11"/>
        <v>Groin HerniaProviderBRAINTREE COMMUNITY HOSPITAL (NNQ01)EQ-5D Index</v>
      </c>
      <c r="C767" t="s">
        <v>50</v>
      </c>
      <c r="D767" t="s">
        <v>1</v>
      </c>
      <c r="E767" t="s">
        <v>3364</v>
      </c>
      <c r="F767" t="s">
        <v>3365</v>
      </c>
      <c r="G767" t="s">
        <v>52</v>
      </c>
      <c r="H767" t="s">
        <v>53</v>
      </c>
      <c r="I767" t="s">
        <v>53</v>
      </c>
      <c r="J767" t="s">
        <v>53</v>
      </c>
      <c r="K767" t="s">
        <v>53</v>
      </c>
      <c r="L767" t="s">
        <v>53</v>
      </c>
      <c r="M767" t="s">
        <v>53</v>
      </c>
      <c r="N767" t="s">
        <v>53</v>
      </c>
      <c r="O767" t="s">
        <v>53</v>
      </c>
      <c r="P767" t="s">
        <v>53</v>
      </c>
      <c r="Q767" t="s">
        <v>53</v>
      </c>
    </row>
    <row r="768" spans="1:17" s="30" customFormat="1" x14ac:dyDescent="0.2">
      <c r="A768" s="30">
        <f>IF(C768&amp;G768&amp;D768&lt;&gt;'Funnel setup'!$K$3&amp;'Funnel setup'!$K$4&amp;'Funnel setup'!$K$5,".",IF(A767=".",1,A767+1))</f>
        <v>64</v>
      </c>
      <c r="B768" s="431" t="str">
        <f t="shared" si="11"/>
        <v>Groin HerniaProviderBRIGHTON AND SUSSEX UNIVERSITY HOSPITALS NHS TRUST (RXH)EQ-5D Index</v>
      </c>
      <c r="C768" t="s">
        <v>50</v>
      </c>
      <c r="D768" t="s">
        <v>1</v>
      </c>
      <c r="E768" t="s">
        <v>3367</v>
      </c>
      <c r="F768" t="s">
        <v>3368</v>
      </c>
      <c r="G768" t="s">
        <v>52</v>
      </c>
      <c r="H768">
        <v>253</v>
      </c>
      <c r="I768">
        <v>0.81499999999999995</v>
      </c>
      <c r="J768">
        <v>0.88900000000000001</v>
      </c>
      <c r="K768">
        <v>7.3999999999999996E-2</v>
      </c>
      <c r="L768">
        <v>111</v>
      </c>
      <c r="M768">
        <v>96</v>
      </c>
      <c r="N768">
        <v>46</v>
      </c>
      <c r="O768">
        <v>0.88100000000000001</v>
      </c>
      <c r="P768">
        <v>8.7293819999999994E-2</v>
      </c>
      <c r="Q768">
        <v>0.14599999999999999</v>
      </c>
    </row>
    <row r="769" spans="1:17" s="30" customFormat="1" x14ac:dyDescent="0.2">
      <c r="A769" s="30">
        <f>IF(C769&amp;G769&amp;D769&lt;&gt;'Funnel setup'!$K$3&amp;'Funnel setup'!$K$4&amp;'Funnel setup'!$K$5,".",IF(A768=".",1,A768+1))</f>
        <v>65</v>
      </c>
      <c r="B769" s="431" t="str">
        <f t="shared" si="11"/>
        <v>Groin HerniaProviderBUCKINGHAMSHIRE HEALTHCARE NHS TRUST (RXQ)EQ-5D Index</v>
      </c>
      <c r="C769" t="s">
        <v>50</v>
      </c>
      <c r="D769" t="s">
        <v>1</v>
      </c>
      <c r="E769" t="s">
        <v>3370</v>
      </c>
      <c r="F769" t="s">
        <v>3371</v>
      </c>
      <c r="G769" t="s">
        <v>52</v>
      </c>
      <c r="H769">
        <v>161</v>
      </c>
      <c r="I769">
        <v>0.746</v>
      </c>
      <c r="J769">
        <v>0.88500000000000001</v>
      </c>
      <c r="K769">
        <v>0.13900000000000001</v>
      </c>
      <c r="L769">
        <v>101</v>
      </c>
      <c r="M769">
        <v>42</v>
      </c>
      <c r="N769">
        <v>18</v>
      </c>
      <c r="O769">
        <v>0.89200000000000002</v>
      </c>
      <c r="P769">
        <v>9.9039297999999998E-2</v>
      </c>
      <c r="Q769">
        <v>0.14099999999999999</v>
      </c>
    </row>
    <row r="770" spans="1:17" s="30" customFormat="1" x14ac:dyDescent="0.2">
      <c r="A770" s="30">
        <f>IF(C770&amp;G770&amp;D770&lt;&gt;'Funnel setup'!$K$3&amp;'Funnel setup'!$K$4&amp;'Funnel setup'!$K$5,".",IF(A769=".",1,A769+1))</f>
        <v>66</v>
      </c>
      <c r="B770" s="431" t="str">
        <f t="shared" si="11"/>
        <v>Groin HerniaProviderBURTON HOSPITALS NHS FOUNDATION TRUST (RJF)EQ-5D Index</v>
      </c>
      <c r="C770" t="s">
        <v>50</v>
      </c>
      <c r="D770" t="s">
        <v>1</v>
      </c>
      <c r="E770" t="s">
        <v>3373</v>
      </c>
      <c r="F770" t="s">
        <v>3374</v>
      </c>
      <c r="G770" t="s">
        <v>52</v>
      </c>
      <c r="H770">
        <v>162</v>
      </c>
      <c r="I770">
        <v>0.82</v>
      </c>
      <c r="J770">
        <v>0.91100000000000003</v>
      </c>
      <c r="K770">
        <v>0.09</v>
      </c>
      <c r="L770">
        <v>76</v>
      </c>
      <c r="M770">
        <v>64</v>
      </c>
      <c r="N770">
        <v>22</v>
      </c>
      <c r="O770">
        <v>0.89300000000000002</v>
      </c>
      <c r="P770">
        <v>9.992769E-2</v>
      </c>
      <c r="Q770">
        <v>0.14199999999999999</v>
      </c>
    </row>
    <row r="771" spans="1:17" s="30" customFormat="1" x14ac:dyDescent="0.2">
      <c r="A771" s="30">
        <f>IF(C771&amp;G771&amp;D771&lt;&gt;'Funnel setup'!$K$3&amp;'Funnel setup'!$K$4&amp;'Funnel setup'!$K$5,".",IF(A770=".",1,A770+1))</f>
        <v>67</v>
      </c>
      <c r="B771" s="431" t="str">
        <f t="shared" ref="B771:B834" si="12">C771&amp;D771&amp;F771&amp;G771</f>
        <v>Groin HerniaProviderCALDERDALE AND HUDDERSFIELD NHS FOUNDATION TRUST (RWY)EQ-5D Index</v>
      </c>
      <c r="C771" t="s">
        <v>50</v>
      </c>
      <c r="D771" t="s">
        <v>1</v>
      </c>
      <c r="E771" t="s">
        <v>3379</v>
      </c>
      <c r="F771" t="s">
        <v>3380</v>
      </c>
      <c r="G771" t="s">
        <v>52</v>
      </c>
      <c r="H771">
        <v>151</v>
      </c>
      <c r="I771">
        <v>0.78900000000000003</v>
      </c>
      <c r="J771">
        <v>0.879</v>
      </c>
      <c r="K771">
        <v>0.09</v>
      </c>
      <c r="L771">
        <v>76</v>
      </c>
      <c r="M771">
        <v>43</v>
      </c>
      <c r="N771">
        <v>32</v>
      </c>
      <c r="O771">
        <v>0.88400000000000001</v>
      </c>
      <c r="P771">
        <v>9.0187214000000002E-2</v>
      </c>
      <c r="Q771">
        <v>0.17100000000000001</v>
      </c>
    </row>
    <row r="772" spans="1:17" s="30" customFormat="1" x14ac:dyDescent="0.2">
      <c r="A772" s="30">
        <f>IF(C772&amp;G772&amp;D772&lt;&gt;'Funnel setup'!$K$3&amp;'Funnel setup'!$K$4&amp;'Funnel setup'!$K$5,".",IF(A771=".",1,A771+1))</f>
        <v>68</v>
      </c>
      <c r="B772" s="431" t="str">
        <f t="shared" si="12"/>
        <v>Groin HerniaProviderCAMBRIDGE UNIVERSITY HOSPITALS NHS FOUNDATION TRUST (RGT)EQ-5D Index</v>
      </c>
      <c r="C772" t="s">
        <v>50</v>
      </c>
      <c r="D772" t="s">
        <v>1</v>
      </c>
      <c r="E772" t="s">
        <v>3076</v>
      </c>
      <c r="F772" t="s">
        <v>3077</v>
      </c>
      <c r="G772" t="s">
        <v>52</v>
      </c>
      <c r="H772">
        <v>206</v>
      </c>
      <c r="I772">
        <v>0.80200000000000005</v>
      </c>
      <c r="J772">
        <v>0.91</v>
      </c>
      <c r="K772">
        <v>0.108</v>
      </c>
      <c r="L772">
        <v>121</v>
      </c>
      <c r="M772">
        <v>58</v>
      </c>
      <c r="N772">
        <v>27</v>
      </c>
      <c r="O772">
        <v>0.89500000000000002</v>
      </c>
      <c r="P772">
        <v>0.102099393</v>
      </c>
      <c r="Q772">
        <v>0.126</v>
      </c>
    </row>
    <row r="773" spans="1:17" s="30" customFormat="1" x14ac:dyDescent="0.2">
      <c r="A773" s="30">
        <f>IF(C773&amp;G773&amp;D773&lt;&gt;'Funnel setup'!$K$3&amp;'Funnel setup'!$K$4&amp;'Funnel setup'!$K$5,".",IF(A772=".",1,A772+1))</f>
        <v>69</v>
      </c>
      <c r="B773" s="431" t="str">
        <f t="shared" si="12"/>
        <v>Groin HerniaProviderCENTRAL MANCHESTER UNIVERSITY HOSPITALS NHS FOUNDATION TRUST (RW3)EQ-5D Index</v>
      </c>
      <c r="C773" t="s">
        <v>50</v>
      </c>
      <c r="D773" t="s">
        <v>1</v>
      </c>
      <c r="E773" t="s">
        <v>3079</v>
      </c>
      <c r="F773" t="s">
        <v>3080</v>
      </c>
      <c r="G773" t="s">
        <v>52</v>
      </c>
      <c r="H773">
        <v>53</v>
      </c>
      <c r="I773">
        <v>0.70199999999999996</v>
      </c>
      <c r="J773">
        <v>0.84499999999999997</v>
      </c>
      <c r="K773">
        <v>0.14399999999999999</v>
      </c>
      <c r="L773">
        <v>37</v>
      </c>
      <c r="M773">
        <v>10</v>
      </c>
      <c r="N773">
        <v>6</v>
      </c>
      <c r="O773">
        <v>0.88500000000000001</v>
      </c>
      <c r="P773">
        <v>9.1662668000000003E-2</v>
      </c>
      <c r="Q773">
        <v>0.113</v>
      </c>
    </row>
    <row r="774" spans="1:17" s="30" customFormat="1" x14ac:dyDescent="0.2">
      <c r="A774" s="30">
        <f>IF(C774&amp;G774&amp;D774&lt;&gt;'Funnel setup'!$K$3&amp;'Funnel setup'!$K$4&amp;'Funnel setup'!$K$5,".",IF(A773=".",1,A773+1))</f>
        <v>70</v>
      </c>
      <c r="B774" s="431" t="str">
        <f t="shared" si="12"/>
        <v>Groin HerniaProviderCHELSEA AND WESTMINSTER HOSPITAL NHS FOUNDATION TRUST (RQM)EQ-5D Index</v>
      </c>
      <c r="C774" t="s">
        <v>50</v>
      </c>
      <c r="D774" t="s">
        <v>1</v>
      </c>
      <c r="E774" t="s">
        <v>3082</v>
      </c>
      <c r="F774" t="s">
        <v>3083</v>
      </c>
      <c r="G774" t="s">
        <v>52</v>
      </c>
      <c r="H774">
        <v>21</v>
      </c>
      <c r="I774">
        <v>0.81799999999999995</v>
      </c>
      <c r="J774">
        <v>0.89900000000000002</v>
      </c>
      <c r="K774">
        <v>8.2000000000000003E-2</v>
      </c>
      <c r="L774">
        <v>9</v>
      </c>
      <c r="M774">
        <v>6</v>
      </c>
      <c r="N774">
        <v>6</v>
      </c>
      <c r="O774" t="s">
        <v>53</v>
      </c>
      <c r="P774" t="s">
        <v>53</v>
      </c>
      <c r="Q774" t="s">
        <v>53</v>
      </c>
    </row>
    <row r="775" spans="1:17" s="30" customFormat="1" x14ac:dyDescent="0.2">
      <c r="A775" s="30">
        <f>IF(C775&amp;G775&amp;D775&lt;&gt;'Funnel setup'!$K$3&amp;'Funnel setup'!$K$4&amp;'Funnel setup'!$K$5,".",IF(A774=".",1,A774+1))</f>
        <v>71</v>
      </c>
      <c r="B775" s="431" t="str">
        <f t="shared" si="12"/>
        <v>Groin HerniaProviderCHESTERFIELD ROYAL HOSPITAL NHS FOUNDATION TRUST (RFS)EQ-5D Index</v>
      </c>
      <c r="C775" t="s">
        <v>50</v>
      </c>
      <c r="D775" t="s">
        <v>1</v>
      </c>
      <c r="E775" t="s">
        <v>3085</v>
      </c>
      <c r="F775" t="s">
        <v>3086</v>
      </c>
      <c r="G775" t="s">
        <v>52</v>
      </c>
      <c r="H775">
        <v>143</v>
      </c>
      <c r="I775">
        <v>0.76600000000000001</v>
      </c>
      <c r="J775">
        <v>0.875</v>
      </c>
      <c r="K775">
        <v>0.109</v>
      </c>
      <c r="L775">
        <v>83</v>
      </c>
      <c r="M775">
        <v>36</v>
      </c>
      <c r="N775">
        <v>24</v>
      </c>
      <c r="O775">
        <v>0.89100000000000001</v>
      </c>
      <c r="P775">
        <v>9.7340948999999996E-2</v>
      </c>
      <c r="Q775">
        <v>0.13800000000000001</v>
      </c>
    </row>
    <row r="776" spans="1:17" s="30" customFormat="1" x14ac:dyDescent="0.2">
      <c r="A776" s="30">
        <f>IF(C776&amp;G776&amp;D776&lt;&gt;'Funnel setup'!$K$3&amp;'Funnel setup'!$K$4&amp;'Funnel setup'!$K$5,".",IF(A775=".",1,A775+1))</f>
        <v>72</v>
      </c>
      <c r="B776" s="431" t="str">
        <f t="shared" si="12"/>
        <v>Groin HerniaProviderCIRCLE - NOTTINGHAM NHS TREATMENT CENTRE (NV313)EQ-5D Index</v>
      </c>
      <c r="C776" t="s">
        <v>50</v>
      </c>
      <c r="D776" t="s">
        <v>1</v>
      </c>
      <c r="E776" t="s">
        <v>3094</v>
      </c>
      <c r="F776" t="s">
        <v>3095</v>
      </c>
      <c r="G776" t="s">
        <v>52</v>
      </c>
      <c r="H776">
        <v>187</v>
      </c>
      <c r="I776">
        <v>0.82799999999999996</v>
      </c>
      <c r="J776">
        <v>0.88</v>
      </c>
      <c r="K776">
        <v>5.1999999999999998E-2</v>
      </c>
      <c r="L776">
        <v>92</v>
      </c>
      <c r="M776">
        <v>59</v>
      </c>
      <c r="N776">
        <v>36</v>
      </c>
      <c r="O776">
        <v>0.86</v>
      </c>
      <c r="P776">
        <v>6.6365306999999998E-2</v>
      </c>
      <c r="Q776">
        <v>0.16400000000000001</v>
      </c>
    </row>
    <row r="777" spans="1:17" s="30" customFormat="1" x14ac:dyDescent="0.2">
      <c r="A777" s="30">
        <f>IF(C777&amp;G777&amp;D777&lt;&gt;'Funnel setup'!$K$3&amp;'Funnel setup'!$K$4&amp;'Funnel setup'!$K$5,".",IF(A776=".",1,A776+1))</f>
        <v>73</v>
      </c>
      <c r="B777" s="431" t="str">
        <f t="shared" si="12"/>
        <v>Groin HerniaProviderCIRCLE BATH HOSPITAL (NV302)EQ-5D Index</v>
      </c>
      <c r="C777" t="s">
        <v>50</v>
      </c>
      <c r="D777" t="s">
        <v>1</v>
      </c>
      <c r="E777" t="s">
        <v>3097</v>
      </c>
      <c r="F777" t="s">
        <v>3098</v>
      </c>
      <c r="G777" t="s">
        <v>52</v>
      </c>
      <c r="H777">
        <v>41</v>
      </c>
      <c r="I777">
        <v>0.878</v>
      </c>
      <c r="J777">
        <v>0.92500000000000004</v>
      </c>
      <c r="K777">
        <v>4.7E-2</v>
      </c>
      <c r="L777">
        <v>17</v>
      </c>
      <c r="M777">
        <v>18</v>
      </c>
      <c r="N777">
        <v>6</v>
      </c>
      <c r="O777">
        <v>0.876</v>
      </c>
      <c r="P777">
        <v>8.2273259000000001E-2</v>
      </c>
      <c r="Q777">
        <v>0.125</v>
      </c>
    </row>
    <row r="778" spans="1:17" s="30" customFormat="1" x14ac:dyDescent="0.2">
      <c r="A778" s="30">
        <f>IF(C778&amp;G778&amp;D778&lt;&gt;'Funnel setup'!$K$3&amp;'Funnel setup'!$K$4&amp;'Funnel setup'!$K$5,".",IF(A777=".",1,A777+1))</f>
        <v>74</v>
      </c>
      <c r="B778" s="431" t="str">
        <f t="shared" si="12"/>
        <v>Groin HerniaProviderCIRCLE READING HOSPITAL (NV323)EQ-5D Index</v>
      </c>
      <c r="C778" t="s">
        <v>50</v>
      </c>
      <c r="D778" t="s">
        <v>1</v>
      </c>
      <c r="E778" t="s">
        <v>3091</v>
      </c>
      <c r="F778" t="s">
        <v>3092</v>
      </c>
      <c r="G778" t="s">
        <v>52</v>
      </c>
      <c r="H778">
        <v>32</v>
      </c>
      <c r="I778">
        <v>0.81299999999999994</v>
      </c>
      <c r="J778">
        <v>0.92300000000000004</v>
      </c>
      <c r="K778">
        <v>0.11</v>
      </c>
      <c r="L778">
        <v>22</v>
      </c>
      <c r="M778">
        <v>8</v>
      </c>
      <c r="N778">
        <v>2</v>
      </c>
      <c r="O778">
        <v>0.89200000000000002</v>
      </c>
      <c r="P778">
        <v>9.8334087000000001E-2</v>
      </c>
      <c r="Q778">
        <v>9.7000000000000003E-2</v>
      </c>
    </row>
    <row r="779" spans="1:17" s="30" customFormat="1" x14ac:dyDescent="0.2">
      <c r="A779" s="30">
        <f>IF(C779&amp;G779&amp;D779&lt;&gt;'Funnel setup'!$K$3&amp;'Funnel setup'!$K$4&amp;'Funnel setup'!$K$5,".",IF(A778=".",1,A778+1))</f>
        <v>75</v>
      </c>
      <c r="B779" s="431" t="str">
        <f t="shared" si="12"/>
        <v>Groin HerniaProviderCIRENCESTER NHS TREATMENT CENTRE (NTPH4)EQ-5D Index</v>
      </c>
      <c r="C779" t="s">
        <v>50</v>
      </c>
      <c r="D779" t="s">
        <v>1</v>
      </c>
      <c r="E779" t="s">
        <v>3088</v>
      </c>
      <c r="F779" t="s">
        <v>3089</v>
      </c>
      <c r="G779" t="s">
        <v>52</v>
      </c>
      <c r="H779">
        <v>71</v>
      </c>
      <c r="I779">
        <v>0.871</v>
      </c>
      <c r="J779">
        <v>0.93400000000000005</v>
      </c>
      <c r="K779">
        <v>6.2E-2</v>
      </c>
      <c r="L779">
        <v>28</v>
      </c>
      <c r="M779">
        <v>36</v>
      </c>
      <c r="N779">
        <v>7</v>
      </c>
      <c r="O779">
        <v>0.88800000000000001</v>
      </c>
      <c r="P779">
        <v>9.4803411000000004E-2</v>
      </c>
      <c r="Q779">
        <v>0.13900000000000001</v>
      </c>
    </row>
    <row r="780" spans="1:17" s="30" customFormat="1" x14ac:dyDescent="0.2">
      <c r="A780" s="30">
        <f>IF(C780&amp;G780&amp;D780&lt;&gt;'Funnel setup'!$K$3&amp;'Funnel setup'!$K$4&amp;'Funnel setup'!$K$5,".",IF(A779=".",1,A779+1))</f>
        <v>76</v>
      </c>
      <c r="B780" s="431" t="str">
        <f t="shared" si="12"/>
        <v>Groin HerniaProviderCITY HOSPITALS SUNDERLAND NHS FOUNDATION TRUST (RLN)EQ-5D Index</v>
      </c>
      <c r="C780" t="s">
        <v>50</v>
      </c>
      <c r="D780" t="s">
        <v>1</v>
      </c>
      <c r="E780" t="s">
        <v>3100</v>
      </c>
      <c r="F780" t="s">
        <v>3101</v>
      </c>
      <c r="G780" t="s">
        <v>52</v>
      </c>
      <c r="H780">
        <v>139</v>
      </c>
      <c r="I780">
        <v>0.71899999999999997</v>
      </c>
      <c r="J780">
        <v>0.78</v>
      </c>
      <c r="K780">
        <v>6.0999999999999999E-2</v>
      </c>
      <c r="L780">
        <v>63</v>
      </c>
      <c r="M780">
        <v>36</v>
      </c>
      <c r="N780">
        <v>40</v>
      </c>
      <c r="O780">
        <v>0.84799999999999998</v>
      </c>
      <c r="P780">
        <v>5.4335804000000001E-2</v>
      </c>
      <c r="Q780">
        <v>0.19700000000000001</v>
      </c>
    </row>
    <row r="781" spans="1:17" s="30" customFormat="1" x14ac:dyDescent="0.2">
      <c r="A781" s="30">
        <f>IF(C781&amp;G781&amp;D781&lt;&gt;'Funnel setup'!$K$3&amp;'Funnel setup'!$K$4&amp;'Funnel setup'!$K$5,".",IF(A780=".",1,A780+1))</f>
        <v>77</v>
      </c>
      <c r="B781" s="431" t="str">
        <f t="shared" si="12"/>
        <v>Groin HerniaProviderCOBALT HOSPITAL (NVC29)EQ-5D Index</v>
      </c>
      <c r="C781" t="s">
        <v>50</v>
      </c>
      <c r="D781" t="s">
        <v>1</v>
      </c>
      <c r="E781" t="s">
        <v>3106</v>
      </c>
      <c r="F781" t="s">
        <v>3107</v>
      </c>
      <c r="G781" t="s">
        <v>52</v>
      </c>
      <c r="H781">
        <v>54</v>
      </c>
      <c r="I781">
        <v>0.85699999999999998</v>
      </c>
      <c r="J781">
        <v>0.88200000000000001</v>
      </c>
      <c r="K781">
        <v>2.5000000000000001E-2</v>
      </c>
      <c r="L781">
        <v>18</v>
      </c>
      <c r="M781">
        <v>27</v>
      </c>
      <c r="N781">
        <v>9</v>
      </c>
      <c r="O781">
        <v>0.83799999999999997</v>
      </c>
      <c r="P781">
        <v>4.4608923000000002E-2</v>
      </c>
      <c r="Q781">
        <v>0.158</v>
      </c>
    </row>
    <row r="782" spans="1:17" s="30" customFormat="1" x14ac:dyDescent="0.2">
      <c r="A782" s="30">
        <f>IF(C782&amp;G782&amp;D782&lt;&gt;'Funnel setup'!$K$3&amp;'Funnel setup'!$K$4&amp;'Funnel setup'!$K$5,".",IF(A781=".",1,A781+1))</f>
        <v>78</v>
      </c>
      <c r="B782" s="431" t="str">
        <f t="shared" si="12"/>
        <v>Groin HerniaProviderCOLCHESTER HOSPITAL UNIVERSITY NHS FOUNDATION TRUST (RDE)EQ-5D Index</v>
      </c>
      <c r="C782" t="s">
        <v>50</v>
      </c>
      <c r="D782" t="s">
        <v>1</v>
      </c>
      <c r="E782" t="s">
        <v>3109</v>
      </c>
      <c r="F782" t="s">
        <v>3110</v>
      </c>
      <c r="G782" t="s">
        <v>52</v>
      </c>
      <c r="H782">
        <v>153</v>
      </c>
      <c r="I782">
        <v>0.748</v>
      </c>
      <c r="J782">
        <v>0.85599999999999998</v>
      </c>
      <c r="K782">
        <v>0.108</v>
      </c>
      <c r="L782">
        <v>77</v>
      </c>
      <c r="M782">
        <v>51</v>
      </c>
      <c r="N782">
        <v>25</v>
      </c>
      <c r="O782">
        <v>0.88900000000000001</v>
      </c>
      <c r="P782">
        <v>9.5608597000000003E-2</v>
      </c>
      <c r="Q782">
        <v>0.16700000000000001</v>
      </c>
    </row>
    <row r="783" spans="1:17" s="30" customFormat="1" x14ac:dyDescent="0.2">
      <c r="A783" s="30">
        <f>IF(C783&amp;G783&amp;D783&lt;&gt;'Funnel setup'!$K$3&amp;'Funnel setup'!$K$4&amp;'Funnel setup'!$K$5,".",IF(A782=".",1,A782+1))</f>
        <v>79</v>
      </c>
      <c r="B783" s="431" t="str">
        <f t="shared" si="12"/>
        <v>Groin HerniaProviderCOUNTESS OF CHESTER HOSPITAL NHS FOUNDATION TRUST (RJR)EQ-5D Index</v>
      </c>
      <c r="C783" t="s">
        <v>50</v>
      </c>
      <c r="D783" t="s">
        <v>1</v>
      </c>
      <c r="E783" t="s">
        <v>3781</v>
      </c>
      <c r="F783" t="s">
        <v>3782</v>
      </c>
      <c r="G783" t="s">
        <v>52</v>
      </c>
      <c r="H783">
        <v>88</v>
      </c>
      <c r="I783">
        <v>0.78800000000000003</v>
      </c>
      <c r="J783">
        <v>0.85899999999999999</v>
      </c>
      <c r="K783">
        <v>7.0999999999999994E-2</v>
      </c>
      <c r="L783">
        <v>36</v>
      </c>
      <c r="M783">
        <v>32</v>
      </c>
      <c r="N783">
        <v>20</v>
      </c>
      <c r="O783">
        <v>0.86399999999999999</v>
      </c>
      <c r="P783">
        <v>7.1019235E-2</v>
      </c>
      <c r="Q783">
        <v>0.14399999999999999</v>
      </c>
    </row>
    <row r="784" spans="1:17" s="30" customFormat="1" x14ac:dyDescent="0.2">
      <c r="A784" s="30">
        <f>IF(C784&amp;G784&amp;D784&lt;&gt;'Funnel setup'!$K$3&amp;'Funnel setup'!$K$4&amp;'Funnel setup'!$K$5,".",IF(A783=".",1,A783+1))</f>
        <v>80</v>
      </c>
      <c r="B784" s="431" t="str">
        <f t="shared" si="12"/>
        <v>Groin HerniaProviderCOUNTY DURHAM AND DARLINGTON NHS FOUNDATION TRUST (RXP)EQ-5D Index</v>
      </c>
      <c r="C784" t="s">
        <v>50</v>
      </c>
      <c r="D784" t="s">
        <v>1</v>
      </c>
      <c r="E784" t="s">
        <v>3784</v>
      </c>
      <c r="F784" t="s">
        <v>3785</v>
      </c>
      <c r="G784" t="s">
        <v>52</v>
      </c>
      <c r="H784">
        <v>169</v>
      </c>
      <c r="I784">
        <v>0.80800000000000005</v>
      </c>
      <c r="J784">
        <v>0.85</v>
      </c>
      <c r="K784">
        <v>4.2999999999999997E-2</v>
      </c>
      <c r="L784">
        <v>78</v>
      </c>
      <c r="M784">
        <v>53</v>
      </c>
      <c r="N784">
        <v>38</v>
      </c>
      <c r="O784">
        <v>0.85699999999999998</v>
      </c>
      <c r="P784">
        <v>6.3684451000000003E-2</v>
      </c>
      <c r="Q784">
        <v>0.187</v>
      </c>
    </row>
    <row r="785" spans="1:17" s="30" customFormat="1" x14ac:dyDescent="0.2">
      <c r="A785" s="30">
        <f>IF(C785&amp;G785&amp;D785&lt;&gt;'Funnel setup'!$K$3&amp;'Funnel setup'!$K$4&amp;'Funnel setup'!$K$5,".",IF(A784=".",1,A784+1))</f>
        <v>81</v>
      </c>
      <c r="B785" s="431" t="str">
        <f t="shared" si="12"/>
        <v>Groin HerniaProviderDARTFORD AND GRAVESHAM NHS TRUST (RN7)EQ-5D Index</v>
      </c>
      <c r="C785" t="s">
        <v>50</v>
      </c>
      <c r="D785" t="s">
        <v>1</v>
      </c>
      <c r="E785" t="s">
        <v>3787</v>
      </c>
      <c r="F785" t="s">
        <v>3788</v>
      </c>
      <c r="G785" t="s">
        <v>52</v>
      </c>
      <c r="H785">
        <v>56</v>
      </c>
      <c r="I785">
        <v>0.79600000000000004</v>
      </c>
      <c r="J785">
        <v>0.88</v>
      </c>
      <c r="K785">
        <v>8.4000000000000005E-2</v>
      </c>
      <c r="L785">
        <v>23</v>
      </c>
      <c r="M785">
        <v>27</v>
      </c>
      <c r="N785">
        <v>6</v>
      </c>
      <c r="O785">
        <v>0.90600000000000003</v>
      </c>
      <c r="P785">
        <v>0.11299629899999999</v>
      </c>
      <c r="Q785">
        <v>0.115</v>
      </c>
    </row>
    <row r="786" spans="1:17" s="30" customFormat="1" x14ac:dyDescent="0.2">
      <c r="A786" s="30">
        <f>IF(C786&amp;G786&amp;D786&lt;&gt;'Funnel setup'!$K$3&amp;'Funnel setup'!$K$4&amp;'Funnel setup'!$K$5,".",IF(A785=".",1,A785+1))</f>
        <v>82</v>
      </c>
      <c r="B786" s="431" t="str">
        <f t="shared" si="12"/>
        <v>Groin HerniaProviderDERBY TEACHING HOSPITALS NHS FOUNDATION TRUST (RTG)EQ-5D Index</v>
      </c>
      <c r="C786" t="s">
        <v>50</v>
      </c>
      <c r="D786" t="s">
        <v>1</v>
      </c>
      <c r="E786" t="s">
        <v>3790</v>
      </c>
      <c r="F786" t="s">
        <v>3791</v>
      </c>
      <c r="G786" t="s">
        <v>52</v>
      </c>
      <c r="H786">
        <v>144</v>
      </c>
      <c r="I786">
        <v>0.81</v>
      </c>
      <c r="J786">
        <v>0.86399999999999999</v>
      </c>
      <c r="K786">
        <v>5.5E-2</v>
      </c>
      <c r="L786">
        <v>65</v>
      </c>
      <c r="M786">
        <v>52</v>
      </c>
      <c r="N786">
        <v>27</v>
      </c>
      <c r="O786">
        <v>0.85699999999999998</v>
      </c>
      <c r="P786">
        <v>6.3254006000000002E-2</v>
      </c>
      <c r="Q786">
        <v>0.158</v>
      </c>
    </row>
    <row r="787" spans="1:17" s="30" customFormat="1" x14ac:dyDescent="0.2">
      <c r="A787" s="30">
        <f>IF(C787&amp;G787&amp;D787&lt;&gt;'Funnel setup'!$K$3&amp;'Funnel setup'!$K$4&amp;'Funnel setup'!$K$5,".",IF(A786=".",1,A786+1))</f>
        <v>83</v>
      </c>
      <c r="B787" s="431" t="str">
        <f t="shared" si="12"/>
        <v>Groin HerniaProviderDERBYSHIRE COMMUNITY HEALTH SERVICES NHS FOUNDATION TRUST (RY8)EQ-5D Index</v>
      </c>
      <c r="C787" t="s">
        <v>50</v>
      </c>
      <c r="D787" t="s">
        <v>1</v>
      </c>
      <c r="E787" t="s">
        <v>3811</v>
      </c>
      <c r="F787" t="s">
        <v>3812</v>
      </c>
      <c r="G787" t="s">
        <v>52</v>
      </c>
      <c r="H787" t="s">
        <v>53</v>
      </c>
      <c r="I787" t="s">
        <v>53</v>
      </c>
      <c r="J787" t="s">
        <v>53</v>
      </c>
      <c r="K787" t="s">
        <v>53</v>
      </c>
      <c r="L787" t="s">
        <v>53</v>
      </c>
      <c r="M787" t="s">
        <v>53</v>
      </c>
      <c r="N787" t="s">
        <v>53</v>
      </c>
      <c r="O787" t="s">
        <v>53</v>
      </c>
      <c r="P787" t="s">
        <v>53</v>
      </c>
      <c r="Q787" t="s">
        <v>53</v>
      </c>
    </row>
    <row r="788" spans="1:17" s="30" customFormat="1" x14ac:dyDescent="0.2">
      <c r="A788" s="30">
        <f>IF(C788&amp;G788&amp;D788&lt;&gt;'Funnel setup'!$K$3&amp;'Funnel setup'!$K$4&amp;'Funnel setup'!$K$5,".",IF(A787=".",1,A787+1))</f>
        <v>84</v>
      </c>
      <c r="B788" s="431" t="str">
        <f t="shared" si="12"/>
        <v>Groin HerniaProviderDEVIZES NHS TREATMENT CENTRE (NTPH3)EQ-5D Index</v>
      </c>
      <c r="C788" t="s">
        <v>50</v>
      </c>
      <c r="D788" t="s">
        <v>1</v>
      </c>
      <c r="E788" t="s">
        <v>3796</v>
      </c>
      <c r="F788" t="s">
        <v>3797</v>
      </c>
      <c r="G788" t="s">
        <v>52</v>
      </c>
      <c r="H788">
        <v>90</v>
      </c>
      <c r="I788">
        <v>0.83199999999999996</v>
      </c>
      <c r="J788">
        <v>0.91800000000000004</v>
      </c>
      <c r="K788">
        <v>8.6999999999999994E-2</v>
      </c>
      <c r="L788">
        <v>48</v>
      </c>
      <c r="M788">
        <v>32</v>
      </c>
      <c r="N788">
        <v>10</v>
      </c>
      <c r="O788">
        <v>0.88700000000000001</v>
      </c>
      <c r="P788">
        <v>9.3310833999999995E-2</v>
      </c>
      <c r="Q788">
        <v>0.11600000000000001</v>
      </c>
    </row>
    <row r="789" spans="1:17" s="30" customFormat="1" x14ac:dyDescent="0.2">
      <c r="A789" s="30">
        <f>IF(C789&amp;G789&amp;D789&lt;&gt;'Funnel setup'!$K$3&amp;'Funnel setup'!$K$4&amp;'Funnel setup'!$K$5,".",IF(A788=".",1,A788+1))</f>
        <v>85</v>
      </c>
      <c r="B789" s="431" t="str">
        <f t="shared" si="12"/>
        <v>Groin HerniaProviderDONCASTER AND BASSETLAW HOSPITALS NHS FOUNDATION TRUST (RP5)EQ-5D Index</v>
      </c>
      <c r="C789" t="s">
        <v>50</v>
      </c>
      <c r="D789" t="s">
        <v>1</v>
      </c>
      <c r="E789" t="s">
        <v>3799</v>
      </c>
      <c r="F789" t="s">
        <v>3800</v>
      </c>
      <c r="G789" t="s">
        <v>52</v>
      </c>
      <c r="H789">
        <v>257</v>
      </c>
      <c r="I789">
        <v>0.77100000000000002</v>
      </c>
      <c r="J789">
        <v>0.83599999999999997</v>
      </c>
      <c r="K789">
        <v>6.5000000000000002E-2</v>
      </c>
      <c r="L789">
        <v>130</v>
      </c>
      <c r="M789">
        <v>67</v>
      </c>
      <c r="N789">
        <v>60</v>
      </c>
      <c r="O789">
        <v>0.85699999999999998</v>
      </c>
      <c r="P789">
        <v>6.3738845000000002E-2</v>
      </c>
      <c r="Q789">
        <v>0.17699999999999999</v>
      </c>
    </row>
    <row r="790" spans="1:17" s="30" customFormat="1" x14ac:dyDescent="0.2">
      <c r="A790" s="30">
        <f>IF(C790&amp;G790&amp;D790&lt;&gt;'Funnel setup'!$K$3&amp;'Funnel setup'!$K$4&amp;'Funnel setup'!$K$5,".",IF(A789=".",1,A789+1))</f>
        <v>86</v>
      </c>
      <c r="B790" s="431" t="str">
        <f t="shared" si="12"/>
        <v>Groin HerniaProviderDORSET COUNTY HOSPITAL NHS FOUNDATION TRUST (RBD)EQ-5D Index</v>
      </c>
      <c r="C790" t="s">
        <v>50</v>
      </c>
      <c r="D790" t="s">
        <v>1</v>
      </c>
      <c r="E790" t="s">
        <v>3802</v>
      </c>
      <c r="F790" t="s">
        <v>3803</v>
      </c>
      <c r="G790" t="s">
        <v>52</v>
      </c>
      <c r="H790">
        <v>59</v>
      </c>
      <c r="I790">
        <v>0.82799999999999996</v>
      </c>
      <c r="J790">
        <v>0.88200000000000001</v>
      </c>
      <c r="K790">
        <v>5.2999999999999999E-2</v>
      </c>
      <c r="L790">
        <v>22</v>
      </c>
      <c r="M790">
        <v>26</v>
      </c>
      <c r="N790">
        <v>11</v>
      </c>
      <c r="O790">
        <v>0.86</v>
      </c>
      <c r="P790">
        <v>6.6132237999999996E-2</v>
      </c>
      <c r="Q790">
        <v>0.14199999999999999</v>
      </c>
    </row>
    <row r="791" spans="1:17" s="30" customFormat="1" x14ac:dyDescent="0.2">
      <c r="A791" s="30">
        <f>IF(C791&amp;G791&amp;D791&lt;&gt;'Funnel setup'!$K$3&amp;'Funnel setup'!$K$4&amp;'Funnel setup'!$K$5,".",IF(A790=".",1,A790+1))</f>
        <v>87</v>
      </c>
      <c r="B791" s="431" t="str">
        <f t="shared" si="12"/>
        <v>Groin HerniaProviderDORSET HEALTHCARE UNIVERSITY NHS FOUNDATION TRUST (RDY)EQ-5D Index</v>
      </c>
      <c r="C791" t="s">
        <v>50</v>
      </c>
      <c r="D791" t="s">
        <v>1</v>
      </c>
      <c r="E791" t="s">
        <v>3805</v>
      </c>
      <c r="F791" t="s">
        <v>3806</v>
      </c>
      <c r="G791" t="s">
        <v>52</v>
      </c>
      <c r="H791">
        <v>88</v>
      </c>
      <c r="I791">
        <v>0.83099999999999996</v>
      </c>
      <c r="J791">
        <v>0.93100000000000005</v>
      </c>
      <c r="K791">
        <v>0.1</v>
      </c>
      <c r="L791">
        <v>42</v>
      </c>
      <c r="M791">
        <v>34</v>
      </c>
      <c r="N791">
        <v>12</v>
      </c>
      <c r="O791">
        <v>0.88700000000000001</v>
      </c>
      <c r="P791">
        <v>9.3678017000000002E-2</v>
      </c>
      <c r="Q791">
        <v>0.106</v>
      </c>
    </row>
    <row r="792" spans="1:17" s="30" customFormat="1" x14ac:dyDescent="0.2">
      <c r="A792" s="30">
        <f>IF(C792&amp;G792&amp;D792&lt;&gt;'Funnel setup'!$K$3&amp;'Funnel setup'!$K$4&amp;'Funnel setup'!$K$5,".",IF(A791=".",1,A791+1))</f>
        <v>88</v>
      </c>
      <c r="B792" s="431" t="str">
        <f t="shared" si="12"/>
        <v>Groin HerniaProviderEAST AND NORTH HERTFORDSHIRE NHS TRUST (RWH)EQ-5D Index</v>
      </c>
      <c r="C792" t="s">
        <v>50</v>
      </c>
      <c r="D792" t="s">
        <v>1</v>
      </c>
      <c r="E792" t="s">
        <v>3814</v>
      </c>
      <c r="F792" t="s">
        <v>3815</v>
      </c>
      <c r="G792" t="s">
        <v>52</v>
      </c>
      <c r="H792">
        <v>68</v>
      </c>
      <c r="I792">
        <v>0.77800000000000002</v>
      </c>
      <c r="J792">
        <v>0.873</v>
      </c>
      <c r="K792">
        <v>9.5000000000000001E-2</v>
      </c>
      <c r="L792">
        <v>41</v>
      </c>
      <c r="M792">
        <v>15</v>
      </c>
      <c r="N792">
        <v>12</v>
      </c>
      <c r="O792">
        <v>0.86599999999999999</v>
      </c>
      <c r="P792">
        <v>7.2647681000000006E-2</v>
      </c>
      <c r="Q792">
        <v>0.17699999999999999</v>
      </c>
    </row>
    <row r="793" spans="1:17" s="30" customFormat="1" x14ac:dyDescent="0.2">
      <c r="A793" s="30">
        <f>IF(C793&amp;G793&amp;D793&lt;&gt;'Funnel setup'!$K$3&amp;'Funnel setup'!$K$4&amp;'Funnel setup'!$K$5,".",IF(A792=".",1,A792+1))</f>
        <v>89</v>
      </c>
      <c r="B793" s="431" t="str">
        <f t="shared" si="12"/>
        <v>Groin HerniaProviderEAST CHESHIRE NHS TRUST (RJN)EQ-5D Index</v>
      </c>
      <c r="C793" t="s">
        <v>50</v>
      </c>
      <c r="D793" t="s">
        <v>1</v>
      </c>
      <c r="E793" t="s">
        <v>3817</v>
      </c>
      <c r="F793" t="s">
        <v>3818</v>
      </c>
      <c r="G793" t="s">
        <v>52</v>
      </c>
      <c r="H793">
        <v>73</v>
      </c>
      <c r="I793">
        <v>0.78800000000000003</v>
      </c>
      <c r="J793">
        <v>0.88200000000000001</v>
      </c>
      <c r="K793">
        <v>9.4E-2</v>
      </c>
      <c r="L793">
        <v>42</v>
      </c>
      <c r="M793">
        <v>18</v>
      </c>
      <c r="N793">
        <v>13</v>
      </c>
      <c r="O793">
        <v>0.878</v>
      </c>
      <c r="P793">
        <v>8.4394472999999998E-2</v>
      </c>
      <c r="Q793">
        <v>0.154</v>
      </c>
    </row>
    <row r="794" spans="1:17" s="30" customFormat="1" x14ac:dyDescent="0.2">
      <c r="A794" s="30">
        <f>IF(C794&amp;G794&amp;D794&lt;&gt;'Funnel setup'!$K$3&amp;'Funnel setup'!$K$4&amp;'Funnel setup'!$K$5,".",IF(A793=".",1,A793+1))</f>
        <v>90</v>
      </c>
      <c r="B794" s="431" t="str">
        <f t="shared" si="12"/>
        <v>Groin HerniaProviderEAST KENT HOSPITALS UNIVERSITY NHS FOUNDATION TRUST (RVV)EQ-5D Index</v>
      </c>
      <c r="C794" t="s">
        <v>50</v>
      </c>
      <c r="D794" t="s">
        <v>1</v>
      </c>
      <c r="E794" t="s">
        <v>3820</v>
      </c>
      <c r="F794" t="s">
        <v>3821</v>
      </c>
      <c r="G794" t="s">
        <v>52</v>
      </c>
      <c r="H794">
        <v>183</v>
      </c>
      <c r="I794">
        <v>0.78100000000000003</v>
      </c>
      <c r="J794">
        <v>0.88500000000000001</v>
      </c>
      <c r="K794">
        <v>0.104</v>
      </c>
      <c r="L794">
        <v>101</v>
      </c>
      <c r="M794">
        <v>50</v>
      </c>
      <c r="N794">
        <v>32</v>
      </c>
      <c r="O794">
        <v>0.89300000000000002</v>
      </c>
      <c r="P794">
        <v>9.9536235000000001E-2</v>
      </c>
      <c r="Q794">
        <v>0.158</v>
      </c>
    </row>
    <row r="795" spans="1:17" s="30" customFormat="1" x14ac:dyDescent="0.2">
      <c r="A795" s="30">
        <f>IF(C795&amp;G795&amp;D795&lt;&gt;'Funnel setup'!$K$3&amp;'Funnel setup'!$K$4&amp;'Funnel setup'!$K$5,".",IF(A794=".",1,A794+1))</f>
        <v>91</v>
      </c>
      <c r="B795" s="431" t="str">
        <f t="shared" si="12"/>
        <v>Groin HerniaProviderEAST LANCASHIRE HOSPITALS NHS TRUST (RXR)EQ-5D Index</v>
      </c>
      <c r="C795" t="s">
        <v>50</v>
      </c>
      <c r="D795" t="s">
        <v>1</v>
      </c>
      <c r="E795" t="s">
        <v>3823</v>
      </c>
      <c r="F795" t="s">
        <v>3824</v>
      </c>
      <c r="G795" t="s">
        <v>52</v>
      </c>
      <c r="H795">
        <v>182</v>
      </c>
      <c r="I795">
        <v>0.72899999999999998</v>
      </c>
      <c r="J795">
        <v>0.86099999999999999</v>
      </c>
      <c r="K795">
        <v>0.13200000000000001</v>
      </c>
      <c r="L795">
        <v>103</v>
      </c>
      <c r="M795">
        <v>55</v>
      </c>
      <c r="N795">
        <v>24</v>
      </c>
      <c r="O795">
        <v>0.91200000000000003</v>
      </c>
      <c r="P795">
        <v>0.11866541999999999</v>
      </c>
      <c r="Q795">
        <v>0.17100000000000001</v>
      </c>
    </row>
    <row r="796" spans="1:17" s="30" customFormat="1" x14ac:dyDescent="0.2">
      <c r="A796" s="30">
        <f>IF(C796&amp;G796&amp;D796&lt;&gt;'Funnel setup'!$K$3&amp;'Funnel setup'!$K$4&amp;'Funnel setup'!$K$5,".",IF(A795=".",1,A795+1))</f>
        <v>92</v>
      </c>
      <c r="B796" s="431" t="str">
        <f t="shared" si="12"/>
        <v>Groin HerniaProviderEAST SUSSEX HEALTHCARE NHS TRUST (RXC)EQ-5D Index</v>
      </c>
      <c r="C796" t="s">
        <v>50</v>
      </c>
      <c r="D796" t="s">
        <v>1</v>
      </c>
      <c r="E796" t="s">
        <v>3826</v>
      </c>
      <c r="F796" t="s">
        <v>3827</v>
      </c>
      <c r="G796" t="s">
        <v>52</v>
      </c>
      <c r="H796">
        <v>127</v>
      </c>
      <c r="I796">
        <v>0.77600000000000002</v>
      </c>
      <c r="J796">
        <v>0.875</v>
      </c>
      <c r="K796">
        <v>0.1</v>
      </c>
      <c r="L796">
        <v>68</v>
      </c>
      <c r="M796">
        <v>36</v>
      </c>
      <c r="N796">
        <v>23</v>
      </c>
      <c r="O796">
        <v>0.872</v>
      </c>
      <c r="P796">
        <v>7.8364306999999994E-2</v>
      </c>
      <c r="Q796">
        <v>0.14399999999999999</v>
      </c>
    </row>
    <row r="797" spans="1:17" s="30" customFormat="1" x14ac:dyDescent="0.2">
      <c r="A797" s="30">
        <f>IF(C797&amp;G797&amp;D797&lt;&gt;'Funnel setup'!$K$3&amp;'Funnel setup'!$K$4&amp;'Funnel setup'!$K$5,".",IF(A796=".",1,A796+1))</f>
        <v>93</v>
      </c>
      <c r="B797" s="431" t="str">
        <f t="shared" si="12"/>
        <v>Groin HerniaProviderEMERSONS GREEN NHS TREATMENT CENTRE (NTPH2)EQ-5D Index</v>
      </c>
      <c r="C797" t="s">
        <v>50</v>
      </c>
      <c r="D797" t="s">
        <v>1</v>
      </c>
      <c r="E797" t="s">
        <v>3829</v>
      </c>
      <c r="F797" t="s">
        <v>3830</v>
      </c>
      <c r="G797" t="s">
        <v>52</v>
      </c>
      <c r="H797">
        <v>248</v>
      </c>
      <c r="I797">
        <v>0.82699999999999996</v>
      </c>
      <c r="J797">
        <v>0.90900000000000003</v>
      </c>
      <c r="K797">
        <v>8.2000000000000003E-2</v>
      </c>
      <c r="L797">
        <v>121</v>
      </c>
      <c r="M797">
        <v>93</v>
      </c>
      <c r="N797">
        <v>34</v>
      </c>
      <c r="O797">
        <v>0.88600000000000001</v>
      </c>
      <c r="P797">
        <v>9.2602118999999997E-2</v>
      </c>
      <c r="Q797">
        <v>0.128</v>
      </c>
    </row>
    <row r="798" spans="1:17" s="30" customFormat="1" x14ac:dyDescent="0.2">
      <c r="A798" s="30">
        <f>IF(C798&amp;G798&amp;D798&lt;&gt;'Funnel setup'!$K$3&amp;'Funnel setup'!$K$4&amp;'Funnel setup'!$K$5,".",IF(A797=".",1,A797+1))</f>
        <v>94</v>
      </c>
      <c r="B798" s="431" t="str">
        <f t="shared" si="12"/>
        <v>Groin HerniaProviderEPSOM AND ST HELIER UNIVERSITY HOSPITALS NHS TRUST (RVR)EQ-5D Index</v>
      </c>
      <c r="C798" t="s">
        <v>50</v>
      </c>
      <c r="D798" t="s">
        <v>1</v>
      </c>
      <c r="E798" t="s">
        <v>3849</v>
      </c>
      <c r="F798" t="s">
        <v>3850</v>
      </c>
      <c r="G798" t="s">
        <v>52</v>
      </c>
      <c r="H798">
        <v>28</v>
      </c>
      <c r="I798">
        <v>0.79200000000000004</v>
      </c>
      <c r="J798">
        <v>0.82599999999999996</v>
      </c>
      <c r="K798">
        <v>3.4000000000000002E-2</v>
      </c>
      <c r="L798">
        <v>10</v>
      </c>
      <c r="M798">
        <v>10</v>
      </c>
      <c r="N798">
        <v>8</v>
      </c>
      <c r="O798" t="s">
        <v>53</v>
      </c>
      <c r="P798" t="s">
        <v>53</v>
      </c>
      <c r="Q798" t="s">
        <v>53</v>
      </c>
    </row>
    <row r="799" spans="1:17" s="30" customFormat="1" x14ac:dyDescent="0.2">
      <c r="A799" s="30">
        <f>IF(C799&amp;G799&amp;D799&lt;&gt;'Funnel setup'!$K$3&amp;'Funnel setup'!$K$4&amp;'Funnel setup'!$K$5,".",IF(A798=".",1,A798+1))</f>
        <v>95</v>
      </c>
      <c r="B799" s="431" t="str">
        <f t="shared" si="12"/>
        <v>Groin HerniaProviderEUXTON HALL HOSPITAL (NVC05)EQ-5D Index</v>
      </c>
      <c r="C799" t="s">
        <v>50</v>
      </c>
      <c r="D799" t="s">
        <v>1</v>
      </c>
      <c r="E799" t="s">
        <v>3852</v>
      </c>
      <c r="F799" t="s">
        <v>3853</v>
      </c>
      <c r="G799" t="s">
        <v>52</v>
      </c>
      <c r="H799">
        <v>114</v>
      </c>
      <c r="I799">
        <v>0.81</v>
      </c>
      <c r="J799">
        <v>0.88900000000000001</v>
      </c>
      <c r="K799">
        <v>7.9000000000000001E-2</v>
      </c>
      <c r="L799">
        <v>57</v>
      </c>
      <c r="M799">
        <v>37</v>
      </c>
      <c r="N799">
        <v>20</v>
      </c>
      <c r="O799">
        <v>0.876</v>
      </c>
      <c r="P799">
        <v>8.2150920000000002E-2</v>
      </c>
      <c r="Q799">
        <v>0.13900000000000001</v>
      </c>
    </row>
    <row r="800" spans="1:17" s="30" customFormat="1" x14ac:dyDescent="0.2">
      <c r="A800" s="30">
        <f>IF(C800&amp;G800&amp;D800&lt;&gt;'Funnel setup'!$K$3&amp;'Funnel setup'!$K$4&amp;'Funnel setup'!$K$5,".",IF(A799=".",1,A799+1))</f>
        <v>96</v>
      </c>
      <c r="B800" s="431" t="str">
        <f t="shared" si="12"/>
        <v>Groin HerniaProviderFITZWILLIAM HOSPITAL (NVC06)EQ-5D Index</v>
      </c>
      <c r="C800" t="s">
        <v>50</v>
      </c>
      <c r="D800" t="s">
        <v>1</v>
      </c>
      <c r="E800" t="s">
        <v>3858</v>
      </c>
      <c r="F800" t="s">
        <v>3859</v>
      </c>
      <c r="G800" t="s">
        <v>52</v>
      </c>
      <c r="H800">
        <v>38</v>
      </c>
      <c r="I800">
        <v>0.83099999999999996</v>
      </c>
      <c r="J800">
        <v>0.86</v>
      </c>
      <c r="K800">
        <v>2.9000000000000001E-2</v>
      </c>
      <c r="L800">
        <v>18</v>
      </c>
      <c r="M800">
        <v>6</v>
      </c>
      <c r="N800">
        <v>14</v>
      </c>
      <c r="O800">
        <v>0.84399999999999997</v>
      </c>
      <c r="P800">
        <v>5.1100228999999997E-2</v>
      </c>
      <c r="Q800">
        <v>0.17100000000000001</v>
      </c>
    </row>
    <row r="801" spans="1:17" s="30" customFormat="1" x14ac:dyDescent="0.2">
      <c r="A801" s="30">
        <f>IF(C801&amp;G801&amp;D801&lt;&gt;'Funnel setup'!$K$3&amp;'Funnel setup'!$K$4&amp;'Funnel setup'!$K$5,".",IF(A800=".",1,A800+1))</f>
        <v>97</v>
      </c>
      <c r="B801" s="431" t="str">
        <f t="shared" si="12"/>
        <v>Groin HerniaProviderFOSCOTE COURT (BANBURY) TRUST LTD (AHH)EQ-5D Index</v>
      </c>
      <c r="C801" t="s">
        <v>50</v>
      </c>
      <c r="D801" t="s">
        <v>1</v>
      </c>
      <c r="E801" t="s">
        <v>3900</v>
      </c>
      <c r="F801" t="s">
        <v>3901</v>
      </c>
      <c r="G801" t="s">
        <v>52</v>
      </c>
      <c r="H801">
        <v>28</v>
      </c>
      <c r="I801">
        <v>0.78400000000000003</v>
      </c>
      <c r="J801">
        <v>0.95099999999999996</v>
      </c>
      <c r="K801">
        <v>0.16600000000000001</v>
      </c>
      <c r="L801">
        <v>17</v>
      </c>
      <c r="M801">
        <v>10</v>
      </c>
      <c r="N801">
        <v>1</v>
      </c>
      <c r="O801" t="s">
        <v>53</v>
      </c>
      <c r="P801" t="s">
        <v>53</v>
      </c>
      <c r="Q801" t="s">
        <v>53</v>
      </c>
    </row>
    <row r="802" spans="1:17" s="30" customFormat="1" x14ac:dyDescent="0.2">
      <c r="A802" s="30">
        <f>IF(C802&amp;G802&amp;D802&lt;&gt;'Funnel setup'!$K$3&amp;'Funnel setup'!$K$4&amp;'Funnel setup'!$K$5,".",IF(A801=".",1,A801+1))</f>
        <v>98</v>
      </c>
      <c r="B802" s="431" t="str">
        <f t="shared" si="12"/>
        <v>Groin HerniaProviderFRIMLEY HEALTH NHS FOUNDATION TRUST (RDU)EQ-5D Index</v>
      </c>
      <c r="C802" t="s">
        <v>50</v>
      </c>
      <c r="D802" t="s">
        <v>1</v>
      </c>
      <c r="E802" t="s">
        <v>3861</v>
      </c>
      <c r="F802" t="s">
        <v>3862</v>
      </c>
      <c r="G802" t="s">
        <v>52</v>
      </c>
      <c r="H802">
        <v>267</v>
      </c>
      <c r="I802">
        <v>0.78800000000000003</v>
      </c>
      <c r="J802">
        <v>0.84799999999999998</v>
      </c>
      <c r="K802">
        <v>0.06</v>
      </c>
      <c r="L802">
        <v>118</v>
      </c>
      <c r="M802">
        <v>92</v>
      </c>
      <c r="N802">
        <v>57</v>
      </c>
      <c r="O802">
        <v>0.85</v>
      </c>
      <c r="P802">
        <v>5.6542137999999999E-2</v>
      </c>
      <c r="Q802">
        <v>0.17799999999999999</v>
      </c>
    </row>
    <row r="803" spans="1:17" s="30" customFormat="1" x14ac:dyDescent="0.2">
      <c r="A803" s="30">
        <f>IF(C803&amp;G803&amp;D803&lt;&gt;'Funnel setup'!$K$3&amp;'Funnel setup'!$K$4&amp;'Funnel setup'!$K$5,".",IF(A802=".",1,A802+1))</f>
        <v>99</v>
      </c>
      <c r="B803" s="431" t="str">
        <f t="shared" si="12"/>
        <v>Groin HerniaProviderFULWOOD HALL HOSPITAL (NVC07)EQ-5D Index</v>
      </c>
      <c r="C803" t="s">
        <v>50</v>
      </c>
      <c r="D803" t="s">
        <v>1</v>
      </c>
      <c r="E803" t="s">
        <v>3864</v>
      </c>
      <c r="F803" t="s">
        <v>3865</v>
      </c>
      <c r="G803" t="s">
        <v>52</v>
      </c>
      <c r="H803">
        <v>119</v>
      </c>
      <c r="I803">
        <v>0.83599999999999997</v>
      </c>
      <c r="J803">
        <v>0.88</v>
      </c>
      <c r="K803">
        <v>4.3999999999999997E-2</v>
      </c>
      <c r="L803">
        <v>45</v>
      </c>
      <c r="M803">
        <v>55</v>
      </c>
      <c r="N803">
        <v>19</v>
      </c>
      <c r="O803">
        <v>0.86299999999999999</v>
      </c>
      <c r="P803">
        <v>6.9528922000000007E-2</v>
      </c>
      <c r="Q803">
        <v>0.13400000000000001</v>
      </c>
    </row>
    <row r="804" spans="1:17" s="30" customFormat="1" x14ac:dyDescent="0.2">
      <c r="A804" s="30">
        <f>IF(C804&amp;G804&amp;D804&lt;&gt;'Funnel setup'!$K$3&amp;'Funnel setup'!$K$4&amp;'Funnel setup'!$K$5,".",IF(A803=".",1,A803+1))</f>
        <v>100</v>
      </c>
      <c r="B804" s="431" t="str">
        <f t="shared" si="12"/>
        <v>Groin HerniaProviderGATESHEAD HEALTH NHS FOUNDATION TRUST (RR7)EQ-5D Index</v>
      </c>
      <c r="C804" t="s">
        <v>50</v>
      </c>
      <c r="D804" t="s">
        <v>1</v>
      </c>
      <c r="E804" t="s">
        <v>3867</v>
      </c>
      <c r="F804" t="s">
        <v>3868</v>
      </c>
      <c r="G804" t="s">
        <v>52</v>
      </c>
      <c r="H804">
        <v>142</v>
      </c>
      <c r="I804">
        <v>0.79300000000000004</v>
      </c>
      <c r="J804">
        <v>0.88</v>
      </c>
      <c r="K804">
        <v>8.6999999999999994E-2</v>
      </c>
      <c r="L804">
        <v>70</v>
      </c>
      <c r="M804">
        <v>52</v>
      </c>
      <c r="N804">
        <v>20</v>
      </c>
      <c r="O804">
        <v>0.877</v>
      </c>
      <c r="P804">
        <v>8.3921820999999994E-2</v>
      </c>
      <c r="Q804">
        <v>0.156</v>
      </c>
    </row>
    <row r="805" spans="1:17" s="30" customFormat="1" x14ac:dyDescent="0.2">
      <c r="A805" s="30">
        <f>IF(C805&amp;G805&amp;D805&lt;&gt;'Funnel setup'!$K$3&amp;'Funnel setup'!$K$4&amp;'Funnel setup'!$K$5,".",IF(A804=".",1,A804+1))</f>
        <v>101</v>
      </c>
      <c r="B805" s="431" t="str">
        <f t="shared" si="12"/>
        <v>Groin HerniaProviderGEORGE ELIOT HOSPITAL NHS TRUST (RLT)EQ-5D Index</v>
      </c>
      <c r="C805" t="s">
        <v>50</v>
      </c>
      <c r="D805" t="s">
        <v>1</v>
      </c>
      <c r="E805" t="s">
        <v>3870</v>
      </c>
      <c r="F805" t="s">
        <v>3871</v>
      </c>
      <c r="G805" t="s">
        <v>52</v>
      </c>
      <c r="H805">
        <v>32</v>
      </c>
      <c r="I805">
        <v>0.74</v>
      </c>
      <c r="J805">
        <v>0.90400000000000003</v>
      </c>
      <c r="K805">
        <v>0.16400000000000001</v>
      </c>
      <c r="L805">
        <v>21</v>
      </c>
      <c r="M805">
        <v>10</v>
      </c>
      <c r="N805">
        <v>1</v>
      </c>
      <c r="O805">
        <v>0.92</v>
      </c>
      <c r="P805">
        <v>0.12635337499999999</v>
      </c>
      <c r="Q805">
        <v>0.184</v>
      </c>
    </row>
    <row r="806" spans="1:17" s="30" customFormat="1" x14ac:dyDescent="0.2">
      <c r="A806" s="30">
        <f>IF(C806&amp;G806&amp;D806&lt;&gt;'Funnel setup'!$K$3&amp;'Funnel setup'!$K$4&amp;'Funnel setup'!$K$5,".",IF(A805=".",1,A805+1))</f>
        <v>102</v>
      </c>
      <c r="B806" s="431" t="str">
        <f t="shared" si="12"/>
        <v>Groin HerniaProviderGLOUCESTERSHIRE HOSPITALS NHS FOUNDATION TRUST (RTE)EQ-5D Index</v>
      </c>
      <c r="C806" t="s">
        <v>50</v>
      </c>
      <c r="D806" t="s">
        <v>1</v>
      </c>
      <c r="E806" t="s">
        <v>3873</v>
      </c>
      <c r="F806" t="s">
        <v>3874</v>
      </c>
      <c r="G806" t="s">
        <v>52</v>
      </c>
      <c r="H806">
        <v>179</v>
      </c>
      <c r="I806">
        <v>0.82899999999999996</v>
      </c>
      <c r="J806">
        <v>0.91300000000000003</v>
      </c>
      <c r="K806">
        <v>8.4000000000000005E-2</v>
      </c>
      <c r="L806">
        <v>93</v>
      </c>
      <c r="M806">
        <v>69</v>
      </c>
      <c r="N806">
        <v>17</v>
      </c>
      <c r="O806">
        <v>0.89400000000000002</v>
      </c>
      <c r="P806">
        <v>0.10062122599999999</v>
      </c>
      <c r="Q806">
        <v>0.128</v>
      </c>
    </row>
    <row r="807" spans="1:17" s="30" customFormat="1" x14ac:dyDescent="0.2">
      <c r="A807" s="30">
        <f>IF(C807&amp;G807&amp;D807&lt;&gt;'Funnel setup'!$K$3&amp;'Funnel setup'!$K$4&amp;'Funnel setup'!$K$5,".",IF(A806=".",1,A806+1))</f>
        <v>103</v>
      </c>
      <c r="B807" s="431" t="str">
        <f t="shared" si="12"/>
        <v>Groin HerniaProviderGREAT WESTERN HOSPITALS NHS FOUNDATION TRUST (RN3)EQ-5D Index</v>
      </c>
      <c r="C807" t="s">
        <v>50</v>
      </c>
      <c r="D807" t="s">
        <v>1</v>
      </c>
      <c r="E807" t="s">
        <v>3876</v>
      </c>
      <c r="F807" t="s">
        <v>3877</v>
      </c>
      <c r="G807" t="s">
        <v>52</v>
      </c>
      <c r="H807">
        <v>64</v>
      </c>
      <c r="I807">
        <v>0.82699999999999996</v>
      </c>
      <c r="J807">
        <v>0.88700000000000001</v>
      </c>
      <c r="K807">
        <v>0.06</v>
      </c>
      <c r="L807">
        <v>27</v>
      </c>
      <c r="M807">
        <v>23</v>
      </c>
      <c r="N807">
        <v>14</v>
      </c>
      <c r="O807">
        <v>0.86499999999999999</v>
      </c>
      <c r="P807">
        <v>7.1385926000000002E-2</v>
      </c>
      <c r="Q807">
        <v>0.13</v>
      </c>
    </row>
    <row r="808" spans="1:17" s="30" customFormat="1" x14ac:dyDescent="0.2">
      <c r="A808" s="30">
        <f>IF(C808&amp;G808&amp;D808&lt;&gt;'Funnel setup'!$K$3&amp;'Funnel setup'!$K$4&amp;'Funnel setup'!$K$5,".",IF(A807=".",1,A807+1))</f>
        <v>104</v>
      </c>
      <c r="B808" s="431" t="str">
        <f t="shared" si="12"/>
        <v>Groin HerniaProviderGUY'S AND ST THOMAS' NHS FOUNDATION TRUST (RJ1)EQ-5D Index</v>
      </c>
      <c r="C808" t="s">
        <v>50</v>
      </c>
      <c r="D808" t="s">
        <v>1</v>
      </c>
      <c r="E808" t="s">
        <v>3879</v>
      </c>
      <c r="F808" t="s">
        <v>3880</v>
      </c>
      <c r="G808" t="s">
        <v>52</v>
      </c>
      <c r="H808">
        <v>12</v>
      </c>
      <c r="I808">
        <v>0.85899999999999999</v>
      </c>
      <c r="J808">
        <v>0.878</v>
      </c>
      <c r="K808">
        <v>1.9E-2</v>
      </c>
      <c r="L808">
        <v>3</v>
      </c>
      <c r="M808">
        <v>6</v>
      </c>
      <c r="N808">
        <v>3</v>
      </c>
      <c r="O808" t="s">
        <v>53</v>
      </c>
      <c r="P808" t="s">
        <v>53</v>
      </c>
      <c r="Q808" t="s">
        <v>53</v>
      </c>
    </row>
    <row r="809" spans="1:17" s="30" customFormat="1" x14ac:dyDescent="0.2">
      <c r="A809" s="30">
        <f>IF(C809&amp;G809&amp;D809&lt;&gt;'Funnel setup'!$K$3&amp;'Funnel setup'!$K$4&amp;'Funnel setup'!$K$5,".",IF(A808=".",1,A808+1))</f>
        <v>105</v>
      </c>
      <c r="B809" s="431" t="str">
        <f t="shared" si="12"/>
        <v>Groin HerniaProviderHAMPSHIRE HOSPITALS NHS FOUNDATION TRUST (RN5)EQ-5D Index</v>
      </c>
      <c r="C809" t="s">
        <v>50</v>
      </c>
      <c r="D809" t="s">
        <v>1</v>
      </c>
      <c r="E809" t="s">
        <v>3882</v>
      </c>
      <c r="F809" t="s">
        <v>3883</v>
      </c>
      <c r="G809" t="s">
        <v>52</v>
      </c>
      <c r="H809">
        <v>96</v>
      </c>
      <c r="I809">
        <v>0.78800000000000003</v>
      </c>
      <c r="J809">
        <v>0.90300000000000002</v>
      </c>
      <c r="K809">
        <v>0.115</v>
      </c>
      <c r="L809">
        <v>53</v>
      </c>
      <c r="M809">
        <v>33</v>
      </c>
      <c r="N809">
        <v>10</v>
      </c>
      <c r="O809">
        <v>0.9</v>
      </c>
      <c r="P809">
        <v>0.106128031</v>
      </c>
      <c r="Q809">
        <v>0.13700000000000001</v>
      </c>
    </row>
    <row r="810" spans="1:17" s="30" customFormat="1" x14ac:dyDescent="0.2">
      <c r="A810" s="30">
        <f>IF(C810&amp;G810&amp;D810&lt;&gt;'Funnel setup'!$K$3&amp;'Funnel setup'!$K$4&amp;'Funnel setup'!$K$5,".",IF(A809=".",1,A809+1))</f>
        <v>106</v>
      </c>
      <c r="B810" s="431" t="str">
        <f t="shared" si="12"/>
        <v>Groin HerniaProviderHARROGATE AND DISTRICT NHS FOUNDATION TRUST (RCD)EQ-5D Index</v>
      </c>
      <c r="C810" t="s">
        <v>50</v>
      </c>
      <c r="D810" t="s">
        <v>1</v>
      </c>
      <c r="E810" t="s">
        <v>3885</v>
      </c>
      <c r="F810" t="s">
        <v>3886</v>
      </c>
      <c r="G810" t="s">
        <v>52</v>
      </c>
      <c r="H810">
        <v>183</v>
      </c>
      <c r="I810">
        <v>0.81599999999999995</v>
      </c>
      <c r="J810">
        <v>0.878</v>
      </c>
      <c r="K810">
        <v>6.2E-2</v>
      </c>
      <c r="L810">
        <v>88</v>
      </c>
      <c r="M810">
        <v>53</v>
      </c>
      <c r="N810">
        <v>42</v>
      </c>
      <c r="O810">
        <v>0.87</v>
      </c>
      <c r="P810">
        <v>7.6433062999999996E-2</v>
      </c>
      <c r="Q810">
        <v>0.152</v>
      </c>
    </row>
    <row r="811" spans="1:17" s="30" customFormat="1" x14ac:dyDescent="0.2">
      <c r="A811" s="30">
        <f>IF(C811&amp;G811&amp;D811&lt;&gt;'Funnel setup'!$K$3&amp;'Funnel setup'!$K$4&amp;'Funnel setup'!$K$5,".",IF(A810=".",1,A810+1))</f>
        <v>107</v>
      </c>
      <c r="B811" s="431" t="str">
        <f t="shared" si="12"/>
        <v>Groin HerniaProviderHATHAWAY MEDICAL CENTRE (NXP04)EQ-5D Index</v>
      </c>
      <c r="C811" t="s">
        <v>50</v>
      </c>
      <c r="D811" t="s">
        <v>1</v>
      </c>
      <c r="E811" t="s">
        <v>3903</v>
      </c>
      <c r="F811" t="s">
        <v>3904</v>
      </c>
      <c r="G811" t="s">
        <v>52</v>
      </c>
      <c r="H811">
        <v>15</v>
      </c>
      <c r="I811">
        <v>0.82399999999999995</v>
      </c>
      <c r="J811">
        <v>0.93</v>
      </c>
      <c r="K811">
        <v>0.106</v>
      </c>
      <c r="L811">
        <v>9</v>
      </c>
      <c r="M811">
        <v>4</v>
      </c>
      <c r="N811">
        <v>2</v>
      </c>
      <c r="O811" t="s">
        <v>53</v>
      </c>
      <c r="P811" t="s">
        <v>53</v>
      </c>
      <c r="Q811" t="s">
        <v>53</v>
      </c>
    </row>
    <row r="812" spans="1:17" s="30" customFormat="1" x14ac:dyDescent="0.2">
      <c r="A812" s="30">
        <f>IF(C812&amp;G812&amp;D812&lt;&gt;'Funnel setup'!$K$3&amp;'Funnel setup'!$K$4&amp;'Funnel setup'!$K$5,".",IF(A811=".",1,A811+1))</f>
        <v>108</v>
      </c>
      <c r="B812" s="431" t="str">
        <f t="shared" si="12"/>
        <v>Groin HerniaProviderHEART OF ENGLAND NHS FOUNDATION TRUST (RR1)EQ-5D Index</v>
      </c>
      <c r="C812" t="s">
        <v>50</v>
      </c>
      <c r="D812" t="s">
        <v>1</v>
      </c>
      <c r="E812" t="s">
        <v>3888</v>
      </c>
      <c r="F812" t="s">
        <v>3889</v>
      </c>
      <c r="G812" t="s">
        <v>52</v>
      </c>
      <c r="H812">
        <v>329</v>
      </c>
      <c r="I812">
        <v>0.78100000000000003</v>
      </c>
      <c r="J812">
        <v>0.878</v>
      </c>
      <c r="K812">
        <v>9.7000000000000003E-2</v>
      </c>
      <c r="L812">
        <v>185</v>
      </c>
      <c r="M812">
        <v>86</v>
      </c>
      <c r="N812">
        <v>58</v>
      </c>
      <c r="O812">
        <v>0.88700000000000001</v>
      </c>
      <c r="P812">
        <v>9.3615085000000001E-2</v>
      </c>
      <c r="Q812">
        <v>0.154</v>
      </c>
    </row>
    <row r="813" spans="1:17" s="30" customFormat="1" x14ac:dyDescent="0.2">
      <c r="A813" s="30">
        <f>IF(C813&amp;G813&amp;D813&lt;&gt;'Funnel setup'!$K$3&amp;'Funnel setup'!$K$4&amp;'Funnel setup'!$K$5,".",IF(A812=".",1,A812+1))</f>
        <v>109</v>
      </c>
      <c r="B813" s="431" t="str">
        <f t="shared" si="12"/>
        <v>Groin HerniaProviderHINCHINGBROOKE HEALTH CARE NHS TRUST (RQQ)EQ-5D Index</v>
      </c>
      <c r="C813" t="s">
        <v>50</v>
      </c>
      <c r="D813" t="s">
        <v>1</v>
      </c>
      <c r="E813" t="s">
        <v>3894</v>
      </c>
      <c r="F813" t="s">
        <v>3895</v>
      </c>
      <c r="G813" t="s">
        <v>52</v>
      </c>
      <c r="H813">
        <v>89</v>
      </c>
      <c r="I813">
        <v>0.76</v>
      </c>
      <c r="J813">
        <v>0.90500000000000003</v>
      </c>
      <c r="K813">
        <v>0.14499999999999999</v>
      </c>
      <c r="L813">
        <v>61</v>
      </c>
      <c r="M813">
        <v>19</v>
      </c>
      <c r="N813">
        <v>9</v>
      </c>
      <c r="O813">
        <v>0.90700000000000003</v>
      </c>
      <c r="P813">
        <v>0.113835114</v>
      </c>
      <c r="Q813">
        <v>0.158</v>
      </c>
    </row>
    <row r="814" spans="1:17" s="30" customFormat="1" x14ac:dyDescent="0.2">
      <c r="A814" s="30">
        <f>IF(C814&amp;G814&amp;D814&lt;&gt;'Funnel setup'!$K$3&amp;'Funnel setup'!$K$4&amp;'Funnel setup'!$K$5,".",IF(A813=".",1,A813+1))</f>
        <v>110</v>
      </c>
      <c r="B814" s="431" t="str">
        <f t="shared" si="12"/>
        <v>Groin HerniaProviderHOMERTON UNIVERSITY HOSPITAL NHS FOUNDATION TRUST (RQX)EQ-5D Index</v>
      </c>
      <c r="C814" t="s">
        <v>50</v>
      </c>
      <c r="D814" t="s">
        <v>1</v>
      </c>
      <c r="E814" t="s">
        <v>3897</v>
      </c>
      <c r="F814" t="s">
        <v>3898</v>
      </c>
      <c r="G814" t="s">
        <v>52</v>
      </c>
      <c r="H814">
        <v>29</v>
      </c>
      <c r="I814">
        <v>0.71399999999999997</v>
      </c>
      <c r="J814">
        <v>0.84899999999999998</v>
      </c>
      <c r="K814">
        <v>0.13500000000000001</v>
      </c>
      <c r="L814">
        <v>14</v>
      </c>
      <c r="M814">
        <v>8</v>
      </c>
      <c r="N814">
        <v>7</v>
      </c>
      <c r="O814" t="s">
        <v>53</v>
      </c>
      <c r="P814" t="s">
        <v>53</v>
      </c>
      <c r="Q814" t="s">
        <v>53</v>
      </c>
    </row>
    <row r="815" spans="1:17" s="30" customFormat="1" x14ac:dyDescent="0.2">
      <c r="A815" s="30">
        <f>IF(C815&amp;G815&amp;D815&lt;&gt;'Funnel setup'!$K$3&amp;'Funnel setup'!$K$4&amp;'Funnel setup'!$K$5,".",IF(A814=".",1,A814+1))</f>
        <v>111</v>
      </c>
      <c r="B815" s="431" t="str">
        <f t="shared" si="12"/>
        <v>Groin HerniaProviderHULL AND EAST YORKSHIRE HOSPITALS NHS TRUST (RWA)EQ-5D Index</v>
      </c>
      <c r="C815" t="s">
        <v>50</v>
      </c>
      <c r="D815" t="s">
        <v>1</v>
      </c>
      <c r="E815" t="s">
        <v>3906</v>
      </c>
      <c r="F815" t="s">
        <v>3907</v>
      </c>
      <c r="G815" t="s">
        <v>52</v>
      </c>
      <c r="H815">
        <v>278</v>
      </c>
      <c r="I815">
        <v>0.77400000000000002</v>
      </c>
      <c r="J815">
        <v>0.88</v>
      </c>
      <c r="K815">
        <v>0.106</v>
      </c>
      <c r="L815">
        <v>149</v>
      </c>
      <c r="M815">
        <v>90</v>
      </c>
      <c r="N815">
        <v>39</v>
      </c>
      <c r="O815">
        <v>0.89400000000000002</v>
      </c>
      <c r="P815">
        <v>0.100149804</v>
      </c>
      <c r="Q815">
        <v>0.17499999999999999</v>
      </c>
    </row>
    <row r="816" spans="1:17" s="30" customFormat="1" x14ac:dyDescent="0.2">
      <c r="A816" s="30">
        <f>IF(C816&amp;G816&amp;D816&lt;&gt;'Funnel setup'!$K$3&amp;'Funnel setup'!$K$4&amp;'Funnel setup'!$K$5,".",IF(A815=".",1,A815+1))</f>
        <v>112</v>
      </c>
      <c r="B816" s="431" t="str">
        <f t="shared" si="12"/>
        <v>Groin HerniaProviderIPSWICH HOSPITAL NHS TRUST (RGQ)EQ-5D Index</v>
      </c>
      <c r="C816" t="s">
        <v>50</v>
      </c>
      <c r="D816" t="s">
        <v>1</v>
      </c>
      <c r="E816" t="s">
        <v>3909</v>
      </c>
      <c r="F816" t="s">
        <v>3910</v>
      </c>
      <c r="G816" t="s">
        <v>52</v>
      </c>
      <c r="H816">
        <v>193</v>
      </c>
      <c r="I816">
        <v>0.77500000000000002</v>
      </c>
      <c r="J816">
        <v>0.86899999999999999</v>
      </c>
      <c r="K816">
        <v>9.2999999999999999E-2</v>
      </c>
      <c r="L816">
        <v>116</v>
      </c>
      <c r="M816">
        <v>51</v>
      </c>
      <c r="N816">
        <v>26</v>
      </c>
      <c r="O816">
        <v>0.875</v>
      </c>
      <c r="P816">
        <v>8.1525332000000006E-2</v>
      </c>
      <c r="Q816">
        <v>0.214</v>
      </c>
    </row>
    <row r="817" spans="1:17" s="30" customFormat="1" x14ac:dyDescent="0.2">
      <c r="A817" s="30">
        <f>IF(C817&amp;G817&amp;D817&lt;&gt;'Funnel setup'!$K$3&amp;'Funnel setup'!$K$4&amp;'Funnel setup'!$K$5,".",IF(A816=".",1,A816+1))</f>
        <v>113</v>
      </c>
      <c r="B817" s="431" t="str">
        <f t="shared" si="12"/>
        <v>Groin HerniaProviderISLE OF WIGHT NHS TRUST (R1F)EQ-5D Index</v>
      </c>
      <c r="C817" t="s">
        <v>50</v>
      </c>
      <c r="D817" t="s">
        <v>1</v>
      </c>
      <c r="E817" t="s">
        <v>3912</v>
      </c>
      <c r="F817" t="s">
        <v>3913</v>
      </c>
      <c r="G817" t="s">
        <v>52</v>
      </c>
      <c r="H817">
        <v>45</v>
      </c>
      <c r="I817">
        <v>0.79300000000000004</v>
      </c>
      <c r="J817">
        <v>0.89700000000000002</v>
      </c>
      <c r="K817">
        <v>0.104</v>
      </c>
      <c r="L817">
        <v>26</v>
      </c>
      <c r="M817">
        <v>13</v>
      </c>
      <c r="N817">
        <v>6</v>
      </c>
      <c r="O817">
        <v>0.91100000000000003</v>
      </c>
      <c r="P817">
        <v>0.11733144099999999</v>
      </c>
      <c r="Q817">
        <v>0.11700000000000001</v>
      </c>
    </row>
    <row r="818" spans="1:17" s="30" customFormat="1" x14ac:dyDescent="0.2">
      <c r="A818" s="30">
        <f>IF(C818&amp;G818&amp;D818&lt;&gt;'Funnel setup'!$K$3&amp;'Funnel setup'!$K$4&amp;'Funnel setup'!$K$5,".",IF(A817=".",1,A817+1))</f>
        <v>114</v>
      </c>
      <c r="B818" s="431" t="str">
        <f t="shared" si="12"/>
        <v>Groin HerniaProviderJAMES PAGET UNIVERSITY HOSPITALS NHS FOUNDATION TRUST (RGP)EQ-5D Index</v>
      </c>
      <c r="C818" t="s">
        <v>50</v>
      </c>
      <c r="D818" t="s">
        <v>1</v>
      </c>
      <c r="E818" t="s">
        <v>3915</v>
      </c>
      <c r="F818" t="s">
        <v>3916</v>
      </c>
      <c r="G818" t="s">
        <v>52</v>
      </c>
      <c r="H818">
        <v>97</v>
      </c>
      <c r="I818">
        <v>0.78500000000000003</v>
      </c>
      <c r="J818">
        <v>0.86499999999999999</v>
      </c>
      <c r="K818">
        <v>0.08</v>
      </c>
      <c r="L818">
        <v>50</v>
      </c>
      <c r="M818">
        <v>32</v>
      </c>
      <c r="N818">
        <v>15</v>
      </c>
      <c r="O818">
        <v>0.86699999999999999</v>
      </c>
      <c r="P818">
        <v>7.3444544E-2</v>
      </c>
      <c r="Q818">
        <v>0.14499999999999999</v>
      </c>
    </row>
    <row r="819" spans="1:17" s="30" customFormat="1" x14ac:dyDescent="0.2">
      <c r="A819" s="30">
        <f>IF(C819&amp;G819&amp;D819&lt;&gt;'Funnel setup'!$K$3&amp;'Funnel setup'!$K$4&amp;'Funnel setup'!$K$5,".",IF(A818=".",1,A818+1))</f>
        <v>115</v>
      </c>
      <c r="B819" s="431" t="str">
        <f t="shared" si="12"/>
        <v>Groin HerniaProviderKETTERING GENERAL HOSPITAL NHS FOUNDATION TRUST (RNQ)EQ-5D Index</v>
      </c>
      <c r="C819" t="s">
        <v>50</v>
      </c>
      <c r="D819" t="s">
        <v>1</v>
      </c>
      <c r="E819" t="s">
        <v>3918</v>
      </c>
      <c r="F819" t="s">
        <v>3919</v>
      </c>
      <c r="G819" t="s">
        <v>52</v>
      </c>
      <c r="H819">
        <v>50</v>
      </c>
      <c r="I819">
        <v>0.80200000000000005</v>
      </c>
      <c r="J819">
        <v>0.85599999999999998</v>
      </c>
      <c r="K819">
        <v>5.3999999999999999E-2</v>
      </c>
      <c r="L819">
        <v>22</v>
      </c>
      <c r="M819">
        <v>19</v>
      </c>
      <c r="N819">
        <v>9</v>
      </c>
      <c r="O819">
        <v>0.86699999999999999</v>
      </c>
      <c r="P819">
        <v>7.3450193999999996E-2</v>
      </c>
      <c r="Q819">
        <v>0.14599999999999999</v>
      </c>
    </row>
    <row r="820" spans="1:17" s="30" customFormat="1" x14ac:dyDescent="0.2">
      <c r="A820" s="30">
        <f>IF(C820&amp;G820&amp;D820&lt;&gt;'Funnel setup'!$K$3&amp;'Funnel setup'!$K$4&amp;'Funnel setup'!$K$5,".",IF(A819=".",1,A819+1))</f>
        <v>116</v>
      </c>
      <c r="B820" s="431" t="str">
        <f t="shared" si="12"/>
        <v>Groin HerniaProviderKING'S COLLEGE HOSPITAL NHS FOUNDATION TRUST (RJZ)EQ-5D Index</v>
      </c>
      <c r="C820" t="s">
        <v>50</v>
      </c>
      <c r="D820" t="s">
        <v>1</v>
      </c>
      <c r="E820" t="s">
        <v>3924</v>
      </c>
      <c r="F820" t="s">
        <v>3925</v>
      </c>
      <c r="G820" t="s">
        <v>52</v>
      </c>
      <c r="H820">
        <v>11</v>
      </c>
      <c r="I820">
        <v>0.71699999999999997</v>
      </c>
      <c r="J820">
        <v>0.73699999999999999</v>
      </c>
      <c r="K820">
        <v>0.02</v>
      </c>
      <c r="L820">
        <v>6</v>
      </c>
      <c r="M820">
        <v>1</v>
      </c>
      <c r="N820">
        <v>4</v>
      </c>
      <c r="O820" t="s">
        <v>53</v>
      </c>
      <c r="P820" t="s">
        <v>53</v>
      </c>
      <c r="Q820" t="s">
        <v>53</v>
      </c>
    </row>
    <row r="821" spans="1:17" s="30" customFormat="1" x14ac:dyDescent="0.2">
      <c r="A821" s="30">
        <f>IF(C821&amp;G821&amp;D821&lt;&gt;'Funnel setup'!$K$3&amp;'Funnel setup'!$K$4&amp;'Funnel setup'!$K$5,".",IF(A820=".",1,A820+1))</f>
        <v>117</v>
      </c>
      <c r="B821" s="431" t="str">
        <f t="shared" si="12"/>
        <v>Groin HerniaProviderLANCASHIRE TEACHING HOSPITALS NHS FOUNDATION TRUST (RXN)EQ-5D Index</v>
      </c>
      <c r="C821" t="s">
        <v>50</v>
      </c>
      <c r="D821" t="s">
        <v>1</v>
      </c>
      <c r="E821" t="s">
        <v>3567</v>
      </c>
      <c r="F821" t="s">
        <v>3568</v>
      </c>
      <c r="G821" t="s">
        <v>52</v>
      </c>
      <c r="H821">
        <v>61</v>
      </c>
      <c r="I821">
        <v>0.75600000000000001</v>
      </c>
      <c r="J821">
        <v>0.83699999999999997</v>
      </c>
      <c r="K821">
        <v>0.08</v>
      </c>
      <c r="L821">
        <v>29</v>
      </c>
      <c r="M821">
        <v>18</v>
      </c>
      <c r="N821">
        <v>14</v>
      </c>
      <c r="O821">
        <v>0.86899999999999999</v>
      </c>
      <c r="P821">
        <v>7.5516317999999999E-2</v>
      </c>
      <c r="Q821">
        <v>0.16700000000000001</v>
      </c>
    </row>
    <row r="822" spans="1:17" s="30" customFormat="1" x14ac:dyDescent="0.2">
      <c r="A822" s="30">
        <f>IF(C822&amp;G822&amp;D822&lt;&gt;'Funnel setup'!$K$3&amp;'Funnel setup'!$K$4&amp;'Funnel setup'!$K$5,".",IF(A821=".",1,A821+1))</f>
        <v>118</v>
      </c>
      <c r="B822" s="431" t="str">
        <f t="shared" si="12"/>
        <v>Groin HerniaProviderLEEDS TEACHING HOSPITALS NHS TRUST (RR8)EQ-5D Index</v>
      </c>
      <c r="C822" t="s">
        <v>50</v>
      </c>
      <c r="D822" t="s">
        <v>1</v>
      </c>
      <c r="E822" t="s">
        <v>3930</v>
      </c>
      <c r="F822" t="s">
        <v>344</v>
      </c>
      <c r="G822" t="s">
        <v>52</v>
      </c>
      <c r="H822">
        <v>101</v>
      </c>
      <c r="I822">
        <v>0.80500000000000005</v>
      </c>
      <c r="J822">
        <v>0.89300000000000002</v>
      </c>
      <c r="K822">
        <v>8.6999999999999994E-2</v>
      </c>
      <c r="L822">
        <v>51</v>
      </c>
      <c r="M822">
        <v>35</v>
      </c>
      <c r="N822">
        <v>15</v>
      </c>
      <c r="O822">
        <v>0.88500000000000001</v>
      </c>
      <c r="P822">
        <v>9.1534189000000002E-2</v>
      </c>
      <c r="Q822">
        <v>0.105</v>
      </c>
    </row>
    <row r="823" spans="1:17" s="30" customFormat="1" x14ac:dyDescent="0.2">
      <c r="A823" s="30">
        <f>IF(C823&amp;G823&amp;D823&lt;&gt;'Funnel setup'!$K$3&amp;'Funnel setup'!$K$4&amp;'Funnel setup'!$K$5,".",IF(A822=".",1,A822+1))</f>
        <v>119</v>
      </c>
      <c r="B823" s="431" t="str">
        <f t="shared" si="12"/>
        <v>Groin HerniaProviderLEWISHAM AND GREENWICH NHS TRUST (RJ2)EQ-5D Index</v>
      </c>
      <c r="C823" t="s">
        <v>50</v>
      </c>
      <c r="D823" t="s">
        <v>1</v>
      </c>
      <c r="E823" t="s">
        <v>3522</v>
      </c>
      <c r="F823" t="s">
        <v>3523</v>
      </c>
      <c r="G823" t="s">
        <v>52</v>
      </c>
      <c r="H823">
        <v>49</v>
      </c>
      <c r="I823">
        <v>0.625</v>
      </c>
      <c r="J823">
        <v>0.70799999999999996</v>
      </c>
      <c r="K823">
        <v>8.3000000000000004E-2</v>
      </c>
      <c r="L823">
        <v>23</v>
      </c>
      <c r="M823">
        <v>11</v>
      </c>
      <c r="N823">
        <v>15</v>
      </c>
      <c r="O823">
        <v>0.79300000000000004</v>
      </c>
      <c r="P823" s="574">
        <v>-6.2145199999999996E-5</v>
      </c>
      <c r="Q823">
        <v>0.255</v>
      </c>
    </row>
    <row r="824" spans="1:17" s="30" customFormat="1" x14ac:dyDescent="0.2">
      <c r="A824" s="30">
        <f>IF(C824&amp;G824&amp;D824&lt;&gt;'Funnel setup'!$K$3&amp;'Funnel setup'!$K$4&amp;'Funnel setup'!$K$5,".",IF(A823=".",1,A823+1))</f>
        <v>120</v>
      </c>
      <c r="B824" s="431" t="str">
        <f t="shared" si="12"/>
        <v>Groin HerniaProviderLONDON NORTH WEST HEALTHCARE NHS TRUST (R1K)EQ-5D Index</v>
      </c>
      <c r="C824" t="s">
        <v>50</v>
      </c>
      <c r="D824" t="s">
        <v>1</v>
      </c>
      <c r="E824" t="s">
        <v>6515</v>
      </c>
      <c r="F824" t="s">
        <v>6516</v>
      </c>
      <c r="G824" t="s">
        <v>52</v>
      </c>
      <c r="H824">
        <v>47</v>
      </c>
      <c r="I824">
        <v>0.72899999999999998</v>
      </c>
      <c r="J824">
        <v>0.76900000000000002</v>
      </c>
      <c r="K824">
        <v>0.04</v>
      </c>
      <c r="L824">
        <v>20</v>
      </c>
      <c r="M824">
        <v>9</v>
      </c>
      <c r="N824">
        <v>18</v>
      </c>
      <c r="O824">
        <v>0.82499999999999996</v>
      </c>
      <c r="P824">
        <v>3.1995728000000001E-2</v>
      </c>
      <c r="Q824">
        <v>0.214</v>
      </c>
    </row>
    <row r="825" spans="1:17" s="30" customFormat="1" x14ac:dyDescent="0.2">
      <c r="A825" s="30">
        <f>IF(C825&amp;G825&amp;D825&lt;&gt;'Funnel setup'!$K$3&amp;'Funnel setup'!$K$4&amp;'Funnel setup'!$K$5,".",IF(A824=".",1,A824+1))</f>
        <v>121</v>
      </c>
      <c r="B825" s="431" t="str">
        <f t="shared" si="12"/>
        <v>Groin HerniaProviderLUTON AND DUNSTABLE UNIVERSITY HOSPITAL NHS FOUNDATION TRUST (RC9)EQ-5D Index</v>
      </c>
      <c r="C825" t="s">
        <v>50</v>
      </c>
      <c r="D825" t="s">
        <v>1</v>
      </c>
      <c r="E825" t="s">
        <v>3528</v>
      </c>
      <c r="F825" t="s">
        <v>3529</v>
      </c>
      <c r="G825" t="s">
        <v>52</v>
      </c>
      <c r="H825">
        <v>122</v>
      </c>
      <c r="I825">
        <v>0.78100000000000003</v>
      </c>
      <c r="J825">
        <v>0.86899999999999999</v>
      </c>
      <c r="K825">
        <v>8.7999999999999995E-2</v>
      </c>
      <c r="L825">
        <v>64</v>
      </c>
      <c r="M825">
        <v>41</v>
      </c>
      <c r="N825">
        <v>17</v>
      </c>
      <c r="O825">
        <v>0.878</v>
      </c>
      <c r="P825">
        <v>8.4408456000000007E-2</v>
      </c>
      <c r="Q825">
        <v>0.154</v>
      </c>
    </row>
    <row r="826" spans="1:17" s="30" customFormat="1" x14ac:dyDescent="0.2">
      <c r="A826" s="30">
        <f>IF(C826&amp;G826&amp;D826&lt;&gt;'Funnel setup'!$K$3&amp;'Funnel setup'!$K$4&amp;'Funnel setup'!$K$5,".",IF(A825=".",1,A825+1))</f>
        <v>122</v>
      </c>
      <c r="B826" s="431" t="str">
        <f t="shared" si="12"/>
        <v>Groin HerniaProviderMAIDSTONE AND TUNBRIDGE WELLS NHS TRUST (RWF)EQ-5D Index</v>
      </c>
      <c r="C826" t="s">
        <v>50</v>
      </c>
      <c r="D826" t="s">
        <v>1</v>
      </c>
      <c r="E826" t="s">
        <v>3627</v>
      </c>
      <c r="F826" t="s">
        <v>3628</v>
      </c>
      <c r="G826" t="s">
        <v>52</v>
      </c>
      <c r="H826">
        <v>37</v>
      </c>
      <c r="I826">
        <v>0.77</v>
      </c>
      <c r="J826">
        <v>0.874</v>
      </c>
      <c r="K826">
        <v>0.104</v>
      </c>
      <c r="L826">
        <v>25</v>
      </c>
      <c r="M826">
        <v>7</v>
      </c>
      <c r="N826">
        <v>5</v>
      </c>
      <c r="O826">
        <v>0.88100000000000001</v>
      </c>
      <c r="P826">
        <v>8.7700679000000004E-2</v>
      </c>
      <c r="Q826">
        <v>0.247</v>
      </c>
    </row>
    <row r="827" spans="1:17" s="30" customFormat="1" x14ac:dyDescent="0.2">
      <c r="A827" s="30">
        <f>IF(C827&amp;G827&amp;D827&lt;&gt;'Funnel setup'!$K$3&amp;'Funnel setup'!$K$4&amp;'Funnel setup'!$K$5,".",IF(A826=".",1,A826+1))</f>
        <v>123</v>
      </c>
      <c r="B827" s="431" t="str">
        <f t="shared" si="12"/>
        <v>Groin HerniaProviderMEDWAY NHS FOUNDATION TRUST (RPA)EQ-5D Index</v>
      </c>
      <c r="C827" t="s">
        <v>50</v>
      </c>
      <c r="D827" t="s">
        <v>1</v>
      </c>
      <c r="E827" t="s">
        <v>3630</v>
      </c>
      <c r="F827" t="s">
        <v>3631</v>
      </c>
      <c r="G827" t="s">
        <v>52</v>
      </c>
      <c r="H827">
        <v>47</v>
      </c>
      <c r="I827">
        <v>0.71</v>
      </c>
      <c r="J827">
        <v>0.871</v>
      </c>
      <c r="K827">
        <v>0.16200000000000001</v>
      </c>
      <c r="L827">
        <v>34</v>
      </c>
      <c r="M827">
        <v>7</v>
      </c>
      <c r="N827">
        <v>6</v>
      </c>
      <c r="O827">
        <v>0.92100000000000004</v>
      </c>
      <c r="P827">
        <v>0.12806562099999999</v>
      </c>
      <c r="Q827">
        <v>0.13500000000000001</v>
      </c>
    </row>
    <row r="828" spans="1:17" s="30" customFormat="1" x14ac:dyDescent="0.2">
      <c r="A828" s="30">
        <f>IF(C828&amp;G828&amp;D828&lt;&gt;'Funnel setup'!$K$3&amp;'Funnel setup'!$K$4&amp;'Funnel setup'!$K$5,".",IF(A827=".",1,A827+1))</f>
        <v>124</v>
      </c>
      <c r="B828" s="431" t="str">
        <f t="shared" si="12"/>
        <v>Groin HerniaProviderMID CHESHIRE HOSPITALS NHS FOUNDATION TRUST (RBT)EQ-5D Index</v>
      </c>
      <c r="C828" t="s">
        <v>50</v>
      </c>
      <c r="D828" t="s">
        <v>1</v>
      </c>
      <c r="E828" t="s">
        <v>3633</v>
      </c>
      <c r="F828" t="s">
        <v>342</v>
      </c>
      <c r="G828" t="s">
        <v>52</v>
      </c>
      <c r="H828">
        <v>161</v>
      </c>
      <c r="I828">
        <v>0.81799999999999995</v>
      </c>
      <c r="J828">
        <v>0.88100000000000001</v>
      </c>
      <c r="K828">
        <v>6.3E-2</v>
      </c>
      <c r="L828">
        <v>69</v>
      </c>
      <c r="M828">
        <v>54</v>
      </c>
      <c r="N828">
        <v>38</v>
      </c>
      <c r="O828">
        <v>0.86599999999999999</v>
      </c>
      <c r="P828">
        <v>7.2851709000000001E-2</v>
      </c>
      <c r="Q828">
        <v>0.151</v>
      </c>
    </row>
    <row r="829" spans="1:17" s="30" customFormat="1" x14ac:dyDescent="0.2">
      <c r="A829" s="30">
        <f>IF(C829&amp;G829&amp;D829&lt;&gt;'Funnel setup'!$K$3&amp;'Funnel setup'!$K$4&amp;'Funnel setup'!$K$5,".",IF(A828=".",1,A828+1))</f>
        <v>125</v>
      </c>
      <c r="B829" s="431" t="str">
        <f t="shared" si="12"/>
        <v>Groin HerniaProviderMID ESSEX HOSPITAL SERVICES NHS TRUST (RQ8)EQ-5D Index</v>
      </c>
      <c r="C829" t="s">
        <v>50</v>
      </c>
      <c r="D829" t="s">
        <v>1</v>
      </c>
      <c r="E829" t="s">
        <v>3635</v>
      </c>
      <c r="F829" t="s">
        <v>3636</v>
      </c>
      <c r="G829" t="s">
        <v>52</v>
      </c>
      <c r="H829">
        <v>56</v>
      </c>
      <c r="I829">
        <v>0.79100000000000004</v>
      </c>
      <c r="J829">
        <v>0.88500000000000001</v>
      </c>
      <c r="K829">
        <v>9.4E-2</v>
      </c>
      <c r="L829">
        <v>30</v>
      </c>
      <c r="M829">
        <v>14</v>
      </c>
      <c r="N829">
        <v>12</v>
      </c>
      <c r="O829">
        <v>0.89300000000000002</v>
      </c>
      <c r="P829">
        <v>9.9617537000000006E-2</v>
      </c>
      <c r="Q829">
        <v>0.153</v>
      </c>
    </row>
    <row r="830" spans="1:17" s="30" customFormat="1" x14ac:dyDescent="0.2">
      <c r="A830" s="30">
        <f>IF(C830&amp;G830&amp;D830&lt;&gt;'Funnel setup'!$K$3&amp;'Funnel setup'!$K$4&amp;'Funnel setup'!$K$5,".",IF(A829=".",1,A829+1))</f>
        <v>126</v>
      </c>
      <c r="B830" s="431" t="str">
        <f t="shared" si="12"/>
        <v>Groin HerniaProviderMID STAFFORDSHIRE NHS FOUNDATION TRUST (RJD)EQ-5D Index</v>
      </c>
      <c r="C830" t="s">
        <v>50</v>
      </c>
      <c r="D830" t="s">
        <v>1</v>
      </c>
      <c r="E830" t="s">
        <v>3638</v>
      </c>
      <c r="F830" t="s">
        <v>3639</v>
      </c>
      <c r="G830" t="s">
        <v>52</v>
      </c>
      <c r="H830">
        <v>90</v>
      </c>
      <c r="I830">
        <v>0.76900000000000002</v>
      </c>
      <c r="J830">
        <v>0.88300000000000001</v>
      </c>
      <c r="K830">
        <v>0.114</v>
      </c>
      <c r="L830">
        <v>59</v>
      </c>
      <c r="M830">
        <v>17</v>
      </c>
      <c r="N830">
        <v>14</v>
      </c>
      <c r="O830">
        <v>0.88400000000000001</v>
      </c>
      <c r="P830">
        <v>9.0840900000000002E-2</v>
      </c>
      <c r="Q830">
        <v>0.16900000000000001</v>
      </c>
    </row>
    <row r="831" spans="1:17" s="30" customFormat="1" x14ac:dyDescent="0.2">
      <c r="A831" s="30">
        <f>IF(C831&amp;G831&amp;D831&lt;&gt;'Funnel setup'!$K$3&amp;'Funnel setup'!$K$4&amp;'Funnel setup'!$K$5,".",IF(A830=".",1,A830+1))</f>
        <v>127</v>
      </c>
      <c r="B831" s="431" t="str">
        <f t="shared" si="12"/>
        <v>Groin HerniaProviderMID YORKSHIRE HOSPITALS NHS TRUST (RXF)EQ-5D Index</v>
      </c>
      <c r="C831" t="s">
        <v>50</v>
      </c>
      <c r="D831" t="s">
        <v>1</v>
      </c>
      <c r="E831" t="s">
        <v>3641</v>
      </c>
      <c r="F831" t="s">
        <v>3642</v>
      </c>
      <c r="G831" t="s">
        <v>52</v>
      </c>
      <c r="H831">
        <v>164</v>
      </c>
      <c r="I831">
        <v>0.84599999999999997</v>
      </c>
      <c r="J831">
        <v>0.86599999999999999</v>
      </c>
      <c r="K831">
        <v>0.02</v>
      </c>
      <c r="L831">
        <v>57</v>
      </c>
      <c r="M831">
        <v>68</v>
      </c>
      <c r="N831">
        <v>39</v>
      </c>
      <c r="O831">
        <v>0.85899999999999999</v>
      </c>
      <c r="P831">
        <v>6.5627817000000005E-2</v>
      </c>
      <c r="Q831">
        <v>0.158</v>
      </c>
    </row>
    <row r="832" spans="1:17" s="30" customFormat="1" x14ac:dyDescent="0.2">
      <c r="A832" s="30">
        <f>IF(C832&amp;G832&amp;D832&lt;&gt;'Funnel setup'!$K$3&amp;'Funnel setup'!$K$4&amp;'Funnel setup'!$K$5,".",IF(A831=".",1,A831+1))</f>
        <v>128</v>
      </c>
      <c r="B832" s="431" t="str">
        <f t="shared" si="12"/>
        <v>Groin HerniaProviderMILTON KEYNES UNIVERSITY HOSPITAL NHS FOUNDATION TRUST (RD8)EQ-5D Index</v>
      </c>
      <c r="C832" t="s">
        <v>50</v>
      </c>
      <c r="D832" t="s">
        <v>1</v>
      </c>
      <c r="E832" t="s">
        <v>3643</v>
      </c>
      <c r="F832" t="s">
        <v>6580</v>
      </c>
      <c r="G832" t="s">
        <v>52</v>
      </c>
      <c r="H832">
        <v>58</v>
      </c>
      <c r="I832">
        <v>0.77500000000000002</v>
      </c>
      <c r="J832">
        <v>0.8</v>
      </c>
      <c r="K832">
        <v>2.5000000000000001E-2</v>
      </c>
      <c r="L832">
        <v>30</v>
      </c>
      <c r="M832">
        <v>11</v>
      </c>
      <c r="N832">
        <v>17</v>
      </c>
      <c r="O832">
        <v>0.82299999999999995</v>
      </c>
      <c r="P832">
        <v>3.0097684E-2</v>
      </c>
      <c r="Q832">
        <v>0.217</v>
      </c>
    </row>
    <row r="833" spans="1:17" s="30" customFormat="1" x14ac:dyDescent="0.2">
      <c r="A833" s="30">
        <f>IF(C833&amp;G833&amp;D833&lt;&gt;'Funnel setup'!$K$3&amp;'Funnel setup'!$K$4&amp;'Funnel setup'!$K$5,".",IF(A832=".",1,A832+1))</f>
        <v>129</v>
      </c>
      <c r="B833" s="431" t="str">
        <f t="shared" si="12"/>
        <v>Groin HerniaProviderMOUNT STUART HOSPITAL (NVC08)EQ-5D Index</v>
      </c>
      <c r="C833" t="s">
        <v>50</v>
      </c>
      <c r="D833" t="s">
        <v>1</v>
      </c>
      <c r="E833" t="s">
        <v>3645</v>
      </c>
      <c r="F833" t="s">
        <v>3646</v>
      </c>
      <c r="G833" t="s">
        <v>52</v>
      </c>
      <c r="H833">
        <v>126</v>
      </c>
      <c r="I833">
        <v>0.86199999999999999</v>
      </c>
      <c r="J833">
        <v>0.91500000000000004</v>
      </c>
      <c r="K833">
        <v>5.1999999999999998E-2</v>
      </c>
      <c r="L833">
        <v>52</v>
      </c>
      <c r="M833">
        <v>50</v>
      </c>
      <c r="N833">
        <v>24</v>
      </c>
      <c r="O833">
        <v>0.873</v>
      </c>
      <c r="P833">
        <v>7.9292324999999997E-2</v>
      </c>
      <c r="Q833">
        <v>0.121</v>
      </c>
    </row>
    <row r="834" spans="1:17" s="30" customFormat="1" x14ac:dyDescent="0.2">
      <c r="A834" s="30">
        <f>IF(C834&amp;G834&amp;D834&lt;&gt;'Funnel setup'!$K$3&amp;'Funnel setup'!$K$4&amp;'Funnel setup'!$K$5,".",IF(A833=".",1,A833+1))</f>
        <v>130</v>
      </c>
      <c r="B834" s="431" t="str">
        <f t="shared" si="12"/>
        <v>Groin HerniaProviderNEW HALL HOSPITAL (NVC09)EQ-5D Index</v>
      </c>
      <c r="C834" t="s">
        <v>50</v>
      </c>
      <c r="D834" t="s">
        <v>1</v>
      </c>
      <c r="E834" t="s">
        <v>3648</v>
      </c>
      <c r="F834" t="s">
        <v>3649</v>
      </c>
      <c r="G834" t="s">
        <v>52</v>
      </c>
      <c r="H834">
        <v>14</v>
      </c>
      <c r="I834">
        <v>0.84199999999999997</v>
      </c>
      <c r="J834">
        <v>0.95399999999999996</v>
      </c>
      <c r="K834">
        <v>0.112</v>
      </c>
      <c r="L834">
        <v>9</v>
      </c>
      <c r="M834">
        <v>4</v>
      </c>
      <c r="N834">
        <v>1</v>
      </c>
      <c r="O834" t="s">
        <v>53</v>
      </c>
      <c r="P834" t="s">
        <v>53</v>
      </c>
      <c r="Q834" t="s">
        <v>53</v>
      </c>
    </row>
    <row r="835" spans="1:17" s="30" customFormat="1" x14ac:dyDescent="0.2">
      <c r="A835" s="30">
        <f>IF(C835&amp;G835&amp;D835&lt;&gt;'Funnel setup'!$K$3&amp;'Funnel setup'!$K$4&amp;'Funnel setup'!$K$5,".",IF(A834=".",1,A834+1))</f>
        <v>131</v>
      </c>
      <c r="B835" s="431" t="str">
        <f t="shared" ref="B835:B898" si="13">C835&amp;D835&amp;F835&amp;G835</f>
        <v>Groin HerniaProviderNORFOLK AND NORWICH UNIVERSITY HOSPITALS NHS FOUNDATION TRUST (RM1)EQ-5D Index</v>
      </c>
      <c r="C835" t="s">
        <v>50</v>
      </c>
      <c r="D835" t="s">
        <v>1</v>
      </c>
      <c r="E835" t="s">
        <v>3651</v>
      </c>
      <c r="F835" t="s">
        <v>3652</v>
      </c>
      <c r="G835" t="s">
        <v>52</v>
      </c>
      <c r="H835">
        <v>382</v>
      </c>
      <c r="I835">
        <v>0.76800000000000002</v>
      </c>
      <c r="J835">
        <v>0.89200000000000002</v>
      </c>
      <c r="K835">
        <v>0.124</v>
      </c>
      <c r="L835">
        <v>232</v>
      </c>
      <c r="M835">
        <v>105</v>
      </c>
      <c r="N835">
        <v>45</v>
      </c>
      <c r="O835">
        <v>0.89200000000000002</v>
      </c>
      <c r="P835">
        <v>9.8217831000000005E-2</v>
      </c>
      <c r="Q835">
        <v>0.13800000000000001</v>
      </c>
    </row>
    <row r="836" spans="1:17" s="30" customFormat="1" x14ac:dyDescent="0.2">
      <c r="A836" s="30">
        <f>IF(C836&amp;G836&amp;D836&lt;&gt;'Funnel setup'!$K$3&amp;'Funnel setup'!$K$4&amp;'Funnel setup'!$K$5,".",IF(A835=".",1,A835+1))</f>
        <v>132</v>
      </c>
      <c r="B836" s="431" t="str">
        <f t="shared" si="13"/>
        <v>Groin HerniaProviderNORTH BRISTOL NHS TRUST (RVJ)EQ-5D Index</v>
      </c>
      <c r="C836" t="s">
        <v>50</v>
      </c>
      <c r="D836" t="s">
        <v>1</v>
      </c>
      <c r="E836" t="s">
        <v>3654</v>
      </c>
      <c r="F836" t="s">
        <v>3655</v>
      </c>
      <c r="G836" t="s">
        <v>52</v>
      </c>
      <c r="H836">
        <v>9</v>
      </c>
      <c r="I836">
        <v>0.81399999999999995</v>
      </c>
      <c r="J836">
        <v>0.96</v>
      </c>
      <c r="K836">
        <v>0.14699999999999999</v>
      </c>
      <c r="L836">
        <v>6</v>
      </c>
      <c r="M836">
        <v>3</v>
      </c>
      <c r="N836">
        <v>0</v>
      </c>
      <c r="O836" t="s">
        <v>53</v>
      </c>
      <c r="P836" t="s">
        <v>53</v>
      </c>
      <c r="Q836" t="s">
        <v>53</v>
      </c>
    </row>
    <row r="837" spans="1:17" s="30" customFormat="1" x14ac:dyDescent="0.2">
      <c r="A837" s="30">
        <f>IF(C837&amp;G837&amp;D837&lt;&gt;'Funnel setup'!$K$3&amp;'Funnel setup'!$K$4&amp;'Funnel setup'!$K$5,".",IF(A836=".",1,A836+1))</f>
        <v>133</v>
      </c>
      <c r="B837" s="431" t="str">
        <f t="shared" si="13"/>
        <v>Groin HerniaProviderNORTH CUMBRIA UNIVERSITY HOSPITALS NHS TRUST (RNL)EQ-5D Index</v>
      </c>
      <c r="C837" t="s">
        <v>50</v>
      </c>
      <c r="D837" t="s">
        <v>1</v>
      </c>
      <c r="E837" t="s">
        <v>3657</v>
      </c>
      <c r="F837" t="s">
        <v>3658</v>
      </c>
      <c r="G837" t="s">
        <v>52</v>
      </c>
      <c r="H837">
        <v>88</v>
      </c>
      <c r="I837">
        <v>0.81100000000000005</v>
      </c>
      <c r="J837">
        <v>0.85599999999999998</v>
      </c>
      <c r="K837">
        <v>4.4999999999999998E-2</v>
      </c>
      <c r="L837">
        <v>38</v>
      </c>
      <c r="M837">
        <v>28</v>
      </c>
      <c r="N837">
        <v>22</v>
      </c>
      <c r="O837">
        <v>0.84799999999999998</v>
      </c>
      <c r="P837">
        <v>5.4190055000000001E-2</v>
      </c>
      <c r="Q837">
        <v>0.21199999999999999</v>
      </c>
    </row>
    <row r="838" spans="1:17" s="30" customFormat="1" x14ac:dyDescent="0.2">
      <c r="A838" s="30">
        <f>IF(C838&amp;G838&amp;D838&lt;&gt;'Funnel setup'!$K$3&amp;'Funnel setup'!$K$4&amp;'Funnel setup'!$K$5,".",IF(A837=".",1,A837+1))</f>
        <v>134</v>
      </c>
      <c r="B838" s="431" t="str">
        <f t="shared" si="13"/>
        <v>Groin HerniaProviderNORTH DOWNS HOSPITAL (NVC11)EQ-5D Index</v>
      </c>
      <c r="C838" t="s">
        <v>50</v>
      </c>
      <c r="D838" t="s">
        <v>1</v>
      </c>
      <c r="E838" t="s">
        <v>3660</v>
      </c>
      <c r="F838" t="s">
        <v>3661</v>
      </c>
      <c r="G838" t="s">
        <v>52</v>
      </c>
      <c r="H838">
        <v>34</v>
      </c>
      <c r="I838">
        <v>0.84599999999999997</v>
      </c>
      <c r="J838">
        <v>0.88400000000000001</v>
      </c>
      <c r="K838">
        <v>3.7999999999999999E-2</v>
      </c>
      <c r="L838">
        <v>15</v>
      </c>
      <c r="M838">
        <v>13</v>
      </c>
      <c r="N838">
        <v>6</v>
      </c>
      <c r="O838">
        <v>0.84399999999999997</v>
      </c>
      <c r="P838">
        <v>5.0259881999999999E-2</v>
      </c>
      <c r="Q838">
        <v>0.14799999999999999</v>
      </c>
    </row>
    <row r="839" spans="1:17" s="30" customFormat="1" x14ac:dyDescent="0.2">
      <c r="A839" s="30">
        <f>IF(C839&amp;G839&amp;D839&lt;&gt;'Funnel setup'!$K$3&amp;'Funnel setup'!$K$4&amp;'Funnel setup'!$K$5,".",IF(A838=".",1,A838+1))</f>
        <v>135</v>
      </c>
      <c r="B839" s="431" t="str">
        <f t="shared" si="13"/>
        <v>Groin HerniaProviderNORTH EAST LONDON TREATMENT CENTRE CARE UK (NTP15)EQ-5D Index</v>
      </c>
      <c r="C839" t="s">
        <v>50</v>
      </c>
      <c r="D839" t="s">
        <v>1</v>
      </c>
      <c r="E839" t="s">
        <v>3663</v>
      </c>
      <c r="F839" t="s">
        <v>3664</v>
      </c>
      <c r="G839" t="s">
        <v>52</v>
      </c>
      <c r="H839">
        <v>71</v>
      </c>
      <c r="I839">
        <v>0.79</v>
      </c>
      <c r="J839">
        <v>0.85899999999999999</v>
      </c>
      <c r="K839">
        <v>7.0000000000000007E-2</v>
      </c>
      <c r="L839">
        <v>35</v>
      </c>
      <c r="M839">
        <v>22</v>
      </c>
      <c r="N839">
        <v>14</v>
      </c>
      <c r="O839">
        <v>0.86199999999999999</v>
      </c>
      <c r="P839">
        <v>6.8836907000000003E-2</v>
      </c>
      <c r="Q839">
        <v>0.14199999999999999</v>
      </c>
    </row>
    <row r="840" spans="1:17" s="30" customFormat="1" x14ac:dyDescent="0.2">
      <c r="A840" s="30">
        <f>IF(C840&amp;G840&amp;D840&lt;&gt;'Funnel setup'!$K$3&amp;'Funnel setup'!$K$4&amp;'Funnel setup'!$K$5,".",IF(A839=".",1,A839+1))</f>
        <v>136</v>
      </c>
      <c r="B840" s="431" t="str">
        <f t="shared" si="13"/>
        <v>Groin HerniaProviderNORTH MIDDLESEX UNIVERSITY HOSPITAL NHS TRUST (RAP)EQ-5D Index</v>
      </c>
      <c r="C840" t="s">
        <v>50</v>
      </c>
      <c r="D840" t="s">
        <v>1</v>
      </c>
      <c r="E840" t="s">
        <v>3666</v>
      </c>
      <c r="F840" t="s">
        <v>3667</v>
      </c>
      <c r="G840" t="s">
        <v>52</v>
      </c>
      <c r="H840">
        <v>34</v>
      </c>
      <c r="I840">
        <v>0.69699999999999995</v>
      </c>
      <c r="J840">
        <v>0.82</v>
      </c>
      <c r="K840">
        <v>0.123</v>
      </c>
      <c r="L840">
        <v>18</v>
      </c>
      <c r="M840">
        <v>7</v>
      </c>
      <c r="N840">
        <v>9</v>
      </c>
      <c r="O840">
        <v>0.86899999999999999</v>
      </c>
      <c r="P840">
        <v>7.5956009000000005E-2</v>
      </c>
      <c r="Q840">
        <v>0.19700000000000001</v>
      </c>
    </row>
    <row r="841" spans="1:17" s="30" customFormat="1" x14ac:dyDescent="0.2">
      <c r="A841" s="30">
        <f>IF(C841&amp;G841&amp;D841&lt;&gt;'Funnel setup'!$K$3&amp;'Funnel setup'!$K$4&amp;'Funnel setup'!$K$5,".",IF(A840=".",1,A840+1))</f>
        <v>137</v>
      </c>
      <c r="B841" s="431" t="str">
        <f t="shared" si="13"/>
        <v>Groin HerniaProviderNORTH TEES AND HARTLEPOOL NHS FOUNDATION TRUST (RVW)EQ-5D Index</v>
      </c>
      <c r="C841" t="s">
        <v>50</v>
      </c>
      <c r="D841" t="s">
        <v>1</v>
      </c>
      <c r="E841" t="s">
        <v>3669</v>
      </c>
      <c r="F841" t="s">
        <v>3670</v>
      </c>
      <c r="G841" t="s">
        <v>52</v>
      </c>
      <c r="H841">
        <v>113</v>
      </c>
      <c r="I841">
        <v>0.79</v>
      </c>
      <c r="J841">
        <v>0.81799999999999995</v>
      </c>
      <c r="K841">
        <v>2.8000000000000001E-2</v>
      </c>
      <c r="L841">
        <v>45</v>
      </c>
      <c r="M841">
        <v>39</v>
      </c>
      <c r="N841">
        <v>29</v>
      </c>
      <c r="O841">
        <v>0.83799999999999997</v>
      </c>
      <c r="P841">
        <v>4.4371046999999997E-2</v>
      </c>
      <c r="Q841">
        <v>0.158</v>
      </c>
    </row>
    <row r="842" spans="1:17" s="30" customFormat="1" x14ac:dyDescent="0.2">
      <c r="A842" s="30">
        <f>IF(C842&amp;G842&amp;D842&lt;&gt;'Funnel setup'!$K$3&amp;'Funnel setup'!$K$4&amp;'Funnel setup'!$K$5,".",IF(A841=".",1,A841+1))</f>
        <v>138</v>
      </c>
      <c r="B842" s="431" t="str">
        <f t="shared" si="13"/>
        <v>Groin HerniaProviderNORTHAMPTON GENERAL HOSPITAL NHS TRUST (RNS)EQ-5D Index</v>
      </c>
      <c r="C842" t="s">
        <v>50</v>
      </c>
      <c r="D842" t="s">
        <v>1</v>
      </c>
      <c r="E842" t="s">
        <v>3675</v>
      </c>
      <c r="F842" t="s">
        <v>3676</v>
      </c>
      <c r="G842" t="s">
        <v>52</v>
      </c>
      <c r="H842">
        <v>81</v>
      </c>
      <c r="I842">
        <v>0.73399999999999999</v>
      </c>
      <c r="J842">
        <v>0.86299999999999999</v>
      </c>
      <c r="K842">
        <v>0.129</v>
      </c>
      <c r="L842">
        <v>47</v>
      </c>
      <c r="M842">
        <v>21</v>
      </c>
      <c r="N842">
        <v>13</v>
      </c>
      <c r="O842">
        <v>0.89300000000000002</v>
      </c>
      <c r="P842">
        <v>9.9514200999999997E-2</v>
      </c>
      <c r="Q842">
        <v>0.20399999999999999</v>
      </c>
    </row>
    <row r="843" spans="1:17" s="30" customFormat="1" x14ac:dyDescent="0.2">
      <c r="A843" s="30">
        <f>IF(C843&amp;G843&amp;D843&lt;&gt;'Funnel setup'!$K$3&amp;'Funnel setup'!$K$4&amp;'Funnel setup'!$K$5,".",IF(A842=".",1,A842+1))</f>
        <v>139</v>
      </c>
      <c r="B843" s="431" t="str">
        <f t="shared" si="13"/>
        <v>Groin HerniaProviderNORTHERN DEVON HEALTHCARE NHS TRUST (RBZ)EQ-5D Index</v>
      </c>
      <c r="C843" t="s">
        <v>50</v>
      </c>
      <c r="D843" t="s">
        <v>1</v>
      </c>
      <c r="E843" t="s">
        <v>3678</v>
      </c>
      <c r="F843" t="s">
        <v>3679</v>
      </c>
      <c r="G843" t="s">
        <v>52</v>
      </c>
      <c r="H843">
        <v>156</v>
      </c>
      <c r="I843">
        <v>0.76300000000000001</v>
      </c>
      <c r="J843">
        <v>0.86799999999999999</v>
      </c>
      <c r="K843">
        <v>0.105</v>
      </c>
      <c r="L843">
        <v>95</v>
      </c>
      <c r="M843">
        <v>38</v>
      </c>
      <c r="N843">
        <v>23</v>
      </c>
      <c r="O843">
        <v>0.872</v>
      </c>
      <c r="P843">
        <v>7.8711932999999998E-2</v>
      </c>
      <c r="Q843">
        <v>0.158</v>
      </c>
    </row>
    <row r="844" spans="1:17" s="30" customFormat="1" x14ac:dyDescent="0.2">
      <c r="A844" s="30">
        <f>IF(C844&amp;G844&amp;D844&lt;&gt;'Funnel setup'!$K$3&amp;'Funnel setup'!$K$4&amp;'Funnel setup'!$K$5,".",IF(A843=".",1,A843+1))</f>
        <v>140</v>
      </c>
      <c r="B844" s="431" t="str">
        <f t="shared" si="13"/>
        <v>Groin HerniaProviderNORTHERN LINCOLNSHIRE AND GOOLE NHS FOUNDATION TRUST (RJL)EQ-5D Index</v>
      </c>
      <c r="C844" t="s">
        <v>50</v>
      </c>
      <c r="D844" t="s">
        <v>1</v>
      </c>
      <c r="E844" t="s">
        <v>3681</v>
      </c>
      <c r="F844" t="s">
        <v>3682</v>
      </c>
      <c r="G844" t="s">
        <v>52</v>
      </c>
      <c r="H844">
        <v>132</v>
      </c>
      <c r="I844">
        <v>0.71</v>
      </c>
      <c r="J844">
        <v>0.84399999999999997</v>
      </c>
      <c r="K844">
        <v>0.13300000000000001</v>
      </c>
      <c r="L844">
        <v>86</v>
      </c>
      <c r="M844">
        <v>33</v>
      </c>
      <c r="N844">
        <v>13</v>
      </c>
      <c r="O844">
        <v>0.88</v>
      </c>
      <c r="P844">
        <v>8.7008800999999997E-2</v>
      </c>
      <c r="Q844">
        <v>0.161</v>
      </c>
    </row>
    <row r="845" spans="1:17" s="30" customFormat="1" x14ac:dyDescent="0.2">
      <c r="A845" s="30">
        <f>IF(C845&amp;G845&amp;D845&lt;&gt;'Funnel setup'!$K$3&amp;'Funnel setup'!$K$4&amp;'Funnel setup'!$K$5,".",IF(A844=".",1,A844+1))</f>
        <v>141</v>
      </c>
      <c r="B845" s="431" t="str">
        <f t="shared" si="13"/>
        <v>Groin HerniaProviderNORTHUMBRIA HEALTHCARE NHS FOUNDATION TRUST (RTF)EQ-5D Index</v>
      </c>
      <c r="C845" t="s">
        <v>50</v>
      </c>
      <c r="D845" t="s">
        <v>1</v>
      </c>
      <c r="E845" t="s">
        <v>3684</v>
      </c>
      <c r="F845" t="s">
        <v>3685</v>
      </c>
      <c r="G845" t="s">
        <v>52</v>
      </c>
      <c r="H845">
        <v>299</v>
      </c>
      <c r="I845">
        <v>0.76800000000000002</v>
      </c>
      <c r="J845">
        <v>0.86</v>
      </c>
      <c r="K845">
        <v>9.0999999999999998E-2</v>
      </c>
      <c r="L845">
        <v>164</v>
      </c>
      <c r="M845">
        <v>85</v>
      </c>
      <c r="N845">
        <v>50</v>
      </c>
      <c r="O845">
        <v>0.879</v>
      </c>
      <c r="P845">
        <v>8.6034131E-2</v>
      </c>
      <c r="Q845">
        <v>0.17</v>
      </c>
    </row>
    <row r="846" spans="1:17" s="30" customFormat="1" x14ac:dyDescent="0.2">
      <c r="A846" s="30">
        <f>IF(C846&amp;G846&amp;D846&lt;&gt;'Funnel setup'!$K$3&amp;'Funnel setup'!$K$4&amp;'Funnel setup'!$K$5,".",IF(A845=".",1,A845+1))</f>
        <v>142</v>
      </c>
      <c r="B846" s="431" t="str">
        <f t="shared" si="13"/>
        <v>Groin HerniaProviderNOTTINGHAM UNIVERSITY HOSPITALS NHS TRUST (RX1)EQ-5D Index</v>
      </c>
      <c r="C846" t="s">
        <v>50</v>
      </c>
      <c r="D846" t="s">
        <v>1</v>
      </c>
      <c r="E846" t="s">
        <v>3687</v>
      </c>
      <c r="F846" t="s">
        <v>3688</v>
      </c>
      <c r="G846" t="s">
        <v>52</v>
      </c>
      <c r="H846" t="s">
        <v>53</v>
      </c>
      <c r="I846" t="s">
        <v>53</v>
      </c>
      <c r="J846" t="s">
        <v>53</v>
      </c>
      <c r="K846" t="s">
        <v>53</v>
      </c>
      <c r="L846" t="s">
        <v>53</v>
      </c>
      <c r="M846" t="s">
        <v>53</v>
      </c>
      <c r="N846" t="s">
        <v>53</v>
      </c>
      <c r="O846" t="s">
        <v>53</v>
      </c>
      <c r="P846" t="s">
        <v>53</v>
      </c>
      <c r="Q846" t="s">
        <v>53</v>
      </c>
    </row>
    <row r="847" spans="1:17" s="30" customFormat="1" x14ac:dyDescent="0.2">
      <c r="A847" s="30">
        <f>IF(C847&amp;G847&amp;D847&lt;&gt;'Funnel setup'!$K$3&amp;'Funnel setup'!$K$4&amp;'Funnel setup'!$K$5,".",IF(A846=".",1,A846+1))</f>
        <v>143</v>
      </c>
      <c r="B847" s="431" t="str">
        <f t="shared" si="13"/>
        <v>Groin HerniaProviderNUFFIELD HEALTH, BRENTWOOD HOSPITAL (NT204)EQ-5D Index</v>
      </c>
      <c r="C847" t="s">
        <v>50</v>
      </c>
      <c r="D847" t="s">
        <v>1</v>
      </c>
      <c r="E847" t="s">
        <v>3691</v>
      </c>
      <c r="F847" t="s">
        <v>3692</v>
      </c>
      <c r="G847" t="s">
        <v>52</v>
      </c>
      <c r="H847" t="s">
        <v>53</v>
      </c>
      <c r="I847" t="s">
        <v>53</v>
      </c>
      <c r="J847" t="s">
        <v>53</v>
      </c>
      <c r="K847" t="s">
        <v>53</v>
      </c>
      <c r="L847" t="s">
        <v>53</v>
      </c>
      <c r="M847" t="s">
        <v>53</v>
      </c>
      <c r="N847" t="s">
        <v>53</v>
      </c>
      <c r="O847" t="s">
        <v>53</v>
      </c>
      <c r="P847" t="s">
        <v>53</v>
      </c>
      <c r="Q847" t="s">
        <v>53</v>
      </c>
    </row>
    <row r="848" spans="1:17" s="30" customFormat="1" x14ac:dyDescent="0.2">
      <c r="A848" s="30">
        <f>IF(C848&amp;G848&amp;D848&lt;&gt;'Funnel setup'!$K$3&amp;'Funnel setup'!$K$4&amp;'Funnel setup'!$K$5,".",IF(A847=".",1,A847+1))</f>
        <v>144</v>
      </c>
      <c r="B848" s="431" t="str">
        <f t="shared" si="13"/>
        <v>Groin HerniaProviderNUFFIELD HEALTH, BRISTOL HOSPITAL (CHESTERFIELD) (NT206)EQ-5D Index</v>
      </c>
      <c r="C848" t="s">
        <v>50</v>
      </c>
      <c r="D848" t="s">
        <v>1</v>
      </c>
      <c r="E848" t="s">
        <v>3700</v>
      </c>
      <c r="F848" t="s">
        <v>3701</v>
      </c>
      <c r="G848" t="s">
        <v>52</v>
      </c>
      <c r="H848" t="s">
        <v>53</v>
      </c>
      <c r="I848" t="s">
        <v>53</v>
      </c>
      <c r="J848" t="s">
        <v>53</v>
      </c>
      <c r="K848" t="s">
        <v>53</v>
      </c>
      <c r="L848" t="s">
        <v>53</v>
      </c>
      <c r="M848" t="s">
        <v>53</v>
      </c>
      <c r="N848" t="s">
        <v>53</v>
      </c>
      <c r="O848" t="s">
        <v>53</v>
      </c>
      <c r="P848" t="s">
        <v>53</v>
      </c>
      <c r="Q848" t="s">
        <v>53</v>
      </c>
    </row>
    <row r="849" spans="1:17" s="30" customFormat="1" x14ac:dyDescent="0.2">
      <c r="A849" s="30">
        <f>IF(C849&amp;G849&amp;D849&lt;&gt;'Funnel setup'!$K$3&amp;'Funnel setup'!$K$4&amp;'Funnel setup'!$K$5,".",IF(A848=".",1,A848+1))</f>
        <v>145</v>
      </c>
      <c r="B849" s="431" t="str">
        <f t="shared" si="13"/>
        <v>Groin HerniaProviderNUFFIELD HEALTH, CHELTENHAM HOSPITAL (NT211)EQ-5D Index</v>
      </c>
      <c r="C849" t="s">
        <v>50</v>
      </c>
      <c r="D849" t="s">
        <v>1</v>
      </c>
      <c r="E849" t="s">
        <v>3703</v>
      </c>
      <c r="F849" t="s">
        <v>3704</v>
      </c>
      <c r="G849" t="s">
        <v>52</v>
      </c>
      <c r="H849">
        <v>7</v>
      </c>
      <c r="I849">
        <v>0.86799999999999999</v>
      </c>
      <c r="J849">
        <v>0.96599999999999997</v>
      </c>
      <c r="K849">
        <v>9.8000000000000004E-2</v>
      </c>
      <c r="L849">
        <v>3</v>
      </c>
      <c r="M849">
        <v>3</v>
      </c>
      <c r="N849">
        <v>1</v>
      </c>
      <c r="O849" t="s">
        <v>53</v>
      </c>
      <c r="P849" t="s">
        <v>53</v>
      </c>
      <c r="Q849" t="s">
        <v>53</v>
      </c>
    </row>
    <row r="850" spans="1:17" s="30" customFormat="1" x14ac:dyDescent="0.2">
      <c r="A850" s="30">
        <f>IF(C850&amp;G850&amp;D850&lt;&gt;'Funnel setup'!$K$3&amp;'Funnel setup'!$K$4&amp;'Funnel setup'!$K$5,".",IF(A849=".",1,A849+1))</f>
        <v>146</v>
      </c>
      <c r="B850" s="431" t="str">
        <f t="shared" si="13"/>
        <v>Groin HerniaProviderNUFFIELD HEALTH, DERBY HOSPITAL (NT213)EQ-5D Index</v>
      </c>
      <c r="C850" t="s">
        <v>50</v>
      </c>
      <c r="D850" t="s">
        <v>1</v>
      </c>
      <c r="E850" t="s">
        <v>3340</v>
      </c>
      <c r="F850" t="s">
        <v>3341</v>
      </c>
      <c r="G850" t="s">
        <v>52</v>
      </c>
      <c r="H850">
        <v>9</v>
      </c>
      <c r="I850">
        <v>0.70099999999999996</v>
      </c>
      <c r="J850">
        <v>0.85799999999999998</v>
      </c>
      <c r="K850">
        <v>0.157</v>
      </c>
      <c r="L850">
        <v>5</v>
      </c>
      <c r="M850">
        <v>4</v>
      </c>
      <c r="N850">
        <v>0</v>
      </c>
      <c r="O850" t="s">
        <v>53</v>
      </c>
      <c r="P850" t="s">
        <v>53</v>
      </c>
      <c r="Q850" t="s">
        <v>53</v>
      </c>
    </row>
    <row r="851" spans="1:17" s="30" customFormat="1" x14ac:dyDescent="0.2">
      <c r="A851" s="30">
        <f>IF(C851&amp;G851&amp;D851&lt;&gt;'Funnel setup'!$K$3&amp;'Funnel setup'!$K$4&amp;'Funnel setup'!$K$5,".",IF(A850=".",1,A850+1))</f>
        <v>147</v>
      </c>
      <c r="B851" s="431" t="str">
        <f t="shared" si="13"/>
        <v>Groin HerniaProviderNUFFIELD HEALTH, HEREFORD HOSPITAL (NT219)EQ-5D Index</v>
      </c>
      <c r="C851" t="s">
        <v>50</v>
      </c>
      <c r="D851" t="s">
        <v>1</v>
      </c>
      <c r="E851" t="s">
        <v>3343</v>
      </c>
      <c r="F851" t="s">
        <v>3344</v>
      </c>
      <c r="G851" t="s">
        <v>52</v>
      </c>
      <c r="H851">
        <v>65</v>
      </c>
      <c r="I851">
        <v>0.79600000000000004</v>
      </c>
      <c r="J851">
        <v>0.90200000000000002</v>
      </c>
      <c r="K851">
        <v>0.106</v>
      </c>
      <c r="L851">
        <v>40</v>
      </c>
      <c r="M851">
        <v>14</v>
      </c>
      <c r="N851">
        <v>11</v>
      </c>
      <c r="O851">
        <v>0.89</v>
      </c>
      <c r="P851">
        <v>9.6846765000000001E-2</v>
      </c>
      <c r="Q851">
        <v>0.17399999999999999</v>
      </c>
    </row>
    <row r="852" spans="1:17" s="30" customFormat="1" x14ac:dyDescent="0.2">
      <c r="A852" s="30">
        <f>IF(C852&amp;G852&amp;D852&lt;&gt;'Funnel setup'!$K$3&amp;'Funnel setup'!$K$4&amp;'Funnel setup'!$K$5,".",IF(A851=".",1,A851+1))</f>
        <v>148</v>
      </c>
      <c r="B852" s="431" t="str">
        <f t="shared" si="13"/>
        <v>Groin HerniaProviderNUFFIELD HEALTH, IPSWICH HOSPITAL (NT222)EQ-5D Index</v>
      </c>
      <c r="C852" t="s">
        <v>50</v>
      </c>
      <c r="D852" t="s">
        <v>1</v>
      </c>
      <c r="E852" t="s">
        <v>3385</v>
      </c>
      <c r="F852" t="s">
        <v>3386</v>
      </c>
      <c r="G852" t="s">
        <v>52</v>
      </c>
      <c r="H852">
        <v>18</v>
      </c>
      <c r="I852">
        <v>0.72499999999999998</v>
      </c>
      <c r="J852">
        <v>0.90300000000000002</v>
      </c>
      <c r="K852">
        <v>0.17799999999999999</v>
      </c>
      <c r="L852">
        <v>11</v>
      </c>
      <c r="M852">
        <v>6</v>
      </c>
      <c r="N852">
        <v>1</v>
      </c>
      <c r="O852" t="s">
        <v>53</v>
      </c>
      <c r="P852" t="s">
        <v>53</v>
      </c>
      <c r="Q852" t="s">
        <v>53</v>
      </c>
    </row>
    <row r="853" spans="1:17" s="30" customFormat="1" x14ac:dyDescent="0.2">
      <c r="A853" s="30">
        <f>IF(C853&amp;G853&amp;D853&lt;&gt;'Funnel setup'!$K$3&amp;'Funnel setup'!$K$4&amp;'Funnel setup'!$K$5,".",IF(A852=".",1,A852+1))</f>
        <v>149</v>
      </c>
      <c r="B853" s="431" t="str">
        <f t="shared" si="13"/>
        <v>Groin HerniaProviderNUFFIELD HEALTH, LEEDS HOSPITAL (NT225)EQ-5D Index</v>
      </c>
      <c r="C853" t="s">
        <v>50</v>
      </c>
      <c r="D853" t="s">
        <v>1</v>
      </c>
      <c r="E853" t="s">
        <v>3388</v>
      </c>
      <c r="F853" t="s">
        <v>3389</v>
      </c>
      <c r="G853" t="s">
        <v>52</v>
      </c>
      <c r="H853">
        <v>36</v>
      </c>
      <c r="I853">
        <v>0.80100000000000005</v>
      </c>
      <c r="J853">
        <v>0.90400000000000003</v>
      </c>
      <c r="K853">
        <v>0.10299999999999999</v>
      </c>
      <c r="L853">
        <v>17</v>
      </c>
      <c r="M853">
        <v>11</v>
      </c>
      <c r="N853">
        <v>8</v>
      </c>
      <c r="O853">
        <v>0.88100000000000001</v>
      </c>
      <c r="P853">
        <v>8.7819670000000002E-2</v>
      </c>
      <c r="Q853">
        <v>0.11700000000000001</v>
      </c>
    </row>
    <row r="854" spans="1:17" s="30" customFormat="1" x14ac:dyDescent="0.2">
      <c r="A854" s="30">
        <f>IF(C854&amp;G854&amp;D854&lt;&gt;'Funnel setup'!$K$3&amp;'Funnel setup'!$K$4&amp;'Funnel setup'!$K$5,".",IF(A853=".",1,A853+1))</f>
        <v>150</v>
      </c>
      <c r="B854" s="431" t="str">
        <f t="shared" si="13"/>
        <v>Groin HerniaProviderNUFFIELD HEALTH, LEICESTER HOSPITAL (NT226)EQ-5D Index</v>
      </c>
      <c r="C854" t="s">
        <v>50</v>
      </c>
      <c r="D854" t="s">
        <v>1</v>
      </c>
      <c r="E854" t="s">
        <v>3391</v>
      </c>
      <c r="F854" t="s">
        <v>3392</v>
      </c>
      <c r="G854" t="s">
        <v>52</v>
      </c>
      <c r="H854">
        <v>44</v>
      </c>
      <c r="I854">
        <v>0.76</v>
      </c>
      <c r="J854">
        <v>0.89800000000000002</v>
      </c>
      <c r="K854">
        <v>0.13800000000000001</v>
      </c>
      <c r="L854">
        <v>21</v>
      </c>
      <c r="M854">
        <v>17</v>
      </c>
      <c r="N854">
        <v>6</v>
      </c>
      <c r="O854">
        <v>0.91500000000000004</v>
      </c>
      <c r="P854">
        <v>0.121565096</v>
      </c>
      <c r="Q854">
        <v>0.14299999999999999</v>
      </c>
    </row>
    <row r="855" spans="1:17" s="30" customFormat="1" x14ac:dyDescent="0.2">
      <c r="A855" s="30">
        <f>IF(C855&amp;G855&amp;D855&lt;&gt;'Funnel setup'!$K$3&amp;'Funnel setup'!$K$4&amp;'Funnel setup'!$K$5,".",IF(A854=".",1,A854+1))</f>
        <v>151</v>
      </c>
      <c r="B855" s="431" t="str">
        <f t="shared" si="13"/>
        <v>Groin HerniaProviderNUFFIELD HEALTH, NEWCASTLE UPON TYNE HOSPITAL (NT229)EQ-5D Index</v>
      </c>
      <c r="C855" t="s">
        <v>50</v>
      </c>
      <c r="D855" t="s">
        <v>1</v>
      </c>
      <c r="E855" t="s">
        <v>3394</v>
      </c>
      <c r="F855" t="s">
        <v>3395</v>
      </c>
      <c r="G855" t="s">
        <v>52</v>
      </c>
      <c r="H855">
        <v>58</v>
      </c>
      <c r="I855">
        <v>0.80500000000000005</v>
      </c>
      <c r="J855">
        <v>0.86</v>
      </c>
      <c r="K855">
        <v>5.5E-2</v>
      </c>
      <c r="L855">
        <v>30</v>
      </c>
      <c r="M855">
        <v>12</v>
      </c>
      <c r="N855">
        <v>16</v>
      </c>
      <c r="O855">
        <v>0.86799999999999999</v>
      </c>
      <c r="P855">
        <v>7.4759554000000006E-2</v>
      </c>
      <c r="Q855">
        <v>0.161</v>
      </c>
    </row>
    <row r="856" spans="1:17" s="30" customFormat="1" x14ac:dyDescent="0.2">
      <c r="A856" s="30">
        <f>IF(C856&amp;G856&amp;D856&lt;&gt;'Funnel setup'!$K$3&amp;'Funnel setup'!$K$4&amp;'Funnel setup'!$K$5,".",IF(A855=".",1,A855+1))</f>
        <v>152</v>
      </c>
      <c r="B856" s="431" t="str">
        <f t="shared" si="13"/>
        <v>Groin HerniaProviderNUFFIELD HEALTH, NORTH STAFFORDSHIRE HOSPITAL (NT230)EQ-5D Index</v>
      </c>
      <c r="C856" t="s">
        <v>50</v>
      </c>
      <c r="D856" t="s">
        <v>1</v>
      </c>
      <c r="E856" t="s">
        <v>3397</v>
      </c>
      <c r="F856" t="s">
        <v>3398</v>
      </c>
      <c r="G856" t="s">
        <v>52</v>
      </c>
      <c r="H856">
        <v>27</v>
      </c>
      <c r="I856">
        <v>0.78</v>
      </c>
      <c r="J856">
        <v>0.88600000000000001</v>
      </c>
      <c r="K856">
        <v>0.105</v>
      </c>
      <c r="L856">
        <v>20</v>
      </c>
      <c r="M856">
        <v>5</v>
      </c>
      <c r="N856">
        <v>2</v>
      </c>
      <c r="O856" t="s">
        <v>53</v>
      </c>
      <c r="P856" t="s">
        <v>53</v>
      </c>
      <c r="Q856" t="s">
        <v>53</v>
      </c>
    </row>
    <row r="857" spans="1:17" s="30" customFormat="1" x14ac:dyDescent="0.2">
      <c r="A857" s="30">
        <f>IF(C857&amp;G857&amp;D857&lt;&gt;'Funnel setup'!$K$3&amp;'Funnel setup'!$K$4&amp;'Funnel setup'!$K$5,".",IF(A856=".",1,A856+1))</f>
        <v>153</v>
      </c>
      <c r="B857" s="431" t="str">
        <f t="shared" si="13"/>
        <v>Groin HerniaProviderNUFFIELD HEALTH, PLYMOUTH HOSPITAL (NT233)EQ-5D Index</v>
      </c>
      <c r="C857" t="s">
        <v>50</v>
      </c>
      <c r="D857" t="s">
        <v>1</v>
      </c>
      <c r="E857" t="s">
        <v>3400</v>
      </c>
      <c r="F857" t="s">
        <v>3401</v>
      </c>
      <c r="G857" t="s">
        <v>52</v>
      </c>
      <c r="H857">
        <v>214</v>
      </c>
      <c r="I857">
        <v>0.80700000000000005</v>
      </c>
      <c r="J857">
        <v>0.89800000000000002</v>
      </c>
      <c r="K857">
        <v>0.09</v>
      </c>
      <c r="L857">
        <v>111</v>
      </c>
      <c r="M857">
        <v>73</v>
      </c>
      <c r="N857">
        <v>30</v>
      </c>
      <c r="O857">
        <v>0.877</v>
      </c>
      <c r="P857">
        <v>8.3826815999999998E-2</v>
      </c>
      <c r="Q857">
        <v>0.14699999999999999</v>
      </c>
    </row>
    <row r="858" spans="1:17" s="30" customFormat="1" x14ac:dyDescent="0.2">
      <c r="A858" s="30">
        <f>IF(C858&amp;G858&amp;D858&lt;&gt;'Funnel setup'!$K$3&amp;'Funnel setup'!$K$4&amp;'Funnel setup'!$K$5,".",IF(A857=".",1,A857+1))</f>
        <v>154</v>
      </c>
      <c r="B858" s="431" t="str">
        <f t="shared" si="13"/>
        <v>Groin HerniaProviderNUFFIELD HEALTH, SHREWSBURY HOSPITAL (NT235)EQ-5D Index</v>
      </c>
      <c r="C858" t="s">
        <v>50</v>
      </c>
      <c r="D858" t="s">
        <v>1</v>
      </c>
      <c r="E858" t="s">
        <v>3240</v>
      </c>
      <c r="F858" t="s">
        <v>3241</v>
      </c>
      <c r="G858" t="s">
        <v>52</v>
      </c>
      <c r="H858">
        <v>50</v>
      </c>
      <c r="I858">
        <v>0.78500000000000003</v>
      </c>
      <c r="J858">
        <v>0.9</v>
      </c>
      <c r="K858">
        <v>0.115</v>
      </c>
      <c r="L858">
        <v>27</v>
      </c>
      <c r="M858">
        <v>13</v>
      </c>
      <c r="N858">
        <v>10</v>
      </c>
      <c r="O858">
        <v>0.89500000000000002</v>
      </c>
      <c r="P858">
        <v>0.101615418</v>
      </c>
      <c r="Q858">
        <v>0.114</v>
      </c>
    </row>
    <row r="859" spans="1:17" s="30" customFormat="1" x14ac:dyDescent="0.2">
      <c r="A859" s="30">
        <f>IF(C859&amp;G859&amp;D859&lt;&gt;'Funnel setup'!$K$3&amp;'Funnel setup'!$K$4&amp;'Funnel setup'!$K$5,".",IF(A858=".",1,A858+1))</f>
        <v>155</v>
      </c>
      <c r="B859" s="431" t="str">
        <f t="shared" si="13"/>
        <v>Groin HerniaProviderNUFFIELD HEALTH, TAUNTON HOSPITAL (NT238)EQ-5D Index</v>
      </c>
      <c r="C859" t="s">
        <v>50</v>
      </c>
      <c r="D859" t="s">
        <v>1</v>
      </c>
      <c r="E859" t="s">
        <v>3243</v>
      </c>
      <c r="F859" t="s">
        <v>3244</v>
      </c>
      <c r="G859" t="s">
        <v>52</v>
      </c>
      <c r="H859">
        <v>59</v>
      </c>
      <c r="I859">
        <v>0.81499999999999995</v>
      </c>
      <c r="J859">
        <v>0.92800000000000005</v>
      </c>
      <c r="K859">
        <v>0.113</v>
      </c>
      <c r="L859">
        <v>33</v>
      </c>
      <c r="M859">
        <v>20</v>
      </c>
      <c r="N859">
        <v>6</v>
      </c>
      <c r="O859">
        <v>0.90600000000000003</v>
      </c>
      <c r="P859">
        <v>0.112470717</v>
      </c>
      <c r="Q859">
        <v>0.11</v>
      </c>
    </row>
    <row r="860" spans="1:17" s="30" customFormat="1" x14ac:dyDescent="0.2">
      <c r="A860" s="30">
        <f>IF(C860&amp;G860&amp;D860&lt;&gt;'Funnel setup'!$K$3&amp;'Funnel setup'!$K$4&amp;'Funnel setup'!$K$5,".",IF(A859=".",1,A859+1))</f>
        <v>156</v>
      </c>
      <c r="B860" s="431" t="str">
        <f t="shared" si="13"/>
        <v>Groin HerniaProviderNUFFIELD HEALTH, TEES HOSPITAL (NT237)EQ-5D Index</v>
      </c>
      <c r="C860" t="s">
        <v>50</v>
      </c>
      <c r="D860" t="s">
        <v>1</v>
      </c>
      <c r="E860" t="s">
        <v>3246</v>
      </c>
      <c r="F860" t="s">
        <v>3247</v>
      </c>
      <c r="G860" t="s">
        <v>52</v>
      </c>
      <c r="H860">
        <v>93</v>
      </c>
      <c r="I860">
        <v>0.78</v>
      </c>
      <c r="J860">
        <v>0.89500000000000002</v>
      </c>
      <c r="K860">
        <v>0.115</v>
      </c>
      <c r="L860">
        <v>51</v>
      </c>
      <c r="M860">
        <v>25</v>
      </c>
      <c r="N860">
        <v>17</v>
      </c>
      <c r="O860">
        <v>0.88700000000000001</v>
      </c>
      <c r="P860">
        <v>9.3466969999999996E-2</v>
      </c>
      <c r="Q860">
        <v>0.157</v>
      </c>
    </row>
    <row r="861" spans="1:17" s="30" customFormat="1" x14ac:dyDescent="0.2">
      <c r="A861" s="30">
        <f>IF(C861&amp;G861&amp;D861&lt;&gt;'Funnel setup'!$K$3&amp;'Funnel setup'!$K$4&amp;'Funnel setup'!$K$5,".",IF(A860=".",1,A860+1))</f>
        <v>157</v>
      </c>
      <c r="B861" s="431" t="str">
        <f t="shared" si="13"/>
        <v>Groin HerniaProviderNUFFIELD HEALTH, TUNBRIDGE WELLS HOSPITAL (NT239)EQ-5D Index</v>
      </c>
      <c r="C861" t="s">
        <v>50</v>
      </c>
      <c r="D861" t="s">
        <v>1</v>
      </c>
      <c r="E861" t="s">
        <v>3252</v>
      </c>
      <c r="F861" t="s">
        <v>3253</v>
      </c>
      <c r="G861" t="s">
        <v>52</v>
      </c>
      <c r="H861">
        <v>13</v>
      </c>
      <c r="I861">
        <v>0.84399999999999997</v>
      </c>
      <c r="J861">
        <v>0.98399999999999999</v>
      </c>
      <c r="K861">
        <v>0.14000000000000001</v>
      </c>
      <c r="L861">
        <v>5</v>
      </c>
      <c r="M861">
        <v>8</v>
      </c>
      <c r="N861">
        <v>0</v>
      </c>
      <c r="O861" t="s">
        <v>53</v>
      </c>
      <c r="P861" t="s">
        <v>53</v>
      </c>
      <c r="Q861" t="s">
        <v>53</v>
      </c>
    </row>
    <row r="862" spans="1:17" s="30" customFormat="1" x14ac:dyDescent="0.2">
      <c r="A862" s="30">
        <f>IF(C862&amp;G862&amp;D862&lt;&gt;'Funnel setup'!$K$3&amp;'Funnel setup'!$K$4&amp;'Funnel setup'!$K$5,".",IF(A861=".",1,A861+1))</f>
        <v>158</v>
      </c>
      <c r="B862" s="431" t="str">
        <f t="shared" si="13"/>
        <v>Groin HerniaProviderNUFFIELD HEALTH, WESSEX HOSPITAL (NT214)EQ-5D Index</v>
      </c>
      <c r="C862" t="s">
        <v>50</v>
      </c>
      <c r="D862" t="s">
        <v>1</v>
      </c>
      <c r="E862" t="s">
        <v>3258</v>
      </c>
      <c r="F862" t="s">
        <v>3259</v>
      </c>
      <c r="G862" t="s">
        <v>52</v>
      </c>
      <c r="H862">
        <v>11</v>
      </c>
      <c r="I862">
        <v>0.90900000000000003</v>
      </c>
      <c r="J862">
        <v>0.98899999999999999</v>
      </c>
      <c r="K862">
        <v>8.1000000000000003E-2</v>
      </c>
      <c r="L862">
        <v>5</v>
      </c>
      <c r="M862">
        <v>6</v>
      </c>
      <c r="N862">
        <v>0</v>
      </c>
      <c r="O862" t="s">
        <v>53</v>
      </c>
      <c r="P862" t="s">
        <v>53</v>
      </c>
      <c r="Q862" t="s">
        <v>53</v>
      </c>
    </row>
    <row r="863" spans="1:17" s="30" customFormat="1" x14ac:dyDescent="0.2">
      <c r="A863" s="30">
        <f>IF(C863&amp;G863&amp;D863&lt;&gt;'Funnel setup'!$K$3&amp;'Funnel setup'!$K$4&amp;'Funnel setup'!$K$5,".",IF(A862=".",1,A862+1))</f>
        <v>159</v>
      </c>
      <c r="B863" s="431" t="str">
        <f t="shared" si="13"/>
        <v>Groin HerniaProviderNUFFIELD HEALTH, WOKING HOSPITAL (NT241)EQ-5D Index</v>
      </c>
      <c r="C863" t="s">
        <v>50</v>
      </c>
      <c r="D863" t="s">
        <v>1</v>
      </c>
      <c r="E863" t="s">
        <v>3261</v>
      </c>
      <c r="F863" t="s">
        <v>3262</v>
      </c>
      <c r="G863" t="s">
        <v>52</v>
      </c>
      <c r="H863">
        <v>9</v>
      </c>
      <c r="I863">
        <v>0.80600000000000005</v>
      </c>
      <c r="J863">
        <v>0.91700000000000004</v>
      </c>
      <c r="K863">
        <v>0.111</v>
      </c>
      <c r="L863">
        <v>7</v>
      </c>
      <c r="M863">
        <v>1</v>
      </c>
      <c r="N863">
        <v>1</v>
      </c>
      <c r="O863" t="s">
        <v>53</v>
      </c>
      <c r="P863" t="s">
        <v>53</v>
      </c>
      <c r="Q863" t="s">
        <v>53</v>
      </c>
    </row>
    <row r="864" spans="1:17" s="30" customFormat="1" x14ac:dyDescent="0.2">
      <c r="A864" s="30">
        <f>IF(C864&amp;G864&amp;D864&lt;&gt;'Funnel setup'!$K$3&amp;'Funnel setup'!$K$4&amp;'Funnel setup'!$K$5,".",IF(A863=".",1,A863+1))</f>
        <v>160</v>
      </c>
      <c r="B864" s="431" t="str">
        <f t="shared" si="13"/>
        <v>Groin HerniaProviderNUFFIELD HEALTH, WOLVERHAMPTON HOSPITAL (NT242)EQ-5D Index</v>
      </c>
      <c r="C864" t="s">
        <v>50</v>
      </c>
      <c r="D864" t="s">
        <v>1</v>
      </c>
      <c r="E864" t="s">
        <v>3264</v>
      </c>
      <c r="F864" t="s">
        <v>3265</v>
      </c>
      <c r="G864" t="s">
        <v>52</v>
      </c>
      <c r="H864">
        <v>25</v>
      </c>
      <c r="I864">
        <v>0.80400000000000005</v>
      </c>
      <c r="J864">
        <v>0.90800000000000003</v>
      </c>
      <c r="K864">
        <v>0.104</v>
      </c>
      <c r="L864">
        <v>13</v>
      </c>
      <c r="M864">
        <v>8</v>
      </c>
      <c r="N864">
        <v>4</v>
      </c>
      <c r="O864" t="s">
        <v>53</v>
      </c>
      <c r="P864" t="s">
        <v>53</v>
      </c>
      <c r="Q864" t="s">
        <v>53</v>
      </c>
    </row>
    <row r="865" spans="1:17" s="30" customFormat="1" x14ac:dyDescent="0.2">
      <c r="A865" s="30">
        <f>IF(C865&amp;G865&amp;D865&lt;&gt;'Funnel setup'!$K$3&amp;'Funnel setup'!$K$4&amp;'Funnel setup'!$K$5,".",IF(A864=".",1,A864+1))</f>
        <v>161</v>
      </c>
      <c r="B865" s="431" t="str">
        <f t="shared" si="13"/>
        <v>Groin HerniaProviderOAKLANDS HOSPITAL (NVC12)EQ-5D Index</v>
      </c>
      <c r="C865" t="s">
        <v>50</v>
      </c>
      <c r="D865" t="s">
        <v>1</v>
      </c>
      <c r="E865" t="s">
        <v>3267</v>
      </c>
      <c r="F865" t="s">
        <v>3268</v>
      </c>
      <c r="G865" t="s">
        <v>52</v>
      </c>
      <c r="H865">
        <v>37</v>
      </c>
      <c r="I865">
        <v>0.84099999999999997</v>
      </c>
      <c r="J865">
        <v>0.90300000000000002</v>
      </c>
      <c r="K865">
        <v>6.2E-2</v>
      </c>
      <c r="L865">
        <v>18</v>
      </c>
      <c r="M865">
        <v>11</v>
      </c>
      <c r="N865">
        <v>8</v>
      </c>
      <c r="O865">
        <v>0.89800000000000002</v>
      </c>
      <c r="P865">
        <v>0.10477222</v>
      </c>
      <c r="Q865">
        <v>0.104</v>
      </c>
    </row>
    <row r="866" spans="1:17" s="30" customFormat="1" x14ac:dyDescent="0.2">
      <c r="A866" s="30">
        <f>IF(C866&amp;G866&amp;D866&lt;&gt;'Funnel setup'!$K$3&amp;'Funnel setup'!$K$4&amp;'Funnel setup'!$K$5,".",IF(A865=".",1,A865+1))</f>
        <v>162</v>
      </c>
      <c r="B866" s="431" t="str">
        <f t="shared" si="13"/>
        <v>Groin HerniaProviderOAKS HOSPITAL (NVC13)EQ-5D Index</v>
      </c>
      <c r="C866" t="s">
        <v>50</v>
      </c>
      <c r="D866" t="s">
        <v>1</v>
      </c>
      <c r="E866" t="s">
        <v>3270</v>
      </c>
      <c r="F866" t="s">
        <v>3271</v>
      </c>
      <c r="G866" t="s">
        <v>52</v>
      </c>
      <c r="H866">
        <v>77</v>
      </c>
      <c r="I866">
        <v>0.83399999999999996</v>
      </c>
      <c r="J866">
        <v>0.91500000000000004</v>
      </c>
      <c r="K866">
        <v>8.1000000000000003E-2</v>
      </c>
      <c r="L866">
        <v>40</v>
      </c>
      <c r="M866">
        <v>27</v>
      </c>
      <c r="N866">
        <v>10</v>
      </c>
      <c r="O866">
        <v>0.88800000000000001</v>
      </c>
      <c r="P866">
        <v>9.5053023E-2</v>
      </c>
      <c r="Q866">
        <v>0.13900000000000001</v>
      </c>
    </row>
    <row r="867" spans="1:17" s="30" customFormat="1" x14ac:dyDescent="0.2">
      <c r="A867" s="30">
        <f>IF(C867&amp;G867&amp;D867&lt;&gt;'Funnel setup'!$K$3&amp;'Funnel setup'!$K$4&amp;'Funnel setup'!$K$5,".",IF(A866=".",1,A866+1))</f>
        <v>163</v>
      </c>
      <c r="B867" s="431" t="str">
        <f t="shared" si="13"/>
        <v>Groin HerniaProviderONE HEALTH GROUP LTD (NTX01)EQ-5D Index</v>
      </c>
      <c r="C867" t="s">
        <v>50</v>
      </c>
      <c r="D867" t="s">
        <v>1</v>
      </c>
      <c r="E867" t="s">
        <v>6507</v>
      </c>
      <c r="F867" t="s">
        <v>6508</v>
      </c>
      <c r="G867" t="s">
        <v>52</v>
      </c>
      <c r="H867">
        <v>31</v>
      </c>
      <c r="I867">
        <v>0.81599999999999995</v>
      </c>
      <c r="J867">
        <v>0.94099999999999995</v>
      </c>
      <c r="K867">
        <v>0.125</v>
      </c>
      <c r="L867">
        <v>16</v>
      </c>
      <c r="M867">
        <v>12</v>
      </c>
      <c r="N867">
        <v>3</v>
      </c>
      <c r="O867">
        <v>0.92400000000000004</v>
      </c>
      <c r="P867">
        <v>0.130356577</v>
      </c>
      <c r="Q867">
        <v>0.13300000000000001</v>
      </c>
    </row>
    <row r="868" spans="1:17" s="30" customFormat="1" x14ac:dyDescent="0.2">
      <c r="A868" s="30">
        <f>IF(C868&amp;G868&amp;D868&lt;&gt;'Funnel setup'!$K$3&amp;'Funnel setup'!$K$4&amp;'Funnel setup'!$K$5,".",IF(A867=".",1,A867+1))</f>
        <v>164</v>
      </c>
      <c r="B868" s="431" t="str">
        <f t="shared" si="13"/>
        <v>Groin HerniaProviderOXFORD UNIVERSITY HOSPITALS NHS FOUNDATION TRUST (RTH)EQ-5D Index</v>
      </c>
      <c r="C868" t="s">
        <v>50</v>
      </c>
      <c r="D868" t="s">
        <v>1</v>
      </c>
      <c r="E868" t="s">
        <v>3278</v>
      </c>
      <c r="F868" t="s">
        <v>6578</v>
      </c>
      <c r="G868" t="s">
        <v>52</v>
      </c>
      <c r="H868">
        <v>170</v>
      </c>
      <c r="I868">
        <v>0.81299999999999994</v>
      </c>
      <c r="J868">
        <v>0.89200000000000002</v>
      </c>
      <c r="K868">
        <v>7.8E-2</v>
      </c>
      <c r="L868">
        <v>82</v>
      </c>
      <c r="M868">
        <v>65</v>
      </c>
      <c r="N868">
        <v>23</v>
      </c>
      <c r="O868">
        <v>0.88200000000000001</v>
      </c>
      <c r="P868">
        <v>8.8665896999999994E-2</v>
      </c>
      <c r="Q868">
        <v>0.14399999999999999</v>
      </c>
    </row>
    <row r="869" spans="1:17" s="30" customFormat="1" x14ac:dyDescent="0.2">
      <c r="A869" s="30">
        <f>IF(C869&amp;G869&amp;D869&lt;&gt;'Funnel setup'!$K$3&amp;'Funnel setup'!$K$4&amp;'Funnel setup'!$K$5,".",IF(A868=".",1,A868+1))</f>
        <v>165</v>
      </c>
      <c r="B869" s="431" t="str">
        <f t="shared" si="13"/>
        <v>Groin HerniaProviderPENNINE ACUTE HOSPITALS NHS TRUST (RW6)EQ-5D Index</v>
      </c>
      <c r="C869" t="s">
        <v>50</v>
      </c>
      <c r="D869" t="s">
        <v>1</v>
      </c>
      <c r="E869" t="s">
        <v>3216</v>
      </c>
      <c r="F869" t="s">
        <v>3217</v>
      </c>
      <c r="G869" t="s">
        <v>52</v>
      </c>
      <c r="H869">
        <v>65</v>
      </c>
      <c r="I869">
        <v>0.78100000000000003</v>
      </c>
      <c r="J869">
        <v>0.875</v>
      </c>
      <c r="K869">
        <v>9.4E-2</v>
      </c>
      <c r="L869">
        <v>37</v>
      </c>
      <c r="M869">
        <v>18</v>
      </c>
      <c r="N869">
        <v>10</v>
      </c>
      <c r="O869">
        <v>0.89300000000000002</v>
      </c>
      <c r="P869">
        <v>9.9950194000000006E-2</v>
      </c>
      <c r="Q869">
        <v>0.13400000000000001</v>
      </c>
    </row>
    <row r="870" spans="1:17" s="30" customFormat="1" x14ac:dyDescent="0.2">
      <c r="A870" s="30">
        <f>IF(C870&amp;G870&amp;D870&lt;&gt;'Funnel setup'!$K$3&amp;'Funnel setup'!$K$4&amp;'Funnel setup'!$K$5,".",IF(A869=".",1,A869+1))</f>
        <v>166</v>
      </c>
      <c r="B870" s="431" t="str">
        <f t="shared" si="13"/>
        <v>Groin HerniaProviderPETERBOROUGH AND STAMFORD HOSPITALS NHS FOUNDATION TRUST (RGN)EQ-5D Index</v>
      </c>
      <c r="C870" t="s">
        <v>50</v>
      </c>
      <c r="D870" t="s">
        <v>1</v>
      </c>
      <c r="E870" t="s">
        <v>3219</v>
      </c>
      <c r="F870" t="s">
        <v>3220</v>
      </c>
      <c r="G870" t="s">
        <v>52</v>
      </c>
      <c r="H870">
        <v>154</v>
      </c>
      <c r="I870">
        <v>0.78500000000000003</v>
      </c>
      <c r="J870">
        <v>0.88700000000000001</v>
      </c>
      <c r="K870">
        <v>0.10199999999999999</v>
      </c>
      <c r="L870">
        <v>81</v>
      </c>
      <c r="M870">
        <v>47</v>
      </c>
      <c r="N870">
        <v>26</v>
      </c>
      <c r="O870">
        <v>0.89700000000000002</v>
      </c>
      <c r="P870">
        <v>0.10350071199999999</v>
      </c>
      <c r="Q870">
        <v>0.14899999999999999</v>
      </c>
    </row>
    <row r="871" spans="1:17" s="30" customFormat="1" x14ac:dyDescent="0.2">
      <c r="A871" s="30">
        <f>IF(C871&amp;G871&amp;D871&lt;&gt;'Funnel setup'!$K$3&amp;'Funnel setup'!$K$4&amp;'Funnel setup'!$K$5,".",IF(A870=".",1,A870+1))</f>
        <v>167</v>
      </c>
      <c r="B871" s="431" t="str">
        <f t="shared" si="13"/>
        <v>Groin HerniaProviderPINEHILL HOSPITAL (NVC15)EQ-5D Index</v>
      </c>
      <c r="C871" t="s">
        <v>50</v>
      </c>
      <c r="D871" t="s">
        <v>1</v>
      </c>
      <c r="E871" t="s">
        <v>3222</v>
      </c>
      <c r="F871" t="s">
        <v>3223</v>
      </c>
      <c r="G871" t="s">
        <v>52</v>
      </c>
      <c r="H871">
        <v>34</v>
      </c>
      <c r="I871">
        <v>0.8</v>
      </c>
      <c r="J871">
        <v>0.93200000000000005</v>
      </c>
      <c r="K871">
        <v>0.13200000000000001</v>
      </c>
      <c r="L871">
        <v>19</v>
      </c>
      <c r="M871">
        <v>11</v>
      </c>
      <c r="N871">
        <v>4</v>
      </c>
      <c r="O871">
        <v>0.91800000000000004</v>
      </c>
      <c r="P871">
        <v>0.124148895</v>
      </c>
      <c r="Q871">
        <v>0.10299999999999999</v>
      </c>
    </row>
    <row r="872" spans="1:17" s="30" customFormat="1" x14ac:dyDescent="0.2">
      <c r="A872" s="30">
        <f>IF(C872&amp;G872&amp;D872&lt;&gt;'Funnel setup'!$K$3&amp;'Funnel setup'!$K$4&amp;'Funnel setup'!$K$5,".",IF(A871=".",1,A871+1))</f>
        <v>168</v>
      </c>
      <c r="B872" s="431" t="str">
        <f t="shared" si="13"/>
        <v>Groin HerniaProviderPLYMOUTH HOSPITALS NHS TRUST (RK9)EQ-5D Index</v>
      </c>
      <c r="C872" t="s">
        <v>50</v>
      </c>
      <c r="D872" t="s">
        <v>1</v>
      </c>
      <c r="E872" t="s">
        <v>3225</v>
      </c>
      <c r="F872" t="s">
        <v>3226</v>
      </c>
      <c r="G872" t="s">
        <v>52</v>
      </c>
      <c r="H872">
        <v>55</v>
      </c>
      <c r="I872">
        <v>0.79300000000000004</v>
      </c>
      <c r="J872">
        <v>0.88200000000000001</v>
      </c>
      <c r="K872">
        <v>8.8999999999999996E-2</v>
      </c>
      <c r="L872">
        <v>26</v>
      </c>
      <c r="M872">
        <v>19</v>
      </c>
      <c r="N872">
        <v>10</v>
      </c>
      <c r="O872">
        <v>0.89700000000000002</v>
      </c>
      <c r="P872">
        <v>0.103635694</v>
      </c>
      <c r="Q872">
        <v>0.157</v>
      </c>
    </row>
    <row r="873" spans="1:17" s="30" customFormat="1" x14ac:dyDescent="0.2">
      <c r="A873" s="30">
        <f>IF(C873&amp;G873&amp;D873&lt;&gt;'Funnel setup'!$K$3&amp;'Funnel setup'!$K$4&amp;'Funnel setup'!$K$5,".",IF(A872=".",1,A872+1))</f>
        <v>169</v>
      </c>
      <c r="B873" s="431" t="str">
        <f t="shared" si="13"/>
        <v>Groin HerniaProviderPOOLE HOSPITAL NHS FOUNDATION TRUST (RD3)EQ-5D Index</v>
      </c>
      <c r="C873" t="s">
        <v>50</v>
      </c>
      <c r="D873" t="s">
        <v>1</v>
      </c>
      <c r="E873" t="s">
        <v>3231</v>
      </c>
      <c r="F873" t="s">
        <v>3232</v>
      </c>
      <c r="G873" t="s">
        <v>52</v>
      </c>
      <c r="H873">
        <v>55</v>
      </c>
      <c r="I873">
        <v>0.77600000000000002</v>
      </c>
      <c r="J873">
        <v>0.94</v>
      </c>
      <c r="K873">
        <v>0.16400000000000001</v>
      </c>
      <c r="L873">
        <v>35</v>
      </c>
      <c r="M873">
        <v>14</v>
      </c>
      <c r="N873">
        <v>6</v>
      </c>
      <c r="O873">
        <v>0.94699999999999995</v>
      </c>
      <c r="P873">
        <v>0.15411097200000001</v>
      </c>
      <c r="Q873">
        <v>0.109</v>
      </c>
    </row>
    <row r="874" spans="1:17" s="30" customFormat="1" x14ac:dyDescent="0.2">
      <c r="A874" s="30">
        <f>IF(C874&amp;G874&amp;D874&lt;&gt;'Funnel setup'!$K$3&amp;'Funnel setup'!$K$4&amp;'Funnel setup'!$K$5,".",IF(A873=".",1,A873+1))</f>
        <v>170</v>
      </c>
      <c r="B874" s="431" t="str">
        <f t="shared" si="13"/>
        <v>Groin HerniaProviderPORTSMOUTH HOSPITALS NHS TRUST (RHU)EQ-5D Index</v>
      </c>
      <c r="C874" t="s">
        <v>50</v>
      </c>
      <c r="D874" t="s">
        <v>1</v>
      </c>
      <c r="E874" t="s">
        <v>3234</v>
      </c>
      <c r="F874" t="s">
        <v>3235</v>
      </c>
      <c r="G874" t="s">
        <v>52</v>
      </c>
      <c r="H874">
        <v>76</v>
      </c>
      <c r="I874">
        <v>0.80400000000000005</v>
      </c>
      <c r="J874">
        <v>0.89</v>
      </c>
      <c r="K874">
        <v>8.5000000000000006E-2</v>
      </c>
      <c r="L874">
        <v>37</v>
      </c>
      <c r="M874">
        <v>24</v>
      </c>
      <c r="N874">
        <v>15</v>
      </c>
      <c r="O874">
        <v>0.88200000000000001</v>
      </c>
      <c r="P874">
        <v>8.8446668000000006E-2</v>
      </c>
      <c r="Q874">
        <v>0.13600000000000001</v>
      </c>
    </row>
    <row r="875" spans="1:17" s="30" customFormat="1" x14ac:dyDescent="0.2">
      <c r="A875" s="30">
        <f>IF(C875&amp;G875&amp;D875&lt;&gt;'Funnel setup'!$K$3&amp;'Funnel setup'!$K$4&amp;'Funnel setup'!$K$5,".",IF(A874=".",1,A874+1))</f>
        <v>171</v>
      </c>
      <c r="B875" s="431" t="str">
        <f t="shared" si="13"/>
        <v>Groin HerniaProviderRENACRES HOSPITAL (NVC16)EQ-5D Index</v>
      </c>
      <c r="C875" t="s">
        <v>50</v>
      </c>
      <c r="D875" t="s">
        <v>1</v>
      </c>
      <c r="E875" t="s">
        <v>3237</v>
      </c>
      <c r="F875" t="s">
        <v>3238</v>
      </c>
      <c r="G875" t="s">
        <v>52</v>
      </c>
      <c r="H875">
        <v>82</v>
      </c>
      <c r="I875">
        <v>0.76600000000000001</v>
      </c>
      <c r="J875">
        <v>0.86099999999999999</v>
      </c>
      <c r="K875">
        <v>9.5000000000000001E-2</v>
      </c>
      <c r="L875">
        <v>44</v>
      </c>
      <c r="M875">
        <v>25</v>
      </c>
      <c r="N875">
        <v>13</v>
      </c>
      <c r="O875">
        <v>0.874</v>
      </c>
      <c r="P875">
        <v>8.0986986999999996E-2</v>
      </c>
      <c r="Q875">
        <v>0.17399999999999999</v>
      </c>
    </row>
    <row r="876" spans="1:17" s="30" customFormat="1" x14ac:dyDescent="0.2">
      <c r="A876" s="30">
        <f>IF(C876&amp;G876&amp;D876&lt;&gt;'Funnel setup'!$K$3&amp;'Funnel setup'!$K$4&amp;'Funnel setup'!$K$5,".",IF(A875=".",1,A875+1))</f>
        <v>172</v>
      </c>
      <c r="B876" s="431" t="str">
        <f t="shared" si="13"/>
        <v>Groin HerniaProviderRIVERS HOSPITAL (NVC19)EQ-5D Index</v>
      </c>
      <c r="C876" t="s">
        <v>50</v>
      </c>
      <c r="D876" t="s">
        <v>1</v>
      </c>
      <c r="E876" t="s">
        <v>3204</v>
      </c>
      <c r="F876" t="s">
        <v>3205</v>
      </c>
      <c r="G876" t="s">
        <v>52</v>
      </c>
      <c r="H876">
        <v>111</v>
      </c>
      <c r="I876">
        <v>0.77700000000000002</v>
      </c>
      <c r="J876">
        <v>0.88400000000000001</v>
      </c>
      <c r="K876">
        <v>0.107</v>
      </c>
      <c r="L876">
        <v>53</v>
      </c>
      <c r="M876">
        <v>47</v>
      </c>
      <c r="N876">
        <v>11</v>
      </c>
      <c r="O876">
        <v>0.875</v>
      </c>
      <c r="P876">
        <v>8.1219313000000001E-2</v>
      </c>
      <c r="Q876">
        <v>0.14299999999999999</v>
      </c>
    </row>
    <row r="877" spans="1:17" s="30" customFormat="1" x14ac:dyDescent="0.2">
      <c r="A877" s="30">
        <f>IF(C877&amp;G877&amp;D877&lt;&gt;'Funnel setup'!$K$3&amp;'Funnel setup'!$K$4&amp;'Funnel setup'!$K$5,".",IF(A876=".",1,A876+1))</f>
        <v>173</v>
      </c>
      <c r="B877" s="431" t="str">
        <f t="shared" si="13"/>
        <v>Groin HerniaProviderROWLEY HALL HOSPITAL (NVC17)EQ-5D Index</v>
      </c>
      <c r="C877" t="s">
        <v>50</v>
      </c>
      <c r="D877" t="s">
        <v>1</v>
      </c>
      <c r="E877" t="s">
        <v>3207</v>
      </c>
      <c r="F877" t="s">
        <v>3208</v>
      </c>
      <c r="G877" t="s">
        <v>52</v>
      </c>
      <c r="H877">
        <v>27</v>
      </c>
      <c r="I877">
        <v>0.83099999999999996</v>
      </c>
      <c r="J877">
        <v>0.871</v>
      </c>
      <c r="K877">
        <v>3.9E-2</v>
      </c>
      <c r="L877">
        <v>12</v>
      </c>
      <c r="M877">
        <v>9</v>
      </c>
      <c r="N877">
        <v>6</v>
      </c>
      <c r="O877" t="s">
        <v>53</v>
      </c>
      <c r="P877" t="s">
        <v>53</v>
      </c>
      <c r="Q877" t="s">
        <v>53</v>
      </c>
    </row>
    <row r="878" spans="1:17" s="30" customFormat="1" x14ac:dyDescent="0.2">
      <c r="A878" s="30">
        <f>IF(C878&amp;G878&amp;D878&lt;&gt;'Funnel setup'!$K$3&amp;'Funnel setup'!$K$4&amp;'Funnel setup'!$K$5,".",IF(A877=".",1,A877+1))</f>
        <v>174</v>
      </c>
      <c r="B878" s="431" t="str">
        <f t="shared" si="13"/>
        <v>Groin HerniaProviderROYAL BERKSHIRE NHS FOUNDATION TRUST (RHW)EQ-5D Index</v>
      </c>
      <c r="C878" t="s">
        <v>50</v>
      </c>
      <c r="D878" t="s">
        <v>1</v>
      </c>
      <c r="E878" t="s">
        <v>3832</v>
      </c>
      <c r="F878" t="s">
        <v>3833</v>
      </c>
      <c r="G878" t="s">
        <v>52</v>
      </c>
      <c r="H878">
        <v>71</v>
      </c>
      <c r="I878">
        <v>0.80200000000000005</v>
      </c>
      <c r="J878">
        <v>0.88700000000000001</v>
      </c>
      <c r="K878">
        <v>8.5000000000000006E-2</v>
      </c>
      <c r="L878">
        <v>36</v>
      </c>
      <c r="M878">
        <v>25</v>
      </c>
      <c r="N878">
        <v>10</v>
      </c>
      <c r="O878">
        <v>0.873</v>
      </c>
      <c r="P878">
        <v>7.9829477999999995E-2</v>
      </c>
      <c r="Q878">
        <v>0.156</v>
      </c>
    </row>
    <row r="879" spans="1:17" s="30" customFormat="1" x14ac:dyDescent="0.2">
      <c r="A879" s="30">
        <f>IF(C879&amp;G879&amp;D879&lt;&gt;'Funnel setup'!$K$3&amp;'Funnel setup'!$K$4&amp;'Funnel setup'!$K$5,".",IF(A878=".",1,A878+1))</f>
        <v>175</v>
      </c>
      <c r="B879" s="431" t="str">
        <f t="shared" si="13"/>
        <v>Groin HerniaProviderROYAL CORNWALL HOSPITALS NHS TRUST (REF)EQ-5D Index</v>
      </c>
      <c r="C879" t="s">
        <v>50</v>
      </c>
      <c r="D879" t="s">
        <v>1</v>
      </c>
      <c r="E879" t="s">
        <v>3745</v>
      </c>
      <c r="F879" t="s">
        <v>3746</v>
      </c>
      <c r="G879" t="s">
        <v>52</v>
      </c>
      <c r="H879">
        <v>109</v>
      </c>
      <c r="I879">
        <v>0.82099999999999995</v>
      </c>
      <c r="J879">
        <v>0.88700000000000001</v>
      </c>
      <c r="K879">
        <v>6.6000000000000003E-2</v>
      </c>
      <c r="L879">
        <v>55</v>
      </c>
      <c r="M879">
        <v>38</v>
      </c>
      <c r="N879">
        <v>16</v>
      </c>
      <c r="O879">
        <v>0.88600000000000001</v>
      </c>
      <c r="P879">
        <v>9.2522706999999996E-2</v>
      </c>
      <c r="Q879">
        <v>0.13400000000000001</v>
      </c>
    </row>
    <row r="880" spans="1:17" s="30" customFormat="1" x14ac:dyDescent="0.2">
      <c r="A880" s="30">
        <f>IF(C880&amp;G880&amp;D880&lt;&gt;'Funnel setup'!$K$3&amp;'Funnel setup'!$K$4&amp;'Funnel setup'!$K$5,".",IF(A879=".",1,A879+1))</f>
        <v>176</v>
      </c>
      <c r="B880" s="431" t="str">
        <f t="shared" si="13"/>
        <v>Groin HerniaProviderROYAL DEVON AND EXETER NHS FOUNDATION TRUST (RH8)EQ-5D Index</v>
      </c>
      <c r="C880" t="s">
        <v>50</v>
      </c>
      <c r="D880" t="s">
        <v>1</v>
      </c>
      <c r="E880" t="s">
        <v>3442</v>
      </c>
      <c r="F880" t="s">
        <v>3443</v>
      </c>
      <c r="G880" t="s">
        <v>52</v>
      </c>
      <c r="H880">
        <v>238</v>
      </c>
      <c r="I880">
        <v>0.76100000000000001</v>
      </c>
      <c r="J880">
        <v>0.89500000000000002</v>
      </c>
      <c r="K880">
        <v>0.13400000000000001</v>
      </c>
      <c r="L880">
        <v>145</v>
      </c>
      <c r="M880">
        <v>67</v>
      </c>
      <c r="N880">
        <v>26</v>
      </c>
      <c r="O880">
        <v>0.89400000000000002</v>
      </c>
      <c r="P880">
        <v>0.10103403499999999</v>
      </c>
      <c r="Q880">
        <v>0.14899999999999999</v>
      </c>
    </row>
    <row r="881" spans="1:17" s="30" customFormat="1" x14ac:dyDescent="0.2">
      <c r="A881" s="30">
        <f>IF(C881&amp;G881&amp;D881&lt;&gt;'Funnel setup'!$K$3&amp;'Funnel setup'!$K$4&amp;'Funnel setup'!$K$5,".",IF(A880=".",1,A880+1))</f>
        <v>177</v>
      </c>
      <c r="B881" s="431" t="str">
        <f t="shared" si="13"/>
        <v>Groin HerniaProviderROYAL FREE LONDON NHS FOUNDATION TRUST (RAL)EQ-5D Index</v>
      </c>
      <c r="C881" t="s">
        <v>50</v>
      </c>
      <c r="D881" t="s">
        <v>1</v>
      </c>
      <c r="E881" t="s">
        <v>3445</v>
      </c>
      <c r="F881" t="s">
        <v>3446</v>
      </c>
      <c r="G881" t="s">
        <v>52</v>
      </c>
      <c r="H881">
        <v>18</v>
      </c>
      <c r="I881">
        <v>0.77200000000000002</v>
      </c>
      <c r="J881">
        <v>0.80200000000000005</v>
      </c>
      <c r="K881">
        <v>0.03</v>
      </c>
      <c r="L881">
        <v>10</v>
      </c>
      <c r="M881">
        <v>4</v>
      </c>
      <c r="N881">
        <v>4</v>
      </c>
      <c r="O881" t="s">
        <v>53</v>
      </c>
      <c r="P881" t="s">
        <v>53</v>
      </c>
      <c r="Q881" t="s">
        <v>53</v>
      </c>
    </row>
    <row r="882" spans="1:17" s="30" customFormat="1" x14ac:dyDescent="0.2">
      <c r="A882" s="30">
        <f>IF(C882&amp;G882&amp;D882&lt;&gt;'Funnel setup'!$K$3&amp;'Funnel setup'!$K$4&amp;'Funnel setup'!$K$5,".",IF(A881=".",1,A881+1))</f>
        <v>178</v>
      </c>
      <c r="B882" s="431" t="str">
        <f t="shared" si="13"/>
        <v>Groin HerniaProviderROYAL LIVERPOOL AND BROADGREEN UNIVERSITY HOSPITALS NHS TRUST (RQ6)EQ-5D Index</v>
      </c>
      <c r="C882" t="s">
        <v>50</v>
      </c>
      <c r="D882" t="s">
        <v>1</v>
      </c>
      <c r="E882" t="s">
        <v>3448</v>
      </c>
      <c r="F882" t="s">
        <v>3449</v>
      </c>
      <c r="G882" t="s">
        <v>52</v>
      </c>
      <c r="H882">
        <v>76</v>
      </c>
      <c r="I882">
        <v>0.76800000000000002</v>
      </c>
      <c r="J882">
        <v>0.84699999999999998</v>
      </c>
      <c r="K882">
        <v>7.9000000000000001E-2</v>
      </c>
      <c r="L882">
        <v>44</v>
      </c>
      <c r="M882">
        <v>20</v>
      </c>
      <c r="N882">
        <v>12</v>
      </c>
      <c r="O882">
        <v>0.88500000000000001</v>
      </c>
      <c r="P882">
        <v>9.1845047999999999E-2</v>
      </c>
      <c r="Q882">
        <v>0.19400000000000001</v>
      </c>
    </row>
    <row r="883" spans="1:17" s="30" customFormat="1" x14ac:dyDescent="0.2">
      <c r="A883" s="30">
        <f>IF(C883&amp;G883&amp;D883&lt;&gt;'Funnel setup'!$K$3&amp;'Funnel setup'!$K$4&amp;'Funnel setup'!$K$5,".",IF(A882=".",1,A882+1))</f>
        <v>179</v>
      </c>
      <c r="B883" s="431" t="str">
        <f t="shared" si="13"/>
        <v>Groin HerniaProviderROYAL SURREY COUNTY HOSPITAL NHS FOUNDATION TRUST (RA2)EQ-5D Index</v>
      </c>
      <c r="C883" t="s">
        <v>50</v>
      </c>
      <c r="D883" t="s">
        <v>1</v>
      </c>
      <c r="E883" t="s">
        <v>3451</v>
      </c>
      <c r="F883" t="s">
        <v>3452</v>
      </c>
      <c r="G883" t="s">
        <v>52</v>
      </c>
      <c r="H883">
        <v>162</v>
      </c>
      <c r="I883">
        <v>0.79200000000000004</v>
      </c>
      <c r="J883">
        <v>0.90400000000000003</v>
      </c>
      <c r="K883">
        <v>0.112</v>
      </c>
      <c r="L883">
        <v>97</v>
      </c>
      <c r="M883">
        <v>47</v>
      </c>
      <c r="N883">
        <v>18</v>
      </c>
      <c r="O883">
        <v>0.89200000000000002</v>
      </c>
      <c r="P883">
        <v>9.8828581999999998E-2</v>
      </c>
      <c r="Q883">
        <v>0.16</v>
      </c>
    </row>
    <row r="884" spans="1:17" s="30" customFormat="1" x14ac:dyDescent="0.2">
      <c r="A884" s="30">
        <f>IF(C884&amp;G884&amp;D884&lt;&gt;'Funnel setup'!$K$3&amp;'Funnel setup'!$K$4&amp;'Funnel setup'!$K$5,".",IF(A883=".",1,A883+1))</f>
        <v>180</v>
      </c>
      <c r="B884" s="431" t="str">
        <f t="shared" si="13"/>
        <v>Groin HerniaProviderROYAL UNITED HOSPITALS BATH NHS FOUNDATION TRUST (RD1)EQ-5D Index</v>
      </c>
      <c r="C884" t="s">
        <v>50</v>
      </c>
      <c r="D884" t="s">
        <v>1</v>
      </c>
      <c r="E884" t="s">
        <v>3454</v>
      </c>
      <c r="F884" t="s">
        <v>3455</v>
      </c>
      <c r="G884" t="s">
        <v>52</v>
      </c>
      <c r="H884">
        <v>101</v>
      </c>
      <c r="I884">
        <v>0.81200000000000006</v>
      </c>
      <c r="J884">
        <v>0.872</v>
      </c>
      <c r="K884">
        <v>5.8999999999999997E-2</v>
      </c>
      <c r="L884">
        <v>44</v>
      </c>
      <c r="M884">
        <v>35</v>
      </c>
      <c r="N884">
        <v>22</v>
      </c>
      <c r="O884">
        <v>0.871</v>
      </c>
      <c r="P884">
        <v>7.7328656999999995E-2</v>
      </c>
      <c r="Q884">
        <v>0.16300000000000001</v>
      </c>
    </row>
    <row r="885" spans="1:17" s="30" customFormat="1" x14ac:dyDescent="0.2">
      <c r="A885" s="30">
        <f>IF(C885&amp;G885&amp;D885&lt;&gt;'Funnel setup'!$K$3&amp;'Funnel setup'!$K$4&amp;'Funnel setup'!$K$5,".",IF(A884=".",1,A884+1))</f>
        <v>181</v>
      </c>
      <c r="B885" s="431" t="str">
        <f t="shared" si="13"/>
        <v>Groin HerniaProviderSALFORD ROYAL NHS FOUNDATION TRUST (RM3)EQ-5D Index</v>
      </c>
      <c r="C885" t="s">
        <v>50</v>
      </c>
      <c r="D885" t="s">
        <v>1</v>
      </c>
      <c r="E885" t="s">
        <v>3457</v>
      </c>
      <c r="F885" t="s">
        <v>3458</v>
      </c>
      <c r="G885" t="s">
        <v>52</v>
      </c>
      <c r="H885">
        <v>34</v>
      </c>
      <c r="I885">
        <v>0.84899999999999998</v>
      </c>
      <c r="J885">
        <v>0.85499999999999998</v>
      </c>
      <c r="K885">
        <v>6.0000000000000001E-3</v>
      </c>
      <c r="L885">
        <v>11</v>
      </c>
      <c r="M885">
        <v>13</v>
      </c>
      <c r="N885">
        <v>10</v>
      </c>
      <c r="O885">
        <v>0.84199999999999997</v>
      </c>
      <c r="P885">
        <v>4.8562352000000003E-2</v>
      </c>
      <c r="Q885">
        <v>0.187</v>
      </c>
    </row>
    <row r="886" spans="1:17" s="30" customFormat="1" x14ac:dyDescent="0.2">
      <c r="A886" s="30">
        <f>IF(C886&amp;G886&amp;D886&lt;&gt;'Funnel setup'!$K$3&amp;'Funnel setup'!$K$4&amp;'Funnel setup'!$K$5,".",IF(A885=".",1,A885+1))</f>
        <v>182</v>
      </c>
      <c r="B886" s="431" t="str">
        <f t="shared" si="13"/>
        <v>Groin HerniaProviderSALISBURY NHS FOUNDATION TRUST (RNZ)EQ-5D Index</v>
      </c>
      <c r="C886" t="s">
        <v>50</v>
      </c>
      <c r="D886" t="s">
        <v>1</v>
      </c>
      <c r="E886" t="s">
        <v>3460</v>
      </c>
      <c r="F886" t="s">
        <v>3461</v>
      </c>
      <c r="G886" t="s">
        <v>52</v>
      </c>
      <c r="H886">
        <v>61</v>
      </c>
      <c r="I886">
        <v>0.78800000000000003</v>
      </c>
      <c r="J886">
        <v>0.91900000000000004</v>
      </c>
      <c r="K886">
        <v>0.13</v>
      </c>
      <c r="L886">
        <v>36</v>
      </c>
      <c r="M886">
        <v>20</v>
      </c>
      <c r="N886">
        <v>5</v>
      </c>
      <c r="O886">
        <v>0.91300000000000003</v>
      </c>
      <c r="P886">
        <v>0.119604209</v>
      </c>
      <c r="Q886">
        <v>0.16500000000000001</v>
      </c>
    </row>
    <row r="887" spans="1:17" s="30" customFormat="1" x14ac:dyDescent="0.2">
      <c r="A887" s="30">
        <f>IF(C887&amp;G887&amp;D887&lt;&gt;'Funnel setup'!$K$3&amp;'Funnel setup'!$K$4&amp;'Funnel setup'!$K$5,".",IF(A886=".",1,A886+1))</f>
        <v>183</v>
      </c>
      <c r="B887" s="431" t="str">
        <f t="shared" si="13"/>
        <v>Groin HerniaProviderSANDWELL AND WEST BIRMINGHAM HOSPITALS NHS TRUST (RXK)EQ-5D Index</v>
      </c>
      <c r="C887" t="s">
        <v>50</v>
      </c>
      <c r="D887" t="s">
        <v>1</v>
      </c>
      <c r="E887" t="s">
        <v>3463</v>
      </c>
      <c r="F887" t="s">
        <v>3464</v>
      </c>
      <c r="G887" t="s">
        <v>52</v>
      </c>
      <c r="H887">
        <v>157</v>
      </c>
      <c r="I887">
        <v>0.78900000000000003</v>
      </c>
      <c r="J887">
        <v>0.82699999999999996</v>
      </c>
      <c r="K887">
        <v>3.7999999999999999E-2</v>
      </c>
      <c r="L887">
        <v>69</v>
      </c>
      <c r="M887">
        <v>47</v>
      </c>
      <c r="N887">
        <v>41</v>
      </c>
      <c r="O887">
        <v>0.85199999999999998</v>
      </c>
      <c r="P887">
        <v>5.8628701999999998E-2</v>
      </c>
      <c r="Q887">
        <v>0.16900000000000001</v>
      </c>
    </row>
    <row r="888" spans="1:17" s="30" customFormat="1" x14ac:dyDescent="0.2">
      <c r="A888" s="30">
        <f>IF(C888&amp;G888&amp;D888&lt;&gt;'Funnel setup'!$K$3&amp;'Funnel setup'!$K$4&amp;'Funnel setup'!$K$5,".",IF(A887=".",1,A887+1))</f>
        <v>184</v>
      </c>
      <c r="B888" s="431" t="str">
        <f t="shared" si="13"/>
        <v>Groin HerniaProviderSHEFFIELD TEACHING HOSPITALS NHS FOUNDATION TRUST (RHQ)EQ-5D Index</v>
      </c>
      <c r="C888" t="s">
        <v>50</v>
      </c>
      <c r="D888" t="s">
        <v>1</v>
      </c>
      <c r="E888" t="s">
        <v>3466</v>
      </c>
      <c r="F888" t="s">
        <v>3467</v>
      </c>
      <c r="G888" t="s">
        <v>52</v>
      </c>
      <c r="H888">
        <v>189</v>
      </c>
      <c r="I888">
        <v>0.76900000000000002</v>
      </c>
      <c r="J888">
        <v>0.81</v>
      </c>
      <c r="K888">
        <v>4.1000000000000002E-2</v>
      </c>
      <c r="L888">
        <v>79</v>
      </c>
      <c r="M888">
        <v>59</v>
      </c>
      <c r="N888">
        <v>51</v>
      </c>
      <c r="O888">
        <v>0.84299999999999997</v>
      </c>
      <c r="P888">
        <v>4.9513359E-2</v>
      </c>
      <c r="Q888">
        <v>0.19500000000000001</v>
      </c>
    </row>
    <row r="889" spans="1:17" s="30" customFormat="1" x14ac:dyDescent="0.2">
      <c r="A889" s="30">
        <f>IF(C889&amp;G889&amp;D889&lt;&gt;'Funnel setup'!$K$3&amp;'Funnel setup'!$K$4&amp;'Funnel setup'!$K$5,".",IF(A888=".",1,A888+1))</f>
        <v>185</v>
      </c>
      <c r="B889" s="431" t="str">
        <f t="shared" si="13"/>
        <v>Groin HerniaProviderSHEPTON MALLET NHS TREATMENT CENTRE (NTPH1)EQ-5D Index</v>
      </c>
      <c r="C889" t="s">
        <v>50</v>
      </c>
      <c r="D889" t="s">
        <v>1</v>
      </c>
      <c r="E889" t="s">
        <v>3472</v>
      </c>
      <c r="F889" t="s">
        <v>3473</v>
      </c>
      <c r="G889" t="s">
        <v>52</v>
      </c>
      <c r="H889">
        <v>192</v>
      </c>
      <c r="I889">
        <v>0.82799999999999996</v>
      </c>
      <c r="J889">
        <v>0.88900000000000001</v>
      </c>
      <c r="K889">
        <v>0.06</v>
      </c>
      <c r="L889">
        <v>87</v>
      </c>
      <c r="M889">
        <v>65</v>
      </c>
      <c r="N889">
        <v>40</v>
      </c>
      <c r="O889">
        <v>0.86099999999999999</v>
      </c>
      <c r="P889">
        <v>6.7259847999999997E-2</v>
      </c>
      <c r="Q889">
        <v>0.16400000000000001</v>
      </c>
    </row>
    <row r="890" spans="1:17" s="30" customFormat="1" x14ac:dyDescent="0.2">
      <c r="A890" s="30">
        <f>IF(C890&amp;G890&amp;D890&lt;&gt;'Funnel setup'!$K$3&amp;'Funnel setup'!$K$4&amp;'Funnel setup'!$K$5,".",IF(A889=".",1,A889+1))</f>
        <v>186</v>
      </c>
      <c r="B890" s="431" t="str">
        <f t="shared" si="13"/>
        <v>Groin HerniaProviderSHERWOOD FOREST HOSPITALS NHS FOUNDATION TRUST (RK5)EQ-5D Index</v>
      </c>
      <c r="C890" t="s">
        <v>50</v>
      </c>
      <c r="D890" t="s">
        <v>1</v>
      </c>
      <c r="E890" t="s">
        <v>3475</v>
      </c>
      <c r="F890" t="s">
        <v>3476</v>
      </c>
      <c r="G890" t="s">
        <v>52</v>
      </c>
      <c r="H890">
        <v>240</v>
      </c>
      <c r="I890">
        <v>0.76300000000000001</v>
      </c>
      <c r="J890">
        <v>0.86</v>
      </c>
      <c r="K890">
        <v>9.7000000000000003E-2</v>
      </c>
      <c r="L890">
        <v>129</v>
      </c>
      <c r="M890">
        <v>62</v>
      </c>
      <c r="N890">
        <v>49</v>
      </c>
      <c r="O890">
        <v>0.88100000000000001</v>
      </c>
      <c r="P890">
        <v>8.7303250999999998E-2</v>
      </c>
      <c r="Q890">
        <v>0.14199999999999999</v>
      </c>
    </row>
    <row r="891" spans="1:17" s="30" customFormat="1" x14ac:dyDescent="0.2">
      <c r="A891" s="30">
        <f>IF(C891&amp;G891&amp;D891&lt;&gt;'Funnel setup'!$K$3&amp;'Funnel setup'!$K$4&amp;'Funnel setup'!$K$5,".",IF(A890=".",1,A890+1))</f>
        <v>187</v>
      </c>
      <c r="B891" s="431" t="str">
        <f t="shared" si="13"/>
        <v>Groin HerniaProviderSHREWSBURY AND TELFORD HOSPITAL NHS TRUST (RXW)EQ-5D Index</v>
      </c>
      <c r="C891" t="s">
        <v>50</v>
      </c>
      <c r="D891" t="s">
        <v>1</v>
      </c>
      <c r="E891" t="s">
        <v>3478</v>
      </c>
      <c r="F891" t="s">
        <v>3479</v>
      </c>
      <c r="G891" t="s">
        <v>52</v>
      </c>
      <c r="H891">
        <v>176</v>
      </c>
      <c r="I891">
        <v>0.74399999999999999</v>
      </c>
      <c r="J891">
        <v>0.872</v>
      </c>
      <c r="K891">
        <v>0.128</v>
      </c>
      <c r="L891">
        <v>117</v>
      </c>
      <c r="M891">
        <v>34</v>
      </c>
      <c r="N891">
        <v>25</v>
      </c>
      <c r="O891">
        <v>0.879</v>
      </c>
      <c r="P891">
        <v>8.5662910999999994E-2</v>
      </c>
      <c r="Q891">
        <v>0.18099999999999999</v>
      </c>
    </row>
    <row r="892" spans="1:17" s="30" customFormat="1" x14ac:dyDescent="0.2">
      <c r="A892" s="30">
        <f>IF(C892&amp;G892&amp;D892&lt;&gt;'Funnel setup'!$K$3&amp;'Funnel setup'!$K$4&amp;'Funnel setup'!$K$5,".",IF(A891=".",1,A891+1))</f>
        <v>188</v>
      </c>
      <c r="B892" s="431" t="str">
        <f t="shared" si="13"/>
        <v>Groin HerniaProviderSOUTH TEES HOSPITALS NHS FOUNDATION TRUST (RTR)EQ-5D Index</v>
      </c>
      <c r="C892" t="s">
        <v>50</v>
      </c>
      <c r="D892" t="s">
        <v>1</v>
      </c>
      <c r="E892" t="s">
        <v>3482</v>
      </c>
      <c r="F892" t="s">
        <v>3483</v>
      </c>
      <c r="G892" t="s">
        <v>52</v>
      </c>
      <c r="H892">
        <v>112</v>
      </c>
      <c r="I892">
        <v>0.76100000000000001</v>
      </c>
      <c r="J892">
        <v>0.874</v>
      </c>
      <c r="K892">
        <v>0.113</v>
      </c>
      <c r="L892">
        <v>67</v>
      </c>
      <c r="M892">
        <v>24</v>
      </c>
      <c r="N892">
        <v>21</v>
      </c>
      <c r="O892">
        <v>0.88900000000000001</v>
      </c>
      <c r="P892">
        <v>9.5664431999999994E-2</v>
      </c>
      <c r="Q892">
        <v>0.16900000000000001</v>
      </c>
    </row>
    <row r="893" spans="1:17" s="30" customFormat="1" x14ac:dyDescent="0.2">
      <c r="A893" s="30">
        <f>IF(C893&amp;G893&amp;D893&lt;&gt;'Funnel setup'!$K$3&amp;'Funnel setup'!$K$4&amp;'Funnel setup'!$K$5,".",IF(A892=".",1,A892+1))</f>
        <v>189</v>
      </c>
      <c r="B893" s="431" t="str">
        <f t="shared" si="13"/>
        <v>Groin HerniaProviderSOUTH TYNESIDE NHS FOUNDATION TRUST (RE9)EQ-5D Index</v>
      </c>
      <c r="C893" t="s">
        <v>50</v>
      </c>
      <c r="D893" t="s">
        <v>1</v>
      </c>
      <c r="E893" t="s">
        <v>3485</v>
      </c>
      <c r="F893" t="s">
        <v>3486</v>
      </c>
      <c r="G893" t="s">
        <v>52</v>
      </c>
      <c r="H893">
        <v>60</v>
      </c>
      <c r="I893">
        <v>0.76700000000000002</v>
      </c>
      <c r="J893">
        <v>0.80600000000000005</v>
      </c>
      <c r="K893">
        <v>3.9E-2</v>
      </c>
      <c r="L893">
        <v>27</v>
      </c>
      <c r="M893">
        <v>17</v>
      </c>
      <c r="N893">
        <v>16</v>
      </c>
      <c r="O893">
        <v>0.82199999999999995</v>
      </c>
      <c r="P893">
        <v>2.8492366000000002E-2</v>
      </c>
      <c r="Q893">
        <v>0.16700000000000001</v>
      </c>
    </row>
    <row r="894" spans="1:17" s="30" customFormat="1" x14ac:dyDescent="0.2">
      <c r="A894" s="30">
        <f>IF(C894&amp;G894&amp;D894&lt;&gt;'Funnel setup'!$K$3&amp;'Funnel setup'!$K$4&amp;'Funnel setup'!$K$5,".",IF(A893=".",1,A893+1))</f>
        <v>190</v>
      </c>
      <c r="B894" s="431" t="str">
        <f t="shared" si="13"/>
        <v>Groin HerniaProviderSOUTH WARWICKSHIRE NHS FOUNDATION TRUST (RJC)EQ-5D Index</v>
      </c>
      <c r="C894" t="s">
        <v>50</v>
      </c>
      <c r="D894" t="s">
        <v>1</v>
      </c>
      <c r="E894" t="s">
        <v>3421</v>
      </c>
      <c r="F894" t="s">
        <v>3422</v>
      </c>
      <c r="G894" t="s">
        <v>52</v>
      </c>
      <c r="H894">
        <v>195</v>
      </c>
      <c r="I894">
        <v>0.78500000000000003</v>
      </c>
      <c r="J894">
        <v>0.89600000000000002</v>
      </c>
      <c r="K894">
        <v>0.11</v>
      </c>
      <c r="L894">
        <v>111</v>
      </c>
      <c r="M894">
        <v>65</v>
      </c>
      <c r="N894">
        <v>19</v>
      </c>
      <c r="O894">
        <v>0.89</v>
      </c>
      <c r="P894">
        <v>9.6472132000000002E-2</v>
      </c>
      <c r="Q894">
        <v>0.14000000000000001</v>
      </c>
    </row>
    <row r="895" spans="1:17" s="30" customFormat="1" x14ac:dyDescent="0.2">
      <c r="A895" s="30">
        <f>IF(C895&amp;G895&amp;D895&lt;&gt;'Funnel setup'!$K$3&amp;'Funnel setup'!$K$4&amp;'Funnel setup'!$K$5,".",IF(A894=".",1,A894+1))</f>
        <v>191</v>
      </c>
      <c r="B895" s="431" t="str">
        <f t="shared" si="13"/>
        <v>Groin HerniaProviderSOUTHAMPTON NHS TREATMENT CENTRE (NTP11)EQ-5D Index</v>
      </c>
      <c r="C895" t="s">
        <v>50</v>
      </c>
      <c r="D895" t="s">
        <v>1</v>
      </c>
      <c r="E895" t="s">
        <v>3424</v>
      </c>
      <c r="F895" t="s">
        <v>3425</v>
      </c>
      <c r="G895" t="s">
        <v>52</v>
      </c>
      <c r="H895">
        <v>129</v>
      </c>
      <c r="I895">
        <v>0.84099999999999997</v>
      </c>
      <c r="J895">
        <v>0.91</v>
      </c>
      <c r="K895">
        <v>6.8000000000000005E-2</v>
      </c>
      <c r="L895">
        <v>58</v>
      </c>
      <c r="M895">
        <v>50</v>
      </c>
      <c r="N895">
        <v>21</v>
      </c>
      <c r="O895">
        <v>0.88</v>
      </c>
      <c r="P895">
        <v>8.7035871000000001E-2</v>
      </c>
      <c r="Q895">
        <v>0.124</v>
      </c>
    </row>
    <row r="896" spans="1:17" s="30" customFormat="1" x14ac:dyDescent="0.2">
      <c r="A896" s="30">
        <f>IF(C896&amp;G896&amp;D896&lt;&gt;'Funnel setup'!$K$3&amp;'Funnel setup'!$K$4&amp;'Funnel setup'!$K$5,".",IF(A895=".",1,A895+1))</f>
        <v>192</v>
      </c>
      <c r="B896" s="431" t="str">
        <f t="shared" si="13"/>
        <v>Groin HerniaProviderSOUTHEND UNIVERSITY HOSPITAL NHS FOUNDATION TRUST (RAJ)EQ-5D Index</v>
      </c>
      <c r="C896" t="s">
        <v>50</v>
      </c>
      <c r="D896" t="s">
        <v>1</v>
      </c>
      <c r="E896" t="s">
        <v>3427</v>
      </c>
      <c r="F896" t="s">
        <v>3428</v>
      </c>
      <c r="G896" t="s">
        <v>52</v>
      </c>
      <c r="H896">
        <v>81</v>
      </c>
      <c r="I896">
        <v>0.80600000000000005</v>
      </c>
      <c r="J896">
        <v>0.89800000000000002</v>
      </c>
      <c r="K896">
        <v>9.1999999999999998E-2</v>
      </c>
      <c r="L896">
        <v>43</v>
      </c>
      <c r="M896">
        <v>22</v>
      </c>
      <c r="N896">
        <v>16</v>
      </c>
      <c r="O896">
        <v>0.89300000000000002</v>
      </c>
      <c r="P896">
        <v>9.9949494E-2</v>
      </c>
      <c r="Q896">
        <v>0.13300000000000001</v>
      </c>
    </row>
    <row r="897" spans="1:17" s="30" customFormat="1" x14ac:dyDescent="0.2">
      <c r="A897" s="30">
        <f>IF(C897&amp;G897&amp;D897&lt;&gt;'Funnel setup'!$K$3&amp;'Funnel setup'!$K$4&amp;'Funnel setup'!$K$5,".",IF(A896=".",1,A896+1))</f>
        <v>193</v>
      </c>
      <c r="B897" s="431" t="str">
        <f t="shared" si="13"/>
        <v>Groin HerniaProviderSOUTHERN HEALTH NHS FOUNDATION TRUST (RW1)EQ-5D Index</v>
      </c>
      <c r="C897" t="s">
        <v>50</v>
      </c>
      <c r="D897" t="s">
        <v>1</v>
      </c>
      <c r="E897" t="s">
        <v>3406</v>
      </c>
      <c r="F897" t="s">
        <v>3407</v>
      </c>
      <c r="G897" t="s">
        <v>52</v>
      </c>
      <c r="H897">
        <v>66</v>
      </c>
      <c r="I897">
        <v>0.82099999999999995</v>
      </c>
      <c r="J897">
        <v>0.877</v>
      </c>
      <c r="K897">
        <v>5.6000000000000001E-2</v>
      </c>
      <c r="L897">
        <v>32</v>
      </c>
      <c r="M897">
        <v>24</v>
      </c>
      <c r="N897">
        <v>10</v>
      </c>
      <c r="O897">
        <v>0.84499999999999997</v>
      </c>
      <c r="P897">
        <v>5.1976034999999997E-2</v>
      </c>
      <c r="Q897">
        <v>0.217</v>
      </c>
    </row>
    <row r="898" spans="1:17" s="30" customFormat="1" x14ac:dyDescent="0.2">
      <c r="A898" s="30">
        <f>IF(C898&amp;G898&amp;D898&lt;&gt;'Funnel setup'!$K$3&amp;'Funnel setup'!$K$4&amp;'Funnel setup'!$K$5,".",IF(A897=".",1,A897+1))</f>
        <v>194</v>
      </c>
      <c r="B898" s="431" t="str">
        <f t="shared" si="13"/>
        <v>Groin HerniaProviderSOUTHPORT AND ORMSKIRK HOSPITAL NHS TRUST (RVY)EQ-5D Index</v>
      </c>
      <c r="C898" t="s">
        <v>50</v>
      </c>
      <c r="D898" t="s">
        <v>1</v>
      </c>
      <c r="E898" t="s">
        <v>3430</v>
      </c>
      <c r="F898" t="s">
        <v>3431</v>
      </c>
      <c r="G898" t="s">
        <v>52</v>
      </c>
      <c r="H898">
        <v>117</v>
      </c>
      <c r="I898">
        <v>0.80300000000000005</v>
      </c>
      <c r="J898">
        <v>0.86699999999999999</v>
      </c>
      <c r="K898">
        <v>6.3E-2</v>
      </c>
      <c r="L898">
        <v>61</v>
      </c>
      <c r="M898">
        <v>34</v>
      </c>
      <c r="N898">
        <v>22</v>
      </c>
      <c r="O898">
        <v>0.86399999999999999</v>
      </c>
      <c r="P898">
        <v>7.0971181999999994E-2</v>
      </c>
      <c r="Q898">
        <v>0.17100000000000001</v>
      </c>
    </row>
    <row r="899" spans="1:17" s="30" customFormat="1" x14ac:dyDescent="0.2">
      <c r="A899" s="30">
        <f>IF(C899&amp;G899&amp;D899&lt;&gt;'Funnel setup'!$K$3&amp;'Funnel setup'!$K$4&amp;'Funnel setup'!$K$5,".",IF(A898=".",1,A898+1))</f>
        <v>195</v>
      </c>
      <c r="B899" s="431" t="str">
        <f t="shared" ref="B899:B962" si="14">C899&amp;D899&amp;F899&amp;G899</f>
        <v>Groin HerniaProviderSPIRE ALEXANDRA HOSPITAL (NT312)EQ-5D Index</v>
      </c>
      <c r="C899" t="s">
        <v>50</v>
      </c>
      <c r="D899" t="s">
        <v>1</v>
      </c>
      <c r="E899" t="s">
        <v>3433</v>
      </c>
      <c r="F899" t="s">
        <v>3434</v>
      </c>
      <c r="G899" t="s">
        <v>52</v>
      </c>
      <c r="H899">
        <v>17</v>
      </c>
      <c r="I899">
        <v>0.82</v>
      </c>
      <c r="J899">
        <v>0.97599999999999998</v>
      </c>
      <c r="K899">
        <v>0.156</v>
      </c>
      <c r="L899">
        <v>13</v>
      </c>
      <c r="M899">
        <v>4</v>
      </c>
      <c r="N899">
        <v>0</v>
      </c>
      <c r="O899" t="s">
        <v>53</v>
      </c>
      <c r="P899" t="s">
        <v>53</v>
      </c>
      <c r="Q899" t="s">
        <v>53</v>
      </c>
    </row>
    <row r="900" spans="1:17" s="30" customFormat="1" x14ac:dyDescent="0.2">
      <c r="A900" s="30">
        <f>IF(C900&amp;G900&amp;D900&lt;&gt;'Funnel setup'!$K$3&amp;'Funnel setup'!$K$4&amp;'Funnel setup'!$K$5,".",IF(A899=".",1,A899+1))</f>
        <v>196</v>
      </c>
      <c r="B900" s="431" t="str">
        <f t="shared" si="14"/>
        <v>Groin HerniaProviderSPIRE CAMBRIDGE LEA HOSPITAL (NT317)EQ-5D Index</v>
      </c>
      <c r="C900" t="s">
        <v>50</v>
      </c>
      <c r="D900" t="s">
        <v>1</v>
      </c>
      <c r="E900" t="s">
        <v>3436</v>
      </c>
      <c r="F900" t="s">
        <v>3437</v>
      </c>
      <c r="G900" t="s">
        <v>52</v>
      </c>
      <c r="H900">
        <v>17</v>
      </c>
      <c r="I900">
        <v>0.77400000000000002</v>
      </c>
      <c r="J900">
        <v>0.90900000000000003</v>
      </c>
      <c r="K900">
        <v>0.13400000000000001</v>
      </c>
      <c r="L900">
        <v>10</v>
      </c>
      <c r="M900">
        <v>5</v>
      </c>
      <c r="N900">
        <v>2</v>
      </c>
      <c r="O900" t="s">
        <v>53</v>
      </c>
      <c r="P900" t="s">
        <v>53</v>
      </c>
      <c r="Q900" t="s">
        <v>53</v>
      </c>
    </row>
    <row r="901" spans="1:17" s="30" customFormat="1" x14ac:dyDescent="0.2">
      <c r="A901" s="30">
        <f>IF(C901&amp;G901&amp;D901&lt;&gt;'Funnel setup'!$K$3&amp;'Funnel setup'!$K$4&amp;'Funnel setup'!$K$5,".",IF(A900=".",1,A900+1))</f>
        <v>197</v>
      </c>
      <c r="B901" s="431" t="str">
        <f t="shared" si="14"/>
        <v>Groin HerniaProviderSPIRE CHESHIRE HOSPITAL (NT324)EQ-5D Index</v>
      </c>
      <c r="C901" t="s">
        <v>50</v>
      </c>
      <c r="D901" t="s">
        <v>1</v>
      </c>
      <c r="E901" t="s">
        <v>3439</v>
      </c>
      <c r="F901" t="s">
        <v>3440</v>
      </c>
      <c r="G901" t="s">
        <v>52</v>
      </c>
      <c r="H901">
        <v>29</v>
      </c>
      <c r="I901">
        <v>0.83</v>
      </c>
      <c r="J901">
        <v>0.91900000000000004</v>
      </c>
      <c r="K901">
        <v>8.8999999999999996E-2</v>
      </c>
      <c r="L901">
        <v>14</v>
      </c>
      <c r="M901">
        <v>12</v>
      </c>
      <c r="N901">
        <v>3</v>
      </c>
      <c r="O901" t="s">
        <v>53</v>
      </c>
      <c r="P901" t="s">
        <v>53</v>
      </c>
      <c r="Q901" t="s">
        <v>53</v>
      </c>
    </row>
    <row r="902" spans="1:17" s="30" customFormat="1" x14ac:dyDescent="0.2">
      <c r="A902" s="30">
        <f>IF(C902&amp;G902&amp;D902&lt;&gt;'Funnel setup'!$K$3&amp;'Funnel setup'!$K$4&amp;'Funnel setup'!$K$5,".",IF(A901=".",1,A901+1))</f>
        <v>198</v>
      </c>
      <c r="B902" s="431" t="str">
        <f t="shared" si="14"/>
        <v>Groin HerniaProviderSPIRE CLARE PARK HOSPITAL (NT345)EQ-5D Index</v>
      </c>
      <c r="C902" t="s">
        <v>50</v>
      </c>
      <c r="D902" t="s">
        <v>1</v>
      </c>
      <c r="E902" t="s">
        <v>3412</v>
      </c>
      <c r="F902" t="s">
        <v>3413</v>
      </c>
      <c r="G902" t="s">
        <v>52</v>
      </c>
      <c r="H902" t="s">
        <v>53</v>
      </c>
      <c r="I902" t="s">
        <v>53</v>
      </c>
      <c r="J902" t="s">
        <v>53</v>
      </c>
      <c r="K902" t="s">
        <v>53</v>
      </c>
      <c r="L902" t="s">
        <v>53</v>
      </c>
      <c r="M902" t="s">
        <v>53</v>
      </c>
      <c r="N902" t="s">
        <v>53</v>
      </c>
      <c r="O902" t="s">
        <v>53</v>
      </c>
      <c r="P902" t="s">
        <v>53</v>
      </c>
      <c r="Q902" t="s">
        <v>53</v>
      </c>
    </row>
    <row r="903" spans="1:17" s="30" customFormat="1" x14ac:dyDescent="0.2">
      <c r="A903" s="30">
        <f>IF(C903&amp;G903&amp;D903&lt;&gt;'Funnel setup'!$K$3&amp;'Funnel setup'!$K$4&amp;'Funnel setup'!$K$5,".",IF(A902=".",1,A902+1))</f>
        <v>199</v>
      </c>
      <c r="B903" s="431" t="str">
        <f t="shared" si="14"/>
        <v>Groin HerniaProviderSPIRE DUNEDIN HOSPITAL (NT344)EQ-5D Index</v>
      </c>
      <c r="C903" t="s">
        <v>50</v>
      </c>
      <c r="D903" t="s">
        <v>1</v>
      </c>
      <c r="E903" t="s">
        <v>3415</v>
      </c>
      <c r="F903" t="s">
        <v>3416</v>
      </c>
      <c r="G903" t="s">
        <v>52</v>
      </c>
      <c r="H903">
        <v>32</v>
      </c>
      <c r="I903">
        <v>0.83499999999999996</v>
      </c>
      <c r="J903">
        <v>0.9</v>
      </c>
      <c r="K903">
        <v>6.5000000000000002E-2</v>
      </c>
      <c r="L903">
        <v>14</v>
      </c>
      <c r="M903">
        <v>13</v>
      </c>
      <c r="N903">
        <v>5</v>
      </c>
      <c r="O903">
        <v>0.89</v>
      </c>
      <c r="P903">
        <v>9.6749439000000007E-2</v>
      </c>
      <c r="Q903">
        <v>0.12</v>
      </c>
    </row>
    <row r="904" spans="1:17" s="30" customFormat="1" x14ac:dyDescent="0.2">
      <c r="A904" s="30">
        <f>IF(C904&amp;G904&amp;D904&lt;&gt;'Funnel setup'!$K$3&amp;'Funnel setup'!$K$4&amp;'Funnel setup'!$K$5,".",IF(A903=".",1,A903+1))</f>
        <v>200</v>
      </c>
      <c r="B904" s="431" t="str">
        <f t="shared" si="14"/>
        <v>Groin HerniaProviderSPIRE ELLAND HOSPITAL (NT348)EQ-5D Index</v>
      </c>
      <c r="C904" t="s">
        <v>50</v>
      </c>
      <c r="D904" t="s">
        <v>1</v>
      </c>
      <c r="E904" t="s">
        <v>3418</v>
      </c>
      <c r="F904" t="s">
        <v>3419</v>
      </c>
      <c r="G904" t="s">
        <v>52</v>
      </c>
      <c r="H904">
        <v>41</v>
      </c>
      <c r="I904">
        <v>0.81899999999999995</v>
      </c>
      <c r="J904">
        <v>0.91800000000000004</v>
      </c>
      <c r="K904">
        <v>9.8000000000000004E-2</v>
      </c>
      <c r="L904">
        <v>23</v>
      </c>
      <c r="M904">
        <v>12</v>
      </c>
      <c r="N904">
        <v>6</v>
      </c>
      <c r="O904">
        <v>0.91800000000000004</v>
      </c>
      <c r="P904">
        <v>0.12433517199999999</v>
      </c>
      <c r="Q904">
        <v>0.13200000000000001</v>
      </c>
    </row>
    <row r="905" spans="1:17" s="30" customFormat="1" x14ac:dyDescent="0.2">
      <c r="A905" s="30">
        <f>IF(C905&amp;G905&amp;D905&lt;&gt;'Funnel setup'!$K$3&amp;'Funnel setup'!$K$4&amp;'Funnel setup'!$K$5,".",IF(A904=".",1,A904+1))</f>
        <v>201</v>
      </c>
      <c r="B905" s="431" t="str">
        <f t="shared" si="14"/>
        <v>Groin HerniaProviderSPIRE FYLDE COAST HOSPITAL (NT347)EQ-5D Index</v>
      </c>
      <c r="C905" t="s">
        <v>50</v>
      </c>
      <c r="D905" t="s">
        <v>1</v>
      </c>
      <c r="E905" t="s">
        <v>4370</v>
      </c>
      <c r="F905" t="s">
        <v>4371</v>
      </c>
      <c r="G905" t="s">
        <v>52</v>
      </c>
      <c r="H905" t="s">
        <v>53</v>
      </c>
      <c r="I905" t="s">
        <v>53</v>
      </c>
      <c r="J905" t="s">
        <v>53</v>
      </c>
      <c r="K905" t="s">
        <v>53</v>
      </c>
      <c r="L905" t="s">
        <v>53</v>
      </c>
      <c r="M905" t="s">
        <v>53</v>
      </c>
      <c r="N905" t="s">
        <v>53</v>
      </c>
      <c r="O905" t="s">
        <v>53</v>
      </c>
      <c r="P905" t="s">
        <v>53</v>
      </c>
      <c r="Q905" t="s">
        <v>53</v>
      </c>
    </row>
    <row r="906" spans="1:17" s="30" customFormat="1" x14ac:dyDescent="0.2">
      <c r="A906" s="30">
        <f>IF(C906&amp;G906&amp;D906&lt;&gt;'Funnel setup'!$K$3&amp;'Funnel setup'!$K$4&amp;'Funnel setup'!$K$5,".",IF(A905=".",1,A905+1))</f>
        <v>202</v>
      </c>
      <c r="B906" s="431" t="str">
        <f t="shared" si="14"/>
        <v>Groin HerniaProviderSPIRE GATWICK PARK HOSPITAL (NT308)EQ-5D Index</v>
      </c>
      <c r="C906" t="s">
        <v>50</v>
      </c>
      <c r="D906" t="s">
        <v>1</v>
      </c>
      <c r="E906" t="s">
        <v>3409</v>
      </c>
      <c r="F906" t="s">
        <v>3410</v>
      </c>
      <c r="G906" t="s">
        <v>52</v>
      </c>
      <c r="H906">
        <v>29</v>
      </c>
      <c r="I906">
        <v>0.82399999999999995</v>
      </c>
      <c r="J906">
        <v>0.91100000000000003</v>
      </c>
      <c r="K906">
        <v>8.7999999999999995E-2</v>
      </c>
      <c r="L906">
        <v>17</v>
      </c>
      <c r="M906">
        <v>7</v>
      </c>
      <c r="N906">
        <v>5</v>
      </c>
      <c r="O906" t="s">
        <v>53</v>
      </c>
      <c r="P906" t="s">
        <v>53</v>
      </c>
      <c r="Q906" t="s">
        <v>53</v>
      </c>
    </row>
    <row r="907" spans="1:17" s="30" customFormat="1" x14ac:dyDescent="0.2">
      <c r="A907" s="30">
        <f>IF(C907&amp;G907&amp;D907&lt;&gt;'Funnel setup'!$K$3&amp;'Funnel setup'!$K$4&amp;'Funnel setup'!$K$5,".",IF(A906=".",1,A906+1))</f>
        <v>203</v>
      </c>
      <c r="B907" s="431" t="str">
        <f t="shared" si="14"/>
        <v>Groin HerniaProviderSPIRE HARTSWOOD HOSPITAL (NT319)EQ-5D Index</v>
      </c>
      <c r="C907" t="s">
        <v>50</v>
      </c>
      <c r="D907" t="s">
        <v>1</v>
      </c>
      <c r="E907" t="s">
        <v>3210</v>
      </c>
      <c r="F907" t="s">
        <v>3211</v>
      </c>
      <c r="G907" t="s">
        <v>52</v>
      </c>
      <c r="H907">
        <v>17</v>
      </c>
      <c r="I907">
        <v>0.81100000000000005</v>
      </c>
      <c r="J907">
        <v>0.89600000000000002</v>
      </c>
      <c r="K907">
        <v>8.5999999999999993E-2</v>
      </c>
      <c r="L907">
        <v>10</v>
      </c>
      <c r="M907">
        <v>5</v>
      </c>
      <c r="N907">
        <v>2</v>
      </c>
      <c r="O907" t="s">
        <v>53</v>
      </c>
      <c r="P907" t="s">
        <v>53</v>
      </c>
      <c r="Q907" t="s">
        <v>53</v>
      </c>
    </row>
    <row r="908" spans="1:17" s="30" customFormat="1" x14ac:dyDescent="0.2">
      <c r="A908" s="30">
        <f>IF(C908&amp;G908&amp;D908&lt;&gt;'Funnel setup'!$K$3&amp;'Funnel setup'!$K$4&amp;'Funnel setup'!$K$5,".",IF(A907=".",1,A907+1))</f>
        <v>204</v>
      </c>
      <c r="B908" s="431" t="str">
        <f t="shared" si="14"/>
        <v>Groin HerniaProviderSPIRE HULL AND EAST RIDING HOSPITAL (NT351)EQ-5D Index</v>
      </c>
      <c r="C908" t="s">
        <v>50</v>
      </c>
      <c r="D908" t="s">
        <v>1</v>
      </c>
      <c r="E908" t="s">
        <v>3213</v>
      </c>
      <c r="F908" t="s">
        <v>3214</v>
      </c>
      <c r="G908" t="s">
        <v>52</v>
      </c>
      <c r="H908">
        <v>93</v>
      </c>
      <c r="I908">
        <v>0.79700000000000004</v>
      </c>
      <c r="J908">
        <v>0.875</v>
      </c>
      <c r="K908">
        <v>7.6999999999999999E-2</v>
      </c>
      <c r="L908">
        <v>41</v>
      </c>
      <c r="M908">
        <v>36</v>
      </c>
      <c r="N908">
        <v>16</v>
      </c>
      <c r="O908">
        <v>0.878</v>
      </c>
      <c r="P908">
        <v>8.4374378E-2</v>
      </c>
      <c r="Q908">
        <v>0.14799999999999999</v>
      </c>
    </row>
    <row r="909" spans="1:17" s="30" customFormat="1" x14ac:dyDescent="0.2">
      <c r="A909" s="30">
        <f>IF(C909&amp;G909&amp;D909&lt;&gt;'Funnel setup'!$K$3&amp;'Funnel setup'!$K$4&amp;'Funnel setup'!$K$5,".",IF(A908=".",1,A908+1))</f>
        <v>205</v>
      </c>
      <c r="B909" s="431" t="str">
        <f t="shared" si="14"/>
        <v>Groin HerniaProviderSPIRE LEEDS HOSPITAL (NT332)EQ-5D Index</v>
      </c>
      <c r="C909" t="s">
        <v>50</v>
      </c>
      <c r="D909" t="s">
        <v>1</v>
      </c>
      <c r="E909" t="s">
        <v>3198</v>
      </c>
      <c r="F909" t="s">
        <v>3199</v>
      </c>
      <c r="G909" t="s">
        <v>52</v>
      </c>
      <c r="H909">
        <v>83</v>
      </c>
      <c r="I909">
        <v>0.82899999999999996</v>
      </c>
      <c r="J909">
        <v>0.91700000000000004</v>
      </c>
      <c r="K909">
        <v>8.7999999999999995E-2</v>
      </c>
      <c r="L909">
        <v>40</v>
      </c>
      <c r="M909">
        <v>35</v>
      </c>
      <c r="N909">
        <v>8</v>
      </c>
      <c r="O909">
        <v>0.91100000000000003</v>
      </c>
      <c r="P909">
        <v>0.117905044</v>
      </c>
      <c r="Q909">
        <v>9.8000000000000004E-2</v>
      </c>
    </row>
    <row r="910" spans="1:17" s="30" customFormat="1" x14ac:dyDescent="0.2">
      <c r="A910" s="30">
        <f>IF(C910&amp;G910&amp;D910&lt;&gt;'Funnel setup'!$K$3&amp;'Funnel setup'!$K$4&amp;'Funnel setup'!$K$5,".",IF(A909=".",1,A909+1))</f>
        <v>206</v>
      </c>
      <c r="B910" s="431" t="str">
        <f t="shared" si="14"/>
        <v>Groin HerniaProviderSPIRE LEICESTER HOSPITAL (NT322)EQ-5D Index</v>
      </c>
      <c r="C910" t="s">
        <v>50</v>
      </c>
      <c r="D910" t="s">
        <v>1</v>
      </c>
      <c r="E910" t="s">
        <v>3201</v>
      </c>
      <c r="F910" t="s">
        <v>3202</v>
      </c>
      <c r="G910" t="s">
        <v>52</v>
      </c>
      <c r="H910">
        <v>79</v>
      </c>
      <c r="I910">
        <v>0.77400000000000002</v>
      </c>
      <c r="J910">
        <v>0.86099999999999999</v>
      </c>
      <c r="K910">
        <v>8.6999999999999994E-2</v>
      </c>
      <c r="L910">
        <v>40</v>
      </c>
      <c r="M910">
        <v>26</v>
      </c>
      <c r="N910">
        <v>13</v>
      </c>
      <c r="O910">
        <v>0.871</v>
      </c>
      <c r="P910">
        <v>7.7353325000000001E-2</v>
      </c>
      <c r="Q910">
        <v>0.13300000000000001</v>
      </c>
    </row>
    <row r="911" spans="1:17" s="30" customFormat="1" x14ac:dyDescent="0.2">
      <c r="A911" s="30">
        <f>IF(C911&amp;G911&amp;D911&lt;&gt;'Funnel setup'!$K$3&amp;'Funnel setup'!$K$4&amp;'Funnel setup'!$K$5,".",IF(A910=".",1,A910+1))</f>
        <v>207</v>
      </c>
      <c r="B911" s="431" t="str">
        <f t="shared" si="14"/>
        <v>Groin HerniaProviderSPIRE LITTLE ASTON HOSPITAL (NT321)EQ-5D Index</v>
      </c>
      <c r="C911" t="s">
        <v>50</v>
      </c>
      <c r="D911" t="s">
        <v>1</v>
      </c>
      <c r="E911" t="s">
        <v>3921</v>
      </c>
      <c r="F911" t="s">
        <v>3922</v>
      </c>
      <c r="G911" t="s">
        <v>52</v>
      </c>
      <c r="H911">
        <v>58</v>
      </c>
      <c r="I911">
        <v>0.82</v>
      </c>
      <c r="J911">
        <v>0.92600000000000005</v>
      </c>
      <c r="K911">
        <v>0.106</v>
      </c>
      <c r="L911">
        <v>32</v>
      </c>
      <c r="M911">
        <v>21</v>
      </c>
      <c r="N911">
        <v>5</v>
      </c>
      <c r="O911">
        <v>0.92600000000000005</v>
      </c>
      <c r="P911">
        <v>0.133034977</v>
      </c>
      <c r="Q911">
        <v>0.106</v>
      </c>
    </row>
    <row r="912" spans="1:17" s="30" customFormat="1" x14ac:dyDescent="0.2">
      <c r="A912" s="30">
        <f>IF(C912&amp;G912&amp;D912&lt;&gt;'Funnel setup'!$K$3&amp;'Funnel setup'!$K$4&amp;'Funnel setup'!$K$5,".",IF(A911=".",1,A911+1))</f>
        <v>208</v>
      </c>
      <c r="B912" s="431" t="str">
        <f t="shared" si="14"/>
        <v>Groin HerniaProviderSPIRE LIVERPOOL HOSPITAL (NT337)EQ-5D Index</v>
      </c>
      <c r="C912" t="s">
        <v>50</v>
      </c>
      <c r="D912" t="s">
        <v>1</v>
      </c>
      <c r="E912" t="s">
        <v>3927</v>
      </c>
      <c r="F912" t="s">
        <v>3928</v>
      </c>
      <c r="G912" t="s">
        <v>52</v>
      </c>
      <c r="H912" t="s">
        <v>53</v>
      </c>
      <c r="I912" t="s">
        <v>53</v>
      </c>
      <c r="J912" t="s">
        <v>53</v>
      </c>
      <c r="K912" t="s">
        <v>53</v>
      </c>
      <c r="L912" t="s">
        <v>53</v>
      </c>
      <c r="M912" t="s">
        <v>53</v>
      </c>
      <c r="N912" t="s">
        <v>53</v>
      </c>
      <c r="O912" t="s">
        <v>53</v>
      </c>
      <c r="P912" t="s">
        <v>53</v>
      </c>
      <c r="Q912" t="s">
        <v>53</v>
      </c>
    </row>
    <row r="913" spans="1:17" s="30" customFormat="1" x14ac:dyDescent="0.2">
      <c r="A913" s="30">
        <f>IF(C913&amp;G913&amp;D913&lt;&gt;'Funnel setup'!$K$3&amp;'Funnel setup'!$K$4&amp;'Funnel setup'!$K$5,".",IF(A912=".",1,A912+1))</f>
        <v>209</v>
      </c>
      <c r="B913" s="431" t="str">
        <f t="shared" si="14"/>
        <v>Groin HerniaProviderSPIRE MANCHESTER HOSPITAL (NT327)EQ-5D Index</v>
      </c>
      <c r="C913" t="s">
        <v>50</v>
      </c>
      <c r="D913" t="s">
        <v>1</v>
      </c>
      <c r="E913" t="s">
        <v>3154</v>
      </c>
      <c r="F913" t="s">
        <v>3155</v>
      </c>
      <c r="G913" t="s">
        <v>52</v>
      </c>
      <c r="H913" t="s">
        <v>53</v>
      </c>
      <c r="I913" t="s">
        <v>53</v>
      </c>
      <c r="J913" t="s">
        <v>53</v>
      </c>
      <c r="K913" t="s">
        <v>53</v>
      </c>
      <c r="L913" t="s">
        <v>53</v>
      </c>
      <c r="M913" t="s">
        <v>53</v>
      </c>
      <c r="N913" t="s">
        <v>53</v>
      </c>
      <c r="O913" t="s">
        <v>53</v>
      </c>
      <c r="P913" t="s">
        <v>53</v>
      </c>
      <c r="Q913" t="s">
        <v>53</v>
      </c>
    </row>
    <row r="914" spans="1:17" s="30" customFormat="1" x14ac:dyDescent="0.2">
      <c r="A914" s="30">
        <f>IF(C914&amp;G914&amp;D914&lt;&gt;'Funnel setup'!$K$3&amp;'Funnel setup'!$K$4&amp;'Funnel setup'!$K$5,".",IF(A913=".",1,A913+1))</f>
        <v>210</v>
      </c>
      <c r="B914" s="431" t="str">
        <f t="shared" si="14"/>
        <v>Groin HerniaProviderSPIRE METHLEY PARK HOSPITAL (NT350)EQ-5D Index</v>
      </c>
      <c r="C914" t="s">
        <v>50</v>
      </c>
      <c r="D914" t="s">
        <v>1</v>
      </c>
      <c r="E914" t="s">
        <v>3157</v>
      </c>
      <c r="F914" t="s">
        <v>3158</v>
      </c>
      <c r="G914" t="s">
        <v>52</v>
      </c>
      <c r="H914">
        <v>88</v>
      </c>
      <c r="I914">
        <v>0.80500000000000005</v>
      </c>
      <c r="J914">
        <v>0.86399999999999999</v>
      </c>
      <c r="K914">
        <v>5.8999999999999997E-2</v>
      </c>
      <c r="L914">
        <v>43</v>
      </c>
      <c r="M914">
        <v>25</v>
      </c>
      <c r="N914">
        <v>20</v>
      </c>
      <c r="O914">
        <v>0.86599999999999999</v>
      </c>
      <c r="P914">
        <v>7.2514273000000004E-2</v>
      </c>
      <c r="Q914">
        <v>0.182</v>
      </c>
    </row>
    <row r="915" spans="1:17" s="30" customFormat="1" x14ac:dyDescent="0.2">
      <c r="A915" s="30">
        <f>IF(C915&amp;G915&amp;D915&lt;&gt;'Funnel setup'!$K$3&amp;'Funnel setup'!$K$4&amp;'Funnel setup'!$K$5,".",IF(A914=".",1,A914+1))</f>
        <v>211</v>
      </c>
      <c r="B915" s="431" t="str">
        <f t="shared" si="14"/>
        <v>Groin HerniaProviderSPIRE MURRAYFIELD HOSPITAL (NT325)EQ-5D Index</v>
      </c>
      <c r="C915" t="s">
        <v>50</v>
      </c>
      <c r="D915" t="s">
        <v>1</v>
      </c>
      <c r="E915" t="s">
        <v>3163</v>
      </c>
      <c r="F915" t="s">
        <v>3164</v>
      </c>
      <c r="G915" t="s">
        <v>52</v>
      </c>
      <c r="H915">
        <v>47</v>
      </c>
      <c r="I915">
        <v>0.80900000000000005</v>
      </c>
      <c r="J915">
        <v>0.88900000000000001</v>
      </c>
      <c r="K915">
        <v>0.08</v>
      </c>
      <c r="L915">
        <v>20</v>
      </c>
      <c r="M915">
        <v>20</v>
      </c>
      <c r="N915">
        <v>7</v>
      </c>
      <c r="O915">
        <v>0.89800000000000002</v>
      </c>
      <c r="P915">
        <v>0.104626898</v>
      </c>
      <c r="Q915">
        <v>0.14399999999999999</v>
      </c>
    </row>
    <row r="916" spans="1:17" s="30" customFormat="1" x14ac:dyDescent="0.2">
      <c r="A916" s="30">
        <f>IF(C916&amp;G916&amp;D916&lt;&gt;'Funnel setup'!$K$3&amp;'Funnel setup'!$K$4&amp;'Funnel setup'!$K$5,".",IF(A915=".",1,A915+1))</f>
        <v>212</v>
      </c>
      <c r="B916" s="431" t="str">
        <f t="shared" si="14"/>
        <v>Groin HerniaProviderSPIRE PARKWAY HOSPITAL (NT320)EQ-5D Index</v>
      </c>
      <c r="C916" t="s">
        <v>50</v>
      </c>
      <c r="D916" t="s">
        <v>1</v>
      </c>
      <c r="E916" t="s">
        <v>3166</v>
      </c>
      <c r="F916" t="s">
        <v>3167</v>
      </c>
      <c r="G916" t="s">
        <v>52</v>
      </c>
      <c r="H916">
        <v>7</v>
      </c>
      <c r="I916">
        <v>0.70899999999999996</v>
      </c>
      <c r="J916">
        <v>0.90800000000000003</v>
      </c>
      <c r="K916">
        <v>0.19900000000000001</v>
      </c>
      <c r="L916">
        <v>6</v>
      </c>
      <c r="M916">
        <v>1</v>
      </c>
      <c r="N916">
        <v>0</v>
      </c>
      <c r="O916" t="s">
        <v>53</v>
      </c>
      <c r="P916" t="s">
        <v>53</v>
      </c>
      <c r="Q916" t="s">
        <v>53</v>
      </c>
    </row>
    <row r="917" spans="1:17" s="30" customFormat="1" x14ac:dyDescent="0.2">
      <c r="A917" s="30">
        <f>IF(C917&amp;G917&amp;D917&lt;&gt;'Funnel setup'!$K$3&amp;'Funnel setup'!$K$4&amp;'Funnel setup'!$K$5,".",IF(A916=".",1,A916+1))</f>
        <v>213</v>
      </c>
      <c r="B917" s="431" t="str">
        <f t="shared" si="14"/>
        <v>Groin HerniaProviderSPIRE PORTSMOUTH HOSPITAL (NT305)EQ-5D Index</v>
      </c>
      <c r="C917" t="s">
        <v>50</v>
      </c>
      <c r="D917" t="s">
        <v>1</v>
      </c>
      <c r="E917" t="s">
        <v>3169</v>
      </c>
      <c r="F917" t="s">
        <v>340</v>
      </c>
      <c r="G917" t="s">
        <v>52</v>
      </c>
      <c r="H917">
        <v>6</v>
      </c>
      <c r="I917">
        <v>0.88100000000000001</v>
      </c>
      <c r="J917">
        <v>0.93200000000000005</v>
      </c>
      <c r="K917">
        <v>5.1999999999999998E-2</v>
      </c>
      <c r="L917">
        <v>2</v>
      </c>
      <c r="M917">
        <v>3</v>
      </c>
      <c r="N917">
        <v>1</v>
      </c>
      <c r="O917" t="s">
        <v>53</v>
      </c>
      <c r="P917" t="s">
        <v>53</v>
      </c>
      <c r="Q917" t="s">
        <v>53</v>
      </c>
    </row>
    <row r="918" spans="1:17" s="30" customFormat="1" x14ac:dyDescent="0.2">
      <c r="A918" s="30">
        <f>IF(C918&amp;G918&amp;D918&lt;&gt;'Funnel setup'!$K$3&amp;'Funnel setup'!$K$4&amp;'Funnel setup'!$K$5,".",IF(A917=".",1,A917+1))</f>
        <v>214</v>
      </c>
      <c r="B918" s="431" t="str">
        <f t="shared" si="14"/>
        <v>Groin HerniaProviderSPIRE REGENCY HOSPITAL (NT339)EQ-5D Index</v>
      </c>
      <c r="C918" t="s">
        <v>50</v>
      </c>
      <c r="D918" t="s">
        <v>1</v>
      </c>
      <c r="E918" t="s">
        <v>3171</v>
      </c>
      <c r="F918" t="s">
        <v>3172</v>
      </c>
      <c r="G918" t="s">
        <v>52</v>
      </c>
      <c r="H918">
        <v>32</v>
      </c>
      <c r="I918">
        <v>0.88200000000000001</v>
      </c>
      <c r="J918">
        <v>0.93799999999999994</v>
      </c>
      <c r="K918">
        <v>5.6000000000000001E-2</v>
      </c>
      <c r="L918">
        <v>14</v>
      </c>
      <c r="M918">
        <v>14</v>
      </c>
      <c r="N918">
        <v>4</v>
      </c>
      <c r="O918">
        <v>0.89400000000000002</v>
      </c>
      <c r="P918">
        <v>0.100912472</v>
      </c>
      <c r="Q918">
        <v>0.105</v>
      </c>
    </row>
    <row r="919" spans="1:17" s="30" customFormat="1" x14ac:dyDescent="0.2">
      <c r="A919" s="30">
        <f>IF(C919&amp;G919&amp;D919&lt;&gt;'Funnel setup'!$K$3&amp;'Funnel setup'!$K$4&amp;'Funnel setup'!$K$5,".",IF(A918=".",1,A918+1))</f>
        <v>215</v>
      </c>
      <c r="B919" s="431" t="str">
        <f t="shared" si="14"/>
        <v>Groin HerniaProviderSPIRE SOUTH BANK HOSPITAL (NT301)EQ-5D Index</v>
      </c>
      <c r="C919" t="s">
        <v>50</v>
      </c>
      <c r="D919" t="s">
        <v>1</v>
      </c>
      <c r="E919" t="s">
        <v>3174</v>
      </c>
      <c r="F919" t="s">
        <v>3175</v>
      </c>
      <c r="G919" t="s">
        <v>52</v>
      </c>
      <c r="H919">
        <v>69</v>
      </c>
      <c r="I919">
        <v>0.84499999999999997</v>
      </c>
      <c r="J919">
        <v>0.91</v>
      </c>
      <c r="K919">
        <v>6.5000000000000002E-2</v>
      </c>
      <c r="L919">
        <v>30</v>
      </c>
      <c r="M919">
        <v>28</v>
      </c>
      <c r="N919">
        <v>11</v>
      </c>
      <c r="O919">
        <v>0.89</v>
      </c>
      <c r="P919">
        <v>9.6529165E-2</v>
      </c>
      <c r="Q919">
        <v>0.11899999999999999</v>
      </c>
    </row>
    <row r="920" spans="1:17" s="30" customFormat="1" x14ac:dyDescent="0.2">
      <c r="A920" s="30">
        <f>IF(C920&amp;G920&amp;D920&lt;&gt;'Funnel setup'!$K$3&amp;'Funnel setup'!$K$4&amp;'Funnel setup'!$K$5,".",IF(A919=".",1,A919+1))</f>
        <v>216</v>
      </c>
      <c r="B920" s="431" t="str">
        <f t="shared" si="14"/>
        <v>Groin HerniaProviderSPIRE SOUTHAMPTON HOSPITAL (NT304)EQ-5D Index</v>
      </c>
      <c r="C920" t="s">
        <v>50</v>
      </c>
      <c r="D920" t="s">
        <v>1</v>
      </c>
      <c r="E920" t="s">
        <v>3133</v>
      </c>
      <c r="F920" t="s">
        <v>3134</v>
      </c>
      <c r="G920" t="s">
        <v>52</v>
      </c>
      <c r="H920" t="s">
        <v>53</v>
      </c>
      <c r="I920" t="s">
        <v>53</v>
      </c>
      <c r="J920" t="s">
        <v>53</v>
      </c>
      <c r="K920" t="s">
        <v>53</v>
      </c>
      <c r="L920" t="s">
        <v>53</v>
      </c>
      <c r="M920" t="s">
        <v>53</v>
      </c>
      <c r="N920" t="s">
        <v>53</v>
      </c>
      <c r="O920" t="s">
        <v>53</v>
      </c>
      <c r="P920" t="s">
        <v>53</v>
      </c>
      <c r="Q920" t="s">
        <v>53</v>
      </c>
    </row>
    <row r="921" spans="1:17" s="30" customFormat="1" x14ac:dyDescent="0.2">
      <c r="A921" s="30">
        <f>IF(C921&amp;G921&amp;D921&lt;&gt;'Funnel setup'!$K$3&amp;'Funnel setup'!$K$4&amp;'Funnel setup'!$K$5,".",IF(A920=".",1,A920+1))</f>
        <v>217</v>
      </c>
      <c r="B921" s="431" t="str">
        <f t="shared" si="14"/>
        <v>Groin HerniaProviderSPIRE ST SAVIOURS HOSPITAL (NT346)EQ-5D Index</v>
      </c>
      <c r="C921" t="s">
        <v>50</v>
      </c>
      <c r="D921" t="s">
        <v>1</v>
      </c>
      <c r="E921" t="s">
        <v>3177</v>
      </c>
      <c r="F921" t="s">
        <v>3178</v>
      </c>
      <c r="G921" t="s">
        <v>52</v>
      </c>
      <c r="H921">
        <v>10</v>
      </c>
      <c r="I921">
        <v>0.82899999999999996</v>
      </c>
      <c r="J921">
        <v>0.89700000000000002</v>
      </c>
      <c r="K921">
        <v>6.8000000000000005E-2</v>
      </c>
      <c r="L921">
        <v>4</v>
      </c>
      <c r="M921">
        <v>5</v>
      </c>
      <c r="N921">
        <v>1</v>
      </c>
      <c r="O921" t="s">
        <v>53</v>
      </c>
      <c r="P921" t="s">
        <v>53</v>
      </c>
      <c r="Q921" t="s">
        <v>53</v>
      </c>
    </row>
    <row r="922" spans="1:17" s="30" customFormat="1" x14ac:dyDescent="0.2">
      <c r="A922" s="30">
        <f>IF(C922&amp;G922&amp;D922&lt;&gt;'Funnel setup'!$K$3&amp;'Funnel setup'!$K$4&amp;'Funnel setup'!$K$5,".",IF(A921=".",1,A921+1))</f>
        <v>218</v>
      </c>
      <c r="B922" s="431" t="str">
        <f t="shared" si="14"/>
        <v>Groin HerniaProviderSPIRE SUSSEX HOSPITAL (NT309)EQ-5D Index</v>
      </c>
      <c r="C922" t="s">
        <v>50</v>
      </c>
      <c r="D922" t="s">
        <v>1</v>
      </c>
      <c r="E922" t="s">
        <v>3180</v>
      </c>
      <c r="F922" t="s">
        <v>3181</v>
      </c>
      <c r="G922" t="s">
        <v>52</v>
      </c>
      <c r="H922">
        <v>16</v>
      </c>
      <c r="I922">
        <v>0.82099999999999995</v>
      </c>
      <c r="J922">
        <v>0.91300000000000003</v>
      </c>
      <c r="K922">
        <v>9.1999999999999998E-2</v>
      </c>
      <c r="L922">
        <v>9</v>
      </c>
      <c r="M922">
        <v>5</v>
      </c>
      <c r="N922">
        <v>2</v>
      </c>
      <c r="O922" t="s">
        <v>53</v>
      </c>
      <c r="P922" t="s">
        <v>53</v>
      </c>
      <c r="Q922" t="s">
        <v>53</v>
      </c>
    </row>
    <row r="923" spans="1:17" s="30" customFormat="1" x14ac:dyDescent="0.2">
      <c r="A923" s="30">
        <f>IF(C923&amp;G923&amp;D923&lt;&gt;'Funnel setup'!$K$3&amp;'Funnel setup'!$K$4&amp;'Funnel setup'!$K$5,".",IF(A922=".",1,A922+1))</f>
        <v>219</v>
      </c>
      <c r="B923" s="431" t="str">
        <f t="shared" si="14"/>
        <v>Groin HerniaProviderSPIRE TUNBRIDGE WELLS HOSPITAL (NT310)EQ-5D Index</v>
      </c>
      <c r="C923" t="s">
        <v>50</v>
      </c>
      <c r="D923" t="s">
        <v>1</v>
      </c>
      <c r="E923" t="s">
        <v>3186</v>
      </c>
      <c r="F923" t="s">
        <v>3187</v>
      </c>
      <c r="G923" t="s">
        <v>52</v>
      </c>
      <c r="H923">
        <v>13</v>
      </c>
      <c r="I923">
        <v>0.73899999999999999</v>
      </c>
      <c r="J923">
        <v>0.94199999999999995</v>
      </c>
      <c r="K923">
        <v>0.20399999999999999</v>
      </c>
      <c r="L923">
        <v>10</v>
      </c>
      <c r="M923">
        <v>1</v>
      </c>
      <c r="N923">
        <v>2</v>
      </c>
      <c r="O923" t="s">
        <v>53</v>
      </c>
      <c r="P923" t="s">
        <v>53</v>
      </c>
      <c r="Q923" t="s">
        <v>53</v>
      </c>
    </row>
    <row r="924" spans="1:17" s="30" customFormat="1" x14ac:dyDescent="0.2">
      <c r="A924" s="30">
        <f>IF(C924&amp;G924&amp;D924&lt;&gt;'Funnel setup'!$K$3&amp;'Funnel setup'!$K$4&amp;'Funnel setup'!$K$5,".",IF(A923=".",1,A923+1))</f>
        <v>220</v>
      </c>
      <c r="B924" s="431" t="str">
        <f t="shared" si="14"/>
        <v>Groin HerniaProviderSPIRE WASHINGTON HOSPITAL (NT333)EQ-5D Index</v>
      </c>
      <c r="C924" t="s">
        <v>50</v>
      </c>
      <c r="D924" t="s">
        <v>1</v>
      </c>
      <c r="E924" t="s">
        <v>3189</v>
      </c>
      <c r="F924" t="s">
        <v>3190</v>
      </c>
      <c r="G924" t="s">
        <v>52</v>
      </c>
      <c r="H924">
        <v>25</v>
      </c>
      <c r="I924">
        <v>0.82899999999999996</v>
      </c>
      <c r="J924">
        <v>0.89800000000000002</v>
      </c>
      <c r="K924">
        <v>6.8000000000000005E-2</v>
      </c>
      <c r="L924">
        <v>12</v>
      </c>
      <c r="M924">
        <v>7</v>
      </c>
      <c r="N924">
        <v>6</v>
      </c>
      <c r="O924" t="s">
        <v>53</v>
      </c>
      <c r="P924" t="s">
        <v>53</v>
      </c>
      <c r="Q924" t="s">
        <v>53</v>
      </c>
    </row>
    <row r="925" spans="1:17" s="30" customFormat="1" x14ac:dyDescent="0.2">
      <c r="A925" s="30">
        <f>IF(C925&amp;G925&amp;D925&lt;&gt;'Funnel setup'!$K$3&amp;'Funnel setup'!$K$4&amp;'Funnel setup'!$K$5,".",IF(A924=".",1,A924+1))</f>
        <v>221</v>
      </c>
      <c r="B925" s="431" t="str">
        <f t="shared" si="14"/>
        <v>Groin HerniaProviderSPIRE WELLESLEY HOSPITAL (NT313)EQ-5D Index</v>
      </c>
      <c r="C925" t="s">
        <v>50</v>
      </c>
      <c r="D925" t="s">
        <v>1</v>
      </c>
      <c r="E925" t="s">
        <v>3192</v>
      </c>
      <c r="F925" t="s">
        <v>3193</v>
      </c>
      <c r="G925" t="s">
        <v>52</v>
      </c>
      <c r="H925">
        <v>60</v>
      </c>
      <c r="I925">
        <v>0.81599999999999995</v>
      </c>
      <c r="J925">
        <v>0.86</v>
      </c>
      <c r="K925">
        <v>4.3999999999999997E-2</v>
      </c>
      <c r="L925">
        <v>27</v>
      </c>
      <c r="M925">
        <v>17</v>
      </c>
      <c r="N925">
        <v>16</v>
      </c>
      <c r="O925">
        <v>0.86099999999999999</v>
      </c>
      <c r="P925">
        <v>6.7710256999999996E-2</v>
      </c>
      <c r="Q925">
        <v>0.109</v>
      </c>
    </row>
    <row r="926" spans="1:17" s="30" customFormat="1" x14ac:dyDescent="0.2">
      <c r="A926" s="30">
        <f>IF(C926&amp;G926&amp;D926&lt;&gt;'Funnel setup'!$K$3&amp;'Funnel setup'!$K$4&amp;'Funnel setup'!$K$5,".",IF(A925=".",1,A925+1))</f>
        <v>222</v>
      </c>
      <c r="B926" s="431" t="str">
        <f t="shared" si="14"/>
        <v>Groin HerniaProviderSPRINGFIELD HOSPITAL (NVC18)EQ-5D Index</v>
      </c>
      <c r="C926" t="s">
        <v>50</v>
      </c>
      <c r="D926" t="s">
        <v>1</v>
      </c>
      <c r="E926" t="s">
        <v>3195</v>
      </c>
      <c r="F926" t="s">
        <v>3196</v>
      </c>
      <c r="G926" t="s">
        <v>52</v>
      </c>
      <c r="H926">
        <v>111</v>
      </c>
      <c r="I926">
        <v>0.79900000000000004</v>
      </c>
      <c r="J926">
        <v>0.89600000000000002</v>
      </c>
      <c r="K926">
        <v>9.6000000000000002E-2</v>
      </c>
      <c r="L926">
        <v>60</v>
      </c>
      <c r="M926">
        <v>32</v>
      </c>
      <c r="N926">
        <v>19</v>
      </c>
      <c r="O926">
        <v>0.879</v>
      </c>
      <c r="P926">
        <v>8.5802442000000007E-2</v>
      </c>
      <c r="Q926">
        <v>0.14499999999999999</v>
      </c>
    </row>
    <row r="927" spans="1:17" s="30" customFormat="1" x14ac:dyDescent="0.2">
      <c r="A927" s="30">
        <f>IF(C927&amp;G927&amp;D927&lt;&gt;'Funnel setup'!$K$3&amp;'Funnel setup'!$K$4&amp;'Funnel setup'!$K$5,".",IF(A926=".",1,A926+1))</f>
        <v>223</v>
      </c>
      <c r="B927" s="431" t="str">
        <f t="shared" si="14"/>
        <v>Groin HerniaProviderST GEORGE'S UNIVERSITY HOSPITALS NHS FOUNDATION TRUST (RJ7)EQ-5D Index</v>
      </c>
      <c r="C927" t="s">
        <v>50</v>
      </c>
      <c r="D927" t="s">
        <v>1</v>
      </c>
      <c r="E927" t="s">
        <v>3124</v>
      </c>
      <c r="F927" t="s">
        <v>3125</v>
      </c>
      <c r="G927" t="s">
        <v>52</v>
      </c>
      <c r="H927">
        <v>16</v>
      </c>
      <c r="I927">
        <v>0.80500000000000005</v>
      </c>
      <c r="J927">
        <v>0.82499999999999996</v>
      </c>
      <c r="K927">
        <v>1.9E-2</v>
      </c>
      <c r="L927">
        <v>6</v>
      </c>
      <c r="M927">
        <v>6</v>
      </c>
      <c r="N927">
        <v>4</v>
      </c>
      <c r="O927" t="s">
        <v>53</v>
      </c>
      <c r="P927" t="s">
        <v>53</v>
      </c>
      <c r="Q927" t="s">
        <v>53</v>
      </c>
    </row>
    <row r="928" spans="1:17" s="30" customFormat="1" x14ac:dyDescent="0.2">
      <c r="A928" s="30">
        <f>IF(C928&amp;G928&amp;D928&lt;&gt;'Funnel setup'!$K$3&amp;'Funnel setup'!$K$4&amp;'Funnel setup'!$K$5,".",IF(A927=".",1,A927+1))</f>
        <v>224</v>
      </c>
      <c r="B928" s="431" t="str">
        <f t="shared" si="14"/>
        <v>Groin HerniaProviderST HELENS AND KNOWSLEY HOSPITALS NHS TRUST (RBN)EQ-5D Index</v>
      </c>
      <c r="C928" t="s">
        <v>50</v>
      </c>
      <c r="D928" t="s">
        <v>1</v>
      </c>
      <c r="E928" t="s">
        <v>3127</v>
      </c>
      <c r="F928" t="s">
        <v>3128</v>
      </c>
      <c r="G928" t="s">
        <v>52</v>
      </c>
      <c r="H928">
        <v>157</v>
      </c>
      <c r="I928">
        <v>0.81799999999999995</v>
      </c>
      <c r="J928">
        <v>0.874</v>
      </c>
      <c r="K928">
        <v>5.6000000000000001E-2</v>
      </c>
      <c r="L928">
        <v>67</v>
      </c>
      <c r="M928">
        <v>63</v>
      </c>
      <c r="N928">
        <v>27</v>
      </c>
      <c r="O928">
        <v>0.87</v>
      </c>
      <c r="P928">
        <v>7.6627967000000005E-2</v>
      </c>
      <c r="Q928">
        <v>0.14499999999999999</v>
      </c>
    </row>
    <row r="929" spans="1:17" s="30" customFormat="1" x14ac:dyDescent="0.2">
      <c r="A929" s="30">
        <f>IF(C929&amp;G929&amp;D929&lt;&gt;'Funnel setup'!$K$3&amp;'Funnel setup'!$K$4&amp;'Funnel setup'!$K$5,".",IF(A928=".",1,A928+1))</f>
        <v>225</v>
      </c>
      <c r="B929" s="431" t="str">
        <f t="shared" si="14"/>
        <v>Groin HerniaProviderST HUGH'S HOSPITAL (NTE02)EQ-5D Index</v>
      </c>
      <c r="C929" t="s">
        <v>50</v>
      </c>
      <c r="D929" t="s">
        <v>1</v>
      </c>
      <c r="E929" t="s">
        <v>3130</v>
      </c>
      <c r="F929" t="s">
        <v>3131</v>
      </c>
      <c r="G929" t="s">
        <v>52</v>
      </c>
      <c r="H929">
        <v>29</v>
      </c>
      <c r="I929">
        <v>0.81200000000000006</v>
      </c>
      <c r="J929">
        <v>0.84499999999999997</v>
      </c>
      <c r="K929">
        <v>3.3000000000000002E-2</v>
      </c>
      <c r="L929">
        <v>13</v>
      </c>
      <c r="M929">
        <v>13</v>
      </c>
      <c r="N929">
        <v>3</v>
      </c>
      <c r="O929" t="s">
        <v>53</v>
      </c>
      <c r="P929" t="s">
        <v>53</v>
      </c>
      <c r="Q929" t="s">
        <v>53</v>
      </c>
    </row>
    <row r="930" spans="1:17" s="30" customFormat="1" x14ac:dyDescent="0.2">
      <c r="A930" s="30">
        <f>IF(C930&amp;G930&amp;D930&lt;&gt;'Funnel setup'!$K$3&amp;'Funnel setup'!$K$4&amp;'Funnel setup'!$K$5,".",IF(A929=".",1,A929+1))</f>
        <v>226</v>
      </c>
      <c r="B930" s="431" t="str">
        <f t="shared" si="14"/>
        <v>Groin HerniaProviderST MARY'S NHS TREATMENT CENTRE (NTPAD)EQ-5D Index</v>
      </c>
      <c r="C930" t="s">
        <v>50</v>
      </c>
      <c r="D930" t="s">
        <v>1</v>
      </c>
      <c r="E930" t="s">
        <v>3139</v>
      </c>
      <c r="F930" t="s">
        <v>3140</v>
      </c>
      <c r="G930" t="s">
        <v>52</v>
      </c>
      <c r="H930">
        <v>151</v>
      </c>
      <c r="I930">
        <v>0.85499999999999998</v>
      </c>
      <c r="J930">
        <v>0.91500000000000004</v>
      </c>
      <c r="K930">
        <v>0.06</v>
      </c>
      <c r="L930">
        <v>55</v>
      </c>
      <c r="M930">
        <v>74</v>
      </c>
      <c r="N930">
        <v>22</v>
      </c>
      <c r="O930">
        <v>0.873</v>
      </c>
      <c r="P930">
        <v>8.0078969E-2</v>
      </c>
      <c r="Q930">
        <v>0.128</v>
      </c>
    </row>
    <row r="931" spans="1:17" s="30" customFormat="1" x14ac:dyDescent="0.2">
      <c r="A931" s="30">
        <f>IF(C931&amp;G931&amp;D931&lt;&gt;'Funnel setup'!$K$3&amp;'Funnel setup'!$K$4&amp;'Funnel setup'!$K$5,".",IF(A930=".",1,A930+1))</f>
        <v>227</v>
      </c>
      <c r="B931" s="431" t="str">
        <f t="shared" si="14"/>
        <v>Groin HerniaProviderSTOCKPORT NHS FOUNDATION TRUST (RWJ)EQ-5D Index</v>
      </c>
      <c r="C931" t="s">
        <v>50</v>
      </c>
      <c r="D931" t="s">
        <v>1</v>
      </c>
      <c r="E931" t="s">
        <v>3142</v>
      </c>
      <c r="F931" t="s">
        <v>3143</v>
      </c>
      <c r="G931" t="s">
        <v>52</v>
      </c>
      <c r="H931">
        <v>146</v>
      </c>
      <c r="I931">
        <v>0.78500000000000003</v>
      </c>
      <c r="J931">
        <v>0.874</v>
      </c>
      <c r="K931">
        <v>8.8999999999999996E-2</v>
      </c>
      <c r="L931">
        <v>77</v>
      </c>
      <c r="M931">
        <v>47</v>
      </c>
      <c r="N931">
        <v>22</v>
      </c>
      <c r="O931">
        <v>0.88300000000000001</v>
      </c>
      <c r="P931">
        <v>8.9808126000000002E-2</v>
      </c>
      <c r="Q931">
        <v>0.17299999999999999</v>
      </c>
    </row>
    <row r="932" spans="1:17" s="30" customFormat="1" x14ac:dyDescent="0.2">
      <c r="A932" s="30">
        <f>IF(C932&amp;G932&amp;D932&lt;&gt;'Funnel setup'!$K$3&amp;'Funnel setup'!$K$4&amp;'Funnel setup'!$K$5,".",IF(A931=".",1,A931+1))</f>
        <v>228</v>
      </c>
      <c r="B932" s="431" t="str">
        <f t="shared" si="14"/>
        <v>Groin HerniaProviderSURREY AND SUSSEX HEALTHCARE NHS TRUST (RTP)EQ-5D Index</v>
      </c>
      <c r="C932" t="s">
        <v>50</v>
      </c>
      <c r="D932" t="s">
        <v>1</v>
      </c>
      <c r="E932" t="s">
        <v>3145</v>
      </c>
      <c r="F932" t="s">
        <v>3146</v>
      </c>
      <c r="G932" t="s">
        <v>52</v>
      </c>
      <c r="H932">
        <v>154</v>
      </c>
      <c r="I932">
        <v>0.82199999999999995</v>
      </c>
      <c r="J932">
        <v>0.89300000000000002</v>
      </c>
      <c r="K932">
        <v>7.0000000000000007E-2</v>
      </c>
      <c r="L932">
        <v>79</v>
      </c>
      <c r="M932">
        <v>48</v>
      </c>
      <c r="N932">
        <v>27</v>
      </c>
      <c r="O932">
        <v>0.879</v>
      </c>
      <c r="P932">
        <v>8.6034282000000004E-2</v>
      </c>
      <c r="Q932">
        <v>0.16300000000000001</v>
      </c>
    </row>
    <row r="933" spans="1:17" s="30" customFormat="1" x14ac:dyDescent="0.2">
      <c r="A933" s="30">
        <f>IF(C933&amp;G933&amp;D933&lt;&gt;'Funnel setup'!$K$3&amp;'Funnel setup'!$K$4&amp;'Funnel setup'!$K$5,".",IF(A932=".",1,A932+1))</f>
        <v>229</v>
      </c>
      <c r="B933" s="431" t="str">
        <f t="shared" si="14"/>
        <v>Groin HerniaProviderTAMESIDE HOSPITAL NHS FOUNDATION TRUST (RMP)EQ-5D Index</v>
      </c>
      <c r="C933" t="s">
        <v>50</v>
      </c>
      <c r="D933" t="s">
        <v>1</v>
      </c>
      <c r="E933" t="s">
        <v>3148</v>
      </c>
      <c r="F933" t="s">
        <v>3149</v>
      </c>
      <c r="G933" t="s">
        <v>52</v>
      </c>
      <c r="H933">
        <v>36</v>
      </c>
      <c r="I933">
        <v>0.75600000000000001</v>
      </c>
      <c r="J933">
        <v>0.89100000000000001</v>
      </c>
      <c r="K933">
        <v>0.13500000000000001</v>
      </c>
      <c r="L933">
        <v>22</v>
      </c>
      <c r="M933">
        <v>10</v>
      </c>
      <c r="N933">
        <v>4</v>
      </c>
      <c r="O933">
        <v>0.90900000000000003</v>
      </c>
      <c r="P933">
        <v>0.115671327</v>
      </c>
      <c r="Q933">
        <v>0.13900000000000001</v>
      </c>
    </row>
    <row r="934" spans="1:17" s="30" customFormat="1" x14ac:dyDescent="0.2">
      <c r="A934" s="30">
        <f>IF(C934&amp;G934&amp;D934&lt;&gt;'Funnel setup'!$K$3&amp;'Funnel setup'!$K$4&amp;'Funnel setup'!$K$5,".",IF(A933=".",1,A933+1))</f>
        <v>230</v>
      </c>
      <c r="B934" s="431" t="str">
        <f t="shared" si="14"/>
        <v>Groin HerniaProviderTAUNTON AND SOMERSET NHS FOUNDATION TRUST (RBA)EQ-5D Index</v>
      </c>
      <c r="C934" t="s">
        <v>50</v>
      </c>
      <c r="D934" t="s">
        <v>1</v>
      </c>
      <c r="E934" t="s">
        <v>3151</v>
      </c>
      <c r="F934" t="s">
        <v>3152</v>
      </c>
      <c r="G934" t="s">
        <v>52</v>
      </c>
      <c r="H934">
        <v>138</v>
      </c>
      <c r="I934">
        <v>0.82399999999999995</v>
      </c>
      <c r="J934">
        <v>0.879</v>
      </c>
      <c r="K934">
        <v>5.3999999999999999E-2</v>
      </c>
      <c r="L934">
        <v>60</v>
      </c>
      <c r="M934">
        <v>57</v>
      </c>
      <c r="N934">
        <v>21</v>
      </c>
      <c r="O934">
        <v>0.85599999999999998</v>
      </c>
      <c r="P934">
        <v>6.2918911999999994E-2</v>
      </c>
      <c r="Q934">
        <v>0.16500000000000001</v>
      </c>
    </row>
    <row r="935" spans="1:17" s="30" customFormat="1" x14ac:dyDescent="0.2">
      <c r="A935" s="30">
        <f>IF(C935&amp;G935&amp;D935&lt;&gt;'Funnel setup'!$K$3&amp;'Funnel setup'!$K$4&amp;'Funnel setup'!$K$5,".",IF(A934=".",1,A934+1))</f>
        <v>231</v>
      </c>
      <c r="B935" s="431" t="str">
        <f t="shared" si="14"/>
        <v>Groin HerniaProviderTEES VALLEY TREATMENT CENTRE (NVC35)EQ-5D Index</v>
      </c>
      <c r="C935" t="s">
        <v>50</v>
      </c>
      <c r="D935" t="s">
        <v>1</v>
      </c>
      <c r="E935" t="s">
        <v>3112</v>
      </c>
      <c r="F935" t="s">
        <v>3113</v>
      </c>
      <c r="G935" t="s">
        <v>52</v>
      </c>
      <c r="H935">
        <v>59</v>
      </c>
      <c r="I935">
        <v>0.81699999999999995</v>
      </c>
      <c r="J935">
        <v>0.878</v>
      </c>
      <c r="K935">
        <v>6.0999999999999999E-2</v>
      </c>
      <c r="L935">
        <v>22</v>
      </c>
      <c r="M935">
        <v>25</v>
      </c>
      <c r="N935">
        <v>12</v>
      </c>
      <c r="O935">
        <v>0.86</v>
      </c>
      <c r="P935">
        <v>6.6215974999999996E-2</v>
      </c>
      <c r="Q935">
        <v>0.14699999999999999</v>
      </c>
    </row>
    <row r="936" spans="1:17" s="30" customFormat="1" x14ac:dyDescent="0.2">
      <c r="A936" s="30">
        <f>IF(C936&amp;G936&amp;D936&lt;&gt;'Funnel setup'!$K$3&amp;'Funnel setup'!$K$4&amp;'Funnel setup'!$K$5,".",IF(A935=".",1,A935+1))</f>
        <v>232</v>
      </c>
      <c r="B936" s="431" t="str">
        <f t="shared" si="14"/>
        <v>Groin HerniaProviderTHE BERKSHIRE INDEPENDENT HOSPITAL (NVC02)EQ-5D Index</v>
      </c>
      <c r="C936" t="s">
        <v>50</v>
      </c>
      <c r="D936" t="s">
        <v>1</v>
      </c>
      <c r="E936" t="s">
        <v>3118</v>
      </c>
      <c r="F936" t="s">
        <v>3119</v>
      </c>
      <c r="G936" t="s">
        <v>52</v>
      </c>
      <c r="H936">
        <v>39</v>
      </c>
      <c r="I936">
        <v>0.85899999999999999</v>
      </c>
      <c r="J936">
        <v>0.88300000000000001</v>
      </c>
      <c r="K936">
        <v>2.4E-2</v>
      </c>
      <c r="L936">
        <v>16</v>
      </c>
      <c r="M936">
        <v>18</v>
      </c>
      <c r="N936">
        <v>5</v>
      </c>
      <c r="O936">
        <v>0.84099999999999997</v>
      </c>
      <c r="P936">
        <v>4.7999160999999999E-2</v>
      </c>
      <c r="Q936">
        <v>0.223</v>
      </c>
    </row>
    <row r="937" spans="1:17" s="30" customFormat="1" x14ac:dyDescent="0.2">
      <c r="A937" s="30">
        <f>IF(C937&amp;G937&amp;D937&lt;&gt;'Funnel setup'!$K$3&amp;'Funnel setup'!$K$4&amp;'Funnel setup'!$K$5,".",IF(A936=".",1,A936+1))</f>
        <v>233</v>
      </c>
      <c r="B937" s="431" t="str">
        <f t="shared" si="14"/>
        <v>Groin HerniaProviderTHE DUDLEY GROUP NHS FOUNDATION TRUST (RNA)EQ-5D Index</v>
      </c>
      <c r="C937" t="s">
        <v>50</v>
      </c>
      <c r="D937" t="s">
        <v>1</v>
      </c>
      <c r="E937" t="s">
        <v>3121</v>
      </c>
      <c r="F937" t="s">
        <v>3122</v>
      </c>
      <c r="G937" t="s">
        <v>52</v>
      </c>
      <c r="H937">
        <v>159</v>
      </c>
      <c r="I937">
        <v>0.80500000000000005</v>
      </c>
      <c r="J937">
        <v>0.84699999999999998</v>
      </c>
      <c r="K937">
        <v>4.2000000000000003E-2</v>
      </c>
      <c r="L937">
        <v>65</v>
      </c>
      <c r="M937">
        <v>53</v>
      </c>
      <c r="N937">
        <v>41</v>
      </c>
      <c r="O937">
        <v>0.84699999999999998</v>
      </c>
      <c r="P937">
        <v>5.3653121999999998E-2</v>
      </c>
      <c r="Q937">
        <v>0.187</v>
      </c>
    </row>
    <row r="938" spans="1:17" s="30" customFormat="1" x14ac:dyDescent="0.2">
      <c r="A938" s="30">
        <f>IF(C938&amp;G938&amp;D938&lt;&gt;'Funnel setup'!$K$3&amp;'Funnel setup'!$K$4&amp;'Funnel setup'!$K$5,".",IF(A937=".",1,A937+1))</f>
        <v>234</v>
      </c>
      <c r="B938" s="431" t="str">
        <f t="shared" si="14"/>
        <v>Groin HerniaProviderTHE HILLINGDON HOSPITALS NHS FOUNDATION TRUST (RAS)EQ-5D Index</v>
      </c>
      <c r="C938" t="s">
        <v>50</v>
      </c>
      <c r="D938" t="s">
        <v>1</v>
      </c>
      <c r="E938" t="s">
        <v>3115</v>
      </c>
      <c r="F938" t="s">
        <v>3116</v>
      </c>
      <c r="G938" t="s">
        <v>52</v>
      </c>
      <c r="H938">
        <v>47</v>
      </c>
      <c r="I938">
        <v>0.76200000000000001</v>
      </c>
      <c r="J938">
        <v>0.86799999999999999</v>
      </c>
      <c r="K938">
        <v>0.106</v>
      </c>
      <c r="L938">
        <v>26</v>
      </c>
      <c r="M938">
        <v>15</v>
      </c>
      <c r="N938">
        <v>6</v>
      </c>
      <c r="O938">
        <v>0.88500000000000001</v>
      </c>
      <c r="P938">
        <v>9.1606622999999998E-2</v>
      </c>
      <c r="Q938">
        <v>0.16700000000000001</v>
      </c>
    </row>
    <row r="939" spans="1:17" s="30" customFormat="1" x14ac:dyDescent="0.2">
      <c r="A939" s="30">
        <f>IF(C939&amp;G939&amp;D939&lt;&gt;'Funnel setup'!$K$3&amp;'Funnel setup'!$K$4&amp;'Funnel setup'!$K$5,".",IF(A938=".",1,A938+1))</f>
        <v>235</v>
      </c>
      <c r="B939" s="431" t="str">
        <f t="shared" si="14"/>
        <v>Groin HerniaProviderTHE NEWCASTLE UPON TYNE HOSPITALS NHS FOUNDATION TRUST (RTD)EQ-5D Index</v>
      </c>
      <c r="C939" t="s">
        <v>50</v>
      </c>
      <c r="D939" t="s">
        <v>1</v>
      </c>
      <c r="E939" t="s">
        <v>3748</v>
      </c>
      <c r="F939" t="s">
        <v>3749</v>
      </c>
      <c r="G939" t="s">
        <v>52</v>
      </c>
      <c r="H939">
        <v>36</v>
      </c>
      <c r="I939">
        <v>0.78300000000000003</v>
      </c>
      <c r="J939">
        <v>0.86899999999999999</v>
      </c>
      <c r="K939">
        <v>8.5999999999999993E-2</v>
      </c>
      <c r="L939">
        <v>15</v>
      </c>
      <c r="M939">
        <v>16</v>
      </c>
      <c r="N939">
        <v>5</v>
      </c>
      <c r="O939">
        <v>0.88600000000000001</v>
      </c>
      <c r="P939">
        <v>9.2231270000000004E-2</v>
      </c>
      <c r="Q939">
        <v>0.152</v>
      </c>
    </row>
    <row r="940" spans="1:17" s="30" customFormat="1" x14ac:dyDescent="0.2">
      <c r="A940" s="30">
        <f>IF(C940&amp;G940&amp;D940&lt;&gt;'Funnel setup'!$K$3&amp;'Funnel setup'!$K$4&amp;'Funnel setup'!$K$5,".",IF(A939=".",1,A939+1))</f>
        <v>236</v>
      </c>
      <c r="B940" s="431" t="str">
        <f t="shared" si="14"/>
        <v>Groin HerniaProviderTHE PRINCESS ALEXANDRA HOSPITAL NHS TRUST (RQW)EQ-5D Index</v>
      </c>
      <c r="C940" t="s">
        <v>50</v>
      </c>
      <c r="D940" t="s">
        <v>1</v>
      </c>
      <c r="E940" t="s">
        <v>3751</v>
      </c>
      <c r="F940" t="s">
        <v>3752</v>
      </c>
      <c r="G940" t="s">
        <v>52</v>
      </c>
      <c r="H940">
        <v>57</v>
      </c>
      <c r="I940">
        <v>0.73199999999999998</v>
      </c>
      <c r="J940">
        <v>0.79700000000000004</v>
      </c>
      <c r="K940">
        <v>6.6000000000000003E-2</v>
      </c>
      <c r="L940">
        <v>22</v>
      </c>
      <c r="M940">
        <v>24</v>
      </c>
      <c r="N940">
        <v>11</v>
      </c>
      <c r="O940">
        <v>0.82599999999999996</v>
      </c>
      <c r="P940">
        <v>3.2337428000000001E-2</v>
      </c>
      <c r="Q940">
        <v>0.20399999999999999</v>
      </c>
    </row>
    <row r="941" spans="1:17" s="30" customFormat="1" x14ac:dyDescent="0.2">
      <c r="A941" s="30">
        <f>IF(C941&amp;G941&amp;D941&lt;&gt;'Funnel setup'!$K$3&amp;'Funnel setup'!$K$4&amp;'Funnel setup'!$K$5,".",IF(A940=".",1,A940+1))</f>
        <v>237</v>
      </c>
      <c r="B941" s="431" t="str">
        <f t="shared" si="14"/>
        <v>Groin HerniaProviderTHE QUEEN ELIZABETH HOSPITAL, KING'S LYNN, NHS FOUNDATION TRUST (RCX)EQ-5D Index</v>
      </c>
      <c r="C941" t="s">
        <v>50</v>
      </c>
      <c r="D941" t="s">
        <v>1</v>
      </c>
      <c r="E941" t="s">
        <v>3754</v>
      </c>
      <c r="F941" t="s">
        <v>3755</v>
      </c>
      <c r="G941" t="s">
        <v>52</v>
      </c>
      <c r="H941">
        <v>61</v>
      </c>
      <c r="I941">
        <v>0.78400000000000003</v>
      </c>
      <c r="J941">
        <v>0.84099999999999997</v>
      </c>
      <c r="K941">
        <v>5.7000000000000002E-2</v>
      </c>
      <c r="L941">
        <v>30</v>
      </c>
      <c r="M941">
        <v>21</v>
      </c>
      <c r="N941">
        <v>10</v>
      </c>
      <c r="O941">
        <v>0.86599999999999999</v>
      </c>
      <c r="P941">
        <v>7.2714572000000005E-2</v>
      </c>
      <c r="Q941">
        <v>0.182</v>
      </c>
    </row>
    <row r="942" spans="1:17" s="30" customFormat="1" x14ac:dyDescent="0.2">
      <c r="A942" s="30">
        <f>IF(C942&amp;G942&amp;D942&lt;&gt;'Funnel setup'!$K$3&amp;'Funnel setup'!$K$4&amp;'Funnel setup'!$K$5,".",IF(A941=".",1,A941+1))</f>
        <v>238</v>
      </c>
      <c r="B942" s="431" t="str">
        <f t="shared" si="14"/>
        <v>Groin HerniaProviderTHE ROTHERHAM NHS FOUNDATION TRUST (RFR)EQ-5D Index</v>
      </c>
      <c r="C942" t="s">
        <v>50</v>
      </c>
      <c r="D942" t="s">
        <v>1</v>
      </c>
      <c r="E942" t="s">
        <v>3739</v>
      </c>
      <c r="F942" t="s">
        <v>3740</v>
      </c>
      <c r="G942" t="s">
        <v>52</v>
      </c>
      <c r="H942">
        <v>66</v>
      </c>
      <c r="I942">
        <v>0.73899999999999999</v>
      </c>
      <c r="J942">
        <v>0.876</v>
      </c>
      <c r="K942">
        <v>0.13700000000000001</v>
      </c>
      <c r="L942">
        <v>39</v>
      </c>
      <c r="M942">
        <v>16</v>
      </c>
      <c r="N942">
        <v>11</v>
      </c>
      <c r="O942">
        <v>0.89600000000000002</v>
      </c>
      <c r="P942">
        <v>0.10264369299999999</v>
      </c>
      <c r="Q942">
        <v>0.16200000000000001</v>
      </c>
    </row>
    <row r="943" spans="1:17" s="30" customFormat="1" x14ac:dyDescent="0.2">
      <c r="A943" s="30">
        <f>IF(C943&amp;G943&amp;D943&lt;&gt;'Funnel setup'!$K$3&amp;'Funnel setup'!$K$4&amp;'Funnel setup'!$K$5,".",IF(A942=".",1,A942+1))</f>
        <v>239</v>
      </c>
      <c r="B943" s="431" t="str">
        <f t="shared" si="14"/>
        <v>Groin HerniaProviderTHE ROYAL BOURNEMOUTH AND CHRISTCHURCH HOSPITALS NHS FOUNDATION TRUST (RDZ)EQ-5D Index</v>
      </c>
      <c r="C943" t="s">
        <v>50</v>
      </c>
      <c r="D943" t="s">
        <v>1</v>
      </c>
      <c r="E943" t="s">
        <v>3742</v>
      </c>
      <c r="F943" t="s">
        <v>3743</v>
      </c>
      <c r="G943" t="s">
        <v>52</v>
      </c>
      <c r="H943">
        <v>46</v>
      </c>
      <c r="I943">
        <v>0.75700000000000001</v>
      </c>
      <c r="J943">
        <v>0.85799999999999998</v>
      </c>
      <c r="K943">
        <v>0.10100000000000001</v>
      </c>
      <c r="L943">
        <v>25</v>
      </c>
      <c r="M943">
        <v>16</v>
      </c>
      <c r="N943">
        <v>5</v>
      </c>
      <c r="O943">
        <v>0.878</v>
      </c>
      <c r="P943">
        <v>8.4152780999999996E-2</v>
      </c>
      <c r="Q943">
        <v>0.11899999999999999</v>
      </c>
    </row>
    <row r="944" spans="1:17" s="30" customFormat="1" x14ac:dyDescent="0.2">
      <c r="A944" s="30">
        <f>IF(C944&amp;G944&amp;D944&lt;&gt;'Funnel setup'!$K$3&amp;'Funnel setup'!$K$4&amp;'Funnel setup'!$K$5,".",IF(A943=".",1,A943+1))</f>
        <v>240</v>
      </c>
      <c r="B944" s="431" t="str">
        <f t="shared" si="14"/>
        <v>Groin HerniaProviderTHE ROYAL WOLVERHAMPTON NHS TRUST (RL4)EQ-5D Index</v>
      </c>
      <c r="C944" t="s">
        <v>50</v>
      </c>
      <c r="D944" t="s">
        <v>1</v>
      </c>
      <c r="E944" t="s">
        <v>3382</v>
      </c>
      <c r="F944" t="s">
        <v>3383</v>
      </c>
      <c r="G944" t="s">
        <v>52</v>
      </c>
      <c r="H944">
        <v>132</v>
      </c>
      <c r="I944">
        <v>0.77300000000000002</v>
      </c>
      <c r="J944">
        <v>0.85699999999999998</v>
      </c>
      <c r="K944">
        <v>8.4000000000000005E-2</v>
      </c>
      <c r="L944">
        <v>67</v>
      </c>
      <c r="M944">
        <v>41</v>
      </c>
      <c r="N944">
        <v>24</v>
      </c>
      <c r="O944">
        <v>0.878</v>
      </c>
      <c r="P944">
        <v>8.4475421999999994E-2</v>
      </c>
      <c r="Q944">
        <v>0.159</v>
      </c>
    </row>
    <row r="945" spans="1:17" s="30" customFormat="1" x14ac:dyDescent="0.2">
      <c r="A945" s="30">
        <f>IF(C945&amp;G945&amp;D945&lt;&gt;'Funnel setup'!$K$3&amp;'Funnel setup'!$K$4&amp;'Funnel setup'!$K$5,".",IF(A944=".",1,A944+1))</f>
        <v>241</v>
      </c>
      <c r="B945" s="431" t="str">
        <f t="shared" si="14"/>
        <v>Groin HerniaProviderTHE SPENCER WING (RAMSGATE ROAD) (NN801)EQ-5D Index</v>
      </c>
      <c r="C945" t="s">
        <v>50</v>
      </c>
      <c r="D945" t="s">
        <v>1</v>
      </c>
      <c r="E945" t="s">
        <v>3757</v>
      </c>
      <c r="F945" t="s">
        <v>3758</v>
      </c>
      <c r="G945" t="s">
        <v>52</v>
      </c>
      <c r="H945" t="s">
        <v>53</v>
      </c>
      <c r="I945" t="s">
        <v>53</v>
      </c>
      <c r="J945" t="s">
        <v>53</v>
      </c>
      <c r="K945" t="s">
        <v>53</v>
      </c>
      <c r="L945" t="s">
        <v>53</v>
      </c>
      <c r="M945" t="s">
        <v>53</v>
      </c>
      <c r="N945" t="s">
        <v>53</v>
      </c>
      <c r="O945" t="s">
        <v>53</v>
      </c>
      <c r="P945" t="s">
        <v>53</v>
      </c>
      <c r="Q945" t="s">
        <v>53</v>
      </c>
    </row>
    <row r="946" spans="1:17" s="30" customFormat="1" x14ac:dyDescent="0.2">
      <c r="A946" s="30">
        <f>IF(C946&amp;G946&amp;D946&lt;&gt;'Funnel setup'!$K$3&amp;'Funnel setup'!$K$4&amp;'Funnel setup'!$K$5,".",IF(A945=".",1,A945+1))</f>
        <v>242</v>
      </c>
      <c r="B946" s="431" t="str">
        <f t="shared" si="14"/>
        <v>Groin HerniaProviderTHE WESTBOURNE CENTRE (NVC44)EQ-5D Index</v>
      </c>
      <c r="C946" t="s">
        <v>50</v>
      </c>
      <c r="D946" t="s">
        <v>1</v>
      </c>
      <c r="E946" t="s">
        <v>3775</v>
      </c>
      <c r="F946" t="s">
        <v>3776</v>
      </c>
      <c r="G946" t="s">
        <v>52</v>
      </c>
      <c r="H946" t="s">
        <v>53</v>
      </c>
      <c r="I946" t="s">
        <v>53</v>
      </c>
      <c r="J946" t="s">
        <v>53</v>
      </c>
      <c r="K946" t="s">
        <v>53</v>
      </c>
      <c r="L946" t="s">
        <v>53</v>
      </c>
      <c r="M946" t="s">
        <v>53</v>
      </c>
      <c r="N946" t="s">
        <v>53</v>
      </c>
      <c r="O946" t="s">
        <v>53</v>
      </c>
      <c r="P946" t="s">
        <v>53</v>
      </c>
      <c r="Q946" t="s">
        <v>53</v>
      </c>
    </row>
    <row r="947" spans="1:17" s="30" customFormat="1" x14ac:dyDescent="0.2">
      <c r="A947" s="30">
        <f>IF(C947&amp;G947&amp;D947&lt;&gt;'Funnel setup'!$K$3&amp;'Funnel setup'!$K$4&amp;'Funnel setup'!$K$5,".",IF(A946=".",1,A946+1))</f>
        <v>243</v>
      </c>
      <c r="B947" s="431" t="str">
        <f t="shared" si="14"/>
        <v>Groin HerniaProviderTHE YORKSHIRE CLINIC (NVC20)EQ-5D Index</v>
      </c>
      <c r="C947" t="s">
        <v>50</v>
      </c>
      <c r="D947" t="s">
        <v>1</v>
      </c>
      <c r="E947" t="s">
        <v>3760</v>
      </c>
      <c r="F947" t="s">
        <v>3761</v>
      </c>
      <c r="G947" t="s">
        <v>52</v>
      </c>
      <c r="H947">
        <v>30</v>
      </c>
      <c r="I947">
        <v>0.85299999999999998</v>
      </c>
      <c r="J947">
        <v>0.92300000000000004</v>
      </c>
      <c r="K947">
        <v>7.0000000000000007E-2</v>
      </c>
      <c r="L947">
        <v>13</v>
      </c>
      <c r="M947">
        <v>10</v>
      </c>
      <c r="N947">
        <v>7</v>
      </c>
      <c r="O947">
        <v>0.89700000000000002</v>
      </c>
      <c r="P947">
        <v>0.103862631</v>
      </c>
      <c r="Q947">
        <v>0.109</v>
      </c>
    </row>
    <row r="948" spans="1:17" s="30" customFormat="1" x14ac:dyDescent="0.2">
      <c r="A948" s="30">
        <f>IF(C948&amp;G948&amp;D948&lt;&gt;'Funnel setup'!$K$3&amp;'Funnel setup'!$K$4&amp;'Funnel setup'!$K$5,".",IF(A947=".",1,A947+1))</f>
        <v>244</v>
      </c>
      <c r="B948" s="431" t="str">
        <f t="shared" si="14"/>
        <v>Groin HerniaProviderTORBAY AND SOUTH DEVON NHS FOUNDATION TRUST (RA9)EQ-5D Index</v>
      </c>
      <c r="C948" t="s">
        <v>50</v>
      </c>
      <c r="D948" t="s">
        <v>1</v>
      </c>
      <c r="E948" t="s">
        <v>3480</v>
      </c>
      <c r="F948" t="s">
        <v>6584</v>
      </c>
      <c r="G948" t="s">
        <v>52</v>
      </c>
      <c r="H948">
        <v>24</v>
      </c>
      <c r="I948">
        <v>0.76600000000000001</v>
      </c>
      <c r="J948">
        <v>0.82399999999999995</v>
      </c>
      <c r="K948">
        <v>5.8000000000000003E-2</v>
      </c>
      <c r="L948">
        <v>13</v>
      </c>
      <c r="M948">
        <v>7</v>
      </c>
      <c r="N948">
        <v>4</v>
      </c>
      <c r="O948" t="s">
        <v>53</v>
      </c>
      <c r="P948" t="s">
        <v>53</v>
      </c>
      <c r="Q948" t="s">
        <v>53</v>
      </c>
    </row>
    <row r="949" spans="1:17" s="30" customFormat="1" x14ac:dyDescent="0.2">
      <c r="A949" s="30">
        <f>IF(C949&amp;G949&amp;D949&lt;&gt;'Funnel setup'!$K$3&amp;'Funnel setup'!$K$4&amp;'Funnel setup'!$K$5,".",IF(A948=".",1,A948+1))</f>
        <v>245</v>
      </c>
      <c r="B949" s="431" t="str">
        <f t="shared" si="14"/>
        <v>Groin HerniaProviderUNITED LINCOLNSHIRE HOSPITALS NHS TRUST (RWD)EQ-5D Index</v>
      </c>
      <c r="C949" t="s">
        <v>50</v>
      </c>
      <c r="D949" t="s">
        <v>1</v>
      </c>
      <c r="E949" t="s">
        <v>3763</v>
      </c>
      <c r="F949" t="s">
        <v>3764</v>
      </c>
      <c r="G949" t="s">
        <v>52</v>
      </c>
      <c r="H949">
        <v>141</v>
      </c>
      <c r="I949">
        <v>0.80800000000000005</v>
      </c>
      <c r="J949">
        <v>0.86599999999999999</v>
      </c>
      <c r="K949">
        <v>5.8000000000000003E-2</v>
      </c>
      <c r="L949">
        <v>63</v>
      </c>
      <c r="M949">
        <v>48</v>
      </c>
      <c r="N949">
        <v>30</v>
      </c>
      <c r="O949">
        <v>0.86699999999999999</v>
      </c>
      <c r="P949">
        <v>7.3690227999999997E-2</v>
      </c>
      <c r="Q949">
        <v>0.16800000000000001</v>
      </c>
    </row>
    <row r="950" spans="1:17" s="30" customFormat="1" x14ac:dyDescent="0.2">
      <c r="A950" s="30">
        <f>IF(C950&amp;G950&amp;D950&lt;&gt;'Funnel setup'!$K$3&amp;'Funnel setup'!$K$4&amp;'Funnel setup'!$K$5,".",IF(A949=".",1,A949+1))</f>
        <v>246</v>
      </c>
      <c r="B950" s="431" t="str">
        <f t="shared" si="14"/>
        <v>Groin HerniaProviderUNIVERSITY COLLEGE LONDON HOSPITALS NHS FOUNDATION TRUST (RRV)EQ-5D Index</v>
      </c>
      <c r="C950" t="s">
        <v>50</v>
      </c>
      <c r="D950" t="s">
        <v>1</v>
      </c>
      <c r="E950" t="s">
        <v>3766</v>
      </c>
      <c r="F950" t="s">
        <v>3767</v>
      </c>
      <c r="G950" t="s">
        <v>52</v>
      </c>
      <c r="H950">
        <v>22</v>
      </c>
      <c r="I950">
        <v>0.78500000000000003</v>
      </c>
      <c r="J950">
        <v>0.84499999999999997</v>
      </c>
      <c r="K950">
        <v>0.06</v>
      </c>
      <c r="L950">
        <v>10</v>
      </c>
      <c r="M950">
        <v>4</v>
      </c>
      <c r="N950">
        <v>8</v>
      </c>
      <c r="O950" t="s">
        <v>53</v>
      </c>
      <c r="P950" t="s">
        <v>53</v>
      </c>
      <c r="Q950" t="s">
        <v>53</v>
      </c>
    </row>
    <row r="951" spans="1:17" s="30" customFormat="1" x14ac:dyDescent="0.2">
      <c r="A951" s="30">
        <f>IF(C951&amp;G951&amp;D951&lt;&gt;'Funnel setup'!$K$3&amp;'Funnel setup'!$K$4&amp;'Funnel setup'!$K$5,".",IF(A950=".",1,A950+1))</f>
        <v>247</v>
      </c>
      <c r="B951" s="431" t="str">
        <f t="shared" si="14"/>
        <v>Groin HerniaProviderUNIVERSITY HOSPITAL OF SOUTH MANCHESTER NHS FOUNDATION TRUST (RM2)EQ-5D Index</v>
      </c>
      <c r="C951" t="s">
        <v>50</v>
      </c>
      <c r="D951" t="s">
        <v>1</v>
      </c>
      <c r="E951" t="s">
        <v>3769</v>
      </c>
      <c r="F951" t="s">
        <v>3770</v>
      </c>
      <c r="G951" t="s">
        <v>52</v>
      </c>
      <c r="H951">
        <v>84</v>
      </c>
      <c r="I951">
        <v>0.79400000000000004</v>
      </c>
      <c r="J951">
        <v>0.86299999999999999</v>
      </c>
      <c r="K951">
        <v>6.9000000000000006E-2</v>
      </c>
      <c r="L951">
        <v>37</v>
      </c>
      <c r="M951">
        <v>37</v>
      </c>
      <c r="N951">
        <v>10</v>
      </c>
      <c r="O951">
        <v>0.86499999999999999</v>
      </c>
      <c r="P951">
        <v>7.1541544999999998E-2</v>
      </c>
      <c r="Q951">
        <v>0.192</v>
      </c>
    </row>
    <row r="952" spans="1:17" s="30" customFormat="1" x14ac:dyDescent="0.2">
      <c r="A952" s="30">
        <f>IF(C952&amp;G952&amp;D952&lt;&gt;'Funnel setup'!$K$3&amp;'Funnel setup'!$K$4&amp;'Funnel setup'!$K$5,".",IF(A951=".",1,A951+1))</f>
        <v>248</v>
      </c>
      <c r="B952" s="431" t="str">
        <f t="shared" si="14"/>
        <v>Groin HerniaProviderUNIVERSITY HOSPITAL SOUTHAMPTON NHS FOUNDATION TRUST (RHM)EQ-5D Index</v>
      </c>
      <c r="C952" t="s">
        <v>50</v>
      </c>
      <c r="D952" t="s">
        <v>1</v>
      </c>
      <c r="E952" t="s">
        <v>3772</v>
      </c>
      <c r="F952" t="s">
        <v>3773</v>
      </c>
      <c r="G952" t="s">
        <v>52</v>
      </c>
      <c r="H952">
        <v>24</v>
      </c>
      <c r="I952">
        <v>0.64700000000000002</v>
      </c>
      <c r="J952">
        <v>0.74099999999999999</v>
      </c>
      <c r="K952">
        <v>9.4E-2</v>
      </c>
      <c r="L952">
        <v>13</v>
      </c>
      <c r="M952">
        <v>5</v>
      </c>
      <c r="N952">
        <v>6</v>
      </c>
      <c r="O952" t="s">
        <v>53</v>
      </c>
      <c r="P952" t="s">
        <v>53</v>
      </c>
      <c r="Q952" t="s">
        <v>53</v>
      </c>
    </row>
    <row r="953" spans="1:17" s="30" customFormat="1" x14ac:dyDescent="0.2">
      <c r="A953" s="30">
        <f>IF(C953&amp;G953&amp;D953&lt;&gt;'Funnel setup'!$K$3&amp;'Funnel setup'!$K$4&amp;'Funnel setup'!$K$5,".",IF(A952=".",1,A952+1))</f>
        <v>249</v>
      </c>
      <c r="B953" s="431" t="str">
        <f t="shared" si="14"/>
        <v>Groin HerniaProviderUNIVERSITY HOSPITALS BIRMINGHAM NHS FOUNDATION TRUST (RRK)EQ-5D Index</v>
      </c>
      <c r="C953" t="s">
        <v>50</v>
      </c>
      <c r="D953" t="s">
        <v>1</v>
      </c>
      <c r="E953" t="s">
        <v>3778</v>
      </c>
      <c r="F953" t="s">
        <v>3779</v>
      </c>
      <c r="G953" t="s">
        <v>52</v>
      </c>
      <c r="H953">
        <v>107</v>
      </c>
      <c r="I953">
        <v>0.77</v>
      </c>
      <c r="J953">
        <v>0.83699999999999997</v>
      </c>
      <c r="K953">
        <v>6.7000000000000004E-2</v>
      </c>
      <c r="L953">
        <v>47</v>
      </c>
      <c r="M953">
        <v>41</v>
      </c>
      <c r="N953">
        <v>19</v>
      </c>
      <c r="O953">
        <v>0.86199999999999999</v>
      </c>
      <c r="P953">
        <v>6.8290825999999999E-2</v>
      </c>
      <c r="Q953">
        <v>0.17199999999999999</v>
      </c>
    </row>
    <row r="954" spans="1:17" s="30" customFormat="1" x14ac:dyDescent="0.2">
      <c r="A954" s="30">
        <f>IF(C954&amp;G954&amp;D954&lt;&gt;'Funnel setup'!$K$3&amp;'Funnel setup'!$K$4&amp;'Funnel setup'!$K$5,".",IF(A953=".",1,A953+1))</f>
        <v>250</v>
      </c>
      <c r="B954" s="431" t="str">
        <f t="shared" si="14"/>
        <v>Groin HerniaProviderUNIVERSITY HOSPITALS BRISTOL NHS FOUNDATION TRUST (RA7)EQ-5D Index</v>
      </c>
      <c r="C954" t="s">
        <v>50</v>
      </c>
      <c r="D954" t="s">
        <v>1</v>
      </c>
      <c r="E954" t="s">
        <v>3835</v>
      </c>
      <c r="F954" t="s">
        <v>3836</v>
      </c>
      <c r="G954" t="s">
        <v>52</v>
      </c>
      <c r="H954">
        <v>25</v>
      </c>
      <c r="I954">
        <v>0.751</v>
      </c>
      <c r="J954">
        <v>0.90800000000000003</v>
      </c>
      <c r="K954">
        <v>0.157</v>
      </c>
      <c r="L954">
        <v>18</v>
      </c>
      <c r="M954">
        <v>7</v>
      </c>
      <c r="N954">
        <v>0</v>
      </c>
      <c r="O954" t="s">
        <v>53</v>
      </c>
      <c r="P954" t="s">
        <v>53</v>
      </c>
      <c r="Q954" t="s">
        <v>53</v>
      </c>
    </row>
    <row r="955" spans="1:17" s="30" customFormat="1" x14ac:dyDescent="0.2">
      <c r="A955" s="30">
        <f>IF(C955&amp;G955&amp;D955&lt;&gt;'Funnel setup'!$K$3&amp;'Funnel setup'!$K$4&amp;'Funnel setup'!$K$5,".",IF(A954=".",1,A954+1))</f>
        <v>251</v>
      </c>
      <c r="B955" s="431" t="str">
        <f t="shared" si="14"/>
        <v>Groin HerniaProviderUNIVERSITY HOSPITALS COVENTRY AND WARWICKSHIRE NHS TRUST (RKB)EQ-5D Index</v>
      </c>
      <c r="C955" t="s">
        <v>50</v>
      </c>
      <c r="D955" t="s">
        <v>1</v>
      </c>
      <c r="E955" t="s">
        <v>3715</v>
      </c>
      <c r="F955" t="s">
        <v>3716</v>
      </c>
      <c r="G955" t="s">
        <v>52</v>
      </c>
      <c r="H955">
        <v>30</v>
      </c>
      <c r="I955">
        <v>0.77200000000000002</v>
      </c>
      <c r="J955">
        <v>0.85299999999999998</v>
      </c>
      <c r="K955">
        <v>8.1000000000000003E-2</v>
      </c>
      <c r="L955">
        <v>16</v>
      </c>
      <c r="M955">
        <v>8</v>
      </c>
      <c r="N955">
        <v>6</v>
      </c>
      <c r="O955">
        <v>0.871</v>
      </c>
      <c r="P955">
        <v>7.7271954000000004E-2</v>
      </c>
      <c r="Q955">
        <v>0.214</v>
      </c>
    </row>
    <row r="956" spans="1:17" s="30" customFormat="1" x14ac:dyDescent="0.2">
      <c r="A956" s="30">
        <f>IF(C956&amp;G956&amp;D956&lt;&gt;'Funnel setup'!$K$3&amp;'Funnel setup'!$K$4&amp;'Funnel setup'!$K$5,".",IF(A955=".",1,A955+1))</f>
        <v>252</v>
      </c>
      <c r="B956" s="431" t="str">
        <f t="shared" si="14"/>
        <v>Groin HerniaProviderUNIVERSITY HOSPITALS OF LEICESTER NHS TRUST (RWE)EQ-5D Index</v>
      </c>
      <c r="C956" t="s">
        <v>50</v>
      </c>
      <c r="D956" t="s">
        <v>1</v>
      </c>
      <c r="E956" t="s">
        <v>3718</v>
      </c>
      <c r="F956" t="s">
        <v>3719</v>
      </c>
      <c r="G956" t="s">
        <v>52</v>
      </c>
      <c r="H956">
        <v>220</v>
      </c>
      <c r="I956">
        <v>0.81499999999999995</v>
      </c>
      <c r="J956">
        <v>0.86599999999999999</v>
      </c>
      <c r="K956">
        <v>5.0999999999999997E-2</v>
      </c>
      <c r="L956">
        <v>92</v>
      </c>
      <c r="M956">
        <v>76</v>
      </c>
      <c r="N956">
        <v>52</v>
      </c>
      <c r="O956">
        <v>0.86599999999999999</v>
      </c>
      <c r="P956">
        <v>7.2738715999999995E-2</v>
      </c>
      <c r="Q956">
        <v>0.152</v>
      </c>
    </row>
    <row r="957" spans="1:17" s="30" customFormat="1" x14ac:dyDescent="0.2">
      <c r="A957" s="30">
        <f>IF(C957&amp;G957&amp;D957&lt;&gt;'Funnel setup'!$K$3&amp;'Funnel setup'!$K$4&amp;'Funnel setup'!$K$5,".",IF(A956=".",1,A956+1))</f>
        <v>253</v>
      </c>
      <c r="B957" s="431" t="str">
        <f t="shared" si="14"/>
        <v>Groin HerniaProviderUNIVERSITY HOSPITALS OF MORECAMBE BAY NHS FOUNDATION TRUST (RTX)EQ-5D Index</v>
      </c>
      <c r="C957" t="s">
        <v>50</v>
      </c>
      <c r="D957" t="s">
        <v>1</v>
      </c>
      <c r="E957" t="s">
        <v>3721</v>
      </c>
      <c r="F957" t="s">
        <v>3722</v>
      </c>
      <c r="G957" t="s">
        <v>52</v>
      </c>
      <c r="H957">
        <v>201</v>
      </c>
      <c r="I957">
        <v>0.80600000000000005</v>
      </c>
      <c r="J957">
        <v>0.878</v>
      </c>
      <c r="K957">
        <v>7.1999999999999995E-2</v>
      </c>
      <c r="L957">
        <v>98</v>
      </c>
      <c r="M957">
        <v>72</v>
      </c>
      <c r="N957">
        <v>31</v>
      </c>
      <c r="O957">
        <v>0.87</v>
      </c>
      <c r="P957">
        <v>7.6726156000000004E-2</v>
      </c>
      <c r="Q957">
        <v>0.155</v>
      </c>
    </row>
    <row r="958" spans="1:17" s="30" customFormat="1" x14ac:dyDescent="0.2">
      <c r="A958" s="30">
        <f>IF(C958&amp;G958&amp;D958&lt;&gt;'Funnel setup'!$K$3&amp;'Funnel setup'!$K$4&amp;'Funnel setup'!$K$5,".",IF(A957=".",1,A957+1))</f>
        <v>254</v>
      </c>
      <c r="B958" s="431" t="str">
        <f t="shared" si="14"/>
        <v>Groin HerniaProviderUNIVERSITY HOSPITALS OF NORTH MIDLANDS NHS TRUST (RJE)EQ-5D Index</v>
      </c>
      <c r="C958" t="s">
        <v>50</v>
      </c>
      <c r="D958" t="s">
        <v>1</v>
      </c>
      <c r="E958" t="s">
        <v>3724</v>
      </c>
      <c r="F958" t="s">
        <v>3725</v>
      </c>
      <c r="G958" t="s">
        <v>52</v>
      </c>
      <c r="H958">
        <v>74</v>
      </c>
      <c r="I958">
        <v>0.77800000000000002</v>
      </c>
      <c r="J958">
        <v>0.876</v>
      </c>
      <c r="K958">
        <v>9.8000000000000004E-2</v>
      </c>
      <c r="L958">
        <v>36</v>
      </c>
      <c r="M958">
        <v>25</v>
      </c>
      <c r="N958">
        <v>13</v>
      </c>
      <c r="O958">
        <v>0.88200000000000001</v>
      </c>
      <c r="P958">
        <v>8.8799225999999995E-2</v>
      </c>
      <c r="Q958">
        <v>0.17799999999999999</v>
      </c>
    </row>
    <row r="959" spans="1:17" s="30" customFormat="1" x14ac:dyDescent="0.2">
      <c r="A959" s="30">
        <f>IF(C959&amp;G959&amp;D959&lt;&gt;'Funnel setup'!$K$3&amp;'Funnel setup'!$K$4&amp;'Funnel setup'!$K$5,".",IF(A958=".",1,A958+1))</f>
        <v>255</v>
      </c>
      <c r="B959" s="431" t="str">
        <f t="shared" si="14"/>
        <v>Groin HerniaProviderWALSALL HEALTHCARE NHS TRUST (RBK)EQ-5D Index</v>
      </c>
      <c r="C959" t="s">
        <v>50</v>
      </c>
      <c r="D959" t="s">
        <v>1</v>
      </c>
      <c r="E959" t="s">
        <v>3727</v>
      </c>
      <c r="F959" t="s">
        <v>3728</v>
      </c>
      <c r="G959" t="s">
        <v>52</v>
      </c>
      <c r="H959">
        <v>58</v>
      </c>
      <c r="I959">
        <v>0.75600000000000001</v>
      </c>
      <c r="J959">
        <v>0.84099999999999997</v>
      </c>
      <c r="K959">
        <v>8.5000000000000006E-2</v>
      </c>
      <c r="L959">
        <v>32</v>
      </c>
      <c r="M959">
        <v>15</v>
      </c>
      <c r="N959">
        <v>11</v>
      </c>
      <c r="O959">
        <v>0.86299999999999999</v>
      </c>
      <c r="P959">
        <v>6.9478940000000003E-2</v>
      </c>
      <c r="Q959">
        <v>0.20100000000000001</v>
      </c>
    </row>
    <row r="960" spans="1:17" s="30" customFormat="1" x14ac:dyDescent="0.2">
      <c r="A960" s="30">
        <f>IF(C960&amp;G960&amp;D960&lt;&gt;'Funnel setup'!$K$3&amp;'Funnel setup'!$K$4&amp;'Funnel setup'!$K$5,".",IF(A959=".",1,A959+1))</f>
        <v>256</v>
      </c>
      <c r="B960" s="431" t="str">
        <f t="shared" si="14"/>
        <v>Groin HerniaProviderWARRINGTON AND HALTON HOSPITALS NHS FOUNDATION TRUST (RWW)EQ-5D Index</v>
      </c>
      <c r="C960" t="s">
        <v>50</v>
      </c>
      <c r="D960" t="s">
        <v>1</v>
      </c>
      <c r="E960" t="s">
        <v>3730</v>
      </c>
      <c r="F960" t="s">
        <v>3731</v>
      </c>
      <c r="G960" t="s">
        <v>52</v>
      </c>
      <c r="H960">
        <v>102</v>
      </c>
      <c r="I960">
        <v>0.81100000000000005</v>
      </c>
      <c r="J960">
        <v>0.86799999999999999</v>
      </c>
      <c r="K960">
        <v>5.8000000000000003E-2</v>
      </c>
      <c r="L960">
        <v>41</v>
      </c>
      <c r="M960">
        <v>35</v>
      </c>
      <c r="N960">
        <v>26</v>
      </c>
      <c r="O960">
        <v>0.85899999999999999</v>
      </c>
      <c r="P960">
        <v>6.5385523000000001E-2</v>
      </c>
      <c r="Q960">
        <v>0.13300000000000001</v>
      </c>
    </row>
    <row r="961" spans="1:17" s="30" customFormat="1" x14ac:dyDescent="0.2">
      <c r="A961" s="30">
        <f>IF(C961&amp;G961&amp;D961&lt;&gt;'Funnel setup'!$K$3&amp;'Funnel setup'!$K$4&amp;'Funnel setup'!$K$5,".",IF(A960=".",1,A960+1))</f>
        <v>257</v>
      </c>
      <c r="B961" s="431" t="str">
        <f t="shared" si="14"/>
        <v>Groin HerniaProviderWEST HERTFORDSHIRE HOSPITALS NHS TRUST (RWG)EQ-5D Index</v>
      </c>
      <c r="C961" t="s">
        <v>50</v>
      </c>
      <c r="D961" t="s">
        <v>1</v>
      </c>
      <c r="E961" t="s">
        <v>3733</v>
      </c>
      <c r="F961" t="s">
        <v>3734</v>
      </c>
      <c r="G961" t="s">
        <v>52</v>
      </c>
      <c r="H961">
        <v>217</v>
      </c>
      <c r="I961">
        <v>0.79300000000000004</v>
      </c>
      <c r="J961">
        <v>0.88300000000000001</v>
      </c>
      <c r="K961">
        <v>0.09</v>
      </c>
      <c r="L961">
        <v>115</v>
      </c>
      <c r="M961">
        <v>68</v>
      </c>
      <c r="N961">
        <v>34</v>
      </c>
      <c r="O961">
        <v>0.872</v>
      </c>
      <c r="P961">
        <v>7.8530607000000002E-2</v>
      </c>
      <c r="Q961">
        <v>0.14299999999999999</v>
      </c>
    </row>
    <row r="962" spans="1:17" s="30" customFormat="1" x14ac:dyDescent="0.2">
      <c r="A962" s="30">
        <f>IF(C962&amp;G962&amp;D962&lt;&gt;'Funnel setup'!$K$3&amp;'Funnel setup'!$K$4&amp;'Funnel setup'!$K$5,".",IF(A961=".",1,A961+1))</f>
        <v>258</v>
      </c>
      <c r="B962" s="431" t="str">
        <f t="shared" si="14"/>
        <v>Groin HerniaProviderWEST MIDDLESEX UNIVERSITY HOSPITAL NHS TRUST (RFW)EQ-5D Index</v>
      </c>
      <c r="C962" t="s">
        <v>50</v>
      </c>
      <c r="D962" t="s">
        <v>1</v>
      </c>
      <c r="E962" t="s">
        <v>3736</v>
      </c>
      <c r="F962" t="s">
        <v>3737</v>
      </c>
      <c r="G962" t="s">
        <v>52</v>
      </c>
      <c r="H962">
        <v>12</v>
      </c>
      <c r="I962">
        <v>0.79</v>
      </c>
      <c r="J962">
        <v>0.875</v>
      </c>
      <c r="K962">
        <v>8.4000000000000005E-2</v>
      </c>
      <c r="L962">
        <v>4</v>
      </c>
      <c r="M962">
        <v>5</v>
      </c>
      <c r="N962">
        <v>3</v>
      </c>
      <c r="O962" t="s">
        <v>53</v>
      </c>
      <c r="P962" t="s">
        <v>53</v>
      </c>
      <c r="Q962" t="s">
        <v>53</v>
      </c>
    </row>
    <row r="963" spans="1:17" s="30" customFormat="1" x14ac:dyDescent="0.2">
      <c r="A963" s="30">
        <f>IF(C963&amp;G963&amp;D963&lt;&gt;'Funnel setup'!$K$3&amp;'Funnel setup'!$K$4&amp;'Funnel setup'!$K$5,".",IF(A962=".",1,A962+1))</f>
        <v>259</v>
      </c>
      <c r="B963" s="431" t="str">
        <f t="shared" ref="B963:B1026" si="15">C963&amp;D963&amp;F963&amp;G963</f>
        <v>Groin HerniaProviderWEST MIDLANDS HOSPITAL (NVC21)EQ-5D Index</v>
      </c>
      <c r="C963" t="s">
        <v>50</v>
      </c>
      <c r="D963" t="s">
        <v>1</v>
      </c>
      <c r="E963" t="s">
        <v>3709</v>
      </c>
      <c r="F963" t="s">
        <v>3710</v>
      </c>
      <c r="G963" t="s">
        <v>52</v>
      </c>
      <c r="H963">
        <v>40</v>
      </c>
      <c r="I963">
        <v>0.86899999999999999</v>
      </c>
      <c r="J963">
        <v>0.89800000000000002</v>
      </c>
      <c r="K963">
        <v>2.8000000000000001E-2</v>
      </c>
      <c r="L963">
        <v>16</v>
      </c>
      <c r="M963">
        <v>16</v>
      </c>
      <c r="N963">
        <v>8</v>
      </c>
      <c r="O963">
        <v>0.879</v>
      </c>
      <c r="P963">
        <v>8.5943453000000003E-2</v>
      </c>
      <c r="Q963">
        <v>0.186</v>
      </c>
    </row>
    <row r="964" spans="1:17" s="30" customFormat="1" x14ac:dyDescent="0.2">
      <c r="A964" s="30">
        <f>IF(C964&amp;G964&amp;D964&lt;&gt;'Funnel setup'!$K$3&amp;'Funnel setup'!$K$4&amp;'Funnel setup'!$K$5,".",IF(A963=".",1,A963+1))</f>
        <v>260</v>
      </c>
      <c r="B964" s="431" t="str">
        <f t="shared" si="15"/>
        <v>Groin HerniaProviderWEST SUFFOLK NHS FOUNDATION TRUST (RGR)EQ-5D Index</v>
      </c>
      <c r="C964" t="s">
        <v>50</v>
      </c>
      <c r="D964" t="s">
        <v>1</v>
      </c>
      <c r="E964" t="s">
        <v>3712</v>
      </c>
      <c r="F964" t="s">
        <v>3713</v>
      </c>
      <c r="G964" t="s">
        <v>52</v>
      </c>
      <c r="H964">
        <v>143</v>
      </c>
      <c r="I964">
        <v>0.76400000000000001</v>
      </c>
      <c r="J964">
        <v>0.876</v>
      </c>
      <c r="K964">
        <v>0.111</v>
      </c>
      <c r="L964">
        <v>89</v>
      </c>
      <c r="M964">
        <v>35</v>
      </c>
      <c r="N964">
        <v>19</v>
      </c>
      <c r="O964">
        <v>0.88300000000000001</v>
      </c>
      <c r="P964">
        <v>8.9514248000000005E-2</v>
      </c>
      <c r="Q964">
        <v>0.16500000000000001</v>
      </c>
    </row>
    <row r="965" spans="1:17" s="30" customFormat="1" x14ac:dyDescent="0.2">
      <c r="A965" s="30">
        <f>IF(C965&amp;G965&amp;D965&lt;&gt;'Funnel setup'!$K$3&amp;'Funnel setup'!$K$4&amp;'Funnel setup'!$K$5,".",IF(A964=".",1,A964+1))</f>
        <v>261</v>
      </c>
      <c r="B965" s="431" t="str">
        <f t="shared" si="15"/>
        <v>Groin HerniaProviderWESTERN SUSSEX HOSPITALS NHS FOUNDATION TRUST (RYR)EQ-5D Index</v>
      </c>
      <c r="C965" t="s">
        <v>50</v>
      </c>
      <c r="D965" t="s">
        <v>1</v>
      </c>
      <c r="E965" t="s">
        <v>3706</v>
      </c>
      <c r="F965" t="s">
        <v>3707</v>
      </c>
      <c r="G965" t="s">
        <v>52</v>
      </c>
      <c r="H965">
        <v>113</v>
      </c>
      <c r="I965">
        <v>0.78300000000000003</v>
      </c>
      <c r="J965">
        <v>0.86699999999999999</v>
      </c>
      <c r="K965">
        <v>8.5000000000000006E-2</v>
      </c>
      <c r="L965">
        <v>56</v>
      </c>
      <c r="M965">
        <v>38</v>
      </c>
      <c r="N965">
        <v>19</v>
      </c>
      <c r="O965">
        <v>0.872</v>
      </c>
      <c r="P965">
        <v>7.8833668999999995E-2</v>
      </c>
      <c r="Q965">
        <v>0.16300000000000001</v>
      </c>
    </row>
    <row r="966" spans="1:17" s="30" customFormat="1" x14ac:dyDescent="0.2">
      <c r="A966" s="30">
        <f>IF(C966&amp;G966&amp;D966&lt;&gt;'Funnel setup'!$K$3&amp;'Funnel setup'!$K$4&amp;'Funnel setup'!$K$5,".",IF(A965=".",1,A965+1))</f>
        <v>262</v>
      </c>
      <c r="B966" s="431" t="str">
        <f t="shared" si="15"/>
        <v>Groin HerniaProviderWESTON AREA HEALTH NHS TRUST (RA3)EQ-5D Index</v>
      </c>
      <c r="C966" t="s">
        <v>50</v>
      </c>
      <c r="D966" t="s">
        <v>1</v>
      </c>
      <c r="E966" t="s">
        <v>3525</v>
      </c>
      <c r="F966" t="s">
        <v>3526</v>
      </c>
      <c r="G966" t="s">
        <v>52</v>
      </c>
      <c r="H966">
        <v>18</v>
      </c>
      <c r="I966">
        <v>0.66500000000000004</v>
      </c>
      <c r="J966">
        <v>0.84099999999999997</v>
      </c>
      <c r="K966">
        <v>0.17599999999999999</v>
      </c>
      <c r="L966">
        <v>12</v>
      </c>
      <c r="M966">
        <v>4</v>
      </c>
      <c r="N966">
        <v>2</v>
      </c>
      <c r="O966" t="s">
        <v>53</v>
      </c>
      <c r="P966" t="s">
        <v>53</v>
      </c>
      <c r="Q966" t="s">
        <v>53</v>
      </c>
    </row>
    <row r="967" spans="1:17" s="30" customFormat="1" x14ac:dyDescent="0.2">
      <c r="A967" s="30">
        <f>IF(C967&amp;G967&amp;D967&lt;&gt;'Funnel setup'!$K$3&amp;'Funnel setup'!$K$4&amp;'Funnel setup'!$K$5,".",IF(A966=".",1,A966+1))</f>
        <v>263</v>
      </c>
      <c r="B967" s="431" t="str">
        <f t="shared" si="15"/>
        <v>Groin HerniaProviderWHITE HORSE HEALTH CENTRE - IHG (NXP17)EQ-5D Index</v>
      </c>
      <c r="C967" t="s">
        <v>50</v>
      </c>
      <c r="D967" t="s">
        <v>1</v>
      </c>
      <c r="E967" t="s">
        <v>3694</v>
      </c>
      <c r="F967" t="s">
        <v>3695</v>
      </c>
      <c r="G967" t="s">
        <v>52</v>
      </c>
      <c r="H967">
        <v>7</v>
      </c>
      <c r="I967">
        <v>0.78300000000000003</v>
      </c>
      <c r="J967">
        <v>0.86499999999999999</v>
      </c>
      <c r="K967">
        <v>8.3000000000000004E-2</v>
      </c>
      <c r="L967">
        <v>2</v>
      </c>
      <c r="M967">
        <v>3</v>
      </c>
      <c r="N967">
        <v>2</v>
      </c>
      <c r="O967" t="s">
        <v>53</v>
      </c>
      <c r="P967" t="s">
        <v>53</v>
      </c>
      <c r="Q967" t="s">
        <v>53</v>
      </c>
    </row>
    <row r="968" spans="1:17" s="30" customFormat="1" x14ac:dyDescent="0.2">
      <c r="A968" s="30">
        <f>IF(C968&amp;G968&amp;D968&lt;&gt;'Funnel setup'!$K$3&amp;'Funnel setup'!$K$4&amp;'Funnel setup'!$K$5,".",IF(A967=".",1,A967+1))</f>
        <v>264</v>
      </c>
      <c r="B968" s="431" t="str">
        <f t="shared" si="15"/>
        <v>Groin HerniaProviderWILL ADAMS NHS TREATMENT CENTRE (NTP16)EQ-5D Index</v>
      </c>
      <c r="C968" t="s">
        <v>50</v>
      </c>
      <c r="D968" t="s">
        <v>1</v>
      </c>
      <c r="E968" t="s">
        <v>3531</v>
      </c>
      <c r="F968" t="s">
        <v>3532</v>
      </c>
      <c r="G968" t="s">
        <v>52</v>
      </c>
      <c r="H968">
        <v>47</v>
      </c>
      <c r="I968">
        <v>0.87</v>
      </c>
      <c r="J968">
        <v>0.90800000000000003</v>
      </c>
      <c r="K968">
        <v>3.7999999999999999E-2</v>
      </c>
      <c r="L968">
        <v>18</v>
      </c>
      <c r="M968">
        <v>16</v>
      </c>
      <c r="N968">
        <v>13</v>
      </c>
      <c r="O968">
        <v>0.85899999999999999</v>
      </c>
      <c r="P968">
        <v>6.5247911000000006E-2</v>
      </c>
      <c r="Q968">
        <v>0.15</v>
      </c>
    </row>
    <row r="969" spans="1:17" s="30" customFormat="1" x14ac:dyDescent="0.2">
      <c r="A969" s="30">
        <f>IF(C969&amp;G969&amp;D969&lt;&gt;'Funnel setup'!$K$3&amp;'Funnel setup'!$K$4&amp;'Funnel setup'!$K$5,".",IF(A968=".",1,A968+1))</f>
        <v>265</v>
      </c>
      <c r="B969" s="431" t="str">
        <f t="shared" si="15"/>
        <v>Groin HerniaProviderWINFIELD HOSPITAL (NVC22)EQ-5D Index</v>
      </c>
      <c r="C969" t="s">
        <v>50</v>
      </c>
      <c r="D969" t="s">
        <v>1</v>
      </c>
      <c r="E969" t="s">
        <v>3534</v>
      </c>
      <c r="F969" t="s">
        <v>3535</v>
      </c>
      <c r="G969" t="s">
        <v>52</v>
      </c>
      <c r="H969">
        <v>27</v>
      </c>
      <c r="I969">
        <v>0.83599999999999997</v>
      </c>
      <c r="J969">
        <v>0.90200000000000002</v>
      </c>
      <c r="K969">
        <v>6.6000000000000003E-2</v>
      </c>
      <c r="L969">
        <v>10</v>
      </c>
      <c r="M969">
        <v>13</v>
      </c>
      <c r="N969">
        <v>4</v>
      </c>
      <c r="O969" t="s">
        <v>53</v>
      </c>
      <c r="P969" t="s">
        <v>53</v>
      </c>
      <c r="Q969" t="s">
        <v>53</v>
      </c>
    </row>
    <row r="970" spans="1:17" s="30" customFormat="1" x14ac:dyDescent="0.2">
      <c r="A970" s="30">
        <f>IF(C970&amp;G970&amp;D970&lt;&gt;'Funnel setup'!$K$3&amp;'Funnel setup'!$K$4&amp;'Funnel setup'!$K$5,".",IF(A969=".",1,A969+1))</f>
        <v>266</v>
      </c>
      <c r="B970" s="431" t="str">
        <f t="shared" si="15"/>
        <v>Groin HerniaProviderWIRRAL UNIVERSITY TEACHING HOSPITAL NHS FOUNDATION TRUST (RBL)EQ-5D Index</v>
      </c>
      <c r="C970" t="s">
        <v>50</v>
      </c>
      <c r="D970" t="s">
        <v>1</v>
      </c>
      <c r="E970" t="s">
        <v>3537</v>
      </c>
      <c r="F970" t="s">
        <v>3538</v>
      </c>
      <c r="G970" t="s">
        <v>52</v>
      </c>
      <c r="H970">
        <v>88</v>
      </c>
      <c r="I970">
        <v>0.754</v>
      </c>
      <c r="J970">
        <v>0.79100000000000004</v>
      </c>
      <c r="K970">
        <v>3.5999999999999997E-2</v>
      </c>
      <c r="L970">
        <v>40</v>
      </c>
      <c r="M970">
        <v>26</v>
      </c>
      <c r="N970">
        <v>22</v>
      </c>
      <c r="O970">
        <v>0.82099999999999995</v>
      </c>
      <c r="P970">
        <v>2.7652383999999999E-2</v>
      </c>
      <c r="Q970">
        <v>0.19900000000000001</v>
      </c>
    </row>
    <row r="971" spans="1:17" s="30" customFormat="1" x14ac:dyDescent="0.2">
      <c r="A971" s="30">
        <f>IF(C971&amp;G971&amp;D971&lt;&gt;'Funnel setup'!$K$3&amp;'Funnel setup'!$K$4&amp;'Funnel setup'!$K$5,".",IF(A970=".",1,A970+1))</f>
        <v>267</v>
      </c>
      <c r="B971" s="431" t="str">
        <f t="shared" si="15"/>
        <v>Groin HerniaProviderWOODLAND HOSPITAL (NVC23)EQ-5D Index</v>
      </c>
      <c r="C971" t="s">
        <v>50</v>
      </c>
      <c r="D971" t="s">
        <v>1</v>
      </c>
      <c r="E971" t="s">
        <v>3540</v>
      </c>
      <c r="F971" t="s">
        <v>3541</v>
      </c>
      <c r="G971" t="s">
        <v>52</v>
      </c>
      <c r="H971">
        <v>53</v>
      </c>
      <c r="I971">
        <v>0.755</v>
      </c>
      <c r="J971">
        <v>0.88100000000000001</v>
      </c>
      <c r="K971">
        <v>0.126</v>
      </c>
      <c r="L971">
        <v>36</v>
      </c>
      <c r="M971">
        <v>11</v>
      </c>
      <c r="N971">
        <v>6</v>
      </c>
      <c r="O971">
        <v>0.88400000000000001</v>
      </c>
      <c r="P971">
        <v>9.0388745000000006E-2</v>
      </c>
      <c r="Q971">
        <v>0.193</v>
      </c>
    </row>
    <row r="972" spans="1:17" s="30" customFormat="1" x14ac:dyDescent="0.2">
      <c r="A972" s="30">
        <f>IF(C972&amp;G972&amp;D972&lt;&gt;'Funnel setup'!$K$3&amp;'Funnel setup'!$K$4&amp;'Funnel setup'!$K$5,".",IF(A971=".",1,A971+1))</f>
        <v>268</v>
      </c>
      <c r="B972" s="431" t="str">
        <f t="shared" si="15"/>
        <v>Groin HerniaProviderWOODTHORPE HOSPITAL (NVC40)EQ-5D Index</v>
      </c>
      <c r="C972" t="s">
        <v>50</v>
      </c>
      <c r="D972" t="s">
        <v>1</v>
      </c>
      <c r="E972" t="s">
        <v>3689</v>
      </c>
      <c r="F972" t="s">
        <v>6576</v>
      </c>
      <c r="G972" t="s">
        <v>52</v>
      </c>
      <c r="H972">
        <v>42</v>
      </c>
      <c r="I972">
        <v>0.876</v>
      </c>
      <c r="J972">
        <v>0.89400000000000002</v>
      </c>
      <c r="K972">
        <v>1.7999999999999999E-2</v>
      </c>
      <c r="L972">
        <v>13</v>
      </c>
      <c r="M972">
        <v>20</v>
      </c>
      <c r="N972">
        <v>9</v>
      </c>
      <c r="O972">
        <v>0.85099999999999998</v>
      </c>
      <c r="P972">
        <v>5.7388695000000003E-2</v>
      </c>
      <c r="Q972">
        <v>0.125</v>
      </c>
    </row>
    <row r="973" spans="1:17" s="30" customFormat="1" x14ac:dyDescent="0.2">
      <c r="A973" s="30">
        <f>IF(C973&amp;G973&amp;D973&lt;&gt;'Funnel setup'!$K$3&amp;'Funnel setup'!$K$4&amp;'Funnel setup'!$K$5,".",IF(A972=".",1,A972+1))</f>
        <v>269</v>
      </c>
      <c r="B973" s="431" t="str">
        <f t="shared" si="15"/>
        <v>Groin HerniaProviderWORCESTERSHIRE ACUTE HOSPITALS NHS TRUST (RWP)EQ-5D Index</v>
      </c>
      <c r="C973" t="s">
        <v>50</v>
      </c>
      <c r="D973" t="s">
        <v>1</v>
      </c>
      <c r="E973" t="s">
        <v>3543</v>
      </c>
      <c r="F973" t="s">
        <v>3544</v>
      </c>
      <c r="G973" t="s">
        <v>52</v>
      </c>
      <c r="H973">
        <v>162</v>
      </c>
      <c r="I973">
        <v>0.78800000000000003</v>
      </c>
      <c r="J973">
        <v>0.86899999999999999</v>
      </c>
      <c r="K973">
        <v>8.1000000000000003E-2</v>
      </c>
      <c r="L973">
        <v>75</v>
      </c>
      <c r="M973">
        <v>53</v>
      </c>
      <c r="N973">
        <v>34</v>
      </c>
      <c r="O973">
        <v>0.88600000000000001</v>
      </c>
      <c r="P973">
        <v>9.2321829999999994E-2</v>
      </c>
      <c r="Q973">
        <v>0.151</v>
      </c>
    </row>
    <row r="974" spans="1:17" s="30" customFormat="1" x14ac:dyDescent="0.2">
      <c r="A974" s="30">
        <f>IF(C974&amp;G974&amp;D974&lt;&gt;'Funnel setup'!$K$3&amp;'Funnel setup'!$K$4&amp;'Funnel setup'!$K$5,".",IF(A973=".",1,A973+1))</f>
        <v>270</v>
      </c>
      <c r="B974" s="431" t="str">
        <f t="shared" si="15"/>
        <v>Groin HerniaProviderWRIGHTINGTON, WIGAN AND LEIGH NHS FOUNDATION TRUST (RRF)EQ-5D Index</v>
      </c>
      <c r="C974" t="s">
        <v>50</v>
      </c>
      <c r="D974" t="s">
        <v>1</v>
      </c>
      <c r="E974" t="s">
        <v>3546</v>
      </c>
      <c r="F974" t="s">
        <v>3547</v>
      </c>
      <c r="G974" t="s">
        <v>52</v>
      </c>
      <c r="H974">
        <v>114</v>
      </c>
      <c r="I974">
        <v>0.746</v>
      </c>
      <c r="J974">
        <v>0.83399999999999996</v>
      </c>
      <c r="K974">
        <v>8.7999999999999995E-2</v>
      </c>
      <c r="L974">
        <v>61</v>
      </c>
      <c r="M974">
        <v>30</v>
      </c>
      <c r="N974">
        <v>23</v>
      </c>
      <c r="O974">
        <v>0.86699999999999999</v>
      </c>
      <c r="P974">
        <v>7.3957198000000002E-2</v>
      </c>
      <c r="Q974">
        <v>0.18099999999999999</v>
      </c>
    </row>
    <row r="975" spans="1:17" s="30" customFormat="1" x14ac:dyDescent="0.2">
      <c r="A975" s="30">
        <f>IF(C975&amp;G975&amp;D975&lt;&gt;'Funnel setup'!$K$3&amp;'Funnel setup'!$K$4&amp;'Funnel setup'!$K$5,".",IF(A974=".",1,A974+1))</f>
        <v>271</v>
      </c>
      <c r="B975" s="431" t="str">
        <f t="shared" si="15"/>
        <v>Groin HerniaProviderWYE VALLEY NHS TRUST (RLQ)EQ-5D Index</v>
      </c>
      <c r="C975" t="s">
        <v>50</v>
      </c>
      <c r="D975" t="s">
        <v>1</v>
      </c>
      <c r="E975" t="s">
        <v>3517</v>
      </c>
      <c r="F975" t="s">
        <v>3518</v>
      </c>
      <c r="G975" t="s">
        <v>52</v>
      </c>
      <c r="H975">
        <v>76</v>
      </c>
      <c r="I975">
        <v>0.75</v>
      </c>
      <c r="J975">
        <v>0.89600000000000002</v>
      </c>
      <c r="K975">
        <v>0.14599999999999999</v>
      </c>
      <c r="L975">
        <v>45</v>
      </c>
      <c r="M975">
        <v>22</v>
      </c>
      <c r="N975">
        <v>9</v>
      </c>
      <c r="O975">
        <v>0.90100000000000002</v>
      </c>
      <c r="P975">
        <v>0.107959664</v>
      </c>
      <c r="Q975">
        <v>0.14699999999999999</v>
      </c>
    </row>
    <row r="976" spans="1:17" s="30" customFormat="1" x14ac:dyDescent="0.2">
      <c r="A976" s="30">
        <f>IF(C976&amp;G976&amp;D976&lt;&gt;'Funnel setup'!$K$3&amp;'Funnel setup'!$K$4&amp;'Funnel setup'!$K$5,".",IF(A975=".",1,A975+1))</f>
        <v>272</v>
      </c>
      <c r="B976" s="431" t="str">
        <f t="shared" si="15"/>
        <v>Groin HerniaProviderYEOVIL DISTRICT HOSPITAL NHS FOUNDATION TRUST (RA4)EQ-5D Index</v>
      </c>
      <c r="C976" t="s">
        <v>50</v>
      </c>
      <c r="D976" t="s">
        <v>1</v>
      </c>
      <c r="E976" t="s">
        <v>3520</v>
      </c>
      <c r="F976" t="s">
        <v>341</v>
      </c>
      <c r="G976" t="s">
        <v>52</v>
      </c>
      <c r="H976">
        <v>25</v>
      </c>
      <c r="I976">
        <v>0.79200000000000004</v>
      </c>
      <c r="J976">
        <v>0.91900000000000004</v>
      </c>
      <c r="K976">
        <v>0.127</v>
      </c>
      <c r="L976">
        <v>13</v>
      </c>
      <c r="M976">
        <v>9</v>
      </c>
      <c r="N976">
        <v>3</v>
      </c>
      <c r="O976" t="s">
        <v>53</v>
      </c>
      <c r="P976" t="s">
        <v>53</v>
      </c>
      <c r="Q976" t="s">
        <v>53</v>
      </c>
    </row>
    <row r="977" spans="1:17" s="30" customFormat="1" x14ac:dyDescent="0.2">
      <c r="A977" s="30">
        <f>IF(C977&amp;G977&amp;D977&lt;&gt;'Funnel setup'!$K$3&amp;'Funnel setup'!$K$4&amp;'Funnel setup'!$K$5,".",IF(A976=".",1,A976+1))</f>
        <v>273</v>
      </c>
      <c r="B977" s="431" t="str">
        <f t="shared" si="15"/>
        <v>Groin HerniaProviderYORK TEACHING HOSPITAL NHS FOUNDATION TRUST (RCB)EQ-5D Index</v>
      </c>
      <c r="C977" t="s">
        <v>50</v>
      </c>
      <c r="D977" t="s">
        <v>1</v>
      </c>
      <c r="E977" t="s">
        <v>3515</v>
      </c>
      <c r="F977" t="s">
        <v>343</v>
      </c>
      <c r="G977" t="s">
        <v>52</v>
      </c>
      <c r="H977">
        <v>292</v>
      </c>
      <c r="I977">
        <v>0.80200000000000005</v>
      </c>
      <c r="J977">
        <v>0.88300000000000001</v>
      </c>
      <c r="K977">
        <v>0.08</v>
      </c>
      <c r="L977">
        <v>150</v>
      </c>
      <c r="M977">
        <v>98</v>
      </c>
      <c r="N977">
        <v>44</v>
      </c>
      <c r="O977">
        <v>0.874</v>
      </c>
      <c r="P977">
        <v>8.0336284999999993E-2</v>
      </c>
      <c r="Q977">
        <v>0.16</v>
      </c>
    </row>
    <row r="978" spans="1:17" s="30" customFormat="1" x14ac:dyDescent="0.2">
      <c r="A978" s="30" t="str">
        <f>IF(C978&amp;G978&amp;D978&lt;&gt;'Funnel setup'!$K$3&amp;'Funnel setup'!$K$4&amp;'Funnel setup'!$K$5,".",IF(A977=".",1,A977+1))</f>
        <v>.</v>
      </c>
      <c r="B978" s="431" t="str">
        <f t="shared" si="15"/>
        <v>Hip Replacement PrimaryCCG of GP PracticeNATIONAL COMMISSIONING HUB 1 (13Q)EQ VAS</v>
      </c>
      <c r="C978" t="s">
        <v>248</v>
      </c>
      <c r="D978" t="s">
        <v>87</v>
      </c>
      <c r="E978" t="s">
        <v>563</v>
      </c>
      <c r="F978" t="s">
        <v>564</v>
      </c>
      <c r="G978" t="s">
        <v>179</v>
      </c>
      <c r="H978">
        <v>9</v>
      </c>
      <c r="I978">
        <v>72.888999999999996</v>
      </c>
      <c r="J978">
        <v>76.111000000000004</v>
      </c>
      <c r="K978">
        <v>3.222</v>
      </c>
      <c r="L978">
        <v>5</v>
      </c>
      <c r="M978">
        <v>0</v>
      </c>
      <c r="N978">
        <v>4</v>
      </c>
      <c r="O978" t="s">
        <v>53</v>
      </c>
      <c r="P978" t="s">
        <v>53</v>
      </c>
      <c r="Q978" t="s">
        <v>53</v>
      </c>
    </row>
    <row r="979" spans="1:17" s="30" customFormat="1" x14ac:dyDescent="0.2">
      <c r="A979" s="30" t="str">
        <f>IF(C979&amp;G979&amp;D979&lt;&gt;'Funnel setup'!$K$3&amp;'Funnel setup'!$K$4&amp;'Funnel setup'!$K$5,".",IF(A978=".",1,A978+1))</f>
        <v>.</v>
      </c>
      <c r="B979" s="431" t="str">
        <f t="shared" si="15"/>
        <v>Hip Replacement PrimaryCCG of GP PracticeNHS AIREDALE, WHARFEDALE AND CRAVEN CCG (02N)EQ VAS</v>
      </c>
      <c r="C979" t="s">
        <v>248</v>
      </c>
      <c r="D979" t="s">
        <v>87</v>
      </c>
      <c r="E979" t="s">
        <v>566</v>
      </c>
      <c r="F979" t="s">
        <v>567</v>
      </c>
      <c r="G979" t="s">
        <v>179</v>
      </c>
      <c r="H979">
        <v>154</v>
      </c>
      <c r="I979">
        <v>64.447999999999993</v>
      </c>
      <c r="J979">
        <v>78.123000000000005</v>
      </c>
      <c r="K979">
        <v>13.675000000000001</v>
      </c>
      <c r="L979">
        <v>110</v>
      </c>
      <c r="M979">
        <v>13</v>
      </c>
      <c r="N979">
        <v>31</v>
      </c>
      <c r="O979">
        <v>77.924999999999997</v>
      </c>
      <c r="P979">
        <v>12.42029159</v>
      </c>
      <c r="Q979">
        <v>13.492000000000001</v>
      </c>
    </row>
    <row r="980" spans="1:17" s="30" customFormat="1" x14ac:dyDescent="0.2">
      <c r="A980" s="30" t="str">
        <f>IF(C980&amp;G980&amp;D980&lt;&gt;'Funnel setup'!$K$3&amp;'Funnel setup'!$K$4&amp;'Funnel setup'!$K$5,".",IF(A979=".",1,A979+1))</f>
        <v>.</v>
      </c>
      <c r="B980" s="431" t="str">
        <f t="shared" si="15"/>
        <v>Hip Replacement PrimaryCCG of GP PracticeNHS ASHFORD CCG (09C)EQ VAS</v>
      </c>
      <c r="C980" t="s">
        <v>248</v>
      </c>
      <c r="D980" t="s">
        <v>87</v>
      </c>
      <c r="E980" t="s">
        <v>569</v>
      </c>
      <c r="F980" t="s">
        <v>339</v>
      </c>
      <c r="G980" t="s">
        <v>179</v>
      </c>
      <c r="H980">
        <v>66</v>
      </c>
      <c r="I980">
        <v>66.105999999999995</v>
      </c>
      <c r="J980">
        <v>79.712000000000003</v>
      </c>
      <c r="K980">
        <v>13.606</v>
      </c>
      <c r="L980">
        <v>44</v>
      </c>
      <c r="M980">
        <v>8</v>
      </c>
      <c r="N980">
        <v>14</v>
      </c>
      <c r="O980">
        <v>79.352999999999994</v>
      </c>
      <c r="P980">
        <v>13.84851259</v>
      </c>
      <c r="Q980">
        <v>14.558999999999999</v>
      </c>
    </row>
    <row r="981" spans="1:17" s="30" customFormat="1" x14ac:dyDescent="0.2">
      <c r="A981" s="30" t="str">
        <f>IF(C981&amp;G981&amp;D981&lt;&gt;'Funnel setup'!$K$3&amp;'Funnel setup'!$K$4&amp;'Funnel setup'!$K$5,".",IF(A980=".",1,A980+1))</f>
        <v>.</v>
      </c>
      <c r="B981" s="431" t="str">
        <f t="shared" si="15"/>
        <v>Hip Replacement PrimaryCCG of GP PracticeNHS AYLESBURY VALE CCG (10Y)EQ VAS</v>
      </c>
      <c r="C981" t="s">
        <v>248</v>
      </c>
      <c r="D981" t="s">
        <v>87</v>
      </c>
      <c r="E981" t="s">
        <v>571</v>
      </c>
      <c r="F981" t="s">
        <v>572</v>
      </c>
      <c r="G981" t="s">
        <v>179</v>
      </c>
      <c r="H981">
        <v>135</v>
      </c>
      <c r="I981">
        <v>64.111000000000004</v>
      </c>
      <c r="J981">
        <v>75.206999999999994</v>
      </c>
      <c r="K981">
        <v>11.096</v>
      </c>
      <c r="L981">
        <v>92</v>
      </c>
      <c r="M981">
        <v>11</v>
      </c>
      <c r="N981">
        <v>32</v>
      </c>
      <c r="O981">
        <v>74.775000000000006</v>
      </c>
      <c r="P981">
        <v>9.2705165879999996</v>
      </c>
      <c r="Q981">
        <v>17.893000000000001</v>
      </c>
    </row>
    <row r="982" spans="1:17" s="30" customFormat="1" x14ac:dyDescent="0.2">
      <c r="A982" s="30" t="str">
        <f>IF(C982&amp;G982&amp;D982&lt;&gt;'Funnel setup'!$K$3&amp;'Funnel setup'!$K$4&amp;'Funnel setup'!$K$5,".",IF(A981=".",1,A981+1))</f>
        <v>.</v>
      </c>
      <c r="B982" s="431" t="str">
        <f t="shared" si="15"/>
        <v>Hip Replacement PrimaryCCG of GP PracticeNHS BARKING AND DAGENHAM CCG (07L)EQ VAS</v>
      </c>
      <c r="C982" t="s">
        <v>248</v>
      </c>
      <c r="D982" t="s">
        <v>87</v>
      </c>
      <c r="E982" t="s">
        <v>574</v>
      </c>
      <c r="F982" t="s">
        <v>575</v>
      </c>
      <c r="G982" t="s">
        <v>179</v>
      </c>
      <c r="H982">
        <v>33</v>
      </c>
      <c r="I982">
        <v>68.242000000000004</v>
      </c>
      <c r="J982">
        <v>72.484999999999999</v>
      </c>
      <c r="K982">
        <v>4.242</v>
      </c>
      <c r="L982">
        <v>18</v>
      </c>
      <c r="M982">
        <v>5</v>
      </c>
      <c r="N982">
        <v>10</v>
      </c>
      <c r="O982">
        <v>75.05</v>
      </c>
      <c r="P982">
        <v>9.5459947310000004</v>
      </c>
      <c r="Q982">
        <v>19.84</v>
      </c>
    </row>
    <row r="983" spans="1:17" s="30" customFormat="1" ht="20.25" customHeight="1" x14ac:dyDescent="0.2">
      <c r="A983" s="30" t="str">
        <f>IF(C983&amp;G983&amp;D983&lt;&gt;'Funnel setup'!$K$3&amp;'Funnel setup'!$K$4&amp;'Funnel setup'!$K$5,".",IF(A982=".",1,A982+1))</f>
        <v>.</v>
      </c>
      <c r="B983" s="431" t="str">
        <f t="shared" si="15"/>
        <v>Hip Replacement PrimaryCCG of GP PracticeNHS BARNET CCG (07M)EQ VAS</v>
      </c>
      <c r="C983" t="s">
        <v>248</v>
      </c>
      <c r="D983" t="s">
        <v>87</v>
      </c>
      <c r="E983" t="s">
        <v>577</v>
      </c>
      <c r="F983" t="s">
        <v>578</v>
      </c>
      <c r="G983" t="s">
        <v>179</v>
      </c>
      <c r="H983">
        <v>72</v>
      </c>
      <c r="I983">
        <v>60.722000000000001</v>
      </c>
      <c r="J983">
        <v>72.486000000000004</v>
      </c>
      <c r="K983">
        <v>11.763999999999999</v>
      </c>
      <c r="L983">
        <v>43</v>
      </c>
      <c r="M983">
        <v>8</v>
      </c>
      <c r="N983">
        <v>21</v>
      </c>
      <c r="O983">
        <v>73.725999999999999</v>
      </c>
      <c r="P983">
        <v>8.2219972349999999</v>
      </c>
      <c r="Q983">
        <v>19.544</v>
      </c>
    </row>
    <row r="984" spans="1:17" s="30" customFormat="1" ht="21" customHeight="1" x14ac:dyDescent="0.2">
      <c r="A984" s="30" t="str">
        <f>IF(C984&amp;G984&amp;D984&lt;&gt;'Funnel setup'!$K$3&amp;'Funnel setup'!$K$4&amp;'Funnel setup'!$K$5,".",IF(A983=".",1,A983+1))</f>
        <v>.</v>
      </c>
      <c r="B984" s="431" t="str">
        <f t="shared" si="15"/>
        <v>Hip Replacement PrimaryCCG of GP PracticeNHS BARNSLEY CCG (02P)EQ VAS</v>
      </c>
      <c r="C984" t="s">
        <v>248</v>
      </c>
      <c r="D984" t="s">
        <v>87</v>
      </c>
      <c r="E984" t="s">
        <v>580</v>
      </c>
      <c r="F984" t="s">
        <v>581</v>
      </c>
      <c r="G984" t="s">
        <v>179</v>
      </c>
      <c r="H984">
        <v>155</v>
      </c>
      <c r="I984">
        <v>59.302999999999997</v>
      </c>
      <c r="J984">
        <v>73.168000000000006</v>
      </c>
      <c r="K984">
        <v>13.865</v>
      </c>
      <c r="L984">
        <v>102</v>
      </c>
      <c r="M984">
        <v>15</v>
      </c>
      <c r="N984">
        <v>38</v>
      </c>
      <c r="O984">
        <v>75.319999999999993</v>
      </c>
      <c r="P984">
        <v>9.8159636999999993</v>
      </c>
      <c r="Q984">
        <v>16.719000000000001</v>
      </c>
    </row>
    <row r="985" spans="1:17" s="30" customFormat="1" ht="18.75" customHeight="1" x14ac:dyDescent="0.2">
      <c r="A985" s="30" t="str">
        <f>IF(C985&amp;G985&amp;D985&lt;&gt;'Funnel setup'!$K$3&amp;'Funnel setup'!$K$4&amp;'Funnel setup'!$K$5,".",IF(A984=".",1,A984+1))</f>
        <v>.</v>
      </c>
      <c r="B985" s="431" t="str">
        <f t="shared" si="15"/>
        <v>Hip Replacement PrimaryCCG of GP PracticeNHS BASILDON AND BRENTWOOD CCG (99E)EQ VAS</v>
      </c>
      <c r="C985" t="s">
        <v>248</v>
      </c>
      <c r="D985" t="s">
        <v>87</v>
      </c>
      <c r="E985" t="s">
        <v>583</v>
      </c>
      <c r="F985" t="s">
        <v>584</v>
      </c>
      <c r="G985" t="s">
        <v>179</v>
      </c>
      <c r="H985">
        <v>153</v>
      </c>
      <c r="I985">
        <v>63.758000000000003</v>
      </c>
      <c r="J985">
        <v>75.692999999999998</v>
      </c>
      <c r="K985">
        <v>11.935</v>
      </c>
      <c r="L985">
        <v>99</v>
      </c>
      <c r="M985">
        <v>17</v>
      </c>
      <c r="N985">
        <v>37</v>
      </c>
      <c r="O985">
        <v>76.316999999999993</v>
      </c>
      <c r="P985">
        <v>10.81298159</v>
      </c>
      <c r="Q985">
        <v>16.071000000000002</v>
      </c>
    </row>
    <row r="986" spans="1:17" s="30" customFormat="1" ht="16.5" customHeight="1" x14ac:dyDescent="0.2">
      <c r="A986" s="30" t="str">
        <f>IF(C986&amp;G986&amp;D986&lt;&gt;'Funnel setup'!$K$3&amp;'Funnel setup'!$K$4&amp;'Funnel setup'!$K$5,".",IF(A985=".",1,A985+1))</f>
        <v>.</v>
      </c>
      <c r="B986" s="431" t="str">
        <f t="shared" si="15"/>
        <v>Hip Replacement PrimaryCCG of GP PracticeNHS BASSETLAW CCG (02Q)EQ VAS</v>
      </c>
      <c r="C986" t="s">
        <v>248</v>
      </c>
      <c r="D986" t="s">
        <v>87</v>
      </c>
      <c r="E986" t="s">
        <v>586</v>
      </c>
      <c r="F986" t="s">
        <v>587</v>
      </c>
      <c r="G986" t="s">
        <v>179</v>
      </c>
      <c r="H986">
        <v>108</v>
      </c>
      <c r="I986">
        <v>65.906999999999996</v>
      </c>
      <c r="J986">
        <v>79.212999999999994</v>
      </c>
      <c r="K986">
        <v>13.305999999999999</v>
      </c>
      <c r="L986">
        <v>74</v>
      </c>
      <c r="M986">
        <v>13</v>
      </c>
      <c r="N986">
        <v>21</v>
      </c>
      <c r="O986">
        <v>79.548000000000002</v>
      </c>
      <c r="P986">
        <v>14.04338128</v>
      </c>
      <c r="Q986">
        <v>15.333</v>
      </c>
    </row>
    <row r="987" spans="1:17" s="30" customFormat="1" ht="19.5" customHeight="1" x14ac:dyDescent="0.2">
      <c r="A987" s="30" t="str">
        <f>IF(C987&amp;G987&amp;D987&lt;&gt;'Funnel setup'!$K$3&amp;'Funnel setup'!$K$4&amp;'Funnel setup'!$K$5,".",IF(A986=".",1,A986+1))</f>
        <v>.</v>
      </c>
      <c r="B987" s="431" t="str">
        <f t="shared" si="15"/>
        <v>Hip Replacement PrimaryCCG of GP PracticeNHS BATH AND NORTH EAST SOMERSET CCG (11E)EQ VAS</v>
      </c>
      <c r="C987" t="s">
        <v>248</v>
      </c>
      <c r="D987" t="s">
        <v>87</v>
      </c>
      <c r="E987" t="s">
        <v>589</v>
      </c>
      <c r="F987" t="s">
        <v>590</v>
      </c>
      <c r="G987" t="s">
        <v>179</v>
      </c>
      <c r="H987">
        <v>145</v>
      </c>
      <c r="I987">
        <v>63.462000000000003</v>
      </c>
      <c r="J987">
        <v>77.959000000000003</v>
      </c>
      <c r="K987">
        <v>14.497</v>
      </c>
      <c r="L987">
        <v>99</v>
      </c>
      <c r="M987">
        <v>22</v>
      </c>
      <c r="N987">
        <v>24</v>
      </c>
      <c r="O987">
        <v>78.373000000000005</v>
      </c>
      <c r="P987">
        <v>12.86900243</v>
      </c>
      <c r="Q987">
        <v>14.286</v>
      </c>
    </row>
    <row r="988" spans="1:17" s="30" customFormat="1" ht="18" customHeight="1" x14ac:dyDescent="0.2">
      <c r="A988" s="30" t="str">
        <f>IF(C988&amp;G988&amp;D988&lt;&gt;'Funnel setup'!$K$3&amp;'Funnel setup'!$K$4&amp;'Funnel setup'!$K$5,".",IF(A987=".",1,A987+1))</f>
        <v>.</v>
      </c>
      <c r="B988" s="431" t="str">
        <f t="shared" si="15"/>
        <v>Hip Replacement PrimaryCCG of GP PracticeNHS BEDFORDSHIRE CCG (06F)EQ VAS</v>
      </c>
      <c r="C988" t="s">
        <v>248</v>
      </c>
      <c r="D988" t="s">
        <v>87</v>
      </c>
      <c r="E988" t="s">
        <v>592</v>
      </c>
      <c r="F988" t="s">
        <v>593</v>
      </c>
      <c r="G988" t="s">
        <v>179</v>
      </c>
      <c r="H988">
        <v>310</v>
      </c>
      <c r="I988">
        <v>64.539000000000001</v>
      </c>
      <c r="J988">
        <v>77.635000000000005</v>
      </c>
      <c r="K988">
        <v>13.097</v>
      </c>
      <c r="L988">
        <v>216</v>
      </c>
      <c r="M988">
        <v>32</v>
      </c>
      <c r="N988">
        <v>62</v>
      </c>
      <c r="O988">
        <v>77.641000000000005</v>
      </c>
      <c r="P988">
        <v>12.136918959999999</v>
      </c>
      <c r="Q988">
        <v>15.058999999999999</v>
      </c>
    </row>
    <row r="989" spans="1:17" s="30" customFormat="1" ht="16.5" customHeight="1" x14ac:dyDescent="0.2">
      <c r="A989" s="30" t="str">
        <f>IF(C989&amp;G989&amp;D989&lt;&gt;'Funnel setup'!$K$3&amp;'Funnel setup'!$K$4&amp;'Funnel setup'!$K$5,".",IF(A988=".",1,A988+1))</f>
        <v>.</v>
      </c>
      <c r="B989" s="431" t="str">
        <f t="shared" si="15"/>
        <v>Hip Replacement PrimaryCCG of GP PracticeNHS BEXLEY CCG (07N)EQ VAS</v>
      </c>
      <c r="C989" t="s">
        <v>248</v>
      </c>
      <c r="D989" t="s">
        <v>87</v>
      </c>
      <c r="E989" t="s">
        <v>595</v>
      </c>
      <c r="F989" t="s">
        <v>596</v>
      </c>
      <c r="G989" t="s">
        <v>179</v>
      </c>
      <c r="H989">
        <v>72</v>
      </c>
      <c r="I989">
        <v>63.347000000000001</v>
      </c>
      <c r="J989">
        <v>75.832999999999998</v>
      </c>
      <c r="K989">
        <v>12.486000000000001</v>
      </c>
      <c r="L989">
        <v>45</v>
      </c>
      <c r="M989">
        <v>10</v>
      </c>
      <c r="N989">
        <v>17</v>
      </c>
      <c r="O989">
        <v>76.162999999999997</v>
      </c>
      <c r="P989">
        <v>10.659042810000001</v>
      </c>
      <c r="Q989">
        <v>17.254000000000001</v>
      </c>
    </row>
    <row r="990" spans="1:17" s="30" customFormat="1" ht="18.75" customHeight="1" x14ac:dyDescent="0.2">
      <c r="A990" s="30" t="str">
        <f>IF(C990&amp;G990&amp;D990&lt;&gt;'Funnel setup'!$K$3&amp;'Funnel setup'!$K$4&amp;'Funnel setup'!$K$5,".",IF(A989=".",1,A989+1))</f>
        <v>.</v>
      </c>
      <c r="B990" s="431" t="str">
        <f t="shared" si="15"/>
        <v>Hip Replacement PrimaryCCG of GP PracticeNHS BIRMINGHAM CROSSCITY CCG (13P)EQ VAS</v>
      </c>
      <c r="C990" t="s">
        <v>248</v>
      </c>
      <c r="D990" t="s">
        <v>87</v>
      </c>
      <c r="E990" t="s">
        <v>598</v>
      </c>
      <c r="F990" t="s">
        <v>599</v>
      </c>
      <c r="G990" t="s">
        <v>179</v>
      </c>
      <c r="H990">
        <v>329</v>
      </c>
      <c r="I990">
        <v>61.872</v>
      </c>
      <c r="J990">
        <v>74.869</v>
      </c>
      <c r="K990">
        <v>12.997</v>
      </c>
      <c r="L990">
        <v>216</v>
      </c>
      <c r="M990">
        <v>54</v>
      </c>
      <c r="N990">
        <v>59</v>
      </c>
      <c r="O990">
        <v>77.552000000000007</v>
      </c>
      <c r="P990">
        <v>12.047558990000001</v>
      </c>
      <c r="Q990">
        <v>15.622</v>
      </c>
    </row>
    <row r="991" spans="1:17" s="30" customFormat="1" ht="20.25" customHeight="1" x14ac:dyDescent="0.2">
      <c r="A991" s="30" t="str">
        <f>IF(C991&amp;G991&amp;D991&lt;&gt;'Funnel setup'!$K$3&amp;'Funnel setup'!$K$4&amp;'Funnel setup'!$K$5,".",IF(A990=".",1,A990+1))</f>
        <v>.</v>
      </c>
      <c r="B991" s="431" t="str">
        <f t="shared" si="15"/>
        <v>Hip Replacement PrimaryCCG of GP PracticeNHS BIRMINGHAM SOUTH AND CENTRAL CCG (04X)EQ VAS</v>
      </c>
      <c r="C991" t="s">
        <v>248</v>
      </c>
      <c r="D991" t="s">
        <v>87</v>
      </c>
      <c r="E991" t="s">
        <v>601</v>
      </c>
      <c r="F991" t="s">
        <v>602</v>
      </c>
      <c r="G991" t="s">
        <v>179</v>
      </c>
      <c r="H991">
        <v>61</v>
      </c>
      <c r="I991">
        <v>65.426000000000002</v>
      </c>
      <c r="J991">
        <v>74.41</v>
      </c>
      <c r="K991">
        <v>8.984</v>
      </c>
      <c r="L991">
        <v>33</v>
      </c>
      <c r="M991">
        <v>6</v>
      </c>
      <c r="N991">
        <v>22</v>
      </c>
      <c r="O991">
        <v>75.474999999999994</v>
      </c>
      <c r="P991">
        <v>9.9704053730000002</v>
      </c>
      <c r="Q991">
        <v>17.388000000000002</v>
      </c>
    </row>
    <row r="992" spans="1:17" s="30" customFormat="1" ht="15" customHeight="1" x14ac:dyDescent="0.2">
      <c r="A992" s="30" t="str">
        <f>IF(C992&amp;G992&amp;D992&lt;&gt;'Funnel setup'!$K$3&amp;'Funnel setup'!$K$4&amp;'Funnel setup'!$K$5,".",IF(A991=".",1,A991+1))</f>
        <v>.</v>
      </c>
      <c r="B992" s="431" t="str">
        <f t="shared" si="15"/>
        <v>Hip Replacement PrimaryCCG of GP PracticeNHS BLACKBURN WITH DARWEN CCG (00Q)EQ VAS</v>
      </c>
      <c r="C992" t="s">
        <v>248</v>
      </c>
      <c r="D992" t="s">
        <v>87</v>
      </c>
      <c r="E992" t="s">
        <v>604</v>
      </c>
      <c r="F992" t="s">
        <v>605</v>
      </c>
      <c r="G992" t="s">
        <v>179</v>
      </c>
      <c r="H992">
        <v>74</v>
      </c>
      <c r="I992">
        <v>61.405000000000001</v>
      </c>
      <c r="J992">
        <v>74</v>
      </c>
      <c r="K992">
        <v>12.595000000000001</v>
      </c>
      <c r="L992">
        <v>50</v>
      </c>
      <c r="M992">
        <v>5</v>
      </c>
      <c r="N992">
        <v>19</v>
      </c>
      <c r="O992">
        <v>76.292000000000002</v>
      </c>
      <c r="P992">
        <v>10.7872983</v>
      </c>
      <c r="Q992">
        <v>15.444000000000001</v>
      </c>
    </row>
    <row r="993" spans="1:17" s="30" customFormat="1" ht="21" customHeight="1" x14ac:dyDescent="0.2">
      <c r="A993" s="30" t="str">
        <f>IF(C993&amp;G993&amp;D993&lt;&gt;'Funnel setup'!$K$3&amp;'Funnel setup'!$K$4&amp;'Funnel setup'!$K$5,".",IF(A992=".",1,A992+1))</f>
        <v>.</v>
      </c>
      <c r="B993" s="431" t="str">
        <f t="shared" si="15"/>
        <v>Hip Replacement PrimaryCCG of GP PracticeNHS BLACKPOOL CCG (00R)EQ VAS</v>
      </c>
      <c r="C993" t="s">
        <v>248</v>
      </c>
      <c r="D993" t="s">
        <v>87</v>
      </c>
      <c r="E993" t="s">
        <v>607</v>
      </c>
      <c r="F993" t="s">
        <v>608</v>
      </c>
      <c r="G993" t="s">
        <v>179</v>
      </c>
      <c r="H993">
        <v>45</v>
      </c>
      <c r="I993">
        <v>64.132999999999996</v>
      </c>
      <c r="J993">
        <v>72</v>
      </c>
      <c r="K993">
        <v>7.867</v>
      </c>
      <c r="L993">
        <v>24</v>
      </c>
      <c r="M993">
        <v>2</v>
      </c>
      <c r="N993">
        <v>19</v>
      </c>
      <c r="O993">
        <v>74.06</v>
      </c>
      <c r="P993">
        <v>8.5559848850000009</v>
      </c>
      <c r="Q993">
        <v>19.239999999999998</v>
      </c>
    </row>
    <row r="994" spans="1:17" s="30" customFormat="1" ht="20.25" customHeight="1" x14ac:dyDescent="0.2">
      <c r="A994" s="30" t="str">
        <f>IF(C994&amp;G994&amp;D994&lt;&gt;'Funnel setup'!$K$3&amp;'Funnel setup'!$K$4&amp;'Funnel setup'!$K$5,".",IF(A993=".",1,A993+1))</f>
        <v>.</v>
      </c>
      <c r="B994" s="431" t="str">
        <f t="shared" si="15"/>
        <v>Hip Replacement PrimaryCCG of GP PracticeNHS BOLTON CCG (00T)EQ VAS</v>
      </c>
      <c r="C994" t="s">
        <v>248</v>
      </c>
      <c r="D994" t="s">
        <v>87</v>
      </c>
      <c r="E994" t="s">
        <v>683</v>
      </c>
      <c r="F994" t="s">
        <v>684</v>
      </c>
      <c r="G994" t="s">
        <v>179</v>
      </c>
      <c r="H994">
        <v>121</v>
      </c>
      <c r="I994">
        <v>63.719000000000001</v>
      </c>
      <c r="J994">
        <v>75.239999999999995</v>
      </c>
      <c r="K994">
        <v>11.521000000000001</v>
      </c>
      <c r="L994">
        <v>77</v>
      </c>
      <c r="M994">
        <v>17</v>
      </c>
      <c r="N994">
        <v>27</v>
      </c>
      <c r="O994">
        <v>77.632000000000005</v>
      </c>
      <c r="P994">
        <v>12.127633319999999</v>
      </c>
      <c r="Q994">
        <v>17.597999999999999</v>
      </c>
    </row>
    <row r="995" spans="1:17" s="30" customFormat="1" ht="24.75" customHeight="1" x14ac:dyDescent="0.2">
      <c r="A995" s="30" t="str">
        <f>IF(C995&amp;G995&amp;D995&lt;&gt;'Funnel setup'!$K$3&amp;'Funnel setup'!$K$4&amp;'Funnel setup'!$K$5,".",IF(A994=".",1,A994+1))</f>
        <v>.</v>
      </c>
      <c r="B995" s="431" t="str">
        <f t="shared" si="15"/>
        <v>Hip Replacement PrimaryCCG of GP PracticeNHS BRACKNELL AND ASCOT CCG (10G)EQ VAS</v>
      </c>
      <c r="C995" t="s">
        <v>248</v>
      </c>
      <c r="D995" t="s">
        <v>87</v>
      </c>
      <c r="E995" t="s">
        <v>686</v>
      </c>
      <c r="F995" t="s">
        <v>687</v>
      </c>
      <c r="G995" t="s">
        <v>179</v>
      </c>
      <c r="H995">
        <v>72</v>
      </c>
      <c r="I995">
        <v>65.417000000000002</v>
      </c>
      <c r="J995">
        <v>79.028000000000006</v>
      </c>
      <c r="K995">
        <v>13.611000000000001</v>
      </c>
      <c r="L995">
        <v>53</v>
      </c>
      <c r="M995">
        <v>9</v>
      </c>
      <c r="N995">
        <v>10</v>
      </c>
      <c r="O995">
        <v>77.260000000000005</v>
      </c>
      <c r="P995">
        <v>11.755613309999999</v>
      </c>
      <c r="Q995">
        <v>15.676</v>
      </c>
    </row>
    <row r="996" spans="1:17" s="30" customFormat="1" ht="21.75" customHeight="1" x14ac:dyDescent="0.2">
      <c r="A996" s="30" t="str">
        <f>IF(C996&amp;G996&amp;D996&lt;&gt;'Funnel setup'!$K$3&amp;'Funnel setup'!$K$4&amp;'Funnel setup'!$K$5,".",IF(A995=".",1,A995+1))</f>
        <v>.</v>
      </c>
      <c r="B996" s="431" t="str">
        <f t="shared" si="15"/>
        <v>Hip Replacement PrimaryCCG of GP PracticeNHS BRADFORD CITY CCG (02W)EQ VAS</v>
      </c>
      <c r="C996" t="s">
        <v>248</v>
      </c>
      <c r="D996" t="s">
        <v>87</v>
      </c>
      <c r="E996" t="s">
        <v>689</v>
      </c>
      <c r="F996" t="s">
        <v>690</v>
      </c>
      <c r="G996" t="s">
        <v>179</v>
      </c>
      <c r="H996">
        <v>7</v>
      </c>
      <c r="I996">
        <v>64.286000000000001</v>
      </c>
      <c r="J996">
        <v>59.286000000000001</v>
      </c>
      <c r="K996">
        <v>-5</v>
      </c>
      <c r="L996">
        <v>2</v>
      </c>
      <c r="M996">
        <v>0</v>
      </c>
      <c r="N996">
        <v>5</v>
      </c>
      <c r="O996" t="s">
        <v>53</v>
      </c>
      <c r="P996" t="s">
        <v>53</v>
      </c>
      <c r="Q996" t="s">
        <v>53</v>
      </c>
    </row>
    <row r="997" spans="1:17" s="30" customFormat="1" ht="18" customHeight="1" x14ac:dyDescent="0.2">
      <c r="A997" s="30" t="str">
        <f>IF(C997&amp;G997&amp;D997&lt;&gt;'Funnel setup'!$K$3&amp;'Funnel setup'!$K$4&amp;'Funnel setup'!$K$5,".",IF(A996=".",1,A996+1))</f>
        <v>.</v>
      </c>
      <c r="B997" s="431" t="str">
        <f t="shared" si="15"/>
        <v>Hip Replacement PrimaryCCG of GP PracticeNHS BRADFORD DISTRICTS CCG (02R)EQ VAS</v>
      </c>
      <c r="C997" t="s">
        <v>248</v>
      </c>
      <c r="D997" t="s">
        <v>87</v>
      </c>
      <c r="E997" t="s">
        <v>692</v>
      </c>
      <c r="F997" t="s">
        <v>693</v>
      </c>
      <c r="G997" t="s">
        <v>179</v>
      </c>
      <c r="H997">
        <v>131</v>
      </c>
      <c r="I997">
        <v>62.893000000000001</v>
      </c>
      <c r="J997">
        <v>76.816999999999993</v>
      </c>
      <c r="K997">
        <v>13.923999999999999</v>
      </c>
      <c r="L997">
        <v>93</v>
      </c>
      <c r="M997">
        <v>14</v>
      </c>
      <c r="N997">
        <v>24</v>
      </c>
      <c r="O997">
        <v>79.257000000000005</v>
      </c>
      <c r="P997">
        <v>13.75294869</v>
      </c>
      <c r="Q997">
        <v>16.789000000000001</v>
      </c>
    </row>
    <row r="998" spans="1:17" s="30" customFormat="1" ht="24" customHeight="1" x14ac:dyDescent="0.2">
      <c r="A998" s="30" t="str">
        <f>IF(C998&amp;G998&amp;D998&lt;&gt;'Funnel setup'!$K$3&amp;'Funnel setup'!$K$4&amp;'Funnel setup'!$K$5,".",IF(A997=".",1,A997+1))</f>
        <v>.</v>
      </c>
      <c r="B998" s="431" t="str">
        <f t="shared" si="15"/>
        <v>Hip Replacement PrimaryCCG of GP PracticeNHS BRENT CCG (07P)EQ VAS</v>
      </c>
      <c r="C998" t="s">
        <v>248</v>
      </c>
      <c r="D998" t="s">
        <v>87</v>
      </c>
      <c r="E998" t="s">
        <v>695</v>
      </c>
      <c r="F998" t="s">
        <v>696</v>
      </c>
      <c r="G998" t="s">
        <v>179</v>
      </c>
      <c r="H998">
        <v>42</v>
      </c>
      <c r="I998">
        <v>63.594999999999999</v>
      </c>
      <c r="J998">
        <v>74.167000000000002</v>
      </c>
      <c r="K998">
        <v>10.571</v>
      </c>
      <c r="L998">
        <v>28</v>
      </c>
      <c r="M998">
        <v>8</v>
      </c>
      <c r="N998">
        <v>6</v>
      </c>
      <c r="O998">
        <v>76.861000000000004</v>
      </c>
      <c r="P998">
        <v>11.356670599999999</v>
      </c>
      <c r="Q998">
        <v>16.602</v>
      </c>
    </row>
    <row r="999" spans="1:17" s="30" customFormat="1" ht="19.5" customHeight="1" x14ac:dyDescent="0.2">
      <c r="A999" s="30" t="str">
        <f>IF(C999&amp;G999&amp;D999&lt;&gt;'Funnel setup'!$K$3&amp;'Funnel setup'!$K$4&amp;'Funnel setup'!$K$5,".",IF(A998=".",1,A998+1))</f>
        <v>.</v>
      </c>
      <c r="B999" s="431" t="str">
        <f t="shared" si="15"/>
        <v>Hip Replacement PrimaryCCG of GP PracticeNHS BRIGHTON AND HOVE CCG (09D)EQ VAS</v>
      </c>
      <c r="C999" t="s">
        <v>248</v>
      </c>
      <c r="D999" t="s">
        <v>87</v>
      </c>
      <c r="E999" t="s">
        <v>698</v>
      </c>
      <c r="F999" t="s">
        <v>699</v>
      </c>
      <c r="G999" t="s">
        <v>179</v>
      </c>
      <c r="H999">
        <v>133</v>
      </c>
      <c r="I999">
        <v>69.962000000000003</v>
      </c>
      <c r="J999">
        <v>78.662000000000006</v>
      </c>
      <c r="K999">
        <v>8.6989999999999998</v>
      </c>
      <c r="L999">
        <v>87</v>
      </c>
      <c r="M999">
        <v>15</v>
      </c>
      <c r="N999">
        <v>31</v>
      </c>
      <c r="O999">
        <v>77.477000000000004</v>
      </c>
      <c r="P999">
        <v>11.97283601</v>
      </c>
      <c r="Q999">
        <v>12.744</v>
      </c>
    </row>
    <row r="1000" spans="1:17" s="30" customFormat="1" ht="19.5" customHeight="1" x14ac:dyDescent="0.2">
      <c r="A1000" s="30" t="str">
        <f>IF(C1000&amp;G1000&amp;D1000&lt;&gt;'Funnel setup'!$K$3&amp;'Funnel setup'!$K$4&amp;'Funnel setup'!$K$5,".",IF(A999=".",1,A999+1))</f>
        <v>.</v>
      </c>
      <c r="B1000" s="431" t="str">
        <f t="shared" si="15"/>
        <v>Hip Replacement PrimaryCCG of GP PracticeNHS BRISTOL CCG (11H)EQ VAS</v>
      </c>
      <c r="C1000" t="s">
        <v>248</v>
      </c>
      <c r="D1000" t="s">
        <v>87</v>
      </c>
      <c r="E1000" t="s">
        <v>701</v>
      </c>
      <c r="F1000" t="s">
        <v>702</v>
      </c>
      <c r="G1000" t="s">
        <v>179</v>
      </c>
      <c r="H1000">
        <v>203</v>
      </c>
      <c r="I1000">
        <v>65.433000000000007</v>
      </c>
      <c r="J1000">
        <v>78.171999999999997</v>
      </c>
      <c r="K1000">
        <v>12.739000000000001</v>
      </c>
      <c r="L1000">
        <v>133</v>
      </c>
      <c r="M1000">
        <v>25</v>
      </c>
      <c r="N1000">
        <v>45</v>
      </c>
      <c r="O1000">
        <v>77.775000000000006</v>
      </c>
      <c r="P1000">
        <v>12.270800039999999</v>
      </c>
      <c r="Q1000">
        <v>15.784000000000001</v>
      </c>
    </row>
    <row r="1001" spans="1:17" s="30" customFormat="1" ht="21.75" customHeight="1" x14ac:dyDescent="0.2">
      <c r="A1001" s="30" t="str">
        <f>IF(C1001&amp;G1001&amp;D1001&lt;&gt;'Funnel setup'!$K$3&amp;'Funnel setup'!$K$4&amp;'Funnel setup'!$K$5,".",IF(A1000=".",1,A1000+1))</f>
        <v>.</v>
      </c>
      <c r="B1001" s="431" t="str">
        <f t="shared" si="15"/>
        <v>Hip Replacement PrimaryCCG of GP PracticeNHS BROMLEY CCG (07Q)EQ VAS</v>
      </c>
      <c r="C1001" t="s">
        <v>248</v>
      </c>
      <c r="D1001" t="s">
        <v>87</v>
      </c>
      <c r="E1001" t="s">
        <v>704</v>
      </c>
      <c r="F1001" t="s">
        <v>705</v>
      </c>
      <c r="G1001" t="s">
        <v>179</v>
      </c>
      <c r="H1001">
        <v>141</v>
      </c>
      <c r="I1001">
        <v>68.751999999999995</v>
      </c>
      <c r="J1001">
        <v>80.850999999999999</v>
      </c>
      <c r="K1001">
        <v>12.099</v>
      </c>
      <c r="L1001">
        <v>94</v>
      </c>
      <c r="M1001">
        <v>22</v>
      </c>
      <c r="N1001">
        <v>25</v>
      </c>
      <c r="O1001">
        <v>78.962000000000003</v>
      </c>
      <c r="P1001">
        <v>13.45755364</v>
      </c>
      <c r="Q1001">
        <v>14.045999999999999</v>
      </c>
    </row>
    <row r="1002" spans="1:17" s="30" customFormat="1" ht="16.5" customHeight="1" x14ac:dyDescent="0.2">
      <c r="A1002" s="30" t="str">
        <f>IF(C1002&amp;G1002&amp;D1002&lt;&gt;'Funnel setup'!$K$3&amp;'Funnel setup'!$K$4&amp;'Funnel setup'!$K$5,".",IF(A1001=".",1,A1001+1))</f>
        <v>.</v>
      </c>
      <c r="B1002" s="431" t="str">
        <f t="shared" si="15"/>
        <v>Hip Replacement PrimaryCCG of GP PracticeNHS BURY CCG (00V)EQ VAS</v>
      </c>
      <c r="C1002" t="s">
        <v>248</v>
      </c>
      <c r="D1002" t="s">
        <v>87</v>
      </c>
      <c r="E1002" t="s">
        <v>707</v>
      </c>
      <c r="F1002" t="s">
        <v>708</v>
      </c>
      <c r="G1002" t="s">
        <v>179</v>
      </c>
      <c r="H1002">
        <v>51</v>
      </c>
      <c r="I1002">
        <v>58.430999999999997</v>
      </c>
      <c r="J1002">
        <v>79.450999999999993</v>
      </c>
      <c r="K1002">
        <v>21.02</v>
      </c>
      <c r="L1002">
        <v>39</v>
      </c>
      <c r="M1002">
        <v>1</v>
      </c>
      <c r="N1002">
        <v>11</v>
      </c>
      <c r="O1002">
        <v>80.878</v>
      </c>
      <c r="P1002">
        <v>15.37406468</v>
      </c>
      <c r="Q1002">
        <v>15.351000000000001</v>
      </c>
    </row>
    <row r="1003" spans="1:17" s="30" customFormat="1" ht="15.75" customHeight="1" x14ac:dyDescent="0.2">
      <c r="A1003" s="30" t="str">
        <f>IF(C1003&amp;G1003&amp;D1003&lt;&gt;'Funnel setup'!$K$3&amp;'Funnel setup'!$K$4&amp;'Funnel setup'!$K$5,".",IF(A1002=".",1,A1002+1))</f>
        <v>.</v>
      </c>
      <c r="B1003" s="431" t="str">
        <f t="shared" si="15"/>
        <v>Hip Replacement PrimaryCCG of GP PracticeNHS CALDERDALE CCG (02T)EQ VAS</v>
      </c>
      <c r="C1003" t="s">
        <v>248</v>
      </c>
      <c r="D1003" t="s">
        <v>87</v>
      </c>
      <c r="E1003" t="s">
        <v>710</v>
      </c>
      <c r="F1003" t="s">
        <v>711</v>
      </c>
      <c r="G1003" t="s">
        <v>179</v>
      </c>
      <c r="H1003">
        <v>134</v>
      </c>
      <c r="I1003">
        <v>63.597000000000001</v>
      </c>
      <c r="J1003">
        <v>79.462999999999994</v>
      </c>
      <c r="K1003">
        <v>15.866</v>
      </c>
      <c r="L1003">
        <v>96</v>
      </c>
      <c r="M1003">
        <v>8</v>
      </c>
      <c r="N1003">
        <v>30</v>
      </c>
      <c r="O1003">
        <v>79.826999999999998</v>
      </c>
      <c r="P1003">
        <v>14.32272088</v>
      </c>
      <c r="Q1003">
        <v>14.525</v>
      </c>
    </row>
    <row r="1004" spans="1:17" s="30" customFormat="1" ht="20.25" customHeight="1" x14ac:dyDescent="0.2">
      <c r="A1004" s="30" t="str">
        <f>IF(C1004&amp;G1004&amp;D1004&lt;&gt;'Funnel setup'!$K$3&amp;'Funnel setup'!$K$4&amp;'Funnel setup'!$K$5,".",IF(A1003=".",1,A1003+1))</f>
        <v>.</v>
      </c>
      <c r="B1004" s="431" t="str">
        <f t="shared" si="15"/>
        <v>Hip Replacement PrimaryCCG of GP PracticeNHS CAMBRIDGESHIRE AND PETERBOROUGH CCG (06H)EQ VAS</v>
      </c>
      <c r="C1004" t="s">
        <v>248</v>
      </c>
      <c r="D1004" t="s">
        <v>87</v>
      </c>
      <c r="E1004" t="s">
        <v>713</v>
      </c>
      <c r="F1004" t="s">
        <v>714</v>
      </c>
      <c r="G1004" t="s">
        <v>179</v>
      </c>
      <c r="H1004">
        <v>549</v>
      </c>
      <c r="I1004">
        <v>63.539000000000001</v>
      </c>
      <c r="J1004">
        <v>78.573999999999998</v>
      </c>
      <c r="K1004">
        <v>15.035</v>
      </c>
      <c r="L1004">
        <v>383</v>
      </c>
      <c r="M1004">
        <v>62</v>
      </c>
      <c r="N1004">
        <v>104</v>
      </c>
      <c r="O1004">
        <v>78.861999999999995</v>
      </c>
      <c r="P1004">
        <v>13.357468580000001</v>
      </c>
      <c r="Q1004">
        <v>15.538</v>
      </c>
    </row>
    <row r="1005" spans="1:17" s="30" customFormat="1" ht="18" customHeight="1" x14ac:dyDescent="0.2">
      <c r="A1005" s="30" t="str">
        <f>IF(C1005&amp;G1005&amp;D1005&lt;&gt;'Funnel setup'!$K$3&amp;'Funnel setup'!$K$4&amp;'Funnel setup'!$K$5,".",IF(A1004=".",1,A1004+1))</f>
        <v>.</v>
      </c>
      <c r="B1005" s="431" t="str">
        <f t="shared" si="15"/>
        <v>Hip Replacement PrimaryCCG of GP PracticeNHS CAMDEN CCG (07R)EQ VAS</v>
      </c>
      <c r="C1005" t="s">
        <v>248</v>
      </c>
      <c r="D1005" t="s">
        <v>87</v>
      </c>
      <c r="E1005" t="s">
        <v>716</v>
      </c>
      <c r="F1005" t="s">
        <v>717</v>
      </c>
      <c r="G1005" t="s">
        <v>179</v>
      </c>
      <c r="H1005">
        <v>46</v>
      </c>
      <c r="I1005">
        <v>59.37</v>
      </c>
      <c r="J1005">
        <v>74.760999999999996</v>
      </c>
      <c r="K1005">
        <v>15.391</v>
      </c>
      <c r="L1005">
        <v>36</v>
      </c>
      <c r="M1005">
        <v>4</v>
      </c>
      <c r="N1005">
        <v>6</v>
      </c>
      <c r="O1005">
        <v>78.210999999999999</v>
      </c>
      <c r="P1005">
        <v>12.706748640000001</v>
      </c>
      <c r="Q1005">
        <v>15.715</v>
      </c>
    </row>
    <row r="1006" spans="1:17" s="30" customFormat="1" ht="16.5" customHeight="1" x14ac:dyDescent="0.2">
      <c r="A1006" s="30" t="str">
        <f>IF(C1006&amp;G1006&amp;D1006&lt;&gt;'Funnel setup'!$K$3&amp;'Funnel setup'!$K$4&amp;'Funnel setup'!$K$5,".",IF(A1005=".",1,A1005+1))</f>
        <v>.</v>
      </c>
      <c r="B1006" s="431" t="str">
        <f t="shared" si="15"/>
        <v>Hip Replacement PrimaryCCG of GP PracticeNHS CANNOCK CHASE CCG (04Y)EQ VAS</v>
      </c>
      <c r="C1006" t="s">
        <v>248</v>
      </c>
      <c r="D1006" t="s">
        <v>87</v>
      </c>
      <c r="E1006" t="s">
        <v>719</v>
      </c>
      <c r="F1006" t="s">
        <v>720</v>
      </c>
      <c r="G1006" t="s">
        <v>179</v>
      </c>
      <c r="H1006">
        <v>136</v>
      </c>
      <c r="I1006">
        <v>62.029000000000003</v>
      </c>
      <c r="J1006">
        <v>75.337999999999994</v>
      </c>
      <c r="K1006">
        <v>13.308999999999999</v>
      </c>
      <c r="L1006">
        <v>87</v>
      </c>
      <c r="M1006">
        <v>22</v>
      </c>
      <c r="N1006">
        <v>27</v>
      </c>
      <c r="O1006">
        <v>76.474000000000004</v>
      </c>
      <c r="P1006">
        <v>10.96984005</v>
      </c>
      <c r="Q1006">
        <v>16.568000000000001</v>
      </c>
    </row>
    <row r="1007" spans="1:17" s="30" customFormat="1" ht="15" customHeight="1" x14ac:dyDescent="0.2">
      <c r="A1007" s="30" t="str">
        <f>IF(C1007&amp;G1007&amp;D1007&lt;&gt;'Funnel setup'!$K$3&amp;'Funnel setup'!$K$4&amp;'Funnel setup'!$K$5,".",IF(A1006=".",1,A1006+1))</f>
        <v>.</v>
      </c>
      <c r="B1007" s="431" t="str">
        <f t="shared" si="15"/>
        <v>Hip Replacement PrimaryCCG of GP PracticeNHS CANTERBURY AND COASTAL CCG (09E)EQ VAS</v>
      </c>
      <c r="C1007" t="s">
        <v>248</v>
      </c>
      <c r="D1007" t="s">
        <v>87</v>
      </c>
      <c r="E1007" t="s">
        <v>722</v>
      </c>
      <c r="F1007" t="s">
        <v>723</v>
      </c>
      <c r="G1007" t="s">
        <v>179</v>
      </c>
      <c r="H1007">
        <v>122</v>
      </c>
      <c r="I1007">
        <v>64.040999999999997</v>
      </c>
      <c r="J1007">
        <v>80.106999999999999</v>
      </c>
      <c r="K1007">
        <v>16.065999999999999</v>
      </c>
      <c r="L1007">
        <v>85</v>
      </c>
      <c r="M1007">
        <v>13</v>
      </c>
      <c r="N1007">
        <v>24</v>
      </c>
      <c r="O1007">
        <v>79.629000000000005</v>
      </c>
      <c r="P1007">
        <v>14.124358920000001</v>
      </c>
      <c r="Q1007">
        <v>12.397</v>
      </c>
    </row>
    <row r="1008" spans="1:17" s="30" customFormat="1" ht="15" customHeight="1" x14ac:dyDescent="0.2">
      <c r="A1008" s="30" t="str">
        <f>IF(C1008&amp;G1008&amp;D1008&lt;&gt;'Funnel setup'!$K$3&amp;'Funnel setup'!$K$4&amp;'Funnel setup'!$K$5,".",IF(A1007=".",1,A1007+1))</f>
        <v>.</v>
      </c>
      <c r="B1008" s="431" t="str">
        <f t="shared" si="15"/>
        <v>Hip Replacement PrimaryCCG of GP PracticeNHS CASTLE POINT AND ROCHFORD CCG (99F)EQ VAS</v>
      </c>
      <c r="C1008" t="s">
        <v>248</v>
      </c>
      <c r="D1008" t="s">
        <v>87</v>
      </c>
      <c r="E1008" t="s">
        <v>725</v>
      </c>
      <c r="F1008" t="s">
        <v>726</v>
      </c>
      <c r="G1008" t="s">
        <v>179</v>
      </c>
      <c r="H1008">
        <v>136</v>
      </c>
      <c r="I1008">
        <v>64.287000000000006</v>
      </c>
      <c r="J1008">
        <v>76.037000000000006</v>
      </c>
      <c r="K1008">
        <v>11.75</v>
      </c>
      <c r="L1008">
        <v>94</v>
      </c>
      <c r="M1008">
        <v>12</v>
      </c>
      <c r="N1008">
        <v>30</v>
      </c>
      <c r="O1008">
        <v>76.522999999999996</v>
      </c>
      <c r="P1008">
        <v>11.01820771</v>
      </c>
      <c r="Q1008">
        <v>15.02</v>
      </c>
    </row>
    <row r="1009" spans="1:17" s="30" customFormat="1" ht="15" customHeight="1" x14ac:dyDescent="0.2">
      <c r="A1009" s="30" t="str">
        <f>IF(C1009&amp;G1009&amp;D1009&lt;&gt;'Funnel setup'!$K$3&amp;'Funnel setup'!$K$4&amp;'Funnel setup'!$K$5,".",IF(A1008=".",1,A1008+1))</f>
        <v>.</v>
      </c>
      <c r="B1009" s="431" t="str">
        <f t="shared" si="15"/>
        <v>Hip Replacement PrimaryCCG of GP PracticeNHS CENTRAL LONDON (WESTMINSTER) CCG (09A)EQ VAS</v>
      </c>
      <c r="C1009" t="s">
        <v>248</v>
      </c>
      <c r="D1009" t="s">
        <v>87</v>
      </c>
      <c r="E1009" t="s">
        <v>728</v>
      </c>
      <c r="F1009" t="s">
        <v>729</v>
      </c>
      <c r="G1009" t="s">
        <v>179</v>
      </c>
      <c r="H1009">
        <v>17</v>
      </c>
      <c r="I1009">
        <v>68.117999999999995</v>
      </c>
      <c r="J1009">
        <v>79.882000000000005</v>
      </c>
      <c r="K1009">
        <v>11.765000000000001</v>
      </c>
      <c r="L1009">
        <v>11</v>
      </c>
      <c r="M1009">
        <v>2</v>
      </c>
      <c r="N1009">
        <v>4</v>
      </c>
      <c r="O1009" t="s">
        <v>53</v>
      </c>
      <c r="P1009" t="s">
        <v>53</v>
      </c>
      <c r="Q1009" t="s">
        <v>53</v>
      </c>
    </row>
    <row r="1010" spans="1:17" s="30" customFormat="1" ht="15" customHeight="1" x14ac:dyDescent="0.2">
      <c r="A1010" s="30" t="str">
        <f>IF(C1010&amp;G1010&amp;D1010&lt;&gt;'Funnel setup'!$K$3&amp;'Funnel setup'!$K$4&amp;'Funnel setup'!$K$5,".",IF(A1009=".",1,A1009+1))</f>
        <v>.</v>
      </c>
      <c r="B1010" s="431" t="str">
        <f t="shared" si="15"/>
        <v>Hip Replacement PrimaryCCG of GP PracticeNHS CENTRAL MANCHESTER CCG (00W)EQ VAS</v>
      </c>
      <c r="C1010" t="s">
        <v>248</v>
      </c>
      <c r="D1010" t="s">
        <v>87</v>
      </c>
      <c r="E1010" t="s">
        <v>731</v>
      </c>
      <c r="F1010" t="s">
        <v>732</v>
      </c>
      <c r="G1010" t="s">
        <v>179</v>
      </c>
      <c r="H1010">
        <v>13</v>
      </c>
      <c r="I1010">
        <v>65.230999999999995</v>
      </c>
      <c r="J1010">
        <v>71.076999999999998</v>
      </c>
      <c r="K1010">
        <v>5.8460000000000001</v>
      </c>
      <c r="L1010">
        <v>7</v>
      </c>
      <c r="M1010">
        <v>1</v>
      </c>
      <c r="N1010">
        <v>5</v>
      </c>
      <c r="O1010" t="s">
        <v>53</v>
      </c>
      <c r="P1010" t="s">
        <v>53</v>
      </c>
      <c r="Q1010" t="s">
        <v>53</v>
      </c>
    </row>
    <row r="1011" spans="1:17" s="30" customFormat="1" ht="15" customHeight="1" x14ac:dyDescent="0.2">
      <c r="A1011" s="30" t="str">
        <f>IF(C1011&amp;G1011&amp;D1011&lt;&gt;'Funnel setup'!$K$3&amp;'Funnel setup'!$K$4&amp;'Funnel setup'!$K$5,".",IF(A1010=".",1,A1010+1))</f>
        <v>.</v>
      </c>
      <c r="B1011" s="431" t="str">
        <f t="shared" si="15"/>
        <v>Hip Replacement PrimaryCCG of GP PracticeNHS CHILTERN CCG (10H)EQ VAS</v>
      </c>
      <c r="C1011" t="s">
        <v>248</v>
      </c>
      <c r="D1011" t="s">
        <v>87</v>
      </c>
      <c r="E1011" t="s">
        <v>734</v>
      </c>
      <c r="F1011" t="s">
        <v>735</v>
      </c>
      <c r="G1011" t="s">
        <v>179</v>
      </c>
      <c r="H1011">
        <v>199</v>
      </c>
      <c r="I1011">
        <v>65.92</v>
      </c>
      <c r="J1011">
        <v>76.352000000000004</v>
      </c>
      <c r="K1011">
        <v>10.432</v>
      </c>
      <c r="L1011">
        <v>130</v>
      </c>
      <c r="M1011">
        <v>22</v>
      </c>
      <c r="N1011">
        <v>47</v>
      </c>
      <c r="O1011">
        <v>75.379000000000005</v>
      </c>
      <c r="P1011">
        <v>9.8744667439999994</v>
      </c>
      <c r="Q1011">
        <v>15.863</v>
      </c>
    </row>
    <row r="1012" spans="1:17" s="30" customFormat="1" ht="15" customHeight="1" x14ac:dyDescent="0.2">
      <c r="A1012" s="30" t="str">
        <f>IF(C1012&amp;G1012&amp;D1012&lt;&gt;'Funnel setup'!$K$3&amp;'Funnel setup'!$K$4&amp;'Funnel setup'!$K$5,".",IF(A1011=".",1,A1011+1))</f>
        <v>.</v>
      </c>
      <c r="B1012" s="431" t="str">
        <f t="shared" si="15"/>
        <v>Hip Replacement PrimaryCCG of GP PracticeNHS CHORLEY AND SOUTH RIBBLE CCG (00X)EQ VAS</v>
      </c>
      <c r="C1012" t="s">
        <v>248</v>
      </c>
      <c r="D1012" t="s">
        <v>87</v>
      </c>
      <c r="E1012" t="s">
        <v>737</v>
      </c>
      <c r="F1012" t="s">
        <v>738</v>
      </c>
      <c r="G1012" t="s">
        <v>179</v>
      </c>
      <c r="H1012">
        <v>166</v>
      </c>
      <c r="I1012">
        <v>64.927999999999997</v>
      </c>
      <c r="J1012">
        <v>76.524000000000001</v>
      </c>
      <c r="K1012">
        <v>11.596</v>
      </c>
      <c r="L1012">
        <v>105</v>
      </c>
      <c r="M1012">
        <v>19</v>
      </c>
      <c r="N1012">
        <v>42</v>
      </c>
      <c r="O1012">
        <v>76.938999999999993</v>
      </c>
      <c r="P1012">
        <v>11.434825249999999</v>
      </c>
      <c r="Q1012">
        <v>16.878</v>
      </c>
    </row>
    <row r="1013" spans="1:17" s="30" customFormat="1" ht="15" customHeight="1" x14ac:dyDescent="0.2">
      <c r="A1013" s="30" t="str">
        <f>IF(C1013&amp;G1013&amp;D1013&lt;&gt;'Funnel setup'!$K$3&amp;'Funnel setup'!$K$4&amp;'Funnel setup'!$K$5,".",IF(A1012=".",1,A1012+1))</f>
        <v>.</v>
      </c>
      <c r="B1013" s="431" t="str">
        <f t="shared" si="15"/>
        <v>Hip Replacement PrimaryCCG of GP PracticeNHS CITY AND HACKNEY CCG (07T)EQ VAS</v>
      </c>
      <c r="C1013" t="s">
        <v>248</v>
      </c>
      <c r="D1013" t="s">
        <v>87</v>
      </c>
      <c r="E1013" t="s">
        <v>740</v>
      </c>
      <c r="F1013" t="s">
        <v>741</v>
      </c>
      <c r="G1013" t="s">
        <v>179</v>
      </c>
      <c r="H1013">
        <v>37</v>
      </c>
      <c r="I1013">
        <v>58.567999999999998</v>
      </c>
      <c r="J1013">
        <v>71.350999999999999</v>
      </c>
      <c r="K1013">
        <v>12.784000000000001</v>
      </c>
      <c r="L1013">
        <v>27</v>
      </c>
      <c r="M1013">
        <v>3</v>
      </c>
      <c r="N1013">
        <v>7</v>
      </c>
      <c r="O1013">
        <v>78.638999999999996</v>
      </c>
      <c r="P1013">
        <v>13.135162920000001</v>
      </c>
      <c r="Q1013">
        <v>17.233000000000001</v>
      </c>
    </row>
    <row r="1014" spans="1:17" s="30" customFormat="1" ht="15" customHeight="1" x14ac:dyDescent="0.2">
      <c r="A1014" s="30" t="str">
        <f>IF(C1014&amp;G1014&amp;D1014&lt;&gt;'Funnel setup'!$K$3&amp;'Funnel setup'!$K$4&amp;'Funnel setup'!$K$5,".",IF(A1013=".",1,A1013+1))</f>
        <v>.</v>
      </c>
      <c r="B1014" s="431" t="str">
        <f t="shared" si="15"/>
        <v>Hip Replacement PrimaryCCG of GP PracticeNHS COASTAL WEST SUSSEX CCG (09G)EQ VAS</v>
      </c>
      <c r="C1014" t="s">
        <v>248</v>
      </c>
      <c r="D1014" t="s">
        <v>87</v>
      </c>
      <c r="E1014" t="s">
        <v>743</v>
      </c>
      <c r="F1014" t="s">
        <v>744</v>
      </c>
      <c r="G1014" t="s">
        <v>179</v>
      </c>
      <c r="H1014">
        <v>512</v>
      </c>
      <c r="I1014">
        <v>63.898000000000003</v>
      </c>
      <c r="J1014">
        <v>77.296999999999997</v>
      </c>
      <c r="K1014">
        <v>13.398</v>
      </c>
      <c r="L1014">
        <v>341</v>
      </c>
      <c r="M1014">
        <v>49</v>
      </c>
      <c r="N1014">
        <v>122</v>
      </c>
      <c r="O1014">
        <v>77.445999999999998</v>
      </c>
      <c r="P1014">
        <v>11.941445379999999</v>
      </c>
      <c r="Q1014">
        <v>16.382999999999999</v>
      </c>
    </row>
    <row r="1015" spans="1:17" s="30" customFormat="1" ht="15" customHeight="1" x14ac:dyDescent="0.2">
      <c r="A1015" s="30" t="str">
        <f>IF(C1015&amp;G1015&amp;D1015&lt;&gt;'Funnel setup'!$K$3&amp;'Funnel setup'!$K$4&amp;'Funnel setup'!$K$5,".",IF(A1014=".",1,A1014+1))</f>
        <v>.</v>
      </c>
      <c r="B1015" s="431" t="str">
        <f t="shared" si="15"/>
        <v>Hip Replacement PrimaryCCG of GP PracticeNHS CORBY CCG (03V)EQ VAS</v>
      </c>
      <c r="C1015" t="s">
        <v>248</v>
      </c>
      <c r="D1015" t="s">
        <v>87</v>
      </c>
      <c r="E1015" t="s">
        <v>746</v>
      </c>
      <c r="F1015" t="s">
        <v>747</v>
      </c>
      <c r="G1015" t="s">
        <v>179</v>
      </c>
      <c r="H1015">
        <v>27</v>
      </c>
      <c r="I1015">
        <v>52.295999999999999</v>
      </c>
      <c r="J1015">
        <v>67.111000000000004</v>
      </c>
      <c r="K1015">
        <v>14.815</v>
      </c>
      <c r="L1015">
        <v>18</v>
      </c>
      <c r="M1015">
        <v>2</v>
      </c>
      <c r="N1015">
        <v>7</v>
      </c>
      <c r="O1015" t="s">
        <v>53</v>
      </c>
      <c r="P1015" t="s">
        <v>53</v>
      </c>
      <c r="Q1015" t="s">
        <v>53</v>
      </c>
    </row>
    <row r="1016" spans="1:17" s="30" customFormat="1" ht="15" customHeight="1" x14ac:dyDescent="0.2">
      <c r="A1016" s="30" t="str">
        <f>IF(C1016&amp;G1016&amp;D1016&lt;&gt;'Funnel setup'!$K$3&amp;'Funnel setup'!$K$4&amp;'Funnel setup'!$K$5,".",IF(A1015=".",1,A1015+1))</f>
        <v>.</v>
      </c>
      <c r="B1016" s="431" t="str">
        <f t="shared" si="15"/>
        <v>Hip Replacement PrimaryCCG of GP PracticeNHS COVENTRY AND RUGBY CCG (05A)EQ VAS</v>
      </c>
      <c r="C1016" t="s">
        <v>248</v>
      </c>
      <c r="D1016" t="s">
        <v>87</v>
      </c>
      <c r="E1016" t="s">
        <v>749</v>
      </c>
      <c r="F1016" t="s">
        <v>750</v>
      </c>
      <c r="G1016" t="s">
        <v>179</v>
      </c>
      <c r="H1016">
        <v>226</v>
      </c>
      <c r="I1016">
        <v>64.257000000000005</v>
      </c>
      <c r="J1016">
        <v>77.801000000000002</v>
      </c>
      <c r="K1016">
        <v>13.544</v>
      </c>
      <c r="L1016">
        <v>155</v>
      </c>
      <c r="M1016">
        <v>22</v>
      </c>
      <c r="N1016">
        <v>49</v>
      </c>
      <c r="O1016">
        <v>77.716999999999999</v>
      </c>
      <c r="P1016">
        <v>12.21295984</v>
      </c>
      <c r="Q1016">
        <v>16.568000000000001</v>
      </c>
    </row>
    <row r="1017" spans="1:17" s="30" customFormat="1" ht="15" customHeight="1" x14ac:dyDescent="0.2">
      <c r="A1017" s="30" t="str">
        <f>IF(C1017&amp;G1017&amp;D1017&lt;&gt;'Funnel setup'!$K$3&amp;'Funnel setup'!$K$4&amp;'Funnel setup'!$K$5,".",IF(A1016=".",1,A1016+1))</f>
        <v>.</v>
      </c>
      <c r="B1017" s="431" t="str">
        <f t="shared" si="15"/>
        <v>Hip Replacement PrimaryCCG of GP PracticeNHS CRAWLEY CCG (09H)EQ VAS</v>
      </c>
      <c r="C1017" t="s">
        <v>248</v>
      </c>
      <c r="D1017" t="s">
        <v>87</v>
      </c>
      <c r="E1017" t="s">
        <v>752</v>
      </c>
      <c r="F1017" t="s">
        <v>753</v>
      </c>
      <c r="G1017" t="s">
        <v>179</v>
      </c>
      <c r="H1017">
        <v>49</v>
      </c>
      <c r="I1017">
        <v>68.081999999999994</v>
      </c>
      <c r="J1017">
        <v>83.162999999999997</v>
      </c>
      <c r="K1017">
        <v>15.082000000000001</v>
      </c>
      <c r="L1017">
        <v>34</v>
      </c>
      <c r="M1017">
        <v>8</v>
      </c>
      <c r="N1017">
        <v>7</v>
      </c>
      <c r="O1017">
        <v>81.766999999999996</v>
      </c>
      <c r="P1017">
        <v>16.262194740000002</v>
      </c>
      <c r="Q1017">
        <v>11.996</v>
      </c>
    </row>
    <row r="1018" spans="1:17" s="30" customFormat="1" ht="15" customHeight="1" x14ac:dyDescent="0.2">
      <c r="A1018" s="30" t="str">
        <f>IF(C1018&amp;G1018&amp;D1018&lt;&gt;'Funnel setup'!$K$3&amp;'Funnel setup'!$K$4&amp;'Funnel setup'!$K$5,".",IF(A1017=".",1,A1017+1))</f>
        <v>.</v>
      </c>
      <c r="B1018" s="431" t="str">
        <f t="shared" si="15"/>
        <v>Hip Replacement PrimaryCCG of GP PracticeNHS CROYDON CCG (07V)EQ VAS</v>
      </c>
      <c r="C1018" t="s">
        <v>248</v>
      </c>
      <c r="D1018" t="s">
        <v>87</v>
      </c>
      <c r="E1018" t="s">
        <v>755</v>
      </c>
      <c r="F1018" t="s">
        <v>756</v>
      </c>
      <c r="G1018" t="s">
        <v>179</v>
      </c>
      <c r="H1018">
        <v>113</v>
      </c>
      <c r="I1018">
        <v>65.965000000000003</v>
      </c>
      <c r="J1018">
        <v>75.513000000000005</v>
      </c>
      <c r="K1018">
        <v>9.5489999999999995</v>
      </c>
      <c r="L1018">
        <v>79</v>
      </c>
      <c r="M1018">
        <v>6</v>
      </c>
      <c r="N1018">
        <v>28</v>
      </c>
      <c r="O1018">
        <v>75.710999999999999</v>
      </c>
      <c r="P1018">
        <v>10.207073940000001</v>
      </c>
      <c r="Q1018">
        <v>14.978999999999999</v>
      </c>
    </row>
    <row r="1019" spans="1:17" s="30" customFormat="1" ht="15" customHeight="1" x14ac:dyDescent="0.2">
      <c r="A1019" s="30" t="str">
        <f>IF(C1019&amp;G1019&amp;D1019&lt;&gt;'Funnel setup'!$K$3&amp;'Funnel setup'!$K$4&amp;'Funnel setup'!$K$5,".",IF(A1018=".",1,A1018+1))</f>
        <v>.</v>
      </c>
      <c r="B1019" s="431" t="str">
        <f t="shared" si="15"/>
        <v>Hip Replacement PrimaryCCG of GP PracticeNHS CUMBRIA CCG (01H)EQ VAS</v>
      </c>
      <c r="C1019" t="s">
        <v>248</v>
      </c>
      <c r="D1019" t="s">
        <v>87</v>
      </c>
      <c r="E1019" t="s">
        <v>758</v>
      </c>
      <c r="F1019" t="s">
        <v>759</v>
      </c>
      <c r="G1019" t="s">
        <v>179</v>
      </c>
      <c r="H1019">
        <v>487</v>
      </c>
      <c r="I1019">
        <v>66.649000000000001</v>
      </c>
      <c r="J1019">
        <v>77.641000000000005</v>
      </c>
      <c r="K1019">
        <v>10.992000000000001</v>
      </c>
      <c r="L1019">
        <v>322</v>
      </c>
      <c r="M1019">
        <v>50</v>
      </c>
      <c r="N1019">
        <v>115</v>
      </c>
      <c r="O1019">
        <v>77.352999999999994</v>
      </c>
      <c r="P1019">
        <v>11.849081399999999</v>
      </c>
      <c r="Q1019">
        <v>15.837</v>
      </c>
    </row>
    <row r="1020" spans="1:17" s="30" customFormat="1" ht="15" customHeight="1" x14ac:dyDescent="0.2">
      <c r="A1020" s="30" t="str">
        <f>IF(C1020&amp;G1020&amp;D1020&lt;&gt;'Funnel setup'!$K$3&amp;'Funnel setup'!$K$4&amp;'Funnel setup'!$K$5,".",IF(A1019=".",1,A1019+1))</f>
        <v>.</v>
      </c>
      <c r="B1020" s="431" t="str">
        <f t="shared" si="15"/>
        <v>Hip Replacement PrimaryCCG of GP PracticeNHS DARLINGTON CCG (00C)EQ VAS</v>
      </c>
      <c r="C1020" t="s">
        <v>248</v>
      </c>
      <c r="D1020" t="s">
        <v>87</v>
      </c>
      <c r="E1020" t="s">
        <v>761</v>
      </c>
      <c r="F1020" t="s">
        <v>762</v>
      </c>
      <c r="G1020" t="s">
        <v>179</v>
      </c>
      <c r="H1020">
        <v>70</v>
      </c>
      <c r="I1020">
        <v>62.186</v>
      </c>
      <c r="J1020">
        <v>78.7</v>
      </c>
      <c r="K1020">
        <v>16.513999999999999</v>
      </c>
      <c r="L1020">
        <v>48</v>
      </c>
      <c r="M1020">
        <v>6</v>
      </c>
      <c r="N1020">
        <v>16</v>
      </c>
      <c r="O1020">
        <v>78.846000000000004</v>
      </c>
      <c r="P1020">
        <v>13.34152697</v>
      </c>
      <c r="Q1020">
        <v>17.132000000000001</v>
      </c>
    </row>
    <row r="1021" spans="1:17" s="30" customFormat="1" x14ac:dyDescent="0.2">
      <c r="A1021" s="30" t="str">
        <f>IF(C1021&amp;G1021&amp;D1021&lt;&gt;'Funnel setup'!$K$3&amp;'Funnel setup'!$K$4&amp;'Funnel setup'!$K$5,".",IF(A1020=".",1,A1020+1))</f>
        <v>.</v>
      </c>
      <c r="B1021" s="431" t="str">
        <f t="shared" si="15"/>
        <v>Hip Replacement PrimaryCCG of GP PracticeNHS DARTFORD, GRAVESHAM AND SWANLEY CCG (09J)EQ VAS</v>
      </c>
      <c r="C1021" t="s">
        <v>248</v>
      </c>
      <c r="D1021" t="s">
        <v>87</v>
      </c>
      <c r="E1021" t="s">
        <v>764</v>
      </c>
      <c r="F1021" t="s">
        <v>765</v>
      </c>
      <c r="G1021" t="s">
        <v>179</v>
      </c>
      <c r="H1021">
        <v>119</v>
      </c>
      <c r="I1021">
        <v>67.58</v>
      </c>
      <c r="J1021">
        <v>78.772999999999996</v>
      </c>
      <c r="K1021">
        <v>11.193</v>
      </c>
      <c r="L1021">
        <v>79</v>
      </c>
      <c r="M1021">
        <v>9</v>
      </c>
      <c r="N1021">
        <v>31</v>
      </c>
      <c r="O1021">
        <v>78.347999999999999</v>
      </c>
      <c r="P1021">
        <v>12.84325757</v>
      </c>
      <c r="Q1021">
        <v>15.395</v>
      </c>
    </row>
    <row r="1022" spans="1:17" s="30" customFormat="1" x14ac:dyDescent="0.2">
      <c r="A1022" s="30" t="str">
        <f>IF(C1022&amp;G1022&amp;D1022&lt;&gt;'Funnel setup'!$K$3&amp;'Funnel setup'!$K$4&amp;'Funnel setup'!$K$5,".",IF(A1021=".",1,A1021+1))</f>
        <v>.</v>
      </c>
      <c r="B1022" s="431" t="str">
        <f t="shared" si="15"/>
        <v>Hip Replacement PrimaryCCG of GP PracticeNHS DONCASTER CCG (02X)EQ VAS</v>
      </c>
      <c r="C1022" t="s">
        <v>248</v>
      </c>
      <c r="D1022" t="s">
        <v>87</v>
      </c>
      <c r="E1022" t="s">
        <v>767</v>
      </c>
      <c r="F1022" t="s">
        <v>768</v>
      </c>
      <c r="G1022" t="s">
        <v>179</v>
      </c>
      <c r="H1022">
        <v>200</v>
      </c>
      <c r="I1022">
        <v>61.65</v>
      </c>
      <c r="J1022">
        <v>74.855000000000004</v>
      </c>
      <c r="K1022">
        <v>13.205</v>
      </c>
      <c r="L1022">
        <v>124</v>
      </c>
      <c r="M1022">
        <v>29</v>
      </c>
      <c r="N1022">
        <v>47</v>
      </c>
      <c r="O1022">
        <v>77.545000000000002</v>
      </c>
      <c r="P1022">
        <v>12.040801460000001</v>
      </c>
      <c r="Q1022">
        <v>15.471</v>
      </c>
    </row>
    <row r="1023" spans="1:17" s="30" customFormat="1" x14ac:dyDescent="0.2">
      <c r="A1023" s="30" t="str">
        <f>IF(C1023&amp;G1023&amp;D1023&lt;&gt;'Funnel setup'!$K$3&amp;'Funnel setup'!$K$4&amp;'Funnel setup'!$K$5,".",IF(A1022=".",1,A1022+1))</f>
        <v>.</v>
      </c>
      <c r="B1023" s="431" t="str">
        <f t="shared" si="15"/>
        <v>Hip Replacement PrimaryCCG of GP PracticeNHS DORSET CCG (11J)EQ VAS</v>
      </c>
      <c r="C1023" t="s">
        <v>248</v>
      </c>
      <c r="D1023" t="s">
        <v>87</v>
      </c>
      <c r="E1023" t="s">
        <v>854</v>
      </c>
      <c r="F1023" t="s">
        <v>855</v>
      </c>
      <c r="G1023" t="s">
        <v>179</v>
      </c>
      <c r="H1023">
        <v>641</v>
      </c>
      <c r="I1023">
        <v>68.203999999999994</v>
      </c>
      <c r="J1023">
        <v>78.441000000000003</v>
      </c>
      <c r="K1023">
        <v>10.237</v>
      </c>
      <c r="L1023">
        <v>412</v>
      </c>
      <c r="M1023">
        <v>71</v>
      </c>
      <c r="N1023">
        <v>158</v>
      </c>
      <c r="O1023">
        <v>77.849999999999994</v>
      </c>
      <c r="P1023">
        <v>12.345527730000001</v>
      </c>
      <c r="Q1023">
        <v>15.523999999999999</v>
      </c>
    </row>
    <row r="1024" spans="1:17" s="30" customFormat="1" x14ac:dyDescent="0.2">
      <c r="A1024" s="30" t="str">
        <f>IF(C1024&amp;G1024&amp;D1024&lt;&gt;'Funnel setup'!$K$3&amp;'Funnel setup'!$K$4&amp;'Funnel setup'!$K$5,".",IF(A1023=".",1,A1023+1))</f>
        <v>.</v>
      </c>
      <c r="B1024" s="431" t="str">
        <f t="shared" si="15"/>
        <v>Hip Replacement PrimaryCCG of GP PracticeNHS DUDLEY CCG (05C)EQ VAS</v>
      </c>
      <c r="C1024" t="s">
        <v>248</v>
      </c>
      <c r="D1024" t="s">
        <v>87</v>
      </c>
      <c r="E1024" t="s">
        <v>857</v>
      </c>
      <c r="F1024" t="s">
        <v>858</v>
      </c>
      <c r="G1024" t="s">
        <v>179</v>
      </c>
      <c r="H1024">
        <v>278</v>
      </c>
      <c r="I1024">
        <v>68.644000000000005</v>
      </c>
      <c r="J1024">
        <v>76.658000000000001</v>
      </c>
      <c r="K1024">
        <v>8.0139999999999993</v>
      </c>
      <c r="L1024">
        <v>159</v>
      </c>
      <c r="M1024">
        <v>36</v>
      </c>
      <c r="N1024">
        <v>83</v>
      </c>
      <c r="O1024">
        <v>76.650000000000006</v>
      </c>
      <c r="P1024">
        <v>11.14580525</v>
      </c>
      <c r="Q1024">
        <v>15.568</v>
      </c>
    </row>
    <row r="1025" spans="1:17" s="30" customFormat="1" x14ac:dyDescent="0.2">
      <c r="A1025" s="30" t="str">
        <f>IF(C1025&amp;G1025&amp;D1025&lt;&gt;'Funnel setup'!$K$3&amp;'Funnel setup'!$K$4&amp;'Funnel setup'!$K$5,".",IF(A1024=".",1,A1024+1))</f>
        <v>.</v>
      </c>
      <c r="B1025" s="431" t="str">
        <f t="shared" si="15"/>
        <v>Hip Replacement PrimaryCCG of GP PracticeNHS DURHAM DALES, EASINGTON AND SEDGEFIELD CCG (00D)EQ VAS</v>
      </c>
      <c r="C1025" t="s">
        <v>248</v>
      </c>
      <c r="D1025" t="s">
        <v>87</v>
      </c>
      <c r="E1025" t="s">
        <v>860</v>
      </c>
      <c r="F1025" t="s">
        <v>861</v>
      </c>
      <c r="G1025" t="s">
        <v>179</v>
      </c>
      <c r="H1025">
        <v>167</v>
      </c>
      <c r="I1025">
        <v>64.293000000000006</v>
      </c>
      <c r="J1025">
        <v>72.460999999999999</v>
      </c>
      <c r="K1025">
        <v>8.1679999999999993</v>
      </c>
      <c r="L1025">
        <v>97</v>
      </c>
      <c r="M1025">
        <v>21</v>
      </c>
      <c r="N1025">
        <v>49</v>
      </c>
      <c r="O1025">
        <v>74.766999999999996</v>
      </c>
      <c r="P1025">
        <v>9.2628991359999997</v>
      </c>
      <c r="Q1025">
        <v>18.079000000000001</v>
      </c>
    </row>
    <row r="1026" spans="1:17" s="30" customFormat="1" x14ac:dyDescent="0.2">
      <c r="A1026" s="30" t="str">
        <f>IF(C1026&amp;G1026&amp;D1026&lt;&gt;'Funnel setup'!$K$3&amp;'Funnel setup'!$K$4&amp;'Funnel setup'!$K$5,".",IF(A1025=".",1,A1025+1))</f>
        <v>.</v>
      </c>
      <c r="B1026" s="431" t="str">
        <f t="shared" si="15"/>
        <v>Hip Replacement PrimaryCCG of GP PracticeNHS EALING CCG (07W)EQ VAS</v>
      </c>
      <c r="C1026" t="s">
        <v>248</v>
      </c>
      <c r="D1026" t="s">
        <v>87</v>
      </c>
      <c r="E1026" t="s">
        <v>863</v>
      </c>
      <c r="F1026" t="s">
        <v>864</v>
      </c>
      <c r="G1026" t="s">
        <v>179</v>
      </c>
      <c r="H1026">
        <v>58</v>
      </c>
      <c r="I1026">
        <v>55.223999999999997</v>
      </c>
      <c r="J1026">
        <v>74.430999999999997</v>
      </c>
      <c r="K1026">
        <v>19.207000000000001</v>
      </c>
      <c r="L1026">
        <v>43</v>
      </c>
      <c r="M1026">
        <v>7</v>
      </c>
      <c r="N1026">
        <v>8</v>
      </c>
      <c r="O1026">
        <v>77.442999999999998</v>
      </c>
      <c r="P1026">
        <v>11.938818080000001</v>
      </c>
      <c r="Q1026">
        <v>17.059999999999999</v>
      </c>
    </row>
    <row r="1027" spans="1:17" s="30" customFormat="1" x14ac:dyDescent="0.2">
      <c r="A1027" s="30" t="str">
        <f>IF(C1027&amp;G1027&amp;D1027&lt;&gt;'Funnel setup'!$K$3&amp;'Funnel setup'!$K$4&amp;'Funnel setup'!$K$5,".",IF(A1026=".",1,A1026+1))</f>
        <v>.</v>
      </c>
      <c r="B1027" s="431" t="str">
        <f t="shared" ref="B1027:B1090" si="16">C1027&amp;D1027&amp;F1027&amp;G1027</f>
        <v>Hip Replacement PrimaryCCG of GP PracticeNHS EAST AND NORTH HERTFORDSHIRE CCG (06K)EQ VAS</v>
      </c>
      <c r="C1027" t="s">
        <v>248</v>
      </c>
      <c r="D1027" t="s">
        <v>87</v>
      </c>
      <c r="E1027" t="s">
        <v>866</v>
      </c>
      <c r="F1027" t="s">
        <v>867</v>
      </c>
      <c r="G1027" t="s">
        <v>179</v>
      </c>
      <c r="H1027">
        <v>338</v>
      </c>
      <c r="I1027">
        <v>66.671999999999997</v>
      </c>
      <c r="J1027">
        <v>78.873000000000005</v>
      </c>
      <c r="K1027">
        <v>12.201000000000001</v>
      </c>
      <c r="L1027">
        <v>231</v>
      </c>
      <c r="M1027">
        <v>35</v>
      </c>
      <c r="N1027">
        <v>72</v>
      </c>
      <c r="O1027">
        <v>77.894999999999996</v>
      </c>
      <c r="P1027">
        <v>12.39017868</v>
      </c>
      <c r="Q1027">
        <v>16.312000000000001</v>
      </c>
    </row>
    <row r="1028" spans="1:17" s="30" customFormat="1" x14ac:dyDescent="0.2">
      <c r="A1028" s="30" t="str">
        <f>IF(C1028&amp;G1028&amp;D1028&lt;&gt;'Funnel setup'!$K$3&amp;'Funnel setup'!$K$4&amp;'Funnel setup'!$K$5,".",IF(A1027=".",1,A1027+1))</f>
        <v>.</v>
      </c>
      <c r="B1028" s="431" t="str">
        <f t="shared" si="16"/>
        <v>Hip Replacement PrimaryCCG of GP PracticeNHS EAST LANCASHIRE CCG (01A)EQ VAS</v>
      </c>
      <c r="C1028" t="s">
        <v>248</v>
      </c>
      <c r="D1028" t="s">
        <v>87</v>
      </c>
      <c r="E1028" t="s">
        <v>869</v>
      </c>
      <c r="F1028" t="s">
        <v>870</v>
      </c>
      <c r="G1028" t="s">
        <v>179</v>
      </c>
      <c r="H1028">
        <v>196</v>
      </c>
      <c r="I1028">
        <v>64.046000000000006</v>
      </c>
      <c r="J1028">
        <v>77.703999999999994</v>
      </c>
      <c r="K1028">
        <v>13.657999999999999</v>
      </c>
      <c r="L1028">
        <v>137</v>
      </c>
      <c r="M1028">
        <v>15</v>
      </c>
      <c r="N1028">
        <v>44</v>
      </c>
      <c r="O1028">
        <v>78.8</v>
      </c>
      <c r="P1028">
        <v>13.29576612</v>
      </c>
      <c r="Q1028">
        <v>14.753</v>
      </c>
    </row>
    <row r="1029" spans="1:17" s="30" customFormat="1" x14ac:dyDescent="0.2">
      <c r="A1029" s="30" t="str">
        <f>IF(C1029&amp;G1029&amp;D1029&lt;&gt;'Funnel setup'!$K$3&amp;'Funnel setup'!$K$4&amp;'Funnel setup'!$K$5,".",IF(A1028=".",1,A1028+1))</f>
        <v>.</v>
      </c>
      <c r="B1029" s="431" t="str">
        <f t="shared" si="16"/>
        <v>Hip Replacement PrimaryCCG of GP PracticeNHS EAST LEICESTERSHIRE AND RUTLAND CCG (03W)EQ VAS</v>
      </c>
      <c r="C1029" t="s">
        <v>248</v>
      </c>
      <c r="D1029" t="s">
        <v>87</v>
      </c>
      <c r="E1029" t="s">
        <v>872</v>
      </c>
      <c r="F1029" t="s">
        <v>873</v>
      </c>
      <c r="G1029" t="s">
        <v>179</v>
      </c>
      <c r="H1029">
        <v>275</v>
      </c>
      <c r="I1029">
        <v>64.141999999999996</v>
      </c>
      <c r="J1029">
        <v>77.555999999999997</v>
      </c>
      <c r="K1029">
        <v>13.414999999999999</v>
      </c>
      <c r="L1029">
        <v>184</v>
      </c>
      <c r="M1029">
        <v>27</v>
      </c>
      <c r="N1029">
        <v>64</v>
      </c>
      <c r="O1029">
        <v>77.522000000000006</v>
      </c>
      <c r="P1029">
        <v>12.01816212</v>
      </c>
      <c r="Q1029">
        <v>15.574999999999999</v>
      </c>
    </row>
    <row r="1030" spans="1:17" s="30" customFormat="1" x14ac:dyDescent="0.2">
      <c r="A1030" s="30" t="str">
        <f>IF(C1030&amp;G1030&amp;D1030&lt;&gt;'Funnel setup'!$K$3&amp;'Funnel setup'!$K$4&amp;'Funnel setup'!$K$5,".",IF(A1029=".",1,A1029+1))</f>
        <v>.</v>
      </c>
      <c r="B1030" s="431" t="str">
        <f t="shared" si="16"/>
        <v>Hip Replacement PrimaryCCG of GP PracticeNHS EAST RIDING OF YORKSHIRE CCG (02Y)EQ VAS</v>
      </c>
      <c r="C1030" t="s">
        <v>248</v>
      </c>
      <c r="D1030" t="s">
        <v>87</v>
      </c>
      <c r="E1030" t="s">
        <v>875</v>
      </c>
      <c r="F1030" t="s">
        <v>876</v>
      </c>
      <c r="G1030" t="s">
        <v>179</v>
      </c>
      <c r="H1030">
        <v>347</v>
      </c>
      <c r="I1030">
        <v>64.224999999999994</v>
      </c>
      <c r="J1030">
        <v>78.144000000000005</v>
      </c>
      <c r="K1030">
        <v>13.919</v>
      </c>
      <c r="L1030">
        <v>245</v>
      </c>
      <c r="M1030">
        <v>35</v>
      </c>
      <c r="N1030">
        <v>67</v>
      </c>
      <c r="O1030">
        <v>77.546000000000006</v>
      </c>
      <c r="P1030">
        <v>12.04199773</v>
      </c>
      <c r="Q1030">
        <v>15.082000000000001</v>
      </c>
    </row>
    <row r="1031" spans="1:17" s="30" customFormat="1" x14ac:dyDescent="0.2">
      <c r="A1031" s="30" t="str">
        <f>IF(C1031&amp;G1031&amp;D1031&lt;&gt;'Funnel setup'!$K$3&amp;'Funnel setup'!$K$4&amp;'Funnel setup'!$K$5,".",IF(A1030=".",1,A1030+1))</f>
        <v>.</v>
      </c>
      <c r="B1031" s="431" t="str">
        <f t="shared" si="16"/>
        <v>Hip Replacement PrimaryCCG of GP PracticeNHS EAST STAFFORDSHIRE CCG (05D)EQ VAS</v>
      </c>
      <c r="C1031" t="s">
        <v>248</v>
      </c>
      <c r="D1031" t="s">
        <v>87</v>
      </c>
      <c r="E1031" t="s">
        <v>878</v>
      </c>
      <c r="F1031" t="s">
        <v>879</v>
      </c>
      <c r="G1031" t="s">
        <v>179</v>
      </c>
      <c r="H1031">
        <v>100</v>
      </c>
      <c r="I1031">
        <v>65.33</v>
      </c>
      <c r="J1031">
        <v>79.47</v>
      </c>
      <c r="K1031">
        <v>14.14</v>
      </c>
      <c r="L1031">
        <v>73</v>
      </c>
      <c r="M1031">
        <v>10</v>
      </c>
      <c r="N1031">
        <v>17</v>
      </c>
      <c r="O1031">
        <v>79.632999999999996</v>
      </c>
      <c r="P1031">
        <v>14.128465</v>
      </c>
      <c r="Q1031">
        <v>13.295</v>
      </c>
    </row>
    <row r="1032" spans="1:17" s="30" customFormat="1" x14ac:dyDescent="0.2">
      <c r="A1032" s="30" t="str">
        <f>IF(C1032&amp;G1032&amp;D1032&lt;&gt;'Funnel setup'!$K$3&amp;'Funnel setup'!$K$4&amp;'Funnel setup'!$K$5,".",IF(A1031=".",1,A1031+1))</f>
        <v>.</v>
      </c>
      <c r="B1032" s="431" t="str">
        <f t="shared" si="16"/>
        <v>Hip Replacement PrimaryCCG of GP PracticeNHS EAST SURREY CCG (09L)EQ VAS</v>
      </c>
      <c r="C1032" t="s">
        <v>248</v>
      </c>
      <c r="D1032" t="s">
        <v>87</v>
      </c>
      <c r="E1032" t="s">
        <v>881</v>
      </c>
      <c r="F1032" t="s">
        <v>882</v>
      </c>
      <c r="G1032" t="s">
        <v>179</v>
      </c>
      <c r="H1032">
        <v>130</v>
      </c>
      <c r="I1032">
        <v>67.677000000000007</v>
      </c>
      <c r="J1032">
        <v>80.430999999999997</v>
      </c>
      <c r="K1032">
        <v>12.754</v>
      </c>
      <c r="L1032">
        <v>91</v>
      </c>
      <c r="M1032">
        <v>19</v>
      </c>
      <c r="N1032">
        <v>20</v>
      </c>
      <c r="O1032">
        <v>78.254999999999995</v>
      </c>
      <c r="P1032">
        <v>12.750753850000001</v>
      </c>
      <c r="Q1032">
        <v>13.557</v>
      </c>
    </row>
    <row r="1033" spans="1:17" s="30" customFormat="1" x14ac:dyDescent="0.2">
      <c r="A1033" s="30" t="str">
        <f>IF(C1033&amp;G1033&amp;D1033&lt;&gt;'Funnel setup'!$K$3&amp;'Funnel setup'!$K$4&amp;'Funnel setup'!$K$5,".",IF(A1032=".",1,A1032+1))</f>
        <v>.</v>
      </c>
      <c r="B1033" s="431" t="str">
        <f t="shared" si="16"/>
        <v>Hip Replacement PrimaryCCG of GP PracticeNHS EASTBOURNE, HAILSHAM AND SEAFORD CCG (09F)EQ VAS</v>
      </c>
      <c r="C1033" t="s">
        <v>248</v>
      </c>
      <c r="D1033" t="s">
        <v>87</v>
      </c>
      <c r="E1033" t="s">
        <v>884</v>
      </c>
      <c r="F1033" t="s">
        <v>885</v>
      </c>
      <c r="G1033" t="s">
        <v>179</v>
      </c>
      <c r="H1033">
        <v>191</v>
      </c>
      <c r="I1033">
        <v>66.23</v>
      </c>
      <c r="J1033">
        <v>75.712000000000003</v>
      </c>
      <c r="K1033">
        <v>9.4819999999999993</v>
      </c>
      <c r="L1033">
        <v>114</v>
      </c>
      <c r="M1033">
        <v>24</v>
      </c>
      <c r="N1033">
        <v>53</v>
      </c>
      <c r="O1033">
        <v>75.641999999999996</v>
      </c>
      <c r="P1033">
        <v>10.137862930000001</v>
      </c>
      <c r="Q1033">
        <v>15.012</v>
      </c>
    </row>
    <row r="1034" spans="1:17" s="30" customFormat="1" x14ac:dyDescent="0.2">
      <c r="A1034" s="30" t="str">
        <f>IF(C1034&amp;G1034&amp;D1034&lt;&gt;'Funnel setup'!$K$3&amp;'Funnel setup'!$K$4&amp;'Funnel setup'!$K$5,".",IF(A1033=".",1,A1033+1))</f>
        <v>.</v>
      </c>
      <c r="B1034" s="431" t="str">
        <f t="shared" si="16"/>
        <v>Hip Replacement PrimaryCCG of GP PracticeNHS EASTERN CHESHIRE CCG (01C)EQ VAS</v>
      </c>
      <c r="C1034" t="s">
        <v>248</v>
      </c>
      <c r="D1034" t="s">
        <v>87</v>
      </c>
      <c r="E1034" t="s">
        <v>887</v>
      </c>
      <c r="F1034" t="s">
        <v>888</v>
      </c>
      <c r="G1034" t="s">
        <v>179</v>
      </c>
      <c r="H1034">
        <v>130</v>
      </c>
      <c r="I1034">
        <v>68.238</v>
      </c>
      <c r="J1034">
        <v>77.792000000000002</v>
      </c>
      <c r="K1034">
        <v>9.5540000000000003</v>
      </c>
      <c r="L1034">
        <v>81</v>
      </c>
      <c r="M1034">
        <v>15</v>
      </c>
      <c r="N1034">
        <v>34</v>
      </c>
      <c r="O1034">
        <v>76.929000000000002</v>
      </c>
      <c r="P1034">
        <v>11.425130879999999</v>
      </c>
      <c r="Q1034">
        <v>16.271999999999998</v>
      </c>
    </row>
    <row r="1035" spans="1:17" s="30" customFormat="1" x14ac:dyDescent="0.2">
      <c r="A1035" s="30" t="str">
        <f>IF(C1035&amp;G1035&amp;D1035&lt;&gt;'Funnel setup'!$K$3&amp;'Funnel setup'!$K$4&amp;'Funnel setup'!$K$5,".",IF(A1034=".",1,A1034+1))</f>
        <v>.</v>
      </c>
      <c r="B1035" s="431" t="str">
        <f t="shared" si="16"/>
        <v>Hip Replacement PrimaryCCG of GP PracticeNHS ENFIELD CCG (07X)EQ VAS</v>
      </c>
      <c r="C1035" t="s">
        <v>248</v>
      </c>
      <c r="D1035" t="s">
        <v>87</v>
      </c>
      <c r="E1035" t="s">
        <v>890</v>
      </c>
      <c r="F1035" t="s">
        <v>891</v>
      </c>
      <c r="G1035" t="s">
        <v>179</v>
      </c>
      <c r="H1035">
        <v>71</v>
      </c>
      <c r="I1035">
        <v>61.38</v>
      </c>
      <c r="J1035">
        <v>73.084999999999994</v>
      </c>
      <c r="K1035">
        <v>11.704000000000001</v>
      </c>
      <c r="L1035">
        <v>46</v>
      </c>
      <c r="M1035">
        <v>3</v>
      </c>
      <c r="N1035">
        <v>22</v>
      </c>
      <c r="O1035">
        <v>75.38</v>
      </c>
      <c r="P1035">
        <v>9.8752621949999995</v>
      </c>
      <c r="Q1035">
        <v>15.353</v>
      </c>
    </row>
    <row r="1036" spans="1:17" s="30" customFormat="1" x14ac:dyDescent="0.2">
      <c r="A1036" s="30" t="str">
        <f>IF(C1036&amp;G1036&amp;D1036&lt;&gt;'Funnel setup'!$K$3&amp;'Funnel setup'!$K$4&amp;'Funnel setup'!$K$5,".",IF(A1035=".",1,A1035+1))</f>
        <v>.</v>
      </c>
      <c r="B1036" s="431" t="str">
        <f t="shared" si="16"/>
        <v>Hip Replacement PrimaryCCG of GP PracticeNHS EREWASH CCG (03X)EQ VAS</v>
      </c>
      <c r="C1036" t="s">
        <v>248</v>
      </c>
      <c r="D1036" t="s">
        <v>87</v>
      </c>
      <c r="E1036" t="s">
        <v>893</v>
      </c>
      <c r="F1036" t="s">
        <v>894</v>
      </c>
      <c r="G1036" t="s">
        <v>179</v>
      </c>
      <c r="H1036">
        <v>86</v>
      </c>
      <c r="I1036">
        <v>66.778999999999996</v>
      </c>
      <c r="J1036">
        <v>78.977000000000004</v>
      </c>
      <c r="K1036">
        <v>12.198</v>
      </c>
      <c r="L1036">
        <v>58</v>
      </c>
      <c r="M1036">
        <v>10</v>
      </c>
      <c r="N1036">
        <v>18</v>
      </c>
      <c r="O1036">
        <v>78.608000000000004</v>
      </c>
      <c r="P1036">
        <v>13.103774400000001</v>
      </c>
      <c r="Q1036">
        <v>14.183999999999999</v>
      </c>
    </row>
    <row r="1037" spans="1:17" s="30" customFormat="1" x14ac:dyDescent="0.2">
      <c r="A1037" s="30" t="str">
        <f>IF(C1037&amp;G1037&amp;D1037&lt;&gt;'Funnel setup'!$K$3&amp;'Funnel setup'!$K$4&amp;'Funnel setup'!$K$5,".",IF(A1036=".",1,A1036+1))</f>
        <v>.</v>
      </c>
      <c r="B1037" s="431" t="str">
        <f t="shared" si="16"/>
        <v>Hip Replacement PrimaryCCG of GP PracticeNHS FAREHAM AND GOSPORT CCG (10K)EQ VAS</v>
      </c>
      <c r="C1037" t="s">
        <v>248</v>
      </c>
      <c r="D1037" t="s">
        <v>87</v>
      </c>
      <c r="E1037" t="s">
        <v>896</v>
      </c>
      <c r="F1037" t="s">
        <v>897</v>
      </c>
      <c r="G1037" t="s">
        <v>179</v>
      </c>
      <c r="H1037">
        <v>115</v>
      </c>
      <c r="I1037">
        <v>63.122</v>
      </c>
      <c r="J1037">
        <v>76.156999999999996</v>
      </c>
      <c r="K1037">
        <v>13.035</v>
      </c>
      <c r="L1037">
        <v>69</v>
      </c>
      <c r="M1037">
        <v>19</v>
      </c>
      <c r="N1037">
        <v>27</v>
      </c>
      <c r="O1037">
        <v>76.097999999999999</v>
      </c>
      <c r="P1037">
        <v>10.593731829999999</v>
      </c>
      <c r="Q1037">
        <v>16.045999999999999</v>
      </c>
    </row>
    <row r="1038" spans="1:17" s="30" customFormat="1" x14ac:dyDescent="0.2">
      <c r="A1038" s="30" t="str">
        <f>IF(C1038&amp;G1038&amp;D1038&lt;&gt;'Funnel setup'!$K$3&amp;'Funnel setup'!$K$4&amp;'Funnel setup'!$K$5,".",IF(A1037=".",1,A1037+1))</f>
        <v>.</v>
      </c>
      <c r="B1038" s="431" t="str">
        <f t="shared" si="16"/>
        <v>Hip Replacement PrimaryCCG of GP PracticeNHS FYLDE &amp; WYRE CCG (02M)EQ VAS</v>
      </c>
      <c r="C1038" t="s">
        <v>248</v>
      </c>
      <c r="D1038" t="s">
        <v>87</v>
      </c>
      <c r="E1038" t="s">
        <v>899</v>
      </c>
      <c r="F1038" t="s">
        <v>900</v>
      </c>
      <c r="G1038" t="s">
        <v>179</v>
      </c>
      <c r="H1038">
        <v>73</v>
      </c>
      <c r="I1038">
        <v>64.753</v>
      </c>
      <c r="J1038">
        <v>77.191999999999993</v>
      </c>
      <c r="K1038">
        <v>12.438000000000001</v>
      </c>
      <c r="L1038">
        <v>49</v>
      </c>
      <c r="M1038">
        <v>5</v>
      </c>
      <c r="N1038">
        <v>19</v>
      </c>
      <c r="O1038">
        <v>76.716999999999999</v>
      </c>
      <c r="P1038">
        <v>11.21220106</v>
      </c>
      <c r="Q1038">
        <v>15.122</v>
      </c>
    </row>
    <row r="1039" spans="1:17" s="30" customFormat="1" x14ac:dyDescent="0.2">
      <c r="A1039" s="30" t="str">
        <f>IF(C1039&amp;G1039&amp;D1039&lt;&gt;'Funnel setup'!$K$3&amp;'Funnel setup'!$K$4&amp;'Funnel setup'!$K$5,".",IF(A1038=".",1,A1038+1))</f>
        <v>.</v>
      </c>
      <c r="B1039" s="431" t="str">
        <f t="shared" si="16"/>
        <v>Hip Replacement PrimaryCCG of GP PracticeNHS GLOUCESTERSHIRE CCG (11M)EQ VAS</v>
      </c>
      <c r="C1039" t="s">
        <v>248</v>
      </c>
      <c r="D1039" t="s">
        <v>87</v>
      </c>
      <c r="E1039" t="s">
        <v>902</v>
      </c>
      <c r="F1039" t="s">
        <v>903</v>
      </c>
      <c r="G1039" t="s">
        <v>179</v>
      </c>
      <c r="H1039">
        <v>450</v>
      </c>
      <c r="I1039">
        <v>70.028999999999996</v>
      </c>
      <c r="J1039">
        <v>78.992999999999995</v>
      </c>
      <c r="K1039">
        <v>8.9640000000000004</v>
      </c>
      <c r="L1039">
        <v>281</v>
      </c>
      <c r="M1039">
        <v>54</v>
      </c>
      <c r="N1039">
        <v>115</v>
      </c>
      <c r="O1039">
        <v>76.974999999999994</v>
      </c>
      <c r="P1039">
        <v>11.470463730000001</v>
      </c>
      <c r="Q1039">
        <v>15.714</v>
      </c>
    </row>
    <row r="1040" spans="1:17" s="30" customFormat="1" x14ac:dyDescent="0.2">
      <c r="A1040" s="30" t="str">
        <f>IF(C1040&amp;G1040&amp;D1040&lt;&gt;'Funnel setup'!$K$3&amp;'Funnel setup'!$K$4&amp;'Funnel setup'!$K$5,".",IF(A1039=".",1,A1039+1))</f>
        <v>.</v>
      </c>
      <c r="B1040" s="431" t="str">
        <f t="shared" si="16"/>
        <v>Hip Replacement PrimaryCCG of GP PracticeNHS GREAT YARMOUTH AND WAVENEY CCG (06M)EQ VAS</v>
      </c>
      <c r="C1040" t="s">
        <v>248</v>
      </c>
      <c r="D1040" t="s">
        <v>87</v>
      </c>
      <c r="E1040" t="s">
        <v>905</v>
      </c>
      <c r="F1040" t="s">
        <v>906</v>
      </c>
      <c r="G1040" t="s">
        <v>179</v>
      </c>
      <c r="H1040">
        <v>185</v>
      </c>
      <c r="I1040">
        <v>66.27</v>
      </c>
      <c r="J1040">
        <v>78.632000000000005</v>
      </c>
      <c r="K1040">
        <v>12.362</v>
      </c>
      <c r="L1040">
        <v>116</v>
      </c>
      <c r="M1040">
        <v>27</v>
      </c>
      <c r="N1040">
        <v>42</v>
      </c>
      <c r="O1040">
        <v>78.545000000000002</v>
      </c>
      <c r="P1040">
        <v>13.040844359999999</v>
      </c>
      <c r="Q1040">
        <v>14.305999999999999</v>
      </c>
    </row>
    <row r="1041" spans="1:17" s="30" customFormat="1" x14ac:dyDescent="0.2">
      <c r="A1041" s="30" t="str">
        <f>IF(C1041&amp;G1041&amp;D1041&lt;&gt;'Funnel setup'!$K$3&amp;'Funnel setup'!$K$4&amp;'Funnel setup'!$K$5,".",IF(A1040=".",1,A1040+1))</f>
        <v>.</v>
      </c>
      <c r="B1041" s="431" t="str">
        <f t="shared" si="16"/>
        <v>Hip Replacement PrimaryCCG of GP PracticeNHS GREATER HUDDERSFIELD CCG (03A)EQ VAS</v>
      </c>
      <c r="C1041" t="s">
        <v>248</v>
      </c>
      <c r="D1041" t="s">
        <v>87</v>
      </c>
      <c r="E1041" t="s">
        <v>908</v>
      </c>
      <c r="F1041" t="s">
        <v>909</v>
      </c>
      <c r="G1041" t="s">
        <v>179</v>
      </c>
      <c r="H1041">
        <v>161</v>
      </c>
      <c r="I1041">
        <v>66.757999999999996</v>
      </c>
      <c r="J1041">
        <v>77.956999999999994</v>
      </c>
      <c r="K1041">
        <v>11.199</v>
      </c>
      <c r="L1041">
        <v>106</v>
      </c>
      <c r="M1041">
        <v>22</v>
      </c>
      <c r="N1041">
        <v>33</v>
      </c>
      <c r="O1041">
        <v>77.554000000000002</v>
      </c>
      <c r="P1041">
        <v>12.049950089999999</v>
      </c>
      <c r="Q1041">
        <v>13.71</v>
      </c>
    </row>
    <row r="1042" spans="1:17" s="30" customFormat="1" x14ac:dyDescent="0.2">
      <c r="A1042" s="30" t="str">
        <f>IF(C1042&amp;G1042&amp;D1042&lt;&gt;'Funnel setup'!$K$3&amp;'Funnel setup'!$K$4&amp;'Funnel setup'!$K$5,".",IF(A1041=".",1,A1041+1))</f>
        <v>.</v>
      </c>
      <c r="B1042" s="431" t="str">
        <f t="shared" si="16"/>
        <v>Hip Replacement PrimaryCCG of GP PracticeNHS GREATER PRESTON CCG (01E)EQ VAS</v>
      </c>
      <c r="C1042" t="s">
        <v>248</v>
      </c>
      <c r="D1042" t="s">
        <v>87</v>
      </c>
      <c r="E1042" t="s">
        <v>486</v>
      </c>
      <c r="F1042" t="s">
        <v>487</v>
      </c>
      <c r="G1042" t="s">
        <v>179</v>
      </c>
      <c r="H1042">
        <v>192</v>
      </c>
      <c r="I1042">
        <v>62.953000000000003</v>
      </c>
      <c r="J1042">
        <v>74.233999999999995</v>
      </c>
      <c r="K1042">
        <v>11.281000000000001</v>
      </c>
      <c r="L1042">
        <v>127</v>
      </c>
      <c r="M1042">
        <v>19</v>
      </c>
      <c r="N1042">
        <v>46</v>
      </c>
      <c r="O1042">
        <v>75.513999999999996</v>
      </c>
      <c r="P1042">
        <v>10.01000449</v>
      </c>
      <c r="Q1042">
        <v>17.123999999999999</v>
      </c>
    </row>
    <row r="1043" spans="1:17" s="30" customFormat="1" x14ac:dyDescent="0.2">
      <c r="A1043" s="30" t="str">
        <f>IF(C1043&amp;G1043&amp;D1043&lt;&gt;'Funnel setup'!$K$3&amp;'Funnel setup'!$K$4&amp;'Funnel setup'!$K$5,".",IF(A1042=".",1,A1042+1))</f>
        <v>.</v>
      </c>
      <c r="B1043" s="431" t="str">
        <f t="shared" si="16"/>
        <v>Hip Replacement PrimaryCCG of GP PracticeNHS GREENWICH CCG (08A)EQ VAS</v>
      </c>
      <c r="C1043" t="s">
        <v>248</v>
      </c>
      <c r="D1043" t="s">
        <v>87</v>
      </c>
      <c r="E1043" t="s">
        <v>489</v>
      </c>
      <c r="F1043" t="s">
        <v>490</v>
      </c>
      <c r="G1043" t="s">
        <v>179</v>
      </c>
      <c r="H1043">
        <v>72</v>
      </c>
      <c r="I1043">
        <v>62.014000000000003</v>
      </c>
      <c r="J1043">
        <v>73.694000000000003</v>
      </c>
      <c r="K1043">
        <v>11.680999999999999</v>
      </c>
      <c r="L1043">
        <v>53</v>
      </c>
      <c r="M1043">
        <v>3</v>
      </c>
      <c r="N1043">
        <v>16</v>
      </c>
      <c r="O1043">
        <v>76.405000000000001</v>
      </c>
      <c r="P1043">
        <v>10.90099236</v>
      </c>
      <c r="Q1043">
        <v>18.196999999999999</v>
      </c>
    </row>
    <row r="1044" spans="1:17" s="30" customFormat="1" x14ac:dyDescent="0.2">
      <c r="A1044" s="30" t="str">
        <f>IF(C1044&amp;G1044&amp;D1044&lt;&gt;'Funnel setup'!$K$3&amp;'Funnel setup'!$K$4&amp;'Funnel setup'!$K$5,".",IF(A1043=".",1,A1043+1))</f>
        <v>.</v>
      </c>
      <c r="B1044" s="431" t="str">
        <f t="shared" si="16"/>
        <v>Hip Replacement PrimaryCCG of GP PracticeNHS GUILDFORD AND WAVERLEY CCG (09N)EQ VAS</v>
      </c>
      <c r="C1044" t="s">
        <v>248</v>
      </c>
      <c r="D1044" t="s">
        <v>87</v>
      </c>
      <c r="E1044" t="s">
        <v>911</v>
      </c>
      <c r="F1044" t="s">
        <v>912</v>
      </c>
      <c r="G1044" t="s">
        <v>179</v>
      </c>
      <c r="H1044">
        <v>126</v>
      </c>
      <c r="I1044">
        <v>65.912999999999997</v>
      </c>
      <c r="J1044">
        <v>79.397000000000006</v>
      </c>
      <c r="K1044">
        <v>13.484</v>
      </c>
      <c r="L1044">
        <v>87</v>
      </c>
      <c r="M1044">
        <v>14</v>
      </c>
      <c r="N1044">
        <v>25</v>
      </c>
      <c r="O1044">
        <v>77.700999999999993</v>
      </c>
      <c r="P1044">
        <v>12.196696490000001</v>
      </c>
      <c r="Q1044">
        <v>15.592000000000001</v>
      </c>
    </row>
    <row r="1045" spans="1:17" s="30" customFormat="1" x14ac:dyDescent="0.2">
      <c r="A1045" s="30" t="str">
        <f>IF(C1045&amp;G1045&amp;D1045&lt;&gt;'Funnel setup'!$K$3&amp;'Funnel setup'!$K$4&amp;'Funnel setup'!$K$5,".",IF(A1044=".",1,A1044+1))</f>
        <v>.</v>
      </c>
      <c r="B1045" s="431" t="str">
        <f t="shared" si="16"/>
        <v>Hip Replacement PrimaryCCG of GP PracticeNHS HALTON CCG (01F)EQ VAS</v>
      </c>
      <c r="C1045" t="s">
        <v>248</v>
      </c>
      <c r="D1045" t="s">
        <v>87</v>
      </c>
      <c r="E1045" t="s">
        <v>914</v>
      </c>
      <c r="F1045" t="s">
        <v>915</v>
      </c>
      <c r="G1045" t="s">
        <v>179</v>
      </c>
      <c r="H1045">
        <v>62</v>
      </c>
      <c r="I1045">
        <v>60.323</v>
      </c>
      <c r="J1045">
        <v>74</v>
      </c>
      <c r="K1045">
        <v>13.677</v>
      </c>
      <c r="L1045">
        <v>40</v>
      </c>
      <c r="M1045">
        <v>7</v>
      </c>
      <c r="N1045">
        <v>15</v>
      </c>
      <c r="O1045">
        <v>76.516999999999996</v>
      </c>
      <c r="P1045">
        <v>11.012218349999999</v>
      </c>
      <c r="Q1045">
        <v>16.611999999999998</v>
      </c>
    </row>
    <row r="1046" spans="1:17" s="30" customFormat="1" x14ac:dyDescent="0.2">
      <c r="A1046" s="30" t="str">
        <f>IF(C1046&amp;G1046&amp;D1046&lt;&gt;'Funnel setup'!$K$3&amp;'Funnel setup'!$K$4&amp;'Funnel setup'!$K$5,".",IF(A1045=".",1,A1045+1))</f>
        <v>.</v>
      </c>
      <c r="B1046" s="431" t="str">
        <f t="shared" si="16"/>
        <v>Hip Replacement PrimaryCCG of GP PracticeNHS HAMBLETON, RICHMONDSHIRE AND WHITBY CCG (03D)EQ VAS</v>
      </c>
      <c r="C1046" t="s">
        <v>248</v>
      </c>
      <c r="D1046" t="s">
        <v>87</v>
      </c>
      <c r="E1046" t="s">
        <v>917</v>
      </c>
      <c r="F1046" t="s">
        <v>918</v>
      </c>
      <c r="G1046" t="s">
        <v>179</v>
      </c>
      <c r="H1046">
        <v>184</v>
      </c>
      <c r="I1046">
        <v>66.972999999999999</v>
      </c>
      <c r="J1046">
        <v>78.016000000000005</v>
      </c>
      <c r="K1046">
        <v>11.042999999999999</v>
      </c>
      <c r="L1046">
        <v>115</v>
      </c>
      <c r="M1046">
        <v>21</v>
      </c>
      <c r="N1046">
        <v>48</v>
      </c>
      <c r="O1046">
        <v>76.262</v>
      </c>
      <c r="P1046">
        <v>10.75773951</v>
      </c>
      <c r="Q1046">
        <v>16.213999999999999</v>
      </c>
    </row>
    <row r="1047" spans="1:17" s="30" customFormat="1" x14ac:dyDescent="0.2">
      <c r="A1047" s="30" t="str">
        <f>IF(C1047&amp;G1047&amp;D1047&lt;&gt;'Funnel setup'!$K$3&amp;'Funnel setup'!$K$4&amp;'Funnel setup'!$K$5,".",IF(A1046=".",1,A1046+1))</f>
        <v>.</v>
      </c>
      <c r="B1047" s="431" t="str">
        <f t="shared" si="16"/>
        <v>Hip Replacement PrimaryCCG of GP PracticeNHS HAMMERSMITH AND FULHAM CCG (08C)EQ VAS</v>
      </c>
      <c r="C1047" t="s">
        <v>248</v>
      </c>
      <c r="D1047" t="s">
        <v>87</v>
      </c>
      <c r="E1047" t="s">
        <v>920</v>
      </c>
      <c r="F1047" t="s">
        <v>921</v>
      </c>
      <c r="G1047" t="s">
        <v>179</v>
      </c>
      <c r="H1047">
        <v>20</v>
      </c>
      <c r="I1047">
        <v>55.35</v>
      </c>
      <c r="J1047">
        <v>73.5</v>
      </c>
      <c r="K1047">
        <v>18.149999999999999</v>
      </c>
      <c r="L1047">
        <v>17</v>
      </c>
      <c r="M1047">
        <v>2</v>
      </c>
      <c r="N1047">
        <v>1</v>
      </c>
      <c r="O1047" t="s">
        <v>53</v>
      </c>
      <c r="P1047" t="s">
        <v>53</v>
      </c>
      <c r="Q1047" t="s">
        <v>53</v>
      </c>
    </row>
    <row r="1048" spans="1:17" s="30" customFormat="1" x14ac:dyDescent="0.2">
      <c r="A1048" s="30" t="str">
        <f>IF(C1048&amp;G1048&amp;D1048&lt;&gt;'Funnel setup'!$K$3&amp;'Funnel setup'!$K$4&amp;'Funnel setup'!$K$5,".",IF(A1047=".",1,A1047+1))</f>
        <v>.</v>
      </c>
      <c r="B1048" s="431" t="str">
        <f t="shared" si="16"/>
        <v>Hip Replacement PrimaryCCG of GP PracticeNHS HARDWICK CCG (03Y)EQ VAS</v>
      </c>
      <c r="C1048" t="s">
        <v>248</v>
      </c>
      <c r="D1048" t="s">
        <v>87</v>
      </c>
      <c r="E1048" t="s">
        <v>923</v>
      </c>
      <c r="F1048" t="s">
        <v>924</v>
      </c>
      <c r="G1048" t="s">
        <v>179</v>
      </c>
      <c r="H1048">
        <v>80</v>
      </c>
      <c r="I1048">
        <v>66.025000000000006</v>
      </c>
      <c r="J1048">
        <v>74.349999999999994</v>
      </c>
      <c r="K1048">
        <v>8.3249999999999993</v>
      </c>
      <c r="L1048">
        <v>44</v>
      </c>
      <c r="M1048">
        <v>7</v>
      </c>
      <c r="N1048">
        <v>29</v>
      </c>
      <c r="O1048">
        <v>76.391999999999996</v>
      </c>
      <c r="P1048">
        <v>10.887216459999999</v>
      </c>
      <c r="Q1048">
        <v>16.119</v>
      </c>
    </row>
    <row r="1049" spans="1:17" s="30" customFormat="1" x14ac:dyDescent="0.2">
      <c r="A1049" s="30" t="str">
        <f>IF(C1049&amp;G1049&amp;D1049&lt;&gt;'Funnel setup'!$K$3&amp;'Funnel setup'!$K$4&amp;'Funnel setup'!$K$5,".",IF(A1048=".",1,A1048+1))</f>
        <v>.</v>
      </c>
      <c r="B1049" s="431" t="str">
        <f t="shared" si="16"/>
        <v>Hip Replacement PrimaryCCG of GP PracticeNHS HARINGEY CCG (08D)EQ VAS</v>
      </c>
      <c r="C1049" t="s">
        <v>248</v>
      </c>
      <c r="D1049" t="s">
        <v>87</v>
      </c>
      <c r="E1049" t="s">
        <v>926</v>
      </c>
      <c r="F1049" t="s">
        <v>927</v>
      </c>
      <c r="G1049" t="s">
        <v>179</v>
      </c>
      <c r="H1049">
        <v>24</v>
      </c>
      <c r="I1049">
        <v>60.292000000000002</v>
      </c>
      <c r="J1049">
        <v>77.125</v>
      </c>
      <c r="K1049">
        <v>16.832999999999998</v>
      </c>
      <c r="L1049">
        <v>17</v>
      </c>
      <c r="M1049">
        <v>4</v>
      </c>
      <c r="N1049">
        <v>3</v>
      </c>
      <c r="O1049" t="s">
        <v>53</v>
      </c>
      <c r="P1049" t="s">
        <v>53</v>
      </c>
      <c r="Q1049" t="s">
        <v>53</v>
      </c>
    </row>
    <row r="1050" spans="1:17" s="30" customFormat="1" x14ac:dyDescent="0.2">
      <c r="A1050" s="30" t="str">
        <f>IF(C1050&amp;G1050&amp;D1050&lt;&gt;'Funnel setup'!$K$3&amp;'Funnel setup'!$K$4&amp;'Funnel setup'!$K$5,".",IF(A1049=".",1,A1049+1))</f>
        <v>.</v>
      </c>
      <c r="B1050" s="431" t="str">
        <f t="shared" si="16"/>
        <v>Hip Replacement PrimaryCCG of GP PracticeNHS HARROGATE AND RURAL DISTRICT CCG (03E)EQ VAS</v>
      </c>
      <c r="C1050" t="s">
        <v>248</v>
      </c>
      <c r="D1050" t="s">
        <v>87</v>
      </c>
      <c r="E1050" t="s">
        <v>929</v>
      </c>
      <c r="F1050" t="s">
        <v>930</v>
      </c>
      <c r="G1050" t="s">
        <v>179</v>
      </c>
      <c r="H1050">
        <v>167</v>
      </c>
      <c r="I1050">
        <v>65.897999999999996</v>
      </c>
      <c r="J1050">
        <v>77.436999999999998</v>
      </c>
      <c r="K1050">
        <v>11.539</v>
      </c>
      <c r="L1050">
        <v>113</v>
      </c>
      <c r="M1050">
        <v>14</v>
      </c>
      <c r="N1050">
        <v>40</v>
      </c>
      <c r="O1050">
        <v>76.683999999999997</v>
      </c>
      <c r="P1050">
        <v>11.179868300000001</v>
      </c>
      <c r="Q1050">
        <v>14.987</v>
      </c>
    </row>
    <row r="1051" spans="1:17" s="30" customFormat="1" x14ac:dyDescent="0.2">
      <c r="A1051" s="30" t="str">
        <f>IF(C1051&amp;G1051&amp;D1051&lt;&gt;'Funnel setup'!$K$3&amp;'Funnel setup'!$K$4&amp;'Funnel setup'!$K$5,".",IF(A1050=".",1,A1050+1))</f>
        <v>.</v>
      </c>
      <c r="B1051" s="431" t="str">
        <f t="shared" si="16"/>
        <v>Hip Replacement PrimaryCCG of GP PracticeNHS HARROW CCG (08E)EQ VAS</v>
      </c>
      <c r="C1051" t="s">
        <v>248</v>
      </c>
      <c r="D1051" t="s">
        <v>87</v>
      </c>
      <c r="E1051" t="s">
        <v>492</v>
      </c>
      <c r="F1051" t="s">
        <v>493</v>
      </c>
      <c r="G1051" t="s">
        <v>179</v>
      </c>
      <c r="H1051">
        <v>69</v>
      </c>
      <c r="I1051">
        <v>62.100999999999999</v>
      </c>
      <c r="J1051">
        <v>77.116</v>
      </c>
      <c r="K1051">
        <v>15.013999999999999</v>
      </c>
      <c r="L1051">
        <v>48</v>
      </c>
      <c r="M1051">
        <v>8</v>
      </c>
      <c r="N1051">
        <v>13</v>
      </c>
      <c r="O1051">
        <v>78.188000000000002</v>
      </c>
      <c r="P1051">
        <v>12.68379228</v>
      </c>
      <c r="Q1051">
        <v>15.428000000000001</v>
      </c>
    </row>
    <row r="1052" spans="1:17" s="30" customFormat="1" x14ac:dyDescent="0.2">
      <c r="A1052" s="30" t="str">
        <f>IF(C1052&amp;G1052&amp;D1052&lt;&gt;'Funnel setup'!$K$3&amp;'Funnel setup'!$K$4&amp;'Funnel setup'!$K$5,".",IF(A1051=".",1,A1051+1))</f>
        <v>.</v>
      </c>
      <c r="B1052" s="431" t="str">
        <f t="shared" si="16"/>
        <v>Hip Replacement PrimaryCCG of GP PracticeNHS HARTLEPOOL AND STOCKTON-ON-TEES CCG (00K)EQ VAS</v>
      </c>
      <c r="C1052" t="s">
        <v>248</v>
      </c>
      <c r="D1052" t="s">
        <v>87</v>
      </c>
      <c r="E1052" t="s">
        <v>495</v>
      </c>
      <c r="F1052" t="s">
        <v>496</v>
      </c>
      <c r="G1052" t="s">
        <v>179</v>
      </c>
      <c r="H1052">
        <v>235</v>
      </c>
      <c r="I1052">
        <v>62.621000000000002</v>
      </c>
      <c r="J1052">
        <v>75.489000000000004</v>
      </c>
      <c r="K1052">
        <v>12.868</v>
      </c>
      <c r="L1052">
        <v>156</v>
      </c>
      <c r="M1052">
        <v>22</v>
      </c>
      <c r="N1052">
        <v>57</v>
      </c>
      <c r="O1052">
        <v>77.912999999999997</v>
      </c>
      <c r="P1052">
        <v>12.408587239999999</v>
      </c>
      <c r="Q1052">
        <v>17.152999999999999</v>
      </c>
    </row>
    <row r="1053" spans="1:17" s="30" customFormat="1" x14ac:dyDescent="0.2">
      <c r="A1053" s="30" t="str">
        <f>IF(C1053&amp;G1053&amp;D1053&lt;&gt;'Funnel setup'!$K$3&amp;'Funnel setup'!$K$4&amp;'Funnel setup'!$K$5,".",IF(A1052=".",1,A1052+1))</f>
        <v>.</v>
      </c>
      <c r="B1053" s="431" t="str">
        <f t="shared" si="16"/>
        <v>Hip Replacement PrimaryCCG of GP PracticeNHS HASTINGS AND ROTHER CCG (09P)EQ VAS</v>
      </c>
      <c r="C1053" t="s">
        <v>248</v>
      </c>
      <c r="D1053" t="s">
        <v>87</v>
      </c>
      <c r="E1053" t="s">
        <v>498</v>
      </c>
      <c r="F1053" t="s">
        <v>499</v>
      </c>
      <c r="G1053" t="s">
        <v>179</v>
      </c>
      <c r="H1053">
        <v>197</v>
      </c>
      <c r="I1053">
        <v>67.548000000000002</v>
      </c>
      <c r="J1053">
        <v>78.162000000000006</v>
      </c>
      <c r="K1053">
        <v>10.614000000000001</v>
      </c>
      <c r="L1053">
        <v>131</v>
      </c>
      <c r="M1053">
        <v>19</v>
      </c>
      <c r="N1053">
        <v>47</v>
      </c>
      <c r="O1053">
        <v>78.453000000000003</v>
      </c>
      <c r="P1053">
        <v>12.948180839999999</v>
      </c>
      <c r="Q1053">
        <v>14.625999999999999</v>
      </c>
    </row>
    <row r="1054" spans="1:17" s="30" customFormat="1" x14ac:dyDescent="0.2">
      <c r="A1054" s="30" t="str">
        <f>IF(C1054&amp;G1054&amp;D1054&lt;&gt;'Funnel setup'!$K$3&amp;'Funnel setup'!$K$4&amp;'Funnel setup'!$K$5,".",IF(A1053=".",1,A1053+1))</f>
        <v>.</v>
      </c>
      <c r="B1054" s="431" t="str">
        <f t="shared" si="16"/>
        <v>Hip Replacement PrimaryCCG of GP PracticeNHS HAVERING CCG (08F)EQ VAS</v>
      </c>
      <c r="C1054" t="s">
        <v>248</v>
      </c>
      <c r="D1054" t="s">
        <v>87</v>
      </c>
      <c r="E1054" t="s">
        <v>501</v>
      </c>
      <c r="F1054" t="s">
        <v>502</v>
      </c>
      <c r="G1054" t="s">
        <v>179</v>
      </c>
      <c r="H1054">
        <v>100</v>
      </c>
      <c r="I1054">
        <v>64.760000000000005</v>
      </c>
      <c r="J1054">
        <v>76.58</v>
      </c>
      <c r="K1054">
        <v>11.82</v>
      </c>
      <c r="L1054">
        <v>58</v>
      </c>
      <c r="M1054">
        <v>14</v>
      </c>
      <c r="N1054">
        <v>28</v>
      </c>
      <c r="O1054">
        <v>77.326999999999998</v>
      </c>
      <c r="P1054">
        <v>11.82259189</v>
      </c>
      <c r="Q1054">
        <v>12.888999999999999</v>
      </c>
    </row>
    <row r="1055" spans="1:17" s="30" customFormat="1" x14ac:dyDescent="0.2">
      <c r="A1055" s="30" t="str">
        <f>IF(C1055&amp;G1055&amp;D1055&lt;&gt;'Funnel setup'!$K$3&amp;'Funnel setup'!$K$4&amp;'Funnel setup'!$K$5,".",IF(A1054=".",1,A1054+1))</f>
        <v>.</v>
      </c>
      <c r="B1055" s="431" t="str">
        <f t="shared" si="16"/>
        <v>Hip Replacement PrimaryCCG of GP PracticeNHS HEREFORDSHIRE CCG (05F)EQ VAS</v>
      </c>
      <c r="C1055" t="s">
        <v>248</v>
      </c>
      <c r="D1055" t="s">
        <v>87</v>
      </c>
      <c r="E1055" t="s">
        <v>504</v>
      </c>
      <c r="F1055" t="s">
        <v>505</v>
      </c>
      <c r="G1055" t="s">
        <v>179</v>
      </c>
      <c r="H1055">
        <v>175</v>
      </c>
      <c r="I1055">
        <v>66.72</v>
      </c>
      <c r="J1055">
        <v>78.674000000000007</v>
      </c>
      <c r="K1055">
        <v>11.954000000000001</v>
      </c>
      <c r="L1055">
        <v>116</v>
      </c>
      <c r="M1055">
        <v>16</v>
      </c>
      <c r="N1055">
        <v>43</v>
      </c>
      <c r="O1055">
        <v>77.254999999999995</v>
      </c>
      <c r="P1055">
        <v>11.75116989</v>
      </c>
      <c r="Q1055">
        <v>17.242999999999999</v>
      </c>
    </row>
    <row r="1056" spans="1:17" s="30" customFormat="1" x14ac:dyDescent="0.2">
      <c r="A1056" s="30" t="str">
        <f>IF(C1056&amp;G1056&amp;D1056&lt;&gt;'Funnel setup'!$K$3&amp;'Funnel setup'!$K$4&amp;'Funnel setup'!$K$5,".",IF(A1055=".",1,A1055+1))</f>
        <v>.</v>
      </c>
      <c r="B1056" s="431" t="str">
        <f t="shared" si="16"/>
        <v>Hip Replacement PrimaryCCG of GP PracticeNHS HERTS VALLEYS CCG (06N)EQ VAS</v>
      </c>
      <c r="C1056" t="s">
        <v>248</v>
      </c>
      <c r="D1056" t="s">
        <v>87</v>
      </c>
      <c r="E1056" t="s">
        <v>507</v>
      </c>
      <c r="F1056" t="s">
        <v>508</v>
      </c>
      <c r="G1056" t="s">
        <v>179</v>
      </c>
      <c r="H1056">
        <v>297</v>
      </c>
      <c r="I1056">
        <v>63.939</v>
      </c>
      <c r="J1056">
        <v>78.488</v>
      </c>
      <c r="K1056">
        <v>14.548999999999999</v>
      </c>
      <c r="L1056">
        <v>202</v>
      </c>
      <c r="M1056">
        <v>38</v>
      </c>
      <c r="N1056">
        <v>57</v>
      </c>
      <c r="O1056">
        <v>78.125</v>
      </c>
      <c r="P1056">
        <v>12.62049813</v>
      </c>
      <c r="Q1056">
        <v>14.911</v>
      </c>
    </row>
    <row r="1057" spans="1:17" s="30" customFormat="1" x14ac:dyDescent="0.2">
      <c r="A1057" s="30" t="str">
        <f>IF(C1057&amp;G1057&amp;D1057&lt;&gt;'Funnel setup'!$K$3&amp;'Funnel setup'!$K$4&amp;'Funnel setup'!$K$5,".",IF(A1056=".",1,A1056+1))</f>
        <v>.</v>
      </c>
      <c r="B1057" s="431" t="str">
        <f t="shared" si="16"/>
        <v>Hip Replacement PrimaryCCG of GP PracticeNHS HEYWOOD, MIDDLETON AND ROCHDALE CCG (01D)EQ VAS</v>
      </c>
      <c r="C1057" t="s">
        <v>248</v>
      </c>
      <c r="D1057" t="s">
        <v>87</v>
      </c>
      <c r="E1057" t="s">
        <v>510</v>
      </c>
      <c r="F1057" t="s">
        <v>511</v>
      </c>
      <c r="G1057" t="s">
        <v>179</v>
      </c>
      <c r="H1057">
        <v>58</v>
      </c>
      <c r="I1057">
        <v>64.138000000000005</v>
      </c>
      <c r="J1057">
        <v>75.171999999999997</v>
      </c>
      <c r="K1057">
        <v>11.034000000000001</v>
      </c>
      <c r="L1057">
        <v>34</v>
      </c>
      <c r="M1057">
        <v>10</v>
      </c>
      <c r="N1057">
        <v>14</v>
      </c>
      <c r="O1057">
        <v>75.647000000000006</v>
      </c>
      <c r="P1057">
        <v>10.14284455</v>
      </c>
      <c r="Q1057">
        <v>19.305</v>
      </c>
    </row>
    <row r="1058" spans="1:17" s="30" customFormat="1" x14ac:dyDescent="0.2">
      <c r="A1058" s="30" t="str">
        <f>IF(C1058&amp;G1058&amp;D1058&lt;&gt;'Funnel setup'!$K$3&amp;'Funnel setup'!$K$4&amp;'Funnel setup'!$K$5,".",IF(A1057=".",1,A1057+1))</f>
        <v>.</v>
      </c>
      <c r="B1058" s="431" t="str">
        <f t="shared" si="16"/>
        <v>Hip Replacement PrimaryCCG of GP PracticeNHS HIGH WEALD LEWES HAVENS CCG (99K)EQ VAS</v>
      </c>
      <c r="C1058" t="s">
        <v>248</v>
      </c>
      <c r="D1058" t="s">
        <v>87</v>
      </c>
      <c r="E1058" t="s">
        <v>513</v>
      </c>
      <c r="F1058" t="s">
        <v>514</v>
      </c>
      <c r="G1058" t="s">
        <v>179</v>
      </c>
      <c r="H1058">
        <v>200</v>
      </c>
      <c r="I1058">
        <v>69.844999999999999</v>
      </c>
      <c r="J1058">
        <v>78.95</v>
      </c>
      <c r="K1058">
        <v>9.1050000000000004</v>
      </c>
      <c r="L1058">
        <v>129</v>
      </c>
      <c r="M1058">
        <v>26</v>
      </c>
      <c r="N1058">
        <v>45</v>
      </c>
      <c r="O1058">
        <v>76.897000000000006</v>
      </c>
      <c r="P1058">
        <v>11.39255964</v>
      </c>
      <c r="Q1058">
        <v>14.468</v>
      </c>
    </row>
    <row r="1059" spans="1:17" s="30" customFormat="1" x14ac:dyDescent="0.2">
      <c r="A1059" s="30" t="str">
        <f>IF(C1059&amp;G1059&amp;D1059&lt;&gt;'Funnel setup'!$K$3&amp;'Funnel setup'!$K$4&amp;'Funnel setup'!$K$5,".",IF(A1058=".",1,A1058+1))</f>
        <v>.</v>
      </c>
      <c r="B1059" s="431" t="str">
        <f t="shared" si="16"/>
        <v>Hip Replacement PrimaryCCG of GP PracticeNHS HILLINGDON CCG (08G)EQ VAS</v>
      </c>
      <c r="C1059" t="s">
        <v>248</v>
      </c>
      <c r="D1059" t="s">
        <v>87</v>
      </c>
      <c r="E1059" t="s">
        <v>516</v>
      </c>
      <c r="F1059" t="s">
        <v>517</v>
      </c>
      <c r="G1059" t="s">
        <v>179</v>
      </c>
      <c r="H1059">
        <v>127</v>
      </c>
      <c r="I1059">
        <v>62.835000000000001</v>
      </c>
      <c r="J1059">
        <v>75.471999999999994</v>
      </c>
      <c r="K1059">
        <v>12.638</v>
      </c>
      <c r="L1059">
        <v>86</v>
      </c>
      <c r="M1059">
        <v>17</v>
      </c>
      <c r="N1059">
        <v>24</v>
      </c>
      <c r="O1059">
        <v>76.915000000000006</v>
      </c>
      <c r="P1059">
        <v>11.410186729999999</v>
      </c>
      <c r="Q1059">
        <v>16.966999999999999</v>
      </c>
    </row>
    <row r="1060" spans="1:17" s="30" customFormat="1" x14ac:dyDescent="0.2">
      <c r="A1060" s="30" t="str">
        <f>IF(C1060&amp;G1060&amp;D1060&lt;&gt;'Funnel setup'!$K$3&amp;'Funnel setup'!$K$4&amp;'Funnel setup'!$K$5,".",IF(A1059=".",1,A1059+1))</f>
        <v>.</v>
      </c>
      <c r="B1060" s="431" t="str">
        <f t="shared" si="16"/>
        <v>Hip Replacement PrimaryCCG of GP PracticeNHS HORSHAM AND MID SUSSEX CCG (09X)EQ VAS</v>
      </c>
      <c r="C1060" t="s">
        <v>248</v>
      </c>
      <c r="D1060" t="s">
        <v>87</v>
      </c>
      <c r="E1060" t="s">
        <v>519</v>
      </c>
      <c r="F1060" t="s">
        <v>520</v>
      </c>
      <c r="G1060" t="s">
        <v>179</v>
      </c>
      <c r="H1060">
        <v>158</v>
      </c>
      <c r="I1060">
        <v>71.100999999999999</v>
      </c>
      <c r="J1060">
        <v>80.980999999999995</v>
      </c>
      <c r="K1060">
        <v>9.8800000000000008</v>
      </c>
      <c r="L1060">
        <v>96</v>
      </c>
      <c r="M1060">
        <v>22</v>
      </c>
      <c r="N1060">
        <v>40</v>
      </c>
      <c r="O1060">
        <v>77.698999999999998</v>
      </c>
      <c r="P1060">
        <v>12.194678740000001</v>
      </c>
      <c r="Q1060">
        <v>14.544</v>
      </c>
    </row>
    <row r="1061" spans="1:17" s="30" customFormat="1" x14ac:dyDescent="0.2">
      <c r="A1061" s="30" t="str">
        <f>IF(C1061&amp;G1061&amp;D1061&lt;&gt;'Funnel setup'!$K$3&amp;'Funnel setup'!$K$4&amp;'Funnel setup'!$K$5,".",IF(A1060=".",1,A1060+1))</f>
        <v>.</v>
      </c>
      <c r="B1061" s="431" t="str">
        <f t="shared" si="16"/>
        <v>Hip Replacement PrimaryCCG of GP PracticeNHS HOUNSLOW CCG (07Y)EQ VAS</v>
      </c>
      <c r="C1061" t="s">
        <v>248</v>
      </c>
      <c r="D1061" t="s">
        <v>87</v>
      </c>
      <c r="E1061" t="s">
        <v>522</v>
      </c>
      <c r="F1061" t="s">
        <v>523</v>
      </c>
      <c r="G1061" t="s">
        <v>179</v>
      </c>
      <c r="H1061">
        <v>61</v>
      </c>
      <c r="I1061">
        <v>67.721000000000004</v>
      </c>
      <c r="J1061">
        <v>78.245999999999995</v>
      </c>
      <c r="K1061">
        <v>10.525</v>
      </c>
      <c r="L1061">
        <v>35</v>
      </c>
      <c r="M1061">
        <v>7</v>
      </c>
      <c r="N1061">
        <v>19</v>
      </c>
      <c r="O1061">
        <v>78.343000000000004</v>
      </c>
      <c r="P1061">
        <v>12.83874877</v>
      </c>
      <c r="Q1061">
        <v>15.246</v>
      </c>
    </row>
    <row r="1062" spans="1:17" s="30" customFormat="1" x14ac:dyDescent="0.2">
      <c r="A1062" s="30" t="str">
        <f>IF(C1062&amp;G1062&amp;D1062&lt;&gt;'Funnel setup'!$K$3&amp;'Funnel setup'!$K$4&amp;'Funnel setup'!$K$5,".",IF(A1061=".",1,A1061+1))</f>
        <v>.</v>
      </c>
      <c r="B1062" s="431" t="str">
        <f t="shared" si="16"/>
        <v>Hip Replacement PrimaryCCG of GP PracticeNHS HULL CCG (03F)EQ VAS</v>
      </c>
      <c r="C1062" t="s">
        <v>248</v>
      </c>
      <c r="D1062" t="s">
        <v>87</v>
      </c>
      <c r="E1062" t="s">
        <v>525</v>
      </c>
      <c r="F1062" t="s">
        <v>526</v>
      </c>
      <c r="G1062" t="s">
        <v>179</v>
      </c>
      <c r="H1062">
        <v>163</v>
      </c>
      <c r="I1062">
        <v>59.902000000000001</v>
      </c>
      <c r="J1062">
        <v>74.049000000000007</v>
      </c>
      <c r="K1062">
        <v>14.147</v>
      </c>
      <c r="L1062">
        <v>113</v>
      </c>
      <c r="M1062">
        <v>22</v>
      </c>
      <c r="N1062">
        <v>28</v>
      </c>
      <c r="O1062">
        <v>75.834999999999994</v>
      </c>
      <c r="P1062">
        <v>10.33046736</v>
      </c>
      <c r="Q1062">
        <v>16.084</v>
      </c>
    </row>
    <row r="1063" spans="1:17" s="30" customFormat="1" x14ac:dyDescent="0.2">
      <c r="A1063" s="30" t="str">
        <f>IF(C1063&amp;G1063&amp;D1063&lt;&gt;'Funnel setup'!$K$3&amp;'Funnel setup'!$K$4&amp;'Funnel setup'!$K$5,".",IF(A1062=".",1,A1062+1))</f>
        <v>.</v>
      </c>
      <c r="B1063" s="431" t="str">
        <f t="shared" si="16"/>
        <v>Hip Replacement PrimaryCCG of GP PracticeNHS IPSWICH AND EAST SUFFOLK CCG (06L)EQ VAS</v>
      </c>
      <c r="C1063" t="s">
        <v>248</v>
      </c>
      <c r="D1063" t="s">
        <v>87</v>
      </c>
      <c r="E1063" t="s">
        <v>528</v>
      </c>
      <c r="F1063" t="s">
        <v>529</v>
      </c>
      <c r="G1063" t="s">
        <v>179</v>
      </c>
      <c r="H1063">
        <v>263</v>
      </c>
      <c r="I1063">
        <v>65.84</v>
      </c>
      <c r="J1063">
        <v>77.763999999999996</v>
      </c>
      <c r="K1063">
        <v>11.923999999999999</v>
      </c>
      <c r="L1063">
        <v>178</v>
      </c>
      <c r="M1063">
        <v>25</v>
      </c>
      <c r="N1063">
        <v>60</v>
      </c>
      <c r="O1063">
        <v>77.777000000000001</v>
      </c>
      <c r="P1063">
        <v>12.27233395</v>
      </c>
      <c r="Q1063">
        <v>14.877000000000001</v>
      </c>
    </row>
    <row r="1064" spans="1:17" s="30" customFormat="1" x14ac:dyDescent="0.2">
      <c r="A1064" s="30" t="str">
        <f>IF(C1064&amp;G1064&amp;D1064&lt;&gt;'Funnel setup'!$K$3&amp;'Funnel setup'!$K$4&amp;'Funnel setup'!$K$5,".",IF(A1063=".",1,A1063+1))</f>
        <v>.</v>
      </c>
      <c r="B1064" s="431" t="str">
        <f t="shared" si="16"/>
        <v>Hip Replacement PrimaryCCG of GP PracticeNHS ISLE OF WIGHT CCG (10L)EQ VAS</v>
      </c>
      <c r="C1064" t="s">
        <v>248</v>
      </c>
      <c r="D1064" t="s">
        <v>87</v>
      </c>
      <c r="E1064" t="s">
        <v>531</v>
      </c>
      <c r="F1064" t="s">
        <v>532</v>
      </c>
      <c r="G1064" t="s">
        <v>179</v>
      </c>
      <c r="H1064">
        <v>98</v>
      </c>
      <c r="I1064">
        <v>61.98</v>
      </c>
      <c r="J1064">
        <v>74.713999999999999</v>
      </c>
      <c r="K1064">
        <v>12.734999999999999</v>
      </c>
      <c r="L1064">
        <v>68</v>
      </c>
      <c r="M1064">
        <v>14</v>
      </c>
      <c r="N1064">
        <v>16</v>
      </c>
      <c r="O1064">
        <v>75.905000000000001</v>
      </c>
      <c r="P1064">
        <v>10.40081915</v>
      </c>
      <c r="Q1064">
        <v>15.423</v>
      </c>
    </row>
    <row r="1065" spans="1:17" s="30" customFormat="1" x14ac:dyDescent="0.2">
      <c r="A1065" s="30" t="str">
        <f>IF(C1065&amp;G1065&amp;D1065&lt;&gt;'Funnel setup'!$K$3&amp;'Funnel setup'!$K$4&amp;'Funnel setup'!$K$5,".",IF(A1064=".",1,A1064+1))</f>
        <v>.</v>
      </c>
      <c r="B1065" s="431" t="str">
        <f t="shared" si="16"/>
        <v>Hip Replacement PrimaryCCG of GP PracticeNHS ISLINGTON CCG (08H)EQ VAS</v>
      </c>
      <c r="C1065" t="s">
        <v>248</v>
      </c>
      <c r="D1065" t="s">
        <v>87</v>
      </c>
      <c r="E1065" t="s">
        <v>534</v>
      </c>
      <c r="F1065" t="s">
        <v>535</v>
      </c>
      <c r="G1065" t="s">
        <v>179</v>
      </c>
      <c r="H1065">
        <v>26</v>
      </c>
      <c r="I1065">
        <v>59.5</v>
      </c>
      <c r="J1065">
        <v>74.614999999999995</v>
      </c>
      <c r="K1065">
        <v>15.115</v>
      </c>
      <c r="L1065">
        <v>22</v>
      </c>
      <c r="M1065">
        <v>0</v>
      </c>
      <c r="N1065">
        <v>4</v>
      </c>
      <c r="O1065" t="s">
        <v>53</v>
      </c>
      <c r="P1065" t="s">
        <v>53</v>
      </c>
      <c r="Q1065" t="s">
        <v>53</v>
      </c>
    </row>
    <row r="1066" spans="1:17" s="30" customFormat="1" x14ac:dyDescent="0.2">
      <c r="A1066" s="30" t="str">
        <f>IF(C1066&amp;G1066&amp;D1066&lt;&gt;'Funnel setup'!$K$3&amp;'Funnel setup'!$K$4&amp;'Funnel setup'!$K$5,".",IF(A1065=".",1,A1065+1))</f>
        <v>.</v>
      </c>
      <c r="B1066" s="431" t="str">
        <f t="shared" si="16"/>
        <v>Hip Replacement PrimaryCCG of GP PracticeNHS KERNOW CCG (11N)EQ VAS</v>
      </c>
      <c r="C1066" t="s">
        <v>248</v>
      </c>
      <c r="D1066" t="s">
        <v>87</v>
      </c>
      <c r="E1066" t="s">
        <v>537</v>
      </c>
      <c r="F1066" t="s">
        <v>538</v>
      </c>
      <c r="G1066" t="s">
        <v>179</v>
      </c>
      <c r="H1066">
        <v>750</v>
      </c>
      <c r="I1066">
        <v>67.885000000000005</v>
      </c>
      <c r="J1066">
        <v>77.688000000000002</v>
      </c>
      <c r="K1066">
        <v>9.8030000000000008</v>
      </c>
      <c r="L1066">
        <v>479</v>
      </c>
      <c r="M1066">
        <v>77</v>
      </c>
      <c r="N1066">
        <v>194</v>
      </c>
      <c r="O1066">
        <v>76.897000000000006</v>
      </c>
      <c r="P1066">
        <v>11.392964709999999</v>
      </c>
      <c r="Q1066">
        <v>16.664999999999999</v>
      </c>
    </row>
    <row r="1067" spans="1:17" s="30" customFormat="1" x14ac:dyDescent="0.2">
      <c r="A1067" s="30" t="str">
        <f>IF(C1067&amp;G1067&amp;D1067&lt;&gt;'Funnel setup'!$K$3&amp;'Funnel setup'!$K$4&amp;'Funnel setup'!$K$5,".",IF(A1066=".",1,A1066+1))</f>
        <v>.</v>
      </c>
      <c r="B1067" s="431" t="str">
        <f t="shared" si="16"/>
        <v>Hip Replacement PrimaryCCG of GP PracticeNHS KINGSTON CCG (08J)EQ VAS</v>
      </c>
      <c r="C1067" t="s">
        <v>248</v>
      </c>
      <c r="D1067" t="s">
        <v>87</v>
      </c>
      <c r="E1067" t="s">
        <v>540</v>
      </c>
      <c r="F1067" t="s">
        <v>541</v>
      </c>
      <c r="G1067" t="s">
        <v>179</v>
      </c>
      <c r="H1067">
        <v>78</v>
      </c>
      <c r="I1067">
        <v>65.076999999999998</v>
      </c>
      <c r="J1067">
        <v>79.076999999999998</v>
      </c>
      <c r="K1067">
        <v>14</v>
      </c>
      <c r="L1067">
        <v>59</v>
      </c>
      <c r="M1067">
        <v>4</v>
      </c>
      <c r="N1067">
        <v>15</v>
      </c>
      <c r="O1067">
        <v>78.828999999999994</v>
      </c>
      <c r="P1067">
        <v>13.32498184</v>
      </c>
      <c r="Q1067">
        <v>13.558999999999999</v>
      </c>
    </row>
    <row r="1068" spans="1:17" s="30" customFormat="1" x14ac:dyDescent="0.2">
      <c r="A1068" s="30" t="str">
        <f>IF(C1068&amp;G1068&amp;D1068&lt;&gt;'Funnel setup'!$K$3&amp;'Funnel setup'!$K$4&amp;'Funnel setup'!$K$5,".",IF(A1067=".",1,A1067+1))</f>
        <v>.</v>
      </c>
      <c r="B1068" s="431" t="str">
        <f t="shared" si="16"/>
        <v>Hip Replacement PrimaryCCG of GP PracticeNHS KNOWSLEY CCG (01J)EQ VAS</v>
      </c>
      <c r="C1068" t="s">
        <v>248</v>
      </c>
      <c r="D1068" t="s">
        <v>87</v>
      </c>
      <c r="E1068" t="s">
        <v>543</v>
      </c>
      <c r="F1068" t="s">
        <v>544</v>
      </c>
      <c r="G1068" t="s">
        <v>179</v>
      </c>
      <c r="H1068">
        <v>60</v>
      </c>
      <c r="I1068">
        <v>64.016999999999996</v>
      </c>
      <c r="J1068">
        <v>72.882999999999996</v>
      </c>
      <c r="K1068">
        <v>8.8670000000000009</v>
      </c>
      <c r="L1068">
        <v>35</v>
      </c>
      <c r="M1068">
        <v>9</v>
      </c>
      <c r="N1068">
        <v>16</v>
      </c>
      <c r="O1068">
        <v>76.977999999999994</v>
      </c>
      <c r="P1068">
        <v>11.473298829999999</v>
      </c>
      <c r="Q1068">
        <v>18.192</v>
      </c>
    </row>
    <row r="1069" spans="1:17" s="30" customFormat="1" x14ac:dyDescent="0.2">
      <c r="A1069" s="30" t="str">
        <f>IF(C1069&amp;G1069&amp;D1069&lt;&gt;'Funnel setup'!$K$3&amp;'Funnel setup'!$K$4&amp;'Funnel setup'!$K$5,".",IF(A1068=".",1,A1068+1))</f>
        <v>.</v>
      </c>
      <c r="B1069" s="431" t="str">
        <f t="shared" si="16"/>
        <v>Hip Replacement PrimaryCCG of GP PracticeNHS LAMBETH CCG (08K)EQ VAS</v>
      </c>
      <c r="C1069" t="s">
        <v>248</v>
      </c>
      <c r="D1069" t="s">
        <v>87</v>
      </c>
      <c r="E1069" t="s">
        <v>546</v>
      </c>
      <c r="F1069" t="s">
        <v>547</v>
      </c>
      <c r="G1069" t="s">
        <v>179</v>
      </c>
      <c r="H1069">
        <v>42</v>
      </c>
      <c r="I1069">
        <v>60.975999999999999</v>
      </c>
      <c r="J1069">
        <v>78.81</v>
      </c>
      <c r="K1069">
        <v>17.832999999999998</v>
      </c>
      <c r="L1069">
        <v>31</v>
      </c>
      <c r="M1069">
        <v>4</v>
      </c>
      <c r="N1069">
        <v>7</v>
      </c>
      <c r="O1069">
        <v>80.578000000000003</v>
      </c>
      <c r="P1069">
        <v>15.0739406</v>
      </c>
      <c r="Q1069">
        <v>19.771000000000001</v>
      </c>
    </row>
    <row r="1070" spans="1:17" s="30" customFormat="1" x14ac:dyDescent="0.2">
      <c r="A1070" s="30" t="str">
        <f>IF(C1070&amp;G1070&amp;D1070&lt;&gt;'Funnel setup'!$K$3&amp;'Funnel setup'!$K$4&amp;'Funnel setup'!$K$5,".",IF(A1069=".",1,A1069+1))</f>
        <v>.</v>
      </c>
      <c r="B1070" s="431" t="str">
        <f t="shared" si="16"/>
        <v>Hip Replacement PrimaryCCG of GP PracticeNHS LANCASHIRE NORTH CCG (01K)EQ VAS</v>
      </c>
      <c r="C1070" t="s">
        <v>248</v>
      </c>
      <c r="D1070" t="s">
        <v>87</v>
      </c>
      <c r="E1070" t="s">
        <v>549</v>
      </c>
      <c r="F1070" t="s">
        <v>550</v>
      </c>
      <c r="G1070" t="s">
        <v>179</v>
      </c>
      <c r="H1070">
        <v>135</v>
      </c>
      <c r="I1070">
        <v>65.430000000000007</v>
      </c>
      <c r="J1070">
        <v>77.103999999999999</v>
      </c>
      <c r="K1070">
        <v>11.673999999999999</v>
      </c>
      <c r="L1070">
        <v>80</v>
      </c>
      <c r="M1070">
        <v>19</v>
      </c>
      <c r="N1070">
        <v>36</v>
      </c>
      <c r="O1070">
        <v>77.379000000000005</v>
      </c>
      <c r="P1070">
        <v>11.87465291</v>
      </c>
      <c r="Q1070">
        <v>13.672000000000001</v>
      </c>
    </row>
    <row r="1071" spans="1:17" s="30" customFormat="1" x14ac:dyDescent="0.2">
      <c r="A1071" s="30" t="str">
        <f>IF(C1071&amp;G1071&amp;D1071&lt;&gt;'Funnel setup'!$K$3&amp;'Funnel setup'!$K$4&amp;'Funnel setup'!$K$5,".",IF(A1070=".",1,A1070+1))</f>
        <v>.</v>
      </c>
      <c r="B1071" s="431" t="str">
        <f t="shared" si="16"/>
        <v>Hip Replacement PrimaryCCG of GP PracticeNHS LEEDS NORTH CCG (02V)EQ VAS</v>
      </c>
      <c r="C1071" t="s">
        <v>248</v>
      </c>
      <c r="D1071" t="s">
        <v>87</v>
      </c>
      <c r="E1071" t="s">
        <v>552</v>
      </c>
      <c r="F1071" t="s">
        <v>337</v>
      </c>
      <c r="G1071" t="s">
        <v>179</v>
      </c>
      <c r="H1071">
        <v>128</v>
      </c>
      <c r="I1071">
        <v>66.608999999999995</v>
      </c>
      <c r="J1071">
        <v>77.858999999999995</v>
      </c>
      <c r="K1071">
        <v>11.25</v>
      </c>
      <c r="L1071">
        <v>84</v>
      </c>
      <c r="M1071">
        <v>14</v>
      </c>
      <c r="N1071">
        <v>30</v>
      </c>
      <c r="O1071">
        <v>77.363</v>
      </c>
      <c r="P1071">
        <v>11.85896498</v>
      </c>
      <c r="Q1071">
        <v>14.532</v>
      </c>
    </row>
    <row r="1072" spans="1:17" s="30" customFormat="1" x14ac:dyDescent="0.2">
      <c r="A1072" s="30" t="str">
        <f>IF(C1072&amp;G1072&amp;D1072&lt;&gt;'Funnel setup'!$K$3&amp;'Funnel setup'!$K$4&amp;'Funnel setup'!$K$5,".",IF(A1071=".",1,A1071+1))</f>
        <v>.</v>
      </c>
      <c r="B1072" s="431" t="str">
        <f t="shared" si="16"/>
        <v>Hip Replacement PrimaryCCG of GP PracticeNHS LEEDS SOUTH AND EAST CCG (03G)EQ VAS</v>
      </c>
      <c r="C1072" t="s">
        <v>248</v>
      </c>
      <c r="D1072" t="s">
        <v>87</v>
      </c>
      <c r="E1072" t="s">
        <v>396</v>
      </c>
      <c r="F1072" t="s">
        <v>397</v>
      </c>
      <c r="G1072" t="s">
        <v>179</v>
      </c>
      <c r="H1072">
        <v>162</v>
      </c>
      <c r="I1072">
        <v>66.234999999999999</v>
      </c>
      <c r="J1072">
        <v>77.141999999999996</v>
      </c>
      <c r="K1072">
        <v>10.907</v>
      </c>
      <c r="L1072">
        <v>101</v>
      </c>
      <c r="M1072">
        <v>20</v>
      </c>
      <c r="N1072">
        <v>41</v>
      </c>
      <c r="O1072">
        <v>76.828999999999994</v>
      </c>
      <c r="P1072">
        <v>11.324936770000001</v>
      </c>
      <c r="Q1072">
        <v>15.695</v>
      </c>
    </row>
    <row r="1073" spans="1:17" s="30" customFormat="1" x14ac:dyDescent="0.2">
      <c r="A1073" s="30" t="str">
        <f>IF(C1073&amp;G1073&amp;D1073&lt;&gt;'Funnel setup'!$K$3&amp;'Funnel setup'!$K$4&amp;'Funnel setup'!$K$5,".",IF(A1072=".",1,A1072+1))</f>
        <v>.</v>
      </c>
      <c r="B1073" s="431" t="str">
        <f t="shared" si="16"/>
        <v>Hip Replacement PrimaryCCG of GP PracticeNHS LEEDS WEST CCG (03C)EQ VAS</v>
      </c>
      <c r="C1073" t="s">
        <v>248</v>
      </c>
      <c r="D1073" t="s">
        <v>87</v>
      </c>
      <c r="E1073" t="s">
        <v>399</v>
      </c>
      <c r="F1073" t="s">
        <v>400</v>
      </c>
      <c r="G1073" t="s">
        <v>179</v>
      </c>
      <c r="H1073">
        <v>197</v>
      </c>
      <c r="I1073">
        <v>63.756</v>
      </c>
      <c r="J1073">
        <v>76.33</v>
      </c>
      <c r="K1073">
        <v>12.574</v>
      </c>
      <c r="L1073">
        <v>124</v>
      </c>
      <c r="M1073">
        <v>22</v>
      </c>
      <c r="N1073">
        <v>51</v>
      </c>
      <c r="O1073">
        <v>76.652000000000001</v>
      </c>
      <c r="P1073">
        <v>11.147387630000001</v>
      </c>
      <c r="Q1073">
        <v>17.327000000000002</v>
      </c>
    </row>
    <row r="1074" spans="1:17" s="30" customFormat="1" x14ac:dyDescent="0.2">
      <c r="A1074" s="30" t="str">
        <f>IF(C1074&amp;G1074&amp;D1074&lt;&gt;'Funnel setup'!$K$3&amp;'Funnel setup'!$K$4&amp;'Funnel setup'!$K$5,".",IF(A1073=".",1,A1073+1))</f>
        <v>.</v>
      </c>
      <c r="B1074" s="431" t="str">
        <f t="shared" si="16"/>
        <v>Hip Replacement PrimaryCCG of GP PracticeNHS LEICESTER CITY CCG (04C)EQ VAS</v>
      </c>
      <c r="C1074" t="s">
        <v>248</v>
      </c>
      <c r="D1074" t="s">
        <v>87</v>
      </c>
      <c r="E1074" t="s">
        <v>554</v>
      </c>
      <c r="F1074" t="s">
        <v>555</v>
      </c>
      <c r="G1074" t="s">
        <v>179</v>
      </c>
      <c r="H1074">
        <v>112</v>
      </c>
      <c r="I1074">
        <v>63.213999999999999</v>
      </c>
      <c r="J1074">
        <v>77.213999999999999</v>
      </c>
      <c r="K1074">
        <v>14</v>
      </c>
      <c r="L1074">
        <v>75</v>
      </c>
      <c r="M1074">
        <v>15</v>
      </c>
      <c r="N1074">
        <v>22</v>
      </c>
      <c r="O1074">
        <v>78.887</v>
      </c>
      <c r="P1074">
        <v>13.382579789999999</v>
      </c>
      <c r="Q1074">
        <v>13.573</v>
      </c>
    </row>
    <row r="1075" spans="1:17" s="30" customFormat="1" x14ac:dyDescent="0.2">
      <c r="A1075" s="30" t="str">
        <f>IF(C1075&amp;G1075&amp;D1075&lt;&gt;'Funnel setup'!$K$3&amp;'Funnel setup'!$K$4&amp;'Funnel setup'!$K$5,".",IF(A1074=".",1,A1074+1))</f>
        <v>.</v>
      </c>
      <c r="B1075" s="431" t="str">
        <f t="shared" si="16"/>
        <v>Hip Replacement PrimaryCCG of GP PracticeNHS LEWISHAM CCG (08L)EQ VAS</v>
      </c>
      <c r="C1075" t="s">
        <v>248</v>
      </c>
      <c r="D1075" t="s">
        <v>87</v>
      </c>
      <c r="E1075" t="s">
        <v>557</v>
      </c>
      <c r="F1075" t="s">
        <v>558</v>
      </c>
      <c r="G1075" t="s">
        <v>179</v>
      </c>
      <c r="H1075">
        <v>50</v>
      </c>
      <c r="I1075">
        <v>67.819999999999993</v>
      </c>
      <c r="J1075">
        <v>79.38</v>
      </c>
      <c r="K1075">
        <v>11.56</v>
      </c>
      <c r="L1075">
        <v>33</v>
      </c>
      <c r="M1075">
        <v>6</v>
      </c>
      <c r="N1075">
        <v>11</v>
      </c>
      <c r="O1075">
        <v>79.828999999999994</v>
      </c>
      <c r="P1075">
        <v>14.32502364</v>
      </c>
      <c r="Q1075">
        <v>15.938000000000001</v>
      </c>
    </row>
    <row r="1076" spans="1:17" s="30" customFormat="1" x14ac:dyDescent="0.2">
      <c r="A1076" s="30" t="str">
        <f>IF(C1076&amp;G1076&amp;D1076&lt;&gt;'Funnel setup'!$K$3&amp;'Funnel setup'!$K$4&amp;'Funnel setup'!$K$5,".",IF(A1075=".",1,A1075+1))</f>
        <v>.</v>
      </c>
      <c r="B1076" s="431" t="str">
        <f t="shared" si="16"/>
        <v>Hip Replacement PrimaryCCG of GP PracticeNHS LINCOLNSHIRE EAST CCG (03T)EQ VAS</v>
      </c>
      <c r="C1076" t="s">
        <v>248</v>
      </c>
      <c r="D1076" t="s">
        <v>87</v>
      </c>
      <c r="E1076" t="s">
        <v>560</v>
      </c>
      <c r="F1076" t="s">
        <v>561</v>
      </c>
      <c r="G1076" t="s">
        <v>179</v>
      </c>
      <c r="H1076">
        <v>210</v>
      </c>
      <c r="I1076">
        <v>69.281000000000006</v>
      </c>
      <c r="J1076">
        <v>78.09</v>
      </c>
      <c r="K1076">
        <v>8.81</v>
      </c>
      <c r="L1076">
        <v>133</v>
      </c>
      <c r="M1076">
        <v>24</v>
      </c>
      <c r="N1076">
        <v>53</v>
      </c>
      <c r="O1076">
        <v>77.673000000000002</v>
      </c>
      <c r="P1076">
        <v>12.169171649999999</v>
      </c>
      <c r="Q1076">
        <v>15.457000000000001</v>
      </c>
    </row>
    <row r="1077" spans="1:17" s="30" customFormat="1" x14ac:dyDescent="0.2">
      <c r="A1077" s="30" t="str">
        <f>IF(C1077&amp;G1077&amp;D1077&lt;&gt;'Funnel setup'!$K$3&amp;'Funnel setup'!$K$4&amp;'Funnel setup'!$K$5,".",IF(A1076=".",1,A1076+1))</f>
        <v>.</v>
      </c>
      <c r="B1077" s="431" t="str">
        <f t="shared" si="16"/>
        <v>Hip Replacement PrimaryCCG of GP PracticeNHS LINCOLNSHIRE WEST CCG (04D)EQ VAS</v>
      </c>
      <c r="C1077" t="s">
        <v>248</v>
      </c>
      <c r="D1077" t="s">
        <v>87</v>
      </c>
      <c r="E1077" t="s">
        <v>408</v>
      </c>
      <c r="F1077" t="s">
        <v>409</v>
      </c>
      <c r="G1077" t="s">
        <v>179</v>
      </c>
      <c r="H1077">
        <v>177</v>
      </c>
      <c r="I1077">
        <v>67.91</v>
      </c>
      <c r="J1077">
        <v>77.147000000000006</v>
      </c>
      <c r="K1077">
        <v>9.2370000000000001</v>
      </c>
      <c r="L1077">
        <v>113</v>
      </c>
      <c r="M1077">
        <v>13</v>
      </c>
      <c r="N1077">
        <v>51</v>
      </c>
      <c r="O1077">
        <v>76.242000000000004</v>
      </c>
      <c r="P1077">
        <v>10.737980439999999</v>
      </c>
      <c r="Q1077">
        <v>18.414999999999999</v>
      </c>
    </row>
    <row r="1078" spans="1:17" s="30" customFormat="1" x14ac:dyDescent="0.2">
      <c r="A1078" s="30" t="str">
        <f>IF(C1078&amp;G1078&amp;D1078&lt;&gt;'Funnel setup'!$K$3&amp;'Funnel setup'!$K$4&amp;'Funnel setup'!$K$5,".",IF(A1077=".",1,A1077+1))</f>
        <v>.</v>
      </c>
      <c r="B1078" s="431" t="str">
        <f t="shared" si="16"/>
        <v>Hip Replacement PrimaryCCG of GP PracticeNHS LIVERPOOL CCG (99A)EQ VAS</v>
      </c>
      <c r="C1078" t="s">
        <v>248</v>
      </c>
      <c r="D1078" t="s">
        <v>87</v>
      </c>
      <c r="E1078" t="s">
        <v>411</v>
      </c>
      <c r="F1078" t="s">
        <v>412</v>
      </c>
      <c r="G1078" t="s">
        <v>179</v>
      </c>
      <c r="H1078">
        <v>156</v>
      </c>
      <c r="I1078">
        <v>66</v>
      </c>
      <c r="J1078">
        <v>74.756</v>
      </c>
      <c r="K1078">
        <v>8.7560000000000002</v>
      </c>
      <c r="L1078">
        <v>99</v>
      </c>
      <c r="M1078">
        <v>15</v>
      </c>
      <c r="N1078">
        <v>42</v>
      </c>
      <c r="O1078">
        <v>77.16</v>
      </c>
      <c r="P1078">
        <v>11.65570836</v>
      </c>
      <c r="Q1078">
        <v>18.085999999999999</v>
      </c>
    </row>
    <row r="1079" spans="1:17" s="30" customFormat="1" x14ac:dyDescent="0.2">
      <c r="A1079" s="30" t="str">
        <f>IF(C1079&amp;G1079&amp;D1079&lt;&gt;'Funnel setup'!$K$3&amp;'Funnel setup'!$K$4&amp;'Funnel setup'!$K$5,".",IF(A1078=".",1,A1078+1))</f>
        <v>.</v>
      </c>
      <c r="B1079" s="431" t="str">
        <f t="shared" si="16"/>
        <v>Hip Replacement PrimaryCCG of GP PracticeNHS LUTON CCG (06P)EQ VAS</v>
      </c>
      <c r="C1079" t="s">
        <v>248</v>
      </c>
      <c r="D1079" t="s">
        <v>87</v>
      </c>
      <c r="E1079" t="s">
        <v>414</v>
      </c>
      <c r="F1079" t="s">
        <v>415</v>
      </c>
      <c r="G1079" t="s">
        <v>179</v>
      </c>
      <c r="H1079">
        <v>89</v>
      </c>
      <c r="I1079">
        <v>65.707999999999998</v>
      </c>
      <c r="J1079">
        <v>79.763999999999996</v>
      </c>
      <c r="K1079">
        <v>14.055999999999999</v>
      </c>
      <c r="L1079">
        <v>54</v>
      </c>
      <c r="M1079">
        <v>15</v>
      </c>
      <c r="N1079">
        <v>20</v>
      </c>
      <c r="O1079">
        <v>80.138000000000005</v>
      </c>
      <c r="P1079">
        <v>14.63320603</v>
      </c>
      <c r="Q1079">
        <v>15.253</v>
      </c>
    </row>
    <row r="1080" spans="1:17" s="30" customFormat="1" x14ac:dyDescent="0.2">
      <c r="A1080" s="30" t="str">
        <f>IF(C1080&amp;G1080&amp;D1080&lt;&gt;'Funnel setup'!$K$3&amp;'Funnel setup'!$K$4&amp;'Funnel setup'!$K$5,".",IF(A1079=".",1,A1079+1))</f>
        <v>.</v>
      </c>
      <c r="B1080" s="431" t="str">
        <f t="shared" si="16"/>
        <v>Hip Replacement PrimaryCCG of GP PracticeNHS MANSFIELD AND ASHFIELD CCG (04E)EQ VAS</v>
      </c>
      <c r="C1080" t="s">
        <v>248</v>
      </c>
      <c r="D1080" t="s">
        <v>87</v>
      </c>
      <c r="E1080" t="s">
        <v>417</v>
      </c>
      <c r="F1080" t="s">
        <v>418</v>
      </c>
      <c r="G1080" t="s">
        <v>179</v>
      </c>
      <c r="H1080">
        <v>105</v>
      </c>
      <c r="I1080">
        <v>62.866999999999997</v>
      </c>
      <c r="J1080">
        <v>74.352000000000004</v>
      </c>
      <c r="K1080">
        <v>11.486000000000001</v>
      </c>
      <c r="L1080">
        <v>68</v>
      </c>
      <c r="M1080">
        <v>9</v>
      </c>
      <c r="N1080">
        <v>28</v>
      </c>
      <c r="O1080">
        <v>75.768000000000001</v>
      </c>
      <c r="P1080">
        <v>10.26351305</v>
      </c>
      <c r="Q1080">
        <v>17.702999999999999</v>
      </c>
    </row>
    <row r="1081" spans="1:17" s="30" customFormat="1" x14ac:dyDescent="0.2">
      <c r="A1081" s="30" t="str">
        <f>IF(C1081&amp;G1081&amp;D1081&lt;&gt;'Funnel setup'!$K$3&amp;'Funnel setup'!$K$4&amp;'Funnel setup'!$K$5,".",IF(A1080=".",1,A1080+1))</f>
        <v>.</v>
      </c>
      <c r="B1081" s="431" t="str">
        <f t="shared" si="16"/>
        <v>Hip Replacement PrimaryCCG of GP PracticeNHS MEDWAY CCG (09W)EQ VAS</v>
      </c>
      <c r="C1081" t="s">
        <v>248</v>
      </c>
      <c r="D1081" t="s">
        <v>87</v>
      </c>
      <c r="E1081" t="s">
        <v>610</v>
      </c>
      <c r="F1081" t="s">
        <v>611</v>
      </c>
      <c r="G1081" t="s">
        <v>179</v>
      </c>
      <c r="H1081">
        <v>153</v>
      </c>
      <c r="I1081">
        <v>64.234999999999999</v>
      </c>
      <c r="J1081">
        <v>78.888999999999996</v>
      </c>
      <c r="K1081">
        <v>14.654</v>
      </c>
      <c r="L1081">
        <v>104</v>
      </c>
      <c r="M1081">
        <v>15</v>
      </c>
      <c r="N1081">
        <v>34</v>
      </c>
      <c r="O1081">
        <v>79.539000000000001</v>
      </c>
      <c r="P1081">
        <v>14.03467485</v>
      </c>
      <c r="Q1081">
        <v>15.791</v>
      </c>
    </row>
    <row r="1082" spans="1:17" s="30" customFormat="1" x14ac:dyDescent="0.2">
      <c r="A1082" s="30" t="str">
        <f>IF(C1082&amp;G1082&amp;D1082&lt;&gt;'Funnel setup'!$K$3&amp;'Funnel setup'!$K$4&amp;'Funnel setup'!$K$5,".",IF(A1081=".",1,A1081+1))</f>
        <v>.</v>
      </c>
      <c r="B1082" s="431" t="str">
        <f t="shared" si="16"/>
        <v>Hip Replacement PrimaryCCG of GP PracticeNHS MERTON CCG (08R)EQ VAS</v>
      </c>
      <c r="C1082" t="s">
        <v>248</v>
      </c>
      <c r="D1082" t="s">
        <v>87</v>
      </c>
      <c r="E1082" t="s">
        <v>613</v>
      </c>
      <c r="F1082" t="s">
        <v>614</v>
      </c>
      <c r="G1082" t="s">
        <v>179</v>
      </c>
      <c r="H1082">
        <v>55</v>
      </c>
      <c r="I1082">
        <v>68.709000000000003</v>
      </c>
      <c r="J1082">
        <v>80.218000000000004</v>
      </c>
      <c r="K1082">
        <v>11.509</v>
      </c>
      <c r="L1082">
        <v>37</v>
      </c>
      <c r="M1082">
        <v>4</v>
      </c>
      <c r="N1082">
        <v>14</v>
      </c>
      <c r="O1082">
        <v>78.509</v>
      </c>
      <c r="P1082">
        <v>13.0046464</v>
      </c>
      <c r="Q1082">
        <v>13.865</v>
      </c>
    </row>
    <row r="1083" spans="1:17" s="30" customFormat="1" x14ac:dyDescent="0.2">
      <c r="A1083" s="30" t="str">
        <f>IF(C1083&amp;G1083&amp;D1083&lt;&gt;'Funnel setup'!$K$3&amp;'Funnel setup'!$K$4&amp;'Funnel setup'!$K$5,".",IF(A1082=".",1,A1082+1))</f>
        <v>.</v>
      </c>
      <c r="B1083" s="431" t="str">
        <f t="shared" si="16"/>
        <v>Hip Replacement PrimaryCCG of GP PracticeNHS MID ESSEX CCG (06Q)EQ VAS</v>
      </c>
      <c r="C1083" t="s">
        <v>248</v>
      </c>
      <c r="D1083" t="s">
        <v>87</v>
      </c>
      <c r="E1083" t="s">
        <v>616</v>
      </c>
      <c r="F1083" t="s">
        <v>617</v>
      </c>
      <c r="G1083" t="s">
        <v>179</v>
      </c>
      <c r="H1083">
        <v>283</v>
      </c>
      <c r="I1083">
        <v>68.643000000000001</v>
      </c>
      <c r="J1083">
        <v>79.225999999999999</v>
      </c>
      <c r="K1083">
        <v>10.583</v>
      </c>
      <c r="L1083">
        <v>179</v>
      </c>
      <c r="M1083">
        <v>38</v>
      </c>
      <c r="N1083">
        <v>66</v>
      </c>
      <c r="O1083">
        <v>77.998999999999995</v>
      </c>
      <c r="P1083">
        <v>12.4951124</v>
      </c>
      <c r="Q1083">
        <v>14.663</v>
      </c>
    </row>
    <row r="1084" spans="1:17" s="30" customFormat="1" x14ac:dyDescent="0.2">
      <c r="A1084" s="30" t="str">
        <f>IF(C1084&amp;G1084&amp;D1084&lt;&gt;'Funnel setup'!$K$3&amp;'Funnel setup'!$K$4&amp;'Funnel setup'!$K$5,".",IF(A1083=".",1,A1083+1))</f>
        <v>.</v>
      </c>
      <c r="B1084" s="431" t="str">
        <f t="shared" si="16"/>
        <v>Hip Replacement PrimaryCCG of GP PracticeNHS MILTON KEYNES CCG (04F)EQ VAS</v>
      </c>
      <c r="C1084" t="s">
        <v>248</v>
      </c>
      <c r="D1084" t="s">
        <v>87</v>
      </c>
      <c r="E1084" t="s">
        <v>619</v>
      </c>
      <c r="F1084" t="s">
        <v>338</v>
      </c>
      <c r="G1084" t="s">
        <v>179</v>
      </c>
      <c r="H1084">
        <v>183</v>
      </c>
      <c r="I1084">
        <v>60.616999999999997</v>
      </c>
      <c r="J1084">
        <v>76.459000000000003</v>
      </c>
      <c r="K1084">
        <v>15.842000000000001</v>
      </c>
      <c r="L1084">
        <v>121</v>
      </c>
      <c r="M1084">
        <v>24</v>
      </c>
      <c r="N1084">
        <v>38</v>
      </c>
      <c r="O1084">
        <v>78.186999999999998</v>
      </c>
      <c r="P1084">
        <v>12.68304288</v>
      </c>
      <c r="Q1084">
        <v>16.047000000000001</v>
      </c>
    </row>
    <row r="1085" spans="1:17" s="30" customFormat="1" x14ac:dyDescent="0.2">
      <c r="A1085" s="30" t="str">
        <f>IF(C1085&amp;G1085&amp;D1085&lt;&gt;'Funnel setup'!$K$3&amp;'Funnel setup'!$K$4&amp;'Funnel setup'!$K$5,".",IF(A1084=".",1,A1084+1))</f>
        <v>.</v>
      </c>
      <c r="B1085" s="431" t="str">
        <f t="shared" si="16"/>
        <v>Hip Replacement PrimaryCCG of GP PracticeNHS NENE CCG (04G)EQ VAS</v>
      </c>
      <c r="C1085" t="s">
        <v>248</v>
      </c>
      <c r="D1085" t="s">
        <v>87</v>
      </c>
      <c r="E1085" t="s">
        <v>621</v>
      </c>
      <c r="F1085" t="s">
        <v>622</v>
      </c>
      <c r="G1085" t="s">
        <v>179</v>
      </c>
      <c r="H1085">
        <v>379</v>
      </c>
      <c r="I1085">
        <v>63.363999999999997</v>
      </c>
      <c r="J1085">
        <v>78.164000000000001</v>
      </c>
      <c r="K1085">
        <v>14.798999999999999</v>
      </c>
      <c r="L1085">
        <v>256</v>
      </c>
      <c r="M1085">
        <v>49</v>
      </c>
      <c r="N1085">
        <v>74</v>
      </c>
      <c r="O1085">
        <v>78.441999999999993</v>
      </c>
      <c r="P1085">
        <v>12.93767454</v>
      </c>
      <c r="Q1085">
        <v>16.376000000000001</v>
      </c>
    </row>
    <row r="1086" spans="1:17" s="30" customFormat="1" x14ac:dyDescent="0.2">
      <c r="A1086" s="30" t="str">
        <f>IF(C1086&amp;G1086&amp;D1086&lt;&gt;'Funnel setup'!$K$3&amp;'Funnel setup'!$K$4&amp;'Funnel setup'!$K$5,".",IF(A1085=".",1,A1085+1))</f>
        <v>.</v>
      </c>
      <c r="B1086" s="431" t="str">
        <f t="shared" si="16"/>
        <v>Hip Replacement PrimaryCCG of GP PracticeNHS NEWARK &amp; SHERWOOD CCG (04H)EQ VAS</v>
      </c>
      <c r="C1086" t="s">
        <v>248</v>
      </c>
      <c r="D1086" t="s">
        <v>87</v>
      </c>
      <c r="E1086" t="s">
        <v>624</v>
      </c>
      <c r="F1086" t="s">
        <v>625</v>
      </c>
      <c r="G1086" t="s">
        <v>179</v>
      </c>
      <c r="H1086">
        <v>85</v>
      </c>
      <c r="I1086">
        <v>65.352999999999994</v>
      </c>
      <c r="J1086">
        <v>79.400000000000006</v>
      </c>
      <c r="K1086">
        <v>14.047000000000001</v>
      </c>
      <c r="L1086">
        <v>61</v>
      </c>
      <c r="M1086">
        <v>11</v>
      </c>
      <c r="N1086">
        <v>13</v>
      </c>
      <c r="O1086">
        <v>79.637</v>
      </c>
      <c r="P1086">
        <v>14.13257482</v>
      </c>
      <c r="Q1086">
        <v>15.257999999999999</v>
      </c>
    </row>
    <row r="1087" spans="1:17" s="30" customFormat="1" x14ac:dyDescent="0.2">
      <c r="A1087" s="30" t="str">
        <f>IF(C1087&amp;G1087&amp;D1087&lt;&gt;'Funnel setup'!$K$3&amp;'Funnel setup'!$K$4&amp;'Funnel setup'!$K$5,".",IF(A1086=".",1,A1086+1))</f>
        <v>.</v>
      </c>
      <c r="B1087" s="431" t="str">
        <f t="shared" si="16"/>
        <v>Hip Replacement PrimaryCCG of GP PracticeNHS NEWBURY AND DISTRICT CCG (10M)EQ VAS</v>
      </c>
      <c r="C1087" t="s">
        <v>248</v>
      </c>
      <c r="D1087" t="s">
        <v>87</v>
      </c>
      <c r="E1087" t="s">
        <v>627</v>
      </c>
      <c r="F1087" t="s">
        <v>628</v>
      </c>
      <c r="G1087" t="s">
        <v>179</v>
      </c>
      <c r="H1087">
        <v>73</v>
      </c>
      <c r="I1087">
        <v>68.561999999999998</v>
      </c>
      <c r="J1087">
        <v>80.822000000000003</v>
      </c>
      <c r="K1087">
        <v>12.26</v>
      </c>
      <c r="L1087">
        <v>54</v>
      </c>
      <c r="M1087">
        <v>6</v>
      </c>
      <c r="N1087">
        <v>13</v>
      </c>
      <c r="O1087">
        <v>79.319000000000003</v>
      </c>
      <c r="P1087">
        <v>13.81455701</v>
      </c>
      <c r="Q1087">
        <v>16.157</v>
      </c>
    </row>
    <row r="1088" spans="1:17" s="30" customFormat="1" x14ac:dyDescent="0.2">
      <c r="A1088" s="30" t="str">
        <f>IF(C1088&amp;G1088&amp;D1088&lt;&gt;'Funnel setup'!$K$3&amp;'Funnel setup'!$K$4&amp;'Funnel setup'!$K$5,".",IF(A1087=".",1,A1087+1))</f>
        <v>.</v>
      </c>
      <c r="B1088" s="431" t="str">
        <f t="shared" si="16"/>
        <v>Hip Replacement PrimaryCCG of GP PracticeNHS NEWCASTLE GATESHEAD CCG (13T)EQ VAS</v>
      </c>
      <c r="C1088" t="s">
        <v>248</v>
      </c>
      <c r="D1088" t="s">
        <v>87</v>
      </c>
      <c r="E1088" t="s">
        <v>6553</v>
      </c>
      <c r="F1088" t="s">
        <v>6543</v>
      </c>
      <c r="G1088" t="s">
        <v>179</v>
      </c>
      <c r="H1088">
        <v>324</v>
      </c>
      <c r="I1088">
        <v>64.820999999999998</v>
      </c>
      <c r="J1088">
        <v>76.096000000000004</v>
      </c>
      <c r="K1088">
        <v>11.275</v>
      </c>
      <c r="L1088">
        <v>214</v>
      </c>
      <c r="M1088">
        <v>37</v>
      </c>
      <c r="N1088">
        <v>73</v>
      </c>
      <c r="O1088">
        <v>77.034999999999997</v>
      </c>
      <c r="P1088">
        <v>11.530841649999999</v>
      </c>
      <c r="Q1088">
        <v>16.141999999999999</v>
      </c>
    </row>
    <row r="1089" spans="1:17" s="30" customFormat="1" x14ac:dyDescent="0.2">
      <c r="A1089" s="30" t="str">
        <f>IF(C1089&amp;G1089&amp;D1089&lt;&gt;'Funnel setup'!$K$3&amp;'Funnel setup'!$K$4&amp;'Funnel setup'!$K$5,".",IF(A1088=".",1,A1088+1))</f>
        <v>.</v>
      </c>
      <c r="B1089" s="431" t="str">
        <f t="shared" si="16"/>
        <v>Hip Replacement PrimaryCCG of GP PracticeNHS NEWHAM CCG (08M)EQ VAS</v>
      </c>
      <c r="C1089" t="s">
        <v>248</v>
      </c>
      <c r="D1089" t="s">
        <v>87</v>
      </c>
      <c r="E1089" t="s">
        <v>630</v>
      </c>
      <c r="F1089" t="s">
        <v>631</v>
      </c>
      <c r="G1089" t="s">
        <v>179</v>
      </c>
      <c r="H1089">
        <v>37</v>
      </c>
      <c r="I1089">
        <v>55.649000000000001</v>
      </c>
      <c r="J1089">
        <v>71.378</v>
      </c>
      <c r="K1089">
        <v>15.73</v>
      </c>
      <c r="L1089">
        <v>25</v>
      </c>
      <c r="M1089">
        <v>4</v>
      </c>
      <c r="N1089">
        <v>8</v>
      </c>
      <c r="O1089">
        <v>78.138999999999996</v>
      </c>
      <c r="P1089">
        <v>12.63498077</v>
      </c>
      <c r="Q1089">
        <v>16.756</v>
      </c>
    </row>
    <row r="1090" spans="1:17" s="30" customFormat="1" x14ac:dyDescent="0.2">
      <c r="A1090" s="30" t="str">
        <f>IF(C1090&amp;G1090&amp;D1090&lt;&gt;'Funnel setup'!$K$3&amp;'Funnel setup'!$K$4&amp;'Funnel setup'!$K$5,".",IF(A1089=".",1,A1089+1))</f>
        <v>.</v>
      </c>
      <c r="B1090" s="431" t="str">
        <f t="shared" si="16"/>
        <v>Hip Replacement PrimaryCCG of GP PracticeNHS NORTH &amp; WEST READING CCG (10N)EQ VAS</v>
      </c>
      <c r="C1090" t="s">
        <v>248</v>
      </c>
      <c r="D1090" t="s">
        <v>87</v>
      </c>
      <c r="E1090" t="s">
        <v>633</v>
      </c>
      <c r="F1090" t="s">
        <v>634</v>
      </c>
      <c r="G1090" t="s">
        <v>179</v>
      </c>
      <c r="H1090">
        <v>67</v>
      </c>
      <c r="I1090">
        <v>64.896000000000001</v>
      </c>
      <c r="J1090">
        <v>79.641999999999996</v>
      </c>
      <c r="K1090">
        <v>14.746</v>
      </c>
      <c r="L1090">
        <v>47</v>
      </c>
      <c r="M1090">
        <v>8</v>
      </c>
      <c r="N1090">
        <v>12</v>
      </c>
      <c r="O1090">
        <v>78.995000000000005</v>
      </c>
      <c r="P1090">
        <v>13.49027946</v>
      </c>
      <c r="Q1090">
        <v>14.746</v>
      </c>
    </row>
    <row r="1091" spans="1:17" s="30" customFormat="1" x14ac:dyDescent="0.2">
      <c r="A1091" s="30" t="str">
        <f>IF(C1091&amp;G1091&amp;D1091&lt;&gt;'Funnel setup'!$K$3&amp;'Funnel setup'!$K$4&amp;'Funnel setup'!$K$5,".",IF(A1090=".",1,A1090+1))</f>
        <v>.</v>
      </c>
      <c r="B1091" s="431" t="str">
        <f t="shared" ref="B1091:B1154" si="17">C1091&amp;D1091&amp;F1091&amp;G1091</f>
        <v>Hip Replacement PrimaryCCG of GP PracticeNHS NORTH DERBYSHIRE CCG (04J)EQ VAS</v>
      </c>
      <c r="C1091" t="s">
        <v>248</v>
      </c>
      <c r="D1091" t="s">
        <v>87</v>
      </c>
      <c r="E1091" t="s">
        <v>636</v>
      </c>
      <c r="F1091" t="s">
        <v>637</v>
      </c>
      <c r="G1091" t="s">
        <v>179</v>
      </c>
      <c r="H1091">
        <v>283</v>
      </c>
      <c r="I1091">
        <v>65.367000000000004</v>
      </c>
      <c r="J1091">
        <v>76.953999999999994</v>
      </c>
      <c r="K1091">
        <v>11.587</v>
      </c>
      <c r="L1091">
        <v>185</v>
      </c>
      <c r="M1091">
        <v>29</v>
      </c>
      <c r="N1091">
        <v>69</v>
      </c>
      <c r="O1091">
        <v>76.531999999999996</v>
      </c>
      <c r="P1091">
        <v>11.0274696</v>
      </c>
      <c r="Q1091">
        <v>15.054</v>
      </c>
    </row>
    <row r="1092" spans="1:17" s="30" customFormat="1" x14ac:dyDescent="0.2">
      <c r="A1092" s="30" t="str">
        <f>IF(C1092&amp;G1092&amp;D1092&lt;&gt;'Funnel setup'!$K$3&amp;'Funnel setup'!$K$4&amp;'Funnel setup'!$K$5,".",IF(A1091=".",1,A1091+1))</f>
        <v>.</v>
      </c>
      <c r="B1092" s="431" t="str">
        <f t="shared" si="17"/>
        <v>Hip Replacement PrimaryCCG of GP PracticeNHS NORTH DURHAM CCG (00J)EQ VAS</v>
      </c>
      <c r="C1092" t="s">
        <v>248</v>
      </c>
      <c r="D1092" t="s">
        <v>87</v>
      </c>
      <c r="E1092" t="s">
        <v>639</v>
      </c>
      <c r="F1092" t="s">
        <v>640</v>
      </c>
      <c r="G1092" t="s">
        <v>179</v>
      </c>
      <c r="H1092">
        <v>168</v>
      </c>
      <c r="I1092">
        <v>61.94</v>
      </c>
      <c r="J1092">
        <v>73.173000000000002</v>
      </c>
      <c r="K1092">
        <v>11.231999999999999</v>
      </c>
      <c r="L1092">
        <v>106</v>
      </c>
      <c r="M1092">
        <v>17</v>
      </c>
      <c r="N1092">
        <v>45</v>
      </c>
      <c r="O1092">
        <v>75.468000000000004</v>
      </c>
      <c r="P1092">
        <v>9.9632675620000004</v>
      </c>
      <c r="Q1092">
        <v>17.581</v>
      </c>
    </row>
    <row r="1093" spans="1:17" s="30" customFormat="1" x14ac:dyDescent="0.2">
      <c r="A1093" s="30" t="str">
        <f>IF(C1093&amp;G1093&amp;D1093&lt;&gt;'Funnel setup'!$K$3&amp;'Funnel setup'!$K$4&amp;'Funnel setup'!$K$5,".",IF(A1092=".",1,A1092+1))</f>
        <v>.</v>
      </c>
      <c r="B1093" s="431" t="str">
        <f t="shared" si="17"/>
        <v>Hip Replacement PrimaryCCG of GP PracticeNHS NORTH EAST ESSEX CCG (06T)EQ VAS</v>
      </c>
      <c r="C1093" t="s">
        <v>248</v>
      </c>
      <c r="D1093" t="s">
        <v>87</v>
      </c>
      <c r="E1093" t="s">
        <v>642</v>
      </c>
      <c r="F1093" t="s">
        <v>643</v>
      </c>
      <c r="G1093" t="s">
        <v>179</v>
      </c>
      <c r="H1093">
        <v>254</v>
      </c>
      <c r="I1093">
        <v>64.948999999999998</v>
      </c>
      <c r="J1093">
        <v>76.582999999999998</v>
      </c>
      <c r="K1093">
        <v>11.634</v>
      </c>
      <c r="L1093">
        <v>170</v>
      </c>
      <c r="M1093">
        <v>31</v>
      </c>
      <c r="N1093">
        <v>53</v>
      </c>
      <c r="O1093">
        <v>77.314999999999998</v>
      </c>
      <c r="P1093">
        <v>11.810918340000001</v>
      </c>
      <c r="Q1093">
        <v>15.478</v>
      </c>
    </row>
    <row r="1094" spans="1:17" s="30" customFormat="1" x14ac:dyDescent="0.2">
      <c r="A1094" s="30" t="str">
        <f>IF(C1094&amp;G1094&amp;D1094&lt;&gt;'Funnel setup'!$K$3&amp;'Funnel setup'!$K$4&amp;'Funnel setup'!$K$5,".",IF(A1093=".",1,A1093+1))</f>
        <v>.</v>
      </c>
      <c r="B1094" s="431" t="str">
        <f t="shared" si="17"/>
        <v>Hip Replacement PrimaryCCG of GP PracticeNHS NORTH EAST HAMPSHIRE AND FARNHAM CCG (99M)EQ VAS</v>
      </c>
      <c r="C1094" t="s">
        <v>248</v>
      </c>
      <c r="D1094" t="s">
        <v>87</v>
      </c>
      <c r="E1094" t="s">
        <v>645</v>
      </c>
      <c r="F1094" t="s">
        <v>646</v>
      </c>
      <c r="G1094" t="s">
        <v>179</v>
      </c>
      <c r="H1094">
        <v>184</v>
      </c>
      <c r="I1094">
        <v>68.424000000000007</v>
      </c>
      <c r="J1094">
        <v>80.88</v>
      </c>
      <c r="K1094">
        <v>12.457000000000001</v>
      </c>
      <c r="L1094">
        <v>130</v>
      </c>
      <c r="M1094">
        <v>21</v>
      </c>
      <c r="N1094">
        <v>33</v>
      </c>
      <c r="O1094">
        <v>79.117000000000004</v>
      </c>
      <c r="P1094">
        <v>13.61223528</v>
      </c>
      <c r="Q1094">
        <v>12.933999999999999</v>
      </c>
    </row>
    <row r="1095" spans="1:17" s="30" customFormat="1" x14ac:dyDescent="0.2">
      <c r="A1095" s="30" t="str">
        <f>IF(C1095&amp;G1095&amp;D1095&lt;&gt;'Funnel setup'!$K$3&amp;'Funnel setup'!$K$4&amp;'Funnel setup'!$K$5,".",IF(A1094=".",1,A1094+1))</f>
        <v>.</v>
      </c>
      <c r="B1095" s="431" t="str">
        <f t="shared" si="17"/>
        <v>Hip Replacement PrimaryCCG of GP PracticeNHS NORTH EAST LINCOLNSHIRE CCG (03H)EQ VAS</v>
      </c>
      <c r="C1095" t="s">
        <v>248</v>
      </c>
      <c r="D1095" t="s">
        <v>87</v>
      </c>
      <c r="E1095" t="s">
        <v>648</v>
      </c>
      <c r="F1095" t="s">
        <v>649</v>
      </c>
      <c r="G1095" t="s">
        <v>179</v>
      </c>
      <c r="H1095">
        <v>89</v>
      </c>
      <c r="I1095">
        <v>66.471999999999994</v>
      </c>
      <c r="J1095">
        <v>78.168999999999997</v>
      </c>
      <c r="K1095">
        <v>11.696999999999999</v>
      </c>
      <c r="L1095">
        <v>66</v>
      </c>
      <c r="M1095">
        <v>4</v>
      </c>
      <c r="N1095">
        <v>19</v>
      </c>
      <c r="O1095">
        <v>78.947999999999993</v>
      </c>
      <c r="P1095">
        <v>13.44348301</v>
      </c>
      <c r="Q1095">
        <v>15.147</v>
      </c>
    </row>
    <row r="1096" spans="1:17" s="30" customFormat="1" x14ac:dyDescent="0.2">
      <c r="A1096" s="30" t="str">
        <f>IF(C1096&amp;G1096&amp;D1096&lt;&gt;'Funnel setup'!$K$3&amp;'Funnel setup'!$K$4&amp;'Funnel setup'!$K$5,".",IF(A1095=".",1,A1095+1))</f>
        <v>.</v>
      </c>
      <c r="B1096" s="431" t="str">
        <f t="shared" si="17"/>
        <v>Hip Replacement PrimaryCCG of GP PracticeNHS NORTH HAMPSHIRE CCG (10J)EQ VAS</v>
      </c>
      <c r="C1096" t="s">
        <v>248</v>
      </c>
      <c r="D1096" t="s">
        <v>87</v>
      </c>
      <c r="E1096" t="s">
        <v>651</v>
      </c>
      <c r="F1096" t="s">
        <v>652</v>
      </c>
      <c r="G1096" t="s">
        <v>179</v>
      </c>
      <c r="H1096">
        <v>92</v>
      </c>
      <c r="I1096">
        <v>69</v>
      </c>
      <c r="J1096">
        <v>80.424000000000007</v>
      </c>
      <c r="K1096">
        <v>11.423999999999999</v>
      </c>
      <c r="L1096">
        <v>57</v>
      </c>
      <c r="M1096">
        <v>15</v>
      </c>
      <c r="N1096">
        <v>20</v>
      </c>
      <c r="O1096">
        <v>78.566999999999993</v>
      </c>
      <c r="P1096">
        <v>13.06298615</v>
      </c>
      <c r="Q1096">
        <v>12.319000000000001</v>
      </c>
    </row>
    <row r="1097" spans="1:17" s="30" customFormat="1" x14ac:dyDescent="0.2">
      <c r="A1097" s="30" t="str">
        <f>IF(C1097&amp;G1097&amp;D1097&lt;&gt;'Funnel setup'!$K$3&amp;'Funnel setup'!$K$4&amp;'Funnel setup'!$K$5,".",IF(A1096=".",1,A1096+1))</f>
        <v>.</v>
      </c>
      <c r="B1097" s="431" t="str">
        <f t="shared" si="17"/>
        <v>Hip Replacement PrimaryCCG of GP PracticeNHS NORTH KIRKLEES CCG (03J)EQ VAS</v>
      </c>
      <c r="C1097" t="s">
        <v>248</v>
      </c>
      <c r="D1097" t="s">
        <v>87</v>
      </c>
      <c r="E1097" t="s">
        <v>654</v>
      </c>
      <c r="F1097" t="s">
        <v>655</v>
      </c>
      <c r="G1097" t="s">
        <v>179</v>
      </c>
      <c r="H1097">
        <v>95</v>
      </c>
      <c r="I1097">
        <v>62.084000000000003</v>
      </c>
      <c r="J1097">
        <v>73.989000000000004</v>
      </c>
      <c r="K1097">
        <v>11.904999999999999</v>
      </c>
      <c r="L1097">
        <v>63</v>
      </c>
      <c r="M1097">
        <v>6</v>
      </c>
      <c r="N1097">
        <v>26</v>
      </c>
      <c r="O1097">
        <v>75.126999999999995</v>
      </c>
      <c r="P1097">
        <v>9.6226744330000002</v>
      </c>
      <c r="Q1097">
        <v>17.122</v>
      </c>
    </row>
    <row r="1098" spans="1:17" s="30" customFormat="1" x14ac:dyDescent="0.2">
      <c r="A1098" s="30" t="str">
        <f>IF(C1098&amp;G1098&amp;D1098&lt;&gt;'Funnel setup'!$K$3&amp;'Funnel setup'!$K$4&amp;'Funnel setup'!$K$5,".",IF(A1097=".",1,A1097+1))</f>
        <v>.</v>
      </c>
      <c r="B1098" s="431" t="str">
        <f t="shared" si="17"/>
        <v>Hip Replacement PrimaryCCG of GP PracticeNHS NORTH LINCOLNSHIRE CCG (03K)EQ VAS</v>
      </c>
      <c r="C1098" t="s">
        <v>248</v>
      </c>
      <c r="D1098" t="s">
        <v>87</v>
      </c>
      <c r="E1098" t="s">
        <v>657</v>
      </c>
      <c r="F1098" t="s">
        <v>658</v>
      </c>
      <c r="G1098" t="s">
        <v>179</v>
      </c>
      <c r="H1098">
        <v>121</v>
      </c>
      <c r="I1098">
        <v>63.024999999999999</v>
      </c>
      <c r="J1098">
        <v>77.222999999999999</v>
      </c>
      <c r="K1098">
        <v>14.198</v>
      </c>
      <c r="L1098">
        <v>86</v>
      </c>
      <c r="M1098">
        <v>14</v>
      </c>
      <c r="N1098">
        <v>21</v>
      </c>
      <c r="O1098">
        <v>78.075999999999993</v>
      </c>
      <c r="P1098">
        <v>12.57216904</v>
      </c>
      <c r="Q1098">
        <v>12.884</v>
      </c>
    </row>
    <row r="1099" spans="1:17" s="30" customFormat="1" x14ac:dyDescent="0.2">
      <c r="A1099" s="30" t="str">
        <f>IF(C1099&amp;G1099&amp;D1099&lt;&gt;'Funnel setup'!$K$3&amp;'Funnel setup'!$K$4&amp;'Funnel setup'!$K$5,".",IF(A1098=".",1,A1098+1))</f>
        <v>.</v>
      </c>
      <c r="B1099" s="431" t="str">
        <f t="shared" si="17"/>
        <v>Hip Replacement PrimaryCCG of GP PracticeNHS NORTH MANCHESTER CCG (01M)EQ VAS</v>
      </c>
      <c r="C1099" t="s">
        <v>248</v>
      </c>
      <c r="D1099" t="s">
        <v>87</v>
      </c>
      <c r="E1099" t="s">
        <v>660</v>
      </c>
      <c r="F1099" t="s">
        <v>661</v>
      </c>
      <c r="G1099" t="s">
        <v>179</v>
      </c>
      <c r="H1099">
        <v>48</v>
      </c>
      <c r="I1099">
        <v>63.396000000000001</v>
      </c>
      <c r="J1099">
        <v>74.167000000000002</v>
      </c>
      <c r="K1099">
        <v>10.771000000000001</v>
      </c>
      <c r="L1099">
        <v>29</v>
      </c>
      <c r="M1099">
        <v>5</v>
      </c>
      <c r="N1099">
        <v>14</v>
      </c>
      <c r="O1099">
        <v>76.484999999999999</v>
      </c>
      <c r="P1099">
        <v>10.98046931</v>
      </c>
      <c r="Q1099">
        <v>18.449000000000002</v>
      </c>
    </row>
    <row r="1100" spans="1:17" s="30" customFormat="1" x14ac:dyDescent="0.2">
      <c r="A1100" s="30" t="str">
        <f>IF(C1100&amp;G1100&amp;D1100&lt;&gt;'Funnel setup'!$K$3&amp;'Funnel setup'!$K$4&amp;'Funnel setup'!$K$5,".",IF(A1099=".",1,A1099+1))</f>
        <v>.</v>
      </c>
      <c r="B1100" s="431" t="str">
        <f t="shared" si="17"/>
        <v>Hip Replacement PrimaryCCG of GP PracticeNHS NORTH NORFOLK CCG (06V)EQ VAS</v>
      </c>
      <c r="C1100" t="s">
        <v>248</v>
      </c>
      <c r="D1100" t="s">
        <v>87</v>
      </c>
      <c r="E1100" t="s">
        <v>663</v>
      </c>
      <c r="F1100" t="s">
        <v>664</v>
      </c>
      <c r="G1100" t="s">
        <v>179</v>
      </c>
      <c r="H1100">
        <v>224</v>
      </c>
      <c r="I1100">
        <v>67.147000000000006</v>
      </c>
      <c r="J1100">
        <v>80.070999999999998</v>
      </c>
      <c r="K1100">
        <v>12.923999999999999</v>
      </c>
      <c r="L1100">
        <v>143</v>
      </c>
      <c r="M1100">
        <v>39</v>
      </c>
      <c r="N1100">
        <v>42</v>
      </c>
      <c r="O1100">
        <v>78.932000000000002</v>
      </c>
      <c r="P1100">
        <v>13.427614500000001</v>
      </c>
      <c r="Q1100">
        <v>12.346</v>
      </c>
    </row>
    <row r="1101" spans="1:17" s="30" customFormat="1" x14ac:dyDescent="0.2">
      <c r="A1101" s="30" t="str">
        <f>IF(C1101&amp;G1101&amp;D1101&lt;&gt;'Funnel setup'!$K$3&amp;'Funnel setup'!$K$4&amp;'Funnel setup'!$K$5,".",IF(A1100=".",1,A1100+1))</f>
        <v>.</v>
      </c>
      <c r="B1101" s="431" t="str">
        <f t="shared" si="17"/>
        <v>Hip Replacement PrimaryCCG of GP PracticeNHS NORTH SOMERSET CCG (11T)EQ VAS</v>
      </c>
      <c r="C1101" t="s">
        <v>248</v>
      </c>
      <c r="D1101" t="s">
        <v>87</v>
      </c>
      <c r="E1101" t="s">
        <v>666</v>
      </c>
      <c r="F1101" t="s">
        <v>667</v>
      </c>
      <c r="G1101" t="s">
        <v>179</v>
      </c>
      <c r="H1101">
        <v>165</v>
      </c>
      <c r="I1101">
        <v>68.509</v>
      </c>
      <c r="J1101">
        <v>79.478999999999999</v>
      </c>
      <c r="K1101">
        <v>10.97</v>
      </c>
      <c r="L1101">
        <v>111</v>
      </c>
      <c r="M1101">
        <v>18</v>
      </c>
      <c r="N1101">
        <v>36</v>
      </c>
      <c r="O1101">
        <v>77.403999999999996</v>
      </c>
      <c r="P1101">
        <v>11.899396169999999</v>
      </c>
      <c r="Q1101">
        <v>13.696</v>
      </c>
    </row>
    <row r="1102" spans="1:17" s="30" customFormat="1" x14ac:dyDescent="0.2">
      <c r="A1102" s="30" t="str">
        <f>IF(C1102&amp;G1102&amp;D1102&lt;&gt;'Funnel setup'!$K$3&amp;'Funnel setup'!$K$4&amp;'Funnel setup'!$K$5,".",IF(A1101=".",1,A1101+1))</f>
        <v>.</v>
      </c>
      <c r="B1102" s="431" t="str">
        <f t="shared" si="17"/>
        <v>Hip Replacement PrimaryCCG of GP PracticeNHS NORTH STAFFORDSHIRE CCG (05G)EQ VAS</v>
      </c>
      <c r="C1102" t="s">
        <v>248</v>
      </c>
      <c r="D1102" t="s">
        <v>87</v>
      </c>
      <c r="E1102" t="s">
        <v>669</v>
      </c>
      <c r="F1102" t="s">
        <v>670</v>
      </c>
      <c r="G1102" t="s">
        <v>179</v>
      </c>
      <c r="H1102">
        <v>182</v>
      </c>
      <c r="I1102">
        <v>61.527000000000001</v>
      </c>
      <c r="J1102">
        <v>76.736000000000004</v>
      </c>
      <c r="K1102">
        <v>15.209</v>
      </c>
      <c r="L1102">
        <v>134</v>
      </c>
      <c r="M1102">
        <v>11</v>
      </c>
      <c r="N1102">
        <v>37</v>
      </c>
      <c r="O1102">
        <v>78.328000000000003</v>
      </c>
      <c r="P1102">
        <v>12.82390006</v>
      </c>
      <c r="Q1102">
        <v>15.475</v>
      </c>
    </row>
    <row r="1103" spans="1:17" s="30" customFormat="1" x14ac:dyDescent="0.2">
      <c r="A1103" s="30" t="str">
        <f>IF(C1103&amp;G1103&amp;D1103&lt;&gt;'Funnel setup'!$K$3&amp;'Funnel setup'!$K$4&amp;'Funnel setup'!$K$5,".",IF(A1102=".",1,A1102+1))</f>
        <v>.</v>
      </c>
      <c r="B1103" s="431" t="str">
        <f t="shared" si="17"/>
        <v>Hip Replacement PrimaryCCG of GP PracticeNHS NORTH TYNESIDE CCG (99C)EQ VAS</v>
      </c>
      <c r="C1103" t="s">
        <v>248</v>
      </c>
      <c r="D1103" t="s">
        <v>87</v>
      </c>
      <c r="E1103" t="s">
        <v>672</v>
      </c>
      <c r="F1103" t="s">
        <v>673</v>
      </c>
      <c r="G1103" t="s">
        <v>179</v>
      </c>
      <c r="H1103">
        <v>225</v>
      </c>
      <c r="I1103">
        <v>61.661999999999999</v>
      </c>
      <c r="J1103">
        <v>76.400000000000006</v>
      </c>
      <c r="K1103">
        <v>14.738</v>
      </c>
      <c r="L1103">
        <v>156</v>
      </c>
      <c r="M1103">
        <v>22</v>
      </c>
      <c r="N1103">
        <v>47</v>
      </c>
      <c r="O1103">
        <v>77.653999999999996</v>
      </c>
      <c r="P1103">
        <v>12.14921354</v>
      </c>
      <c r="Q1103">
        <v>16.667000000000002</v>
      </c>
    </row>
    <row r="1104" spans="1:17" s="30" customFormat="1" x14ac:dyDescent="0.2">
      <c r="A1104" s="30" t="str">
        <f>IF(C1104&amp;G1104&amp;D1104&lt;&gt;'Funnel setup'!$K$3&amp;'Funnel setup'!$K$4&amp;'Funnel setup'!$K$5,".",IF(A1103=".",1,A1103+1))</f>
        <v>.</v>
      </c>
      <c r="B1104" s="431" t="str">
        <f t="shared" si="17"/>
        <v>Hip Replacement PrimaryCCG of GP PracticeNHS NORTH WEST SURREY CCG (09Y)EQ VAS</v>
      </c>
      <c r="C1104" t="s">
        <v>248</v>
      </c>
      <c r="D1104" t="s">
        <v>87</v>
      </c>
      <c r="E1104" t="s">
        <v>675</v>
      </c>
      <c r="F1104" t="s">
        <v>676</v>
      </c>
      <c r="G1104" t="s">
        <v>179</v>
      </c>
      <c r="H1104">
        <v>254</v>
      </c>
      <c r="I1104">
        <v>68.016000000000005</v>
      </c>
      <c r="J1104">
        <v>79.646000000000001</v>
      </c>
      <c r="K1104">
        <v>11.63</v>
      </c>
      <c r="L1104">
        <v>168</v>
      </c>
      <c r="M1104">
        <v>43</v>
      </c>
      <c r="N1104">
        <v>43</v>
      </c>
      <c r="O1104">
        <v>78.287000000000006</v>
      </c>
      <c r="P1104">
        <v>12.782249739999999</v>
      </c>
      <c r="Q1104">
        <v>13.867000000000001</v>
      </c>
    </row>
    <row r="1105" spans="1:17" s="30" customFormat="1" x14ac:dyDescent="0.2">
      <c r="A1105" s="30" t="str">
        <f>IF(C1105&amp;G1105&amp;D1105&lt;&gt;'Funnel setup'!$K$3&amp;'Funnel setup'!$K$4&amp;'Funnel setup'!$K$5,".",IF(A1104=".",1,A1104+1))</f>
        <v>.</v>
      </c>
      <c r="B1105" s="431" t="str">
        <f t="shared" si="17"/>
        <v>Hip Replacement PrimaryCCG of GP PracticeNHS NORTHERN, EASTERN AND WESTERN DEVON CCG (99P)EQ VAS</v>
      </c>
      <c r="C1105" t="s">
        <v>248</v>
      </c>
      <c r="D1105" t="s">
        <v>87</v>
      </c>
      <c r="E1105" t="s">
        <v>678</v>
      </c>
      <c r="F1105" t="s">
        <v>679</v>
      </c>
      <c r="G1105" t="s">
        <v>179</v>
      </c>
      <c r="H1105">
        <v>1007</v>
      </c>
      <c r="I1105">
        <v>67.311999999999998</v>
      </c>
      <c r="J1105">
        <v>77.385000000000005</v>
      </c>
      <c r="K1105">
        <v>10.073</v>
      </c>
      <c r="L1105">
        <v>644</v>
      </c>
      <c r="M1105">
        <v>126</v>
      </c>
      <c r="N1105">
        <v>237</v>
      </c>
      <c r="O1105">
        <v>77.212000000000003</v>
      </c>
      <c r="P1105">
        <v>11.707391599999999</v>
      </c>
      <c r="Q1105">
        <v>15.269</v>
      </c>
    </row>
    <row r="1106" spans="1:17" s="30" customFormat="1" x14ac:dyDescent="0.2">
      <c r="A1106" s="30" t="str">
        <f>IF(C1106&amp;G1106&amp;D1106&lt;&gt;'Funnel setup'!$K$3&amp;'Funnel setup'!$K$4&amp;'Funnel setup'!$K$5,".",IF(A1105=".",1,A1105+1))</f>
        <v>.</v>
      </c>
      <c r="B1106" s="431" t="str">
        <f t="shared" si="17"/>
        <v>Hip Replacement PrimaryCCG of GP PracticeNHS NORTHUMBERLAND CCG (00L)EQ VAS</v>
      </c>
      <c r="C1106" t="s">
        <v>248</v>
      </c>
      <c r="D1106" t="s">
        <v>87</v>
      </c>
      <c r="E1106" t="s">
        <v>681</v>
      </c>
      <c r="F1106" t="s">
        <v>336</v>
      </c>
      <c r="G1106" t="s">
        <v>179</v>
      </c>
      <c r="H1106">
        <v>308</v>
      </c>
      <c r="I1106">
        <v>64.269000000000005</v>
      </c>
      <c r="J1106">
        <v>77.753</v>
      </c>
      <c r="K1106">
        <v>13.484</v>
      </c>
      <c r="L1106">
        <v>217</v>
      </c>
      <c r="M1106">
        <v>37</v>
      </c>
      <c r="N1106">
        <v>54</v>
      </c>
      <c r="O1106">
        <v>78.33</v>
      </c>
      <c r="P1106">
        <v>12.825637159999999</v>
      </c>
      <c r="Q1106">
        <v>13.862</v>
      </c>
    </row>
    <row r="1107" spans="1:17" s="30" customFormat="1" x14ac:dyDescent="0.2">
      <c r="A1107" s="30" t="str">
        <f>IF(C1107&amp;G1107&amp;D1107&lt;&gt;'Funnel setup'!$K$3&amp;'Funnel setup'!$K$4&amp;'Funnel setup'!$K$5,".",IF(A1106=".",1,A1106+1))</f>
        <v>.</v>
      </c>
      <c r="B1107" s="431" t="str">
        <f t="shared" si="17"/>
        <v>Hip Replacement PrimaryCCG of GP PracticeNHS NORWICH CCG (06W)EQ VAS</v>
      </c>
      <c r="C1107" t="s">
        <v>248</v>
      </c>
      <c r="D1107" t="s">
        <v>87</v>
      </c>
      <c r="E1107" t="s">
        <v>770</v>
      </c>
      <c r="F1107" t="s">
        <v>771</v>
      </c>
      <c r="G1107" t="s">
        <v>179</v>
      </c>
      <c r="H1107">
        <v>134</v>
      </c>
      <c r="I1107">
        <v>67.388000000000005</v>
      </c>
      <c r="J1107">
        <v>78.656999999999996</v>
      </c>
      <c r="K1107">
        <v>11.269</v>
      </c>
      <c r="L1107">
        <v>87</v>
      </c>
      <c r="M1107">
        <v>14</v>
      </c>
      <c r="N1107">
        <v>33</v>
      </c>
      <c r="O1107">
        <v>78.364999999999995</v>
      </c>
      <c r="P1107">
        <v>12.86071413</v>
      </c>
      <c r="Q1107">
        <v>16.283000000000001</v>
      </c>
    </row>
    <row r="1108" spans="1:17" s="30" customFormat="1" x14ac:dyDescent="0.2">
      <c r="A1108" s="30" t="str">
        <f>IF(C1108&amp;G1108&amp;D1108&lt;&gt;'Funnel setup'!$K$3&amp;'Funnel setup'!$K$4&amp;'Funnel setup'!$K$5,".",IF(A1107=".",1,A1107+1))</f>
        <v>.</v>
      </c>
      <c r="B1108" s="431" t="str">
        <f t="shared" si="17"/>
        <v>Hip Replacement PrimaryCCG of GP PracticeNHS NOTTINGHAM CITY CCG (04K)EQ VAS</v>
      </c>
      <c r="C1108" t="s">
        <v>248</v>
      </c>
      <c r="D1108" t="s">
        <v>87</v>
      </c>
      <c r="E1108" t="s">
        <v>773</v>
      </c>
      <c r="F1108" t="s">
        <v>774</v>
      </c>
      <c r="G1108" t="s">
        <v>179</v>
      </c>
      <c r="H1108">
        <v>111</v>
      </c>
      <c r="I1108">
        <v>65.622</v>
      </c>
      <c r="J1108">
        <v>77.819999999999993</v>
      </c>
      <c r="K1108">
        <v>12.198</v>
      </c>
      <c r="L1108">
        <v>71</v>
      </c>
      <c r="M1108">
        <v>16</v>
      </c>
      <c r="N1108">
        <v>24</v>
      </c>
      <c r="O1108">
        <v>78.828999999999994</v>
      </c>
      <c r="P1108">
        <v>13.3241867</v>
      </c>
      <c r="Q1108">
        <v>15.516</v>
      </c>
    </row>
    <row r="1109" spans="1:17" s="30" customFormat="1" x14ac:dyDescent="0.2">
      <c r="A1109" s="30" t="str">
        <f>IF(C1109&amp;G1109&amp;D1109&lt;&gt;'Funnel setup'!$K$3&amp;'Funnel setup'!$K$4&amp;'Funnel setup'!$K$5,".",IF(A1108=".",1,A1108+1))</f>
        <v>.</v>
      </c>
      <c r="B1109" s="431" t="str">
        <f t="shared" si="17"/>
        <v>Hip Replacement PrimaryCCG of GP PracticeNHS NOTTINGHAM NORTH AND EAST CCG (04L)EQ VAS</v>
      </c>
      <c r="C1109" t="s">
        <v>248</v>
      </c>
      <c r="D1109" t="s">
        <v>87</v>
      </c>
      <c r="E1109" t="s">
        <v>776</v>
      </c>
      <c r="F1109" t="s">
        <v>777</v>
      </c>
      <c r="G1109" t="s">
        <v>179</v>
      </c>
      <c r="H1109">
        <v>128</v>
      </c>
      <c r="I1109">
        <v>64.546999999999997</v>
      </c>
      <c r="J1109">
        <v>76.852000000000004</v>
      </c>
      <c r="K1109">
        <v>12.305</v>
      </c>
      <c r="L1109">
        <v>94</v>
      </c>
      <c r="M1109">
        <v>7</v>
      </c>
      <c r="N1109">
        <v>27</v>
      </c>
      <c r="O1109">
        <v>76.849000000000004</v>
      </c>
      <c r="P1109">
        <v>11.34434577</v>
      </c>
      <c r="Q1109">
        <v>15.98</v>
      </c>
    </row>
    <row r="1110" spans="1:17" s="30" customFormat="1" x14ac:dyDescent="0.2">
      <c r="A1110" s="30" t="str">
        <f>IF(C1110&amp;G1110&amp;D1110&lt;&gt;'Funnel setup'!$K$3&amp;'Funnel setup'!$K$4&amp;'Funnel setup'!$K$5,".",IF(A1109=".",1,A1109+1))</f>
        <v>.</v>
      </c>
      <c r="B1110" s="431" t="str">
        <f t="shared" si="17"/>
        <v>Hip Replacement PrimaryCCG of GP PracticeNHS NOTTINGHAM WEST CCG (04M)EQ VAS</v>
      </c>
      <c r="C1110" t="s">
        <v>248</v>
      </c>
      <c r="D1110" t="s">
        <v>87</v>
      </c>
      <c r="E1110" t="s">
        <v>779</v>
      </c>
      <c r="F1110" t="s">
        <v>780</v>
      </c>
      <c r="G1110" t="s">
        <v>179</v>
      </c>
      <c r="H1110">
        <v>83</v>
      </c>
      <c r="I1110">
        <v>68.963999999999999</v>
      </c>
      <c r="J1110">
        <v>76.06</v>
      </c>
      <c r="K1110">
        <v>7.0960000000000001</v>
      </c>
      <c r="L1110">
        <v>46</v>
      </c>
      <c r="M1110">
        <v>9</v>
      </c>
      <c r="N1110">
        <v>28</v>
      </c>
      <c r="O1110">
        <v>74.634</v>
      </c>
      <c r="P1110">
        <v>9.130055831</v>
      </c>
      <c r="Q1110">
        <v>15.994</v>
      </c>
    </row>
    <row r="1111" spans="1:17" s="30" customFormat="1" x14ac:dyDescent="0.2">
      <c r="A1111" s="30" t="str">
        <f>IF(C1111&amp;G1111&amp;D1111&lt;&gt;'Funnel setup'!$K$3&amp;'Funnel setup'!$K$4&amp;'Funnel setup'!$K$5,".",IF(A1110=".",1,A1110+1))</f>
        <v>.</v>
      </c>
      <c r="B1111" s="431" t="str">
        <f t="shared" si="17"/>
        <v>Hip Replacement PrimaryCCG of GP PracticeNHS OLDHAM CCG (00Y)EQ VAS</v>
      </c>
      <c r="C1111" t="s">
        <v>248</v>
      </c>
      <c r="D1111" t="s">
        <v>87</v>
      </c>
      <c r="E1111" t="s">
        <v>782</v>
      </c>
      <c r="F1111" t="s">
        <v>783</v>
      </c>
      <c r="G1111" t="s">
        <v>179</v>
      </c>
      <c r="H1111">
        <v>101</v>
      </c>
      <c r="I1111">
        <v>68.989999999999995</v>
      </c>
      <c r="J1111">
        <v>74.366</v>
      </c>
      <c r="K1111">
        <v>5.3760000000000003</v>
      </c>
      <c r="L1111">
        <v>54</v>
      </c>
      <c r="M1111">
        <v>14</v>
      </c>
      <c r="N1111">
        <v>33</v>
      </c>
      <c r="O1111">
        <v>74.486999999999995</v>
      </c>
      <c r="P1111">
        <v>8.9825693330000007</v>
      </c>
      <c r="Q1111">
        <v>17.587</v>
      </c>
    </row>
    <row r="1112" spans="1:17" s="30" customFormat="1" x14ac:dyDescent="0.2">
      <c r="A1112" s="30" t="str">
        <f>IF(C1112&amp;G1112&amp;D1112&lt;&gt;'Funnel setup'!$K$3&amp;'Funnel setup'!$K$4&amp;'Funnel setup'!$K$5,".",IF(A1111=".",1,A1111+1))</f>
        <v>.</v>
      </c>
      <c r="B1112" s="431" t="str">
        <f t="shared" si="17"/>
        <v>Hip Replacement PrimaryCCG of GP PracticeNHS OXFORDSHIRE CCG (10Q)EQ VAS</v>
      </c>
      <c r="C1112" t="s">
        <v>248</v>
      </c>
      <c r="D1112" t="s">
        <v>87</v>
      </c>
      <c r="E1112" t="s">
        <v>785</v>
      </c>
      <c r="F1112" t="s">
        <v>786</v>
      </c>
      <c r="G1112" t="s">
        <v>179</v>
      </c>
      <c r="H1112">
        <v>523</v>
      </c>
      <c r="I1112">
        <v>66.850999999999999</v>
      </c>
      <c r="J1112">
        <v>78.802999999999997</v>
      </c>
      <c r="K1112">
        <v>11.952</v>
      </c>
      <c r="L1112">
        <v>343</v>
      </c>
      <c r="M1112">
        <v>56</v>
      </c>
      <c r="N1112">
        <v>124</v>
      </c>
      <c r="O1112">
        <v>77.831000000000003</v>
      </c>
      <c r="P1112">
        <v>12.3265385</v>
      </c>
      <c r="Q1112">
        <v>15.041</v>
      </c>
    </row>
    <row r="1113" spans="1:17" s="30" customFormat="1" x14ac:dyDescent="0.2">
      <c r="A1113" s="30" t="str">
        <f>IF(C1113&amp;G1113&amp;D1113&lt;&gt;'Funnel setup'!$K$3&amp;'Funnel setup'!$K$4&amp;'Funnel setup'!$K$5,".",IF(A1112=".",1,A1112+1))</f>
        <v>.</v>
      </c>
      <c r="B1113" s="431" t="str">
        <f t="shared" si="17"/>
        <v>Hip Replacement PrimaryCCG of GP PracticeNHS PORTSMOUTH CCG (10R)EQ VAS</v>
      </c>
      <c r="C1113" t="s">
        <v>248</v>
      </c>
      <c r="D1113" t="s">
        <v>87</v>
      </c>
      <c r="E1113" t="s">
        <v>788</v>
      </c>
      <c r="F1113" t="s">
        <v>789</v>
      </c>
      <c r="G1113" t="s">
        <v>179</v>
      </c>
      <c r="H1113">
        <v>59</v>
      </c>
      <c r="I1113">
        <v>61.067999999999998</v>
      </c>
      <c r="J1113">
        <v>74.626999999999995</v>
      </c>
      <c r="K1113">
        <v>13.558999999999999</v>
      </c>
      <c r="L1113">
        <v>36</v>
      </c>
      <c r="M1113">
        <v>5</v>
      </c>
      <c r="N1113">
        <v>18</v>
      </c>
      <c r="O1113">
        <v>76.319999999999993</v>
      </c>
      <c r="P1113">
        <v>10.81561857</v>
      </c>
      <c r="Q1113">
        <v>18.678999999999998</v>
      </c>
    </row>
    <row r="1114" spans="1:17" s="30" customFormat="1" x14ac:dyDescent="0.2">
      <c r="A1114" s="30" t="str">
        <f>IF(C1114&amp;G1114&amp;D1114&lt;&gt;'Funnel setup'!$K$3&amp;'Funnel setup'!$K$4&amp;'Funnel setup'!$K$5,".",IF(A1113=".",1,A1113+1))</f>
        <v>.</v>
      </c>
      <c r="B1114" s="431" t="str">
        <f t="shared" si="17"/>
        <v>Hip Replacement PrimaryCCG of GP PracticeNHS REDBRIDGE CCG (08N)EQ VAS</v>
      </c>
      <c r="C1114" t="s">
        <v>248</v>
      </c>
      <c r="D1114" t="s">
        <v>87</v>
      </c>
      <c r="E1114" t="s">
        <v>791</v>
      </c>
      <c r="F1114" t="s">
        <v>792</v>
      </c>
      <c r="G1114" t="s">
        <v>179</v>
      </c>
      <c r="H1114">
        <v>47</v>
      </c>
      <c r="I1114">
        <v>64.319000000000003</v>
      </c>
      <c r="J1114">
        <v>78.063999999999993</v>
      </c>
      <c r="K1114">
        <v>13.744999999999999</v>
      </c>
      <c r="L1114">
        <v>34</v>
      </c>
      <c r="M1114">
        <v>4</v>
      </c>
      <c r="N1114">
        <v>9</v>
      </c>
      <c r="O1114">
        <v>78.635000000000005</v>
      </c>
      <c r="P1114">
        <v>13.13067116</v>
      </c>
      <c r="Q1114">
        <v>11.99</v>
      </c>
    </row>
    <row r="1115" spans="1:17" s="30" customFormat="1" x14ac:dyDescent="0.2">
      <c r="A1115" s="30" t="str">
        <f>IF(C1115&amp;G1115&amp;D1115&lt;&gt;'Funnel setup'!$K$3&amp;'Funnel setup'!$K$4&amp;'Funnel setup'!$K$5,".",IF(A1114=".",1,A1114+1))</f>
        <v>.</v>
      </c>
      <c r="B1115" s="431" t="str">
        <f t="shared" si="17"/>
        <v>Hip Replacement PrimaryCCG of GP PracticeNHS REDDITCH AND BROMSGROVE CCG (05J)EQ VAS</v>
      </c>
      <c r="C1115" t="s">
        <v>248</v>
      </c>
      <c r="D1115" t="s">
        <v>87</v>
      </c>
      <c r="E1115" t="s">
        <v>794</v>
      </c>
      <c r="F1115" t="s">
        <v>795</v>
      </c>
      <c r="G1115" t="s">
        <v>179</v>
      </c>
      <c r="H1115">
        <v>128</v>
      </c>
      <c r="I1115">
        <v>64.977000000000004</v>
      </c>
      <c r="J1115">
        <v>78.805000000000007</v>
      </c>
      <c r="K1115">
        <v>13.827999999999999</v>
      </c>
      <c r="L1115">
        <v>90</v>
      </c>
      <c r="M1115">
        <v>12</v>
      </c>
      <c r="N1115">
        <v>26</v>
      </c>
      <c r="O1115">
        <v>78.19</v>
      </c>
      <c r="P1115">
        <v>12.685633129999999</v>
      </c>
      <c r="Q1115">
        <v>14.435</v>
      </c>
    </row>
    <row r="1116" spans="1:17" s="30" customFormat="1" x14ac:dyDescent="0.2">
      <c r="A1116" s="30" t="str">
        <f>IF(C1116&amp;G1116&amp;D1116&lt;&gt;'Funnel setup'!$K$3&amp;'Funnel setup'!$K$4&amp;'Funnel setup'!$K$5,".",IF(A1115=".",1,A1115+1))</f>
        <v>.</v>
      </c>
      <c r="B1116" s="431" t="str">
        <f t="shared" si="17"/>
        <v>Hip Replacement PrimaryCCG of GP PracticeNHS RICHMOND CCG (08P)EQ VAS</v>
      </c>
      <c r="C1116" t="s">
        <v>248</v>
      </c>
      <c r="D1116" t="s">
        <v>87</v>
      </c>
      <c r="E1116" t="s">
        <v>797</v>
      </c>
      <c r="F1116" t="s">
        <v>798</v>
      </c>
      <c r="G1116" t="s">
        <v>179</v>
      </c>
      <c r="H1116">
        <v>84</v>
      </c>
      <c r="I1116">
        <v>64.512</v>
      </c>
      <c r="J1116">
        <v>80.155000000000001</v>
      </c>
      <c r="K1116">
        <v>15.643000000000001</v>
      </c>
      <c r="L1116">
        <v>59</v>
      </c>
      <c r="M1116">
        <v>13</v>
      </c>
      <c r="N1116">
        <v>12</v>
      </c>
      <c r="O1116">
        <v>79.409000000000006</v>
      </c>
      <c r="P1116">
        <v>13.904257729999999</v>
      </c>
      <c r="Q1116">
        <v>14.384</v>
      </c>
    </row>
    <row r="1117" spans="1:17" s="30" customFormat="1" x14ac:dyDescent="0.2">
      <c r="A1117" s="30" t="str">
        <f>IF(C1117&amp;G1117&amp;D1117&lt;&gt;'Funnel setup'!$K$3&amp;'Funnel setup'!$K$4&amp;'Funnel setup'!$K$5,".",IF(A1116=".",1,A1116+1))</f>
        <v>.</v>
      </c>
      <c r="B1117" s="431" t="str">
        <f t="shared" si="17"/>
        <v>Hip Replacement PrimaryCCG of GP PracticeNHS ROTHERHAM CCG (03L)EQ VAS</v>
      </c>
      <c r="C1117" t="s">
        <v>248</v>
      </c>
      <c r="D1117" t="s">
        <v>87</v>
      </c>
      <c r="E1117" t="s">
        <v>800</v>
      </c>
      <c r="F1117" t="s">
        <v>801</v>
      </c>
      <c r="G1117" t="s">
        <v>179</v>
      </c>
      <c r="H1117">
        <v>162</v>
      </c>
      <c r="I1117">
        <v>63.116999999999997</v>
      </c>
      <c r="J1117">
        <v>77.488</v>
      </c>
      <c r="K1117">
        <v>14.37</v>
      </c>
      <c r="L1117">
        <v>118</v>
      </c>
      <c r="M1117">
        <v>16</v>
      </c>
      <c r="N1117">
        <v>28</v>
      </c>
      <c r="O1117">
        <v>78.492999999999995</v>
      </c>
      <c r="P1117">
        <v>12.988184410000001</v>
      </c>
      <c r="Q1117">
        <v>15.369</v>
      </c>
    </row>
    <row r="1118" spans="1:17" s="30" customFormat="1" x14ac:dyDescent="0.2">
      <c r="A1118" s="30" t="str">
        <f>IF(C1118&amp;G1118&amp;D1118&lt;&gt;'Funnel setup'!$K$3&amp;'Funnel setup'!$K$4&amp;'Funnel setup'!$K$5,".",IF(A1117=".",1,A1117+1))</f>
        <v>.</v>
      </c>
      <c r="B1118" s="431" t="str">
        <f t="shared" si="17"/>
        <v>Hip Replacement PrimaryCCG of GP PracticeNHS RUSHCLIFFE CCG (04N)EQ VAS</v>
      </c>
      <c r="C1118" t="s">
        <v>248</v>
      </c>
      <c r="D1118" t="s">
        <v>87</v>
      </c>
      <c r="E1118" t="s">
        <v>803</v>
      </c>
      <c r="F1118" t="s">
        <v>804</v>
      </c>
      <c r="G1118" t="s">
        <v>179</v>
      </c>
      <c r="H1118">
        <v>102</v>
      </c>
      <c r="I1118">
        <v>65.656999999999996</v>
      </c>
      <c r="J1118">
        <v>76.813999999999993</v>
      </c>
      <c r="K1118">
        <v>11.157</v>
      </c>
      <c r="L1118">
        <v>65</v>
      </c>
      <c r="M1118">
        <v>12</v>
      </c>
      <c r="N1118">
        <v>25</v>
      </c>
      <c r="O1118">
        <v>75.543000000000006</v>
      </c>
      <c r="P1118">
        <v>10.03907463</v>
      </c>
      <c r="Q1118">
        <v>16.539000000000001</v>
      </c>
    </row>
    <row r="1119" spans="1:17" s="30" customFormat="1" x14ac:dyDescent="0.2">
      <c r="A1119" s="30" t="str">
        <f>IF(C1119&amp;G1119&amp;D1119&lt;&gt;'Funnel setup'!$K$3&amp;'Funnel setup'!$K$4&amp;'Funnel setup'!$K$5,".",IF(A1118=".",1,A1118+1))</f>
        <v>.</v>
      </c>
      <c r="B1119" s="431" t="str">
        <f t="shared" si="17"/>
        <v>Hip Replacement PrimaryCCG of GP PracticeNHS SALFORD CCG (01G)EQ VAS</v>
      </c>
      <c r="C1119" t="s">
        <v>248</v>
      </c>
      <c r="D1119" t="s">
        <v>87</v>
      </c>
      <c r="E1119" t="s">
        <v>806</v>
      </c>
      <c r="F1119" t="s">
        <v>807</v>
      </c>
      <c r="G1119" t="s">
        <v>179</v>
      </c>
      <c r="H1119">
        <v>80</v>
      </c>
      <c r="I1119">
        <v>65.075000000000003</v>
      </c>
      <c r="J1119">
        <v>77.037000000000006</v>
      </c>
      <c r="K1119">
        <v>11.962999999999999</v>
      </c>
      <c r="L1119">
        <v>56</v>
      </c>
      <c r="M1119">
        <v>9</v>
      </c>
      <c r="N1119">
        <v>15</v>
      </c>
      <c r="O1119">
        <v>79.346999999999994</v>
      </c>
      <c r="P1119">
        <v>13.84309064</v>
      </c>
      <c r="Q1119">
        <v>14.615</v>
      </c>
    </row>
    <row r="1120" spans="1:17" s="30" customFormat="1" x14ac:dyDescent="0.2">
      <c r="A1120" s="30" t="str">
        <f>IF(C1120&amp;G1120&amp;D1120&lt;&gt;'Funnel setup'!$K$3&amp;'Funnel setup'!$K$4&amp;'Funnel setup'!$K$5,".",IF(A1119=".",1,A1119+1))</f>
        <v>.</v>
      </c>
      <c r="B1120" s="431" t="str">
        <f t="shared" si="17"/>
        <v>Hip Replacement PrimaryCCG of GP PracticeNHS SANDWELL AND WEST BIRMINGHAM CCG (05L)EQ VAS</v>
      </c>
      <c r="C1120" t="s">
        <v>248</v>
      </c>
      <c r="D1120" t="s">
        <v>87</v>
      </c>
      <c r="E1120" t="s">
        <v>809</v>
      </c>
      <c r="F1120" t="s">
        <v>810</v>
      </c>
      <c r="G1120" t="s">
        <v>179</v>
      </c>
      <c r="H1120">
        <v>188</v>
      </c>
      <c r="I1120">
        <v>62.963000000000001</v>
      </c>
      <c r="J1120">
        <v>74.426000000000002</v>
      </c>
      <c r="K1120">
        <v>11.462999999999999</v>
      </c>
      <c r="L1120">
        <v>119</v>
      </c>
      <c r="M1120">
        <v>21</v>
      </c>
      <c r="N1120">
        <v>48</v>
      </c>
      <c r="O1120">
        <v>78.741</v>
      </c>
      <c r="P1120">
        <v>13.236262460000001</v>
      </c>
      <c r="Q1120">
        <v>16.751000000000001</v>
      </c>
    </row>
    <row r="1121" spans="1:17" s="30" customFormat="1" x14ac:dyDescent="0.2">
      <c r="A1121" s="30" t="str">
        <f>IF(C1121&amp;G1121&amp;D1121&lt;&gt;'Funnel setup'!$K$3&amp;'Funnel setup'!$K$4&amp;'Funnel setup'!$K$5,".",IF(A1120=".",1,A1120+1))</f>
        <v>.</v>
      </c>
      <c r="B1121" s="431" t="str">
        <f t="shared" si="17"/>
        <v>Hip Replacement PrimaryCCG of GP PracticeNHS SCARBOROUGH AND RYEDALE CCG (03M)EQ VAS</v>
      </c>
      <c r="C1121" t="s">
        <v>248</v>
      </c>
      <c r="D1121" t="s">
        <v>87</v>
      </c>
      <c r="E1121" t="s">
        <v>812</v>
      </c>
      <c r="F1121" t="s">
        <v>813</v>
      </c>
      <c r="G1121" t="s">
        <v>179</v>
      </c>
      <c r="H1121">
        <v>144</v>
      </c>
      <c r="I1121">
        <v>67.59</v>
      </c>
      <c r="J1121">
        <v>81.465000000000003</v>
      </c>
      <c r="K1121">
        <v>13.875</v>
      </c>
      <c r="L1121">
        <v>96</v>
      </c>
      <c r="M1121">
        <v>20</v>
      </c>
      <c r="N1121">
        <v>28</v>
      </c>
      <c r="O1121">
        <v>79.954999999999998</v>
      </c>
      <c r="P1121">
        <v>14.45105863</v>
      </c>
      <c r="Q1121">
        <v>12.865</v>
      </c>
    </row>
    <row r="1122" spans="1:17" s="30" customFormat="1" x14ac:dyDescent="0.2">
      <c r="A1122" s="30" t="str">
        <f>IF(C1122&amp;G1122&amp;D1122&lt;&gt;'Funnel setup'!$K$3&amp;'Funnel setup'!$K$4&amp;'Funnel setup'!$K$5,".",IF(A1121=".",1,A1121+1))</f>
        <v>.</v>
      </c>
      <c r="B1122" s="431" t="str">
        <f t="shared" si="17"/>
        <v>Hip Replacement PrimaryCCG of GP PracticeNHS SHEFFIELD CCG (03N)EQ VAS</v>
      </c>
      <c r="C1122" t="s">
        <v>248</v>
      </c>
      <c r="D1122" t="s">
        <v>87</v>
      </c>
      <c r="E1122" t="s">
        <v>815</v>
      </c>
      <c r="F1122" t="s">
        <v>816</v>
      </c>
      <c r="G1122" t="s">
        <v>179</v>
      </c>
      <c r="H1122">
        <v>326</v>
      </c>
      <c r="I1122">
        <v>63.865000000000002</v>
      </c>
      <c r="J1122">
        <v>75.978999999999999</v>
      </c>
      <c r="K1122">
        <v>12.113</v>
      </c>
      <c r="L1122">
        <v>214</v>
      </c>
      <c r="M1122">
        <v>32</v>
      </c>
      <c r="N1122">
        <v>80</v>
      </c>
      <c r="O1122">
        <v>76.460999999999999</v>
      </c>
      <c r="P1122">
        <v>10.95700089</v>
      </c>
      <c r="Q1122">
        <v>14.475</v>
      </c>
    </row>
    <row r="1123" spans="1:17" s="30" customFormat="1" x14ac:dyDescent="0.2">
      <c r="A1123" s="30" t="str">
        <f>IF(C1123&amp;G1123&amp;D1123&lt;&gt;'Funnel setup'!$K$3&amp;'Funnel setup'!$K$4&amp;'Funnel setup'!$K$5,".",IF(A1122=".",1,A1122+1))</f>
        <v>.</v>
      </c>
      <c r="B1123" s="431" t="str">
        <f t="shared" si="17"/>
        <v>Hip Replacement PrimaryCCG of GP PracticeNHS SHROPSHIRE CCG (05N)EQ VAS</v>
      </c>
      <c r="C1123" t="s">
        <v>248</v>
      </c>
      <c r="D1123" t="s">
        <v>87</v>
      </c>
      <c r="E1123" t="s">
        <v>818</v>
      </c>
      <c r="F1123" t="s">
        <v>819</v>
      </c>
      <c r="G1123" t="s">
        <v>179</v>
      </c>
      <c r="H1123">
        <v>317</v>
      </c>
      <c r="I1123">
        <v>61.497999999999998</v>
      </c>
      <c r="J1123">
        <v>78.11</v>
      </c>
      <c r="K1123">
        <v>16.611999999999998</v>
      </c>
      <c r="L1123">
        <v>225</v>
      </c>
      <c r="M1123">
        <v>31</v>
      </c>
      <c r="N1123">
        <v>61</v>
      </c>
      <c r="O1123">
        <v>76.989000000000004</v>
      </c>
      <c r="P1123">
        <v>11.484816240000001</v>
      </c>
      <c r="Q1123">
        <v>15.114000000000001</v>
      </c>
    </row>
    <row r="1124" spans="1:17" s="30" customFormat="1" x14ac:dyDescent="0.2">
      <c r="A1124" s="30" t="str">
        <f>IF(C1124&amp;G1124&amp;D1124&lt;&gt;'Funnel setup'!$K$3&amp;'Funnel setup'!$K$4&amp;'Funnel setup'!$K$5,".",IF(A1123=".",1,A1123+1))</f>
        <v>.</v>
      </c>
      <c r="B1124" s="431" t="str">
        <f t="shared" si="17"/>
        <v>Hip Replacement PrimaryCCG of GP PracticeNHS SLOUGH CCG (10T)EQ VAS</v>
      </c>
      <c r="C1124" t="s">
        <v>248</v>
      </c>
      <c r="D1124" t="s">
        <v>87</v>
      </c>
      <c r="E1124" t="s">
        <v>821</v>
      </c>
      <c r="F1124" t="s">
        <v>822</v>
      </c>
      <c r="G1124" t="s">
        <v>179</v>
      </c>
      <c r="H1124">
        <v>32</v>
      </c>
      <c r="I1124">
        <v>63.655999999999999</v>
      </c>
      <c r="J1124">
        <v>72.875</v>
      </c>
      <c r="K1124">
        <v>9.2189999999999994</v>
      </c>
      <c r="L1124">
        <v>18</v>
      </c>
      <c r="M1124">
        <v>5</v>
      </c>
      <c r="N1124">
        <v>9</v>
      </c>
      <c r="O1124">
        <v>74.8</v>
      </c>
      <c r="P1124">
        <v>9.2954590219999993</v>
      </c>
      <c r="Q1124">
        <v>16.690999999999999</v>
      </c>
    </row>
    <row r="1125" spans="1:17" s="30" customFormat="1" x14ac:dyDescent="0.2">
      <c r="A1125" s="30" t="str">
        <f>IF(C1125&amp;G1125&amp;D1125&lt;&gt;'Funnel setup'!$K$3&amp;'Funnel setup'!$K$4&amp;'Funnel setup'!$K$5,".",IF(A1124=".",1,A1124+1))</f>
        <v>.</v>
      </c>
      <c r="B1125" s="431" t="str">
        <f t="shared" si="17"/>
        <v>Hip Replacement PrimaryCCG of GP PracticeNHS SOLIHULL CCG (05P)EQ VAS</v>
      </c>
      <c r="C1125" t="s">
        <v>248</v>
      </c>
      <c r="D1125" t="s">
        <v>87</v>
      </c>
      <c r="E1125" t="s">
        <v>824</v>
      </c>
      <c r="F1125" t="s">
        <v>825</v>
      </c>
      <c r="G1125" t="s">
        <v>179</v>
      </c>
      <c r="H1125">
        <v>203</v>
      </c>
      <c r="I1125">
        <v>62.03</v>
      </c>
      <c r="J1125">
        <v>78.290999999999997</v>
      </c>
      <c r="K1125">
        <v>16.260999999999999</v>
      </c>
      <c r="L1125">
        <v>152</v>
      </c>
      <c r="M1125">
        <v>14</v>
      </c>
      <c r="N1125">
        <v>37</v>
      </c>
      <c r="O1125">
        <v>78.715000000000003</v>
      </c>
      <c r="P1125">
        <v>13.21073754</v>
      </c>
      <c r="Q1125">
        <v>14.977</v>
      </c>
    </row>
    <row r="1126" spans="1:17" s="30" customFormat="1" x14ac:dyDescent="0.2">
      <c r="A1126" s="30" t="str">
        <f>IF(C1126&amp;G1126&amp;D1126&lt;&gt;'Funnel setup'!$K$3&amp;'Funnel setup'!$K$4&amp;'Funnel setup'!$K$5,".",IF(A1125=".",1,A1125+1))</f>
        <v>.</v>
      </c>
      <c r="B1126" s="431" t="str">
        <f t="shared" si="17"/>
        <v>Hip Replacement PrimaryCCG of GP PracticeNHS SOMERSET CCG (11X)EQ VAS</v>
      </c>
      <c r="C1126" t="s">
        <v>248</v>
      </c>
      <c r="D1126" t="s">
        <v>87</v>
      </c>
      <c r="E1126" t="s">
        <v>827</v>
      </c>
      <c r="F1126" t="s">
        <v>828</v>
      </c>
      <c r="G1126" t="s">
        <v>179</v>
      </c>
      <c r="H1126">
        <v>458</v>
      </c>
      <c r="I1126">
        <v>67.245000000000005</v>
      </c>
      <c r="J1126">
        <v>80.179000000000002</v>
      </c>
      <c r="K1126">
        <v>12.933999999999999</v>
      </c>
      <c r="L1126">
        <v>314</v>
      </c>
      <c r="M1126">
        <v>45</v>
      </c>
      <c r="N1126">
        <v>99</v>
      </c>
      <c r="O1126">
        <v>78.147999999999996</v>
      </c>
      <c r="P1126">
        <v>12.643616789999999</v>
      </c>
      <c r="Q1126">
        <v>14.763</v>
      </c>
    </row>
    <row r="1127" spans="1:17" s="30" customFormat="1" x14ac:dyDescent="0.2">
      <c r="A1127" s="30" t="str">
        <f>IF(C1127&amp;G1127&amp;D1127&lt;&gt;'Funnel setup'!$K$3&amp;'Funnel setup'!$K$4&amp;'Funnel setup'!$K$5,".",IF(A1126=".",1,A1126+1))</f>
        <v>.</v>
      </c>
      <c r="B1127" s="431" t="str">
        <f t="shared" si="17"/>
        <v>Hip Replacement PrimaryCCG of GP PracticeNHS SOUTH CHESHIRE CCG (01R)EQ VAS</v>
      </c>
      <c r="C1127" t="s">
        <v>248</v>
      </c>
      <c r="D1127" t="s">
        <v>87</v>
      </c>
      <c r="E1127" t="s">
        <v>830</v>
      </c>
      <c r="F1127" t="s">
        <v>831</v>
      </c>
      <c r="G1127" t="s">
        <v>179</v>
      </c>
      <c r="H1127">
        <v>154</v>
      </c>
      <c r="I1127">
        <v>69.668999999999997</v>
      </c>
      <c r="J1127">
        <v>78.688000000000002</v>
      </c>
      <c r="K1127">
        <v>9.0190000000000001</v>
      </c>
      <c r="L1127">
        <v>90</v>
      </c>
      <c r="M1127">
        <v>21</v>
      </c>
      <c r="N1127">
        <v>43</v>
      </c>
      <c r="O1127">
        <v>76.436000000000007</v>
      </c>
      <c r="P1127">
        <v>10.931368859999999</v>
      </c>
      <c r="Q1127">
        <v>13.195</v>
      </c>
    </row>
    <row r="1128" spans="1:17" s="30" customFormat="1" x14ac:dyDescent="0.2">
      <c r="A1128" s="30" t="str">
        <f>IF(C1128&amp;G1128&amp;D1128&lt;&gt;'Funnel setup'!$K$3&amp;'Funnel setup'!$K$4&amp;'Funnel setup'!$K$5,".",IF(A1127=".",1,A1127+1))</f>
        <v>.</v>
      </c>
      <c r="B1128" s="431" t="str">
        <f t="shared" si="17"/>
        <v>Hip Replacement PrimaryCCG of GP PracticeNHS SOUTH DEVON AND TORBAY CCG (99Q)EQ VAS</v>
      </c>
      <c r="C1128" t="s">
        <v>248</v>
      </c>
      <c r="D1128" t="s">
        <v>87</v>
      </c>
      <c r="E1128" t="s">
        <v>833</v>
      </c>
      <c r="F1128" t="s">
        <v>834</v>
      </c>
      <c r="G1128" t="s">
        <v>179</v>
      </c>
      <c r="H1128">
        <v>364</v>
      </c>
      <c r="I1128">
        <v>68.879000000000005</v>
      </c>
      <c r="J1128">
        <v>77.47</v>
      </c>
      <c r="K1128">
        <v>8.5909999999999993</v>
      </c>
      <c r="L1128">
        <v>219</v>
      </c>
      <c r="M1128">
        <v>34</v>
      </c>
      <c r="N1128">
        <v>111</v>
      </c>
      <c r="O1128">
        <v>77.236999999999995</v>
      </c>
      <c r="P1128">
        <v>11.733017459999999</v>
      </c>
      <c r="Q1128">
        <v>15.981</v>
      </c>
    </row>
    <row r="1129" spans="1:17" s="30" customFormat="1" x14ac:dyDescent="0.2">
      <c r="A1129" s="30" t="str">
        <f>IF(C1129&amp;G1129&amp;D1129&lt;&gt;'Funnel setup'!$K$3&amp;'Funnel setup'!$K$4&amp;'Funnel setup'!$K$5,".",IF(A1128=".",1,A1128+1))</f>
        <v>.</v>
      </c>
      <c r="B1129" s="431" t="str">
        <f t="shared" si="17"/>
        <v>Hip Replacement PrimaryCCG of GP PracticeNHS SOUTH EAST STAFFORDSHIRE AND SEISDON PENINSULA CCG (05Q)EQ VAS</v>
      </c>
      <c r="C1129" t="s">
        <v>248</v>
      </c>
      <c r="D1129" t="s">
        <v>87</v>
      </c>
      <c r="E1129" t="s">
        <v>836</v>
      </c>
      <c r="F1129" t="s">
        <v>837</v>
      </c>
      <c r="G1129" t="s">
        <v>179</v>
      </c>
      <c r="H1129">
        <v>162</v>
      </c>
      <c r="I1129">
        <v>68.543000000000006</v>
      </c>
      <c r="J1129">
        <v>77.061999999999998</v>
      </c>
      <c r="K1129">
        <v>8.5190000000000001</v>
      </c>
      <c r="L1129">
        <v>103</v>
      </c>
      <c r="M1129">
        <v>18</v>
      </c>
      <c r="N1129">
        <v>41</v>
      </c>
      <c r="O1129">
        <v>77.013000000000005</v>
      </c>
      <c r="P1129">
        <v>11.508618350000001</v>
      </c>
      <c r="Q1129">
        <v>16.689</v>
      </c>
    </row>
    <row r="1130" spans="1:17" s="30" customFormat="1" x14ac:dyDescent="0.2">
      <c r="A1130" s="30" t="str">
        <f>IF(C1130&amp;G1130&amp;D1130&lt;&gt;'Funnel setup'!$K$3&amp;'Funnel setup'!$K$4&amp;'Funnel setup'!$K$5,".",IF(A1129=".",1,A1129+1))</f>
        <v>.</v>
      </c>
      <c r="B1130" s="431" t="str">
        <f t="shared" si="17"/>
        <v>Hip Replacement PrimaryCCG of GP PracticeNHS SOUTH EASTERN HAMPSHIRE CCG (10V)EQ VAS</v>
      </c>
      <c r="C1130" t="s">
        <v>248</v>
      </c>
      <c r="D1130" t="s">
        <v>87</v>
      </c>
      <c r="E1130" t="s">
        <v>839</v>
      </c>
      <c r="F1130" t="s">
        <v>840</v>
      </c>
      <c r="G1130" t="s">
        <v>179</v>
      </c>
      <c r="H1130">
        <v>130</v>
      </c>
      <c r="I1130">
        <v>68.069000000000003</v>
      </c>
      <c r="J1130">
        <v>77.215000000000003</v>
      </c>
      <c r="K1130">
        <v>9.1460000000000008</v>
      </c>
      <c r="L1130">
        <v>78</v>
      </c>
      <c r="M1130">
        <v>13</v>
      </c>
      <c r="N1130">
        <v>39</v>
      </c>
      <c r="O1130">
        <v>76.484999999999999</v>
      </c>
      <c r="P1130">
        <v>10.980357229999999</v>
      </c>
      <c r="Q1130">
        <v>15.430999999999999</v>
      </c>
    </row>
    <row r="1131" spans="1:17" s="30" customFormat="1" x14ac:dyDescent="0.2">
      <c r="A1131" s="30" t="str">
        <f>IF(C1131&amp;G1131&amp;D1131&lt;&gt;'Funnel setup'!$K$3&amp;'Funnel setup'!$K$4&amp;'Funnel setup'!$K$5,".",IF(A1130=".",1,A1130+1))</f>
        <v>.</v>
      </c>
      <c r="B1131" s="431" t="str">
        <f t="shared" si="17"/>
        <v>Hip Replacement PrimaryCCG of GP PracticeNHS SOUTH GLOUCESTERSHIRE CCG (12A)EQ VAS</v>
      </c>
      <c r="C1131" t="s">
        <v>248</v>
      </c>
      <c r="D1131" t="s">
        <v>87</v>
      </c>
      <c r="E1131" t="s">
        <v>842</v>
      </c>
      <c r="F1131" t="s">
        <v>843</v>
      </c>
      <c r="G1131" t="s">
        <v>179</v>
      </c>
      <c r="H1131">
        <v>203</v>
      </c>
      <c r="I1131">
        <v>68.802999999999997</v>
      </c>
      <c r="J1131">
        <v>81.7</v>
      </c>
      <c r="K1131">
        <v>12.897</v>
      </c>
      <c r="L1131">
        <v>134</v>
      </c>
      <c r="M1131">
        <v>30</v>
      </c>
      <c r="N1131">
        <v>39</v>
      </c>
      <c r="O1131">
        <v>78.911000000000001</v>
      </c>
      <c r="P1131">
        <v>13.407127880000001</v>
      </c>
      <c r="Q1131">
        <v>12.568</v>
      </c>
    </row>
    <row r="1132" spans="1:17" s="30" customFormat="1" x14ac:dyDescent="0.2">
      <c r="A1132" s="30" t="str">
        <f>IF(C1132&amp;G1132&amp;D1132&lt;&gt;'Funnel setup'!$K$3&amp;'Funnel setup'!$K$4&amp;'Funnel setup'!$K$5,".",IF(A1131=".",1,A1131+1))</f>
        <v>.</v>
      </c>
      <c r="B1132" s="431" t="str">
        <f t="shared" si="17"/>
        <v>Hip Replacement PrimaryCCG of GP PracticeNHS SOUTH KENT COAST CCG (10A)EQ VAS</v>
      </c>
      <c r="C1132" t="s">
        <v>248</v>
      </c>
      <c r="D1132" t="s">
        <v>87</v>
      </c>
      <c r="E1132" t="s">
        <v>845</v>
      </c>
      <c r="F1132" t="s">
        <v>846</v>
      </c>
      <c r="G1132" t="s">
        <v>179</v>
      </c>
      <c r="H1132">
        <v>112</v>
      </c>
      <c r="I1132">
        <v>66.213999999999999</v>
      </c>
      <c r="J1132">
        <v>77.188000000000002</v>
      </c>
      <c r="K1132">
        <v>10.973000000000001</v>
      </c>
      <c r="L1132">
        <v>74</v>
      </c>
      <c r="M1132">
        <v>13</v>
      </c>
      <c r="N1132">
        <v>25</v>
      </c>
      <c r="O1132">
        <v>78.052000000000007</v>
      </c>
      <c r="P1132">
        <v>12.54762128</v>
      </c>
      <c r="Q1132">
        <v>14.401999999999999</v>
      </c>
    </row>
    <row r="1133" spans="1:17" s="30" customFormat="1" x14ac:dyDescent="0.2">
      <c r="A1133" s="30" t="str">
        <f>IF(C1133&amp;G1133&amp;D1133&lt;&gt;'Funnel setup'!$K$3&amp;'Funnel setup'!$K$4&amp;'Funnel setup'!$K$5,".",IF(A1132=".",1,A1132+1))</f>
        <v>.</v>
      </c>
      <c r="B1133" s="431" t="str">
        <f t="shared" si="17"/>
        <v>Hip Replacement PrimaryCCG of GP PracticeNHS SOUTH LINCOLNSHIRE CCG (99D)EQ VAS</v>
      </c>
      <c r="C1133" t="s">
        <v>248</v>
      </c>
      <c r="D1133" t="s">
        <v>87</v>
      </c>
      <c r="E1133" t="s">
        <v>848</v>
      </c>
      <c r="F1133" t="s">
        <v>849</v>
      </c>
      <c r="G1133" t="s">
        <v>179</v>
      </c>
      <c r="H1133">
        <v>125</v>
      </c>
      <c r="I1133">
        <v>66.671999999999997</v>
      </c>
      <c r="J1133">
        <v>77.144000000000005</v>
      </c>
      <c r="K1133">
        <v>10.472</v>
      </c>
      <c r="L1133">
        <v>73</v>
      </c>
      <c r="M1133">
        <v>15</v>
      </c>
      <c r="N1133">
        <v>37</v>
      </c>
      <c r="O1133">
        <v>75.846000000000004</v>
      </c>
      <c r="P1133">
        <v>10.342112889999999</v>
      </c>
      <c r="Q1133">
        <v>15.744999999999999</v>
      </c>
    </row>
    <row r="1134" spans="1:17" s="30" customFormat="1" x14ac:dyDescent="0.2">
      <c r="A1134" s="30" t="str">
        <f>IF(C1134&amp;G1134&amp;D1134&lt;&gt;'Funnel setup'!$K$3&amp;'Funnel setup'!$K$4&amp;'Funnel setup'!$K$5,".",IF(A1133=".",1,A1133+1))</f>
        <v>.</v>
      </c>
      <c r="B1134" s="431" t="str">
        <f t="shared" si="17"/>
        <v>Hip Replacement PrimaryCCG of GP PracticeNHS SOUTH MANCHESTER CCG (01N)EQ VAS</v>
      </c>
      <c r="C1134" t="s">
        <v>248</v>
      </c>
      <c r="D1134" t="s">
        <v>87</v>
      </c>
      <c r="E1134" t="s">
        <v>851</v>
      </c>
      <c r="F1134" t="s">
        <v>852</v>
      </c>
      <c r="G1134" t="s">
        <v>179</v>
      </c>
      <c r="H1134">
        <v>39</v>
      </c>
      <c r="I1134">
        <v>61.537999999999997</v>
      </c>
      <c r="J1134">
        <v>71.846000000000004</v>
      </c>
      <c r="K1134">
        <v>10.308</v>
      </c>
      <c r="L1134">
        <v>24</v>
      </c>
      <c r="M1134">
        <v>2</v>
      </c>
      <c r="N1134">
        <v>13</v>
      </c>
      <c r="O1134">
        <v>74.561999999999998</v>
      </c>
      <c r="P1134">
        <v>9.0578722989999996</v>
      </c>
      <c r="Q1134">
        <v>14.058999999999999</v>
      </c>
    </row>
    <row r="1135" spans="1:17" s="30" customFormat="1" x14ac:dyDescent="0.2">
      <c r="A1135" s="30" t="str">
        <f>IF(C1135&amp;G1135&amp;D1135&lt;&gt;'Funnel setup'!$K$3&amp;'Funnel setup'!$K$4&amp;'Funnel setup'!$K$5,".",IF(A1134=".",1,A1134+1))</f>
        <v>.</v>
      </c>
      <c r="B1135" s="431" t="str">
        <f t="shared" si="17"/>
        <v>Hip Replacement PrimaryCCG of GP PracticeNHS SOUTH NORFOLK CCG (06Y)EQ VAS</v>
      </c>
      <c r="C1135" t="s">
        <v>248</v>
      </c>
      <c r="D1135" t="s">
        <v>87</v>
      </c>
      <c r="E1135" t="s">
        <v>932</v>
      </c>
      <c r="F1135" t="s">
        <v>933</v>
      </c>
      <c r="G1135" t="s">
        <v>179</v>
      </c>
      <c r="H1135">
        <v>214</v>
      </c>
      <c r="I1135">
        <v>64.944000000000003</v>
      </c>
      <c r="J1135">
        <v>76.706000000000003</v>
      </c>
      <c r="K1135">
        <v>11.762</v>
      </c>
      <c r="L1135">
        <v>148</v>
      </c>
      <c r="M1135">
        <v>15</v>
      </c>
      <c r="N1135">
        <v>51</v>
      </c>
      <c r="O1135">
        <v>76.686999999999998</v>
      </c>
      <c r="P1135">
        <v>11.182465390000001</v>
      </c>
      <c r="Q1135">
        <v>16.192</v>
      </c>
    </row>
    <row r="1136" spans="1:17" s="30" customFormat="1" x14ac:dyDescent="0.2">
      <c r="A1136" s="30" t="str">
        <f>IF(C1136&amp;G1136&amp;D1136&lt;&gt;'Funnel setup'!$K$3&amp;'Funnel setup'!$K$4&amp;'Funnel setup'!$K$5,".",IF(A1135=".",1,A1135+1))</f>
        <v>.</v>
      </c>
      <c r="B1136" s="431" t="str">
        <f t="shared" si="17"/>
        <v>Hip Replacement PrimaryCCG of GP PracticeNHS SOUTH READING CCG (10W)EQ VAS</v>
      </c>
      <c r="C1136" t="s">
        <v>248</v>
      </c>
      <c r="D1136" t="s">
        <v>87</v>
      </c>
      <c r="E1136" t="s">
        <v>935</v>
      </c>
      <c r="F1136" t="s">
        <v>936</v>
      </c>
      <c r="G1136" t="s">
        <v>179</v>
      </c>
      <c r="H1136">
        <v>30</v>
      </c>
      <c r="I1136">
        <v>68.2</v>
      </c>
      <c r="J1136">
        <v>80.766999999999996</v>
      </c>
      <c r="K1136">
        <v>12.567</v>
      </c>
      <c r="L1136">
        <v>21</v>
      </c>
      <c r="M1136">
        <v>4</v>
      </c>
      <c r="N1136">
        <v>5</v>
      </c>
      <c r="O1136">
        <v>78.709999999999994</v>
      </c>
      <c r="P1136">
        <v>13.20589461</v>
      </c>
      <c r="Q1136">
        <v>17.277999999999999</v>
      </c>
    </row>
    <row r="1137" spans="1:17" s="30" customFormat="1" x14ac:dyDescent="0.2">
      <c r="A1137" s="30" t="str">
        <f>IF(C1137&amp;G1137&amp;D1137&lt;&gt;'Funnel setup'!$K$3&amp;'Funnel setup'!$K$4&amp;'Funnel setup'!$K$5,".",IF(A1136=".",1,A1136+1))</f>
        <v>.</v>
      </c>
      <c r="B1137" s="431" t="str">
        <f t="shared" si="17"/>
        <v>Hip Replacement PrimaryCCG of GP PracticeNHS SOUTH SEFTON CCG (01T)EQ VAS</v>
      </c>
      <c r="C1137" t="s">
        <v>248</v>
      </c>
      <c r="D1137" t="s">
        <v>87</v>
      </c>
      <c r="E1137" t="s">
        <v>938</v>
      </c>
      <c r="F1137" t="s">
        <v>939</v>
      </c>
      <c r="G1137" t="s">
        <v>179</v>
      </c>
      <c r="H1137">
        <v>84</v>
      </c>
      <c r="I1137">
        <v>63.429000000000002</v>
      </c>
      <c r="J1137">
        <v>71.548000000000002</v>
      </c>
      <c r="K1137">
        <v>8.1189999999999998</v>
      </c>
      <c r="L1137">
        <v>45</v>
      </c>
      <c r="M1137">
        <v>7</v>
      </c>
      <c r="N1137">
        <v>32</v>
      </c>
      <c r="O1137">
        <v>73.340999999999994</v>
      </c>
      <c r="P1137">
        <v>7.836757371</v>
      </c>
      <c r="Q1137">
        <v>17.437000000000001</v>
      </c>
    </row>
    <row r="1138" spans="1:17" s="30" customFormat="1" x14ac:dyDescent="0.2">
      <c r="A1138" s="30" t="str">
        <f>IF(C1138&amp;G1138&amp;D1138&lt;&gt;'Funnel setup'!$K$3&amp;'Funnel setup'!$K$4&amp;'Funnel setup'!$K$5,".",IF(A1137=".",1,A1137+1))</f>
        <v>.</v>
      </c>
      <c r="B1138" s="431" t="str">
        <f t="shared" si="17"/>
        <v>Hip Replacement PrimaryCCG of GP PracticeNHS SOUTH TEES CCG (00M)EQ VAS</v>
      </c>
      <c r="C1138" t="s">
        <v>248</v>
      </c>
      <c r="D1138" t="s">
        <v>87</v>
      </c>
      <c r="E1138" t="s">
        <v>941</v>
      </c>
      <c r="F1138" t="s">
        <v>942</v>
      </c>
      <c r="G1138" t="s">
        <v>179</v>
      </c>
      <c r="H1138">
        <v>214</v>
      </c>
      <c r="I1138">
        <v>64.513999999999996</v>
      </c>
      <c r="J1138">
        <v>75.453000000000003</v>
      </c>
      <c r="K1138">
        <v>10.939</v>
      </c>
      <c r="L1138">
        <v>133</v>
      </c>
      <c r="M1138">
        <v>22</v>
      </c>
      <c r="N1138">
        <v>59</v>
      </c>
      <c r="O1138">
        <v>76.929000000000002</v>
      </c>
      <c r="P1138">
        <v>11.42490119</v>
      </c>
      <c r="Q1138">
        <v>15.372</v>
      </c>
    </row>
    <row r="1139" spans="1:17" s="30" customFormat="1" x14ac:dyDescent="0.2">
      <c r="A1139" s="30" t="str">
        <f>IF(C1139&amp;G1139&amp;D1139&lt;&gt;'Funnel setup'!$K$3&amp;'Funnel setup'!$K$4&amp;'Funnel setup'!$K$5,".",IF(A1138=".",1,A1138+1))</f>
        <v>.</v>
      </c>
      <c r="B1139" s="431" t="str">
        <f t="shared" si="17"/>
        <v>Hip Replacement PrimaryCCG of GP PracticeNHS SOUTH TYNESIDE CCG (00N)EQ VAS</v>
      </c>
      <c r="C1139" t="s">
        <v>248</v>
      </c>
      <c r="D1139" t="s">
        <v>87</v>
      </c>
      <c r="E1139" t="s">
        <v>1016</v>
      </c>
      <c r="F1139" t="s">
        <v>1017</v>
      </c>
      <c r="G1139" t="s">
        <v>179</v>
      </c>
      <c r="H1139">
        <v>92</v>
      </c>
      <c r="I1139">
        <v>66.772000000000006</v>
      </c>
      <c r="J1139">
        <v>76</v>
      </c>
      <c r="K1139">
        <v>9.2279999999999998</v>
      </c>
      <c r="L1139">
        <v>52</v>
      </c>
      <c r="M1139">
        <v>13</v>
      </c>
      <c r="N1139">
        <v>27</v>
      </c>
      <c r="O1139">
        <v>76.400999999999996</v>
      </c>
      <c r="P1139">
        <v>10.896264929999999</v>
      </c>
      <c r="Q1139">
        <v>15.615</v>
      </c>
    </row>
    <row r="1140" spans="1:17" s="30" customFormat="1" x14ac:dyDescent="0.2">
      <c r="A1140" s="30" t="str">
        <f>IF(C1140&amp;G1140&amp;D1140&lt;&gt;'Funnel setup'!$K$3&amp;'Funnel setup'!$K$4&amp;'Funnel setup'!$K$5,".",IF(A1139=".",1,A1139+1))</f>
        <v>.</v>
      </c>
      <c r="B1140" s="431" t="str">
        <f t="shared" si="17"/>
        <v>Hip Replacement PrimaryCCG of GP PracticeNHS SOUTH WARWICKSHIRE CCG (05R)EQ VAS</v>
      </c>
      <c r="C1140" t="s">
        <v>248</v>
      </c>
      <c r="D1140" t="s">
        <v>87</v>
      </c>
      <c r="E1140" t="s">
        <v>944</v>
      </c>
      <c r="F1140" t="s">
        <v>945</v>
      </c>
      <c r="G1140" t="s">
        <v>179</v>
      </c>
      <c r="H1140">
        <v>295</v>
      </c>
      <c r="I1140">
        <v>67.363</v>
      </c>
      <c r="J1140">
        <v>79.305000000000007</v>
      </c>
      <c r="K1140">
        <v>11.942</v>
      </c>
      <c r="L1140">
        <v>201</v>
      </c>
      <c r="M1140">
        <v>30</v>
      </c>
      <c r="N1140">
        <v>64</v>
      </c>
      <c r="O1140">
        <v>77.893000000000001</v>
      </c>
      <c r="P1140">
        <v>12.388624849999999</v>
      </c>
      <c r="Q1140">
        <v>14.679</v>
      </c>
    </row>
    <row r="1141" spans="1:17" s="30" customFormat="1" x14ac:dyDescent="0.2">
      <c r="A1141" s="30" t="str">
        <f>IF(C1141&amp;G1141&amp;D1141&lt;&gt;'Funnel setup'!$K$3&amp;'Funnel setup'!$K$4&amp;'Funnel setup'!$K$5,".",IF(A1140=".",1,A1140+1))</f>
        <v>.</v>
      </c>
      <c r="B1141" s="431" t="str">
        <f t="shared" si="17"/>
        <v>Hip Replacement PrimaryCCG of GP PracticeNHS SOUTH WEST LINCOLNSHIRE CCG (04Q)EQ VAS</v>
      </c>
      <c r="C1141" t="s">
        <v>248</v>
      </c>
      <c r="D1141" t="s">
        <v>87</v>
      </c>
      <c r="E1141" t="s">
        <v>947</v>
      </c>
      <c r="F1141" t="s">
        <v>948</v>
      </c>
      <c r="G1141" t="s">
        <v>179</v>
      </c>
      <c r="H1141">
        <v>126</v>
      </c>
      <c r="I1141">
        <v>66.968000000000004</v>
      </c>
      <c r="J1141">
        <v>74.332999999999998</v>
      </c>
      <c r="K1141">
        <v>7.3650000000000002</v>
      </c>
      <c r="L1141">
        <v>68</v>
      </c>
      <c r="M1141">
        <v>18</v>
      </c>
      <c r="N1141">
        <v>40</v>
      </c>
      <c r="O1141">
        <v>73.102999999999994</v>
      </c>
      <c r="P1141">
        <v>7.5988598170000001</v>
      </c>
      <c r="Q1141">
        <v>17.7</v>
      </c>
    </row>
    <row r="1142" spans="1:17" s="30" customFormat="1" x14ac:dyDescent="0.2">
      <c r="A1142" s="30" t="str">
        <f>IF(C1142&amp;G1142&amp;D1142&lt;&gt;'Funnel setup'!$K$3&amp;'Funnel setup'!$K$4&amp;'Funnel setup'!$K$5,".",IF(A1141=".",1,A1141+1))</f>
        <v>.</v>
      </c>
      <c r="B1142" s="431" t="str">
        <f t="shared" si="17"/>
        <v>Hip Replacement PrimaryCCG of GP PracticeNHS SOUTH WORCESTERSHIRE CCG (05T)EQ VAS</v>
      </c>
      <c r="C1142" t="s">
        <v>248</v>
      </c>
      <c r="D1142" t="s">
        <v>87</v>
      </c>
      <c r="E1142" t="s">
        <v>950</v>
      </c>
      <c r="F1142" t="s">
        <v>951</v>
      </c>
      <c r="G1142" t="s">
        <v>179</v>
      </c>
      <c r="H1142">
        <v>189</v>
      </c>
      <c r="I1142">
        <v>69.814999999999998</v>
      </c>
      <c r="J1142">
        <v>80.168999999999997</v>
      </c>
      <c r="K1142">
        <v>10.353999999999999</v>
      </c>
      <c r="L1142">
        <v>122</v>
      </c>
      <c r="M1142">
        <v>17</v>
      </c>
      <c r="N1142">
        <v>50</v>
      </c>
      <c r="O1142">
        <v>78.236000000000004</v>
      </c>
      <c r="P1142">
        <v>12.73154311</v>
      </c>
      <c r="Q1142">
        <v>15.96</v>
      </c>
    </row>
    <row r="1143" spans="1:17" s="30" customFormat="1" x14ac:dyDescent="0.2">
      <c r="A1143" s="30" t="str">
        <f>IF(C1143&amp;G1143&amp;D1143&lt;&gt;'Funnel setup'!$K$3&amp;'Funnel setup'!$K$4&amp;'Funnel setup'!$K$5,".",IF(A1142=".",1,A1142+1))</f>
        <v>.</v>
      </c>
      <c r="B1143" s="431" t="str">
        <f t="shared" si="17"/>
        <v>Hip Replacement PrimaryCCG of GP PracticeNHS SOUTHAMPTON CCG (10X)EQ VAS</v>
      </c>
      <c r="C1143" t="s">
        <v>248</v>
      </c>
      <c r="D1143" t="s">
        <v>87</v>
      </c>
      <c r="E1143" t="s">
        <v>953</v>
      </c>
      <c r="F1143" t="s">
        <v>954</v>
      </c>
      <c r="G1143" t="s">
        <v>179</v>
      </c>
      <c r="H1143">
        <v>119</v>
      </c>
      <c r="I1143">
        <v>63.335999999999999</v>
      </c>
      <c r="J1143">
        <v>73.100999999999999</v>
      </c>
      <c r="K1143">
        <v>9.7650000000000006</v>
      </c>
      <c r="L1143">
        <v>80</v>
      </c>
      <c r="M1143">
        <v>9</v>
      </c>
      <c r="N1143">
        <v>30</v>
      </c>
      <c r="O1143">
        <v>75.281000000000006</v>
      </c>
      <c r="P1143">
        <v>9.7766924890000002</v>
      </c>
      <c r="Q1143">
        <v>16.059999999999999</v>
      </c>
    </row>
    <row r="1144" spans="1:17" s="30" customFormat="1" x14ac:dyDescent="0.2">
      <c r="A1144" s="30" t="str">
        <f>IF(C1144&amp;G1144&amp;D1144&lt;&gt;'Funnel setup'!$K$3&amp;'Funnel setup'!$K$4&amp;'Funnel setup'!$K$5,".",IF(A1143=".",1,A1143+1))</f>
        <v>.</v>
      </c>
      <c r="B1144" s="431" t="str">
        <f t="shared" si="17"/>
        <v>Hip Replacement PrimaryCCG of GP PracticeNHS SOUTHEND CCG (99G)EQ VAS</v>
      </c>
      <c r="C1144" t="s">
        <v>248</v>
      </c>
      <c r="D1144" t="s">
        <v>87</v>
      </c>
      <c r="E1144" t="s">
        <v>956</v>
      </c>
      <c r="F1144" t="s">
        <v>957</v>
      </c>
      <c r="G1144" t="s">
        <v>179</v>
      </c>
      <c r="H1144">
        <v>81</v>
      </c>
      <c r="I1144">
        <v>67.765000000000001</v>
      </c>
      <c r="J1144">
        <v>77.296000000000006</v>
      </c>
      <c r="K1144">
        <v>9.5310000000000006</v>
      </c>
      <c r="L1144">
        <v>47</v>
      </c>
      <c r="M1144">
        <v>10</v>
      </c>
      <c r="N1144">
        <v>24</v>
      </c>
      <c r="O1144">
        <v>76.37</v>
      </c>
      <c r="P1144">
        <v>10.865601789999999</v>
      </c>
      <c r="Q1144">
        <v>15.638999999999999</v>
      </c>
    </row>
    <row r="1145" spans="1:17" s="30" customFormat="1" x14ac:dyDescent="0.2">
      <c r="A1145" s="30" t="str">
        <f>IF(C1145&amp;G1145&amp;D1145&lt;&gt;'Funnel setup'!$K$3&amp;'Funnel setup'!$K$4&amp;'Funnel setup'!$K$5,".",IF(A1144=".",1,A1144+1))</f>
        <v>.</v>
      </c>
      <c r="B1145" s="431" t="str">
        <f t="shared" si="17"/>
        <v>Hip Replacement PrimaryCCG of GP PracticeNHS SOUTHERN DERBYSHIRE CCG (04R)EQ VAS</v>
      </c>
      <c r="C1145" t="s">
        <v>248</v>
      </c>
      <c r="D1145" t="s">
        <v>87</v>
      </c>
      <c r="E1145" t="s">
        <v>959</v>
      </c>
      <c r="F1145" t="s">
        <v>960</v>
      </c>
      <c r="G1145" t="s">
        <v>179</v>
      </c>
      <c r="H1145">
        <v>412</v>
      </c>
      <c r="I1145">
        <v>64.405000000000001</v>
      </c>
      <c r="J1145">
        <v>77.167000000000002</v>
      </c>
      <c r="K1145">
        <v>12.762</v>
      </c>
      <c r="L1145">
        <v>284</v>
      </c>
      <c r="M1145">
        <v>36</v>
      </c>
      <c r="N1145">
        <v>92</v>
      </c>
      <c r="O1145">
        <v>76.908000000000001</v>
      </c>
      <c r="P1145">
        <v>11.40350452</v>
      </c>
      <c r="Q1145">
        <v>15.092000000000001</v>
      </c>
    </row>
    <row r="1146" spans="1:17" s="30" customFormat="1" x14ac:dyDescent="0.2">
      <c r="A1146" s="30" t="str">
        <f>IF(C1146&amp;G1146&amp;D1146&lt;&gt;'Funnel setup'!$K$3&amp;'Funnel setup'!$K$4&amp;'Funnel setup'!$K$5,".",IF(A1145=".",1,A1145+1))</f>
        <v>.</v>
      </c>
      <c r="B1146" s="431" t="str">
        <f t="shared" si="17"/>
        <v>Hip Replacement PrimaryCCG of GP PracticeNHS SOUTHPORT AND FORMBY CCG (01V)EQ VAS</v>
      </c>
      <c r="C1146" t="s">
        <v>248</v>
      </c>
      <c r="D1146" t="s">
        <v>87</v>
      </c>
      <c r="E1146" t="s">
        <v>962</v>
      </c>
      <c r="F1146" t="s">
        <v>963</v>
      </c>
      <c r="G1146" t="s">
        <v>179</v>
      </c>
      <c r="H1146">
        <v>90</v>
      </c>
      <c r="I1146">
        <v>68.221999999999994</v>
      </c>
      <c r="J1146">
        <v>79.822000000000003</v>
      </c>
      <c r="K1146">
        <v>11.6</v>
      </c>
      <c r="L1146">
        <v>64</v>
      </c>
      <c r="M1146">
        <v>14</v>
      </c>
      <c r="N1146">
        <v>12</v>
      </c>
      <c r="O1146">
        <v>79.52</v>
      </c>
      <c r="P1146">
        <v>14.01587378</v>
      </c>
      <c r="Q1146">
        <v>13.172000000000001</v>
      </c>
    </row>
    <row r="1147" spans="1:17" s="30" customFormat="1" x14ac:dyDescent="0.2">
      <c r="A1147" s="30" t="str">
        <f>IF(C1147&amp;G1147&amp;D1147&lt;&gt;'Funnel setup'!$K$3&amp;'Funnel setup'!$K$4&amp;'Funnel setup'!$K$5,".",IF(A1146=".",1,A1146+1))</f>
        <v>.</v>
      </c>
      <c r="B1147" s="431" t="str">
        <f t="shared" si="17"/>
        <v>Hip Replacement PrimaryCCG of GP PracticeNHS SOUTHWARK CCG (08Q)EQ VAS</v>
      </c>
      <c r="C1147" t="s">
        <v>248</v>
      </c>
      <c r="D1147" t="s">
        <v>87</v>
      </c>
      <c r="E1147" t="s">
        <v>965</v>
      </c>
      <c r="F1147" t="s">
        <v>966</v>
      </c>
      <c r="G1147" t="s">
        <v>179</v>
      </c>
      <c r="H1147">
        <v>27</v>
      </c>
      <c r="I1147">
        <v>62.63</v>
      </c>
      <c r="J1147">
        <v>81.63</v>
      </c>
      <c r="K1147">
        <v>19</v>
      </c>
      <c r="L1147">
        <v>16</v>
      </c>
      <c r="M1147">
        <v>7</v>
      </c>
      <c r="N1147">
        <v>4</v>
      </c>
      <c r="O1147" t="s">
        <v>53</v>
      </c>
      <c r="P1147" t="s">
        <v>53</v>
      </c>
      <c r="Q1147" t="s">
        <v>53</v>
      </c>
    </row>
    <row r="1148" spans="1:17" s="30" customFormat="1" x14ac:dyDescent="0.2">
      <c r="A1148" s="30" t="str">
        <f>IF(C1148&amp;G1148&amp;D1148&lt;&gt;'Funnel setup'!$K$3&amp;'Funnel setup'!$K$4&amp;'Funnel setup'!$K$5,".",IF(A1147=".",1,A1147+1))</f>
        <v>.</v>
      </c>
      <c r="B1148" s="431" t="str">
        <f t="shared" si="17"/>
        <v>Hip Replacement PrimaryCCG of GP PracticeNHS ST HELENS CCG (01X)EQ VAS</v>
      </c>
      <c r="C1148" t="s">
        <v>248</v>
      </c>
      <c r="D1148" t="s">
        <v>87</v>
      </c>
      <c r="E1148" t="s">
        <v>968</v>
      </c>
      <c r="F1148" t="s">
        <v>969</v>
      </c>
      <c r="G1148" t="s">
        <v>179</v>
      </c>
      <c r="H1148">
        <v>110</v>
      </c>
      <c r="I1148">
        <v>63.691000000000003</v>
      </c>
      <c r="J1148">
        <v>71.981999999999999</v>
      </c>
      <c r="K1148">
        <v>8.2910000000000004</v>
      </c>
      <c r="L1148">
        <v>67</v>
      </c>
      <c r="M1148">
        <v>11</v>
      </c>
      <c r="N1148">
        <v>32</v>
      </c>
      <c r="O1148">
        <v>74.828999999999994</v>
      </c>
      <c r="P1148">
        <v>9.3248897139999993</v>
      </c>
      <c r="Q1148">
        <v>20.074000000000002</v>
      </c>
    </row>
    <row r="1149" spans="1:17" s="30" customFormat="1" x14ac:dyDescent="0.2">
      <c r="A1149" s="30" t="str">
        <f>IF(C1149&amp;G1149&amp;D1149&lt;&gt;'Funnel setup'!$K$3&amp;'Funnel setup'!$K$4&amp;'Funnel setup'!$K$5,".",IF(A1148=".",1,A1148+1))</f>
        <v>.</v>
      </c>
      <c r="B1149" s="431" t="str">
        <f t="shared" si="17"/>
        <v>Hip Replacement PrimaryCCG of GP PracticeNHS STAFFORD AND SURROUNDS CCG (05V)EQ VAS</v>
      </c>
      <c r="C1149" t="s">
        <v>248</v>
      </c>
      <c r="D1149" t="s">
        <v>87</v>
      </c>
      <c r="E1149" t="s">
        <v>971</v>
      </c>
      <c r="F1149" t="s">
        <v>972</v>
      </c>
      <c r="G1149" t="s">
        <v>179</v>
      </c>
      <c r="H1149">
        <v>145</v>
      </c>
      <c r="I1149">
        <v>66.096999999999994</v>
      </c>
      <c r="J1149">
        <v>79.593000000000004</v>
      </c>
      <c r="K1149">
        <v>13.497</v>
      </c>
      <c r="L1149">
        <v>107</v>
      </c>
      <c r="M1149">
        <v>13</v>
      </c>
      <c r="N1149">
        <v>25</v>
      </c>
      <c r="O1149">
        <v>78.631</v>
      </c>
      <c r="P1149">
        <v>13.126608299999999</v>
      </c>
      <c r="Q1149">
        <v>12.686999999999999</v>
      </c>
    </row>
    <row r="1150" spans="1:17" s="30" customFormat="1" x14ac:dyDescent="0.2">
      <c r="A1150" s="30" t="str">
        <f>IF(C1150&amp;G1150&amp;D1150&lt;&gt;'Funnel setup'!$K$3&amp;'Funnel setup'!$K$4&amp;'Funnel setup'!$K$5,".",IF(A1149=".",1,A1149+1))</f>
        <v>.</v>
      </c>
      <c r="B1150" s="431" t="str">
        <f t="shared" si="17"/>
        <v>Hip Replacement PrimaryCCG of GP PracticeNHS STOCKPORT CCG (01W)EQ VAS</v>
      </c>
      <c r="C1150" t="s">
        <v>248</v>
      </c>
      <c r="D1150" t="s">
        <v>87</v>
      </c>
      <c r="E1150" t="s">
        <v>974</v>
      </c>
      <c r="F1150" t="s">
        <v>975</v>
      </c>
      <c r="G1150" t="s">
        <v>179</v>
      </c>
      <c r="H1150">
        <v>182</v>
      </c>
      <c r="I1150">
        <v>64.055000000000007</v>
      </c>
      <c r="J1150">
        <v>78.483999999999995</v>
      </c>
      <c r="K1150">
        <v>14.429</v>
      </c>
      <c r="L1150">
        <v>130</v>
      </c>
      <c r="M1150">
        <v>15</v>
      </c>
      <c r="N1150">
        <v>37</v>
      </c>
      <c r="O1150">
        <v>78.876999999999995</v>
      </c>
      <c r="P1150">
        <v>13.372749900000001</v>
      </c>
      <c r="Q1150">
        <v>15.161</v>
      </c>
    </row>
    <row r="1151" spans="1:17" s="30" customFormat="1" x14ac:dyDescent="0.2">
      <c r="A1151" s="30" t="str">
        <f>IF(C1151&amp;G1151&amp;D1151&lt;&gt;'Funnel setup'!$K$3&amp;'Funnel setup'!$K$4&amp;'Funnel setup'!$K$5,".",IF(A1150=".",1,A1150+1))</f>
        <v>.</v>
      </c>
      <c r="B1151" s="431" t="str">
        <f t="shared" si="17"/>
        <v>Hip Replacement PrimaryCCG of GP PracticeNHS STOKE ON TRENT CCG (05W)EQ VAS</v>
      </c>
      <c r="C1151" t="s">
        <v>248</v>
      </c>
      <c r="D1151" t="s">
        <v>87</v>
      </c>
      <c r="E1151" t="s">
        <v>977</v>
      </c>
      <c r="F1151" t="s">
        <v>978</v>
      </c>
      <c r="G1151" t="s">
        <v>179</v>
      </c>
      <c r="H1151">
        <v>169</v>
      </c>
      <c r="I1151">
        <v>59.201000000000001</v>
      </c>
      <c r="J1151">
        <v>75.882000000000005</v>
      </c>
      <c r="K1151">
        <v>16.68</v>
      </c>
      <c r="L1151">
        <v>124</v>
      </c>
      <c r="M1151">
        <v>13</v>
      </c>
      <c r="N1151">
        <v>32</v>
      </c>
      <c r="O1151">
        <v>79.581000000000003</v>
      </c>
      <c r="P1151">
        <v>14.0769792</v>
      </c>
      <c r="Q1151">
        <v>16.859000000000002</v>
      </c>
    </row>
    <row r="1152" spans="1:17" s="30" customFormat="1" x14ac:dyDescent="0.2">
      <c r="A1152" s="30" t="str">
        <f>IF(C1152&amp;G1152&amp;D1152&lt;&gt;'Funnel setup'!$K$3&amp;'Funnel setup'!$K$4&amp;'Funnel setup'!$K$5,".",IF(A1151=".",1,A1151+1))</f>
        <v>.</v>
      </c>
      <c r="B1152" s="431" t="str">
        <f t="shared" si="17"/>
        <v>Hip Replacement PrimaryCCG of GP PracticeNHS SUNDERLAND CCG (00P)EQ VAS</v>
      </c>
      <c r="C1152" t="s">
        <v>248</v>
      </c>
      <c r="D1152" t="s">
        <v>87</v>
      </c>
      <c r="E1152" t="s">
        <v>980</v>
      </c>
      <c r="F1152" t="s">
        <v>981</v>
      </c>
      <c r="G1152" t="s">
        <v>179</v>
      </c>
      <c r="H1152">
        <v>190</v>
      </c>
      <c r="I1152">
        <v>62.631999999999998</v>
      </c>
      <c r="J1152">
        <v>73.616</v>
      </c>
      <c r="K1152">
        <v>10.984</v>
      </c>
      <c r="L1152">
        <v>113</v>
      </c>
      <c r="M1152">
        <v>21</v>
      </c>
      <c r="N1152">
        <v>56</v>
      </c>
      <c r="O1152">
        <v>75.382999999999996</v>
      </c>
      <c r="P1152">
        <v>9.878433566</v>
      </c>
      <c r="Q1152">
        <v>17.331</v>
      </c>
    </row>
    <row r="1153" spans="1:17" s="30" customFormat="1" x14ac:dyDescent="0.2">
      <c r="A1153" s="30" t="str">
        <f>IF(C1153&amp;G1153&amp;D1153&lt;&gt;'Funnel setup'!$K$3&amp;'Funnel setup'!$K$4&amp;'Funnel setup'!$K$5,".",IF(A1152=".",1,A1152+1))</f>
        <v>.</v>
      </c>
      <c r="B1153" s="431" t="str">
        <f t="shared" si="17"/>
        <v>Hip Replacement PrimaryCCG of GP PracticeNHS SURREY DOWNS CCG (99H)EQ VAS</v>
      </c>
      <c r="C1153" t="s">
        <v>248</v>
      </c>
      <c r="D1153" t="s">
        <v>87</v>
      </c>
      <c r="E1153" t="s">
        <v>983</v>
      </c>
      <c r="F1153" t="s">
        <v>984</v>
      </c>
      <c r="G1153" t="s">
        <v>179</v>
      </c>
      <c r="H1153">
        <v>230</v>
      </c>
      <c r="I1153">
        <v>69.73</v>
      </c>
      <c r="J1153">
        <v>78.522000000000006</v>
      </c>
      <c r="K1153">
        <v>8.7910000000000004</v>
      </c>
      <c r="L1153">
        <v>147</v>
      </c>
      <c r="M1153">
        <v>35</v>
      </c>
      <c r="N1153">
        <v>48</v>
      </c>
      <c r="O1153">
        <v>76.204999999999998</v>
      </c>
      <c r="P1153">
        <v>10.700535240000001</v>
      </c>
      <c r="Q1153">
        <v>15.462</v>
      </c>
    </row>
    <row r="1154" spans="1:17" s="30" customFormat="1" x14ac:dyDescent="0.2">
      <c r="A1154" s="30" t="str">
        <f>IF(C1154&amp;G1154&amp;D1154&lt;&gt;'Funnel setup'!$K$3&amp;'Funnel setup'!$K$4&amp;'Funnel setup'!$K$5,".",IF(A1153=".",1,A1153+1))</f>
        <v>.</v>
      </c>
      <c r="B1154" s="431" t="str">
        <f t="shared" si="17"/>
        <v>Hip Replacement PrimaryCCG of GP PracticeNHS SURREY HEATH CCG (10C)EQ VAS</v>
      </c>
      <c r="C1154" t="s">
        <v>248</v>
      </c>
      <c r="D1154" t="s">
        <v>87</v>
      </c>
      <c r="E1154" t="s">
        <v>986</v>
      </c>
      <c r="F1154" t="s">
        <v>987</v>
      </c>
      <c r="G1154" t="s">
        <v>179</v>
      </c>
      <c r="H1154">
        <v>99</v>
      </c>
      <c r="I1154">
        <v>72.616</v>
      </c>
      <c r="J1154">
        <v>81.414000000000001</v>
      </c>
      <c r="K1154">
        <v>8.798</v>
      </c>
      <c r="L1154">
        <v>63</v>
      </c>
      <c r="M1154">
        <v>11</v>
      </c>
      <c r="N1154">
        <v>25</v>
      </c>
      <c r="O1154">
        <v>77.078999999999994</v>
      </c>
      <c r="P1154">
        <v>11.57425213</v>
      </c>
      <c r="Q1154">
        <v>15.092000000000001</v>
      </c>
    </row>
    <row r="1155" spans="1:17" s="30" customFormat="1" x14ac:dyDescent="0.2">
      <c r="A1155" s="30" t="str">
        <f>IF(C1155&amp;G1155&amp;D1155&lt;&gt;'Funnel setup'!$K$3&amp;'Funnel setup'!$K$4&amp;'Funnel setup'!$K$5,".",IF(A1154=".",1,A1154+1))</f>
        <v>.</v>
      </c>
      <c r="B1155" s="431" t="str">
        <f t="shared" ref="B1155:B1218" si="18">C1155&amp;D1155&amp;F1155&amp;G1155</f>
        <v>Hip Replacement PrimaryCCG of GP PracticeNHS SUTTON CCG (08T)EQ VAS</v>
      </c>
      <c r="C1155" t="s">
        <v>248</v>
      </c>
      <c r="D1155" t="s">
        <v>87</v>
      </c>
      <c r="E1155" t="s">
        <v>989</v>
      </c>
      <c r="F1155" t="s">
        <v>990</v>
      </c>
      <c r="G1155" t="s">
        <v>179</v>
      </c>
      <c r="H1155">
        <v>95</v>
      </c>
      <c r="I1155">
        <v>65.168000000000006</v>
      </c>
      <c r="J1155">
        <v>78.147000000000006</v>
      </c>
      <c r="K1155">
        <v>12.978999999999999</v>
      </c>
      <c r="L1155">
        <v>62</v>
      </c>
      <c r="M1155">
        <v>15</v>
      </c>
      <c r="N1155">
        <v>18</v>
      </c>
      <c r="O1155">
        <v>77.614999999999995</v>
      </c>
      <c r="P1155">
        <v>12.110791539999999</v>
      </c>
      <c r="Q1155">
        <v>16.381</v>
      </c>
    </row>
    <row r="1156" spans="1:17" s="30" customFormat="1" x14ac:dyDescent="0.2">
      <c r="A1156" s="30" t="str">
        <f>IF(C1156&amp;G1156&amp;D1156&lt;&gt;'Funnel setup'!$K$3&amp;'Funnel setup'!$K$4&amp;'Funnel setup'!$K$5,".",IF(A1155=".",1,A1155+1))</f>
        <v>.</v>
      </c>
      <c r="B1156" s="431" t="str">
        <f t="shared" si="18"/>
        <v>Hip Replacement PrimaryCCG of GP PracticeNHS SWALE CCG (10D)EQ VAS</v>
      </c>
      <c r="C1156" t="s">
        <v>248</v>
      </c>
      <c r="D1156" t="s">
        <v>87</v>
      </c>
      <c r="E1156" t="s">
        <v>992</v>
      </c>
      <c r="F1156" t="s">
        <v>993</v>
      </c>
      <c r="G1156" t="s">
        <v>179</v>
      </c>
      <c r="H1156">
        <v>66</v>
      </c>
      <c r="I1156">
        <v>66.347999999999999</v>
      </c>
      <c r="J1156">
        <v>76.227000000000004</v>
      </c>
      <c r="K1156">
        <v>9.8789999999999996</v>
      </c>
      <c r="L1156">
        <v>44</v>
      </c>
      <c r="M1156">
        <v>5</v>
      </c>
      <c r="N1156">
        <v>17</v>
      </c>
      <c r="O1156">
        <v>78.25</v>
      </c>
      <c r="P1156">
        <v>12.74563491</v>
      </c>
      <c r="Q1156">
        <v>15.243</v>
      </c>
    </row>
    <row r="1157" spans="1:17" s="30" customFormat="1" x14ac:dyDescent="0.2">
      <c r="A1157" s="30" t="str">
        <f>IF(C1157&amp;G1157&amp;D1157&lt;&gt;'Funnel setup'!$K$3&amp;'Funnel setup'!$K$4&amp;'Funnel setup'!$K$5,".",IF(A1156=".",1,A1156+1))</f>
        <v>.</v>
      </c>
      <c r="B1157" s="431" t="str">
        <f t="shared" si="18"/>
        <v>Hip Replacement PrimaryCCG of GP PracticeNHS SWINDON CCG (12D)EQ VAS</v>
      </c>
      <c r="C1157" t="s">
        <v>248</v>
      </c>
      <c r="D1157" t="s">
        <v>87</v>
      </c>
      <c r="E1157" t="s">
        <v>995</v>
      </c>
      <c r="F1157" t="s">
        <v>996</v>
      </c>
      <c r="G1157" t="s">
        <v>179</v>
      </c>
      <c r="H1157">
        <v>158</v>
      </c>
      <c r="I1157">
        <v>66.646000000000001</v>
      </c>
      <c r="J1157">
        <v>78.013000000000005</v>
      </c>
      <c r="K1157">
        <v>11.367000000000001</v>
      </c>
      <c r="L1157">
        <v>100</v>
      </c>
      <c r="M1157">
        <v>22</v>
      </c>
      <c r="N1157">
        <v>36</v>
      </c>
      <c r="O1157">
        <v>77.278000000000006</v>
      </c>
      <c r="P1157">
        <v>11.77384376</v>
      </c>
      <c r="Q1157">
        <v>13.888</v>
      </c>
    </row>
    <row r="1158" spans="1:17" s="30" customFormat="1" x14ac:dyDescent="0.2">
      <c r="A1158" s="30" t="str">
        <f>IF(C1158&amp;G1158&amp;D1158&lt;&gt;'Funnel setup'!$K$3&amp;'Funnel setup'!$K$4&amp;'Funnel setup'!$K$5,".",IF(A1157=".",1,A1157+1))</f>
        <v>.</v>
      </c>
      <c r="B1158" s="431" t="str">
        <f t="shared" si="18"/>
        <v>Hip Replacement PrimaryCCG of GP PracticeNHS TAMESIDE AND GLOSSOP CCG (01Y)EQ VAS</v>
      </c>
      <c r="C1158" t="s">
        <v>248</v>
      </c>
      <c r="D1158" t="s">
        <v>87</v>
      </c>
      <c r="E1158" t="s">
        <v>998</v>
      </c>
      <c r="F1158" t="s">
        <v>999</v>
      </c>
      <c r="G1158" t="s">
        <v>179</v>
      </c>
      <c r="H1158">
        <v>110</v>
      </c>
      <c r="I1158">
        <v>64.182000000000002</v>
      </c>
      <c r="J1158">
        <v>75.117999999999995</v>
      </c>
      <c r="K1158">
        <v>10.936</v>
      </c>
      <c r="L1158">
        <v>67</v>
      </c>
      <c r="M1158">
        <v>12</v>
      </c>
      <c r="N1158">
        <v>31</v>
      </c>
      <c r="O1158">
        <v>76.456000000000003</v>
      </c>
      <c r="P1158">
        <v>10.95185504</v>
      </c>
      <c r="Q1158">
        <v>17.363</v>
      </c>
    </row>
    <row r="1159" spans="1:17" s="30" customFormat="1" x14ac:dyDescent="0.2">
      <c r="A1159" s="30" t="str">
        <f>IF(C1159&amp;G1159&amp;D1159&lt;&gt;'Funnel setup'!$K$3&amp;'Funnel setup'!$K$4&amp;'Funnel setup'!$K$5,".",IF(A1158=".",1,A1158+1))</f>
        <v>.</v>
      </c>
      <c r="B1159" s="431" t="str">
        <f t="shared" si="18"/>
        <v>Hip Replacement PrimaryCCG of GP PracticeNHS TELFORD AND WREKIN CCG (05X)EQ VAS</v>
      </c>
      <c r="C1159" t="s">
        <v>248</v>
      </c>
      <c r="D1159" t="s">
        <v>87</v>
      </c>
      <c r="E1159" t="s">
        <v>1001</v>
      </c>
      <c r="F1159" t="s">
        <v>1002</v>
      </c>
      <c r="G1159" t="s">
        <v>179</v>
      </c>
      <c r="H1159">
        <v>122</v>
      </c>
      <c r="I1159">
        <v>59.639000000000003</v>
      </c>
      <c r="J1159">
        <v>74.738</v>
      </c>
      <c r="K1159">
        <v>15.098000000000001</v>
      </c>
      <c r="L1159">
        <v>87</v>
      </c>
      <c r="M1159">
        <v>10</v>
      </c>
      <c r="N1159">
        <v>25</v>
      </c>
      <c r="O1159">
        <v>75.620999999999995</v>
      </c>
      <c r="P1159">
        <v>10.11627833</v>
      </c>
      <c r="Q1159">
        <v>18.684999999999999</v>
      </c>
    </row>
    <row r="1160" spans="1:17" s="30" customFormat="1" x14ac:dyDescent="0.2">
      <c r="A1160" s="30" t="str">
        <f>IF(C1160&amp;G1160&amp;D1160&lt;&gt;'Funnel setup'!$K$3&amp;'Funnel setup'!$K$4&amp;'Funnel setup'!$K$5,".",IF(A1159=".",1,A1159+1))</f>
        <v>.</v>
      </c>
      <c r="B1160" s="431" t="str">
        <f t="shared" si="18"/>
        <v>Hip Replacement PrimaryCCG of GP PracticeNHS THANET CCG (10E)EQ VAS</v>
      </c>
      <c r="C1160" t="s">
        <v>248</v>
      </c>
      <c r="D1160" t="s">
        <v>87</v>
      </c>
      <c r="E1160" t="s">
        <v>1004</v>
      </c>
      <c r="F1160" t="s">
        <v>1005</v>
      </c>
      <c r="G1160" t="s">
        <v>179</v>
      </c>
      <c r="H1160">
        <v>70</v>
      </c>
      <c r="I1160">
        <v>71.486000000000004</v>
      </c>
      <c r="J1160">
        <v>80.143000000000001</v>
      </c>
      <c r="K1160">
        <v>8.657</v>
      </c>
      <c r="L1160">
        <v>43</v>
      </c>
      <c r="M1160">
        <v>8</v>
      </c>
      <c r="N1160">
        <v>19</v>
      </c>
      <c r="O1160">
        <v>79.641000000000005</v>
      </c>
      <c r="P1160">
        <v>14.136402309999999</v>
      </c>
      <c r="Q1160">
        <v>13.914999999999999</v>
      </c>
    </row>
    <row r="1161" spans="1:17" s="30" customFormat="1" x14ac:dyDescent="0.2">
      <c r="A1161" s="30" t="str">
        <f>IF(C1161&amp;G1161&amp;D1161&lt;&gt;'Funnel setup'!$K$3&amp;'Funnel setup'!$K$4&amp;'Funnel setup'!$K$5,".",IF(A1160=".",1,A1160+1))</f>
        <v>.</v>
      </c>
      <c r="B1161" s="431" t="str">
        <f t="shared" si="18"/>
        <v>Hip Replacement PrimaryCCG of GP PracticeNHS THURROCK CCG (07G)EQ VAS</v>
      </c>
      <c r="C1161" t="s">
        <v>248</v>
      </c>
      <c r="D1161" t="s">
        <v>87</v>
      </c>
      <c r="E1161" t="s">
        <v>1007</v>
      </c>
      <c r="F1161" t="s">
        <v>1008</v>
      </c>
      <c r="G1161" t="s">
        <v>179</v>
      </c>
      <c r="H1161">
        <v>56</v>
      </c>
      <c r="I1161">
        <v>65.768000000000001</v>
      </c>
      <c r="J1161">
        <v>79.213999999999999</v>
      </c>
      <c r="K1161">
        <v>13.446</v>
      </c>
      <c r="L1161">
        <v>40</v>
      </c>
      <c r="M1161">
        <v>3</v>
      </c>
      <c r="N1161">
        <v>13</v>
      </c>
      <c r="O1161">
        <v>78.932000000000002</v>
      </c>
      <c r="P1161">
        <v>13.427306809999999</v>
      </c>
      <c r="Q1161">
        <v>17.367999999999999</v>
      </c>
    </row>
    <row r="1162" spans="1:17" s="30" customFormat="1" x14ac:dyDescent="0.2">
      <c r="A1162" s="30" t="str">
        <f>IF(C1162&amp;G1162&amp;D1162&lt;&gt;'Funnel setup'!$K$3&amp;'Funnel setup'!$K$4&amp;'Funnel setup'!$K$5,".",IF(A1161=".",1,A1161+1))</f>
        <v>.</v>
      </c>
      <c r="B1162" s="431" t="str">
        <f t="shared" si="18"/>
        <v>Hip Replacement PrimaryCCG of GP PracticeNHS TOWER HAMLETS CCG (08V)EQ VAS</v>
      </c>
      <c r="C1162" t="s">
        <v>248</v>
      </c>
      <c r="D1162" t="s">
        <v>87</v>
      </c>
      <c r="E1162" t="s">
        <v>1010</v>
      </c>
      <c r="F1162" t="s">
        <v>1011</v>
      </c>
      <c r="G1162" t="s">
        <v>179</v>
      </c>
      <c r="H1162">
        <v>15</v>
      </c>
      <c r="I1162">
        <v>60.667000000000002</v>
      </c>
      <c r="J1162">
        <v>77</v>
      </c>
      <c r="K1162">
        <v>16.332999999999998</v>
      </c>
      <c r="L1162">
        <v>11</v>
      </c>
      <c r="M1162">
        <v>2</v>
      </c>
      <c r="N1162">
        <v>2</v>
      </c>
      <c r="O1162" t="s">
        <v>53</v>
      </c>
      <c r="P1162" t="s">
        <v>53</v>
      </c>
      <c r="Q1162" t="s">
        <v>53</v>
      </c>
    </row>
    <row r="1163" spans="1:17" s="30" customFormat="1" x14ac:dyDescent="0.2">
      <c r="A1163" s="30" t="str">
        <f>IF(C1163&amp;G1163&amp;D1163&lt;&gt;'Funnel setup'!$K$3&amp;'Funnel setup'!$K$4&amp;'Funnel setup'!$K$5,".",IF(A1162=".",1,A1162+1))</f>
        <v>.</v>
      </c>
      <c r="B1163" s="431" t="str">
        <f t="shared" si="18"/>
        <v>Hip Replacement PrimaryCCG of GP PracticeNHS TRAFFORD CCG (02A)EQ VAS</v>
      </c>
      <c r="C1163" t="s">
        <v>248</v>
      </c>
      <c r="D1163" t="s">
        <v>87</v>
      </c>
      <c r="E1163" t="s">
        <v>1013</v>
      </c>
      <c r="F1163" t="s">
        <v>1014</v>
      </c>
      <c r="G1163" t="s">
        <v>179</v>
      </c>
      <c r="H1163">
        <v>69</v>
      </c>
      <c r="I1163">
        <v>67.188000000000002</v>
      </c>
      <c r="J1163">
        <v>79.361999999999995</v>
      </c>
      <c r="K1163">
        <v>12.173999999999999</v>
      </c>
      <c r="L1163">
        <v>51</v>
      </c>
      <c r="M1163">
        <v>7</v>
      </c>
      <c r="N1163">
        <v>11</v>
      </c>
      <c r="O1163">
        <v>77.625</v>
      </c>
      <c r="P1163">
        <v>12.12069174</v>
      </c>
      <c r="Q1163">
        <v>17.363</v>
      </c>
    </row>
    <row r="1164" spans="1:17" s="30" customFormat="1" x14ac:dyDescent="0.2">
      <c r="A1164" s="30" t="str">
        <f>IF(C1164&amp;G1164&amp;D1164&lt;&gt;'Funnel setup'!$K$3&amp;'Funnel setup'!$K$4&amp;'Funnel setup'!$K$5,".",IF(A1163=".",1,A1163+1))</f>
        <v>.</v>
      </c>
      <c r="B1164" s="431" t="str">
        <f t="shared" si="18"/>
        <v>Hip Replacement PrimaryCCG of GP PracticeNHS VALE OF YORK CCG (03Q)EQ VAS</v>
      </c>
      <c r="C1164" t="s">
        <v>248</v>
      </c>
      <c r="D1164" t="s">
        <v>87</v>
      </c>
      <c r="E1164" t="s">
        <v>420</v>
      </c>
      <c r="F1164" t="s">
        <v>421</v>
      </c>
      <c r="G1164" t="s">
        <v>179</v>
      </c>
      <c r="H1164">
        <v>360</v>
      </c>
      <c r="I1164">
        <v>67.275000000000006</v>
      </c>
      <c r="J1164">
        <v>79.003</v>
      </c>
      <c r="K1164">
        <v>11.728</v>
      </c>
      <c r="L1164">
        <v>256</v>
      </c>
      <c r="M1164">
        <v>37</v>
      </c>
      <c r="N1164">
        <v>67</v>
      </c>
      <c r="O1164">
        <v>77.495000000000005</v>
      </c>
      <c r="P1164">
        <v>11.990732209999999</v>
      </c>
      <c r="Q1164">
        <v>14.797000000000001</v>
      </c>
    </row>
    <row r="1165" spans="1:17" s="30" customFormat="1" x14ac:dyDescent="0.2">
      <c r="A1165" s="30" t="str">
        <f>IF(C1165&amp;G1165&amp;D1165&lt;&gt;'Funnel setup'!$K$3&amp;'Funnel setup'!$K$4&amp;'Funnel setup'!$K$5,".",IF(A1164=".",1,A1164+1))</f>
        <v>.</v>
      </c>
      <c r="B1165" s="431" t="str">
        <f t="shared" si="18"/>
        <v>Hip Replacement PrimaryCCG of GP PracticeNHS VALE ROYAL CCG (02D)EQ VAS</v>
      </c>
      <c r="C1165" t="s">
        <v>248</v>
      </c>
      <c r="D1165" t="s">
        <v>87</v>
      </c>
      <c r="E1165" t="s">
        <v>423</v>
      </c>
      <c r="F1165" t="s">
        <v>424</v>
      </c>
      <c r="G1165" t="s">
        <v>179</v>
      </c>
      <c r="H1165">
        <v>67</v>
      </c>
      <c r="I1165">
        <v>61.343000000000004</v>
      </c>
      <c r="J1165">
        <v>77.641999999999996</v>
      </c>
      <c r="K1165">
        <v>16.298999999999999</v>
      </c>
      <c r="L1165">
        <v>48</v>
      </c>
      <c r="M1165">
        <v>8</v>
      </c>
      <c r="N1165">
        <v>11</v>
      </c>
      <c r="O1165">
        <v>78.622</v>
      </c>
      <c r="P1165">
        <v>13.118149580000001</v>
      </c>
      <c r="Q1165">
        <v>18.196999999999999</v>
      </c>
    </row>
    <row r="1166" spans="1:17" s="30" customFormat="1" x14ac:dyDescent="0.2">
      <c r="A1166" s="30" t="str">
        <f>IF(C1166&amp;G1166&amp;D1166&lt;&gt;'Funnel setup'!$K$3&amp;'Funnel setup'!$K$4&amp;'Funnel setup'!$K$5,".",IF(A1165=".",1,A1165+1))</f>
        <v>.</v>
      </c>
      <c r="B1166" s="431" t="str">
        <f t="shared" si="18"/>
        <v>Hip Replacement PrimaryCCG of GP PracticeNHS WAKEFIELD CCG (03R)EQ VAS</v>
      </c>
      <c r="C1166" t="s">
        <v>248</v>
      </c>
      <c r="D1166" t="s">
        <v>87</v>
      </c>
      <c r="E1166" t="s">
        <v>426</v>
      </c>
      <c r="F1166" t="s">
        <v>427</v>
      </c>
      <c r="G1166" t="s">
        <v>179</v>
      </c>
      <c r="H1166">
        <v>197</v>
      </c>
      <c r="I1166">
        <v>64.070999999999998</v>
      </c>
      <c r="J1166">
        <v>75.102000000000004</v>
      </c>
      <c r="K1166">
        <v>11.03</v>
      </c>
      <c r="L1166">
        <v>132</v>
      </c>
      <c r="M1166">
        <v>15</v>
      </c>
      <c r="N1166">
        <v>50</v>
      </c>
      <c r="O1166">
        <v>75.813000000000002</v>
      </c>
      <c r="P1166">
        <v>10.308868</v>
      </c>
      <c r="Q1166">
        <v>15.422000000000001</v>
      </c>
    </row>
    <row r="1167" spans="1:17" s="30" customFormat="1" x14ac:dyDescent="0.2">
      <c r="A1167" s="30" t="str">
        <f>IF(C1167&amp;G1167&amp;D1167&lt;&gt;'Funnel setup'!$K$3&amp;'Funnel setup'!$K$4&amp;'Funnel setup'!$K$5,".",IF(A1166=".",1,A1166+1))</f>
        <v>.</v>
      </c>
      <c r="B1167" s="431" t="str">
        <f t="shared" si="18"/>
        <v>Hip Replacement PrimaryCCG of GP PracticeNHS WALSALL CCG (05Y)EQ VAS</v>
      </c>
      <c r="C1167" t="s">
        <v>248</v>
      </c>
      <c r="D1167" t="s">
        <v>87</v>
      </c>
      <c r="E1167" t="s">
        <v>429</v>
      </c>
      <c r="F1167" t="s">
        <v>430</v>
      </c>
      <c r="G1167" t="s">
        <v>179</v>
      </c>
      <c r="H1167">
        <v>137</v>
      </c>
      <c r="I1167">
        <v>59.533000000000001</v>
      </c>
      <c r="J1167">
        <v>72.905000000000001</v>
      </c>
      <c r="K1167">
        <v>13.372</v>
      </c>
      <c r="L1167">
        <v>94</v>
      </c>
      <c r="M1167">
        <v>14</v>
      </c>
      <c r="N1167">
        <v>29</v>
      </c>
      <c r="O1167">
        <v>75.843000000000004</v>
      </c>
      <c r="P1167">
        <v>10.33851812</v>
      </c>
      <c r="Q1167">
        <v>18.747</v>
      </c>
    </row>
    <row r="1168" spans="1:17" s="30" customFormat="1" x14ac:dyDescent="0.2">
      <c r="A1168" s="30" t="str">
        <f>IF(C1168&amp;G1168&amp;D1168&lt;&gt;'Funnel setup'!$K$3&amp;'Funnel setup'!$K$4&amp;'Funnel setup'!$K$5,".",IF(A1167=".",1,A1167+1))</f>
        <v>.</v>
      </c>
      <c r="B1168" s="431" t="str">
        <f t="shared" si="18"/>
        <v>Hip Replacement PrimaryCCG of GP PracticeNHS WALTHAM FOREST CCG (08W)EQ VAS</v>
      </c>
      <c r="C1168" t="s">
        <v>248</v>
      </c>
      <c r="D1168" t="s">
        <v>87</v>
      </c>
      <c r="E1168" t="s">
        <v>432</v>
      </c>
      <c r="F1168" t="s">
        <v>433</v>
      </c>
      <c r="G1168" t="s">
        <v>179</v>
      </c>
      <c r="H1168">
        <v>70</v>
      </c>
      <c r="I1168">
        <v>58.613999999999997</v>
      </c>
      <c r="J1168">
        <v>74.813999999999993</v>
      </c>
      <c r="K1168">
        <v>16.2</v>
      </c>
      <c r="L1168">
        <v>48</v>
      </c>
      <c r="M1168">
        <v>5</v>
      </c>
      <c r="N1168">
        <v>17</v>
      </c>
      <c r="O1168">
        <v>77.548000000000002</v>
      </c>
      <c r="P1168">
        <v>12.043344879999999</v>
      </c>
      <c r="Q1168">
        <v>15.329000000000001</v>
      </c>
    </row>
    <row r="1169" spans="1:17" s="30" customFormat="1" x14ac:dyDescent="0.2">
      <c r="A1169" s="30" t="str">
        <f>IF(C1169&amp;G1169&amp;D1169&lt;&gt;'Funnel setup'!$K$3&amp;'Funnel setup'!$K$4&amp;'Funnel setup'!$K$5,".",IF(A1168=".",1,A1168+1))</f>
        <v>.</v>
      </c>
      <c r="B1169" s="431" t="str">
        <f t="shared" si="18"/>
        <v>Hip Replacement PrimaryCCG of GP PracticeNHS WANDSWORTH CCG (08X)EQ VAS</v>
      </c>
      <c r="C1169" t="s">
        <v>248</v>
      </c>
      <c r="D1169" t="s">
        <v>87</v>
      </c>
      <c r="E1169" t="s">
        <v>435</v>
      </c>
      <c r="F1169" t="s">
        <v>436</v>
      </c>
      <c r="G1169" t="s">
        <v>179</v>
      </c>
      <c r="H1169">
        <v>72</v>
      </c>
      <c r="I1169">
        <v>65.457999999999998</v>
      </c>
      <c r="J1169">
        <v>77.653000000000006</v>
      </c>
      <c r="K1169">
        <v>12.194000000000001</v>
      </c>
      <c r="L1169">
        <v>47</v>
      </c>
      <c r="M1169">
        <v>10</v>
      </c>
      <c r="N1169">
        <v>15</v>
      </c>
      <c r="O1169">
        <v>77.649000000000001</v>
      </c>
      <c r="P1169">
        <v>12.144739420000001</v>
      </c>
      <c r="Q1169">
        <v>15.922000000000001</v>
      </c>
    </row>
    <row r="1170" spans="1:17" s="30" customFormat="1" x14ac:dyDescent="0.2">
      <c r="A1170" s="30" t="str">
        <f>IF(C1170&amp;G1170&amp;D1170&lt;&gt;'Funnel setup'!$K$3&amp;'Funnel setup'!$K$4&amp;'Funnel setup'!$K$5,".",IF(A1169=".",1,A1169+1))</f>
        <v>.</v>
      </c>
      <c r="B1170" s="431" t="str">
        <f t="shared" si="18"/>
        <v>Hip Replacement PrimaryCCG of GP PracticeNHS WARRINGTON CCG (02E)EQ VAS</v>
      </c>
      <c r="C1170" t="s">
        <v>248</v>
      </c>
      <c r="D1170" t="s">
        <v>87</v>
      </c>
      <c r="E1170" t="s">
        <v>441</v>
      </c>
      <c r="F1170" t="s">
        <v>442</v>
      </c>
      <c r="G1170" t="s">
        <v>179</v>
      </c>
      <c r="H1170">
        <v>111</v>
      </c>
      <c r="I1170">
        <v>64.739000000000004</v>
      </c>
      <c r="J1170">
        <v>77.495000000000005</v>
      </c>
      <c r="K1170">
        <v>12.757</v>
      </c>
      <c r="L1170">
        <v>74</v>
      </c>
      <c r="M1170">
        <v>13</v>
      </c>
      <c r="N1170">
        <v>24</v>
      </c>
      <c r="O1170">
        <v>76.924999999999997</v>
      </c>
      <c r="P1170">
        <v>11.420803210000001</v>
      </c>
      <c r="Q1170">
        <v>18.45</v>
      </c>
    </row>
    <row r="1171" spans="1:17" s="30" customFormat="1" x14ac:dyDescent="0.2">
      <c r="A1171" s="30" t="str">
        <f>IF(C1171&amp;G1171&amp;D1171&lt;&gt;'Funnel setup'!$K$3&amp;'Funnel setup'!$K$4&amp;'Funnel setup'!$K$5,".",IF(A1170=".",1,A1170+1))</f>
        <v>.</v>
      </c>
      <c r="B1171" s="431" t="str">
        <f t="shared" si="18"/>
        <v>Hip Replacement PrimaryCCG of GP PracticeNHS WARWICKSHIRE NORTH CCG (05H)EQ VAS</v>
      </c>
      <c r="C1171" t="s">
        <v>248</v>
      </c>
      <c r="D1171" t="s">
        <v>87</v>
      </c>
      <c r="E1171" t="s">
        <v>438</v>
      </c>
      <c r="F1171" t="s">
        <v>439</v>
      </c>
      <c r="G1171" t="s">
        <v>179</v>
      </c>
      <c r="H1171">
        <v>97</v>
      </c>
      <c r="I1171">
        <v>62.814</v>
      </c>
      <c r="J1171">
        <v>76.474000000000004</v>
      </c>
      <c r="K1171">
        <v>13.66</v>
      </c>
      <c r="L1171">
        <v>63</v>
      </c>
      <c r="M1171">
        <v>14</v>
      </c>
      <c r="N1171">
        <v>20</v>
      </c>
      <c r="O1171">
        <v>76.885999999999996</v>
      </c>
      <c r="P1171">
        <v>11.381260149999999</v>
      </c>
      <c r="Q1171">
        <v>16.888000000000002</v>
      </c>
    </row>
    <row r="1172" spans="1:17" s="30" customFormat="1" x14ac:dyDescent="0.2">
      <c r="A1172" s="30" t="str">
        <f>IF(C1172&amp;G1172&amp;D1172&lt;&gt;'Funnel setup'!$K$3&amp;'Funnel setup'!$K$4&amp;'Funnel setup'!$K$5,".",IF(A1171=".",1,A1171+1))</f>
        <v>.</v>
      </c>
      <c r="B1172" s="431" t="str">
        <f t="shared" si="18"/>
        <v>Hip Replacement PrimaryCCG of GP PracticeNHS WEST CHESHIRE CCG (02F)EQ VAS</v>
      </c>
      <c r="C1172" t="s">
        <v>248</v>
      </c>
      <c r="D1172" t="s">
        <v>87</v>
      </c>
      <c r="E1172" t="s">
        <v>402</v>
      </c>
      <c r="F1172" t="s">
        <v>403</v>
      </c>
      <c r="G1172" t="s">
        <v>179</v>
      </c>
      <c r="H1172">
        <v>193</v>
      </c>
      <c r="I1172">
        <v>65.352000000000004</v>
      </c>
      <c r="J1172">
        <v>79.263999999999996</v>
      </c>
      <c r="K1172">
        <v>13.912000000000001</v>
      </c>
      <c r="L1172">
        <v>134</v>
      </c>
      <c r="M1172">
        <v>31</v>
      </c>
      <c r="N1172">
        <v>28</v>
      </c>
      <c r="O1172">
        <v>78.343000000000004</v>
      </c>
      <c r="P1172">
        <v>12.838260610000001</v>
      </c>
      <c r="Q1172">
        <v>14.054</v>
      </c>
    </row>
    <row r="1173" spans="1:17" s="30" customFormat="1" x14ac:dyDescent="0.2">
      <c r="A1173" s="30" t="str">
        <f>IF(C1173&amp;G1173&amp;D1173&lt;&gt;'Funnel setup'!$K$3&amp;'Funnel setup'!$K$4&amp;'Funnel setup'!$K$5,".",IF(A1172=".",1,A1172+1))</f>
        <v>.</v>
      </c>
      <c r="B1173" s="431" t="str">
        <f t="shared" si="18"/>
        <v>Hip Replacement PrimaryCCG of GP PracticeNHS WEST ESSEX CCG (07H)EQ VAS</v>
      </c>
      <c r="C1173" t="s">
        <v>248</v>
      </c>
      <c r="D1173" t="s">
        <v>87</v>
      </c>
      <c r="E1173" t="s">
        <v>405</v>
      </c>
      <c r="F1173" t="s">
        <v>406</v>
      </c>
      <c r="G1173" t="s">
        <v>179</v>
      </c>
      <c r="H1173">
        <v>191</v>
      </c>
      <c r="I1173">
        <v>66</v>
      </c>
      <c r="J1173">
        <v>76.156999999999996</v>
      </c>
      <c r="K1173">
        <v>10.157</v>
      </c>
      <c r="L1173">
        <v>124</v>
      </c>
      <c r="M1173">
        <v>21</v>
      </c>
      <c r="N1173">
        <v>46</v>
      </c>
      <c r="O1173">
        <v>75.81</v>
      </c>
      <c r="P1173">
        <v>10.30530463</v>
      </c>
      <c r="Q1173">
        <v>15.648</v>
      </c>
    </row>
    <row r="1174" spans="1:17" s="30" customFormat="1" x14ac:dyDescent="0.2">
      <c r="A1174" s="30" t="str">
        <f>IF(C1174&amp;G1174&amp;D1174&lt;&gt;'Funnel setup'!$K$3&amp;'Funnel setup'!$K$4&amp;'Funnel setup'!$K$5,".",IF(A1173=".",1,A1173+1))</f>
        <v>.</v>
      </c>
      <c r="B1174" s="431" t="str">
        <f t="shared" si="18"/>
        <v>Hip Replacement PrimaryCCG of GP PracticeNHS WEST HAMPSHIRE CCG (11A)EQ VAS</v>
      </c>
      <c r="C1174" t="s">
        <v>248</v>
      </c>
      <c r="D1174" t="s">
        <v>87</v>
      </c>
      <c r="E1174" t="s">
        <v>444</v>
      </c>
      <c r="F1174" t="s">
        <v>445</v>
      </c>
      <c r="G1174" t="s">
        <v>179</v>
      </c>
      <c r="H1174">
        <v>456</v>
      </c>
      <c r="I1174">
        <v>67.778999999999996</v>
      </c>
      <c r="J1174">
        <v>78.430000000000007</v>
      </c>
      <c r="K1174">
        <v>10.651</v>
      </c>
      <c r="L1174">
        <v>302</v>
      </c>
      <c r="M1174">
        <v>54</v>
      </c>
      <c r="N1174">
        <v>100</v>
      </c>
      <c r="O1174">
        <v>77.412999999999997</v>
      </c>
      <c r="P1174">
        <v>11.908455630000001</v>
      </c>
      <c r="Q1174">
        <v>16.094000000000001</v>
      </c>
    </row>
    <row r="1175" spans="1:17" s="30" customFormat="1" x14ac:dyDescent="0.2">
      <c r="A1175" s="30" t="str">
        <f>IF(C1175&amp;G1175&amp;D1175&lt;&gt;'Funnel setup'!$K$3&amp;'Funnel setup'!$K$4&amp;'Funnel setup'!$K$5,".",IF(A1174=".",1,A1174+1))</f>
        <v>.</v>
      </c>
      <c r="B1175" s="431" t="str">
        <f t="shared" si="18"/>
        <v>Hip Replacement PrimaryCCG of GP PracticeNHS WEST KENT CCG (99J)EQ VAS</v>
      </c>
      <c r="C1175" t="s">
        <v>248</v>
      </c>
      <c r="D1175" t="s">
        <v>87</v>
      </c>
      <c r="E1175" t="s">
        <v>447</v>
      </c>
      <c r="F1175" t="s">
        <v>448</v>
      </c>
      <c r="G1175" t="s">
        <v>179</v>
      </c>
      <c r="H1175">
        <v>313</v>
      </c>
      <c r="I1175">
        <v>67.858999999999995</v>
      </c>
      <c r="J1175">
        <v>79.552999999999997</v>
      </c>
      <c r="K1175">
        <v>11.693</v>
      </c>
      <c r="L1175">
        <v>220</v>
      </c>
      <c r="M1175">
        <v>30</v>
      </c>
      <c r="N1175">
        <v>63</v>
      </c>
      <c r="O1175">
        <v>78.843999999999994</v>
      </c>
      <c r="P1175">
        <v>13.33920646</v>
      </c>
      <c r="Q1175">
        <v>14.656000000000001</v>
      </c>
    </row>
    <row r="1176" spans="1:17" s="30" customFormat="1" x14ac:dyDescent="0.2">
      <c r="A1176" s="30" t="str">
        <f>IF(C1176&amp;G1176&amp;D1176&lt;&gt;'Funnel setup'!$K$3&amp;'Funnel setup'!$K$4&amp;'Funnel setup'!$K$5,".",IF(A1175=".",1,A1175+1))</f>
        <v>.</v>
      </c>
      <c r="B1176" s="431" t="str">
        <f t="shared" si="18"/>
        <v>Hip Replacement PrimaryCCG of GP PracticeNHS WEST LANCASHIRE CCG (02G)EQ VAS</v>
      </c>
      <c r="C1176" t="s">
        <v>248</v>
      </c>
      <c r="D1176" t="s">
        <v>87</v>
      </c>
      <c r="E1176" t="s">
        <v>450</v>
      </c>
      <c r="F1176" t="s">
        <v>451</v>
      </c>
      <c r="G1176" t="s">
        <v>179</v>
      </c>
      <c r="H1176">
        <v>64</v>
      </c>
      <c r="I1176">
        <v>66.875</v>
      </c>
      <c r="J1176">
        <v>76.438000000000002</v>
      </c>
      <c r="K1176">
        <v>9.5630000000000006</v>
      </c>
      <c r="L1176">
        <v>44</v>
      </c>
      <c r="M1176">
        <v>6</v>
      </c>
      <c r="N1176">
        <v>14</v>
      </c>
      <c r="O1176">
        <v>75.736000000000004</v>
      </c>
      <c r="P1176">
        <v>10.232068180000001</v>
      </c>
      <c r="Q1176">
        <v>16.035</v>
      </c>
    </row>
    <row r="1177" spans="1:17" s="30" customFormat="1" x14ac:dyDescent="0.2">
      <c r="A1177" s="30" t="str">
        <f>IF(C1177&amp;G1177&amp;D1177&lt;&gt;'Funnel setup'!$K$3&amp;'Funnel setup'!$K$4&amp;'Funnel setup'!$K$5,".",IF(A1176=".",1,A1176+1))</f>
        <v>.</v>
      </c>
      <c r="B1177" s="431" t="str">
        <f t="shared" si="18"/>
        <v>Hip Replacement PrimaryCCG of GP PracticeNHS WEST LEICESTERSHIRE CCG (04V)EQ VAS</v>
      </c>
      <c r="C1177" t="s">
        <v>248</v>
      </c>
      <c r="D1177" t="s">
        <v>87</v>
      </c>
      <c r="E1177" t="s">
        <v>453</v>
      </c>
      <c r="F1177" t="s">
        <v>454</v>
      </c>
      <c r="G1177" t="s">
        <v>179</v>
      </c>
      <c r="H1177">
        <v>262</v>
      </c>
      <c r="I1177">
        <v>65.424000000000007</v>
      </c>
      <c r="J1177">
        <v>77.293999999999997</v>
      </c>
      <c r="K1177">
        <v>11.87</v>
      </c>
      <c r="L1177">
        <v>174</v>
      </c>
      <c r="M1177">
        <v>35</v>
      </c>
      <c r="N1177">
        <v>53</v>
      </c>
      <c r="O1177">
        <v>76.655000000000001</v>
      </c>
      <c r="P1177">
        <v>11.15080942</v>
      </c>
      <c r="Q1177">
        <v>15.077999999999999</v>
      </c>
    </row>
    <row r="1178" spans="1:17" s="30" customFormat="1" x14ac:dyDescent="0.2">
      <c r="A1178" s="30" t="str">
        <f>IF(C1178&amp;G1178&amp;D1178&lt;&gt;'Funnel setup'!$K$3&amp;'Funnel setup'!$K$4&amp;'Funnel setup'!$K$5,".",IF(A1177=".",1,A1177+1))</f>
        <v>.</v>
      </c>
      <c r="B1178" s="431" t="str">
        <f t="shared" si="18"/>
        <v>Hip Replacement PrimaryCCG of GP PracticeNHS WEST LONDON CCG (08Y)EQ VAS</v>
      </c>
      <c r="C1178" t="s">
        <v>248</v>
      </c>
      <c r="D1178" t="s">
        <v>87</v>
      </c>
      <c r="E1178" t="s">
        <v>456</v>
      </c>
      <c r="F1178" t="s">
        <v>457</v>
      </c>
      <c r="G1178" t="s">
        <v>179</v>
      </c>
      <c r="H1178">
        <v>21</v>
      </c>
      <c r="I1178">
        <v>57.856999999999999</v>
      </c>
      <c r="J1178">
        <v>71.475999999999999</v>
      </c>
      <c r="K1178">
        <v>13.619</v>
      </c>
      <c r="L1178">
        <v>12</v>
      </c>
      <c r="M1178">
        <v>5</v>
      </c>
      <c r="N1178">
        <v>4</v>
      </c>
      <c r="O1178" t="s">
        <v>53</v>
      </c>
      <c r="P1178" t="s">
        <v>53</v>
      </c>
      <c r="Q1178" t="s">
        <v>53</v>
      </c>
    </row>
    <row r="1179" spans="1:17" s="30" customFormat="1" x14ac:dyDescent="0.2">
      <c r="A1179" s="30" t="str">
        <f>IF(C1179&amp;G1179&amp;D1179&lt;&gt;'Funnel setup'!$K$3&amp;'Funnel setup'!$K$4&amp;'Funnel setup'!$K$5,".",IF(A1178=".",1,A1178+1))</f>
        <v>.</v>
      </c>
      <c r="B1179" s="431" t="str">
        <f t="shared" si="18"/>
        <v>Hip Replacement PrimaryCCG of GP PracticeNHS WEST NORFOLK CCG (07J)EQ VAS</v>
      </c>
      <c r="C1179" t="s">
        <v>248</v>
      </c>
      <c r="D1179" t="s">
        <v>87</v>
      </c>
      <c r="E1179" t="s">
        <v>459</v>
      </c>
      <c r="F1179" t="s">
        <v>460</v>
      </c>
      <c r="G1179" t="s">
        <v>179</v>
      </c>
      <c r="H1179">
        <v>167</v>
      </c>
      <c r="I1179">
        <v>68.036000000000001</v>
      </c>
      <c r="J1179">
        <v>77.605000000000004</v>
      </c>
      <c r="K1179">
        <v>9.5690000000000008</v>
      </c>
      <c r="L1179">
        <v>103</v>
      </c>
      <c r="M1179">
        <v>20</v>
      </c>
      <c r="N1179">
        <v>44</v>
      </c>
      <c r="O1179">
        <v>77.738</v>
      </c>
      <c r="P1179">
        <v>12.234013600000001</v>
      </c>
      <c r="Q1179">
        <v>15.861000000000001</v>
      </c>
    </row>
    <row r="1180" spans="1:17" s="30" customFormat="1" x14ac:dyDescent="0.2">
      <c r="A1180" s="30" t="str">
        <f>IF(C1180&amp;G1180&amp;D1180&lt;&gt;'Funnel setup'!$K$3&amp;'Funnel setup'!$K$4&amp;'Funnel setup'!$K$5,".",IF(A1179=".",1,A1179+1))</f>
        <v>.</v>
      </c>
      <c r="B1180" s="431" t="str">
        <f t="shared" si="18"/>
        <v>Hip Replacement PrimaryCCG of GP PracticeNHS WEST SUFFOLK CCG (07K)EQ VAS</v>
      </c>
      <c r="C1180" t="s">
        <v>248</v>
      </c>
      <c r="D1180" t="s">
        <v>87</v>
      </c>
      <c r="E1180" t="s">
        <v>462</v>
      </c>
      <c r="F1180" t="s">
        <v>463</v>
      </c>
      <c r="G1180" t="s">
        <v>179</v>
      </c>
      <c r="H1180">
        <v>223</v>
      </c>
      <c r="I1180">
        <v>65.358999999999995</v>
      </c>
      <c r="J1180">
        <v>78.39</v>
      </c>
      <c r="K1180">
        <v>13.031000000000001</v>
      </c>
      <c r="L1180">
        <v>154</v>
      </c>
      <c r="M1180">
        <v>22</v>
      </c>
      <c r="N1180">
        <v>47</v>
      </c>
      <c r="O1180">
        <v>78.299000000000007</v>
      </c>
      <c r="P1180">
        <v>12.79479469</v>
      </c>
      <c r="Q1180">
        <v>15.596</v>
      </c>
    </row>
    <row r="1181" spans="1:17" s="30" customFormat="1" x14ac:dyDescent="0.2">
      <c r="A1181" s="30" t="str">
        <f>IF(C1181&amp;G1181&amp;D1181&lt;&gt;'Funnel setup'!$K$3&amp;'Funnel setup'!$K$4&amp;'Funnel setup'!$K$5,".",IF(A1180=".",1,A1180+1))</f>
        <v>.</v>
      </c>
      <c r="B1181" s="431" t="str">
        <f t="shared" si="18"/>
        <v>Hip Replacement PrimaryCCG of GP PracticeNHS WIGAN BOROUGH CCG (02H)EQ VAS</v>
      </c>
      <c r="C1181" t="s">
        <v>248</v>
      </c>
      <c r="D1181" t="s">
        <v>87</v>
      </c>
      <c r="E1181" t="s">
        <v>465</v>
      </c>
      <c r="F1181" t="s">
        <v>466</v>
      </c>
      <c r="G1181" t="s">
        <v>179</v>
      </c>
      <c r="H1181">
        <v>100</v>
      </c>
      <c r="I1181">
        <v>63.18</v>
      </c>
      <c r="J1181">
        <v>77.16</v>
      </c>
      <c r="K1181">
        <v>13.98</v>
      </c>
      <c r="L1181">
        <v>65</v>
      </c>
      <c r="M1181">
        <v>11</v>
      </c>
      <c r="N1181">
        <v>24</v>
      </c>
      <c r="O1181">
        <v>78.302999999999997</v>
      </c>
      <c r="P1181">
        <v>12.79899174</v>
      </c>
      <c r="Q1181">
        <v>14.75</v>
      </c>
    </row>
    <row r="1182" spans="1:17" s="30" customFormat="1" x14ac:dyDescent="0.2">
      <c r="A1182" s="30" t="str">
        <f>IF(C1182&amp;G1182&amp;D1182&lt;&gt;'Funnel setup'!$K$3&amp;'Funnel setup'!$K$4&amp;'Funnel setup'!$K$5,".",IF(A1181=".",1,A1181+1))</f>
        <v>.</v>
      </c>
      <c r="B1182" s="431" t="str">
        <f t="shared" si="18"/>
        <v>Hip Replacement PrimaryCCG of GP PracticeNHS WILTSHIRE CCG (99N)EQ VAS</v>
      </c>
      <c r="C1182" t="s">
        <v>248</v>
      </c>
      <c r="D1182" t="s">
        <v>87</v>
      </c>
      <c r="E1182" t="s">
        <v>468</v>
      </c>
      <c r="F1182" t="s">
        <v>469</v>
      </c>
      <c r="G1182" t="s">
        <v>179</v>
      </c>
      <c r="H1182">
        <v>525</v>
      </c>
      <c r="I1182">
        <v>64.927999999999997</v>
      </c>
      <c r="J1182">
        <v>78.863</v>
      </c>
      <c r="K1182">
        <v>13.935</v>
      </c>
      <c r="L1182">
        <v>361</v>
      </c>
      <c r="M1182">
        <v>56</v>
      </c>
      <c r="N1182">
        <v>108</v>
      </c>
      <c r="O1182">
        <v>78.674000000000007</v>
      </c>
      <c r="P1182">
        <v>13.169604440000001</v>
      </c>
      <c r="Q1182">
        <v>15.863</v>
      </c>
    </row>
    <row r="1183" spans="1:17" s="30" customFormat="1" x14ac:dyDescent="0.2">
      <c r="A1183" s="30" t="str">
        <f>IF(C1183&amp;G1183&amp;D1183&lt;&gt;'Funnel setup'!$K$3&amp;'Funnel setup'!$K$4&amp;'Funnel setup'!$K$5,".",IF(A1182=".",1,A1182+1))</f>
        <v>.</v>
      </c>
      <c r="B1183" s="431" t="str">
        <f t="shared" si="18"/>
        <v>Hip Replacement PrimaryCCG of GP PracticeNHS WINDSOR, ASCOT AND MAIDENHEAD CCG (11C)EQ VAS</v>
      </c>
      <c r="C1183" t="s">
        <v>248</v>
      </c>
      <c r="D1183" t="s">
        <v>87</v>
      </c>
      <c r="E1183" t="s">
        <v>471</v>
      </c>
      <c r="F1183" t="s">
        <v>472</v>
      </c>
      <c r="G1183" t="s">
        <v>179</v>
      </c>
      <c r="H1183">
        <v>74</v>
      </c>
      <c r="I1183">
        <v>67.540999999999997</v>
      </c>
      <c r="J1183">
        <v>77.662000000000006</v>
      </c>
      <c r="K1183">
        <v>10.122</v>
      </c>
      <c r="L1183">
        <v>45</v>
      </c>
      <c r="M1183">
        <v>10</v>
      </c>
      <c r="N1183">
        <v>19</v>
      </c>
      <c r="O1183">
        <v>76.323999999999998</v>
      </c>
      <c r="P1183">
        <v>10.819272270000001</v>
      </c>
      <c r="Q1183">
        <v>14.776</v>
      </c>
    </row>
    <row r="1184" spans="1:17" s="30" customFormat="1" x14ac:dyDescent="0.2">
      <c r="A1184" s="30" t="str">
        <f>IF(C1184&amp;G1184&amp;D1184&lt;&gt;'Funnel setup'!$K$3&amp;'Funnel setup'!$K$4&amp;'Funnel setup'!$K$5,".",IF(A1183=".",1,A1183+1))</f>
        <v>.</v>
      </c>
      <c r="B1184" s="431" t="str">
        <f t="shared" si="18"/>
        <v>Hip Replacement PrimaryCCG of GP PracticeNHS WIRRAL CCG (12F)EQ VAS</v>
      </c>
      <c r="C1184" t="s">
        <v>248</v>
      </c>
      <c r="D1184" t="s">
        <v>87</v>
      </c>
      <c r="E1184" t="s">
        <v>474</v>
      </c>
      <c r="F1184" t="s">
        <v>475</v>
      </c>
      <c r="G1184" t="s">
        <v>179</v>
      </c>
      <c r="H1184">
        <v>276</v>
      </c>
      <c r="I1184">
        <v>67.227999999999994</v>
      </c>
      <c r="J1184">
        <v>76.739000000000004</v>
      </c>
      <c r="K1184">
        <v>9.5109999999999992</v>
      </c>
      <c r="L1184">
        <v>169</v>
      </c>
      <c r="M1184">
        <v>31</v>
      </c>
      <c r="N1184">
        <v>76</v>
      </c>
      <c r="O1184">
        <v>77.513999999999996</v>
      </c>
      <c r="P1184">
        <v>12.009911020000001</v>
      </c>
      <c r="Q1184">
        <v>16.300999999999998</v>
      </c>
    </row>
    <row r="1185" spans="1:17" s="30" customFormat="1" x14ac:dyDescent="0.2">
      <c r="A1185" s="30" t="str">
        <f>IF(C1185&amp;G1185&amp;D1185&lt;&gt;'Funnel setup'!$K$3&amp;'Funnel setup'!$K$4&amp;'Funnel setup'!$K$5,".",IF(A1184=".",1,A1184+1))</f>
        <v>.</v>
      </c>
      <c r="B1185" s="431" t="str">
        <f t="shared" si="18"/>
        <v>Hip Replacement PrimaryCCG of GP PracticeNHS WOKINGHAM CCG (11D)EQ VAS</v>
      </c>
      <c r="C1185" t="s">
        <v>248</v>
      </c>
      <c r="D1185" t="s">
        <v>87</v>
      </c>
      <c r="E1185" t="s">
        <v>477</v>
      </c>
      <c r="F1185" t="s">
        <v>478</v>
      </c>
      <c r="G1185" t="s">
        <v>179</v>
      </c>
      <c r="H1185">
        <v>96</v>
      </c>
      <c r="I1185">
        <v>69.688000000000002</v>
      </c>
      <c r="J1185">
        <v>81.885000000000005</v>
      </c>
      <c r="K1185">
        <v>12.198</v>
      </c>
      <c r="L1185">
        <v>68</v>
      </c>
      <c r="M1185">
        <v>13</v>
      </c>
      <c r="N1185">
        <v>15</v>
      </c>
      <c r="O1185">
        <v>78.430999999999997</v>
      </c>
      <c r="P1185">
        <v>12.926928800000001</v>
      </c>
      <c r="Q1185">
        <v>13.337999999999999</v>
      </c>
    </row>
    <row r="1186" spans="1:17" s="30" customFormat="1" x14ac:dyDescent="0.2">
      <c r="A1186" s="30" t="str">
        <f>IF(C1186&amp;G1186&amp;D1186&lt;&gt;'Funnel setup'!$K$3&amp;'Funnel setup'!$K$4&amp;'Funnel setup'!$K$5,".",IF(A1185=".",1,A1185+1))</f>
        <v>.</v>
      </c>
      <c r="B1186" s="431" t="str">
        <f t="shared" si="18"/>
        <v>Hip Replacement PrimaryCCG of GP PracticeNHS WOLVERHAMPTON CCG (06A)EQ VAS</v>
      </c>
      <c r="C1186" t="s">
        <v>248</v>
      </c>
      <c r="D1186" t="s">
        <v>87</v>
      </c>
      <c r="E1186" t="s">
        <v>480</v>
      </c>
      <c r="F1186" t="s">
        <v>481</v>
      </c>
      <c r="G1186" t="s">
        <v>179</v>
      </c>
      <c r="H1186">
        <v>137</v>
      </c>
      <c r="I1186">
        <v>66.400999999999996</v>
      </c>
      <c r="J1186">
        <v>77.284999999999997</v>
      </c>
      <c r="K1186">
        <v>10.882999999999999</v>
      </c>
      <c r="L1186">
        <v>90</v>
      </c>
      <c r="M1186">
        <v>16</v>
      </c>
      <c r="N1186">
        <v>31</v>
      </c>
      <c r="O1186">
        <v>78.587999999999994</v>
      </c>
      <c r="P1186">
        <v>13.0836527</v>
      </c>
      <c r="Q1186">
        <v>14.877000000000001</v>
      </c>
    </row>
    <row r="1187" spans="1:17" s="30" customFormat="1" x14ac:dyDescent="0.2">
      <c r="A1187" s="30" t="str">
        <f>IF(C1187&amp;G1187&amp;D1187&lt;&gt;'Funnel setup'!$K$3&amp;'Funnel setup'!$K$4&amp;'Funnel setup'!$K$5,".",IF(A1186=".",1,A1186+1))</f>
        <v>.</v>
      </c>
      <c r="B1187" s="431" t="str">
        <f t="shared" si="18"/>
        <v>Hip Replacement PrimaryCCG of GP PracticeNHS WYRE FOREST CCG (06D)EQ VAS</v>
      </c>
      <c r="C1187" t="s">
        <v>248</v>
      </c>
      <c r="D1187" t="s">
        <v>87</v>
      </c>
      <c r="E1187" t="s">
        <v>483</v>
      </c>
      <c r="F1187" t="s">
        <v>484</v>
      </c>
      <c r="G1187" t="s">
        <v>179</v>
      </c>
      <c r="H1187">
        <v>79</v>
      </c>
      <c r="I1187">
        <v>69.948999999999998</v>
      </c>
      <c r="J1187">
        <v>75.861000000000004</v>
      </c>
      <c r="K1187">
        <v>5.9109999999999996</v>
      </c>
      <c r="L1187">
        <v>45</v>
      </c>
      <c r="M1187">
        <v>11</v>
      </c>
      <c r="N1187">
        <v>23</v>
      </c>
      <c r="O1187">
        <v>76.11</v>
      </c>
      <c r="P1187">
        <v>10.606093720000001</v>
      </c>
      <c r="Q1187">
        <v>20.376999999999999</v>
      </c>
    </row>
    <row r="1188" spans="1:17" s="30" customFormat="1" x14ac:dyDescent="0.2">
      <c r="A1188" s="30" t="str">
        <f>IF(C1188&amp;G1188&amp;D1188&lt;&gt;'Funnel setup'!$K$3&amp;'Funnel setup'!$K$4&amp;'Funnel setup'!$K$5,".",IF(A1187=".",1,A1187+1))</f>
        <v>.</v>
      </c>
      <c r="B1188" s="431" t="str">
        <f t="shared" si="18"/>
        <v>Hip Replacement PrimaryCCG of GP PracticeNATIONAL COMMISSIONING HUB 1 (13Q)EQ-5D Index</v>
      </c>
      <c r="C1188" t="s">
        <v>248</v>
      </c>
      <c r="D1188" t="s">
        <v>87</v>
      </c>
      <c r="E1188" t="s">
        <v>563</v>
      </c>
      <c r="F1188" t="s">
        <v>564</v>
      </c>
      <c r="G1188" t="s">
        <v>52</v>
      </c>
      <c r="H1188">
        <v>9</v>
      </c>
      <c r="I1188">
        <v>0.69599999999999995</v>
      </c>
      <c r="J1188">
        <v>0.876</v>
      </c>
      <c r="K1188">
        <v>0.18</v>
      </c>
      <c r="L1188">
        <v>6</v>
      </c>
      <c r="M1188">
        <v>2</v>
      </c>
      <c r="N1188">
        <v>1</v>
      </c>
      <c r="O1188" t="s">
        <v>53</v>
      </c>
      <c r="P1188" t="s">
        <v>53</v>
      </c>
      <c r="Q1188" t="s">
        <v>53</v>
      </c>
    </row>
    <row r="1189" spans="1:17" s="30" customFormat="1" x14ac:dyDescent="0.2">
      <c r="A1189" s="30" t="str">
        <f>IF(C1189&amp;G1189&amp;D1189&lt;&gt;'Funnel setup'!$K$3&amp;'Funnel setup'!$K$4&amp;'Funnel setup'!$K$5,".",IF(A1188=".",1,A1188+1))</f>
        <v>.</v>
      </c>
      <c r="B1189" s="431" t="str">
        <f t="shared" si="18"/>
        <v>Hip Replacement PrimaryCCG of GP PracticeNHS AIREDALE, WHARFEDALE AND CRAVEN CCG (02N)EQ-5D Index</v>
      </c>
      <c r="C1189" t="s">
        <v>248</v>
      </c>
      <c r="D1189" t="s">
        <v>87</v>
      </c>
      <c r="E1189" t="s">
        <v>566</v>
      </c>
      <c r="F1189" t="s">
        <v>567</v>
      </c>
      <c r="G1189" t="s">
        <v>52</v>
      </c>
      <c r="H1189">
        <v>162</v>
      </c>
      <c r="I1189">
        <v>0.39100000000000001</v>
      </c>
      <c r="J1189">
        <v>0.80300000000000005</v>
      </c>
      <c r="K1189">
        <v>0.41199999999999998</v>
      </c>
      <c r="L1189">
        <v>145</v>
      </c>
      <c r="M1189">
        <v>10</v>
      </c>
      <c r="N1189">
        <v>7</v>
      </c>
      <c r="O1189">
        <v>0.79100000000000004</v>
      </c>
      <c r="P1189">
        <v>0.42958972299999998</v>
      </c>
      <c r="Q1189">
        <v>0.21199999999999999</v>
      </c>
    </row>
    <row r="1190" spans="1:17" s="30" customFormat="1" x14ac:dyDescent="0.2">
      <c r="A1190" s="30" t="str">
        <f>IF(C1190&amp;G1190&amp;D1190&lt;&gt;'Funnel setup'!$K$3&amp;'Funnel setup'!$K$4&amp;'Funnel setup'!$K$5,".",IF(A1189=".",1,A1189+1))</f>
        <v>.</v>
      </c>
      <c r="B1190" s="431" t="str">
        <f t="shared" si="18"/>
        <v>Hip Replacement PrimaryCCG of GP PracticeNHS ASHFORD CCG (09C)EQ-5D Index</v>
      </c>
      <c r="C1190" t="s">
        <v>248</v>
      </c>
      <c r="D1190" t="s">
        <v>87</v>
      </c>
      <c r="E1190" t="s">
        <v>569</v>
      </c>
      <c r="F1190" t="s">
        <v>339</v>
      </c>
      <c r="G1190" t="s">
        <v>52</v>
      </c>
      <c r="H1190">
        <v>78</v>
      </c>
      <c r="I1190">
        <v>0.35399999999999998</v>
      </c>
      <c r="J1190">
        <v>0.79500000000000004</v>
      </c>
      <c r="K1190">
        <v>0.441</v>
      </c>
      <c r="L1190">
        <v>71</v>
      </c>
      <c r="M1190">
        <v>4</v>
      </c>
      <c r="N1190">
        <v>3</v>
      </c>
      <c r="O1190">
        <v>0.79200000000000004</v>
      </c>
      <c r="P1190">
        <v>0.43076443399999997</v>
      </c>
      <c r="Q1190">
        <v>0.21</v>
      </c>
    </row>
    <row r="1191" spans="1:17" s="30" customFormat="1" x14ac:dyDescent="0.2">
      <c r="A1191" s="30" t="str">
        <f>IF(C1191&amp;G1191&amp;D1191&lt;&gt;'Funnel setup'!$K$3&amp;'Funnel setup'!$K$4&amp;'Funnel setup'!$K$5,".",IF(A1190=".",1,A1190+1))</f>
        <v>.</v>
      </c>
      <c r="B1191" s="431" t="str">
        <f t="shared" si="18"/>
        <v>Hip Replacement PrimaryCCG of GP PracticeNHS AYLESBURY VALE CCG (10Y)EQ-5D Index</v>
      </c>
      <c r="C1191" t="s">
        <v>248</v>
      </c>
      <c r="D1191" t="s">
        <v>87</v>
      </c>
      <c r="E1191" t="s">
        <v>571</v>
      </c>
      <c r="F1191" t="s">
        <v>572</v>
      </c>
      <c r="G1191" t="s">
        <v>52</v>
      </c>
      <c r="H1191">
        <v>137</v>
      </c>
      <c r="I1191">
        <v>0.33900000000000002</v>
      </c>
      <c r="J1191">
        <v>0.80200000000000005</v>
      </c>
      <c r="K1191">
        <v>0.46300000000000002</v>
      </c>
      <c r="L1191">
        <v>125</v>
      </c>
      <c r="M1191">
        <v>5</v>
      </c>
      <c r="N1191">
        <v>7</v>
      </c>
      <c r="O1191">
        <v>0.79900000000000004</v>
      </c>
      <c r="P1191">
        <v>0.43740636399999999</v>
      </c>
      <c r="Q1191">
        <v>0.22600000000000001</v>
      </c>
    </row>
    <row r="1192" spans="1:17" s="30" customFormat="1" x14ac:dyDescent="0.2">
      <c r="A1192" s="30" t="str">
        <f>IF(C1192&amp;G1192&amp;D1192&lt;&gt;'Funnel setup'!$K$3&amp;'Funnel setup'!$K$4&amp;'Funnel setup'!$K$5,".",IF(A1191=".",1,A1191+1))</f>
        <v>.</v>
      </c>
      <c r="B1192" s="431" t="str">
        <f t="shared" si="18"/>
        <v>Hip Replacement PrimaryCCG of GP PracticeNHS BARKING AND DAGENHAM CCG (07L)EQ-5D Index</v>
      </c>
      <c r="C1192" t="s">
        <v>248</v>
      </c>
      <c r="D1192" t="s">
        <v>87</v>
      </c>
      <c r="E1192" t="s">
        <v>574</v>
      </c>
      <c r="F1192" t="s">
        <v>575</v>
      </c>
      <c r="G1192" t="s">
        <v>52</v>
      </c>
      <c r="H1192">
        <v>35</v>
      </c>
      <c r="I1192">
        <v>0.252</v>
      </c>
      <c r="J1192">
        <v>0.70099999999999996</v>
      </c>
      <c r="K1192">
        <v>0.44900000000000001</v>
      </c>
      <c r="L1192">
        <v>31</v>
      </c>
      <c r="M1192">
        <v>2</v>
      </c>
      <c r="N1192">
        <v>2</v>
      </c>
      <c r="O1192">
        <v>0.76700000000000002</v>
      </c>
      <c r="P1192">
        <v>0.40549915800000003</v>
      </c>
      <c r="Q1192">
        <v>0.249</v>
      </c>
    </row>
    <row r="1193" spans="1:17" s="30" customFormat="1" x14ac:dyDescent="0.2">
      <c r="A1193" s="30" t="str">
        <f>IF(C1193&amp;G1193&amp;D1193&lt;&gt;'Funnel setup'!$K$3&amp;'Funnel setup'!$K$4&amp;'Funnel setup'!$K$5,".",IF(A1192=".",1,A1192+1))</f>
        <v>.</v>
      </c>
      <c r="B1193" s="431" t="str">
        <f t="shared" si="18"/>
        <v>Hip Replacement PrimaryCCG of GP PracticeNHS BARNET CCG (07M)EQ-5D Index</v>
      </c>
      <c r="C1193" t="s">
        <v>248</v>
      </c>
      <c r="D1193" t="s">
        <v>87</v>
      </c>
      <c r="E1193" t="s">
        <v>577</v>
      </c>
      <c r="F1193" t="s">
        <v>578</v>
      </c>
      <c r="G1193" t="s">
        <v>52</v>
      </c>
      <c r="H1193">
        <v>73</v>
      </c>
      <c r="I1193">
        <v>0.28899999999999998</v>
      </c>
      <c r="J1193">
        <v>0.77</v>
      </c>
      <c r="K1193">
        <v>0.48</v>
      </c>
      <c r="L1193">
        <v>66</v>
      </c>
      <c r="M1193">
        <v>4</v>
      </c>
      <c r="N1193">
        <v>3</v>
      </c>
      <c r="O1193">
        <v>0.78900000000000003</v>
      </c>
      <c r="P1193">
        <v>0.42780764599999999</v>
      </c>
      <c r="Q1193">
        <v>0.20699999999999999</v>
      </c>
    </row>
    <row r="1194" spans="1:17" s="30" customFormat="1" x14ac:dyDescent="0.2">
      <c r="A1194" s="30" t="str">
        <f>IF(C1194&amp;G1194&amp;D1194&lt;&gt;'Funnel setup'!$K$3&amp;'Funnel setup'!$K$4&amp;'Funnel setup'!$K$5,".",IF(A1193=".",1,A1193+1))</f>
        <v>.</v>
      </c>
      <c r="B1194" s="431" t="str">
        <f t="shared" si="18"/>
        <v>Hip Replacement PrimaryCCG of GP PracticeNHS BARNSLEY CCG (02P)EQ-5D Index</v>
      </c>
      <c r="C1194" t="s">
        <v>248</v>
      </c>
      <c r="D1194" t="s">
        <v>87</v>
      </c>
      <c r="E1194" t="s">
        <v>580</v>
      </c>
      <c r="F1194" t="s">
        <v>581</v>
      </c>
      <c r="G1194" t="s">
        <v>52</v>
      </c>
      <c r="H1194">
        <v>161</v>
      </c>
      <c r="I1194">
        <v>0.28100000000000003</v>
      </c>
      <c r="J1194">
        <v>0.71899999999999997</v>
      </c>
      <c r="K1194">
        <v>0.438</v>
      </c>
      <c r="L1194">
        <v>145</v>
      </c>
      <c r="M1194">
        <v>8</v>
      </c>
      <c r="N1194">
        <v>8</v>
      </c>
      <c r="O1194">
        <v>0.747</v>
      </c>
      <c r="P1194">
        <v>0.38532915000000001</v>
      </c>
      <c r="Q1194">
        <v>0.23799999999999999</v>
      </c>
    </row>
    <row r="1195" spans="1:17" s="30" customFormat="1" x14ac:dyDescent="0.2">
      <c r="A1195" s="30" t="str">
        <f>IF(C1195&amp;G1195&amp;D1195&lt;&gt;'Funnel setup'!$K$3&amp;'Funnel setup'!$K$4&amp;'Funnel setup'!$K$5,".",IF(A1194=".",1,A1194+1))</f>
        <v>.</v>
      </c>
      <c r="B1195" s="431" t="str">
        <f t="shared" si="18"/>
        <v>Hip Replacement PrimaryCCG of GP PracticeNHS BASILDON AND BRENTWOOD CCG (99E)EQ-5D Index</v>
      </c>
      <c r="C1195" t="s">
        <v>248</v>
      </c>
      <c r="D1195" t="s">
        <v>87</v>
      </c>
      <c r="E1195" t="s">
        <v>583</v>
      </c>
      <c r="F1195" t="s">
        <v>584</v>
      </c>
      <c r="G1195" t="s">
        <v>52</v>
      </c>
      <c r="H1195">
        <v>152</v>
      </c>
      <c r="I1195">
        <v>0.29899999999999999</v>
      </c>
      <c r="J1195">
        <v>0.78300000000000003</v>
      </c>
      <c r="K1195">
        <v>0.48399999999999999</v>
      </c>
      <c r="L1195">
        <v>144</v>
      </c>
      <c r="M1195">
        <v>3</v>
      </c>
      <c r="N1195">
        <v>5</v>
      </c>
      <c r="O1195">
        <v>0.79200000000000004</v>
      </c>
      <c r="P1195">
        <v>0.43036028799999998</v>
      </c>
      <c r="Q1195">
        <v>0.21099999999999999</v>
      </c>
    </row>
    <row r="1196" spans="1:17" s="30" customFormat="1" x14ac:dyDescent="0.2">
      <c r="A1196" s="30" t="str">
        <f>IF(C1196&amp;G1196&amp;D1196&lt;&gt;'Funnel setup'!$K$3&amp;'Funnel setup'!$K$4&amp;'Funnel setup'!$K$5,".",IF(A1195=".",1,A1195+1))</f>
        <v>.</v>
      </c>
      <c r="B1196" s="431" t="str">
        <f t="shared" si="18"/>
        <v>Hip Replacement PrimaryCCG of GP PracticeNHS BASSETLAW CCG (02Q)EQ-5D Index</v>
      </c>
      <c r="C1196" t="s">
        <v>248</v>
      </c>
      <c r="D1196" t="s">
        <v>87</v>
      </c>
      <c r="E1196" t="s">
        <v>586</v>
      </c>
      <c r="F1196" t="s">
        <v>587</v>
      </c>
      <c r="G1196" t="s">
        <v>52</v>
      </c>
      <c r="H1196">
        <v>120</v>
      </c>
      <c r="I1196">
        <v>0.34200000000000003</v>
      </c>
      <c r="J1196">
        <v>0.78700000000000003</v>
      </c>
      <c r="K1196">
        <v>0.44500000000000001</v>
      </c>
      <c r="L1196">
        <v>111</v>
      </c>
      <c r="M1196">
        <v>2</v>
      </c>
      <c r="N1196">
        <v>7</v>
      </c>
      <c r="O1196">
        <v>0.79700000000000004</v>
      </c>
      <c r="P1196">
        <v>0.43553676400000002</v>
      </c>
      <c r="Q1196">
        <v>0.23200000000000001</v>
      </c>
    </row>
    <row r="1197" spans="1:17" s="30" customFormat="1" x14ac:dyDescent="0.2">
      <c r="A1197" s="30" t="str">
        <f>IF(C1197&amp;G1197&amp;D1197&lt;&gt;'Funnel setup'!$K$3&amp;'Funnel setup'!$K$4&amp;'Funnel setup'!$K$5,".",IF(A1196=".",1,A1196+1))</f>
        <v>.</v>
      </c>
      <c r="B1197" s="431" t="str">
        <f t="shared" si="18"/>
        <v>Hip Replacement PrimaryCCG of GP PracticeNHS BATH AND NORTH EAST SOMERSET CCG (11E)EQ-5D Index</v>
      </c>
      <c r="C1197" t="s">
        <v>248</v>
      </c>
      <c r="D1197" t="s">
        <v>87</v>
      </c>
      <c r="E1197" t="s">
        <v>589</v>
      </c>
      <c r="F1197" t="s">
        <v>590</v>
      </c>
      <c r="G1197" t="s">
        <v>52</v>
      </c>
      <c r="H1197">
        <v>157</v>
      </c>
      <c r="I1197">
        <v>0.35099999999999998</v>
      </c>
      <c r="J1197">
        <v>0.83499999999999996</v>
      </c>
      <c r="K1197">
        <v>0.48399999999999999</v>
      </c>
      <c r="L1197">
        <v>146</v>
      </c>
      <c r="M1197">
        <v>6</v>
      </c>
      <c r="N1197">
        <v>5</v>
      </c>
      <c r="O1197">
        <v>0.83199999999999996</v>
      </c>
      <c r="P1197">
        <v>0.46989157100000001</v>
      </c>
      <c r="Q1197">
        <v>0.19</v>
      </c>
    </row>
    <row r="1198" spans="1:17" s="30" customFormat="1" x14ac:dyDescent="0.2">
      <c r="A1198" s="30" t="str">
        <f>IF(C1198&amp;G1198&amp;D1198&lt;&gt;'Funnel setup'!$K$3&amp;'Funnel setup'!$K$4&amp;'Funnel setup'!$K$5,".",IF(A1197=".",1,A1197+1))</f>
        <v>.</v>
      </c>
      <c r="B1198" s="431" t="str">
        <f t="shared" si="18"/>
        <v>Hip Replacement PrimaryCCG of GP PracticeNHS BEDFORDSHIRE CCG (06F)EQ-5D Index</v>
      </c>
      <c r="C1198" t="s">
        <v>248</v>
      </c>
      <c r="D1198" t="s">
        <v>87</v>
      </c>
      <c r="E1198" t="s">
        <v>592</v>
      </c>
      <c r="F1198" t="s">
        <v>593</v>
      </c>
      <c r="G1198" t="s">
        <v>52</v>
      </c>
      <c r="H1198">
        <v>322</v>
      </c>
      <c r="I1198">
        <v>0.35399999999999998</v>
      </c>
      <c r="J1198">
        <v>0.80400000000000005</v>
      </c>
      <c r="K1198">
        <v>0.45</v>
      </c>
      <c r="L1198">
        <v>295</v>
      </c>
      <c r="M1198">
        <v>16</v>
      </c>
      <c r="N1198">
        <v>11</v>
      </c>
      <c r="O1198">
        <v>0.80100000000000005</v>
      </c>
      <c r="P1198">
        <v>0.439494885</v>
      </c>
      <c r="Q1198">
        <v>0.215</v>
      </c>
    </row>
    <row r="1199" spans="1:17" s="30" customFormat="1" x14ac:dyDescent="0.2">
      <c r="A1199" s="30" t="str">
        <f>IF(C1199&amp;G1199&amp;D1199&lt;&gt;'Funnel setup'!$K$3&amp;'Funnel setup'!$K$4&amp;'Funnel setup'!$K$5,".",IF(A1198=".",1,A1198+1))</f>
        <v>.</v>
      </c>
      <c r="B1199" s="431" t="str">
        <f t="shared" si="18"/>
        <v>Hip Replacement PrimaryCCG of GP PracticeNHS BEXLEY CCG (07N)EQ-5D Index</v>
      </c>
      <c r="C1199" t="s">
        <v>248</v>
      </c>
      <c r="D1199" t="s">
        <v>87</v>
      </c>
      <c r="E1199" t="s">
        <v>595</v>
      </c>
      <c r="F1199" t="s">
        <v>596</v>
      </c>
      <c r="G1199" t="s">
        <v>52</v>
      </c>
      <c r="H1199">
        <v>78</v>
      </c>
      <c r="I1199">
        <v>0.28799999999999998</v>
      </c>
      <c r="J1199">
        <v>0.73299999999999998</v>
      </c>
      <c r="K1199">
        <v>0.44500000000000001</v>
      </c>
      <c r="L1199">
        <v>63</v>
      </c>
      <c r="M1199">
        <v>8</v>
      </c>
      <c r="N1199">
        <v>7</v>
      </c>
      <c r="O1199">
        <v>0.747</v>
      </c>
      <c r="P1199">
        <v>0.38583868799999999</v>
      </c>
      <c r="Q1199">
        <v>0.24</v>
      </c>
    </row>
    <row r="1200" spans="1:17" s="30" customFormat="1" x14ac:dyDescent="0.2">
      <c r="A1200" s="30" t="str">
        <f>IF(C1200&amp;G1200&amp;D1200&lt;&gt;'Funnel setup'!$K$3&amp;'Funnel setup'!$K$4&amp;'Funnel setup'!$K$5,".",IF(A1199=".",1,A1199+1))</f>
        <v>.</v>
      </c>
      <c r="B1200" s="431" t="str">
        <f t="shared" si="18"/>
        <v>Hip Replacement PrimaryCCG of GP PracticeNHS BIRMINGHAM CROSSCITY CCG (13P)EQ-5D Index</v>
      </c>
      <c r="C1200" t="s">
        <v>248</v>
      </c>
      <c r="D1200" t="s">
        <v>87</v>
      </c>
      <c r="E1200" t="s">
        <v>598</v>
      </c>
      <c r="F1200" t="s">
        <v>599</v>
      </c>
      <c r="G1200" t="s">
        <v>52</v>
      </c>
      <c r="H1200">
        <v>374</v>
      </c>
      <c r="I1200">
        <v>0.33300000000000002</v>
      </c>
      <c r="J1200">
        <v>0.75900000000000001</v>
      </c>
      <c r="K1200">
        <v>0.42699999999999999</v>
      </c>
      <c r="L1200">
        <v>328</v>
      </c>
      <c r="M1200">
        <v>29</v>
      </c>
      <c r="N1200">
        <v>17</v>
      </c>
      <c r="O1200">
        <v>0.78700000000000003</v>
      </c>
      <c r="P1200">
        <v>0.42503462800000003</v>
      </c>
      <c r="Q1200">
        <v>0.21</v>
      </c>
    </row>
    <row r="1201" spans="1:17" s="30" customFormat="1" x14ac:dyDescent="0.2">
      <c r="A1201" s="30" t="str">
        <f>IF(C1201&amp;G1201&amp;D1201&lt;&gt;'Funnel setup'!$K$3&amp;'Funnel setup'!$K$4&amp;'Funnel setup'!$K$5,".",IF(A1200=".",1,A1200+1))</f>
        <v>.</v>
      </c>
      <c r="B1201" s="431" t="str">
        <f t="shared" si="18"/>
        <v>Hip Replacement PrimaryCCG of GP PracticeNHS BIRMINGHAM SOUTH AND CENTRAL CCG (04X)EQ-5D Index</v>
      </c>
      <c r="C1201" t="s">
        <v>248</v>
      </c>
      <c r="D1201" t="s">
        <v>87</v>
      </c>
      <c r="E1201" t="s">
        <v>601</v>
      </c>
      <c r="F1201" t="s">
        <v>602</v>
      </c>
      <c r="G1201" t="s">
        <v>52</v>
      </c>
      <c r="H1201">
        <v>75</v>
      </c>
      <c r="I1201">
        <v>0.28000000000000003</v>
      </c>
      <c r="J1201">
        <v>0.74299999999999999</v>
      </c>
      <c r="K1201">
        <v>0.46400000000000002</v>
      </c>
      <c r="L1201">
        <v>66</v>
      </c>
      <c r="M1201">
        <v>3</v>
      </c>
      <c r="N1201">
        <v>6</v>
      </c>
      <c r="O1201">
        <v>0.78700000000000003</v>
      </c>
      <c r="P1201">
        <v>0.424885821</v>
      </c>
      <c r="Q1201">
        <v>0.247</v>
      </c>
    </row>
    <row r="1202" spans="1:17" s="30" customFormat="1" x14ac:dyDescent="0.2">
      <c r="A1202" s="30" t="str">
        <f>IF(C1202&amp;G1202&amp;D1202&lt;&gt;'Funnel setup'!$K$3&amp;'Funnel setup'!$K$4&amp;'Funnel setup'!$K$5,".",IF(A1201=".",1,A1201+1))</f>
        <v>.</v>
      </c>
      <c r="B1202" s="431" t="str">
        <f t="shared" si="18"/>
        <v>Hip Replacement PrimaryCCG of GP PracticeNHS BLACKBURN WITH DARWEN CCG (00Q)EQ-5D Index</v>
      </c>
      <c r="C1202" t="s">
        <v>248</v>
      </c>
      <c r="D1202" t="s">
        <v>87</v>
      </c>
      <c r="E1202" t="s">
        <v>604</v>
      </c>
      <c r="F1202" t="s">
        <v>605</v>
      </c>
      <c r="G1202" t="s">
        <v>52</v>
      </c>
      <c r="H1202">
        <v>67</v>
      </c>
      <c r="I1202">
        <v>0.32400000000000001</v>
      </c>
      <c r="J1202">
        <v>0.751</v>
      </c>
      <c r="K1202">
        <v>0.42699999999999999</v>
      </c>
      <c r="L1202">
        <v>59</v>
      </c>
      <c r="M1202">
        <v>2</v>
      </c>
      <c r="N1202">
        <v>6</v>
      </c>
      <c r="O1202">
        <v>0.77800000000000002</v>
      </c>
      <c r="P1202">
        <v>0.415844463</v>
      </c>
      <c r="Q1202">
        <v>0.2</v>
      </c>
    </row>
    <row r="1203" spans="1:17" s="30" customFormat="1" x14ac:dyDescent="0.2">
      <c r="A1203" s="30" t="str">
        <f>IF(C1203&amp;G1203&amp;D1203&lt;&gt;'Funnel setup'!$K$3&amp;'Funnel setup'!$K$4&amp;'Funnel setup'!$K$5,".",IF(A1202=".",1,A1202+1))</f>
        <v>.</v>
      </c>
      <c r="B1203" s="431" t="str">
        <f t="shared" si="18"/>
        <v>Hip Replacement PrimaryCCG of GP PracticeNHS BLACKPOOL CCG (00R)EQ-5D Index</v>
      </c>
      <c r="C1203" t="s">
        <v>248</v>
      </c>
      <c r="D1203" t="s">
        <v>87</v>
      </c>
      <c r="E1203" t="s">
        <v>607</v>
      </c>
      <c r="F1203" t="s">
        <v>608</v>
      </c>
      <c r="G1203" t="s">
        <v>52</v>
      </c>
      <c r="H1203">
        <v>46</v>
      </c>
      <c r="I1203">
        <v>0.33600000000000002</v>
      </c>
      <c r="J1203">
        <v>0.73899999999999999</v>
      </c>
      <c r="K1203">
        <v>0.40300000000000002</v>
      </c>
      <c r="L1203">
        <v>39</v>
      </c>
      <c r="M1203">
        <v>3</v>
      </c>
      <c r="N1203">
        <v>4</v>
      </c>
      <c r="O1203">
        <v>0.76500000000000001</v>
      </c>
      <c r="P1203">
        <v>0.403166684</v>
      </c>
      <c r="Q1203">
        <v>0.308</v>
      </c>
    </row>
    <row r="1204" spans="1:17" s="30" customFormat="1" x14ac:dyDescent="0.2">
      <c r="A1204" s="30" t="str">
        <f>IF(C1204&amp;G1204&amp;D1204&lt;&gt;'Funnel setup'!$K$3&amp;'Funnel setup'!$K$4&amp;'Funnel setup'!$K$5,".",IF(A1203=".",1,A1203+1))</f>
        <v>.</v>
      </c>
      <c r="B1204" s="431" t="str">
        <f t="shared" si="18"/>
        <v>Hip Replacement PrimaryCCG of GP PracticeNHS BOLTON CCG (00T)EQ-5D Index</v>
      </c>
      <c r="C1204" t="s">
        <v>248</v>
      </c>
      <c r="D1204" t="s">
        <v>87</v>
      </c>
      <c r="E1204" t="s">
        <v>683</v>
      </c>
      <c r="F1204" t="s">
        <v>684</v>
      </c>
      <c r="G1204" t="s">
        <v>52</v>
      </c>
      <c r="H1204">
        <v>121</v>
      </c>
      <c r="I1204">
        <v>0.31</v>
      </c>
      <c r="J1204">
        <v>0.76300000000000001</v>
      </c>
      <c r="K1204">
        <v>0.45300000000000001</v>
      </c>
      <c r="L1204">
        <v>107</v>
      </c>
      <c r="M1204">
        <v>8</v>
      </c>
      <c r="N1204">
        <v>6</v>
      </c>
      <c r="O1204">
        <v>0.80500000000000005</v>
      </c>
      <c r="P1204">
        <v>0.443229559</v>
      </c>
      <c r="Q1204">
        <v>0.25</v>
      </c>
    </row>
    <row r="1205" spans="1:17" s="30" customFormat="1" x14ac:dyDescent="0.2">
      <c r="A1205" s="30" t="str">
        <f>IF(C1205&amp;G1205&amp;D1205&lt;&gt;'Funnel setup'!$K$3&amp;'Funnel setup'!$K$4&amp;'Funnel setup'!$K$5,".",IF(A1204=".",1,A1204+1))</f>
        <v>.</v>
      </c>
      <c r="B1205" s="431" t="str">
        <f t="shared" si="18"/>
        <v>Hip Replacement PrimaryCCG of GP PracticeNHS BRACKNELL AND ASCOT CCG (10G)EQ-5D Index</v>
      </c>
      <c r="C1205" t="s">
        <v>248</v>
      </c>
      <c r="D1205" t="s">
        <v>87</v>
      </c>
      <c r="E1205" t="s">
        <v>686</v>
      </c>
      <c r="F1205" t="s">
        <v>687</v>
      </c>
      <c r="G1205" t="s">
        <v>52</v>
      </c>
      <c r="H1205">
        <v>75</v>
      </c>
      <c r="I1205">
        <v>0.44700000000000001</v>
      </c>
      <c r="J1205">
        <v>0.85</v>
      </c>
      <c r="K1205">
        <v>0.40300000000000002</v>
      </c>
      <c r="L1205">
        <v>71</v>
      </c>
      <c r="M1205">
        <v>2</v>
      </c>
      <c r="N1205">
        <v>2</v>
      </c>
      <c r="O1205">
        <v>0.81399999999999995</v>
      </c>
      <c r="P1205">
        <v>0.45239951699999997</v>
      </c>
      <c r="Q1205">
        <v>0.183</v>
      </c>
    </row>
    <row r="1206" spans="1:17" s="30" customFormat="1" x14ac:dyDescent="0.2">
      <c r="A1206" s="30" t="str">
        <f>IF(C1206&amp;G1206&amp;D1206&lt;&gt;'Funnel setup'!$K$3&amp;'Funnel setup'!$K$4&amp;'Funnel setup'!$K$5,".",IF(A1205=".",1,A1205+1))</f>
        <v>.</v>
      </c>
      <c r="B1206" s="431" t="str">
        <f t="shared" si="18"/>
        <v>Hip Replacement PrimaryCCG of GP PracticeNHS BRADFORD CITY CCG (02W)EQ-5D Index</v>
      </c>
      <c r="C1206" t="s">
        <v>248</v>
      </c>
      <c r="D1206" t="s">
        <v>87</v>
      </c>
      <c r="E1206" t="s">
        <v>689</v>
      </c>
      <c r="F1206" t="s">
        <v>690</v>
      </c>
      <c r="G1206" t="s">
        <v>52</v>
      </c>
      <c r="H1206">
        <v>6</v>
      </c>
      <c r="I1206">
        <v>0.21199999999999999</v>
      </c>
      <c r="J1206">
        <v>0.66300000000000003</v>
      </c>
      <c r="K1206">
        <v>0.45100000000000001</v>
      </c>
      <c r="L1206">
        <v>5</v>
      </c>
      <c r="M1206">
        <v>1</v>
      </c>
      <c r="N1206">
        <v>0</v>
      </c>
      <c r="O1206" t="s">
        <v>53</v>
      </c>
      <c r="P1206" t="s">
        <v>53</v>
      </c>
      <c r="Q1206" t="s">
        <v>53</v>
      </c>
    </row>
    <row r="1207" spans="1:17" s="30" customFormat="1" x14ac:dyDescent="0.2">
      <c r="A1207" s="30" t="str">
        <f>IF(C1207&amp;G1207&amp;D1207&lt;&gt;'Funnel setup'!$K$3&amp;'Funnel setup'!$K$4&amp;'Funnel setup'!$K$5,".",IF(A1206=".",1,A1206+1))</f>
        <v>.</v>
      </c>
      <c r="B1207" s="431" t="str">
        <f t="shared" si="18"/>
        <v>Hip Replacement PrimaryCCG of GP PracticeNHS BRADFORD DISTRICTS CCG (02R)EQ-5D Index</v>
      </c>
      <c r="C1207" t="s">
        <v>248</v>
      </c>
      <c r="D1207" t="s">
        <v>87</v>
      </c>
      <c r="E1207" t="s">
        <v>692</v>
      </c>
      <c r="F1207" t="s">
        <v>693</v>
      </c>
      <c r="G1207" t="s">
        <v>52</v>
      </c>
      <c r="H1207">
        <v>137</v>
      </c>
      <c r="I1207">
        <v>0.4</v>
      </c>
      <c r="J1207">
        <v>0.79800000000000004</v>
      </c>
      <c r="K1207">
        <v>0.39800000000000002</v>
      </c>
      <c r="L1207">
        <v>123</v>
      </c>
      <c r="M1207">
        <v>5</v>
      </c>
      <c r="N1207">
        <v>9</v>
      </c>
      <c r="O1207">
        <v>0.82199999999999995</v>
      </c>
      <c r="P1207">
        <v>0.460197837</v>
      </c>
      <c r="Q1207">
        <v>0.20300000000000001</v>
      </c>
    </row>
    <row r="1208" spans="1:17" s="30" customFormat="1" x14ac:dyDescent="0.2">
      <c r="A1208" s="30" t="str">
        <f>IF(C1208&amp;G1208&amp;D1208&lt;&gt;'Funnel setup'!$K$3&amp;'Funnel setup'!$K$4&amp;'Funnel setup'!$K$5,".",IF(A1207=".",1,A1207+1))</f>
        <v>.</v>
      </c>
      <c r="B1208" s="431" t="str">
        <f t="shared" si="18"/>
        <v>Hip Replacement PrimaryCCG of GP PracticeNHS BRENT CCG (07P)EQ-5D Index</v>
      </c>
      <c r="C1208" t="s">
        <v>248</v>
      </c>
      <c r="D1208" t="s">
        <v>87</v>
      </c>
      <c r="E1208" t="s">
        <v>695</v>
      </c>
      <c r="F1208" t="s">
        <v>696</v>
      </c>
      <c r="G1208" t="s">
        <v>52</v>
      </c>
      <c r="H1208">
        <v>47</v>
      </c>
      <c r="I1208">
        <v>0.41599999999999998</v>
      </c>
      <c r="J1208">
        <v>0.754</v>
      </c>
      <c r="K1208">
        <v>0.33800000000000002</v>
      </c>
      <c r="L1208">
        <v>35</v>
      </c>
      <c r="M1208">
        <v>8</v>
      </c>
      <c r="N1208">
        <v>4</v>
      </c>
      <c r="O1208">
        <v>0.77200000000000002</v>
      </c>
      <c r="P1208">
        <v>0.40999063600000002</v>
      </c>
      <c r="Q1208">
        <v>0.21199999999999999</v>
      </c>
    </row>
    <row r="1209" spans="1:17" s="30" customFormat="1" x14ac:dyDescent="0.2">
      <c r="A1209" s="30" t="str">
        <f>IF(C1209&amp;G1209&amp;D1209&lt;&gt;'Funnel setup'!$K$3&amp;'Funnel setup'!$K$4&amp;'Funnel setup'!$K$5,".",IF(A1208=".",1,A1208+1))</f>
        <v>.</v>
      </c>
      <c r="B1209" s="431" t="str">
        <f t="shared" si="18"/>
        <v>Hip Replacement PrimaryCCG of GP PracticeNHS BRIGHTON AND HOVE CCG (09D)EQ-5D Index</v>
      </c>
      <c r="C1209" t="s">
        <v>248</v>
      </c>
      <c r="D1209" t="s">
        <v>87</v>
      </c>
      <c r="E1209" t="s">
        <v>698</v>
      </c>
      <c r="F1209" t="s">
        <v>699</v>
      </c>
      <c r="G1209" t="s">
        <v>52</v>
      </c>
      <c r="H1209">
        <v>144</v>
      </c>
      <c r="I1209">
        <v>0.436</v>
      </c>
      <c r="J1209">
        <v>0.82299999999999995</v>
      </c>
      <c r="K1209">
        <v>0.38700000000000001</v>
      </c>
      <c r="L1209">
        <v>128</v>
      </c>
      <c r="M1209">
        <v>10</v>
      </c>
      <c r="N1209">
        <v>6</v>
      </c>
      <c r="O1209">
        <v>0.80700000000000005</v>
      </c>
      <c r="P1209">
        <v>0.445200969</v>
      </c>
      <c r="Q1209">
        <v>0.20399999999999999</v>
      </c>
    </row>
    <row r="1210" spans="1:17" s="30" customFormat="1" x14ac:dyDescent="0.2">
      <c r="A1210" s="30" t="str">
        <f>IF(C1210&amp;G1210&amp;D1210&lt;&gt;'Funnel setup'!$K$3&amp;'Funnel setup'!$K$4&amp;'Funnel setup'!$K$5,".",IF(A1209=".",1,A1209+1))</f>
        <v>.</v>
      </c>
      <c r="B1210" s="431" t="str">
        <f t="shared" si="18"/>
        <v>Hip Replacement PrimaryCCG of GP PracticeNHS BRISTOL CCG (11H)EQ-5D Index</v>
      </c>
      <c r="C1210" t="s">
        <v>248</v>
      </c>
      <c r="D1210" t="s">
        <v>87</v>
      </c>
      <c r="E1210" t="s">
        <v>701</v>
      </c>
      <c r="F1210" t="s">
        <v>702</v>
      </c>
      <c r="G1210" t="s">
        <v>52</v>
      </c>
      <c r="H1210">
        <v>217</v>
      </c>
      <c r="I1210">
        <v>0.38300000000000001</v>
      </c>
      <c r="J1210">
        <v>0.77300000000000002</v>
      </c>
      <c r="K1210">
        <v>0.39</v>
      </c>
      <c r="L1210">
        <v>189</v>
      </c>
      <c r="M1210">
        <v>14</v>
      </c>
      <c r="N1210">
        <v>14</v>
      </c>
      <c r="O1210">
        <v>0.76800000000000002</v>
      </c>
      <c r="P1210">
        <v>0.40585750599999998</v>
      </c>
      <c r="Q1210">
        <v>0.23200000000000001</v>
      </c>
    </row>
    <row r="1211" spans="1:17" s="30" customFormat="1" x14ac:dyDescent="0.2">
      <c r="A1211" s="30" t="str">
        <f>IF(C1211&amp;G1211&amp;D1211&lt;&gt;'Funnel setup'!$K$3&amp;'Funnel setup'!$K$4&amp;'Funnel setup'!$K$5,".",IF(A1210=".",1,A1210+1))</f>
        <v>.</v>
      </c>
      <c r="B1211" s="431" t="str">
        <f t="shared" si="18"/>
        <v>Hip Replacement PrimaryCCG of GP PracticeNHS BROMLEY CCG (07Q)EQ-5D Index</v>
      </c>
      <c r="C1211" t="s">
        <v>248</v>
      </c>
      <c r="D1211" t="s">
        <v>87</v>
      </c>
      <c r="E1211" t="s">
        <v>704</v>
      </c>
      <c r="F1211" t="s">
        <v>705</v>
      </c>
      <c r="G1211" t="s">
        <v>52</v>
      </c>
      <c r="H1211">
        <v>144</v>
      </c>
      <c r="I1211">
        <v>0.42099999999999999</v>
      </c>
      <c r="J1211">
        <v>0.82899999999999996</v>
      </c>
      <c r="K1211">
        <v>0.40899999999999997</v>
      </c>
      <c r="L1211">
        <v>127</v>
      </c>
      <c r="M1211">
        <v>8</v>
      </c>
      <c r="N1211">
        <v>9</v>
      </c>
      <c r="O1211">
        <v>0.80600000000000005</v>
      </c>
      <c r="P1211">
        <v>0.44426787499999998</v>
      </c>
      <c r="Q1211">
        <v>0.214</v>
      </c>
    </row>
    <row r="1212" spans="1:17" s="30" customFormat="1" x14ac:dyDescent="0.2">
      <c r="A1212" s="30" t="str">
        <f>IF(C1212&amp;G1212&amp;D1212&lt;&gt;'Funnel setup'!$K$3&amp;'Funnel setup'!$K$4&amp;'Funnel setup'!$K$5,".",IF(A1211=".",1,A1211+1))</f>
        <v>.</v>
      </c>
      <c r="B1212" s="431" t="str">
        <f t="shared" si="18"/>
        <v>Hip Replacement PrimaryCCG of GP PracticeNHS BURY CCG (00V)EQ-5D Index</v>
      </c>
      <c r="C1212" t="s">
        <v>248</v>
      </c>
      <c r="D1212" t="s">
        <v>87</v>
      </c>
      <c r="E1212" t="s">
        <v>707</v>
      </c>
      <c r="F1212" t="s">
        <v>708</v>
      </c>
      <c r="G1212" t="s">
        <v>52</v>
      </c>
      <c r="H1212">
        <v>57</v>
      </c>
      <c r="I1212">
        <v>0.26500000000000001</v>
      </c>
      <c r="J1212">
        <v>0.80800000000000005</v>
      </c>
      <c r="K1212">
        <v>0.54300000000000004</v>
      </c>
      <c r="L1212">
        <v>53</v>
      </c>
      <c r="M1212">
        <v>4</v>
      </c>
      <c r="N1212">
        <v>0</v>
      </c>
      <c r="O1212">
        <v>0.82499999999999996</v>
      </c>
      <c r="P1212">
        <v>0.46331539900000002</v>
      </c>
      <c r="Q1212">
        <v>0.19900000000000001</v>
      </c>
    </row>
    <row r="1213" spans="1:17" s="30" customFormat="1" x14ac:dyDescent="0.2">
      <c r="A1213" s="30" t="str">
        <f>IF(C1213&amp;G1213&amp;D1213&lt;&gt;'Funnel setup'!$K$3&amp;'Funnel setup'!$K$4&amp;'Funnel setup'!$K$5,".",IF(A1212=".",1,A1212+1))</f>
        <v>.</v>
      </c>
      <c r="B1213" s="431" t="str">
        <f t="shared" si="18"/>
        <v>Hip Replacement PrimaryCCG of GP PracticeNHS CALDERDALE CCG (02T)EQ-5D Index</v>
      </c>
      <c r="C1213" t="s">
        <v>248</v>
      </c>
      <c r="D1213" t="s">
        <v>87</v>
      </c>
      <c r="E1213" t="s">
        <v>710</v>
      </c>
      <c r="F1213" t="s">
        <v>711</v>
      </c>
      <c r="G1213" t="s">
        <v>52</v>
      </c>
      <c r="H1213">
        <v>147</v>
      </c>
      <c r="I1213">
        <v>0.376</v>
      </c>
      <c r="J1213">
        <v>0.80900000000000005</v>
      </c>
      <c r="K1213">
        <v>0.433</v>
      </c>
      <c r="L1213">
        <v>135</v>
      </c>
      <c r="M1213">
        <v>6</v>
      </c>
      <c r="N1213">
        <v>6</v>
      </c>
      <c r="O1213">
        <v>0.80900000000000005</v>
      </c>
      <c r="P1213">
        <v>0.44694271099999999</v>
      </c>
      <c r="Q1213">
        <v>0.22600000000000001</v>
      </c>
    </row>
    <row r="1214" spans="1:17" s="30" customFormat="1" x14ac:dyDescent="0.2">
      <c r="A1214" s="30" t="str">
        <f>IF(C1214&amp;G1214&amp;D1214&lt;&gt;'Funnel setup'!$K$3&amp;'Funnel setup'!$K$4&amp;'Funnel setup'!$K$5,".",IF(A1213=".",1,A1213+1))</f>
        <v>.</v>
      </c>
      <c r="B1214" s="431" t="str">
        <f t="shared" si="18"/>
        <v>Hip Replacement PrimaryCCG of GP PracticeNHS CAMBRIDGESHIRE AND PETERBOROUGH CCG (06H)EQ-5D Index</v>
      </c>
      <c r="C1214" t="s">
        <v>248</v>
      </c>
      <c r="D1214" t="s">
        <v>87</v>
      </c>
      <c r="E1214" t="s">
        <v>713</v>
      </c>
      <c r="F1214" t="s">
        <v>714</v>
      </c>
      <c r="G1214" t="s">
        <v>52</v>
      </c>
      <c r="H1214">
        <v>590</v>
      </c>
      <c r="I1214">
        <v>0.33800000000000002</v>
      </c>
      <c r="J1214">
        <v>0.80400000000000005</v>
      </c>
      <c r="K1214">
        <v>0.46600000000000003</v>
      </c>
      <c r="L1214">
        <v>543</v>
      </c>
      <c r="M1214">
        <v>20</v>
      </c>
      <c r="N1214">
        <v>27</v>
      </c>
      <c r="O1214">
        <v>0.80500000000000005</v>
      </c>
      <c r="P1214">
        <v>0.44326110299999999</v>
      </c>
      <c r="Q1214">
        <v>0.21099999999999999</v>
      </c>
    </row>
    <row r="1215" spans="1:17" s="30" customFormat="1" x14ac:dyDescent="0.2">
      <c r="A1215" s="30" t="str">
        <f>IF(C1215&amp;G1215&amp;D1215&lt;&gt;'Funnel setup'!$K$3&amp;'Funnel setup'!$K$4&amp;'Funnel setup'!$K$5,".",IF(A1214=".",1,A1214+1))</f>
        <v>.</v>
      </c>
      <c r="B1215" s="431" t="str">
        <f t="shared" si="18"/>
        <v>Hip Replacement PrimaryCCG of GP PracticeNHS CAMDEN CCG (07R)EQ-5D Index</v>
      </c>
      <c r="C1215" t="s">
        <v>248</v>
      </c>
      <c r="D1215" t="s">
        <v>87</v>
      </c>
      <c r="E1215" t="s">
        <v>716</v>
      </c>
      <c r="F1215" t="s">
        <v>717</v>
      </c>
      <c r="G1215" t="s">
        <v>52</v>
      </c>
      <c r="H1215">
        <v>46</v>
      </c>
      <c r="I1215">
        <v>0.374</v>
      </c>
      <c r="J1215">
        <v>0.78100000000000003</v>
      </c>
      <c r="K1215">
        <v>0.40699999999999997</v>
      </c>
      <c r="L1215">
        <v>43</v>
      </c>
      <c r="M1215">
        <v>1</v>
      </c>
      <c r="N1215">
        <v>2</v>
      </c>
      <c r="O1215">
        <v>0.80700000000000005</v>
      </c>
      <c r="P1215">
        <v>0.44531119699999999</v>
      </c>
      <c r="Q1215">
        <v>0.22700000000000001</v>
      </c>
    </row>
    <row r="1216" spans="1:17" s="30" customFormat="1" x14ac:dyDescent="0.2">
      <c r="A1216" s="30" t="str">
        <f>IF(C1216&amp;G1216&amp;D1216&lt;&gt;'Funnel setup'!$K$3&amp;'Funnel setup'!$K$4&amp;'Funnel setup'!$K$5,".",IF(A1215=".",1,A1215+1))</f>
        <v>.</v>
      </c>
      <c r="B1216" s="431" t="str">
        <f t="shared" si="18"/>
        <v>Hip Replacement PrimaryCCG of GP PracticeNHS CANNOCK CHASE CCG (04Y)EQ-5D Index</v>
      </c>
      <c r="C1216" t="s">
        <v>248</v>
      </c>
      <c r="D1216" t="s">
        <v>87</v>
      </c>
      <c r="E1216" t="s">
        <v>719</v>
      </c>
      <c r="F1216" t="s">
        <v>720</v>
      </c>
      <c r="G1216" t="s">
        <v>52</v>
      </c>
      <c r="H1216">
        <v>139</v>
      </c>
      <c r="I1216">
        <v>0.31</v>
      </c>
      <c r="J1216">
        <v>0.71099999999999997</v>
      </c>
      <c r="K1216">
        <v>0.40100000000000002</v>
      </c>
      <c r="L1216">
        <v>112</v>
      </c>
      <c r="M1216">
        <v>18</v>
      </c>
      <c r="N1216">
        <v>9</v>
      </c>
      <c r="O1216">
        <v>0.72699999999999998</v>
      </c>
      <c r="P1216">
        <v>0.36499282900000002</v>
      </c>
      <c r="Q1216">
        <v>0.26100000000000001</v>
      </c>
    </row>
    <row r="1217" spans="1:17" s="30" customFormat="1" x14ac:dyDescent="0.2">
      <c r="A1217" s="30" t="str">
        <f>IF(C1217&amp;G1217&amp;D1217&lt;&gt;'Funnel setup'!$K$3&amp;'Funnel setup'!$K$4&amp;'Funnel setup'!$K$5,".",IF(A1216=".",1,A1216+1))</f>
        <v>.</v>
      </c>
      <c r="B1217" s="431" t="str">
        <f t="shared" si="18"/>
        <v>Hip Replacement PrimaryCCG of GP PracticeNHS CANTERBURY AND COASTAL CCG (09E)EQ-5D Index</v>
      </c>
      <c r="C1217" t="s">
        <v>248</v>
      </c>
      <c r="D1217" t="s">
        <v>87</v>
      </c>
      <c r="E1217" t="s">
        <v>722</v>
      </c>
      <c r="F1217" t="s">
        <v>723</v>
      </c>
      <c r="G1217" t="s">
        <v>52</v>
      </c>
      <c r="H1217">
        <v>131</v>
      </c>
      <c r="I1217">
        <v>0.38300000000000001</v>
      </c>
      <c r="J1217">
        <v>0.83799999999999997</v>
      </c>
      <c r="K1217">
        <v>0.45500000000000002</v>
      </c>
      <c r="L1217">
        <v>117</v>
      </c>
      <c r="M1217">
        <v>10</v>
      </c>
      <c r="N1217">
        <v>4</v>
      </c>
      <c r="O1217">
        <v>0.82299999999999995</v>
      </c>
      <c r="P1217">
        <v>0.46161597700000001</v>
      </c>
      <c r="Q1217">
        <v>0.187</v>
      </c>
    </row>
    <row r="1218" spans="1:17" s="30" customFormat="1" x14ac:dyDescent="0.2">
      <c r="A1218" s="30" t="str">
        <f>IF(C1218&amp;G1218&amp;D1218&lt;&gt;'Funnel setup'!$K$3&amp;'Funnel setup'!$K$4&amp;'Funnel setup'!$K$5,".",IF(A1217=".",1,A1217+1))</f>
        <v>.</v>
      </c>
      <c r="B1218" s="431" t="str">
        <f t="shared" si="18"/>
        <v>Hip Replacement PrimaryCCG of GP PracticeNHS CASTLE POINT AND ROCHFORD CCG (99F)EQ-5D Index</v>
      </c>
      <c r="C1218" t="s">
        <v>248</v>
      </c>
      <c r="D1218" t="s">
        <v>87</v>
      </c>
      <c r="E1218" t="s">
        <v>725</v>
      </c>
      <c r="F1218" t="s">
        <v>726</v>
      </c>
      <c r="G1218" t="s">
        <v>52</v>
      </c>
      <c r="H1218">
        <v>143</v>
      </c>
      <c r="I1218">
        <v>0.309</v>
      </c>
      <c r="J1218">
        <v>0.76</v>
      </c>
      <c r="K1218">
        <v>0.45100000000000001</v>
      </c>
      <c r="L1218">
        <v>128</v>
      </c>
      <c r="M1218">
        <v>6</v>
      </c>
      <c r="N1218">
        <v>9</v>
      </c>
      <c r="O1218">
        <v>0.77</v>
      </c>
      <c r="P1218">
        <v>0.40787902100000001</v>
      </c>
      <c r="Q1218">
        <v>0.22900000000000001</v>
      </c>
    </row>
    <row r="1219" spans="1:17" s="30" customFormat="1" x14ac:dyDescent="0.2">
      <c r="A1219" s="30" t="str">
        <f>IF(C1219&amp;G1219&amp;D1219&lt;&gt;'Funnel setup'!$K$3&amp;'Funnel setup'!$K$4&amp;'Funnel setup'!$K$5,".",IF(A1218=".",1,A1218+1))</f>
        <v>.</v>
      </c>
      <c r="B1219" s="431" t="str">
        <f t="shared" ref="B1219:B1282" si="19">C1219&amp;D1219&amp;F1219&amp;G1219</f>
        <v>Hip Replacement PrimaryCCG of GP PracticeNHS CENTRAL LONDON (WESTMINSTER) CCG (09A)EQ-5D Index</v>
      </c>
      <c r="C1219" t="s">
        <v>248</v>
      </c>
      <c r="D1219" t="s">
        <v>87</v>
      </c>
      <c r="E1219" t="s">
        <v>728</v>
      </c>
      <c r="F1219" t="s">
        <v>729</v>
      </c>
      <c r="G1219" t="s">
        <v>52</v>
      </c>
      <c r="H1219">
        <v>20</v>
      </c>
      <c r="I1219">
        <v>0.34499999999999997</v>
      </c>
      <c r="J1219">
        <v>0.71299999999999997</v>
      </c>
      <c r="K1219">
        <v>0.36799999999999999</v>
      </c>
      <c r="L1219">
        <v>17</v>
      </c>
      <c r="M1219">
        <v>2</v>
      </c>
      <c r="N1219">
        <v>1</v>
      </c>
      <c r="O1219" t="s">
        <v>53</v>
      </c>
      <c r="P1219" t="s">
        <v>53</v>
      </c>
      <c r="Q1219" t="s">
        <v>53</v>
      </c>
    </row>
    <row r="1220" spans="1:17" s="30" customFormat="1" x14ac:dyDescent="0.2">
      <c r="A1220" s="30" t="str">
        <f>IF(C1220&amp;G1220&amp;D1220&lt;&gt;'Funnel setup'!$K$3&amp;'Funnel setup'!$K$4&amp;'Funnel setup'!$K$5,".",IF(A1219=".",1,A1219+1))</f>
        <v>.</v>
      </c>
      <c r="B1220" s="431" t="str">
        <f t="shared" si="19"/>
        <v>Hip Replacement PrimaryCCG of GP PracticeNHS CENTRAL MANCHESTER CCG (00W)EQ-5D Index</v>
      </c>
      <c r="C1220" t="s">
        <v>248</v>
      </c>
      <c r="D1220" t="s">
        <v>87</v>
      </c>
      <c r="E1220" t="s">
        <v>731</v>
      </c>
      <c r="F1220" t="s">
        <v>732</v>
      </c>
      <c r="G1220" t="s">
        <v>52</v>
      </c>
      <c r="H1220">
        <v>15</v>
      </c>
      <c r="I1220">
        <v>0.40600000000000003</v>
      </c>
      <c r="J1220">
        <v>0.70399999999999996</v>
      </c>
      <c r="K1220">
        <v>0.29799999999999999</v>
      </c>
      <c r="L1220">
        <v>11</v>
      </c>
      <c r="M1220">
        <v>2</v>
      </c>
      <c r="N1220">
        <v>2</v>
      </c>
      <c r="O1220" t="s">
        <v>53</v>
      </c>
      <c r="P1220" t="s">
        <v>53</v>
      </c>
      <c r="Q1220" t="s">
        <v>53</v>
      </c>
    </row>
    <row r="1221" spans="1:17" s="30" customFormat="1" x14ac:dyDescent="0.2">
      <c r="A1221" s="30" t="str">
        <f>IF(C1221&amp;G1221&amp;D1221&lt;&gt;'Funnel setup'!$K$3&amp;'Funnel setup'!$K$4&amp;'Funnel setup'!$K$5,".",IF(A1220=".",1,A1220+1))</f>
        <v>.</v>
      </c>
      <c r="B1221" s="431" t="str">
        <f t="shared" si="19"/>
        <v>Hip Replacement PrimaryCCG of GP PracticeNHS CHILTERN CCG (10H)EQ-5D Index</v>
      </c>
      <c r="C1221" t="s">
        <v>248</v>
      </c>
      <c r="D1221" t="s">
        <v>87</v>
      </c>
      <c r="E1221" t="s">
        <v>734</v>
      </c>
      <c r="F1221" t="s">
        <v>735</v>
      </c>
      <c r="G1221" t="s">
        <v>52</v>
      </c>
      <c r="H1221">
        <v>202</v>
      </c>
      <c r="I1221">
        <v>0.41499999999999998</v>
      </c>
      <c r="J1221">
        <v>0.81100000000000005</v>
      </c>
      <c r="K1221">
        <v>0.39600000000000002</v>
      </c>
      <c r="L1221">
        <v>175</v>
      </c>
      <c r="M1221">
        <v>15</v>
      </c>
      <c r="N1221">
        <v>12</v>
      </c>
      <c r="O1221">
        <v>0.79200000000000004</v>
      </c>
      <c r="P1221">
        <v>0.430265693</v>
      </c>
      <c r="Q1221">
        <v>0.22</v>
      </c>
    </row>
    <row r="1222" spans="1:17" s="30" customFormat="1" x14ac:dyDescent="0.2">
      <c r="A1222" s="30" t="str">
        <f>IF(C1222&amp;G1222&amp;D1222&lt;&gt;'Funnel setup'!$K$3&amp;'Funnel setup'!$K$4&amp;'Funnel setup'!$K$5,".",IF(A1221=".",1,A1221+1))</f>
        <v>.</v>
      </c>
      <c r="B1222" s="431" t="str">
        <f t="shared" si="19"/>
        <v>Hip Replacement PrimaryCCG of GP PracticeNHS CHORLEY AND SOUTH RIBBLE CCG (00X)EQ-5D Index</v>
      </c>
      <c r="C1222" t="s">
        <v>248</v>
      </c>
      <c r="D1222" t="s">
        <v>87</v>
      </c>
      <c r="E1222" t="s">
        <v>737</v>
      </c>
      <c r="F1222" t="s">
        <v>738</v>
      </c>
      <c r="G1222" t="s">
        <v>52</v>
      </c>
      <c r="H1222">
        <v>167</v>
      </c>
      <c r="I1222">
        <v>0.34399999999999997</v>
      </c>
      <c r="J1222">
        <v>0.80700000000000005</v>
      </c>
      <c r="K1222">
        <v>0.46200000000000002</v>
      </c>
      <c r="L1222">
        <v>149</v>
      </c>
      <c r="M1222">
        <v>12</v>
      </c>
      <c r="N1222">
        <v>6</v>
      </c>
      <c r="O1222">
        <v>0.81499999999999995</v>
      </c>
      <c r="P1222">
        <v>0.452948662</v>
      </c>
      <c r="Q1222">
        <v>0.24299999999999999</v>
      </c>
    </row>
    <row r="1223" spans="1:17" s="30" customFormat="1" x14ac:dyDescent="0.2">
      <c r="A1223" s="30" t="str">
        <f>IF(C1223&amp;G1223&amp;D1223&lt;&gt;'Funnel setup'!$K$3&amp;'Funnel setup'!$K$4&amp;'Funnel setup'!$K$5,".",IF(A1222=".",1,A1222+1))</f>
        <v>.</v>
      </c>
      <c r="B1223" s="431" t="str">
        <f t="shared" si="19"/>
        <v>Hip Replacement PrimaryCCG of GP PracticeNHS CITY AND HACKNEY CCG (07T)EQ-5D Index</v>
      </c>
      <c r="C1223" t="s">
        <v>248</v>
      </c>
      <c r="D1223" t="s">
        <v>87</v>
      </c>
      <c r="E1223" t="s">
        <v>740</v>
      </c>
      <c r="F1223" t="s">
        <v>741</v>
      </c>
      <c r="G1223" t="s">
        <v>52</v>
      </c>
      <c r="H1223">
        <v>36</v>
      </c>
      <c r="I1223">
        <v>0.24099999999999999</v>
      </c>
      <c r="J1223">
        <v>0.70399999999999996</v>
      </c>
      <c r="K1223">
        <v>0.46300000000000002</v>
      </c>
      <c r="L1223">
        <v>31</v>
      </c>
      <c r="M1223">
        <v>1</v>
      </c>
      <c r="N1223">
        <v>4</v>
      </c>
      <c r="O1223">
        <v>0.81499999999999995</v>
      </c>
      <c r="P1223">
        <v>0.45336996899999998</v>
      </c>
      <c r="Q1223">
        <v>0.308</v>
      </c>
    </row>
    <row r="1224" spans="1:17" s="30" customFormat="1" x14ac:dyDescent="0.2">
      <c r="A1224" s="30" t="str">
        <f>IF(C1224&amp;G1224&amp;D1224&lt;&gt;'Funnel setup'!$K$3&amp;'Funnel setup'!$K$4&amp;'Funnel setup'!$K$5,".",IF(A1223=".",1,A1223+1))</f>
        <v>.</v>
      </c>
      <c r="B1224" s="431" t="str">
        <f t="shared" si="19"/>
        <v>Hip Replacement PrimaryCCG of GP PracticeNHS COASTAL WEST SUSSEX CCG (09G)EQ-5D Index</v>
      </c>
      <c r="C1224" t="s">
        <v>248</v>
      </c>
      <c r="D1224" t="s">
        <v>87</v>
      </c>
      <c r="E1224" t="s">
        <v>743</v>
      </c>
      <c r="F1224" t="s">
        <v>744</v>
      </c>
      <c r="G1224" t="s">
        <v>52</v>
      </c>
      <c r="H1224">
        <v>513</v>
      </c>
      <c r="I1224">
        <v>0.38300000000000001</v>
      </c>
      <c r="J1224">
        <v>0.81</v>
      </c>
      <c r="K1224">
        <v>0.42799999999999999</v>
      </c>
      <c r="L1224">
        <v>458</v>
      </c>
      <c r="M1224">
        <v>33</v>
      </c>
      <c r="N1224">
        <v>22</v>
      </c>
      <c r="O1224">
        <v>0.8</v>
      </c>
      <c r="P1224">
        <v>0.43819812299999999</v>
      </c>
      <c r="Q1224">
        <v>0.20300000000000001</v>
      </c>
    </row>
    <row r="1225" spans="1:17" s="30" customFormat="1" x14ac:dyDescent="0.2">
      <c r="A1225" s="30" t="str">
        <f>IF(C1225&amp;G1225&amp;D1225&lt;&gt;'Funnel setup'!$K$3&amp;'Funnel setup'!$K$4&amp;'Funnel setup'!$K$5,".",IF(A1224=".",1,A1224+1))</f>
        <v>.</v>
      </c>
      <c r="B1225" s="431" t="str">
        <f t="shared" si="19"/>
        <v>Hip Replacement PrimaryCCG of GP PracticeNHS CORBY CCG (03V)EQ-5D Index</v>
      </c>
      <c r="C1225" t="s">
        <v>248</v>
      </c>
      <c r="D1225" t="s">
        <v>87</v>
      </c>
      <c r="E1225" t="s">
        <v>746</v>
      </c>
      <c r="F1225" t="s">
        <v>747</v>
      </c>
      <c r="G1225" t="s">
        <v>52</v>
      </c>
      <c r="H1225">
        <v>29</v>
      </c>
      <c r="I1225">
        <v>0.22900000000000001</v>
      </c>
      <c r="J1225">
        <v>0.68300000000000005</v>
      </c>
      <c r="K1225">
        <v>0.45400000000000001</v>
      </c>
      <c r="L1225">
        <v>24</v>
      </c>
      <c r="M1225">
        <v>3</v>
      </c>
      <c r="N1225">
        <v>2</v>
      </c>
      <c r="O1225" t="s">
        <v>53</v>
      </c>
      <c r="P1225" t="s">
        <v>53</v>
      </c>
      <c r="Q1225" t="s">
        <v>53</v>
      </c>
    </row>
    <row r="1226" spans="1:17" s="30" customFormat="1" x14ac:dyDescent="0.2">
      <c r="A1226" s="30" t="str">
        <f>IF(C1226&amp;G1226&amp;D1226&lt;&gt;'Funnel setup'!$K$3&amp;'Funnel setup'!$K$4&amp;'Funnel setup'!$K$5,".",IF(A1225=".",1,A1225+1))</f>
        <v>.</v>
      </c>
      <c r="B1226" s="431" t="str">
        <f t="shared" si="19"/>
        <v>Hip Replacement PrimaryCCG of GP PracticeNHS COVENTRY AND RUGBY CCG (05A)EQ-5D Index</v>
      </c>
      <c r="C1226" t="s">
        <v>248</v>
      </c>
      <c r="D1226" t="s">
        <v>87</v>
      </c>
      <c r="E1226" t="s">
        <v>749</v>
      </c>
      <c r="F1226" t="s">
        <v>750</v>
      </c>
      <c r="G1226" t="s">
        <v>52</v>
      </c>
      <c r="H1226">
        <v>240</v>
      </c>
      <c r="I1226">
        <v>0.377</v>
      </c>
      <c r="J1226">
        <v>0.82499999999999996</v>
      </c>
      <c r="K1226">
        <v>0.44900000000000001</v>
      </c>
      <c r="L1226">
        <v>223</v>
      </c>
      <c r="M1226">
        <v>9</v>
      </c>
      <c r="N1226">
        <v>8</v>
      </c>
      <c r="O1226">
        <v>0.81799999999999995</v>
      </c>
      <c r="P1226">
        <v>0.45585782499999999</v>
      </c>
      <c r="Q1226">
        <v>0.19800000000000001</v>
      </c>
    </row>
    <row r="1227" spans="1:17" s="30" customFormat="1" x14ac:dyDescent="0.2">
      <c r="A1227" s="30" t="str">
        <f>IF(C1227&amp;G1227&amp;D1227&lt;&gt;'Funnel setup'!$K$3&amp;'Funnel setup'!$K$4&amp;'Funnel setup'!$K$5,".",IF(A1226=".",1,A1226+1))</f>
        <v>.</v>
      </c>
      <c r="B1227" s="431" t="str">
        <f t="shared" si="19"/>
        <v>Hip Replacement PrimaryCCG of GP PracticeNHS CRAWLEY CCG (09H)EQ-5D Index</v>
      </c>
      <c r="C1227" t="s">
        <v>248</v>
      </c>
      <c r="D1227" t="s">
        <v>87</v>
      </c>
      <c r="E1227" t="s">
        <v>752</v>
      </c>
      <c r="F1227" t="s">
        <v>753</v>
      </c>
      <c r="G1227" t="s">
        <v>52</v>
      </c>
      <c r="H1227">
        <v>53</v>
      </c>
      <c r="I1227">
        <v>0.497</v>
      </c>
      <c r="J1227">
        <v>0.80900000000000005</v>
      </c>
      <c r="K1227">
        <v>0.313</v>
      </c>
      <c r="L1227">
        <v>47</v>
      </c>
      <c r="M1227">
        <v>2</v>
      </c>
      <c r="N1227">
        <v>4</v>
      </c>
      <c r="O1227">
        <v>0.77800000000000002</v>
      </c>
      <c r="P1227">
        <v>0.41680392300000002</v>
      </c>
      <c r="Q1227">
        <v>0.216</v>
      </c>
    </row>
    <row r="1228" spans="1:17" s="30" customFormat="1" x14ac:dyDescent="0.2">
      <c r="A1228" s="30" t="str">
        <f>IF(C1228&amp;G1228&amp;D1228&lt;&gt;'Funnel setup'!$K$3&amp;'Funnel setup'!$K$4&amp;'Funnel setup'!$K$5,".",IF(A1227=".",1,A1227+1))</f>
        <v>.</v>
      </c>
      <c r="B1228" s="431" t="str">
        <f t="shared" si="19"/>
        <v>Hip Replacement PrimaryCCG of GP PracticeNHS CROYDON CCG (07V)EQ-5D Index</v>
      </c>
      <c r="C1228" t="s">
        <v>248</v>
      </c>
      <c r="D1228" t="s">
        <v>87</v>
      </c>
      <c r="E1228" t="s">
        <v>755</v>
      </c>
      <c r="F1228" t="s">
        <v>756</v>
      </c>
      <c r="G1228" t="s">
        <v>52</v>
      </c>
      <c r="H1228">
        <v>118</v>
      </c>
      <c r="I1228">
        <v>0.40899999999999997</v>
      </c>
      <c r="J1228">
        <v>0.77900000000000003</v>
      </c>
      <c r="K1228">
        <v>0.371</v>
      </c>
      <c r="L1228">
        <v>105</v>
      </c>
      <c r="M1228">
        <v>5</v>
      </c>
      <c r="N1228">
        <v>8</v>
      </c>
      <c r="O1228">
        <v>0.77100000000000002</v>
      </c>
      <c r="P1228">
        <v>0.40927870999999999</v>
      </c>
      <c r="Q1228">
        <v>0.21099999999999999</v>
      </c>
    </row>
    <row r="1229" spans="1:17" s="30" customFormat="1" x14ac:dyDescent="0.2">
      <c r="A1229" s="30" t="str">
        <f>IF(C1229&amp;G1229&amp;D1229&lt;&gt;'Funnel setup'!$K$3&amp;'Funnel setup'!$K$4&amp;'Funnel setup'!$K$5,".",IF(A1228=".",1,A1228+1))</f>
        <v>.</v>
      </c>
      <c r="B1229" s="431" t="str">
        <f t="shared" si="19"/>
        <v>Hip Replacement PrimaryCCG of GP PracticeNHS CUMBRIA CCG (01H)EQ-5D Index</v>
      </c>
      <c r="C1229" t="s">
        <v>248</v>
      </c>
      <c r="D1229" t="s">
        <v>87</v>
      </c>
      <c r="E1229" t="s">
        <v>758</v>
      </c>
      <c r="F1229" t="s">
        <v>759</v>
      </c>
      <c r="G1229" t="s">
        <v>52</v>
      </c>
      <c r="H1229">
        <v>522</v>
      </c>
      <c r="I1229">
        <v>0.38900000000000001</v>
      </c>
      <c r="J1229">
        <v>0.80600000000000005</v>
      </c>
      <c r="K1229">
        <v>0.41799999999999998</v>
      </c>
      <c r="L1229">
        <v>471</v>
      </c>
      <c r="M1229">
        <v>30</v>
      </c>
      <c r="N1229">
        <v>21</v>
      </c>
      <c r="O1229">
        <v>0.8</v>
      </c>
      <c r="P1229">
        <v>0.43864456000000002</v>
      </c>
      <c r="Q1229">
        <v>0.20799999999999999</v>
      </c>
    </row>
    <row r="1230" spans="1:17" s="30" customFormat="1" x14ac:dyDescent="0.2">
      <c r="A1230" s="30" t="str">
        <f>IF(C1230&amp;G1230&amp;D1230&lt;&gt;'Funnel setup'!$K$3&amp;'Funnel setup'!$K$4&amp;'Funnel setup'!$K$5,".",IF(A1229=".",1,A1229+1))</f>
        <v>.</v>
      </c>
      <c r="B1230" s="431" t="str">
        <f t="shared" si="19"/>
        <v>Hip Replacement PrimaryCCG of GP PracticeNHS DARLINGTON CCG (00C)EQ-5D Index</v>
      </c>
      <c r="C1230" t="s">
        <v>248</v>
      </c>
      <c r="D1230" t="s">
        <v>87</v>
      </c>
      <c r="E1230" t="s">
        <v>761</v>
      </c>
      <c r="F1230" t="s">
        <v>762</v>
      </c>
      <c r="G1230" t="s">
        <v>52</v>
      </c>
      <c r="H1230">
        <v>70</v>
      </c>
      <c r="I1230">
        <v>0.36299999999999999</v>
      </c>
      <c r="J1230">
        <v>0.79400000000000004</v>
      </c>
      <c r="K1230">
        <v>0.43099999999999999</v>
      </c>
      <c r="L1230">
        <v>62</v>
      </c>
      <c r="M1230">
        <v>3</v>
      </c>
      <c r="N1230">
        <v>5</v>
      </c>
      <c r="O1230">
        <v>0.78900000000000003</v>
      </c>
      <c r="P1230">
        <v>0.42716939599999998</v>
      </c>
      <c r="Q1230">
        <v>0.216</v>
      </c>
    </row>
    <row r="1231" spans="1:17" s="30" customFormat="1" x14ac:dyDescent="0.2">
      <c r="A1231" s="30" t="str">
        <f>IF(C1231&amp;G1231&amp;D1231&lt;&gt;'Funnel setup'!$K$3&amp;'Funnel setup'!$K$4&amp;'Funnel setup'!$K$5,".",IF(A1230=".",1,A1230+1))</f>
        <v>.</v>
      </c>
      <c r="B1231" s="431" t="str">
        <f t="shared" si="19"/>
        <v>Hip Replacement PrimaryCCG of GP PracticeNHS DARTFORD, GRAVESHAM AND SWANLEY CCG (09J)EQ-5D Index</v>
      </c>
      <c r="C1231" t="s">
        <v>248</v>
      </c>
      <c r="D1231" t="s">
        <v>87</v>
      </c>
      <c r="E1231" t="s">
        <v>764</v>
      </c>
      <c r="F1231" t="s">
        <v>765</v>
      </c>
      <c r="G1231" t="s">
        <v>52</v>
      </c>
      <c r="H1231">
        <v>124</v>
      </c>
      <c r="I1231">
        <v>0.39900000000000002</v>
      </c>
      <c r="J1231">
        <v>0.82699999999999996</v>
      </c>
      <c r="K1231">
        <v>0.42799999999999999</v>
      </c>
      <c r="L1231">
        <v>107</v>
      </c>
      <c r="M1231">
        <v>7</v>
      </c>
      <c r="N1231">
        <v>10</v>
      </c>
      <c r="O1231">
        <v>0.81899999999999995</v>
      </c>
      <c r="P1231">
        <v>0.45745282300000001</v>
      </c>
      <c r="Q1231">
        <v>0.215</v>
      </c>
    </row>
    <row r="1232" spans="1:17" s="30" customFormat="1" x14ac:dyDescent="0.2">
      <c r="A1232" s="30" t="str">
        <f>IF(C1232&amp;G1232&amp;D1232&lt;&gt;'Funnel setup'!$K$3&amp;'Funnel setup'!$K$4&amp;'Funnel setup'!$K$5,".",IF(A1231=".",1,A1231+1))</f>
        <v>.</v>
      </c>
      <c r="B1232" s="431" t="str">
        <f t="shared" si="19"/>
        <v>Hip Replacement PrimaryCCG of GP PracticeNHS DONCASTER CCG (02X)EQ-5D Index</v>
      </c>
      <c r="C1232" t="s">
        <v>248</v>
      </c>
      <c r="D1232" t="s">
        <v>87</v>
      </c>
      <c r="E1232" t="s">
        <v>767</v>
      </c>
      <c r="F1232" t="s">
        <v>768</v>
      </c>
      <c r="G1232" t="s">
        <v>52</v>
      </c>
      <c r="H1232">
        <v>199</v>
      </c>
      <c r="I1232">
        <v>0.30199999999999999</v>
      </c>
      <c r="J1232">
        <v>0.747</v>
      </c>
      <c r="K1232">
        <v>0.44500000000000001</v>
      </c>
      <c r="L1232">
        <v>173</v>
      </c>
      <c r="M1232">
        <v>14</v>
      </c>
      <c r="N1232">
        <v>12</v>
      </c>
      <c r="O1232">
        <v>0.78200000000000003</v>
      </c>
      <c r="P1232">
        <v>0.42018454199999999</v>
      </c>
      <c r="Q1232">
        <v>0.246</v>
      </c>
    </row>
    <row r="1233" spans="1:17" s="30" customFormat="1" x14ac:dyDescent="0.2">
      <c r="A1233" s="30" t="str">
        <f>IF(C1233&amp;G1233&amp;D1233&lt;&gt;'Funnel setup'!$K$3&amp;'Funnel setup'!$K$4&amp;'Funnel setup'!$K$5,".",IF(A1232=".",1,A1232+1))</f>
        <v>.</v>
      </c>
      <c r="B1233" s="431" t="str">
        <f t="shared" si="19"/>
        <v>Hip Replacement PrimaryCCG of GP PracticeNHS DORSET CCG (11J)EQ-5D Index</v>
      </c>
      <c r="C1233" t="s">
        <v>248</v>
      </c>
      <c r="D1233" t="s">
        <v>87</v>
      </c>
      <c r="E1233" t="s">
        <v>854</v>
      </c>
      <c r="F1233" t="s">
        <v>855</v>
      </c>
      <c r="G1233" t="s">
        <v>52</v>
      </c>
      <c r="H1233">
        <v>672</v>
      </c>
      <c r="I1233">
        <v>0.376</v>
      </c>
      <c r="J1233">
        <v>0.82099999999999995</v>
      </c>
      <c r="K1233">
        <v>0.44500000000000001</v>
      </c>
      <c r="L1233">
        <v>603</v>
      </c>
      <c r="M1233">
        <v>39</v>
      </c>
      <c r="N1233">
        <v>30</v>
      </c>
      <c r="O1233">
        <v>0.81799999999999995</v>
      </c>
      <c r="P1233">
        <v>0.45630360399999997</v>
      </c>
      <c r="Q1233">
        <v>0.2</v>
      </c>
    </row>
    <row r="1234" spans="1:17" s="30" customFormat="1" x14ac:dyDescent="0.2">
      <c r="A1234" s="30" t="str">
        <f>IF(C1234&amp;G1234&amp;D1234&lt;&gt;'Funnel setup'!$K$3&amp;'Funnel setup'!$K$4&amp;'Funnel setup'!$K$5,".",IF(A1233=".",1,A1233+1))</f>
        <v>.</v>
      </c>
      <c r="B1234" s="431" t="str">
        <f t="shared" si="19"/>
        <v>Hip Replacement PrimaryCCG of GP PracticeNHS DUDLEY CCG (05C)EQ-5D Index</v>
      </c>
      <c r="C1234" t="s">
        <v>248</v>
      </c>
      <c r="D1234" t="s">
        <v>87</v>
      </c>
      <c r="E1234" t="s">
        <v>857</v>
      </c>
      <c r="F1234" t="s">
        <v>858</v>
      </c>
      <c r="G1234" t="s">
        <v>52</v>
      </c>
      <c r="H1234">
        <v>297</v>
      </c>
      <c r="I1234">
        <v>0.36199999999999999</v>
      </c>
      <c r="J1234">
        <v>0.79400000000000004</v>
      </c>
      <c r="K1234">
        <v>0.432</v>
      </c>
      <c r="L1234">
        <v>270</v>
      </c>
      <c r="M1234">
        <v>11</v>
      </c>
      <c r="N1234">
        <v>16</v>
      </c>
      <c r="O1234">
        <v>0.80200000000000005</v>
      </c>
      <c r="P1234">
        <v>0.44054760100000001</v>
      </c>
      <c r="Q1234">
        <v>0.223</v>
      </c>
    </row>
    <row r="1235" spans="1:17" s="30" customFormat="1" x14ac:dyDescent="0.2">
      <c r="A1235" s="30" t="str">
        <f>IF(C1235&amp;G1235&amp;D1235&lt;&gt;'Funnel setup'!$K$3&amp;'Funnel setup'!$K$4&amp;'Funnel setup'!$K$5,".",IF(A1234=".",1,A1234+1))</f>
        <v>.</v>
      </c>
      <c r="B1235" s="431" t="str">
        <f t="shared" si="19"/>
        <v>Hip Replacement PrimaryCCG of GP PracticeNHS DURHAM DALES, EASINGTON AND SEDGEFIELD CCG (00D)EQ-5D Index</v>
      </c>
      <c r="C1235" t="s">
        <v>248</v>
      </c>
      <c r="D1235" t="s">
        <v>87</v>
      </c>
      <c r="E1235" t="s">
        <v>860</v>
      </c>
      <c r="F1235" t="s">
        <v>861</v>
      </c>
      <c r="G1235" t="s">
        <v>52</v>
      </c>
      <c r="H1235">
        <v>184</v>
      </c>
      <c r="I1235">
        <v>0.28399999999999997</v>
      </c>
      <c r="J1235">
        <v>0.75700000000000001</v>
      </c>
      <c r="K1235">
        <v>0.47299999999999998</v>
      </c>
      <c r="L1235">
        <v>163</v>
      </c>
      <c r="M1235">
        <v>11</v>
      </c>
      <c r="N1235">
        <v>10</v>
      </c>
      <c r="O1235">
        <v>0.79600000000000004</v>
      </c>
      <c r="P1235">
        <v>0.43439259200000002</v>
      </c>
      <c r="Q1235">
        <v>0.223</v>
      </c>
    </row>
    <row r="1236" spans="1:17" s="30" customFormat="1" x14ac:dyDescent="0.2">
      <c r="A1236" s="30" t="str">
        <f>IF(C1236&amp;G1236&amp;D1236&lt;&gt;'Funnel setup'!$K$3&amp;'Funnel setup'!$K$4&amp;'Funnel setup'!$K$5,".",IF(A1235=".",1,A1235+1))</f>
        <v>.</v>
      </c>
      <c r="B1236" s="431" t="str">
        <f t="shared" si="19"/>
        <v>Hip Replacement PrimaryCCG of GP PracticeNHS EALING CCG (07W)EQ-5D Index</v>
      </c>
      <c r="C1236" t="s">
        <v>248</v>
      </c>
      <c r="D1236" t="s">
        <v>87</v>
      </c>
      <c r="E1236" t="s">
        <v>863</v>
      </c>
      <c r="F1236" t="s">
        <v>864</v>
      </c>
      <c r="G1236" t="s">
        <v>52</v>
      </c>
      <c r="H1236">
        <v>63</v>
      </c>
      <c r="I1236">
        <v>0.20599999999999999</v>
      </c>
      <c r="J1236">
        <v>0.74399999999999999</v>
      </c>
      <c r="K1236">
        <v>0.53800000000000003</v>
      </c>
      <c r="L1236">
        <v>61</v>
      </c>
      <c r="M1236">
        <v>2</v>
      </c>
      <c r="N1236">
        <v>0</v>
      </c>
      <c r="O1236">
        <v>0.79700000000000004</v>
      </c>
      <c r="P1236">
        <v>0.435736548</v>
      </c>
      <c r="Q1236">
        <v>0.20300000000000001</v>
      </c>
    </row>
    <row r="1237" spans="1:17" s="30" customFormat="1" x14ac:dyDescent="0.2">
      <c r="A1237" s="30" t="str">
        <f>IF(C1237&amp;G1237&amp;D1237&lt;&gt;'Funnel setup'!$K$3&amp;'Funnel setup'!$K$4&amp;'Funnel setup'!$K$5,".",IF(A1236=".",1,A1236+1))</f>
        <v>.</v>
      </c>
      <c r="B1237" s="431" t="str">
        <f t="shared" si="19"/>
        <v>Hip Replacement PrimaryCCG of GP PracticeNHS EAST AND NORTH HERTFORDSHIRE CCG (06K)EQ-5D Index</v>
      </c>
      <c r="C1237" t="s">
        <v>248</v>
      </c>
      <c r="D1237" t="s">
        <v>87</v>
      </c>
      <c r="E1237" t="s">
        <v>866</v>
      </c>
      <c r="F1237" t="s">
        <v>867</v>
      </c>
      <c r="G1237" t="s">
        <v>52</v>
      </c>
      <c r="H1237">
        <v>354</v>
      </c>
      <c r="I1237">
        <v>0.33900000000000002</v>
      </c>
      <c r="J1237">
        <v>0.81</v>
      </c>
      <c r="K1237">
        <v>0.47099999999999997</v>
      </c>
      <c r="L1237">
        <v>327</v>
      </c>
      <c r="M1237">
        <v>14</v>
      </c>
      <c r="N1237">
        <v>13</v>
      </c>
      <c r="O1237">
        <v>0.80200000000000005</v>
      </c>
      <c r="P1237">
        <v>0.440534912</v>
      </c>
      <c r="Q1237">
        <v>0.21199999999999999</v>
      </c>
    </row>
    <row r="1238" spans="1:17" s="30" customFormat="1" x14ac:dyDescent="0.2">
      <c r="A1238" s="30" t="str">
        <f>IF(C1238&amp;G1238&amp;D1238&lt;&gt;'Funnel setup'!$K$3&amp;'Funnel setup'!$K$4&amp;'Funnel setup'!$K$5,".",IF(A1237=".",1,A1237+1))</f>
        <v>.</v>
      </c>
      <c r="B1238" s="431" t="str">
        <f t="shared" si="19"/>
        <v>Hip Replacement PrimaryCCG of GP PracticeNHS EAST LANCASHIRE CCG (01A)EQ-5D Index</v>
      </c>
      <c r="C1238" t="s">
        <v>248</v>
      </c>
      <c r="D1238" t="s">
        <v>87</v>
      </c>
      <c r="E1238" t="s">
        <v>869</v>
      </c>
      <c r="F1238" t="s">
        <v>870</v>
      </c>
      <c r="G1238" t="s">
        <v>52</v>
      </c>
      <c r="H1238">
        <v>213</v>
      </c>
      <c r="I1238">
        <v>0.32400000000000001</v>
      </c>
      <c r="J1238">
        <v>0.80400000000000005</v>
      </c>
      <c r="K1238">
        <v>0.48</v>
      </c>
      <c r="L1238">
        <v>198</v>
      </c>
      <c r="M1238">
        <v>10</v>
      </c>
      <c r="N1238">
        <v>5</v>
      </c>
      <c r="O1238">
        <v>0.82199999999999995</v>
      </c>
      <c r="P1238">
        <v>0.46068894799999999</v>
      </c>
      <c r="Q1238">
        <v>0.193</v>
      </c>
    </row>
    <row r="1239" spans="1:17" s="30" customFormat="1" x14ac:dyDescent="0.2">
      <c r="A1239" s="30" t="str">
        <f>IF(C1239&amp;G1239&amp;D1239&lt;&gt;'Funnel setup'!$K$3&amp;'Funnel setup'!$K$4&amp;'Funnel setup'!$K$5,".",IF(A1238=".",1,A1238+1))</f>
        <v>.</v>
      </c>
      <c r="B1239" s="431" t="str">
        <f t="shared" si="19"/>
        <v>Hip Replacement PrimaryCCG of GP PracticeNHS EAST LEICESTERSHIRE AND RUTLAND CCG (03W)EQ-5D Index</v>
      </c>
      <c r="C1239" t="s">
        <v>248</v>
      </c>
      <c r="D1239" t="s">
        <v>87</v>
      </c>
      <c r="E1239" t="s">
        <v>872</v>
      </c>
      <c r="F1239" t="s">
        <v>873</v>
      </c>
      <c r="G1239" t="s">
        <v>52</v>
      </c>
      <c r="H1239">
        <v>286</v>
      </c>
      <c r="I1239">
        <v>0.35399999999999998</v>
      </c>
      <c r="J1239">
        <v>0.78700000000000003</v>
      </c>
      <c r="K1239">
        <v>0.432</v>
      </c>
      <c r="L1239">
        <v>256</v>
      </c>
      <c r="M1239">
        <v>16</v>
      </c>
      <c r="N1239">
        <v>14</v>
      </c>
      <c r="O1239">
        <v>0.78100000000000003</v>
      </c>
      <c r="P1239">
        <v>0.41920504200000003</v>
      </c>
      <c r="Q1239">
        <v>0.219</v>
      </c>
    </row>
    <row r="1240" spans="1:17" s="30" customFormat="1" x14ac:dyDescent="0.2">
      <c r="A1240" s="30" t="str">
        <f>IF(C1240&amp;G1240&amp;D1240&lt;&gt;'Funnel setup'!$K$3&amp;'Funnel setup'!$K$4&amp;'Funnel setup'!$K$5,".",IF(A1239=".",1,A1239+1))</f>
        <v>.</v>
      </c>
      <c r="B1240" s="431" t="str">
        <f t="shared" si="19"/>
        <v>Hip Replacement PrimaryCCG of GP PracticeNHS EAST RIDING OF YORKSHIRE CCG (02Y)EQ-5D Index</v>
      </c>
      <c r="C1240" t="s">
        <v>248</v>
      </c>
      <c r="D1240" t="s">
        <v>87</v>
      </c>
      <c r="E1240" t="s">
        <v>875</v>
      </c>
      <c r="F1240" t="s">
        <v>876</v>
      </c>
      <c r="G1240" t="s">
        <v>52</v>
      </c>
      <c r="H1240">
        <v>365</v>
      </c>
      <c r="I1240">
        <v>0.379</v>
      </c>
      <c r="J1240">
        <v>0.81799999999999995</v>
      </c>
      <c r="K1240">
        <v>0.439</v>
      </c>
      <c r="L1240">
        <v>333</v>
      </c>
      <c r="M1240">
        <v>14</v>
      </c>
      <c r="N1240">
        <v>18</v>
      </c>
      <c r="O1240">
        <v>0.80200000000000005</v>
      </c>
      <c r="P1240">
        <v>0.43988125900000002</v>
      </c>
      <c r="Q1240">
        <v>0.217</v>
      </c>
    </row>
    <row r="1241" spans="1:17" s="30" customFormat="1" x14ac:dyDescent="0.2">
      <c r="A1241" s="30" t="str">
        <f>IF(C1241&amp;G1241&amp;D1241&lt;&gt;'Funnel setup'!$K$3&amp;'Funnel setup'!$K$4&amp;'Funnel setup'!$K$5,".",IF(A1240=".",1,A1240+1))</f>
        <v>.</v>
      </c>
      <c r="B1241" s="431" t="str">
        <f t="shared" si="19"/>
        <v>Hip Replacement PrimaryCCG of GP PracticeNHS EAST STAFFORDSHIRE CCG (05D)EQ-5D Index</v>
      </c>
      <c r="C1241" t="s">
        <v>248</v>
      </c>
      <c r="D1241" t="s">
        <v>87</v>
      </c>
      <c r="E1241" t="s">
        <v>878</v>
      </c>
      <c r="F1241" t="s">
        <v>879</v>
      </c>
      <c r="G1241" t="s">
        <v>52</v>
      </c>
      <c r="H1241">
        <v>105</v>
      </c>
      <c r="I1241">
        <v>0.32100000000000001</v>
      </c>
      <c r="J1241">
        <v>0.78600000000000003</v>
      </c>
      <c r="K1241">
        <v>0.46500000000000002</v>
      </c>
      <c r="L1241">
        <v>95</v>
      </c>
      <c r="M1241">
        <v>5</v>
      </c>
      <c r="N1241">
        <v>5</v>
      </c>
      <c r="O1241">
        <v>0.79200000000000004</v>
      </c>
      <c r="P1241">
        <v>0.43069701100000002</v>
      </c>
      <c r="Q1241">
        <v>0.222</v>
      </c>
    </row>
    <row r="1242" spans="1:17" s="30" customFormat="1" x14ac:dyDescent="0.2">
      <c r="A1242" s="30" t="str">
        <f>IF(C1242&amp;G1242&amp;D1242&lt;&gt;'Funnel setup'!$K$3&amp;'Funnel setup'!$K$4&amp;'Funnel setup'!$K$5,".",IF(A1241=".",1,A1241+1))</f>
        <v>.</v>
      </c>
      <c r="B1242" s="431" t="str">
        <f t="shared" si="19"/>
        <v>Hip Replacement PrimaryCCG of GP PracticeNHS EAST SURREY CCG (09L)EQ-5D Index</v>
      </c>
      <c r="C1242" t="s">
        <v>248</v>
      </c>
      <c r="D1242" t="s">
        <v>87</v>
      </c>
      <c r="E1242" t="s">
        <v>881</v>
      </c>
      <c r="F1242" t="s">
        <v>882</v>
      </c>
      <c r="G1242" t="s">
        <v>52</v>
      </c>
      <c r="H1242">
        <v>130</v>
      </c>
      <c r="I1242">
        <v>0.45700000000000002</v>
      </c>
      <c r="J1242">
        <v>0.83699999999999997</v>
      </c>
      <c r="K1242">
        <v>0.38</v>
      </c>
      <c r="L1242">
        <v>116</v>
      </c>
      <c r="M1242">
        <v>7</v>
      </c>
      <c r="N1242">
        <v>7</v>
      </c>
      <c r="O1242">
        <v>0.8</v>
      </c>
      <c r="P1242">
        <v>0.43787069299999998</v>
      </c>
      <c r="Q1242">
        <v>0.2</v>
      </c>
    </row>
    <row r="1243" spans="1:17" s="30" customFormat="1" x14ac:dyDescent="0.2">
      <c r="A1243" s="30" t="str">
        <f>IF(C1243&amp;G1243&amp;D1243&lt;&gt;'Funnel setup'!$K$3&amp;'Funnel setup'!$K$4&amp;'Funnel setup'!$K$5,".",IF(A1242=".",1,A1242+1))</f>
        <v>.</v>
      </c>
      <c r="B1243" s="431" t="str">
        <f t="shared" si="19"/>
        <v>Hip Replacement PrimaryCCG of GP PracticeNHS EASTBOURNE, HAILSHAM AND SEAFORD CCG (09F)EQ-5D Index</v>
      </c>
      <c r="C1243" t="s">
        <v>248</v>
      </c>
      <c r="D1243" t="s">
        <v>87</v>
      </c>
      <c r="E1243" t="s">
        <v>884</v>
      </c>
      <c r="F1243" t="s">
        <v>885</v>
      </c>
      <c r="G1243" t="s">
        <v>52</v>
      </c>
      <c r="H1243">
        <v>216</v>
      </c>
      <c r="I1243">
        <v>0.42</v>
      </c>
      <c r="J1243">
        <v>0.83299999999999996</v>
      </c>
      <c r="K1243">
        <v>0.41199999999999998</v>
      </c>
      <c r="L1243">
        <v>196</v>
      </c>
      <c r="M1243">
        <v>10</v>
      </c>
      <c r="N1243">
        <v>10</v>
      </c>
      <c r="O1243">
        <v>0.82199999999999995</v>
      </c>
      <c r="P1243">
        <v>0.45991154400000001</v>
      </c>
      <c r="Q1243">
        <v>0.17599999999999999</v>
      </c>
    </row>
    <row r="1244" spans="1:17" s="30" customFormat="1" x14ac:dyDescent="0.2">
      <c r="A1244" s="30" t="str">
        <f>IF(C1244&amp;G1244&amp;D1244&lt;&gt;'Funnel setup'!$K$3&amp;'Funnel setup'!$K$4&amp;'Funnel setup'!$K$5,".",IF(A1243=".",1,A1243+1))</f>
        <v>.</v>
      </c>
      <c r="B1244" s="431" t="str">
        <f t="shared" si="19"/>
        <v>Hip Replacement PrimaryCCG of GP PracticeNHS EASTERN CHESHIRE CCG (01C)EQ-5D Index</v>
      </c>
      <c r="C1244" t="s">
        <v>248</v>
      </c>
      <c r="D1244" t="s">
        <v>87</v>
      </c>
      <c r="E1244" t="s">
        <v>887</v>
      </c>
      <c r="F1244" t="s">
        <v>888</v>
      </c>
      <c r="G1244" t="s">
        <v>52</v>
      </c>
      <c r="H1244">
        <v>132</v>
      </c>
      <c r="I1244">
        <v>0.39800000000000002</v>
      </c>
      <c r="J1244">
        <v>0.82499999999999996</v>
      </c>
      <c r="K1244">
        <v>0.42699999999999999</v>
      </c>
      <c r="L1244">
        <v>120</v>
      </c>
      <c r="M1244">
        <v>6</v>
      </c>
      <c r="N1244">
        <v>6</v>
      </c>
      <c r="O1244">
        <v>0.81200000000000006</v>
      </c>
      <c r="P1244">
        <v>0.450366724</v>
      </c>
      <c r="Q1244">
        <v>0.22</v>
      </c>
    </row>
    <row r="1245" spans="1:17" s="30" customFormat="1" x14ac:dyDescent="0.2">
      <c r="A1245" s="30" t="str">
        <f>IF(C1245&amp;G1245&amp;D1245&lt;&gt;'Funnel setup'!$K$3&amp;'Funnel setup'!$K$4&amp;'Funnel setup'!$K$5,".",IF(A1244=".",1,A1244+1))</f>
        <v>.</v>
      </c>
      <c r="B1245" s="431" t="str">
        <f t="shared" si="19"/>
        <v>Hip Replacement PrimaryCCG of GP PracticeNHS ENFIELD CCG (07X)EQ-5D Index</v>
      </c>
      <c r="C1245" t="s">
        <v>248</v>
      </c>
      <c r="D1245" t="s">
        <v>87</v>
      </c>
      <c r="E1245" t="s">
        <v>890</v>
      </c>
      <c r="F1245" t="s">
        <v>891</v>
      </c>
      <c r="G1245" t="s">
        <v>52</v>
      </c>
      <c r="H1245">
        <v>76</v>
      </c>
      <c r="I1245">
        <v>0.28299999999999997</v>
      </c>
      <c r="J1245">
        <v>0.746</v>
      </c>
      <c r="K1245">
        <v>0.46300000000000002</v>
      </c>
      <c r="L1245">
        <v>70</v>
      </c>
      <c r="M1245">
        <v>3</v>
      </c>
      <c r="N1245">
        <v>3</v>
      </c>
      <c r="O1245">
        <v>0.78100000000000003</v>
      </c>
      <c r="P1245">
        <v>0.41888408199999999</v>
      </c>
      <c r="Q1245">
        <v>0.253</v>
      </c>
    </row>
    <row r="1246" spans="1:17" s="30" customFormat="1" x14ac:dyDescent="0.2">
      <c r="A1246" s="30" t="str">
        <f>IF(C1246&amp;G1246&amp;D1246&lt;&gt;'Funnel setup'!$K$3&amp;'Funnel setup'!$K$4&amp;'Funnel setup'!$K$5,".",IF(A1245=".",1,A1245+1))</f>
        <v>.</v>
      </c>
      <c r="B1246" s="431" t="str">
        <f t="shared" si="19"/>
        <v>Hip Replacement PrimaryCCG of GP PracticeNHS EREWASH CCG (03X)EQ-5D Index</v>
      </c>
      <c r="C1246" t="s">
        <v>248</v>
      </c>
      <c r="D1246" t="s">
        <v>87</v>
      </c>
      <c r="E1246" t="s">
        <v>893</v>
      </c>
      <c r="F1246" t="s">
        <v>894</v>
      </c>
      <c r="G1246" t="s">
        <v>52</v>
      </c>
      <c r="H1246">
        <v>86</v>
      </c>
      <c r="I1246">
        <v>0.38200000000000001</v>
      </c>
      <c r="J1246">
        <v>0.77500000000000002</v>
      </c>
      <c r="K1246">
        <v>0.39300000000000002</v>
      </c>
      <c r="L1246">
        <v>75</v>
      </c>
      <c r="M1246">
        <v>5</v>
      </c>
      <c r="N1246">
        <v>6</v>
      </c>
      <c r="O1246">
        <v>0.77</v>
      </c>
      <c r="P1246">
        <v>0.40878427699999997</v>
      </c>
      <c r="Q1246">
        <v>0.22</v>
      </c>
    </row>
    <row r="1247" spans="1:17" s="30" customFormat="1" x14ac:dyDescent="0.2">
      <c r="A1247" s="30" t="str">
        <f>IF(C1247&amp;G1247&amp;D1247&lt;&gt;'Funnel setup'!$K$3&amp;'Funnel setup'!$K$4&amp;'Funnel setup'!$K$5,".",IF(A1246=".",1,A1246+1))</f>
        <v>.</v>
      </c>
      <c r="B1247" s="431" t="str">
        <f t="shared" si="19"/>
        <v>Hip Replacement PrimaryCCG of GP PracticeNHS FAREHAM AND GOSPORT CCG (10K)EQ-5D Index</v>
      </c>
      <c r="C1247" t="s">
        <v>248</v>
      </c>
      <c r="D1247" t="s">
        <v>87</v>
      </c>
      <c r="E1247" t="s">
        <v>896</v>
      </c>
      <c r="F1247" t="s">
        <v>897</v>
      </c>
      <c r="G1247" t="s">
        <v>52</v>
      </c>
      <c r="H1247">
        <v>123</v>
      </c>
      <c r="I1247">
        <v>0.34899999999999998</v>
      </c>
      <c r="J1247">
        <v>0.78200000000000003</v>
      </c>
      <c r="K1247">
        <v>0.433</v>
      </c>
      <c r="L1247">
        <v>109</v>
      </c>
      <c r="M1247">
        <v>5</v>
      </c>
      <c r="N1247">
        <v>9</v>
      </c>
      <c r="O1247">
        <v>0.77800000000000002</v>
      </c>
      <c r="P1247">
        <v>0.41614332300000001</v>
      </c>
      <c r="Q1247">
        <v>0.24399999999999999</v>
      </c>
    </row>
    <row r="1248" spans="1:17" s="30" customFormat="1" x14ac:dyDescent="0.2">
      <c r="A1248" s="30" t="str">
        <f>IF(C1248&amp;G1248&amp;D1248&lt;&gt;'Funnel setup'!$K$3&amp;'Funnel setup'!$K$4&amp;'Funnel setup'!$K$5,".",IF(A1247=".",1,A1247+1))</f>
        <v>.</v>
      </c>
      <c r="B1248" s="431" t="str">
        <f t="shared" si="19"/>
        <v>Hip Replacement PrimaryCCG of GP PracticeNHS FYLDE &amp; WYRE CCG (02M)EQ-5D Index</v>
      </c>
      <c r="C1248" t="s">
        <v>248</v>
      </c>
      <c r="D1248" t="s">
        <v>87</v>
      </c>
      <c r="E1248" t="s">
        <v>899</v>
      </c>
      <c r="F1248" t="s">
        <v>900</v>
      </c>
      <c r="G1248" t="s">
        <v>52</v>
      </c>
      <c r="H1248">
        <v>75</v>
      </c>
      <c r="I1248">
        <v>0.36899999999999999</v>
      </c>
      <c r="J1248">
        <v>0.76300000000000001</v>
      </c>
      <c r="K1248">
        <v>0.39400000000000002</v>
      </c>
      <c r="L1248">
        <v>65</v>
      </c>
      <c r="M1248">
        <v>6</v>
      </c>
      <c r="N1248">
        <v>4</v>
      </c>
      <c r="O1248">
        <v>0.755</v>
      </c>
      <c r="P1248">
        <v>0.39332993599999999</v>
      </c>
      <c r="Q1248">
        <v>0.24099999999999999</v>
      </c>
    </row>
    <row r="1249" spans="1:17" s="30" customFormat="1" x14ac:dyDescent="0.2">
      <c r="A1249" s="30" t="str">
        <f>IF(C1249&amp;G1249&amp;D1249&lt;&gt;'Funnel setup'!$K$3&amp;'Funnel setup'!$K$4&amp;'Funnel setup'!$K$5,".",IF(A1248=".",1,A1248+1))</f>
        <v>.</v>
      </c>
      <c r="B1249" s="431" t="str">
        <f t="shared" si="19"/>
        <v>Hip Replacement PrimaryCCG of GP PracticeNHS GLOUCESTERSHIRE CCG (11M)EQ-5D Index</v>
      </c>
      <c r="C1249" t="s">
        <v>248</v>
      </c>
      <c r="D1249" t="s">
        <v>87</v>
      </c>
      <c r="E1249" t="s">
        <v>902</v>
      </c>
      <c r="F1249" t="s">
        <v>903</v>
      </c>
      <c r="G1249" t="s">
        <v>52</v>
      </c>
      <c r="H1249">
        <v>485</v>
      </c>
      <c r="I1249">
        <v>0.43</v>
      </c>
      <c r="J1249">
        <v>0.82</v>
      </c>
      <c r="K1249">
        <v>0.39</v>
      </c>
      <c r="L1249">
        <v>428</v>
      </c>
      <c r="M1249">
        <v>28</v>
      </c>
      <c r="N1249">
        <v>29</v>
      </c>
      <c r="O1249">
        <v>0.79300000000000004</v>
      </c>
      <c r="P1249">
        <v>0.43104700600000001</v>
      </c>
      <c r="Q1249">
        <v>0.19700000000000001</v>
      </c>
    </row>
    <row r="1250" spans="1:17" s="30" customFormat="1" x14ac:dyDescent="0.2">
      <c r="A1250" s="30" t="str">
        <f>IF(C1250&amp;G1250&amp;D1250&lt;&gt;'Funnel setup'!$K$3&amp;'Funnel setup'!$K$4&amp;'Funnel setup'!$K$5,".",IF(A1249=".",1,A1249+1))</f>
        <v>.</v>
      </c>
      <c r="B1250" s="431" t="str">
        <f t="shared" si="19"/>
        <v>Hip Replacement PrimaryCCG of GP PracticeNHS GREAT YARMOUTH AND WAVENEY CCG (06M)EQ-5D Index</v>
      </c>
      <c r="C1250" t="s">
        <v>248</v>
      </c>
      <c r="D1250" t="s">
        <v>87</v>
      </c>
      <c r="E1250" t="s">
        <v>905</v>
      </c>
      <c r="F1250" t="s">
        <v>906</v>
      </c>
      <c r="G1250" t="s">
        <v>52</v>
      </c>
      <c r="H1250">
        <v>192</v>
      </c>
      <c r="I1250">
        <v>0.375</v>
      </c>
      <c r="J1250">
        <v>0.80600000000000005</v>
      </c>
      <c r="K1250">
        <v>0.43099999999999999</v>
      </c>
      <c r="L1250">
        <v>168</v>
      </c>
      <c r="M1250">
        <v>17</v>
      </c>
      <c r="N1250">
        <v>7</v>
      </c>
      <c r="O1250">
        <v>0.80300000000000005</v>
      </c>
      <c r="P1250">
        <v>0.44181129200000002</v>
      </c>
      <c r="Q1250">
        <v>0.23300000000000001</v>
      </c>
    </row>
    <row r="1251" spans="1:17" s="30" customFormat="1" x14ac:dyDescent="0.2">
      <c r="A1251" s="30" t="str">
        <f>IF(C1251&amp;G1251&amp;D1251&lt;&gt;'Funnel setup'!$K$3&amp;'Funnel setup'!$K$4&amp;'Funnel setup'!$K$5,".",IF(A1250=".",1,A1250+1))</f>
        <v>.</v>
      </c>
      <c r="B1251" s="431" t="str">
        <f t="shared" si="19"/>
        <v>Hip Replacement PrimaryCCG of GP PracticeNHS GREATER HUDDERSFIELD CCG (03A)EQ-5D Index</v>
      </c>
      <c r="C1251" t="s">
        <v>248</v>
      </c>
      <c r="D1251" t="s">
        <v>87</v>
      </c>
      <c r="E1251" t="s">
        <v>908</v>
      </c>
      <c r="F1251" t="s">
        <v>909</v>
      </c>
      <c r="G1251" t="s">
        <v>52</v>
      </c>
      <c r="H1251">
        <v>178</v>
      </c>
      <c r="I1251">
        <v>0.436</v>
      </c>
      <c r="J1251">
        <v>0.82699999999999996</v>
      </c>
      <c r="K1251">
        <v>0.39</v>
      </c>
      <c r="L1251">
        <v>157</v>
      </c>
      <c r="M1251">
        <v>11</v>
      </c>
      <c r="N1251">
        <v>10</v>
      </c>
      <c r="O1251">
        <v>0.81200000000000006</v>
      </c>
      <c r="P1251">
        <v>0.45060842099999998</v>
      </c>
      <c r="Q1251">
        <v>0.19400000000000001</v>
      </c>
    </row>
    <row r="1252" spans="1:17" s="30" customFormat="1" x14ac:dyDescent="0.2">
      <c r="A1252" s="30" t="str">
        <f>IF(C1252&amp;G1252&amp;D1252&lt;&gt;'Funnel setup'!$K$3&amp;'Funnel setup'!$K$4&amp;'Funnel setup'!$K$5,".",IF(A1251=".",1,A1251+1))</f>
        <v>.</v>
      </c>
      <c r="B1252" s="431" t="str">
        <f t="shared" si="19"/>
        <v>Hip Replacement PrimaryCCG of GP PracticeNHS GREATER PRESTON CCG (01E)EQ-5D Index</v>
      </c>
      <c r="C1252" t="s">
        <v>248</v>
      </c>
      <c r="D1252" t="s">
        <v>87</v>
      </c>
      <c r="E1252" t="s">
        <v>486</v>
      </c>
      <c r="F1252" t="s">
        <v>487</v>
      </c>
      <c r="G1252" t="s">
        <v>52</v>
      </c>
      <c r="H1252">
        <v>197</v>
      </c>
      <c r="I1252">
        <v>0.35699999999999998</v>
      </c>
      <c r="J1252">
        <v>0.78300000000000003</v>
      </c>
      <c r="K1252">
        <v>0.42599999999999999</v>
      </c>
      <c r="L1252">
        <v>169</v>
      </c>
      <c r="M1252">
        <v>13</v>
      </c>
      <c r="N1252">
        <v>15</v>
      </c>
      <c r="O1252">
        <v>0.79</v>
      </c>
      <c r="P1252">
        <v>0.42828459699999999</v>
      </c>
      <c r="Q1252">
        <v>0.22500000000000001</v>
      </c>
    </row>
    <row r="1253" spans="1:17" s="30" customFormat="1" x14ac:dyDescent="0.2">
      <c r="A1253" s="30" t="str">
        <f>IF(C1253&amp;G1253&amp;D1253&lt;&gt;'Funnel setup'!$K$3&amp;'Funnel setup'!$K$4&amp;'Funnel setup'!$K$5,".",IF(A1252=".",1,A1252+1))</f>
        <v>.</v>
      </c>
      <c r="B1253" s="431" t="str">
        <f t="shared" si="19"/>
        <v>Hip Replacement PrimaryCCG of GP PracticeNHS GREENWICH CCG (08A)EQ-5D Index</v>
      </c>
      <c r="C1253" t="s">
        <v>248</v>
      </c>
      <c r="D1253" t="s">
        <v>87</v>
      </c>
      <c r="E1253" t="s">
        <v>489</v>
      </c>
      <c r="F1253" t="s">
        <v>490</v>
      </c>
      <c r="G1253" t="s">
        <v>52</v>
      </c>
      <c r="H1253">
        <v>69</v>
      </c>
      <c r="I1253">
        <v>0.29899999999999999</v>
      </c>
      <c r="J1253">
        <v>0.76600000000000001</v>
      </c>
      <c r="K1253">
        <v>0.46700000000000003</v>
      </c>
      <c r="L1253">
        <v>60</v>
      </c>
      <c r="M1253">
        <v>6</v>
      </c>
      <c r="N1253">
        <v>3</v>
      </c>
      <c r="O1253">
        <v>0.81100000000000005</v>
      </c>
      <c r="P1253">
        <v>0.44920686100000001</v>
      </c>
      <c r="Q1253">
        <v>0.20899999999999999</v>
      </c>
    </row>
    <row r="1254" spans="1:17" s="30" customFormat="1" x14ac:dyDescent="0.2">
      <c r="A1254" s="30" t="str">
        <f>IF(C1254&amp;G1254&amp;D1254&lt;&gt;'Funnel setup'!$K$3&amp;'Funnel setup'!$K$4&amp;'Funnel setup'!$K$5,".",IF(A1253=".",1,A1253+1))</f>
        <v>.</v>
      </c>
      <c r="B1254" s="431" t="str">
        <f t="shared" si="19"/>
        <v>Hip Replacement PrimaryCCG of GP PracticeNHS GUILDFORD AND WAVERLEY CCG (09N)EQ-5D Index</v>
      </c>
      <c r="C1254" t="s">
        <v>248</v>
      </c>
      <c r="D1254" t="s">
        <v>87</v>
      </c>
      <c r="E1254" t="s">
        <v>911</v>
      </c>
      <c r="F1254" t="s">
        <v>912</v>
      </c>
      <c r="G1254" t="s">
        <v>52</v>
      </c>
      <c r="H1254">
        <v>135</v>
      </c>
      <c r="I1254">
        <v>0.432</v>
      </c>
      <c r="J1254">
        <v>0.85499999999999998</v>
      </c>
      <c r="K1254">
        <v>0.42199999999999999</v>
      </c>
      <c r="L1254">
        <v>126</v>
      </c>
      <c r="M1254">
        <v>5</v>
      </c>
      <c r="N1254">
        <v>4</v>
      </c>
      <c r="O1254">
        <v>0.81599999999999995</v>
      </c>
      <c r="P1254">
        <v>0.45421281299999999</v>
      </c>
      <c r="Q1254">
        <v>0.20899999999999999</v>
      </c>
    </row>
    <row r="1255" spans="1:17" s="30" customFormat="1" x14ac:dyDescent="0.2">
      <c r="A1255" s="30" t="str">
        <f>IF(C1255&amp;G1255&amp;D1255&lt;&gt;'Funnel setup'!$K$3&amp;'Funnel setup'!$K$4&amp;'Funnel setup'!$K$5,".",IF(A1254=".",1,A1254+1))</f>
        <v>.</v>
      </c>
      <c r="B1255" s="431" t="str">
        <f t="shared" si="19"/>
        <v>Hip Replacement PrimaryCCG of GP PracticeNHS HALTON CCG (01F)EQ-5D Index</v>
      </c>
      <c r="C1255" t="s">
        <v>248</v>
      </c>
      <c r="D1255" t="s">
        <v>87</v>
      </c>
      <c r="E1255" t="s">
        <v>914</v>
      </c>
      <c r="F1255" t="s">
        <v>915</v>
      </c>
      <c r="G1255" t="s">
        <v>52</v>
      </c>
      <c r="H1255">
        <v>70</v>
      </c>
      <c r="I1255">
        <v>0.27</v>
      </c>
      <c r="J1255">
        <v>0.72299999999999998</v>
      </c>
      <c r="K1255">
        <v>0.45400000000000001</v>
      </c>
      <c r="L1255">
        <v>61</v>
      </c>
      <c r="M1255">
        <v>4</v>
      </c>
      <c r="N1255">
        <v>5</v>
      </c>
      <c r="O1255">
        <v>0.75700000000000001</v>
      </c>
      <c r="P1255">
        <v>0.39530940599999997</v>
      </c>
      <c r="Q1255">
        <v>0.251</v>
      </c>
    </row>
    <row r="1256" spans="1:17" s="30" customFormat="1" x14ac:dyDescent="0.2">
      <c r="A1256" s="30" t="str">
        <f>IF(C1256&amp;G1256&amp;D1256&lt;&gt;'Funnel setup'!$K$3&amp;'Funnel setup'!$K$4&amp;'Funnel setup'!$K$5,".",IF(A1255=".",1,A1255+1))</f>
        <v>.</v>
      </c>
      <c r="B1256" s="431" t="str">
        <f t="shared" si="19"/>
        <v>Hip Replacement PrimaryCCG of GP PracticeNHS HAMBLETON, RICHMONDSHIRE AND WHITBY CCG (03D)EQ-5D Index</v>
      </c>
      <c r="C1256" t="s">
        <v>248</v>
      </c>
      <c r="D1256" t="s">
        <v>87</v>
      </c>
      <c r="E1256" t="s">
        <v>917</v>
      </c>
      <c r="F1256" t="s">
        <v>918</v>
      </c>
      <c r="G1256" t="s">
        <v>52</v>
      </c>
      <c r="H1256">
        <v>192</v>
      </c>
      <c r="I1256">
        <v>0.39400000000000002</v>
      </c>
      <c r="J1256">
        <v>0.82399999999999995</v>
      </c>
      <c r="K1256">
        <v>0.43</v>
      </c>
      <c r="L1256">
        <v>177</v>
      </c>
      <c r="M1256">
        <v>8</v>
      </c>
      <c r="N1256">
        <v>7</v>
      </c>
      <c r="O1256">
        <v>0.79700000000000004</v>
      </c>
      <c r="P1256">
        <v>0.43514620500000001</v>
      </c>
      <c r="Q1256">
        <v>0.20399999999999999</v>
      </c>
    </row>
    <row r="1257" spans="1:17" s="30" customFormat="1" x14ac:dyDescent="0.2">
      <c r="A1257" s="30" t="str">
        <f>IF(C1257&amp;G1257&amp;D1257&lt;&gt;'Funnel setup'!$K$3&amp;'Funnel setup'!$K$4&amp;'Funnel setup'!$K$5,".",IF(A1256=".",1,A1256+1))</f>
        <v>.</v>
      </c>
      <c r="B1257" s="431" t="str">
        <f t="shared" si="19"/>
        <v>Hip Replacement PrimaryCCG of GP PracticeNHS HAMMERSMITH AND FULHAM CCG (08C)EQ-5D Index</v>
      </c>
      <c r="C1257" t="s">
        <v>248</v>
      </c>
      <c r="D1257" t="s">
        <v>87</v>
      </c>
      <c r="E1257" t="s">
        <v>920</v>
      </c>
      <c r="F1257" t="s">
        <v>921</v>
      </c>
      <c r="G1257" t="s">
        <v>52</v>
      </c>
      <c r="H1257">
        <v>26</v>
      </c>
      <c r="I1257">
        <v>0.216</v>
      </c>
      <c r="J1257">
        <v>0.71799999999999997</v>
      </c>
      <c r="K1257">
        <v>0.502</v>
      </c>
      <c r="L1257">
        <v>24</v>
      </c>
      <c r="M1257">
        <v>1</v>
      </c>
      <c r="N1257">
        <v>1</v>
      </c>
      <c r="O1257" t="s">
        <v>53</v>
      </c>
      <c r="P1257" t="s">
        <v>53</v>
      </c>
      <c r="Q1257" t="s">
        <v>53</v>
      </c>
    </row>
    <row r="1258" spans="1:17" s="30" customFormat="1" x14ac:dyDescent="0.2">
      <c r="A1258" s="30" t="str">
        <f>IF(C1258&amp;G1258&amp;D1258&lt;&gt;'Funnel setup'!$K$3&amp;'Funnel setup'!$K$4&amp;'Funnel setup'!$K$5,".",IF(A1257=".",1,A1257+1))</f>
        <v>.</v>
      </c>
      <c r="B1258" s="431" t="str">
        <f t="shared" si="19"/>
        <v>Hip Replacement PrimaryCCG of GP PracticeNHS HARDWICK CCG (03Y)EQ-5D Index</v>
      </c>
      <c r="C1258" t="s">
        <v>248</v>
      </c>
      <c r="D1258" t="s">
        <v>87</v>
      </c>
      <c r="E1258" t="s">
        <v>923</v>
      </c>
      <c r="F1258" t="s">
        <v>924</v>
      </c>
      <c r="G1258" t="s">
        <v>52</v>
      </c>
      <c r="H1258">
        <v>91</v>
      </c>
      <c r="I1258">
        <v>0.26100000000000001</v>
      </c>
      <c r="J1258">
        <v>0.77100000000000002</v>
      </c>
      <c r="K1258">
        <v>0.51</v>
      </c>
      <c r="L1258">
        <v>82</v>
      </c>
      <c r="M1258">
        <v>4</v>
      </c>
      <c r="N1258">
        <v>5</v>
      </c>
      <c r="O1258">
        <v>0.82299999999999995</v>
      </c>
      <c r="P1258">
        <v>0.461194614</v>
      </c>
      <c r="Q1258">
        <v>0.25600000000000001</v>
      </c>
    </row>
    <row r="1259" spans="1:17" s="30" customFormat="1" x14ac:dyDescent="0.2">
      <c r="A1259" s="30" t="str">
        <f>IF(C1259&amp;G1259&amp;D1259&lt;&gt;'Funnel setup'!$K$3&amp;'Funnel setup'!$K$4&amp;'Funnel setup'!$K$5,".",IF(A1258=".",1,A1258+1))</f>
        <v>.</v>
      </c>
      <c r="B1259" s="431" t="str">
        <f t="shared" si="19"/>
        <v>Hip Replacement PrimaryCCG of GP PracticeNHS HARINGEY CCG (08D)EQ-5D Index</v>
      </c>
      <c r="C1259" t="s">
        <v>248</v>
      </c>
      <c r="D1259" t="s">
        <v>87</v>
      </c>
      <c r="E1259" t="s">
        <v>926</v>
      </c>
      <c r="F1259" t="s">
        <v>927</v>
      </c>
      <c r="G1259" t="s">
        <v>52</v>
      </c>
      <c r="H1259">
        <v>27</v>
      </c>
      <c r="I1259">
        <v>0.32300000000000001</v>
      </c>
      <c r="J1259">
        <v>0.71699999999999997</v>
      </c>
      <c r="K1259">
        <v>0.39400000000000002</v>
      </c>
      <c r="L1259">
        <v>24</v>
      </c>
      <c r="M1259">
        <v>1</v>
      </c>
      <c r="N1259">
        <v>2</v>
      </c>
      <c r="O1259" t="s">
        <v>53</v>
      </c>
      <c r="P1259" t="s">
        <v>53</v>
      </c>
      <c r="Q1259" t="s">
        <v>53</v>
      </c>
    </row>
    <row r="1260" spans="1:17" s="30" customFormat="1" x14ac:dyDescent="0.2">
      <c r="A1260" s="30" t="str">
        <f>IF(C1260&amp;G1260&amp;D1260&lt;&gt;'Funnel setup'!$K$3&amp;'Funnel setup'!$K$4&amp;'Funnel setup'!$K$5,".",IF(A1259=".",1,A1259+1))</f>
        <v>.</v>
      </c>
      <c r="B1260" s="431" t="str">
        <f t="shared" si="19"/>
        <v>Hip Replacement PrimaryCCG of GP PracticeNHS HARROGATE AND RURAL DISTRICT CCG (03E)EQ-5D Index</v>
      </c>
      <c r="C1260" t="s">
        <v>248</v>
      </c>
      <c r="D1260" t="s">
        <v>87</v>
      </c>
      <c r="E1260" t="s">
        <v>929</v>
      </c>
      <c r="F1260" t="s">
        <v>930</v>
      </c>
      <c r="G1260" t="s">
        <v>52</v>
      </c>
      <c r="H1260">
        <v>177</v>
      </c>
      <c r="I1260">
        <v>0.35599999999999998</v>
      </c>
      <c r="J1260">
        <v>0.80300000000000005</v>
      </c>
      <c r="K1260">
        <v>0.44700000000000001</v>
      </c>
      <c r="L1260">
        <v>161</v>
      </c>
      <c r="M1260">
        <v>7</v>
      </c>
      <c r="N1260">
        <v>9</v>
      </c>
      <c r="O1260">
        <v>0.78800000000000003</v>
      </c>
      <c r="P1260">
        <v>0.42666898199999997</v>
      </c>
      <c r="Q1260">
        <v>0.23300000000000001</v>
      </c>
    </row>
    <row r="1261" spans="1:17" s="30" customFormat="1" x14ac:dyDescent="0.2">
      <c r="A1261" s="30" t="str">
        <f>IF(C1261&amp;G1261&amp;D1261&lt;&gt;'Funnel setup'!$K$3&amp;'Funnel setup'!$K$4&amp;'Funnel setup'!$K$5,".",IF(A1260=".",1,A1260+1))</f>
        <v>.</v>
      </c>
      <c r="B1261" s="431" t="str">
        <f t="shared" si="19"/>
        <v>Hip Replacement PrimaryCCG of GP PracticeNHS HARROW CCG (08E)EQ-5D Index</v>
      </c>
      <c r="C1261" t="s">
        <v>248</v>
      </c>
      <c r="D1261" t="s">
        <v>87</v>
      </c>
      <c r="E1261" t="s">
        <v>492</v>
      </c>
      <c r="F1261" t="s">
        <v>493</v>
      </c>
      <c r="G1261" t="s">
        <v>52</v>
      </c>
      <c r="H1261">
        <v>67</v>
      </c>
      <c r="I1261">
        <v>0.38800000000000001</v>
      </c>
      <c r="J1261">
        <v>0.77500000000000002</v>
      </c>
      <c r="K1261">
        <v>0.38700000000000001</v>
      </c>
      <c r="L1261">
        <v>60</v>
      </c>
      <c r="M1261">
        <v>4</v>
      </c>
      <c r="N1261">
        <v>3</v>
      </c>
      <c r="O1261">
        <v>0.77900000000000003</v>
      </c>
      <c r="P1261">
        <v>0.41709909699999997</v>
      </c>
      <c r="Q1261">
        <v>0.23200000000000001</v>
      </c>
    </row>
    <row r="1262" spans="1:17" s="30" customFormat="1" x14ac:dyDescent="0.2">
      <c r="A1262" s="30" t="str">
        <f>IF(C1262&amp;G1262&amp;D1262&lt;&gt;'Funnel setup'!$K$3&amp;'Funnel setup'!$K$4&amp;'Funnel setup'!$K$5,".",IF(A1261=".",1,A1261+1))</f>
        <v>.</v>
      </c>
      <c r="B1262" s="431" t="str">
        <f t="shared" si="19"/>
        <v>Hip Replacement PrimaryCCG of GP PracticeNHS HARTLEPOOL AND STOCKTON-ON-TEES CCG (00K)EQ-5D Index</v>
      </c>
      <c r="C1262" t="s">
        <v>248</v>
      </c>
      <c r="D1262" t="s">
        <v>87</v>
      </c>
      <c r="E1262" t="s">
        <v>495</v>
      </c>
      <c r="F1262" t="s">
        <v>496</v>
      </c>
      <c r="G1262" t="s">
        <v>52</v>
      </c>
      <c r="H1262">
        <v>244</v>
      </c>
      <c r="I1262">
        <v>0.28499999999999998</v>
      </c>
      <c r="J1262">
        <v>0.76900000000000002</v>
      </c>
      <c r="K1262">
        <v>0.48399999999999999</v>
      </c>
      <c r="L1262">
        <v>228</v>
      </c>
      <c r="M1262">
        <v>8</v>
      </c>
      <c r="N1262">
        <v>8</v>
      </c>
      <c r="O1262">
        <v>0.80100000000000005</v>
      </c>
      <c r="P1262">
        <v>0.43907372900000002</v>
      </c>
      <c r="Q1262">
        <v>0.21199999999999999</v>
      </c>
    </row>
    <row r="1263" spans="1:17" s="30" customFormat="1" x14ac:dyDescent="0.2">
      <c r="A1263" s="30" t="str">
        <f>IF(C1263&amp;G1263&amp;D1263&lt;&gt;'Funnel setup'!$K$3&amp;'Funnel setup'!$K$4&amp;'Funnel setup'!$K$5,".",IF(A1262=".",1,A1262+1))</f>
        <v>.</v>
      </c>
      <c r="B1263" s="431" t="str">
        <f t="shared" si="19"/>
        <v>Hip Replacement PrimaryCCG of GP PracticeNHS HASTINGS AND ROTHER CCG (09P)EQ-5D Index</v>
      </c>
      <c r="C1263" t="s">
        <v>248</v>
      </c>
      <c r="D1263" t="s">
        <v>87</v>
      </c>
      <c r="E1263" t="s">
        <v>498</v>
      </c>
      <c r="F1263" t="s">
        <v>499</v>
      </c>
      <c r="G1263" t="s">
        <v>52</v>
      </c>
      <c r="H1263">
        <v>208</v>
      </c>
      <c r="I1263">
        <v>0.42699999999999999</v>
      </c>
      <c r="J1263">
        <v>0.82599999999999996</v>
      </c>
      <c r="K1263">
        <v>0.39900000000000002</v>
      </c>
      <c r="L1263">
        <v>181</v>
      </c>
      <c r="M1263">
        <v>19</v>
      </c>
      <c r="N1263">
        <v>8</v>
      </c>
      <c r="O1263">
        <v>0.81899999999999995</v>
      </c>
      <c r="P1263">
        <v>0.45727613</v>
      </c>
      <c r="Q1263">
        <v>0.217</v>
      </c>
    </row>
    <row r="1264" spans="1:17" s="30" customFormat="1" x14ac:dyDescent="0.2">
      <c r="A1264" s="30" t="str">
        <f>IF(C1264&amp;G1264&amp;D1264&lt;&gt;'Funnel setup'!$K$3&amp;'Funnel setup'!$K$4&amp;'Funnel setup'!$K$5,".",IF(A1263=".",1,A1263+1))</f>
        <v>.</v>
      </c>
      <c r="B1264" s="431" t="str">
        <f t="shared" si="19"/>
        <v>Hip Replacement PrimaryCCG of GP PracticeNHS HAVERING CCG (08F)EQ-5D Index</v>
      </c>
      <c r="C1264" t="s">
        <v>248</v>
      </c>
      <c r="D1264" t="s">
        <v>87</v>
      </c>
      <c r="E1264" t="s">
        <v>501</v>
      </c>
      <c r="F1264" t="s">
        <v>502</v>
      </c>
      <c r="G1264" t="s">
        <v>52</v>
      </c>
      <c r="H1264">
        <v>111</v>
      </c>
      <c r="I1264">
        <v>0.27900000000000003</v>
      </c>
      <c r="J1264">
        <v>0.76600000000000001</v>
      </c>
      <c r="K1264">
        <v>0.48699999999999999</v>
      </c>
      <c r="L1264">
        <v>96</v>
      </c>
      <c r="M1264">
        <v>9</v>
      </c>
      <c r="N1264">
        <v>6</v>
      </c>
      <c r="O1264">
        <v>0.78300000000000003</v>
      </c>
      <c r="P1264">
        <v>0.42136734100000001</v>
      </c>
      <c r="Q1264">
        <v>0.20799999999999999</v>
      </c>
    </row>
    <row r="1265" spans="1:17" s="30" customFormat="1" x14ac:dyDescent="0.2">
      <c r="A1265" s="30" t="str">
        <f>IF(C1265&amp;G1265&amp;D1265&lt;&gt;'Funnel setup'!$K$3&amp;'Funnel setup'!$K$4&amp;'Funnel setup'!$K$5,".",IF(A1264=".",1,A1264+1))</f>
        <v>.</v>
      </c>
      <c r="B1265" s="431" t="str">
        <f t="shared" si="19"/>
        <v>Hip Replacement PrimaryCCG of GP PracticeNHS HEREFORDSHIRE CCG (05F)EQ-5D Index</v>
      </c>
      <c r="C1265" t="s">
        <v>248</v>
      </c>
      <c r="D1265" t="s">
        <v>87</v>
      </c>
      <c r="E1265" t="s">
        <v>504</v>
      </c>
      <c r="F1265" t="s">
        <v>505</v>
      </c>
      <c r="G1265" t="s">
        <v>52</v>
      </c>
      <c r="H1265">
        <v>181</v>
      </c>
      <c r="I1265">
        <v>0.35799999999999998</v>
      </c>
      <c r="J1265">
        <v>0.85299999999999998</v>
      </c>
      <c r="K1265">
        <v>0.495</v>
      </c>
      <c r="L1265">
        <v>167</v>
      </c>
      <c r="M1265">
        <v>11</v>
      </c>
      <c r="N1265">
        <v>3</v>
      </c>
      <c r="O1265">
        <v>0.84</v>
      </c>
      <c r="P1265">
        <v>0.478033392</v>
      </c>
      <c r="Q1265">
        <v>0.189</v>
      </c>
    </row>
    <row r="1266" spans="1:17" s="30" customFormat="1" x14ac:dyDescent="0.2">
      <c r="A1266" s="30" t="str">
        <f>IF(C1266&amp;G1266&amp;D1266&lt;&gt;'Funnel setup'!$K$3&amp;'Funnel setup'!$K$4&amp;'Funnel setup'!$K$5,".",IF(A1265=".",1,A1265+1))</f>
        <v>.</v>
      </c>
      <c r="B1266" s="431" t="str">
        <f t="shared" si="19"/>
        <v>Hip Replacement PrimaryCCG of GP PracticeNHS HERTS VALLEYS CCG (06N)EQ-5D Index</v>
      </c>
      <c r="C1266" t="s">
        <v>248</v>
      </c>
      <c r="D1266" t="s">
        <v>87</v>
      </c>
      <c r="E1266" t="s">
        <v>507</v>
      </c>
      <c r="F1266" t="s">
        <v>508</v>
      </c>
      <c r="G1266" t="s">
        <v>52</v>
      </c>
      <c r="H1266">
        <v>310</v>
      </c>
      <c r="I1266">
        <v>0.377</v>
      </c>
      <c r="J1266">
        <v>0.81399999999999995</v>
      </c>
      <c r="K1266">
        <v>0.437</v>
      </c>
      <c r="L1266">
        <v>274</v>
      </c>
      <c r="M1266">
        <v>18</v>
      </c>
      <c r="N1266">
        <v>18</v>
      </c>
      <c r="O1266">
        <v>0.8</v>
      </c>
      <c r="P1266">
        <v>0.438164416</v>
      </c>
      <c r="Q1266">
        <v>0.219</v>
      </c>
    </row>
    <row r="1267" spans="1:17" s="30" customFormat="1" x14ac:dyDescent="0.2">
      <c r="A1267" s="30" t="str">
        <f>IF(C1267&amp;G1267&amp;D1267&lt;&gt;'Funnel setup'!$K$3&amp;'Funnel setup'!$K$4&amp;'Funnel setup'!$K$5,".",IF(A1266=".",1,A1266+1))</f>
        <v>.</v>
      </c>
      <c r="B1267" s="431" t="str">
        <f t="shared" si="19"/>
        <v>Hip Replacement PrimaryCCG of GP PracticeNHS HEYWOOD, MIDDLETON AND ROCHDALE CCG (01D)EQ-5D Index</v>
      </c>
      <c r="C1267" t="s">
        <v>248</v>
      </c>
      <c r="D1267" t="s">
        <v>87</v>
      </c>
      <c r="E1267" t="s">
        <v>510</v>
      </c>
      <c r="F1267" t="s">
        <v>511</v>
      </c>
      <c r="G1267" t="s">
        <v>52</v>
      </c>
      <c r="H1267">
        <v>66</v>
      </c>
      <c r="I1267">
        <v>0.29799999999999999</v>
      </c>
      <c r="J1267">
        <v>0.72599999999999998</v>
      </c>
      <c r="K1267">
        <v>0.42799999999999999</v>
      </c>
      <c r="L1267">
        <v>58</v>
      </c>
      <c r="M1267">
        <v>5</v>
      </c>
      <c r="N1267">
        <v>3</v>
      </c>
      <c r="O1267">
        <v>0.748</v>
      </c>
      <c r="P1267">
        <v>0.38683936099999999</v>
      </c>
      <c r="Q1267">
        <v>0.29199999999999998</v>
      </c>
    </row>
    <row r="1268" spans="1:17" s="30" customFormat="1" x14ac:dyDescent="0.2">
      <c r="A1268" s="30" t="str">
        <f>IF(C1268&amp;G1268&amp;D1268&lt;&gt;'Funnel setup'!$K$3&amp;'Funnel setup'!$K$4&amp;'Funnel setup'!$K$5,".",IF(A1267=".",1,A1267+1))</f>
        <v>.</v>
      </c>
      <c r="B1268" s="431" t="str">
        <f t="shared" si="19"/>
        <v>Hip Replacement PrimaryCCG of GP PracticeNHS HIGH WEALD LEWES HAVENS CCG (99K)EQ-5D Index</v>
      </c>
      <c r="C1268" t="s">
        <v>248</v>
      </c>
      <c r="D1268" t="s">
        <v>87</v>
      </c>
      <c r="E1268" t="s">
        <v>513</v>
      </c>
      <c r="F1268" t="s">
        <v>514</v>
      </c>
      <c r="G1268" t="s">
        <v>52</v>
      </c>
      <c r="H1268">
        <v>204</v>
      </c>
      <c r="I1268">
        <v>0.48799999999999999</v>
      </c>
      <c r="J1268">
        <v>0.83199999999999996</v>
      </c>
      <c r="K1268">
        <v>0.34399999999999997</v>
      </c>
      <c r="L1268">
        <v>173</v>
      </c>
      <c r="M1268">
        <v>14</v>
      </c>
      <c r="N1268">
        <v>17</v>
      </c>
      <c r="O1268">
        <v>0.79700000000000004</v>
      </c>
      <c r="P1268">
        <v>0.43551221000000001</v>
      </c>
      <c r="Q1268">
        <v>0.193</v>
      </c>
    </row>
    <row r="1269" spans="1:17" s="30" customFormat="1" x14ac:dyDescent="0.2">
      <c r="A1269" s="30" t="str">
        <f>IF(C1269&amp;G1269&amp;D1269&lt;&gt;'Funnel setup'!$K$3&amp;'Funnel setup'!$K$4&amp;'Funnel setup'!$K$5,".",IF(A1268=".",1,A1268+1))</f>
        <v>.</v>
      </c>
      <c r="B1269" s="431" t="str">
        <f t="shared" si="19"/>
        <v>Hip Replacement PrimaryCCG of GP PracticeNHS HILLINGDON CCG (08G)EQ-5D Index</v>
      </c>
      <c r="C1269" t="s">
        <v>248</v>
      </c>
      <c r="D1269" t="s">
        <v>87</v>
      </c>
      <c r="E1269" t="s">
        <v>516</v>
      </c>
      <c r="F1269" t="s">
        <v>517</v>
      </c>
      <c r="G1269" t="s">
        <v>52</v>
      </c>
      <c r="H1269">
        <v>133</v>
      </c>
      <c r="I1269">
        <v>0.38600000000000001</v>
      </c>
      <c r="J1269">
        <v>0.79200000000000004</v>
      </c>
      <c r="K1269">
        <v>0.40600000000000003</v>
      </c>
      <c r="L1269">
        <v>116</v>
      </c>
      <c r="M1269">
        <v>8</v>
      </c>
      <c r="N1269">
        <v>9</v>
      </c>
      <c r="O1269">
        <v>0.79600000000000004</v>
      </c>
      <c r="P1269">
        <v>0.434368001</v>
      </c>
      <c r="Q1269">
        <v>0.23699999999999999</v>
      </c>
    </row>
    <row r="1270" spans="1:17" s="30" customFormat="1" x14ac:dyDescent="0.2">
      <c r="A1270" s="30" t="str">
        <f>IF(C1270&amp;G1270&amp;D1270&lt;&gt;'Funnel setup'!$K$3&amp;'Funnel setup'!$K$4&amp;'Funnel setup'!$K$5,".",IF(A1269=".",1,A1269+1))</f>
        <v>.</v>
      </c>
      <c r="B1270" s="431" t="str">
        <f t="shared" si="19"/>
        <v>Hip Replacement PrimaryCCG of GP PracticeNHS HORSHAM AND MID SUSSEX CCG (09X)EQ-5D Index</v>
      </c>
      <c r="C1270" t="s">
        <v>248</v>
      </c>
      <c r="D1270" t="s">
        <v>87</v>
      </c>
      <c r="E1270" t="s">
        <v>519</v>
      </c>
      <c r="F1270" t="s">
        <v>520</v>
      </c>
      <c r="G1270" t="s">
        <v>52</v>
      </c>
      <c r="H1270">
        <v>171</v>
      </c>
      <c r="I1270">
        <v>0.497</v>
      </c>
      <c r="J1270">
        <v>0.83199999999999996</v>
      </c>
      <c r="K1270">
        <v>0.33500000000000002</v>
      </c>
      <c r="L1270">
        <v>141</v>
      </c>
      <c r="M1270">
        <v>17</v>
      </c>
      <c r="N1270">
        <v>13</v>
      </c>
      <c r="O1270">
        <v>0.77800000000000002</v>
      </c>
      <c r="P1270">
        <v>0.41663967200000002</v>
      </c>
      <c r="Q1270">
        <v>0.215</v>
      </c>
    </row>
    <row r="1271" spans="1:17" s="30" customFormat="1" x14ac:dyDescent="0.2">
      <c r="A1271" s="30" t="str">
        <f>IF(C1271&amp;G1271&amp;D1271&lt;&gt;'Funnel setup'!$K$3&amp;'Funnel setup'!$K$4&amp;'Funnel setup'!$K$5,".",IF(A1270=".",1,A1270+1))</f>
        <v>.</v>
      </c>
      <c r="B1271" s="431" t="str">
        <f t="shared" si="19"/>
        <v>Hip Replacement PrimaryCCG of GP PracticeNHS HOUNSLOW CCG (07Y)EQ-5D Index</v>
      </c>
      <c r="C1271" t="s">
        <v>248</v>
      </c>
      <c r="D1271" t="s">
        <v>87</v>
      </c>
      <c r="E1271" t="s">
        <v>522</v>
      </c>
      <c r="F1271" t="s">
        <v>523</v>
      </c>
      <c r="G1271" t="s">
        <v>52</v>
      </c>
      <c r="H1271">
        <v>61</v>
      </c>
      <c r="I1271">
        <v>0.38100000000000001</v>
      </c>
      <c r="J1271">
        <v>0.80800000000000005</v>
      </c>
      <c r="K1271">
        <v>0.42599999999999999</v>
      </c>
      <c r="L1271">
        <v>52</v>
      </c>
      <c r="M1271">
        <v>5</v>
      </c>
      <c r="N1271">
        <v>4</v>
      </c>
      <c r="O1271">
        <v>0.80300000000000005</v>
      </c>
      <c r="P1271">
        <v>0.44101129900000002</v>
      </c>
      <c r="Q1271">
        <v>0.19600000000000001</v>
      </c>
    </row>
    <row r="1272" spans="1:17" s="30" customFormat="1" x14ac:dyDescent="0.2">
      <c r="A1272" s="30" t="str">
        <f>IF(C1272&amp;G1272&amp;D1272&lt;&gt;'Funnel setup'!$K$3&amp;'Funnel setup'!$K$4&amp;'Funnel setup'!$K$5,".",IF(A1271=".",1,A1271+1))</f>
        <v>.</v>
      </c>
      <c r="B1272" s="431" t="str">
        <f t="shared" si="19"/>
        <v>Hip Replacement PrimaryCCG of GP PracticeNHS HULL CCG (03F)EQ-5D Index</v>
      </c>
      <c r="C1272" t="s">
        <v>248</v>
      </c>
      <c r="D1272" t="s">
        <v>87</v>
      </c>
      <c r="E1272" t="s">
        <v>525</v>
      </c>
      <c r="F1272" t="s">
        <v>526</v>
      </c>
      <c r="G1272" t="s">
        <v>52</v>
      </c>
      <c r="H1272">
        <v>175</v>
      </c>
      <c r="I1272">
        <v>0.36399999999999999</v>
      </c>
      <c r="J1272">
        <v>0.73299999999999998</v>
      </c>
      <c r="K1272">
        <v>0.36799999999999999</v>
      </c>
      <c r="L1272">
        <v>144</v>
      </c>
      <c r="M1272">
        <v>12</v>
      </c>
      <c r="N1272">
        <v>19</v>
      </c>
      <c r="O1272">
        <v>0.74299999999999999</v>
      </c>
      <c r="P1272">
        <v>0.381742101</v>
      </c>
      <c r="Q1272">
        <v>0.25700000000000001</v>
      </c>
    </row>
    <row r="1273" spans="1:17" s="30" customFormat="1" x14ac:dyDescent="0.2">
      <c r="A1273" s="30" t="str">
        <f>IF(C1273&amp;G1273&amp;D1273&lt;&gt;'Funnel setup'!$K$3&amp;'Funnel setup'!$K$4&amp;'Funnel setup'!$K$5,".",IF(A1272=".",1,A1272+1))</f>
        <v>.</v>
      </c>
      <c r="B1273" s="431" t="str">
        <f t="shared" si="19"/>
        <v>Hip Replacement PrimaryCCG of GP PracticeNHS IPSWICH AND EAST SUFFOLK CCG (06L)EQ-5D Index</v>
      </c>
      <c r="C1273" t="s">
        <v>248</v>
      </c>
      <c r="D1273" t="s">
        <v>87</v>
      </c>
      <c r="E1273" t="s">
        <v>528</v>
      </c>
      <c r="F1273" t="s">
        <v>529</v>
      </c>
      <c r="G1273" t="s">
        <v>52</v>
      </c>
      <c r="H1273">
        <v>270</v>
      </c>
      <c r="I1273">
        <v>0.28599999999999998</v>
      </c>
      <c r="J1273">
        <v>0.79100000000000004</v>
      </c>
      <c r="K1273">
        <v>0.505</v>
      </c>
      <c r="L1273">
        <v>243</v>
      </c>
      <c r="M1273">
        <v>9</v>
      </c>
      <c r="N1273">
        <v>18</v>
      </c>
      <c r="O1273">
        <v>0.80100000000000005</v>
      </c>
      <c r="P1273">
        <v>0.43972349199999999</v>
      </c>
      <c r="Q1273">
        <v>0.26</v>
      </c>
    </row>
    <row r="1274" spans="1:17" s="30" customFormat="1" x14ac:dyDescent="0.2">
      <c r="A1274" s="30" t="str">
        <f>IF(C1274&amp;G1274&amp;D1274&lt;&gt;'Funnel setup'!$K$3&amp;'Funnel setup'!$K$4&amp;'Funnel setup'!$K$5,".",IF(A1273=".",1,A1273+1))</f>
        <v>.</v>
      </c>
      <c r="B1274" s="431" t="str">
        <f t="shared" si="19"/>
        <v>Hip Replacement PrimaryCCG of GP PracticeNHS ISLE OF WIGHT CCG (10L)EQ-5D Index</v>
      </c>
      <c r="C1274" t="s">
        <v>248</v>
      </c>
      <c r="D1274" t="s">
        <v>87</v>
      </c>
      <c r="E1274" t="s">
        <v>531</v>
      </c>
      <c r="F1274" t="s">
        <v>532</v>
      </c>
      <c r="G1274" t="s">
        <v>52</v>
      </c>
      <c r="H1274">
        <v>100</v>
      </c>
      <c r="I1274">
        <v>0.39400000000000002</v>
      </c>
      <c r="J1274">
        <v>0.78800000000000003</v>
      </c>
      <c r="K1274">
        <v>0.39400000000000002</v>
      </c>
      <c r="L1274">
        <v>86</v>
      </c>
      <c r="M1274">
        <v>7</v>
      </c>
      <c r="N1274">
        <v>7</v>
      </c>
      <c r="O1274">
        <v>0.78700000000000003</v>
      </c>
      <c r="P1274">
        <v>0.42554071700000001</v>
      </c>
      <c r="Q1274">
        <v>0.221</v>
      </c>
    </row>
    <row r="1275" spans="1:17" s="30" customFormat="1" x14ac:dyDescent="0.2">
      <c r="A1275" s="30" t="str">
        <f>IF(C1275&amp;G1275&amp;D1275&lt;&gt;'Funnel setup'!$K$3&amp;'Funnel setup'!$K$4&amp;'Funnel setup'!$K$5,".",IF(A1274=".",1,A1274+1))</f>
        <v>.</v>
      </c>
      <c r="B1275" s="431" t="str">
        <f t="shared" si="19"/>
        <v>Hip Replacement PrimaryCCG of GP PracticeNHS ISLINGTON CCG (08H)EQ-5D Index</v>
      </c>
      <c r="C1275" t="s">
        <v>248</v>
      </c>
      <c r="D1275" t="s">
        <v>87</v>
      </c>
      <c r="E1275" t="s">
        <v>534</v>
      </c>
      <c r="F1275" t="s">
        <v>535</v>
      </c>
      <c r="G1275" t="s">
        <v>52</v>
      </c>
      <c r="H1275">
        <v>28</v>
      </c>
      <c r="I1275">
        <v>0.54</v>
      </c>
      <c r="J1275">
        <v>0.83699999999999997</v>
      </c>
      <c r="K1275">
        <v>0.29699999999999999</v>
      </c>
      <c r="L1275">
        <v>25</v>
      </c>
      <c r="M1275">
        <v>1</v>
      </c>
      <c r="N1275">
        <v>2</v>
      </c>
      <c r="O1275" t="s">
        <v>53</v>
      </c>
      <c r="P1275" t="s">
        <v>53</v>
      </c>
      <c r="Q1275" t="s">
        <v>53</v>
      </c>
    </row>
    <row r="1276" spans="1:17" s="30" customFormat="1" x14ac:dyDescent="0.2">
      <c r="A1276" s="30" t="str">
        <f>IF(C1276&amp;G1276&amp;D1276&lt;&gt;'Funnel setup'!$K$3&amp;'Funnel setup'!$K$4&amp;'Funnel setup'!$K$5,".",IF(A1275=".",1,A1275+1))</f>
        <v>.</v>
      </c>
      <c r="B1276" s="431" t="str">
        <f t="shared" si="19"/>
        <v>Hip Replacement PrimaryCCG of GP PracticeNHS KERNOW CCG (11N)EQ-5D Index</v>
      </c>
      <c r="C1276" t="s">
        <v>248</v>
      </c>
      <c r="D1276" t="s">
        <v>87</v>
      </c>
      <c r="E1276" t="s">
        <v>537</v>
      </c>
      <c r="F1276" t="s">
        <v>538</v>
      </c>
      <c r="G1276" t="s">
        <v>52</v>
      </c>
      <c r="H1276">
        <v>770</v>
      </c>
      <c r="I1276">
        <v>0.40500000000000003</v>
      </c>
      <c r="J1276">
        <v>0.80800000000000005</v>
      </c>
      <c r="K1276">
        <v>0.40300000000000002</v>
      </c>
      <c r="L1276">
        <v>686</v>
      </c>
      <c r="M1276">
        <v>49</v>
      </c>
      <c r="N1276">
        <v>35</v>
      </c>
      <c r="O1276">
        <v>0.8</v>
      </c>
      <c r="P1276">
        <v>0.43859155599999999</v>
      </c>
      <c r="Q1276">
        <v>0.20599999999999999</v>
      </c>
    </row>
    <row r="1277" spans="1:17" s="30" customFormat="1" x14ac:dyDescent="0.2">
      <c r="A1277" s="30" t="str">
        <f>IF(C1277&amp;G1277&amp;D1277&lt;&gt;'Funnel setup'!$K$3&amp;'Funnel setup'!$K$4&amp;'Funnel setup'!$K$5,".",IF(A1276=".",1,A1276+1))</f>
        <v>.</v>
      </c>
      <c r="B1277" s="431" t="str">
        <f t="shared" si="19"/>
        <v>Hip Replacement PrimaryCCG of GP PracticeNHS KINGSTON CCG (08J)EQ-5D Index</v>
      </c>
      <c r="C1277" t="s">
        <v>248</v>
      </c>
      <c r="D1277" t="s">
        <v>87</v>
      </c>
      <c r="E1277" t="s">
        <v>540</v>
      </c>
      <c r="F1277" t="s">
        <v>541</v>
      </c>
      <c r="G1277" t="s">
        <v>52</v>
      </c>
      <c r="H1277">
        <v>86</v>
      </c>
      <c r="I1277">
        <v>0.35799999999999998</v>
      </c>
      <c r="J1277">
        <v>0.79100000000000004</v>
      </c>
      <c r="K1277">
        <v>0.432</v>
      </c>
      <c r="L1277">
        <v>78</v>
      </c>
      <c r="M1277">
        <v>5</v>
      </c>
      <c r="N1277">
        <v>3</v>
      </c>
      <c r="O1277">
        <v>0.79200000000000004</v>
      </c>
      <c r="P1277">
        <v>0.43074138200000001</v>
      </c>
      <c r="Q1277">
        <v>0.249</v>
      </c>
    </row>
    <row r="1278" spans="1:17" s="30" customFormat="1" x14ac:dyDescent="0.2">
      <c r="A1278" s="30" t="str">
        <f>IF(C1278&amp;G1278&amp;D1278&lt;&gt;'Funnel setup'!$K$3&amp;'Funnel setup'!$K$4&amp;'Funnel setup'!$K$5,".",IF(A1277=".",1,A1277+1))</f>
        <v>.</v>
      </c>
      <c r="B1278" s="431" t="str">
        <f t="shared" si="19"/>
        <v>Hip Replacement PrimaryCCG of GP PracticeNHS KNOWSLEY CCG (01J)EQ-5D Index</v>
      </c>
      <c r="C1278" t="s">
        <v>248</v>
      </c>
      <c r="D1278" t="s">
        <v>87</v>
      </c>
      <c r="E1278" t="s">
        <v>543</v>
      </c>
      <c r="F1278" t="s">
        <v>544</v>
      </c>
      <c r="G1278" t="s">
        <v>52</v>
      </c>
      <c r="H1278">
        <v>67</v>
      </c>
      <c r="I1278">
        <v>0.19400000000000001</v>
      </c>
      <c r="J1278">
        <v>0.63900000000000001</v>
      </c>
      <c r="K1278">
        <v>0.44500000000000001</v>
      </c>
      <c r="L1278">
        <v>57</v>
      </c>
      <c r="M1278">
        <v>4</v>
      </c>
      <c r="N1278">
        <v>6</v>
      </c>
      <c r="O1278">
        <v>0.73099999999999998</v>
      </c>
      <c r="P1278">
        <v>0.36954015400000001</v>
      </c>
      <c r="Q1278">
        <v>0.33300000000000002</v>
      </c>
    </row>
    <row r="1279" spans="1:17" s="30" customFormat="1" x14ac:dyDescent="0.2">
      <c r="A1279" s="30" t="str">
        <f>IF(C1279&amp;G1279&amp;D1279&lt;&gt;'Funnel setup'!$K$3&amp;'Funnel setup'!$K$4&amp;'Funnel setup'!$K$5,".",IF(A1278=".",1,A1278+1))</f>
        <v>.</v>
      </c>
      <c r="B1279" s="431" t="str">
        <f t="shared" si="19"/>
        <v>Hip Replacement PrimaryCCG of GP PracticeNHS LAMBETH CCG (08K)EQ-5D Index</v>
      </c>
      <c r="C1279" t="s">
        <v>248</v>
      </c>
      <c r="D1279" t="s">
        <v>87</v>
      </c>
      <c r="E1279" t="s">
        <v>546</v>
      </c>
      <c r="F1279" t="s">
        <v>547</v>
      </c>
      <c r="G1279" t="s">
        <v>52</v>
      </c>
      <c r="H1279">
        <v>43</v>
      </c>
      <c r="I1279">
        <v>0.36699999999999999</v>
      </c>
      <c r="J1279">
        <v>0.81100000000000005</v>
      </c>
      <c r="K1279">
        <v>0.44500000000000001</v>
      </c>
      <c r="L1279">
        <v>38</v>
      </c>
      <c r="M1279">
        <v>2</v>
      </c>
      <c r="N1279">
        <v>3</v>
      </c>
      <c r="O1279">
        <v>0.83699999999999997</v>
      </c>
      <c r="P1279">
        <v>0.47583402800000002</v>
      </c>
      <c r="Q1279">
        <v>0.26</v>
      </c>
    </row>
    <row r="1280" spans="1:17" s="30" customFormat="1" x14ac:dyDescent="0.2">
      <c r="A1280" s="30" t="str">
        <f>IF(C1280&amp;G1280&amp;D1280&lt;&gt;'Funnel setup'!$K$3&amp;'Funnel setup'!$K$4&amp;'Funnel setup'!$K$5,".",IF(A1279=".",1,A1279+1))</f>
        <v>.</v>
      </c>
      <c r="B1280" s="431" t="str">
        <f t="shared" si="19"/>
        <v>Hip Replacement PrimaryCCG of GP PracticeNHS LANCASHIRE NORTH CCG (01K)EQ-5D Index</v>
      </c>
      <c r="C1280" t="s">
        <v>248</v>
      </c>
      <c r="D1280" t="s">
        <v>87</v>
      </c>
      <c r="E1280" t="s">
        <v>549</v>
      </c>
      <c r="F1280" t="s">
        <v>550</v>
      </c>
      <c r="G1280" t="s">
        <v>52</v>
      </c>
      <c r="H1280">
        <v>137</v>
      </c>
      <c r="I1280">
        <v>0.40300000000000002</v>
      </c>
      <c r="J1280">
        <v>0.8</v>
      </c>
      <c r="K1280">
        <v>0.39700000000000002</v>
      </c>
      <c r="L1280">
        <v>118</v>
      </c>
      <c r="M1280">
        <v>10</v>
      </c>
      <c r="N1280">
        <v>9</v>
      </c>
      <c r="O1280">
        <v>0.79500000000000004</v>
      </c>
      <c r="P1280">
        <v>0.4331643</v>
      </c>
      <c r="Q1280">
        <v>0.217</v>
      </c>
    </row>
    <row r="1281" spans="1:17" s="30" customFormat="1" x14ac:dyDescent="0.2">
      <c r="A1281" s="30" t="str">
        <f>IF(C1281&amp;G1281&amp;D1281&lt;&gt;'Funnel setup'!$K$3&amp;'Funnel setup'!$K$4&amp;'Funnel setup'!$K$5,".",IF(A1280=".",1,A1280+1))</f>
        <v>.</v>
      </c>
      <c r="B1281" s="431" t="str">
        <f t="shared" si="19"/>
        <v>Hip Replacement PrimaryCCG of GP PracticeNHS LEEDS NORTH CCG (02V)EQ-5D Index</v>
      </c>
      <c r="C1281" t="s">
        <v>248</v>
      </c>
      <c r="D1281" t="s">
        <v>87</v>
      </c>
      <c r="E1281" t="s">
        <v>552</v>
      </c>
      <c r="F1281" t="s">
        <v>337</v>
      </c>
      <c r="G1281" t="s">
        <v>52</v>
      </c>
      <c r="H1281">
        <v>135</v>
      </c>
      <c r="I1281">
        <v>0.41399999999999998</v>
      </c>
      <c r="J1281">
        <v>0.79300000000000004</v>
      </c>
      <c r="K1281">
        <v>0.379</v>
      </c>
      <c r="L1281">
        <v>114</v>
      </c>
      <c r="M1281">
        <v>13</v>
      </c>
      <c r="N1281">
        <v>8</v>
      </c>
      <c r="O1281">
        <v>0.78200000000000003</v>
      </c>
      <c r="P1281">
        <v>0.41998327000000002</v>
      </c>
      <c r="Q1281">
        <v>0.222</v>
      </c>
    </row>
    <row r="1282" spans="1:17" s="30" customFormat="1" x14ac:dyDescent="0.2">
      <c r="A1282" s="30" t="str">
        <f>IF(C1282&amp;G1282&amp;D1282&lt;&gt;'Funnel setup'!$K$3&amp;'Funnel setup'!$K$4&amp;'Funnel setup'!$K$5,".",IF(A1281=".",1,A1281+1))</f>
        <v>.</v>
      </c>
      <c r="B1282" s="431" t="str">
        <f t="shared" si="19"/>
        <v>Hip Replacement PrimaryCCG of GP PracticeNHS LEEDS SOUTH AND EAST CCG (03G)EQ-5D Index</v>
      </c>
      <c r="C1282" t="s">
        <v>248</v>
      </c>
      <c r="D1282" t="s">
        <v>87</v>
      </c>
      <c r="E1282" t="s">
        <v>396</v>
      </c>
      <c r="F1282" t="s">
        <v>397</v>
      </c>
      <c r="G1282" t="s">
        <v>52</v>
      </c>
      <c r="H1282">
        <v>171</v>
      </c>
      <c r="I1282">
        <v>0.33800000000000002</v>
      </c>
      <c r="J1282">
        <v>0.78900000000000003</v>
      </c>
      <c r="K1282">
        <v>0.45100000000000001</v>
      </c>
      <c r="L1282">
        <v>159</v>
      </c>
      <c r="M1282">
        <v>2</v>
      </c>
      <c r="N1282">
        <v>10</v>
      </c>
      <c r="O1282">
        <v>0.79700000000000004</v>
      </c>
      <c r="P1282">
        <v>0.43517755000000002</v>
      </c>
      <c r="Q1282">
        <v>0.23100000000000001</v>
      </c>
    </row>
    <row r="1283" spans="1:17" s="30" customFormat="1" x14ac:dyDescent="0.2">
      <c r="A1283" s="30" t="str">
        <f>IF(C1283&amp;G1283&amp;D1283&lt;&gt;'Funnel setup'!$K$3&amp;'Funnel setup'!$K$4&amp;'Funnel setup'!$K$5,".",IF(A1282=".",1,A1282+1))</f>
        <v>.</v>
      </c>
      <c r="B1283" s="431" t="str">
        <f t="shared" ref="B1283:B1346" si="20">C1283&amp;D1283&amp;F1283&amp;G1283</f>
        <v>Hip Replacement PrimaryCCG of GP PracticeNHS LEEDS WEST CCG (03C)EQ-5D Index</v>
      </c>
      <c r="C1283" t="s">
        <v>248</v>
      </c>
      <c r="D1283" t="s">
        <v>87</v>
      </c>
      <c r="E1283" t="s">
        <v>399</v>
      </c>
      <c r="F1283" t="s">
        <v>400</v>
      </c>
      <c r="G1283" t="s">
        <v>52</v>
      </c>
      <c r="H1283">
        <v>210</v>
      </c>
      <c r="I1283">
        <v>0.374</v>
      </c>
      <c r="J1283">
        <v>0.79</v>
      </c>
      <c r="K1283">
        <v>0.41599999999999998</v>
      </c>
      <c r="L1283">
        <v>192</v>
      </c>
      <c r="M1283">
        <v>6</v>
      </c>
      <c r="N1283">
        <v>12</v>
      </c>
      <c r="O1283">
        <v>0.79200000000000004</v>
      </c>
      <c r="P1283">
        <v>0.43045643700000003</v>
      </c>
      <c r="Q1283">
        <v>0.22900000000000001</v>
      </c>
    </row>
    <row r="1284" spans="1:17" s="30" customFormat="1" x14ac:dyDescent="0.2">
      <c r="A1284" s="30" t="str">
        <f>IF(C1284&amp;G1284&amp;D1284&lt;&gt;'Funnel setup'!$K$3&amp;'Funnel setup'!$K$4&amp;'Funnel setup'!$K$5,".",IF(A1283=".",1,A1283+1))</f>
        <v>.</v>
      </c>
      <c r="B1284" s="431" t="str">
        <f t="shared" si="20"/>
        <v>Hip Replacement PrimaryCCG of GP PracticeNHS LEICESTER CITY CCG (04C)EQ-5D Index</v>
      </c>
      <c r="C1284" t="s">
        <v>248</v>
      </c>
      <c r="D1284" t="s">
        <v>87</v>
      </c>
      <c r="E1284" t="s">
        <v>554</v>
      </c>
      <c r="F1284" t="s">
        <v>555</v>
      </c>
      <c r="G1284" t="s">
        <v>52</v>
      </c>
      <c r="H1284">
        <v>109</v>
      </c>
      <c r="I1284">
        <v>0.31</v>
      </c>
      <c r="J1284">
        <v>0.79200000000000004</v>
      </c>
      <c r="K1284">
        <v>0.48199999999999998</v>
      </c>
      <c r="L1284">
        <v>91</v>
      </c>
      <c r="M1284">
        <v>13</v>
      </c>
      <c r="N1284">
        <v>5</v>
      </c>
      <c r="O1284">
        <v>0.82199999999999995</v>
      </c>
      <c r="P1284">
        <v>0.46013331400000002</v>
      </c>
      <c r="Q1284">
        <v>0.21199999999999999</v>
      </c>
    </row>
    <row r="1285" spans="1:17" s="30" customFormat="1" x14ac:dyDescent="0.2">
      <c r="A1285" s="30" t="str">
        <f>IF(C1285&amp;G1285&amp;D1285&lt;&gt;'Funnel setup'!$K$3&amp;'Funnel setup'!$K$4&amp;'Funnel setup'!$K$5,".",IF(A1284=".",1,A1284+1))</f>
        <v>.</v>
      </c>
      <c r="B1285" s="431" t="str">
        <f t="shared" si="20"/>
        <v>Hip Replacement PrimaryCCG of GP PracticeNHS LEWISHAM CCG (08L)EQ-5D Index</v>
      </c>
      <c r="C1285" t="s">
        <v>248</v>
      </c>
      <c r="D1285" t="s">
        <v>87</v>
      </c>
      <c r="E1285" t="s">
        <v>557</v>
      </c>
      <c r="F1285" t="s">
        <v>558</v>
      </c>
      <c r="G1285" t="s">
        <v>52</v>
      </c>
      <c r="H1285">
        <v>53</v>
      </c>
      <c r="I1285">
        <v>0.313</v>
      </c>
      <c r="J1285">
        <v>0.76100000000000001</v>
      </c>
      <c r="K1285">
        <v>0.44800000000000001</v>
      </c>
      <c r="L1285">
        <v>47</v>
      </c>
      <c r="M1285">
        <v>3</v>
      </c>
      <c r="N1285">
        <v>3</v>
      </c>
      <c r="O1285">
        <v>0.79900000000000004</v>
      </c>
      <c r="P1285">
        <v>0.436939939</v>
      </c>
      <c r="Q1285">
        <v>0.255</v>
      </c>
    </row>
    <row r="1286" spans="1:17" s="30" customFormat="1" x14ac:dyDescent="0.2">
      <c r="A1286" s="30" t="str">
        <f>IF(C1286&amp;G1286&amp;D1286&lt;&gt;'Funnel setup'!$K$3&amp;'Funnel setup'!$K$4&amp;'Funnel setup'!$K$5,".",IF(A1285=".",1,A1285+1))</f>
        <v>.</v>
      </c>
      <c r="B1286" s="431" t="str">
        <f t="shared" si="20"/>
        <v>Hip Replacement PrimaryCCG of GP PracticeNHS LINCOLNSHIRE EAST CCG (03T)EQ-5D Index</v>
      </c>
      <c r="C1286" t="s">
        <v>248</v>
      </c>
      <c r="D1286" t="s">
        <v>87</v>
      </c>
      <c r="E1286" t="s">
        <v>560</v>
      </c>
      <c r="F1286" t="s">
        <v>561</v>
      </c>
      <c r="G1286" t="s">
        <v>52</v>
      </c>
      <c r="H1286">
        <v>223</v>
      </c>
      <c r="I1286">
        <v>0.40200000000000002</v>
      </c>
      <c r="J1286">
        <v>0.80100000000000005</v>
      </c>
      <c r="K1286">
        <v>0.39900000000000002</v>
      </c>
      <c r="L1286">
        <v>197</v>
      </c>
      <c r="M1286">
        <v>17</v>
      </c>
      <c r="N1286">
        <v>9</v>
      </c>
      <c r="O1286">
        <v>0.80600000000000005</v>
      </c>
      <c r="P1286">
        <v>0.44476450499999998</v>
      </c>
      <c r="Q1286">
        <v>0.223</v>
      </c>
    </row>
    <row r="1287" spans="1:17" s="30" customFormat="1" x14ac:dyDescent="0.2">
      <c r="A1287" s="30" t="str">
        <f>IF(C1287&amp;G1287&amp;D1287&lt;&gt;'Funnel setup'!$K$3&amp;'Funnel setup'!$K$4&amp;'Funnel setup'!$K$5,".",IF(A1286=".",1,A1286+1))</f>
        <v>.</v>
      </c>
      <c r="B1287" s="431" t="str">
        <f t="shared" si="20"/>
        <v>Hip Replacement PrimaryCCG of GP PracticeNHS LINCOLNSHIRE WEST CCG (04D)EQ-5D Index</v>
      </c>
      <c r="C1287" t="s">
        <v>248</v>
      </c>
      <c r="D1287" t="s">
        <v>87</v>
      </c>
      <c r="E1287" t="s">
        <v>408</v>
      </c>
      <c r="F1287" t="s">
        <v>409</v>
      </c>
      <c r="G1287" t="s">
        <v>52</v>
      </c>
      <c r="H1287">
        <v>177</v>
      </c>
      <c r="I1287">
        <v>0.38900000000000001</v>
      </c>
      <c r="J1287">
        <v>0.81699999999999995</v>
      </c>
      <c r="K1287">
        <v>0.42799999999999999</v>
      </c>
      <c r="L1287">
        <v>154</v>
      </c>
      <c r="M1287">
        <v>10</v>
      </c>
      <c r="N1287">
        <v>13</v>
      </c>
      <c r="O1287">
        <v>0.81200000000000006</v>
      </c>
      <c r="P1287">
        <v>0.45001512500000002</v>
      </c>
      <c r="Q1287">
        <v>0.219</v>
      </c>
    </row>
    <row r="1288" spans="1:17" s="30" customFormat="1" x14ac:dyDescent="0.2">
      <c r="A1288" s="30" t="str">
        <f>IF(C1288&amp;G1288&amp;D1288&lt;&gt;'Funnel setup'!$K$3&amp;'Funnel setup'!$K$4&amp;'Funnel setup'!$K$5,".",IF(A1287=".",1,A1287+1))</f>
        <v>.</v>
      </c>
      <c r="B1288" s="431" t="str">
        <f t="shared" si="20"/>
        <v>Hip Replacement PrimaryCCG of GP PracticeNHS LIVERPOOL CCG (99A)EQ-5D Index</v>
      </c>
      <c r="C1288" t="s">
        <v>248</v>
      </c>
      <c r="D1288" t="s">
        <v>87</v>
      </c>
      <c r="E1288" t="s">
        <v>411</v>
      </c>
      <c r="F1288" t="s">
        <v>412</v>
      </c>
      <c r="G1288" t="s">
        <v>52</v>
      </c>
      <c r="H1288">
        <v>186</v>
      </c>
      <c r="I1288">
        <v>0.308</v>
      </c>
      <c r="J1288">
        <v>0.71499999999999997</v>
      </c>
      <c r="K1288">
        <v>0.40699999999999997</v>
      </c>
      <c r="L1288">
        <v>163</v>
      </c>
      <c r="M1288">
        <v>11</v>
      </c>
      <c r="N1288">
        <v>12</v>
      </c>
      <c r="O1288">
        <v>0.76200000000000001</v>
      </c>
      <c r="P1288">
        <v>0.39984322300000003</v>
      </c>
      <c r="Q1288">
        <v>0.27600000000000002</v>
      </c>
    </row>
    <row r="1289" spans="1:17" s="30" customFormat="1" x14ac:dyDescent="0.2">
      <c r="A1289" s="30" t="str">
        <f>IF(C1289&amp;G1289&amp;D1289&lt;&gt;'Funnel setup'!$K$3&amp;'Funnel setup'!$K$4&amp;'Funnel setup'!$K$5,".",IF(A1288=".",1,A1288+1))</f>
        <v>.</v>
      </c>
      <c r="B1289" s="431" t="str">
        <f t="shared" si="20"/>
        <v>Hip Replacement PrimaryCCG of GP PracticeNHS LUTON CCG (06P)EQ-5D Index</v>
      </c>
      <c r="C1289" t="s">
        <v>248</v>
      </c>
      <c r="D1289" t="s">
        <v>87</v>
      </c>
      <c r="E1289" t="s">
        <v>414</v>
      </c>
      <c r="F1289" t="s">
        <v>415</v>
      </c>
      <c r="G1289" t="s">
        <v>52</v>
      </c>
      <c r="H1289">
        <v>89</v>
      </c>
      <c r="I1289">
        <v>0.30499999999999999</v>
      </c>
      <c r="J1289">
        <v>0.74099999999999999</v>
      </c>
      <c r="K1289">
        <v>0.436</v>
      </c>
      <c r="L1289">
        <v>78</v>
      </c>
      <c r="M1289">
        <v>7</v>
      </c>
      <c r="N1289">
        <v>4</v>
      </c>
      <c r="O1289">
        <v>0.75800000000000001</v>
      </c>
      <c r="P1289">
        <v>0.396035837</v>
      </c>
      <c r="Q1289">
        <v>0.22700000000000001</v>
      </c>
    </row>
    <row r="1290" spans="1:17" s="30" customFormat="1" x14ac:dyDescent="0.2">
      <c r="A1290" s="30" t="str">
        <f>IF(C1290&amp;G1290&amp;D1290&lt;&gt;'Funnel setup'!$K$3&amp;'Funnel setup'!$K$4&amp;'Funnel setup'!$K$5,".",IF(A1289=".",1,A1289+1))</f>
        <v>.</v>
      </c>
      <c r="B1290" s="431" t="str">
        <f t="shared" si="20"/>
        <v>Hip Replacement PrimaryCCG of GP PracticeNHS MANSFIELD AND ASHFIELD CCG (04E)EQ-5D Index</v>
      </c>
      <c r="C1290" t="s">
        <v>248</v>
      </c>
      <c r="D1290" t="s">
        <v>87</v>
      </c>
      <c r="E1290" t="s">
        <v>417</v>
      </c>
      <c r="F1290" t="s">
        <v>418</v>
      </c>
      <c r="G1290" t="s">
        <v>52</v>
      </c>
      <c r="H1290">
        <v>118</v>
      </c>
      <c r="I1290">
        <v>0.27100000000000002</v>
      </c>
      <c r="J1290">
        <v>0.74399999999999999</v>
      </c>
      <c r="K1290">
        <v>0.47399999999999998</v>
      </c>
      <c r="L1290">
        <v>109</v>
      </c>
      <c r="M1290">
        <v>4</v>
      </c>
      <c r="N1290">
        <v>5</v>
      </c>
      <c r="O1290">
        <v>0.77300000000000002</v>
      </c>
      <c r="P1290">
        <v>0.41164590200000001</v>
      </c>
      <c r="Q1290">
        <v>0.24299999999999999</v>
      </c>
    </row>
    <row r="1291" spans="1:17" s="30" customFormat="1" x14ac:dyDescent="0.2">
      <c r="A1291" s="30" t="str">
        <f>IF(C1291&amp;G1291&amp;D1291&lt;&gt;'Funnel setup'!$K$3&amp;'Funnel setup'!$K$4&amp;'Funnel setup'!$K$5,".",IF(A1290=".",1,A1290+1))</f>
        <v>.</v>
      </c>
      <c r="B1291" s="431" t="str">
        <f t="shared" si="20"/>
        <v>Hip Replacement PrimaryCCG of GP PracticeNHS MEDWAY CCG (09W)EQ-5D Index</v>
      </c>
      <c r="C1291" t="s">
        <v>248</v>
      </c>
      <c r="D1291" t="s">
        <v>87</v>
      </c>
      <c r="E1291" t="s">
        <v>610</v>
      </c>
      <c r="F1291" t="s">
        <v>611</v>
      </c>
      <c r="G1291" t="s">
        <v>52</v>
      </c>
      <c r="H1291">
        <v>153</v>
      </c>
      <c r="I1291">
        <v>0.33600000000000002</v>
      </c>
      <c r="J1291">
        <v>0.81699999999999995</v>
      </c>
      <c r="K1291">
        <v>0.48099999999999998</v>
      </c>
      <c r="L1291">
        <v>138</v>
      </c>
      <c r="M1291">
        <v>10</v>
      </c>
      <c r="N1291">
        <v>5</v>
      </c>
      <c r="O1291">
        <v>0.82399999999999995</v>
      </c>
      <c r="P1291">
        <v>0.46203020500000003</v>
      </c>
      <c r="Q1291">
        <v>0.217</v>
      </c>
    </row>
    <row r="1292" spans="1:17" s="30" customFormat="1" x14ac:dyDescent="0.2">
      <c r="A1292" s="30" t="str">
        <f>IF(C1292&amp;G1292&amp;D1292&lt;&gt;'Funnel setup'!$K$3&amp;'Funnel setup'!$K$4&amp;'Funnel setup'!$K$5,".",IF(A1291=".",1,A1291+1))</f>
        <v>.</v>
      </c>
      <c r="B1292" s="431" t="str">
        <f t="shared" si="20"/>
        <v>Hip Replacement PrimaryCCG of GP PracticeNHS MERTON CCG (08R)EQ-5D Index</v>
      </c>
      <c r="C1292" t="s">
        <v>248</v>
      </c>
      <c r="D1292" t="s">
        <v>87</v>
      </c>
      <c r="E1292" t="s">
        <v>613</v>
      </c>
      <c r="F1292" t="s">
        <v>614</v>
      </c>
      <c r="G1292" t="s">
        <v>52</v>
      </c>
      <c r="H1292">
        <v>54</v>
      </c>
      <c r="I1292">
        <v>0.43099999999999999</v>
      </c>
      <c r="J1292">
        <v>0.81399999999999995</v>
      </c>
      <c r="K1292">
        <v>0.38300000000000001</v>
      </c>
      <c r="L1292">
        <v>48</v>
      </c>
      <c r="M1292">
        <v>4</v>
      </c>
      <c r="N1292">
        <v>2</v>
      </c>
      <c r="O1292">
        <v>0.79600000000000004</v>
      </c>
      <c r="P1292">
        <v>0.43470384099999998</v>
      </c>
      <c r="Q1292">
        <v>0.215</v>
      </c>
    </row>
    <row r="1293" spans="1:17" s="30" customFormat="1" x14ac:dyDescent="0.2">
      <c r="A1293" s="30" t="str">
        <f>IF(C1293&amp;G1293&amp;D1293&lt;&gt;'Funnel setup'!$K$3&amp;'Funnel setup'!$K$4&amp;'Funnel setup'!$K$5,".",IF(A1292=".",1,A1292+1))</f>
        <v>.</v>
      </c>
      <c r="B1293" s="431" t="str">
        <f t="shared" si="20"/>
        <v>Hip Replacement PrimaryCCG of GP PracticeNHS MID ESSEX CCG (06Q)EQ-5D Index</v>
      </c>
      <c r="C1293" t="s">
        <v>248</v>
      </c>
      <c r="D1293" t="s">
        <v>87</v>
      </c>
      <c r="E1293" t="s">
        <v>616</v>
      </c>
      <c r="F1293" t="s">
        <v>617</v>
      </c>
      <c r="G1293" t="s">
        <v>52</v>
      </c>
      <c r="H1293">
        <v>296</v>
      </c>
      <c r="I1293">
        <v>0.29499999999999998</v>
      </c>
      <c r="J1293">
        <v>0.82399999999999995</v>
      </c>
      <c r="K1293">
        <v>0.52900000000000003</v>
      </c>
      <c r="L1293">
        <v>275</v>
      </c>
      <c r="M1293">
        <v>13</v>
      </c>
      <c r="N1293">
        <v>8</v>
      </c>
      <c r="O1293">
        <v>0.82299999999999995</v>
      </c>
      <c r="P1293">
        <v>0.46105020099999999</v>
      </c>
      <c r="Q1293">
        <v>0.21099999999999999</v>
      </c>
    </row>
    <row r="1294" spans="1:17" s="30" customFormat="1" x14ac:dyDescent="0.2">
      <c r="A1294" s="30" t="str">
        <f>IF(C1294&amp;G1294&amp;D1294&lt;&gt;'Funnel setup'!$K$3&amp;'Funnel setup'!$K$4&amp;'Funnel setup'!$K$5,".",IF(A1293=".",1,A1293+1))</f>
        <v>.</v>
      </c>
      <c r="B1294" s="431" t="str">
        <f t="shared" si="20"/>
        <v>Hip Replacement PrimaryCCG of GP PracticeNHS MILTON KEYNES CCG (04F)EQ-5D Index</v>
      </c>
      <c r="C1294" t="s">
        <v>248</v>
      </c>
      <c r="D1294" t="s">
        <v>87</v>
      </c>
      <c r="E1294" t="s">
        <v>619</v>
      </c>
      <c r="F1294" t="s">
        <v>338</v>
      </c>
      <c r="G1294" t="s">
        <v>52</v>
      </c>
      <c r="H1294">
        <v>189</v>
      </c>
      <c r="I1294">
        <v>0.29299999999999998</v>
      </c>
      <c r="J1294">
        <v>0.77600000000000002</v>
      </c>
      <c r="K1294">
        <v>0.48299999999999998</v>
      </c>
      <c r="L1294">
        <v>163</v>
      </c>
      <c r="M1294">
        <v>12</v>
      </c>
      <c r="N1294">
        <v>14</v>
      </c>
      <c r="O1294">
        <v>0.79600000000000004</v>
      </c>
      <c r="P1294">
        <v>0.43478250699999998</v>
      </c>
      <c r="Q1294">
        <v>0.22600000000000001</v>
      </c>
    </row>
    <row r="1295" spans="1:17" s="30" customFormat="1" x14ac:dyDescent="0.2">
      <c r="A1295" s="30" t="str">
        <f>IF(C1295&amp;G1295&amp;D1295&lt;&gt;'Funnel setup'!$K$3&amp;'Funnel setup'!$K$4&amp;'Funnel setup'!$K$5,".",IF(A1294=".",1,A1294+1))</f>
        <v>.</v>
      </c>
      <c r="B1295" s="431" t="str">
        <f t="shared" si="20"/>
        <v>Hip Replacement PrimaryCCG of GP PracticeNHS NENE CCG (04G)EQ-5D Index</v>
      </c>
      <c r="C1295" t="s">
        <v>248</v>
      </c>
      <c r="D1295" t="s">
        <v>87</v>
      </c>
      <c r="E1295" t="s">
        <v>621</v>
      </c>
      <c r="F1295" t="s">
        <v>622</v>
      </c>
      <c r="G1295" t="s">
        <v>52</v>
      </c>
      <c r="H1295">
        <v>401</v>
      </c>
      <c r="I1295">
        <v>0.29599999999999999</v>
      </c>
      <c r="J1295">
        <v>0.80800000000000005</v>
      </c>
      <c r="K1295">
        <v>0.51300000000000001</v>
      </c>
      <c r="L1295">
        <v>371</v>
      </c>
      <c r="M1295">
        <v>17</v>
      </c>
      <c r="N1295">
        <v>13</v>
      </c>
      <c r="O1295">
        <v>0.82099999999999995</v>
      </c>
      <c r="P1295">
        <v>0.45896738799999998</v>
      </c>
      <c r="Q1295">
        <v>0.222</v>
      </c>
    </row>
    <row r="1296" spans="1:17" s="30" customFormat="1" x14ac:dyDescent="0.2">
      <c r="A1296" s="30" t="str">
        <f>IF(C1296&amp;G1296&amp;D1296&lt;&gt;'Funnel setup'!$K$3&amp;'Funnel setup'!$K$4&amp;'Funnel setup'!$K$5,".",IF(A1295=".",1,A1295+1))</f>
        <v>.</v>
      </c>
      <c r="B1296" s="431" t="str">
        <f t="shared" si="20"/>
        <v>Hip Replacement PrimaryCCG of GP PracticeNHS NEWARK &amp; SHERWOOD CCG (04H)EQ-5D Index</v>
      </c>
      <c r="C1296" t="s">
        <v>248</v>
      </c>
      <c r="D1296" t="s">
        <v>87</v>
      </c>
      <c r="E1296" t="s">
        <v>624</v>
      </c>
      <c r="F1296" t="s">
        <v>625</v>
      </c>
      <c r="G1296" t="s">
        <v>52</v>
      </c>
      <c r="H1296">
        <v>83</v>
      </c>
      <c r="I1296">
        <v>0.36299999999999999</v>
      </c>
      <c r="J1296">
        <v>0.84699999999999998</v>
      </c>
      <c r="K1296">
        <v>0.48399999999999999</v>
      </c>
      <c r="L1296">
        <v>75</v>
      </c>
      <c r="M1296">
        <v>4</v>
      </c>
      <c r="N1296">
        <v>4</v>
      </c>
      <c r="O1296">
        <v>0.84099999999999997</v>
      </c>
      <c r="P1296">
        <v>0.47904186599999998</v>
      </c>
      <c r="Q1296">
        <v>0.17899999999999999</v>
      </c>
    </row>
    <row r="1297" spans="1:17" s="30" customFormat="1" x14ac:dyDescent="0.2">
      <c r="A1297" s="30" t="str">
        <f>IF(C1297&amp;G1297&amp;D1297&lt;&gt;'Funnel setup'!$K$3&amp;'Funnel setup'!$K$4&amp;'Funnel setup'!$K$5,".",IF(A1296=".",1,A1296+1))</f>
        <v>.</v>
      </c>
      <c r="B1297" s="431" t="str">
        <f t="shared" si="20"/>
        <v>Hip Replacement PrimaryCCG of GP PracticeNHS NEWBURY AND DISTRICT CCG (10M)EQ-5D Index</v>
      </c>
      <c r="C1297" t="s">
        <v>248</v>
      </c>
      <c r="D1297" t="s">
        <v>87</v>
      </c>
      <c r="E1297" t="s">
        <v>627</v>
      </c>
      <c r="F1297" t="s">
        <v>628</v>
      </c>
      <c r="G1297" t="s">
        <v>52</v>
      </c>
      <c r="H1297">
        <v>80</v>
      </c>
      <c r="I1297">
        <v>0.34100000000000003</v>
      </c>
      <c r="J1297">
        <v>0.82499999999999996</v>
      </c>
      <c r="K1297">
        <v>0.48399999999999999</v>
      </c>
      <c r="L1297">
        <v>73</v>
      </c>
      <c r="M1297">
        <v>4</v>
      </c>
      <c r="N1297">
        <v>3</v>
      </c>
      <c r="O1297">
        <v>0.82</v>
      </c>
      <c r="P1297">
        <v>0.45786460899999998</v>
      </c>
      <c r="Q1297">
        <v>0.20799999999999999</v>
      </c>
    </row>
    <row r="1298" spans="1:17" s="30" customFormat="1" x14ac:dyDescent="0.2">
      <c r="A1298" s="30" t="str">
        <f>IF(C1298&amp;G1298&amp;D1298&lt;&gt;'Funnel setup'!$K$3&amp;'Funnel setup'!$K$4&amp;'Funnel setup'!$K$5,".",IF(A1297=".",1,A1297+1))</f>
        <v>.</v>
      </c>
      <c r="B1298" s="431" t="str">
        <f t="shared" si="20"/>
        <v>Hip Replacement PrimaryCCG of GP PracticeNHS NEWCASTLE GATESHEAD CCG (13T)EQ-5D Index</v>
      </c>
      <c r="C1298" t="s">
        <v>248</v>
      </c>
      <c r="D1298" t="s">
        <v>87</v>
      </c>
      <c r="E1298" t="s">
        <v>6553</v>
      </c>
      <c r="F1298" t="s">
        <v>6543</v>
      </c>
      <c r="G1298" t="s">
        <v>52</v>
      </c>
      <c r="H1298">
        <v>343</v>
      </c>
      <c r="I1298">
        <v>0.34499999999999997</v>
      </c>
      <c r="J1298">
        <v>0.78100000000000003</v>
      </c>
      <c r="K1298">
        <v>0.437</v>
      </c>
      <c r="L1298">
        <v>310</v>
      </c>
      <c r="M1298">
        <v>16</v>
      </c>
      <c r="N1298">
        <v>17</v>
      </c>
      <c r="O1298">
        <v>0.78900000000000003</v>
      </c>
      <c r="P1298">
        <v>0.42738326199999999</v>
      </c>
      <c r="Q1298">
        <v>0.23200000000000001</v>
      </c>
    </row>
    <row r="1299" spans="1:17" s="30" customFormat="1" x14ac:dyDescent="0.2">
      <c r="A1299" s="30" t="str">
        <f>IF(C1299&amp;G1299&amp;D1299&lt;&gt;'Funnel setup'!$K$3&amp;'Funnel setup'!$K$4&amp;'Funnel setup'!$K$5,".",IF(A1298=".",1,A1298+1))</f>
        <v>.</v>
      </c>
      <c r="B1299" s="431" t="str">
        <f t="shared" si="20"/>
        <v>Hip Replacement PrimaryCCG of GP PracticeNHS NEWHAM CCG (08M)EQ-5D Index</v>
      </c>
      <c r="C1299" t="s">
        <v>248</v>
      </c>
      <c r="D1299" t="s">
        <v>87</v>
      </c>
      <c r="E1299" t="s">
        <v>630</v>
      </c>
      <c r="F1299" t="s">
        <v>631</v>
      </c>
      <c r="G1299" t="s">
        <v>52</v>
      </c>
      <c r="H1299">
        <v>39</v>
      </c>
      <c r="I1299">
        <v>0.249</v>
      </c>
      <c r="J1299">
        <v>0.65100000000000002</v>
      </c>
      <c r="K1299">
        <v>0.40200000000000002</v>
      </c>
      <c r="L1299">
        <v>33</v>
      </c>
      <c r="M1299">
        <v>1</v>
      </c>
      <c r="N1299">
        <v>5</v>
      </c>
      <c r="O1299">
        <v>0.755</v>
      </c>
      <c r="P1299">
        <v>0.39297948399999999</v>
      </c>
      <c r="Q1299">
        <v>0.29699999999999999</v>
      </c>
    </row>
    <row r="1300" spans="1:17" s="30" customFormat="1" x14ac:dyDescent="0.2">
      <c r="A1300" s="30" t="str">
        <f>IF(C1300&amp;G1300&amp;D1300&lt;&gt;'Funnel setup'!$K$3&amp;'Funnel setup'!$K$4&amp;'Funnel setup'!$K$5,".",IF(A1299=".",1,A1299+1))</f>
        <v>.</v>
      </c>
      <c r="B1300" s="431" t="str">
        <f t="shared" si="20"/>
        <v>Hip Replacement PrimaryCCG of GP PracticeNHS NORTH &amp; WEST READING CCG (10N)EQ-5D Index</v>
      </c>
      <c r="C1300" t="s">
        <v>248</v>
      </c>
      <c r="D1300" t="s">
        <v>87</v>
      </c>
      <c r="E1300" t="s">
        <v>633</v>
      </c>
      <c r="F1300" t="s">
        <v>634</v>
      </c>
      <c r="G1300" t="s">
        <v>52</v>
      </c>
      <c r="H1300">
        <v>71</v>
      </c>
      <c r="I1300">
        <v>0.435</v>
      </c>
      <c r="J1300">
        <v>0.83099999999999996</v>
      </c>
      <c r="K1300">
        <v>0.39600000000000002</v>
      </c>
      <c r="L1300">
        <v>65</v>
      </c>
      <c r="M1300">
        <v>3</v>
      </c>
      <c r="N1300">
        <v>3</v>
      </c>
      <c r="O1300">
        <v>0.81399999999999995</v>
      </c>
      <c r="P1300">
        <v>0.45188002700000002</v>
      </c>
      <c r="Q1300">
        <v>0.20300000000000001</v>
      </c>
    </row>
    <row r="1301" spans="1:17" s="30" customFormat="1" x14ac:dyDescent="0.2">
      <c r="A1301" s="30" t="str">
        <f>IF(C1301&amp;G1301&amp;D1301&lt;&gt;'Funnel setup'!$K$3&amp;'Funnel setup'!$K$4&amp;'Funnel setup'!$K$5,".",IF(A1300=".",1,A1300+1))</f>
        <v>.</v>
      </c>
      <c r="B1301" s="431" t="str">
        <f t="shared" si="20"/>
        <v>Hip Replacement PrimaryCCG of GP PracticeNHS NORTH DERBYSHIRE CCG (04J)EQ-5D Index</v>
      </c>
      <c r="C1301" t="s">
        <v>248</v>
      </c>
      <c r="D1301" t="s">
        <v>87</v>
      </c>
      <c r="E1301" t="s">
        <v>636</v>
      </c>
      <c r="F1301" t="s">
        <v>637</v>
      </c>
      <c r="G1301" t="s">
        <v>52</v>
      </c>
      <c r="H1301">
        <v>290</v>
      </c>
      <c r="I1301">
        <v>0.372</v>
      </c>
      <c r="J1301">
        <v>0.81499999999999995</v>
      </c>
      <c r="K1301">
        <v>0.443</v>
      </c>
      <c r="L1301">
        <v>267</v>
      </c>
      <c r="M1301">
        <v>12</v>
      </c>
      <c r="N1301">
        <v>11</v>
      </c>
      <c r="O1301">
        <v>0.81299999999999994</v>
      </c>
      <c r="P1301">
        <v>0.45158735100000003</v>
      </c>
      <c r="Q1301">
        <v>0.19</v>
      </c>
    </row>
    <row r="1302" spans="1:17" s="30" customFormat="1" x14ac:dyDescent="0.2">
      <c r="A1302" s="30" t="str">
        <f>IF(C1302&amp;G1302&amp;D1302&lt;&gt;'Funnel setup'!$K$3&amp;'Funnel setup'!$K$4&amp;'Funnel setup'!$K$5,".",IF(A1301=".",1,A1301+1))</f>
        <v>.</v>
      </c>
      <c r="B1302" s="431" t="str">
        <f t="shared" si="20"/>
        <v>Hip Replacement PrimaryCCG of GP PracticeNHS NORTH DURHAM CCG (00J)EQ-5D Index</v>
      </c>
      <c r="C1302" t="s">
        <v>248</v>
      </c>
      <c r="D1302" t="s">
        <v>87</v>
      </c>
      <c r="E1302" t="s">
        <v>639</v>
      </c>
      <c r="F1302" t="s">
        <v>640</v>
      </c>
      <c r="G1302" t="s">
        <v>52</v>
      </c>
      <c r="H1302">
        <v>176</v>
      </c>
      <c r="I1302">
        <v>0.26700000000000002</v>
      </c>
      <c r="J1302">
        <v>0.77100000000000002</v>
      </c>
      <c r="K1302">
        <v>0.504</v>
      </c>
      <c r="L1302">
        <v>155</v>
      </c>
      <c r="M1302">
        <v>13</v>
      </c>
      <c r="N1302">
        <v>8</v>
      </c>
      <c r="O1302">
        <v>0.81</v>
      </c>
      <c r="P1302">
        <v>0.44830906500000001</v>
      </c>
      <c r="Q1302">
        <v>0.22800000000000001</v>
      </c>
    </row>
    <row r="1303" spans="1:17" s="30" customFormat="1" x14ac:dyDescent="0.2">
      <c r="A1303" s="30" t="str">
        <f>IF(C1303&amp;G1303&amp;D1303&lt;&gt;'Funnel setup'!$K$3&amp;'Funnel setup'!$K$4&amp;'Funnel setup'!$K$5,".",IF(A1302=".",1,A1302+1))</f>
        <v>.</v>
      </c>
      <c r="B1303" s="431" t="str">
        <f t="shared" si="20"/>
        <v>Hip Replacement PrimaryCCG of GP PracticeNHS NORTH EAST ESSEX CCG (06T)EQ-5D Index</v>
      </c>
      <c r="C1303" t="s">
        <v>248</v>
      </c>
      <c r="D1303" t="s">
        <v>87</v>
      </c>
      <c r="E1303" t="s">
        <v>642</v>
      </c>
      <c r="F1303" t="s">
        <v>643</v>
      </c>
      <c r="G1303" t="s">
        <v>52</v>
      </c>
      <c r="H1303">
        <v>255</v>
      </c>
      <c r="I1303">
        <v>0.36599999999999999</v>
      </c>
      <c r="J1303">
        <v>0.78100000000000003</v>
      </c>
      <c r="K1303">
        <v>0.41499999999999998</v>
      </c>
      <c r="L1303">
        <v>228</v>
      </c>
      <c r="M1303">
        <v>11</v>
      </c>
      <c r="N1303">
        <v>16</v>
      </c>
      <c r="O1303">
        <v>0.78900000000000003</v>
      </c>
      <c r="P1303">
        <v>0.426912185</v>
      </c>
      <c r="Q1303">
        <v>0.223</v>
      </c>
    </row>
    <row r="1304" spans="1:17" s="30" customFormat="1" x14ac:dyDescent="0.2">
      <c r="A1304" s="30" t="str">
        <f>IF(C1304&amp;G1304&amp;D1304&lt;&gt;'Funnel setup'!$K$3&amp;'Funnel setup'!$K$4&amp;'Funnel setup'!$K$5,".",IF(A1303=".",1,A1303+1))</f>
        <v>.</v>
      </c>
      <c r="B1304" s="431" t="str">
        <f t="shared" si="20"/>
        <v>Hip Replacement PrimaryCCG of GP PracticeNHS NORTH EAST HAMPSHIRE AND FARNHAM CCG (99M)EQ-5D Index</v>
      </c>
      <c r="C1304" t="s">
        <v>248</v>
      </c>
      <c r="D1304" t="s">
        <v>87</v>
      </c>
      <c r="E1304" t="s">
        <v>645</v>
      </c>
      <c r="F1304" t="s">
        <v>646</v>
      </c>
      <c r="G1304" t="s">
        <v>52</v>
      </c>
      <c r="H1304">
        <v>191</v>
      </c>
      <c r="I1304">
        <v>0.45</v>
      </c>
      <c r="J1304">
        <v>0.86499999999999999</v>
      </c>
      <c r="K1304">
        <v>0.41499999999999998</v>
      </c>
      <c r="L1304">
        <v>178</v>
      </c>
      <c r="M1304">
        <v>6</v>
      </c>
      <c r="N1304">
        <v>7</v>
      </c>
      <c r="O1304">
        <v>0.83599999999999997</v>
      </c>
      <c r="P1304">
        <v>0.47384926199999999</v>
      </c>
      <c r="Q1304">
        <v>0.17299999999999999</v>
      </c>
    </row>
    <row r="1305" spans="1:17" s="30" customFormat="1" x14ac:dyDescent="0.2">
      <c r="A1305" s="30" t="str">
        <f>IF(C1305&amp;G1305&amp;D1305&lt;&gt;'Funnel setup'!$K$3&amp;'Funnel setup'!$K$4&amp;'Funnel setup'!$K$5,".",IF(A1304=".",1,A1304+1))</f>
        <v>.</v>
      </c>
      <c r="B1305" s="431" t="str">
        <f t="shared" si="20"/>
        <v>Hip Replacement PrimaryCCG of GP PracticeNHS NORTH EAST LINCOLNSHIRE CCG (03H)EQ-5D Index</v>
      </c>
      <c r="C1305" t="s">
        <v>248</v>
      </c>
      <c r="D1305" t="s">
        <v>87</v>
      </c>
      <c r="E1305" t="s">
        <v>648</v>
      </c>
      <c r="F1305" t="s">
        <v>649</v>
      </c>
      <c r="G1305" t="s">
        <v>52</v>
      </c>
      <c r="H1305">
        <v>92</v>
      </c>
      <c r="I1305">
        <v>0.373</v>
      </c>
      <c r="J1305">
        <v>0.81200000000000006</v>
      </c>
      <c r="K1305">
        <v>0.439</v>
      </c>
      <c r="L1305">
        <v>79</v>
      </c>
      <c r="M1305">
        <v>8</v>
      </c>
      <c r="N1305">
        <v>5</v>
      </c>
      <c r="O1305">
        <v>0.82099999999999995</v>
      </c>
      <c r="P1305">
        <v>0.45894189800000001</v>
      </c>
      <c r="Q1305">
        <v>0.221</v>
      </c>
    </row>
    <row r="1306" spans="1:17" s="30" customFormat="1" x14ac:dyDescent="0.2">
      <c r="A1306" s="30" t="str">
        <f>IF(C1306&amp;G1306&amp;D1306&lt;&gt;'Funnel setup'!$K$3&amp;'Funnel setup'!$K$4&amp;'Funnel setup'!$K$5,".",IF(A1305=".",1,A1305+1))</f>
        <v>.</v>
      </c>
      <c r="B1306" s="431" t="str">
        <f t="shared" si="20"/>
        <v>Hip Replacement PrimaryCCG of GP PracticeNHS NORTH HAMPSHIRE CCG (10J)EQ-5D Index</v>
      </c>
      <c r="C1306" t="s">
        <v>248</v>
      </c>
      <c r="D1306" t="s">
        <v>87</v>
      </c>
      <c r="E1306" t="s">
        <v>651</v>
      </c>
      <c r="F1306" t="s">
        <v>652</v>
      </c>
      <c r="G1306" t="s">
        <v>52</v>
      </c>
      <c r="H1306">
        <v>97</v>
      </c>
      <c r="I1306">
        <v>0.46400000000000002</v>
      </c>
      <c r="J1306">
        <v>0.85899999999999999</v>
      </c>
      <c r="K1306">
        <v>0.39600000000000002</v>
      </c>
      <c r="L1306">
        <v>92</v>
      </c>
      <c r="M1306">
        <v>5</v>
      </c>
      <c r="N1306">
        <v>0</v>
      </c>
      <c r="O1306">
        <v>0.81799999999999995</v>
      </c>
      <c r="P1306">
        <v>0.45671419099999999</v>
      </c>
      <c r="Q1306">
        <v>0.16300000000000001</v>
      </c>
    </row>
    <row r="1307" spans="1:17" s="30" customFormat="1" x14ac:dyDescent="0.2">
      <c r="A1307" s="30" t="str">
        <f>IF(C1307&amp;G1307&amp;D1307&lt;&gt;'Funnel setup'!$K$3&amp;'Funnel setup'!$K$4&amp;'Funnel setup'!$K$5,".",IF(A1306=".",1,A1306+1))</f>
        <v>.</v>
      </c>
      <c r="B1307" s="431" t="str">
        <f t="shared" si="20"/>
        <v>Hip Replacement PrimaryCCG of GP PracticeNHS NORTH KIRKLEES CCG (03J)EQ-5D Index</v>
      </c>
      <c r="C1307" t="s">
        <v>248</v>
      </c>
      <c r="D1307" t="s">
        <v>87</v>
      </c>
      <c r="E1307" t="s">
        <v>654</v>
      </c>
      <c r="F1307" t="s">
        <v>655</v>
      </c>
      <c r="G1307" t="s">
        <v>52</v>
      </c>
      <c r="H1307">
        <v>101</v>
      </c>
      <c r="I1307">
        <v>0.4</v>
      </c>
      <c r="J1307">
        <v>0.77700000000000002</v>
      </c>
      <c r="K1307">
        <v>0.376</v>
      </c>
      <c r="L1307">
        <v>83</v>
      </c>
      <c r="M1307">
        <v>10</v>
      </c>
      <c r="N1307">
        <v>8</v>
      </c>
      <c r="O1307">
        <v>0.77600000000000002</v>
      </c>
      <c r="P1307">
        <v>0.41399511700000002</v>
      </c>
      <c r="Q1307">
        <v>0.26</v>
      </c>
    </row>
    <row r="1308" spans="1:17" s="30" customFormat="1" x14ac:dyDescent="0.2">
      <c r="A1308" s="30" t="str">
        <f>IF(C1308&amp;G1308&amp;D1308&lt;&gt;'Funnel setup'!$K$3&amp;'Funnel setup'!$K$4&amp;'Funnel setup'!$K$5,".",IF(A1307=".",1,A1307+1))</f>
        <v>.</v>
      </c>
      <c r="B1308" s="431" t="str">
        <f t="shared" si="20"/>
        <v>Hip Replacement PrimaryCCG of GP PracticeNHS NORTH LINCOLNSHIRE CCG (03K)EQ-5D Index</v>
      </c>
      <c r="C1308" t="s">
        <v>248</v>
      </c>
      <c r="D1308" t="s">
        <v>87</v>
      </c>
      <c r="E1308" t="s">
        <v>657</v>
      </c>
      <c r="F1308" t="s">
        <v>658</v>
      </c>
      <c r="G1308" t="s">
        <v>52</v>
      </c>
      <c r="H1308">
        <v>121</v>
      </c>
      <c r="I1308">
        <v>0.39300000000000002</v>
      </c>
      <c r="J1308">
        <v>0.79300000000000004</v>
      </c>
      <c r="K1308">
        <v>0.4</v>
      </c>
      <c r="L1308">
        <v>109</v>
      </c>
      <c r="M1308">
        <v>6</v>
      </c>
      <c r="N1308">
        <v>6</v>
      </c>
      <c r="O1308">
        <v>0.78400000000000003</v>
      </c>
      <c r="P1308">
        <v>0.42245207099999998</v>
      </c>
      <c r="Q1308">
        <v>0.2</v>
      </c>
    </row>
    <row r="1309" spans="1:17" s="30" customFormat="1" x14ac:dyDescent="0.2">
      <c r="A1309" s="30" t="str">
        <f>IF(C1309&amp;G1309&amp;D1309&lt;&gt;'Funnel setup'!$K$3&amp;'Funnel setup'!$K$4&amp;'Funnel setup'!$K$5,".",IF(A1308=".",1,A1308+1))</f>
        <v>.</v>
      </c>
      <c r="B1309" s="431" t="str">
        <f t="shared" si="20"/>
        <v>Hip Replacement PrimaryCCG of GP PracticeNHS NORTH MANCHESTER CCG (01M)EQ-5D Index</v>
      </c>
      <c r="C1309" t="s">
        <v>248</v>
      </c>
      <c r="D1309" t="s">
        <v>87</v>
      </c>
      <c r="E1309" t="s">
        <v>660</v>
      </c>
      <c r="F1309" t="s">
        <v>661</v>
      </c>
      <c r="G1309" t="s">
        <v>52</v>
      </c>
      <c r="H1309">
        <v>52</v>
      </c>
      <c r="I1309">
        <v>0.22900000000000001</v>
      </c>
      <c r="J1309">
        <v>0.747</v>
      </c>
      <c r="K1309">
        <v>0.51800000000000002</v>
      </c>
      <c r="L1309">
        <v>48</v>
      </c>
      <c r="M1309">
        <v>2</v>
      </c>
      <c r="N1309">
        <v>2</v>
      </c>
      <c r="O1309">
        <v>0.81799999999999995</v>
      </c>
      <c r="P1309">
        <v>0.45621984300000001</v>
      </c>
      <c r="Q1309">
        <v>0.28000000000000003</v>
      </c>
    </row>
    <row r="1310" spans="1:17" s="30" customFormat="1" x14ac:dyDescent="0.2">
      <c r="A1310" s="30" t="str">
        <f>IF(C1310&amp;G1310&amp;D1310&lt;&gt;'Funnel setup'!$K$3&amp;'Funnel setup'!$K$4&amp;'Funnel setup'!$K$5,".",IF(A1309=".",1,A1309+1))</f>
        <v>.</v>
      </c>
      <c r="B1310" s="431" t="str">
        <f t="shared" si="20"/>
        <v>Hip Replacement PrimaryCCG of GP PracticeNHS NORTH NORFOLK CCG (06V)EQ-5D Index</v>
      </c>
      <c r="C1310" t="s">
        <v>248</v>
      </c>
      <c r="D1310" t="s">
        <v>87</v>
      </c>
      <c r="E1310" t="s">
        <v>663</v>
      </c>
      <c r="F1310" t="s">
        <v>664</v>
      </c>
      <c r="G1310" t="s">
        <v>52</v>
      </c>
      <c r="H1310">
        <v>230</v>
      </c>
      <c r="I1310">
        <v>0.42299999999999999</v>
      </c>
      <c r="J1310">
        <v>0.84199999999999997</v>
      </c>
      <c r="K1310">
        <v>0.41899999999999998</v>
      </c>
      <c r="L1310">
        <v>210</v>
      </c>
      <c r="M1310">
        <v>13</v>
      </c>
      <c r="N1310">
        <v>7</v>
      </c>
      <c r="O1310">
        <v>0.82099999999999995</v>
      </c>
      <c r="P1310">
        <v>0.45973141499999998</v>
      </c>
      <c r="Q1310">
        <v>0.17499999999999999</v>
      </c>
    </row>
    <row r="1311" spans="1:17" s="30" customFormat="1" x14ac:dyDescent="0.2">
      <c r="A1311" s="30" t="str">
        <f>IF(C1311&amp;G1311&amp;D1311&lt;&gt;'Funnel setup'!$K$3&amp;'Funnel setup'!$K$4&amp;'Funnel setup'!$K$5,".",IF(A1310=".",1,A1310+1))</f>
        <v>.</v>
      </c>
      <c r="B1311" s="431" t="str">
        <f t="shared" si="20"/>
        <v>Hip Replacement PrimaryCCG of GP PracticeNHS NORTH SOMERSET CCG (11T)EQ-5D Index</v>
      </c>
      <c r="C1311" t="s">
        <v>248</v>
      </c>
      <c r="D1311" t="s">
        <v>87</v>
      </c>
      <c r="E1311" t="s">
        <v>666</v>
      </c>
      <c r="F1311" t="s">
        <v>667</v>
      </c>
      <c r="G1311" t="s">
        <v>52</v>
      </c>
      <c r="H1311">
        <v>189</v>
      </c>
      <c r="I1311">
        <v>0.40600000000000003</v>
      </c>
      <c r="J1311">
        <v>0.81100000000000005</v>
      </c>
      <c r="K1311">
        <v>0.40500000000000003</v>
      </c>
      <c r="L1311">
        <v>168</v>
      </c>
      <c r="M1311">
        <v>9</v>
      </c>
      <c r="N1311">
        <v>12</v>
      </c>
      <c r="O1311">
        <v>0.78700000000000003</v>
      </c>
      <c r="P1311">
        <v>0.425775709</v>
      </c>
      <c r="Q1311">
        <v>0.20200000000000001</v>
      </c>
    </row>
    <row r="1312" spans="1:17" s="30" customFormat="1" x14ac:dyDescent="0.2">
      <c r="A1312" s="30" t="str">
        <f>IF(C1312&amp;G1312&amp;D1312&lt;&gt;'Funnel setup'!$K$3&amp;'Funnel setup'!$K$4&amp;'Funnel setup'!$K$5,".",IF(A1311=".",1,A1311+1))</f>
        <v>.</v>
      </c>
      <c r="B1312" s="431" t="str">
        <f t="shared" si="20"/>
        <v>Hip Replacement PrimaryCCG of GP PracticeNHS NORTH STAFFORDSHIRE CCG (05G)EQ-5D Index</v>
      </c>
      <c r="C1312" t="s">
        <v>248</v>
      </c>
      <c r="D1312" t="s">
        <v>87</v>
      </c>
      <c r="E1312" t="s">
        <v>669</v>
      </c>
      <c r="F1312" t="s">
        <v>670</v>
      </c>
      <c r="G1312" t="s">
        <v>52</v>
      </c>
      <c r="H1312">
        <v>184</v>
      </c>
      <c r="I1312">
        <v>0.316</v>
      </c>
      <c r="J1312">
        <v>0.80200000000000005</v>
      </c>
      <c r="K1312">
        <v>0.48599999999999999</v>
      </c>
      <c r="L1312">
        <v>173</v>
      </c>
      <c r="M1312">
        <v>7</v>
      </c>
      <c r="N1312">
        <v>4</v>
      </c>
      <c r="O1312">
        <v>0.81499999999999995</v>
      </c>
      <c r="P1312">
        <v>0.453403104</v>
      </c>
      <c r="Q1312">
        <v>0.182</v>
      </c>
    </row>
    <row r="1313" spans="1:17" s="30" customFormat="1" x14ac:dyDescent="0.2">
      <c r="A1313" s="30" t="str">
        <f>IF(C1313&amp;G1313&amp;D1313&lt;&gt;'Funnel setup'!$K$3&amp;'Funnel setup'!$K$4&amp;'Funnel setup'!$K$5,".",IF(A1312=".",1,A1312+1))</f>
        <v>.</v>
      </c>
      <c r="B1313" s="431" t="str">
        <f t="shared" si="20"/>
        <v>Hip Replacement PrimaryCCG of GP PracticeNHS NORTH TYNESIDE CCG (99C)EQ-5D Index</v>
      </c>
      <c r="C1313" t="s">
        <v>248</v>
      </c>
      <c r="D1313" t="s">
        <v>87</v>
      </c>
      <c r="E1313" t="s">
        <v>672</v>
      </c>
      <c r="F1313" t="s">
        <v>673</v>
      </c>
      <c r="G1313" t="s">
        <v>52</v>
      </c>
      <c r="H1313">
        <v>238</v>
      </c>
      <c r="I1313">
        <v>0.38600000000000001</v>
      </c>
      <c r="J1313">
        <v>0.78400000000000003</v>
      </c>
      <c r="K1313">
        <v>0.39900000000000002</v>
      </c>
      <c r="L1313">
        <v>202</v>
      </c>
      <c r="M1313">
        <v>18</v>
      </c>
      <c r="N1313">
        <v>18</v>
      </c>
      <c r="O1313">
        <v>0.79300000000000004</v>
      </c>
      <c r="P1313">
        <v>0.43176780999999997</v>
      </c>
      <c r="Q1313">
        <v>0.23</v>
      </c>
    </row>
    <row r="1314" spans="1:17" s="30" customFormat="1" x14ac:dyDescent="0.2">
      <c r="A1314" s="30" t="str">
        <f>IF(C1314&amp;G1314&amp;D1314&lt;&gt;'Funnel setup'!$K$3&amp;'Funnel setup'!$K$4&amp;'Funnel setup'!$K$5,".",IF(A1313=".",1,A1313+1))</f>
        <v>.</v>
      </c>
      <c r="B1314" s="431" t="str">
        <f t="shared" si="20"/>
        <v>Hip Replacement PrimaryCCG of GP PracticeNHS NORTH WEST SURREY CCG (09Y)EQ-5D Index</v>
      </c>
      <c r="C1314" t="s">
        <v>248</v>
      </c>
      <c r="D1314" t="s">
        <v>87</v>
      </c>
      <c r="E1314" t="s">
        <v>675</v>
      </c>
      <c r="F1314" t="s">
        <v>676</v>
      </c>
      <c r="G1314" t="s">
        <v>52</v>
      </c>
      <c r="H1314">
        <v>266</v>
      </c>
      <c r="I1314">
        <v>0.41799999999999998</v>
      </c>
      <c r="J1314">
        <v>0.83699999999999997</v>
      </c>
      <c r="K1314">
        <v>0.41899999999999998</v>
      </c>
      <c r="L1314">
        <v>236</v>
      </c>
      <c r="M1314">
        <v>14</v>
      </c>
      <c r="N1314">
        <v>16</v>
      </c>
      <c r="O1314">
        <v>0.81100000000000005</v>
      </c>
      <c r="P1314">
        <v>0.44931489400000002</v>
      </c>
      <c r="Q1314">
        <v>0.20499999999999999</v>
      </c>
    </row>
    <row r="1315" spans="1:17" s="30" customFormat="1" x14ac:dyDescent="0.2">
      <c r="A1315" s="30" t="str">
        <f>IF(C1315&amp;G1315&amp;D1315&lt;&gt;'Funnel setup'!$K$3&amp;'Funnel setup'!$K$4&amp;'Funnel setup'!$K$5,".",IF(A1314=".",1,A1314+1))</f>
        <v>.</v>
      </c>
      <c r="B1315" s="431" t="str">
        <f t="shared" si="20"/>
        <v>Hip Replacement PrimaryCCG of GP PracticeNHS NORTHERN, EASTERN AND WESTERN DEVON CCG (99P)EQ-5D Index</v>
      </c>
      <c r="C1315" t="s">
        <v>248</v>
      </c>
      <c r="D1315" t="s">
        <v>87</v>
      </c>
      <c r="E1315" t="s">
        <v>678</v>
      </c>
      <c r="F1315" t="s">
        <v>679</v>
      </c>
      <c r="G1315" t="s">
        <v>52</v>
      </c>
      <c r="H1315">
        <v>1018</v>
      </c>
      <c r="I1315">
        <v>0.37</v>
      </c>
      <c r="J1315">
        <v>0.81200000000000006</v>
      </c>
      <c r="K1315">
        <v>0.441</v>
      </c>
      <c r="L1315">
        <v>927</v>
      </c>
      <c r="M1315">
        <v>47</v>
      </c>
      <c r="N1315">
        <v>44</v>
      </c>
      <c r="O1315">
        <v>0.81</v>
      </c>
      <c r="P1315">
        <v>0.44791835200000002</v>
      </c>
      <c r="Q1315">
        <v>0.216</v>
      </c>
    </row>
    <row r="1316" spans="1:17" s="30" customFormat="1" x14ac:dyDescent="0.2">
      <c r="A1316" s="30" t="str">
        <f>IF(C1316&amp;G1316&amp;D1316&lt;&gt;'Funnel setup'!$K$3&amp;'Funnel setup'!$K$4&amp;'Funnel setup'!$K$5,".",IF(A1315=".",1,A1315+1))</f>
        <v>.</v>
      </c>
      <c r="B1316" s="431" t="str">
        <f t="shared" si="20"/>
        <v>Hip Replacement PrimaryCCG of GP PracticeNHS NORTHUMBERLAND CCG (00L)EQ-5D Index</v>
      </c>
      <c r="C1316" t="s">
        <v>248</v>
      </c>
      <c r="D1316" t="s">
        <v>87</v>
      </c>
      <c r="E1316" t="s">
        <v>681</v>
      </c>
      <c r="F1316" t="s">
        <v>336</v>
      </c>
      <c r="G1316" t="s">
        <v>52</v>
      </c>
      <c r="H1316">
        <v>331</v>
      </c>
      <c r="I1316">
        <v>0.34100000000000003</v>
      </c>
      <c r="J1316">
        <v>0.80500000000000005</v>
      </c>
      <c r="K1316">
        <v>0.46400000000000002</v>
      </c>
      <c r="L1316">
        <v>301</v>
      </c>
      <c r="M1316">
        <v>19</v>
      </c>
      <c r="N1316">
        <v>11</v>
      </c>
      <c r="O1316">
        <v>0.80900000000000005</v>
      </c>
      <c r="P1316">
        <v>0.44759644599999998</v>
      </c>
      <c r="Q1316">
        <v>0.218</v>
      </c>
    </row>
    <row r="1317" spans="1:17" s="30" customFormat="1" x14ac:dyDescent="0.2">
      <c r="A1317" s="30" t="str">
        <f>IF(C1317&amp;G1317&amp;D1317&lt;&gt;'Funnel setup'!$K$3&amp;'Funnel setup'!$K$4&amp;'Funnel setup'!$K$5,".",IF(A1316=".",1,A1316+1))</f>
        <v>.</v>
      </c>
      <c r="B1317" s="431" t="str">
        <f t="shared" si="20"/>
        <v>Hip Replacement PrimaryCCG of GP PracticeNHS NORWICH CCG (06W)EQ-5D Index</v>
      </c>
      <c r="C1317" t="s">
        <v>248</v>
      </c>
      <c r="D1317" t="s">
        <v>87</v>
      </c>
      <c r="E1317" t="s">
        <v>770</v>
      </c>
      <c r="F1317" t="s">
        <v>771</v>
      </c>
      <c r="G1317" t="s">
        <v>52</v>
      </c>
      <c r="H1317">
        <v>132</v>
      </c>
      <c r="I1317">
        <v>0.33100000000000002</v>
      </c>
      <c r="J1317">
        <v>0.754</v>
      </c>
      <c r="K1317">
        <v>0.42299999999999999</v>
      </c>
      <c r="L1317">
        <v>116</v>
      </c>
      <c r="M1317">
        <v>8</v>
      </c>
      <c r="N1317">
        <v>8</v>
      </c>
      <c r="O1317">
        <v>0.76200000000000001</v>
      </c>
      <c r="P1317">
        <v>0.40082466</v>
      </c>
      <c r="Q1317">
        <v>0.25700000000000001</v>
      </c>
    </row>
    <row r="1318" spans="1:17" s="30" customFormat="1" x14ac:dyDescent="0.2">
      <c r="A1318" s="30" t="str">
        <f>IF(C1318&amp;G1318&amp;D1318&lt;&gt;'Funnel setup'!$K$3&amp;'Funnel setup'!$K$4&amp;'Funnel setup'!$K$5,".",IF(A1317=".",1,A1317+1))</f>
        <v>.</v>
      </c>
      <c r="B1318" s="431" t="str">
        <f t="shared" si="20"/>
        <v>Hip Replacement PrimaryCCG of GP PracticeNHS NOTTINGHAM CITY CCG (04K)EQ-5D Index</v>
      </c>
      <c r="C1318" t="s">
        <v>248</v>
      </c>
      <c r="D1318" t="s">
        <v>87</v>
      </c>
      <c r="E1318" t="s">
        <v>773</v>
      </c>
      <c r="F1318" t="s">
        <v>774</v>
      </c>
      <c r="G1318" t="s">
        <v>52</v>
      </c>
      <c r="H1318">
        <v>115</v>
      </c>
      <c r="I1318">
        <v>0.377</v>
      </c>
      <c r="J1318">
        <v>0.79300000000000004</v>
      </c>
      <c r="K1318">
        <v>0.41699999999999998</v>
      </c>
      <c r="L1318">
        <v>103</v>
      </c>
      <c r="M1318">
        <v>7</v>
      </c>
      <c r="N1318">
        <v>5</v>
      </c>
      <c r="O1318">
        <v>0.81299999999999994</v>
      </c>
      <c r="P1318">
        <v>0.45168888299999999</v>
      </c>
      <c r="Q1318">
        <v>0.20300000000000001</v>
      </c>
    </row>
    <row r="1319" spans="1:17" s="30" customFormat="1" x14ac:dyDescent="0.2">
      <c r="A1319" s="30" t="str">
        <f>IF(C1319&amp;G1319&amp;D1319&lt;&gt;'Funnel setup'!$K$3&amp;'Funnel setup'!$K$4&amp;'Funnel setup'!$K$5,".",IF(A1318=".",1,A1318+1))</f>
        <v>.</v>
      </c>
      <c r="B1319" s="431" t="str">
        <f t="shared" si="20"/>
        <v>Hip Replacement PrimaryCCG of GP PracticeNHS NOTTINGHAM NORTH AND EAST CCG (04L)EQ-5D Index</v>
      </c>
      <c r="C1319" t="s">
        <v>248</v>
      </c>
      <c r="D1319" t="s">
        <v>87</v>
      </c>
      <c r="E1319" t="s">
        <v>776</v>
      </c>
      <c r="F1319" t="s">
        <v>777</v>
      </c>
      <c r="G1319" t="s">
        <v>52</v>
      </c>
      <c r="H1319">
        <v>134</v>
      </c>
      <c r="I1319">
        <v>0.39200000000000002</v>
      </c>
      <c r="J1319">
        <v>0.78400000000000003</v>
      </c>
      <c r="K1319">
        <v>0.39200000000000002</v>
      </c>
      <c r="L1319">
        <v>120</v>
      </c>
      <c r="M1319">
        <v>6</v>
      </c>
      <c r="N1319">
        <v>8</v>
      </c>
      <c r="O1319">
        <v>0.77500000000000002</v>
      </c>
      <c r="P1319">
        <v>0.41326153399999999</v>
      </c>
      <c r="Q1319">
        <v>0.19600000000000001</v>
      </c>
    </row>
    <row r="1320" spans="1:17" s="30" customFormat="1" x14ac:dyDescent="0.2">
      <c r="A1320" s="30" t="str">
        <f>IF(C1320&amp;G1320&amp;D1320&lt;&gt;'Funnel setup'!$K$3&amp;'Funnel setup'!$K$4&amp;'Funnel setup'!$K$5,".",IF(A1319=".",1,A1319+1))</f>
        <v>.</v>
      </c>
      <c r="B1320" s="431" t="str">
        <f t="shared" si="20"/>
        <v>Hip Replacement PrimaryCCG of GP PracticeNHS NOTTINGHAM WEST CCG (04M)EQ-5D Index</v>
      </c>
      <c r="C1320" t="s">
        <v>248</v>
      </c>
      <c r="D1320" t="s">
        <v>87</v>
      </c>
      <c r="E1320" t="s">
        <v>779</v>
      </c>
      <c r="F1320" t="s">
        <v>780</v>
      </c>
      <c r="G1320" t="s">
        <v>52</v>
      </c>
      <c r="H1320">
        <v>83</v>
      </c>
      <c r="I1320">
        <v>0.36099999999999999</v>
      </c>
      <c r="J1320">
        <v>0.82099999999999995</v>
      </c>
      <c r="K1320">
        <v>0.46</v>
      </c>
      <c r="L1320">
        <v>72</v>
      </c>
      <c r="M1320">
        <v>4</v>
      </c>
      <c r="N1320">
        <v>7</v>
      </c>
      <c r="O1320">
        <v>0.81200000000000006</v>
      </c>
      <c r="P1320">
        <v>0.450242225</v>
      </c>
      <c r="Q1320">
        <v>0.19400000000000001</v>
      </c>
    </row>
    <row r="1321" spans="1:17" s="30" customFormat="1" x14ac:dyDescent="0.2">
      <c r="A1321" s="30" t="str">
        <f>IF(C1321&amp;G1321&amp;D1321&lt;&gt;'Funnel setup'!$K$3&amp;'Funnel setup'!$K$4&amp;'Funnel setup'!$K$5,".",IF(A1320=".",1,A1320+1))</f>
        <v>.</v>
      </c>
      <c r="B1321" s="431" t="str">
        <f t="shared" si="20"/>
        <v>Hip Replacement PrimaryCCG of GP PracticeNHS OLDHAM CCG (00Y)EQ-5D Index</v>
      </c>
      <c r="C1321" t="s">
        <v>248</v>
      </c>
      <c r="D1321" t="s">
        <v>87</v>
      </c>
      <c r="E1321" t="s">
        <v>782</v>
      </c>
      <c r="F1321" t="s">
        <v>783</v>
      </c>
      <c r="G1321" t="s">
        <v>52</v>
      </c>
      <c r="H1321">
        <v>114</v>
      </c>
      <c r="I1321">
        <v>0.26400000000000001</v>
      </c>
      <c r="J1321">
        <v>0.76</v>
      </c>
      <c r="K1321">
        <v>0.497</v>
      </c>
      <c r="L1321">
        <v>101</v>
      </c>
      <c r="M1321">
        <v>5</v>
      </c>
      <c r="N1321">
        <v>8</v>
      </c>
      <c r="O1321">
        <v>0.79800000000000004</v>
      </c>
      <c r="P1321">
        <v>0.43646162399999999</v>
      </c>
      <c r="Q1321">
        <v>0.23799999999999999</v>
      </c>
    </row>
    <row r="1322" spans="1:17" s="30" customFormat="1" x14ac:dyDescent="0.2">
      <c r="A1322" s="30" t="str">
        <f>IF(C1322&amp;G1322&amp;D1322&lt;&gt;'Funnel setup'!$K$3&amp;'Funnel setup'!$K$4&amp;'Funnel setup'!$K$5,".",IF(A1321=".",1,A1321+1))</f>
        <v>.</v>
      </c>
      <c r="B1322" s="431" t="str">
        <f t="shared" si="20"/>
        <v>Hip Replacement PrimaryCCG of GP PracticeNHS OXFORDSHIRE CCG (10Q)EQ-5D Index</v>
      </c>
      <c r="C1322" t="s">
        <v>248</v>
      </c>
      <c r="D1322" t="s">
        <v>87</v>
      </c>
      <c r="E1322" t="s">
        <v>785</v>
      </c>
      <c r="F1322" t="s">
        <v>786</v>
      </c>
      <c r="G1322" t="s">
        <v>52</v>
      </c>
      <c r="H1322">
        <v>542</v>
      </c>
      <c r="I1322">
        <v>0.38</v>
      </c>
      <c r="J1322">
        <v>0.82199999999999995</v>
      </c>
      <c r="K1322">
        <v>0.442</v>
      </c>
      <c r="L1322">
        <v>495</v>
      </c>
      <c r="M1322">
        <v>23</v>
      </c>
      <c r="N1322">
        <v>24</v>
      </c>
      <c r="O1322">
        <v>0.81</v>
      </c>
      <c r="P1322">
        <v>0.44807644800000002</v>
      </c>
      <c r="Q1322">
        <v>0.21199999999999999</v>
      </c>
    </row>
    <row r="1323" spans="1:17" s="30" customFormat="1" x14ac:dyDescent="0.2">
      <c r="A1323" s="30" t="str">
        <f>IF(C1323&amp;G1323&amp;D1323&lt;&gt;'Funnel setup'!$K$3&amp;'Funnel setup'!$K$4&amp;'Funnel setup'!$K$5,".",IF(A1322=".",1,A1322+1))</f>
        <v>.</v>
      </c>
      <c r="B1323" s="431" t="str">
        <f t="shared" si="20"/>
        <v>Hip Replacement PrimaryCCG of GP PracticeNHS PORTSMOUTH CCG (10R)EQ-5D Index</v>
      </c>
      <c r="C1323" t="s">
        <v>248</v>
      </c>
      <c r="D1323" t="s">
        <v>87</v>
      </c>
      <c r="E1323" t="s">
        <v>788</v>
      </c>
      <c r="F1323" t="s">
        <v>789</v>
      </c>
      <c r="G1323" t="s">
        <v>52</v>
      </c>
      <c r="H1323">
        <v>62</v>
      </c>
      <c r="I1323">
        <v>0.32400000000000001</v>
      </c>
      <c r="J1323">
        <v>0.78</v>
      </c>
      <c r="K1323">
        <v>0.45600000000000002</v>
      </c>
      <c r="L1323">
        <v>57</v>
      </c>
      <c r="M1323">
        <v>3</v>
      </c>
      <c r="N1323">
        <v>2</v>
      </c>
      <c r="O1323">
        <v>0.79600000000000004</v>
      </c>
      <c r="P1323">
        <v>0.43476206299999998</v>
      </c>
      <c r="Q1323">
        <v>0.247</v>
      </c>
    </row>
    <row r="1324" spans="1:17" s="30" customFormat="1" x14ac:dyDescent="0.2">
      <c r="A1324" s="30" t="str">
        <f>IF(C1324&amp;G1324&amp;D1324&lt;&gt;'Funnel setup'!$K$3&amp;'Funnel setup'!$K$4&amp;'Funnel setup'!$K$5,".",IF(A1323=".",1,A1323+1))</f>
        <v>.</v>
      </c>
      <c r="B1324" s="431" t="str">
        <f t="shared" si="20"/>
        <v>Hip Replacement PrimaryCCG of GP PracticeNHS REDBRIDGE CCG (08N)EQ-5D Index</v>
      </c>
      <c r="C1324" t="s">
        <v>248</v>
      </c>
      <c r="D1324" t="s">
        <v>87</v>
      </c>
      <c r="E1324" t="s">
        <v>791</v>
      </c>
      <c r="F1324" t="s">
        <v>792</v>
      </c>
      <c r="G1324" t="s">
        <v>52</v>
      </c>
      <c r="H1324">
        <v>54</v>
      </c>
      <c r="I1324">
        <v>0.34100000000000003</v>
      </c>
      <c r="J1324">
        <v>0.76500000000000001</v>
      </c>
      <c r="K1324">
        <v>0.42399999999999999</v>
      </c>
      <c r="L1324">
        <v>50</v>
      </c>
      <c r="M1324">
        <v>1</v>
      </c>
      <c r="N1324">
        <v>3</v>
      </c>
      <c r="O1324">
        <v>0.78</v>
      </c>
      <c r="P1324">
        <v>0.41879844100000002</v>
      </c>
      <c r="Q1324">
        <v>0.21299999999999999</v>
      </c>
    </row>
    <row r="1325" spans="1:17" s="30" customFormat="1" x14ac:dyDescent="0.2">
      <c r="A1325" s="30" t="str">
        <f>IF(C1325&amp;G1325&amp;D1325&lt;&gt;'Funnel setup'!$K$3&amp;'Funnel setup'!$K$4&amp;'Funnel setup'!$K$5,".",IF(A1324=".",1,A1324+1))</f>
        <v>.</v>
      </c>
      <c r="B1325" s="431" t="str">
        <f t="shared" si="20"/>
        <v>Hip Replacement PrimaryCCG of GP PracticeNHS REDDITCH AND BROMSGROVE CCG (05J)EQ-5D Index</v>
      </c>
      <c r="C1325" t="s">
        <v>248</v>
      </c>
      <c r="D1325" t="s">
        <v>87</v>
      </c>
      <c r="E1325" t="s">
        <v>794</v>
      </c>
      <c r="F1325" t="s">
        <v>795</v>
      </c>
      <c r="G1325" t="s">
        <v>52</v>
      </c>
      <c r="H1325">
        <v>143</v>
      </c>
      <c r="I1325">
        <v>0.33100000000000002</v>
      </c>
      <c r="J1325">
        <v>0.80500000000000005</v>
      </c>
      <c r="K1325">
        <v>0.47399999999999998</v>
      </c>
      <c r="L1325">
        <v>137</v>
      </c>
      <c r="M1325">
        <v>3</v>
      </c>
      <c r="N1325">
        <v>3</v>
      </c>
      <c r="O1325">
        <v>0.80100000000000005</v>
      </c>
      <c r="P1325">
        <v>0.43964901899999997</v>
      </c>
      <c r="Q1325">
        <v>0.188</v>
      </c>
    </row>
    <row r="1326" spans="1:17" s="30" customFormat="1" x14ac:dyDescent="0.2">
      <c r="A1326" s="30" t="str">
        <f>IF(C1326&amp;G1326&amp;D1326&lt;&gt;'Funnel setup'!$K$3&amp;'Funnel setup'!$K$4&amp;'Funnel setup'!$K$5,".",IF(A1325=".",1,A1325+1))</f>
        <v>.</v>
      </c>
      <c r="B1326" s="431" t="str">
        <f t="shared" si="20"/>
        <v>Hip Replacement PrimaryCCG of GP PracticeNHS RICHMOND CCG (08P)EQ-5D Index</v>
      </c>
      <c r="C1326" t="s">
        <v>248</v>
      </c>
      <c r="D1326" t="s">
        <v>87</v>
      </c>
      <c r="E1326" t="s">
        <v>797</v>
      </c>
      <c r="F1326" t="s">
        <v>798</v>
      </c>
      <c r="G1326" t="s">
        <v>52</v>
      </c>
      <c r="H1326">
        <v>89</v>
      </c>
      <c r="I1326">
        <v>0.43</v>
      </c>
      <c r="J1326">
        <v>0.82699999999999996</v>
      </c>
      <c r="K1326">
        <v>0.39700000000000002</v>
      </c>
      <c r="L1326">
        <v>79</v>
      </c>
      <c r="M1326">
        <v>4</v>
      </c>
      <c r="N1326">
        <v>6</v>
      </c>
      <c r="O1326">
        <v>0.80100000000000005</v>
      </c>
      <c r="P1326">
        <v>0.43945158699999998</v>
      </c>
      <c r="Q1326">
        <v>0.17599999999999999</v>
      </c>
    </row>
    <row r="1327" spans="1:17" s="30" customFormat="1" x14ac:dyDescent="0.2">
      <c r="A1327" s="30" t="str">
        <f>IF(C1327&amp;G1327&amp;D1327&lt;&gt;'Funnel setup'!$K$3&amp;'Funnel setup'!$K$4&amp;'Funnel setup'!$K$5,".",IF(A1326=".",1,A1326+1))</f>
        <v>.</v>
      </c>
      <c r="B1327" s="431" t="str">
        <f t="shared" si="20"/>
        <v>Hip Replacement PrimaryCCG of GP PracticeNHS ROTHERHAM CCG (03L)EQ-5D Index</v>
      </c>
      <c r="C1327" t="s">
        <v>248</v>
      </c>
      <c r="D1327" t="s">
        <v>87</v>
      </c>
      <c r="E1327" t="s">
        <v>800</v>
      </c>
      <c r="F1327" t="s">
        <v>801</v>
      </c>
      <c r="G1327" t="s">
        <v>52</v>
      </c>
      <c r="H1327">
        <v>175</v>
      </c>
      <c r="I1327">
        <v>0.31900000000000001</v>
      </c>
      <c r="J1327">
        <v>0.79800000000000004</v>
      </c>
      <c r="K1327">
        <v>0.47899999999999998</v>
      </c>
      <c r="L1327">
        <v>158</v>
      </c>
      <c r="M1327">
        <v>6</v>
      </c>
      <c r="N1327">
        <v>11</v>
      </c>
      <c r="O1327">
        <v>0.81399999999999995</v>
      </c>
      <c r="P1327">
        <v>0.452543959</v>
      </c>
      <c r="Q1327">
        <v>0.23599999999999999</v>
      </c>
    </row>
    <row r="1328" spans="1:17" s="30" customFormat="1" x14ac:dyDescent="0.2">
      <c r="A1328" s="30" t="str">
        <f>IF(C1328&amp;G1328&amp;D1328&lt;&gt;'Funnel setup'!$K$3&amp;'Funnel setup'!$K$4&amp;'Funnel setup'!$K$5,".",IF(A1327=".",1,A1327+1))</f>
        <v>.</v>
      </c>
      <c r="B1328" s="431" t="str">
        <f t="shared" si="20"/>
        <v>Hip Replacement PrimaryCCG of GP PracticeNHS RUSHCLIFFE CCG (04N)EQ-5D Index</v>
      </c>
      <c r="C1328" t="s">
        <v>248</v>
      </c>
      <c r="D1328" t="s">
        <v>87</v>
      </c>
      <c r="E1328" t="s">
        <v>803</v>
      </c>
      <c r="F1328" t="s">
        <v>804</v>
      </c>
      <c r="G1328" t="s">
        <v>52</v>
      </c>
      <c r="H1328">
        <v>104</v>
      </c>
      <c r="I1328">
        <v>0.377</v>
      </c>
      <c r="J1328">
        <v>0.81399999999999995</v>
      </c>
      <c r="K1328">
        <v>0.438</v>
      </c>
      <c r="L1328">
        <v>95</v>
      </c>
      <c r="M1328">
        <v>6</v>
      </c>
      <c r="N1328">
        <v>3</v>
      </c>
      <c r="O1328">
        <v>0.79500000000000004</v>
      </c>
      <c r="P1328">
        <v>0.43383272299999998</v>
      </c>
      <c r="Q1328">
        <v>0.184</v>
      </c>
    </row>
    <row r="1329" spans="1:17" s="30" customFormat="1" x14ac:dyDescent="0.2">
      <c r="A1329" s="30" t="str">
        <f>IF(C1329&amp;G1329&amp;D1329&lt;&gt;'Funnel setup'!$K$3&amp;'Funnel setup'!$K$4&amp;'Funnel setup'!$K$5,".",IF(A1328=".",1,A1328+1))</f>
        <v>.</v>
      </c>
      <c r="B1329" s="431" t="str">
        <f t="shared" si="20"/>
        <v>Hip Replacement PrimaryCCG of GP PracticeNHS SALFORD CCG (01G)EQ-5D Index</v>
      </c>
      <c r="C1329" t="s">
        <v>248</v>
      </c>
      <c r="D1329" t="s">
        <v>87</v>
      </c>
      <c r="E1329" t="s">
        <v>806</v>
      </c>
      <c r="F1329" t="s">
        <v>807</v>
      </c>
      <c r="G1329" t="s">
        <v>52</v>
      </c>
      <c r="H1329">
        <v>87</v>
      </c>
      <c r="I1329">
        <v>0.308</v>
      </c>
      <c r="J1329">
        <v>0.76100000000000001</v>
      </c>
      <c r="K1329">
        <v>0.45300000000000001</v>
      </c>
      <c r="L1329">
        <v>79</v>
      </c>
      <c r="M1329">
        <v>4</v>
      </c>
      <c r="N1329">
        <v>4</v>
      </c>
      <c r="O1329">
        <v>0.79600000000000004</v>
      </c>
      <c r="P1329">
        <v>0.43462812499999998</v>
      </c>
      <c r="Q1329">
        <v>0.222</v>
      </c>
    </row>
    <row r="1330" spans="1:17" s="30" customFormat="1" x14ac:dyDescent="0.2">
      <c r="A1330" s="30" t="str">
        <f>IF(C1330&amp;G1330&amp;D1330&lt;&gt;'Funnel setup'!$K$3&amp;'Funnel setup'!$K$4&amp;'Funnel setup'!$K$5,".",IF(A1329=".",1,A1329+1))</f>
        <v>.</v>
      </c>
      <c r="B1330" s="431" t="str">
        <f t="shared" si="20"/>
        <v>Hip Replacement PrimaryCCG of GP PracticeNHS SANDWELL AND WEST BIRMINGHAM CCG (05L)EQ-5D Index</v>
      </c>
      <c r="C1330" t="s">
        <v>248</v>
      </c>
      <c r="D1330" t="s">
        <v>87</v>
      </c>
      <c r="E1330" t="s">
        <v>809</v>
      </c>
      <c r="F1330" t="s">
        <v>810</v>
      </c>
      <c r="G1330" t="s">
        <v>52</v>
      </c>
      <c r="H1330">
        <v>213</v>
      </c>
      <c r="I1330">
        <v>0.255</v>
      </c>
      <c r="J1330">
        <v>0.72499999999999998</v>
      </c>
      <c r="K1330">
        <v>0.47</v>
      </c>
      <c r="L1330">
        <v>188</v>
      </c>
      <c r="M1330">
        <v>10</v>
      </c>
      <c r="N1330">
        <v>15</v>
      </c>
      <c r="O1330">
        <v>0.79200000000000004</v>
      </c>
      <c r="P1330">
        <v>0.42999939999999998</v>
      </c>
      <c r="Q1330">
        <v>0.22900000000000001</v>
      </c>
    </row>
    <row r="1331" spans="1:17" s="30" customFormat="1" x14ac:dyDescent="0.2">
      <c r="A1331" s="30" t="str">
        <f>IF(C1331&amp;G1331&amp;D1331&lt;&gt;'Funnel setup'!$K$3&amp;'Funnel setup'!$K$4&amp;'Funnel setup'!$K$5,".",IF(A1330=".",1,A1330+1))</f>
        <v>.</v>
      </c>
      <c r="B1331" s="431" t="str">
        <f t="shared" si="20"/>
        <v>Hip Replacement PrimaryCCG of GP PracticeNHS SCARBOROUGH AND RYEDALE CCG (03M)EQ-5D Index</v>
      </c>
      <c r="C1331" t="s">
        <v>248</v>
      </c>
      <c r="D1331" t="s">
        <v>87</v>
      </c>
      <c r="E1331" t="s">
        <v>812</v>
      </c>
      <c r="F1331" t="s">
        <v>813</v>
      </c>
      <c r="G1331" t="s">
        <v>52</v>
      </c>
      <c r="H1331">
        <v>153</v>
      </c>
      <c r="I1331">
        <v>0.35599999999999998</v>
      </c>
      <c r="J1331">
        <v>0.83299999999999996</v>
      </c>
      <c r="K1331">
        <v>0.47799999999999998</v>
      </c>
      <c r="L1331">
        <v>139</v>
      </c>
      <c r="M1331">
        <v>6</v>
      </c>
      <c r="N1331">
        <v>8</v>
      </c>
      <c r="O1331">
        <v>0.82799999999999996</v>
      </c>
      <c r="P1331">
        <v>0.46659569000000001</v>
      </c>
      <c r="Q1331">
        <v>0.17799999999999999</v>
      </c>
    </row>
    <row r="1332" spans="1:17" s="30" customFormat="1" x14ac:dyDescent="0.2">
      <c r="A1332" s="30" t="str">
        <f>IF(C1332&amp;G1332&amp;D1332&lt;&gt;'Funnel setup'!$K$3&amp;'Funnel setup'!$K$4&amp;'Funnel setup'!$K$5,".",IF(A1331=".",1,A1331+1))</f>
        <v>.</v>
      </c>
      <c r="B1332" s="431" t="str">
        <f t="shared" si="20"/>
        <v>Hip Replacement PrimaryCCG of GP PracticeNHS SHEFFIELD CCG (03N)EQ-5D Index</v>
      </c>
      <c r="C1332" t="s">
        <v>248</v>
      </c>
      <c r="D1332" t="s">
        <v>87</v>
      </c>
      <c r="E1332" t="s">
        <v>815</v>
      </c>
      <c r="F1332" t="s">
        <v>816</v>
      </c>
      <c r="G1332" t="s">
        <v>52</v>
      </c>
      <c r="H1332">
        <v>348</v>
      </c>
      <c r="I1332">
        <v>0.34200000000000003</v>
      </c>
      <c r="J1332">
        <v>0.78700000000000003</v>
      </c>
      <c r="K1332">
        <v>0.44600000000000001</v>
      </c>
      <c r="L1332">
        <v>307</v>
      </c>
      <c r="M1332">
        <v>19</v>
      </c>
      <c r="N1332">
        <v>22</v>
      </c>
      <c r="O1332">
        <v>0.79600000000000004</v>
      </c>
      <c r="P1332">
        <v>0.43392084600000003</v>
      </c>
      <c r="Q1332">
        <v>0.215</v>
      </c>
    </row>
    <row r="1333" spans="1:17" s="30" customFormat="1" x14ac:dyDescent="0.2">
      <c r="A1333" s="30" t="str">
        <f>IF(C1333&amp;G1333&amp;D1333&lt;&gt;'Funnel setup'!$K$3&amp;'Funnel setup'!$K$4&amp;'Funnel setup'!$K$5,".",IF(A1332=".",1,A1332+1))</f>
        <v>.</v>
      </c>
      <c r="B1333" s="431" t="str">
        <f t="shared" si="20"/>
        <v>Hip Replacement PrimaryCCG of GP PracticeNHS SHROPSHIRE CCG (05N)EQ-5D Index</v>
      </c>
      <c r="C1333" t="s">
        <v>248</v>
      </c>
      <c r="D1333" t="s">
        <v>87</v>
      </c>
      <c r="E1333" t="s">
        <v>818</v>
      </c>
      <c r="F1333" t="s">
        <v>819</v>
      </c>
      <c r="G1333" t="s">
        <v>52</v>
      </c>
      <c r="H1333">
        <v>379</v>
      </c>
      <c r="I1333">
        <v>0.29299999999999998</v>
      </c>
      <c r="J1333">
        <v>0.80900000000000005</v>
      </c>
      <c r="K1333">
        <v>0.51700000000000002</v>
      </c>
      <c r="L1333">
        <v>351</v>
      </c>
      <c r="M1333">
        <v>15</v>
      </c>
      <c r="N1333">
        <v>13</v>
      </c>
      <c r="O1333">
        <v>0.77500000000000002</v>
      </c>
      <c r="P1333">
        <v>0.41357769799999999</v>
      </c>
      <c r="Q1333">
        <v>0.20699999999999999</v>
      </c>
    </row>
    <row r="1334" spans="1:17" s="30" customFormat="1" x14ac:dyDescent="0.2">
      <c r="A1334" s="30" t="str">
        <f>IF(C1334&amp;G1334&amp;D1334&lt;&gt;'Funnel setup'!$K$3&amp;'Funnel setup'!$K$4&amp;'Funnel setup'!$K$5,".",IF(A1333=".",1,A1333+1))</f>
        <v>.</v>
      </c>
      <c r="B1334" s="431" t="str">
        <f t="shared" si="20"/>
        <v>Hip Replacement PrimaryCCG of GP PracticeNHS SLOUGH CCG (10T)EQ-5D Index</v>
      </c>
      <c r="C1334" t="s">
        <v>248</v>
      </c>
      <c r="D1334" t="s">
        <v>87</v>
      </c>
      <c r="E1334" t="s">
        <v>821</v>
      </c>
      <c r="F1334" t="s">
        <v>822</v>
      </c>
      <c r="G1334" t="s">
        <v>52</v>
      </c>
      <c r="H1334">
        <v>31</v>
      </c>
      <c r="I1334">
        <v>0.33900000000000002</v>
      </c>
      <c r="J1334">
        <v>0.71099999999999997</v>
      </c>
      <c r="K1334">
        <v>0.372</v>
      </c>
      <c r="L1334">
        <v>26</v>
      </c>
      <c r="M1334">
        <v>3</v>
      </c>
      <c r="N1334">
        <v>2</v>
      </c>
      <c r="O1334">
        <v>0.74299999999999999</v>
      </c>
      <c r="P1334">
        <v>0.38140621899999999</v>
      </c>
      <c r="Q1334">
        <v>0.23899999999999999</v>
      </c>
    </row>
    <row r="1335" spans="1:17" s="30" customFormat="1" x14ac:dyDescent="0.2">
      <c r="A1335" s="30" t="str">
        <f>IF(C1335&amp;G1335&amp;D1335&lt;&gt;'Funnel setup'!$K$3&amp;'Funnel setup'!$K$4&amp;'Funnel setup'!$K$5,".",IF(A1334=".",1,A1334+1))</f>
        <v>.</v>
      </c>
      <c r="B1335" s="431" t="str">
        <f t="shared" si="20"/>
        <v>Hip Replacement PrimaryCCG of GP PracticeNHS SOLIHULL CCG (05P)EQ-5D Index</v>
      </c>
      <c r="C1335" t="s">
        <v>248</v>
      </c>
      <c r="D1335" t="s">
        <v>87</v>
      </c>
      <c r="E1335" t="s">
        <v>824</v>
      </c>
      <c r="F1335" t="s">
        <v>825</v>
      </c>
      <c r="G1335" t="s">
        <v>52</v>
      </c>
      <c r="H1335">
        <v>206</v>
      </c>
      <c r="I1335">
        <v>0.39200000000000002</v>
      </c>
      <c r="J1335">
        <v>0.78700000000000003</v>
      </c>
      <c r="K1335">
        <v>0.39500000000000002</v>
      </c>
      <c r="L1335">
        <v>182</v>
      </c>
      <c r="M1335">
        <v>13</v>
      </c>
      <c r="N1335">
        <v>11</v>
      </c>
      <c r="O1335">
        <v>0.77400000000000002</v>
      </c>
      <c r="P1335">
        <v>0.41191287500000001</v>
      </c>
      <c r="Q1335">
        <v>0.20599999999999999</v>
      </c>
    </row>
    <row r="1336" spans="1:17" s="30" customFormat="1" x14ac:dyDescent="0.2">
      <c r="A1336" s="30" t="str">
        <f>IF(C1336&amp;G1336&amp;D1336&lt;&gt;'Funnel setup'!$K$3&amp;'Funnel setup'!$K$4&amp;'Funnel setup'!$K$5,".",IF(A1335=".",1,A1335+1))</f>
        <v>.</v>
      </c>
      <c r="B1336" s="431" t="str">
        <f t="shared" si="20"/>
        <v>Hip Replacement PrimaryCCG of GP PracticeNHS SOMERSET CCG (11X)EQ-5D Index</v>
      </c>
      <c r="C1336" t="s">
        <v>248</v>
      </c>
      <c r="D1336" t="s">
        <v>87</v>
      </c>
      <c r="E1336" t="s">
        <v>827</v>
      </c>
      <c r="F1336" t="s">
        <v>828</v>
      </c>
      <c r="G1336" t="s">
        <v>52</v>
      </c>
      <c r="H1336">
        <v>488</v>
      </c>
      <c r="I1336">
        <v>0.40100000000000002</v>
      </c>
      <c r="J1336">
        <v>0.85199999999999998</v>
      </c>
      <c r="K1336">
        <v>0.45100000000000001</v>
      </c>
      <c r="L1336">
        <v>450</v>
      </c>
      <c r="M1336">
        <v>25</v>
      </c>
      <c r="N1336">
        <v>13</v>
      </c>
      <c r="O1336">
        <v>0.82699999999999996</v>
      </c>
      <c r="P1336">
        <v>0.464884568</v>
      </c>
      <c r="Q1336">
        <v>0.19700000000000001</v>
      </c>
    </row>
    <row r="1337" spans="1:17" s="30" customFormat="1" x14ac:dyDescent="0.2">
      <c r="A1337" s="30" t="str">
        <f>IF(C1337&amp;G1337&amp;D1337&lt;&gt;'Funnel setup'!$K$3&amp;'Funnel setup'!$K$4&amp;'Funnel setup'!$K$5,".",IF(A1336=".",1,A1336+1))</f>
        <v>.</v>
      </c>
      <c r="B1337" s="431" t="str">
        <f t="shared" si="20"/>
        <v>Hip Replacement PrimaryCCG of GP PracticeNHS SOUTH CHESHIRE CCG (01R)EQ-5D Index</v>
      </c>
      <c r="C1337" t="s">
        <v>248</v>
      </c>
      <c r="D1337" t="s">
        <v>87</v>
      </c>
      <c r="E1337" t="s">
        <v>830</v>
      </c>
      <c r="F1337" t="s">
        <v>831</v>
      </c>
      <c r="G1337" t="s">
        <v>52</v>
      </c>
      <c r="H1337">
        <v>161</v>
      </c>
      <c r="I1337">
        <v>0.36699999999999999</v>
      </c>
      <c r="J1337">
        <v>0.83</v>
      </c>
      <c r="K1337">
        <v>0.46300000000000002</v>
      </c>
      <c r="L1337">
        <v>148</v>
      </c>
      <c r="M1337">
        <v>7</v>
      </c>
      <c r="N1337">
        <v>6</v>
      </c>
      <c r="O1337">
        <v>0.80600000000000005</v>
      </c>
      <c r="P1337">
        <v>0.444174862</v>
      </c>
      <c r="Q1337">
        <v>0.192</v>
      </c>
    </row>
    <row r="1338" spans="1:17" s="30" customFormat="1" x14ac:dyDescent="0.2">
      <c r="A1338" s="30" t="str">
        <f>IF(C1338&amp;G1338&amp;D1338&lt;&gt;'Funnel setup'!$K$3&amp;'Funnel setup'!$K$4&amp;'Funnel setup'!$K$5,".",IF(A1337=".",1,A1337+1))</f>
        <v>.</v>
      </c>
      <c r="B1338" s="431" t="str">
        <f t="shared" si="20"/>
        <v>Hip Replacement PrimaryCCG of GP PracticeNHS SOUTH DEVON AND TORBAY CCG (99Q)EQ-5D Index</v>
      </c>
      <c r="C1338" t="s">
        <v>248</v>
      </c>
      <c r="D1338" t="s">
        <v>87</v>
      </c>
      <c r="E1338" t="s">
        <v>833</v>
      </c>
      <c r="F1338" t="s">
        <v>834</v>
      </c>
      <c r="G1338" t="s">
        <v>52</v>
      </c>
      <c r="H1338">
        <v>366</v>
      </c>
      <c r="I1338">
        <v>0.39700000000000002</v>
      </c>
      <c r="J1338">
        <v>0.79</v>
      </c>
      <c r="K1338">
        <v>0.39300000000000002</v>
      </c>
      <c r="L1338">
        <v>324</v>
      </c>
      <c r="M1338">
        <v>17</v>
      </c>
      <c r="N1338">
        <v>25</v>
      </c>
      <c r="O1338">
        <v>0.79400000000000004</v>
      </c>
      <c r="P1338">
        <v>0.43203498699999998</v>
      </c>
      <c r="Q1338">
        <v>0.24099999999999999</v>
      </c>
    </row>
    <row r="1339" spans="1:17" s="30" customFormat="1" x14ac:dyDescent="0.2">
      <c r="A1339" s="30" t="str">
        <f>IF(C1339&amp;G1339&amp;D1339&lt;&gt;'Funnel setup'!$K$3&amp;'Funnel setup'!$K$4&amp;'Funnel setup'!$K$5,".",IF(A1338=".",1,A1338+1))</f>
        <v>.</v>
      </c>
      <c r="B1339" s="431" t="str">
        <f t="shared" si="20"/>
        <v>Hip Replacement PrimaryCCG of GP PracticeNHS SOUTH EAST STAFFORDSHIRE AND SEISDON PENINSULA CCG (05Q)EQ-5D Index</v>
      </c>
      <c r="C1339" t="s">
        <v>248</v>
      </c>
      <c r="D1339" t="s">
        <v>87</v>
      </c>
      <c r="E1339" t="s">
        <v>836</v>
      </c>
      <c r="F1339" t="s">
        <v>837</v>
      </c>
      <c r="G1339" t="s">
        <v>52</v>
      </c>
      <c r="H1339">
        <v>171</v>
      </c>
      <c r="I1339">
        <v>0.34799999999999998</v>
      </c>
      <c r="J1339">
        <v>0.77500000000000002</v>
      </c>
      <c r="K1339">
        <v>0.42699999999999999</v>
      </c>
      <c r="L1339">
        <v>149</v>
      </c>
      <c r="M1339">
        <v>8</v>
      </c>
      <c r="N1339">
        <v>14</v>
      </c>
      <c r="O1339">
        <v>0.78300000000000003</v>
      </c>
      <c r="P1339">
        <v>0.42175406500000001</v>
      </c>
      <c r="Q1339">
        <v>0.23400000000000001</v>
      </c>
    </row>
    <row r="1340" spans="1:17" s="30" customFormat="1" x14ac:dyDescent="0.2">
      <c r="A1340" s="30" t="str">
        <f>IF(C1340&amp;G1340&amp;D1340&lt;&gt;'Funnel setup'!$K$3&amp;'Funnel setup'!$K$4&amp;'Funnel setup'!$K$5,".",IF(A1339=".",1,A1339+1))</f>
        <v>.</v>
      </c>
      <c r="B1340" s="431" t="str">
        <f t="shared" si="20"/>
        <v>Hip Replacement PrimaryCCG of GP PracticeNHS SOUTH EASTERN HAMPSHIRE CCG (10V)EQ-5D Index</v>
      </c>
      <c r="C1340" t="s">
        <v>248</v>
      </c>
      <c r="D1340" t="s">
        <v>87</v>
      </c>
      <c r="E1340" t="s">
        <v>839</v>
      </c>
      <c r="F1340" t="s">
        <v>840</v>
      </c>
      <c r="G1340" t="s">
        <v>52</v>
      </c>
      <c r="H1340">
        <v>137</v>
      </c>
      <c r="I1340">
        <v>0.36899999999999999</v>
      </c>
      <c r="J1340">
        <v>0.81799999999999995</v>
      </c>
      <c r="K1340">
        <v>0.45</v>
      </c>
      <c r="L1340">
        <v>130</v>
      </c>
      <c r="M1340">
        <v>4</v>
      </c>
      <c r="N1340">
        <v>3</v>
      </c>
      <c r="O1340">
        <v>0.81200000000000006</v>
      </c>
      <c r="P1340">
        <v>0.45076417200000002</v>
      </c>
      <c r="Q1340">
        <v>0.20899999999999999</v>
      </c>
    </row>
    <row r="1341" spans="1:17" s="30" customFormat="1" x14ac:dyDescent="0.2">
      <c r="A1341" s="30" t="str">
        <f>IF(C1341&amp;G1341&amp;D1341&lt;&gt;'Funnel setup'!$K$3&amp;'Funnel setup'!$K$4&amp;'Funnel setup'!$K$5,".",IF(A1340=".",1,A1340+1))</f>
        <v>.</v>
      </c>
      <c r="B1341" s="431" t="str">
        <f t="shared" si="20"/>
        <v>Hip Replacement PrimaryCCG of GP PracticeNHS SOUTH GLOUCESTERSHIRE CCG (12A)EQ-5D Index</v>
      </c>
      <c r="C1341" t="s">
        <v>248</v>
      </c>
      <c r="D1341" t="s">
        <v>87</v>
      </c>
      <c r="E1341" t="s">
        <v>842</v>
      </c>
      <c r="F1341" t="s">
        <v>843</v>
      </c>
      <c r="G1341" t="s">
        <v>52</v>
      </c>
      <c r="H1341">
        <v>210</v>
      </c>
      <c r="I1341">
        <v>0.441</v>
      </c>
      <c r="J1341">
        <v>0.84899999999999998</v>
      </c>
      <c r="K1341">
        <v>0.40899999999999997</v>
      </c>
      <c r="L1341">
        <v>187</v>
      </c>
      <c r="M1341">
        <v>15</v>
      </c>
      <c r="N1341">
        <v>8</v>
      </c>
      <c r="O1341">
        <v>0.81100000000000005</v>
      </c>
      <c r="P1341">
        <v>0.449396195</v>
      </c>
      <c r="Q1341">
        <v>0.18</v>
      </c>
    </row>
    <row r="1342" spans="1:17" s="30" customFormat="1" x14ac:dyDescent="0.2">
      <c r="A1342" s="30" t="str">
        <f>IF(C1342&amp;G1342&amp;D1342&lt;&gt;'Funnel setup'!$K$3&amp;'Funnel setup'!$K$4&amp;'Funnel setup'!$K$5,".",IF(A1341=".",1,A1341+1))</f>
        <v>.</v>
      </c>
      <c r="B1342" s="431" t="str">
        <f t="shared" si="20"/>
        <v>Hip Replacement PrimaryCCG of GP PracticeNHS SOUTH KENT COAST CCG (10A)EQ-5D Index</v>
      </c>
      <c r="C1342" t="s">
        <v>248</v>
      </c>
      <c r="D1342" t="s">
        <v>87</v>
      </c>
      <c r="E1342" t="s">
        <v>845</v>
      </c>
      <c r="F1342" t="s">
        <v>846</v>
      </c>
      <c r="G1342" t="s">
        <v>52</v>
      </c>
      <c r="H1342">
        <v>115</v>
      </c>
      <c r="I1342">
        <v>0.39100000000000001</v>
      </c>
      <c r="J1342">
        <v>0.81100000000000005</v>
      </c>
      <c r="K1342">
        <v>0.42099999999999999</v>
      </c>
      <c r="L1342">
        <v>104</v>
      </c>
      <c r="M1342">
        <v>9</v>
      </c>
      <c r="N1342">
        <v>2</v>
      </c>
      <c r="O1342">
        <v>0.81699999999999995</v>
      </c>
      <c r="P1342">
        <v>0.45534054899999998</v>
      </c>
      <c r="Q1342">
        <v>0.20200000000000001</v>
      </c>
    </row>
    <row r="1343" spans="1:17" s="30" customFormat="1" x14ac:dyDescent="0.2">
      <c r="A1343" s="30" t="str">
        <f>IF(C1343&amp;G1343&amp;D1343&lt;&gt;'Funnel setup'!$K$3&amp;'Funnel setup'!$K$4&amp;'Funnel setup'!$K$5,".",IF(A1342=".",1,A1342+1))</f>
        <v>.</v>
      </c>
      <c r="B1343" s="431" t="str">
        <f t="shared" si="20"/>
        <v>Hip Replacement PrimaryCCG of GP PracticeNHS SOUTH LINCOLNSHIRE CCG (99D)EQ-5D Index</v>
      </c>
      <c r="C1343" t="s">
        <v>248</v>
      </c>
      <c r="D1343" t="s">
        <v>87</v>
      </c>
      <c r="E1343" t="s">
        <v>848</v>
      </c>
      <c r="F1343" t="s">
        <v>849</v>
      </c>
      <c r="G1343" t="s">
        <v>52</v>
      </c>
      <c r="H1343">
        <v>133</v>
      </c>
      <c r="I1343">
        <v>0.36599999999999999</v>
      </c>
      <c r="J1343">
        <v>0.76500000000000001</v>
      </c>
      <c r="K1343">
        <v>0.39900000000000002</v>
      </c>
      <c r="L1343">
        <v>110</v>
      </c>
      <c r="M1343">
        <v>10</v>
      </c>
      <c r="N1343">
        <v>13</v>
      </c>
      <c r="O1343">
        <v>0.751</v>
      </c>
      <c r="P1343">
        <v>0.38891385499999997</v>
      </c>
      <c r="Q1343">
        <v>0.24099999999999999</v>
      </c>
    </row>
    <row r="1344" spans="1:17" s="30" customFormat="1" x14ac:dyDescent="0.2">
      <c r="A1344" s="30" t="str">
        <f>IF(C1344&amp;G1344&amp;D1344&lt;&gt;'Funnel setup'!$K$3&amp;'Funnel setup'!$K$4&amp;'Funnel setup'!$K$5,".",IF(A1343=".",1,A1343+1))</f>
        <v>.</v>
      </c>
      <c r="B1344" s="431" t="str">
        <f t="shared" si="20"/>
        <v>Hip Replacement PrimaryCCG of GP PracticeNHS SOUTH MANCHESTER CCG (01N)EQ-5D Index</v>
      </c>
      <c r="C1344" t="s">
        <v>248</v>
      </c>
      <c r="D1344" t="s">
        <v>87</v>
      </c>
      <c r="E1344" t="s">
        <v>851</v>
      </c>
      <c r="F1344" t="s">
        <v>852</v>
      </c>
      <c r="G1344" t="s">
        <v>52</v>
      </c>
      <c r="H1344">
        <v>43</v>
      </c>
      <c r="I1344">
        <v>0.35399999999999998</v>
      </c>
      <c r="J1344">
        <v>0.70799999999999996</v>
      </c>
      <c r="K1344">
        <v>0.35399999999999998</v>
      </c>
      <c r="L1344">
        <v>34</v>
      </c>
      <c r="M1344">
        <v>4</v>
      </c>
      <c r="N1344">
        <v>5</v>
      </c>
      <c r="O1344">
        <v>0.748</v>
      </c>
      <c r="P1344">
        <v>0.38627194799999998</v>
      </c>
      <c r="Q1344">
        <v>0.254</v>
      </c>
    </row>
    <row r="1345" spans="1:17" s="30" customFormat="1" x14ac:dyDescent="0.2">
      <c r="A1345" s="30" t="str">
        <f>IF(C1345&amp;G1345&amp;D1345&lt;&gt;'Funnel setup'!$K$3&amp;'Funnel setup'!$K$4&amp;'Funnel setup'!$K$5,".",IF(A1344=".",1,A1344+1))</f>
        <v>.</v>
      </c>
      <c r="B1345" s="431" t="str">
        <f t="shared" si="20"/>
        <v>Hip Replacement PrimaryCCG of GP PracticeNHS SOUTH NORFOLK CCG (06Y)EQ-5D Index</v>
      </c>
      <c r="C1345" t="s">
        <v>248</v>
      </c>
      <c r="D1345" t="s">
        <v>87</v>
      </c>
      <c r="E1345" t="s">
        <v>932</v>
      </c>
      <c r="F1345" t="s">
        <v>933</v>
      </c>
      <c r="G1345" t="s">
        <v>52</v>
      </c>
      <c r="H1345">
        <v>222</v>
      </c>
      <c r="I1345">
        <v>0.33900000000000002</v>
      </c>
      <c r="J1345">
        <v>0.78500000000000003</v>
      </c>
      <c r="K1345">
        <v>0.44600000000000001</v>
      </c>
      <c r="L1345">
        <v>201</v>
      </c>
      <c r="M1345">
        <v>10</v>
      </c>
      <c r="N1345">
        <v>11</v>
      </c>
      <c r="O1345">
        <v>0.78700000000000003</v>
      </c>
      <c r="P1345">
        <v>0.42489386000000001</v>
      </c>
      <c r="Q1345">
        <v>0.22900000000000001</v>
      </c>
    </row>
    <row r="1346" spans="1:17" s="30" customFormat="1" x14ac:dyDescent="0.2">
      <c r="A1346" s="30" t="str">
        <f>IF(C1346&amp;G1346&amp;D1346&lt;&gt;'Funnel setup'!$K$3&amp;'Funnel setup'!$K$4&amp;'Funnel setup'!$K$5,".",IF(A1345=".",1,A1345+1))</f>
        <v>.</v>
      </c>
      <c r="B1346" s="431" t="str">
        <f t="shared" si="20"/>
        <v>Hip Replacement PrimaryCCG of GP PracticeNHS SOUTH READING CCG (10W)EQ-5D Index</v>
      </c>
      <c r="C1346" t="s">
        <v>248</v>
      </c>
      <c r="D1346" t="s">
        <v>87</v>
      </c>
      <c r="E1346" t="s">
        <v>935</v>
      </c>
      <c r="F1346" t="s">
        <v>936</v>
      </c>
      <c r="G1346" t="s">
        <v>52</v>
      </c>
      <c r="H1346">
        <v>34</v>
      </c>
      <c r="I1346">
        <v>0.44500000000000001</v>
      </c>
      <c r="J1346">
        <v>0.81299999999999994</v>
      </c>
      <c r="K1346">
        <v>0.36799999999999999</v>
      </c>
      <c r="L1346">
        <v>30</v>
      </c>
      <c r="M1346">
        <v>2</v>
      </c>
      <c r="N1346">
        <v>2</v>
      </c>
      <c r="O1346">
        <v>0.79</v>
      </c>
      <c r="P1346">
        <v>0.42880031499999999</v>
      </c>
      <c r="Q1346">
        <v>0.188</v>
      </c>
    </row>
    <row r="1347" spans="1:17" s="30" customFormat="1" x14ac:dyDescent="0.2">
      <c r="A1347" s="30" t="str">
        <f>IF(C1347&amp;G1347&amp;D1347&lt;&gt;'Funnel setup'!$K$3&amp;'Funnel setup'!$K$4&amp;'Funnel setup'!$K$5,".",IF(A1346=".",1,A1346+1))</f>
        <v>.</v>
      </c>
      <c r="B1347" s="431" t="str">
        <f t="shared" ref="B1347:B1410" si="21">C1347&amp;D1347&amp;F1347&amp;G1347</f>
        <v>Hip Replacement PrimaryCCG of GP PracticeNHS SOUTH SEFTON CCG (01T)EQ-5D Index</v>
      </c>
      <c r="C1347" t="s">
        <v>248</v>
      </c>
      <c r="D1347" t="s">
        <v>87</v>
      </c>
      <c r="E1347" t="s">
        <v>938</v>
      </c>
      <c r="F1347" t="s">
        <v>939</v>
      </c>
      <c r="G1347" t="s">
        <v>52</v>
      </c>
      <c r="H1347">
        <v>94</v>
      </c>
      <c r="I1347">
        <v>0.23799999999999999</v>
      </c>
      <c r="J1347">
        <v>0.71899999999999997</v>
      </c>
      <c r="K1347">
        <v>0.48099999999999998</v>
      </c>
      <c r="L1347">
        <v>87</v>
      </c>
      <c r="M1347">
        <v>7</v>
      </c>
      <c r="N1347">
        <v>0</v>
      </c>
      <c r="O1347">
        <v>0.76700000000000002</v>
      </c>
      <c r="P1347">
        <v>0.40511000699999999</v>
      </c>
      <c r="Q1347">
        <v>0.21</v>
      </c>
    </row>
    <row r="1348" spans="1:17" s="30" customFormat="1" x14ac:dyDescent="0.2">
      <c r="A1348" s="30" t="str">
        <f>IF(C1348&amp;G1348&amp;D1348&lt;&gt;'Funnel setup'!$K$3&amp;'Funnel setup'!$K$4&amp;'Funnel setup'!$K$5,".",IF(A1347=".",1,A1347+1))</f>
        <v>.</v>
      </c>
      <c r="B1348" s="431" t="str">
        <f t="shared" si="21"/>
        <v>Hip Replacement PrimaryCCG of GP PracticeNHS SOUTH TEES CCG (00M)EQ-5D Index</v>
      </c>
      <c r="C1348" t="s">
        <v>248</v>
      </c>
      <c r="D1348" t="s">
        <v>87</v>
      </c>
      <c r="E1348" t="s">
        <v>941</v>
      </c>
      <c r="F1348" t="s">
        <v>942</v>
      </c>
      <c r="G1348" t="s">
        <v>52</v>
      </c>
      <c r="H1348">
        <v>220</v>
      </c>
      <c r="I1348">
        <v>0.36</v>
      </c>
      <c r="J1348">
        <v>0.77900000000000003</v>
      </c>
      <c r="K1348">
        <v>0.41899999999999998</v>
      </c>
      <c r="L1348">
        <v>192</v>
      </c>
      <c r="M1348">
        <v>15</v>
      </c>
      <c r="N1348">
        <v>13</v>
      </c>
      <c r="O1348">
        <v>0.79300000000000004</v>
      </c>
      <c r="P1348">
        <v>0.43121927300000001</v>
      </c>
      <c r="Q1348">
        <v>0.24</v>
      </c>
    </row>
    <row r="1349" spans="1:17" s="30" customFormat="1" x14ac:dyDescent="0.2">
      <c r="A1349" s="30" t="str">
        <f>IF(C1349&amp;G1349&amp;D1349&lt;&gt;'Funnel setup'!$K$3&amp;'Funnel setup'!$K$4&amp;'Funnel setup'!$K$5,".",IF(A1348=".",1,A1348+1))</f>
        <v>.</v>
      </c>
      <c r="B1349" s="431" t="str">
        <f t="shared" si="21"/>
        <v>Hip Replacement PrimaryCCG of GP PracticeNHS SOUTH TYNESIDE CCG (00N)EQ-5D Index</v>
      </c>
      <c r="C1349" t="s">
        <v>248</v>
      </c>
      <c r="D1349" t="s">
        <v>87</v>
      </c>
      <c r="E1349" t="s">
        <v>1016</v>
      </c>
      <c r="F1349" t="s">
        <v>1017</v>
      </c>
      <c r="G1349" t="s">
        <v>52</v>
      </c>
      <c r="H1349">
        <v>89</v>
      </c>
      <c r="I1349">
        <v>0.32800000000000001</v>
      </c>
      <c r="J1349">
        <v>0.75</v>
      </c>
      <c r="K1349">
        <v>0.42199999999999999</v>
      </c>
      <c r="L1349">
        <v>77</v>
      </c>
      <c r="M1349">
        <v>6</v>
      </c>
      <c r="N1349">
        <v>6</v>
      </c>
      <c r="O1349">
        <v>0.77</v>
      </c>
      <c r="P1349">
        <v>0.40843120599999999</v>
      </c>
      <c r="Q1349">
        <v>0.23799999999999999</v>
      </c>
    </row>
    <row r="1350" spans="1:17" s="30" customFormat="1" x14ac:dyDescent="0.2">
      <c r="A1350" s="30" t="str">
        <f>IF(C1350&amp;G1350&amp;D1350&lt;&gt;'Funnel setup'!$K$3&amp;'Funnel setup'!$K$4&amp;'Funnel setup'!$K$5,".",IF(A1349=".",1,A1349+1))</f>
        <v>.</v>
      </c>
      <c r="B1350" s="431" t="str">
        <f t="shared" si="21"/>
        <v>Hip Replacement PrimaryCCG of GP PracticeNHS SOUTH WARWICKSHIRE CCG (05R)EQ-5D Index</v>
      </c>
      <c r="C1350" t="s">
        <v>248</v>
      </c>
      <c r="D1350" t="s">
        <v>87</v>
      </c>
      <c r="E1350" t="s">
        <v>944</v>
      </c>
      <c r="F1350" t="s">
        <v>945</v>
      </c>
      <c r="G1350" t="s">
        <v>52</v>
      </c>
      <c r="H1350">
        <v>295</v>
      </c>
      <c r="I1350">
        <v>0.39900000000000002</v>
      </c>
      <c r="J1350">
        <v>0.81599999999999995</v>
      </c>
      <c r="K1350">
        <v>0.41799999999999998</v>
      </c>
      <c r="L1350">
        <v>266</v>
      </c>
      <c r="M1350">
        <v>15</v>
      </c>
      <c r="N1350">
        <v>14</v>
      </c>
      <c r="O1350">
        <v>0.79600000000000004</v>
      </c>
      <c r="P1350">
        <v>0.43420023499999999</v>
      </c>
      <c r="Q1350">
        <v>0.218</v>
      </c>
    </row>
    <row r="1351" spans="1:17" s="30" customFormat="1" x14ac:dyDescent="0.2">
      <c r="A1351" s="30" t="str">
        <f>IF(C1351&amp;G1351&amp;D1351&lt;&gt;'Funnel setup'!$K$3&amp;'Funnel setup'!$K$4&amp;'Funnel setup'!$K$5,".",IF(A1350=".",1,A1350+1))</f>
        <v>.</v>
      </c>
      <c r="B1351" s="431" t="str">
        <f t="shared" si="21"/>
        <v>Hip Replacement PrimaryCCG of GP PracticeNHS SOUTH WEST LINCOLNSHIRE CCG (04Q)EQ-5D Index</v>
      </c>
      <c r="C1351" t="s">
        <v>248</v>
      </c>
      <c r="D1351" t="s">
        <v>87</v>
      </c>
      <c r="E1351" t="s">
        <v>947</v>
      </c>
      <c r="F1351" t="s">
        <v>948</v>
      </c>
      <c r="G1351" t="s">
        <v>52</v>
      </c>
      <c r="H1351">
        <v>136</v>
      </c>
      <c r="I1351">
        <v>0.41199999999999998</v>
      </c>
      <c r="J1351">
        <v>0.78700000000000003</v>
      </c>
      <c r="K1351">
        <v>0.375</v>
      </c>
      <c r="L1351">
        <v>117</v>
      </c>
      <c r="M1351">
        <v>10</v>
      </c>
      <c r="N1351">
        <v>9</v>
      </c>
      <c r="O1351">
        <v>0.76800000000000002</v>
      </c>
      <c r="P1351">
        <v>0.40669525699999998</v>
      </c>
      <c r="Q1351">
        <v>0.21099999999999999</v>
      </c>
    </row>
    <row r="1352" spans="1:17" s="30" customFormat="1" x14ac:dyDescent="0.2">
      <c r="A1352" s="30" t="str">
        <f>IF(C1352&amp;G1352&amp;D1352&lt;&gt;'Funnel setup'!$K$3&amp;'Funnel setup'!$K$4&amp;'Funnel setup'!$K$5,".",IF(A1351=".",1,A1351+1))</f>
        <v>.</v>
      </c>
      <c r="B1352" s="431" t="str">
        <f t="shared" si="21"/>
        <v>Hip Replacement PrimaryCCG of GP PracticeNHS SOUTH WORCESTERSHIRE CCG (05T)EQ-5D Index</v>
      </c>
      <c r="C1352" t="s">
        <v>248</v>
      </c>
      <c r="D1352" t="s">
        <v>87</v>
      </c>
      <c r="E1352" t="s">
        <v>950</v>
      </c>
      <c r="F1352" t="s">
        <v>951</v>
      </c>
      <c r="G1352" t="s">
        <v>52</v>
      </c>
      <c r="H1352">
        <v>202</v>
      </c>
      <c r="I1352">
        <v>0.379</v>
      </c>
      <c r="J1352">
        <v>0.82699999999999996</v>
      </c>
      <c r="K1352">
        <v>0.44700000000000001</v>
      </c>
      <c r="L1352">
        <v>186</v>
      </c>
      <c r="M1352">
        <v>9</v>
      </c>
      <c r="N1352">
        <v>7</v>
      </c>
      <c r="O1352">
        <v>0.81599999999999995</v>
      </c>
      <c r="P1352">
        <v>0.45413705700000001</v>
      </c>
      <c r="Q1352">
        <v>0.20599999999999999</v>
      </c>
    </row>
    <row r="1353" spans="1:17" s="30" customFormat="1" x14ac:dyDescent="0.2">
      <c r="A1353" s="30" t="str">
        <f>IF(C1353&amp;G1353&amp;D1353&lt;&gt;'Funnel setup'!$K$3&amp;'Funnel setup'!$K$4&amp;'Funnel setup'!$K$5,".",IF(A1352=".",1,A1352+1))</f>
        <v>.</v>
      </c>
      <c r="B1353" s="431" t="str">
        <f t="shared" si="21"/>
        <v>Hip Replacement PrimaryCCG of GP PracticeNHS SOUTHAMPTON CCG (10X)EQ-5D Index</v>
      </c>
      <c r="C1353" t="s">
        <v>248</v>
      </c>
      <c r="D1353" t="s">
        <v>87</v>
      </c>
      <c r="E1353" t="s">
        <v>953</v>
      </c>
      <c r="F1353" t="s">
        <v>954</v>
      </c>
      <c r="G1353" t="s">
        <v>52</v>
      </c>
      <c r="H1353">
        <v>127</v>
      </c>
      <c r="I1353">
        <v>0.36599999999999999</v>
      </c>
      <c r="J1353">
        <v>0.76500000000000001</v>
      </c>
      <c r="K1353">
        <v>0.39900000000000002</v>
      </c>
      <c r="L1353">
        <v>114</v>
      </c>
      <c r="M1353">
        <v>6</v>
      </c>
      <c r="N1353">
        <v>7</v>
      </c>
      <c r="O1353">
        <v>0.77900000000000003</v>
      </c>
      <c r="P1353">
        <v>0.41752915200000001</v>
      </c>
      <c r="Q1353">
        <v>0.21199999999999999</v>
      </c>
    </row>
    <row r="1354" spans="1:17" s="30" customFormat="1" x14ac:dyDescent="0.2">
      <c r="A1354" s="30" t="str">
        <f>IF(C1354&amp;G1354&amp;D1354&lt;&gt;'Funnel setup'!$K$3&amp;'Funnel setup'!$K$4&amp;'Funnel setup'!$K$5,".",IF(A1353=".",1,A1353+1))</f>
        <v>.</v>
      </c>
      <c r="B1354" s="431" t="str">
        <f t="shared" si="21"/>
        <v>Hip Replacement PrimaryCCG of GP PracticeNHS SOUTHEND CCG (99G)EQ-5D Index</v>
      </c>
      <c r="C1354" t="s">
        <v>248</v>
      </c>
      <c r="D1354" t="s">
        <v>87</v>
      </c>
      <c r="E1354" t="s">
        <v>956</v>
      </c>
      <c r="F1354" t="s">
        <v>957</v>
      </c>
      <c r="G1354" t="s">
        <v>52</v>
      </c>
      <c r="H1354">
        <v>82</v>
      </c>
      <c r="I1354">
        <v>0.32100000000000001</v>
      </c>
      <c r="J1354">
        <v>0.754</v>
      </c>
      <c r="K1354">
        <v>0.433</v>
      </c>
      <c r="L1354">
        <v>74</v>
      </c>
      <c r="M1354">
        <v>3</v>
      </c>
      <c r="N1354">
        <v>5</v>
      </c>
      <c r="O1354">
        <v>0.76600000000000001</v>
      </c>
      <c r="P1354">
        <v>0.40404161799999999</v>
      </c>
      <c r="Q1354">
        <v>0.21199999999999999</v>
      </c>
    </row>
    <row r="1355" spans="1:17" s="30" customFormat="1" x14ac:dyDescent="0.2">
      <c r="A1355" s="30" t="str">
        <f>IF(C1355&amp;G1355&amp;D1355&lt;&gt;'Funnel setup'!$K$3&amp;'Funnel setup'!$K$4&amp;'Funnel setup'!$K$5,".",IF(A1354=".",1,A1354+1))</f>
        <v>.</v>
      </c>
      <c r="B1355" s="431" t="str">
        <f t="shared" si="21"/>
        <v>Hip Replacement PrimaryCCG of GP PracticeNHS SOUTHERN DERBYSHIRE CCG (04R)EQ-5D Index</v>
      </c>
      <c r="C1355" t="s">
        <v>248</v>
      </c>
      <c r="D1355" t="s">
        <v>87</v>
      </c>
      <c r="E1355" t="s">
        <v>959</v>
      </c>
      <c r="F1355" t="s">
        <v>960</v>
      </c>
      <c r="G1355" t="s">
        <v>52</v>
      </c>
      <c r="H1355">
        <v>444</v>
      </c>
      <c r="I1355">
        <v>0.375</v>
      </c>
      <c r="J1355">
        <v>0.78700000000000003</v>
      </c>
      <c r="K1355">
        <v>0.41199999999999998</v>
      </c>
      <c r="L1355">
        <v>403</v>
      </c>
      <c r="M1355">
        <v>20</v>
      </c>
      <c r="N1355">
        <v>21</v>
      </c>
      <c r="O1355">
        <v>0.78</v>
      </c>
      <c r="P1355">
        <v>0.418491318</v>
      </c>
      <c r="Q1355">
        <v>0.22600000000000001</v>
      </c>
    </row>
    <row r="1356" spans="1:17" s="30" customFormat="1" x14ac:dyDescent="0.2">
      <c r="A1356" s="30" t="str">
        <f>IF(C1356&amp;G1356&amp;D1356&lt;&gt;'Funnel setup'!$K$3&amp;'Funnel setup'!$K$4&amp;'Funnel setup'!$K$5,".",IF(A1355=".",1,A1355+1))</f>
        <v>.</v>
      </c>
      <c r="B1356" s="431" t="str">
        <f t="shared" si="21"/>
        <v>Hip Replacement PrimaryCCG of GP PracticeNHS SOUTHPORT AND FORMBY CCG (01V)EQ-5D Index</v>
      </c>
      <c r="C1356" t="s">
        <v>248</v>
      </c>
      <c r="D1356" t="s">
        <v>87</v>
      </c>
      <c r="E1356" t="s">
        <v>962</v>
      </c>
      <c r="F1356" t="s">
        <v>963</v>
      </c>
      <c r="G1356" t="s">
        <v>52</v>
      </c>
      <c r="H1356">
        <v>93</v>
      </c>
      <c r="I1356">
        <v>0.39</v>
      </c>
      <c r="J1356">
        <v>0.78500000000000003</v>
      </c>
      <c r="K1356">
        <v>0.39500000000000002</v>
      </c>
      <c r="L1356">
        <v>85</v>
      </c>
      <c r="M1356">
        <v>5</v>
      </c>
      <c r="N1356">
        <v>3</v>
      </c>
      <c r="O1356">
        <v>0.78400000000000003</v>
      </c>
      <c r="P1356">
        <v>0.42218532399999997</v>
      </c>
      <c r="Q1356">
        <v>0.216</v>
      </c>
    </row>
    <row r="1357" spans="1:17" s="30" customFormat="1" x14ac:dyDescent="0.2">
      <c r="A1357" s="30" t="str">
        <f>IF(C1357&amp;G1357&amp;D1357&lt;&gt;'Funnel setup'!$K$3&amp;'Funnel setup'!$K$4&amp;'Funnel setup'!$K$5,".",IF(A1356=".",1,A1356+1))</f>
        <v>.</v>
      </c>
      <c r="B1357" s="431" t="str">
        <f t="shared" si="21"/>
        <v>Hip Replacement PrimaryCCG of GP PracticeNHS SOUTHWARK CCG (08Q)EQ-5D Index</v>
      </c>
      <c r="C1357" t="s">
        <v>248</v>
      </c>
      <c r="D1357" t="s">
        <v>87</v>
      </c>
      <c r="E1357" t="s">
        <v>965</v>
      </c>
      <c r="F1357" t="s">
        <v>966</v>
      </c>
      <c r="G1357" t="s">
        <v>52</v>
      </c>
      <c r="H1357">
        <v>33</v>
      </c>
      <c r="I1357">
        <v>0.441</v>
      </c>
      <c r="J1357">
        <v>0.77300000000000002</v>
      </c>
      <c r="K1357">
        <v>0.33200000000000002</v>
      </c>
      <c r="L1357">
        <v>29</v>
      </c>
      <c r="M1357">
        <v>1</v>
      </c>
      <c r="N1357">
        <v>3</v>
      </c>
      <c r="O1357">
        <v>0.75600000000000001</v>
      </c>
      <c r="P1357">
        <v>0.39387528599999999</v>
      </c>
      <c r="Q1357">
        <v>0.29499999999999998</v>
      </c>
    </row>
    <row r="1358" spans="1:17" s="30" customFormat="1" x14ac:dyDescent="0.2">
      <c r="A1358" s="30" t="str">
        <f>IF(C1358&amp;G1358&amp;D1358&lt;&gt;'Funnel setup'!$K$3&amp;'Funnel setup'!$K$4&amp;'Funnel setup'!$K$5,".",IF(A1357=".",1,A1357+1))</f>
        <v>.</v>
      </c>
      <c r="B1358" s="431" t="str">
        <f t="shared" si="21"/>
        <v>Hip Replacement PrimaryCCG of GP PracticeNHS ST HELENS CCG (01X)EQ-5D Index</v>
      </c>
      <c r="C1358" t="s">
        <v>248</v>
      </c>
      <c r="D1358" t="s">
        <v>87</v>
      </c>
      <c r="E1358" t="s">
        <v>968</v>
      </c>
      <c r="F1358" t="s">
        <v>969</v>
      </c>
      <c r="G1358" t="s">
        <v>52</v>
      </c>
      <c r="H1358">
        <v>110</v>
      </c>
      <c r="I1358">
        <v>0.29699999999999999</v>
      </c>
      <c r="J1358">
        <v>0.749</v>
      </c>
      <c r="K1358">
        <v>0.45200000000000001</v>
      </c>
      <c r="L1358">
        <v>92</v>
      </c>
      <c r="M1358">
        <v>5</v>
      </c>
      <c r="N1358">
        <v>13</v>
      </c>
      <c r="O1358">
        <v>0.79</v>
      </c>
      <c r="P1358">
        <v>0.427957374</v>
      </c>
      <c r="Q1358">
        <v>0.25900000000000001</v>
      </c>
    </row>
    <row r="1359" spans="1:17" s="30" customFormat="1" x14ac:dyDescent="0.2">
      <c r="A1359" s="30" t="str">
        <f>IF(C1359&amp;G1359&amp;D1359&lt;&gt;'Funnel setup'!$K$3&amp;'Funnel setup'!$K$4&amp;'Funnel setup'!$K$5,".",IF(A1358=".",1,A1358+1))</f>
        <v>.</v>
      </c>
      <c r="B1359" s="431" t="str">
        <f t="shared" si="21"/>
        <v>Hip Replacement PrimaryCCG of GP PracticeNHS STAFFORD AND SURROUNDS CCG (05V)EQ-5D Index</v>
      </c>
      <c r="C1359" t="s">
        <v>248</v>
      </c>
      <c r="D1359" t="s">
        <v>87</v>
      </c>
      <c r="E1359" t="s">
        <v>971</v>
      </c>
      <c r="F1359" t="s">
        <v>972</v>
      </c>
      <c r="G1359" t="s">
        <v>52</v>
      </c>
      <c r="H1359">
        <v>149</v>
      </c>
      <c r="I1359">
        <v>0.42599999999999999</v>
      </c>
      <c r="J1359">
        <v>0.82899999999999996</v>
      </c>
      <c r="K1359">
        <v>0.40300000000000002</v>
      </c>
      <c r="L1359">
        <v>135</v>
      </c>
      <c r="M1359">
        <v>9</v>
      </c>
      <c r="N1359">
        <v>5</v>
      </c>
      <c r="O1359">
        <v>0.80400000000000005</v>
      </c>
      <c r="P1359">
        <v>0.44275151699999998</v>
      </c>
      <c r="Q1359">
        <v>0.19600000000000001</v>
      </c>
    </row>
    <row r="1360" spans="1:17" s="30" customFormat="1" x14ac:dyDescent="0.2">
      <c r="A1360" s="30" t="str">
        <f>IF(C1360&amp;G1360&amp;D1360&lt;&gt;'Funnel setup'!$K$3&amp;'Funnel setup'!$K$4&amp;'Funnel setup'!$K$5,".",IF(A1359=".",1,A1359+1))</f>
        <v>.</v>
      </c>
      <c r="B1360" s="431" t="str">
        <f t="shared" si="21"/>
        <v>Hip Replacement PrimaryCCG of GP PracticeNHS STOCKPORT CCG (01W)EQ-5D Index</v>
      </c>
      <c r="C1360" t="s">
        <v>248</v>
      </c>
      <c r="D1360" t="s">
        <v>87</v>
      </c>
      <c r="E1360" t="s">
        <v>974</v>
      </c>
      <c r="F1360" t="s">
        <v>975</v>
      </c>
      <c r="G1360" t="s">
        <v>52</v>
      </c>
      <c r="H1360">
        <v>188</v>
      </c>
      <c r="I1360">
        <v>0.308</v>
      </c>
      <c r="J1360">
        <v>0.80600000000000005</v>
      </c>
      <c r="K1360">
        <v>0.498</v>
      </c>
      <c r="L1360">
        <v>174</v>
      </c>
      <c r="M1360">
        <v>9</v>
      </c>
      <c r="N1360">
        <v>5</v>
      </c>
      <c r="O1360">
        <v>0.81200000000000006</v>
      </c>
      <c r="P1360">
        <v>0.449948878</v>
      </c>
      <c r="Q1360">
        <v>0.21199999999999999</v>
      </c>
    </row>
    <row r="1361" spans="1:17" s="30" customFormat="1" x14ac:dyDescent="0.2">
      <c r="A1361" s="30" t="str">
        <f>IF(C1361&amp;G1361&amp;D1361&lt;&gt;'Funnel setup'!$K$3&amp;'Funnel setup'!$K$4&amp;'Funnel setup'!$K$5,".",IF(A1360=".",1,A1360+1))</f>
        <v>.</v>
      </c>
      <c r="B1361" s="431" t="str">
        <f t="shared" si="21"/>
        <v>Hip Replacement PrimaryCCG of GP PracticeNHS STOKE ON TRENT CCG (05W)EQ-5D Index</v>
      </c>
      <c r="C1361" t="s">
        <v>248</v>
      </c>
      <c r="D1361" t="s">
        <v>87</v>
      </c>
      <c r="E1361" t="s">
        <v>977</v>
      </c>
      <c r="F1361" t="s">
        <v>978</v>
      </c>
      <c r="G1361" t="s">
        <v>52</v>
      </c>
      <c r="H1361">
        <v>191</v>
      </c>
      <c r="I1361">
        <v>0.26100000000000001</v>
      </c>
      <c r="J1361">
        <v>0.77400000000000002</v>
      </c>
      <c r="K1361">
        <v>0.51300000000000001</v>
      </c>
      <c r="L1361">
        <v>175</v>
      </c>
      <c r="M1361">
        <v>12</v>
      </c>
      <c r="N1361">
        <v>4</v>
      </c>
      <c r="O1361">
        <v>0.82299999999999995</v>
      </c>
      <c r="P1361">
        <v>0.46131683200000001</v>
      </c>
      <c r="Q1361">
        <v>0.20699999999999999</v>
      </c>
    </row>
    <row r="1362" spans="1:17" s="30" customFormat="1" x14ac:dyDescent="0.2">
      <c r="A1362" s="30" t="str">
        <f>IF(C1362&amp;G1362&amp;D1362&lt;&gt;'Funnel setup'!$K$3&amp;'Funnel setup'!$K$4&amp;'Funnel setup'!$K$5,".",IF(A1361=".",1,A1361+1))</f>
        <v>.</v>
      </c>
      <c r="B1362" s="431" t="str">
        <f t="shared" si="21"/>
        <v>Hip Replacement PrimaryCCG of GP PracticeNHS SUNDERLAND CCG (00P)EQ-5D Index</v>
      </c>
      <c r="C1362" t="s">
        <v>248</v>
      </c>
      <c r="D1362" t="s">
        <v>87</v>
      </c>
      <c r="E1362" t="s">
        <v>980</v>
      </c>
      <c r="F1362" t="s">
        <v>981</v>
      </c>
      <c r="G1362" t="s">
        <v>52</v>
      </c>
      <c r="H1362">
        <v>201</v>
      </c>
      <c r="I1362">
        <v>0.26800000000000002</v>
      </c>
      <c r="J1362">
        <v>0.75</v>
      </c>
      <c r="K1362">
        <v>0.48199999999999998</v>
      </c>
      <c r="L1362">
        <v>179</v>
      </c>
      <c r="M1362">
        <v>14</v>
      </c>
      <c r="N1362">
        <v>8</v>
      </c>
      <c r="O1362">
        <v>0.78</v>
      </c>
      <c r="P1362">
        <v>0.41855719400000002</v>
      </c>
      <c r="Q1362">
        <v>0.23</v>
      </c>
    </row>
    <row r="1363" spans="1:17" s="30" customFormat="1" x14ac:dyDescent="0.2">
      <c r="A1363" s="30" t="str">
        <f>IF(C1363&amp;G1363&amp;D1363&lt;&gt;'Funnel setup'!$K$3&amp;'Funnel setup'!$K$4&amp;'Funnel setup'!$K$5,".",IF(A1362=".",1,A1362+1))</f>
        <v>.</v>
      </c>
      <c r="B1363" s="431" t="str">
        <f t="shared" si="21"/>
        <v>Hip Replacement PrimaryCCG of GP PracticeNHS SURREY DOWNS CCG (99H)EQ-5D Index</v>
      </c>
      <c r="C1363" t="s">
        <v>248</v>
      </c>
      <c r="D1363" t="s">
        <v>87</v>
      </c>
      <c r="E1363" t="s">
        <v>983</v>
      </c>
      <c r="F1363" t="s">
        <v>984</v>
      </c>
      <c r="G1363" t="s">
        <v>52</v>
      </c>
      <c r="H1363">
        <v>233</v>
      </c>
      <c r="I1363">
        <v>0.437</v>
      </c>
      <c r="J1363">
        <v>0.83399999999999996</v>
      </c>
      <c r="K1363">
        <v>0.39700000000000002</v>
      </c>
      <c r="L1363">
        <v>210</v>
      </c>
      <c r="M1363">
        <v>10</v>
      </c>
      <c r="N1363">
        <v>13</v>
      </c>
      <c r="O1363">
        <v>0.8</v>
      </c>
      <c r="P1363">
        <v>0.43785378600000002</v>
      </c>
      <c r="Q1363">
        <v>0.20799999999999999</v>
      </c>
    </row>
    <row r="1364" spans="1:17" s="30" customFormat="1" x14ac:dyDescent="0.2">
      <c r="A1364" s="30" t="str">
        <f>IF(C1364&amp;G1364&amp;D1364&lt;&gt;'Funnel setup'!$K$3&amp;'Funnel setup'!$K$4&amp;'Funnel setup'!$K$5,".",IF(A1363=".",1,A1363+1))</f>
        <v>.</v>
      </c>
      <c r="B1364" s="431" t="str">
        <f t="shared" si="21"/>
        <v>Hip Replacement PrimaryCCG of GP PracticeNHS SURREY HEATH CCG (10C)EQ-5D Index</v>
      </c>
      <c r="C1364" t="s">
        <v>248</v>
      </c>
      <c r="D1364" t="s">
        <v>87</v>
      </c>
      <c r="E1364" t="s">
        <v>986</v>
      </c>
      <c r="F1364" t="s">
        <v>987</v>
      </c>
      <c r="G1364" t="s">
        <v>52</v>
      </c>
      <c r="H1364">
        <v>98</v>
      </c>
      <c r="I1364">
        <v>0.47099999999999997</v>
      </c>
      <c r="J1364">
        <v>0.872</v>
      </c>
      <c r="K1364">
        <v>0.40100000000000002</v>
      </c>
      <c r="L1364">
        <v>86</v>
      </c>
      <c r="M1364">
        <v>9</v>
      </c>
      <c r="N1364">
        <v>3</v>
      </c>
      <c r="O1364">
        <v>0.82</v>
      </c>
      <c r="P1364">
        <v>0.45835319099999999</v>
      </c>
      <c r="Q1364">
        <v>0.16700000000000001</v>
      </c>
    </row>
    <row r="1365" spans="1:17" s="30" customFormat="1" x14ac:dyDescent="0.2">
      <c r="A1365" s="30" t="str">
        <f>IF(C1365&amp;G1365&amp;D1365&lt;&gt;'Funnel setup'!$K$3&amp;'Funnel setup'!$K$4&amp;'Funnel setup'!$K$5,".",IF(A1364=".",1,A1364+1))</f>
        <v>.</v>
      </c>
      <c r="B1365" s="431" t="str">
        <f t="shared" si="21"/>
        <v>Hip Replacement PrimaryCCG of GP PracticeNHS SUTTON CCG (08T)EQ-5D Index</v>
      </c>
      <c r="C1365" t="s">
        <v>248</v>
      </c>
      <c r="D1365" t="s">
        <v>87</v>
      </c>
      <c r="E1365" t="s">
        <v>989</v>
      </c>
      <c r="F1365" t="s">
        <v>990</v>
      </c>
      <c r="G1365" t="s">
        <v>52</v>
      </c>
      <c r="H1365">
        <v>93</v>
      </c>
      <c r="I1365">
        <v>0.36</v>
      </c>
      <c r="J1365">
        <v>0.79400000000000004</v>
      </c>
      <c r="K1365">
        <v>0.434</v>
      </c>
      <c r="L1365">
        <v>81</v>
      </c>
      <c r="M1365">
        <v>7</v>
      </c>
      <c r="N1365">
        <v>5</v>
      </c>
      <c r="O1365">
        <v>0.78500000000000003</v>
      </c>
      <c r="P1365">
        <v>0.42366794299999999</v>
      </c>
      <c r="Q1365">
        <v>0.25800000000000001</v>
      </c>
    </row>
    <row r="1366" spans="1:17" s="30" customFormat="1" x14ac:dyDescent="0.2">
      <c r="A1366" s="30" t="str">
        <f>IF(C1366&amp;G1366&amp;D1366&lt;&gt;'Funnel setup'!$K$3&amp;'Funnel setup'!$K$4&amp;'Funnel setup'!$K$5,".",IF(A1365=".",1,A1365+1))</f>
        <v>.</v>
      </c>
      <c r="B1366" s="431" t="str">
        <f t="shared" si="21"/>
        <v>Hip Replacement PrimaryCCG of GP PracticeNHS SWALE CCG (10D)EQ-5D Index</v>
      </c>
      <c r="C1366" t="s">
        <v>248</v>
      </c>
      <c r="D1366" t="s">
        <v>87</v>
      </c>
      <c r="E1366" t="s">
        <v>992</v>
      </c>
      <c r="F1366" t="s">
        <v>993</v>
      </c>
      <c r="G1366" t="s">
        <v>52</v>
      </c>
      <c r="H1366">
        <v>71</v>
      </c>
      <c r="I1366">
        <v>0.36499999999999999</v>
      </c>
      <c r="J1366">
        <v>0.81499999999999995</v>
      </c>
      <c r="K1366">
        <v>0.45</v>
      </c>
      <c r="L1366">
        <v>63</v>
      </c>
      <c r="M1366">
        <v>7</v>
      </c>
      <c r="N1366">
        <v>1</v>
      </c>
      <c r="O1366">
        <v>0.84599999999999997</v>
      </c>
      <c r="P1366">
        <v>0.48477009100000001</v>
      </c>
      <c r="Q1366">
        <v>0.21</v>
      </c>
    </row>
    <row r="1367" spans="1:17" s="30" customFormat="1" x14ac:dyDescent="0.2">
      <c r="A1367" s="30" t="str">
        <f>IF(C1367&amp;G1367&amp;D1367&lt;&gt;'Funnel setup'!$K$3&amp;'Funnel setup'!$K$4&amp;'Funnel setup'!$K$5,".",IF(A1366=".",1,A1366+1))</f>
        <v>.</v>
      </c>
      <c r="B1367" s="431" t="str">
        <f t="shared" si="21"/>
        <v>Hip Replacement PrimaryCCG of GP PracticeNHS SWINDON CCG (12D)EQ-5D Index</v>
      </c>
      <c r="C1367" t="s">
        <v>248</v>
      </c>
      <c r="D1367" t="s">
        <v>87</v>
      </c>
      <c r="E1367" t="s">
        <v>995</v>
      </c>
      <c r="F1367" t="s">
        <v>996</v>
      </c>
      <c r="G1367" t="s">
        <v>52</v>
      </c>
      <c r="H1367">
        <v>155</v>
      </c>
      <c r="I1367">
        <v>0.311</v>
      </c>
      <c r="J1367">
        <v>0.81</v>
      </c>
      <c r="K1367">
        <v>0.499</v>
      </c>
      <c r="L1367">
        <v>140</v>
      </c>
      <c r="M1367">
        <v>7</v>
      </c>
      <c r="N1367">
        <v>8</v>
      </c>
      <c r="O1367">
        <v>0.80800000000000005</v>
      </c>
      <c r="P1367">
        <v>0.44618268</v>
      </c>
      <c r="Q1367">
        <v>0.20300000000000001</v>
      </c>
    </row>
    <row r="1368" spans="1:17" s="30" customFormat="1" x14ac:dyDescent="0.2">
      <c r="A1368" s="30" t="str">
        <f>IF(C1368&amp;G1368&amp;D1368&lt;&gt;'Funnel setup'!$K$3&amp;'Funnel setup'!$K$4&amp;'Funnel setup'!$K$5,".",IF(A1367=".",1,A1367+1))</f>
        <v>.</v>
      </c>
      <c r="B1368" s="431" t="str">
        <f t="shared" si="21"/>
        <v>Hip Replacement PrimaryCCG of GP PracticeNHS TAMESIDE AND GLOSSOP CCG (01Y)EQ-5D Index</v>
      </c>
      <c r="C1368" t="s">
        <v>248</v>
      </c>
      <c r="D1368" t="s">
        <v>87</v>
      </c>
      <c r="E1368" t="s">
        <v>998</v>
      </c>
      <c r="F1368" t="s">
        <v>999</v>
      </c>
      <c r="G1368" t="s">
        <v>52</v>
      </c>
      <c r="H1368">
        <v>117</v>
      </c>
      <c r="I1368">
        <v>0.32900000000000001</v>
      </c>
      <c r="J1368">
        <v>0.75700000000000001</v>
      </c>
      <c r="K1368">
        <v>0.42699999999999999</v>
      </c>
      <c r="L1368">
        <v>99</v>
      </c>
      <c r="M1368">
        <v>11</v>
      </c>
      <c r="N1368">
        <v>7</v>
      </c>
      <c r="O1368">
        <v>0.78200000000000003</v>
      </c>
      <c r="P1368">
        <v>0.42007942700000001</v>
      </c>
      <c r="Q1368">
        <v>0.25</v>
      </c>
    </row>
    <row r="1369" spans="1:17" s="30" customFormat="1" x14ac:dyDescent="0.2">
      <c r="A1369" s="30" t="str">
        <f>IF(C1369&amp;G1369&amp;D1369&lt;&gt;'Funnel setup'!$K$3&amp;'Funnel setup'!$K$4&amp;'Funnel setup'!$K$5,".",IF(A1368=".",1,A1368+1))</f>
        <v>.</v>
      </c>
      <c r="B1369" s="431" t="str">
        <f t="shared" si="21"/>
        <v>Hip Replacement PrimaryCCG of GP PracticeNHS TELFORD AND WREKIN CCG (05X)EQ-5D Index</v>
      </c>
      <c r="C1369" t="s">
        <v>248</v>
      </c>
      <c r="D1369" t="s">
        <v>87</v>
      </c>
      <c r="E1369" t="s">
        <v>1001</v>
      </c>
      <c r="F1369" t="s">
        <v>1002</v>
      </c>
      <c r="G1369" t="s">
        <v>52</v>
      </c>
      <c r="H1369">
        <v>138</v>
      </c>
      <c r="I1369">
        <v>0.24299999999999999</v>
      </c>
      <c r="J1369">
        <v>0.77200000000000002</v>
      </c>
      <c r="K1369">
        <v>0.52900000000000003</v>
      </c>
      <c r="L1369">
        <v>127</v>
      </c>
      <c r="M1369">
        <v>6</v>
      </c>
      <c r="N1369">
        <v>5</v>
      </c>
      <c r="O1369">
        <v>0.79400000000000004</v>
      </c>
      <c r="P1369">
        <v>0.43201420800000001</v>
      </c>
      <c r="Q1369">
        <v>0.26600000000000001</v>
      </c>
    </row>
    <row r="1370" spans="1:17" s="30" customFormat="1" x14ac:dyDescent="0.2">
      <c r="A1370" s="30" t="str">
        <f>IF(C1370&amp;G1370&amp;D1370&lt;&gt;'Funnel setup'!$K$3&amp;'Funnel setup'!$K$4&amp;'Funnel setup'!$K$5,".",IF(A1369=".",1,A1369+1))</f>
        <v>.</v>
      </c>
      <c r="B1370" s="431" t="str">
        <f t="shared" si="21"/>
        <v>Hip Replacement PrimaryCCG of GP PracticeNHS THANET CCG (10E)EQ-5D Index</v>
      </c>
      <c r="C1370" t="s">
        <v>248</v>
      </c>
      <c r="D1370" t="s">
        <v>87</v>
      </c>
      <c r="E1370" t="s">
        <v>1004</v>
      </c>
      <c r="F1370" t="s">
        <v>1005</v>
      </c>
      <c r="G1370" t="s">
        <v>52</v>
      </c>
      <c r="H1370">
        <v>76</v>
      </c>
      <c r="I1370">
        <v>0.35</v>
      </c>
      <c r="J1370">
        <v>0.82799999999999996</v>
      </c>
      <c r="K1370">
        <v>0.47799999999999998</v>
      </c>
      <c r="L1370">
        <v>70</v>
      </c>
      <c r="M1370">
        <v>3</v>
      </c>
      <c r="N1370">
        <v>3</v>
      </c>
      <c r="O1370">
        <v>0.84299999999999997</v>
      </c>
      <c r="P1370">
        <v>0.48161131899999998</v>
      </c>
      <c r="Q1370">
        <v>0.19</v>
      </c>
    </row>
    <row r="1371" spans="1:17" s="30" customFormat="1" x14ac:dyDescent="0.2">
      <c r="A1371" s="30" t="str">
        <f>IF(C1371&amp;G1371&amp;D1371&lt;&gt;'Funnel setup'!$K$3&amp;'Funnel setup'!$K$4&amp;'Funnel setup'!$K$5,".",IF(A1370=".",1,A1370+1))</f>
        <v>.</v>
      </c>
      <c r="B1371" s="431" t="str">
        <f t="shared" si="21"/>
        <v>Hip Replacement PrimaryCCG of GP PracticeNHS THURROCK CCG (07G)EQ-5D Index</v>
      </c>
      <c r="C1371" t="s">
        <v>248</v>
      </c>
      <c r="D1371" t="s">
        <v>87</v>
      </c>
      <c r="E1371" t="s">
        <v>1007</v>
      </c>
      <c r="F1371" t="s">
        <v>1008</v>
      </c>
      <c r="G1371" t="s">
        <v>52</v>
      </c>
      <c r="H1371">
        <v>63</v>
      </c>
      <c r="I1371">
        <v>0.35</v>
      </c>
      <c r="J1371">
        <v>0.78</v>
      </c>
      <c r="K1371">
        <v>0.43099999999999999</v>
      </c>
      <c r="L1371">
        <v>55</v>
      </c>
      <c r="M1371">
        <v>3</v>
      </c>
      <c r="N1371">
        <v>5</v>
      </c>
      <c r="O1371">
        <v>0.78400000000000003</v>
      </c>
      <c r="P1371">
        <v>0.42194816200000002</v>
      </c>
      <c r="Q1371">
        <v>0.246</v>
      </c>
    </row>
    <row r="1372" spans="1:17" s="30" customFormat="1" x14ac:dyDescent="0.2">
      <c r="A1372" s="30" t="str">
        <f>IF(C1372&amp;G1372&amp;D1372&lt;&gt;'Funnel setup'!$K$3&amp;'Funnel setup'!$K$4&amp;'Funnel setup'!$K$5,".",IF(A1371=".",1,A1371+1))</f>
        <v>.</v>
      </c>
      <c r="B1372" s="431" t="str">
        <f t="shared" si="21"/>
        <v>Hip Replacement PrimaryCCG of GP PracticeNHS TOWER HAMLETS CCG (08V)EQ-5D Index</v>
      </c>
      <c r="C1372" t="s">
        <v>248</v>
      </c>
      <c r="D1372" t="s">
        <v>87</v>
      </c>
      <c r="E1372" t="s">
        <v>1010</v>
      </c>
      <c r="F1372" t="s">
        <v>1011</v>
      </c>
      <c r="G1372" t="s">
        <v>52</v>
      </c>
      <c r="H1372">
        <v>17</v>
      </c>
      <c r="I1372">
        <v>0.29499999999999998</v>
      </c>
      <c r="J1372">
        <v>0.746</v>
      </c>
      <c r="K1372">
        <v>0.45100000000000001</v>
      </c>
      <c r="L1372">
        <v>15</v>
      </c>
      <c r="M1372">
        <v>1</v>
      </c>
      <c r="N1372">
        <v>1</v>
      </c>
      <c r="O1372" t="s">
        <v>53</v>
      </c>
      <c r="P1372" t="s">
        <v>53</v>
      </c>
      <c r="Q1372" t="s">
        <v>53</v>
      </c>
    </row>
    <row r="1373" spans="1:17" s="30" customFormat="1" x14ac:dyDescent="0.2">
      <c r="A1373" s="30" t="str">
        <f>IF(C1373&amp;G1373&amp;D1373&lt;&gt;'Funnel setup'!$K$3&amp;'Funnel setup'!$K$4&amp;'Funnel setup'!$K$5,".",IF(A1372=".",1,A1372+1))</f>
        <v>.</v>
      </c>
      <c r="B1373" s="431" t="str">
        <f t="shared" si="21"/>
        <v>Hip Replacement PrimaryCCG of GP PracticeNHS TRAFFORD CCG (02A)EQ-5D Index</v>
      </c>
      <c r="C1373" t="s">
        <v>248</v>
      </c>
      <c r="D1373" t="s">
        <v>87</v>
      </c>
      <c r="E1373" t="s">
        <v>1013</v>
      </c>
      <c r="F1373" t="s">
        <v>1014</v>
      </c>
      <c r="G1373" t="s">
        <v>52</v>
      </c>
      <c r="H1373">
        <v>78</v>
      </c>
      <c r="I1373">
        <v>0.45700000000000002</v>
      </c>
      <c r="J1373">
        <v>0.81699999999999995</v>
      </c>
      <c r="K1373">
        <v>0.36</v>
      </c>
      <c r="L1373">
        <v>67</v>
      </c>
      <c r="M1373">
        <v>7</v>
      </c>
      <c r="N1373">
        <v>4</v>
      </c>
      <c r="O1373">
        <v>0.77900000000000003</v>
      </c>
      <c r="P1373">
        <v>0.41740461299999998</v>
      </c>
      <c r="Q1373">
        <v>0.19600000000000001</v>
      </c>
    </row>
    <row r="1374" spans="1:17" s="30" customFormat="1" x14ac:dyDescent="0.2">
      <c r="A1374" s="30" t="str">
        <f>IF(C1374&amp;G1374&amp;D1374&lt;&gt;'Funnel setup'!$K$3&amp;'Funnel setup'!$K$4&amp;'Funnel setup'!$K$5,".",IF(A1373=".",1,A1373+1))</f>
        <v>.</v>
      </c>
      <c r="B1374" s="431" t="str">
        <f t="shared" si="21"/>
        <v>Hip Replacement PrimaryCCG of GP PracticeNHS VALE OF YORK CCG (03Q)EQ-5D Index</v>
      </c>
      <c r="C1374" t="s">
        <v>248</v>
      </c>
      <c r="D1374" t="s">
        <v>87</v>
      </c>
      <c r="E1374" t="s">
        <v>420</v>
      </c>
      <c r="F1374" t="s">
        <v>421</v>
      </c>
      <c r="G1374" t="s">
        <v>52</v>
      </c>
      <c r="H1374">
        <v>364</v>
      </c>
      <c r="I1374">
        <v>0.40699999999999997</v>
      </c>
      <c r="J1374">
        <v>0.82399999999999995</v>
      </c>
      <c r="K1374">
        <v>0.41599999999999998</v>
      </c>
      <c r="L1374">
        <v>328</v>
      </c>
      <c r="M1374">
        <v>18</v>
      </c>
      <c r="N1374">
        <v>18</v>
      </c>
      <c r="O1374">
        <v>0.79500000000000004</v>
      </c>
      <c r="P1374">
        <v>0.43377643300000002</v>
      </c>
      <c r="Q1374">
        <v>0.21</v>
      </c>
    </row>
    <row r="1375" spans="1:17" s="30" customFormat="1" x14ac:dyDescent="0.2">
      <c r="A1375" s="30" t="str">
        <f>IF(C1375&amp;G1375&amp;D1375&lt;&gt;'Funnel setup'!$K$3&amp;'Funnel setup'!$K$4&amp;'Funnel setup'!$K$5,".",IF(A1374=".",1,A1374+1))</f>
        <v>.</v>
      </c>
      <c r="B1375" s="431" t="str">
        <f t="shared" si="21"/>
        <v>Hip Replacement PrimaryCCG of GP PracticeNHS VALE ROYAL CCG (02D)EQ-5D Index</v>
      </c>
      <c r="C1375" t="s">
        <v>248</v>
      </c>
      <c r="D1375" t="s">
        <v>87</v>
      </c>
      <c r="E1375" t="s">
        <v>423</v>
      </c>
      <c r="F1375" t="s">
        <v>424</v>
      </c>
      <c r="G1375" t="s">
        <v>52</v>
      </c>
      <c r="H1375">
        <v>77</v>
      </c>
      <c r="I1375">
        <v>0.33</v>
      </c>
      <c r="J1375">
        <v>0.81799999999999995</v>
      </c>
      <c r="K1375">
        <v>0.48799999999999999</v>
      </c>
      <c r="L1375">
        <v>67</v>
      </c>
      <c r="M1375">
        <v>8</v>
      </c>
      <c r="N1375">
        <v>2</v>
      </c>
      <c r="O1375">
        <v>0.82099999999999995</v>
      </c>
      <c r="P1375">
        <v>0.459822181</v>
      </c>
      <c r="Q1375">
        <v>0.19800000000000001</v>
      </c>
    </row>
    <row r="1376" spans="1:17" s="30" customFormat="1" x14ac:dyDescent="0.2">
      <c r="A1376" s="30" t="str">
        <f>IF(C1376&amp;G1376&amp;D1376&lt;&gt;'Funnel setup'!$K$3&amp;'Funnel setup'!$K$4&amp;'Funnel setup'!$K$5,".",IF(A1375=".",1,A1375+1))</f>
        <v>.</v>
      </c>
      <c r="B1376" s="431" t="str">
        <f t="shared" si="21"/>
        <v>Hip Replacement PrimaryCCG of GP PracticeNHS WAKEFIELD CCG (03R)EQ-5D Index</v>
      </c>
      <c r="C1376" t="s">
        <v>248</v>
      </c>
      <c r="D1376" t="s">
        <v>87</v>
      </c>
      <c r="E1376" t="s">
        <v>426</v>
      </c>
      <c r="F1376" t="s">
        <v>427</v>
      </c>
      <c r="G1376" t="s">
        <v>52</v>
      </c>
      <c r="H1376">
        <v>203</v>
      </c>
      <c r="I1376">
        <v>0.34399999999999997</v>
      </c>
      <c r="J1376">
        <v>0.755</v>
      </c>
      <c r="K1376">
        <v>0.41099999999999998</v>
      </c>
      <c r="L1376">
        <v>177</v>
      </c>
      <c r="M1376">
        <v>13</v>
      </c>
      <c r="N1376">
        <v>13</v>
      </c>
      <c r="O1376">
        <v>0.76300000000000001</v>
      </c>
      <c r="P1376">
        <v>0.40090231700000001</v>
      </c>
      <c r="Q1376">
        <v>0.23</v>
      </c>
    </row>
    <row r="1377" spans="1:17" s="30" customFormat="1" x14ac:dyDescent="0.2">
      <c r="A1377" s="30" t="str">
        <f>IF(C1377&amp;G1377&amp;D1377&lt;&gt;'Funnel setup'!$K$3&amp;'Funnel setup'!$K$4&amp;'Funnel setup'!$K$5,".",IF(A1376=".",1,A1376+1))</f>
        <v>.</v>
      </c>
      <c r="B1377" s="431" t="str">
        <f t="shared" si="21"/>
        <v>Hip Replacement PrimaryCCG of GP PracticeNHS WALSALL CCG (05Y)EQ-5D Index</v>
      </c>
      <c r="C1377" t="s">
        <v>248</v>
      </c>
      <c r="D1377" t="s">
        <v>87</v>
      </c>
      <c r="E1377" t="s">
        <v>429</v>
      </c>
      <c r="F1377" t="s">
        <v>430</v>
      </c>
      <c r="G1377" t="s">
        <v>52</v>
      </c>
      <c r="H1377">
        <v>152</v>
      </c>
      <c r="I1377">
        <v>0.28599999999999998</v>
      </c>
      <c r="J1377">
        <v>0.70899999999999996</v>
      </c>
      <c r="K1377">
        <v>0.42299999999999999</v>
      </c>
      <c r="L1377">
        <v>133</v>
      </c>
      <c r="M1377">
        <v>7</v>
      </c>
      <c r="N1377">
        <v>12</v>
      </c>
      <c r="O1377">
        <v>0.748</v>
      </c>
      <c r="P1377">
        <v>0.38610405399999997</v>
      </c>
      <c r="Q1377">
        <v>0.26400000000000001</v>
      </c>
    </row>
    <row r="1378" spans="1:17" s="30" customFormat="1" x14ac:dyDescent="0.2">
      <c r="A1378" s="30" t="str">
        <f>IF(C1378&amp;G1378&amp;D1378&lt;&gt;'Funnel setup'!$K$3&amp;'Funnel setup'!$K$4&amp;'Funnel setup'!$K$5,".",IF(A1377=".",1,A1377+1))</f>
        <v>.</v>
      </c>
      <c r="B1378" s="431" t="str">
        <f t="shared" si="21"/>
        <v>Hip Replacement PrimaryCCG of GP PracticeNHS WALTHAM FOREST CCG (08W)EQ-5D Index</v>
      </c>
      <c r="C1378" t="s">
        <v>248</v>
      </c>
      <c r="D1378" t="s">
        <v>87</v>
      </c>
      <c r="E1378" t="s">
        <v>432</v>
      </c>
      <c r="F1378" t="s">
        <v>433</v>
      </c>
      <c r="G1378" t="s">
        <v>52</v>
      </c>
      <c r="H1378">
        <v>69</v>
      </c>
      <c r="I1378">
        <v>0.28399999999999997</v>
      </c>
      <c r="J1378">
        <v>0.78700000000000003</v>
      </c>
      <c r="K1378">
        <v>0.502</v>
      </c>
      <c r="L1378">
        <v>61</v>
      </c>
      <c r="M1378">
        <v>4</v>
      </c>
      <c r="N1378">
        <v>4</v>
      </c>
      <c r="O1378">
        <v>0.81899999999999995</v>
      </c>
      <c r="P1378">
        <v>0.45731894000000001</v>
      </c>
      <c r="Q1378">
        <v>0.222</v>
      </c>
    </row>
    <row r="1379" spans="1:17" s="30" customFormat="1" x14ac:dyDescent="0.2">
      <c r="A1379" s="30" t="str">
        <f>IF(C1379&amp;G1379&amp;D1379&lt;&gt;'Funnel setup'!$K$3&amp;'Funnel setup'!$K$4&amp;'Funnel setup'!$K$5,".",IF(A1378=".",1,A1378+1))</f>
        <v>.</v>
      </c>
      <c r="B1379" s="431" t="str">
        <f t="shared" si="21"/>
        <v>Hip Replacement PrimaryCCG of GP PracticeNHS WANDSWORTH CCG (08X)EQ-5D Index</v>
      </c>
      <c r="C1379" t="s">
        <v>248</v>
      </c>
      <c r="D1379" t="s">
        <v>87</v>
      </c>
      <c r="E1379" t="s">
        <v>435</v>
      </c>
      <c r="F1379" t="s">
        <v>436</v>
      </c>
      <c r="G1379" t="s">
        <v>52</v>
      </c>
      <c r="H1379">
        <v>71</v>
      </c>
      <c r="I1379">
        <v>0.41899999999999998</v>
      </c>
      <c r="J1379">
        <v>0.79900000000000004</v>
      </c>
      <c r="K1379">
        <v>0.38</v>
      </c>
      <c r="L1379">
        <v>57</v>
      </c>
      <c r="M1379">
        <v>10</v>
      </c>
      <c r="N1379">
        <v>4</v>
      </c>
      <c r="O1379">
        <v>0.79200000000000004</v>
      </c>
      <c r="P1379">
        <v>0.43066480800000001</v>
      </c>
      <c r="Q1379">
        <v>0.26700000000000002</v>
      </c>
    </row>
    <row r="1380" spans="1:17" s="30" customFormat="1" x14ac:dyDescent="0.2">
      <c r="A1380" s="30" t="str">
        <f>IF(C1380&amp;G1380&amp;D1380&lt;&gt;'Funnel setup'!$K$3&amp;'Funnel setup'!$K$4&amp;'Funnel setup'!$K$5,".",IF(A1379=".",1,A1379+1))</f>
        <v>.</v>
      </c>
      <c r="B1380" s="431" t="str">
        <f t="shared" si="21"/>
        <v>Hip Replacement PrimaryCCG of GP PracticeNHS WARRINGTON CCG (02E)EQ-5D Index</v>
      </c>
      <c r="C1380" t="s">
        <v>248</v>
      </c>
      <c r="D1380" t="s">
        <v>87</v>
      </c>
      <c r="E1380" t="s">
        <v>441</v>
      </c>
      <c r="F1380" t="s">
        <v>442</v>
      </c>
      <c r="G1380" t="s">
        <v>52</v>
      </c>
      <c r="H1380">
        <v>115</v>
      </c>
      <c r="I1380">
        <v>0.33600000000000002</v>
      </c>
      <c r="J1380">
        <v>0.77</v>
      </c>
      <c r="K1380">
        <v>0.434</v>
      </c>
      <c r="L1380">
        <v>100</v>
      </c>
      <c r="M1380">
        <v>6</v>
      </c>
      <c r="N1380">
        <v>9</v>
      </c>
      <c r="O1380">
        <v>0.77100000000000002</v>
      </c>
      <c r="P1380">
        <v>0.40894209399999998</v>
      </c>
      <c r="Q1380">
        <v>0.23799999999999999</v>
      </c>
    </row>
    <row r="1381" spans="1:17" s="30" customFormat="1" x14ac:dyDescent="0.2">
      <c r="A1381" s="30" t="str">
        <f>IF(C1381&amp;G1381&amp;D1381&lt;&gt;'Funnel setup'!$K$3&amp;'Funnel setup'!$K$4&amp;'Funnel setup'!$K$5,".",IF(A1380=".",1,A1380+1))</f>
        <v>.</v>
      </c>
      <c r="B1381" s="431" t="str">
        <f t="shared" si="21"/>
        <v>Hip Replacement PrimaryCCG of GP PracticeNHS WARWICKSHIRE NORTH CCG (05H)EQ-5D Index</v>
      </c>
      <c r="C1381" t="s">
        <v>248</v>
      </c>
      <c r="D1381" t="s">
        <v>87</v>
      </c>
      <c r="E1381" t="s">
        <v>438</v>
      </c>
      <c r="F1381" t="s">
        <v>439</v>
      </c>
      <c r="G1381" t="s">
        <v>52</v>
      </c>
      <c r="H1381">
        <v>110</v>
      </c>
      <c r="I1381">
        <v>0.32600000000000001</v>
      </c>
      <c r="J1381">
        <v>0.79500000000000004</v>
      </c>
      <c r="K1381">
        <v>0.46899999999999997</v>
      </c>
      <c r="L1381">
        <v>97</v>
      </c>
      <c r="M1381">
        <v>9</v>
      </c>
      <c r="N1381">
        <v>4</v>
      </c>
      <c r="O1381">
        <v>0.80300000000000005</v>
      </c>
      <c r="P1381">
        <v>0.44100028000000002</v>
      </c>
      <c r="Q1381">
        <v>0.214</v>
      </c>
    </row>
    <row r="1382" spans="1:17" s="30" customFormat="1" x14ac:dyDescent="0.2">
      <c r="A1382" s="30" t="str">
        <f>IF(C1382&amp;G1382&amp;D1382&lt;&gt;'Funnel setup'!$K$3&amp;'Funnel setup'!$K$4&amp;'Funnel setup'!$K$5,".",IF(A1381=".",1,A1381+1))</f>
        <v>.</v>
      </c>
      <c r="B1382" s="431" t="str">
        <f t="shared" si="21"/>
        <v>Hip Replacement PrimaryCCG of GP PracticeNHS WEST CHESHIRE CCG (02F)EQ-5D Index</v>
      </c>
      <c r="C1382" t="s">
        <v>248</v>
      </c>
      <c r="D1382" t="s">
        <v>87</v>
      </c>
      <c r="E1382" t="s">
        <v>402</v>
      </c>
      <c r="F1382" t="s">
        <v>403</v>
      </c>
      <c r="G1382" t="s">
        <v>52</v>
      </c>
      <c r="H1382">
        <v>215</v>
      </c>
      <c r="I1382">
        <v>0.32900000000000001</v>
      </c>
      <c r="J1382">
        <v>0.81299999999999994</v>
      </c>
      <c r="K1382">
        <v>0.48299999999999998</v>
      </c>
      <c r="L1382">
        <v>201</v>
      </c>
      <c r="M1382">
        <v>7</v>
      </c>
      <c r="N1382">
        <v>7</v>
      </c>
      <c r="O1382">
        <v>0.80600000000000005</v>
      </c>
      <c r="P1382">
        <v>0.44402652799999998</v>
      </c>
      <c r="Q1382">
        <v>0.2</v>
      </c>
    </row>
    <row r="1383" spans="1:17" s="30" customFormat="1" x14ac:dyDescent="0.2">
      <c r="A1383" s="30" t="str">
        <f>IF(C1383&amp;G1383&amp;D1383&lt;&gt;'Funnel setup'!$K$3&amp;'Funnel setup'!$K$4&amp;'Funnel setup'!$K$5,".",IF(A1382=".",1,A1382+1))</f>
        <v>.</v>
      </c>
      <c r="B1383" s="431" t="str">
        <f t="shared" si="21"/>
        <v>Hip Replacement PrimaryCCG of GP PracticeNHS WEST ESSEX CCG (07H)EQ-5D Index</v>
      </c>
      <c r="C1383" t="s">
        <v>248</v>
      </c>
      <c r="D1383" t="s">
        <v>87</v>
      </c>
      <c r="E1383" t="s">
        <v>405</v>
      </c>
      <c r="F1383" t="s">
        <v>406</v>
      </c>
      <c r="G1383" t="s">
        <v>52</v>
      </c>
      <c r="H1383">
        <v>198</v>
      </c>
      <c r="I1383">
        <v>0.314</v>
      </c>
      <c r="J1383">
        <v>0.76600000000000001</v>
      </c>
      <c r="K1383">
        <v>0.45200000000000001</v>
      </c>
      <c r="L1383">
        <v>171</v>
      </c>
      <c r="M1383">
        <v>15</v>
      </c>
      <c r="N1383">
        <v>12</v>
      </c>
      <c r="O1383">
        <v>0.77500000000000002</v>
      </c>
      <c r="P1383">
        <v>0.41350235699999999</v>
      </c>
      <c r="Q1383">
        <v>0.24399999999999999</v>
      </c>
    </row>
    <row r="1384" spans="1:17" s="30" customFormat="1" x14ac:dyDescent="0.2">
      <c r="A1384" s="30" t="str">
        <f>IF(C1384&amp;G1384&amp;D1384&lt;&gt;'Funnel setup'!$K$3&amp;'Funnel setup'!$K$4&amp;'Funnel setup'!$K$5,".",IF(A1383=".",1,A1383+1))</f>
        <v>.</v>
      </c>
      <c r="B1384" s="431" t="str">
        <f t="shared" si="21"/>
        <v>Hip Replacement PrimaryCCG of GP PracticeNHS WEST HAMPSHIRE CCG (11A)EQ-5D Index</v>
      </c>
      <c r="C1384" t="s">
        <v>248</v>
      </c>
      <c r="D1384" t="s">
        <v>87</v>
      </c>
      <c r="E1384" t="s">
        <v>444</v>
      </c>
      <c r="F1384" t="s">
        <v>445</v>
      </c>
      <c r="G1384" t="s">
        <v>52</v>
      </c>
      <c r="H1384">
        <v>465</v>
      </c>
      <c r="I1384">
        <v>0.36299999999999999</v>
      </c>
      <c r="J1384">
        <v>0.80900000000000005</v>
      </c>
      <c r="K1384">
        <v>0.44600000000000001</v>
      </c>
      <c r="L1384">
        <v>415</v>
      </c>
      <c r="M1384">
        <v>25</v>
      </c>
      <c r="N1384">
        <v>25</v>
      </c>
      <c r="O1384">
        <v>0.79800000000000004</v>
      </c>
      <c r="P1384">
        <v>0.43669434600000001</v>
      </c>
      <c r="Q1384">
        <v>0.216</v>
      </c>
    </row>
    <row r="1385" spans="1:17" s="30" customFormat="1" x14ac:dyDescent="0.2">
      <c r="A1385" s="30" t="str">
        <f>IF(C1385&amp;G1385&amp;D1385&lt;&gt;'Funnel setup'!$K$3&amp;'Funnel setup'!$K$4&amp;'Funnel setup'!$K$5,".",IF(A1384=".",1,A1384+1))</f>
        <v>.</v>
      </c>
      <c r="B1385" s="431" t="str">
        <f t="shared" si="21"/>
        <v>Hip Replacement PrimaryCCG of GP PracticeNHS WEST KENT CCG (99J)EQ-5D Index</v>
      </c>
      <c r="C1385" t="s">
        <v>248</v>
      </c>
      <c r="D1385" t="s">
        <v>87</v>
      </c>
      <c r="E1385" t="s">
        <v>447</v>
      </c>
      <c r="F1385" t="s">
        <v>448</v>
      </c>
      <c r="G1385" t="s">
        <v>52</v>
      </c>
      <c r="H1385">
        <v>319</v>
      </c>
      <c r="I1385">
        <v>0.39800000000000002</v>
      </c>
      <c r="J1385">
        <v>0.83899999999999997</v>
      </c>
      <c r="K1385">
        <v>0.442</v>
      </c>
      <c r="L1385">
        <v>293</v>
      </c>
      <c r="M1385">
        <v>13</v>
      </c>
      <c r="N1385">
        <v>13</v>
      </c>
      <c r="O1385">
        <v>0.83199999999999996</v>
      </c>
      <c r="P1385">
        <v>0.47018681000000001</v>
      </c>
      <c r="Q1385">
        <v>0.191</v>
      </c>
    </row>
    <row r="1386" spans="1:17" s="30" customFormat="1" x14ac:dyDescent="0.2">
      <c r="A1386" s="30" t="str">
        <f>IF(C1386&amp;G1386&amp;D1386&lt;&gt;'Funnel setup'!$K$3&amp;'Funnel setup'!$K$4&amp;'Funnel setup'!$K$5,".",IF(A1385=".",1,A1385+1))</f>
        <v>.</v>
      </c>
      <c r="B1386" s="431" t="str">
        <f t="shared" si="21"/>
        <v>Hip Replacement PrimaryCCG of GP PracticeNHS WEST LANCASHIRE CCG (02G)EQ-5D Index</v>
      </c>
      <c r="C1386" t="s">
        <v>248</v>
      </c>
      <c r="D1386" t="s">
        <v>87</v>
      </c>
      <c r="E1386" t="s">
        <v>450</v>
      </c>
      <c r="F1386" t="s">
        <v>451</v>
      </c>
      <c r="G1386" t="s">
        <v>52</v>
      </c>
      <c r="H1386">
        <v>65</v>
      </c>
      <c r="I1386">
        <v>0.38400000000000001</v>
      </c>
      <c r="J1386">
        <v>0.755</v>
      </c>
      <c r="K1386">
        <v>0.371</v>
      </c>
      <c r="L1386">
        <v>55</v>
      </c>
      <c r="M1386">
        <v>6</v>
      </c>
      <c r="N1386">
        <v>4</v>
      </c>
      <c r="O1386">
        <v>0.745</v>
      </c>
      <c r="P1386">
        <v>0.383712151</v>
      </c>
      <c r="Q1386">
        <v>0.22900000000000001</v>
      </c>
    </row>
    <row r="1387" spans="1:17" s="30" customFormat="1" x14ac:dyDescent="0.2">
      <c r="A1387" s="30" t="str">
        <f>IF(C1387&amp;G1387&amp;D1387&lt;&gt;'Funnel setup'!$K$3&amp;'Funnel setup'!$K$4&amp;'Funnel setup'!$K$5,".",IF(A1386=".",1,A1386+1))</f>
        <v>.</v>
      </c>
      <c r="B1387" s="431" t="str">
        <f t="shared" si="21"/>
        <v>Hip Replacement PrimaryCCG of GP PracticeNHS WEST LEICESTERSHIRE CCG (04V)EQ-5D Index</v>
      </c>
      <c r="C1387" t="s">
        <v>248</v>
      </c>
      <c r="D1387" t="s">
        <v>87</v>
      </c>
      <c r="E1387" t="s">
        <v>453</v>
      </c>
      <c r="F1387" t="s">
        <v>454</v>
      </c>
      <c r="G1387" t="s">
        <v>52</v>
      </c>
      <c r="H1387">
        <v>266</v>
      </c>
      <c r="I1387">
        <v>0.35499999999999998</v>
      </c>
      <c r="J1387">
        <v>0.80500000000000005</v>
      </c>
      <c r="K1387">
        <v>0.45</v>
      </c>
      <c r="L1387">
        <v>241</v>
      </c>
      <c r="M1387">
        <v>16</v>
      </c>
      <c r="N1387">
        <v>9</v>
      </c>
      <c r="O1387">
        <v>0.79200000000000004</v>
      </c>
      <c r="P1387">
        <v>0.43015234899999999</v>
      </c>
      <c r="Q1387">
        <v>0.19900000000000001</v>
      </c>
    </row>
    <row r="1388" spans="1:17" s="30" customFormat="1" x14ac:dyDescent="0.2">
      <c r="A1388" s="30" t="str">
        <f>IF(C1388&amp;G1388&amp;D1388&lt;&gt;'Funnel setup'!$K$3&amp;'Funnel setup'!$K$4&amp;'Funnel setup'!$K$5,".",IF(A1387=".",1,A1387+1))</f>
        <v>.</v>
      </c>
      <c r="B1388" s="431" t="str">
        <f t="shared" si="21"/>
        <v>Hip Replacement PrimaryCCG of GP PracticeNHS WEST LONDON CCG (08Y)EQ-5D Index</v>
      </c>
      <c r="C1388" t="s">
        <v>248</v>
      </c>
      <c r="D1388" t="s">
        <v>87</v>
      </c>
      <c r="E1388" t="s">
        <v>456</v>
      </c>
      <c r="F1388" t="s">
        <v>457</v>
      </c>
      <c r="G1388" t="s">
        <v>52</v>
      </c>
      <c r="H1388">
        <v>24</v>
      </c>
      <c r="I1388">
        <v>0.23699999999999999</v>
      </c>
      <c r="J1388">
        <v>0.752</v>
      </c>
      <c r="K1388">
        <v>0.51500000000000001</v>
      </c>
      <c r="L1388">
        <v>22</v>
      </c>
      <c r="M1388">
        <v>2</v>
      </c>
      <c r="N1388">
        <v>0</v>
      </c>
      <c r="O1388" t="s">
        <v>53</v>
      </c>
      <c r="P1388" t="s">
        <v>53</v>
      </c>
      <c r="Q1388" t="s">
        <v>53</v>
      </c>
    </row>
    <row r="1389" spans="1:17" s="30" customFormat="1" x14ac:dyDescent="0.2">
      <c r="A1389" s="30" t="str">
        <f>IF(C1389&amp;G1389&amp;D1389&lt;&gt;'Funnel setup'!$K$3&amp;'Funnel setup'!$K$4&amp;'Funnel setup'!$K$5,".",IF(A1388=".",1,A1388+1))</f>
        <v>.</v>
      </c>
      <c r="B1389" s="431" t="str">
        <f t="shared" si="21"/>
        <v>Hip Replacement PrimaryCCG of GP PracticeNHS WEST NORFOLK CCG (07J)EQ-5D Index</v>
      </c>
      <c r="C1389" t="s">
        <v>248</v>
      </c>
      <c r="D1389" t="s">
        <v>87</v>
      </c>
      <c r="E1389" t="s">
        <v>459</v>
      </c>
      <c r="F1389" t="s">
        <v>460</v>
      </c>
      <c r="G1389" t="s">
        <v>52</v>
      </c>
      <c r="H1389">
        <v>177</v>
      </c>
      <c r="I1389">
        <v>0.33600000000000002</v>
      </c>
      <c r="J1389">
        <v>0.79200000000000004</v>
      </c>
      <c r="K1389">
        <v>0.45600000000000002</v>
      </c>
      <c r="L1389">
        <v>160</v>
      </c>
      <c r="M1389">
        <v>9</v>
      </c>
      <c r="N1389">
        <v>8</v>
      </c>
      <c r="O1389">
        <v>0.80100000000000005</v>
      </c>
      <c r="P1389">
        <v>0.43906012700000002</v>
      </c>
      <c r="Q1389">
        <v>0.217</v>
      </c>
    </row>
    <row r="1390" spans="1:17" s="30" customFormat="1" x14ac:dyDescent="0.2">
      <c r="A1390" s="30" t="str">
        <f>IF(C1390&amp;G1390&amp;D1390&lt;&gt;'Funnel setup'!$K$3&amp;'Funnel setup'!$K$4&amp;'Funnel setup'!$K$5,".",IF(A1389=".",1,A1389+1))</f>
        <v>.</v>
      </c>
      <c r="B1390" s="431" t="str">
        <f t="shared" si="21"/>
        <v>Hip Replacement PrimaryCCG of GP PracticeNHS WEST SUFFOLK CCG (07K)EQ-5D Index</v>
      </c>
      <c r="C1390" t="s">
        <v>248</v>
      </c>
      <c r="D1390" t="s">
        <v>87</v>
      </c>
      <c r="E1390" t="s">
        <v>462</v>
      </c>
      <c r="F1390" t="s">
        <v>463</v>
      </c>
      <c r="G1390" t="s">
        <v>52</v>
      </c>
      <c r="H1390">
        <v>241</v>
      </c>
      <c r="I1390">
        <v>0.33800000000000002</v>
      </c>
      <c r="J1390">
        <v>0.79800000000000004</v>
      </c>
      <c r="K1390">
        <v>0.46</v>
      </c>
      <c r="L1390">
        <v>219</v>
      </c>
      <c r="M1390">
        <v>10</v>
      </c>
      <c r="N1390">
        <v>12</v>
      </c>
      <c r="O1390">
        <v>0.79800000000000004</v>
      </c>
      <c r="P1390">
        <v>0.43627273</v>
      </c>
      <c r="Q1390">
        <v>0.23100000000000001</v>
      </c>
    </row>
    <row r="1391" spans="1:17" s="30" customFormat="1" x14ac:dyDescent="0.2">
      <c r="A1391" s="30" t="str">
        <f>IF(C1391&amp;G1391&amp;D1391&lt;&gt;'Funnel setup'!$K$3&amp;'Funnel setup'!$K$4&amp;'Funnel setup'!$K$5,".",IF(A1390=".",1,A1390+1))</f>
        <v>.</v>
      </c>
      <c r="B1391" s="431" t="str">
        <f t="shared" si="21"/>
        <v>Hip Replacement PrimaryCCG of GP PracticeNHS WIGAN BOROUGH CCG (02H)EQ-5D Index</v>
      </c>
      <c r="C1391" t="s">
        <v>248</v>
      </c>
      <c r="D1391" t="s">
        <v>87</v>
      </c>
      <c r="E1391" t="s">
        <v>465</v>
      </c>
      <c r="F1391" t="s">
        <v>466</v>
      </c>
      <c r="G1391" t="s">
        <v>52</v>
      </c>
      <c r="H1391">
        <v>102</v>
      </c>
      <c r="I1391">
        <v>0.36199999999999999</v>
      </c>
      <c r="J1391">
        <v>0.81100000000000005</v>
      </c>
      <c r="K1391">
        <v>0.44900000000000001</v>
      </c>
      <c r="L1391">
        <v>96</v>
      </c>
      <c r="M1391">
        <v>3</v>
      </c>
      <c r="N1391">
        <v>3</v>
      </c>
      <c r="O1391">
        <v>0.81899999999999995</v>
      </c>
      <c r="P1391">
        <v>0.45733189200000002</v>
      </c>
      <c r="Q1391">
        <v>0.217</v>
      </c>
    </row>
    <row r="1392" spans="1:17" s="30" customFormat="1" x14ac:dyDescent="0.2">
      <c r="A1392" s="30" t="str">
        <f>IF(C1392&amp;G1392&amp;D1392&lt;&gt;'Funnel setup'!$K$3&amp;'Funnel setup'!$K$4&amp;'Funnel setup'!$K$5,".",IF(A1391=".",1,A1391+1))</f>
        <v>.</v>
      </c>
      <c r="B1392" s="431" t="str">
        <f t="shared" si="21"/>
        <v>Hip Replacement PrimaryCCG of GP PracticeNHS WILTSHIRE CCG (99N)EQ-5D Index</v>
      </c>
      <c r="C1392" t="s">
        <v>248</v>
      </c>
      <c r="D1392" t="s">
        <v>87</v>
      </c>
      <c r="E1392" t="s">
        <v>468</v>
      </c>
      <c r="F1392" t="s">
        <v>469</v>
      </c>
      <c r="G1392" t="s">
        <v>52</v>
      </c>
      <c r="H1392">
        <v>519</v>
      </c>
      <c r="I1392">
        <v>0.39500000000000002</v>
      </c>
      <c r="J1392">
        <v>0.82799999999999996</v>
      </c>
      <c r="K1392">
        <v>0.433</v>
      </c>
      <c r="L1392">
        <v>473</v>
      </c>
      <c r="M1392">
        <v>31</v>
      </c>
      <c r="N1392">
        <v>15</v>
      </c>
      <c r="O1392">
        <v>0.81599999999999995</v>
      </c>
      <c r="P1392">
        <v>0.45417354500000001</v>
      </c>
      <c r="Q1392">
        <v>0.21199999999999999</v>
      </c>
    </row>
    <row r="1393" spans="1:17" s="30" customFormat="1" x14ac:dyDescent="0.2">
      <c r="A1393" s="30" t="str">
        <f>IF(C1393&amp;G1393&amp;D1393&lt;&gt;'Funnel setup'!$K$3&amp;'Funnel setup'!$K$4&amp;'Funnel setup'!$K$5,".",IF(A1392=".",1,A1392+1))</f>
        <v>.</v>
      </c>
      <c r="B1393" s="431" t="str">
        <f t="shared" si="21"/>
        <v>Hip Replacement PrimaryCCG of GP PracticeNHS WINDSOR, ASCOT AND MAIDENHEAD CCG (11C)EQ-5D Index</v>
      </c>
      <c r="C1393" t="s">
        <v>248</v>
      </c>
      <c r="D1393" t="s">
        <v>87</v>
      </c>
      <c r="E1393" t="s">
        <v>471</v>
      </c>
      <c r="F1393" t="s">
        <v>472</v>
      </c>
      <c r="G1393" t="s">
        <v>52</v>
      </c>
      <c r="H1393">
        <v>82</v>
      </c>
      <c r="I1393">
        <v>0.34100000000000003</v>
      </c>
      <c r="J1393">
        <v>0.79200000000000004</v>
      </c>
      <c r="K1393">
        <v>0.45100000000000001</v>
      </c>
      <c r="L1393">
        <v>73</v>
      </c>
      <c r="M1393">
        <v>8</v>
      </c>
      <c r="N1393">
        <v>1</v>
      </c>
      <c r="O1393">
        <v>0.78200000000000003</v>
      </c>
      <c r="P1393">
        <v>0.420212998</v>
      </c>
      <c r="Q1393">
        <v>0.2</v>
      </c>
    </row>
    <row r="1394" spans="1:17" s="30" customFormat="1" x14ac:dyDescent="0.2">
      <c r="A1394" s="30" t="str">
        <f>IF(C1394&amp;G1394&amp;D1394&lt;&gt;'Funnel setup'!$K$3&amp;'Funnel setup'!$K$4&amp;'Funnel setup'!$K$5,".",IF(A1393=".",1,A1393+1))</f>
        <v>.</v>
      </c>
      <c r="B1394" s="431" t="str">
        <f t="shared" si="21"/>
        <v>Hip Replacement PrimaryCCG of GP PracticeNHS WIRRAL CCG (12F)EQ-5D Index</v>
      </c>
      <c r="C1394" t="s">
        <v>248</v>
      </c>
      <c r="D1394" t="s">
        <v>87</v>
      </c>
      <c r="E1394" t="s">
        <v>474</v>
      </c>
      <c r="F1394" t="s">
        <v>475</v>
      </c>
      <c r="G1394" t="s">
        <v>52</v>
      </c>
      <c r="H1394">
        <v>292</v>
      </c>
      <c r="I1394">
        <v>0.378</v>
      </c>
      <c r="J1394">
        <v>0.752</v>
      </c>
      <c r="K1394">
        <v>0.374</v>
      </c>
      <c r="L1394">
        <v>247</v>
      </c>
      <c r="M1394">
        <v>21</v>
      </c>
      <c r="N1394">
        <v>24</v>
      </c>
      <c r="O1394">
        <v>0.76200000000000001</v>
      </c>
      <c r="P1394">
        <v>0.40076492699999999</v>
      </c>
      <c r="Q1394">
        <v>0.22500000000000001</v>
      </c>
    </row>
    <row r="1395" spans="1:17" s="30" customFormat="1" x14ac:dyDescent="0.2">
      <c r="A1395" s="30" t="str">
        <f>IF(C1395&amp;G1395&amp;D1395&lt;&gt;'Funnel setup'!$K$3&amp;'Funnel setup'!$K$4&amp;'Funnel setup'!$K$5,".",IF(A1394=".",1,A1394+1))</f>
        <v>.</v>
      </c>
      <c r="B1395" s="431" t="str">
        <f t="shared" si="21"/>
        <v>Hip Replacement PrimaryCCG of GP PracticeNHS WOKINGHAM CCG (11D)EQ-5D Index</v>
      </c>
      <c r="C1395" t="s">
        <v>248</v>
      </c>
      <c r="D1395" t="s">
        <v>87</v>
      </c>
      <c r="E1395" t="s">
        <v>477</v>
      </c>
      <c r="F1395" t="s">
        <v>478</v>
      </c>
      <c r="G1395" t="s">
        <v>52</v>
      </c>
      <c r="H1395">
        <v>109</v>
      </c>
      <c r="I1395">
        <v>0.44800000000000001</v>
      </c>
      <c r="J1395">
        <v>0.86699999999999999</v>
      </c>
      <c r="K1395">
        <v>0.41899999999999998</v>
      </c>
      <c r="L1395">
        <v>99</v>
      </c>
      <c r="M1395">
        <v>6</v>
      </c>
      <c r="N1395">
        <v>4</v>
      </c>
      <c r="O1395">
        <v>0.82299999999999995</v>
      </c>
      <c r="P1395">
        <v>0.46105077100000003</v>
      </c>
      <c r="Q1395">
        <v>0.192</v>
      </c>
    </row>
    <row r="1396" spans="1:17" s="30" customFormat="1" x14ac:dyDescent="0.2">
      <c r="A1396" s="30" t="str">
        <f>IF(C1396&amp;G1396&amp;D1396&lt;&gt;'Funnel setup'!$K$3&amp;'Funnel setup'!$K$4&amp;'Funnel setup'!$K$5,".",IF(A1395=".",1,A1395+1))</f>
        <v>.</v>
      </c>
      <c r="B1396" s="431" t="str">
        <f t="shared" si="21"/>
        <v>Hip Replacement PrimaryCCG of GP PracticeNHS WOLVERHAMPTON CCG (06A)EQ-5D Index</v>
      </c>
      <c r="C1396" t="s">
        <v>248</v>
      </c>
      <c r="D1396" t="s">
        <v>87</v>
      </c>
      <c r="E1396" t="s">
        <v>480</v>
      </c>
      <c r="F1396" t="s">
        <v>481</v>
      </c>
      <c r="G1396" t="s">
        <v>52</v>
      </c>
      <c r="H1396">
        <v>139</v>
      </c>
      <c r="I1396">
        <v>0.34200000000000003</v>
      </c>
      <c r="J1396">
        <v>0.76300000000000001</v>
      </c>
      <c r="K1396">
        <v>0.42</v>
      </c>
      <c r="L1396">
        <v>122</v>
      </c>
      <c r="M1396">
        <v>8</v>
      </c>
      <c r="N1396">
        <v>9</v>
      </c>
      <c r="O1396">
        <v>0.79200000000000004</v>
      </c>
      <c r="P1396">
        <v>0.429845317</v>
      </c>
      <c r="Q1396">
        <v>0.219</v>
      </c>
    </row>
    <row r="1397" spans="1:17" s="30" customFormat="1" x14ac:dyDescent="0.2">
      <c r="A1397" s="30" t="str">
        <f>IF(C1397&amp;G1397&amp;D1397&lt;&gt;'Funnel setup'!$K$3&amp;'Funnel setup'!$K$4&amp;'Funnel setup'!$K$5,".",IF(A1396=".",1,A1396+1))</f>
        <v>.</v>
      </c>
      <c r="B1397" s="431" t="str">
        <f t="shared" si="21"/>
        <v>Hip Replacement PrimaryCCG of GP PracticeNHS WYRE FOREST CCG (06D)EQ-5D Index</v>
      </c>
      <c r="C1397" t="s">
        <v>248</v>
      </c>
      <c r="D1397" t="s">
        <v>87</v>
      </c>
      <c r="E1397" t="s">
        <v>483</v>
      </c>
      <c r="F1397" t="s">
        <v>484</v>
      </c>
      <c r="G1397" t="s">
        <v>52</v>
      </c>
      <c r="H1397">
        <v>81</v>
      </c>
      <c r="I1397">
        <v>0.32500000000000001</v>
      </c>
      <c r="J1397">
        <v>0.81</v>
      </c>
      <c r="K1397">
        <v>0.48499999999999999</v>
      </c>
      <c r="L1397">
        <v>77</v>
      </c>
      <c r="M1397">
        <v>2</v>
      </c>
      <c r="N1397">
        <v>2</v>
      </c>
      <c r="O1397">
        <v>0.83199999999999996</v>
      </c>
      <c r="P1397">
        <v>0.47074892800000001</v>
      </c>
      <c r="Q1397">
        <v>0.23899999999999999</v>
      </c>
    </row>
    <row r="1398" spans="1:17" s="30" customFormat="1" x14ac:dyDescent="0.2">
      <c r="A1398" s="30" t="str">
        <f>IF(C1398&amp;G1398&amp;D1398&lt;&gt;'Funnel setup'!$K$3&amp;'Funnel setup'!$K$4&amp;'Funnel setup'!$K$5,".",IF(A1397=".",1,A1397+1))</f>
        <v>.</v>
      </c>
      <c r="B1398" s="431" t="str">
        <f t="shared" si="21"/>
        <v>Hip Replacement PrimaryCCG of GP PracticeEAST COMMISSIONING HUB (14E)Oxford Hip Score</v>
      </c>
      <c r="C1398" t="s">
        <v>248</v>
      </c>
      <c r="D1398" t="s">
        <v>87</v>
      </c>
      <c r="E1398" t="s">
        <v>6551</v>
      </c>
      <c r="F1398" t="s">
        <v>6542</v>
      </c>
      <c r="G1398" t="s">
        <v>14</v>
      </c>
      <c r="H1398" t="s">
        <v>53</v>
      </c>
      <c r="I1398" t="s">
        <v>53</v>
      </c>
      <c r="J1398" t="s">
        <v>53</v>
      </c>
      <c r="K1398" t="s">
        <v>53</v>
      </c>
      <c r="L1398" t="s">
        <v>53</v>
      </c>
      <c r="M1398" t="s">
        <v>53</v>
      </c>
      <c r="N1398" t="s">
        <v>53</v>
      </c>
      <c r="O1398" t="s">
        <v>53</v>
      </c>
      <c r="P1398" t="s">
        <v>53</v>
      </c>
      <c r="Q1398" t="s">
        <v>53</v>
      </c>
    </row>
    <row r="1399" spans="1:17" s="30" customFormat="1" x14ac:dyDescent="0.2">
      <c r="A1399" s="30" t="str">
        <f>IF(C1399&amp;G1399&amp;D1399&lt;&gt;'Funnel setup'!$K$3&amp;'Funnel setup'!$K$4&amp;'Funnel setup'!$K$5,".",IF(A1398=".",1,A1398+1))</f>
        <v>.</v>
      </c>
      <c r="B1399" s="431" t="str">
        <f t="shared" si="21"/>
        <v>Hip Replacement PrimaryCCG of GP PracticeNATIONAL COMMISSIONING HUB 1 (13Q)Oxford Hip Score</v>
      </c>
      <c r="C1399" t="s">
        <v>248</v>
      </c>
      <c r="D1399" t="s">
        <v>87</v>
      </c>
      <c r="E1399" t="s">
        <v>563</v>
      </c>
      <c r="F1399" t="s">
        <v>564</v>
      </c>
      <c r="G1399" t="s">
        <v>14</v>
      </c>
      <c r="H1399">
        <v>10</v>
      </c>
      <c r="I1399">
        <v>31.8</v>
      </c>
      <c r="J1399">
        <v>41</v>
      </c>
      <c r="K1399">
        <v>9.1999999999999993</v>
      </c>
      <c r="L1399">
        <v>8</v>
      </c>
      <c r="M1399">
        <v>0</v>
      </c>
      <c r="N1399">
        <v>2</v>
      </c>
      <c r="O1399" t="s">
        <v>53</v>
      </c>
      <c r="P1399" t="s">
        <v>53</v>
      </c>
      <c r="Q1399" t="s">
        <v>53</v>
      </c>
    </row>
    <row r="1400" spans="1:17" s="30" customFormat="1" x14ac:dyDescent="0.2">
      <c r="A1400" s="30" t="str">
        <f>IF(C1400&amp;G1400&amp;D1400&lt;&gt;'Funnel setup'!$K$3&amp;'Funnel setup'!$K$4&amp;'Funnel setup'!$K$5,".",IF(A1399=".",1,A1399+1))</f>
        <v>.</v>
      </c>
      <c r="B1400" s="431" t="str">
        <f t="shared" si="21"/>
        <v>Hip Replacement PrimaryCCG of GP PracticeNHS AIREDALE, WHARFEDALE AND CRAVEN CCG (02N)Oxford Hip Score</v>
      </c>
      <c r="C1400" t="s">
        <v>248</v>
      </c>
      <c r="D1400" t="s">
        <v>87</v>
      </c>
      <c r="E1400" t="s">
        <v>566</v>
      </c>
      <c r="F1400" t="s">
        <v>567</v>
      </c>
      <c r="G1400" t="s">
        <v>14</v>
      </c>
      <c r="H1400">
        <v>175</v>
      </c>
      <c r="I1400">
        <v>20.006</v>
      </c>
      <c r="J1400">
        <v>39.976999999999997</v>
      </c>
      <c r="K1400">
        <v>19.971</v>
      </c>
      <c r="L1400">
        <v>168</v>
      </c>
      <c r="M1400">
        <v>1</v>
      </c>
      <c r="N1400">
        <v>6</v>
      </c>
      <c r="O1400">
        <v>39.250999999999998</v>
      </c>
      <c r="P1400">
        <v>21.046502919999998</v>
      </c>
      <c r="Q1400">
        <v>7.3819999999999997</v>
      </c>
    </row>
    <row r="1401" spans="1:17" s="30" customFormat="1" x14ac:dyDescent="0.2">
      <c r="A1401" s="30" t="str">
        <f>IF(C1401&amp;G1401&amp;D1401&lt;&gt;'Funnel setup'!$K$3&amp;'Funnel setup'!$K$4&amp;'Funnel setup'!$K$5,".",IF(A1400=".",1,A1400+1))</f>
        <v>.</v>
      </c>
      <c r="B1401" s="431" t="str">
        <f t="shared" si="21"/>
        <v>Hip Replacement PrimaryCCG of GP PracticeNHS ASHFORD CCG (09C)Oxford Hip Score</v>
      </c>
      <c r="C1401" t="s">
        <v>248</v>
      </c>
      <c r="D1401" t="s">
        <v>87</v>
      </c>
      <c r="E1401" t="s">
        <v>569</v>
      </c>
      <c r="F1401" t="s">
        <v>339</v>
      </c>
      <c r="G1401" t="s">
        <v>14</v>
      </c>
      <c r="H1401">
        <v>83</v>
      </c>
      <c r="I1401">
        <v>18.059999999999999</v>
      </c>
      <c r="J1401">
        <v>39.904000000000003</v>
      </c>
      <c r="K1401">
        <v>21.843</v>
      </c>
      <c r="L1401">
        <v>82</v>
      </c>
      <c r="M1401">
        <v>0</v>
      </c>
      <c r="N1401">
        <v>1</v>
      </c>
      <c r="O1401">
        <v>39.906999999999996</v>
      </c>
      <c r="P1401">
        <v>21.702385499999998</v>
      </c>
      <c r="Q1401">
        <v>7.62</v>
      </c>
    </row>
    <row r="1402" spans="1:17" s="30" customFormat="1" x14ac:dyDescent="0.2">
      <c r="A1402" s="30" t="str">
        <f>IF(C1402&amp;G1402&amp;D1402&lt;&gt;'Funnel setup'!$K$3&amp;'Funnel setup'!$K$4&amp;'Funnel setup'!$K$5,".",IF(A1401=".",1,A1401+1))</f>
        <v>.</v>
      </c>
      <c r="B1402" s="431" t="str">
        <f t="shared" si="21"/>
        <v>Hip Replacement PrimaryCCG of GP PracticeNHS AYLESBURY VALE CCG (10Y)Oxford Hip Score</v>
      </c>
      <c r="C1402" t="s">
        <v>248</v>
      </c>
      <c r="D1402" t="s">
        <v>87</v>
      </c>
      <c r="E1402" t="s">
        <v>571</v>
      </c>
      <c r="F1402" t="s">
        <v>572</v>
      </c>
      <c r="G1402" t="s">
        <v>14</v>
      </c>
      <c r="H1402">
        <v>147</v>
      </c>
      <c r="I1402">
        <v>17.789000000000001</v>
      </c>
      <c r="J1402">
        <v>39.844000000000001</v>
      </c>
      <c r="K1402">
        <v>22.053999999999998</v>
      </c>
      <c r="L1402">
        <v>145</v>
      </c>
      <c r="M1402">
        <v>1</v>
      </c>
      <c r="N1402">
        <v>1</v>
      </c>
      <c r="O1402">
        <v>39.555</v>
      </c>
      <c r="P1402">
        <v>21.350125120000001</v>
      </c>
      <c r="Q1402">
        <v>7.5069999999999997</v>
      </c>
    </row>
    <row r="1403" spans="1:17" s="30" customFormat="1" x14ac:dyDescent="0.2">
      <c r="A1403" s="30" t="str">
        <f>IF(C1403&amp;G1403&amp;D1403&lt;&gt;'Funnel setup'!$K$3&amp;'Funnel setup'!$K$4&amp;'Funnel setup'!$K$5,".",IF(A1402=".",1,A1402+1))</f>
        <v>.</v>
      </c>
      <c r="B1403" s="431" t="str">
        <f t="shared" si="21"/>
        <v>Hip Replacement PrimaryCCG of GP PracticeNHS BARKING AND DAGENHAM CCG (07L)Oxford Hip Score</v>
      </c>
      <c r="C1403" t="s">
        <v>248</v>
      </c>
      <c r="D1403" t="s">
        <v>87</v>
      </c>
      <c r="E1403" t="s">
        <v>574</v>
      </c>
      <c r="F1403" t="s">
        <v>575</v>
      </c>
      <c r="G1403" t="s">
        <v>14</v>
      </c>
      <c r="H1403">
        <v>37</v>
      </c>
      <c r="I1403">
        <v>15.378</v>
      </c>
      <c r="J1403">
        <v>35.729999999999997</v>
      </c>
      <c r="K1403">
        <v>20.350999999999999</v>
      </c>
      <c r="L1403">
        <v>36</v>
      </c>
      <c r="M1403">
        <v>0</v>
      </c>
      <c r="N1403">
        <v>1</v>
      </c>
      <c r="O1403">
        <v>38.584000000000003</v>
      </c>
      <c r="P1403">
        <v>20.379200820000001</v>
      </c>
      <c r="Q1403">
        <v>8.6219999999999999</v>
      </c>
    </row>
    <row r="1404" spans="1:17" s="30" customFormat="1" x14ac:dyDescent="0.2">
      <c r="A1404" s="30" t="str">
        <f>IF(C1404&amp;G1404&amp;D1404&lt;&gt;'Funnel setup'!$K$3&amp;'Funnel setup'!$K$4&amp;'Funnel setup'!$K$5,".",IF(A1403=".",1,A1403+1))</f>
        <v>.</v>
      </c>
      <c r="B1404" s="431" t="str">
        <f t="shared" si="21"/>
        <v>Hip Replacement PrimaryCCG of GP PracticeNHS BARNET CCG (07M)Oxford Hip Score</v>
      </c>
      <c r="C1404" t="s">
        <v>248</v>
      </c>
      <c r="D1404" t="s">
        <v>87</v>
      </c>
      <c r="E1404" t="s">
        <v>577</v>
      </c>
      <c r="F1404" t="s">
        <v>578</v>
      </c>
      <c r="G1404" t="s">
        <v>14</v>
      </c>
      <c r="H1404">
        <v>80</v>
      </c>
      <c r="I1404">
        <v>16.587</v>
      </c>
      <c r="J1404">
        <v>38.225000000000001</v>
      </c>
      <c r="K1404">
        <v>21.637</v>
      </c>
      <c r="L1404">
        <v>77</v>
      </c>
      <c r="M1404">
        <v>0</v>
      </c>
      <c r="N1404">
        <v>3</v>
      </c>
      <c r="O1404">
        <v>39.027999999999999</v>
      </c>
      <c r="P1404">
        <v>20.82383471</v>
      </c>
      <c r="Q1404">
        <v>8.2989999999999995</v>
      </c>
    </row>
    <row r="1405" spans="1:17" s="30" customFormat="1" x14ac:dyDescent="0.2">
      <c r="A1405" s="30" t="str">
        <f>IF(C1405&amp;G1405&amp;D1405&lt;&gt;'Funnel setup'!$K$3&amp;'Funnel setup'!$K$4&amp;'Funnel setup'!$K$5,".",IF(A1404=".",1,A1404+1))</f>
        <v>.</v>
      </c>
      <c r="B1405" s="431" t="str">
        <f t="shared" si="21"/>
        <v>Hip Replacement PrimaryCCG of GP PracticeNHS BARNSLEY CCG (02P)Oxford Hip Score</v>
      </c>
      <c r="C1405" t="s">
        <v>248</v>
      </c>
      <c r="D1405" t="s">
        <v>87</v>
      </c>
      <c r="E1405" t="s">
        <v>580</v>
      </c>
      <c r="F1405" t="s">
        <v>581</v>
      </c>
      <c r="G1405" t="s">
        <v>14</v>
      </c>
      <c r="H1405">
        <v>174</v>
      </c>
      <c r="I1405">
        <v>16.006</v>
      </c>
      <c r="J1405">
        <v>36.81</v>
      </c>
      <c r="K1405">
        <v>20.805</v>
      </c>
      <c r="L1405">
        <v>169</v>
      </c>
      <c r="M1405">
        <v>1</v>
      </c>
      <c r="N1405">
        <v>4</v>
      </c>
      <c r="O1405">
        <v>37.871000000000002</v>
      </c>
      <c r="P1405">
        <v>19.666296070000001</v>
      </c>
      <c r="Q1405">
        <v>8.6340000000000003</v>
      </c>
    </row>
    <row r="1406" spans="1:17" s="30" customFormat="1" x14ac:dyDescent="0.2">
      <c r="A1406" s="30" t="str">
        <f>IF(C1406&amp;G1406&amp;D1406&lt;&gt;'Funnel setup'!$K$3&amp;'Funnel setup'!$K$4&amp;'Funnel setup'!$K$5,".",IF(A1405=".",1,A1405+1))</f>
        <v>.</v>
      </c>
      <c r="B1406" s="431" t="str">
        <f t="shared" si="21"/>
        <v>Hip Replacement PrimaryCCG of GP PracticeNHS BASILDON AND BRENTWOOD CCG (99E)Oxford Hip Score</v>
      </c>
      <c r="C1406" t="s">
        <v>248</v>
      </c>
      <c r="D1406" t="s">
        <v>87</v>
      </c>
      <c r="E1406" t="s">
        <v>583</v>
      </c>
      <c r="F1406" t="s">
        <v>584</v>
      </c>
      <c r="G1406" t="s">
        <v>14</v>
      </c>
      <c r="H1406">
        <v>168</v>
      </c>
      <c r="I1406">
        <v>16.475999999999999</v>
      </c>
      <c r="J1406">
        <v>38.725999999999999</v>
      </c>
      <c r="K1406">
        <v>22.25</v>
      </c>
      <c r="L1406">
        <v>164</v>
      </c>
      <c r="M1406">
        <v>1</v>
      </c>
      <c r="N1406">
        <v>3</v>
      </c>
      <c r="O1406">
        <v>39.213999999999999</v>
      </c>
      <c r="P1406">
        <v>21.009140210000002</v>
      </c>
      <c r="Q1406">
        <v>7.9770000000000003</v>
      </c>
    </row>
    <row r="1407" spans="1:17" s="30" customFormat="1" x14ac:dyDescent="0.2">
      <c r="A1407" s="30" t="str">
        <f>IF(C1407&amp;G1407&amp;D1407&lt;&gt;'Funnel setup'!$K$3&amp;'Funnel setup'!$K$4&amp;'Funnel setup'!$K$5,".",IF(A1406=".",1,A1406+1))</f>
        <v>.</v>
      </c>
      <c r="B1407" s="431" t="str">
        <f t="shared" si="21"/>
        <v>Hip Replacement PrimaryCCG of GP PracticeNHS BASSETLAW CCG (02Q)Oxford Hip Score</v>
      </c>
      <c r="C1407" t="s">
        <v>248</v>
      </c>
      <c r="D1407" t="s">
        <v>87</v>
      </c>
      <c r="E1407" t="s">
        <v>586</v>
      </c>
      <c r="F1407" t="s">
        <v>587</v>
      </c>
      <c r="G1407" t="s">
        <v>14</v>
      </c>
      <c r="H1407">
        <v>128</v>
      </c>
      <c r="I1407">
        <v>16.734000000000002</v>
      </c>
      <c r="J1407">
        <v>39.390999999999998</v>
      </c>
      <c r="K1407">
        <v>22.655999999999999</v>
      </c>
      <c r="L1407">
        <v>127</v>
      </c>
      <c r="M1407">
        <v>0</v>
      </c>
      <c r="N1407">
        <v>1</v>
      </c>
      <c r="O1407">
        <v>40.201999999999998</v>
      </c>
      <c r="P1407">
        <v>21.997572170000002</v>
      </c>
      <c r="Q1407">
        <v>7.343</v>
      </c>
    </row>
    <row r="1408" spans="1:17" s="30" customFormat="1" x14ac:dyDescent="0.2">
      <c r="A1408" s="30" t="str">
        <f>IF(C1408&amp;G1408&amp;D1408&lt;&gt;'Funnel setup'!$K$3&amp;'Funnel setup'!$K$4&amp;'Funnel setup'!$K$5,".",IF(A1407=".",1,A1407+1))</f>
        <v>.</v>
      </c>
      <c r="B1408" s="431" t="str">
        <f t="shared" si="21"/>
        <v>Hip Replacement PrimaryCCG of GP PracticeNHS BATH AND NORTH EAST SOMERSET CCG (11E)Oxford Hip Score</v>
      </c>
      <c r="C1408" t="s">
        <v>248</v>
      </c>
      <c r="D1408" t="s">
        <v>87</v>
      </c>
      <c r="E1408" t="s">
        <v>589</v>
      </c>
      <c r="F1408" t="s">
        <v>590</v>
      </c>
      <c r="G1408" t="s">
        <v>14</v>
      </c>
      <c r="H1408">
        <v>174</v>
      </c>
      <c r="I1408">
        <v>17.925000000000001</v>
      </c>
      <c r="J1408">
        <v>40.792999999999999</v>
      </c>
      <c r="K1408">
        <v>22.867999999999999</v>
      </c>
      <c r="L1408">
        <v>170</v>
      </c>
      <c r="M1408">
        <v>0</v>
      </c>
      <c r="N1408">
        <v>4</v>
      </c>
      <c r="O1408">
        <v>40.658999999999999</v>
      </c>
      <c r="P1408">
        <v>22.454556180000001</v>
      </c>
      <c r="Q1408">
        <v>7.2190000000000003</v>
      </c>
    </row>
    <row r="1409" spans="1:17" s="30" customFormat="1" x14ac:dyDescent="0.2">
      <c r="A1409" s="30" t="str">
        <f>IF(C1409&amp;G1409&amp;D1409&lt;&gt;'Funnel setup'!$K$3&amp;'Funnel setup'!$K$4&amp;'Funnel setup'!$K$5,".",IF(A1408=".",1,A1408+1))</f>
        <v>.</v>
      </c>
      <c r="B1409" s="431" t="str">
        <f t="shared" si="21"/>
        <v>Hip Replacement PrimaryCCG of GP PracticeNHS BEDFORDSHIRE CCG (06F)Oxford Hip Score</v>
      </c>
      <c r="C1409" t="s">
        <v>248</v>
      </c>
      <c r="D1409" t="s">
        <v>87</v>
      </c>
      <c r="E1409" t="s">
        <v>592</v>
      </c>
      <c r="F1409" t="s">
        <v>593</v>
      </c>
      <c r="G1409" t="s">
        <v>14</v>
      </c>
      <c r="H1409">
        <v>339</v>
      </c>
      <c r="I1409">
        <v>18.077000000000002</v>
      </c>
      <c r="J1409">
        <v>40.006</v>
      </c>
      <c r="K1409">
        <v>21.928999999999998</v>
      </c>
      <c r="L1409">
        <v>334</v>
      </c>
      <c r="M1409">
        <v>3</v>
      </c>
      <c r="N1409">
        <v>2</v>
      </c>
      <c r="O1409">
        <v>39.868000000000002</v>
      </c>
      <c r="P1409">
        <v>21.66359752</v>
      </c>
      <c r="Q1409">
        <v>7.3789999999999996</v>
      </c>
    </row>
    <row r="1410" spans="1:17" s="30" customFormat="1" x14ac:dyDescent="0.2">
      <c r="A1410" s="30" t="str">
        <f>IF(C1410&amp;G1410&amp;D1410&lt;&gt;'Funnel setup'!$K$3&amp;'Funnel setup'!$K$4&amp;'Funnel setup'!$K$5,".",IF(A1409=".",1,A1409+1))</f>
        <v>.</v>
      </c>
      <c r="B1410" s="431" t="str">
        <f t="shared" si="21"/>
        <v>Hip Replacement PrimaryCCG of GP PracticeNHS BEXLEY CCG (07N)Oxford Hip Score</v>
      </c>
      <c r="C1410" t="s">
        <v>248</v>
      </c>
      <c r="D1410" t="s">
        <v>87</v>
      </c>
      <c r="E1410" t="s">
        <v>595</v>
      </c>
      <c r="F1410" t="s">
        <v>596</v>
      </c>
      <c r="G1410" t="s">
        <v>14</v>
      </c>
      <c r="H1410">
        <v>83</v>
      </c>
      <c r="I1410">
        <v>15.782999999999999</v>
      </c>
      <c r="J1410">
        <v>37.710999999999999</v>
      </c>
      <c r="K1410">
        <v>21.928000000000001</v>
      </c>
      <c r="L1410">
        <v>82</v>
      </c>
      <c r="M1410">
        <v>1</v>
      </c>
      <c r="N1410">
        <v>0</v>
      </c>
      <c r="O1410">
        <v>38.494</v>
      </c>
      <c r="P1410">
        <v>20.289842140000001</v>
      </c>
      <c r="Q1410">
        <v>9</v>
      </c>
    </row>
    <row r="1411" spans="1:17" s="30" customFormat="1" x14ac:dyDescent="0.2">
      <c r="A1411" s="30" t="str">
        <f>IF(C1411&amp;G1411&amp;D1411&lt;&gt;'Funnel setup'!$K$3&amp;'Funnel setup'!$K$4&amp;'Funnel setup'!$K$5,".",IF(A1410=".",1,A1410+1))</f>
        <v>.</v>
      </c>
      <c r="B1411" s="431" t="str">
        <f t="shared" ref="B1411:B1474" si="22">C1411&amp;D1411&amp;F1411&amp;G1411</f>
        <v>Hip Replacement PrimaryCCG of GP PracticeNHS BIRMINGHAM CROSSCITY CCG (13P)Oxford Hip Score</v>
      </c>
      <c r="C1411" t="s">
        <v>248</v>
      </c>
      <c r="D1411" t="s">
        <v>87</v>
      </c>
      <c r="E1411" t="s">
        <v>598</v>
      </c>
      <c r="F1411" t="s">
        <v>599</v>
      </c>
      <c r="G1411" t="s">
        <v>14</v>
      </c>
      <c r="H1411">
        <v>389</v>
      </c>
      <c r="I1411">
        <v>16.869</v>
      </c>
      <c r="J1411">
        <v>37.36</v>
      </c>
      <c r="K1411">
        <v>20.491</v>
      </c>
      <c r="L1411">
        <v>379</v>
      </c>
      <c r="M1411">
        <v>1</v>
      </c>
      <c r="N1411">
        <v>9</v>
      </c>
      <c r="O1411">
        <v>38.722000000000001</v>
      </c>
      <c r="P1411">
        <v>20.517076809999999</v>
      </c>
      <c r="Q1411">
        <v>8.3610000000000007</v>
      </c>
    </row>
    <row r="1412" spans="1:17" s="30" customFormat="1" x14ac:dyDescent="0.2">
      <c r="A1412" s="30" t="str">
        <f>IF(C1412&amp;G1412&amp;D1412&lt;&gt;'Funnel setup'!$K$3&amp;'Funnel setup'!$K$4&amp;'Funnel setup'!$K$5,".",IF(A1411=".",1,A1411+1))</f>
        <v>.</v>
      </c>
      <c r="B1412" s="431" t="str">
        <f t="shared" si="22"/>
        <v>Hip Replacement PrimaryCCG of GP PracticeNHS BIRMINGHAM SOUTH AND CENTRAL CCG (04X)Oxford Hip Score</v>
      </c>
      <c r="C1412" t="s">
        <v>248</v>
      </c>
      <c r="D1412" t="s">
        <v>87</v>
      </c>
      <c r="E1412" t="s">
        <v>601</v>
      </c>
      <c r="F1412" t="s">
        <v>602</v>
      </c>
      <c r="G1412" t="s">
        <v>14</v>
      </c>
      <c r="H1412">
        <v>85</v>
      </c>
      <c r="I1412">
        <v>16.341000000000001</v>
      </c>
      <c r="J1412">
        <v>38.646999999999998</v>
      </c>
      <c r="K1412">
        <v>22.306000000000001</v>
      </c>
      <c r="L1412">
        <v>83</v>
      </c>
      <c r="M1412">
        <v>0</v>
      </c>
      <c r="N1412">
        <v>2</v>
      </c>
      <c r="O1412">
        <v>40.162999999999997</v>
      </c>
      <c r="P1412">
        <v>21.958090680000002</v>
      </c>
      <c r="Q1412">
        <v>7.6740000000000004</v>
      </c>
    </row>
    <row r="1413" spans="1:17" s="30" customFormat="1" x14ac:dyDescent="0.2">
      <c r="A1413" s="30" t="str">
        <f>IF(C1413&amp;G1413&amp;D1413&lt;&gt;'Funnel setup'!$K$3&amp;'Funnel setup'!$K$4&amp;'Funnel setup'!$K$5,".",IF(A1412=".",1,A1412+1))</f>
        <v>.</v>
      </c>
      <c r="B1413" s="431" t="str">
        <f t="shared" si="22"/>
        <v>Hip Replacement PrimaryCCG of GP PracticeNHS BLACKBURN WITH DARWEN CCG (00Q)Oxford Hip Score</v>
      </c>
      <c r="C1413" t="s">
        <v>248</v>
      </c>
      <c r="D1413" t="s">
        <v>87</v>
      </c>
      <c r="E1413" t="s">
        <v>604</v>
      </c>
      <c r="F1413" t="s">
        <v>605</v>
      </c>
      <c r="G1413" t="s">
        <v>14</v>
      </c>
      <c r="H1413">
        <v>78</v>
      </c>
      <c r="I1413">
        <v>17.140999999999998</v>
      </c>
      <c r="J1413">
        <v>37.345999999999997</v>
      </c>
      <c r="K1413">
        <v>20.204999999999998</v>
      </c>
      <c r="L1413">
        <v>74</v>
      </c>
      <c r="M1413">
        <v>0</v>
      </c>
      <c r="N1413">
        <v>4</v>
      </c>
      <c r="O1413">
        <v>38.177</v>
      </c>
      <c r="P1413">
        <v>19.972955840000001</v>
      </c>
      <c r="Q1413">
        <v>8.5299999999999994</v>
      </c>
    </row>
    <row r="1414" spans="1:17" s="30" customFormat="1" x14ac:dyDescent="0.2">
      <c r="A1414" s="30" t="str">
        <f>IF(C1414&amp;G1414&amp;D1414&lt;&gt;'Funnel setup'!$K$3&amp;'Funnel setup'!$K$4&amp;'Funnel setup'!$K$5,".",IF(A1413=".",1,A1413+1))</f>
        <v>.</v>
      </c>
      <c r="B1414" s="431" t="str">
        <f t="shared" si="22"/>
        <v>Hip Replacement PrimaryCCG of GP PracticeNHS BLACKPOOL CCG (00R)Oxford Hip Score</v>
      </c>
      <c r="C1414" t="s">
        <v>248</v>
      </c>
      <c r="D1414" t="s">
        <v>87</v>
      </c>
      <c r="E1414" t="s">
        <v>607</v>
      </c>
      <c r="F1414" t="s">
        <v>608</v>
      </c>
      <c r="G1414" t="s">
        <v>14</v>
      </c>
      <c r="H1414">
        <v>49</v>
      </c>
      <c r="I1414">
        <v>17.693999999999999</v>
      </c>
      <c r="J1414">
        <v>36.143000000000001</v>
      </c>
      <c r="K1414">
        <v>18.449000000000002</v>
      </c>
      <c r="L1414">
        <v>43</v>
      </c>
      <c r="M1414">
        <v>0</v>
      </c>
      <c r="N1414">
        <v>6</v>
      </c>
      <c r="O1414">
        <v>37.104999999999997</v>
      </c>
      <c r="P1414">
        <v>18.900921260000001</v>
      </c>
      <c r="Q1414">
        <v>12.053000000000001</v>
      </c>
    </row>
    <row r="1415" spans="1:17" s="30" customFormat="1" x14ac:dyDescent="0.2">
      <c r="A1415" s="30" t="str">
        <f>IF(C1415&amp;G1415&amp;D1415&lt;&gt;'Funnel setup'!$K$3&amp;'Funnel setup'!$K$4&amp;'Funnel setup'!$K$5,".",IF(A1414=".",1,A1414+1))</f>
        <v>.</v>
      </c>
      <c r="B1415" s="431" t="str">
        <f t="shared" si="22"/>
        <v>Hip Replacement PrimaryCCG of GP PracticeNHS BOLTON CCG (00T)Oxford Hip Score</v>
      </c>
      <c r="C1415" t="s">
        <v>248</v>
      </c>
      <c r="D1415" t="s">
        <v>87</v>
      </c>
      <c r="E1415" t="s">
        <v>683</v>
      </c>
      <c r="F1415" t="s">
        <v>684</v>
      </c>
      <c r="G1415" t="s">
        <v>14</v>
      </c>
      <c r="H1415">
        <v>141</v>
      </c>
      <c r="I1415">
        <v>17.667000000000002</v>
      </c>
      <c r="J1415">
        <v>39.503999999999998</v>
      </c>
      <c r="K1415">
        <v>21.837</v>
      </c>
      <c r="L1415">
        <v>139</v>
      </c>
      <c r="M1415">
        <v>0</v>
      </c>
      <c r="N1415">
        <v>2</v>
      </c>
      <c r="O1415">
        <v>40.470999999999997</v>
      </c>
      <c r="P1415">
        <v>22.26621342</v>
      </c>
      <c r="Q1415">
        <v>7.77</v>
      </c>
    </row>
    <row r="1416" spans="1:17" s="30" customFormat="1" x14ac:dyDescent="0.2">
      <c r="A1416" s="30" t="str">
        <f>IF(C1416&amp;G1416&amp;D1416&lt;&gt;'Funnel setup'!$K$3&amp;'Funnel setup'!$K$4&amp;'Funnel setup'!$K$5,".",IF(A1415=".",1,A1415+1))</f>
        <v>.</v>
      </c>
      <c r="B1416" s="431" t="str">
        <f t="shared" si="22"/>
        <v>Hip Replacement PrimaryCCG of GP PracticeNHS BRACKNELL AND ASCOT CCG (10G)Oxford Hip Score</v>
      </c>
      <c r="C1416" t="s">
        <v>248</v>
      </c>
      <c r="D1416" t="s">
        <v>87</v>
      </c>
      <c r="E1416" t="s">
        <v>686</v>
      </c>
      <c r="F1416" t="s">
        <v>687</v>
      </c>
      <c r="G1416" t="s">
        <v>14</v>
      </c>
      <c r="H1416">
        <v>77</v>
      </c>
      <c r="I1416">
        <v>19.635999999999999</v>
      </c>
      <c r="J1416">
        <v>40.805</v>
      </c>
      <c r="K1416">
        <v>21.169</v>
      </c>
      <c r="L1416">
        <v>74</v>
      </c>
      <c r="M1416">
        <v>1</v>
      </c>
      <c r="N1416">
        <v>2</v>
      </c>
      <c r="O1416">
        <v>39.311999999999998</v>
      </c>
      <c r="P1416">
        <v>21.107151229999999</v>
      </c>
      <c r="Q1416">
        <v>7.0149999999999997</v>
      </c>
    </row>
    <row r="1417" spans="1:17" s="30" customFormat="1" x14ac:dyDescent="0.2">
      <c r="A1417" s="30" t="str">
        <f>IF(C1417&amp;G1417&amp;D1417&lt;&gt;'Funnel setup'!$K$3&amp;'Funnel setup'!$K$4&amp;'Funnel setup'!$K$5,".",IF(A1416=".",1,A1416+1))</f>
        <v>.</v>
      </c>
      <c r="B1417" s="431" t="str">
        <f t="shared" si="22"/>
        <v>Hip Replacement PrimaryCCG of GP PracticeNHS BRADFORD CITY CCG (02W)Oxford Hip Score</v>
      </c>
      <c r="C1417" t="s">
        <v>248</v>
      </c>
      <c r="D1417" t="s">
        <v>87</v>
      </c>
      <c r="E1417" t="s">
        <v>689</v>
      </c>
      <c r="F1417" t="s">
        <v>690</v>
      </c>
      <c r="G1417" t="s">
        <v>14</v>
      </c>
      <c r="H1417">
        <v>6</v>
      </c>
      <c r="I1417">
        <v>15.5</v>
      </c>
      <c r="J1417">
        <v>29.832999999999998</v>
      </c>
      <c r="K1417">
        <v>14.333</v>
      </c>
      <c r="L1417">
        <v>6</v>
      </c>
      <c r="M1417">
        <v>0</v>
      </c>
      <c r="N1417">
        <v>0</v>
      </c>
      <c r="O1417" t="s">
        <v>53</v>
      </c>
      <c r="P1417" t="s">
        <v>53</v>
      </c>
      <c r="Q1417" t="s">
        <v>53</v>
      </c>
    </row>
    <row r="1418" spans="1:17" s="30" customFormat="1" x14ac:dyDescent="0.2">
      <c r="A1418" s="30" t="str">
        <f>IF(C1418&amp;G1418&amp;D1418&lt;&gt;'Funnel setup'!$K$3&amp;'Funnel setup'!$K$4&amp;'Funnel setup'!$K$5,".",IF(A1417=".",1,A1417+1))</f>
        <v>.</v>
      </c>
      <c r="B1418" s="431" t="str">
        <f t="shared" si="22"/>
        <v>Hip Replacement PrimaryCCG of GP PracticeNHS BRADFORD DISTRICTS CCG (02R)Oxford Hip Score</v>
      </c>
      <c r="C1418" t="s">
        <v>248</v>
      </c>
      <c r="D1418" t="s">
        <v>87</v>
      </c>
      <c r="E1418" t="s">
        <v>692</v>
      </c>
      <c r="F1418" t="s">
        <v>693</v>
      </c>
      <c r="G1418" t="s">
        <v>14</v>
      </c>
      <c r="H1418">
        <v>147</v>
      </c>
      <c r="I1418">
        <v>18.449000000000002</v>
      </c>
      <c r="J1418">
        <v>38.945999999999998</v>
      </c>
      <c r="K1418">
        <v>20.497</v>
      </c>
      <c r="L1418">
        <v>143</v>
      </c>
      <c r="M1418">
        <v>1</v>
      </c>
      <c r="N1418">
        <v>3</v>
      </c>
      <c r="O1418">
        <v>39.840000000000003</v>
      </c>
      <c r="P1418">
        <v>21.635051390000001</v>
      </c>
      <c r="Q1418">
        <v>7.5209999999999999</v>
      </c>
    </row>
    <row r="1419" spans="1:17" s="30" customFormat="1" x14ac:dyDescent="0.2">
      <c r="A1419" s="30" t="str">
        <f>IF(C1419&amp;G1419&amp;D1419&lt;&gt;'Funnel setup'!$K$3&amp;'Funnel setup'!$K$4&amp;'Funnel setup'!$K$5,".",IF(A1418=".",1,A1418+1))</f>
        <v>.</v>
      </c>
      <c r="B1419" s="431" t="str">
        <f t="shared" si="22"/>
        <v>Hip Replacement PrimaryCCG of GP PracticeNHS BRENT CCG (07P)Oxford Hip Score</v>
      </c>
      <c r="C1419" t="s">
        <v>248</v>
      </c>
      <c r="D1419" t="s">
        <v>87</v>
      </c>
      <c r="E1419" t="s">
        <v>695</v>
      </c>
      <c r="F1419" t="s">
        <v>696</v>
      </c>
      <c r="G1419" t="s">
        <v>14</v>
      </c>
      <c r="H1419">
        <v>52</v>
      </c>
      <c r="I1419">
        <v>19.731000000000002</v>
      </c>
      <c r="J1419">
        <v>36.018999999999998</v>
      </c>
      <c r="K1419">
        <v>16.288</v>
      </c>
      <c r="L1419">
        <v>47</v>
      </c>
      <c r="M1419">
        <v>0</v>
      </c>
      <c r="N1419">
        <v>5</v>
      </c>
      <c r="O1419">
        <v>37.073999999999998</v>
      </c>
      <c r="P1419">
        <v>18.869666429999999</v>
      </c>
      <c r="Q1419">
        <v>10.491</v>
      </c>
    </row>
    <row r="1420" spans="1:17" s="30" customFormat="1" x14ac:dyDescent="0.2">
      <c r="A1420" s="30" t="str">
        <f>IF(C1420&amp;G1420&amp;D1420&lt;&gt;'Funnel setup'!$K$3&amp;'Funnel setup'!$K$4&amp;'Funnel setup'!$K$5,".",IF(A1419=".",1,A1419+1))</f>
        <v>.</v>
      </c>
      <c r="B1420" s="431" t="str">
        <f t="shared" si="22"/>
        <v>Hip Replacement PrimaryCCG of GP PracticeNHS BRIGHTON AND HOVE CCG (09D)Oxford Hip Score</v>
      </c>
      <c r="C1420" t="s">
        <v>248</v>
      </c>
      <c r="D1420" t="s">
        <v>87</v>
      </c>
      <c r="E1420" t="s">
        <v>698</v>
      </c>
      <c r="F1420" t="s">
        <v>699</v>
      </c>
      <c r="G1420" t="s">
        <v>14</v>
      </c>
      <c r="H1420">
        <v>156</v>
      </c>
      <c r="I1420">
        <v>20.814</v>
      </c>
      <c r="J1420">
        <v>40.506</v>
      </c>
      <c r="K1420">
        <v>19.692</v>
      </c>
      <c r="L1420">
        <v>150</v>
      </c>
      <c r="M1420">
        <v>1</v>
      </c>
      <c r="N1420">
        <v>5</v>
      </c>
      <c r="O1420">
        <v>39.981999999999999</v>
      </c>
      <c r="P1420">
        <v>21.777908929999999</v>
      </c>
      <c r="Q1420">
        <v>7.1760000000000002</v>
      </c>
    </row>
    <row r="1421" spans="1:17" s="30" customFormat="1" x14ac:dyDescent="0.2">
      <c r="A1421" s="30" t="str">
        <f>IF(C1421&amp;G1421&amp;D1421&lt;&gt;'Funnel setup'!$K$3&amp;'Funnel setup'!$K$4&amp;'Funnel setup'!$K$5,".",IF(A1420=".",1,A1420+1))</f>
        <v>.</v>
      </c>
      <c r="B1421" s="431" t="str">
        <f t="shared" si="22"/>
        <v>Hip Replacement PrimaryCCG of GP PracticeNHS BRISTOL CCG (11H)Oxford Hip Score</v>
      </c>
      <c r="C1421" t="s">
        <v>248</v>
      </c>
      <c r="D1421" t="s">
        <v>87</v>
      </c>
      <c r="E1421" t="s">
        <v>701</v>
      </c>
      <c r="F1421" t="s">
        <v>702</v>
      </c>
      <c r="G1421" t="s">
        <v>14</v>
      </c>
      <c r="H1421">
        <v>241</v>
      </c>
      <c r="I1421">
        <v>18.277999999999999</v>
      </c>
      <c r="J1421">
        <v>39.755000000000003</v>
      </c>
      <c r="K1421">
        <v>21.477</v>
      </c>
      <c r="L1421">
        <v>233</v>
      </c>
      <c r="M1421">
        <v>2</v>
      </c>
      <c r="N1421">
        <v>6</v>
      </c>
      <c r="O1421">
        <v>39.747999999999998</v>
      </c>
      <c r="P1421">
        <v>21.543702499999998</v>
      </c>
      <c r="Q1421">
        <v>7.8970000000000002</v>
      </c>
    </row>
    <row r="1422" spans="1:17" s="30" customFormat="1" x14ac:dyDescent="0.2">
      <c r="A1422" s="30" t="str">
        <f>IF(C1422&amp;G1422&amp;D1422&lt;&gt;'Funnel setup'!$K$3&amp;'Funnel setup'!$K$4&amp;'Funnel setup'!$K$5,".",IF(A1421=".",1,A1421+1))</f>
        <v>.</v>
      </c>
      <c r="B1422" s="431" t="str">
        <f t="shared" si="22"/>
        <v>Hip Replacement PrimaryCCG of GP PracticeNHS BROMLEY CCG (07Q)Oxford Hip Score</v>
      </c>
      <c r="C1422" t="s">
        <v>248</v>
      </c>
      <c r="D1422" t="s">
        <v>87</v>
      </c>
      <c r="E1422" t="s">
        <v>704</v>
      </c>
      <c r="F1422" t="s">
        <v>705</v>
      </c>
      <c r="G1422" t="s">
        <v>14</v>
      </c>
      <c r="H1422">
        <v>159</v>
      </c>
      <c r="I1422">
        <v>19.452999999999999</v>
      </c>
      <c r="J1422">
        <v>40.917999999999999</v>
      </c>
      <c r="K1422">
        <v>21.465</v>
      </c>
      <c r="L1422">
        <v>154</v>
      </c>
      <c r="M1422">
        <v>0</v>
      </c>
      <c r="N1422">
        <v>5</v>
      </c>
      <c r="O1422">
        <v>40.222000000000001</v>
      </c>
      <c r="P1422">
        <v>22.017572210000001</v>
      </c>
      <c r="Q1422">
        <v>7.6630000000000003</v>
      </c>
    </row>
    <row r="1423" spans="1:17" s="30" customFormat="1" x14ac:dyDescent="0.2">
      <c r="A1423" s="30" t="str">
        <f>IF(C1423&amp;G1423&amp;D1423&lt;&gt;'Funnel setup'!$K$3&amp;'Funnel setup'!$K$4&amp;'Funnel setup'!$K$5,".",IF(A1422=".",1,A1422+1))</f>
        <v>.</v>
      </c>
      <c r="B1423" s="431" t="str">
        <f t="shared" si="22"/>
        <v>Hip Replacement PrimaryCCG of GP PracticeNHS BURY CCG (00V)Oxford Hip Score</v>
      </c>
      <c r="C1423" t="s">
        <v>248</v>
      </c>
      <c r="D1423" t="s">
        <v>87</v>
      </c>
      <c r="E1423" t="s">
        <v>707</v>
      </c>
      <c r="F1423" t="s">
        <v>708</v>
      </c>
      <c r="G1423" t="s">
        <v>14</v>
      </c>
      <c r="H1423">
        <v>56</v>
      </c>
      <c r="I1423">
        <v>15.786</v>
      </c>
      <c r="J1423">
        <v>38.679000000000002</v>
      </c>
      <c r="K1423">
        <v>22.893000000000001</v>
      </c>
      <c r="L1423">
        <v>56</v>
      </c>
      <c r="M1423">
        <v>0</v>
      </c>
      <c r="N1423">
        <v>0</v>
      </c>
      <c r="O1423">
        <v>39.530999999999999</v>
      </c>
      <c r="P1423">
        <v>21.326305059999999</v>
      </c>
      <c r="Q1423">
        <v>7.8529999999999998</v>
      </c>
    </row>
    <row r="1424" spans="1:17" s="30" customFormat="1" x14ac:dyDescent="0.2">
      <c r="A1424" s="30" t="str">
        <f>IF(C1424&amp;G1424&amp;D1424&lt;&gt;'Funnel setup'!$K$3&amp;'Funnel setup'!$K$4&amp;'Funnel setup'!$K$5,".",IF(A1423=".",1,A1423+1))</f>
        <v>.</v>
      </c>
      <c r="B1424" s="431" t="str">
        <f t="shared" si="22"/>
        <v>Hip Replacement PrimaryCCG of GP PracticeNHS CALDERDALE CCG (02T)Oxford Hip Score</v>
      </c>
      <c r="C1424" t="s">
        <v>248</v>
      </c>
      <c r="D1424" t="s">
        <v>87</v>
      </c>
      <c r="E1424" t="s">
        <v>710</v>
      </c>
      <c r="F1424" t="s">
        <v>711</v>
      </c>
      <c r="G1424" t="s">
        <v>14</v>
      </c>
      <c r="H1424">
        <v>157</v>
      </c>
      <c r="I1424">
        <v>19.268000000000001</v>
      </c>
      <c r="J1424">
        <v>40.018999999999998</v>
      </c>
      <c r="K1424">
        <v>20.751999999999999</v>
      </c>
      <c r="L1424">
        <v>155</v>
      </c>
      <c r="M1424">
        <v>1</v>
      </c>
      <c r="N1424">
        <v>1</v>
      </c>
      <c r="O1424">
        <v>39.880000000000003</v>
      </c>
      <c r="P1424">
        <v>21.675713300000002</v>
      </c>
      <c r="Q1424">
        <v>6.984</v>
      </c>
    </row>
    <row r="1425" spans="1:17" s="30" customFormat="1" x14ac:dyDescent="0.2">
      <c r="A1425" s="30" t="str">
        <f>IF(C1425&amp;G1425&amp;D1425&lt;&gt;'Funnel setup'!$K$3&amp;'Funnel setup'!$K$4&amp;'Funnel setup'!$K$5,".",IF(A1424=".",1,A1424+1))</f>
        <v>.</v>
      </c>
      <c r="B1425" s="431" t="str">
        <f t="shared" si="22"/>
        <v>Hip Replacement PrimaryCCG of GP PracticeNHS CAMBRIDGESHIRE AND PETERBOROUGH CCG (06H)Oxford Hip Score</v>
      </c>
      <c r="C1425" t="s">
        <v>248</v>
      </c>
      <c r="D1425" t="s">
        <v>87</v>
      </c>
      <c r="E1425" t="s">
        <v>713</v>
      </c>
      <c r="F1425" t="s">
        <v>714</v>
      </c>
      <c r="G1425" t="s">
        <v>14</v>
      </c>
      <c r="H1425">
        <v>618</v>
      </c>
      <c r="I1425">
        <v>17.82</v>
      </c>
      <c r="J1425">
        <v>39.715000000000003</v>
      </c>
      <c r="K1425">
        <v>21.895</v>
      </c>
      <c r="L1425">
        <v>603</v>
      </c>
      <c r="M1425">
        <v>5</v>
      </c>
      <c r="N1425">
        <v>10</v>
      </c>
      <c r="O1425">
        <v>39.634999999999998</v>
      </c>
      <c r="P1425">
        <v>21.430977469999998</v>
      </c>
      <c r="Q1425">
        <v>7.8470000000000004</v>
      </c>
    </row>
    <row r="1426" spans="1:17" s="30" customFormat="1" x14ac:dyDescent="0.2">
      <c r="A1426" s="30" t="str">
        <f>IF(C1426&amp;G1426&amp;D1426&lt;&gt;'Funnel setup'!$K$3&amp;'Funnel setup'!$K$4&amp;'Funnel setup'!$K$5,".",IF(A1425=".",1,A1425+1))</f>
        <v>.</v>
      </c>
      <c r="B1426" s="431" t="str">
        <f t="shared" si="22"/>
        <v>Hip Replacement PrimaryCCG of GP PracticeNHS CAMDEN CCG (07R)Oxford Hip Score</v>
      </c>
      <c r="C1426" t="s">
        <v>248</v>
      </c>
      <c r="D1426" t="s">
        <v>87</v>
      </c>
      <c r="E1426" t="s">
        <v>716</v>
      </c>
      <c r="F1426" t="s">
        <v>717</v>
      </c>
      <c r="G1426" t="s">
        <v>14</v>
      </c>
      <c r="H1426">
        <v>51</v>
      </c>
      <c r="I1426">
        <v>19.02</v>
      </c>
      <c r="J1426">
        <v>40.627000000000002</v>
      </c>
      <c r="K1426">
        <v>21.608000000000001</v>
      </c>
      <c r="L1426">
        <v>50</v>
      </c>
      <c r="M1426">
        <v>0</v>
      </c>
      <c r="N1426">
        <v>1</v>
      </c>
      <c r="O1426">
        <v>41.68</v>
      </c>
      <c r="P1426">
        <v>23.475325219999998</v>
      </c>
      <c r="Q1426">
        <v>7.7389999999999999</v>
      </c>
    </row>
    <row r="1427" spans="1:17" s="30" customFormat="1" x14ac:dyDescent="0.2">
      <c r="A1427" s="30" t="str">
        <f>IF(C1427&amp;G1427&amp;D1427&lt;&gt;'Funnel setup'!$K$3&amp;'Funnel setup'!$K$4&amp;'Funnel setup'!$K$5,".",IF(A1426=".",1,A1426+1))</f>
        <v>.</v>
      </c>
      <c r="B1427" s="431" t="str">
        <f t="shared" si="22"/>
        <v>Hip Replacement PrimaryCCG of GP PracticeNHS CANNOCK CHASE CCG (04Y)Oxford Hip Score</v>
      </c>
      <c r="C1427" t="s">
        <v>248</v>
      </c>
      <c r="D1427" t="s">
        <v>87</v>
      </c>
      <c r="E1427" t="s">
        <v>719</v>
      </c>
      <c r="F1427" t="s">
        <v>720</v>
      </c>
      <c r="G1427" t="s">
        <v>14</v>
      </c>
      <c r="H1427">
        <v>152</v>
      </c>
      <c r="I1427">
        <v>16.565999999999999</v>
      </c>
      <c r="J1427">
        <v>36.789000000000001</v>
      </c>
      <c r="K1427">
        <v>20.224</v>
      </c>
      <c r="L1427">
        <v>149</v>
      </c>
      <c r="M1427">
        <v>0</v>
      </c>
      <c r="N1427">
        <v>3</v>
      </c>
      <c r="O1427">
        <v>37.53</v>
      </c>
      <c r="P1427">
        <v>19.325752659999999</v>
      </c>
      <c r="Q1427">
        <v>9.0820000000000007</v>
      </c>
    </row>
    <row r="1428" spans="1:17" s="30" customFormat="1" x14ac:dyDescent="0.2">
      <c r="A1428" s="30" t="str">
        <f>IF(C1428&amp;G1428&amp;D1428&lt;&gt;'Funnel setup'!$K$3&amp;'Funnel setup'!$K$4&amp;'Funnel setup'!$K$5,".",IF(A1427=".",1,A1427+1))</f>
        <v>.</v>
      </c>
      <c r="B1428" s="431" t="str">
        <f t="shared" si="22"/>
        <v>Hip Replacement PrimaryCCG of GP PracticeNHS CANTERBURY AND COASTAL CCG (09E)Oxford Hip Score</v>
      </c>
      <c r="C1428" t="s">
        <v>248</v>
      </c>
      <c r="D1428" t="s">
        <v>87</v>
      </c>
      <c r="E1428" t="s">
        <v>722</v>
      </c>
      <c r="F1428" t="s">
        <v>723</v>
      </c>
      <c r="G1428" t="s">
        <v>14</v>
      </c>
      <c r="H1428">
        <v>141</v>
      </c>
      <c r="I1428">
        <v>18.864999999999998</v>
      </c>
      <c r="J1428">
        <v>40.738</v>
      </c>
      <c r="K1428">
        <v>21.872</v>
      </c>
      <c r="L1428">
        <v>139</v>
      </c>
      <c r="M1428">
        <v>1</v>
      </c>
      <c r="N1428">
        <v>1</v>
      </c>
      <c r="O1428">
        <v>40.222000000000001</v>
      </c>
      <c r="P1428">
        <v>22.01776796</v>
      </c>
      <c r="Q1428">
        <v>6.1890000000000001</v>
      </c>
    </row>
    <row r="1429" spans="1:17" s="30" customFormat="1" x14ac:dyDescent="0.2">
      <c r="A1429" s="30" t="str">
        <f>IF(C1429&amp;G1429&amp;D1429&lt;&gt;'Funnel setup'!$K$3&amp;'Funnel setup'!$K$4&amp;'Funnel setup'!$K$5,".",IF(A1428=".",1,A1428+1))</f>
        <v>.</v>
      </c>
      <c r="B1429" s="431" t="str">
        <f t="shared" si="22"/>
        <v>Hip Replacement PrimaryCCG of GP PracticeNHS CASTLE POINT AND ROCHFORD CCG (99F)Oxford Hip Score</v>
      </c>
      <c r="C1429" t="s">
        <v>248</v>
      </c>
      <c r="D1429" t="s">
        <v>87</v>
      </c>
      <c r="E1429" t="s">
        <v>725</v>
      </c>
      <c r="F1429" t="s">
        <v>726</v>
      </c>
      <c r="G1429" t="s">
        <v>14</v>
      </c>
      <c r="H1429">
        <v>150</v>
      </c>
      <c r="I1429">
        <v>16.626999999999999</v>
      </c>
      <c r="J1429">
        <v>38.527000000000001</v>
      </c>
      <c r="K1429">
        <v>21.9</v>
      </c>
      <c r="L1429">
        <v>145</v>
      </c>
      <c r="M1429">
        <v>1</v>
      </c>
      <c r="N1429">
        <v>4</v>
      </c>
      <c r="O1429">
        <v>38.768000000000001</v>
      </c>
      <c r="P1429">
        <v>20.563428510000001</v>
      </c>
      <c r="Q1429">
        <v>8.1359999999999992</v>
      </c>
    </row>
    <row r="1430" spans="1:17" s="30" customFormat="1" x14ac:dyDescent="0.2">
      <c r="A1430" s="30" t="str">
        <f>IF(C1430&amp;G1430&amp;D1430&lt;&gt;'Funnel setup'!$K$3&amp;'Funnel setup'!$K$4&amp;'Funnel setup'!$K$5,".",IF(A1429=".",1,A1429+1))</f>
        <v>.</v>
      </c>
      <c r="B1430" s="431" t="str">
        <f t="shared" si="22"/>
        <v>Hip Replacement PrimaryCCG of GP PracticeNHS CENTRAL LONDON (WESTMINSTER) CCG (09A)Oxford Hip Score</v>
      </c>
      <c r="C1430" t="s">
        <v>248</v>
      </c>
      <c r="D1430" t="s">
        <v>87</v>
      </c>
      <c r="E1430" t="s">
        <v>728</v>
      </c>
      <c r="F1430" t="s">
        <v>729</v>
      </c>
      <c r="G1430" t="s">
        <v>14</v>
      </c>
      <c r="H1430">
        <v>21</v>
      </c>
      <c r="I1430">
        <v>16.428999999999998</v>
      </c>
      <c r="J1430">
        <v>38.429000000000002</v>
      </c>
      <c r="K1430">
        <v>22</v>
      </c>
      <c r="L1430">
        <v>20</v>
      </c>
      <c r="M1430">
        <v>1</v>
      </c>
      <c r="N1430">
        <v>0</v>
      </c>
      <c r="O1430" t="s">
        <v>53</v>
      </c>
      <c r="P1430" t="s">
        <v>53</v>
      </c>
      <c r="Q1430" t="s">
        <v>53</v>
      </c>
    </row>
    <row r="1431" spans="1:17" s="30" customFormat="1" x14ac:dyDescent="0.2">
      <c r="A1431" s="30" t="str">
        <f>IF(C1431&amp;G1431&amp;D1431&lt;&gt;'Funnel setup'!$K$3&amp;'Funnel setup'!$K$4&amp;'Funnel setup'!$K$5,".",IF(A1430=".",1,A1430+1))</f>
        <v>.</v>
      </c>
      <c r="B1431" s="431" t="str">
        <f t="shared" si="22"/>
        <v>Hip Replacement PrimaryCCG of GP PracticeNHS CENTRAL MANCHESTER CCG (00W)Oxford Hip Score</v>
      </c>
      <c r="C1431" t="s">
        <v>248</v>
      </c>
      <c r="D1431" t="s">
        <v>87</v>
      </c>
      <c r="E1431" t="s">
        <v>731</v>
      </c>
      <c r="F1431" t="s">
        <v>732</v>
      </c>
      <c r="G1431" t="s">
        <v>14</v>
      </c>
      <c r="H1431">
        <v>17</v>
      </c>
      <c r="I1431">
        <v>20.411999999999999</v>
      </c>
      <c r="J1431">
        <v>36</v>
      </c>
      <c r="K1431">
        <v>15.587999999999999</v>
      </c>
      <c r="L1431">
        <v>17</v>
      </c>
      <c r="M1431">
        <v>0</v>
      </c>
      <c r="N1431">
        <v>0</v>
      </c>
      <c r="O1431" t="s">
        <v>53</v>
      </c>
      <c r="P1431" t="s">
        <v>53</v>
      </c>
      <c r="Q1431" t="s">
        <v>53</v>
      </c>
    </row>
    <row r="1432" spans="1:17" s="30" customFormat="1" x14ac:dyDescent="0.2">
      <c r="A1432" s="30" t="str">
        <f>IF(C1432&amp;G1432&amp;D1432&lt;&gt;'Funnel setup'!$K$3&amp;'Funnel setup'!$K$4&amp;'Funnel setup'!$K$5,".",IF(A1431=".",1,A1431+1))</f>
        <v>.</v>
      </c>
      <c r="B1432" s="431" t="str">
        <f t="shared" si="22"/>
        <v>Hip Replacement PrimaryCCG of GP PracticeNHS CHILTERN CCG (10H)Oxford Hip Score</v>
      </c>
      <c r="C1432" t="s">
        <v>248</v>
      </c>
      <c r="D1432" t="s">
        <v>87</v>
      </c>
      <c r="E1432" t="s">
        <v>734</v>
      </c>
      <c r="F1432" t="s">
        <v>735</v>
      </c>
      <c r="G1432" t="s">
        <v>14</v>
      </c>
      <c r="H1432">
        <v>216</v>
      </c>
      <c r="I1432">
        <v>19.87</v>
      </c>
      <c r="J1432">
        <v>39.829000000000001</v>
      </c>
      <c r="K1432">
        <v>19.957999999999998</v>
      </c>
      <c r="L1432">
        <v>210</v>
      </c>
      <c r="M1432">
        <v>0</v>
      </c>
      <c r="N1432">
        <v>6</v>
      </c>
      <c r="O1432">
        <v>38.780999999999999</v>
      </c>
      <c r="P1432">
        <v>20.576569490000001</v>
      </c>
      <c r="Q1432">
        <v>7.9059999999999997</v>
      </c>
    </row>
    <row r="1433" spans="1:17" s="30" customFormat="1" x14ac:dyDescent="0.2">
      <c r="A1433" s="30" t="str">
        <f>IF(C1433&amp;G1433&amp;D1433&lt;&gt;'Funnel setup'!$K$3&amp;'Funnel setup'!$K$4&amp;'Funnel setup'!$K$5,".",IF(A1432=".",1,A1432+1))</f>
        <v>.</v>
      </c>
      <c r="B1433" s="431" t="str">
        <f t="shared" si="22"/>
        <v>Hip Replacement PrimaryCCG of GP PracticeNHS CHORLEY AND SOUTH RIBBLE CCG (00X)Oxford Hip Score</v>
      </c>
      <c r="C1433" t="s">
        <v>248</v>
      </c>
      <c r="D1433" t="s">
        <v>87</v>
      </c>
      <c r="E1433" t="s">
        <v>737</v>
      </c>
      <c r="F1433" t="s">
        <v>738</v>
      </c>
      <c r="G1433" t="s">
        <v>14</v>
      </c>
      <c r="H1433">
        <v>183</v>
      </c>
      <c r="I1433">
        <v>17.545999999999999</v>
      </c>
      <c r="J1433">
        <v>39.234999999999999</v>
      </c>
      <c r="K1433">
        <v>21.689</v>
      </c>
      <c r="L1433">
        <v>176</v>
      </c>
      <c r="M1433">
        <v>0</v>
      </c>
      <c r="N1433">
        <v>7</v>
      </c>
      <c r="O1433">
        <v>39.505000000000003</v>
      </c>
      <c r="P1433">
        <v>21.300472200000002</v>
      </c>
      <c r="Q1433">
        <v>9.0039999999999996</v>
      </c>
    </row>
    <row r="1434" spans="1:17" s="30" customFormat="1" x14ac:dyDescent="0.2">
      <c r="A1434" s="30" t="str">
        <f>IF(C1434&amp;G1434&amp;D1434&lt;&gt;'Funnel setup'!$K$3&amp;'Funnel setup'!$K$4&amp;'Funnel setup'!$K$5,".",IF(A1433=".",1,A1433+1))</f>
        <v>.</v>
      </c>
      <c r="B1434" s="431" t="str">
        <f t="shared" si="22"/>
        <v>Hip Replacement PrimaryCCG of GP PracticeNHS CITY AND HACKNEY CCG (07T)Oxford Hip Score</v>
      </c>
      <c r="C1434" t="s">
        <v>248</v>
      </c>
      <c r="D1434" t="s">
        <v>87</v>
      </c>
      <c r="E1434" t="s">
        <v>740</v>
      </c>
      <c r="F1434" t="s">
        <v>741</v>
      </c>
      <c r="G1434" t="s">
        <v>14</v>
      </c>
      <c r="H1434">
        <v>39</v>
      </c>
      <c r="I1434">
        <v>17.462</v>
      </c>
      <c r="J1434">
        <v>35.128</v>
      </c>
      <c r="K1434">
        <v>17.667000000000002</v>
      </c>
      <c r="L1434">
        <v>36</v>
      </c>
      <c r="M1434">
        <v>0</v>
      </c>
      <c r="N1434">
        <v>3</v>
      </c>
      <c r="O1434">
        <v>39.118000000000002</v>
      </c>
      <c r="P1434">
        <v>20.913494190000002</v>
      </c>
      <c r="Q1434">
        <v>10.631</v>
      </c>
    </row>
    <row r="1435" spans="1:17" s="30" customFormat="1" x14ac:dyDescent="0.2">
      <c r="A1435" s="30" t="str">
        <f>IF(C1435&amp;G1435&amp;D1435&lt;&gt;'Funnel setup'!$K$3&amp;'Funnel setup'!$K$4&amp;'Funnel setup'!$K$5,".",IF(A1434=".",1,A1434+1))</f>
        <v>.</v>
      </c>
      <c r="B1435" s="431" t="str">
        <f t="shared" si="22"/>
        <v>Hip Replacement PrimaryCCG of GP PracticeNHS COASTAL WEST SUSSEX CCG (09G)Oxford Hip Score</v>
      </c>
      <c r="C1435" t="s">
        <v>248</v>
      </c>
      <c r="D1435" t="s">
        <v>87</v>
      </c>
      <c r="E1435" t="s">
        <v>743</v>
      </c>
      <c r="F1435" t="s">
        <v>744</v>
      </c>
      <c r="G1435" t="s">
        <v>14</v>
      </c>
      <c r="H1435">
        <v>544</v>
      </c>
      <c r="I1435">
        <v>18.134</v>
      </c>
      <c r="J1435">
        <v>39.432000000000002</v>
      </c>
      <c r="K1435">
        <v>21.297999999999998</v>
      </c>
      <c r="L1435">
        <v>519</v>
      </c>
      <c r="M1435">
        <v>2</v>
      </c>
      <c r="N1435">
        <v>23</v>
      </c>
      <c r="O1435">
        <v>39.186</v>
      </c>
      <c r="P1435">
        <v>20.981798269999999</v>
      </c>
      <c r="Q1435">
        <v>8.2379999999999995</v>
      </c>
    </row>
    <row r="1436" spans="1:17" s="30" customFormat="1" x14ac:dyDescent="0.2">
      <c r="A1436" s="30" t="str">
        <f>IF(C1436&amp;G1436&amp;D1436&lt;&gt;'Funnel setup'!$K$3&amp;'Funnel setup'!$K$4&amp;'Funnel setup'!$K$5,".",IF(A1435=".",1,A1435+1))</f>
        <v>.</v>
      </c>
      <c r="B1436" s="431" t="str">
        <f t="shared" si="22"/>
        <v>Hip Replacement PrimaryCCG of GP PracticeNHS CORBY CCG (03V)Oxford Hip Score</v>
      </c>
      <c r="C1436" t="s">
        <v>248</v>
      </c>
      <c r="D1436" t="s">
        <v>87</v>
      </c>
      <c r="E1436" t="s">
        <v>746</v>
      </c>
      <c r="F1436" t="s">
        <v>747</v>
      </c>
      <c r="G1436" t="s">
        <v>14</v>
      </c>
      <c r="H1436">
        <v>31</v>
      </c>
      <c r="I1436">
        <v>14.677</v>
      </c>
      <c r="J1436">
        <v>36.71</v>
      </c>
      <c r="K1436">
        <v>22.032</v>
      </c>
      <c r="L1436">
        <v>30</v>
      </c>
      <c r="M1436">
        <v>0</v>
      </c>
      <c r="N1436">
        <v>1</v>
      </c>
      <c r="O1436">
        <v>38.621000000000002</v>
      </c>
      <c r="P1436">
        <v>20.41696482</v>
      </c>
      <c r="Q1436">
        <v>8.6170000000000009</v>
      </c>
    </row>
    <row r="1437" spans="1:17" s="30" customFormat="1" x14ac:dyDescent="0.2">
      <c r="A1437" s="30" t="str">
        <f>IF(C1437&amp;G1437&amp;D1437&lt;&gt;'Funnel setup'!$K$3&amp;'Funnel setup'!$K$4&amp;'Funnel setup'!$K$5,".",IF(A1436=".",1,A1436+1))</f>
        <v>.</v>
      </c>
      <c r="B1437" s="431" t="str">
        <f t="shared" si="22"/>
        <v>Hip Replacement PrimaryCCG of GP PracticeNHS COVENTRY AND RUGBY CCG (05A)Oxford Hip Score</v>
      </c>
      <c r="C1437" t="s">
        <v>248</v>
      </c>
      <c r="D1437" t="s">
        <v>87</v>
      </c>
      <c r="E1437" t="s">
        <v>749</v>
      </c>
      <c r="F1437" t="s">
        <v>750</v>
      </c>
      <c r="G1437" t="s">
        <v>14</v>
      </c>
      <c r="H1437">
        <v>256</v>
      </c>
      <c r="I1437">
        <v>19</v>
      </c>
      <c r="J1437">
        <v>39.726999999999997</v>
      </c>
      <c r="K1437">
        <v>20.727</v>
      </c>
      <c r="L1437">
        <v>252</v>
      </c>
      <c r="M1437">
        <v>0</v>
      </c>
      <c r="N1437">
        <v>4</v>
      </c>
      <c r="O1437">
        <v>39.357999999999997</v>
      </c>
      <c r="P1437">
        <v>21.153086689999999</v>
      </c>
      <c r="Q1437">
        <v>7.7130000000000001</v>
      </c>
    </row>
    <row r="1438" spans="1:17" s="30" customFormat="1" x14ac:dyDescent="0.2">
      <c r="A1438" s="30" t="str">
        <f>IF(C1438&amp;G1438&amp;D1438&lt;&gt;'Funnel setup'!$K$3&amp;'Funnel setup'!$K$4&amp;'Funnel setup'!$K$5,".",IF(A1437=".",1,A1437+1))</f>
        <v>.</v>
      </c>
      <c r="B1438" s="431" t="str">
        <f t="shared" si="22"/>
        <v>Hip Replacement PrimaryCCG of GP PracticeNHS CRAWLEY CCG (09H)Oxford Hip Score</v>
      </c>
      <c r="C1438" t="s">
        <v>248</v>
      </c>
      <c r="D1438" t="s">
        <v>87</v>
      </c>
      <c r="E1438" t="s">
        <v>752</v>
      </c>
      <c r="F1438" t="s">
        <v>753</v>
      </c>
      <c r="G1438" t="s">
        <v>14</v>
      </c>
      <c r="H1438">
        <v>59</v>
      </c>
      <c r="I1438">
        <v>20.440999999999999</v>
      </c>
      <c r="J1438">
        <v>40.22</v>
      </c>
      <c r="K1438">
        <v>19.78</v>
      </c>
      <c r="L1438">
        <v>56</v>
      </c>
      <c r="M1438">
        <v>0</v>
      </c>
      <c r="N1438">
        <v>3</v>
      </c>
      <c r="O1438">
        <v>39.523000000000003</v>
      </c>
      <c r="P1438">
        <v>21.318416630000002</v>
      </c>
      <c r="Q1438">
        <v>8.4629999999999992</v>
      </c>
    </row>
    <row r="1439" spans="1:17" s="30" customFormat="1" x14ac:dyDescent="0.2">
      <c r="A1439" s="30" t="str">
        <f>IF(C1439&amp;G1439&amp;D1439&lt;&gt;'Funnel setup'!$K$3&amp;'Funnel setup'!$K$4&amp;'Funnel setup'!$K$5,".",IF(A1438=".",1,A1438+1))</f>
        <v>.</v>
      </c>
      <c r="B1439" s="431" t="str">
        <f t="shared" si="22"/>
        <v>Hip Replacement PrimaryCCG of GP PracticeNHS CROYDON CCG (07V)Oxford Hip Score</v>
      </c>
      <c r="C1439" t="s">
        <v>248</v>
      </c>
      <c r="D1439" t="s">
        <v>87</v>
      </c>
      <c r="E1439" t="s">
        <v>755</v>
      </c>
      <c r="F1439" t="s">
        <v>756</v>
      </c>
      <c r="G1439" t="s">
        <v>14</v>
      </c>
      <c r="H1439">
        <v>128</v>
      </c>
      <c r="I1439">
        <v>20.07</v>
      </c>
      <c r="J1439">
        <v>38.469000000000001</v>
      </c>
      <c r="K1439">
        <v>18.398</v>
      </c>
      <c r="L1439">
        <v>123</v>
      </c>
      <c r="M1439">
        <v>2</v>
      </c>
      <c r="N1439">
        <v>3</v>
      </c>
      <c r="O1439">
        <v>38.35</v>
      </c>
      <c r="P1439">
        <v>20.145559500000001</v>
      </c>
      <c r="Q1439">
        <v>7.2789999999999999</v>
      </c>
    </row>
    <row r="1440" spans="1:17" s="30" customFormat="1" x14ac:dyDescent="0.2">
      <c r="A1440" s="30" t="str">
        <f>IF(C1440&amp;G1440&amp;D1440&lt;&gt;'Funnel setup'!$K$3&amp;'Funnel setup'!$K$4&amp;'Funnel setup'!$K$5,".",IF(A1439=".",1,A1439+1))</f>
        <v>.</v>
      </c>
      <c r="B1440" s="431" t="str">
        <f t="shared" si="22"/>
        <v>Hip Replacement PrimaryCCG of GP PracticeNHS CUMBRIA CCG (01H)Oxford Hip Score</v>
      </c>
      <c r="C1440" t="s">
        <v>248</v>
      </c>
      <c r="D1440" t="s">
        <v>87</v>
      </c>
      <c r="E1440" t="s">
        <v>758</v>
      </c>
      <c r="F1440" t="s">
        <v>759</v>
      </c>
      <c r="G1440" t="s">
        <v>14</v>
      </c>
      <c r="H1440">
        <v>574</v>
      </c>
      <c r="I1440">
        <v>19.114999999999998</v>
      </c>
      <c r="J1440">
        <v>40.023000000000003</v>
      </c>
      <c r="K1440">
        <v>20.908000000000001</v>
      </c>
      <c r="L1440">
        <v>553</v>
      </c>
      <c r="M1440">
        <v>5</v>
      </c>
      <c r="N1440">
        <v>16</v>
      </c>
      <c r="O1440">
        <v>39.796999999999997</v>
      </c>
      <c r="P1440">
        <v>21.59259977</v>
      </c>
      <c r="Q1440">
        <v>7.5339999999999998</v>
      </c>
    </row>
    <row r="1441" spans="1:17" s="30" customFormat="1" x14ac:dyDescent="0.2">
      <c r="A1441" s="30" t="str">
        <f>IF(C1441&amp;G1441&amp;D1441&lt;&gt;'Funnel setup'!$K$3&amp;'Funnel setup'!$K$4&amp;'Funnel setup'!$K$5,".",IF(A1440=".",1,A1440+1))</f>
        <v>.</v>
      </c>
      <c r="B1441" s="431" t="str">
        <f t="shared" si="22"/>
        <v>Hip Replacement PrimaryCCG of GP PracticeNHS DARLINGTON CCG (00C)Oxford Hip Score</v>
      </c>
      <c r="C1441" t="s">
        <v>248</v>
      </c>
      <c r="D1441" t="s">
        <v>87</v>
      </c>
      <c r="E1441" t="s">
        <v>761</v>
      </c>
      <c r="F1441" t="s">
        <v>762</v>
      </c>
      <c r="G1441" t="s">
        <v>14</v>
      </c>
      <c r="H1441">
        <v>79</v>
      </c>
      <c r="I1441">
        <v>19.759</v>
      </c>
      <c r="J1441">
        <v>39.987000000000002</v>
      </c>
      <c r="K1441">
        <v>20.228000000000002</v>
      </c>
      <c r="L1441">
        <v>77</v>
      </c>
      <c r="M1441">
        <v>0</v>
      </c>
      <c r="N1441">
        <v>2</v>
      </c>
      <c r="O1441">
        <v>39.179000000000002</v>
      </c>
      <c r="P1441">
        <v>20.974679940000001</v>
      </c>
      <c r="Q1441">
        <v>7.72</v>
      </c>
    </row>
    <row r="1442" spans="1:17" s="30" customFormat="1" x14ac:dyDescent="0.2">
      <c r="A1442" s="30" t="str">
        <f>IF(C1442&amp;G1442&amp;D1442&lt;&gt;'Funnel setup'!$K$3&amp;'Funnel setup'!$K$4&amp;'Funnel setup'!$K$5,".",IF(A1441=".",1,A1441+1))</f>
        <v>.</v>
      </c>
      <c r="B1442" s="431" t="str">
        <f t="shared" si="22"/>
        <v>Hip Replacement PrimaryCCG of GP PracticeNHS DARTFORD, GRAVESHAM AND SWANLEY CCG (09J)Oxford Hip Score</v>
      </c>
      <c r="C1442" t="s">
        <v>248</v>
      </c>
      <c r="D1442" t="s">
        <v>87</v>
      </c>
      <c r="E1442" t="s">
        <v>764</v>
      </c>
      <c r="F1442" t="s">
        <v>765</v>
      </c>
      <c r="G1442" t="s">
        <v>14</v>
      </c>
      <c r="H1442">
        <v>131</v>
      </c>
      <c r="I1442">
        <v>18.55</v>
      </c>
      <c r="J1442">
        <v>39.281999999999996</v>
      </c>
      <c r="K1442">
        <v>20.733000000000001</v>
      </c>
      <c r="L1442">
        <v>125</v>
      </c>
      <c r="M1442">
        <v>2</v>
      </c>
      <c r="N1442">
        <v>4</v>
      </c>
      <c r="O1442">
        <v>39.134</v>
      </c>
      <c r="P1442">
        <v>20.929497560000001</v>
      </c>
      <c r="Q1442">
        <v>8.1129999999999995</v>
      </c>
    </row>
    <row r="1443" spans="1:17" s="30" customFormat="1" x14ac:dyDescent="0.2">
      <c r="A1443" s="30" t="str">
        <f>IF(C1443&amp;G1443&amp;D1443&lt;&gt;'Funnel setup'!$K$3&amp;'Funnel setup'!$K$4&amp;'Funnel setup'!$K$5,".",IF(A1442=".",1,A1442+1))</f>
        <v>.</v>
      </c>
      <c r="B1443" s="431" t="str">
        <f t="shared" si="22"/>
        <v>Hip Replacement PrimaryCCG of GP PracticeNHS DONCASTER CCG (02X)Oxford Hip Score</v>
      </c>
      <c r="C1443" t="s">
        <v>248</v>
      </c>
      <c r="D1443" t="s">
        <v>87</v>
      </c>
      <c r="E1443" t="s">
        <v>767</v>
      </c>
      <c r="F1443" t="s">
        <v>768</v>
      </c>
      <c r="G1443" t="s">
        <v>14</v>
      </c>
      <c r="H1443">
        <v>221</v>
      </c>
      <c r="I1443">
        <v>16.285</v>
      </c>
      <c r="J1443">
        <v>37.557000000000002</v>
      </c>
      <c r="K1443">
        <v>21.271000000000001</v>
      </c>
      <c r="L1443">
        <v>213</v>
      </c>
      <c r="M1443">
        <v>1</v>
      </c>
      <c r="N1443">
        <v>7</v>
      </c>
      <c r="O1443">
        <v>39.064</v>
      </c>
      <c r="P1443">
        <v>20.85981087</v>
      </c>
      <c r="Q1443">
        <v>9.1259999999999994</v>
      </c>
    </row>
    <row r="1444" spans="1:17" s="30" customFormat="1" x14ac:dyDescent="0.2">
      <c r="A1444" s="30" t="str">
        <f>IF(C1444&amp;G1444&amp;D1444&lt;&gt;'Funnel setup'!$K$3&amp;'Funnel setup'!$K$4&amp;'Funnel setup'!$K$5,".",IF(A1443=".",1,A1443+1))</f>
        <v>.</v>
      </c>
      <c r="B1444" s="431" t="str">
        <f t="shared" si="22"/>
        <v>Hip Replacement PrimaryCCG of GP PracticeNHS DORSET CCG (11J)Oxford Hip Score</v>
      </c>
      <c r="C1444" t="s">
        <v>248</v>
      </c>
      <c r="D1444" t="s">
        <v>87</v>
      </c>
      <c r="E1444" t="s">
        <v>854</v>
      </c>
      <c r="F1444" t="s">
        <v>855</v>
      </c>
      <c r="G1444" t="s">
        <v>14</v>
      </c>
      <c r="H1444">
        <v>716</v>
      </c>
      <c r="I1444">
        <v>18.545999999999999</v>
      </c>
      <c r="J1444">
        <v>40.177</v>
      </c>
      <c r="K1444">
        <v>21.631</v>
      </c>
      <c r="L1444">
        <v>704</v>
      </c>
      <c r="M1444">
        <v>0</v>
      </c>
      <c r="N1444">
        <v>12</v>
      </c>
      <c r="O1444">
        <v>40.081000000000003</v>
      </c>
      <c r="P1444">
        <v>21.876374309999999</v>
      </c>
      <c r="Q1444">
        <v>7.4109999999999996</v>
      </c>
    </row>
    <row r="1445" spans="1:17" s="30" customFormat="1" x14ac:dyDescent="0.2">
      <c r="A1445" s="30" t="str">
        <f>IF(C1445&amp;G1445&amp;D1445&lt;&gt;'Funnel setup'!$K$3&amp;'Funnel setup'!$K$4&amp;'Funnel setup'!$K$5,".",IF(A1444=".",1,A1444+1))</f>
        <v>.</v>
      </c>
      <c r="B1445" s="431" t="str">
        <f t="shared" si="22"/>
        <v>Hip Replacement PrimaryCCG of GP PracticeNHS DUDLEY CCG (05C)Oxford Hip Score</v>
      </c>
      <c r="C1445" t="s">
        <v>248</v>
      </c>
      <c r="D1445" t="s">
        <v>87</v>
      </c>
      <c r="E1445" t="s">
        <v>857</v>
      </c>
      <c r="F1445" t="s">
        <v>858</v>
      </c>
      <c r="G1445" t="s">
        <v>14</v>
      </c>
      <c r="H1445">
        <v>312</v>
      </c>
      <c r="I1445">
        <v>17.317</v>
      </c>
      <c r="J1445">
        <v>39.628</v>
      </c>
      <c r="K1445">
        <v>22.311</v>
      </c>
      <c r="L1445">
        <v>303</v>
      </c>
      <c r="M1445">
        <v>2</v>
      </c>
      <c r="N1445">
        <v>7</v>
      </c>
      <c r="O1445">
        <v>40.234000000000002</v>
      </c>
      <c r="P1445">
        <v>22.029675269999998</v>
      </c>
      <c r="Q1445">
        <v>8.0280000000000005</v>
      </c>
    </row>
    <row r="1446" spans="1:17" s="30" customFormat="1" x14ac:dyDescent="0.2">
      <c r="A1446" s="30" t="str">
        <f>IF(C1446&amp;G1446&amp;D1446&lt;&gt;'Funnel setup'!$K$3&amp;'Funnel setup'!$K$4&amp;'Funnel setup'!$K$5,".",IF(A1445=".",1,A1445+1))</f>
        <v>.</v>
      </c>
      <c r="B1446" s="431" t="str">
        <f t="shared" si="22"/>
        <v>Hip Replacement PrimaryCCG of GP PracticeNHS DURHAM DALES, EASINGTON AND SEDGEFIELD CCG (00D)Oxford Hip Score</v>
      </c>
      <c r="C1446" t="s">
        <v>248</v>
      </c>
      <c r="D1446" t="s">
        <v>87</v>
      </c>
      <c r="E1446" t="s">
        <v>860</v>
      </c>
      <c r="F1446" t="s">
        <v>861</v>
      </c>
      <c r="G1446" t="s">
        <v>14</v>
      </c>
      <c r="H1446">
        <v>196</v>
      </c>
      <c r="I1446">
        <v>16.193999999999999</v>
      </c>
      <c r="J1446">
        <v>37.917999999999999</v>
      </c>
      <c r="K1446">
        <v>21.724</v>
      </c>
      <c r="L1446">
        <v>191</v>
      </c>
      <c r="M1446">
        <v>0</v>
      </c>
      <c r="N1446">
        <v>5</v>
      </c>
      <c r="O1446">
        <v>39.423000000000002</v>
      </c>
      <c r="P1446">
        <v>21.218691</v>
      </c>
      <c r="Q1446">
        <v>8.25</v>
      </c>
    </row>
    <row r="1447" spans="1:17" s="30" customFormat="1" x14ac:dyDescent="0.2">
      <c r="A1447" s="30" t="str">
        <f>IF(C1447&amp;G1447&amp;D1447&lt;&gt;'Funnel setup'!$K$3&amp;'Funnel setup'!$K$4&amp;'Funnel setup'!$K$5,".",IF(A1446=".",1,A1446+1))</f>
        <v>.</v>
      </c>
      <c r="B1447" s="431" t="str">
        <f t="shared" si="22"/>
        <v>Hip Replacement PrimaryCCG of GP PracticeNHS EALING CCG (07W)Oxford Hip Score</v>
      </c>
      <c r="C1447" t="s">
        <v>248</v>
      </c>
      <c r="D1447" t="s">
        <v>87</v>
      </c>
      <c r="E1447" t="s">
        <v>863</v>
      </c>
      <c r="F1447" t="s">
        <v>864</v>
      </c>
      <c r="G1447" t="s">
        <v>14</v>
      </c>
      <c r="H1447">
        <v>68</v>
      </c>
      <c r="I1447">
        <v>15.426</v>
      </c>
      <c r="J1447">
        <v>37.956000000000003</v>
      </c>
      <c r="K1447">
        <v>22.529</v>
      </c>
      <c r="L1447">
        <v>66</v>
      </c>
      <c r="M1447">
        <v>0</v>
      </c>
      <c r="N1447">
        <v>2</v>
      </c>
      <c r="O1447">
        <v>40.054000000000002</v>
      </c>
      <c r="P1447">
        <v>21.84959533</v>
      </c>
      <c r="Q1447">
        <v>8.2889999999999997</v>
      </c>
    </row>
    <row r="1448" spans="1:17" s="30" customFormat="1" x14ac:dyDescent="0.2">
      <c r="A1448" s="30" t="str">
        <f>IF(C1448&amp;G1448&amp;D1448&lt;&gt;'Funnel setup'!$K$3&amp;'Funnel setup'!$K$4&amp;'Funnel setup'!$K$5,".",IF(A1447=".",1,A1447+1))</f>
        <v>.</v>
      </c>
      <c r="B1448" s="431" t="str">
        <f t="shared" si="22"/>
        <v>Hip Replacement PrimaryCCG of GP PracticeNHS EAST AND NORTH HERTFORDSHIRE CCG (06K)Oxford Hip Score</v>
      </c>
      <c r="C1448" t="s">
        <v>248</v>
      </c>
      <c r="D1448" t="s">
        <v>87</v>
      </c>
      <c r="E1448" t="s">
        <v>866</v>
      </c>
      <c r="F1448" t="s">
        <v>867</v>
      </c>
      <c r="G1448" t="s">
        <v>14</v>
      </c>
      <c r="H1448">
        <v>379</v>
      </c>
      <c r="I1448">
        <v>17.827999999999999</v>
      </c>
      <c r="J1448">
        <v>40.14</v>
      </c>
      <c r="K1448">
        <v>22.311</v>
      </c>
      <c r="L1448">
        <v>374</v>
      </c>
      <c r="M1448">
        <v>0</v>
      </c>
      <c r="N1448">
        <v>5</v>
      </c>
      <c r="O1448">
        <v>39.856999999999999</v>
      </c>
      <c r="P1448">
        <v>21.652372979999999</v>
      </c>
      <c r="Q1448">
        <v>7.63</v>
      </c>
    </row>
    <row r="1449" spans="1:17" s="30" customFormat="1" x14ac:dyDescent="0.2">
      <c r="A1449" s="30" t="str">
        <f>IF(C1449&amp;G1449&amp;D1449&lt;&gt;'Funnel setup'!$K$3&amp;'Funnel setup'!$K$4&amp;'Funnel setup'!$K$5,".",IF(A1448=".",1,A1448+1))</f>
        <v>.</v>
      </c>
      <c r="B1449" s="431" t="str">
        <f t="shared" si="22"/>
        <v>Hip Replacement PrimaryCCG of GP PracticeNHS EAST LANCASHIRE CCG (01A)Oxford Hip Score</v>
      </c>
      <c r="C1449" t="s">
        <v>248</v>
      </c>
      <c r="D1449" t="s">
        <v>87</v>
      </c>
      <c r="E1449" t="s">
        <v>869</v>
      </c>
      <c r="F1449" t="s">
        <v>870</v>
      </c>
      <c r="G1449" t="s">
        <v>14</v>
      </c>
      <c r="H1449">
        <v>226</v>
      </c>
      <c r="I1449">
        <v>17.491</v>
      </c>
      <c r="J1449">
        <v>40.15</v>
      </c>
      <c r="K1449">
        <v>22.658999999999999</v>
      </c>
      <c r="L1449">
        <v>225</v>
      </c>
      <c r="M1449">
        <v>0</v>
      </c>
      <c r="N1449">
        <v>1</v>
      </c>
      <c r="O1449">
        <v>40.743000000000002</v>
      </c>
      <c r="P1449">
        <v>22.538170709999999</v>
      </c>
      <c r="Q1449">
        <v>7.2450000000000001</v>
      </c>
    </row>
    <row r="1450" spans="1:17" s="30" customFormat="1" x14ac:dyDescent="0.2">
      <c r="A1450" s="30" t="str">
        <f>IF(C1450&amp;G1450&amp;D1450&lt;&gt;'Funnel setup'!$K$3&amp;'Funnel setup'!$K$4&amp;'Funnel setup'!$K$5,".",IF(A1449=".",1,A1449+1))</f>
        <v>.</v>
      </c>
      <c r="B1450" s="431" t="str">
        <f t="shared" si="22"/>
        <v>Hip Replacement PrimaryCCG of GP PracticeNHS EAST LEICESTERSHIRE AND RUTLAND CCG (03W)Oxford Hip Score</v>
      </c>
      <c r="C1450" t="s">
        <v>248</v>
      </c>
      <c r="D1450" t="s">
        <v>87</v>
      </c>
      <c r="E1450" t="s">
        <v>872</v>
      </c>
      <c r="F1450" t="s">
        <v>873</v>
      </c>
      <c r="G1450" t="s">
        <v>14</v>
      </c>
      <c r="H1450">
        <v>312</v>
      </c>
      <c r="I1450">
        <v>17.231000000000002</v>
      </c>
      <c r="J1450">
        <v>39.276000000000003</v>
      </c>
      <c r="K1450">
        <v>22.045000000000002</v>
      </c>
      <c r="L1450">
        <v>308</v>
      </c>
      <c r="M1450">
        <v>2</v>
      </c>
      <c r="N1450">
        <v>2</v>
      </c>
      <c r="O1450">
        <v>39.055</v>
      </c>
      <c r="P1450">
        <v>20.850134489999999</v>
      </c>
      <c r="Q1450">
        <v>7.3780000000000001</v>
      </c>
    </row>
    <row r="1451" spans="1:17" s="30" customFormat="1" x14ac:dyDescent="0.2">
      <c r="A1451" s="30" t="str">
        <f>IF(C1451&amp;G1451&amp;D1451&lt;&gt;'Funnel setup'!$K$3&amp;'Funnel setup'!$K$4&amp;'Funnel setup'!$K$5,".",IF(A1450=".",1,A1450+1))</f>
        <v>.</v>
      </c>
      <c r="B1451" s="431" t="str">
        <f t="shared" si="22"/>
        <v>Hip Replacement PrimaryCCG of GP PracticeNHS EAST RIDING OF YORKSHIRE CCG (02Y)Oxford Hip Score</v>
      </c>
      <c r="C1451" t="s">
        <v>248</v>
      </c>
      <c r="D1451" t="s">
        <v>87</v>
      </c>
      <c r="E1451" t="s">
        <v>875</v>
      </c>
      <c r="F1451" t="s">
        <v>876</v>
      </c>
      <c r="G1451" t="s">
        <v>14</v>
      </c>
      <c r="H1451">
        <v>399</v>
      </c>
      <c r="I1451">
        <v>18.564</v>
      </c>
      <c r="J1451">
        <v>40.155000000000001</v>
      </c>
      <c r="K1451">
        <v>21.591000000000001</v>
      </c>
      <c r="L1451">
        <v>385</v>
      </c>
      <c r="M1451">
        <v>6</v>
      </c>
      <c r="N1451">
        <v>8</v>
      </c>
      <c r="O1451">
        <v>39.518000000000001</v>
      </c>
      <c r="P1451">
        <v>21.313685490000001</v>
      </c>
      <c r="Q1451">
        <v>8.032</v>
      </c>
    </row>
    <row r="1452" spans="1:17" s="30" customFormat="1" x14ac:dyDescent="0.2">
      <c r="A1452" s="30" t="str">
        <f>IF(C1452&amp;G1452&amp;D1452&lt;&gt;'Funnel setup'!$K$3&amp;'Funnel setup'!$K$4&amp;'Funnel setup'!$K$5,".",IF(A1451=".",1,A1451+1))</f>
        <v>.</v>
      </c>
      <c r="B1452" s="431" t="str">
        <f t="shared" si="22"/>
        <v>Hip Replacement PrimaryCCG of GP PracticeNHS EAST STAFFORDSHIRE CCG (05D)Oxford Hip Score</v>
      </c>
      <c r="C1452" t="s">
        <v>248</v>
      </c>
      <c r="D1452" t="s">
        <v>87</v>
      </c>
      <c r="E1452" t="s">
        <v>878</v>
      </c>
      <c r="F1452" t="s">
        <v>879</v>
      </c>
      <c r="G1452" t="s">
        <v>14</v>
      </c>
      <c r="H1452">
        <v>110</v>
      </c>
      <c r="I1452">
        <v>17.117999999999999</v>
      </c>
      <c r="J1452">
        <v>39.700000000000003</v>
      </c>
      <c r="K1452">
        <v>22.582000000000001</v>
      </c>
      <c r="L1452">
        <v>107</v>
      </c>
      <c r="M1452">
        <v>0</v>
      </c>
      <c r="N1452">
        <v>3</v>
      </c>
      <c r="O1452">
        <v>39.826999999999998</v>
      </c>
      <c r="P1452">
        <v>21.62284421</v>
      </c>
      <c r="Q1452">
        <v>7.8040000000000003</v>
      </c>
    </row>
    <row r="1453" spans="1:17" s="30" customFormat="1" x14ac:dyDescent="0.2">
      <c r="A1453" s="30" t="str">
        <f>IF(C1453&amp;G1453&amp;D1453&lt;&gt;'Funnel setup'!$K$3&amp;'Funnel setup'!$K$4&amp;'Funnel setup'!$K$5,".",IF(A1452=".",1,A1452+1))</f>
        <v>.</v>
      </c>
      <c r="B1453" s="431" t="str">
        <f t="shared" si="22"/>
        <v>Hip Replacement PrimaryCCG of GP PracticeNHS EAST SURREY CCG (09L)Oxford Hip Score</v>
      </c>
      <c r="C1453" t="s">
        <v>248</v>
      </c>
      <c r="D1453" t="s">
        <v>87</v>
      </c>
      <c r="E1453" t="s">
        <v>881</v>
      </c>
      <c r="F1453" t="s">
        <v>882</v>
      </c>
      <c r="G1453" t="s">
        <v>14</v>
      </c>
      <c r="H1453">
        <v>142</v>
      </c>
      <c r="I1453">
        <v>21.042000000000002</v>
      </c>
      <c r="J1453">
        <v>42.521000000000001</v>
      </c>
      <c r="K1453">
        <v>21.478999999999999</v>
      </c>
      <c r="L1453">
        <v>141</v>
      </c>
      <c r="M1453">
        <v>0</v>
      </c>
      <c r="N1453">
        <v>1</v>
      </c>
      <c r="O1453">
        <v>41.075000000000003</v>
      </c>
      <c r="P1453">
        <v>22.870566950000001</v>
      </c>
      <c r="Q1453">
        <v>5.7110000000000003</v>
      </c>
    </row>
    <row r="1454" spans="1:17" s="30" customFormat="1" x14ac:dyDescent="0.2">
      <c r="A1454" s="30" t="str">
        <f>IF(C1454&amp;G1454&amp;D1454&lt;&gt;'Funnel setup'!$K$3&amp;'Funnel setup'!$K$4&amp;'Funnel setup'!$K$5,".",IF(A1453=".",1,A1453+1))</f>
        <v>.</v>
      </c>
      <c r="B1454" s="431" t="str">
        <f t="shared" si="22"/>
        <v>Hip Replacement PrimaryCCG of GP PracticeNHS EASTBOURNE, HAILSHAM AND SEAFORD CCG (09F)Oxford Hip Score</v>
      </c>
      <c r="C1454" t="s">
        <v>248</v>
      </c>
      <c r="D1454" t="s">
        <v>87</v>
      </c>
      <c r="E1454" t="s">
        <v>884</v>
      </c>
      <c r="F1454" t="s">
        <v>885</v>
      </c>
      <c r="G1454" t="s">
        <v>14</v>
      </c>
      <c r="H1454">
        <v>233</v>
      </c>
      <c r="I1454">
        <v>19.806999999999999</v>
      </c>
      <c r="J1454">
        <v>40.875999999999998</v>
      </c>
      <c r="K1454">
        <v>21.068999999999999</v>
      </c>
      <c r="L1454">
        <v>224</v>
      </c>
      <c r="M1454">
        <v>1</v>
      </c>
      <c r="N1454">
        <v>8</v>
      </c>
      <c r="O1454">
        <v>40.631</v>
      </c>
      <c r="P1454">
        <v>22.426761970000001</v>
      </c>
      <c r="Q1454">
        <v>7.3390000000000004</v>
      </c>
    </row>
    <row r="1455" spans="1:17" s="30" customFormat="1" x14ac:dyDescent="0.2">
      <c r="A1455" s="30" t="str">
        <f>IF(C1455&amp;G1455&amp;D1455&lt;&gt;'Funnel setup'!$K$3&amp;'Funnel setup'!$K$4&amp;'Funnel setup'!$K$5,".",IF(A1454=".",1,A1454+1))</f>
        <v>.</v>
      </c>
      <c r="B1455" s="431" t="str">
        <f t="shared" si="22"/>
        <v>Hip Replacement PrimaryCCG of GP PracticeNHS EASTERN CHESHIRE CCG (01C)Oxford Hip Score</v>
      </c>
      <c r="C1455" t="s">
        <v>248</v>
      </c>
      <c r="D1455" t="s">
        <v>87</v>
      </c>
      <c r="E1455" t="s">
        <v>887</v>
      </c>
      <c r="F1455" t="s">
        <v>888</v>
      </c>
      <c r="G1455" t="s">
        <v>14</v>
      </c>
      <c r="H1455">
        <v>145</v>
      </c>
      <c r="I1455">
        <v>19.414000000000001</v>
      </c>
      <c r="J1455">
        <v>40.862000000000002</v>
      </c>
      <c r="K1455">
        <v>21.448</v>
      </c>
      <c r="L1455">
        <v>139</v>
      </c>
      <c r="M1455">
        <v>2</v>
      </c>
      <c r="N1455">
        <v>4</v>
      </c>
      <c r="O1455">
        <v>40.177999999999997</v>
      </c>
      <c r="P1455">
        <v>21.973155340000002</v>
      </c>
      <c r="Q1455">
        <v>7.851</v>
      </c>
    </row>
    <row r="1456" spans="1:17" s="30" customFormat="1" x14ac:dyDescent="0.2">
      <c r="A1456" s="30" t="str">
        <f>IF(C1456&amp;G1456&amp;D1456&lt;&gt;'Funnel setup'!$K$3&amp;'Funnel setup'!$K$4&amp;'Funnel setup'!$K$5,".",IF(A1455=".",1,A1455+1))</f>
        <v>.</v>
      </c>
      <c r="B1456" s="431" t="str">
        <f t="shared" si="22"/>
        <v>Hip Replacement PrimaryCCG of GP PracticeNHS ENFIELD CCG (07X)Oxford Hip Score</v>
      </c>
      <c r="C1456" t="s">
        <v>248</v>
      </c>
      <c r="D1456" t="s">
        <v>87</v>
      </c>
      <c r="E1456" t="s">
        <v>890</v>
      </c>
      <c r="F1456" t="s">
        <v>891</v>
      </c>
      <c r="G1456" t="s">
        <v>14</v>
      </c>
      <c r="H1456">
        <v>83</v>
      </c>
      <c r="I1456">
        <v>16.071999999999999</v>
      </c>
      <c r="J1456">
        <v>37.313000000000002</v>
      </c>
      <c r="K1456">
        <v>21.241</v>
      </c>
      <c r="L1456">
        <v>80</v>
      </c>
      <c r="M1456">
        <v>2</v>
      </c>
      <c r="N1456">
        <v>1</v>
      </c>
      <c r="O1456">
        <v>39.01</v>
      </c>
      <c r="P1456">
        <v>20.805552970000001</v>
      </c>
      <c r="Q1456">
        <v>8.56</v>
      </c>
    </row>
    <row r="1457" spans="1:17" s="30" customFormat="1" x14ac:dyDescent="0.2">
      <c r="A1457" s="30" t="str">
        <f>IF(C1457&amp;G1457&amp;D1457&lt;&gt;'Funnel setup'!$K$3&amp;'Funnel setup'!$K$4&amp;'Funnel setup'!$K$5,".",IF(A1456=".",1,A1456+1))</f>
        <v>.</v>
      </c>
      <c r="B1457" s="431" t="str">
        <f t="shared" si="22"/>
        <v>Hip Replacement PrimaryCCG of GP PracticeNHS EREWASH CCG (03X)Oxford Hip Score</v>
      </c>
      <c r="C1457" t="s">
        <v>248</v>
      </c>
      <c r="D1457" t="s">
        <v>87</v>
      </c>
      <c r="E1457" t="s">
        <v>893</v>
      </c>
      <c r="F1457" t="s">
        <v>894</v>
      </c>
      <c r="G1457" t="s">
        <v>14</v>
      </c>
      <c r="H1457">
        <v>101</v>
      </c>
      <c r="I1457">
        <v>17.940999999999999</v>
      </c>
      <c r="J1457">
        <v>39.643999999999998</v>
      </c>
      <c r="K1457">
        <v>21.702999999999999</v>
      </c>
      <c r="L1457">
        <v>97</v>
      </c>
      <c r="M1457">
        <v>1</v>
      </c>
      <c r="N1457">
        <v>3</v>
      </c>
      <c r="O1457">
        <v>39.631</v>
      </c>
      <c r="P1457">
        <v>21.426548700000001</v>
      </c>
      <c r="Q1457">
        <v>7.1379999999999999</v>
      </c>
    </row>
    <row r="1458" spans="1:17" s="30" customFormat="1" x14ac:dyDescent="0.2">
      <c r="A1458" s="30" t="str">
        <f>IF(C1458&amp;G1458&amp;D1458&lt;&gt;'Funnel setup'!$K$3&amp;'Funnel setup'!$K$4&amp;'Funnel setup'!$K$5,".",IF(A1457=".",1,A1457+1))</f>
        <v>.</v>
      </c>
      <c r="B1458" s="431" t="str">
        <f t="shared" si="22"/>
        <v>Hip Replacement PrimaryCCG of GP PracticeNHS FAREHAM AND GOSPORT CCG (10K)Oxford Hip Score</v>
      </c>
      <c r="C1458" t="s">
        <v>248</v>
      </c>
      <c r="D1458" t="s">
        <v>87</v>
      </c>
      <c r="E1458" t="s">
        <v>896</v>
      </c>
      <c r="F1458" t="s">
        <v>897</v>
      </c>
      <c r="G1458" t="s">
        <v>14</v>
      </c>
      <c r="H1458">
        <v>127</v>
      </c>
      <c r="I1458">
        <v>17.228000000000002</v>
      </c>
      <c r="J1458">
        <v>38.929000000000002</v>
      </c>
      <c r="K1458">
        <v>21.701000000000001</v>
      </c>
      <c r="L1458">
        <v>125</v>
      </c>
      <c r="M1458">
        <v>0</v>
      </c>
      <c r="N1458">
        <v>2</v>
      </c>
      <c r="O1458">
        <v>38.768000000000001</v>
      </c>
      <c r="P1458">
        <v>20.563021469999999</v>
      </c>
      <c r="Q1458">
        <v>7.7850000000000001</v>
      </c>
    </row>
    <row r="1459" spans="1:17" s="30" customFormat="1" x14ac:dyDescent="0.2">
      <c r="A1459" s="30" t="str">
        <f>IF(C1459&amp;G1459&amp;D1459&lt;&gt;'Funnel setup'!$K$3&amp;'Funnel setup'!$K$4&amp;'Funnel setup'!$K$5,".",IF(A1458=".",1,A1458+1))</f>
        <v>.</v>
      </c>
      <c r="B1459" s="431" t="str">
        <f t="shared" si="22"/>
        <v>Hip Replacement PrimaryCCG of GP PracticeNHS FYLDE &amp; WYRE CCG (02M)Oxford Hip Score</v>
      </c>
      <c r="C1459" t="s">
        <v>248</v>
      </c>
      <c r="D1459" t="s">
        <v>87</v>
      </c>
      <c r="E1459" t="s">
        <v>899</v>
      </c>
      <c r="F1459" t="s">
        <v>900</v>
      </c>
      <c r="G1459" t="s">
        <v>14</v>
      </c>
      <c r="H1459">
        <v>85</v>
      </c>
      <c r="I1459">
        <v>18.494</v>
      </c>
      <c r="J1459">
        <v>38.953000000000003</v>
      </c>
      <c r="K1459">
        <v>20.459</v>
      </c>
      <c r="L1459">
        <v>81</v>
      </c>
      <c r="M1459">
        <v>1</v>
      </c>
      <c r="N1459">
        <v>3</v>
      </c>
      <c r="O1459">
        <v>38.594000000000001</v>
      </c>
      <c r="P1459">
        <v>20.389179550000001</v>
      </c>
      <c r="Q1459">
        <v>8.9250000000000007</v>
      </c>
    </row>
    <row r="1460" spans="1:17" s="30" customFormat="1" x14ac:dyDescent="0.2">
      <c r="A1460" s="30" t="str">
        <f>IF(C1460&amp;G1460&amp;D1460&lt;&gt;'Funnel setup'!$K$3&amp;'Funnel setup'!$K$4&amp;'Funnel setup'!$K$5,".",IF(A1459=".",1,A1459+1))</f>
        <v>.</v>
      </c>
      <c r="B1460" s="431" t="str">
        <f t="shared" si="22"/>
        <v>Hip Replacement PrimaryCCG of GP PracticeNHS GLOUCESTERSHIRE CCG (11M)Oxford Hip Score</v>
      </c>
      <c r="C1460" t="s">
        <v>248</v>
      </c>
      <c r="D1460" t="s">
        <v>87</v>
      </c>
      <c r="E1460" t="s">
        <v>902</v>
      </c>
      <c r="F1460" t="s">
        <v>903</v>
      </c>
      <c r="G1460" t="s">
        <v>14</v>
      </c>
      <c r="H1460">
        <v>545</v>
      </c>
      <c r="I1460">
        <v>19.78</v>
      </c>
      <c r="J1460">
        <v>40.914000000000001</v>
      </c>
      <c r="K1460">
        <v>21.134</v>
      </c>
      <c r="L1460">
        <v>529</v>
      </c>
      <c r="M1460">
        <v>3</v>
      </c>
      <c r="N1460">
        <v>13</v>
      </c>
      <c r="O1460">
        <v>39.865000000000002</v>
      </c>
      <c r="P1460">
        <v>21.660720699999999</v>
      </c>
      <c r="Q1460">
        <v>7.2939999999999996</v>
      </c>
    </row>
    <row r="1461" spans="1:17" s="30" customFormat="1" x14ac:dyDescent="0.2">
      <c r="A1461" s="30" t="str">
        <f>IF(C1461&amp;G1461&amp;D1461&lt;&gt;'Funnel setup'!$K$3&amp;'Funnel setup'!$K$4&amp;'Funnel setup'!$K$5,".",IF(A1460=".",1,A1460+1))</f>
        <v>.</v>
      </c>
      <c r="B1461" s="431" t="str">
        <f t="shared" si="22"/>
        <v>Hip Replacement PrimaryCCG of GP PracticeNHS GREAT YARMOUTH AND WAVENEY CCG (06M)Oxford Hip Score</v>
      </c>
      <c r="C1461" t="s">
        <v>248</v>
      </c>
      <c r="D1461" t="s">
        <v>87</v>
      </c>
      <c r="E1461" t="s">
        <v>905</v>
      </c>
      <c r="F1461" t="s">
        <v>906</v>
      </c>
      <c r="G1461" t="s">
        <v>14</v>
      </c>
      <c r="H1461">
        <v>203</v>
      </c>
      <c r="I1461">
        <v>18.015000000000001</v>
      </c>
      <c r="J1461">
        <v>39.832999999999998</v>
      </c>
      <c r="K1461">
        <v>21.818000000000001</v>
      </c>
      <c r="L1461">
        <v>196</v>
      </c>
      <c r="M1461">
        <v>0</v>
      </c>
      <c r="N1461">
        <v>7</v>
      </c>
      <c r="O1461">
        <v>39.887</v>
      </c>
      <c r="P1461">
        <v>21.68272438</v>
      </c>
      <c r="Q1461">
        <v>8.6720000000000006</v>
      </c>
    </row>
    <row r="1462" spans="1:17" s="30" customFormat="1" x14ac:dyDescent="0.2">
      <c r="A1462" s="30" t="str">
        <f>IF(C1462&amp;G1462&amp;D1462&lt;&gt;'Funnel setup'!$K$3&amp;'Funnel setup'!$K$4&amp;'Funnel setup'!$K$5,".",IF(A1461=".",1,A1461+1))</f>
        <v>.</v>
      </c>
      <c r="B1462" s="431" t="str">
        <f t="shared" si="22"/>
        <v>Hip Replacement PrimaryCCG of GP PracticeNHS GREATER HUDDERSFIELD CCG (03A)Oxford Hip Score</v>
      </c>
      <c r="C1462" t="s">
        <v>248</v>
      </c>
      <c r="D1462" t="s">
        <v>87</v>
      </c>
      <c r="E1462" t="s">
        <v>908</v>
      </c>
      <c r="F1462" t="s">
        <v>909</v>
      </c>
      <c r="G1462" t="s">
        <v>14</v>
      </c>
      <c r="H1462">
        <v>191</v>
      </c>
      <c r="I1462">
        <v>19.591999999999999</v>
      </c>
      <c r="J1462">
        <v>40.161999999999999</v>
      </c>
      <c r="K1462">
        <v>20.571000000000002</v>
      </c>
      <c r="L1462">
        <v>188</v>
      </c>
      <c r="M1462">
        <v>0</v>
      </c>
      <c r="N1462">
        <v>3</v>
      </c>
      <c r="O1462">
        <v>39.85</v>
      </c>
      <c r="P1462">
        <v>21.64556443</v>
      </c>
      <c r="Q1462">
        <v>7.44</v>
      </c>
    </row>
    <row r="1463" spans="1:17" s="30" customFormat="1" x14ac:dyDescent="0.2">
      <c r="A1463" s="30" t="str">
        <f>IF(C1463&amp;G1463&amp;D1463&lt;&gt;'Funnel setup'!$K$3&amp;'Funnel setup'!$K$4&amp;'Funnel setup'!$K$5,".",IF(A1462=".",1,A1462+1))</f>
        <v>.</v>
      </c>
      <c r="B1463" s="431" t="str">
        <f t="shared" si="22"/>
        <v>Hip Replacement PrimaryCCG of GP PracticeNHS GREATER PRESTON CCG (01E)Oxford Hip Score</v>
      </c>
      <c r="C1463" t="s">
        <v>248</v>
      </c>
      <c r="D1463" t="s">
        <v>87</v>
      </c>
      <c r="E1463" t="s">
        <v>486</v>
      </c>
      <c r="F1463" t="s">
        <v>487</v>
      </c>
      <c r="G1463" t="s">
        <v>14</v>
      </c>
      <c r="H1463">
        <v>203</v>
      </c>
      <c r="I1463">
        <v>18.670000000000002</v>
      </c>
      <c r="J1463">
        <v>38.408999999999999</v>
      </c>
      <c r="K1463">
        <v>19.739000000000001</v>
      </c>
      <c r="L1463">
        <v>196</v>
      </c>
      <c r="M1463">
        <v>2</v>
      </c>
      <c r="N1463">
        <v>5</v>
      </c>
      <c r="O1463">
        <v>38.524000000000001</v>
      </c>
      <c r="P1463">
        <v>20.319849439999999</v>
      </c>
      <c r="Q1463">
        <v>8.4260000000000002</v>
      </c>
    </row>
    <row r="1464" spans="1:17" s="30" customFormat="1" x14ac:dyDescent="0.2">
      <c r="A1464" s="30" t="str">
        <f>IF(C1464&amp;G1464&amp;D1464&lt;&gt;'Funnel setup'!$K$3&amp;'Funnel setup'!$K$4&amp;'Funnel setup'!$K$5,".",IF(A1463=".",1,A1463+1))</f>
        <v>.</v>
      </c>
      <c r="B1464" s="431" t="str">
        <f t="shared" si="22"/>
        <v>Hip Replacement PrimaryCCG of GP PracticeNHS GREENWICH CCG (08A)Oxford Hip Score</v>
      </c>
      <c r="C1464" t="s">
        <v>248</v>
      </c>
      <c r="D1464" t="s">
        <v>87</v>
      </c>
      <c r="E1464" t="s">
        <v>489</v>
      </c>
      <c r="F1464" t="s">
        <v>490</v>
      </c>
      <c r="G1464" t="s">
        <v>14</v>
      </c>
      <c r="H1464">
        <v>75</v>
      </c>
      <c r="I1464">
        <v>17.626999999999999</v>
      </c>
      <c r="J1464">
        <v>36.587000000000003</v>
      </c>
      <c r="K1464">
        <v>18.96</v>
      </c>
      <c r="L1464">
        <v>70</v>
      </c>
      <c r="M1464">
        <v>0</v>
      </c>
      <c r="N1464">
        <v>5</v>
      </c>
      <c r="O1464">
        <v>38.125</v>
      </c>
      <c r="P1464">
        <v>19.920216539999998</v>
      </c>
      <c r="Q1464">
        <v>9.6549999999999994</v>
      </c>
    </row>
    <row r="1465" spans="1:17" s="30" customFormat="1" x14ac:dyDescent="0.2">
      <c r="A1465" s="30" t="str">
        <f>IF(C1465&amp;G1465&amp;D1465&lt;&gt;'Funnel setup'!$K$3&amp;'Funnel setup'!$K$4&amp;'Funnel setup'!$K$5,".",IF(A1464=".",1,A1464+1))</f>
        <v>.</v>
      </c>
      <c r="B1465" s="431" t="str">
        <f t="shared" si="22"/>
        <v>Hip Replacement PrimaryCCG of GP PracticeNHS GUILDFORD AND WAVERLEY CCG (09N)Oxford Hip Score</v>
      </c>
      <c r="C1465" t="s">
        <v>248</v>
      </c>
      <c r="D1465" t="s">
        <v>87</v>
      </c>
      <c r="E1465" t="s">
        <v>911</v>
      </c>
      <c r="F1465" t="s">
        <v>912</v>
      </c>
      <c r="G1465" t="s">
        <v>14</v>
      </c>
      <c r="H1465">
        <v>143</v>
      </c>
      <c r="I1465">
        <v>20.49</v>
      </c>
      <c r="J1465">
        <v>41.594000000000001</v>
      </c>
      <c r="K1465">
        <v>21.105</v>
      </c>
      <c r="L1465">
        <v>140</v>
      </c>
      <c r="M1465">
        <v>1</v>
      </c>
      <c r="N1465">
        <v>2</v>
      </c>
      <c r="O1465">
        <v>39.993000000000002</v>
      </c>
      <c r="P1465">
        <v>21.788324100000001</v>
      </c>
      <c r="Q1465">
        <v>7.1639999999999997</v>
      </c>
    </row>
    <row r="1466" spans="1:17" s="30" customFormat="1" x14ac:dyDescent="0.2">
      <c r="A1466" s="30" t="str">
        <f>IF(C1466&amp;G1466&amp;D1466&lt;&gt;'Funnel setup'!$K$3&amp;'Funnel setup'!$K$4&amp;'Funnel setup'!$K$5,".",IF(A1465=".",1,A1465+1))</f>
        <v>.</v>
      </c>
      <c r="B1466" s="431" t="str">
        <f t="shared" si="22"/>
        <v>Hip Replacement PrimaryCCG of GP PracticeNHS HALTON CCG (01F)Oxford Hip Score</v>
      </c>
      <c r="C1466" t="s">
        <v>248</v>
      </c>
      <c r="D1466" t="s">
        <v>87</v>
      </c>
      <c r="E1466" t="s">
        <v>914</v>
      </c>
      <c r="F1466" t="s">
        <v>915</v>
      </c>
      <c r="G1466" t="s">
        <v>14</v>
      </c>
      <c r="H1466">
        <v>77</v>
      </c>
      <c r="I1466">
        <v>15.455</v>
      </c>
      <c r="J1466">
        <v>37.960999999999999</v>
      </c>
      <c r="K1466">
        <v>22.506</v>
      </c>
      <c r="L1466">
        <v>76</v>
      </c>
      <c r="M1466">
        <v>1</v>
      </c>
      <c r="N1466">
        <v>0</v>
      </c>
      <c r="O1466">
        <v>39.517000000000003</v>
      </c>
      <c r="P1466">
        <v>21.312701430000001</v>
      </c>
      <c r="Q1466">
        <v>7.8360000000000003</v>
      </c>
    </row>
    <row r="1467" spans="1:17" s="30" customFormat="1" x14ac:dyDescent="0.2">
      <c r="A1467" s="30" t="str">
        <f>IF(C1467&amp;G1467&amp;D1467&lt;&gt;'Funnel setup'!$K$3&amp;'Funnel setup'!$K$4&amp;'Funnel setup'!$K$5,".",IF(A1466=".",1,A1466+1))</f>
        <v>.</v>
      </c>
      <c r="B1467" s="431" t="str">
        <f t="shared" si="22"/>
        <v>Hip Replacement PrimaryCCG of GP PracticeNHS HAMBLETON, RICHMONDSHIRE AND WHITBY CCG (03D)Oxford Hip Score</v>
      </c>
      <c r="C1467" t="s">
        <v>248</v>
      </c>
      <c r="D1467" t="s">
        <v>87</v>
      </c>
      <c r="E1467" t="s">
        <v>917</v>
      </c>
      <c r="F1467" t="s">
        <v>918</v>
      </c>
      <c r="G1467" t="s">
        <v>14</v>
      </c>
      <c r="H1467">
        <v>215</v>
      </c>
      <c r="I1467">
        <v>19.451000000000001</v>
      </c>
      <c r="J1467">
        <v>40.47</v>
      </c>
      <c r="K1467">
        <v>21.018999999999998</v>
      </c>
      <c r="L1467">
        <v>211</v>
      </c>
      <c r="M1467">
        <v>0</v>
      </c>
      <c r="N1467">
        <v>4</v>
      </c>
      <c r="O1467">
        <v>39.380000000000003</v>
      </c>
      <c r="P1467">
        <v>21.175939469999999</v>
      </c>
      <c r="Q1467">
        <v>6.9509999999999996</v>
      </c>
    </row>
    <row r="1468" spans="1:17" s="30" customFormat="1" x14ac:dyDescent="0.2">
      <c r="A1468" s="30" t="str">
        <f>IF(C1468&amp;G1468&amp;D1468&lt;&gt;'Funnel setup'!$K$3&amp;'Funnel setup'!$K$4&amp;'Funnel setup'!$K$5,".",IF(A1467=".",1,A1467+1))</f>
        <v>.</v>
      </c>
      <c r="B1468" s="431" t="str">
        <f t="shared" si="22"/>
        <v>Hip Replacement PrimaryCCG of GP PracticeNHS HAMMERSMITH AND FULHAM CCG (08C)Oxford Hip Score</v>
      </c>
      <c r="C1468" t="s">
        <v>248</v>
      </c>
      <c r="D1468" t="s">
        <v>87</v>
      </c>
      <c r="E1468" t="s">
        <v>920</v>
      </c>
      <c r="F1468" t="s">
        <v>921</v>
      </c>
      <c r="G1468" t="s">
        <v>14</v>
      </c>
      <c r="H1468">
        <v>24</v>
      </c>
      <c r="I1468">
        <v>16.75</v>
      </c>
      <c r="J1468">
        <v>38.542000000000002</v>
      </c>
      <c r="K1468">
        <v>21.792000000000002</v>
      </c>
      <c r="L1468">
        <v>22</v>
      </c>
      <c r="M1468">
        <v>0</v>
      </c>
      <c r="N1468">
        <v>2</v>
      </c>
      <c r="O1468" t="s">
        <v>53</v>
      </c>
      <c r="P1468" t="s">
        <v>53</v>
      </c>
      <c r="Q1468" t="s">
        <v>53</v>
      </c>
    </row>
    <row r="1469" spans="1:17" s="30" customFormat="1" x14ac:dyDescent="0.2">
      <c r="A1469" s="30" t="str">
        <f>IF(C1469&amp;G1469&amp;D1469&lt;&gt;'Funnel setup'!$K$3&amp;'Funnel setup'!$K$4&amp;'Funnel setup'!$K$5,".",IF(A1468=".",1,A1468+1))</f>
        <v>.</v>
      </c>
      <c r="B1469" s="431" t="str">
        <f t="shared" si="22"/>
        <v>Hip Replacement PrimaryCCG of GP PracticeNHS HARDWICK CCG (03Y)Oxford Hip Score</v>
      </c>
      <c r="C1469" t="s">
        <v>248</v>
      </c>
      <c r="D1469" t="s">
        <v>87</v>
      </c>
      <c r="E1469" t="s">
        <v>923</v>
      </c>
      <c r="F1469" t="s">
        <v>924</v>
      </c>
      <c r="G1469" t="s">
        <v>14</v>
      </c>
      <c r="H1469">
        <v>96</v>
      </c>
      <c r="I1469">
        <v>15.656000000000001</v>
      </c>
      <c r="J1469">
        <v>37.969000000000001</v>
      </c>
      <c r="K1469">
        <v>22.312999999999999</v>
      </c>
      <c r="L1469">
        <v>93</v>
      </c>
      <c r="M1469">
        <v>1</v>
      </c>
      <c r="N1469">
        <v>2</v>
      </c>
      <c r="O1469">
        <v>39.703000000000003</v>
      </c>
      <c r="P1469">
        <v>21.498414149999999</v>
      </c>
      <c r="Q1469">
        <v>8.9870000000000001</v>
      </c>
    </row>
    <row r="1470" spans="1:17" s="30" customFormat="1" x14ac:dyDescent="0.2">
      <c r="A1470" s="30" t="str">
        <f>IF(C1470&amp;G1470&amp;D1470&lt;&gt;'Funnel setup'!$K$3&amp;'Funnel setup'!$K$4&amp;'Funnel setup'!$K$5,".",IF(A1469=".",1,A1469+1))</f>
        <v>.</v>
      </c>
      <c r="B1470" s="431" t="str">
        <f t="shared" si="22"/>
        <v>Hip Replacement PrimaryCCG of GP PracticeNHS HARINGEY CCG (08D)Oxford Hip Score</v>
      </c>
      <c r="C1470" t="s">
        <v>248</v>
      </c>
      <c r="D1470" t="s">
        <v>87</v>
      </c>
      <c r="E1470" t="s">
        <v>926</v>
      </c>
      <c r="F1470" t="s">
        <v>927</v>
      </c>
      <c r="G1470" t="s">
        <v>14</v>
      </c>
      <c r="H1470">
        <v>30</v>
      </c>
      <c r="I1470">
        <v>17.033000000000001</v>
      </c>
      <c r="J1470">
        <v>35.5</v>
      </c>
      <c r="K1470">
        <v>18.466999999999999</v>
      </c>
      <c r="L1470">
        <v>30</v>
      </c>
      <c r="M1470">
        <v>0</v>
      </c>
      <c r="N1470">
        <v>0</v>
      </c>
      <c r="O1470">
        <v>37.645000000000003</v>
      </c>
      <c r="P1470">
        <v>19.440466929999999</v>
      </c>
      <c r="Q1470">
        <v>8.657</v>
      </c>
    </row>
    <row r="1471" spans="1:17" s="30" customFormat="1" x14ac:dyDescent="0.2">
      <c r="A1471" s="30" t="str">
        <f>IF(C1471&amp;G1471&amp;D1471&lt;&gt;'Funnel setup'!$K$3&amp;'Funnel setup'!$K$4&amp;'Funnel setup'!$K$5,".",IF(A1470=".",1,A1470+1))</f>
        <v>.</v>
      </c>
      <c r="B1471" s="431" t="str">
        <f t="shared" si="22"/>
        <v>Hip Replacement PrimaryCCG of GP PracticeNHS HARROGATE AND RURAL DISTRICT CCG (03E)Oxford Hip Score</v>
      </c>
      <c r="C1471" t="s">
        <v>248</v>
      </c>
      <c r="D1471" t="s">
        <v>87</v>
      </c>
      <c r="E1471" t="s">
        <v>929</v>
      </c>
      <c r="F1471" t="s">
        <v>930</v>
      </c>
      <c r="G1471" t="s">
        <v>14</v>
      </c>
      <c r="H1471">
        <v>193</v>
      </c>
      <c r="I1471">
        <v>18.321000000000002</v>
      </c>
      <c r="J1471">
        <v>40.508000000000003</v>
      </c>
      <c r="K1471">
        <v>22.187000000000001</v>
      </c>
      <c r="L1471">
        <v>188</v>
      </c>
      <c r="M1471">
        <v>1</v>
      </c>
      <c r="N1471">
        <v>4</v>
      </c>
      <c r="O1471">
        <v>39.755000000000003</v>
      </c>
      <c r="P1471">
        <v>21.550661659999999</v>
      </c>
      <c r="Q1471">
        <v>7.9210000000000003</v>
      </c>
    </row>
    <row r="1472" spans="1:17" s="30" customFormat="1" x14ac:dyDescent="0.2">
      <c r="A1472" s="30" t="str">
        <f>IF(C1472&amp;G1472&amp;D1472&lt;&gt;'Funnel setup'!$K$3&amp;'Funnel setup'!$K$4&amp;'Funnel setup'!$K$5,".",IF(A1471=".",1,A1471+1))</f>
        <v>.</v>
      </c>
      <c r="B1472" s="431" t="str">
        <f t="shared" si="22"/>
        <v>Hip Replacement PrimaryCCG of GP PracticeNHS HARROW CCG (08E)Oxford Hip Score</v>
      </c>
      <c r="C1472" t="s">
        <v>248</v>
      </c>
      <c r="D1472" t="s">
        <v>87</v>
      </c>
      <c r="E1472" t="s">
        <v>492</v>
      </c>
      <c r="F1472" t="s">
        <v>493</v>
      </c>
      <c r="G1472" t="s">
        <v>14</v>
      </c>
      <c r="H1472">
        <v>75</v>
      </c>
      <c r="I1472">
        <v>20.48</v>
      </c>
      <c r="J1472">
        <v>38.866999999999997</v>
      </c>
      <c r="K1472">
        <v>18.387</v>
      </c>
      <c r="L1472">
        <v>71</v>
      </c>
      <c r="M1472">
        <v>1</v>
      </c>
      <c r="N1472">
        <v>3</v>
      </c>
      <c r="O1472">
        <v>38.738</v>
      </c>
      <c r="P1472">
        <v>20.533190189999999</v>
      </c>
      <c r="Q1472">
        <v>7.9080000000000004</v>
      </c>
    </row>
    <row r="1473" spans="1:17" s="30" customFormat="1" x14ac:dyDescent="0.2">
      <c r="A1473" s="30" t="str">
        <f>IF(C1473&amp;G1473&amp;D1473&lt;&gt;'Funnel setup'!$K$3&amp;'Funnel setup'!$K$4&amp;'Funnel setup'!$K$5,".",IF(A1472=".",1,A1472+1))</f>
        <v>.</v>
      </c>
      <c r="B1473" s="431" t="str">
        <f t="shared" si="22"/>
        <v>Hip Replacement PrimaryCCG of GP PracticeNHS HARTLEPOOL AND STOCKTON-ON-TEES CCG (00K)Oxford Hip Score</v>
      </c>
      <c r="C1473" t="s">
        <v>248</v>
      </c>
      <c r="D1473" t="s">
        <v>87</v>
      </c>
      <c r="E1473" t="s">
        <v>495</v>
      </c>
      <c r="F1473" t="s">
        <v>496</v>
      </c>
      <c r="G1473" t="s">
        <v>14</v>
      </c>
      <c r="H1473">
        <v>269</v>
      </c>
      <c r="I1473">
        <v>16.859000000000002</v>
      </c>
      <c r="J1473">
        <v>37.9</v>
      </c>
      <c r="K1473">
        <v>21.041</v>
      </c>
      <c r="L1473">
        <v>260</v>
      </c>
      <c r="M1473">
        <v>0</v>
      </c>
      <c r="N1473">
        <v>9</v>
      </c>
      <c r="O1473">
        <v>38.844000000000001</v>
      </c>
      <c r="P1473">
        <v>20.639741780000001</v>
      </c>
      <c r="Q1473">
        <v>8.7050000000000001</v>
      </c>
    </row>
    <row r="1474" spans="1:17" s="30" customFormat="1" x14ac:dyDescent="0.2">
      <c r="A1474" s="30" t="str">
        <f>IF(C1474&amp;G1474&amp;D1474&lt;&gt;'Funnel setup'!$K$3&amp;'Funnel setup'!$K$4&amp;'Funnel setup'!$K$5,".",IF(A1473=".",1,A1473+1))</f>
        <v>.</v>
      </c>
      <c r="B1474" s="431" t="str">
        <f t="shared" si="22"/>
        <v>Hip Replacement PrimaryCCG of GP PracticeNHS HASTINGS AND ROTHER CCG (09P)Oxford Hip Score</v>
      </c>
      <c r="C1474" t="s">
        <v>248</v>
      </c>
      <c r="D1474" t="s">
        <v>87</v>
      </c>
      <c r="E1474" t="s">
        <v>498</v>
      </c>
      <c r="F1474" t="s">
        <v>499</v>
      </c>
      <c r="G1474" t="s">
        <v>14</v>
      </c>
      <c r="H1474">
        <v>222</v>
      </c>
      <c r="I1474">
        <v>21.071999999999999</v>
      </c>
      <c r="J1474">
        <v>41.761000000000003</v>
      </c>
      <c r="K1474">
        <v>20.689</v>
      </c>
      <c r="L1474">
        <v>218</v>
      </c>
      <c r="M1474">
        <v>0</v>
      </c>
      <c r="N1474">
        <v>4</v>
      </c>
      <c r="O1474">
        <v>41.378</v>
      </c>
      <c r="P1474">
        <v>23.173218479999999</v>
      </c>
      <c r="Q1474">
        <v>6.516</v>
      </c>
    </row>
    <row r="1475" spans="1:17" s="30" customFormat="1" x14ac:dyDescent="0.2">
      <c r="A1475" s="30" t="str">
        <f>IF(C1475&amp;G1475&amp;D1475&lt;&gt;'Funnel setup'!$K$3&amp;'Funnel setup'!$K$4&amp;'Funnel setup'!$K$5,".",IF(A1474=".",1,A1474+1))</f>
        <v>.</v>
      </c>
      <c r="B1475" s="431" t="str">
        <f t="shared" ref="B1475:B1538" si="23">C1475&amp;D1475&amp;F1475&amp;G1475</f>
        <v>Hip Replacement PrimaryCCG of GP PracticeNHS HAVERING CCG (08F)Oxford Hip Score</v>
      </c>
      <c r="C1475" t="s">
        <v>248</v>
      </c>
      <c r="D1475" t="s">
        <v>87</v>
      </c>
      <c r="E1475" t="s">
        <v>501</v>
      </c>
      <c r="F1475" t="s">
        <v>502</v>
      </c>
      <c r="G1475" t="s">
        <v>14</v>
      </c>
      <c r="H1475">
        <v>118</v>
      </c>
      <c r="I1475">
        <v>16.050999999999998</v>
      </c>
      <c r="J1475">
        <v>38.567999999999998</v>
      </c>
      <c r="K1475">
        <v>22.516999999999999</v>
      </c>
      <c r="L1475">
        <v>117</v>
      </c>
      <c r="M1475">
        <v>1</v>
      </c>
      <c r="N1475">
        <v>0</v>
      </c>
      <c r="O1475">
        <v>39.317</v>
      </c>
      <c r="P1475">
        <v>21.112883149999998</v>
      </c>
      <c r="Q1475">
        <v>7.25</v>
      </c>
    </row>
    <row r="1476" spans="1:17" s="30" customFormat="1" x14ac:dyDescent="0.2">
      <c r="A1476" s="30" t="str">
        <f>IF(C1476&amp;G1476&amp;D1476&lt;&gt;'Funnel setup'!$K$3&amp;'Funnel setup'!$K$4&amp;'Funnel setup'!$K$5,".",IF(A1475=".",1,A1475+1))</f>
        <v>.</v>
      </c>
      <c r="B1476" s="431" t="str">
        <f t="shared" si="23"/>
        <v>Hip Replacement PrimaryCCG of GP PracticeNHS HEREFORDSHIRE CCG (05F)Oxford Hip Score</v>
      </c>
      <c r="C1476" t="s">
        <v>248</v>
      </c>
      <c r="D1476" t="s">
        <v>87</v>
      </c>
      <c r="E1476" t="s">
        <v>504</v>
      </c>
      <c r="F1476" t="s">
        <v>505</v>
      </c>
      <c r="G1476" t="s">
        <v>14</v>
      </c>
      <c r="H1476">
        <v>194</v>
      </c>
      <c r="I1476">
        <v>19.443000000000001</v>
      </c>
      <c r="J1476">
        <v>41.226999999999997</v>
      </c>
      <c r="K1476">
        <v>21.783999999999999</v>
      </c>
      <c r="L1476">
        <v>191</v>
      </c>
      <c r="M1476">
        <v>1</v>
      </c>
      <c r="N1476">
        <v>2</v>
      </c>
      <c r="O1476">
        <v>40.591999999999999</v>
      </c>
      <c r="P1476">
        <v>22.387730829999999</v>
      </c>
      <c r="Q1476">
        <v>6.8479999999999999</v>
      </c>
    </row>
    <row r="1477" spans="1:17" s="30" customFormat="1" x14ac:dyDescent="0.2">
      <c r="A1477" s="30" t="str">
        <f>IF(C1477&amp;G1477&amp;D1477&lt;&gt;'Funnel setup'!$K$3&amp;'Funnel setup'!$K$4&amp;'Funnel setup'!$K$5,".",IF(A1476=".",1,A1476+1))</f>
        <v>.</v>
      </c>
      <c r="B1477" s="431" t="str">
        <f t="shared" si="23"/>
        <v>Hip Replacement PrimaryCCG of GP PracticeNHS HERTS VALLEYS CCG (06N)Oxford Hip Score</v>
      </c>
      <c r="C1477" t="s">
        <v>248</v>
      </c>
      <c r="D1477" t="s">
        <v>87</v>
      </c>
      <c r="E1477" t="s">
        <v>507</v>
      </c>
      <c r="F1477" t="s">
        <v>508</v>
      </c>
      <c r="G1477" t="s">
        <v>14</v>
      </c>
      <c r="H1477">
        <v>345</v>
      </c>
      <c r="I1477">
        <v>18.757000000000001</v>
      </c>
      <c r="J1477">
        <v>40.429000000000002</v>
      </c>
      <c r="K1477">
        <v>21.672000000000001</v>
      </c>
      <c r="L1477">
        <v>335</v>
      </c>
      <c r="M1477">
        <v>2</v>
      </c>
      <c r="N1477">
        <v>8</v>
      </c>
      <c r="O1477">
        <v>39.835999999999999</v>
      </c>
      <c r="P1477">
        <v>21.631248079999999</v>
      </c>
      <c r="Q1477">
        <v>8.0489999999999995</v>
      </c>
    </row>
    <row r="1478" spans="1:17" s="30" customFormat="1" x14ac:dyDescent="0.2">
      <c r="A1478" s="30" t="str">
        <f>IF(C1478&amp;G1478&amp;D1478&lt;&gt;'Funnel setup'!$K$3&amp;'Funnel setup'!$K$4&amp;'Funnel setup'!$K$5,".",IF(A1477=".",1,A1477+1))</f>
        <v>.</v>
      </c>
      <c r="B1478" s="431" t="str">
        <f t="shared" si="23"/>
        <v>Hip Replacement PrimaryCCG of GP PracticeNHS HEYWOOD, MIDDLETON AND ROCHDALE CCG (01D)Oxford Hip Score</v>
      </c>
      <c r="C1478" t="s">
        <v>248</v>
      </c>
      <c r="D1478" t="s">
        <v>87</v>
      </c>
      <c r="E1478" t="s">
        <v>510</v>
      </c>
      <c r="F1478" t="s">
        <v>511</v>
      </c>
      <c r="G1478" t="s">
        <v>14</v>
      </c>
      <c r="H1478">
        <v>68</v>
      </c>
      <c r="I1478">
        <v>16.734999999999999</v>
      </c>
      <c r="J1478">
        <v>38.293999999999997</v>
      </c>
      <c r="K1478">
        <v>21.559000000000001</v>
      </c>
      <c r="L1478">
        <v>64</v>
      </c>
      <c r="M1478">
        <v>0</v>
      </c>
      <c r="N1478">
        <v>4</v>
      </c>
      <c r="O1478">
        <v>39.353999999999999</v>
      </c>
      <c r="P1478">
        <v>21.1490367</v>
      </c>
      <c r="Q1478">
        <v>9.6479999999999997</v>
      </c>
    </row>
    <row r="1479" spans="1:17" s="30" customFormat="1" x14ac:dyDescent="0.2">
      <c r="A1479" s="30" t="str">
        <f>IF(C1479&amp;G1479&amp;D1479&lt;&gt;'Funnel setup'!$K$3&amp;'Funnel setup'!$K$4&amp;'Funnel setup'!$K$5,".",IF(A1478=".",1,A1478+1))</f>
        <v>.</v>
      </c>
      <c r="B1479" s="431" t="str">
        <f t="shared" si="23"/>
        <v>Hip Replacement PrimaryCCG of GP PracticeNHS HIGH WEALD LEWES HAVENS CCG (99K)Oxford Hip Score</v>
      </c>
      <c r="C1479" t="s">
        <v>248</v>
      </c>
      <c r="D1479" t="s">
        <v>87</v>
      </c>
      <c r="E1479" t="s">
        <v>513</v>
      </c>
      <c r="F1479" t="s">
        <v>514</v>
      </c>
      <c r="G1479" t="s">
        <v>14</v>
      </c>
      <c r="H1479">
        <v>218</v>
      </c>
      <c r="I1479">
        <v>22.844000000000001</v>
      </c>
      <c r="J1479">
        <v>41.595999999999997</v>
      </c>
      <c r="K1479">
        <v>18.751999999999999</v>
      </c>
      <c r="L1479">
        <v>211</v>
      </c>
      <c r="M1479">
        <v>1</v>
      </c>
      <c r="N1479">
        <v>6</v>
      </c>
      <c r="O1479">
        <v>40.084000000000003</v>
      </c>
      <c r="P1479">
        <v>21.879243519999999</v>
      </c>
      <c r="Q1479">
        <v>7.0110000000000001</v>
      </c>
    </row>
    <row r="1480" spans="1:17" s="30" customFormat="1" x14ac:dyDescent="0.2">
      <c r="A1480" s="30" t="str">
        <f>IF(C1480&amp;G1480&amp;D1480&lt;&gt;'Funnel setup'!$K$3&amp;'Funnel setup'!$K$4&amp;'Funnel setup'!$K$5,".",IF(A1479=".",1,A1479+1))</f>
        <v>.</v>
      </c>
      <c r="B1480" s="431" t="str">
        <f t="shared" si="23"/>
        <v>Hip Replacement PrimaryCCG of GP PracticeNHS HILLINGDON CCG (08G)Oxford Hip Score</v>
      </c>
      <c r="C1480" t="s">
        <v>248</v>
      </c>
      <c r="D1480" t="s">
        <v>87</v>
      </c>
      <c r="E1480" t="s">
        <v>516</v>
      </c>
      <c r="F1480" t="s">
        <v>517</v>
      </c>
      <c r="G1480" t="s">
        <v>14</v>
      </c>
      <c r="H1480">
        <v>140</v>
      </c>
      <c r="I1480">
        <v>19.664000000000001</v>
      </c>
      <c r="J1480">
        <v>38.906999999999996</v>
      </c>
      <c r="K1480">
        <v>19.242999999999999</v>
      </c>
      <c r="L1480">
        <v>134</v>
      </c>
      <c r="M1480">
        <v>0</v>
      </c>
      <c r="N1480">
        <v>6</v>
      </c>
      <c r="O1480">
        <v>39.137999999999998</v>
      </c>
      <c r="P1480">
        <v>20.933553629999999</v>
      </c>
      <c r="Q1480">
        <v>8.4459999999999997</v>
      </c>
    </row>
    <row r="1481" spans="1:17" s="30" customFormat="1" x14ac:dyDescent="0.2">
      <c r="A1481" s="30" t="str">
        <f>IF(C1481&amp;G1481&amp;D1481&lt;&gt;'Funnel setup'!$K$3&amp;'Funnel setup'!$K$4&amp;'Funnel setup'!$K$5,".",IF(A1480=".",1,A1480+1))</f>
        <v>.</v>
      </c>
      <c r="B1481" s="431" t="str">
        <f t="shared" si="23"/>
        <v>Hip Replacement PrimaryCCG of GP PracticeNHS HORSHAM AND MID SUSSEX CCG (09X)Oxford Hip Score</v>
      </c>
      <c r="C1481" t="s">
        <v>248</v>
      </c>
      <c r="D1481" t="s">
        <v>87</v>
      </c>
      <c r="E1481" t="s">
        <v>519</v>
      </c>
      <c r="F1481" t="s">
        <v>520</v>
      </c>
      <c r="G1481" t="s">
        <v>14</v>
      </c>
      <c r="H1481">
        <v>177</v>
      </c>
      <c r="I1481">
        <v>22.113</v>
      </c>
      <c r="J1481">
        <v>41.051000000000002</v>
      </c>
      <c r="K1481">
        <v>18.937999999999999</v>
      </c>
      <c r="L1481">
        <v>170</v>
      </c>
      <c r="M1481">
        <v>1</v>
      </c>
      <c r="N1481">
        <v>6</v>
      </c>
      <c r="O1481">
        <v>39.093000000000004</v>
      </c>
      <c r="P1481">
        <v>20.888868209999998</v>
      </c>
      <c r="Q1481">
        <v>7.8710000000000004</v>
      </c>
    </row>
    <row r="1482" spans="1:17" s="30" customFormat="1" x14ac:dyDescent="0.2">
      <c r="A1482" s="30" t="str">
        <f>IF(C1482&amp;G1482&amp;D1482&lt;&gt;'Funnel setup'!$K$3&amp;'Funnel setup'!$K$4&amp;'Funnel setup'!$K$5,".",IF(A1481=".",1,A1481+1))</f>
        <v>.</v>
      </c>
      <c r="B1482" s="431" t="str">
        <f t="shared" si="23"/>
        <v>Hip Replacement PrimaryCCG of GP PracticeNHS HOUNSLOW CCG (07Y)Oxford Hip Score</v>
      </c>
      <c r="C1482" t="s">
        <v>248</v>
      </c>
      <c r="D1482" t="s">
        <v>87</v>
      </c>
      <c r="E1482" t="s">
        <v>522</v>
      </c>
      <c r="F1482" t="s">
        <v>523</v>
      </c>
      <c r="G1482" t="s">
        <v>14</v>
      </c>
      <c r="H1482">
        <v>68</v>
      </c>
      <c r="I1482">
        <v>19.382000000000001</v>
      </c>
      <c r="J1482">
        <v>38.220999999999997</v>
      </c>
      <c r="K1482">
        <v>18.838000000000001</v>
      </c>
      <c r="L1482">
        <v>66</v>
      </c>
      <c r="M1482">
        <v>0</v>
      </c>
      <c r="N1482">
        <v>2</v>
      </c>
      <c r="O1482">
        <v>38.374000000000002</v>
      </c>
      <c r="P1482">
        <v>20.169844600000001</v>
      </c>
      <c r="Q1482">
        <v>7.4880000000000004</v>
      </c>
    </row>
    <row r="1483" spans="1:17" s="30" customFormat="1" x14ac:dyDescent="0.2">
      <c r="A1483" s="30" t="str">
        <f>IF(C1483&amp;G1483&amp;D1483&lt;&gt;'Funnel setup'!$K$3&amp;'Funnel setup'!$K$4&amp;'Funnel setup'!$K$5,".",IF(A1482=".",1,A1482+1))</f>
        <v>.</v>
      </c>
      <c r="B1483" s="431" t="str">
        <f t="shared" si="23"/>
        <v>Hip Replacement PrimaryCCG of GP PracticeNHS HULL CCG (03F)Oxford Hip Score</v>
      </c>
      <c r="C1483" t="s">
        <v>248</v>
      </c>
      <c r="D1483" t="s">
        <v>87</v>
      </c>
      <c r="E1483" t="s">
        <v>525</v>
      </c>
      <c r="F1483" t="s">
        <v>526</v>
      </c>
      <c r="G1483" t="s">
        <v>14</v>
      </c>
      <c r="H1483">
        <v>190</v>
      </c>
      <c r="I1483">
        <v>17.257999999999999</v>
      </c>
      <c r="J1483">
        <v>37.926000000000002</v>
      </c>
      <c r="K1483">
        <v>20.667999999999999</v>
      </c>
      <c r="L1483">
        <v>183</v>
      </c>
      <c r="M1483">
        <v>3</v>
      </c>
      <c r="N1483">
        <v>4</v>
      </c>
      <c r="O1483">
        <v>38.695999999999998</v>
      </c>
      <c r="P1483">
        <v>20.491893879999999</v>
      </c>
      <c r="Q1483">
        <v>8.5630000000000006</v>
      </c>
    </row>
    <row r="1484" spans="1:17" s="30" customFormat="1" x14ac:dyDescent="0.2">
      <c r="A1484" s="30" t="str">
        <f>IF(C1484&amp;G1484&amp;D1484&lt;&gt;'Funnel setup'!$K$3&amp;'Funnel setup'!$K$4&amp;'Funnel setup'!$K$5,".",IF(A1483=".",1,A1483+1))</f>
        <v>.</v>
      </c>
      <c r="B1484" s="431" t="str">
        <f t="shared" si="23"/>
        <v>Hip Replacement PrimaryCCG of GP PracticeNHS IPSWICH AND EAST SUFFOLK CCG (06L)Oxford Hip Score</v>
      </c>
      <c r="C1484" t="s">
        <v>248</v>
      </c>
      <c r="D1484" t="s">
        <v>87</v>
      </c>
      <c r="E1484" t="s">
        <v>528</v>
      </c>
      <c r="F1484" t="s">
        <v>529</v>
      </c>
      <c r="G1484" t="s">
        <v>14</v>
      </c>
      <c r="H1484">
        <v>292</v>
      </c>
      <c r="I1484">
        <v>16.123000000000001</v>
      </c>
      <c r="J1484">
        <v>39.938000000000002</v>
      </c>
      <c r="K1484">
        <v>23.815000000000001</v>
      </c>
      <c r="L1484">
        <v>287</v>
      </c>
      <c r="M1484">
        <v>1</v>
      </c>
      <c r="N1484">
        <v>4</v>
      </c>
      <c r="O1484">
        <v>40.353999999999999</v>
      </c>
      <c r="P1484">
        <v>22.149347110000001</v>
      </c>
      <c r="Q1484">
        <v>7.4130000000000003</v>
      </c>
    </row>
    <row r="1485" spans="1:17" s="30" customFormat="1" x14ac:dyDescent="0.2">
      <c r="A1485" s="30" t="str">
        <f>IF(C1485&amp;G1485&amp;D1485&lt;&gt;'Funnel setup'!$K$3&amp;'Funnel setup'!$K$4&amp;'Funnel setup'!$K$5,".",IF(A1484=".",1,A1484+1))</f>
        <v>.</v>
      </c>
      <c r="B1485" s="431" t="str">
        <f t="shared" si="23"/>
        <v>Hip Replacement PrimaryCCG of GP PracticeNHS ISLE OF WIGHT CCG (10L)Oxford Hip Score</v>
      </c>
      <c r="C1485" t="s">
        <v>248</v>
      </c>
      <c r="D1485" t="s">
        <v>87</v>
      </c>
      <c r="E1485" t="s">
        <v>531</v>
      </c>
      <c r="F1485" t="s">
        <v>532</v>
      </c>
      <c r="G1485" t="s">
        <v>14</v>
      </c>
      <c r="H1485">
        <v>107</v>
      </c>
      <c r="I1485">
        <v>19.093</v>
      </c>
      <c r="J1485">
        <v>39.542000000000002</v>
      </c>
      <c r="K1485">
        <v>20.449000000000002</v>
      </c>
      <c r="L1485">
        <v>103</v>
      </c>
      <c r="M1485">
        <v>0</v>
      </c>
      <c r="N1485">
        <v>4</v>
      </c>
      <c r="O1485">
        <v>39.514000000000003</v>
      </c>
      <c r="P1485">
        <v>21.309952129999999</v>
      </c>
      <c r="Q1485">
        <v>7.992</v>
      </c>
    </row>
    <row r="1486" spans="1:17" s="30" customFormat="1" x14ac:dyDescent="0.2">
      <c r="A1486" s="30" t="str">
        <f>IF(C1486&amp;G1486&amp;D1486&lt;&gt;'Funnel setup'!$K$3&amp;'Funnel setup'!$K$4&amp;'Funnel setup'!$K$5,".",IF(A1485=".",1,A1485+1))</f>
        <v>.</v>
      </c>
      <c r="B1486" s="431" t="str">
        <f t="shared" si="23"/>
        <v>Hip Replacement PrimaryCCG of GP PracticeNHS ISLINGTON CCG (08H)Oxford Hip Score</v>
      </c>
      <c r="C1486" t="s">
        <v>248</v>
      </c>
      <c r="D1486" t="s">
        <v>87</v>
      </c>
      <c r="E1486" t="s">
        <v>534</v>
      </c>
      <c r="F1486" t="s">
        <v>535</v>
      </c>
      <c r="G1486" t="s">
        <v>14</v>
      </c>
      <c r="H1486">
        <v>28</v>
      </c>
      <c r="I1486">
        <v>22.143000000000001</v>
      </c>
      <c r="J1486">
        <v>39.929000000000002</v>
      </c>
      <c r="K1486">
        <v>17.786000000000001</v>
      </c>
      <c r="L1486">
        <v>26</v>
      </c>
      <c r="M1486">
        <v>0</v>
      </c>
      <c r="N1486">
        <v>2</v>
      </c>
      <c r="O1486" t="s">
        <v>53</v>
      </c>
      <c r="P1486" t="s">
        <v>53</v>
      </c>
      <c r="Q1486" t="s">
        <v>53</v>
      </c>
    </row>
    <row r="1487" spans="1:17" s="30" customFormat="1" x14ac:dyDescent="0.2">
      <c r="A1487" s="30" t="str">
        <f>IF(C1487&amp;G1487&amp;D1487&lt;&gt;'Funnel setup'!$K$3&amp;'Funnel setup'!$K$4&amp;'Funnel setup'!$K$5,".",IF(A1486=".",1,A1486+1))</f>
        <v>.</v>
      </c>
      <c r="B1487" s="431" t="str">
        <f t="shared" si="23"/>
        <v>Hip Replacement PrimaryCCG of GP PracticeNHS KERNOW CCG (11N)Oxford Hip Score</v>
      </c>
      <c r="C1487" t="s">
        <v>248</v>
      </c>
      <c r="D1487" t="s">
        <v>87</v>
      </c>
      <c r="E1487" t="s">
        <v>537</v>
      </c>
      <c r="F1487" t="s">
        <v>538</v>
      </c>
      <c r="G1487" t="s">
        <v>14</v>
      </c>
      <c r="H1487">
        <v>841</v>
      </c>
      <c r="I1487">
        <v>19.149000000000001</v>
      </c>
      <c r="J1487">
        <v>40.155999999999999</v>
      </c>
      <c r="K1487">
        <v>21.007000000000001</v>
      </c>
      <c r="L1487">
        <v>820</v>
      </c>
      <c r="M1487">
        <v>4</v>
      </c>
      <c r="N1487">
        <v>17</v>
      </c>
      <c r="O1487">
        <v>39.851999999999997</v>
      </c>
      <c r="P1487">
        <v>21.647086590000001</v>
      </c>
      <c r="Q1487">
        <v>7.4470000000000001</v>
      </c>
    </row>
    <row r="1488" spans="1:17" s="30" customFormat="1" x14ac:dyDescent="0.2">
      <c r="A1488" s="30" t="str">
        <f>IF(C1488&amp;G1488&amp;D1488&lt;&gt;'Funnel setup'!$K$3&amp;'Funnel setup'!$K$4&amp;'Funnel setup'!$K$5,".",IF(A1487=".",1,A1487+1))</f>
        <v>.</v>
      </c>
      <c r="B1488" s="431" t="str">
        <f t="shared" si="23"/>
        <v>Hip Replacement PrimaryCCG of GP PracticeNHS KINGSTON CCG (08J)Oxford Hip Score</v>
      </c>
      <c r="C1488" t="s">
        <v>248</v>
      </c>
      <c r="D1488" t="s">
        <v>87</v>
      </c>
      <c r="E1488" t="s">
        <v>540</v>
      </c>
      <c r="F1488" t="s">
        <v>541</v>
      </c>
      <c r="G1488" t="s">
        <v>14</v>
      </c>
      <c r="H1488">
        <v>85</v>
      </c>
      <c r="I1488">
        <v>20.129000000000001</v>
      </c>
      <c r="J1488">
        <v>40.694000000000003</v>
      </c>
      <c r="K1488">
        <v>20.565000000000001</v>
      </c>
      <c r="L1488">
        <v>82</v>
      </c>
      <c r="M1488">
        <v>0</v>
      </c>
      <c r="N1488">
        <v>3</v>
      </c>
      <c r="O1488">
        <v>40.121000000000002</v>
      </c>
      <c r="P1488">
        <v>21.916396939999998</v>
      </c>
      <c r="Q1488">
        <v>7.9539999999999997</v>
      </c>
    </row>
    <row r="1489" spans="1:17" s="30" customFormat="1" x14ac:dyDescent="0.2">
      <c r="A1489" s="30" t="str">
        <f>IF(C1489&amp;G1489&amp;D1489&lt;&gt;'Funnel setup'!$K$3&amp;'Funnel setup'!$K$4&amp;'Funnel setup'!$K$5,".",IF(A1488=".",1,A1488+1))</f>
        <v>.</v>
      </c>
      <c r="B1489" s="431" t="str">
        <f t="shared" si="23"/>
        <v>Hip Replacement PrimaryCCG of GP PracticeNHS KNOWSLEY CCG (01J)Oxford Hip Score</v>
      </c>
      <c r="C1489" t="s">
        <v>248</v>
      </c>
      <c r="D1489" t="s">
        <v>87</v>
      </c>
      <c r="E1489" t="s">
        <v>543</v>
      </c>
      <c r="F1489" t="s">
        <v>544</v>
      </c>
      <c r="G1489" t="s">
        <v>14</v>
      </c>
      <c r="H1489">
        <v>71</v>
      </c>
      <c r="I1489">
        <v>14.042</v>
      </c>
      <c r="J1489">
        <v>33.985999999999997</v>
      </c>
      <c r="K1489">
        <v>19.943999999999999</v>
      </c>
      <c r="L1489">
        <v>68</v>
      </c>
      <c r="M1489">
        <v>1</v>
      </c>
      <c r="N1489">
        <v>2</v>
      </c>
      <c r="O1489">
        <v>37.566000000000003</v>
      </c>
      <c r="P1489">
        <v>19.361172589999999</v>
      </c>
      <c r="Q1489">
        <v>10.083</v>
      </c>
    </row>
    <row r="1490" spans="1:17" s="30" customFormat="1" x14ac:dyDescent="0.2">
      <c r="A1490" s="30" t="str">
        <f>IF(C1490&amp;G1490&amp;D1490&lt;&gt;'Funnel setup'!$K$3&amp;'Funnel setup'!$K$4&amp;'Funnel setup'!$K$5,".",IF(A1489=".",1,A1489+1))</f>
        <v>.</v>
      </c>
      <c r="B1490" s="431" t="str">
        <f t="shared" si="23"/>
        <v>Hip Replacement PrimaryCCG of GP PracticeNHS LAMBETH CCG (08K)Oxford Hip Score</v>
      </c>
      <c r="C1490" t="s">
        <v>248</v>
      </c>
      <c r="D1490" t="s">
        <v>87</v>
      </c>
      <c r="E1490" t="s">
        <v>546</v>
      </c>
      <c r="F1490" t="s">
        <v>547</v>
      </c>
      <c r="G1490" t="s">
        <v>14</v>
      </c>
      <c r="H1490">
        <v>48</v>
      </c>
      <c r="I1490">
        <v>19.562999999999999</v>
      </c>
      <c r="J1490">
        <v>40.146000000000001</v>
      </c>
      <c r="K1490">
        <v>20.582999999999998</v>
      </c>
      <c r="L1490">
        <v>46</v>
      </c>
      <c r="M1490">
        <v>0</v>
      </c>
      <c r="N1490">
        <v>2</v>
      </c>
      <c r="O1490">
        <v>41.023000000000003</v>
      </c>
      <c r="P1490">
        <v>22.81866333</v>
      </c>
      <c r="Q1490">
        <v>7.7690000000000001</v>
      </c>
    </row>
    <row r="1491" spans="1:17" s="30" customFormat="1" x14ac:dyDescent="0.2">
      <c r="A1491" s="30" t="str">
        <f>IF(C1491&amp;G1491&amp;D1491&lt;&gt;'Funnel setup'!$K$3&amp;'Funnel setup'!$K$4&amp;'Funnel setup'!$K$5,".",IF(A1490=".",1,A1490+1))</f>
        <v>.</v>
      </c>
      <c r="B1491" s="431" t="str">
        <f t="shared" si="23"/>
        <v>Hip Replacement PrimaryCCG of GP PracticeNHS LANCASHIRE NORTH CCG (01K)Oxford Hip Score</v>
      </c>
      <c r="C1491" t="s">
        <v>248</v>
      </c>
      <c r="D1491" t="s">
        <v>87</v>
      </c>
      <c r="E1491" t="s">
        <v>549</v>
      </c>
      <c r="F1491" t="s">
        <v>550</v>
      </c>
      <c r="G1491" t="s">
        <v>14</v>
      </c>
      <c r="H1491">
        <v>152</v>
      </c>
      <c r="I1491">
        <v>20.059000000000001</v>
      </c>
      <c r="J1491">
        <v>40.506999999999998</v>
      </c>
      <c r="K1491">
        <v>20.446999999999999</v>
      </c>
      <c r="L1491">
        <v>149</v>
      </c>
      <c r="M1491">
        <v>0</v>
      </c>
      <c r="N1491">
        <v>3</v>
      </c>
      <c r="O1491">
        <v>40.067999999999998</v>
      </c>
      <c r="P1491">
        <v>21.86384005</v>
      </c>
      <c r="Q1491">
        <v>6.9589999999999996</v>
      </c>
    </row>
    <row r="1492" spans="1:17" s="30" customFormat="1" x14ac:dyDescent="0.2">
      <c r="A1492" s="30" t="str">
        <f>IF(C1492&amp;G1492&amp;D1492&lt;&gt;'Funnel setup'!$K$3&amp;'Funnel setup'!$K$4&amp;'Funnel setup'!$K$5,".",IF(A1491=".",1,A1491+1))</f>
        <v>.</v>
      </c>
      <c r="B1492" s="431" t="str">
        <f t="shared" si="23"/>
        <v>Hip Replacement PrimaryCCG of GP PracticeNHS LEEDS NORTH CCG (02V)Oxford Hip Score</v>
      </c>
      <c r="C1492" t="s">
        <v>248</v>
      </c>
      <c r="D1492" t="s">
        <v>87</v>
      </c>
      <c r="E1492" t="s">
        <v>552</v>
      </c>
      <c r="F1492" t="s">
        <v>337</v>
      </c>
      <c r="G1492" t="s">
        <v>14</v>
      </c>
      <c r="H1492">
        <v>146</v>
      </c>
      <c r="I1492">
        <v>20.356000000000002</v>
      </c>
      <c r="J1492">
        <v>40.417999999999999</v>
      </c>
      <c r="K1492">
        <v>20.062000000000001</v>
      </c>
      <c r="L1492">
        <v>142</v>
      </c>
      <c r="M1492">
        <v>2</v>
      </c>
      <c r="N1492">
        <v>2</v>
      </c>
      <c r="O1492">
        <v>39.703000000000003</v>
      </c>
      <c r="P1492">
        <v>21.498931020000001</v>
      </c>
      <c r="Q1492">
        <v>6.8659999999999997</v>
      </c>
    </row>
    <row r="1493" spans="1:17" s="30" customFormat="1" x14ac:dyDescent="0.2">
      <c r="A1493" s="30" t="str">
        <f>IF(C1493&amp;G1493&amp;D1493&lt;&gt;'Funnel setup'!$K$3&amp;'Funnel setup'!$K$4&amp;'Funnel setup'!$K$5,".",IF(A1492=".",1,A1492+1))</f>
        <v>.</v>
      </c>
      <c r="B1493" s="431" t="str">
        <f t="shared" si="23"/>
        <v>Hip Replacement PrimaryCCG of GP PracticeNHS LEEDS SOUTH AND EAST CCG (03G)Oxford Hip Score</v>
      </c>
      <c r="C1493" t="s">
        <v>248</v>
      </c>
      <c r="D1493" t="s">
        <v>87</v>
      </c>
      <c r="E1493" t="s">
        <v>396</v>
      </c>
      <c r="F1493" t="s">
        <v>397</v>
      </c>
      <c r="G1493" t="s">
        <v>14</v>
      </c>
      <c r="H1493">
        <v>180</v>
      </c>
      <c r="I1493">
        <v>18.033000000000001</v>
      </c>
      <c r="J1493">
        <v>38.960999999999999</v>
      </c>
      <c r="K1493">
        <v>20.928000000000001</v>
      </c>
      <c r="L1493">
        <v>177</v>
      </c>
      <c r="M1493">
        <v>0</v>
      </c>
      <c r="N1493">
        <v>3</v>
      </c>
      <c r="O1493">
        <v>39.189</v>
      </c>
      <c r="P1493">
        <v>20.984450599999999</v>
      </c>
      <c r="Q1493">
        <v>7.9160000000000004</v>
      </c>
    </row>
    <row r="1494" spans="1:17" s="30" customFormat="1" x14ac:dyDescent="0.2">
      <c r="A1494" s="30" t="str">
        <f>IF(C1494&amp;G1494&amp;D1494&lt;&gt;'Funnel setup'!$K$3&amp;'Funnel setup'!$K$4&amp;'Funnel setup'!$K$5,".",IF(A1493=".",1,A1493+1))</f>
        <v>.</v>
      </c>
      <c r="B1494" s="431" t="str">
        <f t="shared" si="23"/>
        <v>Hip Replacement PrimaryCCG of GP PracticeNHS LEEDS WEST CCG (03C)Oxford Hip Score</v>
      </c>
      <c r="C1494" t="s">
        <v>248</v>
      </c>
      <c r="D1494" t="s">
        <v>87</v>
      </c>
      <c r="E1494" t="s">
        <v>399</v>
      </c>
      <c r="F1494" t="s">
        <v>400</v>
      </c>
      <c r="G1494" t="s">
        <v>14</v>
      </c>
      <c r="H1494">
        <v>218</v>
      </c>
      <c r="I1494">
        <v>19.161000000000001</v>
      </c>
      <c r="J1494">
        <v>39.820999999999998</v>
      </c>
      <c r="K1494">
        <v>20.661000000000001</v>
      </c>
      <c r="L1494">
        <v>211</v>
      </c>
      <c r="M1494">
        <v>1</v>
      </c>
      <c r="N1494">
        <v>6</v>
      </c>
      <c r="O1494">
        <v>39.429000000000002</v>
      </c>
      <c r="P1494">
        <v>21.224460090000001</v>
      </c>
      <c r="Q1494">
        <v>7.7930000000000001</v>
      </c>
    </row>
    <row r="1495" spans="1:17" s="30" customFormat="1" x14ac:dyDescent="0.2">
      <c r="A1495" s="30" t="str">
        <f>IF(C1495&amp;G1495&amp;D1495&lt;&gt;'Funnel setup'!$K$3&amp;'Funnel setup'!$K$4&amp;'Funnel setup'!$K$5,".",IF(A1494=".",1,A1494+1))</f>
        <v>.</v>
      </c>
      <c r="B1495" s="431" t="str">
        <f t="shared" si="23"/>
        <v>Hip Replacement PrimaryCCG of GP PracticeNHS LEICESTER CITY CCG (04C)Oxford Hip Score</v>
      </c>
      <c r="C1495" t="s">
        <v>248</v>
      </c>
      <c r="D1495" t="s">
        <v>87</v>
      </c>
      <c r="E1495" t="s">
        <v>554</v>
      </c>
      <c r="F1495" t="s">
        <v>555</v>
      </c>
      <c r="G1495" t="s">
        <v>14</v>
      </c>
      <c r="H1495">
        <v>131</v>
      </c>
      <c r="I1495">
        <v>15.618</v>
      </c>
      <c r="J1495">
        <v>38.26</v>
      </c>
      <c r="K1495">
        <v>22.640999999999998</v>
      </c>
      <c r="L1495">
        <v>128</v>
      </c>
      <c r="M1495">
        <v>0</v>
      </c>
      <c r="N1495">
        <v>3</v>
      </c>
      <c r="O1495">
        <v>39.622999999999998</v>
      </c>
      <c r="P1495">
        <v>21.418279009999999</v>
      </c>
      <c r="Q1495">
        <v>8.8919999999999995</v>
      </c>
    </row>
    <row r="1496" spans="1:17" s="30" customFormat="1" x14ac:dyDescent="0.2">
      <c r="A1496" s="30" t="str">
        <f>IF(C1496&amp;G1496&amp;D1496&lt;&gt;'Funnel setup'!$K$3&amp;'Funnel setup'!$K$4&amp;'Funnel setup'!$K$5,".",IF(A1495=".",1,A1495+1))</f>
        <v>.</v>
      </c>
      <c r="B1496" s="431" t="str">
        <f t="shared" si="23"/>
        <v>Hip Replacement PrimaryCCG of GP PracticeNHS LEWISHAM CCG (08L)Oxford Hip Score</v>
      </c>
      <c r="C1496" t="s">
        <v>248</v>
      </c>
      <c r="D1496" t="s">
        <v>87</v>
      </c>
      <c r="E1496" t="s">
        <v>557</v>
      </c>
      <c r="F1496" t="s">
        <v>558</v>
      </c>
      <c r="G1496" t="s">
        <v>14</v>
      </c>
      <c r="H1496">
        <v>55</v>
      </c>
      <c r="I1496">
        <v>16.672999999999998</v>
      </c>
      <c r="J1496">
        <v>39.636000000000003</v>
      </c>
      <c r="K1496">
        <v>22.963999999999999</v>
      </c>
      <c r="L1496">
        <v>55</v>
      </c>
      <c r="M1496">
        <v>0</v>
      </c>
      <c r="N1496">
        <v>0</v>
      </c>
      <c r="O1496">
        <v>41.298000000000002</v>
      </c>
      <c r="P1496">
        <v>23.09373355</v>
      </c>
      <c r="Q1496">
        <v>6.931</v>
      </c>
    </row>
    <row r="1497" spans="1:17" s="30" customFormat="1" x14ac:dyDescent="0.2">
      <c r="A1497" s="30" t="str">
        <f>IF(C1497&amp;G1497&amp;D1497&lt;&gt;'Funnel setup'!$K$3&amp;'Funnel setup'!$K$4&amp;'Funnel setup'!$K$5,".",IF(A1496=".",1,A1496+1))</f>
        <v>.</v>
      </c>
      <c r="B1497" s="431" t="str">
        <f t="shared" si="23"/>
        <v>Hip Replacement PrimaryCCG of GP PracticeNHS LINCOLNSHIRE EAST CCG (03T)Oxford Hip Score</v>
      </c>
      <c r="C1497" t="s">
        <v>248</v>
      </c>
      <c r="D1497" t="s">
        <v>87</v>
      </c>
      <c r="E1497" t="s">
        <v>560</v>
      </c>
      <c r="F1497" t="s">
        <v>561</v>
      </c>
      <c r="G1497" t="s">
        <v>14</v>
      </c>
      <c r="H1497">
        <v>243</v>
      </c>
      <c r="I1497">
        <v>18.777999999999999</v>
      </c>
      <c r="J1497">
        <v>39.966999999999999</v>
      </c>
      <c r="K1497">
        <v>21.189</v>
      </c>
      <c r="L1497">
        <v>238</v>
      </c>
      <c r="M1497">
        <v>1</v>
      </c>
      <c r="N1497">
        <v>4</v>
      </c>
      <c r="O1497">
        <v>40.201999999999998</v>
      </c>
      <c r="P1497">
        <v>21.997885400000001</v>
      </c>
      <c r="Q1497">
        <v>7.8070000000000004</v>
      </c>
    </row>
    <row r="1498" spans="1:17" s="30" customFormat="1" x14ac:dyDescent="0.2">
      <c r="A1498" s="30" t="str">
        <f>IF(C1498&amp;G1498&amp;D1498&lt;&gt;'Funnel setup'!$K$3&amp;'Funnel setup'!$K$4&amp;'Funnel setup'!$K$5,".",IF(A1497=".",1,A1497+1))</f>
        <v>.</v>
      </c>
      <c r="B1498" s="431" t="str">
        <f t="shared" si="23"/>
        <v>Hip Replacement PrimaryCCG of GP PracticeNHS LINCOLNSHIRE WEST CCG (04D)Oxford Hip Score</v>
      </c>
      <c r="C1498" t="s">
        <v>248</v>
      </c>
      <c r="D1498" t="s">
        <v>87</v>
      </c>
      <c r="E1498" t="s">
        <v>408</v>
      </c>
      <c r="F1498" t="s">
        <v>409</v>
      </c>
      <c r="G1498" t="s">
        <v>14</v>
      </c>
      <c r="H1498">
        <v>192</v>
      </c>
      <c r="I1498">
        <v>19</v>
      </c>
      <c r="J1498">
        <v>40.438000000000002</v>
      </c>
      <c r="K1498">
        <v>21.437999999999999</v>
      </c>
      <c r="L1498">
        <v>182</v>
      </c>
      <c r="M1498">
        <v>2</v>
      </c>
      <c r="N1498">
        <v>8</v>
      </c>
      <c r="O1498">
        <v>40.003</v>
      </c>
      <c r="P1498">
        <v>21.798658329999999</v>
      </c>
      <c r="Q1498">
        <v>7.5659999999999998</v>
      </c>
    </row>
    <row r="1499" spans="1:17" s="30" customFormat="1" x14ac:dyDescent="0.2">
      <c r="A1499" s="30" t="str">
        <f>IF(C1499&amp;G1499&amp;D1499&lt;&gt;'Funnel setup'!$K$3&amp;'Funnel setup'!$K$4&amp;'Funnel setup'!$K$5,".",IF(A1498=".",1,A1498+1))</f>
        <v>.</v>
      </c>
      <c r="B1499" s="431" t="str">
        <f t="shared" si="23"/>
        <v>Hip Replacement PrimaryCCG of GP PracticeNHS LIVERPOOL CCG (99A)Oxford Hip Score</v>
      </c>
      <c r="C1499" t="s">
        <v>248</v>
      </c>
      <c r="D1499" t="s">
        <v>87</v>
      </c>
      <c r="E1499" t="s">
        <v>411</v>
      </c>
      <c r="F1499" t="s">
        <v>412</v>
      </c>
      <c r="G1499" t="s">
        <v>14</v>
      </c>
      <c r="H1499">
        <v>195</v>
      </c>
      <c r="I1499">
        <v>17.169</v>
      </c>
      <c r="J1499">
        <v>38.082000000000001</v>
      </c>
      <c r="K1499">
        <v>20.913</v>
      </c>
      <c r="L1499">
        <v>189</v>
      </c>
      <c r="M1499">
        <v>3</v>
      </c>
      <c r="N1499">
        <v>3</v>
      </c>
      <c r="O1499">
        <v>39.700000000000003</v>
      </c>
      <c r="P1499">
        <v>21.4950534</v>
      </c>
      <c r="Q1499">
        <v>8.4090000000000007</v>
      </c>
    </row>
    <row r="1500" spans="1:17" s="30" customFormat="1" x14ac:dyDescent="0.2">
      <c r="A1500" s="30" t="str">
        <f>IF(C1500&amp;G1500&amp;D1500&lt;&gt;'Funnel setup'!$K$3&amp;'Funnel setup'!$K$4&amp;'Funnel setup'!$K$5,".",IF(A1499=".",1,A1499+1))</f>
        <v>.</v>
      </c>
      <c r="B1500" s="431" t="str">
        <f t="shared" si="23"/>
        <v>Hip Replacement PrimaryCCG of GP PracticeNHS LUTON CCG (06P)Oxford Hip Score</v>
      </c>
      <c r="C1500" t="s">
        <v>248</v>
      </c>
      <c r="D1500" t="s">
        <v>87</v>
      </c>
      <c r="E1500" t="s">
        <v>414</v>
      </c>
      <c r="F1500" t="s">
        <v>415</v>
      </c>
      <c r="G1500" t="s">
        <v>14</v>
      </c>
      <c r="H1500">
        <v>95</v>
      </c>
      <c r="I1500">
        <v>16.8</v>
      </c>
      <c r="J1500">
        <v>37.716000000000001</v>
      </c>
      <c r="K1500">
        <v>20.916</v>
      </c>
      <c r="L1500">
        <v>93</v>
      </c>
      <c r="M1500">
        <v>1</v>
      </c>
      <c r="N1500">
        <v>1</v>
      </c>
      <c r="O1500">
        <v>38.354999999999997</v>
      </c>
      <c r="P1500">
        <v>20.150438749999999</v>
      </c>
      <c r="Q1500">
        <v>8.5280000000000005</v>
      </c>
    </row>
    <row r="1501" spans="1:17" s="30" customFormat="1" x14ac:dyDescent="0.2">
      <c r="A1501" s="30" t="str">
        <f>IF(C1501&amp;G1501&amp;D1501&lt;&gt;'Funnel setup'!$K$3&amp;'Funnel setup'!$K$4&amp;'Funnel setup'!$K$5,".",IF(A1500=".",1,A1500+1))</f>
        <v>.</v>
      </c>
      <c r="B1501" s="431" t="str">
        <f t="shared" si="23"/>
        <v>Hip Replacement PrimaryCCG of GP PracticeNHS MANSFIELD AND ASHFIELD CCG (04E)Oxford Hip Score</v>
      </c>
      <c r="C1501" t="s">
        <v>248</v>
      </c>
      <c r="D1501" t="s">
        <v>87</v>
      </c>
      <c r="E1501" t="s">
        <v>417</v>
      </c>
      <c r="F1501" t="s">
        <v>418</v>
      </c>
      <c r="G1501" t="s">
        <v>14</v>
      </c>
      <c r="H1501">
        <v>134</v>
      </c>
      <c r="I1501">
        <v>16.067</v>
      </c>
      <c r="J1501">
        <v>37.835999999999999</v>
      </c>
      <c r="K1501">
        <v>21.768999999999998</v>
      </c>
      <c r="L1501">
        <v>132</v>
      </c>
      <c r="M1501">
        <v>0</v>
      </c>
      <c r="N1501">
        <v>2</v>
      </c>
      <c r="O1501">
        <v>39.04</v>
      </c>
      <c r="P1501">
        <v>20.835680549999999</v>
      </c>
      <c r="Q1501">
        <v>8.577</v>
      </c>
    </row>
    <row r="1502" spans="1:17" s="30" customFormat="1" x14ac:dyDescent="0.2">
      <c r="A1502" s="30" t="str">
        <f>IF(C1502&amp;G1502&amp;D1502&lt;&gt;'Funnel setup'!$K$3&amp;'Funnel setup'!$K$4&amp;'Funnel setup'!$K$5,".",IF(A1501=".",1,A1501+1))</f>
        <v>.</v>
      </c>
      <c r="B1502" s="431" t="str">
        <f t="shared" si="23"/>
        <v>Hip Replacement PrimaryCCG of GP PracticeNHS MEDWAY CCG (09W)Oxford Hip Score</v>
      </c>
      <c r="C1502" t="s">
        <v>248</v>
      </c>
      <c r="D1502" t="s">
        <v>87</v>
      </c>
      <c r="E1502" t="s">
        <v>610</v>
      </c>
      <c r="F1502" t="s">
        <v>611</v>
      </c>
      <c r="G1502" t="s">
        <v>14</v>
      </c>
      <c r="H1502">
        <v>171</v>
      </c>
      <c r="I1502">
        <v>17.48</v>
      </c>
      <c r="J1502">
        <v>40.491</v>
      </c>
      <c r="K1502">
        <v>23.012</v>
      </c>
      <c r="L1502">
        <v>170</v>
      </c>
      <c r="M1502">
        <v>0</v>
      </c>
      <c r="N1502">
        <v>1</v>
      </c>
      <c r="O1502">
        <v>41.018000000000001</v>
      </c>
      <c r="P1502">
        <v>22.813531690000001</v>
      </c>
      <c r="Q1502">
        <v>7.5090000000000003</v>
      </c>
    </row>
    <row r="1503" spans="1:17" s="30" customFormat="1" x14ac:dyDescent="0.2">
      <c r="A1503" s="30" t="str">
        <f>IF(C1503&amp;G1503&amp;D1503&lt;&gt;'Funnel setup'!$K$3&amp;'Funnel setup'!$K$4&amp;'Funnel setup'!$K$5,".",IF(A1502=".",1,A1502+1))</f>
        <v>.</v>
      </c>
      <c r="B1503" s="431" t="str">
        <f t="shared" si="23"/>
        <v>Hip Replacement PrimaryCCG of GP PracticeNHS MERTON CCG (08R)Oxford Hip Score</v>
      </c>
      <c r="C1503" t="s">
        <v>248</v>
      </c>
      <c r="D1503" t="s">
        <v>87</v>
      </c>
      <c r="E1503" t="s">
        <v>613</v>
      </c>
      <c r="F1503" t="s">
        <v>614</v>
      </c>
      <c r="G1503" t="s">
        <v>14</v>
      </c>
      <c r="H1503">
        <v>59</v>
      </c>
      <c r="I1503">
        <v>20.202999999999999</v>
      </c>
      <c r="J1503">
        <v>40.152999999999999</v>
      </c>
      <c r="K1503">
        <v>19.949000000000002</v>
      </c>
      <c r="L1503">
        <v>56</v>
      </c>
      <c r="M1503">
        <v>0</v>
      </c>
      <c r="N1503">
        <v>3</v>
      </c>
      <c r="O1503">
        <v>39.89</v>
      </c>
      <c r="P1503">
        <v>21.68564172</v>
      </c>
      <c r="Q1503">
        <v>8.0950000000000006</v>
      </c>
    </row>
    <row r="1504" spans="1:17" s="30" customFormat="1" x14ac:dyDescent="0.2">
      <c r="A1504" s="30" t="str">
        <f>IF(C1504&amp;G1504&amp;D1504&lt;&gt;'Funnel setup'!$K$3&amp;'Funnel setup'!$K$4&amp;'Funnel setup'!$K$5,".",IF(A1503=".",1,A1503+1))</f>
        <v>.</v>
      </c>
      <c r="B1504" s="431" t="str">
        <f t="shared" si="23"/>
        <v>Hip Replacement PrimaryCCG of GP PracticeNHS MID ESSEX CCG (06Q)Oxford Hip Score</v>
      </c>
      <c r="C1504" t="s">
        <v>248</v>
      </c>
      <c r="D1504" t="s">
        <v>87</v>
      </c>
      <c r="E1504" t="s">
        <v>616</v>
      </c>
      <c r="F1504" t="s">
        <v>617</v>
      </c>
      <c r="G1504" t="s">
        <v>14</v>
      </c>
      <c r="H1504">
        <v>318</v>
      </c>
      <c r="I1504">
        <v>16.062999999999999</v>
      </c>
      <c r="J1504">
        <v>40.969000000000001</v>
      </c>
      <c r="K1504">
        <v>24.905999999999999</v>
      </c>
      <c r="L1504">
        <v>312</v>
      </c>
      <c r="M1504">
        <v>1</v>
      </c>
      <c r="N1504">
        <v>5</v>
      </c>
      <c r="O1504">
        <v>41.061</v>
      </c>
      <c r="P1504">
        <v>22.856494680000001</v>
      </c>
      <c r="Q1504">
        <v>7.42</v>
      </c>
    </row>
    <row r="1505" spans="1:17" s="30" customFormat="1" x14ac:dyDescent="0.2">
      <c r="A1505" s="30" t="str">
        <f>IF(C1505&amp;G1505&amp;D1505&lt;&gt;'Funnel setup'!$K$3&amp;'Funnel setup'!$K$4&amp;'Funnel setup'!$K$5,".",IF(A1504=".",1,A1504+1))</f>
        <v>.</v>
      </c>
      <c r="B1505" s="431" t="str">
        <f t="shared" si="23"/>
        <v>Hip Replacement PrimaryCCG of GP PracticeNHS MILTON KEYNES CCG (04F)Oxford Hip Score</v>
      </c>
      <c r="C1505" t="s">
        <v>248</v>
      </c>
      <c r="D1505" t="s">
        <v>87</v>
      </c>
      <c r="E1505" t="s">
        <v>619</v>
      </c>
      <c r="F1505" t="s">
        <v>338</v>
      </c>
      <c r="G1505" t="s">
        <v>14</v>
      </c>
      <c r="H1505">
        <v>203</v>
      </c>
      <c r="I1505">
        <v>15.897</v>
      </c>
      <c r="J1505">
        <v>38.631</v>
      </c>
      <c r="K1505">
        <v>22.734000000000002</v>
      </c>
      <c r="L1505">
        <v>200</v>
      </c>
      <c r="M1505">
        <v>1</v>
      </c>
      <c r="N1505">
        <v>2</v>
      </c>
      <c r="O1505">
        <v>39.496000000000002</v>
      </c>
      <c r="P1505">
        <v>21.291448899999999</v>
      </c>
      <c r="Q1505">
        <v>8.8960000000000008</v>
      </c>
    </row>
    <row r="1506" spans="1:17" s="30" customFormat="1" x14ac:dyDescent="0.2">
      <c r="A1506" s="30" t="str">
        <f>IF(C1506&amp;G1506&amp;D1506&lt;&gt;'Funnel setup'!$K$3&amp;'Funnel setup'!$K$4&amp;'Funnel setup'!$K$5,".",IF(A1505=".",1,A1505+1))</f>
        <v>.</v>
      </c>
      <c r="B1506" s="431" t="str">
        <f t="shared" si="23"/>
        <v>Hip Replacement PrimaryCCG of GP PracticeNHS NENE CCG (04G)Oxford Hip Score</v>
      </c>
      <c r="C1506" t="s">
        <v>248</v>
      </c>
      <c r="D1506" t="s">
        <v>87</v>
      </c>
      <c r="E1506" t="s">
        <v>621</v>
      </c>
      <c r="F1506" t="s">
        <v>622</v>
      </c>
      <c r="G1506" t="s">
        <v>14</v>
      </c>
      <c r="H1506">
        <v>427</v>
      </c>
      <c r="I1506">
        <v>15.377000000000001</v>
      </c>
      <c r="J1506">
        <v>40.009</v>
      </c>
      <c r="K1506">
        <v>24.632000000000001</v>
      </c>
      <c r="L1506">
        <v>417</v>
      </c>
      <c r="M1506">
        <v>1</v>
      </c>
      <c r="N1506">
        <v>9</v>
      </c>
      <c r="O1506">
        <v>40.661000000000001</v>
      </c>
      <c r="P1506">
        <v>22.456437099999999</v>
      </c>
      <c r="Q1506">
        <v>8.1690000000000005</v>
      </c>
    </row>
    <row r="1507" spans="1:17" s="30" customFormat="1" x14ac:dyDescent="0.2">
      <c r="A1507" s="30" t="str">
        <f>IF(C1507&amp;G1507&amp;D1507&lt;&gt;'Funnel setup'!$K$3&amp;'Funnel setup'!$K$4&amp;'Funnel setup'!$K$5,".",IF(A1506=".",1,A1506+1))</f>
        <v>.</v>
      </c>
      <c r="B1507" s="431" t="str">
        <f t="shared" si="23"/>
        <v>Hip Replacement PrimaryCCG of GP PracticeNHS NEWARK &amp; SHERWOOD CCG (04H)Oxford Hip Score</v>
      </c>
      <c r="C1507" t="s">
        <v>248</v>
      </c>
      <c r="D1507" t="s">
        <v>87</v>
      </c>
      <c r="E1507" t="s">
        <v>624</v>
      </c>
      <c r="F1507" t="s">
        <v>625</v>
      </c>
      <c r="G1507" t="s">
        <v>14</v>
      </c>
      <c r="H1507">
        <v>99</v>
      </c>
      <c r="I1507">
        <v>17.626000000000001</v>
      </c>
      <c r="J1507">
        <v>41.161999999999999</v>
      </c>
      <c r="K1507">
        <v>23.535</v>
      </c>
      <c r="L1507">
        <v>97</v>
      </c>
      <c r="M1507">
        <v>1</v>
      </c>
      <c r="N1507">
        <v>1</v>
      </c>
      <c r="O1507">
        <v>41.243000000000002</v>
      </c>
      <c r="P1507">
        <v>23.03835462</v>
      </c>
      <c r="Q1507">
        <v>6.2830000000000004</v>
      </c>
    </row>
    <row r="1508" spans="1:17" s="30" customFormat="1" x14ac:dyDescent="0.2">
      <c r="A1508" s="30" t="str">
        <f>IF(C1508&amp;G1508&amp;D1508&lt;&gt;'Funnel setup'!$K$3&amp;'Funnel setup'!$K$4&amp;'Funnel setup'!$K$5,".",IF(A1507=".",1,A1507+1))</f>
        <v>.</v>
      </c>
      <c r="B1508" s="431" t="str">
        <f t="shared" si="23"/>
        <v>Hip Replacement PrimaryCCG of GP PracticeNHS NEWBURY AND DISTRICT CCG (10M)Oxford Hip Score</v>
      </c>
      <c r="C1508" t="s">
        <v>248</v>
      </c>
      <c r="D1508" t="s">
        <v>87</v>
      </c>
      <c r="E1508" t="s">
        <v>627</v>
      </c>
      <c r="F1508" t="s">
        <v>628</v>
      </c>
      <c r="G1508" t="s">
        <v>14</v>
      </c>
      <c r="H1508">
        <v>92</v>
      </c>
      <c r="I1508">
        <v>18.402000000000001</v>
      </c>
      <c r="J1508">
        <v>40.652000000000001</v>
      </c>
      <c r="K1508">
        <v>22.25</v>
      </c>
      <c r="L1508">
        <v>91</v>
      </c>
      <c r="M1508">
        <v>0</v>
      </c>
      <c r="N1508">
        <v>1</v>
      </c>
      <c r="O1508">
        <v>40.215000000000003</v>
      </c>
      <c r="P1508">
        <v>22.0106778</v>
      </c>
      <c r="Q1508">
        <v>7.5510000000000002</v>
      </c>
    </row>
    <row r="1509" spans="1:17" s="30" customFormat="1" x14ac:dyDescent="0.2">
      <c r="A1509" s="30" t="str">
        <f>IF(C1509&amp;G1509&amp;D1509&lt;&gt;'Funnel setup'!$K$3&amp;'Funnel setup'!$K$4&amp;'Funnel setup'!$K$5,".",IF(A1508=".",1,A1508+1))</f>
        <v>.</v>
      </c>
      <c r="B1509" s="431" t="str">
        <f t="shared" si="23"/>
        <v>Hip Replacement PrimaryCCG of GP PracticeNHS NEWCASTLE GATESHEAD CCG (13T)Oxford Hip Score</v>
      </c>
      <c r="C1509" t="s">
        <v>248</v>
      </c>
      <c r="D1509" t="s">
        <v>87</v>
      </c>
      <c r="E1509" t="s">
        <v>6553</v>
      </c>
      <c r="F1509" t="s">
        <v>6543</v>
      </c>
      <c r="G1509" t="s">
        <v>14</v>
      </c>
      <c r="H1509">
        <v>364</v>
      </c>
      <c r="I1509">
        <v>17.963999999999999</v>
      </c>
      <c r="J1509">
        <v>38.683999999999997</v>
      </c>
      <c r="K1509">
        <v>20.72</v>
      </c>
      <c r="L1509">
        <v>356</v>
      </c>
      <c r="M1509">
        <v>2</v>
      </c>
      <c r="N1509">
        <v>6</v>
      </c>
      <c r="O1509">
        <v>38.975000000000001</v>
      </c>
      <c r="P1509">
        <v>20.770133860000001</v>
      </c>
      <c r="Q1509">
        <v>8.032</v>
      </c>
    </row>
    <row r="1510" spans="1:17" s="30" customFormat="1" x14ac:dyDescent="0.2">
      <c r="A1510" s="30" t="str">
        <f>IF(C1510&amp;G1510&amp;D1510&lt;&gt;'Funnel setup'!$K$3&amp;'Funnel setup'!$K$4&amp;'Funnel setup'!$K$5,".",IF(A1509=".",1,A1509+1))</f>
        <v>.</v>
      </c>
      <c r="B1510" s="431" t="str">
        <f t="shared" si="23"/>
        <v>Hip Replacement PrimaryCCG of GP PracticeNHS NEWHAM CCG (08M)Oxford Hip Score</v>
      </c>
      <c r="C1510" t="s">
        <v>248</v>
      </c>
      <c r="D1510" t="s">
        <v>87</v>
      </c>
      <c r="E1510" t="s">
        <v>630</v>
      </c>
      <c r="F1510" t="s">
        <v>631</v>
      </c>
      <c r="G1510" t="s">
        <v>14</v>
      </c>
      <c r="H1510">
        <v>42</v>
      </c>
      <c r="I1510">
        <v>16.190000000000001</v>
      </c>
      <c r="J1510">
        <v>35.594999999999999</v>
      </c>
      <c r="K1510">
        <v>19.405000000000001</v>
      </c>
      <c r="L1510">
        <v>39</v>
      </c>
      <c r="M1510">
        <v>0</v>
      </c>
      <c r="N1510">
        <v>3</v>
      </c>
      <c r="O1510">
        <v>39.066000000000003</v>
      </c>
      <c r="P1510">
        <v>20.86199367</v>
      </c>
      <c r="Q1510">
        <v>8.343</v>
      </c>
    </row>
    <row r="1511" spans="1:17" s="30" customFormat="1" x14ac:dyDescent="0.2">
      <c r="A1511" s="30" t="str">
        <f>IF(C1511&amp;G1511&amp;D1511&lt;&gt;'Funnel setup'!$K$3&amp;'Funnel setup'!$K$4&amp;'Funnel setup'!$K$5,".",IF(A1510=".",1,A1510+1))</f>
        <v>.</v>
      </c>
      <c r="B1511" s="431" t="str">
        <f t="shared" si="23"/>
        <v>Hip Replacement PrimaryCCG of GP PracticeNHS NORTH &amp; WEST READING CCG (10N)Oxford Hip Score</v>
      </c>
      <c r="C1511" t="s">
        <v>248</v>
      </c>
      <c r="D1511" t="s">
        <v>87</v>
      </c>
      <c r="E1511" t="s">
        <v>633</v>
      </c>
      <c r="F1511" t="s">
        <v>634</v>
      </c>
      <c r="G1511" t="s">
        <v>14</v>
      </c>
      <c r="H1511">
        <v>75</v>
      </c>
      <c r="I1511">
        <v>21.452999999999999</v>
      </c>
      <c r="J1511">
        <v>40.92</v>
      </c>
      <c r="K1511">
        <v>19.466999999999999</v>
      </c>
      <c r="L1511">
        <v>74</v>
      </c>
      <c r="M1511">
        <v>0</v>
      </c>
      <c r="N1511">
        <v>1</v>
      </c>
      <c r="O1511">
        <v>39.758000000000003</v>
      </c>
      <c r="P1511">
        <v>21.553399339999999</v>
      </c>
      <c r="Q1511">
        <v>6.8239999999999998</v>
      </c>
    </row>
    <row r="1512" spans="1:17" s="30" customFormat="1" x14ac:dyDescent="0.2">
      <c r="A1512" s="30" t="str">
        <f>IF(C1512&amp;G1512&amp;D1512&lt;&gt;'Funnel setup'!$K$3&amp;'Funnel setup'!$K$4&amp;'Funnel setup'!$K$5,".",IF(A1511=".",1,A1511+1))</f>
        <v>.</v>
      </c>
      <c r="B1512" s="431" t="str">
        <f t="shared" si="23"/>
        <v>Hip Replacement PrimaryCCG of GP PracticeNHS NORTH DERBYSHIRE CCG (04J)Oxford Hip Score</v>
      </c>
      <c r="C1512" t="s">
        <v>248</v>
      </c>
      <c r="D1512" t="s">
        <v>87</v>
      </c>
      <c r="E1512" t="s">
        <v>636</v>
      </c>
      <c r="F1512" t="s">
        <v>637</v>
      </c>
      <c r="G1512" t="s">
        <v>14</v>
      </c>
      <c r="H1512">
        <v>319</v>
      </c>
      <c r="I1512">
        <v>18.312999999999999</v>
      </c>
      <c r="J1512">
        <v>39.32</v>
      </c>
      <c r="K1512">
        <v>21.006</v>
      </c>
      <c r="L1512">
        <v>309</v>
      </c>
      <c r="M1512">
        <v>0</v>
      </c>
      <c r="N1512">
        <v>10</v>
      </c>
      <c r="O1512">
        <v>39.173999999999999</v>
      </c>
      <c r="P1512">
        <v>20.969040079999999</v>
      </c>
      <c r="Q1512">
        <v>7.9269999999999996</v>
      </c>
    </row>
    <row r="1513" spans="1:17" s="30" customFormat="1" x14ac:dyDescent="0.2">
      <c r="A1513" s="30" t="str">
        <f>IF(C1513&amp;G1513&amp;D1513&lt;&gt;'Funnel setup'!$K$3&amp;'Funnel setup'!$K$4&amp;'Funnel setup'!$K$5,".",IF(A1512=".",1,A1512+1))</f>
        <v>.</v>
      </c>
      <c r="B1513" s="431" t="str">
        <f t="shared" si="23"/>
        <v>Hip Replacement PrimaryCCG of GP PracticeNHS NORTH DURHAM CCG (00J)Oxford Hip Score</v>
      </c>
      <c r="C1513" t="s">
        <v>248</v>
      </c>
      <c r="D1513" t="s">
        <v>87</v>
      </c>
      <c r="E1513" t="s">
        <v>639</v>
      </c>
      <c r="F1513" t="s">
        <v>640</v>
      </c>
      <c r="G1513" t="s">
        <v>14</v>
      </c>
      <c r="H1513">
        <v>192</v>
      </c>
      <c r="I1513">
        <v>15.448</v>
      </c>
      <c r="J1513">
        <v>38.151000000000003</v>
      </c>
      <c r="K1513">
        <v>22.702999999999999</v>
      </c>
      <c r="L1513">
        <v>188</v>
      </c>
      <c r="M1513">
        <v>0</v>
      </c>
      <c r="N1513">
        <v>4</v>
      </c>
      <c r="O1513">
        <v>39.682000000000002</v>
      </c>
      <c r="P1513">
        <v>21.47706428</v>
      </c>
      <c r="Q1513">
        <v>9.1660000000000004</v>
      </c>
    </row>
    <row r="1514" spans="1:17" s="30" customFormat="1" x14ac:dyDescent="0.2">
      <c r="A1514" s="30" t="str">
        <f>IF(C1514&amp;G1514&amp;D1514&lt;&gt;'Funnel setup'!$K$3&amp;'Funnel setup'!$K$4&amp;'Funnel setup'!$K$5,".",IF(A1513=".",1,A1513+1))</f>
        <v>.</v>
      </c>
      <c r="B1514" s="431" t="str">
        <f t="shared" si="23"/>
        <v>Hip Replacement PrimaryCCG of GP PracticeNHS NORTH EAST ESSEX CCG (06T)Oxford Hip Score</v>
      </c>
      <c r="C1514" t="s">
        <v>248</v>
      </c>
      <c r="D1514" t="s">
        <v>87</v>
      </c>
      <c r="E1514" t="s">
        <v>642</v>
      </c>
      <c r="F1514" t="s">
        <v>643</v>
      </c>
      <c r="G1514" t="s">
        <v>14</v>
      </c>
      <c r="H1514">
        <v>279</v>
      </c>
      <c r="I1514">
        <v>18.434000000000001</v>
      </c>
      <c r="J1514">
        <v>38.968000000000004</v>
      </c>
      <c r="K1514">
        <v>20.533999999999999</v>
      </c>
      <c r="L1514">
        <v>271</v>
      </c>
      <c r="M1514">
        <v>3</v>
      </c>
      <c r="N1514">
        <v>5</v>
      </c>
      <c r="O1514">
        <v>39.008000000000003</v>
      </c>
      <c r="P1514">
        <v>20.803843369999999</v>
      </c>
      <c r="Q1514">
        <v>7.7610000000000001</v>
      </c>
    </row>
    <row r="1515" spans="1:17" s="30" customFormat="1" x14ac:dyDescent="0.2">
      <c r="A1515" s="30" t="str">
        <f>IF(C1515&amp;G1515&amp;D1515&lt;&gt;'Funnel setup'!$K$3&amp;'Funnel setup'!$K$4&amp;'Funnel setup'!$K$5,".",IF(A1514=".",1,A1514+1))</f>
        <v>.</v>
      </c>
      <c r="B1515" s="431" t="str">
        <f t="shared" si="23"/>
        <v>Hip Replacement PrimaryCCG of GP PracticeNHS NORTH EAST HAMPSHIRE AND FARNHAM CCG (99M)Oxford Hip Score</v>
      </c>
      <c r="C1515" t="s">
        <v>248</v>
      </c>
      <c r="D1515" t="s">
        <v>87</v>
      </c>
      <c r="E1515" t="s">
        <v>645</v>
      </c>
      <c r="F1515" t="s">
        <v>646</v>
      </c>
      <c r="G1515" t="s">
        <v>14</v>
      </c>
      <c r="H1515">
        <v>207</v>
      </c>
      <c r="I1515">
        <v>20.309000000000001</v>
      </c>
      <c r="J1515">
        <v>41.72</v>
      </c>
      <c r="K1515">
        <v>21.411000000000001</v>
      </c>
      <c r="L1515">
        <v>202</v>
      </c>
      <c r="M1515">
        <v>0</v>
      </c>
      <c r="N1515">
        <v>5</v>
      </c>
      <c r="O1515">
        <v>40.539000000000001</v>
      </c>
      <c r="P1515">
        <v>22.334314200000001</v>
      </c>
      <c r="Q1515">
        <v>6.4580000000000002</v>
      </c>
    </row>
    <row r="1516" spans="1:17" s="30" customFormat="1" x14ac:dyDescent="0.2">
      <c r="A1516" s="30" t="str">
        <f>IF(C1516&amp;G1516&amp;D1516&lt;&gt;'Funnel setup'!$K$3&amp;'Funnel setup'!$K$4&amp;'Funnel setup'!$K$5,".",IF(A1515=".",1,A1515+1))</f>
        <v>.</v>
      </c>
      <c r="B1516" s="431" t="str">
        <f t="shared" si="23"/>
        <v>Hip Replacement PrimaryCCG of GP PracticeNHS NORTH EAST LINCOLNSHIRE CCG (03H)Oxford Hip Score</v>
      </c>
      <c r="C1516" t="s">
        <v>248</v>
      </c>
      <c r="D1516" t="s">
        <v>87</v>
      </c>
      <c r="E1516" t="s">
        <v>648</v>
      </c>
      <c r="F1516" t="s">
        <v>649</v>
      </c>
      <c r="G1516" t="s">
        <v>14</v>
      </c>
      <c r="H1516">
        <v>98</v>
      </c>
      <c r="I1516">
        <v>17.969000000000001</v>
      </c>
      <c r="J1516">
        <v>40.223999999999997</v>
      </c>
      <c r="K1516">
        <v>22.254999999999999</v>
      </c>
      <c r="L1516">
        <v>97</v>
      </c>
      <c r="M1516">
        <v>0</v>
      </c>
      <c r="N1516">
        <v>1</v>
      </c>
      <c r="O1516">
        <v>40.98</v>
      </c>
      <c r="P1516">
        <v>22.77507297</v>
      </c>
      <c r="Q1516">
        <v>6.9530000000000003</v>
      </c>
    </row>
    <row r="1517" spans="1:17" s="30" customFormat="1" x14ac:dyDescent="0.2">
      <c r="A1517" s="30" t="str">
        <f>IF(C1517&amp;G1517&amp;D1517&lt;&gt;'Funnel setup'!$K$3&amp;'Funnel setup'!$K$4&amp;'Funnel setup'!$K$5,".",IF(A1516=".",1,A1516+1))</f>
        <v>.</v>
      </c>
      <c r="B1517" s="431" t="str">
        <f t="shared" si="23"/>
        <v>Hip Replacement PrimaryCCG of GP PracticeNHS NORTH HAMPSHIRE CCG (10J)Oxford Hip Score</v>
      </c>
      <c r="C1517" t="s">
        <v>248</v>
      </c>
      <c r="D1517" t="s">
        <v>87</v>
      </c>
      <c r="E1517" t="s">
        <v>651</v>
      </c>
      <c r="F1517" t="s">
        <v>652</v>
      </c>
      <c r="G1517" t="s">
        <v>14</v>
      </c>
      <c r="H1517">
        <v>105</v>
      </c>
      <c r="I1517">
        <v>21.248000000000001</v>
      </c>
      <c r="J1517">
        <v>41.914000000000001</v>
      </c>
      <c r="K1517">
        <v>20.667000000000002</v>
      </c>
      <c r="L1517">
        <v>105</v>
      </c>
      <c r="M1517">
        <v>0</v>
      </c>
      <c r="N1517">
        <v>0</v>
      </c>
      <c r="O1517">
        <v>40.527999999999999</v>
      </c>
      <c r="P1517">
        <v>22.323079159999999</v>
      </c>
      <c r="Q1517">
        <v>6.2549999999999999</v>
      </c>
    </row>
    <row r="1518" spans="1:17" s="30" customFormat="1" x14ac:dyDescent="0.2">
      <c r="A1518" s="30" t="str">
        <f>IF(C1518&amp;G1518&amp;D1518&lt;&gt;'Funnel setup'!$K$3&amp;'Funnel setup'!$K$4&amp;'Funnel setup'!$K$5,".",IF(A1517=".",1,A1517+1))</f>
        <v>.</v>
      </c>
      <c r="B1518" s="431" t="str">
        <f t="shared" si="23"/>
        <v>Hip Replacement PrimaryCCG of GP PracticeNHS NORTH KIRKLEES CCG (03J)Oxford Hip Score</v>
      </c>
      <c r="C1518" t="s">
        <v>248</v>
      </c>
      <c r="D1518" t="s">
        <v>87</v>
      </c>
      <c r="E1518" t="s">
        <v>654</v>
      </c>
      <c r="F1518" t="s">
        <v>655</v>
      </c>
      <c r="G1518" t="s">
        <v>14</v>
      </c>
      <c r="H1518">
        <v>111</v>
      </c>
      <c r="I1518">
        <v>18.783999999999999</v>
      </c>
      <c r="J1518">
        <v>39.170999999999999</v>
      </c>
      <c r="K1518">
        <v>20.387</v>
      </c>
      <c r="L1518">
        <v>107</v>
      </c>
      <c r="M1518">
        <v>0</v>
      </c>
      <c r="N1518">
        <v>4</v>
      </c>
      <c r="O1518">
        <v>39.326000000000001</v>
      </c>
      <c r="P1518">
        <v>21.12120054</v>
      </c>
      <c r="Q1518">
        <v>8.4779999999999998</v>
      </c>
    </row>
    <row r="1519" spans="1:17" s="30" customFormat="1" x14ac:dyDescent="0.2">
      <c r="A1519" s="30" t="str">
        <f>IF(C1519&amp;G1519&amp;D1519&lt;&gt;'Funnel setup'!$K$3&amp;'Funnel setup'!$K$4&amp;'Funnel setup'!$K$5,".",IF(A1518=".",1,A1518+1))</f>
        <v>.</v>
      </c>
      <c r="B1519" s="431" t="str">
        <f t="shared" si="23"/>
        <v>Hip Replacement PrimaryCCG of GP PracticeNHS NORTH LINCOLNSHIRE CCG (03K)Oxford Hip Score</v>
      </c>
      <c r="C1519" t="s">
        <v>248</v>
      </c>
      <c r="D1519" t="s">
        <v>87</v>
      </c>
      <c r="E1519" t="s">
        <v>657</v>
      </c>
      <c r="F1519" t="s">
        <v>658</v>
      </c>
      <c r="G1519" t="s">
        <v>14</v>
      </c>
      <c r="H1519">
        <v>135</v>
      </c>
      <c r="I1519">
        <v>18.859000000000002</v>
      </c>
      <c r="J1519">
        <v>39.319000000000003</v>
      </c>
      <c r="K1519">
        <v>20.459</v>
      </c>
      <c r="L1519">
        <v>131</v>
      </c>
      <c r="M1519">
        <v>2</v>
      </c>
      <c r="N1519">
        <v>2</v>
      </c>
      <c r="O1519">
        <v>39.021000000000001</v>
      </c>
      <c r="P1519">
        <v>20.81624235</v>
      </c>
      <c r="Q1519">
        <v>7.4660000000000002</v>
      </c>
    </row>
    <row r="1520" spans="1:17" s="30" customFormat="1" x14ac:dyDescent="0.2">
      <c r="A1520" s="30" t="str">
        <f>IF(C1520&amp;G1520&amp;D1520&lt;&gt;'Funnel setup'!$K$3&amp;'Funnel setup'!$K$4&amp;'Funnel setup'!$K$5,".",IF(A1519=".",1,A1519+1))</f>
        <v>.</v>
      </c>
      <c r="B1520" s="431" t="str">
        <f t="shared" si="23"/>
        <v>Hip Replacement PrimaryCCG of GP PracticeNHS NORTH MANCHESTER CCG (01M)Oxford Hip Score</v>
      </c>
      <c r="C1520" t="s">
        <v>248</v>
      </c>
      <c r="D1520" t="s">
        <v>87</v>
      </c>
      <c r="E1520" t="s">
        <v>660</v>
      </c>
      <c r="F1520" t="s">
        <v>661</v>
      </c>
      <c r="G1520" t="s">
        <v>14</v>
      </c>
      <c r="H1520">
        <v>63</v>
      </c>
      <c r="I1520">
        <v>14.365</v>
      </c>
      <c r="J1520">
        <v>37.048000000000002</v>
      </c>
      <c r="K1520">
        <v>22.683</v>
      </c>
      <c r="L1520">
        <v>63</v>
      </c>
      <c r="M1520">
        <v>0</v>
      </c>
      <c r="N1520">
        <v>0</v>
      </c>
      <c r="O1520">
        <v>40.442</v>
      </c>
      <c r="P1520">
        <v>22.23751575</v>
      </c>
      <c r="Q1520">
        <v>10.003</v>
      </c>
    </row>
    <row r="1521" spans="1:17" s="30" customFormat="1" x14ac:dyDescent="0.2">
      <c r="A1521" s="30" t="str">
        <f>IF(C1521&amp;G1521&amp;D1521&lt;&gt;'Funnel setup'!$K$3&amp;'Funnel setup'!$K$4&amp;'Funnel setup'!$K$5,".",IF(A1520=".",1,A1520+1))</f>
        <v>.</v>
      </c>
      <c r="B1521" s="431" t="str">
        <f t="shared" si="23"/>
        <v>Hip Replacement PrimaryCCG of GP PracticeNHS NORTH NORFOLK CCG (06V)Oxford Hip Score</v>
      </c>
      <c r="C1521" t="s">
        <v>248</v>
      </c>
      <c r="D1521" t="s">
        <v>87</v>
      </c>
      <c r="E1521" t="s">
        <v>663</v>
      </c>
      <c r="F1521" t="s">
        <v>664</v>
      </c>
      <c r="G1521" t="s">
        <v>14</v>
      </c>
      <c r="H1521">
        <v>250</v>
      </c>
      <c r="I1521">
        <v>19.384</v>
      </c>
      <c r="J1521">
        <v>40.643999999999998</v>
      </c>
      <c r="K1521">
        <v>21.26</v>
      </c>
      <c r="L1521">
        <v>249</v>
      </c>
      <c r="M1521">
        <v>0</v>
      </c>
      <c r="N1521">
        <v>1</v>
      </c>
      <c r="O1521">
        <v>40.015999999999998</v>
      </c>
      <c r="P1521">
        <v>21.81177658</v>
      </c>
      <c r="Q1521">
        <v>6.9989999999999997</v>
      </c>
    </row>
    <row r="1522" spans="1:17" s="30" customFormat="1" x14ac:dyDescent="0.2">
      <c r="A1522" s="30" t="str">
        <f>IF(C1522&amp;G1522&amp;D1522&lt;&gt;'Funnel setup'!$K$3&amp;'Funnel setup'!$K$4&amp;'Funnel setup'!$K$5,".",IF(A1521=".",1,A1521+1))</f>
        <v>.</v>
      </c>
      <c r="B1522" s="431" t="str">
        <f t="shared" si="23"/>
        <v>Hip Replacement PrimaryCCG of GP PracticeNHS NORTH SOMERSET CCG (11T)Oxford Hip Score</v>
      </c>
      <c r="C1522" t="s">
        <v>248</v>
      </c>
      <c r="D1522" t="s">
        <v>87</v>
      </c>
      <c r="E1522" t="s">
        <v>666</v>
      </c>
      <c r="F1522" t="s">
        <v>667</v>
      </c>
      <c r="G1522" t="s">
        <v>14</v>
      </c>
      <c r="H1522">
        <v>197</v>
      </c>
      <c r="I1522">
        <v>18.721</v>
      </c>
      <c r="J1522">
        <v>40.518000000000001</v>
      </c>
      <c r="K1522">
        <v>21.797000000000001</v>
      </c>
      <c r="L1522">
        <v>193</v>
      </c>
      <c r="M1522">
        <v>1</v>
      </c>
      <c r="N1522">
        <v>3</v>
      </c>
      <c r="O1522">
        <v>39.756999999999998</v>
      </c>
      <c r="P1522">
        <v>21.55236726</v>
      </c>
      <c r="Q1522">
        <v>7.9509999999999996</v>
      </c>
    </row>
    <row r="1523" spans="1:17" s="30" customFormat="1" x14ac:dyDescent="0.2">
      <c r="A1523" s="30" t="str">
        <f>IF(C1523&amp;G1523&amp;D1523&lt;&gt;'Funnel setup'!$K$3&amp;'Funnel setup'!$K$4&amp;'Funnel setup'!$K$5,".",IF(A1522=".",1,A1522+1))</f>
        <v>.</v>
      </c>
      <c r="B1523" s="431" t="str">
        <f t="shared" si="23"/>
        <v>Hip Replacement PrimaryCCG of GP PracticeNHS NORTH STAFFORDSHIRE CCG (05G)Oxford Hip Score</v>
      </c>
      <c r="C1523" t="s">
        <v>248</v>
      </c>
      <c r="D1523" t="s">
        <v>87</v>
      </c>
      <c r="E1523" t="s">
        <v>669</v>
      </c>
      <c r="F1523" t="s">
        <v>670</v>
      </c>
      <c r="G1523" t="s">
        <v>14</v>
      </c>
      <c r="H1523">
        <v>204</v>
      </c>
      <c r="I1523">
        <v>15.858000000000001</v>
      </c>
      <c r="J1523">
        <v>39.421999999999997</v>
      </c>
      <c r="K1523">
        <v>23.564</v>
      </c>
      <c r="L1523">
        <v>202</v>
      </c>
      <c r="M1523">
        <v>0</v>
      </c>
      <c r="N1523">
        <v>2</v>
      </c>
      <c r="O1523">
        <v>40.076999999999998</v>
      </c>
      <c r="P1523">
        <v>21.872106280000001</v>
      </c>
      <c r="Q1523">
        <v>7.601</v>
      </c>
    </row>
    <row r="1524" spans="1:17" s="30" customFormat="1" x14ac:dyDescent="0.2">
      <c r="A1524" s="30" t="str">
        <f>IF(C1524&amp;G1524&amp;D1524&lt;&gt;'Funnel setup'!$K$3&amp;'Funnel setup'!$K$4&amp;'Funnel setup'!$K$5,".",IF(A1523=".",1,A1523+1))</f>
        <v>.</v>
      </c>
      <c r="B1524" s="431" t="str">
        <f t="shared" si="23"/>
        <v>Hip Replacement PrimaryCCG of GP PracticeNHS NORTH TYNESIDE CCG (99C)Oxford Hip Score</v>
      </c>
      <c r="C1524" t="s">
        <v>248</v>
      </c>
      <c r="D1524" t="s">
        <v>87</v>
      </c>
      <c r="E1524" t="s">
        <v>672</v>
      </c>
      <c r="F1524" t="s">
        <v>673</v>
      </c>
      <c r="G1524" t="s">
        <v>14</v>
      </c>
      <c r="H1524">
        <v>249</v>
      </c>
      <c r="I1524">
        <v>18.280999999999999</v>
      </c>
      <c r="J1524">
        <v>39.317</v>
      </c>
      <c r="K1524">
        <v>21.036000000000001</v>
      </c>
      <c r="L1524">
        <v>243</v>
      </c>
      <c r="M1524">
        <v>0</v>
      </c>
      <c r="N1524">
        <v>6</v>
      </c>
      <c r="O1524">
        <v>39.643000000000001</v>
      </c>
      <c r="P1524">
        <v>21.438142639999999</v>
      </c>
      <c r="Q1524">
        <v>7.633</v>
      </c>
    </row>
    <row r="1525" spans="1:17" s="30" customFormat="1" x14ac:dyDescent="0.2">
      <c r="A1525" s="30" t="str">
        <f>IF(C1525&amp;G1525&amp;D1525&lt;&gt;'Funnel setup'!$K$3&amp;'Funnel setup'!$K$4&amp;'Funnel setup'!$K$5,".",IF(A1524=".",1,A1524+1))</f>
        <v>.</v>
      </c>
      <c r="B1525" s="431" t="str">
        <f t="shared" si="23"/>
        <v>Hip Replacement PrimaryCCG of GP PracticeNHS NORTH WEST SURREY CCG (09Y)Oxford Hip Score</v>
      </c>
      <c r="C1525" t="s">
        <v>248</v>
      </c>
      <c r="D1525" t="s">
        <v>87</v>
      </c>
      <c r="E1525" t="s">
        <v>675</v>
      </c>
      <c r="F1525" t="s">
        <v>676</v>
      </c>
      <c r="G1525" t="s">
        <v>14</v>
      </c>
      <c r="H1525">
        <v>289</v>
      </c>
      <c r="I1525">
        <v>20.457000000000001</v>
      </c>
      <c r="J1525">
        <v>40.585000000000001</v>
      </c>
      <c r="K1525">
        <v>20.128</v>
      </c>
      <c r="L1525">
        <v>283</v>
      </c>
      <c r="M1525">
        <v>0</v>
      </c>
      <c r="N1525">
        <v>6</v>
      </c>
      <c r="O1525">
        <v>39.546999999999997</v>
      </c>
      <c r="P1525">
        <v>21.34296372</v>
      </c>
      <c r="Q1525">
        <v>7.1740000000000004</v>
      </c>
    </row>
    <row r="1526" spans="1:17" s="30" customFormat="1" x14ac:dyDescent="0.2">
      <c r="A1526" s="30" t="str">
        <f>IF(C1526&amp;G1526&amp;D1526&lt;&gt;'Funnel setup'!$K$3&amp;'Funnel setup'!$K$4&amp;'Funnel setup'!$K$5,".",IF(A1525=".",1,A1525+1))</f>
        <v>.</v>
      </c>
      <c r="B1526" s="431" t="str">
        <f t="shared" si="23"/>
        <v>Hip Replacement PrimaryCCG of GP PracticeNHS NORTHERN, EASTERN AND WESTERN DEVON CCG (99P)Oxford Hip Score</v>
      </c>
      <c r="C1526" t="s">
        <v>248</v>
      </c>
      <c r="D1526" t="s">
        <v>87</v>
      </c>
      <c r="E1526" t="s">
        <v>678</v>
      </c>
      <c r="F1526" t="s">
        <v>679</v>
      </c>
      <c r="G1526" t="s">
        <v>14</v>
      </c>
      <c r="H1526">
        <v>1092</v>
      </c>
      <c r="I1526">
        <v>18.864999999999998</v>
      </c>
      <c r="J1526">
        <v>40.325000000000003</v>
      </c>
      <c r="K1526">
        <v>21.46</v>
      </c>
      <c r="L1526">
        <v>1066</v>
      </c>
      <c r="M1526">
        <v>3</v>
      </c>
      <c r="N1526">
        <v>23</v>
      </c>
      <c r="O1526">
        <v>40.137</v>
      </c>
      <c r="P1526">
        <v>21.93289665</v>
      </c>
      <c r="Q1526">
        <v>7.4880000000000004</v>
      </c>
    </row>
    <row r="1527" spans="1:17" s="30" customFormat="1" x14ac:dyDescent="0.2">
      <c r="A1527" s="30" t="str">
        <f>IF(C1527&amp;G1527&amp;D1527&lt;&gt;'Funnel setup'!$K$3&amp;'Funnel setup'!$K$4&amp;'Funnel setup'!$K$5,".",IF(A1526=".",1,A1526+1))</f>
        <v>.</v>
      </c>
      <c r="B1527" s="431" t="str">
        <f t="shared" si="23"/>
        <v>Hip Replacement PrimaryCCG of GP PracticeNHS NORTHUMBERLAND CCG (00L)Oxford Hip Score</v>
      </c>
      <c r="C1527" t="s">
        <v>248</v>
      </c>
      <c r="D1527" t="s">
        <v>87</v>
      </c>
      <c r="E1527" t="s">
        <v>681</v>
      </c>
      <c r="F1527" t="s">
        <v>336</v>
      </c>
      <c r="G1527" t="s">
        <v>14</v>
      </c>
      <c r="H1527">
        <v>343</v>
      </c>
      <c r="I1527">
        <v>17.869</v>
      </c>
      <c r="J1527">
        <v>39.909999999999997</v>
      </c>
      <c r="K1527">
        <v>22.041</v>
      </c>
      <c r="L1527">
        <v>334</v>
      </c>
      <c r="M1527">
        <v>4</v>
      </c>
      <c r="N1527">
        <v>5</v>
      </c>
      <c r="O1527">
        <v>40.002000000000002</v>
      </c>
      <c r="P1527">
        <v>21.797263189999999</v>
      </c>
      <c r="Q1527">
        <v>8.0180000000000007</v>
      </c>
    </row>
    <row r="1528" spans="1:17" s="30" customFormat="1" x14ac:dyDescent="0.2">
      <c r="A1528" s="30" t="str">
        <f>IF(C1528&amp;G1528&amp;D1528&lt;&gt;'Funnel setup'!$K$3&amp;'Funnel setup'!$K$4&amp;'Funnel setup'!$K$5,".",IF(A1527=".",1,A1527+1))</f>
        <v>.</v>
      </c>
      <c r="B1528" s="431" t="str">
        <f t="shared" si="23"/>
        <v>Hip Replacement PrimaryCCG of GP PracticeNHS NORWICH CCG (06W)Oxford Hip Score</v>
      </c>
      <c r="C1528" t="s">
        <v>248</v>
      </c>
      <c r="D1528" t="s">
        <v>87</v>
      </c>
      <c r="E1528" t="s">
        <v>770</v>
      </c>
      <c r="F1528" t="s">
        <v>771</v>
      </c>
      <c r="G1528" t="s">
        <v>14</v>
      </c>
      <c r="H1528">
        <v>150</v>
      </c>
      <c r="I1528">
        <v>17.68</v>
      </c>
      <c r="J1528">
        <v>39.159999999999997</v>
      </c>
      <c r="K1528">
        <v>21.48</v>
      </c>
      <c r="L1528">
        <v>147</v>
      </c>
      <c r="M1528">
        <v>0</v>
      </c>
      <c r="N1528">
        <v>3</v>
      </c>
      <c r="O1528">
        <v>39.204999999999998</v>
      </c>
      <c r="P1528">
        <v>21.000081250000001</v>
      </c>
      <c r="Q1528">
        <v>8.2739999999999991</v>
      </c>
    </row>
    <row r="1529" spans="1:17" s="30" customFormat="1" x14ac:dyDescent="0.2">
      <c r="A1529" s="30" t="str">
        <f>IF(C1529&amp;G1529&amp;D1529&lt;&gt;'Funnel setup'!$K$3&amp;'Funnel setup'!$K$4&amp;'Funnel setup'!$K$5,".",IF(A1528=".",1,A1528+1))</f>
        <v>.</v>
      </c>
      <c r="B1529" s="431" t="str">
        <f t="shared" si="23"/>
        <v>Hip Replacement PrimaryCCG of GP PracticeNHS NOTTINGHAM CITY CCG (04K)Oxford Hip Score</v>
      </c>
      <c r="C1529" t="s">
        <v>248</v>
      </c>
      <c r="D1529" t="s">
        <v>87</v>
      </c>
      <c r="E1529" t="s">
        <v>773</v>
      </c>
      <c r="F1529" t="s">
        <v>774</v>
      </c>
      <c r="G1529" t="s">
        <v>14</v>
      </c>
      <c r="H1529">
        <v>125</v>
      </c>
      <c r="I1529">
        <v>18.327999999999999</v>
      </c>
      <c r="J1529">
        <v>39.031999999999996</v>
      </c>
      <c r="K1529">
        <v>20.704000000000001</v>
      </c>
      <c r="L1529">
        <v>124</v>
      </c>
      <c r="M1529">
        <v>0</v>
      </c>
      <c r="N1529">
        <v>1</v>
      </c>
      <c r="O1529">
        <v>40.003999999999998</v>
      </c>
      <c r="P1529">
        <v>21.799697389999999</v>
      </c>
      <c r="Q1529">
        <v>8.2870000000000008</v>
      </c>
    </row>
    <row r="1530" spans="1:17" s="30" customFormat="1" x14ac:dyDescent="0.2">
      <c r="A1530" s="30" t="str">
        <f>IF(C1530&amp;G1530&amp;D1530&lt;&gt;'Funnel setup'!$K$3&amp;'Funnel setup'!$K$4&amp;'Funnel setup'!$K$5,".",IF(A1529=".",1,A1529+1))</f>
        <v>.</v>
      </c>
      <c r="B1530" s="431" t="str">
        <f t="shared" si="23"/>
        <v>Hip Replacement PrimaryCCG of GP PracticeNHS NOTTINGHAM NORTH AND EAST CCG (04L)Oxford Hip Score</v>
      </c>
      <c r="C1530" t="s">
        <v>248</v>
      </c>
      <c r="D1530" t="s">
        <v>87</v>
      </c>
      <c r="E1530" t="s">
        <v>776</v>
      </c>
      <c r="F1530" t="s">
        <v>777</v>
      </c>
      <c r="G1530" t="s">
        <v>14</v>
      </c>
      <c r="H1530">
        <v>149</v>
      </c>
      <c r="I1530">
        <v>19.181000000000001</v>
      </c>
      <c r="J1530">
        <v>39.134</v>
      </c>
      <c r="K1530">
        <v>19.952999999999999</v>
      </c>
      <c r="L1530">
        <v>144</v>
      </c>
      <c r="M1530">
        <v>1</v>
      </c>
      <c r="N1530">
        <v>4</v>
      </c>
      <c r="O1530">
        <v>38.658000000000001</v>
      </c>
      <c r="P1530">
        <v>20.453967859999999</v>
      </c>
      <c r="Q1530">
        <v>7.46</v>
      </c>
    </row>
    <row r="1531" spans="1:17" s="30" customFormat="1" x14ac:dyDescent="0.2">
      <c r="A1531" s="30" t="str">
        <f>IF(C1531&amp;G1531&amp;D1531&lt;&gt;'Funnel setup'!$K$3&amp;'Funnel setup'!$K$4&amp;'Funnel setup'!$K$5,".",IF(A1530=".",1,A1530+1))</f>
        <v>.</v>
      </c>
      <c r="B1531" s="431" t="str">
        <f t="shared" si="23"/>
        <v>Hip Replacement PrimaryCCG of GP PracticeNHS NOTTINGHAM WEST CCG (04M)Oxford Hip Score</v>
      </c>
      <c r="C1531" t="s">
        <v>248</v>
      </c>
      <c r="D1531" t="s">
        <v>87</v>
      </c>
      <c r="E1531" t="s">
        <v>779</v>
      </c>
      <c r="F1531" t="s">
        <v>780</v>
      </c>
      <c r="G1531" t="s">
        <v>14</v>
      </c>
      <c r="H1531">
        <v>94</v>
      </c>
      <c r="I1531">
        <v>18.946999999999999</v>
      </c>
      <c r="J1531">
        <v>40.722999999999999</v>
      </c>
      <c r="K1531">
        <v>21.777000000000001</v>
      </c>
      <c r="L1531">
        <v>92</v>
      </c>
      <c r="M1531">
        <v>1</v>
      </c>
      <c r="N1531">
        <v>1</v>
      </c>
      <c r="O1531">
        <v>40.082999999999998</v>
      </c>
      <c r="P1531">
        <v>21.878229149999999</v>
      </c>
      <c r="Q1531">
        <v>7.77</v>
      </c>
    </row>
    <row r="1532" spans="1:17" s="30" customFormat="1" x14ac:dyDescent="0.2">
      <c r="A1532" s="30" t="str">
        <f>IF(C1532&amp;G1532&amp;D1532&lt;&gt;'Funnel setup'!$K$3&amp;'Funnel setup'!$K$4&amp;'Funnel setup'!$K$5,".",IF(A1531=".",1,A1531+1))</f>
        <v>.</v>
      </c>
      <c r="B1532" s="431" t="str">
        <f t="shared" si="23"/>
        <v>Hip Replacement PrimaryCCG of GP PracticeNHS OLDHAM CCG (00Y)Oxford Hip Score</v>
      </c>
      <c r="C1532" t="s">
        <v>248</v>
      </c>
      <c r="D1532" t="s">
        <v>87</v>
      </c>
      <c r="E1532" t="s">
        <v>782</v>
      </c>
      <c r="F1532" t="s">
        <v>783</v>
      </c>
      <c r="G1532" t="s">
        <v>14</v>
      </c>
      <c r="H1532">
        <v>123</v>
      </c>
      <c r="I1532">
        <v>16.033000000000001</v>
      </c>
      <c r="J1532">
        <v>38.683</v>
      </c>
      <c r="K1532">
        <v>22.65</v>
      </c>
      <c r="L1532">
        <v>120</v>
      </c>
      <c r="M1532">
        <v>2</v>
      </c>
      <c r="N1532">
        <v>1</v>
      </c>
      <c r="O1532">
        <v>40.04</v>
      </c>
      <c r="P1532">
        <v>21.83587765</v>
      </c>
      <c r="Q1532">
        <v>8.3780000000000001</v>
      </c>
    </row>
    <row r="1533" spans="1:17" s="30" customFormat="1" x14ac:dyDescent="0.2">
      <c r="A1533" s="30" t="str">
        <f>IF(C1533&amp;G1533&amp;D1533&lt;&gt;'Funnel setup'!$K$3&amp;'Funnel setup'!$K$4&amp;'Funnel setup'!$K$5,".",IF(A1532=".",1,A1532+1))</f>
        <v>.</v>
      </c>
      <c r="B1533" s="431" t="str">
        <f t="shared" si="23"/>
        <v>Hip Replacement PrimaryCCG of GP PracticeNHS OXFORDSHIRE CCG (10Q)Oxford Hip Score</v>
      </c>
      <c r="C1533" t="s">
        <v>248</v>
      </c>
      <c r="D1533" t="s">
        <v>87</v>
      </c>
      <c r="E1533" t="s">
        <v>785</v>
      </c>
      <c r="F1533" t="s">
        <v>786</v>
      </c>
      <c r="G1533" t="s">
        <v>14</v>
      </c>
      <c r="H1533">
        <v>578</v>
      </c>
      <c r="I1533">
        <v>18.954999999999998</v>
      </c>
      <c r="J1533">
        <v>40.613999999999997</v>
      </c>
      <c r="K1533">
        <v>21.658999999999999</v>
      </c>
      <c r="L1533">
        <v>563</v>
      </c>
      <c r="M1533">
        <v>4</v>
      </c>
      <c r="N1533">
        <v>11</v>
      </c>
      <c r="O1533">
        <v>39.834000000000003</v>
      </c>
      <c r="P1533">
        <v>21.629427580000002</v>
      </c>
      <c r="Q1533">
        <v>7.5970000000000004</v>
      </c>
    </row>
    <row r="1534" spans="1:17" s="30" customFormat="1" x14ac:dyDescent="0.2">
      <c r="A1534" s="30" t="str">
        <f>IF(C1534&amp;G1534&amp;D1534&lt;&gt;'Funnel setup'!$K$3&amp;'Funnel setup'!$K$4&amp;'Funnel setup'!$K$5,".",IF(A1533=".",1,A1533+1))</f>
        <v>.</v>
      </c>
      <c r="B1534" s="431" t="str">
        <f t="shared" si="23"/>
        <v>Hip Replacement PrimaryCCG of GP PracticeNHS PORTSMOUTH CCG (10R)Oxford Hip Score</v>
      </c>
      <c r="C1534" t="s">
        <v>248</v>
      </c>
      <c r="D1534" t="s">
        <v>87</v>
      </c>
      <c r="E1534" t="s">
        <v>788</v>
      </c>
      <c r="F1534" t="s">
        <v>789</v>
      </c>
      <c r="G1534" t="s">
        <v>14</v>
      </c>
      <c r="H1534">
        <v>70</v>
      </c>
      <c r="I1534">
        <v>16.843</v>
      </c>
      <c r="J1534">
        <v>39.557000000000002</v>
      </c>
      <c r="K1534">
        <v>22.713999999999999</v>
      </c>
      <c r="L1534">
        <v>69</v>
      </c>
      <c r="M1534">
        <v>1</v>
      </c>
      <c r="N1534">
        <v>0</v>
      </c>
      <c r="O1534">
        <v>40.593000000000004</v>
      </c>
      <c r="P1534">
        <v>22.38825894</v>
      </c>
      <c r="Q1534">
        <v>7.68</v>
      </c>
    </row>
    <row r="1535" spans="1:17" s="30" customFormat="1" x14ac:dyDescent="0.2">
      <c r="A1535" s="30" t="str">
        <f>IF(C1535&amp;G1535&amp;D1535&lt;&gt;'Funnel setup'!$K$3&amp;'Funnel setup'!$K$4&amp;'Funnel setup'!$K$5,".",IF(A1534=".",1,A1534+1))</f>
        <v>.</v>
      </c>
      <c r="B1535" s="431" t="str">
        <f t="shared" si="23"/>
        <v>Hip Replacement PrimaryCCG of GP PracticeNHS REDBRIDGE CCG (08N)Oxford Hip Score</v>
      </c>
      <c r="C1535" t="s">
        <v>248</v>
      </c>
      <c r="D1535" t="s">
        <v>87</v>
      </c>
      <c r="E1535" t="s">
        <v>791</v>
      </c>
      <c r="F1535" t="s">
        <v>792</v>
      </c>
      <c r="G1535" t="s">
        <v>14</v>
      </c>
      <c r="H1535">
        <v>58</v>
      </c>
      <c r="I1535">
        <v>16.809999999999999</v>
      </c>
      <c r="J1535">
        <v>37.207000000000001</v>
      </c>
      <c r="K1535">
        <v>20.396999999999998</v>
      </c>
      <c r="L1535">
        <v>56</v>
      </c>
      <c r="M1535">
        <v>0</v>
      </c>
      <c r="N1535">
        <v>2</v>
      </c>
      <c r="O1535">
        <v>38.418999999999997</v>
      </c>
      <c r="P1535">
        <v>20.21428684</v>
      </c>
      <c r="Q1535">
        <v>9.0139999999999993</v>
      </c>
    </row>
    <row r="1536" spans="1:17" s="30" customFormat="1" x14ac:dyDescent="0.2">
      <c r="A1536" s="30" t="str">
        <f>IF(C1536&amp;G1536&amp;D1536&lt;&gt;'Funnel setup'!$K$3&amp;'Funnel setup'!$K$4&amp;'Funnel setup'!$K$5,".",IF(A1535=".",1,A1535+1))</f>
        <v>.</v>
      </c>
      <c r="B1536" s="431" t="str">
        <f t="shared" si="23"/>
        <v>Hip Replacement PrimaryCCG of GP PracticeNHS REDDITCH AND BROMSGROVE CCG (05J)Oxford Hip Score</v>
      </c>
      <c r="C1536" t="s">
        <v>248</v>
      </c>
      <c r="D1536" t="s">
        <v>87</v>
      </c>
      <c r="E1536" t="s">
        <v>794</v>
      </c>
      <c r="F1536" t="s">
        <v>795</v>
      </c>
      <c r="G1536" t="s">
        <v>14</v>
      </c>
      <c r="H1536">
        <v>155</v>
      </c>
      <c r="I1536">
        <v>17.844999999999999</v>
      </c>
      <c r="J1536">
        <v>39.354999999999997</v>
      </c>
      <c r="K1536">
        <v>21.51</v>
      </c>
      <c r="L1536">
        <v>154</v>
      </c>
      <c r="M1536">
        <v>0</v>
      </c>
      <c r="N1536">
        <v>1</v>
      </c>
      <c r="O1536">
        <v>39.231000000000002</v>
      </c>
      <c r="P1536">
        <v>21.026717000000001</v>
      </c>
      <c r="Q1536">
        <v>7.282</v>
      </c>
    </row>
    <row r="1537" spans="1:17" s="30" customFormat="1" x14ac:dyDescent="0.2">
      <c r="A1537" s="30" t="str">
        <f>IF(C1537&amp;G1537&amp;D1537&lt;&gt;'Funnel setup'!$K$3&amp;'Funnel setup'!$K$4&amp;'Funnel setup'!$K$5,".",IF(A1536=".",1,A1536+1))</f>
        <v>.</v>
      </c>
      <c r="B1537" s="431" t="str">
        <f t="shared" si="23"/>
        <v>Hip Replacement PrimaryCCG of GP PracticeNHS RICHMOND CCG (08P)Oxford Hip Score</v>
      </c>
      <c r="C1537" t="s">
        <v>248</v>
      </c>
      <c r="D1537" t="s">
        <v>87</v>
      </c>
      <c r="E1537" t="s">
        <v>797</v>
      </c>
      <c r="F1537" t="s">
        <v>798</v>
      </c>
      <c r="G1537" t="s">
        <v>14</v>
      </c>
      <c r="H1537">
        <v>94</v>
      </c>
      <c r="I1537">
        <v>19.66</v>
      </c>
      <c r="J1537">
        <v>41.447000000000003</v>
      </c>
      <c r="K1537">
        <v>21.786999999999999</v>
      </c>
      <c r="L1537">
        <v>92</v>
      </c>
      <c r="M1537">
        <v>0</v>
      </c>
      <c r="N1537">
        <v>2</v>
      </c>
      <c r="O1537">
        <v>40.631999999999998</v>
      </c>
      <c r="P1537">
        <v>22.42707635</v>
      </c>
      <c r="Q1537">
        <v>6.1369999999999996</v>
      </c>
    </row>
    <row r="1538" spans="1:17" s="30" customFormat="1" x14ac:dyDescent="0.2">
      <c r="A1538" s="30" t="str">
        <f>IF(C1538&amp;G1538&amp;D1538&lt;&gt;'Funnel setup'!$K$3&amp;'Funnel setup'!$K$4&amp;'Funnel setup'!$K$5,".",IF(A1537=".",1,A1537+1))</f>
        <v>.</v>
      </c>
      <c r="B1538" s="431" t="str">
        <f t="shared" si="23"/>
        <v>Hip Replacement PrimaryCCG of GP PracticeNHS ROTHERHAM CCG (03L)Oxford Hip Score</v>
      </c>
      <c r="C1538" t="s">
        <v>248</v>
      </c>
      <c r="D1538" t="s">
        <v>87</v>
      </c>
      <c r="E1538" t="s">
        <v>800</v>
      </c>
      <c r="F1538" t="s">
        <v>801</v>
      </c>
      <c r="G1538" t="s">
        <v>14</v>
      </c>
      <c r="H1538">
        <v>186</v>
      </c>
      <c r="I1538">
        <v>16.398</v>
      </c>
      <c r="J1538">
        <v>39.677</v>
      </c>
      <c r="K1538">
        <v>23.28</v>
      </c>
      <c r="L1538">
        <v>181</v>
      </c>
      <c r="M1538">
        <v>0</v>
      </c>
      <c r="N1538">
        <v>5</v>
      </c>
      <c r="O1538">
        <v>40.686999999999998</v>
      </c>
      <c r="P1538">
        <v>22.482604940000002</v>
      </c>
      <c r="Q1538">
        <v>8.1140000000000008</v>
      </c>
    </row>
    <row r="1539" spans="1:17" s="30" customFormat="1" x14ac:dyDescent="0.2">
      <c r="A1539" s="30" t="str">
        <f>IF(C1539&amp;G1539&amp;D1539&lt;&gt;'Funnel setup'!$K$3&amp;'Funnel setup'!$K$4&amp;'Funnel setup'!$K$5,".",IF(A1538=".",1,A1538+1))</f>
        <v>.</v>
      </c>
      <c r="B1539" s="431" t="str">
        <f t="shared" ref="B1539:B1602" si="24">C1539&amp;D1539&amp;F1539&amp;G1539</f>
        <v>Hip Replacement PrimaryCCG of GP PracticeNHS RUSHCLIFFE CCG (04N)Oxford Hip Score</v>
      </c>
      <c r="C1539" t="s">
        <v>248</v>
      </c>
      <c r="D1539" t="s">
        <v>87</v>
      </c>
      <c r="E1539" t="s">
        <v>803</v>
      </c>
      <c r="F1539" t="s">
        <v>804</v>
      </c>
      <c r="G1539" t="s">
        <v>14</v>
      </c>
      <c r="H1539">
        <v>106</v>
      </c>
      <c r="I1539">
        <v>19.905999999999999</v>
      </c>
      <c r="J1539">
        <v>41.075000000000003</v>
      </c>
      <c r="K1539">
        <v>21.17</v>
      </c>
      <c r="L1539">
        <v>104</v>
      </c>
      <c r="M1539">
        <v>0</v>
      </c>
      <c r="N1539">
        <v>2</v>
      </c>
      <c r="O1539">
        <v>39.786000000000001</v>
      </c>
      <c r="P1539">
        <v>21.58188985</v>
      </c>
      <c r="Q1539">
        <v>6.6020000000000003</v>
      </c>
    </row>
    <row r="1540" spans="1:17" s="30" customFormat="1" x14ac:dyDescent="0.2">
      <c r="A1540" s="30" t="str">
        <f>IF(C1540&amp;G1540&amp;D1540&lt;&gt;'Funnel setup'!$K$3&amp;'Funnel setup'!$K$4&amp;'Funnel setup'!$K$5,".",IF(A1539=".",1,A1539+1))</f>
        <v>.</v>
      </c>
      <c r="B1540" s="431" t="str">
        <f t="shared" si="24"/>
        <v>Hip Replacement PrimaryCCG of GP PracticeNHS SALFORD CCG (01G)Oxford Hip Score</v>
      </c>
      <c r="C1540" t="s">
        <v>248</v>
      </c>
      <c r="D1540" t="s">
        <v>87</v>
      </c>
      <c r="E1540" t="s">
        <v>806</v>
      </c>
      <c r="F1540" t="s">
        <v>807</v>
      </c>
      <c r="G1540" t="s">
        <v>14</v>
      </c>
      <c r="H1540">
        <v>90</v>
      </c>
      <c r="I1540">
        <v>17.3</v>
      </c>
      <c r="J1540">
        <v>39.311</v>
      </c>
      <c r="K1540">
        <v>22.010999999999999</v>
      </c>
      <c r="L1540">
        <v>87</v>
      </c>
      <c r="M1540">
        <v>1</v>
      </c>
      <c r="N1540">
        <v>2</v>
      </c>
      <c r="O1540">
        <v>40.442</v>
      </c>
      <c r="P1540">
        <v>22.237572839999999</v>
      </c>
      <c r="Q1540">
        <v>7.9720000000000004</v>
      </c>
    </row>
    <row r="1541" spans="1:17" s="30" customFormat="1" x14ac:dyDescent="0.2">
      <c r="A1541" s="30" t="str">
        <f>IF(C1541&amp;G1541&amp;D1541&lt;&gt;'Funnel setup'!$K$3&amp;'Funnel setup'!$K$4&amp;'Funnel setup'!$K$5,".",IF(A1540=".",1,A1540+1))</f>
        <v>.</v>
      </c>
      <c r="B1541" s="431" t="str">
        <f t="shared" si="24"/>
        <v>Hip Replacement PrimaryCCG of GP PracticeNHS SANDWELL AND WEST BIRMINGHAM CCG (05L)Oxford Hip Score</v>
      </c>
      <c r="C1541" t="s">
        <v>248</v>
      </c>
      <c r="D1541" t="s">
        <v>87</v>
      </c>
      <c r="E1541" t="s">
        <v>809</v>
      </c>
      <c r="F1541" t="s">
        <v>810</v>
      </c>
      <c r="G1541" t="s">
        <v>14</v>
      </c>
      <c r="H1541">
        <v>220</v>
      </c>
      <c r="I1541">
        <v>14.491</v>
      </c>
      <c r="J1541">
        <v>35.85</v>
      </c>
      <c r="K1541">
        <v>21.359000000000002</v>
      </c>
      <c r="L1541">
        <v>210</v>
      </c>
      <c r="M1541">
        <v>2</v>
      </c>
      <c r="N1541">
        <v>8</v>
      </c>
      <c r="O1541">
        <v>38.829000000000001</v>
      </c>
      <c r="P1541">
        <v>20.624593780000001</v>
      </c>
      <c r="Q1541">
        <v>9.1170000000000009</v>
      </c>
    </row>
    <row r="1542" spans="1:17" s="30" customFormat="1" x14ac:dyDescent="0.2">
      <c r="A1542" s="30" t="str">
        <f>IF(C1542&amp;G1542&amp;D1542&lt;&gt;'Funnel setup'!$K$3&amp;'Funnel setup'!$K$4&amp;'Funnel setup'!$K$5,".",IF(A1541=".",1,A1541+1))</f>
        <v>.</v>
      </c>
      <c r="B1542" s="431" t="str">
        <f t="shared" si="24"/>
        <v>Hip Replacement PrimaryCCG of GP PracticeNHS SCARBOROUGH AND RYEDALE CCG (03M)Oxford Hip Score</v>
      </c>
      <c r="C1542" t="s">
        <v>248</v>
      </c>
      <c r="D1542" t="s">
        <v>87</v>
      </c>
      <c r="E1542" t="s">
        <v>812</v>
      </c>
      <c r="F1542" t="s">
        <v>813</v>
      </c>
      <c r="G1542" t="s">
        <v>14</v>
      </c>
      <c r="H1542">
        <v>160</v>
      </c>
      <c r="I1542">
        <v>15.930999999999999</v>
      </c>
      <c r="J1542">
        <v>41.606000000000002</v>
      </c>
      <c r="K1542">
        <v>25.675000000000001</v>
      </c>
      <c r="L1542">
        <v>158</v>
      </c>
      <c r="M1542">
        <v>1</v>
      </c>
      <c r="N1542">
        <v>1</v>
      </c>
      <c r="O1542">
        <v>41.936</v>
      </c>
      <c r="P1542">
        <v>23.731904230000001</v>
      </c>
      <c r="Q1542">
        <v>6.7889999999999997</v>
      </c>
    </row>
    <row r="1543" spans="1:17" s="30" customFormat="1" x14ac:dyDescent="0.2">
      <c r="A1543" s="30" t="str">
        <f>IF(C1543&amp;G1543&amp;D1543&lt;&gt;'Funnel setup'!$K$3&amp;'Funnel setup'!$K$4&amp;'Funnel setup'!$K$5,".",IF(A1542=".",1,A1542+1))</f>
        <v>.</v>
      </c>
      <c r="B1543" s="431" t="str">
        <f t="shared" si="24"/>
        <v>Hip Replacement PrimaryCCG of GP PracticeNHS SHEFFIELD CCG (03N)Oxford Hip Score</v>
      </c>
      <c r="C1543" t="s">
        <v>248</v>
      </c>
      <c r="D1543" t="s">
        <v>87</v>
      </c>
      <c r="E1543" t="s">
        <v>815</v>
      </c>
      <c r="F1543" t="s">
        <v>816</v>
      </c>
      <c r="G1543" t="s">
        <v>14</v>
      </c>
      <c r="H1543">
        <v>369</v>
      </c>
      <c r="I1543">
        <v>16.658999999999999</v>
      </c>
      <c r="J1543">
        <v>39.061999999999998</v>
      </c>
      <c r="K1543">
        <v>22.404</v>
      </c>
      <c r="L1543">
        <v>362</v>
      </c>
      <c r="M1543">
        <v>0</v>
      </c>
      <c r="N1543">
        <v>7</v>
      </c>
      <c r="O1543">
        <v>39.643999999999998</v>
      </c>
      <c r="P1543">
        <v>21.439442589999999</v>
      </c>
      <c r="Q1543">
        <v>7.8070000000000004</v>
      </c>
    </row>
    <row r="1544" spans="1:17" s="30" customFormat="1" x14ac:dyDescent="0.2">
      <c r="A1544" s="30" t="str">
        <f>IF(C1544&amp;G1544&amp;D1544&lt;&gt;'Funnel setup'!$K$3&amp;'Funnel setup'!$K$4&amp;'Funnel setup'!$K$5,".",IF(A1543=".",1,A1543+1))</f>
        <v>.</v>
      </c>
      <c r="B1544" s="431" t="str">
        <f t="shared" si="24"/>
        <v>Hip Replacement PrimaryCCG of GP PracticeNHS SHROPSHIRE CCG (05N)Oxford Hip Score</v>
      </c>
      <c r="C1544" t="s">
        <v>248</v>
      </c>
      <c r="D1544" t="s">
        <v>87</v>
      </c>
      <c r="E1544" t="s">
        <v>818</v>
      </c>
      <c r="F1544" t="s">
        <v>819</v>
      </c>
      <c r="G1544" t="s">
        <v>14</v>
      </c>
      <c r="H1544">
        <v>462</v>
      </c>
      <c r="I1544">
        <v>16.846</v>
      </c>
      <c r="J1544">
        <v>40.317999999999998</v>
      </c>
      <c r="K1544">
        <v>23.472000000000001</v>
      </c>
      <c r="L1544">
        <v>453</v>
      </c>
      <c r="M1544">
        <v>1</v>
      </c>
      <c r="N1544">
        <v>8</v>
      </c>
      <c r="O1544">
        <v>38.987000000000002</v>
      </c>
      <c r="P1544">
        <v>20.78211598</v>
      </c>
      <c r="Q1544">
        <v>7.4349999999999996</v>
      </c>
    </row>
    <row r="1545" spans="1:17" s="30" customFormat="1" x14ac:dyDescent="0.2">
      <c r="A1545" s="30" t="str">
        <f>IF(C1545&amp;G1545&amp;D1545&lt;&gt;'Funnel setup'!$K$3&amp;'Funnel setup'!$K$4&amp;'Funnel setup'!$K$5,".",IF(A1544=".",1,A1544+1))</f>
        <v>.</v>
      </c>
      <c r="B1545" s="431" t="str">
        <f t="shared" si="24"/>
        <v>Hip Replacement PrimaryCCG of GP PracticeNHS SLOUGH CCG (10T)Oxford Hip Score</v>
      </c>
      <c r="C1545" t="s">
        <v>248</v>
      </c>
      <c r="D1545" t="s">
        <v>87</v>
      </c>
      <c r="E1545" t="s">
        <v>821</v>
      </c>
      <c r="F1545" t="s">
        <v>822</v>
      </c>
      <c r="G1545" t="s">
        <v>14</v>
      </c>
      <c r="H1545">
        <v>34</v>
      </c>
      <c r="I1545">
        <v>18.529</v>
      </c>
      <c r="J1545">
        <v>38.470999999999997</v>
      </c>
      <c r="K1545">
        <v>19.940999999999999</v>
      </c>
      <c r="L1545">
        <v>33</v>
      </c>
      <c r="M1545">
        <v>0</v>
      </c>
      <c r="N1545">
        <v>1</v>
      </c>
      <c r="O1545">
        <v>39.343000000000004</v>
      </c>
      <c r="P1545">
        <v>21.13855985</v>
      </c>
      <c r="Q1545">
        <v>7.9580000000000002</v>
      </c>
    </row>
    <row r="1546" spans="1:17" s="30" customFormat="1" x14ac:dyDescent="0.2">
      <c r="A1546" s="30" t="str">
        <f>IF(C1546&amp;G1546&amp;D1546&lt;&gt;'Funnel setup'!$K$3&amp;'Funnel setup'!$K$4&amp;'Funnel setup'!$K$5,".",IF(A1545=".",1,A1545+1))</f>
        <v>.</v>
      </c>
      <c r="B1546" s="431" t="str">
        <f t="shared" si="24"/>
        <v>Hip Replacement PrimaryCCG of GP PracticeNHS SOLIHULL CCG (05P)Oxford Hip Score</v>
      </c>
      <c r="C1546" t="s">
        <v>248</v>
      </c>
      <c r="D1546" t="s">
        <v>87</v>
      </c>
      <c r="E1546" t="s">
        <v>824</v>
      </c>
      <c r="F1546" t="s">
        <v>825</v>
      </c>
      <c r="G1546" t="s">
        <v>14</v>
      </c>
      <c r="H1546">
        <v>223</v>
      </c>
      <c r="I1546">
        <v>18.852</v>
      </c>
      <c r="J1546">
        <v>38.933</v>
      </c>
      <c r="K1546">
        <v>20.081</v>
      </c>
      <c r="L1546">
        <v>213</v>
      </c>
      <c r="M1546">
        <v>1</v>
      </c>
      <c r="N1546">
        <v>9</v>
      </c>
      <c r="O1546">
        <v>38.783000000000001</v>
      </c>
      <c r="P1546">
        <v>20.578957639999999</v>
      </c>
      <c r="Q1546">
        <v>7.75</v>
      </c>
    </row>
    <row r="1547" spans="1:17" s="30" customFormat="1" x14ac:dyDescent="0.2">
      <c r="A1547" s="30" t="str">
        <f>IF(C1547&amp;G1547&amp;D1547&lt;&gt;'Funnel setup'!$K$3&amp;'Funnel setup'!$K$4&amp;'Funnel setup'!$K$5,".",IF(A1546=".",1,A1546+1))</f>
        <v>.</v>
      </c>
      <c r="B1547" s="431" t="str">
        <f t="shared" si="24"/>
        <v>Hip Replacement PrimaryCCG of GP PracticeNHS SOMERSET CCG (11X)Oxford Hip Score</v>
      </c>
      <c r="C1547" t="s">
        <v>248</v>
      </c>
      <c r="D1547" t="s">
        <v>87</v>
      </c>
      <c r="E1547" t="s">
        <v>827</v>
      </c>
      <c r="F1547" t="s">
        <v>828</v>
      </c>
      <c r="G1547" t="s">
        <v>14</v>
      </c>
      <c r="H1547">
        <v>523</v>
      </c>
      <c r="I1547">
        <v>18.754999999999999</v>
      </c>
      <c r="J1547">
        <v>42.125999999999998</v>
      </c>
      <c r="K1547">
        <v>23.370999999999999</v>
      </c>
      <c r="L1547">
        <v>515</v>
      </c>
      <c r="M1547">
        <v>1</v>
      </c>
      <c r="N1547">
        <v>7</v>
      </c>
      <c r="O1547">
        <v>41.274000000000001</v>
      </c>
      <c r="P1547">
        <v>23.06960406</v>
      </c>
      <c r="Q1547">
        <v>6.8019999999999996</v>
      </c>
    </row>
    <row r="1548" spans="1:17" s="30" customFormat="1" x14ac:dyDescent="0.2">
      <c r="A1548" s="30" t="str">
        <f>IF(C1548&amp;G1548&amp;D1548&lt;&gt;'Funnel setup'!$K$3&amp;'Funnel setup'!$K$4&amp;'Funnel setup'!$K$5,".",IF(A1547=".",1,A1547+1))</f>
        <v>.</v>
      </c>
      <c r="B1548" s="431" t="str">
        <f t="shared" si="24"/>
        <v>Hip Replacement PrimaryCCG of GP PracticeNHS SOUTH CHESHIRE CCG (01R)Oxford Hip Score</v>
      </c>
      <c r="C1548" t="s">
        <v>248</v>
      </c>
      <c r="D1548" t="s">
        <v>87</v>
      </c>
      <c r="E1548" t="s">
        <v>830</v>
      </c>
      <c r="F1548" t="s">
        <v>831</v>
      </c>
      <c r="G1548" t="s">
        <v>14</v>
      </c>
      <c r="H1548">
        <v>177</v>
      </c>
      <c r="I1548">
        <v>17.593</v>
      </c>
      <c r="J1548">
        <v>40.085000000000001</v>
      </c>
      <c r="K1548">
        <v>22.492000000000001</v>
      </c>
      <c r="L1548">
        <v>176</v>
      </c>
      <c r="M1548">
        <v>0</v>
      </c>
      <c r="N1548">
        <v>1</v>
      </c>
      <c r="O1548">
        <v>39.517000000000003</v>
      </c>
      <c r="P1548">
        <v>21.312428189999999</v>
      </c>
      <c r="Q1548">
        <v>7.02</v>
      </c>
    </row>
    <row r="1549" spans="1:17" s="30" customFormat="1" x14ac:dyDescent="0.2">
      <c r="A1549" s="30" t="str">
        <f>IF(C1549&amp;G1549&amp;D1549&lt;&gt;'Funnel setup'!$K$3&amp;'Funnel setup'!$K$4&amp;'Funnel setup'!$K$5,".",IF(A1548=".",1,A1548+1))</f>
        <v>.</v>
      </c>
      <c r="B1549" s="431" t="str">
        <f t="shared" si="24"/>
        <v>Hip Replacement PrimaryCCG of GP PracticeNHS SOUTH DEVON AND TORBAY CCG (99Q)Oxford Hip Score</v>
      </c>
      <c r="C1549" t="s">
        <v>248</v>
      </c>
      <c r="D1549" t="s">
        <v>87</v>
      </c>
      <c r="E1549" t="s">
        <v>833</v>
      </c>
      <c r="F1549" t="s">
        <v>834</v>
      </c>
      <c r="G1549" t="s">
        <v>14</v>
      </c>
      <c r="H1549">
        <v>393</v>
      </c>
      <c r="I1549">
        <v>19.023</v>
      </c>
      <c r="J1549">
        <v>38.786000000000001</v>
      </c>
      <c r="K1549">
        <v>19.763000000000002</v>
      </c>
      <c r="L1549">
        <v>383</v>
      </c>
      <c r="M1549">
        <v>2</v>
      </c>
      <c r="N1549">
        <v>8</v>
      </c>
      <c r="O1549">
        <v>38.975999999999999</v>
      </c>
      <c r="P1549">
        <v>20.771177269999999</v>
      </c>
      <c r="Q1549">
        <v>8.4280000000000008</v>
      </c>
    </row>
    <row r="1550" spans="1:17" s="30" customFormat="1" x14ac:dyDescent="0.2">
      <c r="A1550" s="30" t="str">
        <f>IF(C1550&amp;G1550&amp;D1550&lt;&gt;'Funnel setup'!$K$3&amp;'Funnel setup'!$K$4&amp;'Funnel setup'!$K$5,".",IF(A1549=".",1,A1549+1))</f>
        <v>.</v>
      </c>
      <c r="B1550" s="431" t="str">
        <f t="shared" si="24"/>
        <v>Hip Replacement PrimaryCCG of GP PracticeNHS SOUTH EAST STAFFORDSHIRE AND SEISDON PENINSULA CCG (05Q)Oxford Hip Score</v>
      </c>
      <c r="C1550" t="s">
        <v>248</v>
      </c>
      <c r="D1550" t="s">
        <v>87</v>
      </c>
      <c r="E1550" t="s">
        <v>836</v>
      </c>
      <c r="F1550" t="s">
        <v>837</v>
      </c>
      <c r="G1550" t="s">
        <v>14</v>
      </c>
      <c r="H1550">
        <v>185</v>
      </c>
      <c r="I1550">
        <v>17.140999999999998</v>
      </c>
      <c r="J1550">
        <v>39.286000000000001</v>
      </c>
      <c r="K1550">
        <v>22.146000000000001</v>
      </c>
      <c r="L1550">
        <v>181</v>
      </c>
      <c r="M1550">
        <v>0</v>
      </c>
      <c r="N1550">
        <v>4</v>
      </c>
      <c r="O1550">
        <v>39.725000000000001</v>
      </c>
      <c r="P1550">
        <v>21.520737189999998</v>
      </c>
      <c r="Q1550">
        <v>8.33</v>
      </c>
    </row>
    <row r="1551" spans="1:17" s="30" customFormat="1" x14ac:dyDescent="0.2">
      <c r="A1551" s="30" t="str">
        <f>IF(C1551&amp;G1551&amp;D1551&lt;&gt;'Funnel setup'!$K$3&amp;'Funnel setup'!$K$4&amp;'Funnel setup'!$K$5,".",IF(A1550=".",1,A1550+1))</f>
        <v>.</v>
      </c>
      <c r="B1551" s="431" t="str">
        <f t="shared" si="24"/>
        <v>Hip Replacement PrimaryCCG of GP PracticeNHS SOUTH EASTERN HAMPSHIRE CCG (10V)Oxford Hip Score</v>
      </c>
      <c r="C1551" t="s">
        <v>248</v>
      </c>
      <c r="D1551" t="s">
        <v>87</v>
      </c>
      <c r="E1551" t="s">
        <v>839</v>
      </c>
      <c r="F1551" t="s">
        <v>840</v>
      </c>
      <c r="G1551" t="s">
        <v>14</v>
      </c>
      <c r="H1551">
        <v>144</v>
      </c>
      <c r="I1551">
        <v>18.742999999999999</v>
      </c>
      <c r="J1551">
        <v>40.514000000000003</v>
      </c>
      <c r="K1551">
        <v>21.771000000000001</v>
      </c>
      <c r="L1551">
        <v>140</v>
      </c>
      <c r="M1551">
        <v>2</v>
      </c>
      <c r="N1551">
        <v>2</v>
      </c>
      <c r="O1551">
        <v>40.191000000000003</v>
      </c>
      <c r="P1551">
        <v>21.986581520000001</v>
      </c>
      <c r="Q1551">
        <v>6.7839999999999998</v>
      </c>
    </row>
    <row r="1552" spans="1:17" s="30" customFormat="1" x14ac:dyDescent="0.2">
      <c r="A1552" s="30" t="str">
        <f>IF(C1552&amp;G1552&amp;D1552&lt;&gt;'Funnel setup'!$K$3&amp;'Funnel setup'!$K$4&amp;'Funnel setup'!$K$5,".",IF(A1551=".",1,A1551+1))</f>
        <v>.</v>
      </c>
      <c r="B1552" s="431" t="str">
        <f t="shared" si="24"/>
        <v>Hip Replacement PrimaryCCG of GP PracticeNHS SOUTH GLOUCESTERSHIRE CCG (12A)Oxford Hip Score</v>
      </c>
      <c r="C1552" t="s">
        <v>248</v>
      </c>
      <c r="D1552" t="s">
        <v>87</v>
      </c>
      <c r="E1552" t="s">
        <v>842</v>
      </c>
      <c r="F1552" t="s">
        <v>843</v>
      </c>
      <c r="G1552" t="s">
        <v>14</v>
      </c>
      <c r="H1552">
        <v>231</v>
      </c>
      <c r="I1552">
        <v>19.658000000000001</v>
      </c>
      <c r="J1552">
        <v>41.484999999999999</v>
      </c>
      <c r="K1552">
        <v>21.827000000000002</v>
      </c>
      <c r="L1552">
        <v>228</v>
      </c>
      <c r="M1552">
        <v>0</v>
      </c>
      <c r="N1552">
        <v>3</v>
      </c>
      <c r="O1552">
        <v>40.015000000000001</v>
      </c>
      <c r="P1552">
        <v>21.810263559999999</v>
      </c>
      <c r="Q1552">
        <v>6.6210000000000004</v>
      </c>
    </row>
    <row r="1553" spans="1:17" s="30" customFormat="1" x14ac:dyDescent="0.2">
      <c r="A1553" s="30" t="str">
        <f>IF(C1553&amp;G1553&amp;D1553&lt;&gt;'Funnel setup'!$K$3&amp;'Funnel setup'!$K$4&amp;'Funnel setup'!$K$5,".",IF(A1552=".",1,A1552+1))</f>
        <v>.</v>
      </c>
      <c r="B1553" s="431" t="str">
        <f t="shared" si="24"/>
        <v>Hip Replacement PrimaryCCG of GP PracticeNHS SOUTH KENT COAST CCG (10A)Oxford Hip Score</v>
      </c>
      <c r="C1553" t="s">
        <v>248</v>
      </c>
      <c r="D1553" t="s">
        <v>87</v>
      </c>
      <c r="E1553" t="s">
        <v>845</v>
      </c>
      <c r="F1553" t="s">
        <v>846</v>
      </c>
      <c r="G1553" t="s">
        <v>14</v>
      </c>
      <c r="H1553">
        <v>122</v>
      </c>
      <c r="I1553">
        <v>18.779</v>
      </c>
      <c r="J1553">
        <v>39.442999999999998</v>
      </c>
      <c r="K1553">
        <v>20.664000000000001</v>
      </c>
      <c r="L1553">
        <v>116</v>
      </c>
      <c r="M1553">
        <v>2</v>
      </c>
      <c r="N1553">
        <v>4</v>
      </c>
      <c r="O1553">
        <v>39.743000000000002</v>
      </c>
      <c r="P1553">
        <v>21.538416300000002</v>
      </c>
      <c r="Q1553">
        <v>8.1530000000000005</v>
      </c>
    </row>
    <row r="1554" spans="1:17" s="30" customFormat="1" x14ac:dyDescent="0.2">
      <c r="A1554" s="30" t="str">
        <f>IF(C1554&amp;G1554&amp;D1554&lt;&gt;'Funnel setup'!$K$3&amp;'Funnel setup'!$K$4&amp;'Funnel setup'!$K$5,".",IF(A1553=".",1,A1553+1))</f>
        <v>.</v>
      </c>
      <c r="B1554" s="431" t="str">
        <f t="shared" si="24"/>
        <v>Hip Replacement PrimaryCCG of GP PracticeNHS SOUTH LINCOLNSHIRE CCG (99D)Oxford Hip Score</v>
      </c>
      <c r="C1554" t="s">
        <v>248</v>
      </c>
      <c r="D1554" t="s">
        <v>87</v>
      </c>
      <c r="E1554" t="s">
        <v>848</v>
      </c>
      <c r="F1554" t="s">
        <v>849</v>
      </c>
      <c r="G1554" t="s">
        <v>14</v>
      </c>
      <c r="H1554">
        <v>149</v>
      </c>
      <c r="I1554">
        <v>18.456</v>
      </c>
      <c r="J1554">
        <v>39.167999999999999</v>
      </c>
      <c r="K1554">
        <v>20.710999999999999</v>
      </c>
      <c r="L1554">
        <v>146</v>
      </c>
      <c r="M1554">
        <v>0</v>
      </c>
      <c r="N1554">
        <v>3</v>
      </c>
      <c r="O1554">
        <v>38.594999999999999</v>
      </c>
      <c r="P1554">
        <v>20.39003366</v>
      </c>
      <c r="Q1554">
        <v>8.1170000000000009</v>
      </c>
    </row>
    <row r="1555" spans="1:17" s="30" customFormat="1" x14ac:dyDescent="0.2">
      <c r="A1555" s="30" t="str">
        <f>IF(C1555&amp;G1555&amp;D1555&lt;&gt;'Funnel setup'!$K$3&amp;'Funnel setup'!$K$4&amp;'Funnel setup'!$K$5,".",IF(A1554=".",1,A1554+1))</f>
        <v>.</v>
      </c>
      <c r="B1555" s="431" t="str">
        <f t="shared" si="24"/>
        <v>Hip Replacement PrimaryCCG of GP PracticeNHS SOUTH MANCHESTER CCG (01N)Oxford Hip Score</v>
      </c>
      <c r="C1555" t="s">
        <v>248</v>
      </c>
      <c r="D1555" t="s">
        <v>87</v>
      </c>
      <c r="E1555" t="s">
        <v>851</v>
      </c>
      <c r="F1555" t="s">
        <v>852</v>
      </c>
      <c r="G1555" t="s">
        <v>14</v>
      </c>
      <c r="H1555">
        <v>46</v>
      </c>
      <c r="I1555">
        <v>19.957000000000001</v>
      </c>
      <c r="J1555">
        <v>37.216999999999999</v>
      </c>
      <c r="K1555">
        <v>17.260999999999999</v>
      </c>
      <c r="L1555">
        <v>43</v>
      </c>
      <c r="M1555">
        <v>2</v>
      </c>
      <c r="N1555">
        <v>1</v>
      </c>
      <c r="O1555">
        <v>37.831000000000003</v>
      </c>
      <c r="P1555">
        <v>19.62677201</v>
      </c>
      <c r="Q1555">
        <v>8.8439999999999994</v>
      </c>
    </row>
    <row r="1556" spans="1:17" s="30" customFormat="1" x14ac:dyDescent="0.2">
      <c r="A1556" s="30" t="str">
        <f>IF(C1556&amp;G1556&amp;D1556&lt;&gt;'Funnel setup'!$K$3&amp;'Funnel setup'!$K$4&amp;'Funnel setup'!$K$5,".",IF(A1555=".",1,A1555+1))</f>
        <v>.</v>
      </c>
      <c r="B1556" s="431" t="str">
        <f t="shared" si="24"/>
        <v>Hip Replacement PrimaryCCG of GP PracticeNHS SOUTH NORFOLK CCG (06Y)Oxford Hip Score</v>
      </c>
      <c r="C1556" t="s">
        <v>248</v>
      </c>
      <c r="D1556" t="s">
        <v>87</v>
      </c>
      <c r="E1556" t="s">
        <v>932</v>
      </c>
      <c r="F1556" t="s">
        <v>933</v>
      </c>
      <c r="G1556" t="s">
        <v>14</v>
      </c>
      <c r="H1556">
        <v>239</v>
      </c>
      <c r="I1556">
        <v>17.376999999999999</v>
      </c>
      <c r="J1556">
        <v>39.970999999999997</v>
      </c>
      <c r="K1556">
        <v>22.594000000000001</v>
      </c>
      <c r="L1556">
        <v>232</v>
      </c>
      <c r="M1556">
        <v>0</v>
      </c>
      <c r="N1556">
        <v>7</v>
      </c>
      <c r="O1556">
        <v>39.976999999999997</v>
      </c>
      <c r="P1556">
        <v>21.772151690000001</v>
      </c>
      <c r="Q1556">
        <v>8.25</v>
      </c>
    </row>
    <row r="1557" spans="1:17" s="30" customFormat="1" x14ac:dyDescent="0.2">
      <c r="A1557" s="30" t="str">
        <f>IF(C1557&amp;G1557&amp;D1557&lt;&gt;'Funnel setup'!$K$3&amp;'Funnel setup'!$K$4&amp;'Funnel setup'!$K$5,".",IF(A1556=".",1,A1556+1))</f>
        <v>.</v>
      </c>
      <c r="B1557" s="431" t="str">
        <f t="shared" si="24"/>
        <v>Hip Replacement PrimaryCCG of GP PracticeNHS SOUTH READING CCG (10W)Oxford Hip Score</v>
      </c>
      <c r="C1557" t="s">
        <v>248</v>
      </c>
      <c r="D1557" t="s">
        <v>87</v>
      </c>
      <c r="E1557" t="s">
        <v>935</v>
      </c>
      <c r="F1557" t="s">
        <v>936</v>
      </c>
      <c r="G1557" t="s">
        <v>14</v>
      </c>
      <c r="H1557">
        <v>37</v>
      </c>
      <c r="I1557">
        <v>20.350999999999999</v>
      </c>
      <c r="J1557">
        <v>38.514000000000003</v>
      </c>
      <c r="K1557">
        <v>18.161999999999999</v>
      </c>
      <c r="L1557">
        <v>33</v>
      </c>
      <c r="M1557">
        <v>1</v>
      </c>
      <c r="N1557">
        <v>3</v>
      </c>
      <c r="O1557">
        <v>37.798999999999999</v>
      </c>
      <c r="P1557">
        <v>19.59427844</v>
      </c>
      <c r="Q1557">
        <v>9.3529999999999998</v>
      </c>
    </row>
    <row r="1558" spans="1:17" s="30" customFormat="1" x14ac:dyDescent="0.2">
      <c r="A1558" s="30" t="str">
        <f>IF(C1558&amp;G1558&amp;D1558&lt;&gt;'Funnel setup'!$K$3&amp;'Funnel setup'!$K$4&amp;'Funnel setup'!$K$5,".",IF(A1557=".",1,A1557+1))</f>
        <v>.</v>
      </c>
      <c r="B1558" s="431" t="str">
        <f t="shared" si="24"/>
        <v>Hip Replacement PrimaryCCG of GP PracticeNHS SOUTH SEFTON CCG (01T)Oxford Hip Score</v>
      </c>
      <c r="C1558" t="s">
        <v>248</v>
      </c>
      <c r="D1558" t="s">
        <v>87</v>
      </c>
      <c r="E1558" t="s">
        <v>938</v>
      </c>
      <c r="F1558" t="s">
        <v>939</v>
      </c>
      <c r="G1558" t="s">
        <v>14</v>
      </c>
      <c r="H1558">
        <v>107</v>
      </c>
      <c r="I1558">
        <v>15.86</v>
      </c>
      <c r="J1558">
        <v>36.57</v>
      </c>
      <c r="K1558">
        <v>20.71</v>
      </c>
      <c r="L1558">
        <v>105</v>
      </c>
      <c r="M1558">
        <v>0</v>
      </c>
      <c r="N1558">
        <v>2</v>
      </c>
      <c r="O1558">
        <v>38.067</v>
      </c>
      <c r="P1558">
        <v>19.862450899999999</v>
      </c>
      <c r="Q1558">
        <v>8.1329999999999991</v>
      </c>
    </row>
    <row r="1559" spans="1:17" s="30" customFormat="1" x14ac:dyDescent="0.2">
      <c r="A1559" s="30" t="str">
        <f>IF(C1559&amp;G1559&amp;D1559&lt;&gt;'Funnel setup'!$K$3&amp;'Funnel setup'!$K$4&amp;'Funnel setup'!$K$5,".",IF(A1558=".",1,A1558+1))</f>
        <v>.</v>
      </c>
      <c r="B1559" s="431" t="str">
        <f t="shared" si="24"/>
        <v>Hip Replacement PrimaryCCG of GP PracticeNHS SOUTH TEES CCG (00M)Oxford Hip Score</v>
      </c>
      <c r="C1559" t="s">
        <v>248</v>
      </c>
      <c r="D1559" t="s">
        <v>87</v>
      </c>
      <c r="E1559" t="s">
        <v>941</v>
      </c>
      <c r="F1559" t="s">
        <v>942</v>
      </c>
      <c r="G1559" t="s">
        <v>14</v>
      </c>
      <c r="H1559">
        <v>252</v>
      </c>
      <c r="I1559">
        <v>18.631</v>
      </c>
      <c r="J1559">
        <v>38.508000000000003</v>
      </c>
      <c r="K1559">
        <v>19.876999999999999</v>
      </c>
      <c r="L1559">
        <v>242</v>
      </c>
      <c r="M1559">
        <v>1</v>
      </c>
      <c r="N1559">
        <v>9</v>
      </c>
      <c r="O1559">
        <v>39.061</v>
      </c>
      <c r="P1559">
        <v>20.85645259</v>
      </c>
      <c r="Q1559">
        <v>8.7010000000000005</v>
      </c>
    </row>
    <row r="1560" spans="1:17" s="30" customFormat="1" x14ac:dyDescent="0.2">
      <c r="A1560" s="30" t="str">
        <f>IF(C1560&amp;G1560&amp;D1560&lt;&gt;'Funnel setup'!$K$3&amp;'Funnel setup'!$K$4&amp;'Funnel setup'!$K$5,".",IF(A1559=".",1,A1559+1))</f>
        <v>.</v>
      </c>
      <c r="B1560" s="431" t="str">
        <f t="shared" si="24"/>
        <v>Hip Replacement PrimaryCCG of GP PracticeNHS SOUTH TYNESIDE CCG (00N)Oxford Hip Score</v>
      </c>
      <c r="C1560" t="s">
        <v>248</v>
      </c>
      <c r="D1560" t="s">
        <v>87</v>
      </c>
      <c r="E1560" t="s">
        <v>1016</v>
      </c>
      <c r="F1560" t="s">
        <v>1017</v>
      </c>
      <c r="G1560" t="s">
        <v>14</v>
      </c>
      <c r="H1560">
        <v>103</v>
      </c>
      <c r="I1560">
        <v>16.922000000000001</v>
      </c>
      <c r="J1560">
        <v>37.612000000000002</v>
      </c>
      <c r="K1560">
        <v>20.689</v>
      </c>
      <c r="L1560">
        <v>101</v>
      </c>
      <c r="M1560">
        <v>0</v>
      </c>
      <c r="N1560">
        <v>2</v>
      </c>
      <c r="O1560">
        <v>38.363999999999997</v>
      </c>
      <c r="P1560">
        <v>20.159562080000001</v>
      </c>
      <c r="Q1560">
        <v>8.4890000000000008</v>
      </c>
    </row>
    <row r="1561" spans="1:17" s="30" customFormat="1" x14ac:dyDescent="0.2">
      <c r="A1561" s="30" t="str">
        <f>IF(C1561&amp;G1561&amp;D1561&lt;&gt;'Funnel setup'!$K$3&amp;'Funnel setup'!$K$4&amp;'Funnel setup'!$K$5,".",IF(A1560=".",1,A1560+1))</f>
        <v>.</v>
      </c>
      <c r="B1561" s="431" t="str">
        <f t="shared" si="24"/>
        <v>Hip Replacement PrimaryCCG of GP PracticeNHS SOUTH WARWICKSHIRE CCG (05R)Oxford Hip Score</v>
      </c>
      <c r="C1561" t="s">
        <v>248</v>
      </c>
      <c r="D1561" t="s">
        <v>87</v>
      </c>
      <c r="E1561" t="s">
        <v>944</v>
      </c>
      <c r="F1561" t="s">
        <v>945</v>
      </c>
      <c r="G1561" t="s">
        <v>14</v>
      </c>
      <c r="H1561">
        <v>303</v>
      </c>
      <c r="I1561">
        <v>20.550999999999998</v>
      </c>
      <c r="J1561">
        <v>40.643999999999998</v>
      </c>
      <c r="K1561">
        <v>20.091999999999999</v>
      </c>
      <c r="L1561">
        <v>296</v>
      </c>
      <c r="M1561">
        <v>3</v>
      </c>
      <c r="N1561">
        <v>4</v>
      </c>
      <c r="O1561">
        <v>39.441000000000003</v>
      </c>
      <c r="P1561">
        <v>21.23612292</v>
      </c>
      <c r="Q1561">
        <v>7.2169999999999996</v>
      </c>
    </row>
    <row r="1562" spans="1:17" s="30" customFormat="1" x14ac:dyDescent="0.2">
      <c r="A1562" s="30" t="str">
        <f>IF(C1562&amp;G1562&amp;D1562&lt;&gt;'Funnel setup'!$K$3&amp;'Funnel setup'!$K$4&amp;'Funnel setup'!$K$5,".",IF(A1561=".",1,A1561+1))</f>
        <v>.</v>
      </c>
      <c r="B1562" s="431" t="str">
        <f t="shared" si="24"/>
        <v>Hip Replacement PrimaryCCG of GP PracticeNHS SOUTH WEST LINCOLNSHIRE CCG (04Q)Oxford Hip Score</v>
      </c>
      <c r="C1562" t="s">
        <v>248</v>
      </c>
      <c r="D1562" t="s">
        <v>87</v>
      </c>
      <c r="E1562" t="s">
        <v>947</v>
      </c>
      <c r="F1562" t="s">
        <v>948</v>
      </c>
      <c r="G1562" t="s">
        <v>14</v>
      </c>
      <c r="H1562">
        <v>144</v>
      </c>
      <c r="I1562">
        <v>18.59</v>
      </c>
      <c r="J1562">
        <v>39.451000000000001</v>
      </c>
      <c r="K1562">
        <v>20.861000000000001</v>
      </c>
      <c r="L1562">
        <v>141</v>
      </c>
      <c r="M1562">
        <v>0</v>
      </c>
      <c r="N1562">
        <v>3</v>
      </c>
      <c r="O1562">
        <v>38.884999999999998</v>
      </c>
      <c r="P1562">
        <v>20.680561610000002</v>
      </c>
      <c r="Q1562">
        <v>7.5410000000000004</v>
      </c>
    </row>
    <row r="1563" spans="1:17" s="30" customFormat="1" x14ac:dyDescent="0.2">
      <c r="A1563" s="30" t="str">
        <f>IF(C1563&amp;G1563&amp;D1563&lt;&gt;'Funnel setup'!$K$3&amp;'Funnel setup'!$K$4&amp;'Funnel setup'!$K$5,".",IF(A1562=".",1,A1562+1))</f>
        <v>.</v>
      </c>
      <c r="B1563" s="431" t="str">
        <f t="shared" si="24"/>
        <v>Hip Replacement PrimaryCCG of GP PracticeNHS SOUTH WORCESTERSHIRE CCG (05T)Oxford Hip Score</v>
      </c>
      <c r="C1563" t="s">
        <v>248</v>
      </c>
      <c r="D1563" t="s">
        <v>87</v>
      </c>
      <c r="E1563" t="s">
        <v>950</v>
      </c>
      <c r="F1563" t="s">
        <v>951</v>
      </c>
      <c r="G1563" t="s">
        <v>14</v>
      </c>
      <c r="H1563">
        <v>220</v>
      </c>
      <c r="I1563">
        <v>18.645</v>
      </c>
      <c r="J1563">
        <v>40.427</v>
      </c>
      <c r="K1563">
        <v>21.782</v>
      </c>
      <c r="L1563">
        <v>213</v>
      </c>
      <c r="M1563">
        <v>2</v>
      </c>
      <c r="N1563">
        <v>5</v>
      </c>
      <c r="O1563">
        <v>39.951000000000001</v>
      </c>
      <c r="P1563">
        <v>21.746406319999998</v>
      </c>
      <c r="Q1563">
        <v>7.274</v>
      </c>
    </row>
    <row r="1564" spans="1:17" s="30" customFormat="1" x14ac:dyDescent="0.2">
      <c r="A1564" s="30" t="str">
        <f>IF(C1564&amp;G1564&amp;D1564&lt;&gt;'Funnel setup'!$K$3&amp;'Funnel setup'!$K$4&amp;'Funnel setup'!$K$5,".",IF(A1563=".",1,A1563+1))</f>
        <v>.</v>
      </c>
      <c r="B1564" s="431" t="str">
        <f t="shared" si="24"/>
        <v>Hip Replacement PrimaryCCG of GP PracticeNHS SOUTHAMPTON CCG (10X)Oxford Hip Score</v>
      </c>
      <c r="C1564" t="s">
        <v>248</v>
      </c>
      <c r="D1564" t="s">
        <v>87</v>
      </c>
      <c r="E1564" t="s">
        <v>953</v>
      </c>
      <c r="F1564" t="s">
        <v>954</v>
      </c>
      <c r="G1564" t="s">
        <v>14</v>
      </c>
      <c r="H1564">
        <v>136</v>
      </c>
      <c r="I1564">
        <v>17.896999999999998</v>
      </c>
      <c r="J1564">
        <v>37.881999999999998</v>
      </c>
      <c r="K1564">
        <v>19.984999999999999</v>
      </c>
      <c r="L1564">
        <v>134</v>
      </c>
      <c r="M1564">
        <v>0</v>
      </c>
      <c r="N1564">
        <v>2</v>
      </c>
      <c r="O1564">
        <v>38.820999999999998</v>
      </c>
      <c r="P1564">
        <v>20.61683348</v>
      </c>
      <c r="Q1564">
        <v>7.9790000000000001</v>
      </c>
    </row>
    <row r="1565" spans="1:17" s="30" customFormat="1" x14ac:dyDescent="0.2">
      <c r="A1565" s="30" t="str">
        <f>IF(C1565&amp;G1565&amp;D1565&lt;&gt;'Funnel setup'!$K$3&amp;'Funnel setup'!$K$4&amp;'Funnel setup'!$K$5,".",IF(A1564=".",1,A1564+1))</f>
        <v>.</v>
      </c>
      <c r="B1565" s="431" t="str">
        <f t="shared" si="24"/>
        <v>Hip Replacement PrimaryCCG of GP PracticeNHS SOUTHEND CCG (99G)Oxford Hip Score</v>
      </c>
      <c r="C1565" t="s">
        <v>248</v>
      </c>
      <c r="D1565" t="s">
        <v>87</v>
      </c>
      <c r="E1565" t="s">
        <v>956</v>
      </c>
      <c r="F1565" t="s">
        <v>957</v>
      </c>
      <c r="G1565" t="s">
        <v>14</v>
      </c>
      <c r="H1565">
        <v>86</v>
      </c>
      <c r="I1565">
        <v>16.779</v>
      </c>
      <c r="J1565">
        <v>38.662999999999997</v>
      </c>
      <c r="K1565">
        <v>21.884</v>
      </c>
      <c r="L1565">
        <v>84</v>
      </c>
      <c r="M1565">
        <v>2</v>
      </c>
      <c r="N1565">
        <v>0</v>
      </c>
      <c r="O1565">
        <v>39.140999999999998</v>
      </c>
      <c r="P1565">
        <v>20.936262559999999</v>
      </c>
      <c r="Q1565">
        <v>7.4160000000000004</v>
      </c>
    </row>
    <row r="1566" spans="1:17" s="30" customFormat="1" x14ac:dyDescent="0.2">
      <c r="A1566" s="30" t="str">
        <f>IF(C1566&amp;G1566&amp;D1566&lt;&gt;'Funnel setup'!$K$3&amp;'Funnel setup'!$K$4&amp;'Funnel setup'!$K$5,".",IF(A1565=".",1,A1565+1))</f>
        <v>.</v>
      </c>
      <c r="B1566" s="431" t="str">
        <f t="shared" si="24"/>
        <v>Hip Replacement PrimaryCCG of GP PracticeNHS SOUTHERN DERBYSHIRE CCG (04R)Oxford Hip Score</v>
      </c>
      <c r="C1566" t="s">
        <v>248</v>
      </c>
      <c r="D1566" t="s">
        <v>87</v>
      </c>
      <c r="E1566" t="s">
        <v>959</v>
      </c>
      <c r="F1566" t="s">
        <v>960</v>
      </c>
      <c r="G1566" t="s">
        <v>14</v>
      </c>
      <c r="H1566">
        <v>490</v>
      </c>
      <c r="I1566">
        <v>18.331</v>
      </c>
      <c r="J1566">
        <v>39.398000000000003</v>
      </c>
      <c r="K1566">
        <v>21.067</v>
      </c>
      <c r="L1566">
        <v>474</v>
      </c>
      <c r="M1566">
        <v>4</v>
      </c>
      <c r="N1566">
        <v>12</v>
      </c>
      <c r="O1566">
        <v>39.087000000000003</v>
      </c>
      <c r="P1566">
        <v>20.882241740000001</v>
      </c>
      <c r="Q1566">
        <v>8.2249999999999996</v>
      </c>
    </row>
    <row r="1567" spans="1:17" s="30" customFormat="1" x14ac:dyDescent="0.2">
      <c r="A1567" s="30" t="str">
        <f>IF(C1567&amp;G1567&amp;D1567&lt;&gt;'Funnel setup'!$K$3&amp;'Funnel setup'!$K$4&amp;'Funnel setup'!$K$5,".",IF(A1566=".",1,A1566+1))</f>
        <v>.</v>
      </c>
      <c r="B1567" s="431" t="str">
        <f t="shared" si="24"/>
        <v>Hip Replacement PrimaryCCG of GP PracticeNHS SOUTHPORT AND FORMBY CCG (01V)Oxford Hip Score</v>
      </c>
      <c r="C1567" t="s">
        <v>248</v>
      </c>
      <c r="D1567" t="s">
        <v>87</v>
      </c>
      <c r="E1567" t="s">
        <v>962</v>
      </c>
      <c r="F1567" t="s">
        <v>963</v>
      </c>
      <c r="G1567" t="s">
        <v>14</v>
      </c>
      <c r="H1567">
        <v>95</v>
      </c>
      <c r="I1567">
        <v>19.442</v>
      </c>
      <c r="J1567">
        <v>40.326000000000001</v>
      </c>
      <c r="K1567">
        <v>20.884</v>
      </c>
      <c r="L1567">
        <v>94</v>
      </c>
      <c r="M1567">
        <v>0</v>
      </c>
      <c r="N1567">
        <v>1</v>
      </c>
      <c r="O1567">
        <v>39.902999999999999</v>
      </c>
      <c r="P1567">
        <v>21.69827347</v>
      </c>
      <c r="Q1567">
        <v>6.9859999999999998</v>
      </c>
    </row>
    <row r="1568" spans="1:17" s="30" customFormat="1" x14ac:dyDescent="0.2">
      <c r="A1568" s="30" t="str">
        <f>IF(C1568&amp;G1568&amp;D1568&lt;&gt;'Funnel setup'!$K$3&amp;'Funnel setup'!$K$4&amp;'Funnel setup'!$K$5,".",IF(A1567=".",1,A1567+1))</f>
        <v>.</v>
      </c>
      <c r="B1568" s="431" t="str">
        <f t="shared" si="24"/>
        <v>Hip Replacement PrimaryCCG of GP PracticeNHS SOUTHWARK CCG (08Q)Oxford Hip Score</v>
      </c>
      <c r="C1568" t="s">
        <v>248</v>
      </c>
      <c r="D1568" t="s">
        <v>87</v>
      </c>
      <c r="E1568" t="s">
        <v>965</v>
      </c>
      <c r="F1568" t="s">
        <v>966</v>
      </c>
      <c r="G1568" t="s">
        <v>14</v>
      </c>
      <c r="H1568">
        <v>35</v>
      </c>
      <c r="I1568">
        <v>19.486000000000001</v>
      </c>
      <c r="J1568">
        <v>40</v>
      </c>
      <c r="K1568">
        <v>20.513999999999999</v>
      </c>
      <c r="L1568">
        <v>34</v>
      </c>
      <c r="M1568">
        <v>0</v>
      </c>
      <c r="N1568">
        <v>1</v>
      </c>
      <c r="O1568">
        <v>39.725999999999999</v>
      </c>
      <c r="P1568">
        <v>21.521750730000001</v>
      </c>
      <c r="Q1568">
        <v>8.6310000000000002</v>
      </c>
    </row>
    <row r="1569" spans="1:17" s="30" customFormat="1" x14ac:dyDescent="0.2">
      <c r="A1569" s="30" t="str">
        <f>IF(C1569&amp;G1569&amp;D1569&lt;&gt;'Funnel setup'!$K$3&amp;'Funnel setup'!$K$4&amp;'Funnel setup'!$K$5,".",IF(A1568=".",1,A1568+1))</f>
        <v>.</v>
      </c>
      <c r="B1569" s="431" t="str">
        <f t="shared" si="24"/>
        <v>Hip Replacement PrimaryCCG of GP PracticeNHS ST HELENS CCG (01X)Oxford Hip Score</v>
      </c>
      <c r="C1569" t="s">
        <v>248</v>
      </c>
      <c r="D1569" t="s">
        <v>87</v>
      </c>
      <c r="E1569" t="s">
        <v>968</v>
      </c>
      <c r="F1569" t="s">
        <v>969</v>
      </c>
      <c r="G1569" t="s">
        <v>14</v>
      </c>
      <c r="H1569">
        <v>119</v>
      </c>
      <c r="I1569">
        <v>17.007999999999999</v>
      </c>
      <c r="J1569">
        <v>38.185000000000002</v>
      </c>
      <c r="K1569">
        <v>21.175999999999998</v>
      </c>
      <c r="L1569">
        <v>117</v>
      </c>
      <c r="M1569">
        <v>0</v>
      </c>
      <c r="N1569">
        <v>2</v>
      </c>
      <c r="O1569">
        <v>39.534999999999997</v>
      </c>
      <c r="P1569">
        <v>21.330165350000001</v>
      </c>
      <c r="Q1569">
        <v>8.5129999999999999</v>
      </c>
    </row>
    <row r="1570" spans="1:17" s="30" customFormat="1" x14ac:dyDescent="0.2">
      <c r="A1570" s="30" t="str">
        <f>IF(C1570&amp;G1570&amp;D1570&lt;&gt;'Funnel setup'!$K$3&amp;'Funnel setup'!$K$4&amp;'Funnel setup'!$K$5,".",IF(A1569=".",1,A1569+1))</f>
        <v>.</v>
      </c>
      <c r="B1570" s="431" t="str">
        <f t="shared" si="24"/>
        <v>Hip Replacement PrimaryCCG of GP PracticeNHS STAFFORD AND SURROUNDS CCG (05V)Oxford Hip Score</v>
      </c>
      <c r="C1570" t="s">
        <v>248</v>
      </c>
      <c r="D1570" t="s">
        <v>87</v>
      </c>
      <c r="E1570" t="s">
        <v>971</v>
      </c>
      <c r="F1570" t="s">
        <v>972</v>
      </c>
      <c r="G1570" t="s">
        <v>14</v>
      </c>
      <c r="H1570">
        <v>165</v>
      </c>
      <c r="I1570">
        <v>19.684999999999999</v>
      </c>
      <c r="J1570">
        <v>40.823999999999998</v>
      </c>
      <c r="K1570">
        <v>21.138999999999999</v>
      </c>
      <c r="L1570">
        <v>162</v>
      </c>
      <c r="M1570">
        <v>0</v>
      </c>
      <c r="N1570">
        <v>3</v>
      </c>
      <c r="O1570">
        <v>39.731000000000002</v>
      </c>
      <c r="P1570">
        <v>21.526012309999999</v>
      </c>
      <c r="Q1570">
        <v>7.0380000000000003</v>
      </c>
    </row>
    <row r="1571" spans="1:17" s="30" customFormat="1" x14ac:dyDescent="0.2">
      <c r="A1571" s="30" t="str">
        <f>IF(C1571&amp;G1571&amp;D1571&lt;&gt;'Funnel setup'!$K$3&amp;'Funnel setup'!$K$4&amp;'Funnel setup'!$K$5,".",IF(A1570=".",1,A1570+1))</f>
        <v>.</v>
      </c>
      <c r="B1571" s="431" t="str">
        <f t="shared" si="24"/>
        <v>Hip Replacement PrimaryCCG of GP PracticeNHS STOCKPORT CCG (01W)Oxford Hip Score</v>
      </c>
      <c r="C1571" t="s">
        <v>248</v>
      </c>
      <c r="D1571" t="s">
        <v>87</v>
      </c>
      <c r="E1571" t="s">
        <v>974</v>
      </c>
      <c r="F1571" t="s">
        <v>975</v>
      </c>
      <c r="G1571" t="s">
        <v>14</v>
      </c>
      <c r="H1571">
        <v>203</v>
      </c>
      <c r="I1571">
        <v>17.664999999999999</v>
      </c>
      <c r="J1571">
        <v>39.960999999999999</v>
      </c>
      <c r="K1571">
        <v>22.295999999999999</v>
      </c>
      <c r="L1571">
        <v>202</v>
      </c>
      <c r="M1571">
        <v>0</v>
      </c>
      <c r="N1571">
        <v>1</v>
      </c>
      <c r="O1571">
        <v>39.918999999999997</v>
      </c>
      <c r="P1571">
        <v>21.714918359999999</v>
      </c>
      <c r="Q1571">
        <v>7.0510000000000002</v>
      </c>
    </row>
    <row r="1572" spans="1:17" s="30" customFormat="1" x14ac:dyDescent="0.2">
      <c r="A1572" s="30" t="str">
        <f>IF(C1572&amp;G1572&amp;D1572&lt;&gt;'Funnel setup'!$K$3&amp;'Funnel setup'!$K$4&amp;'Funnel setup'!$K$5,".",IF(A1571=".",1,A1571+1))</f>
        <v>.</v>
      </c>
      <c r="B1572" s="431" t="str">
        <f t="shared" si="24"/>
        <v>Hip Replacement PrimaryCCG of GP PracticeNHS STOKE ON TRENT CCG (05W)Oxford Hip Score</v>
      </c>
      <c r="C1572" t="s">
        <v>248</v>
      </c>
      <c r="D1572" t="s">
        <v>87</v>
      </c>
      <c r="E1572" t="s">
        <v>977</v>
      </c>
      <c r="F1572" t="s">
        <v>978</v>
      </c>
      <c r="G1572" t="s">
        <v>14</v>
      </c>
      <c r="H1572">
        <v>204</v>
      </c>
      <c r="I1572">
        <v>14.868</v>
      </c>
      <c r="J1572">
        <v>38.966000000000001</v>
      </c>
      <c r="K1572">
        <v>24.097999999999999</v>
      </c>
      <c r="L1572">
        <v>198</v>
      </c>
      <c r="M1572">
        <v>1</v>
      </c>
      <c r="N1572">
        <v>5</v>
      </c>
      <c r="O1572">
        <v>41.011000000000003</v>
      </c>
      <c r="P1572">
        <v>22.806973379999999</v>
      </c>
      <c r="Q1572">
        <v>8.0530000000000008</v>
      </c>
    </row>
    <row r="1573" spans="1:17" s="30" customFormat="1" x14ac:dyDescent="0.2">
      <c r="A1573" s="30" t="str">
        <f>IF(C1573&amp;G1573&amp;D1573&lt;&gt;'Funnel setup'!$K$3&amp;'Funnel setup'!$K$4&amp;'Funnel setup'!$K$5,".",IF(A1572=".",1,A1572+1))</f>
        <v>.</v>
      </c>
      <c r="B1573" s="431" t="str">
        <f t="shared" si="24"/>
        <v>Hip Replacement PrimaryCCG of GP PracticeNHS SUNDERLAND CCG (00P)Oxford Hip Score</v>
      </c>
      <c r="C1573" t="s">
        <v>248</v>
      </c>
      <c r="D1573" t="s">
        <v>87</v>
      </c>
      <c r="E1573" t="s">
        <v>980</v>
      </c>
      <c r="F1573" t="s">
        <v>981</v>
      </c>
      <c r="G1573" t="s">
        <v>14</v>
      </c>
      <c r="H1573">
        <v>211</v>
      </c>
      <c r="I1573">
        <v>15.967000000000001</v>
      </c>
      <c r="J1573">
        <v>38.795999999999999</v>
      </c>
      <c r="K1573">
        <v>22.829000000000001</v>
      </c>
      <c r="L1573">
        <v>207</v>
      </c>
      <c r="M1573">
        <v>0</v>
      </c>
      <c r="N1573">
        <v>4</v>
      </c>
      <c r="O1573">
        <v>40.235999999999997</v>
      </c>
      <c r="P1573">
        <v>22.031078090000001</v>
      </c>
      <c r="Q1573">
        <v>8.1679999999999993</v>
      </c>
    </row>
    <row r="1574" spans="1:17" s="30" customFormat="1" x14ac:dyDescent="0.2">
      <c r="A1574" s="30" t="str">
        <f>IF(C1574&amp;G1574&amp;D1574&lt;&gt;'Funnel setup'!$K$3&amp;'Funnel setup'!$K$4&amp;'Funnel setup'!$K$5,".",IF(A1573=".",1,A1573+1))</f>
        <v>.</v>
      </c>
      <c r="B1574" s="431" t="str">
        <f t="shared" si="24"/>
        <v>Hip Replacement PrimaryCCG of GP PracticeNHS SURREY DOWNS CCG (99H)Oxford Hip Score</v>
      </c>
      <c r="C1574" t="s">
        <v>248</v>
      </c>
      <c r="D1574" t="s">
        <v>87</v>
      </c>
      <c r="E1574" t="s">
        <v>983</v>
      </c>
      <c r="F1574" t="s">
        <v>984</v>
      </c>
      <c r="G1574" t="s">
        <v>14</v>
      </c>
      <c r="H1574">
        <v>250</v>
      </c>
      <c r="I1574">
        <v>20.884</v>
      </c>
      <c r="J1574">
        <v>41.247999999999998</v>
      </c>
      <c r="K1574">
        <v>20.364000000000001</v>
      </c>
      <c r="L1574">
        <v>238</v>
      </c>
      <c r="M1574">
        <v>2</v>
      </c>
      <c r="N1574">
        <v>10</v>
      </c>
      <c r="O1574">
        <v>39.840000000000003</v>
      </c>
      <c r="P1574">
        <v>21.63501582</v>
      </c>
      <c r="Q1574">
        <v>8.0350000000000001</v>
      </c>
    </row>
    <row r="1575" spans="1:17" s="30" customFormat="1" x14ac:dyDescent="0.2">
      <c r="A1575" s="30" t="str">
        <f>IF(C1575&amp;G1575&amp;D1575&lt;&gt;'Funnel setup'!$K$3&amp;'Funnel setup'!$K$4&amp;'Funnel setup'!$K$5,".",IF(A1574=".",1,A1574+1))</f>
        <v>.</v>
      </c>
      <c r="B1575" s="431" t="str">
        <f t="shared" si="24"/>
        <v>Hip Replacement PrimaryCCG of GP PracticeNHS SURREY HEATH CCG (10C)Oxford Hip Score</v>
      </c>
      <c r="C1575" t="s">
        <v>248</v>
      </c>
      <c r="D1575" t="s">
        <v>87</v>
      </c>
      <c r="E1575" t="s">
        <v>986</v>
      </c>
      <c r="F1575" t="s">
        <v>987</v>
      </c>
      <c r="G1575" t="s">
        <v>14</v>
      </c>
      <c r="H1575">
        <v>106</v>
      </c>
      <c r="I1575">
        <v>22.472000000000001</v>
      </c>
      <c r="J1575">
        <v>43.207999999999998</v>
      </c>
      <c r="K1575">
        <v>20.736000000000001</v>
      </c>
      <c r="L1575">
        <v>103</v>
      </c>
      <c r="M1575">
        <v>2</v>
      </c>
      <c r="N1575">
        <v>1</v>
      </c>
      <c r="O1575">
        <v>40.914000000000001</v>
      </c>
      <c r="P1575">
        <v>22.709841340000001</v>
      </c>
      <c r="Q1575">
        <v>5.4379999999999997</v>
      </c>
    </row>
    <row r="1576" spans="1:17" s="30" customFormat="1" x14ac:dyDescent="0.2">
      <c r="A1576" s="30" t="str">
        <f>IF(C1576&amp;G1576&amp;D1576&lt;&gt;'Funnel setup'!$K$3&amp;'Funnel setup'!$K$4&amp;'Funnel setup'!$K$5,".",IF(A1575=".",1,A1575+1))</f>
        <v>.</v>
      </c>
      <c r="B1576" s="431" t="str">
        <f t="shared" si="24"/>
        <v>Hip Replacement PrimaryCCG of GP PracticeNHS SUTTON CCG (08T)Oxford Hip Score</v>
      </c>
      <c r="C1576" t="s">
        <v>248</v>
      </c>
      <c r="D1576" t="s">
        <v>87</v>
      </c>
      <c r="E1576" t="s">
        <v>989</v>
      </c>
      <c r="F1576" t="s">
        <v>990</v>
      </c>
      <c r="G1576" t="s">
        <v>14</v>
      </c>
      <c r="H1576">
        <v>100</v>
      </c>
      <c r="I1576">
        <v>18.73</v>
      </c>
      <c r="J1576">
        <v>39.229999999999997</v>
      </c>
      <c r="K1576">
        <v>20.5</v>
      </c>
      <c r="L1576">
        <v>96</v>
      </c>
      <c r="M1576">
        <v>1</v>
      </c>
      <c r="N1576">
        <v>3</v>
      </c>
      <c r="O1576">
        <v>38.993000000000002</v>
      </c>
      <c r="P1576">
        <v>20.788364099999999</v>
      </c>
      <c r="Q1576">
        <v>9.2370000000000001</v>
      </c>
    </row>
    <row r="1577" spans="1:17" s="30" customFormat="1" x14ac:dyDescent="0.2">
      <c r="A1577" s="30" t="str">
        <f>IF(C1577&amp;G1577&amp;D1577&lt;&gt;'Funnel setup'!$K$3&amp;'Funnel setup'!$K$4&amp;'Funnel setup'!$K$5,".",IF(A1576=".",1,A1576+1))</f>
        <v>.</v>
      </c>
      <c r="B1577" s="431" t="str">
        <f t="shared" si="24"/>
        <v>Hip Replacement PrimaryCCG of GP PracticeNHS SWALE CCG (10D)Oxford Hip Score</v>
      </c>
      <c r="C1577" t="s">
        <v>248</v>
      </c>
      <c r="D1577" t="s">
        <v>87</v>
      </c>
      <c r="E1577" t="s">
        <v>992</v>
      </c>
      <c r="F1577" t="s">
        <v>993</v>
      </c>
      <c r="G1577" t="s">
        <v>14</v>
      </c>
      <c r="H1577">
        <v>71</v>
      </c>
      <c r="I1577">
        <v>17.422999999999998</v>
      </c>
      <c r="J1577">
        <v>39.055999999999997</v>
      </c>
      <c r="K1577">
        <v>21.634</v>
      </c>
      <c r="L1577">
        <v>68</v>
      </c>
      <c r="M1577">
        <v>0</v>
      </c>
      <c r="N1577">
        <v>3</v>
      </c>
      <c r="O1577">
        <v>40.447000000000003</v>
      </c>
      <c r="P1577">
        <v>22.242550340000001</v>
      </c>
      <c r="Q1577">
        <v>9.1609999999999996</v>
      </c>
    </row>
    <row r="1578" spans="1:17" s="30" customFormat="1" x14ac:dyDescent="0.2">
      <c r="A1578" s="30" t="str">
        <f>IF(C1578&amp;G1578&amp;D1578&lt;&gt;'Funnel setup'!$K$3&amp;'Funnel setup'!$K$4&amp;'Funnel setup'!$K$5,".",IF(A1577=".",1,A1577+1))</f>
        <v>.</v>
      </c>
      <c r="B1578" s="431" t="str">
        <f t="shared" si="24"/>
        <v>Hip Replacement PrimaryCCG of GP PracticeNHS SWINDON CCG (12D)Oxford Hip Score</v>
      </c>
      <c r="C1578" t="s">
        <v>248</v>
      </c>
      <c r="D1578" t="s">
        <v>87</v>
      </c>
      <c r="E1578" t="s">
        <v>995</v>
      </c>
      <c r="F1578" t="s">
        <v>996</v>
      </c>
      <c r="G1578" t="s">
        <v>14</v>
      </c>
      <c r="H1578">
        <v>168</v>
      </c>
      <c r="I1578">
        <v>16.071000000000002</v>
      </c>
      <c r="J1578">
        <v>39.369</v>
      </c>
      <c r="K1578">
        <v>23.297999999999998</v>
      </c>
      <c r="L1578">
        <v>163</v>
      </c>
      <c r="M1578">
        <v>1</v>
      </c>
      <c r="N1578">
        <v>4</v>
      </c>
      <c r="O1578">
        <v>39.685000000000002</v>
      </c>
      <c r="P1578">
        <v>21.480135090000001</v>
      </c>
      <c r="Q1578">
        <v>7.6280000000000001</v>
      </c>
    </row>
    <row r="1579" spans="1:17" s="30" customFormat="1" x14ac:dyDescent="0.2">
      <c r="A1579" s="30" t="str">
        <f>IF(C1579&amp;G1579&amp;D1579&lt;&gt;'Funnel setup'!$K$3&amp;'Funnel setup'!$K$4&amp;'Funnel setup'!$K$5,".",IF(A1578=".",1,A1578+1))</f>
        <v>.</v>
      </c>
      <c r="B1579" s="431" t="str">
        <f t="shared" si="24"/>
        <v>Hip Replacement PrimaryCCG of GP PracticeNHS TAMESIDE AND GLOSSOP CCG (01Y)Oxford Hip Score</v>
      </c>
      <c r="C1579" t="s">
        <v>248</v>
      </c>
      <c r="D1579" t="s">
        <v>87</v>
      </c>
      <c r="E1579" t="s">
        <v>998</v>
      </c>
      <c r="F1579" t="s">
        <v>999</v>
      </c>
      <c r="G1579" t="s">
        <v>14</v>
      </c>
      <c r="H1579">
        <v>126</v>
      </c>
      <c r="I1579">
        <v>17.04</v>
      </c>
      <c r="J1579">
        <v>36.984000000000002</v>
      </c>
      <c r="K1579">
        <v>19.943999999999999</v>
      </c>
      <c r="L1579">
        <v>121</v>
      </c>
      <c r="M1579">
        <v>2</v>
      </c>
      <c r="N1579">
        <v>3</v>
      </c>
      <c r="O1579">
        <v>37.997999999999998</v>
      </c>
      <c r="P1579">
        <v>19.79321775</v>
      </c>
      <c r="Q1579">
        <v>8.9760000000000009</v>
      </c>
    </row>
    <row r="1580" spans="1:17" s="30" customFormat="1" x14ac:dyDescent="0.2">
      <c r="A1580" s="30" t="str">
        <f>IF(C1580&amp;G1580&amp;D1580&lt;&gt;'Funnel setup'!$K$3&amp;'Funnel setup'!$K$4&amp;'Funnel setup'!$K$5,".",IF(A1579=".",1,A1579+1))</f>
        <v>.</v>
      </c>
      <c r="B1580" s="431" t="str">
        <f t="shared" si="24"/>
        <v>Hip Replacement PrimaryCCG of GP PracticeNHS TELFORD AND WREKIN CCG (05X)Oxford Hip Score</v>
      </c>
      <c r="C1580" t="s">
        <v>248</v>
      </c>
      <c r="D1580" t="s">
        <v>87</v>
      </c>
      <c r="E1580" t="s">
        <v>1001</v>
      </c>
      <c r="F1580" t="s">
        <v>1002</v>
      </c>
      <c r="G1580" t="s">
        <v>14</v>
      </c>
      <c r="H1580">
        <v>152</v>
      </c>
      <c r="I1580">
        <v>14.539</v>
      </c>
      <c r="J1580">
        <v>37.716999999999999</v>
      </c>
      <c r="K1580">
        <v>23.178000000000001</v>
      </c>
      <c r="L1580">
        <v>147</v>
      </c>
      <c r="M1580">
        <v>2</v>
      </c>
      <c r="N1580">
        <v>3</v>
      </c>
      <c r="O1580">
        <v>38.814</v>
      </c>
      <c r="P1580">
        <v>20.609081289999999</v>
      </c>
      <c r="Q1580">
        <v>9.3989999999999991</v>
      </c>
    </row>
    <row r="1581" spans="1:17" s="30" customFormat="1" x14ac:dyDescent="0.2">
      <c r="A1581" s="30" t="str">
        <f>IF(C1581&amp;G1581&amp;D1581&lt;&gt;'Funnel setup'!$K$3&amp;'Funnel setup'!$K$4&amp;'Funnel setup'!$K$5,".",IF(A1580=".",1,A1580+1))</f>
        <v>.</v>
      </c>
      <c r="B1581" s="431" t="str">
        <f t="shared" si="24"/>
        <v>Hip Replacement PrimaryCCG of GP PracticeNHS THANET CCG (10E)Oxford Hip Score</v>
      </c>
      <c r="C1581" t="s">
        <v>248</v>
      </c>
      <c r="D1581" t="s">
        <v>87</v>
      </c>
      <c r="E1581" t="s">
        <v>1004</v>
      </c>
      <c r="F1581" t="s">
        <v>1005</v>
      </c>
      <c r="G1581" t="s">
        <v>14</v>
      </c>
      <c r="H1581">
        <v>82</v>
      </c>
      <c r="I1581">
        <v>16.427</v>
      </c>
      <c r="J1581">
        <v>40.756</v>
      </c>
      <c r="K1581">
        <v>24.329000000000001</v>
      </c>
      <c r="L1581">
        <v>81</v>
      </c>
      <c r="M1581">
        <v>0</v>
      </c>
      <c r="N1581">
        <v>1</v>
      </c>
      <c r="O1581">
        <v>41.862000000000002</v>
      </c>
      <c r="P1581">
        <v>23.65757795</v>
      </c>
      <c r="Q1581">
        <v>6.7220000000000004</v>
      </c>
    </row>
    <row r="1582" spans="1:17" s="30" customFormat="1" x14ac:dyDescent="0.2">
      <c r="A1582" s="30" t="str">
        <f>IF(C1582&amp;G1582&amp;D1582&lt;&gt;'Funnel setup'!$K$3&amp;'Funnel setup'!$K$4&amp;'Funnel setup'!$K$5,".",IF(A1581=".",1,A1581+1))</f>
        <v>.</v>
      </c>
      <c r="B1582" s="431" t="str">
        <f t="shared" si="24"/>
        <v>Hip Replacement PrimaryCCG of GP PracticeNHS THURROCK CCG (07G)Oxford Hip Score</v>
      </c>
      <c r="C1582" t="s">
        <v>248</v>
      </c>
      <c r="D1582" t="s">
        <v>87</v>
      </c>
      <c r="E1582" t="s">
        <v>1007</v>
      </c>
      <c r="F1582" t="s">
        <v>1008</v>
      </c>
      <c r="G1582" t="s">
        <v>14</v>
      </c>
      <c r="H1582">
        <v>66</v>
      </c>
      <c r="I1582">
        <v>17.167000000000002</v>
      </c>
      <c r="J1582">
        <v>40.106000000000002</v>
      </c>
      <c r="K1582">
        <v>22.939</v>
      </c>
      <c r="L1582">
        <v>64</v>
      </c>
      <c r="M1582">
        <v>0</v>
      </c>
      <c r="N1582">
        <v>2</v>
      </c>
      <c r="O1582">
        <v>40.402999999999999</v>
      </c>
      <c r="P1582">
        <v>22.198934510000001</v>
      </c>
      <c r="Q1582">
        <v>7.8810000000000002</v>
      </c>
    </row>
    <row r="1583" spans="1:17" s="30" customFormat="1" x14ac:dyDescent="0.2">
      <c r="A1583" s="30" t="str">
        <f>IF(C1583&amp;G1583&amp;D1583&lt;&gt;'Funnel setup'!$K$3&amp;'Funnel setup'!$K$4&amp;'Funnel setup'!$K$5,".",IF(A1582=".",1,A1582+1))</f>
        <v>.</v>
      </c>
      <c r="B1583" s="431" t="str">
        <f t="shared" si="24"/>
        <v>Hip Replacement PrimaryCCG of GP PracticeNHS TOWER HAMLETS CCG (08V)Oxford Hip Score</v>
      </c>
      <c r="C1583" t="s">
        <v>248</v>
      </c>
      <c r="D1583" t="s">
        <v>87</v>
      </c>
      <c r="E1583" t="s">
        <v>1010</v>
      </c>
      <c r="F1583" t="s">
        <v>1011</v>
      </c>
      <c r="G1583" t="s">
        <v>14</v>
      </c>
      <c r="H1583">
        <v>20</v>
      </c>
      <c r="I1583">
        <v>16</v>
      </c>
      <c r="J1583">
        <v>36.85</v>
      </c>
      <c r="K1583">
        <v>20.85</v>
      </c>
      <c r="L1583">
        <v>18</v>
      </c>
      <c r="M1583">
        <v>2</v>
      </c>
      <c r="N1583">
        <v>0</v>
      </c>
      <c r="O1583" t="s">
        <v>53</v>
      </c>
      <c r="P1583" t="s">
        <v>53</v>
      </c>
      <c r="Q1583" t="s">
        <v>53</v>
      </c>
    </row>
    <row r="1584" spans="1:17" s="30" customFormat="1" x14ac:dyDescent="0.2">
      <c r="A1584" s="30" t="str">
        <f>IF(C1584&amp;G1584&amp;D1584&lt;&gt;'Funnel setup'!$K$3&amp;'Funnel setup'!$K$4&amp;'Funnel setup'!$K$5,".",IF(A1583=".",1,A1583+1))</f>
        <v>.</v>
      </c>
      <c r="B1584" s="431" t="str">
        <f t="shared" si="24"/>
        <v>Hip Replacement PrimaryCCG of GP PracticeNHS TRAFFORD CCG (02A)Oxford Hip Score</v>
      </c>
      <c r="C1584" t="s">
        <v>248</v>
      </c>
      <c r="D1584" t="s">
        <v>87</v>
      </c>
      <c r="E1584" t="s">
        <v>1013</v>
      </c>
      <c r="F1584" t="s">
        <v>1014</v>
      </c>
      <c r="G1584" t="s">
        <v>14</v>
      </c>
      <c r="H1584">
        <v>85</v>
      </c>
      <c r="I1584">
        <v>20.975999999999999</v>
      </c>
      <c r="J1584">
        <v>39.718000000000004</v>
      </c>
      <c r="K1584">
        <v>18.741</v>
      </c>
      <c r="L1584">
        <v>81</v>
      </c>
      <c r="M1584">
        <v>1</v>
      </c>
      <c r="N1584">
        <v>3</v>
      </c>
      <c r="O1584">
        <v>38.128</v>
      </c>
      <c r="P1584">
        <v>19.923686669999999</v>
      </c>
      <c r="Q1584">
        <v>6.7930000000000001</v>
      </c>
    </row>
    <row r="1585" spans="1:17" s="30" customFormat="1" x14ac:dyDescent="0.2">
      <c r="A1585" s="30" t="str">
        <f>IF(C1585&amp;G1585&amp;D1585&lt;&gt;'Funnel setup'!$K$3&amp;'Funnel setup'!$K$4&amp;'Funnel setup'!$K$5,".",IF(A1584=".",1,A1584+1))</f>
        <v>.</v>
      </c>
      <c r="B1585" s="431" t="str">
        <f t="shared" si="24"/>
        <v>Hip Replacement PrimaryCCG of GP PracticeNHS VALE OF YORK CCG (03Q)Oxford Hip Score</v>
      </c>
      <c r="C1585" t="s">
        <v>248</v>
      </c>
      <c r="D1585" t="s">
        <v>87</v>
      </c>
      <c r="E1585" t="s">
        <v>420</v>
      </c>
      <c r="F1585" t="s">
        <v>421</v>
      </c>
      <c r="G1585" t="s">
        <v>14</v>
      </c>
      <c r="H1585">
        <v>395</v>
      </c>
      <c r="I1585">
        <v>19.265999999999998</v>
      </c>
      <c r="J1585">
        <v>40.932000000000002</v>
      </c>
      <c r="K1585">
        <v>21.666</v>
      </c>
      <c r="L1585">
        <v>385</v>
      </c>
      <c r="M1585">
        <v>1</v>
      </c>
      <c r="N1585">
        <v>9</v>
      </c>
      <c r="O1585">
        <v>39.814</v>
      </c>
      <c r="P1585">
        <v>21.609192289999999</v>
      </c>
      <c r="Q1585">
        <v>7.258</v>
      </c>
    </row>
    <row r="1586" spans="1:17" s="30" customFormat="1" x14ac:dyDescent="0.2">
      <c r="A1586" s="30" t="str">
        <f>IF(C1586&amp;G1586&amp;D1586&lt;&gt;'Funnel setup'!$K$3&amp;'Funnel setup'!$K$4&amp;'Funnel setup'!$K$5,".",IF(A1585=".",1,A1585+1))</f>
        <v>.</v>
      </c>
      <c r="B1586" s="431" t="str">
        <f t="shared" si="24"/>
        <v>Hip Replacement PrimaryCCG of GP PracticeNHS VALE ROYAL CCG (02D)Oxford Hip Score</v>
      </c>
      <c r="C1586" t="s">
        <v>248</v>
      </c>
      <c r="D1586" t="s">
        <v>87</v>
      </c>
      <c r="E1586" t="s">
        <v>423</v>
      </c>
      <c r="F1586" t="s">
        <v>424</v>
      </c>
      <c r="G1586" t="s">
        <v>14</v>
      </c>
      <c r="H1586">
        <v>79</v>
      </c>
      <c r="I1586">
        <v>17.315999999999999</v>
      </c>
      <c r="J1586">
        <v>40.113999999999997</v>
      </c>
      <c r="K1586">
        <v>22.797000000000001</v>
      </c>
      <c r="L1586">
        <v>77</v>
      </c>
      <c r="M1586">
        <v>0</v>
      </c>
      <c r="N1586">
        <v>2</v>
      </c>
      <c r="O1586">
        <v>40.012999999999998</v>
      </c>
      <c r="P1586">
        <v>21.808363530000001</v>
      </c>
      <c r="Q1586">
        <v>7.6219999999999999</v>
      </c>
    </row>
    <row r="1587" spans="1:17" s="30" customFormat="1" x14ac:dyDescent="0.2">
      <c r="A1587" s="30" t="str">
        <f>IF(C1587&amp;G1587&amp;D1587&lt;&gt;'Funnel setup'!$K$3&amp;'Funnel setup'!$K$4&amp;'Funnel setup'!$K$5,".",IF(A1586=".",1,A1586+1))</f>
        <v>.</v>
      </c>
      <c r="B1587" s="431" t="str">
        <f t="shared" si="24"/>
        <v>Hip Replacement PrimaryCCG of GP PracticeNHS WAKEFIELD CCG (03R)Oxford Hip Score</v>
      </c>
      <c r="C1587" t="s">
        <v>248</v>
      </c>
      <c r="D1587" t="s">
        <v>87</v>
      </c>
      <c r="E1587" t="s">
        <v>426</v>
      </c>
      <c r="F1587" t="s">
        <v>427</v>
      </c>
      <c r="G1587" t="s">
        <v>14</v>
      </c>
      <c r="H1587">
        <v>230</v>
      </c>
      <c r="I1587">
        <v>18.257000000000001</v>
      </c>
      <c r="J1587">
        <v>37.942999999999998</v>
      </c>
      <c r="K1587">
        <v>19.687000000000001</v>
      </c>
      <c r="L1587">
        <v>222</v>
      </c>
      <c r="M1587">
        <v>4</v>
      </c>
      <c r="N1587">
        <v>4</v>
      </c>
      <c r="O1587">
        <v>38.076999999999998</v>
      </c>
      <c r="P1587">
        <v>19.872954140000001</v>
      </c>
      <c r="Q1587">
        <v>8.3010000000000002</v>
      </c>
    </row>
    <row r="1588" spans="1:17" s="30" customFormat="1" x14ac:dyDescent="0.2">
      <c r="A1588" s="30" t="str">
        <f>IF(C1588&amp;G1588&amp;D1588&lt;&gt;'Funnel setup'!$K$3&amp;'Funnel setup'!$K$4&amp;'Funnel setup'!$K$5,".",IF(A1587=".",1,A1587+1))</f>
        <v>.</v>
      </c>
      <c r="B1588" s="431" t="str">
        <f t="shared" si="24"/>
        <v>Hip Replacement PrimaryCCG of GP PracticeNHS WALSALL CCG (05Y)Oxford Hip Score</v>
      </c>
      <c r="C1588" t="s">
        <v>248</v>
      </c>
      <c r="D1588" t="s">
        <v>87</v>
      </c>
      <c r="E1588" t="s">
        <v>429</v>
      </c>
      <c r="F1588" t="s">
        <v>430</v>
      </c>
      <c r="G1588" t="s">
        <v>14</v>
      </c>
      <c r="H1588">
        <v>162</v>
      </c>
      <c r="I1588">
        <v>15.451000000000001</v>
      </c>
      <c r="J1588">
        <v>35.154000000000003</v>
      </c>
      <c r="K1588">
        <v>19.704000000000001</v>
      </c>
      <c r="L1588">
        <v>156</v>
      </c>
      <c r="M1588">
        <v>1</v>
      </c>
      <c r="N1588">
        <v>5</v>
      </c>
      <c r="O1588">
        <v>37.119999999999997</v>
      </c>
      <c r="P1588">
        <v>18.915802339999999</v>
      </c>
      <c r="Q1588">
        <v>10.022</v>
      </c>
    </row>
    <row r="1589" spans="1:17" s="30" customFormat="1" x14ac:dyDescent="0.2">
      <c r="A1589" s="30" t="str">
        <f>IF(C1589&amp;G1589&amp;D1589&lt;&gt;'Funnel setup'!$K$3&amp;'Funnel setup'!$K$4&amp;'Funnel setup'!$K$5,".",IF(A1588=".",1,A1588+1))</f>
        <v>.</v>
      </c>
      <c r="B1589" s="431" t="str">
        <f t="shared" si="24"/>
        <v>Hip Replacement PrimaryCCG of GP PracticeNHS WALTHAM FOREST CCG (08W)Oxford Hip Score</v>
      </c>
      <c r="C1589" t="s">
        <v>248</v>
      </c>
      <c r="D1589" t="s">
        <v>87</v>
      </c>
      <c r="E1589" t="s">
        <v>432</v>
      </c>
      <c r="F1589" t="s">
        <v>433</v>
      </c>
      <c r="G1589" t="s">
        <v>14</v>
      </c>
      <c r="H1589">
        <v>76</v>
      </c>
      <c r="I1589">
        <v>16.065999999999999</v>
      </c>
      <c r="J1589">
        <v>38.433999999999997</v>
      </c>
      <c r="K1589">
        <v>22.367999999999999</v>
      </c>
      <c r="L1589">
        <v>74</v>
      </c>
      <c r="M1589">
        <v>0</v>
      </c>
      <c r="N1589">
        <v>2</v>
      </c>
      <c r="O1589">
        <v>40.171999999999997</v>
      </c>
      <c r="P1589">
        <v>21.967808869999999</v>
      </c>
      <c r="Q1589">
        <v>8.0259999999999998</v>
      </c>
    </row>
    <row r="1590" spans="1:17" s="30" customFormat="1" x14ac:dyDescent="0.2">
      <c r="A1590" s="30" t="str">
        <f>IF(C1590&amp;G1590&amp;D1590&lt;&gt;'Funnel setup'!$K$3&amp;'Funnel setup'!$K$4&amp;'Funnel setup'!$K$5,".",IF(A1589=".",1,A1589+1))</f>
        <v>.</v>
      </c>
      <c r="B1590" s="431" t="str">
        <f t="shared" si="24"/>
        <v>Hip Replacement PrimaryCCG of GP PracticeNHS WANDSWORTH CCG (08X)Oxford Hip Score</v>
      </c>
      <c r="C1590" t="s">
        <v>248</v>
      </c>
      <c r="D1590" t="s">
        <v>87</v>
      </c>
      <c r="E1590" t="s">
        <v>435</v>
      </c>
      <c r="F1590" t="s">
        <v>436</v>
      </c>
      <c r="G1590" t="s">
        <v>14</v>
      </c>
      <c r="H1590">
        <v>78</v>
      </c>
      <c r="I1590">
        <v>19.308</v>
      </c>
      <c r="J1590">
        <v>39.167000000000002</v>
      </c>
      <c r="K1590">
        <v>19.859000000000002</v>
      </c>
      <c r="L1590">
        <v>75</v>
      </c>
      <c r="M1590">
        <v>0</v>
      </c>
      <c r="N1590">
        <v>3</v>
      </c>
      <c r="O1590">
        <v>39.253999999999998</v>
      </c>
      <c r="P1590">
        <v>21.049487549999998</v>
      </c>
      <c r="Q1590">
        <v>8.9169999999999998</v>
      </c>
    </row>
    <row r="1591" spans="1:17" s="30" customFormat="1" x14ac:dyDescent="0.2">
      <c r="A1591" s="30" t="str">
        <f>IF(C1591&amp;G1591&amp;D1591&lt;&gt;'Funnel setup'!$K$3&amp;'Funnel setup'!$K$4&amp;'Funnel setup'!$K$5,".",IF(A1590=".",1,A1590+1))</f>
        <v>.</v>
      </c>
      <c r="B1591" s="431" t="str">
        <f t="shared" si="24"/>
        <v>Hip Replacement PrimaryCCG of GP PracticeNHS WARRINGTON CCG (02E)Oxford Hip Score</v>
      </c>
      <c r="C1591" t="s">
        <v>248</v>
      </c>
      <c r="D1591" t="s">
        <v>87</v>
      </c>
      <c r="E1591" t="s">
        <v>441</v>
      </c>
      <c r="F1591" t="s">
        <v>442</v>
      </c>
      <c r="G1591" t="s">
        <v>14</v>
      </c>
      <c r="H1591">
        <v>124</v>
      </c>
      <c r="I1591">
        <v>16.588999999999999</v>
      </c>
      <c r="J1591">
        <v>38.911000000000001</v>
      </c>
      <c r="K1591">
        <v>22.323</v>
      </c>
      <c r="L1591">
        <v>122</v>
      </c>
      <c r="M1591">
        <v>1</v>
      </c>
      <c r="N1591">
        <v>1</v>
      </c>
      <c r="O1591">
        <v>39.079000000000001</v>
      </c>
      <c r="P1591">
        <v>20.87483426</v>
      </c>
      <c r="Q1591">
        <v>8.3179999999999996</v>
      </c>
    </row>
    <row r="1592" spans="1:17" s="30" customFormat="1" x14ac:dyDescent="0.2">
      <c r="A1592" s="30" t="str">
        <f>IF(C1592&amp;G1592&amp;D1592&lt;&gt;'Funnel setup'!$K$3&amp;'Funnel setup'!$K$4&amp;'Funnel setup'!$K$5,".",IF(A1591=".",1,A1591+1))</f>
        <v>.</v>
      </c>
      <c r="B1592" s="431" t="str">
        <f t="shared" si="24"/>
        <v>Hip Replacement PrimaryCCG of GP PracticeNHS WARWICKSHIRE NORTH CCG (05H)Oxford Hip Score</v>
      </c>
      <c r="C1592" t="s">
        <v>248</v>
      </c>
      <c r="D1592" t="s">
        <v>87</v>
      </c>
      <c r="E1592" t="s">
        <v>438</v>
      </c>
      <c r="F1592" t="s">
        <v>439</v>
      </c>
      <c r="G1592" t="s">
        <v>14</v>
      </c>
      <c r="H1592">
        <v>117</v>
      </c>
      <c r="I1592">
        <v>18.248000000000001</v>
      </c>
      <c r="J1592">
        <v>40.692</v>
      </c>
      <c r="K1592">
        <v>22.443999999999999</v>
      </c>
      <c r="L1592">
        <v>115</v>
      </c>
      <c r="M1592">
        <v>0</v>
      </c>
      <c r="N1592">
        <v>2</v>
      </c>
      <c r="O1592">
        <v>40.5</v>
      </c>
      <c r="P1592">
        <v>22.29520016</v>
      </c>
      <c r="Q1592">
        <v>6.9829999999999997</v>
      </c>
    </row>
    <row r="1593" spans="1:17" s="30" customFormat="1" x14ac:dyDescent="0.2">
      <c r="A1593" s="30" t="str">
        <f>IF(C1593&amp;G1593&amp;D1593&lt;&gt;'Funnel setup'!$K$3&amp;'Funnel setup'!$K$4&amp;'Funnel setup'!$K$5,".",IF(A1592=".",1,A1592+1))</f>
        <v>.</v>
      </c>
      <c r="B1593" s="431" t="str">
        <f t="shared" si="24"/>
        <v>Hip Replacement PrimaryCCG of GP PracticeNHS WEST CHESHIRE CCG (02F)Oxford Hip Score</v>
      </c>
      <c r="C1593" t="s">
        <v>248</v>
      </c>
      <c r="D1593" t="s">
        <v>87</v>
      </c>
      <c r="E1593" t="s">
        <v>402</v>
      </c>
      <c r="F1593" t="s">
        <v>403</v>
      </c>
      <c r="G1593" t="s">
        <v>14</v>
      </c>
      <c r="H1593">
        <v>227</v>
      </c>
      <c r="I1593">
        <v>18.172000000000001</v>
      </c>
      <c r="J1593">
        <v>40.414000000000001</v>
      </c>
      <c r="K1593">
        <v>22.242000000000001</v>
      </c>
      <c r="L1593">
        <v>220</v>
      </c>
      <c r="M1593">
        <v>0</v>
      </c>
      <c r="N1593">
        <v>7</v>
      </c>
      <c r="O1593">
        <v>39.737000000000002</v>
      </c>
      <c r="P1593">
        <v>21.532354730000002</v>
      </c>
      <c r="Q1593">
        <v>7.6580000000000004</v>
      </c>
    </row>
    <row r="1594" spans="1:17" s="30" customFormat="1" x14ac:dyDescent="0.2">
      <c r="A1594" s="30" t="str">
        <f>IF(C1594&amp;G1594&amp;D1594&lt;&gt;'Funnel setup'!$K$3&amp;'Funnel setup'!$K$4&amp;'Funnel setup'!$K$5,".",IF(A1593=".",1,A1593+1))</f>
        <v>.</v>
      </c>
      <c r="B1594" s="431" t="str">
        <f t="shared" si="24"/>
        <v>Hip Replacement PrimaryCCG of GP PracticeNHS WEST ESSEX CCG (07H)Oxford Hip Score</v>
      </c>
      <c r="C1594" t="s">
        <v>248</v>
      </c>
      <c r="D1594" t="s">
        <v>87</v>
      </c>
      <c r="E1594" t="s">
        <v>405</v>
      </c>
      <c r="F1594" t="s">
        <v>406</v>
      </c>
      <c r="G1594" t="s">
        <v>14</v>
      </c>
      <c r="H1594">
        <v>216</v>
      </c>
      <c r="I1594">
        <v>17.782</v>
      </c>
      <c r="J1594">
        <v>37.064999999999998</v>
      </c>
      <c r="K1594">
        <v>19.282</v>
      </c>
      <c r="L1594">
        <v>200</v>
      </c>
      <c r="M1594">
        <v>3</v>
      </c>
      <c r="N1594">
        <v>13</v>
      </c>
      <c r="O1594">
        <v>37.095999999999997</v>
      </c>
      <c r="P1594">
        <v>18.891540240000001</v>
      </c>
      <c r="Q1594">
        <v>9.5660000000000007</v>
      </c>
    </row>
    <row r="1595" spans="1:17" s="30" customFormat="1" x14ac:dyDescent="0.2">
      <c r="A1595" s="30" t="str">
        <f>IF(C1595&amp;G1595&amp;D1595&lt;&gt;'Funnel setup'!$K$3&amp;'Funnel setup'!$K$4&amp;'Funnel setup'!$K$5,".",IF(A1594=".",1,A1594+1))</f>
        <v>.</v>
      </c>
      <c r="B1595" s="431" t="str">
        <f t="shared" si="24"/>
        <v>Hip Replacement PrimaryCCG of GP PracticeNHS WEST HAMPSHIRE CCG (11A)Oxford Hip Score</v>
      </c>
      <c r="C1595" t="s">
        <v>248</v>
      </c>
      <c r="D1595" t="s">
        <v>87</v>
      </c>
      <c r="E1595" t="s">
        <v>444</v>
      </c>
      <c r="F1595" t="s">
        <v>445</v>
      </c>
      <c r="G1595" t="s">
        <v>14</v>
      </c>
      <c r="H1595">
        <v>494</v>
      </c>
      <c r="I1595">
        <v>18.452999999999999</v>
      </c>
      <c r="J1595">
        <v>40.225000000000001</v>
      </c>
      <c r="K1595">
        <v>21.771000000000001</v>
      </c>
      <c r="L1595">
        <v>478</v>
      </c>
      <c r="M1595">
        <v>0</v>
      </c>
      <c r="N1595">
        <v>16</v>
      </c>
      <c r="O1595">
        <v>39.738999999999997</v>
      </c>
      <c r="P1595">
        <v>21.534716880000001</v>
      </c>
      <c r="Q1595">
        <v>7.6360000000000001</v>
      </c>
    </row>
    <row r="1596" spans="1:17" s="30" customFormat="1" x14ac:dyDescent="0.2">
      <c r="A1596" s="30" t="str">
        <f>IF(C1596&amp;G1596&amp;D1596&lt;&gt;'Funnel setup'!$K$3&amp;'Funnel setup'!$K$4&amp;'Funnel setup'!$K$5,".",IF(A1595=".",1,A1595+1))</f>
        <v>.</v>
      </c>
      <c r="B1596" s="431" t="str">
        <f t="shared" si="24"/>
        <v>Hip Replacement PrimaryCCG of GP PracticeNHS WEST KENT CCG (99J)Oxford Hip Score</v>
      </c>
      <c r="C1596" t="s">
        <v>248</v>
      </c>
      <c r="D1596" t="s">
        <v>87</v>
      </c>
      <c r="E1596" t="s">
        <v>447</v>
      </c>
      <c r="F1596" t="s">
        <v>448</v>
      </c>
      <c r="G1596" t="s">
        <v>14</v>
      </c>
      <c r="H1596">
        <v>338</v>
      </c>
      <c r="I1596">
        <v>19.556000000000001</v>
      </c>
      <c r="J1596">
        <v>41.944000000000003</v>
      </c>
      <c r="K1596">
        <v>22.388000000000002</v>
      </c>
      <c r="L1596">
        <v>337</v>
      </c>
      <c r="M1596">
        <v>0</v>
      </c>
      <c r="N1596">
        <v>1</v>
      </c>
      <c r="O1596">
        <v>41.41</v>
      </c>
      <c r="P1596">
        <v>23.205788429999998</v>
      </c>
      <c r="Q1596">
        <v>6.49</v>
      </c>
    </row>
    <row r="1597" spans="1:17" s="30" customFormat="1" x14ac:dyDescent="0.2">
      <c r="A1597" s="30" t="str">
        <f>IF(C1597&amp;G1597&amp;D1597&lt;&gt;'Funnel setup'!$K$3&amp;'Funnel setup'!$K$4&amp;'Funnel setup'!$K$5,".",IF(A1596=".",1,A1596+1))</f>
        <v>.</v>
      </c>
      <c r="B1597" s="431" t="str">
        <f t="shared" si="24"/>
        <v>Hip Replacement PrimaryCCG of GP PracticeNHS WEST LANCASHIRE CCG (02G)Oxford Hip Score</v>
      </c>
      <c r="C1597" t="s">
        <v>248</v>
      </c>
      <c r="D1597" t="s">
        <v>87</v>
      </c>
      <c r="E1597" t="s">
        <v>450</v>
      </c>
      <c r="F1597" t="s">
        <v>451</v>
      </c>
      <c r="G1597" t="s">
        <v>14</v>
      </c>
      <c r="H1597">
        <v>69</v>
      </c>
      <c r="I1597">
        <v>19.187999999999999</v>
      </c>
      <c r="J1597">
        <v>38.493000000000002</v>
      </c>
      <c r="K1597">
        <v>19.303999999999998</v>
      </c>
      <c r="L1597">
        <v>66</v>
      </c>
      <c r="M1597">
        <v>2</v>
      </c>
      <c r="N1597">
        <v>1</v>
      </c>
      <c r="O1597">
        <v>37.965000000000003</v>
      </c>
      <c r="P1597">
        <v>19.760424619999998</v>
      </c>
      <c r="Q1597">
        <v>8.6869999999999994</v>
      </c>
    </row>
    <row r="1598" spans="1:17" s="30" customFormat="1" x14ac:dyDescent="0.2">
      <c r="A1598" s="30" t="str">
        <f>IF(C1598&amp;G1598&amp;D1598&lt;&gt;'Funnel setup'!$K$3&amp;'Funnel setup'!$K$4&amp;'Funnel setup'!$K$5,".",IF(A1597=".",1,A1597+1))</f>
        <v>.</v>
      </c>
      <c r="B1598" s="431" t="str">
        <f t="shared" si="24"/>
        <v>Hip Replacement PrimaryCCG of GP PracticeNHS WEST LEICESTERSHIRE CCG (04V)Oxford Hip Score</v>
      </c>
      <c r="C1598" t="s">
        <v>248</v>
      </c>
      <c r="D1598" t="s">
        <v>87</v>
      </c>
      <c r="E1598" t="s">
        <v>453</v>
      </c>
      <c r="F1598" t="s">
        <v>454</v>
      </c>
      <c r="G1598" t="s">
        <v>14</v>
      </c>
      <c r="H1598">
        <v>297</v>
      </c>
      <c r="I1598">
        <v>17.407</v>
      </c>
      <c r="J1598">
        <v>39.292999999999999</v>
      </c>
      <c r="K1598">
        <v>21.885999999999999</v>
      </c>
      <c r="L1598">
        <v>287</v>
      </c>
      <c r="M1598">
        <v>1</v>
      </c>
      <c r="N1598">
        <v>9</v>
      </c>
      <c r="O1598">
        <v>39.061</v>
      </c>
      <c r="P1598">
        <v>20.856185589999999</v>
      </c>
      <c r="Q1598">
        <v>8.0489999999999995</v>
      </c>
    </row>
    <row r="1599" spans="1:17" s="30" customFormat="1" x14ac:dyDescent="0.2">
      <c r="A1599" s="30" t="str">
        <f>IF(C1599&amp;G1599&amp;D1599&lt;&gt;'Funnel setup'!$K$3&amp;'Funnel setup'!$K$4&amp;'Funnel setup'!$K$5,".",IF(A1598=".",1,A1598+1))</f>
        <v>.</v>
      </c>
      <c r="B1599" s="431" t="str">
        <f t="shared" si="24"/>
        <v>Hip Replacement PrimaryCCG of GP PracticeNHS WEST LONDON CCG (08Y)Oxford Hip Score</v>
      </c>
      <c r="C1599" t="s">
        <v>248</v>
      </c>
      <c r="D1599" t="s">
        <v>87</v>
      </c>
      <c r="E1599" t="s">
        <v>456</v>
      </c>
      <c r="F1599" t="s">
        <v>457</v>
      </c>
      <c r="G1599" t="s">
        <v>14</v>
      </c>
      <c r="H1599">
        <v>27</v>
      </c>
      <c r="I1599">
        <v>15.555999999999999</v>
      </c>
      <c r="J1599">
        <v>37.555999999999997</v>
      </c>
      <c r="K1599">
        <v>22</v>
      </c>
      <c r="L1599">
        <v>27</v>
      </c>
      <c r="M1599">
        <v>0</v>
      </c>
      <c r="N1599">
        <v>0</v>
      </c>
      <c r="O1599" t="s">
        <v>53</v>
      </c>
      <c r="P1599" t="s">
        <v>53</v>
      </c>
      <c r="Q1599" t="s">
        <v>53</v>
      </c>
    </row>
    <row r="1600" spans="1:17" s="30" customFormat="1" x14ac:dyDescent="0.2">
      <c r="A1600" s="30" t="str">
        <f>IF(C1600&amp;G1600&amp;D1600&lt;&gt;'Funnel setup'!$K$3&amp;'Funnel setup'!$K$4&amp;'Funnel setup'!$K$5,".",IF(A1599=".",1,A1599+1))</f>
        <v>.</v>
      </c>
      <c r="B1600" s="431" t="str">
        <f t="shared" si="24"/>
        <v>Hip Replacement PrimaryCCG of GP PracticeNHS WEST NORFOLK CCG (07J)Oxford Hip Score</v>
      </c>
      <c r="C1600" t="s">
        <v>248</v>
      </c>
      <c r="D1600" t="s">
        <v>87</v>
      </c>
      <c r="E1600" t="s">
        <v>459</v>
      </c>
      <c r="F1600" t="s">
        <v>460</v>
      </c>
      <c r="G1600" t="s">
        <v>14</v>
      </c>
      <c r="H1600">
        <v>191</v>
      </c>
      <c r="I1600">
        <v>17.989999999999998</v>
      </c>
      <c r="J1600">
        <v>39.402999999999999</v>
      </c>
      <c r="K1600">
        <v>21.414000000000001</v>
      </c>
      <c r="L1600">
        <v>187</v>
      </c>
      <c r="M1600">
        <v>1</v>
      </c>
      <c r="N1600">
        <v>3</v>
      </c>
      <c r="O1600">
        <v>39.524999999999999</v>
      </c>
      <c r="P1600">
        <v>21.320390530000001</v>
      </c>
      <c r="Q1600">
        <v>8.1920000000000002</v>
      </c>
    </row>
    <row r="1601" spans="1:17" s="30" customFormat="1" x14ac:dyDescent="0.2">
      <c r="A1601" s="30" t="str">
        <f>IF(C1601&amp;G1601&amp;D1601&lt;&gt;'Funnel setup'!$K$3&amp;'Funnel setup'!$K$4&amp;'Funnel setup'!$K$5,".",IF(A1600=".",1,A1600+1))</f>
        <v>.</v>
      </c>
      <c r="B1601" s="431" t="str">
        <f t="shared" si="24"/>
        <v>Hip Replacement PrimaryCCG of GP PracticeNHS WEST SUFFOLK CCG (07K)Oxford Hip Score</v>
      </c>
      <c r="C1601" t="s">
        <v>248</v>
      </c>
      <c r="D1601" t="s">
        <v>87</v>
      </c>
      <c r="E1601" t="s">
        <v>462</v>
      </c>
      <c r="F1601" t="s">
        <v>463</v>
      </c>
      <c r="G1601" t="s">
        <v>14</v>
      </c>
      <c r="H1601">
        <v>257</v>
      </c>
      <c r="I1601">
        <v>17.914000000000001</v>
      </c>
      <c r="J1601">
        <v>39.677</v>
      </c>
      <c r="K1601">
        <v>21.763000000000002</v>
      </c>
      <c r="L1601">
        <v>251</v>
      </c>
      <c r="M1601">
        <v>1</v>
      </c>
      <c r="N1601">
        <v>5</v>
      </c>
      <c r="O1601">
        <v>39.468000000000004</v>
      </c>
      <c r="P1601">
        <v>21.26337161</v>
      </c>
      <c r="Q1601">
        <v>7.617</v>
      </c>
    </row>
    <row r="1602" spans="1:17" s="30" customFormat="1" x14ac:dyDescent="0.2">
      <c r="A1602" s="30" t="str">
        <f>IF(C1602&amp;G1602&amp;D1602&lt;&gt;'Funnel setup'!$K$3&amp;'Funnel setup'!$K$4&amp;'Funnel setup'!$K$5,".",IF(A1601=".",1,A1601+1))</f>
        <v>.</v>
      </c>
      <c r="B1602" s="431" t="str">
        <f t="shared" si="24"/>
        <v>Hip Replacement PrimaryCCG of GP PracticeNHS WIGAN BOROUGH CCG (02H)Oxford Hip Score</v>
      </c>
      <c r="C1602" t="s">
        <v>248</v>
      </c>
      <c r="D1602" t="s">
        <v>87</v>
      </c>
      <c r="E1602" t="s">
        <v>465</v>
      </c>
      <c r="F1602" t="s">
        <v>466</v>
      </c>
      <c r="G1602" t="s">
        <v>14</v>
      </c>
      <c r="H1602">
        <v>115</v>
      </c>
      <c r="I1602">
        <v>17.704000000000001</v>
      </c>
      <c r="J1602">
        <v>39.591000000000001</v>
      </c>
      <c r="K1602">
        <v>21.887</v>
      </c>
      <c r="L1602">
        <v>111</v>
      </c>
      <c r="M1602">
        <v>1</v>
      </c>
      <c r="N1602">
        <v>3</v>
      </c>
      <c r="O1602">
        <v>39.927</v>
      </c>
      <c r="P1602">
        <v>21.722505699999999</v>
      </c>
      <c r="Q1602">
        <v>8.0050000000000008</v>
      </c>
    </row>
    <row r="1603" spans="1:17" s="30" customFormat="1" x14ac:dyDescent="0.2">
      <c r="A1603" s="30" t="str">
        <f>IF(C1603&amp;G1603&amp;D1603&lt;&gt;'Funnel setup'!$K$3&amp;'Funnel setup'!$K$4&amp;'Funnel setup'!$K$5,".",IF(A1602=".",1,A1602+1))</f>
        <v>.</v>
      </c>
      <c r="B1603" s="431" t="str">
        <f t="shared" ref="B1603:B1666" si="25">C1603&amp;D1603&amp;F1603&amp;G1603</f>
        <v>Hip Replacement PrimaryCCG of GP PracticeNHS WILTSHIRE CCG (99N)Oxford Hip Score</v>
      </c>
      <c r="C1603" t="s">
        <v>248</v>
      </c>
      <c r="D1603" t="s">
        <v>87</v>
      </c>
      <c r="E1603" t="s">
        <v>468</v>
      </c>
      <c r="F1603" t="s">
        <v>469</v>
      </c>
      <c r="G1603" t="s">
        <v>14</v>
      </c>
      <c r="H1603">
        <v>571</v>
      </c>
      <c r="I1603">
        <v>18.391999999999999</v>
      </c>
      <c r="J1603">
        <v>40.881</v>
      </c>
      <c r="K1603">
        <v>22.489000000000001</v>
      </c>
      <c r="L1603">
        <v>561</v>
      </c>
      <c r="M1603">
        <v>2</v>
      </c>
      <c r="N1603">
        <v>8</v>
      </c>
      <c r="O1603">
        <v>40.517000000000003</v>
      </c>
      <c r="P1603">
        <v>22.312528660000002</v>
      </c>
      <c r="Q1603">
        <v>7.1280000000000001</v>
      </c>
    </row>
    <row r="1604" spans="1:17" s="30" customFormat="1" x14ac:dyDescent="0.2">
      <c r="A1604" s="30" t="str">
        <f>IF(C1604&amp;G1604&amp;D1604&lt;&gt;'Funnel setup'!$K$3&amp;'Funnel setup'!$K$4&amp;'Funnel setup'!$K$5,".",IF(A1603=".",1,A1603+1))</f>
        <v>.</v>
      </c>
      <c r="B1604" s="431" t="str">
        <f t="shared" si="25"/>
        <v>Hip Replacement PrimaryCCG of GP PracticeNHS WINDSOR, ASCOT AND MAIDENHEAD CCG (11C)Oxford Hip Score</v>
      </c>
      <c r="C1604" t="s">
        <v>248</v>
      </c>
      <c r="D1604" t="s">
        <v>87</v>
      </c>
      <c r="E1604" t="s">
        <v>471</v>
      </c>
      <c r="F1604" t="s">
        <v>472</v>
      </c>
      <c r="G1604" t="s">
        <v>14</v>
      </c>
      <c r="H1604">
        <v>86</v>
      </c>
      <c r="I1604">
        <v>18.337</v>
      </c>
      <c r="J1604">
        <v>38.814</v>
      </c>
      <c r="K1604">
        <v>20.477</v>
      </c>
      <c r="L1604">
        <v>84</v>
      </c>
      <c r="M1604">
        <v>1</v>
      </c>
      <c r="N1604">
        <v>1</v>
      </c>
      <c r="O1604">
        <v>38.363999999999997</v>
      </c>
      <c r="P1604">
        <v>20.159717700000002</v>
      </c>
      <c r="Q1604">
        <v>8.4689999999999994</v>
      </c>
    </row>
    <row r="1605" spans="1:17" s="30" customFormat="1" x14ac:dyDescent="0.2">
      <c r="A1605" s="30" t="str">
        <f>IF(C1605&amp;G1605&amp;D1605&lt;&gt;'Funnel setup'!$K$3&amp;'Funnel setup'!$K$4&amp;'Funnel setup'!$K$5,".",IF(A1604=".",1,A1604+1))</f>
        <v>.</v>
      </c>
      <c r="B1605" s="431" t="str">
        <f t="shared" si="25"/>
        <v>Hip Replacement PrimaryCCG of GP PracticeNHS WIRRAL CCG (12F)Oxford Hip Score</v>
      </c>
      <c r="C1605" t="s">
        <v>248</v>
      </c>
      <c r="D1605" t="s">
        <v>87</v>
      </c>
      <c r="E1605" t="s">
        <v>474</v>
      </c>
      <c r="F1605" t="s">
        <v>475</v>
      </c>
      <c r="G1605" t="s">
        <v>14</v>
      </c>
      <c r="H1605">
        <v>304</v>
      </c>
      <c r="I1605">
        <v>18.329000000000001</v>
      </c>
      <c r="J1605">
        <v>37.615000000000002</v>
      </c>
      <c r="K1605">
        <v>19.286000000000001</v>
      </c>
      <c r="L1605">
        <v>286</v>
      </c>
      <c r="M1605">
        <v>4</v>
      </c>
      <c r="N1605">
        <v>14</v>
      </c>
      <c r="O1605">
        <v>38.298999999999999</v>
      </c>
      <c r="P1605">
        <v>20.094365230000001</v>
      </c>
      <c r="Q1605">
        <v>8.8829999999999991</v>
      </c>
    </row>
    <row r="1606" spans="1:17" s="30" customFormat="1" x14ac:dyDescent="0.2">
      <c r="A1606" s="30" t="str">
        <f>IF(C1606&amp;G1606&amp;D1606&lt;&gt;'Funnel setup'!$K$3&amp;'Funnel setup'!$K$4&amp;'Funnel setup'!$K$5,".",IF(A1605=".",1,A1605+1))</f>
        <v>.</v>
      </c>
      <c r="B1606" s="431" t="str">
        <f t="shared" si="25"/>
        <v>Hip Replacement PrimaryCCG of GP PracticeNHS WOKINGHAM CCG (11D)Oxford Hip Score</v>
      </c>
      <c r="C1606" t="s">
        <v>248</v>
      </c>
      <c r="D1606" t="s">
        <v>87</v>
      </c>
      <c r="E1606" t="s">
        <v>477</v>
      </c>
      <c r="F1606" t="s">
        <v>478</v>
      </c>
      <c r="G1606" t="s">
        <v>14</v>
      </c>
      <c r="H1606">
        <v>112</v>
      </c>
      <c r="I1606">
        <v>21.116</v>
      </c>
      <c r="J1606">
        <v>43.125</v>
      </c>
      <c r="K1606">
        <v>22.009</v>
      </c>
      <c r="L1606">
        <v>109</v>
      </c>
      <c r="M1606">
        <v>0</v>
      </c>
      <c r="N1606">
        <v>3</v>
      </c>
      <c r="O1606">
        <v>40.945999999999998</v>
      </c>
      <c r="P1606">
        <v>22.74104608</v>
      </c>
      <c r="Q1606">
        <v>5.9020000000000001</v>
      </c>
    </row>
    <row r="1607" spans="1:17" s="30" customFormat="1" x14ac:dyDescent="0.2">
      <c r="A1607" s="30" t="str">
        <f>IF(C1607&amp;G1607&amp;D1607&lt;&gt;'Funnel setup'!$K$3&amp;'Funnel setup'!$K$4&amp;'Funnel setup'!$K$5,".",IF(A1606=".",1,A1606+1))</f>
        <v>.</v>
      </c>
      <c r="B1607" s="431" t="str">
        <f t="shared" si="25"/>
        <v>Hip Replacement PrimaryCCG of GP PracticeNHS WOLVERHAMPTON CCG (06A)Oxford Hip Score</v>
      </c>
      <c r="C1607" t="s">
        <v>248</v>
      </c>
      <c r="D1607" t="s">
        <v>87</v>
      </c>
      <c r="E1607" t="s">
        <v>480</v>
      </c>
      <c r="F1607" t="s">
        <v>481</v>
      </c>
      <c r="G1607" t="s">
        <v>14</v>
      </c>
      <c r="H1607">
        <v>153</v>
      </c>
      <c r="I1607">
        <v>17.385999999999999</v>
      </c>
      <c r="J1607">
        <v>38.255000000000003</v>
      </c>
      <c r="K1607">
        <v>20.869</v>
      </c>
      <c r="L1607">
        <v>148</v>
      </c>
      <c r="M1607">
        <v>0</v>
      </c>
      <c r="N1607">
        <v>5</v>
      </c>
      <c r="O1607">
        <v>39.719000000000001</v>
      </c>
      <c r="P1607">
        <v>21.514357990000001</v>
      </c>
      <c r="Q1607">
        <v>8.0050000000000008</v>
      </c>
    </row>
    <row r="1608" spans="1:17" s="30" customFormat="1" x14ac:dyDescent="0.2">
      <c r="A1608" s="30" t="str">
        <f>IF(C1608&amp;G1608&amp;D1608&lt;&gt;'Funnel setup'!$K$3&amp;'Funnel setup'!$K$4&amp;'Funnel setup'!$K$5,".",IF(A1607=".",1,A1607+1))</f>
        <v>.</v>
      </c>
      <c r="B1608" s="431" t="str">
        <f t="shared" si="25"/>
        <v>Hip Replacement PrimaryCCG of GP PracticeNHS WYRE FOREST CCG (06D)Oxford Hip Score</v>
      </c>
      <c r="C1608" t="s">
        <v>248</v>
      </c>
      <c r="D1608" t="s">
        <v>87</v>
      </c>
      <c r="E1608" t="s">
        <v>483</v>
      </c>
      <c r="F1608" t="s">
        <v>484</v>
      </c>
      <c r="G1608" t="s">
        <v>14</v>
      </c>
      <c r="H1608">
        <v>85</v>
      </c>
      <c r="I1608">
        <v>17.975999999999999</v>
      </c>
      <c r="J1608">
        <v>41.564999999999998</v>
      </c>
      <c r="K1608">
        <v>23.588000000000001</v>
      </c>
      <c r="L1608">
        <v>81</v>
      </c>
      <c r="M1608">
        <v>0</v>
      </c>
      <c r="N1608">
        <v>4</v>
      </c>
      <c r="O1608">
        <v>42.13</v>
      </c>
      <c r="P1608">
        <v>23.92586275</v>
      </c>
      <c r="Q1608">
        <v>8.2100000000000009</v>
      </c>
    </row>
    <row r="1609" spans="1:17" s="30" customFormat="1" x14ac:dyDescent="0.2">
      <c r="A1609" s="30" t="str">
        <f>IF(C1609&amp;G1609&amp;D1609&lt;&gt;'Funnel setup'!$K$3&amp;'Funnel setup'!$K$4&amp;'Funnel setup'!$K$5,".",IF(A1608=".",1,A1608+1))</f>
        <v>.</v>
      </c>
      <c r="B1609" s="431" t="str">
        <f t="shared" si="25"/>
        <v>Hip Replacement PrimaryEnglandEnglandEQ VAS</v>
      </c>
      <c r="C1609" t="s">
        <v>248</v>
      </c>
      <c r="D1609" t="s">
        <v>163</v>
      </c>
      <c r="E1609" t="s">
        <v>163</v>
      </c>
      <c r="F1609" t="s">
        <v>163</v>
      </c>
      <c r="G1609" t="s">
        <v>179</v>
      </c>
      <c r="H1609">
        <v>34129</v>
      </c>
      <c r="I1609">
        <v>65.504000000000005</v>
      </c>
      <c r="J1609">
        <v>77.459000000000003</v>
      </c>
      <c r="K1609">
        <v>11.955</v>
      </c>
      <c r="L1609">
        <v>22548</v>
      </c>
      <c r="M1609">
        <v>3798</v>
      </c>
      <c r="N1609">
        <v>7783</v>
      </c>
      <c r="O1609">
        <v>77.459000000000003</v>
      </c>
      <c r="P1609">
        <v>11.954964990000001</v>
      </c>
      <c r="Q1609">
        <v>15.611000000000001</v>
      </c>
    </row>
    <row r="1610" spans="1:17" s="30" customFormat="1" x14ac:dyDescent="0.2">
      <c r="A1610" s="30" t="str">
        <f>IF(C1610&amp;G1610&amp;D1610&lt;&gt;'Funnel setup'!$K$3&amp;'Funnel setup'!$K$4&amp;'Funnel setup'!$K$5,".",IF(A1609=".",1,A1609+1))</f>
        <v>.</v>
      </c>
      <c r="B1610" s="431" t="str">
        <f t="shared" si="25"/>
        <v>Hip Replacement PrimaryEnglandEnglandEQ-5D Index</v>
      </c>
      <c r="C1610" t="s">
        <v>248</v>
      </c>
      <c r="D1610" t="s">
        <v>163</v>
      </c>
      <c r="E1610" t="s">
        <v>163</v>
      </c>
      <c r="F1610" t="s">
        <v>163</v>
      </c>
      <c r="G1610" t="s">
        <v>52</v>
      </c>
      <c r="H1610">
        <v>35825</v>
      </c>
      <c r="I1610">
        <v>0.36199999999999999</v>
      </c>
      <c r="J1610">
        <v>0.79800000000000004</v>
      </c>
      <c r="K1610">
        <v>0.437</v>
      </c>
      <c r="L1610">
        <v>32092</v>
      </c>
      <c r="M1610">
        <v>1962</v>
      </c>
      <c r="N1610">
        <v>1771</v>
      </c>
      <c r="O1610">
        <v>0.79800000000000004</v>
      </c>
      <c r="P1610">
        <v>0.43664440999999998</v>
      </c>
      <c r="Q1610">
        <v>0.218</v>
      </c>
    </row>
    <row r="1611" spans="1:17" x14ac:dyDescent="0.2">
      <c r="A1611" s="30" t="str">
        <f>IF(C1611&amp;G1611&amp;D1611&lt;&gt;'Funnel setup'!$K$3&amp;'Funnel setup'!$K$4&amp;'Funnel setup'!$K$5,".",IF(A1610=".",1,A1610+1))</f>
        <v>.</v>
      </c>
      <c r="B1611" s="431" t="str">
        <f t="shared" si="25"/>
        <v>Hip Replacement PrimaryEnglandEnglandOxford Hip Score</v>
      </c>
      <c r="C1611" t="s">
        <v>248</v>
      </c>
      <c r="D1611" t="s">
        <v>163</v>
      </c>
      <c r="E1611" t="s">
        <v>163</v>
      </c>
      <c r="F1611" t="s">
        <v>163</v>
      </c>
      <c r="G1611" t="s">
        <v>14</v>
      </c>
      <c r="H1611">
        <v>38709</v>
      </c>
      <c r="I1611">
        <v>18.204999999999998</v>
      </c>
      <c r="J1611">
        <v>39.658999999999999</v>
      </c>
      <c r="K1611">
        <v>21.454999999999998</v>
      </c>
      <c r="L1611">
        <v>37678</v>
      </c>
      <c r="M1611">
        <v>180</v>
      </c>
      <c r="N1611">
        <v>851</v>
      </c>
      <c r="O1611">
        <v>39.658999999999999</v>
      </c>
      <c r="P1611">
        <v>21.454777960000001</v>
      </c>
      <c r="Q1611">
        <v>7.8419999999999996</v>
      </c>
    </row>
    <row r="1612" spans="1:17" x14ac:dyDescent="0.2">
      <c r="A1612" s="30" t="str">
        <f>IF(C1612&amp;G1612&amp;D1612&lt;&gt;'Funnel setup'!$K$3&amp;'Funnel setup'!$K$4&amp;'Funnel setup'!$K$5,".",IF(A1611=".",1,A1611+1))</f>
        <v>.</v>
      </c>
      <c r="B1612" s="431" t="str">
        <f t="shared" si="25"/>
        <v>Hip Replacement PrimaryProviderAINTREE UNIVERSITY HOSPITAL NHS FOUNDATION TRUST (REM)EQ VAS</v>
      </c>
      <c r="C1612" t="s">
        <v>248</v>
      </c>
      <c r="D1612" t="s">
        <v>1</v>
      </c>
      <c r="E1612" t="s">
        <v>3838</v>
      </c>
      <c r="F1612" t="s">
        <v>3839</v>
      </c>
      <c r="G1612" t="s">
        <v>179</v>
      </c>
      <c r="H1612">
        <v>98</v>
      </c>
      <c r="I1612">
        <v>62.112000000000002</v>
      </c>
      <c r="J1612">
        <v>70.867000000000004</v>
      </c>
      <c r="K1612">
        <v>8.7550000000000008</v>
      </c>
      <c r="L1612">
        <v>58</v>
      </c>
      <c r="M1612">
        <v>9</v>
      </c>
      <c r="N1612">
        <v>31</v>
      </c>
      <c r="O1612">
        <v>74.771000000000001</v>
      </c>
      <c r="P1612">
        <v>9.2667397820000001</v>
      </c>
      <c r="Q1612">
        <v>21.542999999999999</v>
      </c>
    </row>
    <row r="1613" spans="1:17" x14ac:dyDescent="0.2">
      <c r="A1613" s="30" t="str">
        <f>IF(C1613&amp;G1613&amp;D1613&lt;&gt;'Funnel setup'!$K$3&amp;'Funnel setup'!$K$4&amp;'Funnel setup'!$K$5,".",IF(A1612=".",1,A1612+1))</f>
        <v>.</v>
      </c>
      <c r="B1613" s="431" t="str">
        <f t="shared" si="25"/>
        <v>Hip Replacement PrimaryProviderAIREDALE NHS FOUNDATION TRUST (RCF)EQ VAS</v>
      </c>
      <c r="C1613" t="s">
        <v>248</v>
      </c>
      <c r="D1613" t="s">
        <v>1</v>
      </c>
      <c r="E1613" t="s">
        <v>3841</v>
      </c>
      <c r="F1613" t="s">
        <v>3842</v>
      </c>
      <c r="G1613" t="s">
        <v>179</v>
      </c>
      <c r="H1613">
        <v>139</v>
      </c>
      <c r="I1613">
        <v>63.798999999999999</v>
      </c>
      <c r="J1613">
        <v>78.108000000000004</v>
      </c>
      <c r="K1613">
        <v>14.308999999999999</v>
      </c>
      <c r="L1613">
        <v>103</v>
      </c>
      <c r="M1613">
        <v>14</v>
      </c>
      <c r="N1613">
        <v>22</v>
      </c>
      <c r="O1613">
        <v>78.72</v>
      </c>
      <c r="P1613">
        <v>13.21549313</v>
      </c>
      <c r="Q1613">
        <v>13.568</v>
      </c>
    </row>
    <row r="1614" spans="1:17" x14ac:dyDescent="0.2">
      <c r="A1614" s="30" t="str">
        <f>IF(C1614&amp;G1614&amp;D1614&lt;&gt;'Funnel setup'!$K$3&amp;'Funnel setup'!$K$4&amp;'Funnel setup'!$K$5,".",IF(A1613=".",1,A1613+1))</f>
        <v>.</v>
      </c>
      <c r="B1614" s="431" t="str">
        <f t="shared" si="25"/>
        <v>Hip Replacement PrimaryProviderASHFORD AND ST PETER'S HOSPITALS NHS FOUNDATION TRUST (RTK)EQ VAS</v>
      </c>
      <c r="C1614" t="s">
        <v>248</v>
      </c>
      <c r="D1614" t="s">
        <v>1</v>
      </c>
      <c r="E1614" t="s">
        <v>3844</v>
      </c>
      <c r="F1614" t="s">
        <v>345</v>
      </c>
      <c r="G1614" t="s">
        <v>179</v>
      </c>
      <c r="H1614">
        <v>233</v>
      </c>
      <c r="I1614">
        <v>68.215000000000003</v>
      </c>
      <c r="J1614">
        <v>80.025999999999996</v>
      </c>
      <c r="K1614">
        <v>11.811</v>
      </c>
      <c r="L1614">
        <v>156</v>
      </c>
      <c r="M1614">
        <v>38</v>
      </c>
      <c r="N1614">
        <v>39</v>
      </c>
      <c r="O1614">
        <v>78.77</v>
      </c>
      <c r="P1614">
        <v>13.26531634</v>
      </c>
      <c r="Q1614">
        <v>13.664</v>
      </c>
    </row>
    <row r="1615" spans="1:17" x14ac:dyDescent="0.2">
      <c r="A1615" s="30" t="str">
        <f>IF(C1615&amp;G1615&amp;D1615&lt;&gt;'Funnel setup'!$K$3&amp;'Funnel setup'!$K$4&amp;'Funnel setup'!$K$5,".",IF(A1614=".",1,A1614+1))</f>
        <v>.</v>
      </c>
      <c r="B1615" s="431" t="str">
        <f t="shared" si="25"/>
        <v>Hip Replacement PrimaryProviderASHTEAD HOSPITAL (NVC01)EQ VAS</v>
      </c>
      <c r="C1615" t="s">
        <v>248</v>
      </c>
      <c r="D1615" t="s">
        <v>1</v>
      </c>
      <c r="E1615" t="s">
        <v>3846</v>
      </c>
      <c r="F1615" t="s">
        <v>3847</v>
      </c>
      <c r="G1615" t="s">
        <v>179</v>
      </c>
      <c r="H1615">
        <v>54</v>
      </c>
      <c r="I1615">
        <v>66.13</v>
      </c>
      <c r="J1615">
        <v>77.37</v>
      </c>
      <c r="K1615">
        <v>11.241</v>
      </c>
      <c r="L1615">
        <v>39</v>
      </c>
      <c r="M1615">
        <v>8</v>
      </c>
      <c r="N1615">
        <v>7</v>
      </c>
      <c r="O1615">
        <v>73.938999999999993</v>
      </c>
      <c r="P1615">
        <v>8.434661384</v>
      </c>
      <c r="Q1615">
        <v>19.053999999999998</v>
      </c>
    </row>
    <row r="1616" spans="1:17" x14ac:dyDescent="0.2">
      <c r="A1616" s="30" t="str">
        <f>IF(C1616&amp;G1616&amp;D1616&lt;&gt;'Funnel setup'!$K$3&amp;'Funnel setup'!$K$4&amp;'Funnel setup'!$K$5,".",IF(A1615=".",1,A1615+1))</f>
        <v>.</v>
      </c>
      <c r="B1616" s="431" t="str">
        <f t="shared" si="25"/>
        <v>Hip Replacement PrimaryProviderASPEN - CLAREMONT HOSPITAL (NYW04)EQ VAS</v>
      </c>
      <c r="C1616" t="s">
        <v>248</v>
      </c>
      <c r="D1616" t="s">
        <v>1</v>
      </c>
      <c r="E1616" t="s">
        <v>3500</v>
      </c>
      <c r="F1616" t="s">
        <v>3501</v>
      </c>
      <c r="G1616" t="s">
        <v>179</v>
      </c>
      <c r="H1616">
        <v>57</v>
      </c>
      <c r="I1616">
        <v>67.316000000000003</v>
      </c>
      <c r="J1616">
        <v>80.491</v>
      </c>
      <c r="K1616">
        <v>13.175000000000001</v>
      </c>
      <c r="L1616">
        <v>39</v>
      </c>
      <c r="M1616">
        <v>10</v>
      </c>
      <c r="N1616">
        <v>8</v>
      </c>
      <c r="O1616">
        <v>78.331999999999994</v>
      </c>
      <c r="P1616">
        <v>12.82807296</v>
      </c>
      <c r="Q1616">
        <v>9.7829999999999995</v>
      </c>
    </row>
    <row r="1617" spans="1:17" x14ac:dyDescent="0.2">
      <c r="A1617" s="30" t="str">
        <f>IF(C1617&amp;G1617&amp;D1617&lt;&gt;'Funnel setup'!$K$3&amp;'Funnel setup'!$K$4&amp;'Funnel setup'!$K$5,".",IF(A1616=".",1,A1616+1))</f>
        <v>.</v>
      </c>
      <c r="B1617" s="431" t="str">
        <f t="shared" si="25"/>
        <v>Hip Replacement PrimaryProviderASPEN - HOLLY HOUSE HOSPITAL (NYW01)EQ VAS</v>
      </c>
      <c r="C1617" t="s">
        <v>248</v>
      </c>
      <c r="D1617" t="s">
        <v>1</v>
      </c>
      <c r="E1617" t="s">
        <v>3506</v>
      </c>
      <c r="F1617" t="s">
        <v>3507</v>
      </c>
      <c r="G1617" t="s">
        <v>179</v>
      </c>
      <c r="H1617">
        <v>17</v>
      </c>
      <c r="I1617">
        <v>71.234999999999999</v>
      </c>
      <c r="J1617">
        <v>75.823999999999998</v>
      </c>
      <c r="K1617">
        <v>4.5880000000000001</v>
      </c>
      <c r="L1617">
        <v>7</v>
      </c>
      <c r="M1617">
        <v>4</v>
      </c>
      <c r="N1617">
        <v>6</v>
      </c>
      <c r="O1617" t="s">
        <v>53</v>
      </c>
      <c r="P1617" t="s">
        <v>53</v>
      </c>
      <c r="Q1617" t="s">
        <v>53</v>
      </c>
    </row>
    <row r="1618" spans="1:17" x14ac:dyDescent="0.2">
      <c r="A1618" s="30" t="str">
        <f>IF(C1618&amp;G1618&amp;D1618&lt;&gt;'Funnel setup'!$K$3&amp;'Funnel setup'!$K$4&amp;'Funnel setup'!$K$5,".",IF(A1617=".",1,A1617+1))</f>
        <v>.</v>
      </c>
      <c r="B1618" s="431" t="str">
        <f t="shared" si="25"/>
        <v>Hip Replacement PrimaryProviderBARKING, HAVERING AND REDBRIDGE UNIVERSITY HOSPITALS NHS TRUST (RF4)EQ VAS</v>
      </c>
      <c r="C1618" t="s">
        <v>248</v>
      </c>
      <c r="D1618" t="s">
        <v>1</v>
      </c>
      <c r="E1618" t="s">
        <v>3509</v>
      </c>
      <c r="F1618" t="s">
        <v>3510</v>
      </c>
      <c r="G1618" t="s">
        <v>179</v>
      </c>
      <c r="H1618">
        <v>49</v>
      </c>
      <c r="I1618">
        <v>60.713999999999999</v>
      </c>
      <c r="J1618">
        <v>69.856999999999999</v>
      </c>
      <c r="K1618">
        <v>9.1430000000000007</v>
      </c>
      <c r="L1618">
        <v>29</v>
      </c>
      <c r="M1618">
        <v>4</v>
      </c>
      <c r="N1618">
        <v>16</v>
      </c>
      <c r="O1618">
        <v>74.42</v>
      </c>
      <c r="P1618">
        <v>8.9160943380000006</v>
      </c>
      <c r="Q1618">
        <v>14.058</v>
      </c>
    </row>
    <row r="1619" spans="1:17" x14ac:dyDescent="0.2">
      <c r="A1619" s="30" t="str">
        <f>IF(C1619&amp;G1619&amp;D1619&lt;&gt;'Funnel setup'!$K$3&amp;'Funnel setup'!$K$4&amp;'Funnel setup'!$K$5,".",IF(A1618=".",1,A1618+1))</f>
        <v>.</v>
      </c>
      <c r="B1619" s="431" t="str">
        <f t="shared" si="25"/>
        <v>Hip Replacement PrimaryProviderBARLBOROUGH NHS TREATMENT CENTRE (NTP13)EQ VAS</v>
      </c>
      <c r="C1619" t="s">
        <v>248</v>
      </c>
      <c r="D1619" t="s">
        <v>1</v>
      </c>
      <c r="E1619" t="s">
        <v>4425</v>
      </c>
      <c r="F1619" t="s">
        <v>4426</v>
      </c>
      <c r="G1619" t="s">
        <v>179</v>
      </c>
      <c r="H1619">
        <v>324</v>
      </c>
      <c r="I1619">
        <v>69.238</v>
      </c>
      <c r="J1619">
        <v>79.491</v>
      </c>
      <c r="K1619">
        <v>10.253</v>
      </c>
      <c r="L1619">
        <v>206</v>
      </c>
      <c r="M1619">
        <v>32</v>
      </c>
      <c r="N1619">
        <v>86</v>
      </c>
      <c r="O1619">
        <v>77.265000000000001</v>
      </c>
      <c r="P1619">
        <v>11.761095920000001</v>
      </c>
      <c r="Q1619">
        <v>15.327999999999999</v>
      </c>
    </row>
    <row r="1620" spans="1:17" x14ac:dyDescent="0.2">
      <c r="A1620" s="30" t="str">
        <f>IF(C1620&amp;G1620&amp;D1620&lt;&gt;'Funnel setup'!$K$3&amp;'Funnel setup'!$K$4&amp;'Funnel setup'!$K$5,".",IF(A1619=".",1,A1619+1))</f>
        <v>.</v>
      </c>
      <c r="B1620" s="431" t="str">
        <f t="shared" si="25"/>
        <v>Hip Replacement PrimaryProviderBARNSLEY HOSPITAL NHS FOUNDATION TRUST (RFF)EQ VAS</v>
      </c>
      <c r="C1620" t="s">
        <v>248</v>
      </c>
      <c r="D1620" t="s">
        <v>1</v>
      </c>
      <c r="E1620" t="s">
        <v>3549</v>
      </c>
      <c r="F1620" t="s">
        <v>3550</v>
      </c>
      <c r="G1620" t="s">
        <v>179</v>
      </c>
      <c r="H1620">
        <v>96</v>
      </c>
      <c r="I1620">
        <v>53.582999999999998</v>
      </c>
      <c r="J1620">
        <v>71.260000000000005</v>
      </c>
      <c r="K1620">
        <v>17.677</v>
      </c>
      <c r="L1620">
        <v>66</v>
      </c>
      <c r="M1620">
        <v>10</v>
      </c>
      <c r="N1620">
        <v>20</v>
      </c>
      <c r="O1620">
        <v>74.984999999999999</v>
      </c>
      <c r="P1620">
        <v>9.4811451600000005</v>
      </c>
      <c r="Q1620">
        <v>18.760000000000002</v>
      </c>
    </row>
    <row r="1621" spans="1:17" x14ac:dyDescent="0.2">
      <c r="A1621" s="30" t="str">
        <f>IF(C1621&amp;G1621&amp;D1621&lt;&gt;'Funnel setup'!$K$3&amp;'Funnel setup'!$K$4&amp;'Funnel setup'!$K$5,".",IF(A1620=".",1,A1620+1))</f>
        <v>.</v>
      </c>
      <c r="B1621" s="431" t="str">
        <f t="shared" si="25"/>
        <v>Hip Replacement PrimaryProviderBARTS HEALTH NHS TRUST (R1H)EQ VAS</v>
      </c>
      <c r="C1621" t="s">
        <v>248</v>
      </c>
      <c r="D1621" t="s">
        <v>1</v>
      </c>
      <c r="E1621" t="s">
        <v>3552</v>
      </c>
      <c r="F1621" t="s">
        <v>3553</v>
      </c>
      <c r="G1621" t="s">
        <v>179</v>
      </c>
      <c r="H1621">
        <v>135</v>
      </c>
      <c r="I1621">
        <v>57.97</v>
      </c>
      <c r="J1621">
        <v>74.266999999999996</v>
      </c>
      <c r="K1621">
        <v>16.295999999999999</v>
      </c>
      <c r="L1621">
        <v>96</v>
      </c>
      <c r="M1621">
        <v>11</v>
      </c>
      <c r="N1621">
        <v>28</v>
      </c>
      <c r="O1621">
        <v>78.789000000000001</v>
      </c>
      <c r="P1621">
        <v>13.285151190000001</v>
      </c>
      <c r="Q1621">
        <v>16.859000000000002</v>
      </c>
    </row>
    <row r="1622" spans="1:17" x14ac:dyDescent="0.2">
      <c r="A1622" s="30" t="str">
        <f>IF(C1622&amp;G1622&amp;D1622&lt;&gt;'Funnel setup'!$K$3&amp;'Funnel setup'!$K$4&amp;'Funnel setup'!$K$5,".",IF(A1621=".",1,A1621+1))</f>
        <v>.</v>
      </c>
      <c r="B1622" s="431" t="str">
        <f t="shared" si="25"/>
        <v>Hip Replacement PrimaryProviderBASILDON AND THURROCK UNIVERSITY HOSPITALS NHS FOUNDATION TRUST (RDD)EQ VAS</v>
      </c>
      <c r="C1622" t="s">
        <v>248</v>
      </c>
      <c r="D1622" t="s">
        <v>1</v>
      </c>
      <c r="E1622" t="s">
        <v>3555</v>
      </c>
      <c r="F1622" t="s">
        <v>3556</v>
      </c>
      <c r="G1622" t="s">
        <v>179</v>
      </c>
      <c r="H1622">
        <v>107</v>
      </c>
      <c r="I1622">
        <v>60.075000000000003</v>
      </c>
      <c r="J1622">
        <v>76.251999999999995</v>
      </c>
      <c r="K1622">
        <v>16.178000000000001</v>
      </c>
      <c r="L1622">
        <v>77</v>
      </c>
      <c r="M1622">
        <v>8</v>
      </c>
      <c r="N1622">
        <v>22</v>
      </c>
      <c r="O1622">
        <v>78.881</v>
      </c>
      <c r="P1622">
        <v>13.37684984</v>
      </c>
      <c r="Q1622">
        <v>16.59</v>
      </c>
    </row>
    <row r="1623" spans="1:17" x14ac:dyDescent="0.2">
      <c r="A1623" s="30" t="str">
        <f>IF(C1623&amp;G1623&amp;D1623&lt;&gt;'Funnel setup'!$K$3&amp;'Funnel setup'!$K$4&amp;'Funnel setup'!$K$5,".",IF(A1622=".",1,A1622+1))</f>
        <v>.</v>
      </c>
      <c r="B1623" s="431" t="str">
        <f t="shared" si="25"/>
        <v>Hip Replacement PrimaryProviderBEDFORD HOSPITAL NHS TRUST (RC1)EQ VAS</v>
      </c>
      <c r="C1623" t="s">
        <v>248</v>
      </c>
      <c r="D1623" t="s">
        <v>1</v>
      </c>
      <c r="E1623" t="s">
        <v>3558</v>
      </c>
      <c r="F1623" t="s">
        <v>3559</v>
      </c>
      <c r="G1623" t="s">
        <v>179</v>
      </c>
      <c r="H1623">
        <v>119</v>
      </c>
      <c r="I1623">
        <v>66.260999999999996</v>
      </c>
      <c r="J1623">
        <v>75.688999999999993</v>
      </c>
      <c r="K1623">
        <v>9.4290000000000003</v>
      </c>
      <c r="L1623">
        <v>79</v>
      </c>
      <c r="M1623">
        <v>10</v>
      </c>
      <c r="N1623">
        <v>30</v>
      </c>
      <c r="O1623">
        <v>75.680999999999997</v>
      </c>
      <c r="P1623">
        <v>10.176299609999999</v>
      </c>
      <c r="Q1623">
        <v>15.475</v>
      </c>
    </row>
    <row r="1624" spans="1:17" x14ac:dyDescent="0.2">
      <c r="A1624" s="30" t="str">
        <f>IF(C1624&amp;G1624&amp;D1624&lt;&gt;'Funnel setup'!$K$3&amp;'Funnel setup'!$K$4&amp;'Funnel setup'!$K$5,".",IF(A1623=".",1,A1623+1))</f>
        <v>.</v>
      </c>
      <c r="B1624" s="431" t="str">
        <f t="shared" si="25"/>
        <v>Hip Replacement PrimaryProviderBENENDEN HOSPITAL (NWF01)EQ VAS</v>
      </c>
      <c r="C1624" t="s">
        <v>248</v>
      </c>
      <c r="D1624" t="s">
        <v>1</v>
      </c>
      <c r="E1624" t="s">
        <v>4428</v>
      </c>
      <c r="F1624" t="s">
        <v>4429</v>
      </c>
      <c r="G1624" t="s">
        <v>179</v>
      </c>
      <c r="H1624">
        <v>25</v>
      </c>
      <c r="I1624">
        <v>71.52</v>
      </c>
      <c r="J1624">
        <v>80</v>
      </c>
      <c r="K1624">
        <v>8.48</v>
      </c>
      <c r="L1624">
        <v>14</v>
      </c>
      <c r="M1624">
        <v>3</v>
      </c>
      <c r="N1624">
        <v>8</v>
      </c>
      <c r="O1624" t="s">
        <v>53</v>
      </c>
      <c r="P1624" t="s">
        <v>53</v>
      </c>
      <c r="Q1624" t="s">
        <v>53</v>
      </c>
    </row>
    <row r="1625" spans="1:17" x14ac:dyDescent="0.2">
      <c r="A1625" s="30" t="str">
        <f>IF(C1625&amp;G1625&amp;D1625&lt;&gt;'Funnel setup'!$K$3&amp;'Funnel setup'!$K$4&amp;'Funnel setup'!$K$5,".",IF(A1624=".",1,A1624+1))</f>
        <v>.</v>
      </c>
      <c r="B1625" s="431" t="str">
        <f t="shared" si="25"/>
        <v>Hip Replacement PrimaryProviderBLACKPOOL TEACHING HOSPITALS NHS FOUNDATION TRUST (RXL)EQ VAS</v>
      </c>
      <c r="C1625" t="s">
        <v>248</v>
      </c>
      <c r="D1625" t="s">
        <v>1</v>
      </c>
      <c r="E1625" t="s">
        <v>3561</v>
      </c>
      <c r="F1625" t="s">
        <v>3562</v>
      </c>
      <c r="G1625" t="s">
        <v>179</v>
      </c>
      <c r="H1625">
        <v>10</v>
      </c>
      <c r="I1625">
        <v>65.5</v>
      </c>
      <c r="J1625">
        <v>76.3</v>
      </c>
      <c r="K1625">
        <v>10.8</v>
      </c>
      <c r="L1625">
        <v>5</v>
      </c>
      <c r="M1625">
        <v>1</v>
      </c>
      <c r="N1625">
        <v>4</v>
      </c>
      <c r="O1625" t="s">
        <v>53</v>
      </c>
      <c r="P1625" t="s">
        <v>53</v>
      </c>
      <c r="Q1625" t="s">
        <v>53</v>
      </c>
    </row>
    <row r="1626" spans="1:17" x14ac:dyDescent="0.2">
      <c r="A1626" s="30" t="str">
        <f>IF(C1626&amp;G1626&amp;D1626&lt;&gt;'Funnel setup'!$K$3&amp;'Funnel setup'!$K$4&amp;'Funnel setup'!$K$5,".",IF(A1625=".",1,A1625+1))</f>
        <v>.</v>
      </c>
      <c r="B1626" s="431" t="str">
        <f t="shared" si="25"/>
        <v>Hip Replacement PrimaryProviderBMI - BATH CLINIC (NT402)EQ VAS</v>
      </c>
      <c r="C1626" t="s">
        <v>248</v>
      </c>
      <c r="D1626" t="s">
        <v>1</v>
      </c>
      <c r="E1626" t="s">
        <v>3488</v>
      </c>
      <c r="F1626" t="s">
        <v>3489</v>
      </c>
      <c r="G1626" t="s">
        <v>179</v>
      </c>
      <c r="H1626">
        <v>55</v>
      </c>
      <c r="I1626">
        <v>67.308999999999997</v>
      </c>
      <c r="J1626">
        <v>82.018000000000001</v>
      </c>
      <c r="K1626">
        <v>14.709</v>
      </c>
      <c r="L1626">
        <v>43</v>
      </c>
      <c r="M1626">
        <v>5</v>
      </c>
      <c r="N1626">
        <v>7</v>
      </c>
      <c r="O1626">
        <v>79.281999999999996</v>
      </c>
      <c r="P1626">
        <v>13.778073940000001</v>
      </c>
      <c r="Q1626">
        <v>14.371</v>
      </c>
    </row>
    <row r="1627" spans="1:17" x14ac:dyDescent="0.2">
      <c r="A1627" s="30" t="str">
        <f>IF(C1627&amp;G1627&amp;D1627&lt;&gt;'Funnel setup'!$K$3&amp;'Funnel setup'!$K$4&amp;'Funnel setup'!$K$5,".",IF(A1626=".",1,A1626+1))</f>
        <v>.</v>
      </c>
      <c r="B1627" s="431" t="str">
        <f t="shared" si="25"/>
        <v>Hip Replacement PrimaryProviderBMI - BISHOPS WOOD (NT405)EQ VAS</v>
      </c>
      <c r="C1627" t="s">
        <v>248</v>
      </c>
      <c r="D1627" t="s">
        <v>1</v>
      </c>
      <c r="E1627" t="s">
        <v>3491</v>
      </c>
      <c r="F1627" t="s">
        <v>3492</v>
      </c>
      <c r="G1627" t="s">
        <v>179</v>
      </c>
      <c r="H1627">
        <v>14</v>
      </c>
      <c r="I1627">
        <v>73.213999999999999</v>
      </c>
      <c r="J1627">
        <v>80.713999999999999</v>
      </c>
      <c r="K1627">
        <v>7.5</v>
      </c>
      <c r="L1627">
        <v>7</v>
      </c>
      <c r="M1627">
        <v>5</v>
      </c>
      <c r="N1627">
        <v>2</v>
      </c>
      <c r="O1627" t="s">
        <v>53</v>
      </c>
      <c r="P1627" t="s">
        <v>53</v>
      </c>
      <c r="Q1627" t="s">
        <v>53</v>
      </c>
    </row>
    <row r="1628" spans="1:17" x14ac:dyDescent="0.2">
      <c r="A1628" s="30" t="str">
        <f>IF(C1628&amp;G1628&amp;D1628&lt;&gt;'Funnel setup'!$K$3&amp;'Funnel setup'!$K$4&amp;'Funnel setup'!$K$5,".",IF(A1627=".",1,A1627+1))</f>
        <v>.</v>
      </c>
      <c r="B1628" s="431" t="str">
        <f t="shared" si="25"/>
        <v>Hip Replacement PrimaryProviderBMI - CHELSFIELD PARK HOSPITAL (NT409)EQ VAS</v>
      </c>
      <c r="C1628" t="s">
        <v>248</v>
      </c>
      <c r="D1628" t="s">
        <v>1</v>
      </c>
      <c r="E1628" t="s">
        <v>3494</v>
      </c>
      <c r="F1628" t="s">
        <v>3495</v>
      </c>
      <c r="G1628" t="s">
        <v>179</v>
      </c>
      <c r="H1628">
        <v>12</v>
      </c>
      <c r="I1628">
        <v>75.832999999999998</v>
      </c>
      <c r="J1628">
        <v>87.75</v>
      </c>
      <c r="K1628">
        <v>11.917</v>
      </c>
      <c r="L1628">
        <v>11</v>
      </c>
      <c r="M1628">
        <v>1</v>
      </c>
      <c r="N1628">
        <v>0</v>
      </c>
      <c r="O1628" t="s">
        <v>53</v>
      </c>
      <c r="P1628" t="s">
        <v>53</v>
      </c>
      <c r="Q1628" t="s">
        <v>53</v>
      </c>
    </row>
    <row r="1629" spans="1:17" x14ac:dyDescent="0.2">
      <c r="A1629" s="30" t="str">
        <f>IF(C1629&amp;G1629&amp;D1629&lt;&gt;'Funnel setup'!$K$3&amp;'Funnel setup'!$K$4&amp;'Funnel setup'!$K$5,".",IF(A1628=".",1,A1628+1))</f>
        <v>.</v>
      </c>
      <c r="B1629" s="431" t="str">
        <f t="shared" si="25"/>
        <v>Hip Replacement PrimaryProviderBMI - FAWKHAM MANOR HOSPITAL (NT414)EQ VAS</v>
      </c>
      <c r="C1629" t="s">
        <v>248</v>
      </c>
      <c r="D1629" t="s">
        <v>1</v>
      </c>
      <c r="E1629" t="s">
        <v>3497</v>
      </c>
      <c r="F1629" t="s">
        <v>3498</v>
      </c>
      <c r="G1629" t="s">
        <v>179</v>
      </c>
      <c r="H1629">
        <v>6</v>
      </c>
      <c r="I1629">
        <v>62.167000000000002</v>
      </c>
      <c r="J1629">
        <v>81.667000000000002</v>
      </c>
      <c r="K1629">
        <v>19.5</v>
      </c>
      <c r="L1629">
        <v>4</v>
      </c>
      <c r="M1629">
        <v>1</v>
      </c>
      <c r="N1629">
        <v>1</v>
      </c>
      <c r="O1629" t="s">
        <v>53</v>
      </c>
      <c r="P1629" t="s">
        <v>53</v>
      </c>
      <c r="Q1629" t="s">
        <v>53</v>
      </c>
    </row>
    <row r="1630" spans="1:17" x14ac:dyDescent="0.2">
      <c r="A1630" s="30" t="str">
        <f>IF(C1630&amp;G1630&amp;D1630&lt;&gt;'Funnel setup'!$K$3&amp;'Funnel setup'!$K$4&amp;'Funnel setup'!$K$5,".",IF(A1629=".",1,A1629+1))</f>
        <v>.</v>
      </c>
      <c r="B1630" s="431" t="str">
        <f t="shared" si="25"/>
        <v>Hip Replacement PrimaryProviderBMI - GORING HALL HOSPITAL (NT417)EQ VAS</v>
      </c>
      <c r="C1630" t="s">
        <v>248</v>
      </c>
      <c r="D1630" t="s">
        <v>1</v>
      </c>
      <c r="E1630" t="s">
        <v>3403</v>
      </c>
      <c r="F1630" t="s">
        <v>3404</v>
      </c>
      <c r="G1630" t="s">
        <v>179</v>
      </c>
      <c r="H1630">
        <v>149</v>
      </c>
      <c r="I1630">
        <v>63.341999999999999</v>
      </c>
      <c r="J1630">
        <v>79.765000000000001</v>
      </c>
      <c r="K1630">
        <v>16.422999999999998</v>
      </c>
      <c r="L1630">
        <v>108</v>
      </c>
      <c r="M1630">
        <v>9</v>
      </c>
      <c r="N1630">
        <v>32</v>
      </c>
      <c r="O1630">
        <v>77.962000000000003</v>
      </c>
      <c r="P1630">
        <v>12.45756368</v>
      </c>
      <c r="Q1630">
        <v>17.704000000000001</v>
      </c>
    </row>
    <row r="1631" spans="1:17" x14ac:dyDescent="0.2">
      <c r="A1631" s="30" t="str">
        <f>IF(C1631&amp;G1631&amp;D1631&lt;&gt;'Funnel setup'!$K$3&amp;'Funnel setup'!$K$4&amp;'Funnel setup'!$K$5,".",IF(A1630=".",1,A1630+1))</f>
        <v>.</v>
      </c>
      <c r="B1631" s="431" t="str">
        <f t="shared" si="25"/>
        <v>Hip Replacement PrimaryProviderBMI - HENDON HOSPITAL (NT416)EQ VAS</v>
      </c>
      <c r="C1631" t="s">
        <v>248</v>
      </c>
      <c r="D1631" t="s">
        <v>1</v>
      </c>
      <c r="E1631" t="s">
        <v>3570</v>
      </c>
      <c r="F1631" t="s">
        <v>3571</v>
      </c>
      <c r="G1631" t="s">
        <v>179</v>
      </c>
      <c r="H1631" t="s">
        <v>53</v>
      </c>
      <c r="I1631" t="s">
        <v>53</v>
      </c>
      <c r="J1631" t="s">
        <v>53</v>
      </c>
      <c r="K1631" t="s">
        <v>53</v>
      </c>
      <c r="L1631" t="s">
        <v>53</v>
      </c>
      <c r="M1631" t="s">
        <v>53</v>
      </c>
      <c r="N1631" t="s">
        <v>53</v>
      </c>
      <c r="O1631" t="s">
        <v>53</v>
      </c>
      <c r="P1631" t="s">
        <v>53</v>
      </c>
      <c r="Q1631" t="s">
        <v>53</v>
      </c>
    </row>
    <row r="1632" spans="1:17" x14ac:dyDescent="0.2">
      <c r="A1632" s="30" t="str">
        <f>IF(C1632&amp;G1632&amp;D1632&lt;&gt;'Funnel setup'!$K$3&amp;'Funnel setup'!$K$4&amp;'Funnel setup'!$K$5,".",IF(A1631=".",1,A1631+1))</f>
        <v>.</v>
      </c>
      <c r="B1632" s="431" t="str">
        <f t="shared" si="25"/>
        <v>Hip Replacement PrimaryProviderBMI - SARUM ROAD HOSPITAL (NT433)EQ VAS</v>
      </c>
      <c r="C1632" t="s">
        <v>248</v>
      </c>
      <c r="D1632" t="s">
        <v>1</v>
      </c>
      <c r="E1632" t="s">
        <v>3573</v>
      </c>
      <c r="F1632" t="s">
        <v>3574</v>
      </c>
      <c r="G1632" t="s">
        <v>179</v>
      </c>
      <c r="H1632">
        <v>40</v>
      </c>
      <c r="I1632">
        <v>73.099999999999994</v>
      </c>
      <c r="J1632">
        <v>74.025000000000006</v>
      </c>
      <c r="K1632">
        <v>0.92500000000000004</v>
      </c>
      <c r="L1632">
        <v>21</v>
      </c>
      <c r="M1632">
        <v>3</v>
      </c>
      <c r="N1632">
        <v>16</v>
      </c>
      <c r="O1632">
        <v>71.918000000000006</v>
      </c>
      <c r="P1632">
        <v>6.4139419469999996</v>
      </c>
      <c r="Q1632">
        <v>20.629000000000001</v>
      </c>
    </row>
    <row r="1633" spans="1:17" x14ac:dyDescent="0.2">
      <c r="A1633" s="30" t="str">
        <f>IF(C1633&amp;G1633&amp;D1633&lt;&gt;'Funnel setup'!$K$3&amp;'Funnel setup'!$K$4&amp;'Funnel setup'!$K$5,".",IF(A1632=".",1,A1632+1))</f>
        <v>.</v>
      </c>
      <c r="B1633" s="431" t="str">
        <f t="shared" si="25"/>
        <v>Hip Replacement PrimaryProviderBMI - SHIRLEY OAKS HOSPITAL (NT436)EQ VAS</v>
      </c>
      <c r="C1633" t="s">
        <v>248</v>
      </c>
      <c r="D1633" t="s">
        <v>1</v>
      </c>
      <c r="E1633" t="s">
        <v>3576</v>
      </c>
      <c r="F1633" t="s">
        <v>3577</v>
      </c>
      <c r="G1633" t="s">
        <v>179</v>
      </c>
      <c r="H1633" t="s">
        <v>53</v>
      </c>
      <c r="I1633" t="s">
        <v>53</v>
      </c>
      <c r="J1633" t="s">
        <v>53</v>
      </c>
      <c r="K1633" t="s">
        <v>53</v>
      </c>
      <c r="L1633" t="s">
        <v>53</v>
      </c>
      <c r="M1633" t="s">
        <v>53</v>
      </c>
      <c r="N1633" t="s">
        <v>53</v>
      </c>
      <c r="O1633" t="s">
        <v>53</v>
      </c>
      <c r="P1633" t="s">
        <v>53</v>
      </c>
      <c r="Q1633" t="s">
        <v>53</v>
      </c>
    </row>
    <row r="1634" spans="1:17" x14ac:dyDescent="0.2">
      <c r="A1634" s="30" t="str">
        <f>IF(C1634&amp;G1634&amp;D1634&lt;&gt;'Funnel setup'!$K$3&amp;'Funnel setup'!$K$4&amp;'Funnel setup'!$K$5,".",IF(A1633=".",1,A1633+1))</f>
        <v>.</v>
      </c>
      <c r="B1634" s="431" t="str">
        <f t="shared" si="25"/>
        <v>Hip Replacement PrimaryProviderBMI - THE ALEXANDRA HOSPITAL (NT401)EQ VAS</v>
      </c>
      <c r="C1634" t="s">
        <v>248</v>
      </c>
      <c r="D1634" t="s">
        <v>1</v>
      </c>
      <c r="E1634" t="s">
        <v>3579</v>
      </c>
      <c r="F1634" t="s">
        <v>3580</v>
      </c>
      <c r="G1634" t="s">
        <v>179</v>
      </c>
      <c r="H1634">
        <v>65</v>
      </c>
      <c r="I1634">
        <v>68.277000000000001</v>
      </c>
      <c r="J1634">
        <v>80.091999999999999</v>
      </c>
      <c r="K1634">
        <v>11.815</v>
      </c>
      <c r="L1634">
        <v>45</v>
      </c>
      <c r="M1634">
        <v>1</v>
      </c>
      <c r="N1634">
        <v>19</v>
      </c>
      <c r="O1634">
        <v>77.789000000000001</v>
      </c>
      <c r="P1634">
        <v>12.28513098</v>
      </c>
      <c r="Q1634">
        <v>16.082999999999998</v>
      </c>
    </row>
    <row r="1635" spans="1:17" x14ac:dyDescent="0.2">
      <c r="A1635" s="30" t="str">
        <f>IF(C1635&amp;G1635&amp;D1635&lt;&gt;'Funnel setup'!$K$3&amp;'Funnel setup'!$K$4&amp;'Funnel setup'!$K$5,".",IF(A1634=".",1,A1634+1))</f>
        <v>.</v>
      </c>
      <c r="B1635" s="431" t="str">
        <f t="shared" si="25"/>
        <v>Hip Replacement PrimaryProviderBMI - THE BEARDWOOD HOSPITAL (NT403)EQ VAS</v>
      </c>
      <c r="C1635" t="s">
        <v>248</v>
      </c>
      <c r="D1635" t="s">
        <v>1</v>
      </c>
      <c r="E1635" t="s">
        <v>3582</v>
      </c>
      <c r="F1635" t="s">
        <v>3583</v>
      </c>
      <c r="G1635" t="s">
        <v>179</v>
      </c>
      <c r="H1635">
        <v>43</v>
      </c>
      <c r="I1635">
        <v>61.698</v>
      </c>
      <c r="J1635">
        <v>78</v>
      </c>
      <c r="K1635">
        <v>16.302</v>
      </c>
      <c r="L1635">
        <v>33</v>
      </c>
      <c r="M1635">
        <v>6</v>
      </c>
      <c r="N1635">
        <v>4</v>
      </c>
      <c r="O1635">
        <v>78.956000000000003</v>
      </c>
      <c r="P1635">
        <v>13.45132066</v>
      </c>
      <c r="Q1635">
        <v>11.496</v>
      </c>
    </row>
    <row r="1636" spans="1:17" x14ac:dyDescent="0.2">
      <c r="A1636" s="30" t="str">
        <f>IF(C1636&amp;G1636&amp;D1636&lt;&gt;'Funnel setup'!$K$3&amp;'Funnel setup'!$K$4&amp;'Funnel setup'!$K$5,".",IF(A1635=".",1,A1635+1))</f>
        <v>.</v>
      </c>
      <c r="B1636" s="431" t="str">
        <f t="shared" si="25"/>
        <v>Hip Replacement PrimaryProviderBMI - THE BEAUMONT HOSPITAL (NT404)EQ VAS</v>
      </c>
      <c r="C1636" t="s">
        <v>248</v>
      </c>
      <c r="D1636" t="s">
        <v>1</v>
      </c>
      <c r="E1636" t="s">
        <v>3585</v>
      </c>
      <c r="F1636" t="s">
        <v>3586</v>
      </c>
      <c r="G1636" t="s">
        <v>179</v>
      </c>
      <c r="H1636">
        <v>27</v>
      </c>
      <c r="I1636">
        <v>67.480999999999995</v>
      </c>
      <c r="J1636">
        <v>75.406999999999996</v>
      </c>
      <c r="K1636">
        <v>7.9260000000000002</v>
      </c>
      <c r="L1636">
        <v>13</v>
      </c>
      <c r="M1636">
        <v>3</v>
      </c>
      <c r="N1636">
        <v>11</v>
      </c>
      <c r="O1636" t="s">
        <v>53</v>
      </c>
      <c r="P1636" t="s">
        <v>53</v>
      </c>
      <c r="Q1636" t="s">
        <v>53</v>
      </c>
    </row>
    <row r="1637" spans="1:17" x14ac:dyDescent="0.2">
      <c r="A1637" s="30" t="str">
        <f>IF(C1637&amp;G1637&amp;D1637&lt;&gt;'Funnel setup'!$K$3&amp;'Funnel setup'!$K$4&amp;'Funnel setup'!$K$5,".",IF(A1636=".",1,A1636+1))</f>
        <v>.</v>
      </c>
      <c r="B1637" s="431" t="str">
        <f t="shared" si="25"/>
        <v>Hip Replacement PrimaryProviderBMI - THE BLACKHEATH HOSPITAL (NT406)EQ VAS</v>
      </c>
      <c r="C1637" t="s">
        <v>248</v>
      </c>
      <c r="D1637" t="s">
        <v>1</v>
      </c>
      <c r="E1637" t="s">
        <v>3588</v>
      </c>
      <c r="F1637" t="s">
        <v>3589</v>
      </c>
      <c r="G1637" t="s">
        <v>179</v>
      </c>
      <c r="H1637">
        <v>7</v>
      </c>
      <c r="I1637">
        <v>70.713999999999999</v>
      </c>
      <c r="J1637">
        <v>71.429000000000002</v>
      </c>
      <c r="K1637">
        <v>0.71399999999999997</v>
      </c>
      <c r="L1637">
        <v>4</v>
      </c>
      <c r="M1637">
        <v>0</v>
      </c>
      <c r="N1637">
        <v>3</v>
      </c>
      <c r="O1637" t="s">
        <v>53</v>
      </c>
      <c r="P1637" t="s">
        <v>53</v>
      </c>
      <c r="Q1637" t="s">
        <v>53</v>
      </c>
    </row>
    <row r="1638" spans="1:17" x14ac:dyDescent="0.2">
      <c r="A1638" s="30" t="str">
        <f>IF(C1638&amp;G1638&amp;D1638&lt;&gt;'Funnel setup'!$K$3&amp;'Funnel setup'!$K$4&amp;'Funnel setup'!$K$5,".",IF(A1637=".",1,A1637+1))</f>
        <v>.</v>
      </c>
      <c r="B1638" s="431" t="str">
        <f t="shared" si="25"/>
        <v>Hip Replacement PrimaryProviderBMI - THE CHAUCER HOSPITAL (NT408)EQ VAS</v>
      </c>
      <c r="C1638" t="s">
        <v>248</v>
      </c>
      <c r="D1638" t="s">
        <v>1</v>
      </c>
      <c r="E1638" t="s">
        <v>3591</v>
      </c>
      <c r="F1638" t="s">
        <v>3592</v>
      </c>
      <c r="G1638" t="s">
        <v>179</v>
      </c>
      <c r="H1638">
        <v>15</v>
      </c>
      <c r="I1638">
        <v>67.332999999999998</v>
      </c>
      <c r="J1638">
        <v>74.667000000000002</v>
      </c>
      <c r="K1638">
        <v>7.3330000000000002</v>
      </c>
      <c r="L1638">
        <v>11</v>
      </c>
      <c r="M1638">
        <v>1</v>
      </c>
      <c r="N1638">
        <v>3</v>
      </c>
      <c r="O1638" t="s">
        <v>53</v>
      </c>
      <c r="P1638" t="s">
        <v>53</v>
      </c>
      <c r="Q1638" t="s">
        <v>53</v>
      </c>
    </row>
    <row r="1639" spans="1:17" x14ac:dyDescent="0.2">
      <c r="A1639" s="30" t="str">
        <f>IF(C1639&amp;G1639&amp;D1639&lt;&gt;'Funnel setup'!$K$3&amp;'Funnel setup'!$K$4&amp;'Funnel setup'!$K$5,".",IF(A1638=".",1,A1638+1))</f>
        <v>.</v>
      </c>
      <c r="B1639" s="431" t="str">
        <f t="shared" si="25"/>
        <v>Hip Replacement PrimaryProviderBMI - THE CHILTERN HOSPITAL (NT410)EQ VAS</v>
      </c>
      <c r="C1639" t="s">
        <v>248</v>
      </c>
      <c r="D1639" t="s">
        <v>1</v>
      </c>
      <c r="E1639" t="s">
        <v>3594</v>
      </c>
      <c r="F1639" t="s">
        <v>3595</v>
      </c>
      <c r="G1639" t="s">
        <v>179</v>
      </c>
      <c r="H1639">
        <v>37</v>
      </c>
      <c r="I1639">
        <v>66.622</v>
      </c>
      <c r="J1639">
        <v>79.188999999999993</v>
      </c>
      <c r="K1639">
        <v>12.568</v>
      </c>
      <c r="L1639">
        <v>26</v>
      </c>
      <c r="M1639">
        <v>5</v>
      </c>
      <c r="N1639">
        <v>6</v>
      </c>
      <c r="O1639">
        <v>77.671999999999997</v>
      </c>
      <c r="P1639">
        <v>12.16747237</v>
      </c>
      <c r="Q1639">
        <v>12.198</v>
      </c>
    </row>
    <row r="1640" spans="1:17" x14ac:dyDescent="0.2">
      <c r="A1640" s="30" t="str">
        <f>IF(C1640&amp;G1640&amp;D1640&lt;&gt;'Funnel setup'!$K$3&amp;'Funnel setup'!$K$4&amp;'Funnel setup'!$K$5,".",IF(A1639=".",1,A1639+1))</f>
        <v>.</v>
      </c>
      <c r="B1640" s="431" t="str">
        <f t="shared" si="25"/>
        <v>Hip Replacement PrimaryProviderBMI - THE CLEMENTINE CHURCHILL HOSPITAL (NT411)EQ VAS</v>
      </c>
      <c r="C1640" t="s">
        <v>248</v>
      </c>
      <c r="D1640" t="s">
        <v>1</v>
      </c>
      <c r="E1640" t="s">
        <v>3597</v>
      </c>
      <c r="F1640" t="s">
        <v>3598</v>
      </c>
      <c r="G1640" t="s">
        <v>179</v>
      </c>
      <c r="H1640">
        <v>16</v>
      </c>
      <c r="I1640">
        <v>53.938000000000002</v>
      </c>
      <c r="J1640">
        <v>69.125</v>
      </c>
      <c r="K1640">
        <v>15.188000000000001</v>
      </c>
      <c r="L1640">
        <v>11</v>
      </c>
      <c r="M1640">
        <v>1</v>
      </c>
      <c r="N1640">
        <v>4</v>
      </c>
      <c r="O1640" t="s">
        <v>53</v>
      </c>
      <c r="P1640" t="s">
        <v>53</v>
      </c>
      <c r="Q1640" t="s">
        <v>53</v>
      </c>
    </row>
    <row r="1641" spans="1:17" x14ac:dyDescent="0.2">
      <c r="A1641" s="30" t="str">
        <f>IF(C1641&amp;G1641&amp;D1641&lt;&gt;'Funnel setup'!$K$3&amp;'Funnel setup'!$K$4&amp;'Funnel setup'!$K$5,".",IF(A1640=".",1,A1640+1))</f>
        <v>.</v>
      </c>
      <c r="B1641" s="431" t="str">
        <f t="shared" si="25"/>
        <v>Hip Replacement PrimaryProviderBMI - THE DROITWICH SPA HOSPITAL (NT412)EQ VAS</v>
      </c>
      <c r="C1641" t="s">
        <v>248</v>
      </c>
      <c r="D1641" t="s">
        <v>1</v>
      </c>
      <c r="E1641" t="s">
        <v>3600</v>
      </c>
      <c r="F1641" t="s">
        <v>3601</v>
      </c>
      <c r="G1641" t="s">
        <v>179</v>
      </c>
      <c r="H1641">
        <v>52</v>
      </c>
      <c r="I1641">
        <v>69.423000000000002</v>
      </c>
      <c r="J1641">
        <v>79.287999999999997</v>
      </c>
      <c r="K1641">
        <v>9.8650000000000002</v>
      </c>
      <c r="L1641">
        <v>34</v>
      </c>
      <c r="M1641">
        <v>6</v>
      </c>
      <c r="N1641">
        <v>12</v>
      </c>
      <c r="O1641">
        <v>76.95</v>
      </c>
      <c r="P1641">
        <v>11.445585790000001</v>
      </c>
      <c r="Q1641">
        <v>15.776</v>
      </c>
    </row>
    <row r="1642" spans="1:17" x14ac:dyDescent="0.2">
      <c r="A1642" s="30" t="str">
        <f>IF(C1642&amp;G1642&amp;D1642&lt;&gt;'Funnel setup'!$K$3&amp;'Funnel setup'!$K$4&amp;'Funnel setup'!$K$5,".",IF(A1641=".",1,A1641+1))</f>
        <v>.</v>
      </c>
      <c r="B1642" s="431" t="str">
        <f t="shared" si="25"/>
        <v>Hip Replacement PrimaryProviderBMI - THE ESPERANCE HOSPITAL (NT413)EQ VAS</v>
      </c>
      <c r="C1642" t="s">
        <v>248</v>
      </c>
      <c r="D1642" t="s">
        <v>1</v>
      </c>
      <c r="E1642" t="s">
        <v>3603</v>
      </c>
      <c r="F1642" t="s">
        <v>3604</v>
      </c>
      <c r="G1642" t="s">
        <v>179</v>
      </c>
      <c r="H1642" t="s">
        <v>53</v>
      </c>
      <c r="I1642" t="s">
        <v>53</v>
      </c>
      <c r="J1642" t="s">
        <v>53</v>
      </c>
      <c r="K1642" t="s">
        <v>53</v>
      </c>
      <c r="L1642" t="s">
        <v>53</v>
      </c>
      <c r="M1642" t="s">
        <v>53</v>
      </c>
      <c r="N1642" t="s">
        <v>53</v>
      </c>
      <c r="O1642" t="s">
        <v>53</v>
      </c>
      <c r="P1642" t="s">
        <v>53</v>
      </c>
      <c r="Q1642" t="s">
        <v>53</v>
      </c>
    </row>
    <row r="1643" spans="1:17" x14ac:dyDescent="0.2">
      <c r="A1643" s="30" t="str">
        <f>IF(C1643&amp;G1643&amp;D1643&lt;&gt;'Funnel setup'!$K$3&amp;'Funnel setup'!$K$4&amp;'Funnel setup'!$K$5,".",IF(A1642=".",1,A1642+1))</f>
        <v>.</v>
      </c>
      <c r="B1643" s="431" t="str">
        <f t="shared" si="25"/>
        <v>Hip Replacement PrimaryProviderBMI - THE HAMPSHIRE CLINIC (NT418)EQ VAS</v>
      </c>
      <c r="C1643" t="s">
        <v>248</v>
      </c>
      <c r="D1643" t="s">
        <v>1</v>
      </c>
      <c r="E1643" t="s">
        <v>3609</v>
      </c>
      <c r="F1643" t="s">
        <v>3610</v>
      </c>
      <c r="G1643" t="s">
        <v>179</v>
      </c>
      <c r="H1643">
        <v>18</v>
      </c>
      <c r="I1643">
        <v>70.111000000000004</v>
      </c>
      <c r="J1643">
        <v>86.721999999999994</v>
      </c>
      <c r="K1643">
        <v>16.611000000000001</v>
      </c>
      <c r="L1643">
        <v>13</v>
      </c>
      <c r="M1643">
        <v>3</v>
      </c>
      <c r="N1643">
        <v>2</v>
      </c>
      <c r="O1643" t="s">
        <v>53</v>
      </c>
      <c r="P1643" t="s">
        <v>53</v>
      </c>
      <c r="Q1643" t="s">
        <v>53</v>
      </c>
    </row>
    <row r="1644" spans="1:17" x14ac:dyDescent="0.2">
      <c r="A1644" s="30" t="str">
        <f>IF(C1644&amp;G1644&amp;D1644&lt;&gt;'Funnel setup'!$K$3&amp;'Funnel setup'!$K$4&amp;'Funnel setup'!$K$5,".",IF(A1643=".",1,A1643+1))</f>
        <v>.</v>
      </c>
      <c r="B1644" s="431" t="str">
        <f t="shared" si="25"/>
        <v>Hip Replacement PrimaryProviderBMI - THE HARBOUR HOSPITAL (NT419)EQ VAS</v>
      </c>
      <c r="C1644" t="s">
        <v>248</v>
      </c>
      <c r="D1644" t="s">
        <v>1</v>
      </c>
      <c r="E1644" t="s">
        <v>3612</v>
      </c>
      <c r="F1644" t="s">
        <v>3613</v>
      </c>
      <c r="G1644" t="s">
        <v>179</v>
      </c>
      <c r="H1644" t="s">
        <v>53</v>
      </c>
      <c r="I1644" t="s">
        <v>53</v>
      </c>
      <c r="J1644" t="s">
        <v>53</v>
      </c>
      <c r="K1644" t="s">
        <v>53</v>
      </c>
      <c r="L1644" t="s">
        <v>53</v>
      </c>
      <c r="M1644" t="s">
        <v>53</v>
      </c>
      <c r="N1644" t="s">
        <v>53</v>
      </c>
      <c r="O1644" t="s">
        <v>53</v>
      </c>
      <c r="P1644" t="s">
        <v>53</v>
      </c>
      <c r="Q1644" t="s">
        <v>53</v>
      </c>
    </row>
    <row r="1645" spans="1:17" x14ac:dyDescent="0.2">
      <c r="A1645" s="30" t="str">
        <f>IF(C1645&amp;G1645&amp;D1645&lt;&gt;'Funnel setup'!$K$3&amp;'Funnel setup'!$K$4&amp;'Funnel setup'!$K$5,".",IF(A1644=".",1,A1644+1))</f>
        <v>.</v>
      </c>
      <c r="B1645" s="431" t="str">
        <f t="shared" si="25"/>
        <v>Hip Replacement PrimaryProviderBMI - THE HIGHFIELD HOSPITAL (NT420)EQ VAS</v>
      </c>
      <c r="C1645" t="s">
        <v>248</v>
      </c>
      <c r="D1645" t="s">
        <v>1</v>
      </c>
      <c r="E1645" t="s">
        <v>3615</v>
      </c>
      <c r="F1645" t="s">
        <v>3616</v>
      </c>
      <c r="G1645" t="s">
        <v>179</v>
      </c>
      <c r="H1645">
        <v>86</v>
      </c>
      <c r="I1645">
        <v>75.116</v>
      </c>
      <c r="J1645">
        <v>76.278999999999996</v>
      </c>
      <c r="K1645">
        <v>1.163</v>
      </c>
      <c r="L1645">
        <v>42</v>
      </c>
      <c r="M1645">
        <v>11</v>
      </c>
      <c r="N1645">
        <v>33</v>
      </c>
      <c r="O1645">
        <v>73.233999999999995</v>
      </c>
      <c r="P1645">
        <v>7.7295780059999997</v>
      </c>
      <c r="Q1645">
        <v>18.861000000000001</v>
      </c>
    </row>
    <row r="1646" spans="1:17" x14ac:dyDescent="0.2">
      <c r="A1646" s="30" t="str">
        <f>IF(C1646&amp;G1646&amp;D1646&lt;&gt;'Funnel setup'!$K$3&amp;'Funnel setup'!$K$4&amp;'Funnel setup'!$K$5,".",IF(A1645=".",1,A1645+1))</f>
        <v>.</v>
      </c>
      <c r="B1646" s="431" t="str">
        <f t="shared" si="25"/>
        <v>Hip Replacement PrimaryProviderBMI - THE KINGS OAK HOSPITAL (NT421)EQ VAS</v>
      </c>
      <c r="C1646" t="s">
        <v>248</v>
      </c>
      <c r="D1646" t="s">
        <v>1</v>
      </c>
      <c r="E1646" t="s">
        <v>3618</v>
      </c>
      <c r="F1646" t="s">
        <v>3619</v>
      </c>
      <c r="G1646" t="s">
        <v>179</v>
      </c>
      <c r="H1646">
        <v>11</v>
      </c>
      <c r="I1646">
        <v>57.726999999999997</v>
      </c>
      <c r="J1646">
        <v>78.182000000000002</v>
      </c>
      <c r="K1646">
        <v>20.454999999999998</v>
      </c>
      <c r="L1646">
        <v>7</v>
      </c>
      <c r="M1646">
        <v>1</v>
      </c>
      <c r="N1646">
        <v>3</v>
      </c>
      <c r="O1646" t="s">
        <v>53</v>
      </c>
      <c r="P1646" t="s">
        <v>53</v>
      </c>
      <c r="Q1646" t="s">
        <v>53</v>
      </c>
    </row>
    <row r="1647" spans="1:17" x14ac:dyDescent="0.2">
      <c r="A1647" s="30" t="str">
        <f>IF(C1647&amp;G1647&amp;D1647&lt;&gt;'Funnel setup'!$K$3&amp;'Funnel setup'!$K$4&amp;'Funnel setup'!$K$5,".",IF(A1646=".",1,A1646+1))</f>
        <v>.</v>
      </c>
      <c r="B1647" s="431" t="str">
        <f t="shared" si="25"/>
        <v>Hip Replacement PrimaryProviderBMI - THE LONDON INDEPENDENT HOSPITAL (NT422)EQ VAS</v>
      </c>
      <c r="C1647" t="s">
        <v>248</v>
      </c>
      <c r="D1647" t="s">
        <v>1</v>
      </c>
      <c r="E1647" t="s">
        <v>3621</v>
      </c>
      <c r="F1647" t="s">
        <v>3622</v>
      </c>
      <c r="G1647" t="s">
        <v>179</v>
      </c>
      <c r="H1647">
        <v>6</v>
      </c>
      <c r="I1647">
        <v>56.167000000000002</v>
      </c>
      <c r="J1647">
        <v>77.832999999999998</v>
      </c>
      <c r="K1647">
        <v>21.667000000000002</v>
      </c>
      <c r="L1647">
        <v>6</v>
      </c>
      <c r="M1647">
        <v>0</v>
      </c>
      <c r="N1647">
        <v>0</v>
      </c>
      <c r="O1647" t="s">
        <v>53</v>
      </c>
      <c r="P1647" t="s">
        <v>53</v>
      </c>
      <c r="Q1647" t="s">
        <v>53</v>
      </c>
    </row>
    <row r="1648" spans="1:17" x14ac:dyDescent="0.2">
      <c r="A1648" s="30" t="str">
        <f>IF(C1648&amp;G1648&amp;D1648&lt;&gt;'Funnel setup'!$K$3&amp;'Funnel setup'!$K$4&amp;'Funnel setup'!$K$5,".",IF(A1647=".",1,A1647+1))</f>
        <v>.</v>
      </c>
      <c r="B1648" s="431" t="str">
        <f t="shared" si="25"/>
        <v>Hip Replacement PrimaryProviderBMI - THE MANOR HOSPITAL (NT423)EQ VAS</v>
      </c>
      <c r="C1648" t="s">
        <v>248</v>
      </c>
      <c r="D1648" t="s">
        <v>1</v>
      </c>
      <c r="E1648" t="s">
        <v>3624</v>
      </c>
      <c r="F1648" t="s">
        <v>3625</v>
      </c>
      <c r="G1648" t="s">
        <v>179</v>
      </c>
      <c r="H1648">
        <v>28</v>
      </c>
      <c r="I1648">
        <v>65.963999999999999</v>
      </c>
      <c r="J1648">
        <v>80.606999999999999</v>
      </c>
      <c r="K1648">
        <v>14.643000000000001</v>
      </c>
      <c r="L1648">
        <v>22</v>
      </c>
      <c r="M1648">
        <v>1</v>
      </c>
      <c r="N1648">
        <v>5</v>
      </c>
      <c r="O1648" t="s">
        <v>53</v>
      </c>
      <c r="P1648" t="s">
        <v>53</v>
      </c>
      <c r="Q1648" t="s">
        <v>53</v>
      </c>
    </row>
    <row r="1649" spans="1:17" x14ac:dyDescent="0.2">
      <c r="A1649" s="30" t="str">
        <f>IF(C1649&amp;G1649&amp;D1649&lt;&gt;'Funnel setup'!$K$3&amp;'Funnel setup'!$K$4&amp;'Funnel setup'!$K$5,".",IF(A1648=".",1,A1648+1))</f>
        <v>.</v>
      </c>
      <c r="B1649" s="431" t="str">
        <f t="shared" si="25"/>
        <v>Hip Replacement PrimaryProviderBMI - THE MERIDEN HOSPITAL (NT424)EQ VAS</v>
      </c>
      <c r="C1649" t="s">
        <v>248</v>
      </c>
      <c r="D1649" t="s">
        <v>1</v>
      </c>
      <c r="E1649" t="s">
        <v>3283</v>
      </c>
      <c r="F1649" t="s">
        <v>3284</v>
      </c>
      <c r="G1649" t="s">
        <v>179</v>
      </c>
      <c r="H1649">
        <v>69</v>
      </c>
      <c r="I1649">
        <v>63.652000000000001</v>
      </c>
      <c r="J1649">
        <v>78.956999999999994</v>
      </c>
      <c r="K1649">
        <v>15.304</v>
      </c>
      <c r="L1649">
        <v>49</v>
      </c>
      <c r="M1649">
        <v>13</v>
      </c>
      <c r="N1649">
        <v>7</v>
      </c>
      <c r="O1649">
        <v>78.265000000000001</v>
      </c>
      <c r="P1649">
        <v>12.76036332</v>
      </c>
      <c r="Q1649">
        <v>16.818999999999999</v>
      </c>
    </row>
    <row r="1650" spans="1:17" x14ac:dyDescent="0.2">
      <c r="A1650" s="30" t="str">
        <f>IF(C1650&amp;G1650&amp;D1650&lt;&gt;'Funnel setup'!$K$3&amp;'Funnel setup'!$K$4&amp;'Funnel setup'!$K$5,".",IF(A1649=".",1,A1649+1))</f>
        <v>.</v>
      </c>
      <c r="B1650" s="431" t="str">
        <f t="shared" si="25"/>
        <v>Hip Replacement PrimaryProviderBMI - THE PARK HOSPITAL (NT427)EQ VAS</v>
      </c>
      <c r="C1650" t="s">
        <v>248</v>
      </c>
      <c r="D1650" t="s">
        <v>1</v>
      </c>
      <c r="E1650" t="s">
        <v>3286</v>
      </c>
      <c r="F1650" t="s">
        <v>3287</v>
      </c>
      <c r="G1650" t="s">
        <v>179</v>
      </c>
      <c r="H1650">
        <v>25</v>
      </c>
      <c r="I1650">
        <v>75.48</v>
      </c>
      <c r="J1650">
        <v>79.599999999999994</v>
      </c>
      <c r="K1650">
        <v>4.12</v>
      </c>
      <c r="L1650">
        <v>17</v>
      </c>
      <c r="M1650">
        <v>2</v>
      </c>
      <c r="N1650">
        <v>6</v>
      </c>
      <c r="O1650" t="s">
        <v>53</v>
      </c>
      <c r="P1650" t="s">
        <v>53</v>
      </c>
      <c r="Q1650" t="s">
        <v>53</v>
      </c>
    </row>
    <row r="1651" spans="1:17" x14ac:dyDescent="0.2">
      <c r="A1651" s="30" t="str">
        <f>IF(C1651&amp;G1651&amp;D1651&lt;&gt;'Funnel setup'!$K$3&amp;'Funnel setup'!$K$4&amp;'Funnel setup'!$K$5,".",IF(A1650=".",1,A1650+1))</f>
        <v>.</v>
      </c>
      <c r="B1651" s="431" t="str">
        <f t="shared" si="25"/>
        <v>Hip Replacement PrimaryProviderBMI - THE PRINCESS MARGARET HOSPITAL (NT428)EQ VAS</v>
      </c>
      <c r="C1651" t="s">
        <v>248</v>
      </c>
      <c r="D1651" t="s">
        <v>1</v>
      </c>
      <c r="E1651" t="s">
        <v>3289</v>
      </c>
      <c r="F1651" t="s">
        <v>3290</v>
      </c>
      <c r="G1651" t="s">
        <v>179</v>
      </c>
      <c r="H1651">
        <v>9</v>
      </c>
      <c r="I1651">
        <v>72.221999999999994</v>
      </c>
      <c r="J1651">
        <v>71.888999999999996</v>
      </c>
      <c r="K1651">
        <v>-0.33300000000000002</v>
      </c>
      <c r="L1651">
        <v>5</v>
      </c>
      <c r="M1651">
        <v>1</v>
      </c>
      <c r="N1651">
        <v>3</v>
      </c>
      <c r="O1651" t="s">
        <v>53</v>
      </c>
      <c r="P1651" t="s">
        <v>53</v>
      </c>
      <c r="Q1651" t="s">
        <v>53</v>
      </c>
    </row>
    <row r="1652" spans="1:17" x14ac:dyDescent="0.2">
      <c r="A1652" s="30" t="str">
        <f>IF(C1652&amp;G1652&amp;D1652&lt;&gt;'Funnel setup'!$K$3&amp;'Funnel setup'!$K$4&amp;'Funnel setup'!$K$5,".",IF(A1651=".",1,A1651+1))</f>
        <v>.</v>
      </c>
      <c r="B1652" s="431" t="str">
        <f t="shared" si="25"/>
        <v>Hip Replacement PrimaryProviderBMI - THE PRIORY HOSPITAL (NT429)EQ VAS</v>
      </c>
      <c r="C1652" t="s">
        <v>248</v>
      </c>
      <c r="D1652" t="s">
        <v>1</v>
      </c>
      <c r="E1652" t="s">
        <v>4776</v>
      </c>
      <c r="F1652" t="s">
        <v>4777</v>
      </c>
      <c r="G1652" t="s">
        <v>179</v>
      </c>
      <c r="H1652" t="s">
        <v>53</v>
      </c>
      <c r="I1652" t="s">
        <v>53</v>
      </c>
      <c r="J1652" t="s">
        <v>53</v>
      </c>
      <c r="K1652" t="s">
        <v>53</v>
      </c>
      <c r="L1652" t="s">
        <v>53</v>
      </c>
      <c r="M1652" t="s">
        <v>53</v>
      </c>
      <c r="N1652" t="s">
        <v>53</v>
      </c>
      <c r="O1652" t="s">
        <v>53</v>
      </c>
      <c r="P1652" t="s">
        <v>53</v>
      </c>
      <c r="Q1652" t="s">
        <v>53</v>
      </c>
    </row>
    <row r="1653" spans="1:17" x14ac:dyDescent="0.2">
      <c r="A1653" s="30" t="str">
        <f>IF(C1653&amp;G1653&amp;D1653&lt;&gt;'Funnel setup'!$K$3&amp;'Funnel setup'!$K$4&amp;'Funnel setup'!$K$5,".",IF(A1652=".",1,A1652+1))</f>
        <v>.</v>
      </c>
      <c r="B1653" s="431" t="str">
        <f t="shared" si="25"/>
        <v>Hip Replacement PrimaryProviderBMI - THE RIDGEWAY HOSPITAL (NT430)EQ VAS</v>
      </c>
      <c r="C1653" t="s">
        <v>248</v>
      </c>
      <c r="D1653" t="s">
        <v>1</v>
      </c>
      <c r="E1653" t="s">
        <v>3292</v>
      </c>
      <c r="F1653" t="s">
        <v>3293</v>
      </c>
      <c r="G1653" t="s">
        <v>179</v>
      </c>
      <c r="H1653">
        <v>78</v>
      </c>
      <c r="I1653">
        <v>69.191999999999993</v>
      </c>
      <c r="J1653">
        <v>80.474000000000004</v>
      </c>
      <c r="K1653">
        <v>11.282</v>
      </c>
      <c r="L1653">
        <v>49</v>
      </c>
      <c r="M1653">
        <v>11</v>
      </c>
      <c r="N1653">
        <v>18</v>
      </c>
      <c r="O1653">
        <v>77.144999999999996</v>
      </c>
      <c r="P1653">
        <v>11.64061287</v>
      </c>
      <c r="Q1653">
        <v>16.486000000000001</v>
      </c>
    </row>
    <row r="1654" spans="1:17" x14ac:dyDescent="0.2">
      <c r="A1654" s="30" t="str">
        <f>IF(C1654&amp;G1654&amp;D1654&lt;&gt;'Funnel setup'!$K$3&amp;'Funnel setup'!$K$4&amp;'Funnel setup'!$K$5,".",IF(A1653=".",1,A1653+1))</f>
        <v>.</v>
      </c>
      <c r="B1654" s="431" t="str">
        <f t="shared" si="25"/>
        <v>Hip Replacement PrimaryProviderBMI - THE RUNNYMEDE HOSPITAL (NT431)EQ VAS</v>
      </c>
      <c r="C1654" t="s">
        <v>248</v>
      </c>
      <c r="D1654" t="s">
        <v>1</v>
      </c>
      <c r="E1654" t="s">
        <v>3295</v>
      </c>
      <c r="F1654" t="s">
        <v>3296</v>
      </c>
      <c r="G1654" t="s">
        <v>179</v>
      </c>
      <c r="H1654">
        <v>14</v>
      </c>
      <c r="I1654">
        <v>71.143000000000001</v>
      </c>
      <c r="J1654">
        <v>79.786000000000001</v>
      </c>
      <c r="K1654">
        <v>8.6430000000000007</v>
      </c>
      <c r="L1654">
        <v>8</v>
      </c>
      <c r="M1654">
        <v>2</v>
      </c>
      <c r="N1654">
        <v>4</v>
      </c>
      <c r="O1654" t="s">
        <v>53</v>
      </c>
      <c r="P1654" t="s">
        <v>53</v>
      </c>
      <c r="Q1654" t="s">
        <v>53</v>
      </c>
    </row>
    <row r="1655" spans="1:17" x14ac:dyDescent="0.2">
      <c r="A1655" s="30" t="str">
        <f>IF(C1655&amp;G1655&amp;D1655&lt;&gt;'Funnel setup'!$K$3&amp;'Funnel setup'!$K$4&amp;'Funnel setup'!$K$5,".",IF(A1654=".",1,A1654+1))</f>
        <v>.</v>
      </c>
      <c r="B1655" s="431" t="str">
        <f t="shared" si="25"/>
        <v>Hip Replacement PrimaryProviderBMI - THE SANDRINGHAM HOSPITAL (NT432)EQ VAS</v>
      </c>
      <c r="C1655" t="s">
        <v>248</v>
      </c>
      <c r="D1655" t="s">
        <v>1</v>
      </c>
      <c r="E1655" t="s">
        <v>3298</v>
      </c>
      <c r="F1655" t="s">
        <v>3299</v>
      </c>
      <c r="G1655" t="s">
        <v>179</v>
      </c>
      <c r="H1655">
        <v>117</v>
      </c>
      <c r="I1655">
        <v>72.837999999999994</v>
      </c>
      <c r="J1655">
        <v>82.256</v>
      </c>
      <c r="K1655">
        <v>9.4190000000000005</v>
      </c>
      <c r="L1655">
        <v>69</v>
      </c>
      <c r="M1655">
        <v>20</v>
      </c>
      <c r="N1655">
        <v>28</v>
      </c>
      <c r="O1655">
        <v>79.245000000000005</v>
      </c>
      <c r="P1655">
        <v>13.74039713</v>
      </c>
      <c r="Q1655">
        <v>14.183999999999999</v>
      </c>
    </row>
    <row r="1656" spans="1:17" x14ac:dyDescent="0.2">
      <c r="A1656" s="30" t="str">
        <f>IF(C1656&amp;G1656&amp;D1656&lt;&gt;'Funnel setup'!$K$3&amp;'Funnel setup'!$K$4&amp;'Funnel setup'!$K$5,".",IF(A1655=".",1,A1655+1))</f>
        <v>.</v>
      </c>
      <c r="B1656" s="431" t="str">
        <f t="shared" si="25"/>
        <v>Hip Replacement PrimaryProviderBMI - THE SAXON CLINIC (NT434)EQ VAS</v>
      </c>
      <c r="C1656" t="s">
        <v>248</v>
      </c>
      <c r="D1656" t="s">
        <v>1</v>
      </c>
      <c r="E1656" t="s">
        <v>3301</v>
      </c>
      <c r="F1656" t="s">
        <v>3302</v>
      </c>
      <c r="G1656" t="s">
        <v>179</v>
      </c>
      <c r="H1656">
        <v>35</v>
      </c>
      <c r="I1656">
        <v>60.457000000000001</v>
      </c>
      <c r="J1656">
        <v>72.856999999999999</v>
      </c>
      <c r="K1656">
        <v>12.4</v>
      </c>
      <c r="L1656">
        <v>20</v>
      </c>
      <c r="M1656">
        <v>6</v>
      </c>
      <c r="N1656">
        <v>9</v>
      </c>
      <c r="O1656">
        <v>73.257000000000005</v>
      </c>
      <c r="P1656">
        <v>7.7531591320000004</v>
      </c>
      <c r="Q1656">
        <v>17.094000000000001</v>
      </c>
    </row>
    <row r="1657" spans="1:17" x14ac:dyDescent="0.2">
      <c r="A1657" s="30" t="str">
        <f>IF(C1657&amp;G1657&amp;D1657&lt;&gt;'Funnel setup'!$K$3&amp;'Funnel setup'!$K$4&amp;'Funnel setup'!$K$5,".",IF(A1656=".",1,A1656+1))</f>
        <v>.</v>
      </c>
      <c r="B1657" s="431" t="str">
        <f t="shared" si="25"/>
        <v>Hip Replacement PrimaryProviderBMI - THE SHELBURNE HOSPITAL (NT435)EQ VAS</v>
      </c>
      <c r="C1657" t="s">
        <v>248</v>
      </c>
      <c r="D1657" t="s">
        <v>1</v>
      </c>
      <c r="E1657" t="s">
        <v>4318</v>
      </c>
      <c r="F1657" t="s">
        <v>4319</v>
      </c>
      <c r="G1657" t="s">
        <v>179</v>
      </c>
      <c r="H1657">
        <v>34</v>
      </c>
      <c r="I1657">
        <v>68.206000000000003</v>
      </c>
      <c r="J1657">
        <v>77.441000000000003</v>
      </c>
      <c r="K1657">
        <v>9.2349999999999994</v>
      </c>
      <c r="L1657">
        <v>26</v>
      </c>
      <c r="M1657">
        <v>1</v>
      </c>
      <c r="N1657">
        <v>7</v>
      </c>
      <c r="O1657">
        <v>75.823999999999998</v>
      </c>
      <c r="P1657">
        <v>10.31981248</v>
      </c>
      <c r="Q1657">
        <v>13.865</v>
      </c>
    </row>
    <row r="1658" spans="1:17" x14ac:dyDescent="0.2">
      <c r="A1658" s="30" t="str">
        <f>IF(C1658&amp;G1658&amp;D1658&lt;&gt;'Funnel setup'!$K$3&amp;'Funnel setup'!$K$4&amp;'Funnel setup'!$K$5,".",IF(A1657=".",1,A1657+1))</f>
        <v>.</v>
      </c>
      <c r="B1658" s="431" t="str">
        <f t="shared" si="25"/>
        <v>Hip Replacement PrimaryProviderBMI - THE SLOANE HOSPITAL (NT437)EQ VAS</v>
      </c>
      <c r="C1658" t="s">
        <v>248</v>
      </c>
      <c r="D1658" t="s">
        <v>1</v>
      </c>
      <c r="E1658" t="s">
        <v>4327</v>
      </c>
      <c r="F1658" t="s">
        <v>4328</v>
      </c>
      <c r="G1658" t="s">
        <v>179</v>
      </c>
      <c r="H1658" t="s">
        <v>53</v>
      </c>
      <c r="I1658" t="s">
        <v>53</v>
      </c>
      <c r="J1658" t="s">
        <v>53</v>
      </c>
      <c r="K1658" t="s">
        <v>53</v>
      </c>
      <c r="L1658" t="s">
        <v>53</v>
      </c>
      <c r="M1658" t="s">
        <v>53</v>
      </c>
      <c r="N1658" t="s">
        <v>53</v>
      </c>
      <c r="O1658" t="s">
        <v>53</v>
      </c>
      <c r="P1658" t="s">
        <v>53</v>
      </c>
      <c r="Q1658" t="s">
        <v>53</v>
      </c>
    </row>
    <row r="1659" spans="1:17" x14ac:dyDescent="0.2">
      <c r="A1659" s="30" t="str">
        <f>IF(C1659&amp;G1659&amp;D1659&lt;&gt;'Funnel setup'!$K$3&amp;'Funnel setup'!$K$4&amp;'Funnel setup'!$K$5,".",IF(A1658=".",1,A1658+1))</f>
        <v>.</v>
      </c>
      <c r="B1659" s="431" t="str">
        <f t="shared" si="25"/>
        <v>Hip Replacement PrimaryProviderBMI - THE SOMERFIELD HOSPITAL (NT438)EQ VAS</v>
      </c>
      <c r="C1659" t="s">
        <v>248</v>
      </c>
      <c r="D1659" t="s">
        <v>1</v>
      </c>
      <c r="E1659" t="s">
        <v>3304</v>
      </c>
      <c r="F1659" t="s">
        <v>3305</v>
      </c>
      <c r="G1659" t="s">
        <v>179</v>
      </c>
      <c r="H1659">
        <v>15</v>
      </c>
      <c r="I1659">
        <v>62.667000000000002</v>
      </c>
      <c r="J1659">
        <v>81.667000000000002</v>
      </c>
      <c r="K1659">
        <v>19</v>
      </c>
      <c r="L1659">
        <v>12</v>
      </c>
      <c r="M1659">
        <v>2</v>
      </c>
      <c r="N1659">
        <v>1</v>
      </c>
      <c r="O1659" t="s">
        <v>53</v>
      </c>
      <c r="P1659" t="s">
        <v>53</v>
      </c>
      <c r="Q1659" t="s">
        <v>53</v>
      </c>
    </row>
    <row r="1660" spans="1:17" x14ac:dyDescent="0.2">
      <c r="A1660" s="30" t="str">
        <f>IF(C1660&amp;G1660&amp;D1660&lt;&gt;'Funnel setup'!$K$3&amp;'Funnel setup'!$K$4&amp;'Funnel setup'!$K$5,".",IF(A1659=".",1,A1659+1))</f>
        <v>.</v>
      </c>
      <c r="B1660" s="431" t="str">
        <f t="shared" si="25"/>
        <v>Hip Replacement PrimaryProviderBMI - THE SOUTH CHESHIRE PRIVATE HOSPITAL (NT439)EQ VAS</v>
      </c>
      <c r="C1660" t="s">
        <v>248</v>
      </c>
      <c r="D1660" t="s">
        <v>1</v>
      </c>
      <c r="E1660" t="s">
        <v>3307</v>
      </c>
      <c r="F1660" t="s">
        <v>3308</v>
      </c>
      <c r="G1660" t="s">
        <v>179</v>
      </c>
      <c r="H1660">
        <v>27</v>
      </c>
      <c r="I1660">
        <v>67.962999999999994</v>
      </c>
      <c r="J1660">
        <v>80.778000000000006</v>
      </c>
      <c r="K1660">
        <v>12.815</v>
      </c>
      <c r="L1660">
        <v>20</v>
      </c>
      <c r="M1660">
        <v>3</v>
      </c>
      <c r="N1660">
        <v>4</v>
      </c>
      <c r="O1660" t="s">
        <v>53</v>
      </c>
      <c r="P1660" t="s">
        <v>53</v>
      </c>
      <c r="Q1660" t="s">
        <v>53</v>
      </c>
    </row>
    <row r="1661" spans="1:17" x14ac:dyDescent="0.2">
      <c r="A1661" s="30" t="str">
        <f>IF(C1661&amp;G1661&amp;D1661&lt;&gt;'Funnel setup'!$K$3&amp;'Funnel setup'!$K$4&amp;'Funnel setup'!$K$5,".",IF(A1660=".",1,A1660+1))</f>
        <v>.</v>
      </c>
      <c r="B1661" s="431" t="str">
        <f t="shared" si="25"/>
        <v>Hip Replacement PrimaryProviderBMI - THE WINTERBOURNE HOSPITAL (NT443)EQ VAS</v>
      </c>
      <c r="C1661" t="s">
        <v>248</v>
      </c>
      <c r="D1661" t="s">
        <v>1</v>
      </c>
      <c r="E1661" t="s">
        <v>3310</v>
      </c>
      <c r="F1661" t="s">
        <v>3311</v>
      </c>
      <c r="G1661" t="s">
        <v>179</v>
      </c>
      <c r="H1661">
        <v>43</v>
      </c>
      <c r="I1661">
        <v>70.093000000000004</v>
      </c>
      <c r="J1661">
        <v>81.581000000000003</v>
      </c>
      <c r="K1661">
        <v>11.488</v>
      </c>
      <c r="L1661">
        <v>31</v>
      </c>
      <c r="M1661">
        <v>3</v>
      </c>
      <c r="N1661">
        <v>9</v>
      </c>
      <c r="O1661">
        <v>78.932000000000002</v>
      </c>
      <c r="P1661">
        <v>13.42791042</v>
      </c>
      <c r="Q1661">
        <v>12.692</v>
      </c>
    </row>
    <row r="1662" spans="1:17" x14ac:dyDescent="0.2">
      <c r="A1662" s="30" t="str">
        <f>IF(C1662&amp;G1662&amp;D1662&lt;&gt;'Funnel setup'!$K$3&amp;'Funnel setup'!$K$4&amp;'Funnel setup'!$K$5,".",IF(A1661=".",1,A1661+1))</f>
        <v>.</v>
      </c>
      <c r="B1662" s="431" t="str">
        <f t="shared" si="25"/>
        <v>Hip Replacement PrimaryProviderBMI - THORNBURY HOSPITAL (NT440)EQ VAS</v>
      </c>
      <c r="C1662" t="s">
        <v>248</v>
      </c>
      <c r="D1662" t="s">
        <v>1</v>
      </c>
      <c r="E1662" t="s">
        <v>3313</v>
      </c>
      <c r="F1662" t="s">
        <v>3314</v>
      </c>
      <c r="G1662" t="s">
        <v>179</v>
      </c>
      <c r="H1662">
        <v>47</v>
      </c>
      <c r="I1662">
        <v>66.128</v>
      </c>
      <c r="J1662">
        <v>81.489000000000004</v>
      </c>
      <c r="K1662">
        <v>15.362</v>
      </c>
      <c r="L1662">
        <v>37</v>
      </c>
      <c r="M1662">
        <v>1</v>
      </c>
      <c r="N1662">
        <v>9</v>
      </c>
      <c r="O1662">
        <v>77.989999999999995</v>
      </c>
      <c r="P1662">
        <v>12.485634279999999</v>
      </c>
      <c r="Q1662">
        <v>11.954000000000001</v>
      </c>
    </row>
    <row r="1663" spans="1:17" x14ac:dyDescent="0.2">
      <c r="A1663" s="30" t="str">
        <f>IF(C1663&amp;G1663&amp;D1663&lt;&gt;'Funnel setup'!$K$3&amp;'Funnel setup'!$K$4&amp;'Funnel setup'!$K$5,".",IF(A1662=".",1,A1662+1))</f>
        <v>.</v>
      </c>
      <c r="B1663" s="431" t="str">
        <f t="shared" si="25"/>
        <v>Hip Replacement PrimaryProviderBMI - THREE SHIRES HOSPITAL (NT441)EQ VAS</v>
      </c>
      <c r="C1663" t="s">
        <v>248</v>
      </c>
      <c r="D1663" t="s">
        <v>1</v>
      </c>
      <c r="E1663" t="s">
        <v>3316</v>
      </c>
      <c r="F1663" t="s">
        <v>3317</v>
      </c>
      <c r="G1663" t="s">
        <v>179</v>
      </c>
      <c r="H1663">
        <v>37</v>
      </c>
      <c r="I1663">
        <v>72.811000000000007</v>
      </c>
      <c r="J1663">
        <v>84.784000000000006</v>
      </c>
      <c r="K1663">
        <v>11.973000000000001</v>
      </c>
      <c r="L1663">
        <v>23</v>
      </c>
      <c r="M1663">
        <v>4</v>
      </c>
      <c r="N1663">
        <v>10</v>
      </c>
      <c r="O1663">
        <v>79.358000000000004</v>
      </c>
      <c r="P1663">
        <v>13.853728609999999</v>
      </c>
      <c r="Q1663">
        <v>11.702999999999999</v>
      </c>
    </row>
    <row r="1664" spans="1:17" x14ac:dyDescent="0.2">
      <c r="A1664" s="30" t="str">
        <f>IF(C1664&amp;G1664&amp;D1664&lt;&gt;'Funnel setup'!$K$3&amp;'Funnel setup'!$K$4&amp;'Funnel setup'!$K$5,".",IF(A1663=".",1,A1663+1))</f>
        <v>.</v>
      </c>
      <c r="B1664" s="431" t="str">
        <f t="shared" si="25"/>
        <v>Hip Replacement PrimaryProviderBMI GISBURNE PARK HOSPITAL (NT497)EQ VAS</v>
      </c>
      <c r="C1664" t="s">
        <v>248</v>
      </c>
      <c r="D1664" t="s">
        <v>1</v>
      </c>
      <c r="E1664" t="s">
        <v>3319</v>
      </c>
      <c r="F1664" t="s">
        <v>3320</v>
      </c>
      <c r="G1664" t="s">
        <v>179</v>
      </c>
      <c r="H1664">
        <v>44</v>
      </c>
      <c r="I1664">
        <v>67.795000000000002</v>
      </c>
      <c r="J1664">
        <v>76.409000000000006</v>
      </c>
      <c r="K1664">
        <v>8.6140000000000008</v>
      </c>
      <c r="L1664">
        <v>26</v>
      </c>
      <c r="M1664">
        <v>3</v>
      </c>
      <c r="N1664">
        <v>15</v>
      </c>
      <c r="O1664">
        <v>75.66</v>
      </c>
      <c r="P1664">
        <v>10.156071109999999</v>
      </c>
      <c r="Q1664">
        <v>15.395</v>
      </c>
    </row>
    <row r="1665" spans="1:17" x14ac:dyDescent="0.2">
      <c r="A1665" s="30" t="str">
        <f>IF(C1665&amp;G1665&amp;D1665&lt;&gt;'Funnel setup'!$K$3&amp;'Funnel setup'!$K$4&amp;'Funnel setup'!$K$5,".",IF(A1664=".",1,A1664+1))</f>
        <v>.</v>
      </c>
      <c r="B1665" s="431" t="str">
        <f t="shared" si="25"/>
        <v>Hip Replacement PrimaryProviderBMI MOUNT ALVERNIA HOSPITAL (NT455)EQ VAS</v>
      </c>
      <c r="C1665" t="s">
        <v>248</v>
      </c>
      <c r="D1665" t="s">
        <v>1</v>
      </c>
      <c r="E1665" t="s">
        <v>3322</v>
      </c>
      <c r="F1665" t="s">
        <v>3323</v>
      </c>
      <c r="G1665" t="s">
        <v>179</v>
      </c>
      <c r="H1665">
        <v>9</v>
      </c>
      <c r="I1665">
        <v>67.778000000000006</v>
      </c>
      <c r="J1665">
        <v>73.778000000000006</v>
      </c>
      <c r="K1665">
        <v>6</v>
      </c>
      <c r="L1665">
        <v>5</v>
      </c>
      <c r="M1665">
        <v>1</v>
      </c>
      <c r="N1665">
        <v>3</v>
      </c>
      <c r="O1665" t="s">
        <v>53</v>
      </c>
      <c r="P1665" t="s">
        <v>53</v>
      </c>
      <c r="Q1665" t="s">
        <v>53</v>
      </c>
    </row>
    <row r="1666" spans="1:17" x14ac:dyDescent="0.2">
      <c r="A1666" s="30" t="str">
        <f>IF(C1666&amp;G1666&amp;D1666&lt;&gt;'Funnel setup'!$K$3&amp;'Funnel setup'!$K$4&amp;'Funnel setup'!$K$5,".",IF(A1665=".",1,A1665+1))</f>
        <v>.</v>
      </c>
      <c r="B1666" s="431" t="str">
        <f t="shared" si="25"/>
        <v>Hip Replacement PrimaryProviderBMI ST EDMUNDS HOSPITAL (NT446)EQ VAS</v>
      </c>
      <c r="C1666" t="s">
        <v>248</v>
      </c>
      <c r="D1666" t="s">
        <v>1</v>
      </c>
      <c r="E1666" t="s">
        <v>3328</v>
      </c>
      <c r="F1666" t="s">
        <v>3329</v>
      </c>
      <c r="G1666" t="s">
        <v>179</v>
      </c>
      <c r="H1666">
        <v>79</v>
      </c>
      <c r="I1666">
        <v>68.341999999999999</v>
      </c>
      <c r="J1666">
        <v>80.847999999999999</v>
      </c>
      <c r="K1666">
        <v>12.506</v>
      </c>
      <c r="L1666">
        <v>56</v>
      </c>
      <c r="M1666">
        <v>9</v>
      </c>
      <c r="N1666">
        <v>14</v>
      </c>
      <c r="O1666">
        <v>77.164000000000001</v>
      </c>
      <c r="P1666">
        <v>11.65981895</v>
      </c>
      <c r="Q1666">
        <v>14.294</v>
      </c>
    </row>
    <row r="1667" spans="1:17" x14ac:dyDescent="0.2">
      <c r="A1667" s="30" t="str">
        <f>IF(C1667&amp;G1667&amp;D1667&lt;&gt;'Funnel setup'!$K$3&amp;'Funnel setup'!$K$4&amp;'Funnel setup'!$K$5,".",IF(A1666=".",1,A1666+1))</f>
        <v>.</v>
      </c>
      <c r="B1667" s="431" t="str">
        <f t="shared" ref="B1667:B1730" si="26">C1667&amp;D1667&amp;F1667&amp;G1667</f>
        <v>Hip Replacement PrimaryProviderBMI THE CAVELL HOSPITAL (NT451)EQ VAS</v>
      </c>
      <c r="C1667" t="s">
        <v>248</v>
      </c>
      <c r="D1667" t="s">
        <v>1</v>
      </c>
      <c r="E1667" t="s">
        <v>3331</v>
      </c>
      <c r="F1667" t="s">
        <v>3332</v>
      </c>
      <c r="G1667" t="s">
        <v>179</v>
      </c>
      <c r="H1667">
        <v>30</v>
      </c>
      <c r="I1667">
        <v>69.5</v>
      </c>
      <c r="J1667">
        <v>82.233000000000004</v>
      </c>
      <c r="K1667">
        <v>12.733000000000001</v>
      </c>
      <c r="L1667">
        <v>24</v>
      </c>
      <c r="M1667">
        <v>0</v>
      </c>
      <c r="N1667">
        <v>6</v>
      </c>
      <c r="O1667">
        <v>79.668999999999997</v>
      </c>
      <c r="P1667">
        <v>14.16516742</v>
      </c>
      <c r="Q1667">
        <v>9.7669999999999995</v>
      </c>
    </row>
    <row r="1668" spans="1:17" x14ac:dyDescent="0.2">
      <c r="A1668" s="30" t="str">
        <f>IF(C1668&amp;G1668&amp;D1668&lt;&gt;'Funnel setup'!$K$3&amp;'Funnel setup'!$K$4&amp;'Funnel setup'!$K$5,".",IF(A1667=".",1,A1667+1))</f>
        <v>.</v>
      </c>
      <c r="B1668" s="431" t="str">
        <f t="shared" si="26"/>
        <v>Hip Replacement PrimaryProviderBMI THE DUCHY HOSPITAL (NT447)EQ VAS</v>
      </c>
      <c r="C1668" t="s">
        <v>248</v>
      </c>
      <c r="D1668" t="s">
        <v>1</v>
      </c>
      <c r="E1668" t="s">
        <v>3334</v>
      </c>
      <c r="F1668" t="s">
        <v>3335</v>
      </c>
      <c r="G1668" t="s">
        <v>179</v>
      </c>
      <c r="H1668">
        <v>17</v>
      </c>
      <c r="I1668">
        <v>65.941000000000003</v>
      </c>
      <c r="J1668">
        <v>86.058999999999997</v>
      </c>
      <c r="K1668">
        <v>20.117999999999999</v>
      </c>
      <c r="L1668">
        <v>14</v>
      </c>
      <c r="M1668">
        <v>2</v>
      </c>
      <c r="N1668">
        <v>1</v>
      </c>
      <c r="O1668" t="s">
        <v>53</v>
      </c>
      <c r="P1668" t="s">
        <v>53</v>
      </c>
      <c r="Q1668" t="s">
        <v>53</v>
      </c>
    </row>
    <row r="1669" spans="1:17" x14ac:dyDescent="0.2">
      <c r="A1669" s="30" t="str">
        <f>IF(C1669&amp;G1669&amp;D1669&lt;&gt;'Funnel setup'!$K$3&amp;'Funnel setup'!$K$4&amp;'Funnel setup'!$K$5,".",IF(A1668=".",1,A1668+1))</f>
        <v>.</v>
      </c>
      <c r="B1669" s="431" t="str">
        <f t="shared" si="26"/>
        <v>Hip Replacement PrimaryProviderBMI THE EDGBASTON HOSPITAL (NT445)EQ VAS</v>
      </c>
      <c r="C1669" t="s">
        <v>248</v>
      </c>
      <c r="D1669" t="s">
        <v>1</v>
      </c>
      <c r="E1669" t="s">
        <v>3337</v>
      </c>
      <c r="F1669" t="s">
        <v>3338</v>
      </c>
      <c r="G1669" t="s">
        <v>179</v>
      </c>
      <c r="H1669">
        <v>30</v>
      </c>
      <c r="I1669">
        <v>67.8</v>
      </c>
      <c r="J1669">
        <v>80.332999999999998</v>
      </c>
      <c r="K1669">
        <v>12.532999999999999</v>
      </c>
      <c r="L1669">
        <v>22</v>
      </c>
      <c r="M1669">
        <v>2</v>
      </c>
      <c r="N1669">
        <v>6</v>
      </c>
      <c r="O1669">
        <v>78.308999999999997</v>
      </c>
      <c r="P1669">
        <v>12.805139309999999</v>
      </c>
      <c r="Q1669">
        <v>10.9</v>
      </c>
    </row>
    <row r="1670" spans="1:17" x14ac:dyDescent="0.2">
      <c r="A1670" s="30" t="str">
        <f>IF(C1670&amp;G1670&amp;D1670&lt;&gt;'Funnel setup'!$K$3&amp;'Funnel setup'!$K$4&amp;'Funnel setup'!$K$5,".",IF(A1669=".",1,A1669+1))</f>
        <v>.</v>
      </c>
      <c r="B1670" s="431" t="str">
        <f t="shared" si="26"/>
        <v>Hip Replacement PrimaryProviderBMI THE HUDDERSFIELD HOSPITAL (NT448)EQ VAS</v>
      </c>
      <c r="C1670" t="s">
        <v>248</v>
      </c>
      <c r="D1670" t="s">
        <v>1</v>
      </c>
      <c r="E1670" t="s">
        <v>3346</v>
      </c>
      <c r="F1670" t="s">
        <v>3347</v>
      </c>
      <c r="G1670" t="s">
        <v>179</v>
      </c>
      <c r="H1670">
        <v>44</v>
      </c>
      <c r="I1670">
        <v>73.614000000000004</v>
      </c>
      <c r="J1670">
        <v>83.432000000000002</v>
      </c>
      <c r="K1670">
        <v>9.8179999999999996</v>
      </c>
      <c r="L1670">
        <v>30</v>
      </c>
      <c r="M1670">
        <v>6</v>
      </c>
      <c r="N1670">
        <v>8</v>
      </c>
      <c r="O1670">
        <v>79.585999999999999</v>
      </c>
      <c r="P1670">
        <v>14.081872369999999</v>
      </c>
      <c r="Q1670">
        <v>8.9039999999999999</v>
      </c>
    </row>
    <row r="1671" spans="1:17" x14ac:dyDescent="0.2">
      <c r="A1671" s="30" t="str">
        <f>IF(C1671&amp;G1671&amp;D1671&lt;&gt;'Funnel setup'!$K$3&amp;'Funnel setup'!$K$4&amp;'Funnel setup'!$K$5,".",IF(A1670=".",1,A1670+1))</f>
        <v>.</v>
      </c>
      <c r="B1671" s="431" t="str">
        <f t="shared" si="26"/>
        <v>Hip Replacement PrimaryProviderBMI THE LANCASTER HOSPITAL (NT449)EQ VAS</v>
      </c>
      <c r="C1671" t="s">
        <v>248</v>
      </c>
      <c r="D1671" t="s">
        <v>1</v>
      </c>
      <c r="E1671" t="s">
        <v>3349</v>
      </c>
      <c r="F1671" t="s">
        <v>3350</v>
      </c>
      <c r="G1671" t="s">
        <v>179</v>
      </c>
      <c r="H1671">
        <v>42</v>
      </c>
      <c r="I1671">
        <v>70.856999999999999</v>
      </c>
      <c r="J1671">
        <v>76.643000000000001</v>
      </c>
      <c r="K1671">
        <v>5.7859999999999996</v>
      </c>
      <c r="L1671">
        <v>23</v>
      </c>
      <c r="M1671">
        <v>6</v>
      </c>
      <c r="N1671">
        <v>13</v>
      </c>
      <c r="O1671">
        <v>74.343000000000004</v>
      </c>
      <c r="P1671">
        <v>8.8390773510000002</v>
      </c>
      <c r="Q1671">
        <v>10.07</v>
      </c>
    </row>
    <row r="1672" spans="1:17" x14ac:dyDescent="0.2">
      <c r="A1672" s="30" t="str">
        <f>IF(C1672&amp;G1672&amp;D1672&lt;&gt;'Funnel setup'!$K$3&amp;'Funnel setup'!$K$4&amp;'Funnel setup'!$K$5,".",IF(A1671=".",1,A1671+1))</f>
        <v>.</v>
      </c>
      <c r="B1672" s="431" t="str">
        <f t="shared" si="26"/>
        <v>Hip Replacement PrimaryProviderBMI THE LINCOLN HOSPITAL (NT450)EQ VAS</v>
      </c>
      <c r="C1672" t="s">
        <v>248</v>
      </c>
      <c r="D1672" t="s">
        <v>1</v>
      </c>
      <c r="E1672" t="s">
        <v>3352</v>
      </c>
      <c r="F1672" t="s">
        <v>3353</v>
      </c>
      <c r="G1672" t="s">
        <v>179</v>
      </c>
      <c r="H1672">
        <v>75</v>
      </c>
      <c r="I1672">
        <v>69.88</v>
      </c>
      <c r="J1672">
        <v>79.8</v>
      </c>
      <c r="K1672">
        <v>9.92</v>
      </c>
      <c r="L1672">
        <v>52</v>
      </c>
      <c r="M1672">
        <v>4</v>
      </c>
      <c r="N1672">
        <v>19</v>
      </c>
      <c r="O1672">
        <v>78.475999999999999</v>
      </c>
      <c r="P1672">
        <v>12.971415159999999</v>
      </c>
      <c r="Q1672">
        <v>16.684000000000001</v>
      </c>
    </row>
    <row r="1673" spans="1:17" x14ac:dyDescent="0.2">
      <c r="A1673" s="30" t="str">
        <f>IF(C1673&amp;G1673&amp;D1673&lt;&gt;'Funnel setup'!$K$3&amp;'Funnel setup'!$K$4&amp;'Funnel setup'!$K$5,".",IF(A1672=".",1,A1672+1))</f>
        <v>.</v>
      </c>
      <c r="B1673" s="431" t="str">
        <f t="shared" si="26"/>
        <v>Hip Replacement PrimaryProviderBMI WOODLANDS HOSPITAL (NT457)EQ VAS</v>
      </c>
      <c r="C1673" t="s">
        <v>248</v>
      </c>
      <c r="D1673" t="s">
        <v>1</v>
      </c>
      <c r="E1673" t="s">
        <v>3355</v>
      </c>
      <c r="F1673" t="s">
        <v>3356</v>
      </c>
      <c r="G1673" t="s">
        <v>179</v>
      </c>
      <c r="H1673">
        <v>62</v>
      </c>
      <c r="I1673">
        <v>66.290000000000006</v>
      </c>
      <c r="J1673">
        <v>76.774000000000001</v>
      </c>
      <c r="K1673">
        <v>10.484</v>
      </c>
      <c r="L1673">
        <v>34</v>
      </c>
      <c r="M1673">
        <v>6</v>
      </c>
      <c r="N1673">
        <v>22</v>
      </c>
      <c r="O1673">
        <v>74.83</v>
      </c>
      <c r="P1673">
        <v>9.3260109740000008</v>
      </c>
      <c r="Q1673">
        <v>15.805</v>
      </c>
    </row>
    <row r="1674" spans="1:17" x14ac:dyDescent="0.2">
      <c r="A1674" s="30" t="str">
        <f>IF(C1674&amp;G1674&amp;D1674&lt;&gt;'Funnel setup'!$K$3&amp;'Funnel setup'!$K$4&amp;'Funnel setup'!$K$5,".",IF(A1673=".",1,A1673+1))</f>
        <v>.</v>
      </c>
      <c r="B1674" s="431" t="str">
        <f t="shared" si="26"/>
        <v>Hip Replacement PrimaryProviderBOLTON NHS FOUNDATION TRUST (RMC)EQ VAS</v>
      </c>
      <c r="C1674" t="s">
        <v>248</v>
      </c>
      <c r="D1674" t="s">
        <v>1</v>
      </c>
      <c r="E1674" t="s">
        <v>3358</v>
      </c>
      <c r="F1674" t="s">
        <v>3359</v>
      </c>
      <c r="G1674" t="s">
        <v>179</v>
      </c>
      <c r="H1674">
        <v>93</v>
      </c>
      <c r="I1674">
        <v>60.988999999999997</v>
      </c>
      <c r="J1674">
        <v>75.677000000000007</v>
      </c>
      <c r="K1674">
        <v>14.688000000000001</v>
      </c>
      <c r="L1674">
        <v>64</v>
      </c>
      <c r="M1674">
        <v>10</v>
      </c>
      <c r="N1674">
        <v>19</v>
      </c>
      <c r="O1674">
        <v>79.590999999999994</v>
      </c>
      <c r="P1674">
        <v>14.086472929999999</v>
      </c>
      <c r="Q1674">
        <v>18.908000000000001</v>
      </c>
    </row>
    <row r="1675" spans="1:17" x14ac:dyDescent="0.2">
      <c r="A1675" s="30" t="str">
        <f>IF(C1675&amp;G1675&amp;D1675&lt;&gt;'Funnel setup'!$K$3&amp;'Funnel setup'!$K$4&amp;'Funnel setup'!$K$5,".",IF(A1674=".",1,A1674+1))</f>
        <v>.</v>
      </c>
      <c r="B1675" s="431" t="str">
        <f t="shared" si="26"/>
        <v>Hip Replacement PrimaryProviderBRADFORD TEACHING HOSPITALS NHS FOUNDATION TRUST (RAE)EQ VAS</v>
      </c>
      <c r="C1675" t="s">
        <v>248</v>
      </c>
      <c r="D1675" t="s">
        <v>1</v>
      </c>
      <c r="E1675" t="s">
        <v>3361</v>
      </c>
      <c r="F1675" t="s">
        <v>3362</v>
      </c>
      <c r="G1675" t="s">
        <v>179</v>
      </c>
      <c r="H1675">
        <v>84</v>
      </c>
      <c r="I1675">
        <v>57.856999999999999</v>
      </c>
      <c r="J1675">
        <v>73.213999999999999</v>
      </c>
      <c r="K1675">
        <v>15.356999999999999</v>
      </c>
      <c r="L1675">
        <v>57</v>
      </c>
      <c r="M1675">
        <v>11</v>
      </c>
      <c r="N1675">
        <v>16</v>
      </c>
      <c r="O1675">
        <v>79.143000000000001</v>
      </c>
      <c r="P1675">
        <v>13.63863029</v>
      </c>
      <c r="Q1675">
        <v>18.529</v>
      </c>
    </row>
    <row r="1676" spans="1:17" x14ac:dyDescent="0.2">
      <c r="A1676" s="30" t="str">
        <f>IF(C1676&amp;G1676&amp;D1676&lt;&gt;'Funnel setup'!$K$3&amp;'Funnel setup'!$K$4&amp;'Funnel setup'!$K$5,".",IF(A1675=".",1,A1675+1))</f>
        <v>.</v>
      </c>
      <c r="B1676" s="431" t="str">
        <f t="shared" si="26"/>
        <v>Hip Replacement PrimaryProviderBRIGHTON AND SUSSEX UNIVERSITY HOSPITALS NHS TRUST (RXH)EQ VAS</v>
      </c>
      <c r="C1676" t="s">
        <v>248</v>
      </c>
      <c r="D1676" t="s">
        <v>1</v>
      </c>
      <c r="E1676" t="s">
        <v>3367</v>
      </c>
      <c r="F1676" t="s">
        <v>3368</v>
      </c>
      <c r="G1676" t="s">
        <v>179</v>
      </c>
      <c r="H1676">
        <v>179</v>
      </c>
      <c r="I1676">
        <v>66.542000000000002</v>
      </c>
      <c r="J1676">
        <v>77.150999999999996</v>
      </c>
      <c r="K1676">
        <v>10.609</v>
      </c>
      <c r="L1676">
        <v>108</v>
      </c>
      <c r="M1676">
        <v>26</v>
      </c>
      <c r="N1676">
        <v>45</v>
      </c>
      <c r="O1676">
        <v>76.891999999999996</v>
      </c>
      <c r="P1676">
        <v>11.3873824</v>
      </c>
      <c r="Q1676">
        <v>14.839</v>
      </c>
    </row>
    <row r="1677" spans="1:17" x14ac:dyDescent="0.2">
      <c r="A1677" s="30" t="str">
        <f>IF(C1677&amp;G1677&amp;D1677&lt;&gt;'Funnel setup'!$K$3&amp;'Funnel setup'!$K$4&amp;'Funnel setup'!$K$5,".",IF(A1676=".",1,A1676+1))</f>
        <v>.</v>
      </c>
      <c r="B1677" s="431" t="str">
        <f t="shared" si="26"/>
        <v>Hip Replacement PrimaryProviderBUCKINGHAMSHIRE HEALTHCARE NHS TRUST (RXQ)EQ VAS</v>
      </c>
      <c r="C1677" t="s">
        <v>248</v>
      </c>
      <c r="D1677" t="s">
        <v>1</v>
      </c>
      <c r="E1677" t="s">
        <v>3370</v>
      </c>
      <c r="F1677" t="s">
        <v>3371</v>
      </c>
      <c r="G1677" t="s">
        <v>179</v>
      </c>
      <c r="H1677">
        <v>146</v>
      </c>
      <c r="I1677">
        <v>63.006999999999998</v>
      </c>
      <c r="J1677">
        <v>73.664000000000001</v>
      </c>
      <c r="K1677">
        <v>10.657999999999999</v>
      </c>
      <c r="L1677">
        <v>92</v>
      </c>
      <c r="M1677">
        <v>17</v>
      </c>
      <c r="N1677">
        <v>37</v>
      </c>
      <c r="O1677">
        <v>73.760999999999996</v>
      </c>
      <c r="P1677">
        <v>8.2568723029999997</v>
      </c>
      <c r="Q1677">
        <v>18.576000000000001</v>
      </c>
    </row>
    <row r="1678" spans="1:17" x14ac:dyDescent="0.2">
      <c r="A1678" s="30" t="str">
        <f>IF(C1678&amp;G1678&amp;D1678&lt;&gt;'Funnel setup'!$K$3&amp;'Funnel setup'!$K$4&amp;'Funnel setup'!$K$5,".",IF(A1677=".",1,A1677+1))</f>
        <v>.</v>
      </c>
      <c r="B1678" s="431" t="str">
        <f t="shared" si="26"/>
        <v>Hip Replacement PrimaryProviderBURTON HOSPITALS NHS FOUNDATION TRUST (RJF)EQ VAS</v>
      </c>
      <c r="C1678" t="s">
        <v>248</v>
      </c>
      <c r="D1678" t="s">
        <v>1</v>
      </c>
      <c r="E1678" t="s">
        <v>3373</v>
      </c>
      <c r="F1678" t="s">
        <v>3374</v>
      </c>
      <c r="G1678" t="s">
        <v>179</v>
      </c>
      <c r="H1678">
        <v>158</v>
      </c>
      <c r="I1678">
        <v>66.126999999999995</v>
      </c>
      <c r="J1678">
        <v>78.695999999999998</v>
      </c>
      <c r="K1678">
        <v>12.57</v>
      </c>
      <c r="L1678">
        <v>113</v>
      </c>
      <c r="M1678">
        <v>12</v>
      </c>
      <c r="N1678">
        <v>33</v>
      </c>
      <c r="O1678">
        <v>78.492000000000004</v>
      </c>
      <c r="P1678">
        <v>12.98719092</v>
      </c>
      <c r="Q1678">
        <v>12.519</v>
      </c>
    </row>
    <row r="1679" spans="1:17" x14ac:dyDescent="0.2">
      <c r="A1679" s="30" t="str">
        <f>IF(C1679&amp;G1679&amp;D1679&lt;&gt;'Funnel setup'!$K$3&amp;'Funnel setup'!$K$4&amp;'Funnel setup'!$K$5,".",IF(A1678=".",1,A1678+1))</f>
        <v>.</v>
      </c>
      <c r="B1679" s="431" t="str">
        <f t="shared" si="26"/>
        <v>Hip Replacement PrimaryProviderCALDERDALE AND HUDDERSFIELD NHS FOUNDATION TRUST (RWY)EQ VAS</v>
      </c>
      <c r="C1679" t="s">
        <v>248</v>
      </c>
      <c r="D1679" t="s">
        <v>1</v>
      </c>
      <c r="E1679" t="s">
        <v>3379</v>
      </c>
      <c r="F1679" t="s">
        <v>3380</v>
      </c>
      <c r="G1679" t="s">
        <v>179</v>
      </c>
      <c r="H1679">
        <v>230</v>
      </c>
      <c r="I1679">
        <v>65.216999999999999</v>
      </c>
      <c r="J1679">
        <v>77.296000000000006</v>
      </c>
      <c r="K1679">
        <v>12.077999999999999</v>
      </c>
      <c r="L1679">
        <v>149</v>
      </c>
      <c r="M1679">
        <v>25</v>
      </c>
      <c r="N1679">
        <v>56</v>
      </c>
      <c r="O1679">
        <v>78.034999999999997</v>
      </c>
      <c r="P1679">
        <v>12.531016729999999</v>
      </c>
      <c r="Q1679">
        <v>15.225</v>
      </c>
    </row>
    <row r="1680" spans="1:17" x14ac:dyDescent="0.2">
      <c r="A1680" s="30" t="str">
        <f>IF(C1680&amp;G1680&amp;D1680&lt;&gt;'Funnel setup'!$K$3&amp;'Funnel setup'!$K$4&amp;'Funnel setup'!$K$5,".",IF(A1679=".",1,A1679+1))</f>
        <v>.</v>
      </c>
      <c r="B1680" s="431" t="str">
        <f t="shared" si="26"/>
        <v>Hip Replacement PrimaryProviderCAMBRIDGE UNIVERSITY HOSPITALS NHS FOUNDATION TRUST (RGT)EQ VAS</v>
      </c>
      <c r="C1680" t="s">
        <v>248</v>
      </c>
      <c r="D1680" t="s">
        <v>1</v>
      </c>
      <c r="E1680" t="s">
        <v>3076</v>
      </c>
      <c r="F1680" t="s">
        <v>3077</v>
      </c>
      <c r="G1680" t="s">
        <v>179</v>
      </c>
      <c r="H1680">
        <v>216</v>
      </c>
      <c r="I1680">
        <v>62.62</v>
      </c>
      <c r="J1680">
        <v>79.069000000000003</v>
      </c>
      <c r="K1680">
        <v>16.449000000000002</v>
      </c>
      <c r="L1680">
        <v>157</v>
      </c>
      <c r="M1680">
        <v>21</v>
      </c>
      <c r="N1680">
        <v>38</v>
      </c>
      <c r="O1680">
        <v>79.162999999999997</v>
      </c>
      <c r="P1680">
        <v>13.65862108</v>
      </c>
      <c r="Q1680">
        <v>15.131</v>
      </c>
    </row>
    <row r="1681" spans="1:17" x14ac:dyDescent="0.2">
      <c r="A1681" s="30" t="str">
        <f>IF(C1681&amp;G1681&amp;D1681&lt;&gt;'Funnel setup'!$K$3&amp;'Funnel setup'!$K$4&amp;'Funnel setup'!$K$5,".",IF(A1680=".",1,A1680+1))</f>
        <v>.</v>
      </c>
      <c r="B1681" s="431" t="str">
        <f t="shared" si="26"/>
        <v>Hip Replacement PrimaryProviderCENTRAL MANCHESTER UNIVERSITY HOSPITALS NHS FOUNDATION TRUST (RW3)EQ VAS</v>
      </c>
      <c r="C1681" t="s">
        <v>248</v>
      </c>
      <c r="D1681" t="s">
        <v>1</v>
      </c>
      <c r="E1681" t="s">
        <v>3079</v>
      </c>
      <c r="F1681" t="s">
        <v>3080</v>
      </c>
      <c r="G1681" t="s">
        <v>179</v>
      </c>
      <c r="H1681">
        <v>48</v>
      </c>
      <c r="I1681">
        <v>66.063000000000002</v>
      </c>
      <c r="J1681">
        <v>78.207999999999998</v>
      </c>
      <c r="K1681">
        <v>12.146000000000001</v>
      </c>
      <c r="L1681">
        <v>34</v>
      </c>
      <c r="M1681">
        <v>5</v>
      </c>
      <c r="N1681">
        <v>9</v>
      </c>
      <c r="O1681">
        <v>78.397000000000006</v>
      </c>
      <c r="P1681">
        <v>12.89264185</v>
      </c>
      <c r="Q1681">
        <v>14.775</v>
      </c>
    </row>
    <row r="1682" spans="1:17" x14ac:dyDescent="0.2">
      <c r="A1682" s="30" t="str">
        <f>IF(C1682&amp;G1682&amp;D1682&lt;&gt;'Funnel setup'!$K$3&amp;'Funnel setup'!$K$4&amp;'Funnel setup'!$K$5,".",IF(A1681=".",1,A1681+1))</f>
        <v>.</v>
      </c>
      <c r="B1682" s="431" t="str">
        <f t="shared" si="26"/>
        <v>Hip Replacement PrimaryProviderCHELSEA AND WESTMINSTER HOSPITAL NHS FOUNDATION TRUST (RQM)EQ VAS</v>
      </c>
      <c r="C1682" t="s">
        <v>248</v>
      </c>
      <c r="D1682" t="s">
        <v>1</v>
      </c>
      <c r="E1682" t="s">
        <v>3082</v>
      </c>
      <c r="F1682" t="s">
        <v>3083</v>
      </c>
      <c r="G1682" t="s">
        <v>179</v>
      </c>
      <c r="H1682">
        <v>23</v>
      </c>
      <c r="I1682">
        <v>59.304000000000002</v>
      </c>
      <c r="J1682">
        <v>78.043000000000006</v>
      </c>
      <c r="K1682">
        <v>18.739000000000001</v>
      </c>
      <c r="L1682">
        <v>16</v>
      </c>
      <c r="M1682">
        <v>5</v>
      </c>
      <c r="N1682">
        <v>2</v>
      </c>
      <c r="O1682" t="s">
        <v>53</v>
      </c>
      <c r="P1682" t="s">
        <v>53</v>
      </c>
      <c r="Q1682" t="s">
        <v>53</v>
      </c>
    </row>
    <row r="1683" spans="1:17" x14ac:dyDescent="0.2">
      <c r="A1683" s="30" t="str">
        <f>IF(C1683&amp;G1683&amp;D1683&lt;&gt;'Funnel setup'!$K$3&amp;'Funnel setup'!$K$4&amp;'Funnel setup'!$K$5,".",IF(A1682=".",1,A1682+1))</f>
        <v>.</v>
      </c>
      <c r="B1683" s="431" t="str">
        <f t="shared" si="26"/>
        <v>Hip Replacement PrimaryProviderCHESTERFIELD ROYAL HOSPITAL NHS FOUNDATION TRUST (RFS)EQ VAS</v>
      </c>
      <c r="C1683" t="s">
        <v>248</v>
      </c>
      <c r="D1683" t="s">
        <v>1</v>
      </c>
      <c r="E1683" t="s">
        <v>3085</v>
      </c>
      <c r="F1683" t="s">
        <v>3086</v>
      </c>
      <c r="G1683" t="s">
        <v>179</v>
      </c>
      <c r="H1683">
        <v>169</v>
      </c>
      <c r="I1683">
        <v>62.348999999999997</v>
      </c>
      <c r="J1683">
        <v>73.905000000000001</v>
      </c>
      <c r="K1683">
        <v>11.555999999999999</v>
      </c>
      <c r="L1683">
        <v>108</v>
      </c>
      <c r="M1683">
        <v>13</v>
      </c>
      <c r="N1683">
        <v>48</v>
      </c>
      <c r="O1683">
        <v>76.603999999999999</v>
      </c>
      <c r="P1683">
        <v>11.100011520000001</v>
      </c>
      <c r="Q1683">
        <v>15.765000000000001</v>
      </c>
    </row>
    <row r="1684" spans="1:17" x14ac:dyDescent="0.2">
      <c r="A1684" s="30" t="str">
        <f>IF(C1684&amp;G1684&amp;D1684&lt;&gt;'Funnel setup'!$K$3&amp;'Funnel setup'!$K$4&amp;'Funnel setup'!$K$5,".",IF(A1683=".",1,A1683+1))</f>
        <v>.</v>
      </c>
      <c r="B1684" s="431" t="str">
        <f t="shared" si="26"/>
        <v>Hip Replacement PrimaryProviderCIRCLE BATH HOSPITAL (NV302)EQ VAS</v>
      </c>
      <c r="C1684" t="s">
        <v>248</v>
      </c>
      <c r="D1684" t="s">
        <v>1</v>
      </c>
      <c r="E1684" t="s">
        <v>3097</v>
      </c>
      <c r="F1684" t="s">
        <v>3098</v>
      </c>
      <c r="G1684" t="s">
        <v>179</v>
      </c>
      <c r="H1684">
        <v>182</v>
      </c>
      <c r="I1684">
        <v>64.587999999999994</v>
      </c>
      <c r="J1684">
        <v>82.972999999999999</v>
      </c>
      <c r="K1684">
        <v>18.385000000000002</v>
      </c>
      <c r="L1684">
        <v>147</v>
      </c>
      <c r="M1684">
        <v>14</v>
      </c>
      <c r="N1684">
        <v>21</v>
      </c>
      <c r="O1684">
        <v>81.204999999999998</v>
      </c>
      <c r="P1684">
        <v>15.70116127</v>
      </c>
      <c r="Q1684">
        <v>13.28</v>
      </c>
    </row>
    <row r="1685" spans="1:17" x14ac:dyDescent="0.2">
      <c r="A1685" s="30" t="str">
        <f>IF(C1685&amp;G1685&amp;D1685&lt;&gt;'Funnel setup'!$K$3&amp;'Funnel setup'!$K$4&amp;'Funnel setup'!$K$5,".",IF(A1684=".",1,A1684+1))</f>
        <v>.</v>
      </c>
      <c r="B1685" s="431" t="str">
        <f t="shared" si="26"/>
        <v>Hip Replacement PrimaryProviderCIRCLE READING HOSPITAL (NV323)EQ VAS</v>
      </c>
      <c r="C1685" t="s">
        <v>248</v>
      </c>
      <c r="D1685" t="s">
        <v>1</v>
      </c>
      <c r="E1685" t="s">
        <v>3091</v>
      </c>
      <c r="F1685" t="s">
        <v>3092</v>
      </c>
      <c r="G1685" t="s">
        <v>179</v>
      </c>
      <c r="H1685">
        <v>100</v>
      </c>
      <c r="I1685">
        <v>70.180000000000007</v>
      </c>
      <c r="J1685">
        <v>76.89</v>
      </c>
      <c r="K1685">
        <v>6.71</v>
      </c>
      <c r="L1685">
        <v>57</v>
      </c>
      <c r="M1685">
        <v>12</v>
      </c>
      <c r="N1685">
        <v>31</v>
      </c>
      <c r="O1685">
        <v>72.716999999999999</v>
      </c>
      <c r="P1685">
        <v>7.2130375430000004</v>
      </c>
      <c r="Q1685">
        <v>16.509</v>
      </c>
    </row>
    <row r="1686" spans="1:17" x14ac:dyDescent="0.2">
      <c r="A1686" s="30" t="str">
        <f>IF(C1686&amp;G1686&amp;D1686&lt;&gt;'Funnel setup'!$K$3&amp;'Funnel setup'!$K$4&amp;'Funnel setup'!$K$5,".",IF(A1685=".",1,A1685+1))</f>
        <v>.</v>
      </c>
      <c r="B1686" s="431" t="str">
        <f t="shared" si="26"/>
        <v>Hip Replacement PrimaryProviderCITY HOSPITALS SUNDERLAND NHS FOUNDATION TRUST (RLN)EQ VAS</v>
      </c>
      <c r="C1686" t="s">
        <v>248</v>
      </c>
      <c r="D1686" t="s">
        <v>1</v>
      </c>
      <c r="E1686" t="s">
        <v>3100</v>
      </c>
      <c r="F1686" t="s">
        <v>3101</v>
      </c>
      <c r="G1686" t="s">
        <v>179</v>
      </c>
      <c r="H1686">
        <v>172</v>
      </c>
      <c r="I1686">
        <v>60.808</v>
      </c>
      <c r="J1686">
        <v>72.459000000000003</v>
      </c>
      <c r="K1686">
        <v>11.651</v>
      </c>
      <c r="L1686">
        <v>107</v>
      </c>
      <c r="M1686">
        <v>23</v>
      </c>
      <c r="N1686">
        <v>42</v>
      </c>
      <c r="O1686">
        <v>75.299000000000007</v>
      </c>
      <c r="P1686">
        <v>9.7944243069999999</v>
      </c>
      <c r="Q1686">
        <v>18.048999999999999</v>
      </c>
    </row>
    <row r="1687" spans="1:17" x14ac:dyDescent="0.2">
      <c r="A1687" s="30" t="str">
        <f>IF(C1687&amp;G1687&amp;D1687&lt;&gt;'Funnel setup'!$K$3&amp;'Funnel setup'!$K$4&amp;'Funnel setup'!$K$5,".",IF(A1686=".",1,A1686+1))</f>
        <v>.</v>
      </c>
      <c r="B1687" s="431" t="str">
        <f t="shared" si="26"/>
        <v>Hip Replacement PrimaryProviderCLIFTON PARK HOSPITAL (NVC28)EQ VAS</v>
      </c>
      <c r="C1687" t="s">
        <v>248</v>
      </c>
      <c r="D1687" t="s">
        <v>1</v>
      </c>
      <c r="E1687" t="s">
        <v>4229</v>
      </c>
      <c r="F1687" t="s">
        <v>4230</v>
      </c>
      <c r="G1687" t="s">
        <v>179</v>
      </c>
      <c r="H1687">
        <v>237</v>
      </c>
      <c r="I1687">
        <v>70.400999999999996</v>
      </c>
      <c r="J1687">
        <v>81.025000000000006</v>
      </c>
      <c r="K1687">
        <v>10.624000000000001</v>
      </c>
      <c r="L1687">
        <v>163</v>
      </c>
      <c r="M1687">
        <v>24</v>
      </c>
      <c r="N1687">
        <v>50</v>
      </c>
      <c r="O1687">
        <v>77.641000000000005</v>
      </c>
      <c r="P1687">
        <v>12.13622705</v>
      </c>
      <c r="Q1687">
        <v>14.504</v>
      </c>
    </row>
    <row r="1688" spans="1:17" x14ac:dyDescent="0.2">
      <c r="A1688" s="30" t="str">
        <f>IF(C1688&amp;G1688&amp;D1688&lt;&gt;'Funnel setup'!$K$3&amp;'Funnel setup'!$K$4&amp;'Funnel setup'!$K$5,".",IF(A1687=".",1,A1687+1))</f>
        <v>.</v>
      </c>
      <c r="B1688" s="431" t="str">
        <f t="shared" si="26"/>
        <v>Hip Replacement PrimaryProviderCOLCHESTER HOSPITAL UNIVERSITY NHS FOUNDATION TRUST (RDE)EQ VAS</v>
      </c>
      <c r="C1688" t="s">
        <v>248</v>
      </c>
      <c r="D1688" t="s">
        <v>1</v>
      </c>
      <c r="E1688" t="s">
        <v>3109</v>
      </c>
      <c r="F1688" t="s">
        <v>3110</v>
      </c>
      <c r="G1688" t="s">
        <v>179</v>
      </c>
      <c r="H1688">
        <v>164</v>
      </c>
      <c r="I1688">
        <v>59.78</v>
      </c>
      <c r="J1688">
        <v>74.944999999999993</v>
      </c>
      <c r="K1688">
        <v>15.164999999999999</v>
      </c>
      <c r="L1688">
        <v>120</v>
      </c>
      <c r="M1688">
        <v>17</v>
      </c>
      <c r="N1688">
        <v>27</v>
      </c>
      <c r="O1688">
        <v>78.212999999999994</v>
      </c>
      <c r="P1688">
        <v>12.708593970000001</v>
      </c>
      <c r="Q1688">
        <v>15.271000000000001</v>
      </c>
    </row>
    <row r="1689" spans="1:17" x14ac:dyDescent="0.2">
      <c r="A1689" s="30" t="str">
        <f>IF(C1689&amp;G1689&amp;D1689&lt;&gt;'Funnel setup'!$K$3&amp;'Funnel setup'!$K$4&amp;'Funnel setup'!$K$5,".",IF(A1688=".",1,A1688+1))</f>
        <v>.</v>
      </c>
      <c r="B1689" s="431" t="str">
        <f t="shared" si="26"/>
        <v>Hip Replacement PrimaryProviderCOUNTESS OF CHESTER HOSPITAL NHS FOUNDATION TRUST (RJR)EQ VAS</v>
      </c>
      <c r="C1689" t="s">
        <v>248</v>
      </c>
      <c r="D1689" t="s">
        <v>1</v>
      </c>
      <c r="E1689" t="s">
        <v>3781</v>
      </c>
      <c r="F1689" t="s">
        <v>3782</v>
      </c>
      <c r="G1689" t="s">
        <v>179</v>
      </c>
      <c r="H1689">
        <v>69</v>
      </c>
      <c r="I1689">
        <v>62.942</v>
      </c>
      <c r="J1689">
        <v>75.551000000000002</v>
      </c>
      <c r="K1689">
        <v>12.609</v>
      </c>
      <c r="L1689">
        <v>52</v>
      </c>
      <c r="M1689">
        <v>7</v>
      </c>
      <c r="N1689">
        <v>10</v>
      </c>
      <c r="O1689">
        <v>77.867000000000004</v>
      </c>
      <c r="P1689">
        <v>12.36257367</v>
      </c>
      <c r="Q1689">
        <v>15.779</v>
      </c>
    </row>
    <row r="1690" spans="1:17" x14ac:dyDescent="0.2">
      <c r="A1690" s="30" t="str">
        <f>IF(C1690&amp;G1690&amp;D1690&lt;&gt;'Funnel setup'!$K$3&amp;'Funnel setup'!$K$4&amp;'Funnel setup'!$K$5,".",IF(A1689=".",1,A1689+1))</f>
        <v>.</v>
      </c>
      <c r="B1690" s="431" t="str">
        <f t="shared" si="26"/>
        <v>Hip Replacement PrimaryProviderCOUNTY DURHAM AND DARLINGTON NHS FOUNDATION TRUST (RXP)EQ VAS</v>
      </c>
      <c r="C1690" t="s">
        <v>248</v>
      </c>
      <c r="D1690" t="s">
        <v>1</v>
      </c>
      <c r="E1690" t="s">
        <v>3784</v>
      </c>
      <c r="F1690" t="s">
        <v>3785</v>
      </c>
      <c r="G1690" t="s">
        <v>179</v>
      </c>
      <c r="H1690">
        <v>224</v>
      </c>
      <c r="I1690">
        <v>61.563000000000002</v>
      </c>
      <c r="J1690">
        <v>73.388000000000005</v>
      </c>
      <c r="K1690">
        <v>11.826000000000001</v>
      </c>
      <c r="L1690">
        <v>140</v>
      </c>
      <c r="M1690">
        <v>26</v>
      </c>
      <c r="N1690">
        <v>58</v>
      </c>
      <c r="O1690">
        <v>76.02</v>
      </c>
      <c r="P1690">
        <v>10.51534238</v>
      </c>
      <c r="Q1690">
        <v>16.888000000000002</v>
      </c>
    </row>
    <row r="1691" spans="1:17" x14ac:dyDescent="0.2">
      <c r="A1691" s="30" t="str">
        <f>IF(C1691&amp;G1691&amp;D1691&lt;&gt;'Funnel setup'!$K$3&amp;'Funnel setup'!$K$4&amp;'Funnel setup'!$K$5,".",IF(A1690=".",1,A1690+1))</f>
        <v>.</v>
      </c>
      <c r="B1691" s="431" t="str">
        <f t="shared" si="26"/>
        <v>Hip Replacement PrimaryProviderDARTFORD AND GRAVESHAM NHS TRUST (RN7)EQ VAS</v>
      </c>
      <c r="C1691" t="s">
        <v>248</v>
      </c>
      <c r="D1691" t="s">
        <v>1</v>
      </c>
      <c r="E1691" t="s">
        <v>3787</v>
      </c>
      <c r="F1691" t="s">
        <v>3788</v>
      </c>
      <c r="G1691" t="s">
        <v>179</v>
      </c>
      <c r="H1691">
        <v>138</v>
      </c>
      <c r="I1691">
        <v>67.435000000000002</v>
      </c>
      <c r="J1691">
        <v>77.927999999999997</v>
      </c>
      <c r="K1691">
        <v>10.493</v>
      </c>
      <c r="L1691">
        <v>86</v>
      </c>
      <c r="M1691">
        <v>14</v>
      </c>
      <c r="N1691">
        <v>38</v>
      </c>
      <c r="O1691">
        <v>78.241</v>
      </c>
      <c r="P1691">
        <v>12.7368712</v>
      </c>
      <c r="Q1691">
        <v>16.068999999999999</v>
      </c>
    </row>
    <row r="1692" spans="1:17" x14ac:dyDescent="0.2">
      <c r="A1692" s="30" t="str">
        <f>IF(C1692&amp;G1692&amp;D1692&lt;&gt;'Funnel setup'!$K$3&amp;'Funnel setup'!$K$4&amp;'Funnel setup'!$K$5,".",IF(A1691=".",1,A1691+1))</f>
        <v>.</v>
      </c>
      <c r="B1692" s="431" t="str">
        <f t="shared" si="26"/>
        <v>Hip Replacement PrimaryProviderDERBY TEACHING HOSPITALS NHS FOUNDATION TRUST (RTG)EQ VAS</v>
      </c>
      <c r="C1692" t="s">
        <v>248</v>
      </c>
      <c r="D1692" t="s">
        <v>1</v>
      </c>
      <c r="E1692" t="s">
        <v>3790</v>
      </c>
      <c r="F1692" t="s">
        <v>3791</v>
      </c>
      <c r="G1692" t="s">
        <v>179</v>
      </c>
      <c r="H1692">
        <v>351</v>
      </c>
      <c r="I1692">
        <v>64.900000000000006</v>
      </c>
      <c r="J1692">
        <v>75.882999999999996</v>
      </c>
      <c r="K1692">
        <v>10.983000000000001</v>
      </c>
      <c r="L1692">
        <v>226</v>
      </c>
      <c r="M1692">
        <v>31</v>
      </c>
      <c r="N1692">
        <v>94</v>
      </c>
      <c r="O1692">
        <v>76.277000000000001</v>
      </c>
      <c r="P1692">
        <v>10.772654279999999</v>
      </c>
      <c r="Q1692">
        <v>15.436999999999999</v>
      </c>
    </row>
    <row r="1693" spans="1:17" x14ac:dyDescent="0.2">
      <c r="A1693" s="30" t="str">
        <f>IF(C1693&amp;G1693&amp;D1693&lt;&gt;'Funnel setup'!$K$3&amp;'Funnel setup'!$K$4&amp;'Funnel setup'!$K$5,".",IF(A1692=".",1,A1692+1))</f>
        <v>.</v>
      </c>
      <c r="B1693" s="431" t="str">
        <f t="shared" si="26"/>
        <v>Hip Replacement PrimaryProviderDONCASTER AND BASSETLAW HOSPITALS NHS FOUNDATION TRUST (RP5)EQ VAS</v>
      </c>
      <c r="C1693" t="s">
        <v>248</v>
      </c>
      <c r="D1693" t="s">
        <v>1</v>
      </c>
      <c r="E1693" t="s">
        <v>3799</v>
      </c>
      <c r="F1693" t="s">
        <v>3800</v>
      </c>
      <c r="G1693" t="s">
        <v>179</v>
      </c>
      <c r="H1693">
        <v>254</v>
      </c>
      <c r="I1693">
        <v>62.122</v>
      </c>
      <c r="J1693">
        <v>75.78</v>
      </c>
      <c r="K1693">
        <v>13.657</v>
      </c>
      <c r="L1693">
        <v>165</v>
      </c>
      <c r="M1693">
        <v>34</v>
      </c>
      <c r="N1693">
        <v>55</v>
      </c>
      <c r="O1693">
        <v>78.831000000000003</v>
      </c>
      <c r="P1693">
        <v>13.32663296</v>
      </c>
      <c r="Q1693">
        <v>15.289</v>
      </c>
    </row>
    <row r="1694" spans="1:17" x14ac:dyDescent="0.2">
      <c r="A1694" s="30" t="str">
        <f>IF(C1694&amp;G1694&amp;D1694&lt;&gt;'Funnel setup'!$K$3&amp;'Funnel setup'!$K$4&amp;'Funnel setup'!$K$5,".",IF(A1693=".",1,A1693+1))</f>
        <v>.</v>
      </c>
      <c r="B1694" s="431" t="str">
        <f t="shared" si="26"/>
        <v>Hip Replacement PrimaryProviderDORSET COUNTY HOSPITAL NHS FOUNDATION TRUST (RBD)EQ VAS</v>
      </c>
      <c r="C1694" t="s">
        <v>248</v>
      </c>
      <c r="D1694" t="s">
        <v>1</v>
      </c>
      <c r="E1694" t="s">
        <v>3802</v>
      </c>
      <c r="F1694" t="s">
        <v>3803</v>
      </c>
      <c r="G1694" t="s">
        <v>179</v>
      </c>
      <c r="H1694">
        <v>165</v>
      </c>
      <c r="I1694">
        <v>68.048000000000002</v>
      </c>
      <c r="J1694">
        <v>78.048000000000002</v>
      </c>
      <c r="K1694">
        <v>10</v>
      </c>
      <c r="L1694">
        <v>97</v>
      </c>
      <c r="M1694">
        <v>30</v>
      </c>
      <c r="N1694">
        <v>38</v>
      </c>
      <c r="O1694">
        <v>77.558999999999997</v>
      </c>
      <c r="P1694">
        <v>12.05497445</v>
      </c>
      <c r="Q1694">
        <v>15.000999999999999</v>
      </c>
    </row>
    <row r="1695" spans="1:17" x14ac:dyDescent="0.2">
      <c r="A1695" s="30" t="str">
        <f>IF(C1695&amp;G1695&amp;D1695&lt;&gt;'Funnel setup'!$K$3&amp;'Funnel setup'!$K$4&amp;'Funnel setup'!$K$5,".",IF(A1694=".",1,A1694+1))</f>
        <v>.</v>
      </c>
      <c r="B1695" s="431" t="str">
        <f t="shared" si="26"/>
        <v>Hip Replacement PrimaryProviderDUCHY HOSPITAL (NVC04)EQ VAS</v>
      </c>
      <c r="C1695" t="s">
        <v>248</v>
      </c>
      <c r="D1695" t="s">
        <v>1</v>
      </c>
      <c r="E1695" t="s">
        <v>4518</v>
      </c>
      <c r="F1695" t="s">
        <v>4519</v>
      </c>
      <c r="G1695" t="s">
        <v>179</v>
      </c>
      <c r="H1695">
        <v>333</v>
      </c>
      <c r="I1695">
        <v>69.465000000000003</v>
      </c>
      <c r="J1695">
        <v>80.260999999999996</v>
      </c>
      <c r="K1695">
        <v>10.795999999999999</v>
      </c>
      <c r="L1695">
        <v>224</v>
      </c>
      <c r="M1695">
        <v>36</v>
      </c>
      <c r="N1695">
        <v>73</v>
      </c>
      <c r="O1695">
        <v>78.227999999999994</v>
      </c>
      <c r="P1695">
        <v>12.72324704</v>
      </c>
      <c r="Q1695">
        <v>15.231999999999999</v>
      </c>
    </row>
    <row r="1696" spans="1:17" x14ac:dyDescent="0.2">
      <c r="A1696" s="30" t="str">
        <f>IF(C1696&amp;G1696&amp;D1696&lt;&gt;'Funnel setup'!$K$3&amp;'Funnel setup'!$K$4&amp;'Funnel setup'!$K$5,".",IF(A1695=".",1,A1695+1))</f>
        <v>.</v>
      </c>
      <c r="B1696" s="431" t="str">
        <f t="shared" si="26"/>
        <v>Hip Replacement PrimaryProviderEAST AND NORTH HERTFORDSHIRE NHS TRUST (RWH)EQ VAS</v>
      </c>
      <c r="C1696" t="s">
        <v>248</v>
      </c>
      <c r="D1696" t="s">
        <v>1</v>
      </c>
      <c r="E1696" t="s">
        <v>3814</v>
      </c>
      <c r="F1696" t="s">
        <v>3815</v>
      </c>
      <c r="G1696" t="s">
        <v>179</v>
      </c>
      <c r="H1696">
        <v>142</v>
      </c>
      <c r="I1696">
        <v>64.423000000000002</v>
      </c>
      <c r="J1696">
        <v>75.858999999999995</v>
      </c>
      <c r="K1696">
        <v>11.436999999999999</v>
      </c>
      <c r="L1696">
        <v>98</v>
      </c>
      <c r="M1696">
        <v>14</v>
      </c>
      <c r="N1696">
        <v>30</v>
      </c>
      <c r="O1696">
        <v>76.369</v>
      </c>
      <c r="P1696">
        <v>10.865090800000001</v>
      </c>
      <c r="Q1696">
        <v>19.027000000000001</v>
      </c>
    </row>
    <row r="1697" spans="1:17" x14ac:dyDescent="0.2">
      <c r="A1697" s="30" t="str">
        <f>IF(C1697&amp;G1697&amp;D1697&lt;&gt;'Funnel setup'!$K$3&amp;'Funnel setup'!$K$4&amp;'Funnel setup'!$K$5,".",IF(A1696=".",1,A1696+1))</f>
        <v>.</v>
      </c>
      <c r="B1697" s="431" t="str">
        <f t="shared" si="26"/>
        <v>Hip Replacement PrimaryProviderEAST CHESHIRE NHS TRUST (RJN)EQ VAS</v>
      </c>
      <c r="C1697" t="s">
        <v>248</v>
      </c>
      <c r="D1697" t="s">
        <v>1</v>
      </c>
      <c r="E1697" t="s">
        <v>3817</v>
      </c>
      <c r="F1697" t="s">
        <v>3818</v>
      </c>
      <c r="G1697" t="s">
        <v>179</v>
      </c>
      <c r="H1697">
        <v>80</v>
      </c>
      <c r="I1697">
        <v>67.962999999999994</v>
      </c>
      <c r="J1697">
        <v>74.075000000000003</v>
      </c>
      <c r="K1697">
        <v>6.1120000000000001</v>
      </c>
      <c r="L1697">
        <v>42</v>
      </c>
      <c r="M1697">
        <v>11</v>
      </c>
      <c r="N1697">
        <v>27</v>
      </c>
      <c r="O1697">
        <v>75.06</v>
      </c>
      <c r="P1697">
        <v>9.5552601159999995</v>
      </c>
      <c r="Q1697">
        <v>17.036999999999999</v>
      </c>
    </row>
    <row r="1698" spans="1:17" x14ac:dyDescent="0.2">
      <c r="A1698" s="30" t="str">
        <f>IF(C1698&amp;G1698&amp;D1698&lt;&gt;'Funnel setup'!$K$3&amp;'Funnel setup'!$K$4&amp;'Funnel setup'!$K$5,".",IF(A1697=".",1,A1697+1))</f>
        <v>.</v>
      </c>
      <c r="B1698" s="431" t="str">
        <f t="shared" si="26"/>
        <v>Hip Replacement PrimaryProviderEAST KENT HOSPITALS UNIVERSITY NHS FOUNDATION TRUST (RVV)EQ VAS</v>
      </c>
      <c r="C1698" t="s">
        <v>248</v>
      </c>
      <c r="D1698" t="s">
        <v>1</v>
      </c>
      <c r="E1698" t="s">
        <v>3820</v>
      </c>
      <c r="F1698" t="s">
        <v>3821</v>
      </c>
      <c r="G1698" t="s">
        <v>179</v>
      </c>
      <c r="H1698">
        <v>289</v>
      </c>
      <c r="I1698">
        <v>65.317999999999998</v>
      </c>
      <c r="J1698">
        <v>78.36</v>
      </c>
      <c r="K1698">
        <v>13.042</v>
      </c>
      <c r="L1698">
        <v>193</v>
      </c>
      <c r="M1698">
        <v>30</v>
      </c>
      <c r="N1698">
        <v>66</v>
      </c>
      <c r="O1698">
        <v>79.040999999999997</v>
      </c>
      <c r="P1698">
        <v>13.53685484</v>
      </c>
      <c r="Q1698">
        <v>13.555999999999999</v>
      </c>
    </row>
    <row r="1699" spans="1:17" x14ac:dyDescent="0.2">
      <c r="A1699" s="30" t="str">
        <f>IF(C1699&amp;G1699&amp;D1699&lt;&gt;'Funnel setup'!$K$3&amp;'Funnel setup'!$K$4&amp;'Funnel setup'!$K$5,".",IF(A1698=".",1,A1698+1))</f>
        <v>.</v>
      </c>
      <c r="B1699" s="431" t="str">
        <f t="shared" si="26"/>
        <v>Hip Replacement PrimaryProviderEAST LANCASHIRE HOSPITALS NHS TRUST (RXR)EQ VAS</v>
      </c>
      <c r="C1699" t="s">
        <v>248</v>
      </c>
      <c r="D1699" t="s">
        <v>1</v>
      </c>
      <c r="E1699" t="s">
        <v>3823</v>
      </c>
      <c r="F1699" t="s">
        <v>3824</v>
      </c>
      <c r="G1699" t="s">
        <v>179</v>
      </c>
      <c r="H1699">
        <v>141</v>
      </c>
      <c r="I1699">
        <v>61.475000000000001</v>
      </c>
      <c r="J1699">
        <v>76.397000000000006</v>
      </c>
      <c r="K1699">
        <v>14.922000000000001</v>
      </c>
      <c r="L1699">
        <v>102</v>
      </c>
      <c r="M1699">
        <v>8</v>
      </c>
      <c r="N1699">
        <v>31</v>
      </c>
      <c r="O1699">
        <v>78.813999999999993</v>
      </c>
      <c r="P1699">
        <v>13.30953804</v>
      </c>
      <c r="Q1699">
        <v>15.381</v>
      </c>
    </row>
    <row r="1700" spans="1:17" x14ac:dyDescent="0.2">
      <c r="A1700" s="30" t="str">
        <f>IF(C1700&amp;G1700&amp;D1700&lt;&gt;'Funnel setup'!$K$3&amp;'Funnel setup'!$K$4&amp;'Funnel setup'!$K$5,".",IF(A1699=".",1,A1699+1))</f>
        <v>.</v>
      </c>
      <c r="B1700" s="431" t="str">
        <f t="shared" si="26"/>
        <v>Hip Replacement PrimaryProviderEAST SUSSEX HEALTHCARE NHS TRUST (RXC)EQ VAS</v>
      </c>
      <c r="C1700" t="s">
        <v>248</v>
      </c>
      <c r="D1700" t="s">
        <v>1</v>
      </c>
      <c r="E1700" t="s">
        <v>3826</v>
      </c>
      <c r="F1700" t="s">
        <v>3827</v>
      </c>
      <c r="G1700" t="s">
        <v>179</v>
      </c>
      <c r="H1700">
        <v>203</v>
      </c>
      <c r="I1700">
        <v>63.468000000000004</v>
      </c>
      <c r="J1700">
        <v>75.388999999999996</v>
      </c>
      <c r="K1700">
        <v>11.920999999999999</v>
      </c>
      <c r="L1700">
        <v>129</v>
      </c>
      <c r="M1700">
        <v>20</v>
      </c>
      <c r="N1700">
        <v>54</v>
      </c>
      <c r="O1700">
        <v>77.417000000000002</v>
      </c>
      <c r="P1700">
        <v>11.91303774</v>
      </c>
      <c r="Q1700">
        <v>14.521000000000001</v>
      </c>
    </row>
    <row r="1701" spans="1:17" x14ac:dyDescent="0.2">
      <c r="A1701" s="30" t="str">
        <f>IF(C1701&amp;G1701&amp;D1701&lt;&gt;'Funnel setup'!$K$3&amp;'Funnel setup'!$K$4&amp;'Funnel setup'!$K$5,".",IF(A1700=".",1,A1700+1))</f>
        <v>.</v>
      </c>
      <c r="B1701" s="431" t="str">
        <f t="shared" si="26"/>
        <v>Hip Replacement PrimaryProviderEMERSONS GREEN NHS TREATMENT CENTRE (NTPH2)EQ VAS</v>
      </c>
      <c r="C1701" t="s">
        <v>248</v>
      </c>
      <c r="D1701" t="s">
        <v>1</v>
      </c>
      <c r="E1701" t="s">
        <v>3829</v>
      </c>
      <c r="F1701" t="s">
        <v>3830</v>
      </c>
      <c r="G1701" t="s">
        <v>179</v>
      </c>
      <c r="H1701">
        <v>341</v>
      </c>
      <c r="I1701">
        <v>73.018000000000001</v>
      </c>
      <c r="J1701">
        <v>82.173000000000002</v>
      </c>
      <c r="K1701">
        <v>9.1549999999999994</v>
      </c>
      <c r="L1701">
        <v>221</v>
      </c>
      <c r="M1701">
        <v>43</v>
      </c>
      <c r="N1701">
        <v>77</v>
      </c>
      <c r="O1701">
        <v>78.513999999999996</v>
      </c>
      <c r="P1701">
        <v>13.009437330000001</v>
      </c>
      <c r="Q1701">
        <v>13.727</v>
      </c>
    </row>
    <row r="1702" spans="1:17" x14ac:dyDescent="0.2">
      <c r="A1702" s="30" t="str">
        <f>IF(C1702&amp;G1702&amp;D1702&lt;&gt;'Funnel setup'!$K$3&amp;'Funnel setup'!$K$4&amp;'Funnel setup'!$K$5,".",IF(A1701=".",1,A1701+1))</f>
        <v>.</v>
      </c>
      <c r="B1702" s="431" t="str">
        <f t="shared" si="26"/>
        <v>Hip Replacement PrimaryProviderEPSOM AND ST HELIER UNIVERSITY HOSPITALS NHS TRUST (RVR)EQ VAS</v>
      </c>
      <c r="C1702" t="s">
        <v>248</v>
      </c>
      <c r="D1702" t="s">
        <v>1</v>
      </c>
      <c r="E1702" t="s">
        <v>3849</v>
      </c>
      <c r="F1702" t="s">
        <v>3850</v>
      </c>
      <c r="G1702" t="s">
        <v>179</v>
      </c>
      <c r="H1702">
        <v>614</v>
      </c>
      <c r="I1702">
        <v>67.242999999999995</v>
      </c>
      <c r="J1702">
        <v>78.986999999999995</v>
      </c>
      <c r="K1702">
        <v>11.744</v>
      </c>
      <c r="L1702">
        <v>413</v>
      </c>
      <c r="M1702">
        <v>73</v>
      </c>
      <c r="N1702">
        <v>128</v>
      </c>
      <c r="O1702">
        <v>78.073999999999998</v>
      </c>
      <c r="P1702">
        <v>12.57004822</v>
      </c>
      <c r="Q1702">
        <v>14.818</v>
      </c>
    </row>
    <row r="1703" spans="1:17" x14ac:dyDescent="0.2">
      <c r="A1703" s="30" t="str">
        <f>IF(C1703&amp;G1703&amp;D1703&lt;&gt;'Funnel setup'!$K$3&amp;'Funnel setup'!$K$4&amp;'Funnel setup'!$K$5,".",IF(A1702=".",1,A1702+1))</f>
        <v>.</v>
      </c>
      <c r="B1703" s="431" t="str">
        <f t="shared" si="26"/>
        <v>Hip Replacement PrimaryProviderEUXTON HALL HOSPITAL (NVC05)EQ VAS</v>
      </c>
      <c r="C1703" t="s">
        <v>248</v>
      </c>
      <c r="D1703" t="s">
        <v>1</v>
      </c>
      <c r="E1703" t="s">
        <v>3852</v>
      </c>
      <c r="F1703" t="s">
        <v>3853</v>
      </c>
      <c r="G1703" t="s">
        <v>179</v>
      </c>
      <c r="H1703">
        <v>66</v>
      </c>
      <c r="I1703">
        <v>69.787999999999997</v>
      </c>
      <c r="J1703">
        <v>81.817999999999998</v>
      </c>
      <c r="K1703">
        <v>12.03</v>
      </c>
      <c r="L1703">
        <v>43</v>
      </c>
      <c r="M1703">
        <v>5</v>
      </c>
      <c r="N1703">
        <v>18</v>
      </c>
      <c r="O1703">
        <v>79.212000000000003</v>
      </c>
      <c r="P1703">
        <v>13.70788525</v>
      </c>
      <c r="Q1703">
        <v>14.368</v>
      </c>
    </row>
    <row r="1704" spans="1:17" x14ac:dyDescent="0.2">
      <c r="A1704" s="30" t="str">
        <f>IF(C1704&amp;G1704&amp;D1704&lt;&gt;'Funnel setup'!$K$3&amp;'Funnel setup'!$K$4&amp;'Funnel setup'!$K$5,".",IF(A1703=".",1,A1703+1))</f>
        <v>.</v>
      </c>
      <c r="B1704" s="431" t="str">
        <f t="shared" si="26"/>
        <v>Hip Replacement PrimaryProviderFAIRFIELD HOSPITAL (NVG01)EQ VAS</v>
      </c>
      <c r="C1704" t="s">
        <v>248</v>
      </c>
      <c r="D1704" t="s">
        <v>1</v>
      </c>
      <c r="E1704" t="s">
        <v>3855</v>
      </c>
      <c r="F1704" t="s">
        <v>3856</v>
      </c>
      <c r="G1704" t="s">
        <v>179</v>
      </c>
      <c r="H1704" t="s">
        <v>53</v>
      </c>
      <c r="I1704" t="s">
        <v>53</v>
      </c>
      <c r="J1704" t="s">
        <v>53</v>
      </c>
      <c r="K1704" t="s">
        <v>53</v>
      </c>
      <c r="L1704" t="s">
        <v>53</v>
      </c>
      <c r="M1704" t="s">
        <v>53</v>
      </c>
      <c r="N1704" t="s">
        <v>53</v>
      </c>
      <c r="O1704" t="s">
        <v>53</v>
      </c>
      <c r="P1704" t="s">
        <v>53</v>
      </c>
      <c r="Q1704" t="s">
        <v>53</v>
      </c>
    </row>
    <row r="1705" spans="1:17" x14ac:dyDescent="0.2">
      <c r="A1705" s="30" t="str">
        <f>IF(C1705&amp;G1705&amp;D1705&lt;&gt;'Funnel setup'!$K$3&amp;'Funnel setup'!$K$4&amp;'Funnel setup'!$K$5,".",IF(A1704=".",1,A1704+1))</f>
        <v>.</v>
      </c>
      <c r="B1705" s="431" t="str">
        <f t="shared" si="26"/>
        <v>Hip Replacement PrimaryProviderFITZWILLIAM HOSPITAL (NVC06)EQ VAS</v>
      </c>
      <c r="C1705" t="s">
        <v>248</v>
      </c>
      <c r="D1705" t="s">
        <v>1</v>
      </c>
      <c r="E1705" t="s">
        <v>3858</v>
      </c>
      <c r="F1705" t="s">
        <v>3859</v>
      </c>
      <c r="G1705" t="s">
        <v>179</v>
      </c>
      <c r="H1705">
        <v>122</v>
      </c>
      <c r="I1705">
        <v>67.942999999999998</v>
      </c>
      <c r="J1705">
        <v>78.647999999999996</v>
      </c>
      <c r="K1705">
        <v>10.705</v>
      </c>
      <c r="L1705">
        <v>76</v>
      </c>
      <c r="M1705">
        <v>14</v>
      </c>
      <c r="N1705">
        <v>32</v>
      </c>
      <c r="O1705">
        <v>76.254999999999995</v>
      </c>
      <c r="P1705">
        <v>10.750336259999999</v>
      </c>
      <c r="Q1705">
        <v>14.723000000000001</v>
      </c>
    </row>
    <row r="1706" spans="1:17" x14ac:dyDescent="0.2">
      <c r="A1706" s="30" t="str">
        <f>IF(C1706&amp;G1706&amp;D1706&lt;&gt;'Funnel setup'!$K$3&amp;'Funnel setup'!$K$4&amp;'Funnel setup'!$K$5,".",IF(A1705=".",1,A1705+1))</f>
        <v>.</v>
      </c>
      <c r="B1706" s="431" t="str">
        <f t="shared" si="26"/>
        <v>Hip Replacement PrimaryProviderFOSCOTE COURT (BANBURY) TRUST LTD (AHH)EQ VAS</v>
      </c>
      <c r="C1706" t="s">
        <v>248</v>
      </c>
      <c r="D1706" t="s">
        <v>1</v>
      </c>
      <c r="E1706" t="s">
        <v>3900</v>
      </c>
      <c r="F1706" t="s">
        <v>3901</v>
      </c>
      <c r="G1706" t="s">
        <v>179</v>
      </c>
      <c r="H1706" t="s">
        <v>53</v>
      </c>
      <c r="I1706" t="s">
        <v>53</v>
      </c>
      <c r="J1706" t="s">
        <v>53</v>
      </c>
      <c r="K1706" t="s">
        <v>53</v>
      </c>
      <c r="L1706" t="s">
        <v>53</v>
      </c>
      <c r="M1706" t="s">
        <v>53</v>
      </c>
      <c r="N1706" t="s">
        <v>53</v>
      </c>
      <c r="O1706" t="s">
        <v>53</v>
      </c>
      <c r="P1706" t="s">
        <v>53</v>
      </c>
      <c r="Q1706" t="s">
        <v>53</v>
      </c>
    </row>
    <row r="1707" spans="1:17" x14ac:dyDescent="0.2">
      <c r="A1707" s="30" t="str">
        <f>IF(C1707&amp;G1707&amp;D1707&lt;&gt;'Funnel setup'!$K$3&amp;'Funnel setup'!$K$4&amp;'Funnel setup'!$K$5,".",IF(A1706=".",1,A1706+1))</f>
        <v>.</v>
      </c>
      <c r="B1707" s="431" t="str">
        <f t="shared" si="26"/>
        <v>Hip Replacement PrimaryProviderFRIMLEY HEALTH NHS FOUNDATION TRUST (RDU)EQ VAS</v>
      </c>
      <c r="C1707" t="s">
        <v>248</v>
      </c>
      <c r="D1707" t="s">
        <v>1</v>
      </c>
      <c r="E1707" t="s">
        <v>3861</v>
      </c>
      <c r="F1707" t="s">
        <v>3862</v>
      </c>
      <c r="G1707" t="s">
        <v>179</v>
      </c>
      <c r="H1707">
        <v>460</v>
      </c>
      <c r="I1707">
        <v>67.853999999999999</v>
      </c>
      <c r="J1707">
        <v>78.816999999999993</v>
      </c>
      <c r="K1707">
        <v>10.962999999999999</v>
      </c>
      <c r="L1707">
        <v>310</v>
      </c>
      <c r="M1707">
        <v>50</v>
      </c>
      <c r="N1707">
        <v>100</v>
      </c>
      <c r="O1707">
        <v>77.120999999999995</v>
      </c>
      <c r="P1707">
        <v>11.61679906</v>
      </c>
      <c r="Q1707">
        <v>14.612</v>
      </c>
    </row>
    <row r="1708" spans="1:17" x14ac:dyDescent="0.2">
      <c r="A1708" s="30" t="str">
        <f>IF(C1708&amp;G1708&amp;D1708&lt;&gt;'Funnel setup'!$K$3&amp;'Funnel setup'!$K$4&amp;'Funnel setup'!$K$5,".",IF(A1707=".",1,A1707+1))</f>
        <v>.</v>
      </c>
      <c r="B1708" s="431" t="str">
        <f t="shared" si="26"/>
        <v>Hip Replacement PrimaryProviderFULWOOD HALL HOSPITAL (NVC07)EQ VAS</v>
      </c>
      <c r="C1708" t="s">
        <v>248</v>
      </c>
      <c r="D1708" t="s">
        <v>1</v>
      </c>
      <c r="E1708" t="s">
        <v>3864</v>
      </c>
      <c r="F1708" t="s">
        <v>3865</v>
      </c>
      <c r="G1708" t="s">
        <v>179</v>
      </c>
      <c r="H1708">
        <v>174</v>
      </c>
      <c r="I1708">
        <v>64.971000000000004</v>
      </c>
      <c r="J1708">
        <v>74.924999999999997</v>
      </c>
      <c r="K1708">
        <v>9.9540000000000006</v>
      </c>
      <c r="L1708">
        <v>108</v>
      </c>
      <c r="M1708">
        <v>18</v>
      </c>
      <c r="N1708">
        <v>48</v>
      </c>
      <c r="O1708">
        <v>75.697000000000003</v>
      </c>
      <c r="P1708">
        <v>10.19314936</v>
      </c>
      <c r="Q1708">
        <v>16.117999999999999</v>
      </c>
    </row>
    <row r="1709" spans="1:17" x14ac:dyDescent="0.2">
      <c r="A1709" s="30" t="str">
        <f>IF(C1709&amp;G1709&amp;D1709&lt;&gt;'Funnel setup'!$K$3&amp;'Funnel setup'!$K$4&amp;'Funnel setup'!$K$5,".",IF(A1708=".",1,A1708+1))</f>
        <v>.</v>
      </c>
      <c r="B1709" s="431" t="str">
        <f t="shared" si="26"/>
        <v>Hip Replacement PrimaryProviderGATESHEAD HEALTH NHS FOUNDATION TRUST (RR7)EQ VAS</v>
      </c>
      <c r="C1709" t="s">
        <v>248</v>
      </c>
      <c r="D1709" t="s">
        <v>1</v>
      </c>
      <c r="E1709" t="s">
        <v>3867</v>
      </c>
      <c r="F1709" t="s">
        <v>3868</v>
      </c>
      <c r="G1709" t="s">
        <v>179</v>
      </c>
      <c r="H1709">
        <v>178</v>
      </c>
      <c r="I1709">
        <v>66.421000000000006</v>
      </c>
      <c r="J1709">
        <v>75.433000000000007</v>
      </c>
      <c r="K1709">
        <v>9.0109999999999992</v>
      </c>
      <c r="L1709">
        <v>106</v>
      </c>
      <c r="M1709">
        <v>22</v>
      </c>
      <c r="N1709">
        <v>50</v>
      </c>
      <c r="O1709">
        <v>75.893000000000001</v>
      </c>
      <c r="P1709">
        <v>10.38904425</v>
      </c>
      <c r="Q1709">
        <v>16.881</v>
      </c>
    </row>
    <row r="1710" spans="1:17" x14ac:dyDescent="0.2">
      <c r="A1710" s="30" t="str">
        <f>IF(C1710&amp;G1710&amp;D1710&lt;&gt;'Funnel setup'!$K$3&amp;'Funnel setup'!$K$4&amp;'Funnel setup'!$K$5,".",IF(A1709=".",1,A1709+1))</f>
        <v>.</v>
      </c>
      <c r="B1710" s="431" t="str">
        <f t="shared" si="26"/>
        <v>Hip Replacement PrimaryProviderGEORGE ELIOT HOSPITAL NHS TRUST (RLT)EQ VAS</v>
      </c>
      <c r="C1710" t="s">
        <v>248</v>
      </c>
      <c r="D1710" t="s">
        <v>1</v>
      </c>
      <c r="E1710" t="s">
        <v>3870</v>
      </c>
      <c r="F1710" t="s">
        <v>3871</v>
      </c>
      <c r="G1710" t="s">
        <v>179</v>
      </c>
      <c r="H1710">
        <v>54</v>
      </c>
      <c r="I1710">
        <v>66.667000000000002</v>
      </c>
      <c r="J1710">
        <v>74.296000000000006</v>
      </c>
      <c r="K1710">
        <v>7.63</v>
      </c>
      <c r="L1710">
        <v>26</v>
      </c>
      <c r="M1710">
        <v>13</v>
      </c>
      <c r="N1710">
        <v>15</v>
      </c>
      <c r="O1710">
        <v>73.215999999999994</v>
      </c>
      <c r="P1710">
        <v>7.7113826479999998</v>
      </c>
      <c r="Q1710">
        <v>18.439</v>
      </c>
    </row>
    <row r="1711" spans="1:17" x14ac:dyDescent="0.2">
      <c r="A1711" s="30" t="str">
        <f>IF(C1711&amp;G1711&amp;D1711&lt;&gt;'Funnel setup'!$K$3&amp;'Funnel setup'!$K$4&amp;'Funnel setup'!$K$5,".",IF(A1710=".",1,A1710+1))</f>
        <v>.</v>
      </c>
      <c r="B1711" s="431" t="str">
        <f t="shared" si="26"/>
        <v>Hip Replacement PrimaryProviderGLOUCESTERSHIRE HOSPITALS NHS FOUNDATION TRUST (RTE)EQ VAS</v>
      </c>
      <c r="C1711" t="s">
        <v>248</v>
      </c>
      <c r="D1711" t="s">
        <v>1</v>
      </c>
      <c r="E1711" t="s">
        <v>3873</v>
      </c>
      <c r="F1711" t="s">
        <v>3874</v>
      </c>
      <c r="G1711" t="s">
        <v>179</v>
      </c>
      <c r="H1711">
        <v>330</v>
      </c>
      <c r="I1711">
        <v>69.078999999999994</v>
      </c>
      <c r="J1711">
        <v>77.108999999999995</v>
      </c>
      <c r="K1711">
        <v>8.0299999999999994</v>
      </c>
      <c r="L1711">
        <v>210</v>
      </c>
      <c r="M1711">
        <v>32</v>
      </c>
      <c r="N1711">
        <v>88</v>
      </c>
      <c r="O1711">
        <v>75.543000000000006</v>
      </c>
      <c r="P1711">
        <v>10.03908434</v>
      </c>
      <c r="Q1711">
        <v>16.164999999999999</v>
      </c>
    </row>
    <row r="1712" spans="1:17" x14ac:dyDescent="0.2">
      <c r="A1712" s="30" t="str">
        <f>IF(C1712&amp;G1712&amp;D1712&lt;&gt;'Funnel setup'!$K$3&amp;'Funnel setup'!$K$4&amp;'Funnel setup'!$K$5,".",IF(A1711=".",1,A1711+1))</f>
        <v>.</v>
      </c>
      <c r="B1712" s="431" t="str">
        <f t="shared" si="26"/>
        <v>Hip Replacement PrimaryProviderGREAT WESTERN HOSPITALS NHS FOUNDATION TRUST (RN3)EQ VAS</v>
      </c>
      <c r="C1712" t="s">
        <v>248</v>
      </c>
      <c r="D1712" t="s">
        <v>1</v>
      </c>
      <c r="E1712" t="s">
        <v>3876</v>
      </c>
      <c r="F1712" t="s">
        <v>3877</v>
      </c>
      <c r="G1712" t="s">
        <v>179</v>
      </c>
      <c r="H1712">
        <v>219</v>
      </c>
      <c r="I1712">
        <v>64.795000000000002</v>
      </c>
      <c r="J1712">
        <v>76.959000000000003</v>
      </c>
      <c r="K1712">
        <v>12.164</v>
      </c>
      <c r="L1712">
        <v>139</v>
      </c>
      <c r="M1712">
        <v>28</v>
      </c>
      <c r="N1712">
        <v>52</v>
      </c>
      <c r="O1712">
        <v>77.591999999999999</v>
      </c>
      <c r="P1712">
        <v>12.08747333</v>
      </c>
      <c r="Q1712">
        <v>15.226000000000001</v>
      </c>
    </row>
    <row r="1713" spans="1:17" x14ac:dyDescent="0.2">
      <c r="A1713" s="30" t="str">
        <f>IF(C1713&amp;G1713&amp;D1713&lt;&gt;'Funnel setup'!$K$3&amp;'Funnel setup'!$K$4&amp;'Funnel setup'!$K$5,".",IF(A1712=".",1,A1712+1))</f>
        <v>.</v>
      </c>
      <c r="B1713" s="431" t="str">
        <f t="shared" si="26"/>
        <v>Hip Replacement PrimaryProviderGUY'S AND ST THOMAS' NHS FOUNDATION TRUST (RJ1)EQ VAS</v>
      </c>
      <c r="C1713" t="s">
        <v>248</v>
      </c>
      <c r="D1713" t="s">
        <v>1</v>
      </c>
      <c r="E1713" t="s">
        <v>3879</v>
      </c>
      <c r="F1713" t="s">
        <v>3880</v>
      </c>
      <c r="G1713" t="s">
        <v>179</v>
      </c>
      <c r="H1713">
        <v>116</v>
      </c>
      <c r="I1713">
        <v>60.982999999999997</v>
      </c>
      <c r="J1713">
        <v>77.465999999999994</v>
      </c>
      <c r="K1713">
        <v>16.483000000000001</v>
      </c>
      <c r="L1713">
        <v>84</v>
      </c>
      <c r="M1713">
        <v>15</v>
      </c>
      <c r="N1713">
        <v>17</v>
      </c>
      <c r="O1713">
        <v>77.757999999999996</v>
      </c>
      <c r="P1713">
        <v>12.25342002</v>
      </c>
      <c r="Q1713">
        <v>18.050999999999998</v>
      </c>
    </row>
    <row r="1714" spans="1:17" x14ac:dyDescent="0.2">
      <c r="A1714" s="30" t="str">
        <f>IF(C1714&amp;G1714&amp;D1714&lt;&gt;'Funnel setup'!$K$3&amp;'Funnel setup'!$K$4&amp;'Funnel setup'!$K$5,".",IF(A1713=".",1,A1713+1))</f>
        <v>.</v>
      </c>
      <c r="B1714" s="431" t="str">
        <f t="shared" si="26"/>
        <v>Hip Replacement PrimaryProviderHAMPSHIRE HOSPITALS NHS FOUNDATION TRUST (RN5)EQ VAS</v>
      </c>
      <c r="C1714" t="s">
        <v>248</v>
      </c>
      <c r="D1714" t="s">
        <v>1</v>
      </c>
      <c r="E1714" t="s">
        <v>3882</v>
      </c>
      <c r="F1714" t="s">
        <v>3883</v>
      </c>
      <c r="G1714" t="s">
        <v>179</v>
      </c>
      <c r="H1714">
        <v>282</v>
      </c>
      <c r="I1714">
        <v>70.566999999999993</v>
      </c>
      <c r="J1714">
        <v>79.078000000000003</v>
      </c>
      <c r="K1714">
        <v>8.5109999999999992</v>
      </c>
      <c r="L1714">
        <v>175</v>
      </c>
      <c r="M1714">
        <v>38</v>
      </c>
      <c r="N1714">
        <v>69</v>
      </c>
      <c r="O1714">
        <v>77.144000000000005</v>
      </c>
      <c r="P1714">
        <v>11.640160849999999</v>
      </c>
      <c r="Q1714">
        <v>14.332000000000001</v>
      </c>
    </row>
    <row r="1715" spans="1:17" x14ac:dyDescent="0.2">
      <c r="A1715" s="30" t="str">
        <f>IF(C1715&amp;G1715&amp;D1715&lt;&gt;'Funnel setup'!$K$3&amp;'Funnel setup'!$K$4&amp;'Funnel setup'!$K$5,".",IF(A1714=".",1,A1714+1))</f>
        <v>.</v>
      </c>
      <c r="B1715" s="431" t="str">
        <f t="shared" si="26"/>
        <v>Hip Replacement PrimaryProviderHARROGATE AND DISTRICT NHS FOUNDATION TRUST (RCD)EQ VAS</v>
      </c>
      <c r="C1715" t="s">
        <v>248</v>
      </c>
      <c r="D1715" t="s">
        <v>1</v>
      </c>
      <c r="E1715" t="s">
        <v>3885</v>
      </c>
      <c r="F1715" t="s">
        <v>3886</v>
      </c>
      <c r="G1715" t="s">
        <v>179</v>
      </c>
      <c r="H1715">
        <v>245</v>
      </c>
      <c r="I1715">
        <v>68.42</v>
      </c>
      <c r="J1715">
        <v>77.489999999999995</v>
      </c>
      <c r="K1715">
        <v>9.0690000000000008</v>
      </c>
      <c r="L1715">
        <v>155</v>
      </c>
      <c r="M1715">
        <v>22</v>
      </c>
      <c r="N1715">
        <v>68</v>
      </c>
      <c r="O1715">
        <v>75.736000000000004</v>
      </c>
      <c r="P1715">
        <v>10.23157853</v>
      </c>
      <c r="Q1715">
        <v>15.006</v>
      </c>
    </row>
    <row r="1716" spans="1:17" x14ac:dyDescent="0.2">
      <c r="A1716" s="30" t="str">
        <f>IF(C1716&amp;G1716&amp;D1716&lt;&gt;'Funnel setup'!$K$3&amp;'Funnel setup'!$K$4&amp;'Funnel setup'!$K$5,".",IF(A1715=".",1,A1715+1))</f>
        <v>.</v>
      </c>
      <c r="B1716" s="431" t="str">
        <f t="shared" si="26"/>
        <v>Hip Replacement PrimaryProviderHEART OF ENGLAND NHS FOUNDATION TRUST (RR1)EQ VAS</v>
      </c>
      <c r="C1716" t="s">
        <v>248</v>
      </c>
      <c r="D1716" t="s">
        <v>1</v>
      </c>
      <c r="E1716" t="s">
        <v>3888</v>
      </c>
      <c r="F1716" t="s">
        <v>3889</v>
      </c>
      <c r="G1716" t="s">
        <v>179</v>
      </c>
      <c r="H1716">
        <v>353</v>
      </c>
      <c r="I1716">
        <v>61.017000000000003</v>
      </c>
      <c r="J1716">
        <v>74.569000000000003</v>
      </c>
      <c r="K1716">
        <v>13.552</v>
      </c>
      <c r="L1716">
        <v>240</v>
      </c>
      <c r="M1716">
        <v>41</v>
      </c>
      <c r="N1716">
        <v>72</v>
      </c>
      <c r="O1716">
        <v>77.397999999999996</v>
      </c>
      <c r="P1716">
        <v>11.893923709999999</v>
      </c>
      <c r="Q1716">
        <v>17.215</v>
      </c>
    </row>
    <row r="1717" spans="1:17" x14ac:dyDescent="0.2">
      <c r="A1717" s="30" t="str">
        <f>IF(C1717&amp;G1717&amp;D1717&lt;&gt;'Funnel setup'!$K$3&amp;'Funnel setup'!$K$4&amp;'Funnel setup'!$K$5,".",IF(A1716=".",1,A1716+1))</f>
        <v>.</v>
      </c>
      <c r="B1717" s="431" t="str">
        <f t="shared" si="26"/>
        <v>Hip Replacement PrimaryProviderHINCHINGBROOKE HEALTH CARE NHS TRUST (RQQ)EQ VAS</v>
      </c>
      <c r="C1717" t="s">
        <v>248</v>
      </c>
      <c r="D1717" t="s">
        <v>1</v>
      </c>
      <c r="E1717" t="s">
        <v>3894</v>
      </c>
      <c r="F1717" t="s">
        <v>3895</v>
      </c>
      <c r="G1717" t="s">
        <v>179</v>
      </c>
      <c r="H1717">
        <v>203</v>
      </c>
      <c r="I1717">
        <v>63.246000000000002</v>
      </c>
      <c r="J1717">
        <v>77.388999999999996</v>
      </c>
      <c r="K1717">
        <v>14.143000000000001</v>
      </c>
      <c r="L1717">
        <v>136</v>
      </c>
      <c r="M1717">
        <v>22</v>
      </c>
      <c r="N1717">
        <v>45</v>
      </c>
      <c r="O1717">
        <v>78.245999999999995</v>
      </c>
      <c r="P1717">
        <v>12.741188579999999</v>
      </c>
      <c r="Q1717">
        <v>17.673999999999999</v>
      </c>
    </row>
    <row r="1718" spans="1:17" x14ac:dyDescent="0.2">
      <c r="A1718" s="30" t="str">
        <f>IF(C1718&amp;G1718&amp;D1718&lt;&gt;'Funnel setup'!$K$3&amp;'Funnel setup'!$K$4&amp;'Funnel setup'!$K$5,".",IF(A1717=".",1,A1717+1))</f>
        <v>.</v>
      </c>
      <c r="B1718" s="431" t="str">
        <f t="shared" si="26"/>
        <v>Hip Replacement PrimaryProviderHOMERTON UNIVERSITY HOSPITAL NHS FOUNDATION TRUST (RQX)EQ VAS</v>
      </c>
      <c r="C1718" t="s">
        <v>248</v>
      </c>
      <c r="D1718" t="s">
        <v>1</v>
      </c>
      <c r="E1718" t="s">
        <v>3897</v>
      </c>
      <c r="F1718" t="s">
        <v>3898</v>
      </c>
      <c r="G1718" t="s">
        <v>179</v>
      </c>
      <c r="H1718">
        <v>29</v>
      </c>
      <c r="I1718">
        <v>56.207000000000001</v>
      </c>
      <c r="J1718">
        <v>65</v>
      </c>
      <c r="K1718">
        <v>8.7929999999999993</v>
      </c>
      <c r="L1718">
        <v>19</v>
      </c>
      <c r="M1718">
        <v>2</v>
      </c>
      <c r="N1718">
        <v>8</v>
      </c>
      <c r="O1718" t="s">
        <v>53</v>
      </c>
      <c r="P1718" t="s">
        <v>53</v>
      </c>
      <c r="Q1718" t="s">
        <v>53</v>
      </c>
    </row>
    <row r="1719" spans="1:17" x14ac:dyDescent="0.2">
      <c r="A1719" s="30" t="str">
        <f>IF(C1719&amp;G1719&amp;D1719&lt;&gt;'Funnel setup'!$K$3&amp;'Funnel setup'!$K$4&amp;'Funnel setup'!$K$5,".",IF(A1718=".",1,A1718+1))</f>
        <v>.</v>
      </c>
      <c r="B1719" s="431" t="str">
        <f t="shared" si="26"/>
        <v>Hip Replacement PrimaryProviderHORTON NHS TREATMENT CENTRE (NVC25)EQ VAS</v>
      </c>
      <c r="C1719" t="s">
        <v>248</v>
      </c>
      <c r="D1719" t="s">
        <v>1</v>
      </c>
      <c r="E1719" t="s">
        <v>4553</v>
      </c>
      <c r="F1719" t="s">
        <v>4554</v>
      </c>
      <c r="G1719" t="s">
        <v>179</v>
      </c>
      <c r="H1719">
        <v>165</v>
      </c>
      <c r="I1719">
        <v>68.903000000000006</v>
      </c>
      <c r="J1719">
        <v>80.344999999999999</v>
      </c>
      <c r="K1719">
        <v>11.442</v>
      </c>
      <c r="L1719">
        <v>110</v>
      </c>
      <c r="M1719">
        <v>22</v>
      </c>
      <c r="N1719">
        <v>33</v>
      </c>
      <c r="O1719">
        <v>76.965000000000003</v>
      </c>
      <c r="P1719">
        <v>11.46062173</v>
      </c>
      <c r="Q1719">
        <v>13.412000000000001</v>
      </c>
    </row>
    <row r="1720" spans="1:17" x14ac:dyDescent="0.2">
      <c r="A1720" s="30" t="str">
        <f>IF(C1720&amp;G1720&amp;D1720&lt;&gt;'Funnel setup'!$K$3&amp;'Funnel setup'!$K$4&amp;'Funnel setup'!$K$5,".",IF(A1719=".",1,A1719+1))</f>
        <v>.</v>
      </c>
      <c r="B1720" s="431" t="str">
        <f t="shared" si="26"/>
        <v>Hip Replacement PrimaryProviderHULL AND EAST YORKSHIRE HOSPITALS NHS TRUST (RWA)EQ VAS</v>
      </c>
      <c r="C1720" t="s">
        <v>248</v>
      </c>
      <c r="D1720" t="s">
        <v>1</v>
      </c>
      <c r="E1720" t="s">
        <v>3906</v>
      </c>
      <c r="F1720" t="s">
        <v>3907</v>
      </c>
      <c r="G1720" t="s">
        <v>179</v>
      </c>
      <c r="H1720">
        <v>246</v>
      </c>
      <c r="I1720">
        <v>59.857999999999997</v>
      </c>
      <c r="J1720">
        <v>73.671000000000006</v>
      </c>
      <c r="K1720">
        <v>13.813000000000001</v>
      </c>
      <c r="L1720">
        <v>179</v>
      </c>
      <c r="M1720">
        <v>26</v>
      </c>
      <c r="N1720">
        <v>41</v>
      </c>
      <c r="O1720">
        <v>74.802000000000007</v>
      </c>
      <c r="P1720">
        <v>9.2976423869999998</v>
      </c>
      <c r="Q1720">
        <v>17.016999999999999</v>
      </c>
    </row>
    <row r="1721" spans="1:17" x14ac:dyDescent="0.2">
      <c r="A1721" s="30" t="str">
        <f>IF(C1721&amp;G1721&amp;D1721&lt;&gt;'Funnel setup'!$K$3&amp;'Funnel setup'!$K$4&amp;'Funnel setup'!$K$5,".",IF(A1720=".",1,A1720+1))</f>
        <v>.</v>
      </c>
      <c r="B1721" s="431" t="str">
        <f t="shared" si="26"/>
        <v>Hip Replacement PrimaryProviderIMPERIAL COLLEGE HEALTHCARE NHS TRUST (RYJ)EQ VAS</v>
      </c>
      <c r="C1721" t="s">
        <v>248</v>
      </c>
      <c r="D1721" t="s">
        <v>1</v>
      </c>
      <c r="E1721" t="s">
        <v>4558</v>
      </c>
      <c r="F1721" t="s">
        <v>4559</v>
      </c>
      <c r="G1721" t="s">
        <v>179</v>
      </c>
      <c r="H1721">
        <v>57</v>
      </c>
      <c r="I1721">
        <v>60.613999999999997</v>
      </c>
      <c r="J1721">
        <v>75.14</v>
      </c>
      <c r="K1721">
        <v>14.526</v>
      </c>
      <c r="L1721">
        <v>40</v>
      </c>
      <c r="M1721">
        <v>6</v>
      </c>
      <c r="N1721">
        <v>11</v>
      </c>
      <c r="O1721">
        <v>78.064999999999998</v>
      </c>
      <c r="P1721">
        <v>12.56111984</v>
      </c>
      <c r="Q1721">
        <v>16.826000000000001</v>
      </c>
    </row>
    <row r="1722" spans="1:17" x14ac:dyDescent="0.2">
      <c r="A1722" s="30" t="str">
        <f>IF(C1722&amp;G1722&amp;D1722&lt;&gt;'Funnel setup'!$K$3&amp;'Funnel setup'!$K$4&amp;'Funnel setup'!$K$5,".",IF(A1721=".",1,A1721+1))</f>
        <v>.</v>
      </c>
      <c r="B1722" s="431" t="str">
        <f t="shared" si="26"/>
        <v>Hip Replacement PrimaryProviderIPSWICH HOSPITAL NHS TRUST (RGQ)EQ VAS</v>
      </c>
      <c r="C1722" t="s">
        <v>248</v>
      </c>
      <c r="D1722" t="s">
        <v>1</v>
      </c>
      <c r="E1722" t="s">
        <v>3909</v>
      </c>
      <c r="F1722" t="s">
        <v>3910</v>
      </c>
      <c r="G1722" t="s">
        <v>179</v>
      </c>
      <c r="H1722">
        <v>102</v>
      </c>
      <c r="I1722">
        <v>62.832999999999998</v>
      </c>
      <c r="J1722">
        <v>75.097999999999999</v>
      </c>
      <c r="K1722">
        <v>12.265000000000001</v>
      </c>
      <c r="L1722">
        <v>70</v>
      </c>
      <c r="M1722">
        <v>9</v>
      </c>
      <c r="N1722">
        <v>23</v>
      </c>
      <c r="O1722">
        <v>77.527000000000001</v>
      </c>
      <c r="P1722">
        <v>12.02267473</v>
      </c>
      <c r="Q1722">
        <v>14.702</v>
      </c>
    </row>
    <row r="1723" spans="1:17" x14ac:dyDescent="0.2">
      <c r="A1723" s="30" t="str">
        <f>IF(C1723&amp;G1723&amp;D1723&lt;&gt;'Funnel setup'!$K$3&amp;'Funnel setup'!$K$4&amp;'Funnel setup'!$K$5,".",IF(A1722=".",1,A1722+1))</f>
        <v>.</v>
      </c>
      <c r="B1723" s="431" t="str">
        <f t="shared" si="26"/>
        <v>Hip Replacement PrimaryProviderISLE OF WIGHT NHS TRUST (R1F)EQ VAS</v>
      </c>
      <c r="C1723" t="s">
        <v>248</v>
      </c>
      <c r="D1723" t="s">
        <v>1</v>
      </c>
      <c r="E1723" t="s">
        <v>3912</v>
      </c>
      <c r="F1723" t="s">
        <v>3913</v>
      </c>
      <c r="G1723" t="s">
        <v>179</v>
      </c>
      <c r="H1723">
        <v>82</v>
      </c>
      <c r="I1723">
        <v>61.792999999999999</v>
      </c>
      <c r="J1723">
        <v>73.793000000000006</v>
      </c>
      <c r="K1723">
        <v>12</v>
      </c>
      <c r="L1723">
        <v>56</v>
      </c>
      <c r="M1723">
        <v>12</v>
      </c>
      <c r="N1723">
        <v>14</v>
      </c>
      <c r="O1723">
        <v>75.317999999999998</v>
      </c>
      <c r="P1723">
        <v>9.8137835570000007</v>
      </c>
      <c r="Q1723">
        <v>14.596</v>
      </c>
    </row>
    <row r="1724" spans="1:17" x14ac:dyDescent="0.2">
      <c r="A1724" s="30" t="str">
        <f>IF(C1724&amp;G1724&amp;D1724&lt;&gt;'Funnel setup'!$K$3&amp;'Funnel setup'!$K$4&amp;'Funnel setup'!$K$5,".",IF(A1723=".",1,A1723+1))</f>
        <v>.</v>
      </c>
      <c r="B1724" s="431" t="str">
        <f t="shared" si="26"/>
        <v>Hip Replacement PrimaryProviderJAMES PAGET UNIVERSITY HOSPITALS NHS FOUNDATION TRUST (RGP)EQ VAS</v>
      </c>
      <c r="C1724" t="s">
        <v>248</v>
      </c>
      <c r="D1724" t="s">
        <v>1</v>
      </c>
      <c r="E1724" t="s">
        <v>3915</v>
      </c>
      <c r="F1724" t="s">
        <v>3916</v>
      </c>
      <c r="G1724" t="s">
        <v>179</v>
      </c>
      <c r="H1724">
        <v>142</v>
      </c>
      <c r="I1724">
        <v>67.134</v>
      </c>
      <c r="J1724">
        <v>78.944000000000003</v>
      </c>
      <c r="K1724">
        <v>11.81</v>
      </c>
      <c r="L1724">
        <v>87</v>
      </c>
      <c r="M1724">
        <v>20</v>
      </c>
      <c r="N1724">
        <v>35</v>
      </c>
      <c r="O1724">
        <v>79.02</v>
      </c>
      <c r="P1724">
        <v>13.515379619999999</v>
      </c>
      <c r="Q1724">
        <v>14.763999999999999</v>
      </c>
    </row>
    <row r="1725" spans="1:17" x14ac:dyDescent="0.2">
      <c r="A1725" s="30" t="str">
        <f>IF(C1725&amp;G1725&amp;D1725&lt;&gt;'Funnel setup'!$K$3&amp;'Funnel setup'!$K$4&amp;'Funnel setup'!$K$5,".",IF(A1724=".",1,A1724+1))</f>
        <v>.</v>
      </c>
      <c r="B1725" s="431" t="str">
        <f t="shared" si="26"/>
        <v>Hip Replacement PrimaryProviderKETTERING GENERAL HOSPITAL NHS FOUNDATION TRUST (RNQ)EQ VAS</v>
      </c>
      <c r="C1725" t="s">
        <v>248</v>
      </c>
      <c r="D1725" t="s">
        <v>1</v>
      </c>
      <c r="E1725" t="s">
        <v>3918</v>
      </c>
      <c r="F1725" t="s">
        <v>3919</v>
      </c>
      <c r="G1725" t="s">
        <v>179</v>
      </c>
      <c r="H1725">
        <v>60</v>
      </c>
      <c r="I1725">
        <v>61.767000000000003</v>
      </c>
      <c r="J1725">
        <v>72.367000000000004</v>
      </c>
      <c r="K1725">
        <v>10.6</v>
      </c>
      <c r="L1725">
        <v>38</v>
      </c>
      <c r="M1725">
        <v>8</v>
      </c>
      <c r="N1725">
        <v>14</v>
      </c>
      <c r="O1725">
        <v>74.003</v>
      </c>
      <c r="P1725">
        <v>8.498224703</v>
      </c>
      <c r="Q1725">
        <v>18.495000000000001</v>
      </c>
    </row>
    <row r="1726" spans="1:17" x14ac:dyDescent="0.2">
      <c r="A1726" s="30" t="str">
        <f>IF(C1726&amp;G1726&amp;D1726&lt;&gt;'Funnel setup'!$K$3&amp;'Funnel setup'!$K$4&amp;'Funnel setup'!$K$5,".",IF(A1725=".",1,A1725+1))</f>
        <v>.</v>
      </c>
      <c r="B1726" s="431" t="str">
        <f t="shared" si="26"/>
        <v>Hip Replacement PrimaryProviderKING'S COLLEGE HOSPITAL NHS FOUNDATION TRUST (RJZ)EQ VAS</v>
      </c>
      <c r="C1726" t="s">
        <v>248</v>
      </c>
      <c r="D1726" t="s">
        <v>1</v>
      </c>
      <c r="E1726" t="s">
        <v>3924</v>
      </c>
      <c r="F1726" t="s">
        <v>3925</v>
      </c>
      <c r="G1726" t="s">
        <v>179</v>
      </c>
      <c r="H1726">
        <v>176</v>
      </c>
      <c r="I1726">
        <v>63.954999999999998</v>
      </c>
      <c r="J1726">
        <v>78.397999999999996</v>
      </c>
      <c r="K1726">
        <v>14.443</v>
      </c>
      <c r="L1726">
        <v>123</v>
      </c>
      <c r="M1726">
        <v>20</v>
      </c>
      <c r="N1726">
        <v>33</v>
      </c>
      <c r="O1726">
        <v>78.316000000000003</v>
      </c>
      <c r="P1726">
        <v>12.81128109</v>
      </c>
      <c r="Q1726">
        <v>14.464</v>
      </c>
    </row>
    <row r="1727" spans="1:17" x14ac:dyDescent="0.2">
      <c r="A1727" s="30" t="str">
        <f>IF(C1727&amp;G1727&amp;D1727&lt;&gt;'Funnel setup'!$K$3&amp;'Funnel setup'!$K$4&amp;'Funnel setup'!$K$5,".",IF(A1726=".",1,A1726+1))</f>
        <v>.</v>
      </c>
      <c r="B1727" s="431" t="str">
        <f t="shared" si="26"/>
        <v>Hip Replacement PrimaryProviderLANCASHIRE TEACHING HOSPITALS NHS FOUNDATION TRUST (RXN)EQ VAS</v>
      </c>
      <c r="C1727" t="s">
        <v>248</v>
      </c>
      <c r="D1727" t="s">
        <v>1</v>
      </c>
      <c r="E1727" t="s">
        <v>3567</v>
      </c>
      <c r="F1727" t="s">
        <v>3568</v>
      </c>
      <c r="G1727" t="s">
        <v>179</v>
      </c>
      <c r="H1727">
        <v>174</v>
      </c>
      <c r="I1727">
        <v>62.023000000000003</v>
      </c>
      <c r="J1727">
        <v>72.597999999999999</v>
      </c>
      <c r="K1727">
        <v>10.574999999999999</v>
      </c>
      <c r="L1727">
        <v>116</v>
      </c>
      <c r="M1727">
        <v>11</v>
      </c>
      <c r="N1727">
        <v>47</v>
      </c>
      <c r="O1727">
        <v>75.111999999999995</v>
      </c>
      <c r="P1727">
        <v>9.6074051610000009</v>
      </c>
      <c r="Q1727">
        <v>19.183</v>
      </c>
    </row>
    <row r="1728" spans="1:17" x14ac:dyDescent="0.2">
      <c r="A1728" s="30" t="str">
        <f>IF(C1728&amp;G1728&amp;D1728&lt;&gt;'Funnel setup'!$K$3&amp;'Funnel setup'!$K$4&amp;'Funnel setup'!$K$5,".",IF(A1727=".",1,A1727+1))</f>
        <v>.</v>
      </c>
      <c r="B1728" s="431" t="str">
        <f t="shared" si="26"/>
        <v>Hip Replacement PrimaryProviderLEEDS TEACHING HOSPITALS NHS TRUST (RR8)EQ VAS</v>
      </c>
      <c r="C1728" t="s">
        <v>248</v>
      </c>
      <c r="D1728" t="s">
        <v>1</v>
      </c>
      <c r="E1728" t="s">
        <v>3930</v>
      </c>
      <c r="F1728" t="s">
        <v>344</v>
      </c>
      <c r="G1728" t="s">
        <v>179</v>
      </c>
      <c r="H1728">
        <v>214</v>
      </c>
      <c r="I1728">
        <v>63.387999999999998</v>
      </c>
      <c r="J1728">
        <v>77.051000000000002</v>
      </c>
      <c r="K1728">
        <v>13.664</v>
      </c>
      <c r="L1728">
        <v>144</v>
      </c>
      <c r="M1728">
        <v>17</v>
      </c>
      <c r="N1728">
        <v>53</v>
      </c>
      <c r="O1728">
        <v>78.076999999999998</v>
      </c>
      <c r="P1728">
        <v>12.57294454</v>
      </c>
      <c r="Q1728">
        <v>16.911999999999999</v>
      </c>
    </row>
    <row r="1729" spans="1:17" x14ac:dyDescent="0.2">
      <c r="A1729" s="30" t="str">
        <f>IF(C1729&amp;G1729&amp;D1729&lt;&gt;'Funnel setup'!$K$3&amp;'Funnel setup'!$K$4&amp;'Funnel setup'!$K$5,".",IF(A1728=".",1,A1728+1))</f>
        <v>.</v>
      </c>
      <c r="B1729" s="431" t="str">
        <f t="shared" si="26"/>
        <v>Hip Replacement PrimaryProviderLEWISHAM AND GREENWICH NHS TRUST (RJ2)EQ VAS</v>
      </c>
      <c r="C1729" t="s">
        <v>248</v>
      </c>
      <c r="D1729" t="s">
        <v>1</v>
      </c>
      <c r="E1729" t="s">
        <v>3522</v>
      </c>
      <c r="F1729" t="s">
        <v>3523</v>
      </c>
      <c r="G1729" t="s">
        <v>179</v>
      </c>
      <c r="H1729">
        <v>78</v>
      </c>
      <c r="I1729">
        <v>65.602999999999994</v>
      </c>
      <c r="J1729">
        <v>72.846000000000004</v>
      </c>
      <c r="K1729">
        <v>7.2439999999999998</v>
      </c>
      <c r="L1729">
        <v>47</v>
      </c>
      <c r="M1729">
        <v>8</v>
      </c>
      <c r="N1729">
        <v>23</v>
      </c>
      <c r="O1729">
        <v>74.927000000000007</v>
      </c>
      <c r="P1729">
        <v>9.4225425600000001</v>
      </c>
      <c r="Q1729">
        <v>18.422000000000001</v>
      </c>
    </row>
    <row r="1730" spans="1:17" x14ac:dyDescent="0.2">
      <c r="A1730" s="30" t="str">
        <f>IF(C1730&amp;G1730&amp;D1730&lt;&gt;'Funnel setup'!$K$3&amp;'Funnel setup'!$K$4&amp;'Funnel setup'!$K$5,".",IF(A1729=".",1,A1729+1))</f>
        <v>.</v>
      </c>
      <c r="B1730" s="431" t="str">
        <f t="shared" si="26"/>
        <v>Hip Replacement PrimaryProviderLONDON NORTH WEST HEALTHCARE NHS TRUST (R1K)EQ VAS</v>
      </c>
      <c r="C1730" t="s">
        <v>248</v>
      </c>
      <c r="D1730" t="s">
        <v>1</v>
      </c>
      <c r="E1730" t="s">
        <v>6515</v>
      </c>
      <c r="F1730" t="s">
        <v>6516</v>
      </c>
      <c r="G1730" t="s">
        <v>179</v>
      </c>
      <c r="H1730">
        <v>90</v>
      </c>
      <c r="I1730">
        <v>60.067</v>
      </c>
      <c r="J1730">
        <v>75.843999999999994</v>
      </c>
      <c r="K1730">
        <v>15.778</v>
      </c>
      <c r="L1730">
        <v>66</v>
      </c>
      <c r="M1730">
        <v>11</v>
      </c>
      <c r="N1730">
        <v>13</v>
      </c>
      <c r="O1730">
        <v>78.403000000000006</v>
      </c>
      <c r="P1730">
        <v>12.89904866</v>
      </c>
      <c r="Q1730">
        <v>17.597000000000001</v>
      </c>
    </row>
    <row r="1731" spans="1:17" x14ac:dyDescent="0.2">
      <c r="A1731" s="30" t="str">
        <f>IF(C1731&amp;G1731&amp;D1731&lt;&gt;'Funnel setup'!$K$3&amp;'Funnel setup'!$K$4&amp;'Funnel setup'!$K$5,".",IF(A1730=".",1,A1730+1))</f>
        <v>.</v>
      </c>
      <c r="B1731" s="431" t="str">
        <f t="shared" ref="B1731:B1794" si="27">C1731&amp;D1731&amp;F1731&amp;G1731</f>
        <v>Hip Replacement PrimaryProviderLUTON AND DUNSTABLE UNIVERSITY HOSPITAL NHS FOUNDATION TRUST (RC9)EQ VAS</v>
      </c>
      <c r="C1731" t="s">
        <v>248</v>
      </c>
      <c r="D1731" t="s">
        <v>1</v>
      </c>
      <c r="E1731" t="s">
        <v>3528</v>
      </c>
      <c r="F1731" t="s">
        <v>3529</v>
      </c>
      <c r="G1731" t="s">
        <v>179</v>
      </c>
      <c r="H1731">
        <v>134</v>
      </c>
      <c r="I1731">
        <v>61.91</v>
      </c>
      <c r="J1731">
        <v>76.924999999999997</v>
      </c>
      <c r="K1731">
        <v>15.015000000000001</v>
      </c>
      <c r="L1731">
        <v>83</v>
      </c>
      <c r="M1731">
        <v>19</v>
      </c>
      <c r="N1731">
        <v>32</v>
      </c>
      <c r="O1731">
        <v>78.296999999999997</v>
      </c>
      <c r="P1731">
        <v>12.793047380000001</v>
      </c>
      <c r="Q1731">
        <v>14.896000000000001</v>
      </c>
    </row>
    <row r="1732" spans="1:17" x14ac:dyDescent="0.2">
      <c r="A1732" s="30" t="str">
        <f>IF(C1732&amp;G1732&amp;D1732&lt;&gt;'Funnel setup'!$K$3&amp;'Funnel setup'!$K$4&amp;'Funnel setup'!$K$5,".",IF(A1731=".",1,A1731+1))</f>
        <v>.</v>
      </c>
      <c r="B1732" s="431" t="str">
        <f t="shared" si="27"/>
        <v>Hip Replacement PrimaryProviderMAIDSTONE AND TUNBRIDGE WELLS NHS TRUST (RWF)EQ VAS</v>
      </c>
      <c r="C1732" t="s">
        <v>248</v>
      </c>
      <c r="D1732" t="s">
        <v>1</v>
      </c>
      <c r="E1732" t="s">
        <v>3627</v>
      </c>
      <c r="F1732" t="s">
        <v>3628</v>
      </c>
      <c r="G1732" t="s">
        <v>179</v>
      </c>
      <c r="H1732">
        <v>178</v>
      </c>
      <c r="I1732">
        <v>68.403999999999996</v>
      </c>
      <c r="J1732">
        <v>77.792000000000002</v>
      </c>
      <c r="K1732">
        <v>9.3879999999999999</v>
      </c>
      <c r="L1732">
        <v>118</v>
      </c>
      <c r="M1732">
        <v>19</v>
      </c>
      <c r="N1732">
        <v>41</v>
      </c>
      <c r="O1732">
        <v>77.510999999999996</v>
      </c>
      <c r="P1732">
        <v>12.00662408</v>
      </c>
      <c r="Q1732">
        <v>14.835000000000001</v>
      </c>
    </row>
    <row r="1733" spans="1:17" x14ac:dyDescent="0.2">
      <c r="A1733" s="30" t="str">
        <f>IF(C1733&amp;G1733&amp;D1733&lt;&gt;'Funnel setup'!$K$3&amp;'Funnel setup'!$K$4&amp;'Funnel setup'!$K$5,".",IF(A1732=".",1,A1732+1))</f>
        <v>.</v>
      </c>
      <c r="B1733" s="431" t="str">
        <f t="shared" si="27"/>
        <v>Hip Replacement PrimaryProviderMEDWAY NHS FOUNDATION TRUST (RPA)EQ VAS</v>
      </c>
      <c r="C1733" t="s">
        <v>248</v>
      </c>
      <c r="D1733" t="s">
        <v>1</v>
      </c>
      <c r="E1733" t="s">
        <v>3630</v>
      </c>
      <c r="F1733" t="s">
        <v>3631</v>
      </c>
      <c r="G1733" t="s">
        <v>179</v>
      </c>
      <c r="H1733">
        <v>138</v>
      </c>
      <c r="I1733">
        <v>64.528999999999996</v>
      </c>
      <c r="J1733">
        <v>78.209999999999994</v>
      </c>
      <c r="K1733">
        <v>13.680999999999999</v>
      </c>
      <c r="L1733">
        <v>95</v>
      </c>
      <c r="M1733">
        <v>12</v>
      </c>
      <c r="N1733">
        <v>31</v>
      </c>
      <c r="O1733">
        <v>79.894999999999996</v>
      </c>
      <c r="P1733">
        <v>14.39038783</v>
      </c>
      <c r="Q1733">
        <v>15.577</v>
      </c>
    </row>
    <row r="1734" spans="1:17" x14ac:dyDescent="0.2">
      <c r="A1734" s="30" t="str">
        <f>IF(C1734&amp;G1734&amp;D1734&lt;&gt;'Funnel setup'!$K$3&amp;'Funnel setup'!$K$4&amp;'Funnel setup'!$K$5,".",IF(A1733=".",1,A1733+1))</f>
        <v>.</v>
      </c>
      <c r="B1734" s="431" t="str">
        <f t="shared" si="27"/>
        <v>Hip Replacement PrimaryProviderMID CHESHIRE HOSPITALS NHS FOUNDATION TRUST (RBT)EQ VAS</v>
      </c>
      <c r="C1734" t="s">
        <v>248</v>
      </c>
      <c r="D1734" t="s">
        <v>1</v>
      </c>
      <c r="E1734" t="s">
        <v>3633</v>
      </c>
      <c r="F1734" t="s">
        <v>342</v>
      </c>
      <c r="G1734" t="s">
        <v>179</v>
      </c>
      <c r="H1734">
        <v>149</v>
      </c>
      <c r="I1734">
        <v>70.227999999999994</v>
      </c>
      <c r="J1734">
        <v>77.972999999999999</v>
      </c>
      <c r="K1734">
        <v>7.7450000000000001</v>
      </c>
      <c r="L1734">
        <v>85</v>
      </c>
      <c r="M1734">
        <v>20</v>
      </c>
      <c r="N1734">
        <v>44</v>
      </c>
      <c r="O1734">
        <v>76.778000000000006</v>
      </c>
      <c r="P1734">
        <v>11.27381986</v>
      </c>
      <c r="Q1734">
        <v>15.178000000000001</v>
      </c>
    </row>
    <row r="1735" spans="1:17" x14ac:dyDescent="0.2">
      <c r="A1735" s="30" t="str">
        <f>IF(C1735&amp;G1735&amp;D1735&lt;&gt;'Funnel setup'!$K$3&amp;'Funnel setup'!$K$4&amp;'Funnel setup'!$K$5,".",IF(A1734=".",1,A1734+1))</f>
        <v>.</v>
      </c>
      <c r="B1735" s="431" t="str">
        <f t="shared" si="27"/>
        <v>Hip Replacement PrimaryProviderMID ESSEX HOSPITAL SERVICES NHS TRUST (RQ8)EQ VAS</v>
      </c>
      <c r="C1735" t="s">
        <v>248</v>
      </c>
      <c r="D1735" t="s">
        <v>1</v>
      </c>
      <c r="E1735" t="s">
        <v>3635</v>
      </c>
      <c r="F1735" t="s">
        <v>3636</v>
      </c>
      <c r="G1735" t="s">
        <v>179</v>
      </c>
      <c r="H1735">
        <v>161</v>
      </c>
      <c r="I1735">
        <v>67.477999999999994</v>
      </c>
      <c r="J1735">
        <v>77.260999999999996</v>
      </c>
      <c r="K1735">
        <v>9.7829999999999995</v>
      </c>
      <c r="L1735">
        <v>99</v>
      </c>
      <c r="M1735">
        <v>22</v>
      </c>
      <c r="N1735">
        <v>40</v>
      </c>
      <c r="O1735">
        <v>76.302999999999997</v>
      </c>
      <c r="P1735">
        <v>10.79863084</v>
      </c>
      <c r="Q1735">
        <v>14.731</v>
      </c>
    </row>
    <row r="1736" spans="1:17" x14ac:dyDescent="0.2">
      <c r="A1736" s="30" t="str">
        <f>IF(C1736&amp;G1736&amp;D1736&lt;&gt;'Funnel setup'!$K$3&amp;'Funnel setup'!$K$4&amp;'Funnel setup'!$K$5,".",IF(A1735=".",1,A1735+1))</f>
        <v>.</v>
      </c>
      <c r="B1736" s="431" t="str">
        <f t="shared" si="27"/>
        <v>Hip Replacement PrimaryProviderMID STAFFORDSHIRE NHS FOUNDATION TRUST (RJD)EQ VAS</v>
      </c>
      <c r="C1736" t="s">
        <v>248</v>
      </c>
      <c r="D1736" t="s">
        <v>1</v>
      </c>
      <c r="E1736" t="s">
        <v>3638</v>
      </c>
      <c r="F1736" t="s">
        <v>3639</v>
      </c>
      <c r="G1736" t="s">
        <v>179</v>
      </c>
      <c r="H1736">
        <v>131</v>
      </c>
      <c r="I1736">
        <v>63.74</v>
      </c>
      <c r="J1736">
        <v>76.015000000000001</v>
      </c>
      <c r="K1736">
        <v>12.275</v>
      </c>
      <c r="L1736">
        <v>86</v>
      </c>
      <c r="M1736">
        <v>18</v>
      </c>
      <c r="N1736">
        <v>27</v>
      </c>
      <c r="O1736">
        <v>76.997</v>
      </c>
      <c r="P1736">
        <v>11.492473029999999</v>
      </c>
      <c r="Q1736">
        <v>17.219000000000001</v>
      </c>
    </row>
    <row r="1737" spans="1:17" x14ac:dyDescent="0.2">
      <c r="A1737" s="30" t="str">
        <f>IF(C1737&amp;G1737&amp;D1737&lt;&gt;'Funnel setup'!$K$3&amp;'Funnel setup'!$K$4&amp;'Funnel setup'!$K$5,".",IF(A1736=".",1,A1736+1))</f>
        <v>.</v>
      </c>
      <c r="B1737" s="431" t="str">
        <f t="shared" si="27"/>
        <v>Hip Replacement PrimaryProviderMID YORKSHIRE HOSPITALS NHS TRUST (RXF)EQ VAS</v>
      </c>
      <c r="C1737" t="s">
        <v>248</v>
      </c>
      <c r="D1737" t="s">
        <v>1</v>
      </c>
      <c r="E1737" t="s">
        <v>3641</v>
      </c>
      <c r="F1737" t="s">
        <v>3642</v>
      </c>
      <c r="G1737" t="s">
        <v>179</v>
      </c>
      <c r="H1737">
        <v>194</v>
      </c>
      <c r="I1737">
        <v>63.392000000000003</v>
      </c>
      <c r="J1737">
        <v>73.361000000000004</v>
      </c>
      <c r="K1737">
        <v>9.9689999999999994</v>
      </c>
      <c r="L1737">
        <v>123</v>
      </c>
      <c r="M1737">
        <v>16</v>
      </c>
      <c r="N1737">
        <v>55</v>
      </c>
      <c r="O1737">
        <v>74.986999999999995</v>
      </c>
      <c r="P1737">
        <v>9.483067879</v>
      </c>
      <c r="Q1737">
        <v>15.962</v>
      </c>
    </row>
    <row r="1738" spans="1:17" x14ac:dyDescent="0.2">
      <c r="A1738" s="30" t="str">
        <f>IF(C1738&amp;G1738&amp;D1738&lt;&gt;'Funnel setup'!$K$3&amp;'Funnel setup'!$K$4&amp;'Funnel setup'!$K$5,".",IF(A1737=".",1,A1737+1))</f>
        <v>.</v>
      </c>
      <c r="B1738" s="431" t="str">
        <f t="shared" si="27"/>
        <v>Hip Replacement PrimaryProviderMILTON KEYNES UNIVERSITY HOSPITAL NHS FOUNDATION TRUST (RD8)EQ VAS</v>
      </c>
      <c r="C1738" t="s">
        <v>248</v>
      </c>
      <c r="D1738" t="s">
        <v>1</v>
      </c>
      <c r="E1738" t="s">
        <v>3643</v>
      </c>
      <c r="F1738" t="s">
        <v>6580</v>
      </c>
      <c r="G1738" t="s">
        <v>179</v>
      </c>
      <c r="H1738">
        <v>162</v>
      </c>
      <c r="I1738">
        <v>62.857999999999997</v>
      </c>
      <c r="J1738">
        <v>78.647999999999996</v>
      </c>
      <c r="K1738">
        <v>15.79</v>
      </c>
      <c r="L1738">
        <v>112</v>
      </c>
      <c r="M1738">
        <v>17</v>
      </c>
      <c r="N1738">
        <v>33</v>
      </c>
      <c r="O1738">
        <v>79.42</v>
      </c>
      <c r="P1738">
        <v>13.91568129</v>
      </c>
      <c r="Q1738">
        <v>16.273</v>
      </c>
    </row>
    <row r="1739" spans="1:17" x14ac:dyDescent="0.2">
      <c r="A1739" s="30" t="str">
        <f>IF(C1739&amp;G1739&amp;D1739&lt;&gt;'Funnel setup'!$K$3&amp;'Funnel setup'!$K$4&amp;'Funnel setup'!$K$5,".",IF(A1738=".",1,A1738+1))</f>
        <v>.</v>
      </c>
      <c r="B1739" s="431" t="str">
        <f t="shared" si="27"/>
        <v>Hip Replacement PrimaryProviderMOUNT STUART HOSPITAL (NVC08)EQ VAS</v>
      </c>
      <c r="C1739" t="s">
        <v>248</v>
      </c>
      <c r="D1739" t="s">
        <v>1</v>
      </c>
      <c r="E1739" t="s">
        <v>3645</v>
      </c>
      <c r="F1739" t="s">
        <v>3646</v>
      </c>
      <c r="G1739" t="s">
        <v>179</v>
      </c>
      <c r="H1739">
        <v>148</v>
      </c>
      <c r="I1739">
        <v>70.236000000000004</v>
      </c>
      <c r="J1739">
        <v>81.195999999999998</v>
      </c>
      <c r="K1739">
        <v>10.959</v>
      </c>
      <c r="L1739">
        <v>102</v>
      </c>
      <c r="M1739">
        <v>9</v>
      </c>
      <c r="N1739">
        <v>37</v>
      </c>
      <c r="O1739">
        <v>78.953999999999994</v>
      </c>
      <c r="P1739">
        <v>13.450006050000001</v>
      </c>
      <c r="Q1739">
        <v>14.938000000000001</v>
      </c>
    </row>
    <row r="1740" spans="1:17" x14ac:dyDescent="0.2">
      <c r="A1740" s="30" t="str">
        <f>IF(C1740&amp;G1740&amp;D1740&lt;&gt;'Funnel setup'!$K$3&amp;'Funnel setup'!$K$4&amp;'Funnel setup'!$K$5,".",IF(A1739=".",1,A1739+1))</f>
        <v>.</v>
      </c>
      <c r="B1740" s="431" t="str">
        <f t="shared" si="27"/>
        <v>Hip Replacement PrimaryProviderNEW HALL HOSPITAL (NVC09)EQ VAS</v>
      </c>
      <c r="C1740" t="s">
        <v>248</v>
      </c>
      <c r="D1740" t="s">
        <v>1</v>
      </c>
      <c r="E1740" t="s">
        <v>3648</v>
      </c>
      <c r="F1740" t="s">
        <v>3649</v>
      </c>
      <c r="G1740" t="s">
        <v>179</v>
      </c>
      <c r="H1740">
        <v>108</v>
      </c>
      <c r="I1740">
        <v>63.564999999999998</v>
      </c>
      <c r="J1740">
        <v>82.741</v>
      </c>
      <c r="K1740">
        <v>19.175999999999998</v>
      </c>
      <c r="L1740">
        <v>87</v>
      </c>
      <c r="M1740">
        <v>8</v>
      </c>
      <c r="N1740">
        <v>13</v>
      </c>
      <c r="O1740">
        <v>81.912000000000006</v>
      </c>
      <c r="P1740">
        <v>16.407444430000002</v>
      </c>
      <c r="Q1740">
        <v>12.614000000000001</v>
      </c>
    </row>
    <row r="1741" spans="1:17" x14ac:dyDescent="0.2">
      <c r="A1741" s="30" t="str">
        <f>IF(C1741&amp;G1741&amp;D1741&lt;&gt;'Funnel setup'!$K$3&amp;'Funnel setup'!$K$4&amp;'Funnel setup'!$K$5,".",IF(A1740=".",1,A1740+1))</f>
        <v>.</v>
      </c>
      <c r="B1741" s="431" t="str">
        <f t="shared" si="27"/>
        <v>Hip Replacement PrimaryProviderNORFOLK AND NORWICH UNIVERSITY HOSPITALS NHS FOUNDATION TRUST (RM1)EQ VAS</v>
      </c>
      <c r="C1741" t="s">
        <v>248</v>
      </c>
      <c r="D1741" t="s">
        <v>1</v>
      </c>
      <c r="E1741" t="s">
        <v>3651</v>
      </c>
      <c r="F1741" t="s">
        <v>3652</v>
      </c>
      <c r="G1741" t="s">
        <v>179</v>
      </c>
      <c r="H1741">
        <v>233</v>
      </c>
      <c r="I1741">
        <v>57.116</v>
      </c>
      <c r="J1741">
        <v>72.549000000000007</v>
      </c>
      <c r="K1741">
        <v>15.433</v>
      </c>
      <c r="L1741">
        <v>169</v>
      </c>
      <c r="M1741">
        <v>24</v>
      </c>
      <c r="N1741">
        <v>40</v>
      </c>
      <c r="O1741">
        <v>76.12</v>
      </c>
      <c r="P1741">
        <v>10.615667999999999</v>
      </c>
      <c r="Q1741">
        <v>17.516999999999999</v>
      </c>
    </row>
    <row r="1742" spans="1:17" x14ac:dyDescent="0.2">
      <c r="A1742" s="30" t="str">
        <f>IF(C1742&amp;G1742&amp;D1742&lt;&gt;'Funnel setup'!$K$3&amp;'Funnel setup'!$K$4&amp;'Funnel setup'!$K$5,".",IF(A1741=".",1,A1741+1))</f>
        <v>.</v>
      </c>
      <c r="B1742" s="431" t="str">
        <f t="shared" si="27"/>
        <v>Hip Replacement PrimaryProviderNORTH BRISTOL NHS TRUST (RVJ)EQ VAS</v>
      </c>
      <c r="C1742" t="s">
        <v>248</v>
      </c>
      <c r="D1742" t="s">
        <v>1</v>
      </c>
      <c r="E1742" t="s">
        <v>3654</v>
      </c>
      <c r="F1742" t="s">
        <v>3655</v>
      </c>
      <c r="G1742" t="s">
        <v>179</v>
      </c>
      <c r="H1742">
        <v>177</v>
      </c>
      <c r="I1742">
        <v>61.750999999999998</v>
      </c>
      <c r="J1742">
        <v>77.52</v>
      </c>
      <c r="K1742">
        <v>15.768000000000001</v>
      </c>
      <c r="L1742">
        <v>119</v>
      </c>
      <c r="M1742">
        <v>24</v>
      </c>
      <c r="N1742">
        <v>34</v>
      </c>
      <c r="O1742">
        <v>77.816999999999993</v>
      </c>
      <c r="P1742">
        <v>12.312867839999999</v>
      </c>
      <c r="Q1742">
        <v>15.426</v>
      </c>
    </row>
    <row r="1743" spans="1:17" x14ac:dyDescent="0.2">
      <c r="A1743" s="30" t="str">
        <f>IF(C1743&amp;G1743&amp;D1743&lt;&gt;'Funnel setup'!$K$3&amp;'Funnel setup'!$K$4&amp;'Funnel setup'!$K$5,".",IF(A1742=".",1,A1742+1))</f>
        <v>.</v>
      </c>
      <c r="B1743" s="431" t="str">
        <f t="shared" si="27"/>
        <v>Hip Replacement PrimaryProviderNORTH CUMBRIA UNIVERSITY HOSPITALS NHS TRUST (RNL)EQ VAS</v>
      </c>
      <c r="C1743" t="s">
        <v>248</v>
      </c>
      <c r="D1743" t="s">
        <v>1</v>
      </c>
      <c r="E1743" t="s">
        <v>3657</v>
      </c>
      <c r="F1743" t="s">
        <v>3658</v>
      </c>
      <c r="G1743" t="s">
        <v>179</v>
      </c>
      <c r="H1743">
        <v>120</v>
      </c>
      <c r="I1743">
        <v>63.75</v>
      </c>
      <c r="J1743">
        <v>73.674999999999997</v>
      </c>
      <c r="K1743">
        <v>9.9250000000000007</v>
      </c>
      <c r="L1743">
        <v>75</v>
      </c>
      <c r="M1743">
        <v>10</v>
      </c>
      <c r="N1743">
        <v>35</v>
      </c>
      <c r="O1743">
        <v>75.516000000000005</v>
      </c>
      <c r="P1743">
        <v>10.01152486</v>
      </c>
      <c r="Q1743">
        <v>17.167000000000002</v>
      </c>
    </row>
    <row r="1744" spans="1:17" x14ac:dyDescent="0.2">
      <c r="A1744" s="30" t="str">
        <f>IF(C1744&amp;G1744&amp;D1744&lt;&gt;'Funnel setup'!$K$3&amp;'Funnel setup'!$K$4&amp;'Funnel setup'!$K$5,".",IF(A1743=".",1,A1743+1))</f>
        <v>.</v>
      </c>
      <c r="B1744" s="431" t="str">
        <f t="shared" si="27"/>
        <v>Hip Replacement PrimaryProviderNORTH DOWNS HOSPITAL (NVC11)EQ VAS</v>
      </c>
      <c r="C1744" t="s">
        <v>248</v>
      </c>
      <c r="D1744" t="s">
        <v>1</v>
      </c>
      <c r="E1744" t="s">
        <v>3660</v>
      </c>
      <c r="F1744" t="s">
        <v>3661</v>
      </c>
      <c r="G1744" t="s">
        <v>179</v>
      </c>
      <c r="H1744">
        <v>65</v>
      </c>
      <c r="I1744">
        <v>72.831000000000003</v>
      </c>
      <c r="J1744">
        <v>82.8</v>
      </c>
      <c r="K1744">
        <v>9.9689999999999994</v>
      </c>
      <c r="L1744">
        <v>44</v>
      </c>
      <c r="M1744">
        <v>9</v>
      </c>
      <c r="N1744">
        <v>12</v>
      </c>
      <c r="O1744">
        <v>78.635000000000005</v>
      </c>
      <c r="P1744">
        <v>13.13084658</v>
      </c>
      <c r="Q1744">
        <v>11.221</v>
      </c>
    </row>
    <row r="1745" spans="1:17" x14ac:dyDescent="0.2">
      <c r="A1745" s="30" t="str">
        <f>IF(C1745&amp;G1745&amp;D1745&lt;&gt;'Funnel setup'!$K$3&amp;'Funnel setup'!$K$4&amp;'Funnel setup'!$K$5,".",IF(A1744=".",1,A1744+1))</f>
        <v>.</v>
      </c>
      <c r="B1745" s="431" t="str">
        <f t="shared" si="27"/>
        <v>Hip Replacement PrimaryProviderNORTH EAST LONDON TREATMENT CENTRE CARE UK (NTP15)EQ VAS</v>
      </c>
      <c r="C1745" t="s">
        <v>248</v>
      </c>
      <c r="D1745" t="s">
        <v>1</v>
      </c>
      <c r="E1745" t="s">
        <v>3663</v>
      </c>
      <c r="F1745" t="s">
        <v>3664</v>
      </c>
      <c r="G1745" t="s">
        <v>179</v>
      </c>
      <c r="H1745">
        <v>84</v>
      </c>
      <c r="I1745">
        <v>70.298000000000002</v>
      </c>
      <c r="J1745">
        <v>80.713999999999999</v>
      </c>
      <c r="K1745">
        <v>10.417</v>
      </c>
      <c r="L1745">
        <v>49</v>
      </c>
      <c r="M1745">
        <v>13</v>
      </c>
      <c r="N1745">
        <v>22</v>
      </c>
      <c r="O1745">
        <v>79.102999999999994</v>
      </c>
      <c r="P1745">
        <v>13.59916698</v>
      </c>
      <c r="Q1745">
        <v>12.685</v>
      </c>
    </row>
    <row r="1746" spans="1:17" x14ac:dyDescent="0.2">
      <c r="A1746" s="30" t="str">
        <f>IF(C1746&amp;G1746&amp;D1746&lt;&gt;'Funnel setup'!$K$3&amp;'Funnel setup'!$K$4&amp;'Funnel setup'!$K$5,".",IF(A1745=".",1,A1745+1))</f>
        <v>.</v>
      </c>
      <c r="B1746" s="431" t="str">
        <f t="shared" si="27"/>
        <v>Hip Replacement PrimaryProviderNORTH MIDDLESEX UNIVERSITY HOSPITAL NHS TRUST (RAP)EQ VAS</v>
      </c>
      <c r="C1746" t="s">
        <v>248</v>
      </c>
      <c r="D1746" t="s">
        <v>1</v>
      </c>
      <c r="E1746" t="s">
        <v>3666</v>
      </c>
      <c r="F1746" t="s">
        <v>3667</v>
      </c>
      <c r="G1746" t="s">
        <v>179</v>
      </c>
      <c r="H1746">
        <v>34</v>
      </c>
      <c r="I1746">
        <v>55.734999999999999</v>
      </c>
      <c r="J1746">
        <v>68.734999999999999</v>
      </c>
      <c r="K1746">
        <v>13</v>
      </c>
      <c r="L1746">
        <v>21</v>
      </c>
      <c r="M1746">
        <v>3</v>
      </c>
      <c r="N1746">
        <v>10</v>
      </c>
      <c r="O1746">
        <v>74.507000000000005</v>
      </c>
      <c r="P1746">
        <v>9.0030846120000003</v>
      </c>
      <c r="Q1746">
        <v>18.164999999999999</v>
      </c>
    </row>
    <row r="1747" spans="1:17" x14ac:dyDescent="0.2">
      <c r="A1747" s="30" t="str">
        <f>IF(C1747&amp;G1747&amp;D1747&lt;&gt;'Funnel setup'!$K$3&amp;'Funnel setup'!$K$4&amp;'Funnel setup'!$K$5,".",IF(A1746=".",1,A1746+1))</f>
        <v>.</v>
      </c>
      <c r="B1747" s="431" t="str">
        <f t="shared" si="27"/>
        <v>Hip Replacement PrimaryProviderNORTH TEES AND HARTLEPOOL NHS FOUNDATION TRUST (RVW)EQ VAS</v>
      </c>
      <c r="C1747" t="s">
        <v>248</v>
      </c>
      <c r="D1747" t="s">
        <v>1</v>
      </c>
      <c r="E1747" t="s">
        <v>3669</v>
      </c>
      <c r="F1747" t="s">
        <v>3670</v>
      </c>
      <c r="G1747" t="s">
        <v>179</v>
      </c>
      <c r="H1747">
        <v>200</v>
      </c>
      <c r="I1747">
        <v>62.17</v>
      </c>
      <c r="J1747">
        <v>74.34</v>
      </c>
      <c r="K1747">
        <v>12.17</v>
      </c>
      <c r="L1747">
        <v>130</v>
      </c>
      <c r="M1747">
        <v>15</v>
      </c>
      <c r="N1747">
        <v>55</v>
      </c>
      <c r="O1747">
        <v>77.832999999999998</v>
      </c>
      <c r="P1747">
        <v>12.328886389999999</v>
      </c>
      <c r="Q1747">
        <v>18.431999999999999</v>
      </c>
    </row>
    <row r="1748" spans="1:17" x14ac:dyDescent="0.2">
      <c r="A1748" s="30" t="str">
        <f>IF(C1748&amp;G1748&amp;D1748&lt;&gt;'Funnel setup'!$K$3&amp;'Funnel setup'!$K$4&amp;'Funnel setup'!$K$5,".",IF(A1747=".",1,A1747+1))</f>
        <v>.</v>
      </c>
      <c r="B1748" s="431" t="str">
        <f t="shared" si="27"/>
        <v>Hip Replacement PrimaryProviderNORTHAMPTON GENERAL HOSPITAL NHS TRUST (RNS)EQ VAS</v>
      </c>
      <c r="C1748" t="s">
        <v>248</v>
      </c>
      <c r="D1748" t="s">
        <v>1</v>
      </c>
      <c r="E1748" t="s">
        <v>3675</v>
      </c>
      <c r="F1748" t="s">
        <v>3676</v>
      </c>
      <c r="G1748" t="s">
        <v>179</v>
      </c>
      <c r="H1748">
        <v>166</v>
      </c>
      <c r="I1748">
        <v>65.825000000000003</v>
      </c>
      <c r="J1748">
        <v>76.421999999999997</v>
      </c>
      <c r="K1748">
        <v>10.596</v>
      </c>
      <c r="L1748">
        <v>107</v>
      </c>
      <c r="M1748">
        <v>23</v>
      </c>
      <c r="N1748">
        <v>36</v>
      </c>
      <c r="O1748">
        <v>77.784999999999997</v>
      </c>
      <c r="P1748">
        <v>12.28114381</v>
      </c>
      <c r="Q1748">
        <v>17.451000000000001</v>
      </c>
    </row>
    <row r="1749" spans="1:17" x14ac:dyDescent="0.2">
      <c r="A1749" s="30" t="str">
        <f>IF(C1749&amp;G1749&amp;D1749&lt;&gt;'Funnel setup'!$K$3&amp;'Funnel setup'!$K$4&amp;'Funnel setup'!$K$5,".",IF(A1748=".",1,A1748+1))</f>
        <v>.</v>
      </c>
      <c r="B1749" s="431" t="str">
        <f t="shared" si="27"/>
        <v>Hip Replacement PrimaryProviderNORTHERN DEVON HEALTHCARE NHS TRUST (RBZ)EQ VAS</v>
      </c>
      <c r="C1749" t="s">
        <v>248</v>
      </c>
      <c r="D1749" t="s">
        <v>1</v>
      </c>
      <c r="E1749" t="s">
        <v>3678</v>
      </c>
      <c r="F1749" t="s">
        <v>3679</v>
      </c>
      <c r="G1749" t="s">
        <v>179</v>
      </c>
      <c r="H1749">
        <v>249</v>
      </c>
      <c r="I1749">
        <v>63.811</v>
      </c>
      <c r="J1749">
        <v>76.325000000000003</v>
      </c>
      <c r="K1749">
        <v>12.513999999999999</v>
      </c>
      <c r="L1749">
        <v>178</v>
      </c>
      <c r="M1749">
        <v>17</v>
      </c>
      <c r="N1749">
        <v>54</v>
      </c>
      <c r="O1749">
        <v>77.218999999999994</v>
      </c>
      <c r="P1749">
        <v>11.71469424</v>
      </c>
      <c r="Q1749">
        <v>16.443000000000001</v>
      </c>
    </row>
    <row r="1750" spans="1:17" x14ac:dyDescent="0.2">
      <c r="A1750" s="30" t="str">
        <f>IF(C1750&amp;G1750&amp;D1750&lt;&gt;'Funnel setup'!$K$3&amp;'Funnel setup'!$K$4&amp;'Funnel setup'!$K$5,".",IF(A1749=".",1,A1749+1))</f>
        <v>.</v>
      </c>
      <c r="B1750" s="431" t="str">
        <f t="shared" si="27"/>
        <v>Hip Replacement PrimaryProviderNORTHERN LINCOLNSHIRE AND GOOLE NHS FOUNDATION TRUST (RJL)EQ VAS</v>
      </c>
      <c r="C1750" t="s">
        <v>248</v>
      </c>
      <c r="D1750" t="s">
        <v>1</v>
      </c>
      <c r="E1750" t="s">
        <v>3681</v>
      </c>
      <c r="F1750" t="s">
        <v>3682</v>
      </c>
      <c r="G1750" t="s">
        <v>179</v>
      </c>
      <c r="H1750">
        <v>230</v>
      </c>
      <c r="I1750">
        <v>66.2</v>
      </c>
      <c r="J1750">
        <v>77.265000000000001</v>
      </c>
      <c r="K1750">
        <v>11.065</v>
      </c>
      <c r="L1750">
        <v>159</v>
      </c>
      <c r="M1750">
        <v>22</v>
      </c>
      <c r="N1750">
        <v>49</v>
      </c>
      <c r="O1750">
        <v>78.001000000000005</v>
      </c>
      <c r="P1750">
        <v>12.49662245</v>
      </c>
      <c r="Q1750">
        <v>13.656000000000001</v>
      </c>
    </row>
    <row r="1751" spans="1:17" x14ac:dyDescent="0.2">
      <c r="A1751" s="30" t="str">
        <f>IF(C1751&amp;G1751&amp;D1751&lt;&gt;'Funnel setup'!$K$3&amp;'Funnel setup'!$K$4&amp;'Funnel setup'!$K$5,".",IF(A1750=".",1,A1750+1))</f>
        <v>.</v>
      </c>
      <c r="B1751" s="431" t="str">
        <f t="shared" si="27"/>
        <v>Hip Replacement PrimaryProviderNORTHUMBRIA HEALTHCARE NHS FOUNDATION TRUST (RTF)EQ VAS</v>
      </c>
      <c r="C1751" t="s">
        <v>248</v>
      </c>
      <c r="D1751" t="s">
        <v>1</v>
      </c>
      <c r="E1751" t="s">
        <v>3684</v>
      </c>
      <c r="F1751" t="s">
        <v>3685</v>
      </c>
      <c r="G1751" t="s">
        <v>179</v>
      </c>
      <c r="H1751">
        <v>584</v>
      </c>
      <c r="I1751">
        <v>63.603000000000002</v>
      </c>
      <c r="J1751">
        <v>78.221000000000004</v>
      </c>
      <c r="K1751">
        <v>14.618</v>
      </c>
      <c r="L1751">
        <v>418</v>
      </c>
      <c r="M1751">
        <v>63</v>
      </c>
      <c r="N1751">
        <v>103</v>
      </c>
      <c r="O1751">
        <v>79.108000000000004</v>
      </c>
      <c r="P1751">
        <v>13.60358467</v>
      </c>
      <c r="Q1751">
        <v>14.728999999999999</v>
      </c>
    </row>
    <row r="1752" spans="1:17" x14ac:dyDescent="0.2">
      <c r="A1752" s="30" t="str">
        <f>IF(C1752&amp;G1752&amp;D1752&lt;&gt;'Funnel setup'!$K$3&amp;'Funnel setup'!$K$4&amp;'Funnel setup'!$K$5,".",IF(A1751=".",1,A1751+1))</f>
        <v>.</v>
      </c>
      <c r="B1752" s="431" t="str">
        <f t="shared" si="27"/>
        <v>Hip Replacement PrimaryProviderNOTTINGHAM UNIVERSITY HOSPITALS NHS TRUST (RX1)EQ VAS</v>
      </c>
      <c r="C1752" t="s">
        <v>248</v>
      </c>
      <c r="D1752" t="s">
        <v>1</v>
      </c>
      <c r="E1752" t="s">
        <v>3687</v>
      </c>
      <c r="F1752" t="s">
        <v>3688</v>
      </c>
      <c r="G1752" t="s">
        <v>179</v>
      </c>
      <c r="H1752">
        <v>374</v>
      </c>
      <c r="I1752">
        <v>64.283000000000001</v>
      </c>
      <c r="J1752">
        <v>76.766999999999996</v>
      </c>
      <c r="K1752">
        <v>12.484</v>
      </c>
      <c r="L1752">
        <v>254</v>
      </c>
      <c r="M1752">
        <v>33</v>
      </c>
      <c r="N1752">
        <v>87</v>
      </c>
      <c r="O1752">
        <v>77.602999999999994</v>
      </c>
      <c r="P1752">
        <v>12.09906172</v>
      </c>
      <c r="Q1752">
        <v>15.295999999999999</v>
      </c>
    </row>
    <row r="1753" spans="1:17" x14ac:dyDescent="0.2">
      <c r="A1753" s="30" t="str">
        <f>IF(C1753&amp;G1753&amp;D1753&lt;&gt;'Funnel setup'!$K$3&amp;'Funnel setup'!$K$4&amp;'Funnel setup'!$K$5,".",IF(A1752=".",1,A1752+1))</f>
        <v>.</v>
      </c>
      <c r="B1753" s="431" t="str">
        <f t="shared" si="27"/>
        <v>Hip Replacement PrimaryProviderNUFFIELD HEALTH, BRENTWOOD HOSPITAL (NT204)EQ VAS</v>
      </c>
      <c r="C1753" t="s">
        <v>248</v>
      </c>
      <c r="D1753" t="s">
        <v>1</v>
      </c>
      <c r="E1753" t="s">
        <v>3691</v>
      </c>
      <c r="F1753" t="s">
        <v>3692</v>
      </c>
      <c r="G1753" t="s">
        <v>179</v>
      </c>
      <c r="H1753">
        <v>63</v>
      </c>
      <c r="I1753">
        <v>64.332999999999998</v>
      </c>
      <c r="J1753">
        <v>78.27</v>
      </c>
      <c r="K1753">
        <v>13.936999999999999</v>
      </c>
      <c r="L1753">
        <v>43</v>
      </c>
      <c r="M1753">
        <v>6</v>
      </c>
      <c r="N1753">
        <v>14</v>
      </c>
      <c r="O1753">
        <v>76.858000000000004</v>
      </c>
      <c r="P1753">
        <v>11.35336805</v>
      </c>
      <c r="Q1753">
        <v>15.715</v>
      </c>
    </row>
    <row r="1754" spans="1:17" x14ac:dyDescent="0.2">
      <c r="A1754" s="30" t="str">
        <f>IF(C1754&amp;G1754&amp;D1754&lt;&gt;'Funnel setup'!$K$3&amp;'Funnel setup'!$K$4&amp;'Funnel setup'!$K$5,".",IF(A1753=".",1,A1753+1))</f>
        <v>.</v>
      </c>
      <c r="B1754" s="431" t="str">
        <f t="shared" si="27"/>
        <v>Hip Replacement PrimaryProviderNUFFIELD HEALTH, BRIGHTON HOSPITAL (NT205)EQ VAS</v>
      </c>
      <c r="C1754" t="s">
        <v>248</v>
      </c>
      <c r="D1754" t="s">
        <v>1</v>
      </c>
      <c r="E1754" t="s">
        <v>3697</v>
      </c>
      <c r="F1754" t="s">
        <v>3698</v>
      </c>
      <c r="G1754" t="s">
        <v>179</v>
      </c>
      <c r="H1754" t="s">
        <v>53</v>
      </c>
      <c r="I1754" t="s">
        <v>53</v>
      </c>
      <c r="J1754" t="s">
        <v>53</v>
      </c>
      <c r="K1754" t="s">
        <v>53</v>
      </c>
      <c r="L1754" t="s">
        <v>53</v>
      </c>
      <c r="M1754" t="s">
        <v>53</v>
      </c>
      <c r="N1754" t="s">
        <v>53</v>
      </c>
      <c r="O1754" t="s">
        <v>53</v>
      </c>
      <c r="P1754" t="s">
        <v>53</v>
      </c>
      <c r="Q1754" t="s">
        <v>53</v>
      </c>
    </row>
    <row r="1755" spans="1:17" x14ac:dyDescent="0.2">
      <c r="A1755" s="30" t="str">
        <f>IF(C1755&amp;G1755&amp;D1755&lt;&gt;'Funnel setup'!$K$3&amp;'Funnel setup'!$K$4&amp;'Funnel setup'!$K$5,".",IF(A1754=".",1,A1754+1))</f>
        <v>.</v>
      </c>
      <c r="B1755" s="431" t="str">
        <f t="shared" si="27"/>
        <v>Hip Replacement PrimaryProviderNUFFIELD HEALTH, BRISTOL HOSPITAL (CHESTERFIELD) (NT206)EQ VAS</v>
      </c>
      <c r="C1755" t="s">
        <v>248</v>
      </c>
      <c r="D1755" t="s">
        <v>1</v>
      </c>
      <c r="E1755" t="s">
        <v>3700</v>
      </c>
      <c r="F1755" t="s">
        <v>3701</v>
      </c>
      <c r="G1755" t="s">
        <v>179</v>
      </c>
      <c r="H1755">
        <v>11</v>
      </c>
      <c r="I1755">
        <v>44.454999999999998</v>
      </c>
      <c r="J1755">
        <v>82.454999999999998</v>
      </c>
      <c r="K1755">
        <v>38</v>
      </c>
      <c r="L1755">
        <v>9</v>
      </c>
      <c r="M1755">
        <v>1</v>
      </c>
      <c r="N1755">
        <v>1</v>
      </c>
      <c r="O1755" t="s">
        <v>53</v>
      </c>
      <c r="P1755" t="s">
        <v>53</v>
      </c>
      <c r="Q1755" t="s">
        <v>53</v>
      </c>
    </row>
    <row r="1756" spans="1:17" x14ac:dyDescent="0.2">
      <c r="A1756" s="30" t="str">
        <f>IF(C1756&amp;G1756&amp;D1756&lt;&gt;'Funnel setup'!$K$3&amp;'Funnel setup'!$K$4&amp;'Funnel setup'!$K$5,".",IF(A1755=".",1,A1755+1))</f>
        <v>.</v>
      </c>
      <c r="B1756" s="431" t="str">
        <f t="shared" si="27"/>
        <v>Hip Replacement PrimaryProviderNUFFIELD HEALTH, CAMBRIDGE HOSPITAL (NT209)EQ VAS</v>
      </c>
      <c r="C1756" t="s">
        <v>248</v>
      </c>
      <c r="D1756" t="s">
        <v>1</v>
      </c>
      <c r="E1756" t="s">
        <v>4477</v>
      </c>
      <c r="F1756" t="s">
        <v>4478</v>
      </c>
      <c r="G1756" t="s">
        <v>179</v>
      </c>
      <c r="H1756">
        <v>16</v>
      </c>
      <c r="I1756">
        <v>63.438000000000002</v>
      </c>
      <c r="J1756">
        <v>87.938000000000002</v>
      </c>
      <c r="K1756">
        <v>24.5</v>
      </c>
      <c r="L1756">
        <v>15</v>
      </c>
      <c r="M1756">
        <v>0</v>
      </c>
      <c r="N1756">
        <v>1</v>
      </c>
      <c r="O1756" t="s">
        <v>53</v>
      </c>
      <c r="P1756" t="s">
        <v>53</v>
      </c>
      <c r="Q1756" t="s">
        <v>53</v>
      </c>
    </row>
    <row r="1757" spans="1:17" x14ac:dyDescent="0.2">
      <c r="A1757" s="30" t="str">
        <f>IF(C1757&amp;G1757&amp;D1757&lt;&gt;'Funnel setup'!$K$3&amp;'Funnel setup'!$K$4&amp;'Funnel setup'!$K$5,".",IF(A1756=".",1,A1756+1))</f>
        <v>.</v>
      </c>
      <c r="B1757" s="431" t="str">
        <f t="shared" si="27"/>
        <v>Hip Replacement PrimaryProviderNUFFIELD HEALTH, CHELTENHAM HOSPITAL (NT211)EQ VAS</v>
      </c>
      <c r="C1757" t="s">
        <v>248</v>
      </c>
      <c r="D1757" t="s">
        <v>1</v>
      </c>
      <c r="E1757" t="s">
        <v>3703</v>
      </c>
      <c r="F1757" t="s">
        <v>3704</v>
      </c>
      <c r="G1757" t="s">
        <v>179</v>
      </c>
      <c r="H1757" t="s">
        <v>53</v>
      </c>
      <c r="I1757" t="s">
        <v>53</v>
      </c>
      <c r="J1757" t="s">
        <v>53</v>
      </c>
      <c r="K1757" t="s">
        <v>53</v>
      </c>
      <c r="L1757" t="s">
        <v>53</v>
      </c>
      <c r="M1757" t="s">
        <v>53</v>
      </c>
      <c r="N1757" t="s">
        <v>53</v>
      </c>
      <c r="O1757" t="s">
        <v>53</v>
      </c>
      <c r="P1757" t="s">
        <v>53</v>
      </c>
      <c r="Q1757" t="s">
        <v>53</v>
      </c>
    </row>
    <row r="1758" spans="1:17" x14ac:dyDescent="0.2">
      <c r="A1758" s="30" t="str">
        <f>IF(C1758&amp;G1758&amp;D1758&lt;&gt;'Funnel setup'!$K$3&amp;'Funnel setup'!$K$4&amp;'Funnel setup'!$K$5,".",IF(A1757=".",1,A1757+1))</f>
        <v>.</v>
      </c>
      <c r="B1758" s="431" t="str">
        <f t="shared" si="27"/>
        <v>Hip Replacement PrimaryProviderNUFFIELD HEALTH, CHICHESTER HOSPITAL (NT212)EQ VAS</v>
      </c>
      <c r="C1758" t="s">
        <v>248</v>
      </c>
      <c r="D1758" t="s">
        <v>1</v>
      </c>
      <c r="E1758" t="s">
        <v>4334</v>
      </c>
      <c r="F1758" t="s">
        <v>4335</v>
      </c>
      <c r="G1758" t="s">
        <v>179</v>
      </c>
      <c r="H1758">
        <v>13</v>
      </c>
      <c r="I1758">
        <v>67.537999999999997</v>
      </c>
      <c r="J1758">
        <v>86.846000000000004</v>
      </c>
      <c r="K1758">
        <v>19.308</v>
      </c>
      <c r="L1758">
        <v>11</v>
      </c>
      <c r="M1758">
        <v>2</v>
      </c>
      <c r="N1758">
        <v>0</v>
      </c>
      <c r="O1758" t="s">
        <v>53</v>
      </c>
      <c r="P1758" t="s">
        <v>53</v>
      </c>
      <c r="Q1758" t="s">
        <v>53</v>
      </c>
    </row>
    <row r="1759" spans="1:17" x14ac:dyDescent="0.2">
      <c r="A1759" s="30" t="str">
        <f>IF(C1759&amp;G1759&amp;D1759&lt;&gt;'Funnel setup'!$K$3&amp;'Funnel setup'!$K$4&amp;'Funnel setup'!$K$5,".",IF(A1758=".",1,A1758+1))</f>
        <v>.</v>
      </c>
      <c r="B1759" s="431" t="str">
        <f t="shared" si="27"/>
        <v>Hip Replacement PrimaryProviderNUFFIELD HEALTH, DERBY HOSPITAL (NT213)EQ VAS</v>
      </c>
      <c r="C1759" t="s">
        <v>248</v>
      </c>
      <c r="D1759" t="s">
        <v>1</v>
      </c>
      <c r="E1759" t="s">
        <v>3340</v>
      </c>
      <c r="F1759" t="s">
        <v>3341</v>
      </c>
      <c r="G1759" t="s">
        <v>179</v>
      </c>
      <c r="H1759">
        <v>135</v>
      </c>
      <c r="I1759">
        <v>67.111000000000004</v>
      </c>
      <c r="J1759">
        <v>79.984999999999999</v>
      </c>
      <c r="K1759">
        <v>12.874000000000001</v>
      </c>
      <c r="L1759">
        <v>95</v>
      </c>
      <c r="M1759">
        <v>18</v>
      </c>
      <c r="N1759">
        <v>22</v>
      </c>
      <c r="O1759">
        <v>77.39</v>
      </c>
      <c r="P1759">
        <v>11.885480980000001</v>
      </c>
      <c r="Q1759">
        <v>15.01</v>
      </c>
    </row>
    <row r="1760" spans="1:17" x14ac:dyDescent="0.2">
      <c r="A1760" s="30" t="str">
        <f>IF(C1760&amp;G1760&amp;D1760&lt;&gt;'Funnel setup'!$K$3&amp;'Funnel setup'!$K$4&amp;'Funnel setup'!$K$5,".",IF(A1759=".",1,A1759+1))</f>
        <v>.</v>
      </c>
      <c r="B1760" s="431" t="str">
        <f t="shared" si="27"/>
        <v>Hip Replacement PrimaryProviderNUFFIELD HEALTH, EXETER HOSPITAL (NT215)EQ VAS</v>
      </c>
      <c r="C1760" t="s">
        <v>248</v>
      </c>
      <c r="D1760" t="s">
        <v>1</v>
      </c>
      <c r="E1760" t="s">
        <v>4339</v>
      </c>
      <c r="F1760" t="s">
        <v>4340</v>
      </c>
      <c r="G1760" t="s">
        <v>179</v>
      </c>
      <c r="H1760">
        <v>40</v>
      </c>
      <c r="I1760">
        <v>72.025000000000006</v>
      </c>
      <c r="J1760">
        <v>81.075000000000003</v>
      </c>
      <c r="K1760">
        <v>9.0500000000000007</v>
      </c>
      <c r="L1760">
        <v>24</v>
      </c>
      <c r="M1760">
        <v>6</v>
      </c>
      <c r="N1760">
        <v>10</v>
      </c>
      <c r="O1760">
        <v>76.451999999999998</v>
      </c>
      <c r="P1760">
        <v>10.94769123</v>
      </c>
      <c r="Q1760">
        <v>15.657999999999999</v>
      </c>
    </row>
    <row r="1761" spans="1:17" x14ac:dyDescent="0.2">
      <c r="A1761" s="30" t="str">
        <f>IF(C1761&amp;G1761&amp;D1761&lt;&gt;'Funnel setup'!$K$3&amp;'Funnel setup'!$K$4&amp;'Funnel setup'!$K$5,".",IF(A1760=".",1,A1760+1))</f>
        <v>.</v>
      </c>
      <c r="B1761" s="431" t="str">
        <f t="shared" si="27"/>
        <v>Hip Replacement PrimaryProviderNUFFIELD HEALTH, HAYWARDS HEATH HOSPITAL (NT218)EQ VAS</v>
      </c>
      <c r="C1761" t="s">
        <v>248</v>
      </c>
      <c r="D1761" t="s">
        <v>1</v>
      </c>
      <c r="E1761" t="s">
        <v>4342</v>
      </c>
      <c r="F1761" t="s">
        <v>4343</v>
      </c>
      <c r="G1761" t="s">
        <v>179</v>
      </c>
      <c r="H1761">
        <v>23</v>
      </c>
      <c r="I1761">
        <v>75.174000000000007</v>
      </c>
      <c r="J1761">
        <v>80.391000000000005</v>
      </c>
      <c r="K1761">
        <v>5.2169999999999996</v>
      </c>
      <c r="L1761">
        <v>14</v>
      </c>
      <c r="M1761">
        <v>3</v>
      </c>
      <c r="N1761">
        <v>6</v>
      </c>
      <c r="O1761" t="s">
        <v>53</v>
      </c>
      <c r="P1761" t="s">
        <v>53</v>
      </c>
      <c r="Q1761" t="s">
        <v>53</v>
      </c>
    </row>
    <row r="1762" spans="1:17" x14ac:dyDescent="0.2">
      <c r="A1762" s="30" t="str">
        <f>IF(C1762&amp;G1762&amp;D1762&lt;&gt;'Funnel setup'!$K$3&amp;'Funnel setup'!$K$4&amp;'Funnel setup'!$K$5,".",IF(A1761=".",1,A1761+1))</f>
        <v>.</v>
      </c>
      <c r="B1762" s="431" t="str">
        <f t="shared" si="27"/>
        <v>Hip Replacement PrimaryProviderNUFFIELD HEALTH, HEREFORD HOSPITAL (NT219)EQ VAS</v>
      </c>
      <c r="C1762" t="s">
        <v>248</v>
      </c>
      <c r="D1762" t="s">
        <v>1</v>
      </c>
      <c r="E1762" t="s">
        <v>3343</v>
      </c>
      <c r="F1762" t="s">
        <v>3344</v>
      </c>
      <c r="G1762" t="s">
        <v>179</v>
      </c>
      <c r="H1762">
        <v>65</v>
      </c>
      <c r="I1762">
        <v>67.061999999999998</v>
      </c>
      <c r="J1762">
        <v>78.537999999999997</v>
      </c>
      <c r="K1762">
        <v>11.477</v>
      </c>
      <c r="L1762">
        <v>43</v>
      </c>
      <c r="M1762">
        <v>4</v>
      </c>
      <c r="N1762">
        <v>18</v>
      </c>
      <c r="O1762">
        <v>76.763999999999996</v>
      </c>
      <c r="P1762">
        <v>11.259666749999999</v>
      </c>
      <c r="Q1762">
        <v>17.856999999999999</v>
      </c>
    </row>
    <row r="1763" spans="1:17" x14ac:dyDescent="0.2">
      <c r="A1763" s="30" t="str">
        <f>IF(C1763&amp;G1763&amp;D1763&lt;&gt;'Funnel setup'!$K$3&amp;'Funnel setup'!$K$4&amp;'Funnel setup'!$K$5,".",IF(A1762=".",1,A1762+1))</f>
        <v>.</v>
      </c>
      <c r="B1763" s="431" t="str">
        <f t="shared" si="27"/>
        <v>Hip Replacement PrimaryProviderNUFFIELD HEALTH, IPSWICH HOSPITAL (NT222)EQ VAS</v>
      </c>
      <c r="C1763" t="s">
        <v>248</v>
      </c>
      <c r="D1763" t="s">
        <v>1</v>
      </c>
      <c r="E1763" t="s">
        <v>3385</v>
      </c>
      <c r="F1763" t="s">
        <v>3386</v>
      </c>
      <c r="G1763" t="s">
        <v>179</v>
      </c>
      <c r="H1763">
        <v>127</v>
      </c>
      <c r="I1763">
        <v>72.448999999999998</v>
      </c>
      <c r="J1763">
        <v>80.826999999999998</v>
      </c>
      <c r="K1763">
        <v>8.3780000000000001</v>
      </c>
      <c r="L1763">
        <v>80</v>
      </c>
      <c r="M1763">
        <v>13</v>
      </c>
      <c r="N1763">
        <v>34</v>
      </c>
      <c r="O1763">
        <v>77.855000000000004</v>
      </c>
      <c r="P1763">
        <v>12.35047078</v>
      </c>
      <c r="Q1763">
        <v>15.257999999999999</v>
      </c>
    </row>
    <row r="1764" spans="1:17" x14ac:dyDescent="0.2">
      <c r="A1764" s="30" t="str">
        <f>IF(C1764&amp;G1764&amp;D1764&lt;&gt;'Funnel setup'!$K$3&amp;'Funnel setup'!$K$4&amp;'Funnel setup'!$K$5,".",IF(A1763=".",1,A1763+1))</f>
        <v>.</v>
      </c>
      <c r="B1764" s="431" t="str">
        <f t="shared" si="27"/>
        <v>Hip Replacement PrimaryProviderNUFFIELD HEALTH, LEEDS HOSPITAL (NT225)EQ VAS</v>
      </c>
      <c r="C1764" t="s">
        <v>248</v>
      </c>
      <c r="D1764" t="s">
        <v>1</v>
      </c>
      <c r="E1764" t="s">
        <v>3388</v>
      </c>
      <c r="F1764" t="s">
        <v>3389</v>
      </c>
      <c r="G1764" t="s">
        <v>179</v>
      </c>
      <c r="H1764">
        <v>110</v>
      </c>
      <c r="I1764">
        <v>65.963999999999999</v>
      </c>
      <c r="J1764">
        <v>76.444999999999993</v>
      </c>
      <c r="K1764">
        <v>10.481999999999999</v>
      </c>
      <c r="L1764">
        <v>66</v>
      </c>
      <c r="M1764">
        <v>16</v>
      </c>
      <c r="N1764">
        <v>28</v>
      </c>
      <c r="O1764">
        <v>75.468000000000004</v>
      </c>
      <c r="P1764">
        <v>9.9637368819999992</v>
      </c>
      <c r="Q1764">
        <v>16.233000000000001</v>
      </c>
    </row>
    <row r="1765" spans="1:17" x14ac:dyDescent="0.2">
      <c r="A1765" s="30" t="str">
        <f>IF(C1765&amp;G1765&amp;D1765&lt;&gt;'Funnel setup'!$K$3&amp;'Funnel setup'!$K$4&amp;'Funnel setup'!$K$5,".",IF(A1764=".",1,A1764+1))</f>
        <v>.</v>
      </c>
      <c r="B1765" s="431" t="str">
        <f t="shared" si="27"/>
        <v>Hip Replacement PrimaryProviderNUFFIELD HEALTH, LEICESTER HOSPITAL (NT226)EQ VAS</v>
      </c>
      <c r="C1765" t="s">
        <v>248</v>
      </c>
      <c r="D1765" t="s">
        <v>1</v>
      </c>
      <c r="E1765" t="s">
        <v>3391</v>
      </c>
      <c r="F1765" t="s">
        <v>3392</v>
      </c>
      <c r="G1765" t="s">
        <v>179</v>
      </c>
      <c r="H1765">
        <v>25</v>
      </c>
      <c r="I1765">
        <v>62.6</v>
      </c>
      <c r="J1765">
        <v>77.12</v>
      </c>
      <c r="K1765">
        <v>14.52</v>
      </c>
      <c r="L1765">
        <v>18</v>
      </c>
      <c r="M1765">
        <v>2</v>
      </c>
      <c r="N1765">
        <v>5</v>
      </c>
      <c r="O1765" t="s">
        <v>53</v>
      </c>
      <c r="P1765" t="s">
        <v>53</v>
      </c>
      <c r="Q1765" t="s">
        <v>53</v>
      </c>
    </row>
    <row r="1766" spans="1:17" x14ac:dyDescent="0.2">
      <c r="A1766" s="30" t="str">
        <f>IF(C1766&amp;G1766&amp;D1766&lt;&gt;'Funnel setup'!$K$3&amp;'Funnel setup'!$K$4&amp;'Funnel setup'!$K$5,".",IF(A1765=".",1,A1765+1))</f>
        <v>.</v>
      </c>
      <c r="B1766" s="431" t="str">
        <f t="shared" si="27"/>
        <v>Hip Replacement PrimaryProviderNUFFIELD HEALTH, NEWCASTLE UPON TYNE HOSPITAL (NT229)EQ VAS</v>
      </c>
      <c r="C1766" t="s">
        <v>248</v>
      </c>
      <c r="D1766" t="s">
        <v>1</v>
      </c>
      <c r="E1766" t="s">
        <v>3394</v>
      </c>
      <c r="F1766" t="s">
        <v>3395</v>
      </c>
      <c r="G1766" t="s">
        <v>179</v>
      </c>
      <c r="H1766">
        <v>32</v>
      </c>
      <c r="I1766">
        <v>71.813000000000002</v>
      </c>
      <c r="J1766">
        <v>79.218999999999994</v>
      </c>
      <c r="K1766">
        <v>7.4059999999999997</v>
      </c>
      <c r="L1766">
        <v>20</v>
      </c>
      <c r="M1766">
        <v>5</v>
      </c>
      <c r="N1766">
        <v>7</v>
      </c>
      <c r="O1766">
        <v>76.781000000000006</v>
      </c>
      <c r="P1766">
        <v>11.276500929999999</v>
      </c>
      <c r="Q1766">
        <v>13.13</v>
      </c>
    </row>
    <row r="1767" spans="1:17" x14ac:dyDescent="0.2">
      <c r="A1767" s="30" t="str">
        <f>IF(C1767&amp;G1767&amp;D1767&lt;&gt;'Funnel setup'!$K$3&amp;'Funnel setup'!$K$4&amp;'Funnel setup'!$K$5,".",IF(A1766=".",1,A1766+1))</f>
        <v>.</v>
      </c>
      <c r="B1767" s="431" t="str">
        <f t="shared" si="27"/>
        <v>Hip Replacement PrimaryProviderNUFFIELD HEALTH, NORTH STAFFORDSHIRE HOSPITAL (NT230)EQ VAS</v>
      </c>
      <c r="C1767" t="s">
        <v>248</v>
      </c>
      <c r="D1767" t="s">
        <v>1</v>
      </c>
      <c r="E1767" t="s">
        <v>3397</v>
      </c>
      <c r="F1767" t="s">
        <v>3398</v>
      </c>
      <c r="G1767" t="s">
        <v>179</v>
      </c>
      <c r="H1767">
        <v>112</v>
      </c>
      <c r="I1767">
        <v>60.616</v>
      </c>
      <c r="J1767">
        <v>81.536000000000001</v>
      </c>
      <c r="K1767">
        <v>20.92</v>
      </c>
      <c r="L1767">
        <v>91</v>
      </c>
      <c r="M1767">
        <v>7</v>
      </c>
      <c r="N1767">
        <v>14</v>
      </c>
      <c r="O1767">
        <v>82.960999999999999</v>
      </c>
      <c r="P1767">
        <v>17.456315180000001</v>
      </c>
      <c r="Q1767">
        <v>13.907999999999999</v>
      </c>
    </row>
    <row r="1768" spans="1:17" x14ac:dyDescent="0.2">
      <c r="A1768" s="30" t="str">
        <f>IF(C1768&amp;G1768&amp;D1768&lt;&gt;'Funnel setup'!$K$3&amp;'Funnel setup'!$K$4&amp;'Funnel setup'!$K$5,".",IF(A1767=".",1,A1767+1))</f>
        <v>.</v>
      </c>
      <c r="B1768" s="431" t="str">
        <f t="shared" si="27"/>
        <v>Hip Replacement PrimaryProviderNUFFIELD HEALTH, PLYMOUTH HOSPITAL (NT233)EQ VAS</v>
      </c>
      <c r="C1768" t="s">
        <v>248</v>
      </c>
      <c r="D1768" t="s">
        <v>1</v>
      </c>
      <c r="E1768" t="s">
        <v>3400</v>
      </c>
      <c r="F1768" t="s">
        <v>3401</v>
      </c>
      <c r="G1768" t="s">
        <v>179</v>
      </c>
      <c r="H1768">
        <v>75</v>
      </c>
      <c r="I1768">
        <v>66.972999999999999</v>
      </c>
      <c r="J1768">
        <v>78.52</v>
      </c>
      <c r="K1768">
        <v>11.547000000000001</v>
      </c>
      <c r="L1768">
        <v>48</v>
      </c>
      <c r="M1768">
        <v>10</v>
      </c>
      <c r="N1768">
        <v>17</v>
      </c>
      <c r="O1768">
        <v>76.412000000000006</v>
      </c>
      <c r="P1768">
        <v>10.907970410000001</v>
      </c>
      <c r="Q1768">
        <v>13.074999999999999</v>
      </c>
    </row>
    <row r="1769" spans="1:17" x14ac:dyDescent="0.2">
      <c r="A1769" s="30" t="str">
        <f>IF(C1769&amp;G1769&amp;D1769&lt;&gt;'Funnel setup'!$K$3&amp;'Funnel setup'!$K$4&amp;'Funnel setup'!$K$5,".",IF(A1768=".",1,A1768+1))</f>
        <v>.</v>
      </c>
      <c r="B1769" s="431" t="str">
        <f t="shared" si="27"/>
        <v>Hip Replacement PrimaryProviderNUFFIELD HEALTH, SHREWSBURY HOSPITAL (NT235)EQ VAS</v>
      </c>
      <c r="C1769" t="s">
        <v>248</v>
      </c>
      <c r="D1769" t="s">
        <v>1</v>
      </c>
      <c r="E1769" t="s">
        <v>3240</v>
      </c>
      <c r="F1769" t="s">
        <v>3241</v>
      </c>
      <c r="G1769" t="s">
        <v>179</v>
      </c>
      <c r="H1769" t="s">
        <v>53</v>
      </c>
      <c r="I1769" t="s">
        <v>53</v>
      </c>
      <c r="J1769" t="s">
        <v>53</v>
      </c>
      <c r="K1769" t="s">
        <v>53</v>
      </c>
      <c r="L1769" t="s">
        <v>53</v>
      </c>
      <c r="M1769" t="s">
        <v>53</v>
      </c>
      <c r="N1769" t="s">
        <v>53</v>
      </c>
      <c r="O1769" t="s">
        <v>53</v>
      </c>
      <c r="P1769" t="s">
        <v>53</v>
      </c>
      <c r="Q1769" t="s">
        <v>53</v>
      </c>
    </row>
    <row r="1770" spans="1:17" x14ac:dyDescent="0.2">
      <c r="A1770" s="30" t="str">
        <f>IF(C1770&amp;G1770&amp;D1770&lt;&gt;'Funnel setup'!$K$3&amp;'Funnel setup'!$K$4&amp;'Funnel setup'!$K$5,".",IF(A1769=".",1,A1769+1))</f>
        <v>.</v>
      </c>
      <c r="B1770" s="431" t="str">
        <f t="shared" si="27"/>
        <v>Hip Replacement PrimaryProviderNUFFIELD HEALTH, TAUNTON HOSPITAL (NT238)EQ VAS</v>
      </c>
      <c r="C1770" t="s">
        <v>248</v>
      </c>
      <c r="D1770" t="s">
        <v>1</v>
      </c>
      <c r="E1770" t="s">
        <v>3243</v>
      </c>
      <c r="F1770" t="s">
        <v>3244</v>
      </c>
      <c r="G1770" t="s">
        <v>179</v>
      </c>
      <c r="H1770">
        <v>76</v>
      </c>
      <c r="I1770">
        <v>70.632000000000005</v>
      </c>
      <c r="J1770">
        <v>77.933999999999997</v>
      </c>
      <c r="K1770">
        <v>7.3029999999999999</v>
      </c>
      <c r="L1770">
        <v>49</v>
      </c>
      <c r="M1770">
        <v>10</v>
      </c>
      <c r="N1770">
        <v>17</v>
      </c>
      <c r="O1770">
        <v>74.438000000000002</v>
      </c>
      <c r="P1770">
        <v>8.9334577740000007</v>
      </c>
      <c r="Q1770">
        <v>15.127000000000001</v>
      </c>
    </row>
    <row r="1771" spans="1:17" x14ac:dyDescent="0.2">
      <c r="A1771" s="30" t="str">
        <f>IF(C1771&amp;G1771&amp;D1771&lt;&gt;'Funnel setup'!$K$3&amp;'Funnel setup'!$K$4&amp;'Funnel setup'!$K$5,".",IF(A1770=".",1,A1770+1))</f>
        <v>.</v>
      </c>
      <c r="B1771" s="431" t="str">
        <f t="shared" si="27"/>
        <v>Hip Replacement PrimaryProviderNUFFIELD HEALTH, TEES HOSPITAL (NT237)EQ VAS</v>
      </c>
      <c r="C1771" t="s">
        <v>248</v>
      </c>
      <c r="D1771" t="s">
        <v>1</v>
      </c>
      <c r="E1771" t="s">
        <v>3246</v>
      </c>
      <c r="F1771" t="s">
        <v>3247</v>
      </c>
      <c r="G1771" t="s">
        <v>179</v>
      </c>
      <c r="H1771">
        <v>87</v>
      </c>
      <c r="I1771">
        <v>65.712999999999994</v>
      </c>
      <c r="J1771">
        <v>77.700999999999993</v>
      </c>
      <c r="K1771">
        <v>11.989000000000001</v>
      </c>
      <c r="L1771">
        <v>61</v>
      </c>
      <c r="M1771">
        <v>10</v>
      </c>
      <c r="N1771">
        <v>16</v>
      </c>
      <c r="O1771">
        <v>76.513000000000005</v>
      </c>
      <c r="P1771">
        <v>11.008517319999999</v>
      </c>
      <c r="Q1771">
        <v>13.705</v>
      </c>
    </row>
    <row r="1772" spans="1:17" x14ac:dyDescent="0.2">
      <c r="A1772" s="30" t="str">
        <f>IF(C1772&amp;G1772&amp;D1772&lt;&gt;'Funnel setup'!$K$3&amp;'Funnel setup'!$K$4&amp;'Funnel setup'!$K$5,".",IF(A1771=".",1,A1771+1))</f>
        <v>.</v>
      </c>
      <c r="B1772" s="431" t="str">
        <f t="shared" si="27"/>
        <v>Hip Replacement PrimaryProviderNUFFIELD HEALTH, THE GROSVENOR HOSPITAL, CHESTER (NT210)EQ VAS</v>
      </c>
      <c r="C1772" t="s">
        <v>248</v>
      </c>
      <c r="D1772" t="s">
        <v>1</v>
      </c>
      <c r="E1772" t="s">
        <v>3249</v>
      </c>
      <c r="F1772" t="s">
        <v>3250</v>
      </c>
      <c r="G1772" t="s">
        <v>179</v>
      </c>
      <c r="H1772">
        <v>55</v>
      </c>
      <c r="I1772">
        <v>66.509</v>
      </c>
      <c r="J1772">
        <v>80.344999999999999</v>
      </c>
      <c r="K1772">
        <v>13.836</v>
      </c>
      <c r="L1772">
        <v>35</v>
      </c>
      <c r="M1772">
        <v>9</v>
      </c>
      <c r="N1772">
        <v>11</v>
      </c>
      <c r="O1772">
        <v>76.542000000000002</v>
      </c>
      <c r="P1772">
        <v>11.03788423</v>
      </c>
      <c r="Q1772">
        <v>13.49</v>
      </c>
    </row>
    <row r="1773" spans="1:17" x14ac:dyDescent="0.2">
      <c r="A1773" s="30" t="str">
        <f>IF(C1773&amp;G1773&amp;D1773&lt;&gt;'Funnel setup'!$K$3&amp;'Funnel setup'!$K$4&amp;'Funnel setup'!$K$5,".",IF(A1772=".",1,A1772+1))</f>
        <v>.</v>
      </c>
      <c r="B1773" s="431" t="str">
        <f t="shared" si="27"/>
        <v>Hip Replacement PrimaryProviderNUFFIELD HEALTH, TUNBRIDGE WELLS HOSPITAL (NT239)EQ VAS</v>
      </c>
      <c r="C1773" t="s">
        <v>248</v>
      </c>
      <c r="D1773" t="s">
        <v>1</v>
      </c>
      <c r="E1773" t="s">
        <v>3252</v>
      </c>
      <c r="F1773" t="s">
        <v>3253</v>
      </c>
      <c r="G1773" t="s">
        <v>179</v>
      </c>
      <c r="H1773" t="s">
        <v>53</v>
      </c>
      <c r="I1773" t="s">
        <v>53</v>
      </c>
      <c r="J1773" t="s">
        <v>53</v>
      </c>
      <c r="K1773" t="s">
        <v>53</v>
      </c>
      <c r="L1773" t="s">
        <v>53</v>
      </c>
      <c r="M1773" t="s">
        <v>53</v>
      </c>
      <c r="N1773" t="s">
        <v>53</v>
      </c>
      <c r="O1773" t="s">
        <v>53</v>
      </c>
      <c r="P1773" t="s">
        <v>53</v>
      </c>
      <c r="Q1773" t="s">
        <v>53</v>
      </c>
    </row>
    <row r="1774" spans="1:17" x14ac:dyDescent="0.2">
      <c r="A1774" s="30" t="str">
        <f>IF(C1774&amp;G1774&amp;D1774&lt;&gt;'Funnel setup'!$K$3&amp;'Funnel setup'!$K$4&amp;'Funnel setup'!$K$5,".",IF(A1773=".",1,A1773+1))</f>
        <v>.</v>
      </c>
      <c r="B1774" s="431" t="str">
        <f t="shared" si="27"/>
        <v>Hip Replacement PrimaryProviderNUFFIELD HEALTH, WARWICKSHIRE HOSPITAL (NT224)EQ VAS</v>
      </c>
      <c r="C1774" t="s">
        <v>248</v>
      </c>
      <c r="D1774" t="s">
        <v>1</v>
      </c>
      <c r="E1774" t="s">
        <v>3255</v>
      </c>
      <c r="F1774" t="s">
        <v>3256</v>
      </c>
      <c r="G1774" t="s">
        <v>179</v>
      </c>
      <c r="H1774">
        <v>9</v>
      </c>
      <c r="I1774">
        <v>70.221999999999994</v>
      </c>
      <c r="J1774">
        <v>76.111000000000004</v>
      </c>
      <c r="K1774">
        <v>5.8890000000000002</v>
      </c>
      <c r="L1774">
        <v>6</v>
      </c>
      <c r="M1774">
        <v>1</v>
      </c>
      <c r="N1774">
        <v>2</v>
      </c>
      <c r="O1774" t="s">
        <v>53</v>
      </c>
      <c r="P1774" t="s">
        <v>53</v>
      </c>
      <c r="Q1774" t="s">
        <v>53</v>
      </c>
    </row>
    <row r="1775" spans="1:17" x14ac:dyDescent="0.2">
      <c r="A1775" s="30" t="str">
        <f>IF(C1775&amp;G1775&amp;D1775&lt;&gt;'Funnel setup'!$K$3&amp;'Funnel setup'!$K$4&amp;'Funnel setup'!$K$5,".",IF(A1774=".",1,A1774+1))</f>
        <v>.</v>
      </c>
      <c r="B1775" s="431" t="str">
        <f t="shared" si="27"/>
        <v>Hip Replacement PrimaryProviderNUFFIELD HEALTH, WESSEX HOSPITAL (NT214)EQ VAS</v>
      </c>
      <c r="C1775" t="s">
        <v>248</v>
      </c>
      <c r="D1775" t="s">
        <v>1</v>
      </c>
      <c r="E1775" t="s">
        <v>3258</v>
      </c>
      <c r="F1775" t="s">
        <v>3259</v>
      </c>
      <c r="G1775" t="s">
        <v>179</v>
      </c>
      <c r="H1775">
        <v>35</v>
      </c>
      <c r="I1775">
        <v>64.856999999999999</v>
      </c>
      <c r="J1775">
        <v>78.343000000000004</v>
      </c>
      <c r="K1775">
        <v>13.486000000000001</v>
      </c>
      <c r="L1775">
        <v>26</v>
      </c>
      <c r="M1775">
        <v>3</v>
      </c>
      <c r="N1775">
        <v>6</v>
      </c>
      <c r="O1775">
        <v>76.399000000000001</v>
      </c>
      <c r="P1775">
        <v>10.89470633</v>
      </c>
      <c r="Q1775">
        <v>15.356999999999999</v>
      </c>
    </row>
    <row r="1776" spans="1:17" x14ac:dyDescent="0.2">
      <c r="A1776" s="30" t="str">
        <f>IF(C1776&amp;G1776&amp;D1776&lt;&gt;'Funnel setup'!$K$3&amp;'Funnel setup'!$K$4&amp;'Funnel setup'!$K$5,".",IF(A1775=".",1,A1775+1))</f>
        <v>.</v>
      </c>
      <c r="B1776" s="431" t="str">
        <f t="shared" si="27"/>
        <v>Hip Replacement PrimaryProviderNUFFIELD HEALTH, WOKING HOSPITAL (NT241)EQ VAS</v>
      </c>
      <c r="C1776" t="s">
        <v>248</v>
      </c>
      <c r="D1776" t="s">
        <v>1</v>
      </c>
      <c r="E1776" t="s">
        <v>3261</v>
      </c>
      <c r="F1776" t="s">
        <v>3262</v>
      </c>
      <c r="G1776" t="s">
        <v>179</v>
      </c>
      <c r="H1776" t="s">
        <v>53</v>
      </c>
      <c r="I1776" t="s">
        <v>53</v>
      </c>
      <c r="J1776" t="s">
        <v>53</v>
      </c>
      <c r="K1776" t="s">
        <v>53</v>
      </c>
      <c r="L1776" t="s">
        <v>53</v>
      </c>
      <c r="M1776" t="s">
        <v>53</v>
      </c>
      <c r="N1776" t="s">
        <v>53</v>
      </c>
      <c r="O1776" t="s">
        <v>53</v>
      </c>
      <c r="P1776" t="s">
        <v>53</v>
      </c>
      <c r="Q1776" t="s">
        <v>53</v>
      </c>
    </row>
    <row r="1777" spans="1:17" x14ac:dyDescent="0.2">
      <c r="A1777" s="30" t="str">
        <f>IF(C1777&amp;G1777&amp;D1777&lt;&gt;'Funnel setup'!$K$3&amp;'Funnel setup'!$K$4&amp;'Funnel setup'!$K$5,".",IF(A1776=".",1,A1776+1))</f>
        <v>.</v>
      </c>
      <c r="B1777" s="431" t="str">
        <f t="shared" si="27"/>
        <v>Hip Replacement PrimaryProviderNUFFIELD HEALTH, WOLVERHAMPTON HOSPITAL (NT242)EQ VAS</v>
      </c>
      <c r="C1777" t="s">
        <v>248</v>
      </c>
      <c r="D1777" t="s">
        <v>1</v>
      </c>
      <c r="E1777" t="s">
        <v>3264</v>
      </c>
      <c r="F1777" t="s">
        <v>3265</v>
      </c>
      <c r="G1777" t="s">
        <v>179</v>
      </c>
      <c r="H1777">
        <v>76</v>
      </c>
      <c r="I1777">
        <v>72.144999999999996</v>
      </c>
      <c r="J1777">
        <v>80.855000000000004</v>
      </c>
      <c r="K1777">
        <v>8.7110000000000003</v>
      </c>
      <c r="L1777">
        <v>48</v>
      </c>
      <c r="M1777">
        <v>11</v>
      </c>
      <c r="N1777">
        <v>17</v>
      </c>
      <c r="O1777">
        <v>78.528000000000006</v>
      </c>
      <c r="P1777">
        <v>13.023918</v>
      </c>
      <c r="Q1777">
        <v>12.911</v>
      </c>
    </row>
    <row r="1778" spans="1:17" x14ac:dyDescent="0.2">
      <c r="A1778" s="30" t="str">
        <f>IF(C1778&amp;G1778&amp;D1778&lt;&gt;'Funnel setup'!$K$3&amp;'Funnel setup'!$K$4&amp;'Funnel setup'!$K$5,".",IF(A1777=".",1,A1777+1))</f>
        <v>.</v>
      </c>
      <c r="B1778" s="431" t="str">
        <f t="shared" si="27"/>
        <v>Hip Replacement PrimaryProviderNUFFIELD HEALTH, YORK HOSPITAL (NT245)EQ VAS</v>
      </c>
      <c r="C1778" t="s">
        <v>248</v>
      </c>
      <c r="D1778" t="s">
        <v>1</v>
      </c>
      <c r="E1778" t="s">
        <v>4299</v>
      </c>
      <c r="F1778" t="s">
        <v>4300</v>
      </c>
      <c r="G1778" t="s">
        <v>179</v>
      </c>
      <c r="H1778">
        <v>103</v>
      </c>
      <c r="I1778">
        <v>65.563000000000002</v>
      </c>
      <c r="J1778">
        <v>80.66</v>
      </c>
      <c r="K1778">
        <v>15.097</v>
      </c>
      <c r="L1778">
        <v>73</v>
      </c>
      <c r="M1778">
        <v>14</v>
      </c>
      <c r="N1778">
        <v>16</v>
      </c>
      <c r="O1778">
        <v>78.078000000000003</v>
      </c>
      <c r="P1778">
        <v>12.573923840000001</v>
      </c>
      <c r="Q1778">
        <v>14.375</v>
      </c>
    </row>
    <row r="1779" spans="1:17" x14ac:dyDescent="0.2">
      <c r="A1779" s="30" t="str">
        <f>IF(C1779&amp;G1779&amp;D1779&lt;&gt;'Funnel setup'!$K$3&amp;'Funnel setup'!$K$4&amp;'Funnel setup'!$K$5,".",IF(A1778=".",1,A1778+1))</f>
        <v>.</v>
      </c>
      <c r="B1779" s="431" t="str">
        <f t="shared" si="27"/>
        <v>Hip Replacement PrimaryProviderNUFFIELD HOSPITAL OXFORD (THE MANOR) (NT244)EQ VAS</v>
      </c>
      <c r="C1779" t="s">
        <v>248</v>
      </c>
      <c r="D1779" t="s">
        <v>1</v>
      </c>
      <c r="E1779" t="s">
        <v>4302</v>
      </c>
      <c r="F1779" t="s">
        <v>4303</v>
      </c>
      <c r="G1779" t="s">
        <v>179</v>
      </c>
      <c r="H1779">
        <v>27</v>
      </c>
      <c r="I1779">
        <v>73.147999999999996</v>
      </c>
      <c r="J1779">
        <v>84.962999999999994</v>
      </c>
      <c r="K1779">
        <v>11.815</v>
      </c>
      <c r="L1779">
        <v>19</v>
      </c>
      <c r="M1779">
        <v>6</v>
      </c>
      <c r="N1779">
        <v>2</v>
      </c>
      <c r="O1779" t="s">
        <v>53</v>
      </c>
      <c r="P1779" t="s">
        <v>53</v>
      </c>
      <c r="Q1779" t="s">
        <v>53</v>
      </c>
    </row>
    <row r="1780" spans="1:17" x14ac:dyDescent="0.2">
      <c r="A1780" s="30" t="str">
        <f>IF(C1780&amp;G1780&amp;D1780&lt;&gt;'Funnel setup'!$K$3&amp;'Funnel setup'!$K$4&amp;'Funnel setup'!$K$5,".",IF(A1779=".",1,A1779+1))</f>
        <v>.</v>
      </c>
      <c r="B1780" s="431" t="str">
        <f t="shared" si="27"/>
        <v>Hip Replacement PrimaryProviderOAKLANDS HOSPITAL (NVC12)EQ VAS</v>
      </c>
      <c r="C1780" t="s">
        <v>248</v>
      </c>
      <c r="D1780" t="s">
        <v>1</v>
      </c>
      <c r="E1780" t="s">
        <v>3267</v>
      </c>
      <c r="F1780" t="s">
        <v>3268</v>
      </c>
      <c r="G1780" t="s">
        <v>179</v>
      </c>
      <c r="H1780">
        <v>45</v>
      </c>
      <c r="I1780">
        <v>70.111000000000004</v>
      </c>
      <c r="J1780">
        <v>78.022000000000006</v>
      </c>
      <c r="K1780">
        <v>7.9109999999999996</v>
      </c>
      <c r="L1780">
        <v>25</v>
      </c>
      <c r="M1780">
        <v>8</v>
      </c>
      <c r="N1780">
        <v>12</v>
      </c>
      <c r="O1780">
        <v>76.709999999999994</v>
      </c>
      <c r="P1780">
        <v>11.2060703</v>
      </c>
      <c r="Q1780">
        <v>14.901</v>
      </c>
    </row>
    <row r="1781" spans="1:17" x14ac:dyDescent="0.2">
      <c r="A1781" s="30" t="str">
        <f>IF(C1781&amp;G1781&amp;D1781&lt;&gt;'Funnel setup'!$K$3&amp;'Funnel setup'!$K$4&amp;'Funnel setup'!$K$5,".",IF(A1780=".",1,A1780+1))</f>
        <v>.</v>
      </c>
      <c r="B1781" s="431" t="str">
        <f t="shared" si="27"/>
        <v>Hip Replacement PrimaryProviderOAKS HOSPITAL (NVC13)EQ VAS</v>
      </c>
      <c r="C1781" t="s">
        <v>248</v>
      </c>
      <c r="D1781" t="s">
        <v>1</v>
      </c>
      <c r="E1781" t="s">
        <v>3270</v>
      </c>
      <c r="F1781" t="s">
        <v>3271</v>
      </c>
      <c r="G1781" t="s">
        <v>179</v>
      </c>
      <c r="H1781">
        <v>108</v>
      </c>
      <c r="I1781">
        <v>68.491</v>
      </c>
      <c r="J1781">
        <v>78.343000000000004</v>
      </c>
      <c r="K1781">
        <v>9.8520000000000003</v>
      </c>
      <c r="L1781">
        <v>67</v>
      </c>
      <c r="M1781">
        <v>16</v>
      </c>
      <c r="N1781">
        <v>25</v>
      </c>
      <c r="O1781">
        <v>75.936000000000007</v>
      </c>
      <c r="P1781">
        <v>10.432153420000001</v>
      </c>
      <c r="Q1781">
        <v>15.456</v>
      </c>
    </row>
    <row r="1782" spans="1:17" x14ac:dyDescent="0.2">
      <c r="A1782" s="30" t="str">
        <f>IF(C1782&amp;G1782&amp;D1782&lt;&gt;'Funnel setup'!$K$3&amp;'Funnel setup'!$K$4&amp;'Funnel setup'!$K$5,".",IF(A1781=".",1,A1781+1))</f>
        <v>.</v>
      </c>
      <c r="B1782" s="431" t="str">
        <f t="shared" si="27"/>
        <v>Hip Replacement PrimaryProviderONE HEALTH GROUP LTD (NTX01)EQ VAS</v>
      </c>
      <c r="C1782" t="s">
        <v>248</v>
      </c>
      <c r="D1782" t="s">
        <v>1</v>
      </c>
      <c r="E1782" t="s">
        <v>6507</v>
      </c>
      <c r="F1782" t="s">
        <v>6508</v>
      </c>
      <c r="G1782" t="s">
        <v>179</v>
      </c>
      <c r="H1782">
        <v>32</v>
      </c>
      <c r="I1782">
        <v>62.313000000000002</v>
      </c>
      <c r="J1782">
        <v>76.093999999999994</v>
      </c>
      <c r="K1782">
        <v>13.781000000000001</v>
      </c>
      <c r="L1782">
        <v>20</v>
      </c>
      <c r="M1782">
        <v>2</v>
      </c>
      <c r="N1782">
        <v>10</v>
      </c>
      <c r="O1782">
        <v>75.900000000000006</v>
      </c>
      <c r="P1782">
        <v>10.396062450000001</v>
      </c>
      <c r="Q1782">
        <v>18.558</v>
      </c>
    </row>
    <row r="1783" spans="1:17" x14ac:dyDescent="0.2">
      <c r="A1783" s="30" t="str">
        <f>IF(C1783&amp;G1783&amp;D1783&lt;&gt;'Funnel setup'!$K$3&amp;'Funnel setup'!$K$4&amp;'Funnel setup'!$K$5,".",IF(A1782=".",1,A1782+1))</f>
        <v>.</v>
      </c>
      <c r="B1783" s="431" t="str">
        <f t="shared" si="27"/>
        <v>Hip Replacement PrimaryProviderOXFORD UNIVERSITY HOSPITALS NHS FOUNDATION TRUST (RTH)EQ VAS</v>
      </c>
      <c r="C1783" t="s">
        <v>248</v>
      </c>
      <c r="D1783" t="s">
        <v>1</v>
      </c>
      <c r="E1783" t="s">
        <v>3278</v>
      </c>
      <c r="F1783" t="s">
        <v>6578</v>
      </c>
      <c r="G1783" t="s">
        <v>179</v>
      </c>
      <c r="H1783">
        <v>487</v>
      </c>
      <c r="I1783">
        <v>65.903000000000006</v>
      </c>
      <c r="J1783">
        <v>78.251000000000005</v>
      </c>
      <c r="K1783">
        <v>12.347</v>
      </c>
      <c r="L1783">
        <v>320</v>
      </c>
      <c r="M1783">
        <v>49</v>
      </c>
      <c r="N1783">
        <v>118</v>
      </c>
      <c r="O1783">
        <v>78.084999999999994</v>
      </c>
      <c r="P1783">
        <v>12.58018717</v>
      </c>
      <c r="Q1783">
        <v>15.385999999999999</v>
      </c>
    </row>
    <row r="1784" spans="1:17" x14ac:dyDescent="0.2">
      <c r="A1784" s="30" t="str">
        <f>IF(C1784&amp;G1784&amp;D1784&lt;&gt;'Funnel setup'!$K$3&amp;'Funnel setup'!$K$4&amp;'Funnel setup'!$K$5,".",IF(A1783=".",1,A1783+1))</f>
        <v>.</v>
      </c>
      <c r="B1784" s="431" t="str">
        <f t="shared" si="27"/>
        <v>Hip Replacement PrimaryProviderPARK HILL HOSPITAL (NVC14)EQ VAS</v>
      </c>
      <c r="C1784" t="s">
        <v>248</v>
      </c>
      <c r="D1784" t="s">
        <v>1</v>
      </c>
      <c r="E1784" t="s">
        <v>3280</v>
      </c>
      <c r="F1784" t="s">
        <v>3281</v>
      </c>
      <c r="G1784" t="s">
        <v>179</v>
      </c>
      <c r="H1784">
        <v>23</v>
      </c>
      <c r="I1784">
        <v>60.390999999999998</v>
      </c>
      <c r="J1784">
        <v>73.956999999999994</v>
      </c>
      <c r="K1784">
        <v>13.565</v>
      </c>
      <c r="L1784">
        <v>17</v>
      </c>
      <c r="M1784">
        <v>2</v>
      </c>
      <c r="N1784">
        <v>4</v>
      </c>
      <c r="O1784" t="s">
        <v>53</v>
      </c>
      <c r="P1784" t="s">
        <v>53</v>
      </c>
      <c r="Q1784" t="s">
        <v>53</v>
      </c>
    </row>
    <row r="1785" spans="1:17" x14ac:dyDescent="0.2">
      <c r="A1785" s="30" t="str">
        <f>IF(C1785&amp;G1785&amp;D1785&lt;&gt;'Funnel setup'!$K$3&amp;'Funnel setup'!$K$4&amp;'Funnel setup'!$K$5,".",IF(A1784=".",1,A1784+1))</f>
        <v>.</v>
      </c>
      <c r="B1785" s="431" t="str">
        <f t="shared" si="27"/>
        <v>Hip Replacement PrimaryProviderPENINSULA NHS TREATMENT CENTRE (NTPH5)EQ VAS</v>
      </c>
      <c r="C1785" t="s">
        <v>248</v>
      </c>
      <c r="D1785" t="s">
        <v>1</v>
      </c>
      <c r="E1785" t="s">
        <v>4285</v>
      </c>
      <c r="F1785" t="s">
        <v>4286</v>
      </c>
      <c r="G1785" t="s">
        <v>179</v>
      </c>
      <c r="H1785">
        <v>184</v>
      </c>
      <c r="I1785">
        <v>73.385999999999996</v>
      </c>
      <c r="J1785">
        <v>81.358999999999995</v>
      </c>
      <c r="K1785">
        <v>7.9729999999999999</v>
      </c>
      <c r="L1785">
        <v>113</v>
      </c>
      <c r="M1785">
        <v>26</v>
      </c>
      <c r="N1785">
        <v>45</v>
      </c>
      <c r="O1785">
        <v>77.716999999999999</v>
      </c>
      <c r="P1785">
        <v>12.212548890000001</v>
      </c>
      <c r="Q1785">
        <v>15.036</v>
      </c>
    </row>
    <row r="1786" spans="1:17" x14ac:dyDescent="0.2">
      <c r="A1786" s="30" t="str">
        <f>IF(C1786&amp;G1786&amp;D1786&lt;&gt;'Funnel setup'!$K$3&amp;'Funnel setup'!$K$4&amp;'Funnel setup'!$K$5,".",IF(A1785=".",1,A1785+1))</f>
        <v>.</v>
      </c>
      <c r="B1786" s="431" t="str">
        <f t="shared" si="27"/>
        <v>Hip Replacement PrimaryProviderPENNINE ACUTE HOSPITALS NHS TRUST (RW6)EQ VAS</v>
      </c>
      <c r="C1786" t="s">
        <v>248</v>
      </c>
      <c r="D1786" t="s">
        <v>1</v>
      </c>
      <c r="E1786" t="s">
        <v>3216</v>
      </c>
      <c r="F1786" t="s">
        <v>3217</v>
      </c>
      <c r="G1786" t="s">
        <v>179</v>
      </c>
      <c r="H1786">
        <v>113</v>
      </c>
      <c r="I1786">
        <v>60.478000000000002</v>
      </c>
      <c r="J1786">
        <v>74.353999999999999</v>
      </c>
      <c r="K1786">
        <v>13.875999999999999</v>
      </c>
      <c r="L1786">
        <v>77</v>
      </c>
      <c r="M1786">
        <v>12</v>
      </c>
      <c r="N1786">
        <v>24</v>
      </c>
      <c r="O1786">
        <v>77.864999999999995</v>
      </c>
      <c r="P1786">
        <v>12.36108114</v>
      </c>
      <c r="Q1786">
        <v>17.695</v>
      </c>
    </row>
    <row r="1787" spans="1:17" x14ac:dyDescent="0.2">
      <c r="A1787" s="30" t="str">
        <f>IF(C1787&amp;G1787&amp;D1787&lt;&gt;'Funnel setup'!$K$3&amp;'Funnel setup'!$K$4&amp;'Funnel setup'!$K$5,".",IF(A1786=".",1,A1786+1))</f>
        <v>.</v>
      </c>
      <c r="B1787" s="431" t="str">
        <f t="shared" si="27"/>
        <v>Hip Replacement PrimaryProviderPETERBOROUGH AND STAMFORD HOSPITALS NHS FOUNDATION TRUST (RGN)EQ VAS</v>
      </c>
      <c r="C1787" t="s">
        <v>248</v>
      </c>
      <c r="D1787" t="s">
        <v>1</v>
      </c>
      <c r="E1787" t="s">
        <v>3219</v>
      </c>
      <c r="F1787" t="s">
        <v>3220</v>
      </c>
      <c r="G1787" t="s">
        <v>179</v>
      </c>
      <c r="H1787">
        <v>157</v>
      </c>
      <c r="I1787">
        <v>63.369</v>
      </c>
      <c r="J1787">
        <v>76.828000000000003</v>
      </c>
      <c r="K1787">
        <v>13.459</v>
      </c>
      <c r="L1787">
        <v>100</v>
      </c>
      <c r="M1787">
        <v>21</v>
      </c>
      <c r="N1787">
        <v>36</v>
      </c>
      <c r="O1787">
        <v>77.456999999999994</v>
      </c>
      <c r="P1787">
        <v>11.95240456</v>
      </c>
      <c r="Q1787">
        <v>15.202</v>
      </c>
    </row>
    <row r="1788" spans="1:17" x14ac:dyDescent="0.2">
      <c r="A1788" s="30" t="str">
        <f>IF(C1788&amp;G1788&amp;D1788&lt;&gt;'Funnel setup'!$K$3&amp;'Funnel setup'!$K$4&amp;'Funnel setup'!$K$5,".",IF(A1787=".",1,A1787+1))</f>
        <v>.</v>
      </c>
      <c r="B1788" s="431" t="str">
        <f t="shared" si="27"/>
        <v>Hip Replacement PrimaryProviderPINEHILL HOSPITAL (NVC15)EQ VAS</v>
      </c>
      <c r="C1788" t="s">
        <v>248</v>
      </c>
      <c r="D1788" t="s">
        <v>1</v>
      </c>
      <c r="E1788" t="s">
        <v>3222</v>
      </c>
      <c r="F1788" t="s">
        <v>3223</v>
      </c>
      <c r="G1788" t="s">
        <v>179</v>
      </c>
      <c r="H1788">
        <v>75</v>
      </c>
      <c r="I1788">
        <v>63</v>
      </c>
      <c r="J1788">
        <v>79.787000000000006</v>
      </c>
      <c r="K1788">
        <v>16.786999999999999</v>
      </c>
      <c r="L1788">
        <v>52</v>
      </c>
      <c r="M1788">
        <v>12</v>
      </c>
      <c r="N1788">
        <v>11</v>
      </c>
      <c r="O1788">
        <v>78.77</v>
      </c>
      <c r="P1788">
        <v>13.265593089999999</v>
      </c>
      <c r="Q1788">
        <v>14.606999999999999</v>
      </c>
    </row>
    <row r="1789" spans="1:17" x14ac:dyDescent="0.2">
      <c r="A1789" s="30" t="str">
        <f>IF(C1789&amp;G1789&amp;D1789&lt;&gt;'Funnel setup'!$K$3&amp;'Funnel setup'!$K$4&amp;'Funnel setup'!$K$5,".",IF(A1788=".",1,A1788+1))</f>
        <v>.</v>
      </c>
      <c r="B1789" s="431" t="str">
        <f t="shared" si="27"/>
        <v>Hip Replacement PrimaryProviderPLYMOUTH HOSPITALS NHS TRUST (RK9)EQ VAS</v>
      </c>
      <c r="C1789" t="s">
        <v>248</v>
      </c>
      <c r="D1789" t="s">
        <v>1</v>
      </c>
      <c r="E1789" t="s">
        <v>3225</v>
      </c>
      <c r="F1789" t="s">
        <v>3226</v>
      </c>
      <c r="G1789" t="s">
        <v>179</v>
      </c>
      <c r="H1789">
        <v>191</v>
      </c>
      <c r="I1789">
        <v>62.198999999999998</v>
      </c>
      <c r="J1789">
        <v>72.021000000000001</v>
      </c>
      <c r="K1789">
        <v>9.8219999999999992</v>
      </c>
      <c r="L1789">
        <v>125</v>
      </c>
      <c r="M1789">
        <v>19</v>
      </c>
      <c r="N1789">
        <v>47</v>
      </c>
      <c r="O1789">
        <v>75.164000000000001</v>
      </c>
      <c r="P1789">
        <v>9.6595350839999998</v>
      </c>
      <c r="Q1789">
        <v>17.946999999999999</v>
      </c>
    </row>
    <row r="1790" spans="1:17" x14ac:dyDescent="0.2">
      <c r="A1790" s="30" t="str">
        <f>IF(C1790&amp;G1790&amp;D1790&lt;&gt;'Funnel setup'!$K$3&amp;'Funnel setup'!$K$4&amp;'Funnel setup'!$K$5,".",IF(A1789=".",1,A1789+1))</f>
        <v>.</v>
      </c>
      <c r="B1790" s="431" t="str">
        <f t="shared" si="27"/>
        <v>Hip Replacement PrimaryProviderPORTSMOUTH HOSPITALS NHS TRUST (RHU)EQ VAS</v>
      </c>
      <c r="C1790" t="s">
        <v>248</v>
      </c>
      <c r="D1790" t="s">
        <v>1</v>
      </c>
      <c r="E1790" t="s">
        <v>3234</v>
      </c>
      <c r="F1790" t="s">
        <v>3235</v>
      </c>
      <c r="G1790" t="s">
        <v>179</v>
      </c>
      <c r="H1790">
        <v>166</v>
      </c>
      <c r="I1790">
        <v>61.728999999999999</v>
      </c>
      <c r="J1790">
        <v>74.132999999999996</v>
      </c>
      <c r="K1790">
        <v>12.404</v>
      </c>
      <c r="L1790">
        <v>95</v>
      </c>
      <c r="M1790">
        <v>25</v>
      </c>
      <c r="N1790">
        <v>46</v>
      </c>
      <c r="O1790">
        <v>75.634</v>
      </c>
      <c r="P1790">
        <v>10.12927227</v>
      </c>
      <c r="Q1790">
        <v>17.942</v>
      </c>
    </row>
    <row r="1791" spans="1:17" x14ac:dyDescent="0.2">
      <c r="A1791" s="30" t="str">
        <f>IF(C1791&amp;G1791&amp;D1791&lt;&gt;'Funnel setup'!$K$3&amp;'Funnel setup'!$K$4&amp;'Funnel setup'!$K$5,".",IF(A1790=".",1,A1790+1))</f>
        <v>.</v>
      </c>
      <c r="B1791" s="431" t="str">
        <f t="shared" si="27"/>
        <v>Hip Replacement PrimaryProviderRENACRES HOSPITAL (NVC16)EQ VAS</v>
      </c>
      <c r="C1791" t="s">
        <v>248</v>
      </c>
      <c r="D1791" t="s">
        <v>1</v>
      </c>
      <c r="E1791" t="s">
        <v>3237</v>
      </c>
      <c r="F1791" t="s">
        <v>3238</v>
      </c>
      <c r="G1791" t="s">
        <v>179</v>
      </c>
      <c r="H1791">
        <v>44</v>
      </c>
      <c r="I1791">
        <v>76.954999999999998</v>
      </c>
      <c r="J1791">
        <v>81.772999999999996</v>
      </c>
      <c r="K1791">
        <v>4.8179999999999996</v>
      </c>
      <c r="L1791">
        <v>25</v>
      </c>
      <c r="M1791">
        <v>9</v>
      </c>
      <c r="N1791">
        <v>10</v>
      </c>
      <c r="O1791">
        <v>77.021000000000001</v>
      </c>
      <c r="P1791">
        <v>11.516801259999999</v>
      </c>
      <c r="Q1791">
        <v>11.188000000000001</v>
      </c>
    </row>
    <row r="1792" spans="1:17" x14ac:dyDescent="0.2">
      <c r="A1792" s="30" t="str">
        <f>IF(C1792&amp;G1792&amp;D1792&lt;&gt;'Funnel setup'!$K$3&amp;'Funnel setup'!$K$4&amp;'Funnel setup'!$K$5,".",IF(A1791=".",1,A1791+1))</f>
        <v>.</v>
      </c>
      <c r="B1792" s="431" t="str">
        <f t="shared" si="27"/>
        <v>Hip Replacement PrimaryProviderRIVERS HOSPITAL (NVC19)EQ VAS</v>
      </c>
      <c r="C1792" t="s">
        <v>248</v>
      </c>
      <c r="D1792" t="s">
        <v>1</v>
      </c>
      <c r="E1792" t="s">
        <v>3204</v>
      </c>
      <c r="F1792" t="s">
        <v>3205</v>
      </c>
      <c r="G1792" t="s">
        <v>179</v>
      </c>
      <c r="H1792">
        <v>64</v>
      </c>
      <c r="I1792">
        <v>71.313000000000002</v>
      </c>
      <c r="J1792">
        <v>80.968999999999994</v>
      </c>
      <c r="K1792">
        <v>9.6560000000000006</v>
      </c>
      <c r="L1792">
        <v>40</v>
      </c>
      <c r="M1792">
        <v>9</v>
      </c>
      <c r="N1792">
        <v>15</v>
      </c>
      <c r="O1792">
        <v>78.125</v>
      </c>
      <c r="P1792">
        <v>12.62067502</v>
      </c>
      <c r="Q1792">
        <v>15.157</v>
      </c>
    </row>
    <row r="1793" spans="1:17" x14ac:dyDescent="0.2">
      <c r="A1793" s="30" t="str">
        <f>IF(C1793&amp;G1793&amp;D1793&lt;&gt;'Funnel setup'!$K$3&amp;'Funnel setup'!$K$4&amp;'Funnel setup'!$K$5,".",IF(A1792=".",1,A1792+1))</f>
        <v>.</v>
      </c>
      <c r="B1793" s="431" t="str">
        <f t="shared" si="27"/>
        <v>Hip Replacement PrimaryProviderROWLEY HALL HOSPITAL (NVC17)EQ VAS</v>
      </c>
      <c r="C1793" t="s">
        <v>248</v>
      </c>
      <c r="D1793" t="s">
        <v>1</v>
      </c>
      <c r="E1793" t="s">
        <v>3207</v>
      </c>
      <c r="F1793" t="s">
        <v>3208</v>
      </c>
      <c r="G1793" t="s">
        <v>179</v>
      </c>
      <c r="H1793">
        <v>81</v>
      </c>
      <c r="I1793">
        <v>66.406999999999996</v>
      </c>
      <c r="J1793">
        <v>79.468999999999994</v>
      </c>
      <c r="K1793">
        <v>13.061999999999999</v>
      </c>
      <c r="L1793">
        <v>57</v>
      </c>
      <c r="M1793">
        <v>9</v>
      </c>
      <c r="N1793">
        <v>15</v>
      </c>
      <c r="O1793">
        <v>77.813999999999993</v>
      </c>
      <c r="P1793">
        <v>12.30981968</v>
      </c>
      <c r="Q1793">
        <v>13.297000000000001</v>
      </c>
    </row>
    <row r="1794" spans="1:17" x14ac:dyDescent="0.2">
      <c r="A1794" s="30" t="str">
        <f>IF(C1794&amp;G1794&amp;D1794&lt;&gt;'Funnel setup'!$K$3&amp;'Funnel setup'!$K$4&amp;'Funnel setup'!$K$5,".",IF(A1793=".",1,A1793+1))</f>
        <v>.</v>
      </c>
      <c r="B1794" s="431" t="str">
        <f t="shared" si="27"/>
        <v>Hip Replacement PrimaryProviderROYAL BERKSHIRE NHS FOUNDATION TRUST (RHW)EQ VAS</v>
      </c>
      <c r="C1794" t="s">
        <v>248</v>
      </c>
      <c r="D1794" t="s">
        <v>1</v>
      </c>
      <c r="E1794" t="s">
        <v>3832</v>
      </c>
      <c r="F1794" t="s">
        <v>3833</v>
      </c>
      <c r="G1794" t="s">
        <v>179</v>
      </c>
      <c r="H1794">
        <v>128</v>
      </c>
      <c r="I1794">
        <v>62.813000000000002</v>
      </c>
      <c r="J1794">
        <v>80</v>
      </c>
      <c r="K1794">
        <v>17.187999999999999</v>
      </c>
      <c r="L1794">
        <v>101</v>
      </c>
      <c r="M1794">
        <v>11</v>
      </c>
      <c r="N1794">
        <v>16</v>
      </c>
      <c r="O1794">
        <v>79.986000000000004</v>
      </c>
      <c r="P1794">
        <v>14.481287119999999</v>
      </c>
      <c r="Q1794">
        <v>15.656000000000001</v>
      </c>
    </row>
    <row r="1795" spans="1:17" x14ac:dyDescent="0.2">
      <c r="A1795" s="30" t="str">
        <f>IF(C1795&amp;G1795&amp;D1795&lt;&gt;'Funnel setup'!$K$3&amp;'Funnel setup'!$K$4&amp;'Funnel setup'!$K$5,".",IF(A1794=".",1,A1794+1))</f>
        <v>.</v>
      </c>
      <c r="B1795" s="431" t="str">
        <f t="shared" ref="B1795:B1858" si="28">C1795&amp;D1795&amp;F1795&amp;G1795</f>
        <v>Hip Replacement PrimaryProviderROYAL CORNWALL HOSPITALS NHS TRUST (REF)EQ VAS</v>
      </c>
      <c r="C1795" t="s">
        <v>248</v>
      </c>
      <c r="D1795" t="s">
        <v>1</v>
      </c>
      <c r="E1795" t="s">
        <v>3745</v>
      </c>
      <c r="F1795" t="s">
        <v>3746</v>
      </c>
      <c r="G1795" t="s">
        <v>179</v>
      </c>
      <c r="H1795">
        <v>256</v>
      </c>
      <c r="I1795">
        <v>64.563000000000002</v>
      </c>
      <c r="J1795">
        <v>74.715000000000003</v>
      </c>
      <c r="K1795">
        <v>10.151999999999999</v>
      </c>
      <c r="L1795">
        <v>153</v>
      </c>
      <c r="M1795">
        <v>28</v>
      </c>
      <c r="N1795">
        <v>75</v>
      </c>
      <c r="O1795">
        <v>75.658000000000001</v>
      </c>
      <c r="P1795">
        <v>10.153369140000001</v>
      </c>
      <c r="Q1795">
        <v>17.72</v>
      </c>
    </row>
    <row r="1796" spans="1:17" x14ac:dyDescent="0.2">
      <c r="A1796" s="30" t="str">
        <f>IF(C1796&amp;G1796&amp;D1796&lt;&gt;'Funnel setup'!$K$3&amp;'Funnel setup'!$K$4&amp;'Funnel setup'!$K$5,".",IF(A1795=".",1,A1795+1))</f>
        <v>.</v>
      </c>
      <c r="B1796" s="431" t="str">
        <f t="shared" si="28"/>
        <v>Hip Replacement PrimaryProviderROYAL DEVON AND EXETER NHS FOUNDATION TRUST (RH8)EQ VAS</v>
      </c>
      <c r="C1796" t="s">
        <v>248</v>
      </c>
      <c r="D1796" t="s">
        <v>1</v>
      </c>
      <c r="E1796" t="s">
        <v>3442</v>
      </c>
      <c r="F1796" t="s">
        <v>3443</v>
      </c>
      <c r="G1796" t="s">
        <v>179</v>
      </c>
      <c r="H1796">
        <v>489</v>
      </c>
      <c r="I1796">
        <v>70.129000000000005</v>
      </c>
      <c r="J1796">
        <v>78.459999999999994</v>
      </c>
      <c r="K1796">
        <v>8.3309999999999995</v>
      </c>
      <c r="L1796">
        <v>289</v>
      </c>
      <c r="M1796">
        <v>70</v>
      </c>
      <c r="N1796">
        <v>130</v>
      </c>
      <c r="O1796">
        <v>77.793000000000006</v>
      </c>
      <c r="P1796">
        <v>12.28915211</v>
      </c>
      <c r="Q1796">
        <v>14.676</v>
      </c>
    </row>
    <row r="1797" spans="1:17" x14ac:dyDescent="0.2">
      <c r="A1797" s="30" t="str">
        <f>IF(C1797&amp;G1797&amp;D1797&lt;&gt;'Funnel setup'!$K$3&amp;'Funnel setup'!$K$4&amp;'Funnel setup'!$K$5,".",IF(A1796=".",1,A1796+1))</f>
        <v>.</v>
      </c>
      <c r="B1797" s="431" t="str">
        <f t="shared" si="28"/>
        <v>Hip Replacement PrimaryProviderROYAL FREE LONDON NHS FOUNDATION TRUST (RAL)EQ VAS</v>
      </c>
      <c r="C1797" t="s">
        <v>248</v>
      </c>
      <c r="D1797" t="s">
        <v>1</v>
      </c>
      <c r="E1797" t="s">
        <v>3445</v>
      </c>
      <c r="F1797" t="s">
        <v>3446</v>
      </c>
      <c r="G1797" t="s">
        <v>179</v>
      </c>
      <c r="H1797">
        <v>104</v>
      </c>
      <c r="I1797">
        <v>59.951999999999998</v>
      </c>
      <c r="J1797">
        <v>74.212000000000003</v>
      </c>
      <c r="K1797">
        <v>14.26</v>
      </c>
      <c r="L1797">
        <v>67</v>
      </c>
      <c r="M1797">
        <v>12</v>
      </c>
      <c r="N1797">
        <v>25</v>
      </c>
      <c r="O1797">
        <v>76.197000000000003</v>
      </c>
      <c r="P1797">
        <v>10.69241111</v>
      </c>
      <c r="Q1797">
        <v>16.689</v>
      </c>
    </row>
    <row r="1798" spans="1:17" x14ac:dyDescent="0.2">
      <c r="A1798" s="30" t="str">
        <f>IF(C1798&amp;G1798&amp;D1798&lt;&gt;'Funnel setup'!$K$3&amp;'Funnel setup'!$K$4&amp;'Funnel setup'!$K$5,".",IF(A1797=".",1,A1797+1))</f>
        <v>.</v>
      </c>
      <c r="B1798" s="431" t="str">
        <f t="shared" si="28"/>
        <v>Hip Replacement PrimaryProviderROYAL LIVERPOOL AND BROADGREEN UNIVERSITY HOSPITALS NHS TRUST (RQ6)EQ VAS</v>
      </c>
      <c r="C1798" t="s">
        <v>248</v>
      </c>
      <c r="D1798" t="s">
        <v>1</v>
      </c>
      <c r="E1798" t="s">
        <v>3448</v>
      </c>
      <c r="F1798" t="s">
        <v>3449</v>
      </c>
      <c r="G1798" t="s">
        <v>179</v>
      </c>
      <c r="H1798">
        <v>104</v>
      </c>
      <c r="I1798">
        <v>62.731000000000002</v>
      </c>
      <c r="J1798">
        <v>70.885000000000005</v>
      </c>
      <c r="K1798">
        <v>8.1539999999999999</v>
      </c>
      <c r="L1798">
        <v>68</v>
      </c>
      <c r="M1798">
        <v>9</v>
      </c>
      <c r="N1798">
        <v>27</v>
      </c>
      <c r="O1798">
        <v>75.099000000000004</v>
      </c>
      <c r="P1798">
        <v>9.5944844840000005</v>
      </c>
      <c r="Q1798">
        <v>18.236000000000001</v>
      </c>
    </row>
    <row r="1799" spans="1:17" x14ac:dyDescent="0.2">
      <c r="A1799" s="30" t="str">
        <f>IF(C1799&amp;G1799&amp;D1799&lt;&gt;'Funnel setup'!$K$3&amp;'Funnel setup'!$K$4&amp;'Funnel setup'!$K$5,".",IF(A1798=".",1,A1798+1))</f>
        <v>.</v>
      </c>
      <c r="B1799" s="431" t="str">
        <f t="shared" si="28"/>
        <v>Hip Replacement PrimaryProviderROYAL NATIONAL ORTHOPAEDIC HOSPITAL NHS TRUST (RAN)EQ VAS</v>
      </c>
      <c r="C1799" t="s">
        <v>248</v>
      </c>
      <c r="D1799" t="s">
        <v>1</v>
      </c>
      <c r="E1799" t="s">
        <v>4378</v>
      </c>
      <c r="F1799" t="s">
        <v>4379</v>
      </c>
      <c r="G1799" t="s">
        <v>179</v>
      </c>
      <c r="H1799">
        <v>123</v>
      </c>
      <c r="I1799">
        <v>62.154000000000003</v>
      </c>
      <c r="J1799">
        <v>76.049000000000007</v>
      </c>
      <c r="K1799">
        <v>13.894</v>
      </c>
      <c r="L1799">
        <v>82</v>
      </c>
      <c r="M1799">
        <v>15</v>
      </c>
      <c r="N1799">
        <v>26</v>
      </c>
      <c r="O1799">
        <v>76.367000000000004</v>
      </c>
      <c r="P1799">
        <v>10.86300887</v>
      </c>
      <c r="Q1799">
        <v>16.356999999999999</v>
      </c>
    </row>
    <row r="1800" spans="1:17" x14ac:dyDescent="0.2">
      <c r="A1800" s="30" t="str">
        <f>IF(C1800&amp;G1800&amp;D1800&lt;&gt;'Funnel setup'!$K$3&amp;'Funnel setup'!$K$4&amp;'Funnel setup'!$K$5,".",IF(A1799=".",1,A1799+1))</f>
        <v>.</v>
      </c>
      <c r="B1800" s="431" t="str">
        <f t="shared" si="28"/>
        <v>Hip Replacement PrimaryProviderROYAL SURREY COUNTY HOSPITAL NHS FOUNDATION TRUST (RA2)EQ VAS</v>
      </c>
      <c r="C1800" t="s">
        <v>248</v>
      </c>
      <c r="D1800" t="s">
        <v>1</v>
      </c>
      <c r="E1800" t="s">
        <v>3451</v>
      </c>
      <c r="F1800" t="s">
        <v>3452</v>
      </c>
      <c r="G1800" t="s">
        <v>179</v>
      </c>
      <c r="H1800">
        <v>124</v>
      </c>
      <c r="I1800">
        <v>65.677000000000007</v>
      </c>
      <c r="J1800">
        <v>78.596999999999994</v>
      </c>
      <c r="K1800">
        <v>12.919</v>
      </c>
      <c r="L1800">
        <v>82</v>
      </c>
      <c r="M1800">
        <v>15</v>
      </c>
      <c r="N1800">
        <v>27</v>
      </c>
      <c r="O1800">
        <v>77.259</v>
      </c>
      <c r="P1800">
        <v>11.755094919999999</v>
      </c>
      <c r="Q1800">
        <v>15.388</v>
      </c>
    </row>
    <row r="1801" spans="1:17" x14ac:dyDescent="0.2">
      <c r="A1801" s="30" t="str">
        <f>IF(C1801&amp;G1801&amp;D1801&lt;&gt;'Funnel setup'!$K$3&amp;'Funnel setup'!$K$4&amp;'Funnel setup'!$K$5,".",IF(A1800=".",1,A1800+1))</f>
        <v>.</v>
      </c>
      <c r="B1801" s="431" t="str">
        <f t="shared" si="28"/>
        <v>Hip Replacement PrimaryProviderROYAL UNITED HOSPITALS BATH NHS FOUNDATION TRUST (RD1)EQ VAS</v>
      </c>
      <c r="C1801" t="s">
        <v>248</v>
      </c>
      <c r="D1801" t="s">
        <v>1</v>
      </c>
      <c r="E1801" t="s">
        <v>3454</v>
      </c>
      <c r="F1801" t="s">
        <v>3455</v>
      </c>
      <c r="G1801" t="s">
        <v>179</v>
      </c>
      <c r="H1801">
        <v>161</v>
      </c>
      <c r="I1801">
        <v>63.435000000000002</v>
      </c>
      <c r="J1801">
        <v>75.602000000000004</v>
      </c>
      <c r="K1801">
        <v>12.167999999999999</v>
      </c>
      <c r="L1801">
        <v>100</v>
      </c>
      <c r="M1801">
        <v>23</v>
      </c>
      <c r="N1801">
        <v>38</v>
      </c>
      <c r="O1801">
        <v>77.370999999999995</v>
      </c>
      <c r="P1801">
        <v>11.86680301</v>
      </c>
      <c r="Q1801">
        <v>15.148999999999999</v>
      </c>
    </row>
    <row r="1802" spans="1:17" x14ac:dyDescent="0.2">
      <c r="A1802" s="30" t="str">
        <f>IF(C1802&amp;G1802&amp;D1802&lt;&gt;'Funnel setup'!$K$3&amp;'Funnel setup'!$K$4&amp;'Funnel setup'!$K$5,".",IF(A1801=".",1,A1801+1))</f>
        <v>.</v>
      </c>
      <c r="B1802" s="431" t="str">
        <f t="shared" si="28"/>
        <v>Hip Replacement PrimaryProviderSALFORD ROYAL NHS FOUNDATION TRUST (RM3)EQ VAS</v>
      </c>
      <c r="C1802" t="s">
        <v>248</v>
      </c>
      <c r="D1802" t="s">
        <v>1</v>
      </c>
      <c r="E1802" t="s">
        <v>3457</v>
      </c>
      <c r="F1802" t="s">
        <v>3458</v>
      </c>
      <c r="G1802" t="s">
        <v>179</v>
      </c>
      <c r="H1802">
        <v>69</v>
      </c>
      <c r="I1802">
        <v>60.783000000000001</v>
      </c>
      <c r="J1802">
        <v>75.638000000000005</v>
      </c>
      <c r="K1802">
        <v>14.855</v>
      </c>
      <c r="L1802">
        <v>50</v>
      </c>
      <c r="M1802">
        <v>8</v>
      </c>
      <c r="N1802">
        <v>11</v>
      </c>
      <c r="O1802">
        <v>78.962999999999994</v>
      </c>
      <c r="P1802">
        <v>13.45867587</v>
      </c>
      <c r="Q1802">
        <v>15.403</v>
      </c>
    </row>
    <row r="1803" spans="1:17" x14ac:dyDescent="0.2">
      <c r="A1803" s="30" t="str">
        <f>IF(C1803&amp;G1803&amp;D1803&lt;&gt;'Funnel setup'!$K$3&amp;'Funnel setup'!$K$4&amp;'Funnel setup'!$K$5,".",IF(A1802=".",1,A1802+1))</f>
        <v>.</v>
      </c>
      <c r="B1803" s="431" t="str">
        <f t="shared" si="28"/>
        <v>Hip Replacement PrimaryProviderSALISBURY NHS FOUNDATION TRUST (RNZ)EQ VAS</v>
      </c>
      <c r="C1803" t="s">
        <v>248</v>
      </c>
      <c r="D1803" t="s">
        <v>1</v>
      </c>
      <c r="E1803" t="s">
        <v>3460</v>
      </c>
      <c r="F1803" t="s">
        <v>3461</v>
      </c>
      <c r="G1803" t="s">
        <v>179</v>
      </c>
      <c r="H1803">
        <v>172</v>
      </c>
      <c r="I1803">
        <v>63.244</v>
      </c>
      <c r="J1803">
        <v>76.744</v>
      </c>
      <c r="K1803">
        <v>13.5</v>
      </c>
      <c r="L1803">
        <v>110</v>
      </c>
      <c r="M1803">
        <v>17</v>
      </c>
      <c r="N1803">
        <v>45</v>
      </c>
      <c r="O1803">
        <v>77.647000000000006</v>
      </c>
      <c r="P1803">
        <v>12.14275962</v>
      </c>
      <c r="Q1803">
        <v>17.047000000000001</v>
      </c>
    </row>
    <row r="1804" spans="1:17" x14ac:dyDescent="0.2">
      <c r="A1804" s="30" t="str">
        <f>IF(C1804&amp;G1804&amp;D1804&lt;&gt;'Funnel setup'!$K$3&amp;'Funnel setup'!$K$4&amp;'Funnel setup'!$K$5,".",IF(A1803=".",1,A1803+1))</f>
        <v>.</v>
      </c>
      <c r="B1804" s="431" t="str">
        <f t="shared" si="28"/>
        <v>Hip Replacement PrimaryProviderSANDWELL AND WEST BIRMINGHAM HOSPITALS NHS TRUST (RXK)EQ VAS</v>
      </c>
      <c r="C1804" t="s">
        <v>248</v>
      </c>
      <c r="D1804" t="s">
        <v>1</v>
      </c>
      <c r="E1804" t="s">
        <v>3463</v>
      </c>
      <c r="F1804" t="s">
        <v>3464</v>
      </c>
      <c r="G1804" t="s">
        <v>179</v>
      </c>
      <c r="H1804">
        <v>143</v>
      </c>
      <c r="I1804">
        <v>61.915999999999997</v>
      </c>
      <c r="J1804">
        <v>72.629000000000005</v>
      </c>
      <c r="K1804">
        <v>10.712999999999999</v>
      </c>
      <c r="L1804">
        <v>89</v>
      </c>
      <c r="M1804">
        <v>19</v>
      </c>
      <c r="N1804">
        <v>35</v>
      </c>
      <c r="O1804">
        <v>77.88</v>
      </c>
      <c r="P1804">
        <v>12.375198190000001</v>
      </c>
      <c r="Q1804">
        <v>16.817</v>
      </c>
    </row>
    <row r="1805" spans="1:17" x14ac:dyDescent="0.2">
      <c r="A1805" s="30" t="str">
        <f>IF(C1805&amp;G1805&amp;D1805&lt;&gt;'Funnel setup'!$K$3&amp;'Funnel setup'!$K$4&amp;'Funnel setup'!$K$5,".",IF(A1804=".",1,A1804+1))</f>
        <v>.</v>
      </c>
      <c r="B1805" s="431" t="str">
        <f t="shared" si="28"/>
        <v>Hip Replacement PrimaryProviderSHEFFIELD TEACHING HOSPITALS NHS FOUNDATION TRUST (RHQ)EQ VAS</v>
      </c>
      <c r="C1805" t="s">
        <v>248</v>
      </c>
      <c r="D1805" t="s">
        <v>1</v>
      </c>
      <c r="E1805" t="s">
        <v>3466</v>
      </c>
      <c r="F1805" t="s">
        <v>3467</v>
      </c>
      <c r="G1805" t="s">
        <v>179</v>
      </c>
      <c r="H1805">
        <v>305</v>
      </c>
      <c r="I1805">
        <v>63.222999999999999</v>
      </c>
      <c r="J1805">
        <v>74.236000000000004</v>
      </c>
      <c r="K1805">
        <v>11.013</v>
      </c>
      <c r="L1805">
        <v>193</v>
      </c>
      <c r="M1805">
        <v>31</v>
      </c>
      <c r="N1805">
        <v>81</v>
      </c>
      <c r="O1805">
        <v>75.477000000000004</v>
      </c>
      <c r="P1805">
        <v>9.9722901279999991</v>
      </c>
      <c r="Q1805">
        <v>15.202</v>
      </c>
    </row>
    <row r="1806" spans="1:17" x14ac:dyDescent="0.2">
      <c r="A1806" s="30" t="str">
        <f>IF(C1806&amp;G1806&amp;D1806&lt;&gt;'Funnel setup'!$K$3&amp;'Funnel setup'!$K$4&amp;'Funnel setup'!$K$5,".",IF(A1805=".",1,A1805+1))</f>
        <v>.</v>
      </c>
      <c r="B1806" s="431" t="str">
        <f t="shared" si="28"/>
        <v>Hip Replacement PrimaryProviderSHEPTON MALLET NHS TREATMENT CENTRE (NTPH1)EQ VAS</v>
      </c>
      <c r="C1806" t="s">
        <v>248</v>
      </c>
      <c r="D1806" t="s">
        <v>1</v>
      </c>
      <c r="E1806" t="s">
        <v>3472</v>
      </c>
      <c r="F1806" t="s">
        <v>3473</v>
      </c>
      <c r="G1806" t="s">
        <v>179</v>
      </c>
      <c r="H1806">
        <v>188</v>
      </c>
      <c r="I1806">
        <v>70.510999999999996</v>
      </c>
      <c r="J1806">
        <v>82.632999999999996</v>
      </c>
      <c r="K1806">
        <v>12.122</v>
      </c>
      <c r="L1806">
        <v>122</v>
      </c>
      <c r="M1806">
        <v>21</v>
      </c>
      <c r="N1806">
        <v>45</v>
      </c>
      <c r="O1806">
        <v>79.328000000000003</v>
      </c>
      <c r="P1806">
        <v>13.824144909999999</v>
      </c>
      <c r="Q1806">
        <v>13.797000000000001</v>
      </c>
    </row>
    <row r="1807" spans="1:17" x14ac:dyDescent="0.2">
      <c r="A1807" s="30" t="str">
        <f>IF(C1807&amp;G1807&amp;D1807&lt;&gt;'Funnel setup'!$K$3&amp;'Funnel setup'!$K$4&amp;'Funnel setup'!$K$5,".",IF(A1806=".",1,A1806+1))</f>
        <v>.</v>
      </c>
      <c r="B1807" s="431" t="str">
        <f t="shared" si="28"/>
        <v>Hip Replacement PrimaryProviderSHERWOOD FOREST HOSPITALS NHS FOUNDATION TRUST (RK5)EQ VAS</v>
      </c>
      <c r="C1807" t="s">
        <v>248</v>
      </c>
      <c r="D1807" t="s">
        <v>1</v>
      </c>
      <c r="E1807" t="s">
        <v>3475</v>
      </c>
      <c r="F1807" t="s">
        <v>3476</v>
      </c>
      <c r="G1807" t="s">
        <v>179</v>
      </c>
      <c r="H1807">
        <v>126</v>
      </c>
      <c r="I1807">
        <v>61.984000000000002</v>
      </c>
      <c r="J1807">
        <v>73.951999999999998</v>
      </c>
      <c r="K1807">
        <v>11.968</v>
      </c>
      <c r="L1807">
        <v>83</v>
      </c>
      <c r="M1807">
        <v>12</v>
      </c>
      <c r="N1807">
        <v>31</v>
      </c>
      <c r="O1807">
        <v>75.888999999999996</v>
      </c>
      <c r="P1807">
        <v>10.384292540000001</v>
      </c>
      <c r="Q1807">
        <v>18.227</v>
      </c>
    </row>
    <row r="1808" spans="1:17" x14ac:dyDescent="0.2">
      <c r="A1808" s="30" t="str">
        <f>IF(C1808&amp;G1808&amp;D1808&lt;&gt;'Funnel setup'!$K$3&amp;'Funnel setup'!$K$4&amp;'Funnel setup'!$K$5,".",IF(A1807=".",1,A1807+1))</f>
        <v>.</v>
      </c>
      <c r="B1808" s="431" t="str">
        <f t="shared" si="28"/>
        <v>Hip Replacement PrimaryProviderSHREWSBURY AND TELFORD HOSPITAL NHS TRUST (RXW)EQ VAS</v>
      </c>
      <c r="C1808" t="s">
        <v>248</v>
      </c>
      <c r="D1808" t="s">
        <v>1</v>
      </c>
      <c r="E1808" t="s">
        <v>3478</v>
      </c>
      <c r="F1808" t="s">
        <v>3479</v>
      </c>
      <c r="G1808" t="s">
        <v>179</v>
      </c>
      <c r="H1808">
        <v>139</v>
      </c>
      <c r="I1808">
        <v>62.683</v>
      </c>
      <c r="J1808">
        <v>77.007000000000005</v>
      </c>
      <c r="K1808">
        <v>14.324</v>
      </c>
      <c r="L1808">
        <v>98</v>
      </c>
      <c r="M1808">
        <v>11</v>
      </c>
      <c r="N1808">
        <v>30</v>
      </c>
      <c r="O1808">
        <v>78.143000000000001</v>
      </c>
      <c r="P1808">
        <v>12.638430250000001</v>
      </c>
      <c r="Q1808">
        <v>16.135000000000002</v>
      </c>
    </row>
    <row r="1809" spans="1:17" x14ac:dyDescent="0.2">
      <c r="A1809" s="30" t="str">
        <f>IF(C1809&amp;G1809&amp;D1809&lt;&gt;'Funnel setup'!$K$3&amp;'Funnel setup'!$K$4&amp;'Funnel setup'!$K$5,".",IF(A1808=".",1,A1808+1))</f>
        <v>.</v>
      </c>
      <c r="B1809" s="431" t="str">
        <f t="shared" si="28"/>
        <v>Hip Replacement PrimaryProviderSOUTH TEES HOSPITALS NHS FOUNDATION TRUST (RTR)EQ VAS</v>
      </c>
      <c r="C1809" t="s">
        <v>248</v>
      </c>
      <c r="D1809" t="s">
        <v>1</v>
      </c>
      <c r="E1809" t="s">
        <v>3482</v>
      </c>
      <c r="F1809" t="s">
        <v>3483</v>
      </c>
      <c r="G1809" t="s">
        <v>179</v>
      </c>
      <c r="H1809">
        <v>379</v>
      </c>
      <c r="I1809">
        <v>65.391000000000005</v>
      </c>
      <c r="J1809">
        <v>76.013000000000005</v>
      </c>
      <c r="K1809">
        <v>10.622999999999999</v>
      </c>
      <c r="L1809">
        <v>231</v>
      </c>
      <c r="M1809">
        <v>43</v>
      </c>
      <c r="N1809">
        <v>105</v>
      </c>
      <c r="O1809">
        <v>76.603999999999999</v>
      </c>
      <c r="P1809">
        <v>11.09992778</v>
      </c>
      <c r="Q1809">
        <v>16.559999999999999</v>
      </c>
    </row>
    <row r="1810" spans="1:17" x14ac:dyDescent="0.2">
      <c r="A1810" s="30" t="str">
        <f>IF(C1810&amp;G1810&amp;D1810&lt;&gt;'Funnel setup'!$K$3&amp;'Funnel setup'!$K$4&amp;'Funnel setup'!$K$5,".",IF(A1809=".",1,A1809+1))</f>
        <v>.</v>
      </c>
      <c r="B1810" s="431" t="str">
        <f t="shared" si="28"/>
        <v>Hip Replacement PrimaryProviderSOUTH TYNESIDE NHS FOUNDATION TRUST (RE9)EQ VAS</v>
      </c>
      <c r="C1810" t="s">
        <v>248</v>
      </c>
      <c r="D1810" t="s">
        <v>1</v>
      </c>
      <c r="E1810" t="s">
        <v>3485</v>
      </c>
      <c r="F1810" t="s">
        <v>3486</v>
      </c>
      <c r="G1810" t="s">
        <v>179</v>
      </c>
      <c r="H1810">
        <v>41</v>
      </c>
      <c r="I1810">
        <v>66.22</v>
      </c>
      <c r="J1810">
        <v>77.171000000000006</v>
      </c>
      <c r="K1810">
        <v>10.951000000000001</v>
      </c>
      <c r="L1810">
        <v>23</v>
      </c>
      <c r="M1810">
        <v>6</v>
      </c>
      <c r="N1810">
        <v>12</v>
      </c>
      <c r="O1810">
        <v>79.278999999999996</v>
      </c>
      <c r="P1810">
        <v>13.77460359</v>
      </c>
      <c r="Q1810">
        <v>16.372</v>
      </c>
    </row>
    <row r="1811" spans="1:17" x14ac:dyDescent="0.2">
      <c r="A1811" s="30" t="str">
        <f>IF(C1811&amp;G1811&amp;D1811&lt;&gt;'Funnel setup'!$K$3&amp;'Funnel setup'!$K$4&amp;'Funnel setup'!$K$5,".",IF(A1810=".",1,A1810+1))</f>
        <v>.</v>
      </c>
      <c r="B1811" s="431" t="str">
        <f t="shared" si="28"/>
        <v>Hip Replacement PrimaryProviderSOUTH WARWICKSHIRE NHS FOUNDATION TRUST (RJC)EQ VAS</v>
      </c>
      <c r="C1811" t="s">
        <v>248</v>
      </c>
      <c r="D1811" t="s">
        <v>1</v>
      </c>
      <c r="E1811" t="s">
        <v>3421</v>
      </c>
      <c r="F1811" t="s">
        <v>3422</v>
      </c>
      <c r="G1811" t="s">
        <v>179</v>
      </c>
      <c r="H1811">
        <v>250</v>
      </c>
      <c r="I1811">
        <v>67.084000000000003</v>
      </c>
      <c r="J1811">
        <v>78.591999999999999</v>
      </c>
      <c r="K1811">
        <v>11.507999999999999</v>
      </c>
      <c r="L1811">
        <v>171</v>
      </c>
      <c r="M1811">
        <v>21</v>
      </c>
      <c r="N1811">
        <v>58</v>
      </c>
      <c r="O1811">
        <v>77.507000000000005</v>
      </c>
      <c r="P1811">
        <v>12.00299937</v>
      </c>
      <c r="Q1811">
        <v>15.603</v>
      </c>
    </row>
    <row r="1812" spans="1:17" x14ac:dyDescent="0.2">
      <c r="A1812" s="30" t="str">
        <f>IF(C1812&amp;G1812&amp;D1812&lt;&gt;'Funnel setup'!$K$3&amp;'Funnel setup'!$K$4&amp;'Funnel setup'!$K$5,".",IF(A1811=".",1,A1811+1))</f>
        <v>.</v>
      </c>
      <c r="B1812" s="431" t="str">
        <f t="shared" si="28"/>
        <v>Hip Replacement PrimaryProviderSOUTHAMPTON NHS TREATMENT CENTRE (NTP11)EQ VAS</v>
      </c>
      <c r="C1812" t="s">
        <v>248</v>
      </c>
      <c r="D1812" t="s">
        <v>1</v>
      </c>
      <c r="E1812" t="s">
        <v>3424</v>
      </c>
      <c r="F1812" t="s">
        <v>3425</v>
      </c>
      <c r="G1812" t="s">
        <v>179</v>
      </c>
      <c r="H1812">
        <v>85</v>
      </c>
      <c r="I1812">
        <v>66.929000000000002</v>
      </c>
      <c r="J1812">
        <v>77.647000000000006</v>
      </c>
      <c r="K1812">
        <v>10.718</v>
      </c>
      <c r="L1812">
        <v>59</v>
      </c>
      <c r="M1812">
        <v>5</v>
      </c>
      <c r="N1812">
        <v>21</v>
      </c>
      <c r="O1812">
        <v>76.774000000000001</v>
      </c>
      <c r="P1812">
        <v>11.269731269999999</v>
      </c>
      <c r="Q1812">
        <v>14.428000000000001</v>
      </c>
    </row>
    <row r="1813" spans="1:17" x14ac:dyDescent="0.2">
      <c r="A1813" s="30" t="str">
        <f>IF(C1813&amp;G1813&amp;D1813&lt;&gt;'Funnel setup'!$K$3&amp;'Funnel setup'!$K$4&amp;'Funnel setup'!$K$5,".",IF(A1812=".",1,A1812+1))</f>
        <v>.</v>
      </c>
      <c r="B1813" s="431" t="str">
        <f t="shared" si="28"/>
        <v>Hip Replacement PrimaryProviderSOUTHEND UNIVERSITY HOSPITAL NHS FOUNDATION TRUST (RAJ)EQ VAS</v>
      </c>
      <c r="C1813" t="s">
        <v>248</v>
      </c>
      <c r="D1813" t="s">
        <v>1</v>
      </c>
      <c r="E1813" t="s">
        <v>3427</v>
      </c>
      <c r="F1813" t="s">
        <v>3428</v>
      </c>
      <c r="G1813" t="s">
        <v>179</v>
      </c>
      <c r="H1813">
        <v>125</v>
      </c>
      <c r="I1813">
        <v>64.36</v>
      </c>
      <c r="J1813">
        <v>76.504000000000005</v>
      </c>
      <c r="K1813">
        <v>12.144</v>
      </c>
      <c r="L1813">
        <v>78</v>
      </c>
      <c r="M1813">
        <v>14</v>
      </c>
      <c r="N1813">
        <v>33</v>
      </c>
      <c r="O1813">
        <v>76.847999999999999</v>
      </c>
      <c r="P1813">
        <v>11.343474260000001</v>
      </c>
      <c r="Q1813">
        <v>14.016</v>
      </c>
    </row>
    <row r="1814" spans="1:17" x14ac:dyDescent="0.2">
      <c r="A1814" s="30" t="str">
        <f>IF(C1814&amp;G1814&amp;D1814&lt;&gt;'Funnel setup'!$K$3&amp;'Funnel setup'!$K$4&amp;'Funnel setup'!$K$5,".",IF(A1813=".",1,A1813+1))</f>
        <v>.</v>
      </c>
      <c r="B1814" s="431" t="str">
        <f t="shared" si="28"/>
        <v>Hip Replacement PrimaryProviderSOUTHPORT AND ORMSKIRK HOSPITAL NHS TRUST (RVY)EQ VAS</v>
      </c>
      <c r="C1814" t="s">
        <v>248</v>
      </c>
      <c r="D1814" t="s">
        <v>1</v>
      </c>
      <c r="E1814" t="s">
        <v>3430</v>
      </c>
      <c r="F1814" t="s">
        <v>3431</v>
      </c>
      <c r="G1814" t="s">
        <v>179</v>
      </c>
      <c r="H1814">
        <v>93</v>
      </c>
      <c r="I1814">
        <v>63.988999999999997</v>
      </c>
      <c r="J1814">
        <v>76.656000000000006</v>
      </c>
      <c r="K1814">
        <v>12.667</v>
      </c>
      <c r="L1814">
        <v>66</v>
      </c>
      <c r="M1814">
        <v>12</v>
      </c>
      <c r="N1814">
        <v>15</v>
      </c>
      <c r="O1814">
        <v>77.760999999999996</v>
      </c>
      <c r="P1814">
        <v>12.256998919999999</v>
      </c>
      <c r="Q1814">
        <v>15.257999999999999</v>
      </c>
    </row>
    <row r="1815" spans="1:17" x14ac:dyDescent="0.2">
      <c r="A1815" s="30" t="str">
        <f>IF(C1815&amp;G1815&amp;D1815&lt;&gt;'Funnel setup'!$K$3&amp;'Funnel setup'!$K$4&amp;'Funnel setup'!$K$5,".",IF(A1814=".",1,A1814+1))</f>
        <v>.</v>
      </c>
      <c r="B1815" s="431" t="str">
        <f t="shared" si="28"/>
        <v>Hip Replacement PrimaryProviderSPIRE ALEXANDRA HOSPITAL (NT312)EQ VAS</v>
      </c>
      <c r="C1815" t="s">
        <v>248</v>
      </c>
      <c r="D1815" t="s">
        <v>1</v>
      </c>
      <c r="E1815" t="s">
        <v>3433</v>
      </c>
      <c r="F1815" t="s">
        <v>3434</v>
      </c>
      <c r="G1815" t="s">
        <v>179</v>
      </c>
      <c r="H1815">
        <v>32</v>
      </c>
      <c r="I1815">
        <v>65.406000000000006</v>
      </c>
      <c r="J1815">
        <v>77.313000000000002</v>
      </c>
      <c r="K1815">
        <v>11.906000000000001</v>
      </c>
      <c r="L1815">
        <v>21</v>
      </c>
      <c r="M1815">
        <v>3</v>
      </c>
      <c r="N1815">
        <v>8</v>
      </c>
      <c r="O1815">
        <v>76.796999999999997</v>
      </c>
      <c r="P1815">
        <v>11.292982439999999</v>
      </c>
      <c r="Q1815">
        <v>18.617000000000001</v>
      </c>
    </row>
    <row r="1816" spans="1:17" x14ac:dyDescent="0.2">
      <c r="A1816" s="30" t="str">
        <f>IF(C1816&amp;G1816&amp;D1816&lt;&gt;'Funnel setup'!$K$3&amp;'Funnel setup'!$K$4&amp;'Funnel setup'!$K$5,".",IF(A1815=".",1,A1815+1))</f>
        <v>.</v>
      </c>
      <c r="B1816" s="431" t="str">
        <f t="shared" si="28"/>
        <v>Hip Replacement PrimaryProviderSPIRE BRISTOL HOSPITAL (NT302)EQ VAS</v>
      </c>
      <c r="C1816" t="s">
        <v>248</v>
      </c>
      <c r="D1816" t="s">
        <v>1</v>
      </c>
      <c r="E1816" t="s">
        <v>4381</v>
      </c>
      <c r="F1816" t="s">
        <v>4382</v>
      </c>
      <c r="G1816" t="s">
        <v>179</v>
      </c>
      <c r="H1816">
        <v>87</v>
      </c>
      <c r="I1816">
        <v>72.08</v>
      </c>
      <c r="J1816">
        <v>81.759</v>
      </c>
      <c r="K1816">
        <v>9.6780000000000008</v>
      </c>
      <c r="L1816">
        <v>56</v>
      </c>
      <c r="M1816">
        <v>15</v>
      </c>
      <c r="N1816">
        <v>16</v>
      </c>
      <c r="O1816">
        <v>77.838999999999999</v>
      </c>
      <c r="P1816">
        <v>12.335165699999999</v>
      </c>
      <c r="Q1816">
        <v>12.843999999999999</v>
      </c>
    </row>
    <row r="1817" spans="1:17" x14ac:dyDescent="0.2">
      <c r="A1817" s="30" t="str">
        <f>IF(C1817&amp;G1817&amp;D1817&lt;&gt;'Funnel setup'!$K$3&amp;'Funnel setup'!$K$4&amp;'Funnel setup'!$K$5,".",IF(A1816=".",1,A1816+1))</f>
        <v>.</v>
      </c>
      <c r="B1817" s="431" t="str">
        <f t="shared" si="28"/>
        <v>Hip Replacement PrimaryProviderSPIRE BUSHEY HOSPITAL (NT315)EQ VAS</v>
      </c>
      <c r="C1817" t="s">
        <v>248</v>
      </c>
      <c r="D1817" t="s">
        <v>1</v>
      </c>
      <c r="E1817" t="s">
        <v>4364</v>
      </c>
      <c r="F1817" t="s">
        <v>4365</v>
      </c>
      <c r="G1817" t="s">
        <v>179</v>
      </c>
      <c r="H1817">
        <v>14</v>
      </c>
      <c r="I1817">
        <v>69.070999999999998</v>
      </c>
      <c r="J1817">
        <v>85.213999999999999</v>
      </c>
      <c r="K1817">
        <v>16.143000000000001</v>
      </c>
      <c r="L1817">
        <v>10</v>
      </c>
      <c r="M1817">
        <v>0</v>
      </c>
      <c r="N1817">
        <v>4</v>
      </c>
      <c r="O1817" t="s">
        <v>53</v>
      </c>
      <c r="P1817" t="s">
        <v>53</v>
      </c>
      <c r="Q1817" t="s">
        <v>53</v>
      </c>
    </row>
    <row r="1818" spans="1:17" x14ac:dyDescent="0.2">
      <c r="A1818" s="30" t="str">
        <f>IF(C1818&amp;G1818&amp;D1818&lt;&gt;'Funnel setup'!$K$3&amp;'Funnel setup'!$K$4&amp;'Funnel setup'!$K$5,".",IF(A1817=".",1,A1817+1))</f>
        <v>.</v>
      </c>
      <c r="B1818" s="431" t="str">
        <f t="shared" si="28"/>
        <v>Hip Replacement PrimaryProviderSPIRE CAMBRIDGE LEA HOSPITAL (NT317)EQ VAS</v>
      </c>
      <c r="C1818" t="s">
        <v>248</v>
      </c>
      <c r="D1818" t="s">
        <v>1</v>
      </c>
      <c r="E1818" t="s">
        <v>3436</v>
      </c>
      <c r="F1818" t="s">
        <v>3437</v>
      </c>
      <c r="G1818" t="s">
        <v>179</v>
      </c>
      <c r="H1818">
        <v>55</v>
      </c>
      <c r="I1818">
        <v>70.072999999999993</v>
      </c>
      <c r="J1818">
        <v>85.344999999999999</v>
      </c>
      <c r="K1818">
        <v>15.273</v>
      </c>
      <c r="L1818">
        <v>42</v>
      </c>
      <c r="M1818">
        <v>7</v>
      </c>
      <c r="N1818">
        <v>6</v>
      </c>
      <c r="O1818">
        <v>80.908000000000001</v>
      </c>
      <c r="P1818">
        <v>15.403393940000001</v>
      </c>
      <c r="Q1818">
        <v>12.371</v>
      </c>
    </row>
    <row r="1819" spans="1:17" x14ac:dyDescent="0.2">
      <c r="A1819" s="30" t="str">
        <f>IF(C1819&amp;G1819&amp;D1819&lt;&gt;'Funnel setup'!$K$3&amp;'Funnel setup'!$K$4&amp;'Funnel setup'!$K$5,".",IF(A1818=".",1,A1818+1))</f>
        <v>.</v>
      </c>
      <c r="B1819" s="431" t="str">
        <f t="shared" si="28"/>
        <v>Hip Replacement PrimaryProviderSPIRE CHESHIRE HOSPITAL (NT324)EQ VAS</v>
      </c>
      <c r="C1819" t="s">
        <v>248</v>
      </c>
      <c r="D1819" t="s">
        <v>1</v>
      </c>
      <c r="E1819" t="s">
        <v>3439</v>
      </c>
      <c r="F1819" t="s">
        <v>3440</v>
      </c>
      <c r="G1819" t="s">
        <v>179</v>
      </c>
      <c r="H1819">
        <v>62</v>
      </c>
      <c r="I1819">
        <v>64.225999999999999</v>
      </c>
      <c r="J1819">
        <v>78.5</v>
      </c>
      <c r="K1819">
        <v>14.273999999999999</v>
      </c>
      <c r="L1819">
        <v>42</v>
      </c>
      <c r="M1819">
        <v>12</v>
      </c>
      <c r="N1819">
        <v>8</v>
      </c>
      <c r="O1819">
        <v>76.896000000000001</v>
      </c>
      <c r="P1819">
        <v>11.39120142</v>
      </c>
      <c r="Q1819">
        <v>16.035</v>
      </c>
    </row>
    <row r="1820" spans="1:17" x14ac:dyDescent="0.2">
      <c r="A1820" s="30" t="str">
        <f>IF(C1820&amp;G1820&amp;D1820&lt;&gt;'Funnel setup'!$K$3&amp;'Funnel setup'!$K$4&amp;'Funnel setup'!$K$5,".",IF(A1819=".",1,A1819+1))</f>
        <v>.</v>
      </c>
      <c r="B1820" s="431" t="str">
        <f t="shared" si="28"/>
        <v>Hip Replacement PrimaryProviderSPIRE CLARE PARK HOSPITAL (NT345)EQ VAS</v>
      </c>
      <c r="C1820" t="s">
        <v>248</v>
      </c>
      <c r="D1820" t="s">
        <v>1</v>
      </c>
      <c r="E1820" t="s">
        <v>3412</v>
      </c>
      <c r="F1820" t="s">
        <v>3413</v>
      </c>
      <c r="G1820" t="s">
        <v>179</v>
      </c>
      <c r="H1820">
        <v>39</v>
      </c>
      <c r="I1820">
        <v>72.204999999999998</v>
      </c>
      <c r="J1820">
        <v>82.897000000000006</v>
      </c>
      <c r="K1820">
        <v>10.692</v>
      </c>
      <c r="L1820">
        <v>25</v>
      </c>
      <c r="M1820">
        <v>9</v>
      </c>
      <c r="N1820">
        <v>5</v>
      </c>
      <c r="O1820">
        <v>78.676000000000002</v>
      </c>
      <c r="P1820">
        <v>13.172047490000001</v>
      </c>
      <c r="Q1820">
        <v>11.746</v>
      </c>
    </row>
    <row r="1821" spans="1:17" x14ac:dyDescent="0.2">
      <c r="A1821" s="30" t="str">
        <f>IF(C1821&amp;G1821&amp;D1821&lt;&gt;'Funnel setup'!$K$3&amp;'Funnel setup'!$K$4&amp;'Funnel setup'!$K$5,".",IF(A1820=".",1,A1820+1))</f>
        <v>.</v>
      </c>
      <c r="B1821" s="431" t="str">
        <f t="shared" si="28"/>
        <v>Hip Replacement PrimaryProviderSPIRE DUNEDIN HOSPITAL (NT344)EQ VAS</v>
      </c>
      <c r="C1821" t="s">
        <v>248</v>
      </c>
      <c r="D1821" t="s">
        <v>1</v>
      </c>
      <c r="E1821" t="s">
        <v>3415</v>
      </c>
      <c r="F1821" t="s">
        <v>3416</v>
      </c>
      <c r="G1821" t="s">
        <v>179</v>
      </c>
      <c r="H1821">
        <v>15</v>
      </c>
      <c r="I1821">
        <v>76.266999999999996</v>
      </c>
      <c r="J1821">
        <v>83.867000000000004</v>
      </c>
      <c r="K1821">
        <v>7.6</v>
      </c>
      <c r="L1821">
        <v>7</v>
      </c>
      <c r="M1821">
        <v>4</v>
      </c>
      <c r="N1821">
        <v>4</v>
      </c>
      <c r="O1821" t="s">
        <v>53</v>
      </c>
      <c r="P1821" t="s">
        <v>53</v>
      </c>
      <c r="Q1821" t="s">
        <v>53</v>
      </c>
    </row>
    <row r="1822" spans="1:17" x14ac:dyDescent="0.2">
      <c r="A1822" s="30" t="str">
        <f>IF(C1822&amp;G1822&amp;D1822&lt;&gt;'Funnel setup'!$K$3&amp;'Funnel setup'!$K$4&amp;'Funnel setup'!$K$5,".",IF(A1821=".",1,A1821+1))</f>
        <v>.</v>
      </c>
      <c r="B1822" s="431" t="str">
        <f t="shared" si="28"/>
        <v>Hip Replacement PrimaryProviderSPIRE ELLAND HOSPITAL (NT348)EQ VAS</v>
      </c>
      <c r="C1822" t="s">
        <v>248</v>
      </c>
      <c r="D1822" t="s">
        <v>1</v>
      </c>
      <c r="E1822" t="s">
        <v>3418</v>
      </c>
      <c r="F1822" t="s">
        <v>3419</v>
      </c>
      <c r="G1822" t="s">
        <v>179</v>
      </c>
      <c r="H1822">
        <v>45</v>
      </c>
      <c r="I1822">
        <v>55.8</v>
      </c>
      <c r="J1822">
        <v>78.043999999999997</v>
      </c>
      <c r="K1822">
        <v>22.244</v>
      </c>
      <c r="L1822">
        <v>38</v>
      </c>
      <c r="M1822">
        <v>2</v>
      </c>
      <c r="N1822">
        <v>5</v>
      </c>
      <c r="O1822">
        <v>78.616</v>
      </c>
      <c r="P1822">
        <v>13.11200234</v>
      </c>
      <c r="Q1822">
        <v>14.853</v>
      </c>
    </row>
    <row r="1823" spans="1:17" x14ac:dyDescent="0.2">
      <c r="A1823" s="30" t="str">
        <f>IF(C1823&amp;G1823&amp;D1823&lt;&gt;'Funnel setup'!$K$3&amp;'Funnel setup'!$K$4&amp;'Funnel setup'!$K$5,".",IF(A1822=".",1,A1822+1))</f>
        <v>.</v>
      </c>
      <c r="B1823" s="431" t="str">
        <f t="shared" si="28"/>
        <v>Hip Replacement PrimaryProviderSPIRE FYLDE COAST HOSPITAL (NT347)EQ VAS</v>
      </c>
      <c r="C1823" t="s">
        <v>248</v>
      </c>
      <c r="D1823" t="s">
        <v>1</v>
      </c>
      <c r="E1823" t="s">
        <v>4370</v>
      </c>
      <c r="F1823" t="s">
        <v>4371</v>
      </c>
      <c r="G1823" t="s">
        <v>179</v>
      </c>
      <c r="H1823">
        <v>71</v>
      </c>
      <c r="I1823">
        <v>65.549000000000007</v>
      </c>
      <c r="J1823">
        <v>76.760999999999996</v>
      </c>
      <c r="K1823">
        <v>11.211</v>
      </c>
      <c r="L1823">
        <v>46</v>
      </c>
      <c r="M1823">
        <v>3</v>
      </c>
      <c r="N1823">
        <v>22</v>
      </c>
      <c r="O1823">
        <v>76.600999999999999</v>
      </c>
      <c r="P1823">
        <v>11.09682855</v>
      </c>
      <c r="Q1823">
        <v>16.355</v>
      </c>
    </row>
    <row r="1824" spans="1:17" x14ac:dyDescent="0.2">
      <c r="A1824" s="30" t="str">
        <f>IF(C1824&amp;G1824&amp;D1824&lt;&gt;'Funnel setup'!$K$3&amp;'Funnel setup'!$K$4&amp;'Funnel setup'!$K$5,".",IF(A1823=".",1,A1823+1))</f>
        <v>.</v>
      </c>
      <c r="B1824" s="431" t="str">
        <f t="shared" si="28"/>
        <v>Hip Replacement PrimaryProviderSPIRE GATWICK PARK HOSPITAL (NT308)EQ VAS</v>
      </c>
      <c r="C1824" t="s">
        <v>248</v>
      </c>
      <c r="D1824" t="s">
        <v>1</v>
      </c>
      <c r="E1824" t="s">
        <v>3409</v>
      </c>
      <c r="F1824" t="s">
        <v>3410</v>
      </c>
      <c r="G1824" t="s">
        <v>179</v>
      </c>
      <c r="H1824">
        <v>87</v>
      </c>
      <c r="I1824">
        <v>69.908000000000001</v>
      </c>
      <c r="J1824">
        <v>81.23</v>
      </c>
      <c r="K1824">
        <v>11.321999999999999</v>
      </c>
      <c r="L1824">
        <v>60</v>
      </c>
      <c r="M1824">
        <v>7</v>
      </c>
      <c r="N1824">
        <v>20</v>
      </c>
      <c r="O1824">
        <v>78.340999999999994</v>
      </c>
      <c r="P1824">
        <v>12.837026059999999</v>
      </c>
      <c r="Q1824">
        <v>13.574</v>
      </c>
    </row>
    <row r="1825" spans="1:17" x14ac:dyDescent="0.2">
      <c r="A1825" s="30" t="str">
        <f>IF(C1825&amp;G1825&amp;D1825&lt;&gt;'Funnel setup'!$K$3&amp;'Funnel setup'!$K$4&amp;'Funnel setup'!$K$5,".",IF(A1824=".",1,A1824+1))</f>
        <v>.</v>
      </c>
      <c r="B1825" s="431" t="str">
        <f t="shared" si="28"/>
        <v>Hip Replacement PrimaryProviderSPIRE HARPENDEN HOSPITAL (NT316)EQ VAS</v>
      </c>
      <c r="C1825" t="s">
        <v>248</v>
      </c>
      <c r="D1825" t="s">
        <v>1</v>
      </c>
      <c r="E1825" t="s">
        <v>4267</v>
      </c>
      <c r="F1825" t="s">
        <v>4268</v>
      </c>
      <c r="G1825" t="s">
        <v>179</v>
      </c>
      <c r="H1825">
        <v>61</v>
      </c>
      <c r="I1825">
        <v>66.081999999999994</v>
      </c>
      <c r="J1825">
        <v>82.262</v>
      </c>
      <c r="K1825">
        <v>16.18</v>
      </c>
      <c r="L1825">
        <v>49</v>
      </c>
      <c r="M1825">
        <v>6</v>
      </c>
      <c r="N1825">
        <v>6</v>
      </c>
      <c r="O1825">
        <v>79.941999999999993</v>
      </c>
      <c r="P1825">
        <v>14.437517769999999</v>
      </c>
      <c r="Q1825">
        <v>11.907999999999999</v>
      </c>
    </row>
    <row r="1826" spans="1:17" x14ac:dyDescent="0.2">
      <c r="A1826" s="30" t="str">
        <f>IF(C1826&amp;G1826&amp;D1826&lt;&gt;'Funnel setup'!$K$3&amp;'Funnel setup'!$K$4&amp;'Funnel setup'!$K$5,".",IF(A1825=".",1,A1825+1))</f>
        <v>.</v>
      </c>
      <c r="B1826" s="431" t="str">
        <f t="shared" si="28"/>
        <v>Hip Replacement PrimaryProviderSPIRE HARTSWOOD HOSPITAL (NT319)EQ VAS</v>
      </c>
      <c r="C1826" t="s">
        <v>248</v>
      </c>
      <c r="D1826" t="s">
        <v>1</v>
      </c>
      <c r="E1826" t="s">
        <v>3210</v>
      </c>
      <c r="F1826" t="s">
        <v>3211</v>
      </c>
      <c r="G1826" t="s">
        <v>179</v>
      </c>
      <c r="H1826">
        <v>8</v>
      </c>
      <c r="I1826">
        <v>66.875</v>
      </c>
      <c r="J1826">
        <v>73.75</v>
      </c>
      <c r="K1826">
        <v>6.875</v>
      </c>
      <c r="L1826">
        <v>4</v>
      </c>
      <c r="M1826">
        <v>3</v>
      </c>
      <c r="N1826">
        <v>1</v>
      </c>
      <c r="O1826" t="s">
        <v>53</v>
      </c>
      <c r="P1826" t="s">
        <v>53</v>
      </c>
      <c r="Q1826" t="s">
        <v>53</v>
      </c>
    </row>
    <row r="1827" spans="1:17" x14ac:dyDescent="0.2">
      <c r="A1827" s="30" t="str">
        <f>IF(C1827&amp;G1827&amp;D1827&lt;&gt;'Funnel setup'!$K$3&amp;'Funnel setup'!$K$4&amp;'Funnel setup'!$K$5,".",IF(A1826=".",1,A1826+1))</f>
        <v>.</v>
      </c>
      <c r="B1827" s="431" t="str">
        <f t="shared" si="28"/>
        <v>Hip Replacement PrimaryProviderSPIRE HULL AND EAST RIDING HOSPITAL (NT351)EQ VAS</v>
      </c>
      <c r="C1827" t="s">
        <v>248</v>
      </c>
      <c r="D1827" t="s">
        <v>1</v>
      </c>
      <c r="E1827" t="s">
        <v>3213</v>
      </c>
      <c r="F1827" t="s">
        <v>3214</v>
      </c>
      <c r="G1827" t="s">
        <v>179</v>
      </c>
      <c r="H1827">
        <v>149</v>
      </c>
      <c r="I1827">
        <v>62.369</v>
      </c>
      <c r="J1827">
        <v>79.638000000000005</v>
      </c>
      <c r="K1827">
        <v>17.268000000000001</v>
      </c>
      <c r="L1827">
        <v>111</v>
      </c>
      <c r="M1827">
        <v>14</v>
      </c>
      <c r="N1827">
        <v>24</v>
      </c>
      <c r="O1827">
        <v>78.954999999999998</v>
      </c>
      <c r="P1827">
        <v>13.45087286</v>
      </c>
      <c r="Q1827">
        <v>14.64</v>
      </c>
    </row>
    <row r="1828" spans="1:17" x14ac:dyDescent="0.2">
      <c r="A1828" s="30" t="str">
        <f>IF(C1828&amp;G1828&amp;D1828&lt;&gt;'Funnel setup'!$K$3&amp;'Funnel setup'!$K$4&amp;'Funnel setup'!$K$5,".",IF(A1827=".",1,A1827+1))</f>
        <v>.</v>
      </c>
      <c r="B1828" s="431" t="str">
        <f t="shared" si="28"/>
        <v>Hip Replacement PrimaryProviderSPIRE LEEDS HOSPITAL (NT332)EQ VAS</v>
      </c>
      <c r="C1828" t="s">
        <v>248</v>
      </c>
      <c r="D1828" t="s">
        <v>1</v>
      </c>
      <c r="E1828" t="s">
        <v>3198</v>
      </c>
      <c r="F1828" t="s">
        <v>3199</v>
      </c>
      <c r="G1828" t="s">
        <v>179</v>
      </c>
      <c r="H1828">
        <v>74</v>
      </c>
      <c r="I1828">
        <v>68.796999999999997</v>
      </c>
      <c r="J1828">
        <v>78.784000000000006</v>
      </c>
      <c r="K1828">
        <v>9.9860000000000007</v>
      </c>
      <c r="L1828">
        <v>45</v>
      </c>
      <c r="M1828">
        <v>8</v>
      </c>
      <c r="N1828">
        <v>21</v>
      </c>
      <c r="O1828">
        <v>76.673000000000002</v>
      </c>
      <c r="P1828">
        <v>11.16848315</v>
      </c>
      <c r="Q1828">
        <v>12.468</v>
      </c>
    </row>
    <row r="1829" spans="1:17" x14ac:dyDescent="0.2">
      <c r="A1829" s="30" t="str">
        <f>IF(C1829&amp;G1829&amp;D1829&lt;&gt;'Funnel setup'!$K$3&amp;'Funnel setup'!$K$4&amp;'Funnel setup'!$K$5,".",IF(A1828=".",1,A1828+1))</f>
        <v>.</v>
      </c>
      <c r="B1829" s="431" t="str">
        <f t="shared" si="28"/>
        <v>Hip Replacement PrimaryProviderSPIRE LEICESTER HOSPITAL (NT322)EQ VAS</v>
      </c>
      <c r="C1829" t="s">
        <v>248</v>
      </c>
      <c r="D1829" t="s">
        <v>1</v>
      </c>
      <c r="E1829" t="s">
        <v>3201</v>
      </c>
      <c r="F1829" t="s">
        <v>3202</v>
      </c>
      <c r="G1829" t="s">
        <v>179</v>
      </c>
      <c r="H1829">
        <v>86</v>
      </c>
      <c r="I1829">
        <v>68.477000000000004</v>
      </c>
      <c r="J1829">
        <v>81.686000000000007</v>
      </c>
      <c r="K1829">
        <v>13.209</v>
      </c>
      <c r="L1829">
        <v>56</v>
      </c>
      <c r="M1829">
        <v>11</v>
      </c>
      <c r="N1829">
        <v>19</v>
      </c>
      <c r="O1829">
        <v>79.652000000000001</v>
      </c>
      <c r="P1829">
        <v>14.148154160000001</v>
      </c>
      <c r="Q1829">
        <v>13.178000000000001</v>
      </c>
    </row>
    <row r="1830" spans="1:17" x14ac:dyDescent="0.2">
      <c r="A1830" s="30" t="str">
        <f>IF(C1830&amp;G1830&amp;D1830&lt;&gt;'Funnel setup'!$K$3&amp;'Funnel setup'!$K$4&amp;'Funnel setup'!$K$5,".",IF(A1829=".",1,A1829+1))</f>
        <v>.</v>
      </c>
      <c r="B1830" s="431" t="str">
        <f t="shared" si="28"/>
        <v>Hip Replacement PrimaryProviderSPIRE LITTLE ASTON HOSPITAL (NT321)EQ VAS</v>
      </c>
      <c r="C1830" t="s">
        <v>248</v>
      </c>
      <c r="D1830" t="s">
        <v>1</v>
      </c>
      <c r="E1830" t="s">
        <v>3921</v>
      </c>
      <c r="F1830" t="s">
        <v>3922</v>
      </c>
      <c r="G1830" t="s">
        <v>179</v>
      </c>
      <c r="H1830">
        <v>73</v>
      </c>
      <c r="I1830">
        <v>64.177999999999997</v>
      </c>
      <c r="J1830">
        <v>75.903999999999996</v>
      </c>
      <c r="K1830">
        <v>11.726000000000001</v>
      </c>
      <c r="L1830">
        <v>47</v>
      </c>
      <c r="M1830">
        <v>12</v>
      </c>
      <c r="N1830">
        <v>14</v>
      </c>
      <c r="O1830">
        <v>76.450999999999993</v>
      </c>
      <c r="P1830">
        <v>10.9470916</v>
      </c>
      <c r="Q1830">
        <v>16.678999999999998</v>
      </c>
    </row>
    <row r="1831" spans="1:17" x14ac:dyDescent="0.2">
      <c r="A1831" s="30" t="str">
        <f>IF(C1831&amp;G1831&amp;D1831&lt;&gt;'Funnel setup'!$K$3&amp;'Funnel setup'!$K$4&amp;'Funnel setup'!$K$5,".",IF(A1830=".",1,A1830+1))</f>
        <v>.</v>
      </c>
      <c r="B1831" s="431" t="str">
        <f t="shared" si="28"/>
        <v>Hip Replacement PrimaryProviderSPIRE LIVERPOOL HOSPITAL (NT337)EQ VAS</v>
      </c>
      <c r="C1831" t="s">
        <v>248</v>
      </c>
      <c r="D1831" t="s">
        <v>1</v>
      </c>
      <c r="E1831" t="s">
        <v>3927</v>
      </c>
      <c r="F1831" t="s">
        <v>3928</v>
      </c>
      <c r="G1831" t="s">
        <v>179</v>
      </c>
      <c r="H1831">
        <v>46</v>
      </c>
      <c r="I1831">
        <v>71.674000000000007</v>
      </c>
      <c r="J1831">
        <v>84</v>
      </c>
      <c r="K1831">
        <v>12.326000000000001</v>
      </c>
      <c r="L1831">
        <v>27</v>
      </c>
      <c r="M1831">
        <v>6</v>
      </c>
      <c r="N1831">
        <v>13</v>
      </c>
      <c r="O1831">
        <v>81.442999999999998</v>
      </c>
      <c r="P1831">
        <v>15.9382486</v>
      </c>
      <c r="Q1831">
        <v>11.733000000000001</v>
      </c>
    </row>
    <row r="1832" spans="1:17" x14ac:dyDescent="0.2">
      <c r="A1832" s="30" t="str">
        <f>IF(C1832&amp;G1832&amp;D1832&lt;&gt;'Funnel setup'!$K$3&amp;'Funnel setup'!$K$4&amp;'Funnel setup'!$K$5,".",IF(A1831=".",1,A1831+1))</f>
        <v>.</v>
      </c>
      <c r="B1832" s="431" t="str">
        <f t="shared" si="28"/>
        <v>Hip Replacement PrimaryProviderSPIRE MANCHESTER HOSPITAL (NT327)EQ VAS</v>
      </c>
      <c r="C1832" t="s">
        <v>248</v>
      </c>
      <c r="D1832" t="s">
        <v>1</v>
      </c>
      <c r="E1832" t="s">
        <v>3154</v>
      </c>
      <c r="F1832" t="s">
        <v>3155</v>
      </c>
      <c r="G1832" t="s">
        <v>179</v>
      </c>
      <c r="H1832">
        <v>15</v>
      </c>
      <c r="I1832">
        <v>68.266999999999996</v>
      </c>
      <c r="J1832">
        <v>80.066999999999993</v>
      </c>
      <c r="K1832">
        <v>11.8</v>
      </c>
      <c r="L1832">
        <v>11</v>
      </c>
      <c r="M1832">
        <v>1</v>
      </c>
      <c r="N1832">
        <v>3</v>
      </c>
      <c r="O1832" t="s">
        <v>53</v>
      </c>
      <c r="P1832" t="s">
        <v>53</v>
      </c>
      <c r="Q1832" t="s">
        <v>53</v>
      </c>
    </row>
    <row r="1833" spans="1:17" x14ac:dyDescent="0.2">
      <c r="A1833" s="30" t="str">
        <f>IF(C1833&amp;G1833&amp;D1833&lt;&gt;'Funnel setup'!$K$3&amp;'Funnel setup'!$K$4&amp;'Funnel setup'!$K$5,".",IF(A1832=".",1,A1832+1))</f>
        <v>.</v>
      </c>
      <c r="B1833" s="431" t="str">
        <f t="shared" si="28"/>
        <v>Hip Replacement PrimaryProviderSPIRE METHLEY PARK HOSPITAL (NT350)EQ VAS</v>
      </c>
      <c r="C1833" t="s">
        <v>248</v>
      </c>
      <c r="D1833" t="s">
        <v>1</v>
      </c>
      <c r="E1833" t="s">
        <v>3157</v>
      </c>
      <c r="F1833" t="s">
        <v>3158</v>
      </c>
      <c r="G1833" t="s">
        <v>179</v>
      </c>
      <c r="H1833">
        <v>57</v>
      </c>
      <c r="I1833">
        <v>61.737000000000002</v>
      </c>
      <c r="J1833">
        <v>77.456000000000003</v>
      </c>
      <c r="K1833">
        <v>15.718999999999999</v>
      </c>
      <c r="L1833">
        <v>42</v>
      </c>
      <c r="M1833">
        <v>5</v>
      </c>
      <c r="N1833">
        <v>10</v>
      </c>
      <c r="O1833">
        <v>77.7</v>
      </c>
      <c r="P1833">
        <v>12.195766040000001</v>
      </c>
      <c r="Q1833">
        <v>13.439</v>
      </c>
    </row>
    <row r="1834" spans="1:17" x14ac:dyDescent="0.2">
      <c r="A1834" s="30" t="str">
        <f>IF(C1834&amp;G1834&amp;D1834&lt;&gt;'Funnel setup'!$K$3&amp;'Funnel setup'!$K$4&amp;'Funnel setup'!$K$5,".",IF(A1833=".",1,A1833+1))</f>
        <v>.</v>
      </c>
      <c r="B1834" s="431" t="str">
        <f t="shared" si="28"/>
        <v>Hip Replacement PrimaryProviderSPIRE MONTEFIORE HOSPITAL (NT364)EQ VAS</v>
      </c>
      <c r="C1834" t="s">
        <v>248</v>
      </c>
      <c r="D1834" t="s">
        <v>1</v>
      </c>
      <c r="E1834" t="s">
        <v>3160</v>
      </c>
      <c r="F1834" t="s">
        <v>3161</v>
      </c>
      <c r="G1834" t="s">
        <v>179</v>
      </c>
      <c r="H1834">
        <v>53</v>
      </c>
      <c r="I1834">
        <v>69.471999999999994</v>
      </c>
      <c r="J1834">
        <v>80.396000000000001</v>
      </c>
      <c r="K1834">
        <v>10.925000000000001</v>
      </c>
      <c r="L1834">
        <v>38</v>
      </c>
      <c r="M1834">
        <v>7</v>
      </c>
      <c r="N1834">
        <v>8</v>
      </c>
      <c r="O1834">
        <v>77.876000000000005</v>
      </c>
      <c r="P1834">
        <v>12.37138189</v>
      </c>
      <c r="Q1834">
        <v>11.75</v>
      </c>
    </row>
    <row r="1835" spans="1:17" x14ac:dyDescent="0.2">
      <c r="A1835" s="30" t="str">
        <f>IF(C1835&amp;G1835&amp;D1835&lt;&gt;'Funnel setup'!$K$3&amp;'Funnel setup'!$K$4&amp;'Funnel setup'!$K$5,".",IF(A1834=".",1,A1834+1))</f>
        <v>.</v>
      </c>
      <c r="B1835" s="431" t="str">
        <f t="shared" si="28"/>
        <v>Hip Replacement PrimaryProviderSPIRE MURRAYFIELD HOSPITAL (NT325)EQ VAS</v>
      </c>
      <c r="C1835" t="s">
        <v>248</v>
      </c>
      <c r="D1835" t="s">
        <v>1</v>
      </c>
      <c r="E1835" t="s">
        <v>3163</v>
      </c>
      <c r="F1835" t="s">
        <v>3164</v>
      </c>
      <c r="G1835" t="s">
        <v>179</v>
      </c>
      <c r="H1835">
        <v>61</v>
      </c>
      <c r="I1835">
        <v>72.23</v>
      </c>
      <c r="J1835">
        <v>80.966999999999999</v>
      </c>
      <c r="K1835">
        <v>8.7379999999999995</v>
      </c>
      <c r="L1835">
        <v>33</v>
      </c>
      <c r="M1835">
        <v>14</v>
      </c>
      <c r="N1835">
        <v>14</v>
      </c>
      <c r="O1835">
        <v>78.903000000000006</v>
      </c>
      <c r="P1835">
        <v>13.399150819999999</v>
      </c>
      <c r="Q1835">
        <v>13.026999999999999</v>
      </c>
    </row>
    <row r="1836" spans="1:17" x14ac:dyDescent="0.2">
      <c r="A1836" s="30" t="str">
        <f>IF(C1836&amp;G1836&amp;D1836&lt;&gt;'Funnel setup'!$K$3&amp;'Funnel setup'!$K$4&amp;'Funnel setup'!$K$5,".",IF(A1835=".",1,A1835+1))</f>
        <v>.</v>
      </c>
      <c r="B1836" s="431" t="str">
        <f t="shared" si="28"/>
        <v>Hip Replacement PrimaryProviderSPIRE NORWICH HOSPITAL (NT318)EQ VAS</v>
      </c>
      <c r="C1836" t="s">
        <v>248</v>
      </c>
      <c r="D1836" t="s">
        <v>1</v>
      </c>
      <c r="E1836" t="s">
        <v>4251</v>
      </c>
      <c r="F1836" t="s">
        <v>4252</v>
      </c>
      <c r="G1836" t="s">
        <v>179</v>
      </c>
      <c r="H1836">
        <v>238</v>
      </c>
      <c r="I1836">
        <v>71.319000000000003</v>
      </c>
      <c r="J1836">
        <v>81.777000000000001</v>
      </c>
      <c r="K1836">
        <v>10.458</v>
      </c>
      <c r="L1836">
        <v>143</v>
      </c>
      <c r="M1836">
        <v>33</v>
      </c>
      <c r="N1836">
        <v>62</v>
      </c>
      <c r="O1836">
        <v>79.114999999999995</v>
      </c>
      <c r="P1836">
        <v>13.61102509</v>
      </c>
      <c r="Q1836">
        <v>12.651999999999999</v>
      </c>
    </row>
    <row r="1837" spans="1:17" x14ac:dyDescent="0.2">
      <c r="A1837" s="30" t="str">
        <f>IF(C1837&amp;G1837&amp;D1837&lt;&gt;'Funnel setup'!$K$3&amp;'Funnel setup'!$K$4&amp;'Funnel setup'!$K$5,".",IF(A1836=".",1,A1836+1))</f>
        <v>.</v>
      </c>
      <c r="B1837" s="431" t="str">
        <f t="shared" si="28"/>
        <v>Hip Replacement PrimaryProviderSPIRE PARKWAY HOSPITAL (NT320)EQ VAS</v>
      </c>
      <c r="C1837" t="s">
        <v>248</v>
      </c>
      <c r="D1837" t="s">
        <v>1</v>
      </c>
      <c r="E1837" t="s">
        <v>3166</v>
      </c>
      <c r="F1837" t="s">
        <v>3167</v>
      </c>
      <c r="G1837" t="s">
        <v>179</v>
      </c>
      <c r="H1837">
        <v>75</v>
      </c>
      <c r="I1837">
        <v>61.933</v>
      </c>
      <c r="J1837">
        <v>79.680000000000007</v>
      </c>
      <c r="K1837">
        <v>17.747</v>
      </c>
      <c r="L1837">
        <v>61</v>
      </c>
      <c r="M1837">
        <v>4</v>
      </c>
      <c r="N1837">
        <v>10</v>
      </c>
      <c r="O1837">
        <v>78.16</v>
      </c>
      <c r="P1837">
        <v>12.655923570000001</v>
      </c>
      <c r="Q1837">
        <v>16.48</v>
      </c>
    </row>
    <row r="1838" spans="1:17" x14ac:dyDescent="0.2">
      <c r="A1838" s="30" t="str">
        <f>IF(C1838&amp;G1838&amp;D1838&lt;&gt;'Funnel setup'!$K$3&amp;'Funnel setup'!$K$4&amp;'Funnel setup'!$K$5,".",IF(A1837=".",1,A1837+1))</f>
        <v>.</v>
      </c>
      <c r="B1838" s="431" t="str">
        <f t="shared" si="28"/>
        <v>Hip Replacement PrimaryProviderSPIRE PORTSMOUTH HOSPITAL (NT305)EQ VAS</v>
      </c>
      <c r="C1838" t="s">
        <v>248</v>
      </c>
      <c r="D1838" t="s">
        <v>1</v>
      </c>
      <c r="E1838" t="s">
        <v>3169</v>
      </c>
      <c r="F1838" t="s">
        <v>340</v>
      </c>
      <c r="G1838" t="s">
        <v>179</v>
      </c>
      <c r="H1838">
        <v>100</v>
      </c>
      <c r="I1838">
        <v>73.94</v>
      </c>
      <c r="J1838">
        <v>81.599999999999994</v>
      </c>
      <c r="K1838">
        <v>7.66</v>
      </c>
      <c r="L1838">
        <v>60</v>
      </c>
      <c r="M1838">
        <v>12</v>
      </c>
      <c r="N1838">
        <v>28</v>
      </c>
      <c r="O1838">
        <v>77.966999999999999</v>
      </c>
      <c r="P1838">
        <v>12.46231365</v>
      </c>
      <c r="Q1838">
        <v>12.590999999999999</v>
      </c>
    </row>
    <row r="1839" spans="1:17" x14ac:dyDescent="0.2">
      <c r="A1839" s="30" t="str">
        <f>IF(C1839&amp;G1839&amp;D1839&lt;&gt;'Funnel setup'!$K$3&amp;'Funnel setup'!$K$4&amp;'Funnel setup'!$K$5,".",IF(A1838=".",1,A1838+1))</f>
        <v>.</v>
      </c>
      <c r="B1839" s="431" t="str">
        <f t="shared" si="28"/>
        <v>Hip Replacement PrimaryProviderSPIRE REGENCY HOSPITAL (NT339)EQ VAS</v>
      </c>
      <c r="C1839" t="s">
        <v>248</v>
      </c>
      <c r="D1839" t="s">
        <v>1</v>
      </c>
      <c r="E1839" t="s">
        <v>3171</v>
      </c>
      <c r="F1839" t="s">
        <v>3172</v>
      </c>
      <c r="G1839" t="s">
        <v>179</v>
      </c>
      <c r="H1839">
        <v>44</v>
      </c>
      <c r="I1839">
        <v>67.454999999999998</v>
      </c>
      <c r="J1839">
        <v>79.340999999999994</v>
      </c>
      <c r="K1839">
        <v>11.885999999999999</v>
      </c>
      <c r="L1839">
        <v>26</v>
      </c>
      <c r="M1839">
        <v>7</v>
      </c>
      <c r="N1839">
        <v>11</v>
      </c>
      <c r="O1839">
        <v>77.287999999999997</v>
      </c>
      <c r="P1839">
        <v>11.783418279999999</v>
      </c>
      <c r="Q1839">
        <v>12.742000000000001</v>
      </c>
    </row>
    <row r="1840" spans="1:17" x14ac:dyDescent="0.2">
      <c r="A1840" s="30" t="str">
        <f>IF(C1840&amp;G1840&amp;D1840&lt;&gt;'Funnel setup'!$K$3&amp;'Funnel setup'!$K$4&amp;'Funnel setup'!$K$5,".",IF(A1839=".",1,A1839+1))</f>
        <v>.</v>
      </c>
      <c r="B1840" s="431" t="str">
        <f t="shared" si="28"/>
        <v>Hip Replacement PrimaryProviderSPIRE RODING HOSPITAL (NT314)EQ VAS</v>
      </c>
      <c r="C1840" t="s">
        <v>248</v>
      </c>
      <c r="D1840" t="s">
        <v>1</v>
      </c>
      <c r="E1840" t="s">
        <v>4254</v>
      </c>
      <c r="F1840" t="s">
        <v>4255</v>
      </c>
      <c r="G1840" t="s">
        <v>179</v>
      </c>
      <c r="H1840">
        <v>12</v>
      </c>
      <c r="I1840">
        <v>71</v>
      </c>
      <c r="J1840">
        <v>80.917000000000002</v>
      </c>
      <c r="K1840">
        <v>9.9169999999999998</v>
      </c>
      <c r="L1840">
        <v>7</v>
      </c>
      <c r="M1840">
        <v>2</v>
      </c>
      <c r="N1840">
        <v>3</v>
      </c>
      <c r="O1840" t="s">
        <v>53</v>
      </c>
      <c r="P1840" t="s">
        <v>53</v>
      </c>
      <c r="Q1840" t="s">
        <v>53</v>
      </c>
    </row>
    <row r="1841" spans="1:17" x14ac:dyDescent="0.2">
      <c r="A1841" s="30" t="str">
        <f>IF(C1841&amp;G1841&amp;D1841&lt;&gt;'Funnel setup'!$K$3&amp;'Funnel setup'!$K$4&amp;'Funnel setup'!$K$5,".",IF(A1840=".",1,A1840+1))</f>
        <v>.</v>
      </c>
      <c r="B1841" s="431" t="str">
        <f t="shared" si="28"/>
        <v>Hip Replacement PrimaryProviderSPIRE SOUTH BANK HOSPITAL (NT301)EQ VAS</v>
      </c>
      <c r="C1841" t="s">
        <v>248</v>
      </c>
      <c r="D1841" t="s">
        <v>1</v>
      </c>
      <c r="E1841" t="s">
        <v>3174</v>
      </c>
      <c r="F1841" t="s">
        <v>3175</v>
      </c>
      <c r="G1841" t="s">
        <v>179</v>
      </c>
      <c r="H1841">
        <v>26</v>
      </c>
      <c r="I1841">
        <v>68.614999999999995</v>
      </c>
      <c r="J1841">
        <v>82.037999999999997</v>
      </c>
      <c r="K1841">
        <v>13.423</v>
      </c>
      <c r="L1841">
        <v>18</v>
      </c>
      <c r="M1841">
        <v>2</v>
      </c>
      <c r="N1841">
        <v>6</v>
      </c>
      <c r="O1841" t="s">
        <v>53</v>
      </c>
      <c r="P1841" t="s">
        <v>53</v>
      </c>
      <c r="Q1841" t="s">
        <v>53</v>
      </c>
    </row>
    <row r="1842" spans="1:17" x14ac:dyDescent="0.2">
      <c r="A1842" s="30" t="str">
        <f>IF(C1842&amp;G1842&amp;D1842&lt;&gt;'Funnel setup'!$K$3&amp;'Funnel setup'!$K$4&amp;'Funnel setup'!$K$5,".",IF(A1841=".",1,A1841+1))</f>
        <v>.</v>
      </c>
      <c r="B1842" s="431" t="str">
        <f t="shared" si="28"/>
        <v>Hip Replacement PrimaryProviderSPIRE ST SAVIOURS HOSPITAL (NT346)EQ VAS</v>
      </c>
      <c r="C1842" t="s">
        <v>248</v>
      </c>
      <c r="D1842" t="s">
        <v>1</v>
      </c>
      <c r="E1842" t="s">
        <v>3177</v>
      </c>
      <c r="F1842" t="s">
        <v>3178</v>
      </c>
      <c r="G1842" t="s">
        <v>179</v>
      </c>
      <c r="H1842">
        <v>21</v>
      </c>
      <c r="I1842">
        <v>72.524000000000001</v>
      </c>
      <c r="J1842">
        <v>84.856999999999999</v>
      </c>
      <c r="K1842">
        <v>12.333</v>
      </c>
      <c r="L1842">
        <v>15</v>
      </c>
      <c r="M1842">
        <v>3</v>
      </c>
      <c r="N1842">
        <v>3</v>
      </c>
      <c r="O1842" t="s">
        <v>53</v>
      </c>
      <c r="P1842" t="s">
        <v>53</v>
      </c>
      <c r="Q1842" t="s">
        <v>53</v>
      </c>
    </row>
    <row r="1843" spans="1:17" x14ac:dyDescent="0.2">
      <c r="A1843" s="30" t="str">
        <f>IF(C1843&amp;G1843&amp;D1843&lt;&gt;'Funnel setup'!$K$3&amp;'Funnel setup'!$K$4&amp;'Funnel setup'!$K$5,".",IF(A1842=".",1,A1842+1))</f>
        <v>.</v>
      </c>
      <c r="B1843" s="431" t="str">
        <f t="shared" si="28"/>
        <v>Hip Replacement PrimaryProviderSPIRE SUSSEX HOSPITAL (NT309)EQ VAS</v>
      </c>
      <c r="C1843" t="s">
        <v>248</v>
      </c>
      <c r="D1843" t="s">
        <v>1</v>
      </c>
      <c r="E1843" t="s">
        <v>3180</v>
      </c>
      <c r="F1843" t="s">
        <v>3181</v>
      </c>
      <c r="G1843" t="s">
        <v>179</v>
      </c>
      <c r="H1843">
        <v>28</v>
      </c>
      <c r="I1843">
        <v>71.179000000000002</v>
      </c>
      <c r="J1843">
        <v>84.606999999999999</v>
      </c>
      <c r="K1843">
        <v>13.429</v>
      </c>
      <c r="L1843">
        <v>23</v>
      </c>
      <c r="M1843">
        <v>2</v>
      </c>
      <c r="N1843">
        <v>3</v>
      </c>
      <c r="O1843" t="s">
        <v>53</v>
      </c>
      <c r="P1843" t="s">
        <v>53</v>
      </c>
      <c r="Q1843" t="s">
        <v>53</v>
      </c>
    </row>
    <row r="1844" spans="1:17" x14ac:dyDescent="0.2">
      <c r="A1844" s="30" t="str">
        <f>IF(C1844&amp;G1844&amp;D1844&lt;&gt;'Funnel setup'!$K$3&amp;'Funnel setup'!$K$4&amp;'Funnel setup'!$K$5,".",IF(A1843=".",1,A1843+1))</f>
        <v>.</v>
      </c>
      <c r="B1844" s="431" t="str">
        <f t="shared" si="28"/>
        <v>Hip Replacement PrimaryProviderSPIRE THAMES VALLEY HOSPITAL (NT343)EQ VAS</v>
      </c>
      <c r="C1844" t="s">
        <v>248</v>
      </c>
      <c r="D1844" t="s">
        <v>1</v>
      </c>
      <c r="E1844" t="s">
        <v>3183</v>
      </c>
      <c r="F1844" t="s">
        <v>3184</v>
      </c>
      <c r="G1844" t="s">
        <v>179</v>
      </c>
      <c r="H1844" t="s">
        <v>53</v>
      </c>
      <c r="I1844" t="s">
        <v>53</v>
      </c>
      <c r="J1844" t="s">
        <v>53</v>
      </c>
      <c r="K1844" t="s">
        <v>53</v>
      </c>
      <c r="L1844" t="s">
        <v>53</v>
      </c>
      <c r="M1844" t="s">
        <v>53</v>
      </c>
      <c r="N1844" t="s">
        <v>53</v>
      </c>
      <c r="O1844" t="s">
        <v>53</v>
      </c>
      <c r="P1844" t="s">
        <v>53</v>
      </c>
      <c r="Q1844" t="s">
        <v>53</v>
      </c>
    </row>
    <row r="1845" spans="1:17" x14ac:dyDescent="0.2">
      <c r="A1845" s="30" t="str">
        <f>IF(C1845&amp;G1845&amp;D1845&lt;&gt;'Funnel setup'!$K$3&amp;'Funnel setup'!$K$4&amp;'Funnel setup'!$K$5,".",IF(A1844=".",1,A1844+1))</f>
        <v>.</v>
      </c>
      <c r="B1845" s="431" t="str">
        <f t="shared" si="28"/>
        <v>Hip Replacement PrimaryProviderSPIRE TUNBRIDGE WELLS HOSPITAL (NT310)EQ VAS</v>
      </c>
      <c r="C1845" t="s">
        <v>248</v>
      </c>
      <c r="D1845" t="s">
        <v>1</v>
      </c>
      <c r="E1845" t="s">
        <v>3186</v>
      </c>
      <c r="F1845" t="s">
        <v>3187</v>
      </c>
      <c r="G1845" t="s">
        <v>179</v>
      </c>
      <c r="H1845" t="s">
        <v>53</v>
      </c>
      <c r="I1845" t="s">
        <v>53</v>
      </c>
      <c r="J1845" t="s">
        <v>53</v>
      </c>
      <c r="K1845" t="s">
        <v>53</v>
      </c>
      <c r="L1845" t="s">
        <v>53</v>
      </c>
      <c r="M1845" t="s">
        <v>53</v>
      </c>
      <c r="N1845" t="s">
        <v>53</v>
      </c>
      <c r="O1845" t="s">
        <v>53</v>
      </c>
      <c r="P1845" t="s">
        <v>53</v>
      </c>
      <c r="Q1845" t="s">
        <v>53</v>
      </c>
    </row>
    <row r="1846" spans="1:17" x14ac:dyDescent="0.2">
      <c r="A1846" s="30" t="str">
        <f>IF(C1846&amp;G1846&amp;D1846&lt;&gt;'Funnel setup'!$K$3&amp;'Funnel setup'!$K$4&amp;'Funnel setup'!$K$5,".",IF(A1845=".",1,A1845+1))</f>
        <v>.</v>
      </c>
      <c r="B1846" s="431" t="str">
        <f t="shared" si="28"/>
        <v>Hip Replacement PrimaryProviderSPIRE WASHINGTON HOSPITAL (NT333)EQ VAS</v>
      </c>
      <c r="C1846" t="s">
        <v>248</v>
      </c>
      <c r="D1846" t="s">
        <v>1</v>
      </c>
      <c r="E1846" t="s">
        <v>3189</v>
      </c>
      <c r="F1846" t="s">
        <v>3190</v>
      </c>
      <c r="G1846" t="s">
        <v>179</v>
      </c>
      <c r="H1846">
        <v>61</v>
      </c>
      <c r="I1846">
        <v>72.212999999999994</v>
      </c>
      <c r="J1846">
        <v>77.671999999999997</v>
      </c>
      <c r="K1846">
        <v>5.4589999999999996</v>
      </c>
      <c r="L1846">
        <v>29</v>
      </c>
      <c r="M1846">
        <v>7</v>
      </c>
      <c r="N1846">
        <v>25</v>
      </c>
      <c r="O1846">
        <v>74.983000000000004</v>
      </c>
      <c r="P1846">
        <v>9.4786787750000006</v>
      </c>
      <c r="Q1846">
        <v>16.271999999999998</v>
      </c>
    </row>
    <row r="1847" spans="1:17" x14ac:dyDescent="0.2">
      <c r="A1847" s="30" t="str">
        <f>IF(C1847&amp;G1847&amp;D1847&lt;&gt;'Funnel setup'!$K$3&amp;'Funnel setup'!$K$4&amp;'Funnel setup'!$K$5,".",IF(A1846=".",1,A1846+1))</f>
        <v>.</v>
      </c>
      <c r="B1847" s="431" t="str">
        <f t="shared" si="28"/>
        <v>Hip Replacement PrimaryProviderSPIRE WELLESLEY HOSPITAL (NT313)EQ VAS</v>
      </c>
      <c r="C1847" t="s">
        <v>248</v>
      </c>
      <c r="D1847" t="s">
        <v>1</v>
      </c>
      <c r="E1847" t="s">
        <v>3192</v>
      </c>
      <c r="F1847" t="s">
        <v>3193</v>
      </c>
      <c r="G1847" t="s">
        <v>179</v>
      </c>
      <c r="H1847">
        <v>85</v>
      </c>
      <c r="I1847">
        <v>67.281999999999996</v>
      </c>
      <c r="J1847">
        <v>76.328999999999994</v>
      </c>
      <c r="K1847">
        <v>9.0470000000000006</v>
      </c>
      <c r="L1847">
        <v>56</v>
      </c>
      <c r="M1847">
        <v>8</v>
      </c>
      <c r="N1847">
        <v>21</v>
      </c>
      <c r="O1847">
        <v>75.88</v>
      </c>
      <c r="P1847">
        <v>10.37585067</v>
      </c>
      <c r="Q1847">
        <v>16.803000000000001</v>
      </c>
    </row>
    <row r="1848" spans="1:17" x14ac:dyDescent="0.2">
      <c r="A1848" s="30" t="str">
        <f>IF(C1848&amp;G1848&amp;D1848&lt;&gt;'Funnel setup'!$K$3&amp;'Funnel setup'!$K$4&amp;'Funnel setup'!$K$5,".",IF(A1847=".",1,A1847+1))</f>
        <v>.</v>
      </c>
      <c r="B1848" s="431" t="str">
        <f t="shared" si="28"/>
        <v>Hip Replacement PrimaryProviderSPRINGFIELD HOSPITAL (NVC18)EQ VAS</v>
      </c>
      <c r="C1848" t="s">
        <v>248</v>
      </c>
      <c r="D1848" t="s">
        <v>1</v>
      </c>
      <c r="E1848" t="s">
        <v>3195</v>
      </c>
      <c r="F1848" t="s">
        <v>3196</v>
      </c>
      <c r="G1848" t="s">
        <v>179</v>
      </c>
      <c r="H1848">
        <v>147</v>
      </c>
      <c r="I1848">
        <v>72.373999999999995</v>
      </c>
      <c r="J1848">
        <v>81.210999999999999</v>
      </c>
      <c r="K1848">
        <v>8.8369999999999997</v>
      </c>
      <c r="L1848">
        <v>92</v>
      </c>
      <c r="M1848">
        <v>17</v>
      </c>
      <c r="N1848">
        <v>38</v>
      </c>
      <c r="O1848">
        <v>79.185000000000002</v>
      </c>
      <c r="P1848">
        <v>13.680320849999999</v>
      </c>
      <c r="Q1848">
        <v>14.129</v>
      </c>
    </row>
    <row r="1849" spans="1:17" x14ac:dyDescent="0.2">
      <c r="A1849" s="30" t="str">
        <f>IF(C1849&amp;G1849&amp;D1849&lt;&gt;'Funnel setup'!$K$3&amp;'Funnel setup'!$K$4&amp;'Funnel setup'!$K$5,".",IF(A1848=".",1,A1848+1))</f>
        <v>.</v>
      </c>
      <c r="B1849" s="431" t="str">
        <f t="shared" si="28"/>
        <v>Hip Replacement PrimaryProviderST GEORGE'S UNIVERSITY HOSPITALS NHS FOUNDATION TRUST (RJ7)EQ VAS</v>
      </c>
      <c r="C1849" t="s">
        <v>248</v>
      </c>
      <c r="D1849" t="s">
        <v>1</v>
      </c>
      <c r="E1849" t="s">
        <v>3124</v>
      </c>
      <c r="F1849" t="s">
        <v>3125</v>
      </c>
      <c r="G1849" t="s">
        <v>179</v>
      </c>
      <c r="H1849" t="s">
        <v>53</v>
      </c>
      <c r="I1849" t="s">
        <v>53</v>
      </c>
      <c r="J1849" t="s">
        <v>53</v>
      </c>
      <c r="K1849" t="s">
        <v>53</v>
      </c>
      <c r="L1849" t="s">
        <v>53</v>
      </c>
      <c r="M1849" t="s">
        <v>53</v>
      </c>
      <c r="N1849" t="s">
        <v>53</v>
      </c>
      <c r="O1849" t="s">
        <v>53</v>
      </c>
      <c r="P1849" t="s">
        <v>53</v>
      </c>
      <c r="Q1849" t="s">
        <v>53</v>
      </c>
    </row>
    <row r="1850" spans="1:17" x14ac:dyDescent="0.2">
      <c r="A1850" s="30" t="str">
        <f>IF(C1850&amp;G1850&amp;D1850&lt;&gt;'Funnel setup'!$K$3&amp;'Funnel setup'!$K$4&amp;'Funnel setup'!$K$5,".",IF(A1849=".",1,A1849+1))</f>
        <v>.</v>
      </c>
      <c r="B1850" s="431" t="str">
        <f t="shared" si="28"/>
        <v>Hip Replacement PrimaryProviderST HELENS AND KNOWSLEY HOSPITALS NHS TRUST (RBN)EQ VAS</v>
      </c>
      <c r="C1850" t="s">
        <v>248</v>
      </c>
      <c r="D1850" t="s">
        <v>1</v>
      </c>
      <c r="E1850" t="s">
        <v>3127</v>
      </c>
      <c r="F1850" t="s">
        <v>3128</v>
      </c>
      <c r="G1850" t="s">
        <v>179</v>
      </c>
      <c r="H1850">
        <v>138</v>
      </c>
      <c r="I1850">
        <v>62.680999999999997</v>
      </c>
      <c r="J1850">
        <v>70.956999999999994</v>
      </c>
      <c r="K1850">
        <v>8.2750000000000004</v>
      </c>
      <c r="L1850">
        <v>80</v>
      </c>
      <c r="M1850">
        <v>15</v>
      </c>
      <c r="N1850">
        <v>43</v>
      </c>
      <c r="O1850">
        <v>74.460999999999999</v>
      </c>
      <c r="P1850">
        <v>8.9569917599999993</v>
      </c>
      <c r="Q1850">
        <v>19.384</v>
      </c>
    </row>
    <row r="1851" spans="1:17" x14ac:dyDescent="0.2">
      <c r="A1851" s="30" t="str">
        <f>IF(C1851&amp;G1851&amp;D1851&lt;&gt;'Funnel setup'!$K$3&amp;'Funnel setup'!$K$4&amp;'Funnel setup'!$K$5,".",IF(A1850=".",1,A1850+1))</f>
        <v>.</v>
      </c>
      <c r="B1851" s="431" t="str">
        <f t="shared" si="28"/>
        <v>Hip Replacement PrimaryProviderST HUGH'S HOSPITAL (NTE02)EQ VAS</v>
      </c>
      <c r="C1851" t="s">
        <v>248</v>
      </c>
      <c r="D1851" t="s">
        <v>1</v>
      </c>
      <c r="E1851" t="s">
        <v>3130</v>
      </c>
      <c r="F1851" t="s">
        <v>3131</v>
      </c>
      <c r="G1851" t="s">
        <v>179</v>
      </c>
      <c r="H1851">
        <v>39</v>
      </c>
      <c r="I1851">
        <v>70.974000000000004</v>
      </c>
      <c r="J1851">
        <v>84.820999999999998</v>
      </c>
      <c r="K1851">
        <v>13.846</v>
      </c>
      <c r="L1851">
        <v>31</v>
      </c>
      <c r="M1851">
        <v>1</v>
      </c>
      <c r="N1851">
        <v>7</v>
      </c>
      <c r="O1851">
        <v>80.777000000000001</v>
      </c>
      <c r="P1851">
        <v>15.27248215</v>
      </c>
      <c r="Q1851">
        <v>11.233000000000001</v>
      </c>
    </row>
    <row r="1852" spans="1:17" x14ac:dyDescent="0.2">
      <c r="A1852" s="30" t="str">
        <f>IF(C1852&amp;G1852&amp;D1852&lt;&gt;'Funnel setup'!$K$3&amp;'Funnel setup'!$K$4&amp;'Funnel setup'!$K$5,".",IF(A1851=".",1,A1851+1))</f>
        <v>.</v>
      </c>
      <c r="B1852" s="431" t="str">
        <f t="shared" si="28"/>
        <v>Hip Replacement PrimaryProviderSTOCKPORT NHS FOUNDATION TRUST (RWJ)EQ VAS</v>
      </c>
      <c r="C1852" t="s">
        <v>248</v>
      </c>
      <c r="D1852" t="s">
        <v>1</v>
      </c>
      <c r="E1852" t="s">
        <v>3142</v>
      </c>
      <c r="F1852" t="s">
        <v>3143</v>
      </c>
      <c r="G1852" t="s">
        <v>179</v>
      </c>
      <c r="H1852">
        <v>213</v>
      </c>
      <c r="I1852">
        <v>64.567999999999998</v>
      </c>
      <c r="J1852">
        <v>79.685000000000002</v>
      </c>
      <c r="K1852">
        <v>15.117000000000001</v>
      </c>
      <c r="L1852">
        <v>150</v>
      </c>
      <c r="M1852">
        <v>18</v>
      </c>
      <c r="N1852">
        <v>45</v>
      </c>
      <c r="O1852">
        <v>79.578000000000003</v>
      </c>
      <c r="P1852">
        <v>14.07341358</v>
      </c>
      <c r="Q1852">
        <v>14.975</v>
      </c>
    </row>
    <row r="1853" spans="1:17" x14ac:dyDescent="0.2">
      <c r="A1853" s="30" t="str">
        <f>IF(C1853&amp;G1853&amp;D1853&lt;&gt;'Funnel setup'!$K$3&amp;'Funnel setup'!$K$4&amp;'Funnel setup'!$K$5,".",IF(A1852=".",1,A1852+1))</f>
        <v>.</v>
      </c>
      <c r="B1853" s="431" t="str">
        <f t="shared" si="28"/>
        <v>Hip Replacement PrimaryProviderSURREY AND SUSSEX HEALTHCARE NHS TRUST (RTP)EQ VAS</v>
      </c>
      <c r="C1853" t="s">
        <v>248</v>
      </c>
      <c r="D1853" t="s">
        <v>1</v>
      </c>
      <c r="E1853" t="s">
        <v>3145</v>
      </c>
      <c r="F1853" t="s">
        <v>3146</v>
      </c>
      <c r="G1853" t="s">
        <v>179</v>
      </c>
      <c r="H1853">
        <v>92</v>
      </c>
      <c r="I1853">
        <v>61.945999999999998</v>
      </c>
      <c r="J1853">
        <v>78.533000000000001</v>
      </c>
      <c r="K1853">
        <v>16.587</v>
      </c>
      <c r="L1853">
        <v>62</v>
      </c>
      <c r="M1853">
        <v>17</v>
      </c>
      <c r="N1853">
        <v>13</v>
      </c>
      <c r="O1853">
        <v>79.397000000000006</v>
      </c>
      <c r="P1853">
        <v>13.89273399</v>
      </c>
      <c r="Q1853">
        <v>14.331</v>
      </c>
    </row>
    <row r="1854" spans="1:17" x14ac:dyDescent="0.2">
      <c r="A1854" s="30" t="str">
        <f>IF(C1854&amp;G1854&amp;D1854&lt;&gt;'Funnel setup'!$K$3&amp;'Funnel setup'!$K$4&amp;'Funnel setup'!$K$5,".",IF(A1853=".",1,A1853+1))</f>
        <v>.</v>
      </c>
      <c r="B1854" s="431" t="str">
        <f t="shared" si="28"/>
        <v>Hip Replacement PrimaryProviderTAMESIDE HOSPITAL NHS FOUNDATION TRUST (RMP)EQ VAS</v>
      </c>
      <c r="C1854" t="s">
        <v>248</v>
      </c>
      <c r="D1854" t="s">
        <v>1</v>
      </c>
      <c r="E1854" t="s">
        <v>3148</v>
      </c>
      <c r="F1854" t="s">
        <v>3149</v>
      </c>
      <c r="G1854" t="s">
        <v>179</v>
      </c>
      <c r="H1854">
        <v>74</v>
      </c>
      <c r="I1854">
        <v>62.514000000000003</v>
      </c>
      <c r="J1854">
        <v>73.622</v>
      </c>
      <c r="K1854">
        <v>11.108000000000001</v>
      </c>
      <c r="L1854">
        <v>42</v>
      </c>
      <c r="M1854">
        <v>10</v>
      </c>
      <c r="N1854">
        <v>22</v>
      </c>
      <c r="O1854">
        <v>75.899000000000001</v>
      </c>
      <c r="P1854">
        <v>10.394325719999999</v>
      </c>
      <c r="Q1854">
        <v>18.234000000000002</v>
      </c>
    </row>
    <row r="1855" spans="1:17" x14ac:dyDescent="0.2">
      <c r="A1855" s="30" t="str">
        <f>IF(C1855&amp;G1855&amp;D1855&lt;&gt;'Funnel setup'!$K$3&amp;'Funnel setup'!$K$4&amp;'Funnel setup'!$K$5,".",IF(A1854=".",1,A1854+1))</f>
        <v>.</v>
      </c>
      <c r="B1855" s="431" t="str">
        <f t="shared" si="28"/>
        <v>Hip Replacement PrimaryProviderTAUNTON AND SOMERSET NHS FOUNDATION TRUST (RBA)EQ VAS</v>
      </c>
      <c r="C1855" t="s">
        <v>248</v>
      </c>
      <c r="D1855" t="s">
        <v>1</v>
      </c>
      <c r="E1855" t="s">
        <v>3151</v>
      </c>
      <c r="F1855" t="s">
        <v>3152</v>
      </c>
      <c r="G1855" t="s">
        <v>179</v>
      </c>
      <c r="H1855">
        <v>69</v>
      </c>
      <c r="I1855">
        <v>58.158999999999999</v>
      </c>
      <c r="J1855">
        <v>78.174000000000007</v>
      </c>
      <c r="K1855">
        <v>20.013999999999999</v>
      </c>
      <c r="L1855">
        <v>51</v>
      </c>
      <c r="M1855">
        <v>6</v>
      </c>
      <c r="N1855">
        <v>12</v>
      </c>
      <c r="O1855">
        <v>80.567999999999998</v>
      </c>
      <c r="P1855">
        <v>15.06368481</v>
      </c>
      <c r="Q1855">
        <v>12.702999999999999</v>
      </c>
    </row>
    <row r="1856" spans="1:17" x14ac:dyDescent="0.2">
      <c r="A1856" s="30" t="str">
        <f>IF(C1856&amp;G1856&amp;D1856&lt;&gt;'Funnel setup'!$K$3&amp;'Funnel setup'!$K$4&amp;'Funnel setup'!$K$5,".",IF(A1855=".",1,A1855+1))</f>
        <v>.</v>
      </c>
      <c r="B1856" s="431" t="str">
        <f t="shared" si="28"/>
        <v>Hip Replacement PrimaryProviderTHE BERKSHIRE INDEPENDENT HOSPITAL (NVC02)EQ VAS</v>
      </c>
      <c r="C1856" t="s">
        <v>248</v>
      </c>
      <c r="D1856" t="s">
        <v>1</v>
      </c>
      <c r="E1856" t="s">
        <v>3118</v>
      </c>
      <c r="F1856" t="s">
        <v>3119</v>
      </c>
      <c r="G1856" t="s">
        <v>179</v>
      </c>
      <c r="H1856">
        <v>24</v>
      </c>
      <c r="I1856">
        <v>72.792000000000002</v>
      </c>
      <c r="J1856">
        <v>87.167000000000002</v>
      </c>
      <c r="K1856">
        <v>14.375</v>
      </c>
      <c r="L1856">
        <v>21</v>
      </c>
      <c r="M1856">
        <v>2</v>
      </c>
      <c r="N1856">
        <v>1</v>
      </c>
      <c r="O1856" t="s">
        <v>53</v>
      </c>
      <c r="P1856" t="s">
        <v>53</v>
      </c>
      <c r="Q1856" t="s">
        <v>53</v>
      </c>
    </row>
    <row r="1857" spans="1:17" x14ac:dyDescent="0.2">
      <c r="A1857" s="30" t="str">
        <f>IF(C1857&amp;G1857&amp;D1857&lt;&gt;'Funnel setup'!$K$3&amp;'Funnel setup'!$K$4&amp;'Funnel setup'!$K$5,".",IF(A1856=".",1,A1856+1))</f>
        <v>.</v>
      </c>
      <c r="B1857" s="431" t="str">
        <f t="shared" si="28"/>
        <v>Hip Replacement PrimaryProviderTHE DUDLEY GROUP NHS FOUNDATION TRUST (RNA)EQ VAS</v>
      </c>
      <c r="C1857" t="s">
        <v>248</v>
      </c>
      <c r="D1857" t="s">
        <v>1</v>
      </c>
      <c r="E1857" t="s">
        <v>3121</v>
      </c>
      <c r="F1857" t="s">
        <v>3122</v>
      </c>
      <c r="G1857" t="s">
        <v>179</v>
      </c>
      <c r="H1857">
        <v>232</v>
      </c>
      <c r="I1857">
        <v>68.28</v>
      </c>
      <c r="J1857">
        <v>75.147000000000006</v>
      </c>
      <c r="K1857">
        <v>6.8659999999999997</v>
      </c>
      <c r="L1857">
        <v>126</v>
      </c>
      <c r="M1857">
        <v>29</v>
      </c>
      <c r="N1857">
        <v>77</v>
      </c>
      <c r="O1857">
        <v>75.736000000000004</v>
      </c>
      <c r="P1857">
        <v>10.231196649999999</v>
      </c>
      <c r="Q1857">
        <v>16.747</v>
      </c>
    </row>
    <row r="1858" spans="1:17" x14ac:dyDescent="0.2">
      <c r="A1858" s="30" t="str">
        <f>IF(C1858&amp;G1858&amp;D1858&lt;&gt;'Funnel setup'!$K$3&amp;'Funnel setup'!$K$4&amp;'Funnel setup'!$K$5,".",IF(A1857=".",1,A1857+1))</f>
        <v>.</v>
      </c>
      <c r="B1858" s="431" t="str">
        <f t="shared" si="28"/>
        <v>Hip Replacement PrimaryProviderTHE HILLINGDON HOSPITALS NHS FOUNDATION TRUST (RAS)EQ VAS</v>
      </c>
      <c r="C1858" t="s">
        <v>248</v>
      </c>
      <c r="D1858" t="s">
        <v>1</v>
      </c>
      <c r="E1858" t="s">
        <v>3115</v>
      </c>
      <c r="F1858" t="s">
        <v>3116</v>
      </c>
      <c r="G1858" t="s">
        <v>179</v>
      </c>
      <c r="H1858">
        <v>161</v>
      </c>
      <c r="I1858">
        <v>62.578000000000003</v>
      </c>
      <c r="J1858">
        <v>76.570999999999998</v>
      </c>
      <c r="K1858">
        <v>13.994</v>
      </c>
      <c r="L1858">
        <v>111</v>
      </c>
      <c r="M1858">
        <v>22</v>
      </c>
      <c r="N1858">
        <v>28</v>
      </c>
      <c r="O1858">
        <v>78.037000000000006</v>
      </c>
      <c r="P1858">
        <v>12.532359509999999</v>
      </c>
      <c r="Q1858">
        <v>16.024999999999999</v>
      </c>
    </row>
    <row r="1859" spans="1:17" x14ac:dyDescent="0.2">
      <c r="A1859" s="30" t="str">
        <f>IF(C1859&amp;G1859&amp;D1859&lt;&gt;'Funnel setup'!$K$3&amp;'Funnel setup'!$K$4&amp;'Funnel setup'!$K$5,".",IF(A1858=".",1,A1858+1))</f>
        <v>.</v>
      </c>
      <c r="B1859" s="431" t="str">
        <f t="shared" ref="B1859:B1922" si="29">C1859&amp;D1859&amp;F1859&amp;G1859</f>
        <v>Hip Replacement PrimaryProviderTHE HORDER CENTRE - ST JOHNS ROAD (NXM01)EQ VAS</v>
      </c>
      <c r="C1859" t="s">
        <v>248</v>
      </c>
      <c r="D1859" t="s">
        <v>1</v>
      </c>
      <c r="E1859" t="s">
        <v>4222</v>
      </c>
      <c r="F1859" t="s">
        <v>4223</v>
      </c>
      <c r="G1859" t="s">
        <v>179</v>
      </c>
      <c r="H1859">
        <v>590</v>
      </c>
      <c r="I1859">
        <v>71.760999999999996</v>
      </c>
      <c r="J1859">
        <v>80.846999999999994</v>
      </c>
      <c r="K1859">
        <v>9.0860000000000003</v>
      </c>
      <c r="L1859">
        <v>382</v>
      </c>
      <c r="M1859">
        <v>74</v>
      </c>
      <c r="N1859">
        <v>134</v>
      </c>
      <c r="O1859">
        <v>78.257000000000005</v>
      </c>
      <c r="P1859">
        <v>12.75269203</v>
      </c>
      <c r="Q1859">
        <v>14.206</v>
      </c>
    </row>
    <row r="1860" spans="1:17" x14ac:dyDescent="0.2">
      <c r="A1860" s="30" t="str">
        <f>IF(C1860&amp;G1860&amp;D1860&lt;&gt;'Funnel setup'!$K$3&amp;'Funnel setup'!$K$4&amp;'Funnel setup'!$K$5,".",IF(A1859=".",1,A1859+1))</f>
        <v>.</v>
      </c>
      <c r="B1860" s="431" t="str">
        <f t="shared" si="29"/>
        <v>Hip Replacement PrimaryProviderTHE NEWCASTLE UPON TYNE HOSPITALS NHS FOUNDATION TRUST (RTD)EQ VAS</v>
      </c>
      <c r="C1860" t="s">
        <v>248</v>
      </c>
      <c r="D1860" t="s">
        <v>1</v>
      </c>
      <c r="E1860" t="s">
        <v>3748</v>
      </c>
      <c r="F1860" t="s">
        <v>3749</v>
      </c>
      <c r="G1860" t="s">
        <v>179</v>
      </c>
      <c r="H1860">
        <v>308</v>
      </c>
      <c r="I1860">
        <v>63.643000000000001</v>
      </c>
      <c r="J1860">
        <v>76.713999999999999</v>
      </c>
      <c r="K1860">
        <v>13.071</v>
      </c>
      <c r="L1860">
        <v>216</v>
      </c>
      <c r="M1860">
        <v>27</v>
      </c>
      <c r="N1860">
        <v>65</v>
      </c>
      <c r="O1860">
        <v>77.177999999999997</v>
      </c>
      <c r="P1860">
        <v>11.67344059</v>
      </c>
      <c r="Q1860">
        <v>15.808999999999999</v>
      </c>
    </row>
    <row r="1861" spans="1:17" x14ac:dyDescent="0.2">
      <c r="A1861" s="30" t="str">
        <f>IF(C1861&amp;G1861&amp;D1861&lt;&gt;'Funnel setup'!$K$3&amp;'Funnel setup'!$K$4&amp;'Funnel setup'!$K$5,".",IF(A1860=".",1,A1860+1))</f>
        <v>.</v>
      </c>
      <c r="B1861" s="431" t="str">
        <f t="shared" si="29"/>
        <v>Hip Replacement PrimaryProviderTHE PRINCESS ALEXANDRA HOSPITAL NHS TRUST (RQW)EQ VAS</v>
      </c>
      <c r="C1861" t="s">
        <v>248</v>
      </c>
      <c r="D1861" t="s">
        <v>1</v>
      </c>
      <c r="E1861" t="s">
        <v>3751</v>
      </c>
      <c r="F1861" t="s">
        <v>3752</v>
      </c>
      <c r="G1861" t="s">
        <v>179</v>
      </c>
      <c r="H1861">
        <v>172</v>
      </c>
      <c r="I1861">
        <v>66.825999999999993</v>
      </c>
      <c r="J1861">
        <v>76.186000000000007</v>
      </c>
      <c r="K1861">
        <v>9.36</v>
      </c>
      <c r="L1861">
        <v>106</v>
      </c>
      <c r="M1861">
        <v>19</v>
      </c>
      <c r="N1861">
        <v>47</v>
      </c>
      <c r="O1861">
        <v>75.915000000000006</v>
      </c>
      <c r="P1861">
        <v>10.41025838</v>
      </c>
      <c r="Q1861">
        <v>15.817</v>
      </c>
    </row>
    <row r="1862" spans="1:17" x14ac:dyDescent="0.2">
      <c r="A1862" s="30" t="str">
        <f>IF(C1862&amp;G1862&amp;D1862&lt;&gt;'Funnel setup'!$K$3&amp;'Funnel setup'!$K$4&amp;'Funnel setup'!$K$5,".",IF(A1861=".",1,A1861+1))</f>
        <v>.</v>
      </c>
      <c r="B1862" s="431" t="str">
        <f t="shared" si="29"/>
        <v>Hip Replacement PrimaryProviderTHE QUEEN ELIZABETH HOSPITAL, KING'S LYNN, NHS FOUNDATION TRUST (RCX)EQ VAS</v>
      </c>
      <c r="C1862" t="s">
        <v>248</v>
      </c>
      <c r="D1862" t="s">
        <v>1</v>
      </c>
      <c r="E1862" t="s">
        <v>3754</v>
      </c>
      <c r="F1862" t="s">
        <v>3755</v>
      </c>
      <c r="G1862" t="s">
        <v>179</v>
      </c>
      <c r="H1862">
        <v>143</v>
      </c>
      <c r="I1862">
        <v>65.209999999999994</v>
      </c>
      <c r="J1862">
        <v>77.762</v>
      </c>
      <c r="K1862">
        <v>12.552</v>
      </c>
      <c r="L1862">
        <v>94</v>
      </c>
      <c r="M1862">
        <v>17</v>
      </c>
      <c r="N1862">
        <v>32</v>
      </c>
      <c r="O1862">
        <v>79.040999999999997</v>
      </c>
      <c r="P1862">
        <v>13.53650726</v>
      </c>
      <c r="Q1862">
        <v>14.606999999999999</v>
      </c>
    </row>
    <row r="1863" spans="1:17" x14ac:dyDescent="0.2">
      <c r="A1863" s="30" t="str">
        <f>IF(C1863&amp;G1863&amp;D1863&lt;&gt;'Funnel setup'!$K$3&amp;'Funnel setup'!$K$4&amp;'Funnel setup'!$K$5,".",IF(A1862=".",1,A1862+1))</f>
        <v>.</v>
      </c>
      <c r="B1863" s="431" t="str">
        <f t="shared" si="29"/>
        <v>Hip Replacement PrimaryProviderTHE ROBERT JONES AND AGNES HUNT ORTHOPAEDIC HOSPITAL NHS FOUNDATION TRUST (RL1)EQ VAS</v>
      </c>
      <c r="C1863" t="s">
        <v>248</v>
      </c>
      <c r="D1863" t="s">
        <v>1</v>
      </c>
      <c r="E1863" t="s">
        <v>4496</v>
      </c>
      <c r="F1863" t="s">
        <v>4497</v>
      </c>
      <c r="G1863" t="s">
        <v>179</v>
      </c>
      <c r="H1863">
        <v>356</v>
      </c>
      <c r="I1863">
        <v>59.514000000000003</v>
      </c>
      <c r="J1863">
        <v>77.626000000000005</v>
      </c>
      <c r="K1863">
        <v>18.111999999999998</v>
      </c>
      <c r="L1863">
        <v>260</v>
      </c>
      <c r="M1863">
        <v>33</v>
      </c>
      <c r="N1863">
        <v>63</v>
      </c>
      <c r="O1863">
        <v>76.076999999999998</v>
      </c>
      <c r="P1863">
        <v>10.572451470000001</v>
      </c>
      <c r="Q1863">
        <v>16.212</v>
      </c>
    </row>
    <row r="1864" spans="1:17" x14ac:dyDescent="0.2">
      <c r="A1864" s="30" t="str">
        <f>IF(C1864&amp;G1864&amp;D1864&lt;&gt;'Funnel setup'!$K$3&amp;'Funnel setup'!$K$4&amp;'Funnel setup'!$K$5,".",IF(A1863=".",1,A1863+1))</f>
        <v>.</v>
      </c>
      <c r="B1864" s="431" t="str">
        <f t="shared" si="29"/>
        <v>Hip Replacement PrimaryProviderTHE ROTHERHAM NHS FOUNDATION TRUST (RFR)EQ VAS</v>
      </c>
      <c r="C1864" t="s">
        <v>248</v>
      </c>
      <c r="D1864" t="s">
        <v>1</v>
      </c>
      <c r="E1864" t="s">
        <v>3739</v>
      </c>
      <c r="F1864" t="s">
        <v>3740</v>
      </c>
      <c r="G1864" t="s">
        <v>179</v>
      </c>
      <c r="H1864">
        <v>136</v>
      </c>
      <c r="I1864">
        <v>62.970999999999997</v>
      </c>
      <c r="J1864">
        <v>75.903999999999996</v>
      </c>
      <c r="K1864">
        <v>12.933999999999999</v>
      </c>
      <c r="L1864">
        <v>95</v>
      </c>
      <c r="M1864">
        <v>18</v>
      </c>
      <c r="N1864">
        <v>23</v>
      </c>
      <c r="O1864">
        <v>77.512</v>
      </c>
      <c r="P1864">
        <v>12.00810626</v>
      </c>
      <c r="Q1864">
        <v>15.795</v>
      </c>
    </row>
    <row r="1865" spans="1:17" x14ac:dyDescent="0.2">
      <c r="A1865" s="30" t="str">
        <f>IF(C1865&amp;G1865&amp;D1865&lt;&gt;'Funnel setup'!$K$3&amp;'Funnel setup'!$K$4&amp;'Funnel setup'!$K$5,".",IF(A1864=".",1,A1864+1))</f>
        <v>.</v>
      </c>
      <c r="B1865" s="431" t="str">
        <f t="shared" si="29"/>
        <v>Hip Replacement PrimaryProviderTHE ROYAL BOURNEMOUTH AND CHRISTCHURCH HOSPITALS NHS FOUNDATION TRUST (RDZ)EQ VAS</v>
      </c>
      <c r="C1865" t="s">
        <v>248</v>
      </c>
      <c r="D1865" t="s">
        <v>1</v>
      </c>
      <c r="E1865" t="s">
        <v>3742</v>
      </c>
      <c r="F1865" t="s">
        <v>3743</v>
      </c>
      <c r="G1865" t="s">
        <v>179</v>
      </c>
      <c r="H1865">
        <v>412</v>
      </c>
      <c r="I1865">
        <v>68.917000000000002</v>
      </c>
      <c r="J1865">
        <v>77.010000000000005</v>
      </c>
      <c r="K1865">
        <v>8.0920000000000005</v>
      </c>
      <c r="L1865">
        <v>257</v>
      </c>
      <c r="M1865">
        <v>40</v>
      </c>
      <c r="N1865">
        <v>115</v>
      </c>
      <c r="O1865">
        <v>76.813999999999993</v>
      </c>
      <c r="P1865">
        <v>11.309389360000001</v>
      </c>
      <c r="Q1865">
        <v>16.774999999999999</v>
      </c>
    </row>
    <row r="1866" spans="1:17" x14ac:dyDescent="0.2">
      <c r="A1866" s="30" t="str">
        <f>IF(C1866&amp;G1866&amp;D1866&lt;&gt;'Funnel setup'!$K$3&amp;'Funnel setup'!$K$4&amp;'Funnel setup'!$K$5,".",IF(A1865=".",1,A1865+1))</f>
        <v>.</v>
      </c>
      <c r="B1866" s="431" t="str">
        <f t="shared" si="29"/>
        <v>Hip Replacement PrimaryProviderTHE ROYAL ORTHOPAEDIC HOSPITAL NHS FOUNDATION TRUST (RRJ)EQ VAS</v>
      </c>
      <c r="C1866" t="s">
        <v>248</v>
      </c>
      <c r="D1866" t="s">
        <v>1</v>
      </c>
      <c r="E1866" t="s">
        <v>4480</v>
      </c>
      <c r="F1866" t="s">
        <v>4481</v>
      </c>
      <c r="G1866" t="s">
        <v>179</v>
      </c>
      <c r="H1866">
        <v>302</v>
      </c>
      <c r="I1866">
        <v>65.427000000000007</v>
      </c>
      <c r="J1866">
        <v>78.626000000000005</v>
      </c>
      <c r="K1866">
        <v>13.199</v>
      </c>
      <c r="L1866">
        <v>195</v>
      </c>
      <c r="M1866">
        <v>37</v>
      </c>
      <c r="N1866">
        <v>70</v>
      </c>
      <c r="O1866">
        <v>78.641999999999996</v>
      </c>
      <c r="P1866">
        <v>13.138023949999999</v>
      </c>
      <c r="Q1866">
        <v>15.366</v>
      </c>
    </row>
    <row r="1867" spans="1:17" x14ac:dyDescent="0.2">
      <c r="A1867" s="30" t="str">
        <f>IF(C1867&amp;G1867&amp;D1867&lt;&gt;'Funnel setup'!$K$3&amp;'Funnel setup'!$K$4&amp;'Funnel setup'!$K$5,".",IF(A1866=".",1,A1866+1))</f>
        <v>.</v>
      </c>
      <c r="B1867" s="431" t="str">
        <f t="shared" si="29"/>
        <v>Hip Replacement PrimaryProviderTHE ROYAL WOLVERHAMPTON NHS TRUST (RL4)EQ VAS</v>
      </c>
      <c r="C1867" t="s">
        <v>248</v>
      </c>
      <c r="D1867" t="s">
        <v>1</v>
      </c>
      <c r="E1867" t="s">
        <v>3382</v>
      </c>
      <c r="F1867" t="s">
        <v>3383</v>
      </c>
      <c r="G1867" t="s">
        <v>179</v>
      </c>
      <c r="H1867">
        <v>192</v>
      </c>
      <c r="I1867">
        <v>63.348999999999997</v>
      </c>
      <c r="J1867">
        <v>76.542000000000002</v>
      </c>
      <c r="K1867">
        <v>13.193</v>
      </c>
      <c r="L1867">
        <v>133</v>
      </c>
      <c r="M1867">
        <v>20</v>
      </c>
      <c r="N1867">
        <v>39</v>
      </c>
      <c r="O1867">
        <v>78.808000000000007</v>
      </c>
      <c r="P1867">
        <v>13.303766570000001</v>
      </c>
      <c r="Q1867">
        <v>15.137</v>
      </c>
    </row>
    <row r="1868" spans="1:17" x14ac:dyDescent="0.2">
      <c r="A1868" s="30" t="str">
        <f>IF(C1868&amp;G1868&amp;D1868&lt;&gt;'Funnel setup'!$K$3&amp;'Funnel setup'!$K$4&amp;'Funnel setup'!$K$5,".",IF(A1867=".",1,A1867+1))</f>
        <v>.</v>
      </c>
      <c r="B1868" s="431" t="str">
        <f t="shared" si="29"/>
        <v>Hip Replacement PrimaryProviderTHE SPENCER WING (RAMSGATE ROAD) (NN801)EQ VAS</v>
      </c>
      <c r="C1868" t="s">
        <v>248</v>
      </c>
      <c r="D1868" t="s">
        <v>1</v>
      </c>
      <c r="E1868" t="s">
        <v>3757</v>
      </c>
      <c r="F1868" t="s">
        <v>3758</v>
      </c>
      <c r="G1868" t="s">
        <v>179</v>
      </c>
      <c r="H1868">
        <v>15</v>
      </c>
      <c r="I1868">
        <v>66.132999999999996</v>
      </c>
      <c r="J1868">
        <v>79.867000000000004</v>
      </c>
      <c r="K1868">
        <v>13.733000000000001</v>
      </c>
      <c r="L1868">
        <v>9</v>
      </c>
      <c r="M1868">
        <v>3</v>
      </c>
      <c r="N1868">
        <v>3</v>
      </c>
      <c r="O1868" t="s">
        <v>53</v>
      </c>
      <c r="P1868" t="s">
        <v>53</v>
      </c>
      <c r="Q1868" t="s">
        <v>53</v>
      </c>
    </row>
    <row r="1869" spans="1:17" x14ac:dyDescent="0.2">
      <c r="A1869" s="30" t="str">
        <f>IF(C1869&amp;G1869&amp;D1869&lt;&gt;'Funnel setup'!$K$3&amp;'Funnel setup'!$K$4&amp;'Funnel setup'!$K$5,".",IF(A1868=".",1,A1868+1))</f>
        <v>.</v>
      </c>
      <c r="B1869" s="431" t="str">
        <f t="shared" si="29"/>
        <v>Hip Replacement PrimaryProviderTHE YORKSHIRE CLINIC (NVC20)EQ VAS</v>
      </c>
      <c r="C1869" t="s">
        <v>248</v>
      </c>
      <c r="D1869" t="s">
        <v>1</v>
      </c>
      <c r="E1869" t="s">
        <v>3760</v>
      </c>
      <c r="F1869" t="s">
        <v>3761</v>
      </c>
      <c r="G1869" t="s">
        <v>179</v>
      </c>
      <c r="H1869">
        <v>56</v>
      </c>
      <c r="I1869">
        <v>68.695999999999998</v>
      </c>
      <c r="J1869">
        <v>78</v>
      </c>
      <c r="K1869">
        <v>9.3040000000000003</v>
      </c>
      <c r="L1869">
        <v>38</v>
      </c>
      <c r="M1869">
        <v>3</v>
      </c>
      <c r="N1869">
        <v>15</v>
      </c>
      <c r="O1869">
        <v>75.335999999999999</v>
      </c>
      <c r="P1869">
        <v>9.8321051710000003</v>
      </c>
      <c r="Q1869">
        <v>16.010000000000002</v>
      </c>
    </row>
    <row r="1870" spans="1:17" x14ac:dyDescent="0.2">
      <c r="A1870" s="30" t="str">
        <f>IF(C1870&amp;G1870&amp;D1870&lt;&gt;'Funnel setup'!$K$3&amp;'Funnel setup'!$K$4&amp;'Funnel setup'!$K$5,".",IF(A1869=".",1,A1869+1))</f>
        <v>.</v>
      </c>
      <c r="B1870" s="431" t="str">
        <f t="shared" si="29"/>
        <v>Hip Replacement PrimaryProviderTORBAY AND SOUTH DEVON NHS FOUNDATION TRUST (RA9)EQ VAS</v>
      </c>
      <c r="C1870" t="s">
        <v>248</v>
      </c>
      <c r="D1870" t="s">
        <v>1</v>
      </c>
      <c r="E1870" t="s">
        <v>3480</v>
      </c>
      <c r="F1870" t="s">
        <v>6584</v>
      </c>
      <c r="G1870" t="s">
        <v>179</v>
      </c>
      <c r="H1870">
        <v>182</v>
      </c>
      <c r="I1870">
        <v>65.406999999999996</v>
      </c>
      <c r="J1870">
        <v>73.879000000000005</v>
      </c>
      <c r="K1870">
        <v>8.4730000000000008</v>
      </c>
      <c r="L1870">
        <v>105</v>
      </c>
      <c r="M1870">
        <v>20</v>
      </c>
      <c r="N1870">
        <v>57</v>
      </c>
      <c r="O1870">
        <v>76.572000000000003</v>
      </c>
      <c r="P1870">
        <v>11.06791132</v>
      </c>
      <c r="Q1870">
        <v>16.771000000000001</v>
      </c>
    </row>
    <row r="1871" spans="1:17" x14ac:dyDescent="0.2">
      <c r="A1871" s="30" t="str">
        <f>IF(C1871&amp;G1871&amp;D1871&lt;&gt;'Funnel setup'!$K$3&amp;'Funnel setup'!$K$4&amp;'Funnel setup'!$K$5,".",IF(A1870=".",1,A1870+1))</f>
        <v>.</v>
      </c>
      <c r="B1871" s="431" t="str">
        <f t="shared" si="29"/>
        <v>Hip Replacement PrimaryProviderTYNESIDE SURGICAL SERVICES AT THE NORTH EAST NHS SURGERY CENTRE (NN401)EQ VAS</v>
      </c>
      <c r="C1871" t="s">
        <v>248</v>
      </c>
      <c r="D1871" t="s">
        <v>1</v>
      </c>
      <c r="E1871" t="s">
        <v>4506</v>
      </c>
      <c r="F1871" t="s">
        <v>4507</v>
      </c>
      <c r="G1871" t="s">
        <v>179</v>
      </c>
      <c r="H1871">
        <v>7</v>
      </c>
      <c r="I1871">
        <v>67.856999999999999</v>
      </c>
      <c r="J1871">
        <v>70.429000000000002</v>
      </c>
      <c r="K1871">
        <v>2.5710000000000002</v>
      </c>
      <c r="L1871">
        <v>4</v>
      </c>
      <c r="M1871">
        <v>1</v>
      </c>
      <c r="N1871">
        <v>2</v>
      </c>
      <c r="O1871" t="s">
        <v>53</v>
      </c>
      <c r="P1871" t="s">
        <v>53</v>
      </c>
      <c r="Q1871" t="s">
        <v>53</v>
      </c>
    </row>
    <row r="1872" spans="1:17" x14ac:dyDescent="0.2">
      <c r="A1872" s="30" t="str">
        <f>IF(C1872&amp;G1872&amp;D1872&lt;&gt;'Funnel setup'!$K$3&amp;'Funnel setup'!$K$4&amp;'Funnel setup'!$K$5,".",IF(A1871=".",1,A1871+1))</f>
        <v>.</v>
      </c>
      <c r="B1872" s="431" t="str">
        <f t="shared" si="29"/>
        <v>Hip Replacement PrimaryProviderUNITED LINCOLNSHIRE HOSPITALS NHS TRUST (RWD)EQ VAS</v>
      </c>
      <c r="C1872" t="s">
        <v>248</v>
      </c>
      <c r="D1872" t="s">
        <v>1</v>
      </c>
      <c r="E1872" t="s">
        <v>3763</v>
      </c>
      <c r="F1872" t="s">
        <v>3764</v>
      </c>
      <c r="G1872" t="s">
        <v>179</v>
      </c>
      <c r="H1872">
        <v>223</v>
      </c>
      <c r="I1872">
        <v>67.438999999999993</v>
      </c>
      <c r="J1872">
        <v>75.192999999999998</v>
      </c>
      <c r="K1872">
        <v>7.7530000000000001</v>
      </c>
      <c r="L1872">
        <v>123</v>
      </c>
      <c r="M1872">
        <v>31</v>
      </c>
      <c r="N1872">
        <v>69</v>
      </c>
      <c r="O1872">
        <v>75.510000000000005</v>
      </c>
      <c r="P1872">
        <v>10.005998460000001</v>
      </c>
      <c r="Q1872">
        <v>16.670000000000002</v>
      </c>
    </row>
    <row r="1873" spans="1:17" x14ac:dyDescent="0.2">
      <c r="A1873" s="30" t="str">
        <f>IF(C1873&amp;G1873&amp;D1873&lt;&gt;'Funnel setup'!$K$3&amp;'Funnel setup'!$K$4&amp;'Funnel setup'!$K$5,".",IF(A1872=".",1,A1872+1))</f>
        <v>.</v>
      </c>
      <c r="B1873" s="431" t="str">
        <f t="shared" si="29"/>
        <v>Hip Replacement PrimaryProviderUNIVERSITY COLLEGE LONDON HOSPITALS NHS FOUNDATION TRUST (RRV)EQ VAS</v>
      </c>
      <c r="C1873" t="s">
        <v>248</v>
      </c>
      <c r="D1873" t="s">
        <v>1</v>
      </c>
      <c r="E1873" t="s">
        <v>3766</v>
      </c>
      <c r="F1873" t="s">
        <v>3767</v>
      </c>
      <c r="G1873" t="s">
        <v>179</v>
      </c>
      <c r="H1873">
        <v>109</v>
      </c>
      <c r="I1873">
        <v>64.834999999999994</v>
      </c>
      <c r="J1873">
        <v>76.119</v>
      </c>
      <c r="K1873">
        <v>11.284000000000001</v>
      </c>
      <c r="L1873">
        <v>78</v>
      </c>
      <c r="M1873">
        <v>12</v>
      </c>
      <c r="N1873">
        <v>19</v>
      </c>
      <c r="O1873">
        <v>77.447000000000003</v>
      </c>
      <c r="P1873">
        <v>11.94311641</v>
      </c>
      <c r="Q1873">
        <v>14.255000000000001</v>
      </c>
    </row>
    <row r="1874" spans="1:17" x14ac:dyDescent="0.2">
      <c r="A1874" s="30" t="str">
        <f>IF(C1874&amp;G1874&amp;D1874&lt;&gt;'Funnel setup'!$K$3&amp;'Funnel setup'!$K$4&amp;'Funnel setup'!$K$5,".",IF(A1873=".",1,A1873+1))</f>
        <v>.</v>
      </c>
      <c r="B1874" s="431" t="str">
        <f t="shared" si="29"/>
        <v>Hip Replacement PrimaryProviderUNIVERSITY HOSPITAL OF SOUTH MANCHESTER NHS FOUNDATION TRUST (RM2)EQ VAS</v>
      </c>
      <c r="C1874" t="s">
        <v>248</v>
      </c>
      <c r="D1874" t="s">
        <v>1</v>
      </c>
      <c r="E1874" t="s">
        <v>3769</v>
      </c>
      <c r="F1874" t="s">
        <v>3770</v>
      </c>
      <c r="G1874" t="s">
        <v>179</v>
      </c>
      <c r="H1874">
        <v>90</v>
      </c>
      <c r="I1874">
        <v>64.656000000000006</v>
      </c>
      <c r="J1874">
        <v>74.444000000000003</v>
      </c>
      <c r="K1874">
        <v>9.7889999999999997</v>
      </c>
      <c r="L1874">
        <v>59</v>
      </c>
      <c r="M1874">
        <v>10</v>
      </c>
      <c r="N1874">
        <v>21</v>
      </c>
      <c r="O1874">
        <v>74.777000000000001</v>
      </c>
      <c r="P1874">
        <v>9.2722832489999991</v>
      </c>
      <c r="Q1874">
        <v>16.728999999999999</v>
      </c>
    </row>
    <row r="1875" spans="1:17" x14ac:dyDescent="0.2">
      <c r="A1875" s="30" t="str">
        <f>IF(C1875&amp;G1875&amp;D1875&lt;&gt;'Funnel setup'!$K$3&amp;'Funnel setup'!$K$4&amp;'Funnel setup'!$K$5,".",IF(A1874=".",1,A1874+1))</f>
        <v>.</v>
      </c>
      <c r="B1875" s="431" t="str">
        <f t="shared" si="29"/>
        <v>Hip Replacement PrimaryProviderUNIVERSITY HOSPITAL SOUTHAMPTON NHS FOUNDATION TRUST (RHM)EQ VAS</v>
      </c>
      <c r="C1875" t="s">
        <v>248</v>
      </c>
      <c r="D1875" t="s">
        <v>1</v>
      </c>
      <c r="E1875" t="s">
        <v>3772</v>
      </c>
      <c r="F1875" t="s">
        <v>3773</v>
      </c>
      <c r="G1875" t="s">
        <v>179</v>
      </c>
      <c r="H1875">
        <v>168</v>
      </c>
      <c r="I1875">
        <v>58.69</v>
      </c>
      <c r="J1875">
        <v>74.119</v>
      </c>
      <c r="K1875">
        <v>15.429</v>
      </c>
      <c r="L1875">
        <v>117</v>
      </c>
      <c r="M1875">
        <v>22</v>
      </c>
      <c r="N1875">
        <v>29</v>
      </c>
      <c r="O1875">
        <v>77.302000000000007</v>
      </c>
      <c r="P1875">
        <v>11.79718061</v>
      </c>
      <c r="Q1875">
        <v>16.727</v>
      </c>
    </row>
    <row r="1876" spans="1:17" x14ac:dyDescent="0.2">
      <c r="A1876" s="30" t="str">
        <f>IF(C1876&amp;G1876&amp;D1876&lt;&gt;'Funnel setup'!$K$3&amp;'Funnel setup'!$K$4&amp;'Funnel setup'!$K$5,".",IF(A1875=".",1,A1875+1))</f>
        <v>.</v>
      </c>
      <c r="B1876" s="431" t="str">
        <f t="shared" si="29"/>
        <v>Hip Replacement PrimaryProviderUNIVERSITY HOSPITALS COVENTRY AND WARWICKSHIRE NHS TRUST (RKB)EQ VAS</v>
      </c>
      <c r="C1876" t="s">
        <v>248</v>
      </c>
      <c r="D1876" t="s">
        <v>1</v>
      </c>
      <c r="E1876" t="s">
        <v>3715</v>
      </c>
      <c r="F1876" t="s">
        <v>3716</v>
      </c>
      <c r="G1876" t="s">
        <v>179</v>
      </c>
      <c r="H1876">
        <v>212</v>
      </c>
      <c r="I1876">
        <v>62.75</v>
      </c>
      <c r="J1876">
        <v>78.466999999999999</v>
      </c>
      <c r="K1876">
        <v>15.717000000000001</v>
      </c>
      <c r="L1876">
        <v>147</v>
      </c>
      <c r="M1876">
        <v>18</v>
      </c>
      <c r="N1876">
        <v>47</v>
      </c>
      <c r="O1876">
        <v>79.203999999999994</v>
      </c>
      <c r="P1876">
        <v>13.699892759999999</v>
      </c>
      <c r="Q1876">
        <v>16.178999999999998</v>
      </c>
    </row>
    <row r="1877" spans="1:17" x14ac:dyDescent="0.2">
      <c r="A1877" s="30" t="str">
        <f>IF(C1877&amp;G1877&amp;D1877&lt;&gt;'Funnel setup'!$K$3&amp;'Funnel setup'!$K$4&amp;'Funnel setup'!$K$5,".",IF(A1876=".",1,A1876+1))</f>
        <v>.</v>
      </c>
      <c r="B1877" s="431" t="str">
        <f t="shared" si="29"/>
        <v>Hip Replacement PrimaryProviderUNIVERSITY HOSPITALS OF LEICESTER NHS TRUST (RWE)EQ VAS</v>
      </c>
      <c r="C1877" t="s">
        <v>248</v>
      </c>
      <c r="D1877" t="s">
        <v>1</v>
      </c>
      <c r="E1877" t="s">
        <v>3718</v>
      </c>
      <c r="F1877" t="s">
        <v>3719</v>
      </c>
      <c r="G1877" t="s">
        <v>179</v>
      </c>
      <c r="H1877">
        <v>434</v>
      </c>
      <c r="I1877">
        <v>64.043999999999997</v>
      </c>
      <c r="J1877">
        <v>76.512</v>
      </c>
      <c r="K1877">
        <v>12.468</v>
      </c>
      <c r="L1877">
        <v>293</v>
      </c>
      <c r="M1877">
        <v>50</v>
      </c>
      <c r="N1877">
        <v>91</v>
      </c>
      <c r="O1877">
        <v>77.161000000000001</v>
      </c>
      <c r="P1877">
        <v>11.6567177</v>
      </c>
      <c r="Q1877">
        <v>15.419</v>
      </c>
    </row>
    <row r="1878" spans="1:17" x14ac:dyDescent="0.2">
      <c r="A1878" s="30" t="str">
        <f>IF(C1878&amp;G1878&amp;D1878&lt;&gt;'Funnel setup'!$K$3&amp;'Funnel setup'!$K$4&amp;'Funnel setup'!$K$5,".",IF(A1877=".",1,A1877+1))</f>
        <v>.</v>
      </c>
      <c r="B1878" s="431" t="str">
        <f t="shared" si="29"/>
        <v>Hip Replacement PrimaryProviderUNIVERSITY HOSPITALS OF MORECAMBE BAY NHS FOUNDATION TRUST (RTX)EQ VAS</v>
      </c>
      <c r="C1878" t="s">
        <v>248</v>
      </c>
      <c r="D1878" t="s">
        <v>1</v>
      </c>
      <c r="E1878" t="s">
        <v>3721</v>
      </c>
      <c r="F1878" t="s">
        <v>3722</v>
      </c>
      <c r="G1878" t="s">
        <v>179</v>
      </c>
      <c r="H1878">
        <v>253</v>
      </c>
      <c r="I1878">
        <v>66.260999999999996</v>
      </c>
      <c r="J1878">
        <v>76.722999999999999</v>
      </c>
      <c r="K1878">
        <v>10.462</v>
      </c>
      <c r="L1878">
        <v>156</v>
      </c>
      <c r="M1878">
        <v>35</v>
      </c>
      <c r="N1878">
        <v>62</v>
      </c>
      <c r="O1878">
        <v>76.588999999999999</v>
      </c>
      <c r="P1878">
        <v>11.08431408</v>
      </c>
      <c r="Q1878">
        <v>15.358000000000001</v>
      </c>
    </row>
    <row r="1879" spans="1:17" x14ac:dyDescent="0.2">
      <c r="A1879" s="30" t="str">
        <f>IF(C1879&amp;G1879&amp;D1879&lt;&gt;'Funnel setup'!$K$3&amp;'Funnel setup'!$K$4&amp;'Funnel setup'!$K$5,".",IF(A1878=".",1,A1878+1))</f>
        <v>.</v>
      </c>
      <c r="B1879" s="431" t="str">
        <f t="shared" si="29"/>
        <v>Hip Replacement PrimaryProviderUNIVERSITY HOSPITALS OF NORTH MIDLANDS NHS TRUST (RJE)EQ VAS</v>
      </c>
      <c r="C1879" t="s">
        <v>248</v>
      </c>
      <c r="D1879" t="s">
        <v>1</v>
      </c>
      <c r="E1879" t="s">
        <v>3724</v>
      </c>
      <c r="F1879" t="s">
        <v>3725</v>
      </c>
      <c r="G1879" t="s">
        <v>179</v>
      </c>
      <c r="H1879">
        <v>202</v>
      </c>
      <c r="I1879">
        <v>58.441000000000003</v>
      </c>
      <c r="J1879">
        <v>72.885999999999996</v>
      </c>
      <c r="K1879">
        <v>14.446</v>
      </c>
      <c r="L1879">
        <v>144</v>
      </c>
      <c r="M1879">
        <v>12</v>
      </c>
      <c r="N1879">
        <v>46</v>
      </c>
      <c r="O1879">
        <v>77.048000000000002</v>
      </c>
      <c r="P1879">
        <v>11.543643550000001</v>
      </c>
      <c r="Q1879">
        <v>16.73</v>
      </c>
    </row>
    <row r="1880" spans="1:17" x14ac:dyDescent="0.2">
      <c r="A1880" s="30" t="str">
        <f>IF(C1880&amp;G1880&amp;D1880&lt;&gt;'Funnel setup'!$K$3&amp;'Funnel setup'!$K$4&amp;'Funnel setup'!$K$5,".",IF(A1879=".",1,A1879+1))</f>
        <v>.</v>
      </c>
      <c r="B1880" s="431" t="str">
        <f t="shared" si="29"/>
        <v>Hip Replacement PrimaryProviderWALSALL HEALTHCARE NHS TRUST (RBK)EQ VAS</v>
      </c>
      <c r="C1880" t="s">
        <v>248</v>
      </c>
      <c r="D1880" t="s">
        <v>1</v>
      </c>
      <c r="E1880" t="s">
        <v>3727</v>
      </c>
      <c r="F1880" t="s">
        <v>3728</v>
      </c>
      <c r="G1880" t="s">
        <v>179</v>
      </c>
      <c r="H1880">
        <v>71</v>
      </c>
      <c r="I1880">
        <v>53.155000000000001</v>
      </c>
      <c r="J1880">
        <v>69.337999999999994</v>
      </c>
      <c r="K1880">
        <v>16.183</v>
      </c>
      <c r="L1880">
        <v>50</v>
      </c>
      <c r="M1880">
        <v>6</v>
      </c>
      <c r="N1880">
        <v>15</v>
      </c>
      <c r="O1880">
        <v>74.534999999999997</v>
      </c>
      <c r="P1880">
        <v>9.0306578660000003</v>
      </c>
      <c r="Q1880">
        <v>18.966999999999999</v>
      </c>
    </row>
    <row r="1881" spans="1:17" x14ac:dyDescent="0.2">
      <c r="A1881" s="30" t="str">
        <f>IF(C1881&amp;G1881&amp;D1881&lt;&gt;'Funnel setup'!$K$3&amp;'Funnel setup'!$K$4&amp;'Funnel setup'!$K$5,".",IF(A1880=".",1,A1880+1))</f>
        <v>.</v>
      </c>
      <c r="B1881" s="431" t="str">
        <f t="shared" si="29"/>
        <v>Hip Replacement PrimaryProviderWARRINGTON AND HALTON HOSPITALS NHS FOUNDATION TRUST (RWW)EQ VAS</v>
      </c>
      <c r="C1881" t="s">
        <v>248</v>
      </c>
      <c r="D1881" t="s">
        <v>1</v>
      </c>
      <c r="E1881" t="s">
        <v>3730</v>
      </c>
      <c r="F1881" t="s">
        <v>3731</v>
      </c>
      <c r="G1881" t="s">
        <v>179</v>
      </c>
      <c r="H1881">
        <v>144</v>
      </c>
      <c r="I1881">
        <v>65.382000000000005</v>
      </c>
      <c r="J1881">
        <v>75.263999999999996</v>
      </c>
      <c r="K1881">
        <v>9.8819999999999997</v>
      </c>
      <c r="L1881">
        <v>89</v>
      </c>
      <c r="M1881">
        <v>19</v>
      </c>
      <c r="N1881">
        <v>36</v>
      </c>
      <c r="O1881">
        <v>75.441999999999993</v>
      </c>
      <c r="P1881">
        <v>9.9378658630000007</v>
      </c>
      <c r="Q1881">
        <v>17.538</v>
      </c>
    </row>
    <row r="1882" spans="1:17" x14ac:dyDescent="0.2">
      <c r="A1882" s="30" t="str">
        <f>IF(C1882&amp;G1882&amp;D1882&lt;&gt;'Funnel setup'!$K$3&amp;'Funnel setup'!$K$4&amp;'Funnel setup'!$K$5,".",IF(A1881=".",1,A1881+1))</f>
        <v>.</v>
      </c>
      <c r="B1882" s="431" t="str">
        <f t="shared" si="29"/>
        <v>Hip Replacement PrimaryProviderWEST HERTFORDSHIRE HOSPITALS NHS TRUST (RWG)EQ VAS</v>
      </c>
      <c r="C1882" t="s">
        <v>248</v>
      </c>
      <c r="D1882" t="s">
        <v>1</v>
      </c>
      <c r="E1882" t="s">
        <v>3733</v>
      </c>
      <c r="F1882" t="s">
        <v>3734</v>
      </c>
      <c r="G1882" t="s">
        <v>179</v>
      </c>
      <c r="H1882">
        <v>165</v>
      </c>
      <c r="I1882">
        <v>63.841999999999999</v>
      </c>
      <c r="J1882">
        <v>78.63</v>
      </c>
      <c r="K1882">
        <v>14.788</v>
      </c>
      <c r="L1882">
        <v>115</v>
      </c>
      <c r="M1882">
        <v>22</v>
      </c>
      <c r="N1882">
        <v>28</v>
      </c>
      <c r="O1882">
        <v>78.569000000000003</v>
      </c>
      <c r="P1882">
        <v>13.064487440000001</v>
      </c>
      <c r="Q1882">
        <v>15.125999999999999</v>
      </c>
    </row>
    <row r="1883" spans="1:17" x14ac:dyDescent="0.2">
      <c r="A1883" s="30" t="str">
        <f>IF(C1883&amp;G1883&amp;D1883&lt;&gt;'Funnel setup'!$K$3&amp;'Funnel setup'!$K$4&amp;'Funnel setup'!$K$5,".",IF(A1882=".",1,A1882+1))</f>
        <v>.</v>
      </c>
      <c r="B1883" s="431" t="str">
        <f t="shared" si="29"/>
        <v>Hip Replacement PrimaryProviderWEST MIDDLESEX UNIVERSITY HOSPITAL NHS TRUST (RFW)EQ VAS</v>
      </c>
      <c r="C1883" t="s">
        <v>248</v>
      </c>
      <c r="D1883" t="s">
        <v>1</v>
      </c>
      <c r="E1883" t="s">
        <v>3736</v>
      </c>
      <c r="F1883" t="s">
        <v>3737</v>
      </c>
      <c r="G1883" t="s">
        <v>179</v>
      </c>
      <c r="H1883">
        <v>54</v>
      </c>
      <c r="I1883">
        <v>65.480999999999995</v>
      </c>
      <c r="J1883">
        <v>76.741</v>
      </c>
      <c r="K1883">
        <v>11.259</v>
      </c>
      <c r="L1883">
        <v>36</v>
      </c>
      <c r="M1883">
        <v>5</v>
      </c>
      <c r="N1883">
        <v>13</v>
      </c>
      <c r="O1883">
        <v>77.09</v>
      </c>
      <c r="P1883">
        <v>11.586075709999999</v>
      </c>
      <c r="Q1883">
        <v>14.513999999999999</v>
      </c>
    </row>
    <row r="1884" spans="1:17" x14ac:dyDescent="0.2">
      <c r="A1884" s="30" t="str">
        <f>IF(C1884&amp;G1884&amp;D1884&lt;&gt;'Funnel setup'!$K$3&amp;'Funnel setup'!$K$4&amp;'Funnel setup'!$K$5,".",IF(A1883=".",1,A1883+1))</f>
        <v>.</v>
      </c>
      <c r="B1884" s="431" t="str">
        <f t="shared" si="29"/>
        <v>Hip Replacement PrimaryProviderWEST MIDLANDS HOSPITAL (NVC21)EQ VAS</v>
      </c>
      <c r="C1884" t="s">
        <v>248</v>
      </c>
      <c r="D1884" t="s">
        <v>1</v>
      </c>
      <c r="E1884" t="s">
        <v>3709</v>
      </c>
      <c r="F1884" t="s">
        <v>3710</v>
      </c>
      <c r="G1884" t="s">
        <v>179</v>
      </c>
      <c r="H1884">
        <v>78</v>
      </c>
      <c r="I1884">
        <v>68.667000000000002</v>
      </c>
      <c r="J1884">
        <v>80.885000000000005</v>
      </c>
      <c r="K1884">
        <v>12.218</v>
      </c>
      <c r="L1884">
        <v>49</v>
      </c>
      <c r="M1884">
        <v>12</v>
      </c>
      <c r="N1884">
        <v>17</v>
      </c>
      <c r="O1884">
        <v>79.840999999999994</v>
      </c>
      <c r="P1884">
        <v>14.33663117</v>
      </c>
      <c r="Q1884">
        <v>12.067</v>
      </c>
    </row>
    <row r="1885" spans="1:17" x14ac:dyDescent="0.2">
      <c r="A1885" s="30" t="str">
        <f>IF(C1885&amp;G1885&amp;D1885&lt;&gt;'Funnel setup'!$K$3&amp;'Funnel setup'!$K$4&amp;'Funnel setup'!$K$5,".",IF(A1884=".",1,A1884+1))</f>
        <v>.</v>
      </c>
      <c r="B1885" s="431" t="str">
        <f t="shared" si="29"/>
        <v>Hip Replacement PrimaryProviderWEST SUFFOLK NHS FOUNDATION TRUST (RGR)EQ VAS</v>
      </c>
      <c r="C1885" t="s">
        <v>248</v>
      </c>
      <c r="D1885" t="s">
        <v>1</v>
      </c>
      <c r="E1885" t="s">
        <v>3712</v>
      </c>
      <c r="F1885" t="s">
        <v>3713</v>
      </c>
      <c r="G1885" t="s">
        <v>179</v>
      </c>
      <c r="H1885">
        <v>215</v>
      </c>
      <c r="I1885">
        <v>65.064999999999998</v>
      </c>
      <c r="J1885">
        <v>76.795000000000002</v>
      </c>
      <c r="K1885">
        <v>11.73</v>
      </c>
      <c r="L1885">
        <v>149</v>
      </c>
      <c r="M1885">
        <v>17</v>
      </c>
      <c r="N1885">
        <v>49</v>
      </c>
      <c r="O1885">
        <v>77.296000000000006</v>
      </c>
      <c r="P1885">
        <v>11.79197956</v>
      </c>
      <c r="Q1885">
        <v>16.885000000000002</v>
      </c>
    </row>
    <row r="1886" spans="1:17" x14ac:dyDescent="0.2">
      <c r="A1886" s="30" t="str">
        <f>IF(C1886&amp;G1886&amp;D1886&lt;&gt;'Funnel setup'!$K$3&amp;'Funnel setup'!$K$4&amp;'Funnel setup'!$K$5,".",IF(A1885=".",1,A1885+1))</f>
        <v>.</v>
      </c>
      <c r="B1886" s="431" t="str">
        <f t="shared" si="29"/>
        <v>Hip Replacement PrimaryProviderWESTERN SUSSEX HOSPITALS NHS FOUNDATION TRUST (RYR)EQ VAS</v>
      </c>
      <c r="C1886" t="s">
        <v>248</v>
      </c>
      <c r="D1886" t="s">
        <v>1</v>
      </c>
      <c r="E1886" t="s">
        <v>3706</v>
      </c>
      <c r="F1886" t="s">
        <v>3707</v>
      </c>
      <c r="G1886" t="s">
        <v>179</v>
      </c>
      <c r="H1886">
        <v>311</v>
      </c>
      <c r="I1886">
        <v>62.624000000000002</v>
      </c>
      <c r="J1886">
        <v>75.042000000000002</v>
      </c>
      <c r="K1886">
        <v>12.417999999999999</v>
      </c>
      <c r="L1886">
        <v>200</v>
      </c>
      <c r="M1886">
        <v>32</v>
      </c>
      <c r="N1886">
        <v>79</v>
      </c>
      <c r="O1886">
        <v>76.873999999999995</v>
      </c>
      <c r="P1886">
        <v>11.36943831</v>
      </c>
      <c r="Q1886">
        <v>16.701000000000001</v>
      </c>
    </row>
    <row r="1887" spans="1:17" x14ac:dyDescent="0.2">
      <c r="A1887" s="30" t="str">
        <f>IF(C1887&amp;G1887&amp;D1887&lt;&gt;'Funnel setup'!$K$3&amp;'Funnel setup'!$K$4&amp;'Funnel setup'!$K$5,".",IF(A1886=".",1,A1886+1))</f>
        <v>.</v>
      </c>
      <c r="B1887" s="431" t="str">
        <f t="shared" si="29"/>
        <v>Hip Replacement PrimaryProviderWESTON AREA HEALTH NHS TRUST (RA3)EQ VAS</v>
      </c>
      <c r="C1887" t="s">
        <v>248</v>
      </c>
      <c r="D1887" t="s">
        <v>1</v>
      </c>
      <c r="E1887" t="s">
        <v>3525</v>
      </c>
      <c r="F1887" t="s">
        <v>3526</v>
      </c>
      <c r="G1887" t="s">
        <v>179</v>
      </c>
      <c r="H1887">
        <v>80</v>
      </c>
      <c r="I1887">
        <v>66.8</v>
      </c>
      <c r="J1887">
        <v>75.638000000000005</v>
      </c>
      <c r="K1887">
        <v>8.8379999999999992</v>
      </c>
      <c r="L1887">
        <v>53</v>
      </c>
      <c r="M1887">
        <v>5</v>
      </c>
      <c r="N1887">
        <v>22</v>
      </c>
      <c r="O1887">
        <v>75.527000000000001</v>
      </c>
      <c r="P1887">
        <v>10.02282508</v>
      </c>
      <c r="Q1887">
        <v>16.210999999999999</v>
      </c>
    </row>
    <row r="1888" spans="1:17" x14ac:dyDescent="0.2">
      <c r="A1888" s="30" t="str">
        <f>IF(C1888&amp;G1888&amp;D1888&lt;&gt;'Funnel setup'!$K$3&amp;'Funnel setup'!$K$4&amp;'Funnel setup'!$K$5,".",IF(A1887=".",1,A1887+1))</f>
        <v>.</v>
      </c>
      <c r="B1888" s="431" t="str">
        <f t="shared" si="29"/>
        <v>Hip Replacement PrimaryProviderWINFIELD HOSPITAL (NVC22)EQ VAS</v>
      </c>
      <c r="C1888" t="s">
        <v>248</v>
      </c>
      <c r="D1888" t="s">
        <v>1</v>
      </c>
      <c r="E1888" t="s">
        <v>3534</v>
      </c>
      <c r="F1888" t="s">
        <v>3535</v>
      </c>
      <c r="G1888" t="s">
        <v>179</v>
      </c>
      <c r="H1888">
        <v>74</v>
      </c>
      <c r="I1888">
        <v>68.715999999999994</v>
      </c>
      <c r="J1888">
        <v>82.378</v>
      </c>
      <c r="K1888">
        <v>13.662000000000001</v>
      </c>
      <c r="L1888">
        <v>47</v>
      </c>
      <c r="M1888">
        <v>12</v>
      </c>
      <c r="N1888">
        <v>15</v>
      </c>
      <c r="O1888">
        <v>79.745999999999995</v>
      </c>
      <c r="P1888">
        <v>14.24148222</v>
      </c>
      <c r="Q1888">
        <v>15.933</v>
      </c>
    </row>
    <row r="1889" spans="1:17" x14ac:dyDescent="0.2">
      <c r="A1889" s="30" t="str">
        <f>IF(C1889&amp;G1889&amp;D1889&lt;&gt;'Funnel setup'!$K$3&amp;'Funnel setup'!$K$4&amp;'Funnel setup'!$K$5,".",IF(A1888=".",1,A1888+1))</f>
        <v>.</v>
      </c>
      <c r="B1889" s="431" t="str">
        <f t="shared" si="29"/>
        <v>Hip Replacement PrimaryProviderWIRRAL UNIVERSITY TEACHING HOSPITAL NHS FOUNDATION TRUST (RBL)EQ VAS</v>
      </c>
      <c r="C1889" t="s">
        <v>248</v>
      </c>
      <c r="D1889" t="s">
        <v>1</v>
      </c>
      <c r="E1889" t="s">
        <v>3537</v>
      </c>
      <c r="F1889" t="s">
        <v>3538</v>
      </c>
      <c r="G1889" t="s">
        <v>179</v>
      </c>
      <c r="H1889">
        <v>238</v>
      </c>
      <c r="I1889">
        <v>66.671999999999997</v>
      </c>
      <c r="J1889">
        <v>76.626000000000005</v>
      </c>
      <c r="K1889">
        <v>9.9540000000000006</v>
      </c>
      <c r="L1889">
        <v>151</v>
      </c>
      <c r="M1889">
        <v>25</v>
      </c>
      <c r="N1889">
        <v>62</v>
      </c>
      <c r="O1889">
        <v>77.891000000000005</v>
      </c>
      <c r="P1889">
        <v>12.386936889999999</v>
      </c>
      <c r="Q1889">
        <v>16.346</v>
      </c>
    </row>
    <row r="1890" spans="1:17" x14ac:dyDescent="0.2">
      <c r="A1890" s="30" t="str">
        <f>IF(C1890&amp;G1890&amp;D1890&lt;&gt;'Funnel setup'!$K$3&amp;'Funnel setup'!$K$4&amp;'Funnel setup'!$K$5,".",IF(A1889=".",1,A1889+1))</f>
        <v>.</v>
      </c>
      <c r="B1890" s="431" t="str">
        <f t="shared" si="29"/>
        <v>Hip Replacement PrimaryProviderWOODLAND HOSPITAL (NVC23)EQ VAS</v>
      </c>
      <c r="C1890" t="s">
        <v>248</v>
      </c>
      <c r="D1890" t="s">
        <v>1</v>
      </c>
      <c r="E1890" t="s">
        <v>3540</v>
      </c>
      <c r="F1890" t="s">
        <v>3541</v>
      </c>
      <c r="G1890" t="s">
        <v>179</v>
      </c>
      <c r="H1890">
        <v>118</v>
      </c>
      <c r="I1890">
        <v>53.533999999999999</v>
      </c>
      <c r="J1890">
        <v>75.373000000000005</v>
      </c>
      <c r="K1890">
        <v>21.838999999999999</v>
      </c>
      <c r="L1890">
        <v>87</v>
      </c>
      <c r="M1890">
        <v>9</v>
      </c>
      <c r="N1890">
        <v>22</v>
      </c>
      <c r="O1890">
        <v>77.269000000000005</v>
      </c>
      <c r="P1890">
        <v>11.76475976</v>
      </c>
      <c r="Q1890">
        <v>16.765999999999998</v>
      </c>
    </row>
    <row r="1891" spans="1:17" x14ac:dyDescent="0.2">
      <c r="A1891" s="30" t="str">
        <f>IF(C1891&amp;G1891&amp;D1891&lt;&gt;'Funnel setup'!$K$3&amp;'Funnel setup'!$K$4&amp;'Funnel setup'!$K$5,".",IF(A1890=".",1,A1890+1))</f>
        <v>.</v>
      </c>
      <c r="B1891" s="431" t="str">
        <f t="shared" si="29"/>
        <v>Hip Replacement PrimaryProviderWOODTHORPE HOSPITAL (NVC40)EQ VAS</v>
      </c>
      <c r="C1891" t="s">
        <v>248</v>
      </c>
      <c r="D1891" t="s">
        <v>1</v>
      </c>
      <c r="E1891" t="s">
        <v>3689</v>
      </c>
      <c r="F1891" t="s">
        <v>6576</v>
      </c>
      <c r="G1891" t="s">
        <v>179</v>
      </c>
      <c r="H1891">
        <v>131</v>
      </c>
      <c r="I1891">
        <v>68.358999999999995</v>
      </c>
      <c r="J1891">
        <v>79.694999999999993</v>
      </c>
      <c r="K1891">
        <v>11.336</v>
      </c>
      <c r="L1891">
        <v>86</v>
      </c>
      <c r="M1891">
        <v>21</v>
      </c>
      <c r="N1891">
        <v>24</v>
      </c>
      <c r="O1891">
        <v>76.781999999999996</v>
      </c>
      <c r="P1891">
        <v>11.277934849999999</v>
      </c>
      <c r="Q1891">
        <v>16.231000000000002</v>
      </c>
    </row>
    <row r="1892" spans="1:17" x14ac:dyDescent="0.2">
      <c r="A1892" s="30" t="str">
        <f>IF(C1892&amp;G1892&amp;D1892&lt;&gt;'Funnel setup'!$K$3&amp;'Funnel setup'!$K$4&amp;'Funnel setup'!$K$5,".",IF(A1891=".",1,A1891+1))</f>
        <v>.</v>
      </c>
      <c r="B1892" s="431" t="str">
        <f t="shared" si="29"/>
        <v>Hip Replacement PrimaryProviderWORCESTERSHIRE ACUTE HOSPITALS NHS TRUST (RWP)EQ VAS</v>
      </c>
      <c r="C1892" t="s">
        <v>248</v>
      </c>
      <c r="D1892" t="s">
        <v>1</v>
      </c>
      <c r="E1892" t="s">
        <v>3543</v>
      </c>
      <c r="F1892" t="s">
        <v>3544</v>
      </c>
      <c r="G1892" t="s">
        <v>179</v>
      </c>
      <c r="H1892">
        <v>264</v>
      </c>
      <c r="I1892">
        <v>67.36</v>
      </c>
      <c r="J1892">
        <v>78.094999999999999</v>
      </c>
      <c r="K1892">
        <v>10.734999999999999</v>
      </c>
      <c r="L1892">
        <v>169</v>
      </c>
      <c r="M1892">
        <v>28</v>
      </c>
      <c r="N1892">
        <v>67</v>
      </c>
      <c r="O1892">
        <v>78.212999999999994</v>
      </c>
      <c r="P1892">
        <v>12.70891743</v>
      </c>
      <c r="Q1892">
        <v>16.678999999999998</v>
      </c>
    </row>
    <row r="1893" spans="1:17" x14ac:dyDescent="0.2">
      <c r="A1893" s="30" t="str">
        <f>IF(C1893&amp;G1893&amp;D1893&lt;&gt;'Funnel setup'!$K$3&amp;'Funnel setup'!$K$4&amp;'Funnel setup'!$K$5,".",IF(A1892=".",1,A1892+1))</f>
        <v>.</v>
      </c>
      <c r="B1893" s="431" t="str">
        <f t="shared" si="29"/>
        <v>Hip Replacement PrimaryProviderWRIGHTINGTON, WIGAN AND LEIGH NHS FOUNDATION TRUST (RRF)EQ VAS</v>
      </c>
      <c r="C1893" t="s">
        <v>248</v>
      </c>
      <c r="D1893" t="s">
        <v>1</v>
      </c>
      <c r="E1893" t="s">
        <v>3546</v>
      </c>
      <c r="F1893" t="s">
        <v>3547</v>
      </c>
      <c r="G1893" t="s">
        <v>179</v>
      </c>
      <c r="H1893">
        <v>234</v>
      </c>
      <c r="I1893">
        <v>63.65</v>
      </c>
      <c r="J1893">
        <v>77.584999999999994</v>
      </c>
      <c r="K1893">
        <v>13.936</v>
      </c>
      <c r="L1893">
        <v>157</v>
      </c>
      <c r="M1893">
        <v>28</v>
      </c>
      <c r="N1893">
        <v>49</v>
      </c>
      <c r="O1893">
        <v>78.376000000000005</v>
      </c>
      <c r="P1893">
        <v>12.87146551</v>
      </c>
      <c r="Q1893">
        <v>14.406000000000001</v>
      </c>
    </row>
    <row r="1894" spans="1:17" x14ac:dyDescent="0.2">
      <c r="A1894" s="30" t="str">
        <f>IF(C1894&amp;G1894&amp;D1894&lt;&gt;'Funnel setup'!$K$3&amp;'Funnel setup'!$K$4&amp;'Funnel setup'!$K$5,".",IF(A1893=".",1,A1893+1))</f>
        <v>.</v>
      </c>
      <c r="B1894" s="431" t="str">
        <f t="shared" si="29"/>
        <v>Hip Replacement PrimaryProviderWYE VALLEY NHS TRUST (RLQ)EQ VAS</v>
      </c>
      <c r="C1894" t="s">
        <v>248</v>
      </c>
      <c r="D1894" t="s">
        <v>1</v>
      </c>
      <c r="E1894" t="s">
        <v>3517</v>
      </c>
      <c r="F1894" t="s">
        <v>3518</v>
      </c>
      <c r="G1894" t="s">
        <v>179</v>
      </c>
      <c r="H1894">
        <v>94</v>
      </c>
      <c r="I1894">
        <v>66.563999999999993</v>
      </c>
      <c r="J1894">
        <v>78.073999999999998</v>
      </c>
      <c r="K1894">
        <v>11.510999999999999</v>
      </c>
      <c r="L1894">
        <v>61</v>
      </c>
      <c r="M1894">
        <v>12</v>
      </c>
      <c r="N1894">
        <v>21</v>
      </c>
      <c r="O1894">
        <v>77.463999999999999</v>
      </c>
      <c r="P1894">
        <v>11.959346630000001</v>
      </c>
      <c r="Q1894">
        <v>15.957000000000001</v>
      </c>
    </row>
    <row r="1895" spans="1:17" x14ac:dyDescent="0.2">
      <c r="A1895" s="30" t="str">
        <f>IF(C1895&amp;G1895&amp;D1895&lt;&gt;'Funnel setup'!$K$3&amp;'Funnel setup'!$K$4&amp;'Funnel setup'!$K$5,".",IF(A1894=".",1,A1894+1))</f>
        <v>.</v>
      </c>
      <c r="B1895" s="431" t="str">
        <f t="shared" si="29"/>
        <v>Hip Replacement PrimaryProviderYEOVIL DISTRICT HOSPITAL NHS FOUNDATION TRUST (RA4)EQ VAS</v>
      </c>
      <c r="C1895" t="s">
        <v>248</v>
      </c>
      <c r="D1895" t="s">
        <v>1</v>
      </c>
      <c r="E1895" t="s">
        <v>3520</v>
      </c>
      <c r="F1895" t="s">
        <v>341</v>
      </c>
      <c r="G1895" t="s">
        <v>179</v>
      </c>
      <c r="H1895">
        <v>64</v>
      </c>
      <c r="I1895">
        <v>63.655999999999999</v>
      </c>
      <c r="J1895">
        <v>81.578000000000003</v>
      </c>
      <c r="K1895">
        <v>17.922000000000001</v>
      </c>
      <c r="L1895">
        <v>46</v>
      </c>
      <c r="M1895">
        <v>7</v>
      </c>
      <c r="N1895">
        <v>11</v>
      </c>
      <c r="O1895">
        <v>79.914000000000001</v>
      </c>
      <c r="P1895">
        <v>14.40974078</v>
      </c>
      <c r="Q1895">
        <v>14.862</v>
      </c>
    </row>
    <row r="1896" spans="1:17" x14ac:dyDescent="0.2">
      <c r="A1896" s="30" t="str">
        <f>IF(C1896&amp;G1896&amp;D1896&lt;&gt;'Funnel setup'!$K$3&amp;'Funnel setup'!$K$4&amp;'Funnel setup'!$K$5,".",IF(A1895=".",1,A1895+1))</f>
        <v>.</v>
      </c>
      <c r="B1896" s="431" t="str">
        <f t="shared" si="29"/>
        <v>Hip Replacement PrimaryProviderYORK TEACHING HOSPITAL NHS FOUNDATION TRUST (RCB)EQ VAS</v>
      </c>
      <c r="C1896" t="s">
        <v>248</v>
      </c>
      <c r="D1896" t="s">
        <v>1</v>
      </c>
      <c r="E1896" t="s">
        <v>3515</v>
      </c>
      <c r="F1896" t="s">
        <v>343</v>
      </c>
      <c r="G1896" t="s">
        <v>179</v>
      </c>
      <c r="H1896">
        <v>298</v>
      </c>
      <c r="I1896">
        <v>65.497</v>
      </c>
      <c r="J1896">
        <v>78.497</v>
      </c>
      <c r="K1896">
        <v>13</v>
      </c>
      <c r="L1896">
        <v>203</v>
      </c>
      <c r="M1896">
        <v>32</v>
      </c>
      <c r="N1896">
        <v>63</v>
      </c>
      <c r="O1896">
        <v>79.153999999999996</v>
      </c>
      <c r="P1896">
        <v>13.6493544</v>
      </c>
      <c r="Q1896">
        <v>13.513</v>
      </c>
    </row>
    <row r="1897" spans="1:17" x14ac:dyDescent="0.2">
      <c r="A1897" s="30" t="str">
        <f>IF(C1897&amp;G1897&amp;D1897&lt;&gt;'Funnel setup'!$K$3&amp;'Funnel setup'!$K$4&amp;'Funnel setup'!$K$5,".",IF(A1896=".",1,A1896+1))</f>
        <v>.</v>
      </c>
      <c r="B1897" s="431" t="str">
        <f t="shared" si="29"/>
        <v>Hip Replacement PrimaryProviderAINTREE UNIVERSITY HOSPITAL NHS FOUNDATION TRUST (REM)EQ-5D Index</v>
      </c>
      <c r="C1897" t="s">
        <v>248</v>
      </c>
      <c r="D1897" t="s">
        <v>1</v>
      </c>
      <c r="E1897" t="s">
        <v>3838</v>
      </c>
      <c r="F1897" t="s">
        <v>3839</v>
      </c>
      <c r="G1897" t="s">
        <v>52</v>
      </c>
      <c r="H1897">
        <v>113</v>
      </c>
      <c r="I1897">
        <v>0.246</v>
      </c>
      <c r="J1897">
        <v>0.69199999999999995</v>
      </c>
      <c r="K1897">
        <v>0.44600000000000001</v>
      </c>
      <c r="L1897">
        <v>102</v>
      </c>
      <c r="M1897">
        <v>8</v>
      </c>
      <c r="N1897">
        <v>3</v>
      </c>
      <c r="O1897">
        <v>0.76300000000000001</v>
      </c>
      <c r="P1897">
        <v>0.40143002999999999</v>
      </c>
      <c r="Q1897">
        <v>0.26100000000000001</v>
      </c>
    </row>
    <row r="1898" spans="1:17" x14ac:dyDescent="0.2">
      <c r="A1898" s="30" t="str">
        <f>IF(C1898&amp;G1898&amp;D1898&lt;&gt;'Funnel setup'!$K$3&amp;'Funnel setup'!$K$4&amp;'Funnel setup'!$K$5,".",IF(A1897=".",1,A1897+1))</f>
        <v>.</v>
      </c>
      <c r="B1898" s="431" t="str">
        <f t="shared" si="29"/>
        <v>Hip Replacement PrimaryProviderAIREDALE NHS FOUNDATION TRUST (RCF)EQ-5D Index</v>
      </c>
      <c r="C1898" t="s">
        <v>248</v>
      </c>
      <c r="D1898" t="s">
        <v>1</v>
      </c>
      <c r="E1898" t="s">
        <v>3841</v>
      </c>
      <c r="F1898" t="s">
        <v>3842</v>
      </c>
      <c r="G1898" t="s">
        <v>52</v>
      </c>
      <c r="H1898">
        <v>150</v>
      </c>
      <c r="I1898">
        <v>0.371</v>
      </c>
      <c r="J1898">
        <v>0.79900000000000004</v>
      </c>
      <c r="K1898">
        <v>0.42799999999999999</v>
      </c>
      <c r="L1898">
        <v>135</v>
      </c>
      <c r="M1898">
        <v>10</v>
      </c>
      <c r="N1898">
        <v>5</v>
      </c>
      <c r="O1898">
        <v>0.80100000000000005</v>
      </c>
      <c r="P1898">
        <v>0.43895806300000001</v>
      </c>
      <c r="Q1898">
        <v>0.21299999999999999</v>
      </c>
    </row>
    <row r="1899" spans="1:17" x14ac:dyDescent="0.2">
      <c r="A1899" s="30" t="str">
        <f>IF(C1899&amp;G1899&amp;D1899&lt;&gt;'Funnel setup'!$K$3&amp;'Funnel setup'!$K$4&amp;'Funnel setup'!$K$5,".",IF(A1898=".",1,A1898+1))</f>
        <v>.</v>
      </c>
      <c r="B1899" s="431" t="str">
        <f t="shared" si="29"/>
        <v>Hip Replacement PrimaryProviderASHFORD AND ST PETER'S HOSPITALS NHS FOUNDATION TRUST (RTK)EQ-5D Index</v>
      </c>
      <c r="C1899" t="s">
        <v>248</v>
      </c>
      <c r="D1899" t="s">
        <v>1</v>
      </c>
      <c r="E1899" t="s">
        <v>3844</v>
      </c>
      <c r="F1899" t="s">
        <v>345</v>
      </c>
      <c r="G1899" t="s">
        <v>52</v>
      </c>
      <c r="H1899">
        <v>241</v>
      </c>
      <c r="I1899">
        <v>0.41699999999999998</v>
      </c>
      <c r="J1899">
        <v>0.83499999999999996</v>
      </c>
      <c r="K1899">
        <v>0.41899999999999998</v>
      </c>
      <c r="L1899">
        <v>216</v>
      </c>
      <c r="M1899">
        <v>12</v>
      </c>
      <c r="N1899">
        <v>13</v>
      </c>
      <c r="O1899">
        <v>0.81200000000000006</v>
      </c>
      <c r="P1899">
        <v>0.45008613600000003</v>
      </c>
      <c r="Q1899">
        <v>0.19700000000000001</v>
      </c>
    </row>
    <row r="1900" spans="1:17" x14ac:dyDescent="0.2">
      <c r="A1900" s="30" t="str">
        <f>IF(C1900&amp;G1900&amp;D1900&lt;&gt;'Funnel setup'!$K$3&amp;'Funnel setup'!$K$4&amp;'Funnel setup'!$K$5,".",IF(A1899=".",1,A1899+1))</f>
        <v>.</v>
      </c>
      <c r="B1900" s="431" t="str">
        <f t="shared" si="29"/>
        <v>Hip Replacement PrimaryProviderASHTEAD HOSPITAL (NVC01)EQ-5D Index</v>
      </c>
      <c r="C1900" t="s">
        <v>248</v>
      </c>
      <c r="D1900" t="s">
        <v>1</v>
      </c>
      <c r="E1900" t="s">
        <v>3846</v>
      </c>
      <c r="F1900" t="s">
        <v>3847</v>
      </c>
      <c r="G1900" t="s">
        <v>52</v>
      </c>
      <c r="H1900">
        <v>59</v>
      </c>
      <c r="I1900">
        <v>0.40100000000000002</v>
      </c>
      <c r="J1900">
        <v>0.84899999999999998</v>
      </c>
      <c r="K1900">
        <v>0.44700000000000001</v>
      </c>
      <c r="L1900">
        <v>55</v>
      </c>
      <c r="M1900">
        <v>2</v>
      </c>
      <c r="N1900">
        <v>2</v>
      </c>
      <c r="O1900">
        <v>0.79900000000000004</v>
      </c>
      <c r="P1900">
        <v>0.43768656099999997</v>
      </c>
      <c r="Q1900">
        <v>0.20899999999999999</v>
      </c>
    </row>
    <row r="1901" spans="1:17" x14ac:dyDescent="0.2">
      <c r="A1901" s="30" t="str">
        <f>IF(C1901&amp;G1901&amp;D1901&lt;&gt;'Funnel setup'!$K$3&amp;'Funnel setup'!$K$4&amp;'Funnel setup'!$K$5,".",IF(A1900=".",1,A1900+1))</f>
        <v>.</v>
      </c>
      <c r="B1901" s="431" t="str">
        <f t="shared" si="29"/>
        <v>Hip Replacement PrimaryProviderASPEN - CLAREMONT HOSPITAL (NYW04)EQ-5D Index</v>
      </c>
      <c r="C1901" t="s">
        <v>248</v>
      </c>
      <c r="D1901" t="s">
        <v>1</v>
      </c>
      <c r="E1901" t="s">
        <v>3500</v>
      </c>
      <c r="F1901" t="s">
        <v>3501</v>
      </c>
      <c r="G1901" t="s">
        <v>52</v>
      </c>
      <c r="H1901">
        <v>65</v>
      </c>
      <c r="I1901">
        <v>0.39200000000000002</v>
      </c>
      <c r="J1901">
        <v>0.85799999999999998</v>
      </c>
      <c r="K1901">
        <v>0.46600000000000003</v>
      </c>
      <c r="L1901">
        <v>61</v>
      </c>
      <c r="M1901">
        <v>3</v>
      </c>
      <c r="N1901">
        <v>1</v>
      </c>
      <c r="O1901">
        <v>0.83799999999999997</v>
      </c>
      <c r="P1901">
        <v>0.476075837</v>
      </c>
      <c r="Q1901">
        <v>0.161</v>
      </c>
    </row>
    <row r="1902" spans="1:17" x14ac:dyDescent="0.2">
      <c r="A1902" s="30" t="str">
        <f>IF(C1902&amp;G1902&amp;D1902&lt;&gt;'Funnel setup'!$K$3&amp;'Funnel setup'!$K$4&amp;'Funnel setup'!$K$5,".",IF(A1901=".",1,A1901+1))</f>
        <v>.</v>
      </c>
      <c r="B1902" s="431" t="str">
        <f t="shared" si="29"/>
        <v>Hip Replacement PrimaryProviderASPEN - HOLLY HOUSE HOSPITAL (NYW01)EQ-5D Index</v>
      </c>
      <c r="C1902" t="s">
        <v>248</v>
      </c>
      <c r="D1902" t="s">
        <v>1</v>
      </c>
      <c r="E1902" t="s">
        <v>3506</v>
      </c>
      <c r="F1902" t="s">
        <v>3507</v>
      </c>
      <c r="G1902" t="s">
        <v>52</v>
      </c>
      <c r="H1902">
        <v>19</v>
      </c>
      <c r="I1902">
        <v>0.30099999999999999</v>
      </c>
      <c r="J1902">
        <v>0.77200000000000002</v>
      </c>
      <c r="K1902">
        <v>0.47099999999999997</v>
      </c>
      <c r="L1902">
        <v>17</v>
      </c>
      <c r="M1902">
        <v>1</v>
      </c>
      <c r="N1902">
        <v>1</v>
      </c>
      <c r="O1902" t="s">
        <v>53</v>
      </c>
      <c r="P1902" t="s">
        <v>53</v>
      </c>
      <c r="Q1902" t="s">
        <v>53</v>
      </c>
    </row>
    <row r="1903" spans="1:17" x14ac:dyDescent="0.2">
      <c r="A1903" s="30" t="str">
        <f>IF(C1903&amp;G1903&amp;D1903&lt;&gt;'Funnel setup'!$K$3&amp;'Funnel setup'!$K$4&amp;'Funnel setup'!$K$5,".",IF(A1902=".",1,A1902+1))</f>
        <v>.</v>
      </c>
      <c r="B1903" s="431" t="str">
        <f t="shared" si="29"/>
        <v>Hip Replacement PrimaryProviderBARKING, HAVERING AND REDBRIDGE UNIVERSITY HOSPITALS NHS TRUST (RF4)EQ-5D Index</v>
      </c>
      <c r="C1903" t="s">
        <v>248</v>
      </c>
      <c r="D1903" t="s">
        <v>1</v>
      </c>
      <c r="E1903" t="s">
        <v>3509</v>
      </c>
      <c r="F1903" t="s">
        <v>3510</v>
      </c>
      <c r="G1903" t="s">
        <v>52</v>
      </c>
      <c r="H1903">
        <v>55</v>
      </c>
      <c r="I1903">
        <v>0.191</v>
      </c>
      <c r="J1903">
        <v>0.68899999999999995</v>
      </c>
      <c r="K1903">
        <v>0.498</v>
      </c>
      <c r="L1903">
        <v>47</v>
      </c>
      <c r="M1903">
        <v>6</v>
      </c>
      <c r="N1903">
        <v>2</v>
      </c>
      <c r="O1903">
        <v>0.75900000000000001</v>
      </c>
      <c r="P1903">
        <v>0.39760309900000002</v>
      </c>
      <c r="Q1903">
        <v>0.222</v>
      </c>
    </row>
    <row r="1904" spans="1:17" x14ac:dyDescent="0.2">
      <c r="A1904" s="30" t="str">
        <f>IF(C1904&amp;G1904&amp;D1904&lt;&gt;'Funnel setup'!$K$3&amp;'Funnel setup'!$K$4&amp;'Funnel setup'!$K$5,".",IF(A1903=".",1,A1903+1))</f>
        <v>.</v>
      </c>
      <c r="B1904" s="431" t="str">
        <f t="shared" si="29"/>
        <v>Hip Replacement PrimaryProviderBARLBOROUGH NHS TREATMENT CENTRE (NTP13)EQ-5D Index</v>
      </c>
      <c r="C1904" t="s">
        <v>248</v>
      </c>
      <c r="D1904" t="s">
        <v>1</v>
      </c>
      <c r="E1904" t="s">
        <v>4425</v>
      </c>
      <c r="F1904" t="s">
        <v>4426</v>
      </c>
      <c r="G1904" t="s">
        <v>52</v>
      </c>
      <c r="H1904">
        <v>362</v>
      </c>
      <c r="I1904">
        <v>0.373</v>
      </c>
      <c r="J1904">
        <v>0.83699999999999997</v>
      </c>
      <c r="K1904">
        <v>0.46400000000000002</v>
      </c>
      <c r="L1904">
        <v>330</v>
      </c>
      <c r="M1904">
        <v>16</v>
      </c>
      <c r="N1904">
        <v>16</v>
      </c>
      <c r="O1904">
        <v>0.82299999999999995</v>
      </c>
      <c r="P1904">
        <v>0.46143716800000001</v>
      </c>
      <c r="Q1904">
        <v>0.20599999999999999</v>
      </c>
    </row>
    <row r="1905" spans="1:17" x14ac:dyDescent="0.2">
      <c r="A1905" s="30" t="str">
        <f>IF(C1905&amp;G1905&amp;D1905&lt;&gt;'Funnel setup'!$K$3&amp;'Funnel setup'!$K$4&amp;'Funnel setup'!$K$5,".",IF(A1904=".",1,A1904+1))</f>
        <v>.</v>
      </c>
      <c r="B1905" s="431" t="str">
        <f t="shared" si="29"/>
        <v>Hip Replacement PrimaryProviderBARNSLEY HOSPITAL NHS FOUNDATION TRUST (RFF)EQ-5D Index</v>
      </c>
      <c r="C1905" t="s">
        <v>248</v>
      </c>
      <c r="D1905" t="s">
        <v>1</v>
      </c>
      <c r="E1905" t="s">
        <v>3549</v>
      </c>
      <c r="F1905" t="s">
        <v>3550</v>
      </c>
      <c r="G1905" t="s">
        <v>52</v>
      </c>
      <c r="H1905">
        <v>96</v>
      </c>
      <c r="I1905">
        <v>0.251</v>
      </c>
      <c r="J1905">
        <v>0.70399999999999996</v>
      </c>
      <c r="K1905">
        <v>0.45300000000000001</v>
      </c>
      <c r="L1905">
        <v>85</v>
      </c>
      <c r="M1905">
        <v>6</v>
      </c>
      <c r="N1905">
        <v>5</v>
      </c>
      <c r="O1905">
        <v>0.74099999999999999</v>
      </c>
      <c r="P1905">
        <v>0.37927162199999997</v>
      </c>
      <c r="Q1905">
        <v>0.22900000000000001</v>
      </c>
    </row>
    <row r="1906" spans="1:17" x14ac:dyDescent="0.2">
      <c r="A1906" s="30" t="str">
        <f>IF(C1906&amp;G1906&amp;D1906&lt;&gt;'Funnel setup'!$K$3&amp;'Funnel setup'!$K$4&amp;'Funnel setup'!$K$5,".",IF(A1905=".",1,A1905+1))</f>
        <v>.</v>
      </c>
      <c r="B1906" s="431" t="str">
        <f t="shared" si="29"/>
        <v>Hip Replacement PrimaryProviderBARTS HEALTH NHS TRUST (R1H)EQ-5D Index</v>
      </c>
      <c r="C1906" t="s">
        <v>248</v>
      </c>
      <c r="D1906" t="s">
        <v>1</v>
      </c>
      <c r="E1906" t="s">
        <v>3552</v>
      </c>
      <c r="F1906" t="s">
        <v>3553</v>
      </c>
      <c r="G1906" t="s">
        <v>52</v>
      </c>
      <c r="H1906">
        <v>137</v>
      </c>
      <c r="I1906">
        <v>0.23499999999999999</v>
      </c>
      <c r="J1906">
        <v>0.70899999999999996</v>
      </c>
      <c r="K1906">
        <v>0.47299999999999998</v>
      </c>
      <c r="L1906">
        <v>118</v>
      </c>
      <c r="M1906">
        <v>7</v>
      </c>
      <c r="N1906">
        <v>12</v>
      </c>
      <c r="O1906">
        <v>0.78200000000000003</v>
      </c>
      <c r="P1906">
        <v>0.42023648899999999</v>
      </c>
      <c r="Q1906">
        <v>0.28399999999999997</v>
      </c>
    </row>
    <row r="1907" spans="1:17" x14ac:dyDescent="0.2">
      <c r="A1907" s="30" t="str">
        <f>IF(C1907&amp;G1907&amp;D1907&lt;&gt;'Funnel setup'!$K$3&amp;'Funnel setup'!$K$4&amp;'Funnel setup'!$K$5,".",IF(A1906=".",1,A1906+1))</f>
        <v>.</v>
      </c>
      <c r="B1907" s="431" t="str">
        <f t="shared" si="29"/>
        <v>Hip Replacement PrimaryProviderBASILDON AND THURROCK UNIVERSITY HOSPITALS NHS FOUNDATION TRUST (RDD)EQ-5D Index</v>
      </c>
      <c r="C1907" t="s">
        <v>248</v>
      </c>
      <c r="D1907" t="s">
        <v>1</v>
      </c>
      <c r="E1907" t="s">
        <v>3555</v>
      </c>
      <c r="F1907" t="s">
        <v>3556</v>
      </c>
      <c r="G1907" t="s">
        <v>52</v>
      </c>
      <c r="H1907">
        <v>112</v>
      </c>
      <c r="I1907">
        <v>0.251</v>
      </c>
      <c r="J1907">
        <v>0.76500000000000001</v>
      </c>
      <c r="K1907">
        <v>0.51500000000000001</v>
      </c>
      <c r="L1907">
        <v>103</v>
      </c>
      <c r="M1907">
        <v>5</v>
      </c>
      <c r="N1907">
        <v>4</v>
      </c>
      <c r="O1907">
        <v>0.79900000000000004</v>
      </c>
      <c r="P1907">
        <v>0.43735053699999998</v>
      </c>
      <c r="Q1907">
        <v>0.23200000000000001</v>
      </c>
    </row>
    <row r="1908" spans="1:17" x14ac:dyDescent="0.2">
      <c r="A1908" s="30" t="str">
        <f>IF(C1908&amp;G1908&amp;D1908&lt;&gt;'Funnel setup'!$K$3&amp;'Funnel setup'!$K$4&amp;'Funnel setup'!$K$5,".",IF(A1907=".",1,A1907+1))</f>
        <v>.</v>
      </c>
      <c r="B1908" s="431" t="str">
        <f t="shared" si="29"/>
        <v>Hip Replacement PrimaryProviderBEDFORD HOSPITAL NHS TRUST (RC1)EQ-5D Index</v>
      </c>
      <c r="C1908" t="s">
        <v>248</v>
      </c>
      <c r="D1908" t="s">
        <v>1</v>
      </c>
      <c r="E1908" t="s">
        <v>3558</v>
      </c>
      <c r="F1908" t="s">
        <v>3559</v>
      </c>
      <c r="G1908" t="s">
        <v>52</v>
      </c>
      <c r="H1908">
        <v>126</v>
      </c>
      <c r="I1908">
        <v>0.36499999999999999</v>
      </c>
      <c r="J1908">
        <v>0.77600000000000002</v>
      </c>
      <c r="K1908">
        <v>0.41099999999999998</v>
      </c>
      <c r="L1908">
        <v>111</v>
      </c>
      <c r="M1908">
        <v>10</v>
      </c>
      <c r="N1908">
        <v>5</v>
      </c>
      <c r="O1908">
        <v>0.76800000000000002</v>
      </c>
      <c r="P1908">
        <v>0.40634662799999999</v>
      </c>
      <c r="Q1908">
        <v>0.217</v>
      </c>
    </row>
    <row r="1909" spans="1:17" x14ac:dyDescent="0.2">
      <c r="A1909" s="30" t="str">
        <f>IF(C1909&amp;G1909&amp;D1909&lt;&gt;'Funnel setup'!$K$3&amp;'Funnel setup'!$K$4&amp;'Funnel setup'!$K$5,".",IF(A1908=".",1,A1908+1))</f>
        <v>.</v>
      </c>
      <c r="B1909" s="431" t="str">
        <f t="shared" si="29"/>
        <v>Hip Replacement PrimaryProviderBENENDEN HOSPITAL (NWF01)EQ-5D Index</v>
      </c>
      <c r="C1909" t="s">
        <v>248</v>
      </c>
      <c r="D1909" t="s">
        <v>1</v>
      </c>
      <c r="E1909" t="s">
        <v>4428</v>
      </c>
      <c r="F1909" t="s">
        <v>4429</v>
      </c>
      <c r="G1909" t="s">
        <v>52</v>
      </c>
      <c r="H1909">
        <v>28</v>
      </c>
      <c r="I1909">
        <v>0.42699999999999999</v>
      </c>
      <c r="J1909">
        <v>0.83199999999999996</v>
      </c>
      <c r="K1909">
        <v>0.40400000000000003</v>
      </c>
      <c r="L1909">
        <v>26</v>
      </c>
      <c r="M1909">
        <v>1</v>
      </c>
      <c r="N1909">
        <v>1</v>
      </c>
      <c r="O1909" t="s">
        <v>53</v>
      </c>
      <c r="P1909" t="s">
        <v>53</v>
      </c>
      <c r="Q1909" t="s">
        <v>53</v>
      </c>
    </row>
    <row r="1910" spans="1:17" x14ac:dyDescent="0.2">
      <c r="A1910" s="30" t="str">
        <f>IF(C1910&amp;G1910&amp;D1910&lt;&gt;'Funnel setup'!$K$3&amp;'Funnel setup'!$K$4&amp;'Funnel setup'!$K$5,".",IF(A1909=".",1,A1909+1))</f>
        <v>.</v>
      </c>
      <c r="B1910" s="431" t="str">
        <f t="shared" si="29"/>
        <v>Hip Replacement PrimaryProviderBLACKPOOL TEACHING HOSPITALS NHS FOUNDATION TRUST (RXL)EQ-5D Index</v>
      </c>
      <c r="C1910" t="s">
        <v>248</v>
      </c>
      <c r="D1910" t="s">
        <v>1</v>
      </c>
      <c r="E1910" t="s">
        <v>3561</v>
      </c>
      <c r="F1910" t="s">
        <v>3562</v>
      </c>
      <c r="G1910" t="s">
        <v>52</v>
      </c>
      <c r="H1910">
        <v>11</v>
      </c>
      <c r="I1910">
        <v>0.36399999999999999</v>
      </c>
      <c r="J1910">
        <v>0.80400000000000005</v>
      </c>
      <c r="K1910">
        <v>0.44</v>
      </c>
      <c r="L1910">
        <v>11</v>
      </c>
      <c r="M1910">
        <v>0</v>
      </c>
      <c r="N1910">
        <v>0</v>
      </c>
      <c r="O1910" t="s">
        <v>53</v>
      </c>
      <c r="P1910" t="s">
        <v>53</v>
      </c>
      <c r="Q1910" t="s">
        <v>53</v>
      </c>
    </row>
    <row r="1911" spans="1:17" x14ac:dyDescent="0.2">
      <c r="A1911" s="30" t="str">
        <f>IF(C1911&amp;G1911&amp;D1911&lt;&gt;'Funnel setup'!$K$3&amp;'Funnel setup'!$K$4&amp;'Funnel setup'!$K$5,".",IF(A1910=".",1,A1910+1))</f>
        <v>.</v>
      </c>
      <c r="B1911" s="431" t="str">
        <f t="shared" si="29"/>
        <v>Hip Replacement PrimaryProviderBMI - BATH CLINIC (NT402)EQ-5D Index</v>
      </c>
      <c r="C1911" t="s">
        <v>248</v>
      </c>
      <c r="D1911" t="s">
        <v>1</v>
      </c>
      <c r="E1911" t="s">
        <v>3488</v>
      </c>
      <c r="F1911" t="s">
        <v>3489</v>
      </c>
      <c r="G1911" t="s">
        <v>52</v>
      </c>
      <c r="H1911">
        <v>56</v>
      </c>
      <c r="I1911">
        <v>0.47499999999999998</v>
      </c>
      <c r="J1911">
        <v>0.875</v>
      </c>
      <c r="K1911">
        <v>0.4</v>
      </c>
      <c r="L1911">
        <v>53</v>
      </c>
      <c r="M1911">
        <v>3</v>
      </c>
      <c r="N1911">
        <v>0</v>
      </c>
      <c r="O1911">
        <v>0.81699999999999995</v>
      </c>
      <c r="P1911">
        <v>0.45583562900000002</v>
      </c>
      <c r="Q1911">
        <v>0.154</v>
      </c>
    </row>
    <row r="1912" spans="1:17" x14ac:dyDescent="0.2">
      <c r="A1912" s="30" t="str">
        <f>IF(C1912&amp;G1912&amp;D1912&lt;&gt;'Funnel setup'!$K$3&amp;'Funnel setup'!$K$4&amp;'Funnel setup'!$K$5,".",IF(A1911=".",1,A1911+1))</f>
        <v>.</v>
      </c>
      <c r="B1912" s="431" t="str">
        <f t="shared" si="29"/>
        <v>Hip Replacement PrimaryProviderBMI - BISHOPS WOOD (NT405)EQ-5D Index</v>
      </c>
      <c r="C1912" t="s">
        <v>248</v>
      </c>
      <c r="D1912" t="s">
        <v>1</v>
      </c>
      <c r="E1912" t="s">
        <v>3491</v>
      </c>
      <c r="F1912" t="s">
        <v>3492</v>
      </c>
      <c r="G1912" t="s">
        <v>52</v>
      </c>
      <c r="H1912">
        <v>14</v>
      </c>
      <c r="I1912">
        <v>0.51600000000000001</v>
      </c>
      <c r="J1912">
        <v>0.84699999999999998</v>
      </c>
      <c r="K1912">
        <v>0.33200000000000002</v>
      </c>
      <c r="L1912">
        <v>13</v>
      </c>
      <c r="M1912">
        <v>0</v>
      </c>
      <c r="N1912">
        <v>1</v>
      </c>
      <c r="O1912" t="s">
        <v>53</v>
      </c>
      <c r="P1912" t="s">
        <v>53</v>
      </c>
      <c r="Q1912" t="s">
        <v>53</v>
      </c>
    </row>
    <row r="1913" spans="1:17" x14ac:dyDescent="0.2">
      <c r="A1913" s="30" t="str">
        <f>IF(C1913&amp;G1913&amp;D1913&lt;&gt;'Funnel setup'!$K$3&amp;'Funnel setup'!$K$4&amp;'Funnel setup'!$K$5,".",IF(A1912=".",1,A1912+1))</f>
        <v>.</v>
      </c>
      <c r="B1913" s="431" t="str">
        <f t="shared" si="29"/>
        <v>Hip Replacement PrimaryProviderBMI - CHELSFIELD PARK HOSPITAL (NT409)EQ-5D Index</v>
      </c>
      <c r="C1913" t="s">
        <v>248</v>
      </c>
      <c r="D1913" t="s">
        <v>1</v>
      </c>
      <c r="E1913" t="s">
        <v>3494</v>
      </c>
      <c r="F1913" t="s">
        <v>3495</v>
      </c>
      <c r="G1913" t="s">
        <v>52</v>
      </c>
      <c r="H1913">
        <v>12</v>
      </c>
      <c r="I1913">
        <v>0.50800000000000001</v>
      </c>
      <c r="J1913">
        <v>0.97799999999999998</v>
      </c>
      <c r="K1913">
        <v>0.46899999999999997</v>
      </c>
      <c r="L1913">
        <v>12</v>
      </c>
      <c r="M1913">
        <v>0</v>
      </c>
      <c r="N1913">
        <v>0</v>
      </c>
      <c r="O1913" t="s">
        <v>53</v>
      </c>
      <c r="P1913" t="s">
        <v>53</v>
      </c>
      <c r="Q1913" t="s">
        <v>53</v>
      </c>
    </row>
    <row r="1914" spans="1:17" x14ac:dyDescent="0.2">
      <c r="A1914" s="30" t="str">
        <f>IF(C1914&amp;G1914&amp;D1914&lt;&gt;'Funnel setup'!$K$3&amp;'Funnel setup'!$K$4&amp;'Funnel setup'!$K$5,".",IF(A1913=".",1,A1913+1))</f>
        <v>.</v>
      </c>
      <c r="B1914" s="431" t="str">
        <f t="shared" si="29"/>
        <v>Hip Replacement PrimaryProviderBMI - FAWKHAM MANOR HOSPITAL (NT414)EQ-5D Index</v>
      </c>
      <c r="C1914" t="s">
        <v>248</v>
      </c>
      <c r="D1914" t="s">
        <v>1</v>
      </c>
      <c r="E1914" t="s">
        <v>3497</v>
      </c>
      <c r="F1914" t="s">
        <v>3498</v>
      </c>
      <c r="G1914" t="s">
        <v>52</v>
      </c>
      <c r="H1914">
        <v>6</v>
      </c>
      <c r="I1914">
        <v>0.46700000000000003</v>
      </c>
      <c r="J1914">
        <v>0.83799999999999997</v>
      </c>
      <c r="K1914">
        <v>0.371</v>
      </c>
      <c r="L1914">
        <v>5</v>
      </c>
      <c r="M1914">
        <v>0</v>
      </c>
      <c r="N1914">
        <v>1</v>
      </c>
      <c r="O1914" t="s">
        <v>53</v>
      </c>
      <c r="P1914" t="s">
        <v>53</v>
      </c>
      <c r="Q1914" t="s">
        <v>53</v>
      </c>
    </row>
    <row r="1915" spans="1:17" x14ac:dyDescent="0.2">
      <c r="A1915" s="30" t="str">
        <f>IF(C1915&amp;G1915&amp;D1915&lt;&gt;'Funnel setup'!$K$3&amp;'Funnel setup'!$K$4&amp;'Funnel setup'!$K$5,".",IF(A1914=".",1,A1914+1))</f>
        <v>.</v>
      </c>
      <c r="B1915" s="431" t="str">
        <f t="shared" si="29"/>
        <v>Hip Replacement PrimaryProviderBMI - GORING HALL HOSPITAL (NT417)EQ-5D Index</v>
      </c>
      <c r="C1915" t="s">
        <v>248</v>
      </c>
      <c r="D1915" t="s">
        <v>1</v>
      </c>
      <c r="E1915" t="s">
        <v>3403</v>
      </c>
      <c r="F1915" t="s">
        <v>3404</v>
      </c>
      <c r="G1915" t="s">
        <v>52</v>
      </c>
      <c r="H1915">
        <v>149</v>
      </c>
      <c r="I1915">
        <v>0.42299999999999999</v>
      </c>
      <c r="J1915">
        <v>0.83699999999999997</v>
      </c>
      <c r="K1915">
        <v>0.41299999999999998</v>
      </c>
      <c r="L1915">
        <v>136</v>
      </c>
      <c r="M1915">
        <v>8</v>
      </c>
      <c r="N1915">
        <v>5</v>
      </c>
      <c r="O1915">
        <v>0.80300000000000005</v>
      </c>
      <c r="P1915">
        <v>0.44110919599999998</v>
      </c>
      <c r="Q1915">
        <v>0.191</v>
      </c>
    </row>
    <row r="1916" spans="1:17" x14ac:dyDescent="0.2">
      <c r="A1916" s="30" t="str">
        <f>IF(C1916&amp;G1916&amp;D1916&lt;&gt;'Funnel setup'!$K$3&amp;'Funnel setup'!$K$4&amp;'Funnel setup'!$K$5,".",IF(A1915=".",1,A1915+1))</f>
        <v>.</v>
      </c>
      <c r="B1916" s="431" t="str">
        <f t="shared" si="29"/>
        <v>Hip Replacement PrimaryProviderBMI - HENDON HOSPITAL (NT416)EQ-5D Index</v>
      </c>
      <c r="C1916" t="s">
        <v>248</v>
      </c>
      <c r="D1916" t="s">
        <v>1</v>
      </c>
      <c r="E1916" t="s">
        <v>3570</v>
      </c>
      <c r="F1916" t="s">
        <v>3571</v>
      </c>
      <c r="G1916" t="s">
        <v>52</v>
      </c>
      <c r="H1916" t="s">
        <v>53</v>
      </c>
      <c r="I1916" t="s">
        <v>53</v>
      </c>
      <c r="J1916" t="s">
        <v>53</v>
      </c>
      <c r="K1916" t="s">
        <v>53</v>
      </c>
      <c r="L1916" t="s">
        <v>53</v>
      </c>
      <c r="M1916" t="s">
        <v>53</v>
      </c>
      <c r="N1916" t="s">
        <v>53</v>
      </c>
      <c r="O1916" t="s">
        <v>53</v>
      </c>
      <c r="P1916" t="s">
        <v>53</v>
      </c>
      <c r="Q1916" t="s">
        <v>53</v>
      </c>
    </row>
    <row r="1917" spans="1:17" x14ac:dyDescent="0.2">
      <c r="A1917" s="30" t="str">
        <f>IF(C1917&amp;G1917&amp;D1917&lt;&gt;'Funnel setup'!$K$3&amp;'Funnel setup'!$K$4&amp;'Funnel setup'!$K$5,".",IF(A1916=".",1,A1916+1))</f>
        <v>.</v>
      </c>
      <c r="B1917" s="431" t="str">
        <f t="shared" si="29"/>
        <v>Hip Replacement PrimaryProviderBMI - SARUM ROAD HOSPITAL (NT433)EQ-5D Index</v>
      </c>
      <c r="C1917" t="s">
        <v>248</v>
      </c>
      <c r="D1917" t="s">
        <v>1</v>
      </c>
      <c r="E1917" t="s">
        <v>3573</v>
      </c>
      <c r="F1917" t="s">
        <v>3574</v>
      </c>
      <c r="G1917" t="s">
        <v>52</v>
      </c>
      <c r="H1917">
        <v>46</v>
      </c>
      <c r="I1917">
        <v>0.39300000000000002</v>
      </c>
      <c r="J1917">
        <v>0.75</v>
      </c>
      <c r="K1917">
        <v>0.35799999999999998</v>
      </c>
      <c r="L1917">
        <v>34</v>
      </c>
      <c r="M1917">
        <v>4</v>
      </c>
      <c r="N1917">
        <v>8</v>
      </c>
      <c r="O1917">
        <v>0.75</v>
      </c>
      <c r="P1917">
        <v>0.38843400700000003</v>
      </c>
      <c r="Q1917">
        <v>0.26</v>
      </c>
    </row>
    <row r="1918" spans="1:17" x14ac:dyDescent="0.2">
      <c r="A1918" s="30" t="str">
        <f>IF(C1918&amp;G1918&amp;D1918&lt;&gt;'Funnel setup'!$K$3&amp;'Funnel setup'!$K$4&amp;'Funnel setup'!$K$5,".",IF(A1917=".",1,A1917+1))</f>
        <v>.</v>
      </c>
      <c r="B1918" s="431" t="str">
        <f t="shared" si="29"/>
        <v>Hip Replacement PrimaryProviderBMI - SHIRLEY OAKS HOSPITAL (NT436)EQ-5D Index</v>
      </c>
      <c r="C1918" t="s">
        <v>248</v>
      </c>
      <c r="D1918" t="s">
        <v>1</v>
      </c>
      <c r="E1918" t="s">
        <v>3576</v>
      </c>
      <c r="F1918" t="s">
        <v>3577</v>
      </c>
      <c r="G1918" t="s">
        <v>52</v>
      </c>
      <c r="H1918">
        <v>7</v>
      </c>
      <c r="I1918">
        <v>0.25</v>
      </c>
      <c r="J1918">
        <v>0.82099999999999995</v>
      </c>
      <c r="K1918">
        <v>0.57099999999999995</v>
      </c>
      <c r="L1918">
        <v>7</v>
      </c>
      <c r="M1918">
        <v>0</v>
      </c>
      <c r="N1918">
        <v>0</v>
      </c>
      <c r="O1918" t="s">
        <v>53</v>
      </c>
      <c r="P1918" t="s">
        <v>53</v>
      </c>
      <c r="Q1918" t="s">
        <v>53</v>
      </c>
    </row>
    <row r="1919" spans="1:17" x14ac:dyDescent="0.2">
      <c r="A1919" s="30" t="str">
        <f>IF(C1919&amp;G1919&amp;D1919&lt;&gt;'Funnel setup'!$K$3&amp;'Funnel setup'!$K$4&amp;'Funnel setup'!$K$5,".",IF(A1918=".",1,A1918+1))</f>
        <v>.</v>
      </c>
      <c r="B1919" s="431" t="str">
        <f t="shared" si="29"/>
        <v>Hip Replacement PrimaryProviderBMI - THE ALEXANDRA HOSPITAL (NT401)EQ-5D Index</v>
      </c>
      <c r="C1919" t="s">
        <v>248</v>
      </c>
      <c r="D1919" t="s">
        <v>1</v>
      </c>
      <c r="E1919" t="s">
        <v>3579</v>
      </c>
      <c r="F1919" t="s">
        <v>3580</v>
      </c>
      <c r="G1919" t="s">
        <v>52</v>
      </c>
      <c r="H1919">
        <v>65</v>
      </c>
      <c r="I1919">
        <v>0.47799999999999998</v>
      </c>
      <c r="J1919">
        <v>0.85399999999999998</v>
      </c>
      <c r="K1919">
        <v>0.375</v>
      </c>
      <c r="L1919">
        <v>58</v>
      </c>
      <c r="M1919">
        <v>6</v>
      </c>
      <c r="N1919">
        <v>1</v>
      </c>
      <c r="O1919">
        <v>0.81299999999999994</v>
      </c>
      <c r="P1919">
        <v>0.45098700800000002</v>
      </c>
      <c r="Q1919">
        <v>0.20699999999999999</v>
      </c>
    </row>
    <row r="1920" spans="1:17" x14ac:dyDescent="0.2">
      <c r="A1920" s="30" t="str">
        <f>IF(C1920&amp;G1920&amp;D1920&lt;&gt;'Funnel setup'!$K$3&amp;'Funnel setup'!$K$4&amp;'Funnel setup'!$K$5,".",IF(A1919=".",1,A1919+1))</f>
        <v>.</v>
      </c>
      <c r="B1920" s="431" t="str">
        <f t="shared" si="29"/>
        <v>Hip Replacement PrimaryProviderBMI - THE BEARDWOOD HOSPITAL (NT403)EQ-5D Index</v>
      </c>
      <c r="C1920" t="s">
        <v>248</v>
      </c>
      <c r="D1920" t="s">
        <v>1</v>
      </c>
      <c r="E1920" t="s">
        <v>3582</v>
      </c>
      <c r="F1920" t="s">
        <v>3583</v>
      </c>
      <c r="G1920" t="s">
        <v>52</v>
      </c>
      <c r="H1920">
        <v>39</v>
      </c>
      <c r="I1920">
        <v>0.33800000000000002</v>
      </c>
      <c r="J1920">
        <v>0.751</v>
      </c>
      <c r="K1920">
        <v>0.41299999999999998</v>
      </c>
      <c r="L1920">
        <v>31</v>
      </c>
      <c r="M1920">
        <v>3</v>
      </c>
      <c r="N1920">
        <v>5</v>
      </c>
      <c r="O1920">
        <v>0.76400000000000001</v>
      </c>
      <c r="P1920">
        <v>0.40252553899999999</v>
      </c>
      <c r="Q1920">
        <v>0.223</v>
      </c>
    </row>
    <row r="1921" spans="1:17" x14ac:dyDescent="0.2">
      <c r="A1921" s="30" t="str">
        <f>IF(C1921&amp;G1921&amp;D1921&lt;&gt;'Funnel setup'!$K$3&amp;'Funnel setup'!$K$4&amp;'Funnel setup'!$K$5,".",IF(A1920=".",1,A1920+1))</f>
        <v>.</v>
      </c>
      <c r="B1921" s="431" t="str">
        <f t="shared" si="29"/>
        <v>Hip Replacement PrimaryProviderBMI - THE BEAUMONT HOSPITAL (NT404)EQ-5D Index</v>
      </c>
      <c r="C1921" t="s">
        <v>248</v>
      </c>
      <c r="D1921" t="s">
        <v>1</v>
      </c>
      <c r="E1921" t="s">
        <v>3585</v>
      </c>
      <c r="F1921" t="s">
        <v>3586</v>
      </c>
      <c r="G1921" t="s">
        <v>52</v>
      </c>
      <c r="H1921">
        <v>28</v>
      </c>
      <c r="I1921">
        <v>0.39400000000000002</v>
      </c>
      <c r="J1921">
        <v>0.77400000000000002</v>
      </c>
      <c r="K1921">
        <v>0.38</v>
      </c>
      <c r="L1921">
        <v>25</v>
      </c>
      <c r="M1921">
        <v>1</v>
      </c>
      <c r="N1921">
        <v>2</v>
      </c>
      <c r="O1921" t="s">
        <v>53</v>
      </c>
      <c r="P1921" t="s">
        <v>53</v>
      </c>
      <c r="Q1921" t="s">
        <v>53</v>
      </c>
    </row>
    <row r="1922" spans="1:17" x14ac:dyDescent="0.2">
      <c r="A1922" s="30" t="str">
        <f>IF(C1922&amp;G1922&amp;D1922&lt;&gt;'Funnel setup'!$K$3&amp;'Funnel setup'!$K$4&amp;'Funnel setup'!$K$5,".",IF(A1921=".",1,A1921+1))</f>
        <v>.</v>
      </c>
      <c r="B1922" s="431" t="str">
        <f t="shared" si="29"/>
        <v>Hip Replacement PrimaryProviderBMI - THE BLACKHEATH HOSPITAL (NT406)EQ-5D Index</v>
      </c>
      <c r="C1922" t="s">
        <v>248</v>
      </c>
      <c r="D1922" t="s">
        <v>1</v>
      </c>
      <c r="E1922" t="s">
        <v>3588</v>
      </c>
      <c r="F1922" t="s">
        <v>3589</v>
      </c>
      <c r="G1922" t="s">
        <v>52</v>
      </c>
      <c r="H1922">
        <v>9</v>
      </c>
      <c r="I1922">
        <v>0.24299999999999999</v>
      </c>
      <c r="J1922">
        <v>0.80600000000000005</v>
      </c>
      <c r="K1922">
        <v>0.56200000000000006</v>
      </c>
      <c r="L1922">
        <v>9</v>
      </c>
      <c r="M1922">
        <v>0</v>
      </c>
      <c r="N1922">
        <v>0</v>
      </c>
      <c r="O1922" t="s">
        <v>53</v>
      </c>
      <c r="P1922" t="s">
        <v>53</v>
      </c>
      <c r="Q1922" t="s">
        <v>53</v>
      </c>
    </row>
    <row r="1923" spans="1:17" x14ac:dyDescent="0.2">
      <c r="A1923" s="30" t="str">
        <f>IF(C1923&amp;G1923&amp;D1923&lt;&gt;'Funnel setup'!$K$3&amp;'Funnel setup'!$K$4&amp;'Funnel setup'!$K$5,".",IF(A1922=".",1,A1922+1))</f>
        <v>.</v>
      </c>
      <c r="B1923" s="431" t="str">
        <f t="shared" ref="B1923:B1986" si="30">C1923&amp;D1923&amp;F1923&amp;G1923</f>
        <v>Hip Replacement PrimaryProviderBMI - THE CHAUCER HOSPITAL (NT408)EQ-5D Index</v>
      </c>
      <c r="C1923" t="s">
        <v>248</v>
      </c>
      <c r="D1923" t="s">
        <v>1</v>
      </c>
      <c r="E1923" t="s">
        <v>3591</v>
      </c>
      <c r="F1923" t="s">
        <v>3592</v>
      </c>
      <c r="G1923" t="s">
        <v>52</v>
      </c>
      <c r="H1923">
        <v>13</v>
      </c>
      <c r="I1923">
        <v>0.377</v>
      </c>
      <c r="J1923">
        <v>0.8</v>
      </c>
      <c r="K1923">
        <v>0.42299999999999999</v>
      </c>
      <c r="L1923">
        <v>11</v>
      </c>
      <c r="M1923">
        <v>1</v>
      </c>
      <c r="N1923">
        <v>1</v>
      </c>
      <c r="O1923" t="s">
        <v>53</v>
      </c>
      <c r="P1923" t="s">
        <v>53</v>
      </c>
      <c r="Q1923" t="s">
        <v>53</v>
      </c>
    </row>
    <row r="1924" spans="1:17" x14ac:dyDescent="0.2">
      <c r="A1924" s="30" t="str">
        <f>IF(C1924&amp;G1924&amp;D1924&lt;&gt;'Funnel setup'!$K$3&amp;'Funnel setup'!$K$4&amp;'Funnel setup'!$K$5,".",IF(A1923=".",1,A1923+1))</f>
        <v>.</v>
      </c>
      <c r="B1924" s="431" t="str">
        <f t="shared" si="30"/>
        <v>Hip Replacement PrimaryProviderBMI - THE CHILTERN HOSPITAL (NT410)EQ-5D Index</v>
      </c>
      <c r="C1924" t="s">
        <v>248</v>
      </c>
      <c r="D1924" t="s">
        <v>1</v>
      </c>
      <c r="E1924" t="s">
        <v>3594</v>
      </c>
      <c r="F1924" t="s">
        <v>3595</v>
      </c>
      <c r="G1924" t="s">
        <v>52</v>
      </c>
      <c r="H1924">
        <v>42</v>
      </c>
      <c r="I1924">
        <v>0.442</v>
      </c>
      <c r="J1924">
        <v>0.86199999999999999</v>
      </c>
      <c r="K1924">
        <v>0.42</v>
      </c>
      <c r="L1924">
        <v>41</v>
      </c>
      <c r="M1924">
        <v>0</v>
      </c>
      <c r="N1924">
        <v>1</v>
      </c>
      <c r="O1924">
        <v>0.83399999999999996</v>
      </c>
      <c r="P1924">
        <v>0.47231497300000003</v>
      </c>
      <c r="Q1924">
        <v>0.216</v>
      </c>
    </row>
    <row r="1925" spans="1:17" x14ac:dyDescent="0.2">
      <c r="A1925" s="30" t="str">
        <f>IF(C1925&amp;G1925&amp;D1925&lt;&gt;'Funnel setup'!$K$3&amp;'Funnel setup'!$K$4&amp;'Funnel setup'!$K$5,".",IF(A1924=".",1,A1924+1))</f>
        <v>.</v>
      </c>
      <c r="B1925" s="431" t="str">
        <f t="shared" si="30"/>
        <v>Hip Replacement PrimaryProviderBMI - THE CLEMENTINE CHURCHILL HOSPITAL (NT411)EQ-5D Index</v>
      </c>
      <c r="C1925" t="s">
        <v>248</v>
      </c>
      <c r="D1925" t="s">
        <v>1</v>
      </c>
      <c r="E1925" t="s">
        <v>3597</v>
      </c>
      <c r="F1925" t="s">
        <v>3598</v>
      </c>
      <c r="G1925" t="s">
        <v>52</v>
      </c>
      <c r="H1925">
        <v>16</v>
      </c>
      <c r="I1925">
        <v>0.23</v>
      </c>
      <c r="J1925">
        <v>0.67600000000000005</v>
      </c>
      <c r="K1925">
        <v>0.44600000000000001</v>
      </c>
      <c r="L1925">
        <v>14</v>
      </c>
      <c r="M1925">
        <v>1</v>
      </c>
      <c r="N1925">
        <v>1</v>
      </c>
      <c r="O1925" t="s">
        <v>53</v>
      </c>
      <c r="P1925" t="s">
        <v>53</v>
      </c>
      <c r="Q1925" t="s">
        <v>53</v>
      </c>
    </row>
    <row r="1926" spans="1:17" x14ac:dyDescent="0.2">
      <c r="A1926" s="30" t="str">
        <f>IF(C1926&amp;G1926&amp;D1926&lt;&gt;'Funnel setup'!$K$3&amp;'Funnel setup'!$K$4&amp;'Funnel setup'!$K$5,".",IF(A1925=".",1,A1925+1))</f>
        <v>.</v>
      </c>
      <c r="B1926" s="431" t="str">
        <f t="shared" si="30"/>
        <v>Hip Replacement PrimaryProviderBMI - THE DROITWICH SPA HOSPITAL (NT412)EQ-5D Index</v>
      </c>
      <c r="C1926" t="s">
        <v>248</v>
      </c>
      <c r="D1926" t="s">
        <v>1</v>
      </c>
      <c r="E1926" t="s">
        <v>3600</v>
      </c>
      <c r="F1926" t="s">
        <v>3601</v>
      </c>
      <c r="G1926" t="s">
        <v>52</v>
      </c>
      <c r="H1926">
        <v>56</v>
      </c>
      <c r="I1926">
        <v>0.44500000000000001</v>
      </c>
      <c r="J1926">
        <v>0.83899999999999997</v>
      </c>
      <c r="K1926">
        <v>0.39500000000000002</v>
      </c>
      <c r="L1926">
        <v>52</v>
      </c>
      <c r="M1926">
        <v>1</v>
      </c>
      <c r="N1926">
        <v>3</v>
      </c>
      <c r="O1926">
        <v>0.80700000000000005</v>
      </c>
      <c r="P1926">
        <v>0.44559707999999998</v>
      </c>
      <c r="Q1926">
        <v>0.19500000000000001</v>
      </c>
    </row>
    <row r="1927" spans="1:17" x14ac:dyDescent="0.2">
      <c r="A1927" s="30" t="str">
        <f>IF(C1927&amp;G1927&amp;D1927&lt;&gt;'Funnel setup'!$K$3&amp;'Funnel setup'!$K$4&amp;'Funnel setup'!$K$5,".",IF(A1926=".",1,A1926+1))</f>
        <v>.</v>
      </c>
      <c r="B1927" s="431" t="str">
        <f t="shared" si="30"/>
        <v>Hip Replacement PrimaryProviderBMI - THE ESPERANCE HOSPITAL (NT413)EQ-5D Index</v>
      </c>
      <c r="C1927" t="s">
        <v>248</v>
      </c>
      <c r="D1927" t="s">
        <v>1</v>
      </c>
      <c r="E1927" t="s">
        <v>3603</v>
      </c>
      <c r="F1927" t="s">
        <v>3604</v>
      </c>
      <c r="G1927" t="s">
        <v>52</v>
      </c>
      <c r="H1927" t="s">
        <v>53</v>
      </c>
      <c r="I1927" t="s">
        <v>53</v>
      </c>
      <c r="J1927" t="s">
        <v>53</v>
      </c>
      <c r="K1927" t="s">
        <v>53</v>
      </c>
      <c r="L1927" t="s">
        <v>53</v>
      </c>
      <c r="M1927" t="s">
        <v>53</v>
      </c>
      <c r="N1927" t="s">
        <v>53</v>
      </c>
      <c r="O1927" t="s">
        <v>53</v>
      </c>
      <c r="P1927" t="s">
        <v>53</v>
      </c>
      <c r="Q1927" t="s">
        <v>53</v>
      </c>
    </row>
    <row r="1928" spans="1:17" x14ac:dyDescent="0.2">
      <c r="A1928" s="30" t="str">
        <f>IF(C1928&amp;G1928&amp;D1928&lt;&gt;'Funnel setup'!$K$3&amp;'Funnel setup'!$K$4&amp;'Funnel setup'!$K$5,".",IF(A1927=".",1,A1927+1))</f>
        <v>.</v>
      </c>
      <c r="B1928" s="431" t="str">
        <f t="shared" si="30"/>
        <v>Hip Replacement PrimaryProviderBMI - THE HAMPSHIRE CLINIC (NT418)EQ-5D Index</v>
      </c>
      <c r="C1928" t="s">
        <v>248</v>
      </c>
      <c r="D1928" t="s">
        <v>1</v>
      </c>
      <c r="E1928" t="s">
        <v>3609</v>
      </c>
      <c r="F1928" t="s">
        <v>3610</v>
      </c>
      <c r="G1928" t="s">
        <v>52</v>
      </c>
      <c r="H1928">
        <v>22</v>
      </c>
      <c r="I1928">
        <v>0.35099999999999998</v>
      </c>
      <c r="J1928">
        <v>0.83899999999999997</v>
      </c>
      <c r="K1928">
        <v>0.48799999999999999</v>
      </c>
      <c r="L1928">
        <v>22</v>
      </c>
      <c r="M1928">
        <v>0</v>
      </c>
      <c r="N1928">
        <v>0</v>
      </c>
      <c r="O1928" t="s">
        <v>53</v>
      </c>
      <c r="P1928" t="s">
        <v>53</v>
      </c>
      <c r="Q1928" t="s">
        <v>53</v>
      </c>
    </row>
    <row r="1929" spans="1:17" x14ac:dyDescent="0.2">
      <c r="A1929" s="30" t="str">
        <f>IF(C1929&amp;G1929&amp;D1929&lt;&gt;'Funnel setup'!$K$3&amp;'Funnel setup'!$K$4&amp;'Funnel setup'!$K$5,".",IF(A1928=".",1,A1928+1))</f>
        <v>.</v>
      </c>
      <c r="B1929" s="431" t="str">
        <f t="shared" si="30"/>
        <v>Hip Replacement PrimaryProviderBMI - THE HARBOUR HOSPITAL (NT419)EQ-5D Index</v>
      </c>
      <c r="C1929" t="s">
        <v>248</v>
      </c>
      <c r="D1929" t="s">
        <v>1</v>
      </c>
      <c r="E1929" t="s">
        <v>3612</v>
      </c>
      <c r="F1929" t="s">
        <v>3613</v>
      </c>
      <c r="G1929" t="s">
        <v>52</v>
      </c>
      <c r="H1929" t="s">
        <v>53</v>
      </c>
      <c r="I1929" t="s">
        <v>53</v>
      </c>
      <c r="J1929" t="s">
        <v>53</v>
      </c>
      <c r="K1929" t="s">
        <v>53</v>
      </c>
      <c r="L1929" t="s">
        <v>53</v>
      </c>
      <c r="M1929" t="s">
        <v>53</v>
      </c>
      <c r="N1929" t="s">
        <v>53</v>
      </c>
      <c r="O1929" t="s">
        <v>53</v>
      </c>
      <c r="P1929" t="s">
        <v>53</v>
      </c>
      <c r="Q1929" t="s">
        <v>53</v>
      </c>
    </row>
    <row r="1930" spans="1:17" x14ac:dyDescent="0.2">
      <c r="A1930" s="30" t="str">
        <f>IF(C1930&amp;G1930&amp;D1930&lt;&gt;'Funnel setup'!$K$3&amp;'Funnel setup'!$K$4&amp;'Funnel setup'!$K$5,".",IF(A1929=".",1,A1929+1))</f>
        <v>.</v>
      </c>
      <c r="B1930" s="431" t="str">
        <f t="shared" si="30"/>
        <v>Hip Replacement PrimaryProviderBMI - THE HIGHFIELD HOSPITAL (NT420)EQ-5D Index</v>
      </c>
      <c r="C1930" t="s">
        <v>248</v>
      </c>
      <c r="D1930" t="s">
        <v>1</v>
      </c>
      <c r="E1930" t="s">
        <v>3615</v>
      </c>
      <c r="F1930" t="s">
        <v>3616</v>
      </c>
      <c r="G1930" t="s">
        <v>52</v>
      </c>
      <c r="H1930">
        <v>94</v>
      </c>
      <c r="I1930">
        <v>0.36599999999999999</v>
      </c>
      <c r="J1930">
        <v>0.79</v>
      </c>
      <c r="K1930">
        <v>0.42399999999999999</v>
      </c>
      <c r="L1930">
        <v>79</v>
      </c>
      <c r="M1930">
        <v>7</v>
      </c>
      <c r="N1930">
        <v>8</v>
      </c>
      <c r="O1930">
        <v>0.78300000000000003</v>
      </c>
      <c r="P1930">
        <v>0.42175309100000002</v>
      </c>
      <c r="Q1930">
        <v>0.23899999999999999</v>
      </c>
    </row>
    <row r="1931" spans="1:17" x14ac:dyDescent="0.2">
      <c r="A1931" s="30" t="str">
        <f>IF(C1931&amp;G1931&amp;D1931&lt;&gt;'Funnel setup'!$K$3&amp;'Funnel setup'!$K$4&amp;'Funnel setup'!$K$5,".",IF(A1930=".",1,A1930+1))</f>
        <v>.</v>
      </c>
      <c r="B1931" s="431" t="str">
        <f t="shared" si="30"/>
        <v>Hip Replacement PrimaryProviderBMI - THE KINGS OAK HOSPITAL (NT421)EQ-5D Index</v>
      </c>
      <c r="C1931" t="s">
        <v>248</v>
      </c>
      <c r="D1931" t="s">
        <v>1</v>
      </c>
      <c r="E1931" t="s">
        <v>3618</v>
      </c>
      <c r="F1931" t="s">
        <v>3619</v>
      </c>
      <c r="G1931" t="s">
        <v>52</v>
      </c>
      <c r="H1931">
        <v>12</v>
      </c>
      <c r="I1931">
        <v>0.39600000000000002</v>
      </c>
      <c r="J1931">
        <v>0.82</v>
      </c>
      <c r="K1931">
        <v>0.42499999999999999</v>
      </c>
      <c r="L1931">
        <v>11</v>
      </c>
      <c r="M1931">
        <v>0</v>
      </c>
      <c r="N1931">
        <v>1</v>
      </c>
      <c r="O1931" t="s">
        <v>53</v>
      </c>
      <c r="P1931" t="s">
        <v>53</v>
      </c>
      <c r="Q1931" t="s">
        <v>53</v>
      </c>
    </row>
    <row r="1932" spans="1:17" x14ac:dyDescent="0.2">
      <c r="A1932" s="30" t="str">
        <f>IF(C1932&amp;G1932&amp;D1932&lt;&gt;'Funnel setup'!$K$3&amp;'Funnel setup'!$K$4&amp;'Funnel setup'!$K$5,".",IF(A1931=".",1,A1931+1))</f>
        <v>.</v>
      </c>
      <c r="B1932" s="431" t="str">
        <f t="shared" si="30"/>
        <v>Hip Replacement PrimaryProviderBMI - THE LONDON INDEPENDENT HOSPITAL (NT422)EQ-5D Index</v>
      </c>
      <c r="C1932" t="s">
        <v>248</v>
      </c>
      <c r="D1932" t="s">
        <v>1</v>
      </c>
      <c r="E1932" t="s">
        <v>3621</v>
      </c>
      <c r="F1932" t="s">
        <v>3622</v>
      </c>
      <c r="G1932" t="s">
        <v>52</v>
      </c>
      <c r="H1932">
        <v>7</v>
      </c>
      <c r="I1932">
        <v>0.38300000000000001</v>
      </c>
      <c r="J1932">
        <v>0.68500000000000005</v>
      </c>
      <c r="K1932">
        <v>0.30199999999999999</v>
      </c>
      <c r="L1932">
        <v>6</v>
      </c>
      <c r="M1932">
        <v>0</v>
      </c>
      <c r="N1932">
        <v>1</v>
      </c>
      <c r="O1932" t="s">
        <v>53</v>
      </c>
      <c r="P1932" t="s">
        <v>53</v>
      </c>
      <c r="Q1932" t="s">
        <v>53</v>
      </c>
    </row>
    <row r="1933" spans="1:17" x14ac:dyDescent="0.2">
      <c r="A1933" s="30" t="str">
        <f>IF(C1933&amp;G1933&amp;D1933&lt;&gt;'Funnel setup'!$K$3&amp;'Funnel setup'!$K$4&amp;'Funnel setup'!$K$5,".",IF(A1932=".",1,A1932+1))</f>
        <v>.</v>
      </c>
      <c r="B1933" s="431" t="str">
        <f t="shared" si="30"/>
        <v>Hip Replacement PrimaryProviderBMI - THE MANOR HOSPITAL (NT423)EQ-5D Index</v>
      </c>
      <c r="C1933" t="s">
        <v>248</v>
      </c>
      <c r="D1933" t="s">
        <v>1</v>
      </c>
      <c r="E1933" t="s">
        <v>3624</v>
      </c>
      <c r="F1933" t="s">
        <v>3625</v>
      </c>
      <c r="G1933" t="s">
        <v>52</v>
      </c>
      <c r="H1933">
        <v>27</v>
      </c>
      <c r="I1933">
        <v>0.39900000000000002</v>
      </c>
      <c r="J1933">
        <v>0.83799999999999997</v>
      </c>
      <c r="K1933">
        <v>0.439</v>
      </c>
      <c r="L1933">
        <v>26</v>
      </c>
      <c r="M1933">
        <v>1</v>
      </c>
      <c r="N1933">
        <v>0</v>
      </c>
      <c r="O1933" t="s">
        <v>53</v>
      </c>
      <c r="P1933" t="s">
        <v>53</v>
      </c>
      <c r="Q1933" t="s">
        <v>53</v>
      </c>
    </row>
    <row r="1934" spans="1:17" x14ac:dyDescent="0.2">
      <c r="A1934" s="30" t="str">
        <f>IF(C1934&amp;G1934&amp;D1934&lt;&gt;'Funnel setup'!$K$3&amp;'Funnel setup'!$K$4&amp;'Funnel setup'!$K$5,".",IF(A1933=".",1,A1933+1))</f>
        <v>.</v>
      </c>
      <c r="B1934" s="431" t="str">
        <f t="shared" si="30"/>
        <v>Hip Replacement PrimaryProviderBMI - THE MERIDEN HOSPITAL (NT424)EQ-5D Index</v>
      </c>
      <c r="C1934" t="s">
        <v>248</v>
      </c>
      <c r="D1934" t="s">
        <v>1</v>
      </c>
      <c r="E1934" t="s">
        <v>3283</v>
      </c>
      <c r="F1934" t="s">
        <v>3284</v>
      </c>
      <c r="G1934" t="s">
        <v>52</v>
      </c>
      <c r="H1934">
        <v>71</v>
      </c>
      <c r="I1934">
        <v>0.39200000000000002</v>
      </c>
      <c r="J1934">
        <v>0.82</v>
      </c>
      <c r="K1934">
        <v>0.42899999999999999</v>
      </c>
      <c r="L1934">
        <v>64</v>
      </c>
      <c r="M1934">
        <v>6</v>
      </c>
      <c r="N1934">
        <v>1</v>
      </c>
      <c r="O1934">
        <v>0.80800000000000005</v>
      </c>
      <c r="P1934">
        <v>0.44634885200000002</v>
      </c>
      <c r="Q1934">
        <v>0.20899999999999999</v>
      </c>
    </row>
    <row r="1935" spans="1:17" x14ac:dyDescent="0.2">
      <c r="A1935" s="30" t="str">
        <f>IF(C1935&amp;G1935&amp;D1935&lt;&gt;'Funnel setup'!$K$3&amp;'Funnel setup'!$K$4&amp;'Funnel setup'!$K$5,".",IF(A1934=".",1,A1934+1))</f>
        <v>.</v>
      </c>
      <c r="B1935" s="431" t="str">
        <f t="shared" si="30"/>
        <v>Hip Replacement PrimaryProviderBMI - THE PARK HOSPITAL (NT427)EQ-5D Index</v>
      </c>
      <c r="C1935" t="s">
        <v>248</v>
      </c>
      <c r="D1935" t="s">
        <v>1</v>
      </c>
      <c r="E1935" t="s">
        <v>3286</v>
      </c>
      <c r="F1935" t="s">
        <v>3287</v>
      </c>
      <c r="G1935" t="s">
        <v>52</v>
      </c>
      <c r="H1935">
        <v>31</v>
      </c>
      <c r="I1935">
        <v>0.45900000000000002</v>
      </c>
      <c r="J1935">
        <v>0.82899999999999996</v>
      </c>
      <c r="K1935">
        <v>0.37</v>
      </c>
      <c r="L1935">
        <v>26</v>
      </c>
      <c r="M1935">
        <v>4</v>
      </c>
      <c r="N1935">
        <v>1</v>
      </c>
      <c r="O1935">
        <v>0.77900000000000003</v>
      </c>
      <c r="P1935">
        <v>0.41772385400000001</v>
      </c>
      <c r="Q1935">
        <v>0.19800000000000001</v>
      </c>
    </row>
    <row r="1936" spans="1:17" x14ac:dyDescent="0.2">
      <c r="A1936" s="30" t="str">
        <f>IF(C1936&amp;G1936&amp;D1936&lt;&gt;'Funnel setup'!$K$3&amp;'Funnel setup'!$K$4&amp;'Funnel setup'!$K$5,".",IF(A1935=".",1,A1935+1))</f>
        <v>.</v>
      </c>
      <c r="B1936" s="431" t="str">
        <f t="shared" si="30"/>
        <v>Hip Replacement PrimaryProviderBMI - THE PRINCESS MARGARET HOSPITAL (NT428)EQ-5D Index</v>
      </c>
      <c r="C1936" t="s">
        <v>248</v>
      </c>
      <c r="D1936" t="s">
        <v>1</v>
      </c>
      <c r="E1936" t="s">
        <v>3289</v>
      </c>
      <c r="F1936" t="s">
        <v>3290</v>
      </c>
      <c r="G1936" t="s">
        <v>52</v>
      </c>
      <c r="H1936">
        <v>10</v>
      </c>
      <c r="I1936">
        <v>0.29799999999999999</v>
      </c>
      <c r="J1936">
        <v>0.69599999999999995</v>
      </c>
      <c r="K1936">
        <v>0.39700000000000002</v>
      </c>
      <c r="L1936">
        <v>7</v>
      </c>
      <c r="M1936">
        <v>1</v>
      </c>
      <c r="N1936">
        <v>2</v>
      </c>
      <c r="O1936" t="s">
        <v>53</v>
      </c>
      <c r="P1936" t="s">
        <v>53</v>
      </c>
      <c r="Q1936" t="s">
        <v>53</v>
      </c>
    </row>
    <row r="1937" spans="1:17" x14ac:dyDescent="0.2">
      <c r="A1937" s="30" t="str">
        <f>IF(C1937&amp;G1937&amp;D1937&lt;&gt;'Funnel setup'!$K$3&amp;'Funnel setup'!$K$4&amp;'Funnel setup'!$K$5,".",IF(A1936=".",1,A1936+1))</f>
        <v>.</v>
      </c>
      <c r="B1937" s="431" t="str">
        <f t="shared" si="30"/>
        <v>Hip Replacement PrimaryProviderBMI - THE PRIORY HOSPITAL (NT429)EQ-5D Index</v>
      </c>
      <c r="C1937" t="s">
        <v>248</v>
      </c>
      <c r="D1937" t="s">
        <v>1</v>
      </c>
      <c r="E1937" t="s">
        <v>4776</v>
      </c>
      <c r="F1937" t="s">
        <v>4777</v>
      </c>
      <c r="G1937" t="s">
        <v>52</v>
      </c>
      <c r="H1937" t="s">
        <v>53</v>
      </c>
      <c r="I1937" t="s">
        <v>53</v>
      </c>
      <c r="J1937" t="s">
        <v>53</v>
      </c>
      <c r="K1937" t="s">
        <v>53</v>
      </c>
      <c r="L1937" t="s">
        <v>53</v>
      </c>
      <c r="M1937" t="s">
        <v>53</v>
      </c>
      <c r="N1937" t="s">
        <v>53</v>
      </c>
      <c r="O1937" t="s">
        <v>53</v>
      </c>
      <c r="P1937" t="s">
        <v>53</v>
      </c>
      <c r="Q1937" t="s">
        <v>53</v>
      </c>
    </row>
    <row r="1938" spans="1:17" x14ac:dyDescent="0.2">
      <c r="A1938" s="30" t="str">
        <f>IF(C1938&amp;G1938&amp;D1938&lt;&gt;'Funnel setup'!$K$3&amp;'Funnel setup'!$K$4&amp;'Funnel setup'!$K$5,".",IF(A1937=".",1,A1937+1))</f>
        <v>.</v>
      </c>
      <c r="B1938" s="431" t="str">
        <f t="shared" si="30"/>
        <v>Hip Replacement PrimaryProviderBMI - THE RIDGEWAY HOSPITAL (NT430)EQ-5D Index</v>
      </c>
      <c r="C1938" t="s">
        <v>248</v>
      </c>
      <c r="D1938" t="s">
        <v>1</v>
      </c>
      <c r="E1938" t="s">
        <v>3292</v>
      </c>
      <c r="F1938" t="s">
        <v>3293</v>
      </c>
      <c r="G1938" t="s">
        <v>52</v>
      </c>
      <c r="H1938">
        <v>78</v>
      </c>
      <c r="I1938">
        <v>0.47499999999999998</v>
      </c>
      <c r="J1938">
        <v>0.84099999999999997</v>
      </c>
      <c r="K1938">
        <v>0.36699999999999999</v>
      </c>
      <c r="L1938">
        <v>70</v>
      </c>
      <c r="M1938">
        <v>4</v>
      </c>
      <c r="N1938">
        <v>4</v>
      </c>
      <c r="O1938">
        <v>0.78900000000000003</v>
      </c>
      <c r="P1938">
        <v>0.42713799299999999</v>
      </c>
      <c r="Q1938">
        <v>0.24399999999999999</v>
      </c>
    </row>
    <row r="1939" spans="1:17" x14ac:dyDescent="0.2">
      <c r="A1939" s="30" t="str">
        <f>IF(C1939&amp;G1939&amp;D1939&lt;&gt;'Funnel setup'!$K$3&amp;'Funnel setup'!$K$4&amp;'Funnel setup'!$K$5,".",IF(A1938=".",1,A1938+1))</f>
        <v>.</v>
      </c>
      <c r="B1939" s="431" t="str">
        <f t="shared" si="30"/>
        <v>Hip Replacement PrimaryProviderBMI - THE RUNNYMEDE HOSPITAL (NT431)EQ-5D Index</v>
      </c>
      <c r="C1939" t="s">
        <v>248</v>
      </c>
      <c r="D1939" t="s">
        <v>1</v>
      </c>
      <c r="E1939" t="s">
        <v>3295</v>
      </c>
      <c r="F1939" t="s">
        <v>3296</v>
      </c>
      <c r="G1939" t="s">
        <v>52</v>
      </c>
      <c r="H1939">
        <v>16</v>
      </c>
      <c r="I1939">
        <v>0.48699999999999999</v>
      </c>
      <c r="J1939">
        <v>0.92100000000000004</v>
      </c>
      <c r="K1939">
        <v>0.433</v>
      </c>
      <c r="L1939">
        <v>14</v>
      </c>
      <c r="M1939">
        <v>1</v>
      </c>
      <c r="N1939">
        <v>1</v>
      </c>
      <c r="O1939" t="s">
        <v>53</v>
      </c>
      <c r="P1939" t="s">
        <v>53</v>
      </c>
      <c r="Q1939" t="s">
        <v>53</v>
      </c>
    </row>
    <row r="1940" spans="1:17" x14ac:dyDescent="0.2">
      <c r="A1940" s="30" t="str">
        <f>IF(C1940&amp;G1940&amp;D1940&lt;&gt;'Funnel setup'!$K$3&amp;'Funnel setup'!$K$4&amp;'Funnel setup'!$K$5,".",IF(A1939=".",1,A1939+1))</f>
        <v>.</v>
      </c>
      <c r="B1940" s="431" t="str">
        <f t="shared" si="30"/>
        <v>Hip Replacement PrimaryProviderBMI - THE SANDRINGHAM HOSPITAL (NT432)EQ-5D Index</v>
      </c>
      <c r="C1940" t="s">
        <v>248</v>
      </c>
      <c r="D1940" t="s">
        <v>1</v>
      </c>
      <c r="E1940" t="s">
        <v>3298</v>
      </c>
      <c r="F1940" t="s">
        <v>3299</v>
      </c>
      <c r="G1940" t="s">
        <v>52</v>
      </c>
      <c r="H1940">
        <v>119</v>
      </c>
      <c r="I1940">
        <v>0.44900000000000001</v>
      </c>
      <c r="J1940">
        <v>0.85</v>
      </c>
      <c r="K1940">
        <v>0.40200000000000002</v>
      </c>
      <c r="L1940">
        <v>107</v>
      </c>
      <c r="M1940">
        <v>9</v>
      </c>
      <c r="N1940">
        <v>3</v>
      </c>
      <c r="O1940">
        <v>0.81799999999999995</v>
      </c>
      <c r="P1940">
        <v>0.45680366700000002</v>
      </c>
      <c r="Q1940">
        <v>0.17599999999999999</v>
      </c>
    </row>
    <row r="1941" spans="1:17" x14ac:dyDescent="0.2">
      <c r="A1941" s="30" t="str">
        <f>IF(C1941&amp;G1941&amp;D1941&lt;&gt;'Funnel setup'!$K$3&amp;'Funnel setup'!$K$4&amp;'Funnel setup'!$K$5,".",IF(A1940=".",1,A1940+1))</f>
        <v>.</v>
      </c>
      <c r="B1941" s="431" t="str">
        <f t="shared" si="30"/>
        <v>Hip Replacement PrimaryProviderBMI - THE SAXON CLINIC (NT434)EQ-5D Index</v>
      </c>
      <c r="C1941" t="s">
        <v>248</v>
      </c>
      <c r="D1941" t="s">
        <v>1</v>
      </c>
      <c r="E1941" t="s">
        <v>3301</v>
      </c>
      <c r="F1941" t="s">
        <v>3302</v>
      </c>
      <c r="G1941" t="s">
        <v>52</v>
      </c>
      <c r="H1941">
        <v>37</v>
      </c>
      <c r="I1941">
        <v>0.40200000000000002</v>
      </c>
      <c r="J1941">
        <v>0.83599999999999997</v>
      </c>
      <c r="K1941">
        <v>0.434</v>
      </c>
      <c r="L1941">
        <v>33</v>
      </c>
      <c r="M1941">
        <v>2</v>
      </c>
      <c r="N1941">
        <v>2</v>
      </c>
      <c r="O1941">
        <v>0.82299999999999995</v>
      </c>
      <c r="P1941">
        <v>0.46181603599999999</v>
      </c>
      <c r="Q1941">
        <v>0.192</v>
      </c>
    </row>
    <row r="1942" spans="1:17" x14ac:dyDescent="0.2">
      <c r="A1942" s="30" t="str">
        <f>IF(C1942&amp;G1942&amp;D1942&lt;&gt;'Funnel setup'!$K$3&amp;'Funnel setup'!$K$4&amp;'Funnel setup'!$K$5,".",IF(A1941=".",1,A1941+1))</f>
        <v>.</v>
      </c>
      <c r="B1942" s="431" t="str">
        <f t="shared" si="30"/>
        <v>Hip Replacement PrimaryProviderBMI - THE SHELBURNE HOSPITAL (NT435)EQ-5D Index</v>
      </c>
      <c r="C1942" t="s">
        <v>248</v>
      </c>
      <c r="D1942" t="s">
        <v>1</v>
      </c>
      <c r="E1942" t="s">
        <v>4318</v>
      </c>
      <c r="F1942" t="s">
        <v>4319</v>
      </c>
      <c r="G1942" t="s">
        <v>52</v>
      </c>
      <c r="H1942">
        <v>35</v>
      </c>
      <c r="I1942">
        <v>0.39100000000000001</v>
      </c>
      <c r="J1942">
        <v>0.88200000000000001</v>
      </c>
      <c r="K1942">
        <v>0.49099999999999999</v>
      </c>
      <c r="L1942">
        <v>33</v>
      </c>
      <c r="M1942">
        <v>2</v>
      </c>
      <c r="N1942">
        <v>0</v>
      </c>
      <c r="O1942">
        <v>0.86099999999999999</v>
      </c>
      <c r="P1942">
        <v>0.49936222400000002</v>
      </c>
      <c r="Q1942">
        <v>0.14199999999999999</v>
      </c>
    </row>
    <row r="1943" spans="1:17" x14ac:dyDescent="0.2">
      <c r="A1943" s="30" t="str">
        <f>IF(C1943&amp;G1943&amp;D1943&lt;&gt;'Funnel setup'!$K$3&amp;'Funnel setup'!$K$4&amp;'Funnel setup'!$K$5,".",IF(A1942=".",1,A1942+1))</f>
        <v>.</v>
      </c>
      <c r="B1943" s="431" t="str">
        <f t="shared" si="30"/>
        <v>Hip Replacement PrimaryProviderBMI - THE SLOANE HOSPITAL (NT437)EQ-5D Index</v>
      </c>
      <c r="C1943" t="s">
        <v>248</v>
      </c>
      <c r="D1943" t="s">
        <v>1</v>
      </c>
      <c r="E1943" t="s">
        <v>4327</v>
      </c>
      <c r="F1943" t="s">
        <v>4328</v>
      </c>
      <c r="G1943" t="s">
        <v>52</v>
      </c>
      <c r="H1943" t="s">
        <v>53</v>
      </c>
      <c r="I1943" t="s">
        <v>53</v>
      </c>
      <c r="J1943" t="s">
        <v>53</v>
      </c>
      <c r="K1943" t="s">
        <v>53</v>
      </c>
      <c r="L1943" t="s">
        <v>53</v>
      </c>
      <c r="M1943" t="s">
        <v>53</v>
      </c>
      <c r="N1943" t="s">
        <v>53</v>
      </c>
      <c r="O1943" t="s">
        <v>53</v>
      </c>
      <c r="P1943" t="s">
        <v>53</v>
      </c>
      <c r="Q1943" t="s">
        <v>53</v>
      </c>
    </row>
    <row r="1944" spans="1:17" x14ac:dyDescent="0.2">
      <c r="A1944" s="30" t="str">
        <f>IF(C1944&amp;G1944&amp;D1944&lt;&gt;'Funnel setup'!$K$3&amp;'Funnel setup'!$K$4&amp;'Funnel setup'!$K$5,".",IF(A1943=".",1,A1943+1))</f>
        <v>.</v>
      </c>
      <c r="B1944" s="431" t="str">
        <f t="shared" si="30"/>
        <v>Hip Replacement PrimaryProviderBMI - THE SOMERFIELD HOSPITAL (NT438)EQ-5D Index</v>
      </c>
      <c r="C1944" t="s">
        <v>248</v>
      </c>
      <c r="D1944" t="s">
        <v>1</v>
      </c>
      <c r="E1944" t="s">
        <v>3304</v>
      </c>
      <c r="F1944" t="s">
        <v>3305</v>
      </c>
      <c r="G1944" t="s">
        <v>52</v>
      </c>
      <c r="H1944">
        <v>17</v>
      </c>
      <c r="I1944">
        <v>0.42099999999999999</v>
      </c>
      <c r="J1944">
        <v>0.82399999999999995</v>
      </c>
      <c r="K1944">
        <v>0.40300000000000002</v>
      </c>
      <c r="L1944">
        <v>17</v>
      </c>
      <c r="M1944">
        <v>0</v>
      </c>
      <c r="N1944">
        <v>0</v>
      </c>
      <c r="O1944" t="s">
        <v>53</v>
      </c>
      <c r="P1944" t="s">
        <v>53</v>
      </c>
      <c r="Q1944" t="s">
        <v>53</v>
      </c>
    </row>
    <row r="1945" spans="1:17" x14ac:dyDescent="0.2">
      <c r="A1945" s="30" t="str">
        <f>IF(C1945&amp;G1945&amp;D1945&lt;&gt;'Funnel setup'!$K$3&amp;'Funnel setup'!$K$4&amp;'Funnel setup'!$K$5,".",IF(A1944=".",1,A1944+1))</f>
        <v>.</v>
      </c>
      <c r="B1945" s="431" t="str">
        <f t="shared" si="30"/>
        <v>Hip Replacement PrimaryProviderBMI - THE SOUTH CHESHIRE PRIVATE HOSPITAL (NT439)EQ-5D Index</v>
      </c>
      <c r="C1945" t="s">
        <v>248</v>
      </c>
      <c r="D1945" t="s">
        <v>1</v>
      </c>
      <c r="E1945" t="s">
        <v>3307</v>
      </c>
      <c r="F1945" t="s">
        <v>3308</v>
      </c>
      <c r="G1945" t="s">
        <v>52</v>
      </c>
      <c r="H1945">
        <v>31</v>
      </c>
      <c r="I1945">
        <v>0.45400000000000001</v>
      </c>
      <c r="J1945">
        <v>0.86399999999999999</v>
      </c>
      <c r="K1945">
        <v>0.41</v>
      </c>
      <c r="L1945">
        <v>29</v>
      </c>
      <c r="M1945">
        <v>1</v>
      </c>
      <c r="N1945">
        <v>1</v>
      </c>
      <c r="O1945">
        <v>0.82099999999999995</v>
      </c>
      <c r="P1945">
        <v>0.45965561300000002</v>
      </c>
      <c r="Q1945">
        <v>0.20599999999999999</v>
      </c>
    </row>
    <row r="1946" spans="1:17" x14ac:dyDescent="0.2">
      <c r="A1946" s="30" t="str">
        <f>IF(C1946&amp;G1946&amp;D1946&lt;&gt;'Funnel setup'!$K$3&amp;'Funnel setup'!$K$4&amp;'Funnel setup'!$K$5,".",IF(A1945=".",1,A1945+1))</f>
        <v>.</v>
      </c>
      <c r="B1946" s="431" t="str">
        <f t="shared" si="30"/>
        <v>Hip Replacement PrimaryProviderBMI - THE WINTERBOURNE HOSPITAL (NT443)EQ-5D Index</v>
      </c>
      <c r="C1946" t="s">
        <v>248</v>
      </c>
      <c r="D1946" t="s">
        <v>1</v>
      </c>
      <c r="E1946" t="s">
        <v>3310</v>
      </c>
      <c r="F1946" t="s">
        <v>3311</v>
      </c>
      <c r="G1946" t="s">
        <v>52</v>
      </c>
      <c r="H1946">
        <v>48</v>
      </c>
      <c r="I1946">
        <v>0.47099999999999997</v>
      </c>
      <c r="J1946">
        <v>0.84899999999999998</v>
      </c>
      <c r="K1946">
        <v>0.379</v>
      </c>
      <c r="L1946">
        <v>38</v>
      </c>
      <c r="M1946">
        <v>6</v>
      </c>
      <c r="N1946">
        <v>4</v>
      </c>
      <c r="O1946">
        <v>0.81200000000000006</v>
      </c>
      <c r="P1946">
        <v>0.45021016400000002</v>
      </c>
      <c r="Q1946">
        <v>0.17199999999999999</v>
      </c>
    </row>
    <row r="1947" spans="1:17" x14ac:dyDescent="0.2">
      <c r="A1947" s="30" t="str">
        <f>IF(C1947&amp;G1947&amp;D1947&lt;&gt;'Funnel setup'!$K$3&amp;'Funnel setup'!$K$4&amp;'Funnel setup'!$K$5,".",IF(A1946=".",1,A1946+1))</f>
        <v>.</v>
      </c>
      <c r="B1947" s="431" t="str">
        <f t="shared" si="30"/>
        <v>Hip Replacement PrimaryProviderBMI - THORNBURY HOSPITAL (NT440)EQ-5D Index</v>
      </c>
      <c r="C1947" t="s">
        <v>248</v>
      </c>
      <c r="D1947" t="s">
        <v>1</v>
      </c>
      <c r="E1947" t="s">
        <v>3313</v>
      </c>
      <c r="F1947" t="s">
        <v>3314</v>
      </c>
      <c r="G1947" t="s">
        <v>52</v>
      </c>
      <c r="H1947">
        <v>47</v>
      </c>
      <c r="I1947">
        <v>0.42599999999999999</v>
      </c>
      <c r="J1947">
        <v>0.879</v>
      </c>
      <c r="K1947">
        <v>0.45300000000000001</v>
      </c>
      <c r="L1947">
        <v>46</v>
      </c>
      <c r="M1947">
        <v>0</v>
      </c>
      <c r="N1947">
        <v>1</v>
      </c>
      <c r="O1947">
        <v>0.83899999999999997</v>
      </c>
      <c r="P1947">
        <v>0.477375573</v>
      </c>
      <c r="Q1947">
        <v>0.161</v>
      </c>
    </row>
    <row r="1948" spans="1:17" x14ac:dyDescent="0.2">
      <c r="A1948" s="30" t="str">
        <f>IF(C1948&amp;G1948&amp;D1948&lt;&gt;'Funnel setup'!$K$3&amp;'Funnel setup'!$K$4&amp;'Funnel setup'!$K$5,".",IF(A1947=".",1,A1947+1))</f>
        <v>.</v>
      </c>
      <c r="B1948" s="431" t="str">
        <f t="shared" si="30"/>
        <v>Hip Replacement PrimaryProviderBMI - THREE SHIRES HOSPITAL (NT441)EQ-5D Index</v>
      </c>
      <c r="C1948" t="s">
        <v>248</v>
      </c>
      <c r="D1948" t="s">
        <v>1</v>
      </c>
      <c r="E1948" t="s">
        <v>3316</v>
      </c>
      <c r="F1948" t="s">
        <v>3317</v>
      </c>
      <c r="G1948" t="s">
        <v>52</v>
      </c>
      <c r="H1948">
        <v>41</v>
      </c>
      <c r="I1948">
        <v>0.42</v>
      </c>
      <c r="J1948">
        <v>0.92</v>
      </c>
      <c r="K1948">
        <v>0.501</v>
      </c>
      <c r="L1948">
        <v>39</v>
      </c>
      <c r="M1948">
        <v>1</v>
      </c>
      <c r="N1948">
        <v>1</v>
      </c>
      <c r="O1948">
        <v>0.86499999999999999</v>
      </c>
      <c r="P1948">
        <v>0.503773676</v>
      </c>
      <c r="Q1948">
        <v>0.14399999999999999</v>
      </c>
    </row>
    <row r="1949" spans="1:17" x14ac:dyDescent="0.2">
      <c r="A1949" s="30" t="str">
        <f>IF(C1949&amp;G1949&amp;D1949&lt;&gt;'Funnel setup'!$K$3&amp;'Funnel setup'!$K$4&amp;'Funnel setup'!$K$5,".",IF(A1948=".",1,A1948+1))</f>
        <v>.</v>
      </c>
      <c r="B1949" s="431" t="str">
        <f t="shared" si="30"/>
        <v>Hip Replacement PrimaryProviderBMI GISBURNE PARK HOSPITAL (NT497)EQ-5D Index</v>
      </c>
      <c r="C1949" t="s">
        <v>248</v>
      </c>
      <c r="D1949" t="s">
        <v>1</v>
      </c>
      <c r="E1949" t="s">
        <v>3319</v>
      </c>
      <c r="F1949" t="s">
        <v>3320</v>
      </c>
      <c r="G1949" t="s">
        <v>52</v>
      </c>
      <c r="H1949">
        <v>42</v>
      </c>
      <c r="I1949">
        <v>0.41099999999999998</v>
      </c>
      <c r="J1949">
        <v>0.83599999999999997</v>
      </c>
      <c r="K1949">
        <v>0.42499999999999999</v>
      </c>
      <c r="L1949">
        <v>38</v>
      </c>
      <c r="M1949">
        <v>2</v>
      </c>
      <c r="N1949">
        <v>2</v>
      </c>
      <c r="O1949">
        <v>0.82199999999999995</v>
      </c>
      <c r="P1949">
        <v>0.46026547699999998</v>
      </c>
      <c r="Q1949">
        <v>0.188</v>
      </c>
    </row>
    <row r="1950" spans="1:17" x14ac:dyDescent="0.2">
      <c r="A1950" s="30" t="str">
        <f>IF(C1950&amp;G1950&amp;D1950&lt;&gt;'Funnel setup'!$K$3&amp;'Funnel setup'!$K$4&amp;'Funnel setup'!$K$5,".",IF(A1949=".",1,A1949+1))</f>
        <v>.</v>
      </c>
      <c r="B1950" s="431" t="str">
        <f t="shared" si="30"/>
        <v>Hip Replacement PrimaryProviderBMI MOUNT ALVERNIA HOSPITAL (NT455)EQ-5D Index</v>
      </c>
      <c r="C1950" t="s">
        <v>248</v>
      </c>
      <c r="D1950" t="s">
        <v>1</v>
      </c>
      <c r="E1950" t="s">
        <v>3322</v>
      </c>
      <c r="F1950" t="s">
        <v>3323</v>
      </c>
      <c r="G1950" t="s">
        <v>52</v>
      </c>
      <c r="H1950">
        <v>8</v>
      </c>
      <c r="I1950">
        <v>0.47199999999999998</v>
      </c>
      <c r="J1950">
        <v>0.82699999999999996</v>
      </c>
      <c r="K1950">
        <v>0.35499999999999998</v>
      </c>
      <c r="L1950">
        <v>6</v>
      </c>
      <c r="M1950">
        <v>1</v>
      </c>
      <c r="N1950">
        <v>1</v>
      </c>
      <c r="O1950" t="s">
        <v>53</v>
      </c>
      <c r="P1950" t="s">
        <v>53</v>
      </c>
      <c r="Q1950" t="s">
        <v>53</v>
      </c>
    </row>
    <row r="1951" spans="1:17" x14ac:dyDescent="0.2">
      <c r="A1951" s="30" t="str">
        <f>IF(C1951&amp;G1951&amp;D1951&lt;&gt;'Funnel setup'!$K$3&amp;'Funnel setup'!$K$4&amp;'Funnel setup'!$K$5,".",IF(A1950=".",1,A1950+1))</f>
        <v>.</v>
      </c>
      <c r="B1951" s="431" t="str">
        <f t="shared" si="30"/>
        <v>Hip Replacement PrimaryProviderBMI ST EDMUNDS HOSPITAL (NT446)EQ-5D Index</v>
      </c>
      <c r="C1951" t="s">
        <v>248</v>
      </c>
      <c r="D1951" t="s">
        <v>1</v>
      </c>
      <c r="E1951" t="s">
        <v>3328</v>
      </c>
      <c r="F1951" t="s">
        <v>3329</v>
      </c>
      <c r="G1951" t="s">
        <v>52</v>
      </c>
      <c r="H1951">
        <v>82</v>
      </c>
      <c r="I1951">
        <v>0.46100000000000002</v>
      </c>
      <c r="J1951">
        <v>0.82899999999999996</v>
      </c>
      <c r="K1951">
        <v>0.36799999999999999</v>
      </c>
      <c r="L1951">
        <v>74</v>
      </c>
      <c r="M1951">
        <v>3</v>
      </c>
      <c r="N1951">
        <v>5</v>
      </c>
      <c r="O1951">
        <v>0.77800000000000002</v>
      </c>
      <c r="P1951">
        <v>0.41598179699999999</v>
      </c>
      <c r="Q1951">
        <v>0.19</v>
      </c>
    </row>
    <row r="1952" spans="1:17" x14ac:dyDescent="0.2">
      <c r="A1952" s="30" t="str">
        <f>IF(C1952&amp;G1952&amp;D1952&lt;&gt;'Funnel setup'!$K$3&amp;'Funnel setup'!$K$4&amp;'Funnel setup'!$K$5,".",IF(A1951=".",1,A1951+1))</f>
        <v>.</v>
      </c>
      <c r="B1952" s="431" t="str">
        <f t="shared" si="30"/>
        <v>Hip Replacement PrimaryProviderBMI THE CAVELL HOSPITAL (NT451)EQ-5D Index</v>
      </c>
      <c r="C1952" t="s">
        <v>248</v>
      </c>
      <c r="D1952" t="s">
        <v>1</v>
      </c>
      <c r="E1952" t="s">
        <v>3331</v>
      </c>
      <c r="F1952" t="s">
        <v>3332</v>
      </c>
      <c r="G1952" t="s">
        <v>52</v>
      </c>
      <c r="H1952">
        <v>30</v>
      </c>
      <c r="I1952">
        <v>0.433</v>
      </c>
      <c r="J1952">
        <v>0.89100000000000001</v>
      </c>
      <c r="K1952">
        <v>0.45800000000000002</v>
      </c>
      <c r="L1952">
        <v>28</v>
      </c>
      <c r="M1952">
        <v>1</v>
      </c>
      <c r="N1952">
        <v>1</v>
      </c>
      <c r="O1952">
        <v>0.85399999999999998</v>
      </c>
      <c r="P1952">
        <v>0.49263967199999997</v>
      </c>
      <c r="Q1952">
        <v>0.12</v>
      </c>
    </row>
    <row r="1953" spans="1:17" x14ac:dyDescent="0.2">
      <c r="A1953" s="30" t="str">
        <f>IF(C1953&amp;G1953&amp;D1953&lt;&gt;'Funnel setup'!$K$3&amp;'Funnel setup'!$K$4&amp;'Funnel setup'!$K$5,".",IF(A1952=".",1,A1952+1))</f>
        <v>.</v>
      </c>
      <c r="B1953" s="431" t="str">
        <f t="shared" si="30"/>
        <v>Hip Replacement PrimaryProviderBMI THE DUCHY HOSPITAL (NT447)EQ-5D Index</v>
      </c>
      <c r="C1953" t="s">
        <v>248</v>
      </c>
      <c r="D1953" t="s">
        <v>1</v>
      </c>
      <c r="E1953" t="s">
        <v>3334</v>
      </c>
      <c r="F1953" t="s">
        <v>3335</v>
      </c>
      <c r="G1953" t="s">
        <v>52</v>
      </c>
      <c r="H1953">
        <v>17</v>
      </c>
      <c r="I1953">
        <v>0.501</v>
      </c>
      <c r="J1953">
        <v>0.89400000000000002</v>
      </c>
      <c r="K1953">
        <v>0.39300000000000002</v>
      </c>
      <c r="L1953">
        <v>16</v>
      </c>
      <c r="M1953">
        <v>0</v>
      </c>
      <c r="N1953">
        <v>1</v>
      </c>
      <c r="O1953" t="s">
        <v>53</v>
      </c>
      <c r="P1953" t="s">
        <v>53</v>
      </c>
      <c r="Q1953" t="s">
        <v>53</v>
      </c>
    </row>
    <row r="1954" spans="1:17" x14ac:dyDescent="0.2">
      <c r="A1954" s="30" t="str">
        <f>IF(C1954&amp;G1954&amp;D1954&lt;&gt;'Funnel setup'!$K$3&amp;'Funnel setup'!$K$4&amp;'Funnel setup'!$K$5,".",IF(A1953=".",1,A1953+1))</f>
        <v>.</v>
      </c>
      <c r="B1954" s="431" t="str">
        <f t="shared" si="30"/>
        <v>Hip Replacement PrimaryProviderBMI THE EDGBASTON HOSPITAL (NT445)EQ-5D Index</v>
      </c>
      <c r="C1954" t="s">
        <v>248</v>
      </c>
      <c r="D1954" t="s">
        <v>1</v>
      </c>
      <c r="E1954" t="s">
        <v>3337</v>
      </c>
      <c r="F1954" t="s">
        <v>3338</v>
      </c>
      <c r="G1954" t="s">
        <v>52</v>
      </c>
      <c r="H1954">
        <v>33</v>
      </c>
      <c r="I1954">
        <v>0.40500000000000003</v>
      </c>
      <c r="J1954">
        <v>0.85799999999999998</v>
      </c>
      <c r="K1954">
        <v>0.45300000000000001</v>
      </c>
      <c r="L1954">
        <v>30</v>
      </c>
      <c r="M1954">
        <v>1</v>
      </c>
      <c r="N1954">
        <v>2</v>
      </c>
      <c r="O1954">
        <v>0.83899999999999997</v>
      </c>
      <c r="P1954">
        <v>0.47718956400000001</v>
      </c>
      <c r="Q1954">
        <v>0.214</v>
      </c>
    </row>
    <row r="1955" spans="1:17" x14ac:dyDescent="0.2">
      <c r="A1955" s="30" t="str">
        <f>IF(C1955&amp;G1955&amp;D1955&lt;&gt;'Funnel setup'!$K$3&amp;'Funnel setup'!$K$4&amp;'Funnel setup'!$K$5,".",IF(A1954=".",1,A1954+1))</f>
        <v>.</v>
      </c>
      <c r="B1955" s="431" t="str">
        <f t="shared" si="30"/>
        <v>Hip Replacement PrimaryProviderBMI THE HUDDERSFIELD HOSPITAL (NT448)EQ-5D Index</v>
      </c>
      <c r="C1955" t="s">
        <v>248</v>
      </c>
      <c r="D1955" t="s">
        <v>1</v>
      </c>
      <c r="E1955" t="s">
        <v>3346</v>
      </c>
      <c r="F1955" t="s">
        <v>3347</v>
      </c>
      <c r="G1955" t="s">
        <v>52</v>
      </c>
      <c r="H1955">
        <v>48</v>
      </c>
      <c r="I1955">
        <v>0.5</v>
      </c>
      <c r="J1955">
        <v>0.84899999999999998</v>
      </c>
      <c r="K1955">
        <v>0.35</v>
      </c>
      <c r="L1955">
        <v>42</v>
      </c>
      <c r="M1955">
        <v>3</v>
      </c>
      <c r="N1955">
        <v>3</v>
      </c>
      <c r="O1955">
        <v>0.80100000000000005</v>
      </c>
      <c r="P1955">
        <v>0.43921185299999999</v>
      </c>
      <c r="Q1955">
        <v>0.182</v>
      </c>
    </row>
    <row r="1956" spans="1:17" x14ac:dyDescent="0.2">
      <c r="A1956" s="30" t="str">
        <f>IF(C1956&amp;G1956&amp;D1956&lt;&gt;'Funnel setup'!$K$3&amp;'Funnel setup'!$K$4&amp;'Funnel setup'!$K$5,".",IF(A1955=".",1,A1955+1))</f>
        <v>.</v>
      </c>
      <c r="B1956" s="431" t="str">
        <f t="shared" si="30"/>
        <v>Hip Replacement PrimaryProviderBMI THE LANCASTER HOSPITAL (NT449)EQ-5D Index</v>
      </c>
      <c r="C1956" t="s">
        <v>248</v>
      </c>
      <c r="D1956" t="s">
        <v>1</v>
      </c>
      <c r="E1956" t="s">
        <v>3349</v>
      </c>
      <c r="F1956" t="s">
        <v>3350</v>
      </c>
      <c r="G1956" t="s">
        <v>52</v>
      </c>
      <c r="H1956">
        <v>43</v>
      </c>
      <c r="I1956">
        <v>0.502</v>
      </c>
      <c r="J1956">
        <v>0.81599999999999995</v>
      </c>
      <c r="K1956">
        <v>0.314</v>
      </c>
      <c r="L1956">
        <v>38</v>
      </c>
      <c r="M1956">
        <v>3</v>
      </c>
      <c r="N1956">
        <v>2</v>
      </c>
      <c r="O1956">
        <v>0.77500000000000002</v>
      </c>
      <c r="P1956">
        <v>0.413319194</v>
      </c>
      <c r="Q1956">
        <v>0.2</v>
      </c>
    </row>
    <row r="1957" spans="1:17" x14ac:dyDescent="0.2">
      <c r="A1957" s="30" t="str">
        <f>IF(C1957&amp;G1957&amp;D1957&lt;&gt;'Funnel setup'!$K$3&amp;'Funnel setup'!$K$4&amp;'Funnel setup'!$K$5,".",IF(A1956=".",1,A1956+1))</f>
        <v>.</v>
      </c>
      <c r="B1957" s="431" t="str">
        <f t="shared" si="30"/>
        <v>Hip Replacement PrimaryProviderBMI THE LINCOLN HOSPITAL (NT450)EQ-5D Index</v>
      </c>
      <c r="C1957" t="s">
        <v>248</v>
      </c>
      <c r="D1957" t="s">
        <v>1</v>
      </c>
      <c r="E1957" t="s">
        <v>3352</v>
      </c>
      <c r="F1957" t="s">
        <v>3353</v>
      </c>
      <c r="G1957" t="s">
        <v>52</v>
      </c>
      <c r="H1957">
        <v>76</v>
      </c>
      <c r="I1957">
        <v>0.46400000000000002</v>
      </c>
      <c r="J1957">
        <v>0.82399999999999995</v>
      </c>
      <c r="K1957">
        <v>0.36099999999999999</v>
      </c>
      <c r="L1957">
        <v>65</v>
      </c>
      <c r="M1957">
        <v>4</v>
      </c>
      <c r="N1957">
        <v>7</v>
      </c>
      <c r="O1957">
        <v>0.80900000000000005</v>
      </c>
      <c r="P1957">
        <v>0.44716800499999998</v>
      </c>
      <c r="Q1957">
        <v>0.23799999999999999</v>
      </c>
    </row>
    <row r="1958" spans="1:17" x14ac:dyDescent="0.2">
      <c r="A1958" s="30" t="str">
        <f>IF(C1958&amp;G1958&amp;D1958&lt;&gt;'Funnel setup'!$K$3&amp;'Funnel setup'!$K$4&amp;'Funnel setup'!$K$5,".",IF(A1957=".",1,A1957+1))</f>
        <v>.</v>
      </c>
      <c r="B1958" s="431" t="str">
        <f t="shared" si="30"/>
        <v>Hip Replacement PrimaryProviderBMI WOODLANDS HOSPITAL (NT457)EQ-5D Index</v>
      </c>
      <c r="C1958" t="s">
        <v>248</v>
      </c>
      <c r="D1958" t="s">
        <v>1</v>
      </c>
      <c r="E1958" t="s">
        <v>3355</v>
      </c>
      <c r="F1958" t="s">
        <v>3356</v>
      </c>
      <c r="G1958" t="s">
        <v>52</v>
      </c>
      <c r="H1958">
        <v>67</v>
      </c>
      <c r="I1958">
        <v>0.42899999999999999</v>
      </c>
      <c r="J1958">
        <v>0.81</v>
      </c>
      <c r="K1958">
        <v>0.38100000000000001</v>
      </c>
      <c r="L1958">
        <v>56</v>
      </c>
      <c r="M1958">
        <v>4</v>
      </c>
      <c r="N1958">
        <v>7</v>
      </c>
      <c r="O1958">
        <v>0.77500000000000002</v>
      </c>
      <c r="P1958">
        <v>0.412865174</v>
      </c>
      <c r="Q1958">
        <v>0.20100000000000001</v>
      </c>
    </row>
    <row r="1959" spans="1:17" x14ac:dyDescent="0.2">
      <c r="A1959" s="30" t="str">
        <f>IF(C1959&amp;G1959&amp;D1959&lt;&gt;'Funnel setup'!$K$3&amp;'Funnel setup'!$K$4&amp;'Funnel setup'!$K$5,".",IF(A1958=".",1,A1958+1))</f>
        <v>.</v>
      </c>
      <c r="B1959" s="431" t="str">
        <f t="shared" si="30"/>
        <v>Hip Replacement PrimaryProviderBOLTON NHS FOUNDATION TRUST (RMC)EQ-5D Index</v>
      </c>
      <c r="C1959" t="s">
        <v>248</v>
      </c>
      <c r="D1959" t="s">
        <v>1</v>
      </c>
      <c r="E1959" t="s">
        <v>3358</v>
      </c>
      <c r="F1959" t="s">
        <v>3359</v>
      </c>
      <c r="G1959" t="s">
        <v>52</v>
      </c>
      <c r="H1959">
        <v>97</v>
      </c>
      <c r="I1959">
        <v>0.28100000000000003</v>
      </c>
      <c r="J1959">
        <v>0.75800000000000001</v>
      </c>
      <c r="K1959">
        <v>0.47699999999999998</v>
      </c>
      <c r="L1959">
        <v>85</v>
      </c>
      <c r="M1959">
        <v>8</v>
      </c>
      <c r="N1959">
        <v>4</v>
      </c>
      <c r="O1959">
        <v>0.81200000000000006</v>
      </c>
      <c r="P1959">
        <v>0.45032210700000003</v>
      </c>
      <c r="Q1959">
        <v>0.26300000000000001</v>
      </c>
    </row>
    <row r="1960" spans="1:17" x14ac:dyDescent="0.2">
      <c r="A1960" s="30" t="str">
        <f>IF(C1960&amp;G1960&amp;D1960&lt;&gt;'Funnel setup'!$K$3&amp;'Funnel setup'!$K$4&amp;'Funnel setup'!$K$5,".",IF(A1959=".",1,A1959+1))</f>
        <v>.</v>
      </c>
      <c r="B1960" s="431" t="str">
        <f t="shared" si="30"/>
        <v>Hip Replacement PrimaryProviderBRADFORD TEACHING HOSPITALS NHS FOUNDATION TRUST (RAE)EQ-5D Index</v>
      </c>
      <c r="C1960" t="s">
        <v>248</v>
      </c>
      <c r="D1960" t="s">
        <v>1</v>
      </c>
      <c r="E1960" t="s">
        <v>3361</v>
      </c>
      <c r="F1960" t="s">
        <v>3362</v>
      </c>
      <c r="G1960" t="s">
        <v>52</v>
      </c>
      <c r="H1960">
        <v>81</v>
      </c>
      <c r="I1960">
        <v>0.30299999999999999</v>
      </c>
      <c r="J1960">
        <v>0.72299999999999998</v>
      </c>
      <c r="K1960">
        <v>0.42</v>
      </c>
      <c r="L1960">
        <v>70</v>
      </c>
      <c r="M1960">
        <v>3</v>
      </c>
      <c r="N1960">
        <v>8</v>
      </c>
      <c r="O1960">
        <v>0.79600000000000004</v>
      </c>
      <c r="P1960">
        <v>0.43405043500000001</v>
      </c>
      <c r="Q1960">
        <v>0.27</v>
      </c>
    </row>
    <row r="1961" spans="1:17" x14ac:dyDescent="0.2">
      <c r="A1961" s="30" t="str">
        <f>IF(C1961&amp;G1961&amp;D1961&lt;&gt;'Funnel setup'!$K$3&amp;'Funnel setup'!$K$4&amp;'Funnel setup'!$K$5,".",IF(A1960=".",1,A1960+1))</f>
        <v>.</v>
      </c>
      <c r="B1961" s="431" t="str">
        <f t="shared" si="30"/>
        <v>Hip Replacement PrimaryProviderBRIGHTON AND SUSSEX UNIVERSITY HOSPITALS NHS TRUST (RXH)EQ-5D Index</v>
      </c>
      <c r="C1961" t="s">
        <v>248</v>
      </c>
      <c r="D1961" t="s">
        <v>1</v>
      </c>
      <c r="E1961" t="s">
        <v>3367</v>
      </c>
      <c r="F1961" t="s">
        <v>3368</v>
      </c>
      <c r="G1961" t="s">
        <v>52</v>
      </c>
      <c r="H1961">
        <v>199</v>
      </c>
      <c r="I1961">
        <v>0.44900000000000001</v>
      </c>
      <c r="J1961">
        <v>0.79900000000000004</v>
      </c>
      <c r="K1961">
        <v>0.35</v>
      </c>
      <c r="L1961">
        <v>166</v>
      </c>
      <c r="M1961">
        <v>18</v>
      </c>
      <c r="N1961">
        <v>15</v>
      </c>
      <c r="O1961">
        <v>0.77900000000000003</v>
      </c>
      <c r="P1961">
        <v>0.41713668799999998</v>
      </c>
      <c r="Q1961">
        <v>0.22800000000000001</v>
      </c>
    </row>
    <row r="1962" spans="1:17" x14ac:dyDescent="0.2">
      <c r="A1962" s="30" t="str">
        <f>IF(C1962&amp;G1962&amp;D1962&lt;&gt;'Funnel setup'!$K$3&amp;'Funnel setup'!$K$4&amp;'Funnel setup'!$K$5,".",IF(A1961=".",1,A1961+1))</f>
        <v>.</v>
      </c>
      <c r="B1962" s="431" t="str">
        <f t="shared" si="30"/>
        <v>Hip Replacement PrimaryProviderBUCKINGHAMSHIRE HEALTHCARE NHS TRUST (RXQ)EQ-5D Index</v>
      </c>
      <c r="C1962" t="s">
        <v>248</v>
      </c>
      <c r="D1962" t="s">
        <v>1</v>
      </c>
      <c r="E1962" t="s">
        <v>3370</v>
      </c>
      <c r="F1962" t="s">
        <v>3371</v>
      </c>
      <c r="G1962" t="s">
        <v>52</v>
      </c>
      <c r="H1962">
        <v>147</v>
      </c>
      <c r="I1962">
        <v>0.36499999999999999</v>
      </c>
      <c r="J1962">
        <v>0.76300000000000001</v>
      </c>
      <c r="K1962">
        <v>0.39800000000000002</v>
      </c>
      <c r="L1962">
        <v>122</v>
      </c>
      <c r="M1962">
        <v>12</v>
      </c>
      <c r="N1962">
        <v>13</v>
      </c>
      <c r="O1962">
        <v>0.75600000000000001</v>
      </c>
      <c r="P1962">
        <v>0.39474674100000001</v>
      </c>
      <c r="Q1962">
        <v>0.24399999999999999</v>
      </c>
    </row>
    <row r="1963" spans="1:17" x14ac:dyDescent="0.2">
      <c r="A1963" s="30" t="str">
        <f>IF(C1963&amp;G1963&amp;D1963&lt;&gt;'Funnel setup'!$K$3&amp;'Funnel setup'!$K$4&amp;'Funnel setup'!$K$5,".",IF(A1962=".",1,A1962+1))</f>
        <v>.</v>
      </c>
      <c r="B1963" s="431" t="str">
        <f t="shared" si="30"/>
        <v>Hip Replacement PrimaryProviderBURTON HOSPITALS NHS FOUNDATION TRUST (RJF)EQ-5D Index</v>
      </c>
      <c r="C1963" t="s">
        <v>248</v>
      </c>
      <c r="D1963" t="s">
        <v>1</v>
      </c>
      <c r="E1963" t="s">
        <v>3373</v>
      </c>
      <c r="F1963" t="s">
        <v>3374</v>
      </c>
      <c r="G1963" t="s">
        <v>52</v>
      </c>
      <c r="H1963">
        <v>169</v>
      </c>
      <c r="I1963">
        <v>0.34399999999999997</v>
      </c>
      <c r="J1963">
        <v>0.80600000000000005</v>
      </c>
      <c r="K1963">
        <v>0.46200000000000002</v>
      </c>
      <c r="L1963">
        <v>155</v>
      </c>
      <c r="M1963">
        <v>7</v>
      </c>
      <c r="N1963">
        <v>7</v>
      </c>
      <c r="O1963">
        <v>0.80700000000000005</v>
      </c>
      <c r="P1963">
        <v>0.44500557499999999</v>
      </c>
      <c r="Q1963">
        <v>0.21099999999999999</v>
      </c>
    </row>
    <row r="1964" spans="1:17" x14ac:dyDescent="0.2">
      <c r="A1964" s="30" t="str">
        <f>IF(C1964&amp;G1964&amp;D1964&lt;&gt;'Funnel setup'!$K$3&amp;'Funnel setup'!$K$4&amp;'Funnel setup'!$K$5,".",IF(A1963=".",1,A1963+1))</f>
        <v>.</v>
      </c>
      <c r="B1964" s="431" t="str">
        <f t="shared" si="30"/>
        <v>Hip Replacement PrimaryProviderCALDERDALE AND HUDDERSFIELD NHS FOUNDATION TRUST (RWY)EQ-5D Index</v>
      </c>
      <c r="C1964" t="s">
        <v>248</v>
      </c>
      <c r="D1964" t="s">
        <v>1</v>
      </c>
      <c r="E1964" t="s">
        <v>3379</v>
      </c>
      <c r="F1964" t="s">
        <v>3380</v>
      </c>
      <c r="G1964" t="s">
        <v>52</v>
      </c>
      <c r="H1964">
        <v>251</v>
      </c>
      <c r="I1964">
        <v>0.39400000000000002</v>
      </c>
      <c r="J1964">
        <v>0.81299999999999994</v>
      </c>
      <c r="K1964">
        <v>0.41899999999999998</v>
      </c>
      <c r="L1964">
        <v>225</v>
      </c>
      <c r="M1964">
        <v>15</v>
      </c>
      <c r="N1964">
        <v>11</v>
      </c>
      <c r="O1964">
        <v>0.81699999999999995</v>
      </c>
      <c r="P1964">
        <v>0.454886293</v>
      </c>
      <c r="Q1964">
        <v>0.215</v>
      </c>
    </row>
    <row r="1965" spans="1:17" x14ac:dyDescent="0.2">
      <c r="A1965" s="30" t="str">
        <f>IF(C1965&amp;G1965&amp;D1965&lt;&gt;'Funnel setup'!$K$3&amp;'Funnel setup'!$K$4&amp;'Funnel setup'!$K$5,".",IF(A1964=".",1,A1964+1))</f>
        <v>.</v>
      </c>
      <c r="B1965" s="431" t="str">
        <f t="shared" si="30"/>
        <v>Hip Replacement PrimaryProviderCAMBRIDGE UNIVERSITY HOSPITALS NHS FOUNDATION TRUST (RGT)EQ-5D Index</v>
      </c>
      <c r="C1965" t="s">
        <v>248</v>
      </c>
      <c r="D1965" t="s">
        <v>1</v>
      </c>
      <c r="E1965" t="s">
        <v>3076</v>
      </c>
      <c r="F1965" t="s">
        <v>3077</v>
      </c>
      <c r="G1965" t="s">
        <v>52</v>
      </c>
      <c r="H1965">
        <v>237</v>
      </c>
      <c r="I1965">
        <v>0.34899999999999998</v>
      </c>
      <c r="J1965">
        <v>0.82499999999999996</v>
      </c>
      <c r="K1965">
        <v>0.47599999999999998</v>
      </c>
      <c r="L1965">
        <v>216</v>
      </c>
      <c r="M1965">
        <v>8</v>
      </c>
      <c r="N1965">
        <v>13</v>
      </c>
      <c r="O1965">
        <v>0.81899999999999995</v>
      </c>
      <c r="P1965">
        <v>0.45694164900000001</v>
      </c>
      <c r="Q1965">
        <v>0.216</v>
      </c>
    </row>
    <row r="1966" spans="1:17" x14ac:dyDescent="0.2">
      <c r="A1966" s="30" t="str">
        <f>IF(C1966&amp;G1966&amp;D1966&lt;&gt;'Funnel setup'!$K$3&amp;'Funnel setup'!$K$4&amp;'Funnel setup'!$K$5,".",IF(A1965=".",1,A1965+1))</f>
        <v>.</v>
      </c>
      <c r="B1966" s="431" t="str">
        <f t="shared" si="30"/>
        <v>Hip Replacement PrimaryProviderCENTRAL MANCHESTER UNIVERSITY HOSPITALS NHS FOUNDATION TRUST (RW3)EQ-5D Index</v>
      </c>
      <c r="C1966" t="s">
        <v>248</v>
      </c>
      <c r="D1966" t="s">
        <v>1</v>
      </c>
      <c r="E1966" t="s">
        <v>3079</v>
      </c>
      <c r="F1966" t="s">
        <v>3080</v>
      </c>
      <c r="G1966" t="s">
        <v>52</v>
      </c>
      <c r="H1966">
        <v>48</v>
      </c>
      <c r="I1966">
        <v>0.45700000000000002</v>
      </c>
      <c r="J1966">
        <v>0.78400000000000003</v>
      </c>
      <c r="K1966">
        <v>0.32700000000000001</v>
      </c>
      <c r="L1966">
        <v>39</v>
      </c>
      <c r="M1966">
        <v>7</v>
      </c>
      <c r="N1966">
        <v>2</v>
      </c>
      <c r="O1966">
        <v>0.77300000000000002</v>
      </c>
      <c r="P1966">
        <v>0.41107930599999998</v>
      </c>
      <c r="Q1966">
        <v>0.20300000000000001</v>
      </c>
    </row>
    <row r="1967" spans="1:17" x14ac:dyDescent="0.2">
      <c r="A1967" s="30" t="str">
        <f>IF(C1967&amp;G1967&amp;D1967&lt;&gt;'Funnel setup'!$K$3&amp;'Funnel setup'!$K$4&amp;'Funnel setup'!$K$5,".",IF(A1966=".",1,A1966+1))</f>
        <v>.</v>
      </c>
      <c r="B1967" s="431" t="str">
        <f t="shared" si="30"/>
        <v>Hip Replacement PrimaryProviderCHELSEA AND WESTMINSTER HOSPITAL NHS FOUNDATION TRUST (RQM)EQ-5D Index</v>
      </c>
      <c r="C1967" t="s">
        <v>248</v>
      </c>
      <c r="D1967" t="s">
        <v>1</v>
      </c>
      <c r="E1967" t="s">
        <v>3082</v>
      </c>
      <c r="F1967" t="s">
        <v>3083</v>
      </c>
      <c r="G1967" t="s">
        <v>52</v>
      </c>
      <c r="H1967">
        <v>25</v>
      </c>
      <c r="I1967">
        <v>0.33300000000000002</v>
      </c>
      <c r="J1967">
        <v>0.77200000000000002</v>
      </c>
      <c r="K1967">
        <v>0.44</v>
      </c>
      <c r="L1967">
        <v>21</v>
      </c>
      <c r="M1967">
        <v>3</v>
      </c>
      <c r="N1967">
        <v>1</v>
      </c>
      <c r="O1967" t="s">
        <v>53</v>
      </c>
      <c r="P1967" t="s">
        <v>53</v>
      </c>
      <c r="Q1967" t="s">
        <v>53</v>
      </c>
    </row>
    <row r="1968" spans="1:17" x14ac:dyDescent="0.2">
      <c r="A1968" s="30" t="str">
        <f>IF(C1968&amp;G1968&amp;D1968&lt;&gt;'Funnel setup'!$K$3&amp;'Funnel setup'!$K$4&amp;'Funnel setup'!$K$5,".",IF(A1967=".",1,A1967+1))</f>
        <v>.</v>
      </c>
      <c r="B1968" s="431" t="str">
        <f t="shared" si="30"/>
        <v>Hip Replacement PrimaryProviderCHESTERFIELD ROYAL HOSPITAL NHS FOUNDATION TRUST (RFS)EQ-5D Index</v>
      </c>
      <c r="C1968" t="s">
        <v>248</v>
      </c>
      <c r="D1968" t="s">
        <v>1</v>
      </c>
      <c r="E1968" t="s">
        <v>3085</v>
      </c>
      <c r="F1968" t="s">
        <v>3086</v>
      </c>
      <c r="G1968" t="s">
        <v>52</v>
      </c>
      <c r="H1968">
        <v>169</v>
      </c>
      <c r="I1968">
        <v>0.31900000000000001</v>
      </c>
      <c r="J1968">
        <v>0.747</v>
      </c>
      <c r="K1968">
        <v>0.42899999999999999</v>
      </c>
      <c r="L1968">
        <v>147</v>
      </c>
      <c r="M1968">
        <v>9</v>
      </c>
      <c r="N1968">
        <v>13</v>
      </c>
      <c r="O1968">
        <v>0.78400000000000003</v>
      </c>
      <c r="P1968">
        <v>0.422203579</v>
      </c>
      <c r="Q1968">
        <v>0.23100000000000001</v>
      </c>
    </row>
    <row r="1969" spans="1:17" x14ac:dyDescent="0.2">
      <c r="A1969" s="30" t="str">
        <f>IF(C1969&amp;G1969&amp;D1969&lt;&gt;'Funnel setup'!$K$3&amp;'Funnel setup'!$K$4&amp;'Funnel setup'!$K$5,".",IF(A1968=".",1,A1968+1))</f>
        <v>.</v>
      </c>
      <c r="B1969" s="431" t="str">
        <f t="shared" si="30"/>
        <v>Hip Replacement PrimaryProviderCIRCLE BATH HOSPITAL (NV302)EQ-5D Index</v>
      </c>
      <c r="C1969" t="s">
        <v>248</v>
      </c>
      <c r="D1969" t="s">
        <v>1</v>
      </c>
      <c r="E1969" t="s">
        <v>3097</v>
      </c>
      <c r="F1969" t="s">
        <v>3098</v>
      </c>
      <c r="G1969" t="s">
        <v>52</v>
      </c>
      <c r="H1969">
        <v>193</v>
      </c>
      <c r="I1969">
        <v>0.41</v>
      </c>
      <c r="J1969">
        <v>0.879</v>
      </c>
      <c r="K1969">
        <v>0.46899999999999997</v>
      </c>
      <c r="L1969">
        <v>181</v>
      </c>
      <c r="M1969">
        <v>8</v>
      </c>
      <c r="N1969">
        <v>4</v>
      </c>
      <c r="O1969">
        <v>0.84399999999999997</v>
      </c>
      <c r="P1969">
        <v>0.48208546400000002</v>
      </c>
      <c r="Q1969">
        <v>0.18099999999999999</v>
      </c>
    </row>
    <row r="1970" spans="1:17" x14ac:dyDescent="0.2">
      <c r="A1970" s="30" t="str">
        <f>IF(C1970&amp;G1970&amp;D1970&lt;&gt;'Funnel setup'!$K$3&amp;'Funnel setup'!$K$4&amp;'Funnel setup'!$K$5,".",IF(A1969=".",1,A1969+1))</f>
        <v>.</v>
      </c>
      <c r="B1970" s="431" t="str">
        <f t="shared" si="30"/>
        <v>Hip Replacement PrimaryProviderCIRCLE READING HOSPITAL (NV323)EQ-5D Index</v>
      </c>
      <c r="C1970" t="s">
        <v>248</v>
      </c>
      <c r="D1970" t="s">
        <v>1</v>
      </c>
      <c r="E1970" t="s">
        <v>3091</v>
      </c>
      <c r="F1970" t="s">
        <v>3092</v>
      </c>
      <c r="G1970" t="s">
        <v>52</v>
      </c>
      <c r="H1970">
        <v>108</v>
      </c>
      <c r="I1970">
        <v>0.42699999999999999</v>
      </c>
      <c r="J1970">
        <v>0.84299999999999997</v>
      </c>
      <c r="K1970">
        <v>0.41599999999999998</v>
      </c>
      <c r="L1970">
        <v>98</v>
      </c>
      <c r="M1970">
        <v>4</v>
      </c>
      <c r="N1970">
        <v>6</v>
      </c>
      <c r="O1970">
        <v>0.79700000000000004</v>
      </c>
      <c r="P1970">
        <v>0.43546990899999999</v>
      </c>
      <c r="Q1970">
        <v>0.185</v>
      </c>
    </row>
    <row r="1971" spans="1:17" x14ac:dyDescent="0.2">
      <c r="A1971" s="30" t="str">
        <f>IF(C1971&amp;G1971&amp;D1971&lt;&gt;'Funnel setup'!$K$3&amp;'Funnel setup'!$K$4&amp;'Funnel setup'!$K$5,".",IF(A1970=".",1,A1970+1))</f>
        <v>.</v>
      </c>
      <c r="B1971" s="431" t="str">
        <f t="shared" si="30"/>
        <v>Hip Replacement PrimaryProviderCITY HOSPITALS SUNDERLAND NHS FOUNDATION TRUST (RLN)EQ-5D Index</v>
      </c>
      <c r="C1971" t="s">
        <v>248</v>
      </c>
      <c r="D1971" t="s">
        <v>1</v>
      </c>
      <c r="E1971" t="s">
        <v>3100</v>
      </c>
      <c r="F1971" t="s">
        <v>3101</v>
      </c>
      <c r="G1971" t="s">
        <v>52</v>
      </c>
      <c r="H1971">
        <v>178</v>
      </c>
      <c r="I1971">
        <v>0.23599999999999999</v>
      </c>
      <c r="J1971">
        <v>0.70699999999999996</v>
      </c>
      <c r="K1971">
        <v>0.47099999999999997</v>
      </c>
      <c r="L1971">
        <v>154</v>
      </c>
      <c r="M1971">
        <v>15</v>
      </c>
      <c r="N1971">
        <v>9</v>
      </c>
      <c r="O1971">
        <v>0.753</v>
      </c>
      <c r="P1971">
        <v>0.39146000199999997</v>
      </c>
      <c r="Q1971">
        <v>0.26500000000000001</v>
      </c>
    </row>
    <row r="1972" spans="1:17" x14ac:dyDescent="0.2">
      <c r="A1972" s="30" t="str">
        <f>IF(C1972&amp;G1972&amp;D1972&lt;&gt;'Funnel setup'!$K$3&amp;'Funnel setup'!$K$4&amp;'Funnel setup'!$K$5,".",IF(A1971=".",1,A1971+1))</f>
        <v>.</v>
      </c>
      <c r="B1972" s="431" t="str">
        <f t="shared" si="30"/>
        <v>Hip Replacement PrimaryProviderCLIFTON PARK HOSPITAL (NVC28)EQ-5D Index</v>
      </c>
      <c r="C1972" t="s">
        <v>248</v>
      </c>
      <c r="D1972" t="s">
        <v>1</v>
      </c>
      <c r="E1972" t="s">
        <v>4229</v>
      </c>
      <c r="F1972" t="s">
        <v>4230</v>
      </c>
      <c r="G1972" t="s">
        <v>52</v>
      </c>
      <c r="H1972">
        <v>252</v>
      </c>
      <c r="I1972">
        <v>0.45200000000000001</v>
      </c>
      <c r="J1972">
        <v>0.85199999999999998</v>
      </c>
      <c r="K1972">
        <v>0.4</v>
      </c>
      <c r="L1972">
        <v>228</v>
      </c>
      <c r="M1972">
        <v>10</v>
      </c>
      <c r="N1972">
        <v>14</v>
      </c>
      <c r="O1972">
        <v>0.80700000000000005</v>
      </c>
      <c r="P1972">
        <v>0.44571838000000003</v>
      </c>
      <c r="Q1972">
        <v>0.19700000000000001</v>
      </c>
    </row>
    <row r="1973" spans="1:17" x14ac:dyDescent="0.2">
      <c r="A1973" s="30" t="str">
        <f>IF(C1973&amp;G1973&amp;D1973&lt;&gt;'Funnel setup'!$K$3&amp;'Funnel setup'!$K$4&amp;'Funnel setup'!$K$5,".",IF(A1972=".",1,A1972+1))</f>
        <v>.</v>
      </c>
      <c r="B1973" s="431" t="str">
        <f t="shared" si="30"/>
        <v>Hip Replacement PrimaryProviderCOLCHESTER HOSPITAL UNIVERSITY NHS FOUNDATION TRUST (RDE)EQ-5D Index</v>
      </c>
      <c r="C1973" t="s">
        <v>248</v>
      </c>
      <c r="D1973" t="s">
        <v>1</v>
      </c>
      <c r="E1973" t="s">
        <v>3109</v>
      </c>
      <c r="F1973" t="s">
        <v>3110</v>
      </c>
      <c r="G1973" t="s">
        <v>52</v>
      </c>
      <c r="H1973">
        <v>159</v>
      </c>
      <c r="I1973">
        <v>0.32200000000000001</v>
      </c>
      <c r="J1973">
        <v>0.74299999999999999</v>
      </c>
      <c r="K1973">
        <v>0.42099999999999999</v>
      </c>
      <c r="L1973">
        <v>138</v>
      </c>
      <c r="M1973">
        <v>10</v>
      </c>
      <c r="N1973">
        <v>11</v>
      </c>
      <c r="O1973">
        <v>0.77300000000000002</v>
      </c>
      <c r="P1973">
        <v>0.41148720599999999</v>
      </c>
      <c r="Q1973">
        <v>0.253</v>
      </c>
    </row>
    <row r="1974" spans="1:17" x14ac:dyDescent="0.2">
      <c r="A1974" s="30" t="str">
        <f>IF(C1974&amp;G1974&amp;D1974&lt;&gt;'Funnel setup'!$K$3&amp;'Funnel setup'!$K$4&amp;'Funnel setup'!$K$5,".",IF(A1973=".",1,A1973+1))</f>
        <v>.</v>
      </c>
      <c r="B1974" s="431" t="str">
        <f t="shared" si="30"/>
        <v>Hip Replacement PrimaryProviderCOUNTESS OF CHESTER HOSPITAL NHS FOUNDATION TRUST (RJR)EQ-5D Index</v>
      </c>
      <c r="C1974" t="s">
        <v>248</v>
      </c>
      <c r="D1974" t="s">
        <v>1</v>
      </c>
      <c r="E1974" t="s">
        <v>3781</v>
      </c>
      <c r="F1974" t="s">
        <v>3782</v>
      </c>
      <c r="G1974" t="s">
        <v>52</v>
      </c>
      <c r="H1974">
        <v>71</v>
      </c>
      <c r="I1974">
        <v>0.30499999999999999</v>
      </c>
      <c r="J1974">
        <v>0.75700000000000001</v>
      </c>
      <c r="K1974">
        <v>0.45200000000000001</v>
      </c>
      <c r="L1974">
        <v>64</v>
      </c>
      <c r="M1974">
        <v>3</v>
      </c>
      <c r="N1974">
        <v>4</v>
      </c>
      <c r="O1974">
        <v>0.79100000000000004</v>
      </c>
      <c r="P1974">
        <v>0.42938407499999998</v>
      </c>
      <c r="Q1974">
        <v>0.24399999999999999</v>
      </c>
    </row>
    <row r="1975" spans="1:17" x14ac:dyDescent="0.2">
      <c r="A1975" s="30" t="str">
        <f>IF(C1975&amp;G1975&amp;D1975&lt;&gt;'Funnel setup'!$K$3&amp;'Funnel setup'!$K$4&amp;'Funnel setup'!$K$5,".",IF(A1974=".",1,A1974+1))</f>
        <v>.</v>
      </c>
      <c r="B1975" s="431" t="str">
        <f t="shared" si="30"/>
        <v>Hip Replacement PrimaryProviderCOUNTY DURHAM AND DARLINGTON NHS FOUNDATION TRUST (RXP)EQ-5D Index</v>
      </c>
      <c r="C1975" t="s">
        <v>248</v>
      </c>
      <c r="D1975" t="s">
        <v>1</v>
      </c>
      <c r="E1975" t="s">
        <v>3784</v>
      </c>
      <c r="F1975" t="s">
        <v>3785</v>
      </c>
      <c r="G1975" t="s">
        <v>52</v>
      </c>
      <c r="H1975">
        <v>242</v>
      </c>
      <c r="I1975">
        <v>0.27100000000000002</v>
      </c>
      <c r="J1975">
        <v>0.76500000000000001</v>
      </c>
      <c r="K1975">
        <v>0.49399999999999999</v>
      </c>
      <c r="L1975">
        <v>218</v>
      </c>
      <c r="M1975">
        <v>12</v>
      </c>
      <c r="N1975">
        <v>12</v>
      </c>
      <c r="O1975">
        <v>0.80400000000000005</v>
      </c>
      <c r="P1975">
        <v>0.44260442700000002</v>
      </c>
      <c r="Q1975">
        <v>0.22500000000000001</v>
      </c>
    </row>
    <row r="1976" spans="1:17" x14ac:dyDescent="0.2">
      <c r="A1976" s="30" t="str">
        <f>IF(C1976&amp;G1976&amp;D1976&lt;&gt;'Funnel setup'!$K$3&amp;'Funnel setup'!$K$4&amp;'Funnel setup'!$K$5,".",IF(A1975=".",1,A1975+1))</f>
        <v>.</v>
      </c>
      <c r="B1976" s="431" t="str">
        <f t="shared" si="30"/>
        <v>Hip Replacement PrimaryProviderDARTFORD AND GRAVESHAM NHS TRUST (RN7)EQ-5D Index</v>
      </c>
      <c r="C1976" t="s">
        <v>248</v>
      </c>
      <c r="D1976" t="s">
        <v>1</v>
      </c>
      <c r="E1976" t="s">
        <v>3787</v>
      </c>
      <c r="F1976" t="s">
        <v>3788</v>
      </c>
      <c r="G1976" t="s">
        <v>52</v>
      </c>
      <c r="H1976">
        <v>144</v>
      </c>
      <c r="I1976">
        <v>0.373</v>
      </c>
      <c r="J1976">
        <v>0.79400000000000004</v>
      </c>
      <c r="K1976">
        <v>0.42099999999999999</v>
      </c>
      <c r="L1976">
        <v>119</v>
      </c>
      <c r="M1976">
        <v>12</v>
      </c>
      <c r="N1976">
        <v>13</v>
      </c>
      <c r="O1976">
        <v>0.79700000000000004</v>
      </c>
      <c r="P1976">
        <v>0.43577190900000001</v>
      </c>
      <c r="Q1976">
        <v>0.23100000000000001</v>
      </c>
    </row>
    <row r="1977" spans="1:17" x14ac:dyDescent="0.2">
      <c r="A1977" s="30" t="str">
        <f>IF(C1977&amp;G1977&amp;D1977&lt;&gt;'Funnel setup'!$K$3&amp;'Funnel setup'!$K$4&amp;'Funnel setup'!$K$5,".",IF(A1976=".",1,A1976+1))</f>
        <v>.</v>
      </c>
      <c r="B1977" s="431" t="str">
        <f t="shared" si="30"/>
        <v>Hip Replacement PrimaryProviderDERBY TEACHING HOSPITALS NHS FOUNDATION TRUST (RTG)EQ-5D Index</v>
      </c>
      <c r="C1977" t="s">
        <v>248</v>
      </c>
      <c r="D1977" t="s">
        <v>1</v>
      </c>
      <c r="E1977" t="s">
        <v>3790</v>
      </c>
      <c r="F1977" t="s">
        <v>3791</v>
      </c>
      <c r="G1977" t="s">
        <v>52</v>
      </c>
      <c r="H1977">
        <v>373</v>
      </c>
      <c r="I1977">
        <v>0.379</v>
      </c>
      <c r="J1977">
        <v>0.76700000000000002</v>
      </c>
      <c r="K1977">
        <v>0.38800000000000001</v>
      </c>
      <c r="L1977">
        <v>325</v>
      </c>
      <c r="M1977">
        <v>25</v>
      </c>
      <c r="N1977">
        <v>23</v>
      </c>
      <c r="O1977">
        <v>0.76800000000000002</v>
      </c>
      <c r="P1977">
        <v>0.40608039499999998</v>
      </c>
      <c r="Q1977">
        <v>0.22800000000000001</v>
      </c>
    </row>
    <row r="1978" spans="1:17" x14ac:dyDescent="0.2">
      <c r="A1978" s="30" t="str">
        <f>IF(C1978&amp;G1978&amp;D1978&lt;&gt;'Funnel setup'!$K$3&amp;'Funnel setup'!$K$4&amp;'Funnel setup'!$K$5,".",IF(A1977=".",1,A1977+1))</f>
        <v>.</v>
      </c>
      <c r="B1978" s="431" t="str">
        <f t="shared" si="30"/>
        <v>Hip Replacement PrimaryProviderDONCASTER AND BASSETLAW HOSPITALS NHS FOUNDATION TRUST (RP5)EQ-5D Index</v>
      </c>
      <c r="C1978" t="s">
        <v>248</v>
      </c>
      <c r="D1978" t="s">
        <v>1</v>
      </c>
      <c r="E1978" t="s">
        <v>3799</v>
      </c>
      <c r="F1978" t="s">
        <v>3800</v>
      </c>
      <c r="G1978" t="s">
        <v>52</v>
      </c>
      <c r="H1978">
        <v>258</v>
      </c>
      <c r="I1978">
        <v>0.28599999999999998</v>
      </c>
      <c r="J1978">
        <v>0.74399999999999999</v>
      </c>
      <c r="K1978">
        <v>0.45800000000000002</v>
      </c>
      <c r="L1978">
        <v>231</v>
      </c>
      <c r="M1978">
        <v>16</v>
      </c>
      <c r="N1978">
        <v>11</v>
      </c>
      <c r="O1978">
        <v>0.78400000000000003</v>
      </c>
      <c r="P1978">
        <v>0.42264632400000002</v>
      </c>
      <c r="Q1978">
        <v>0.246</v>
      </c>
    </row>
    <row r="1979" spans="1:17" x14ac:dyDescent="0.2">
      <c r="A1979" s="30" t="str">
        <f>IF(C1979&amp;G1979&amp;D1979&lt;&gt;'Funnel setup'!$K$3&amp;'Funnel setup'!$K$4&amp;'Funnel setup'!$K$5,".",IF(A1978=".",1,A1978+1))</f>
        <v>.</v>
      </c>
      <c r="B1979" s="431" t="str">
        <f t="shared" si="30"/>
        <v>Hip Replacement PrimaryProviderDORSET COUNTY HOSPITAL NHS FOUNDATION TRUST (RBD)EQ-5D Index</v>
      </c>
      <c r="C1979" t="s">
        <v>248</v>
      </c>
      <c r="D1979" t="s">
        <v>1</v>
      </c>
      <c r="E1979" t="s">
        <v>3802</v>
      </c>
      <c r="F1979" t="s">
        <v>3803</v>
      </c>
      <c r="G1979" t="s">
        <v>52</v>
      </c>
      <c r="H1979">
        <v>179</v>
      </c>
      <c r="I1979">
        <v>0.40600000000000003</v>
      </c>
      <c r="J1979">
        <v>0.82599999999999996</v>
      </c>
      <c r="K1979">
        <v>0.42</v>
      </c>
      <c r="L1979">
        <v>160</v>
      </c>
      <c r="M1979">
        <v>10</v>
      </c>
      <c r="N1979">
        <v>9</v>
      </c>
      <c r="O1979">
        <v>0.82399999999999995</v>
      </c>
      <c r="P1979">
        <v>0.46212897600000002</v>
      </c>
      <c r="Q1979">
        <v>0.19700000000000001</v>
      </c>
    </row>
    <row r="1980" spans="1:17" x14ac:dyDescent="0.2">
      <c r="A1980" s="30" t="str">
        <f>IF(C1980&amp;G1980&amp;D1980&lt;&gt;'Funnel setup'!$K$3&amp;'Funnel setup'!$K$4&amp;'Funnel setup'!$K$5,".",IF(A1979=".",1,A1979+1))</f>
        <v>.</v>
      </c>
      <c r="B1980" s="431" t="str">
        <f t="shared" si="30"/>
        <v>Hip Replacement PrimaryProviderDUCHY HOSPITAL (NVC04)EQ-5D Index</v>
      </c>
      <c r="C1980" t="s">
        <v>248</v>
      </c>
      <c r="D1980" t="s">
        <v>1</v>
      </c>
      <c r="E1980" t="s">
        <v>4518</v>
      </c>
      <c r="F1980" t="s">
        <v>4519</v>
      </c>
      <c r="G1980" t="s">
        <v>52</v>
      </c>
      <c r="H1980">
        <v>337</v>
      </c>
      <c r="I1980">
        <v>0.441</v>
      </c>
      <c r="J1980">
        <v>0.83399999999999996</v>
      </c>
      <c r="K1980">
        <v>0.39300000000000002</v>
      </c>
      <c r="L1980">
        <v>302</v>
      </c>
      <c r="M1980">
        <v>21</v>
      </c>
      <c r="N1980">
        <v>14</v>
      </c>
      <c r="O1980">
        <v>0.81200000000000006</v>
      </c>
      <c r="P1980">
        <v>0.45017549899999998</v>
      </c>
      <c r="Q1980">
        <v>0.19</v>
      </c>
    </row>
    <row r="1981" spans="1:17" x14ac:dyDescent="0.2">
      <c r="A1981" s="30" t="str">
        <f>IF(C1981&amp;G1981&amp;D1981&lt;&gt;'Funnel setup'!$K$3&amp;'Funnel setup'!$K$4&amp;'Funnel setup'!$K$5,".",IF(A1980=".",1,A1980+1))</f>
        <v>.</v>
      </c>
      <c r="B1981" s="431" t="str">
        <f t="shared" si="30"/>
        <v>Hip Replacement PrimaryProviderEAST AND NORTH HERTFORDSHIRE NHS TRUST (RWH)EQ-5D Index</v>
      </c>
      <c r="C1981" t="s">
        <v>248</v>
      </c>
      <c r="D1981" t="s">
        <v>1</v>
      </c>
      <c r="E1981" t="s">
        <v>3814</v>
      </c>
      <c r="F1981" t="s">
        <v>3815</v>
      </c>
      <c r="G1981" t="s">
        <v>52</v>
      </c>
      <c r="H1981">
        <v>147</v>
      </c>
      <c r="I1981">
        <v>0.247</v>
      </c>
      <c r="J1981">
        <v>0.76900000000000002</v>
      </c>
      <c r="K1981">
        <v>0.52300000000000002</v>
      </c>
      <c r="L1981">
        <v>139</v>
      </c>
      <c r="M1981">
        <v>1</v>
      </c>
      <c r="N1981">
        <v>7</v>
      </c>
      <c r="O1981">
        <v>0.78600000000000003</v>
      </c>
      <c r="P1981">
        <v>0.42451098999999998</v>
      </c>
      <c r="Q1981">
        <v>0.25</v>
      </c>
    </row>
    <row r="1982" spans="1:17" x14ac:dyDescent="0.2">
      <c r="A1982" s="30" t="str">
        <f>IF(C1982&amp;G1982&amp;D1982&lt;&gt;'Funnel setup'!$K$3&amp;'Funnel setup'!$K$4&amp;'Funnel setup'!$K$5,".",IF(A1981=".",1,A1981+1))</f>
        <v>.</v>
      </c>
      <c r="B1982" s="431" t="str">
        <f t="shared" si="30"/>
        <v>Hip Replacement PrimaryProviderEAST CHESHIRE NHS TRUST (RJN)EQ-5D Index</v>
      </c>
      <c r="C1982" t="s">
        <v>248</v>
      </c>
      <c r="D1982" t="s">
        <v>1</v>
      </c>
      <c r="E1982" t="s">
        <v>3817</v>
      </c>
      <c r="F1982" t="s">
        <v>3818</v>
      </c>
      <c r="G1982" t="s">
        <v>52</v>
      </c>
      <c r="H1982">
        <v>83</v>
      </c>
      <c r="I1982">
        <v>0.29199999999999998</v>
      </c>
      <c r="J1982">
        <v>0.74399999999999999</v>
      </c>
      <c r="K1982">
        <v>0.45200000000000001</v>
      </c>
      <c r="L1982">
        <v>74</v>
      </c>
      <c r="M1982">
        <v>3</v>
      </c>
      <c r="N1982">
        <v>6</v>
      </c>
      <c r="O1982">
        <v>0.77400000000000002</v>
      </c>
      <c r="P1982">
        <v>0.41249982499999999</v>
      </c>
      <c r="Q1982">
        <v>0.245</v>
      </c>
    </row>
    <row r="1983" spans="1:17" x14ac:dyDescent="0.2">
      <c r="A1983" s="30" t="str">
        <f>IF(C1983&amp;G1983&amp;D1983&lt;&gt;'Funnel setup'!$K$3&amp;'Funnel setup'!$K$4&amp;'Funnel setup'!$K$5,".",IF(A1982=".",1,A1982+1))</f>
        <v>.</v>
      </c>
      <c r="B1983" s="431" t="str">
        <f t="shared" si="30"/>
        <v>Hip Replacement PrimaryProviderEAST KENT HOSPITALS UNIVERSITY NHS FOUNDATION TRUST (RVV)EQ-5D Index</v>
      </c>
      <c r="C1983" t="s">
        <v>248</v>
      </c>
      <c r="D1983" t="s">
        <v>1</v>
      </c>
      <c r="E1983" t="s">
        <v>3820</v>
      </c>
      <c r="F1983" t="s">
        <v>3821</v>
      </c>
      <c r="G1983" t="s">
        <v>52</v>
      </c>
      <c r="H1983">
        <v>319</v>
      </c>
      <c r="I1983">
        <v>0.36299999999999999</v>
      </c>
      <c r="J1983">
        <v>0.81100000000000005</v>
      </c>
      <c r="K1983">
        <v>0.44800000000000001</v>
      </c>
      <c r="L1983">
        <v>287</v>
      </c>
      <c r="M1983">
        <v>22</v>
      </c>
      <c r="N1983">
        <v>10</v>
      </c>
      <c r="O1983">
        <v>0.81799999999999995</v>
      </c>
      <c r="P1983">
        <v>0.456247652</v>
      </c>
      <c r="Q1983">
        <v>0.20200000000000001</v>
      </c>
    </row>
    <row r="1984" spans="1:17" x14ac:dyDescent="0.2">
      <c r="A1984" s="30" t="str">
        <f>IF(C1984&amp;G1984&amp;D1984&lt;&gt;'Funnel setup'!$K$3&amp;'Funnel setup'!$K$4&amp;'Funnel setup'!$K$5,".",IF(A1983=".",1,A1983+1))</f>
        <v>.</v>
      </c>
      <c r="B1984" s="431" t="str">
        <f t="shared" si="30"/>
        <v>Hip Replacement PrimaryProviderEAST LANCASHIRE HOSPITALS NHS TRUST (RXR)EQ-5D Index</v>
      </c>
      <c r="C1984" t="s">
        <v>248</v>
      </c>
      <c r="D1984" t="s">
        <v>1</v>
      </c>
      <c r="E1984" t="s">
        <v>3823</v>
      </c>
      <c r="F1984" t="s">
        <v>3824</v>
      </c>
      <c r="G1984" t="s">
        <v>52</v>
      </c>
      <c r="H1984">
        <v>153</v>
      </c>
      <c r="I1984">
        <v>0.28599999999999998</v>
      </c>
      <c r="J1984">
        <v>0.78300000000000003</v>
      </c>
      <c r="K1984">
        <v>0.497</v>
      </c>
      <c r="L1984">
        <v>145</v>
      </c>
      <c r="M1984">
        <v>5</v>
      </c>
      <c r="N1984">
        <v>3</v>
      </c>
      <c r="O1984">
        <v>0.81599999999999995</v>
      </c>
      <c r="P1984">
        <v>0.45427540700000002</v>
      </c>
      <c r="Q1984">
        <v>0.19400000000000001</v>
      </c>
    </row>
    <row r="1985" spans="1:17" x14ac:dyDescent="0.2">
      <c r="A1985" s="30" t="str">
        <f>IF(C1985&amp;G1985&amp;D1985&lt;&gt;'Funnel setup'!$K$3&amp;'Funnel setup'!$K$4&amp;'Funnel setup'!$K$5,".",IF(A1984=".",1,A1984+1))</f>
        <v>.</v>
      </c>
      <c r="B1985" s="431" t="str">
        <f t="shared" si="30"/>
        <v>Hip Replacement PrimaryProviderEAST SUSSEX HEALTHCARE NHS TRUST (RXC)EQ-5D Index</v>
      </c>
      <c r="C1985" t="s">
        <v>248</v>
      </c>
      <c r="D1985" t="s">
        <v>1</v>
      </c>
      <c r="E1985" t="s">
        <v>3826</v>
      </c>
      <c r="F1985" t="s">
        <v>3827</v>
      </c>
      <c r="G1985" t="s">
        <v>52</v>
      </c>
      <c r="H1985">
        <v>239</v>
      </c>
      <c r="I1985">
        <v>0.38600000000000001</v>
      </c>
      <c r="J1985">
        <v>0.80300000000000005</v>
      </c>
      <c r="K1985">
        <v>0.41699999999999998</v>
      </c>
      <c r="L1985">
        <v>207</v>
      </c>
      <c r="M1985">
        <v>18</v>
      </c>
      <c r="N1985">
        <v>14</v>
      </c>
      <c r="O1985">
        <v>0.81100000000000005</v>
      </c>
      <c r="P1985">
        <v>0.44955848799999998</v>
      </c>
      <c r="Q1985">
        <v>0.20100000000000001</v>
      </c>
    </row>
    <row r="1986" spans="1:17" x14ac:dyDescent="0.2">
      <c r="A1986" s="30" t="str">
        <f>IF(C1986&amp;G1986&amp;D1986&lt;&gt;'Funnel setup'!$K$3&amp;'Funnel setup'!$K$4&amp;'Funnel setup'!$K$5,".",IF(A1985=".",1,A1985+1))</f>
        <v>.</v>
      </c>
      <c r="B1986" s="431" t="str">
        <f t="shared" si="30"/>
        <v>Hip Replacement PrimaryProviderEMERSONS GREEN NHS TREATMENT CENTRE (NTPH2)EQ-5D Index</v>
      </c>
      <c r="C1986" t="s">
        <v>248</v>
      </c>
      <c r="D1986" t="s">
        <v>1</v>
      </c>
      <c r="E1986" t="s">
        <v>3829</v>
      </c>
      <c r="F1986" t="s">
        <v>3830</v>
      </c>
      <c r="G1986" t="s">
        <v>52</v>
      </c>
      <c r="H1986">
        <v>356</v>
      </c>
      <c r="I1986">
        <v>0.46100000000000002</v>
      </c>
      <c r="J1986">
        <v>0.86899999999999999</v>
      </c>
      <c r="K1986">
        <v>0.40799999999999997</v>
      </c>
      <c r="L1986">
        <v>331</v>
      </c>
      <c r="M1986">
        <v>13</v>
      </c>
      <c r="N1986">
        <v>12</v>
      </c>
      <c r="O1986">
        <v>0.82299999999999995</v>
      </c>
      <c r="P1986">
        <v>0.461079352</v>
      </c>
      <c r="Q1986">
        <v>0.17199999999999999</v>
      </c>
    </row>
    <row r="1987" spans="1:17" x14ac:dyDescent="0.2">
      <c r="A1987" s="30" t="str">
        <f>IF(C1987&amp;G1987&amp;D1987&lt;&gt;'Funnel setup'!$K$3&amp;'Funnel setup'!$K$4&amp;'Funnel setup'!$K$5,".",IF(A1986=".",1,A1986+1))</f>
        <v>.</v>
      </c>
      <c r="B1987" s="431" t="str">
        <f t="shared" ref="B1987:B2050" si="31">C1987&amp;D1987&amp;F1987&amp;G1987</f>
        <v>Hip Replacement PrimaryProviderEPSOM AND ST HELIER UNIVERSITY HOSPITALS NHS TRUST (RVR)EQ-5D Index</v>
      </c>
      <c r="C1987" t="s">
        <v>248</v>
      </c>
      <c r="D1987" t="s">
        <v>1</v>
      </c>
      <c r="E1987" t="s">
        <v>3849</v>
      </c>
      <c r="F1987" t="s">
        <v>3850</v>
      </c>
      <c r="G1987" t="s">
        <v>52</v>
      </c>
      <c r="H1987">
        <v>621</v>
      </c>
      <c r="I1987">
        <v>0.42</v>
      </c>
      <c r="J1987">
        <v>0.81100000000000005</v>
      </c>
      <c r="K1987">
        <v>0.39100000000000001</v>
      </c>
      <c r="L1987">
        <v>543</v>
      </c>
      <c r="M1987">
        <v>41</v>
      </c>
      <c r="N1987">
        <v>37</v>
      </c>
      <c r="O1987">
        <v>0.79300000000000004</v>
      </c>
      <c r="P1987">
        <v>0.43181897699999999</v>
      </c>
      <c r="Q1987">
        <v>0.221</v>
      </c>
    </row>
    <row r="1988" spans="1:17" x14ac:dyDescent="0.2">
      <c r="A1988" s="30" t="str">
        <f>IF(C1988&amp;G1988&amp;D1988&lt;&gt;'Funnel setup'!$K$3&amp;'Funnel setup'!$K$4&amp;'Funnel setup'!$K$5,".",IF(A1987=".",1,A1987+1))</f>
        <v>.</v>
      </c>
      <c r="B1988" s="431" t="str">
        <f t="shared" si="31"/>
        <v>Hip Replacement PrimaryProviderEUXTON HALL HOSPITAL (NVC05)EQ-5D Index</v>
      </c>
      <c r="C1988" t="s">
        <v>248</v>
      </c>
      <c r="D1988" t="s">
        <v>1</v>
      </c>
      <c r="E1988" t="s">
        <v>3852</v>
      </c>
      <c r="F1988" t="s">
        <v>3853</v>
      </c>
      <c r="G1988" t="s">
        <v>52</v>
      </c>
      <c r="H1988">
        <v>64</v>
      </c>
      <c r="I1988">
        <v>0.45200000000000001</v>
      </c>
      <c r="J1988">
        <v>0.83399999999999996</v>
      </c>
      <c r="K1988">
        <v>0.38300000000000001</v>
      </c>
      <c r="L1988">
        <v>57</v>
      </c>
      <c r="M1988">
        <v>3</v>
      </c>
      <c r="N1988">
        <v>4</v>
      </c>
      <c r="O1988">
        <v>0.80500000000000005</v>
      </c>
      <c r="P1988">
        <v>0.44328844499999998</v>
      </c>
      <c r="Q1988">
        <v>0.23</v>
      </c>
    </row>
    <row r="1989" spans="1:17" x14ac:dyDescent="0.2">
      <c r="A1989" s="30" t="str">
        <f>IF(C1989&amp;G1989&amp;D1989&lt;&gt;'Funnel setup'!$K$3&amp;'Funnel setup'!$K$4&amp;'Funnel setup'!$K$5,".",IF(A1988=".",1,A1988+1))</f>
        <v>.</v>
      </c>
      <c r="B1989" s="431" t="str">
        <f t="shared" si="31"/>
        <v>Hip Replacement PrimaryProviderFAIRFIELD HOSPITAL (NVG01)EQ-5D Index</v>
      </c>
      <c r="C1989" t="s">
        <v>248</v>
      </c>
      <c r="D1989" t="s">
        <v>1</v>
      </c>
      <c r="E1989" t="s">
        <v>3855</v>
      </c>
      <c r="F1989" t="s">
        <v>3856</v>
      </c>
      <c r="G1989" t="s">
        <v>52</v>
      </c>
      <c r="H1989" t="s">
        <v>53</v>
      </c>
      <c r="I1989" t="s">
        <v>53</v>
      </c>
      <c r="J1989" t="s">
        <v>53</v>
      </c>
      <c r="K1989" t="s">
        <v>53</v>
      </c>
      <c r="L1989" t="s">
        <v>53</v>
      </c>
      <c r="M1989" t="s">
        <v>53</v>
      </c>
      <c r="N1989" t="s">
        <v>53</v>
      </c>
      <c r="O1989" t="s">
        <v>53</v>
      </c>
      <c r="P1989" t="s">
        <v>53</v>
      </c>
      <c r="Q1989" t="s">
        <v>53</v>
      </c>
    </row>
    <row r="1990" spans="1:17" x14ac:dyDescent="0.2">
      <c r="A1990" s="30" t="str">
        <f>IF(C1990&amp;G1990&amp;D1990&lt;&gt;'Funnel setup'!$K$3&amp;'Funnel setup'!$K$4&amp;'Funnel setup'!$K$5,".",IF(A1989=".",1,A1989+1))</f>
        <v>.</v>
      </c>
      <c r="B1990" s="431" t="str">
        <f t="shared" si="31"/>
        <v>Hip Replacement PrimaryProviderFITZWILLIAM HOSPITAL (NVC06)EQ-5D Index</v>
      </c>
      <c r="C1990" t="s">
        <v>248</v>
      </c>
      <c r="D1990" t="s">
        <v>1</v>
      </c>
      <c r="E1990" t="s">
        <v>3858</v>
      </c>
      <c r="F1990" t="s">
        <v>3859</v>
      </c>
      <c r="G1990" t="s">
        <v>52</v>
      </c>
      <c r="H1990">
        <v>131</v>
      </c>
      <c r="I1990">
        <v>0.40899999999999997</v>
      </c>
      <c r="J1990">
        <v>0.82499999999999996</v>
      </c>
      <c r="K1990">
        <v>0.41599999999999998</v>
      </c>
      <c r="L1990">
        <v>120</v>
      </c>
      <c r="M1990">
        <v>6</v>
      </c>
      <c r="N1990">
        <v>5</v>
      </c>
      <c r="O1990">
        <v>0.79400000000000004</v>
      </c>
      <c r="P1990">
        <v>0.432239182</v>
      </c>
      <c r="Q1990">
        <v>0.193</v>
      </c>
    </row>
    <row r="1991" spans="1:17" x14ac:dyDescent="0.2">
      <c r="A1991" s="30" t="str">
        <f>IF(C1991&amp;G1991&amp;D1991&lt;&gt;'Funnel setup'!$K$3&amp;'Funnel setup'!$K$4&amp;'Funnel setup'!$K$5,".",IF(A1990=".",1,A1990+1))</f>
        <v>.</v>
      </c>
      <c r="B1991" s="431" t="str">
        <f t="shared" si="31"/>
        <v>Hip Replacement PrimaryProviderFOSCOTE COURT (BANBURY) TRUST LTD (AHH)EQ-5D Index</v>
      </c>
      <c r="C1991" t="s">
        <v>248</v>
      </c>
      <c r="D1991" t="s">
        <v>1</v>
      </c>
      <c r="E1991" t="s">
        <v>3900</v>
      </c>
      <c r="F1991" t="s">
        <v>3901</v>
      </c>
      <c r="G1991" t="s">
        <v>52</v>
      </c>
      <c r="H1991" t="s">
        <v>53</v>
      </c>
      <c r="I1991" t="s">
        <v>53</v>
      </c>
      <c r="J1991" t="s">
        <v>53</v>
      </c>
      <c r="K1991" t="s">
        <v>53</v>
      </c>
      <c r="L1991" t="s">
        <v>53</v>
      </c>
      <c r="M1991" t="s">
        <v>53</v>
      </c>
      <c r="N1991" t="s">
        <v>53</v>
      </c>
      <c r="O1991" t="s">
        <v>53</v>
      </c>
      <c r="P1991" t="s">
        <v>53</v>
      </c>
      <c r="Q1991" t="s">
        <v>53</v>
      </c>
    </row>
    <row r="1992" spans="1:17" x14ac:dyDescent="0.2">
      <c r="A1992" s="30" t="str">
        <f>IF(C1992&amp;G1992&amp;D1992&lt;&gt;'Funnel setup'!$K$3&amp;'Funnel setup'!$K$4&amp;'Funnel setup'!$K$5,".",IF(A1991=".",1,A1991+1))</f>
        <v>.</v>
      </c>
      <c r="B1992" s="431" t="str">
        <f t="shared" si="31"/>
        <v>Hip Replacement PrimaryProviderFRIMLEY HEALTH NHS FOUNDATION TRUST (RDU)EQ-5D Index</v>
      </c>
      <c r="C1992" t="s">
        <v>248</v>
      </c>
      <c r="D1992" t="s">
        <v>1</v>
      </c>
      <c r="E1992" t="s">
        <v>3861</v>
      </c>
      <c r="F1992" t="s">
        <v>3862</v>
      </c>
      <c r="G1992" t="s">
        <v>52</v>
      </c>
      <c r="H1992">
        <v>475</v>
      </c>
      <c r="I1992">
        <v>0.42499999999999999</v>
      </c>
      <c r="J1992">
        <v>0.83299999999999996</v>
      </c>
      <c r="K1992">
        <v>0.40799999999999997</v>
      </c>
      <c r="L1992">
        <v>430</v>
      </c>
      <c r="M1992">
        <v>27</v>
      </c>
      <c r="N1992">
        <v>18</v>
      </c>
      <c r="O1992">
        <v>0.80700000000000005</v>
      </c>
      <c r="P1992">
        <v>0.44563324900000001</v>
      </c>
      <c r="Q1992">
        <v>0.19</v>
      </c>
    </row>
    <row r="1993" spans="1:17" x14ac:dyDescent="0.2">
      <c r="A1993" s="30" t="str">
        <f>IF(C1993&amp;G1993&amp;D1993&lt;&gt;'Funnel setup'!$K$3&amp;'Funnel setup'!$K$4&amp;'Funnel setup'!$K$5,".",IF(A1992=".",1,A1992+1))</f>
        <v>.</v>
      </c>
      <c r="B1993" s="431" t="str">
        <f t="shared" si="31"/>
        <v>Hip Replacement PrimaryProviderFULWOOD HALL HOSPITAL (NVC07)EQ-5D Index</v>
      </c>
      <c r="C1993" t="s">
        <v>248</v>
      </c>
      <c r="D1993" t="s">
        <v>1</v>
      </c>
      <c r="E1993" t="s">
        <v>3864</v>
      </c>
      <c r="F1993" t="s">
        <v>3865</v>
      </c>
      <c r="G1993" t="s">
        <v>52</v>
      </c>
      <c r="H1993">
        <v>179</v>
      </c>
      <c r="I1993">
        <v>0.375</v>
      </c>
      <c r="J1993">
        <v>0.80100000000000005</v>
      </c>
      <c r="K1993">
        <v>0.42599999999999999</v>
      </c>
      <c r="L1993">
        <v>156</v>
      </c>
      <c r="M1993">
        <v>10</v>
      </c>
      <c r="N1993">
        <v>13</v>
      </c>
      <c r="O1993">
        <v>0.80400000000000005</v>
      </c>
      <c r="P1993">
        <v>0.44249960700000002</v>
      </c>
      <c r="Q1993">
        <v>0.21099999999999999</v>
      </c>
    </row>
    <row r="1994" spans="1:17" x14ac:dyDescent="0.2">
      <c r="A1994" s="30" t="str">
        <f>IF(C1994&amp;G1994&amp;D1994&lt;&gt;'Funnel setup'!$K$3&amp;'Funnel setup'!$K$4&amp;'Funnel setup'!$K$5,".",IF(A1993=".",1,A1993+1))</f>
        <v>.</v>
      </c>
      <c r="B1994" s="431" t="str">
        <f t="shared" si="31"/>
        <v>Hip Replacement PrimaryProviderGATESHEAD HEALTH NHS FOUNDATION TRUST (RR7)EQ-5D Index</v>
      </c>
      <c r="C1994" t="s">
        <v>248</v>
      </c>
      <c r="D1994" t="s">
        <v>1</v>
      </c>
      <c r="E1994" t="s">
        <v>3867</v>
      </c>
      <c r="F1994" t="s">
        <v>3868</v>
      </c>
      <c r="G1994" t="s">
        <v>52</v>
      </c>
      <c r="H1994">
        <v>187</v>
      </c>
      <c r="I1994">
        <v>0.315</v>
      </c>
      <c r="J1994">
        <v>0.77800000000000002</v>
      </c>
      <c r="K1994">
        <v>0.46300000000000002</v>
      </c>
      <c r="L1994">
        <v>169</v>
      </c>
      <c r="M1994">
        <v>7</v>
      </c>
      <c r="N1994">
        <v>11</v>
      </c>
      <c r="O1994">
        <v>0.78900000000000003</v>
      </c>
      <c r="P1994">
        <v>0.42750081600000001</v>
      </c>
      <c r="Q1994">
        <v>0.22</v>
      </c>
    </row>
    <row r="1995" spans="1:17" x14ac:dyDescent="0.2">
      <c r="A1995" s="30" t="str">
        <f>IF(C1995&amp;G1995&amp;D1995&lt;&gt;'Funnel setup'!$K$3&amp;'Funnel setup'!$K$4&amp;'Funnel setup'!$K$5,".",IF(A1994=".",1,A1994+1))</f>
        <v>.</v>
      </c>
      <c r="B1995" s="431" t="str">
        <f t="shared" si="31"/>
        <v>Hip Replacement PrimaryProviderGEORGE ELIOT HOSPITAL NHS TRUST (RLT)EQ-5D Index</v>
      </c>
      <c r="C1995" t="s">
        <v>248</v>
      </c>
      <c r="D1995" t="s">
        <v>1</v>
      </c>
      <c r="E1995" t="s">
        <v>3870</v>
      </c>
      <c r="F1995" t="s">
        <v>3871</v>
      </c>
      <c r="G1995" t="s">
        <v>52</v>
      </c>
      <c r="H1995">
        <v>59</v>
      </c>
      <c r="I1995">
        <v>0.33100000000000002</v>
      </c>
      <c r="J1995">
        <v>0.77300000000000002</v>
      </c>
      <c r="K1995">
        <v>0.442</v>
      </c>
      <c r="L1995">
        <v>54</v>
      </c>
      <c r="M1995">
        <v>3</v>
      </c>
      <c r="N1995">
        <v>2</v>
      </c>
      <c r="O1995">
        <v>0.77100000000000002</v>
      </c>
      <c r="P1995">
        <v>0.40968739999999998</v>
      </c>
      <c r="Q1995">
        <v>0.20300000000000001</v>
      </c>
    </row>
    <row r="1996" spans="1:17" x14ac:dyDescent="0.2">
      <c r="A1996" s="30" t="str">
        <f>IF(C1996&amp;G1996&amp;D1996&lt;&gt;'Funnel setup'!$K$3&amp;'Funnel setup'!$K$4&amp;'Funnel setup'!$K$5,".",IF(A1995=".",1,A1995+1))</f>
        <v>.</v>
      </c>
      <c r="B1996" s="431" t="str">
        <f t="shared" si="31"/>
        <v>Hip Replacement PrimaryProviderGLOUCESTERSHIRE HOSPITALS NHS FOUNDATION TRUST (RTE)EQ-5D Index</v>
      </c>
      <c r="C1996" t="s">
        <v>248</v>
      </c>
      <c r="D1996" t="s">
        <v>1</v>
      </c>
      <c r="E1996" t="s">
        <v>3873</v>
      </c>
      <c r="F1996" t="s">
        <v>3874</v>
      </c>
      <c r="G1996" t="s">
        <v>52</v>
      </c>
      <c r="H1996">
        <v>355</v>
      </c>
      <c r="I1996">
        <v>0.41799999999999998</v>
      </c>
      <c r="J1996">
        <v>0.80400000000000005</v>
      </c>
      <c r="K1996">
        <v>0.38500000000000001</v>
      </c>
      <c r="L1996">
        <v>307</v>
      </c>
      <c r="M1996">
        <v>22</v>
      </c>
      <c r="N1996">
        <v>26</v>
      </c>
      <c r="O1996">
        <v>0.78200000000000003</v>
      </c>
      <c r="P1996">
        <v>0.42007771799999999</v>
      </c>
      <c r="Q1996">
        <v>0.20200000000000001</v>
      </c>
    </row>
    <row r="1997" spans="1:17" x14ac:dyDescent="0.2">
      <c r="A1997" s="30" t="str">
        <f>IF(C1997&amp;G1997&amp;D1997&lt;&gt;'Funnel setup'!$K$3&amp;'Funnel setup'!$K$4&amp;'Funnel setup'!$K$5,".",IF(A1996=".",1,A1996+1))</f>
        <v>.</v>
      </c>
      <c r="B1997" s="431" t="str">
        <f t="shared" si="31"/>
        <v>Hip Replacement PrimaryProviderGREAT WESTERN HOSPITALS NHS FOUNDATION TRUST (RN3)EQ-5D Index</v>
      </c>
      <c r="C1997" t="s">
        <v>248</v>
      </c>
      <c r="D1997" t="s">
        <v>1</v>
      </c>
      <c r="E1997" t="s">
        <v>3876</v>
      </c>
      <c r="F1997" t="s">
        <v>3877</v>
      </c>
      <c r="G1997" t="s">
        <v>52</v>
      </c>
      <c r="H1997">
        <v>206</v>
      </c>
      <c r="I1997">
        <v>0.27900000000000003</v>
      </c>
      <c r="J1997">
        <v>0.78800000000000003</v>
      </c>
      <c r="K1997">
        <v>0.50900000000000001</v>
      </c>
      <c r="L1997">
        <v>186</v>
      </c>
      <c r="M1997">
        <v>11</v>
      </c>
      <c r="N1997">
        <v>9</v>
      </c>
      <c r="O1997">
        <v>0.80100000000000005</v>
      </c>
      <c r="P1997">
        <v>0.439490569</v>
      </c>
      <c r="Q1997">
        <v>0.222</v>
      </c>
    </row>
    <row r="1998" spans="1:17" x14ac:dyDescent="0.2">
      <c r="A1998" s="30" t="str">
        <f>IF(C1998&amp;G1998&amp;D1998&lt;&gt;'Funnel setup'!$K$3&amp;'Funnel setup'!$K$4&amp;'Funnel setup'!$K$5,".",IF(A1997=".",1,A1997+1))</f>
        <v>.</v>
      </c>
      <c r="B1998" s="431" t="str">
        <f t="shared" si="31"/>
        <v>Hip Replacement PrimaryProviderGUY'S AND ST THOMAS' NHS FOUNDATION TRUST (RJ1)EQ-5D Index</v>
      </c>
      <c r="C1998" t="s">
        <v>248</v>
      </c>
      <c r="D1998" t="s">
        <v>1</v>
      </c>
      <c r="E1998" t="s">
        <v>3879</v>
      </c>
      <c r="F1998" t="s">
        <v>3880</v>
      </c>
      <c r="G1998" t="s">
        <v>52</v>
      </c>
      <c r="H1998">
        <v>119</v>
      </c>
      <c r="I1998">
        <v>0.371</v>
      </c>
      <c r="J1998">
        <v>0.80300000000000005</v>
      </c>
      <c r="K1998">
        <v>0.432</v>
      </c>
      <c r="L1998">
        <v>107</v>
      </c>
      <c r="M1998">
        <v>3</v>
      </c>
      <c r="N1998">
        <v>9</v>
      </c>
      <c r="O1998">
        <v>0.81100000000000005</v>
      </c>
      <c r="P1998">
        <v>0.44940028500000001</v>
      </c>
      <c r="Q1998">
        <v>0.25</v>
      </c>
    </row>
    <row r="1999" spans="1:17" x14ac:dyDescent="0.2">
      <c r="A1999" s="30" t="str">
        <f>IF(C1999&amp;G1999&amp;D1999&lt;&gt;'Funnel setup'!$K$3&amp;'Funnel setup'!$K$4&amp;'Funnel setup'!$K$5,".",IF(A1998=".",1,A1998+1))</f>
        <v>.</v>
      </c>
      <c r="B1999" s="431" t="str">
        <f t="shared" si="31"/>
        <v>Hip Replacement PrimaryProviderHAMPSHIRE HOSPITALS NHS FOUNDATION TRUST (RN5)EQ-5D Index</v>
      </c>
      <c r="C1999" t="s">
        <v>248</v>
      </c>
      <c r="D1999" t="s">
        <v>1</v>
      </c>
      <c r="E1999" t="s">
        <v>3882</v>
      </c>
      <c r="F1999" t="s">
        <v>3883</v>
      </c>
      <c r="G1999" t="s">
        <v>52</v>
      </c>
      <c r="H1999">
        <v>283</v>
      </c>
      <c r="I1999">
        <v>0.41699999999999998</v>
      </c>
      <c r="J1999">
        <v>0.82799999999999996</v>
      </c>
      <c r="K1999">
        <v>0.41099999999999998</v>
      </c>
      <c r="L1999">
        <v>261</v>
      </c>
      <c r="M1999">
        <v>11</v>
      </c>
      <c r="N1999">
        <v>11</v>
      </c>
      <c r="O1999">
        <v>0.80200000000000005</v>
      </c>
      <c r="P1999">
        <v>0.44025381099999999</v>
      </c>
      <c r="Q1999">
        <v>0.20799999999999999</v>
      </c>
    </row>
    <row r="2000" spans="1:17" x14ac:dyDescent="0.2">
      <c r="A2000" s="30" t="str">
        <f>IF(C2000&amp;G2000&amp;D2000&lt;&gt;'Funnel setup'!$K$3&amp;'Funnel setup'!$K$4&amp;'Funnel setup'!$K$5,".",IF(A1999=".",1,A1999+1))</f>
        <v>.</v>
      </c>
      <c r="B2000" s="431" t="str">
        <f t="shared" si="31"/>
        <v>Hip Replacement PrimaryProviderHARROGATE AND DISTRICT NHS FOUNDATION TRUST (RCD)EQ-5D Index</v>
      </c>
      <c r="C2000" t="s">
        <v>248</v>
      </c>
      <c r="D2000" t="s">
        <v>1</v>
      </c>
      <c r="E2000" t="s">
        <v>3885</v>
      </c>
      <c r="F2000" t="s">
        <v>3886</v>
      </c>
      <c r="G2000" t="s">
        <v>52</v>
      </c>
      <c r="H2000">
        <v>255</v>
      </c>
      <c r="I2000">
        <v>0.41699999999999998</v>
      </c>
      <c r="J2000">
        <v>0.80900000000000005</v>
      </c>
      <c r="K2000">
        <v>0.39300000000000002</v>
      </c>
      <c r="L2000">
        <v>224</v>
      </c>
      <c r="M2000">
        <v>17</v>
      </c>
      <c r="N2000">
        <v>14</v>
      </c>
      <c r="O2000">
        <v>0.78</v>
      </c>
      <c r="P2000">
        <v>0.41821588199999998</v>
      </c>
      <c r="Q2000">
        <v>0.215</v>
      </c>
    </row>
    <row r="2001" spans="1:17" x14ac:dyDescent="0.2">
      <c r="A2001" s="30" t="str">
        <f>IF(C2001&amp;G2001&amp;D2001&lt;&gt;'Funnel setup'!$K$3&amp;'Funnel setup'!$K$4&amp;'Funnel setup'!$K$5,".",IF(A2000=".",1,A2000+1))</f>
        <v>.</v>
      </c>
      <c r="B2001" s="431" t="str">
        <f t="shared" si="31"/>
        <v>Hip Replacement PrimaryProviderHEART OF ENGLAND NHS FOUNDATION TRUST (RR1)EQ-5D Index</v>
      </c>
      <c r="C2001" t="s">
        <v>248</v>
      </c>
      <c r="D2001" t="s">
        <v>1</v>
      </c>
      <c r="E2001" t="s">
        <v>3888</v>
      </c>
      <c r="F2001" t="s">
        <v>3889</v>
      </c>
      <c r="G2001" t="s">
        <v>52</v>
      </c>
      <c r="H2001">
        <v>365</v>
      </c>
      <c r="I2001">
        <v>0.309</v>
      </c>
      <c r="J2001">
        <v>0.73599999999999999</v>
      </c>
      <c r="K2001">
        <v>0.42799999999999999</v>
      </c>
      <c r="L2001">
        <v>316</v>
      </c>
      <c r="M2001">
        <v>31</v>
      </c>
      <c r="N2001">
        <v>18</v>
      </c>
      <c r="O2001">
        <v>0.76600000000000001</v>
      </c>
      <c r="P2001">
        <v>0.40471575399999998</v>
      </c>
      <c r="Q2001">
        <v>0.217</v>
      </c>
    </row>
    <row r="2002" spans="1:17" x14ac:dyDescent="0.2">
      <c r="A2002" s="30" t="str">
        <f>IF(C2002&amp;G2002&amp;D2002&lt;&gt;'Funnel setup'!$K$3&amp;'Funnel setup'!$K$4&amp;'Funnel setup'!$K$5,".",IF(A2001=".",1,A2001+1))</f>
        <v>.</v>
      </c>
      <c r="B2002" s="431" t="str">
        <f t="shared" si="31"/>
        <v>Hip Replacement PrimaryProviderHINCHINGBROOKE HEALTH CARE NHS TRUST (RQQ)EQ-5D Index</v>
      </c>
      <c r="C2002" t="s">
        <v>248</v>
      </c>
      <c r="D2002" t="s">
        <v>1</v>
      </c>
      <c r="E2002" t="s">
        <v>3894</v>
      </c>
      <c r="F2002" t="s">
        <v>3895</v>
      </c>
      <c r="G2002" t="s">
        <v>52</v>
      </c>
      <c r="H2002">
        <v>212</v>
      </c>
      <c r="I2002">
        <v>0.33100000000000002</v>
      </c>
      <c r="J2002">
        <v>0.76700000000000002</v>
      </c>
      <c r="K2002">
        <v>0.437</v>
      </c>
      <c r="L2002">
        <v>189</v>
      </c>
      <c r="M2002">
        <v>10</v>
      </c>
      <c r="N2002">
        <v>13</v>
      </c>
      <c r="O2002">
        <v>0.77400000000000002</v>
      </c>
      <c r="P2002">
        <v>0.412779699</v>
      </c>
      <c r="Q2002">
        <v>0.23400000000000001</v>
      </c>
    </row>
    <row r="2003" spans="1:17" x14ac:dyDescent="0.2">
      <c r="A2003" s="30" t="str">
        <f>IF(C2003&amp;G2003&amp;D2003&lt;&gt;'Funnel setup'!$K$3&amp;'Funnel setup'!$K$4&amp;'Funnel setup'!$K$5,".",IF(A2002=".",1,A2002+1))</f>
        <v>.</v>
      </c>
      <c r="B2003" s="431" t="str">
        <f t="shared" si="31"/>
        <v>Hip Replacement PrimaryProviderHOMERTON UNIVERSITY HOSPITAL NHS FOUNDATION TRUST (RQX)EQ-5D Index</v>
      </c>
      <c r="C2003" t="s">
        <v>248</v>
      </c>
      <c r="D2003" t="s">
        <v>1</v>
      </c>
      <c r="E2003" t="s">
        <v>3897</v>
      </c>
      <c r="F2003" t="s">
        <v>3898</v>
      </c>
      <c r="G2003" t="s">
        <v>52</v>
      </c>
      <c r="H2003">
        <v>30</v>
      </c>
      <c r="I2003">
        <v>0.35699999999999998</v>
      </c>
      <c r="J2003">
        <v>0.629</v>
      </c>
      <c r="K2003">
        <v>0.27200000000000002</v>
      </c>
      <c r="L2003">
        <v>23</v>
      </c>
      <c r="M2003">
        <v>2</v>
      </c>
      <c r="N2003">
        <v>5</v>
      </c>
      <c r="O2003">
        <v>0.70099999999999996</v>
      </c>
      <c r="P2003">
        <v>0.339787318</v>
      </c>
      <c r="Q2003">
        <v>0.29899999999999999</v>
      </c>
    </row>
    <row r="2004" spans="1:17" x14ac:dyDescent="0.2">
      <c r="A2004" s="30" t="str">
        <f>IF(C2004&amp;G2004&amp;D2004&lt;&gt;'Funnel setup'!$K$3&amp;'Funnel setup'!$K$4&amp;'Funnel setup'!$K$5,".",IF(A2003=".",1,A2003+1))</f>
        <v>.</v>
      </c>
      <c r="B2004" s="431" t="str">
        <f t="shared" si="31"/>
        <v>Hip Replacement PrimaryProviderHORTON NHS TREATMENT CENTRE (NVC25)EQ-5D Index</v>
      </c>
      <c r="C2004" t="s">
        <v>248</v>
      </c>
      <c r="D2004" t="s">
        <v>1</v>
      </c>
      <c r="E2004" t="s">
        <v>4553</v>
      </c>
      <c r="F2004" t="s">
        <v>4554</v>
      </c>
      <c r="G2004" t="s">
        <v>52</v>
      </c>
      <c r="H2004">
        <v>174</v>
      </c>
      <c r="I2004">
        <v>0.36299999999999999</v>
      </c>
      <c r="J2004">
        <v>0.83099999999999996</v>
      </c>
      <c r="K2004">
        <v>0.46800000000000003</v>
      </c>
      <c r="L2004">
        <v>157</v>
      </c>
      <c r="M2004">
        <v>10</v>
      </c>
      <c r="N2004">
        <v>7</v>
      </c>
      <c r="O2004">
        <v>0.79500000000000004</v>
      </c>
      <c r="P2004">
        <v>0.43330140099999997</v>
      </c>
      <c r="Q2004">
        <v>0.19700000000000001</v>
      </c>
    </row>
    <row r="2005" spans="1:17" x14ac:dyDescent="0.2">
      <c r="A2005" s="30" t="str">
        <f>IF(C2005&amp;G2005&amp;D2005&lt;&gt;'Funnel setup'!$K$3&amp;'Funnel setup'!$K$4&amp;'Funnel setup'!$K$5,".",IF(A2004=".",1,A2004+1))</f>
        <v>.</v>
      </c>
      <c r="B2005" s="431" t="str">
        <f t="shared" si="31"/>
        <v>Hip Replacement PrimaryProviderHULL AND EAST YORKSHIRE HOSPITALS NHS TRUST (RWA)EQ-5D Index</v>
      </c>
      <c r="C2005" t="s">
        <v>248</v>
      </c>
      <c r="D2005" t="s">
        <v>1</v>
      </c>
      <c r="E2005" t="s">
        <v>3906</v>
      </c>
      <c r="F2005" t="s">
        <v>3907</v>
      </c>
      <c r="G2005" t="s">
        <v>52</v>
      </c>
      <c r="H2005">
        <v>262</v>
      </c>
      <c r="I2005">
        <v>0.35399999999999998</v>
      </c>
      <c r="J2005">
        <v>0.74199999999999999</v>
      </c>
      <c r="K2005">
        <v>0.38800000000000001</v>
      </c>
      <c r="L2005">
        <v>222</v>
      </c>
      <c r="M2005">
        <v>17</v>
      </c>
      <c r="N2005">
        <v>23</v>
      </c>
      <c r="O2005">
        <v>0.74399999999999999</v>
      </c>
      <c r="P2005">
        <v>0.38210973199999998</v>
      </c>
      <c r="Q2005">
        <v>0.248</v>
      </c>
    </row>
    <row r="2006" spans="1:17" x14ac:dyDescent="0.2">
      <c r="A2006" s="30" t="str">
        <f>IF(C2006&amp;G2006&amp;D2006&lt;&gt;'Funnel setup'!$K$3&amp;'Funnel setup'!$K$4&amp;'Funnel setup'!$K$5,".",IF(A2005=".",1,A2005+1))</f>
        <v>.</v>
      </c>
      <c r="B2006" s="431" t="str">
        <f t="shared" si="31"/>
        <v>Hip Replacement PrimaryProviderIMPERIAL COLLEGE HEALTHCARE NHS TRUST (RYJ)EQ-5D Index</v>
      </c>
      <c r="C2006" t="s">
        <v>248</v>
      </c>
      <c r="D2006" t="s">
        <v>1</v>
      </c>
      <c r="E2006" t="s">
        <v>4558</v>
      </c>
      <c r="F2006" t="s">
        <v>4559</v>
      </c>
      <c r="G2006" t="s">
        <v>52</v>
      </c>
      <c r="H2006">
        <v>68</v>
      </c>
      <c r="I2006">
        <v>0.24399999999999999</v>
      </c>
      <c r="J2006">
        <v>0.76600000000000001</v>
      </c>
      <c r="K2006">
        <v>0.52300000000000002</v>
      </c>
      <c r="L2006">
        <v>62</v>
      </c>
      <c r="M2006">
        <v>6</v>
      </c>
      <c r="N2006">
        <v>0</v>
      </c>
      <c r="O2006">
        <v>0.81299999999999994</v>
      </c>
      <c r="P2006">
        <v>0.45094954599999998</v>
      </c>
      <c r="Q2006">
        <v>0.25700000000000001</v>
      </c>
    </row>
    <row r="2007" spans="1:17" x14ac:dyDescent="0.2">
      <c r="A2007" s="30" t="str">
        <f>IF(C2007&amp;G2007&amp;D2007&lt;&gt;'Funnel setup'!$K$3&amp;'Funnel setup'!$K$4&amp;'Funnel setup'!$K$5,".",IF(A2006=".",1,A2006+1))</f>
        <v>.</v>
      </c>
      <c r="B2007" s="431" t="str">
        <f t="shared" si="31"/>
        <v>Hip Replacement PrimaryProviderIPSWICH HOSPITAL NHS TRUST (RGQ)EQ-5D Index</v>
      </c>
      <c r="C2007" t="s">
        <v>248</v>
      </c>
      <c r="D2007" t="s">
        <v>1</v>
      </c>
      <c r="E2007" t="s">
        <v>3909</v>
      </c>
      <c r="F2007" t="s">
        <v>3910</v>
      </c>
      <c r="G2007" t="s">
        <v>52</v>
      </c>
      <c r="H2007">
        <v>107</v>
      </c>
      <c r="I2007">
        <v>0.28599999999999998</v>
      </c>
      <c r="J2007">
        <v>0.76600000000000001</v>
      </c>
      <c r="K2007">
        <v>0.48</v>
      </c>
      <c r="L2007">
        <v>97</v>
      </c>
      <c r="M2007">
        <v>3</v>
      </c>
      <c r="N2007">
        <v>7</v>
      </c>
      <c r="O2007">
        <v>0.79800000000000004</v>
      </c>
      <c r="P2007">
        <v>0.43584676100000003</v>
      </c>
      <c r="Q2007">
        <v>0.249</v>
      </c>
    </row>
    <row r="2008" spans="1:17" x14ac:dyDescent="0.2">
      <c r="A2008" s="30" t="str">
        <f>IF(C2008&amp;G2008&amp;D2008&lt;&gt;'Funnel setup'!$K$3&amp;'Funnel setup'!$K$4&amp;'Funnel setup'!$K$5,".",IF(A2007=".",1,A2007+1))</f>
        <v>.</v>
      </c>
      <c r="B2008" s="431" t="str">
        <f t="shared" si="31"/>
        <v>Hip Replacement PrimaryProviderISLE OF WIGHT NHS TRUST (R1F)EQ-5D Index</v>
      </c>
      <c r="C2008" t="s">
        <v>248</v>
      </c>
      <c r="D2008" t="s">
        <v>1</v>
      </c>
      <c r="E2008" t="s">
        <v>3912</v>
      </c>
      <c r="F2008" t="s">
        <v>3913</v>
      </c>
      <c r="G2008" t="s">
        <v>52</v>
      </c>
      <c r="H2008">
        <v>83</v>
      </c>
      <c r="I2008">
        <v>0.39100000000000001</v>
      </c>
      <c r="J2008">
        <v>0.77</v>
      </c>
      <c r="K2008">
        <v>0.379</v>
      </c>
      <c r="L2008">
        <v>70</v>
      </c>
      <c r="M2008">
        <v>7</v>
      </c>
      <c r="N2008">
        <v>6</v>
      </c>
      <c r="O2008">
        <v>0.77300000000000002</v>
      </c>
      <c r="P2008">
        <v>0.41111228100000002</v>
      </c>
      <c r="Q2008">
        <v>0.21299999999999999</v>
      </c>
    </row>
    <row r="2009" spans="1:17" x14ac:dyDescent="0.2">
      <c r="A2009" s="30" t="str">
        <f>IF(C2009&amp;G2009&amp;D2009&lt;&gt;'Funnel setup'!$K$3&amp;'Funnel setup'!$K$4&amp;'Funnel setup'!$K$5,".",IF(A2008=".",1,A2008+1))</f>
        <v>.</v>
      </c>
      <c r="B2009" s="431" t="str">
        <f t="shared" si="31"/>
        <v>Hip Replacement PrimaryProviderJAMES PAGET UNIVERSITY HOSPITALS NHS FOUNDATION TRUST (RGP)EQ-5D Index</v>
      </c>
      <c r="C2009" t="s">
        <v>248</v>
      </c>
      <c r="D2009" t="s">
        <v>1</v>
      </c>
      <c r="E2009" t="s">
        <v>3915</v>
      </c>
      <c r="F2009" t="s">
        <v>3916</v>
      </c>
      <c r="G2009" t="s">
        <v>52</v>
      </c>
      <c r="H2009">
        <v>147</v>
      </c>
      <c r="I2009">
        <v>0.36599999999999999</v>
      </c>
      <c r="J2009">
        <v>0.81200000000000006</v>
      </c>
      <c r="K2009">
        <v>0.44600000000000001</v>
      </c>
      <c r="L2009">
        <v>132</v>
      </c>
      <c r="M2009">
        <v>11</v>
      </c>
      <c r="N2009">
        <v>4</v>
      </c>
      <c r="O2009">
        <v>0.81499999999999995</v>
      </c>
      <c r="P2009">
        <v>0.45318011400000002</v>
      </c>
      <c r="Q2009">
        <v>0.23499999999999999</v>
      </c>
    </row>
    <row r="2010" spans="1:17" x14ac:dyDescent="0.2">
      <c r="A2010" s="30" t="str">
        <f>IF(C2010&amp;G2010&amp;D2010&lt;&gt;'Funnel setup'!$K$3&amp;'Funnel setup'!$K$4&amp;'Funnel setup'!$K$5,".",IF(A2009=".",1,A2009+1))</f>
        <v>.</v>
      </c>
      <c r="B2010" s="431" t="str">
        <f t="shared" si="31"/>
        <v>Hip Replacement PrimaryProviderKETTERING GENERAL HOSPITAL NHS FOUNDATION TRUST (RNQ)EQ-5D Index</v>
      </c>
      <c r="C2010" t="s">
        <v>248</v>
      </c>
      <c r="D2010" t="s">
        <v>1</v>
      </c>
      <c r="E2010" t="s">
        <v>3918</v>
      </c>
      <c r="F2010" t="s">
        <v>3919</v>
      </c>
      <c r="G2010" t="s">
        <v>52</v>
      </c>
      <c r="H2010">
        <v>65</v>
      </c>
      <c r="I2010">
        <v>0.27100000000000002</v>
      </c>
      <c r="J2010">
        <v>0.74199999999999999</v>
      </c>
      <c r="K2010">
        <v>0.47099999999999997</v>
      </c>
      <c r="L2010">
        <v>55</v>
      </c>
      <c r="M2010">
        <v>7</v>
      </c>
      <c r="N2010">
        <v>3</v>
      </c>
      <c r="O2010">
        <v>0.76800000000000002</v>
      </c>
      <c r="P2010">
        <v>0.40616888099999998</v>
      </c>
      <c r="Q2010">
        <v>0.23899999999999999</v>
      </c>
    </row>
    <row r="2011" spans="1:17" x14ac:dyDescent="0.2">
      <c r="A2011" s="30" t="str">
        <f>IF(C2011&amp;G2011&amp;D2011&lt;&gt;'Funnel setup'!$K$3&amp;'Funnel setup'!$K$4&amp;'Funnel setup'!$K$5,".",IF(A2010=".",1,A2010+1))</f>
        <v>.</v>
      </c>
      <c r="B2011" s="431" t="str">
        <f t="shared" si="31"/>
        <v>Hip Replacement PrimaryProviderKING'S COLLEGE HOSPITAL NHS FOUNDATION TRUST (RJZ)EQ-5D Index</v>
      </c>
      <c r="C2011" t="s">
        <v>248</v>
      </c>
      <c r="D2011" t="s">
        <v>1</v>
      </c>
      <c r="E2011" t="s">
        <v>3924</v>
      </c>
      <c r="F2011" t="s">
        <v>3925</v>
      </c>
      <c r="G2011" t="s">
        <v>52</v>
      </c>
      <c r="H2011">
        <v>181</v>
      </c>
      <c r="I2011">
        <v>0.35899999999999999</v>
      </c>
      <c r="J2011">
        <v>0.80500000000000005</v>
      </c>
      <c r="K2011">
        <v>0.44600000000000001</v>
      </c>
      <c r="L2011">
        <v>165</v>
      </c>
      <c r="M2011">
        <v>7</v>
      </c>
      <c r="N2011">
        <v>9</v>
      </c>
      <c r="O2011">
        <v>0.80400000000000005</v>
      </c>
      <c r="P2011">
        <v>0.44262395500000001</v>
      </c>
      <c r="Q2011">
        <v>0.221</v>
      </c>
    </row>
    <row r="2012" spans="1:17" x14ac:dyDescent="0.2">
      <c r="A2012" s="30" t="str">
        <f>IF(C2012&amp;G2012&amp;D2012&lt;&gt;'Funnel setup'!$K$3&amp;'Funnel setup'!$K$4&amp;'Funnel setup'!$K$5,".",IF(A2011=".",1,A2011+1))</f>
        <v>.</v>
      </c>
      <c r="B2012" s="431" t="str">
        <f t="shared" si="31"/>
        <v>Hip Replacement PrimaryProviderLANCASHIRE TEACHING HOSPITALS NHS FOUNDATION TRUST (RXN)EQ-5D Index</v>
      </c>
      <c r="C2012" t="s">
        <v>248</v>
      </c>
      <c r="D2012" t="s">
        <v>1</v>
      </c>
      <c r="E2012" t="s">
        <v>3567</v>
      </c>
      <c r="F2012" t="s">
        <v>3568</v>
      </c>
      <c r="G2012" t="s">
        <v>52</v>
      </c>
      <c r="H2012">
        <v>180</v>
      </c>
      <c r="I2012">
        <v>0.30199999999999999</v>
      </c>
      <c r="J2012">
        <v>0.754</v>
      </c>
      <c r="K2012">
        <v>0.45200000000000001</v>
      </c>
      <c r="L2012">
        <v>158</v>
      </c>
      <c r="M2012">
        <v>11</v>
      </c>
      <c r="N2012">
        <v>11</v>
      </c>
      <c r="O2012">
        <v>0.78300000000000003</v>
      </c>
      <c r="P2012">
        <v>0.42148776999999998</v>
      </c>
      <c r="Q2012">
        <v>0.26</v>
      </c>
    </row>
    <row r="2013" spans="1:17" x14ac:dyDescent="0.2">
      <c r="A2013" s="30" t="str">
        <f>IF(C2013&amp;G2013&amp;D2013&lt;&gt;'Funnel setup'!$K$3&amp;'Funnel setup'!$K$4&amp;'Funnel setup'!$K$5,".",IF(A2012=".",1,A2012+1))</f>
        <v>.</v>
      </c>
      <c r="B2013" s="431" t="str">
        <f t="shared" si="31"/>
        <v>Hip Replacement PrimaryProviderLEEDS TEACHING HOSPITALS NHS TRUST (RR8)EQ-5D Index</v>
      </c>
      <c r="C2013" t="s">
        <v>248</v>
      </c>
      <c r="D2013" t="s">
        <v>1</v>
      </c>
      <c r="E2013" t="s">
        <v>3930</v>
      </c>
      <c r="F2013" t="s">
        <v>344</v>
      </c>
      <c r="G2013" t="s">
        <v>52</v>
      </c>
      <c r="H2013">
        <v>231</v>
      </c>
      <c r="I2013">
        <v>0.33</v>
      </c>
      <c r="J2013">
        <v>0.77300000000000002</v>
      </c>
      <c r="K2013">
        <v>0.443</v>
      </c>
      <c r="L2013">
        <v>208</v>
      </c>
      <c r="M2013">
        <v>9</v>
      </c>
      <c r="N2013">
        <v>14</v>
      </c>
      <c r="O2013">
        <v>0.79200000000000004</v>
      </c>
      <c r="P2013">
        <v>0.43029432299999998</v>
      </c>
      <c r="Q2013">
        <v>0.251</v>
      </c>
    </row>
    <row r="2014" spans="1:17" x14ac:dyDescent="0.2">
      <c r="A2014" s="30" t="str">
        <f>IF(C2014&amp;G2014&amp;D2014&lt;&gt;'Funnel setup'!$K$3&amp;'Funnel setup'!$K$4&amp;'Funnel setup'!$K$5,".",IF(A2013=".",1,A2013+1))</f>
        <v>.</v>
      </c>
      <c r="B2014" s="431" t="str">
        <f t="shared" si="31"/>
        <v>Hip Replacement PrimaryProviderLEWISHAM AND GREENWICH NHS TRUST (RJ2)EQ-5D Index</v>
      </c>
      <c r="C2014" t="s">
        <v>248</v>
      </c>
      <c r="D2014" t="s">
        <v>1</v>
      </c>
      <c r="E2014" t="s">
        <v>3522</v>
      </c>
      <c r="F2014" t="s">
        <v>3523</v>
      </c>
      <c r="G2014" t="s">
        <v>52</v>
      </c>
      <c r="H2014">
        <v>76</v>
      </c>
      <c r="I2014">
        <v>0.30099999999999999</v>
      </c>
      <c r="J2014">
        <v>0.7</v>
      </c>
      <c r="K2014">
        <v>0.4</v>
      </c>
      <c r="L2014">
        <v>58</v>
      </c>
      <c r="M2014">
        <v>11</v>
      </c>
      <c r="N2014">
        <v>7</v>
      </c>
      <c r="O2014">
        <v>0.752</v>
      </c>
      <c r="P2014">
        <v>0.39040432600000002</v>
      </c>
      <c r="Q2014">
        <v>0.26200000000000001</v>
      </c>
    </row>
    <row r="2015" spans="1:17" x14ac:dyDescent="0.2">
      <c r="A2015" s="30" t="str">
        <f>IF(C2015&amp;G2015&amp;D2015&lt;&gt;'Funnel setup'!$K$3&amp;'Funnel setup'!$K$4&amp;'Funnel setup'!$K$5,".",IF(A2014=".",1,A2014+1))</f>
        <v>.</v>
      </c>
      <c r="B2015" s="431" t="str">
        <f t="shared" si="31"/>
        <v>Hip Replacement PrimaryProviderLONDON NORTH WEST HEALTHCARE NHS TRUST (R1K)EQ-5D Index</v>
      </c>
      <c r="C2015" t="s">
        <v>248</v>
      </c>
      <c r="D2015" t="s">
        <v>1</v>
      </c>
      <c r="E2015" t="s">
        <v>6515</v>
      </c>
      <c r="F2015" t="s">
        <v>6516</v>
      </c>
      <c r="G2015" t="s">
        <v>52</v>
      </c>
      <c r="H2015">
        <v>98</v>
      </c>
      <c r="I2015">
        <v>0.36</v>
      </c>
      <c r="J2015">
        <v>0.76400000000000001</v>
      </c>
      <c r="K2015">
        <v>0.40400000000000003</v>
      </c>
      <c r="L2015">
        <v>89</v>
      </c>
      <c r="M2015">
        <v>5</v>
      </c>
      <c r="N2015">
        <v>4</v>
      </c>
      <c r="O2015">
        <v>0.79100000000000004</v>
      </c>
      <c r="P2015">
        <v>0.42942447099999997</v>
      </c>
      <c r="Q2015">
        <v>0.20499999999999999</v>
      </c>
    </row>
    <row r="2016" spans="1:17" x14ac:dyDescent="0.2">
      <c r="A2016" s="30" t="str">
        <f>IF(C2016&amp;G2016&amp;D2016&lt;&gt;'Funnel setup'!$K$3&amp;'Funnel setup'!$K$4&amp;'Funnel setup'!$K$5,".",IF(A2015=".",1,A2015+1))</f>
        <v>.</v>
      </c>
      <c r="B2016" s="431" t="str">
        <f t="shared" si="31"/>
        <v>Hip Replacement PrimaryProviderLUTON AND DUNSTABLE UNIVERSITY HOSPITAL NHS FOUNDATION TRUST (RC9)EQ-5D Index</v>
      </c>
      <c r="C2016" t="s">
        <v>248</v>
      </c>
      <c r="D2016" t="s">
        <v>1</v>
      </c>
      <c r="E2016" t="s">
        <v>3528</v>
      </c>
      <c r="F2016" t="s">
        <v>3529</v>
      </c>
      <c r="G2016" t="s">
        <v>52</v>
      </c>
      <c r="H2016">
        <v>132</v>
      </c>
      <c r="I2016">
        <v>0.317</v>
      </c>
      <c r="J2016">
        <v>0.73699999999999999</v>
      </c>
      <c r="K2016">
        <v>0.41899999999999998</v>
      </c>
      <c r="L2016">
        <v>118</v>
      </c>
      <c r="M2016">
        <v>8</v>
      </c>
      <c r="N2016">
        <v>6</v>
      </c>
      <c r="O2016">
        <v>0.75700000000000001</v>
      </c>
      <c r="P2016">
        <v>0.39531540199999998</v>
      </c>
      <c r="Q2016">
        <v>0.24</v>
      </c>
    </row>
    <row r="2017" spans="1:17" x14ac:dyDescent="0.2">
      <c r="A2017" s="30" t="str">
        <f>IF(C2017&amp;G2017&amp;D2017&lt;&gt;'Funnel setup'!$K$3&amp;'Funnel setup'!$K$4&amp;'Funnel setup'!$K$5,".",IF(A2016=".",1,A2016+1))</f>
        <v>.</v>
      </c>
      <c r="B2017" s="431" t="str">
        <f t="shared" si="31"/>
        <v>Hip Replacement PrimaryProviderMAIDSTONE AND TUNBRIDGE WELLS NHS TRUST (RWF)EQ-5D Index</v>
      </c>
      <c r="C2017" t="s">
        <v>248</v>
      </c>
      <c r="D2017" t="s">
        <v>1</v>
      </c>
      <c r="E2017" t="s">
        <v>3627</v>
      </c>
      <c r="F2017" t="s">
        <v>3628</v>
      </c>
      <c r="G2017" t="s">
        <v>52</v>
      </c>
      <c r="H2017">
        <v>184</v>
      </c>
      <c r="I2017">
        <v>0.35299999999999998</v>
      </c>
      <c r="J2017">
        <v>0.81899999999999995</v>
      </c>
      <c r="K2017">
        <v>0.46500000000000002</v>
      </c>
      <c r="L2017">
        <v>168</v>
      </c>
      <c r="M2017">
        <v>8</v>
      </c>
      <c r="N2017">
        <v>8</v>
      </c>
      <c r="O2017">
        <v>0.82599999999999996</v>
      </c>
      <c r="P2017">
        <v>0.46448294499999998</v>
      </c>
      <c r="Q2017">
        <v>0.20200000000000001</v>
      </c>
    </row>
    <row r="2018" spans="1:17" x14ac:dyDescent="0.2">
      <c r="A2018" s="30" t="str">
        <f>IF(C2018&amp;G2018&amp;D2018&lt;&gt;'Funnel setup'!$K$3&amp;'Funnel setup'!$K$4&amp;'Funnel setup'!$K$5,".",IF(A2017=".",1,A2017+1))</f>
        <v>.</v>
      </c>
      <c r="B2018" s="431" t="str">
        <f t="shared" si="31"/>
        <v>Hip Replacement PrimaryProviderMEDWAY NHS FOUNDATION TRUST (RPA)EQ-5D Index</v>
      </c>
      <c r="C2018" t="s">
        <v>248</v>
      </c>
      <c r="D2018" t="s">
        <v>1</v>
      </c>
      <c r="E2018" t="s">
        <v>3630</v>
      </c>
      <c r="F2018" t="s">
        <v>3631</v>
      </c>
      <c r="G2018" t="s">
        <v>52</v>
      </c>
      <c r="H2018">
        <v>137</v>
      </c>
      <c r="I2018">
        <v>0.29899999999999999</v>
      </c>
      <c r="J2018">
        <v>0.79700000000000004</v>
      </c>
      <c r="K2018">
        <v>0.498</v>
      </c>
      <c r="L2018">
        <v>120</v>
      </c>
      <c r="M2018">
        <v>14</v>
      </c>
      <c r="N2018">
        <v>3</v>
      </c>
      <c r="O2018">
        <v>0.82699999999999996</v>
      </c>
      <c r="P2018">
        <v>0.46541318799999998</v>
      </c>
      <c r="Q2018">
        <v>0.23100000000000001</v>
      </c>
    </row>
    <row r="2019" spans="1:17" x14ac:dyDescent="0.2">
      <c r="A2019" s="30" t="str">
        <f>IF(C2019&amp;G2019&amp;D2019&lt;&gt;'Funnel setup'!$K$3&amp;'Funnel setup'!$K$4&amp;'Funnel setup'!$K$5,".",IF(A2018=".",1,A2018+1))</f>
        <v>.</v>
      </c>
      <c r="B2019" s="431" t="str">
        <f t="shared" si="31"/>
        <v>Hip Replacement PrimaryProviderMID CHESHIRE HOSPITALS NHS FOUNDATION TRUST (RBT)EQ-5D Index</v>
      </c>
      <c r="C2019" t="s">
        <v>248</v>
      </c>
      <c r="D2019" t="s">
        <v>1</v>
      </c>
      <c r="E2019" t="s">
        <v>3633</v>
      </c>
      <c r="F2019" t="s">
        <v>342</v>
      </c>
      <c r="G2019" t="s">
        <v>52</v>
      </c>
      <c r="H2019">
        <v>148</v>
      </c>
      <c r="I2019">
        <v>0.38500000000000001</v>
      </c>
      <c r="J2019">
        <v>0.80600000000000005</v>
      </c>
      <c r="K2019">
        <v>0.42099999999999999</v>
      </c>
      <c r="L2019">
        <v>132</v>
      </c>
      <c r="M2019">
        <v>10</v>
      </c>
      <c r="N2019">
        <v>6</v>
      </c>
      <c r="O2019">
        <v>0.80100000000000005</v>
      </c>
      <c r="P2019">
        <v>0.43887423399999997</v>
      </c>
      <c r="Q2019">
        <v>0.20100000000000001</v>
      </c>
    </row>
    <row r="2020" spans="1:17" x14ac:dyDescent="0.2">
      <c r="A2020" s="30" t="str">
        <f>IF(C2020&amp;G2020&amp;D2020&lt;&gt;'Funnel setup'!$K$3&amp;'Funnel setup'!$K$4&amp;'Funnel setup'!$K$5,".",IF(A2019=".",1,A2019+1))</f>
        <v>.</v>
      </c>
      <c r="B2020" s="431" t="str">
        <f t="shared" si="31"/>
        <v>Hip Replacement PrimaryProviderMID ESSEX HOSPITAL SERVICES NHS TRUST (RQ8)EQ-5D Index</v>
      </c>
      <c r="C2020" t="s">
        <v>248</v>
      </c>
      <c r="D2020" t="s">
        <v>1</v>
      </c>
      <c r="E2020" t="s">
        <v>3635</v>
      </c>
      <c r="F2020" t="s">
        <v>3636</v>
      </c>
      <c r="G2020" t="s">
        <v>52</v>
      </c>
      <c r="H2020">
        <v>166</v>
      </c>
      <c r="I2020">
        <v>0.20200000000000001</v>
      </c>
      <c r="J2020">
        <v>0.79200000000000004</v>
      </c>
      <c r="K2020">
        <v>0.59</v>
      </c>
      <c r="L2020">
        <v>155</v>
      </c>
      <c r="M2020">
        <v>6</v>
      </c>
      <c r="N2020">
        <v>5</v>
      </c>
      <c r="O2020">
        <v>0.80700000000000005</v>
      </c>
      <c r="P2020">
        <v>0.44576507199999998</v>
      </c>
      <c r="Q2020">
        <v>0.218</v>
      </c>
    </row>
    <row r="2021" spans="1:17" x14ac:dyDescent="0.2">
      <c r="A2021" s="30" t="str">
        <f>IF(C2021&amp;G2021&amp;D2021&lt;&gt;'Funnel setup'!$K$3&amp;'Funnel setup'!$K$4&amp;'Funnel setup'!$K$5,".",IF(A2020=".",1,A2020+1))</f>
        <v>.</v>
      </c>
      <c r="B2021" s="431" t="str">
        <f t="shared" si="31"/>
        <v>Hip Replacement PrimaryProviderMID STAFFORDSHIRE NHS FOUNDATION TRUST (RJD)EQ-5D Index</v>
      </c>
      <c r="C2021" t="s">
        <v>248</v>
      </c>
      <c r="D2021" t="s">
        <v>1</v>
      </c>
      <c r="E2021" t="s">
        <v>3638</v>
      </c>
      <c r="F2021" t="s">
        <v>3639</v>
      </c>
      <c r="G2021" t="s">
        <v>52</v>
      </c>
      <c r="H2021">
        <v>133</v>
      </c>
      <c r="I2021">
        <v>0.36</v>
      </c>
      <c r="J2021">
        <v>0.745</v>
      </c>
      <c r="K2021">
        <v>0.38500000000000001</v>
      </c>
      <c r="L2021">
        <v>111</v>
      </c>
      <c r="M2021">
        <v>14</v>
      </c>
      <c r="N2021">
        <v>8</v>
      </c>
      <c r="O2021">
        <v>0.75700000000000001</v>
      </c>
      <c r="P2021">
        <v>0.39522773700000002</v>
      </c>
      <c r="Q2021">
        <v>0.216</v>
      </c>
    </row>
    <row r="2022" spans="1:17" x14ac:dyDescent="0.2">
      <c r="A2022" s="30" t="str">
        <f>IF(C2022&amp;G2022&amp;D2022&lt;&gt;'Funnel setup'!$K$3&amp;'Funnel setup'!$K$4&amp;'Funnel setup'!$K$5,".",IF(A2021=".",1,A2021+1))</f>
        <v>.</v>
      </c>
      <c r="B2022" s="431" t="str">
        <f t="shared" si="31"/>
        <v>Hip Replacement PrimaryProviderMID YORKSHIRE HOSPITALS NHS TRUST (RXF)EQ-5D Index</v>
      </c>
      <c r="C2022" t="s">
        <v>248</v>
      </c>
      <c r="D2022" t="s">
        <v>1</v>
      </c>
      <c r="E2022" t="s">
        <v>3641</v>
      </c>
      <c r="F2022" t="s">
        <v>3642</v>
      </c>
      <c r="G2022" t="s">
        <v>52</v>
      </c>
      <c r="H2022">
        <v>210</v>
      </c>
      <c r="I2022">
        <v>0.33400000000000002</v>
      </c>
      <c r="J2022">
        <v>0.749</v>
      </c>
      <c r="K2022">
        <v>0.41599999999999998</v>
      </c>
      <c r="L2022">
        <v>188</v>
      </c>
      <c r="M2022">
        <v>8</v>
      </c>
      <c r="N2022">
        <v>14</v>
      </c>
      <c r="O2022">
        <v>0.77</v>
      </c>
      <c r="P2022">
        <v>0.40814877300000002</v>
      </c>
      <c r="Q2022">
        <v>0.249</v>
      </c>
    </row>
    <row r="2023" spans="1:17" x14ac:dyDescent="0.2">
      <c r="A2023" s="30" t="str">
        <f>IF(C2023&amp;G2023&amp;D2023&lt;&gt;'Funnel setup'!$K$3&amp;'Funnel setup'!$K$4&amp;'Funnel setup'!$K$5,".",IF(A2022=".",1,A2022+1))</f>
        <v>.</v>
      </c>
      <c r="B2023" s="431" t="str">
        <f t="shared" si="31"/>
        <v>Hip Replacement PrimaryProviderMILTON KEYNES UNIVERSITY HOSPITAL NHS FOUNDATION TRUST (RD8)EQ-5D Index</v>
      </c>
      <c r="C2023" t="s">
        <v>248</v>
      </c>
      <c r="D2023" t="s">
        <v>1</v>
      </c>
      <c r="E2023" t="s">
        <v>3643</v>
      </c>
      <c r="F2023" t="s">
        <v>6580</v>
      </c>
      <c r="G2023" t="s">
        <v>52</v>
      </c>
      <c r="H2023">
        <v>166</v>
      </c>
      <c r="I2023">
        <v>0.29799999999999999</v>
      </c>
      <c r="J2023">
        <v>0.76300000000000001</v>
      </c>
      <c r="K2023">
        <v>0.46500000000000002</v>
      </c>
      <c r="L2023">
        <v>144</v>
      </c>
      <c r="M2023">
        <v>7</v>
      </c>
      <c r="N2023">
        <v>15</v>
      </c>
      <c r="O2023">
        <v>0.77600000000000002</v>
      </c>
      <c r="P2023">
        <v>0.41435049899999998</v>
      </c>
      <c r="Q2023">
        <v>0.24199999999999999</v>
      </c>
    </row>
    <row r="2024" spans="1:17" x14ac:dyDescent="0.2">
      <c r="A2024" s="30" t="str">
        <f>IF(C2024&amp;G2024&amp;D2024&lt;&gt;'Funnel setup'!$K$3&amp;'Funnel setup'!$K$4&amp;'Funnel setup'!$K$5,".",IF(A2023=".",1,A2023+1))</f>
        <v>.</v>
      </c>
      <c r="B2024" s="431" t="str">
        <f t="shared" si="31"/>
        <v>Hip Replacement PrimaryProviderMOUNT STUART HOSPITAL (NVC08)EQ-5D Index</v>
      </c>
      <c r="C2024" t="s">
        <v>248</v>
      </c>
      <c r="D2024" t="s">
        <v>1</v>
      </c>
      <c r="E2024" t="s">
        <v>3645</v>
      </c>
      <c r="F2024" t="s">
        <v>3646</v>
      </c>
      <c r="G2024" t="s">
        <v>52</v>
      </c>
      <c r="H2024">
        <v>143</v>
      </c>
      <c r="I2024">
        <v>0.45</v>
      </c>
      <c r="J2024">
        <v>0.83</v>
      </c>
      <c r="K2024">
        <v>0.38</v>
      </c>
      <c r="L2024">
        <v>129</v>
      </c>
      <c r="M2024">
        <v>8</v>
      </c>
      <c r="N2024">
        <v>6</v>
      </c>
      <c r="O2024">
        <v>0.80700000000000005</v>
      </c>
      <c r="P2024">
        <v>0.44502930400000001</v>
      </c>
      <c r="Q2024">
        <v>0.20699999999999999</v>
      </c>
    </row>
    <row r="2025" spans="1:17" x14ac:dyDescent="0.2">
      <c r="A2025" s="30" t="str">
        <f>IF(C2025&amp;G2025&amp;D2025&lt;&gt;'Funnel setup'!$K$3&amp;'Funnel setup'!$K$4&amp;'Funnel setup'!$K$5,".",IF(A2024=".",1,A2024+1))</f>
        <v>.</v>
      </c>
      <c r="B2025" s="431" t="str">
        <f t="shared" si="31"/>
        <v>Hip Replacement PrimaryProviderNEW HALL HOSPITAL (NVC09)EQ-5D Index</v>
      </c>
      <c r="C2025" t="s">
        <v>248</v>
      </c>
      <c r="D2025" t="s">
        <v>1</v>
      </c>
      <c r="E2025" t="s">
        <v>3648</v>
      </c>
      <c r="F2025" t="s">
        <v>3649</v>
      </c>
      <c r="G2025" t="s">
        <v>52</v>
      </c>
      <c r="H2025">
        <v>114</v>
      </c>
      <c r="I2025">
        <v>0.44900000000000001</v>
      </c>
      <c r="J2025">
        <v>0.874</v>
      </c>
      <c r="K2025">
        <v>0.42399999999999999</v>
      </c>
      <c r="L2025">
        <v>102</v>
      </c>
      <c r="M2025">
        <v>10</v>
      </c>
      <c r="N2025">
        <v>2</v>
      </c>
      <c r="O2025">
        <v>0.84199999999999997</v>
      </c>
      <c r="P2025">
        <v>0.47996058400000002</v>
      </c>
      <c r="Q2025">
        <v>0.17799999999999999</v>
      </c>
    </row>
    <row r="2026" spans="1:17" x14ac:dyDescent="0.2">
      <c r="A2026" s="30" t="str">
        <f>IF(C2026&amp;G2026&amp;D2026&lt;&gt;'Funnel setup'!$K$3&amp;'Funnel setup'!$K$4&amp;'Funnel setup'!$K$5,".",IF(A2025=".",1,A2025+1))</f>
        <v>.</v>
      </c>
      <c r="B2026" s="431" t="str">
        <f t="shared" si="31"/>
        <v>Hip Replacement PrimaryProviderNORFOLK AND NORWICH UNIVERSITY HOSPITALS NHS FOUNDATION TRUST (RM1)EQ-5D Index</v>
      </c>
      <c r="C2026" t="s">
        <v>248</v>
      </c>
      <c r="D2026" t="s">
        <v>1</v>
      </c>
      <c r="E2026" t="s">
        <v>3651</v>
      </c>
      <c r="F2026" t="s">
        <v>3652</v>
      </c>
      <c r="G2026" t="s">
        <v>52</v>
      </c>
      <c r="H2026">
        <v>238</v>
      </c>
      <c r="I2026">
        <v>0.25800000000000001</v>
      </c>
      <c r="J2026">
        <v>0.73899999999999999</v>
      </c>
      <c r="K2026">
        <v>0.48</v>
      </c>
      <c r="L2026">
        <v>214</v>
      </c>
      <c r="M2026">
        <v>12</v>
      </c>
      <c r="N2026">
        <v>12</v>
      </c>
      <c r="O2026">
        <v>0.77200000000000002</v>
      </c>
      <c r="P2026">
        <v>0.41003278900000001</v>
      </c>
      <c r="Q2026">
        <v>0.26</v>
      </c>
    </row>
    <row r="2027" spans="1:17" x14ac:dyDescent="0.2">
      <c r="A2027" s="30" t="str">
        <f>IF(C2027&amp;G2027&amp;D2027&lt;&gt;'Funnel setup'!$K$3&amp;'Funnel setup'!$K$4&amp;'Funnel setup'!$K$5,".",IF(A2026=".",1,A2026+1))</f>
        <v>.</v>
      </c>
      <c r="B2027" s="431" t="str">
        <f t="shared" si="31"/>
        <v>Hip Replacement PrimaryProviderNORTH BRISTOL NHS TRUST (RVJ)EQ-5D Index</v>
      </c>
      <c r="C2027" t="s">
        <v>248</v>
      </c>
      <c r="D2027" t="s">
        <v>1</v>
      </c>
      <c r="E2027" t="s">
        <v>3654</v>
      </c>
      <c r="F2027" t="s">
        <v>3655</v>
      </c>
      <c r="G2027" t="s">
        <v>52</v>
      </c>
      <c r="H2027">
        <v>190</v>
      </c>
      <c r="I2027">
        <v>0.35399999999999998</v>
      </c>
      <c r="J2027">
        <v>0.76800000000000002</v>
      </c>
      <c r="K2027">
        <v>0.41399999999999998</v>
      </c>
      <c r="L2027">
        <v>168</v>
      </c>
      <c r="M2027">
        <v>11</v>
      </c>
      <c r="N2027">
        <v>11</v>
      </c>
      <c r="O2027">
        <v>0.77100000000000002</v>
      </c>
      <c r="P2027">
        <v>0.40914371300000002</v>
      </c>
      <c r="Q2027">
        <v>0.22700000000000001</v>
      </c>
    </row>
    <row r="2028" spans="1:17" x14ac:dyDescent="0.2">
      <c r="A2028" s="30" t="str">
        <f>IF(C2028&amp;G2028&amp;D2028&lt;&gt;'Funnel setup'!$K$3&amp;'Funnel setup'!$K$4&amp;'Funnel setup'!$K$5,".",IF(A2027=".",1,A2027+1))</f>
        <v>.</v>
      </c>
      <c r="B2028" s="431" t="str">
        <f t="shared" si="31"/>
        <v>Hip Replacement PrimaryProviderNORTH CUMBRIA UNIVERSITY HOSPITALS NHS TRUST (RNL)EQ-5D Index</v>
      </c>
      <c r="C2028" t="s">
        <v>248</v>
      </c>
      <c r="D2028" t="s">
        <v>1</v>
      </c>
      <c r="E2028" t="s">
        <v>3657</v>
      </c>
      <c r="F2028" t="s">
        <v>3658</v>
      </c>
      <c r="G2028" t="s">
        <v>52</v>
      </c>
      <c r="H2028">
        <v>129</v>
      </c>
      <c r="I2028">
        <v>0.316</v>
      </c>
      <c r="J2028">
        <v>0.76900000000000002</v>
      </c>
      <c r="K2028">
        <v>0.45300000000000001</v>
      </c>
      <c r="L2028">
        <v>120</v>
      </c>
      <c r="M2028">
        <v>5</v>
      </c>
      <c r="N2028">
        <v>4</v>
      </c>
      <c r="O2028">
        <v>0.79</v>
      </c>
      <c r="P2028">
        <v>0.42799628000000001</v>
      </c>
      <c r="Q2028">
        <v>0.214</v>
      </c>
    </row>
    <row r="2029" spans="1:17" x14ac:dyDescent="0.2">
      <c r="A2029" s="30" t="str">
        <f>IF(C2029&amp;G2029&amp;D2029&lt;&gt;'Funnel setup'!$K$3&amp;'Funnel setup'!$K$4&amp;'Funnel setup'!$K$5,".",IF(A2028=".",1,A2028+1))</f>
        <v>.</v>
      </c>
      <c r="B2029" s="431" t="str">
        <f t="shared" si="31"/>
        <v>Hip Replacement PrimaryProviderNORTH DOWNS HOSPITAL (NVC11)EQ-5D Index</v>
      </c>
      <c r="C2029" t="s">
        <v>248</v>
      </c>
      <c r="D2029" t="s">
        <v>1</v>
      </c>
      <c r="E2029" t="s">
        <v>3660</v>
      </c>
      <c r="F2029" t="s">
        <v>3661</v>
      </c>
      <c r="G2029" t="s">
        <v>52</v>
      </c>
      <c r="H2029">
        <v>73</v>
      </c>
      <c r="I2029">
        <v>0.50600000000000001</v>
      </c>
      <c r="J2029">
        <v>0.88100000000000001</v>
      </c>
      <c r="K2029">
        <v>0.376</v>
      </c>
      <c r="L2029">
        <v>67</v>
      </c>
      <c r="M2029">
        <v>3</v>
      </c>
      <c r="N2029">
        <v>3</v>
      </c>
      <c r="O2029">
        <v>0.82699999999999996</v>
      </c>
      <c r="P2029">
        <v>0.465289071</v>
      </c>
      <c r="Q2029">
        <v>0.154</v>
      </c>
    </row>
    <row r="2030" spans="1:17" x14ac:dyDescent="0.2">
      <c r="A2030" s="30" t="str">
        <f>IF(C2030&amp;G2030&amp;D2030&lt;&gt;'Funnel setup'!$K$3&amp;'Funnel setup'!$K$4&amp;'Funnel setup'!$K$5,".",IF(A2029=".",1,A2029+1))</f>
        <v>.</v>
      </c>
      <c r="B2030" s="431" t="str">
        <f t="shared" si="31"/>
        <v>Hip Replacement PrimaryProviderNORTH EAST LONDON TREATMENT CENTRE CARE UK (NTP15)EQ-5D Index</v>
      </c>
      <c r="C2030" t="s">
        <v>248</v>
      </c>
      <c r="D2030" t="s">
        <v>1</v>
      </c>
      <c r="E2030" t="s">
        <v>3663</v>
      </c>
      <c r="F2030" t="s">
        <v>3664</v>
      </c>
      <c r="G2030" t="s">
        <v>52</v>
      </c>
      <c r="H2030">
        <v>94</v>
      </c>
      <c r="I2030">
        <v>0.371</v>
      </c>
      <c r="J2030">
        <v>0.81</v>
      </c>
      <c r="K2030">
        <v>0.439</v>
      </c>
      <c r="L2030">
        <v>88</v>
      </c>
      <c r="M2030">
        <v>3</v>
      </c>
      <c r="N2030">
        <v>3</v>
      </c>
      <c r="O2030">
        <v>0.80200000000000005</v>
      </c>
      <c r="P2030">
        <v>0.440568299</v>
      </c>
      <c r="Q2030">
        <v>0.20599999999999999</v>
      </c>
    </row>
    <row r="2031" spans="1:17" x14ac:dyDescent="0.2">
      <c r="A2031" s="30" t="str">
        <f>IF(C2031&amp;G2031&amp;D2031&lt;&gt;'Funnel setup'!$K$3&amp;'Funnel setup'!$K$4&amp;'Funnel setup'!$K$5,".",IF(A2030=".",1,A2030+1))</f>
        <v>.</v>
      </c>
      <c r="B2031" s="431" t="str">
        <f t="shared" si="31"/>
        <v>Hip Replacement PrimaryProviderNORTH MIDDLESEX UNIVERSITY HOSPITAL NHS TRUST (RAP)EQ-5D Index</v>
      </c>
      <c r="C2031" t="s">
        <v>248</v>
      </c>
      <c r="D2031" t="s">
        <v>1</v>
      </c>
      <c r="E2031" t="s">
        <v>3666</v>
      </c>
      <c r="F2031" t="s">
        <v>3667</v>
      </c>
      <c r="G2031" t="s">
        <v>52</v>
      </c>
      <c r="H2031">
        <v>33</v>
      </c>
      <c r="I2031">
        <v>0.13800000000000001</v>
      </c>
      <c r="J2031">
        <v>0.66800000000000004</v>
      </c>
      <c r="K2031">
        <v>0.52900000000000003</v>
      </c>
      <c r="L2031">
        <v>32</v>
      </c>
      <c r="M2031">
        <v>0</v>
      </c>
      <c r="N2031">
        <v>1</v>
      </c>
      <c r="O2031">
        <v>0.77</v>
      </c>
      <c r="P2031">
        <v>0.40793280900000001</v>
      </c>
      <c r="Q2031">
        <v>0.215</v>
      </c>
    </row>
    <row r="2032" spans="1:17" x14ac:dyDescent="0.2">
      <c r="A2032" s="30" t="str">
        <f>IF(C2032&amp;G2032&amp;D2032&lt;&gt;'Funnel setup'!$K$3&amp;'Funnel setup'!$K$4&amp;'Funnel setup'!$K$5,".",IF(A2031=".",1,A2031+1))</f>
        <v>.</v>
      </c>
      <c r="B2032" s="431" t="str">
        <f t="shared" si="31"/>
        <v>Hip Replacement PrimaryProviderNORTH TEES AND HARTLEPOOL NHS FOUNDATION TRUST (RVW)EQ-5D Index</v>
      </c>
      <c r="C2032" t="s">
        <v>248</v>
      </c>
      <c r="D2032" t="s">
        <v>1</v>
      </c>
      <c r="E2032" t="s">
        <v>3669</v>
      </c>
      <c r="F2032" t="s">
        <v>3670</v>
      </c>
      <c r="G2032" t="s">
        <v>52</v>
      </c>
      <c r="H2032">
        <v>201</v>
      </c>
      <c r="I2032">
        <v>0.22800000000000001</v>
      </c>
      <c r="J2032">
        <v>0.75900000000000001</v>
      </c>
      <c r="K2032">
        <v>0.53100000000000003</v>
      </c>
      <c r="L2032">
        <v>190</v>
      </c>
      <c r="M2032">
        <v>8</v>
      </c>
      <c r="N2032">
        <v>3</v>
      </c>
      <c r="O2032">
        <v>0.80800000000000005</v>
      </c>
      <c r="P2032">
        <v>0.44677263699999997</v>
      </c>
      <c r="Q2032">
        <v>0.21</v>
      </c>
    </row>
    <row r="2033" spans="1:17" x14ac:dyDescent="0.2">
      <c r="A2033" s="30" t="str">
        <f>IF(C2033&amp;G2033&amp;D2033&lt;&gt;'Funnel setup'!$K$3&amp;'Funnel setup'!$K$4&amp;'Funnel setup'!$K$5,".",IF(A2032=".",1,A2032+1))</f>
        <v>.</v>
      </c>
      <c r="B2033" s="431" t="str">
        <f t="shared" si="31"/>
        <v>Hip Replacement PrimaryProviderNORTHAMPTON GENERAL HOSPITAL NHS TRUST (RNS)EQ-5D Index</v>
      </c>
      <c r="C2033" t="s">
        <v>248</v>
      </c>
      <c r="D2033" t="s">
        <v>1</v>
      </c>
      <c r="E2033" t="s">
        <v>3675</v>
      </c>
      <c r="F2033" t="s">
        <v>3676</v>
      </c>
      <c r="G2033" t="s">
        <v>52</v>
      </c>
      <c r="H2033">
        <v>169</v>
      </c>
      <c r="I2033">
        <v>0.26500000000000001</v>
      </c>
      <c r="J2033">
        <v>0.80300000000000005</v>
      </c>
      <c r="K2033">
        <v>0.53800000000000003</v>
      </c>
      <c r="L2033">
        <v>161</v>
      </c>
      <c r="M2033">
        <v>6</v>
      </c>
      <c r="N2033">
        <v>2</v>
      </c>
      <c r="O2033">
        <v>0.83599999999999997</v>
      </c>
      <c r="P2033">
        <v>0.47478226600000001</v>
      </c>
      <c r="Q2033">
        <v>0.21199999999999999</v>
      </c>
    </row>
    <row r="2034" spans="1:17" x14ac:dyDescent="0.2">
      <c r="A2034" s="30" t="str">
        <f>IF(C2034&amp;G2034&amp;D2034&lt;&gt;'Funnel setup'!$K$3&amp;'Funnel setup'!$K$4&amp;'Funnel setup'!$K$5,".",IF(A2033=".",1,A2033+1))</f>
        <v>.</v>
      </c>
      <c r="B2034" s="431" t="str">
        <f t="shared" si="31"/>
        <v>Hip Replacement PrimaryProviderNORTHERN DEVON HEALTHCARE NHS TRUST (RBZ)EQ-5D Index</v>
      </c>
      <c r="C2034" t="s">
        <v>248</v>
      </c>
      <c r="D2034" t="s">
        <v>1</v>
      </c>
      <c r="E2034" t="s">
        <v>3678</v>
      </c>
      <c r="F2034" t="s">
        <v>3679</v>
      </c>
      <c r="G2034" t="s">
        <v>52</v>
      </c>
      <c r="H2034">
        <v>244</v>
      </c>
      <c r="I2034">
        <v>0.35399999999999998</v>
      </c>
      <c r="J2034">
        <v>0.77600000000000002</v>
      </c>
      <c r="K2034">
        <v>0.42299999999999999</v>
      </c>
      <c r="L2034">
        <v>214</v>
      </c>
      <c r="M2034">
        <v>14</v>
      </c>
      <c r="N2034">
        <v>16</v>
      </c>
      <c r="O2034">
        <v>0.77900000000000003</v>
      </c>
      <c r="P2034">
        <v>0.41754991699999999</v>
      </c>
      <c r="Q2034">
        <v>0.22700000000000001</v>
      </c>
    </row>
    <row r="2035" spans="1:17" x14ac:dyDescent="0.2">
      <c r="A2035" s="30" t="str">
        <f>IF(C2035&amp;G2035&amp;D2035&lt;&gt;'Funnel setup'!$K$3&amp;'Funnel setup'!$K$4&amp;'Funnel setup'!$K$5,".",IF(A2034=".",1,A2034+1))</f>
        <v>.</v>
      </c>
      <c r="B2035" s="431" t="str">
        <f t="shared" si="31"/>
        <v>Hip Replacement PrimaryProviderNORTHERN LINCOLNSHIRE AND GOOLE NHS FOUNDATION TRUST (RJL)EQ-5D Index</v>
      </c>
      <c r="C2035" t="s">
        <v>248</v>
      </c>
      <c r="D2035" t="s">
        <v>1</v>
      </c>
      <c r="E2035" t="s">
        <v>3681</v>
      </c>
      <c r="F2035" t="s">
        <v>3682</v>
      </c>
      <c r="G2035" t="s">
        <v>52</v>
      </c>
      <c r="H2035">
        <v>235</v>
      </c>
      <c r="I2035">
        <v>0.39500000000000002</v>
      </c>
      <c r="J2035">
        <v>0.79900000000000004</v>
      </c>
      <c r="K2035">
        <v>0.40300000000000002</v>
      </c>
      <c r="L2035">
        <v>213</v>
      </c>
      <c r="M2035">
        <v>10</v>
      </c>
      <c r="N2035">
        <v>12</v>
      </c>
      <c r="O2035">
        <v>0.79900000000000004</v>
      </c>
      <c r="P2035">
        <v>0.43759303300000002</v>
      </c>
      <c r="Q2035">
        <v>0.20100000000000001</v>
      </c>
    </row>
    <row r="2036" spans="1:17" x14ac:dyDescent="0.2">
      <c r="A2036" s="30" t="str">
        <f>IF(C2036&amp;G2036&amp;D2036&lt;&gt;'Funnel setup'!$K$3&amp;'Funnel setup'!$K$4&amp;'Funnel setup'!$K$5,".",IF(A2035=".",1,A2035+1))</f>
        <v>.</v>
      </c>
      <c r="B2036" s="431" t="str">
        <f t="shared" si="31"/>
        <v>Hip Replacement PrimaryProviderNORTHUMBRIA HEALTHCARE NHS FOUNDATION TRUST (RTF)EQ-5D Index</v>
      </c>
      <c r="C2036" t="s">
        <v>248</v>
      </c>
      <c r="D2036" t="s">
        <v>1</v>
      </c>
      <c r="E2036" t="s">
        <v>3684</v>
      </c>
      <c r="F2036" t="s">
        <v>3685</v>
      </c>
      <c r="G2036" t="s">
        <v>52</v>
      </c>
      <c r="H2036">
        <v>634</v>
      </c>
      <c r="I2036">
        <v>0.35599999999999998</v>
      </c>
      <c r="J2036">
        <v>0.80300000000000005</v>
      </c>
      <c r="K2036">
        <v>0.44800000000000001</v>
      </c>
      <c r="L2036">
        <v>564</v>
      </c>
      <c r="M2036">
        <v>43</v>
      </c>
      <c r="N2036">
        <v>27</v>
      </c>
      <c r="O2036">
        <v>0.81</v>
      </c>
      <c r="P2036">
        <v>0.44836767599999999</v>
      </c>
      <c r="Q2036">
        <v>0.224</v>
      </c>
    </row>
    <row r="2037" spans="1:17" x14ac:dyDescent="0.2">
      <c r="A2037" s="30" t="str">
        <f>IF(C2037&amp;G2037&amp;D2037&lt;&gt;'Funnel setup'!$K$3&amp;'Funnel setup'!$K$4&amp;'Funnel setup'!$K$5,".",IF(A2036=".",1,A2036+1))</f>
        <v>.</v>
      </c>
      <c r="B2037" s="431" t="str">
        <f t="shared" si="31"/>
        <v>Hip Replacement PrimaryProviderNOTTINGHAM UNIVERSITY HOSPITALS NHS TRUST (RX1)EQ-5D Index</v>
      </c>
      <c r="C2037" t="s">
        <v>248</v>
      </c>
      <c r="D2037" t="s">
        <v>1</v>
      </c>
      <c r="E2037" t="s">
        <v>3687</v>
      </c>
      <c r="F2037" t="s">
        <v>3688</v>
      </c>
      <c r="G2037" t="s">
        <v>52</v>
      </c>
      <c r="H2037">
        <v>377</v>
      </c>
      <c r="I2037">
        <v>0.378</v>
      </c>
      <c r="J2037">
        <v>0.79400000000000004</v>
      </c>
      <c r="K2037">
        <v>0.41599999999999998</v>
      </c>
      <c r="L2037">
        <v>340</v>
      </c>
      <c r="M2037">
        <v>18</v>
      </c>
      <c r="N2037">
        <v>19</v>
      </c>
      <c r="O2037">
        <v>0.79800000000000004</v>
      </c>
      <c r="P2037">
        <v>0.43683460000000002</v>
      </c>
      <c r="Q2037">
        <v>0.193</v>
      </c>
    </row>
    <row r="2038" spans="1:17" x14ac:dyDescent="0.2">
      <c r="A2038" s="30" t="str">
        <f>IF(C2038&amp;G2038&amp;D2038&lt;&gt;'Funnel setup'!$K$3&amp;'Funnel setup'!$K$4&amp;'Funnel setup'!$K$5,".",IF(A2037=".",1,A2037+1))</f>
        <v>.</v>
      </c>
      <c r="B2038" s="431" t="str">
        <f t="shared" si="31"/>
        <v>Hip Replacement PrimaryProviderNUFFIELD HEALTH, BRENTWOOD HOSPITAL (NT204)EQ-5D Index</v>
      </c>
      <c r="C2038" t="s">
        <v>248</v>
      </c>
      <c r="D2038" t="s">
        <v>1</v>
      </c>
      <c r="E2038" t="s">
        <v>3691</v>
      </c>
      <c r="F2038" t="s">
        <v>3692</v>
      </c>
      <c r="G2038" t="s">
        <v>52</v>
      </c>
      <c r="H2038">
        <v>69</v>
      </c>
      <c r="I2038">
        <v>0.41099999999999998</v>
      </c>
      <c r="J2038">
        <v>0.81799999999999995</v>
      </c>
      <c r="K2038">
        <v>0.40699999999999997</v>
      </c>
      <c r="L2038">
        <v>61</v>
      </c>
      <c r="M2038">
        <v>3</v>
      </c>
      <c r="N2038">
        <v>5</v>
      </c>
      <c r="O2038">
        <v>0.78300000000000003</v>
      </c>
      <c r="P2038">
        <v>0.42171634200000002</v>
      </c>
      <c r="Q2038">
        <v>0.19700000000000001</v>
      </c>
    </row>
    <row r="2039" spans="1:17" x14ac:dyDescent="0.2">
      <c r="A2039" s="30" t="str">
        <f>IF(C2039&amp;G2039&amp;D2039&lt;&gt;'Funnel setup'!$K$3&amp;'Funnel setup'!$K$4&amp;'Funnel setup'!$K$5,".",IF(A2038=".",1,A2038+1))</f>
        <v>.</v>
      </c>
      <c r="B2039" s="431" t="str">
        <f t="shared" si="31"/>
        <v>Hip Replacement PrimaryProviderNUFFIELD HEALTH, BRIGHTON HOSPITAL (NT205)EQ-5D Index</v>
      </c>
      <c r="C2039" t="s">
        <v>248</v>
      </c>
      <c r="D2039" t="s">
        <v>1</v>
      </c>
      <c r="E2039" t="s">
        <v>3697</v>
      </c>
      <c r="F2039" t="s">
        <v>3698</v>
      </c>
      <c r="G2039" t="s">
        <v>52</v>
      </c>
      <c r="H2039" t="s">
        <v>53</v>
      </c>
      <c r="I2039" t="s">
        <v>53</v>
      </c>
      <c r="J2039" t="s">
        <v>53</v>
      </c>
      <c r="K2039" t="s">
        <v>53</v>
      </c>
      <c r="L2039" t="s">
        <v>53</v>
      </c>
      <c r="M2039" t="s">
        <v>53</v>
      </c>
      <c r="N2039" t="s">
        <v>53</v>
      </c>
      <c r="O2039" t="s">
        <v>53</v>
      </c>
      <c r="P2039" t="s">
        <v>53</v>
      </c>
      <c r="Q2039" t="s">
        <v>53</v>
      </c>
    </row>
    <row r="2040" spans="1:17" x14ac:dyDescent="0.2">
      <c r="A2040" s="30" t="str">
        <f>IF(C2040&amp;G2040&amp;D2040&lt;&gt;'Funnel setup'!$K$3&amp;'Funnel setup'!$K$4&amp;'Funnel setup'!$K$5,".",IF(A2039=".",1,A2039+1))</f>
        <v>.</v>
      </c>
      <c r="B2040" s="431" t="str">
        <f t="shared" si="31"/>
        <v>Hip Replacement PrimaryProviderNUFFIELD HEALTH, BRISTOL HOSPITAL (CHESTERFIELD) (NT206)EQ-5D Index</v>
      </c>
      <c r="C2040" t="s">
        <v>248</v>
      </c>
      <c r="D2040" t="s">
        <v>1</v>
      </c>
      <c r="E2040" t="s">
        <v>3700</v>
      </c>
      <c r="F2040" t="s">
        <v>3701</v>
      </c>
      <c r="G2040" t="s">
        <v>52</v>
      </c>
      <c r="H2040">
        <v>12</v>
      </c>
      <c r="I2040">
        <v>0.22900000000000001</v>
      </c>
      <c r="J2040">
        <v>0.73799999999999999</v>
      </c>
      <c r="K2040">
        <v>0.51</v>
      </c>
      <c r="L2040">
        <v>10</v>
      </c>
      <c r="M2040">
        <v>1</v>
      </c>
      <c r="N2040">
        <v>1</v>
      </c>
      <c r="O2040" t="s">
        <v>53</v>
      </c>
      <c r="P2040" t="s">
        <v>53</v>
      </c>
      <c r="Q2040" t="s">
        <v>53</v>
      </c>
    </row>
    <row r="2041" spans="1:17" x14ac:dyDescent="0.2">
      <c r="A2041" s="30" t="str">
        <f>IF(C2041&amp;G2041&amp;D2041&lt;&gt;'Funnel setup'!$K$3&amp;'Funnel setup'!$K$4&amp;'Funnel setup'!$K$5,".",IF(A2040=".",1,A2040+1))</f>
        <v>.</v>
      </c>
      <c r="B2041" s="431" t="str">
        <f t="shared" si="31"/>
        <v>Hip Replacement PrimaryProviderNUFFIELD HEALTH, CAMBRIDGE HOSPITAL (NT209)EQ-5D Index</v>
      </c>
      <c r="C2041" t="s">
        <v>248</v>
      </c>
      <c r="D2041" t="s">
        <v>1</v>
      </c>
      <c r="E2041" t="s">
        <v>4477</v>
      </c>
      <c r="F2041" t="s">
        <v>4478</v>
      </c>
      <c r="G2041" t="s">
        <v>52</v>
      </c>
      <c r="H2041">
        <v>17</v>
      </c>
      <c r="I2041">
        <v>0.24399999999999999</v>
      </c>
      <c r="J2041">
        <v>0.93400000000000005</v>
      </c>
      <c r="K2041">
        <v>0.69</v>
      </c>
      <c r="L2041">
        <v>17</v>
      </c>
      <c r="M2041">
        <v>0</v>
      </c>
      <c r="N2041">
        <v>0</v>
      </c>
      <c r="O2041" t="s">
        <v>53</v>
      </c>
      <c r="P2041" t="s">
        <v>53</v>
      </c>
      <c r="Q2041" t="s">
        <v>53</v>
      </c>
    </row>
    <row r="2042" spans="1:17" x14ac:dyDescent="0.2">
      <c r="A2042" s="30" t="str">
        <f>IF(C2042&amp;G2042&amp;D2042&lt;&gt;'Funnel setup'!$K$3&amp;'Funnel setup'!$K$4&amp;'Funnel setup'!$K$5,".",IF(A2041=".",1,A2041+1))</f>
        <v>.</v>
      </c>
      <c r="B2042" s="431" t="str">
        <f t="shared" si="31"/>
        <v>Hip Replacement PrimaryProviderNUFFIELD HEALTH, CHELTENHAM HOSPITAL (NT211)EQ-5D Index</v>
      </c>
      <c r="C2042" t="s">
        <v>248</v>
      </c>
      <c r="D2042" t="s">
        <v>1</v>
      </c>
      <c r="E2042" t="s">
        <v>3703</v>
      </c>
      <c r="F2042" t="s">
        <v>3704</v>
      </c>
      <c r="G2042" t="s">
        <v>52</v>
      </c>
      <c r="H2042">
        <v>6</v>
      </c>
      <c r="I2042">
        <v>0.60699999999999998</v>
      </c>
      <c r="J2042">
        <v>0.84</v>
      </c>
      <c r="K2042">
        <v>0.23300000000000001</v>
      </c>
      <c r="L2042">
        <v>5</v>
      </c>
      <c r="M2042">
        <v>1</v>
      </c>
      <c r="N2042">
        <v>0</v>
      </c>
      <c r="O2042" t="s">
        <v>53</v>
      </c>
      <c r="P2042" t="s">
        <v>53</v>
      </c>
      <c r="Q2042" t="s">
        <v>53</v>
      </c>
    </row>
    <row r="2043" spans="1:17" x14ac:dyDescent="0.2">
      <c r="A2043" s="30" t="str">
        <f>IF(C2043&amp;G2043&amp;D2043&lt;&gt;'Funnel setup'!$K$3&amp;'Funnel setup'!$K$4&amp;'Funnel setup'!$K$5,".",IF(A2042=".",1,A2042+1))</f>
        <v>.</v>
      </c>
      <c r="B2043" s="431" t="str">
        <f t="shared" si="31"/>
        <v>Hip Replacement PrimaryProviderNUFFIELD HEALTH, CHICHESTER HOSPITAL (NT212)EQ-5D Index</v>
      </c>
      <c r="C2043" t="s">
        <v>248</v>
      </c>
      <c r="D2043" t="s">
        <v>1</v>
      </c>
      <c r="E2043" t="s">
        <v>4334</v>
      </c>
      <c r="F2043" t="s">
        <v>4335</v>
      </c>
      <c r="G2043" t="s">
        <v>52</v>
      </c>
      <c r="H2043">
        <v>13</v>
      </c>
      <c r="I2043">
        <v>0.35499999999999998</v>
      </c>
      <c r="J2043">
        <v>0.88900000000000001</v>
      </c>
      <c r="K2043">
        <v>0.53500000000000003</v>
      </c>
      <c r="L2043">
        <v>13</v>
      </c>
      <c r="M2043">
        <v>0</v>
      </c>
      <c r="N2043">
        <v>0</v>
      </c>
      <c r="O2043" t="s">
        <v>53</v>
      </c>
      <c r="P2043" t="s">
        <v>53</v>
      </c>
      <c r="Q2043" t="s">
        <v>53</v>
      </c>
    </row>
    <row r="2044" spans="1:17" x14ac:dyDescent="0.2">
      <c r="A2044" s="30" t="str">
        <f>IF(C2044&amp;G2044&amp;D2044&lt;&gt;'Funnel setup'!$K$3&amp;'Funnel setup'!$K$4&amp;'Funnel setup'!$K$5,".",IF(A2043=".",1,A2043+1))</f>
        <v>.</v>
      </c>
      <c r="B2044" s="431" t="str">
        <f t="shared" si="31"/>
        <v>Hip Replacement PrimaryProviderNUFFIELD HEALTH, DERBY HOSPITAL (NT213)EQ-5D Index</v>
      </c>
      <c r="C2044" t="s">
        <v>248</v>
      </c>
      <c r="D2044" t="s">
        <v>1</v>
      </c>
      <c r="E2044" t="s">
        <v>3340</v>
      </c>
      <c r="F2044" t="s">
        <v>3341</v>
      </c>
      <c r="G2044" t="s">
        <v>52</v>
      </c>
      <c r="H2044">
        <v>142</v>
      </c>
      <c r="I2044">
        <v>0.34899999999999998</v>
      </c>
      <c r="J2044">
        <v>0.83299999999999996</v>
      </c>
      <c r="K2044">
        <v>0.48399999999999999</v>
      </c>
      <c r="L2044">
        <v>135</v>
      </c>
      <c r="M2044">
        <v>2</v>
      </c>
      <c r="N2044">
        <v>5</v>
      </c>
      <c r="O2044">
        <v>0.81100000000000005</v>
      </c>
      <c r="P2044">
        <v>0.44921422100000002</v>
      </c>
      <c r="Q2044">
        <v>0.20899999999999999</v>
      </c>
    </row>
    <row r="2045" spans="1:17" x14ac:dyDescent="0.2">
      <c r="A2045" s="30" t="str">
        <f>IF(C2045&amp;G2045&amp;D2045&lt;&gt;'Funnel setup'!$K$3&amp;'Funnel setup'!$K$4&amp;'Funnel setup'!$K$5,".",IF(A2044=".",1,A2044+1))</f>
        <v>.</v>
      </c>
      <c r="B2045" s="431" t="str">
        <f t="shared" si="31"/>
        <v>Hip Replacement PrimaryProviderNUFFIELD HEALTH, EXETER HOSPITAL (NT215)EQ-5D Index</v>
      </c>
      <c r="C2045" t="s">
        <v>248</v>
      </c>
      <c r="D2045" t="s">
        <v>1</v>
      </c>
      <c r="E2045" t="s">
        <v>4339</v>
      </c>
      <c r="F2045" t="s">
        <v>4340</v>
      </c>
      <c r="G2045" t="s">
        <v>52</v>
      </c>
      <c r="H2045">
        <v>40</v>
      </c>
      <c r="I2045">
        <v>0.40500000000000003</v>
      </c>
      <c r="J2045">
        <v>0.83799999999999997</v>
      </c>
      <c r="K2045">
        <v>0.433</v>
      </c>
      <c r="L2045">
        <v>36</v>
      </c>
      <c r="M2045">
        <v>2</v>
      </c>
      <c r="N2045">
        <v>2</v>
      </c>
      <c r="O2045">
        <v>0.79800000000000004</v>
      </c>
      <c r="P2045">
        <v>0.436579147</v>
      </c>
      <c r="Q2045">
        <v>0.26100000000000001</v>
      </c>
    </row>
    <row r="2046" spans="1:17" x14ac:dyDescent="0.2">
      <c r="A2046" s="30" t="str">
        <f>IF(C2046&amp;G2046&amp;D2046&lt;&gt;'Funnel setup'!$K$3&amp;'Funnel setup'!$K$4&amp;'Funnel setup'!$K$5,".",IF(A2045=".",1,A2045+1))</f>
        <v>.</v>
      </c>
      <c r="B2046" s="431" t="str">
        <f t="shared" si="31"/>
        <v>Hip Replacement PrimaryProviderNUFFIELD HEALTH, HAYWARDS HEATH HOSPITAL (NT218)EQ-5D Index</v>
      </c>
      <c r="C2046" t="s">
        <v>248</v>
      </c>
      <c r="D2046" t="s">
        <v>1</v>
      </c>
      <c r="E2046" t="s">
        <v>4342</v>
      </c>
      <c r="F2046" t="s">
        <v>4343</v>
      </c>
      <c r="G2046" t="s">
        <v>52</v>
      </c>
      <c r="H2046">
        <v>24</v>
      </c>
      <c r="I2046">
        <v>0.51900000000000002</v>
      </c>
      <c r="J2046">
        <v>0.82299999999999995</v>
      </c>
      <c r="K2046">
        <v>0.30499999999999999</v>
      </c>
      <c r="L2046">
        <v>20</v>
      </c>
      <c r="M2046">
        <v>1</v>
      </c>
      <c r="N2046">
        <v>3</v>
      </c>
      <c r="O2046" t="s">
        <v>53</v>
      </c>
      <c r="P2046" t="s">
        <v>53</v>
      </c>
      <c r="Q2046" t="s">
        <v>53</v>
      </c>
    </row>
    <row r="2047" spans="1:17" x14ac:dyDescent="0.2">
      <c r="A2047" s="30" t="str">
        <f>IF(C2047&amp;G2047&amp;D2047&lt;&gt;'Funnel setup'!$K$3&amp;'Funnel setup'!$K$4&amp;'Funnel setup'!$K$5,".",IF(A2046=".",1,A2046+1))</f>
        <v>.</v>
      </c>
      <c r="B2047" s="431" t="str">
        <f t="shared" si="31"/>
        <v>Hip Replacement PrimaryProviderNUFFIELD HEALTH, HEREFORD HOSPITAL (NT219)EQ-5D Index</v>
      </c>
      <c r="C2047" t="s">
        <v>248</v>
      </c>
      <c r="D2047" t="s">
        <v>1</v>
      </c>
      <c r="E2047" t="s">
        <v>3343</v>
      </c>
      <c r="F2047" t="s">
        <v>3344</v>
      </c>
      <c r="G2047" t="s">
        <v>52</v>
      </c>
      <c r="H2047">
        <v>63</v>
      </c>
      <c r="I2047">
        <v>0.39</v>
      </c>
      <c r="J2047">
        <v>0.84799999999999998</v>
      </c>
      <c r="K2047">
        <v>0.45800000000000002</v>
      </c>
      <c r="L2047">
        <v>57</v>
      </c>
      <c r="M2047">
        <v>4</v>
      </c>
      <c r="N2047">
        <v>2</v>
      </c>
      <c r="O2047">
        <v>0.83399999999999996</v>
      </c>
      <c r="P2047">
        <v>0.47201332200000001</v>
      </c>
      <c r="Q2047">
        <v>0.186</v>
      </c>
    </row>
    <row r="2048" spans="1:17" x14ac:dyDescent="0.2">
      <c r="A2048" s="30" t="str">
        <f>IF(C2048&amp;G2048&amp;D2048&lt;&gt;'Funnel setup'!$K$3&amp;'Funnel setup'!$K$4&amp;'Funnel setup'!$K$5,".",IF(A2047=".",1,A2047+1))</f>
        <v>.</v>
      </c>
      <c r="B2048" s="431" t="str">
        <f t="shared" si="31"/>
        <v>Hip Replacement PrimaryProviderNUFFIELD HEALTH, IPSWICH HOSPITAL (NT222)EQ-5D Index</v>
      </c>
      <c r="C2048" t="s">
        <v>248</v>
      </c>
      <c r="D2048" t="s">
        <v>1</v>
      </c>
      <c r="E2048" t="s">
        <v>3385</v>
      </c>
      <c r="F2048" t="s">
        <v>3386</v>
      </c>
      <c r="G2048" t="s">
        <v>52</v>
      </c>
      <c r="H2048">
        <v>129</v>
      </c>
      <c r="I2048">
        <v>0.245</v>
      </c>
      <c r="J2048">
        <v>0.84599999999999997</v>
      </c>
      <c r="K2048">
        <v>0.6</v>
      </c>
      <c r="L2048">
        <v>122</v>
      </c>
      <c r="M2048">
        <v>2</v>
      </c>
      <c r="N2048">
        <v>5</v>
      </c>
      <c r="O2048">
        <v>0.84199999999999997</v>
      </c>
      <c r="P2048">
        <v>0.48003857700000002</v>
      </c>
      <c r="Q2048">
        <v>0.215</v>
      </c>
    </row>
    <row r="2049" spans="1:17" x14ac:dyDescent="0.2">
      <c r="A2049" s="30" t="str">
        <f>IF(C2049&amp;G2049&amp;D2049&lt;&gt;'Funnel setup'!$K$3&amp;'Funnel setup'!$K$4&amp;'Funnel setup'!$K$5,".",IF(A2048=".",1,A2048+1))</f>
        <v>.</v>
      </c>
      <c r="B2049" s="431" t="str">
        <f t="shared" si="31"/>
        <v>Hip Replacement PrimaryProviderNUFFIELD HEALTH, LEEDS HOSPITAL (NT225)EQ-5D Index</v>
      </c>
      <c r="C2049" t="s">
        <v>248</v>
      </c>
      <c r="D2049" t="s">
        <v>1</v>
      </c>
      <c r="E2049" t="s">
        <v>3388</v>
      </c>
      <c r="F2049" t="s">
        <v>3389</v>
      </c>
      <c r="G2049" t="s">
        <v>52</v>
      </c>
      <c r="H2049">
        <v>115</v>
      </c>
      <c r="I2049">
        <v>0.38600000000000001</v>
      </c>
      <c r="J2049">
        <v>0.80600000000000005</v>
      </c>
      <c r="K2049">
        <v>0.42</v>
      </c>
      <c r="L2049">
        <v>108</v>
      </c>
      <c r="M2049">
        <v>3</v>
      </c>
      <c r="N2049">
        <v>4</v>
      </c>
      <c r="O2049">
        <v>0.79100000000000004</v>
      </c>
      <c r="P2049">
        <v>0.429134193</v>
      </c>
      <c r="Q2049">
        <v>0.20200000000000001</v>
      </c>
    </row>
    <row r="2050" spans="1:17" x14ac:dyDescent="0.2">
      <c r="A2050" s="30" t="str">
        <f>IF(C2050&amp;G2050&amp;D2050&lt;&gt;'Funnel setup'!$K$3&amp;'Funnel setup'!$K$4&amp;'Funnel setup'!$K$5,".",IF(A2049=".",1,A2049+1))</f>
        <v>.</v>
      </c>
      <c r="B2050" s="431" t="str">
        <f t="shared" si="31"/>
        <v>Hip Replacement PrimaryProviderNUFFIELD HEALTH, LEICESTER HOSPITAL (NT226)EQ-5D Index</v>
      </c>
      <c r="C2050" t="s">
        <v>248</v>
      </c>
      <c r="D2050" t="s">
        <v>1</v>
      </c>
      <c r="E2050" t="s">
        <v>3391</v>
      </c>
      <c r="F2050" t="s">
        <v>3392</v>
      </c>
      <c r="G2050" t="s">
        <v>52</v>
      </c>
      <c r="H2050">
        <v>26</v>
      </c>
      <c r="I2050">
        <v>0.48099999999999998</v>
      </c>
      <c r="J2050">
        <v>0.85499999999999998</v>
      </c>
      <c r="K2050">
        <v>0.374</v>
      </c>
      <c r="L2050">
        <v>23</v>
      </c>
      <c r="M2050">
        <v>1</v>
      </c>
      <c r="N2050">
        <v>2</v>
      </c>
      <c r="O2050" t="s">
        <v>53</v>
      </c>
      <c r="P2050" t="s">
        <v>53</v>
      </c>
      <c r="Q2050" t="s">
        <v>53</v>
      </c>
    </row>
    <row r="2051" spans="1:17" x14ac:dyDescent="0.2">
      <c r="A2051" s="30" t="str">
        <f>IF(C2051&amp;G2051&amp;D2051&lt;&gt;'Funnel setup'!$K$3&amp;'Funnel setup'!$K$4&amp;'Funnel setup'!$K$5,".",IF(A2050=".",1,A2050+1))</f>
        <v>.</v>
      </c>
      <c r="B2051" s="431" t="str">
        <f t="shared" ref="B2051:B2114" si="32">C2051&amp;D2051&amp;F2051&amp;G2051</f>
        <v>Hip Replacement PrimaryProviderNUFFIELD HEALTH, NEWCASTLE UPON TYNE HOSPITAL (NT229)EQ-5D Index</v>
      </c>
      <c r="C2051" t="s">
        <v>248</v>
      </c>
      <c r="D2051" t="s">
        <v>1</v>
      </c>
      <c r="E2051" t="s">
        <v>3394</v>
      </c>
      <c r="F2051" t="s">
        <v>3395</v>
      </c>
      <c r="G2051" t="s">
        <v>52</v>
      </c>
      <c r="H2051">
        <v>32</v>
      </c>
      <c r="I2051">
        <v>0.436</v>
      </c>
      <c r="J2051">
        <v>0.84399999999999997</v>
      </c>
      <c r="K2051">
        <v>0.40799999999999997</v>
      </c>
      <c r="L2051">
        <v>30</v>
      </c>
      <c r="M2051">
        <v>2</v>
      </c>
      <c r="N2051">
        <v>0</v>
      </c>
      <c r="O2051">
        <v>0.82499999999999996</v>
      </c>
      <c r="P2051">
        <v>0.46284093599999998</v>
      </c>
      <c r="Q2051">
        <v>0.182</v>
      </c>
    </row>
    <row r="2052" spans="1:17" x14ac:dyDescent="0.2">
      <c r="A2052" s="30" t="str">
        <f>IF(C2052&amp;G2052&amp;D2052&lt;&gt;'Funnel setup'!$K$3&amp;'Funnel setup'!$K$4&amp;'Funnel setup'!$K$5,".",IF(A2051=".",1,A2051+1))</f>
        <v>.</v>
      </c>
      <c r="B2052" s="431" t="str">
        <f t="shared" si="32"/>
        <v>Hip Replacement PrimaryProviderNUFFIELD HEALTH, NORTH STAFFORDSHIRE HOSPITAL (NT230)EQ-5D Index</v>
      </c>
      <c r="C2052" t="s">
        <v>248</v>
      </c>
      <c r="D2052" t="s">
        <v>1</v>
      </c>
      <c r="E2052" t="s">
        <v>3397</v>
      </c>
      <c r="F2052" t="s">
        <v>3398</v>
      </c>
      <c r="G2052" t="s">
        <v>52</v>
      </c>
      <c r="H2052">
        <v>126</v>
      </c>
      <c r="I2052">
        <v>0.34399999999999997</v>
      </c>
      <c r="J2052">
        <v>0.82699999999999996</v>
      </c>
      <c r="K2052">
        <v>0.48399999999999999</v>
      </c>
      <c r="L2052">
        <v>116</v>
      </c>
      <c r="M2052">
        <v>6</v>
      </c>
      <c r="N2052">
        <v>4</v>
      </c>
      <c r="O2052">
        <v>0.83699999999999997</v>
      </c>
      <c r="P2052">
        <v>0.47484503099999997</v>
      </c>
      <c r="Q2052">
        <v>0.183</v>
      </c>
    </row>
    <row r="2053" spans="1:17" x14ac:dyDescent="0.2">
      <c r="A2053" s="30" t="str">
        <f>IF(C2053&amp;G2053&amp;D2053&lt;&gt;'Funnel setup'!$K$3&amp;'Funnel setup'!$K$4&amp;'Funnel setup'!$K$5,".",IF(A2052=".",1,A2052+1))</f>
        <v>.</v>
      </c>
      <c r="B2053" s="431" t="str">
        <f t="shared" si="32"/>
        <v>Hip Replacement PrimaryProviderNUFFIELD HEALTH, PLYMOUTH HOSPITAL (NT233)EQ-5D Index</v>
      </c>
      <c r="C2053" t="s">
        <v>248</v>
      </c>
      <c r="D2053" t="s">
        <v>1</v>
      </c>
      <c r="E2053" t="s">
        <v>3400</v>
      </c>
      <c r="F2053" t="s">
        <v>3401</v>
      </c>
      <c r="G2053" t="s">
        <v>52</v>
      </c>
      <c r="H2053">
        <v>81</v>
      </c>
      <c r="I2053">
        <v>0.35599999999999998</v>
      </c>
      <c r="J2053">
        <v>0.79800000000000004</v>
      </c>
      <c r="K2053">
        <v>0.443</v>
      </c>
      <c r="L2053">
        <v>72</v>
      </c>
      <c r="M2053">
        <v>5</v>
      </c>
      <c r="N2053">
        <v>4</v>
      </c>
      <c r="O2053">
        <v>0.78300000000000003</v>
      </c>
      <c r="P2053">
        <v>0.42129551700000001</v>
      </c>
      <c r="Q2053">
        <v>0.24</v>
      </c>
    </row>
    <row r="2054" spans="1:17" x14ac:dyDescent="0.2">
      <c r="A2054" s="30" t="str">
        <f>IF(C2054&amp;G2054&amp;D2054&lt;&gt;'Funnel setup'!$K$3&amp;'Funnel setup'!$K$4&amp;'Funnel setup'!$K$5,".",IF(A2053=".",1,A2053+1))</f>
        <v>.</v>
      </c>
      <c r="B2054" s="431" t="str">
        <f t="shared" si="32"/>
        <v>Hip Replacement PrimaryProviderNUFFIELD HEALTH, SHREWSBURY HOSPITAL (NT235)EQ-5D Index</v>
      </c>
      <c r="C2054" t="s">
        <v>248</v>
      </c>
      <c r="D2054" t="s">
        <v>1</v>
      </c>
      <c r="E2054" t="s">
        <v>3240</v>
      </c>
      <c r="F2054" t="s">
        <v>3241</v>
      </c>
      <c r="G2054" t="s">
        <v>52</v>
      </c>
      <c r="H2054" t="s">
        <v>53</v>
      </c>
      <c r="I2054" t="s">
        <v>53</v>
      </c>
      <c r="J2054" t="s">
        <v>53</v>
      </c>
      <c r="K2054" t="s">
        <v>53</v>
      </c>
      <c r="L2054" t="s">
        <v>53</v>
      </c>
      <c r="M2054" t="s">
        <v>53</v>
      </c>
      <c r="N2054" t="s">
        <v>53</v>
      </c>
      <c r="O2054" t="s">
        <v>53</v>
      </c>
      <c r="P2054" t="s">
        <v>53</v>
      </c>
      <c r="Q2054" t="s">
        <v>53</v>
      </c>
    </row>
    <row r="2055" spans="1:17" x14ac:dyDescent="0.2">
      <c r="A2055" s="30" t="str">
        <f>IF(C2055&amp;G2055&amp;D2055&lt;&gt;'Funnel setup'!$K$3&amp;'Funnel setup'!$K$4&amp;'Funnel setup'!$K$5,".",IF(A2054=".",1,A2054+1))</f>
        <v>.</v>
      </c>
      <c r="B2055" s="431" t="str">
        <f t="shared" si="32"/>
        <v>Hip Replacement PrimaryProviderNUFFIELD HEALTH, TAUNTON HOSPITAL (NT238)EQ-5D Index</v>
      </c>
      <c r="C2055" t="s">
        <v>248</v>
      </c>
      <c r="D2055" t="s">
        <v>1</v>
      </c>
      <c r="E2055" t="s">
        <v>3243</v>
      </c>
      <c r="F2055" t="s">
        <v>3244</v>
      </c>
      <c r="G2055" t="s">
        <v>52</v>
      </c>
      <c r="H2055">
        <v>74</v>
      </c>
      <c r="I2055">
        <v>0.41399999999999998</v>
      </c>
      <c r="J2055">
        <v>0.84599999999999997</v>
      </c>
      <c r="K2055">
        <v>0.43099999999999999</v>
      </c>
      <c r="L2055">
        <v>70</v>
      </c>
      <c r="M2055">
        <v>3</v>
      </c>
      <c r="N2055">
        <v>1</v>
      </c>
      <c r="O2055">
        <v>0.81399999999999995</v>
      </c>
      <c r="P2055">
        <v>0.45206453099999999</v>
      </c>
      <c r="Q2055">
        <v>0.2</v>
      </c>
    </row>
    <row r="2056" spans="1:17" x14ac:dyDescent="0.2">
      <c r="A2056" s="30" t="str">
        <f>IF(C2056&amp;G2056&amp;D2056&lt;&gt;'Funnel setup'!$K$3&amp;'Funnel setup'!$K$4&amp;'Funnel setup'!$K$5,".",IF(A2055=".",1,A2055+1))</f>
        <v>.</v>
      </c>
      <c r="B2056" s="431" t="str">
        <f t="shared" si="32"/>
        <v>Hip Replacement PrimaryProviderNUFFIELD HEALTH, TEES HOSPITAL (NT237)EQ-5D Index</v>
      </c>
      <c r="C2056" t="s">
        <v>248</v>
      </c>
      <c r="D2056" t="s">
        <v>1</v>
      </c>
      <c r="E2056" t="s">
        <v>3246</v>
      </c>
      <c r="F2056" t="s">
        <v>3247</v>
      </c>
      <c r="G2056" t="s">
        <v>52</v>
      </c>
      <c r="H2056">
        <v>93</v>
      </c>
      <c r="I2056">
        <v>0.45600000000000002</v>
      </c>
      <c r="J2056">
        <v>0.80600000000000005</v>
      </c>
      <c r="K2056">
        <v>0.35099999999999998</v>
      </c>
      <c r="L2056">
        <v>81</v>
      </c>
      <c r="M2056">
        <v>4</v>
      </c>
      <c r="N2056">
        <v>8</v>
      </c>
      <c r="O2056">
        <v>0.78</v>
      </c>
      <c r="P2056">
        <v>0.41827040100000001</v>
      </c>
      <c r="Q2056">
        <v>0.218</v>
      </c>
    </row>
    <row r="2057" spans="1:17" x14ac:dyDescent="0.2">
      <c r="A2057" s="30" t="str">
        <f>IF(C2057&amp;G2057&amp;D2057&lt;&gt;'Funnel setup'!$K$3&amp;'Funnel setup'!$K$4&amp;'Funnel setup'!$K$5,".",IF(A2056=".",1,A2056+1))</f>
        <v>.</v>
      </c>
      <c r="B2057" s="431" t="str">
        <f t="shared" si="32"/>
        <v>Hip Replacement PrimaryProviderNUFFIELD HEALTH, THE GROSVENOR HOSPITAL, CHESTER (NT210)EQ-5D Index</v>
      </c>
      <c r="C2057" t="s">
        <v>248</v>
      </c>
      <c r="D2057" t="s">
        <v>1</v>
      </c>
      <c r="E2057" t="s">
        <v>3249</v>
      </c>
      <c r="F2057" t="s">
        <v>3250</v>
      </c>
      <c r="G2057" t="s">
        <v>52</v>
      </c>
      <c r="H2057">
        <v>58</v>
      </c>
      <c r="I2057">
        <v>0.35</v>
      </c>
      <c r="J2057">
        <v>0.83799999999999997</v>
      </c>
      <c r="K2057">
        <v>0.48799999999999999</v>
      </c>
      <c r="L2057">
        <v>57</v>
      </c>
      <c r="M2057">
        <v>0</v>
      </c>
      <c r="N2057">
        <v>1</v>
      </c>
      <c r="O2057">
        <v>0.80500000000000005</v>
      </c>
      <c r="P2057">
        <v>0.44297240399999999</v>
      </c>
      <c r="Q2057">
        <v>0.161</v>
      </c>
    </row>
    <row r="2058" spans="1:17" x14ac:dyDescent="0.2">
      <c r="A2058" s="30" t="str">
        <f>IF(C2058&amp;G2058&amp;D2058&lt;&gt;'Funnel setup'!$K$3&amp;'Funnel setup'!$K$4&amp;'Funnel setup'!$K$5,".",IF(A2057=".",1,A2057+1))</f>
        <v>.</v>
      </c>
      <c r="B2058" s="431" t="str">
        <f t="shared" si="32"/>
        <v>Hip Replacement PrimaryProviderNUFFIELD HEALTH, TUNBRIDGE WELLS HOSPITAL (NT239)EQ-5D Index</v>
      </c>
      <c r="C2058" t="s">
        <v>248</v>
      </c>
      <c r="D2058" t="s">
        <v>1</v>
      </c>
      <c r="E2058" t="s">
        <v>3252</v>
      </c>
      <c r="F2058" t="s">
        <v>3253</v>
      </c>
      <c r="G2058" t="s">
        <v>52</v>
      </c>
      <c r="H2058" t="s">
        <v>53</v>
      </c>
      <c r="I2058" t="s">
        <v>53</v>
      </c>
      <c r="J2058" t="s">
        <v>53</v>
      </c>
      <c r="K2058" t="s">
        <v>53</v>
      </c>
      <c r="L2058" t="s">
        <v>53</v>
      </c>
      <c r="M2058" t="s">
        <v>53</v>
      </c>
      <c r="N2058" t="s">
        <v>53</v>
      </c>
      <c r="O2058" t="s">
        <v>53</v>
      </c>
      <c r="P2058" t="s">
        <v>53</v>
      </c>
      <c r="Q2058" t="s">
        <v>53</v>
      </c>
    </row>
    <row r="2059" spans="1:17" x14ac:dyDescent="0.2">
      <c r="A2059" s="30" t="str">
        <f>IF(C2059&amp;G2059&amp;D2059&lt;&gt;'Funnel setup'!$K$3&amp;'Funnel setup'!$K$4&amp;'Funnel setup'!$K$5,".",IF(A2058=".",1,A2058+1))</f>
        <v>.</v>
      </c>
      <c r="B2059" s="431" t="str">
        <f t="shared" si="32"/>
        <v>Hip Replacement PrimaryProviderNUFFIELD HEALTH, WARWICKSHIRE HOSPITAL (NT224)EQ-5D Index</v>
      </c>
      <c r="C2059" t="s">
        <v>248</v>
      </c>
      <c r="D2059" t="s">
        <v>1</v>
      </c>
      <c r="E2059" t="s">
        <v>3255</v>
      </c>
      <c r="F2059" t="s">
        <v>3256</v>
      </c>
      <c r="G2059" t="s">
        <v>52</v>
      </c>
      <c r="H2059">
        <v>10</v>
      </c>
      <c r="I2059">
        <v>0.47599999999999998</v>
      </c>
      <c r="J2059">
        <v>0.88700000000000001</v>
      </c>
      <c r="K2059">
        <v>0.41099999999999998</v>
      </c>
      <c r="L2059">
        <v>9</v>
      </c>
      <c r="M2059">
        <v>1</v>
      </c>
      <c r="N2059">
        <v>0</v>
      </c>
      <c r="O2059" t="s">
        <v>53</v>
      </c>
      <c r="P2059" t="s">
        <v>53</v>
      </c>
      <c r="Q2059" t="s">
        <v>53</v>
      </c>
    </row>
    <row r="2060" spans="1:17" x14ac:dyDescent="0.2">
      <c r="A2060" s="30" t="str">
        <f>IF(C2060&amp;G2060&amp;D2060&lt;&gt;'Funnel setup'!$K$3&amp;'Funnel setup'!$K$4&amp;'Funnel setup'!$K$5,".",IF(A2059=".",1,A2059+1))</f>
        <v>.</v>
      </c>
      <c r="B2060" s="431" t="str">
        <f t="shared" si="32"/>
        <v>Hip Replacement PrimaryProviderNUFFIELD HEALTH, WESSEX HOSPITAL (NT214)EQ-5D Index</v>
      </c>
      <c r="C2060" t="s">
        <v>248</v>
      </c>
      <c r="D2060" t="s">
        <v>1</v>
      </c>
      <c r="E2060" t="s">
        <v>3258</v>
      </c>
      <c r="F2060" t="s">
        <v>3259</v>
      </c>
      <c r="G2060" t="s">
        <v>52</v>
      </c>
      <c r="H2060">
        <v>34</v>
      </c>
      <c r="I2060">
        <v>0.35499999999999998</v>
      </c>
      <c r="J2060">
        <v>0.86099999999999999</v>
      </c>
      <c r="K2060">
        <v>0.50600000000000001</v>
      </c>
      <c r="L2060">
        <v>31</v>
      </c>
      <c r="M2060">
        <v>2</v>
      </c>
      <c r="N2060">
        <v>1</v>
      </c>
      <c r="O2060">
        <v>0.83299999999999996</v>
      </c>
      <c r="P2060">
        <v>0.471365117</v>
      </c>
      <c r="Q2060">
        <v>0.17299999999999999</v>
      </c>
    </row>
    <row r="2061" spans="1:17" x14ac:dyDescent="0.2">
      <c r="A2061" s="30" t="str">
        <f>IF(C2061&amp;G2061&amp;D2061&lt;&gt;'Funnel setup'!$K$3&amp;'Funnel setup'!$K$4&amp;'Funnel setup'!$K$5,".",IF(A2060=".",1,A2060+1))</f>
        <v>.</v>
      </c>
      <c r="B2061" s="431" t="str">
        <f t="shared" si="32"/>
        <v>Hip Replacement PrimaryProviderNUFFIELD HEALTH, WOKING HOSPITAL (NT241)EQ-5D Index</v>
      </c>
      <c r="C2061" t="s">
        <v>248</v>
      </c>
      <c r="D2061" t="s">
        <v>1</v>
      </c>
      <c r="E2061" t="s">
        <v>3261</v>
      </c>
      <c r="F2061" t="s">
        <v>3262</v>
      </c>
      <c r="G2061" t="s">
        <v>52</v>
      </c>
      <c r="H2061">
        <v>6</v>
      </c>
      <c r="I2061">
        <v>0.52</v>
      </c>
      <c r="J2061">
        <v>0.79500000000000004</v>
      </c>
      <c r="K2061">
        <v>0.27500000000000002</v>
      </c>
      <c r="L2061">
        <v>5</v>
      </c>
      <c r="M2061">
        <v>1</v>
      </c>
      <c r="N2061">
        <v>0</v>
      </c>
      <c r="O2061" t="s">
        <v>53</v>
      </c>
      <c r="P2061" t="s">
        <v>53</v>
      </c>
      <c r="Q2061" t="s">
        <v>53</v>
      </c>
    </row>
    <row r="2062" spans="1:17" x14ac:dyDescent="0.2">
      <c r="A2062" s="30" t="str">
        <f>IF(C2062&amp;G2062&amp;D2062&lt;&gt;'Funnel setup'!$K$3&amp;'Funnel setup'!$K$4&amp;'Funnel setup'!$K$5,".",IF(A2061=".",1,A2061+1))</f>
        <v>.</v>
      </c>
      <c r="B2062" s="431" t="str">
        <f t="shared" si="32"/>
        <v>Hip Replacement PrimaryProviderNUFFIELD HEALTH, WOLVERHAMPTON HOSPITAL (NT242)EQ-5D Index</v>
      </c>
      <c r="C2062" t="s">
        <v>248</v>
      </c>
      <c r="D2062" t="s">
        <v>1</v>
      </c>
      <c r="E2062" t="s">
        <v>3264</v>
      </c>
      <c r="F2062" t="s">
        <v>3265</v>
      </c>
      <c r="G2062" t="s">
        <v>52</v>
      </c>
      <c r="H2062">
        <v>78</v>
      </c>
      <c r="I2062">
        <v>0.41699999999999998</v>
      </c>
      <c r="J2062">
        <v>0.85499999999999998</v>
      </c>
      <c r="K2062">
        <v>0.439</v>
      </c>
      <c r="L2062">
        <v>70</v>
      </c>
      <c r="M2062">
        <v>5</v>
      </c>
      <c r="N2062">
        <v>3</v>
      </c>
      <c r="O2062">
        <v>0.84099999999999997</v>
      </c>
      <c r="P2062">
        <v>0.47968454500000002</v>
      </c>
      <c r="Q2062">
        <v>0.16900000000000001</v>
      </c>
    </row>
    <row r="2063" spans="1:17" x14ac:dyDescent="0.2">
      <c r="A2063" s="30" t="str">
        <f>IF(C2063&amp;G2063&amp;D2063&lt;&gt;'Funnel setup'!$K$3&amp;'Funnel setup'!$K$4&amp;'Funnel setup'!$K$5,".",IF(A2062=".",1,A2062+1))</f>
        <v>.</v>
      </c>
      <c r="B2063" s="431" t="str">
        <f t="shared" si="32"/>
        <v>Hip Replacement PrimaryProviderNUFFIELD HEALTH, YORK HOSPITAL (NT245)EQ-5D Index</v>
      </c>
      <c r="C2063" t="s">
        <v>248</v>
      </c>
      <c r="D2063" t="s">
        <v>1</v>
      </c>
      <c r="E2063" t="s">
        <v>4299</v>
      </c>
      <c r="F2063" t="s">
        <v>4300</v>
      </c>
      <c r="G2063" t="s">
        <v>52</v>
      </c>
      <c r="H2063">
        <v>100</v>
      </c>
      <c r="I2063">
        <v>0.40300000000000002</v>
      </c>
      <c r="J2063">
        <v>0.84799999999999998</v>
      </c>
      <c r="K2063">
        <v>0.44400000000000001</v>
      </c>
      <c r="L2063">
        <v>96</v>
      </c>
      <c r="M2063">
        <v>2</v>
      </c>
      <c r="N2063">
        <v>2</v>
      </c>
      <c r="O2063">
        <v>0.80300000000000005</v>
      </c>
      <c r="P2063">
        <v>0.441509655</v>
      </c>
      <c r="Q2063">
        <v>0.182</v>
      </c>
    </row>
    <row r="2064" spans="1:17" x14ac:dyDescent="0.2">
      <c r="A2064" s="30" t="str">
        <f>IF(C2064&amp;G2064&amp;D2064&lt;&gt;'Funnel setup'!$K$3&amp;'Funnel setup'!$K$4&amp;'Funnel setup'!$K$5,".",IF(A2063=".",1,A2063+1))</f>
        <v>.</v>
      </c>
      <c r="B2064" s="431" t="str">
        <f t="shared" si="32"/>
        <v>Hip Replacement PrimaryProviderNUFFIELD HOSPITAL OXFORD (THE MANOR) (NT244)EQ-5D Index</v>
      </c>
      <c r="C2064" t="s">
        <v>248</v>
      </c>
      <c r="D2064" t="s">
        <v>1</v>
      </c>
      <c r="E2064" t="s">
        <v>4302</v>
      </c>
      <c r="F2064" t="s">
        <v>4303</v>
      </c>
      <c r="G2064" t="s">
        <v>52</v>
      </c>
      <c r="H2064">
        <v>28</v>
      </c>
      <c r="I2064">
        <v>0.41899999999999998</v>
      </c>
      <c r="J2064">
        <v>0.90700000000000003</v>
      </c>
      <c r="K2064">
        <v>0.48699999999999999</v>
      </c>
      <c r="L2064">
        <v>26</v>
      </c>
      <c r="M2064">
        <v>2</v>
      </c>
      <c r="N2064">
        <v>0</v>
      </c>
      <c r="O2064" t="s">
        <v>53</v>
      </c>
      <c r="P2064" t="s">
        <v>53</v>
      </c>
      <c r="Q2064" t="s">
        <v>53</v>
      </c>
    </row>
    <row r="2065" spans="1:17" x14ac:dyDescent="0.2">
      <c r="A2065" s="30" t="str">
        <f>IF(C2065&amp;G2065&amp;D2065&lt;&gt;'Funnel setup'!$K$3&amp;'Funnel setup'!$K$4&amp;'Funnel setup'!$K$5,".",IF(A2064=".",1,A2064+1))</f>
        <v>.</v>
      </c>
      <c r="B2065" s="431" t="str">
        <f t="shared" si="32"/>
        <v>Hip Replacement PrimaryProviderOAKLANDS HOSPITAL (NVC12)EQ-5D Index</v>
      </c>
      <c r="C2065" t="s">
        <v>248</v>
      </c>
      <c r="D2065" t="s">
        <v>1</v>
      </c>
      <c r="E2065" t="s">
        <v>3267</v>
      </c>
      <c r="F2065" t="s">
        <v>3268</v>
      </c>
      <c r="G2065" t="s">
        <v>52</v>
      </c>
      <c r="H2065">
        <v>44</v>
      </c>
      <c r="I2065">
        <v>0.30499999999999999</v>
      </c>
      <c r="J2065">
        <v>0.78800000000000003</v>
      </c>
      <c r="K2065">
        <v>0.48299999999999998</v>
      </c>
      <c r="L2065">
        <v>38</v>
      </c>
      <c r="M2065">
        <v>4</v>
      </c>
      <c r="N2065">
        <v>2</v>
      </c>
      <c r="O2065">
        <v>0.79900000000000004</v>
      </c>
      <c r="P2065">
        <v>0.43779074200000001</v>
      </c>
      <c r="Q2065">
        <v>0.24299999999999999</v>
      </c>
    </row>
    <row r="2066" spans="1:17" x14ac:dyDescent="0.2">
      <c r="A2066" s="30" t="str">
        <f>IF(C2066&amp;G2066&amp;D2066&lt;&gt;'Funnel setup'!$K$3&amp;'Funnel setup'!$K$4&amp;'Funnel setup'!$K$5,".",IF(A2065=".",1,A2065+1))</f>
        <v>.</v>
      </c>
      <c r="B2066" s="431" t="str">
        <f t="shared" si="32"/>
        <v>Hip Replacement PrimaryProviderOAKS HOSPITAL (NVC13)EQ-5D Index</v>
      </c>
      <c r="C2066" t="s">
        <v>248</v>
      </c>
      <c r="D2066" t="s">
        <v>1</v>
      </c>
      <c r="E2066" t="s">
        <v>3270</v>
      </c>
      <c r="F2066" t="s">
        <v>3271</v>
      </c>
      <c r="G2066" t="s">
        <v>52</v>
      </c>
      <c r="H2066">
        <v>114</v>
      </c>
      <c r="I2066">
        <v>0.42499999999999999</v>
      </c>
      <c r="J2066">
        <v>0.82099999999999995</v>
      </c>
      <c r="K2066">
        <v>0.39600000000000002</v>
      </c>
      <c r="L2066">
        <v>104</v>
      </c>
      <c r="M2066">
        <v>5</v>
      </c>
      <c r="N2066">
        <v>5</v>
      </c>
      <c r="O2066">
        <v>0.79800000000000004</v>
      </c>
      <c r="P2066">
        <v>0.436088056</v>
      </c>
      <c r="Q2066">
        <v>0.192</v>
      </c>
    </row>
    <row r="2067" spans="1:17" x14ac:dyDescent="0.2">
      <c r="A2067" s="30" t="str">
        <f>IF(C2067&amp;G2067&amp;D2067&lt;&gt;'Funnel setup'!$K$3&amp;'Funnel setup'!$K$4&amp;'Funnel setup'!$K$5,".",IF(A2066=".",1,A2066+1))</f>
        <v>.</v>
      </c>
      <c r="B2067" s="431" t="str">
        <f t="shared" si="32"/>
        <v>Hip Replacement PrimaryProviderONE HEALTH GROUP LTD (NTX01)EQ-5D Index</v>
      </c>
      <c r="C2067" t="s">
        <v>248</v>
      </c>
      <c r="D2067" t="s">
        <v>1</v>
      </c>
      <c r="E2067" t="s">
        <v>6507</v>
      </c>
      <c r="F2067" t="s">
        <v>6508</v>
      </c>
      <c r="G2067" t="s">
        <v>52</v>
      </c>
      <c r="H2067">
        <v>31</v>
      </c>
      <c r="I2067">
        <v>0.255</v>
      </c>
      <c r="J2067">
        <v>0.754</v>
      </c>
      <c r="K2067">
        <v>0.498</v>
      </c>
      <c r="L2067">
        <v>28</v>
      </c>
      <c r="M2067">
        <v>2</v>
      </c>
      <c r="N2067">
        <v>1</v>
      </c>
      <c r="O2067">
        <v>0.77500000000000002</v>
      </c>
      <c r="P2067">
        <v>0.41338461900000001</v>
      </c>
      <c r="Q2067">
        <v>0.26200000000000001</v>
      </c>
    </row>
    <row r="2068" spans="1:17" x14ac:dyDescent="0.2">
      <c r="A2068" s="30" t="str">
        <f>IF(C2068&amp;G2068&amp;D2068&lt;&gt;'Funnel setup'!$K$3&amp;'Funnel setup'!$K$4&amp;'Funnel setup'!$K$5,".",IF(A2067=".",1,A2067+1))</f>
        <v>.</v>
      </c>
      <c r="B2068" s="431" t="str">
        <f t="shared" si="32"/>
        <v>Hip Replacement PrimaryProviderOXFORD UNIVERSITY HOSPITALS NHS FOUNDATION TRUST (RTH)EQ-5D Index</v>
      </c>
      <c r="C2068" t="s">
        <v>248</v>
      </c>
      <c r="D2068" t="s">
        <v>1</v>
      </c>
      <c r="E2068" t="s">
        <v>3278</v>
      </c>
      <c r="F2068" t="s">
        <v>6578</v>
      </c>
      <c r="G2068" t="s">
        <v>52</v>
      </c>
      <c r="H2068">
        <v>500</v>
      </c>
      <c r="I2068">
        <v>0.374</v>
      </c>
      <c r="J2068">
        <v>0.80600000000000005</v>
      </c>
      <c r="K2068">
        <v>0.432</v>
      </c>
      <c r="L2068">
        <v>450</v>
      </c>
      <c r="M2068">
        <v>27</v>
      </c>
      <c r="N2068">
        <v>23</v>
      </c>
      <c r="O2068">
        <v>0.80400000000000005</v>
      </c>
      <c r="P2068">
        <v>0.442364814</v>
      </c>
      <c r="Q2068">
        <v>0.218</v>
      </c>
    </row>
    <row r="2069" spans="1:17" x14ac:dyDescent="0.2">
      <c r="A2069" s="30" t="str">
        <f>IF(C2069&amp;G2069&amp;D2069&lt;&gt;'Funnel setup'!$K$3&amp;'Funnel setup'!$K$4&amp;'Funnel setup'!$K$5,".",IF(A2068=".",1,A2068+1))</f>
        <v>.</v>
      </c>
      <c r="B2069" s="431" t="str">
        <f t="shared" si="32"/>
        <v>Hip Replacement PrimaryProviderPARK HILL HOSPITAL (NVC14)EQ-5D Index</v>
      </c>
      <c r="C2069" t="s">
        <v>248</v>
      </c>
      <c r="D2069" t="s">
        <v>1</v>
      </c>
      <c r="E2069" t="s">
        <v>3280</v>
      </c>
      <c r="F2069" t="s">
        <v>3281</v>
      </c>
      <c r="G2069" t="s">
        <v>52</v>
      </c>
      <c r="H2069">
        <v>23</v>
      </c>
      <c r="I2069">
        <v>0.28799999999999998</v>
      </c>
      <c r="J2069">
        <v>0.77</v>
      </c>
      <c r="K2069">
        <v>0.48199999999999998</v>
      </c>
      <c r="L2069">
        <v>20</v>
      </c>
      <c r="M2069">
        <v>1</v>
      </c>
      <c r="N2069">
        <v>2</v>
      </c>
      <c r="O2069" t="s">
        <v>53</v>
      </c>
      <c r="P2069" t="s">
        <v>53</v>
      </c>
      <c r="Q2069" t="s">
        <v>53</v>
      </c>
    </row>
    <row r="2070" spans="1:17" x14ac:dyDescent="0.2">
      <c r="A2070" s="30" t="str">
        <f>IF(C2070&amp;G2070&amp;D2070&lt;&gt;'Funnel setup'!$K$3&amp;'Funnel setup'!$K$4&amp;'Funnel setup'!$K$5,".",IF(A2069=".",1,A2069+1))</f>
        <v>.</v>
      </c>
      <c r="B2070" s="431" t="str">
        <f t="shared" si="32"/>
        <v>Hip Replacement PrimaryProviderPENINSULA NHS TREATMENT CENTRE (NTPH5)EQ-5D Index</v>
      </c>
      <c r="C2070" t="s">
        <v>248</v>
      </c>
      <c r="D2070" t="s">
        <v>1</v>
      </c>
      <c r="E2070" t="s">
        <v>4285</v>
      </c>
      <c r="F2070" t="s">
        <v>4286</v>
      </c>
      <c r="G2070" t="s">
        <v>52</v>
      </c>
      <c r="H2070">
        <v>193</v>
      </c>
      <c r="I2070">
        <v>0.504</v>
      </c>
      <c r="J2070">
        <v>0.875</v>
      </c>
      <c r="K2070">
        <v>0.371</v>
      </c>
      <c r="L2070">
        <v>176</v>
      </c>
      <c r="M2070">
        <v>6</v>
      </c>
      <c r="N2070">
        <v>11</v>
      </c>
      <c r="O2070">
        <v>0.83199999999999996</v>
      </c>
      <c r="P2070">
        <v>0.470263186</v>
      </c>
      <c r="Q2070">
        <v>0.17499999999999999</v>
      </c>
    </row>
    <row r="2071" spans="1:17" x14ac:dyDescent="0.2">
      <c r="A2071" s="30" t="str">
        <f>IF(C2071&amp;G2071&amp;D2071&lt;&gt;'Funnel setup'!$K$3&amp;'Funnel setup'!$K$4&amp;'Funnel setup'!$K$5,".",IF(A2070=".",1,A2070+1))</f>
        <v>.</v>
      </c>
      <c r="B2071" s="431" t="str">
        <f t="shared" si="32"/>
        <v>Hip Replacement PrimaryProviderPENNINE ACUTE HOSPITALS NHS TRUST (RW6)EQ-5D Index</v>
      </c>
      <c r="C2071" t="s">
        <v>248</v>
      </c>
      <c r="D2071" t="s">
        <v>1</v>
      </c>
      <c r="E2071" t="s">
        <v>3216</v>
      </c>
      <c r="F2071" t="s">
        <v>3217</v>
      </c>
      <c r="G2071" t="s">
        <v>52</v>
      </c>
      <c r="H2071">
        <v>129</v>
      </c>
      <c r="I2071">
        <v>0.19500000000000001</v>
      </c>
      <c r="J2071">
        <v>0.72099999999999997</v>
      </c>
      <c r="K2071">
        <v>0.52600000000000002</v>
      </c>
      <c r="L2071">
        <v>116</v>
      </c>
      <c r="M2071">
        <v>9</v>
      </c>
      <c r="N2071">
        <v>4</v>
      </c>
      <c r="O2071">
        <v>0.79100000000000004</v>
      </c>
      <c r="P2071">
        <v>0.42947257799999999</v>
      </c>
      <c r="Q2071">
        <v>0.26700000000000002</v>
      </c>
    </row>
    <row r="2072" spans="1:17" x14ac:dyDescent="0.2">
      <c r="A2072" s="30" t="str">
        <f>IF(C2072&amp;G2072&amp;D2072&lt;&gt;'Funnel setup'!$K$3&amp;'Funnel setup'!$K$4&amp;'Funnel setup'!$K$5,".",IF(A2071=".",1,A2071+1))</f>
        <v>.</v>
      </c>
      <c r="B2072" s="431" t="str">
        <f t="shared" si="32"/>
        <v>Hip Replacement PrimaryProviderPETERBOROUGH AND STAMFORD HOSPITALS NHS FOUNDATION TRUST (RGN)EQ-5D Index</v>
      </c>
      <c r="C2072" t="s">
        <v>248</v>
      </c>
      <c r="D2072" t="s">
        <v>1</v>
      </c>
      <c r="E2072" t="s">
        <v>3219</v>
      </c>
      <c r="F2072" t="s">
        <v>3220</v>
      </c>
      <c r="G2072" t="s">
        <v>52</v>
      </c>
      <c r="H2072">
        <v>176</v>
      </c>
      <c r="I2072">
        <v>0.32300000000000001</v>
      </c>
      <c r="J2072">
        <v>0.76400000000000001</v>
      </c>
      <c r="K2072">
        <v>0.441</v>
      </c>
      <c r="L2072">
        <v>152</v>
      </c>
      <c r="M2072">
        <v>10</v>
      </c>
      <c r="N2072">
        <v>14</v>
      </c>
      <c r="O2072">
        <v>0.77100000000000002</v>
      </c>
      <c r="P2072">
        <v>0.40894392000000002</v>
      </c>
      <c r="Q2072">
        <v>0.22</v>
      </c>
    </row>
    <row r="2073" spans="1:17" x14ac:dyDescent="0.2">
      <c r="A2073" s="30" t="str">
        <f>IF(C2073&amp;G2073&amp;D2073&lt;&gt;'Funnel setup'!$K$3&amp;'Funnel setup'!$K$4&amp;'Funnel setup'!$K$5,".",IF(A2072=".",1,A2072+1))</f>
        <v>.</v>
      </c>
      <c r="B2073" s="431" t="str">
        <f t="shared" si="32"/>
        <v>Hip Replacement PrimaryProviderPINEHILL HOSPITAL (NVC15)EQ-5D Index</v>
      </c>
      <c r="C2073" t="s">
        <v>248</v>
      </c>
      <c r="D2073" t="s">
        <v>1</v>
      </c>
      <c r="E2073" t="s">
        <v>3222</v>
      </c>
      <c r="F2073" t="s">
        <v>3223</v>
      </c>
      <c r="G2073" t="s">
        <v>52</v>
      </c>
      <c r="H2073">
        <v>75</v>
      </c>
      <c r="I2073">
        <v>0.38300000000000001</v>
      </c>
      <c r="J2073">
        <v>0.81899999999999995</v>
      </c>
      <c r="K2073">
        <v>0.436</v>
      </c>
      <c r="L2073">
        <v>70</v>
      </c>
      <c r="M2073">
        <v>2</v>
      </c>
      <c r="N2073">
        <v>3</v>
      </c>
      <c r="O2073">
        <v>0.8</v>
      </c>
      <c r="P2073">
        <v>0.438666746</v>
      </c>
      <c r="Q2073">
        <v>0.19</v>
      </c>
    </row>
    <row r="2074" spans="1:17" x14ac:dyDescent="0.2">
      <c r="A2074" s="30" t="str">
        <f>IF(C2074&amp;G2074&amp;D2074&lt;&gt;'Funnel setup'!$K$3&amp;'Funnel setup'!$K$4&amp;'Funnel setup'!$K$5,".",IF(A2073=".",1,A2073+1))</f>
        <v>.</v>
      </c>
      <c r="B2074" s="431" t="str">
        <f t="shared" si="32"/>
        <v>Hip Replacement PrimaryProviderPLYMOUTH HOSPITALS NHS TRUST (RK9)EQ-5D Index</v>
      </c>
      <c r="C2074" t="s">
        <v>248</v>
      </c>
      <c r="D2074" t="s">
        <v>1</v>
      </c>
      <c r="E2074" t="s">
        <v>3225</v>
      </c>
      <c r="F2074" t="s">
        <v>3226</v>
      </c>
      <c r="G2074" t="s">
        <v>52</v>
      </c>
      <c r="H2074">
        <v>196</v>
      </c>
      <c r="I2074">
        <v>0.313</v>
      </c>
      <c r="J2074">
        <v>0.74199999999999999</v>
      </c>
      <c r="K2074">
        <v>0.42899999999999999</v>
      </c>
      <c r="L2074">
        <v>179</v>
      </c>
      <c r="M2074">
        <v>8</v>
      </c>
      <c r="N2074">
        <v>9</v>
      </c>
      <c r="O2074">
        <v>0.77100000000000002</v>
      </c>
      <c r="P2074">
        <v>0.409278535</v>
      </c>
      <c r="Q2074">
        <v>0.23400000000000001</v>
      </c>
    </row>
    <row r="2075" spans="1:17" x14ac:dyDescent="0.2">
      <c r="A2075" s="30" t="str">
        <f>IF(C2075&amp;G2075&amp;D2075&lt;&gt;'Funnel setup'!$K$3&amp;'Funnel setup'!$K$4&amp;'Funnel setup'!$K$5,".",IF(A2074=".",1,A2074+1))</f>
        <v>.</v>
      </c>
      <c r="B2075" s="431" t="str">
        <f t="shared" si="32"/>
        <v>Hip Replacement PrimaryProviderPORTSMOUTH HOSPITALS NHS TRUST (RHU)EQ-5D Index</v>
      </c>
      <c r="C2075" t="s">
        <v>248</v>
      </c>
      <c r="D2075" t="s">
        <v>1</v>
      </c>
      <c r="E2075" t="s">
        <v>3234</v>
      </c>
      <c r="F2075" t="s">
        <v>3235</v>
      </c>
      <c r="G2075" t="s">
        <v>52</v>
      </c>
      <c r="H2075">
        <v>181</v>
      </c>
      <c r="I2075">
        <v>0.29699999999999999</v>
      </c>
      <c r="J2075">
        <v>0.76200000000000001</v>
      </c>
      <c r="K2075">
        <v>0.46500000000000002</v>
      </c>
      <c r="L2075">
        <v>163</v>
      </c>
      <c r="M2075">
        <v>8</v>
      </c>
      <c r="N2075">
        <v>10</v>
      </c>
      <c r="O2075">
        <v>0.78500000000000003</v>
      </c>
      <c r="P2075">
        <v>0.423027072</v>
      </c>
      <c r="Q2075">
        <v>0.26600000000000001</v>
      </c>
    </row>
    <row r="2076" spans="1:17" x14ac:dyDescent="0.2">
      <c r="A2076" s="30" t="str">
        <f>IF(C2076&amp;G2076&amp;D2076&lt;&gt;'Funnel setup'!$K$3&amp;'Funnel setup'!$K$4&amp;'Funnel setup'!$K$5,".",IF(A2075=".",1,A2075+1))</f>
        <v>.</v>
      </c>
      <c r="B2076" s="431" t="str">
        <f t="shared" si="32"/>
        <v>Hip Replacement PrimaryProviderRENACRES HOSPITAL (NVC16)EQ-5D Index</v>
      </c>
      <c r="C2076" t="s">
        <v>248</v>
      </c>
      <c r="D2076" t="s">
        <v>1</v>
      </c>
      <c r="E2076" t="s">
        <v>3237</v>
      </c>
      <c r="F2076" t="s">
        <v>3238</v>
      </c>
      <c r="G2076" t="s">
        <v>52</v>
      </c>
      <c r="H2076">
        <v>46</v>
      </c>
      <c r="I2076">
        <v>0.49099999999999999</v>
      </c>
      <c r="J2076">
        <v>0.82499999999999996</v>
      </c>
      <c r="K2076">
        <v>0.33400000000000002</v>
      </c>
      <c r="L2076">
        <v>40</v>
      </c>
      <c r="M2076">
        <v>4</v>
      </c>
      <c r="N2076">
        <v>2</v>
      </c>
      <c r="O2076">
        <v>0.77400000000000002</v>
      </c>
      <c r="P2076">
        <v>0.41193193099999997</v>
      </c>
      <c r="Q2076">
        <v>0.21099999999999999</v>
      </c>
    </row>
    <row r="2077" spans="1:17" x14ac:dyDescent="0.2">
      <c r="A2077" s="30" t="str">
        <f>IF(C2077&amp;G2077&amp;D2077&lt;&gt;'Funnel setup'!$K$3&amp;'Funnel setup'!$K$4&amp;'Funnel setup'!$K$5,".",IF(A2076=".",1,A2076+1))</f>
        <v>.</v>
      </c>
      <c r="B2077" s="431" t="str">
        <f t="shared" si="32"/>
        <v>Hip Replacement PrimaryProviderRIVERS HOSPITAL (NVC19)EQ-5D Index</v>
      </c>
      <c r="C2077" t="s">
        <v>248</v>
      </c>
      <c r="D2077" t="s">
        <v>1</v>
      </c>
      <c r="E2077" t="s">
        <v>3204</v>
      </c>
      <c r="F2077" t="s">
        <v>3205</v>
      </c>
      <c r="G2077" t="s">
        <v>52</v>
      </c>
      <c r="H2077">
        <v>73</v>
      </c>
      <c r="I2077">
        <v>0.34599999999999997</v>
      </c>
      <c r="J2077">
        <v>0.86099999999999999</v>
      </c>
      <c r="K2077">
        <v>0.51400000000000001</v>
      </c>
      <c r="L2077">
        <v>66</v>
      </c>
      <c r="M2077">
        <v>6</v>
      </c>
      <c r="N2077">
        <v>1</v>
      </c>
      <c r="O2077">
        <v>0.85</v>
      </c>
      <c r="P2077">
        <v>0.48874831499999999</v>
      </c>
      <c r="Q2077">
        <v>0.19700000000000001</v>
      </c>
    </row>
    <row r="2078" spans="1:17" x14ac:dyDescent="0.2">
      <c r="A2078" s="30" t="str">
        <f>IF(C2078&amp;G2078&amp;D2078&lt;&gt;'Funnel setup'!$K$3&amp;'Funnel setup'!$K$4&amp;'Funnel setup'!$K$5,".",IF(A2077=".",1,A2077+1))</f>
        <v>.</v>
      </c>
      <c r="B2078" s="431" t="str">
        <f t="shared" si="32"/>
        <v>Hip Replacement PrimaryProviderROWLEY HALL HOSPITAL (NVC17)EQ-5D Index</v>
      </c>
      <c r="C2078" t="s">
        <v>248</v>
      </c>
      <c r="D2078" t="s">
        <v>1</v>
      </c>
      <c r="E2078" t="s">
        <v>3207</v>
      </c>
      <c r="F2078" t="s">
        <v>3208</v>
      </c>
      <c r="G2078" t="s">
        <v>52</v>
      </c>
      <c r="H2078">
        <v>90</v>
      </c>
      <c r="I2078">
        <v>0.44900000000000001</v>
      </c>
      <c r="J2078">
        <v>0.84099999999999997</v>
      </c>
      <c r="K2078">
        <v>0.39200000000000002</v>
      </c>
      <c r="L2078">
        <v>78</v>
      </c>
      <c r="M2078">
        <v>8</v>
      </c>
      <c r="N2078">
        <v>4</v>
      </c>
      <c r="O2078">
        <v>0.80700000000000005</v>
      </c>
      <c r="P2078">
        <v>0.44579387199999998</v>
      </c>
      <c r="Q2078">
        <v>0.20300000000000001</v>
      </c>
    </row>
    <row r="2079" spans="1:17" x14ac:dyDescent="0.2">
      <c r="A2079" s="30" t="str">
        <f>IF(C2079&amp;G2079&amp;D2079&lt;&gt;'Funnel setup'!$K$3&amp;'Funnel setup'!$K$4&amp;'Funnel setup'!$K$5,".",IF(A2078=".",1,A2078+1))</f>
        <v>.</v>
      </c>
      <c r="B2079" s="431" t="str">
        <f t="shared" si="32"/>
        <v>Hip Replacement PrimaryProviderROYAL BERKSHIRE NHS FOUNDATION TRUST (RHW)EQ-5D Index</v>
      </c>
      <c r="C2079" t="s">
        <v>248</v>
      </c>
      <c r="D2079" t="s">
        <v>1</v>
      </c>
      <c r="E2079" t="s">
        <v>3832</v>
      </c>
      <c r="F2079" t="s">
        <v>3833</v>
      </c>
      <c r="G2079" t="s">
        <v>52</v>
      </c>
      <c r="H2079">
        <v>147</v>
      </c>
      <c r="I2079">
        <v>0.39500000000000002</v>
      </c>
      <c r="J2079">
        <v>0.83799999999999997</v>
      </c>
      <c r="K2079">
        <v>0.443</v>
      </c>
      <c r="L2079">
        <v>135</v>
      </c>
      <c r="M2079">
        <v>10</v>
      </c>
      <c r="N2079">
        <v>2</v>
      </c>
      <c r="O2079">
        <v>0.82699999999999996</v>
      </c>
      <c r="P2079">
        <v>0.46484312500000002</v>
      </c>
      <c r="Q2079">
        <v>0.183</v>
      </c>
    </row>
    <row r="2080" spans="1:17" x14ac:dyDescent="0.2">
      <c r="A2080" s="30" t="str">
        <f>IF(C2080&amp;G2080&amp;D2080&lt;&gt;'Funnel setup'!$K$3&amp;'Funnel setup'!$K$4&amp;'Funnel setup'!$K$5,".",IF(A2079=".",1,A2079+1))</f>
        <v>.</v>
      </c>
      <c r="B2080" s="431" t="str">
        <f t="shared" si="32"/>
        <v>Hip Replacement PrimaryProviderROYAL CORNWALL HOSPITALS NHS TRUST (REF)EQ-5D Index</v>
      </c>
      <c r="C2080" t="s">
        <v>248</v>
      </c>
      <c r="D2080" t="s">
        <v>1</v>
      </c>
      <c r="E2080" t="s">
        <v>3745</v>
      </c>
      <c r="F2080" t="s">
        <v>3746</v>
      </c>
      <c r="G2080" t="s">
        <v>52</v>
      </c>
      <c r="H2080">
        <v>267</v>
      </c>
      <c r="I2080">
        <v>0.35199999999999998</v>
      </c>
      <c r="J2080">
        <v>0.76300000000000001</v>
      </c>
      <c r="K2080">
        <v>0.41099999999999998</v>
      </c>
      <c r="L2080">
        <v>231</v>
      </c>
      <c r="M2080">
        <v>21</v>
      </c>
      <c r="N2080">
        <v>15</v>
      </c>
      <c r="O2080">
        <v>0.77800000000000002</v>
      </c>
      <c r="P2080">
        <v>0.41635692499999999</v>
      </c>
      <c r="Q2080">
        <v>0.22500000000000001</v>
      </c>
    </row>
    <row r="2081" spans="1:17" x14ac:dyDescent="0.2">
      <c r="A2081" s="30" t="str">
        <f>IF(C2081&amp;G2081&amp;D2081&lt;&gt;'Funnel setup'!$K$3&amp;'Funnel setup'!$K$4&amp;'Funnel setup'!$K$5,".",IF(A2080=".",1,A2080+1))</f>
        <v>.</v>
      </c>
      <c r="B2081" s="431" t="str">
        <f t="shared" si="32"/>
        <v>Hip Replacement PrimaryProviderROYAL DEVON AND EXETER NHS FOUNDATION TRUST (RH8)EQ-5D Index</v>
      </c>
      <c r="C2081" t="s">
        <v>248</v>
      </c>
      <c r="D2081" t="s">
        <v>1</v>
      </c>
      <c r="E2081" t="s">
        <v>3442</v>
      </c>
      <c r="F2081" t="s">
        <v>3443</v>
      </c>
      <c r="G2081" t="s">
        <v>52</v>
      </c>
      <c r="H2081">
        <v>489</v>
      </c>
      <c r="I2081">
        <v>0.374</v>
      </c>
      <c r="J2081">
        <v>0.84199999999999997</v>
      </c>
      <c r="K2081">
        <v>0.46800000000000003</v>
      </c>
      <c r="L2081">
        <v>454</v>
      </c>
      <c r="M2081">
        <v>20</v>
      </c>
      <c r="N2081">
        <v>15</v>
      </c>
      <c r="O2081">
        <v>0.84</v>
      </c>
      <c r="P2081">
        <v>0.47854192099999998</v>
      </c>
      <c r="Q2081">
        <v>0.20200000000000001</v>
      </c>
    </row>
    <row r="2082" spans="1:17" x14ac:dyDescent="0.2">
      <c r="A2082" s="30" t="str">
        <f>IF(C2082&amp;G2082&amp;D2082&lt;&gt;'Funnel setup'!$K$3&amp;'Funnel setup'!$K$4&amp;'Funnel setup'!$K$5,".",IF(A2081=".",1,A2081+1))</f>
        <v>.</v>
      </c>
      <c r="B2082" s="431" t="str">
        <f t="shared" si="32"/>
        <v>Hip Replacement PrimaryProviderROYAL FREE LONDON NHS FOUNDATION TRUST (RAL)EQ-5D Index</v>
      </c>
      <c r="C2082" t="s">
        <v>248</v>
      </c>
      <c r="D2082" t="s">
        <v>1</v>
      </c>
      <c r="E2082" t="s">
        <v>3445</v>
      </c>
      <c r="F2082" t="s">
        <v>3446</v>
      </c>
      <c r="G2082" t="s">
        <v>52</v>
      </c>
      <c r="H2082">
        <v>119</v>
      </c>
      <c r="I2082">
        <v>0.26</v>
      </c>
      <c r="J2082">
        <v>0.745</v>
      </c>
      <c r="K2082">
        <v>0.48499999999999999</v>
      </c>
      <c r="L2082">
        <v>110</v>
      </c>
      <c r="M2082">
        <v>6</v>
      </c>
      <c r="N2082">
        <v>3</v>
      </c>
      <c r="O2082">
        <v>0.78100000000000003</v>
      </c>
      <c r="P2082">
        <v>0.41885022100000002</v>
      </c>
      <c r="Q2082">
        <v>0.23699999999999999</v>
      </c>
    </row>
    <row r="2083" spans="1:17" x14ac:dyDescent="0.2">
      <c r="A2083" s="30" t="str">
        <f>IF(C2083&amp;G2083&amp;D2083&lt;&gt;'Funnel setup'!$K$3&amp;'Funnel setup'!$K$4&amp;'Funnel setup'!$K$5,".",IF(A2082=".",1,A2082+1))</f>
        <v>.</v>
      </c>
      <c r="B2083" s="431" t="str">
        <f t="shared" si="32"/>
        <v>Hip Replacement PrimaryProviderROYAL LIVERPOOL AND BROADGREEN UNIVERSITY HOSPITALS NHS TRUST (RQ6)EQ-5D Index</v>
      </c>
      <c r="C2083" t="s">
        <v>248</v>
      </c>
      <c r="D2083" t="s">
        <v>1</v>
      </c>
      <c r="E2083" t="s">
        <v>3448</v>
      </c>
      <c r="F2083" t="s">
        <v>3449</v>
      </c>
      <c r="G2083" t="s">
        <v>52</v>
      </c>
      <c r="H2083">
        <v>112</v>
      </c>
      <c r="I2083">
        <v>0.26900000000000002</v>
      </c>
      <c r="J2083">
        <v>0.69599999999999995</v>
      </c>
      <c r="K2083">
        <v>0.42699999999999999</v>
      </c>
      <c r="L2083">
        <v>99</v>
      </c>
      <c r="M2083">
        <v>8</v>
      </c>
      <c r="N2083">
        <v>5</v>
      </c>
      <c r="O2083">
        <v>0.76300000000000001</v>
      </c>
      <c r="P2083">
        <v>0.401681387</v>
      </c>
      <c r="Q2083">
        <v>0.27800000000000002</v>
      </c>
    </row>
    <row r="2084" spans="1:17" x14ac:dyDescent="0.2">
      <c r="A2084" s="30" t="str">
        <f>IF(C2084&amp;G2084&amp;D2084&lt;&gt;'Funnel setup'!$K$3&amp;'Funnel setup'!$K$4&amp;'Funnel setup'!$K$5,".",IF(A2083=".",1,A2083+1))</f>
        <v>.</v>
      </c>
      <c r="B2084" s="431" t="str">
        <f t="shared" si="32"/>
        <v>Hip Replacement PrimaryProviderROYAL NATIONAL ORTHOPAEDIC HOSPITAL NHS TRUST (RAN)EQ-5D Index</v>
      </c>
      <c r="C2084" t="s">
        <v>248</v>
      </c>
      <c r="D2084" t="s">
        <v>1</v>
      </c>
      <c r="E2084" t="s">
        <v>4378</v>
      </c>
      <c r="F2084" t="s">
        <v>4379</v>
      </c>
      <c r="G2084" t="s">
        <v>52</v>
      </c>
      <c r="H2084">
        <v>123</v>
      </c>
      <c r="I2084">
        <v>0.38300000000000001</v>
      </c>
      <c r="J2084">
        <v>0.76700000000000002</v>
      </c>
      <c r="K2084">
        <v>0.38400000000000001</v>
      </c>
      <c r="L2084">
        <v>106</v>
      </c>
      <c r="M2084">
        <v>7</v>
      </c>
      <c r="N2084">
        <v>10</v>
      </c>
      <c r="O2084">
        <v>0.77100000000000002</v>
      </c>
      <c r="P2084">
        <v>0.40896821700000002</v>
      </c>
      <c r="Q2084">
        <v>0.26600000000000001</v>
      </c>
    </row>
    <row r="2085" spans="1:17" x14ac:dyDescent="0.2">
      <c r="A2085" s="30" t="str">
        <f>IF(C2085&amp;G2085&amp;D2085&lt;&gt;'Funnel setup'!$K$3&amp;'Funnel setup'!$K$4&amp;'Funnel setup'!$K$5,".",IF(A2084=".",1,A2084+1))</f>
        <v>.</v>
      </c>
      <c r="B2085" s="431" t="str">
        <f t="shared" si="32"/>
        <v>Hip Replacement PrimaryProviderROYAL SURREY COUNTY HOSPITAL NHS FOUNDATION TRUST (RA2)EQ-5D Index</v>
      </c>
      <c r="C2085" t="s">
        <v>248</v>
      </c>
      <c r="D2085" t="s">
        <v>1</v>
      </c>
      <c r="E2085" t="s">
        <v>3451</v>
      </c>
      <c r="F2085" t="s">
        <v>3452</v>
      </c>
      <c r="G2085" t="s">
        <v>52</v>
      </c>
      <c r="H2085">
        <v>139</v>
      </c>
      <c r="I2085">
        <v>0.39400000000000002</v>
      </c>
      <c r="J2085">
        <v>0.85599999999999998</v>
      </c>
      <c r="K2085">
        <v>0.46200000000000002</v>
      </c>
      <c r="L2085">
        <v>131</v>
      </c>
      <c r="M2085">
        <v>5</v>
      </c>
      <c r="N2085">
        <v>3</v>
      </c>
      <c r="O2085">
        <v>0.82499999999999996</v>
      </c>
      <c r="P2085">
        <v>0.46343395199999998</v>
      </c>
      <c r="Q2085">
        <v>0.21299999999999999</v>
      </c>
    </row>
    <row r="2086" spans="1:17" x14ac:dyDescent="0.2">
      <c r="A2086" s="30" t="str">
        <f>IF(C2086&amp;G2086&amp;D2086&lt;&gt;'Funnel setup'!$K$3&amp;'Funnel setup'!$K$4&amp;'Funnel setup'!$K$5,".",IF(A2085=".",1,A2085+1))</f>
        <v>.</v>
      </c>
      <c r="B2086" s="431" t="str">
        <f t="shared" si="32"/>
        <v>Hip Replacement PrimaryProviderROYAL UNITED HOSPITALS BATH NHS FOUNDATION TRUST (RD1)EQ-5D Index</v>
      </c>
      <c r="C2086" t="s">
        <v>248</v>
      </c>
      <c r="D2086" t="s">
        <v>1</v>
      </c>
      <c r="E2086" t="s">
        <v>3454</v>
      </c>
      <c r="F2086" t="s">
        <v>3455</v>
      </c>
      <c r="G2086" t="s">
        <v>52</v>
      </c>
      <c r="H2086">
        <v>165</v>
      </c>
      <c r="I2086">
        <v>0.33900000000000002</v>
      </c>
      <c r="J2086">
        <v>0.77100000000000002</v>
      </c>
      <c r="K2086">
        <v>0.432</v>
      </c>
      <c r="L2086">
        <v>143</v>
      </c>
      <c r="M2086">
        <v>16</v>
      </c>
      <c r="N2086">
        <v>6</v>
      </c>
      <c r="O2086">
        <v>0.79</v>
      </c>
      <c r="P2086">
        <v>0.42808851399999998</v>
      </c>
      <c r="Q2086">
        <v>0.215</v>
      </c>
    </row>
    <row r="2087" spans="1:17" x14ac:dyDescent="0.2">
      <c r="A2087" s="30" t="str">
        <f>IF(C2087&amp;G2087&amp;D2087&lt;&gt;'Funnel setup'!$K$3&amp;'Funnel setup'!$K$4&amp;'Funnel setup'!$K$5,".",IF(A2086=".",1,A2086+1))</f>
        <v>.</v>
      </c>
      <c r="B2087" s="431" t="str">
        <f t="shared" si="32"/>
        <v>Hip Replacement PrimaryProviderSALFORD ROYAL NHS FOUNDATION TRUST (RM3)EQ-5D Index</v>
      </c>
      <c r="C2087" t="s">
        <v>248</v>
      </c>
      <c r="D2087" t="s">
        <v>1</v>
      </c>
      <c r="E2087" t="s">
        <v>3457</v>
      </c>
      <c r="F2087" t="s">
        <v>3458</v>
      </c>
      <c r="G2087" t="s">
        <v>52</v>
      </c>
      <c r="H2087">
        <v>77</v>
      </c>
      <c r="I2087">
        <v>0.28699999999999998</v>
      </c>
      <c r="J2087">
        <v>0.76900000000000002</v>
      </c>
      <c r="K2087">
        <v>0.48199999999999998</v>
      </c>
      <c r="L2087">
        <v>72</v>
      </c>
      <c r="M2087">
        <v>4</v>
      </c>
      <c r="N2087">
        <v>1</v>
      </c>
      <c r="O2087">
        <v>0.80500000000000005</v>
      </c>
      <c r="P2087">
        <v>0.44353410199999999</v>
      </c>
      <c r="Q2087">
        <v>0.20699999999999999</v>
      </c>
    </row>
    <row r="2088" spans="1:17" x14ac:dyDescent="0.2">
      <c r="A2088" s="30" t="str">
        <f>IF(C2088&amp;G2088&amp;D2088&lt;&gt;'Funnel setup'!$K$3&amp;'Funnel setup'!$K$4&amp;'Funnel setup'!$K$5,".",IF(A2087=".",1,A2087+1))</f>
        <v>.</v>
      </c>
      <c r="B2088" s="431" t="str">
        <f t="shared" si="32"/>
        <v>Hip Replacement PrimaryProviderSALISBURY NHS FOUNDATION TRUST (RNZ)EQ-5D Index</v>
      </c>
      <c r="C2088" t="s">
        <v>248</v>
      </c>
      <c r="D2088" t="s">
        <v>1</v>
      </c>
      <c r="E2088" t="s">
        <v>3460</v>
      </c>
      <c r="F2088" t="s">
        <v>3461</v>
      </c>
      <c r="G2088" t="s">
        <v>52</v>
      </c>
      <c r="H2088">
        <v>168</v>
      </c>
      <c r="I2088">
        <v>0.376</v>
      </c>
      <c r="J2088">
        <v>0.78800000000000003</v>
      </c>
      <c r="K2088">
        <v>0.41199999999999998</v>
      </c>
      <c r="L2088">
        <v>150</v>
      </c>
      <c r="M2088">
        <v>7</v>
      </c>
      <c r="N2088">
        <v>11</v>
      </c>
      <c r="O2088">
        <v>0.79100000000000004</v>
      </c>
      <c r="P2088">
        <v>0.42980386100000001</v>
      </c>
      <c r="Q2088">
        <v>0.23200000000000001</v>
      </c>
    </row>
    <row r="2089" spans="1:17" x14ac:dyDescent="0.2">
      <c r="A2089" s="30" t="str">
        <f>IF(C2089&amp;G2089&amp;D2089&lt;&gt;'Funnel setup'!$K$3&amp;'Funnel setup'!$K$4&amp;'Funnel setup'!$K$5,".",IF(A2088=".",1,A2088+1))</f>
        <v>.</v>
      </c>
      <c r="B2089" s="431" t="str">
        <f t="shared" si="32"/>
        <v>Hip Replacement PrimaryProviderSANDWELL AND WEST BIRMINGHAM HOSPITALS NHS TRUST (RXK)EQ-5D Index</v>
      </c>
      <c r="C2089" t="s">
        <v>248</v>
      </c>
      <c r="D2089" t="s">
        <v>1</v>
      </c>
      <c r="E2089" t="s">
        <v>3463</v>
      </c>
      <c r="F2089" t="s">
        <v>3464</v>
      </c>
      <c r="G2089" t="s">
        <v>52</v>
      </c>
      <c r="H2089">
        <v>157</v>
      </c>
      <c r="I2089">
        <v>0.222</v>
      </c>
      <c r="J2089">
        <v>0.69399999999999995</v>
      </c>
      <c r="K2089">
        <v>0.47199999999999998</v>
      </c>
      <c r="L2089">
        <v>139</v>
      </c>
      <c r="M2089">
        <v>8</v>
      </c>
      <c r="N2089">
        <v>10</v>
      </c>
      <c r="O2089">
        <v>0.77400000000000002</v>
      </c>
      <c r="P2089">
        <v>0.41200765299999997</v>
      </c>
      <c r="Q2089">
        <v>0.23</v>
      </c>
    </row>
    <row r="2090" spans="1:17" x14ac:dyDescent="0.2">
      <c r="A2090" s="30" t="str">
        <f>IF(C2090&amp;G2090&amp;D2090&lt;&gt;'Funnel setup'!$K$3&amp;'Funnel setup'!$K$4&amp;'Funnel setup'!$K$5,".",IF(A2089=".",1,A2089+1))</f>
        <v>.</v>
      </c>
      <c r="B2090" s="431" t="str">
        <f t="shared" si="32"/>
        <v>Hip Replacement PrimaryProviderSHEFFIELD TEACHING HOSPITALS NHS FOUNDATION TRUST (RHQ)EQ-5D Index</v>
      </c>
      <c r="C2090" t="s">
        <v>248</v>
      </c>
      <c r="D2090" t="s">
        <v>1</v>
      </c>
      <c r="E2090" t="s">
        <v>3466</v>
      </c>
      <c r="F2090" t="s">
        <v>3467</v>
      </c>
      <c r="G2090" t="s">
        <v>52</v>
      </c>
      <c r="H2090">
        <v>331</v>
      </c>
      <c r="I2090">
        <v>0.33800000000000002</v>
      </c>
      <c r="J2090">
        <v>0.75</v>
      </c>
      <c r="K2090">
        <v>0.41199999999999998</v>
      </c>
      <c r="L2090">
        <v>284</v>
      </c>
      <c r="M2090">
        <v>20</v>
      </c>
      <c r="N2090">
        <v>27</v>
      </c>
      <c r="O2090">
        <v>0.76800000000000002</v>
      </c>
      <c r="P2090">
        <v>0.40682209899999999</v>
      </c>
      <c r="Q2090">
        <v>0.249</v>
      </c>
    </row>
    <row r="2091" spans="1:17" x14ac:dyDescent="0.2">
      <c r="A2091" s="30" t="str">
        <f>IF(C2091&amp;G2091&amp;D2091&lt;&gt;'Funnel setup'!$K$3&amp;'Funnel setup'!$K$4&amp;'Funnel setup'!$K$5,".",IF(A2090=".",1,A2090+1))</f>
        <v>.</v>
      </c>
      <c r="B2091" s="431" t="str">
        <f t="shared" si="32"/>
        <v>Hip Replacement PrimaryProviderSHEPTON MALLET NHS TREATMENT CENTRE (NTPH1)EQ-5D Index</v>
      </c>
      <c r="C2091" t="s">
        <v>248</v>
      </c>
      <c r="D2091" t="s">
        <v>1</v>
      </c>
      <c r="E2091" t="s">
        <v>3472</v>
      </c>
      <c r="F2091" t="s">
        <v>3473</v>
      </c>
      <c r="G2091" t="s">
        <v>52</v>
      </c>
      <c r="H2091">
        <v>203</v>
      </c>
      <c r="I2091">
        <v>0.39500000000000002</v>
      </c>
      <c r="J2091">
        <v>0.88700000000000001</v>
      </c>
      <c r="K2091">
        <v>0.49199999999999999</v>
      </c>
      <c r="L2091">
        <v>188</v>
      </c>
      <c r="M2091">
        <v>10</v>
      </c>
      <c r="N2091">
        <v>5</v>
      </c>
      <c r="O2091">
        <v>0.85299999999999998</v>
      </c>
      <c r="P2091">
        <v>0.49123046999999997</v>
      </c>
      <c r="Q2091">
        <v>0.17100000000000001</v>
      </c>
    </row>
    <row r="2092" spans="1:17" x14ac:dyDescent="0.2">
      <c r="A2092" s="30" t="str">
        <f>IF(C2092&amp;G2092&amp;D2092&lt;&gt;'Funnel setup'!$K$3&amp;'Funnel setup'!$K$4&amp;'Funnel setup'!$K$5,".",IF(A2091=".",1,A2091+1))</f>
        <v>.</v>
      </c>
      <c r="B2092" s="431" t="str">
        <f t="shared" si="32"/>
        <v>Hip Replacement PrimaryProviderSHERWOOD FOREST HOSPITALS NHS FOUNDATION TRUST (RK5)EQ-5D Index</v>
      </c>
      <c r="C2092" t="s">
        <v>248</v>
      </c>
      <c r="D2092" t="s">
        <v>1</v>
      </c>
      <c r="E2092" t="s">
        <v>3475</v>
      </c>
      <c r="F2092" t="s">
        <v>3476</v>
      </c>
      <c r="G2092" t="s">
        <v>52</v>
      </c>
      <c r="H2092">
        <v>131</v>
      </c>
      <c r="I2092">
        <v>0.28199999999999997</v>
      </c>
      <c r="J2092">
        <v>0.74099999999999999</v>
      </c>
      <c r="K2092">
        <v>0.45900000000000002</v>
      </c>
      <c r="L2092">
        <v>117</v>
      </c>
      <c r="M2092">
        <v>5</v>
      </c>
      <c r="N2092">
        <v>9</v>
      </c>
      <c r="O2092">
        <v>0.77400000000000002</v>
      </c>
      <c r="P2092">
        <v>0.41264082499999999</v>
      </c>
      <c r="Q2092">
        <v>0.26200000000000001</v>
      </c>
    </row>
    <row r="2093" spans="1:17" x14ac:dyDescent="0.2">
      <c r="A2093" s="30" t="str">
        <f>IF(C2093&amp;G2093&amp;D2093&lt;&gt;'Funnel setup'!$K$3&amp;'Funnel setup'!$K$4&amp;'Funnel setup'!$K$5,".",IF(A2092=".",1,A2092+1))</f>
        <v>.</v>
      </c>
      <c r="B2093" s="431" t="str">
        <f t="shared" si="32"/>
        <v>Hip Replacement PrimaryProviderSHREWSBURY AND TELFORD HOSPITAL NHS TRUST (RXW)EQ-5D Index</v>
      </c>
      <c r="C2093" t="s">
        <v>248</v>
      </c>
      <c r="D2093" t="s">
        <v>1</v>
      </c>
      <c r="E2093" t="s">
        <v>3478</v>
      </c>
      <c r="F2093" t="s">
        <v>3479</v>
      </c>
      <c r="G2093" t="s">
        <v>52</v>
      </c>
      <c r="H2093">
        <v>143</v>
      </c>
      <c r="I2093">
        <v>0.27500000000000002</v>
      </c>
      <c r="J2093">
        <v>0.78300000000000003</v>
      </c>
      <c r="K2093">
        <v>0.50800000000000001</v>
      </c>
      <c r="L2093">
        <v>131</v>
      </c>
      <c r="M2093">
        <v>7</v>
      </c>
      <c r="N2093">
        <v>5</v>
      </c>
      <c r="O2093">
        <v>0.80800000000000005</v>
      </c>
      <c r="P2093">
        <v>0.44647590500000001</v>
      </c>
      <c r="Q2093">
        <v>0.23799999999999999</v>
      </c>
    </row>
    <row r="2094" spans="1:17" x14ac:dyDescent="0.2">
      <c r="A2094" s="30" t="str">
        <f>IF(C2094&amp;G2094&amp;D2094&lt;&gt;'Funnel setup'!$K$3&amp;'Funnel setup'!$K$4&amp;'Funnel setup'!$K$5,".",IF(A2093=".",1,A2093+1))</f>
        <v>.</v>
      </c>
      <c r="B2094" s="431" t="str">
        <f t="shared" si="32"/>
        <v>Hip Replacement PrimaryProviderSOUTH TEES HOSPITALS NHS FOUNDATION TRUST (RTR)EQ-5D Index</v>
      </c>
      <c r="C2094" t="s">
        <v>248</v>
      </c>
      <c r="D2094" t="s">
        <v>1</v>
      </c>
      <c r="E2094" t="s">
        <v>3482</v>
      </c>
      <c r="F2094" t="s">
        <v>3483</v>
      </c>
      <c r="G2094" t="s">
        <v>52</v>
      </c>
      <c r="H2094">
        <v>395</v>
      </c>
      <c r="I2094">
        <v>0.36399999999999999</v>
      </c>
      <c r="J2094">
        <v>0.79100000000000004</v>
      </c>
      <c r="K2094">
        <v>0.42799999999999999</v>
      </c>
      <c r="L2094">
        <v>353</v>
      </c>
      <c r="M2094">
        <v>22</v>
      </c>
      <c r="N2094">
        <v>20</v>
      </c>
      <c r="O2094">
        <v>0.79600000000000004</v>
      </c>
      <c r="P2094">
        <v>0.43467160799999999</v>
      </c>
      <c r="Q2094">
        <v>0.22800000000000001</v>
      </c>
    </row>
    <row r="2095" spans="1:17" x14ac:dyDescent="0.2">
      <c r="A2095" s="30" t="str">
        <f>IF(C2095&amp;G2095&amp;D2095&lt;&gt;'Funnel setup'!$K$3&amp;'Funnel setup'!$K$4&amp;'Funnel setup'!$K$5,".",IF(A2094=".",1,A2094+1))</f>
        <v>.</v>
      </c>
      <c r="B2095" s="431" t="str">
        <f t="shared" si="32"/>
        <v>Hip Replacement PrimaryProviderSOUTH TYNESIDE NHS FOUNDATION TRUST (RE9)EQ-5D Index</v>
      </c>
      <c r="C2095" t="s">
        <v>248</v>
      </c>
      <c r="D2095" t="s">
        <v>1</v>
      </c>
      <c r="E2095" t="s">
        <v>3485</v>
      </c>
      <c r="F2095" t="s">
        <v>3486</v>
      </c>
      <c r="G2095" t="s">
        <v>52</v>
      </c>
      <c r="H2095">
        <v>42</v>
      </c>
      <c r="I2095">
        <v>0.34100000000000003</v>
      </c>
      <c r="J2095">
        <v>0.76700000000000002</v>
      </c>
      <c r="K2095">
        <v>0.42599999999999999</v>
      </c>
      <c r="L2095">
        <v>38</v>
      </c>
      <c r="M2095">
        <v>2</v>
      </c>
      <c r="N2095">
        <v>2</v>
      </c>
      <c r="O2095">
        <v>0.79500000000000004</v>
      </c>
      <c r="P2095">
        <v>0.43330657</v>
      </c>
      <c r="Q2095">
        <v>0.22</v>
      </c>
    </row>
    <row r="2096" spans="1:17" x14ac:dyDescent="0.2">
      <c r="A2096" s="30" t="str">
        <f>IF(C2096&amp;G2096&amp;D2096&lt;&gt;'Funnel setup'!$K$3&amp;'Funnel setup'!$K$4&amp;'Funnel setup'!$K$5,".",IF(A2095=".",1,A2095+1))</f>
        <v>.</v>
      </c>
      <c r="B2096" s="431" t="str">
        <f t="shared" si="32"/>
        <v>Hip Replacement PrimaryProviderSOUTH WARWICKSHIRE NHS FOUNDATION TRUST (RJC)EQ-5D Index</v>
      </c>
      <c r="C2096" t="s">
        <v>248</v>
      </c>
      <c r="D2096" t="s">
        <v>1</v>
      </c>
      <c r="E2096" t="s">
        <v>3421</v>
      </c>
      <c r="F2096" t="s">
        <v>3422</v>
      </c>
      <c r="G2096" t="s">
        <v>52</v>
      </c>
      <c r="H2096">
        <v>246</v>
      </c>
      <c r="I2096">
        <v>0.39400000000000002</v>
      </c>
      <c r="J2096">
        <v>0.81100000000000005</v>
      </c>
      <c r="K2096">
        <v>0.41599999999999998</v>
      </c>
      <c r="L2096">
        <v>219</v>
      </c>
      <c r="M2096">
        <v>15</v>
      </c>
      <c r="N2096">
        <v>12</v>
      </c>
      <c r="O2096">
        <v>0.79300000000000004</v>
      </c>
      <c r="P2096">
        <v>0.43092483799999998</v>
      </c>
      <c r="Q2096">
        <v>0.224</v>
      </c>
    </row>
    <row r="2097" spans="1:17" x14ac:dyDescent="0.2">
      <c r="A2097" s="30" t="str">
        <f>IF(C2097&amp;G2097&amp;D2097&lt;&gt;'Funnel setup'!$K$3&amp;'Funnel setup'!$K$4&amp;'Funnel setup'!$K$5,".",IF(A2096=".",1,A2096+1))</f>
        <v>.</v>
      </c>
      <c r="B2097" s="431" t="str">
        <f t="shared" si="32"/>
        <v>Hip Replacement PrimaryProviderSOUTHAMPTON NHS TREATMENT CENTRE (NTP11)EQ-5D Index</v>
      </c>
      <c r="C2097" t="s">
        <v>248</v>
      </c>
      <c r="D2097" t="s">
        <v>1</v>
      </c>
      <c r="E2097" t="s">
        <v>3424</v>
      </c>
      <c r="F2097" t="s">
        <v>3425</v>
      </c>
      <c r="G2097" t="s">
        <v>52</v>
      </c>
      <c r="H2097">
        <v>93</v>
      </c>
      <c r="I2097">
        <v>0.43</v>
      </c>
      <c r="J2097">
        <v>0.82799999999999996</v>
      </c>
      <c r="K2097">
        <v>0.39800000000000002</v>
      </c>
      <c r="L2097">
        <v>85</v>
      </c>
      <c r="M2097">
        <v>3</v>
      </c>
      <c r="N2097">
        <v>5</v>
      </c>
      <c r="O2097">
        <v>0.80700000000000005</v>
      </c>
      <c r="P2097">
        <v>0.44578595199999999</v>
      </c>
      <c r="Q2097">
        <v>0.191</v>
      </c>
    </row>
    <row r="2098" spans="1:17" x14ac:dyDescent="0.2">
      <c r="A2098" s="30" t="str">
        <f>IF(C2098&amp;G2098&amp;D2098&lt;&gt;'Funnel setup'!$K$3&amp;'Funnel setup'!$K$4&amp;'Funnel setup'!$K$5,".",IF(A2097=".",1,A2097+1))</f>
        <v>.</v>
      </c>
      <c r="B2098" s="431" t="str">
        <f t="shared" si="32"/>
        <v>Hip Replacement PrimaryProviderSOUTHEND UNIVERSITY HOSPITAL NHS FOUNDATION TRUST (RAJ)EQ-5D Index</v>
      </c>
      <c r="C2098" t="s">
        <v>248</v>
      </c>
      <c r="D2098" t="s">
        <v>1</v>
      </c>
      <c r="E2098" t="s">
        <v>3427</v>
      </c>
      <c r="F2098" t="s">
        <v>3428</v>
      </c>
      <c r="G2098" t="s">
        <v>52</v>
      </c>
      <c r="H2098">
        <v>138</v>
      </c>
      <c r="I2098">
        <v>0.29099999999999998</v>
      </c>
      <c r="J2098">
        <v>0.71199999999999997</v>
      </c>
      <c r="K2098">
        <v>0.42099999999999999</v>
      </c>
      <c r="L2098">
        <v>122</v>
      </c>
      <c r="M2098">
        <v>4</v>
      </c>
      <c r="N2098">
        <v>12</v>
      </c>
      <c r="O2098">
        <v>0.72799999999999998</v>
      </c>
      <c r="P2098">
        <v>0.36658369000000002</v>
      </c>
      <c r="Q2098">
        <v>0.23899999999999999</v>
      </c>
    </row>
    <row r="2099" spans="1:17" x14ac:dyDescent="0.2">
      <c r="A2099" s="30" t="str">
        <f>IF(C2099&amp;G2099&amp;D2099&lt;&gt;'Funnel setup'!$K$3&amp;'Funnel setup'!$K$4&amp;'Funnel setup'!$K$5,".",IF(A2098=".",1,A2098+1))</f>
        <v>.</v>
      </c>
      <c r="B2099" s="431" t="str">
        <f t="shared" si="32"/>
        <v>Hip Replacement PrimaryProviderSOUTHPORT AND ORMSKIRK HOSPITAL NHS TRUST (RVY)EQ-5D Index</v>
      </c>
      <c r="C2099" t="s">
        <v>248</v>
      </c>
      <c r="D2099" t="s">
        <v>1</v>
      </c>
      <c r="E2099" t="s">
        <v>3430</v>
      </c>
      <c r="F2099" t="s">
        <v>3431</v>
      </c>
      <c r="G2099" t="s">
        <v>52</v>
      </c>
      <c r="H2099">
        <v>95</v>
      </c>
      <c r="I2099">
        <v>0.317</v>
      </c>
      <c r="J2099">
        <v>0.73199999999999998</v>
      </c>
      <c r="K2099">
        <v>0.41599999999999998</v>
      </c>
      <c r="L2099">
        <v>85</v>
      </c>
      <c r="M2099">
        <v>5</v>
      </c>
      <c r="N2099">
        <v>5</v>
      </c>
      <c r="O2099">
        <v>0.752</v>
      </c>
      <c r="P2099">
        <v>0.39037570900000002</v>
      </c>
      <c r="Q2099">
        <v>0.24399999999999999</v>
      </c>
    </row>
    <row r="2100" spans="1:17" x14ac:dyDescent="0.2">
      <c r="A2100" s="30" t="str">
        <f>IF(C2100&amp;G2100&amp;D2100&lt;&gt;'Funnel setup'!$K$3&amp;'Funnel setup'!$K$4&amp;'Funnel setup'!$K$5,".",IF(A2099=".",1,A2099+1))</f>
        <v>.</v>
      </c>
      <c r="B2100" s="431" t="str">
        <f t="shared" si="32"/>
        <v>Hip Replacement PrimaryProviderSPIRE ALEXANDRA HOSPITAL (NT312)EQ-5D Index</v>
      </c>
      <c r="C2100" t="s">
        <v>248</v>
      </c>
      <c r="D2100" t="s">
        <v>1</v>
      </c>
      <c r="E2100" t="s">
        <v>3433</v>
      </c>
      <c r="F2100" t="s">
        <v>3434</v>
      </c>
      <c r="G2100" t="s">
        <v>52</v>
      </c>
      <c r="H2100">
        <v>35</v>
      </c>
      <c r="I2100">
        <v>0.34399999999999997</v>
      </c>
      <c r="J2100">
        <v>0.82899999999999996</v>
      </c>
      <c r="K2100">
        <v>0.48499999999999999</v>
      </c>
      <c r="L2100">
        <v>30</v>
      </c>
      <c r="M2100">
        <v>3</v>
      </c>
      <c r="N2100">
        <v>2</v>
      </c>
      <c r="O2100">
        <v>0.81399999999999995</v>
      </c>
      <c r="P2100">
        <v>0.45272559400000001</v>
      </c>
      <c r="Q2100">
        <v>0.224</v>
      </c>
    </row>
    <row r="2101" spans="1:17" x14ac:dyDescent="0.2">
      <c r="A2101" s="30" t="str">
        <f>IF(C2101&amp;G2101&amp;D2101&lt;&gt;'Funnel setup'!$K$3&amp;'Funnel setup'!$K$4&amp;'Funnel setup'!$K$5,".",IF(A2100=".",1,A2100+1))</f>
        <v>.</v>
      </c>
      <c r="B2101" s="431" t="str">
        <f t="shared" si="32"/>
        <v>Hip Replacement PrimaryProviderSPIRE BRISTOL HOSPITAL (NT302)EQ-5D Index</v>
      </c>
      <c r="C2101" t="s">
        <v>248</v>
      </c>
      <c r="D2101" t="s">
        <v>1</v>
      </c>
      <c r="E2101" t="s">
        <v>4381</v>
      </c>
      <c r="F2101" t="s">
        <v>4382</v>
      </c>
      <c r="G2101" t="s">
        <v>52</v>
      </c>
      <c r="H2101">
        <v>90</v>
      </c>
      <c r="I2101">
        <v>0.48799999999999999</v>
      </c>
      <c r="J2101">
        <v>0.81699999999999995</v>
      </c>
      <c r="K2101">
        <v>0.32900000000000001</v>
      </c>
      <c r="L2101">
        <v>75</v>
      </c>
      <c r="M2101">
        <v>8</v>
      </c>
      <c r="N2101">
        <v>7</v>
      </c>
      <c r="O2101">
        <v>0.77300000000000002</v>
      </c>
      <c r="P2101">
        <v>0.41166476600000002</v>
      </c>
      <c r="Q2101">
        <v>0.19900000000000001</v>
      </c>
    </row>
    <row r="2102" spans="1:17" x14ac:dyDescent="0.2">
      <c r="A2102" s="30" t="str">
        <f>IF(C2102&amp;G2102&amp;D2102&lt;&gt;'Funnel setup'!$K$3&amp;'Funnel setup'!$K$4&amp;'Funnel setup'!$K$5,".",IF(A2101=".",1,A2101+1))</f>
        <v>.</v>
      </c>
      <c r="B2102" s="431" t="str">
        <f t="shared" si="32"/>
        <v>Hip Replacement PrimaryProviderSPIRE BUSHEY HOSPITAL (NT315)EQ-5D Index</v>
      </c>
      <c r="C2102" t="s">
        <v>248</v>
      </c>
      <c r="D2102" t="s">
        <v>1</v>
      </c>
      <c r="E2102" t="s">
        <v>4364</v>
      </c>
      <c r="F2102" t="s">
        <v>4365</v>
      </c>
      <c r="G2102" t="s">
        <v>52</v>
      </c>
      <c r="H2102">
        <v>15</v>
      </c>
      <c r="I2102">
        <v>0.42</v>
      </c>
      <c r="J2102">
        <v>0.85</v>
      </c>
      <c r="K2102">
        <v>0.42899999999999999</v>
      </c>
      <c r="L2102">
        <v>12</v>
      </c>
      <c r="M2102">
        <v>2</v>
      </c>
      <c r="N2102">
        <v>1</v>
      </c>
      <c r="O2102" t="s">
        <v>53</v>
      </c>
      <c r="P2102" t="s">
        <v>53</v>
      </c>
      <c r="Q2102" t="s">
        <v>53</v>
      </c>
    </row>
    <row r="2103" spans="1:17" x14ac:dyDescent="0.2">
      <c r="A2103" s="30" t="str">
        <f>IF(C2103&amp;G2103&amp;D2103&lt;&gt;'Funnel setup'!$K$3&amp;'Funnel setup'!$K$4&amp;'Funnel setup'!$K$5,".",IF(A2102=".",1,A2102+1))</f>
        <v>.</v>
      </c>
      <c r="B2103" s="431" t="str">
        <f t="shared" si="32"/>
        <v>Hip Replacement PrimaryProviderSPIRE CAMBRIDGE LEA HOSPITAL (NT317)EQ-5D Index</v>
      </c>
      <c r="C2103" t="s">
        <v>248</v>
      </c>
      <c r="D2103" t="s">
        <v>1</v>
      </c>
      <c r="E2103" t="s">
        <v>3436</v>
      </c>
      <c r="F2103" t="s">
        <v>3437</v>
      </c>
      <c r="G2103" t="s">
        <v>52</v>
      </c>
      <c r="H2103">
        <v>58</v>
      </c>
      <c r="I2103">
        <v>0.46800000000000003</v>
      </c>
      <c r="J2103">
        <v>0.86699999999999999</v>
      </c>
      <c r="K2103">
        <v>0.39800000000000002</v>
      </c>
      <c r="L2103">
        <v>56</v>
      </c>
      <c r="M2103">
        <v>0</v>
      </c>
      <c r="N2103">
        <v>2</v>
      </c>
      <c r="O2103">
        <v>0.80700000000000005</v>
      </c>
      <c r="P2103">
        <v>0.44562421899999999</v>
      </c>
      <c r="Q2103">
        <v>0.157</v>
      </c>
    </row>
    <row r="2104" spans="1:17" x14ac:dyDescent="0.2">
      <c r="A2104" s="30" t="str">
        <f>IF(C2104&amp;G2104&amp;D2104&lt;&gt;'Funnel setup'!$K$3&amp;'Funnel setup'!$K$4&amp;'Funnel setup'!$K$5,".",IF(A2103=".",1,A2103+1))</f>
        <v>.</v>
      </c>
      <c r="B2104" s="431" t="str">
        <f t="shared" si="32"/>
        <v>Hip Replacement PrimaryProviderSPIRE CHESHIRE HOSPITAL (NT324)EQ-5D Index</v>
      </c>
      <c r="C2104" t="s">
        <v>248</v>
      </c>
      <c r="D2104" t="s">
        <v>1</v>
      </c>
      <c r="E2104" t="s">
        <v>3439</v>
      </c>
      <c r="F2104" t="s">
        <v>3440</v>
      </c>
      <c r="G2104" t="s">
        <v>52</v>
      </c>
      <c r="H2104">
        <v>67</v>
      </c>
      <c r="I2104">
        <v>0.33600000000000002</v>
      </c>
      <c r="J2104">
        <v>0.85799999999999998</v>
      </c>
      <c r="K2104">
        <v>0.52200000000000002</v>
      </c>
      <c r="L2104">
        <v>64</v>
      </c>
      <c r="M2104">
        <v>2</v>
      </c>
      <c r="N2104">
        <v>1</v>
      </c>
      <c r="O2104">
        <v>0.83199999999999996</v>
      </c>
      <c r="P2104">
        <v>0.470675764</v>
      </c>
      <c r="Q2104">
        <v>0.183</v>
      </c>
    </row>
    <row r="2105" spans="1:17" x14ac:dyDescent="0.2">
      <c r="A2105" s="30" t="str">
        <f>IF(C2105&amp;G2105&amp;D2105&lt;&gt;'Funnel setup'!$K$3&amp;'Funnel setup'!$K$4&amp;'Funnel setup'!$K$5,".",IF(A2104=".",1,A2104+1))</f>
        <v>.</v>
      </c>
      <c r="B2105" s="431" t="str">
        <f t="shared" si="32"/>
        <v>Hip Replacement PrimaryProviderSPIRE CLARE PARK HOSPITAL (NT345)EQ-5D Index</v>
      </c>
      <c r="C2105" t="s">
        <v>248</v>
      </c>
      <c r="D2105" t="s">
        <v>1</v>
      </c>
      <c r="E2105" t="s">
        <v>3412</v>
      </c>
      <c r="F2105" t="s">
        <v>3413</v>
      </c>
      <c r="G2105" t="s">
        <v>52</v>
      </c>
      <c r="H2105">
        <v>40</v>
      </c>
      <c r="I2105">
        <v>0.45800000000000002</v>
      </c>
      <c r="J2105">
        <v>0.93300000000000005</v>
      </c>
      <c r="K2105">
        <v>0.47399999999999998</v>
      </c>
      <c r="L2105">
        <v>39</v>
      </c>
      <c r="M2105">
        <v>1</v>
      </c>
      <c r="N2105">
        <v>0</v>
      </c>
      <c r="O2105">
        <v>0.88500000000000001</v>
      </c>
      <c r="P2105">
        <v>0.52372384999999999</v>
      </c>
      <c r="Q2105">
        <v>0.124</v>
      </c>
    </row>
    <row r="2106" spans="1:17" x14ac:dyDescent="0.2">
      <c r="A2106" s="30" t="str">
        <f>IF(C2106&amp;G2106&amp;D2106&lt;&gt;'Funnel setup'!$K$3&amp;'Funnel setup'!$K$4&amp;'Funnel setup'!$K$5,".",IF(A2105=".",1,A2105+1))</f>
        <v>.</v>
      </c>
      <c r="B2106" s="431" t="str">
        <f t="shared" si="32"/>
        <v>Hip Replacement PrimaryProviderSPIRE DUNEDIN HOSPITAL (NT344)EQ-5D Index</v>
      </c>
      <c r="C2106" t="s">
        <v>248</v>
      </c>
      <c r="D2106" t="s">
        <v>1</v>
      </c>
      <c r="E2106" t="s">
        <v>3415</v>
      </c>
      <c r="F2106" t="s">
        <v>3416</v>
      </c>
      <c r="G2106" t="s">
        <v>52</v>
      </c>
      <c r="H2106">
        <v>18</v>
      </c>
      <c r="I2106">
        <v>0.54400000000000004</v>
      </c>
      <c r="J2106">
        <v>0.92</v>
      </c>
      <c r="K2106">
        <v>0.376</v>
      </c>
      <c r="L2106">
        <v>17</v>
      </c>
      <c r="M2106">
        <v>1</v>
      </c>
      <c r="N2106">
        <v>0</v>
      </c>
      <c r="O2106" t="s">
        <v>53</v>
      </c>
      <c r="P2106" t="s">
        <v>53</v>
      </c>
      <c r="Q2106" t="s">
        <v>53</v>
      </c>
    </row>
    <row r="2107" spans="1:17" x14ac:dyDescent="0.2">
      <c r="A2107" s="30" t="str">
        <f>IF(C2107&amp;G2107&amp;D2107&lt;&gt;'Funnel setup'!$K$3&amp;'Funnel setup'!$K$4&amp;'Funnel setup'!$K$5,".",IF(A2106=".",1,A2106+1))</f>
        <v>.</v>
      </c>
      <c r="B2107" s="431" t="str">
        <f t="shared" si="32"/>
        <v>Hip Replacement PrimaryProviderSPIRE ELLAND HOSPITAL (NT348)EQ-5D Index</v>
      </c>
      <c r="C2107" t="s">
        <v>248</v>
      </c>
      <c r="D2107" t="s">
        <v>1</v>
      </c>
      <c r="E2107" t="s">
        <v>3418</v>
      </c>
      <c r="F2107" t="s">
        <v>3419</v>
      </c>
      <c r="G2107" t="s">
        <v>52</v>
      </c>
      <c r="H2107">
        <v>48</v>
      </c>
      <c r="I2107">
        <v>0.37</v>
      </c>
      <c r="J2107">
        <v>0.80700000000000005</v>
      </c>
      <c r="K2107">
        <v>0.437</v>
      </c>
      <c r="L2107">
        <v>41</v>
      </c>
      <c r="M2107">
        <v>5</v>
      </c>
      <c r="N2107">
        <v>2</v>
      </c>
      <c r="O2107">
        <v>0.78600000000000003</v>
      </c>
      <c r="P2107">
        <v>0.42462456399999998</v>
      </c>
      <c r="Q2107">
        <v>0.19800000000000001</v>
      </c>
    </row>
    <row r="2108" spans="1:17" x14ac:dyDescent="0.2">
      <c r="A2108" s="30" t="str">
        <f>IF(C2108&amp;G2108&amp;D2108&lt;&gt;'Funnel setup'!$K$3&amp;'Funnel setup'!$K$4&amp;'Funnel setup'!$K$5,".",IF(A2107=".",1,A2107+1))</f>
        <v>.</v>
      </c>
      <c r="B2108" s="431" t="str">
        <f t="shared" si="32"/>
        <v>Hip Replacement PrimaryProviderSPIRE FYLDE COAST HOSPITAL (NT347)EQ-5D Index</v>
      </c>
      <c r="C2108" t="s">
        <v>248</v>
      </c>
      <c r="D2108" t="s">
        <v>1</v>
      </c>
      <c r="E2108" t="s">
        <v>4370</v>
      </c>
      <c r="F2108" t="s">
        <v>4371</v>
      </c>
      <c r="G2108" t="s">
        <v>52</v>
      </c>
      <c r="H2108">
        <v>70</v>
      </c>
      <c r="I2108">
        <v>0.40799999999999997</v>
      </c>
      <c r="J2108">
        <v>0.77800000000000002</v>
      </c>
      <c r="K2108">
        <v>0.37</v>
      </c>
      <c r="L2108">
        <v>56</v>
      </c>
      <c r="M2108">
        <v>9</v>
      </c>
      <c r="N2108">
        <v>5</v>
      </c>
      <c r="O2108">
        <v>0.76900000000000002</v>
      </c>
      <c r="P2108">
        <v>0.40706976499999997</v>
      </c>
      <c r="Q2108">
        <v>0.24</v>
      </c>
    </row>
    <row r="2109" spans="1:17" x14ac:dyDescent="0.2">
      <c r="A2109" s="30" t="str">
        <f>IF(C2109&amp;G2109&amp;D2109&lt;&gt;'Funnel setup'!$K$3&amp;'Funnel setup'!$K$4&amp;'Funnel setup'!$K$5,".",IF(A2108=".",1,A2108+1))</f>
        <v>.</v>
      </c>
      <c r="B2109" s="431" t="str">
        <f t="shared" si="32"/>
        <v>Hip Replacement PrimaryProviderSPIRE GATWICK PARK HOSPITAL (NT308)EQ-5D Index</v>
      </c>
      <c r="C2109" t="s">
        <v>248</v>
      </c>
      <c r="D2109" t="s">
        <v>1</v>
      </c>
      <c r="E2109" t="s">
        <v>3409</v>
      </c>
      <c r="F2109" t="s">
        <v>3410</v>
      </c>
      <c r="G2109" t="s">
        <v>52</v>
      </c>
      <c r="H2109">
        <v>92</v>
      </c>
      <c r="I2109">
        <v>0.51100000000000001</v>
      </c>
      <c r="J2109">
        <v>0.84799999999999998</v>
      </c>
      <c r="K2109">
        <v>0.33700000000000002</v>
      </c>
      <c r="L2109">
        <v>81</v>
      </c>
      <c r="M2109">
        <v>6</v>
      </c>
      <c r="N2109">
        <v>5</v>
      </c>
      <c r="O2109">
        <v>0.79300000000000004</v>
      </c>
      <c r="P2109">
        <v>0.43099348999999998</v>
      </c>
      <c r="Q2109">
        <v>0.191</v>
      </c>
    </row>
    <row r="2110" spans="1:17" x14ac:dyDescent="0.2">
      <c r="A2110" s="30" t="str">
        <f>IF(C2110&amp;G2110&amp;D2110&lt;&gt;'Funnel setup'!$K$3&amp;'Funnel setup'!$K$4&amp;'Funnel setup'!$K$5,".",IF(A2109=".",1,A2109+1))</f>
        <v>.</v>
      </c>
      <c r="B2110" s="431" t="str">
        <f t="shared" si="32"/>
        <v>Hip Replacement PrimaryProviderSPIRE HARPENDEN HOSPITAL (NT316)EQ-5D Index</v>
      </c>
      <c r="C2110" t="s">
        <v>248</v>
      </c>
      <c r="D2110" t="s">
        <v>1</v>
      </c>
      <c r="E2110" t="s">
        <v>4267</v>
      </c>
      <c r="F2110" t="s">
        <v>4268</v>
      </c>
      <c r="G2110" t="s">
        <v>52</v>
      </c>
      <c r="H2110">
        <v>65</v>
      </c>
      <c r="I2110">
        <v>0.45400000000000001</v>
      </c>
      <c r="J2110">
        <v>0.84</v>
      </c>
      <c r="K2110">
        <v>0.38600000000000001</v>
      </c>
      <c r="L2110">
        <v>57</v>
      </c>
      <c r="M2110">
        <v>4</v>
      </c>
      <c r="N2110">
        <v>4</v>
      </c>
      <c r="O2110">
        <v>0.80100000000000005</v>
      </c>
      <c r="P2110">
        <v>0.43923075299999997</v>
      </c>
      <c r="Q2110">
        <v>0.19900000000000001</v>
      </c>
    </row>
    <row r="2111" spans="1:17" x14ac:dyDescent="0.2">
      <c r="A2111" s="30" t="str">
        <f>IF(C2111&amp;G2111&amp;D2111&lt;&gt;'Funnel setup'!$K$3&amp;'Funnel setup'!$K$4&amp;'Funnel setup'!$K$5,".",IF(A2110=".",1,A2110+1))</f>
        <v>.</v>
      </c>
      <c r="B2111" s="431" t="str">
        <f t="shared" si="32"/>
        <v>Hip Replacement PrimaryProviderSPIRE HARTSWOOD HOSPITAL (NT319)EQ-5D Index</v>
      </c>
      <c r="C2111" t="s">
        <v>248</v>
      </c>
      <c r="D2111" t="s">
        <v>1</v>
      </c>
      <c r="E2111" t="s">
        <v>3210</v>
      </c>
      <c r="F2111" t="s">
        <v>3211</v>
      </c>
      <c r="G2111" t="s">
        <v>52</v>
      </c>
      <c r="H2111">
        <v>10</v>
      </c>
      <c r="I2111">
        <v>0.47899999999999998</v>
      </c>
      <c r="J2111">
        <v>0.80500000000000005</v>
      </c>
      <c r="K2111">
        <v>0.32600000000000001</v>
      </c>
      <c r="L2111">
        <v>9</v>
      </c>
      <c r="M2111">
        <v>1</v>
      </c>
      <c r="N2111">
        <v>0</v>
      </c>
      <c r="O2111" t="s">
        <v>53</v>
      </c>
      <c r="P2111" t="s">
        <v>53</v>
      </c>
      <c r="Q2111" t="s">
        <v>53</v>
      </c>
    </row>
    <row r="2112" spans="1:17" x14ac:dyDescent="0.2">
      <c r="A2112" s="30" t="str">
        <f>IF(C2112&amp;G2112&amp;D2112&lt;&gt;'Funnel setup'!$K$3&amp;'Funnel setup'!$K$4&amp;'Funnel setup'!$K$5,".",IF(A2111=".",1,A2111+1))</f>
        <v>.</v>
      </c>
      <c r="B2112" s="431" t="str">
        <f t="shared" si="32"/>
        <v>Hip Replacement PrimaryProviderSPIRE HULL AND EAST RIDING HOSPITAL (NT351)EQ-5D Index</v>
      </c>
      <c r="C2112" t="s">
        <v>248</v>
      </c>
      <c r="D2112" t="s">
        <v>1</v>
      </c>
      <c r="E2112" t="s">
        <v>3213</v>
      </c>
      <c r="F2112" t="s">
        <v>3214</v>
      </c>
      <c r="G2112" t="s">
        <v>52</v>
      </c>
      <c r="H2112">
        <v>155</v>
      </c>
      <c r="I2112">
        <v>0.42899999999999999</v>
      </c>
      <c r="J2112">
        <v>0.87</v>
      </c>
      <c r="K2112">
        <v>0.441</v>
      </c>
      <c r="L2112">
        <v>139</v>
      </c>
      <c r="M2112">
        <v>9</v>
      </c>
      <c r="N2112">
        <v>7</v>
      </c>
      <c r="O2112">
        <v>0.83699999999999997</v>
      </c>
      <c r="P2112">
        <v>0.47485218899999998</v>
      </c>
      <c r="Q2112">
        <v>0.17799999999999999</v>
      </c>
    </row>
    <row r="2113" spans="1:17" x14ac:dyDescent="0.2">
      <c r="A2113" s="30" t="str">
        <f>IF(C2113&amp;G2113&amp;D2113&lt;&gt;'Funnel setup'!$K$3&amp;'Funnel setup'!$K$4&amp;'Funnel setup'!$K$5,".",IF(A2112=".",1,A2112+1))</f>
        <v>.</v>
      </c>
      <c r="B2113" s="431" t="str">
        <f t="shared" si="32"/>
        <v>Hip Replacement PrimaryProviderSPIRE LEEDS HOSPITAL (NT332)EQ-5D Index</v>
      </c>
      <c r="C2113" t="s">
        <v>248</v>
      </c>
      <c r="D2113" t="s">
        <v>1</v>
      </c>
      <c r="E2113" t="s">
        <v>3198</v>
      </c>
      <c r="F2113" t="s">
        <v>3199</v>
      </c>
      <c r="G2113" t="s">
        <v>52</v>
      </c>
      <c r="H2113">
        <v>74</v>
      </c>
      <c r="I2113">
        <v>0.41399999999999998</v>
      </c>
      <c r="J2113">
        <v>0.83099999999999996</v>
      </c>
      <c r="K2113">
        <v>0.41799999999999998</v>
      </c>
      <c r="L2113">
        <v>65</v>
      </c>
      <c r="M2113">
        <v>3</v>
      </c>
      <c r="N2113">
        <v>6</v>
      </c>
      <c r="O2113">
        <v>0.80500000000000005</v>
      </c>
      <c r="P2113">
        <v>0.44382672200000001</v>
      </c>
      <c r="Q2113">
        <v>0.20300000000000001</v>
      </c>
    </row>
    <row r="2114" spans="1:17" x14ac:dyDescent="0.2">
      <c r="A2114" s="30" t="str">
        <f>IF(C2114&amp;G2114&amp;D2114&lt;&gt;'Funnel setup'!$K$3&amp;'Funnel setup'!$K$4&amp;'Funnel setup'!$K$5,".",IF(A2113=".",1,A2113+1))</f>
        <v>.</v>
      </c>
      <c r="B2114" s="431" t="str">
        <f t="shared" si="32"/>
        <v>Hip Replacement PrimaryProviderSPIRE LEICESTER HOSPITAL (NT322)EQ-5D Index</v>
      </c>
      <c r="C2114" t="s">
        <v>248</v>
      </c>
      <c r="D2114" t="s">
        <v>1</v>
      </c>
      <c r="E2114" t="s">
        <v>3201</v>
      </c>
      <c r="F2114" t="s">
        <v>3202</v>
      </c>
      <c r="G2114" t="s">
        <v>52</v>
      </c>
      <c r="H2114">
        <v>86</v>
      </c>
      <c r="I2114">
        <v>0.34899999999999998</v>
      </c>
      <c r="J2114">
        <v>0.83199999999999996</v>
      </c>
      <c r="K2114">
        <v>0.48299999999999998</v>
      </c>
      <c r="L2114">
        <v>80</v>
      </c>
      <c r="M2114">
        <v>5</v>
      </c>
      <c r="N2114">
        <v>1</v>
      </c>
      <c r="O2114">
        <v>0.81699999999999995</v>
      </c>
      <c r="P2114">
        <v>0.45484083800000003</v>
      </c>
      <c r="Q2114">
        <v>0.20799999999999999</v>
      </c>
    </row>
    <row r="2115" spans="1:17" x14ac:dyDescent="0.2">
      <c r="A2115" s="30" t="str">
        <f>IF(C2115&amp;G2115&amp;D2115&lt;&gt;'Funnel setup'!$K$3&amp;'Funnel setup'!$K$4&amp;'Funnel setup'!$K$5,".",IF(A2114=".",1,A2114+1))</f>
        <v>.</v>
      </c>
      <c r="B2115" s="431" t="str">
        <f t="shared" ref="B2115:B2178" si="33">C2115&amp;D2115&amp;F2115&amp;G2115</f>
        <v>Hip Replacement PrimaryProviderSPIRE LITTLE ASTON HOSPITAL (NT321)EQ-5D Index</v>
      </c>
      <c r="C2115" t="s">
        <v>248</v>
      </c>
      <c r="D2115" t="s">
        <v>1</v>
      </c>
      <c r="E2115" t="s">
        <v>3921</v>
      </c>
      <c r="F2115" t="s">
        <v>3922</v>
      </c>
      <c r="G2115" t="s">
        <v>52</v>
      </c>
      <c r="H2115">
        <v>70</v>
      </c>
      <c r="I2115">
        <v>0.34200000000000003</v>
      </c>
      <c r="J2115">
        <v>0.83299999999999996</v>
      </c>
      <c r="K2115">
        <v>0.49099999999999999</v>
      </c>
      <c r="L2115">
        <v>65</v>
      </c>
      <c r="M2115">
        <v>3</v>
      </c>
      <c r="N2115">
        <v>2</v>
      </c>
      <c r="O2115">
        <v>0.83499999999999996</v>
      </c>
      <c r="P2115">
        <v>0.47307908100000001</v>
      </c>
      <c r="Q2115">
        <v>0.157</v>
      </c>
    </row>
    <row r="2116" spans="1:17" x14ac:dyDescent="0.2">
      <c r="A2116" s="30" t="str">
        <f>IF(C2116&amp;G2116&amp;D2116&lt;&gt;'Funnel setup'!$K$3&amp;'Funnel setup'!$K$4&amp;'Funnel setup'!$K$5,".",IF(A2115=".",1,A2115+1))</f>
        <v>.</v>
      </c>
      <c r="B2116" s="431" t="str">
        <f t="shared" si="33"/>
        <v>Hip Replacement PrimaryProviderSPIRE LIVERPOOL HOSPITAL (NT337)EQ-5D Index</v>
      </c>
      <c r="C2116" t="s">
        <v>248</v>
      </c>
      <c r="D2116" t="s">
        <v>1</v>
      </c>
      <c r="E2116" t="s">
        <v>3927</v>
      </c>
      <c r="F2116" t="s">
        <v>3928</v>
      </c>
      <c r="G2116" t="s">
        <v>52</v>
      </c>
      <c r="H2116">
        <v>69</v>
      </c>
      <c r="I2116">
        <v>0.34300000000000003</v>
      </c>
      <c r="J2116">
        <v>0.79</v>
      </c>
      <c r="K2116">
        <v>0.44700000000000001</v>
      </c>
      <c r="L2116">
        <v>62</v>
      </c>
      <c r="M2116">
        <v>4</v>
      </c>
      <c r="N2116">
        <v>3</v>
      </c>
      <c r="O2116">
        <v>0.79300000000000004</v>
      </c>
      <c r="P2116">
        <v>0.43108707600000001</v>
      </c>
      <c r="Q2116">
        <v>0.23100000000000001</v>
      </c>
    </row>
    <row r="2117" spans="1:17" x14ac:dyDescent="0.2">
      <c r="A2117" s="30" t="str">
        <f>IF(C2117&amp;G2117&amp;D2117&lt;&gt;'Funnel setup'!$K$3&amp;'Funnel setup'!$K$4&amp;'Funnel setup'!$K$5,".",IF(A2116=".",1,A2116+1))</f>
        <v>.</v>
      </c>
      <c r="B2117" s="431" t="str">
        <f t="shared" si="33"/>
        <v>Hip Replacement PrimaryProviderSPIRE MANCHESTER HOSPITAL (NT327)EQ-5D Index</v>
      </c>
      <c r="C2117" t="s">
        <v>248</v>
      </c>
      <c r="D2117" t="s">
        <v>1</v>
      </c>
      <c r="E2117" t="s">
        <v>3154</v>
      </c>
      <c r="F2117" t="s">
        <v>3155</v>
      </c>
      <c r="G2117" t="s">
        <v>52</v>
      </c>
      <c r="H2117">
        <v>17</v>
      </c>
      <c r="I2117">
        <v>0.499</v>
      </c>
      <c r="J2117">
        <v>0.86899999999999999</v>
      </c>
      <c r="K2117">
        <v>0.37</v>
      </c>
      <c r="L2117">
        <v>15</v>
      </c>
      <c r="M2117">
        <v>1</v>
      </c>
      <c r="N2117">
        <v>1</v>
      </c>
      <c r="O2117" t="s">
        <v>53</v>
      </c>
      <c r="P2117" t="s">
        <v>53</v>
      </c>
      <c r="Q2117" t="s">
        <v>53</v>
      </c>
    </row>
    <row r="2118" spans="1:17" x14ac:dyDescent="0.2">
      <c r="A2118" s="30" t="str">
        <f>IF(C2118&amp;G2118&amp;D2118&lt;&gt;'Funnel setup'!$K$3&amp;'Funnel setup'!$K$4&amp;'Funnel setup'!$K$5,".",IF(A2117=".",1,A2117+1))</f>
        <v>.</v>
      </c>
      <c r="B2118" s="431" t="str">
        <f t="shared" si="33"/>
        <v>Hip Replacement PrimaryProviderSPIRE METHLEY PARK HOSPITAL (NT350)EQ-5D Index</v>
      </c>
      <c r="C2118" t="s">
        <v>248</v>
      </c>
      <c r="D2118" t="s">
        <v>1</v>
      </c>
      <c r="E2118" t="s">
        <v>3157</v>
      </c>
      <c r="F2118" t="s">
        <v>3158</v>
      </c>
      <c r="G2118" t="s">
        <v>52</v>
      </c>
      <c r="H2118">
        <v>58</v>
      </c>
      <c r="I2118">
        <v>0.38300000000000001</v>
      </c>
      <c r="J2118">
        <v>0.78100000000000003</v>
      </c>
      <c r="K2118">
        <v>0.39700000000000002</v>
      </c>
      <c r="L2118">
        <v>52</v>
      </c>
      <c r="M2118">
        <v>4</v>
      </c>
      <c r="N2118">
        <v>2</v>
      </c>
      <c r="O2118">
        <v>0.76900000000000002</v>
      </c>
      <c r="P2118">
        <v>0.40775789800000001</v>
      </c>
      <c r="Q2118">
        <v>0.186</v>
      </c>
    </row>
    <row r="2119" spans="1:17" x14ac:dyDescent="0.2">
      <c r="A2119" s="30" t="str">
        <f>IF(C2119&amp;G2119&amp;D2119&lt;&gt;'Funnel setup'!$K$3&amp;'Funnel setup'!$K$4&amp;'Funnel setup'!$K$5,".",IF(A2118=".",1,A2118+1))</f>
        <v>.</v>
      </c>
      <c r="B2119" s="431" t="str">
        <f t="shared" si="33"/>
        <v>Hip Replacement PrimaryProviderSPIRE MONTEFIORE HOSPITAL (NT364)EQ-5D Index</v>
      </c>
      <c r="C2119" t="s">
        <v>248</v>
      </c>
      <c r="D2119" t="s">
        <v>1</v>
      </c>
      <c r="E2119" t="s">
        <v>3160</v>
      </c>
      <c r="F2119" t="s">
        <v>3161</v>
      </c>
      <c r="G2119" t="s">
        <v>52</v>
      </c>
      <c r="H2119">
        <v>60</v>
      </c>
      <c r="I2119">
        <v>0.442</v>
      </c>
      <c r="J2119">
        <v>0.82599999999999996</v>
      </c>
      <c r="K2119">
        <v>0.38400000000000001</v>
      </c>
      <c r="L2119">
        <v>56</v>
      </c>
      <c r="M2119">
        <v>3</v>
      </c>
      <c r="N2119">
        <v>1</v>
      </c>
      <c r="O2119">
        <v>0.79500000000000004</v>
      </c>
      <c r="P2119">
        <v>0.43289923400000002</v>
      </c>
      <c r="Q2119">
        <v>0.184</v>
      </c>
    </row>
    <row r="2120" spans="1:17" x14ac:dyDescent="0.2">
      <c r="A2120" s="30" t="str">
        <f>IF(C2120&amp;G2120&amp;D2120&lt;&gt;'Funnel setup'!$K$3&amp;'Funnel setup'!$K$4&amp;'Funnel setup'!$K$5,".",IF(A2119=".",1,A2119+1))</f>
        <v>.</v>
      </c>
      <c r="B2120" s="431" t="str">
        <f t="shared" si="33"/>
        <v>Hip Replacement PrimaryProviderSPIRE MURRAYFIELD HOSPITAL (NT325)EQ-5D Index</v>
      </c>
      <c r="C2120" t="s">
        <v>248</v>
      </c>
      <c r="D2120" t="s">
        <v>1</v>
      </c>
      <c r="E2120" t="s">
        <v>3163</v>
      </c>
      <c r="F2120" t="s">
        <v>3164</v>
      </c>
      <c r="G2120" t="s">
        <v>52</v>
      </c>
      <c r="H2120">
        <v>63</v>
      </c>
      <c r="I2120">
        <v>0.442</v>
      </c>
      <c r="J2120">
        <v>0.82399999999999995</v>
      </c>
      <c r="K2120">
        <v>0.38100000000000001</v>
      </c>
      <c r="L2120">
        <v>57</v>
      </c>
      <c r="M2120">
        <v>2</v>
      </c>
      <c r="N2120">
        <v>4</v>
      </c>
      <c r="O2120">
        <v>0.80100000000000005</v>
      </c>
      <c r="P2120">
        <v>0.43898545999999999</v>
      </c>
      <c r="Q2120">
        <v>0.20599999999999999</v>
      </c>
    </row>
    <row r="2121" spans="1:17" x14ac:dyDescent="0.2">
      <c r="A2121" s="30" t="str">
        <f>IF(C2121&amp;G2121&amp;D2121&lt;&gt;'Funnel setup'!$K$3&amp;'Funnel setup'!$K$4&amp;'Funnel setup'!$K$5,".",IF(A2120=".",1,A2120+1))</f>
        <v>.</v>
      </c>
      <c r="B2121" s="431" t="str">
        <f t="shared" si="33"/>
        <v>Hip Replacement PrimaryProviderSPIRE NORWICH HOSPITAL (NT318)EQ-5D Index</v>
      </c>
      <c r="C2121" t="s">
        <v>248</v>
      </c>
      <c r="D2121" t="s">
        <v>1</v>
      </c>
      <c r="E2121" t="s">
        <v>4251</v>
      </c>
      <c r="F2121" t="s">
        <v>4252</v>
      </c>
      <c r="G2121" t="s">
        <v>52</v>
      </c>
      <c r="H2121">
        <v>242</v>
      </c>
      <c r="I2121">
        <v>0.44</v>
      </c>
      <c r="J2121">
        <v>0.84299999999999997</v>
      </c>
      <c r="K2121">
        <v>0.40300000000000002</v>
      </c>
      <c r="L2121">
        <v>217</v>
      </c>
      <c r="M2121">
        <v>17</v>
      </c>
      <c r="N2121">
        <v>8</v>
      </c>
      <c r="O2121">
        <v>0.81599999999999995</v>
      </c>
      <c r="P2121">
        <v>0.454287887</v>
      </c>
      <c r="Q2121">
        <v>0.2</v>
      </c>
    </row>
    <row r="2122" spans="1:17" x14ac:dyDescent="0.2">
      <c r="A2122" s="30" t="str">
        <f>IF(C2122&amp;G2122&amp;D2122&lt;&gt;'Funnel setup'!$K$3&amp;'Funnel setup'!$K$4&amp;'Funnel setup'!$K$5,".",IF(A2121=".",1,A2121+1))</f>
        <v>.</v>
      </c>
      <c r="B2122" s="431" t="str">
        <f t="shared" si="33"/>
        <v>Hip Replacement PrimaryProviderSPIRE PARKWAY HOSPITAL (NT320)EQ-5D Index</v>
      </c>
      <c r="C2122" t="s">
        <v>248</v>
      </c>
      <c r="D2122" t="s">
        <v>1</v>
      </c>
      <c r="E2122" t="s">
        <v>3166</v>
      </c>
      <c r="F2122" t="s">
        <v>3167</v>
      </c>
      <c r="G2122" t="s">
        <v>52</v>
      </c>
      <c r="H2122">
        <v>74</v>
      </c>
      <c r="I2122">
        <v>0.46600000000000003</v>
      </c>
      <c r="J2122">
        <v>0.84</v>
      </c>
      <c r="K2122">
        <v>0.374</v>
      </c>
      <c r="L2122">
        <v>63</v>
      </c>
      <c r="M2122">
        <v>4</v>
      </c>
      <c r="N2122">
        <v>7</v>
      </c>
      <c r="O2122">
        <v>0.79</v>
      </c>
      <c r="P2122">
        <v>0.42881620599999998</v>
      </c>
      <c r="Q2122">
        <v>0.22</v>
      </c>
    </row>
    <row r="2123" spans="1:17" x14ac:dyDescent="0.2">
      <c r="A2123" s="30" t="str">
        <f>IF(C2123&amp;G2123&amp;D2123&lt;&gt;'Funnel setup'!$K$3&amp;'Funnel setup'!$K$4&amp;'Funnel setup'!$K$5,".",IF(A2122=".",1,A2122+1))</f>
        <v>.</v>
      </c>
      <c r="B2123" s="431" t="str">
        <f t="shared" si="33"/>
        <v>Hip Replacement PrimaryProviderSPIRE PORTSMOUTH HOSPITAL (NT305)EQ-5D Index</v>
      </c>
      <c r="C2123" t="s">
        <v>248</v>
      </c>
      <c r="D2123" t="s">
        <v>1</v>
      </c>
      <c r="E2123" t="s">
        <v>3169</v>
      </c>
      <c r="F2123" t="s">
        <v>340</v>
      </c>
      <c r="G2123" t="s">
        <v>52</v>
      </c>
      <c r="H2123">
        <v>102</v>
      </c>
      <c r="I2123">
        <v>0.46500000000000002</v>
      </c>
      <c r="J2123">
        <v>0.86599999999999999</v>
      </c>
      <c r="K2123">
        <v>0.40100000000000002</v>
      </c>
      <c r="L2123">
        <v>96</v>
      </c>
      <c r="M2123">
        <v>3</v>
      </c>
      <c r="N2123">
        <v>3</v>
      </c>
      <c r="O2123">
        <v>0.82499999999999996</v>
      </c>
      <c r="P2123">
        <v>0.46349625500000002</v>
      </c>
      <c r="Q2123">
        <v>0.16700000000000001</v>
      </c>
    </row>
    <row r="2124" spans="1:17" x14ac:dyDescent="0.2">
      <c r="A2124" s="30" t="str">
        <f>IF(C2124&amp;G2124&amp;D2124&lt;&gt;'Funnel setup'!$K$3&amp;'Funnel setup'!$K$4&amp;'Funnel setup'!$K$5,".",IF(A2123=".",1,A2123+1))</f>
        <v>.</v>
      </c>
      <c r="B2124" s="431" t="str">
        <f t="shared" si="33"/>
        <v>Hip Replacement PrimaryProviderSPIRE REGENCY HOSPITAL (NT339)EQ-5D Index</v>
      </c>
      <c r="C2124" t="s">
        <v>248</v>
      </c>
      <c r="D2124" t="s">
        <v>1</v>
      </c>
      <c r="E2124" t="s">
        <v>3171</v>
      </c>
      <c r="F2124" t="s">
        <v>3172</v>
      </c>
      <c r="G2124" t="s">
        <v>52</v>
      </c>
      <c r="H2124">
        <v>42</v>
      </c>
      <c r="I2124">
        <v>0.42499999999999999</v>
      </c>
      <c r="J2124">
        <v>0.84599999999999997</v>
      </c>
      <c r="K2124">
        <v>0.42099999999999999</v>
      </c>
      <c r="L2124">
        <v>41</v>
      </c>
      <c r="M2124">
        <v>1</v>
      </c>
      <c r="N2124">
        <v>0</v>
      </c>
      <c r="O2124">
        <v>0.81399999999999995</v>
      </c>
      <c r="P2124">
        <v>0.45186475100000001</v>
      </c>
      <c r="Q2124">
        <v>0.17599999999999999</v>
      </c>
    </row>
    <row r="2125" spans="1:17" x14ac:dyDescent="0.2">
      <c r="A2125" s="30" t="str">
        <f>IF(C2125&amp;G2125&amp;D2125&lt;&gt;'Funnel setup'!$K$3&amp;'Funnel setup'!$K$4&amp;'Funnel setup'!$K$5,".",IF(A2124=".",1,A2124+1))</f>
        <v>.</v>
      </c>
      <c r="B2125" s="431" t="str">
        <f t="shared" si="33"/>
        <v>Hip Replacement PrimaryProviderSPIRE RODING HOSPITAL (NT314)EQ-5D Index</v>
      </c>
      <c r="C2125" t="s">
        <v>248</v>
      </c>
      <c r="D2125" t="s">
        <v>1</v>
      </c>
      <c r="E2125" t="s">
        <v>4254</v>
      </c>
      <c r="F2125" t="s">
        <v>4255</v>
      </c>
      <c r="G2125" t="s">
        <v>52</v>
      </c>
      <c r="H2125">
        <v>10</v>
      </c>
      <c r="I2125">
        <v>0.35899999999999999</v>
      </c>
      <c r="J2125">
        <v>0.876</v>
      </c>
      <c r="K2125">
        <v>0.51700000000000002</v>
      </c>
      <c r="L2125">
        <v>10</v>
      </c>
      <c r="M2125">
        <v>0</v>
      </c>
      <c r="N2125">
        <v>0</v>
      </c>
      <c r="O2125" t="s">
        <v>53</v>
      </c>
      <c r="P2125" t="s">
        <v>53</v>
      </c>
      <c r="Q2125" t="s">
        <v>53</v>
      </c>
    </row>
    <row r="2126" spans="1:17" x14ac:dyDescent="0.2">
      <c r="A2126" s="30" t="str">
        <f>IF(C2126&amp;G2126&amp;D2126&lt;&gt;'Funnel setup'!$K$3&amp;'Funnel setup'!$K$4&amp;'Funnel setup'!$K$5,".",IF(A2125=".",1,A2125+1))</f>
        <v>.</v>
      </c>
      <c r="B2126" s="431" t="str">
        <f t="shared" si="33"/>
        <v>Hip Replacement PrimaryProviderSPIRE SOUTH BANK HOSPITAL (NT301)EQ-5D Index</v>
      </c>
      <c r="C2126" t="s">
        <v>248</v>
      </c>
      <c r="D2126" t="s">
        <v>1</v>
      </c>
      <c r="E2126" t="s">
        <v>3174</v>
      </c>
      <c r="F2126" t="s">
        <v>3175</v>
      </c>
      <c r="G2126" t="s">
        <v>52</v>
      </c>
      <c r="H2126">
        <v>27</v>
      </c>
      <c r="I2126">
        <v>0.34399999999999997</v>
      </c>
      <c r="J2126">
        <v>0.78</v>
      </c>
      <c r="K2126">
        <v>0.436</v>
      </c>
      <c r="L2126">
        <v>25</v>
      </c>
      <c r="M2126">
        <v>1</v>
      </c>
      <c r="N2126">
        <v>1</v>
      </c>
      <c r="O2126" t="s">
        <v>53</v>
      </c>
      <c r="P2126" t="s">
        <v>53</v>
      </c>
      <c r="Q2126" t="s">
        <v>53</v>
      </c>
    </row>
    <row r="2127" spans="1:17" x14ac:dyDescent="0.2">
      <c r="A2127" s="30" t="str">
        <f>IF(C2127&amp;G2127&amp;D2127&lt;&gt;'Funnel setup'!$K$3&amp;'Funnel setup'!$K$4&amp;'Funnel setup'!$K$5,".",IF(A2126=".",1,A2126+1))</f>
        <v>.</v>
      </c>
      <c r="B2127" s="431" t="str">
        <f t="shared" si="33"/>
        <v>Hip Replacement PrimaryProviderSPIRE ST SAVIOURS HOSPITAL (NT346)EQ-5D Index</v>
      </c>
      <c r="C2127" t="s">
        <v>248</v>
      </c>
      <c r="D2127" t="s">
        <v>1</v>
      </c>
      <c r="E2127" t="s">
        <v>3177</v>
      </c>
      <c r="F2127" t="s">
        <v>3178</v>
      </c>
      <c r="G2127" t="s">
        <v>52</v>
      </c>
      <c r="H2127">
        <v>25</v>
      </c>
      <c r="I2127">
        <v>0.34599999999999997</v>
      </c>
      <c r="J2127">
        <v>0.90500000000000003</v>
      </c>
      <c r="K2127">
        <v>0.55900000000000005</v>
      </c>
      <c r="L2127">
        <v>24</v>
      </c>
      <c r="M2127">
        <v>1</v>
      </c>
      <c r="N2127">
        <v>0</v>
      </c>
      <c r="O2127" t="s">
        <v>53</v>
      </c>
      <c r="P2127" t="s">
        <v>53</v>
      </c>
      <c r="Q2127" t="s">
        <v>53</v>
      </c>
    </row>
    <row r="2128" spans="1:17" x14ac:dyDescent="0.2">
      <c r="A2128" s="30" t="str">
        <f>IF(C2128&amp;G2128&amp;D2128&lt;&gt;'Funnel setup'!$K$3&amp;'Funnel setup'!$K$4&amp;'Funnel setup'!$K$5,".",IF(A2127=".",1,A2127+1))</f>
        <v>.</v>
      </c>
      <c r="B2128" s="431" t="str">
        <f t="shared" si="33"/>
        <v>Hip Replacement PrimaryProviderSPIRE SUSSEX HOSPITAL (NT309)EQ-5D Index</v>
      </c>
      <c r="C2128" t="s">
        <v>248</v>
      </c>
      <c r="D2128" t="s">
        <v>1</v>
      </c>
      <c r="E2128" t="s">
        <v>3180</v>
      </c>
      <c r="F2128" t="s">
        <v>3181</v>
      </c>
      <c r="G2128" t="s">
        <v>52</v>
      </c>
      <c r="H2128">
        <v>30</v>
      </c>
      <c r="I2128">
        <v>0.48399999999999999</v>
      </c>
      <c r="J2128">
        <v>0.89100000000000001</v>
      </c>
      <c r="K2128">
        <v>0.40699999999999997</v>
      </c>
      <c r="L2128">
        <v>28</v>
      </c>
      <c r="M2128">
        <v>2</v>
      </c>
      <c r="N2128">
        <v>0</v>
      </c>
      <c r="O2128">
        <v>0.84299999999999997</v>
      </c>
      <c r="P2128">
        <v>0.480875473</v>
      </c>
      <c r="Q2128">
        <v>0.17699999999999999</v>
      </c>
    </row>
    <row r="2129" spans="1:17" x14ac:dyDescent="0.2">
      <c r="A2129" s="30" t="str">
        <f>IF(C2129&amp;G2129&amp;D2129&lt;&gt;'Funnel setup'!$K$3&amp;'Funnel setup'!$K$4&amp;'Funnel setup'!$K$5,".",IF(A2128=".",1,A2128+1))</f>
        <v>.</v>
      </c>
      <c r="B2129" s="431" t="str">
        <f t="shared" si="33"/>
        <v>Hip Replacement PrimaryProviderSPIRE THAMES VALLEY HOSPITAL (NT343)EQ-5D Index</v>
      </c>
      <c r="C2129" t="s">
        <v>248</v>
      </c>
      <c r="D2129" t="s">
        <v>1</v>
      </c>
      <c r="E2129" t="s">
        <v>3183</v>
      </c>
      <c r="F2129" t="s">
        <v>3184</v>
      </c>
      <c r="G2129" t="s">
        <v>52</v>
      </c>
      <c r="H2129" t="s">
        <v>53</v>
      </c>
      <c r="I2129" t="s">
        <v>53</v>
      </c>
      <c r="J2129" t="s">
        <v>53</v>
      </c>
      <c r="K2129" t="s">
        <v>53</v>
      </c>
      <c r="L2129" t="s">
        <v>53</v>
      </c>
      <c r="M2129" t="s">
        <v>53</v>
      </c>
      <c r="N2129" t="s">
        <v>53</v>
      </c>
      <c r="O2129" t="s">
        <v>53</v>
      </c>
      <c r="P2129" t="s">
        <v>53</v>
      </c>
      <c r="Q2129" t="s">
        <v>53</v>
      </c>
    </row>
    <row r="2130" spans="1:17" x14ac:dyDescent="0.2">
      <c r="A2130" s="30" t="str">
        <f>IF(C2130&amp;G2130&amp;D2130&lt;&gt;'Funnel setup'!$K$3&amp;'Funnel setup'!$K$4&amp;'Funnel setup'!$K$5,".",IF(A2129=".",1,A2129+1))</f>
        <v>.</v>
      </c>
      <c r="B2130" s="431" t="str">
        <f t="shared" si="33"/>
        <v>Hip Replacement PrimaryProviderSPIRE TUNBRIDGE WELLS HOSPITAL (NT310)EQ-5D Index</v>
      </c>
      <c r="C2130" t="s">
        <v>248</v>
      </c>
      <c r="D2130" t="s">
        <v>1</v>
      </c>
      <c r="E2130" t="s">
        <v>3186</v>
      </c>
      <c r="F2130" t="s">
        <v>3187</v>
      </c>
      <c r="G2130" t="s">
        <v>52</v>
      </c>
      <c r="H2130" t="s">
        <v>53</v>
      </c>
      <c r="I2130" t="s">
        <v>53</v>
      </c>
      <c r="J2130" t="s">
        <v>53</v>
      </c>
      <c r="K2130" t="s">
        <v>53</v>
      </c>
      <c r="L2130" t="s">
        <v>53</v>
      </c>
      <c r="M2130" t="s">
        <v>53</v>
      </c>
      <c r="N2130" t="s">
        <v>53</v>
      </c>
      <c r="O2130" t="s">
        <v>53</v>
      </c>
      <c r="P2130" t="s">
        <v>53</v>
      </c>
      <c r="Q2130" t="s">
        <v>53</v>
      </c>
    </row>
    <row r="2131" spans="1:17" x14ac:dyDescent="0.2">
      <c r="A2131" s="30" t="str">
        <f>IF(C2131&amp;G2131&amp;D2131&lt;&gt;'Funnel setup'!$K$3&amp;'Funnel setup'!$K$4&amp;'Funnel setup'!$K$5,".",IF(A2130=".",1,A2130+1))</f>
        <v>.</v>
      </c>
      <c r="B2131" s="431" t="str">
        <f t="shared" si="33"/>
        <v>Hip Replacement PrimaryProviderSPIRE WASHINGTON HOSPITAL (NT333)EQ-5D Index</v>
      </c>
      <c r="C2131" t="s">
        <v>248</v>
      </c>
      <c r="D2131" t="s">
        <v>1</v>
      </c>
      <c r="E2131" t="s">
        <v>3189</v>
      </c>
      <c r="F2131" t="s">
        <v>3190</v>
      </c>
      <c r="G2131" t="s">
        <v>52</v>
      </c>
      <c r="H2131">
        <v>62</v>
      </c>
      <c r="I2131">
        <v>0.32700000000000001</v>
      </c>
      <c r="J2131">
        <v>0.82699999999999996</v>
      </c>
      <c r="K2131">
        <v>0.5</v>
      </c>
      <c r="L2131">
        <v>55</v>
      </c>
      <c r="M2131">
        <v>3</v>
      </c>
      <c r="N2131">
        <v>4</v>
      </c>
      <c r="O2131">
        <v>0.82499999999999996</v>
      </c>
      <c r="P2131">
        <v>0.46284119000000001</v>
      </c>
      <c r="Q2131">
        <v>0.16500000000000001</v>
      </c>
    </row>
    <row r="2132" spans="1:17" x14ac:dyDescent="0.2">
      <c r="A2132" s="30" t="str">
        <f>IF(C2132&amp;G2132&amp;D2132&lt;&gt;'Funnel setup'!$K$3&amp;'Funnel setup'!$K$4&amp;'Funnel setup'!$K$5,".",IF(A2131=".",1,A2131+1))</f>
        <v>.</v>
      </c>
      <c r="B2132" s="431" t="str">
        <f t="shared" si="33"/>
        <v>Hip Replacement PrimaryProviderSPIRE WELLESLEY HOSPITAL (NT313)EQ-5D Index</v>
      </c>
      <c r="C2132" t="s">
        <v>248</v>
      </c>
      <c r="D2132" t="s">
        <v>1</v>
      </c>
      <c r="E2132" t="s">
        <v>3192</v>
      </c>
      <c r="F2132" t="s">
        <v>3193</v>
      </c>
      <c r="G2132" t="s">
        <v>52</v>
      </c>
      <c r="H2132">
        <v>80</v>
      </c>
      <c r="I2132">
        <v>0.35699999999999998</v>
      </c>
      <c r="J2132">
        <v>0.81399999999999995</v>
      </c>
      <c r="K2132">
        <v>0.45600000000000002</v>
      </c>
      <c r="L2132">
        <v>73</v>
      </c>
      <c r="M2132">
        <v>4</v>
      </c>
      <c r="N2132">
        <v>3</v>
      </c>
      <c r="O2132">
        <v>0.81599999999999995</v>
      </c>
      <c r="P2132">
        <v>0.45453178100000002</v>
      </c>
      <c r="Q2132">
        <v>0.19800000000000001</v>
      </c>
    </row>
    <row r="2133" spans="1:17" x14ac:dyDescent="0.2">
      <c r="A2133" s="30" t="str">
        <f>IF(C2133&amp;G2133&amp;D2133&lt;&gt;'Funnel setup'!$K$3&amp;'Funnel setup'!$K$4&amp;'Funnel setup'!$K$5,".",IF(A2132=".",1,A2132+1))</f>
        <v>.</v>
      </c>
      <c r="B2133" s="431" t="str">
        <f t="shared" si="33"/>
        <v>Hip Replacement PrimaryProviderSPRINGFIELD HOSPITAL (NVC18)EQ-5D Index</v>
      </c>
      <c r="C2133" t="s">
        <v>248</v>
      </c>
      <c r="D2133" t="s">
        <v>1</v>
      </c>
      <c r="E2133" t="s">
        <v>3195</v>
      </c>
      <c r="F2133" t="s">
        <v>3196</v>
      </c>
      <c r="G2133" t="s">
        <v>52</v>
      </c>
      <c r="H2133">
        <v>153</v>
      </c>
      <c r="I2133">
        <v>0.374</v>
      </c>
      <c r="J2133">
        <v>0.86499999999999999</v>
      </c>
      <c r="K2133">
        <v>0.49</v>
      </c>
      <c r="L2133">
        <v>144</v>
      </c>
      <c r="M2133">
        <v>6</v>
      </c>
      <c r="N2133">
        <v>3</v>
      </c>
      <c r="O2133">
        <v>0.84799999999999998</v>
      </c>
      <c r="P2133">
        <v>0.48666387</v>
      </c>
      <c r="Q2133">
        <v>0.182</v>
      </c>
    </row>
    <row r="2134" spans="1:17" x14ac:dyDescent="0.2">
      <c r="A2134" s="30" t="str">
        <f>IF(C2134&amp;G2134&amp;D2134&lt;&gt;'Funnel setup'!$K$3&amp;'Funnel setup'!$K$4&amp;'Funnel setup'!$K$5,".",IF(A2133=".",1,A2133+1))</f>
        <v>.</v>
      </c>
      <c r="B2134" s="431" t="str">
        <f t="shared" si="33"/>
        <v>Hip Replacement PrimaryProviderST GEORGE'S UNIVERSITY HOSPITALS NHS FOUNDATION TRUST (RJ7)EQ-5D Index</v>
      </c>
      <c r="C2134" t="s">
        <v>248</v>
      </c>
      <c r="D2134" t="s">
        <v>1</v>
      </c>
      <c r="E2134" t="s">
        <v>3124</v>
      </c>
      <c r="F2134" t="s">
        <v>3125</v>
      </c>
      <c r="G2134" t="s">
        <v>52</v>
      </c>
      <c r="H2134" t="s">
        <v>53</v>
      </c>
      <c r="I2134" t="s">
        <v>53</v>
      </c>
      <c r="J2134" t="s">
        <v>53</v>
      </c>
      <c r="K2134" t="s">
        <v>53</v>
      </c>
      <c r="L2134" t="s">
        <v>53</v>
      </c>
      <c r="M2134" t="s">
        <v>53</v>
      </c>
      <c r="N2134" t="s">
        <v>53</v>
      </c>
      <c r="O2134" t="s">
        <v>53</v>
      </c>
      <c r="P2134" t="s">
        <v>53</v>
      </c>
      <c r="Q2134" t="s">
        <v>53</v>
      </c>
    </row>
    <row r="2135" spans="1:17" x14ac:dyDescent="0.2">
      <c r="A2135" s="30" t="str">
        <f>IF(C2135&amp;G2135&amp;D2135&lt;&gt;'Funnel setup'!$K$3&amp;'Funnel setup'!$K$4&amp;'Funnel setup'!$K$5,".",IF(A2134=".",1,A2134+1))</f>
        <v>.</v>
      </c>
      <c r="B2135" s="431" t="str">
        <f t="shared" si="33"/>
        <v>Hip Replacement PrimaryProviderST HELENS AND KNOWSLEY HOSPITALS NHS TRUST (RBN)EQ-5D Index</v>
      </c>
      <c r="C2135" t="s">
        <v>248</v>
      </c>
      <c r="D2135" t="s">
        <v>1</v>
      </c>
      <c r="E2135" t="s">
        <v>3127</v>
      </c>
      <c r="F2135" t="s">
        <v>3128</v>
      </c>
      <c r="G2135" t="s">
        <v>52</v>
      </c>
      <c r="H2135">
        <v>145</v>
      </c>
      <c r="I2135">
        <v>0.27600000000000002</v>
      </c>
      <c r="J2135">
        <v>0.69499999999999995</v>
      </c>
      <c r="K2135">
        <v>0.41899999999999998</v>
      </c>
      <c r="L2135">
        <v>118</v>
      </c>
      <c r="M2135">
        <v>9</v>
      </c>
      <c r="N2135">
        <v>18</v>
      </c>
      <c r="O2135">
        <v>0.748</v>
      </c>
      <c r="P2135">
        <v>0.38622695800000001</v>
      </c>
      <c r="Q2135">
        <v>0.3</v>
      </c>
    </row>
    <row r="2136" spans="1:17" x14ac:dyDescent="0.2">
      <c r="A2136" s="30" t="str">
        <f>IF(C2136&amp;G2136&amp;D2136&lt;&gt;'Funnel setup'!$K$3&amp;'Funnel setup'!$K$4&amp;'Funnel setup'!$K$5,".",IF(A2135=".",1,A2135+1))</f>
        <v>.</v>
      </c>
      <c r="B2136" s="431" t="str">
        <f t="shared" si="33"/>
        <v>Hip Replacement PrimaryProviderST HUGH'S HOSPITAL (NTE02)EQ-5D Index</v>
      </c>
      <c r="C2136" t="s">
        <v>248</v>
      </c>
      <c r="D2136" t="s">
        <v>1</v>
      </c>
      <c r="E2136" t="s">
        <v>3130</v>
      </c>
      <c r="F2136" t="s">
        <v>3131</v>
      </c>
      <c r="G2136" t="s">
        <v>52</v>
      </c>
      <c r="H2136">
        <v>40</v>
      </c>
      <c r="I2136">
        <v>0.38700000000000001</v>
      </c>
      <c r="J2136">
        <v>0.91500000000000004</v>
      </c>
      <c r="K2136">
        <v>0.52800000000000002</v>
      </c>
      <c r="L2136">
        <v>37</v>
      </c>
      <c r="M2136">
        <v>2</v>
      </c>
      <c r="N2136">
        <v>1</v>
      </c>
      <c r="O2136">
        <v>0.876</v>
      </c>
      <c r="P2136">
        <v>0.51447560199999998</v>
      </c>
      <c r="Q2136">
        <v>0.153</v>
      </c>
    </row>
    <row r="2137" spans="1:17" x14ac:dyDescent="0.2">
      <c r="A2137" s="30" t="str">
        <f>IF(C2137&amp;G2137&amp;D2137&lt;&gt;'Funnel setup'!$K$3&amp;'Funnel setup'!$K$4&amp;'Funnel setup'!$K$5,".",IF(A2136=".",1,A2136+1))</f>
        <v>.</v>
      </c>
      <c r="B2137" s="431" t="str">
        <f t="shared" si="33"/>
        <v>Hip Replacement PrimaryProviderSTOCKPORT NHS FOUNDATION TRUST (RWJ)EQ-5D Index</v>
      </c>
      <c r="C2137" t="s">
        <v>248</v>
      </c>
      <c r="D2137" t="s">
        <v>1</v>
      </c>
      <c r="E2137" t="s">
        <v>3142</v>
      </c>
      <c r="F2137" t="s">
        <v>3143</v>
      </c>
      <c r="G2137" t="s">
        <v>52</v>
      </c>
      <c r="H2137">
        <v>215</v>
      </c>
      <c r="I2137">
        <v>0.32500000000000001</v>
      </c>
      <c r="J2137">
        <v>0.83799999999999997</v>
      </c>
      <c r="K2137">
        <v>0.51400000000000001</v>
      </c>
      <c r="L2137">
        <v>204</v>
      </c>
      <c r="M2137">
        <v>8</v>
      </c>
      <c r="N2137">
        <v>3</v>
      </c>
      <c r="O2137">
        <v>0.83799999999999997</v>
      </c>
      <c r="P2137">
        <v>0.47614991499999998</v>
      </c>
      <c r="Q2137">
        <v>0.17699999999999999</v>
      </c>
    </row>
    <row r="2138" spans="1:17" x14ac:dyDescent="0.2">
      <c r="A2138" s="30" t="str">
        <f>IF(C2138&amp;G2138&amp;D2138&lt;&gt;'Funnel setup'!$K$3&amp;'Funnel setup'!$K$4&amp;'Funnel setup'!$K$5,".",IF(A2137=".",1,A2137+1))</f>
        <v>.</v>
      </c>
      <c r="B2138" s="431" t="str">
        <f t="shared" si="33"/>
        <v>Hip Replacement PrimaryProviderSURREY AND SUSSEX HEALTHCARE NHS TRUST (RTP)EQ-5D Index</v>
      </c>
      <c r="C2138" t="s">
        <v>248</v>
      </c>
      <c r="D2138" t="s">
        <v>1</v>
      </c>
      <c r="E2138" t="s">
        <v>3145</v>
      </c>
      <c r="F2138" t="s">
        <v>3146</v>
      </c>
      <c r="G2138" t="s">
        <v>52</v>
      </c>
      <c r="H2138">
        <v>91</v>
      </c>
      <c r="I2138">
        <v>0.375</v>
      </c>
      <c r="J2138">
        <v>0.78700000000000003</v>
      </c>
      <c r="K2138">
        <v>0.41199999999999998</v>
      </c>
      <c r="L2138">
        <v>79</v>
      </c>
      <c r="M2138">
        <v>7</v>
      </c>
      <c r="N2138">
        <v>5</v>
      </c>
      <c r="O2138">
        <v>0.78600000000000003</v>
      </c>
      <c r="P2138">
        <v>0.42387017199999999</v>
      </c>
      <c r="Q2138">
        <v>0.23400000000000001</v>
      </c>
    </row>
    <row r="2139" spans="1:17" x14ac:dyDescent="0.2">
      <c r="A2139" s="30" t="str">
        <f>IF(C2139&amp;G2139&amp;D2139&lt;&gt;'Funnel setup'!$K$3&amp;'Funnel setup'!$K$4&amp;'Funnel setup'!$K$5,".",IF(A2138=".",1,A2138+1))</f>
        <v>.</v>
      </c>
      <c r="B2139" s="431" t="str">
        <f t="shared" si="33"/>
        <v>Hip Replacement PrimaryProviderTAMESIDE HOSPITAL NHS FOUNDATION TRUST (RMP)EQ-5D Index</v>
      </c>
      <c r="C2139" t="s">
        <v>248</v>
      </c>
      <c r="D2139" t="s">
        <v>1</v>
      </c>
      <c r="E2139" t="s">
        <v>3148</v>
      </c>
      <c r="F2139" t="s">
        <v>3149</v>
      </c>
      <c r="G2139" t="s">
        <v>52</v>
      </c>
      <c r="H2139">
        <v>83</v>
      </c>
      <c r="I2139">
        <v>0.307</v>
      </c>
      <c r="J2139">
        <v>0.749</v>
      </c>
      <c r="K2139">
        <v>0.441</v>
      </c>
      <c r="L2139">
        <v>73</v>
      </c>
      <c r="M2139">
        <v>6</v>
      </c>
      <c r="N2139">
        <v>4</v>
      </c>
      <c r="O2139">
        <v>0.78700000000000003</v>
      </c>
      <c r="P2139">
        <v>0.42550873299999997</v>
      </c>
      <c r="Q2139">
        <v>0.25600000000000001</v>
      </c>
    </row>
    <row r="2140" spans="1:17" x14ac:dyDescent="0.2">
      <c r="A2140" s="30" t="str">
        <f>IF(C2140&amp;G2140&amp;D2140&lt;&gt;'Funnel setup'!$K$3&amp;'Funnel setup'!$K$4&amp;'Funnel setup'!$K$5,".",IF(A2139=".",1,A2139+1))</f>
        <v>.</v>
      </c>
      <c r="B2140" s="431" t="str">
        <f t="shared" si="33"/>
        <v>Hip Replacement PrimaryProviderTAUNTON AND SOMERSET NHS FOUNDATION TRUST (RBA)EQ-5D Index</v>
      </c>
      <c r="C2140" t="s">
        <v>248</v>
      </c>
      <c r="D2140" t="s">
        <v>1</v>
      </c>
      <c r="E2140" t="s">
        <v>3151</v>
      </c>
      <c r="F2140" t="s">
        <v>3152</v>
      </c>
      <c r="G2140" t="s">
        <v>52</v>
      </c>
      <c r="H2140">
        <v>76</v>
      </c>
      <c r="I2140">
        <v>0.38700000000000001</v>
      </c>
      <c r="J2140">
        <v>0.83</v>
      </c>
      <c r="K2140">
        <v>0.443</v>
      </c>
      <c r="L2140">
        <v>68</v>
      </c>
      <c r="M2140">
        <v>5</v>
      </c>
      <c r="N2140">
        <v>3</v>
      </c>
      <c r="O2140">
        <v>0.82899999999999996</v>
      </c>
      <c r="P2140">
        <v>0.46758055900000001</v>
      </c>
      <c r="Q2140">
        <v>0.17699999999999999</v>
      </c>
    </row>
    <row r="2141" spans="1:17" x14ac:dyDescent="0.2">
      <c r="A2141" s="30" t="str">
        <f>IF(C2141&amp;G2141&amp;D2141&lt;&gt;'Funnel setup'!$K$3&amp;'Funnel setup'!$K$4&amp;'Funnel setup'!$K$5,".",IF(A2140=".",1,A2140+1))</f>
        <v>.</v>
      </c>
      <c r="B2141" s="431" t="str">
        <f t="shared" si="33"/>
        <v>Hip Replacement PrimaryProviderTHE BERKSHIRE INDEPENDENT HOSPITAL (NVC02)EQ-5D Index</v>
      </c>
      <c r="C2141" t="s">
        <v>248</v>
      </c>
      <c r="D2141" t="s">
        <v>1</v>
      </c>
      <c r="E2141" t="s">
        <v>3118</v>
      </c>
      <c r="F2141" t="s">
        <v>3119</v>
      </c>
      <c r="G2141" t="s">
        <v>52</v>
      </c>
      <c r="H2141">
        <v>24</v>
      </c>
      <c r="I2141">
        <v>0.53200000000000003</v>
      </c>
      <c r="J2141">
        <v>0.95099999999999996</v>
      </c>
      <c r="K2141">
        <v>0.41799999999999998</v>
      </c>
      <c r="L2141">
        <v>24</v>
      </c>
      <c r="M2141">
        <v>0</v>
      </c>
      <c r="N2141">
        <v>0</v>
      </c>
      <c r="O2141" t="s">
        <v>53</v>
      </c>
      <c r="P2141" t="s">
        <v>53</v>
      </c>
      <c r="Q2141" t="s">
        <v>53</v>
      </c>
    </row>
    <row r="2142" spans="1:17" x14ac:dyDescent="0.2">
      <c r="A2142" s="30" t="str">
        <f>IF(C2142&amp;G2142&amp;D2142&lt;&gt;'Funnel setup'!$K$3&amp;'Funnel setup'!$K$4&amp;'Funnel setup'!$K$5,".",IF(A2141=".",1,A2141+1))</f>
        <v>.</v>
      </c>
      <c r="B2142" s="431" t="str">
        <f t="shared" si="33"/>
        <v>Hip Replacement PrimaryProviderTHE DUDLEY GROUP NHS FOUNDATION TRUST (RNA)EQ-5D Index</v>
      </c>
      <c r="C2142" t="s">
        <v>248</v>
      </c>
      <c r="D2142" t="s">
        <v>1</v>
      </c>
      <c r="E2142" t="s">
        <v>3121</v>
      </c>
      <c r="F2142" t="s">
        <v>3122</v>
      </c>
      <c r="G2142" t="s">
        <v>52</v>
      </c>
      <c r="H2142">
        <v>244</v>
      </c>
      <c r="I2142">
        <v>0.30599999999999999</v>
      </c>
      <c r="J2142">
        <v>0.76600000000000001</v>
      </c>
      <c r="K2142">
        <v>0.46</v>
      </c>
      <c r="L2142">
        <v>219</v>
      </c>
      <c r="M2142">
        <v>11</v>
      </c>
      <c r="N2142">
        <v>14</v>
      </c>
      <c r="O2142">
        <v>0.79100000000000004</v>
      </c>
      <c r="P2142">
        <v>0.42929817100000001</v>
      </c>
      <c r="Q2142">
        <v>0.24199999999999999</v>
      </c>
    </row>
    <row r="2143" spans="1:17" x14ac:dyDescent="0.2">
      <c r="A2143" s="30" t="str">
        <f>IF(C2143&amp;G2143&amp;D2143&lt;&gt;'Funnel setup'!$K$3&amp;'Funnel setup'!$K$4&amp;'Funnel setup'!$K$5,".",IF(A2142=".",1,A2142+1))</f>
        <v>.</v>
      </c>
      <c r="B2143" s="431" t="str">
        <f t="shared" si="33"/>
        <v>Hip Replacement PrimaryProviderTHE HILLINGDON HOSPITALS NHS FOUNDATION TRUST (RAS)EQ-5D Index</v>
      </c>
      <c r="C2143" t="s">
        <v>248</v>
      </c>
      <c r="D2143" t="s">
        <v>1</v>
      </c>
      <c r="E2143" t="s">
        <v>3115</v>
      </c>
      <c r="F2143" t="s">
        <v>3116</v>
      </c>
      <c r="G2143" t="s">
        <v>52</v>
      </c>
      <c r="H2143">
        <v>172</v>
      </c>
      <c r="I2143">
        <v>0.36699999999999999</v>
      </c>
      <c r="J2143">
        <v>0.79700000000000004</v>
      </c>
      <c r="K2143">
        <v>0.42899999999999999</v>
      </c>
      <c r="L2143">
        <v>150</v>
      </c>
      <c r="M2143">
        <v>10</v>
      </c>
      <c r="N2143">
        <v>12</v>
      </c>
      <c r="O2143">
        <v>0.80300000000000005</v>
      </c>
      <c r="P2143">
        <v>0.44182032399999999</v>
      </c>
      <c r="Q2143">
        <v>0.24</v>
      </c>
    </row>
    <row r="2144" spans="1:17" x14ac:dyDescent="0.2">
      <c r="A2144" s="30" t="str">
        <f>IF(C2144&amp;G2144&amp;D2144&lt;&gt;'Funnel setup'!$K$3&amp;'Funnel setup'!$K$4&amp;'Funnel setup'!$K$5,".",IF(A2143=".",1,A2143+1))</f>
        <v>.</v>
      </c>
      <c r="B2144" s="431" t="str">
        <f t="shared" si="33"/>
        <v>Hip Replacement PrimaryProviderTHE HORDER CENTRE - ST JOHNS ROAD (NXM01)EQ-5D Index</v>
      </c>
      <c r="C2144" t="s">
        <v>248</v>
      </c>
      <c r="D2144" t="s">
        <v>1</v>
      </c>
      <c r="E2144" t="s">
        <v>4222</v>
      </c>
      <c r="F2144" t="s">
        <v>4223</v>
      </c>
      <c r="G2144" t="s">
        <v>52</v>
      </c>
      <c r="H2144">
        <v>584</v>
      </c>
      <c r="I2144">
        <v>0.48899999999999999</v>
      </c>
      <c r="J2144">
        <v>0.86699999999999999</v>
      </c>
      <c r="K2144">
        <v>0.378</v>
      </c>
      <c r="L2144">
        <v>525</v>
      </c>
      <c r="M2144">
        <v>36</v>
      </c>
      <c r="N2144">
        <v>23</v>
      </c>
      <c r="O2144">
        <v>0.83099999999999996</v>
      </c>
      <c r="P2144">
        <v>0.46945045200000002</v>
      </c>
      <c r="Q2144">
        <v>0.186</v>
      </c>
    </row>
    <row r="2145" spans="1:17" x14ac:dyDescent="0.2">
      <c r="A2145" s="30" t="str">
        <f>IF(C2145&amp;G2145&amp;D2145&lt;&gt;'Funnel setup'!$K$3&amp;'Funnel setup'!$K$4&amp;'Funnel setup'!$K$5,".",IF(A2144=".",1,A2144+1))</f>
        <v>.</v>
      </c>
      <c r="B2145" s="431" t="str">
        <f t="shared" si="33"/>
        <v>Hip Replacement PrimaryProviderTHE NEWCASTLE UPON TYNE HOSPITALS NHS FOUNDATION TRUST (RTD)EQ-5D Index</v>
      </c>
      <c r="C2145" t="s">
        <v>248</v>
      </c>
      <c r="D2145" t="s">
        <v>1</v>
      </c>
      <c r="E2145" t="s">
        <v>3748</v>
      </c>
      <c r="F2145" t="s">
        <v>3749</v>
      </c>
      <c r="G2145" t="s">
        <v>52</v>
      </c>
      <c r="H2145">
        <v>321</v>
      </c>
      <c r="I2145">
        <v>0.38400000000000001</v>
      </c>
      <c r="J2145">
        <v>0.79700000000000004</v>
      </c>
      <c r="K2145">
        <v>0.41299999999999998</v>
      </c>
      <c r="L2145">
        <v>287</v>
      </c>
      <c r="M2145">
        <v>20</v>
      </c>
      <c r="N2145">
        <v>14</v>
      </c>
      <c r="O2145">
        <v>0.79500000000000004</v>
      </c>
      <c r="P2145">
        <v>0.43350198000000001</v>
      </c>
      <c r="Q2145">
        <v>0.222</v>
      </c>
    </row>
    <row r="2146" spans="1:17" x14ac:dyDescent="0.2">
      <c r="A2146" s="30" t="str">
        <f>IF(C2146&amp;G2146&amp;D2146&lt;&gt;'Funnel setup'!$K$3&amp;'Funnel setup'!$K$4&amp;'Funnel setup'!$K$5,".",IF(A2145=".",1,A2145+1))</f>
        <v>.</v>
      </c>
      <c r="B2146" s="431" t="str">
        <f t="shared" si="33"/>
        <v>Hip Replacement PrimaryProviderTHE PRINCESS ALEXANDRA HOSPITAL NHS TRUST (RQW)EQ-5D Index</v>
      </c>
      <c r="C2146" t="s">
        <v>248</v>
      </c>
      <c r="D2146" t="s">
        <v>1</v>
      </c>
      <c r="E2146" t="s">
        <v>3751</v>
      </c>
      <c r="F2146" t="s">
        <v>3752</v>
      </c>
      <c r="G2146" t="s">
        <v>52</v>
      </c>
      <c r="H2146">
        <v>169</v>
      </c>
      <c r="I2146">
        <v>0.33</v>
      </c>
      <c r="J2146">
        <v>0.77500000000000002</v>
      </c>
      <c r="K2146">
        <v>0.44400000000000001</v>
      </c>
      <c r="L2146">
        <v>149</v>
      </c>
      <c r="M2146">
        <v>10</v>
      </c>
      <c r="N2146">
        <v>10</v>
      </c>
      <c r="O2146">
        <v>0.77900000000000003</v>
      </c>
      <c r="P2146">
        <v>0.41689896300000001</v>
      </c>
      <c r="Q2146">
        <v>0.22700000000000001</v>
      </c>
    </row>
    <row r="2147" spans="1:17" x14ac:dyDescent="0.2">
      <c r="A2147" s="30" t="str">
        <f>IF(C2147&amp;G2147&amp;D2147&lt;&gt;'Funnel setup'!$K$3&amp;'Funnel setup'!$K$4&amp;'Funnel setup'!$K$5,".",IF(A2146=".",1,A2146+1))</f>
        <v>.</v>
      </c>
      <c r="B2147" s="431" t="str">
        <f t="shared" si="33"/>
        <v>Hip Replacement PrimaryProviderTHE QUEEN ELIZABETH HOSPITAL, KING'S LYNN, NHS FOUNDATION TRUST (RCX)EQ-5D Index</v>
      </c>
      <c r="C2147" t="s">
        <v>248</v>
      </c>
      <c r="D2147" t="s">
        <v>1</v>
      </c>
      <c r="E2147" t="s">
        <v>3754</v>
      </c>
      <c r="F2147" t="s">
        <v>3755</v>
      </c>
      <c r="G2147" t="s">
        <v>52</v>
      </c>
      <c r="H2147">
        <v>153</v>
      </c>
      <c r="I2147">
        <v>0.29599999999999999</v>
      </c>
      <c r="J2147">
        <v>0.77700000000000002</v>
      </c>
      <c r="K2147">
        <v>0.48199999999999998</v>
      </c>
      <c r="L2147">
        <v>139</v>
      </c>
      <c r="M2147">
        <v>6</v>
      </c>
      <c r="N2147">
        <v>8</v>
      </c>
      <c r="O2147">
        <v>0.8</v>
      </c>
      <c r="P2147">
        <v>0.43809862999999999</v>
      </c>
      <c r="Q2147">
        <v>0.23799999999999999</v>
      </c>
    </row>
    <row r="2148" spans="1:17" x14ac:dyDescent="0.2">
      <c r="A2148" s="30" t="str">
        <f>IF(C2148&amp;G2148&amp;D2148&lt;&gt;'Funnel setup'!$K$3&amp;'Funnel setup'!$K$4&amp;'Funnel setup'!$K$5,".",IF(A2147=".",1,A2147+1))</f>
        <v>.</v>
      </c>
      <c r="B2148" s="431" t="str">
        <f t="shared" si="33"/>
        <v>Hip Replacement PrimaryProviderTHE ROBERT JONES AND AGNES HUNT ORTHOPAEDIC HOSPITAL NHS FOUNDATION TRUST (RL1)EQ-5D Index</v>
      </c>
      <c r="C2148" t="s">
        <v>248</v>
      </c>
      <c r="D2148" t="s">
        <v>1</v>
      </c>
      <c r="E2148" t="s">
        <v>4496</v>
      </c>
      <c r="F2148" t="s">
        <v>4497</v>
      </c>
      <c r="G2148" t="s">
        <v>52</v>
      </c>
      <c r="H2148">
        <v>451</v>
      </c>
      <c r="I2148">
        <v>0.26500000000000001</v>
      </c>
      <c r="J2148">
        <v>0.81599999999999995</v>
      </c>
      <c r="K2148">
        <v>0.55100000000000005</v>
      </c>
      <c r="L2148">
        <v>420</v>
      </c>
      <c r="M2148">
        <v>18</v>
      </c>
      <c r="N2148">
        <v>13</v>
      </c>
      <c r="O2148">
        <v>0.77600000000000002</v>
      </c>
      <c r="P2148">
        <v>0.41476342700000002</v>
      </c>
      <c r="Q2148">
        <v>0.219</v>
      </c>
    </row>
    <row r="2149" spans="1:17" x14ac:dyDescent="0.2">
      <c r="A2149" s="30" t="str">
        <f>IF(C2149&amp;G2149&amp;D2149&lt;&gt;'Funnel setup'!$K$3&amp;'Funnel setup'!$K$4&amp;'Funnel setup'!$K$5,".",IF(A2148=".",1,A2148+1))</f>
        <v>.</v>
      </c>
      <c r="B2149" s="431" t="str">
        <f t="shared" si="33"/>
        <v>Hip Replacement PrimaryProviderTHE ROTHERHAM NHS FOUNDATION TRUST (RFR)EQ-5D Index</v>
      </c>
      <c r="C2149" t="s">
        <v>248</v>
      </c>
      <c r="D2149" t="s">
        <v>1</v>
      </c>
      <c r="E2149" t="s">
        <v>3739</v>
      </c>
      <c r="F2149" t="s">
        <v>3740</v>
      </c>
      <c r="G2149" t="s">
        <v>52</v>
      </c>
      <c r="H2149">
        <v>145</v>
      </c>
      <c r="I2149">
        <v>0.308</v>
      </c>
      <c r="J2149">
        <v>0.79300000000000004</v>
      </c>
      <c r="K2149">
        <v>0.48499999999999999</v>
      </c>
      <c r="L2149">
        <v>131</v>
      </c>
      <c r="M2149">
        <v>5</v>
      </c>
      <c r="N2149">
        <v>9</v>
      </c>
      <c r="O2149">
        <v>0.81799999999999995</v>
      </c>
      <c r="P2149">
        <v>0.45644364900000001</v>
      </c>
      <c r="Q2149">
        <v>0.218</v>
      </c>
    </row>
    <row r="2150" spans="1:17" x14ac:dyDescent="0.2">
      <c r="A2150" s="30" t="str">
        <f>IF(C2150&amp;G2150&amp;D2150&lt;&gt;'Funnel setup'!$K$3&amp;'Funnel setup'!$K$4&amp;'Funnel setup'!$K$5,".",IF(A2149=".",1,A2149+1))</f>
        <v>.</v>
      </c>
      <c r="B2150" s="431" t="str">
        <f t="shared" si="33"/>
        <v>Hip Replacement PrimaryProviderTHE ROYAL BOURNEMOUTH AND CHRISTCHURCH HOSPITALS NHS FOUNDATION TRUST (RDZ)EQ-5D Index</v>
      </c>
      <c r="C2150" t="s">
        <v>248</v>
      </c>
      <c r="D2150" t="s">
        <v>1</v>
      </c>
      <c r="E2150" t="s">
        <v>3742</v>
      </c>
      <c r="F2150" t="s">
        <v>3743</v>
      </c>
      <c r="G2150" t="s">
        <v>52</v>
      </c>
      <c r="H2150">
        <v>425</v>
      </c>
      <c r="I2150">
        <v>0.33900000000000002</v>
      </c>
      <c r="J2150">
        <v>0.80300000000000005</v>
      </c>
      <c r="K2150">
        <v>0.46400000000000002</v>
      </c>
      <c r="L2150">
        <v>384</v>
      </c>
      <c r="M2150">
        <v>23</v>
      </c>
      <c r="N2150">
        <v>18</v>
      </c>
      <c r="O2150">
        <v>0.81</v>
      </c>
      <c r="P2150">
        <v>0.44831574400000002</v>
      </c>
      <c r="Q2150">
        <v>0.21</v>
      </c>
    </row>
    <row r="2151" spans="1:17" x14ac:dyDescent="0.2">
      <c r="A2151" s="30" t="str">
        <f>IF(C2151&amp;G2151&amp;D2151&lt;&gt;'Funnel setup'!$K$3&amp;'Funnel setup'!$K$4&amp;'Funnel setup'!$K$5,".",IF(A2150=".",1,A2150+1))</f>
        <v>.</v>
      </c>
      <c r="B2151" s="431" t="str">
        <f t="shared" si="33"/>
        <v>Hip Replacement PrimaryProviderTHE ROYAL ORTHOPAEDIC HOSPITAL NHS FOUNDATION TRUST (RRJ)EQ-5D Index</v>
      </c>
      <c r="C2151" t="s">
        <v>248</v>
      </c>
      <c r="D2151" t="s">
        <v>1</v>
      </c>
      <c r="E2151" t="s">
        <v>4480</v>
      </c>
      <c r="F2151" t="s">
        <v>4481</v>
      </c>
      <c r="G2151" t="s">
        <v>52</v>
      </c>
      <c r="H2151">
        <v>383</v>
      </c>
      <c r="I2151">
        <v>0.376</v>
      </c>
      <c r="J2151">
        <v>0.80600000000000005</v>
      </c>
      <c r="K2151">
        <v>0.43</v>
      </c>
      <c r="L2151">
        <v>346</v>
      </c>
      <c r="M2151">
        <v>16</v>
      </c>
      <c r="N2151">
        <v>21</v>
      </c>
      <c r="O2151">
        <v>0.81200000000000006</v>
      </c>
      <c r="P2151">
        <v>0.45046312300000002</v>
      </c>
      <c r="Q2151">
        <v>0.21</v>
      </c>
    </row>
    <row r="2152" spans="1:17" x14ac:dyDescent="0.2">
      <c r="A2152" s="30" t="str">
        <f>IF(C2152&amp;G2152&amp;D2152&lt;&gt;'Funnel setup'!$K$3&amp;'Funnel setup'!$K$4&amp;'Funnel setup'!$K$5,".",IF(A2151=".",1,A2151+1))</f>
        <v>.</v>
      </c>
      <c r="B2152" s="431" t="str">
        <f t="shared" si="33"/>
        <v>Hip Replacement PrimaryProviderTHE ROYAL WOLVERHAMPTON NHS TRUST (RL4)EQ-5D Index</v>
      </c>
      <c r="C2152" t="s">
        <v>248</v>
      </c>
      <c r="D2152" t="s">
        <v>1</v>
      </c>
      <c r="E2152" t="s">
        <v>3382</v>
      </c>
      <c r="F2152" t="s">
        <v>3383</v>
      </c>
      <c r="G2152" t="s">
        <v>52</v>
      </c>
      <c r="H2152">
        <v>196</v>
      </c>
      <c r="I2152">
        <v>0.31900000000000001</v>
      </c>
      <c r="J2152">
        <v>0.73499999999999999</v>
      </c>
      <c r="K2152">
        <v>0.41599999999999998</v>
      </c>
      <c r="L2152">
        <v>168</v>
      </c>
      <c r="M2152">
        <v>12</v>
      </c>
      <c r="N2152">
        <v>16</v>
      </c>
      <c r="O2152">
        <v>0.76900000000000002</v>
      </c>
      <c r="P2152">
        <v>0.40752760999999998</v>
      </c>
      <c r="Q2152">
        <v>0.25700000000000001</v>
      </c>
    </row>
    <row r="2153" spans="1:17" x14ac:dyDescent="0.2">
      <c r="A2153" s="30" t="str">
        <f>IF(C2153&amp;G2153&amp;D2153&lt;&gt;'Funnel setup'!$K$3&amp;'Funnel setup'!$K$4&amp;'Funnel setup'!$K$5,".",IF(A2152=".",1,A2152+1))</f>
        <v>.</v>
      </c>
      <c r="B2153" s="431" t="str">
        <f t="shared" si="33"/>
        <v>Hip Replacement PrimaryProviderTHE SPENCER WING (RAMSGATE ROAD) (NN801)EQ-5D Index</v>
      </c>
      <c r="C2153" t="s">
        <v>248</v>
      </c>
      <c r="D2153" t="s">
        <v>1</v>
      </c>
      <c r="E2153" t="s">
        <v>3757</v>
      </c>
      <c r="F2153" t="s">
        <v>3758</v>
      </c>
      <c r="G2153" t="s">
        <v>52</v>
      </c>
      <c r="H2153">
        <v>14</v>
      </c>
      <c r="I2153">
        <v>0.35899999999999999</v>
      </c>
      <c r="J2153">
        <v>0.83599999999999997</v>
      </c>
      <c r="K2153">
        <v>0.47699999999999998</v>
      </c>
      <c r="L2153">
        <v>14</v>
      </c>
      <c r="M2153">
        <v>0</v>
      </c>
      <c r="N2153">
        <v>0</v>
      </c>
      <c r="O2153" t="s">
        <v>53</v>
      </c>
      <c r="P2153" t="s">
        <v>53</v>
      </c>
      <c r="Q2153" t="s">
        <v>53</v>
      </c>
    </row>
    <row r="2154" spans="1:17" x14ac:dyDescent="0.2">
      <c r="A2154" s="30" t="str">
        <f>IF(C2154&amp;G2154&amp;D2154&lt;&gt;'Funnel setup'!$K$3&amp;'Funnel setup'!$K$4&amp;'Funnel setup'!$K$5,".",IF(A2153=".",1,A2153+1))</f>
        <v>.</v>
      </c>
      <c r="B2154" s="431" t="str">
        <f t="shared" si="33"/>
        <v>Hip Replacement PrimaryProviderTHE YORKSHIRE CLINIC (NVC20)EQ-5D Index</v>
      </c>
      <c r="C2154" t="s">
        <v>248</v>
      </c>
      <c r="D2154" t="s">
        <v>1</v>
      </c>
      <c r="E2154" t="s">
        <v>3760</v>
      </c>
      <c r="F2154" t="s">
        <v>3761</v>
      </c>
      <c r="G2154" t="s">
        <v>52</v>
      </c>
      <c r="H2154">
        <v>67</v>
      </c>
      <c r="I2154">
        <v>0.47</v>
      </c>
      <c r="J2154">
        <v>0.84299999999999997</v>
      </c>
      <c r="K2154">
        <v>0.373</v>
      </c>
      <c r="L2154">
        <v>61</v>
      </c>
      <c r="M2154">
        <v>3</v>
      </c>
      <c r="N2154">
        <v>3</v>
      </c>
      <c r="O2154">
        <v>0.80300000000000005</v>
      </c>
      <c r="P2154">
        <v>0.44124645699999998</v>
      </c>
      <c r="Q2154">
        <v>0.157</v>
      </c>
    </row>
    <row r="2155" spans="1:17" x14ac:dyDescent="0.2">
      <c r="A2155" s="30" t="str">
        <f>IF(C2155&amp;G2155&amp;D2155&lt;&gt;'Funnel setup'!$K$3&amp;'Funnel setup'!$K$4&amp;'Funnel setup'!$K$5,".",IF(A2154=".",1,A2154+1))</f>
        <v>.</v>
      </c>
      <c r="B2155" s="431" t="str">
        <f t="shared" si="33"/>
        <v>Hip Replacement PrimaryProviderTORBAY AND SOUTH DEVON NHS FOUNDATION TRUST (RA9)EQ-5D Index</v>
      </c>
      <c r="C2155" t="s">
        <v>248</v>
      </c>
      <c r="D2155" t="s">
        <v>1</v>
      </c>
      <c r="E2155" t="s">
        <v>3480</v>
      </c>
      <c r="F2155" t="s">
        <v>6584</v>
      </c>
      <c r="G2155" t="s">
        <v>52</v>
      </c>
      <c r="H2155">
        <v>188</v>
      </c>
      <c r="I2155">
        <v>0.32500000000000001</v>
      </c>
      <c r="J2155">
        <v>0.745</v>
      </c>
      <c r="K2155">
        <v>0.42</v>
      </c>
      <c r="L2155">
        <v>165</v>
      </c>
      <c r="M2155">
        <v>8</v>
      </c>
      <c r="N2155">
        <v>15</v>
      </c>
      <c r="O2155">
        <v>0.78200000000000003</v>
      </c>
      <c r="P2155">
        <v>0.42022730400000002</v>
      </c>
      <c r="Q2155">
        <v>0.26</v>
      </c>
    </row>
    <row r="2156" spans="1:17" x14ac:dyDescent="0.2">
      <c r="A2156" s="30" t="str">
        <f>IF(C2156&amp;G2156&amp;D2156&lt;&gt;'Funnel setup'!$K$3&amp;'Funnel setup'!$K$4&amp;'Funnel setup'!$K$5,".",IF(A2155=".",1,A2155+1))</f>
        <v>.</v>
      </c>
      <c r="B2156" s="431" t="str">
        <f t="shared" si="33"/>
        <v>Hip Replacement PrimaryProviderTYNESIDE SURGICAL SERVICES AT THE NORTH EAST NHS SURGERY CENTRE (NN401)EQ-5D Index</v>
      </c>
      <c r="C2156" t="s">
        <v>248</v>
      </c>
      <c r="D2156" t="s">
        <v>1</v>
      </c>
      <c r="E2156" t="s">
        <v>4506</v>
      </c>
      <c r="F2156" t="s">
        <v>4507</v>
      </c>
      <c r="G2156" t="s">
        <v>52</v>
      </c>
      <c r="H2156">
        <v>7</v>
      </c>
      <c r="I2156">
        <v>0.186</v>
      </c>
      <c r="J2156">
        <v>0.71699999999999997</v>
      </c>
      <c r="K2156">
        <v>0.53100000000000003</v>
      </c>
      <c r="L2156">
        <v>6</v>
      </c>
      <c r="M2156">
        <v>1</v>
      </c>
      <c r="N2156">
        <v>0</v>
      </c>
      <c r="O2156" t="s">
        <v>53</v>
      </c>
      <c r="P2156" t="s">
        <v>53</v>
      </c>
      <c r="Q2156" t="s">
        <v>53</v>
      </c>
    </row>
    <row r="2157" spans="1:17" x14ac:dyDescent="0.2">
      <c r="A2157" s="30" t="str">
        <f>IF(C2157&amp;G2157&amp;D2157&lt;&gt;'Funnel setup'!$K$3&amp;'Funnel setup'!$K$4&amp;'Funnel setup'!$K$5,".",IF(A2156=".",1,A2156+1))</f>
        <v>.</v>
      </c>
      <c r="B2157" s="431" t="str">
        <f t="shared" si="33"/>
        <v>Hip Replacement PrimaryProviderUNITED LINCOLNSHIRE HOSPITALS NHS TRUST (RWD)EQ-5D Index</v>
      </c>
      <c r="C2157" t="s">
        <v>248</v>
      </c>
      <c r="D2157" t="s">
        <v>1</v>
      </c>
      <c r="E2157" t="s">
        <v>3763</v>
      </c>
      <c r="F2157" t="s">
        <v>3764</v>
      </c>
      <c r="G2157" t="s">
        <v>52</v>
      </c>
      <c r="H2157">
        <v>240</v>
      </c>
      <c r="I2157">
        <v>0.36499999999999999</v>
      </c>
      <c r="J2157">
        <v>0.78200000000000003</v>
      </c>
      <c r="K2157">
        <v>0.41699999999999998</v>
      </c>
      <c r="L2157">
        <v>211</v>
      </c>
      <c r="M2157">
        <v>19</v>
      </c>
      <c r="N2157">
        <v>10</v>
      </c>
      <c r="O2157">
        <v>0.79300000000000004</v>
      </c>
      <c r="P2157">
        <v>0.43136960600000002</v>
      </c>
      <c r="Q2157">
        <v>0.21099999999999999</v>
      </c>
    </row>
    <row r="2158" spans="1:17" x14ac:dyDescent="0.2">
      <c r="A2158" s="30" t="str">
        <f>IF(C2158&amp;G2158&amp;D2158&lt;&gt;'Funnel setup'!$K$3&amp;'Funnel setup'!$K$4&amp;'Funnel setup'!$K$5,".",IF(A2157=".",1,A2157+1))</f>
        <v>.</v>
      </c>
      <c r="B2158" s="431" t="str">
        <f t="shared" si="33"/>
        <v>Hip Replacement PrimaryProviderUNIVERSITY COLLEGE LONDON HOSPITALS NHS FOUNDATION TRUST (RRV)EQ-5D Index</v>
      </c>
      <c r="C2158" t="s">
        <v>248</v>
      </c>
      <c r="D2158" t="s">
        <v>1</v>
      </c>
      <c r="E2158" t="s">
        <v>3766</v>
      </c>
      <c r="F2158" t="s">
        <v>3767</v>
      </c>
      <c r="G2158" t="s">
        <v>52</v>
      </c>
      <c r="H2158">
        <v>111</v>
      </c>
      <c r="I2158">
        <v>0.437</v>
      </c>
      <c r="J2158">
        <v>0.80600000000000005</v>
      </c>
      <c r="K2158">
        <v>0.36899999999999999</v>
      </c>
      <c r="L2158">
        <v>94</v>
      </c>
      <c r="M2158">
        <v>8</v>
      </c>
      <c r="N2158">
        <v>9</v>
      </c>
      <c r="O2158">
        <v>0.81799999999999995</v>
      </c>
      <c r="P2158">
        <v>0.45615015199999998</v>
      </c>
      <c r="Q2158">
        <v>0.21</v>
      </c>
    </row>
    <row r="2159" spans="1:17" x14ac:dyDescent="0.2">
      <c r="A2159" s="30" t="str">
        <f>IF(C2159&amp;G2159&amp;D2159&lt;&gt;'Funnel setup'!$K$3&amp;'Funnel setup'!$K$4&amp;'Funnel setup'!$K$5,".",IF(A2158=".",1,A2158+1))</f>
        <v>.</v>
      </c>
      <c r="B2159" s="431" t="str">
        <f t="shared" si="33"/>
        <v>Hip Replacement PrimaryProviderUNIVERSITY HOSPITAL OF SOUTH MANCHESTER NHS FOUNDATION TRUST (RM2)EQ-5D Index</v>
      </c>
      <c r="C2159" t="s">
        <v>248</v>
      </c>
      <c r="D2159" t="s">
        <v>1</v>
      </c>
      <c r="E2159" t="s">
        <v>3769</v>
      </c>
      <c r="F2159" t="s">
        <v>3770</v>
      </c>
      <c r="G2159" t="s">
        <v>52</v>
      </c>
      <c r="H2159">
        <v>106</v>
      </c>
      <c r="I2159">
        <v>0.36399999999999999</v>
      </c>
      <c r="J2159">
        <v>0.73099999999999998</v>
      </c>
      <c r="K2159">
        <v>0.36699999999999999</v>
      </c>
      <c r="L2159">
        <v>87</v>
      </c>
      <c r="M2159">
        <v>9</v>
      </c>
      <c r="N2159">
        <v>10</v>
      </c>
      <c r="O2159">
        <v>0.73799999999999999</v>
      </c>
      <c r="P2159">
        <v>0.37657786100000001</v>
      </c>
      <c r="Q2159">
        <v>0.246</v>
      </c>
    </row>
    <row r="2160" spans="1:17" x14ac:dyDescent="0.2">
      <c r="A2160" s="30" t="str">
        <f>IF(C2160&amp;G2160&amp;D2160&lt;&gt;'Funnel setup'!$K$3&amp;'Funnel setup'!$K$4&amp;'Funnel setup'!$K$5,".",IF(A2159=".",1,A2159+1))</f>
        <v>.</v>
      </c>
      <c r="B2160" s="431" t="str">
        <f t="shared" si="33"/>
        <v>Hip Replacement PrimaryProviderUNIVERSITY HOSPITAL SOUTHAMPTON NHS FOUNDATION TRUST (RHM)EQ-5D Index</v>
      </c>
      <c r="C2160" t="s">
        <v>248</v>
      </c>
      <c r="D2160" t="s">
        <v>1</v>
      </c>
      <c r="E2160" t="s">
        <v>3772</v>
      </c>
      <c r="F2160" t="s">
        <v>3773</v>
      </c>
      <c r="G2160" t="s">
        <v>52</v>
      </c>
      <c r="H2160">
        <v>166</v>
      </c>
      <c r="I2160">
        <v>0.29199999999999998</v>
      </c>
      <c r="J2160">
        <v>0.75800000000000001</v>
      </c>
      <c r="K2160">
        <v>0.46600000000000003</v>
      </c>
      <c r="L2160">
        <v>151</v>
      </c>
      <c r="M2160">
        <v>9</v>
      </c>
      <c r="N2160">
        <v>6</v>
      </c>
      <c r="O2160">
        <v>0.78800000000000003</v>
      </c>
      <c r="P2160">
        <v>0.42639694500000003</v>
      </c>
      <c r="Q2160">
        <v>0.22</v>
      </c>
    </row>
    <row r="2161" spans="1:17" x14ac:dyDescent="0.2">
      <c r="A2161" s="30" t="str">
        <f>IF(C2161&amp;G2161&amp;D2161&lt;&gt;'Funnel setup'!$K$3&amp;'Funnel setup'!$K$4&amp;'Funnel setup'!$K$5,".",IF(A2160=".",1,A2160+1))</f>
        <v>.</v>
      </c>
      <c r="B2161" s="431" t="str">
        <f t="shared" si="33"/>
        <v>Hip Replacement PrimaryProviderUNIVERSITY HOSPITALS COVENTRY AND WARWICKSHIRE NHS TRUST (RKB)EQ-5D Index</v>
      </c>
      <c r="C2161" t="s">
        <v>248</v>
      </c>
      <c r="D2161" t="s">
        <v>1</v>
      </c>
      <c r="E2161" t="s">
        <v>3715</v>
      </c>
      <c r="F2161" t="s">
        <v>3716</v>
      </c>
      <c r="G2161" t="s">
        <v>52</v>
      </c>
      <c r="H2161">
        <v>237</v>
      </c>
      <c r="I2161">
        <v>0.35299999999999998</v>
      </c>
      <c r="J2161">
        <v>0.80600000000000005</v>
      </c>
      <c r="K2161">
        <v>0.45200000000000001</v>
      </c>
      <c r="L2161">
        <v>217</v>
      </c>
      <c r="M2161">
        <v>8</v>
      </c>
      <c r="N2161">
        <v>12</v>
      </c>
      <c r="O2161">
        <v>0.81100000000000005</v>
      </c>
      <c r="P2161">
        <v>0.44957455200000002</v>
      </c>
      <c r="Q2161">
        <v>0.223</v>
      </c>
    </row>
    <row r="2162" spans="1:17" x14ac:dyDescent="0.2">
      <c r="A2162" s="30" t="str">
        <f>IF(C2162&amp;G2162&amp;D2162&lt;&gt;'Funnel setup'!$K$3&amp;'Funnel setup'!$K$4&amp;'Funnel setup'!$K$5,".",IF(A2161=".",1,A2161+1))</f>
        <v>.</v>
      </c>
      <c r="B2162" s="431" t="str">
        <f t="shared" si="33"/>
        <v>Hip Replacement PrimaryProviderUNIVERSITY HOSPITALS OF LEICESTER NHS TRUST (RWE)EQ-5D Index</v>
      </c>
      <c r="C2162" t="s">
        <v>248</v>
      </c>
      <c r="D2162" t="s">
        <v>1</v>
      </c>
      <c r="E2162" t="s">
        <v>3718</v>
      </c>
      <c r="F2162" t="s">
        <v>3719</v>
      </c>
      <c r="G2162" t="s">
        <v>52</v>
      </c>
      <c r="H2162">
        <v>438</v>
      </c>
      <c r="I2162">
        <v>0.32500000000000001</v>
      </c>
      <c r="J2162">
        <v>0.78400000000000003</v>
      </c>
      <c r="K2162">
        <v>0.45900000000000002</v>
      </c>
      <c r="L2162">
        <v>386</v>
      </c>
      <c r="M2162">
        <v>33</v>
      </c>
      <c r="N2162">
        <v>19</v>
      </c>
      <c r="O2162">
        <v>0.79100000000000004</v>
      </c>
      <c r="P2162">
        <v>0.429346534</v>
      </c>
      <c r="Q2162">
        <v>0.20799999999999999</v>
      </c>
    </row>
    <row r="2163" spans="1:17" x14ac:dyDescent="0.2">
      <c r="A2163" s="30" t="str">
        <f>IF(C2163&amp;G2163&amp;D2163&lt;&gt;'Funnel setup'!$K$3&amp;'Funnel setup'!$K$4&amp;'Funnel setup'!$K$5,".",IF(A2162=".",1,A2162+1))</f>
        <v>.</v>
      </c>
      <c r="B2163" s="431" t="str">
        <f t="shared" si="33"/>
        <v>Hip Replacement PrimaryProviderUNIVERSITY HOSPITALS OF MORECAMBE BAY NHS FOUNDATION TRUST (RTX)EQ-5D Index</v>
      </c>
      <c r="C2163" t="s">
        <v>248</v>
      </c>
      <c r="D2163" t="s">
        <v>1</v>
      </c>
      <c r="E2163" t="s">
        <v>3721</v>
      </c>
      <c r="F2163" t="s">
        <v>3722</v>
      </c>
      <c r="G2163" t="s">
        <v>52</v>
      </c>
      <c r="H2163">
        <v>264</v>
      </c>
      <c r="I2163">
        <v>0.39300000000000002</v>
      </c>
      <c r="J2163">
        <v>0.78400000000000003</v>
      </c>
      <c r="K2163">
        <v>0.39100000000000001</v>
      </c>
      <c r="L2163">
        <v>228</v>
      </c>
      <c r="M2163">
        <v>19</v>
      </c>
      <c r="N2163">
        <v>17</v>
      </c>
      <c r="O2163">
        <v>0.78</v>
      </c>
      <c r="P2163">
        <v>0.418245757</v>
      </c>
      <c r="Q2163">
        <v>0.219</v>
      </c>
    </row>
    <row r="2164" spans="1:17" x14ac:dyDescent="0.2">
      <c r="A2164" s="30" t="str">
        <f>IF(C2164&amp;G2164&amp;D2164&lt;&gt;'Funnel setup'!$K$3&amp;'Funnel setup'!$K$4&amp;'Funnel setup'!$K$5,".",IF(A2163=".",1,A2163+1))</f>
        <v>.</v>
      </c>
      <c r="B2164" s="431" t="str">
        <f t="shared" si="33"/>
        <v>Hip Replacement PrimaryProviderUNIVERSITY HOSPITALS OF NORTH MIDLANDS NHS TRUST (RJE)EQ-5D Index</v>
      </c>
      <c r="C2164" t="s">
        <v>248</v>
      </c>
      <c r="D2164" t="s">
        <v>1</v>
      </c>
      <c r="E2164" t="s">
        <v>3724</v>
      </c>
      <c r="F2164" t="s">
        <v>3725</v>
      </c>
      <c r="G2164" t="s">
        <v>52</v>
      </c>
      <c r="H2164">
        <v>211</v>
      </c>
      <c r="I2164">
        <v>0.22800000000000001</v>
      </c>
      <c r="J2164">
        <v>0.74299999999999999</v>
      </c>
      <c r="K2164">
        <v>0.51600000000000001</v>
      </c>
      <c r="L2164">
        <v>196</v>
      </c>
      <c r="M2164">
        <v>9</v>
      </c>
      <c r="N2164">
        <v>6</v>
      </c>
      <c r="O2164">
        <v>0.8</v>
      </c>
      <c r="P2164">
        <v>0.43804776899999998</v>
      </c>
      <c r="Q2164">
        <v>0.217</v>
      </c>
    </row>
    <row r="2165" spans="1:17" x14ac:dyDescent="0.2">
      <c r="A2165" s="30" t="str">
        <f>IF(C2165&amp;G2165&amp;D2165&lt;&gt;'Funnel setup'!$K$3&amp;'Funnel setup'!$K$4&amp;'Funnel setup'!$K$5,".",IF(A2164=".",1,A2164+1))</f>
        <v>.</v>
      </c>
      <c r="B2165" s="431" t="str">
        <f t="shared" si="33"/>
        <v>Hip Replacement PrimaryProviderWALSALL HEALTHCARE NHS TRUST (RBK)EQ-5D Index</v>
      </c>
      <c r="C2165" t="s">
        <v>248</v>
      </c>
      <c r="D2165" t="s">
        <v>1</v>
      </c>
      <c r="E2165" t="s">
        <v>3727</v>
      </c>
      <c r="F2165" t="s">
        <v>3728</v>
      </c>
      <c r="G2165" t="s">
        <v>52</v>
      </c>
      <c r="H2165">
        <v>84</v>
      </c>
      <c r="I2165">
        <v>0.23899999999999999</v>
      </c>
      <c r="J2165">
        <v>0.63</v>
      </c>
      <c r="K2165">
        <v>0.39100000000000001</v>
      </c>
      <c r="L2165">
        <v>70</v>
      </c>
      <c r="M2165">
        <v>5</v>
      </c>
      <c r="N2165">
        <v>9</v>
      </c>
      <c r="O2165">
        <v>0.68400000000000005</v>
      </c>
      <c r="P2165">
        <v>0.32227193399999998</v>
      </c>
      <c r="Q2165">
        <v>0.30599999999999999</v>
      </c>
    </row>
    <row r="2166" spans="1:17" x14ac:dyDescent="0.2">
      <c r="A2166" s="30" t="str">
        <f>IF(C2166&amp;G2166&amp;D2166&lt;&gt;'Funnel setup'!$K$3&amp;'Funnel setup'!$K$4&amp;'Funnel setup'!$K$5,".",IF(A2165=".",1,A2165+1))</f>
        <v>.</v>
      </c>
      <c r="B2166" s="431" t="str">
        <f t="shared" si="33"/>
        <v>Hip Replacement PrimaryProviderWARRINGTON AND HALTON HOSPITALS NHS FOUNDATION TRUST (RWW)EQ-5D Index</v>
      </c>
      <c r="C2166" t="s">
        <v>248</v>
      </c>
      <c r="D2166" t="s">
        <v>1</v>
      </c>
      <c r="E2166" t="s">
        <v>3730</v>
      </c>
      <c r="F2166" t="s">
        <v>3731</v>
      </c>
      <c r="G2166" t="s">
        <v>52</v>
      </c>
      <c r="H2166">
        <v>149</v>
      </c>
      <c r="I2166">
        <v>0.32300000000000001</v>
      </c>
      <c r="J2166">
        <v>0.75</v>
      </c>
      <c r="K2166">
        <v>0.42699999999999999</v>
      </c>
      <c r="L2166">
        <v>128</v>
      </c>
      <c r="M2166">
        <v>9</v>
      </c>
      <c r="N2166">
        <v>12</v>
      </c>
      <c r="O2166">
        <v>0.76700000000000002</v>
      </c>
      <c r="P2166">
        <v>0.40577866699999998</v>
      </c>
      <c r="Q2166">
        <v>0.245</v>
      </c>
    </row>
    <row r="2167" spans="1:17" x14ac:dyDescent="0.2">
      <c r="A2167" s="30" t="str">
        <f>IF(C2167&amp;G2167&amp;D2167&lt;&gt;'Funnel setup'!$K$3&amp;'Funnel setup'!$K$4&amp;'Funnel setup'!$K$5,".",IF(A2166=".",1,A2166+1))</f>
        <v>.</v>
      </c>
      <c r="B2167" s="431" t="str">
        <f t="shared" si="33"/>
        <v>Hip Replacement PrimaryProviderWEST HERTFORDSHIRE HOSPITALS NHS TRUST (RWG)EQ-5D Index</v>
      </c>
      <c r="C2167" t="s">
        <v>248</v>
      </c>
      <c r="D2167" t="s">
        <v>1</v>
      </c>
      <c r="E2167" t="s">
        <v>3733</v>
      </c>
      <c r="F2167" t="s">
        <v>3734</v>
      </c>
      <c r="G2167" t="s">
        <v>52</v>
      </c>
      <c r="H2167">
        <v>170</v>
      </c>
      <c r="I2167">
        <v>0.36199999999999999</v>
      </c>
      <c r="J2167">
        <v>0.81799999999999995</v>
      </c>
      <c r="K2167">
        <v>0.45600000000000002</v>
      </c>
      <c r="L2167">
        <v>151</v>
      </c>
      <c r="M2167">
        <v>10</v>
      </c>
      <c r="N2167">
        <v>9</v>
      </c>
      <c r="O2167">
        <v>0.80800000000000005</v>
      </c>
      <c r="P2167">
        <v>0.44600010699999998</v>
      </c>
      <c r="Q2167">
        <v>0.215</v>
      </c>
    </row>
    <row r="2168" spans="1:17" x14ac:dyDescent="0.2">
      <c r="A2168" s="30" t="str">
        <f>IF(C2168&amp;G2168&amp;D2168&lt;&gt;'Funnel setup'!$K$3&amp;'Funnel setup'!$K$4&amp;'Funnel setup'!$K$5,".",IF(A2167=".",1,A2167+1))</f>
        <v>.</v>
      </c>
      <c r="B2168" s="431" t="str">
        <f t="shared" si="33"/>
        <v>Hip Replacement PrimaryProviderWEST MIDDLESEX UNIVERSITY HOSPITAL NHS TRUST (RFW)EQ-5D Index</v>
      </c>
      <c r="C2168" t="s">
        <v>248</v>
      </c>
      <c r="D2168" t="s">
        <v>1</v>
      </c>
      <c r="E2168" t="s">
        <v>3736</v>
      </c>
      <c r="F2168" t="s">
        <v>3737</v>
      </c>
      <c r="G2168" t="s">
        <v>52</v>
      </c>
      <c r="H2168">
        <v>54</v>
      </c>
      <c r="I2168">
        <v>0.31</v>
      </c>
      <c r="J2168">
        <v>0.79600000000000004</v>
      </c>
      <c r="K2168">
        <v>0.48499999999999999</v>
      </c>
      <c r="L2168">
        <v>50</v>
      </c>
      <c r="M2168">
        <v>3</v>
      </c>
      <c r="N2168">
        <v>1</v>
      </c>
      <c r="O2168">
        <v>0.8</v>
      </c>
      <c r="P2168">
        <v>0.43809488299999999</v>
      </c>
      <c r="Q2168">
        <v>0.16400000000000001</v>
      </c>
    </row>
    <row r="2169" spans="1:17" x14ac:dyDescent="0.2">
      <c r="A2169" s="30" t="str">
        <f>IF(C2169&amp;G2169&amp;D2169&lt;&gt;'Funnel setup'!$K$3&amp;'Funnel setup'!$K$4&amp;'Funnel setup'!$K$5,".",IF(A2168=".",1,A2168+1))</f>
        <v>.</v>
      </c>
      <c r="B2169" s="431" t="str">
        <f t="shared" si="33"/>
        <v>Hip Replacement PrimaryProviderWEST MIDLANDS HOSPITAL (NVC21)EQ-5D Index</v>
      </c>
      <c r="C2169" t="s">
        <v>248</v>
      </c>
      <c r="D2169" t="s">
        <v>1</v>
      </c>
      <c r="E2169" t="s">
        <v>3709</v>
      </c>
      <c r="F2169" t="s">
        <v>3710</v>
      </c>
      <c r="G2169" t="s">
        <v>52</v>
      </c>
      <c r="H2169">
        <v>80</v>
      </c>
      <c r="I2169">
        <v>0.43</v>
      </c>
      <c r="J2169">
        <v>0.84199999999999997</v>
      </c>
      <c r="K2169">
        <v>0.41199999999999998</v>
      </c>
      <c r="L2169">
        <v>74</v>
      </c>
      <c r="M2169">
        <v>3</v>
      </c>
      <c r="N2169">
        <v>3</v>
      </c>
      <c r="O2169">
        <v>0.82399999999999995</v>
      </c>
      <c r="P2169">
        <v>0.46213284100000002</v>
      </c>
      <c r="Q2169">
        <v>0.155</v>
      </c>
    </row>
    <row r="2170" spans="1:17" x14ac:dyDescent="0.2">
      <c r="A2170" s="30" t="str">
        <f>IF(C2170&amp;G2170&amp;D2170&lt;&gt;'Funnel setup'!$K$3&amp;'Funnel setup'!$K$4&amp;'Funnel setup'!$K$5,".",IF(A2169=".",1,A2169+1))</f>
        <v>.</v>
      </c>
      <c r="B2170" s="431" t="str">
        <f t="shared" si="33"/>
        <v>Hip Replacement PrimaryProviderWEST SUFFOLK NHS FOUNDATION TRUST (RGR)EQ-5D Index</v>
      </c>
      <c r="C2170" t="s">
        <v>248</v>
      </c>
      <c r="D2170" t="s">
        <v>1</v>
      </c>
      <c r="E2170" t="s">
        <v>3712</v>
      </c>
      <c r="F2170" t="s">
        <v>3713</v>
      </c>
      <c r="G2170" t="s">
        <v>52</v>
      </c>
      <c r="H2170">
        <v>228</v>
      </c>
      <c r="I2170">
        <v>0.35</v>
      </c>
      <c r="J2170">
        <v>0.77600000000000002</v>
      </c>
      <c r="K2170">
        <v>0.42499999999999999</v>
      </c>
      <c r="L2170">
        <v>203</v>
      </c>
      <c r="M2170">
        <v>9</v>
      </c>
      <c r="N2170">
        <v>16</v>
      </c>
      <c r="O2170">
        <v>0.78100000000000003</v>
      </c>
      <c r="P2170">
        <v>0.41915032099999999</v>
      </c>
      <c r="Q2170">
        <v>0.248</v>
      </c>
    </row>
    <row r="2171" spans="1:17" x14ac:dyDescent="0.2">
      <c r="A2171" s="30" t="str">
        <f>IF(C2171&amp;G2171&amp;D2171&lt;&gt;'Funnel setup'!$K$3&amp;'Funnel setup'!$K$4&amp;'Funnel setup'!$K$5,".",IF(A2170=".",1,A2170+1))</f>
        <v>.</v>
      </c>
      <c r="B2171" s="431" t="str">
        <f t="shared" si="33"/>
        <v>Hip Replacement PrimaryProviderWESTERN SUSSEX HOSPITALS NHS FOUNDATION TRUST (RYR)EQ-5D Index</v>
      </c>
      <c r="C2171" t="s">
        <v>248</v>
      </c>
      <c r="D2171" t="s">
        <v>1</v>
      </c>
      <c r="E2171" t="s">
        <v>3706</v>
      </c>
      <c r="F2171" t="s">
        <v>3707</v>
      </c>
      <c r="G2171" t="s">
        <v>52</v>
      </c>
      <c r="H2171">
        <v>312</v>
      </c>
      <c r="I2171">
        <v>0.34200000000000003</v>
      </c>
      <c r="J2171">
        <v>0.77700000000000002</v>
      </c>
      <c r="K2171">
        <v>0.435</v>
      </c>
      <c r="L2171">
        <v>270</v>
      </c>
      <c r="M2171">
        <v>22</v>
      </c>
      <c r="N2171">
        <v>20</v>
      </c>
      <c r="O2171">
        <v>0.78600000000000003</v>
      </c>
      <c r="P2171">
        <v>0.42401603799999998</v>
      </c>
      <c r="Q2171">
        <v>0.21299999999999999</v>
      </c>
    </row>
    <row r="2172" spans="1:17" x14ac:dyDescent="0.2">
      <c r="A2172" s="30" t="str">
        <f>IF(C2172&amp;G2172&amp;D2172&lt;&gt;'Funnel setup'!$K$3&amp;'Funnel setup'!$K$4&amp;'Funnel setup'!$K$5,".",IF(A2171=".",1,A2171+1))</f>
        <v>.</v>
      </c>
      <c r="B2172" s="431" t="str">
        <f t="shared" si="33"/>
        <v>Hip Replacement PrimaryProviderWESTON AREA HEALTH NHS TRUST (RA3)EQ-5D Index</v>
      </c>
      <c r="C2172" t="s">
        <v>248</v>
      </c>
      <c r="D2172" t="s">
        <v>1</v>
      </c>
      <c r="E2172" t="s">
        <v>3525</v>
      </c>
      <c r="F2172" t="s">
        <v>3526</v>
      </c>
      <c r="G2172" t="s">
        <v>52</v>
      </c>
      <c r="H2172">
        <v>95</v>
      </c>
      <c r="I2172">
        <v>0.37</v>
      </c>
      <c r="J2172">
        <v>0.76600000000000001</v>
      </c>
      <c r="K2172">
        <v>0.39600000000000002</v>
      </c>
      <c r="L2172">
        <v>85</v>
      </c>
      <c r="M2172">
        <v>4</v>
      </c>
      <c r="N2172">
        <v>6</v>
      </c>
      <c r="O2172">
        <v>0.76700000000000002</v>
      </c>
      <c r="P2172">
        <v>0.404958661</v>
      </c>
      <c r="Q2172">
        <v>0.24</v>
      </c>
    </row>
    <row r="2173" spans="1:17" x14ac:dyDescent="0.2">
      <c r="A2173" s="30" t="str">
        <f>IF(C2173&amp;G2173&amp;D2173&lt;&gt;'Funnel setup'!$K$3&amp;'Funnel setup'!$K$4&amp;'Funnel setup'!$K$5,".",IF(A2172=".",1,A2172+1))</f>
        <v>.</v>
      </c>
      <c r="B2173" s="431" t="str">
        <f t="shared" si="33"/>
        <v>Hip Replacement PrimaryProviderWINFIELD HOSPITAL (NVC22)EQ-5D Index</v>
      </c>
      <c r="C2173" t="s">
        <v>248</v>
      </c>
      <c r="D2173" t="s">
        <v>1</v>
      </c>
      <c r="E2173" t="s">
        <v>3534</v>
      </c>
      <c r="F2173" t="s">
        <v>3535</v>
      </c>
      <c r="G2173" t="s">
        <v>52</v>
      </c>
      <c r="H2173">
        <v>80</v>
      </c>
      <c r="I2173">
        <v>0.41199999999999998</v>
      </c>
      <c r="J2173">
        <v>0.84</v>
      </c>
      <c r="K2173">
        <v>0.42799999999999999</v>
      </c>
      <c r="L2173">
        <v>70</v>
      </c>
      <c r="M2173">
        <v>5</v>
      </c>
      <c r="N2173">
        <v>5</v>
      </c>
      <c r="O2173">
        <v>0.80500000000000005</v>
      </c>
      <c r="P2173">
        <v>0.44319356999999998</v>
      </c>
      <c r="Q2173">
        <v>0.214</v>
      </c>
    </row>
    <row r="2174" spans="1:17" x14ac:dyDescent="0.2">
      <c r="A2174" s="30" t="str">
        <f>IF(C2174&amp;G2174&amp;D2174&lt;&gt;'Funnel setup'!$K$3&amp;'Funnel setup'!$K$4&amp;'Funnel setup'!$K$5,".",IF(A2173=".",1,A2173+1))</f>
        <v>.</v>
      </c>
      <c r="B2174" s="431" t="str">
        <f t="shared" si="33"/>
        <v>Hip Replacement PrimaryProviderWIRRAL UNIVERSITY TEACHING HOSPITAL NHS FOUNDATION TRUST (RBL)EQ-5D Index</v>
      </c>
      <c r="C2174" t="s">
        <v>248</v>
      </c>
      <c r="D2174" t="s">
        <v>1</v>
      </c>
      <c r="E2174" t="s">
        <v>3537</v>
      </c>
      <c r="F2174" t="s">
        <v>3538</v>
      </c>
      <c r="G2174" t="s">
        <v>52</v>
      </c>
      <c r="H2174">
        <v>253</v>
      </c>
      <c r="I2174">
        <v>0.36399999999999999</v>
      </c>
      <c r="J2174">
        <v>0.73899999999999999</v>
      </c>
      <c r="K2174">
        <v>0.374</v>
      </c>
      <c r="L2174">
        <v>211</v>
      </c>
      <c r="M2174">
        <v>20</v>
      </c>
      <c r="N2174">
        <v>22</v>
      </c>
      <c r="O2174">
        <v>0.75700000000000001</v>
      </c>
      <c r="P2174">
        <v>0.39575027000000002</v>
      </c>
      <c r="Q2174">
        <v>0.23</v>
      </c>
    </row>
    <row r="2175" spans="1:17" x14ac:dyDescent="0.2">
      <c r="A2175" s="30" t="str">
        <f>IF(C2175&amp;G2175&amp;D2175&lt;&gt;'Funnel setup'!$K$3&amp;'Funnel setup'!$K$4&amp;'Funnel setup'!$K$5,".",IF(A2174=".",1,A2174+1))</f>
        <v>.</v>
      </c>
      <c r="B2175" s="431" t="str">
        <f t="shared" si="33"/>
        <v>Hip Replacement PrimaryProviderWOODLAND HOSPITAL (NVC23)EQ-5D Index</v>
      </c>
      <c r="C2175" t="s">
        <v>248</v>
      </c>
      <c r="D2175" t="s">
        <v>1</v>
      </c>
      <c r="E2175" t="s">
        <v>3540</v>
      </c>
      <c r="F2175" t="s">
        <v>3541</v>
      </c>
      <c r="G2175" t="s">
        <v>52</v>
      </c>
      <c r="H2175">
        <v>128</v>
      </c>
      <c r="I2175">
        <v>0.27</v>
      </c>
      <c r="J2175">
        <v>0.78700000000000003</v>
      </c>
      <c r="K2175">
        <v>0.51700000000000002</v>
      </c>
      <c r="L2175">
        <v>116</v>
      </c>
      <c r="M2175">
        <v>4</v>
      </c>
      <c r="N2175">
        <v>8</v>
      </c>
      <c r="O2175">
        <v>0.80300000000000005</v>
      </c>
      <c r="P2175">
        <v>0.44169750600000002</v>
      </c>
      <c r="Q2175">
        <v>0.23100000000000001</v>
      </c>
    </row>
    <row r="2176" spans="1:17" x14ac:dyDescent="0.2">
      <c r="A2176" s="30" t="str">
        <f>IF(C2176&amp;G2176&amp;D2176&lt;&gt;'Funnel setup'!$K$3&amp;'Funnel setup'!$K$4&amp;'Funnel setup'!$K$5,".",IF(A2175=".",1,A2175+1))</f>
        <v>.</v>
      </c>
      <c r="B2176" s="431" t="str">
        <f t="shared" si="33"/>
        <v>Hip Replacement PrimaryProviderWOODTHORPE HOSPITAL (NVC40)EQ-5D Index</v>
      </c>
      <c r="C2176" t="s">
        <v>248</v>
      </c>
      <c r="D2176" t="s">
        <v>1</v>
      </c>
      <c r="E2176" t="s">
        <v>3689</v>
      </c>
      <c r="F2176" t="s">
        <v>6576</v>
      </c>
      <c r="G2176" t="s">
        <v>52</v>
      </c>
      <c r="H2176">
        <v>136</v>
      </c>
      <c r="I2176">
        <v>0.40899999999999997</v>
      </c>
      <c r="J2176">
        <v>0.81899999999999995</v>
      </c>
      <c r="K2176">
        <v>0.41</v>
      </c>
      <c r="L2176">
        <v>122</v>
      </c>
      <c r="M2176">
        <v>7</v>
      </c>
      <c r="N2176">
        <v>7</v>
      </c>
      <c r="O2176">
        <v>0.78800000000000003</v>
      </c>
      <c r="P2176">
        <v>0.42606619499999998</v>
      </c>
      <c r="Q2176">
        <v>0.188</v>
      </c>
    </row>
    <row r="2177" spans="1:17" x14ac:dyDescent="0.2">
      <c r="A2177" s="30" t="str">
        <f>IF(C2177&amp;G2177&amp;D2177&lt;&gt;'Funnel setup'!$K$3&amp;'Funnel setup'!$K$4&amp;'Funnel setup'!$K$5,".",IF(A2176=".",1,A2176+1))</f>
        <v>.</v>
      </c>
      <c r="B2177" s="431" t="str">
        <f t="shared" si="33"/>
        <v>Hip Replacement PrimaryProviderWORCESTERSHIRE ACUTE HOSPITALS NHS TRUST (RWP)EQ-5D Index</v>
      </c>
      <c r="C2177" t="s">
        <v>248</v>
      </c>
      <c r="D2177" t="s">
        <v>1</v>
      </c>
      <c r="E2177" t="s">
        <v>3543</v>
      </c>
      <c r="F2177" t="s">
        <v>3544</v>
      </c>
      <c r="G2177" t="s">
        <v>52</v>
      </c>
      <c r="H2177">
        <v>282</v>
      </c>
      <c r="I2177">
        <v>0.33300000000000002</v>
      </c>
      <c r="J2177">
        <v>0.81200000000000006</v>
      </c>
      <c r="K2177">
        <v>0.47899999999999998</v>
      </c>
      <c r="L2177">
        <v>268</v>
      </c>
      <c r="M2177">
        <v>8</v>
      </c>
      <c r="N2177">
        <v>6</v>
      </c>
      <c r="O2177">
        <v>0.82199999999999995</v>
      </c>
      <c r="P2177">
        <v>0.46047863300000003</v>
      </c>
      <c r="Q2177">
        <v>0.20499999999999999</v>
      </c>
    </row>
    <row r="2178" spans="1:17" x14ac:dyDescent="0.2">
      <c r="A2178" s="30" t="str">
        <f>IF(C2178&amp;G2178&amp;D2178&lt;&gt;'Funnel setup'!$K$3&amp;'Funnel setup'!$K$4&amp;'Funnel setup'!$K$5,".",IF(A2177=".",1,A2177+1))</f>
        <v>.</v>
      </c>
      <c r="B2178" s="431" t="str">
        <f t="shared" si="33"/>
        <v>Hip Replacement PrimaryProviderWRIGHTINGTON, WIGAN AND LEIGH NHS FOUNDATION TRUST (RRF)EQ-5D Index</v>
      </c>
      <c r="C2178" t="s">
        <v>248</v>
      </c>
      <c r="D2178" t="s">
        <v>1</v>
      </c>
      <c r="E2178" t="s">
        <v>3546</v>
      </c>
      <c r="F2178" t="s">
        <v>3547</v>
      </c>
      <c r="G2178" t="s">
        <v>52</v>
      </c>
      <c r="H2178">
        <v>243</v>
      </c>
      <c r="I2178">
        <v>0.36099999999999999</v>
      </c>
      <c r="J2178">
        <v>0.81</v>
      </c>
      <c r="K2178">
        <v>0.44900000000000001</v>
      </c>
      <c r="L2178">
        <v>224</v>
      </c>
      <c r="M2178">
        <v>9</v>
      </c>
      <c r="N2178">
        <v>10</v>
      </c>
      <c r="O2178">
        <v>0.81599999999999995</v>
      </c>
      <c r="P2178">
        <v>0.454038687</v>
      </c>
      <c r="Q2178">
        <v>0.21099999999999999</v>
      </c>
    </row>
    <row r="2179" spans="1:17" x14ac:dyDescent="0.2">
      <c r="A2179" s="30" t="str">
        <f>IF(C2179&amp;G2179&amp;D2179&lt;&gt;'Funnel setup'!$K$3&amp;'Funnel setup'!$K$4&amp;'Funnel setup'!$K$5,".",IF(A2178=".",1,A2178+1))</f>
        <v>.</v>
      </c>
      <c r="B2179" s="431" t="str">
        <f t="shared" ref="B2179:B2242" si="34">C2179&amp;D2179&amp;F2179&amp;G2179</f>
        <v>Hip Replacement PrimaryProviderWYE VALLEY NHS TRUST (RLQ)EQ-5D Index</v>
      </c>
      <c r="C2179" t="s">
        <v>248</v>
      </c>
      <c r="D2179" t="s">
        <v>1</v>
      </c>
      <c r="E2179" t="s">
        <v>3517</v>
      </c>
      <c r="F2179" t="s">
        <v>3518</v>
      </c>
      <c r="G2179" t="s">
        <v>52</v>
      </c>
      <c r="H2179">
        <v>103</v>
      </c>
      <c r="I2179">
        <v>0.32900000000000001</v>
      </c>
      <c r="J2179">
        <v>0.85</v>
      </c>
      <c r="K2179">
        <v>0.52100000000000002</v>
      </c>
      <c r="L2179">
        <v>99</v>
      </c>
      <c r="M2179">
        <v>3</v>
      </c>
      <c r="N2179">
        <v>1</v>
      </c>
      <c r="O2179">
        <v>0.84899999999999998</v>
      </c>
      <c r="P2179">
        <v>0.48746887700000002</v>
      </c>
      <c r="Q2179">
        <v>0.191</v>
      </c>
    </row>
    <row r="2180" spans="1:17" x14ac:dyDescent="0.2">
      <c r="A2180" s="30" t="str">
        <f>IF(C2180&amp;G2180&amp;D2180&lt;&gt;'Funnel setup'!$K$3&amp;'Funnel setup'!$K$4&amp;'Funnel setup'!$K$5,".",IF(A2179=".",1,A2179+1))</f>
        <v>.</v>
      </c>
      <c r="B2180" s="431" t="str">
        <f t="shared" si="34"/>
        <v>Hip Replacement PrimaryProviderYEOVIL DISTRICT HOSPITAL NHS FOUNDATION TRUST (RA4)EQ-5D Index</v>
      </c>
      <c r="C2180" t="s">
        <v>248</v>
      </c>
      <c r="D2180" t="s">
        <v>1</v>
      </c>
      <c r="E2180" t="s">
        <v>3520</v>
      </c>
      <c r="F2180" t="s">
        <v>341</v>
      </c>
      <c r="G2180" t="s">
        <v>52</v>
      </c>
      <c r="H2180">
        <v>73</v>
      </c>
      <c r="I2180">
        <v>0.40300000000000002</v>
      </c>
      <c r="J2180">
        <v>0.84399999999999997</v>
      </c>
      <c r="K2180">
        <v>0.44</v>
      </c>
      <c r="L2180">
        <v>69</v>
      </c>
      <c r="M2180">
        <v>3</v>
      </c>
      <c r="N2180">
        <v>1</v>
      </c>
      <c r="O2180">
        <v>0.82</v>
      </c>
      <c r="P2180">
        <v>0.45830694</v>
      </c>
      <c r="Q2180">
        <v>0.21299999999999999</v>
      </c>
    </row>
    <row r="2181" spans="1:17" x14ac:dyDescent="0.2">
      <c r="A2181" s="30" t="str">
        <f>IF(C2181&amp;G2181&amp;D2181&lt;&gt;'Funnel setup'!$K$3&amp;'Funnel setup'!$K$4&amp;'Funnel setup'!$K$5,".",IF(A2180=".",1,A2180+1))</f>
        <v>.</v>
      </c>
      <c r="B2181" s="431" t="str">
        <f t="shared" si="34"/>
        <v>Hip Replacement PrimaryProviderYORK TEACHING HOSPITAL NHS FOUNDATION TRUST (RCB)EQ-5D Index</v>
      </c>
      <c r="C2181" t="s">
        <v>248</v>
      </c>
      <c r="D2181" t="s">
        <v>1</v>
      </c>
      <c r="E2181" t="s">
        <v>3515</v>
      </c>
      <c r="F2181" t="s">
        <v>343</v>
      </c>
      <c r="G2181" t="s">
        <v>52</v>
      </c>
      <c r="H2181">
        <v>306</v>
      </c>
      <c r="I2181">
        <v>0.312</v>
      </c>
      <c r="J2181">
        <v>0.78700000000000003</v>
      </c>
      <c r="K2181">
        <v>0.47399999999999998</v>
      </c>
      <c r="L2181">
        <v>273</v>
      </c>
      <c r="M2181">
        <v>16</v>
      </c>
      <c r="N2181">
        <v>17</v>
      </c>
      <c r="O2181">
        <v>0.80300000000000005</v>
      </c>
      <c r="P2181">
        <v>0.44105777099999999</v>
      </c>
      <c r="Q2181">
        <v>0.22900000000000001</v>
      </c>
    </row>
    <row r="2182" spans="1:17" x14ac:dyDescent="0.2">
      <c r="A2182" s="30" t="str">
        <f>IF(C2182&amp;G2182&amp;D2182&lt;&gt;'Funnel setup'!$K$3&amp;'Funnel setup'!$K$4&amp;'Funnel setup'!$K$5,".",IF(A2181=".",1,A2181+1))</f>
        <v>.</v>
      </c>
      <c r="B2182" s="431" t="str">
        <f t="shared" si="34"/>
        <v>Hip Replacement PrimaryProviderAINTREE UNIVERSITY HOSPITAL NHS FOUNDATION TRUST (REM)Oxford Hip Score</v>
      </c>
      <c r="C2182" t="s">
        <v>248</v>
      </c>
      <c r="D2182" t="s">
        <v>1</v>
      </c>
      <c r="E2182" t="s">
        <v>3838</v>
      </c>
      <c r="F2182" t="s">
        <v>3839</v>
      </c>
      <c r="G2182" t="s">
        <v>14</v>
      </c>
      <c r="H2182">
        <v>123</v>
      </c>
      <c r="I2182">
        <v>15.699</v>
      </c>
      <c r="J2182">
        <v>35.771999999999998</v>
      </c>
      <c r="K2182">
        <v>20.073</v>
      </c>
      <c r="L2182">
        <v>122</v>
      </c>
      <c r="M2182">
        <v>0</v>
      </c>
      <c r="N2182">
        <v>1</v>
      </c>
      <c r="O2182">
        <v>38.22</v>
      </c>
      <c r="P2182">
        <v>20.01539373</v>
      </c>
      <c r="Q2182">
        <v>8.9879999999999995</v>
      </c>
    </row>
    <row r="2183" spans="1:17" x14ac:dyDescent="0.2">
      <c r="A2183" s="30" t="str">
        <f>IF(C2183&amp;G2183&amp;D2183&lt;&gt;'Funnel setup'!$K$3&amp;'Funnel setup'!$K$4&amp;'Funnel setup'!$K$5,".",IF(A2182=".",1,A2182+1))</f>
        <v>.</v>
      </c>
      <c r="B2183" s="431" t="str">
        <f t="shared" si="34"/>
        <v>Hip Replacement PrimaryProviderAIREDALE NHS FOUNDATION TRUST (RCF)Oxford Hip Score</v>
      </c>
      <c r="C2183" t="s">
        <v>248</v>
      </c>
      <c r="D2183" t="s">
        <v>1</v>
      </c>
      <c r="E2183" t="s">
        <v>3841</v>
      </c>
      <c r="F2183" t="s">
        <v>3842</v>
      </c>
      <c r="G2183" t="s">
        <v>14</v>
      </c>
      <c r="H2183">
        <v>159</v>
      </c>
      <c r="I2183">
        <v>19.138000000000002</v>
      </c>
      <c r="J2183">
        <v>39.692</v>
      </c>
      <c r="K2183">
        <v>20.553000000000001</v>
      </c>
      <c r="L2183">
        <v>153</v>
      </c>
      <c r="M2183">
        <v>1</v>
      </c>
      <c r="N2183">
        <v>5</v>
      </c>
      <c r="O2183">
        <v>39.615000000000002</v>
      </c>
      <c r="P2183">
        <v>21.410447009999999</v>
      </c>
      <c r="Q2183">
        <v>7.5149999999999997</v>
      </c>
    </row>
    <row r="2184" spans="1:17" x14ac:dyDescent="0.2">
      <c r="A2184" s="30" t="str">
        <f>IF(C2184&amp;G2184&amp;D2184&lt;&gt;'Funnel setup'!$K$3&amp;'Funnel setup'!$K$4&amp;'Funnel setup'!$K$5,".",IF(A2183=".",1,A2183+1))</f>
        <v>.</v>
      </c>
      <c r="B2184" s="431" t="str">
        <f t="shared" si="34"/>
        <v>Hip Replacement PrimaryProviderASHFORD AND ST PETER'S HOSPITALS NHS FOUNDATION TRUST (RTK)Oxford Hip Score</v>
      </c>
      <c r="C2184" t="s">
        <v>248</v>
      </c>
      <c r="D2184" t="s">
        <v>1</v>
      </c>
      <c r="E2184" t="s">
        <v>3844</v>
      </c>
      <c r="F2184" t="s">
        <v>345</v>
      </c>
      <c r="G2184" t="s">
        <v>14</v>
      </c>
      <c r="H2184">
        <v>261</v>
      </c>
      <c r="I2184">
        <v>20.199000000000002</v>
      </c>
      <c r="J2184">
        <v>40.390999999999998</v>
      </c>
      <c r="K2184">
        <v>20.192</v>
      </c>
      <c r="L2184">
        <v>256</v>
      </c>
      <c r="M2184">
        <v>0</v>
      </c>
      <c r="N2184">
        <v>5</v>
      </c>
      <c r="O2184">
        <v>39.448999999999998</v>
      </c>
      <c r="P2184">
        <v>21.244876269999999</v>
      </c>
      <c r="Q2184">
        <v>7.06</v>
      </c>
    </row>
    <row r="2185" spans="1:17" x14ac:dyDescent="0.2">
      <c r="A2185" s="30" t="str">
        <f>IF(C2185&amp;G2185&amp;D2185&lt;&gt;'Funnel setup'!$K$3&amp;'Funnel setup'!$K$4&amp;'Funnel setup'!$K$5,".",IF(A2184=".",1,A2184+1))</f>
        <v>.</v>
      </c>
      <c r="B2185" s="431" t="str">
        <f t="shared" si="34"/>
        <v>Hip Replacement PrimaryProviderASHTEAD HOSPITAL (NVC01)Oxford Hip Score</v>
      </c>
      <c r="C2185" t="s">
        <v>248</v>
      </c>
      <c r="D2185" t="s">
        <v>1</v>
      </c>
      <c r="E2185" t="s">
        <v>3846</v>
      </c>
      <c r="F2185" t="s">
        <v>3847</v>
      </c>
      <c r="G2185" t="s">
        <v>14</v>
      </c>
      <c r="H2185">
        <v>61</v>
      </c>
      <c r="I2185">
        <v>19.966999999999999</v>
      </c>
      <c r="J2185">
        <v>40.869</v>
      </c>
      <c r="K2185">
        <v>20.902000000000001</v>
      </c>
      <c r="L2185">
        <v>58</v>
      </c>
      <c r="M2185">
        <v>0</v>
      </c>
      <c r="N2185">
        <v>3</v>
      </c>
      <c r="O2185">
        <v>39.121000000000002</v>
      </c>
      <c r="P2185">
        <v>20.91620095</v>
      </c>
      <c r="Q2185">
        <v>7.5990000000000002</v>
      </c>
    </row>
    <row r="2186" spans="1:17" x14ac:dyDescent="0.2">
      <c r="A2186" s="30" t="str">
        <f>IF(C2186&amp;G2186&amp;D2186&lt;&gt;'Funnel setup'!$K$3&amp;'Funnel setup'!$K$4&amp;'Funnel setup'!$K$5,".",IF(A2185=".",1,A2185+1))</f>
        <v>.</v>
      </c>
      <c r="B2186" s="431" t="str">
        <f t="shared" si="34"/>
        <v>Hip Replacement PrimaryProviderASPEN - CLAREMONT HOSPITAL (NYW04)Oxford Hip Score</v>
      </c>
      <c r="C2186" t="s">
        <v>248</v>
      </c>
      <c r="D2186" t="s">
        <v>1</v>
      </c>
      <c r="E2186" t="s">
        <v>3500</v>
      </c>
      <c r="F2186" t="s">
        <v>3501</v>
      </c>
      <c r="G2186" t="s">
        <v>14</v>
      </c>
      <c r="H2186">
        <v>71</v>
      </c>
      <c r="I2186">
        <v>18.393999999999998</v>
      </c>
      <c r="J2186">
        <v>41.521000000000001</v>
      </c>
      <c r="K2186">
        <v>23.126999999999999</v>
      </c>
      <c r="L2186">
        <v>71</v>
      </c>
      <c r="M2186">
        <v>0</v>
      </c>
      <c r="N2186">
        <v>0</v>
      </c>
      <c r="O2186">
        <v>40.948999999999998</v>
      </c>
      <c r="P2186">
        <v>22.744575810000001</v>
      </c>
      <c r="Q2186">
        <v>6.06</v>
      </c>
    </row>
    <row r="2187" spans="1:17" x14ac:dyDescent="0.2">
      <c r="A2187" s="30" t="str">
        <f>IF(C2187&amp;G2187&amp;D2187&lt;&gt;'Funnel setup'!$K$3&amp;'Funnel setup'!$K$4&amp;'Funnel setup'!$K$5,".",IF(A2186=".",1,A2186+1))</f>
        <v>.</v>
      </c>
      <c r="B2187" s="431" t="str">
        <f t="shared" si="34"/>
        <v>Hip Replacement PrimaryProviderASPEN - HOLLY HOUSE HOSPITAL (NYW01)Oxford Hip Score</v>
      </c>
      <c r="C2187" t="s">
        <v>248</v>
      </c>
      <c r="D2187" t="s">
        <v>1</v>
      </c>
      <c r="E2187" t="s">
        <v>3506</v>
      </c>
      <c r="F2187" t="s">
        <v>3507</v>
      </c>
      <c r="G2187" t="s">
        <v>14</v>
      </c>
      <c r="H2187">
        <v>22</v>
      </c>
      <c r="I2187">
        <v>18.545000000000002</v>
      </c>
      <c r="J2187">
        <v>38.136000000000003</v>
      </c>
      <c r="K2187">
        <v>19.591000000000001</v>
      </c>
      <c r="L2187">
        <v>21</v>
      </c>
      <c r="M2187">
        <v>0</v>
      </c>
      <c r="N2187">
        <v>1</v>
      </c>
      <c r="O2187" t="s">
        <v>53</v>
      </c>
      <c r="P2187" t="s">
        <v>53</v>
      </c>
      <c r="Q2187" t="s">
        <v>53</v>
      </c>
    </row>
    <row r="2188" spans="1:17" x14ac:dyDescent="0.2">
      <c r="A2188" s="30" t="str">
        <f>IF(C2188&amp;G2188&amp;D2188&lt;&gt;'Funnel setup'!$K$3&amp;'Funnel setup'!$K$4&amp;'Funnel setup'!$K$5,".",IF(A2187=".",1,A2187+1))</f>
        <v>.</v>
      </c>
      <c r="B2188" s="431" t="str">
        <f t="shared" si="34"/>
        <v>Hip Replacement PrimaryProviderBARKING, HAVERING AND REDBRIDGE UNIVERSITY HOSPITALS NHS TRUST (RF4)Oxford Hip Score</v>
      </c>
      <c r="C2188" t="s">
        <v>248</v>
      </c>
      <c r="D2188" t="s">
        <v>1</v>
      </c>
      <c r="E2188" t="s">
        <v>3509</v>
      </c>
      <c r="F2188" t="s">
        <v>3510</v>
      </c>
      <c r="G2188" t="s">
        <v>14</v>
      </c>
      <c r="H2188">
        <v>58</v>
      </c>
      <c r="I2188">
        <v>13.086</v>
      </c>
      <c r="J2188">
        <v>35.328000000000003</v>
      </c>
      <c r="K2188">
        <v>22.241</v>
      </c>
      <c r="L2188">
        <v>57</v>
      </c>
      <c r="M2188">
        <v>0</v>
      </c>
      <c r="N2188">
        <v>1</v>
      </c>
      <c r="O2188">
        <v>38.576000000000001</v>
      </c>
      <c r="P2188">
        <v>20.37139917</v>
      </c>
      <c r="Q2188">
        <v>7.6559999999999997</v>
      </c>
    </row>
    <row r="2189" spans="1:17" x14ac:dyDescent="0.2">
      <c r="A2189" s="30" t="str">
        <f>IF(C2189&amp;G2189&amp;D2189&lt;&gt;'Funnel setup'!$K$3&amp;'Funnel setup'!$K$4&amp;'Funnel setup'!$K$5,".",IF(A2188=".",1,A2188+1))</f>
        <v>.</v>
      </c>
      <c r="B2189" s="431" t="str">
        <f t="shared" si="34"/>
        <v>Hip Replacement PrimaryProviderBARLBOROUGH NHS TREATMENT CENTRE (NTP13)Oxford Hip Score</v>
      </c>
      <c r="C2189" t="s">
        <v>248</v>
      </c>
      <c r="D2189" t="s">
        <v>1</v>
      </c>
      <c r="E2189" t="s">
        <v>4425</v>
      </c>
      <c r="F2189" t="s">
        <v>4426</v>
      </c>
      <c r="G2189" t="s">
        <v>14</v>
      </c>
      <c r="H2189">
        <v>396</v>
      </c>
      <c r="I2189">
        <v>17.439</v>
      </c>
      <c r="J2189">
        <v>41.061</v>
      </c>
      <c r="K2189">
        <v>23.620999999999999</v>
      </c>
      <c r="L2189">
        <v>386</v>
      </c>
      <c r="M2189">
        <v>2</v>
      </c>
      <c r="N2189">
        <v>8</v>
      </c>
      <c r="O2189">
        <v>40.765000000000001</v>
      </c>
      <c r="P2189">
        <v>22.560898430000002</v>
      </c>
      <c r="Q2189">
        <v>7.29</v>
      </c>
    </row>
    <row r="2190" spans="1:17" x14ac:dyDescent="0.2">
      <c r="A2190" s="30" t="str">
        <f>IF(C2190&amp;G2190&amp;D2190&lt;&gt;'Funnel setup'!$K$3&amp;'Funnel setup'!$K$4&amp;'Funnel setup'!$K$5,".",IF(A2189=".",1,A2189+1))</f>
        <v>.</v>
      </c>
      <c r="B2190" s="431" t="str">
        <f t="shared" si="34"/>
        <v>Hip Replacement PrimaryProviderBARNSLEY HOSPITAL NHS FOUNDATION TRUST (RFF)Oxford Hip Score</v>
      </c>
      <c r="C2190" t="s">
        <v>248</v>
      </c>
      <c r="D2190" t="s">
        <v>1</v>
      </c>
      <c r="E2190" t="s">
        <v>3549</v>
      </c>
      <c r="F2190" t="s">
        <v>3550</v>
      </c>
      <c r="G2190" t="s">
        <v>14</v>
      </c>
      <c r="H2190">
        <v>105</v>
      </c>
      <c r="I2190">
        <v>16.332999999999998</v>
      </c>
      <c r="J2190">
        <v>35.6</v>
      </c>
      <c r="K2190">
        <v>19.266999999999999</v>
      </c>
      <c r="L2190">
        <v>101</v>
      </c>
      <c r="M2190">
        <v>1</v>
      </c>
      <c r="N2190">
        <v>3</v>
      </c>
      <c r="O2190">
        <v>36.853000000000002</v>
      </c>
      <c r="P2190">
        <v>18.648679009999999</v>
      </c>
      <c r="Q2190">
        <v>8.952</v>
      </c>
    </row>
    <row r="2191" spans="1:17" x14ac:dyDescent="0.2">
      <c r="A2191" s="30" t="str">
        <f>IF(C2191&amp;G2191&amp;D2191&lt;&gt;'Funnel setup'!$K$3&amp;'Funnel setup'!$K$4&amp;'Funnel setup'!$K$5,".",IF(A2190=".",1,A2190+1))</f>
        <v>.</v>
      </c>
      <c r="B2191" s="431" t="str">
        <f t="shared" si="34"/>
        <v>Hip Replacement PrimaryProviderBARTS HEALTH NHS TRUST (R1H)Oxford Hip Score</v>
      </c>
      <c r="C2191" t="s">
        <v>248</v>
      </c>
      <c r="D2191" t="s">
        <v>1</v>
      </c>
      <c r="E2191" t="s">
        <v>3552</v>
      </c>
      <c r="F2191" t="s">
        <v>3553</v>
      </c>
      <c r="G2191" t="s">
        <v>14</v>
      </c>
      <c r="H2191">
        <v>147</v>
      </c>
      <c r="I2191">
        <v>15.298999999999999</v>
      </c>
      <c r="J2191">
        <v>36.218000000000004</v>
      </c>
      <c r="K2191">
        <v>20.917999999999999</v>
      </c>
      <c r="L2191">
        <v>139</v>
      </c>
      <c r="M2191">
        <v>1</v>
      </c>
      <c r="N2191">
        <v>7</v>
      </c>
      <c r="O2191">
        <v>39.091999999999999</v>
      </c>
      <c r="P2191">
        <v>20.887673299999999</v>
      </c>
      <c r="Q2191">
        <v>9.8740000000000006</v>
      </c>
    </row>
    <row r="2192" spans="1:17" x14ac:dyDescent="0.2">
      <c r="A2192" s="30" t="str">
        <f>IF(C2192&amp;G2192&amp;D2192&lt;&gt;'Funnel setup'!$K$3&amp;'Funnel setup'!$K$4&amp;'Funnel setup'!$K$5,".",IF(A2191=".",1,A2191+1))</f>
        <v>.</v>
      </c>
      <c r="B2192" s="431" t="str">
        <f t="shared" si="34"/>
        <v>Hip Replacement PrimaryProviderBASILDON AND THURROCK UNIVERSITY HOSPITALS NHS FOUNDATION TRUST (RDD)Oxford Hip Score</v>
      </c>
      <c r="C2192" t="s">
        <v>248</v>
      </c>
      <c r="D2192" t="s">
        <v>1</v>
      </c>
      <c r="E2192" t="s">
        <v>3555</v>
      </c>
      <c r="F2192" t="s">
        <v>3556</v>
      </c>
      <c r="G2192" t="s">
        <v>14</v>
      </c>
      <c r="H2192">
        <v>120</v>
      </c>
      <c r="I2192">
        <v>14.907999999999999</v>
      </c>
      <c r="J2192">
        <v>38.457999999999998</v>
      </c>
      <c r="K2192">
        <v>23.55</v>
      </c>
      <c r="L2192">
        <v>119</v>
      </c>
      <c r="M2192">
        <v>0</v>
      </c>
      <c r="N2192">
        <v>1</v>
      </c>
      <c r="O2192">
        <v>39.951999999999998</v>
      </c>
      <c r="P2192">
        <v>21.74715114</v>
      </c>
      <c r="Q2192">
        <v>8.0020000000000007</v>
      </c>
    </row>
    <row r="2193" spans="1:17" x14ac:dyDescent="0.2">
      <c r="A2193" s="30" t="str">
        <f>IF(C2193&amp;G2193&amp;D2193&lt;&gt;'Funnel setup'!$K$3&amp;'Funnel setup'!$K$4&amp;'Funnel setup'!$K$5,".",IF(A2192=".",1,A2192+1))</f>
        <v>.</v>
      </c>
      <c r="B2193" s="431" t="str">
        <f t="shared" si="34"/>
        <v>Hip Replacement PrimaryProviderBEDFORD HOSPITAL NHS TRUST (RC1)Oxford Hip Score</v>
      </c>
      <c r="C2193" t="s">
        <v>248</v>
      </c>
      <c r="D2193" t="s">
        <v>1</v>
      </c>
      <c r="E2193" t="s">
        <v>3558</v>
      </c>
      <c r="F2193" t="s">
        <v>3559</v>
      </c>
      <c r="G2193" t="s">
        <v>14</v>
      </c>
      <c r="H2193">
        <v>133</v>
      </c>
      <c r="I2193">
        <v>18.241</v>
      </c>
      <c r="J2193">
        <v>39.585999999999999</v>
      </c>
      <c r="K2193">
        <v>21.346</v>
      </c>
      <c r="L2193">
        <v>132</v>
      </c>
      <c r="M2193">
        <v>0</v>
      </c>
      <c r="N2193">
        <v>1</v>
      </c>
      <c r="O2193">
        <v>39.475000000000001</v>
      </c>
      <c r="P2193">
        <v>21.270695960000001</v>
      </c>
      <c r="Q2193">
        <v>7.2930000000000001</v>
      </c>
    </row>
    <row r="2194" spans="1:17" x14ac:dyDescent="0.2">
      <c r="A2194" s="30" t="str">
        <f>IF(C2194&amp;G2194&amp;D2194&lt;&gt;'Funnel setup'!$K$3&amp;'Funnel setup'!$K$4&amp;'Funnel setup'!$K$5,".",IF(A2193=".",1,A2193+1))</f>
        <v>.</v>
      </c>
      <c r="B2194" s="431" t="str">
        <f t="shared" si="34"/>
        <v>Hip Replacement PrimaryProviderBENENDEN HOSPITAL (NWF01)Oxford Hip Score</v>
      </c>
      <c r="C2194" t="s">
        <v>248</v>
      </c>
      <c r="D2194" t="s">
        <v>1</v>
      </c>
      <c r="E2194" t="s">
        <v>4428</v>
      </c>
      <c r="F2194" t="s">
        <v>4429</v>
      </c>
      <c r="G2194" t="s">
        <v>14</v>
      </c>
      <c r="H2194">
        <v>28</v>
      </c>
      <c r="I2194">
        <v>19.643000000000001</v>
      </c>
      <c r="J2194">
        <v>41.856999999999999</v>
      </c>
      <c r="K2194">
        <v>22.213999999999999</v>
      </c>
      <c r="L2194">
        <v>28</v>
      </c>
      <c r="M2194">
        <v>0</v>
      </c>
      <c r="N2194">
        <v>0</v>
      </c>
      <c r="O2194" t="s">
        <v>53</v>
      </c>
      <c r="P2194" t="s">
        <v>53</v>
      </c>
      <c r="Q2194" t="s">
        <v>53</v>
      </c>
    </row>
    <row r="2195" spans="1:17" x14ac:dyDescent="0.2">
      <c r="A2195" s="30" t="str">
        <f>IF(C2195&amp;G2195&amp;D2195&lt;&gt;'Funnel setup'!$K$3&amp;'Funnel setup'!$K$4&amp;'Funnel setup'!$K$5,".",IF(A2194=".",1,A2194+1))</f>
        <v>.</v>
      </c>
      <c r="B2195" s="431" t="str">
        <f t="shared" si="34"/>
        <v>Hip Replacement PrimaryProviderBLACKPOOL TEACHING HOSPITALS NHS FOUNDATION TRUST (RXL)Oxford Hip Score</v>
      </c>
      <c r="C2195" t="s">
        <v>248</v>
      </c>
      <c r="D2195" t="s">
        <v>1</v>
      </c>
      <c r="E2195" t="s">
        <v>3561</v>
      </c>
      <c r="F2195" t="s">
        <v>3562</v>
      </c>
      <c r="G2195" t="s">
        <v>14</v>
      </c>
      <c r="H2195">
        <v>11</v>
      </c>
      <c r="I2195">
        <v>17.181999999999999</v>
      </c>
      <c r="J2195">
        <v>41.273000000000003</v>
      </c>
      <c r="K2195">
        <v>24.091000000000001</v>
      </c>
      <c r="L2195">
        <v>11</v>
      </c>
      <c r="M2195">
        <v>0</v>
      </c>
      <c r="N2195">
        <v>0</v>
      </c>
      <c r="O2195" t="s">
        <v>53</v>
      </c>
      <c r="P2195" t="s">
        <v>53</v>
      </c>
      <c r="Q2195" t="s">
        <v>53</v>
      </c>
    </row>
    <row r="2196" spans="1:17" x14ac:dyDescent="0.2">
      <c r="A2196" s="30" t="str">
        <f>IF(C2196&amp;G2196&amp;D2196&lt;&gt;'Funnel setup'!$K$3&amp;'Funnel setup'!$K$4&amp;'Funnel setup'!$K$5,".",IF(A2195=".",1,A2195+1))</f>
        <v>.</v>
      </c>
      <c r="B2196" s="431" t="str">
        <f t="shared" si="34"/>
        <v>Hip Replacement PrimaryProviderBMI - BATH CLINIC (NT402)Oxford Hip Score</v>
      </c>
      <c r="C2196" t="s">
        <v>248</v>
      </c>
      <c r="D2196" t="s">
        <v>1</v>
      </c>
      <c r="E2196" t="s">
        <v>3488</v>
      </c>
      <c r="F2196" t="s">
        <v>3489</v>
      </c>
      <c r="G2196" t="s">
        <v>14</v>
      </c>
      <c r="H2196">
        <v>58</v>
      </c>
      <c r="I2196">
        <v>20.759</v>
      </c>
      <c r="J2196">
        <v>43.137999999999998</v>
      </c>
      <c r="K2196">
        <v>22.379000000000001</v>
      </c>
      <c r="L2196">
        <v>58</v>
      </c>
      <c r="M2196">
        <v>0</v>
      </c>
      <c r="N2196">
        <v>0</v>
      </c>
      <c r="O2196">
        <v>40.819000000000003</v>
      </c>
      <c r="P2196">
        <v>22.61491311</v>
      </c>
      <c r="Q2196">
        <v>5.1079999999999997</v>
      </c>
    </row>
    <row r="2197" spans="1:17" x14ac:dyDescent="0.2">
      <c r="A2197" s="30" t="str">
        <f>IF(C2197&amp;G2197&amp;D2197&lt;&gt;'Funnel setup'!$K$3&amp;'Funnel setup'!$K$4&amp;'Funnel setup'!$K$5,".",IF(A2196=".",1,A2196+1))</f>
        <v>.</v>
      </c>
      <c r="B2197" s="431" t="str">
        <f t="shared" si="34"/>
        <v>Hip Replacement PrimaryProviderBMI - BISHOPS WOOD (NT405)Oxford Hip Score</v>
      </c>
      <c r="C2197" t="s">
        <v>248</v>
      </c>
      <c r="D2197" t="s">
        <v>1</v>
      </c>
      <c r="E2197" t="s">
        <v>3491</v>
      </c>
      <c r="F2197" t="s">
        <v>3492</v>
      </c>
      <c r="G2197" t="s">
        <v>14</v>
      </c>
      <c r="H2197">
        <v>18</v>
      </c>
      <c r="I2197">
        <v>20.943999999999999</v>
      </c>
      <c r="J2197">
        <v>40.944000000000003</v>
      </c>
      <c r="K2197">
        <v>20</v>
      </c>
      <c r="L2197">
        <v>17</v>
      </c>
      <c r="M2197">
        <v>0</v>
      </c>
      <c r="N2197">
        <v>1</v>
      </c>
      <c r="O2197" t="s">
        <v>53</v>
      </c>
      <c r="P2197" t="s">
        <v>53</v>
      </c>
      <c r="Q2197" t="s">
        <v>53</v>
      </c>
    </row>
    <row r="2198" spans="1:17" x14ac:dyDescent="0.2">
      <c r="A2198" s="30" t="str">
        <f>IF(C2198&amp;G2198&amp;D2198&lt;&gt;'Funnel setup'!$K$3&amp;'Funnel setup'!$K$4&amp;'Funnel setup'!$K$5,".",IF(A2197=".",1,A2197+1))</f>
        <v>.</v>
      </c>
      <c r="B2198" s="431" t="str">
        <f t="shared" si="34"/>
        <v>Hip Replacement PrimaryProviderBMI - CHELSFIELD PARK HOSPITAL (NT409)Oxford Hip Score</v>
      </c>
      <c r="C2198" t="s">
        <v>248</v>
      </c>
      <c r="D2198" t="s">
        <v>1</v>
      </c>
      <c r="E2198" t="s">
        <v>3494</v>
      </c>
      <c r="F2198" t="s">
        <v>3495</v>
      </c>
      <c r="G2198" t="s">
        <v>14</v>
      </c>
      <c r="H2198">
        <v>14</v>
      </c>
      <c r="I2198">
        <v>23.643000000000001</v>
      </c>
      <c r="J2198">
        <v>45.929000000000002</v>
      </c>
      <c r="K2198">
        <v>22.286000000000001</v>
      </c>
      <c r="L2198">
        <v>14</v>
      </c>
      <c r="M2198">
        <v>0</v>
      </c>
      <c r="N2198">
        <v>0</v>
      </c>
      <c r="O2198" t="s">
        <v>53</v>
      </c>
      <c r="P2198" t="s">
        <v>53</v>
      </c>
      <c r="Q2198" t="s">
        <v>53</v>
      </c>
    </row>
    <row r="2199" spans="1:17" x14ac:dyDescent="0.2">
      <c r="A2199" s="30" t="str">
        <f>IF(C2199&amp;G2199&amp;D2199&lt;&gt;'Funnel setup'!$K$3&amp;'Funnel setup'!$K$4&amp;'Funnel setup'!$K$5,".",IF(A2198=".",1,A2198+1))</f>
        <v>.</v>
      </c>
      <c r="B2199" s="431" t="str">
        <f t="shared" si="34"/>
        <v>Hip Replacement PrimaryProviderBMI - FAWKHAM MANOR HOSPITAL (NT414)Oxford Hip Score</v>
      </c>
      <c r="C2199" t="s">
        <v>248</v>
      </c>
      <c r="D2199" t="s">
        <v>1</v>
      </c>
      <c r="E2199" t="s">
        <v>3497</v>
      </c>
      <c r="F2199" t="s">
        <v>3498</v>
      </c>
      <c r="G2199" t="s">
        <v>14</v>
      </c>
      <c r="H2199">
        <v>6</v>
      </c>
      <c r="I2199">
        <v>21.5</v>
      </c>
      <c r="J2199">
        <v>41.667000000000002</v>
      </c>
      <c r="K2199">
        <v>20.167000000000002</v>
      </c>
      <c r="L2199">
        <v>5</v>
      </c>
      <c r="M2199">
        <v>0</v>
      </c>
      <c r="N2199">
        <v>1</v>
      </c>
      <c r="O2199" t="s">
        <v>53</v>
      </c>
      <c r="P2199" t="s">
        <v>53</v>
      </c>
      <c r="Q2199" t="s">
        <v>53</v>
      </c>
    </row>
    <row r="2200" spans="1:17" x14ac:dyDescent="0.2">
      <c r="A2200" s="30" t="str">
        <f>IF(C2200&amp;G2200&amp;D2200&lt;&gt;'Funnel setup'!$K$3&amp;'Funnel setup'!$K$4&amp;'Funnel setup'!$K$5,".",IF(A2199=".",1,A2199+1))</f>
        <v>.</v>
      </c>
      <c r="B2200" s="431" t="str">
        <f t="shared" si="34"/>
        <v>Hip Replacement PrimaryProviderBMI - GORING HALL HOSPITAL (NT417)Oxford Hip Score</v>
      </c>
      <c r="C2200" t="s">
        <v>248</v>
      </c>
      <c r="D2200" t="s">
        <v>1</v>
      </c>
      <c r="E2200" t="s">
        <v>3403</v>
      </c>
      <c r="F2200" t="s">
        <v>3404</v>
      </c>
      <c r="G2200" t="s">
        <v>14</v>
      </c>
      <c r="H2200">
        <v>160</v>
      </c>
      <c r="I2200">
        <v>19.693999999999999</v>
      </c>
      <c r="J2200">
        <v>41.15</v>
      </c>
      <c r="K2200">
        <v>21.456</v>
      </c>
      <c r="L2200">
        <v>152</v>
      </c>
      <c r="M2200">
        <v>1</v>
      </c>
      <c r="N2200">
        <v>7</v>
      </c>
      <c r="O2200">
        <v>39.75</v>
      </c>
      <c r="P2200">
        <v>21.545020699999998</v>
      </c>
      <c r="Q2200">
        <v>6.9640000000000004</v>
      </c>
    </row>
    <row r="2201" spans="1:17" x14ac:dyDescent="0.2">
      <c r="A2201" s="30" t="str">
        <f>IF(C2201&amp;G2201&amp;D2201&lt;&gt;'Funnel setup'!$K$3&amp;'Funnel setup'!$K$4&amp;'Funnel setup'!$K$5,".",IF(A2200=".",1,A2200+1))</f>
        <v>.</v>
      </c>
      <c r="B2201" s="431" t="str">
        <f t="shared" si="34"/>
        <v>Hip Replacement PrimaryProviderBMI - HENDON HOSPITAL (NT416)Oxford Hip Score</v>
      </c>
      <c r="C2201" t="s">
        <v>248</v>
      </c>
      <c r="D2201" t="s">
        <v>1</v>
      </c>
      <c r="E2201" t="s">
        <v>3570</v>
      </c>
      <c r="F2201" t="s">
        <v>3571</v>
      </c>
      <c r="G2201" t="s">
        <v>14</v>
      </c>
      <c r="H2201" t="s">
        <v>53</v>
      </c>
      <c r="I2201" t="s">
        <v>53</v>
      </c>
      <c r="J2201" t="s">
        <v>53</v>
      </c>
      <c r="K2201" t="s">
        <v>53</v>
      </c>
      <c r="L2201" t="s">
        <v>53</v>
      </c>
      <c r="M2201" t="s">
        <v>53</v>
      </c>
      <c r="N2201" t="s">
        <v>53</v>
      </c>
      <c r="O2201" t="s">
        <v>53</v>
      </c>
      <c r="P2201" t="s">
        <v>53</v>
      </c>
      <c r="Q2201" t="s">
        <v>53</v>
      </c>
    </row>
    <row r="2202" spans="1:17" x14ac:dyDescent="0.2">
      <c r="A2202" s="30" t="str">
        <f>IF(C2202&amp;G2202&amp;D2202&lt;&gt;'Funnel setup'!$K$3&amp;'Funnel setup'!$K$4&amp;'Funnel setup'!$K$5,".",IF(A2201=".",1,A2201+1))</f>
        <v>.</v>
      </c>
      <c r="B2202" s="431" t="str">
        <f t="shared" si="34"/>
        <v>Hip Replacement PrimaryProviderBMI - SARUM ROAD HOSPITAL (NT433)Oxford Hip Score</v>
      </c>
      <c r="C2202" t="s">
        <v>248</v>
      </c>
      <c r="D2202" t="s">
        <v>1</v>
      </c>
      <c r="E2202" t="s">
        <v>3573</v>
      </c>
      <c r="F2202" t="s">
        <v>3574</v>
      </c>
      <c r="G2202" t="s">
        <v>14</v>
      </c>
      <c r="H2202">
        <v>44</v>
      </c>
      <c r="I2202">
        <v>18.523</v>
      </c>
      <c r="J2202">
        <v>38.113999999999997</v>
      </c>
      <c r="K2202">
        <v>19.591000000000001</v>
      </c>
      <c r="L2202">
        <v>40</v>
      </c>
      <c r="M2202">
        <v>0</v>
      </c>
      <c r="N2202">
        <v>4</v>
      </c>
      <c r="O2202">
        <v>37.738999999999997</v>
      </c>
      <c r="P2202">
        <v>19.534986270000001</v>
      </c>
      <c r="Q2202">
        <v>9.8940000000000001</v>
      </c>
    </row>
    <row r="2203" spans="1:17" x14ac:dyDescent="0.2">
      <c r="A2203" s="30" t="str">
        <f>IF(C2203&amp;G2203&amp;D2203&lt;&gt;'Funnel setup'!$K$3&amp;'Funnel setup'!$K$4&amp;'Funnel setup'!$K$5,".",IF(A2202=".",1,A2202+1))</f>
        <v>.</v>
      </c>
      <c r="B2203" s="431" t="str">
        <f t="shared" si="34"/>
        <v>Hip Replacement PrimaryProviderBMI - SHIRLEY OAKS HOSPITAL (NT436)Oxford Hip Score</v>
      </c>
      <c r="C2203" t="s">
        <v>248</v>
      </c>
      <c r="D2203" t="s">
        <v>1</v>
      </c>
      <c r="E2203" t="s">
        <v>3576</v>
      </c>
      <c r="F2203" t="s">
        <v>3577</v>
      </c>
      <c r="G2203" t="s">
        <v>14</v>
      </c>
      <c r="H2203">
        <v>7</v>
      </c>
      <c r="I2203">
        <v>15.429</v>
      </c>
      <c r="J2203">
        <v>39.143000000000001</v>
      </c>
      <c r="K2203">
        <v>23.713999999999999</v>
      </c>
      <c r="L2203">
        <v>7</v>
      </c>
      <c r="M2203">
        <v>0</v>
      </c>
      <c r="N2203">
        <v>0</v>
      </c>
      <c r="O2203" t="s">
        <v>53</v>
      </c>
      <c r="P2203" t="s">
        <v>53</v>
      </c>
      <c r="Q2203" t="s">
        <v>53</v>
      </c>
    </row>
    <row r="2204" spans="1:17" x14ac:dyDescent="0.2">
      <c r="A2204" s="30" t="str">
        <f>IF(C2204&amp;G2204&amp;D2204&lt;&gt;'Funnel setup'!$K$3&amp;'Funnel setup'!$K$4&amp;'Funnel setup'!$K$5,".",IF(A2203=".",1,A2203+1))</f>
        <v>.</v>
      </c>
      <c r="B2204" s="431" t="str">
        <f t="shared" si="34"/>
        <v>Hip Replacement PrimaryProviderBMI - THE ALEXANDRA HOSPITAL (NT401)Oxford Hip Score</v>
      </c>
      <c r="C2204" t="s">
        <v>248</v>
      </c>
      <c r="D2204" t="s">
        <v>1</v>
      </c>
      <c r="E2204" t="s">
        <v>3579</v>
      </c>
      <c r="F2204" t="s">
        <v>3580</v>
      </c>
      <c r="G2204" t="s">
        <v>14</v>
      </c>
      <c r="H2204">
        <v>72</v>
      </c>
      <c r="I2204">
        <v>21.931000000000001</v>
      </c>
      <c r="J2204">
        <v>41.485999999999997</v>
      </c>
      <c r="K2204">
        <v>19.556000000000001</v>
      </c>
      <c r="L2204">
        <v>70</v>
      </c>
      <c r="M2204">
        <v>2</v>
      </c>
      <c r="N2204">
        <v>0</v>
      </c>
      <c r="O2204">
        <v>39.622999999999998</v>
      </c>
      <c r="P2204">
        <v>21.418494379999999</v>
      </c>
      <c r="Q2204">
        <v>7.1559999999999997</v>
      </c>
    </row>
    <row r="2205" spans="1:17" x14ac:dyDescent="0.2">
      <c r="A2205" s="30" t="str">
        <f>IF(C2205&amp;G2205&amp;D2205&lt;&gt;'Funnel setup'!$K$3&amp;'Funnel setup'!$K$4&amp;'Funnel setup'!$K$5,".",IF(A2204=".",1,A2204+1))</f>
        <v>.</v>
      </c>
      <c r="B2205" s="431" t="str">
        <f t="shared" si="34"/>
        <v>Hip Replacement PrimaryProviderBMI - THE BEARDWOOD HOSPITAL (NT403)Oxford Hip Score</v>
      </c>
      <c r="C2205" t="s">
        <v>248</v>
      </c>
      <c r="D2205" t="s">
        <v>1</v>
      </c>
      <c r="E2205" t="s">
        <v>3582</v>
      </c>
      <c r="F2205" t="s">
        <v>3583</v>
      </c>
      <c r="G2205" t="s">
        <v>14</v>
      </c>
      <c r="H2205">
        <v>43</v>
      </c>
      <c r="I2205">
        <v>18.442</v>
      </c>
      <c r="J2205">
        <v>40.86</v>
      </c>
      <c r="K2205">
        <v>22.419</v>
      </c>
      <c r="L2205">
        <v>42</v>
      </c>
      <c r="M2205">
        <v>0</v>
      </c>
      <c r="N2205">
        <v>1</v>
      </c>
      <c r="O2205">
        <v>40.564</v>
      </c>
      <c r="P2205">
        <v>22.359284079999998</v>
      </c>
      <c r="Q2205">
        <v>6.5830000000000002</v>
      </c>
    </row>
    <row r="2206" spans="1:17" x14ac:dyDescent="0.2">
      <c r="A2206" s="30" t="str">
        <f>IF(C2206&amp;G2206&amp;D2206&lt;&gt;'Funnel setup'!$K$3&amp;'Funnel setup'!$K$4&amp;'Funnel setup'!$K$5,".",IF(A2205=".",1,A2205+1))</f>
        <v>.</v>
      </c>
      <c r="B2206" s="431" t="str">
        <f t="shared" si="34"/>
        <v>Hip Replacement PrimaryProviderBMI - THE BEAUMONT HOSPITAL (NT404)Oxford Hip Score</v>
      </c>
      <c r="C2206" t="s">
        <v>248</v>
      </c>
      <c r="D2206" t="s">
        <v>1</v>
      </c>
      <c r="E2206" t="s">
        <v>3585</v>
      </c>
      <c r="F2206" t="s">
        <v>3586</v>
      </c>
      <c r="G2206" t="s">
        <v>14</v>
      </c>
      <c r="H2206">
        <v>37</v>
      </c>
      <c r="I2206">
        <v>20.702999999999999</v>
      </c>
      <c r="J2206">
        <v>40</v>
      </c>
      <c r="K2206">
        <v>19.297000000000001</v>
      </c>
      <c r="L2206">
        <v>35</v>
      </c>
      <c r="M2206">
        <v>0</v>
      </c>
      <c r="N2206">
        <v>2</v>
      </c>
      <c r="O2206">
        <v>39.427999999999997</v>
      </c>
      <c r="P2206">
        <v>21.22395903</v>
      </c>
      <c r="Q2206">
        <v>7.47</v>
      </c>
    </row>
    <row r="2207" spans="1:17" x14ac:dyDescent="0.2">
      <c r="A2207" s="30" t="str">
        <f>IF(C2207&amp;G2207&amp;D2207&lt;&gt;'Funnel setup'!$K$3&amp;'Funnel setup'!$K$4&amp;'Funnel setup'!$K$5,".",IF(A2206=".",1,A2206+1))</f>
        <v>.</v>
      </c>
      <c r="B2207" s="431" t="str">
        <f t="shared" si="34"/>
        <v>Hip Replacement PrimaryProviderBMI - THE BLACKHEATH HOSPITAL (NT406)Oxford Hip Score</v>
      </c>
      <c r="C2207" t="s">
        <v>248</v>
      </c>
      <c r="D2207" t="s">
        <v>1</v>
      </c>
      <c r="E2207" t="s">
        <v>3588</v>
      </c>
      <c r="F2207" t="s">
        <v>3589</v>
      </c>
      <c r="G2207" t="s">
        <v>14</v>
      </c>
      <c r="H2207">
        <v>10</v>
      </c>
      <c r="I2207">
        <v>20.7</v>
      </c>
      <c r="J2207">
        <v>41.7</v>
      </c>
      <c r="K2207">
        <v>21</v>
      </c>
      <c r="L2207">
        <v>10</v>
      </c>
      <c r="M2207">
        <v>0</v>
      </c>
      <c r="N2207">
        <v>0</v>
      </c>
      <c r="O2207" t="s">
        <v>53</v>
      </c>
      <c r="P2207" t="s">
        <v>53</v>
      </c>
      <c r="Q2207" t="s">
        <v>53</v>
      </c>
    </row>
    <row r="2208" spans="1:17" x14ac:dyDescent="0.2">
      <c r="A2208" s="30" t="str">
        <f>IF(C2208&amp;G2208&amp;D2208&lt;&gt;'Funnel setup'!$K$3&amp;'Funnel setup'!$K$4&amp;'Funnel setup'!$K$5,".",IF(A2207=".",1,A2207+1))</f>
        <v>.</v>
      </c>
      <c r="B2208" s="431" t="str">
        <f t="shared" si="34"/>
        <v>Hip Replacement PrimaryProviderBMI - THE CHAUCER HOSPITAL (NT408)Oxford Hip Score</v>
      </c>
      <c r="C2208" t="s">
        <v>248</v>
      </c>
      <c r="D2208" t="s">
        <v>1</v>
      </c>
      <c r="E2208" t="s">
        <v>3591</v>
      </c>
      <c r="F2208" t="s">
        <v>3592</v>
      </c>
      <c r="G2208" t="s">
        <v>14</v>
      </c>
      <c r="H2208">
        <v>15</v>
      </c>
      <c r="I2208">
        <v>21.6</v>
      </c>
      <c r="J2208">
        <v>38.067</v>
      </c>
      <c r="K2208">
        <v>16.466999999999999</v>
      </c>
      <c r="L2208">
        <v>15</v>
      </c>
      <c r="M2208">
        <v>0</v>
      </c>
      <c r="N2208">
        <v>0</v>
      </c>
      <c r="O2208" t="s">
        <v>53</v>
      </c>
      <c r="P2208" t="s">
        <v>53</v>
      </c>
      <c r="Q2208" t="s">
        <v>53</v>
      </c>
    </row>
    <row r="2209" spans="1:17" x14ac:dyDescent="0.2">
      <c r="A2209" s="30" t="str">
        <f>IF(C2209&amp;G2209&amp;D2209&lt;&gt;'Funnel setup'!$K$3&amp;'Funnel setup'!$K$4&amp;'Funnel setup'!$K$5,".",IF(A2208=".",1,A2208+1))</f>
        <v>.</v>
      </c>
      <c r="B2209" s="431" t="str">
        <f t="shared" si="34"/>
        <v>Hip Replacement PrimaryProviderBMI - THE CHILTERN HOSPITAL (NT410)Oxford Hip Score</v>
      </c>
      <c r="C2209" t="s">
        <v>248</v>
      </c>
      <c r="D2209" t="s">
        <v>1</v>
      </c>
      <c r="E2209" t="s">
        <v>3594</v>
      </c>
      <c r="F2209" t="s">
        <v>3595</v>
      </c>
      <c r="G2209" t="s">
        <v>14</v>
      </c>
      <c r="H2209">
        <v>45</v>
      </c>
      <c r="I2209">
        <v>18.244</v>
      </c>
      <c r="J2209">
        <v>42.732999999999997</v>
      </c>
      <c r="K2209">
        <v>24.489000000000001</v>
      </c>
      <c r="L2209">
        <v>44</v>
      </c>
      <c r="M2209">
        <v>0</v>
      </c>
      <c r="N2209">
        <v>1</v>
      </c>
      <c r="O2209">
        <v>41.82</v>
      </c>
      <c r="P2209">
        <v>23.615409270000001</v>
      </c>
      <c r="Q2209">
        <v>8.4390000000000001</v>
      </c>
    </row>
    <row r="2210" spans="1:17" x14ac:dyDescent="0.2">
      <c r="A2210" s="30" t="str">
        <f>IF(C2210&amp;G2210&amp;D2210&lt;&gt;'Funnel setup'!$K$3&amp;'Funnel setup'!$K$4&amp;'Funnel setup'!$K$5,".",IF(A2209=".",1,A2209+1))</f>
        <v>.</v>
      </c>
      <c r="B2210" s="431" t="str">
        <f t="shared" si="34"/>
        <v>Hip Replacement PrimaryProviderBMI - THE CLEMENTINE CHURCHILL HOSPITAL (NT411)Oxford Hip Score</v>
      </c>
      <c r="C2210" t="s">
        <v>248</v>
      </c>
      <c r="D2210" t="s">
        <v>1</v>
      </c>
      <c r="E2210" t="s">
        <v>3597</v>
      </c>
      <c r="F2210" t="s">
        <v>3598</v>
      </c>
      <c r="G2210" t="s">
        <v>14</v>
      </c>
      <c r="H2210">
        <v>14</v>
      </c>
      <c r="I2210">
        <v>18.643000000000001</v>
      </c>
      <c r="J2210">
        <v>40.356999999999999</v>
      </c>
      <c r="K2210">
        <v>21.713999999999999</v>
      </c>
      <c r="L2210">
        <v>14</v>
      </c>
      <c r="M2210">
        <v>0</v>
      </c>
      <c r="N2210">
        <v>0</v>
      </c>
      <c r="O2210" t="s">
        <v>53</v>
      </c>
      <c r="P2210" t="s">
        <v>53</v>
      </c>
      <c r="Q2210" t="s">
        <v>53</v>
      </c>
    </row>
    <row r="2211" spans="1:17" x14ac:dyDescent="0.2">
      <c r="A2211" s="30" t="str">
        <f>IF(C2211&amp;G2211&amp;D2211&lt;&gt;'Funnel setup'!$K$3&amp;'Funnel setup'!$K$4&amp;'Funnel setup'!$K$5,".",IF(A2210=".",1,A2210+1))</f>
        <v>.</v>
      </c>
      <c r="B2211" s="431" t="str">
        <f t="shared" si="34"/>
        <v>Hip Replacement PrimaryProviderBMI - THE DROITWICH SPA HOSPITAL (NT412)Oxford Hip Score</v>
      </c>
      <c r="C2211" t="s">
        <v>248</v>
      </c>
      <c r="D2211" t="s">
        <v>1</v>
      </c>
      <c r="E2211" t="s">
        <v>3600</v>
      </c>
      <c r="F2211" t="s">
        <v>3601</v>
      </c>
      <c r="G2211" t="s">
        <v>14</v>
      </c>
      <c r="H2211">
        <v>64</v>
      </c>
      <c r="I2211">
        <v>20.390999999999998</v>
      </c>
      <c r="J2211">
        <v>41.313000000000002</v>
      </c>
      <c r="K2211">
        <v>20.922000000000001</v>
      </c>
      <c r="L2211">
        <v>60</v>
      </c>
      <c r="M2211">
        <v>1</v>
      </c>
      <c r="N2211">
        <v>3</v>
      </c>
      <c r="O2211">
        <v>40.173000000000002</v>
      </c>
      <c r="P2211">
        <v>21.96866198</v>
      </c>
      <c r="Q2211">
        <v>8.3989999999999991</v>
      </c>
    </row>
    <row r="2212" spans="1:17" x14ac:dyDescent="0.2">
      <c r="A2212" s="30" t="str">
        <f>IF(C2212&amp;G2212&amp;D2212&lt;&gt;'Funnel setup'!$K$3&amp;'Funnel setup'!$K$4&amp;'Funnel setup'!$K$5,".",IF(A2211=".",1,A2211+1))</f>
        <v>.</v>
      </c>
      <c r="B2212" s="431" t="str">
        <f t="shared" si="34"/>
        <v>Hip Replacement PrimaryProviderBMI - THE ESPERANCE HOSPITAL (NT413)Oxford Hip Score</v>
      </c>
      <c r="C2212" t="s">
        <v>248</v>
      </c>
      <c r="D2212" t="s">
        <v>1</v>
      </c>
      <c r="E2212" t="s">
        <v>3603</v>
      </c>
      <c r="F2212" t="s">
        <v>3604</v>
      </c>
      <c r="G2212" t="s">
        <v>14</v>
      </c>
      <c r="H2212" t="s">
        <v>53</v>
      </c>
      <c r="I2212" t="s">
        <v>53</v>
      </c>
      <c r="J2212" t="s">
        <v>53</v>
      </c>
      <c r="K2212" t="s">
        <v>53</v>
      </c>
      <c r="L2212" t="s">
        <v>53</v>
      </c>
      <c r="M2212" t="s">
        <v>53</v>
      </c>
      <c r="N2212" t="s">
        <v>53</v>
      </c>
      <c r="O2212" t="s">
        <v>53</v>
      </c>
      <c r="P2212" t="s">
        <v>53</v>
      </c>
      <c r="Q2212" t="s">
        <v>53</v>
      </c>
    </row>
    <row r="2213" spans="1:17" x14ac:dyDescent="0.2">
      <c r="A2213" s="30" t="str">
        <f>IF(C2213&amp;G2213&amp;D2213&lt;&gt;'Funnel setup'!$K$3&amp;'Funnel setup'!$K$4&amp;'Funnel setup'!$K$5,".",IF(A2212=".",1,A2212+1))</f>
        <v>.</v>
      </c>
      <c r="B2213" s="431" t="str">
        <f t="shared" si="34"/>
        <v>Hip Replacement PrimaryProviderBMI - THE HAMPSHIRE CLINIC (NT418)Oxford Hip Score</v>
      </c>
      <c r="C2213" t="s">
        <v>248</v>
      </c>
      <c r="D2213" t="s">
        <v>1</v>
      </c>
      <c r="E2213" t="s">
        <v>3609</v>
      </c>
      <c r="F2213" t="s">
        <v>3610</v>
      </c>
      <c r="G2213" t="s">
        <v>14</v>
      </c>
      <c r="H2213">
        <v>25</v>
      </c>
      <c r="I2213">
        <v>20.16</v>
      </c>
      <c r="J2213">
        <v>40.32</v>
      </c>
      <c r="K2213">
        <v>20.16</v>
      </c>
      <c r="L2213">
        <v>25</v>
      </c>
      <c r="M2213">
        <v>0</v>
      </c>
      <c r="N2213">
        <v>0</v>
      </c>
      <c r="O2213" t="s">
        <v>53</v>
      </c>
      <c r="P2213" t="s">
        <v>53</v>
      </c>
      <c r="Q2213" t="s">
        <v>53</v>
      </c>
    </row>
    <row r="2214" spans="1:17" x14ac:dyDescent="0.2">
      <c r="A2214" s="30" t="str">
        <f>IF(C2214&amp;G2214&amp;D2214&lt;&gt;'Funnel setup'!$K$3&amp;'Funnel setup'!$K$4&amp;'Funnel setup'!$K$5,".",IF(A2213=".",1,A2213+1))</f>
        <v>.</v>
      </c>
      <c r="B2214" s="431" t="str">
        <f t="shared" si="34"/>
        <v>Hip Replacement PrimaryProviderBMI - THE HARBOUR HOSPITAL (NT419)Oxford Hip Score</v>
      </c>
      <c r="C2214" t="s">
        <v>248</v>
      </c>
      <c r="D2214" t="s">
        <v>1</v>
      </c>
      <c r="E2214" t="s">
        <v>3612</v>
      </c>
      <c r="F2214" t="s">
        <v>3613</v>
      </c>
      <c r="G2214" t="s">
        <v>14</v>
      </c>
      <c r="H2214" t="s">
        <v>53</v>
      </c>
      <c r="I2214" t="s">
        <v>53</v>
      </c>
      <c r="J2214" t="s">
        <v>53</v>
      </c>
      <c r="K2214" t="s">
        <v>53</v>
      </c>
      <c r="L2214" t="s">
        <v>53</v>
      </c>
      <c r="M2214" t="s">
        <v>53</v>
      </c>
      <c r="N2214" t="s">
        <v>53</v>
      </c>
      <c r="O2214" t="s">
        <v>53</v>
      </c>
      <c r="P2214" t="s">
        <v>53</v>
      </c>
      <c r="Q2214" t="s">
        <v>53</v>
      </c>
    </row>
    <row r="2215" spans="1:17" x14ac:dyDescent="0.2">
      <c r="A2215" s="30" t="str">
        <f>IF(C2215&amp;G2215&amp;D2215&lt;&gt;'Funnel setup'!$K$3&amp;'Funnel setup'!$K$4&amp;'Funnel setup'!$K$5,".",IF(A2214=".",1,A2214+1))</f>
        <v>.</v>
      </c>
      <c r="B2215" s="431" t="str">
        <f t="shared" si="34"/>
        <v>Hip Replacement PrimaryProviderBMI - THE HIGHFIELD HOSPITAL (NT420)Oxford Hip Score</v>
      </c>
      <c r="C2215" t="s">
        <v>248</v>
      </c>
      <c r="D2215" t="s">
        <v>1</v>
      </c>
      <c r="E2215" t="s">
        <v>3615</v>
      </c>
      <c r="F2215" t="s">
        <v>3616</v>
      </c>
      <c r="G2215" t="s">
        <v>14</v>
      </c>
      <c r="H2215">
        <v>103</v>
      </c>
      <c r="I2215">
        <v>19.077999999999999</v>
      </c>
      <c r="J2215">
        <v>39.912999999999997</v>
      </c>
      <c r="K2215">
        <v>20.835000000000001</v>
      </c>
      <c r="L2215">
        <v>98</v>
      </c>
      <c r="M2215">
        <v>2</v>
      </c>
      <c r="N2215">
        <v>3</v>
      </c>
      <c r="O2215">
        <v>39.652999999999999</v>
      </c>
      <c r="P2215">
        <v>21.448883080000002</v>
      </c>
      <c r="Q2215">
        <v>7.9740000000000002</v>
      </c>
    </row>
    <row r="2216" spans="1:17" x14ac:dyDescent="0.2">
      <c r="A2216" s="30" t="str">
        <f>IF(C2216&amp;G2216&amp;D2216&lt;&gt;'Funnel setup'!$K$3&amp;'Funnel setup'!$K$4&amp;'Funnel setup'!$K$5,".",IF(A2215=".",1,A2215+1))</f>
        <v>.</v>
      </c>
      <c r="B2216" s="431" t="str">
        <f t="shared" si="34"/>
        <v>Hip Replacement PrimaryProviderBMI - THE KINGS OAK HOSPITAL (NT421)Oxford Hip Score</v>
      </c>
      <c r="C2216" t="s">
        <v>248</v>
      </c>
      <c r="D2216" t="s">
        <v>1</v>
      </c>
      <c r="E2216" t="s">
        <v>3618</v>
      </c>
      <c r="F2216" t="s">
        <v>3619</v>
      </c>
      <c r="G2216" t="s">
        <v>14</v>
      </c>
      <c r="H2216">
        <v>14</v>
      </c>
      <c r="I2216">
        <v>17.356999999999999</v>
      </c>
      <c r="J2216">
        <v>42.643000000000001</v>
      </c>
      <c r="K2216">
        <v>25.286000000000001</v>
      </c>
      <c r="L2216">
        <v>14</v>
      </c>
      <c r="M2216">
        <v>0</v>
      </c>
      <c r="N2216">
        <v>0</v>
      </c>
      <c r="O2216" t="s">
        <v>53</v>
      </c>
      <c r="P2216" t="s">
        <v>53</v>
      </c>
      <c r="Q2216" t="s">
        <v>53</v>
      </c>
    </row>
    <row r="2217" spans="1:17" x14ac:dyDescent="0.2">
      <c r="A2217" s="30" t="str">
        <f>IF(C2217&amp;G2217&amp;D2217&lt;&gt;'Funnel setup'!$K$3&amp;'Funnel setup'!$K$4&amp;'Funnel setup'!$K$5,".",IF(A2216=".",1,A2216+1))</f>
        <v>.</v>
      </c>
      <c r="B2217" s="431" t="str">
        <f t="shared" si="34"/>
        <v>Hip Replacement PrimaryProviderBMI - THE LONDON INDEPENDENT HOSPITAL (NT422)Oxford Hip Score</v>
      </c>
      <c r="C2217" t="s">
        <v>248</v>
      </c>
      <c r="D2217" t="s">
        <v>1</v>
      </c>
      <c r="E2217" t="s">
        <v>3621</v>
      </c>
      <c r="F2217" t="s">
        <v>3622</v>
      </c>
      <c r="G2217" t="s">
        <v>14</v>
      </c>
      <c r="H2217">
        <v>9</v>
      </c>
      <c r="I2217">
        <v>21</v>
      </c>
      <c r="J2217">
        <v>39.222000000000001</v>
      </c>
      <c r="K2217">
        <v>18.222000000000001</v>
      </c>
      <c r="L2217">
        <v>9</v>
      </c>
      <c r="M2217">
        <v>0</v>
      </c>
      <c r="N2217">
        <v>0</v>
      </c>
      <c r="O2217" t="s">
        <v>53</v>
      </c>
      <c r="P2217" t="s">
        <v>53</v>
      </c>
      <c r="Q2217" t="s">
        <v>53</v>
      </c>
    </row>
    <row r="2218" spans="1:17" x14ac:dyDescent="0.2">
      <c r="A2218" s="30" t="str">
        <f>IF(C2218&amp;G2218&amp;D2218&lt;&gt;'Funnel setup'!$K$3&amp;'Funnel setup'!$K$4&amp;'Funnel setup'!$K$5,".",IF(A2217=".",1,A2217+1))</f>
        <v>.</v>
      </c>
      <c r="B2218" s="431" t="str">
        <f t="shared" si="34"/>
        <v>Hip Replacement PrimaryProviderBMI - THE MANOR HOSPITAL (NT423)Oxford Hip Score</v>
      </c>
      <c r="C2218" t="s">
        <v>248</v>
      </c>
      <c r="D2218" t="s">
        <v>1</v>
      </c>
      <c r="E2218" t="s">
        <v>3624</v>
      </c>
      <c r="F2218" t="s">
        <v>3625</v>
      </c>
      <c r="G2218" t="s">
        <v>14</v>
      </c>
      <c r="H2218">
        <v>27</v>
      </c>
      <c r="I2218">
        <v>19.443999999999999</v>
      </c>
      <c r="J2218">
        <v>41.963000000000001</v>
      </c>
      <c r="K2218">
        <v>22.518999999999998</v>
      </c>
      <c r="L2218">
        <v>27</v>
      </c>
      <c r="M2218">
        <v>0</v>
      </c>
      <c r="N2218">
        <v>0</v>
      </c>
      <c r="O2218" t="s">
        <v>53</v>
      </c>
      <c r="P2218" t="s">
        <v>53</v>
      </c>
      <c r="Q2218" t="s">
        <v>53</v>
      </c>
    </row>
    <row r="2219" spans="1:17" x14ac:dyDescent="0.2">
      <c r="A2219" s="30" t="str">
        <f>IF(C2219&amp;G2219&amp;D2219&lt;&gt;'Funnel setup'!$K$3&amp;'Funnel setup'!$K$4&amp;'Funnel setup'!$K$5,".",IF(A2218=".",1,A2218+1))</f>
        <v>.</v>
      </c>
      <c r="B2219" s="431" t="str">
        <f t="shared" si="34"/>
        <v>Hip Replacement PrimaryProviderBMI - THE MERIDEN HOSPITAL (NT424)Oxford Hip Score</v>
      </c>
      <c r="C2219" t="s">
        <v>248</v>
      </c>
      <c r="D2219" t="s">
        <v>1</v>
      </c>
      <c r="E2219" t="s">
        <v>3283</v>
      </c>
      <c r="F2219" t="s">
        <v>3284</v>
      </c>
      <c r="G2219" t="s">
        <v>14</v>
      </c>
      <c r="H2219">
        <v>76</v>
      </c>
      <c r="I2219">
        <v>20.526</v>
      </c>
      <c r="J2219">
        <v>40.960999999999999</v>
      </c>
      <c r="K2219">
        <v>20.434000000000001</v>
      </c>
      <c r="L2219">
        <v>74</v>
      </c>
      <c r="M2219">
        <v>0</v>
      </c>
      <c r="N2219">
        <v>2</v>
      </c>
      <c r="O2219">
        <v>40.006999999999998</v>
      </c>
      <c r="P2219">
        <v>21.802164820000002</v>
      </c>
      <c r="Q2219">
        <v>7.6509999999999998</v>
      </c>
    </row>
    <row r="2220" spans="1:17" x14ac:dyDescent="0.2">
      <c r="A2220" s="30" t="str">
        <f>IF(C2220&amp;G2220&amp;D2220&lt;&gt;'Funnel setup'!$K$3&amp;'Funnel setup'!$K$4&amp;'Funnel setup'!$K$5,".",IF(A2219=".",1,A2219+1))</f>
        <v>.</v>
      </c>
      <c r="B2220" s="431" t="str">
        <f t="shared" si="34"/>
        <v>Hip Replacement PrimaryProviderBMI - THE PARK HOSPITAL (NT427)Oxford Hip Score</v>
      </c>
      <c r="C2220" t="s">
        <v>248</v>
      </c>
      <c r="D2220" t="s">
        <v>1</v>
      </c>
      <c r="E2220" t="s">
        <v>3286</v>
      </c>
      <c r="F2220" t="s">
        <v>3287</v>
      </c>
      <c r="G2220" t="s">
        <v>14</v>
      </c>
      <c r="H2220">
        <v>33</v>
      </c>
      <c r="I2220">
        <v>20.515000000000001</v>
      </c>
      <c r="J2220">
        <v>40.545000000000002</v>
      </c>
      <c r="K2220">
        <v>20.03</v>
      </c>
      <c r="L2220">
        <v>32</v>
      </c>
      <c r="M2220">
        <v>0</v>
      </c>
      <c r="N2220">
        <v>1</v>
      </c>
      <c r="O2220">
        <v>38.738999999999997</v>
      </c>
      <c r="P2220">
        <v>20.534423230000002</v>
      </c>
      <c r="Q2220">
        <v>8.2490000000000006</v>
      </c>
    </row>
    <row r="2221" spans="1:17" x14ac:dyDescent="0.2">
      <c r="A2221" s="30" t="str">
        <f>IF(C2221&amp;G2221&amp;D2221&lt;&gt;'Funnel setup'!$K$3&amp;'Funnel setup'!$K$4&amp;'Funnel setup'!$K$5,".",IF(A2220=".",1,A2220+1))</f>
        <v>.</v>
      </c>
      <c r="B2221" s="431" t="str">
        <f t="shared" si="34"/>
        <v>Hip Replacement PrimaryProviderBMI - THE PRINCESS MARGARET HOSPITAL (NT428)Oxford Hip Score</v>
      </c>
      <c r="C2221" t="s">
        <v>248</v>
      </c>
      <c r="D2221" t="s">
        <v>1</v>
      </c>
      <c r="E2221" t="s">
        <v>3289</v>
      </c>
      <c r="F2221" t="s">
        <v>3290</v>
      </c>
      <c r="G2221" t="s">
        <v>14</v>
      </c>
      <c r="H2221">
        <v>11</v>
      </c>
      <c r="I2221">
        <v>17.091000000000001</v>
      </c>
      <c r="J2221">
        <v>36.182000000000002</v>
      </c>
      <c r="K2221">
        <v>19.091000000000001</v>
      </c>
      <c r="L2221">
        <v>9</v>
      </c>
      <c r="M2221">
        <v>0</v>
      </c>
      <c r="N2221">
        <v>2</v>
      </c>
      <c r="O2221" t="s">
        <v>53</v>
      </c>
      <c r="P2221" t="s">
        <v>53</v>
      </c>
      <c r="Q2221" t="s">
        <v>53</v>
      </c>
    </row>
    <row r="2222" spans="1:17" x14ac:dyDescent="0.2">
      <c r="A2222" s="30" t="str">
        <f>IF(C2222&amp;G2222&amp;D2222&lt;&gt;'Funnel setup'!$K$3&amp;'Funnel setup'!$K$4&amp;'Funnel setup'!$K$5,".",IF(A2221=".",1,A2221+1))</f>
        <v>.</v>
      </c>
      <c r="B2222" s="431" t="str">
        <f t="shared" si="34"/>
        <v>Hip Replacement PrimaryProviderBMI - THE PRIORY HOSPITAL (NT429)Oxford Hip Score</v>
      </c>
      <c r="C2222" t="s">
        <v>248</v>
      </c>
      <c r="D2222" t="s">
        <v>1</v>
      </c>
      <c r="E2222" t="s">
        <v>4776</v>
      </c>
      <c r="F2222" t="s">
        <v>4777</v>
      </c>
      <c r="G2222" t="s">
        <v>14</v>
      </c>
      <c r="H2222" t="s">
        <v>53</v>
      </c>
      <c r="I2222" t="s">
        <v>53</v>
      </c>
      <c r="J2222" t="s">
        <v>53</v>
      </c>
      <c r="K2222" t="s">
        <v>53</v>
      </c>
      <c r="L2222" t="s">
        <v>53</v>
      </c>
      <c r="M2222" t="s">
        <v>53</v>
      </c>
      <c r="N2222" t="s">
        <v>53</v>
      </c>
      <c r="O2222" t="s">
        <v>53</v>
      </c>
      <c r="P2222" t="s">
        <v>53</v>
      </c>
      <c r="Q2222" t="s">
        <v>53</v>
      </c>
    </row>
    <row r="2223" spans="1:17" x14ac:dyDescent="0.2">
      <c r="A2223" s="30" t="str">
        <f>IF(C2223&amp;G2223&amp;D2223&lt;&gt;'Funnel setup'!$K$3&amp;'Funnel setup'!$K$4&amp;'Funnel setup'!$K$5,".",IF(A2222=".",1,A2222+1))</f>
        <v>.</v>
      </c>
      <c r="B2223" s="431" t="str">
        <f t="shared" si="34"/>
        <v>Hip Replacement PrimaryProviderBMI - THE RIDGEWAY HOSPITAL (NT430)Oxford Hip Score</v>
      </c>
      <c r="C2223" t="s">
        <v>248</v>
      </c>
      <c r="D2223" t="s">
        <v>1</v>
      </c>
      <c r="E2223" t="s">
        <v>3292</v>
      </c>
      <c r="F2223" t="s">
        <v>3293</v>
      </c>
      <c r="G2223" t="s">
        <v>14</v>
      </c>
      <c r="H2223">
        <v>84</v>
      </c>
      <c r="I2223">
        <v>19.619</v>
      </c>
      <c r="J2223">
        <v>42.298000000000002</v>
      </c>
      <c r="K2223">
        <v>22.678999999999998</v>
      </c>
      <c r="L2223">
        <v>83</v>
      </c>
      <c r="M2223">
        <v>0</v>
      </c>
      <c r="N2223">
        <v>1</v>
      </c>
      <c r="O2223">
        <v>40.792999999999999</v>
      </c>
      <c r="P2223">
        <v>22.588657659999999</v>
      </c>
      <c r="Q2223">
        <v>6.9509999999999996</v>
      </c>
    </row>
    <row r="2224" spans="1:17" x14ac:dyDescent="0.2">
      <c r="A2224" s="30" t="str">
        <f>IF(C2224&amp;G2224&amp;D2224&lt;&gt;'Funnel setup'!$K$3&amp;'Funnel setup'!$K$4&amp;'Funnel setup'!$K$5,".",IF(A2223=".",1,A2223+1))</f>
        <v>.</v>
      </c>
      <c r="B2224" s="431" t="str">
        <f t="shared" si="34"/>
        <v>Hip Replacement PrimaryProviderBMI - THE RUNNYMEDE HOSPITAL (NT431)Oxford Hip Score</v>
      </c>
      <c r="C2224" t="s">
        <v>248</v>
      </c>
      <c r="D2224" t="s">
        <v>1</v>
      </c>
      <c r="E2224" t="s">
        <v>3295</v>
      </c>
      <c r="F2224" t="s">
        <v>3296</v>
      </c>
      <c r="G2224" t="s">
        <v>14</v>
      </c>
      <c r="H2224">
        <v>16</v>
      </c>
      <c r="I2224">
        <v>23.062999999999999</v>
      </c>
      <c r="J2224">
        <v>42.188000000000002</v>
      </c>
      <c r="K2224">
        <v>19.125</v>
      </c>
      <c r="L2224">
        <v>15</v>
      </c>
      <c r="M2224">
        <v>0</v>
      </c>
      <c r="N2224">
        <v>1</v>
      </c>
      <c r="O2224" t="s">
        <v>53</v>
      </c>
      <c r="P2224" t="s">
        <v>53</v>
      </c>
      <c r="Q2224" t="s">
        <v>53</v>
      </c>
    </row>
    <row r="2225" spans="1:17" x14ac:dyDescent="0.2">
      <c r="A2225" s="30" t="str">
        <f>IF(C2225&amp;G2225&amp;D2225&lt;&gt;'Funnel setup'!$K$3&amp;'Funnel setup'!$K$4&amp;'Funnel setup'!$K$5,".",IF(A2224=".",1,A2224+1))</f>
        <v>.</v>
      </c>
      <c r="B2225" s="431" t="str">
        <f t="shared" si="34"/>
        <v>Hip Replacement PrimaryProviderBMI - THE SANDRINGHAM HOSPITAL (NT432)Oxford Hip Score</v>
      </c>
      <c r="C2225" t="s">
        <v>248</v>
      </c>
      <c r="D2225" t="s">
        <v>1</v>
      </c>
      <c r="E2225" t="s">
        <v>3298</v>
      </c>
      <c r="F2225" t="s">
        <v>3299</v>
      </c>
      <c r="G2225" t="s">
        <v>14</v>
      </c>
      <c r="H2225">
        <v>126</v>
      </c>
      <c r="I2225">
        <v>18.817</v>
      </c>
      <c r="J2225">
        <v>41.19</v>
      </c>
      <c r="K2225">
        <v>22.373000000000001</v>
      </c>
      <c r="L2225">
        <v>126</v>
      </c>
      <c r="M2225">
        <v>0</v>
      </c>
      <c r="N2225">
        <v>0</v>
      </c>
      <c r="O2225">
        <v>40.298999999999999</v>
      </c>
      <c r="P2225">
        <v>22.094048480000001</v>
      </c>
      <c r="Q2225">
        <v>6.9710000000000001</v>
      </c>
    </row>
    <row r="2226" spans="1:17" x14ac:dyDescent="0.2">
      <c r="A2226" s="30" t="str">
        <f>IF(C2226&amp;G2226&amp;D2226&lt;&gt;'Funnel setup'!$K$3&amp;'Funnel setup'!$K$4&amp;'Funnel setup'!$K$5,".",IF(A2225=".",1,A2225+1))</f>
        <v>.</v>
      </c>
      <c r="B2226" s="431" t="str">
        <f t="shared" si="34"/>
        <v>Hip Replacement PrimaryProviderBMI - THE SAXON CLINIC (NT434)Oxford Hip Score</v>
      </c>
      <c r="C2226" t="s">
        <v>248</v>
      </c>
      <c r="D2226" t="s">
        <v>1</v>
      </c>
      <c r="E2226" t="s">
        <v>3301</v>
      </c>
      <c r="F2226" t="s">
        <v>3302</v>
      </c>
      <c r="G2226" t="s">
        <v>14</v>
      </c>
      <c r="H2226">
        <v>40</v>
      </c>
      <c r="I2226">
        <v>18.55</v>
      </c>
      <c r="J2226">
        <v>38.4</v>
      </c>
      <c r="K2226">
        <v>19.850000000000001</v>
      </c>
      <c r="L2226">
        <v>39</v>
      </c>
      <c r="M2226">
        <v>0</v>
      </c>
      <c r="N2226">
        <v>1</v>
      </c>
      <c r="O2226">
        <v>37.685000000000002</v>
      </c>
      <c r="P2226">
        <v>19.48094</v>
      </c>
      <c r="Q2226">
        <v>9.1989999999999998</v>
      </c>
    </row>
    <row r="2227" spans="1:17" x14ac:dyDescent="0.2">
      <c r="A2227" s="30" t="str">
        <f>IF(C2227&amp;G2227&amp;D2227&lt;&gt;'Funnel setup'!$K$3&amp;'Funnel setup'!$K$4&amp;'Funnel setup'!$K$5,".",IF(A2226=".",1,A2226+1))</f>
        <v>.</v>
      </c>
      <c r="B2227" s="431" t="str">
        <f t="shared" si="34"/>
        <v>Hip Replacement PrimaryProviderBMI - THE SHELBURNE HOSPITAL (NT435)Oxford Hip Score</v>
      </c>
      <c r="C2227" t="s">
        <v>248</v>
      </c>
      <c r="D2227" t="s">
        <v>1</v>
      </c>
      <c r="E2227" t="s">
        <v>4318</v>
      </c>
      <c r="F2227" t="s">
        <v>4319</v>
      </c>
      <c r="G2227" t="s">
        <v>14</v>
      </c>
      <c r="H2227">
        <v>40</v>
      </c>
      <c r="I2227">
        <v>20.100000000000001</v>
      </c>
      <c r="J2227">
        <v>42.575000000000003</v>
      </c>
      <c r="K2227">
        <v>22.475000000000001</v>
      </c>
      <c r="L2227">
        <v>40</v>
      </c>
      <c r="M2227">
        <v>0</v>
      </c>
      <c r="N2227">
        <v>0</v>
      </c>
      <c r="O2227">
        <v>41.206000000000003</v>
      </c>
      <c r="P2227">
        <v>23.001594040000001</v>
      </c>
      <c r="Q2227">
        <v>5.2220000000000004</v>
      </c>
    </row>
    <row r="2228" spans="1:17" x14ac:dyDescent="0.2">
      <c r="A2228" s="30" t="str">
        <f>IF(C2228&amp;G2228&amp;D2228&lt;&gt;'Funnel setup'!$K$3&amp;'Funnel setup'!$K$4&amp;'Funnel setup'!$K$5,".",IF(A2227=".",1,A2227+1))</f>
        <v>.</v>
      </c>
      <c r="B2228" s="431" t="str">
        <f t="shared" si="34"/>
        <v>Hip Replacement PrimaryProviderBMI - THE SLOANE HOSPITAL (NT437)Oxford Hip Score</v>
      </c>
      <c r="C2228" t="s">
        <v>248</v>
      </c>
      <c r="D2228" t="s">
        <v>1</v>
      </c>
      <c r="E2228" t="s">
        <v>4327</v>
      </c>
      <c r="F2228" t="s">
        <v>4328</v>
      </c>
      <c r="G2228" t="s">
        <v>14</v>
      </c>
      <c r="H2228" t="s">
        <v>53</v>
      </c>
      <c r="I2228" t="s">
        <v>53</v>
      </c>
      <c r="J2228" t="s">
        <v>53</v>
      </c>
      <c r="K2228" t="s">
        <v>53</v>
      </c>
      <c r="L2228" t="s">
        <v>53</v>
      </c>
      <c r="M2228" t="s">
        <v>53</v>
      </c>
      <c r="N2228" t="s">
        <v>53</v>
      </c>
      <c r="O2228" t="s">
        <v>53</v>
      </c>
      <c r="P2228" t="s">
        <v>53</v>
      </c>
      <c r="Q2228" t="s">
        <v>53</v>
      </c>
    </row>
    <row r="2229" spans="1:17" x14ac:dyDescent="0.2">
      <c r="A2229" s="30" t="str">
        <f>IF(C2229&amp;G2229&amp;D2229&lt;&gt;'Funnel setup'!$K$3&amp;'Funnel setup'!$K$4&amp;'Funnel setup'!$K$5,".",IF(A2228=".",1,A2228+1))</f>
        <v>.</v>
      </c>
      <c r="B2229" s="431" t="str">
        <f t="shared" si="34"/>
        <v>Hip Replacement PrimaryProviderBMI - THE SOMERFIELD HOSPITAL (NT438)Oxford Hip Score</v>
      </c>
      <c r="C2229" t="s">
        <v>248</v>
      </c>
      <c r="D2229" t="s">
        <v>1</v>
      </c>
      <c r="E2229" t="s">
        <v>3304</v>
      </c>
      <c r="F2229" t="s">
        <v>3305</v>
      </c>
      <c r="G2229" t="s">
        <v>14</v>
      </c>
      <c r="H2229">
        <v>19</v>
      </c>
      <c r="I2229">
        <v>18.841999999999999</v>
      </c>
      <c r="J2229">
        <v>41.579000000000001</v>
      </c>
      <c r="K2229">
        <v>22.736999999999998</v>
      </c>
      <c r="L2229">
        <v>19</v>
      </c>
      <c r="M2229">
        <v>0</v>
      </c>
      <c r="N2229">
        <v>0</v>
      </c>
      <c r="O2229" t="s">
        <v>53</v>
      </c>
      <c r="P2229" t="s">
        <v>53</v>
      </c>
      <c r="Q2229" t="s">
        <v>53</v>
      </c>
    </row>
    <row r="2230" spans="1:17" x14ac:dyDescent="0.2">
      <c r="A2230" s="30" t="str">
        <f>IF(C2230&amp;G2230&amp;D2230&lt;&gt;'Funnel setup'!$K$3&amp;'Funnel setup'!$K$4&amp;'Funnel setup'!$K$5,".",IF(A2229=".",1,A2229+1))</f>
        <v>.</v>
      </c>
      <c r="B2230" s="431" t="str">
        <f t="shared" si="34"/>
        <v>Hip Replacement PrimaryProviderBMI - THE SOUTH CHESHIRE PRIVATE HOSPITAL (NT439)Oxford Hip Score</v>
      </c>
      <c r="C2230" t="s">
        <v>248</v>
      </c>
      <c r="D2230" t="s">
        <v>1</v>
      </c>
      <c r="E2230" t="s">
        <v>3307</v>
      </c>
      <c r="F2230" t="s">
        <v>3308</v>
      </c>
      <c r="G2230" t="s">
        <v>14</v>
      </c>
      <c r="H2230">
        <v>34</v>
      </c>
      <c r="I2230">
        <v>20.471</v>
      </c>
      <c r="J2230">
        <v>43.265000000000001</v>
      </c>
      <c r="K2230">
        <v>22.794</v>
      </c>
      <c r="L2230">
        <v>34</v>
      </c>
      <c r="M2230">
        <v>0</v>
      </c>
      <c r="N2230">
        <v>0</v>
      </c>
      <c r="O2230">
        <v>41.529000000000003</v>
      </c>
      <c r="P2230">
        <v>23.324580090000001</v>
      </c>
      <c r="Q2230">
        <v>6.27</v>
      </c>
    </row>
    <row r="2231" spans="1:17" x14ac:dyDescent="0.2">
      <c r="A2231" s="30" t="str">
        <f>IF(C2231&amp;G2231&amp;D2231&lt;&gt;'Funnel setup'!$K$3&amp;'Funnel setup'!$K$4&amp;'Funnel setup'!$K$5,".",IF(A2230=".",1,A2230+1))</f>
        <v>.</v>
      </c>
      <c r="B2231" s="431" t="str">
        <f t="shared" si="34"/>
        <v>Hip Replacement PrimaryProviderBMI - THE WINTERBOURNE HOSPITAL (NT443)Oxford Hip Score</v>
      </c>
      <c r="C2231" t="s">
        <v>248</v>
      </c>
      <c r="D2231" t="s">
        <v>1</v>
      </c>
      <c r="E2231" t="s">
        <v>3310</v>
      </c>
      <c r="F2231" t="s">
        <v>3311</v>
      </c>
      <c r="G2231" t="s">
        <v>14</v>
      </c>
      <c r="H2231">
        <v>50</v>
      </c>
      <c r="I2231">
        <v>22.58</v>
      </c>
      <c r="J2231">
        <v>42.24</v>
      </c>
      <c r="K2231">
        <v>19.66</v>
      </c>
      <c r="L2231">
        <v>49</v>
      </c>
      <c r="M2231">
        <v>0</v>
      </c>
      <c r="N2231">
        <v>1</v>
      </c>
      <c r="O2231">
        <v>40.622999999999998</v>
      </c>
      <c r="P2231">
        <v>22.418707449999999</v>
      </c>
      <c r="Q2231">
        <v>6.0350000000000001</v>
      </c>
    </row>
    <row r="2232" spans="1:17" x14ac:dyDescent="0.2">
      <c r="A2232" s="30" t="str">
        <f>IF(C2232&amp;G2232&amp;D2232&lt;&gt;'Funnel setup'!$K$3&amp;'Funnel setup'!$K$4&amp;'Funnel setup'!$K$5,".",IF(A2231=".",1,A2231+1))</f>
        <v>.</v>
      </c>
      <c r="B2232" s="431" t="str">
        <f t="shared" si="34"/>
        <v>Hip Replacement PrimaryProviderBMI - THORNBURY HOSPITAL (NT440)Oxford Hip Score</v>
      </c>
      <c r="C2232" t="s">
        <v>248</v>
      </c>
      <c r="D2232" t="s">
        <v>1</v>
      </c>
      <c r="E2232" t="s">
        <v>3313</v>
      </c>
      <c r="F2232" t="s">
        <v>3314</v>
      </c>
      <c r="G2232" t="s">
        <v>14</v>
      </c>
      <c r="H2232">
        <v>53</v>
      </c>
      <c r="I2232">
        <v>18.509</v>
      </c>
      <c r="J2232">
        <v>42.527999999999999</v>
      </c>
      <c r="K2232">
        <v>24.018999999999998</v>
      </c>
      <c r="L2232">
        <v>53</v>
      </c>
      <c r="M2232">
        <v>0</v>
      </c>
      <c r="N2232">
        <v>0</v>
      </c>
      <c r="O2232">
        <v>40.692999999999998</v>
      </c>
      <c r="P2232">
        <v>22.488023080000001</v>
      </c>
      <c r="Q2232">
        <v>6.8869999999999996</v>
      </c>
    </row>
    <row r="2233" spans="1:17" x14ac:dyDescent="0.2">
      <c r="A2233" s="30" t="str">
        <f>IF(C2233&amp;G2233&amp;D2233&lt;&gt;'Funnel setup'!$K$3&amp;'Funnel setup'!$K$4&amp;'Funnel setup'!$K$5,".",IF(A2232=".",1,A2232+1))</f>
        <v>.</v>
      </c>
      <c r="B2233" s="431" t="str">
        <f t="shared" si="34"/>
        <v>Hip Replacement PrimaryProviderBMI - THREE SHIRES HOSPITAL (NT441)Oxford Hip Score</v>
      </c>
      <c r="C2233" t="s">
        <v>248</v>
      </c>
      <c r="D2233" t="s">
        <v>1</v>
      </c>
      <c r="E2233" t="s">
        <v>3316</v>
      </c>
      <c r="F2233" t="s">
        <v>3317</v>
      </c>
      <c r="G2233" t="s">
        <v>14</v>
      </c>
      <c r="H2233">
        <v>42</v>
      </c>
      <c r="I2233">
        <v>17.143000000000001</v>
      </c>
      <c r="J2233">
        <v>43.475999999999999</v>
      </c>
      <c r="K2233">
        <v>26.332999999999998</v>
      </c>
      <c r="L2233">
        <v>42</v>
      </c>
      <c r="M2233">
        <v>0</v>
      </c>
      <c r="N2233">
        <v>0</v>
      </c>
      <c r="O2233">
        <v>42.017000000000003</v>
      </c>
      <c r="P2233">
        <v>23.812056259999999</v>
      </c>
      <c r="Q2233">
        <v>5.6420000000000003</v>
      </c>
    </row>
    <row r="2234" spans="1:17" x14ac:dyDescent="0.2">
      <c r="A2234" s="30" t="str">
        <f>IF(C2234&amp;G2234&amp;D2234&lt;&gt;'Funnel setup'!$K$3&amp;'Funnel setup'!$K$4&amp;'Funnel setup'!$K$5,".",IF(A2233=".",1,A2233+1))</f>
        <v>.</v>
      </c>
      <c r="B2234" s="431" t="str">
        <f t="shared" si="34"/>
        <v>Hip Replacement PrimaryProviderBMI GISBURNE PARK HOSPITAL (NT497)Oxford Hip Score</v>
      </c>
      <c r="C2234" t="s">
        <v>248</v>
      </c>
      <c r="D2234" t="s">
        <v>1</v>
      </c>
      <c r="E2234" t="s">
        <v>3319</v>
      </c>
      <c r="F2234" t="s">
        <v>3320</v>
      </c>
      <c r="G2234" t="s">
        <v>14</v>
      </c>
      <c r="H2234">
        <v>47</v>
      </c>
      <c r="I2234">
        <v>20.978999999999999</v>
      </c>
      <c r="J2234">
        <v>41.426000000000002</v>
      </c>
      <c r="K2234">
        <v>20.446999999999999</v>
      </c>
      <c r="L2234">
        <v>47</v>
      </c>
      <c r="M2234">
        <v>0</v>
      </c>
      <c r="N2234">
        <v>0</v>
      </c>
      <c r="O2234">
        <v>40.33</v>
      </c>
      <c r="P2234">
        <v>22.125339449999998</v>
      </c>
      <c r="Q2234">
        <v>6.4480000000000004</v>
      </c>
    </row>
    <row r="2235" spans="1:17" x14ac:dyDescent="0.2">
      <c r="A2235" s="30" t="str">
        <f>IF(C2235&amp;G2235&amp;D2235&lt;&gt;'Funnel setup'!$K$3&amp;'Funnel setup'!$K$4&amp;'Funnel setup'!$K$5,".",IF(A2234=".",1,A2234+1))</f>
        <v>.</v>
      </c>
      <c r="B2235" s="431" t="str">
        <f t="shared" si="34"/>
        <v>Hip Replacement PrimaryProviderBMI MOUNT ALVERNIA HOSPITAL (NT455)Oxford Hip Score</v>
      </c>
      <c r="C2235" t="s">
        <v>248</v>
      </c>
      <c r="D2235" t="s">
        <v>1</v>
      </c>
      <c r="E2235" t="s">
        <v>3322</v>
      </c>
      <c r="F2235" t="s">
        <v>3323</v>
      </c>
      <c r="G2235" t="s">
        <v>14</v>
      </c>
      <c r="H2235">
        <v>11</v>
      </c>
      <c r="I2235">
        <v>23.908999999999999</v>
      </c>
      <c r="J2235">
        <v>40.091000000000001</v>
      </c>
      <c r="K2235">
        <v>16.181999999999999</v>
      </c>
      <c r="L2235">
        <v>11</v>
      </c>
      <c r="M2235">
        <v>0</v>
      </c>
      <c r="N2235">
        <v>0</v>
      </c>
      <c r="O2235" t="s">
        <v>53</v>
      </c>
      <c r="P2235" t="s">
        <v>53</v>
      </c>
      <c r="Q2235" t="s">
        <v>53</v>
      </c>
    </row>
    <row r="2236" spans="1:17" x14ac:dyDescent="0.2">
      <c r="A2236" s="30" t="str">
        <f>IF(C2236&amp;G2236&amp;D2236&lt;&gt;'Funnel setup'!$K$3&amp;'Funnel setup'!$K$4&amp;'Funnel setup'!$K$5,".",IF(A2235=".",1,A2235+1))</f>
        <v>.</v>
      </c>
      <c r="B2236" s="431" t="str">
        <f t="shared" si="34"/>
        <v>Hip Replacement PrimaryProviderBMI ST EDMUNDS HOSPITAL (NT446)Oxford Hip Score</v>
      </c>
      <c r="C2236" t="s">
        <v>248</v>
      </c>
      <c r="D2236" t="s">
        <v>1</v>
      </c>
      <c r="E2236" t="s">
        <v>3328</v>
      </c>
      <c r="F2236" t="s">
        <v>3329</v>
      </c>
      <c r="G2236" t="s">
        <v>14</v>
      </c>
      <c r="H2236">
        <v>86</v>
      </c>
      <c r="I2236">
        <v>19.802</v>
      </c>
      <c r="J2236">
        <v>40.314</v>
      </c>
      <c r="K2236">
        <v>20.512</v>
      </c>
      <c r="L2236">
        <v>83</v>
      </c>
      <c r="M2236">
        <v>1</v>
      </c>
      <c r="N2236">
        <v>2</v>
      </c>
      <c r="O2236">
        <v>38.506</v>
      </c>
      <c r="P2236">
        <v>20.30112111</v>
      </c>
      <c r="Q2236">
        <v>7.9930000000000003</v>
      </c>
    </row>
    <row r="2237" spans="1:17" x14ac:dyDescent="0.2">
      <c r="A2237" s="30" t="str">
        <f>IF(C2237&amp;G2237&amp;D2237&lt;&gt;'Funnel setup'!$K$3&amp;'Funnel setup'!$K$4&amp;'Funnel setup'!$K$5,".",IF(A2236=".",1,A2236+1))</f>
        <v>.</v>
      </c>
      <c r="B2237" s="431" t="str">
        <f t="shared" si="34"/>
        <v>Hip Replacement PrimaryProviderBMI THE CAVELL HOSPITAL (NT451)Oxford Hip Score</v>
      </c>
      <c r="C2237" t="s">
        <v>248</v>
      </c>
      <c r="D2237" t="s">
        <v>1</v>
      </c>
      <c r="E2237" t="s">
        <v>3331</v>
      </c>
      <c r="F2237" t="s">
        <v>3332</v>
      </c>
      <c r="G2237" t="s">
        <v>14</v>
      </c>
      <c r="H2237">
        <v>32</v>
      </c>
      <c r="I2237">
        <v>18.344000000000001</v>
      </c>
      <c r="J2237">
        <v>42.094000000000001</v>
      </c>
      <c r="K2237">
        <v>23.75</v>
      </c>
      <c r="L2237">
        <v>32</v>
      </c>
      <c r="M2237">
        <v>0</v>
      </c>
      <c r="N2237">
        <v>0</v>
      </c>
      <c r="O2237">
        <v>40.965000000000003</v>
      </c>
      <c r="P2237">
        <v>22.760899980000001</v>
      </c>
      <c r="Q2237">
        <v>4.6379999999999999</v>
      </c>
    </row>
    <row r="2238" spans="1:17" x14ac:dyDescent="0.2">
      <c r="A2238" s="30" t="str">
        <f>IF(C2238&amp;G2238&amp;D2238&lt;&gt;'Funnel setup'!$K$3&amp;'Funnel setup'!$K$4&amp;'Funnel setup'!$K$5,".",IF(A2237=".",1,A2237+1))</f>
        <v>.</v>
      </c>
      <c r="B2238" s="431" t="str">
        <f t="shared" si="34"/>
        <v>Hip Replacement PrimaryProviderBMI THE DUCHY HOSPITAL (NT447)Oxford Hip Score</v>
      </c>
      <c r="C2238" t="s">
        <v>248</v>
      </c>
      <c r="D2238" t="s">
        <v>1</v>
      </c>
      <c r="E2238" t="s">
        <v>3334</v>
      </c>
      <c r="F2238" t="s">
        <v>3335</v>
      </c>
      <c r="G2238" t="s">
        <v>14</v>
      </c>
      <c r="H2238">
        <v>16</v>
      </c>
      <c r="I2238">
        <v>22.375</v>
      </c>
      <c r="J2238">
        <v>45.563000000000002</v>
      </c>
      <c r="K2238">
        <v>23.187999999999999</v>
      </c>
      <c r="L2238">
        <v>16</v>
      </c>
      <c r="M2238">
        <v>0</v>
      </c>
      <c r="N2238">
        <v>0</v>
      </c>
      <c r="O2238" t="s">
        <v>53</v>
      </c>
      <c r="P2238" t="s">
        <v>53</v>
      </c>
      <c r="Q2238" t="s">
        <v>53</v>
      </c>
    </row>
    <row r="2239" spans="1:17" x14ac:dyDescent="0.2">
      <c r="A2239" s="30" t="str">
        <f>IF(C2239&amp;G2239&amp;D2239&lt;&gt;'Funnel setup'!$K$3&amp;'Funnel setup'!$K$4&amp;'Funnel setup'!$K$5,".",IF(A2238=".",1,A2238+1))</f>
        <v>.</v>
      </c>
      <c r="B2239" s="431" t="str">
        <f t="shared" si="34"/>
        <v>Hip Replacement PrimaryProviderBMI THE EDGBASTON HOSPITAL (NT445)Oxford Hip Score</v>
      </c>
      <c r="C2239" t="s">
        <v>248</v>
      </c>
      <c r="D2239" t="s">
        <v>1</v>
      </c>
      <c r="E2239" t="s">
        <v>3337</v>
      </c>
      <c r="F2239" t="s">
        <v>3338</v>
      </c>
      <c r="G2239" t="s">
        <v>14</v>
      </c>
      <c r="H2239">
        <v>34</v>
      </c>
      <c r="I2239">
        <v>18.971</v>
      </c>
      <c r="J2239">
        <v>41.676000000000002</v>
      </c>
      <c r="K2239">
        <v>22.706</v>
      </c>
      <c r="L2239">
        <v>34</v>
      </c>
      <c r="M2239">
        <v>0</v>
      </c>
      <c r="N2239">
        <v>0</v>
      </c>
      <c r="O2239">
        <v>40.74</v>
      </c>
      <c r="P2239">
        <v>22.53522276</v>
      </c>
      <c r="Q2239">
        <v>6.21</v>
      </c>
    </row>
    <row r="2240" spans="1:17" x14ac:dyDescent="0.2">
      <c r="A2240" s="30" t="str">
        <f>IF(C2240&amp;G2240&amp;D2240&lt;&gt;'Funnel setup'!$K$3&amp;'Funnel setup'!$K$4&amp;'Funnel setup'!$K$5,".",IF(A2239=".",1,A2239+1))</f>
        <v>.</v>
      </c>
      <c r="B2240" s="431" t="str">
        <f t="shared" si="34"/>
        <v>Hip Replacement PrimaryProviderBMI THE HUDDERSFIELD HOSPITAL (NT448)Oxford Hip Score</v>
      </c>
      <c r="C2240" t="s">
        <v>248</v>
      </c>
      <c r="D2240" t="s">
        <v>1</v>
      </c>
      <c r="E2240" t="s">
        <v>3346</v>
      </c>
      <c r="F2240" t="s">
        <v>3347</v>
      </c>
      <c r="G2240" t="s">
        <v>14</v>
      </c>
      <c r="H2240">
        <v>49</v>
      </c>
      <c r="I2240">
        <v>21.672999999999998</v>
      </c>
      <c r="J2240">
        <v>41.959000000000003</v>
      </c>
      <c r="K2240">
        <v>20.286000000000001</v>
      </c>
      <c r="L2240">
        <v>48</v>
      </c>
      <c r="M2240">
        <v>0</v>
      </c>
      <c r="N2240">
        <v>1</v>
      </c>
      <c r="O2240">
        <v>40.209000000000003</v>
      </c>
      <c r="P2240">
        <v>22.004181559999999</v>
      </c>
      <c r="Q2240">
        <v>7.0620000000000003</v>
      </c>
    </row>
    <row r="2241" spans="1:17" x14ac:dyDescent="0.2">
      <c r="A2241" s="30" t="str">
        <f>IF(C2241&amp;G2241&amp;D2241&lt;&gt;'Funnel setup'!$K$3&amp;'Funnel setup'!$K$4&amp;'Funnel setup'!$K$5,".",IF(A2240=".",1,A2240+1))</f>
        <v>.</v>
      </c>
      <c r="B2241" s="431" t="str">
        <f t="shared" si="34"/>
        <v>Hip Replacement PrimaryProviderBMI THE LANCASTER HOSPITAL (NT449)Oxford Hip Score</v>
      </c>
      <c r="C2241" t="s">
        <v>248</v>
      </c>
      <c r="D2241" t="s">
        <v>1</v>
      </c>
      <c r="E2241" t="s">
        <v>3349</v>
      </c>
      <c r="F2241" t="s">
        <v>3350</v>
      </c>
      <c r="G2241" t="s">
        <v>14</v>
      </c>
      <c r="H2241">
        <v>46</v>
      </c>
      <c r="I2241">
        <v>23.542999999999999</v>
      </c>
      <c r="J2241">
        <v>41.195999999999998</v>
      </c>
      <c r="K2241">
        <v>17.652000000000001</v>
      </c>
      <c r="L2241">
        <v>45</v>
      </c>
      <c r="M2241">
        <v>1</v>
      </c>
      <c r="N2241">
        <v>0</v>
      </c>
      <c r="O2241">
        <v>39.140999999999998</v>
      </c>
      <c r="P2241">
        <v>20.936951879999999</v>
      </c>
      <c r="Q2241">
        <v>5.9820000000000002</v>
      </c>
    </row>
    <row r="2242" spans="1:17" x14ac:dyDescent="0.2">
      <c r="A2242" s="30" t="str">
        <f>IF(C2242&amp;G2242&amp;D2242&lt;&gt;'Funnel setup'!$K$3&amp;'Funnel setup'!$K$4&amp;'Funnel setup'!$K$5,".",IF(A2241=".",1,A2241+1))</f>
        <v>.</v>
      </c>
      <c r="B2242" s="431" t="str">
        <f t="shared" si="34"/>
        <v>Hip Replacement PrimaryProviderBMI THE LINCOLN HOSPITAL (NT450)Oxford Hip Score</v>
      </c>
      <c r="C2242" t="s">
        <v>248</v>
      </c>
      <c r="D2242" t="s">
        <v>1</v>
      </c>
      <c r="E2242" t="s">
        <v>3352</v>
      </c>
      <c r="F2242" t="s">
        <v>3353</v>
      </c>
      <c r="G2242" t="s">
        <v>14</v>
      </c>
      <c r="H2242">
        <v>84</v>
      </c>
      <c r="I2242">
        <v>22.119</v>
      </c>
      <c r="J2242">
        <v>41.417000000000002</v>
      </c>
      <c r="K2242">
        <v>19.297999999999998</v>
      </c>
      <c r="L2242">
        <v>80</v>
      </c>
      <c r="M2242">
        <v>0</v>
      </c>
      <c r="N2242">
        <v>4</v>
      </c>
      <c r="O2242">
        <v>40.231999999999999</v>
      </c>
      <c r="P2242">
        <v>22.027935119999999</v>
      </c>
      <c r="Q2242">
        <v>6.9930000000000003</v>
      </c>
    </row>
    <row r="2243" spans="1:17" x14ac:dyDescent="0.2">
      <c r="A2243" s="30" t="str">
        <f>IF(C2243&amp;G2243&amp;D2243&lt;&gt;'Funnel setup'!$K$3&amp;'Funnel setup'!$K$4&amp;'Funnel setup'!$K$5,".",IF(A2242=".",1,A2242+1))</f>
        <v>.</v>
      </c>
      <c r="B2243" s="431" t="str">
        <f t="shared" ref="B2243:B2306" si="35">C2243&amp;D2243&amp;F2243&amp;G2243</f>
        <v>Hip Replacement PrimaryProviderBMI WOODLANDS HOSPITAL (NT457)Oxford Hip Score</v>
      </c>
      <c r="C2243" t="s">
        <v>248</v>
      </c>
      <c r="D2243" t="s">
        <v>1</v>
      </c>
      <c r="E2243" t="s">
        <v>3355</v>
      </c>
      <c r="F2243" t="s">
        <v>3356</v>
      </c>
      <c r="G2243" t="s">
        <v>14</v>
      </c>
      <c r="H2243">
        <v>71</v>
      </c>
      <c r="I2243">
        <v>21.535</v>
      </c>
      <c r="J2243">
        <v>40.661999999999999</v>
      </c>
      <c r="K2243">
        <v>19.126999999999999</v>
      </c>
      <c r="L2243">
        <v>68</v>
      </c>
      <c r="M2243">
        <v>0</v>
      </c>
      <c r="N2243">
        <v>3</v>
      </c>
      <c r="O2243">
        <v>38.887999999999998</v>
      </c>
      <c r="P2243">
        <v>20.683934140000002</v>
      </c>
      <c r="Q2243">
        <v>6.6909999999999998</v>
      </c>
    </row>
    <row r="2244" spans="1:17" x14ac:dyDescent="0.2">
      <c r="A2244" s="30" t="str">
        <f>IF(C2244&amp;G2244&amp;D2244&lt;&gt;'Funnel setup'!$K$3&amp;'Funnel setup'!$K$4&amp;'Funnel setup'!$K$5,".",IF(A2243=".",1,A2243+1))</f>
        <v>.</v>
      </c>
      <c r="B2244" s="431" t="str">
        <f t="shared" si="35"/>
        <v>Hip Replacement PrimaryProviderBOLTON NHS FOUNDATION TRUST (RMC)Oxford Hip Score</v>
      </c>
      <c r="C2244" t="s">
        <v>248</v>
      </c>
      <c r="D2244" t="s">
        <v>1</v>
      </c>
      <c r="E2244" t="s">
        <v>3358</v>
      </c>
      <c r="F2244" t="s">
        <v>3359</v>
      </c>
      <c r="G2244" t="s">
        <v>14</v>
      </c>
      <c r="H2244">
        <v>107</v>
      </c>
      <c r="I2244">
        <v>16.420999999999999</v>
      </c>
      <c r="J2244">
        <v>39.298999999999999</v>
      </c>
      <c r="K2244">
        <v>22.879000000000001</v>
      </c>
      <c r="L2244">
        <v>105</v>
      </c>
      <c r="M2244">
        <v>0</v>
      </c>
      <c r="N2244">
        <v>2</v>
      </c>
      <c r="O2244">
        <v>40.994</v>
      </c>
      <c r="P2244">
        <v>22.789780480000001</v>
      </c>
      <c r="Q2244">
        <v>8.2360000000000007</v>
      </c>
    </row>
    <row r="2245" spans="1:17" x14ac:dyDescent="0.2">
      <c r="A2245" s="30" t="str">
        <f>IF(C2245&amp;G2245&amp;D2245&lt;&gt;'Funnel setup'!$K$3&amp;'Funnel setup'!$K$4&amp;'Funnel setup'!$K$5,".",IF(A2244=".",1,A2244+1))</f>
        <v>.</v>
      </c>
      <c r="B2245" s="431" t="str">
        <f t="shared" si="35"/>
        <v>Hip Replacement PrimaryProviderBRADFORD TEACHING HOSPITALS NHS FOUNDATION TRUST (RAE)Oxford Hip Score</v>
      </c>
      <c r="C2245" t="s">
        <v>248</v>
      </c>
      <c r="D2245" t="s">
        <v>1</v>
      </c>
      <c r="E2245" t="s">
        <v>3361</v>
      </c>
      <c r="F2245" t="s">
        <v>3362</v>
      </c>
      <c r="G2245" t="s">
        <v>14</v>
      </c>
      <c r="H2245">
        <v>90</v>
      </c>
      <c r="I2245">
        <v>17.466999999999999</v>
      </c>
      <c r="J2245">
        <v>36.832999999999998</v>
      </c>
      <c r="K2245">
        <v>19.367000000000001</v>
      </c>
      <c r="L2245">
        <v>87</v>
      </c>
      <c r="M2245">
        <v>0</v>
      </c>
      <c r="N2245">
        <v>3</v>
      </c>
      <c r="O2245">
        <v>39.259</v>
      </c>
      <c r="P2245">
        <v>21.05477256</v>
      </c>
      <c r="Q2245">
        <v>8.3339999999999996</v>
      </c>
    </row>
    <row r="2246" spans="1:17" x14ac:dyDescent="0.2">
      <c r="A2246" s="30" t="str">
        <f>IF(C2246&amp;G2246&amp;D2246&lt;&gt;'Funnel setup'!$K$3&amp;'Funnel setup'!$K$4&amp;'Funnel setup'!$K$5,".",IF(A2245=".",1,A2245+1))</f>
        <v>.</v>
      </c>
      <c r="B2246" s="431" t="str">
        <f t="shared" si="35"/>
        <v>Hip Replacement PrimaryProviderBRIGHTON AND SUSSEX UNIVERSITY HOSPITALS NHS TRUST (RXH)Oxford Hip Score</v>
      </c>
      <c r="C2246" t="s">
        <v>248</v>
      </c>
      <c r="D2246" t="s">
        <v>1</v>
      </c>
      <c r="E2246" t="s">
        <v>3367</v>
      </c>
      <c r="F2246" t="s">
        <v>3368</v>
      </c>
      <c r="G2246" t="s">
        <v>14</v>
      </c>
      <c r="H2246">
        <v>211</v>
      </c>
      <c r="I2246">
        <v>20.128</v>
      </c>
      <c r="J2246">
        <v>39.283999999999999</v>
      </c>
      <c r="K2246">
        <v>19.155999999999999</v>
      </c>
      <c r="L2246">
        <v>201</v>
      </c>
      <c r="M2246">
        <v>1</v>
      </c>
      <c r="N2246">
        <v>9</v>
      </c>
      <c r="O2246">
        <v>38.847999999999999</v>
      </c>
      <c r="P2246">
        <v>20.64341649</v>
      </c>
      <c r="Q2246">
        <v>8.7089999999999996</v>
      </c>
    </row>
    <row r="2247" spans="1:17" x14ac:dyDescent="0.2">
      <c r="A2247" s="30" t="str">
        <f>IF(C2247&amp;G2247&amp;D2247&lt;&gt;'Funnel setup'!$K$3&amp;'Funnel setup'!$K$4&amp;'Funnel setup'!$K$5,".",IF(A2246=".",1,A2246+1))</f>
        <v>.</v>
      </c>
      <c r="B2247" s="431" t="str">
        <f t="shared" si="35"/>
        <v>Hip Replacement PrimaryProviderBUCKINGHAMSHIRE HEALTHCARE NHS TRUST (RXQ)Oxford Hip Score</v>
      </c>
      <c r="C2247" t="s">
        <v>248</v>
      </c>
      <c r="D2247" t="s">
        <v>1</v>
      </c>
      <c r="E2247" t="s">
        <v>3370</v>
      </c>
      <c r="F2247" t="s">
        <v>3371</v>
      </c>
      <c r="G2247" t="s">
        <v>14</v>
      </c>
      <c r="H2247">
        <v>151</v>
      </c>
      <c r="I2247">
        <v>17.881</v>
      </c>
      <c r="J2247">
        <v>37.987000000000002</v>
      </c>
      <c r="K2247">
        <v>20.106000000000002</v>
      </c>
      <c r="L2247">
        <v>147</v>
      </c>
      <c r="M2247">
        <v>0</v>
      </c>
      <c r="N2247">
        <v>4</v>
      </c>
      <c r="O2247">
        <v>37.704999999999998</v>
      </c>
      <c r="P2247">
        <v>19.500167529999999</v>
      </c>
      <c r="Q2247">
        <v>8.74</v>
      </c>
    </row>
    <row r="2248" spans="1:17" x14ac:dyDescent="0.2">
      <c r="A2248" s="30" t="str">
        <f>IF(C2248&amp;G2248&amp;D2248&lt;&gt;'Funnel setup'!$K$3&amp;'Funnel setup'!$K$4&amp;'Funnel setup'!$K$5,".",IF(A2247=".",1,A2247+1))</f>
        <v>.</v>
      </c>
      <c r="B2248" s="431" t="str">
        <f t="shared" si="35"/>
        <v>Hip Replacement PrimaryProviderBURTON HOSPITALS NHS FOUNDATION TRUST (RJF)Oxford Hip Score</v>
      </c>
      <c r="C2248" t="s">
        <v>248</v>
      </c>
      <c r="D2248" t="s">
        <v>1</v>
      </c>
      <c r="E2248" t="s">
        <v>3373</v>
      </c>
      <c r="F2248" t="s">
        <v>3374</v>
      </c>
      <c r="G2248" t="s">
        <v>14</v>
      </c>
      <c r="H2248">
        <v>182</v>
      </c>
      <c r="I2248">
        <v>18.082000000000001</v>
      </c>
      <c r="J2248">
        <v>40.456000000000003</v>
      </c>
      <c r="K2248">
        <v>22.373999999999999</v>
      </c>
      <c r="L2248">
        <v>179</v>
      </c>
      <c r="M2248">
        <v>0</v>
      </c>
      <c r="N2248">
        <v>3</v>
      </c>
      <c r="O2248">
        <v>40.289000000000001</v>
      </c>
      <c r="P2248">
        <v>22.084475999999999</v>
      </c>
      <c r="Q2248">
        <v>7.11</v>
      </c>
    </row>
    <row r="2249" spans="1:17" x14ac:dyDescent="0.2">
      <c r="A2249" s="30" t="str">
        <f>IF(C2249&amp;G2249&amp;D2249&lt;&gt;'Funnel setup'!$K$3&amp;'Funnel setup'!$K$4&amp;'Funnel setup'!$K$5,".",IF(A2248=".",1,A2248+1))</f>
        <v>.</v>
      </c>
      <c r="B2249" s="431" t="str">
        <f t="shared" si="35"/>
        <v>Hip Replacement PrimaryProviderCALDERDALE AND HUDDERSFIELD NHS FOUNDATION TRUST (RWY)Oxford Hip Score</v>
      </c>
      <c r="C2249" t="s">
        <v>248</v>
      </c>
      <c r="D2249" t="s">
        <v>1</v>
      </c>
      <c r="E2249" t="s">
        <v>3379</v>
      </c>
      <c r="F2249" t="s">
        <v>3380</v>
      </c>
      <c r="G2249" t="s">
        <v>14</v>
      </c>
      <c r="H2249">
        <v>267</v>
      </c>
      <c r="I2249">
        <v>18.933</v>
      </c>
      <c r="J2249">
        <v>40.067</v>
      </c>
      <c r="K2249">
        <v>21.135000000000002</v>
      </c>
      <c r="L2249">
        <v>264</v>
      </c>
      <c r="M2249">
        <v>1</v>
      </c>
      <c r="N2249">
        <v>2</v>
      </c>
      <c r="O2249">
        <v>40.287999999999997</v>
      </c>
      <c r="P2249">
        <v>22.0833938</v>
      </c>
      <c r="Q2249">
        <v>7.242</v>
      </c>
    </row>
    <row r="2250" spans="1:17" x14ac:dyDescent="0.2">
      <c r="A2250" s="30" t="str">
        <f>IF(C2250&amp;G2250&amp;D2250&lt;&gt;'Funnel setup'!$K$3&amp;'Funnel setup'!$K$4&amp;'Funnel setup'!$K$5,".",IF(A2249=".",1,A2249+1))</f>
        <v>.</v>
      </c>
      <c r="B2250" s="431" t="str">
        <f t="shared" si="35"/>
        <v>Hip Replacement PrimaryProviderCAMBRIDGE UNIVERSITY HOSPITALS NHS FOUNDATION TRUST (RGT)Oxford Hip Score</v>
      </c>
      <c r="C2250" t="s">
        <v>248</v>
      </c>
      <c r="D2250" t="s">
        <v>1</v>
      </c>
      <c r="E2250" t="s">
        <v>3076</v>
      </c>
      <c r="F2250" t="s">
        <v>3077</v>
      </c>
      <c r="G2250" t="s">
        <v>14</v>
      </c>
      <c r="H2250">
        <v>248</v>
      </c>
      <c r="I2250">
        <v>18.484000000000002</v>
      </c>
      <c r="J2250">
        <v>40.588999999999999</v>
      </c>
      <c r="K2250">
        <v>22.105</v>
      </c>
      <c r="L2250">
        <v>243</v>
      </c>
      <c r="M2250">
        <v>1</v>
      </c>
      <c r="N2250">
        <v>4</v>
      </c>
      <c r="O2250">
        <v>40.048999999999999</v>
      </c>
      <c r="P2250">
        <v>21.844614289999999</v>
      </c>
      <c r="Q2250">
        <v>7.5209999999999999</v>
      </c>
    </row>
    <row r="2251" spans="1:17" x14ac:dyDescent="0.2">
      <c r="A2251" s="30" t="str">
        <f>IF(C2251&amp;G2251&amp;D2251&lt;&gt;'Funnel setup'!$K$3&amp;'Funnel setup'!$K$4&amp;'Funnel setup'!$K$5,".",IF(A2250=".",1,A2250+1))</f>
        <v>.</v>
      </c>
      <c r="B2251" s="431" t="str">
        <f t="shared" si="35"/>
        <v>Hip Replacement PrimaryProviderCENTRAL MANCHESTER UNIVERSITY HOSPITALS NHS FOUNDATION TRUST (RW3)Oxford Hip Score</v>
      </c>
      <c r="C2251" t="s">
        <v>248</v>
      </c>
      <c r="D2251" t="s">
        <v>1</v>
      </c>
      <c r="E2251" t="s">
        <v>3079</v>
      </c>
      <c r="F2251" t="s">
        <v>3080</v>
      </c>
      <c r="G2251" t="s">
        <v>14</v>
      </c>
      <c r="H2251">
        <v>53</v>
      </c>
      <c r="I2251">
        <v>19.132000000000001</v>
      </c>
      <c r="J2251">
        <v>39.037999999999997</v>
      </c>
      <c r="K2251">
        <v>19.905999999999999</v>
      </c>
      <c r="L2251">
        <v>51</v>
      </c>
      <c r="M2251">
        <v>0</v>
      </c>
      <c r="N2251">
        <v>2</v>
      </c>
      <c r="O2251">
        <v>38.881</v>
      </c>
      <c r="P2251">
        <v>20.676205070000002</v>
      </c>
      <c r="Q2251">
        <v>8.2210000000000001</v>
      </c>
    </row>
    <row r="2252" spans="1:17" x14ac:dyDescent="0.2">
      <c r="A2252" s="30" t="str">
        <f>IF(C2252&amp;G2252&amp;D2252&lt;&gt;'Funnel setup'!$K$3&amp;'Funnel setup'!$K$4&amp;'Funnel setup'!$K$5,".",IF(A2251=".",1,A2251+1))</f>
        <v>.</v>
      </c>
      <c r="B2252" s="431" t="str">
        <f t="shared" si="35"/>
        <v>Hip Replacement PrimaryProviderCHELSEA AND WESTMINSTER HOSPITAL NHS FOUNDATION TRUST (RQM)Oxford Hip Score</v>
      </c>
      <c r="C2252" t="s">
        <v>248</v>
      </c>
      <c r="D2252" t="s">
        <v>1</v>
      </c>
      <c r="E2252" t="s">
        <v>3082</v>
      </c>
      <c r="F2252" t="s">
        <v>3083</v>
      </c>
      <c r="G2252" t="s">
        <v>14</v>
      </c>
      <c r="H2252">
        <v>26</v>
      </c>
      <c r="I2252">
        <v>17.846</v>
      </c>
      <c r="J2252">
        <v>39.231000000000002</v>
      </c>
      <c r="K2252">
        <v>21.385000000000002</v>
      </c>
      <c r="L2252">
        <v>25</v>
      </c>
      <c r="M2252">
        <v>0</v>
      </c>
      <c r="N2252">
        <v>1</v>
      </c>
      <c r="O2252" t="s">
        <v>53</v>
      </c>
      <c r="P2252" t="s">
        <v>53</v>
      </c>
      <c r="Q2252" t="s">
        <v>53</v>
      </c>
    </row>
    <row r="2253" spans="1:17" x14ac:dyDescent="0.2">
      <c r="A2253" s="30" t="str">
        <f>IF(C2253&amp;G2253&amp;D2253&lt;&gt;'Funnel setup'!$K$3&amp;'Funnel setup'!$K$4&amp;'Funnel setup'!$K$5,".",IF(A2252=".",1,A2252+1))</f>
        <v>.</v>
      </c>
      <c r="B2253" s="431" t="str">
        <f t="shared" si="35"/>
        <v>Hip Replacement PrimaryProviderCHESTERFIELD ROYAL HOSPITAL NHS FOUNDATION TRUST (RFS)Oxford Hip Score</v>
      </c>
      <c r="C2253" t="s">
        <v>248</v>
      </c>
      <c r="D2253" t="s">
        <v>1</v>
      </c>
      <c r="E2253" t="s">
        <v>3085</v>
      </c>
      <c r="F2253" t="s">
        <v>3086</v>
      </c>
      <c r="G2253" t="s">
        <v>14</v>
      </c>
      <c r="H2253">
        <v>183</v>
      </c>
      <c r="I2253">
        <v>17.279</v>
      </c>
      <c r="J2253">
        <v>36.962000000000003</v>
      </c>
      <c r="K2253">
        <v>19.683</v>
      </c>
      <c r="L2253">
        <v>171</v>
      </c>
      <c r="M2253">
        <v>1</v>
      </c>
      <c r="N2253">
        <v>11</v>
      </c>
      <c r="O2253">
        <v>37.988</v>
      </c>
      <c r="P2253">
        <v>19.783122639999998</v>
      </c>
      <c r="Q2253">
        <v>9.2460000000000004</v>
      </c>
    </row>
    <row r="2254" spans="1:17" x14ac:dyDescent="0.2">
      <c r="A2254" s="30" t="str">
        <f>IF(C2254&amp;G2254&amp;D2254&lt;&gt;'Funnel setup'!$K$3&amp;'Funnel setup'!$K$4&amp;'Funnel setup'!$K$5,".",IF(A2253=".",1,A2253+1))</f>
        <v>.</v>
      </c>
      <c r="B2254" s="431" t="str">
        <f t="shared" si="35"/>
        <v>Hip Replacement PrimaryProviderCIRCLE BATH HOSPITAL (NV302)Oxford Hip Score</v>
      </c>
      <c r="C2254" t="s">
        <v>248</v>
      </c>
      <c r="D2254" t="s">
        <v>1</v>
      </c>
      <c r="E2254" t="s">
        <v>3097</v>
      </c>
      <c r="F2254" t="s">
        <v>3098</v>
      </c>
      <c r="G2254" t="s">
        <v>14</v>
      </c>
      <c r="H2254">
        <v>207</v>
      </c>
      <c r="I2254">
        <v>19.661999999999999</v>
      </c>
      <c r="J2254">
        <v>43.28</v>
      </c>
      <c r="K2254">
        <v>23.617999999999999</v>
      </c>
      <c r="L2254">
        <v>205</v>
      </c>
      <c r="M2254">
        <v>0</v>
      </c>
      <c r="N2254">
        <v>2</v>
      </c>
      <c r="O2254">
        <v>42.064999999999998</v>
      </c>
      <c r="P2254">
        <v>23.860999410000002</v>
      </c>
      <c r="Q2254">
        <v>5.6580000000000004</v>
      </c>
    </row>
    <row r="2255" spans="1:17" x14ac:dyDescent="0.2">
      <c r="A2255" s="30" t="str">
        <f>IF(C2255&amp;G2255&amp;D2255&lt;&gt;'Funnel setup'!$K$3&amp;'Funnel setup'!$K$4&amp;'Funnel setup'!$K$5,".",IF(A2254=".",1,A2254+1))</f>
        <v>.</v>
      </c>
      <c r="B2255" s="431" t="str">
        <f t="shared" si="35"/>
        <v>Hip Replacement PrimaryProviderCIRCLE READING HOSPITAL (NV323)Oxford Hip Score</v>
      </c>
      <c r="C2255" t="s">
        <v>248</v>
      </c>
      <c r="D2255" t="s">
        <v>1</v>
      </c>
      <c r="E2255" t="s">
        <v>3091</v>
      </c>
      <c r="F2255" t="s">
        <v>3092</v>
      </c>
      <c r="G2255" t="s">
        <v>14</v>
      </c>
      <c r="H2255">
        <v>113</v>
      </c>
      <c r="I2255">
        <v>20.495999999999999</v>
      </c>
      <c r="J2255">
        <v>41.521999999999998</v>
      </c>
      <c r="K2255">
        <v>21.027000000000001</v>
      </c>
      <c r="L2255">
        <v>109</v>
      </c>
      <c r="M2255">
        <v>1</v>
      </c>
      <c r="N2255">
        <v>3</v>
      </c>
      <c r="O2255">
        <v>39.304000000000002</v>
      </c>
      <c r="P2255">
        <v>21.09955463</v>
      </c>
      <c r="Q2255">
        <v>6.5590000000000002</v>
      </c>
    </row>
    <row r="2256" spans="1:17" x14ac:dyDescent="0.2">
      <c r="A2256" s="30" t="str">
        <f>IF(C2256&amp;G2256&amp;D2256&lt;&gt;'Funnel setup'!$K$3&amp;'Funnel setup'!$K$4&amp;'Funnel setup'!$K$5,".",IF(A2255=".",1,A2255+1))</f>
        <v>.</v>
      </c>
      <c r="B2256" s="431" t="str">
        <f t="shared" si="35"/>
        <v>Hip Replacement PrimaryProviderCITY HOSPITALS SUNDERLAND NHS FOUNDATION TRUST (RLN)Oxford Hip Score</v>
      </c>
      <c r="C2256" t="s">
        <v>248</v>
      </c>
      <c r="D2256" t="s">
        <v>1</v>
      </c>
      <c r="E2256" t="s">
        <v>3100</v>
      </c>
      <c r="F2256" t="s">
        <v>3101</v>
      </c>
      <c r="G2256" t="s">
        <v>14</v>
      </c>
      <c r="H2256">
        <v>192</v>
      </c>
      <c r="I2256">
        <v>14.911</v>
      </c>
      <c r="J2256">
        <v>37.421999999999997</v>
      </c>
      <c r="K2256">
        <v>22.51</v>
      </c>
      <c r="L2256">
        <v>188</v>
      </c>
      <c r="M2256">
        <v>0</v>
      </c>
      <c r="N2256">
        <v>4</v>
      </c>
      <c r="O2256">
        <v>39.582000000000001</v>
      </c>
      <c r="P2256">
        <v>21.377158179999999</v>
      </c>
      <c r="Q2256">
        <v>9.173</v>
      </c>
    </row>
    <row r="2257" spans="1:17" x14ac:dyDescent="0.2">
      <c r="A2257" s="30" t="str">
        <f>IF(C2257&amp;G2257&amp;D2257&lt;&gt;'Funnel setup'!$K$3&amp;'Funnel setup'!$K$4&amp;'Funnel setup'!$K$5,".",IF(A2256=".",1,A2256+1))</f>
        <v>.</v>
      </c>
      <c r="B2257" s="431" t="str">
        <f t="shared" si="35"/>
        <v>Hip Replacement PrimaryProviderCLIFTON PARK HOSPITAL (NVC28)Oxford Hip Score</v>
      </c>
      <c r="C2257" t="s">
        <v>248</v>
      </c>
      <c r="D2257" t="s">
        <v>1</v>
      </c>
      <c r="E2257" t="s">
        <v>4229</v>
      </c>
      <c r="F2257" t="s">
        <v>4230</v>
      </c>
      <c r="G2257" t="s">
        <v>14</v>
      </c>
      <c r="H2257">
        <v>267</v>
      </c>
      <c r="I2257">
        <v>20.506</v>
      </c>
      <c r="J2257">
        <v>41.404000000000003</v>
      </c>
      <c r="K2257">
        <v>20.899000000000001</v>
      </c>
      <c r="L2257">
        <v>257</v>
      </c>
      <c r="M2257">
        <v>2</v>
      </c>
      <c r="N2257">
        <v>8</v>
      </c>
      <c r="O2257">
        <v>39.604999999999997</v>
      </c>
      <c r="P2257">
        <v>21.40022295</v>
      </c>
      <c r="Q2257">
        <v>7.5620000000000003</v>
      </c>
    </row>
    <row r="2258" spans="1:17" x14ac:dyDescent="0.2">
      <c r="A2258" s="30" t="str">
        <f>IF(C2258&amp;G2258&amp;D2258&lt;&gt;'Funnel setup'!$K$3&amp;'Funnel setup'!$K$4&amp;'Funnel setup'!$K$5,".",IF(A2257=".",1,A2257+1))</f>
        <v>.</v>
      </c>
      <c r="B2258" s="431" t="str">
        <f t="shared" si="35"/>
        <v>Hip Replacement PrimaryProviderCOLCHESTER HOSPITAL UNIVERSITY NHS FOUNDATION TRUST (RDE)Oxford Hip Score</v>
      </c>
      <c r="C2258" t="s">
        <v>248</v>
      </c>
      <c r="D2258" t="s">
        <v>1</v>
      </c>
      <c r="E2258" t="s">
        <v>3109</v>
      </c>
      <c r="F2258" t="s">
        <v>3110</v>
      </c>
      <c r="G2258" t="s">
        <v>14</v>
      </c>
      <c r="H2258">
        <v>171</v>
      </c>
      <c r="I2258">
        <v>17.187000000000001</v>
      </c>
      <c r="J2258">
        <v>37.322000000000003</v>
      </c>
      <c r="K2258">
        <v>20.135000000000002</v>
      </c>
      <c r="L2258">
        <v>166</v>
      </c>
      <c r="M2258">
        <v>2</v>
      </c>
      <c r="N2258">
        <v>3</v>
      </c>
      <c r="O2258">
        <v>38.204000000000001</v>
      </c>
      <c r="P2258">
        <v>19.99937813</v>
      </c>
      <c r="Q2258">
        <v>8.609</v>
      </c>
    </row>
    <row r="2259" spans="1:17" x14ac:dyDescent="0.2">
      <c r="A2259" s="30" t="str">
        <f>IF(C2259&amp;G2259&amp;D2259&lt;&gt;'Funnel setup'!$K$3&amp;'Funnel setup'!$K$4&amp;'Funnel setup'!$K$5,".",IF(A2258=".",1,A2258+1))</f>
        <v>.</v>
      </c>
      <c r="B2259" s="431" t="str">
        <f t="shared" si="35"/>
        <v>Hip Replacement PrimaryProviderCOUNTESS OF CHESTER HOSPITAL NHS FOUNDATION TRUST (RJR)Oxford Hip Score</v>
      </c>
      <c r="C2259" t="s">
        <v>248</v>
      </c>
      <c r="D2259" t="s">
        <v>1</v>
      </c>
      <c r="E2259" t="s">
        <v>3781</v>
      </c>
      <c r="F2259" t="s">
        <v>3782</v>
      </c>
      <c r="G2259" t="s">
        <v>14</v>
      </c>
      <c r="H2259">
        <v>76</v>
      </c>
      <c r="I2259">
        <v>17.486999999999998</v>
      </c>
      <c r="J2259">
        <v>39.539000000000001</v>
      </c>
      <c r="K2259">
        <v>22.053000000000001</v>
      </c>
      <c r="L2259">
        <v>72</v>
      </c>
      <c r="M2259">
        <v>0</v>
      </c>
      <c r="N2259">
        <v>4</v>
      </c>
      <c r="O2259">
        <v>40.290999999999997</v>
      </c>
      <c r="P2259">
        <v>22.086880059999999</v>
      </c>
      <c r="Q2259">
        <v>8.2330000000000005</v>
      </c>
    </row>
    <row r="2260" spans="1:17" x14ac:dyDescent="0.2">
      <c r="A2260" s="30" t="str">
        <f>IF(C2260&amp;G2260&amp;D2260&lt;&gt;'Funnel setup'!$K$3&amp;'Funnel setup'!$K$4&amp;'Funnel setup'!$K$5,".",IF(A2259=".",1,A2259+1))</f>
        <v>.</v>
      </c>
      <c r="B2260" s="431" t="str">
        <f t="shared" si="35"/>
        <v>Hip Replacement PrimaryProviderCOUNTY DURHAM AND DARLINGTON NHS FOUNDATION TRUST (RXP)Oxford Hip Score</v>
      </c>
      <c r="C2260" t="s">
        <v>248</v>
      </c>
      <c r="D2260" t="s">
        <v>1</v>
      </c>
      <c r="E2260" t="s">
        <v>3784</v>
      </c>
      <c r="F2260" t="s">
        <v>3785</v>
      </c>
      <c r="G2260" t="s">
        <v>14</v>
      </c>
      <c r="H2260">
        <v>259</v>
      </c>
      <c r="I2260">
        <v>15.653</v>
      </c>
      <c r="J2260">
        <v>37.976999999999997</v>
      </c>
      <c r="K2260">
        <v>22.324000000000002</v>
      </c>
      <c r="L2260">
        <v>255</v>
      </c>
      <c r="M2260">
        <v>0</v>
      </c>
      <c r="N2260">
        <v>4</v>
      </c>
      <c r="O2260">
        <v>39.482999999999997</v>
      </c>
      <c r="P2260">
        <v>21.27897029</v>
      </c>
      <c r="Q2260">
        <v>8.61</v>
      </c>
    </row>
    <row r="2261" spans="1:17" x14ac:dyDescent="0.2">
      <c r="A2261" s="30" t="str">
        <f>IF(C2261&amp;G2261&amp;D2261&lt;&gt;'Funnel setup'!$K$3&amp;'Funnel setup'!$K$4&amp;'Funnel setup'!$K$5,".",IF(A2260=".",1,A2260+1))</f>
        <v>.</v>
      </c>
      <c r="B2261" s="431" t="str">
        <f t="shared" si="35"/>
        <v>Hip Replacement PrimaryProviderDARTFORD AND GRAVESHAM NHS TRUST (RN7)Oxford Hip Score</v>
      </c>
      <c r="C2261" t="s">
        <v>248</v>
      </c>
      <c r="D2261" t="s">
        <v>1</v>
      </c>
      <c r="E2261" t="s">
        <v>3787</v>
      </c>
      <c r="F2261" t="s">
        <v>3788</v>
      </c>
      <c r="G2261" t="s">
        <v>14</v>
      </c>
      <c r="H2261">
        <v>153</v>
      </c>
      <c r="I2261">
        <v>17.32</v>
      </c>
      <c r="J2261">
        <v>37.837000000000003</v>
      </c>
      <c r="K2261">
        <v>20.515999999999998</v>
      </c>
      <c r="L2261">
        <v>147</v>
      </c>
      <c r="M2261">
        <v>2</v>
      </c>
      <c r="N2261">
        <v>4</v>
      </c>
      <c r="O2261">
        <v>38.39</v>
      </c>
      <c r="P2261">
        <v>20.18577715</v>
      </c>
      <c r="Q2261">
        <v>8.5370000000000008</v>
      </c>
    </row>
    <row r="2262" spans="1:17" x14ac:dyDescent="0.2">
      <c r="A2262" s="30" t="str">
        <f>IF(C2262&amp;G2262&amp;D2262&lt;&gt;'Funnel setup'!$K$3&amp;'Funnel setup'!$K$4&amp;'Funnel setup'!$K$5,".",IF(A2261=".",1,A2261+1))</f>
        <v>.</v>
      </c>
      <c r="B2262" s="431" t="str">
        <f t="shared" si="35"/>
        <v>Hip Replacement PrimaryProviderDERBY TEACHING HOSPITALS NHS FOUNDATION TRUST (RTG)Oxford Hip Score</v>
      </c>
      <c r="C2262" t="s">
        <v>248</v>
      </c>
      <c r="D2262" t="s">
        <v>1</v>
      </c>
      <c r="E2262" t="s">
        <v>3790</v>
      </c>
      <c r="F2262" t="s">
        <v>3791</v>
      </c>
      <c r="G2262" t="s">
        <v>14</v>
      </c>
      <c r="H2262">
        <v>410</v>
      </c>
      <c r="I2262">
        <v>18.248999999999999</v>
      </c>
      <c r="J2262">
        <v>38.750999999999998</v>
      </c>
      <c r="K2262">
        <v>20.501999999999999</v>
      </c>
      <c r="L2262">
        <v>393</v>
      </c>
      <c r="M2262">
        <v>3</v>
      </c>
      <c r="N2262">
        <v>14</v>
      </c>
      <c r="O2262">
        <v>38.823</v>
      </c>
      <c r="P2262">
        <v>20.61854177</v>
      </c>
      <c r="Q2262">
        <v>8.2560000000000002</v>
      </c>
    </row>
    <row r="2263" spans="1:17" x14ac:dyDescent="0.2">
      <c r="A2263" s="30" t="str">
        <f>IF(C2263&amp;G2263&amp;D2263&lt;&gt;'Funnel setup'!$K$3&amp;'Funnel setup'!$K$4&amp;'Funnel setup'!$K$5,".",IF(A2262=".",1,A2262+1))</f>
        <v>.</v>
      </c>
      <c r="B2263" s="431" t="str">
        <f t="shared" si="35"/>
        <v>Hip Replacement PrimaryProviderDONCASTER AND BASSETLAW HOSPITALS NHS FOUNDATION TRUST (RP5)Oxford Hip Score</v>
      </c>
      <c r="C2263" t="s">
        <v>248</v>
      </c>
      <c r="D2263" t="s">
        <v>1</v>
      </c>
      <c r="E2263" t="s">
        <v>3799</v>
      </c>
      <c r="F2263" t="s">
        <v>3800</v>
      </c>
      <c r="G2263" t="s">
        <v>14</v>
      </c>
      <c r="H2263">
        <v>283</v>
      </c>
      <c r="I2263">
        <v>15.862</v>
      </c>
      <c r="J2263">
        <v>37.027999999999999</v>
      </c>
      <c r="K2263">
        <v>21.166</v>
      </c>
      <c r="L2263">
        <v>276</v>
      </c>
      <c r="M2263">
        <v>2</v>
      </c>
      <c r="N2263">
        <v>5</v>
      </c>
      <c r="O2263">
        <v>38.808</v>
      </c>
      <c r="P2263">
        <v>20.60397438</v>
      </c>
      <c r="Q2263">
        <v>8.8919999999999995</v>
      </c>
    </row>
    <row r="2264" spans="1:17" x14ac:dyDescent="0.2">
      <c r="A2264" s="30" t="str">
        <f>IF(C2264&amp;G2264&amp;D2264&lt;&gt;'Funnel setup'!$K$3&amp;'Funnel setup'!$K$4&amp;'Funnel setup'!$K$5,".",IF(A2263=".",1,A2263+1))</f>
        <v>.</v>
      </c>
      <c r="B2264" s="431" t="str">
        <f t="shared" si="35"/>
        <v>Hip Replacement PrimaryProviderDORSET COUNTY HOSPITAL NHS FOUNDATION TRUST (RBD)Oxford Hip Score</v>
      </c>
      <c r="C2264" t="s">
        <v>248</v>
      </c>
      <c r="D2264" t="s">
        <v>1</v>
      </c>
      <c r="E2264" t="s">
        <v>3802</v>
      </c>
      <c r="F2264" t="s">
        <v>3803</v>
      </c>
      <c r="G2264" t="s">
        <v>14</v>
      </c>
      <c r="H2264">
        <v>200</v>
      </c>
      <c r="I2264">
        <v>18.850000000000001</v>
      </c>
      <c r="J2264">
        <v>40.67</v>
      </c>
      <c r="K2264">
        <v>21.82</v>
      </c>
      <c r="L2264">
        <v>199</v>
      </c>
      <c r="M2264">
        <v>0</v>
      </c>
      <c r="N2264">
        <v>1</v>
      </c>
      <c r="O2264">
        <v>40.832999999999998</v>
      </c>
      <c r="P2264">
        <v>22.62812967</v>
      </c>
      <c r="Q2264">
        <v>6.6420000000000003</v>
      </c>
    </row>
    <row r="2265" spans="1:17" x14ac:dyDescent="0.2">
      <c r="A2265" s="30" t="str">
        <f>IF(C2265&amp;G2265&amp;D2265&lt;&gt;'Funnel setup'!$K$3&amp;'Funnel setup'!$K$4&amp;'Funnel setup'!$K$5,".",IF(A2264=".",1,A2264+1))</f>
        <v>.</v>
      </c>
      <c r="B2265" s="431" t="str">
        <f t="shared" si="35"/>
        <v>Hip Replacement PrimaryProviderDUCHY HOSPITAL (NVC04)Oxford Hip Score</v>
      </c>
      <c r="C2265" t="s">
        <v>248</v>
      </c>
      <c r="D2265" t="s">
        <v>1</v>
      </c>
      <c r="E2265" t="s">
        <v>4518</v>
      </c>
      <c r="F2265" t="s">
        <v>4519</v>
      </c>
      <c r="G2265" t="s">
        <v>14</v>
      </c>
      <c r="H2265">
        <v>367</v>
      </c>
      <c r="I2265">
        <v>20.286000000000001</v>
      </c>
      <c r="J2265">
        <v>40.956000000000003</v>
      </c>
      <c r="K2265">
        <v>20.67</v>
      </c>
      <c r="L2265">
        <v>361</v>
      </c>
      <c r="M2265">
        <v>2</v>
      </c>
      <c r="N2265">
        <v>4</v>
      </c>
      <c r="O2265">
        <v>40.015000000000001</v>
      </c>
      <c r="P2265">
        <v>21.810127120000001</v>
      </c>
      <c r="Q2265">
        <v>6.81</v>
      </c>
    </row>
    <row r="2266" spans="1:17" x14ac:dyDescent="0.2">
      <c r="A2266" s="30" t="str">
        <f>IF(C2266&amp;G2266&amp;D2266&lt;&gt;'Funnel setup'!$K$3&amp;'Funnel setup'!$K$4&amp;'Funnel setup'!$K$5,".",IF(A2265=".",1,A2265+1))</f>
        <v>.</v>
      </c>
      <c r="B2266" s="431" t="str">
        <f t="shared" si="35"/>
        <v>Hip Replacement PrimaryProviderEAST AND NORTH HERTFORDSHIRE NHS TRUST (RWH)Oxford Hip Score</v>
      </c>
      <c r="C2266" t="s">
        <v>248</v>
      </c>
      <c r="D2266" t="s">
        <v>1</v>
      </c>
      <c r="E2266" t="s">
        <v>3814</v>
      </c>
      <c r="F2266" t="s">
        <v>3815</v>
      </c>
      <c r="G2266" t="s">
        <v>14</v>
      </c>
      <c r="H2266">
        <v>162</v>
      </c>
      <c r="I2266">
        <v>15.882999999999999</v>
      </c>
      <c r="J2266">
        <v>38.901000000000003</v>
      </c>
      <c r="K2266">
        <v>23.018999999999998</v>
      </c>
      <c r="L2266">
        <v>160</v>
      </c>
      <c r="M2266">
        <v>0</v>
      </c>
      <c r="N2266">
        <v>2</v>
      </c>
      <c r="O2266">
        <v>39.643999999999998</v>
      </c>
      <c r="P2266">
        <v>21.439002009999999</v>
      </c>
      <c r="Q2266">
        <v>8.5180000000000007</v>
      </c>
    </row>
    <row r="2267" spans="1:17" x14ac:dyDescent="0.2">
      <c r="A2267" s="30" t="str">
        <f>IF(C2267&amp;G2267&amp;D2267&lt;&gt;'Funnel setup'!$K$3&amp;'Funnel setup'!$K$4&amp;'Funnel setup'!$K$5,".",IF(A2266=".",1,A2266+1))</f>
        <v>.</v>
      </c>
      <c r="B2267" s="431" t="str">
        <f t="shared" si="35"/>
        <v>Hip Replacement PrimaryProviderEAST CHESHIRE NHS TRUST (RJN)Oxford Hip Score</v>
      </c>
      <c r="C2267" t="s">
        <v>248</v>
      </c>
      <c r="D2267" t="s">
        <v>1</v>
      </c>
      <c r="E2267" t="s">
        <v>3817</v>
      </c>
      <c r="F2267" t="s">
        <v>3818</v>
      </c>
      <c r="G2267" t="s">
        <v>14</v>
      </c>
      <c r="H2267">
        <v>88</v>
      </c>
      <c r="I2267">
        <v>16.920000000000002</v>
      </c>
      <c r="J2267">
        <v>38.045000000000002</v>
      </c>
      <c r="K2267">
        <v>21.125</v>
      </c>
      <c r="L2267">
        <v>85</v>
      </c>
      <c r="M2267">
        <v>0</v>
      </c>
      <c r="N2267">
        <v>3</v>
      </c>
      <c r="O2267">
        <v>38.752000000000002</v>
      </c>
      <c r="P2267">
        <v>20.547686339999998</v>
      </c>
      <c r="Q2267">
        <v>9.1579999999999995</v>
      </c>
    </row>
    <row r="2268" spans="1:17" x14ac:dyDescent="0.2">
      <c r="A2268" s="30" t="str">
        <f>IF(C2268&amp;G2268&amp;D2268&lt;&gt;'Funnel setup'!$K$3&amp;'Funnel setup'!$K$4&amp;'Funnel setup'!$K$5,".",IF(A2267=".",1,A2267+1))</f>
        <v>.</v>
      </c>
      <c r="B2268" s="431" t="str">
        <f t="shared" si="35"/>
        <v>Hip Replacement PrimaryProviderEAST KENT HOSPITALS UNIVERSITY NHS FOUNDATION TRUST (RVV)Oxford Hip Score</v>
      </c>
      <c r="C2268" t="s">
        <v>248</v>
      </c>
      <c r="D2268" t="s">
        <v>1</v>
      </c>
      <c r="E2268" t="s">
        <v>3820</v>
      </c>
      <c r="F2268" t="s">
        <v>3821</v>
      </c>
      <c r="G2268" t="s">
        <v>14</v>
      </c>
      <c r="H2268">
        <v>342</v>
      </c>
      <c r="I2268">
        <v>17.477</v>
      </c>
      <c r="J2268">
        <v>39.892000000000003</v>
      </c>
      <c r="K2268">
        <v>22.414999999999999</v>
      </c>
      <c r="L2268">
        <v>334</v>
      </c>
      <c r="M2268">
        <v>2</v>
      </c>
      <c r="N2268">
        <v>6</v>
      </c>
      <c r="O2268">
        <v>40.396000000000001</v>
      </c>
      <c r="P2268">
        <v>22.19193593</v>
      </c>
      <c r="Q2268">
        <v>7.4</v>
      </c>
    </row>
    <row r="2269" spans="1:17" x14ac:dyDescent="0.2">
      <c r="A2269" s="30" t="str">
        <f>IF(C2269&amp;G2269&amp;D2269&lt;&gt;'Funnel setup'!$K$3&amp;'Funnel setup'!$K$4&amp;'Funnel setup'!$K$5,".",IF(A2268=".",1,A2268+1))</f>
        <v>.</v>
      </c>
      <c r="B2269" s="431" t="str">
        <f t="shared" si="35"/>
        <v>Hip Replacement PrimaryProviderEAST LANCASHIRE HOSPITALS NHS TRUST (RXR)Oxford Hip Score</v>
      </c>
      <c r="C2269" t="s">
        <v>248</v>
      </c>
      <c r="D2269" t="s">
        <v>1</v>
      </c>
      <c r="E2269" t="s">
        <v>3823</v>
      </c>
      <c r="F2269" t="s">
        <v>3824</v>
      </c>
      <c r="G2269" t="s">
        <v>14</v>
      </c>
      <c r="H2269">
        <v>167</v>
      </c>
      <c r="I2269">
        <v>16.12</v>
      </c>
      <c r="J2269">
        <v>38.359000000000002</v>
      </c>
      <c r="K2269">
        <v>22.24</v>
      </c>
      <c r="L2269">
        <v>164</v>
      </c>
      <c r="M2269">
        <v>0</v>
      </c>
      <c r="N2269">
        <v>3</v>
      </c>
      <c r="O2269">
        <v>39.770000000000003</v>
      </c>
      <c r="P2269">
        <v>21.565118080000001</v>
      </c>
      <c r="Q2269">
        <v>8.1850000000000005</v>
      </c>
    </row>
    <row r="2270" spans="1:17" x14ac:dyDescent="0.2">
      <c r="A2270" s="30" t="str">
        <f>IF(C2270&amp;G2270&amp;D2270&lt;&gt;'Funnel setup'!$K$3&amp;'Funnel setup'!$K$4&amp;'Funnel setup'!$K$5,".",IF(A2269=".",1,A2269+1))</f>
        <v>.</v>
      </c>
      <c r="B2270" s="431" t="str">
        <f t="shared" si="35"/>
        <v>Hip Replacement PrimaryProviderEAST SUSSEX HEALTHCARE NHS TRUST (RXC)Oxford Hip Score</v>
      </c>
      <c r="C2270" t="s">
        <v>248</v>
      </c>
      <c r="D2270" t="s">
        <v>1</v>
      </c>
      <c r="E2270" t="s">
        <v>3826</v>
      </c>
      <c r="F2270" t="s">
        <v>3827</v>
      </c>
      <c r="G2270" t="s">
        <v>14</v>
      </c>
      <c r="H2270">
        <v>253</v>
      </c>
      <c r="I2270">
        <v>19.489999999999998</v>
      </c>
      <c r="J2270">
        <v>40.451000000000001</v>
      </c>
      <c r="K2270">
        <v>20.96</v>
      </c>
      <c r="L2270">
        <v>247</v>
      </c>
      <c r="M2270">
        <v>0</v>
      </c>
      <c r="N2270">
        <v>6</v>
      </c>
      <c r="O2270">
        <v>40.738999999999997</v>
      </c>
      <c r="P2270">
        <v>22.534994600000001</v>
      </c>
      <c r="Q2270">
        <v>7.0880000000000001</v>
      </c>
    </row>
    <row r="2271" spans="1:17" x14ac:dyDescent="0.2">
      <c r="A2271" s="30" t="str">
        <f>IF(C2271&amp;G2271&amp;D2271&lt;&gt;'Funnel setup'!$K$3&amp;'Funnel setup'!$K$4&amp;'Funnel setup'!$K$5,".",IF(A2270=".",1,A2270+1))</f>
        <v>.</v>
      </c>
      <c r="B2271" s="431" t="str">
        <f t="shared" si="35"/>
        <v>Hip Replacement PrimaryProviderEMERSONS GREEN NHS TREATMENT CENTRE (NTPH2)Oxford Hip Score</v>
      </c>
      <c r="C2271" t="s">
        <v>248</v>
      </c>
      <c r="D2271" t="s">
        <v>1</v>
      </c>
      <c r="E2271" t="s">
        <v>3829</v>
      </c>
      <c r="F2271" t="s">
        <v>3830</v>
      </c>
      <c r="G2271" t="s">
        <v>14</v>
      </c>
      <c r="H2271">
        <v>396</v>
      </c>
      <c r="I2271">
        <v>19.843</v>
      </c>
      <c r="J2271">
        <v>42.52</v>
      </c>
      <c r="K2271">
        <v>22.677</v>
      </c>
      <c r="L2271">
        <v>389</v>
      </c>
      <c r="M2271">
        <v>1</v>
      </c>
      <c r="N2271">
        <v>6</v>
      </c>
      <c r="O2271">
        <v>41.113</v>
      </c>
      <c r="P2271">
        <v>22.90813223</v>
      </c>
      <c r="Q2271">
        <v>6.3369999999999997</v>
      </c>
    </row>
    <row r="2272" spans="1:17" x14ac:dyDescent="0.2">
      <c r="A2272" s="30" t="str">
        <f>IF(C2272&amp;G2272&amp;D2272&lt;&gt;'Funnel setup'!$K$3&amp;'Funnel setup'!$K$4&amp;'Funnel setup'!$K$5,".",IF(A2271=".",1,A2271+1))</f>
        <v>.</v>
      </c>
      <c r="B2272" s="431" t="str">
        <f t="shared" si="35"/>
        <v>Hip Replacement PrimaryProviderEPSOM AND ST HELIER UNIVERSITY HOSPITALS NHS TRUST (RVR)Oxford Hip Score</v>
      </c>
      <c r="C2272" t="s">
        <v>248</v>
      </c>
      <c r="D2272" t="s">
        <v>1</v>
      </c>
      <c r="E2272" t="s">
        <v>3849</v>
      </c>
      <c r="F2272" t="s">
        <v>3850</v>
      </c>
      <c r="G2272" t="s">
        <v>14</v>
      </c>
      <c r="H2272">
        <v>660</v>
      </c>
      <c r="I2272">
        <v>20.376000000000001</v>
      </c>
      <c r="J2272">
        <v>40.295000000000002</v>
      </c>
      <c r="K2272">
        <v>19.920000000000002</v>
      </c>
      <c r="L2272">
        <v>634</v>
      </c>
      <c r="M2272">
        <v>4</v>
      </c>
      <c r="N2272">
        <v>22</v>
      </c>
      <c r="O2272">
        <v>39.652000000000001</v>
      </c>
      <c r="P2272">
        <v>21.44777547</v>
      </c>
      <c r="Q2272">
        <v>8.0329999999999995</v>
      </c>
    </row>
    <row r="2273" spans="1:17" x14ac:dyDescent="0.2">
      <c r="A2273" s="30" t="str">
        <f>IF(C2273&amp;G2273&amp;D2273&lt;&gt;'Funnel setup'!$K$3&amp;'Funnel setup'!$K$4&amp;'Funnel setup'!$K$5,".",IF(A2272=".",1,A2272+1))</f>
        <v>.</v>
      </c>
      <c r="B2273" s="431" t="str">
        <f t="shared" si="35"/>
        <v>Hip Replacement PrimaryProviderEUXTON HALL HOSPITAL (NVC05)Oxford Hip Score</v>
      </c>
      <c r="C2273" t="s">
        <v>248</v>
      </c>
      <c r="D2273" t="s">
        <v>1</v>
      </c>
      <c r="E2273" t="s">
        <v>3852</v>
      </c>
      <c r="F2273" t="s">
        <v>3853</v>
      </c>
      <c r="G2273" t="s">
        <v>14</v>
      </c>
      <c r="H2273">
        <v>70</v>
      </c>
      <c r="I2273">
        <v>19.843</v>
      </c>
      <c r="J2273">
        <v>41.343000000000004</v>
      </c>
      <c r="K2273">
        <v>21.5</v>
      </c>
      <c r="L2273">
        <v>67</v>
      </c>
      <c r="M2273">
        <v>1</v>
      </c>
      <c r="N2273">
        <v>2</v>
      </c>
      <c r="O2273">
        <v>40.234000000000002</v>
      </c>
      <c r="P2273">
        <v>22.029712679999999</v>
      </c>
      <c r="Q2273">
        <v>7.8879999999999999</v>
      </c>
    </row>
    <row r="2274" spans="1:17" x14ac:dyDescent="0.2">
      <c r="A2274" s="30" t="str">
        <f>IF(C2274&amp;G2274&amp;D2274&lt;&gt;'Funnel setup'!$K$3&amp;'Funnel setup'!$K$4&amp;'Funnel setup'!$K$5,".",IF(A2273=".",1,A2273+1))</f>
        <v>.</v>
      </c>
      <c r="B2274" s="431" t="str">
        <f t="shared" si="35"/>
        <v>Hip Replacement PrimaryProviderFAIRFIELD HOSPITAL (NVG01)Oxford Hip Score</v>
      </c>
      <c r="C2274" t="s">
        <v>248</v>
      </c>
      <c r="D2274" t="s">
        <v>1</v>
      </c>
      <c r="E2274" t="s">
        <v>3855</v>
      </c>
      <c r="F2274" t="s">
        <v>3856</v>
      </c>
      <c r="G2274" t="s">
        <v>14</v>
      </c>
      <c r="H2274">
        <v>7</v>
      </c>
      <c r="I2274">
        <v>16.571000000000002</v>
      </c>
      <c r="J2274">
        <v>41.143000000000001</v>
      </c>
      <c r="K2274">
        <v>24.571000000000002</v>
      </c>
      <c r="L2274">
        <v>7</v>
      </c>
      <c r="M2274">
        <v>0</v>
      </c>
      <c r="N2274">
        <v>0</v>
      </c>
      <c r="O2274" t="s">
        <v>53</v>
      </c>
      <c r="P2274" t="s">
        <v>53</v>
      </c>
      <c r="Q2274" t="s">
        <v>53</v>
      </c>
    </row>
    <row r="2275" spans="1:17" x14ac:dyDescent="0.2">
      <c r="A2275" s="30" t="str">
        <f>IF(C2275&amp;G2275&amp;D2275&lt;&gt;'Funnel setup'!$K$3&amp;'Funnel setup'!$K$4&amp;'Funnel setup'!$K$5,".",IF(A2274=".",1,A2274+1))</f>
        <v>.</v>
      </c>
      <c r="B2275" s="431" t="str">
        <f t="shared" si="35"/>
        <v>Hip Replacement PrimaryProviderFITZWILLIAM HOSPITAL (NVC06)Oxford Hip Score</v>
      </c>
      <c r="C2275" t="s">
        <v>248</v>
      </c>
      <c r="D2275" t="s">
        <v>1</v>
      </c>
      <c r="E2275" t="s">
        <v>3858</v>
      </c>
      <c r="F2275" t="s">
        <v>3859</v>
      </c>
      <c r="G2275" t="s">
        <v>14</v>
      </c>
      <c r="H2275">
        <v>138</v>
      </c>
      <c r="I2275">
        <v>19.905999999999999</v>
      </c>
      <c r="J2275">
        <v>40.058</v>
      </c>
      <c r="K2275">
        <v>20.152000000000001</v>
      </c>
      <c r="L2275">
        <v>134</v>
      </c>
      <c r="M2275">
        <v>0</v>
      </c>
      <c r="N2275">
        <v>4</v>
      </c>
      <c r="O2275">
        <v>38.631999999999998</v>
      </c>
      <c r="P2275">
        <v>20.42702508</v>
      </c>
      <c r="Q2275">
        <v>7.5060000000000002</v>
      </c>
    </row>
    <row r="2276" spans="1:17" x14ac:dyDescent="0.2">
      <c r="A2276" s="30" t="str">
        <f>IF(C2276&amp;G2276&amp;D2276&lt;&gt;'Funnel setup'!$K$3&amp;'Funnel setup'!$K$4&amp;'Funnel setup'!$K$5,".",IF(A2275=".",1,A2275+1))</f>
        <v>.</v>
      </c>
      <c r="B2276" s="431" t="str">
        <f t="shared" si="35"/>
        <v>Hip Replacement PrimaryProviderFOSCOTE COURT (BANBURY) TRUST LTD (AHH)Oxford Hip Score</v>
      </c>
      <c r="C2276" t="s">
        <v>248</v>
      </c>
      <c r="D2276" t="s">
        <v>1</v>
      </c>
      <c r="E2276" t="s">
        <v>3900</v>
      </c>
      <c r="F2276" t="s">
        <v>3901</v>
      </c>
      <c r="G2276" t="s">
        <v>14</v>
      </c>
      <c r="H2276" t="s">
        <v>53</v>
      </c>
      <c r="I2276" t="s">
        <v>53</v>
      </c>
      <c r="J2276" t="s">
        <v>53</v>
      </c>
      <c r="K2276" t="s">
        <v>53</v>
      </c>
      <c r="L2276" t="s">
        <v>53</v>
      </c>
      <c r="M2276" t="s">
        <v>53</v>
      </c>
      <c r="N2276" t="s">
        <v>53</v>
      </c>
      <c r="O2276" t="s">
        <v>53</v>
      </c>
      <c r="P2276" t="s">
        <v>53</v>
      </c>
      <c r="Q2276" t="s">
        <v>53</v>
      </c>
    </row>
    <row r="2277" spans="1:17" x14ac:dyDescent="0.2">
      <c r="A2277" s="30" t="str">
        <f>IF(C2277&amp;G2277&amp;D2277&lt;&gt;'Funnel setup'!$K$3&amp;'Funnel setup'!$K$4&amp;'Funnel setup'!$K$5,".",IF(A2276=".",1,A2276+1))</f>
        <v>.</v>
      </c>
      <c r="B2277" s="431" t="str">
        <f t="shared" si="35"/>
        <v>Hip Replacement PrimaryProviderFRIMLEY HEALTH NHS FOUNDATION TRUST (RDU)Oxford Hip Score</v>
      </c>
      <c r="C2277" t="s">
        <v>248</v>
      </c>
      <c r="D2277" t="s">
        <v>1</v>
      </c>
      <c r="E2277" t="s">
        <v>3861</v>
      </c>
      <c r="F2277" t="s">
        <v>3862</v>
      </c>
      <c r="G2277" t="s">
        <v>14</v>
      </c>
      <c r="H2277">
        <v>506</v>
      </c>
      <c r="I2277">
        <v>20.254999999999999</v>
      </c>
      <c r="J2277">
        <v>40.869999999999997</v>
      </c>
      <c r="K2277">
        <v>20.614999999999998</v>
      </c>
      <c r="L2277">
        <v>493</v>
      </c>
      <c r="M2277">
        <v>4</v>
      </c>
      <c r="N2277">
        <v>9</v>
      </c>
      <c r="O2277">
        <v>39.768000000000001</v>
      </c>
      <c r="P2277">
        <v>21.563291329999998</v>
      </c>
      <c r="Q2277">
        <v>7.202</v>
      </c>
    </row>
    <row r="2278" spans="1:17" x14ac:dyDescent="0.2">
      <c r="A2278" s="30" t="str">
        <f>IF(C2278&amp;G2278&amp;D2278&lt;&gt;'Funnel setup'!$K$3&amp;'Funnel setup'!$K$4&amp;'Funnel setup'!$K$5,".",IF(A2277=".",1,A2277+1))</f>
        <v>.</v>
      </c>
      <c r="B2278" s="431" t="str">
        <f t="shared" si="35"/>
        <v>Hip Replacement PrimaryProviderFULWOOD HALL HOSPITAL (NVC07)Oxford Hip Score</v>
      </c>
      <c r="C2278" t="s">
        <v>248</v>
      </c>
      <c r="D2278" t="s">
        <v>1</v>
      </c>
      <c r="E2278" t="s">
        <v>3864</v>
      </c>
      <c r="F2278" t="s">
        <v>3865</v>
      </c>
      <c r="G2278" t="s">
        <v>14</v>
      </c>
      <c r="H2278">
        <v>186</v>
      </c>
      <c r="I2278">
        <v>19.747</v>
      </c>
      <c r="J2278">
        <v>39.091000000000001</v>
      </c>
      <c r="K2278">
        <v>19.344000000000001</v>
      </c>
      <c r="L2278">
        <v>178</v>
      </c>
      <c r="M2278">
        <v>1</v>
      </c>
      <c r="N2278">
        <v>7</v>
      </c>
      <c r="O2278">
        <v>38.816000000000003</v>
      </c>
      <c r="P2278">
        <v>20.611748739999999</v>
      </c>
      <c r="Q2278">
        <v>8.1389999999999993</v>
      </c>
    </row>
    <row r="2279" spans="1:17" x14ac:dyDescent="0.2">
      <c r="A2279" s="30" t="str">
        <f>IF(C2279&amp;G2279&amp;D2279&lt;&gt;'Funnel setup'!$K$3&amp;'Funnel setup'!$K$4&amp;'Funnel setup'!$K$5,".",IF(A2278=".",1,A2278+1))</f>
        <v>.</v>
      </c>
      <c r="B2279" s="431" t="str">
        <f t="shared" si="35"/>
        <v>Hip Replacement PrimaryProviderGATESHEAD HEALTH NHS FOUNDATION TRUST (RR7)Oxford Hip Score</v>
      </c>
      <c r="C2279" t="s">
        <v>248</v>
      </c>
      <c r="D2279" t="s">
        <v>1</v>
      </c>
      <c r="E2279" t="s">
        <v>3867</v>
      </c>
      <c r="F2279" t="s">
        <v>3868</v>
      </c>
      <c r="G2279" t="s">
        <v>14</v>
      </c>
      <c r="H2279">
        <v>199</v>
      </c>
      <c r="I2279">
        <v>17.302</v>
      </c>
      <c r="J2279">
        <v>37.613</v>
      </c>
      <c r="K2279">
        <v>20.312000000000001</v>
      </c>
      <c r="L2279">
        <v>194</v>
      </c>
      <c r="M2279">
        <v>0</v>
      </c>
      <c r="N2279">
        <v>5</v>
      </c>
      <c r="O2279">
        <v>37.941000000000003</v>
      </c>
      <c r="P2279">
        <v>19.736230089999999</v>
      </c>
      <c r="Q2279">
        <v>8.2579999999999991</v>
      </c>
    </row>
    <row r="2280" spans="1:17" x14ac:dyDescent="0.2">
      <c r="A2280" s="30" t="str">
        <f>IF(C2280&amp;G2280&amp;D2280&lt;&gt;'Funnel setup'!$K$3&amp;'Funnel setup'!$K$4&amp;'Funnel setup'!$K$5,".",IF(A2279=".",1,A2279+1))</f>
        <v>.</v>
      </c>
      <c r="B2280" s="431" t="str">
        <f t="shared" si="35"/>
        <v>Hip Replacement PrimaryProviderGEORGE ELIOT HOSPITAL NHS TRUST (RLT)Oxford Hip Score</v>
      </c>
      <c r="C2280" t="s">
        <v>248</v>
      </c>
      <c r="D2280" t="s">
        <v>1</v>
      </c>
      <c r="E2280" t="s">
        <v>3870</v>
      </c>
      <c r="F2280" t="s">
        <v>3871</v>
      </c>
      <c r="G2280" t="s">
        <v>14</v>
      </c>
      <c r="H2280">
        <v>62</v>
      </c>
      <c r="I2280">
        <v>18.145</v>
      </c>
      <c r="J2280">
        <v>38.177</v>
      </c>
      <c r="K2280">
        <v>20.032</v>
      </c>
      <c r="L2280">
        <v>59</v>
      </c>
      <c r="M2280">
        <v>0</v>
      </c>
      <c r="N2280">
        <v>3</v>
      </c>
      <c r="O2280">
        <v>37.94</v>
      </c>
      <c r="P2280">
        <v>19.735757079999999</v>
      </c>
      <c r="Q2280">
        <v>8.3849999999999998</v>
      </c>
    </row>
    <row r="2281" spans="1:17" x14ac:dyDescent="0.2">
      <c r="A2281" s="30" t="str">
        <f>IF(C2281&amp;G2281&amp;D2281&lt;&gt;'Funnel setup'!$K$3&amp;'Funnel setup'!$K$4&amp;'Funnel setup'!$K$5,".",IF(A2280=".",1,A2280+1))</f>
        <v>.</v>
      </c>
      <c r="B2281" s="431" t="str">
        <f t="shared" si="35"/>
        <v>Hip Replacement PrimaryProviderGLOUCESTERSHIRE HOSPITALS NHS FOUNDATION TRUST (RTE)Oxford Hip Score</v>
      </c>
      <c r="C2281" t="s">
        <v>248</v>
      </c>
      <c r="D2281" t="s">
        <v>1</v>
      </c>
      <c r="E2281" t="s">
        <v>3873</v>
      </c>
      <c r="F2281" t="s">
        <v>3874</v>
      </c>
      <c r="G2281" t="s">
        <v>14</v>
      </c>
      <c r="H2281">
        <v>395</v>
      </c>
      <c r="I2281">
        <v>19.192</v>
      </c>
      <c r="J2281">
        <v>39.79</v>
      </c>
      <c r="K2281">
        <v>20.597000000000001</v>
      </c>
      <c r="L2281">
        <v>382</v>
      </c>
      <c r="M2281">
        <v>2</v>
      </c>
      <c r="N2281">
        <v>11</v>
      </c>
      <c r="O2281">
        <v>39.033000000000001</v>
      </c>
      <c r="P2281">
        <v>20.828522530000001</v>
      </c>
      <c r="Q2281">
        <v>7.6109999999999998</v>
      </c>
    </row>
    <row r="2282" spans="1:17" x14ac:dyDescent="0.2">
      <c r="A2282" s="30" t="str">
        <f>IF(C2282&amp;G2282&amp;D2282&lt;&gt;'Funnel setup'!$K$3&amp;'Funnel setup'!$K$4&amp;'Funnel setup'!$K$5,".",IF(A2281=".",1,A2281+1))</f>
        <v>.</v>
      </c>
      <c r="B2282" s="431" t="str">
        <f t="shared" si="35"/>
        <v>Hip Replacement PrimaryProviderGREAT WESTERN HOSPITALS NHS FOUNDATION TRUST (RN3)Oxford Hip Score</v>
      </c>
      <c r="C2282" t="s">
        <v>248</v>
      </c>
      <c r="D2282" t="s">
        <v>1</v>
      </c>
      <c r="E2282" t="s">
        <v>3876</v>
      </c>
      <c r="F2282" t="s">
        <v>3877</v>
      </c>
      <c r="G2282" t="s">
        <v>14</v>
      </c>
      <c r="H2282">
        <v>230</v>
      </c>
      <c r="I2282">
        <v>15.196</v>
      </c>
      <c r="J2282">
        <v>38.713000000000001</v>
      </c>
      <c r="K2282">
        <v>23.516999999999999</v>
      </c>
      <c r="L2282">
        <v>223</v>
      </c>
      <c r="M2282">
        <v>1</v>
      </c>
      <c r="N2282">
        <v>6</v>
      </c>
      <c r="O2282">
        <v>39.548999999999999</v>
      </c>
      <c r="P2282">
        <v>21.344393579999998</v>
      </c>
      <c r="Q2282">
        <v>8.1850000000000005</v>
      </c>
    </row>
    <row r="2283" spans="1:17" x14ac:dyDescent="0.2">
      <c r="A2283" s="30" t="str">
        <f>IF(C2283&amp;G2283&amp;D2283&lt;&gt;'Funnel setup'!$K$3&amp;'Funnel setup'!$K$4&amp;'Funnel setup'!$K$5,".",IF(A2282=".",1,A2282+1))</f>
        <v>.</v>
      </c>
      <c r="B2283" s="431" t="str">
        <f t="shared" si="35"/>
        <v>Hip Replacement PrimaryProviderGUY'S AND ST THOMAS' NHS FOUNDATION TRUST (RJ1)Oxford Hip Score</v>
      </c>
      <c r="C2283" t="s">
        <v>248</v>
      </c>
      <c r="D2283" t="s">
        <v>1</v>
      </c>
      <c r="E2283" t="s">
        <v>3879</v>
      </c>
      <c r="F2283" t="s">
        <v>3880</v>
      </c>
      <c r="G2283" t="s">
        <v>14</v>
      </c>
      <c r="H2283">
        <v>129</v>
      </c>
      <c r="I2283">
        <v>18.411000000000001</v>
      </c>
      <c r="J2283">
        <v>39.566000000000003</v>
      </c>
      <c r="K2283">
        <v>21.155000000000001</v>
      </c>
      <c r="L2283">
        <v>125</v>
      </c>
      <c r="M2283">
        <v>0</v>
      </c>
      <c r="N2283">
        <v>4</v>
      </c>
      <c r="O2283">
        <v>39.962000000000003</v>
      </c>
      <c r="P2283">
        <v>21.75705962</v>
      </c>
      <c r="Q2283">
        <v>9.4280000000000008</v>
      </c>
    </row>
    <row r="2284" spans="1:17" x14ac:dyDescent="0.2">
      <c r="A2284" s="30" t="str">
        <f>IF(C2284&amp;G2284&amp;D2284&lt;&gt;'Funnel setup'!$K$3&amp;'Funnel setup'!$K$4&amp;'Funnel setup'!$K$5,".",IF(A2283=".",1,A2283+1))</f>
        <v>.</v>
      </c>
      <c r="B2284" s="431" t="str">
        <f t="shared" si="35"/>
        <v>Hip Replacement PrimaryProviderHAMPSHIRE HOSPITALS NHS FOUNDATION TRUST (RN5)Oxford Hip Score</v>
      </c>
      <c r="C2284" t="s">
        <v>248</v>
      </c>
      <c r="D2284" t="s">
        <v>1</v>
      </c>
      <c r="E2284" t="s">
        <v>3882</v>
      </c>
      <c r="F2284" t="s">
        <v>3883</v>
      </c>
      <c r="G2284" t="s">
        <v>14</v>
      </c>
      <c r="H2284">
        <v>315</v>
      </c>
      <c r="I2284">
        <v>19.356000000000002</v>
      </c>
      <c r="J2284">
        <v>40.46</v>
      </c>
      <c r="K2284">
        <v>21.105</v>
      </c>
      <c r="L2284">
        <v>306</v>
      </c>
      <c r="M2284">
        <v>1</v>
      </c>
      <c r="N2284">
        <v>8</v>
      </c>
      <c r="O2284">
        <v>39.633000000000003</v>
      </c>
      <c r="P2284">
        <v>21.428706300000002</v>
      </c>
      <c r="Q2284">
        <v>7.8959999999999999</v>
      </c>
    </row>
    <row r="2285" spans="1:17" x14ac:dyDescent="0.2">
      <c r="A2285" s="30" t="str">
        <f>IF(C2285&amp;G2285&amp;D2285&lt;&gt;'Funnel setup'!$K$3&amp;'Funnel setup'!$K$4&amp;'Funnel setup'!$K$5,".",IF(A2284=".",1,A2284+1))</f>
        <v>.</v>
      </c>
      <c r="B2285" s="431" t="str">
        <f t="shared" si="35"/>
        <v>Hip Replacement PrimaryProviderHARROGATE AND DISTRICT NHS FOUNDATION TRUST (RCD)Oxford Hip Score</v>
      </c>
      <c r="C2285" t="s">
        <v>248</v>
      </c>
      <c r="D2285" t="s">
        <v>1</v>
      </c>
      <c r="E2285" t="s">
        <v>3885</v>
      </c>
      <c r="F2285" t="s">
        <v>3886</v>
      </c>
      <c r="G2285" t="s">
        <v>14</v>
      </c>
      <c r="H2285">
        <v>282</v>
      </c>
      <c r="I2285">
        <v>20.199000000000002</v>
      </c>
      <c r="J2285">
        <v>40.667000000000002</v>
      </c>
      <c r="K2285">
        <v>20.468</v>
      </c>
      <c r="L2285">
        <v>274</v>
      </c>
      <c r="M2285">
        <v>1</v>
      </c>
      <c r="N2285">
        <v>7</v>
      </c>
      <c r="O2285">
        <v>39.386000000000003</v>
      </c>
      <c r="P2285">
        <v>21.181500150000002</v>
      </c>
      <c r="Q2285">
        <v>6.992</v>
      </c>
    </row>
    <row r="2286" spans="1:17" x14ac:dyDescent="0.2">
      <c r="A2286" s="30" t="str">
        <f>IF(C2286&amp;G2286&amp;D2286&lt;&gt;'Funnel setup'!$K$3&amp;'Funnel setup'!$K$4&amp;'Funnel setup'!$K$5,".",IF(A2285=".",1,A2285+1))</f>
        <v>.</v>
      </c>
      <c r="B2286" s="431" t="str">
        <f t="shared" si="35"/>
        <v>Hip Replacement PrimaryProviderHEART OF ENGLAND NHS FOUNDATION TRUST (RR1)Oxford Hip Score</v>
      </c>
      <c r="C2286" t="s">
        <v>248</v>
      </c>
      <c r="D2286" t="s">
        <v>1</v>
      </c>
      <c r="E2286" t="s">
        <v>3888</v>
      </c>
      <c r="F2286" t="s">
        <v>3889</v>
      </c>
      <c r="G2286" t="s">
        <v>14</v>
      </c>
      <c r="H2286">
        <v>393</v>
      </c>
      <c r="I2286">
        <v>16.372</v>
      </c>
      <c r="J2286">
        <v>36.119999999999997</v>
      </c>
      <c r="K2286">
        <v>19.748000000000001</v>
      </c>
      <c r="L2286">
        <v>374</v>
      </c>
      <c r="M2286">
        <v>2</v>
      </c>
      <c r="N2286">
        <v>17</v>
      </c>
      <c r="O2286">
        <v>37.643000000000001</v>
      </c>
      <c r="P2286">
        <v>19.438503090000001</v>
      </c>
      <c r="Q2286">
        <v>8.8970000000000002</v>
      </c>
    </row>
    <row r="2287" spans="1:17" x14ac:dyDescent="0.2">
      <c r="A2287" s="30" t="str">
        <f>IF(C2287&amp;G2287&amp;D2287&lt;&gt;'Funnel setup'!$K$3&amp;'Funnel setup'!$K$4&amp;'Funnel setup'!$K$5,".",IF(A2286=".",1,A2286+1))</f>
        <v>.</v>
      </c>
      <c r="B2287" s="431" t="str">
        <f t="shared" si="35"/>
        <v>Hip Replacement PrimaryProviderHINCHINGBROOKE HEALTH CARE NHS TRUST (RQQ)Oxford Hip Score</v>
      </c>
      <c r="C2287" t="s">
        <v>248</v>
      </c>
      <c r="D2287" t="s">
        <v>1</v>
      </c>
      <c r="E2287" t="s">
        <v>3894</v>
      </c>
      <c r="F2287" t="s">
        <v>3895</v>
      </c>
      <c r="G2287" t="s">
        <v>14</v>
      </c>
      <c r="H2287">
        <v>218</v>
      </c>
      <c r="I2287">
        <v>17.495000000000001</v>
      </c>
      <c r="J2287">
        <v>38.945</v>
      </c>
      <c r="K2287">
        <v>21.45</v>
      </c>
      <c r="L2287">
        <v>209</v>
      </c>
      <c r="M2287">
        <v>3</v>
      </c>
      <c r="N2287">
        <v>6</v>
      </c>
      <c r="O2287">
        <v>39.200000000000003</v>
      </c>
      <c r="P2287">
        <v>20.995529980000001</v>
      </c>
      <c r="Q2287">
        <v>8.7289999999999992</v>
      </c>
    </row>
    <row r="2288" spans="1:17" x14ac:dyDescent="0.2">
      <c r="A2288" s="30" t="str">
        <f>IF(C2288&amp;G2288&amp;D2288&lt;&gt;'Funnel setup'!$K$3&amp;'Funnel setup'!$K$4&amp;'Funnel setup'!$K$5,".",IF(A2287=".",1,A2287+1))</f>
        <v>.</v>
      </c>
      <c r="B2288" s="431" t="str">
        <f t="shared" si="35"/>
        <v>Hip Replacement PrimaryProviderHOMERTON UNIVERSITY HOSPITAL NHS FOUNDATION TRUST (RQX)Oxford Hip Score</v>
      </c>
      <c r="C2288" t="s">
        <v>248</v>
      </c>
      <c r="D2288" t="s">
        <v>1</v>
      </c>
      <c r="E2288" t="s">
        <v>3897</v>
      </c>
      <c r="F2288" t="s">
        <v>3898</v>
      </c>
      <c r="G2288" t="s">
        <v>14</v>
      </c>
      <c r="H2288">
        <v>32</v>
      </c>
      <c r="I2288">
        <v>17.812999999999999</v>
      </c>
      <c r="J2288">
        <v>30.687999999999999</v>
      </c>
      <c r="K2288">
        <v>12.875</v>
      </c>
      <c r="L2288">
        <v>27</v>
      </c>
      <c r="M2288">
        <v>1</v>
      </c>
      <c r="N2288">
        <v>4</v>
      </c>
      <c r="O2288">
        <v>34.234000000000002</v>
      </c>
      <c r="P2288">
        <v>16.029999</v>
      </c>
      <c r="Q2288">
        <v>10.528</v>
      </c>
    </row>
    <row r="2289" spans="1:17" x14ac:dyDescent="0.2">
      <c r="A2289" s="30" t="str">
        <f>IF(C2289&amp;G2289&amp;D2289&lt;&gt;'Funnel setup'!$K$3&amp;'Funnel setup'!$K$4&amp;'Funnel setup'!$K$5,".",IF(A2288=".",1,A2288+1))</f>
        <v>.</v>
      </c>
      <c r="B2289" s="431" t="str">
        <f t="shared" si="35"/>
        <v>Hip Replacement PrimaryProviderHORTON NHS TREATMENT CENTRE (NVC25)Oxford Hip Score</v>
      </c>
      <c r="C2289" t="s">
        <v>248</v>
      </c>
      <c r="D2289" t="s">
        <v>1</v>
      </c>
      <c r="E2289" t="s">
        <v>4553</v>
      </c>
      <c r="F2289" t="s">
        <v>4554</v>
      </c>
      <c r="G2289" t="s">
        <v>14</v>
      </c>
      <c r="H2289">
        <v>186</v>
      </c>
      <c r="I2289">
        <v>18.468</v>
      </c>
      <c r="J2289">
        <v>41.048000000000002</v>
      </c>
      <c r="K2289">
        <v>22.581</v>
      </c>
      <c r="L2289">
        <v>183</v>
      </c>
      <c r="M2289">
        <v>0</v>
      </c>
      <c r="N2289">
        <v>3</v>
      </c>
      <c r="O2289">
        <v>39.662999999999997</v>
      </c>
      <c r="P2289">
        <v>21.458364</v>
      </c>
      <c r="Q2289">
        <v>7.4009999999999998</v>
      </c>
    </row>
    <row r="2290" spans="1:17" x14ac:dyDescent="0.2">
      <c r="A2290" s="30" t="str">
        <f>IF(C2290&amp;G2290&amp;D2290&lt;&gt;'Funnel setup'!$K$3&amp;'Funnel setup'!$K$4&amp;'Funnel setup'!$K$5,".",IF(A2289=".",1,A2289+1))</f>
        <v>.</v>
      </c>
      <c r="B2290" s="431" t="str">
        <f t="shared" si="35"/>
        <v>Hip Replacement PrimaryProviderHULL AND EAST YORKSHIRE HOSPITALS NHS TRUST (RWA)Oxford Hip Score</v>
      </c>
      <c r="C2290" t="s">
        <v>248</v>
      </c>
      <c r="D2290" t="s">
        <v>1</v>
      </c>
      <c r="E2290" t="s">
        <v>3906</v>
      </c>
      <c r="F2290" t="s">
        <v>3907</v>
      </c>
      <c r="G2290" t="s">
        <v>14</v>
      </c>
      <c r="H2290">
        <v>288</v>
      </c>
      <c r="I2290">
        <v>17.503</v>
      </c>
      <c r="J2290">
        <v>37.92</v>
      </c>
      <c r="K2290">
        <v>20.417000000000002</v>
      </c>
      <c r="L2290">
        <v>275</v>
      </c>
      <c r="M2290">
        <v>6</v>
      </c>
      <c r="N2290">
        <v>7</v>
      </c>
      <c r="O2290">
        <v>38.119999999999997</v>
      </c>
      <c r="P2290">
        <v>19.91543222</v>
      </c>
      <c r="Q2290">
        <v>8.6020000000000003</v>
      </c>
    </row>
    <row r="2291" spans="1:17" x14ac:dyDescent="0.2">
      <c r="A2291" s="30" t="str">
        <f>IF(C2291&amp;G2291&amp;D2291&lt;&gt;'Funnel setup'!$K$3&amp;'Funnel setup'!$K$4&amp;'Funnel setup'!$K$5,".",IF(A2290=".",1,A2290+1))</f>
        <v>.</v>
      </c>
      <c r="B2291" s="431" t="str">
        <f t="shared" si="35"/>
        <v>Hip Replacement PrimaryProviderIMPERIAL COLLEGE HEALTHCARE NHS TRUST (RYJ)Oxford Hip Score</v>
      </c>
      <c r="C2291" t="s">
        <v>248</v>
      </c>
      <c r="D2291" t="s">
        <v>1</v>
      </c>
      <c r="E2291" t="s">
        <v>4558</v>
      </c>
      <c r="F2291" t="s">
        <v>4559</v>
      </c>
      <c r="G2291" t="s">
        <v>14</v>
      </c>
      <c r="H2291">
        <v>75</v>
      </c>
      <c r="I2291">
        <v>17.013000000000002</v>
      </c>
      <c r="J2291">
        <v>39.292999999999999</v>
      </c>
      <c r="K2291">
        <v>22.28</v>
      </c>
      <c r="L2291">
        <v>73</v>
      </c>
      <c r="M2291">
        <v>0</v>
      </c>
      <c r="N2291">
        <v>2</v>
      </c>
      <c r="O2291">
        <v>40.895000000000003</v>
      </c>
      <c r="P2291">
        <v>22.690487439999998</v>
      </c>
      <c r="Q2291">
        <v>8.7949999999999999</v>
      </c>
    </row>
    <row r="2292" spans="1:17" x14ac:dyDescent="0.2">
      <c r="A2292" s="30" t="str">
        <f>IF(C2292&amp;G2292&amp;D2292&lt;&gt;'Funnel setup'!$K$3&amp;'Funnel setup'!$K$4&amp;'Funnel setup'!$K$5,".",IF(A2291=".",1,A2291+1))</f>
        <v>.</v>
      </c>
      <c r="B2292" s="431" t="str">
        <f t="shared" si="35"/>
        <v>Hip Replacement PrimaryProviderIPSWICH HOSPITAL NHS TRUST (RGQ)Oxford Hip Score</v>
      </c>
      <c r="C2292" t="s">
        <v>248</v>
      </c>
      <c r="D2292" t="s">
        <v>1</v>
      </c>
      <c r="E2292" t="s">
        <v>3909</v>
      </c>
      <c r="F2292" t="s">
        <v>3910</v>
      </c>
      <c r="G2292" t="s">
        <v>14</v>
      </c>
      <c r="H2292">
        <v>120</v>
      </c>
      <c r="I2292">
        <v>15.417</v>
      </c>
      <c r="J2292">
        <v>38.642000000000003</v>
      </c>
      <c r="K2292">
        <v>23.225000000000001</v>
      </c>
      <c r="L2292">
        <v>117</v>
      </c>
      <c r="M2292">
        <v>1</v>
      </c>
      <c r="N2292">
        <v>2</v>
      </c>
      <c r="O2292">
        <v>40.173000000000002</v>
      </c>
      <c r="P2292">
        <v>21.968807959999999</v>
      </c>
      <c r="Q2292">
        <v>7.8650000000000002</v>
      </c>
    </row>
    <row r="2293" spans="1:17" x14ac:dyDescent="0.2">
      <c r="A2293" s="30" t="str">
        <f>IF(C2293&amp;G2293&amp;D2293&lt;&gt;'Funnel setup'!$K$3&amp;'Funnel setup'!$K$4&amp;'Funnel setup'!$K$5,".",IF(A2292=".",1,A2292+1))</f>
        <v>.</v>
      </c>
      <c r="B2293" s="431" t="str">
        <f t="shared" si="35"/>
        <v>Hip Replacement PrimaryProviderISLE OF WIGHT NHS TRUST (R1F)Oxford Hip Score</v>
      </c>
      <c r="C2293" t="s">
        <v>248</v>
      </c>
      <c r="D2293" t="s">
        <v>1</v>
      </c>
      <c r="E2293" t="s">
        <v>3912</v>
      </c>
      <c r="F2293" t="s">
        <v>3913</v>
      </c>
      <c r="G2293" t="s">
        <v>14</v>
      </c>
      <c r="H2293">
        <v>90</v>
      </c>
      <c r="I2293">
        <v>19.667000000000002</v>
      </c>
      <c r="J2293">
        <v>38.921999999999997</v>
      </c>
      <c r="K2293">
        <v>19.256</v>
      </c>
      <c r="L2293">
        <v>86</v>
      </c>
      <c r="M2293">
        <v>0</v>
      </c>
      <c r="N2293">
        <v>4</v>
      </c>
      <c r="O2293">
        <v>38.927999999999997</v>
      </c>
      <c r="P2293">
        <v>20.723313009999998</v>
      </c>
      <c r="Q2293">
        <v>8.298</v>
      </c>
    </row>
    <row r="2294" spans="1:17" x14ac:dyDescent="0.2">
      <c r="A2294" s="30" t="str">
        <f>IF(C2294&amp;G2294&amp;D2294&lt;&gt;'Funnel setup'!$K$3&amp;'Funnel setup'!$K$4&amp;'Funnel setup'!$K$5,".",IF(A2293=".",1,A2293+1))</f>
        <v>.</v>
      </c>
      <c r="B2294" s="431" t="str">
        <f t="shared" si="35"/>
        <v>Hip Replacement PrimaryProviderJAMES PAGET UNIVERSITY HOSPITALS NHS FOUNDATION TRUST (RGP)Oxford Hip Score</v>
      </c>
      <c r="C2294" t="s">
        <v>248</v>
      </c>
      <c r="D2294" t="s">
        <v>1</v>
      </c>
      <c r="E2294" t="s">
        <v>3915</v>
      </c>
      <c r="F2294" t="s">
        <v>3916</v>
      </c>
      <c r="G2294" t="s">
        <v>14</v>
      </c>
      <c r="H2294">
        <v>157</v>
      </c>
      <c r="I2294">
        <v>17.783000000000001</v>
      </c>
      <c r="J2294">
        <v>40.045000000000002</v>
      </c>
      <c r="K2294">
        <v>22.260999999999999</v>
      </c>
      <c r="L2294">
        <v>150</v>
      </c>
      <c r="M2294">
        <v>0</v>
      </c>
      <c r="N2294">
        <v>7</v>
      </c>
      <c r="O2294">
        <v>40.375999999999998</v>
      </c>
      <c r="P2294">
        <v>22.171380299999999</v>
      </c>
      <c r="Q2294">
        <v>8.7789999999999999</v>
      </c>
    </row>
    <row r="2295" spans="1:17" x14ac:dyDescent="0.2">
      <c r="A2295" s="30" t="str">
        <f>IF(C2295&amp;G2295&amp;D2295&lt;&gt;'Funnel setup'!$K$3&amp;'Funnel setup'!$K$4&amp;'Funnel setup'!$K$5,".",IF(A2294=".",1,A2294+1))</f>
        <v>.</v>
      </c>
      <c r="B2295" s="431" t="str">
        <f t="shared" si="35"/>
        <v>Hip Replacement PrimaryProviderKETTERING GENERAL HOSPITAL NHS FOUNDATION TRUST (RNQ)Oxford Hip Score</v>
      </c>
      <c r="C2295" t="s">
        <v>248</v>
      </c>
      <c r="D2295" t="s">
        <v>1</v>
      </c>
      <c r="E2295" t="s">
        <v>3918</v>
      </c>
      <c r="F2295" t="s">
        <v>3919</v>
      </c>
      <c r="G2295" t="s">
        <v>14</v>
      </c>
      <c r="H2295">
        <v>72</v>
      </c>
      <c r="I2295">
        <v>15.375</v>
      </c>
      <c r="J2295">
        <v>37.055999999999997</v>
      </c>
      <c r="K2295">
        <v>21.681000000000001</v>
      </c>
      <c r="L2295">
        <v>67</v>
      </c>
      <c r="M2295">
        <v>0</v>
      </c>
      <c r="N2295">
        <v>5</v>
      </c>
      <c r="O2295">
        <v>37.909999999999997</v>
      </c>
      <c r="P2295">
        <v>19.705886670000002</v>
      </c>
      <c r="Q2295">
        <v>8.7390000000000008</v>
      </c>
    </row>
    <row r="2296" spans="1:17" x14ac:dyDescent="0.2">
      <c r="A2296" s="30" t="str">
        <f>IF(C2296&amp;G2296&amp;D2296&lt;&gt;'Funnel setup'!$K$3&amp;'Funnel setup'!$K$4&amp;'Funnel setup'!$K$5,".",IF(A2295=".",1,A2295+1))</f>
        <v>.</v>
      </c>
      <c r="B2296" s="431" t="str">
        <f t="shared" si="35"/>
        <v>Hip Replacement PrimaryProviderKING'S COLLEGE HOSPITAL NHS FOUNDATION TRUST (RJZ)Oxford Hip Score</v>
      </c>
      <c r="C2296" t="s">
        <v>248</v>
      </c>
      <c r="D2296" t="s">
        <v>1</v>
      </c>
      <c r="E2296" t="s">
        <v>3924</v>
      </c>
      <c r="F2296" t="s">
        <v>3925</v>
      </c>
      <c r="G2296" t="s">
        <v>14</v>
      </c>
      <c r="H2296">
        <v>197</v>
      </c>
      <c r="I2296">
        <v>17.873000000000001</v>
      </c>
      <c r="J2296">
        <v>40.218000000000004</v>
      </c>
      <c r="K2296">
        <v>22.344999999999999</v>
      </c>
      <c r="L2296">
        <v>192</v>
      </c>
      <c r="M2296">
        <v>1</v>
      </c>
      <c r="N2296">
        <v>4</v>
      </c>
      <c r="O2296">
        <v>40.356000000000002</v>
      </c>
      <c r="P2296">
        <v>22.151311100000001</v>
      </c>
      <c r="Q2296">
        <v>7.6790000000000003</v>
      </c>
    </row>
    <row r="2297" spans="1:17" x14ac:dyDescent="0.2">
      <c r="A2297" s="30" t="str">
        <f>IF(C2297&amp;G2297&amp;D2297&lt;&gt;'Funnel setup'!$K$3&amp;'Funnel setup'!$K$4&amp;'Funnel setup'!$K$5,".",IF(A2296=".",1,A2296+1))</f>
        <v>.</v>
      </c>
      <c r="B2297" s="431" t="str">
        <f t="shared" si="35"/>
        <v>Hip Replacement PrimaryProviderLANCASHIRE TEACHING HOSPITALS NHS FOUNDATION TRUST (RXN)Oxford Hip Score</v>
      </c>
      <c r="C2297" t="s">
        <v>248</v>
      </c>
      <c r="D2297" t="s">
        <v>1</v>
      </c>
      <c r="E2297" t="s">
        <v>3567</v>
      </c>
      <c r="F2297" t="s">
        <v>3568</v>
      </c>
      <c r="G2297" t="s">
        <v>14</v>
      </c>
      <c r="H2297">
        <v>193</v>
      </c>
      <c r="I2297">
        <v>16.248999999999999</v>
      </c>
      <c r="J2297">
        <v>37.01</v>
      </c>
      <c r="K2297">
        <v>20.762</v>
      </c>
      <c r="L2297">
        <v>184</v>
      </c>
      <c r="M2297">
        <v>2</v>
      </c>
      <c r="N2297">
        <v>7</v>
      </c>
      <c r="O2297">
        <v>38.24</v>
      </c>
      <c r="P2297">
        <v>20.03526462</v>
      </c>
      <c r="Q2297">
        <v>9.8640000000000008</v>
      </c>
    </row>
    <row r="2298" spans="1:17" x14ac:dyDescent="0.2">
      <c r="A2298" s="30" t="str">
        <f>IF(C2298&amp;G2298&amp;D2298&lt;&gt;'Funnel setup'!$K$3&amp;'Funnel setup'!$K$4&amp;'Funnel setup'!$K$5,".",IF(A2297=".",1,A2297+1))</f>
        <v>.</v>
      </c>
      <c r="B2298" s="431" t="str">
        <f t="shared" si="35"/>
        <v>Hip Replacement PrimaryProviderLEEDS TEACHING HOSPITALS NHS TRUST (RR8)Oxford Hip Score</v>
      </c>
      <c r="C2298" t="s">
        <v>248</v>
      </c>
      <c r="D2298" t="s">
        <v>1</v>
      </c>
      <c r="E2298" t="s">
        <v>3930</v>
      </c>
      <c r="F2298" t="s">
        <v>344</v>
      </c>
      <c r="G2298" t="s">
        <v>14</v>
      </c>
      <c r="H2298">
        <v>243</v>
      </c>
      <c r="I2298">
        <v>18.312999999999999</v>
      </c>
      <c r="J2298">
        <v>39.110999999999997</v>
      </c>
      <c r="K2298">
        <v>20.797999999999998</v>
      </c>
      <c r="L2298">
        <v>238</v>
      </c>
      <c r="M2298">
        <v>0</v>
      </c>
      <c r="N2298">
        <v>5</v>
      </c>
      <c r="O2298">
        <v>39.466000000000001</v>
      </c>
      <c r="P2298">
        <v>21.26154532</v>
      </c>
      <c r="Q2298">
        <v>8.1890000000000001</v>
      </c>
    </row>
    <row r="2299" spans="1:17" x14ac:dyDescent="0.2">
      <c r="A2299" s="30" t="str">
        <f>IF(C2299&amp;G2299&amp;D2299&lt;&gt;'Funnel setup'!$K$3&amp;'Funnel setup'!$K$4&amp;'Funnel setup'!$K$5,".",IF(A2298=".",1,A2298+1))</f>
        <v>.</v>
      </c>
      <c r="B2299" s="431" t="str">
        <f t="shared" si="35"/>
        <v>Hip Replacement PrimaryProviderLEWISHAM AND GREENWICH NHS TRUST (RJ2)Oxford Hip Score</v>
      </c>
      <c r="C2299" t="s">
        <v>248</v>
      </c>
      <c r="D2299" t="s">
        <v>1</v>
      </c>
      <c r="E2299" t="s">
        <v>3522</v>
      </c>
      <c r="F2299" t="s">
        <v>3523</v>
      </c>
      <c r="G2299" t="s">
        <v>14</v>
      </c>
      <c r="H2299">
        <v>81</v>
      </c>
      <c r="I2299">
        <v>16.457000000000001</v>
      </c>
      <c r="J2299">
        <v>36.234999999999999</v>
      </c>
      <c r="K2299">
        <v>19.777999999999999</v>
      </c>
      <c r="L2299">
        <v>77</v>
      </c>
      <c r="M2299">
        <v>0</v>
      </c>
      <c r="N2299">
        <v>4</v>
      </c>
      <c r="O2299">
        <v>38.155999999999999</v>
      </c>
      <c r="P2299">
        <v>19.951242969999999</v>
      </c>
      <c r="Q2299">
        <v>8.9700000000000006</v>
      </c>
    </row>
    <row r="2300" spans="1:17" x14ac:dyDescent="0.2">
      <c r="A2300" s="30" t="str">
        <f>IF(C2300&amp;G2300&amp;D2300&lt;&gt;'Funnel setup'!$K$3&amp;'Funnel setup'!$K$4&amp;'Funnel setup'!$K$5,".",IF(A2299=".",1,A2299+1))</f>
        <v>.</v>
      </c>
      <c r="B2300" s="431" t="str">
        <f t="shared" si="35"/>
        <v>Hip Replacement PrimaryProviderLONDON NORTH WEST HEALTHCARE NHS TRUST (R1K)Oxford Hip Score</v>
      </c>
      <c r="C2300" t="s">
        <v>248</v>
      </c>
      <c r="D2300" t="s">
        <v>1</v>
      </c>
      <c r="E2300" t="s">
        <v>6515</v>
      </c>
      <c r="F2300" t="s">
        <v>6516</v>
      </c>
      <c r="G2300" t="s">
        <v>14</v>
      </c>
      <c r="H2300">
        <v>110</v>
      </c>
      <c r="I2300">
        <v>19</v>
      </c>
      <c r="J2300">
        <v>37</v>
      </c>
      <c r="K2300">
        <v>18</v>
      </c>
      <c r="L2300">
        <v>102</v>
      </c>
      <c r="M2300">
        <v>1</v>
      </c>
      <c r="N2300">
        <v>7</v>
      </c>
      <c r="O2300">
        <v>38.262999999999998</v>
      </c>
      <c r="P2300">
        <v>20.0585381</v>
      </c>
      <c r="Q2300">
        <v>8.5879999999999992</v>
      </c>
    </row>
    <row r="2301" spans="1:17" x14ac:dyDescent="0.2">
      <c r="A2301" s="30" t="str">
        <f>IF(C2301&amp;G2301&amp;D2301&lt;&gt;'Funnel setup'!$K$3&amp;'Funnel setup'!$K$4&amp;'Funnel setup'!$K$5,".",IF(A2300=".",1,A2300+1))</f>
        <v>.</v>
      </c>
      <c r="B2301" s="431" t="str">
        <f t="shared" si="35"/>
        <v>Hip Replacement PrimaryProviderLUTON AND DUNSTABLE UNIVERSITY HOSPITAL NHS FOUNDATION TRUST (RC9)Oxford Hip Score</v>
      </c>
      <c r="C2301" t="s">
        <v>248</v>
      </c>
      <c r="D2301" t="s">
        <v>1</v>
      </c>
      <c r="E2301" t="s">
        <v>3528</v>
      </c>
      <c r="F2301" t="s">
        <v>3529</v>
      </c>
      <c r="G2301" t="s">
        <v>14</v>
      </c>
      <c r="H2301">
        <v>143</v>
      </c>
      <c r="I2301">
        <v>16.434000000000001</v>
      </c>
      <c r="J2301">
        <v>37.174999999999997</v>
      </c>
      <c r="K2301">
        <v>20.741</v>
      </c>
      <c r="L2301">
        <v>139</v>
      </c>
      <c r="M2301">
        <v>3</v>
      </c>
      <c r="N2301">
        <v>1</v>
      </c>
      <c r="O2301">
        <v>38.151000000000003</v>
      </c>
      <c r="P2301">
        <v>19.946844250000002</v>
      </c>
      <c r="Q2301">
        <v>8.375</v>
      </c>
    </row>
    <row r="2302" spans="1:17" x14ac:dyDescent="0.2">
      <c r="A2302" s="30" t="str">
        <f>IF(C2302&amp;G2302&amp;D2302&lt;&gt;'Funnel setup'!$K$3&amp;'Funnel setup'!$K$4&amp;'Funnel setup'!$K$5,".",IF(A2301=".",1,A2301+1))</f>
        <v>.</v>
      </c>
      <c r="B2302" s="431" t="str">
        <f t="shared" si="35"/>
        <v>Hip Replacement PrimaryProviderMAIDSTONE AND TUNBRIDGE WELLS NHS TRUST (RWF)Oxford Hip Score</v>
      </c>
      <c r="C2302" t="s">
        <v>248</v>
      </c>
      <c r="D2302" t="s">
        <v>1</v>
      </c>
      <c r="E2302" t="s">
        <v>3627</v>
      </c>
      <c r="F2302" t="s">
        <v>3628</v>
      </c>
      <c r="G2302" t="s">
        <v>14</v>
      </c>
      <c r="H2302">
        <v>193</v>
      </c>
      <c r="I2302">
        <v>18.850000000000001</v>
      </c>
      <c r="J2302">
        <v>41.061999999999998</v>
      </c>
      <c r="K2302">
        <v>22.212</v>
      </c>
      <c r="L2302">
        <v>192</v>
      </c>
      <c r="M2302">
        <v>0</v>
      </c>
      <c r="N2302">
        <v>1</v>
      </c>
      <c r="O2302">
        <v>40.941000000000003</v>
      </c>
      <c r="P2302">
        <v>22.736534240000001</v>
      </c>
      <c r="Q2302">
        <v>6.7370000000000001</v>
      </c>
    </row>
    <row r="2303" spans="1:17" x14ac:dyDescent="0.2">
      <c r="A2303" s="30" t="str">
        <f>IF(C2303&amp;G2303&amp;D2303&lt;&gt;'Funnel setup'!$K$3&amp;'Funnel setup'!$K$4&amp;'Funnel setup'!$K$5,".",IF(A2302=".",1,A2302+1))</f>
        <v>.</v>
      </c>
      <c r="B2303" s="431" t="str">
        <f t="shared" si="35"/>
        <v>Hip Replacement PrimaryProviderMEDWAY NHS FOUNDATION TRUST (RPA)Oxford Hip Score</v>
      </c>
      <c r="C2303" t="s">
        <v>248</v>
      </c>
      <c r="D2303" t="s">
        <v>1</v>
      </c>
      <c r="E2303" t="s">
        <v>3630</v>
      </c>
      <c r="F2303" t="s">
        <v>3631</v>
      </c>
      <c r="G2303" t="s">
        <v>14</v>
      </c>
      <c r="H2303">
        <v>151</v>
      </c>
      <c r="I2303">
        <v>16.251999999999999</v>
      </c>
      <c r="J2303">
        <v>40.066000000000003</v>
      </c>
      <c r="K2303">
        <v>23.815000000000001</v>
      </c>
      <c r="L2303">
        <v>150</v>
      </c>
      <c r="M2303">
        <v>0</v>
      </c>
      <c r="N2303">
        <v>1</v>
      </c>
      <c r="O2303">
        <v>41.502000000000002</v>
      </c>
      <c r="P2303">
        <v>23.297320899999999</v>
      </c>
      <c r="Q2303">
        <v>8.3209999999999997</v>
      </c>
    </row>
    <row r="2304" spans="1:17" x14ac:dyDescent="0.2">
      <c r="A2304" s="30" t="str">
        <f>IF(C2304&amp;G2304&amp;D2304&lt;&gt;'Funnel setup'!$K$3&amp;'Funnel setup'!$K$4&amp;'Funnel setup'!$K$5,".",IF(A2303=".",1,A2303+1))</f>
        <v>.</v>
      </c>
      <c r="B2304" s="431" t="str">
        <f t="shared" si="35"/>
        <v>Hip Replacement PrimaryProviderMID CHESHIRE HOSPITALS NHS FOUNDATION TRUST (RBT)Oxford Hip Score</v>
      </c>
      <c r="C2304" t="s">
        <v>248</v>
      </c>
      <c r="D2304" t="s">
        <v>1</v>
      </c>
      <c r="E2304" t="s">
        <v>3633</v>
      </c>
      <c r="F2304" t="s">
        <v>342</v>
      </c>
      <c r="G2304" t="s">
        <v>14</v>
      </c>
      <c r="H2304">
        <v>157</v>
      </c>
      <c r="I2304">
        <v>17.803000000000001</v>
      </c>
      <c r="J2304">
        <v>38.884999999999998</v>
      </c>
      <c r="K2304">
        <v>21.082999999999998</v>
      </c>
      <c r="L2304">
        <v>153</v>
      </c>
      <c r="M2304">
        <v>0</v>
      </c>
      <c r="N2304">
        <v>4</v>
      </c>
      <c r="O2304">
        <v>39.021000000000001</v>
      </c>
      <c r="P2304">
        <v>20.816963659999999</v>
      </c>
      <c r="Q2304">
        <v>7.9249999999999998</v>
      </c>
    </row>
    <row r="2305" spans="1:17" x14ac:dyDescent="0.2">
      <c r="A2305" s="30" t="str">
        <f>IF(C2305&amp;G2305&amp;D2305&lt;&gt;'Funnel setup'!$K$3&amp;'Funnel setup'!$K$4&amp;'Funnel setup'!$K$5,".",IF(A2304=".",1,A2304+1))</f>
        <v>.</v>
      </c>
      <c r="B2305" s="431" t="str">
        <f t="shared" si="35"/>
        <v>Hip Replacement PrimaryProviderMID ESSEX HOSPITAL SERVICES NHS TRUST (RQ8)Oxford Hip Score</v>
      </c>
      <c r="C2305" t="s">
        <v>248</v>
      </c>
      <c r="D2305" t="s">
        <v>1</v>
      </c>
      <c r="E2305" t="s">
        <v>3635</v>
      </c>
      <c r="F2305" t="s">
        <v>3636</v>
      </c>
      <c r="G2305" t="s">
        <v>14</v>
      </c>
      <c r="H2305">
        <v>183</v>
      </c>
      <c r="I2305">
        <v>14.492000000000001</v>
      </c>
      <c r="J2305">
        <v>39.048999999999999</v>
      </c>
      <c r="K2305">
        <v>24.556999999999999</v>
      </c>
      <c r="L2305">
        <v>178</v>
      </c>
      <c r="M2305">
        <v>0</v>
      </c>
      <c r="N2305">
        <v>5</v>
      </c>
      <c r="O2305">
        <v>39.752000000000002</v>
      </c>
      <c r="P2305">
        <v>21.547689800000001</v>
      </c>
      <c r="Q2305">
        <v>8.0139999999999993</v>
      </c>
    </row>
    <row r="2306" spans="1:17" x14ac:dyDescent="0.2">
      <c r="A2306" s="30" t="str">
        <f>IF(C2306&amp;G2306&amp;D2306&lt;&gt;'Funnel setup'!$K$3&amp;'Funnel setup'!$K$4&amp;'Funnel setup'!$K$5,".",IF(A2305=".",1,A2305+1))</f>
        <v>.</v>
      </c>
      <c r="B2306" s="431" t="str">
        <f t="shared" si="35"/>
        <v>Hip Replacement PrimaryProviderMID STAFFORDSHIRE NHS FOUNDATION TRUST (RJD)Oxford Hip Score</v>
      </c>
      <c r="C2306" t="s">
        <v>248</v>
      </c>
      <c r="D2306" t="s">
        <v>1</v>
      </c>
      <c r="E2306" t="s">
        <v>3638</v>
      </c>
      <c r="F2306" t="s">
        <v>3639</v>
      </c>
      <c r="G2306" t="s">
        <v>14</v>
      </c>
      <c r="H2306">
        <v>138</v>
      </c>
      <c r="I2306">
        <v>17.667000000000002</v>
      </c>
      <c r="J2306">
        <v>38</v>
      </c>
      <c r="K2306">
        <v>20.332999999999998</v>
      </c>
      <c r="L2306">
        <v>137</v>
      </c>
      <c r="M2306">
        <v>0</v>
      </c>
      <c r="N2306">
        <v>1</v>
      </c>
      <c r="O2306">
        <v>38.488</v>
      </c>
      <c r="P2306">
        <v>20.28301922</v>
      </c>
      <c r="Q2306">
        <v>7.5860000000000003</v>
      </c>
    </row>
    <row r="2307" spans="1:17" x14ac:dyDescent="0.2">
      <c r="A2307" s="30" t="str">
        <f>IF(C2307&amp;G2307&amp;D2307&lt;&gt;'Funnel setup'!$K$3&amp;'Funnel setup'!$K$4&amp;'Funnel setup'!$K$5,".",IF(A2306=".",1,A2306+1))</f>
        <v>.</v>
      </c>
      <c r="B2307" s="431" t="str">
        <f t="shared" ref="B2307:B2370" si="36">C2307&amp;D2307&amp;F2307&amp;G2307</f>
        <v>Hip Replacement PrimaryProviderMID YORKSHIRE HOSPITALS NHS TRUST (RXF)Oxford Hip Score</v>
      </c>
      <c r="C2307" t="s">
        <v>248</v>
      </c>
      <c r="D2307" t="s">
        <v>1</v>
      </c>
      <c r="E2307" t="s">
        <v>3641</v>
      </c>
      <c r="F2307" t="s">
        <v>3642</v>
      </c>
      <c r="G2307" t="s">
        <v>14</v>
      </c>
      <c r="H2307">
        <v>242</v>
      </c>
      <c r="I2307">
        <v>17.582999999999998</v>
      </c>
      <c r="J2307">
        <v>37.24</v>
      </c>
      <c r="K2307">
        <v>19.657</v>
      </c>
      <c r="L2307">
        <v>232</v>
      </c>
      <c r="M2307">
        <v>2</v>
      </c>
      <c r="N2307">
        <v>8</v>
      </c>
      <c r="O2307">
        <v>37.988</v>
      </c>
      <c r="P2307">
        <v>19.783366959999999</v>
      </c>
      <c r="Q2307">
        <v>8.8520000000000003</v>
      </c>
    </row>
    <row r="2308" spans="1:17" x14ac:dyDescent="0.2">
      <c r="A2308" s="30" t="str">
        <f>IF(C2308&amp;G2308&amp;D2308&lt;&gt;'Funnel setup'!$K$3&amp;'Funnel setup'!$K$4&amp;'Funnel setup'!$K$5,".",IF(A2307=".",1,A2307+1))</f>
        <v>.</v>
      </c>
      <c r="B2308" s="431" t="str">
        <f t="shared" si="36"/>
        <v>Hip Replacement PrimaryProviderMILTON KEYNES UNIVERSITY HOSPITAL NHS FOUNDATION TRUST (RD8)Oxford Hip Score</v>
      </c>
      <c r="C2308" t="s">
        <v>248</v>
      </c>
      <c r="D2308" t="s">
        <v>1</v>
      </c>
      <c r="E2308" t="s">
        <v>3643</v>
      </c>
      <c r="F2308" t="s">
        <v>6580</v>
      </c>
      <c r="G2308" t="s">
        <v>14</v>
      </c>
      <c r="H2308">
        <v>183</v>
      </c>
      <c r="I2308">
        <v>16.093</v>
      </c>
      <c r="J2308">
        <v>39.015999999999998</v>
      </c>
      <c r="K2308">
        <v>22.922999999999998</v>
      </c>
      <c r="L2308">
        <v>180</v>
      </c>
      <c r="M2308">
        <v>1</v>
      </c>
      <c r="N2308">
        <v>2</v>
      </c>
      <c r="O2308">
        <v>39.683</v>
      </c>
      <c r="P2308">
        <v>21.478199650000001</v>
      </c>
      <c r="Q2308">
        <v>8.4640000000000004</v>
      </c>
    </row>
    <row r="2309" spans="1:17" x14ac:dyDescent="0.2">
      <c r="A2309" s="30" t="str">
        <f>IF(C2309&amp;G2309&amp;D2309&lt;&gt;'Funnel setup'!$K$3&amp;'Funnel setup'!$K$4&amp;'Funnel setup'!$K$5,".",IF(A2308=".",1,A2308+1))</f>
        <v>.</v>
      </c>
      <c r="B2309" s="431" t="str">
        <f t="shared" si="36"/>
        <v>Hip Replacement PrimaryProviderMOUNT STUART HOSPITAL (NVC08)Oxford Hip Score</v>
      </c>
      <c r="C2309" t="s">
        <v>248</v>
      </c>
      <c r="D2309" t="s">
        <v>1</v>
      </c>
      <c r="E2309" t="s">
        <v>3645</v>
      </c>
      <c r="F2309" t="s">
        <v>3646</v>
      </c>
      <c r="G2309" t="s">
        <v>14</v>
      </c>
      <c r="H2309">
        <v>151</v>
      </c>
      <c r="I2309">
        <v>21.093</v>
      </c>
      <c r="J2309">
        <v>41.079000000000001</v>
      </c>
      <c r="K2309">
        <v>19.986999999999998</v>
      </c>
      <c r="L2309">
        <v>145</v>
      </c>
      <c r="M2309">
        <v>2</v>
      </c>
      <c r="N2309">
        <v>4</v>
      </c>
      <c r="O2309">
        <v>39.966999999999999</v>
      </c>
      <c r="P2309">
        <v>21.76288808</v>
      </c>
      <c r="Q2309">
        <v>7.4020000000000001</v>
      </c>
    </row>
    <row r="2310" spans="1:17" x14ac:dyDescent="0.2">
      <c r="A2310" s="30" t="str">
        <f>IF(C2310&amp;G2310&amp;D2310&lt;&gt;'Funnel setup'!$K$3&amp;'Funnel setup'!$K$4&amp;'Funnel setup'!$K$5,".",IF(A2309=".",1,A2309+1))</f>
        <v>.</v>
      </c>
      <c r="B2310" s="431" t="str">
        <f t="shared" si="36"/>
        <v>Hip Replacement PrimaryProviderNEW HALL HOSPITAL (NVC09)Oxford Hip Score</v>
      </c>
      <c r="C2310" t="s">
        <v>248</v>
      </c>
      <c r="D2310" t="s">
        <v>1</v>
      </c>
      <c r="E2310" t="s">
        <v>3648</v>
      </c>
      <c r="F2310" t="s">
        <v>3649</v>
      </c>
      <c r="G2310" t="s">
        <v>14</v>
      </c>
      <c r="H2310">
        <v>121</v>
      </c>
      <c r="I2310">
        <v>19.38</v>
      </c>
      <c r="J2310">
        <v>42.438000000000002</v>
      </c>
      <c r="K2310">
        <v>23.058</v>
      </c>
      <c r="L2310">
        <v>121</v>
      </c>
      <c r="M2310">
        <v>0</v>
      </c>
      <c r="N2310">
        <v>0</v>
      </c>
      <c r="O2310">
        <v>41.325000000000003</v>
      </c>
      <c r="P2310">
        <v>23.12036247</v>
      </c>
      <c r="Q2310">
        <v>6.4290000000000003</v>
      </c>
    </row>
    <row r="2311" spans="1:17" x14ac:dyDescent="0.2">
      <c r="A2311" s="30" t="str">
        <f>IF(C2311&amp;G2311&amp;D2311&lt;&gt;'Funnel setup'!$K$3&amp;'Funnel setup'!$K$4&amp;'Funnel setup'!$K$5,".",IF(A2310=".",1,A2310+1))</f>
        <v>.</v>
      </c>
      <c r="B2311" s="431" t="str">
        <f t="shared" si="36"/>
        <v>Hip Replacement PrimaryProviderNORFOLK AND NORWICH UNIVERSITY HOSPITALS NHS FOUNDATION TRUST (RM1)Oxford Hip Score</v>
      </c>
      <c r="C2311" t="s">
        <v>248</v>
      </c>
      <c r="D2311" t="s">
        <v>1</v>
      </c>
      <c r="E2311" t="s">
        <v>3651</v>
      </c>
      <c r="F2311" t="s">
        <v>3652</v>
      </c>
      <c r="G2311" t="s">
        <v>14</v>
      </c>
      <c r="H2311">
        <v>264</v>
      </c>
      <c r="I2311">
        <v>15.746</v>
      </c>
      <c r="J2311">
        <v>37.936</v>
      </c>
      <c r="K2311">
        <v>22.189</v>
      </c>
      <c r="L2311">
        <v>260</v>
      </c>
      <c r="M2311">
        <v>0</v>
      </c>
      <c r="N2311">
        <v>4</v>
      </c>
      <c r="O2311">
        <v>39.110999999999997</v>
      </c>
      <c r="P2311">
        <v>20.906548789999999</v>
      </c>
      <c r="Q2311">
        <v>8.9160000000000004</v>
      </c>
    </row>
    <row r="2312" spans="1:17" x14ac:dyDescent="0.2">
      <c r="A2312" s="30" t="str">
        <f>IF(C2312&amp;G2312&amp;D2312&lt;&gt;'Funnel setup'!$K$3&amp;'Funnel setup'!$K$4&amp;'Funnel setup'!$K$5,".",IF(A2311=".",1,A2311+1))</f>
        <v>.</v>
      </c>
      <c r="B2312" s="431" t="str">
        <f t="shared" si="36"/>
        <v>Hip Replacement PrimaryProviderNORTH BRISTOL NHS TRUST (RVJ)Oxford Hip Score</v>
      </c>
      <c r="C2312" t="s">
        <v>248</v>
      </c>
      <c r="D2312" t="s">
        <v>1</v>
      </c>
      <c r="E2312" t="s">
        <v>3654</v>
      </c>
      <c r="F2312" t="s">
        <v>3655</v>
      </c>
      <c r="G2312" t="s">
        <v>14</v>
      </c>
      <c r="H2312">
        <v>205</v>
      </c>
      <c r="I2312">
        <v>18.288</v>
      </c>
      <c r="J2312">
        <v>39.375999999999998</v>
      </c>
      <c r="K2312">
        <v>21.088000000000001</v>
      </c>
      <c r="L2312">
        <v>201</v>
      </c>
      <c r="M2312">
        <v>1</v>
      </c>
      <c r="N2312">
        <v>3</v>
      </c>
      <c r="O2312">
        <v>39.061999999999998</v>
      </c>
      <c r="P2312">
        <v>20.857976799999999</v>
      </c>
      <c r="Q2312">
        <v>8.0129999999999999</v>
      </c>
    </row>
    <row r="2313" spans="1:17" x14ac:dyDescent="0.2">
      <c r="A2313" s="30" t="str">
        <f>IF(C2313&amp;G2313&amp;D2313&lt;&gt;'Funnel setup'!$K$3&amp;'Funnel setup'!$K$4&amp;'Funnel setup'!$K$5,".",IF(A2312=".",1,A2312+1))</f>
        <v>.</v>
      </c>
      <c r="B2313" s="431" t="str">
        <f t="shared" si="36"/>
        <v>Hip Replacement PrimaryProviderNORTH CUMBRIA UNIVERSITY HOSPITALS NHS TRUST (RNL)Oxford Hip Score</v>
      </c>
      <c r="C2313" t="s">
        <v>248</v>
      </c>
      <c r="D2313" t="s">
        <v>1</v>
      </c>
      <c r="E2313" t="s">
        <v>3657</v>
      </c>
      <c r="F2313" t="s">
        <v>3658</v>
      </c>
      <c r="G2313" t="s">
        <v>14</v>
      </c>
      <c r="H2313">
        <v>139</v>
      </c>
      <c r="I2313">
        <v>17.222999999999999</v>
      </c>
      <c r="J2313">
        <v>39.085999999999999</v>
      </c>
      <c r="K2313">
        <v>21.863</v>
      </c>
      <c r="L2313">
        <v>135</v>
      </c>
      <c r="M2313">
        <v>1</v>
      </c>
      <c r="N2313">
        <v>3</v>
      </c>
      <c r="O2313">
        <v>40.033000000000001</v>
      </c>
      <c r="P2313">
        <v>21.828457369999999</v>
      </c>
      <c r="Q2313">
        <v>7.4139999999999997</v>
      </c>
    </row>
    <row r="2314" spans="1:17" x14ac:dyDescent="0.2">
      <c r="A2314" s="30" t="str">
        <f>IF(C2314&amp;G2314&amp;D2314&lt;&gt;'Funnel setup'!$K$3&amp;'Funnel setup'!$K$4&amp;'Funnel setup'!$K$5,".",IF(A2313=".",1,A2313+1))</f>
        <v>.</v>
      </c>
      <c r="B2314" s="431" t="str">
        <f t="shared" si="36"/>
        <v>Hip Replacement PrimaryProviderNORTH DOWNS HOSPITAL (NVC11)Oxford Hip Score</v>
      </c>
      <c r="C2314" t="s">
        <v>248</v>
      </c>
      <c r="D2314" t="s">
        <v>1</v>
      </c>
      <c r="E2314" t="s">
        <v>3660</v>
      </c>
      <c r="F2314" t="s">
        <v>3661</v>
      </c>
      <c r="G2314" t="s">
        <v>14</v>
      </c>
      <c r="H2314">
        <v>77</v>
      </c>
      <c r="I2314">
        <v>23.13</v>
      </c>
      <c r="J2314">
        <v>43.779000000000003</v>
      </c>
      <c r="K2314">
        <v>20.649000000000001</v>
      </c>
      <c r="L2314">
        <v>77</v>
      </c>
      <c r="M2314">
        <v>0</v>
      </c>
      <c r="N2314">
        <v>0</v>
      </c>
      <c r="O2314">
        <v>41.54</v>
      </c>
      <c r="P2314">
        <v>23.335613760000001</v>
      </c>
      <c r="Q2314">
        <v>4.8410000000000002</v>
      </c>
    </row>
    <row r="2315" spans="1:17" x14ac:dyDescent="0.2">
      <c r="A2315" s="30" t="str">
        <f>IF(C2315&amp;G2315&amp;D2315&lt;&gt;'Funnel setup'!$K$3&amp;'Funnel setup'!$K$4&amp;'Funnel setup'!$K$5,".",IF(A2314=".",1,A2314+1))</f>
        <v>.</v>
      </c>
      <c r="B2315" s="431" t="str">
        <f t="shared" si="36"/>
        <v>Hip Replacement PrimaryProviderNORTH EAST LONDON TREATMENT CENTRE CARE UK (NTP15)Oxford Hip Score</v>
      </c>
      <c r="C2315" t="s">
        <v>248</v>
      </c>
      <c r="D2315" t="s">
        <v>1</v>
      </c>
      <c r="E2315" t="s">
        <v>3663</v>
      </c>
      <c r="F2315" t="s">
        <v>3664</v>
      </c>
      <c r="G2315" t="s">
        <v>14</v>
      </c>
      <c r="H2315">
        <v>100</v>
      </c>
      <c r="I2315">
        <v>17.559999999999999</v>
      </c>
      <c r="J2315">
        <v>39.909999999999997</v>
      </c>
      <c r="K2315">
        <v>22.35</v>
      </c>
      <c r="L2315">
        <v>99</v>
      </c>
      <c r="M2315">
        <v>1</v>
      </c>
      <c r="N2315">
        <v>0</v>
      </c>
      <c r="O2315">
        <v>39.841999999999999</v>
      </c>
      <c r="P2315">
        <v>21.637782269999999</v>
      </c>
      <c r="Q2315">
        <v>7.0720000000000001</v>
      </c>
    </row>
    <row r="2316" spans="1:17" x14ac:dyDescent="0.2">
      <c r="A2316" s="30" t="str">
        <f>IF(C2316&amp;G2316&amp;D2316&lt;&gt;'Funnel setup'!$K$3&amp;'Funnel setup'!$K$4&amp;'Funnel setup'!$K$5,".",IF(A2315=".",1,A2315+1))</f>
        <v>.</v>
      </c>
      <c r="B2316" s="431" t="str">
        <f t="shared" si="36"/>
        <v>Hip Replacement PrimaryProviderNORTH MIDDLESEX UNIVERSITY HOSPITAL NHS TRUST (RAP)Oxford Hip Score</v>
      </c>
      <c r="C2316" t="s">
        <v>248</v>
      </c>
      <c r="D2316" t="s">
        <v>1</v>
      </c>
      <c r="E2316" t="s">
        <v>3666</v>
      </c>
      <c r="F2316" t="s">
        <v>3667</v>
      </c>
      <c r="G2316" t="s">
        <v>14</v>
      </c>
      <c r="H2316">
        <v>38</v>
      </c>
      <c r="I2316">
        <v>12.395</v>
      </c>
      <c r="J2316">
        <v>32.737000000000002</v>
      </c>
      <c r="K2316">
        <v>20.341999999999999</v>
      </c>
      <c r="L2316">
        <v>37</v>
      </c>
      <c r="M2316">
        <v>1</v>
      </c>
      <c r="N2316">
        <v>0</v>
      </c>
      <c r="O2316">
        <v>36.991</v>
      </c>
      <c r="P2316">
        <v>18.786688569999999</v>
      </c>
      <c r="Q2316">
        <v>9.032</v>
      </c>
    </row>
    <row r="2317" spans="1:17" x14ac:dyDescent="0.2">
      <c r="A2317" s="30" t="str">
        <f>IF(C2317&amp;G2317&amp;D2317&lt;&gt;'Funnel setup'!$K$3&amp;'Funnel setup'!$K$4&amp;'Funnel setup'!$K$5,".",IF(A2316=".",1,A2316+1))</f>
        <v>.</v>
      </c>
      <c r="B2317" s="431" t="str">
        <f t="shared" si="36"/>
        <v>Hip Replacement PrimaryProviderNORTH TEES AND HARTLEPOOL NHS FOUNDATION TRUST (RVW)Oxford Hip Score</v>
      </c>
      <c r="C2317" t="s">
        <v>248</v>
      </c>
      <c r="D2317" t="s">
        <v>1</v>
      </c>
      <c r="E2317" t="s">
        <v>3669</v>
      </c>
      <c r="F2317" t="s">
        <v>3670</v>
      </c>
      <c r="G2317" t="s">
        <v>14</v>
      </c>
      <c r="H2317">
        <v>211</v>
      </c>
      <c r="I2317">
        <v>15.558999999999999</v>
      </c>
      <c r="J2317">
        <v>37.250999999999998</v>
      </c>
      <c r="K2317">
        <v>21.692</v>
      </c>
      <c r="L2317">
        <v>206</v>
      </c>
      <c r="M2317">
        <v>0</v>
      </c>
      <c r="N2317">
        <v>5</v>
      </c>
      <c r="O2317">
        <v>39.085999999999999</v>
      </c>
      <c r="P2317">
        <v>20.881322050000001</v>
      </c>
      <c r="Q2317">
        <v>8.7949999999999999</v>
      </c>
    </row>
    <row r="2318" spans="1:17" x14ac:dyDescent="0.2">
      <c r="A2318" s="30" t="str">
        <f>IF(C2318&amp;G2318&amp;D2318&lt;&gt;'Funnel setup'!$K$3&amp;'Funnel setup'!$K$4&amp;'Funnel setup'!$K$5,".",IF(A2317=".",1,A2317+1))</f>
        <v>.</v>
      </c>
      <c r="B2318" s="431" t="str">
        <f t="shared" si="36"/>
        <v>Hip Replacement PrimaryProviderNORTHAMPTON GENERAL HOSPITAL NHS TRUST (RNS)Oxford Hip Score</v>
      </c>
      <c r="C2318" t="s">
        <v>248</v>
      </c>
      <c r="D2318" t="s">
        <v>1</v>
      </c>
      <c r="E2318" t="s">
        <v>3675</v>
      </c>
      <c r="F2318" t="s">
        <v>3676</v>
      </c>
      <c r="G2318" t="s">
        <v>14</v>
      </c>
      <c r="H2318">
        <v>178</v>
      </c>
      <c r="I2318">
        <v>15.106999999999999</v>
      </c>
      <c r="J2318">
        <v>39.713000000000001</v>
      </c>
      <c r="K2318">
        <v>24.606999999999999</v>
      </c>
      <c r="L2318">
        <v>176</v>
      </c>
      <c r="M2318">
        <v>0</v>
      </c>
      <c r="N2318">
        <v>2</v>
      </c>
      <c r="O2318">
        <v>41.140999999999998</v>
      </c>
      <c r="P2318">
        <v>22.936421200000002</v>
      </c>
      <c r="Q2318">
        <v>8.1660000000000004</v>
      </c>
    </row>
    <row r="2319" spans="1:17" x14ac:dyDescent="0.2">
      <c r="A2319" s="30" t="str">
        <f>IF(C2319&amp;G2319&amp;D2319&lt;&gt;'Funnel setup'!$K$3&amp;'Funnel setup'!$K$4&amp;'Funnel setup'!$K$5,".",IF(A2318=".",1,A2318+1))</f>
        <v>.</v>
      </c>
      <c r="B2319" s="431" t="str">
        <f t="shared" si="36"/>
        <v>Hip Replacement PrimaryProviderNORTHERN DEVON HEALTHCARE NHS TRUST (RBZ)Oxford Hip Score</v>
      </c>
      <c r="C2319" t="s">
        <v>248</v>
      </c>
      <c r="D2319" t="s">
        <v>1</v>
      </c>
      <c r="E2319" t="s">
        <v>3678</v>
      </c>
      <c r="F2319" t="s">
        <v>3679</v>
      </c>
      <c r="G2319" t="s">
        <v>14</v>
      </c>
      <c r="H2319">
        <v>280</v>
      </c>
      <c r="I2319">
        <v>18.225000000000001</v>
      </c>
      <c r="J2319">
        <v>39.411000000000001</v>
      </c>
      <c r="K2319">
        <v>21.186</v>
      </c>
      <c r="L2319">
        <v>273</v>
      </c>
      <c r="M2319">
        <v>0</v>
      </c>
      <c r="N2319">
        <v>7</v>
      </c>
      <c r="O2319">
        <v>39.494</v>
      </c>
      <c r="P2319">
        <v>21.289653170000001</v>
      </c>
      <c r="Q2319">
        <v>7.8259999999999996</v>
      </c>
    </row>
    <row r="2320" spans="1:17" x14ac:dyDescent="0.2">
      <c r="A2320" s="30" t="str">
        <f>IF(C2320&amp;G2320&amp;D2320&lt;&gt;'Funnel setup'!$K$3&amp;'Funnel setup'!$K$4&amp;'Funnel setup'!$K$5,".",IF(A2319=".",1,A2319+1))</f>
        <v>.</v>
      </c>
      <c r="B2320" s="431" t="str">
        <f t="shared" si="36"/>
        <v>Hip Replacement PrimaryProviderNORTHERN LINCOLNSHIRE AND GOOLE NHS FOUNDATION TRUST (RJL)Oxford Hip Score</v>
      </c>
      <c r="C2320" t="s">
        <v>248</v>
      </c>
      <c r="D2320" t="s">
        <v>1</v>
      </c>
      <c r="E2320" t="s">
        <v>3681</v>
      </c>
      <c r="F2320" t="s">
        <v>3682</v>
      </c>
      <c r="G2320" t="s">
        <v>14</v>
      </c>
      <c r="H2320">
        <v>256</v>
      </c>
      <c r="I2320">
        <v>19</v>
      </c>
      <c r="J2320">
        <v>39.555</v>
      </c>
      <c r="K2320">
        <v>20.555</v>
      </c>
      <c r="L2320">
        <v>250</v>
      </c>
      <c r="M2320">
        <v>2</v>
      </c>
      <c r="N2320">
        <v>4</v>
      </c>
      <c r="O2320">
        <v>39.579000000000001</v>
      </c>
      <c r="P2320">
        <v>21.374510430000001</v>
      </c>
      <c r="Q2320">
        <v>7.109</v>
      </c>
    </row>
    <row r="2321" spans="1:17" x14ac:dyDescent="0.2">
      <c r="A2321" s="30" t="str">
        <f>IF(C2321&amp;G2321&amp;D2321&lt;&gt;'Funnel setup'!$K$3&amp;'Funnel setup'!$K$4&amp;'Funnel setup'!$K$5,".",IF(A2320=".",1,A2320+1))</f>
        <v>.</v>
      </c>
      <c r="B2321" s="431" t="str">
        <f t="shared" si="36"/>
        <v>Hip Replacement PrimaryProviderNORTHUMBRIA HEALTHCARE NHS FOUNDATION TRUST (RTF)Oxford Hip Score</v>
      </c>
      <c r="C2321" t="s">
        <v>248</v>
      </c>
      <c r="D2321" t="s">
        <v>1</v>
      </c>
      <c r="E2321" t="s">
        <v>3684</v>
      </c>
      <c r="F2321" t="s">
        <v>3685</v>
      </c>
      <c r="G2321" t="s">
        <v>14</v>
      </c>
      <c r="H2321">
        <v>663</v>
      </c>
      <c r="I2321">
        <v>17.890999999999998</v>
      </c>
      <c r="J2321">
        <v>39.893999999999998</v>
      </c>
      <c r="K2321">
        <v>22.003</v>
      </c>
      <c r="L2321">
        <v>650</v>
      </c>
      <c r="M2321">
        <v>3</v>
      </c>
      <c r="N2321">
        <v>10</v>
      </c>
      <c r="O2321">
        <v>40.14</v>
      </c>
      <c r="P2321">
        <v>21.93566963</v>
      </c>
      <c r="Q2321">
        <v>7.8920000000000003</v>
      </c>
    </row>
    <row r="2322" spans="1:17" x14ac:dyDescent="0.2">
      <c r="A2322" s="30" t="str">
        <f>IF(C2322&amp;G2322&amp;D2322&lt;&gt;'Funnel setup'!$K$3&amp;'Funnel setup'!$K$4&amp;'Funnel setup'!$K$5,".",IF(A2321=".",1,A2321+1))</f>
        <v>.</v>
      </c>
      <c r="B2322" s="431" t="str">
        <f t="shared" si="36"/>
        <v>Hip Replacement PrimaryProviderNOTTINGHAM UNIVERSITY HOSPITALS NHS TRUST (RX1)Oxford Hip Score</v>
      </c>
      <c r="C2322" t="s">
        <v>248</v>
      </c>
      <c r="D2322" t="s">
        <v>1</v>
      </c>
      <c r="E2322" t="s">
        <v>3687</v>
      </c>
      <c r="F2322" t="s">
        <v>3688</v>
      </c>
      <c r="G2322" t="s">
        <v>14</v>
      </c>
      <c r="H2322">
        <v>417</v>
      </c>
      <c r="I2322">
        <v>18.373999999999999</v>
      </c>
      <c r="J2322">
        <v>39.814999999999998</v>
      </c>
      <c r="K2322">
        <v>21.440999999999999</v>
      </c>
      <c r="L2322">
        <v>411</v>
      </c>
      <c r="M2322">
        <v>1</v>
      </c>
      <c r="N2322">
        <v>5</v>
      </c>
      <c r="O2322">
        <v>39.970999999999997</v>
      </c>
      <c r="P2322">
        <v>21.766808470000001</v>
      </c>
      <c r="Q2322">
        <v>7.3789999999999996</v>
      </c>
    </row>
    <row r="2323" spans="1:17" x14ac:dyDescent="0.2">
      <c r="A2323" s="30" t="str">
        <f>IF(C2323&amp;G2323&amp;D2323&lt;&gt;'Funnel setup'!$K$3&amp;'Funnel setup'!$K$4&amp;'Funnel setup'!$K$5,".",IF(A2322=".",1,A2322+1))</f>
        <v>.</v>
      </c>
      <c r="B2323" s="431" t="str">
        <f t="shared" si="36"/>
        <v>Hip Replacement PrimaryProviderNUFFIELD HEALTH, BRENTWOOD HOSPITAL (NT204)Oxford Hip Score</v>
      </c>
      <c r="C2323" t="s">
        <v>248</v>
      </c>
      <c r="D2323" t="s">
        <v>1</v>
      </c>
      <c r="E2323" t="s">
        <v>3691</v>
      </c>
      <c r="F2323" t="s">
        <v>3692</v>
      </c>
      <c r="G2323" t="s">
        <v>14</v>
      </c>
      <c r="H2323">
        <v>75</v>
      </c>
      <c r="I2323">
        <v>19.613</v>
      </c>
      <c r="J2323">
        <v>41.32</v>
      </c>
      <c r="K2323">
        <v>21.707000000000001</v>
      </c>
      <c r="L2323">
        <v>73</v>
      </c>
      <c r="M2323">
        <v>1</v>
      </c>
      <c r="N2323">
        <v>1</v>
      </c>
      <c r="O2323">
        <v>39.83</v>
      </c>
      <c r="P2323">
        <v>21.625148620000001</v>
      </c>
      <c r="Q2323">
        <v>6.84</v>
      </c>
    </row>
    <row r="2324" spans="1:17" x14ac:dyDescent="0.2">
      <c r="A2324" s="30" t="str">
        <f>IF(C2324&amp;G2324&amp;D2324&lt;&gt;'Funnel setup'!$K$3&amp;'Funnel setup'!$K$4&amp;'Funnel setup'!$K$5,".",IF(A2323=".",1,A2323+1))</f>
        <v>.</v>
      </c>
      <c r="B2324" s="431" t="str">
        <f t="shared" si="36"/>
        <v>Hip Replacement PrimaryProviderNUFFIELD HEALTH, BRIGHTON HOSPITAL (NT205)Oxford Hip Score</v>
      </c>
      <c r="C2324" t="s">
        <v>248</v>
      </c>
      <c r="D2324" t="s">
        <v>1</v>
      </c>
      <c r="E2324" t="s">
        <v>3697</v>
      </c>
      <c r="F2324" t="s">
        <v>3698</v>
      </c>
      <c r="G2324" t="s">
        <v>14</v>
      </c>
      <c r="H2324" t="s">
        <v>53</v>
      </c>
      <c r="I2324" t="s">
        <v>53</v>
      </c>
      <c r="J2324" t="s">
        <v>53</v>
      </c>
      <c r="K2324" t="s">
        <v>53</v>
      </c>
      <c r="L2324" t="s">
        <v>53</v>
      </c>
      <c r="M2324" t="s">
        <v>53</v>
      </c>
      <c r="N2324" t="s">
        <v>53</v>
      </c>
      <c r="O2324" t="s">
        <v>53</v>
      </c>
      <c r="P2324" t="s">
        <v>53</v>
      </c>
      <c r="Q2324" t="s">
        <v>53</v>
      </c>
    </row>
    <row r="2325" spans="1:17" x14ac:dyDescent="0.2">
      <c r="A2325" s="30" t="str">
        <f>IF(C2325&amp;G2325&amp;D2325&lt;&gt;'Funnel setup'!$K$3&amp;'Funnel setup'!$K$4&amp;'Funnel setup'!$K$5,".",IF(A2324=".",1,A2324+1))</f>
        <v>.</v>
      </c>
      <c r="B2325" s="431" t="str">
        <f t="shared" si="36"/>
        <v>Hip Replacement PrimaryProviderNUFFIELD HEALTH, BRISTOL HOSPITAL (CHESTERFIELD) (NT206)Oxford Hip Score</v>
      </c>
      <c r="C2325" t="s">
        <v>248</v>
      </c>
      <c r="D2325" t="s">
        <v>1</v>
      </c>
      <c r="E2325" t="s">
        <v>3700</v>
      </c>
      <c r="F2325" t="s">
        <v>3701</v>
      </c>
      <c r="G2325" t="s">
        <v>14</v>
      </c>
      <c r="H2325">
        <v>14</v>
      </c>
      <c r="I2325">
        <v>13.5</v>
      </c>
      <c r="J2325">
        <v>37.356999999999999</v>
      </c>
      <c r="K2325">
        <v>23.856999999999999</v>
      </c>
      <c r="L2325">
        <v>14</v>
      </c>
      <c r="M2325">
        <v>0</v>
      </c>
      <c r="N2325">
        <v>0</v>
      </c>
      <c r="O2325" t="s">
        <v>53</v>
      </c>
      <c r="P2325" t="s">
        <v>53</v>
      </c>
      <c r="Q2325" t="s">
        <v>53</v>
      </c>
    </row>
    <row r="2326" spans="1:17" x14ac:dyDescent="0.2">
      <c r="A2326" s="30" t="str">
        <f>IF(C2326&amp;G2326&amp;D2326&lt;&gt;'Funnel setup'!$K$3&amp;'Funnel setup'!$K$4&amp;'Funnel setup'!$K$5,".",IF(A2325=".",1,A2325+1))</f>
        <v>.</v>
      </c>
      <c r="B2326" s="431" t="str">
        <f t="shared" si="36"/>
        <v>Hip Replacement PrimaryProviderNUFFIELD HEALTH, CAMBRIDGE HOSPITAL (NT209)Oxford Hip Score</v>
      </c>
      <c r="C2326" t="s">
        <v>248</v>
      </c>
      <c r="D2326" t="s">
        <v>1</v>
      </c>
      <c r="E2326" t="s">
        <v>4477</v>
      </c>
      <c r="F2326" t="s">
        <v>4478</v>
      </c>
      <c r="G2326" t="s">
        <v>14</v>
      </c>
      <c r="H2326">
        <v>19</v>
      </c>
      <c r="I2326">
        <v>18</v>
      </c>
      <c r="J2326">
        <v>43.789000000000001</v>
      </c>
      <c r="K2326">
        <v>25.789000000000001</v>
      </c>
      <c r="L2326">
        <v>19</v>
      </c>
      <c r="M2326">
        <v>0</v>
      </c>
      <c r="N2326">
        <v>0</v>
      </c>
      <c r="O2326" t="s">
        <v>53</v>
      </c>
      <c r="P2326" t="s">
        <v>53</v>
      </c>
      <c r="Q2326" t="s">
        <v>53</v>
      </c>
    </row>
    <row r="2327" spans="1:17" x14ac:dyDescent="0.2">
      <c r="A2327" s="30" t="str">
        <f>IF(C2327&amp;G2327&amp;D2327&lt;&gt;'Funnel setup'!$K$3&amp;'Funnel setup'!$K$4&amp;'Funnel setup'!$K$5,".",IF(A2326=".",1,A2326+1))</f>
        <v>.</v>
      </c>
      <c r="B2327" s="431" t="str">
        <f t="shared" si="36"/>
        <v>Hip Replacement PrimaryProviderNUFFIELD HEALTH, CHELTENHAM HOSPITAL (NT211)Oxford Hip Score</v>
      </c>
      <c r="C2327" t="s">
        <v>248</v>
      </c>
      <c r="D2327" t="s">
        <v>1</v>
      </c>
      <c r="E2327" t="s">
        <v>3703</v>
      </c>
      <c r="F2327" t="s">
        <v>3704</v>
      </c>
      <c r="G2327" t="s">
        <v>14</v>
      </c>
      <c r="H2327">
        <v>6</v>
      </c>
      <c r="I2327">
        <v>23.167000000000002</v>
      </c>
      <c r="J2327">
        <v>41.5</v>
      </c>
      <c r="K2327">
        <v>18.332999999999998</v>
      </c>
      <c r="L2327">
        <v>6</v>
      </c>
      <c r="M2327">
        <v>0</v>
      </c>
      <c r="N2327">
        <v>0</v>
      </c>
      <c r="O2327" t="s">
        <v>53</v>
      </c>
      <c r="P2327" t="s">
        <v>53</v>
      </c>
      <c r="Q2327" t="s">
        <v>53</v>
      </c>
    </row>
    <row r="2328" spans="1:17" x14ac:dyDescent="0.2">
      <c r="A2328" s="30" t="str">
        <f>IF(C2328&amp;G2328&amp;D2328&lt;&gt;'Funnel setup'!$K$3&amp;'Funnel setup'!$K$4&amp;'Funnel setup'!$K$5,".",IF(A2327=".",1,A2327+1))</f>
        <v>.</v>
      </c>
      <c r="B2328" s="431" t="str">
        <f t="shared" si="36"/>
        <v>Hip Replacement PrimaryProviderNUFFIELD HEALTH, CHICHESTER HOSPITAL (NT212)Oxford Hip Score</v>
      </c>
      <c r="C2328" t="s">
        <v>248</v>
      </c>
      <c r="D2328" t="s">
        <v>1</v>
      </c>
      <c r="E2328" t="s">
        <v>4334</v>
      </c>
      <c r="F2328" t="s">
        <v>4335</v>
      </c>
      <c r="G2328" t="s">
        <v>14</v>
      </c>
      <c r="H2328">
        <v>16</v>
      </c>
      <c r="I2328">
        <v>17.5</v>
      </c>
      <c r="J2328">
        <v>43.125</v>
      </c>
      <c r="K2328">
        <v>25.625</v>
      </c>
      <c r="L2328">
        <v>16</v>
      </c>
      <c r="M2328">
        <v>0</v>
      </c>
      <c r="N2328">
        <v>0</v>
      </c>
      <c r="O2328" t="s">
        <v>53</v>
      </c>
      <c r="P2328" t="s">
        <v>53</v>
      </c>
      <c r="Q2328" t="s">
        <v>53</v>
      </c>
    </row>
    <row r="2329" spans="1:17" x14ac:dyDescent="0.2">
      <c r="A2329" s="30" t="str">
        <f>IF(C2329&amp;G2329&amp;D2329&lt;&gt;'Funnel setup'!$K$3&amp;'Funnel setup'!$K$4&amp;'Funnel setup'!$K$5,".",IF(A2328=".",1,A2328+1))</f>
        <v>.</v>
      </c>
      <c r="B2329" s="431" t="str">
        <f t="shared" si="36"/>
        <v>Hip Replacement PrimaryProviderNUFFIELD HEALTH, DERBY HOSPITAL (NT213)Oxford Hip Score</v>
      </c>
      <c r="C2329" t="s">
        <v>248</v>
      </c>
      <c r="D2329" t="s">
        <v>1</v>
      </c>
      <c r="E2329" t="s">
        <v>3340</v>
      </c>
      <c r="F2329" t="s">
        <v>3341</v>
      </c>
      <c r="G2329" t="s">
        <v>14</v>
      </c>
      <c r="H2329">
        <v>157</v>
      </c>
      <c r="I2329">
        <v>18.408000000000001</v>
      </c>
      <c r="J2329">
        <v>41.21</v>
      </c>
      <c r="K2329">
        <v>22.803000000000001</v>
      </c>
      <c r="L2329">
        <v>155</v>
      </c>
      <c r="M2329">
        <v>2</v>
      </c>
      <c r="N2329">
        <v>0</v>
      </c>
      <c r="O2329">
        <v>40.069000000000003</v>
      </c>
      <c r="P2329">
        <v>21.864496450000001</v>
      </c>
      <c r="Q2329">
        <v>6.9509999999999996</v>
      </c>
    </row>
    <row r="2330" spans="1:17" x14ac:dyDescent="0.2">
      <c r="A2330" s="30" t="str">
        <f>IF(C2330&amp;G2330&amp;D2330&lt;&gt;'Funnel setup'!$K$3&amp;'Funnel setup'!$K$4&amp;'Funnel setup'!$K$5,".",IF(A2329=".",1,A2329+1))</f>
        <v>.</v>
      </c>
      <c r="B2330" s="431" t="str">
        <f t="shared" si="36"/>
        <v>Hip Replacement PrimaryProviderNUFFIELD HEALTH, EXETER HOSPITAL (NT215)Oxford Hip Score</v>
      </c>
      <c r="C2330" t="s">
        <v>248</v>
      </c>
      <c r="D2330" t="s">
        <v>1</v>
      </c>
      <c r="E2330" t="s">
        <v>4339</v>
      </c>
      <c r="F2330" t="s">
        <v>4340</v>
      </c>
      <c r="G2330" t="s">
        <v>14</v>
      </c>
      <c r="H2330">
        <v>43</v>
      </c>
      <c r="I2330">
        <v>20.279</v>
      </c>
      <c r="J2330">
        <v>40.372</v>
      </c>
      <c r="K2330">
        <v>20.093</v>
      </c>
      <c r="L2330">
        <v>40</v>
      </c>
      <c r="M2330">
        <v>0</v>
      </c>
      <c r="N2330">
        <v>3</v>
      </c>
      <c r="O2330">
        <v>38.548999999999999</v>
      </c>
      <c r="P2330">
        <v>20.344818050000001</v>
      </c>
      <c r="Q2330">
        <v>10.414999999999999</v>
      </c>
    </row>
    <row r="2331" spans="1:17" x14ac:dyDescent="0.2">
      <c r="A2331" s="30" t="str">
        <f>IF(C2331&amp;G2331&amp;D2331&lt;&gt;'Funnel setup'!$K$3&amp;'Funnel setup'!$K$4&amp;'Funnel setup'!$K$5,".",IF(A2330=".",1,A2330+1))</f>
        <v>.</v>
      </c>
      <c r="B2331" s="431" t="str">
        <f t="shared" si="36"/>
        <v>Hip Replacement PrimaryProviderNUFFIELD HEALTH, HAYWARDS HEATH HOSPITAL (NT218)Oxford Hip Score</v>
      </c>
      <c r="C2331" t="s">
        <v>248</v>
      </c>
      <c r="D2331" t="s">
        <v>1</v>
      </c>
      <c r="E2331" t="s">
        <v>4342</v>
      </c>
      <c r="F2331" t="s">
        <v>4343</v>
      </c>
      <c r="G2331" t="s">
        <v>14</v>
      </c>
      <c r="H2331">
        <v>26</v>
      </c>
      <c r="I2331">
        <v>23.192</v>
      </c>
      <c r="J2331">
        <v>42.115000000000002</v>
      </c>
      <c r="K2331">
        <v>18.922999999999998</v>
      </c>
      <c r="L2331">
        <v>25</v>
      </c>
      <c r="M2331">
        <v>0</v>
      </c>
      <c r="N2331">
        <v>1</v>
      </c>
      <c r="O2331" t="s">
        <v>53</v>
      </c>
      <c r="P2331" t="s">
        <v>53</v>
      </c>
      <c r="Q2331" t="s">
        <v>53</v>
      </c>
    </row>
    <row r="2332" spans="1:17" x14ac:dyDescent="0.2">
      <c r="A2332" s="30" t="str">
        <f>IF(C2332&amp;G2332&amp;D2332&lt;&gt;'Funnel setup'!$K$3&amp;'Funnel setup'!$K$4&amp;'Funnel setup'!$K$5,".",IF(A2331=".",1,A2331+1))</f>
        <v>.</v>
      </c>
      <c r="B2332" s="431" t="str">
        <f t="shared" si="36"/>
        <v>Hip Replacement PrimaryProviderNUFFIELD HEALTH, HEREFORD HOSPITAL (NT219)Oxford Hip Score</v>
      </c>
      <c r="C2332" t="s">
        <v>248</v>
      </c>
      <c r="D2332" t="s">
        <v>1</v>
      </c>
      <c r="E2332" t="s">
        <v>3343</v>
      </c>
      <c r="F2332" t="s">
        <v>3344</v>
      </c>
      <c r="G2332" t="s">
        <v>14</v>
      </c>
      <c r="H2332">
        <v>69</v>
      </c>
      <c r="I2332">
        <v>20.971</v>
      </c>
      <c r="J2332">
        <v>41.246000000000002</v>
      </c>
      <c r="K2332">
        <v>20.274999999999999</v>
      </c>
      <c r="L2332">
        <v>67</v>
      </c>
      <c r="M2332">
        <v>1</v>
      </c>
      <c r="N2332">
        <v>1</v>
      </c>
      <c r="O2332">
        <v>40.176000000000002</v>
      </c>
      <c r="P2332">
        <v>21.971057160000001</v>
      </c>
      <c r="Q2332">
        <v>6.9560000000000004</v>
      </c>
    </row>
    <row r="2333" spans="1:17" x14ac:dyDescent="0.2">
      <c r="A2333" s="30" t="str">
        <f>IF(C2333&amp;G2333&amp;D2333&lt;&gt;'Funnel setup'!$K$3&amp;'Funnel setup'!$K$4&amp;'Funnel setup'!$K$5,".",IF(A2332=".",1,A2332+1))</f>
        <v>.</v>
      </c>
      <c r="B2333" s="431" t="str">
        <f t="shared" si="36"/>
        <v>Hip Replacement PrimaryProviderNUFFIELD HEALTH, IPSWICH HOSPITAL (NT222)Oxford Hip Score</v>
      </c>
      <c r="C2333" t="s">
        <v>248</v>
      </c>
      <c r="D2333" t="s">
        <v>1</v>
      </c>
      <c r="E2333" t="s">
        <v>3385</v>
      </c>
      <c r="F2333" t="s">
        <v>3386</v>
      </c>
      <c r="G2333" t="s">
        <v>14</v>
      </c>
      <c r="H2333">
        <v>136</v>
      </c>
      <c r="I2333">
        <v>16.074000000000002</v>
      </c>
      <c r="J2333">
        <v>41.896999999999998</v>
      </c>
      <c r="K2333">
        <v>25.824000000000002</v>
      </c>
      <c r="L2333">
        <v>135</v>
      </c>
      <c r="M2333">
        <v>0</v>
      </c>
      <c r="N2333">
        <v>1</v>
      </c>
      <c r="O2333">
        <v>41.32</v>
      </c>
      <c r="P2333">
        <v>23.115626450000001</v>
      </c>
      <c r="Q2333">
        <v>6.76</v>
      </c>
    </row>
    <row r="2334" spans="1:17" x14ac:dyDescent="0.2">
      <c r="A2334" s="30" t="str">
        <f>IF(C2334&amp;G2334&amp;D2334&lt;&gt;'Funnel setup'!$K$3&amp;'Funnel setup'!$K$4&amp;'Funnel setup'!$K$5,".",IF(A2333=".",1,A2333+1))</f>
        <v>.</v>
      </c>
      <c r="B2334" s="431" t="str">
        <f t="shared" si="36"/>
        <v>Hip Replacement PrimaryProviderNUFFIELD HEALTH, LEEDS HOSPITAL (NT225)Oxford Hip Score</v>
      </c>
      <c r="C2334" t="s">
        <v>248</v>
      </c>
      <c r="D2334" t="s">
        <v>1</v>
      </c>
      <c r="E2334" t="s">
        <v>3388</v>
      </c>
      <c r="F2334" t="s">
        <v>3389</v>
      </c>
      <c r="G2334" t="s">
        <v>14</v>
      </c>
      <c r="H2334">
        <v>120</v>
      </c>
      <c r="I2334">
        <v>18.975000000000001</v>
      </c>
      <c r="J2334">
        <v>40.042000000000002</v>
      </c>
      <c r="K2334">
        <v>21.067</v>
      </c>
      <c r="L2334">
        <v>118</v>
      </c>
      <c r="M2334">
        <v>1</v>
      </c>
      <c r="N2334">
        <v>1</v>
      </c>
      <c r="O2334">
        <v>39.078000000000003</v>
      </c>
      <c r="P2334">
        <v>20.873911849999999</v>
      </c>
      <c r="Q2334">
        <v>6.9089999999999998</v>
      </c>
    </row>
    <row r="2335" spans="1:17" x14ac:dyDescent="0.2">
      <c r="A2335" s="30" t="str">
        <f>IF(C2335&amp;G2335&amp;D2335&lt;&gt;'Funnel setup'!$K$3&amp;'Funnel setup'!$K$4&amp;'Funnel setup'!$K$5,".",IF(A2334=".",1,A2334+1))</f>
        <v>.</v>
      </c>
      <c r="B2335" s="431" t="str">
        <f t="shared" si="36"/>
        <v>Hip Replacement PrimaryProviderNUFFIELD HEALTH, LEICESTER HOSPITAL (NT226)Oxford Hip Score</v>
      </c>
      <c r="C2335" t="s">
        <v>248</v>
      </c>
      <c r="D2335" t="s">
        <v>1</v>
      </c>
      <c r="E2335" t="s">
        <v>3391</v>
      </c>
      <c r="F2335" t="s">
        <v>3392</v>
      </c>
      <c r="G2335" t="s">
        <v>14</v>
      </c>
      <c r="H2335">
        <v>27</v>
      </c>
      <c r="I2335">
        <v>19.556000000000001</v>
      </c>
      <c r="J2335">
        <v>41.259</v>
      </c>
      <c r="K2335">
        <v>21.704000000000001</v>
      </c>
      <c r="L2335">
        <v>26</v>
      </c>
      <c r="M2335">
        <v>0</v>
      </c>
      <c r="N2335">
        <v>1</v>
      </c>
      <c r="O2335" t="s">
        <v>53</v>
      </c>
      <c r="P2335" t="s">
        <v>53</v>
      </c>
      <c r="Q2335" t="s">
        <v>53</v>
      </c>
    </row>
    <row r="2336" spans="1:17" x14ac:dyDescent="0.2">
      <c r="A2336" s="30" t="str">
        <f>IF(C2336&amp;G2336&amp;D2336&lt;&gt;'Funnel setup'!$K$3&amp;'Funnel setup'!$K$4&amp;'Funnel setup'!$K$5,".",IF(A2335=".",1,A2335+1))</f>
        <v>.</v>
      </c>
      <c r="B2336" s="431" t="str">
        <f t="shared" si="36"/>
        <v>Hip Replacement PrimaryProviderNUFFIELD HEALTH, NEWCASTLE UPON TYNE HOSPITAL (NT229)Oxford Hip Score</v>
      </c>
      <c r="C2336" t="s">
        <v>248</v>
      </c>
      <c r="D2336" t="s">
        <v>1</v>
      </c>
      <c r="E2336" t="s">
        <v>3394</v>
      </c>
      <c r="F2336" t="s">
        <v>3395</v>
      </c>
      <c r="G2336" t="s">
        <v>14</v>
      </c>
      <c r="H2336">
        <v>36</v>
      </c>
      <c r="I2336">
        <v>20.917000000000002</v>
      </c>
      <c r="J2336">
        <v>41.360999999999997</v>
      </c>
      <c r="K2336">
        <v>20.443999999999999</v>
      </c>
      <c r="L2336">
        <v>34</v>
      </c>
      <c r="M2336">
        <v>2</v>
      </c>
      <c r="N2336">
        <v>0</v>
      </c>
      <c r="O2336">
        <v>40.506</v>
      </c>
      <c r="P2336">
        <v>22.301943009999999</v>
      </c>
      <c r="Q2336">
        <v>5.9870000000000001</v>
      </c>
    </row>
    <row r="2337" spans="1:17" x14ac:dyDescent="0.2">
      <c r="A2337" s="30" t="str">
        <f>IF(C2337&amp;G2337&amp;D2337&lt;&gt;'Funnel setup'!$K$3&amp;'Funnel setup'!$K$4&amp;'Funnel setup'!$K$5,".",IF(A2336=".",1,A2336+1))</f>
        <v>.</v>
      </c>
      <c r="B2337" s="431" t="str">
        <f t="shared" si="36"/>
        <v>Hip Replacement PrimaryProviderNUFFIELD HEALTH, NORTH STAFFORDSHIRE HOSPITAL (NT230)Oxford Hip Score</v>
      </c>
      <c r="C2337" t="s">
        <v>248</v>
      </c>
      <c r="D2337" t="s">
        <v>1</v>
      </c>
      <c r="E2337" t="s">
        <v>3397</v>
      </c>
      <c r="F2337" t="s">
        <v>3398</v>
      </c>
      <c r="G2337" t="s">
        <v>14</v>
      </c>
      <c r="H2337">
        <v>132</v>
      </c>
      <c r="I2337">
        <v>17.038</v>
      </c>
      <c r="J2337">
        <v>41.537999999999997</v>
      </c>
      <c r="K2337">
        <v>24.5</v>
      </c>
      <c r="L2337">
        <v>129</v>
      </c>
      <c r="M2337">
        <v>0</v>
      </c>
      <c r="N2337">
        <v>3</v>
      </c>
      <c r="O2337">
        <v>41.850999999999999</v>
      </c>
      <c r="P2337">
        <v>23.64657768</v>
      </c>
      <c r="Q2337">
        <v>6.5670000000000002</v>
      </c>
    </row>
    <row r="2338" spans="1:17" x14ac:dyDescent="0.2">
      <c r="A2338" s="30" t="str">
        <f>IF(C2338&amp;G2338&amp;D2338&lt;&gt;'Funnel setup'!$K$3&amp;'Funnel setup'!$K$4&amp;'Funnel setup'!$K$5,".",IF(A2337=".",1,A2337+1))</f>
        <v>.</v>
      </c>
      <c r="B2338" s="431" t="str">
        <f t="shared" si="36"/>
        <v>Hip Replacement PrimaryProviderNUFFIELD HEALTH, PLYMOUTH HOSPITAL (NT233)Oxford Hip Score</v>
      </c>
      <c r="C2338" t="s">
        <v>248</v>
      </c>
      <c r="D2338" t="s">
        <v>1</v>
      </c>
      <c r="E2338" t="s">
        <v>3400</v>
      </c>
      <c r="F2338" t="s">
        <v>3401</v>
      </c>
      <c r="G2338" t="s">
        <v>14</v>
      </c>
      <c r="H2338">
        <v>86</v>
      </c>
      <c r="I2338">
        <v>19.942</v>
      </c>
      <c r="J2338">
        <v>41.558</v>
      </c>
      <c r="K2338">
        <v>21.616</v>
      </c>
      <c r="L2338">
        <v>83</v>
      </c>
      <c r="M2338">
        <v>0</v>
      </c>
      <c r="N2338">
        <v>3</v>
      </c>
      <c r="O2338">
        <v>40.463000000000001</v>
      </c>
      <c r="P2338">
        <v>22.258729550000002</v>
      </c>
      <c r="Q2338">
        <v>7.718</v>
      </c>
    </row>
    <row r="2339" spans="1:17" x14ac:dyDescent="0.2">
      <c r="A2339" s="30" t="str">
        <f>IF(C2339&amp;G2339&amp;D2339&lt;&gt;'Funnel setup'!$K$3&amp;'Funnel setup'!$K$4&amp;'Funnel setup'!$K$5,".",IF(A2338=".",1,A2338+1))</f>
        <v>.</v>
      </c>
      <c r="B2339" s="431" t="str">
        <f t="shared" si="36"/>
        <v>Hip Replacement PrimaryProviderNUFFIELD HEALTH, SHREWSBURY HOSPITAL (NT235)Oxford Hip Score</v>
      </c>
      <c r="C2339" t="s">
        <v>248</v>
      </c>
      <c r="D2339" t="s">
        <v>1</v>
      </c>
      <c r="E2339" t="s">
        <v>3240</v>
      </c>
      <c r="F2339" t="s">
        <v>3241</v>
      </c>
      <c r="G2339" t="s">
        <v>14</v>
      </c>
      <c r="H2339" t="s">
        <v>53</v>
      </c>
      <c r="I2339" t="s">
        <v>53</v>
      </c>
      <c r="J2339" t="s">
        <v>53</v>
      </c>
      <c r="K2339" t="s">
        <v>53</v>
      </c>
      <c r="L2339" t="s">
        <v>53</v>
      </c>
      <c r="M2339" t="s">
        <v>53</v>
      </c>
      <c r="N2339" t="s">
        <v>53</v>
      </c>
      <c r="O2339" t="s">
        <v>53</v>
      </c>
      <c r="P2339" t="s">
        <v>53</v>
      </c>
      <c r="Q2339" t="s">
        <v>53</v>
      </c>
    </row>
    <row r="2340" spans="1:17" x14ac:dyDescent="0.2">
      <c r="A2340" s="30" t="str">
        <f>IF(C2340&amp;G2340&amp;D2340&lt;&gt;'Funnel setup'!$K$3&amp;'Funnel setup'!$K$4&amp;'Funnel setup'!$K$5,".",IF(A2339=".",1,A2339+1))</f>
        <v>.</v>
      </c>
      <c r="B2340" s="431" t="str">
        <f t="shared" si="36"/>
        <v>Hip Replacement PrimaryProviderNUFFIELD HEALTH, TAUNTON HOSPITAL (NT238)Oxford Hip Score</v>
      </c>
      <c r="C2340" t="s">
        <v>248</v>
      </c>
      <c r="D2340" t="s">
        <v>1</v>
      </c>
      <c r="E2340" t="s">
        <v>3243</v>
      </c>
      <c r="F2340" t="s">
        <v>3244</v>
      </c>
      <c r="G2340" t="s">
        <v>14</v>
      </c>
      <c r="H2340">
        <v>81</v>
      </c>
      <c r="I2340">
        <v>19.556000000000001</v>
      </c>
      <c r="J2340">
        <v>42.357999999999997</v>
      </c>
      <c r="K2340">
        <v>22.802</v>
      </c>
      <c r="L2340">
        <v>80</v>
      </c>
      <c r="M2340">
        <v>0</v>
      </c>
      <c r="N2340">
        <v>1</v>
      </c>
      <c r="O2340">
        <v>40.835000000000001</v>
      </c>
      <c r="P2340">
        <v>22.630638059999999</v>
      </c>
      <c r="Q2340">
        <v>6.8280000000000003</v>
      </c>
    </row>
    <row r="2341" spans="1:17" x14ac:dyDescent="0.2">
      <c r="A2341" s="30" t="str">
        <f>IF(C2341&amp;G2341&amp;D2341&lt;&gt;'Funnel setup'!$K$3&amp;'Funnel setup'!$K$4&amp;'Funnel setup'!$K$5,".",IF(A2340=".",1,A2340+1))</f>
        <v>.</v>
      </c>
      <c r="B2341" s="431" t="str">
        <f t="shared" si="36"/>
        <v>Hip Replacement PrimaryProviderNUFFIELD HEALTH, TEES HOSPITAL (NT237)Oxford Hip Score</v>
      </c>
      <c r="C2341" t="s">
        <v>248</v>
      </c>
      <c r="D2341" t="s">
        <v>1</v>
      </c>
      <c r="E2341" t="s">
        <v>3246</v>
      </c>
      <c r="F2341" t="s">
        <v>3247</v>
      </c>
      <c r="G2341" t="s">
        <v>14</v>
      </c>
      <c r="H2341">
        <v>114</v>
      </c>
      <c r="I2341">
        <v>20.245999999999999</v>
      </c>
      <c r="J2341">
        <v>39.14</v>
      </c>
      <c r="K2341">
        <v>18.895</v>
      </c>
      <c r="L2341">
        <v>110</v>
      </c>
      <c r="M2341">
        <v>0</v>
      </c>
      <c r="N2341">
        <v>4</v>
      </c>
      <c r="O2341">
        <v>37.877000000000002</v>
      </c>
      <c r="P2341">
        <v>19.672618799999999</v>
      </c>
      <c r="Q2341">
        <v>7.8650000000000002</v>
      </c>
    </row>
    <row r="2342" spans="1:17" x14ac:dyDescent="0.2">
      <c r="A2342" s="30" t="str">
        <f>IF(C2342&amp;G2342&amp;D2342&lt;&gt;'Funnel setup'!$K$3&amp;'Funnel setup'!$K$4&amp;'Funnel setup'!$K$5,".",IF(A2341=".",1,A2341+1))</f>
        <v>.</v>
      </c>
      <c r="B2342" s="431" t="str">
        <f t="shared" si="36"/>
        <v>Hip Replacement PrimaryProviderNUFFIELD HEALTH, THE GROSVENOR HOSPITAL, CHESTER (NT210)Oxford Hip Score</v>
      </c>
      <c r="C2342" t="s">
        <v>248</v>
      </c>
      <c r="D2342" t="s">
        <v>1</v>
      </c>
      <c r="E2342" t="s">
        <v>3249</v>
      </c>
      <c r="F2342" t="s">
        <v>3250</v>
      </c>
      <c r="G2342" t="s">
        <v>14</v>
      </c>
      <c r="H2342">
        <v>61</v>
      </c>
      <c r="I2342">
        <v>17.803000000000001</v>
      </c>
      <c r="J2342">
        <v>39.770000000000003</v>
      </c>
      <c r="K2342">
        <v>21.966999999999999</v>
      </c>
      <c r="L2342">
        <v>61</v>
      </c>
      <c r="M2342">
        <v>0</v>
      </c>
      <c r="N2342">
        <v>0</v>
      </c>
      <c r="O2342">
        <v>38.502000000000002</v>
      </c>
      <c r="P2342">
        <v>20.297471059999999</v>
      </c>
      <c r="Q2342">
        <v>8.3260000000000005</v>
      </c>
    </row>
    <row r="2343" spans="1:17" x14ac:dyDescent="0.2">
      <c r="A2343" s="30" t="str">
        <f>IF(C2343&amp;G2343&amp;D2343&lt;&gt;'Funnel setup'!$K$3&amp;'Funnel setup'!$K$4&amp;'Funnel setup'!$K$5,".",IF(A2342=".",1,A2342+1))</f>
        <v>.</v>
      </c>
      <c r="B2343" s="431" t="str">
        <f t="shared" si="36"/>
        <v>Hip Replacement PrimaryProviderNUFFIELD HEALTH, TUNBRIDGE WELLS HOSPITAL (NT239)Oxford Hip Score</v>
      </c>
      <c r="C2343" t="s">
        <v>248</v>
      </c>
      <c r="D2343" t="s">
        <v>1</v>
      </c>
      <c r="E2343" t="s">
        <v>3252</v>
      </c>
      <c r="F2343" t="s">
        <v>3253</v>
      </c>
      <c r="G2343" t="s">
        <v>14</v>
      </c>
      <c r="H2343" t="s">
        <v>53</v>
      </c>
      <c r="I2343" t="s">
        <v>53</v>
      </c>
      <c r="J2343" t="s">
        <v>53</v>
      </c>
      <c r="K2343" t="s">
        <v>53</v>
      </c>
      <c r="L2343" t="s">
        <v>53</v>
      </c>
      <c r="M2343" t="s">
        <v>53</v>
      </c>
      <c r="N2343" t="s">
        <v>53</v>
      </c>
      <c r="O2343" t="s">
        <v>53</v>
      </c>
      <c r="P2343" t="s">
        <v>53</v>
      </c>
      <c r="Q2343" t="s">
        <v>53</v>
      </c>
    </row>
    <row r="2344" spans="1:17" x14ac:dyDescent="0.2">
      <c r="A2344" s="30" t="str">
        <f>IF(C2344&amp;G2344&amp;D2344&lt;&gt;'Funnel setup'!$K$3&amp;'Funnel setup'!$K$4&amp;'Funnel setup'!$K$5,".",IF(A2343=".",1,A2343+1))</f>
        <v>.</v>
      </c>
      <c r="B2344" s="431" t="str">
        <f t="shared" si="36"/>
        <v>Hip Replacement PrimaryProviderNUFFIELD HEALTH, WARWICKSHIRE HOSPITAL (NT224)Oxford Hip Score</v>
      </c>
      <c r="C2344" t="s">
        <v>248</v>
      </c>
      <c r="D2344" t="s">
        <v>1</v>
      </c>
      <c r="E2344" t="s">
        <v>3255</v>
      </c>
      <c r="F2344" t="s">
        <v>3256</v>
      </c>
      <c r="G2344" t="s">
        <v>14</v>
      </c>
      <c r="H2344">
        <v>10</v>
      </c>
      <c r="I2344">
        <v>24.5</v>
      </c>
      <c r="J2344">
        <v>43.6</v>
      </c>
      <c r="K2344">
        <v>19.100000000000001</v>
      </c>
      <c r="L2344">
        <v>10</v>
      </c>
      <c r="M2344">
        <v>0</v>
      </c>
      <c r="N2344">
        <v>0</v>
      </c>
      <c r="O2344" t="s">
        <v>53</v>
      </c>
      <c r="P2344" t="s">
        <v>53</v>
      </c>
      <c r="Q2344" t="s">
        <v>53</v>
      </c>
    </row>
    <row r="2345" spans="1:17" x14ac:dyDescent="0.2">
      <c r="A2345" s="30" t="str">
        <f>IF(C2345&amp;G2345&amp;D2345&lt;&gt;'Funnel setup'!$K$3&amp;'Funnel setup'!$K$4&amp;'Funnel setup'!$K$5,".",IF(A2344=".",1,A2344+1))</f>
        <v>.</v>
      </c>
      <c r="B2345" s="431" t="str">
        <f t="shared" si="36"/>
        <v>Hip Replacement PrimaryProviderNUFFIELD HEALTH, WESSEX HOSPITAL (NT214)Oxford Hip Score</v>
      </c>
      <c r="C2345" t="s">
        <v>248</v>
      </c>
      <c r="D2345" t="s">
        <v>1</v>
      </c>
      <c r="E2345" t="s">
        <v>3258</v>
      </c>
      <c r="F2345" t="s">
        <v>3259</v>
      </c>
      <c r="G2345" t="s">
        <v>14</v>
      </c>
      <c r="H2345">
        <v>39</v>
      </c>
      <c r="I2345">
        <v>17.436</v>
      </c>
      <c r="J2345">
        <v>41.436</v>
      </c>
      <c r="K2345">
        <v>24</v>
      </c>
      <c r="L2345">
        <v>39</v>
      </c>
      <c r="M2345">
        <v>0</v>
      </c>
      <c r="N2345">
        <v>0</v>
      </c>
      <c r="O2345">
        <v>40.213000000000001</v>
      </c>
      <c r="P2345">
        <v>22.008767590000001</v>
      </c>
      <c r="Q2345">
        <v>5.6849999999999996</v>
      </c>
    </row>
    <row r="2346" spans="1:17" x14ac:dyDescent="0.2">
      <c r="A2346" s="30" t="str">
        <f>IF(C2346&amp;G2346&amp;D2346&lt;&gt;'Funnel setup'!$K$3&amp;'Funnel setup'!$K$4&amp;'Funnel setup'!$K$5,".",IF(A2345=".",1,A2345+1))</f>
        <v>.</v>
      </c>
      <c r="B2346" s="431" t="str">
        <f t="shared" si="36"/>
        <v>Hip Replacement PrimaryProviderNUFFIELD HEALTH, WOKING HOSPITAL (NT241)Oxford Hip Score</v>
      </c>
      <c r="C2346" t="s">
        <v>248</v>
      </c>
      <c r="D2346" t="s">
        <v>1</v>
      </c>
      <c r="E2346" t="s">
        <v>3261</v>
      </c>
      <c r="F2346" t="s">
        <v>3262</v>
      </c>
      <c r="G2346" t="s">
        <v>14</v>
      </c>
      <c r="H2346">
        <v>8</v>
      </c>
      <c r="I2346">
        <v>22.625</v>
      </c>
      <c r="J2346">
        <v>41</v>
      </c>
      <c r="K2346">
        <v>18.375</v>
      </c>
      <c r="L2346">
        <v>8</v>
      </c>
      <c r="M2346">
        <v>0</v>
      </c>
      <c r="N2346">
        <v>0</v>
      </c>
      <c r="O2346" t="s">
        <v>53</v>
      </c>
      <c r="P2346" t="s">
        <v>53</v>
      </c>
      <c r="Q2346" t="s">
        <v>53</v>
      </c>
    </row>
    <row r="2347" spans="1:17" x14ac:dyDescent="0.2">
      <c r="A2347" s="30" t="str">
        <f>IF(C2347&amp;G2347&amp;D2347&lt;&gt;'Funnel setup'!$K$3&amp;'Funnel setup'!$K$4&amp;'Funnel setup'!$K$5,".",IF(A2346=".",1,A2346+1))</f>
        <v>.</v>
      </c>
      <c r="B2347" s="431" t="str">
        <f t="shared" si="36"/>
        <v>Hip Replacement PrimaryProviderNUFFIELD HEALTH, WOLVERHAMPTON HOSPITAL (NT242)Oxford Hip Score</v>
      </c>
      <c r="C2347" t="s">
        <v>248</v>
      </c>
      <c r="D2347" t="s">
        <v>1</v>
      </c>
      <c r="E2347" t="s">
        <v>3264</v>
      </c>
      <c r="F2347" t="s">
        <v>3265</v>
      </c>
      <c r="G2347" t="s">
        <v>14</v>
      </c>
      <c r="H2347">
        <v>86</v>
      </c>
      <c r="I2347">
        <v>19.058</v>
      </c>
      <c r="J2347">
        <v>41.790999999999997</v>
      </c>
      <c r="K2347">
        <v>22.733000000000001</v>
      </c>
      <c r="L2347">
        <v>84</v>
      </c>
      <c r="M2347">
        <v>0</v>
      </c>
      <c r="N2347">
        <v>2</v>
      </c>
      <c r="O2347">
        <v>41.417999999999999</v>
      </c>
      <c r="P2347">
        <v>23.213087219999998</v>
      </c>
      <c r="Q2347">
        <v>6.39</v>
      </c>
    </row>
    <row r="2348" spans="1:17" x14ac:dyDescent="0.2">
      <c r="A2348" s="30" t="str">
        <f>IF(C2348&amp;G2348&amp;D2348&lt;&gt;'Funnel setup'!$K$3&amp;'Funnel setup'!$K$4&amp;'Funnel setup'!$K$5,".",IF(A2347=".",1,A2347+1))</f>
        <v>.</v>
      </c>
      <c r="B2348" s="431" t="str">
        <f t="shared" si="36"/>
        <v>Hip Replacement PrimaryProviderNUFFIELD HEALTH, YORK HOSPITAL (NT245)Oxford Hip Score</v>
      </c>
      <c r="C2348" t="s">
        <v>248</v>
      </c>
      <c r="D2348" t="s">
        <v>1</v>
      </c>
      <c r="E2348" t="s">
        <v>4299</v>
      </c>
      <c r="F2348" t="s">
        <v>4300</v>
      </c>
      <c r="G2348" t="s">
        <v>14</v>
      </c>
      <c r="H2348">
        <v>108</v>
      </c>
      <c r="I2348">
        <v>18.898</v>
      </c>
      <c r="J2348">
        <v>41.676000000000002</v>
      </c>
      <c r="K2348">
        <v>22.777999999999999</v>
      </c>
      <c r="L2348">
        <v>107</v>
      </c>
      <c r="M2348">
        <v>0</v>
      </c>
      <c r="N2348">
        <v>1</v>
      </c>
      <c r="O2348">
        <v>39.942999999999998</v>
      </c>
      <c r="P2348">
        <v>21.738995379999999</v>
      </c>
      <c r="Q2348">
        <v>6.05</v>
      </c>
    </row>
    <row r="2349" spans="1:17" x14ac:dyDescent="0.2">
      <c r="A2349" s="30" t="str">
        <f>IF(C2349&amp;G2349&amp;D2349&lt;&gt;'Funnel setup'!$K$3&amp;'Funnel setup'!$K$4&amp;'Funnel setup'!$K$5,".",IF(A2348=".",1,A2348+1))</f>
        <v>.</v>
      </c>
      <c r="B2349" s="431" t="str">
        <f t="shared" si="36"/>
        <v>Hip Replacement PrimaryProviderNUFFIELD HOSPITAL OXFORD (THE MANOR) (NT244)Oxford Hip Score</v>
      </c>
      <c r="C2349" t="s">
        <v>248</v>
      </c>
      <c r="D2349" t="s">
        <v>1</v>
      </c>
      <c r="E2349" t="s">
        <v>4302</v>
      </c>
      <c r="F2349" t="s">
        <v>4303</v>
      </c>
      <c r="G2349" t="s">
        <v>14</v>
      </c>
      <c r="H2349">
        <v>30</v>
      </c>
      <c r="I2349">
        <v>21.533000000000001</v>
      </c>
      <c r="J2349">
        <v>43.232999999999997</v>
      </c>
      <c r="K2349">
        <v>21.7</v>
      </c>
      <c r="L2349">
        <v>30</v>
      </c>
      <c r="M2349">
        <v>0</v>
      </c>
      <c r="N2349">
        <v>0</v>
      </c>
      <c r="O2349">
        <v>40.838000000000001</v>
      </c>
      <c r="P2349">
        <v>22.633647880000002</v>
      </c>
      <c r="Q2349">
        <v>5.16</v>
      </c>
    </row>
    <row r="2350" spans="1:17" x14ac:dyDescent="0.2">
      <c r="A2350" s="30" t="str">
        <f>IF(C2350&amp;G2350&amp;D2350&lt;&gt;'Funnel setup'!$K$3&amp;'Funnel setup'!$K$4&amp;'Funnel setup'!$K$5,".",IF(A2349=".",1,A2349+1))</f>
        <v>.</v>
      </c>
      <c r="B2350" s="431" t="str">
        <f t="shared" si="36"/>
        <v>Hip Replacement PrimaryProviderOAKLANDS HOSPITAL (NVC12)Oxford Hip Score</v>
      </c>
      <c r="C2350" t="s">
        <v>248</v>
      </c>
      <c r="D2350" t="s">
        <v>1</v>
      </c>
      <c r="E2350" t="s">
        <v>3267</v>
      </c>
      <c r="F2350" t="s">
        <v>3268</v>
      </c>
      <c r="G2350" t="s">
        <v>14</v>
      </c>
      <c r="H2350">
        <v>46</v>
      </c>
      <c r="I2350">
        <v>18.413</v>
      </c>
      <c r="J2350">
        <v>38.957000000000001</v>
      </c>
      <c r="K2350">
        <v>20.542999999999999</v>
      </c>
      <c r="L2350">
        <v>44</v>
      </c>
      <c r="M2350">
        <v>1</v>
      </c>
      <c r="N2350">
        <v>1</v>
      </c>
      <c r="O2350">
        <v>38.823999999999998</v>
      </c>
      <c r="P2350">
        <v>20.619526839999999</v>
      </c>
      <c r="Q2350">
        <v>9.125</v>
      </c>
    </row>
    <row r="2351" spans="1:17" x14ac:dyDescent="0.2">
      <c r="A2351" s="30" t="str">
        <f>IF(C2351&amp;G2351&amp;D2351&lt;&gt;'Funnel setup'!$K$3&amp;'Funnel setup'!$K$4&amp;'Funnel setup'!$K$5,".",IF(A2350=".",1,A2350+1))</f>
        <v>.</v>
      </c>
      <c r="B2351" s="431" t="str">
        <f t="shared" si="36"/>
        <v>Hip Replacement PrimaryProviderOAKS HOSPITAL (NVC13)Oxford Hip Score</v>
      </c>
      <c r="C2351" t="s">
        <v>248</v>
      </c>
      <c r="D2351" t="s">
        <v>1</v>
      </c>
      <c r="E2351" t="s">
        <v>3270</v>
      </c>
      <c r="F2351" t="s">
        <v>3271</v>
      </c>
      <c r="G2351" t="s">
        <v>14</v>
      </c>
      <c r="H2351">
        <v>126</v>
      </c>
      <c r="I2351">
        <v>19.896999999999998</v>
      </c>
      <c r="J2351">
        <v>41.348999999999997</v>
      </c>
      <c r="K2351">
        <v>21.452000000000002</v>
      </c>
      <c r="L2351">
        <v>124</v>
      </c>
      <c r="M2351">
        <v>1</v>
      </c>
      <c r="N2351">
        <v>1</v>
      </c>
      <c r="O2351">
        <v>40.192</v>
      </c>
      <c r="P2351">
        <v>21.98731433</v>
      </c>
      <c r="Q2351">
        <v>6.6849999999999996</v>
      </c>
    </row>
    <row r="2352" spans="1:17" x14ac:dyDescent="0.2">
      <c r="A2352" s="30" t="str">
        <f>IF(C2352&amp;G2352&amp;D2352&lt;&gt;'Funnel setup'!$K$3&amp;'Funnel setup'!$K$4&amp;'Funnel setup'!$K$5,".",IF(A2351=".",1,A2351+1))</f>
        <v>.</v>
      </c>
      <c r="B2352" s="431" t="str">
        <f t="shared" si="36"/>
        <v>Hip Replacement PrimaryProviderONE HEALTH GROUP LTD (NTX01)Oxford Hip Score</v>
      </c>
      <c r="C2352" t="s">
        <v>248</v>
      </c>
      <c r="D2352" t="s">
        <v>1</v>
      </c>
      <c r="E2352" t="s">
        <v>6507</v>
      </c>
      <c r="F2352" t="s">
        <v>6508</v>
      </c>
      <c r="G2352" t="s">
        <v>14</v>
      </c>
      <c r="H2352">
        <v>36</v>
      </c>
      <c r="I2352">
        <v>16.582999999999998</v>
      </c>
      <c r="J2352">
        <v>39.027999999999999</v>
      </c>
      <c r="K2352">
        <v>22.443999999999999</v>
      </c>
      <c r="L2352">
        <v>36</v>
      </c>
      <c r="M2352">
        <v>0</v>
      </c>
      <c r="N2352">
        <v>0</v>
      </c>
      <c r="O2352">
        <v>39.152999999999999</v>
      </c>
      <c r="P2352">
        <v>20.948666580000001</v>
      </c>
      <c r="Q2352">
        <v>7.8029999999999999</v>
      </c>
    </row>
    <row r="2353" spans="1:17" x14ac:dyDescent="0.2">
      <c r="A2353" s="30" t="str">
        <f>IF(C2353&amp;G2353&amp;D2353&lt;&gt;'Funnel setup'!$K$3&amp;'Funnel setup'!$K$4&amp;'Funnel setup'!$K$5,".",IF(A2352=".",1,A2352+1))</f>
        <v>.</v>
      </c>
      <c r="B2353" s="431" t="str">
        <f t="shared" si="36"/>
        <v>Hip Replacement PrimaryProviderOXFORD UNIVERSITY HOSPITALS NHS FOUNDATION TRUST (RTH)Oxford Hip Score</v>
      </c>
      <c r="C2353" t="s">
        <v>248</v>
      </c>
      <c r="D2353" t="s">
        <v>1</v>
      </c>
      <c r="E2353" t="s">
        <v>3278</v>
      </c>
      <c r="F2353" t="s">
        <v>6578</v>
      </c>
      <c r="G2353" t="s">
        <v>14</v>
      </c>
      <c r="H2353">
        <v>537</v>
      </c>
      <c r="I2353">
        <v>18.866</v>
      </c>
      <c r="J2353">
        <v>40.021999999999998</v>
      </c>
      <c r="K2353">
        <v>21.155999999999999</v>
      </c>
      <c r="L2353">
        <v>524</v>
      </c>
      <c r="M2353">
        <v>4</v>
      </c>
      <c r="N2353">
        <v>9</v>
      </c>
      <c r="O2353">
        <v>39.6</v>
      </c>
      <c r="P2353">
        <v>21.395447149999999</v>
      </c>
      <c r="Q2353">
        <v>7.649</v>
      </c>
    </row>
    <row r="2354" spans="1:17" x14ac:dyDescent="0.2">
      <c r="A2354" s="30" t="str">
        <f>IF(C2354&amp;G2354&amp;D2354&lt;&gt;'Funnel setup'!$K$3&amp;'Funnel setup'!$K$4&amp;'Funnel setup'!$K$5,".",IF(A2353=".",1,A2353+1))</f>
        <v>.</v>
      </c>
      <c r="B2354" s="431" t="str">
        <f t="shared" si="36"/>
        <v>Hip Replacement PrimaryProviderPARK HILL HOSPITAL (NVC14)Oxford Hip Score</v>
      </c>
      <c r="C2354" t="s">
        <v>248</v>
      </c>
      <c r="D2354" t="s">
        <v>1</v>
      </c>
      <c r="E2354" t="s">
        <v>3280</v>
      </c>
      <c r="F2354" t="s">
        <v>3281</v>
      </c>
      <c r="G2354" t="s">
        <v>14</v>
      </c>
      <c r="H2354">
        <v>26</v>
      </c>
      <c r="I2354">
        <v>16.231000000000002</v>
      </c>
      <c r="J2354">
        <v>38.308</v>
      </c>
      <c r="K2354">
        <v>22.077000000000002</v>
      </c>
      <c r="L2354">
        <v>25</v>
      </c>
      <c r="M2354">
        <v>0</v>
      </c>
      <c r="N2354">
        <v>1</v>
      </c>
      <c r="O2354" t="s">
        <v>53</v>
      </c>
      <c r="P2354" t="s">
        <v>53</v>
      </c>
      <c r="Q2354" t="s">
        <v>53</v>
      </c>
    </row>
    <row r="2355" spans="1:17" x14ac:dyDescent="0.2">
      <c r="A2355" s="30" t="str">
        <f>IF(C2355&amp;G2355&amp;D2355&lt;&gt;'Funnel setup'!$K$3&amp;'Funnel setup'!$K$4&amp;'Funnel setup'!$K$5,".",IF(A2354=".",1,A2354+1))</f>
        <v>.</v>
      </c>
      <c r="B2355" s="431" t="str">
        <f t="shared" si="36"/>
        <v>Hip Replacement PrimaryProviderPENINSULA NHS TREATMENT CENTRE (NTPH5)Oxford Hip Score</v>
      </c>
      <c r="C2355" t="s">
        <v>248</v>
      </c>
      <c r="D2355" t="s">
        <v>1</v>
      </c>
      <c r="E2355" t="s">
        <v>4285</v>
      </c>
      <c r="F2355" t="s">
        <v>4286</v>
      </c>
      <c r="G2355" t="s">
        <v>14</v>
      </c>
      <c r="H2355">
        <v>209</v>
      </c>
      <c r="I2355">
        <v>21.812999999999999</v>
      </c>
      <c r="J2355">
        <v>42.301000000000002</v>
      </c>
      <c r="K2355">
        <v>20.488</v>
      </c>
      <c r="L2355">
        <v>204</v>
      </c>
      <c r="M2355">
        <v>2</v>
      </c>
      <c r="N2355">
        <v>3</v>
      </c>
      <c r="O2355">
        <v>40.728000000000002</v>
      </c>
      <c r="P2355">
        <v>22.52371587</v>
      </c>
      <c r="Q2355">
        <v>6.2640000000000002</v>
      </c>
    </row>
    <row r="2356" spans="1:17" x14ac:dyDescent="0.2">
      <c r="A2356" s="30" t="str">
        <f>IF(C2356&amp;G2356&amp;D2356&lt;&gt;'Funnel setup'!$K$3&amp;'Funnel setup'!$K$4&amp;'Funnel setup'!$K$5,".",IF(A2355=".",1,A2355+1))</f>
        <v>.</v>
      </c>
      <c r="B2356" s="431" t="str">
        <f t="shared" si="36"/>
        <v>Hip Replacement PrimaryProviderPENNINE ACUTE HOSPITALS NHS TRUST (RW6)Oxford Hip Score</v>
      </c>
      <c r="C2356" t="s">
        <v>248</v>
      </c>
      <c r="D2356" t="s">
        <v>1</v>
      </c>
      <c r="E2356" t="s">
        <v>3216</v>
      </c>
      <c r="F2356" t="s">
        <v>3217</v>
      </c>
      <c r="G2356" t="s">
        <v>14</v>
      </c>
      <c r="H2356">
        <v>137</v>
      </c>
      <c r="I2356">
        <v>13.933999999999999</v>
      </c>
      <c r="J2356">
        <v>35.933999999999997</v>
      </c>
      <c r="K2356">
        <v>22</v>
      </c>
      <c r="L2356">
        <v>134</v>
      </c>
      <c r="M2356">
        <v>0</v>
      </c>
      <c r="N2356">
        <v>3</v>
      </c>
      <c r="O2356">
        <v>39.052</v>
      </c>
      <c r="P2356">
        <v>20.84722842</v>
      </c>
      <c r="Q2356">
        <v>10.128</v>
      </c>
    </row>
    <row r="2357" spans="1:17" x14ac:dyDescent="0.2">
      <c r="A2357" s="30" t="str">
        <f>IF(C2357&amp;G2357&amp;D2357&lt;&gt;'Funnel setup'!$K$3&amp;'Funnel setup'!$K$4&amp;'Funnel setup'!$K$5,".",IF(A2356=".",1,A2356+1))</f>
        <v>.</v>
      </c>
      <c r="B2357" s="431" t="str">
        <f t="shared" si="36"/>
        <v>Hip Replacement PrimaryProviderPETERBOROUGH AND STAMFORD HOSPITALS NHS FOUNDATION TRUST (RGN)Oxford Hip Score</v>
      </c>
      <c r="C2357" t="s">
        <v>248</v>
      </c>
      <c r="D2357" t="s">
        <v>1</v>
      </c>
      <c r="E2357" t="s">
        <v>3219</v>
      </c>
      <c r="F2357" t="s">
        <v>3220</v>
      </c>
      <c r="G2357" t="s">
        <v>14</v>
      </c>
      <c r="H2357">
        <v>189</v>
      </c>
      <c r="I2357">
        <v>16.55</v>
      </c>
      <c r="J2357">
        <v>38.433999999999997</v>
      </c>
      <c r="K2357">
        <v>21.884</v>
      </c>
      <c r="L2357">
        <v>186</v>
      </c>
      <c r="M2357">
        <v>2</v>
      </c>
      <c r="N2357">
        <v>1</v>
      </c>
      <c r="O2357">
        <v>38.820999999999998</v>
      </c>
      <c r="P2357">
        <v>20.616304499999998</v>
      </c>
      <c r="Q2357">
        <v>7.6859999999999999</v>
      </c>
    </row>
    <row r="2358" spans="1:17" x14ac:dyDescent="0.2">
      <c r="A2358" s="30" t="str">
        <f>IF(C2358&amp;G2358&amp;D2358&lt;&gt;'Funnel setup'!$K$3&amp;'Funnel setup'!$K$4&amp;'Funnel setup'!$K$5,".",IF(A2357=".",1,A2357+1))</f>
        <v>.</v>
      </c>
      <c r="B2358" s="431" t="str">
        <f t="shared" si="36"/>
        <v>Hip Replacement PrimaryProviderPINEHILL HOSPITAL (NVC15)Oxford Hip Score</v>
      </c>
      <c r="C2358" t="s">
        <v>248</v>
      </c>
      <c r="D2358" t="s">
        <v>1</v>
      </c>
      <c r="E2358" t="s">
        <v>3222</v>
      </c>
      <c r="F2358" t="s">
        <v>3223</v>
      </c>
      <c r="G2358" t="s">
        <v>14</v>
      </c>
      <c r="H2358">
        <v>80</v>
      </c>
      <c r="I2358">
        <v>19.074999999999999</v>
      </c>
      <c r="J2358">
        <v>41.262999999999998</v>
      </c>
      <c r="K2358">
        <v>22.187999999999999</v>
      </c>
      <c r="L2358">
        <v>80</v>
      </c>
      <c r="M2358">
        <v>0</v>
      </c>
      <c r="N2358">
        <v>0</v>
      </c>
      <c r="O2358">
        <v>40.237000000000002</v>
      </c>
      <c r="P2358">
        <v>22.032930650000001</v>
      </c>
      <c r="Q2358">
        <v>6.8659999999999997</v>
      </c>
    </row>
    <row r="2359" spans="1:17" x14ac:dyDescent="0.2">
      <c r="A2359" s="30" t="str">
        <f>IF(C2359&amp;G2359&amp;D2359&lt;&gt;'Funnel setup'!$K$3&amp;'Funnel setup'!$K$4&amp;'Funnel setup'!$K$5,".",IF(A2358=".",1,A2358+1))</f>
        <v>.</v>
      </c>
      <c r="B2359" s="431" t="str">
        <f t="shared" si="36"/>
        <v>Hip Replacement PrimaryProviderPLYMOUTH HOSPITALS NHS TRUST (RK9)Oxford Hip Score</v>
      </c>
      <c r="C2359" t="s">
        <v>248</v>
      </c>
      <c r="D2359" t="s">
        <v>1</v>
      </c>
      <c r="E2359" t="s">
        <v>3225</v>
      </c>
      <c r="F2359" t="s">
        <v>3226</v>
      </c>
      <c r="G2359" t="s">
        <v>14</v>
      </c>
      <c r="H2359">
        <v>212</v>
      </c>
      <c r="I2359">
        <v>16.315999999999999</v>
      </c>
      <c r="J2359">
        <v>38.027999999999999</v>
      </c>
      <c r="K2359">
        <v>21.712</v>
      </c>
      <c r="L2359">
        <v>207</v>
      </c>
      <c r="M2359">
        <v>0</v>
      </c>
      <c r="N2359">
        <v>5</v>
      </c>
      <c r="O2359">
        <v>39.409999999999997</v>
      </c>
      <c r="P2359">
        <v>21.205948549999999</v>
      </c>
      <c r="Q2359">
        <v>8.1750000000000007</v>
      </c>
    </row>
    <row r="2360" spans="1:17" x14ac:dyDescent="0.2">
      <c r="A2360" s="30" t="str">
        <f>IF(C2360&amp;G2360&amp;D2360&lt;&gt;'Funnel setup'!$K$3&amp;'Funnel setup'!$K$4&amp;'Funnel setup'!$K$5,".",IF(A2359=".",1,A2359+1))</f>
        <v>.</v>
      </c>
      <c r="B2360" s="431" t="str">
        <f t="shared" si="36"/>
        <v>Hip Replacement PrimaryProviderPORTSMOUTH HOSPITALS NHS TRUST (RHU)Oxford Hip Score</v>
      </c>
      <c r="C2360" t="s">
        <v>248</v>
      </c>
      <c r="D2360" t="s">
        <v>1</v>
      </c>
      <c r="E2360" t="s">
        <v>3234</v>
      </c>
      <c r="F2360" t="s">
        <v>3235</v>
      </c>
      <c r="G2360" t="s">
        <v>14</v>
      </c>
      <c r="H2360">
        <v>195</v>
      </c>
      <c r="I2360">
        <v>15.872</v>
      </c>
      <c r="J2360">
        <v>38.831000000000003</v>
      </c>
      <c r="K2360">
        <v>22.959</v>
      </c>
      <c r="L2360">
        <v>191</v>
      </c>
      <c r="M2360">
        <v>2</v>
      </c>
      <c r="N2360">
        <v>2</v>
      </c>
      <c r="O2360">
        <v>39.875</v>
      </c>
      <c r="P2360">
        <v>21.67059824</v>
      </c>
      <c r="Q2360">
        <v>7.7789999999999999</v>
      </c>
    </row>
    <row r="2361" spans="1:17" x14ac:dyDescent="0.2">
      <c r="A2361" s="30" t="str">
        <f>IF(C2361&amp;G2361&amp;D2361&lt;&gt;'Funnel setup'!$K$3&amp;'Funnel setup'!$K$4&amp;'Funnel setup'!$K$5,".",IF(A2360=".",1,A2360+1))</f>
        <v>.</v>
      </c>
      <c r="B2361" s="431" t="str">
        <f t="shared" si="36"/>
        <v>Hip Replacement PrimaryProviderRENACRES HOSPITAL (NVC16)Oxford Hip Score</v>
      </c>
      <c r="C2361" t="s">
        <v>248</v>
      </c>
      <c r="D2361" t="s">
        <v>1</v>
      </c>
      <c r="E2361" t="s">
        <v>3237</v>
      </c>
      <c r="F2361" t="s">
        <v>3238</v>
      </c>
      <c r="G2361" t="s">
        <v>14</v>
      </c>
      <c r="H2361">
        <v>48</v>
      </c>
      <c r="I2361">
        <v>21.646000000000001</v>
      </c>
      <c r="J2361">
        <v>41.042000000000002</v>
      </c>
      <c r="K2361">
        <v>19.396000000000001</v>
      </c>
      <c r="L2361">
        <v>46</v>
      </c>
      <c r="M2361">
        <v>1</v>
      </c>
      <c r="N2361">
        <v>1</v>
      </c>
      <c r="O2361">
        <v>39.045000000000002</v>
      </c>
      <c r="P2361">
        <v>20.840864320000001</v>
      </c>
      <c r="Q2361">
        <v>8.1389999999999993</v>
      </c>
    </row>
    <row r="2362" spans="1:17" x14ac:dyDescent="0.2">
      <c r="A2362" s="30" t="str">
        <f>IF(C2362&amp;G2362&amp;D2362&lt;&gt;'Funnel setup'!$K$3&amp;'Funnel setup'!$K$4&amp;'Funnel setup'!$K$5,".",IF(A2361=".",1,A2361+1))</f>
        <v>.</v>
      </c>
      <c r="B2362" s="431" t="str">
        <f t="shared" si="36"/>
        <v>Hip Replacement PrimaryProviderRIVERS HOSPITAL (NVC19)Oxford Hip Score</v>
      </c>
      <c r="C2362" t="s">
        <v>248</v>
      </c>
      <c r="D2362" t="s">
        <v>1</v>
      </c>
      <c r="E2362" t="s">
        <v>3204</v>
      </c>
      <c r="F2362" t="s">
        <v>3205</v>
      </c>
      <c r="G2362" t="s">
        <v>14</v>
      </c>
      <c r="H2362">
        <v>77</v>
      </c>
      <c r="I2362">
        <v>19.065000000000001</v>
      </c>
      <c r="J2362">
        <v>41.518999999999998</v>
      </c>
      <c r="K2362">
        <v>22.454999999999998</v>
      </c>
      <c r="L2362">
        <v>75</v>
      </c>
      <c r="M2362">
        <v>0</v>
      </c>
      <c r="N2362">
        <v>2</v>
      </c>
      <c r="O2362">
        <v>40.624000000000002</v>
      </c>
      <c r="P2362">
        <v>22.419545020000001</v>
      </c>
      <c r="Q2362">
        <v>8.0389999999999997</v>
      </c>
    </row>
    <row r="2363" spans="1:17" x14ac:dyDescent="0.2">
      <c r="A2363" s="30" t="str">
        <f>IF(C2363&amp;G2363&amp;D2363&lt;&gt;'Funnel setup'!$K$3&amp;'Funnel setup'!$K$4&amp;'Funnel setup'!$K$5,".",IF(A2362=".",1,A2362+1))</f>
        <v>.</v>
      </c>
      <c r="B2363" s="431" t="str">
        <f t="shared" si="36"/>
        <v>Hip Replacement PrimaryProviderROWLEY HALL HOSPITAL (NVC17)Oxford Hip Score</v>
      </c>
      <c r="C2363" t="s">
        <v>248</v>
      </c>
      <c r="D2363" t="s">
        <v>1</v>
      </c>
      <c r="E2363" t="s">
        <v>3207</v>
      </c>
      <c r="F2363" t="s">
        <v>3208</v>
      </c>
      <c r="G2363" t="s">
        <v>14</v>
      </c>
      <c r="H2363">
        <v>101</v>
      </c>
      <c r="I2363">
        <v>19.850999999999999</v>
      </c>
      <c r="J2363">
        <v>40.267000000000003</v>
      </c>
      <c r="K2363">
        <v>20.416</v>
      </c>
      <c r="L2363">
        <v>98</v>
      </c>
      <c r="M2363">
        <v>0</v>
      </c>
      <c r="N2363">
        <v>3</v>
      </c>
      <c r="O2363">
        <v>38.893999999999998</v>
      </c>
      <c r="P2363">
        <v>20.68967151</v>
      </c>
      <c r="Q2363">
        <v>7.2830000000000004</v>
      </c>
    </row>
    <row r="2364" spans="1:17" x14ac:dyDescent="0.2">
      <c r="A2364" s="30" t="str">
        <f>IF(C2364&amp;G2364&amp;D2364&lt;&gt;'Funnel setup'!$K$3&amp;'Funnel setup'!$K$4&amp;'Funnel setup'!$K$5,".",IF(A2363=".",1,A2363+1))</f>
        <v>.</v>
      </c>
      <c r="B2364" s="431" t="str">
        <f t="shared" si="36"/>
        <v>Hip Replacement PrimaryProviderROYAL BERKSHIRE NHS FOUNDATION TRUST (RHW)Oxford Hip Score</v>
      </c>
      <c r="C2364" t="s">
        <v>248</v>
      </c>
      <c r="D2364" t="s">
        <v>1</v>
      </c>
      <c r="E2364" t="s">
        <v>3832</v>
      </c>
      <c r="F2364" t="s">
        <v>3833</v>
      </c>
      <c r="G2364" t="s">
        <v>14</v>
      </c>
      <c r="H2364">
        <v>158</v>
      </c>
      <c r="I2364">
        <v>19.943000000000001</v>
      </c>
      <c r="J2364">
        <v>41.506</v>
      </c>
      <c r="K2364">
        <v>21.562999999999999</v>
      </c>
      <c r="L2364">
        <v>152</v>
      </c>
      <c r="M2364">
        <v>1</v>
      </c>
      <c r="N2364">
        <v>5</v>
      </c>
      <c r="O2364">
        <v>40.701999999999998</v>
      </c>
      <c r="P2364">
        <v>22.497561820000001</v>
      </c>
      <c r="Q2364">
        <v>6.91</v>
      </c>
    </row>
    <row r="2365" spans="1:17" x14ac:dyDescent="0.2">
      <c r="A2365" s="30" t="str">
        <f>IF(C2365&amp;G2365&amp;D2365&lt;&gt;'Funnel setup'!$K$3&amp;'Funnel setup'!$K$4&amp;'Funnel setup'!$K$5,".",IF(A2364=".",1,A2364+1))</f>
        <v>.</v>
      </c>
      <c r="B2365" s="431" t="str">
        <f t="shared" si="36"/>
        <v>Hip Replacement PrimaryProviderROYAL CORNWALL HOSPITALS NHS TRUST (REF)Oxford Hip Score</v>
      </c>
      <c r="C2365" t="s">
        <v>248</v>
      </c>
      <c r="D2365" t="s">
        <v>1</v>
      </c>
      <c r="E2365" t="s">
        <v>3745</v>
      </c>
      <c r="F2365" t="s">
        <v>3746</v>
      </c>
      <c r="G2365" t="s">
        <v>14</v>
      </c>
      <c r="H2365">
        <v>291</v>
      </c>
      <c r="I2365">
        <v>17.504999999999999</v>
      </c>
      <c r="J2365">
        <v>38.347000000000001</v>
      </c>
      <c r="K2365">
        <v>20.841999999999999</v>
      </c>
      <c r="L2365">
        <v>279</v>
      </c>
      <c r="M2365">
        <v>1</v>
      </c>
      <c r="N2365">
        <v>11</v>
      </c>
      <c r="O2365">
        <v>38.877000000000002</v>
      </c>
      <c r="P2365">
        <v>20.67239146</v>
      </c>
      <c r="Q2365">
        <v>8.4969999999999999</v>
      </c>
    </row>
    <row r="2366" spans="1:17" x14ac:dyDescent="0.2">
      <c r="A2366" s="30" t="str">
        <f>IF(C2366&amp;G2366&amp;D2366&lt;&gt;'Funnel setup'!$K$3&amp;'Funnel setup'!$K$4&amp;'Funnel setup'!$K$5,".",IF(A2365=".",1,A2365+1))</f>
        <v>.</v>
      </c>
      <c r="B2366" s="431" t="str">
        <f t="shared" si="36"/>
        <v>Hip Replacement PrimaryProviderROYAL DEVON AND EXETER NHS FOUNDATION TRUST (RH8)Oxford Hip Score</v>
      </c>
      <c r="C2366" t="s">
        <v>248</v>
      </c>
      <c r="D2366" t="s">
        <v>1</v>
      </c>
      <c r="E2366" t="s">
        <v>3442</v>
      </c>
      <c r="F2366" t="s">
        <v>3443</v>
      </c>
      <c r="G2366" t="s">
        <v>14</v>
      </c>
      <c r="H2366">
        <v>511</v>
      </c>
      <c r="I2366">
        <v>19.077999999999999</v>
      </c>
      <c r="J2366">
        <v>41.274000000000001</v>
      </c>
      <c r="K2366">
        <v>22.196000000000002</v>
      </c>
      <c r="L2366">
        <v>504</v>
      </c>
      <c r="M2366">
        <v>2</v>
      </c>
      <c r="N2366">
        <v>5</v>
      </c>
      <c r="O2366">
        <v>41.048999999999999</v>
      </c>
      <c r="P2366">
        <v>22.844452480000001</v>
      </c>
      <c r="Q2366">
        <v>6.7850000000000001</v>
      </c>
    </row>
    <row r="2367" spans="1:17" x14ac:dyDescent="0.2">
      <c r="A2367" s="30" t="str">
        <f>IF(C2367&amp;G2367&amp;D2367&lt;&gt;'Funnel setup'!$K$3&amp;'Funnel setup'!$K$4&amp;'Funnel setup'!$K$5,".",IF(A2366=".",1,A2366+1))</f>
        <v>.</v>
      </c>
      <c r="B2367" s="431" t="str">
        <f t="shared" si="36"/>
        <v>Hip Replacement PrimaryProviderROYAL FREE LONDON NHS FOUNDATION TRUST (RAL)Oxford Hip Score</v>
      </c>
      <c r="C2367" t="s">
        <v>248</v>
      </c>
      <c r="D2367" t="s">
        <v>1</v>
      </c>
      <c r="E2367" t="s">
        <v>3445</v>
      </c>
      <c r="F2367" t="s">
        <v>3446</v>
      </c>
      <c r="G2367" t="s">
        <v>14</v>
      </c>
      <c r="H2367">
        <v>128</v>
      </c>
      <c r="I2367">
        <v>16.023</v>
      </c>
      <c r="J2367">
        <v>37.085999999999999</v>
      </c>
      <c r="K2367">
        <v>21.062999999999999</v>
      </c>
      <c r="L2367">
        <v>126</v>
      </c>
      <c r="M2367">
        <v>0</v>
      </c>
      <c r="N2367">
        <v>2</v>
      </c>
      <c r="O2367">
        <v>38.564999999999998</v>
      </c>
      <c r="P2367">
        <v>20.360704030000001</v>
      </c>
      <c r="Q2367">
        <v>8.5429999999999993</v>
      </c>
    </row>
    <row r="2368" spans="1:17" x14ac:dyDescent="0.2">
      <c r="A2368" s="30" t="str">
        <f>IF(C2368&amp;G2368&amp;D2368&lt;&gt;'Funnel setup'!$K$3&amp;'Funnel setup'!$K$4&amp;'Funnel setup'!$K$5,".",IF(A2367=".",1,A2367+1))</f>
        <v>.</v>
      </c>
      <c r="B2368" s="431" t="str">
        <f t="shared" si="36"/>
        <v>Hip Replacement PrimaryProviderROYAL LIVERPOOL AND BROADGREEN UNIVERSITY HOSPITALS NHS TRUST (RQ6)Oxford Hip Score</v>
      </c>
      <c r="C2368" t="s">
        <v>248</v>
      </c>
      <c r="D2368" t="s">
        <v>1</v>
      </c>
      <c r="E2368" t="s">
        <v>3448</v>
      </c>
      <c r="F2368" t="s">
        <v>3449</v>
      </c>
      <c r="G2368" t="s">
        <v>14</v>
      </c>
      <c r="H2368">
        <v>120</v>
      </c>
      <c r="I2368">
        <v>16.382999999999999</v>
      </c>
      <c r="J2368">
        <v>36.533000000000001</v>
      </c>
      <c r="K2368">
        <v>20.149999999999999</v>
      </c>
      <c r="L2368">
        <v>117</v>
      </c>
      <c r="M2368">
        <v>1</v>
      </c>
      <c r="N2368">
        <v>2</v>
      </c>
      <c r="O2368">
        <v>39.003999999999998</v>
      </c>
      <c r="P2368">
        <v>20.799643029999999</v>
      </c>
      <c r="Q2368">
        <v>8.532</v>
      </c>
    </row>
    <row r="2369" spans="1:17" x14ac:dyDescent="0.2">
      <c r="A2369" s="30" t="str">
        <f>IF(C2369&amp;G2369&amp;D2369&lt;&gt;'Funnel setup'!$K$3&amp;'Funnel setup'!$K$4&amp;'Funnel setup'!$K$5,".",IF(A2368=".",1,A2368+1))</f>
        <v>.</v>
      </c>
      <c r="B2369" s="431" t="str">
        <f t="shared" si="36"/>
        <v>Hip Replacement PrimaryProviderROYAL NATIONAL ORTHOPAEDIC HOSPITAL NHS TRUST (RAN)Oxford Hip Score</v>
      </c>
      <c r="C2369" t="s">
        <v>248</v>
      </c>
      <c r="D2369" t="s">
        <v>1</v>
      </c>
      <c r="E2369" t="s">
        <v>4378</v>
      </c>
      <c r="F2369" t="s">
        <v>4379</v>
      </c>
      <c r="G2369" t="s">
        <v>14</v>
      </c>
      <c r="H2369">
        <v>136</v>
      </c>
      <c r="I2369">
        <v>18.978000000000002</v>
      </c>
      <c r="J2369">
        <v>39.331000000000003</v>
      </c>
      <c r="K2369">
        <v>20.353000000000002</v>
      </c>
      <c r="L2369">
        <v>130</v>
      </c>
      <c r="M2369">
        <v>0</v>
      </c>
      <c r="N2369">
        <v>6</v>
      </c>
      <c r="O2369">
        <v>39.341999999999999</v>
      </c>
      <c r="P2369">
        <v>21.137807899999999</v>
      </c>
      <c r="Q2369">
        <v>9.0009999999999994</v>
      </c>
    </row>
    <row r="2370" spans="1:17" x14ac:dyDescent="0.2">
      <c r="A2370" s="30" t="str">
        <f>IF(C2370&amp;G2370&amp;D2370&lt;&gt;'Funnel setup'!$K$3&amp;'Funnel setup'!$K$4&amp;'Funnel setup'!$K$5,".",IF(A2369=".",1,A2369+1))</f>
        <v>.</v>
      </c>
      <c r="B2370" s="431" t="str">
        <f t="shared" si="36"/>
        <v>Hip Replacement PrimaryProviderROYAL SURREY COUNTY HOSPITAL NHS FOUNDATION TRUST (RA2)Oxford Hip Score</v>
      </c>
      <c r="C2370" t="s">
        <v>248</v>
      </c>
      <c r="D2370" t="s">
        <v>1</v>
      </c>
      <c r="E2370" t="s">
        <v>3451</v>
      </c>
      <c r="F2370" t="s">
        <v>3452</v>
      </c>
      <c r="G2370" t="s">
        <v>14</v>
      </c>
      <c r="H2370">
        <v>144</v>
      </c>
      <c r="I2370">
        <v>19.34</v>
      </c>
      <c r="J2370">
        <v>41.853999999999999</v>
      </c>
      <c r="K2370">
        <v>22.513999999999999</v>
      </c>
      <c r="L2370">
        <v>140</v>
      </c>
      <c r="M2370">
        <v>1</v>
      </c>
      <c r="N2370">
        <v>3</v>
      </c>
      <c r="O2370">
        <v>40.695999999999998</v>
      </c>
      <c r="P2370">
        <v>22.49188573</v>
      </c>
      <c r="Q2370">
        <v>7.0750000000000002</v>
      </c>
    </row>
    <row r="2371" spans="1:17" x14ac:dyDescent="0.2">
      <c r="A2371" s="30" t="str">
        <f>IF(C2371&amp;G2371&amp;D2371&lt;&gt;'Funnel setup'!$K$3&amp;'Funnel setup'!$K$4&amp;'Funnel setup'!$K$5,".",IF(A2370=".",1,A2370+1))</f>
        <v>.</v>
      </c>
      <c r="B2371" s="431" t="str">
        <f t="shared" ref="B2371:B2434" si="37">C2371&amp;D2371&amp;F2371&amp;G2371</f>
        <v>Hip Replacement PrimaryProviderROYAL UNITED HOSPITALS BATH NHS FOUNDATION TRUST (RD1)Oxford Hip Score</v>
      </c>
      <c r="C2371" t="s">
        <v>248</v>
      </c>
      <c r="D2371" t="s">
        <v>1</v>
      </c>
      <c r="E2371" t="s">
        <v>3454</v>
      </c>
      <c r="F2371" t="s">
        <v>3455</v>
      </c>
      <c r="G2371" t="s">
        <v>14</v>
      </c>
      <c r="H2371">
        <v>186</v>
      </c>
      <c r="I2371">
        <v>16.882000000000001</v>
      </c>
      <c r="J2371">
        <v>38.488999999999997</v>
      </c>
      <c r="K2371">
        <v>21.608000000000001</v>
      </c>
      <c r="L2371">
        <v>179</v>
      </c>
      <c r="M2371">
        <v>2</v>
      </c>
      <c r="N2371">
        <v>5</v>
      </c>
      <c r="O2371">
        <v>39.231999999999999</v>
      </c>
      <c r="P2371">
        <v>21.027270049999998</v>
      </c>
      <c r="Q2371">
        <v>7.851</v>
      </c>
    </row>
    <row r="2372" spans="1:17" x14ac:dyDescent="0.2">
      <c r="A2372" s="30" t="str">
        <f>IF(C2372&amp;G2372&amp;D2372&lt;&gt;'Funnel setup'!$K$3&amp;'Funnel setup'!$K$4&amp;'Funnel setup'!$K$5,".",IF(A2371=".",1,A2371+1))</f>
        <v>.</v>
      </c>
      <c r="B2372" s="431" t="str">
        <f t="shared" si="37"/>
        <v>Hip Replacement PrimaryProviderSALFORD ROYAL NHS FOUNDATION TRUST (RM3)Oxford Hip Score</v>
      </c>
      <c r="C2372" t="s">
        <v>248</v>
      </c>
      <c r="D2372" t="s">
        <v>1</v>
      </c>
      <c r="E2372" t="s">
        <v>3457</v>
      </c>
      <c r="F2372" t="s">
        <v>3458</v>
      </c>
      <c r="G2372" t="s">
        <v>14</v>
      </c>
      <c r="H2372">
        <v>84</v>
      </c>
      <c r="I2372">
        <v>16.321000000000002</v>
      </c>
      <c r="J2372">
        <v>39.738</v>
      </c>
      <c r="K2372">
        <v>23.417000000000002</v>
      </c>
      <c r="L2372">
        <v>84</v>
      </c>
      <c r="M2372">
        <v>0</v>
      </c>
      <c r="N2372">
        <v>0</v>
      </c>
      <c r="O2372">
        <v>40.926000000000002</v>
      </c>
      <c r="P2372">
        <v>22.721061590000001</v>
      </c>
      <c r="Q2372">
        <v>7.0979999999999999</v>
      </c>
    </row>
    <row r="2373" spans="1:17" x14ac:dyDescent="0.2">
      <c r="A2373" s="30" t="str">
        <f>IF(C2373&amp;G2373&amp;D2373&lt;&gt;'Funnel setup'!$K$3&amp;'Funnel setup'!$K$4&amp;'Funnel setup'!$K$5,".",IF(A2372=".",1,A2372+1))</f>
        <v>.</v>
      </c>
      <c r="B2373" s="431" t="str">
        <f t="shared" si="37"/>
        <v>Hip Replacement PrimaryProviderSALISBURY NHS FOUNDATION TRUST (RNZ)Oxford Hip Score</v>
      </c>
      <c r="C2373" t="s">
        <v>248</v>
      </c>
      <c r="D2373" t="s">
        <v>1</v>
      </c>
      <c r="E2373" t="s">
        <v>3460</v>
      </c>
      <c r="F2373" t="s">
        <v>3461</v>
      </c>
      <c r="G2373" t="s">
        <v>14</v>
      </c>
      <c r="H2373">
        <v>182</v>
      </c>
      <c r="I2373">
        <v>18.044</v>
      </c>
      <c r="J2373">
        <v>39.735999999999997</v>
      </c>
      <c r="K2373">
        <v>21.692</v>
      </c>
      <c r="L2373">
        <v>179</v>
      </c>
      <c r="M2373">
        <v>1</v>
      </c>
      <c r="N2373">
        <v>2</v>
      </c>
      <c r="O2373">
        <v>40.008000000000003</v>
      </c>
      <c r="P2373">
        <v>21.803792829999999</v>
      </c>
      <c r="Q2373">
        <v>7.2039999999999997</v>
      </c>
    </row>
    <row r="2374" spans="1:17" x14ac:dyDescent="0.2">
      <c r="A2374" s="30" t="str">
        <f>IF(C2374&amp;G2374&amp;D2374&lt;&gt;'Funnel setup'!$K$3&amp;'Funnel setup'!$K$4&amp;'Funnel setup'!$K$5,".",IF(A2373=".",1,A2373+1))</f>
        <v>.</v>
      </c>
      <c r="B2374" s="431" t="str">
        <f t="shared" si="37"/>
        <v>Hip Replacement PrimaryProviderSANDWELL AND WEST BIRMINGHAM HOSPITALS NHS TRUST (RXK)Oxford Hip Score</v>
      </c>
      <c r="C2374" t="s">
        <v>248</v>
      </c>
      <c r="D2374" t="s">
        <v>1</v>
      </c>
      <c r="E2374" t="s">
        <v>3463</v>
      </c>
      <c r="F2374" t="s">
        <v>3464</v>
      </c>
      <c r="G2374" t="s">
        <v>14</v>
      </c>
      <c r="H2374">
        <v>163</v>
      </c>
      <c r="I2374">
        <v>13.853</v>
      </c>
      <c r="J2374">
        <v>35.46</v>
      </c>
      <c r="K2374">
        <v>21.606999999999999</v>
      </c>
      <c r="L2374">
        <v>158</v>
      </c>
      <c r="M2374">
        <v>1</v>
      </c>
      <c r="N2374">
        <v>4</v>
      </c>
      <c r="O2374">
        <v>39.012</v>
      </c>
      <c r="P2374">
        <v>20.807245200000001</v>
      </c>
      <c r="Q2374">
        <v>8.6620000000000008</v>
      </c>
    </row>
    <row r="2375" spans="1:17" x14ac:dyDescent="0.2">
      <c r="A2375" s="30" t="str">
        <f>IF(C2375&amp;G2375&amp;D2375&lt;&gt;'Funnel setup'!$K$3&amp;'Funnel setup'!$K$4&amp;'Funnel setup'!$K$5,".",IF(A2374=".",1,A2374+1))</f>
        <v>.</v>
      </c>
      <c r="B2375" s="431" t="str">
        <f t="shared" si="37"/>
        <v>Hip Replacement PrimaryProviderSHEFFIELD TEACHING HOSPITALS NHS FOUNDATION TRUST (RHQ)Oxford Hip Score</v>
      </c>
      <c r="C2375" t="s">
        <v>248</v>
      </c>
      <c r="D2375" t="s">
        <v>1</v>
      </c>
      <c r="E2375" t="s">
        <v>3466</v>
      </c>
      <c r="F2375" t="s">
        <v>3467</v>
      </c>
      <c r="G2375" t="s">
        <v>14</v>
      </c>
      <c r="H2375">
        <v>348</v>
      </c>
      <c r="I2375">
        <v>16.77</v>
      </c>
      <c r="J2375">
        <v>38.313000000000002</v>
      </c>
      <c r="K2375">
        <v>21.542999999999999</v>
      </c>
      <c r="L2375">
        <v>340</v>
      </c>
      <c r="M2375">
        <v>0</v>
      </c>
      <c r="N2375">
        <v>8</v>
      </c>
      <c r="O2375">
        <v>39.210999999999999</v>
      </c>
      <c r="P2375">
        <v>21.006744900000001</v>
      </c>
      <c r="Q2375">
        <v>8.5030000000000001</v>
      </c>
    </row>
    <row r="2376" spans="1:17" x14ac:dyDescent="0.2">
      <c r="A2376" s="30" t="str">
        <f>IF(C2376&amp;G2376&amp;D2376&lt;&gt;'Funnel setup'!$K$3&amp;'Funnel setup'!$K$4&amp;'Funnel setup'!$K$5,".",IF(A2375=".",1,A2375+1))</f>
        <v>.</v>
      </c>
      <c r="B2376" s="431" t="str">
        <f t="shared" si="37"/>
        <v>Hip Replacement PrimaryProviderSHEPTON MALLET NHS TREATMENT CENTRE (NTPH1)Oxford Hip Score</v>
      </c>
      <c r="C2376" t="s">
        <v>248</v>
      </c>
      <c r="D2376" t="s">
        <v>1</v>
      </c>
      <c r="E2376" t="s">
        <v>3472</v>
      </c>
      <c r="F2376" t="s">
        <v>3473</v>
      </c>
      <c r="G2376" t="s">
        <v>14</v>
      </c>
      <c r="H2376">
        <v>211</v>
      </c>
      <c r="I2376">
        <v>18.018999999999998</v>
      </c>
      <c r="J2376">
        <v>43.530999999999999</v>
      </c>
      <c r="K2376">
        <v>25.512</v>
      </c>
      <c r="L2376">
        <v>211</v>
      </c>
      <c r="M2376">
        <v>0</v>
      </c>
      <c r="N2376">
        <v>0</v>
      </c>
      <c r="O2376">
        <v>42.646000000000001</v>
      </c>
      <c r="P2376">
        <v>24.441787189999999</v>
      </c>
      <c r="Q2376">
        <v>6.125</v>
      </c>
    </row>
    <row r="2377" spans="1:17" x14ac:dyDescent="0.2">
      <c r="A2377" s="30" t="str">
        <f>IF(C2377&amp;G2377&amp;D2377&lt;&gt;'Funnel setup'!$K$3&amp;'Funnel setup'!$K$4&amp;'Funnel setup'!$K$5,".",IF(A2376=".",1,A2376+1))</f>
        <v>.</v>
      </c>
      <c r="B2377" s="431" t="str">
        <f t="shared" si="37"/>
        <v>Hip Replacement PrimaryProviderSHERWOOD FOREST HOSPITALS NHS FOUNDATION TRUST (RK5)Oxford Hip Score</v>
      </c>
      <c r="C2377" t="s">
        <v>248</v>
      </c>
      <c r="D2377" t="s">
        <v>1</v>
      </c>
      <c r="E2377" t="s">
        <v>3475</v>
      </c>
      <c r="F2377" t="s">
        <v>3476</v>
      </c>
      <c r="G2377" t="s">
        <v>14</v>
      </c>
      <c r="H2377">
        <v>151</v>
      </c>
      <c r="I2377">
        <v>16.053000000000001</v>
      </c>
      <c r="J2377">
        <v>36.774999999999999</v>
      </c>
      <c r="K2377">
        <v>20.722000000000001</v>
      </c>
      <c r="L2377">
        <v>148</v>
      </c>
      <c r="M2377">
        <v>0</v>
      </c>
      <c r="N2377">
        <v>3</v>
      </c>
      <c r="O2377">
        <v>38.334000000000003</v>
      </c>
      <c r="P2377">
        <v>20.129480839999999</v>
      </c>
      <c r="Q2377">
        <v>9.0830000000000002</v>
      </c>
    </row>
    <row r="2378" spans="1:17" x14ac:dyDescent="0.2">
      <c r="A2378" s="30" t="str">
        <f>IF(C2378&amp;G2378&amp;D2378&lt;&gt;'Funnel setup'!$K$3&amp;'Funnel setup'!$K$4&amp;'Funnel setup'!$K$5,".",IF(A2377=".",1,A2377+1))</f>
        <v>.</v>
      </c>
      <c r="B2378" s="431" t="str">
        <f t="shared" si="37"/>
        <v>Hip Replacement PrimaryProviderSHREWSBURY AND TELFORD HOSPITAL NHS TRUST (RXW)Oxford Hip Score</v>
      </c>
      <c r="C2378" t="s">
        <v>248</v>
      </c>
      <c r="D2378" t="s">
        <v>1</v>
      </c>
      <c r="E2378" t="s">
        <v>3478</v>
      </c>
      <c r="F2378" t="s">
        <v>3479</v>
      </c>
      <c r="G2378" t="s">
        <v>14</v>
      </c>
      <c r="H2378">
        <v>161</v>
      </c>
      <c r="I2378">
        <v>15.025</v>
      </c>
      <c r="J2378">
        <v>38.030999999999999</v>
      </c>
      <c r="K2378">
        <v>23.006</v>
      </c>
      <c r="L2378">
        <v>159</v>
      </c>
      <c r="M2378">
        <v>0</v>
      </c>
      <c r="N2378">
        <v>2</v>
      </c>
      <c r="O2378">
        <v>39.338999999999999</v>
      </c>
      <c r="P2378">
        <v>21.134006039999999</v>
      </c>
      <c r="Q2378">
        <v>8.6760000000000002</v>
      </c>
    </row>
    <row r="2379" spans="1:17" x14ac:dyDescent="0.2">
      <c r="A2379" s="30" t="str">
        <f>IF(C2379&amp;G2379&amp;D2379&lt;&gt;'Funnel setup'!$K$3&amp;'Funnel setup'!$K$4&amp;'Funnel setup'!$K$5,".",IF(A2378=".",1,A2378+1))</f>
        <v>.</v>
      </c>
      <c r="B2379" s="431" t="str">
        <f t="shared" si="37"/>
        <v>Hip Replacement PrimaryProviderSOUTH TEES HOSPITALS NHS FOUNDATION TRUST (RTR)Oxford Hip Score</v>
      </c>
      <c r="C2379" t="s">
        <v>248</v>
      </c>
      <c r="D2379" t="s">
        <v>1</v>
      </c>
      <c r="E2379" t="s">
        <v>3482</v>
      </c>
      <c r="F2379" t="s">
        <v>3483</v>
      </c>
      <c r="G2379" t="s">
        <v>14</v>
      </c>
      <c r="H2379">
        <v>447</v>
      </c>
      <c r="I2379">
        <v>18.646999999999998</v>
      </c>
      <c r="J2379">
        <v>39.357999999999997</v>
      </c>
      <c r="K2379">
        <v>20.710999999999999</v>
      </c>
      <c r="L2379">
        <v>432</v>
      </c>
      <c r="M2379">
        <v>1</v>
      </c>
      <c r="N2379">
        <v>14</v>
      </c>
      <c r="O2379">
        <v>39.533000000000001</v>
      </c>
      <c r="P2379">
        <v>21.32893378</v>
      </c>
      <c r="Q2379">
        <v>8.0429999999999993</v>
      </c>
    </row>
    <row r="2380" spans="1:17" x14ac:dyDescent="0.2">
      <c r="A2380" s="30" t="str">
        <f>IF(C2380&amp;G2380&amp;D2380&lt;&gt;'Funnel setup'!$K$3&amp;'Funnel setup'!$K$4&amp;'Funnel setup'!$K$5,".",IF(A2379=".",1,A2379+1))</f>
        <v>.</v>
      </c>
      <c r="B2380" s="431" t="str">
        <f t="shared" si="37"/>
        <v>Hip Replacement PrimaryProviderSOUTH TYNESIDE NHS FOUNDATION TRUST (RE9)Oxford Hip Score</v>
      </c>
      <c r="C2380" t="s">
        <v>248</v>
      </c>
      <c r="D2380" t="s">
        <v>1</v>
      </c>
      <c r="E2380" t="s">
        <v>3485</v>
      </c>
      <c r="F2380" t="s">
        <v>3486</v>
      </c>
      <c r="G2380" t="s">
        <v>14</v>
      </c>
      <c r="H2380">
        <v>50</v>
      </c>
      <c r="I2380">
        <v>17.399999999999999</v>
      </c>
      <c r="J2380">
        <v>37.78</v>
      </c>
      <c r="K2380">
        <v>20.38</v>
      </c>
      <c r="L2380">
        <v>50</v>
      </c>
      <c r="M2380">
        <v>0</v>
      </c>
      <c r="N2380">
        <v>0</v>
      </c>
      <c r="O2380">
        <v>38.94</v>
      </c>
      <c r="P2380">
        <v>20.73531423</v>
      </c>
      <c r="Q2380">
        <v>7.6319999999999997</v>
      </c>
    </row>
    <row r="2381" spans="1:17" x14ac:dyDescent="0.2">
      <c r="A2381" s="30" t="str">
        <f>IF(C2381&amp;G2381&amp;D2381&lt;&gt;'Funnel setup'!$K$3&amp;'Funnel setup'!$K$4&amp;'Funnel setup'!$K$5,".",IF(A2380=".",1,A2380+1))</f>
        <v>.</v>
      </c>
      <c r="B2381" s="431" t="str">
        <f t="shared" si="37"/>
        <v>Hip Replacement PrimaryProviderSOUTH WARWICKSHIRE NHS FOUNDATION TRUST (RJC)Oxford Hip Score</v>
      </c>
      <c r="C2381" t="s">
        <v>248</v>
      </c>
      <c r="D2381" t="s">
        <v>1</v>
      </c>
      <c r="E2381" t="s">
        <v>3421</v>
      </c>
      <c r="F2381" t="s">
        <v>3422</v>
      </c>
      <c r="G2381" t="s">
        <v>14</v>
      </c>
      <c r="H2381">
        <v>253</v>
      </c>
      <c r="I2381">
        <v>20.202000000000002</v>
      </c>
      <c r="J2381">
        <v>40.462000000000003</v>
      </c>
      <c r="K2381">
        <v>20.260999999999999</v>
      </c>
      <c r="L2381">
        <v>246</v>
      </c>
      <c r="M2381">
        <v>3</v>
      </c>
      <c r="N2381">
        <v>4</v>
      </c>
      <c r="O2381">
        <v>39.302999999999997</v>
      </c>
      <c r="P2381">
        <v>21.098407859999998</v>
      </c>
      <c r="Q2381">
        <v>7.53</v>
      </c>
    </row>
    <row r="2382" spans="1:17" x14ac:dyDescent="0.2">
      <c r="A2382" s="30" t="str">
        <f>IF(C2382&amp;G2382&amp;D2382&lt;&gt;'Funnel setup'!$K$3&amp;'Funnel setup'!$K$4&amp;'Funnel setup'!$K$5,".",IF(A2381=".",1,A2381+1))</f>
        <v>.</v>
      </c>
      <c r="B2382" s="431" t="str">
        <f t="shared" si="37"/>
        <v>Hip Replacement PrimaryProviderSOUTHAMPTON NHS TREATMENT CENTRE (NTP11)Oxford Hip Score</v>
      </c>
      <c r="C2382" t="s">
        <v>248</v>
      </c>
      <c r="D2382" t="s">
        <v>1</v>
      </c>
      <c r="E2382" t="s">
        <v>3424</v>
      </c>
      <c r="F2382" t="s">
        <v>3425</v>
      </c>
      <c r="G2382" t="s">
        <v>14</v>
      </c>
      <c r="H2382">
        <v>97</v>
      </c>
      <c r="I2382">
        <v>19.411999999999999</v>
      </c>
      <c r="J2382">
        <v>40.072000000000003</v>
      </c>
      <c r="K2382">
        <v>20.66</v>
      </c>
      <c r="L2382">
        <v>96</v>
      </c>
      <c r="M2382">
        <v>0</v>
      </c>
      <c r="N2382">
        <v>1</v>
      </c>
      <c r="O2382">
        <v>39.643000000000001</v>
      </c>
      <c r="P2382">
        <v>21.438388759999999</v>
      </c>
      <c r="Q2382">
        <v>6.6040000000000001</v>
      </c>
    </row>
    <row r="2383" spans="1:17" x14ac:dyDescent="0.2">
      <c r="A2383" s="30" t="str">
        <f>IF(C2383&amp;G2383&amp;D2383&lt;&gt;'Funnel setup'!$K$3&amp;'Funnel setup'!$K$4&amp;'Funnel setup'!$K$5,".",IF(A2382=".",1,A2382+1))</f>
        <v>.</v>
      </c>
      <c r="B2383" s="431" t="str">
        <f t="shared" si="37"/>
        <v>Hip Replacement PrimaryProviderSOUTHEND UNIVERSITY HOSPITAL NHS FOUNDATION TRUST (RAJ)Oxford Hip Score</v>
      </c>
      <c r="C2383" t="s">
        <v>248</v>
      </c>
      <c r="D2383" t="s">
        <v>1</v>
      </c>
      <c r="E2383" t="s">
        <v>3427</v>
      </c>
      <c r="F2383" t="s">
        <v>3428</v>
      </c>
      <c r="G2383" t="s">
        <v>14</v>
      </c>
      <c r="H2383">
        <v>140</v>
      </c>
      <c r="I2383">
        <v>16.279</v>
      </c>
      <c r="J2383">
        <v>37.713999999999999</v>
      </c>
      <c r="K2383">
        <v>21.436</v>
      </c>
      <c r="L2383">
        <v>136</v>
      </c>
      <c r="M2383">
        <v>1</v>
      </c>
      <c r="N2383">
        <v>3</v>
      </c>
      <c r="O2383">
        <v>38.338000000000001</v>
      </c>
      <c r="P2383">
        <v>20.133391490000001</v>
      </c>
      <c r="Q2383">
        <v>7.7350000000000003</v>
      </c>
    </row>
    <row r="2384" spans="1:17" x14ac:dyDescent="0.2">
      <c r="A2384" s="30" t="str">
        <f>IF(C2384&amp;G2384&amp;D2384&lt;&gt;'Funnel setup'!$K$3&amp;'Funnel setup'!$K$4&amp;'Funnel setup'!$K$5,".",IF(A2383=".",1,A2383+1))</f>
        <v>.</v>
      </c>
      <c r="B2384" s="431" t="str">
        <f t="shared" si="37"/>
        <v>Hip Replacement PrimaryProviderSOUTHPORT AND ORMSKIRK HOSPITAL NHS TRUST (RVY)Oxford Hip Score</v>
      </c>
      <c r="C2384" t="s">
        <v>248</v>
      </c>
      <c r="D2384" t="s">
        <v>1</v>
      </c>
      <c r="E2384" t="s">
        <v>3430</v>
      </c>
      <c r="F2384" t="s">
        <v>3431</v>
      </c>
      <c r="G2384" t="s">
        <v>14</v>
      </c>
      <c r="H2384">
        <v>100</v>
      </c>
      <c r="I2384">
        <v>17.47</v>
      </c>
      <c r="J2384">
        <v>38.28</v>
      </c>
      <c r="K2384">
        <v>20.81</v>
      </c>
      <c r="L2384">
        <v>97</v>
      </c>
      <c r="M2384">
        <v>1</v>
      </c>
      <c r="N2384">
        <v>2</v>
      </c>
      <c r="O2384">
        <v>38.680999999999997</v>
      </c>
      <c r="P2384">
        <v>20.476175080000001</v>
      </c>
      <c r="Q2384">
        <v>8.14</v>
      </c>
    </row>
    <row r="2385" spans="1:17" x14ac:dyDescent="0.2">
      <c r="A2385" s="30" t="str">
        <f>IF(C2385&amp;G2385&amp;D2385&lt;&gt;'Funnel setup'!$K$3&amp;'Funnel setup'!$K$4&amp;'Funnel setup'!$K$5,".",IF(A2384=".",1,A2384+1))</f>
        <v>.</v>
      </c>
      <c r="B2385" s="431" t="str">
        <f t="shared" si="37"/>
        <v>Hip Replacement PrimaryProviderSPIRE ALEXANDRA HOSPITAL (NT312)Oxford Hip Score</v>
      </c>
      <c r="C2385" t="s">
        <v>248</v>
      </c>
      <c r="D2385" t="s">
        <v>1</v>
      </c>
      <c r="E2385" t="s">
        <v>3433</v>
      </c>
      <c r="F2385" t="s">
        <v>3434</v>
      </c>
      <c r="G2385" t="s">
        <v>14</v>
      </c>
      <c r="H2385">
        <v>37</v>
      </c>
      <c r="I2385">
        <v>17.541</v>
      </c>
      <c r="J2385">
        <v>39.756999999999998</v>
      </c>
      <c r="K2385">
        <v>22.216000000000001</v>
      </c>
      <c r="L2385">
        <v>35</v>
      </c>
      <c r="M2385">
        <v>0</v>
      </c>
      <c r="N2385">
        <v>2</v>
      </c>
      <c r="O2385">
        <v>39.354999999999997</v>
      </c>
      <c r="P2385">
        <v>21.150203650000002</v>
      </c>
      <c r="Q2385">
        <v>9.4420000000000002</v>
      </c>
    </row>
    <row r="2386" spans="1:17" x14ac:dyDescent="0.2">
      <c r="A2386" s="30" t="str">
        <f>IF(C2386&amp;G2386&amp;D2386&lt;&gt;'Funnel setup'!$K$3&amp;'Funnel setup'!$K$4&amp;'Funnel setup'!$K$5,".",IF(A2385=".",1,A2385+1))</f>
        <v>.</v>
      </c>
      <c r="B2386" s="431" t="str">
        <f t="shared" si="37"/>
        <v>Hip Replacement PrimaryProviderSPIRE BRISTOL HOSPITAL (NT302)Oxford Hip Score</v>
      </c>
      <c r="C2386" t="s">
        <v>248</v>
      </c>
      <c r="D2386" t="s">
        <v>1</v>
      </c>
      <c r="E2386" t="s">
        <v>4381</v>
      </c>
      <c r="F2386" t="s">
        <v>4382</v>
      </c>
      <c r="G2386" t="s">
        <v>14</v>
      </c>
      <c r="H2386">
        <v>102</v>
      </c>
      <c r="I2386">
        <v>21.029</v>
      </c>
      <c r="J2386">
        <v>40.755000000000003</v>
      </c>
      <c r="K2386">
        <v>19.725000000000001</v>
      </c>
      <c r="L2386">
        <v>97</v>
      </c>
      <c r="M2386">
        <v>0</v>
      </c>
      <c r="N2386">
        <v>5</v>
      </c>
      <c r="O2386">
        <v>39.243000000000002</v>
      </c>
      <c r="P2386">
        <v>21.038842580000001</v>
      </c>
      <c r="Q2386">
        <v>7.2670000000000003</v>
      </c>
    </row>
    <row r="2387" spans="1:17" x14ac:dyDescent="0.2">
      <c r="A2387" s="30" t="str">
        <f>IF(C2387&amp;G2387&amp;D2387&lt;&gt;'Funnel setup'!$K$3&amp;'Funnel setup'!$K$4&amp;'Funnel setup'!$K$5,".",IF(A2386=".",1,A2386+1))</f>
        <v>.</v>
      </c>
      <c r="B2387" s="431" t="str">
        <f t="shared" si="37"/>
        <v>Hip Replacement PrimaryProviderSPIRE BUSHEY HOSPITAL (NT315)Oxford Hip Score</v>
      </c>
      <c r="C2387" t="s">
        <v>248</v>
      </c>
      <c r="D2387" t="s">
        <v>1</v>
      </c>
      <c r="E2387" t="s">
        <v>4364</v>
      </c>
      <c r="F2387" t="s">
        <v>4365</v>
      </c>
      <c r="G2387" t="s">
        <v>14</v>
      </c>
      <c r="H2387">
        <v>16</v>
      </c>
      <c r="I2387">
        <v>19.812999999999999</v>
      </c>
      <c r="J2387">
        <v>42.5</v>
      </c>
      <c r="K2387">
        <v>22.687999999999999</v>
      </c>
      <c r="L2387">
        <v>16</v>
      </c>
      <c r="M2387">
        <v>0</v>
      </c>
      <c r="N2387">
        <v>0</v>
      </c>
      <c r="O2387" t="s">
        <v>53</v>
      </c>
      <c r="P2387" t="s">
        <v>53</v>
      </c>
      <c r="Q2387" t="s">
        <v>53</v>
      </c>
    </row>
    <row r="2388" spans="1:17" x14ac:dyDescent="0.2">
      <c r="A2388" s="30" t="str">
        <f>IF(C2388&amp;G2388&amp;D2388&lt;&gt;'Funnel setup'!$K$3&amp;'Funnel setup'!$K$4&amp;'Funnel setup'!$K$5,".",IF(A2387=".",1,A2387+1))</f>
        <v>.</v>
      </c>
      <c r="B2388" s="431" t="str">
        <f t="shared" si="37"/>
        <v>Hip Replacement PrimaryProviderSPIRE CAMBRIDGE LEA HOSPITAL (NT317)Oxford Hip Score</v>
      </c>
      <c r="C2388" t="s">
        <v>248</v>
      </c>
      <c r="D2388" t="s">
        <v>1</v>
      </c>
      <c r="E2388" t="s">
        <v>3436</v>
      </c>
      <c r="F2388" t="s">
        <v>3437</v>
      </c>
      <c r="G2388" t="s">
        <v>14</v>
      </c>
      <c r="H2388">
        <v>61</v>
      </c>
      <c r="I2388">
        <v>22.065999999999999</v>
      </c>
      <c r="J2388">
        <v>43.23</v>
      </c>
      <c r="K2388">
        <v>21.164000000000001</v>
      </c>
      <c r="L2388">
        <v>61</v>
      </c>
      <c r="M2388">
        <v>0</v>
      </c>
      <c r="N2388">
        <v>0</v>
      </c>
      <c r="O2388">
        <v>40.701000000000001</v>
      </c>
      <c r="P2388">
        <v>22.49646061</v>
      </c>
      <c r="Q2388">
        <v>5.71</v>
      </c>
    </row>
    <row r="2389" spans="1:17" x14ac:dyDescent="0.2">
      <c r="A2389" s="30" t="str">
        <f>IF(C2389&amp;G2389&amp;D2389&lt;&gt;'Funnel setup'!$K$3&amp;'Funnel setup'!$K$4&amp;'Funnel setup'!$K$5,".",IF(A2388=".",1,A2388+1))</f>
        <v>.</v>
      </c>
      <c r="B2389" s="431" t="str">
        <f t="shared" si="37"/>
        <v>Hip Replacement PrimaryProviderSPIRE CHESHIRE HOSPITAL (NT324)Oxford Hip Score</v>
      </c>
      <c r="C2389" t="s">
        <v>248</v>
      </c>
      <c r="D2389" t="s">
        <v>1</v>
      </c>
      <c r="E2389" t="s">
        <v>3439</v>
      </c>
      <c r="F2389" t="s">
        <v>3440</v>
      </c>
      <c r="G2389" t="s">
        <v>14</v>
      </c>
      <c r="H2389">
        <v>70</v>
      </c>
      <c r="I2389">
        <v>17.757000000000001</v>
      </c>
      <c r="J2389">
        <v>41.542999999999999</v>
      </c>
      <c r="K2389">
        <v>23.786000000000001</v>
      </c>
      <c r="L2389">
        <v>69</v>
      </c>
      <c r="M2389">
        <v>1</v>
      </c>
      <c r="N2389">
        <v>0</v>
      </c>
      <c r="O2389">
        <v>40.436</v>
      </c>
      <c r="P2389">
        <v>22.231475639999999</v>
      </c>
      <c r="Q2389">
        <v>7.2279999999999998</v>
      </c>
    </row>
    <row r="2390" spans="1:17" x14ac:dyDescent="0.2">
      <c r="A2390" s="30" t="str">
        <f>IF(C2390&amp;G2390&amp;D2390&lt;&gt;'Funnel setup'!$K$3&amp;'Funnel setup'!$K$4&amp;'Funnel setup'!$K$5,".",IF(A2389=".",1,A2389+1))</f>
        <v>.</v>
      </c>
      <c r="B2390" s="431" t="str">
        <f t="shared" si="37"/>
        <v>Hip Replacement PrimaryProviderSPIRE CLARE PARK HOSPITAL (NT345)Oxford Hip Score</v>
      </c>
      <c r="C2390" t="s">
        <v>248</v>
      </c>
      <c r="D2390" t="s">
        <v>1</v>
      </c>
      <c r="E2390" t="s">
        <v>3412</v>
      </c>
      <c r="F2390" t="s">
        <v>3413</v>
      </c>
      <c r="G2390" t="s">
        <v>14</v>
      </c>
      <c r="H2390">
        <v>44</v>
      </c>
      <c r="I2390">
        <v>21.341000000000001</v>
      </c>
      <c r="J2390">
        <v>44.226999999999997</v>
      </c>
      <c r="K2390">
        <v>22.885999999999999</v>
      </c>
      <c r="L2390">
        <v>44</v>
      </c>
      <c r="M2390">
        <v>0</v>
      </c>
      <c r="N2390">
        <v>0</v>
      </c>
      <c r="O2390">
        <v>41.847000000000001</v>
      </c>
      <c r="P2390">
        <v>23.642760079999999</v>
      </c>
      <c r="Q2390">
        <v>4.923</v>
      </c>
    </row>
    <row r="2391" spans="1:17" x14ac:dyDescent="0.2">
      <c r="A2391" s="30" t="str">
        <f>IF(C2391&amp;G2391&amp;D2391&lt;&gt;'Funnel setup'!$K$3&amp;'Funnel setup'!$K$4&amp;'Funnel setup'!$K$5,".",IF(A2390=".",1,A2390+1))</f>
        <v>.</v>
      </c>
      <c r="B2391" s="431" t="str">
        <f t="shared" si="37"/>
        <v>Hip Replacement PrimaryProviderSPIRE DUNEDIN HOSPITAL (NT344)Oxford Hip Score</v>
      </c>
      <c r="C2391" t="s">
        <v>248</v>
      </c>
      <c r="D2391" t="s">
        <v>1</v>
      </c>
      <c r="E2391" t="s">
        <v>3415</v>
      </c>
      <c r="F2391" t="s">
        <v>3416</v>
      </c>
      <c r="G2391" t="s">
        <v>14</v>
      </c>
      <c r="H2391">
        <v>18</v>
      </c>
      <c r="I2391">
        <v>19.888999999999999</v>
      </c>
      <c r="J2391">
        <v>43.332999999999998</v>
      </c>
      <c r="K2391">
        <v>23.443999999999999</v>
      </c>
      <c r="L2391">
        <v>18</v>
      </c>
      <c r="M2391">
        <v>0</v>
      </c>
      <c r="N2391">
        <v>0</v>
      </c>
      <c r="O2391" t="s">
        <v>53</v>
      </c>
      <c r="P2391" t="s">
        <v>53</v>
      </c>
      <c r="Q2391" t="s">
        <v>53</v>
      </c>
    </row>
    <row r="2392" spans="1:17" x14ac:dyDescent="0.2">
      <c r="A2392" s="30" t="str">
        <f>IF(C2392&amp;G2392&amp;D2392&lt;&gt;'Funnel setup'!$K$3&amp;'Funnel setup'!$K$4&amp;'Funnel setup'!$K$5,".",IF(A2391=".",1,A2391+1))</f>
        <v>.</v>
      </c>
      <c r="B2392" s="431" t="str">
        <f t="shared" si="37"/>
        <v>Hip Replacement PrimaryProviderSPIRE ELLAND HOSPITAL (NT348)Oxford Hip Score</v>
      </c>
      <c r="C2392" t="s">
        <v>248</v>
      </c>
      <c r="D2392" t="s">
        <v>1</v>
      </c>
      <c r="E2392" t="s">
        <v>3418</v>
      </c>
      <c r="F2392" t="s">
        <v>3419</v>
      </c>
      <c r="G2392" t="s">
        <v>14</v>
      </c>
      <c r="H2392">
        <v>53</v>
      </c>
      <c r="I2392">
        <v>17.849</v>
      </c>
      <c r="J2392">
        <v>39.225999999999999</v>
      </c>
      <c r="K2392">
        <v>21.376999999999999</v>
      </c>
      <c r="L2392">
        <v>53</v>
      </c>
      <c r="M2392">
        <v>0</v>
      </c>
      <c r="N2392">
        <v>0</v>
      </c>
      <c r="O2392">
        <v>38.622</v>
      </c>
      <c r="P2392">
        <v>20.41728062</v>
      </c>
      <c r="Q2392">
        <v>7.226</v>
      </c>
    </row>
    <row r="2393" spans="1:17" x14ac:dyDescent="0.2">
      <c r="A2393" s="30" t="str">
        <f>IF(C2393&amp;G2393&amp;D2393&lt;&gt;'Funnel setup'!$K$3&amp;'Funnel setup'!$K$4&amp;'Funnel setup'!$K$5,".",IF(A2392=".",1,A2392+1))</f>
        <v>.</v>
      </c>
      <c r="B2393" s="431" t="str">
        <f t="shared" si="37"/>
        <v>Hip Replacement PrimaryProviderSPIRE FYLDE COAST HOSPITAL (NT347)Oxford Hip Score</v>
      </c>
      <c r="C2393" t="s">
        <v>248</v>
      </c>
      <c r="D2393" t="s">
        <v>1</v>
      </c>
      <c r="E2393" t="s">
        <v>4370</v>
      </c>
      <c r="F2393" t="s">
        <v>4371</v>
      </c>
      <c r="G2393" t="s">
        <v>14</v>
      </c>
      <c r="H2393">
        <v>78</v>
      </c>
      <c r="I2393">
        <v>19.614999999999998</v>
      </c>
      <c r="J2393">
        <v>38.231000000000002</v>
      </c>
      <c r="K2393">
        <v>18.614999999999998</v>
      </c>
      <c r="L2393">
        <v>71</v>
      </c>
      <c r="M2393">
        <v>1</v>
      </c>
      <c r="N2393">
        <v>6</v>
      </c>
      <c r="O2393">
        <v>37.792000000000002</v>
      </c>
      <c r="P2393">
        <v>19.587652049999999</v>
      </c>
      <c r="Q2393">
        <v>10.028</v>
      </c>
    </row>
    <row r="2394" spans="1:17" x14ac:dyDescent="0.2">
      <c r="A2394" s="30" t="str">
        <f>IF(C2394&amp;G2394&amp;D2394&lt;&gt;'Funnel setup'!$K$3&amp;'Funnel setup'!$K$4&amp;'Funnel setup'!$K$5,".",IF(A2393=".",1,A2393+1))</f>
        <v>.</v>
      </c>
      <c r="B2394" s="431" t="str">
        <f t="shared" si="37"/>
        <v>Hip Replacement PrimaryProviderSPIRE GATWICK PARK HOSPITAL (NT308)Oxford Hip Score</v>
      </c>
      <c r="C2394" t="s">
        <v>248</v>
      </c>
      <c r="D2394" t="s">
        <v>1</v>
      </c>
      <c r="E2394" t="s">
        <v>3409</v>
      </c>
      <c r="F2394" t="s">
        <v>3410</v>
      </c>
      <c r="G2394" t="s">
        <v>14</v>
      </c>
      <c r="H2394">
        <v>100</v>
      </c>
      <c r="I2394">
        <v>22.96</v>
      </c>
      <c r="J2394">
        <v>41.84</v>
      </c>
      <c r="K2394">
        <v>18.88</v>
      </c>
      <c r="L2394">
        <v>97</v>
      </c>
      <c r="M2394">
        <v>1</v>
      </c>
      <c r="N2394">
        <v>2</v>
      </c>
      <c r="O2394">
        <v>39.537999999999997</v>
      </c>
      <c r="P2394">
        <v>21.333868769999999</v>
      </c>
      <c r="Q2394">
        <v>7.4930000000000003</v>
      </c>
    </row>
    <row r="2395" spans="1:17" x14ac:dyDescent="0.2">
      <c r="A2395" s="30" t="str">
        <f>IF(C2395&amp;G2395&amp;D2395&lt;&gt;'Funnel setup'!$K$3&amp;'Funnel setup'!$K$4&amp;'Funnel setup'!$K$5,".",IF(A2394=".",1,A2394+1))</f>
        <v>.</v>
      </c>
      <c r="B2395" s="431" t="str">
        <f t="shared" si="37"/>
        <v>Hip Replacement PrimaryProviderSPIRE HARPENDEN HOSPITAL (NT316)Oxford Hip Score</v>
      </c>
      <c r="C2395" t="s">
        <v>248</v>
      </c>
      <c r="D2395" t="s">
        <v>1</v>
      </c>
      <c r="E2395" t="s">
        <v>4267</v>
      </c>
      <c r="F2395" t="s">
        <v>4268</v>
      </c>
      <c r="G2395" t="s">
        <v>14</v>
      </c>
      <c r="H2395">
        <v>69</v>
      </c>
      <c r="I2395">
        <v>20.087</v>
      </c>
      <c r="J2395">
        <v>42.087000000000003</v>
      </c>
      <c r="K2395">
        <v>22</v>
      </c>
      <c r="L2395">
        <v>67</v>
      </c>
      <c r="M2395">
        <v>1</v>
      </c>
      <c r="N2395">
        <v>1</v>
      </c>
      <c r="O2395">
        <v>40.841999999999999</v>
      </c>
      <c r="P2395">
        <v>22.637170739999998</v>
      </c>
      <c r="Q2395">
        <v>7.6619999999999999</v>
      </c>
    </row>
    <row r="2396" spans="1:17" x14ac:dyDescent="0.2">
      <c r="A2396" s="30" t="str">
        <f>IF(C2396&amp;G2396&amp;D2396&lt;&gt;'Funnel setup'!$K$3&amp;'Funnel setup'!$K$4&amp;'Funnel setup'!$K$5,".",IF(A2395=".",1,A2395+1))</f>
        <v>.</v>
      </c>
      <c r="B2396" s="431" t="str">
        <f t="shared" si="37"/>
        <v>Hip Replacement PrimaryProviderSPIRE HARTSWOOD HOSPITAL (NT319)Oxford Hip Score</v>
      </c>
      <c r="C2396" t="s">
        <v>248</v>
      </c>
      <c r="D2396" t="s">
        <v>1</v>
      </c>
      <c r="E2396" t="s">
        <v>3210</v>
      </c>
      <c r="F2396" t="s">
        <v>3211</v>
      </c>
      <c r="G2396" t="s">
        <v>14</v>
      </c>
      <c r="H2396">
        <v>10</v>
      </c>
      <c r="I2396">
        <v>21.3</v>
      </c>
      <c r="J2396">
        <v>36.5</v>
      </c>
      <c r="K2396">
        <v>15.2</v>
      </c>
      <c r="L2396">
        <v>9</v>
      </c>
      <c r="M2396">
        <v>0</v>
      </c>
      <c r="N2396">
        <v>1</v>
      </c>
      <c r="O2396" t="s">
        <v>53</v>
      </c>
      <c r="P2396" t="s">
        <v>53</v>
      </c>
      <c r="Q2396" t="s">
        <v>53</v>
      </c>
    </row>
    <row r="2397" spans="1:17" x14ac:dyDescent="0.2">
      <c r="A2397" s="30" t="str">
        <f>IF(C2397&amp;G2397&amp;D2397&lt;&gt;'Funnel setup'!$K$3&amp;'Funnel setup'!$K$4&amp;'Funnel setup'!$K$5,".",IF(A2396=".",1,A2396+1))</f>
        <v>.</v>
      </c>
      <c r="B2397" s="431" t="str">
        <f t="shared" si="37"/>
        <v>Hip Replacement PrimaryProviderSPIRE HULL AND EAST RIDING HOSPITAL (NT351)Oxford Hip Score</v>
      </c>
      <c r="C2397" t="s">
        <v>248</v>
      </c>
      <c r="D2397" t="s">
        <v>1</v>
      </c>
      <c r="E2397" t="s">
        <v>3213</v>
      </c>
      <c r="F2397" t="s">
        <v>3214</v>
      </c>
      <c r="G2397" t="s">
        <v>14</v>
      </c>
      <c r="H2397">
        <v>163</v>
      </c>
      <c r="I2397">
        <v>19.706</v>
      </c>
      <c r="J2397">
        <v>41.491</v>
      </c>
      <c r="K2397">
        <v>21.785</v>
      </c>
      <c r="L2397">
        <v>158</v>
      </c>
      <c r="M2397">
        <v>2</v>
      </c>
      <c r="N2397">
        <v>3</v>
      </c>
      <c r="O2397">
        <v>40.351999999999997</v>
      </c>
      <c r="P2397">
        <v>22.147349219999999</v>
      </c>
      <c r="Q2397">
        <v>7.2309999999999999</v>
      </c>
    </row>
    <row r="2398" spans="1:17" x14ac:dyDescent="0.2">
      <c r="A2398" s="30" t="str">
        <f>IF(C2398&amp;G2398&amp;D2398&lt;&gt;'Funnel setup'!$K$3&amp;'Funnel setup'!$K$4&amp;'Funnel setup'!$K$5,".",IF(A2397=".",1,A2397+1))</f>
        <v>.</v>
      </c>
      <c r="B2398" s="431" t="str">
        <f t="shared" si="37"/>
        <v>Hip Replacement PrimaryProviderSPIRE LEEDS HOSPITAL (NT332)Oxford Hip Score</v>
      </c>
      <c r="C2398" t="s">
        <v>248</v>
      </c>
      <c r="D2398" t="s">
        <v>1</v>
      </c>
      <c r="E2398" t="s">
        <v>3198</v>
      </c>
      <c r="F2398" t="s">
        <v>3199</v>
      </c>
      <c r="G2398" t="s">
        <v>14</v>
      </c>
      <c r="H2398">
        <v>75</v>
      </c>
      <c r="I2398">
        <v>20.146999999999998</v>
      </c>
      <c r="J2398">
        <v>41.307000000000002</v>
      </c>
      <c r="K2398">
        <v>21.16</v>
      </c>
      <c r="L2398">
        <v>73</v>
      </c>
      <c r="M2398">
        <v>2</v>
      </c>
      <c r="N2398">
        <v>0</v>
      </c>
      <c r="O2398">
        <v>40.21</v>
      </c>
      <c r="P2398">
        <v>22.00597621</v>
      </c>
      <c r="Q2398">
        <v>6.5289999999999999</v>
      </c>
    </row>
    <row r="2399" spans="1:17" x14ac:dyDescent="0.2">
      <c r="A2399" s="30" t="str">
        <f>IF(C2399&amp;G2399&amp;D2399&lt;&gt;'Funnel setup'!$K$3&amp;'Funnel setup'!$K$4&amp;'Funnel setup'!$K$5,".",IF(A2398=".",1,A2398+1))</f>
        <v>.</v>
      </c>
      <c r="B2399" s="431" t="str">
        <f t="shared" si="37"/>
        <v>Hip Replacement PrimaryProviderSPIRE LEICESTER HOSPITAL (NT322)Oxford Hip Score</v>
      </c>
      <c r="C2399" t="s">
        <v>248</v>
      </c>
      <c r="D2399" t="s">
        <v>1</v>
      </c>
      <c r="E2399" t="s">
        <v>3201</v>
      </c>
      <c r="F2399" t="s">
        <v>3202</v>
      </c>
      <c r="G2399" t="s">
        <v>14</v>
      </c>
      <c r="H2399">
        <v>90</v>
      </c>
      <c r="I2399">
        <v>17.311</v>
      </c>
      <c r="J2399">
        <v>41.677999999999997</v>
      </c>
      <c r="K2399">
        <v>24.367000000000001</v>
      </c>
      <c r="L2399">
        <v>89</v>
      </c>
      <c r="M2399">
        <v>0</v>
      </c>
      <c r="N2399">
        <v>1</v>
      </c>
      <c r="O2399">
        <v>41.167999999999999</v>
      </c>
      <c r="P2399">
        <v>22.963710429999999</v>
      </c>
      <c r="Q2399">
        <v>6.16</v>
      </c>
    </row>
    <row r="2400" spans="1:17" x14ac:dyDescent="0.2">
      <c r="A2400" s="30" t="str">
        <f>IF(C2400&amp;G2400&amp;D2400&lt;&gt;'Funnel setup'!$K$3&amp;'Funnel setup'!$K$4&amp;'Funnel setup'!$K$5,".",IF(A2399=".",1,A2399+1))</f>
        <v>.</v>
      </c>
      <c r="B2400" s="431" t="str">
        <f t="shared" si="37"/>
        <v>Hip Replacement PrimaryProviderSPIRE LITTLE ASTON HOSPITAL (NT321)Oxford Hip Score</v>
      </c>
      <c r="C2400" t="s">
        <v>248</v>
      </c>
      <c r="D2400" t="s">
        <v>1</v>
      </c>
      <c r="E2400" t="s">
        <v>3921</v>
      </c>
      <c r="F2400" t="s">
        <v>3922</v>
      </c>
      <c r="G2400" t="s">
        <v>14</v>
      </c>
      <c r="H2400">
        <v>77</v>
      </c>
      <c r="I2400">
        <v>18.312000000000001</v>
      </c>
      <c r="J2400">
        <v>38.935000000000002</v>
      </c>
      <c r="K2400">
        <v>20.623000000000001</v>
      </c>
      <c r="L2400">
        <v>75</v>
      </c>
      <c r="M2400">
        <v>0</v>
      </c>
      <c r="N2400">
        <v>2</v>
      </c>
      <c r="O2400">
        <v>39.155999999999999</v>
      </c>
      <c r="P2400">
        <v>20.951761130000001</v>
      </c>
      <c r="Q2400">
        <v>8.9580000000000002</v>
      </c>
    </row>
    <row r="2401" spans="1:17" x14ac:dyDescent="0.2">
      <c r="A2401" s="30" t="str">
        <f>IF(C2401&amp;G2401&amp;D2401&lt;&gt;'Funnel setup'!$K$3&amp;'Funnel setup'!$K$4&amp;'Funnel setup'!$K$5,".",IF(A2400=".",1,A2400+1))</f>
        <v>.</v>
      </c>
      <c r="B2401" s="431" t="str">
        <f t="shared" si="37"/>
        <v>Hip Replacement PrimaryProviderSPIRE LIVERPOOL HOSPITAL (NT337)Oxford Hip Score</v>
      </c>
      <c r="C2401" t="s">
        <v>248</v>
      </c>
      <c r="D2401" t="s">
        <v>1</v>
      </c>
      <c r="E2401" t="s">
        <v>3927</v>
      </c>
      <c r="F2401" t="s">
        <v>3928</v>
      </c>
      <c r="G2401" t="s">
        <v>14</v>
      </c>
      <c r="H2401">
        <v>71</v>
      </c>
      <c r="I2401">
        <v>17.437000000000001</v>
      </c>
      <c r="J2401">
        <v>40.774999999999999</v>
      </c>
      <c r="K2401">
        <v>23.338000000000001</v>
      </c>
      <c r="L2401">
        <v>68</v>
      </c>
      <c r="M2401">
        <v>2</v>
      </c>
      <c r="N2401">
        <v>1</v>
      </c>
      <c r="O2401">
        <v>40.843000000000004</v>
      </c>
      <c r="P2401">
        <v>22.638148359999999</v>
      </c>
      <c r="Q2401">
        <v>7.6509999999999998</v>
      </c>
    </row>
    <row r="2402" spans="1:17" x14ac:dyDescent="0.2">
      <c r="A2402" s="30" t="str">
        <f>IF(C2402&amp;G2402&amp;D2402&lt;&gt;'Funnel setup'!$K$3&amp;'Funnel setup'!$K$4&amp;'Funnel setup'!$K$5,".",IF(A2401=".",1,A2401+1))</f>
        <v>.</v>
      </c>
      <c r="B2402" s="431" t="str">
        <f t="shared" si="37"/>
        <v>Hip Replacement PrimaryProviderSPIRE MANCHESTER HOSPITAL (NT327)Oxford Hip Score</v>
      </c>
      <c r="C2402" t="s">
        <v>248</v>
      </c>
      <c r="D2402" t="s">
        <v>1</v>
      </c>
      <c r="E2402" t="s">
        <v>3154</v>
      </c>
      <c r="F2402" t="s">
        <v>3155</v>
      </c>
      <c r="G2402" t="s">
        <v>14</v>
      </c>
      <c r="H2402">
        <v>21</v>
      </c>
      <c r="I2402">
        <v>19.619</v>
      </c>
      <c r="J2402">
        <v>40.905000000000001</v>
      </c>
      <c r="K2402">
        <v>21.286000000000001</v>
      </c>
      <c r="L2402">
        <v>21</v>
      </c>
      <c r="M2402">
        <v>0</v>
      </c>
      <c r="N2402">
        <v>0</v>
      </c>
      <c r="O2402" t="s">
        <v>53</v>
      </c>
      <c r="P2402" t="s">
        <v>53</v>
      </c>
      <c r="Q2402" t="s">
        <v>53</v>
      </c>
    </row>
    <row r="2403" spans="1:17" x14ac:dyDescent="0.2">
      <c r="A2403" s="30" t="str">
        <f>IF(C2403&amp;G2403&amp;D2403&lt;&gt;'Funnel setup'!$K$3&amp;'Funnel setup'!$K$4&amp;'Funnel setup'!$K$5,".",IF(A2402=".",1,A2402+1))</f>
        <v>.</v>
      </c>
      <c r="B2403" s="431" t="str">
        <f t="shared" si="37"/>
        <v>Hip Replacement PrimaryProviderSPIRE METHLEY PARK HOSPITAL (NT350)Oxford Hip Score</v>
      </c>
      <c r="C2403" t="s">
        <v>248</v>
      </c>
      <c r="D2403" t="s">
        <v>1</v>
      </c>
      <c r="E2403" t="s">
        <v>3157</v>
      </c>
      <c r="F2403" t="s">
        <v>3158</v>
      </c>
      <c r="G2403" t="s">
        <v>14</v>
      </c>
      <c r="H2403">
        <v>60</v>
      </c>
      <c r="I2403">
        <v>19.433</v>
      </c>
      <c r="J2403">
        <v>38.917000000000002</v>
      </c>
      <c r="K2403">
        <v>19.483000000000001</v>
      </c>
      <c r="L2403">
        <v>56</v>
      </c>
      <c r="M2403">
        <v>2</v>
      </c>
      <c r="N2403">
        <v>2</v>
      </c>
      <c r="O2403">
        <v>38.323</v>
      </c>
      <c r="P2403">
        <v>20.118343899999999</v>
      </c>
      <c r="Q2403">
        <v>8.4570000000000007</v>
      </c>
    </row>
    <row r="2404" spans="1:17" x14ac:dyDescent="0.2">
      <c r="A2404" s="30" t="str">
        <f>IF(C2404&amp;G2404&amp;D2404&lt;&gt;'Funnel setup'!$K$3&amp;'Funnel setup'!$K$4&amp;'Funnel setup'!$K$5,".",IF(A2403=".",1,A2403+1))</f>
        <v>.</v>
      </c>
      <c r="B2404" s="431" t="str">
        <f t="shared" si="37"/>
        <v>Hip Replacement PrimaryProviderSPIRE MONTEFIORE HOSPITAL (NT364)Oxford Hip Score</v>
      </c>
      <c r="C2404" t="s">
        <v>248</v>
      </c>
      <c r="D2404" t="s">
        <v>1</v>
      </c>
      <c r="E2404" t="s">
        <v>3160</v>
      </c>
      <c r="F2404" t="s">
        <v>3161</v>
      </c>
      <c r="G2404" t="s">
        <v>14</v>
      </c>
      <c r="H2404">
        <v>63</v>
      </c>
      <c r="I2404">
        <v>21.794</v>
      </c>
      <c r="J2404">
        <v>41.365000000000002</v>
      </c>
      <c r="K2404">
        <v>19.571000000000002</v>
      </c>
      <c r="L2404">
        <v>62</v>
      </c>
      <c r="M2404">
        <v>0</v>
      </c>
      <c r="N2404">
        <v>1</v>
      </c>
      <c r="O2404">
        <v>40.058999999999997</v>
      </c>
      <c r="P2404">
        <v>21.854158649999999</v>
      </c>
      <c r="Q2404">
        <v>5.859</v>
      </c>
    </row>
    <row r="2405" spans="1:17" x14ac:dyDescent="0.2">
      <c r="A2405" s="30" t="str">
        <f>IF(C2405&amp;G2405&amp;D2405&lt;&gt;'Funnel setup'!$K$3&amp;'Funnel setup'!$K$4&amp;'Funnel setup'!$K$5,".",IF(A2404=".",1,A2404+1))</f>
        <v>.</v>
      </c>
      <c r="B2405" s="431" t="str">
        <f t="shared" si="37"/>
        <v>Hip Replacement PrimaryProviderSPIRE MURRAYFIELD HOSPITAL (NT325)Oxford Hip Score</v>
      </c>
      <c r="C2405" t="s">
        <v>248</v>
      </c>
      <c r="D2405" t="s">
        <v>1</v>
      </c>
      <c r="E2405" t="s">
        <v>3163</v>
      </c>
      <c r="F2405" t="s">
        <v>3164</v>
      </c>
      <c r="G2405" t="s">
        <v>14</v>
      </c>
      <c r="H2405">
        <v>65</v>
      </c>
      <c r="I2405">
        <v>21.169</v>
      </c>
      <c r="J2405">
        <v>40.984999999999999</v>
      </c>
      <c r="K2405">
        <v>19.815000000000001</v>
      </c>
      <c r="L2405">
        <v>61</v>
      </c>
      <c r="M2405">
        <v>1</v>
      </c>
      <c r="N2405">
        <v>3</v>
      </c>
      <c r="O2405">
        <v>39.671999999999997</v>
      </c>
      <c r="P2405">
        <v>21.467962490000001</v>
      </c>
      <c r="Q2405">
        <v>7.891</v>
      </c>
    </row>
    <row r="2406" spans="1:17" x14ac:dyDescent="0.2">
      <c r="A2406" s="30" t="str">
        <f>IF(C2406&amp;G2406&amp;D2406&lt;&gt;'Funnel setup'!$K$3&amp;'Funnel setup'!$K$4&amp;'Funnel setup'!$K$5,".",IF(A2405=".",1,A2405+1))</f>
        <v>.</v>
      </c>
      <c r="B2406" s="431" t="str">
        <f t="shared" si="37"/>
        <v>Hip Replacement PrimaryProviderSPIRE NORWICH HOSPITAL (NT318)Oxford Hip Score</v>
      </c>
      <c r="C2406" t="s">
        <v>248</v>
      </c>
      <c r="D2406" t="s">
        <v>1</v>
      </c>
      <c r="E2406" t="s">
        <v>4251</v>
      </c>
      <c r="F2406" t="s">
        <v>4252</v>
      </c>
      <c r="G2406" t="s">
        <v>14</v>
      </c>
      <c r="H2406">
        <v>262</v>
      </c>
      <c r="I2406">
        <v>20.103000000000002</v>
      </c>
      <c r="J2406">
        <v>41.893000000000001</v>
      </c>
      <c r="K2406">
        <v>21.79</v>
      </c>
      <c r="L2406">
        <v>259</v>
      </c>
      <c r="M2406">
        <v>0</v>
      </c>
      <c r="N2406">
        <v>3</v>
      </c>
      <c r="O2406">
        <v>40.695</v>
      </c>
      <c r="P2406">
        <v>22.490130270000002</v>
      </c>
      <c r="Q2406">
        <v>6.4370000000000003</v>
      </c>
    </row>
    <row r="2407" spans="1:17" x14ac:dyDescent="0.2">
      <c r="A2407" s="30" t="str">
        <f>IF(C2407&amp;G2407&amp;D2407&lt;&gt;'Funnel setup'!$K$3&amp;'Funnel setup'!$K$4&amp;'Funnel setup'!$K$5,".",IF(A2406=".",1,A2406+1))</f>
        <v>.</v>
      </c>
      <c r="B2407" s="431" t="str">
        <f t="shared" si="37"/>
        <v>Hip Replacement PrimaryProviderSPIRE PARKWAY HOSPITAL (NT320)Oxford Hip Score</v>
      </c>
      <c r="C2407" t="s">
        <v>248</v>
      </c>
      <c r="D2407" t="s">
        <v>1</v>
      </c>
      <c r="E2407" t="s">
        <v>3166</v>
      </c>
      <c r="F2407" t="s">
        <v>3167</v>
      </c>
      <c r="G2407" t="s">
        <v>14</v>
      </c>
      <c r="H2407">
        <v>79</v>
      </c>
      <c r="I2407">
        <v>22.481000000000002</v>
      </c>
      <c r="J2407">
        <v>41.253</v>
      </c>
      <c r="K2407">
        <v>18.771999999999998</v>
      </c>
      <c r="L2407">
        <v>77</v>
      </c>
      <c r="M2407">
        <v>0</v>
      </c>
      <c r="N2407">
        <v>2</v>
      </c>
      <c r="O2407">
        <v>39.180999999999997</v>
      </c>
      <c r="P2407">
        <v>20.976944400000001</v>
      </c>
      <c r="Q2407">
        <v>6.5940000000000003</v>
      </c>
    </row>
    <row r="2408" spans="1:17" x14ac:dyDescent="0.2">
      <c r="A2408" s="30" t="str">
        <f>IF(C2408&amp;G2408&amp;D2408&lt;&gt;'Funnel setup'!$K$3&amp;'Funnel setup'!$K$4&amp;'Funnel setup'!$K$5,".",IF(A2407=".",1,A2407+1))</f>
        <v>.</v>
      </c>
      <c r="B2408" s="431" t="str">
        <f t="shared" si="37"/>
        <v>Hip Replacement PrimaryProviderSPIRE PORTSMOUTH HOSPITAL (NT305)Oxford Hip Score</v>
      </c>
      <c r="C2408" t="s">
        <v>248</v>
      </c>
      <c r="D2408" t="s">
        <v>1</v>
      </c>
      <c r="E2408" t="s">
        <v>3169</v>
      </c>
      <c r="F2408" t="s">
        <v>340</v>
      </c>
      <c r="G2408" t="s">
        <v>14</v>
      </c>
      <c r="H2408">
        <v>107</v>
      </c>
      <c r="I2408">
        <v>21.635999999999999</v>
      </c>
      <c r="J2408">
        <v>41.896999999999998</v>
      </c>
      <c r="K2408">
        <v>20.262</v>
      </c>
      <c r="L2408">
        <v>106</v>
      </c>
      <c r="M2408">
        <v>0</v>
      </c>
      <c r="N2408">
        <v>1</v>
      </c>
      <c r="O2408">
        <v>40.101999999999997</v>
      </c>
      <c r="P2408">
        <v>21.897865230000001</v>
      </c>
      <c r="Q2408">
        <v>5.9</v>
      </c>
    </row>
    <row r="2409" spans="1:17" x14ac:dyDescent="0.2">
      <c r="A2409" s="30" t="str">
        <f>IF(C2409&amp;G2409&amp;D2409&lt;&gt;'Funnel setup'!$K$3&amp;'Funnel setup'!$K$4&amp;'Funnel setup'!$K$5,".",IF(A2408=".",1,A2408+1))</f>
        <v>.</v>
      </c>
      <c r="B2409" s="431" t="str">
        <f t="shared" si="37"/>
        <v>Hip Replacement PrimaryProviderSPIRE REGENCY HOSPITAL (NT339)Oxford Hip Score</v>
      </c>
      <c r="C2409" t="s">
        <v>248</v>
      </c>
      <c r="D2409" t="s">
        <v>1</v>
      </c>
      <c r="E2409" t="s">
        <v>3171</v>
      </c>
      <c r="F2409" t="s">
        <v>3172</v>
      </c>
      <c r="G2409" t="s">
        <v>14</v>
      </c>
      <c r="H2409">
        <v>48</v>
      </c>
      <c r="I2409">
        <v>19.75</v>
      </c>
      <c r="J2409">
        <v>40.625</v>
      </c>
      <c r="K2409">
        <v>20.875</v>
      </c>
      <c r="L2409">
        <v>47</v>
      </c>
      <c r="M2409">
        <v>0</v>
      </c>
      <c r="N2409">
        <v>1</v>
      </c>
      <c r="O2409">
        <v>39.523000000000003</v>
      </c>
      <c r="P2409">
        <v>21.318274160000001</v>
      </c>
      <c r="Q2409">
        <v>7.2510000000000003</v>
      </c>
    </row>
    <row r="2410" spans="1:17" x14ac:dyDescent="0.2">
      <c r="A2410" s="30" t="str">
        <f>IF(C2410&amp;G2410&amp;D2410&lt;&gt;'Funnel setup'!$K$3&amp;'Funnel setup'!$K$4&amp;'Funnel setup'!$K$5,".",IF(A2409=".",1,A2409+1))</f>
        <v>.</v>
      </c>
      <c r="B2410" s="431" t="str">
        <f t="shared" si="37"/>
        <v>Hip Replacement PrimaryProviderSPIRE RODING HOSPITAL (NT314)Oxford Hip Score</v>
      </c>
      <c r="C2410" t="s">
        <v>248</v>
      </c>
      <c r="D2410" t="s">
        <v>1</v>
      </c>
      <c r="E2410" t="s">
        <v>4254</v>
      </c>
      <c r="F2410" t="s">
        <v>4255</v>
      </c>
      <c r="G2410" t="s">
        <v>14</v>
      </c>
      <c r="H2410">
        <v>12</v>
      </c>
      <c r="I2410">
        <v>18</v>
      </c>
      <c r="J2410">
        <v>41.5</v>
      </c>
      <c r="K2410">
        <v>23.5</v>
      </c>
      <c r="L2410">
        <v>12</v>
      </c>
      <c r="M2410">
        <v>0</v>
      </c>
      <c r="N2410">
        <v>0</v>
      </c>
      <c r="O2410" t="s">
        <v>53</v>
      </c>
      <c r="P2410" t="s">
        <v>53</v>
      </c>
      <c r="Q2410" t="s">
        <v>53</v>
      </c>
    </row>
    <row r="2411" spans="1:17" x14ac:dyDescent="0.2">
      <c r="A2411" s="30" t="str">
        <f>IF(C2411&amp;G2411&amp;D2411&lt;&gt;'Funnel setup'!$K$3&amp;'Funnel setup'!$K$4&amp;'Funnel setup'!$K$5,".",IF(A2410=".",1,A2410+1))</f>
        <v>.</v>
      </c>
      <c r="B2411" s="431" t="str">
        <f t="shared" si="37"/>
        <v>Hip Replacement PrimaryProviderSPIRE SOUTH BANK HOSPITAL (NT301)Oxford Hip Score</v>
      </c>
      <c r="C2411" t="s">
        <v>248</v>
      </c>
      <c r="D2411" t="s">
        <v>1</v>
      </c>
      <c r="E2411" t="s">
        <v>3174</v>
      </c>
      <c r="F2411" t="s">
        <v>3175</v>
      </c>
      <c r="G2411" t="s">
        <v>14</v>
      </c>
      <c r="H2411">
        <v>35</v>
      </c>
      <c r="I2411">
        <v>19.170999999999999</v>
      </c>
      <c r="J2411">
        <v>39.743000000000002</v>
      </c>
      <c r="K2411">
        <v>20.571000000000002</v>
      </c>
      <c r="L2411">
        <v>33</v>
      </c>
      <c r="M2411">
        <v>1</v>
      </c>
      <c r="N2411">
        <v>1</v>
      </c>
      <c r="O2411">
        <v>39.093000000000004</v>
      </c>
      <c r="P2411">
        <v>20.888813420000002</v>
      </c>
      <c r="Q2411">
        <v>6.7539999999999996</v>
      </c>
    </row>
    <row r="2412" spans="1:17" x14ac:dyDescent="0.2">
      <c r="A2412" s="30" t="str">
        <f>IF(C2412&amp;G2412&amp;D2412&lt;&gt;'Funnel setup'!$K$3&amp;'Funnel setup'!$K$4&amp;'Funnel setup'!$K$5,".",IF(A2411=".",1,A2411+1))</f>
        <v>.</v>
      </c>
      <c r="B2412" s="431" t="str">
        <f t="shared" si="37"/>
        <v>Hip Replacement PrimaryProviderSPIRE ST SAVIOURS HOSPITAL (NT346)Oxford Hip Score</v>
      </c>
      <c r="C2412" t="s">
        <v>248</v>
      </c>
      <c r="D2412" t="s">
        <v>1</v>
      </c>
      <c r="E2412" t="s">
        <v>3177</v>
      </c>
      <c r="F2412" t="s">
        <v>3178</v>
      </c>
      <c r="G2412" t="s">
        <v>14</v>
      </c>
      <c r="H2412">
        <v>25</v>
      </c>
      <c r="I2412">
        <v>20.16</v>
      </c>
      <c r="J2412">
        <v>41.64</v>
      </c>
      <c r="K2412">
        <v>21.48</v>
      </c>
      <c r="L2412">
        <v>25</v>
      </c>
      <c r="M2412">
        <v>0</v>
      </c>
      <c r="N2412">
        <v>0</v>
      </c>
      <c r="O2412" t="s">
        <v>53</v>
      </c>
      <c r="P2412" t="s">
        <v>53</v>
      </c>
      <c r="Q2412" t="s">
        <v>53</v>
      </c>
    </row>
    <row r="2413" spans="1:17" x14ac:dyDescent="0.2">
      <c r="A2413" s="30" t="str">
        <f>IF(C2413&amp;G2413&amp;D2413&lt;&gt;'Funnel setup'!$K$3&amp;'Funnel setup'!$K$4&amp;'Funnel setup'!$K$5,".",IF(A2412=".",1,A2412+1))</f>
        <v>.</v>
      </c>
      <c r="B2413" s="431" t="str">
        <f t="shared" si="37"/>
        <v>Hip Replacement PrimaryProviderSPIRE SUSSEX HOSPITAL (NT309)Oxford Hip Score</v>
      </c>
      <c r="C2413" t="s">
        <v>248</v>
      </c>
      <c r="D2413" t="s">
        <v>1</v>
      </c>
      <c r="E2413" t="s">
        <v>3180</v>
      </c>
      <c r="F2413" t="s">
        <v>3181</v>
      </c>
      <c r="G2413" t="s">
        <v>14</v>
      </c>
      <c r="H2413">
        <v>32</v>
      </c>
      <c r="I2413">
        <v>20.780999999999999</v>
      </c>
      <c r="J2413">
        <v>42.5</v>
      </c>
      <c r="K2413">
        <v>21.719000000000001</v>
      </c>
      <c r="L2413">
        <v>32</v>
      </c>
      <c r="M2413">
        <v>0</v>
      </c>
      <c r="N2413">
        <v>0</v>
      </c>
      <c r="O2413">
        <v>41.076999999999998</v>
      </c>
      <c r="P2413">
        <v>22.87264489</v>
      </c>
      <c r="Q2413">
        <v>6.367</v>
      </c>
    </row>
    <row r="2414" spans="1:17" x14ac:dyDescent="0.2">
      <c r="A2414" s="30" t="str">
        <f>IF(C2414&amp;G2414&amp;D2414&lt;&gt;'Funnel setup'!$K$3&amp;'Funnel setup'!$K$4&amp;'Funnel setup'!$K$5,".",IF(A2413=".",1,A2413+1))</f>
        <v>.</v>
      </c>
      <c r="B2414" s="431" t="str">
        <f t="shared" si="37"/>
        <v>Hip Replacement PrimaryProviderSPIRE THAMES VALLEY HOSPITAL (NT343)Oxford Hip Score</v>
      </c>
      <c r="C2414" t="s">
        <v>248</v>
      </c>
      <c r="D2414" t="s">
        <v>1</v>
      </c>
      <c r="E2414" t="s">
        <v>3183</v>
      </c>
      <c r="F2414" t="s">
        <v>3184</v>
      </c>
      <c r="G2414" t="s">
        <v>14</v>
      </c>
      <c r="H2414">
        <v>7</v>
      </c>
      <c r="I2414">
        <v>19.286000000000001</v>
      </c>
      <c r="J2414">
        <v>40.856999999999999</v>
      </c>
      <c r="K2414">
        <v>21.571000000000002</v>
      </c>
      <c r="L2414">
        <v>7</v>
      </c>
      <c r="M2414">
        <v>0</v>
      </c>
      <c r="N2414">
        <v>0</v>
      </c>
      <c r="O2414" t="s">
        <v>53</v>
      </c>
      <c r="P2414" t="s">
        <v>53</v>
      </c>
      <c r="Q2414" t="s">
        <v>53</v>
      </c>
    </row>
    <row r="2415" spans="1:17" x14ac:dyDescent="0.2">
      <c r="A2415" s="30" t="str">
        <f>IF(C2415&amp;G2415&amp;D2415&lt;&gt;'Funnel setup'!$K$3&amp;'Funnel setup'!$K$4&amp;'Funnel setup'!$K$5,".",IF(A2414=".",1,A2414+1))</f>
        <v>.</v>
      </c>
      <c r="B2415" s="431" t="str">
        <f t="shared" si="37"/>
        <v>Hip Replacement PrimaryProviderSPIRE TUNBRIDGE WELLS HOSPITAL (NT310)Oxford Hip Score</v>
      </c>
      <c r="C2415" t="s">
        <v>248</v>
      </c>
      <c r="D2415" t="s">
        <v>1</v>
      </c>
      <c r="E2415" t="s">
        <v>3186</v>
      </c>
      <c r="F2415" t="s">
        <v>3187</v>
      </c>
      <c r="G2415" t="s">
        <v>14</v>
      </c>
      <c r="H2415" t="s">
        <v>53</v>
      </c>
      <c r="I2415" t="s">
        <v>53</v>
      </c>
      <c r="J2415" t="s">
        <v>53</v>
      </c>
      <c r="K2415" t="s">
        <v>53</v>
      </c>
      <c r="L2415" t="s">
        <v>53</v>
      </c>
      <c r="M2415" t="s">
        <v>53</v>
      </c>
      <c r="N2415" t="s">
        <v>53</v>
      </c>
      <c r="O2415" t="s">
        <v>53</v>
      </c>
      <c r="P2415" t="s">
        <v>53</v>
      </c>
      <c r="Q2415" t="s">
        <v>53</v>
      </c>
    </row>
    <row r="2416" spans="1:17" x14ac:dyDescent="0.2">
      <c r="A2416" s="30" t="str">
        <f>IF(C2416&amp;G2416&amp;D2416&lt;&gt;'Funnel setup'!$K$3&amp;'Funnel setup'!$K$4&amp;'Funnel setup'!$K$5,".",IF(A2415=".",1,A2415+1))</f>
        <v>.</v>
      </c>
      <c r="B2416" s="431" t="str">
        <f t="shared" si="37"/>
        <v>Hip Replacement PrimaryProviderSPIRE WASHINGTON HOSPITAL (NT333)Oxford Hip Score</v>
      </c>
      <c r="C2416" t="s">
        <v>248</v>
      </c>
      <c r="D2416" t="s">
        <v>1</v>
      </c>
      <c r="E2416" t="s">
        <v>3189</v>
      </c>
      <c r="F2416" t="s">
        <v>3190</v>
      </c>
      <c r="G2416" t="s">
        <v>14</v>
      </c>
      <c r="H2416">
        <v>68</v>
      </c>
      <c r="I2416">
        <v>17.117999999999999</v>
      </c>
      <c r="J2416">
        <v>40.661999999999999</v>
      </c>
      <c r="K2416">
        <v>23.544</v>
      </c>
      <c r="L2416">
        <v>67</v>
      </c>
      <c r="M2416">
        <v>0</v>
      </c>
      <c r="N2416">
        <v>1</v>
      </c>
      <c r="O2416">
        <v>40.584000000000003</v>
      </c>
      <c r="P2416">
        <v>22.37910239</v>
      </c>
      <c r="Q2416">
        <v>7.0750000000000002</v>
      </c>
    </row>
    <row r="2417" spans="1:17" x14ac:dyDescent="0.2">
      <c r="A2417" s="30" t="str">
        <f>IF(C2417&amp;G2417&amp;D2417&lt;&gt;'Funnel setup'!$K$3&amp;'Funnel setup'!$K$4&amp;'Funnel setup'!$K$5,".",IF(A2416=".",1,A2416+1))</f>
        <v>.</v>
      </c>
      <c r="B2417" s="431" t="str">
        <f t="shared" si="37"/>
        <v>Hip Replacement PrimaryProviderSPIRE WELLESLEY HOSPITAL (NT313)Oxford Hip Score</v>
      </c>
      <c r="C2417" t="s">
        <v>248</v>
      </c>
      <c r="D2417" t="s">
        <v>1</v>
      </c>
      <c r="E2417" t="s">
        <v>3192</v>
      </c>
      <c r="F2417" t="s">
        <v>3193</v>
      </c>
      <c r="G2417" t="s">
        <v>14</v>
      </c>
      <c r="H2417">
        <v>88</v>
      </c>
      <c r="I2417">
        <v>16.943000000000001</v>
      </c>
      <c r="J2417">
        <v>39.783999999999999</v>
      </c>
      <c r="K2417">
        <v>22.841000000000001</v>
      </c>
      <c r="L2417">
        <v>85</v>
      </c>
      <c r="M2417">
        <v>2</v>
      </c>
      <c r="N2417">
        <v>1</v>
      </c>
      <c r="O2417">
        <v>39.915999999999997</v>
      </c>
      <c r="P2417">
        <v>21.71132313</v>
      </c>
      <c r="Q2417">
        <v>8.0210000000000008</v>
      </c>
    </row>
    <row r="2418" spans="1:17" x14ac:dyDescent="0.2">
      <c r="A2418" s="30" t="str">
        <f>IF(C2418&amp;G2418&amp;D2418&lt;&gt;'Funnel setup'!$K$3&amp;'Funnel setup'!$K$4&amp;'Funnel setup'!$K$5,".",IF(A2417=".",1,A2417+1))</f>
        <v>.</v>
      </c>
      <c r="B2418" s="431" t="str">
        <f t="shared" si="37"/>
        <v>Hip Replacement PrimaryProviderSPRINGFIELD HOSPITAL (NVC18)Oxford Hip Score</v>
      </c>
      <c r="C2418" t="s">
        <v>248</v>
      </c>
      <c r="D2418" t="s">
        <v>1</v>
      </c>
      <c r="E2418" t="s">
        <v>3195</v>
      </c>
      <c r="F2418" t="s">
        <v>3196</v>
      </c>
      <c r="G2418" t="s">
        <v>14</v>
      </c>
      <c r="H2418">
        <v>163</v>
      </c>
      <c r="I2418">
        <v>17.515000000000001</v>
      </c>
      <c r="J2418">
        <v>42.281999999999996</v>
      </c>
      <c r="K2418">
        <v>24.766999999999999</v>
      </c>
      <c r="L2418">
        <v>161</v>
      </c>
      <c r="M2418">
        <v>2</v>
      </c>
      <c r="N2418">
        <v>0</v>
      </c>
      <c r="O2418">
        <v>41.865000000000002</v>
      </c>
      <c r="P2418">
        <v>23.660756119999999</v>
      </c>
      <c r="Q2418">
        <v>6.1180000000000003</v>
      </c>
    </row>
    <row r="2419" spans="1:17" x14ac:dyDescent="0.2">
      <c r="A2419" s="30" t="str">
        <f>IF(C2419&amp;G2419&amp;D2419&lt;&gt;'Funnel setup'!$K$3&amp;'Funnel setup'!$K$4&amp;'Funnel setup'!$K$5,".",IF(A2418=".",1,A2418+1))</f>
        <v>.</v>
      </c>
      <c r="B2419" s="431" t="str">
        <f t="shared" si="37"/>
        <v>Hip Replacement PrimaryProviderST GEORGE'S UNIVERSITY HOSPITALS NHS FOUNDATION TRUST (RJ7)Oxford Hip Score</v>
      </c>
      <c r="C2419" t="s">
        <v>248</v>
      </c>
      <c r="D2419" t="s">
        <v>1</v>
      </c>
      <c r="E2419" t="s">
        <v>3124</v>
      </c>
      <c r="F2419" t="s">
        <v>3125</v>
      </c>
      <c r="G2419" t="s">
        <v>14</v>
      </c>
      <c r="H2419" t="s">
        <v>53</v>
      </c>
      <c r="I2419" t="s">
        <v>53</v>
      </c>
      <c r="J2419" t="s">
        <v>53</v>
      </c>
      <c r="K2419" t="s">
        <v>53</v>
      </c>
      <c r="L2419" t="s">
        <v>53</v>
      </c>
      <c r="M2419" t="s">
        <v>53</v>
      </c>
      <c r="N2419" t="s">
        <v>53</v>
      </c>
      <c r="O2419" t="s">
        <v>53</v>
      </c>
      <c r="P2419" t="s">
        <v>53</v>
      </c>
      <c r="Q2419" t="s">
        <v>53</v>
      </c>
    </row>
    <row r="2420" spans="1:17" x14ac:dyDescent="0.2">
      <c r="A2420" s="30" t="str">
        <f>IF(C2420&amp;G2420&amp;D2420&lt;&gt;'Funnel setup'!$K$3&amp;'Funnel setup'!$K$4&amp;'Funnel setup'!$K$5,".",IF(A2419=".",1,A2419+1))</f>
        <v>.</v>
      </c>
      <c r="B2420" s="431" t="str">
        <f t="shared" si="37"/>
        <v>Hip Replacement PrimaryProviderST HELENS AND KNOWSLEY HOSPITALS NHS TRUST (RBN)Oxford Hip Score</v>
      </c>
      <c r="C2420" t="s">
        <v>248</v>
      </c>
      <c r="D2420" t="s">
        <v>1</v>
      </c>
      <c r="E2420" t="s">
        <v>3127</v>
      </c>
      <c r="F2420" t="s">
        <v>3128</v>
      </c>
      <c r="G2420" t="s">
        <v>14</v>
      </c>
      <c r="H2420">
        <v>154</v>
      </c>
      <c r="I2420">
        <v>16.739999999999998</v>
      </c>
      <c r="J2420">
        <v>36.765999999999998</v>
      </c>
      <c r="K2420">
        <v>20.026</v>
      </c>
      <c r="L2420">
        <v>149</v>
      </c>
      <c r="M2420">
        <v>1</v>
      </c>
      <c r="N2420">
        <v>4</v>
      </c>
      <c r="O2420">
        <v>38.58</v>
      </c>
      <c r="P2420">
        <v>20.375385519999998</v>
      </c>
      <c r="Q2420">
        <v>8.9469999999999992</v>
      </c>
    </row>
    <row r="2421" spans="1:17" x14ac:dyDescent="0.2">
      <c r="A2421" s="30" t="str">
        <f>IF(C2421&amp;G2421&amp;D2421&lt;&gt;'Funnel setup'!$K$3&amp;'Funnel setup'!$K$4&amp;'Funnel setup'!$K$5,".",IF(A2420=".",1,A2420+1))</f>
        <v>.</v>
      </c>
      <c r="B2421" s="431" t="str">
        <f t="shared" si="37"/>
        <v>Hip Replacement PrimaryProviderST HUGH'S HOSPITAL (NTE02)Oxford Hip Score</v>
      </c>
      <c r="C2421" t="s">
        <v>248</v>
      </c>
      <c r="D2421" t="s">
        <v>1</v>
      </c>
      <c r="E2421" t="s">
        <v>3130</v>
      </c>
      <c r="F2421" t="s">
        <v>3131</v>
      </c>
      <c r="G2421" t="s">
        <v>14</v>
      </c>
      <c r="H2421">
        <v>45</v>
      </c>
      <c r="I2421">
        <v>19.378</v>
      </c>
      <c r="J2421">
        <v>43.311</v>
      </c>
      <c r="K2421">
        <v>23.933</v>
      </c>
      <c r="L2421">
        <v>45</v>
      </c>
      <c r="M2421">
        <v>0</v>
      </c>
      <c r="N2421">
        <v>0</v>
      </c>
      <c r="O2421">
        <v>42.887999999999998</v>
      </c>
      <c r="P2421">
        <v>24.68347773</v>
      </c>
      <c r="Q2421">
        <v>5.4269999999999996</v>
      </c>
    </row>
    <row r="2422" spans="1:17" x14ac:dyDescent="0.2">
      <c r="A2422" s="30" t="str">
        <f>IF(C2422&amp;G2422&amp;D2422&lt;&gt;'Funnel setup'!$K$3&amp;'Funnel setup'!$K$4&amp;'Funnel setup'!$K$5,".",IF(A2421=".",1,A2421+1))</f>
        <v>.</v>
      </c>
      <c r="B2422" s="431" t="str">
        <f t="shared" si="37"/>
        <v>Hip Replacement PrimaryProviderSTOCKPORT NHS FOUNDATION TRUST (RWJ)Oxford Hip Score</v>
      </c>
      <c r="C2422" t="s">
        <v>248</v>
      </c>
      <c r="D2422" t="s">
        <v>1</v>
      </c>
      <c r="E2422" t="s">
        <v>3142</v>
      </c>
      <c r="F2422" t="s">
        <v>3143</v>
      </c>
      <c r="G2422" t="s">
        <v>14</v>
      </c>
      <c r="H2422">
        <v>232</v>
      </c>
      <c r="I2422">
        <v>17.707000000000001</v>
      </c>
      <c r="J2422">
        <v>41.042999999999999</v>
      </c>
      <c r="K2422">
        <v>23.335999999999999</v>
      </c>
      <c r="L2422">
        <v>229</v>
      </c>
      <c r="M2422">
        <v>0</v>
      </c>
      <c r="N2422">
        <v>3</v>
      </c>
      <c r="O2422">
        <v>40.896999999999998</v>
      </c>
      <c r="P2422">
        <v>22.692925649999999</v>
      </c>
      <c r="Q2422">
        <v>6.4870000000000001</v>
      </c>
    </row>
    <row r="2423" spans="1:17" x14ac:dyDescent="0.2">
      <c r="A2423" s="30" t="str">
        <f>IF(C2423&amp;G2423&amp;D2423&lt;&gt;'Funnel setup'!$K$3&amp;'Funnel setup'!$K$4&amp;'Funnel setup'!$K$5,".",IF(A2422=".",1,A2422+1))</f>
        <v>.</v>
      </c>
      <c r="B2423" s="431" t="str">
        <f t="shared" si="37"/>
        <v>Hip Replacement PrimaryProviderSURREY AND SUSSEX HEALTHCARE NHS TRUST (RTP)Oxford Hip Score</v>
      </c>
      <c r="C2423" t="s">
        <v>248</v>
      </c>
      <c r="D2423" t="s">
        <v>1</v>
      </c>
      <c r="E2423" t="s">
        <v>3145</v>
      </c>
      <c r="F2423" t="s">
        <v>3146</v>
      </c>
      <c r="G2423" t="s">
        <v>14</v>
      </c>
      <c r="H2423">
        <v>102</v>
      </c>
      <c r="I2423">
        <v>17.577999999999999</v>
      </c>
      <c r="J2423">
        <v>39.725000000000001</v>
      </c>
      <c r="K2423">
        <v>22.146999999999998</v>
      </c>
      <c r="L2423">
        <v>99</v>
      </c>
      <c r="M2423">
        <v>0</v>
      </c>
      <c r="N2423">
        <v>3</v>
      </c>
      <c r="O2423">
        <v>39.947000000000003</v>
      </c>
      <c r="P2423">
        <v>21.742370569999999</v>
      </c>
      <c r="Q2423">
        <v>7.2759999999999998</v>
      </c>
    </row>
    <row r="2424" spans="1:17" x14ac:dyDescent="0.2">
      <c r="A2424" s="30" t="str">
        <f>IF(C2424&amp;G2424&amp;D2424&lt;&gt;'Funnel setup'!$K$3&amp;'Funnel setup'!$K$4&amp;'Funnel setup'!$K$5,".",IF(A2423=".",1,A2423+1))</f>
        <v>.</v>
      </c>
      <c r="B2424" s="431" t="str">
        <f t="shared" si="37"/>
        <v>Hip Replacement PrimaryProviderTAMESIDE HOSPITAL NHS FOUNDATION TRUST (RMP)Oxford Hip Score</v>
      </c>
      <c r="C2424" t="s">
        <v>248</v>
      </c>
      <c r="D2424" t="s">
        <v>1</v>
      </c>
      <c r="E2424" t="s">
        <v>3148</v>
      </c>
      <c r="F2424" t="s">
        <v>3149</v>
      </c>
      <c r="G2424" t="s">
        <v>14</v>
      </c>
      <c r="H2424">
        <v>89</v>
      </c>
      <c r="I2424">
        <v>16.225000000000001</v>
      </c>
      <c r="J2424">
        <v>36.371000000000002</v>
      </c>
      <c r="K2424">
        <v>20.146000000000001</v>
      </c>
      <c r="L2424">
        <v>87</v>
      </c>
      <c r="M2424">
        <v>1</v>
      </c>
      <c r="N2424">
        <v>1</v>
      </c>
      <c r="O2424">
        <v>38.091000000000001</v>
      </c>
      <c r="P2424">
        <v>19.886860850000001</v>
      </c>
      <c r="Q2424">
        <v>9.23</v>
      </c>
    </row>
    <row r="2425" spans="1:17" x14ac:dyDescent="0.2">
      <c r="A2425" s="30" t="str">
        <f>IF(C2425&amp;G2425&amp;D2425&lt;&gt;'Funnel setup'!$K$3&amp;'Funnel setup'!$K$4&amp;'Funnel setup'!$K$5,".",IF(A2424=".",1,A2424+1))</f>
        <v>.</v>
      </c>
      <c r="B2425" s="431" t="str">
        <f t="shared" si="37"/>
        <v>Hip Replacement PrimaryProviderTAUNTON AND SOMERSET NHS FOUNDATION TRUST (RBA)Oxford Hip Score</v>
      </c>
      <c r="C2425" t="s">
        <v>248</v>
      </c>
      <c r="D2425" t="s">
        <v>1</v>
      </c>
      <c r="E2425" t="s">
        <v>3151</v>
      </c>
      <c r="F2425" t="s">
        <v>3152</v>
      </c>
      <c r="G2425" t="s">
        <v>14</v>
      </c>
      <c r="H2425">
        <v>85</v>
      </c>
      <c r="I2425">
        <v>18.353000000000002</v>
      </c>
      <c r="J2425">
        <v>40.634999999999998</v>
      </c>
      <c r="K2425">
        <v>22.282</v>
      </c>
      <c r="L2425">
        <v>83</v>
      </c>
      <c r="M2425">
        <v>0</v>
      </c>
      <c r="N2425">
        <v>2</v>
      </c>
      <c r="O2425">
        <v>40.633000000000003</v>
      </c>
      <c r="P2425">
        <v>22.4287606</v>
      </c>
      <c r="Q2425">
        <v>7.5019999999999998</v>
      </c>
    </row>
    <row r="2426" spans="1:17" x14ac:dyDescent="0.2">
      <c r="A2426" s="30" t="str">
        <f>IF(C2426&amp;G2426&amp;D2426&lt;&gt;'Funnel setup'!$K$3&amp;'Funnel setup'!$K$4&amp;'Funnel setup'!$K$5,".",IF(A2425=".",1,A2425+1))</f>
        <v>.</v>
      </c>
      <c r="B2426" s="431" t="str">
        <f t="shared" si="37"/>
        <v>Hip Replacement PrimaryProviderTHE BERKSHIRE INDEPENDENT HOSPITAL (NVC02)Oxford Hip Score</v>
      </c>
      <c r="C2426" t="s">
        <v>248</v>
      </c>
      <c r="D2426" t="s">
        <v>1</v>
      </c>
      <c r="E2426" t="s">
        <v>3118</v>
      </c>
      <c r="F2426" t="s">
        <v>3119</v>
      </c>
      <c r="G2426" t="s">
        <v>14</v>
      </c>
      <c r="H2426">
        <v>27</v>
      </c>
      <c r="I2426">
        <v>22.481000000000002</v>
      </c>
      <c r="J2426">
        <v>43.889000000000003</v>
      </c>
      <c r="K2426">
        <v>21.407</v>
      </c>
      <c r="L2426">
        <v>27</v>
      </c>
      <c r="M2426">
        <v>0</v>
      </c>
      <c r="N2426">
        <v>0</v>
      </c>
      <c r="O2426" t="s">
        <v>53</v>
      </c>
      <c r="P2426" t="s">
        <v>53</v>
      </c>
      <c r="Q2426" t="s">
        <v>53</v>
      </c>
    </row>
    <row r="2427" spans="1:17" x14ac:dyDescent="0.2">
      <c r="A2427" s="30" t="str">
        <f>IF(C2427&amp;G2427&amp;D2427&lt;&gt;'Funnel setup'!$K$3&amp;'Funnel setup'!$K$4&amp;'Funnel setup'!$K$5,".",IF(A2426=".",1,A2426+1))</f>
        <v>.</v>
      </c>
      <c r="B2427" s="431" t="str">
        <f t="shared" si="37"/>
        <v>Hip Replacement PrimaryProviderTHE DUDLEY GROUP NHS FOUNDATION TRUST (RNA)Oxford Hip Score</v>
      </c>
      <c r="C2427" t="s">
        <v>248</v>
      </c>
      <c r="D2427" t="s">
        <v>1</v>
      </c>
      <c r="E2427" t="s">
        <v>3121</v>
      </c>
      <c r="F2427" t="s">
        <v>3122</v>
      </c>
      <c r="G2427" t="s">
        <v>14</v>
      </c>
      <c r="H2427">
        <v>258</v>
      </c>
      <c r="I2427">
        <v>16.248000000000001</v>
      </c>
      <c r="J2427">
        <v>38.256</v>
      </c>
      <c r="K2427">
        <v>22.007999999999999</v>
      </c>
      <c r="L2427">
        <v>251</v>
      </c>
      <c r="M2427">
        <v>1</v>
      </c>
      <c r="N2427">
        <v>6</v>
      </c>
      <c r="O2427">
        <v>39.448999999999998</v>
      </c>
      <c r="P2427">
        <v>21.244863840000001</v>
      </c>
      <c r="Q2427">
        <v>8.3539999999999992</v>
      </c>
    </row>
    <row r="2428" spans="1:17" x14ac:dyDescent="0.2">
      <c r="A2428" s="30" t="str">
        <f>IF(C2428&amp;G2428&amp;D2428&lt;&gt;'Funnel setup'!$K$3&amp;'Funnel setup'!$K$4&amp;'Funnel setup'!$K$5,".",IF(A2427=".",1,A2427+1))</f>
        <v>.</v>
      </c>
      <c r="B2428" s="431" t="str">
        <f t="shared" si="37"/>
        <v>Hip Replacement PrimaryProviderTHE HILLINGDON HOSPITALS NHS FOUNDATION TRUST (RAS)Oxford Hip Score</v>
      </c>
      <c r="C2428" t="s">
        <v>248</v>
      </c>
      <c r="D2428" t="s">
        <v>1</v>
      </c>
      <c r="E2428" t="s">
        <v>3115</v>
      </c>
      <c r="F2428" t="s">
        <v>3116</v>
      </c>
      <c r="G2428" t="s">
        <v>14</v>
      </c>
      <c r="H2428">
        <v>182</v>
      </c>
      <c r="I2428">
        <v>19.335000000000001</v>
      </c>
      <c r="J2428">
        <v>38.845999999999997</v>
      </c>
      <c r="K2428">
        <v>19.510999999999999</v>
      </c>
      <c r="L2428">
        <v>174</v>
      </c>
      <c r="M2428">
        <v>0</v>
      </c>
      <c r="N2428">
        <v>8</v>
      </c>
      <c r="O2428">
        <v>39.03</v>
      </c>
      <c r="P2428">
        <v>20.825182089999998</v>
      </c>
      <c r="Q2428">
        <v>8.5960000000000001</v>
      </c>
    </row>
    <row r="2429" spans="1:17" x14ac:dyDescent="0.2">
      <c r="A2429" s="30" t="str">
        <f>IF(C2429&amp;G2429&amp;D2429&lt;&gt;'Funnel setup'!$K$3&amp;'Funnel setup'!$K$4&amp;'Funnel setup'!$K$5,".",IF(A2428=".",1,A2428+1))</f>
        <v>.</v>
      </c>
      <c r="B2429" s="431" t="str">
        <f t="shared" si="37"/>
        <v>Hip Replacement PrimaryProviderTHE HORDER CENTRE - ST JOHNS ROAD (NXM01)Oxford Hip Score</v>
      </c>
      <c r="C2429" t="s">
        <v>248</v>
      </c>
      <c r="D2429" t="s">
        <v>1</v>
      </c>
      <c r="E2429" t="s">
        <v>4222</v>
      </c>
      <c r="F2429" t="s">
        <v>4223</v>
      </c>
      <c r="G2429" t="s">
        <v>14</v>
      </c>
      <c r="H2429">
        <v>622</v>
      </c>
      <c r="I2429">
        <v>22.445</v>
      </c>
      <c r="J2429">
        <v>42.844000000000001</v>
      </c>
      <c r="K2429">
        <v>20.399000000000001</v>
      </c>
      <c r="L2429">
        <v>605</v>
      </c>
      <c r="M2429">
        <v>2</v>
      </c>
      <c r="N2429">
        <v>15</v>
      </c>
      <c r="O2429">
        <v>41.386000000000003</v>
      </c>
      <c r="P2429">
        <v>23.181336760000001</v>
      </c>
      <c r="Q2429">
        <v>6.32</v>
      </c>
    </row>
    <row r="2430" spans="1:17" x14ac:dyDescent="0.2">
      <c r="A2430" s="30" t="str">
        <f>IF(C2430&amp;G2430&amp;D2430&lt;&gt;'Funnel setup'!$K$3&amp;'Funnel setup'!$K$4&amp;'Funnel setup'!$K$5,".",IF(A2429=".",1,A2429+1))</f>
        <v>.</v>
      </c>
      <c r="B2430" s="431" t="str">
        <f t="shared" si="37"/>
        <v>Hip Replacement PrimaryProviderTHE NEWCASTLE UPON TYNE HOSPITALS NHS FOUNDATION TRUST (RTD)Oxford Hip Score</v>
      </c>
      <c r="C2430" t="s">
        <v>248</v>
      </c>
      <c r="D2430" t="s">
        <v>1</v>
      </c>
      <c r="E2430" t="s">
        <v>3748</v>
      </c>
      <c r="F2430" t="s">
        <v>3749</v>
      </c>
      <c r="G2430" t="s">
        <v>14</v>
      </c>
      <c r="H2430">
        <v>338</v>
      </c>
      <c r="I2430">
        <v>18.888000000000002</v>
      </c>
      <c r="J2430">
        <v>40.024000000000001</v>
      </c>
      <c r="K2430">
        <v>21.135999999999999</v>
      </c>
      <c r="L2430">
        <v>330</v>
      </c>
      <c r="M2430">
        <v>3</v>
      </c>
      <c r="N2430">
        <v>5</v>
      </c>
      <c r="O2430">
        <v>39.844999999999999</v>
      </c>
      <c r="P2430">
        <v>21.640379100000001</v>
      </c>
      <c r="Q2430">
        <v>7.6660000000000004</v>
      </c>
    </row>
    <row r="2431" spans="1:17" x14ac:dyDescent="0.2">
      <c r="A2431" s="30" t="str">
        <f>IF(C2431&amp;G2431&amp;D2431&lt;&gt;'Funnel setup'!$K$3&amp;'Funnel setup'!$K$4&amp;'Funnel setup'!$K$5,".",IF(A2430=".",1,A2430+1))</f>
        <v>.</v>
      </c>
      <c r="B2431" s="431" t="str">
        <f t="shared" si="37"/>
        <v>Hip Replacement PrimaryProviderTHE PRINCESS ALEXANDRA HOSPITAL NHS TRUST (RQW)Oxford Hip Score</v>
      </c>
      <c r="C2431" t="s">
        <v>248</v>
      </c>
      <c r="D2431" t="s">
        <v>1</v>
      </c>
      <c r="E2431" t="s">
        <v>3751</v>
      </c>
      <c r="F2431" t="s">
        <v>3752</v>
      </c>
      <c r="G2431" t="s">
        <v>14</v>
      </c>
      <c r="H2431">
        <v>184</v>
      </c>
      <c r="I2431">
        <v>17.614000000000001</v>
      </c>
      <c r="J2431">
        <v>37.304000000000002</v>
      </c>
      <c r="K2431">
        <v>19.690000000000001</v>
      </c>
      <c r="L2431">
        <v>172</v>
      </c>
      <c r="M2431">
        <v>2</v>
      </c>
      <c r="N2431">
        <v>10</v>
      </c>
      <c r="O2431">
        <v>37.359000000000002</v>
      </c>
      <c r="P2431">
        <v>19.154440919999999</v>
      </c>
      <c r="Q2431">
        <v>8.7739999999999991</v>
      </c>
    </row>
    <row r="2432" spans="1:17" x14ac:dyDescent="0.2">
      <c r="A2432" s="30" t="str">
        <f>IF(C2432&amp;G2432&amp;D2432&lt;&gt;'Funnel setup'!$K$3&amp;'Funnel setup'!$K$4&amp;'Funnel setup'!$K$5,".",IF(A2431=".",1,A2431+1))</f>
        <v>.</v>
      </c>
      <c r="B2432" s="431" t="str">
        <f t="shared" si="37"/>
        <v>Hip Replacement PrimaryProviderTHE QUEEN ELIZABETH HOSPITAL, KING'S LYNN, NHS FOUNDATION TRUST (RCX)Oxford Hip Score</v>
      </c>
      <c r="C2432" t="s">
        <v>248</v>
      </c>
      <c r="D2432" t="s">
        <v>1</v>
      </c>
      <c r="E2432" t="s">
        <v>3754</v>
      </c>
      <c r="F2432" t="s">
        <v>3755</v>
      </c>
      <c r="G2432" t="s">
        <v>14</v>
      </c>
      <c r="H2432">
        <v>172</v>
      </c>
      <c r="I2432">
        <v>17.087</v>
      </c>
      <c r="J2432">
        <v>38.517000000000003</v>
      </c>
      <c r="K2432">
        <v>21.43</v>
      </c>
      <c r="L2432">
        <v>166</v>
      </c>
      <c r="M2432">
        <v>1</v>
      </c>
      <c r="N2432">
        <v>5</v>
      </c>
      <c r="O2432">
        <v>39.298999999999999</v>
      </c>
      <c r="P2432">
        <v>21.0944577</v>
      </c>
      <c r="Q2432">
        <v>8.6539999999999999</v>
      </c>
    </row>
    <row r="2433" spans="1:17" x14ac:dyDescent="0.2">
      <c r="A2433" s="30" t="str">
        <f>IF(C2433&amp;G2433&amp;D2433&lt;&gt;'Funnel setup'!$K$3&amp;'Funnel setup'!$K$4&amp;'Funnel setup'!$K$5,".",IF(A2432=".",1,A2432+1))</f>
        <v>.</v>
      </c>
      <c r="B2433" s="431" t="str">
        <f t="shared" si="37"/>
        <v>Hip Replacement PrimaryProviderTHE ROBERT JONES AND AGNES HUNT ORTHOPAEDIC HOSPITAL NHS FOUNDATION TRUST (RL1)Oxford Hip Score</v>
      </c>
      <c r="C2433" t="s">
        <v>248</v>
      </c>
      <c r="D2433" t="s">
        <v>1</v>
      </c>
      <c r="E2433" t="s">
        <v>4496</v>
      </c>
      <c r="F2433" t="s">
        <v>4497</v>
      </c>
      <c r="G2433" t="s">
        <v>14</v>
      </c>
      <c r="H2433">
        <v>548</v>
      </c>
      <c r="I2433">
        <v>16.62</v>
      </c>
      <c r="J2433">
        <v>40.497999999999998</v>
      </c>
      <c r="K2433">
        <v>23.878</v>
      </c>
      <c r="L2433">
        <v>535</v>
      </c>
      <c r="M2433">
        <v>3</v>
      </c>
      <c r="N2433">
        <v>10</v>
      </c>
      <c r="O2433">
        <v>38.862000000000002</v>
      </c>
      <c r="P2433">
        <v>20.657701930000002</v>
      </c>
      <c r="Q2433">
        <v>7.5979999999999999</v>
      </c>
    </row>
    <row r="2434" spans="1:17" x14ac:dyDescent="0.2">
      <c r="A2434" s="30" t="str">
        <f>IF(C2434&amp;G2434&amp;D2434&lt;&gt;'Funnel setup'!$K$3&amp;'Funnel setup'!$K$4&amp;'Funnel setup'!$K$5,".",IF(A2433=".",1,A2433+1))</f>
        <v>.</v>
      </c>
      <c r="B2434" s="431" t="str">
        <f t="shared" si="37"/>
        <v>Hip Replacement PrimaryProviderTHE ROTHERHAM NHS FOUNDATION TRUST (RFR)Oxford Hip Score</v>
      </c>
      <c r="C2434" t="s">
        <v>248</v>
      </c>
      <c r="D2434" t="s">
        <v>1</v>
      </c>
      <c r="E2434" t="s">
        <v>3739</v>
      </c>
      <c r="F2434" t="s">
        <v>3740</v>
      </c>
      <c r="G2434" t="s">
        <v>14</v>
      </c>
      <c r="H2434">
        <v>152</v>
      </c>
      <c r="I2434">
        <v>15.933999999999999</v>
      </c>
      <c r="J2434">
        <v>39.112000000000002</v>
      </c>
      <c r="K2434">
        <v>23.178000000000001</v>
      </c>
      <c r="L2434">
        <v>148</v>
      </c>
      <c r="M2434">
        <v>0</v>
      </c>
      <c r="N2434">
        <v>4</v>
      </c>
      <c r="O2434">
        <v>40.668999999999997</v>
      </c>
      <c r="P2434">
        <v>22.46465693</v>
      </c>
      <c r="Q2434">
        <v>8.1379999999999999</v>
      </c>
    </row>
    <row r="2435" spans="1:17" x14ac:dyDescent="0.2">
      <c r="A2435" s="30" t="str">
        <f>IF(C2435&amp;G2435&amp;D2435&lt;&gt;'Funnel setup'!$K$3&amp;'Funnel setup'!$K$4&amp;'Funnel setup'!$K$5,".",IF(A2434=".",1,A2434+1))</f>
        <v>.</v>
      </c>
      <c r="B2435" s="431" t="str">
        <f t="shared" ref="B2435:B2498" si="38">C2435&amp;D2435&amp;F2435&amp;G2435</f>
        <v>Hip Replacement PrimaryProviderTHE ROYAL BOURNEMOUTH AND CHRISTCHURCH HOSPITALS NHS FOUNDATION TRUST (RDZ)Oxford Hip Score</v>
      </c>
      <c r="C2435" t="s">
        <v>248</v>
      </c>
      <c r="D2435" t="s">
        <v>1</v>
      </c>
      <c r="E2435" t="s">
        <v>3742</v>
      </c>
      <c r="F2435" t="s">
        <v>3743</v>
      </c>
      <c r="G2435" t="s">
        <v>14</v>
      </c>
      <c r="H2435">
        <v>446</v>
      </c>
      <c r="I2435">
        <v>18.128</v>
      </c>
      <c r="J2435">
        <v>39.496000000000002</v>
      </c>
      <c r="K2435">
        <v>21.367999999999999</v>
      </c>
      <c r="L2435">
        <v>434</v>
      </c>
      <c r="M2435">
        <v>0</v>
      </c>
      <c r="N2435">
        <v>12</v>
      </c>
      <c r="O2435">
        <v>39.515000000000001</v>
      </c>
      <c r="P2435">
        <v>21.310304599999998</v>
      </c>
      <c r="Q2435">
        <v>7.9089999999999998</v>
      </c>
    </row>
    <row r="2436" spans="1:17" x14ac:dyDescent="0.2">
      <c r="A2436" s="30" t="str">
        <f>IF(C2436&amp;G2436&amp;D2436&lt;&gt;'Funnel setup'!$K$3&amp;'Funnel setup'!$K$4&amp;'Funnel setup'!$K$5,".",IF(A2435=".",1,A2435+1))</f>
        <v>.</v>
      </c>
      <c r="B2436" s="431" t="str">
        <f t="shared" si="38"/>
        <v>Hip Replacement PrimaryProviderTHE ROYAL ORTHOPAEDIC HOSPITAL NHS FOUNDATION TRUST (RRJ)Oxford Hip Score</v>
      </c>
      <c r="C2436" t="s">
        <v>248</v>
      </c>
      <c r="D2436" t="s">
        <v>1</v>
      </c>
      <c r="E2436" t="s">
        <v>4480</v>
      </c>
      <c r="F2436" t="s">
        <v>4481</v>
      </c>
      <c r="G2436" t="s">
        <v>14</v>
      </c>
      <c r="H2436">
        <v>399</v>
      </c>
      <c r="I2436">
        <v>18.471</v>
      </c>
      <c r="J2436">
        <v>40.381</v>
      </c>
      <c r="K2436">
        <v>21.91</v>
      </c>
      <c r="L2436">
        <v>390</v>
      </c>
      <c r="M2436">
        <v>1</v>
      </c>
      <c r="N2436">
        <v>8</v>
      </c>
      <c r="O2436">
        <v>40.549999999999997</v>
      </c>
      <c r="P2436">
        <v>22.345362049999999</v>
      </c>
      <c r="Q2436">
        <v>7.8579999999999997</v>
      </c>
    </row>
    <row r="2437" spans="1:17" x14ac:dyDescent="0.2">
      <c r="A2437" s="30" t="str">
        <f>IF(C2437&amp;G2437&amp;D2437&lt;&gt;'Funnel setup'!$K$3&amp;'Funnel setup'!$K$4&amp;'Funnel setup'!$K$5,".",IF(A2436=".",1,A2436+1))</f>
        <v>.</v>
      </c>
      <c r="B2437" s="431" t="str">
        <f t="shared" si="38"/>
        <v>Hip Replacement PrimaryProviderTHE ROYAL WOLVERHAMPTON NHS TRUST (RL4)Oxford Hip Score</v>
      </c>
      <c r="C2437" t="s">
        <v>248</v>
      </c>
      <c r="D2437" t="s">
        <v>1</v>
      </c>
      <c r="E2437" t="s">
        <v>3382</v>
      </c>
      <c r="F2437" t="s">
        <v>3383</v>
      </c>
      <c r="G2437" t="s">
        <v>14</v>
      </c>
      <c r="H2437">
        <v>211</v>
      </c>
      <c r="I2437">
        <v>16.501999999999999</v>
      </c>
      <c r="J2437">
        <v>37.734999999999999</v>
      </c>
      <c r="K2437">
        <v>21.231999999999999</v>
      </c>
      <c r="L2437">
        <v>202</v>
      </c>
      <c r="M2437">
        <v>0</v>
      </c>
      <c r="N2437">
        <v>9</v>
      </c>
      <c r="O2437">
        <v>39.277999999999999</v>
      </c>
      <c r="P2437">
        <v>21.07375236</v>
      </c>
      <c r="Q2437">
        <v>8.8140000000000001</v>
      </c>
    </row>
    <row r="2438" spans="1:17" x14ac:dyDescent="0.2">
      <c r="A2438" s="30" t="str">
        <f>IF(C2438&amp;G2438&amp;D2438&lt;&gt;'Funnel setup'!$K$3&amp;'Funnel setup'!$K$4&amp;'Funnel setup'!$K$5,".",IF(A2437=".",1,A2437+1))</f>
        <v>.</v>
      </c>
      <c r="B2438" s="431" t="str">
        <f t="shared" si="38"/>
        <v>Hip Replacement PrimaryProviderTHE SPENCER WING (RAMSGATE ROAD) (NN801)Oxford Hip Score</v>
      </c>
      <c r="C2438" t="s">
        <v>248</v>
      </c>
      <c r="D2438" t="s">
        <v>1</v>
      </c>
      <c r="E2438" t="s">
        <v>3757</v>
      </c>
      <c r="F2438" t="s">
        <v>3758</v>
      </c>
      <c r="G2438" t="s">
        <v>14</v>
      </c>
      <c r="H2438">
        <v>18</v>
      </c>
      <c r="I2438">
        <v>17.222000000000001</v>
      </c>
      <c r="J2438">
        <v>40.722000000000001</v>
      </c>
      <c r="K2438">
        <v>23.5</v>
      </c>
      <c r="L2438">
        <v>18</v>
      </c>
      <c r="M2438">
        <v>0</v>
      </c>
      <c r="N2438">
        <v>0</v>
      </c>
      <c r="O2438" t="s">
        <v>53</v>
      </c>
      <c r="P2438" t="s">
        <v>53</v>
      </c>
      <c r="Q2438" t="s">
        <v>53</v>
      </c>
    </row>
    <row r="2439" spans="1:17" x14ac:dyDescent="0.2">
      <c r="A2439" s="30" t="str">
        <f>IF(C2439&amp;G2439&amp;D2439&lt;&gt;'Funnel setup'!$K$3&amp;'Funnel setup'!$K$4&amp;'Funnel setup'!$K$5,".",IF(A2438=".",1,A2438+1))</f>
        <v>.</v>
      </c>
      <c r="B2439" s="431" t="str">
        <f t="shared" si="38"/>
        <v>Hip Replacement PrimaryProviderTHE YORKSHIRE CLINIC (NVC20)Oxford Hip Score</v>
      </c>
      <c r="C2439" t="s">
        <v>248</v>
      </c>
      <c r="D2439" t="s">
        <v>1</v>
      </c>
      <c r="E2439" t="s">
        <v>3760</v>
      </c>
      <c r="F2439" t="s">
        <v>3761</v>
      </c>
      <c r="G2439" t="s">
        <v>14</v>
      </c>
      <c r="H2439">
        <v>69</v>
      </c>
      <c r="I2439">
        <v>20.347999999999999</v>
      </c>
      <c r="J2439">
        <v>40.42</v>
      </c>
      <c r="K2439">
        <v>20.071999999999999</v>
      </c>
      <c r="L2439">
        <v>66</v>
      </c>
      <c r="M2439">
        <v>1</v>
      </c>
      <c r="N2439">
        <v>2</v>
      </c>
      <c r="O2439">
        <v>38.938000000000002</v>
      </c>
      <c r="P2439">
        <v>20.733354420000001</v>
      </c>
      <c r="Q2439">
        <v>7.3250000000000002</v>
      </c>
    </row>
    <row r="2440" spans="1:17" x14ac:dyDescent="0.2">
      <c r="A2440" s="30" t="str">
        <f>IF(C2440&amp;G2440&amp;D2440&lt;&gt;'Funnel setup'!$K$3&amp;'Funnel setup'!$K$4&amp;'Funnel setup'!$K$5,".",IF(A2439=".",1,A2439+1))</f>
        <v>.</v>
      </c>
      <c r="B2440" s="431" t="str">
        <f t="shared" si="38"/>
        <v>Hip Replacement PrimaryProviderTORBAY AND SOUTH DEVON NHS FOUNDATION TRUST (RA9)Oxford Hip Score</v>
      </c>
      <c r="C2440" t="s">
        <v>248</v>
      </c>
      <c r="D2440" t="s">
        <v>1</v>
      </c>
      <c r="E2440" t="s">
        <v>3480</v>
      </c>
      <c r="F2440" t="s">
        <v>6584</v>
      </c>
      <c r="G2440" t="s">
        <v>14</v>
      </c>
      <c r="H2440">
        <v>205</v>
      </c>
      <c r="I2440">
        <v>16.765999999999998</v>
      </c>
      <c r="J2440">
        <v>36.249000000000002</v>
      </c>
      <c r="K2440">
        <v>19.483000000000001</v>
      </c>
      <c r="L2440">
        <v>201</v>
      </c>
      <c r="M2440">
        <v>0</v>
      </c>
      <c r="N2440">
        <v>4</v>
      </c>
      <c r="O2440">
        <v>37.878</v>
      </c>
      <c r="P2440">
        <v>19.673800020000002</v>
      </c>
      <c r="Q2440">
        <v>9.2720000000000002</v>
      </c>
    </row>
    <row r="2441" spans="1:17" x14ac:dyDescent="0.2">
      <c r="A2441" s="30" t="str">
        <f>IF(C2441&amp;G2441&amp;D2441&lt;&gt;'Funnel setup'!$K$3&amp;'Funnel setup'!$K$4&amp;'Funnel setup'!$K$5,".",IF(A2440=".",1,A2440+1))</f>
        <v>.</v>
      </c>
      <c r="B2441" s="431" t="str">
        <f t="shared" si="38"/>
        <v>Hip Replacement PrimaryProviderTYNESIDE SURGICAL SERVICES AT THE NORTH EAST NHS SURGERY CENTRE (NN401)Oxford Hip Score</v>
      </c>
      <c r="C2441" t="s">
        <v>248</v>
      </c>
      <c r="D2441" t="s">
        <v>1</v>
      </c>
      <c r="E2441" t="s">
        <v>4506</v>
      </c>
      <c r="F2441" t="s">
        <v>4507</v>
      </c>
      <c r="G2441" t="s">
        <v>14</v>
      </c>
      <c r="H2441">
        <v>9</v>
      </c>
      <c r="I2441">
        <v>13.111000000000001</v>
      </c>
      <c r="J2441">
        <v>36.444000000000003</v>
      </c>
      <c r="K2441">
        <v>23.332999999999998</v>
      </c>
      <c r="L2441">
        <v>8</v>
      </c>
      <c r="M2441">
        <v>0</v>
      </c>
      <c r="N2441">
        <v>1</v>
      </c>
      <c r="O2441" t="s">
        <v>53</v>
      </c>
      <c r="P2441" t="s">
        <v>53</v>
      </c>
      <c r="Q2441" t="s">
        <v>53</v>
      </c>
    </row>
    <row r="2442" spans="1:17" x14ac:dyDescent="0.2">
      <c r="A2442" s="30" t="str">
        <f>IF(C2442&amp;G2442&amp;D2442&lt;&gt;'Funnel setup'!$K$3&amp;'Funnel setup'!$K$4&amp;'Funnel setup'!$K$5,".",IF(A2441=".",1,A2441+1))</f>
        <v>.</v>
      </c>
      <c r="B2442" s="431" t="str">
        <f t="shared" si="38"/>
        <v>Hip Replacement PrimaryProviderUNITED LINCOLNSHIRE HOSPITALS NHS TRUST (RWD)Oxford Hip Score</v>
      </c>
      <c r="C2442" t="s">
        <v>248</v>
      </c>
      <c r="D2442" t="s">
        <v>1</v>
      </c>
      <c r="E2442" t="s">
        <v>3763</v>
      </c>
      <c r="F2442" t="s">
        <v>3764</v>
      </c>
      <c r="G2442" t="s">
        <v>14</v>
      </c>
      <c r="H2442">
        <v>256</v>
      </c>
      <c r="I2442">
        <v>17.780999999999999</v>
      </c>
      <c r="J2442">
        <v>38.921999999999997</v>
      </c>
      <c r="K2442">
        <v>21.140999999999998</v>
      </c>
      <c r="L2442">
        <v>252</v>
      </c>
      <c r="M2442">
        <v>1</v>
      </c>
      <c r="N2442">
        <v>3</v>
      </c>
      <c r="O2442">
        <v>39.398000000000003</v>
      </c>
      <c r="P2442">
        <v>21.193355660000002</v>
      </c>
      <c r="Q2442">
        <v>7.6879999999999997</v>
      </c>
    </row>
    <row r="2443" spans="1:17" x14ac:dyDescent="0.2">
      <c r="A2443" s="30" t="str">
        <f>IF(C2443&amp;G2443&amp;D2443&lt;&gt;'Funnel setup'!$K$3&amp;'Funnel setup'!$K$4&amp;'Funnel setup'!$K$5,".",IF(A2442=".",1,A2442+1))</f>
        <v>.</v>
      </c>
      <c r="B2443" s="431" t="str">
        <f t="shared" si="38"/>
        <v>Hip Replacement PrimaryProviderUNIVERSITY COLLEGE LONDON HOSPITALS NHS FOUNDATION TRUST (RRV)Oxford Hip Score</v>
      </c>
      <c r="C2443" t="s">
        <v>248</v>
      </c>
      <c r="D2443" t="s">
        <v>1</v>
      </c>
      <c r="E2443" t="s">
        <v>3766</v>
      </c>
      <c r="F2443" t="s">
        <v>3767</v>
      </c>
      <c r="G2443" t="s">
        <v>14</v>
      </c>
      <c r="H2443">
        <v>119</v>
      </c>
      <c r="I2443">
        <v>20.832000000000001</v>
      </c>
      <c r="J2443">
        <v>40.765000000000001</v>
      </c>
      <c r="K2443">
        <v>19.933</v>
      </c>
      <c r="L2443">
        <v>114</v>
      </c>
      <c r="M2443">
        <v>3</v>
      </c>
      <c r="N2443">
        <v>2</v>
      </c>
      <c r="O2443">
        <v>41.308</v>
      </c>
      <c r="P2443">
        <v>23.10324988</v>
      </c>
      <c r="Q2443">
        <v>6.86</v>
      </c>
    </row>
    <row r="2444" spans="1:17" x14ac:dyDescent="0.2">
      <c r="A2444" s="30" t="str">
        <f>IF(C2444&amp;G2444&amp;D2444&lt;&gt;'Funnel setup'!$K$3&amp;'Funnel setup'!$K$4&amp;'Funnel setup'!$K$5,".",IF(A2443=".",1,A2443+1))</f>
        <v>.</v>
      </c>
      <c r="B2444" s="431" t="str">
        <f t="shared" si="38"/>
        <v>Hip Replacement PrimaryProviderUNIVERSITY HOSPITAL OF SOUTH MANCHESTER NHS FOUNDATION TRUST (RM2)Oxford Hip Score</v>
      </c>
      <c r="C2444" t="s">
        <v>248</v>
      </c>
      <c r="D2444" t="s">
        <v>1</v>
      </c>
      <c r="E2444" t="s">
        <v>3769</v>
      </c>
      <c r="F2444" t="s">
        <v>3770</v>
      </c>
      <c r="G2444" t="s">
        <v>14</v>
      </c>
      <c r="H2444">
        <v>113</v>
      </c>
      <c r="I2444">
        <v>20.035</v>
      </c>
      <c r="J2444">
        <v>37.478000000000002</v>
      </c>
      <c r="K2444">
        <v>17.442</v>
      </c>
      <c r="L2444">
        <v>106</v>
      </c>
      <c r="M2444">
        <v>4</v>
      </c>
      <c r="N2444">
        <v>3</v>
      </c>
      <c r="O2444">
        <v>37.265999999999998</v>
      </c>
      <c r="P2444">
        <v>19.061946160000002</v>
      </c>
      <c r="Q2444">
        <v>8.2129999999999992</v>
      </c>
    </row>
    <row r="2445" spans="1:17" x14ac:dyDescent="0.2">
      <c r="A2445" s="30" t="str">
        <f>IF(C2445&amp;G2445&amp;D2445&lt;&gt;'Funnel setup'!$K$3&amp;'Funnel setup'!$K$4&amp;'Funnel setup'!$K$5,".",IF(A2444=".",1,A2444+1))</f>
        <v>.</v>
      </c>
      <c r="B2445" s="431" t="str">
        <f t="shared" si="38"/>
        <v>Hip Replacement PrimaryProviderUNIVERSITY HOSPITAL SOUTHAMPTON NHS FOUNDATION TRUST (RHM)Oxford Hip Score</v>
      </c>
      <c r="C2445" t="s">
        <v>248</v>
      </c>
      <c r="D2445" t="s">
        <v>1</v>
      </c>
      <c r="E2445" t="s">
        <v>3772</v>
      </c>
      <c r="F2445" t="s">
        <v>3773</v>
      </c>
      <c r="G2445" t="s">
        <v>14</v>
      </c>
      <c r="H2445">
        <v>179</v>
      </c>
      <c r="I2445">
        <v>16.972000000000001</v>
      </c>
      <c r="J2445">
        <v>38.302</v>
      </c>
      <c r="K2445">
        <v>21.33</v>
      </c>
      <c r="L2445">
        <v>172</v>
      </c>
      <c r="M2445">
        <v>0</v>
      </c>
      <c r="N2445">
        <v>7</v>
      </c>
      <c r="O2445">
        <v>39.417999999999999</v>
      </c>
      <c r="P2445">
        <v>21.213943929999999</v>
      </c>
      <c r="Q2445">
        <v>8.5419999999999998</v>
      </c>
    </row>
    <row r="2446" spans="1:17" x14ac:dyDescent="0.2">
      <c r="A2446" s="30" t="str">
        <f>IF(C2446&amp;G2446&amp;D2446&lt;&gt;'Funnel setup'!$K$3&amp;'Funnel setup'!$K$4&amp;'Funnel setup'!$K$5,".",IF(A2445=".",1,A2445+1))</f>
        <v>.</v>
      </c>
      <c r="B2446" s="431" t="str">
        <f t="shared" si="38"/>
        <v>Hip Replacement PrimaryProviderUNIVERSITY HOSPITALS COVENTRY AND WARWICKSHIRE NHS TRUST (RKB)Oxford Hip Score</v>
      </c>
      <c r="C2446" t="s">
        <v>248</v>
      </c>
      <c r="D2446" t="s">
        <v>1</v>
      </c>
      <c r="E2446" t="s">
        <v>3715</v>
      </c>
      <c r="F2446" t="s">
        <v>3716</v>
      </c>
      <c r="G2446" t="s">
        <v>14</v>
      </c>
      <c r="H2446">
        <v>250</v>
      </c>
      <c r="I2446">
        <v>18.14</v>
      </c>
      <c r="J2446">
        <v>39.747999999999998</v>
      </c>
      <c r="K2446">
        <v>21.608000000000001</v>
      </c>
      <c r="L2446">
        <v>248</v>
      </c>
      <c r="M2446">
        <v>0</v>
      </c>
      <c r="N2446">
        <v>2</v>
      </c>
      <c r="O2446">
        <v>39.872</v>
      </c>
      <c r="P2446">
        <v>21.66726105</v>
      </c>
      <c r="Q2446">
        <v>7.556</v>
      </c>
    </row>
    <row r="2447" spans="1:17" x14ac:dyDescent="0.2">
      <c r="A2447" s="30" t="str">
        <f>IF(C2447&amp;G2447&amp;D2447&lt;&gt;'Funnel setup'!$K$3&amp;'Funnel setup'!$K$4&amp;'Funnel setup'!$K$5,".",IF(A2446=".",1,A2446+1))</f>
        <v>.</v>
      </c>
      <c r="B2447" s="431" t="str">
        <f t="shared" si="38"/>
        <v>Hip Replacement PrimaryProviderUNIVERSITY HOSPITALS OF LEICESTER NHS TRUST (RWE)Oxford Hip Score</v>
      </c>
      <c r="C2447" t="s">
        <v>248</v>
      </c>
      <c r="D2447" t="s">
        <v>1</v>
      </c>
      <c r="E2447" t="s">
        <v>3718</v>
      </c>
      <c r="F2447" t="s">
        <v>3719</v>
      </c>
      <c r="G2447" t="s">
        <v>14</v>
      </c>
      <c r="H2447">
        <v>503</v>
      </c>
      <c r="I2447">
        <v>16.465</v>
      </c>
      <c r="J2447">
        <v>38.65</v>
      </c>
      <c r="K2447">
        <v>22.184999999999999</v>
      </c>
      <c r="L2447">
        <v>491</v>
      </c>
      <c r="M2447">
        <v>3</v>
      </c>
      <c r="N2447">
        <v>9</v>
      </c>
      <c r="O2447">
        <v>39.097999999999999</v>
      </c>
      <c r="P2447">
        <v>20.893462230000001</v>
      </c>
      <c r="Q2447">
        <v>8</v>
      </c>
    </row>
    <row r="2448" spans="1:17" x14ac:dyDescent="0.2">
      <c r="A2448" s="30" t="str">
        <f>IF(C2448&amp;G2448&amp;D2448&lt;&gt;'Funnel setup'!$K$3&amp;'Funnel setup'!$K$4&amp;'Funnel setup'!$K$5,".",IF(A2447=".",1,A2447+1))</f>
        <v>.</v>
      </c>
      <c r="B2448" s="431" t="str">
        <f t="shared" si="38"/>
        <v>Hip Replacement PrimaryProviderUNIVERSITY HOSPITALS OF MORECAMBE BAY NHS FOUNDATION TRUST (RTX)Oxford Hip Score</v>
      </c>
      <c r="C2448" t="s">
        <v>248</v>
      </c>
      <c r="D2448" t="s">
        <v>1</v>
      </c>
      <c r="E2448" t="s">
        <v>3721</v>
      </c>
      <c r="F2448" t="s">
        <v>3722</v>
      </c>
      <c r="G2448" t="s">
        <v>14</v>
      </c>
      <c r="H2448">
        <v>302</v>
      </c>
      <c r="I2448">
        <v>19.109000000000002</v>
      </c>
      <c r="J2448">
        <v>39.404000000000003</v>
      </c>
      <c r="K2448">
        <v>20.295000000000002</v>
      </c>
      <c r="L2448">
        <v>287</v>
      </c>
      <c r="M2448">
        <v>0</v>
      </c>
      <c r="N2448">
        <v>15</v>
      </c>
      <c r="O2448">
        <v>39.281999999999996</v>
      </c>
      <c r="P2448">
        <v>21.077439200000001</v>
      </c>
      <c r="Q2448">
        <v>8.0210000000000008</v>
      </c>
    </row>
    <row r="2449" spans="1:17" x14ac:dyDescent="0.2">
      <c r="A2449" s="30" t="str">
        <f>IF(C2449&amp;G2449&amp;D2449&lt;&gt;'Funnel setup'!$K$3&amp;'Funnel setup'!$K$4&amp;'Funnel setup'!$K$5,".",IF(A2448=".",1,A2448+1))</f>
        <v>.</v>
      </c>
      <c r="B2449" s="431" t="str">
        <f t="shared" si="38"/>
        <v>Hip Replacement PrimaryProviderUNIVERSITY HOSPITALS OF NORTH MIDLANDS NHS TRUST (RJE)Oxford Hip Score</v>
      </c>
      <c r="C2449" t="s">
        <v>248</v>
      </c>
      <c r="D2449" t="s">
        <v>1</v>
      </c>
      <c r="E2449" t="s">
        <v>3724</v>
      </c>
      <c r="F2449" t="s">
        <v>3725</v>
      </c>
      <c r="G2449" t="s">
        <v>14</v>
      </c>
      <c r="H2449">
        <v>236</v>
      </c>
      <c r="I2449">
        <v>13.551</v>
      </c>
      <c r="J2449">
        <v>37.643999999999998</v>
      </c>
      <c r="K2449">
        <v>24.093</v>
      </c>
      <c r="L2449">
        <v>231</v>
      </c>
      <c r="M2449">
        <v>1</v>
      </c>
      <c r="N2449">
        <v>4</v>
      </c>
      <c r="O2449">
        <v>40.094000000000001</v>
      </c>
      <c r="P2449">
        <v>21.88999128</v>
      </c>
      <c r="Q2449">
        <v>8.6560000000000006</v>
      </c>
    </row>
    <row r="2450" spans="1:17" x14ac:dyDescent="0.2">
      <c r="A2450" s="30" t="str">
        <f>IF(C2450&amp;G2450&amp;D2450&lt;&gt;'Funnel setup'!$K$3&amp;'Funnel setup'!$K$4&amp;'Funnel setup'!$K$5,".",IF(A2449=".",1,A2449+1))</f>
        <v>.</v>
      </c>
      <c r="B2450" s="431" t="str">
        <f t="shared" si="38"/>
        <v>Hip Replacement PrimaryProviderWALSALL HEALTHCARE NHS TRUST (RBK)Oxford Hip Score</v>
      </c>
      <c r="C2450" t="s">
        <v>248</v>
      </c>
      <c r="D2450" t="s">
        <v>1</v>
      </c>
      <c r="E2450" t="s">
        <v>3727</v>
      </c>
      <c r="F2450" t="s">
        <v>3728</v>
      </c>
      <c r="G2450" t="s">
        <v>14</v>
      </c>
      <c r="H2450">
        <v>90</v>
      </c>
      <c r="I2450">
        <v>13.278</v>
      </c>
      <c r="J2450">
        <v>31.544</v>
      </c>
      <c r="K2450">
        <v>18.266999999999999</v>
      </c>
      <c r="L2450">
        <v>85</v>
      </c>
      <c r="M2450">
        <v>1</v>
      </c>
      <c r="N2450">
        <v>4</v>
      </c>
      <c r="O2450">
        <v>34.4</v>
      </c>
      <c r="P2450">
        <v>16.19555102</v>
      </c>
      <c r="Q2450">
        <v>10.95</v>
      </c>
    </row>
    <row r="2451" spans="1:17" x14ac:dyDescent="0.2">
      <c r="A2451" s="30" t="str">
        <f>IF(C2451&amp;G2451&amp;D2451&lt;&gt;'Funnel setup'!$K$3&amp;'Funnel setup'!$K$4&amp;'Funnel setup'!$K$5,".",IF(A2450=".",1,A2450+1))</f>
        <v>.</v>
      </c>
      <c r="B2451" s="431" t="str">
        <f t="shared" si="38"/>
        <v>Hip Replacement PrimaryProviderWARRINGTON AND HALTON HOSPITALS NHS FOUNDATION TRUST (RWW)Oxford Hip Score</v>
      </c>
      <c r="C2451" t="s">
        <v>248</v>
      </c>
      <c r="D2451" t="s">
        <v>1</v>
      </c>
      <c r="E2451" t="s">
        <v>3730</v>
      </c>
      <c r="F2451" t="s">
        <v>3731</v>
      </c>
      <c r="G2451" t="s">
        <v>14</v>
      </c>
      <c r="H2451">
        <v>161</v>
      </c>
      <c r="I2451">
        <v>16.434999999999999</v>
      </c>
      <c r="J2451">
        <v>38.595999999999997</v>
      </c>
      <c r="K2451">
        <v>22.161000000000001</v>
      </c>
      <c r="L2451">
        <v>159</v>
      </c>
      <c r="M2451">
        <v>1</v>
      </c>
      <c r="N2451">
        <v>1</v>
      </c>
      <c r="O2451">
        <v>39.454999999999998</v>
      </c>
      <c r="P2451">
        <v>21.2502721</v>
      </c>
      <c r="Q2451">
        <v>7.8810000000000002</v>
      </c>
    </row>
    <row r="2452" spans="1:17" x14ac:dyDescent="0.2">
      <c r="A2452" s="30" t="str">
        <f>IF(C2452&amp;G2452&amp;D2452&lt;&gt;'Funnel setup'!$K$3&amp;'Funnel setup'!$K$4&amp;'Funnel setup'!$K$5,".",IF(A2451=".",1,A2451+1))</f>
        <v>.</v>
      </c>
      <c r="B2452" s="431" t="str">
        <f t="shared" si="38"/>
        <v>Hip Replacement PrimaryProviderWEST HERTFORDSHIRE HOSPITALS NHS TRUST (RWG)Oxford Hip Score</v>
      </c>
      <c r="C2452" t="s">
        <v>248</v>
      </c>
      <c r="D2452" t="s">
        <v>1</v>
      </c>
      <c r="E2452" t="s">
        <v>3733</v>
      </c>
      <c r="F2452" t="s">
        <v>3734</v>
      </c>
      <c r="G2452" t="s">
        <v>14</v>
      </c>
      <c r="H2452">
        <v>189</v>
      </c>
      <c r="I2452">
        <v>18.709</v>
      </c>
      <c r="J2452">
        <v>40.518999999999998</v>
      </c>
      <c r="K2452">
        <v>21.81</v>
      </c>
      <c r="L2452">
        <v>182</v>
      </c>
      <c r="M2452">
        <v>1</v>
      </c>
      <c r="N2452">
        <v>6</v>
      </c>
      <c r="O2452">
        <v>40.110999999999997</v>
      </c>
      <c r="P2452">
        <v>21.906003259999999</v>
      </c>
      <c r="Q2452">
        <v>7.9640000000000004</v>
      </c>
    </row>
    <row r="2453" spans="1:17" x14ac:dyDescent="0.2">
      <c r="A2453" s="30" t="str">
        <f>IF(C2453&amp;G2453&amp;D2453&lt;&gt;'Funnel setup'!$K$3&amp;'Funnel setup'!$K$4&amp;'Funnel setup'!$K$5,".",IF(A2452=".",1,A2452+1))</f>
        <v>.</v>
      </c>
      <c r="B2453" s="431" t="str">
        <f t="shared" si="38"/>
        <v>Hip Replacement PrimaryProviderWEST MIDDLESEX UNIVERSITY HOSPITAL NHS TRUST (RFW)Oxford Hip Score</v>
      </c>
      <c r="C2453" t="s">
        <v>248</v>
      </c>
      <c r="D2453" t="s">
        <v>1</v>
      </c>
      <c r="E2453" t="s">
        <v>3736</v>
      </c>
      <c r="F2453" t="s">
        <v>3737</v>
      </c>
      <c r="G2453" t="s">
        <v>14</v>
      </c>
      <c r="H2453">
        <v>63</v>
      </c>
      <c r="I2453">
        <v>16.524000000000001</v>
      </c>
      <c r="J2453">
        <v>37.491999999999997</v>
      </c>
      <c r="K2453">
        <v>20.968</v>
      </c>
      <c r="L2453">
        <v>62</v>
      </c>
      <c r="M2453">
        <v>0</v>
      </c>
      <c r="N2453">
        <v>1</v>
      </c>
      <c r="O2453">
        <v>38.076999999999998</v>
      </c>
      <c r="P2453">
        <v>19.87219872</v>
      </c>
      <c r="Q2453">
        <v>7.0229999999999997</v>
      </c>
    </row>
    <row r="2454" spans="1:17" x14ac:dyDescent="0.2">
      <c r="A2454" s="30" t="str">
        <f>IF(C2454&amp;G2454&amp;D2454&lt;&gt;'Funnel setup'!$K$3&amp;'Funnel setup'!$K$4&amp;'Funnel setup'!$K$5,".",IF(A2453=".",1,A2453+1))</f>
        <v>.</v>
      </c>
      <c r="B2454" s="431" t="str">
        <f t="shared" si="38"/>
        <v>Hip Replacement PrimaryProviderWEST MIDLANDS HOSPITAL (NVC21)Oxford Hip Score</v>
      </c>
      <c r="C2454" t="s">
        <v>248</v>
      </c>
      <c r="D2454" t="s">
        <v>1</v>
      </c>
      <c r="E2454" t="s">
        <v>3709</v>
      </c>
      <c r="F2454" t="s">
        <v>3710</v>
      </c>
      <c r="G2454" t="s">
        <v>14</v>
      </c>
      <c r="H2454">
        <v>84</v>
      </c>
      <c r="I2454">
        <v>18.393000000000001</v>
      </c>
      <c r="J2454">
        <v>42.048000000000002</v>
      </c>
      <c r="K2454">
        <v>23.655000000000001</v>
      </c>
      <c r="L2454">
        <v>82</v>
      </c>
      <c r="M2454">
        <v>1</v>
      </c>
      <c r="N2454">
        <v>1</v>
      </c>
      <c r="O2454">
        <v>42.014000000000003</v>
      </c>
      <c r="P2454">
        <v>23.809888040000001</v>
      </c>
      <c r="Q2454">
        <v>5.7240000000000002</v>
      </c>
    </row>
    <row r="2455" spans="1:17" x14ac:dyDescent="0.2">
      <c r="A2455" s="30" t="str">
        <f>IF(C2455&amp;G2455&amp;D2455&lt;&gt;'Funnel setup'!$K$3&amp;'Funnel setup'!$K$4&amp;'Funnel setup'!$K$5,".",IF(A2454=".",1,A2454+1))</f>
        <v>.</v>
      </c>
      <c r="B2455" s="431" t="str">
        <f t="shared" si="38"/>
        <v>Hip Replacement PrimaryProviderWEST SUFFOLK NHS FOUNDATION TRUST (RGR)Oxford Hip Score</v>
      </c>
      <c r="C2455" t="s">
        <v>248</v>
      </c>
      <c r="D2455" t="s">
        <v>1</v>
      </c>
      <c r="E2455" t="s">
        <v>3712</v>
      </c>
      <c r="F2455" t="s">
        <v>3713</v>
      </c>
      <c r="G2455" t="s">
        <v>14</v>
      </c>
      <c r="H2455">
        <v>251</v>
      </c>
      <c r="I2455">
        <v>18.178999999999998</v>
      </c>
      <c r="J2455">
        <v>38.829000000000001</v>
      </c>
      <c r="K2455">
        <v>20.649000000000001</v>
      </c>
      <c r="L2455">
        <v>243</v>
      </c>
      <c r="M2455">
        <v>0</v>
      </c>
      <c r="N2455">
        <v>8</v>
      </c>
      <c r="O2455">
        <v>38.85</v>
      </c>
      <c r="P2455">
        <v>20.645041580000001</v>
      </c>
      <c r="Q2455">
        <v>7.8140000000000001</v>
      </c>
    </row>
    <row r="2456" spans="1:17" x14ac:dyDescent="0.2">
      <c r="A2456" s="30" t="str">
        <f>IF(C2456&amp;G2456&amp;D2456&lt;&gt;'Funnel setup'!$K$3&amp;'Funnel setup'!$K$4&amp;'Funnel setup'!$K$5,".",IF(A2455=".",1,A2455+1))</f>
        <v>.</v>
      </c>
      <c r="B2456" s="431" t="str">
        <f t="shared" si="38"/>
        <v>Hip Replacement PrimaryProviderWESTERN SUSSEX HOSPITALS NHS FOUNDATION TRUST (RYR)Oxford Hip Score</v>
      </c>
      <c r="C2456" t="s">
        <v>248</v>
      </c>
      <c r="D2456" t="s">
        <v>1</v>
      </c>
      <c r="E2456" t="s">
        <v>3706</v>
      </c>
      <c r="F2456" t="s">
        <v>3707</v>
      </c>
      <c r="G2456" t="s">
        <v>14</v>
      </c>
      <c r="H2456">
        <v>326</v>
      </c>
      <c r="I2456">
        <v>16.966000000000001</v>
      </c>
      <c r="J2456">
        <v>37.695999999999998</v>
      </c>
      <c r="K2456">
        <v>20.73</v>
      </c>
      <c r="L2456">
        <v>309</v>
      </c>
      <c r="M2456">
        <v>1</v>
      </c>
      <c r="N2456">
        <v>16</v>
      </c>
      <c r="O2456">
        <v>38.286000000000001</v>
      </c>
      <c r="P2456">
        <v>20.08127206</v>
      </c>
      <c r="Q2456">
        <v>9.0299999999999994</v>
      </c>
    </row>
    <row r="2457" spans="1:17" x14ac:dyDescent="0.2">
      <c r="A2457" s="30" t="str">
        <f>IF(C2457&amp;G2457&amp;D2457&lt;&gt;'Funnel setup'!$K$3&amp;'Funnel setup'!$K$4&amp;'Funnel setup'!$K$5,".",IF(A2456=".",1,A2456+1))</f>
        <v>.</v>
      </c>
      <c r="B2457" s="431" t="str">
        <f t="shared" si="38"/>
        <v>Hip Replacement PrimaryProviderWESTON AREA HEALTH NHS TRUST (RA3)Oxford Hip Score</v>
      </c>
      <c r="C2457" t="s">
        <v>248</v>
      </c>
      <c r="D2457" t="s">
        <v>1</v>
      </c>
      <c r="E2457" t="s">
        <v>3525</v>
      </c>
      <c r="F2457" t="s">
        <v>3526</v>
      </c>
      <c r="G2457" t="s">
        <v>14</v>
      </c>
      <c r="H2457">
        <v>100</v>
      </c>
      <c r="I2457">
        <v>17.68</v>
      </c>
      <c r="J2457">
        <v>38.56</v>
      </c>
      <c r="K2457">
        <v>20.88</v>
      </c>
      <c r="L2457">
        <v>97</v>
      </c>
      <c r="M2457">
        <v>1</v>
      </c>
      <c r="N2457">
        <v>2</v>
      </c>
      <c r="O2457">
        <v>38.713999999999999</v>
      </c>
      <c r="P2457">
        <v>20.509497360000001</v>
      </c>
      <c r="Q2457">
        <v>8.7100000000000009</v>
      </c>
    </row>
    <row r="2458" spans="1:17" x14ac:dyDescent="0.2">
      <c r="A2458" s="30" t="str">
        <f>IF(C2458&amp;G2458&amp;D2458&lt;&gt;'Funnel setup'!$K$3&amp;'Funnel setup'!$K$4&amp;'Funnel setup'!$K$5,".",IF(A2457=".",1,A2457+1))</f>
        <v>.</v>
      </c>
      <c r="B2458" s="431" t="str">
        <f t="shared" si="38"/>
        <v>Hip Replacement PrimaryProviderWINFIELD HOSPITAL (NVC22)Oxford Hip Score</v>
      </c>
      <c r="C2458" t="s">
        <v>248</v>
      </c>
      <c r="D2458" t="s">
        <v>1</v>
      </c>
      <c r="E2458" t="s">
        <v>3534</v>
      </c>
      <c r="F2458" t="s">
        <v>3535</v>
      </c>
      <c r="G2458" t="s">
        <v>14</v>
      </c>
      <c r="H2458">
        <v>86</v>
      </c>
      <c r="I2458">
        <v>20.942</v>
      </c>
      <c r="J2458">
        <v>43.256</v>
      </c>
      <c r="K2458">
        <v>22.314</v>
      </c>
      <c r="L2458">
        <v>83</v>
      </c>
      <c r="M2458">
        <v>1</v>
      </c>
      <c r="N2458">
        <v>2</v>
      </c>
      <c r="O2458">
        <v>41.627000000000002</v>
      </c>
      <c r="P2458">
        <v>23.42229261</v>
      </c>
      <c r="Q2458">
        <v>6.5709999999999997</v>
      </c>
    </row>
    <row r="2459" spans="1:17" x14ac:dyDescent="0.2">
      <c r="A2459" s="30" t="str">
        <f>IF(C2459&amp;G2459&amp;D2459&lt;&gt;'Funnel setup'!$K$3&amp;'Funnel setup'!$K$4&amp;'Funnel setup'!$K$5,".",IF(A2458=".",1,A2458+1))</f>
        <v>.</v>
      </c>
      <c r="B2459" s="431" t="str">
        <f t="shared" si="38"/>
        <v>Hip Replacement PrimaryProviderWIRRAL UNIVERSITY TEACHING HOSPITAL NHS FOUNDATION TRUST (RBL)Oxford Hip Score</v>
      </c>
      <c r="C2459" t="s">
        <v>248</v>
      </c>
      <c r="D2459" t="s">
        <v>1</v>
      </c>
      <c r="E2459" t="s">
        <v>3537</v>
      </c>
      <c r="F2459" t="s">
        <v>3538</v>
      </c>
      <c r="G2459" t="s">
        <v>14</v>
      </c>
      <c r="H2459">
        <v>265</v>
      </c>
      <c r="I2459">
        <v>17.823</v>
      </c>
      <c r="J2459">
        <v>37.011000000000003</v>
      </c>
      <c r="K2459">
        <v>19.189</v>
      </c>
      <c r="L2459">
        <v>249</v>
      </c>
      <c r="M2459">
        <v>3</v>
      </c>
      <c r="N2459">
        <v>13</v>
      </c>
      <c r="O2459">
        <v>38.073</v>
      </c>
      <c r="P2459">
        <v>19.868860269999999</v>
      </c>
      <c r="Q2459">
        <v>8.9380000000000006</v>
      </c>
    </row>
    <row r="2460" spans="1:17" x14ac:dyDescent="0.2">
      <c r="A2460" s="30" t="str">
        <f>IF(C2460&amp;G2460&amp;D2460&lt;&gt;'Funnel setup'!$K$3&amp;'Funnel setup'!$K$4&amp;'Funnel setup'!$K$5,".",IF(A2459=".",1,A2459+1))</f>
        <v>.</v>
      </c>
      <c r="B2460" s="431" t="str">
        <f t="shared" si="38"/>
        <v>Hip Replacement PrimaryProviderWOODLAND HOSPITAL (NVC23)Oxford Hip Score</v>
      </c>
      <c r="C2460" t="s">
        <v>248</v>
      </c>
      <c r="D2460" t="s">
        <v>1</v>
      </c>
      <c r="E2460" t="s">
        <v>3540</v>
      </c>
      <c r="F2460" t="s">
        <v>3541</v>
      </c>
      <c r="G2460" t="s">
        <v>14</v>
      </c>
      <c r="H2460">
        <v>136</v>
      </c>
      <c r="I2460">
        <v>14.544</v>
      </c>
      <c r="J2460">
        <v>38.831000000000003</v>
      </c>
      <c r="K2460">
        <v>24.286999999999999</v>
      </c>
      <c r="L2460">
        <v>132</v>
      </c>
      <c r="M2460">
        <v>1</v>
      </c>
      <c r="N2460">
        <v>3</v>
      </c>
      <c r="O2460">
        <v>39.603000000000002</v>
      </c>
      <c r="P2460">
        <v>21.398100240000002</v>
      </c>
      <c r="Q2460">
        <v>9.157</v>
      </c>
    </row>
    <row r="2461" spans="1:17" x14ac:dyDescent="0.2">
      <c r="A2461" s="30" t="str">
        <f>IF(C2461&amp;G2461&amp;D2461&lt;&gt;'Funnel setup'!$K$3&amp;'Funnel setup'!$K$4&amp;'Funnel setup'!$K$5,".",IF(A2460=".",1,A2460+1))</f>
        <v>.</v>
      </c>
      <c r="B2461" s="431" t="str">
        <f t="shared" si="38"/>
        <v>Hip Replacement PrimaryProviderWOODTHORPE HOSPITAL (NVC40)Oxford Hip Score</v>
      </c>
      <c r="C2461" t="s">
        <v>248</v>
      </c>
      <c r="D2461" t="s">
        <v>1</v>
      </c>
      <c r="E2461" t="s">
        <v>3689</v>
      </c>
      <c r="F2461" t="s">
        <v>6576</v>
      </c>
      <c r="G2461" t="s">
        <v>14</v>
      </c>
      <c r="H2461">
        <v>147</v>
      </c>
      <c r="I2461">
        <v>19.734999999999999</v>
      </c>
      <c r="J2461">
        <v>40.81</v>
      </c>
      <c r="K2461">
        <v>21.074999999999999</v>
      </c>
      <c r="L2461">
        <v>144</v>
      </c>
      <c r="M2461">
        <v>1</v>
      </c>
      <c r="N2461">
        <v>2</v>
      </c>
      <c r="O2461">
        <v>39.412999999999997</v>
      </c>
      <c r="P2461">
        <v>21.208565830000001</v>
      </c>
      <c r="Q2461">
        <v>6.7679999999999998</v>
      </c>
    </row>
    <row r="2462" spans="1:17" x14ac:dyDescent="0.2">
      <c r="A2462" s="30" t="str">
        <f>IF(C2462&amp;G2462&amp;D2462&lt;&gt;'Funnel setup'!$K$3&amp;'Funnel setup'!$K$4&amp;'Funnel setup'!$K$5,".",IF(A2461=".",1,A2461+1))</f>
        <v>.</v>
      </c>
      <c r="B2462" s="431" t="str">
        <f t="shared" si="38"/>
        <v>Hip Replacement PrimaryProviderWORCESTERSHIRE ACUTE HOSPITALS NHS TRUST (RWP)Oxford Hip Score</v>
      </c>
      <c r="C2462" t="s">
        <v>248</v>
      </c>
      <c r="D2462" t="s">
        <v>1</v>
      </c>
      <c r="E2462" t="s">
        <v>3543</v>
      </c>
      <c r="F2462" t="s">
        <v>3544</v>
      </c>
      <c r="G2462" t="s">
        <v>14</v>
      </c>
      <c r="H2462">
        <v>300</v>
      </c>
      <c r="I2462">
        <v>17.5</v>
      </c>
      <c r="J2462">
        <v>39.807000000000002</v>
      </c>
      <c r="K2462">
        <v>22.306999999999999</v>
      </c>
      <c r="L2462">
        <v>294</v>
      </c>
      <c r="M2462">
        <v>0</v>
      </c>
      <c r="N2462">
        <v>6</v>
      </c>
      <c r="O2462">
        <v>40.155000000000001</v>
      </c>
      <c r="P2462">
        <v>21.950614349999999</v>
      </c>
      <c r="Q2462">
        <v>7.5659999999999998</v>
      </c>
    </row>
    <row r="2463" spans="1:17" x14ac:dyDescent="0.2">
      <c r="A2463" s="30" t="str">
        <f>IF(C2463&amp;G2463&amp;D2463&lt;&gt;'Funnel setup'!$K$3&amp;'Funnel setup'!$K$4&amp;'Funnel setup'!$K$5,".",IF(A2462=".",1,A2462+1))</f>
        <v>.</v>
      </c>
      <c r="B2463" s="431" t="str">
        <f t="shared" si="38"/>
        <v>Hip Replacement PrimaryProviderWRIGHTINGTON, WIGAN AND LEIGH NHS FOUNDATION TRUST (RRF)Oxford Hip Score</v>
      </c>
      <c r="C2463" t="s">
        <v>248</v>
      </c>
      <c r="D2463" t="s">
        <v>1</v>
      </c>
      <c r="E2463" t="s">
        <v>3546</v>
      </c>
      <c r="F2463" t="s">
        <v>3547</v>
      </c>
      <c r="G2463" t="s">
        <v>14</v>
      </c>
      <c r="H2463">
        <v>266</v>
      </c>
      <c r="I2463">
        <v>18.12</v>
      </c>
      <c r="J2463">
        <v>40.015000000000001</v>
      </c>
      <c r="K2463">
        <v>21.895</v>
      </c>
      <c r="L2463">
        <v>263</v>
      </c>
      <c r="M2463">
        <v>0</v>
      </c>
      <c r="N2463">
        <v>3</v>
      </c>
      <c r="O2463">
        <v>40.128</v>
      </c>
      <c r="P2463">
        <v>21.923210699999998</v>
      </c>
      <c r="Q2463">
        <v>7.1929999999999996</v>
      </c>
    </row>
    <row r="2464" spans="1:17" x14ac:dyDescent="0.2">
      <c r="A2464" s="30" t="str">
        <f>IF(C2464&amp;G2464&amp;D2464&lt;&gt;'Funnel setup'!$K$3&amp;'Funnel setup'!$K$4&amp;'Funnel setup'!$K$5,".",IF(A2463=".",1,A2463+1))</f>
        <v>.</v>
      </c>
      <c r="B2464" s="431" t="str">
        <f t="shared" si="38"/>
        <v>Hip Replacement PrimaryProviderWYE VALLEY NHS TRUST (RLQ)Oxford Hip Score</v>
      </c>
      <c r="C2464" t="s">
        <v>248</v>
      </c>
      <c r="D2464" t="s">
        <v>1</v>
      </c>
      <c r="E2464" t="s">
        <v>3517</v>
      </c>
      <c r="F2464" t="s">
        <v>3518</v>
      </c>
      <c r="G2464" t="s">
        <v>14</v>
      </c>
      <c r="H2464">
        <v>108</v>
      </c>
      <c r="I2464">
        <v>18.222000000000001</v>
      </c>
      <c r="J2464">
        <v>40.694000000000003</v>
      </c>
      <c r="K2464">
        <v>22.472000000000001</v>
      </c>
      <c r="L2464">
        <v>107</v>
      </c>
      <c r="M2464">
        <v>0</v>
      </c>
      <c r="N2464">
        <v>1</v>
      </c>
      <c r="O2464">
        <v>40.665999999999997</v>
      </c>
      <c r="P2464">
        <v>22.461488490000001</v>
      </c>
      <c r="Q2464">
        <v>7.08</v>
      </c>
    </row>
    <row r="2465" spans="1:17" x14ac:dyDescent="0.2">
      <c r="A2465" s="30" t="str">
        <f>IF(C2465&amp;G2465&amp;D2465&lt;&gt;'Funnel setup'!$K$3&amp;'Funnel setup'!$K$4&amp;'Funnel setup'!$K$5,".",IF(A2464=".",1,A2464+1))</f>
        <v>.</v>
      </c>
      <c r="B2465" s="431" t="str">
        <f t="shared" si="38"/>
        <v>Hip Replacement PrimaryProviderYEOVIL DISTRICT HOSPITAL NHS FOUNDATION TRUST (RA4)Oxford Hip Score</v>
      </c>
      <c r="C2465" t="s">
        <v>248</v>
      </c>
      <c r="D2465" t="s">
        <v>1</v>
      </c>
      <c r="E2465" t="s">
        <v>3520</v>
      </c>
      <c r="F2465" t="s">
        <v>341</v>
      </c>
      <c r="G2465" t="s">
        <v>14</v>
      </c>
      <c r="H2465">
        <v>76</v>
      </c>
      <c r="I2465">
        <v>19.632000000000001</v>
      </c>
      <c r="J2465">
        <v>41.131999999999998</v>
      </c>
      <c r="K2465">
        <v>21.5</v>
      </c>
      <c r="L2465">
        <v>75</v>
      </c>
      <c r="M2465">
        <v>0</v>
      </c>
      <c r="N2465">
        <v>1</v>
      </c>
      <c r="O2465">
        <v>40.005000000000003</v>
      </c>
      <c r="P2465">
        <v>21.800893779999999</v>
      </c>
      <c r="Q2465">
        <v>6.35</v>
      </c>
    </row>
    <row r="2466" spans="1:17" x14ac:dyDescent="0.2">
      <c r="A2466" s="30" t="str">
        <f>IF(C2466&amp;G2466&amp;D2466&lt;&gt;'Funnel setup'!$K$3&amp;'Funnel setup'!$K$4&amp;'Funnel setup'!$K$5,".",IF(A2465=".",1,A2465+1))</f>
        <v>.</v>
      </c>
      <c r="B2466" s="431" t="str">
        <f t="shared" si="38"/>
        <v>Hip Replacement PrimaryProviderYORK TEACHING HOSPITAL NHS FOUNDATION TRUST (RCB)Oxford Hip Score</v>
      </c>
      <c r="C2466" t="s">
        <v>248</v>
      </c>
      <c r="D2466" t="s">
        <v>1</v>
      </c>
      <c r="E2466" t="s">
        <v>3515</v>
      </c>
      <c r="F2466" t="s">
        <v>343</v>
      </c>
      <c r="G2466" t="s">
        <v>14</v>
      </c>
      <c r="H2466">
        <v>336</v>
      </c>
      <c r="I2466">
        <v>15.898999999999999</v>
      </c>
      <c r="J2466">
        <v>40.396000000000001</v>
      </c>
      <c r="K2466">
        <v>24.497</v>
      </c>
      <c r="L2466">
        <v>331</v>
      </c>
      <c r="M2466">
        <v>1</v>
      </c>
      <c r="N2466">
        <v>4</v>
      </c>
      <c r="O2466">
        <v>41.170999999999999</v>
      </c>
      <c r="P2466">
        <v>22.966291980000001</v>
      </c>
      <c r="Q2466">
        <v>7.6470000000000002</v>
      </c>
    </row>
    <row r="2467" spans="1:17" x14ac:dyDescent="0.2">
      <c r="A2467" s="30" t="str">
        <f>IF(C2467&amp;G2467&amp;D2467&lt;&gt;'Funnel setup'!$K$3&amp;'Funnel setup'!$K$4&amp;'Funnel setup'!$K$5,".",IF(A2466=".",1,A2466+1))</f>
        <v>.</v>
      </c>
      <c r="B2467" s="431" t="str">
        <f t="shared" si="38"/>
        <v>Hip Replacement RevisionCCG of GP PracticeNATIONAL COMMISSIONING HUB 1 (13Q)EQ VAS</v>
      </c>
      <c r="C2467" t="s">
        <v>247</v>
      </c>
      <c r="D2467" t="s">
        <v>87</v>
      </c>
      <c r="E2467" t="s">
        <v>563</v>
      </c>
      <c r="F2467" t="s">
        <v>564</v>
      </c>
      <c r="G2467" t="s">
        <v>179</v>
      </c>
      <c r="H2467" t="s">
        <v>53</v>
      </c>
      <c r="I2467" t="s">
        <v>53</v>
      </c>
      <c r="J2467" t="s">
        <v>53</v>
      </c>
      <c r="K2467" t="s">
        <v>53</v>
      </c>
      <c r="L2467" t="s">
        <v>53</v>
      </c>
      <c r="M2467" t="s">
        <v>53</v>
      </c>
      <c r="N2467" t="s">
        <v>53</v>
      </c>
      <c r="O2467" t="s">
        <v>53</v>
      </c>
      <c r="P2467" t="s">
        <v>53</v>
      </c>
      <c r="Q2467" t="s">
        <v>53</v>
      </c>
    </row>
    <row r="2468" spans="1:17" x14ac:dyDescent="0.2">
      <c r="A2468" s="30" t="str">
        <f>IF(C2468&amp;G2468&amp;D2468&lt;&gt;'Funnel setup'!$K$3&amp;'Funnel setup'!$K$4&amp;'Funnel setup'!$K$5,".",IF(A2467=".",1,A2467+1))</f>
        <v>.</v>
      </c>
      <c r="B2468" s="431" t="str">
        <f t="shared" si="38"/>
        <v>Hip Replacement RevisionCCG of GP PracticeNHS AIREDALE, WHARFEDALE AND CRAVEN CCG (02N)EQ VAS</v>
      </c>
      <c r="C2468" t="s">
        <v>247</v>
      </c>
      <c r="D2468" t="s">
        <v>87</v>
      </c>
      <c r="E2468" t="s">
        <v>566</v>
      </c>
      <c r="F2468" t="s">
        <v>567</v>
      </c>
      <c r="G2468" t="s">
        <v>179</v>
      </c>
      <c r="H2468">
        <v>7</v>
      </c>
      <c r="I2468">
        <v>66.570999999999998</v>
      </c>
      <c r="J2468">
        <v>80.143000000000001</v>
      </c>
      <c r="K2468">
        <v>13.571</v>
      </c>
      <c r="L2468">
        <v>4</v>
      </c>
      <c r="M2468">
        <v>2</v>
      </c>
      <c r="N2468">
        <v>1</v>
      </c>
      <c r="O2468" t="s">
        <v>53</v>
      </c>
      <c r="P2468" t="s">
        <v>53</v>
      </c>
      <c r="Q2468" t="s">
        <v>53</v>
      </c>
    </row>
    <row r="2469" spans="1:17" x14ac:dyDescent="0.2">
      <c r="A2469" s="30" t="str">
        <f>IF(C2469&amp;G2469&amp;D2469&lt;&gt;'Funnel setup'!$K$3&amp;'Funnel setup'!$K$4&amp;'Funnel setup'!$K$5,".",IF(A2468=".",1,A2468+1))</f>
        <v>.</v>
      </c>
      <c r="B2469" s="431" t="str">
        <f t="shared" si="38"/>
        <v>Hip Replacement RevisionCCG of GP PracticeNHS ASHFORD CCG (09C)EQ VAS</v>
      </c>
      <c r="C2469" t="s">
        <v>247</v>
      </c>
      <c r="D2469" t="s">
        <v>87</v>
      </c>
      <c r="E2469" t="s">
        <v>569</v>
      </c>
      <c r="F2469" t="s">
        <v>339</v>
      </c>
      <c r="G2469" t="s">
        <v>179</v>
      </c>
      <c r="H2469">
        <v>11</v>
      </c>
      <c r="I2469">
        <v>66.545000000000002</v>
      </c>
      <c r="J2469">
        <v>71.817999999999998</v>
      </c>
      <c r="K2469">
        <v>5.2729999999999997</v>
      </c>
      <c r="L2469">
        <v>5</v>
      </c>
      <c r="M2469">
        <v>4</v>
      </c>
      <c r="N2469">
        <v>2</v>
      </c>
      <c r="O2469" t="s">
        <v>53</v>
      </c>
      <c r="P2469" t="s">
        <v>53</v>
      </c>
      <c r="Q2469" t="s">
        <v>53</v>
      </c>
    </row>
    <row r="2470" spans="1:17" x14ac:dyDescent="0.2">
      <c r="A2470" s="30" t="str">
        <f>IF(C2470&amp;G2470&amp;D2470&lt;&gt;'Funnel setup'!$K$3&amp;'Funnel setup'!$K$4&amp;'Funnel setup'!$K$5,".",IF(A2469=".",1,A2469+1))</f>
        <v>.</v>
      </c>
      <c r="B2470" s="431" t="str">
        <f t="shared" si="38"/>
        <v>Hip Replacement RevisionCCG of GP PracticeNHS AYLESBURY VALE CCG (10Y)EQ VAS</v>
      </c>
      <c r="C2470" t="s">
        <v>247</v>
      </c>
      <c r="D2470" t="s">
        <v>87</v>
      </c>
      <c r="E2470" t="s">
        <v>571</v>
      </c>
      <c r="F2470" t="s">
        <v>572</v>
      </c>
      <c r="G2470" t="s">
        <v>179</v>
      </c>
      <c r="H2470">
        <v>7</v>
      </c>
      <c r="I2470">
        <v>65.713999999999999</v>
      </c>
      <c r="J2470">
        <v>79.286000000000001</v>
      </c>
      <c r="K2470">
        <v>13.571</v>
      </c>
      <c r="L2470">
        <v>7</v>
      </c>
      <c r="M2470">
        <v>0</v>
      </c>
      <c r="N2470">
        <v>0</v>
      </c>
      <c r="O2470" t="s">
        <v>53</v>
      </c>
      <c r="P2470" t="s">
        <v>53</v>
      </c>
      <c r="Q2470" t="s">
        <v>53</v>
      </c>
    </row>
    <row r="2471" spans="1:17" x14ac:dyDescent="0.2">
      <c r="A2471" s="30" t="str">
        <f>IF(C2471&amp;G2471&amp;D2471&lt;&gt;'Funnel setup'!$K$3&amp;'Funnel setup'!$K$4&amp;'Funnel setup'!$K$5,".",IF(A2470=".",1,A2470+1))</f>
        <v>.</v>
      </c>
      <c r="B2471" s="431" t="str">
        <f t="shared" si="38"/>
        <v>Hip Replacement RevisionCCG of GP PracticeNHS BARKING AND DAGENHAM CCG (07L)EQ VAS</v>
      </c>
      <c r="C2471" t="s">
        <v>247</v>
      </c>
      <c r="D2471" t="s">
        <v>87</v>
      </c>
      <c r="E2471" t="s">
        <v>574</v>
      </c>
      <c r="F2471" t="s">
        <v>575</v>
      </c>
      <c r="G2471" t="s">
        <v>179</v>
      </c>
      <c r="H2471" t="s">
        <v>53</v>
      </c>
      <c r="I2471" t="s">
        <v>53</v>
      </c>
      <c r="J2471" t="s">
        <v>53</v>
      </c>
      <c r="K2471" t="s">
        <v>53</v>
      </c>
      <c r="L2471" t="s">
        <v>53</v>
      </c>
      <c r="M2471" t="s">
        <v>53</v>
      </c>
      <c r="N2471" t="s">
        <v>53</v>
      </c>
      <c r="O2471" t="s">
        <v>53</v>
      </c>
      <c r="P2471" t="s">
        <v>53</v>
      </c>
      <c r="Q2471" t="s">
        <v>53</v>
      </c>
    </row>
    <row r="2472" spans="1:17" x14ac:dyDescent="0.2">
      <c r="A2472" s="30" t="str">
        <f>IF(C2472&amp;G2472&amp;D2472&lt;&gt;'Funnel setup'!$K$3&amp;'Funnel setup'!$K$4&amp;'Funnel setup'!$K$5,".",IF(A2471=".",1,A2471+1))</f>
        <v>.</v>
      </c>
      <c r="B2472" s="431" t="str">
        <f t="shared" si="38"/>
        <v>Hip Replacement RevisionCCG of GP PracticeNHS BARNET CCG (07M)EQ VAS</v>
      </c>
      <c r="C2472" t="s">
        <v>247</v>
      </c>
      <c r="D2472" t="s">
        <v>87</v>
      </c>
      <c r="E2472" t="s">
        <v>577</v>
      </c>
      <c r="F2472" t="s">
        <v>578</v>
      </c>
      <c r="G2472" t="s">
        <v>179</v>
      </c>
      <c r="H2472" t="s">
        <v>53</v>
      </c>
      <c r="I2472" t="s">
        <v>53</v>
      </c>
      <c r="J2472" t="s">
        <v>53</v>
      </c>
      <c r="K2472" t="s">
        <v>53</v>
      </c>
      <c r="L2472" t="s">
        <v>53</v>
      </c>
      <c r="M2472" t="s">
        <v>53</v>
      </c>
      <c r="N2472" t="s">
        <v>53</v>
      </c>
      <c r="O2472" t="s">
        <v>53</v>
      </c>
      <c r="P2472" t="s">
        <v>53</v>
      </c>
      <c r="Q2472" t="s">
        <v>53</v>
      </c>
    </row>
    <row r="2473" spans="1:17" x14ac:dyDescent="0.2">
      <c r="A2473" s="30" t="str">
        <f>IF(C2473&amp;G2473&amp;D2473&lt;&gt;'Funnel setup'!$K$3&amp;'Funnel setup'!$K$4&amp;'Funnel setup'!$K$5,".",IF(A2472=".",1,A2472+1))</f>
        <v>.</v>
      </c>
      <c r="B2473" s="431" t="str">
        <f t="shared" si="38"/>
        <v>Hip Replacement RevisionCCG of GP PracticeNHS BARNSLEY CCG (02P)EQ VAS</v>
      </c>
      <c r="C2473" t="s">
        <v>247</v>
      </c>
      <c r="D2473" t="s">
        <v>87</v>
      </c>
      <c r="E2473" t="s">
        <v>580</v>
      </c>
      <c r="F2473" t="s">
        <v>581</v>
      </c>
      <c r="G2473" t="s">
        <v>179</v>
      </c>
      <c r="H2473">
        <v>8</v>
      </c>
      <c r="I2473">
        <v>56.875</v>
      </c>
      <c r="J2473">
        <v>61.875</v>
      </c>
      <c r="K2473">
        <v>5</v>
      </c>
      <c r="L2473">
        <v>3</v>
      </c>
      <c r="M2473">
        <v>3</v>
      </c>
      <c r="N2473">
        <v>2</v>
      </c>
      <c r="O2473" t="s">
        <v>53</v>
      </c>
      <c r="P2473" t="s">
        <v>53</v>
      </c>
      <c r="Q2473" t="s">
        <v>53</v>
      </c>
    </row>
    <row r="2474" spans="1:17" x14ac:dyDescent="0.2">
      <c r="A2474" s="30" t="str">
        <f>IF(C2474&amp;G2474&amp;D2474&lt;&gt;'Funnel setup'!$K$3&amp;'Funnel setup'!$K$4&amp;'Funnel setup'!$K$5,".",IF(A2473=".",1,A2473+1))</f>
        <v>.</v>
      </c>
      <c r="B2474" s="431" t="str">
        <f t="shared" si="38"/>
        <v>Hip Replacement RevisionCCG of GP PracticeNHS BASILDON AND BRENTWOOD CCG (99E)EQ VAS</v>
      </c>
      <c r="C2474" t="s">
        <v>247</v>
      </c>
      <c r="D2474" t="s">
        <v>87</v>
      </c>
      <c r="E2474" t="s">
        <v>583</v>
      </c>
      <c r="F2474" t="s">
        <v>584</v>
      </c>
      <c r="G2474" t="s">
        <v>179</v>
      </c>
      <c r="H2474">
        <v>10</v>
      </c>
      <c r="I2474">
        <v>70.8</v>
      </c>
      <c r="J2474">
        <v>78</v>
      </c>
      <c r="K2474">
        <v>7.2</v>
      </c>
      <c r="L2474">
        <v>5</v>
      </c>
      <c r="M2474">
        <v>1</v>
      </c>
      <c r="N2474">
        <v>4</v>
      </c>
      <c r="O2474" t="s">
        <v>53</v>
      </c>
      <c r="P2474" t="s">
        <v>53</v>
      </c>
      <c r="Q2474" t="s">
        <v>53</v>
      </c>
    </row>
    <row r="2475" spans="1:17" x14ac:dyDescent="0.2">
      <c r="A2475" s="30" t="str">
        <f>IF(C2475&amp;G2475&amp;D2475&lt;&gt;'Funnel setup'!$K$3&amp;'Funnel setup'!$K$4&amp;'Funnel setup'!$K$5,".",IF(A2474=".",1,A2474+1))</f>
        <v>.</v>
      </c>
      <c r="B2475" s="431" t="str">
        <f t="shared" si="38"/>
        <v>Hip Replacement RevisionCCG of GP PracticeNHS BASSETLAW CCG (02Q)EQ VAS</v>
      </c>
      <c r="C2475" t="s">
        <v>247</v>
      </c>
      <c r="D2475" t="s">
        <v>87</v>
      </c>
      <c r="E2475" t="s">
        <v>586</v>
      </c>
      <c r="F2475" t="s">
        <v>587</v>
      </c>
      <c r="G2475" t="s">
        <v>179</v>
      </c>
      <c r="H2475" t="s">
        <v>53</v>
      </c>
      <c r="I2475" t="s">
        <v>53</v>
      </c>
      <c r="J2475" t="s">
        <v>53</v>
      </c>
      <c r="K2475" t="s">
        <v>53</v>
      </c>
      <c r="L2475" t="s">
        <v>53</v>
      </c>
      <c r="M2475" t="s">
        <v>53</v>
      </c>
      <c r="N2475" t="s">
        <v>53</v>
      </c>
      <c r="O2475" t="s">
        <v>53</v>
      </c>
      <c r="P2475" t="s">
        <v>53</v>
      </c>
      <c r="Q2475" t="s">
        <v>53</v>
      </c>
    </row>
    <row r="2476" spans="1:17" x14ac:dyDescent="0.2">
      <c r="A2476" s="30" t="str">
        <f>IF(C2476&amp;G2476&amp;D2476&lt;&gt;'Funnel setup'!$K$3&amp;'Funnel setup'!$K$4&amp;'Funnel setup'!$K$5,".",IF(A2475=".",1,A2475+1))</f>
        <v>.</v>
      </c>
      <c r="B2476" s="431" t="str">
        <f t="shared" si="38"/>
        <v>Hip Replacement RevisionCCG of GP PracticeNHS BATH AND NORTH EAST SOMERSET CCG (11E)EQ VAS</v>
      </c>
      <c r="C2476" t="s">
        <v>247</v>
      </c>
      <c r="D2476" t="s">
        <v>87</v>
      </c>
      <c r="E2476" t="s">
        <v>589</v>
      </c>
      <c r="F2476" t="s">
        <v>590</v>
      </c>
      <c r="G2476" t="s">
        <v>179</v>
      </c>
      <c r="H2476">
        <v>19</v>
      </c>
      <c r="I2476">
        <v>71.367999999999995</v>
      </c>
      <c r="J2476">
        <v>73.105000000000004</v>
      </c>
      <c r="K2476">
        <v>1.7370000000000001</v>
      </c>
      <c r="L2476">
        <v>6</v>
      </c>
      <c r="M2476">
        <v>4</v>
      </c>
      <c r="N2476">
        <v>9</v>
      </c>
      <c r="O2476" t="s">
        <v>53</v>
      </c>
      <c r="P2476" t="s">
        <v>53</v>
      </c>
      <c r="Q2476" t="s">
        <v>53</v>
      </c>
    </row>
    <row r="2477" spans="1:17" x14ac:dyDescent="0.2">
      <c r="A2477" s="30" t="str">
        <f>IF(C2477&amp;G2477&amp;D2477&lt;&gt;'Funnel setup'!$K$3&amp;'Funnel setup'!$K$4&amp;'Funnel setup'!$K$5,".",IF(A2476=".",1,A2476+1))</f>
        <v>.</v>
      </c>
      <c r="B2477" s="431" t="str">
        <f t="shared" si="38"/>
        <v>Hip Replacement RevisionCCG of GP PracticeNHS BEDFORDSHIRE CCG (06F)EQ VAS</v>
      </c>
      <c r="C2477" t="s">
        <v>247</v>
      </c>
      <c r="D2477" t="s">
        <v>87</v>
      </c>
      <c r="E2477" t="s">
        <v>592</v>
      </c>
      <c r="F2477" t="s">
        <v>593</v>
      </c>
      <c r="G2477" t="s">
        <v>179</v>
      </c>
      <c r="H2477">
        <v>14</v>
      </c>
      <c r="I2477">
        <v>61.213999999999999</v>
      </c>
      <c r="J2477">
        <v>67.5</v>
      </c>
      <c r="K2477">
        <v>6.2859999999999996</v>
      </c>
      <c r="L2477">
        <v>6</v>
      </c>
      <c r="M2477">
        <v>5</v>
      </c>
      <c r="N2477">
        <v>3</v>
      </c>
      <c r="O2477" t="s">
        <v>53</v>
      </c>
      <c r="P2477" t="s">
        <v>53</v>
      </c>
      <c r="Q2477" t="s">
        <v>53</v>
      </c>
    </row>
    <row r="2478" spans="1:17" x14ac:dyDescent="0.2">
      <c r="A2478" s="30" t="str">
        <f>IF(C2478&amp;G2478&amp;D2478&lt;&gt;'Funnel setup'!$K$3&amp;'Funnel setup'!$K$4&amp;'Funnel setup'!$K$5,".",IF(A2477=".",1,A2477+1))</f>
        <v>.</v>
      </c>
      <c r="B2478" s="431" t="str">
        <f t="shared" si="38"/>
        <v>Hip Replacement RevisionCCG of GP PracticeNHS BEXLEY CCG (07N)EQ VAS</v>
      </c>
      <c r="C2478" t="s">
        <v>247</v>
      </c>
      <c r="D2478" t="s">
        <v>87</v>
      </c>
      <c r="E2478" t="s">
        <v>595</v>
      </c>
      <c r="F2478" t="s">
        <v>596</v>
      </c>
      <c r="G2478" t="s">
        <v>179</v>
      </c>
      <c r="H2478" t="s">
        <v>53</v>
      </c>
      <c r="I2478" t="s">
        <v>53</v>
      </c>
      <c r="J2478" t="s">
        <v>53</v>
      </c>
      <c r="K2478" t="s">
        <v>53</v>
      </c>
      <c r="L2478" t="s">
        <v>53</v>
      </c>
      <c r="M2478" t="s">
        <v>53</v>
      </c>
      <c r="N2478" t="s">
        <v>53</v>
      </c>
      <c r="O2478" t="s">
        <v>53</v>
      </c>
      <c r="P2478" t="s">
        <v>53</v>
      </c>
      <c r="Q2478" t="s">
        <v>53</v>
      </c>
    </row>
    <row r="2479" spans="1:17" x14ac:dyDescent="0.2">
      <c r="A2479" s="30" t="str">
        <f>IF(C2479&amp;G2479&amp;D2479&lt;&gt;'Funnel setup'!$K$3&amp;'Funnel setup'!$K$4&amp;'Funnel setup'!$K$5,".",IF(A2478=".",1,A2478+1))</f>
        <v>.</v>
      </c>
      <c r="B2479" s="431" t="str">
        <f t="shared" si="38"/>
        <v>Hip Replacement RevisionCCG of GP PracticeNHS BIRMINGHAM CROSSCITY CCG (13P)EQ VAS</v>
      </c>
      <c r="C2479" t="s">
        <v>247</v>
      </c>
      <c r="D2479" t="s">
        <v>87</v>
      </c>
      <c r="E2479" t="s">
        <v>598</v>
      </c>
      <c r="F2479" t="s">
        <v>599</v>
      </c>
      <c r="G2479" t="s">
        <v>179</v>
      </c>
      <c r="H2479">
        <v>23</v>
      </c>
      <c r="I2479">
        <v>60.652000000000001</v>
      </c>
      <c r="J2479">
        <v>61.738999999999997</v>
      </c>
      <c r="K2479">
        <v>1.087</v>
      </c>
      <c r="L2479">
        <v>10</v>
      </c>
      <c r="M2479">
        <v>2</v>
      </c>
      <c r="N2479">
        <v>11</v>
      </c>
      <c r="O2479" t="s">
        <v>53</v>
      </c>
      <c r="P2479" t="s">
        <v>53</v>
      </c>
      <c r="Q2479" t="s">
        <v>53</v>
      </c>
    </row>
    <row r="2480" spans="1:17" x14ac:dyDescent="0.2">
      <c r="A2480" s="30" t="str">
        <f>IF(C2480&amp;G2480&amp;D2480&lt;&gt;'Funnel setup'!$K$3&amp;'Funnel setup'!$K$4&amp;'Funnel setup'!$K$5,".",IF(A2479=".",1,A2479+1))</f>
        <v>.</v>
      </c>
      <c r="B2480" s="431" t="str">
        <f t="shared" si="38"/>
        <v>Hip Replacement RevisionCCG of GP PracticeNHS BIRMINGHAM SOUTH AND CENTRAL CCG (04X)EQ VAS</v>
      </c>
      <c r="C2480" t="s">
        <v>247</v>
      </c>
      <c r="D2480" t="s">
        <v>87</v>
      </c>
      <c r="E2480" t="s">
        <v>601</v>
      </c>
      <c r="F2480" t="s">
        <v>602</v>
      </c>
      <c r="G2480" t="s">
        <v>179</v>
      </c>
      <c r="H2480" t="s">
        <v>53</v>
      </c>
      <c r="I2480" t="s">
        <v>53</v>
      </c>
      <c r="J2480" t="s">
        <v>53</v>
      </c>
      <c r="K2480" t="s">
        <v>53</v>
      </c>
      <c r="L2480" t="s">
        <v>53</v>
      </c>
      <c r="M2480" t="s">
        <v>53</v>
      </c>
      <c r="N2480" t="s">
        <v>53</v>
      </c>
      <c r="O2480" t="s">
        <v>53</v>
      </c>
      <c r="P2480" t="s">
        <v>53</v>
      </c>
      <c r="Q2480" t="s">
        <v>53</v>
      </c>
    </row>
    <row r="2481" spans="1:17" x14ac:dyDescent="0.2">
      <c r="A2481" s="30" t="str">
        <f>IF(C2481&amp;G2481&amp;D2481&lt;&gt;'Funnel setup'!$K$3&amp;'Funnel setup'!$K$4&amp;'Funnel setup'!$K$5,".",IF(A2480=".",1,A2480+1))</f>
        <v>.</v>
      </c>
      <c r="B2481" s="431" t="str">
        <f t="shared" si="38"/>
        <v>Hip Replacement RevisionCCG of GP PracticeNHS BLACKBURN WITH DARWEN CCG (00Q)EQ VAS</v>
      </c>
      <c r="C2481" t="s">
        <v>247</v>
      </c>
      <c r="D2481" t="s">
        <v>87</v>
      </c>
      <c r="E2481" t="s">
        <v>604</v>
      </c>
      <c r="F2481" t="s">
        <v>605</v>
      </c>
      <c r="G2481" t="s">
        <v>179</v>
      </c>
      <c r="H2481" t="s">
        <v>53</v>
      </c>
      <c r="I2481" t="s">
        <v>53</v>
      </c>
      <c r="J2481" t="s">
        <v>53</v>
      </c>
      <c r="K2481" t="s">
        <v>53</v>
      </c>
      <c r="L2481" t="s">
        <v>53</v>
      </c>
      <c r="M2481" t="s">
        <v>53</v>
      </c>
      <c r="N2481" t="s">
        <v>53</v>
      </c>
      <c r="O2481" t="s">
        <v>53</v>
      </c>
      <c r="P2481" t="s">
        <v>53</v>
      </c>
      <c r="Q2481" t="s">
        <v>53</v>
      </c>
    </row>
    <row r="2482" spans="1:17" x14ac:dyDescent="0.2">
      <c r="A2482" s="30" t="str">
        <f>IF(C2482&amp;G2482&amp;D2482&lt;&gt;'Funnel setup'!$K$3&amp;'Funnel setup'!$K$4&amp;'Funnel setup'!$K$5,".",IF(A2481=".",1,A2481+1))</f>
        <v>.</v>
      </c>
      <c r="B2482" s="431" t="str">
        <f t="shared" si="38"/>
        <v>Hip Replacement RevisionCCG of GP PracticeNHS BLACKPOOL CCG (00R)EQ VAS</v>
      </c>
      <c r="C2482" t="s">
        <v>247</v>
      </c>
      <c r="D2482" t="s">
        <v>87</v>
      </c>
      <c r="E2482" t="s">
        <v>607</v>
      </c>
      <c r="F2482" t="s">
        <v>608</v>
      </c>
      <c r="G2482" t="s">
        <v>179</v>
      </c>
      <c r="H2482" t="s">
        <v>53</v>
      </c>
      <c r="I2482" t="s">
        <v>53</v>
      </c>
      <c r="J2482" t="s">
        <v>53</v>
      </c>
      <c r="K2482" t="s">
        <v>53</v>
      </c>
      <c r="L2482" t="s">
        <v>53</v>
      </c>
      <c r="M2482" t="s">
        <v>53</v>
      </c>
      <c r="N2482" t="s">
        <v>53</v>
      </c>
      <c r="O2482" t="s">
        <v>53</v>
      </c>
      <c r="P2482" t="s">
        <v>53</v>
      </c>
      <c r="Q2482" t="s">
        <v>53</v>
      </c>
    </row>
    <row r="2483" spans="1:17" x14ac:dyDescent="0.2">
      <c r="A2483" s="30" t="str">
        <f>IF(C2483&amp;G2483&amp;D2483&lt;&gt;'Funnel setup'!$K$3&amp;'Funnel setup'!$K$4&amp;'Funnel setup'!$K$5,".",IF(A2482=".",1,A2482+1))</f>
        <v>.</v>
      </c>
      <c r="B2483" s="431" t="str">
        <f t="shared" si="38"/>
        <v>Hip Replacement RevisionCCG of GP PracticeNHS BOLTON CCG (00T)EQ VAS</v>
      </c>
      <c r="C2483" t="s">
        <v>247</v>
      </c>
      <c r="D2483" t="s">
        <v>87</v>
      </c>
      <c r="E2483" t="s">
        <v>683</v>
      </c>
      <c r="F2483" t="s">
        <v>684</v>
      </c>
      <c r="G2483" t="s">
        <v>179</v>
      </c>
      <c r="H2483" t="s">
        <v>53</v>
      </c>
      <c r="I2483" t="s">
        <v>53</v>
      </c>
      <c r="J2483" t="s">
        <v>53</v>
      </c>
      <c r="K2483" t="s">
        <v>53</v>
      </c>
      <c r="L2483" t="s">
        <v>53</v>
      </c>
      <c r="M2483" t="s">
        <v>53</v>
      </c>
      <c r="N2483" t="s">
        <v>53</v>
      </c>
      <c r="O2483" t="s">
        <v>53</v>
      </c>
      <c r="P2483" t="s">
        <v>53</v>
      </c>
      <c r="Q2483" t="s">
        <v>53</v>
      </c>
    </row>
    <row r="2484" spans="1:17" x14ac:dyDescent="0.2">
      <c r="A2484" s="30" t="str">
        <f>IF(C2484&amp;G2484&amp;D2484&lt;&gt;'Funnel setup'!$K$3&amp;'Funnel setup'!$K$4&amp;'Funnel setup'!$K$5,".",IF(A2483=".",1,A2483+1))</f>
        <v>.</v>
      </c>
      <c r="B2484" s="431" t="str">
        <f t="shared" si="38"/>
        <v>Hip Replacement RevisionCCG of GP PracticeNHS BRACKNELL AND ASCOT CCG (10G)EQ VAS</v>
      </c>
      <c r="C2484" t="s">
        <v>247</v>
      </c>
      <c r="D2484" t="s">
        <v>87</v>
      </c>
      <c r="E2484" t="s">
        <v>686</v>
      </c>
      <c r="F2484" t="s">
        <v>687</v>
      </c>
      <c r="G2484" t="s">
        <v>179</v>
      </c>
      <c r="H2484" t="s">
        <v>53</v>
      </c>
      <c r="I2484" t="s">
        <v>53</v>
      </c>
      <c r="J2484" t="s">
        <v>53</v>
      </c>
      <c r="K2484" t="s">
        <v>53</v>
      </c>
      <c r="L2484" t="s">
        <v>53</v>
      </c>
      <c r="M2484" t="s">
        <v>53</v>
      </c>
      <c r="N2484" t="s">
        <v>53</v>
      </c>
      <c r="O2484" t="s">
        <v>53</v>
      </c>
      <c r="P2484" t="s">
        <v>53</v>
      </c>
      <c r="Q2484" t="s">
        <v>53</v>
      </c>
    </row>
    <row r="2485" spans="1:17" x14ac:dyDescent="0.2">
      <c r="A2485" s="30" t="str">
        <f>IF(C2485&amp;G2485&amp;D2485&lt;&gt;'Funnel setup'!$K$3&amp;'Funnel setup'!$K$4&amp;'Funnel setup'!$K$5,".",IF(A2484=".",1,A2484+1))</f>
        <v>.</v>
      </c>
      <c r="B2485" s="431" t="str">
        <f t="shared" si="38"/>
        <v>Hip Replacement RevisionCCG of GP PracticeNHS BRADFORD DISTRICTS CCG (02R)EQ VAS</v>
      </c>
      <c r="C2485" t="s">
        <v>247</v>
      </c>
      <c r="D2485" t="s">
        <v>87</v>
      </c>
      <c r="E2485" t="s">
        <v>692</v>
      </c>
      <c r="F2485" t="s">
        <v>693</v>
      </c>
      <c r="G2485" t="s">
        <v>179</v>
      </c>
      <c r="H2485">
        <v>10</v>
      </c>
      <c r="I2485">
        <v>61.1</v>
      </c>
      <c r="J2485">
        <v>70.400000000000006</v>
      </c>
      <c r="K2485">
        <v>9.3000000000000007</v>
      </c>
      <c r="L2485">
        <v>6</v>
      </c>
      <c r="M2485">
        <v>2</v>
      </c>
      <c r="N2485">
        <v>2</v>
      </c>
      <c r="O2485" t="s">
        <v>53</v>
      </c>
      <c r="P2485" t="s">
        <v>53</v>
      </c>
      <c r="Q2485" t="s">
        <v>53</v>
      </c>
    </row>
    <row r="2486" spans="1:17" x14ac:dyDescent="0.2">
      <c r="A2486" s="30" t="str">
        <f>IF(C2486&amp;G2486&amp;D2486&lt;&gt;'Funnel setup'!$K$3&amp;'Funnel setup'!$K$4&amp;'Funnel setup'!$K$5,".",IF(A2485=".",1,A2485+1))</f>
        <v>.</v>
      </c>
      <c r="B2486" s="431" t="str">
        <f t="shared" si="38"/>
        <v>Hip Replacement RevisionCCG of GP PracticeNHS BRENT CCG (07P)EQ VAS</v>
      </c>
      <c r="C2486" t="s">
        <v>247</v>
      </c>
      <c r="D2486" t="s">
        <v>87</v>
      </c>
      <c r="E2486" t="s">
        <v>695</v>
      </c>
      <c r="F2486" t="s">
        <v>696</v>
      </c>
      <c r="G2486" t="s">
        <v>179</v>
      </c>
      <c r="H2486" t="s">
        <v>53</v>
      </c>
      <c r="I2486" t="s">
        <v>53</v>
      </c>
      <c r="J2486" t="s">
        <v>53</v>
      </c>
      <c r="K2486" t="s">
        <v>53</v>
      </c>
      <c r="L2486" t="s">
        <v>53</v>
      </c>
      <c r="M2486" t="s">
        <v>53</v>
      </c>
      <c r="N2486" t="s">
        <v>53</v>
      </c>
      <c r="O2486" t="s">
        <v>53</v>
      </c>
      <c r="P2486" t="s">
        <v>53</v>
      </c>
      <c r="Q2486" t="s">
        <v>53</v>
      </c>
    </row>
    <row r="2487" spans="1:17" x14ac:dyDescent="0.2">
      <c r="A2487" s="30" t="str">
        <f>IF(C2487&amp;G2487&amp;D2487&lt;&gt;'Funnel setup'!$K$3&amp;'Funnel setup'!$K$4&amp;'Funnel setup'!$K$5,".",IF(A2486=".",1,A2486+1))</f>
        <v>.</v>
      </c>
      <c r="B2487" s="431" t="str">
        <f t="shared" si="38"/>
        <v>Hip Replacement RevisionCCG of GP PracticeNHS BRIGHTON AND HOVE CCG (09D)EQ VAS</v>
      </c>
      <c r="C2487" t="s">
        <v>247</v>
      </c>
      <c r="D2487" t="s">
        <v>87</v>
      </c>
      <c r="E2487" t="s">
        <v>698</v>
      </c>
      <c r="F2487" t="s">
        <v>699</v>
      </c>
      <c r="G2487" t="s">
        <v>179</v>
      </c>
      <c r="H2487">
        <v>8</v>
      </c>
      <c r="I2487">
        <v>51.875</v>
      </c>
      <c r="J2487">
        <v>50</v>
      </c>
      <c r="K2487">
        <v>-1.875</v>
      </c>
      <c r="L2487">
        <v>3</v>
      </c>
      <c r="M2487">
        <v>1</v>
      </c>
      <c r="N2487">
        <v>4</v>
      </c>
      <c r="O2487" t="s">
        <v>53</v>
      </c>
      <c r="P2487" t="s">
        <v>53</v>
      </c>
      <c r="Q2487" t="s">
        <v>53</v>
      </c>
    </row>
    <row r="2488" spans="1:17" x14ac:dyDescent="0.2">
      <c r="A2488" s="30" t="str">
        <f>IF(C2488&amp;G2488&amp;D2488&lt;&gt;'Funnel setup'!$K$3&amp;'Funnel setup'!$K$4&amp;'Funnel setup'!$K$5,".",IF(A2487=".",1,A2487+1))</f>
        <v>.</v>
      </c>
      <c r="B2488" s="431" t="str">
        <f t="shared" si="38"/>
        <v>Hip Replacement RevisionCCG of GP PracticeNHS BRISTOL CCG (11H)EQ VAS</v>
      </c>
      <c r="C2488" t="s">
        <v>247</v>
      </c>
      <c r="D2488" t="s">
        <v>87</v>
      </c>
      <c r="E2488" t="s">
        <v>701</v>
      </c>
      <c r="F2488" t="s">
        <v>702</v>
      </c>
      <c r="G2488" t="s">
        <v>179</v>
      </c>
      <c r="H2488" t="s">
        <v>53</v>
      </c>
      <c r="I2488" t="s">
        <v>53</v>
      </c>
      <c r="J2488" t="s">
        <v>53</v>
      </c>
      <c r="K2488" t="s">
        <v>53</v>
      </c>
      <c r="L2488" t="s">
        <v>53</v>
      </c>
      <c r="M2488" t="s">
        <v>53</v>
      </c>
      <c r="N2488" t="s">
        <v>53</v>
      </c>
      <c r="O2488" t="s">
        <v>53</v>
      </c>
      <c r="P2488" t="s">
        <v>53</v>
      </c>
      <c r="Q2488" t="s">
        <v>53</v>
      </c>
    </row>
    <row r="2489" spans="1:17" x14ac:dyDescent="0.2">
      <c r="A2489" s="30" t="str">
        <f>IF(C2489&amp;G2489&amp;D2489&lt;&gt;'Funnel setup'!$K$3&amp;'Funnel setup'!$K$4&amp;'Funnel setup'!$K$5,".",IF(A2488=".",1,A2488+1))</f>
        <v>.</v>
      </c>
      <c r="B2489" s="431" t="str">
        <f t="shared" si="38"/>
        <v>Hip Replacement RevisionCCG of GP PracticeNHS BROMLEY CCG (07Q)EQ VAS</v>
      </c>
      <c r="C2489" t="s">
        <v>247</v>
      </c>
      <c r="D2489" t="s">
        <v>87</v>
      </c>
      <c r="E2489" t="s">
        <v>704</v>
      </c>
      <c r="F2489" t="s">
        <v>705</v>
      </c>
      <c r="G2489" t="s">
        <v>179</v>
      </c>
      <c r="H2489" t="s">
        <v>53</v>
      </c>
      <c r="I2489" t="s">
        <v>53</v>
      </c>
      <c r="J2489" t="s">
        <v>53</v>
      </c>
      <c r="K2489" t="s">
        <v>53</v>
      </c>
      <c r="L2489" t="s">
        <v>53</v>
      </c>
      <c r="M2489" t="s">
        <v>53</v>
      </c>
      <c r="N2489" t="s">
        <v>53</v>
      </c>
      <c r="O2489" t="s">
        <v>53</v>
      </c>
      <c r="P2489" t="s">
        <v>53</v>
      </c>
      <c r="Q2489" t="s">
        <v>53</v>
      </c>
    </row>
    <row r="2490" spans="1:17" x14ac:dyDescent="0.2">
      <c r="A2490" s="30" t="str">
        <f>IF(C2490&amp;G2490&amp;D2490&lt;&gt;'Funnel setup'!$K$3&amp;'Funnel setup'!$K$4&amp;'Funnel setup'!$K$5,".",IF(A2489=".",1,A2489+1))</f>
        <v>.</v>
      </c>
      <c r="B2490" s="431" t="str">
        <f t="shared" si="38"/>
        <v>Hip Replacement RevisionCCG of GP PracticeNHS BURY CCG (00V)EQ VAS</v>
      </c>
      <c r="C2490" t="s">
        <v>247</v>
      </c>
      <c r="D2490" t="s">
        <v>87</v>
      </c>
      <c r="E2490" t="s">
        <v>707</v>
      </c>
      <c r="F2490" t="s">
        <v>708</v>
      </c>
      <c r="G2490" t="s">
        <v>179</v>
      </c>
      <c r="H2490" t="s">
        <v>53</v>
      </c>
      <c r="I2490" t="s">
        <v>53</v>
      </c>
      <c r="J2490" t="s">
        <v>53</v>
      </c>
      <c r="K2490" t="s">
        <v>53</v>
      </c>
      <c r="L2490" t="s">
        <v>53</v>
      </c>
      <c r="M2490" t="s">
        <v>53</v>
      </c>
      <c r="N2490" t="s">
        <v>53</v>
      </c>
      <c r="O2490" t="s">
        <v>53</v>
      </c>
      <c r="P2490" t="s">
        <v>53</v>
      </c>
      <c r="Q2490" t="s">
        <v>53</v>
      </c>
    </row>
    <row r="2491" spans="1:17" x14ac:dyDescent="0.2">
      <c r="A2491" s="30" t="str">
        <f>IF(C2491&amp;G2491&amp;D2491&lt;&gt;'Funnel setup'!$K$3&amp;'Funnel setup'!$K$4&amp;'Funnel setup'!$K$5,".",IF(A2490=".",1,A2490+1))</f>
        <v>.</v>
      </c>
      <c r="B2491" s="431" t="str">
        <f t="shared" si="38"/>
        <v>Hip Replacement RevisionCCG of GP PracticeNHS CALDERDALE CCG (02T)EQ VAS</v>
      </c>
      <c r="C2491" t="s">
        <v>247</v>
      </c>
      <c r="D2491" t="s">
        <v>87</v>
      </c>
      <c r="E2491" t="s">
        <v>710</v>
      </c>
      <c r="F2491" t="s">
        <v>711</v>
      </c>
      <c r="G2491" t="s">
        <v>179</v>
      </c>
      <c r="H2491">
        <v>12</v>
      </c>
      <c r="I2491">
        <v>74.667000000000002</v>
      </c>
      <c r="J2491">
        <v>83.332999999999998</v>
      </c>
      <c r="K2491">
        <v>8.6669999999999998</v>
      </c>
      <c r="L2491">
        <v>7</v>
      </c>
      <c r="M2491">
        <v>2</v>
      </c>
      <c r="N2491">
        <v>3</v>
      </c>
      <c r="O2491" t="s">
        <v>53</v>
      </c>
      <c r="P2491" t="s">
        <v>53</v>
      </c>
      <c r="Q2491" t="s">
        <v>53</v>
      </c>
    </row>
    <row r="2492" spans="1:17" x14ac:dyDescent="0.2">
      <c r="A2492" s="30" t="str">
        <f>IF(C2492&amp;G2492&amp;D2492&lt;&gt;'Funnel setup'!$K$3&amp;'Funnel setup'!$K$4&amp;'Funnel setup'!$K$5,".",IF(A2491=".",1,A2491+1))</f>
        <v>.</v>
      </c>
      <c r="B2492" s="431" t="str">
        <f t="shared" si="38"/>
        <v>Hip Replacement RevisionCCG of GP PracticeNHS CAMBRIDGESHIRE AND PETERBOROUGH CCG (06H)EQ VAS</v>
      </c>
      <c r="C2492" t="s">
        <v>247</v>
      </c>
      <c r="D2492" t="s">
        <v>87</v>
      </c>
      <c r="E2492" t="s">
        <v>713</v>
      </c>
      <c r="F2492" t="s">
        <v>714</v>
      </c>
      <c r="G2492" t="s">
        <v>179</v>
      </c>
      <c r="H2492">
        <v>31</v>
      </c>
      <c r="I2492">
        <v>68.548000000000002</v>
      </c>
      <c r="J2492">
        <v>73.774000000000001</v>
      </c>
      <c r="K2492">
        <v>5.226</v>
      </c>
      <c r="L2492">
        <v>16</v>
      </c>
      <c r="M2492">
        <v>6</v>
      </c>
      <c r="N2492">
        <v>9</v>
      </c>
      <c r="O2492">
        <v>72.087000000000003</v>
      </c>
      <c r="P2492">
        <v>7.3162002709999996</v>
      </c>
      <c r="Q2492">
        <v>17.856999999999999</v>
      </c>
    </row>
    <row r="2493" spans="1:17" x14ac:dyDescent="0.2">
      <c r="A2493" s="30" t="str">
        <f>IF(C2493&amp;G2493&amp;D2493&lt;&gt;'Funnel setup'!$K$3&amp;'Funnel setup'!$K$4&amp;'Funnel setup'!$K$5,".",IF(A2492=".",1,A2492+1))</f>
        <v>.</v>
      </c>
      <c r="B2493" s="431" t="str">
        <f t="shared" si="38"/>
        <v>Hip Replacement RevisionCCG of GP PracticeNHS CAMDEN CCG (07R)EQ VAS</v>
      </c>
      <c r="C2493" t="s">
        <v>247</v>
      </c>
      <c r="D2493" t="s">
        <v>87</v>
      </c>
      <c r="E2493" t="s">
        <v>716</v>
      </c>
      <c r="F2493" t="s">
        <v>717</v>
      </c>
      <c r="G2493" t="s">
        <v>179</v>
      </c>
      <c r="H2493" t="s">
        <v>53</v>
      </c>
      <c r="I2493" t="s">
        <v>53</v>
      </c>
      <c r="J2493" t="s">
        <v>53</v>
      </c>
      <c r="K2493" t="s">
        <v>53</v>
      </c>
      <c r="L2493" t="s">
        <v>53</v>
      </c>
      <c r="M2493" t="s">
        <v>53</v>
      </c>
      <c r="N2493" t="s">
        <v>53</v>
      </c>
      <c r="O2493" t="s">
        <v>53</v>
      </c>
      <c r="P2493" t="s">
        <v>53</v>
      </c>
      <c r="Q2493" t="s">
        <v>53</v>
      </c>
    </row>
    <row r="2494" spans="1:17" x14ac:dyDescent="0.2">
      <c r="A2494" s="30" t="str">
        <f>IF(C2494&amp;G2494&amp;D2494&lt;&gt;'Funnel setup'!$K$3&amp;'Funnel setup'!$K$4&amp;'Funnel setup'!$K$5,".",IF(A2493=".",1,A2493+1))</f>
        <v>.</v>
      </c>
      <c r="B2494" s="431" t="str">
        <f t="shared" si="38"/>
        <v>Hip Replacement RevisionCCG of GP PracticeNHS CANNOCK CHASE CCG (04Y)EQ VAS</v>
      </c>
      <c r="C2494" t="s">
        <v>247</v>
      </c>
      <c r="D2494" t="s">
        <v>87</v>
      </c>
      <c r="E2494" t="s">
        <v>719</v>
      </c>
      <c r="F2494" t="s">
        <v>720</v>
      </c>
      <c r="G2494" t="s">
        <v>179</v>
      </c>
      <c r="H2494">
        <v>9</v>
      </c>
      <c r="I2494">
        <v>64.221999999999994</v>
      </c>
      <c r="J2494">
        <v>70.555999999999997</v>
      </c>
      <c r="K2494">
        <v>6.3330000000000002</v>
      </c>
      <c r="L2494">
        <v>6</v>
      </c>
      <c r="M2494">
        <v>1</v>
      </c>
      <c r="N2494">
        <v>2</v>
      </c>
      <c r="O2494" t="s">
        <v>53</v>
      </c>
      <c r="P2494" t="s">
        <v>53</v>
      </c>
      <c r="Q2494" t="s">
        <v>53</v>
      </c>
    </row>
    <row r="2495" spans="1:17" x14ac:dyDescent="0.2">
      <c r="A2495" s="30" t="str">
        <f>IF(C2495&amp;G2495&amp;D2495&lt;&gt;'Funnel setup'!$K$3&amp;'Funnel setup'!$K$4&amp;'Funnel setup'!$K$5,".",IF(A2494=".",1,A2494+1))</f>
        <v>.</v>
      </c>
      <c r="B2495" s="431" t="str">
        <f t="shared" si="38"/>
        <v>Hip Replacement RevisionCCG of GP PracticeNHS CANTERBURY AND COASTAL CCG (09E)EQ VAS</v>
      </c>
      <c r="C2495" t="s">
        <v>247</v>
      </c>
      <c r="D2495" t="s">
        <v>87</v>
      </c>
      <c r="E2495" t="s">
        <v>722</v>
      </c>
      <c r="F2495" t="s">
        <v>723</v>
      </c>
      <c r="G2495" t="s">
        <v>179</v>
      </c>
      <c r="H2495">
        <v>11</v>
      </c>
      <c r="I2495">
        <v>64.545000000000002</v>
      </c>
      <c r="J2495">
        <v>73.182000000000002</v>
      </c>
      <c r="K2495">
        <v>8.6359999999999992</v>
      </c>
      <c r="L2495">
        <v>6</v>
      </c>
      <c r="M2495">
        <v>1</v>
      </c>
      <c r="N2495">
        <v>4</v>
      </c>
      <c r="O2495" t="s">
        <v>53</v>
      </c>
      <c r="P2495" t="s">
        <v>53</v>
      </c>
      <c r="Q2495" t="s">
        <v>53</v>
      </c>
    </row>
    <row r="2496" spans="1:17" x14ac:dyDescent="0.2">
      <c r="A2496" s="30" t="str">
        <f>IF(C2496&amp;G2496&amp;D2496&lt;&gt;'Funnel setup'!$K$3&amp;'Funnel setup'!$K$4&amp;'Funnel setup'!$K$5,".",IF(A2495=".",1,A2495+1))</f>
        <v>.</v>
      </c>
      <c r="B2496" s="431" t="str">
        <f t="shared" si="38"/>
        <v>Hip Replacement RevisionCCG of GP PracticeNHS CASTLE POINT AND ROCHFORD CCG (99F)EQ VAS</v>
      </c>
      <c r="C2496" t="s">
        <v>247</v>
      </c>
      <c r="D2496" t="s">
        <v>87</v>
      </c>
      <c r="E2496" t="s">
        <v>725</v>
      </c>
      <c r="F2496" t="s">
        <v>726</v>
      </c>
      <c r="G2496" t="s">
        <v>179</v>
      </c>
      <c r="H2496">
        <v>13</v>
      </c>
      <c r="I2496">
        <v>75.385000000000005</v>
      </c>
      <c r="J2496">
        <v>74.614999999999995</v>
      </c>
      <c r="K2496">
        <v>-0.76900000000000002</v>
      </c>
      <c r="L2496">
        <v>5</v>
      </c>
      <c r="M2496">
        <v>2</v>
      </c>
      <c r="N2496">
        <v>6</v>
      </c>
      <c r="O2496" t="s">
        <v>53</v>
      </c>
      <c r="P2496" t="s">
        <v>53</v>
      </c>
      <c r="Q2496" t="s">
        <v>53</v>
      </c>
    </row>
    <row r="2497" spans="1:17" x14ac:dyDescent="0.2">
      <c r="A2497" s="30" t="str">
        <f>IF(C2497&amp;G2497&amp;D2497&lt;&gt;'Funnel setup'!$K$3&amp;'Funnel setup'!$K$4&amp;'Funnel setup'!$K$5,".",IF(A2496=".",1,A2496+1))</f>
        <v>.</v>
      </c>
      <c r="B2497" s="431" t="str">
        <f t="shared" si="38"/>
        <v>Hip Replacement RevisionCCG of GP PracticeNHS CENTRAL LONDON (WESTMINSTER) CCG (09A)EQ VAS</v>
      </c>
      <c r="C2497" t="s">
        <v>247</v>
      </c>
      <c r="D2497" t="s">
        <v>87</v>
      </c>
      <c r="E2497" t="s">
        <v>728</v>
      </c>
      <c r="F2497" t="s">
        <v>729</v>
      </c>
      <c r="G2497" t="s">
        <v>179</v>
      </c>
      <c r="H2497" t="s">
        <v>53</v>
      </c>
      <c r="I2497" t="s">
        <v>53</v>
      </c>
      <c r="J2497" t="s">
        <v>53</v>
      </c>
      <c r="K2497" t="s">
        <v>53</v>
      </c>
      <c r="L2497" t="s">
        <v>53</v>
      </c>
      <c r="M2497" t="s">
        <v>53</v>
      </c>
      <c r="N2497" t="s">
        <v>53</v>
      </c>
      <c r="O2497" t="s">
        <v>53</v>
      </c>
      <c r="P2497" t="s">
        <v>53</v>
      </c>
      <c r="Q2497" t="s">
        <v>53</v>
      </c>
    </row>
    <row r="2498" spans="1:17" x14ac:dyDescent="0.2">
      <c r="A2498" s="30" t="str">
        <f>IF(C2498&amp;G2498&amp;D2498&lt;&gt;'Funnel setup'!$K$3&amp;'Funnel setup'!$K$4&amp;'Funnel setup'!$K$5,".",IF(A2497=".",1,A2497+1))</f>
        <v>.</v>
      </c>
      <c r="B2498" s="431" t="str">
        <f t="shared" si="38"/>
        <v>Hip Replacement RevisionCCG of GP PracticeNHS CENTRAL MANCHESTER CCG (00W)EQ VAS</v>
      </c>
      <c r="C2498" t="s">
        <v>247</v>
      </c>
      <c r="D2498" t="s">
        <v>87</v>
      </c>
      <c r="E2498" t="s">
        <v>731</v>
      </c>
      <c r="F2498" t="s">
        <v>732</v>
      </c>
      <c r="G2498" t="s">
        <v>179</v>
      </c>
      <c r="H2498" t="s">
        <v>53</v>
      </c>
      <c r="I2498" t="s">
        <v>53</v>
      </c>
      <c r="J2498" t="s">
        <v>53</v>
      </c>
      <c r="K2498" t="s">
        <v>53</v>
      </c>
      <c r="L2498" t="s">
        <v>53</v>
      </c>
      <c r="M2498" t="s">
        <v>53</v>
      </c>
      <c r="N2498" t="s">
        <v>53</v>
      </c>
      <c r="O2498" t="s">
        <v>53</v>
      </c>
      <c r="P2498" t="s">
        <v>53</v>
      </c>
      <c r="Q2498" t="s">
        <v>53</v>
      </c>
    </row>
    <row r="2499" spans="1:17" x14ac:dyDescent="0.2">
      <c r="A2499" s="30" t="str">
        <f>IF(C2499&amp;G2499&amp;D2499&lt;&gt;'Funnel setup'!$K$3&amp;'Funnel setup'!$K$4&amp;'Funnel setup'!$K$5,".",IF(A2498=".",1,A2498+1))</f>
        <v>.</v>
      </c>
      <c r="B2499" s="431" t="str">
        <f t="shared" ref="B2499:B2562" si="39">C2499&amp;D2499&amp;F2499&amp;G2499</f>
        <v>Hip Replacement RevisionCCG of GP PracticeNHS CHILTERN CCG (10H)EQ VAS</v>
      </c>
      <c r="C2499" t="s">
        <v>247</v>
      </c>
      <c r="D2499" t="s">
        <v>87</v>
      </c>
      <c r="E2499" t="s">
        <v>734</v>
      </c>
      <c r="F2499" t="s">
        <v>735</v>
      </c>
      <c r="G2499" t="s">
        <v>179</v>
      </c>
      <c r="H2499">
        <v>18</v>
      </c>
      <c r="I2499">
        <v>60.277999999999999</v>
      </c>
      <c r="J2499">
        <v>61.444000000000003</v>
      </c>
      <c r="K2499">
        <v>1.167</v>
      </c>
      <c r="L2499">
        <v>11</v>
      </c>
      <c r="M2499">
        <v>1</v>
      </c>
      <c r="N2499">
        <v>6</v>
      </c>
      <c r="O2499" t="s">
        <v>53</v>
      </c>
      <c r="P2499" t="s">
        <v>53</v>
      </c>
      <c r="Q2499" t="s">
        <v>53</v>
      </c>
    </row>
    <row r="2500" spans="1:17" x14ac:dyDescent="0.2">
      <c r="A2500" s="30" t="str">
        <f>IF(C2500&amp;G2500&amp;D2500&lt;&gt;'Funnel setup'!$K$3&amp;'Funnel setup'!$K$4&amp;'Funnel setup'!$K$5,".",IF(A2499=".",1,A2499+1))</f>
        <v>.</v>
      </c>
      <c r="B2500" s="431" t="str">
        <f t="shared" si="39"/>
        <v>Hip Replacement RevisionCCG of GP PracticeNHS CHORLEY AND SOUTH RIBBLE CCG (00X)EQ VAS</v>
      </c>
      <c r="C2500" t="s">
        <v>247</v>
      </c>
      <c r="D2500" t="s">
        <v>87</v>
      </c>
      <c r="E2500" t="s">
        <v>737</v>
      </c>
      <c r="F2500" t="s">
        <v>738</v>
      </c>
      <c r="G2500" t="s">
        <v>179</v>
      </c>
      <c r="H2500">
        <v>7</v>
      </c>
      <c r="I2500">
        <v>69.143000000000001</v>
      </c>
      <c r="J2500">
        <v>69</v>
      </c>
      <c r="K2500">
        <v>-0.14299999999999999</v>
      </c>
      <c r="L2500">
        <v>5</v>
      </c>
      <c r="M2500">
        <v>0</v>
      </c>
      <c r="N2500">
        <v>2</v>
      </c>
      <c r="O2500" t="s">
        <v>53</v>
      </c>
      <c r="P2500" t="s">
        <v>53</v>
      </c>
      <c r="Q2500" t="s">
        <v>53</v>
      </c>
    </row>
    <row r="2501" spans="1:17" x14ac:dyDescent="0.2">
      <c r="A2501" s="30" t="str">
        <f>IF(C2501&amp;G2501&amp;D2501&lt;&gt;'Funnel setup'!$K$3&amp;'Funnel setup'!$K$4&amp;'Funnel setup'!$K$5,".",IF(A2500=".",1,A2500+1))</f>
        <v>.</v>
      </c>
      <c r="B2501" s="431" t="str">
        <f t="shared" si="39"/>
        <v>Hip Replacement RevisionCCG of GP PracticeNHS CITY AND HACKNEY CCG (07T)EQ VAS</v>
      </c>
      <c r="C2501" t="s">
        <v>247</v>
      </c>
      <c r="D2501" t="s">
        <v>87</v>
      </c>
      <c r="E2501" t="s">
        <v>740</v>
      </c>
      <c r="F2501" t="s">
        <v>741</v>
      </c>
      <c r="G2501" t="s">
        <v>179</v>
      </c>
      <c r="H2501" t="s">
        <v>53</v>
      </c>
      <c r="I2501" t="s">
        <v>53</v>
      </c>
      <c r="J2501" t="s">
        <v>53</v>
      </c>
      <c r="K2501" t="s">
        <v>53</v>
      </c>
      <c r="L2501" t="s">
        <v>53</v>
      </c>
      <c r="M2501" t="s">
        <v>53</v>
      </c>
      <c r="N2501" t="s">
        <v>53</v>
      </c>
      <c r="O2501" t="s">
        <v>53</v>
      </c>
      <c r="P2501" t="s">
        <v>53</v>
      </c>
      <c r="Q2501" t="s">
        <v>53</v>
      </c>
    </row>
    <row r="2502" spans="1:17" x14ac:dyDescent="0.2">
      <c r="A2502" s="30" t="str">
        <f>IF(C2502&amp;G2502&amp;D2502&lt;&gt;'Funnel setup'!$K$3&amp;'Funnel setup'!$K$4&amp;'Funnel setup'!$K$5,".",IF(A2501=".",1,A2501+1))</f>
        <v>.</v>
      </c>
      <c r="B2502" s="431" t="str">
        <f t="shared" si="39"/>
        <v>Hip Replacement RevisionCCG of GP PracticeNHS COASTAL WEST SUSSEX CCG (09G)EQ VAS</v>
      </c>
      <c r="C2502" t="s">
        <v>247</v>
      </c>
      <c r="D2502" t="s">
        <v>87</v>
      </c>
      <c r="E2502" t="s">
        <v>743</v>
      </c>
      <c r="F2502" t="s">
        <v>744</v>
      </c>
      <c r="G2502" t="s">
        <v>179</v>
      </c>
      <c r="H2502">
        <v>42</v>
      </c>
      <c r="I2502">
        <v>64.381</v>
      </c>
      <c r="J2502">
        <v>70.332999999999998</v>
      </c>
      <c r="K2502">
        <v>5.952</v>
      </c>
      <c r="L2502">
        <v>26</v>
      </c>
      <c r="M2502">
        <v>3</v>
      </c>
      <c r="N2502">
        <v>13</v>
      </c>
      <c r="O2502">
        <v>71.150000000000006</v>
      </c>
      <c r="P2502">
        <v>6.3799832319999998</v>
      </c>
      <c r="Q2502">
        <v>14.500999999999999</v>
      </c>
    </row>
    <row r="2503" spans="1:17" x14ac:dyDescent="0.2">
      <c r="A2503" s="30" t="str">
        <f>IF(C2503&amp;G2503&amp;D2503&lt;&gt;'Funnel setup'!$K$3&amp;'Funnel setup'!$K$4&amp;'Funnel setup'!$K$5,".",IF(A2502=".",1,A2502+1))</f>
        <v>.</v>
      </c>
      <c r="B2503" s="431" t="str">
        <f t="shared" si="39"/>
        <v>Hip Replacement RevisionCCG of GP PracticeNHS CORBY CCG (03V)EQ VAS</v>
      </c>
      <c r="C2503" t="s">
        <v>247</v>
      </c>
      <c r="D2503" t="s">
        <v>87</v>
      </c>
      <c r="E2503" t="s">
        <v>746</v>
      </c>
      <c r="F2503" t="s">
        <v>747</v>
      </c>
      <c r="G2503" t="s">
        <v>179</v>
      </c>
      <c r="H2503" t="s">
        <v>53</v>
      </c>
      <c r="I2503" t="s">
        <v>53</v>
      </c>
      <c r="J2503" t="s">
        <v>53</v>
      </c>
      <c r="K2503" t="s">
        <v>53</v>
      </c>
      <c r="L2503" t="s">
        <v>53</v>
      </c>
      <c r="M2503" t="s">
        <v>53</v>
      </c>
      <c r="N2503" t="s">
        <v>53</v>
      </c>
      <c r="O2503" t="s">
        <v>53</v>
      </c>
      <c r="P2503" t="s">
        <v>53</v>
      </c>
      <c r="Q2503" t="s">
        <v>53</v>
      </c>
    </row>
    <row r="2504" spans="1:17" x14ac:dyDescent="0.2">
      <c r="A2504" s="30" t="str">
        <f>IF(C2504&amp;G2504&amp;D2504&lt;&gt;'Funnel setup'!$K$3&amp;'Funnel setup'!$K$4&amp;'Funnel setup'!$K$5,".",IF(A2503=".",1,A2503+1))</f>
        <v>.</v>
      </c>
      <c r="B2504" s="431" t="str">
        <f t="shared" si="39"/>
        <v>Hip Replacement RevisionCCG of GP PracticeNHS COVENTRY AND RUGBY CCG (05A)EQ VAS</v>
      </c>
      <c r="C2504" t="s">
        <v>247</v>
      </c>
      <c r="D2504" t="s">
        <v>87</v>
      </c>
      <c r="E2504" t="s">
        <v>749</v>
      </c>
      <c r="F2504" t="s">
        <v>750</v>
      </c>
      <c r="G2504" t="s">
        <v>179</v>
      </c>
      <c r="H2504">
        <v>13</v>
      </c>
      <c r="I2504">
        <v>63.076999999999998</v>
      </c>
      <c r="J2504">
        <v>57.384999999999998</v>
      </c>
      <c r="K2504">
        <v>-5.6920000000000002</v>
      </c>
      <c r="L2504">
        <v>6</v>
      </c>
      <c r="M2504">
        <v>2</v>
      </c>
      <c r="N2504">
        <v>5</v>
      </c>
      <c r="O2504" t="s">
        <v>53</v>
      </c>
      <c r="P2504" t="s">
        <v>53</v>
      </c>
      <c r="Q2504" t="s">
        <v>53</v>
      </c>
    </row>
    <row r="2505" spans="1:17" x14ac:dyDescent="0.2">
      <c r="A2505" s="30" t="str">
        <f>IF(C2505&amp;G2505&amp;D2505&lt;&gt;'Funnel setup'!$K$3&amp;'Funnel setup'!$K$4&amp;'Funnel setup'!$K$5,".",IF(A2504=".",1,A2504+1))</f>
        <v>.</v>
      </c>
      <c r="B2505" s="431" t="str">
        <f t="shared" si="39"/>
        <v>Hip Replacement RevisionCCG of GP PracticeNHS CRAWLEY CCG (09H)EQ VAS</v>
      </c>
      <c r="C2505" t="s">
        <v>247</v>
      </c>
      <c r="D2505" t="s">
        <v>87</v>
      </c>
      <c r="E2505" t="s">
        <v>752</v>
      </c>
      <c r="F2505" t="s">
        <v>753</v>
      </c>
      <c r="G2505" t="s">
        <v>179</v>
      </c>
      <c r="H2505" t="s">
        <v>53</v>
      </c>
      <c r="I2505" t="s">
        <v>53</v>
      </c>
      <c r="J2505" t="s">
        <v>53</v>
      </c>
      <c r="K2505" t="s">
        <v>53</v>
      </c>
      <c r="L2505" t="s">
        <v>53</v>
      </c>
      <c r="M2505" t="s">
        <v>53</v>
      </c>
      <c r="N2505" t="s">
        <v>53</v>
      </c>
      <c r="O2505" t="s">
        <v>53</v>
      </c>
      <c r="P2505" t="s">
        <v>53</v>
      </c>
      <c r="Q2505" t="s">
        <v>53</v>
      </c>
    </row>
    <row r="2506" spans="1:17" x14ac:dyDescent="0.2">
      <c r="A2506" s="30" t="str">
        <f>IF(C2506&amp;G2506&amp;D2506&lt;&gt;'Funnel setup'!$K$3&amp;'Funnel setup'!$K$4&amp;'Funnel setup'!$K$5,".",IF(A2505=".",1,A2505+1))</f>
        <v>.</v>
      </c>
      <c r="B2506" s="431" t="str">
        <f t="shared" si="39"/>
        <v>Hip Replacement RevisionCCG of GP PracticeNHS CROYDON CCG (07V)EQ VAS</v>
      </c>
      <c r="C2506" t="s">
        <v>247</v>
      </c>
      <c r="D2506" t="s">
        <v>87</v>
      </c>
      <c r="E2506" t="s">
        <v>755</v>
      </c>
      <c r="F2506" t="s">
        <v>756</v>
      </c>
      <c r="G2506" t="s">
        <v>179</v>
      </c>
      <c r="H2506">
        <v>11</v>
      </c>
      <c r="I2506">
        <v>65.727000000000004</v>
      </c>
      <c r="J2506">
        <v>78.727000000000004</v>
      </c>
      <c r="K2506">
        <v>13</v>
      </c>
      <c r="L2506">
        <v>9</v>
      </c>
      <c r="M2506">
        <v>0</v>
      </c>
      <c r="N2506">
        <v>2</v>
      </c>
      <c r="O2506" t="s">
        <v>53</v>
      </c>
      <c r="P2506" t="s">
        <v>53</v>
      </c>
      <c r="Q2506" t="s">
        <v>53</v>
      </c>
    </row>
    <row r="2507" spans="1:17" x14ac:dyDescent="0.2">
      <c r="A2507" s="30" t="str">
        <f>IF(C2507&amp;G2507&amp;D2507&lt;&gt;'Funnel setup'!$K$3&amp;'Funnel setup'!$K$4&amp;'Funnel setup'!$K$5,".",IF(A2506=".",1,A2506+1))</f>
        <v>.</v>
      </c>
      <c r="B2507" s="431" t="str">
        <f t="shared" si="39"/>
        <v>Hip Replacement RevisionCCG of GP PracticeNHS CUMBRIA CCG (01H)EQ VAS</v>
      </c>
      <c r="C2507" t="s">
        <v>247</v>
      </c>
      <c r="D2507" t="s">
        <v>87</v>
      </c>
      <c r="E2507" t="s">
        <v>758</v>
      </c>
      <c r="F2507" t="s">
        <v>759</v>
      </c>
      <c r="G2507" t="s">
        <v>179</v>
      </c>
      <c r="H2507">
        <v>25</v>
      </c>
      <c r="I2507">
        <v>64.760000000000005</v>
      </c>
      <c r="J2507">
        <v>69.44</v>
      </c>
      <c r="K2507">
        <v>4.68</v>
      </c>
      <c r="L2507">
        <v>12</v>
      </c>
      <c r="M2507">
        <v>2</v>
      </c>
      <c r="N2507">
        <v>11</v>
      </c>
      <c r="O2507" t="s">
        <v>53</v>
      </c>
      <c r="P2507" t="s">
        <v>53</v>
      </c>
      <c r="Q2507" t="s">
        <v>53</v>
      </c>
    </row>
    <row r="2508" spans="1:17" x14ac:dyDescent="0.2">
      <c r="A2508" s="30" t="str">
        <f>IF(C2508&amp;G2508&amp;D2508&lt;&gt;'Funnel setup'!$K$3&amp;'Funnel setup'!$K$4&amp;'Funnel setup'!$K$5,".",IF(A2507=".",1,A2507+1))</f>
        <v>.</v>
      </c>
      <c r="B2508" s="431" t="str">
        <f t="shared" si="39"/>
        <v>Hip Replacement RevisionCCG of GP PracticeNHS DARLINGTON CCG (00C)EQ VAS</v>
      </c>
      <c r="C2508" t="s">
        <v>247</v>
      </c>
      <c r="D2508" t="s">
        <v>87</v>
      </c>
      <c r="E2508" t="s">
        <v>761</v>
      </c>
      <c r="F2508" t="s">
        <v>762</v>
      </c>
      <c r="G2508" t="s">
        <v>179</v>
      </c>
      <c r="H2508" t="s">
        <v>53</v>
      </c>
      <c r="I2508" t="s">
        <v>53</v>
      </c>
      <c r="J2508" t="s">
        <v>53</v>
      </c>
      <c r="K2508" t="s">
        <v>53</v>
      </c>
      <c r="L2508" t="s">
        <v>53</v>
      </c>
      <c r="M2508" t="s">
        <v>53</v>
      </c>
      <c r="N2508" t="s">
        <v>53</v>
      </c>
      <c r="O2508" t="s">
        <v>53</v>
      </c>
      <c r="P2508" t="s">
        <v>53</v>
      </c>
      <c r="Q2508" t="s">
        <v>53</v>
      </c>
    </row>
    <row r="2509" spans="1:17" x14ac:dyDescent="0.2">
      <c r="A2509" s="30" t="str">
        <f>IF(C2509&amp;G2509&amp;D2509&lt;&gt;'Funnel setup'!$K$3&amp;'Funnel setup'!$K$4&amp;'Funnel setup'!$K$5,".",IF(A2508=".",1,A2508+1))</f>
        <v>.</v>
      </c>
      <c r="B2509" s="431" t="str">
        <f t="shared" si="39"/>
        <v>Hip Replacement RevisionCCG of GP PracticeNHS DARTFORD, GRAVESHAM AND SWANLEY CCG (09J)EQ VAS</v>
      </c>
      <c r="C2509" t="s">
        <v>247</v>
      </c>
      <c r="D2509" t="s">
        <v>87</v>
      </c>
      <c r="E2509" t="s">
        <v>764</v>
      </c>
      <c r="F2509" t="s">
        <v>765</v>
      </c>
      <c r="G2509" t="s">
        <v>179</v>
      </c>
      <c r="H2509">
        <v>9</v>
      </c>
      <c r="I2509">
        <v>60.555999999999997</v>
      </c>
      <c r="J2509">
        <v>67.221999999999994</v>
      </c>
      <c r="K2509">
        <v>6.6669999999999998</v>
      </c>
      <c r="L2509">
        <v>5</v>
      </c>
      <c r="M2509">
        <v>1</v>
      </c>
      <c r="N2509">
        <v>3</v>
      </c>
      <c r="O2509" t="s">
        <v>53</v>
      </c>
      <c r="P2509" t="s">
        <v>53</v>
      </c>
      <c r="Q2509" t="s">
        <v>53</v>
      </c>
    </row>
    <row r="2510" spans="1:17" x14ac:dyDescent="0.2">
      <c r="A2510" s="30" t="str">
        <f>IF(C2510&amp;G2510&amp;D2510&lt;&gt;'Funnel setup'!$K$3&amp;'Funnel setup'!$K$4&amp;'Funnel setup'!$K$5,".",IF(A2509=".",1,A2509+1))</f>
        <v>.</v>
      </c>
      <c r="B2510" s="431" t="str">
        <f t="shared" si="39"/>
        <v>Hip Replacement RevisionCCG of GP PracticeNHS DONCASTER CCG (02X)EQ VAS</v>
      </c>
      <c r="C2510" t="s">
        <v>247</v>
      </c>
      <c r="D2510" t="s">
        <v>87</v>
      </c>
      <c r="E2510" t="s">
        <v>767</v>
      </c>
      <c r="F2510" t="s">
        <v>768</v>
      </c>
      <c r="G2510" t="s">
        <v>179</v>
      </c>
      <c r="H2510">
        <v>22</v>
      </c>
      <c r="I2510">
        <v>51.317999999999998</v>
      </c>
      <c r="J2510">
        <v>58.454999999999998</v>
      </c>
      <c r="K2510">
        <v>7.1360000000000001</v>
      </c>
      <c r="L2510">
        <v>12</v>
      </c>
      <c r="M2510">
        <v>2</v>
      </c>
      <c r="N2510">
        <v>8</v>
      </c>
      <c r="O2510" t="s">
        <v>53</v>
      </c>
      <c r="P2510" t="s">
        <v>53</v>
      </c>
      <c r="Q2510" t="s">
        <v>53</v>
      </c>
    </row>
    <row r="2511" spans="1:17" x14ac:dyDescent="0.2">
      <c r="A2511" s="30" t="str">
        <f>IF(C2511&amp;G2511&amp;D2511&lt;&gt;'Funnel setup'!$K$3&amp;'Funnel setup'!$K$4&amp;'Funnel setup'!$K$5,".",IF(A2510=".",1,A2510+1))</f>
        <v>.</v>
      </c>
      <c r="B2511" s="431" t="str">
        <f t="shared" si="39"/>
        <v>Hip Replacement RevisionCCG of GP PracticeNHS DORSET CCG (11J)EQ VAS</v>
      </c>
      <c r="C2511" t="s">
        <v>247</v>
      </c>
      <c r="D2511" t="s">
        <v>87</v>
      </c>
      <c r="E2511" t="s">
        <v>854</v>
      </c>
      <c r="F2511" t="s">
        <v>855</v>
      </c>
      <c r="G2511" t="s">
        <v>179</v>
      </c>
      <c r="H2511">
        <v>19</v>
      </c>
      <c r="I2511">
        <v>60.316000000000003</v>
      </c>
      <c r="J2511">
        <v>72.841999999999999</v>
      </c>
      <c r="K2511">
        <v>12.526</v>
      </c>
      <c r="L2511">
        <v>13</v>
      </c>
      <c r="M2511">
        <v>2</v>
      </c>
      <c r="N2511">
        <v>4</v>
      </c>
      <c r="O2511" t="s">
        <v>53</v>
      </c>
      <c r="P2511" t="s">
        <v>53</v>
      </c>
      <c r="Q2511" t="s">
        <v>53</v>
      </c>
    </row>
    <row r="2512" spans="1:17" x14ac:dyDescent="0.2">
      <c r="A2512" s="30" t="str">
        <f>IF(C2512&amp;G2512&amp;D2512&lt;&gt;'Funnel setup'!$K$3&amp;'Funnel setup'!$K$4&amp;'Funnel setup'!$K$5,".",IF(A2511=".",1,A2511+1))</f>
        <v>.</v>
      </c>
      <c r="B2512" s="431" t="str">
        <f t="shared" si="39"/>
        <v>Hip Replacement RevisionCCG of GP PracticeNHS DUDLEY CCG (05C)EQ VAS</v>
      </c>
      <c r="C2512" t="s">
        <v>247</v>
      </c>
      <c r="D2512" t="s">
        <v>87</v>
      </c>
      <c r="E2512" t="s">
        <v>857</v>
      </c>
      <c r="F2512" t="s">
        <v>858</v>
      </c>
      <c r="G2512" t="s">
        <v>179</v>
      </c>
      <c r="H2512">
        <v>10</v>
      </c>
      <c r="I2512">
        <v>52.3</v>
      </c>
      <c r="J2512">
        <v>65.900000000000006</v>
      </c>
      <c r="K2512">
        <v>13.6</v>
      </c>
      <c r="L2512">
        <v>5</v>
      </c>
      <c r="M2512">
        <v>0</v>
      </c>
      <c r="N2512">
        <v>5</v>
      </c>
      <c r="O2512" t="s">
        <v>53</v>
      </c>
      <c r="P2512" t="s">
        <v>53</v>
      </c>
      <c r="Q2512" t="s">
        <v>53</v>
      </c>
    </row>
    <row r="2513" spans="1:17" x14ac:dyDescent="0.2">
      <c r="A2513" s="30" t="str">
        <f>IF(C2513&amp;G2513&amp;D2513&lt;&gt;'Funnel setup'!$K$3&amp;'Funnel setup'!$K$4&amp;'Funnel setup'!$K$5,".",IF(A2512=".",1,A2512+1))</f>
        <v>.</v>
      </c>
      <c r="B2513" s="431" t="str">
        <f t="shared" si="39"/>
        <v>Hip Replacement RevisionCCG of GP PracticeNHS DURHAM DALES, EASINGTON AND SEDGEFIELD CCG (00D)EQ VAS</v>
      </c>
      <c r="C2513" t="s">
        <v>247</v>
      </c>
      <c r="D2513" t="s">
        <v>87</v>
      </c>
      <c r="E2513" t="s">
        <v>860</v>
      </c>
      <c r="F2513" t="s">
        <v>861</v>
      </c>
      <c r="G2513" t="s">
        <v>179</v>
      </c>
      <c r="H2513">
        <v>10</v>
      </c>
      <c r="I2513">
        <v>65</v>
      </c>
      <c r="J2513">
        <v>70.900000000000006</v>
      </c>
      <c r="K2513">
        <v>5.9</v>
      </c>
      <c r="L2513">
        <v>4</v>
      </c>
      <c r="M2513">
        <v>2</v>
      </c>
      <c r="N2513">
        <v>4</v>
      </c>
      <c r="O2513" t="s">
        <v>53</v>
      </c>
      <c r="P2513" t="s">
        <v>53</v>
      </c>
      <c r="Q2513" t="s">
        <v>53</v>
      </c>
    </row>
    <row r="2514" spans="1:17" x14ac:dyDescent="0.2">
      <c r="A2514" s="30" t="str">
        <f>IF(C2514&amp;G2514&amp;D2514&lt;&gt;'Funnel setup'!$K$3&amp;'Funnel setup'!$K$4&amp;'Funnel setup'!$K$5,".",IF(A2513=".",1,A2513+1))</f>
        <v>.</v>
      </c>
      <c r="B2514" s="431" t="str">
        <f t="shared" si="39"/>
        <v>Hip Replacement RevisionCCG of GP PracticeNHS EALING CCG (07W)EQ VAS</v>
      </c>
      <c r="C2514" t="s">
        <v>247</v>
      </c>
      <c r="D2514" t="s">
        <v>87</v>
      </c>
      <c r="E2514" t="s">
        <v>863</v>
      </c>
      <c r="F2514" t="s">
        <v>864</v>
      </c>
      <c r="G2514" t="s">
        <v>179</v>
      </c>
      <c r="H2514">
        <v>7</v>
      </c>
      <c r="I2514">
        <v>60.713999999999999</v>
      </c>
      <c r="J2514">
        <v>84</v>
      </c>
      <c r="K2514">
        <v>23.286000000000001</v>
      </c>
      <c r="L2514">
        <v>6</v>
      </c>
      <c r="M2514">
        <v>0</v>
      </c>
      <c r="N2514">
        <v>1</v>
      </c>
      <c r="O2514" t="s">
        <v>53</v>
      </c>
      <c r="P2514" t="s">
        <v>53</v>
      </c>
      <c r="Q2514" t="s">
        <v>53</v>
      </c>
    </row>
    <row r="2515" spans="1:17" x14ac:dyDescent="0.2">
      <c r="A2515" s="30" t="str">
        <f>IF(C2515&amp;G2515&amp;D2515&lt;&gt;'Funnel setup'!$K$3&amp;'Funnel setup'!$K$4&amp;'Funnel setup'!$K$5,".",IF(A2514=".",1,A2514+1))</f>
        <v>.</v>
      </c>
      <c r="B2515" s="431" t="str">
        <f t="shared" si="39"/>
        <v>Hip Replacement RevisionCCG of GP PracticeNHS EAST AND NORTH HERTFORDSHIRE CCG (06K)EQ VAS</v>
      </c>
      <c r="C2515" t="s">
        <v>247</v>
      </c>
      <c r="D2515" t="s">
        <v>87</v>
      </c>
      <c r="E2515" t="s">
        <v>866</v>
      </c>
      <c r="F2515" t="s">
        <v>867</v>
      </c>
      <c r="G2515" t="s">
        <v>179</v>
      </c>
      <c r="H2515">
        <v>24</v>
      </c>
      <c r="I2515">
        <v>62.542000000000002</v>
      </c>
      <c r="J2515">
        <v>68.707999999999998</v>
      </c>
      <c r="K2515">
        <v>6.1669999999999998</v>
      </c>
      <c r="L2515">
        <v>12</v>
      </c>
      <c r="M2515">
        <v>4</v>
      </c>
      <c r="N2515">
        <v>8</v>
      </c>
      <c r="O2515" t="s">
        <v>53</v>
      </c>
      <c r="P2515" t="s">
        <v>53</v>
      </c>
      <c r="Q2515" t="s">
        <v>53</v>
      </c>
    </row>
    <row r="2516" spans="1:17" x14ac:dyDescent="0.2">
      <c r="A2516" s="30" t="str">
        <f>IF(C2516&amp;G2516&amp;D2516&lt;&gt;'Funnel setup'!$K$3&amp;'Funnel setup'!$K$4&amp;'Funnel setup'!$K$5,".",IF(A2515=".",1,A2515+1))</f>
        <v>.</v>
      </c>
      <c r="B2516" s="431" t="str">
        <f t="shared" si="39"/>
        <v>Hip Replacement RevisionCCG of GP PracticeNHS EAST LANCASHIRE CCG (01A)EQ VAS</v>
      </c>
      <c r="C2516" t="s">
        <v>247</v>
      </c>
      <c r="D2516" t="s">
        <v>87</v>
      </c>
      <c r="E2516" t="s">
        <v>869</v>
      </c>
      <c r="F2516" t="s">
        <v>870</v>
      </c>
      <c r="G2516" t="s">
        <v>179</v>
      </c>
      <c r="H2516">
        <v>15</v>
      </c>
      <c r="I2516">
        <v>63.8</v>
      </c>
      <c r="J2516">
        <v>62.6</v>
      </c>
      <c r="K2516">
        <v>-1.2</v>
      </c>
      <c r="L2516">
        <v>5</v>
      </c>
      <c r="M2516">
        <v>6</v>
      </c>
      <c r="N2516">
        <v>4</v>
      </c>
      <c r="O2516" t="s">
        <v>53</v>
      </c>
      <c r="P2516" t="s">
        <v>53</v>
      </c>
      <c r="Q2516" t="s">
        <v>53</v>
      </c>
    </row>
    <row r="2517" spans="1:17" x14ac:dyDescent="0.2">
      <c r="A2517" s="30" t="str">
        <f>IF(C2517&amp;G2517&amp;D2517&lt;&gt;'Funnel setup'!$K$3&amp;'Funnel setup'!$K$4&amp;'Funnel setup'!$K$5,".",IF(A2516=".",1,A2516+1))</f>
        <v>.</v>
      </c>
      <c r="B2517" s="431" t="str">
        <f t="shared" si="39"/>
        <v>Hip Replacement RevisionCCG of GP PracticeNHS EAST LEICESTERSHIRE AND RUTLAND CCG (03W)EQ VAS</v>
      </c>
      <c r="C2517" t="s">
        <v>247</v>
      </c>
      <c r="D2517" t="s">
        <v>87</v>
      </c>
      <c r="E2517" t="s">
        <v>872</v>
      </c>
      <c r="F2517" t="s">
        <v>873</v>
      </c>
      <c r="G2517" t="s">
        <v>179</v>
      </c>
      <c r="H2517">
        <v>16</v>
      </c>
      <c r="I2517">
        <v>65.813000000000002</v>
      </c>
      <c r="J2517">
        <v>72.5</v>
      </c>
      <c r="K2517">
        <v>6.6879999999999997</v>
      </c>
      <c r="L2517">
        <v>8</v>
      </c>
      <c r="M2517">
        <v>3</v>
      </c>
      <c r="N2517">
        <v>5</v>
      </c>
      <c r="O2517" t="s">
        <v>53</v>
      </c>
      <c r="P2517" t="s">
        <v>53</v>
      </c>
      <c r="Q2517" t="s">
        <v>53</v>
      </c>
    </row>
    <row r="2518" spans="1:17" x14ac:dyDescent="0.2">
      <c r="A2518" s="30" t="str">
        <f>IF(C2518&amp;G2518&amp;D2518&lt;&gt;'Funnel setup'!$K$3&amp;'Funnel setup'!$K$4&amp;'Funnel setup'!$K$5,".",IF(A2517=".",1,A2517+1))</f>
        <v>.</v>
      </c>
      <c r="B2518" s="431" t="str">
        <f t="shared" si="39"/>
        <v>Hip Replacement RevisionCCG of GP PracticeNHS EAST RIDING OF YORKSHIRE CCG (02Y)EQ VAS</v>
      </c>
      <c r="C2518" t="s">
        <v>247</v>
      </c>
      <c r="D2518" t="s">
        <v>87</v>
      </c>
      <c r="E2518" t="s">
        <v>875</v>
      </c>
      <c r="F2518" t="s">
        <v>876</v>
      </c>
      <c r="G2518" t="s">
        <v>179</v>
      </c>
      <c r="H2518">
        <v>15</v>
      </c>
      <c r="I2518">
        <v>62.133000000000003</v>
      </c>
      <c r="J2518">
        <v>71</v>
      </c>
      <c r="K2518">
        <v>8.8670000000000009</v>
      </c>
      <c r="L2518">
        <v>10</v>
      </c>
      <c r="M2518">
        <v>1</v>
      </c>
      <c r="N2518">
        <v>4</v>
      </c>
      <c r="O2518" t="s">
        <v>53</v>
      </c>
      <c r="P2518" t="s">
        <v>53</v>
      </c>
      <c r="Q2518" t="s">
        <v>53</v>
      </c>
    </row>
    <row r="2519" spans="1:17" x14ac:dyDescent="0.2">
      <c r="A2519" s="30" t="str">
        <f>IF(C2519&amp;G2519&amp;D2519&lt;&gt;'Funnel setup'!$K$3&amp;'Funnel setup'!$K$4&amp;'Funnel setup'!$K$5,".",IF(A2518=".",1,A2518+1))</f>
        <v>.</v>
      </c>
      <c r="B2519" s="431" t="str">
        <f t="shared" si="39"/>
        <v>Hip Replacement RevisionCCG of GP PracticeNHS EAST STAFFORDSHIRE CCG (05D)EQ VAS</v>
      </c>
      <c r="C2519" t="s">
        <v>247</v>
      </c>
      <c r="D2519" t="s">
        <v>87</v>
      </c>
      <c r="E2519" t="s">
        <v>878</v>
      </c>
      <c r="F2519" t="s">
        <v>879</v>
      </c>
      <c r="G2519" t="s">
        <v>179</v>
      </c>
      <c r="H2519">
        <v>9</v>
      </c>
      <c r="I2519">
        <v>64.778000000000006</v>
      </c>
      <c r="J2519">
        <v>73.888999999999996</v>
      </c>
      <c r="K2519">
        <v>9.1110000000000007</v>
      </c>
      <c r="L2519">
        <v>6</v>
      </c>
      <c r="M2519">
        <v>0</v>
      </c>
      <c r="N2519">
        <v>3</v>
      </c>
      <c r="O2519" t="s">
        <v>53</v>
      </c>
      <c r="P2519" t="s">
        <v>53</v>
      </c>
      <c r="Q2519" t="s">
        <v>53</v>
      </c>
    </row>
    <row r="2520" spans="1:17" x14ac:dyDescent="0.2">
      <c r="A2520" s="30" t="str">
        <f>IF(C2520&amp;G2520&amp;D2520&lt;&gt;'Funnel setup'!$K$3&amp;'Funnel setup'!$K$4&amp;'Funnel setup'!$K$5,".",IF(A2519=".",1,A2519+1))</f>
        <v>.</v>
      </c>
      <c r="B2520" s="431" t="str">
        <f t="shared" si="39"/>
        <v>Hip Replacement RevisionCCG of GP PracticeNHS EAST SURREY CCG (09L)EQ VAS</v>
      </c>
      <c r="C2520" t="s">
        <v>247</v>
      </c>
      <c r="D2520" t="s">
        <v>87</v>
      </c>
      <c r="E2520" t="s">
        <v>881</v>
      </c>
      <c r="F2520" t="s">
        <v>882</v>
      </c>
      <c r="G2520" t="s">
        <v>179</v>
      </c>
      <c r="H2520">
        <v>6</v>
      </c>
      <c r="I2520">
        <v>49.167000000000002</v>
      </c>
      <c r="J2520">
        <v>50.832999999999998</v>
      </c>
      <c r="K2520">
        <v>1.667</v>
      </c>
      <c r="L2520">
        <v>2</v>
      </c>
      <c r="M2520">
        <v>1</v>
      </c>
      <c r="N2520">
        <v>3</v>
      </c>
      <c r="O2520" t="s">
        <v>53</v>
      </c>
      <c r="P2520" t="s">
        <v>53</v>
      </c>
      <c r="Q2520" t="s">
        <v>53</v>
      </c>
    </row>
    <row r="2521" spans="1:17" x14ac:dyDescent="0.2">
      <c r="A2521" s="30" t="str">
        <f>IF(C2521&amp;G2521&amp;D2521&lt;&gt;'Funnel setup'!$K$3&amp;'Funnel setup'!$K$4&amp;'Funnel setup'!$K$5,".",IF(A2520=".",1,A2520+1))</f>
        <v>.</v>
      </c>
      <c r="B2521" s="431" t="str">
        <f t="shared" si="39"/>
        <v>Hip Replacement RevisionCCG of GP PracticeNHS EASTBOURNE, HAILSHAM AND SEAFORD CCG (09F)EQ VAS</v>
      </c>
      <c r="C2521" t="s">
        <v>247</v>
      </c>
      <c r="D2521" t="s">
        <v>87</v>
      </c>
      <c r="E2521" t="s">
        <v>884</v>
      </c>
      <c r="F2521" t="s">
        <v>885</v>
      </c>
      <c r="G2521" t="s">
        <v>179</v>
      </c>
      <c r="H2521">
        <v>21</v>
      </c>
      <c r="I2521">
        <v>65.524000000000001</v>
      </c>
      <c r="J2521">
        <v>73</v>
      </c>
      <c r="K2521">
        <v>7.476</v>
      </c>
      <c r="L2521">
        <v>11</v>
      </c>
      <c r="M2521">
        <v>6</v>
      </c>
      <c r="N2521">
        <v>4</v>
      </c>
      <c r="O2521" t="s">
        <v>53</v>
      </c>
      <c r="P2521" t="s">
        <v>53</v>
      </c>
      <c r="Q2521" t="s">
        <v>53</v>
      </c>
    </row>
    <row r="2522" spans="1:17" x14ac:dyDescent="0.2">
      <c r="A2522" s="30" t="str">
        <f>IF(C2522&amp;G2522&amp;D2522&lt;&gt;'Funnel setup'!$K$3&amp;'Funnel setup'!$K$4&amp;'Funnel setup'!$K$5,".",IF(A2521=".",1,A2521+1))</f>
        <v>.</v>
      </c>
      <c r="B2522" s="431" t="str">
        <f t="shared" si="39"/>
        <v>Hip Replacement RevisionCCG of GP PracticeNHS EASTERN CHESHIRE CCG (01C)EQ VAS</v>
      </c>
      <c r="C2522" t="s">
        <v>247</v>
      </c>
      <c r="D2522" t="s">
        <v>87</v>
      </c>
      <c r="E2522" t="s">
        <v>887</v>
      </c>
      <c r="F2522" t="s">
        <v>888</v>
      </c>
      <c r="G2522" t="s">
        <v>179</v>
      </c>
      <c r="H2522">
        <v>6</v>
      </c>
      <c r="I2522">
        <v>78</v>
      </c>
      <c r="J2522">
        <v>73.667000000000002</v>
      </c>
      <c r="K2522">
        <v>-4.3330000000000002</v>
      </c>
      <c r="L2522">
        <v>2</v>
      </c>
      <c r="M2522">
        <v>1</v>
      </c>
      <c r="N2522">
        <v>3</v>
      </c>
      <c r="O2522" t="s">
        <v>53</v>
      </c>
      <c r="P2522" t="s">
        <v>53</v>
      </c>
      <c r="Q2522" t="s">
        <v>53</v>
      </c>
    </row>
    <row r="2523" spans="1:17" x14ac:dyDescent="0.2">
      <c r="A2523" s="30" t="str">
        <f>IF(C2523&amp;G2523&amp;D2523&lt;&gt;'Funnel setup'!$K$3&amp;'Funnel setup'!$K$4&amp;'Funnel setup'!$K$5,".",IF(A2522=".",1,A2522+1))</f>
        <v>.</v>
      </c>
      <c r="B2523" s="431" t="str">
        <f t="shared" si="39"/>
        <v>Hip Replacement RevisionCCG of GP PracticeNHS ENFIELD CCG (07X)EQ VAS</v>
      </c>
      <c r="C2523" t="s">
        <v>247</v>
      </c>
      <c r="D2523" t="s">
        <v>87</v>
      </c>
      <c r="E2523" t="s">
        <v>890</v>
      </c>
      <c r="F2523" t="s">
        <v>891</v>
      </c>
      <c r="G2523" t="s">
        <v>179</v>
      </c>
      <c r="H2523" t="s">
        <v>53</v>
      </c>
      <c r="I2523" t="s">
        <v>53</v>
      </c>
      <c r="J2523" t="s">
        <v>53</v>
      </c>
      <c r="K2523" t="s">
        <v>53</v>
      </c>
      <c r="L2523" t="s">
        <v>53</v>
      </c>
      <c r="M2523" t="s">
        <v>53</v>
      </c>
      <c r="N2523" t="s">
        <v>53</v>
      </c>
      <c r="O2523" t="s">
        <v>53</v>
      </c>
      <c r="P2523" t="s">
        <v>53</v>
      </c>
      <c r="Q2523" t="s">
        <v>53</v>
      </c>
    </row>
    <row r="2524" spans="1:17" x14ac:dyDescent="0.2">
      <c r="A2524" s="30" t="str">
        <f>IF(C2524&amp;G2524&amp;D2524&lt;&gt;'Funnel setup'!$K$3&amp;'Funnel setup'!$K$4&amp;'Funnel setup'!$K$5,".",IF(A2523=".",1,A2523+1))</f>
        <v>.</v>
      </c>
      <c r="B2524" s="431" t="str">
        <f t="shared" si="39"/>
        <v>Hip Replacement RevisionCCG of GP PracticeNHS EREWASH CCG (03X)EQ VAS</v>
      </c>
      <c r="C2524" t="s">
        <v>247</v>
      </c>
      <c r="D2524" t="s">
        <v>87</v>
      </c>
      <c r="E2524" t="s">
        <v>893</v>
      </c>
      <c r="F2524" t="s">
        <v>894</v>
      </c>
      <c r="G2524" t="s">
        <v>179</v>
      </c>
      <c r="H2524" t="s">
        <v>53</v>
      </c>
      <c r="I2524" t="s">
        <v>53</v>
      </c>
      <c r="J2524" t="s">
        <v>53</v>
      </c>
      <c r="K2524" t="s">
        <v>53</v>
      </c>
      <c r="L2524" t="s">
        <v>53</v>
      </c>
      <c r="M2524" t="s">
        <v>53</v>
      </c>
      <c r="N2524" t="s">
        <v>53</v>
      </c>
      <c r="O2524" t="s">
        <v>53</v>
      </c>
      <c r="P2524" t="s">
        <v>53</v>
      </c>
      <c r="Q2524" t="s">
        <v>53</v>
      </c>
    </row>
    <row r="2525" spans="1:17" x14ac:dyDescent="0.2">
      <c r="A2525" s="30" t="str">
        <f>IF(C2525&amp;G2525&amp;D2525&lt;&gt;'Funnel setup'!$K$3&amp;'Funnel setup'!$K$4&amp;'Funnel setup'!$K$5,".",IF(A2524=".",1,A2524+1))</f>
        <v>.</v>
      </c>
      <c r="B2525" s="431" t="str">
        <f t="shared" si="39"/>
        <v>Hip Replacement RevisionCCG of GP PracticeNHS FAREHAM AND GOSPORT CCG (10K)EQ VAS</v>
      </c>
      <c r="C2525" t="s">
        <v>247</v>
      </c>
      <c r="D2525" t="s">
        <v>87</v>
      </c>
      <c r="E2525" t="s">
        <v>896</v>
      </c>
      <c r="F2525" t="s">
        <v>897</v>
      </c>
      <c r="G2525" t="s">
        <v>179</v>
      </c>
      <c r="H2525" t="s">
        <v>53</v>
      </c>
      <c r="I2525" t="s">
        <v>53</v>
      </c>
      <c r="J2525" t="s">
        <v>53</v>
      </c>
      <c r="K2525" t="s">
        <v>53</v>
      </c>
      <c r="L2525" t="s">
        <v>53</v>
      </c>
      <c r="M2525" t="s">
        <v>53</v>
      </c>
      <c r="N2525" t="s">
        <v>53</v>
      </c>
      <c r="O2525" t="s">
        <v>53</v>
      </c>
      <c r="P2525" t="s">
        <v>53</v>
      </c>
      <c r="Q2525" t="s">
        <v>53</v>
      </c>
    </row>
    <row r="2526" spans="1:17" x14ac:dyDescent="0.2">
      <c r="A2526" s="30" t="str">
        <f>IF(C2526&amp;G2526&amp;D2526&lt;&gt;'Funnel setup'!$K$3&amp;'Funnel setup'!$K$4&amp;'Funnel setup'!$K$5,".",IF(A2525=".",1,A2525+1))</f>
        <v>.</v>
      </c>
      <c r="B2526" s="431" t="str">
        <f t="shared" si="39"/>
        <v>Hip Replacement RevisionCCG of GP PracticeNHS FYLDE &amp; WYRE CCG (02M)EQ VAS</v>
      </c>
      <c r="C2526" t="s">
        <v>247</v>
      </c>
      <c r="D2526" t="s">
        <v>87</v>
      </c>
      <c r="E2526" t="s">
        <v>899</v>
      </c>
      <c r="F2526" t="s">
        <v>900</v>
      </c>
      <c r="G2526" t="s">
        <v>179</v>
      </c>
      <c r="H2526" t="s">
        <v>53</v>
      </c>
      <c r="I2526" t="s">
        <v>53</v>
      </c>
      <c r="J2526" t="s">
        <v>53</v>
      </c>
      <c r="K2526" t="s">
        <v>53</v>
      </c>
      <c r="L2526" t="s">
        <v>53</v>
      </c>
      <c r="M2526" t="s">
        <v>53</v>
      </c>
      <c r="N2526" t="s">
        <v>53</v>
      </c>
      <c r="O2526" t="s">
        <v>53</v>
      </c>
      <c r="P2526" t="s">
        <v>53</v>
      </c>
      <c r="Q2526" t="s">
        <v>53</v>
      </c>
    </row>
    <row r="2527" spans="1:17" x14ac:dyDescent="0.2">
      <c r="A2527" s="30" t="str">
        <f>IF(C2527&amp;G2527&amp;D2527&lt;&gt;'Funnel setup'!$K$3&amp;'Funnel setup'!$K$4&amp;'Funnel setup'!$K$5,".",IF(A2526=".",1,A2526+1))</f>
        <v>.</v>
      </c>
      <c r="B2527" s="431" t="str">
        <f t="shared" si="39"/>
        <v>Hip Replacement RevisionCCG of GP PracticeNHS GLOUCESTERSHIRE CCG (11M)EQ VAS</v>
      </c>
      <c r="C2527" t="s">
        <v>247</v>
      </c>
      <c r="D2527" t="s">
        <v>87</v>
      </c>
      <c r="E2527" t="s">
        <v>902</v>
      </c>
      <c r="F2527" t="s">
        <v>903</v>
      </c>
      <c r="G2527" t="s">
        <v>179</v>
      </c>
      <c r="H2527">
        <v>36</v>
      </c>
      <c r="I2527">
        <v>60.777999999999999</v>
      </c>
      <c r="J2527">
        <v>61.722000000000001</v>
      </c>
      <c r="K2527">
        <v>0.94399999999999995</v>
      </c>
      <c r="L2527">
        <v>17</v>
      </c>
      <c r="M2527">
        <v>3</v>
      </c>
      <c r="N2527">
        <v>16</v>
      </c>
      <c r="O2527">
        <v>62.79</v>
      </c>
      <c r="P2527">
        <v>-1.980022704</v>
      </c>
      <c r="Q2527">
        <v>20.927</v>
      </c>
    </row>
    <row r="2528" spans="1:17" x14ac:dyDescent="0.2">
      <c r="A2528" s="30" t="str">
        <f>IF(C2528&amp;G2528&amp;D2528&lt;&gt;'Funnel setup'!$K$3&amp;'Funnel setup'!$K$4&amp;'Funnel setup'!$K$5,".",IF(A2527=".",1,A2527+1))</f>
        <v>.</v>
      </c>
      <c r="B2528" s="431" t="str">
        <f t="shared" si="39"/>
        <v>Hip Replacement RevisionCCG of GP PracticeNHS GREAT YARMOUTH AND WAVENEY CCG (06M)EQ VAS</v>
      </c>
      <c r="C2528" t="s">
        <v>247</v>
      </c>
      <c r="D2528" t="s">
        <v>87</v>
      </c>
      <c r="E2528" t="s">
        <v>905</v>
      </c>
      <c r="F2528" t="s">
        <v>906</v>
      </c>
      <c r="G2528" t="s">
        <v>179</v>
      </c>
      <c r="H2528">
        <v>8</v>
      </c>
      <c r="I2528">
        <v>71</v>
      </c>
      <c r="J2528">
        <v>73.125</v>
      </c>
      <c r="K2528">
        <v>2.125</v>
      </c>
      <c r="L2528">
        <v>2</v>
      </c>
      <c r="M2528">
        <v>4</v>
      </c>
      <c r="N2528">
        <v>2</v>
      </c>
      <c r="O2528" t="s">
        <v>53</v>
      </c>
      <c r="P2528" t="s">
        <v>53</v>
      </c>
      <c r="Q2528" t="s">
        <v>53</v>
      </c>
    </row>
    <row r="2529" spans="1:17" x14ac:dyDescent="0.2">
      <c r="A2529" s="30" t="str">
        <f>IF(C2529&amp;G2529&amp;D2529&lt;&gt;'Funnel setup'!$K$3&amp;'Funnel setup'!$K$4&amp;'Funnel setup'!$K$5,".",IF(A2528=".",1,A2528+1))</f>
        <v>.</v>
      </c>
      <c r="B2529" s="431" t="str">
        <f t="shared" si="39"/>
        <v>Hip Replacement RevisionCCG of GP PracticeNHS GREATER HUDDERSFIELD CCG (03A)EQ VAS</v>
      </c>
      <c r="C2529" t="s">
        <v>247</v>
      </c>
      <c r="D2529" t="s">
        <v>87</v>
      </c>
      <c r="E2529" t="s">
        <v>908</v>
      </c>
      <c r="F2529" t="s">
        <v>909</v>
      </c>
      <c r="G2529" t="s">
        <v>179</v>
      </c>
      <c r="H2529">
        <v>13</v>
      </c>
      <c r="I2529">
        <v>69.462000000000003</v>
      </c>
      <c r="J2529">
        <v>71.691999999999993</v>
      </c>
      <c r="K2529">
        <v>2.2309999999999999</v>
      </c>
      <c r="L2529">
        <v>5</v>
      </c>
      <c r="M2529">
        <v>2</v>
      </c>
      <c r="N2529">
        <v>6</v>
      </c>
      <c r="O2529" t="s">
        <v>53</v>
      </c>
      <c r="P2529" t="s">
        <v>53</v>
      </c>
      <c r="Q2529" t="s">
        <v>53</v>
      </c>
    </row>
    <row r="2530" spans="1:17" x14ac:dyDescent="0.2">
      <c r="A2530" s="30" t="str">
        <f>IF(C2530&amp;G2530&amp;D2530&lt;&gt;'Funnel setup'!$K$3&amp;'Funnel setup'!$K$4&amp;'Funnel setup'!$K$5,".",IF(A2529=".",1,A2529+1))</f>
        <v>.</v>
      </c>
      <c r="B2530" s="431" t="str">
        <f t="shared" si="39"/>
        <v>Hip Replacement RevisionCCG of GP PracticeNHS GREATER PRESTON CCG (01E)EQ VAS</v>
      </c>
      <c r="C2530" t="s">
        <v>247</v>
      </c>
      <c r="D2530" t="s">
        <v>87</v>
      </c>
      <c r="E2530" t="s">
        <v>486</v>
      </c>
      <c r="F2530" t="s">
        <v>487</v>
      </c>
      <c r="G2530" t="s">
        <v>179</v>
      </c>
      <c r="H2530">
        <v>16</v>
      </c>
      <c r="I2530">
        <v>67.438000000000002</v>
      </c>
      <c r="J2530">
        <v>75</v>
      </c>
      <c r="K2530">
        <v>7.5629999999999997</v>
      </c>
      <c r="L2530">
        <v>13</v>
      </c>
      <c r="M2530">
        <v>0</v>
      </c>
      <c r="N2530">
        <v>3</v>
      </c>
      <c r="O2530" t="s">
        <v>53</v>
      </c>
      <c r="P2530" t="s">
        <v>53</v>
      </c>
      <c r="Q2530" t="s">
        <v>53</v>
      </c>
    </row>
    <row r="2531" spans="1:17" x14ac:dyDescent="0.2">
      <c r="A2531" s="30" t="str">
        <f>IF(C2531&amp;G2531&amp;D2531&lt;&gt;'Funnel setup'!$K$3&amp;'Funnel setup'!$K$4&amp;'Funnel setup'!$K$5,".",IF(A2530=".",1,A2530+1))</f>
        <v>.</v>
      </c>
      <c r="B2531" s="431" t="str">
        <f t="shared" si="39"/>
        <v>Hip Replacement RevisionCCG of GP PracticeNHS GREENWICH CCG (08A)EQ VAS</v>
      </c>
      <c r="C2531" t="s">
        <v>247</v>
      </c>
      <c r="D2531" t="s">
        <v>87</v>
      </c>
      <c r="E2531" t="s">
        <v>489</v>
      </c>
      <c r="F2531" t="s">
        <v>490</v>
      </c>
      <c r="G2531" t="s">
        <v>179</v>
      </c>
      <c r="H2531" t="s">
        <v>53</v>
      </c>
      <c r="I2531" t="s">
        <v>53</v>
      </c>
      <c r="J2531" t="s">
        <v>53</v>
      </c>
      <c r="K2531" t="s">
        <v>53</v>
      </c>
      <c r="L2531" t="s">
        <v>53</v>
      </c>
      <c r="M2531" t="s">
        <v>53</v>
      </c>
      <c r="N2531" t="s">
        <v>53</v>
      </c>
      <c r="O2531" t="s">
        <v>53</v>
      </c>
      <c r="P2531" t="s">
        <v>53</v>
      </c>
      <c r="Q2531" t="s">
        <v>53</v>
      </c>
    </row>
    <row r="2532" spans="1:17" x14ac:dyDescent="0.2">
      <c r="A2532" s="30" t="str">
        <f>IF(C2532&amp;G2532&amp;D2532&lt;&gt;'Funnel setup'!$K$3&amp;'Funnel setup'!$K$4&amp;'Funnel setup'!$K$5,".",IF(A2531=".",1,A2531+1))</f>
        <v>.</v>
      </c>
      <c r="B2532" s="431" t="str">
        <f t="shared" si="39"/>
        <v>Hip Replacement RevisionCCG of GP PracticeNHS GUILDFORD AND WAVERLEY CCG (09N)EQ VAS</v>
      </c>
      <c r="C2532" t="s">
        <v>247</v>
      </c>
      <c r="D2532" t="s">
        <v>87</v>
      </c>
      <c r="E2532" t="s">
        <v>911</v>
      </c>
      <c r="F2532" t="s">
        <v>912</v>
      </c>
      <c r="G2532" t="s">
        <v>179</v>
      </c>
      <c r="H2532">
        <v>6</v>
      </c>
      <c r="I2532">
        <v>54.167000000000002</v>
      </c>
      <c r="J2532">
        <v>55</v>
      </c>
      <c r="K2532">
        <v>0.83299999999999996</v>
      </c>
      <c r="L2532">
        <v>3</v>
      </c>
      <c r="M2532">
        <v>1</v>
      </c>
      <c r="N2532">
        <v>2</v>
      </c>
      <c r="O2532" t="s">
        <v>53</v>
      </c>
      <c r="P2532" t="s">
        <v>53</v>
      </c>
      <c r="Q2532" t="s">
        <v>53</v>
      </c>
    </row>
    <row r="2533" spans="1:17" x14ac:dyDescent="0.2">
      <c r="A2533" s="30" t="str">
        <f>IF(C2533&amp;G2533&amp;D2533&lt;&gt;'Funnel setup'!$K$3&amp;'Funnel setup'!$K$4&amp;'Funnel setup'!$K$5,".",IF(A2532=".",1,A2532+1))</f>
        <v>.</v>
      </c>
      <c r="B2533" s="431" t="str">
        <f t="shared" si="39"/>
        <v>Hip Replacement RevisionCCG of GP PracticeNHS HALTON CCG (01F)EQ VAS</v>
      </c>
      <c r="C2533" t="s">
        <v>247</v>
      </c>
      <c r="D2533" t="s">
        <v>87</v>
      </c>
      <c r="E2533" t="s">
        <v>914</v>
      </c>
      <c r="F2533" t="s">
        <v>915</v>
      </c>
      <c r="G2533" t="s">
        <v>179</v>
      </c>
      <c r="H2533" t="s">
        <v>53</v>
      </c>
      <c r="I2533" t="s">
        <v>53</v>
      </c>
      <c r="J2533" t="s">
        <v>53</v>
      </c>
      <c r="K2533" t="s">
        <v>53</v>
      </c>
      <c r="L2533" t="s">
        <v>53</v>
      </c>
      <c r="M2533" t="s">
        <v>53</v>
      </c>
      <c r="N2533" t="s">
        <v>53</v>
      </c>
      <c r="O2533" t="s">
        <v>53</v>
      </c>
      <c r="P2533" t="s">
        <v>53</v>
      </c>
      <c r="Q2533" t="s">
        <v>53</v>
      </c>
    </row>
    <row r="2534" spans="1:17" x14ac:dyDescent="0.2">
      <c r="A2534" s="30" t="str">
        <f>IF(C2534&amp;G2534&amp;D2534&lt;&gt;'Funnel setup'!$K$3&amp;'Funnel setup'!$K$4&amp;'Funnel setup'!$K$5,".",IF(A2533=".",1,A2533+1))</f>
        <v>.</v>
      </c>
      <c r="B2534" s="431" t="str">
        <f t="shared" si="39"/>
        <v>Hip Replacement RevisionCCG of GP PracticeNHS HAMBLETON, RICHMONDSHIRE AND WHITBY CCG (03D)EQ VAS</v>
      </c>
      <c r="C2534" t="s">
        <v>247</v>
      </c>
      <c r="D2534" t="s">
        <v>87</v>
      </c>
      <c r="E2534" t="s">
        <v>917</v>
      </c>
      <c r="F2534" t="s">
        <v>918</v>
      </c>
      <c r="G2534" t="s">
        <v>179</v>
      </c>
      <c r="H2534">
        <v>18</v>
      </c>
      <c r="I2534">
        <v>66.388999999999996</v>
      </c>
      <c r="J2534">
        <v>72.167000000000002</v>
      </c>
      <c r="K2534">
        <v>5.7779999999999996</v>
      </c>
      <c r="L2534">
        <v>10</v>
      </c>
      <c r="M2534">
        <v>1</v>
      </c>
      <c r="N2534">
        <v>7</v>
      </c>
      <c r="O2534" t="s">
        <v>53</v>
      </c>
      <c r="P2534" t="s">
        <v>53</v>
      </c>
      <c r="Q2534" t="s">
        <v>53</v>
      </c>
    </row>
    <row r="2535" spans="1:17" x14ac:dyDescent="0.2">
      <c r="A2535" s="30" t="str">
        <f>IF(C2535&amp;G2535&amp;D2535&lt;&gt;'Funnel setup'!$K$3&amp;'Funnel setup'!$K$4&amp;'Funnel setup'!$K$5,".",IF(A2534=".",1,A2534+1))</f>
        <v>.</v>
      </c>
      <c r="B2535" s="431" t="str">
        <f t="shared" si="39"/>
        <v>Hip Replacement RevisionCCG of GP PracticeNHS HAMMERSMITH AND FULHAM CCG (08C)EQ VAS</v>
      </c>
      <c r="C2535" t="s">
        <v>247</v>
      </c>
      <c r="D2535" t="s">
        <v>87</v>
      </c>
      <c r="E2535" t="s">
        <v>920</v>
      </c>
      <c r="F2535" t="s">
        <v>921</v>
      </c>
      <c r="G2535" t="s">
        <v>179</v>
      </c>
      <c r="H2535" t="s">
        <v>53</v>
      </c>
      <c r="I2535" t="s">
        <v>53</v>
      </c>
      <c r="J2535" t="s">
        <v>53</v>
      </c>
      <c r="K2535" t="s">
        <v>53</v>
      </c>
      <c r="L2535" t="s">
        <v>53</v>
      </c>
      <c r="M2535" t="s">
        <v>53</v>
      </c>
      <c r="N2535" t="s">
        <v>53</v>
      </c>
      <c r="O2535" t="s">
        <v>53</v>
      </c>
      <c r="P2535" t="s">
        <v>53</v>
      </c>
      <c r="Q2535" t="s">
        <v>53</v>
      </c>
    </row>
    <row r="2536" spans="1:17" x14ac:dyDescent="0.2">
      <c r="A2536" s="30" t="str">
        <f>IF(C2536&amp;G2536&amp;D2536&lt;&gt;'Funnel setup'!$K$3&amp;'Funnel setup'!$K$4&amp;'Funnel setup'!$K$5,".",IF(A2535=".",1,A2535+1))</f>
        <v>.</v>
      </c>
      <c r="B2536" s="431" t="str">
        <f t="shared" si="39"/>
        <v>Hip Replacement RevisionCCG of GP PracticeNHS HARDWICK CCG (03Y)EQ VAS</v>
      </c>
      <c r="C2536" t="s">
        <v>247</v>
      </c>
      <c r="D2536" t="s">
        <v>87</v>
      </c>
      <c r="E2536" t="s">
        <v>923</v>
      </c>
      <c r="F2536" t="s">
        <v>924</v>
      </c>
      <c r="G2536" t="s">
        <v>179</v>
      </c>
      <c r="H2536" t="s">
        <v>53</v>
      </c>
      <c r="I2536" t="s">
        <v>53</v>
      </c>
      <c r="J2536" t="s">
        <v>53</v>
      </c>
      <c r="K2536" t="s">
        <v>53</v>
      </c>
      <c r="L2536" t="s">
        <v>53</v>
      </c>
      <c r="M2536" t="s">
        <v>53</v>
      </c>
      <c r="N2536" t="s">
        <v>53</v>
      </c>
      <c r="O2536" t="s">
        <v>53</v>
      </c>
      <c r="P2536" t="s">
        <v>53</v>
      </c>
      <c r="Q2536" t="s">
        <v>53</v>
      </c>
    </row>
    <row r="2537" spans="1:17" x14ac:dyDescent="0.2">
      <c r="A2537" s="30" t="str">
        <f>IF(C2537&amp;G2537&amp;D2537&lt;&gt;'Funnel setup'!$K$3&amp;'Funnel setup'!$K$4&amp;'Funnel setup'!$K$5,".",IF(A2536=".",1,A2536+1))</f>
        <v>.</v>
      </c>
      <c r="B2537" s="431" t="str">
        <f t="shared" si="39"/>
        <v>Hip Replacement RevisionCCG of GP PracticeNHS HARINGEY CCG (08D)EQ VAS</v>
      </c>
      <c r="C2537" t="s">
        <v>247</v>
      </c>
      <c r="D2537" t="s">
        <v>87</v>
      </c>
      <c r="E2537" t="s">
        <v>926</v>
      </c>
      <c r="F2537" t="s">
        <v>927</v>
      </c>
      <c r="G2537" t="s">
        <v>179</v>
      </c>
      <c r="H2537" t="s">
        <v>53</v>
      </c>
      <c r="I2537" t="s">
        <v>53</v>
      </c>
      <c r="J2537" t="s">
        <v>53</v>
      </c>
      <c r="K2537" t="s">
        <v>53</v>
      </c>
      <c r="L2537" t="s">
        <v>53</v>
      </c>
      <c r="M2537" t="s">
        <v>53</v>
      </c>
      <c r="N2537" t="s">
        <v>53</v>
      </c>
      <c r="O2537" t="s">
        <v>53</v>
      </c>
      <c r="P2537" t="s">
        <v>53</v>
      </c>
      <c r="Q2537" t="s">
        <v>53</v>
      </c>
    </row>
    <row r="2538" spans="1:17" x14ac:dyDescent="0.2">
      <c r="A2538" s="30" t="str">
        <f>IF(C2538&amp;G2538&amp;D2538&lt;&gt;'Funnel setup'!$K$3&amp;'Funnel setup'!$K$4&amp;'Funnel setup'!$K$5,".",IF(A2537=".",1,A2537+1))</f>
        <v>.</v>
      </c>
      <c r="B2538" s="431" t="str">
        <f t="shared" si="39"/>
        <v>Hip Replacement RevisionCCG of GP PracticeNHS HARROGATE AND RURAL DISTRICT CCG (03E)EQ VAS</v>
      </c>
      <c r="C2538" t="s">
        <v>247</v>
      </c>
      <c r="D2538" t="s">
        <v>87</v>
      </c>
      <c r="E2538" t="s">
        <v>929</v>
      </c>
      <c r="F2538" t="s">
        <v>930</v>
      </c>
      <c r="G2538" t="s">
        <v>179</v>
      </c>
      <c r="H2538">
        <v>14</v>
      </c>
      <c r="I2538">
        <v>71.356999999999999</v>
      </c>
      <c r="J2538">
        <v>73.570999999999998</v>
      </c>
      <c r="K2538">
        <v>2.214</v>
      </c>
      <c r="L2538">
        <v>7</v>
      </c>
      <c r="M2538">
        <v>1</v>
      </c>
      <c r="N2538">
        <v>6</v>
      </c>
      <c r="O2538" t="s">
        <v>53</v>
      </c>
      <c r="P2538" t="s">
        <v>53</v>
      </c>
      <c r="Q2538" t="s">
        <v>53</v>
      </c>
    </row>
    <row r="2539" spans="1:17" x14ac:dyDescent="0.2">
      <c r="A2539" s="30" t="str">
        <f>IF(C2539&amp;G2539&amp;D2539&lt;&gt;'Funnel setup'!$K$3&amp;'Funnel setup'!$K$4&amp;'Funnel setup'!$K$5,".",IF(A2538=".",1,A2538+1))</f>
        <v>.</v>
      </c>
      <c r="B2539" s="431" t="str">
        <f t="shared" si="39"/>
        <v>Hip Replacement RevisionCCG of GP PracticeNHS HARROW CCG (08E)EQ VAS</v>
      </c>
      <c r="C2539" t="s">
        <v>247</v>
      </c>
      <c r="D2539" t="s">
        <v>87</v>
      </c>
      <c r="E2539" t="s">
        <v>492</v>
      </c>
      <c r="F2539" t="s">
        <v>493</v>
      </c>
      <c r="G2539" t="s">
        <v>179</v>
      </c>
      <c r="H2539">
        <v>6</v>
      </c>
      <c r="I2539">
        <v>59</v>
      </c>
      <c r="J2539">
        <v>71</v>
      </c>
      <c r="K2539">
        <v>12</v>
      </c>
      <c r="L2539">
        <v>4</v>
      </c>
      <c r="M2539">
        <v>1</v>
      </c>
      <c r="N2539">
        <v>1</v>
      </c>
      <c r="O2539" t="s">
        <v>53</v>
      </c>
      <c r="P2539" t="s">
        <v>53</v>
      </c>
      <c r="Q2539" t="s">
        <v>53</v>
      </c>
    </row>
    <row r="2540" spans="1:17" x14ac:dyDescent="0.2">
      <c r="A2540" s="30" t="str">
        <f>IF(C2540&amp;G2540&amp;D2540&lt;&gt;'Funnel setup'!$K$3&amp;'Funnel setup'!$K$4&amp;'Funnel setup'!$K$5,".",IF(A2539=".",1,A2539+1))</f>
        <v>.</v>
      </c>
      <c r="B2540" s="431" t="str">
        <f t="shared" si="39"/>
        <v>Hip Replacement RevisionCCG of GP PracticeNHS HARTLEPOOL AND STOCKTON-ON-TEES CCG (00K)EQ VAS</v>
      </c>
      <c r="C2540" t="s">
        <v>247</v>
      </c>
      <c r="D2540" t="s">
        <v>87</v>
      </c>
      <c r="E2540" t="s">
        <v>495</v>
      </c>
      <c r="F2540" t="s">
        <v>496</v>
      </c>
      <c r="G2540" t="s">
        <v>179</v>
      </c>
      <c r="H2540">
        <v>22</v>
      </c>
      <c r="I2540">
        <v>55.182000000000002</v>
      </c>
      <c r="J2540">
        <v>74.454999999999998</v>
      </c>
      <c r="K2540">
        <v>19.273</v>
      </c>
      <c r="L2540">
        <v>17</v>
      </c>
      <c r="M2540">
        <v>0</v>
      </c>
      <c r="N2540">
        <v>5</v>
      </c>
      <c r="O2540" t="s">
        <v>53</v>
      </c>
      <c r="P2540" t="s">
        <v>53</v>
      </c>
      <c r="Q2540" t="s">
        <v>53</v>
      </c>
    </row>
    <row r="2541" spans="1:17" x14ac:dyDescent="0.2">
      <c r="A2541" s="30" t="str">
        <f>IF(C2541&amp;G2541&amp;D2541&lt;&gt;'Funnel setup'!$K$3&amp;'Funnel setup'!$K$4&amp;'Funnel setup'!$K$5,".",IF(A2540=".",1,A2540+1))</f>
        <v>.</v>
      </c>
      <c r="B2541" s="431" t="str">
        <f t="shared" si="39"/>
        <v>Hip Replacement RevisionCCG of GP PracticeNHS HASTINGS AND ROTHER CCG (09P)EQ VAS</v>
      </c>
      <c r="C2541" t="s">
        <v>247</v>
      </c>
      <c r="D2541" t="s">
        <v>87</v>
      </c>
      <c r="E2541" t="s">
        <v>498</v>
      </c>
      <c r="F2541" t="s">
        <v>499</v>
      </c>
      <c r="G2541" t="s">
        <v>179</v>
      </c>
      <c r="H2541">
        <v>17</v>
      </c>
      <c r="I2541">
        <v>74.412000000000006</v>
      </c>
      <c r="J2541">
        <v>71.941000000000003</v>
      </c>
      <c r="K2541">
        <v>-2.4710000000000001</v>
      </c>
      <c r="L2541">
        <v>7</v>
      </c>
      <c r="M2541">
        <v>2</v>
      </c>
      <c r="N2541">
        <v>8</v>
      </c>
      <c r="O2541" t="s">
        <v>53</v>
      </c>
      <c r="P2541" t="s">
        <v>53</v>
      </c>
      <c r="Q2541" t="s">
        <v>53</v>
      </c>
    </row>
    <row r="2542" spans="1:17" x14ac:dyDescent="0.2">
      <c r="A2542" s="30" t="str">
        <f>IF(C2542&amp;G2542&amp;D2542&lt;&gt;'Funnel setup'!$K$3&amp;'Funnel setup'!$K$4&amp;'Funnel setup'!$K$5,".",IF(A2541=".",1,A2541+1))</f>
        <v>.</v>
      </c>
      <c r="B2542" s="431" t="str">
        <f t="shared" si="39"/>
        <v>Hip Replacement RevisionCCG of GP PracticeNHS HAVERING CCG (08F)EQ VAS</v>
      </c>
      <c r="C2542" t="s">
        <v>247</v>
      </c>
      <c r="D2542" t="s">
        <v>87</v>
      </c>
      <c r="E2542" t="s">
        <v>501</v>
      </c>
      <c r="F2542" t="s">
        <v>502</v>
      </c>
      <c r="G2542" t="s">
        <v>179</v>
      </c>
      <c r="H2542" t="s">
        <v>53</v>
      </c>
      <c r="I2542" t="s">
        <v>53</v>
      </c>
      <c r="J2542" t="s">
        <v>53</v>
      </c>
      <c r="K2542" t="s">
        <v>53</v>
      </c>
      <c r="L2542" t="s">
        <v>53</v>
      </c>
      <c r="M2542" t="s">
        <v>53</v>
      </c>
      <c r="N2542" t="s">
        <v>53</v>
      </c>
      <c r="O2542" t="s">
        <v>53</v>
      </c>
      <c r="P2542" t="s">
        <v>53</v>
      </c>
      <c r="Q2542" t="s">
        <v>53</v>
      </c>
    </row>
    <row r="2543" spans="1:17" x14ac:dyDescent="0.2">
      <c r="A2543" s="30" t="str">
        <f>IF(C2543&amp;G2543&amp;D2543&lt;&gt;'Funnel setup'!$K$3&amp;'Funnel setup'!$K$4&amp;'Funnel setup'!$K$5,".",IF(A2542=".",1,A2542+1))</f>
        <v>.</v>
      </c>
      <c r="B2543" s="431" t="str">
        <f t="shared" si="39"/>
        <v>Hip Replacement RevisionCCG of GP PracticeNHS HEREFORDSHIRE CCG (05F)EQ VAS</v>
      </c>
      <c r="C2543" t="s">
        <v>247</v>
      </c>
      <c r="D2543" t="s">
        <v>87</v>
      </c>
      <c r="E2543" t="s">
        <v>504</v>
      </c>
      <c r="F2543" t="s">
        <v>505</v>
      </c>
      <c r="G2543" t="s">
        <v>179</v>
      </c>
      <c r="H2543">
        <v>6</v>
      </c>
      <c r="I2543">
        <v>68.332999999999998</v>
      </c>
      <c r="J2543">
        <v>69.167000000000002</v>
      </c>
      <c r="K2543">
        <v>0.83299999999999996</v>
      </c>
      <c r="L2543">
        <v>3</v>
      </c>
      <c r="M2543">
        <v>1</v>
      </c>
      <c r="N2543">
        <v>2</v>
      </c>
      <c r="O2543" t="s">
        <v>53</v>
      </c>
      <c r="P2543" t="s">
        <v>53</v>
      </c>
      <c r="Q2543" t="s">
        <v>53</v>
      </c>
    </row>
    <row r="2544" spans="1:17" x14ac:dyDescent="0.2">
      <c r="A2544" s="30" t="str">
        <f>IF(C2544&amp;G2544&amp;D2544&lt;&gt;'Funnel setup'!$K$3&amp;'Funnel setup'!$K$4&amp;'Funnel setup'!$K$5,".",IF(A2543=".",1,A2543+1))</f>
        <v>.</v>
      </c>
      <c r="B2544" s="431" t="str">
        <f t="shared" si="39"/>
        <v>Hip Replacement RevisionCCG of GP PracticeNHS HERTS VALLEYS CCG (06N)EQ VAS</v>
      </c>
      <c r="C2544" t="s">
        <v>247</v>
      </c>
      <c r="D2544" t="s">
        <v>87</v>
      </c>
      <c r="E2544" t="s">
        <v>507</v>
      </c>
      <c r="F2544" t="s">
        <v>508</v>
      </c>
      <c r="G2544" t="s">
        <v>179</v>
      </c>
      <c r="H2544">
        <v>22</v>
      </c>
      <c r="I2544">
        <v>69.182000000000002</v>
      </c>
      <c r="J2544">
        <v>67.317999999999998</v>
      </c>
      <c r="K2544">
        <v>-1.8640000000000001</v>
      </c>
      <c r="L2544">
        <v>10</v>
      </c>
      <c r="M2544">
        <v>2</v>
      </c>
      <c r="N2544">
        <v>10</v>
      </c>
      <c r="O2544" t="s">
        <v>53</v>
      </c>
      <c r="P2544" t="s">
        <v>53</v>
      </c>
      <c r="Q2544" t="s">
        <v>53</v>
      </c>
    </row>
    <row r="2545" spans="1:17" x14ac:dyDescent="0.2">
      <c r="A2545" s="30" t="str">
        <f>IF(C2545&amp;G2545&amp;D2545&lt;&gt;'Funnel setup'!$K$3&amp;'Funnel setup'!$K$4&amp;'Funnel setup'!$K$5,".",IF(A2544=".",1,A2544+1))</f>
        <v>.</v>
      </c>
      <c r="B2545" s="431" t="str">
        <f t="shared" si="39"/>
        <v>Hip Replacement RevisionCCG of GP PracticeNHS HEYWOOD, MIDDLETON AND ROCHDALE CCG (01D)EQ VAS</v>
      </c>
      <c r="C2545" t="s">
        <v>247</v>
      </c>
      <c r="D2545" t="s">
        <v>87</v>
      </c>
      <c r="E2545" t="s">
        <v>510</v>
      </c>
      <c r="F2545" t="s">
        <v>511</v>
      </c>
      <c r="G2545" t="s">
        <v>179</v>
      </c>
      <c r="H2545">
        <v>12</v>
      </c>
      <c r="I2545">
        <v>67</v>
      </c>
      <c r="J2545">
        <v>72.5</v>
      </c>
      <c r="K2545">
        <v>5.5</v>
      </c>
      <c r="L2545">
        <v>7</v>
      </c>
      <c r="M2545">
        <v>1</v>
      </c>
      <c r="N2545">
        <v>4</v>
      </c>
      <c r="O2545" t="s">
        <v>53</v>
      </c>
      <c r="P2545" t="s">
        <v>53</v>
      </c>
      <c r="Q2545" t="s">
        <v>53</v>
      </c>
    </row>
    <row r="2546" spans="1:17" x14ac:dyDescent="0.2">
      <c r="A2546" s="30" t="str">
        <f>IF(C2546&amp;G2546&amp;D2546&lt;&gt;'Funnel setup'!$K$3&amp;'Funnel setup'!$K$4&amp;'Funnel setup'!$K$5,".",IF(A2545=".",1,A2545+1))</f>
        <v>.</v>
      </c>
      <c r="B2546" s="431" t="str">
        <f t="shared" si="39"/>
        <v>Hip Replacement RevisionCCG of GP PracticeNHS HIGH WEALD LEWES HAVENS CCG (99K)EQ VAS</v>
      </c>
      <c r="C2546" t="s">
        <v>247</v>
      </c>
      <c r="D2546" t="s">
        <v>87</v>
      </c>
      <c r="E2546" t="s">
        <v>513</v>
      </c>
      <c r="F2546" t="s">
        <v>514</v>
      </c>
      <c r="G2546" t="s">
        <v>179</v>
      </c>
      <c r="H2546">
        <v>12</v>
      </c>
      <c r="I2546">
        <v>80.582999999999998</v>
      </c>
      <c r="J2546">
        <v>72.082999999999998</v>
      </c>
      <c r="K2546">
        <v>-8.5</v>
      </c>
      <c r="L2546">
        <v>6</v>
      </c>
      <c r="M2546">
        <v>0</v>
      </c>
      <c r="N2546">
        <v>6</v>
      </c>
      <c r="O2546" t="s">
        <v>53</v>
      </c>
      <c r="P2546" t="s">
        <v>53</v>
      </c>
      <c r="Q2546" t="s">
        <v>53</v>
      </c>
    </row>
    <row r="2547" spans="1:17" x14ac:dyDescent="0.2">
      <c r="A2547" s="30" t="str">
        <f>IF(C2547&amp;G2547&amp;D2547&lt;&gt;'Funnel setup'!$K$3&amp;'Funnel setup'!$K$4&amp;'Funnel setup'!$K$5,".",IF(A2546=".",1,A2546+1))</f>
        <v>.</v>
      </c>
      <c r="B2547" s="431" t="str">
        <f t="shared" si="39"/>
        <v>Hip Replacement RevisionCCG of GP PracticeNHS HILLINGDON CCG (08G)EQ VAS</v>
      </c>
      <c r="C2547" t="s">
        <v>247</v>
      </c>
      <c r="D2547" t="s">
        <v>87</v>
      </c>
      <c r="E2547" t="s">
        <v>516</v>
      </c>
      <c r="F2547" t="s">
        <v>517</v>
      </c>
      <c r="G2547" t="s">
        <v>179</v>
      </c>
      <c r="H2547" t="s">
        <v>53</v>
      </c>
      <c r="I2547" t="s">
        <v>53</v>
      </c>
      <c r="J2547" t="s">
        <v>53</v>
      </c>
      <c r="K2547" t="s">
        <v>53</v>
      </c>
      <c r="L2547" t="s">
        <v>53</v>
      </c>
      <c r="M2547" t="s">
        <v>53</v>
      </c>
      <c r="N2547" t="s">
        <v>53</v>
      </c>
      <c r="O2547" t="s">
        <v>53</v>
      </c>
      <c r="P2547" t="s">
        <v>53</v>
      </c>
      <c r="Q2547" t="s">
        <v>53</v>
      </c>
    </row>
    <row r="2548" spans="1:17" x14ac:dyDescent="0.2">
      <c r="A2548" s="30" t="str">
        <f>IF(C2548&amp;G2548&amp;D2548&lt;&gt;'Funnel setup'!$K$3&amp;'Funnel setup'!$K$4&amp;'Funnel setup'!$K$5,".",IF(A2547=".",1,A2547+1))</f>
        <v>.</v>
      </c>
      <c r="B2548" s="431" t="str">
        <f t="shared" si="39"/>
        <v>Hip Replacement RevisionCCG of GP PracticeNHS HORSHAM AND MID SUSSEX CCG (09X)EQ VAS</v>
      </c>
      <c r="C2548" t="s">
        <v>247</v>
      </c>
      <c r="D2548" t="s">
        <v>87</v>
      </c>
      <c r="E2548" t="s">
        <v>519</v>
      </c>
      <c r="F2548" t="s">
        <v>520</v>
      </c>
      <c r="G2548" t="s">
        <v>179</v>
      </c>
      <c r="H2548">
        <v>15</v>
      </c>
      <c r="I2548">
        <v>62.267000000000003</v>
      </c>
      <c r="J2548">
        <v>73.867000000000004</v>
      </c>
      <c r="K2548">
        <v>11.6</v>
      </c>
      <c r="L2548">
        <v>8</v>
      </c>
      <c r="M2548">
        <v>4</v>
      </c>
      <c r="N2548">
        <v>3</v>
      </c>
      <c r="O2548" t="s">
        <v>53</v>
      </c>
      <c r="P2548" t="s">
        <v>53</v>
      </c>
      <c r="Q2548" t="s">
        <v>53</v>
      </c>
    </row>
    <row r="2549" spans="1:17" x14ac:dyDescent="0.2">
      <c r="A2549" s="30" t="str">
        <f>IF(C2549&amp;G2549&amp;D2549&lt;&gt;'Funnel setup'!$K$3&amp;'Funnel setup'!$K$4&amp;'Funnel setup'!$K$5,".",IF(A2548=".",1,A2548+1))</f>
        <v>.</v>
      </c>
      <c r="B2549" s="431" t="str">
        <f t="shared" si="39"/>
        <v>Hip Replacement RevisionCCG of GP PracticeNHS HOUNSLOW CCG (07Y)EQ VAS</v>
      </c>
      <c r="C2549" t="s">
        <v>247</v>
      </c>
      <c r="D2549" t="s">
        <v>87</v>
      </c>
      <c r="E2549" t="s">
        <v>522</v>
      </c>
      <c r="F2549" t="s">
        <v>523</v>
      </c>
      <c r="G2549" t="s">
        <v>179</v>
      </c>
      <c r="H2549" t="s">
        <v>53</v>
      </c>
      <c r="I2549" t="s">
        <v>53</v>
      </c>
      <c r="J2549" t="s">
        <v>53</v>
      </c>
      <c r="K2549" t="s">
        <v>53</v>
      </c>
      <c r="L2549" t="s">
        <v>53</v>
      </c>
      <c r="M2549" t="s">
        <v>53</v>
      </c>
      <c r="N2549" t="s">
        <v>53</v>
      </c>
      <c r="O2549" t="s">
        <v>53</v>
      </c>
      <c r="P2549" t="s">
        <v>53</v>
      </c>
      <c r="Q2549" t="s">
        <v>53</v>
      </c>
    </row>
    <row r="2550" spans="1:17" x14ac:dyDescent="0.2">
      <c r="A2550" s="30" t="str">
        <f>IF(C2550&amp;G2550&amp;D2550&lt;&gt;'Funnel setup'!$K$3&amp;'Funnel setup'!$K$4&amp;'Funnel setup'!$K$5,".",IF(A2549=".",1,A2549+1))</f>
        <v>.</v>
      </c>
      <c r="B2550" s="431" t="str">
        <f t="shared" si="39"/>
        <v>Hip Replacement RevisionCCG of GP PracticeNHS HULL CCG (03F)EQ VAS</v>
      </c>
      <c r="C2550" t="s">
        <v>247</v>
      </c>
      <c r="D2550" t="s">
        <v>87</v>
      </c>
      <c r="E2550" t="s">
        <v>525</v>
      </c>
      <c r="F2550" t="s">
        <v>526</v>
      </c>
      <c r="G2550" t="s">
        <v>179</v>
      </c>
      <c r="H2550">
        <v>12</v>
      </c>
      <c r="I2550">
        <v>62.167000000000002</v>
      </c>
      <c r="J2550">
        <v>68.082999999999998</v>
      </c>
      <c r="K2550">
        <v>5.9169999999999998</v>
      </c>
      <c r="L2550">
        <v>7</v>
      </c>
      <c r="M2550">
        <v>1</v>
      </c>
      <c r="N2550">
        <v>4</v>
      </c>
      <c r="O2550" t="s">
        <v>53</v>
      </c>
      <c r="P2550" t="s">
        <v>53</v>
      </c>
      <c r="Q2550" t="s">
        <v>53</v>
      </c>
    </row>
    <row r="2551" spans="1:17" x14ac:dyDescent="0.2">
      <c r="A2551" s="30" t="str">
        <f>IF(C2551&amp;G2551&amp;D2551&lt;&gt;'Funnel setup'!$K$3&amp;'Funnel setup'!$K$4&amp;'Funnel setup'!$K$5,".",IF(A2550=".",1,A2550+1))</f>
        <v>.</v>
      </c>
      <c r="B2551" s="431" t="str">
        <f t="shared" si="39"/>
        <v>Hip Replacement RevisionCCG of GP PracticeNHS IPSWICH AND EAST SUFFOLK CCG (06L)EQ VAS</v>
      </c>
      <c r="C2551" t="s">
        <v>247</v>
      </c>
      <c r="D2551" t="s">
        <v>87</v>
      </c>
      <c r="E2551" t="s">
        <v>528</v>
      </c>
      <c r="F2551" t="s">
        <v>529</v>
      </c>
      <c r="G2551" t="s">
        <v>179</v>
      </c>
      <c r="H2551">
        <v>11</v>
      </c>
      <c r="I2551">
        <v>60.817999999999998</v>
      </c>
      <c r="J2551">
        <v>74.817999999999998</v>
      </c>
      <c r="K2551">
        <v>14</v>
      </c>
      <c r="L2551">
        <v>6</v>
      </c>
      <c r="M2551">
        <v>2</v>
      </c>
      <c r="N2551">
        <v>3</v>
      </c>
      <c r="O2551" t="s">
        <v>53</v>
      </c>
      <c r="P2551" t="s">
        <v>53</v>
      </c>
      <c r="Q2551" t="s">
        <v>53</v>
      </c>
    </row>
    <row r="2552" spans="1:17" x14ac:dyDescent="0.2">
      <c r="A2552" s="30" t="str">
        <f>IF(C2552&amp;G2552&amp;D2552&lt;&gt;'Funnel setup'!$K$3&amp;'Funnel setup'!$K$4&amp;'Funnel setup'!$K$5,".",IF(A2551=".",1,A2551+1))</f>
        <v>.</v>
      </c>
      <c r="B2552" s="431" t="str">
        <f t="shared" si="39"/>
        <v>Hip Replacement RevisionCCG of GP PracticeNHS ISLE OF WIGHT CCG (10L)EQ VAS</v>
      </c>
      <c r="C2552" t="s">
        <v>247</v>
      </c>
      <c r="D2552" t="s">
        <v>87</v>
      </c>
      <c r="E2552" t="s">
        <v>531</v>
      </c>
      <c r="F2552" t="s">
        <v>532</v>
      </c>
      <c r="G2552" t="s">
        <v>179</v>
      </c>
      <c r="H2552" t="s">
        <v>53</v>
      </c>
      <c r="I2552" t="s">
        <v>53</v>
      </c>
      <c r="J2552" t="s">
        <v>53</v>
      </c>
      <c r="K2552" t="s">
        <v>53</v>
      </c>
      <c r="L2552" t="s">
        <v>53</v>
      </c>
      <c r="M2552" t="s">
        <v>53</v>
      </c>
      <c r="N2552" t="s">
        <v>53</v>
      </c>
      <c r="O2552" t="s">
        <v>53</v>
      </c>
      <c r="P2552" t="s">
        <v>53</v>
      </c>
      <c r="Q2552" t="s">
        <v>53</v>
      </c>
    </row>
    <row r="2553" spans="1:17" x14ac:dyDescent="0.2">
      <c r="A2553" s="30" t="str">
        <f>IF(C2553&amp;G2553&amp;D2553&lt;&gt;'Funnel setup'!$K$3&amp;'Funnel setup'!$K$4&amp;'Funnel setup'!$K$5,".",IF(A2552=".",1,A2552+1))</f>
        <v>.</v>
      </c>
      <c r="B2553" s="431" t="str">
        <f t="shared" si="39"/>
        <v>Hip Replacement RevisionCCG of GP PracticeNHS ISLINGTON CCG (08H)EQ VAS</v>
      </c>
      <c r="C2553" t="s">
        <v>247</v>
      </c>
      <c r="D2553" t="s">
        <v>87</v>
      </c>
      <c r="E2553" t="s">
        <v>534</v>
      </c>
      <c r="F2553" t="s">
        <v>535</v>
      </c>
      <c r="G2553" t="s">
        <v>179</v>
      </c>
      <c r="H2553" t="s">
        <v>53</v>
      </c>
      <c r="I2553" t="s">
        <v>53</v>
      </c>
      <c r="J2553" t="s">
        <v>53</v>
      </c>
      <c r="K2553" t="s">
        <v>53</v>
      </c>
      <c r="L2553" t="s">
        <v>53</v>
      </c>
      <c r="M2553" t="s">
        <v>53</v>
      </c>
      <c r="N2553" t="s">
        <v>53</v>
      </c>
      <c r="O2553" t="s">
        <v>53</v>
      </c>
      <c r="P2553" t="s">
        <v>53</v>
      </c>
      <c r="Q2553" t="s">
        <v>53</v>
      </c>
    </row>
    <row r="2554" spans="1:17" x14ac:dyDescent="0.2">
      <c r="A2554" s="30" t="str">
        <f>IF(C2554&amp;G2554&amp;D2554&lt;&gt;'Funnel setup'!$K$3&amp;'Funnel setup'!$K$4&amp;'Funnel setup'!$K$5,".",IF(A2553=".",1,A2553+1))</f>
        <v>.</v>
      </c>
      <c r="B2554" s="431" t="str">
        <f t="shared" si="39"/>
        <v>Hip Replacement RevisionCCG of GP PracticeNHS KERNOW CCG (11N)EQ VAS</v>
      </c>
      <c r="C2554" t="s">
        <v>247</v>
      </c>
      <c r="D2554" t="s">
        <v>87</v>
      </c>
      <c r="E2554" t="s">
        <v>537</v>
      </c>
      <c r="F2554" t="s">
        <v>538</v>
      </c>
      <c r="G2554" t="s">
        <v>179</v>
      </c>
      <c r="H2554">
        <v>49</v>
      </c>
      <c r="I2554">
        <v>65.959000000000003</v>
      </c>
      <c r="J2554">
        <v>67.754999999999995</v>
      </c>
      <c r="K2554">
        <v>1.796</v>
      </c>
      <c r="L2554">
        <v>21</v>
      </c>
      <c r="M2554">
        <v>8</v>
      </c>
      <c r="N2554">
        <v>20</v>
      </c>
      <c r="O2554">
        <v>66.626999999999995</v>
      </c>
      <c r="P2554">
        <v>1.856944685</v>
      </c>
      <c r="Q2554">
        <v>18.591000000000001</v>
      </c>
    </row>
    <row r="2555" spans="1:17" x14ac:dyDescent="0.2">
      <c r="A2555" s="30" t="str">
        <f>IF(C2555&amp;G2555&amp;D2555&lt;&gt;'Funnel setup'!$K$3&amp;'Funnel setup'!$K$4&amp;'Funnel setup'!$K$5,".",IF(A2554=".",1,A2554+1))</f>
        <v>.</v>
      </c>
      <c r="B2555" s="431" t="str">
        <f t="shared" si="39"/>
        <v>Hip Replacement RevisionCCG of GP PracticeNHS KINGSTON CCG (08J)EQ VAS</v>
      </c>
      <c r="C2555" t="s">
        <v>247</v>
      </c>
      <c r="D2555" t="s">
        <v>87</v>
      </c>
      <c r="E2555" t="s">
        <v>540</v>
      </c>
      <c r="F2555" t="s">
        <v>541</v>
      </c>
      <c r="G2555" t="s">
        <v>179</v>
      </c>
      <c r="H2555">
        <v>6</v>
      </c>
      <c r="I2555">
        <v>67.5</v>
      </c>
      <c r="J2555">
        <v>73.332999999999998</v>
      </c>
      <c r="K2555">
        <v>5.8330000000000002</v>
      </c>
      <c r="L2555">
        <v>4</v>
      </c>
      <c r="M2555">
        <v>0</v>
      </c>
      <c r="N2555">
        <v>2</v>
      </c>
      <c r="O2555" t="s">
        <v>53</v>
      </c>
      <c r="P2555" t="s">
        <v>53</v>
      </c>
      <c r="Q2555" t="s">
        <v>53</v>
      </c>
    </row>
    <row r="2556" spans="1:17" x14ac:dyDescent="0.2">
      <c r="A2556" s="30" t="str">
        <f>IF(C2556&amp;G2556&amp;D2556&lt;&gt;'Funnel setup'!$K$3&amp;'Funnel setup'!$K$4&amp;'Funnel setup'!$K$5,".",IF(A2555=".",1,A2555+1))</f>
        <v>.</v>
      </c>
      <c r="B2556" s="431" t="str">
        <f t="shared" si="39"/>
        <v>Hip Replacement RevisionCCG of GP PracticeNHS KNOWSLEY CCG (01J)EQ VAS</v>
      </c>
      <c r="C2556" t="s">
        <v>247</v>
      </c>
      <c r="D2556" t="s">
        <v>87</v>
      </c>
      <c r="E2556" t="s">
        <v>543</v>
      </c>
      <c r="F2556" t="s">
        <v>544</v>
      </c>
      <c r="G2556" t="s">
        <v>179</v>
      </c>
      <c r="H2556" t="s">
        <v>53</v>
      </c>
      <c r="I2556" t="s">
        <v>53</v>
      </c>
      <c r="J2556" t="s">
        <v>53</v>
      </c>
      <c r="K2556" t="s">
        <v>53</v>
      </c>
      <c r="L2556" t="s">
        <v>53</v>
      </c>
      <c r="M2556" t="s">
        <v>53</v>
      </c>
      <c r="N2556" t="s">
        <v>53</v>
      </c>
      <c r="O2556" t="s">
        <v>53</v>
      </c>
      <c r="P2556" t="s">
        <v>53</v>
      </c>
      <c r="Q2556" t="s">
        <v>53</v>
      </c>
    </row>
    <row r="2557" spans="1:17" x14ac:dyDescent="0.2">
      <c r="A2557" s="30" t="str">
        <f>IF(C2557&amp;G2557&amp;D2557&lt;&gt;'Funnel setup'!$K$3&amp;'Funnel setup'!$K$4&amp;'Funnel setup'!$K$5,".",IF(A2556=".",1,A2556+1))</f>
        <v>.</v>
      </c>
      <c r="B2557" s="431" t="str">
        <f t="shared" si="39"/>
        <v>Hip Replacement RevisionCCG of GP PracticeNHS LAMBETH CCG (08K)EQ VAS</v>
      </c>
      <c r="C2557" t="s">
        <v>247</v>
      </c>
      <c r="D2557" t="s">
        <v>87</v>
      </c>
      <c r="E2557" t="s">
        <v>546</v>
      </c>
      <c r="F2557" t="s">
        <v>547</v>
      </c>
      <c r="G2557" t="s">
        <v>179</v>
      </c>
      <c r="H2557" t="s">
        <v>53</v>
      </c>
      <c r="I2557" t="s">
        <v>53</v>
      </c>
      <c r="J2557" t="s">
        <v>53</v>
      </c>
      <c r="K2557" t="s">
        <v>53</v>
      </c>
      <c r="L2557" t="s">
        <v>53</v>
      </c>
      <c r="M2557" t="s">
        <v>53</v>
      </c>
      <c r="N2557" t="s">
        <v>53</v>
      </c>
      <c r="O2557" t="s">
        <v>53</v>
      </c>
      <c r="P2557" t="s">
        <v>53</v>
      </c>
      <c r="Q2557" t="s">
        <v>53</v>
      </c>
    </row>
    <row r="2558" spans="1:17" x14ac:dyDescent="0.2">
      <c r="A2558" s="30" t="str">
        <f>IF(C2558&amp;G2558&amp;D2558&lt;&gt;'Funnel setup'!$K$3&amp;'Funnel setup'!$K$4&amp;'Funnel setup'!$K$5,".",IF(A2557=".",1,A2557+1))</f>
        <v>.</v>
      </c>
      <c r="B2558" s="431" t="str">
        <f t="shared" si="39"/>
        <v>Hip Replacement RevisionCCG of GP PracticeNHS LANCASHIRE NORTH CCG (01K)EQ VAS</v>
      </c>
      <c r="C2558" t="s">
        <v>247</v>
      </c>
      <c r="D2558" t="s">
        <v>87</v>
      </c>
      <c r="E2558" t="s">
        <v>549</v>
      </c>
      <c r="F2558" t="s">
        <v>550</v>
      </c>
      <c r="G2558" t="s">
        <v>179</v>
      </c>
      <c r="H2558">
        <v>8</v>
      </c>
      <c r="I2558">
        <v>68.625</v>
      </c>
      <c r="J2558">
        <v>71.125</v>
      </c>
      <c r="K2558">
        <v>2.5</v>
      </c>
      <c r="L2558">
        <v>4</v>
      </c>
      <c r="M2558">
        <v>1</v>
      </c>
      <c r="N2558">
        <v>3</v>
      </c>
      <c r="O2558" t="s">
        <v>53</v>
      </c>
      <c r="P2558" t="s">
        <v>53</v>
      </c>
      <c r="Q2558" t="s">
        <v>53</v>
      </c>
    </row>
    <row r="2559" spans="1:17" x14ac:dyDescent="0.2">
      <c r="A2559" s="30" t="str">
        <f>IF(C2559&amp;G2559&amp;D2559&lt;&gt;'Funnel setup'!$K$3&amp;'Funnel setup'!$K$4&amp;'Funnel setup'!$K$5,".",IF(A2558=".",1,A2558+1))</f>
        <v>.</v>
      </c>
      <c r="B2559" s="431" t="str">
        <f t="shared" si="39"/>
        <v>Hip Replacement RevisionCCG of GP PracticeNHS LEEDS NORTH CCG (02V)EQ VAS</v>
      </c>
      <c r="C2559" t="s">
        <v>247</v>
      </c>
      <c r="D2559" t="s">
        <v>87</v>
      </c>
      <c r="E2559" t="s">
        <v>552</v>
      </c>
      <c r="F2559" t="s">
        <v>337</v>
      </c>
      <c r="G2559" t="s">
        <v>179</v>
      </c>
      <c r="H2559" t="s">
        <v>53</v>
      </c>
      <c r="I2559" t="s">
        <v>53</v>
      </c>
      <c r="J2559" t="s">
        <v>53</v>
      </c>
      <c r="K2559" t="s">
        <v>53</v>
      </c>
      <c r="L2559" t="s">
        <v>53</v>
      </c>
      <c r="M2559" t="s">
        <v>53</v>
      </c>
      <c r="N2559" t="s">
        <v>53</v>
      </c>
      <c r="O2559" t="s">
        <v>53</v>
      </c>
      <c r="P2559" t="s">
        <v>53</v>
      </c>
      <c r="Q2559" t="s">
        <v>53</v>
      </c>
    </row>
    <row r="2560" spans="1:17" x14ac:dyDescent="0.2">
      <c r="A2560" s="30" t="str">
        <f>IF(C2560&amp;G2560&amp;D2560&lt;&gt;'Funnel setup'!$K$3&amp;'Funnel setup'!$K$4&amp;'Funnel setup'!$K$5,".",IF(A2559=".",1,A2559+1))</f>
        <v>.</v>
      </c>
      <c r="B2560" s="431" t="str">
        <f t="shared" si="39"/>
        <v>Hip Replacement RevisionCCG of GP PracticeNHS LEEDS SOUTH AND EAST CCG (03G)EQ VAS</v>
      </c>
      <c r="C2560" t="s">
        <v>247</v>
      </c>
      <c r="D2560" t="s">
        <v>87</v>
      </c>
      <c r="E2560" t="s">
        <v>396</v>
      </c>
      <c r="F2560" t="s">
        <v>397</v>
      </c>
      <c r="G2560" t="s">
        <v>179</v>
      </c>
      <c r="H2560" t="s">
        <v>53</v>
      </c>
      <c r="I2560" t="s">
        <v>53</v>
      </c>
      <c r="J2560" t="s">
        <v>53</v>
      </c>
      <c r="K2560" t="s">
        <v>53</v>
      </c>
      <c r="L2560" t="s">
        <v>53</v>
      </c>
      <c r="M2560" t="s">
        <v>53</v>
      </c>
      <c r="N2560" t="s">
        <v>53</v>
      </c>
      <c r="O2560" t="s">
        <v>53</v>
      </c>
      <c r="P2560" t="s">
        <v>53</v>
      </c>
      <c r="Q2560" t="s">
        <v>53</v>
      </c>
    </row>
    <row r="2561" spans="1:17" x14ac:dyDescent="0.2">
      <c r="A2561" s="30" t="str">
        <f>IF(C2561&amp;G2561&amp;D2561&lt;&gt;'Funnel setup'!$K$3&amp;'Funnel setup'!$K$4&amp;'Funnel setup'!$K$5,".",IF(A2560=".",1,A2560+1))</f>
        <v>.</v>
      </c>
      <c r="B2561" s="431" t="str">
        <f t="shared" si="39"/>
        <v>Hip Replacement RevisionCCG of GP PracticeNHS LEEDS WEST CCG (03C)EQ VAS</v>
      </c>
      <c r="C2561" t="s">
        <v>247</v>
      </c>
      <c r="D2561" t="s">
        <v>87</v>
      </c>
      <c r="E2561" t="s">
        <v>399</v>
      </c>
      <c r="F2561" t="s">
        <v>400</v>
      </c>
      <c r="G2561" t="s">
        <v>179</v>
      </c>
      <c r="H2561">
        <v>7</v>
      </c>
      <c r="I2561">
        <v>75.856999999999999</v>
      </c>
      <c r="J2561">
        <v>73.570999999999998</v>
      </c>
      <c r="K2561">
        <v>-2.286</v>
      </c>
      <c r="L2561">
        <v>2</v>
      </c>
      <c r="M2561">
        <v>1</v>
      </c>
      <c r="N2561">
        <v>4</v>
      </c>
      <c r="O2561" t="s">
        <v>53</v>
      </c>
      <c r="P2561" t="s">
        <v>53</v>
      </c>
      <c r="Q2561" t="s">
        <v>53</v>
      </c>
    </row>
    <row r="2562" spans="1:17" x14ac:dyDescent="0.2">
      <c r="A2562" s="30" t="str">
        <f>IF(C2562&amp;G2562&amp;D2562&lt;&gt;'Funnel setup'!$K$3&amp;'Funnel setup'!$K$4&amp;'Funnel setup'!$K$5,".",IF(A2561=".",1,A2561+1))</f>
        <v>.</v>
      </c>
      <c r="B2562" s="431" t="str">
        <f t="shared" si="39"/>
        <v>Hip Replacement RevisionCCG of GP PracticeNHS LEICESTER CITY CCG (04C)EQ VAS</v>
      </c>
      <c r="C2562" t="s">
        <v>247</v>
      </c>
      <c r="D2562" t="s">
        <v>87</v>
      </c>
      <c r="E2562" t="s">
        <v>554</v>
      </c>
      <c r="F2562" t="s">
        <v>555</v>
      </c>
      <c r="G2562" t="s">
        <v>179</v>
      </c>
      <c r="H2562">
        <v>6</v>
      </c>
      <c r="I2562">
        <v>63.5</v>
      </c>
      <c r="J2562">
        <v>52.5</v>
      </c>
      <c r="K2562">
        <v>-11</v>
      </c>
      <c r="L2562">
        <v>1</v>
      </c>
      <c r="M2562">
        <v>1</v>
      </c>
      <c r="N2562">
        <v>4</v>
      </c>
      <c r="O2562" t="s">
        <v>53</v>
      </c>
      <c r="P2562" t="s">
        <v>53</v>
      </c>
      <c r="Q2562" t="s">
        <v>53</v>
      </c>
    </row>
    <row r="2563" spans="1:17" x14ac:dyDescent="0.2">
      <c r="A2563" s="30" t="str">
        <f>IF(C2563&amp;G2563&amp;D2563&lt;&gt;'Funnel setup'!$K$3&amp;'Funnel setup'!$K$4&amp;'Funnel setup'!$K$5,".",IF(A2562=".",1,A2562+1))</f>
        <v>.</v>
      </c>
      <c r="B2563" s="431" t="str">
        <f t="shared" ref="B2563:B2626" si="40">C2563&amp;D2563&amp;F2563&amp;G2563</f>
        <v>Hip Replacement RevisionCCG of GP PracticeNHS LEWISHAM CCG (08L)EQ VAS</v>
      </c>
      <c r="C2563" t="s">
        <v>247</v>
      </c>
      <c r="D2563" t="s">
        <v>87</v>
      </c>
      <c r="E2563" t="s">
        <v>557</v>
      </c>
      <c r="F2563" t="s">
        <v>558</v>
      </c>
      <c r="G2563" t="s">
        <v>179</v>
      </c>
      <c r="H2563" t="s">
        <v>53</v>
      </c>
      <c r="I2563" t="s">
        <v>53</v>
      </c>
      <c r="J2563" t="s">
        <v>53</v>
      </c>
      <c r="K2563" t="s">
        <v>53</v>
      </c>
      <c r="L2563" t="s">
        <v>53</v>
      </c>
      <c r="M2563" t="s">
        <v>53</v>
      </c>
      <c r="N2563" t="s">
        <v>53</v>
      </c>
      <c r="O2563" t="s">
        <v>53</v>
      </c>
      <c r="P2563" t="s">
        <v>53</v>
      </c>
      <c r="Q2563" t="s">
        <v>53</v>
      </c>
    </row>
    <row r="2564" spans="1:17" x14ac:dyDescent="0.2">
      <c r="A2564" s="30" t="str">
        <f>IF(C2564&amp;G2564&amp;D2564&lt;&gt;'Funnel setup'!$K$3&amp;'Funnel setup'!$K$4&amp;'Funnel setup'!$K$5,".",IF(A2563=".",1,A2563+1))</f>
        <v>.</v>
      </c>
      <c r="B2564" s="431" t="str">
        <f t="shared" si="40"/>
        <v>Hip Replacement RevisionCCG of GP PracticeNHS LINCOLNSHIRE EAST CCG (03T)EQ VAS</v>
      </c>
      <c r="C2564" t="s">
        <v>247</v>
      </c>
      <c r="D2564" t="s">
        <v>87</v>
      </c>
      <c r="E2564" t="s">
        <v>560</v>
      </c>
      <c r="F2564" t="s">
        <v>561</v>
      </c>
      <c r="G2564" t="s">
        <v>179</v>
      </c>
      <c r="H2564">
        <v>23</v>
      </c>
      <c r="I2564">
        <v>66.13</v>
      </c>
      <c r="J2564">
        <v>61.478000000000002</v>
      </c>
      <c r="K2564">
        <v>-4.6520000000000001</v>
      </c>
      <c r="L2564">
        <v>8</v>
      </c>
      <c r="M2564">
        <v>1</v>
      </c>
      <c r="N2564">
        <v>14</v>
      </c>
      <c r="O2564" t="s">
        <v>53</v>
      </c>
      <c r="P2564" t="s">
        <v>53</v>
      </c>
      <c r="Q2564" t="s">
        <v>53</v>
      </c>
    </row>
    <row r="2565" spans="1:17" x14ac:dyDescent="0.2">
      <c r="A2565" s="30" t="str">
        <f>IF(C2565&amp;G2565&amp;D2565&lt;&gt;'Funnel setup'!$K$3&amp;'Funnel setup'!$K$4&amp;'Funnel setup'!$K$5,".",IF(A2564=".",1,A2564+1))</f>
        <v>.</v>
      </c>
      <c r="B2565" s="431" t="str">
        <f t="shared" si="40"/>
        <v>Hip Replacement RevisionCCG of GP PracticeNHS LINCOLNSHIRE WEST CCG (04D)EQ VAS</v>
      </c>
      <c r="C2565" t="s">
        <v>247</v>
      </c>
      <c r="D2565" t="s">
        <v>87</v>
      </c>
      <c r="E2565" t="s">
        <v>408</v>
      </c>
      <c r="F2565" t="s">
        <v>409</v>
      </c>
      <c r="G2565" t="s">
        <v>179</v>
      </c>
      <c r="H2565">
        <v>6</v>
      </c>
      <c r="I2565">
        <v>47</v>
      </c>
      <c r="J2565">
        <v>71.332999999999998</v>
      </c>
      <c r="K2565">
        <v>24.332999999999998</v>
      </c>
      <c r="L2565">
        <v>5</v>
      </c>
      <c r="M2565">
        <v>0</v>
      </c>
      <c r="N2565">
        <v>1</v>
      </c>
      <c r="O2565" t="s">
        <v>53</v>
      </c>
      <c r="P2565" t="s">
        <v>53</v>
      </c>
      <c r="Q2565" t="s">
        <v>53</v>
      </c>
    </row>
    <row r="2566" spans="1:17" x14ac:dyDescent="0.2">
      <c r="A2566" s="30" t="str">
        <f>IF(C2566&amp;G2566&amp;D2566&lt;&gt;'Funnel setup'!$K$3&amp;'Funnel setup'!$K$4&amp;'Funnel setup'!$K$5,".",IF(A2565=".",1,A2565+1))</f>
        <v>.</v>
      </c>
      <c r="B2566" s="431" t="str">
        <f t="shared" si="40"/>
        <v>Hip Replacement RevisionCCG of GP PracticeNHS LIVERPOOL CCG (99A)EQ VAS</v>
      </c>
      <c r="C2566" t="s">
        <v>247</v>
      </c>
      <c r="D2566" t="s">
        <v>87</v>
      </c>
      <c r="E2566" t="s">
        <v>411</v>
      </c>
      <c r="F2566" t="s">
        <v>412</v>
      </c>
      <c r="G2566" t="s">
        <v>179</v>
      </c>
      <c r="H2566">
        <v>10</v>
      </c>
      <c r="I2566">
        <v>52.8</v>
      </c>
      <c r="J2566">
        <v>57.7</v>
      </c>
      <c r="K2566">
        <v>4.9000000000000004</v>
      </c>
      <c r="L2566">
        <v>5</v>
      </c>
      <c r="M2566">
        <v>2</v>
      </c>
      <c r="N2566">
        <v>3</v>
      </c>
      <c r="O2566" t="s">
        <v>53</v>
      </c>
      <c r="P2566" t="s">
        <v>53</v>
      </c>
      <c r="Q2566" t="s">
        <v>53</v>
      </c>
    </row>
    <row r="2567" spans="1:17" x14ac:dyDescent="0.2">
      <c r="A2567" s="30" t="str">
        <f>IF(C2567&amp;G2567&amp;D2567&lt;&gt;'Funnel setup'!$K$3&amp;'Funnel setup'!$K$4&amp;'Funnel setup'!$K$5,".",IF(A2566=".",1,A2566+1))</f>
        <v>.</v>
      </c>
      <c r="B2567" s="431" t="str">
        <f t="shared" si="40"/>
        <v>Hip Replacement RevisionCCG of GP PracticeNHS LUTON CCG (06P)EQ VAS</v>
      </c>
      <c r="C2567" t="s">
        <v>247</v>
      </c>
      <c r="D2567" t="s">
        <v>87</v>
      </c>
      <c r="E2567" t="s">
        <v>414</v>
      </c>
      <c r="F2567" t="s">
        <v>415</v>
      </c>
      <c r="G2567" t="s">
        <v>179</v>
      </c>
      <c r="H2567">
        <v>13</v>
      </c>
      <c r="I2567">
        <v>53.076999999999998</v>
      </c>
      <c r="J2567">
        <v>70.614999999999995</v>
      </c>
      <c r="K2567">
        <v>17.538</v>
      </c>
      <c r="L2567">
        <v>7</v>
      </c>
      <c r="M2567">
        <v>2</v>
      </c>
      <c r="N2567">
        <v>4</v>
      </c>
      <c r="O2567" t="s">
        <v>53</v>
      </c>
      <c r="P2567" t="s">
        <v>53</v>
      </c>
      <c r="Q2567" t="s">
        <v>53</v>
      </c>
    </row>
    <row r="2568" spans="1:17" x14ac:dyDescent="0.2">
      <c r="A2568" s="30" t="str">
        <f>IF(C2568&amp;G2568&amp;D2568&lt;&gt;'Funnel setup'!$K$3&amp;'Funnel setup'!$K$4&amp;'Funnel setup'!$K$5,".",IF(A2567=".",1,A2567+1))</f>
        <v>.</v>
      </c>
      <c r="B2568" s="431" t="str">
        <f t="shared" si="40"/>
        <v>Hip Replacement RevisionCCG of GP PracticeNHS MANSFIELD AND ASHFIELD CCG (04E)EQ VAS</v>
      </c>
      <c r="C2568" t="s">
        <v>247</v>
      </c>
      <c r="D2568" t="s">
        <v>87</v>
      </c>
      <c r="E2568" t="s">
        <v>417</v>
      </c>
      <c r="F2568" t="s">
        <v>418</v>
      </c>
      <c r="G2568" t="s">
        <v>179</v>
      </c>
      <c r="H2568" t="s">
        <v>53</v>
      </c>
      <c r="I2568" t="s">
        <v>53</v>
      </c>
      <c r="J2568" t="s">
        <v>53</v>
      </c>
      <c r="K2568" t="s">
        <v>53</v>
      </c>
      <c r="L2568" t="s">
        <v>53</v>
      </c>
      <c r="M2568" t="s">
        <v>53</v>
      </c>
      <c r="N2568" t="s">
        <v>53</v>
      </c>
      <c r="O2568" t="s">
        <v>53</v>
      </c>
      <c r="P2568" t="s">
        <v>53</v>
      </c>
      <c r="Q2568" t="s">
        <v>53</v>
      </c>
    </row>
    <row r="2569" spans="1:17" x14ac:dyDescent="0.2">
      <c r="A2569" s="30" t="str">
        <f>IF(C2569&amp;G2569&amp;D2569&lt;&gt;'Funnel setup'!$K$3&amp;'Funnel setup'!$K$4&amp;'Funnel setup'!$K$5,".",IF(A2568=".",1,A2568+1))</f>
        <v>.</v>
      </c>
      <c r="B2569" s="431" t="str">
        <f t="shared" si="40"/>
        <v>Hip Replacement RevisionCCG of GP PracticeNHS MEDWAY CCG (09W)EQ VAS</v>
      </c>
      <c r="C2569" t="s">
        <v>247</v>
      </c>
      <c r="D2569" t="s">
        <v>87</v>
      </c>
      <c r="E2569" t="s">
        <v>610</v>
      </c>
      <c r="F2569" t="s">
        <v>611</v>
      </c>
      <c r="G2569" t="s">
        <v>179</v>
      </c>
      <c r="H2569">
        <v>18</v>
      </c>
      <c r="I2569">
        <v>71.111000000000004</v>
      </c>
      <c r="J2569">
        <v>74.332999999999998</v>
      </c>
      <c r="K2569">
        <v>3.222</v>
      </c>
      <c r="L2569">
        <v>8</v>
      </c>
      <c r="M2569">
        <v>3</v>
      </c>
      <c r="N2569">
        <v>7</v>
      </c>
      <c r="O2569" t="s">
        <v>53</v>
      </c>
      <c r="P2569" t="s">
        <v>53</v>
      </c>
      <c r="Q2569" t="s">
        <v>53</v>
      </c>
    </row>
    <row r="2570" spans="1:17" x14ac:dyDescent="0.2">
      <c r="A2570" s="30" t="str">
        <f>IF(C2570&amp;G2570&amp;D2570&lt;&gt;'Funnel setup'!$K$3&amp;'Funnel setup'!$K$4&amp;'Funnel setup'!$K$5,".",IF(A2569=".",1,A2569+1))</f>
        <v>.</v>
      </c>
      <c r="B2570" s="431" t="str">
        <f t="shared" si="40"/>
        <v>Hip Replacement RevisionCCG of GP PracticeNHS MERTON CCG (08R)EQ VAS</v>
      </c>
      <c r="C2570" t="s">
        <v>247</v>
      </c>
      <c r="D2570" t="s">
        <v>87</v>
      </c>
      <c r="E2570" t="s">
        <v>613</v>
      </c>
      <c r="F2570" t="s">
        <v>614</v>
      </c>
      <c r="G2570" t="s">
        <v>179</v>
      </c>
      <c r="H2570" t="s">
        <v>53</v>
      </c>
      <c r="I2570" t="s">
        <v>53</v>
      </c>
      <c r="J2570" t="s">
        <v>53</v>
      </c>
      <c r="K2570" t="s">
        <v>53</v>
      </c>
      <c r="L2570" t="s">
        <v>53</v>
      </c>
      <c r="M2570" t="s">
        <v>53</v>
      </c>
      <c r="N2570" t="s">
        <v>53</v>
      </c>
      <c r="O2570" t="s">
        <v>53</v>
      </c>
      <c r="P2570" t="s">
        <v>53</v>
      </c>
      <c r="Q2570" t="s">
        <v>53</v>
      </c>
    </row>
    <row r="2571" spans="1:17" x14ac:dyDescent="0.2">
      <c r="A2571" s="30" t="str">
        <f>IF(C2571&amp;G2571&amp;D2571&lt;&gt;'Funnel setup'!$K$3&amp;'Funnel setup'!$K$4&amp;'Funnel setup'!$K$5,".",IF(A2570=".",1,A2570+1))</f>
        <v>.</v>
      </c>
      <c r="B2571" s="431" t="str">
        <f t="shared" si="40"/>
        <v>Hip Replacement RevisionCCG of GP PracticeNHS MID ESSEX CCG (06Q)EQ VAS</v>
      </c>
      <c r="C2571" t="s">
        <v>247</v>
      </c>
      <c r="D2571" t="s">
        <v>87</v>
      </c>
      <c r="E2571" t="s">
        <v>616</v>
      </c>
      <c r="F2571" t="s">
        <v>617</v>
      </c>
      <c r="G2571" t="s">
        <v>179</v>
      </c>
      <c r="H2571">
        <v>21</v>
      </c>
      <c r="I2571">
        <v>70.19</v>
      </c>
      <c r="J2571">
        <v>73.19</v>
      </c>
      <c r="K2571">
        <v>3</v>
      </c>
      <c r="L2571">
        <v>8</v>
      </c>
      <c r="M2571">
        <v>7</v>
      </c>
      <c r="N2571">
        <v>6</v>
      </c>
      <c r="O2571" t="s">
        <v>53</v>
      </c>
      <c r="P2571" t="s">
        <v>53</v>
      </c>
      <c r="Q2571" t="s">
        <v>53</v>
      </c>
    </row>
    <row r="2572" spans="1:17" x14ac:dyDescent="0.2">
      <c r="A2572" s="30" t="str">
        <f>IF(C2572&amp;G2572&amp;D2572&lt;&gt;'Funnel setup'!$K$3&amp;'Funnel setup'!$K$4&amp;'Funnel setup'!$K$5,".",IF(A2571=".",1,A2571+1))</f>
        <v>.</v>
      </c>
      <c r="B2572" s="431" t="str">
        <f t="shared" si="40"/>
        <v>Hip Replacement RevisionCCG of GP PracticeNHS MILTON KEYNES CCG (04F)EQ VAS</v>
      </c>
      <c r="C2572" t="s">
        <v>247</v>
      </c>
      <c r="D2572" t="s">
        <v>87</v>
      </c>
      <c r="E2572" t="s">
        <v>619</v>
      </c>
      <c r="F2572" t="s">
        <v>338</v>
      </c>
      <c r="G2572" t="s">
        <v>179</v>
      </c>
      <c r="H2572" t="s">
        <v>53</v>
      </c>
      <c r="I2572" t="s">
        <v>53</v>
      </c>
      <c r="J2572" t="s">
        <v>53</v>
      </c>
      <c r="K2572" t="s">
        <v>53</v>
      </c>
      <c r="L2572" t="s">
        <v>53</v>
      </c>
      <c r="M2572" t="s">
        <v>53</v>
      </c>
      <c r="N2572" t="s">
        <v>53</v>
      </c>
      <c r="O2572" t="s">
        <v>53</v>
      </c>
      <c r="P2572" t="s">
        <v>53</v>
      </c>
      <c r="Q2572" t="s">
        <v>53</v>
      </c>
    </row>
    <row r="2573" spans="1:17" x14ac:dyDescent="0.2">
      <c r="A2573" s="30" t="str">
        <f>IF(C2573&amp;G2573&amp;D2573&lt;&gt;'Funnel setup'!$K$3&amp;'Funnel setup'!$K$4&amp;'Funnel setup'!$K$5,".",IF(A2572=".",1,A2572+1))</f>
        <v>.</v>
      </c>
      <c r="B2573" s="431" t="str">
        <f t="shared" si="40"/>
        <v>Hip Replacement RevisionCCG of GP PracticeNHS NENE CCG (04G)EQ VAS</v>
      </c>
      <c r="C2573" t="s">
        <v>247</v>
      </c>
      <c r="D2573" t="s">
        <v>87</v>
      </c>
      <c r="E2573" t="s">
        <v>621</v>
      </c>
      <c r="F2573" t="s">
        <v>622</v>
      </c>
      <c r="G2573" t="s">
        <v>179</v>
      </c>
      <c r="H2573">
        <v>39</v>
      </c>
      <c r="I2573">
        <v>66.41</v>
      </c>
      <c r="J2573">
        <v>69.872</v>
      </c>
      <c r="K2573">
        <v>3.4620000000000002</v>
      </c>
      <c r="L2573">
        <v>18</v>
      </c>
      <c r="M2573">
        <v>4</v>
      </c>
      <c r="N2573">
        <v>17</v>
      </c>
      <c r="O2573">
        <v>70.122</v>
      </c>
      <c r="P2573">
        <v>5.351093358</v>
      </c>
      <c r="Q2573">
        <v>13.673</v>
      </c>
    </row>
    <row r="2574" spans="1:17" x14ac:dyDescent="0.2">
      <c r="A2574" s="30" t="str">
        <f>IF(C2574&amp;G2574&amp;D2574&lt;&gt;'Funnel setup'!$K$3&amp;'Funnel setup'!$K$4&amp;'Funnel setup'!$K$5,".",IF(A2573=".",1,A2573+1))</f>
        <v>.</v>
      </c>
      <c r="B2574" s="431" t="str">
        <f t="shared" si="40"/>
        <v>Hip Replacement RevisionCCG of GP PracticeNHS NEWARK &amp; SHERWOOD CCG (04H)EQ VAS</v>
      </c>
      <c r="C2574" t="s">
        <v>247</v>
      </c>
      <c r="D2574" t="s">
        <v>87</v>
      </c>
      <c r="E2574" t="s">
        <v>624</v>
      </c>
      <c r="F2574" t="s">
        <v>625</v>
      </c>
      <c r="G2574" t="s">
        <v>179</v>
      </c>
      <c r="H2574">
        <v>6</v>
      </c>
      <c r="I2574">
        <v>58.5</v>
      </c>
      <c r="J2574">
        <v>59.167000000000002</v>
      </c>
      <c r="K2574">
        <v>0.66700000000000004</v>
      </c>
      <c r="L2574">
        <v>4</v>
      </c>
      <c r="M2574">
        <v>0</v>
      </c>
      <c r="N2574">
        <v>2</v>
      </c>
      <c r="O2574" t="s">
        <v>53</v>
      </c>
      <c r="P2574" t="s">
        <v>53</v>
      </c>
      <c r="Q2574" t="s">
        <v>53</v>
      </c>
    </row>
    <row r="2575" spans="1:17" x14ac:dyDescent="0.2">
      <c r="A2575" s="30" t="str">
        <f>IF(C2575&amp;G2575&amp;D2575&lt;&gt;'Funnel setup'!$K$3&amp;'Funnel setup'!$K$4&amp;'Funnel setup'!$K$5,".",IF(A2574=".",1,A2574+1))</f>
        <v>.</v>
      </c>
      <c r="B2575" s="431" t="str">
        <f t="shared" si="40"/>
        <v>Hip Replacement RevisionCCG of GP PracticeNHS NEWBURY AND DISTRICT CCG (10M)EQ VAS</v>
      </c>
      <c r="C2575" t="s">
        <v>247</v>
      </c>
      <c r="D2575" t="s">
        <v>87</v>
      </c>
      <c r="E2575" t="s">
        <v>627</v>
      </c>
      <c r="F2575" t="s">
        <v>628</v>
      </c>
      <c r="G2575" t="s">
        <v>179</v>
      </c>
      <c r="H2575" t="s">
        <v>53</v>
      </c>
      <c r="I2575" t="s">
        <v>53</v>
      </c>
      <c r="J2575" t="s">
        <v>53</v>
      </c>
      <c r="K2575" t="s">
        <v>53</v>
      </c>
      <c r="L2575" t="s">
        <v>53</v>
      </c>
      <c r="M2575" t="s">
        <v>53</v>
      </c>
      <c r="N2575" t="s">
        <v>53</v>
      </c>
      <c r="O2575" t="s">
        <v>53</v>
      </c>
      <c r="P2575" t="s">
        <v>53</v>
      </c>
      <c r="Q2575" t="s">
        <v>53</v>
      </c>
    </row>
    <row r="2576" spans="1:17" x14ac:dyDescent="0.2">
      <c r="A2576" s="30" t="str">
        <f>IF(C2576&amp;G2576&amp;D2576&lt;&gt;'Funnel setup'!$K$3&amp;'Funnel setup'!$K$4&amp;'Funnel setup'!$K$5,".",IF(A2575=".",1,A2575+1))</f>
        <v>.</v>
      </c>
      <c r="B2576" s="431" t="str">
        <f t="shared" si="40"/>
        <v>Hip Replacement RevisionCCG of GP PracticeNHS NEWCASTLE GATESHEAD CCG (13T)EQ VAS</v>
      </c>
      <c r="C2576" t="s">
        <v>247</v>
      </c>
      <c r="D2576" t="s">
        <v>87</v>
      </c>
      <c r="E2576" t="s">
        <v>6553</v>
      </c>
      <c r="F2576" t="s">
        <v>6543</v>
      </c>
      <c r="G2576" t="s">
        <v>179</v>
      </c>
      <c r="H2576">
        <v>22</v>
      </c>
      <c r="I2576">
        <v>62.045000000000002</v>
      </c>
      <c r="J2576">
        <v>74.272999999999996</v>
      </c>
      <c r="K2576">
        <v>12.227</v>
      </c>
      <c r="L2576">
        <v>12</v>
      </c>
      <c r="M2576">
        <v>3</v>
      </c>
      <c r="N2576">
        <v>7</v>
      </c>
      <c r="O2576" t="s">
        <v>53</v>
      </c>
      <c r="P2576" t="s">
        <v>53</v>
      </c>
      <c r="Q2576" t="s">
        <v>53</v>
      </c>
    </row>
    <row r="2577" spans="1:17" x14ac:dyDescent="0.2">
      <c r="A2577" s="30" t="str">
        <f>IF(C2577&amp;G2577&amp;D2577&lt;&gt;'Funnel setup'!$K$3&amp;'Funnel setup'!$K$4&amp;'Funnel setup'!$K$5,".",IF(A2576=".",1,A2576+1))</f>
        <v>.</v>
      </c>
      <c r="B2577" s="431" t="str">
        <f t="shared" si="40"/>
        <v>Hip Replacement RevisionCCG of GP PracticeNHS NEWHAM CCG (08M)EQ VAS</v>
      </c>
      <c r="C2577" t="s">
        <v>247</v>
      </c>
      <c r="D2577" t="s">
        <v>87</v>
      </c>
      <c r="E2577" t="s">
        <v>630</v>
      </c>
      <c r="F2577" t="s">
        <v>631</v>
      </c>
      <c r="G2577" t="s">
        <v>179</v>
      </c>
      <c r="H2577" t="s">
        <v>53</v>
      </c>
      <c r="I2577" t="s">
        <v>53</v>
      </c>
      <c r="J2577" t="s">
        <v>53</v>
      </c>
      <c r="K2577" t="s">
        <v>53</v>
      </c>
      <c r="L2577" t="s">
        <v>53</v>
      </c>
      <c r="M2577" t="s">
        <v>53</v>
      </c>
      <c r="N2577" t="s">
        <v>53</v>
      </c>
      <c r="O2577" t="s">
        <v>53</v>
      </c>
      <c r="P2577" t="s">
        <v>53</v>
      </c>
      <c r="Q2577" t="s">
        <v>53</v>
      </c>
    </row>
    <row r="2578" spans="1:17" x14ac:dyDescent="0.2">
      <c r="A2578" s="30" t="str">
        <f>IF(C2578&amp;G2578&amp;D2578&lt;&gt;'Funnel setup'!$K$3&amp;'Funnel setup'!$K$4&amp;'Funnel setup'!$K$5,".",IF(A2577=".",1,A2577+1))</f>
        <v>.</v>
      </c>
      <c r="B2578" s="431" t="str">
        <f t="shared" si="40"/>
        <v>Hip Replacement RevisionCCG of GP PracticeNHS NORTH &amp; WEST READING CCG (10N)EQ VAS</v>
      </c>
      <c r="C2578" t="s">
        <v>247</v>
      </c>
      <c r="D2578" t="s">
        <v>87</v>
      </c>
      <c r="E2578" t="s">
        <v>633</v>
      </c>
      <c r="F2578" t="s">
        <v>634</v>
      </c>
      <c r="G2578" t="s">
        <v>179</v>
      </c>
      <c r="H2578" t="s">
        <v>53</v>
      </c>
      <c r="I2578" t="s">
        <v>53</v>
      </c>
      <c r="J2578" t="s">
        <v>53</v>
      </c>
      <c r="K2578" t="s">
        <v>53</v>
      </c>
      <c r="L2578" t="s">
        <v>53</v>
      </c>
      <c r="M2578" t="s">
        <v>53</v>
      </c>
      <c r="N2578" t="s">
        <v>53</v>
      </c>
      <c r="O2578" t="s">
        <v>53</v>
      </c>
      <c r="P2578" t="s">
        <v>53</v>
      </c>
      <c r="Q2578" t="s">
        <v>53</v>
      </c>
    </row>
    <row r="2579" spans="1:17" x14ac:dyDescent="0.2">
      <c r="A2579" s="30" t="str">
        <f>IF(C2579&amp;G2579&amp;D2579&lt;&gt;'Funnel setup'!$K$3&amp;'Funnel setup'!$K$4&amp;'Funnel setup'!$K$5,".",IF(A2578=".",1,A2578+1))</f>
        <v>.</v>
      </c>
      <c r="B2579" s="431" t="str">
        <f t="shared" si="40"/>
        <v>Hip Replacement RevisionCCG of GP PracticeNHS NORTH DERBYSHIRE CCG (04J)EQ VAS</v>
      </c>
      <c r="C2579" t="s">
        <v>247</v>
      </c>
      <c r="D2579" t="s">
        <v>87</v>
      </c>
      <c r="E2579" t="s">
        <v>636</v>
      </c>
      <c r="F2579" t="s">
        <v>637</v>
      </c>
      <c r="G2579" t="s">
        <v>179</v>
      </c>
      <c r="H2579">
        <v>17</v>
      </c>
      <c r="I2579">
        <v>62.646999999999998</v>
      </c>
      <c r="J2579">
        <v>70.293999999999997</v>
      </c>
      <c r="K2579">
        <v>7.6470000000000002</v>
      </c>
      <c r="L2579">
        <v>10</v>
      </c>
      <c r="M2579">
        <v>0</v>
      </c>
      <c r="N2579">
        <v>7</v>
      </c>
      <c r="O2579" t="s">
        <v>53</v>
      </c>
      <c r="P2579" t="s">
        <v>53</v>
      </c>
      <c r="Q2579" t="s">
        <v>53</v>
      </c>
    </row>
    <row r="2580" spans="1:17" x14ac:dyDescent="0.2">
      <c r="A2580" s="30" t="str">
        <f>IF(C2580&amp;G2580&amp;D2580&lt;&gt;'Funnel setup'!$K$3&amp;'Funnel setup'!$K$4&amp;'Funnel setup'!$K$5,".",IF(A2579=".",1,A2579+1))</f>
        <v>.</v>
      </c>
      <c r="B2580" s="431" t="str">
        <f t="shared" si="40"/>
        <v>Hip Replacement RevisionCCG of GP PracticeNHS NORTH DURHAM CCG (00J)EQ VAS</v>
      </c>
      <c r="C2580" t="s">
        <v>247</v>
      </c>
      <c r="D2580" t="s">
        <v>87</v>
      </c>
      <c r="E2580" t="s">
        <v>639</v>
      </c>
      <c r="F2580" t="s">
        <v>640</v>
      </c>
      <c r="G2580" t="s">
        <v>179</v>
      </c>
      <c r="H2580">
        <v>10</v>
      </c>
      <c r="I2580">
        <v>62.2</v>
      </c>
      <c r="J2580">
        <v>63.2</v>
      </c>
      <c r="K2580">
        <v>1</v>
      </c>
      <c r="L2580">
        <v>6</v>
      </c>
      <c r="M2580">
        <v>1</v>
      </c>
      <c r="N2580">
        <v>3</v>
      </c>
      <c r="O2580" t="s">
        <v>53</v>
      </c>
      <c r="P2580" t="s">
        <v>53</v>
      </c>
      <c r="Q2580" t="s">
        <v>53</v>
      </c>
    </row>
    <row r="2581" spans="1:17" x14ac:dyDescent="0.2">
      <c r="A2581" s="30" t="str">
        <f>IF(C2581&amp;G2581&amp;D2581&lt;&gt;'Funnel setup'!$K$3&amp;'Funnel setup'!$K$4&amp;'Funnel setup'!$K$5,".",IF(A2580=".",1,A2580+1))</f>
        <v>.</v>
      </c>
      <c r="B2581" s="431" t="str">
        <f t="shared" si="40"/>
        <v>Hip Replacement RevisionCCG of GP PracticeNHS NORTH EAST ESSEX CCG (06T)EQ VAS</v>
      </c>
      <c r="C2581" t="s">
        <v>247</v>
      </c>
      <c r="D2581" t="s">
        <v>87</v>
      </c>
      <c r="E2581" t="s">
        <v>642</v>
      </c>
      <c r="F2581" t="s">
        <v>643</v>
      </c>
      <c r="G2581" t="s">
        <v>179</v>
      </c>
      <c r="H2581">
        <v>19</v>
      </c>
      <c r="I2581">
        <v>59.841999999999999</v>
      </c>
      <c r="J2581">
        <v>73.894999999999996</v>
      </c>
      <c r="K2581">
        <v>14.053000000000001</v>
      </c>
      <c r="L2581">
        <v>15</v>
      </c>
      <c r="M2581">
        <v>1</v>
      </c>
      <c r="N2581">
        <v>3</v>
      </c>
      <c r="O2581" t="s">
        <v>53</v>
      </c>
      <c r="P2581" t="s">
        <v>53</v>
      </c>
      <c r="Q2581" t="s">
        <v>53</v>
      </c>
    </row>
    <row r="2582" spans="1:17" x14ac:dyDescent="0.2">
      <c r="A2582" s="30" t="str">
        <f>IF(C2582&amp;G2582&amp;D2582&lt;&gt;'Funnel setup'!$K$3&amp;'Funnel setup'!$K$4&amp;'Funnel setup'!$K$5,".",IF(A2581=".",1,A2581+1))</f>
        <v>.</v>
      </c>
      <c r="B2582" s="431" t="str">
        <f t="shared" si="40"/>
        <v>Hip Replacement RevisionCCG of GP PracticeNHS NORTH EAST HAMPSHIRE AND FARNHAM CCG (99M)EQ VAS</v>
      </c>
      <c r="C2582" t="s">
        <v>247</v>
      </c>
      <c r="D2582" t="s">
        <v>87</v>
      </c>
      <c r="E2582" t="s">
        <v>645</v>
      </c>
      <c r="F2582" t="s">
        <v>646</v>
      </c>
      <c r="G2582" t="s">
        <v>179</v>
      </c>
      <c r="H2582">
        <v>16</v>
      </c>
      <c r="I2582">
        <v>65.313000000000002</v>
      </c>
      <c r="J2582">
        <v>72.188000000000002</v>
      </c>
      <c r="K2582">
        <v>6.875</v>
      </c>
      <c r="L2582">
        <v>10</v>
      </c>
      <c r="M2582">
        <v>0</v>
      </c>
      <c r="N2582">
        <v>6</v>
      </c>
      <c r="O2582" t="s">
        <v>53</v>
      </c>
      <c r="P2582" t="s">
        <v>53</v>
      </c>
      <c r="Q2582" t="s">
        <v>53</v>
      </c>
    </row>
    <row r="2583" spans="1:17" x14ac:dyDescent="0.2">
      <c r="A2583" s="30" t="str">
        <f>IF(C2583&amp;G2583&amp;D2583&lt;&gt;'Funnel setup'!$K$3&amp;'Funnel setup'!$K$4&amp;'Funnel setup'!$K$5,".",IF(A2582=".",1,A2582+1))</f>
        <v>.</v>
      </c>
      <c r="B2583" s="431" t="str">
        <f t="shared" si="40"/>
        <v>Hip Replacement RevisionCCG of GP PracticeNHS NORTH EAST LINCOLNSHIRE CCG (03H)EQ VAS</v>
      </c>
      <c r="C2583" t="s">
        <v>247</v>
      </c>
      <c r="D2583" t="s">
        <v>87</v>
      </c>
      <c r="E2583" t="s">
        <v>648</v>
      </c>
      <c r="F2583" t="s">
        <v>649</v>
      </c>
      <c r="G2583" t="s">
        <v>179</v>
      </c>
      <c r="H2583" t="s">
        <v>53</v>
      </c>
      <c r="I2583" t="s">
        <v>53</v>
      </c>
      <c r="J2583" t="s">
        <v>53</v>
      </c>
      <c r="K2583" t="s">
        <v>53</v>
      </c>
      <c r="L2583" t="s">
        <v>53</v>
      </c>
      <c r="M2583" t="s">
        <v>53</v>
      </c>
      <c r="N2583" t="s">
        <v>53</v>
      </c>
      <c r="O2583" t="s">
        <v>53</v>
      </c>
      <c r="P2583" t="s">
        <v>53</v>
      </c>
      <c r="Q2583" t="s">
        <v>53</v>
      </c>
    </row>
    <row r="2584" spans="1:17" x14ac:dyDescent="0.2">
      <c r="A2584" s="30" t="str">
        <f>IF(C2584&amp;G2584&amp;D2584&lt;&gt;'Funnel setup'!$K$3&amp;'Funnel setup'!$K$4&amp;'Funnel setup'!$K$5,".",IF(A2583=".",1,A2583+1))</f>
        <v>.</v>
      </c>
      <c r="B2584" s="431" t="str">
        <f t="shared" si="40"/>
        <v>Hip Replacement RevisionCCG of GP PracticeNHS NORTH HAMPSHIRE CCG (10J)EQ VAS</v>
      </c>
      <c r="C2584" t="s">
        <v>247</v>
      </c>
      <c r="D2584" t="s">
        <v>87</v>
      </c>
      <c r="E2584" t="s">
        <v>651</v>
      </c>
      <c r="F2584" t="s">
        <v>652</v>
      </c>
      <c r="G2584" t="s">
        <v>179</v>
      </c>
      <c r="H2584">
        <v>12</v>
      </c>
      <c r="I2584">
        <v>77.75</v>
      </c>
      <c r="J2584">
        <v>76</v>
      </c>
      <c r="K2584">
        <v>-1.75</v>
      </c>
      <c r="L2584">
        <v>3</v>
      </c>
      <c r="M2584">
        <v>2</v>
      </c>
      <c r="N2584">
        <v>7</v>
      </c>
      <c r="O2584" t="s">
        <v>53</v>
      </c>
      <c r="P2584" t="s">
        <v>53</v>
      </c>
      <c r="Q2584" t="s">
        <v>53</v>
      </c>
    </row>
    <row r="2585" spans="1:17" x14ac:dyDescent="0.2">
      <c r="A2585" s="30" t="str">
        <f>IF(C2585&amp;G2585&amp;D2585&lt;&gt;'Funnel setup'!$K$3&amp;'Funnel setup'!$K$4&amp;'Funnel setup'!$K$5,".",IF(A2584=".",1,A2584+1))</f>
        <v>.</v>
      </c>
      <c r="B2585" s="431" t="str">
        <f t="shared" si="40"/>
        <v>Hip Replacement RevisionCCG of GP PracticeNHS NORTH KIRKLEES CCG (03J)EQ VAS</v>
      </c>
      <c r="C2585" t="s">
        <v>247</v>
      </c>
      <c r="D2585" t="s">
        <v>87</v>
      </c>
      <c r="E2585" t="s">
        <v>654</v>
      </c>
      <c r="F2585" t="s">
        <v>655</v>
      </c>
      <c r="G2585" t="s">
        <v>179</v>
      </c>
      <c r="H2585" t="s">
        <v>53</v>
      </c>
      <c r="I2585" t="s">
        <v>53</v>
      </c>
      <c r="J2585" t="s">
        <v>53</v>
      </c>
      <c r="K2585" t="s">
        <v>53</v>
      </c>
      <c r="L2585" t="s">
        <v>53</v>
      </c>
      <c r="M2585" t="s">
        <v>53</v>
      </c>
      <c r="N2585" t="s">
        <v>53</v>
      </c>
      <c r="O2585" t="s">
        <v>53</v>
      </c>
      <c r="P2585" t="s">
        <v>53</v>
      </c>
      <c r="Q2585" t="s">
        <v>53</v>
      </c>
    </row>
    <row r="2586" spans="1:17" x14ac:dyDescent="0.2">
      <c r="A2586" s="30" t="str">
        <f>IF(C2586&amp;G2586&amp;D2586&lt;&gt;'Funnel setup'!$K$3&amp;'Funnel setup'!$K$4&amp;'Funnel setup'!$K$5,".",IF(A2585=".",1,A2585+1))</f>
        <v>.</v>
      </c>
      <c r="B2586" s="431" t="str">
        <f t="shared" si="40"/>
        <v>Hip Replacement RevisionCCG of GP PracticeNHS NORTH LINCOLNSHIRE CCG (03K)EQ VAS</v>
      </c>
      <c r="C2586" t="s">
        <v>247</v>
      </c>
      <c r="D2586" t="s">
        <v>87</v>
      </c>
      <c r="E2586" t="s">
        <v>657</v>
      </c>
      <c r="F2586" t="s">
        <v>658</v>
      </c>
      <c r="G2586" t="s">
        <v>179</v>
      </c>
      <c r="H2586">
        <v>9</v>
      </c>
      <c r="I2586">
        <v>63.667000000000002</v>
      </c>
      <c r="J2586">
        <v>73.888999999999996</v>
      </c>
      <c r="K2586">
        <v>10.222</v>
      </c>
      <c r="L2586">
        <v>5</v>
      </c>
      <c r="M2586">
        <v>0</v>
      </c>
      <c r="N2586">
        <v>4</v>
      </c>
      <c r="O2586" t="s">
        <v>53</v>
      </c>
      <c r="P2586" t="s">
        <v>53</v>
      </c>
      <c r="Q2586" t="s">
        <v>53</v>
      </c>
    </row>
    <row r="2587" spans="1:17" x14ac:dyDescent="0.2">
      <c r="A2587" s="30" t="str">
        <f>IF(C2587&amp;G2587&amp;D2587&lt;&gt;'Funnel setup'!$K$3&amp;'Funnel setup'!$K$4&amp;'Funnel setup'!$K$5,".",IF(A2586=".",1,A2586+1))</f>
        <v>.</v>
      </c>
      <c r="B2587" s="431" t="str">
        <f t="shared" si="40"/>
        <v>Hip Replacement RevisionCCG of GP PracticeNHS NORTH MANCHESTER CCG (01M)EQ VAS</v>
      </c>
      <c r="C2587" t="s">
        <v>247</v>
      </c>
      <c r="D2587" t="s">
        <v>87</v>
      </c>
      <c r="E2587" t="s">
        <v>660</v>
      </c>
      <c r="F2587" t="s">
        <v>661</v>
      </c>
      <c r="G2587" t="s">
        <v>179</v>
      </c>
      <c r="H2587" t="s">
        <v>53</v>
      </c>
      <c r="I2587" t="s">
        <v>53</v>
      </c>
      <c r="J2587" t="s">
        <v>53</v>
      </c>
      <c r="K2587" t="s">
        <v>53</v>
      </c>
      <c r="L2587" t="s">
        <v>53</v>
      </c>
      <c r="M2587" t="s">
        <v>53</v>
      </c>
      <c r="N2587" t="s">
        <v>53</v>
      </c>
      <c r="O2587" t="s">
        <v>53</v>
      </c>
      <c r="P2587" t="s">
        <v>53</v>
      </c>
      <c r="Q2587" t="s">
        <v>53</v>
      </c>
    </row>
    <row r="2588" spans="1:17" x14ac:dyDescent="0.2">
      <c r="A2588" s="30" t="str">
        <f>IF(C2588&amp;G2588&amp;D2588&lt;&gt;'Funnel setup'!$K$3&amp;'Funnel setup'!$K$4&amp;'Funnel setup'!$K$5,".",IF(A2587=".",1,A2587+1))</f>
        <v>.</v>
      </c>
      <c r="B2588" s="431" t="str">
        <f t="shared" si="40"/>
        <v>Hip Replacement RevisionCCG of GP PracticeNHS NORTH NORFOLK CCG (06V)EQ VAS</v>
      </c>
      <c r="C2588" t="s">
        <v>247</v>
      </c>
      <c r="D2588" t="s">
        <v>87</v>
      </c>
      <c r="E2588" t="s">
        <v>663</v>
      </c>
      <c r="F2588" t="s">
        <v>664</v>
      </c>
      <c r="G2588" t="s">
        <v>179</v>
      </c>
      <c r="H2588">
        <v>14</v>
      </c>
      <c r="I2588">
        <v>61.856999999999999</v>
      </c>
      <c r="J2588">
        <v>68.856999999999999</v>
      </c>
      <c r="K2588">
        <v>7</v>
      </c>
      <c r="L2588">
        <v>10</v>
      </c>
      <c r="M2588">
        <v>0</v>
      </c>
      <c r="N2588">
        <v>4</v>
      </c>
      <c r="O2588" t="s">
        <v>53</v>
      </c>
      <c r="P2588" t="s">
        <v>53</v>
      </c>
      <c r="Q2588" t="s">
        <v>53</v>
      </c>
    </row>
    <row r="2589" spans="1:17" x14ac:dyDescent="0.2">
      <c r="A2589" s="30" t="str">
        <f>IF(C2589&amp;G2589&amp;D2589&lt;&gt;'Funnel setup'!$K$3&amp;'Funnel setup'!$K$4&amp;'Funnel setup'!$K$5,".",IF(A2588=".",1,A2588+1))</f>
        <v>.</v>
      </c>
      <c r="B2589" s="431" t="str">
        <f t="shared" si="40"/>
        <v>Hip Replacement RevisionCCG of GP PracticeNHS NORTH SOMERSET CCG (11T)EQ VAS</v>
      </c>
      <c r="C2589" t="s">
        <v>247</v>
      </c>
      <c r="D2589" t="s">
        <v>87</v>
      </c>
      <c r="E2589" t="s">
        <v>666</v>
      </c>
      <c r="F2589" t="s">
        <v>667</v>
      </c>
      <c r="G2589" t="s">
        <v>179</v>
      </c>
      <c r="H2589">
        <v>12</v>
      </c>
      <c r="I2589">
        <v>76.417000000000002</v>
      </c>
      <c r="J2589">
        <v>86.667000000000002</v>
      </c>
      <c r="K2589">
        <v>10.25</v>
      </c>
      <c r="L2589">
        <v>8</v>
      </c>
      <c r="M2589">
        <v>3</v>
      </c>
      <c r="N2589">
        <v>1</v>
      </c>
      <c r="O2589" t="s">
        <v>53</v>
      </c>
      <c r="P2589" t="s">
        <v>53</v>
      </c>
      <c r="Q2589" t="s">
        <v>53</v>
      </c>
    </row>
    <row r="2590" spans="1:17" x14ac:dyDescent="0.2">
      <c r="A2590" s="30" t="str">
        <f>IF(C2590&amp;G2590&amp;D2590&lt;&gt;'Funnel setup'!$K$3&amp;'Funnel setup'!$K$4&amp;'Funnel setup'!$K$5,".",IF(A2589=".",1,A2589+1))</f>
        <v>.</v>
      </c>
      <c r="B2590" s="431" t="str">
        <f t="shared" si="40"/>
        <v>Hip Replacement RevisionCCG of GP PracticeNHS NORTH STAFFORDSHIRE CCG (05G)EQ VAS</v>
      </c>
      <c r="C2590" t="s">
        <v>247</v>
      </c>
      <c r="D2590" t="s">
        <v>87</v>
      </c>
      <c r="E2590" t="s">
        <v>669</v>
      </c>
      <c r="F2590" t="s">
        <v>670</v>
      </c>
      <c r="G2590" t="s">
        <v>179</v>
      </c>
      <c r="H2590">
        <v>9</v>
      </c>
      <c r="I2590">
        <v>81.221999999999994</v>
      </c>
      <c r="J2590">
        <v>76.778000000000006</v>
      </c>
      <c r="K2590">
        <v>-4.444</v>
      </c>
      <c r="L2590">
        <v>4</v>
      </c>
      <c r="M2590">
        <v>0</v>
      </c>
      <c r="N2590">
        <v>5</v>
      </c>
      <c r="O2590" t="s">
        <v>53</v>
      </c>
      <c r="P2590" t="s">
        <v>53</v>
      </c>
      <c r="Q2590" t="s">
        <v>53</v>
      </c>
    </row>
    <row r="2591" spans="1:17" x14ac:dyDescent="0.2">
      <c r="A2591" s="30" t="str">
        <f>IF(C2591&amp;G2591&amp;D2591&lt;&gt;'Funnel setup'!$K$3&amp;'Funnel setup'!$K$4&amp;'Funnel setup'!$K$5,".",IF(A2590=".",1,A2590+1))</f>
        <v>.</v>
      </c>
      <c r="B2591" s="431" t="str">
        <f t="shared" si="40"/>
        <v>Hip Replacement RevisionCCG of GP PracticeNHS NORTH TYNESIDE CCG (99C)EQ VAS</v>
      </c>
      <c r="C2591" t="s">
        <v>247</v>
      </c>
      <c r="D2591" t="s">
        <v>87</v>
      </c>
      <c r="E2591" t="s">
        <v>672</v>
      </c>
      <c r="F2591" t="s">
        <v>673</v>
      </c>
      <c r="G2591" t="s">
        <v>179</v>
      </c>
      <c r="H2591">
        <v>13</v>
      </c>
      <c r="I2591">
        <v>59.154000000000003</v>
      </c>
      <c r="J2591">
        <v>72.462000000000003</v>
      </c>
      <c r="K2591">
        <v>13.308</v>
      </c>
      <c r="L2591">
        <v>8</v>
      </c>
      <c r="M2591">
        <v>2</v>
      </c>
      <c r="N2591">
        <v>3</v>
      </c>
      <c r="O2591" t="s">
        <v>53</v>
      </c>
      <c r="P2591" t="s">
        <v>53</v>
      </c>
      <c r="Q2591" t="s">
        <v>53</v>
      </c>
    </row>
    <row r="2592" spans="1:17" x14ac:dyDescent="0.2">
      <c r="A2592" s="30" t="str">
        <f>IF(C2592&amp;G2592&amp;D2592&lt;&gt;'Funnel setup'!$K$3&amp;'Funnel setup'!$K$4&amp;'Funnel setup'!$K$5,".",IF(A2591=".",1,A2591+1))</f>
        <v>.</v>
      </c>
      <c r="B2592" s="431" t="str">
        <f t="shared" si="40"/>
        <v>Hip Replacement RevisionCCG of GP PracticeNHS NORTH WEST SURREY CCG (09Y)EQ VAS</v>
      </c>
      <c r="C2592" t="s">
        <v>247</v>
      </c>
      <c r="D2592" t="s">
        <v>87</v>
      </c>
      <c r="E2592" t="s">
        <v>675</v>
      </c>
      <c r="F2592" t="s">
        <v>676</v>
      </c>
      <c r="G2592" t="s">
        <v>179</v>
      </c>
      <c r="H2592">
        <v>16</v>
      </c>
      <c r="I2592">
        <v>72.063000000000002</v>
      </c>
      <c r="J2592">
        <v>73.75</v>
      </c>
      <c r="K2592">
        <v>1.6879999999999999</v>
      </c>
      <c r="L2592">
        <v>6</v>
      </c>
      <c r="M2592">
        <v>2</v>
      </c>
      <c r="N2592">
        <v>8</v>
      </c>
      <c r="O2592" t="s">
        <v>53</v>
      </c>
      <c r="P2592" t="s">
        <v>53</v>
      </c>
      <c r="Q2592" t="s">
        <v>53</v>
      </c>
    </row>
    <row r="2593" spans="1:17" x14ac:dyDescent="0.2">
      <c r="A2593" s="30" t="str">
        <f>IF(C2593&amp;G2593&amp;D2593&lt;&gt;'Funnel setup'!$K$3&amp;'Funnel setup'!$K$4&amp;'Funnel setup'!$K$5,".",IF(A2592=".",1,A2592+1))</f>
        <v>.</v>
      </c>
      <c r="B2593" s="431" t="str">
        <f t="shared" si="40"/>
        <v>Hip Replacement RevisionCCG of GP PracticeNHS NORTHERN, EASTERN AND WESTERN DEVON CCG (99P)EQ VAS</v>
      </c>
      <c r="C2593" t="s">
        <v>247</v>
      </c>
      <c r="D2593" t="s">
        <v>87</v>
      </c>
      <c r="E2593" t="s">
        <v>678</v>
      </c>
      <c r="F2593" t="s">
        <v>679</v>
      </c>
      <c r="G2593" t="s">
        <v>179</v>
      </c>
      <c r="H2593">
        <v>69</v>
      </c>
      <c r="I2593">
        <v>64.42</v>
      </c>
      <c r="J2593">
        <v>69.116</v>
      </c>
      <c r="K2593">
        <v>4.6959999999999997</v>
      </c>
      <c r="L2593">
        <v>38</v>
      </c>
      <c r="M2593">
        <v>7</v>
      </c>
      <c r="N2593">
        <v>24</v>
      </c>
      <c r="O2593">
        <v>69.713999999999999</v>
      </c>
      <c r="P2593">
        <v>4.9436701169999999</v>
      </c>
      <c r="Q2593">
        <v>18.818000000000001</v>
      </c>
    </row>
    <row r="2594" spans="1:17" x14ac:dyDescent="0.2">
      <c r="A2594" s="30" t="str">
        <f>IF(C2594&amp;G2594&amp;D2594&lt;&gt;'Funnel setup'!$K$3&amp;'Funnel setup'!$K$4&amp;'Funnel setup'!$K$5,".",IF(A2593=".",1,A2593+1))</f>
        <v>.</v>
      </c>
      <c r="B2594" s="431" t="str">
        <f t="shared" si="40"/>
        <v>Hip Replacement RevisionCCG of GP PracticeNHS NORTHUMBERLAND CCG (00L)EQ VAS</v>
      </c>
      <c r="C2594" t="s">
        <v>247</v>
      </c>
      <c r="D2594" t="s">
        <v>87</v>
      </c>
      <c r="E2594" t="s">
        <v>681</v>
      </c>
      <c r="F2594" t="s">
        <v>336</v>
      </c>
      <c r="G2594" t="s">
        <v>179</v>
      </c>
      <c r="H2594">
        <v>10</v>
      </c>
      <c r="I2594">
        <v>62.6</v>
      </c>
      <c r="J2594">
        <v>65.400000000000006</v>
      </c>
      <c r="K2594">
        <v>2.8</v>
      </c>
      <c r="L2594">
        <v>4</v>
      </c>
      <c r="M2594">
        <v>1</v>
      </c>
      <c r="N2594">
        <v>5</v>
      </c>
      <c r="O2594" t="s">
        <v>53</v>
      </c>
      <c r="P2594" t="s">
        <v>53</v>
      </c>
      <c r="Q2594" t="s">
        <v>53</v>
      </c>
    </row>
    <row r="2595" spans="1:17" x14ac:dyDescent="0.2">
      <c r="A2595" s="30" t="str">
        <f>IF(C2595&amp;G2595&amp;D2595&lt;&gt;'Funnel setup'!$K$3&amp;'Funnel setup'!$K$4&amp;'Funnel setup'!$K$5,".",IF(A2594=".",1,A2594+1))</f>
        <v>.</v>
      </c>
      <c r="B2595" s="431" t="str">
        <f t="shared" si="40"/>
        <v>Hip Replacement RevisionCCG of GP PracticeNHS NORWICH CCG (06W)EQ VAS</v>
      </c>
      <c r="C2595" t="s">
        <v>247</v>
      </c>
      <c r="D2595" t="s">
        <v>87</v>
      </c>
      <c r="E2595" t="s">
        <v>770</v>
      </c>
      <c r="F2595" t="s">
        <v>771</v>
      </c>
      <c r="G2595" t="s">
        <v>179</v>
      </c>
      <c r="H2595">
        <v>12</v>
      </c>
      <c r="I2595">
        <v>70.832999999999998</v>
      </c>
      <c r="J2595">
        <v>79.167000000000002</v>
      </c>
      <c r="K2595">
        <v>8.3330000000000002</v>
      </c>
      <c r="L2595">
        <v>6</v>
      </c>
      <c r="M2595">
        <v>4</v>
      </c>
      <c r="N2595">
        <v>2</v>
      </c>
      <c r="O2595" t="s">
        <v>53</v>
      </c>
      <c r="P2595" t="s">
        <v>53</v>
      </c>
      <c r="Q2595" t="s">
        <v>53</v>
      </c>
    </row>
    <row r="2596" spans="1:17" x14ac:dyDescent="0.2">
      <c r="A2596" s="30" t="str">
        <f>IF(C2596&amp;G2596&amp;D2596&lt;&gt;'Funnel setup'!$K$3&amp;'Funnel setup'!$K$4&amp;'Funnel setup'!$K$5,".",IF(A2595=".",1,A2595+1))</f>
        <v>.</v>
      </c>
      <c r="B2596" s="431" t="str">
        <f t="shared" si="40"/>
        <v>Hip Replacement RevisionCCG of GP PracticeNHS NOTTINGHAM CITY CCG (04K)EQ VAS</v>
      </c>
      <c r="C2596" t="s">
        <v>247</v>
      </c>
      <c r="D2596" t="s">
        <v>87</v>
      </c>
      <c r="E2596" t="s">
        <v>773</v>
      </c>
      <c r="F2596" t="s">
        <v>774</v>
      </c>
      <c r="G2596" t="s">
        <v>179</v>
      </c>
      <c r="H2596">
        <v>8</v>
      </c>
      <c r="I2596">
        <v>63.25</v>
      </c>
      <c r="J2596">
        <v>60.625</v>
      </c>
      <c r="K2596">
        <v>-2.625</v>
      </c>
      <c r="L2596">
        <v>1</v>
      </c>
      <c r="M2596">
        <v>1</v>
      </c>
      <c r="N2596">
        <v>6</v>
      </c>
      <c r="O2596" t="s">
        <v>53</v>
      </c>
      <c r="P2596" t="s">
        <v>53</v>
      </c>
      <c r="Q2596" t="s">
        <v>53</v>
      </c>
    </row>
    <row r="2597" spans="1:17" x14ac:dyDescent="0.2">
      <c r="A2597" s="30" t="str">
        <f>IF(C2597&amp;G2597&amp;D2597&lt;&gt;'Funnel setup'!$K$3&amp;'Funnel setup'!$K$4&amp;'Funnel setup'!$K$5,".",IF(A2596=".",1,A2596+1))</f>
        <v>.</v>
      </c>
      <c r="B2597" s="431" t="str">
        <f t="shared" si="40"/>
        <v>Hip Replacement RevisionCCG of GP PracticeNHS NOTTINGHAM NORTH AND EAST CCG (04L)EQ VAS</v>
      </c>
      <c r="C2597" t="s">
        <v>247</v>
      </c>
      <c r="D2597" t="s">
        <v>87</v>
      </c>
      <c r="E2597" t="s">
        <v>776</v>
      </c>
      <c r="F2597" t="s">
        <v>777</v>
      </c>
      <c r="G2597" t="s">
        <v>179</v>
      </c>
      <c r="H2597">
        <v>7</v>
      </c>
      <c r="I2597">
        <v>53.570999999999998</v>
      </c>
      <c r="J2597">
        <v>66.143000000000001</v>
      </c>
      <c r="K2597">
        <v>12.571</v>
      </c>
      <c r="L2597">
        <v>6</v>
      </c>
      <c r="M2597">
        <v>0</v>
      </c>
      <c r="N2597">
        <v>1</v>
      </c>
      <c r="O2597" t="s">
        <v>53</v>
      </c>
      <c r="P2597" t="s">
        <v>53</v>
      </c>
      <c r="Q2597" t="s">
        <v>53</v>
      </c>
    </row>
    <row r="2598" spans="1:17" x14ac:dyDescent="0.2">
      <c r="A2598" s="30" t="str">
        <f>IF(C2598&amp;G2598&amp;D2598&lt;&gt;'Funnel setup'!$K$3&amp;'Funnel setup'!$K$4&amp;'Funnel setup'!$K$5,".",IF(A2597=".",1,A2597+1))</f>
        <v>.</v>
      </c>
      <c r="B2598" s="431" t="str">
        <f t="shared" si="40"/>
        <v>Hip Replacement RevisionCCG of GP PracticeNHS NOTTINGHAM WEST CCG (04M)EQ VAS</v>
      </c>
      <c r="C2598" t="s">
        <v>247</v>
      </c>
      <c r="D2598" t="s">
        <v>87</v>
      </c>
      <c r="E2598" t="s">
        <v>779</v>
      </c>
      <c r="F2598" t="s">
        <v>780</v>
      </c>
      <c r="G2598" t="s">
        <v>179</v>
      </c>
      <c r="H2598" t="s">
        <v>53</v>
      </c>
      <c r="I2598" t="s">
        <v>53</v>
      </c>
      <c r="J2598" t="s">
        <v>53</v>
      </c>
      <c r="K2598" t="s">
        <v>53</v>
      </c>
      <c r="L2598" t="s">
        <v>53</v>
      </c>
      <c r="M2598" t="s">
        <v>53</v>
      </c>
      <c r="N2598" t="s">
        <v>53</v>
      </c>
      <c r="O2598" t="s">
        <v>53</v>
      </c>
      <c r="P2598" t="s">
        <v>53</v>
      </c>
      <c r="Q2598" t="s">
        <v>53</v>
      </c>
    </row>
    <row r="2599" spans="1:17" x14ac:dyDescent="0.2">
      <c r="A2599" s="30" t="str">
        <f>IF(C2599&amp;G2599&amp;D2599&lt;&gt;'Funnel setup'!$K$3&amp;'Funnel setup'!$K$4&amp;'Funnel setup'!$K$5,".",IF(A2598=".",1,A2598+1))</f>
        <v>.</v>
      </c>
      <c r="B2599" s="431" t="str">
        <f t="shared" si="40"/>
        <v>Hip Replacement RevisionCCG of GP PracticeNHS OLDHAM CCG (00Y)EQ VAS</v>
      </c>
      <c r="C2599" t="s">
        <v>247</v>
      </c>
      <c r="D2599" t="s">
        <v>87</v>
      </c>
      <c r="E2599" t="s">
        <v>782</v>
      </c>
      <c r="F2599" t="s">
        <v>783</v>
      </c>
      <c r="G2599" t="s">
        <v>179</v>
      </c>
      <c r="H2599">
        <v>10</v>
      </c>
      <c r="I2599">
        <v>70.5</v>
      </c>
      <c r="J2599">
        <v>68.5</v>
      </c>
      <c r="K2599">
        <v>-2</v>
      </c>
      <c r="L2599">
        <v>4</v>
      </c>
      <c r="M2599">
        <v>1</v>
      </c>
      <c r="N2599">
        <v>5</v>
      </c>
      <c r="O2599" t="s">
        <v>53</v>
      </c>
      <c r="P2599" t="s">
        <v>53</v>
      </c>
      <c r="Q2599" t="s">
        <v>53</v>
      </c>
    </row>
    <row r="2600" spans="1:17" x14ac:dyDescent="0.2">
      <c r="A2600" s="30" t="str">
        <f>IF(C2600&amp;G2600&amp;D2600&lt;&gt;'Funnel setup'!$K$3&amp;'Funnel setup'!$K$4&amp;'Funnel setup'!$K$5,".",IF(A2599=".",1,A2599+1))</f>
        <v>.</v>
      </c>
      <c r="B2600" s="431" t="str">
        <f t="shared" si="40"/>
        <v>Hip Replacement RevisionCCG of GP PracticeNHS OXFORDSHIRE CCG (10Q)EQ VAS</v>
      </c>
      <c r="C2600" t="s">
        <v>247</v>
      </c>
      <c r="D2600" t="s">
        <v>87</v>
      </c>
      <c r="E2600" t="s">
        <v>785</v>
      </c>
      <c r="F2600" t="s">
        <v>786</v>
      </c>
      <c r="G2600" t="s">
        <v>179</v>
      </c>
      <c r="H2600">
        <v>32</v>
      </c>
      <c r="I2600">
        <v>68.718999999999994</v>
      </c>
      <c r="J2600">
        <v>72.343999999999994</v>
      </c>
      <c r="K2600">
        <v>3.625</v>
      </c>
      <c r="L2600">
        <v>19</v>
      </c>
      <c r="M2600">
        <v>0</v>
      </c>
      <c r="N2600">
        <v>13</v>
      </c>
      <c r="O2600">
        <v>69.17</v>
      </c>
      <c r="P2600">
        <v>4.4000553690000004</v>
      </c>
      <c r="Q2600">
        <v>19.03</v>
      </c>
    </row>
    <row r="2601" spans="1:17" x14ac:dyDescent="0.2">
      <c r="A2601" s="30" t="str">
        <f>IF(C2601&amp;G2601&amp;D2601&lt;&gt;'Funnel setup'!$K$3&amp;'Funnel setup'!$K$4&amp;'Funnel setup'!$K$5,".",IF(A2600=".",1,A2600+1))</f>
        <v>.</v>
      </c>
      <c r="B2601" s="431" t="str">
        <f t="shared" si="40"/>
        <v>Hip Replacement RevisionCCG of GP PracticeNHS PORTSMOUTH CCG (10R)EQ VAS</v>
      </c>
      <c r="C2601" t="s">
        <v>247</v>
      </c>
      <c r="D2601" t="s">
        <v>87</v>
      </c>
      <c r="E2601" t="s">
        <v>788</v>
      </c>
      <c r="F2601" t="s">
        <v>789</v>
      </c>
      <c r="G2601" t="s">
        <v>179</v>
      </c>
      <c r="H2601" t="s">
        <v>53</v>
      </c>
      <c r="I2601" t="s">
        <v>53</v>
      </c>
      <c r="J2601" t="s">
        <v>53</v>
      </c>
      <c r="K2601" t="s">
        <v>53</v>
      </c>
      <c r="L2601" t="s">
        <v>53</v>
      </c>
      <c r="M2601" t="s">
        <v>53</v>
      </c>
      <c r="N2601" t="s">
        <v>53</v>
      </c>
      <c r="O2601" t="s">
        <v>53</v>
      </c>
      <c r="P2601" t="s">
        <v>53</v>
      </c>
      <c r="Q2601" t="s">
        <v>53</v>
      </c>
    </row>
    <row r="2602" spans="1:17" x14ac:dyDescent="0.2">
      <c r="A2602" s="30" t="str">
        <f>IF(C2602&amp;G2602&amp;D2602&lt;&gt;'Funnel setup'!$K$3&amp;'Funnel setup'!$K$4&amp;'Funnel setup'!$K$5,".",IF(A2601=".",1,A2601+1))</f>
        <v>.</v>
      </c>
      <c r="B2602" s="431" t="str">
        <f t="shared" si="40"/>
        <v>Hip Replacement RevisionCCG of GP PracticeNHS REDBRIDGE CCG (08N)EQ VAS</v>
      </c>
      <c r="C2602" t="s">
        <v>247</v>
      </c>
      <c r="D2602" t="s">
        <v>87</v>
      </c>
      <c r="E2602" t="s">
        <v>791</v>
      </c>
      <c r="F2602" t="s">
        <v>792</v>
      </c>
      <c r="G2602" t="s">
        <v>179</v>
      </c>
      <c r="H2602" t="s">
        <v>53</v>
      </c>
      <c r="I2602" t="s">
        <v>53</v>
      </c>
      <c r="J2602" t="s">
        <v>53</v>
      </c>
      <c r="K2602" t="s">
        <v>53</v>
      </c>
      <c r="L2602" t="s">
        <v>53</v>
      </c>
      <c r="M2602" t="s">
        <v>53</v>
      </c>
      <c r="N2602" t="s">
        <v>53</v>
      </c>
      <c r="O2602" t="s">
        <v>53</v>
      </c>
      <c r="P2602" t="s">
        <v>53</v>
      </c>
      <c r="Q2602" t="s">
        <v>53</v>
      </c>
    </row>
    <row r="2603" spans="1:17" x14ac:dyDescent="0.2">
      <c r="A2603" s="30" t="str">
        <f>IF(C2603&amp;G2603&amp;D2603&lt;&gt;'Funnel setup'!$K$3&amp;'Funnel setup'!$K$4&amp;'Funnel setup'!$K$5,".",IF(A2602=".",1,A2602+1))</f>
        <v>.</v>
      </c>
      <c r="B2603" s="431" t="str">
        <f t="shared" si="40"/>
        <v>Hip Replacement RevisionCCG of GP PracticeNHS REDDITCH AND BROMSGROVE CCG (05J)EQ VAS</v>
      </c>
      <c r="C2603" t="s">
        <v>247</v>
      </c>
      <c r="D2603" t="s">
        <v>87</v>
      </c>
      <c r="E2603" t="s">
        <v>794</v>
      </c>
      <c r="F2603" t="s">
        <v>795</v>
      </c>
      <c r="G2603" t="s">
        <v>179</v>
      </c>
      <c r="H2603" t="s">
        <v>53</v>
      </c>
      <c r="I2603" t="s">
        <v>53</v>
      </c>
      <c r="J2603" t="s">
        <v>53</v>
      </c>
      <c r="K2603" t="s">
        <v>53</v>
      </c>
      <c r="L2603" t="s">
        <v>53</v>
      </c>
      <c r="M2603" t="s">
        <v>53</v>
      </c>
      <c r="N2603" t="s">
        <v>53</v>
      </c>
      <c r="O2603" t="s">
        <v>53</v>
      </c>
      <c r="P2603" t="s">
        <v>53</v>
      </c>
      <c r="Q2603" t="s">
        <v>53</v>
      </c>
    </row>
    <row r="2604" spans="1:17" x14ac:dyDescent="0.2">
      <c r="A2604" s="30" t="str">
        <f>IF(C2604&amp;G2604&amp;D2604&lt;&gt;'Funnel setup'!$K$3&amp;'Funnel setup'!$K$4&amp;'Funnel setup'!$K$5,".",IF(A2603=".",1,A2603+1))</f>
        <v>.</v>
      </c>
      <c r="B2604" s="431" t="str">
        <f t="shared" si="40"/>
        <v>Hip Replacement RevisionCCG of GP PracticeNHS RICHMOND CCG (08P)EQ VAS</v>
      </c>
      <c r="C2604" t="s">
        <v>247</v>
      </c>
      <c r="D2604" t="s">
        <v>87</v>
      </c>
      <c r="E2604" t="s">
        <v>797</v>
      </c>
      <c r="F2604" t="s">
        <v>798</v>
      </c>
      <c r="G2604" t="s">
        <v>179</v>
      </c>
      <c r="H2604">
        <v>6</v>
      </c>
      <c r="I2604">
        <v>67.5</v>
      </c>
      <c r="J2604">
        <v>76.332999999999998</v>
      </c>
      <c r="K2604">
        <v>8.8330000000000002</v>
      </c>
      <c r="L2604">
        <v>4</v>
      </c>
      <c r="M2604">
        <v>0</v>
      </c>
      <c r="N2604">
        <v>2</v>
      </c>
      <c r="O2604" t="s">
        <v>53</v>
      </c>
      <c r="P2604" t="s">
        <v>53</v>
      </c>
      <c r="Q2604" t="s">
        <v>53</v>
      </c>
    </row>
    <row r="2605" spans="1:17" x14ac:dyDescent="0.2">
      <c r="A2605" s="30" t="str">
        <f>IF(C2605&amp;G2605&amp;D2605&lt;&gt;'Funnel setup'!$K$3&amp;'Funnel setup'!$K$4&amp;'Funnel setup'!$K$5,".",IF(A2604=".",1,A2604+1))</f>
        <v>.</v>
      </c>
      <c r="B2605" s="431" t="str">
        <f t="shared" si="40"/>
        <v>Hip Replacement RevisionCCG of GP PracticeNHS ROTHERHAM CCG (03L)EQ VAS</v>
      </c>
      <c r="C2605" t="s">
        <v>247</v>
      </c>
      <c r="D2605" t="s">
        <v>87</v>
      </c>
      <c r="E2605" t="s">
        <v>800</v>
      </c>
      <c r="F2605" t="s">
        <v>801</v>
      </c>
      <c r="G2605" t="s">
        <v>179</v>
      </c>
      <c r="H2605">
        <v>15</v>
      </c>
      <c r="I2605">
        <v>70.066999999999993</v>
      </c>
      <c r="J2605">
        <v>74.533000000000001</v>
      </c>
      <c r="K2605">
        <v>4.4669999999999996</v>
      </c>
      <c r="L2605">
        <v>7</v>
      </c>
      <c r="M2605">
        <v>6</v>
      </c>
      <c r="N2605">
        <v>2</v>
      </c>
      <c r="O2605" t="s">
        <v>53</v>
      </c>
      <c r="P2605" t="s">
        <v>53</v>
      </c>
      <c r="Q2605" t="s">
        <v>53</v>
      </c>
    </row>
    <row r="2606" spans="1:17" x14ac:dyDescent="0.2">
      <c r="A2606" s="30" t="str">
        <f>IF(C2606&amp;G2606&amp;D2606&lt;&gt;'Funnel setup'!$K$3&amp;'Funnel setup'!$K$4&amp;'Funnel setup'!$K$5,".",IF(A2605=".",1,A2605+1))</f>
        <v>.</v>
      </c>
      <c r="B2606" s="431" t="str">
        <f t="shared" si="40"/>
        <v>Hip Replacement RevisionCCG of GP PracticeNHS RUSHCLIFFE CCG (04N)EQ VAS</v>
      </c>
      <c r="C2606" t="s">
        <v>247</v>
      </c>
      <c r="D2606" t="s">
        <v>87</v>
      </c>
      <c r="E2606" t="s">
        <v>803</v>
      </c>
      <c r="F2606" t="s">
        <v>804</v>
      </c>
      <c r="G2606" t="s">
        <v>179</v>
      </c>
      <c r="H2606">
        <v>7</v>
      </c>
      <c r="I2606">
        <v>64.286000000000001</v>
      </c>
      <c r="J2606">
        <v>75</v>
      </c>
      <c r="K2606">
        <v>10.714</v>
      </c>
      <c r="L2606">
        <v>4</v>
      </c>
      <c r="M2606">
        <v>3</v>
      </c>
      <c r="N2606">
        <v>0</v>
      </c>
      <c r="O2606" t="s">
        <v>53</v>
      </c>
      <c r="P2606" t="s">
        <v>53</v>
      </c>
      <c r="Q2606" t="s">
        <v>53</v>
      </c>
    </row>
    <row r="2607" spans="1:17" x14ac:dyDescent="0.2">
      <c r="A2607" s="30" t="str">
        <f>IF(C2607&amp;G2607&amp;D2607&lt;&gt;'Funnel setup'!$K$3&amp;'Funnel setup'!$K$4&amp;'Funnel setup'!$K$5,".",IF(A2606=".",1,A2606+1))</f>
        <v>.</v>
      </c>
      <c r="B2607" s="431" t="str">
        <f t="shared" si="40"/>
        <v>Hip Replacement RevisionCCG of GP PracticeNHS SALFORD CCG (01G)EQ VAS</v>
      </c>
      <c r="C2607" t="s">
        <v>247</v>
      </c>
      <c r="D2607" t="s">
        <v>87</v>
      </c>
      <c r="E2607" t="s">
        <v>806</v>
      </c>
      <c r="F2607" t="s">
        <v>807</v>
      </c>
      <c r="G2607" t="s">
        <v>179</v>
      </c>
      <c r="H2607" t="s">
        <v>53</v>
      </c>
      <c r="I2607" t="s">
        <v>53</v>
      </c>
      <c r="J2607" t="s">
        <v>53</v>
      </c>
      <c r="K2607" t="s">
        <v>53</v>
      </c>
      <c r="L2607" t="s">
        <v>53</v>
      </c>
      <c r="M2607" t="s">
        <v>53</v>
      </c>
      <c r="N2607" t="s">
        <v>53</v>
      </c>
      <c r="O2607" t="s">
        <v>53</v>
      </c>
      <c r="P2607" t="s">
        <v>53</v>
      </c>
      <c r="Q2607" t="s">
        <v>53</v>
      </c>
    </row>
    <row r="2608" spans="1:17" x14ac:dyDescent="0.2">
      <c r="A2608" s="30" t="str">
        <f>IF(C2608&amp;G2608&amp;D2608&lt;&gt;'Funnel setup'!$K$3&amp;'Funnel setup'!$K$4&amp;'Funnel setup'!$K$5,".",IF(A2607=".",1,A2607+1))</f>
        <v>.</v>
      </c>
      <c r="B2608" s="431" t="str">
        <f t="shared" si="40"/>
        <v>Hip Replacement RevisionCCG of GP PracticeNHS SANDWELL AND WEST BIRMINGHAM CCG (05L)EQ VAS</v>
      </c>
      <c r="C2608" t="s">
        <v>247</v>
      </c>
      <c r="D2608" t="s">
        <v>87</v>
      </c>
      <c r="E2608" t="s">
        <v>809</v>
      </c>
      <c r="F2608" t="s">
        <v>810</v>
      </c>
      <c r="G2608" t="s">
        <v>179</v>
      </c>
      <c r="H2608">
        <v>8</v>
      </c>
      <c r="I2608">
        <v>67.375</v>
      </c>
      <c r="J2608">
        <v>82.625</v>
      </c>
      <c r="K2608">
        <v>15.25</v>
      </c>
      <c r="L2608">
        <v>6</v>
      </c>
      <c r="M2608">
        <v>2</v>
      </c>
      <c r="N2608">
        <v>0</v>
      </c>
      <c r="O2608" t="s">
        <v>53</v>
      </c>
      <c r="P2608" t="s">
        <v>53</v>
      </c>
      <c r="Q2608" t="s">
        <v>53</v>
      </c>
    </row>
    <row r="2609" spans="1:17" x14ac:dyDescent="0.2">
      <c r="A2609" s="30" t="str">
        <f>IF(C2609&amp;G2609&amp;D2609&lt;&gt;'Funnel setup'!$K$3&amp;'Funnel setup'!$K$4&amp;'Funnel setup'!$K$5,".",IF(A2608=".",1,A2608+1))</f>
        <v>.</v>
      </c>
      <c r="B2609" s="431" t="str">
        <f t="shared" si="40"/>
        <v>Hip Replacement RevisionCCG of GP PracticeNHS SCARBOROUGH AND RYEDALE CCG (03M)EQ VAS</v>
      </c>
      <c r="C2609" t="s">
        <v>247</v>
      </c>
      <c r="D2609" t="s">
        <v>87</v>
      </c>
      <c r="E2609" t="s">
        <v>812</v>
      </c>
      <c r="F2609" t="s">
        <v>813</v>
      </c>
      <c r="G2609" t="s">
        <v>179</v>
      </c>
      <c r="H2609">
        <v>9</v>
      </c>
      <c r="I2609">
        <v>57.222000000000001</v>
      </c>
      <c r="J2609">
        <v>80.778000000000006</v>
      </c>
      <c r="K2609">
        <v>23.556000000000001</v>
      </c>
      <c r="L2609">
        <v>8</v>
      </c>
      <c r="M2609">
        <v>0</v>
      </c>
      <c r="N2609">
        <v>1</v>
      </c>
      <c r="O2609" t="s">
        <v>53</v>
      </c>
      <c r="P2609" t="s">
        <v>53</v>
      </c>
      <c r="Q2609" t="s">
        <v>53</v>
      </c>
    </row>
    <row r="2610" spans="1:17" x14ac:dyDescent="0.2">
      <c r="A2610" s="30" t="str">
        <f>IF(C2610&amp;G2610&amp;D2610&lt;&gt;'Funnel setup'!$K$3&amp;'Funnel setup'!$K$4&amp;'Funnel setup'!$K$5,".",IF(A2609=".",1,A2609+1))</f>
        <v>.</v>
      </c>
      <c r="B2610" s="431" t="str">
        <f t="shared" si="40"/>
        <v>Hip Replacement RevisionCCG of GP PracticeNHS SHEFFIELD CCG (03N)EQ VAS</v>
      </c>
      <c r="C2610" t="s">
        <v>247</v>
      </c>
      <c r="D2610" t="s">
        <v>87</v>
      </c>
      <c r="E2610" t="s">
        <v>815</v>
      </c>
      <c r="F2610" t="s">
        <v>816</v>
      </c>
      <c r="G2610" t="s">
        <v>179</v>
      </c>
      <c r="H2610">
        <v>11</v>
      </c>
      <c r="I2610">
        <v>61.908999999999999</v>
      </c>
      <c r="J2610">
        <v>68.364000000000004</v>
      </c>
      <c r="K2610">
        <v>6.4550000000000001</v>
      </c>
      <c r="L2610">
        <v>7</v>
      </c>
      <c r="M2610">
        <v>1</v>
      </c>
      <c r="N2610">
        <v>3</v>
      </c>
      <c r="O2610" t="s">
        <v>53</v>
      </c>
      <c r="P2610" t="s">
        <v>53</v>
      </c>
      <c r="Q2610" t="s">
        <v>53</v>
      </c>
    </row>
    <row r="2611" spans="1:17" x14ac:dyDescent="0.2">
      <c r="A2611" s="30" t="str">
        <f>IF(C2611&amp;G2611&amp;D2611&lt;&gt;'Funnel setup'!$K$3&amp;'Funnel setup'!$K$4&amp;'Funnel setup'!$K$5,".",IF(A2610=".",1,A2610+1))</f>
        <v>.</v>
      </c>
      <c r="B2611" s="431" t="str">
        <f t="shared" si="40"/>
        <v>Hip Replacement RevisionCCG of GP PracticeNHS SHROPSHIRE CCG (05N)EQ VAS</v>
      </c>
      <c r="C2611" t="s">
        <v>247</v>
      </c>
      <c r="D2611" t="s">
        <v>87</v>
      </c>
      <c r="E2611" t="s">
        <v>818</v>
      </c>
      <c r="F2611" t="s">
        <v>819</v>
      </c>
      <c r="G2611" t="s">
        <v>179</v>
      </c>
      <c r="H2611">
        <v>37</v>
      </c>
      <c r="I2611">
        <v>62.811</v>
      </c>
      <c r="J2611">
        <v>72.215999999999994</v>
      </c>
      <c r="K2611">
        <v>9.4049999999999994</v>
      </c>
      <c r="L2611">
        <v>23</v>
      </c>
      <c r="M2611">
        <v>4</v>
      </c>
      <c r="N2611">
        <v>10</v>
      </c>
      <c r="O2611">
        <v>70.123000000000005</v>
      </c>
      <c r="P2611">
        <v>5.3525494560000002</v>
      </c>
      <c r="Q2611">
        <v>18.204000000000001</v>
      </c>
    </row>
    <row r="2612" spans="1:17" x14ac:dyDescent="0.2">
      <c r="A2612" s="30" t="str">
        <f>IF(C2612&amp;G2612&amp;D2612&lt;&gt;'Funnel setup'!$K$3&amp;'Funnel setup'!$K$4&amp;'Funnel setup'!$K$5,".",IF(A2611=".",1,A2611+1))</f>
        <v>.</v>
      </c>
      <c r="B2612" s="431" t="str">
        <f t="shared" si="40"/>
        <v>Hip Replacement RevisionCCG of GP PracticeNHS SLOUGH CCG (10T)EQ VAS</v>
      </c>
      <c r="C2612" t="s">
        <v>247</v>
      </c>
      <c r="D2612" t="s">
        <v>87</v>
      </c>
      <c r="E2612" t="s">
        <v>821</v>
      </c>
      <c r="F2612" t="s">
        <v>822</v>
      </c>
      <c r="G2612" t="s">
        <v>179</v>
      </c>
      <c r="H2612" t="s">
        <v>53</v>
      </c>
      <c r="I2612" t="s">
        <v>53</v>
      </c>
      <c r="J2612" t="s">
        <v>53</v>
      </c>
      <c r="K2612" t="s">
        <v>53</v>
      </c>
      <c r="L2612" t="s">
        <v>53</v>
      </c>
      <c r="M2612" t="s">
        <v>53</v>
      </c>
      <c r="N2612" t="s">
        <v>53</v>
      </c>
      <c r="O2612" t="s">
        <v>53</v>
      </c>
      <c r="P2612" t="s">
        <v>53</v>
      </c>
      <c r="Q2612" t="s">
        <v>53</v>
      </c>
    </row>
    <row r="2613" spans="1:17" x14ac:dyDescent="0.2">
      <c r="A2613" s="30" t="str">
        <f>IF(C2613&amp;G2613&amp;D2613&lt;&gt;'Funnel setup'!$K$3&amp;'Funnel setup'!$K$4&amp;'Funnel setup'!$K$5,".",IF(A2612=".",1,A2612+1))</f>
        <v>.</v>
      </c>
      <c r="B2613" s="431" t="str">
        <f t="shared" si="40"/>
        <v>Hip Replacement RevisionCCG of GP PracticeNHS SOLIHULL CCG (05P)EQ VAS</v>
      </c>
      <c r="C2613" t="s">
        <v>247</v>
      </c>
      <c r="D2613" t="s">
        <v>87</v>
      </c>
      <c r="E2613" t="s">
        <v>824</v>
      </c>
      <c r="F2613" t="s">
        <v>825</v>
      </c>
      <c r="G2613" t="s">
        <v>179</v>
      </c>
      <c r="H2613">
        <v>10</v>
      </c>
      <c r="I2613">
        <v>53.5</v>
      </c>
      <c r="J2613">
        <v>57.5</v>
      </c>
      <c r="K2613">
        <v>4</v>
      </c>
      <c r="L2613">
        <v>5</v>
      </c>
      <c r="M2613">
        <v>1</v>
      </c>
      <c r="N2613">
        <v>4</v>
      </c>
      <c r="O2613" t="s">
        <v>53</v>
      </c>
      <c r="P2613" t="s">
        <v>53</v>
      </c>
      <c r="Q2613" t="s">
        <v>53</v>
      </c>
    </row>
    <row r="2614" spans="1:17" x14ac:dyDescent="0.2">
      <c r="A2614" s="30" t="str">
        <f>IF(C2614&amp;G2614&amp;D2614&lt;&gt;'Funnel setup'!$K$3&amp;'Funnel setup'!$K$4&amp;'Funnel setup'!$K$5,".",IF(A2613=".",1,A2613+1))</f>
        <v>.</v>
      </c>
      <c r="B2614" s="431" t="str">
        <f t="shared" si="40"/>
        <v>Hip Replacement RevisionCCG of GP PracticeNHS SOMERSET CCG (11X)EQ VAS</v>
      </c>
      <c r="C2614" t="s">
        <v>247</v>
      </c>
      <c r="D2614" t="s">
        <v>87</v>
      </c>
      <c r="E2614" t="s">
        <v>827</v>
      </c>
      <c r="F2614" t="s">
        <v>828</v>
      </c>
      <c r="G2614" t="s">
        <v>179</v>
      </c>
      <c r="H2614">
        <v>47</v>
      </c>
      <c r="I2614">
        <v>71.149000000000001</v>
      </c>
      <c r="J2614">
        <v>79.191000000000003</v>
      </c>
      <c r="K2614">
        <v>8.0429999999999993</v>
      </c>
      <c r="L2614">
        <v>25</v>
      </c>
      <c r="M2614">
        <v>7</v>
      </c>
      <c r="N2614">
        <v>15</v>
      </c>
      <c r="O2614">
        <v>76.495999999999995</v>
      </c>
      <c r="P2614">
        <v>11.72528501</v>
      </c>
      <c r="Q2614">
        <v>11.441000000000001</v>
      </c>
    </row>
    <row r="2615" spans="1:17" x14ac:dyDescent="0.2">
      <c r="A2615" s="30" t="str">
        <f>IF(C2615&amp;G2615&amp;D2615&lt;&gt;'Funnel setup'!$K$3&amp;'Funnel setup'!$K$4&amp;'Funnel setup'!$K$5,".",IF(A2614=".",1,A2614+1))</f>
        <v>.</v>
      </c>
      <c r="B2615" s="431" t="str">
        <f t="shared" si="40"/>
        <v>Hip Replacement RevisionCCG of GP PracticeNHS SOUTH CHESHIRE CCG (01R)EQ VAS</v>
      </c>
      <c r="C2615" t="s">
        <v>247</v>
      </c>
      <c r="D2615" t="s">
        <v>87</v>
      </c>
      <c r="E2615" t="s">
        <v>830</v>
      </c>
      <c r="F2615" t="s">
        <v>831</v>
      </c>
      <c r="G2615" t="s">
        <v>179</v>
      </c>
      <c r="H2615">
        <v>6</v>
      </c>
      <c r="I2615">
        <v>65</v>
      </c>
      <c r="J2615">
        <v>65.667000000000002</v>
      </c>
      <c r="K2615">
        <v>0.66700000000000004</v>
      </c>
      <c r="L2615">
        <v>3</v>
      </c>
      <c r="M2615">
        <v>0</v>
      </c>
      <c r="N2615">
        <v>3</v>
      </c>
      <c r="O2615" t="s">
        <v>53</v>
      </c>
      <c r="P2615" t="s">
        <v>53</v>
      </c>
      <c r="Q2615" t="s">
        <v>53</v>
      </c>
    </row>
    <row r="2616" spans="1:17" x14ac:dyDescent="0.2">
      <c r="A2616" s="30" t="str">
        <f>IF(C2616&amp;G2616&amp;D2616&lt;&gt;'Funnel setup'!$K$3&amp;'Funnel setup'!$K$4&amp;'Funnel setup'!$K$5,".",IF(A2615=".",1,A2615+1))</f>
        <v>.</v>
      </c>
      <c r="B2616" s="431" t="str">
        <f t="shared" si="40"/>
        <v>Hip Replacement RevisionCCG of GP PracticeNHS SOUTH DEVON AND TORBAY CCG (99Q)EQ VAS</v>
      </c>
      <c r="C2616" t="s">
        <v>247</v>
      </c>
      <c r="D2616" t="s">
        <v>87</v>
      </c>
      <c r="E2616" t="s">
        <v>833</v>
      </c>
      <c r="F2616" t="s">
        <v>834</v>
      </c>
      <c r="G2616" t="s">
        <v>179</v>
      </c>
      <c r="H2616">
        <v>29</v>
      </c>
      <c r="I2616">
        <v>72.759</v>
      </c>
      <c r="J2616">
        <v>70.102999999999994</v>
      </c>
      <c r="K2616">
        <v>-2.6549999999999998</v>
      </c>
      <c r="L2616">
        <v>13</v>
      </c>
      <c r="M2616">
        <v>2</v>
      </c>
      <c r="N2616">
        <v>14</v>
      </c>
      <c r="O2616" t="s">
        <v>53</v>
      </c>
      <c r="P2616" t="s">
        <v>53</v>
      </c>
      <c r="Q2616" t="s">
        <v>53</v>
      </c>
    </row>
    <row r="2617" spans="1:17" x14ac:dyDescent="0.2">
      <c r="A2617" s="30" t="str">
        <f>IF(C2617&amp;G2617&amp;D2617&lt;&gt;'Funnel setup'!$K$3&amp;'Funnel setup'!$K$4&amp;'Funnel setup'!$K$5,".",IF(A2616=".",1,A2616+1))</f>
        <v>.</v>
      </c>
      <c r="B2617" s="431" t="str">
        <f t="shared" si="40"/>
        <v>Hip Replacement RevisionCCG of GP PracticeNHS SOUTH EAST STAFFORDSHIRE AND SEISDON PENINSULA CCG (05Q)EQ VAS</v>
      </c>
      <c r="C2617" t="s">
        <v>247</v>
      </c>
      <c r="D2617" t="s">
        <v>87</v>
      </c>
      <c r="E2617" t="s">
        <v>836</v>
      </c>
      <c r="F2617" t="s">
        <v>837</v>
      </c>
      <c r="G2617" t="s">
        <v>179</v>
      </c>
      <c r="H2617">
        <v>8</v>
      </c>
      <c r="I2617">
        <v>63.125</v>
      </c>
      <c r="J2617">
        <v>71.75</v>
      </c>
      <c r="K2617">
        <v>8.625</v>
      </c>
      <c r="L2617">
        <v>5</v>
      </c>
      <c r="M2617">
        <v>1</v>
      </c>
      <c r="N2617">
        <v>2</v>
      </c>
      <c r="O2617" t="s">
        <v>53</v>
      </c>
      <c r="P2617" t="s">
        <v>53</v>
      </c>
      <c r="Q2617" t="s">
        <v>53</v>
      </c>
    </row>
    <row r="2618" spans="1:17" x14ac:dyDescent="0.2">
      <c r="A2618" s="30" t="str">
        <f>IF(C2618&amp;G2618&amp;D2618&lt;&gt;'Funnel setup'!$K$3&amp;'Funnel setup'!$K$4&amp;'Funnel setup'!$K$5,".",IF(A2617=".",1,A2617+1))</f>
        <v>.</v>
      </c>
      <c r="B2618" s="431" t="str">
        <f t="shared" si="40"/>
        <v>Hip Replacement RevisionCCG of GP PracticeNHS SOUTH EASTERN HAMPSHIRE CCG (10V)EQ VAS</v>
      </c>
      <c r="C2618" t="s">
        <v>247</v>
      </c>
      <c r="D2618" t="s">
        <v>87</v>
      </c>
      <c r="E2618" t="s">
        <v>839</v>
      </c>
      <c r="F2618" t="s">
        <v>840</v>
      </c>
      <c r="G2618" t="s">
        <v>179</v>
      </c>
      <c r="H2618">
        <v>7</v>
      </c>
      <c r="I2618">
        <v>52.286000000000001</v>
      </c>
      <c r="J2618">
        <v>65</v>
      </c>
      <c r="K2618">
        <v>12.714</v>
      </c>
      <c r="L2618">
        <v>5</v>
      </c>
      <c r="M2618">
        <v>1</v>
      </c>
      <c r="N2618">
        <v>1</v>
      </c>
      <c r="O2618" t="s">
        <v>53</v>
      </c>
      <c r="P2618" t="s">
        <v>53</v>
      </c>
      <c r="Q2618" t="s">
        <v>53</v>
      </c>
    </row>
    <row r="2619" spans="1:17" x14ac:dyDescent="0.2">
      <c r="A2619" s="30" t="str">
        <f>IF(C2619&amp;G2619&amp;D2619&lt;&gt;'Funnel setup'!$K$3&amp;'Funnel setup'!$K$4&amp;'Funnel setup'!$K$5,".",IF(A2618=".",1,A2618+1))</f>
        <v>.</v>
      </c>
      <c r="B2619" s="431" t="str">
        <f t="shared" si="40"/>
        <v>Hip Replacement RevisionCCG of GP PracticeNHS SOUTH GLOUCESTERSHIRE CCG (12A)EQ VAS</v>
      </c>
      <c r="C2619" t="s">
        <v>247</v>
      </c>
      <c r="D2619" t="s">
        <v>87</v>
      </c>
      <c r="E2619" t="s">
        <v>842</v>
      </c>
      <c r="F2619" t="s">
        <v>843</v>
      </c>
      <c r="G2619" t="s">
        <v>179</v>
      </c>
      <c r="H2619">
        <v>7</v>
      </c>
      <c r="I2619">
        <v>65</v>
      </c>
      <c r="J2619">
        <v>67.429000000000002</v>
      </c>
      <c r="K2619">
        <v>2.4289999999999998</v>
      </c>
      <c r="L2619">
        <v>2</v>
      </c>
      <c r="M2619">
        <v>2</v>
      </c>
      <c r="N2619">
        <v>3</v>
      </c>
      <c r="O2619" t="s">
        <v>53</v>
      </c>
      <c r="P2619" t="s">
        <v>53</v>
      </c>
      <c r="Q2619" t="s">
        <v>53</v>
      </c>
    </row>
    <row r="2620" spans="1:17" x14ac:dyDescent="0.2">
      <c r="A2620" s="30" t="str">
        <f>IF(C2620&amp;G2620&amp;D2620&lt;&gt;'Funnel setup'!$K$3&amp;'Funnel setup'!$K$4&amp;'Funnel setup'!$K$5,".",IF(A2619=".",1,A2619+1))</f>
        <v>.</v>
      </c>
      <c r="B2620" s="431" t="str">
        <f t="shared" si="40"/>
        <v>Hip Replacement RevisionCCG of GP PracticeNHS SOUTH KENT COAST CCG (10A)EQ VAS</v>
      </c>
      <c r="C2620" t="s">
        <v>247</v>
      </c>
      <c r="D2620" t="s">
        <v>87</v>
      </c>
      <c r="E2620" t="s">
        <v>845</v>
      </c>
      <c r="F2620" t="s">
        <v>846</v>
      </c>
      <c r="G2620" t="s">
        <v>179</v>
      </c>
      <c r="H2620">
        <v>8</v>
      </c>
      <c r="I2620">
        <v>54.5</v>
      </c>
      <c r="J2620">
        <v>66.875</v>
      </c>
      <c r="K2620">
        <v>12.375</v>
      </c>
      <c r="L2620">
        <v>5</v>
      </c>
      <c r="M2620">
        <v>1</v>
      </c>
      <c r="N2620">
        <v>2</v>
      </c>
      <c r="O2620" t="s">
        <v>53</v>
      </c>
      <c r="P2620" t="s">
        <v>53</v>
      </c>
      <c r="Q2620" t="s">
        <v>53</v>
      </c>
    </row>
    <row r="2621" spans="1:17" x14ac:dyDescent="0.2">
      <c r="A2621" s="30" t="str">
        <f>IF(C2621&amp;G2621&amp;D2621&lt;&gt;'Funnel setup'!$K$3&amp;'Funnel setup'!$K$4&amp;'Funnel setup'!$K$5,".",IF(A2620=".",1,A2620+1))</f>
        <v>.</v>
      </c>
      <c r="B2621" s="431" t="str">
        <f t="shared" si="40"/>
        <v>Hip Replacement RevisionCCG of GP PracticeNHS SOUTH LINCOLNSHIRE CCG (99D)EQ VAS</v>
      </c>
      <c r="C2621" t="s">
        <v>247</v>
      </c>
      <c r="D2621" t="s">
        <v>87</v>
      </c>
      <c r="E2621" t="s">
        <v>848</v>
      </c>
      <c r="F2621" t="s">
        <v>849</v>
      </c>
      <c r="G2621" t="s">
        <v>179</v>
      </c>
      <c r="H2621">
        <v>6</v>
      </c>
      <c r="I2621">
        <v>68.332999999999998</v>
      </c>
      <c r="J2621">
        <v>69.167000000000002</v>
      </c>
      <c r="K2621">
        <v>0.83299999999999996</v>
      </c>
      <c r="L2621">
        <v>1</v>
      </c>
      <c r="M2621">
        <v>2</v>
      </c>
      <c r="N2621">
        <v>3</v>
      </c>
      <c r="O2621" t="s">
        <v>53</v>
      </c>
      <c r="P2621" t="s">
        <v>53</v>
      </c>
      <c r="Q2621" t="s">
        <v>53</v>
      </c>
    </row>
    <row r="2622" spans="1:17" x14ac:dyDescent="0.2">
      <c r="A2622" s="30" t="str">
        <f>IF(C2622&amp;G2622&amp;D2622&lt;&gt;'Funnel setup'!$K$3&amp;'Funnel setup'!$K$4&amp;'Funnel setup'!$K$5,".",IF(A2621=".",1,A2621+1))</f>
        <v>.</v>
      </c>
      <c r="B2622" s="431" t="str">
        <f t="shared" si="40"/>
        <v>Hip Replacement RevisionCCG of GP PracticeNHS SOUTH MANCHESTER CCG (01N)EQ VAS</v>
      </c>
      <c r="C2622" t="s">
        <v>247</v>
      </c>
      <c r="D2622" t="s">
        <v>87</v>
      </c>
      <c r="E2622" t="s">
        <v>851</v>
      </c>
      <c r="F2622" t="s">
        <v>852</v>
      </c>
      <c r="G2622" t="s">
        <v>179</v>
      </c>
      <c r="H2622" t="s">
        <v>53</v>
      </c>
      <c r="I2622" t="s">
        <v>53</v>
      </c>
      <c r="J2622" t="s">
        <v>53</v>
      </c>
      <c r="K2622" t="s">
        <v>53</v>
      </c>
      <c r="L2622" t="s">
        <v>53</v>
      </c>
      <c r="M2622" t="s">
        <v>53</v>
      </c>
      <c r="N2622" t="s">
        <v>53</v>
      </c>
      <c r="O2622" t="s">
        <v>53</v>
      </c>
      <c r="P2622" t="s">
        <v>53</v>
      </c>
      <c r="Q2622" t="s">
        <v>53</v>
      </c>
    </row>
    <row r="2623" spans="1:17" x14ac:dyDescent="0.2">
      <c r="A2623" s="30" t="str">
        <f>IF(C2623&amp;G2623&amp;D2623&lt;&gt;'Funnel setup'!$K$3&amp;'Funnel setup'!$K$4&amp;'Funnel setup'!$K$5,".",IF(A2622=".",1,A2622+1))</f>
        <v>.</v>
      </c>
      <c r="B2623" s="431" t="str">
        <f t="shared" si="40"/>
        <v>Hip Replacement RevisionCCG of GP PracticeNHS SOUTH NORFOLK CCG (06Y)EQ VAS</v>
      </c>
      <c r="C2623" t="s">
        <v>247</v>
      </c>
      <c r="D2623" t="s">
        <v>87</v>
      </c>
      <c r="E2623" t="s">
        <v>932</v>
      </c>
      <c r="F2623" t="s">
        <v>933</v>
      </c>
      <c r="G2623" t="s">
        <v>179</v>
      </c>
      <c r="H2623">
        <v>18</v>
      </c>
      <c r="I2623">
        <v>65.721999999999994</v>
      </c>
      <c r="J2623">
        <v>71.388999999999996</v>
      </c>
      <c r="K2623">
        <v>5.6669999999999998</v>
      </c>
      <c r="L2623">
        <v>10</v>
      </c>
      <c r="M2623">
        <v>3</v>
      </c>
      <c r="N2623">
        <v>5</v>
      </c>
      <c r="O2623" t="s">
        <v>53</v>
      </c>
      <c r="P2623" t="s">
        <v>53</v>
      </c>
      <c r="Q2623" t="s">
        <v>53</v>
      </c>
    </row>
    <row r="2624" spans="1:17" x14ac:dyDescent="0.2">
      <c r="A2624" s="30" t="str">
        <f>IF(C2624&amp;G2624&amp;D2624&lt;&gt;'Funnel setup'!$K$3&amp;'Funnel setup'!$K$4&amp;'Funnel setup'!$K$5,".",IF(A2623=".",1,A2623+1))</f>
        <v>.</v>
      </c>
      <c r="B2624" s="431" t="str">
        <f t="shared" si="40"/>
        <v>Hip Replacement RevisionCCG of GP PracticeNHS SOUTH READING CCG (10W)EQ VAS</v>
      </c>
      <c r="C2624" t="s">
        <v>247</v>
      </c>
      <c r="D2624" t="s">
        <v>87</v>
      </c>
      <c r="E2624" t="s">
        <v>935</v>
      </c>
      <c r="F2624" t="s">
        <v>936</v>
      </c>
      <c r="G2624" t="s">
        <v>179</v>
      </c>
      <c r="H2624" t="s">
        <v>53</v>
      </c>
      <c r="I2624" t="s">
        <v>53</v>
      </c>
      <c r="J2624" t="s">
        <v>53</v>
      </c>
      <c r="K2624" t="s">
        <v>53</v>
      </c>
      <c r="L2624" t="s">
        <v>53</v>
      </c>
      <c r="M2624" t="s">
        <v>53</v>
      </c>
      <c r="N2624" t="s">
        <v>53</v>
      </c>
      <c r="O2624" t="s">
        <v>53</v>
      </c>
      <c r="P2624" t="s">
        <v>53</v>
      </c>
      <c r="Q2624" t="s">
        <v>53</v>
      </c>
    </row>
    <row r="2625" spans="1:17" x14ac:dyDescent="0.2">
      <c r="A2625" s="30" t="str">
        <f>IF(C2625&amp;G2625&amp;D2625&lt;&gt;'Funnel setup'!$K$3&amp;'Funnel setup'!$K$4&amp;'Funnel setup'!$K$5,".",IF(A2624=".",1,A2624+1))</f>
        <v>.</v>
      </c>
      <c r="B2625" s="431" t="str">
        <f t="shared" si="40"/>
        <v>Hip Replacement RevisionCCG of GP PracticeNHS SOUTH SEFTON CCG (01T)EQ VAS</v>
      </c>
      <c r="C2625" t="s">
        <v>247</v>
      </c>
      <c r="D2625" t="s">
        <v>87</v>
      </c>
      <c r="E2625" t="s">
        <v>938</v>
      </c>
      <c r="F2625" t="s">
        <v>939</v>
      </c>
      <c r="G2625" t="s">
        <v>179</v>
      </c>
      <c r="H2625">
        <v>9</v>
      </c>
      <c r="I2625">
        <v>57.222000000000001</v>
      </c>
      <c r="J2625">
        <v>65.221999999999994</v>
      </c>
      <c r="K2625">
        <v>8</v>
      </c>
      <c r="L2625">
        <v>4</v>
      </c>
      <c r="M2625">
        <v>2</v>
      </c>
      <c r="N2625">
        <v>3</v>
      </c>
      <c r="O2625" t="s">
        <v>53</v>
      </c>
      <c r="P2625" t="s">
        <v>53</v>
      </c>
      <c r="Q2625" t="s">
        <v>53</v>
      </c>
    </row>
    <row r="2626" spans="1:17" x14ac:dyDescent="0.2">
      <c r="A2626" s="30" t="str">
        <f>IF(C2626&amp;G2626&amp;D2626&lt;&gt;'Funnel setup'!$K$3&amp;'Funnel setup'!$K$4&amp;'Funnel setup'!$K$5,".",IF(A2625=".",1,A2625+1))</f>
        <v>.</v>
      </c>
      <c r="B2626" s="431" t="str">
        <f t="shared" si="40"/>
        <v>Hip Replacement RevisionCCG of GP PracticeNHS SOUTH TEES CCG (00M)EQ VAS</v>
      </c>
      <c r="C2626" t="s">
        <v>247</v>
      </c>
      <c r="D2626" t="s">
        <v>87</v>
      </c>
      <c r="E2626" t="s">
        <v>941</v>
      </c>
      <c r="F2626" t="s">
        <v>942</v>
      </c>
      <c r="G2626" t="s">
        <v>179</v>
      </c>
      <c r="H2626">
        <v>17</v>
      </c>
      <c r="I2626">
        <v>70.528999999999996</v>
      </c>
      <c r="J2626">
        <v>59.118000000000002</v>
      </c>
      <c r="K2626">
        <v>-11.412000000000001</v>
      </c>
      <c r="L2626">
        <v>5</v>
      </c>
      <c r="M2626">
        <v>2</v>
      </c>
      <c r="N2626">
        <v>10</v>
      </c>
      <c r="O2626" t="s">
        <v>53</v>
      </c>
      <c r="P2626" t="s">
        <v>53</v>
      </c>
      <c r="Q2626" t="s">
        <v>53</v>
      </c>
    </row>
    <row r="2627" spans="1:17" x14ac:dyDescent="0.2">
      <c r="A2627" s="30" t="str">
        <f>IF(C2627&amp;G2627&amp;D2627&lt;&gt;'Funnel setup'!$K$3&amp;'Funnel setup'!$K$4&amp;'Funnel setup'!$K$5,".",IF(A2626=".",1,A2626+1))</f>
        <v>.</v>
      </c>
      <c r="B2627" s="431" t="str">
        <f t="shared" ref="B2627:B2690" si="41">C2627&amp;D2627&amp;F2627&amp;G2627</f>
        <v>Hip Replacement RevisionCCG of GP PracticeNHS SOUTH TYNESIDE CCG (00N)EQ VAS</v>
      </c>
      <c r="C2627" t="s">
        <v>247</v>
      </c>
      <c r="D2627" t="s">
        <v>87</v>
      </c>
      <c r="E2627" t="s">
        <v>1016</v>
      </c>
      <c r="F2627" t="s">
        <v>1017</v>
      </c>
      <c r="G2627" t="s">
        <v>179</v>
      </c>
      <c r="H2627">
        <v>6</v>
      </c>
      <c r="I2627">
        <v>54.667000000000002</v>
      </c>
      <c r="J2627">
        <v>45</v>
      </c>
      <c r="K2627">
        <v>-9.6669999999999998</v>
      </c>
      <c r="L2627">
        <v>2</v>
      </c>
      <c r="M2627">
        <v>1</v>
      </c>
      <c r="N2627">
        <v>3</v>
      </c>
      <c r="O2627" t="s">
        <v>53</v>
      </c>
      <c r="P2627" t="s">
        <v>53</v>
      </c>
      <c r="Q2627" t="s">
        <v>53</v>
      </c>
    </row>
    <row r="2628" spans="1:17" x14ac:dyDescent="0.2">
      <c r="A2628" s="30" t="str">
        <f>IF(C2628&amp;G2628&amp;D2628&lt;&gt;'Funnel setup'!$K$3&amp;'Funnel setup'!$K$4&amp;'Funnel setup'!$K$5,".",IF(A2627=".",1,A2627+1))</f>
        <v>.</v>
      </c>
      <c r="B2628" s="431" t="str">
        <f t="shared" si="41"/>
        <v>Hip Replacement RevisionCCG of GP PracticeNHS SOUTH WARWICKSHIRE CCG (05R)EQ VAS</v>
      </c>
      <c r="C2628" t="s">
        <v>247</v>
      </c>
      <c r="D2628" t="s">
        <v>87</v>
      </c>
      <c r="E2628" t="s">
        <v>944</v>
      </c>
      <c r="F2628" t="s">
        <v>945</v>
      </c>
      <c r="G2628" t="s">
        <v>179</v>
      </c>
      <c r="H2628">
        <v>15</v>
      </c>
      <c r="I2628">
        <v>62.133000000000003</v>
      </c>
      <c r="J2628">
        <v>66.667000000000002</v>
      </c>
      <c r="K2628">
        <v>4.5330000000000004</v>
      </c>
      <c r="L2628">
        <v>8</v>
      </c>
      <c r="M2628">
        <v>1</v>
      </c>
      <c r="N2628">
        <v>6</v>
      </c>
      <c r="O2628" t="s">
        <v>53</v>
      </c>
      <c r="P2628" t="s">
        <v>53</v>
      </c>
      <c r="Q2628" t="s">
        <v>53</v>
      </c>
    </row>
    <row r="2629" spans="1:17" x14ac:dyDescent="0.2">
      <c r="A2629" s="30" t="str">
        <f>IF(C2629&amp;G2629&amp;D2629&lt;&gt;'Funnel setup'!$K$3&amp;'Funnel setup'!$K$4&amp;'Funnel setup'!$K$5,".",IF(A2628=".",1,A2628+1))</f>
        <v>.</v>
      </c>
      <c r="B2629" s="431" t="str">
        <f t="shared" si="41"/>
        <v>Hip Replacement RevisionCCG of GP PracticeNHS SOUTH WEST LINCOLNSHIRE CCG (04Q)EQ VAS</v>
      </c>
      <c r="C2629" t="s">
        <v>247</v>
      </c>
      <c r="D2629" t="s">
        <v>87</v>
      </c>
      <c r="E2629" t="s">
        <v>947</v>
      </c>
      <c r="F2629" t="s">
        <v>948</v>
      </c>
      <c r="G2629" t="s">
        <v>179</v>
      </c>
      <c r="H2629" t="s">
        <v>53</v>
      </c>
      <c r="I2629" t="s">
        <v>53</v>
      </c>
      <c r="J2629" t="s">
        <v>53</v>
      </c>
      <c r="K2629" t="s">
        <v>53</v>
      </c>
      <c r="L2629" t="s">
        <v>53</v>
      </c>
      <c r="M2629" t="s">
        <v>53</v>
      </c>
      <c r="N2629" t="s">
        <v>53</v>
      </c>
      <c r="O2629" t="s">
        <v>53</v>
      </c>
      <c r="P2629" t="s">
        <v>53</v>
      </c>
      <c r="Q2629" t="s">
        <v>53</v>
      </c>
    </row>
    <row r="2630" spans="1:17" x14ac:dyDescent="0.2">
      <c r="A2630" s="30" t="str">
        <f>IF(C2630&amp;G2630&amp;D2630&lt;&gt;'Funnel setup'!$K$3&amp;'Funnel setup'!$K$4&amp;'Funnel setup'!$K$5,".",IF(A2629=".",1,A2629+1))</f>
        <v>.</v>
      </c>
      <c r="B2630" s="431" t="str">
        <f t="shared" si="41"/>
        <v>Hip Replacement RevisionCCG of GP PracticeNHS SOUTH WORCESTERSHIRE CCG (05T)EQ VAS</v>
      </c>
      <c r="C2630" t="s">
        <v>247</v>
      </c>
      <c r="D2630" t="s">
        <v>87</v>
      </c>
      <c r="E2630" t="s">
        <v>950</v>
      </c>
      <c r="F2630" t="s">
        <v>951</v>
      </c>
      <c r="G2630" t="s">
        <v>179</v>
      </c>
      <c r="H2630">
        <v>15</v>
      </c>
      <c r="I2630">
        <v>59.533000000000001</v>
      </c>
      <c r="J2630">
        <v>74.132999999999996</v>
      </c>
      <c r="K2630">
        <v>14.6</v>
      </c>
      <c r="L2630">
        <v>11</v>
      </c>
      <c r="M2630">
        <v>0</v>
      </c>
      <c r="N2630">
        <v>4</v>
      </c>
      <c r="O2630" t="s">
        <v>53</v>
      </c>
      <c r="P2630" t="s">
        <v>53</v>
      </c>
      <c r="Q2630" t="s">
        <v>53</v>
      </c>
    </row>
    <row r="2631" spans="1:17" x14ac:dyDescent="0.2">
      <c r="A2631" s="30" t="str">
        <f>IF(C2631&amp;G2631&amp;D2631&lt;&gt;'Funnel setup'!$K$3&amp;'Funnel setup'!$K$4&amp;'Funnel setup'!$K$5,".",IF(A2630=".",1,A2630+1))</f>
        <v>.</v>
      </c>
      <c r="B2631" s="431" t="str">
        <f t="shared" si="41"/>
        <v>Hip Replacement RevisionCCG of GP PracticeNHS SOUTHAMPTON CCG (10X)EQ VAS</v>
      </c>
      <c r="C2631" t="s">
        <v>247</v>
      </c>
      <c r="D2631" t="s">
        <v>87</v>
      </c>
      <c r="E2631" t="s">
        <v>953</v>
      </c>
      <c r="F2631" t="s">
        <v>954</v>
      </c>
      <c r="G2631" t="s">
        <v>179</v>
      </c>
      <c r="H2631">
        <v>13</v>
      </c>
      <c r="I2631">
        <v>52.537999999999997</v>
      </c>
      <c r="J2631">
        <v>68.769000000000005</v>
      </c>
      <c r="K2631">
        <v>16.231000000000002</v>
      </c>
      <c r="L2631">
        <v>9</v>
      </c>
      <c r="M2631">
        <v>1</v>
      </c>
      <c r="N2631">
        <v>3</v>
      </c>
      <c r="O2631" t="s">
        <v>53</v>
      </c>
      <c r="P2631" t="s">
        <v>53</v>
      </c>
      <c r="Q2631" t="s">
        <v>53</v>
      </c>
    </row>
    <row r="2632" spans="1:17" x14ac:dyDescent="0.2">
      <c r="A2632" s="30" t="str">
        <f>IF(C2632&amp;G2632&amp;D2632&lt;&gt;'Funnel setup'!$K$3&amp;'Funnel setup'!$K$4&amp;'Funnel setup'!$K$5,".",IF(A2631=".",1,A2631+1))</f>
        <v>.</v>
      </c>
      <c r="B2632" s="431" t="str">
        <f t="shared" si="41"/>
        <v>Hip Replacement RevisionCCG of GP PracticeNHS SOUTHEND CCG (99G)EQ VAS</v>
      </c>
      <c r="C2632" t="s">
        <v>247</v>
      </c>
      <c r="D2632" t="s">
        <v>87</v>
      </c>
      <c r="E2632" t="s">
        <v>956</v>
      </c>
      <c r="F2632" t="s">
        <v>957</v>
      </c>
      <c r="G2632" t="s">
        <v>179</v>
      </c>
      <c r="H2632" t="s">
        <v>53</v>
      </c>
      <c r="I2632" t="s">
        <v>53</v>
      </c>
      <c r="J2632" t="s">
        <v>53</v>
      </c>
      <c r="K2632" t="s">
        <v>53</v>
      </c>
      <c r="L2632" t="s">
        <v>53</v>
      </c>
      <c r="M2632" t="s">
        <v>53</v>
      </c>
      <c r="N2632" t="s">
        <v>53</v>
      </c>
      <c r="O2632" t="s">
        <v>53</v>
      </c>
      <c r="P2632" t="s">
        <v>53</v>
      </c>
      <c r="Q2632" t="s">
        <v>53</v>
      </c>
    </row>
    <row r="2633" spans="1:17" x14ac:dyDescent="0.2">
      <c r="A2633" s="30" t="str">
        <f>IF(C2633&amp;G2633&amp;D2633&lt;&gt;'Funnel setup'!$K$3&amp;'Funnel setup'!$K$4&amp;'Funnel setup'!$K$5,".",IF(A2632=".",1,A2632+1))</f>
        <v>.</v>
      </c>
      <c r="B2633" s="431" t="str">
        <f t="shared" si="41"/>
        <v>Hip Replacement RevisionCCG of GP PracticeNHS SOUTHERN DERBYSHIRE CCG (04R)EQ VAS</v>
      </c>
      <c r="C2633" t="s">
        <v>247</v>
      </c>
      <c r="D2633" t="s">
        <v>87</v>
      </c>
      <c r="E2633" t="s">
        <v>959</v>
      </c>
      <c r="F2633" t="s">
        <v>960</v>
      </c>
      <c r="G2633" t="s">
        <v>179</v>
      </c>
      <c r="H2633">
        <v>21</v>
      </c>
      <c r="I2633">
        <v>66.905000000000001</v>
      </c>
      <c r="J2633">
        <v>70.332999999999998</v>
      </c>
      <c r="K2633">
        <v>3.4289999999999998</v>
      </c>
      <c r="L2633">
        <v>10</v>
      </c>
      <c r="M2633">
        <v>4</v>
      </c>
      <c r="N2633">
        <v>7</v>
      </c>
      <c r="O2633" t="s">
        <v>53</v>
      </c>
      <c r="P2633" t="s">
        <v>53</v>
      </c>
      <c r="Q2633" t="s">
        <v>53</v>
      </c>
    </row>
    <row r="2634" spans="1:17" x14ac:dyDescent="0.2">
      <c r="A2634" s="30" t="str">
        <f>IF(C2634&amp;G2634&amp;D2634&lt;&gt;'Funnel setup'!$K$3&amp;'Funnel setup'!$K$4&amp;'Funnel setup'!$K$5,".",IF(A2633=".",1,A2633+1))</f>
        <v>.</v>
      </c>
      <c r="B2634" s="431" t="str">
        <f t="shared" si="41"/>
        <v>Hip Replacement RevisionCCG of GP PracticeNHS SOUTHPORT AND FORMBY CCG (01V)EQ VAS</v>
      </c>
      <c r="C2634" t="s">
        <v>247</v>
      </c>
      <c r="D2634" t="s">
        <v>87</v>
      </c>
      <c r="E2634" t="s">
        <v>962</v>
      </c>
      <c r="F2634" t="s">
        <v>963</v>
      </c>
      <c r="G2634" t="s">
        <v>179</v>
      </c>
      <c r="H2634" t="s">
        <v>53</v>
      </c>
      <c r="I2634" t="s">
        <v>53</v>
      </c>
      <c r="J2634" t="s">
        <v>53</v>
      </c>
      <c r="K2634" t="s">
        <v>53</v>
      </c>
      <c r="L2634" t="s">
        <v>53</v>
      </c>
      <c r="M2634" t="s">
        <v>53</v>
      </c>
      <c r="N2634" t="s">
        <v>53</v>
      </c>
      <c r="O2634" t="s">
        <v>53</v>
      </c>
      <c r="P2634" t="s">
        <v>53</v>
      </c>
      <c r="Q2634" t="s">
        <v>53</v>
      </c>
    </row>
    <row r="2635" spans="1:17" x14ac:dyDescent="0.2">
      <c r="A2635" s="30" t="str">
        <f>IF(C2635&amp;G2635&amp;D2635&lt;&gt;'Funnel setup'!$K$3&amp;'Funnel setup'!$K$4&amp;'Funnel setup'!$K$5,".",IF(A2634=".",1,A2634+1))</f>
        <v>.</v>
      </c>
      <c r="B2635" s="431" t="str">
        <f t="shared" si="41"/>
        <v>Hip Replacement RevisionCCG of GP PracticeNHS SOUTHWARK CCG (08Q)EQ VAS</v>
      </c>
      <c r="C2635" t="s">
        <v>247</v>
      </c>
      <c r="D2635" t="s">
        <v>87</v>
      </c>
      <c r="E2635" t="s">
        <v>965</v>
      </c>
      <c r="F2635" t="s">
        <v>966</v>
      </c>
      <c r="G2635" t="s">
        <v>179</v>
      </c>
      <c r="H2635" t="s">
        <v>53</v>
      </c>
      <c r="I2635" t="s">
        <v>53</v>
      </c>
      <c r="J2635" t="s">
        <v>53</v>
      </c>
      <c r="K2635" t="s">
        <v>53</v>
      </c>
      <c r="L2635" t="s">
        <v>53</v>
      </c>
      <c r="M2635" t="s">
        <v>53</v>
      </c>
      <c r="N2635" t="s">
        <v>53</v>
      </c>
      <c r="O2635" t="s">
        <v>53</v>
      </c>
      <c r="P2635" t="s">
        <v>53</v>
      </c>
      <c r="Q2635" t="s">
        <v>53</v>
      </c>
    </row>
    <row r="2636" spans="1:17" x14ac:dyDescent="0.2">
      <c r="A2636" s="30" t="str">
        <f>IF(C2636&amp;G2636&amp;D2636&lt;&gt;'Funnel setup'!$K$3&amp;'Funnel setup'!$K$4&amp;'Funnel setup'!$K$5,".",IF(A2635=".",1,A2635+1))</f>
        <v>.</v>
      </c>
      <c r="B2636" s="431" t="str">
        <f t="shared" si="41"/>
        <v>Hip Replacement RevisionCCG of GP PracticeNHS ST HELENS CCG (01X)EQ VAS</v>
      </c>
      <c r="C2636" t="s">
        <v>247</v>
      </c>
      <c r="D2636" t="s">
        <v>87</v>
      </c>
      <c r="E2636" t="s">
        <v>968</v>
      </c>
      <c r="F2636" t="s">
        <v>969</v>
      </c>
      <c r="G2636" t="s">
        <v>179</v>
      </c>
      <c r="H2636">
        <v>12</v>
      </c>
      <c r="I2636">
        <v>64.582999999999998</v>
      </c>
      <c r="J2636">
        <v>64.582999999999998</v>
      </c>
      <c r="K2636">
        <v>0</v>
      </c>
      <c r="L2636">
        <v>7</v>
      </c>
      <c r="M2636">
        <v>0</v>
      </c>
      <c r="N2636">
        <v>5</v>
      </c>
      <c r="O2636" t="s">
        <v>53</v>
      </c>
      <c r="P2636" t="s">
        <v>53</v>
      </c>
      <c r="Q2636" t="s">
        <v>53</v>
      </c>
    </row>
    <row r="2637" spans="1:17" x14ac:dyDescent="0.2">
      <c r="A2637" s="30" t="str">
        <f>IF(C2637&amp;G2637&amp;D2637&lt;&gt;'Funnel setup'!$K$3&amp;'Funnel setup'!$K$4&amp;'Funnel setup'!$K$5,".",IF(A2636=".",1,A2636+1))</f>
        <v>.</v>
      </c>
      <c r="B2637" s="431" t="str">
        <f t="shared" si="41"/>
        <v>Hip Replacement RevisionCCG of GP PracticeNHS STAFFORD AND SURROUNDS CCG (05V)EQ VAS</v>
      </c>
      <c r="C2637" t="s">
        <v>247</v>
      </c>
      <c r="D2637" t="s">
        <v>87</v>
      </c>
      <c r="E2637" t="s">
        <v>971</v>
      </c>
      <c r="F2637" t="s">
        <v>972</v>
      </c>
      <c r="G2637" t="s">
        <v>179</v>
      </c>
      <c r="H2637">
        <v>10</v>
      </c>
      <c r="I2637">
        <v>66.8</v>
      </c>
      <c r="J2637">
        <v>78.2</v>
      </c>
      <c r="K2637">
        <v>11.4</v>
      </c>
      <c r="L2637">
        <v>7</v>
      </c>
      <c r="M2637">
        <v>1</v>
      </c>
      <c r="N2637">
        <v>2</v>
      </c>
      <c r="O2637" t="s">
        <v>53</v>
      </c>
      <c r="P2637" t="s">
        <v>53</v>
      </c>
      <c r="Q2637" t="s">
        <v>53</v>
      </c>
    </row>
    <row r="2638" spans="1:17" x14ac:dyDescent="0.2">
      <c r="A2638" s="30" t="str">
        <f>IF(C2638&amp;G2638&amp;D2638&lt;&gt;'Funnel setup'!$K$3&amp;'Funnel setup'!$K$4&amp;'Funnel setup'!$K$5,".",IF(A2637=".",1,A2637+1))</f>
        <v>.</v>
      </c>
      <c r="B2638" s="431" t="str">
        <f t="shared" si="41"/>
        <v>Hip Replacement RevisionCCG of GP PracticeNHS STOCKPORT CCG (01W)EQ VAS</v>
      </c>
      <c r="C2638" t="s">
        <v>247</v>
      </c>
      <c r="D2638" t="s">
        <v>87</v>
      </c>
      <c r="E2638" t="s">
        <v>974</v>
      </c>
      <c r="F2638" t="s">
        <v>975</v>
      </c>
      <c r="G2638" t="s">
        <v>179</v>
      </c>
      <c r="H2638" t="s">
        <v>53</v>
      </c>
      <c r="I2638" t="s">
        <v>53</v>
      </c>
      <c r="J2638" t="s">
        <v>53</v>
      </c>
      <c r="K2638" t="s">
        <v>53</v>
      </c>
      <c r="L2638" t="s">
        <v>53</v>
      </c>
      <c r="M2638" t="s">
        <v>53</v>
      </c>
      <c r="N2638" t="s">
        <v>53</v>
      </c>
      <c r="O2638" t="s">
        <v>53</v>
      </c>
      <c r="P2638" t="s">
        <v>53</v>
      </c>
      <c r="Q2638" t="s">
        <v>53</v>
      </c>
    </row>
    <row r="2639" spans="1:17" x14ac:dyDescent="0.2">
      <c r="A2639" s="30" t="str">
        <f>IF(C2639&amp;G2639&amp;D2639&lt;&gt;'Funnel setup'!$K$3&amp;'Funnel setup'!$K$4&amp;'Funnel setup'!$K$5,".",IF(A2638=".",1,A2638+1))</f>
        <v>.</v>
      </c>
      <c r="B2639" s="431" t="str">
        <f t="shared" si="41"/>
        <v>Hip Replacement RevisionCCG of GP PracticeNHS STOKE ON TRENT CCG (05W)EQ VAS</v>
      </c>
      <c r="C2639" t="s">
        <v>247</v>
      </c>
      <c r="D2639" t="s">
        <v>87</v>
      </c>
      <c r="E2639" t="s">
        <v>977</v>
      </c>
      <c r="F2639" t="s">
        <v>978</v>
      </c>
      <c r="G2639" t="s">
        <v>179</v>
      </c>
      <c r="H2639" t="s">
        <v>53</v>
      </c>
      <c r="I2639" t="s">
        <v>53</v>
      </c>
      <c r="J2639" t="s">
        <v>53</v>
      </c>
      <c r="K2639" t="s">
        <v>53</v>
      </c>
      <c r="L2639" t="s">
        <v>53</v>
      </c>
      <c r="M2639" t="s">
        <v>53</v>
      </c>
      <c r="N2639" t="s">
        <v>53</v>
      </c>
      <c r="O2639" t="s">
        <v>53</v>
      </c>
      <c r="P2639" t="s">
        <v>53</v>
      </c>
      <c r="Q2639" t="s">
        <v>53</v>
      </c>
    </row>
    <row r="2640" spans="1:17" x14ac:dyDescent="0.2">
      <c r="A2640" s="30" t="str">
        <f>IF(C2640&amp;G2640&amp;D2640&lt;&gt;'Funnel setup'!$K$3&amp;'Funnel setup'!$K$4&amp;'Funnel setup'!$K$5,".",IF(A2639=".",1,A2639+1))</f>
        <v>.</v>
      </c>
      <c r="B2640" s="431" t="str">
        <f t="shared" si="41"/>
        <v>Hip Replacement RevisionCCG of GP PracticeNHS SUNDERLAND CCG (00P)EQ VAS</v>
      </c>
      <c r="C2640" t="s">
        <v>247</v>
      </c>
      <c r="D2640" t="s">
        <v>87</v>
      </c>
      <c r="E2640" t="s">
        <v>980</v>
      </c>
      <c r="F2640" t="s">
        <v>981</v>
      </c>
      <c r="G2640" t="s">
        <v>179</v>
      </c>
      <c r="H2640">
        <v>7</v>
      </c>
      <c r="I2640">
        <v>61.429000000000002</v>
      </c>
      <c r="J2640">
        <v>50.143000000000001</v>
      </c>
      <c r="K2640">
        <v>-11.286</v>
      </c>
      <c r="L2640">
        <v>2</v>
      </c>
      <c r="M2640">
        <v>0</v>
      </c>
      <c r="N2640">
        <v>5</v>
      </c>
      <c r="O2640" t="s">
        <v>53</v>
      </c>
      <c r="P2640" t="s">
        <v>53</v>
      </c>
      <c r="Q2640" t="s">
        <v>53</v>
      </c>
    </row>
    <row r="2641" spans="1:17" x14ac:dyDescent="0.2">
      <c r="A2641" s="30" t="str">
        <f>IF(C2641&amp;G2641&amp;D2641&lt;&gt;'Funnel setup'!$K$3&amp;'Funnel setup'!$K$4&amp;'Funnel setup'!$K$5,".",IF(A2640=".",1,A2640+1))</f>
        <v>.</v>
      </c>
      <c r="B2641" s="431" t="str">
        <f t="shared" si="41"/>
        <v>Hip Replacement RevisionCCG of GP PracticeNHS SURREY DOWNS CCG (99H)EQ VAS</v>
      </c>
      <c r="C2641" t="s">
        <v>247</v>
      </c>
      <c r="D2641" t="s">
        <v>87</v>
      </c>
      <c r="E2641" t="s">
        <v>983</v>
      </c>
      <c r="F2641" t="s">
        <v>984</v>
      </c>
      <c r="G2641" t="s">
        <v>179</v>
      </c>
      <c r="H2641">
        <v>16</v>
      </c>
      <c r="I2641">
        <v>66.125</v>
      </c>
      <c r="J2641">
        <v>62.688000000000002</v>
      </c>
      <c r="K2641">
        <v>-3.4380000000000002</v>
      </c>
      <c r="L2641">
        <v>5</v>
      </c>
      <c r="M2641">
        <v>3</v>
      </c>
      <c r="N2641">
        <v>8</v>
      </c>
      <c r="O2641" t="s">
        <v>53</v>
      </c>
      <c r="P2641" t="s">
        <v>53</v>
      </c>
      <c r="Q2641" t="s">
        <v>53</v>
      </c>
    </row>
    <row r="2642" spans="1:17" x14ac:dyDescent="0.2">
      <c r="A2642" s="30" t="str">
        <f>IF(C2642&amp;G2642&amp;D2642&lt;&gt;'Funnel setup'!$K$3&amp;'Funnel setup'!$K$4&amp;'Funnel setup'!$K$5,".",IF(A2641=".",1,A2641+1))</f>
        <v>.</v>
      </c>
      <c r="B2642" s="431" t="str">
        <f t="shared" si="41"/>
        <v>Hip Replacement RevisionCCG of GP PracticeNHS SURREY HEATH CCG (10C)EQ VAS</v>
      </c>
      <c r="C2642" t="s">
        <v>247</v>
      </c>
      <c r="D2642" t="s">
        <v>87</v>
      </c>
      <c r="E2642" t="s">
        <v>986</v>
      </c>
      <c r="F2642" t="s">
        <v>987</v>
      </c>
      <c r="G2642" t="s">
        <v>179</v>
      </c>
      <c r="H2642">
        <v>6</v>
      </c>
      <c r="I2642">
        <v>68.332999999999998</v>
      </c>
      <c r="J2642">
        <v>69</v>
      </c>
      <c r="K2642">
        <v>0.66700000000000004</v>
      </c>
      <c r="L2642">
        <v>3</v>
      </c>
      <c r="M2642">
        <v>0</v>
      </c>
      <c r="N2642">
        <v>3</v>
      </c>
      <c r="O2642" t="s">
        <v>53</v>
      </c>
      <c r="P2642" t="s">
        <v>53</v>
      </c>
      <c r="Q2642" t="s">
        <v>53</v>
      </c>
    </row>
    <row r="2643" spans="1:17" x14ac:dyDescent="0.2">
      <c r="A2643" s="30" t="str">
        <f>IF(C2643&amp;G2643&amp;D2643&lt;&gt;'Funnel setup'!$K$3&amp;'Funnel setup'!$K$4&amp;'Funnel setup'!$K$5,".",IF(A2642=".",1,A2642+1))</f>
        <v>.</v>
      </c>
      <c r="B2643" s="431" t="str">
        <f t="shared" si="41"/>
        <v>Hip Replacement RevisionCCG of GP PracticeNHS SUTTON CCG (08T)EQ VAS</v>
      </c>
      <c r="C2643" t="s">
        <v>247</v>
      </c>
      <c r="D2643" t="s">
        <v>87</v>
      </c>
      <c r="E2643" t="s">
        <v>989</v>
      </c>
      <c r="F2643" t="s">
        <v>990</v>
      </c>
      <c r="G2643" t="s">
        <v>179</v>
      </c>
      <c r="H2643" t="s">
        <v>53</v>
      </c>
      <c r="I2643" t="s">
        <v>53</v>
      </c>
      <c r="J2643" t="s">
        <v>53</v>
      </c>
      <c r="K2643" t="s">
        <v>53</v>
      </c>
      <c r="L2643" t="s">
        <v>53</v>
      </c>
      <c r="M2643" t="s">
        <v>53</v>
      </c>
      <c r="N2643" t="s">
        <v>53</v>
      </c>
      <c r="O2643" t="s">
        <v>53</v>
      </c>
      <c r="P2643" t="s">
        <v>53</v>
      </c>
      <c r="Q2643" t="s">
        <v>53</v>
      </c>
    </row>
    <row r="2644" spans="1:17" x14ac:dyDescent="0.2">
      <c r="A2644" s="30" t="str">
        <f>IF(C2644&amp;G2644&amp;D2644&lt;&gt;'Funnel setup'!$K$3&amp;'Funnel setup'!$K$4&amp;'Funnel setup'!$K$5,".",IF(A2643=".",1,A2643+1))</f>
        <v>.</v>
      </c>
      <c r="B2644" s="431" t="str">
        <f t="shared" si="41"/>
        <v>Hip Replacement RevisionCCG of GP PracticeNHS SWALE CCG (10D)EQ VAS</v>
      </c>
      <c r="C2644" t="s">
        <v>247</v>
      </c>
      <c r="D2644" t="s">
        <v>87</v>
      </c>
      <c r="E2644" t="s">
        <v>992</v>
      </c>
      <c r="F2644" t="s">
        <v>993</v>
      </c>
      <c r="G2644" t="s">
        <v>179</v>
      </c>
      <c r="H2644">
        <v>9</v>
      </c>
      <c r="I2644">
        <v>73.111000000000004</v>
      </c>
      <c r="J2644">
        <v>66.667000000000002</v>
      </c>
      <c r="K2644">
        <v>-6.444</v>
      </c>
      <c r="L2644">
        <v>3</v>
      </c>
      <c r="M2644">
        <v>0</v>
      </c>
      <c r="N2644">
        <v>6</v>
      </c>
      <c r="O2644" t="s">
        <v>53</v>
      </c>
      <c r="P2644" t="s">
        <v>53</v>
      </c>
      <c r="Q2644" t="s">
        <v>53</v>
      </c>
    </row>
    <row r="2645" spans="1:17" x14ac:dyDescent="0.2">
      <c r="A2645" s="30" t="str">
        <f>IF(C2645&amp;G2645&amp;D2645&lt;&gt;'Funnel setup'!$K$3&amp;'Funnel setup'!$K$4&amp;'Funnel setup'!$K$5,".",IF(A2644=".",1,A2644+1))</f>
        <v>.</v>
      </c>
      <c r="B2645" s="431" t="str">
        <f t="shared" si="41"/>
        <v>Hip Replacement RevisionCCG of GP PracticeNHS SWINDON CCG (12D)EQ VAS</v>
      </c>
      <c r="C2645" t="s">
        <v>247</v>
      </c>
      <c r="D2645" t="s">
        <v>87</v>
      </c>
      <c r="E2645" t="s">
        <v>995</v>
      </c>
      <c r="F2645" t="s">
        <v>996</v>
      </c>
      <c r="G2645" t="s">
        <v>179</v>
      </c>
      <c r="H2645">
        <v>9</v>
      </c>
      <c r="I2645">
        <v>65</v>
      </c>
      <c r="J2645">
        <v>74.778000000000006</v>
      </c>
      <c r="K2645">
        <v>9.7780000000000005</v>
      </c>
      <c r="L2645">
        <v>6</v>
      </c>
      <c r="M2645">
        <v>1</v>
      </c>
      <c r="N2645">
        <v>2</v>
      </c>
      <c r="O2645" t="s">
        <v>53</v>
      </c>
      <c r="P2645" t="s">
        <v>53</v>
      </c>
      <c r="Q2645" t="s">
        <v>53</v>
      </c>
    </row>
    <row r="2646" spans="1:17" x14ac:dyDescent="0.2">
      <c r="A2646" s="30" t="str">
        <f>IF(C2646&amp;G2646&amp;D2646&lt;&gt;'Funnel setup'!$K$3&amp;'Funnel setup'!$K$4&amp;'Funnel setup'!$K$5,".",IF(A2645=".",1,A2645+1))</f>
        <v>.</v>
      </c>
      <c r="B2646" s="431" t="str">
        <f t="shared" si="41"/>
        <v>Hip Replacement RevisionCCG of GP PracticeNHS TELFORD AND WREKIN CCG (05X)EQ VAS</v>
      </c>
      <c r="C2646" t="s">
        <v>247</v>
      </c>
      <c r="D2646" t="s">
        <v>87</v>
      </c>
      <c r="E2646" t="s">
        <v>1001</v>
      </c>
      <c r="F2646" t="s">
        <v>1002</v>
      </c>
      <c r="G2646" t="s">
        <v>179</v>
      </c>
      <c r="H2646">
        <v>14</v>
      </c>
      <c r="I2646">
        <v>61.786000000000001</v>
      </c>
      <c r="J2646">
        <v>66.143000000000001</v>
      </c>
      <c r="K2646">
        <v>4.3570000000000002</v>
      </c>
      <c r="L2646">
        <v>6</v>
      </c>
      <c r="M2646">
        <v>4</v>
      </c>
      <c r="N2646">
        <v>4</v>
      </c>
      <c r="O2646" t="s">
        <v>53</v>
      </c>
      <c r="P2646" t="s">
        <v>53</v>
      </c>
      <c r="Q2646" t="s">
        <v>53</v>
      </c>
    </row>
    <row r="2647" spans="1:17" x14ac:dyDescent="0.2">
      <c r="A2647" s="30" t="str">
        <f>IF(C2647&amp;G2647&amp;D2647&lt;&gt;'Funnel setup'!$K$3&amp;'Funnel setup'!$K$4&amp;'Funnel setup'!$K$5,".",IF(A2646=".",1,A2646+1))</f>
        <v>.</v>
      </c>
      <c r="B2647" s="431" t="str">
        <f t="shared" si="41"/>
        <v>Hip Replacement RevisionCCG of GP PracticeNHS THANET CCG (10E)EQ VAS</v>
      </c>
      <c r="C2647" t="s">
        <v>247</v>
      </c>
      <c r="D2647" t="s">
        <v>87</v>
      </c>
      <c r="E2647" t="s">
        <v>1004</v>
      </c>
      <c r="F2647" t="s">
        <v>1005</v>
      </c>
      <c r="G2647" t="s">
        <v>179</v>
      </c>
      <c r="H2647">
        <v>11</v>
      </c>
      <c r="I2647">
        <v>58.454999999999998</v>
      </c>
      <c r="J2647">
        <v>62.363999999999997</v>
      </c>
      <c r="K2647">
        <v>3.9089999999999998</v>
      </c>
      <c r="L2647">
        <v>5</v>
      </c>
      <c r="M2647">
        <v>1</v>
      </c>
      <c r="N2647">
        <v>5</v>
      </c>
      <c r="O2647" t="s">
        <v>53</v>
      </c>
      <c r="P2647" t="s">
        <v>53</v>
      </c>
      <c r="Q2647" t="s">
        <v>53</v>
      </c>
    </row>
    <row r="2648" spans="1:17" x14ac:dyDescent="0.2">
      <c r="A2648" s="30" t="str">
        <f>IF(C2648&amp;G2648&amp;D2648&lt;&gt;'Funnel setup'!$K$3&amp;'Funnel setup'!$K$4&amp;'Funnel setup'!$K$5,".",IF(A2647=".",1,A2647+1))</f>
        <v>.</v>
      </c>
      <c r="B2648" s="431" t="str">
        <f t="shared" si="41"/>
        <v>Hip Replacement RevisionCCG of GP PracticeNHS THURROCK CCG (07G)EQ VAS</v>
      </c>
      <c r="C2648" t="s">
        <v>247</v>
      </c>
      <c r="D2648" t="s">
        <v>87</v>
      </c>
      <c r="E2648" t="s">
        <v>1007</v>
      </c>
      <c r="F2648" t="s">
        <v>1008</v>
      </c>
      <c r="G2648" t="s">
        <v>179</v>
      </c>
      <c r="H2648" t="s">
        <v>53</v>
      </c>
      <c r="I2648" t="s">
        <v>53</v>
      </c>
      <c r="J2648" t="s">
        <v>53</v>
      </c>
      <c r="K2648" t="s">
        <v>53</v>
      </c>
      <c r="L2648" t="s">
        <v>53</v>
      </c>
      <c r="M2648" t="s">
        <v>53</v>
      </c>
      <c r="N2648" t="s">
        <v>53</v>
      </c>
      <c r="O2648" t="s">
        <v>53</v>
      </c>
      <c r="P2648" t="s">
        <v>53</v>
      </c>
      <c r="Q2648" t="s">
        <v>53</v>
      </c>
    </row>
    <row r="2649" spans="1:17" x14ac:dyDescent="0.2">
      <c r="A2649" s="30" t="str">
        <f>IF(C2649&amp;G2649&amp;D2649&lt;&gt;'Funnel setup'!$K$3&amp;'Funnel setup'!$K$4&amp;'Funnel setup'!$K$5,".",IF(A2648=".",1,A2648+1))</f>
        <v>.</v>
      </c>
      <c r="B2649" s="431" t="str">
        <f t="shared" si="41"/>
        <v>Hip Replacement RevisionCCG of GP PracticeNHS TRAFFORD CCG (02A)EQ VAS</v>
      </c>
      <c r="C2649" t="s">
        <v>247</v>
      </c>
      <c r="D2649" t="s">
        <v>87</v>
      </c>
      <c r="E2649" t="s">
        <v>1013</v>
      </c>
      <c r="F2649" t="s">
        <v>1014</v>
      </c>
      <c r="G2649" t="s">
        <v>179</v>
      </c>
      <c r="H2649" t="s">
        <v>53</v>
      </c>
      <c r="I2649" t="s">
        <v>53</v>
      </c>
      <c r="J2649" t="s">
        <v>53</v>
      </c>
      <c r="K2649" t="s">
        <v>53</v>
      </c>
      <c r="L2649" t="s">
        <v>53</v>
      </c>
      <c r="M2649" t="s">
        <v>53</v>
      </c>
      <c r="N2649" t="s">
        <v>53</v>
      </c>
      <c r="O2649" t="s">
        <v>53</v>
      </c>
      <c r="P2649" t="s">
        <v>53</v>
      </c>
      <c r="Q2649" t="s">
        <v>53</v>
      </c>
    </row>
    <row r="2650" spans="1:17" x14ac:dyDescent="0.2">
      <c r="A2650" s="30" t="str">
        <f>IF(C2650&amp;G2650&amp;D2650&lt;&gt;'Funnel setup'!$K$3&amp;'Funnel setup'!$K$4&amp;'Funnel setup'!$K$5,".",IF(A2649=".",1,A2649+1))</f>
        <v>.</v>
      </c>
      <c r="B2650" s="431" t="str">
        <f t="shared" si="41"/>
        <v>Hip Replacement RevisionCCG of GP PracticeNHS VALE OF YORK CCG (03Q)EQ VAS</v>
      </c>
      <c r="C2650" t="s">
        <v>247</v>
      </c>
      <c r="D2650" t="s">
        <v>87</v>
      </c>
      <c r="E2650" t="s">
        <v>420</v>
      </c>
      <c r="F2650" t="s">
        <v>421</v>
      </c>
      <c r="G2650" t="s">
        <v>179</v>
      </c>
      <c r="H2650">
        <v>30</v>
      </c>
      <c r="I2650">
        <v>70.599999999999994</v>
      </c>
      <c r="J2650">
        <v>70.867000000000004</v>
      </c>
      <c r="K2650">
        <v>0.26700000000000002</v>
      </c>
      <c r="L2650">
        <v>14</v>
      </c>
      <c r="M2650">
        <v>4</v>
      </c>
      <c r="N2650">
        <v>12</v>
      </c>
      <c r="O2650">
        <v>67.281000000000006</v>
      </c>
      <c r="P2650">
        <v>2.5101573350000002</v>
      </c>
      <c r="Q2650">
        <v>15.69</v>
      </c>
    </row>
    <row r="2651" spans="1:17" x14ac:dyDescent="0.2">
      <c r="A2651" s="30" t="str">
        <f>IF(C2651&amp;G2651&amp;D2651&lt;&gt;'Funnel setup'!$K$3&amp;'Funnel setup'!$K$4&amp;'Funnel setup'!$K$5,".",IF(A2650=".",1,A2650+1))</f>
        <v>.</v>
      </c>
      <c r="B2651" s="431" t="str">
        <f t="shared" si="41"/>
        <v>Hip Replacement RevisionCCG of GP PracticeNHS VALE ROYAL CCG (02D)EQ VAS</v>
      </c>
      <c r="C2651" t="s">
        <v>247</v>
      </c>
      <c r="D2651" t="s">
        <v>87</v>
      </c>
      <c r="E2651" t="s">
        <v>423</v>
      </c>
      <c r="F2651" t="s">
        <v>424</v>
      </c>
      <c r="G2651" t="s">
        <v>179</v>
      </c>
      <c r="H2651" t="s">
        <v>53</v>
      </c>
      <c r="I2651" t="s">
        <v>53</v>
      </c>
      <c r="J2651" t="s">
        <v>53</v>
      </c>
      <c r="K2651" t="s">
        <v>53</v>
      </c>
      <c r="L2651" t="s">
        <v>53</v>
      </c>
      <c r="M2651" t="s">
        <v>53</v>
      </c>
      <c r="N2651" t="s">
        <v>53</v>
      </c>
      <c r="O2651" t="s">
        <v>53</v>
      </c>
      <c r="P2651" t="s">
        <v>53</v>
      </c>
      <c r="Q2651" t="s">
        <v>53</v>
      </c>
    </row>
    <row r="2652" spans="1:17" x14ac:dyDescent="0.2">
      <c r="A2652" s="30" t="str">
        <f>IF(C2652&amp;G2652&amp;D2652&lt;&gt;'Funnel setup'!$K$3&amp;'Funnel setup'!$K$4&amp;'Funnel setup'!$K$5,".",IF(A2651=".",1,A2651+1))</f>
        <v>.</v>
      </c>
      <c r="B2652" s="431" t="str">
        <f t="shared" si="41"/>
        <v>Hip Replacement RevisionCCG of GP PracticeNHS WAKEFIELD CCG (03R)EQ VAS</v>
      </c>
      <c r="C2652" t="s">
        <v>247</v>
      </c>
      <c r="D2652" t="s">
        <v>87</v>
      </c>
      <c r="E2652" t="s">
        <v>426</v>
      </c>
      <c r="F2652" t="s">
        <v>427</v>
      </c>
      <c r="G2652" t="s">
        <v>179</v>
      </c>
      <c r="H2652" t="s">
        <v>53</v>
      </c>
      <c r="I2652" t="s">
        <v>53</v>
      </c>
      <c r="J2652" t="s">
        <v>53</v>
      </c>
      <c r="K2652" t="s">
        <v>53</v>
      </c>
      <c r="L2652" t="s">
        <v>53</v>
      </c>
      <c r="M2652" t="s">
        <v>53</v>
      </c>
      <c r="N2652" t="s">
        <v>53</v>
      </c>
      <c r="O2652" t="s">
        <v>53</v>
      </c>
      <c r="P2652" t="s">
        <v>53</v>
      </c>
      <c r="Q2652" t="s">
        <v>53</v>
      </c>
    </row>
    <row r="2653" spans="1:17" x14ac:dyDescent="0.2">
      <c r="A2653" s="30" t="str">
        <f>IF(C2653&amp;G2653&amp;D2653&lt;&gt;'Funnel setup'!$K$3&amp;'Funnel setup'!$K$4&amp;'Funnel setup'!$K$5,".",IF(A2652=".",1,A2652+1))</f>
        <v>.</v>
      </c>
      <c r="B2653" s="431" t="str">
        <f t="shared" si="41"/>
        <v>Hip Replacement RevisionCCG of GP PracticeNHS WALSALL CCG (05Y)EQ VAS</v>
      </c>
      <c r="C2653" t="s">
        <v>247</v>
      </c>
      <c r="D2653" t="s">
        <v>87</v>
      </c>
      <c r="E2653" t="s">
        <v>429</v>
      </c>
      <c r="F2653" t="s">
        <v>430</v>
      </c>
      <c r="G2653" t="s">
        <v>179</v>
      </c>
      <c r="H2653">
        <v>9</v>
      </c>
      <c r="I2653">
        <v>53</v>
      </c>
      <c r="J2653">
        <v>60.889000000000003</v>
      </c>
      <c r="K2653">
        <v>7.8890000000000002</v>
      </c>
      <c r="L2653">
        <v>5</v>
      </c>
      <c r="M2653">
        <v>1</v>
      </c>
      <c r="N2653">
        <v>3</v>
      </c>
      <c r="O2653" t="s">
        <v>53</v>
      </c>
      <c r="P2653" t="s">
        <v>53</v>
      </c>
      <c r="Q2653" t="s">
        <v>53</v>
      </c>
    </row>
    <row r="2654" spans="1:17" x14ac:dyDescent="0.2">
      <c r="A2654" s="30" t="str">
        <f>IF(C2654&amp;G2654&amp;D2654&lt;&gt;'Funnel setup'!$K$3&amp;'Funnel setup'!$K$4&amp;'Funnel setup'!$K$5,".",IF(A2653=".",1,A2653+1))</f>
        <v>.</v>
      </c>
      <c r="B2654" s="431" t="str">
        <f t="shared" si="41"/>
        <v>Hip Replacement RevisionCCG of GP PracticeNHS WALTHAM FOREST CCG (08W)EQ VAS</v>
      </c>
      <c r="C2654" t="s">
        <v>247</v>
      </c>
      <c r="D2654" t="s">
        <v>87</v>
      </c>
      <c r="E2654" t="s">
        <v>432</v>
      </c>
      <c r="F2654" t="s">
        <v>433</v>
      </c>
      <c r="G2654" t="s">
        <v>179</v>
      </c>
      <c r="H2654" t="s">
        <v>53</v>
      </c>
      <c r="I2654" t="s">
        <v>53</v>
      </c>
      <c r="J2654" t="s">
        <v>53</v>
      </c>
      <c r="K2654" t="s">
        <v>53</v>
      </c>
      <c r="L2654" t="s">
        <v>53</v>
      </c>
      <c r="M2654" t="s">
        <v>53</v>
      </c>
      <c r="N2654" t="s">
        <v>53</v>
      </c>
      <c r="O2654" t="s">
        <v>53</v>
      </c>
      <c r="P2654" t="s">
        <v>53</v>
      </c>
      <c r="Q2654" t="s">
        <v>53</v>
      </c>
    </row>
    <row r="2655" spans="1:17" x14ac:dyDescent="0.2">
      <c r="A2655" s="30" t="str">
        <f>IF(C2655&amp;G2655&amp;D2655&lt;&gt;'Funnel setup'!$K$3&amp;'Funnel setup'!$K$4&amp;'Funnel setup'!$K$5,".",IF(A2654=".",1,A2654+1))</f>
        <v>.</v>
      </c>
      <c r="B2655" s="431" t="str">
        <f t="shared" si="41"/>
        <v>Hip Replacement RevisionCCG of GP PracticeNHS WANDSWORTH CCG (08X)EQ VAS</v>
      </c>
      <c r="C2655" t="s">
        <v>247</v>
      </c>
      <c r="D2655" t="s">
        <v>87</v>
      </c>
      <c r="E2655" t="s">
        <v>435</v>
      </c>
      <c r="F2655" t="s">
        <v>436</v>
      </c>
      <c r="G2655" t="s">
        <v>179</v>
      </c>
      <c r="H2655" t="s">
        <v>53</v>
      </c>
      <c r="I2655" t="s">
        <v>53</v>
      </c>
      <c r="J2655" t="s">
        <v>53</v>
      </c>
      <c r="K2655" t="s">
        <v>53</v>
      </c>
      <c r="L2655" t="s">
        <v>53</v>
      </c>
      <c r="M2655" t="s">
        <v>53</v>
      </c>
      <c r="N2655" t="s">
        <v>53</v>
      </c>
      <c r="O2655" t="s">
        <v>53</v>
      </c>
      <c r="P2655" t="s">
        <v>53</v>
      </c>
      <c r="Q2655" t="s">
        <v>53</v>
      </c>
    </row>
    <row r="2656" spans="1:17" x14ac:dyDescent="0.2">
      <c r="A2656" s="30" t="str">
        <f>IF(C2656&amp;G2656&amp;D2656&lt;&gt;'Funnel setup'!$K$3&amp;'Funnel setup'!$K$4&amp;'Funnel setup'!$K$5,".",IF(A2655=".",1,A2655+1))</f>
        <v>.</v>
      </c>
      <c r="B2656" s="431" t="str">
        <f t="shared" si="41"/>
        <v>Hip Replacement RevisionCCG of GP PracticeNHS WARRINGTON CCG (02E)EQ VAS</v>
      </c>
      <c r="C2656" t="s">
        <v>247</v>
      </c>
      <c r="D2656" t="s">
        <v>87</v>
      </c>
      <c r="E2656" t="s">
        <v>441</v>
      </c>
      <c r="F2656" t="s">
        <v>442</v>
      </c>
      <c r="G2656" t="s">
        <v>179</v>
      </c>
      <c r="H2656" t="s">
        <v>53</v>
      </c>
      <c r="I2656" t="s">
        <v>53</v>
      </c>
      <c r="J2656" t="s">
        <v>53</v>
      </c>
      <c r="K2656" t="s">
        <v>53</v>
      </c>
      <c r="L2656" t="s">
        <v>53</v>
      </c>
      <c r="M2656" t="s">
        <v>53</v>
      </c>
      <c r="N2656" t="s">
        <v>53</v>
      </c>
      <c r="O2656" t="s">
        <v>53</v>
      </c>
      <c r="P2656" t="s">
        <v>53</v>
      </c>
      <c r="Q2656" t="s">
        <v>53</v>
      </c>
    </row>
    <row r="2657" spans="1:17" x14ac:dyDescent="0.2">
      <c r="A2657" s="30" t="str">
        <f>IF(C2657&amp;G2657&amp;D2657&lt;&gt;'Funnel setup'!$K$3&amp;'Funnel setup'!$K$4&amp;'Funnel setup'!$K$5,".",IF(A2656=".",1,A2656+1))</f>
        <v>.</v>
      </c>
      <c r="B2657" s="431" t="str">
        <f t="shared" si="41"/>
        <v>Hip Replacement RevisionCCG of GP PracticeNHS WARWICKSHIRE NORTH CCG (05H)EQ VAS</v>
      </c>
      <c r="C2657" t="s">
        <v>247</v>
      </c>
      <c r="D2657" t="s">
        <v>87</v>
      </c>
      <c r="E2657" t="s">
        <v>438</v>
      </c>
      <c r="F2657" t="s">
        <v>439</v>
      </c>
      <c r="G2657" t="s">
        <v>179</v>
      </c>
      <c r="H2657" t="s">
        <v>53</v>
      </c>
      <c r="I2657" t="s">
        <v>53</v>
      </c>
      <c r="J2657" t="s">
        <v>53</v>
      </c>
      <c r="K2657" t="s">
        <v>53</v>
      </c>
      <c r="L2657" t="s">
        <v>53</v>
      </c>
      <c r="M2657" t="s">
        <v>53</v>
      </c>
      <c r="N2657" t="s">
        <v>53</v>
      </c>
      <c r="O2657" t="s">
        <v>53</v>
      </c>
      <c r="P2657" t="s">
        <v>53</v>
      </c>
      <c r="Q2657" t="s">
        <v>53</v>
      </c>
    </row>
    <row r="2658" spans="1:17" x14ac:dyDescent="0.2">
      <c r="A2658" s="30" t="str">
        <f>IF(C2658&amp;G2658&amp;D2658&lt;&gt;'Funnel setup'!$K$3&amp;'Funnel setup'!$K$4&amp;'Funnel setup'!$K$5,".",IF(A2657=".",1,A2657+1))</f>
        <v>.</v>
      </c>
      <c r="B2658" s="431" t="str">
        <f t="shared" si="41"/>
        <v>Hip Replacement RevisionCCG of GP PracticeNHS WEST CHESHIRE CCG (02F)EQ VAS</v>
      </c>
      <c r="C2658" t="s">
        <v>247</v>
      </c>
      <c r="D2658" t="s">
        <v>87</v>
      </c>
      <c r="E2658" t="s">
        <v>402</v>
      </c>
      <c r="F2658" t="s">
        <v>403</v>
      </c>
      <c r="G2658" t="s">
        <v>179</v>
      </c>
      <c r="H2658">
        <v>12</v>
      </c>
      <c r="I2658">
        <v>65.582999999999998</v>
      </c>
      <c r="J2658">
        <v>75.832999999999998</v>
      </c>
      <c r="K2658">
        <v>10.25</v>
      </c>
      <c r="L2658">
        <v>9</v>
      </c>
      <c r="M2658">
        <v>1</v>
      </c>
      <c r="N2658">
        <v>2</v>
      </c>
      <c r="O2658" t="s">
        <v>53</v>
      </c>
      <c r="P2658" t="s">
        <v>53</v>
      </c>
      <c r="Q2658" t="s">
        <v>53</v>
      </c>
    </row>
    <row r="2659" spans="1:17" x14ac:dyDescent="0.2">
      <c r="A2659" s="30" t="str">
        <f>IF(C2659&amp;G2659&amp;D2659&lt;&gt;'Funnel setup'!$K$3&amp;'Funnel setup'!$K$4&amp;'Funnel setup'!$K$5,".",IF(A2658=".",1,A2658+1))</f>
        <v>.</v>
      </c>
      <c r="B2659" s="431" t="str">
        <f t="shared" si="41"/>
        <v>Hip Replacement RevisionCCG of GP PracticeNHS WEST ESSEX CCG (07H)EQ VAS</v>
      </c>
      <c r="C2659" t="s">
        <v>247</v>
      </c>
      <c r="D2659" t="s">
        <v>87</v>
      </c>
      <c r="E2659" t="s">
        <v>405</v>
      </c>
      <c r="F2659" t="s">
        <v>406</v>
      </c>
      <c r="G2659" t="s">
        <v>179</v>
      </c>
      <c r="H2659">
        <v>11</v>
      </c>
      <c r="I2659">
        <v>66.817999999999998</v>
      </c>
      <c r="J2659">
        <v>63.636000000000003</v>
      </c>
      <c r="K2659">
        <v>-3.1819999999999999</v>
      </c>
      <c r="L2659">
        <v>3</v>
      </c>
      <c r="M2659">
        <v>1</v>
      </c>
      <c r="N2659">
        <v>7</v>
      </c>
      <c r="O2659" t="s">
        <v>53</v>
      </c>
      <c r="P2659" t="s">
        <v>53</v>
      </c>
      <c r="Q2659" t="s">
        <v>53</v>
      </c>
    </row>
    <row r="2660" spans="1:17" x14ac:dyDescent="0.2">
      <c r="A2660" s="30" t="str">
        <f>IF(C2660&amp;G2660&amp;D2660&lt;&gt;'Funnel setup'!$K$3&amp;'Funnel setup'!$K$4&amp;'Funnel setup'!$K$5,".",IF(A2659=".",1,A2659+1))</f>
        <v>.</v>
      </c>
      <c r="B2660" s="431" t="str">
        <f t="shared" si="41"/>
        <v>Hip Replacement RevisionCCG of GP PracticeNHS WEST HAMPSHIRE CCG (11A)EQ VAS</v>
      </c>
      <c r="C2660" t="s">
        <v>247</v>
      </c>
      <c r="D2660" t="s">
        <v>87</v>
      </c>
      <c r="E2660" t="s">
        <v>444</v>
      </c>
      <c r="F2660" t="s">
        <v>445</v>
      </c>
      <c r="G2660" t="s">
        <v>179</v>
      </c>
      <c r="H2660">
        <v>27</v>
      </c>
      <c r="I2660">
        <v>62.555999999999997</v>
      </c>
      <c r="J2660">
        <v>74.63</v>
      </c>
      <c r="K2660">
        <v>12.074</v>
      </c>
      <c r="L2660">
        <v>18</v>
      </c>
      <c r="M2660">
        <v>7</v>
      </c>
      <c r="N2660">
        <v>2</v>
      </c>
      <c r="O2660" t="s">
        <v>53</v>
      </c>
      <c r="P2660" t="s">
        <v>53</v>
      </c>
      <c r="Q2660" t="s">
        <v>53</v>
      </c>
    </row>
    <row r="2661" spans="1:17" x14ac:dyDescent="0.2">
      <c r="A2661" s="30" t="str">
        <f>IF(C2661&amp;G2661&amp;D2661&lt;&gt;'Funnel setup'!$K$3&amp;'Funnel setup'!$K$4&amp;'Funnel setup'!$K$5,".",IF(A2660=".",1,A2660+1))</f>
        <v>.</v>
      </c>
      <c r="B2661" s="431" t="str">
        <f t="shared" si="41"/>
        <v>Hip Replacement RevisionCCG of GP PracticeNHS WEST KENT CCG (99J)EQ VAS</v>
      </c>
      <c r="C2661" t="s">
        <v>247</v>
      </c>
      <c r="D2661" t="s">
        <v>87</v>
      </c>
      <c r="E2661" t="s">
        <v>447</v>
      </c>
      <c r="F2661" t="s">
        <v>448</v>
      </c>
      <c r="G2661" t="s">
        <v>179</v>
      </c>
      <c r="H2661">
        <v>22</v>
      </c>
      <c r="I2661">
        <v>73.454999999999998</v>
      </c>
      <c r="J2661">
        <v>78.317999999999998</v>
      </c>
      <c r="K2661">
        <v>4.8639999999999999</v>
      </c>
      <c r="L2661">
        <v>11</v>
      </c>
      <c r="M2661">
        <v>3</v>
      </c>
      <c r="N2661">
        <v>8</v>
      </c>
      <c r="O2661" t="s">
        <v>53</v>
      </c>
      <c r="P2661" t="s">
        <v>53</v>
      </c>
      <c r="Q2661" t="s">
        <v>53</v>
      </c>
    </row>
    <row r="2662" spans="1:17" x14ac:dyDescent="0.2">
      <c r="A2662" s="30" t="str">
        <f>IF(C2662&amp;G2662&amp;D2662&lt;&gt;'Funnel setup'!$K$3&amp;'Funnel setup'!$K$4&amp;'Funnel setup'!$K$5,".",IF(A2661=".",1,A2661+1))</f>
        <v>.</v>
      </c>
      <c r="B2662" s="431" t="str">
        <f t="shared" si="41"/>
        <v>Hip Replacement RevisionCCG of GP PracticeNHS WEST LANCASHIRE CCG (02G)EQ VAS</v>
      </c>
      <c r="C2662" t="s">
        <v>247</v>
      </c>
      <c r="D2662" t="s">
        <v>87</v>
      </c>
      <c r="E2662" t="s">
        <v>450</v>
      </c>
      <c r="F2662" t="s">
        <v>451</v>
      </c>
      <c r="G2662" t="s">
        <v>179</v>
      </c>
      <c r="H2662" t="s">
        <v>53</v>
      </c>
      <c r="I2662" t="s">
        <v>53</v>
      </c>
      <c r="J2662" t="s">
        <v>53</v>
      </c>
      <c r="K2662" t="s">
        <v>53</v>
      </c>
      <c r="L2662" t="s">
        <v>53</v>
      </c>
      <c r="M2662" t="s">
        <v>53</v>
      </c>
      <c r="N2662" t="s">
        <v>53</v>
      </c>
      <c r="O2662" t="s">
        <v>53</v>
      </c>
      <c r="P2662" t="s">
        <v>53</v>
      </c>
      <c r="Q2662" t="s">
        <v>53</v>
      </c>
    </row>
    <row r="2663" spans="1:17" x14ac:dyDescent="0.2">
      <c r="A2663" s="30" t="str">
        <f>IF(C2663&amp;G2663&amp;D2663&lt;&gt;'Funnel setup'!$K$3&amp;'Funnel setup'!$K$4&amp;'Funnel setup'!$K$5,".",IF(A2662=".",1,A2662+1))</f>
        <v>.</v>
      </c>
      <c r="B2663" s="431" t="str">
        <f t="shared" si="41"/>
        <v>Hip Replacement RevisionCCG of GP PracticeNHS WEST LEICESTERSHIRE CCG (04V)EQ VAS</v>
      </c>
      <c r="C2663" t="s">
        <v>247</v>
      </c>
      <c r="D2663" t="s">
        <v>87</v>
      </c>
      <c r="E2663" t="s">
        <v>453</v>
      </c>
      <c r="F2663" t="s">
        <v>454</v>
      </c>
      <c r="G2663" t="s">
        <v>179</v>
      </c>
      <c r="H2663">
        <v>12</v>
      </c>
      <c r="I2663">
        <v>60</v>
      </c>
      <c r="J2663">
        <v>68.75</v>
      </c>
      <c r="K2663">
        <v>8.75</v>
      </c>
      <c r="L2663">
        <v>8</v>
      </c>
      <c r="M2663">
        <v>1</v>
      </c>
      <c r="N2663">
        <v>3</v>
      </c>
      <c r="O2663" t="s">
        <v>53</v>
      </c>
      <c r="P2663" t="s">
        <v>53</v>
      </c>
      <c r="Q2663" t="s">
        <v>53</v>
      </c>
    </row>
    <row r="2664" spans="1:17" x14ac:dyDescent="0.2">
      <c r="A2664" s="30" t="str">
        <f>IF(C2664&amp;G2664&amp;D2664&lt;&gt;'Funnel setup'!$K$3&amp;'Funnel setup'!$K$4&amp;'Funnel setup'!$K$5,".",IF(A2663=".",1,A2663+1))</f>
        <v>.</v>
      </c>
      <c r="B2664" s="431" t="str">
        <f t="shared" si="41"/>
        <v>Hip Replacement RevisionCCG of GP PracticeNHS WEST LONDON CCG (08Y)EQ VAS</v>
      </c>
      <c r="C2664" t="s">
        <v>247</v>
      </c>
      <c r="D2664" t="s">
        <v>87</v>
      </c>
      <c r="E2664" t="s">
        <v>456</v>
      </c>
      <c r="F2664" t="s">
        <v>457</v>
      </c>
      <c r="G2664" t="s">
        <v>179</v>
      </c>
      <c r="H2664" t="s">
        <v>53</v>
      </c>
      <c r="I2664" t="s">
        <v>53</v>
      </c>
      <c r="J2664" t="s">
        <v>53</v>
      </c>
      <c r="K2664" t="s">
        <v>53</v>
      </c>
      <c r="L2664" t="s">
        <v>53</v>
      </c>
      <c r="M2664" t="s">
        <v>53</v>
      </c>
      <c r="N2664" t="s">
        <v>53</v>
      </c>
      <c r="O2664" t="s">
        <v>53</v>
      </c>
      <c r="P2664" t="s">
        <v>53</v>
      </c>
      <c r="Q2664" t="s">
        <v>53</v>
      </c>
    </row>
    <row r="2665" spans="1:17" x14ac:dyDescent="0.2">
      <c r="A2665" s="30" t="str">
        <f>IF(C2665&amp;G2665&amp;D2665&lt;&gt;'Funnel setup'!$K$3&amp;'Funnel setup'!$K$4&amp;'Funnel setup'!$K$5,".",IF(A2664=".",1,A2664+1))</f>
        <v>.</v>
      </c>
      <c r="B2665" s="431" t="str">
        <f t="shared" si="41"/>
        <v>Hip Replacement RevisionCCG of GP PracticeNHS WEST NORFOLK CCG (07J)EQ VAS</v>
      </c>
      <c r="C2665" t="s">
        <v>247</v>
      </c>
      <c r="D2665" t="s">
        <v>87</v>
      </c>
      <c r="E2665" t="s">
        <v>459</v>
      </c>
      <c r="F2665" t="s">
        <v>460</v>
      </c>
      <c r="G2665" t="s">
        <v>179</v>
      </c>
      <c r="H2665">
        <v>8</v>
      </c>
      <c r="I2665">
        <v>67.125</v>
      </c>
      <c r="J2665">
        <v>73.75</v>
      </c>
      <c r="K2665">
        <v>6.625</v>
      </c>
      <c r="L2665">
        <v>4</v>
      </c>
      <c r="M2665">
        <v>2</v>
      </c>
      <c r="N2665">
        <v>2</v>
      </c>
      <c r="O2665" t="s">
        <v>53</v>
      </c>
      <c r="P2665" t="s">
        <v>53</v>
      </c>
      <c r="Q2665" t="s">
        <v>53</v>
      </c>
    </row>
    <row r="2666" spans="1:17" x14ac:dyDescent="0.2">
      <c r="A2666" s="30" t="str">
        <f>IF(C2666&amp;G2666&amp;D2666&lt;&gt;'Funnel setup'!$K$3&amp;'Funnel setup'!$K$4&amp;'Funnel setup'!$K$5,".",IF(A2665=".",1,A2665+1))</f>
        <v>.</v>
      </c>
      <c r="B2666" s="431" t="str">
        <f t="shared" si="41"/>
        <v>Hip Replacement RevisionCCG of GP PracticeNHS WEST SUFFOLK CCG (07K)EQ VAS</v>
      </c>
      <c r="C2666" t="s">
        <v>247</v>
      </c>
      <c r="D2666" t="s">
        <v>87</v>
      </c>
      <c r="E2666" t="s">
        <v>462</v>
      </c>
      <c r="F2666" t="s">
        <v>463</v>
      </c>
      <c r="G2666" t="s">
        <v>179</v>
      </c>
      <c r="H2666">
        <v>10</v>
      </c>
      <c r="I2666">
        <v>59.2</v>
      </c>
      <c r="J2666">
        <v>71</v>
      </c>
      <c r="K2666">
        <v>11.8</v>
      </c>
      <c r="L2666">
        <v>7</v>
      </c>
      <c r="M2666">
        <v>1</v>
      </c>
      <c r="N2666">
        <v>2</v>
      </c>
      <c r="O2666" t="s">
        <v>53</v>
      </c>
      <c r="P2666" t="s">
        <v>53</v>
      </c>
      <c r="Q2666" t="s">
        <v>53</v>
      </c>
    </row>
    <row r="2667" spans="1:17" x14ac:dyDescent="0.2">
      <c r="A2667" s="30" t="str">
        <f>IF(C2667&amp;G2667&amp;D2667&lt;&gt;'Funnel setup'!$K$3&amp;'Funnel setup'!$K$4&amp;'Funnel setup'!$K$5,".",IF(A2666=".",1,A2666+1))</f>
        <v>.</v>
      </c>
      <c r="B2667" s="431" t="str">
        <f t="shared" si="41"/>
        <v>Hip Replacement RevisionCCG of GP PracticeNHS WIGAN BOROUGH CCG (02H)EQ VAS</v>
      </c>
      <c r="C2667" t="s">
        <v>247</v>
      </c>
      <c r="D2667" t="s">
        <v>87</v>
      </c>
      <c r="E2667" t="s">
        <v>465</v>
      </c>
      <c r="F2667" t="s">
        <v>466</v>
      </c>
      <c r="G2667" t="s">
        <v>179</v>
      </c>
      <c r="H2667">
        <v>8</v>
      </c>
      <c r="I2667">
        <v>60</v>
      </c>
      <c r="J2667">
        <v>53.75</v>
      </c>
      <c r="K2667">
        <v>-6.25</v>
      </c>
      <c r="L2667">
        <v>4</v>
      </c>
      <c r="M2667">
        <v>1</v>
      </c>
      <c r="N2667">
        <v>3</v>
      </c>
      <c r="O2667" t="s">
        <v>53</v>
      </c>
      <c r="P2667" t="s">
        <v>53</v>
      </c>
      <c r="Q2667" t="s">
        <v>53</v>
      </c>
    </row>
    <row r="2668" spans="1:17" x14ac:dyDescent="0.2">
      <c r="A2668" s="30" t="str">
        <f>IF(C2668&amp;G2668&amp;D2668&lt;&gt;'Funnel setup'!$K$3&amp;'Funnel setup'!$K$4&amp;'Funnel setup'!$K$5,".",IF(A2667=".",1,A2667+1))</f>
        <v>.</v>
      </c>
      <c r="B2668" s="431" t="str">
        <f t="shared" si="41"/>
        <v>Hip Replacement RevisionCCG of GP PracticeNHS WILTSHIRE CCG (99N)EQ VAS</v>
      </c>
      <c r="C2668" t="s">
        <v>247</v>
      </c>
      <c r="D2668" t="s">
        <v>87</v>
      </c>
      <c r="E2668" t="s">
        <v>468</v>
      </c>
      <c r="F2668" t="s">
        <v>469</v>
      </c>
      <c r="G2668" t="s">
        <v>179</v>
      </c>
      <c r="H2668">
        <v>35</v>
      </c>
      <c r="I2668">
        <v>67.713999999999999</v>
      </c>
      <c r="J2668">
        <v>75.456999999999994</v>
      </c>
      <c r="K2668">
        <v>7.7430000000000003</v>
      </c>
      <c r="L2668">
        <v>17</v>
      </c>
      <c r="M2668">
        <v>7</v>
      </c>
      <c r="N2668">
        <v>11</v>
      </c>
      <c r="O2668">
        <v>72.78</v>
      </c>
      <c r="P2668">
        <v>8.0097721859999993</v>
      </c>
      <c r="Q2668">
        <v>16.350999999999999</v>
      </c>
    </row>
    <row r="2669" spans="1:17" x14ac:dyDescent="0.2">
      <c r="A2669" s="30" t="str">
        <f>IF(C2669&amp;G2669&amp;D2669&lt;&gt;'Funnel setup'!$K$3&amp;'Funnel setup'!$K$4&amp;'Funnel setup'!$K$5,".",IF(A2668=".",1,A2668+1))</f>
        <v>.</v>
      </c>
      <c r="B2669" s="431" t="str">
        <f t="shared" si="41"/>
        <v>Hip Replacement RevisionCCG of GP PracticeNHS WINDSOR, ASCOT AND MAIDENHEAD CCG (11C)EQ VAS</v>
      </c>
      <c r="C2669" t="s">
        <v>247</v>
      </c>
      <c r="D2669" t="s">
        <v>87</v>
      </c>
      <c r="E2669" t="s">
        <v>471</v>
      </c>
      <c r="F2669" t="s">
        <v>472</v>
      </c>
      <c r="G2669" t="s">
        <v>179</v>
      </c>
      <c r="H2669" t="s">
        <v>53</v>
      </c>
      <c r="I2669" t="s">
        <v>53</v>
      </c>
      <c r="J2669" t="s">
        <v>53</v>
      </c>
      <c r="K2669" t="s">
        <v>53</v>
      </c>
      <c r="L2669" t="s">
        <v>53</v>
      </c>
      <c r="M2669" t="s">
        <v>53</v>
      </c>
      <c r="N2669" t="s">
        <v>53</v>
      </c>
      <c r="O2669" t="s">
        <v>53</v>
      </c>
      <c r="P2669" t="s">
        <v>53</v>
      </c>
      <c r="Q2669" t="s">
        <v>53</v>
      </c>
    </row>
    <row r="2670" spans="1:17" x14ac:dyDescent="0.2">
      <c r="A2670" s="30" t="str">
        <f>IF(C2670&amp;G2670&amp;D2670&lt;&gt;'Funnel setup'!$K$3&amp;'Funnel setup'!$K$4&amp;'Funnel setup'!$K$5,".",IF(A2669=".",1,A2669+1))</f>
        <v>.</v>
      </c>
      <c r="B2670" s="431" t="str">
        <f t="shared" si="41"/>
        <v>Hip Replacement RevisionCCG of GP PracticeNHS WIRRAL CCG (12F)EQ VAS</v>
      </c>
      <c r="C2670" t="s">
        <v>247</v>
      </c>
      <c r="D2670" t="s">
        <v>87</v>
      </c>
      <c r="E2670" t="s">
        <v>474</v>
      </c>
      <c r="F2670" t="s">
        <v>475</v>
      </c>
      <c r="G2670" t="s">
        <v>179</v>
      </c>
      <c r="H2670" t="s">
        <v>53</v>
      </c>
      <c r="I2670" t="s">
        <v>53</v>
      </c>
      <c r="J2670" t="s">
        <v>53</v>
      </c>
      <c r="K2670" t="s">
        <v>53</v>
      </c>
      <c r="L2670" t="s">
        <v>53</v>
      </c>
      <c r="M2670" t="s">
        <v>53</v>
      </c>
      <c r="N2670" t="s">
        <v>53</v>
      </c>
      <c r="O2670" t="s">
        <v>53</v>
      </c>
      <c r="P2670" t="s">
        <v>53</v>
      </c>
      <c r="Q2670" t="s">
        <v>53</v>
      </c>
    </row>
    <row r="2671" spans="1:17" x14ac:dyDescent="0.2">
      <c r="A2671" s="30" t="str">
        <f>IF(C2671&amp;G2671&amp;D2671&lt;&gt;'Funnel setup'!$K$3&amp;'Funnel setup'!$K$4&amp;'Funnel setup'!$K$5,".",IF(A2670=".",1,A2670+1))</f>
        <v>.</v>
      </c>
      <c r="B2671" s="431" t="str">
        <f t="shared" si="41"/>
        <v>Hip Replacement RevisionCCG of GP PracticeNHS WOKINGHAM CCG (11D)EQ VAS</v>
      </c>
      <c r="C2671" t="s">
        <v>247</v>
      </c>
      <c r="D2671" t="s">
        <v>87</v>
      </c>
      <c r="E2671" t="s">
        <v>477</v>
      </c>
      <c r="F2671" t="s">
        <v>478</v>
      </c>
      <c r="G2671" t="s">
        <v>179</v>
      </c>
      <c r="H2671" t="s">
        <v>53</v>
      </c>
      <c r="I2671" t="s">
        <v>53</v>
      </c>
      <c r="J2671" t="s">
        <v>53</v>
      </c>
      <c r="K2671" t="s">
        <v>53</v>
      </c>
      <c r="L2671" t="s">
        <v>53</v>
      </c>
      <c r="M2671" t="s">
        <v>53</v>
      </c>
      <c r="N2671" t="s">
        <v>53</v>
      </c>
      <c r="O2671" t="s">
        <v>53</v>
      </c>
      <c r="P2671" t="s">
        <v>53</v>
      </c>
      <c r="Q2671" t="s">
        <v>53</v>
      </c>
    </row>
    <row r="2672" spans="1:17" x14ac:dyDescent="0.2">
      <c r="A2672" s="30" t="str">
        <f>IF(C2672&amp;G2672&amp;D2672&lt;&gt;'Funnel setup'!$K$3&amp;'Funnel setup'!$K$4&amp;'Funnel setup'!$K$5,".",IF(A2671=".",1,A2671+1))</f>
        <v>.</v>
      </c>
      <c r="B2672" s="431" t="str">
        <f t="shared" si="41"/>
        <v>Hip Replacement RevisionCCG of GP PracticeNHS WOLVERHAMPTON CCG (06A)EQ VAS</v>
      </c>
      <c r="C2672" t="s">
        <v>247</v>
      </c>
      <c r="D2672" t="s">
        <v>87</v>
      </c>
      <c r="E2672" t="s">
        <v>480</v>
      </c>
      <c r="F2672" t="s">
        <v>481</v>
      </c>
      <c r="G2672" t="s">
        <v>179</v>
      </c>
      <c r="H2672" t="s">
        <v>53</v>
      </c>
      <c r="I2672" t="s">
        <v>53</v>
      </c>
      <c r="J2672" t="s">
        <v>53</v>
      </c>
      <c r="K2672" t="s">
        <v>53</v>
      </c>
      <c r="L2672" t="s">
        <v>53</v>
      </c>
      <c r="M2672" t="s">
        <v>53</v>
      </c>
      <c r="N2672" t="s">
        <v>53</v>
      </c>
      <c r="O2672" t="s">
        <v>53</v>
      </c>
      <c r="P2672" t="s">
        <v>53</v>
      </c>
      <c r="Q2672" t="s">
        <v>53</v>
      </c>
    </row>
    <row r="2673" spans="1:17" x14ac:dyDescent="0.2">
      <c r="A2673" s="30" t="str">
        <f>IF(C2673&amp;G2673&amp;D2673&lt;&gt;'Funnel setup'!$K$3&amp;'Funnel setup'!$K$4&amp;'Funnel setup'!$K$5,".",IF(A2672=".",1,A2672+1))</f>
        <v>.</v>
      </c>
      <c r="B2673" s="431" t="str">
        <f t="shared" si="41"/>
        <v>Hip Replacement RevisionCCG of GP PracticeNHS WYRE FOREST CCG (06D)EQ VAS</v>
      </c>
      <c r="C2673" t="s">
        <v>247</v>
      </c>
      <c r="D2673" t="s">
        <v>87</v>
      </c>
      <c r="E2673" t="s">
        <v>483</v>
      </c>
      <c r="F2673" t="s">
        <v>484</v>
      </c>
      <c r="G2673" t="s">
        <v>179</v>
      </c>
      <c r="H2673">
        <v>7</v>
      </c>
      <c r="I2673">
        <v>67.856999999999999</v>
      </c>
      <c r="J2673">
        <v>62.143000000000001</v>
      </c>
      <c r="K2673">
        <v>-5.7140000000000004</v>
      </c>
      <c r="L2673">
        <v>3</v>
      </c>
      <c r="M2673">
        <v>1</v>
      </c>
      <c r="N2673">
        <v>3</v>
      </c>
      <c r="O2673" t="s">
        <v>53</v>
      </c>
      <c r="P2673" t="s">
        <v>53</v>
      </c>
      <c r="Q2673" t="s">
        <v>53</v>
      </c>
    </row>
    <row r="2674" spans="1:17" x14ac:dyDescent="0.2">
      <c r="A2674" s="30" t="str">
        <f>IF(C2674&amp;G2674&amp;D2674&lt;&gt;'Funnel setup'!$K$3&amp;'Funnel setup'!$K$4&amp;'Funnel setup'!$K$5,".",IF(A2673=".",1,A2673+1))</f>
        <v>.</v>
      </c>
      <c r="B2674" s="431" t="str">
        <f t="shared" si="41"/>
        <v>Hip Replacement RevisionCCG of GP PracticeNATIONAL COMMISSIONING HUB 1 (13Q)EQ-5D Index</v>
      </c>
      <c r="C2674" t="s">
        <v>247</v>
      </c>
      <c r="D2674" t="s">
        <v>87</v>
      </c>
      <c r="E2674" t="s">
        <v>563</v>
      </c>
      <c r="F2674" t="s">
        <v>564</v>
      </c>
      <c r="G2674" t="s">
        <v>52</v>
      </c>
      <c r="H2674" t="s">
        <v>53</v>
      </c>
      <c r="I2674" t="s">
        <v>53</v>
      </c>
      <c r="J2674" t="s">
        <v>53</v>
      </c>
      <c r="K2674" t="s">
        <v>53</v>
      </c>
      <c r="L2674" t="s">
        <v>53</v>
      </c>
      <c r="M2674" t="s">
        <v>53</v>
      </c>
      <c r="N2674" t="s">
        <v>53</v>
      </c>
      <c r="O2674" t="s">
        <v>53</v>
      </c>
      <c r="P2674" t="s">
        <v>53</v>
      </c>
      <c r="Q2674" t="s">
        <v>53</v>
      </c>
    </row>
    <row r="2675" spans="1:17" x14ac:dyDescent="0.2">
      <c r="A2675" s="30" t="str">
        <f>IF(C2675&amp;G2675&amp;D2675&lt;&gt;'Funnel setup'!$K$3&amp;'Funnel setup'!$K$4&amp;'Funnel setup'!$K$5,".",IF(A2674=".",1,A2674+1))</f>
        <v>.</v>
      </c>
      <c r="B2675" s="431" t="str">
        <f t="shared" si="41"/>
        <v>Hip Replacement RevisionCCG of GP PracticeNHS AIREDALE, WHARFEDALE AND CRAVEN CCG (02N)EQ-5D Index</v>
      </c>
      <c r="C2675" t="s">
        <v>247</v>
      </c>
      <c r="D2675" t="s">
        <v>87</v>
      </c>
      <c r="E2675" t="s">
        <v>566</v>
      </c>
      <c r="F2675" t="s">
        <v>567</v>
      </c>
      <c r="G2675" t="s">
        <v>52</v>
      </c>
      <c r="H2675">
        <v>11</v>
      </c>
      <c r="I2675">
        <v>0.34300000000000003</v>
      </c>
      <c r="J2675">
        <v>0.70099999999999996</v>
      </c>
      <c r="K2675">
        <v>0.35799999999999998</v>
      </c>
      <c r="L2675">
        <v>7</v>
      </c>
      <c r="M2675">
        <v>1</v>
      </c>
      <c r="N2675">
        <v>3</v>
      </c>
      <c r="O2675" t="s">
        <v>53</v>
      </c>
      <c r="P2675" t="s">
        <v>53</v>
      </c>
      <c r="Q2675" t="s">
        <v>53</v>
      </c>
    </row>
    <row r="2676" spans="1:17" x14ac:dyDescent="0.2">
      <c r="A2676" s="30" t="str">
        <f>IF(C2676&amp;G2676&amp;D2676&lt;&gt;'Funnel setup'!$K$3&amp;'Funnel setup'!$K$4&amp;'Funnel setup'!$K$5,".",IF(A2675=".",1,A2675+1))</f>
        <v>.</v>
      </c>
      <c r="B2676" s="431" t="str">
        <f t="shared" si="41"/>
        <v>Hip Replacement RevisionCCG of GP PracticeNHS ASHFORD CCG (09C)EQ-5D Index</v>
      </c>
      <c r="C2676" t="s">
        <v>247</v>
      </c>
      <c r="D2676" t="s">
        <v>87</v>
      </c>
      <c r="E2676" t="s">
        <v>569</v>
      </c>
      <c r="F2676" t="s">
        <v>339</v>
      </c>
      <c r="G2676" t="s">
        <v>52</v>
      </c>
      <c r="H2676">
        <v>10</v>
      </c>
      <c r="I2676">
        <v>0.32500000000000001</v>
      </c>
      <c r="J2676">
        <v>0.72099999999999997</v>
      </c>
      <c r="K2676">
        <v>0.39600000000000002</v>
      </c>
      <c r="L2676">
        <v>9</v>
      </c>
      <c r="M2676">
        <v>0</v>
      </c>
      <c r="N2676">
        <v>1</v>
      </c>
      <c r="O2676" t="s">
        <v>53</v>
      </c>
      <c r="P2676" t="s">
        <v>53</v>
      </c>
      <c r="Q2676" t="s">
        <v>53</v>
      </c>
    </row>
    <row r="2677" spans="1:17" x14ac:dyDescent="0.2">
      <c r="A2677" s="30" t="str">
        <f>IF(C2677&amp;G2677&amp;D2677&lt;&gt;'Funnel setup'!$K$3&amp;'Funnel setup'!$K$4&amp;'Funnel setup'!$K$5,".",IF(A2676=".",1,A2676+1))</f>
        <v>.</v>
      </c>
      <c r="B2677" s="431" t="str">
        <f t="shared" si="41"/>
        <v>Hip Replacement RevisionCCG of GP PracticeNHS AYLESBURY VALE CCG (10Y)EQ-5D Index</v>
      </c>
      <c r="C2677" t="s">
        <v>247</v>
      </c>
      <c r="D2677" t="s">
        <v>87</v>
      </c>
      <c r="E2677" t="s">
        <v>571</v>
      </c>
      <c r="F2677" t="s">
        <v>572</v>
      </c>
      <c r="G2677" t="s">
        <v>52</v>
      </c>
      <c r="H2677">
        <v>7</v>
      </c>
      <c r="I2677">
        <v>0.54100000000000004</v>
      </c>
      <c r="J2677">
        <v>0.82699999999999996</v>
      </c>
      <c r="K2677">
        <v>0.28599999999999998</v>
      </c>
      <c r="L2677">
        <v>6</v>
      </c>
      <c r="M2677">
        <v>1</v>
      </c>
      <c r="N2677">
        <v>0</v>
      </c>
      <c r="O2677" t="s">
        <v>53</v>
      </c>
      <c r="P2677" t="s">
        <v>53</v>
      </c>
      <c r="Q2677" t="s">
        <v>53</v>
      </c>
    </row>
    <row r="2678" spans="1:17" x14ac:dyDescent="0.2">
      <c r="A2678" s="30" t="str">
        <f>IF(C2678&amp;G2678&amp;D2678&lt;&gt;'Funnel setup'!$K$3&amp;'Funnel setup'!$K$4&amp;'Funnel setup'!$K$5,".",IF(A2677=".",1,A2677+1))</f>
        <v>.</v>
      </c>
      <c r="B2678" s="431" t="str">
        <f t="shared" si="41"/>
        <v>Hip Replacement RevisionCCG of GP PracticeNHS BARKING AND DAGENHAM CCG (07L)EQ-5D Index</v>
      </c>
      <c r="C2678" t="s">
        <v>247</v>
      </c>
      <c r="D2678" t="s">
        <v>87</v>
      </c>
      <c r="E2678" t="s">
        <v>574</v>
      </c>
      <c r="F2678" t="s">
        <v>575</v>
      </c>
      <c r="G2678" t="s">
        <v>52</v>
      </c>
      <c r="H2678" t="s">
        <v>53</v>
      </c>
      <c r="I2678" t="s">
        <v>53</v>
      </c>
      <c r="J2678" t="s">
        <v>53</v>
      </c>
      <c r="K2678" t="s">
        <v>53</v>
      </c>
      <c r="L2678" t="s">
        <v>53</v>
      </c>
      <c r="M2678" t="s">
        <v>53</v>
      </c>
      <c r="N2678" t="s">
        <v>53</v>
      </c>
      <c r="O2678" t="s">
        <v>53</v>
      </c>
      <c r="P2678" t="s">
        <v>53</v>
      </c>
      <c r="Q2678" t="s">
        <v>53</v>
      </c>
    </row>
    <row r="2679" spans="1:17" x14ac:dyDescent="0.2">
      <c r="A2679" s="30" t="str">
        <f>IF(C2679&amp;G2679&amp;D2679&lt;&gt;'Funnel setup'!$K$3&amp;'Funnel setup'!$K$4&amp;'Funnel setup'!$K$5,".",IF(A2678=".",1,A2678+1))</f>
        <v>.</v>
      </c>
      <c r="B2679" s="431" t="str">
        <f t="shared" si="41"/>
        <v>Hip Replacement RevisionCCG of GP PracticeNHS BARNET CCG (07M)EQ-5D Index</v>
      </c>
      <c r="C2679" t="s">
        <v>247</v>
      </c>
      <c r="D2679" t="s">
        <v>87</v>
      </c>
      <c r="E2679" t="s">
        <v>577</v>
      </c>
      <c r="F2679" t="s">
        <v>578</v>
      </c>
      <c r="G2679" t="s">
        <v>52</v>
      </c>
      <c r="H2679" t="s">
        <v>53</v>
      </c>
      <c r="I2679" t="s">
        <v>53</v>
      </c>
      <c r="J2679" t="s">
        <v>53</v>
      </c>
      <c r="K2679" t="s">
        <v>53</v>
      </c>
      <c r="L2679" t="s">
        <v>53</v>
      </c>
      <c r="M2679" t="s">
        <v>53</v>
      </c>
      <c r="N2679" t="s">
        <v>53</v>
      </c>
      <c r="O2679" t="s">
        <v>53</v>
      </c>
      <c r="P2679" t="s">
        <v>53</v>
      </c>
      <c r="Q2679" t="s">
        <v>53</v>
      </c>
    </row>
    <row r="2680" spans="1:17" x14ac:dyDescent="0.2">
      <c r="A2680" s="30" t="str">
        <f>IF(C2680&amp;G2680&amp;D2680&lt;&gt;'Funnel setup'!$K$3&amp;'Funnel setup'!$K$4&amp;'Funnel setup'!$K$5,".",IF(A2679=".",1,A2679+1))</f>
        <v>.</v>
      </c>
      <c r="B2680" s="431" t="str">
        <f t="shared" si="41"/>
        <v>Hip Replacement RevisionCCG of GP PracticeNHS BARNSLEY CCG (02P)EQ-5D Index</v>
      </c>
      <c r="C2680" t="s">
        <v>247</v>
      </c>
      <c r="D2680" t="s">
        <v>87</v>
      </c>
      <c r="E2680" t="s">
        <v>580</v>
      </c>
      <c r="F2680" t="s">
        <v>581</v>
      </c>
      <c r="G2680" t="s">
        <v>52</v>
      </c>
      <c r="H2680">
        <v>8</v>
      </c>
      <c r="I2680">
        <v>0.29499999999999998</v>
      </c>
      <c r="J2680">
        <v>0.38700000000000001</v>
      </c>
      <c r="K2680">
        <v>9.1999999999999998E-2</v>
      </c>
      <c r="L2680">
        <v>3</v>
      </c>
      <c r="M2680">
        <v>1</v>
      </c>
      <c r="N2680">
        <v>4</v>
      </c>
      <c r="O2680" t="s">
        <v>53</v>
      </c>
      <c r="P2680" t="s">
        <v>53</v>
      </c>
      <c r="Q2680" t="s">
        <v>53</v>
      </c>
    </row>
    <row r="2681" spans="1:17" x14ac:dyDescent="0.2">
      <c r="A2681" s="30" t="str">
        <f>IF(C2681&amp;G2681&amp;D2681&lt;&gt;'Funnel setup'!$K$3&amp;'Funnel setup'!$K$4&amp;'Funnel setup'!$K$5,".",IF(A2680=".",1,A2680+1))</f>
        <v>.</v>
      </c>
      <c r="B2681" s="431" t="str">
        <f t="shared" si="41"/>
        <v>Hip Replacement RevisionCCG of GP PracticeNHS BASILDON AND BRENTWOOD CCG (99E)EQ-5D Index</v>
      </c>
      <c r="C2681" t="s">
        <v>247</v>
      </c>
      <c r="D2681" t="s">
        <v>87</v>
      </c>
      <c r="E2681" t="s">
        <v>583</v>
      </c>
      <c r="F2681" t="s">
        <v>584</v>
      </c>
      <c r="G2681" t="s">
        <v>52</v>
      </c>
      <c r="H2681">
        <v>9</v>
      </c>
      <c r="I2681">
        <v>0.38700000000000001</v>
      </c>
      <c r="J2681">
        <v>0.68200000000000005</v>
      </c>
      <c r="K2681">
        <v>0.29499999999999998</v>
      </c>
      <c r="L2681">
        <v>6</v>
      </c>
      <c r="M2681">
        <v>2</v>
      </c>
      <c r="N2681">
        <v>1</v>
      </c>
      <c r="O2681" t="s">
        <v>53</v>
      </c>
      <c r="P2681" t="s">
        <v>53</v>
      </c>
      <c r="Q2681" t="s">
        <v>53</v>
      </c>
    </row>
    <row r="2682" spans="1:17" x14ac:dyDescent="0.2">
      <c r="A2682" s="30" t="str">
        <f>IF(C2682&amp;G2682&amp;D2682&lt;&gt;'Funnel setup'!$K$3&amp;'Funnel setup'!$K$4&amp;'Funnel setup'!$K$5,".",IF(A2681=".",1,A2681+1))</f>
        <v>.</v>
      </c>
      <c r="B2682" s="431" t="str">
        <f t="shared" si="41"/>
        <v>Hip Replacement RevisionCCG of GP PracticeNHS BASSETLAW CCG (02Q)EQ-5D Index</v>
      </c>
      <c r="C2682" t="s">
        <v>247</v>
      </c>
      <c r="D2682" t="s">
        <v>87</v>
      </c>
      <c r="E2682" t="s">
        <v>586</v>
      </c>
      <c r="F2682" t="s">
        <v>587</v>
      </c>
      <c r="G2682" t="s">
        <v>52</v>
      </c>
      <c r="H2682" t="s">
        <v>53</v>
      </c>
      <c r="I2682" t="s">
        <v>53</v>
      </c>
      <c r="J2682" t="s">
        <v>53</v>
      </c>
      <c r="K2682" t="s">
        <v>53</v>
      </c>
      <c r="L2682" t="s">
        <v>53</v>
      </c>
      <c r="M2682" t="s">
        <v>53</v>
      </c>
      <c r="N2682" t="s">
        <v>53</v>
      </c>
      <c r="O2682" t="s">
        <v>53</v>
      </c>
      <c r="P2682" t="s">
        <v>53</v>
      </c>
      <c r="Q2682" t="s">
        <v>53</v>
      </c>
    </row>
    <row r="2683" spans="1:17" x14ac:dyDescent="0.2">
      <c r="A2683" s="30" t="str">
        <f>IF(C2683&amp;G2683&amp;D2683&lt;&gt;'Funnel setup'!$K$3&amp;'Funnel setup'!$K$4&amp;'Funnel setup'!$K$5,".",IF(A2682=".",1,A2682+1))</f>
        <v>.</v>
      </c>
      <c r="B2683" s="431" t="str">
        <f t="shared" si="41"/>
        <v>Hip Replacement RevisionCCG of GP PracticeNHS BATH AND NORTH EAST SOMERSET CCG (11E)EQ-5D Index</v>
      </c>
      <c r="C2683" t="s">
        <v>247</v>
      </c>
      <c r="D2683" t="s">
        <v>87</v>
      </c>
      <c r="E2683" t="s">
        <v>589</v>
      </c>
      <c r="F2683" t="s">
        <v>590</v>
      </c>
      <c r="G2683" t="s">
        <v>52</v>
      </c>
      <c r="H2683">
        <v>20</v>
      </c>
      <c r="I2683">
        <v>0.53400000000000003</v>
      </c>
      <c r="J2683">
        <v>0.73099999999999998</v>
      </c>
      <c r="K2683">
        <v>0.19800000000000001</v>
      </c>
      <c r="L2683">
        <v>9</v>
      </c>
      <c r="M2683">
        <v>8</v>
      </c>
      <c r="N2683">
        <v>3</v>
      </c>
      <c r="O2683" t="s">
        <v>53</v>
      </c>
      <c r="P2683" t="s">
        <v>53</v>
      </c>
      <c r="Q2683" t="s">
        <v>53</v>
      </c>
    </row>
    <row r="2684" spans="1:17" x14ac:dyDescent="0.2">
      <c r="A2684" s="30" t="str">
        <f>IF(C2684&amp;G2684&amp;D2684&lt;&gt;'Funnel setup'!$K$3&amp;'Funnel setup'!$K$4&amp;'Funnel setup'!$K$5,".",IF(A2683=".",1,A2683+1))</f>
        <v>.</v>
      </c>
      <c r="B2684" s="431" t="str">
        <f t="shared" si="41"/>
        <v>Hip Replacement RevisionCCG of GP PracticeNHS BEDFORDSHIRE CCG (06F)EQ-5D Index</v>
      </c>
      <c r="C2684" t="s">
        <v>247</v>
      </c>
      <c r="D2684" t="s">
        <v>87</v>
      </c>
      <c r="E2684" t="s">
        <v>592</v>
      </c>
      <c r="F2684" t="s">
        <v>593</v>
      </c>
      <c r="G2684" t="s">
        <v>52</v>
      </c>
      <c r="H2684">
        <v>16</v>
      </c>
      <c r="I2684">
        <v>0.34699999999999998</v>
      </c>
      <c r="J2684">
        <v>0.66500000000000004</v>
      </c>
      <c r="K2684">
        <v>0.318</v>
      </c>
      <c r="L2684">
        <v>12</v>
      </c>
      <c r="M2684">
        <v>4</v>
      </c>
      <c r="N2684">
        <v>0</v>
      </c>
      <c r="O2684" t="s">
        <v>53</v>
      </c>
      <c r="P2684" t="s">
        <v>53</v>
      </c>
      <c r="Q2684" t="s">
        <v>53</v>
      </c>
    </row>
    <row r="2685" spans="1:17" x14ac:dyDescent="0.2">
      <c r="A2685" s="30" t="str">
        <f>IF(C2685&amp;G2685&amp;D2685&lt;&gt;'Funnel setup'!$K$3&amp;'Funnel setup'!$K$4&amp;'Funnel setup'!$K$5,".",IF(A2684=".",1,A2684+1))</f>
        <v>.</v>
      </c>
      <c r="B2685" s="431" t="str">
        <f t="shared" si="41"/>
        <v>Hip Replacement RevisionCCG of GP PracticeNHS BEXLEY CCG (07N)EQ-5D Index</v>
      </c>
      <c r="C2685" t="s">
        <v>247</v>
      </c>
      <c r="D2685" t="s">
        <v>87</v>
      </c>
      <c r="E2685" t="s">
        <v>595</v>
      </c>
      <c r="F2685" t="s">
        <v>596</v>
      </c>
      <c r="G2685" t="s">
        <v>52</v>
      </c>
      <c r="H2685" t="s">
        <v>53</v>
      </c>
      <c r="I2685" t="s">
        <v>53</v>
      </c>
      <c r="J2685" t="s">
        <v>53</v>
      </c>
      <c r="K2685" t="s">
        <v>53</v>
      </c>
      <c r="L2685" t="s">
        <v>53</v>
      </c>
      <c r="M2685" t="s">
        <v>53</v>
      </c>
      <c r="N2685" t="s">
        <v>53</v>
      </c>
      <c r="O2685" t="s">
        <v>53</v>
      </c>
      <c r="P2685" t="s">
        <v>53</v>
      </c>
      <c r="Q2685" t="s">
        <v>53</v>
      </c>
    </row>
    <row r="2686" spans="1:17" x14ac:dyDescent="0.2">
      <c r="A2686" s="30" t="str">
        <f>IF(C2686&amp;G2686&amp;D2686&lt;&gt;'Funnel setup'!$K$3&amp;'Funnel setup'!$K$4&amp;'Funnel setup'!$K$5,".",IF(A2685=".",1,A2685+1))</f>
        <v>.</v>
      </c>
      <c r="B2686" s="431" t="str">
        <f t="shared" si="41"/>
        <v>Hip Replacement RevisionCCG of GP PracticeNHS BIRMINGHAM CROSSCITY CCG (13P)EQ-5D Index</v>
      </c>
      <c r="C2686" t="s">
        <v>247</v>
      </c>
      <c r="D2686" t="s">
        <v>87</v>
      </c>
      <c r="E2686" t="s">
        <v>598</v>
      </c>
      <c r="F2686" t="s">
        <v>599</v>
      </c>
      <c r="G2686" t="s">
        <v>52</v>
      </c>
      <c r="H2686">
        <v>30</v>
      </c>
      <c r="I2686">
        <v>0.36799999999999999</v>
      </c>
      <c r="J2686">
        <v>0.65400000000000003</v>
      </c>
      <c r="K2686">
        <v>0.28699999999999998</v>
      </c>
      <c r="L2686">
        <v>22</v>
      </c>
      <c r="M2686">
        <v>1</v>
      </c>
      <c r="N2686">
        <v>7</v>
      </c>
      <c r="O2686">
        <v>0.67400000000000004</v>
      </c>
      <c r="P2686">
        <v>0.27502773899999999</v>
      </c>
      <c r="Q2686">
        <v>0.17499999999999999</v>
      </c>
    </row>
    <row r="2687" spans="1:17" x14ac:dyDescent="0.2">
      <c r="A2687" s="30" t="str">
        <f>IF(C2687&amp;G2687&amp;D2687&lt;&gt;'Funnel setup'!$K$3&amp;'Funnel setup'!$K$4&amp;'Funnel setup'!$K$5,".",IF(A2686=".",1,A2686+1))</f>
        <v>.</v>
      </c>
      <c r="B2687" s="431" t="str">
        <f t="shared" si="41"/>
        <v>Hip Replacement RevisionCCG of GP PracticeNHS BIRMINGHAM SOUTH AND CENTRAL CCG (04X)EQ-5D Index</v>
      </c>
      <c r="C2687" t="s">
        <v>247</v>
      </c>
      <c r="D2687" t="s">
        <v>87</v>
      </c>
      <c r="E2687" t="s">
        <v>601</v>
      </c>
      <c r="F2687" t="s">
        <v>602</v>
      </c>
      <c r="G2687" t="s">
        <v>52</v>
      </c>
      <c r="H2687">
        <v>6</v>
      </c>
      <c r="I2687">
        <v>0.39500000000000002</v>
      </c>
      <c r="J2687">
        <v>0.69899999999999995</v>
      </c>
      <c r="K2687">
        <v>0.30399999999999999</v>
      </c>
      <c r="L2687">
        <v>4</v>
      </c>
      <c r="M2687">
        <v>1</v>
      </c>
      <c r="N2687">
        <v>1</v>
      </c>
      <c r="O2687" t="s">
        <v>53</v>
      </c>
      <c r="P2687" t="s">
        <v>53</v>
      </c>
      <c r="Q2687" t="s">
        <v>53</v>
      </c>
    </row>
    <row r="2688" spans="1:17" x14ac:dyDescent="0.2">
      <c r="A2688" s="30" t="str">
        <f>IF(C2688&amp;G2688&amp;D2688&lt;&gt;'Funnel setup'!$K$3&amp;'Funnel setup'!$K$4&amp;'Funnel setup'!$K$5,".",IF(A2687=".",1,A2687+1))</f>
        <v>.</v>
      </c>
      <c r="B2688" s="431" t="str">
        <f t="shared" si="41"/>
        <v>Hip Replacement RevisionCCG of GP PracticeNHS BLACKBURN WITH DARWEN CCG (00Q)EQ-5D Index</v>
      </c>
      <c r="C2688" t="s">
        <v>247</v>
      </c>
      <c r="D2688" t="s">
        <v>87</v>
      </c>
      <c r="E2688" t="s">
        <v>604</v>
      </c>
      <c r="F2688" t="s">
        <v>605</v>
      </c>
      <c r="G2688" t="s">
        <v>52</v>
      </c>
      <c r="H2688" t="s">
        <v>53</v>
      </c>
      <c r="I2688" t="s">
        <v>53</v>
      </c>
      <c r="J2688" t="s">
        <v>53</v>
      </c>
      <c r="K2688" t="s">
        <v>53</v>
      </c>
      <c r="L2688" t="s">
        <v>53</v>
      </c>
      <c r="M2688" t="s">
        <v>53</v>
      </c>
      <c r="N2688" t="s">
        <v>53</v>
      </c>
      <c r="O2688" t="s">
        <v>53</v>
      </c>
      <c r="P2688" t="s">
        <v>53</v>
      </c>
      <c r="Q2688" t="s">
        <v>53</v>
      </c>
    </row>
    <row r="2689" spans="1:17" x14ac:dyDescent="0.2">
      <c r="A2689" s="30" t="str">
        <f>IF(C2689&amp;G2689&amp;D2689&lt;&gt;'Funnel setup'!$K$3&amp;'Funnel setup'!$K$4&amp;'Funnel setup'!$K$5,".",IF(A2688=".",1,A2688+1))</f>
        <v>.</v>
      </c>
      <c r="B2689" s="431" t="str">
        <f t="shared" si="41"/>
        <v>Hip Replacement RevisionCCG of GP PracticeNHS BLACKPOOL CCG (00R)EQ-5D Index</v>
      </c>
      <c r="C2689" t="s">
        <v>247</v>
      </c>
      <c r="D2689" t="s">
        <v>87</v>
      </c>
      <c r="E2689" t="s">
        <v>607</v>
      </c>
      <c r="F2689" t="s">
        <v>608</v>
      </c>
      <c r="G2689" t="s">
        <v>52</v>
      </c>
      <c r="H2689" t="s">
        <v>53</v>
      </c>
      <c r="I2689" t="s">
        <v>53</v>
      </c>
      <c r="J2689" t="s">
        <v>53</v>
      </c>
      <c r="K2689" t="s">
        <v>53</v>
      </c>
      <c r="L2689" t="s">
        <v>53</v>
      </c>
      <c r="M2689" t="s">
        <v>53</v>
      </c>
      <c r="N2689" t="s">
        <v>53</v>
      </c>
      <c r="O2689" t="s">
        <v>53</v>
      </c>
      <c r="P2689" t="s">
        <v>53</v>
      </c>
      <c r="Q2689" t="s">
        <v>53</v>
      </c>
    </row>
    <row r="2690" spans="1:17" x14ac:dyDescent="0.2">
      <c r="A2690" s="30" t="str">
        <f>IF(C2690&amp;G2690&amp;D2690&lt;&gt;'Funnel setup'!$K$3&amp;'Funnel setup'!$K$4&amp;'Funnel setup'!$K$5,".",IF(A2689=".",1,A2689+1))</f>
        <v>.</v>
      </c>
      <c r="B2690" s="431" t="str">
        <f t="shared" si="41"/>
        <v>Hip Replacement RevisionCCG of GP PracticeNHS BOLTON CCG (00T)EQ-5D Index</v>
      </c>
      <c r="C2690" t="s">
        <v>247</v>
      </c>
      <c r="D2690" t="s">
        <v>87</v>
      </c>
      <c r="E2690" t="s">
        <v>683</v>
      </c>
      <c r="F2690" t="s">
        <v>684</v>
      </c>
      <c r="G2690" t="s">
        <v>52</v>
      </c>
      <c r="H2690" t="s">
        <v>53</v>
      </c>
      <c r="I2690" t="s">
        <v>53</v>
      </c>
      <c r="J2690" t="s">
        <v>53</v>
      </c>
      <c r="K2690" t="s">
        <v>53</v>
      </c>
      <c r="L2690" t="s">
        <v>53</v>
      </c>
      <c r="M2690" t="s">
        <v>53</v>
      </c>
      <c r="N2690" t="s">
        <v>53</v>
      </c>
      <c r="O2690" t="s">
        <v>53</v>
      </c>
      <c r="P2690" t="s">
        <v>53</v>
      </c>
      <c r="Q2690" t="s">
        <v>53</v>
      </c>
    </row>
    <row r="2691" spans="1:17" x14ac:dyDescent="0.2">
      <c r="A2691" s="30" t="str">
        <f>IF(C2691&amp;G2691&amp;D2691&lt;&gt;'Funnel setup'!$K$3&amp;'Funnel setup'!$K$4&amp;'Funnel setup'!$K$5,".",IF(A2690=".",1,A2690+1))</f>
        <v>.</v>
      </c>
      <c r="B2691" s="431" t="str">
        <f t="shared" ref="B2691:B2754" si="42">C2691&amp;D2691&amp;F2691&amp;G2691</f>
        <v>Hip Replacement RevisionCCG of GP PracticeNHS BRACKNELL AND ASCOT CCG (10G)EQ-5D Index</v>
      </c>
      <c r="C2691" t="s">
        <v>247</v>
      </c>
      <c r="D2691" t="s">
        <v>87</v>
      </c>
      <c r="E2691" t="s">
        <v>686</v>
      </c>
      <c r="F2691" t="s">
        <v>687</v>
      </c>
      <c r="G2691" t="s">
        <v>52</v>
      </c>
      <c r="H2691" t="s">
        <v>53</v>
      </c>
      <c r="I2691" t="s">
        <v>53</v>
      </c>
      <c r="J2691" t="s">
        <v>53</v>
      </c>
      <c r="K2691" t="s">
        <v>53</v>
      </c>
      <c r="L2691" t="s">
        <v>53</v>
      </c>
      <c r="M2691" t="s">
        <v>53</v>
      </c>
      <c r="N2691" t="s">
        <v>53</v>
      </c>
      <c r="O2691" t="s">
        <v>53</v>
      </c>
      <c r="P2691" t="s">
        <v>53</v>
      </c>
      <c r="Q2691" t="s">
        <v>53</v>
      </c>
    </row>
    <row r="2692" spans="1:17" x14ac:dyDescent="0.2">
      <c r="A2692" s="30" t="str">
        <f>IF(C2692&amp;G2692&amp;D2692&lt;&gt;'Funnel setup'!$K$3&amp;'Funnel setup'!$K$4&amp;'Funnel setup'!$K$5,".",IF(A2691=".",1,A2691+1))</f>
        <v>.</v>
      </c>
      <c r="B2692" s="431" t="str">
        <f t="shared" si="42"/>
        <v>Hip Replacement RevisionCCG of GP PracticeNHS BRADFORD DISTRICTS CCG (02R)EQ-5D Index</v>
      </c>
      <c r="C2692" t="s">
        <v>247</v>
      </c>
      <c r="D2692" t="s">
        <v>87</v>
      </c>
      <c r="E2692" t="s">
        <v>692</v>
      </c>
      <c r="F2692" t="s">
        <v>693</v>
      </c>
      <c r="G2692" t="s">
        <v>52</v>
      </c>
      <c r="H2692">
        <v>10</v>
      </c>
      <c r="I2692">
        <v>0.42599999999999999</v>
      </c>
      <c r="J2692">
        <v>0.80700000000000005</v>
      </c>
      <c r="K2692">
        <v>0.38100000000000001</v>
      </c>
      <c r="L2692">
        <v>9</v>
      </c>
      <c r="M2692">
        <v>1</v>
      </c>
      <c r="N2692">
        <v>0</v>
      </c>
      <c r="O2692" t="s">
        <v>53</v>
      </c>
      <c r="P2692" t="s">
        <v>53</v>
      </c>
      <c r="Q2692" t="s">
        <v>53</v>
      </c>
    </row>
    <row r="2693" spans="1:17" x14ac:dyDescent="0.2">
      <c r="A2693" s="30" t="str">
        <f>IF(C2693&amp;G2693&amp;D2693&lt;&gt;'Funnel setup'!$K$3&amp;'Funnel setup'!$K$4&amp;'Funnel setup'!$K$5,".",IF(A2692=".",1,A2692+1))</f>
        <v>.</v>
      </c>
      <c r="B2693" s="431" t="str">
        <f t="shared" si="42"/>
        <v>Hip Replacement RevisionCCG of GP PracticeNHS BRENT CCG (07P)EQ-5D Index</v>
      </c>
      <c r="C2693" t="s">
        <v>247</v>
      </c>
      <c r="D2693" t="s">
        <v>87</v>
      </c>
      <c r="E2693" t="s">
        <v>695</v>
      </c>
      <c r="F2693" t="s">
        <v>696</v>
      </c>
      <c r="G2693" t="s">
        <v>52</v>
      </c>
      <c r="H2693" t="s">
        <v>53</v>
      </c>
      <c r="I2693" t="s">
        <v>53</v>
      </c>
      <c r="J2693" t="s">
        <v>53</v>
      </c>
      <c r="K2693" t="s">
        <v>53</v>
      </c>
      <c r="L2693" t="s">
        <v>53</v>
      </c>
      <c r="M2693" t="s">
        <v>53</v>
      </c>
      <c r="N2693" t="s">
        <v>53</v>
      </c>
      <c r="O2693" t="s">
        <v>53</v>
      </c>
      <c r="P2693" t="s">
        <v>53</v>
      </c>
      <c r="Q2693" t="s">
        <v>53</v>
      </c>
    </row>
    <row r="2694" spans="1:17" x14ac:dyDescent="0.2">
      <c r="A2694" s="30" t="str">
        <f>IF(C2694&amp;G2694&amp;D2694&lt;&gt;'Funnel setup'!$K$3&amp;'Funnel setup'!$K$4&amp;'Funnel setup'!$K$5,".",IF(A2693=".",1,A2693+1))</f>
        <v>.</v>
      </c>
      <c r="B2694" s="431" t="str">
        <f t="shared" si="42"/>
        <v>Hip Replacement RevisionCCG of GP PracticeNHS BRIGHTON AND HOVE CCG (09D)EQ-5D Index</v>
      </c>
      <c r="C2694" t="s">
        <v>247</v>
      </c>
      <c r="D2694" t="s">
        <v>87</v>
      </c>
      <c r="E2694" t="s">
        <v>698</v>
      </c>
      <c r="F2694" t="s">
        <v>699</v>
      </c>
      <c r="G2694" t="s">
        <v>52</v>
      </c>
      <c r="H2694">
        <v>11</v>
      </c>
      <c r="I2694">
        <v>0.34699999999999998</v>
      </c>
      <c r="J2694">
        <v>0.61599999999999999</v>
      </c>
      <c r="K2694">
        <v>0.26900000000000002</v>
      </c>
      <c r="L2694">
        <v>8</v>
      </c>
      <c r="M2694">
        <v>1</v>
      </c>
      <c r="N2694">
        <v>2</v>
      </c>
      <c r="O2694" t="s">
        <v>53</v>
      </c>
      <c r="P2694" t="s">
        <v>53</v>
      </c>
      <c r="Q2694" t="s">
        <v>53</v>
      </c>
    </row>
    <row r="2695" spans="1:17" x14ac:dyDescent="0.2">
      <c r="A2695" s="30" t="str">
        <f>IF(C2695&amp;G2695&amp;D2695&lt;&gt;'Funnel setup'!$K$3&amp;'Funnel setup'!$K$4&amp;'Funnel setup'!$K$5,".",IF(A2694=".",1,A2694+1))</f>
        <v>.</v>
      </c>
      <c r="B2695" s="431" t="str">
        <f t="shared" si="42"/>
        <v>Hip Replacement RevisionCCG of GP PracticeNHS BRISTOL CCG (11H)EQ-5D Index</v>
      </c>
      <c r="C2695" t="s">
        <v>247</v>
      </c>
      <c r="D2695" t="s">
        <v>87</v>
      </c>
      <c r="E2695" t="s">
        <v>701</v>
      </c>
      <c r="F2695" t="s">
        <v>702</v>
      </c>
      <c r="G2695" t="s">
        <v>52</v>
      </c>
      <c r="H2695">
        <v>6</v>
      </c>
      <c r="I2695">
        <v>0.45400000000000001</v>
      </c>
      <c r="J2695">
        <v>0.48299999999999998</v>
      </c>
      <c r="K2695">
        <v>2.9000000000000001E-2</v>
      </c>
      <c r="L2695">
        <v>3</v>
      </c>
      <c r="M2695">
        <v>1</v>
      </c>
      <c r="N2695">
        <v>2</v>
      </c>
      <c r="O2695" t="s">
        <v>53</v>
      </c>
      <c r="P2695" t="s">
        <v>53</v>
      </c>
      <c r="Q2695" t="s">
        <v>53</v>
      </c>
    </row>
    <row r="2696" spans="1:17" x14ac:dyDescent="0.2">
      <c r="A2696" s="30" t="str">
        <f>IF(C2696&amp;G2696&amp;D2696&lt;&gt;'Funnel setup'!$K$3&amp;'Funnel setup'!$K$4&amp;'Funnel setup'!$K$5,".",IF(A2695=".",1,A2695+1))</f>
        <v>.</v>
      </c>
      <c r="B2696" s="431" t="str">
        <f t="shared" si="42"/>
        <v>Hip Replacement RevisionCCG of GP PracticeNHS BROMLEY CCG (07Q)EQ-5D Index</v>
      </c>
      <c r="C2696" t="s">
        <v>247</v>
      </c>
      <c r="D2696" t="s">
        <v>87</v>
      </c>
      <c r="E2696" t="s">
        <v>704</v>
      </c>
      <c r="F2696" t="s">
        <v>705</v>
      </c>
      <c r="G2696" t="s">
        <v>52</v>
      </c>
      <c r="H2696" t="s">
        <v>53</v>
      </c>
      <c r="I2696" t="s">
        <v>53</v>
      </c>
      <c r="J2696" t="s">
        <v>53</v>
      </c>
      <c r="K2696" t="s">
        <v>53</v>
      </c>
      <c r="L2696" t="s">
        <v>53</v>
      </c>
      <c r="M2696" t="s">
        <v>53</v>
      </c>
      <c r="N2696" t="s">
        <v>53</v>
      </c>
      <c r="O2696" t="s">
        <v>53</v>
      </c>
      <c r="P2696" t="s">
        <v>53</v>
      </c>
      <c r="Q2696" t="s">
        <v>53</v>
      </c>
    </row>
    <row r="2697" spans="1:17" x14ac:dyDescent="0.2">
      <c r="A2697" s="30" t="str">
        <f>IF(C2697&amp;G2697&amp;D2697&lt;&gt;'Funnel setup'!$K$3&amp;'Funnel setup'!$K$4&amp;'Funnel setup'!$K$5,".",IF(A2696=".",1,A2696+1))</f>
        <v>.</v>
      </c>
      <c r="B2697" s="431" t="str">
        <f t="shared" si="42"/>
        <v>Hip Replacement RevisionCCG of GP PracticeNHS BURY CCG (00V)EQ-5D Index</v>
      </c>
      <c r="C2697" t="s">
        <v>247</v>
      </c>
      <c r="D2697" t="s">
        <v>87</v>
      </c>
      <c r="E2697" t="s">
        <v>707</v>
      </c>
      <c r="F2697" t="s">
        <v>708</v>
      </c>
      <c r="G2697" t="s">
        <v>52</v>
      </c>
      <c r="H2697" t="s">
        <v>53</v>
      </c>
      <c r="I2697" t="s">
        <v>53</v>
      </c>
      <c r="J2697" t="s">
        <v>53</v>
      </c>
      <c r="K2697" t="s">
        <v>53</v>
      </c>
      <c r="L2697" t="s">
        <v>53</v>
      </c>
      <c r="M2697" t="s">
        <v>53</v>
      </c>
      <c r="N2697" t="s">
        <v>53</v>
      </c>
      <c r="O2697" t="s">
        <v>53</v>
      </c>
      <c r="P2697" t="s">
        <v>53</v>
      </c>
      <c r="Q2697" t="s">
        <v>53</v>
      </c>
    </row>
    <row r="2698" spans="1:17" x14ac:dyDescent="0.2">
      <c r="A2698" s="30" t="str">
        <f>IF(C2698&amp;G2698&amp;D2698&lt;&gt;'Funnel setup'!$K$3&amp;'Funnel setup'!$K$4&amp;'Funnel setup'!$K$5,".",IF(A2697=".",1,A2697+1))</f>
        <v>.</v>
      </c>
      <c r="B2698" s="431" t="str">
        <f t="shared" si="42"/>
        <v>Hip Replacement RevisionCCG of GP PracticeNHS CALDERDALE CCG (02T)EQ-5D Index</v>
      </c>
      <c r="C2698" t="s">
        <v>247</v>
      </c>
      <c r="D2698" t="s">
        <v>87</v>
      </c>
      <c r="E2698" t="s">
        <v>710</v>
      </c>
      <c r="F2698" t="s">
        <v>711</v>
      </c>
      <c r="G2698" t="s">
        <v>52</v>
      </c>
      <c r="H2698">
        <v>13</v>
      </c>
      <c r="I2698">
        <v>0.59299999999999997</v>
      </c>
      <c r="J2698">
        <v>0.77200000000000002</v>
      </c>
      <c r="K2698">
        <v>0.17899999999999999</v>
      </c>
      <c r="L2698">
        <v>9</v>
      </c>
      <c r="M2698">
        <v>2</v>
      </c>
      <c r="N2698">
        <v>2</v>
      </c>
      <c r="O2698" t="s">
        <v>53</v>
      </c>
      <c r="P2698" t="s">
        <v>53</v>
      </c>
      <c r="Q2698" t="s">
        <v>53</v>
      </c>
    </row>
    <row r="2699" spans="1:17" x14ac:dyDescent="0.2">
      <c r="A2699" s="30" t="str">
        <f>IF(C2699&amp;G2699&amp;D2699&lt;&gt;'Funnel setup'!$K$3&amp;'Funnel setup'!$K$4&amp;'Funnel setup'!$K$5,".",IF(A2698=".",1,A2698+1))</f>
        <v>.</v>
      </c>
      <c r="B2699" s="431" t="str">
        <f t="shared" si="42"/>
        <v>Hip Replacement RevisionCCG of GP PracticeNHS CAMBRIDGESHIRE AND PETERBOROUGH CCG (06H)EQ-5D Index</v>
      </c>
      <c r="C2699" t="s">
        <v>247</v>
      </c>
      <c r="D2699" t="s">
        <v>87</v>
      </c>
      <c r="E2699" t="s">
        <v>713</v>
      </c>
      <c r="F2699" t="s">
        <v>714</v>
      </c>
      <c r="G2699" t="s">
        <v>52</v>
      </c>
      <c r="H2699">
        <v>31</v>
      </c>
      <c r="I2699">
        <v>0.41599999999999998</v>
      </c>
      <c r="J2699">
        <v>0.63500000000000001</v>
      </c>
      <c r="K2699">
        <v>0.22</v>
      </c>
      <c r="L2699">
        <v>21</v>
      </c>
      <c r="M2699">
        <v>5</v>
      </c>
      <c r="N2699">
        <v>5</v>
      </c>
      <c r="O2699">
        <v>0.628</v>
      </c>
      <c r="P2699">
        <v>0.22929545600000001</v>
      </c>
      <c r="Q2699">
        <v>0.30099999999999999</v>
      </c>
    </row>
    <row r="2700" spans="1:17" x14ac:dyDescent="0.2">
      <c r="A2700" s="30" t="str">
        <f>IF(C2700&amp;G2700&amp;D2700&lt;&gt;'Funnel setup'!$K$3&amp;'Funnel setup'!$K$4&amp;'Funnel setup'!$K$5,".",IF(A2699=".",1,A2699+1))</f>
        <v>.</v>
      </c>
      <c r="B2700" s="431" t="str">
        <f t="shared" si="42"/>
        <v>Hip Replacement RevisionCCG of GP PracticeNHS CAMDEN CCG (07R)EQ-5D Index</v>
      </c>
      <c r="C2700" t="s">
        <v>247</v>
      </c>
      <c r="D2700" t="s">
        <v>87</v>
      </c>
      <c r="E2700" t="s">
        <v>716</v>
      </c>
      <c r="F2700" t="s">
        <v>717</v>
      </c>
      <c r="G2700" t="s">
        <v>52</v>
      </c>
      <c r="H2700" t="s">
        <v>53</v>
      </c>
      <c r="I2700" t="s">
        <v>53</v>
      </c>
      <c r="J2700" t="s">
        <v>53</v>
      </c>
      <c r="K2700" t="s">
        <v>53</v>
      </c>
      <c r="L2700" t="s">
        <v>53</v>
      </c>
      <c r="M2700" t="s">
        <v>53</v>
      </c>
      <c r="N2700" t="s">
        <v>53</v>
      </c>
      <c r="O2700" t="s">
        <v>53</v>
      </c>
      <c r="P2700" t="s">
        <v>53</v>
      </c>
      <c r="Q2700" t="s">
        <v>53</v>
      </c>
    </row>
    <row r="2701" spans="1:17" x14ac:dyDescent="0.2">
      <c r="A2701" s="30" t="str">
        <f>IF(C2701&amp;G2701&amp;D2701&lt;&gt;'Funnel setup'!$K$3&amp;'Funnel setup'!$K$4&amp;'Funnel setup'!$K$5,".",IF(A2700=".",1,A2700+1))</f>
        <v>.</v>
      </c>
      <c r="B2701" s="431" t="str">
        <f t="shared" si="42"/>
        <v>Hip Replacement RevisionCCG of GP PracticeNHS CANNOCK CHASE CCG (04Y)EQ-5D Index</v>
      </c>
      <c r="C2701" t="s">
        <v>247</v>
      </c>
      <c r="D2701" t="s">
        <v>87</v>
      </c>
      <c r="E2701" t="s">
        <v>719</v>
      </c>
      <c r="F2701" t="s">
        <v>720</v>
      </c>
      <c r="G2701" t="s">
        <v>52</v>
      </c>
      <c r="H2701">
        <v>7</v>
      </c>
      <c r="I2701">
        <v>0.17</v>
      </c>
      <c r="J2701">
        <v>0.57499999999999996</v>
      </c>
      <c r="K2701">
        <v>0.40500000000000003</v>
      </c>
      <c r="L2701">
        <v>5</v>
      </c>
      <c r="M2701">
        <v>0</v>
      </c>
      <c r="N2701">
        <v>2</v>
      </c>
      <c r="O2701" t="s">
        <v>53</v>
      </c>
      <c r="P2701" t="s">
        <v>53</v>
      </c>
      <c r="Q2701" t="s">
        <v>53</v>
      </c>
    </row>
    <row r="2702" spans="1:17" x14ac:dyDescent="0.2">
      <c r="A2702" s="30" t="str">
        <f>IF(C2702&amp;G2702&amp;D2702&lt;&gt;'Funnel setup'!$K$3&amp;'Funnel setup'!$K$4&amp;'Funnel setup'!$K$5,".",IF(A2701=".",1,A2701+1))</f>
        <v>.</v>
      </c>
      <c r="B2702" s="431" t="str">
        <f t="shared" si="42"/>
        <v>Hip Replacement RevisionCCG of GP PracticeNHS CANTERBURY AND COASTAL CCG (09E)EQ-5D Index</v>
      </c>
      <c r="C2702" t="s">
        <v>247</v>
      </c>
      <c r="D2702" t="s">
        <v>87</v>
      </c>
      <c r="E2702" t="s">
        <v>722</v>
      </c>
      <c r="F2702" t="s">
        <v>723</v>
      </c>
      <c r="G2702" t="s">
        <v>52</v>
      </c>
      <c r="H2702">
        <v>11</v>
      </c>
      <c r="I2702">
        <v>0.44700000000000001</v>
      </c>
      <c r="J2702">
        <v>0.76</v>
      </c>
      <c r="K2702">
        <v>0.313</v>
      </c>
      <c r="L2702">
        <v>8</v>
      </c>
      <c r="M2702">
        <v>2</v>
      </c>
      <c r="N2702">
        <v>1</v>
      </c>
      <c r="O2702" t="s">
        <v>53</v>
      </c>
      <c r="P2702" t="s">
        <v>53</v>
      </c>
      <c r="Q2702" t="s">
        <v>53</v>
      </c>
    </row>
    <row r="2703" spans="1:17" x14ac:dyDescent="0.2">
      <c r="A2703" s="30" t="str">
        <f>IF(C2703&amp;G2703&amp;D2703&lt;&gt;'Funnel setup'!$K$3&amp;'Funnel setup'!$K$4&amp;'Funnel setup'!$K$5,".",IF(A2702=".",1,A2702+1))</f>
        <v>.</v>
      </c>
      <c r="B2703" s="431" t="str">
        <f t="shared" si="42"/>
        <v>Hip Replacement RevisionCCG of GP PracticeNHS CASTLE POINT AND ROCHFORD CCG (99F)EQ-5D Index</v>
      </c>
      <c r="C2703" t="s">
        <v>247</v>
      </c>
      <c r="D2703" t="s">
        <v>87</v>
      </c>
      <c r="E2703" t="s">
        <v>725</v>
      </c>
      <c r="F2703" t="s">
        <v>726</v>
      </c>
      <c r="G2703" t="s">
        <v>52</v>
      </c>
      <c r="H2703">
        <v>13</v>
      </c>
      <c r="I2703">
        <v>0.33300000000000002</v>
      </c>
      <c r="J2703">
        <v>0.73299999999999998</v>
      </c>
      <c r="K2703">
        <v>0.4</v>
      </c>
      <c r="L2703">
        <v>11</v>
      </c>
      <c r="M2703">
        <v>1</v>
      </c>
      <c r="N2703">
        <v>1</v>
      </c>
      <c r="O2703" t="s">
        <v>53</v>
      </c>
      <c r="P2703" t="s">
        <v>53</v>
      </c>
      <c r="Q2703" t="s">
        <v>53</v>
      </c>
    </row>
    <row r="2704" spans="1:17" x14ac:dyDescent="0.2">
      <c r="A2704" s="30" t="str">
        <f>IF(C2704&amp;G2704&amp;D2704&lt;&gt;'Funnel setup'!$K$3&amp;'Funnel setup'!$K$4&amp;'Funnel setup'!$K$5,".",IF(A2703=".",1,A2703+1))</f>
        <v>.</v>
      </c>
      <c r="B2704" s="431" t="str">
        <f t="shared" si="42"/>
        <v>Hip Replacement RevisionCCG of GP PracticeNHS CENTRAL LONDON (WESTMINSTER) CCG (09A)EQ-5D Index</v>
      </c>
      <c r="C2704" t="s">
        <v>247</v>
      </c>
      <c r="D2704" t="s">
        <v>87</v>
      </c>
      <c r="E2704" t="s">
        <v>728</v>
      </c>
      <c r="F2704" t="s">
        <v>729</v>
      </c>
      <c r="G2704" t="s">
        <v>52</v>
      </c>
      <c r="H2704" t="s">
        <v>53</v>
      </c>
      <c r="I2704" t="s">
        <v>53</v>
      </c>
      <c r="J2704" t="s">
        <v>53</v>
      </c>
      <c r="K2704" t="s">
        <v>53</v>
      </c>
      <c r="L2704" t="s">
        <v>53</v>
      </c>
      <c r="M2704" t="s">
        <v>53</v>
      </c>
      <c r="N2704" t="s">
        <v>53</v>
      </c>
      <c r="O2704" t="s">
        <v>53</v>
      </c>
      <c r="P2704" t="s">
        <v>53</v>
      </c>
      <c r="Q2704" t="s">
        <v>53</v>
      </c>
    </row>
    <row r="2705" spans="1:17" x14ac:dyDescent="0.2">
      <c r="A2705" s="30" t="str">
        <f>IF(C2705&amp;G2705&amp;D2705&lt;&gt;'Funnel setup'!$K$3&amp;'Funnel setup'!$K$4&amp;'Funnel setup'!$K$5,".",IF(A2704=".",1,A2704+1))</f>
        <v>.</v>
      </c>
      <c r="B2705" s="431" t="str">
        <f t="shared" si="42"/>
        <v>Hip Replacement RevisionCCG of GP PracticeNHS CENTRAL MANCHESTER CCG (00W)EQ-5D Index</v>
      </c>
      <c r="C2705" t="s">
        <v>247</v>
      </c>
      <c r="D2705" t="s">
        <v>87</v>
      </c>
      <c r="E2705" t="s">
        <v>731</v>
      </c>
      <c r="F2705" t="s">
        <v>732</v>
      </c>
      <c r="G2705" t="s">
        <v>52</v>
      </c>
      <c r="H2705" t="s">
        <v>53</v>
      </c>
      <c r="I2705" t="s">
        <v>53</v>
      </c>
      <c r="J2705" t="s">
        <v>53</v>
      </c>
      <c r="K2705" t="s">
        <v>53</v>
      </c>
      <c r="L2705" t="s">
        <v>53</v>
      </c>
      <c r="M2705" t="s">
        <v>53</v>
      </c>
      <c r="N2705" t="s">
        <v>53</v>
      </c>
      <c r="O2705" t="s">
        <v>53</v>
      </c>
      <c r="P2705" t="s">
        <v>53</v>
      </c>
      <c r="Q2705" t="s">
        <v>53</v>
      </c>
    </row>
    <row r="2706" spans="1:17" x14ac:dyDescent="0.2">
      <c r="A2706" s="30" t="str">
        <f>IF(C2706&amp;G2706&amp;D2706&lt;&gt;'Funnel setup'!$K$3&amp;'Funnel setup'!$K$4&amp;'Funnel setup'!$K$5,".",IF(A2705=".",1,A2705+1))</f>
        <v>.</v>
      </c>
      <c r="B2706" s="431" t="str">
        <f t="shared" si="42"/>
        <v>Hip Replacement RevisionCCG of GP PracticeNHS CHILTERN CCG (10H)EQ-5D Index</v>
      </c>
      <c r="C2706" t="s">
        <v>247</v>
      </c>
      <c r="D2706" t="s">
        <v>87</v>
      </c>
      <c r="E2706" t="s">
        <v>734</v>
      </c>
      <c r="F2706" t="s">
        <v>735</v>
      </c>
      <c r="G2706" t="s">
        <v>52</v>
      </c>
      <c r="H2706">
        <v>18</v>
      </c>
      <c r="I2706">
        <v>0.27500000000000002</v>
      </c>
      <c r="J2706">
        <v>0.65</v>
      </c>
      <c r="K2706">
        <v>0.375</v>
      </c>
      <c r="L2706">
        <v>16</v>
      </c>
      <c r="M2706">
        <v>1</v>
      </c>
      <c r="N2706">
        <v>1</v>
      </c>
      <c r="O2706" t="s">
        <v>53</v>
      </c>
      <c r="P2706" t="s">
        <v>53</v>
      </c>
      <c r="Q2706" t="s">
        <v>53</v>
      </c>
    </row>
    <row r="2707" spans="1:17" x14ac:dyDescent="0.2">
      <c r="A2707" s="30" t="str">
        <f>IF(C2707&amp;G2707&amp;D2707&lt;&gt;'Funnel setup'!$K$3&amp;'Funnel setup'!$K$4&amp;'Funnel setup'!$K$5,".",IF(A2706=".",1,A2706+1))</f>
        <v>.</v>
      </c>
      <c r="B2707" s="431" t="str">
        <f t="shared" si="42"/>
        <v>Hip Replacement RevisionCCG of GP PracticeNHS CHORLEY AND SOUTH RIBBLE CCG (00X)EQ-5D Index</v>
      </c>
      <c r="C2707" t="s">
        <v>247</v>
      </c>
      <c r="D2707" t="s">
        <v>87</v>
      </c>
      <c r="E2707" t="s">
        <v>737</v>
      </c>
      <c r="F2707" t="s">
        <v>738</v>
      </c>
      <c r="G2707" t="s">
        <v>52</v>
      </c>
      <c r="H2707">
        <v>8</v>
      </c>
      <c r="I2707">
        <v>0.16300000000000001</v>
      </c>
      <c r="J2707">
        <v>0.61</v>
      </c>
      <c r="K2707">
        <v>0.44700000000000001</v>
      </c>
      <c r="L2707">
        <v>7</v>
      </c>
      <c r="M2707">
        <v>0</v>
      </c>
      <c r="N2707">
        <v>1</v>
      </c>
      <c r="O2707" t="s">
        <v>53</v>
      </c>
      <c r="P2707" t="s">
        <v>53</v>
      </c>
      <c r="Q2707" t="s">
        <v>53</v>
      </c>
    </row>
    <row r="2708" spans="1:17" x14ac:dyDescent="0.2">
      <c r="A2708" s="30" t="str">
        <f>IF(C2708&amp;G2708&amp;D2708&lt;&gt;'Funnel setup'!$K$3&amp;'Funnel setup'!$K$4&amp;'Funnel setup'!$K$5,".",IF(A2707=".",1,A2707+1))</f>
        <v>.</v>
      </c>
      <c r="B2708" s="431" t="str">
        <f t="shared" si="42"/>
        <v>Hip Replacement RevisionCCG of GP PracticeNHS CITY AND HACKNEY CCG (07T)EQ-5D Index</v>
      </c>
      <c r="C2708" t="s">
        <v>247</v>
      </c>
      <c r="D2708" t="s">
        <v>87</v>
      </c>
      <c r="E2708" t="s">
        <v>740</v>
      </c>
      <c r="F2708" t="s">
        <v>741</v>
      </c>
      <c r="G2708" t="s">
        <v>52</v>
      </c>
      <c r="H2708" t="s">
        <v>53</v>
      </c>
      <c r="I2708" t="s">
        <v>53</v>
      </c>
      <c r="J2708" t="s">
        <v>53</v>
      </c>
      <c r="K2708" t="s">
        <v>53</v>
      </c>
      <c r="L2708" t="s">
        <v>53</v>
      </c>
      <c r="M2708" t="s">
        <v>53</v>
      </c>
      <c r="N2708" t="s">
        <v>53</v>
      </c>
      <c r="O2708" t="s">
        <v>53</v>
      </c>
      <c r="P2708" t="s">
        <v>53</v>
      </c>
      <c r="Q2708" t="s">
        <v>53</v>
      </c>
    </row>
    <row r="2709" spans="1:17" x14ac:dyDescent="0.2">
      <c r="A2709" s="30" t="str">
        <f>IF(C2709&amp;G2709&amp;D2709&lt;&gt;'Funnel setup'!$K$3&amp;'Funnel setup'!$K$4&amp;'Funnel setup'!$K$5,".",IF(A2708=".",1,A2708+1))</f>
        <v>.</v>
      </c>
      <c r="B2709" s="431" t="str">
        <f t="shared" si="42"/>
        <v>Hip Replacement RevisionCCG of GP PracticeNHS COASTAL WEST SUSSEX CCG (09G)EQ-5D Index</v>
      </c>
      <c r="C2709" t="s">
        <v>247</v>
      </c>
      <c r="D2709" t="s">
        <v>87</v>
      </c>
      <c r="E2709" t="s">
        <v>743</v>
      </c>
      <c r="F2709" t="s">
        <v>744</v>
      </c>
      <c r="G2709" t="s">
        <v>52</v>
      </c>
      <c r="H2709">
        <v>44</v>
      </c>
      <c r="I2709">
        <v>0.35199999999999998</v>
      </c>
      <c r="J2709">
        <v>0.64300000000000002</v>
      </c>
      <c r="K2709">
        <v>0.29099999999999998</v>
      </c>
      <c r="L2709">
        <v>34</v>
      </c>
      <c r="M2709">
        <v>3</v>
      </c>
      <c r="N2709">
        <v>7</v>
      </c>
      <c r="O2709">
        <v>0.66200000000000003</v>
      </c>
      <c r="P2709">
        <v>0.26309209300000003</v>
      </c>
      <c r="Q2709">
        <v>0.26</v>
      </c>
    </row>
    <row r="2710" spans="1:17" x14ac:dyDescent="0.2">
      <c r="A2710" s="30" t="str">
        <f>IF(C2710&amp;G2710&amp;D2710&lt;&gt;'Funnel setup'!$K$3&amp;'Funnel setup'!$K$4&amp;'Funnel setup'!$K$5,".",IF(A2709=".",1,A2709+1))</f>
        <v>.</v>
      </c>
      <c r="B2710" s="431" t="str">
        <f t="shared" si="42"/>
        <v>Hip Replacement RevisionCCG of GP PracticeNHS CORBY CCG (03V)EQ-5D Index</v>
      </c>
      <c r="C2710" t="s">
        <v>247</v>
      </c>
      <c r="D2710" t="s">
        <v>87</v>
      </c>
      <c r="E2710" t="s">
        <v>746</v>
      </c>
      <c r="F2710" t="s">
        <v>747</v>
      </c>
      <c r="G2710" t="s">
        <v>52</v>
      </c>
      <c r="H2710" t="s">
        <v>53</v>
      </c>
      <c r="I2710" t="s">
        <v>53</v>
      </c>
      <c r="J2710" t="s">
        <v>53</v>
      </c>
      <c r="K2710" t="s">
        <v>53</v>
      </c>
      <c r="L2710" t="s">
        <v>53</v>
      </c>
      <c r="M2710" t="s">
        <v>53</v>
      </c>
      <c r="N2710" t="s">
        <v>53</v>
      </c>
      <c r="O2710" t="s">
        <v>53</v>
      </c>
      <c r="P2710" t="s">
        <v>53</v>
      </c>
      <c r="Q2710" t="s">
        <v>53</v>
      </c>
    </row>
    <row r="2711" spans="1:17" x14ac:dyDescent="0.2">
      <c r="A2711" s="30" t="str">
        <f>IF(C2711&amp;G2711&amp;D2711&lt;&gt;'Funnel setup'!$K$3&amp;'Funnel setup'!$K$4&amp;'Funnel setup'!$K$5,".",IF(A2710=".",1,A2710+1))</f>
        <v>.</v>
      </c>
      <c r="B2711" s="431" t="str">
        <f t="shared" si="42"/>
        <v>Hip Replacement RevisionCCG of GP PracticeNHS COVENTRY AND RUGBY CCG (05A)EQ-5D Index</v>
      </c>
      <c r="C2711" t="s">
        <v>247</v>
      </c>
      <c r="D2711" t="s">
        <v>87</v>
      </c>
      <c r="E2711" t="s">
        <v>749</v>
      </c>
      <c r="F2711" t="s">
        <v>750</v>
      </c>
      <c r="G2711" t="s">
        <v>52</v>
      </c>
      <c r="H2711">
        <v>13</v>
      </c>
      <c r="I2711">
        <v>0.30599999999999999</v>
      </c>
      <c r="J2711">
        <v>0.57799999999999996</v>
      </c>
      <c r="K2711">
        <v>0.27200000000000002</v>
      </c>
      <c r="L2711">
        <v>10</v>
      </c>
      <c r="M2711">
        <v>0</v>
      </c>
      <c r="N2711">
        <v>3</v>
      </c>
      <c r="O2711" t="s">
        <v>53</v>
      </c>
      <c r="P2711" t="s">
        <v>53</v>
      </c>
      <c r="Q2711" t="s">
        <v>53</v>
      </c>
    </row>
    <row r="2712" spans="1:17" x14ac:dyDescent="0.2">
      <c r="A2712" s="30" t="str">
        <f>IF(C2712&amp;G2712&amp;D2712&lt;&gt;'Funnel setup'!$K$3&amp;'Funnel setup'!$K$4&amp;'Funnel setup'!$K$5,".",IF(A2711=".",1,A2711+1))</f>
        <v>.</v>
      </c>
      <c r="B2712" s="431" t="str">
        <f t="shared" si="42"/>
        <v>Hip Replacement RevisionCCG of GP PracticeNHS CRAWLEY CCG (09H)EQ-5D Index</v>
      </c>
      <c r="C2712" t="s">
        <v>247</v>
      </c>
      <c r="D2712" t="s">
        <v>87</v>
      </c>
      <c r="E2712" t="s">
        <v>752</v>
      </c>
      <c r="F2712" t="s">
        <v>753</v>
      </c>
      <c r="G2712" t="s">
        <v>52</v>
      </c>
      <c r="H2712" t="s">
        <v>53</v>
      </c>
      <c r="I2712" t="s">
        <v>53</v>
      </c>
      <c r="J2712" t="s">
        <v>53</v>
      </c>
      <c r="K2712" t="s">
        <v>53</v>
      </c>
      <c r="L2712" t="s">
        <v>53</v>
      </c>
      <c r="M2712" t="s">
        <v>53</v>
      </c>
      <c r="N2712" t="s">
        <v>53</v>
      </c>
      <c r="O2712" t="s">
        <v>53</v>
      </c>
      <c r="P2712" t="s">
        <v>53</v>
      </c>
      <c r="Q2712" t="s">
        <v>53</v>
      </c>
    </row>
    <row r="2713" spans="1:17" x14ac:dyDescent="0.2">
      <c r="A2713" s="30" t="str">
        <f>IF(C2713&amp;G2713&amp;D2713&lt;&gt;'Funnel setup'!$K$3&amp;'Funnel setup'!$K$4&amp;'Funnel setup'!$K$5,".",IF(A2712=".",1,A2712+1))</f>
        <v>.</v>
      </c>
      <c r="B2713" s="431" t="str">
        <f t="shared" si="42"/>
        <v>Hip Replacement RevisionCCG of GP PracticeNHS CROYDON CCG (07V)EQ-5D Index</v>
      </c>
      <c r="C2713" t="s">
        <v>247</v>
      </c>
      <c r="D2713" t="s">
        <v>87</v>
      </c>
      <c r="E2713" t="s">
        <v>755</v>
      </c>
      <c r="F2713" t="s">
        <v>756</v>
      </c>
      <c r="G2713" t="s">
        <v>52</v>
      </c>
      <c r="H2713">
        <v>11</v>
      </c>
      <c r="I2713">
        <v>0.38100000000000001</v>
      </c>
      <c r="J2713">
        <v>0.71199999999999997</v>
      </c>
      <c r="K2713">
        <v>0.33</v>
      </c>
      <c r="L2713">
        <v>8</v>
      </c>
      <c r="M2713">
        <v>3</v>
      </c>
      <c r="N2713">
        <v>0</v>
      </c>
      <c r="O2713" t="s">
        <v>53</v>
      </c>
      <c r="P2713" t="s">
        <v>53</v>
      </c>
      <c r="Q2713" t="s">
        <v>53</v>
      </c>
    </row>
    <row r="2714" spans="1:17" x14ac:dyDescent="0.2">
      <c r="A2714" s="30" t="str">
        <f>IF(C2714&amp;G2714&amp;D2714&lt;&gt;'Funnel setup'!$K$3&amp;'Funnel setup'!$K$4&amp;'Funnel setup'!$K$5,".",IF(A2713=".",1,A2713+1))</f>
        <v>.</v>
      </c>
      <c r="B2714" s="431" t="str">
        <f t="shared" si="42"/>
        <v>Hip Replacement RevisionCCG of GP PracticeNHS CUMBRIA CCG (01H)EQ-5D Index</v>
      </c>
      <c r="C2714" t="s">
        <v>247</v>
      </c>
      <c r="D2714" t="s">
        <v>87</v>
      </c>
      <c r="E2714" t="s">
        <v>758</v>
      </c>
      <c r="F2714" t="s">
        <v>759</v>
      </c>
      <c r="G2714" t="s">
        <v>52</v>
      </c>
      <c r="H2714">
        <v>27</v>
      </c>
      <c r="I2714">
        <v>0.36699999999999999</v>
      </c>
      <c r="J2714">
        <v>0.68200000000000005</v>
      </c>
      <c r="K2714">
        <v>0.316</v>
      </c>
      <c r="L2714">
        <v>20</v>
      </c>
      <c r="M2714">
        <v>5</v>
      </c>
      <c r="N2714">
        <v>2</v>
      </c>
      <c r="O2714" t="s">
        <v>53</v>
      </c>
      <c r="P2714" t="s">
        <v>53</v>
      </c>
      <c r="Q2714" t="s">
        <v>53</v>
      </c>
    </row>
    <row r="2715" spans="1:17" x14ac:dyDescent="0.2">
      <c r="A2715" s="30" t="str">
        <f>IF(C2715&amp;G2715&amp;D2715&lt;&gt;'Funnel setup'!$K$3&amp;'Funnel setup'!$K$4&amp;'Funnel setup'!$K$5,".",IF(A2714=".",1,A2714+1))</f>
        <v>.</v>
      </c>
      <c r="B2715" s="431" t="str">
        <f t="shared" si="42"/>
        <v>Hip Replacement RevisionCCG of GP PracticeNHS DARLINGTON CCG (00C)EQ-5D Index</v>
      </c>
      <c r="C2715" t="s">
        <v>247</v>
      </c>
      <c r="D2715" t="s">
        <v>87</v>
      </c>
      <c r="E2715" t="s">
        <v>761</v>
      </c>
      <c r="F2715" t="s">
        <v>762</v>
      </c>
      <c r="G2715" t="s">
        <v>52</v>
      </c>
      <c r="H2715">
        <v>6</v>
      </c>
      <c r="I2715">
        <v>0.32400000000000001</v>
      </c>
      <c r="J2715">
        <v>0.80600000000000005</v>
      </c>
      <c r="K2715">
        <v>0.48199999999999998</v>
      </c>
      <c r="L2715">
        <v>5</v>
      </c>
      <c r="M2715">
        <v>1</v>
      </c>
      <c r="N2715">
        <v>0</v>
      </c>
      <c r="O2715" t="s">
        <v>53</v>
      </c>
      <c r="P2715" t="s">
        <v>53</v>
      </c>
      <c r="Q2715" t="s">
        <v>53</v>
      </c>
    </row>
    <row r="2716" spans="1:17" x14ac:dyDescent="0.2">
      <c r="A2716" s="30" t="str">
        <f>IF(C2716&amp;G2716&amp;D2716&lt;&gt;'Funnel setup'!$K$3&amp;'Funnel setup'!$K$4&amp;'Funnel setup'!$K$5,".",IF(A2715=".",1,A2715+1))</f>
        <v>.</v>
      </c>
      <c r="B2716" s="431" t="str">
        <f t="shared" si="42"/>
        <v>Hip Replacement RevisionCCG of GP PracticeNHS DARTFORD, GRAVESHAM AND SWANLEY CCG (09J)EQ-5D Index</v>
      </c>
      <c r="C2716" t="s">
        <v>247</v>
      </c>
      <c r="D2716" t="s">
        <v>87</v>
      </c>
      <c r="E2716" t="s">
        <v>764</v>
      </c>
      <c r="F2716" t="s">
        <v>765</v>
      </c>
      <c r="G2716" t="s">
        <v>52</v>
      </c>
      <c r="H2716">
        <v>10</v>
      </c>
      <c r="I2716">
        <v>0.28999999999999998</v>
      </c>
      <c r="J2716">
        <v>0.46300000000000002</v>
      </c>
      <c r="K2716">
        <v>0.17299999999999999</v>
      </c>
      <c r="L2716">
        <v>7</v>
      </c>
      <c r="M2716">
        <v>0</v>
      </c>
      <c r="N2716">
        <v>3</v>
      </c>
      <c r="O2716" t="s">
        <v>53</v>
      </c>
      <c r="P2716" t="s">
        <v>53</v>
      </c>
      <c r="Q2716" t="s">
        <v>53</v>
      </c>
    </row>
    <row r="2717" spans="1:17" x14ac:dyDescent="0.2">
      <c r="A2717" s="30" t="str">
        <f>IF(C2717&amp;G2717&amp;D2717&lt;&gt;'Funnel setup'!$K$3&amp;'Funnel setup'!$K$4&amp;'Funnel setup'!$K$5,".",IF(A2716=".",1,A2716+1))</f>
        <v>.</v>
      </c>
      <c r="B2717" s="431" t="str">
        <f t="shared" si="42"/>
        <v>Hip Replacement RevisionCCG of GP PracticeNHS DONCASTER CCG (02X)EQ-5D Index</v>
      </c>
      <c r="C2717" t="s">
        <v>247</v>
      </c>
      <c r="D2717" t="s">
        <v>87</v>
      </c>
      <c r="E2717" t="s">
        <v>767</v>
      </c>
      <c r="F2717" t="s">
        <v>768</v>
      </c>
      <c r="G2717" t="s">
        <v>52</v>
      </c>
      <c r="H2717">
        <v>21</v>
      </c>
      <c r="I2717">
        <v>0.26200000000000001</v>
      </c>
      <c r="J2717">
        <v>0.62</v>
      </c>
      <c r="K2717">
        <v>0.35799999999999998</v>
      </c>
      <c r="L2717">
        <v>14</v>
      </c>
      <c r="M2717">
        <v>4</v>
      </c>
      <c r="N2717">
        <v>3</v>
      </c>
      <c r="O2717" t="s">
        <v>53</v>
      </c>
      <c r="P2717" t="s">
        <v>53</v>
      </c>
      <c r="Q2717" t="s">
        <v>53</v>
      </c>
    </row>
    <row r="2718" spans="1:17" x14ac:dyDescent="0.2">
      <c r="A2718" s="30" t="str">
        <f>IF(C2718&amp;G2718&amp;D2718&lt;&gt;'Funnel setup'!$K$3&amp;'Funnel setup'!$K$4&amp;'Funnel setup'!$K$5,".",IF(A2717=".",1,A2717+1))</f>
        <v>.</v>
      </c>
      <c r="B2718" s="431" t="str">
        <f t="shared" si="42"/>
        <v>Hip Replacement RevisionCCG of GP PracticeNHS DORSET CCG (11J)EQ-5D Index</v>
      </c>
      <c r="C2718" t="s">
        <v>247</v>
      </c>
      <c r="D2718" t="s">
        <v>87</v>
      </c>
      <c r="E2718" t="s">
        <v>854</v>
      </c>
      <c r="F2718" t="s">
        <v>855</v>
      </c>
      <c r="G2718" t="s">
        <v>52</v>
      </c>
      <c r="H2718">
        <v>19</v>
      </c>
      <c r="I2718">
        <v>0.47599999999999998</v>
      </c>
      <c r="J2718">
        <v>0.65700000000000003</v>
      </c>
      <c r="K2718">
        <v>0.18</v>
      </c>
      <c r="L2718">
        <v>13</v>
      </c>
      <c r="M2718">
        <v>4</v>
      </c>
      <c r="N2718">
        <v>2</v>
      </c>
      <c r="O2718" t="s">
        <v>53</v>
      </c>
      <c r="P2718" t="s">
        <v>53</v>
      </c>
      <c r="Q2718" t="s">
        <v>53</v>
      </c>
    </row>
    <row r="2719" spans="1:17" x14ac:dyDescent="0.2">
      <c r="A2719" s="30" t="str">
        <f>IF(C2719&amp;G2719&amp;D2719&lt;&gt;'Funnel setup'!$K$3&amp;'Funnel setup'!$K$4&amp;'Funnel setup'!$K$5,".",IF(A2718=".",1,A2718+1))</f>
        <v>.</v>
      </c>
      <c r="B2719" s="431" t="str">
        <f t="shared" si="42"/>
        <v>Hip Replacement RevisionCCG of GP PracticeNHS DUDLEY CCG (05C)EQ-5D Index</v>
      </c>
      <c r="C2719" t="s">
        <v>247</v>
      </c>
      <c r="D2719" t="s">
        <v>87</v>
      </c>
      <c r="E2719" t="s">
        <v>857</v>
      </c>
      <c r="F2719" t="s">
        <v>858</v>
      </c>
      <c r="G2719" t="s">
        <v>52</v>
      </c>
      <c r="H2719">
        <v>11</v>
      </c>
      <c r="I2719">
        <v>0.49</v>
      </c>
      <c r="J2719">
        <v>0.69699999999999995</v>
      </c>
      <c r="K2719">
        <v>0.20699999999999999</v>
      </c>
      <c r="L2719">
        <v>7</v>
      </c>
      <c r="M2719">
        <v>1</v>
      </c>
      <c r="N2719">
        <v>3</v>
      </c>
      <c r="O2719" t="s">
        <v>53</v>
      </c>
      <c r="P2719" t="s">
        <v>53</v>
      </c>
      <c r="Q2719" t="s">
        <v>53</v>
      </c>
    </row>
    <row r="2720" spans="1:17" x14ac:dyDescent="0.2">
      <c r="A2720" s="30" t="str">
        <f>IF(C2720&amp;G2720&amp;D2720&lt;&gt;'Funnel setup'!$K$3&amp;'Funnel setup'!$K$4&amp;'Funnel setup'!$K$5,".",IF(A2719=".",1,A2719+1))</f>
        <v>.</v>
      </c>
      <c r="B2720" s="431" t="str">
        <f t="shared" si="42"/>
        <v>Hip Replacement RevisionCCG of GP PracticeNHS DURHAM DALES, EASINGTON AND SEDGEFIELD CCG (00D)EQ-5D Index</v>
      </c>
      <c r="C2720" t="s">
        <v>247</v>
      </c>
      <c r="D2720" t="s">
        <v>87</v>
      </c>
      <c r="E2720" t="s">
        <v>860</v>
      </c>
      <c r="F2720" t="s">
        <v>861</v>
      </c>
      <c r="G2720" t="s">
        <v>52</v>
      </c>
      <c r="H2720">
        <v>9</v>
      </c>
      <c r="I2720">
        <v>0.16400000000000001</v>
      </c>
      <c r="J2720">
        <v>0.70599999999999996</v>
      </c>
      <c r="K2720">
        <v>0.54200000000000004</v>
      </c>
      <c r="L2720">
        <v>9</v>
      </c>
      <c r="M2720">
        <v>0</v>
      </c>
      <c r="N2720">
        <v>0</v>
      </c>
      <c r="O2720" t="s">
        <v>53</v>
      </c>
      <c r="P2720" t="s">
        <v>53</v>
      </c>
      <c r="Q2720" t="s">
        <v>53</v>
      </c>
    </row>
    <row r="2721" spans="1:17" x14ac:dyDescent="0.2">
      <c r="A2721" s="30" t="str">
        <f>IF(C2721&amp;G2721&amp;D2721&lt;&gt;'Funnel setup'!$K$3&amp;'Funnel setup'!$K$4&amp;'Funnel setup'!$K$5,".",IF(A2720=".",1,A2720+1))</f>
        <v>.</v>
      </c>
      <c r="B2721" s="431" t="str">
        <f t="shared" si="42"/>
        <v>Hip Replacement RevisionCCG of GP PracticeNHS EALING CCG (07W)EQ-5D Index</v>
      </c>
      <c r="C2721" t="s">
        <v>247</v>
      </c>
      <c r="D2721" t="s">
        <v>87</v>
      </c>
      <c r="E2721" t="s">
        <v>863</v>
      </c>
      <c r="F2721" t="s">
        <v>864</v>
      </c>
      <c r="G2721" t="s">
        <v>52</v>
      </c>
      <c r="H2721">
        <v>7</v>
      </c>
      <c r="I2721">
        <v>0.28100000000000003</v>
      </c>
      <c r="J2721">
        <v>0.82199999999999995</v>
      </c>
      <c r="K2721">
        <v>0.54200000000000004</v>
      </c>
      <c r="L2721">
        <v>7</v>
      </c>
      <c r="M2721">
        <v>0</v>
      </c>
      <c r="N2721">
        <v>0</v>
      </c>
      <c r="O2721" t="s">
        <v>53</v>
      </c>
      <c r="P2721" t="s">
        <v>53</v>
      </c>
      <c r="Q2721" t="s">
        <v>53</v>
      </c>
    </row>
    <row r="2722" spans="1:17" x14ac:dyDescent="0.2">
      <c r="A2722" s="30" t="str">
        <f>IF(C2722&amp;G2722&amp;D2722&lt;&gt;'Funnel setup'!$K$3&amp;'Funnel setup'!$K$4&amp;'Funnel setup'!$K$5,".",IF(A2721=".",1,A2721+1))</f>
        <v>.</v>
      </c>
      <c r="B2722" s="431" t="str">
        <f t="shared" si="42"/>
        <v>Hip Replacement RevisionCCG of GP PracticeNHS EAST AND NORTH HERTFORDSHIRE CCG (06K)EQ-5D Index</v>
      </c>
      <c r="C2722" t="s">
        <v>247</v>
      </c>
      <c r="D2722" t="s">
        <v>87</v>
      </c>
      <c r="E2722" t="s">
        <v>866</v>
      </c>
      <c r="F2722" t="s">
        <v>867</v>
      </c>
      <c r="G2722" t="s">
        <v>52</v>
      </c>
      <c r="H2722">
        <v>26</v>
      </c>
      <c r="I2722">
        <v>0.36</v>
      </c>
      <c r="J2722">
        <v>0.70199999999999996</v>
      </c>
      <c r="K2722">
        <v>0.34200000000000003</v>
      </c>
      <c r="L2722">
        <v>20</v>
      </c>
      <c r="M2722">
        <v>2</v>
      </c>
      <c r="N2722">
        <v>4</v>
      </c>
      <c r="O2722" t="s">
        <v>53</v>
      </c>
      <c r="P2722" t="s">
        <v>53</v>
      </c>
      <c r="Q2722" t="s">
        <v>53</v>
      </c>
    </row>
    <row r="2723" spans="1:17" x14ac:dyDescent="0.2">
      <c r="A2723" s="30" t="str">
        <f>IF(C2723&amp;G2723&amp;D2723&lt;&gt;'Funnel setup'!$K$3&amp;'Funnel setup'!$K$4&amp;'Funnel setup'!$K$5,".",IF(A2722=".",1,A2722+1))</f>
        <v>.</v>
      </c>
      <c r="B2723" s="431" t="str">
        <f t="shared" si="42"/>
        <v>Hip Replacement RevisionCCG of GP PracticeNHS EAST LANCASHIRE CCG (01A)EQ-5D Index</v>
      </c>
      <c r="C2723" t="s">
        <v>247</v>
      </c>
      <c r="D2723" t="s">
        <v>87</v>
      </c>
      <c r="E2723" t="s">
        <v>869</v>
      </c>
      <c r="F2723" t="s">
        <v>870</v>
      </c>
      <c r="G2723" t="s">
        <v>52</v>
      </c>
      <c r="H2723">
        <v>15</v>
      </c>
      <c r="I2723">
        <v>0.40799999999999997</v>
      </c>
      <c r="J2723">
        <v>0.60699999999999998</v>
      </c>
      <c r="K2723">
        <v>0.19800000000000001</v>
      </c>
      <c r="L2723">
        <v>8</v>
      </c>
      <c r="M2723">
        <v>1</v>
      </c>
      <c r="N2723">
        <v>6</v>
      </c>
      <c r="O2723" t="s">
        <v>53</v>
      </c>
      <c r="P2723" t="s">
        <v>53</v>
      </c>
      <c r="Q2723" t="s">
        <v>53</v>
      </c>
    </row>
    <row r="2724" spans="1:17" x14ac:dyDescent="0.2">
      <c r="A2724" s="30" t="str">
        <f>IF(C2724&amp;G2724&amp;D2724&lt;&gt;'Funnel setup'!$K$3&amp;'Funnel setup'!$K$4&amp;'Funnel setup'!$K$5,".",IF(A2723=".",1,A2723+1))</f>
        <v>.</v>
      </c>
      <c r="B2724" s="431" t="str">
        <f t="shared" si="42"/>
        <v>Hip Replacement RevisionCCG of GP PracticeNHS EAST LEICESTERSHIRE AND RUTLAND CCG (03W)EQ-5D Index</v>
      </c>
      <c r="C2724" t="s">
        <v>247</v>
      </c>
      <c r="D2724" t="s">
        <v>87</v>
      </c>
      <c r="E2724" t="s">
        <v>872</v>
      </c>
      <c r="F2724" t="s">
        <v>873</v>
      </c>
      <c r="G2724" t="s">
        <v>52</v>
      </c>
      <c r="H2724">
        <v>15</v>
      </c>
      <c r="I2724">
        <v>0.36599999999999999</v>
      </c>
      <c r="J2724">
        <v>0.76100000000000001</v>
      </c>
      <c r="K2724">
        <v>0.39500000000000002</v>
      </c>
      <c r="L2724">
        <v>12</v>
      </c>
      <c r="M2724">
        <v>0</v>
      </c>
      <c r="N2724">
        <v>3</v>
      </c>
      <c r="O2724" t="s">
        <v>53</v>
      </c>
      <c r="P2724" t="s">
        <v>53</v>
      </c>
      <c r="Q2724" t="s">
        <v>53</v>
      </c>
    </row>
    <row r="2725" spans="1:17" x14ac:dyDescent="0.2">
      <c r="A2725" s="30" t="str">
        <f>IF(C2725&amp;G2725&amp;D2725&lt;&gt;'Funnel setup'!$K$3&amp;'Funnel setup'!$K$4&amp;'Funnel setup'!$K$5,".",IF(A2724=".",1,A2724+1))</f>
        <v>.</v>
      </c>
      <c r="B2725" s="431" t="str">
        <f t="shared" si="42"/>
        <v>Hip Replacement RevisionCCG of GP PracticeNHS EAST RIDING OF YORKSHIRE CCG (02Y)EQ-5D Index</v>
      </c>
      <c r="C2725" t="s">
        <v>247</v>
      </c>
      <c r="D2725" t="s">
        <v>87</v>
      </c>
      <c r="E2725" t="s">
        <v>875</v>
      </c>
      <c r="F2725" t="s">
        <v>876</v>
      </c>
      <c r="G2725" t="s">
        <v>52</v>
      </c>
      <c r="H2725">
        <v>18</v>
      </c>
      <c r="I2725">
        <v>0.56399999999999995</v>
      </c>
      <c r="J2725">
        <v>0.80500000000000005</v>
      </c>
      <c r="K2725">
        <v>0.24099999999999999</v>
      </c>
      <c r="L2725">
        <v>14</v>
      </c>
      <c r="M2725">
        <v>4</v>
      </c>
      <c r="N2725">
        <v>0</v>
      </c>
      <c r="O2725" t="s">
        <v>53</v>
      </c>
      <c r="P2725" t="s">
        <v>53</v>
      </c>
      <c r="Q2725" t="s">
        <v>53</v>
      </c>
    </row>
    <row r="2726" spans="1:17" x14ac:dyDescent="0.2">
      <c r="A2726" s="30" t="str">
        <f>IF(C2726&amp;G2726&amp;D2726&lt;&gt;'Funnel setup'!$K$3&amp;'Funnel setup'!$K$4&amp;'Funnel setup'!$K$5,".",IF(A2725=".",1,A2725+1))</f>
        <v>.</v>
      </c>
      <c r="B2726" s="431" t="str">
        <f t="shared" si="42"/>
        <v>Hip Replacement RevisionCCG of GP PracticeNHS EAST STAFFORDSHIRE CCG (05D)EQ-5D Index</v>
      </c>
      <c r="C2726" t="s">
        <v>247</v>
      </c>
      <c r="D2726" t="s">
        <v>87</v>
      </c>
      <c r="E2726" t="s">
        <v>878</v>
      </c>
      <c r="F2726" t="s">
        <v>879</v>
      </c>
      <c r="G2726" t="s">
        <v>52</v>
      </c>
      <c r="H2726">
        <v>8</v>
      </c>
      <c r="I2726">
        <v>0.28000000000000003</v>
      </c>
      <c r="J2726">
        <v>0.72099999999999997</v>
      </c>
      <c r="K2726">
        <v>0.441</v>
      </c>
      <c r="L2726">
        <v>6</v>
      </c>
      <c r="M2726">
        <v>1</v>
      </c>
      <c r="N2726">
        <v>1</v>
      </c>
      <c r="O2726" t="s">
        <v>53</v>
      </c>
      <c r="P2726" t="s">
        <v>53</v>
      </c>
      <c r="Q2726" t="s">
        <v>53</v>
      </c>
    </row>
    <row r="2727" spans="1:17" x14ac:dyDescent="0.2">
      <c r="A2727" s="30" t="str">
        <f>IF(C2727&amp;G2727&amp;D2727&lt;&gt;'Funnel setup'!$K$3&amp;'Funnel setup'!$K$4&amp;'Funnel setup'!$K$5,".",IF(A2726=".",1,A2726+1))</f>
        <v>.</v>
      </c>
      <c r="B2727" s="431" t="str">
        <f t="shared" si="42"/>
        <v>Hip Replacement RevisionCCG of GP PracticeNHS EAST SURREY CCG (09L)EQ-5D Index</v>
      </c>
      <c r="C2727" t="s">
        <v>247</v>
      </c>
      <c r="D2727" t="s">
        <v>87</v>
      </c>
      <c r="E2727" t="s">
        <v>881</v>
      </c>
      <c r="F2727" t="s">
        <v>882</v>
      </c>
      <c r="G2727" t="s">
        <v>52</v>
      </c>
      <c r="H2727">
        <v>6</v>
      </c>
      <c r="I2727">
        <v>0.438</v>
      </c>
      <c r="J2727">
        <v>0.52</v>
      </c>
      <c r="K2727">
        <v>8.3000000000000004E-2</v>
      </c>
      <c r="L2727">
        <v>3</v>
      </c>
      <c r="M2727">
        <v>1</v>
      </c>
      <c r="N2727">
        <v>2</v>
      </c>
      <c r="O2727" t="s">
        <v>53</v>
      </c>
      <c r="P2727" t="s">
        <v>53</v>
      </c>
      <c r="Q2727" t="s">
        <v>53</v>
      </c>
    </row>
    <row r="2728" spans="1:17" x14ac:dyDescent="0.2">
      <c r="A2728" s="30" t="str">
        <f>IF(C2728&amp;G2728&amp;D2728&lt;&gt;'Funnel setup'!$K$3&amp;'Funnel setup'!$K$4&amp;'Funnel setup'!$K$5,".",IF(A2727=".",1,A2727+1))</f>
        <v>.</v>
      </c>
      <c r="B2728" s="431" t="str">
        <f t="shared" si="42"/>
        <v>Hip Replacement RevisionCCG of GP PracticeNHS EASTBOURNE, HAILSHAM AND SEAFORD CCG (09F)EQ-5D Index</v>
      </c>
      <c r="C2728" t="s">
        <v>247</v>
      </c>
      <c r="D2728" t="s">
        <v>87</v>
      </c>
      <c r="E2728" t="s">
        <v>884</v>
      </c>
      <c r="F2728" t="s">
        <v>885</v>
      </c>
      <c r="G2728" t="s">
        <v>52</v>
      </c>
      <c r="H2728">
        <v>22</v>
      </c>
      <c r="I2728">
        <v>0.46</v>
      </c>
      <c r="J2728">
        <v>0.71</v>
      </c>
      <c r="K2728">
        <v>0.25</v>
      </c>
      <c r="L2728">
        <v>13</v>
      </c>
      <c r="M2728">
        <v>3</v>
      </c>
      <c r="N2728">
        <v>6</v>
      </c>
      <c r="O2728" t="s">
        <v>53</v>
      </c>
      <c r="P2728" t="s">
        <v>53</v>
      </c>
      <c r="Q2728" t="s">
        <v>53</v>
      </c>
    </row>
    <row r="2729" spans="1:17" x14ac:dyDescent="0.2">
      <c r="A2729" s="30" t="str">
        <f>IF(C2729&amp;G2729&amp;D2729&lt;&gt;'Funnel setup'!$K$3&amp;'Funnel setup'!$K$4&amp;'Funnel setup'!$K$5,".",IF(A2728=".",1,A2728+1))</f>
        <v>.</v>
      </c>
      <c r="B2729" s="431" t="str">
        <f t="shared" si="42"/>
        <v>Hip Replacement RevisionCCG of GP PracticeNHS EASTERN CHESHIRE CCG (01C)EQ-5D Index</v>
      </c>
      <c r="C2729" t="s">
        <v>247</v>
      </c>
      <c r="D2729" t="s">
        <v>87</v>
      </c>
      <c r="E2729" t="s">
        <v>887</v>
      </c>
      <c r="F2729" t="s">
        <v>888</v>
      </c>
      <c r="G2729" t="s">
        <v>52</v>
      </c>
      <c r="H2729">
        <v>6</v>
      </c>
      <c r="I2729">
        <v>0.26800000000000002</v>
      </c>
      <c r="J2729">
        <v>0.64700000000000002</v>
      </c>
      <c r="K2729">
        <v>0.379</v>
      </c>
      <c r="L2729">
        <v>4</v>
      </c>
      <c r="M2729">
        <v>2</v>
      </c>
      <c r="N2729">
        <v>0</v>
      </c>
      <c r="O2729" t="s">
        <v>53</v>
      </c>
      <c r="P2729" t="s">
        <v>53</v>
      </c>
      <c r="Q2729" t="s">
        <v>53</v>
      </c>
    </row>
    <row r="2730" spans="1:17" x14ac:dyDescent="0.2">
      <c r="A2730" s="30" t="str">
        <f>IF(C2730&amp;G2730&amp;D2730&lt;&gt;'Funnel setup'!$K$3&amp;'Funnel setup'!$K$4&amp;'Funnel setup'!$K$5,".",IF(A2729=".",1,A2729+1))</f>
        <v>.</v>
      </c>
      <c r="B2730" s="431" t="str">
        <f t="shared" si="42"/>
        <v>Hip Replacement RevisionCCG of GP PracticeNHS ENFIELD CCG (07X)EQ-5D Index</v>
      </c>
      <c r="C2730" t="s">
        <v>247</v>
      </c>
      <c r="D2730" t="s">
        <v>87</v>
      </c>
      <c r="E2730" t="s">
        <v>890</v>
      </c>
      <c r="F2730" t="s">
        <v>891</v>
      </c>
      <c r="G2730" t="s">
        <v>52</v>
      </c>
      <c r="H2730" t="s">
        <v>53</v>
      </c>
      <c r="I2730" t="s">
        <v>53</v>
      </c>
      <c r="J2730" t="s">
        <v>53</v>
      </c>
      <c r="K2730" t="s">
        <v>53</v>
      </c>
      <c r="L2730" t="s">
        <v>53</v>
      </c>
      <c r="M2730" t="s">
        <v>53</v>
      </c>
      <c r="N2730" t="s">
        <v>53</v>
      </c>
      <c r="O2730" t="s">
        <v>53</v>
      </c>
      <c r="P2730" t="s">
        <v>53</v>
      </c>
      <c r="Q2730" t="s">
        <v>53</v>
      </c>
    </row>
    <row r="2731" spans="1:17" x14ac:dyDescent="0.2">
      <c r="A2731" s="30" t="str">
        <f>IF(C2731&amp;G2731&amp;D2731&lt;&gt;'Funnel setup'!$K$3&amp;'Funnel setup'!$K$4&amp;'Funnel setup'!$K$5,".",IF(A2730=".",1,A2730+1))</f>
        <v>.</v>
      </c>
      <c r="B2731" s="431" t="str">
        <f t="shared" si="42"/>
        <v>Hip Replacement RevisionCCG of GP PracticeNHS EREWASH CCG (03X)EQ-5D Index</v>
      </c>
      <c r="C2731" t="s">
        <v>247</v>
      </c>
      <c r="D2731" t="s">
        <v>87</v>
      </c>
      <c r="E2731" t="s">
        <v>893</v>
      </c>
      <c r="F2731" t="s">
        <v>894</v>
      </c>
      <c r="G2731" t="s">
        <v>52</v>
      </c>
      <c r="H2731">
        <v>6</v>
      </c>
      <c r="I2731">
        <v>0.182</v>
      </c>
      <c r="J2731">
        <v>0.66600000000000004</v>
      </c>
      <c r="K2731">
        <v>0.48499999999999999</v>
      </c>
      <c r="L2731">
        <v>5</v>
      </c>
      <c r="M2731">
        <v>0</v>
      </c>
      <c r="N2731">
        <v>1</v>
      </c>
      <c r="O2731" t="s">
        <v>53</v>
      </c>
      <c r="P2731" t="s">
        <v>53</v>
      </c>
      <c r="Q2731" t="s">
        <v>53</v>
      </c>
    </row>
    <row r="2732" spans="1:17" x14ac:dyDescent="0.2">
      <c r="A2732" s="30" t="str">
        <f>IF(C2732&amp;G2732&amp;D2732&lt;&gt;'Funnel setup'!$K$3&amp;'Funnel setup'!$K$4&amp;'Funnel setup'!$K$5,".",IF(A2731=".",1,A2731+1))</f>
        <v>.</v>
      </c>
      <c r="B2732" s="431" t="str">
        <f t="shared" si="42"/>
        <v>Hip Replacement RevisionCCG of GP PracticeNHS FAREHAM AND GOSPORT CCG (10K)EQ-5D Index</v>
      </c>
      <c r="C2732" t="s">
        <v>247</v>
      </c>
      <c r="D2732" t="s">
        <v>87</v>
      </c>
      <c r="E2732" t="s">
        <v>896</v>
      </c>
      <c r="F2732" t="s">
        <v>897</v>
      </c>
      <c r="G2732" t="s">
        <v>52</v>
      </c>
      <c r="H2732" t="s">
        <v>53</v>
      </c>
      <c r="I2732" t="s">
        <v>53</v>
      </c>
      <c r="J2732" t="s">
        <v>53</v>
      </c>
      <c r="K2732" t="s">
        <v>53</v>
      </c>
      <c r="L2732" t="s">
        <v>53</v>
      </c>
      <c r="M2732" t="s">
        <v>53</v>
      </c>
      <c r="N2732" t="s">
        <v>53</v>
      </c>
      <c r="O2732" t="s">
        <v>53</v>
      </c>
      <c r="P2732" t="s">
        <v>53</v>
      </c>
      <c r="Q2732" t="s">
        <v>53</v>
      </c>
    </row>
    <row r="2733" spans="1:17" x14ac:dyDescent="0.2">
      <c r="A2733" s="30" t="str">
        <f>IF(C2733&amp;G2733&amp;D2733&lt;&gt;'Funnel setup'!$K$3&amp;'Funnel setup'!$K$4&amp;'Funnel setup'!$K$5,".",IF(A2732=".",1,A2732+1))</f>
        <v>.</v>
      </c>
      <c r="B2733" s="431" t="str">
        <f t="shared" si="42"/>
        <v>Hip Replacement RevisionCCG of GP PracticeNHS FYLDE &amp; WYRE CCG (02M)EQ-5D Index</v>
      </c>
      <c r="C2733" t="s">
        <v>247</v>
      </c>
      <c r="D2733" t="s">
        <v>87</v>
      </c>
      <c r="E2733" t="s">
        <v>899</v>
      </c>
      <c r="F2733" t="s">
        <v>900</v>
      </c>
      <c r="G2733" t="s">
        <v>52</v>
      </c>
      <c r="H2733" t="s">
        <v>53</v>
      </c>
      <c r="I2733" t="s">
        <v>53</v>
      </c>
      <c r="J2733" t="s">
        <v>53</v>
      </c>
      <c r="K2733" t="s">
        <v>53</v>
      </c>
      <c r="L2733" t="s">
        <v>53</v>
      </c>
      <c r="M2733" t="s">
        <v>53</v>
      </c>
      <c r="N2733" t="s">
        <v>53</v>
      </c>
      <c r="O2733" t="s">
        <v>53</v>
      </c>
      <c r="P2733" t="s">
        <v>53</v>
      </c>
      <c r="Q2733" t="s">
        <v>53</v>
      </c>
    </row>
    <row r="2734" spans="1:17" x14ac:dyDescent="0.2">
      <c r="A2734" s="30" t="str">
        <f>IF(C2734&amp;G2734&amp;D2734&lt;&gt;'Funnel setup'!$K$3&amp;'Funnel setup'!$K$4&amp;'Funnel setup'!$K$5,".",IF(A2733=".",1,A2733+1))</f>
        <v>.</v>
      </c>
      <c r="B2734" s="431" t="str">
        <f t="shared" si="42"/>
        <v>Hip Replacement RevisionCCG of GP PracticeNHS GLOUCESTERSHIRE CCG (11M)EQ-5D Index</v>
      </c>
      <c r="C2734" t="s">
        <v>247</v>
      </c>
      <c r="D2734" t="s">
        <v>87</v>
      </c>
      <c r="E2734" t="s">
        <v>902</v>
      </c>
      <c r="F2734" t="s">
        <v>903</v>
      </c>
      <c r="G2734" t="s">
        <v>52</v>
      </c>
      <c r="H2734">
        <v>40</v>
      </c>
      <c r="I2734">
        <v>0.42399999999999999</v>
      </c>
      <c r="J2734">
        <v>0.59199999999999997</v>
      </c>
      <c r="K2734">
        <v>0.16800000000000001</v>
      </c>
      <c r="L2734">
        <v>22</v>
      </c>
      <c r="M2734">
        <v>10</v>
      </c>
      <c r="N2734">
        <v>8</v>
      </c>
      <c r="O2734">
        <v>0.59499999999999997</v>
      </c>
      <c r="P2734">
        <v>0.195940911</v>
      </c>
      <c r="Q2734">
        <v>0.26500000000000001</v>
      </c>
    </row>
    <row r="2735" spans="1:17" x14ac:dyDescent="0.2">
      <c r="A2735" s="30" t="str">
        <f>IF(C2735&amp;G2735&amp;D2735&lt;&gt;'Funnel setup'!$K$3&amp;'Funnel setup'!$K$4&amp;'Funnel setup'!$K$5,".",IF(A2734=".",1,A2734+1))</f>
        <v>.</v>
      </c>
      <c r="B2735" s="431" t="str">
        <f t="shared" si="42"/>
        <v>Hip Replacement RevisionCCG of GP PracticeNHS GREAT YARMOUTH AND WAVENEY CCG (06M)EQ-5D Index</v>
      </c>
      <c r="C2735" t="s">
        <v>247</v>
      </c>
      <c r="D2735" t="s">
        <v>87</v>
      </c>
      <c r="E2735" t="s">
        <v>905</v>
      </c>
      <c r="F2735" t="s">
        <v>906</v>
      </c>
      <c r="G2735" t="s">
        <v>52</v>
      </c>
      <c r="H2735">
        <v>10</v>
      </c>
      <c r="I2735">
        <v>0.49399999999999999</v>
      </c>
      <c r="J2735">
        <v>0.745</v>
      </c>
      <c r="K2735">
        <v>0.251</v>
      </c>
      <c r="L2735">
        <v>10</v>
      </c>
      <c r="M2735">
        <v>0</v>
      </c>
      <c r="N2735">
        <v>0</v>
      </c>
      <c r="O2735" t="s">
        <v>53</v>
      </c>
      <c r="P2735" t="s">
        <v>53</v>
      </c>
      <c r="Q2735" t="s">
        <v>53</v>
      </c>
    </row>
    <row r="2736" spans="1:17" x14ac:dyDescent="0.2">
      <c r="A2736" s="30" t="str">
        <f>IF(C2736&amp;G2736&amp;D2736&lt;&gt;'Funnel setup'!$K$3&amp;'Funnel setup'!$K$4&amp;'Funnel setup'!$K$5,".",IF(A2735=".",1,A2735+1))</f>
        <v>.</v>
      </c>
      <c r="B2736" s="431" t="str">
        <f t="shared" si="42"/>
        <v>Hip Replacement RevisionCCG of GP PracticeNHS GREATER HUDDERSFIELD CCG (03A)EQ-5D Index</v>
      </c>
      <c r="C2736" t="s">
        <v>247</v>
      </c>
      <c r="D2736" t="s">
        <v>87</v>
      </c>
      <c r="E2736" t="s">
        <v>908</v>
      </c>
      <c r="F2736" t="s">
        <v>909</v>
      </c>
      <c r="G2736" t="s">
        <v>52</v>
      </c>
      <c r="H2736">
        <v>14</v>
      </c>
      <c r="I2736">
        <v>0.441</v>
      </c>
      <c r="J2736">
        <v>0.81899999999999995</v>
      </c>
      <c r="K2736">
        <v>0.377</v>
      </c>
      <c r="L2736">
        <v>11</v>
      </c>
      <c r="M2736">
        <v>1</v>
      </c>
      <c r="N2736">
        <v>2</v>
      </c>
      <c r="O2736" t="s">
        <v>53</v>
      </c>
      <c r="P2736" t="s">
        <v>53</v>
      </c>
      <c r="Q2736" t="s">
        <v>53</v>
      </c>
    </row>
    <row r="2737" spans="1:17" x14ac:dyDescent="0.2">
      <c r="A2737" s="30" t="str">
        <f>IF(C2737&amp;G2737&amp;D2737&lt;&gt;'Funnel setup'!$K$3&amp;'Funnel setup'!$K$4&amp;'Funnel setup'!$K$5,".",IF(A2736=".",1,A2736+1))</f>
        <v>.</v>
      </c>
      <c r="B2737" s="431" t="str">
        <f t="shared" si="42"/>
        <v>Hip Replacement RevisionCCG of GP PracticeNHS GREATER PRESTON CCG (01E)EQ-5D Index</v>
      </c>
      <c r="C2737" t="s">
        <v>247</v>
      </c>
      <c r="D2737" t="s">
        <v>87</v>
      </c>
      <c r="E2737" t="s">
        <v>486</v>
      </c>
      <c r="F2737" t="s">
        <v>487</v>
      </c>
      <c r="G2737" t="s">
        <v>52</v>
      </c>
      <c r="H2737">
        <v>16</v>
      </c>
      <c r="I2737">
        <v>0.46300000000000002</v>
      </c>
      <c r="J2737">
        <v>0.76500000000000001</v>
      </c>
      <c r="K2737">
        <v>0.30199999999999999</v>
      </c>
      <c r="L2737">
        <v>12</v>
      </c>
      <c r="M2737">
        <v>3</v>
      </c>
      <c r="N2737">
        <v>1</v>
      </c>
      <c r="O2737" t="s">
        <v>53</v>
      </c>
      <c r="P2737" t="s">
        <v>53</v>
      </c>
      <c r="Q2737" t="s">
        <v>53</v>
      </c>
    </row>
    <row r="2738" spans="1:17" x14ac:dyDescent="0.2">
      <c r="A2738" s="30" t="str">
        <f>IF(C2738&amp;G2738&amp;D2738&lt;&gt;'Funnel setup'!$K$3&amp;'Funnel setup'!$K$4&amp;'Funnel setup'!$K$5,".",IF(A2737=".",1,A2737+1))</f>
        <v>.</v>
      </c>
      <c r="B2738" s="431" t="str">
        <f t="shared" si="42"/>
        <v>Hip Replacement RevisionCCG of GP PracticeNHS GREENWICH CCG (08A)EQ-5D Index</v>
      </c>
      <c r="C2738" t="s">
        <v>247</v>
      </c>
      <c r="D2738" t="s">
        <v>87</v>
      </c>
      <c r="E2738" t="s">
        <v>489</v>
      </c>
      <c r="F2738" t="s">
        <v>490</v>
      </c>
      <c r="G2738" t="s">
        <v>52</v>
      </c>
      <c r="H2738" t="s">
        <v>53</v>
      </c>
      <c r="I2738" t="s">
        <v>53</v>
      </c>
      <c r="J2738" t="s">
        <v>53</v>
      </c>
      <c r="K2738" t="s">
        <v>53</v>
      </c>
      <c r="L2738" t="s">
        <v>53</v>
      </c>
      <c r="M2738" t="s">
        <v>53</v>
      </c>
      <c r="N2738" t="s">
        <v>53</v>
      </c>
      <c r="O2738" t="s">
        <v>53</v>
      </c>
      <c r="P2738" t="s">
        <v>53</v>
      </c>
      <c r="Q2738" t="s">
        <v>53</v>
      </c>
    </row>
    <row r="2739" spans="1:17" x14ac:dyDescent="0.2">
      <c r="A2739" s="30" t="str">
        <f>IF(C2739&amp;G2739&amp;D2739&lt;&gt;'Funnel setup'!$K$3&amp;'Funnel setup'!$K$4&amp;'Funnel setup'!$K$5,".",IF(A2738=".",1,A2738+1))</f>
        <v>.</v>
      </c>
      <c r="B2739" s="431" t="str">
        <f t="shared" si="42"/>
        <v>Hip Replacement RevisionCCG of GP PracticeNHS GUILDFORD AND WAVERLEY CCG (09N)EQ-5D Index</v>
      </c>
      <c r="C2739" t="s">
        <v>247</v>
      </c>
      <c r="D2739" t="s">
        <v>87</v>
      </c>
      <c r="E2739" t="s">
        <v>911</v>
      </c>
      <c r="F2739" t="s">
        <v>912</v>
      </c>
      <c r="G2739" t="s">
        <v>52</v>
      </c>
      <c r="H2739">
        <v>7</v>
      </c>
      <c r="I2739">
        <v>0.5</v>
      </c>
      <c r="J2739">
        <v>0.54400000000000004</v>
      </c>
      <c r="K2739">
        <v>4.3999999999999997E-2</v>
      </c>
      <c r="L2739">
        <v>4</v>
      </c>
      <c r="M2739">
        <v>0</v>
      </c>
      <c r="N2739">
        <v>3</v>
      </c>
      <c r="O2739" t="s">
        <v>53</v>
      </c>
      <c r="P2739" t="s">
        <v>53</v>
      </c>
      <c r="Q2739" t="s">
        <v>53</v>
      </c>
    </row>
    <row r="2740" spans="1:17" x14ac:dyDescent="0.2">
      <c r="A2740" s="30" t="str">
        <f>IF(C2740&amp;G2740&amp;D2740&lt;&gt;'Funnel setup'!$K$3&amp;'Funnel setup'!$K$4&amp;'Funnel setup'!$K$5,".",IF(A2739=".",1,A2739+1))</f>
        <v>.</v>
      </c>
      <c r="B2740" s="431" t="str">
        <f t="shared" si="42"/>
        <v>Hip Replacement RevisionCCG of GP PracticeNHS HALTON CCG (01F)EQ-5D Index</v>
      </c>
      <c r="C2740" t="s">
        <v>247</v>
      </c>
      <c r="D2740" t="s">
        <v>87</v>
      </c>
      <c r="E2740" t="s">
        <v>914</v>
      </c>
      <c r="F2740" t="s">
        <v>915</v>
      </c>
      <c r="G2740" t="s">
        <v>52</v>
      </c>
      <c r="H2740" t="s">
        <v>53</v>
      </c>
      <c r="I2740" t="s">
        <v>53</v>
      </c>
      <c r="J2740" t="s">
        <v>53</v>
      </c>
      <c r="K2740" t="s">
        <v>53</v>
      </c>
      <c r="L2740" t="s">
        <v>53</v>
      </c>
      <c r="M2740" t="s">
        <v>53</v>
      </c>
      <c r="N2740" t="s">
        <v>53</v>
      </c>
      <c r="O2740" t="s">
        <v>53</v>
      </c>
      <c r="P2740" t="s">
        <v>53</v>
      </c>
      <c r="Q2740" t="s">
        <v>53</v>
      </c>
    </row>
    <row r="2741" spans="1:17" x14ac:dyDescent="0.2">
      <c r="A2741" s="30" t="str">
        <f>IF(C2741&amp;G2741&amp;D2741&lt;&gt;'Funnel setup'!$K$3&amp;'Funnel setup'!$K$4&amp;'Funnel setup'!$K$5,".",IF(A2740=".",1,A2740+1))</f>
        <v>.</v>
      </c>
      <c r="B2741" s="431" t="str">
        <f t="shared" si="42"/>
        <v>Hip Replacement RevisionCCG of GP PracticeNHS HAMBLETON, RICHMONDSHIRE AND WHITBY CCG (03D)EQ-5D Index</v>
      </c>
      <c r="C2741" t="s">
        <v>247</v>
      </c>
      <c r="D2741" t="s">
        <v>87</v>
      </c>
      <c r="E2741" t="s">
        <v>917</v>
      </c>
      <c r="F2741" t="s">
        <v>918</v>
      </c>
      <c r="G2741" t="s">
        <v>52</v>
      </c>
      <c r="H2741">
        <v>19</v>
      </c>
      <c r="I2741">
        <v>0.35899999999999999</v>
      </c>
      <c r="J2741">
        <v>0.72</v>
      </c>
      <c r="K2741">
        <v>0.36</v>
      </c>
      <c r="L2741">
        <v>14</v>
      </c>
      <c r="M2741">
        <v>4</v>
      </c>
      <c r="N2741">
        <v>1</v>
      </c>
      <c r="O2741" t="s">
        <v>53</v>
      </c>
      <c r="P2741" t="s">
        <v>53</v>
      </c>
      <c r="Q2741" t="s">
        <v>53</v>
      </c>
    </row>
    <row r="2742" spans="1:17" x14ac:dyDescent="0.2">
      <c r="A2742" s="30" t="str">
        <f>IF(C2742&amp;G2742&amp;D2742&lt;&gt;'Funnel setup'!$K$3&amp;'Funnel setup'!$K$4&amp;'Funnel setup'!$K$5,".",IF(A2741=".",1,A2741+1))</f>
        <v>.</v>
      </c>
      <c r="B2742" s="431" t="str">
        <f t="shared" si="42"/>
        <v>Hip Replacement RevisionCCG of GP PracticeNHS HAMMERSMITH AND FULHAM CCG (08C)EQ-5D Index</v>
      </c>
      <c r="C2742" t="s">
        <v>247</v>
      </c>
      <c r="D2742" t="s">
        <v>87</v>
      </c>
      <c r="E2742" t="s">
        <v>920</v>
      </c>
      <c r="F2742" t="s">
        <v>921</v>
      </c>
      <c r="G2742" t="s">
        <v>52</v>
      </c>
      <c r="H2742" t="s">
        <v>53</v>
      </c>
      <c r="I2742" t="s">
        <v>53</v>
      </c>
      <c r="J2742" t="s">
        <v>53</v>
      </c>
      <c r="K2742" t="s">
        <v>53</v>
      </c>
      <c r="L2742" t="s">
        <v>53</v>
      </c>
      <c r="M2742" t="s">
        <v>53</v>
      </c>
      <c r="N2742" t="s">
        <v>53</v>
      </c>
      <c r="O2742" t="s">
        <v>53</v>
      </c>
      <c r="P2742" t="s">
        <v>53</v>
      </c>
      <c r="Q2742" t="s">
        <v>53</v>
      </c>
    </row>
    <row r="2743" spans="1:17" x14ac:dyDescent="0.2">
      <c r="A2743" s="30" t="str">
        <f>IF(C2743&amp;G2743&amp;D2743&lt;&gt;'Funnel setup'!$K$3&amp;'Funnel setup'!$K$4&amp;'Funnel setup'!$K$5,".",IF(A2742=".",1,A2742+1))</f>
        <v>.</v>
      </c>
      <c r="B2743" s="431" t="str">
        <f t="shared" si="42"/>
        <v>Hip Replacement RevisionCCG of GP PracticeNHS HARDWICK CCG (03Y)EQ-5D Index</v>
      </c>
      <c r="C2743" t="s">
        <v>247</v>
      </c>
      <c r="D2743" t="s">
        <v>87</v>
      </c>
      <c r="E2743" t="s">
        <v>923</v>
      </c>
      <c r="F2743" t="s">
        <v>924</v>
      </c>
      <c r="G2743" t="s">
        <v>52</v>
      </c>
      <c r="H2743" t="s">
        <v>53</v>
      </c>
      <c r="I2743" t="s">
        <v>53</v>
      </c>
      <c r="J2743" t="s">
        <v>53</v>
      </c>
      <c r="K2743" t="s">
        <v>53</v>
      </c>
      <c r="L2743" t="s">
        <v>53</v>
      </c>
      <c r="M2743" t="s">
        <v>53</v>
      </c>
      <c r="N2743" t="s">
        <v>53</v>
      </c>
      <c r="O2743" t="s">
        <v>53</v>
      </c>
      <c r="P2743" t="s">
        <v>53</v>
      </c>
      <c r="Q2743" t="s">
        <v>53</v>
      </c>
    </row>
    <row r="2744" spans="1:17" x14ac:dyDescent="0.2">
      <c r="A2744" s="30" t="str">
        <f>IF(C2744&amp;G2744&amp;D2744&lt;&gt;'Funnel setup'!$K$3&amp;'Funnel setup'!$K$4&amp;'Funnel setup'!$K$5,".",IF(A2743=".",1,A2743+1))</f>
        <v>.</v>
      </c>
      <c r="B2744" s="431" t="str">
        <f t="shared" si="42"/>
        <v>Hip Replacement RevisionCCG of GP PracticeNHS HARINGEY CCG (08D)EQ-5D Index</v>
      </c>
      <c r="C2744" t="s">
        <v>247</v>
      </c>
      <c r="D2744" t="s">
        <v>87</v>
      </c>
      <c r="E2744" t="s">
        <v>926</v>
      </c>
      <c r="F2744" t="s">
        <v>927</v>
      </c>
      <c r="G2744" t="s">
        <v>52</v>
      </c>
      <c r="H2744" t="s">
        <v>53</v>
      </c>
      <c r="I2744" t="s">
        <v>53</v>
      </c>
      <c r="J2744" t="s">
        <v>53</v>
      </c>
      <c r="K2744" t="s">
        <v>53</v>
      </c>
      <c r="L2744" t="s">
        <v>53</v>
      </c>
      <c r="M2744" t="s">
        <v>53</v>
      </c>
      <c r="N2744" t="s">
        <v>53</v>
      </c>
      <c r="O2744" t="s">
        <v>53</v>
      </c>
      <c r="P2744" t="s">
        <v>53</v>
      </c>
      <c r="Q2744" t="s">
        <v>53</v>
      </c>
    </row>
    <row r="2745" spans="1:17" x14ac:dyDescent="0.2">
      <c r="A2745" s="30" t="str">
        <f>IF(C2745&amp;G2745&amp;D2745&lt;&gt;'Funnel setup'!$K$3&amp;'Funnel setup'!$K$4&amp;'Funnel setup'!$K$5,".",IF(A2744=".",1,A2744+1))</f>
        <v>.</v>
      </c>
      <c r="B2745" s="431" t="str">
        <f t="shared" si="42"/>
        <v>Hip Replacement RevisionCCG of GP PracticeNHS HARROGATE AND RURAL DISTRICT CCG (03E)EQ-5D Index</v>
      </c>
      <c r="C2745" t="s">
        <v>247</v>
      </c>
      <c r="D2745" t="s">
        <v>87</v>
      </c>
      <c r="E2745" t="s">
        <v>929</v>
      </c>
      <c r="F2745" t="s">
        <v>930</v>
      </c>
      <c r="G2745" t="s">
        <v>52</v>
      </c>
      <c r="H2745">
        <v>14</v>
      </c>
      <c r="I2745">
        <v>0.54900000000000004</v>
      </c>
      <c r="J2745">
        <v>0.75800000000000001</v>
      </c>
      <c r="K2745">
        <v>0.20899999999999999</v>
      </c>
      <c r="L2745">
        <v>9</v>
      </c>
      <c r="M2745">
        <v>2</v>
      </c>
      <c r="N2745">
        <v>3</v>
      </c>
      <c r="O2745" t="s">
        <v>53</v>
      </c>
      <c r="P2745" t="s">
        <v>53</v>
      </c>
      <c r="Q2745" t="s">
        <v>53</v>
      </c>
    </row>
    <row r="2746" spans="1:17" x14ac:dyDescent="0.2">
      <c r="A2746" s="30" t="str">
        <f>IF(C2746&amp;G2746&amp;D2746&lt;&gt;'Funnel setup'!$K$3&amp;'Funnel setup'!$K$4&amp;'Funnel setup'!$K$5,".",IF(A2745=".",1,A2745+1))</f>
        <v>.</v>
      </c>
      <c r="B2746" s="431" t="str">
        <f t="shared" si="42"/>
        <v>Hip Replacement RevisionCCG of GP PracticeNHS HARROW CCG (08E)EQ-5D Index</v>
      </c>
      <c r="C2746" t="s">
        <v>247</v>
      </c>
      <c r="D2746" t="s">
        <v>87</v>
      </c>
      <c r="E2746" t="s">
        <v>492</v>
      </c>
      <c r="F2746" t="s">
        <v>493</v>
      </c>
      <c r="G2746" t="s">
        <v>52</v>
      </c>
      <c r="H2746">
        <v>7</v>
      </c>
      <c r="I2746">
        <v>0.35399999999999998</v>
      </c>
      <c r="J2746">
        <v>0.69499999999999995</v>
      </c>
      <c r="K2746">
        <v>0.34100000000000003</v>
      </c>
      <c r="L2746">
        <v>4</v>
      </c>
      <c r="M2746">
        <v>1</v>
      </c>
      <c r="N2746">
        <v>2</v>
      </c>
      <c r="O2746" t="s">
        <v>53</v>
      </c>
      <c r="P2746" t="s">
        <v>53</v>
      </c>
      <c r="Q2746" t="s">
        <v>53</v>
      </c>
    </row>
    <row r="2747" spans="1:17" x14ac:dyDescent="0.2">
      <c r="A2747" s="30" t="str">
        <f>IF(C2747&amp;G2747&amp;D2747&lt;&gt;'Funnel setup'!$K$3&amp;'Funnel setup'!$K$4&amp;'Funnel setup'!$K$5,".",IF(A2746=".",1,A2746+1))</f>
        <v>.</v>
      </c>
      <c r="B2747" s="431" t="str">
        <f t="shared" si="42"/>
        <v>Hip Replacement RevisionCCG of GP PracticeNHS HARTLEPOOL AND STOCKTON-ON-TEES CCG (00K)EQ-5D Index</v>
      </c>
      <c r="C2747" t="s">
        <v>247</v>
      </c>
      <c r="D2747" t="s">
        <v>87</v>
      </c>
      <c r="E2747" t="s">
        <v>495</v>
      </c>
      <c r="F2747" t="s">
        <v>496</v>
      </c>
      <c r="G2747" t="s">
        <v>52</v>
      </c>
      <c r="H2747">
        <v>26</v>
      </c>
      <c r="I2747">
        <v>0.45100000000000001</v>
      </c>
      <c r="J2747">
        <v>0.65300000000000002</v>
      </c>
      <c r="K2747">
        <v>0.20200000000000001</v>
      </c>
      <c r="L2747">
        <v>18</v>
      </c>
      <c r="M2747">
        <v>3</v>
      </c>
      <c r="N2747">
        <v>5</v>
      </c>
      <c r="O2747" t="s">
        <v>53</v>
      </c>
      <c r="P2747" t="s">
        <v>53</v>
      </c>
      <c r="Q2747" t="s">
        <v>53</v>
      </c>
    </row>
    <row r="2748" spans="1:17" x14ac:dyDescent="0.2">
      <c r="A2748" s="30" t="str">
        <f>IF(C2748&amp;G2748&amp;D2748&lt;&gt;'Funnel setup'!$K$3&amp;'Funnel setup'!$K$4&amp;'Funnel setup'!$K$5,".",IF(A2747=".",1,A2747+1))</f>
        <v>.</v>
      </c>
      <c r="B2748" s="431" t="str">
        <f t="shared" si="42"/>
        <v>Hip Replacement RevisionCCG of GP PracticeNHS HASTINGS AND ROTHER CCG (09P)EQ-5D Index</v>
      </c>
      <c r="C2748" t="s">
        <v>247</v>
      </c>
      <c r="D2748" t="s">
        <v>87</v>
      </c>
      <c r="E2748" t="s">
        <v>498</v>
      </c>
      <c r="F2748" t="s">
        <v>499</v>
      </c>
      <c r="G2748" t="s">
        <v>52</v>
      </c>
      <c r="H2748">
        <v>16</v>
      </c>
      <c r="I2748">
        <v>0.39900000000000002</v>
      </c>
      <c r="J2748">
        <v>0.76800000000000002</v>
      </c>
      <c r="K2748">
        <v>0.37</v>
      </c>
      <c r="L2748">
        <v>13</v>
      </c>
      <c r="M2748">
        <v>2</v>
      </c>
      <c r="N2748">
        <v>1</v>
      </c>
      <c r="O2748" t="s">
        <v>53</v>
      </c>
      <c r="P2748" t="s">
        <v>53</v>
      </c>
      <c r="Q2748" t="s">
        <v>53</v>
      </c>
    </row>
    <row r="2749" spans="1:17" x14ac:dyDescent="0.2">
      <c r="A2749" s="30" t="str">
        <f>IF(C2749&amp;G2749&amp;D2749&lt;&gt;'Funnel setup'!$K$3&amp;'Funnel setup'!$K$4&amp;'Funnel setup'!$K$5,".",IF(A2748=".",1,A2748+1))</f>
        <v>.</v>
      </c>
      <c r="B2749" s="431" t="str">
        <f t="shared" si="42"/>
        <v>Hip Replacement RevisionCCG of GP PracticeNHS HAVERING CCG (08F)EQ-5D Index</v>
      </c>
      <c r="C2749" t="s">
        <v>247</v>
      </c>
      <c r="D2749" t="s">
        <v>87</v>
      </c>
      <c r="E2749" t="s">
        <v>501</v>
      </c>
      <c r="F2749" t="s">
        <v>502</v>
      </c>
      <c r="G2749" t="s">
        <v>52</v>
      </c>
      <c r="H2749">
        <v>6</v>
      </c>
      <c r="I2749">
        <v>0.218</v>
      </c>
      <c r="J2749">
        <v>0.84299999999999997</v>
      </c>
      <c r="K2749">
        <v>0.625</v>
      </c>
      <c r="L2749">
        <v>6</v>
      </c>
      <c r="M2749">
        <v>0</v>
      </c>
      <c r="N2749">
        <v>0</v>
      </c>
      <c r="O2749" t="s">
        <v>53</v>
      </c>
      <c r="P2749" t="s">
        <v>53</v>
      </c>
      <c r="Q2749" t="s">
        <v>53</v>
      </c>
    </row>
    <row r="2750" spans="1:17" x14ac:dyDescent="0.2">
      <c r="A2750" s="30" t="str">
        <f>IF(C2750&amp;G2750&amp;D2750&lt;&gt;'Funnel setup'!$K$3&amp;'Funnel setup'!$K$4&amp;'Funnel setup'!$K$5,".",IF(A2749=".",1,A2749+1))</f>
        <v>.</v>
      </c>
      <c r="B2750" s="431" t="str">
        <f t="shared" si="42"/>
        <v>Hip Replacement RevisionCCG of GP PracticeNHS HEREFORDSHIRE CCG (05F)EQ-5D Index</v>
      </c>
      <c r="C2750" t="s">
        <v>247</v>
      </c>
      <c r="D2750" t="s">
        <v>87</v>
      </c>
      <c r="E2750" t="s">
        <v>504</v>
      </c>
      <c r="F2750" t="s">
        <v>505</v>
      </c>
      <c r="G2750" t="s">
        <v>52</v>
      </c>
      <c r="H2750">
        <v>6</v>
      </c>
      <c r="I2750">
        <v>0.39500000000000002</v>
      </c>
      <c r="J2750">
        <v>0.81799999999999995</v>
      </c>
      <c r="K2750">
        <v>0.42199999999999999</v>
      </c>
      <c r="L2750">
        <v>6</v>
      </c>
      <c r="M2750">
        <v>0</v>
      </c>
      <c r="N2750">
        <v>0</v>
      </c>
      <c r="O2750" t="s">
        <v>53</v>
      </c>
      <c r="P2750" t="s">
        <v>53</v>
      </c>
      <c r="Q2750" t="s">
        <v>53</v>
      </c>
    </row>
    <row r="2751" spans="1:17" x14ac:dyDescent="0.2">
      <c r="A2751" s="30" t="str">
        <f>IF(C2751&amp;G2751&amp;D2751&lt;&gt;'Funnel setup'!$K$3&amp;'Funnel setup'!$K$4&amp;'Funnel setup'!$K$5,".",IF(A2750=".",1,A2750+1))</f>
        <v>.</v>
      </c>
      <c r="B2751" s="431" t="str">
        <f t="shared" si="42"/>
        <v>Hip Replacement RevisionCCG of GP PracticeNHS HERTS VALLEYS CCG (06N)EQ-5D Index</v>
      </c>
      <c r="C2751" t="s">
        <v>247</v>
      </c>
      <c r="D2751" t="s">
        <v>87</v>
      </c>
      <c r="E2751" t="s">
        <v>507</v>
      </c>
      <c r="F2751" t="s">
        <v>508</v>
      </c>
      <c r="G2751" t="s">
        <v>52</v>
      </c>
      <c r="H2751">
        <v>25</v>
      </c>
      <c r="I2751">
        <v>0.44900000000000001</v>
      </c>
      <c r="J2751">
        <v>0.58499999999999996</v>
      </c>
      <c r="K2751">
        <v>0.13600000000000001</v>
      </c>
      <c r="L2751">
        <v>13</v>
      </c>
      <c r="M2751">
        <v>7</v>
      </c>
      <c r="N2751">
        <v>5</v>
      </c>
      <c r="O2751" t="s">
        <v>53</v>
      </c>
      <c r="P2751" t="s">
        <v>53</v>
      </c>
      <c r="Q2751" t="s">
        <v>53</v>
      </c>
    </row>
    <row r="2752" spans="1:17" x14ac:dyDescent="0.2">
      <c r="A2752" s="30" t="str">
        <f>IF(C2752&amp;G2752&amp;D2752&lt;&gt;'Funnel setup'!$K$3&amp;'Funnel setup'!$K$4&amp;'Funnel setup'!$K$5,".",IF(A2751=".",1,A2751+1))</f>
        <v>.</v>
      </c>
      <c r="B2752" s="431" t="str">
        <f t="shared" si="42"/>
        <v>Hip Replacement RevisionCCG of GP PracticeNHS HEYWOOD, MIDDLETON AND ROCHDALE CCG (01D)EQ-5D Index</v>
      </c>
      <c r="C2752" t="s">
        <v>247</v>
      </c>
      <c r="D2752" t="s">
        <v>87</v>
      </c>
      <c r="E2752" t="s">
        <v>510</v>
      </c>
      <c r="F2752" t="s">
        <v>511</v>
      </c>
      <c r="G2752" t="s">
        <v>52</v>
      </c>
      <c r="H2752">
        <v>12</v>
      </c>
      <c r="I2752">
        <v>0.57499999999999996</v>
      </c>
      <c r="J2752">
        <v>0.63200000000000001</v>
      </c>
      <c r="K2752">
        <v>5.7000000000000002E-2</v>
      </c>
      <c r="L2752">
        <v>5</v>
      </c>
      <c r="M2752">
        <v>2</v>
      </c>
      <c r="N2752">
        <v>5</v>
      </c>
      <c r="O2752" t="s">
        <v>53</v>
      </c>
      <c r="P2752" t="s">
        <v>53</v>
      </c>
      <c r="Q2752" t="s">
        <v>53</v>
      </c>
    </row>
    <row r="2753" spans="1:17" x14ac:dyDescent="0.2">
      <c r="A2753" s="30" t="str">
        <f>IF(C2753&amp;G2753&amp;D2753&lt;&gt;'Funnel setup'!$K$3&amp;'Funnel setup'!$K$4&amp;'Funnel setup'!$K$5,".",IF(A2752=".",1,A2752+1))</f>
        <v>.</v>
      </c>
      <c r="B2753" s="431" t="str">
        <f t="shared" si="42"/>
        <v>Hip Replacement RevisionCCG of GP PracticeNHS HIGH WEALD LEWES HAVENS CCG (99K)EQ-5D Index</v>
      </c>
      <c r="C2753" t="s">
        <v>247</v>
      </c>
      <c r="D2753" t="s">
        <v>87</v>
      </c>
      <c r="E2753" t="s">
        <v>513</v>
      </c>
      <c r="F2753" t="s">
        <v>514</v>
      </c>
      <c r="G2753" t="s">
        <v>52</v>
      </c>
      <c r="H2753">
        <v>12</v>
      </c>
      <c r="I2753">
        <v>0.61399999999999999</v>
      </c>
      <c r="J2753">
        <v>0.68500000000000005</v>
      </c>
      <c r="K2753">
        <v>7.0000000000000007E-2</v>
      </c>
      <c r="L2753">
        <v>8</v>
      </c>
      <c r="M2753">
        <v>1</v>
      </c>
      <c r="N2753">
        <v>3</v>
      </c>
      <c r="O2753" t="s">
        <v>53</v>
      </c>
      <c r="P2753" t="s">
        <v>53</v>
      </c>
      <c r="Q2753" t="s">
        <v>53</v>
      </c>
    </row>
    <row r="2754" spans="1:17" x14ac:dyDescent="0.2">
      <c r="A2754" s="30" t="str">
        <f>IF(C2754&amp;G2754&amp;D2754&lt;&gt;'Funnel setup'!$K$3&amp;'Funnel setup'!$K$4&amp;'Funnel setup'!$K$5,".",IF(A2753=".",1,A2753+1))</f>
        <v>.</v>
      </c>
      <c r="B2754" s="431" t="str">
        <f t="shared" si="42"/>
        <v>Hip Replacement RevisionCCG of GP PracticeNHS HILLINGDON CCG (08G)EQ-5D Index</v>
      </c>
      <c r="C2754" t="s">
        <v>247</v>
      </c>
      <c r="D2754" t="s">
        <v>87</v>
      </c>
      <c r="E2754" t="s">
        <v>516</v>
      </c>
      <c r="F2754" t="s">
        <v>517</v>
      </c>
      <c r="G2754" t="s">
        <v>52</v>
      </c>
      <c r="H2754" t="s">
        <v>53</v>
      </c>
      <c r="I2754" t="s">
        <v>53</v>
      </c>
      <c r="J2754" t="s">
        <v>53</v>
      </c>
      <c r="K2754" t="s">
        <v>53</v>
      </c>
      <c r="L2754" t="s">
        <v>53</v>
      </c>
      <c r="M2754" t="s">
        <v>53</v>
      </c>
      <c r="N2754" t="s">
        <v>53</v>
      </c>
      <c r="O2754" t="s">
        <v>53</v>
      </c>
      <c r="P2754" t="s">
        <v>53</v>
      </c>
      <c r="Q2754" t="s">
        <v>53</v>
      </c>
    </row>
    <row r="2755" spans="1:17" x14ac:dyDescent="0.2">
      <c r="A2755" s="30" t="str">
        <f>IF(C2755&amp;G2755&amp;D2755&lt;&gt;'Funnel setup'!$K$3&amp;'Funnel setup'!$K$4&amp;'Funnel setup'!$K$5,".",IF(A2754=".",1,A2754+1))</f>
        <v>.</v>
      </c>
      <c r="B2755" s="431" t="str">
        <f t="shared" ref="B2755:B2818" si="43">C2755&amp;D2755&amp;F2755&amp;G2755</f>
        <v>Hip Replacement RevisionCCG of GP PracticeNHS HORSHAM AND MID SUSSEX CCG (09X)EQ-5D Index</v>
      </c>
      <c r="C2755" t="s">
        <v>247</v>
      </c>
      <c r="D2755" t="s">
        <v>87</v>
      </c>
      <c r="E2755" t="s">
        <v>519</v>
      </c>
      <c r="F2755" t="s">
        <v>520</v>
      </c>
      <c r="G2755" t="s">
        <v>52</v>
      </c>
      <c r="H2755">
        <v>14</v>
      </c>
      <c r="I2755">
        <v>0.39800000000000002</v>
      </c>
      <c r="J2755">
        <v>0.77300000000000002</v>
      </c>
      <c r="K2755">
        <v>0.375</v>
      </c>
      <c r="L2755">
        <v>11</v>
      </c>
      <c r="M2755">
        <v>1</v>
      </c>
      <c r="N2755">
        <v>2</v>
      </c>
      <c r="O2755" t="s">
        <v>53</v>
      </c>
      <c r="P2755" t="s">
        <v>53</v>
      </c>
      <c r="Q2755" t="s">
        <v>53</v>
      </c>
    </row>
    <row r="2756" spans="1:17" x14ac:dyDescent="0.2">
      <c r="A2756" s="30" t="str">
        <f>IF(C2756&amp;G2756&amp;D2756&lt;&gt;'Funnel setup'!$K$3&amp;'Funnel setup'!$K$4&amp;'Funnel setup'!$K$5,".",IF(A2755=".",1,A2755+1))</f>
        <v>.</v>
      </c>
      <c r="B2756" s="431" t="str">
        <f t="shared" si="43"/>
        <v>Hip Replacement RevisionCCG of GP PracticeNHS HOUNSLOW CCG (07Y)EQ-5D Index</v>
      </c>
      <c r="C2756" t="s">
        <v>247</v>
      </c>
      <c r="D2756" t="s">
        <v>87</v>
      </c>
      <c r="E2756" t="s">
        <v>522</v>
      </c>
      <c r="F2756" t="s">
        <v>523</v>
      </c>
      <c r="G2756" t="s">
        <v>52</v>
      </c>
      <c r="H2756" t="s">
        <v>53</v>
      </c>
      <c r="I2756" t="s">
        <v>53</v>
      </c>
      <c r="J2756" t="s">
        <v>53</v>
      </c>
      <c r="K2756" t="s">
        <v>53</v>
      </c>
      <c r="L2756" t="s">
        <v>53</v>
      </c>
      <c r="M2756" t="s">
        <v>53</v>
      </c>
      <c r="N2756" t="s">
        <v>53</v>
      </c>
      <c r="O2756" t="s">
        <v>53</v>
      </c>
      <c r="P2756" t="s">
        <v>53</v>
      </c>
      <c r="Q2756" t="s">
        <v>53</v>
      </c>
    </row>
    <row r="2757" spans="1:17" x14ac:dyDescent="0.2">
      <c r="A2757" s="30" t="str">
        <f>IF(C2757&amp;G2757&amp;D2757&lt;&gt;'Funnel setup'!$K$3&amp;'Funnel setup'!$K$4&amp;'Funnel setup'!$K$5,".",IF(A2756=".",1,A2756+1))</f>
        <v>.</v>
      </c>
      <c r="B2757" s="431" t="str">
        <f t="shared" si="43"/>
        <v>Hip Replacement RevisionCCG of GP PracticeNHS HULL CCG (03F)EQ-5D Index</v>
      </c>
      <c r="C2757" t="s">
        <v>247</v>
      </c>
      <c r="D2757" t="s">
        <v>87</v>
      </c>
      <c r="E2757" t="s">
        <v>525</v>
      </c>
      <c r="F2757" t="s">
        <v>526</v>
      </c>
      <c r="G2757" t="s">
        <v>52</v>
      </c>
      <c r="H2757">
        <v>16</v>
      </c>
      <c r="I2757">
        <v>0.44900000000000001</v>
      </c>
      <c r="J2757">
        <v>0.71299999999999997</v>
      </c>
      <c r="K2757">
        <v>0.26300000000000001</v>
      </c>
      <c r="L2757">
        <v>11</v>
      </c>
      <c r="M2757">
        <v>4</v>
      </c>
      <c r="N2757">
        <v>1</v>
      </c>
      <c r="O2757" t="s">
        <v>53</v>
      </c>
      <c r="P2757" t="s">
        <v>53</v>
      </c>
      <c r="Q2757" t="s">
        <v>53</v>
      </c>
    </row>
    <row r="2758" spans="1:17" x14ac:dyDescent="0.2">
      <c r="A2758" s="30" t="str">
        <f>IF(C2758&amp;G2758&amp;D2758&lt;&gt;'Funnel setup'!$K$3&amp;'Funnel setup'!$K$4&amp;'Funnel setup'!$K$5,".",IF(A2757=".",1,A2757+1))</f>
        <v>.</v>
      </c>
      <c r="B2758" s="431" t="str">
        <f t="shared" si="43"/>
        <v>Hip Replacement RevisionCCG of GP PracticeNHS IPSWICH AND EAST SUFFOLK CCG (06L)EQ-5D Index</v>
      </c>
      <c r="C2758" t="s">
        <v>247</v>
      </c>
      <c r="D2758" t="s">
        <v>87</v>
      </c>
      <c r="E2758" t="s">
        <v>528</v>
      </c>
      <c r="F2758" t="s">
        <v>529</v>
      </c>
      <c r="G2758" t="s">
        <v>52</v>
      </c>
      <c r="H2758">
        <v>11</v>
      </c>
      <c r="I2758">
        <v>0.36399999999999999</v>
      </c>
      <c r="J2758">
        <v>0.69699999999999995</v>
      </c>
      <c r="K2758">
        <v>0.33300000000000002</v>
      </c>
      <c r="L2758">
        <v>10</v>
      </c>
      <c r="M2758">
        <v>1</v>
      </c>
      <c r="N2758">
        <v>0</v>
      </c>
      <c r="O2758" t="s">
        <v>53</v>
      </c>
      <c r="P2758" t="s">
        <v>53</v>
      </c>
      <c r="Q2758" t="s">
        <v>53</v>
      </c>
    </row>
    <row r="2759" spans="1:17" x14ac:dyDescent="0.2">
      <c r="A2759" s="30" t="str">
        <f>IF(C2759&amp;G2759&amp;D2759&lt;&gt;'Funnel setup'!$K$3&amp;'Funnel setup'!$K$4&amp;'Funnel setup'!$K$5,".",IF(A2758=".",1,A2758+1))</f>
        <v>.</v>
      </c>
      <c r="B2759" s="431" t="str">
        <f t="shared" si="43"/>
        <v>Hip Replacement RevisionCCG of GP PracticeNHS ISLE OF WIGHT CCG (10L)EQ-5D Index</v>
      </c>
      <c r="C2759" t="s">
        <v>247</v>
      </c>
      <c r="D2759" t="s">
        <v>87</v>
      </c>
      <c r="E2759" t="s">
        <v>531</v>
      </c>
      <c r="F2759" t="s">
        <v>532</v>
      </c>
      <c r="G2759" t="s">
        <v>52</v>
      </c>
      <c r="H2759" t="s">
        <v>53</v>
      </c>
      <c r="I2759" t="s">
        <v>53</v>
      </c>
      <c r="J2759" t="s">
        <v>53</v>
      </c>
      <c r="K2759" t="s">
        <v>53</v>
      </c>
      <c r="L2759" t="s">
        <v>53</v>
      </c>
      <c r="M2759" t="s">
        <v>53</v>
      </c>
      <c r="N2759" t="s">
        <v>53</v>
      </c>
      <c r="O2759" t="s">
        <v>53</v>
      </c>
      <c r="P2759" t="s">
        <v>53</v>
      </c>
      <c r="Q2759" t="s">
        <v>53</v>
      </c>
    </row>
    <row r="2760" spans="1:17" x14ac:dyDescent="0.2">
      <c r="A2760" s="30" t="str">
        <f>IF(C2760&amp;G2760&amp;D2760&lt;&gt;'Funnel setup'!$K$3&amp;'Funnel setup'!$K$4&amp;'Funnel setup'!$K$5,".",IF(A2759=".",1,A2759+1))</f>
        <v>.</v>
      </c>
      <c r="B2760" s="431" t="str">
        <f t="shared" si="43"/>
        <v>Hip Replacement RevisionCCG of GP PracticeNHS ISLINGTON CCG (08H)EQ-5D Index</v>
      </c>
      <c r="C2760" t="s">
        <v>247</v>
      </c>
      <c r="D2760" t="s">
        <v>87</v>
      </c>
      <c r="E2760" t="s">
        <v>534</v>
      </c>
      <c r="F2760" t="s">
        <v>535</v>
      </c>
      <c r="G2760" t="s">
        <v>52</v>
      </c>
      <c r="H2760" t="s">
        <v>53</v>
      </c>
      <c r="I2760" t="s">
        <v>53</v>
      </c>
      <c r="J2760" t="s">
        <v>53</v>
      </c>
      <c r="K2760" t="s">
        <v>53</v>
      </c>
      <c r="L2760" t="s">
        <v>53</v>
      </c>
      <c r="M2760" t="s">
        <v>53</v>
      </c>
      <c r="N2760" t="s">
        <v>53</v>
      </c>
      <c r="O2760" t="s">
        <v>53</v>
      </c>
      <c r="P2760" t="s">
        <v>53</v>
      </c>
      <c r="Q2760" t="s">
        <v>53</v>
      </c>
    </row>
    <row r="2761" spans="1:17" x14ac:dyDescent="0.2">
      <c r="A2761" s="30" t="str">
        <f>IF(C2761&amp;G2761&amp;D2761&lt;&gt;'Funnel setup'!$K$3&amp;'Funnel setup'!$K$4&amp;'Funnel setup'!$K$5,".",IF(A2760=".",1,A2760+1))</f>
        <v>.</v>
      </c>
      <c r="B2761" s="431" t="str">
        <f t="shared" si="43"/>
        <v>Hip Replacement RevisionCCG of GP PracticeNHS KERNOW CCG (11N)EQ-5D Index</v>
      </c>
      <c r="C2761" t="s">
        <v>247</v>
      </c>
      <c r="D2761" t="s">
        <v>87</v>
      </c>
      <c r="E2761" t="s">
        <v>537</v>
      </c>
      <c r="F2761" t="s">
        <v>538</v>
      </c>
      <c r="G2761" t="s">
        <v>52</v>
      </c>
      <c r="H2761">
        <v>48</v>
      </c>
      <c r="I2761">
        <v>0.51900000000000002</v>
      </c>
      <c r="J2761">
        <v>0.68300000000000005</v>
      </c>
      <c r="K2761">
        <v>0.16400000000000001</v>
      </c>
      <c r="L2761">
        <v>33</v>
      </c>
      <c r="M2761">
        <v>6</v>
      </c>
      <c r="N2761">
        <v>9</v>
      </c>
      <c r="O2761">
        <v>0.64800000000000002</v>
      </c>
      <c r="P2761">
        <v>0.24899732099999999</v>
      </c>
      <c r="Q2761">
        <v>0.26800000000000002</v>
      </c>
    </row>
    <row r="2762" spans="1:17" x14ac:dyDescent="0.2">
      <c r="A2762" s="30" t="str">
        <f>IF(C2762&amp;G2762&amp;D2762&lt;&gt;'Funnel setup'!$K$3&amp;'Funnel setup'!$K$4&amp;'Funnel setup'!$K$5,".",IF(A2761=".",1,A2761+1))</f>
        <v>.</v>
      </c>
      <c r="B2762" s="431" t="str">
        <f t="shared" si="43"/>
        <v>Hip Replacement RevisionCCG of GP PracticeNHS KINGSTON CCG (08J)EQ-5D Index</v>
      </c>
      <c r="C2762" t="s">
        <v>247</v>
      </c>
      <c r="D2762" t="s">
        <v>87</v>
      </c>
      <c r="E2762" t="s">
        <v>540</v>
      </c>
      <c r="F2762" t="s">
        <v>541</v>
      </c>
      <c r="G2762" t="s">
        <v>52</v>
      </c>
      <c r="H2762">
        <v>6</v>
      </c>
      <c r="I2762">
        <v>0.53900000000000003</v>
      </c>
      <c r="J2762">
        <v>0.76200000000000001</v>
      </c>
      <c r="K2762">
        <v>0.223</v>
      </c>
      <c r="L2762">
        <v>6</v>
      </c>
      <c r="M2762">
        <v>0</v>
      </c>
      <c r="N2762">
        <v>0</v>
      </c>
      <c r="O2762" t="s">
        <v>53</v>
      </c>
      <c r="P2762" t="s">
        <v>53</v>
      </c>
      <c r="Q2762" t="s">
        <v>53</v>
      </c>
    </row>
    <row r="2763" spans="1:17" x14ac:dyDescent="0.2">
      <c r="A2763" s="30" t="str">
        <f>IF(C2763&amp;G2763&amp;D2763&lt;&gt;'Funnel setup'!$K$3&amp;'Funnel setup'!$K$4&amp;'Funnel setup'!$K$5,".",IF(A2762=".",1,A2762+1))</f>
        <v>.</v>
      </c>
      <c r="B2763" s="431" t="str">
        <f t="shared" si="43"/>
        <v>Hip Replacement RevisionCCG of GP PracticeNHS KNOWSLEY CCG (01J)EQ-5D Index</v>
      </c>
      <c r="C2763" t="s">
        <v>247</v>
      </c>
      <c r="D2763" t="s">
        <v>87</v>
      </c>
      <c r="E2763" t="s">
        <v>543</v>
      </c>
      <c r="F2763" t="s">
        <v>544</v>
      </c>
      <c r="G2763" t="s">
        <v>52</v>
      </c>
      <c r="H2763" t="s">
        <v>53</v>
      </c>
      <c r="I2763" t="s">
        <v>53</v>
      </c>
      <c r="J2763" t="s">
        <v>53</v>
      </c>
      <c r="K2763" t="s">
        <v>53</v>
      </c>
      <c r="L2763" t="s">
        <v>53</v>
      </c>
      <c r="M2763" t="s">
        <v>53</v>
      </c>
      <c r="N2763" t="s">
        <v>53</v>
      </c>
      <c r="O2763" t="s">
        <v>53</v>
      </c>
      <c r="P2763" t="s">
        <v>53</v>
      </c>
      <c r="Q2763" t="s">
        <v>53</v>
      </c>
    </row>
    <row r="2764" spans="1:17" x14ac:dyDescent="0.2">
      <c r="A2764" s="30" t="str">
        <f>IF(C2764&amp;G2764&amp;D2764&lt;&gt;'Funnel setup'!$K$3&amp;'Funnel setup'!$K$4&amp;'Funnel setup'!$K$5,".",IF(A2763=".",1,A2763+1))</f>
        <v>.</v>
      </c>
      <c r="B2764" s="431" t="str">
        <f t="shared" si="43"/>
        <v>Hip Replacement RevisionCCG of GP PracticeNHS LAMBETH CCG (08K)EQ-5D Index</v>
      </c>
      <c r="C2764" t="s">
        <v>247</v>
      </c>
      <c r="D2764" t="s">
        <v>87</v>
      </c>
      <c r="E2764" t="s">
        <v>546</v>
      </c>
      <c r="F2764" t="s">
        <v>547</v>
      </c>
      <c r="G2764" t="s">
        <v>52</v>
      </c>
      <c r="H2764" t="s">
        <v>53</v>
      </c>
      <c r="I2764" t="s">
        <v>53</v>
      </c>
      <c r="J2764" t="s">
        <v>53</v>
      </c>
      <c r="K2764" t="s">
        <v>53</v>
      </c>
      <c r="L2764" t="s">
        <v>53</v>
      </c>
      <c r="M2764" t="s">
        <v>53</v>
      </c>
      <c r="N2764" t="s">
        <v>53</v>
      </c>
      <c r="O2764" t="s">
        <v>53</v>
      </c>
      <c r="P2764" t="s">
        <v>53</v>
      </c>
      <c r="Q2764" t="s">
        <v>53</v>
      </c>
    </row>
    <row r="2765" spans="1:17" x14ac:dyDescent="0.2">
      <c r="A2765" s="30" t="str">
        <f>IF(C2765&amp;G2765&amp;D2765&lt;&gt;'Funnel setup'!$K$3&amp;'Funnel setup'!$K$4&amp;'Funnel setup'!$K$5,".",IF(A2764=".",1,A2764+1))</f>
        <v>.</v>
      </c>
      <c r="B2765" s="431" t="str">
        <f t="shared" si="43"/>
        <v>Hip Replacement RevisionCCG of GP PracticeNHS LANCASHIRE NORTH CCG (01K)EQ-5D Index</v>
      </c>
      <c r="C2765" t="s">
        <v>247</v>
      </c>
      <c r="D2765" t="s">
        <v>87</v>
      </c>
      <c r="E2765" t="s">
        <v>549</v>
      </c>
      <c r="F2765" t="s">
        <v>550</v>
      </c>
      <c r="G2765" t="s">
        <v>52</v>
      </c>
      <c r="H2765">
        <v>7</v>
      </c>
      <c r="I2765">
        <v>0.30199999999999999</v>
      </c>
      <c r="J2765">
        <v>0.64700000000000002</v>
      </c>
      <c r="K2765">
        <v>0.34499999999999997</v>
      </c>
      <c r="L2765">
        <v>6</v>
      </c>
      <c r="M2765">
        <v>1</v>
      </c>
      <c r="N2765">
        <v>0</v>
      </c>
      <c r="O2765" t="s">
        <v>53</v>
      </c>
      <c r="P2765" t="s">
        <v>53</v>
      </c>
      <c r="Q2765" t="s">
        <v>53</v>
      </c>
    </row>
    <row r="2766" spans="1:17" x14ac:dyDescent="0.2">
      <c r="A2766" s="30" t="str">
        <f>IF(C2766&amp;G2766&amp;D2766&lt;&gt;'Funnel setup'!$K$3&amp;'Funnel setup'!$K$4&amp;'Funnel setup'!$K$5,".",IF(A2765=".",1,A2765+1))</f>
        <v>.</v>
      </c>
      <c r="B2766" s="431" t="str">
        <f t="shared" si="43"/>
        <v>Hip Replacement RevisionCCG of GP PracticeNHS LEEDS NORTH CCG (02V)EQ-5D Index</v>
      </c>
      <c r="C2766" t="s">
        <v>247</v>
      </c>
      <c r="D2766" t="s">
        <v>87</v>
      </c>
      <c r="E2766" t="s">
        <v>552</v>
      </c>
      <c r="F2766" t="s">
        <v>337</v>
      </c>
      <c r="G2766" t="s">
        <v>52</v>
      </c>
      <c r="H2766" t="s">
        <v>53</v>
      </c>
      <c r="I2766" t="s">
        <v>53</v>
      </c>
      <c r="J2766" t="s">
        <v>53</v>
      </c>
      <c r="K2766" t="s">
        <v>53</v>
      </c>
      <c r="L2766" t="s">
        <v>53</v>
      </c>
      <c r="M2766" t="s">
        <v>53</v>
      </c>
      <c r="N2766" t="s">
        <v>53</v>
      </c>
      <c r="O2766" t="s">
        <v>53</v>
      </c>
      <c r="P2766" t="s">
        <v>53</v>
      </c>
      <c r="Q2766" t="s">
        <v>53</v>
      </c>
    </row>
    <row r="2767" spans="1:17" x14ac:dyDescent="0.2">
      <c r="A2767" s="30" t="str">
        <f>IF(C2767&amp;G2767&amp;D2767&lt;&gt;'Funnel setup'!$K$3&amp;'Funnel setup'!$K$4&amp;'Funnel setup'!$K$5,".",IF(A2766=".",1,A2766+1))</f>
        <v>.</v>
      </c>
      <c r="B2767" s="431" t="str">
        <f t="shared" si="43"/>
        <v>Hip Replacement RevisionCCG of GP PracticeNHS LEEDS SOUTH AND EAST CCG (03G)EQ-5D Index</v>
      </c>
      <c r="C2767" t="s">
        <v>247</v>
      </c>
      <c r="D2767" t="s">
        <v>87</v>
      </c>
      <c r="E2767" t="s">
        <v>396</v>
      </c>
      <c r="F2767" t="s">
        <v>397</v>
      </c>
      <c r="G2767" t="s">
        <v>52</v>
      </c>
      <c r="H2767" t="s">
        <v>53</v>
      </c>
      <c r="I2767" t="s">
        <v>53</v>
      </c>
      <c r="J2767" t="s">
        <v>53</v>
      </c>
      <c r="K2767" t="s">
        <v>53</v>
      </c>
      <c r="L2767" t="s">
        <v>53</v>
      </c>
      <c r="M2767" t="s">
        <v>53</v>
      </c>
      <c r="N2767" t="s">
        <v>53</v>
      </c>
      <c r="O2767" t="s">
        <v>53</v>
      </c>
      <c r="P2767" t="s">
        <v>53</v>
      </c>
      <c r="Q2767" t="s">
        <v>53</v>
      </c>
    </row>
    <row r="2768" spans="1:17" x14ac:dyDescent="0.2">
      <c r="A2768" s="30" t="str">
        <f>IF(C2768&amp;G2768&amp;D2768&lt;&gt;'Funnel setup'!$K$3&amp;'Funnel setup'!$K$4&amp;'Funnel setup'!$K$5,".",IF(A2767=".",1,A2767+1))</f>
        <v>.</v>
      </c>
      <c r="B2768" s="431" t="str">
        <f t="shared" si="43"/>
        <v>Hip Replacement RevisionCCG of GP PracticeNHS LEEDS WEST CCG (03C)EQ-5D Index</v>
      </c>
      <c r="C2768" t="s">
        <v>247</v>
      </c>
      <c r="D2768" t="s">
        <v>87</v>
      </c>
      <c r="E2768" t="s">
        <v>399</v>
      </c>
      <c r="F2768" t="s">
        <v>400</v>
      </c>
      <c r="G2768" t="s">
        <v>52</v>
      </c>
      <c r="H2768">
        <v>9</v>
      </c>
      <c r="I2768">
        <v>0.48399999999999999</v>
      </c>
      <c r="J2768">
        <v>0.67400000000000004</v>
      </c>
      <c r="K2768">
        <v>0.19</v>
      </c>
      <c r="L2768">
        <v>6</v>
      </c>
      <c r="M2768">
        <v>0</v>
      </c>
      <c r="N2768">
        <v>3</v>
      </c>
      <c r="O2768" t="s">
        <v>53</v>
      </c>
      <c r="P2768" t="s">
        <v>53</v>
      </c>
      <c r="Q2768" t="s">
        <v>53</v>
      </c>
    </row>
    <row r="2769" spans="1:17" x14ac:dyDescent="0.2">
      <c r="A2769" s="30" t="str">
        <f>IF(C2769&amp;G2769&amp;D2769&lt;&gt;'Funnel setup'!$K$3&amp;'Funnel setup'!$K$4&amp;'Funnel setup'!$K$5,".",IF(A2768=".",1,A2768+1))</f>
        <v>.</v>
      </c>
      <c r="B2769" s="431" t="str">
        <f t="shared" si="43"/>
        <v>Hip Replacement RevisionCCG of GP PracticeNHS LEICESTER CITY CCG (04C)EQ-5D Index</v>
      </c>
      <c r="C2769" t="s">
        <v>247</v>
      </c>
      <c r="D2769" t="s">
        <v>87</v>
      </c>
      <c r="E2769" t="s">
        <v>554</v>
      </c>
      <c r="F2769" t="s">
        <v>555</v>
      </c>
      <c r="G2769" t="s">
        <v>52</v>
      </c>
      <c r="H2769">
        <v>6</v>
      </c>
      <c r="I2769">
        <v>0.19400000000000001</v>
      </c>
      <c r="J2769">
        <v>0.34399999999999997</v>
      </c>
      <c r="K2769">
        <v>0.15</v>
      </c>
      <c r="L2769">
        <v>3</v>
      </c>
      <c r="M2769">
        <v>0</v>
      </c>
      <c r="N2769">
        <v>3</v>
      </c>
      <c r="O2769" t="s">
        <v>53</v>
      </c>
      <c r="P2769" t="s">
        <v>53</v>
      </c>
      <c r="Q2769" t="s">
        <v>53</v>
      </c>
    </row>
    <row r="2770" spans="1:17" x14ac:dyDescent="0.2">
      <c r="A2770" s="30" t="str">
        <f>IF(C2770&amp;G2770&amp;D2770&lt;&gt;'Funnel setup'!$K$3&amp;'Funnel setup'!$K$4&amp;'Funnel setup'!$K$5,".",IF(A2769=".",1,A2769+1))</f>
        <v>.</v>
      </c>
      <c r="B2770" s="431" t="str">
        <f t="shared" si="43"/>
        <v>Hip Replacement RevisionCCG of GP PracticeNHS LEWISHAM CCG (08L)EQ-5D Index</v>
      </c>
      <c r="C2770" t="s">
        <v>247</v>
      </c>
      <c r="D2770" t="s">
        <v>87</v>
      </c>
      <c r="E2770" t="s">
        <v>557</v>
      </c>
      <c r="F2770" t="s">
        <v>558</v>
      </c>
      <c r="G2770" t="s">
        <v>52</v>
      </c>
      <c r="H2770" t="s">
        <v>53</v>
      </c>
      <c r="I2770" t="s">
        <v>53</v>
      </c>
      <c r="J2770" t="s">
        <v>53</v>
      </c>
      <c r="K2770" t="s">
        <v>53</v>
      </c>
      <c r="L2770" t="s">
        <v>53</v>
      </c>
      <c r="M2770" t="s">
        <v>53</v>
      </c>
      <c r="N2770" t="s">
        <v>53</v>
      </c>
      <c r="O2770" t="s">
        <v>53</v>
      </c>
      <c r="P2770" t="s">
        <v>53</v>
      </c>
      <c r="Q2770" t="s">
        <v>53</v>
      </c>
    </row>
    <row r="2771" spans="1:17" x14ac:dyDescent="0.2">
      <c r="A2771" s="30" t="str">
        <f>IF(C2771&amp;G2771&amp;D2771&lt;&gt;'Funnel setup'!$K$3&amp;'Funnel setup'!$K$4&amp;'Funnel setup'!$K$5,".",IF(A2770=".",1,A2770+1))</f>
        <v>.</v>
      </c>
      <c r="B2771" s="431" t="str">
        <f t="shared" si="43"/>
        <v>Hip Replacement RevisionCCG of GP PracticeNHS LINCOLNSHIRE EAST CCG (03T)EQ-5D Index</v>
      </c>
      <c r="C2771" t="s">
        <v>247</v>
      </c>
      <c r="D2771" t="s">
        <v>87</v>
      </c>
      <c r="E2771" t="s">
        <v>560</v>
      </c>
      <c r="F2771" t="s">
        <v>561</v>
      </c>
      <c r="G2771" t="s">
        <v>52</v>
      </c>
      <c r="H2771">
        <v>25</v>
      </c>
      <c r="I2771">
        <v>0.316</v>
      </c>
      <c r="J2771">
        <v>0.59499999999999997</v>
      </c>
      <c r="K2771">
        <v>0.27900000000000003</v>
      </c>
      <c r="L2771">
        <v>16</v>
      </c>
      <c r="M2771">
        <v>3</v>
      </c>
      <c r="N2771">
        <v>6</v>
      </c>
      <c r="O2771" t="s">
        <v>53</v>
      </c>
      <c r="P2771" t="s">
        <v>53</v>
      </c>
      <c r="Q2771" t="s">
        <v>53</v>
      </c>
    </row>
    <row r="2772" spans="1:17" x14ac:dyDescent="0.2">
      <c r="A2772" s="30" t="str">
        <f>IF(C2772&amp;G2772&amp;D2772&lt;&gt;'Funnel setup'!$K$3&amp;'Funnel setup'!$K$4&amp;'Funnel setup'!$K$5,".",IF(A2771=".",1,A2771+1))</f>
        <v>.</v>
      </c>
      <c r="B2772" s="431" t="str">
        <f t="shared" si="43"/>
        <v>Hip Replacement RevisionCCG of GP PracticeNHS LINCOLNSHIRE WEST CCG (04D)EQ-5D Index</v>
      </c>
      <c r="C2772" t="s">
        <v>247</v>
      </c>
      <c r="D2772" t="s">
        <v>87</v>
      </c>
      <c r="E2772" t="s">
        <v>408</v>
      </c>
      <c r="F2772" t="s">
        <v>409</v>
      </c>
      <c r="G2772" t="s">
        <v>52</v>
      </c>
      <c r="H2772">
        <v>6</v>
      </c>
      <c r="I2772">
        <v>0.315</v>
      </c>
      <c r="J2772">
        <v>0.83399999999999996</v>
      </c>
      <c r="K2772">
        <v>0.51900000000000002</v>
      </c>
      <c r="L2772">
        <v>6</v>
      </c>
      <c r="M2772">
        <v>0</v>
      </c>
      <c r="N2772">
        <v>0</v>
      </c>
      <c r="O2772" t="s">
        <v>53</v>
      </c>
      <c r="P2772" t="s">
        <v>53</v>
      </c>
      <c r="Q2772" t="s">
        <v>53</v>
      </c>
    </row>
    <row r="2773" spans="1:17" x14ac:dyDescent="0.2">
      <c r="A2773" s="30" t="str">
        <f>IF(C2773&amp;G2773&amp;D2773&lt;&gt;'Funnel setup'!$K$3&amp;'Funnel setup'!$K$4&amp;'Funnel setup'!$K$5,".",IF(A2772=".",1,A2772+1))</f>
        <v>.</v>
      </c>
      <c r="B2773" s="431" t="str">
        <f t="shared" si="43"/>
        <v>Hip Replacement RevisionCCG of GP PracticeNHS LIVERPOOL CCG (99A)EQ-5D Index</v>
      </c>
      <c r="C2773" t="s">
        <v>247</v>
      </c>
      <c r="D2773" t="s">
        <v>87</v>
      </c>
      <c r="E2773" t="s">
        <v>411</v>
      </c>
      <c r="F2773" t="s">
        <v>412</v>
      </c>
      <c r="G2773" t="s">
        <v>52</v>
      </c>
      <c r="H2773">
        <v>11</v>
      </c>
      <c r="I2773">
        <v>0.122</v>
      </c>
      <c r="J2773">
        <v>0.28999999999999998</v>
      </c>
      <c r="K2773">
        <v>0.16800000000000001</v>
      </c>
      <c r="L2773">
        <v>8</v>
      </c>
      <c r="M2773">
        <v>1</v>
      </c>
      <c r="N2773">
        <v>2</v>
      </c>
      <c r="O2773" t="s">
        <v>53</v>
      </c>
      <c r="P2773" t="s">
        <v>53</v>
      </c>
      <c r="Q2773" t="s">
        <v>53</v>
      </c>
    </row>
    <row r="2774" spans="1:17" x14ac:dyDescent="0.2">
      <c r="A2774" s="30" t="str">
        <f>IF(C2774&amp;G2774&amp;D2774&lt;&gt;'Funnel setup'!$K$3&amp;'Funnel setup'!$K$4&amp;'Funnel setup'!$K$5,".",IF(A2773=".",1,A2773+1))</f>
        <v>.</v>
      </c>
      <c r="B2774" s="431" t="str">
        <f t="shared" si="43"/>
        <v>Hip Replacement RevisionCCG of GP PracticeNHS LUTON CCG (06P)EQ-5D Index</v>
      </c>
      <c r="C2774" t="s">
        <v>247</v>
      </c>
      <c r="D2774" t="s">
        <v>87</v>
      </c>
      <c r="E2774" t="s">
        <v>414</v>
      </c>
      <c r="F2774" t="s">
        <v>415</v>
      </c>
      <c r="G2774" t="s">
        <v>52</v>
      </c>
      <c r="H2774">
        <v>12</v>
      </c>
      <c r="I2774">
        <v>0.34499999999999997</v>
      </c>
      <c r="J2774">
        <v>0.65500000000000003</v>
      </c>
      <c r="K2774">
        <v>0.31</v>
      </c>
      <c r="L2774">
        <v>8</v>
      </c>
      <c r="M2774">
        <v>0</v>
      </c>
      <c r="N2774">
        <v>4</v>
      </c>
      <c r="O2774" t="s">
        <v>53</v>
      </c>
      <c r="P2774" t="s">
        <v>53</v>
      </c>
      <c r="Q2774" t="s">
        <v>53</v>
      </c>
    </row>
    <row r="2775" spans="1:17" x14ac:dyDescent="0.2">
      <c r="A2775" s="30" t="str">
        <f>IF(C2775&amp;G2775&amp;D2775&lt;&gt;'Funnel setup'!$K$3&amp;'Funnel setup'!$K$4&amp;'Funnel setup'!$K$5,".",IF(A2774=".",1,A2774+1))</f>
        <v>.</v>
      </c>
      <c r="B2775" s="431" t="str">
        <f t="shared" si="43"/>
        <v>Hip Replacement RevisionCCG of GP PracticeNHS MANSFIELD AND ASHFIELD CCG (04E)EQ-5D Index</v>
      </c>
      <c r="C2775" t="s">
        <v>247</v>
      </c>
      <c r="D2775" t="s">
        <v>87</v>
      </c>
      <c r="E2775" t="s">
        <v>417</v>
      </c>
      <c r="F2775" t="s">
        <v>418</v>
      </c>
      <c r="G2775" t="s">
        <v>52</v>
      </c>
      <c r="H2775">
        <v>6</v>
      </c>
      <c r="I2775">
        <v>0.53</v>
      </c>
      <c r="J2775">
        <v>0.59</v>
      </c>
      <c r="K2775">
        <v>6.0999999999999999E-2</v>
      </c>
      <c r="L2775">
        <v>3</v>
      </c>
      <c r="M2775">
        <v>0</v>
      </c>
      <c r="N2775">
        <v>3</v>
      </c>
      <c r="O2775" t="s">
        <v>53</v>
      </c>
      <c r="P2775" t="s">
        <v>53</v>
      </c>
      <c r="Q2775" t="s">
        <v>53</v>
      </c>
    </row>
    <row r="2776" spans="1:17" x14ac:dyDescent="0.2">
      <c r="A2776" s="30" t="str">
        <f>IF(C2776&amp;G2776&amp;D2776&lt;&gt;'Funnel setup'!$K$3&amp;'Funnel setup'!$K$4&amp;'Funnel setup'!$K$5,".",IF(A2775=".",1,A2775+1))</f>
        <v>.</v>
      </c>
      <c r="B2776" s="431" t="str">
        <f t="shared" si="43"/>
        <v>Hip Replacement RevisionCCG of GP PracticeNHS MEDWAY CCG (09W)EQ-5D Index</v>
      </c>
      <c r="C2776" t="s">
        <v>247</v>
      </c>
      <c r="D2776" t="s">
        <v>87</v>
      </c>
      <c r="E2776" t="s">
        <v>610</v>
      </c>
      <c r="F2776" t="s">
        <v>611</v>
      </c>
      <c r="G2776" t="s">
        <v>52</v>
      </c>
      <c r="H2776">
        <v>19</v>
      </c>
      <c r="I2776">
        <v>0.35199999999999998</v>
      </c>
      <c r="J2776">
        <v>0.622</v>
      </c>
      <c r="K2776">
        <v>0.26900000000000002</v>
      </c>
      <c r="L2776">
        <v>13</v>
      </c>
      <c r="M2776">
        <v>2</v>
      </c>
      <c r="N2776">
        <v>4</v>
      </c>
      <c r="O2776" t="s">
        <v>53</v>
      </c>
      <c r="P2776" t="s">
        <v>53</v>
      </c>
      <c r="Q2776" t="s">
        <v>53</v>
      </c>
    </row>
    <row r="2777" spans="1:17" x14ac:dyDescent="0.2">
      <c r="A2777" s="30" t="str">
        <f>IF(C2777&amp;G2777&amp;D2777&lt;&gt;'Funnel setup'!$K$3&amp;'Funnel setup'!$K$4&amp;'Funnel setup'!$K$5,".",IF(A2776=".",1,A2776+1))</f>
        <v>.</v>
      </c>
      <c r="B2777" s="431" t="str">
        <f t="shared" si="43"/>
        <v>Hip Replacement RevisionCCG of GP PracticeNHS MERTON CCG (08R)EQ-5D Index</v>
      </c>
      <c r="C2777" t="s">
        <v>247</v>
      </c>
      <c r="D2777" t="s">
        <v>87</v>
      </c>
      <c r="E2777" t="s">
        <v>613</v>
      </c>
      <c r="F2777" t="s">
        <v>614</v>
      </c>
      <c r="G2777" t="s">
        <v>52</v>
      </c>
      <c r="H2777" t="s">
        <v>53</v>
      </c>
      <c r="I2777" t="s">
        <v>53</v>
      </c>
      <c r="J2777" t="s">
        <v>53</v>
      </c>
      <c r="K2777" t="s">
        <v>53</v>
      </c>
      <c r="L2777" t="s">
        <v>53</v>
      </c>
      <c r="M2777" t="s">
        <v>53</v>
      </c>
      <c r="N2777" t="s">
        <v>53</v>
      </c>
      <c r="O2777" t="s">
        <v>53</v>
      </c>
      <c r="P2777" t="s">
        <v>53</v>
      </c>
      <c r="Q2777" t="s">
        <v>53</v>
      </c>
    </row>
    <row r="2778" spans="1:17" x14ac:dyDescent="0.2">
      <c r="A2778" s="30" t="str">
        <f>IF(C2778&amp;G2778&amp;D2778&lt;&gt;'Funnel setup'!$K$3&amp;'Funnel setup'!$K$4&amp;'Funnel setup'!$K$5,".",IF(A2777=".",1,A2777+1))</f>
        <v>.</v>
      </c>
      <c r="B2778" s="431" t="str">
        <f t="shared" si="43"/>
        <v>Hip Replacement RevisionCCG of GP PracticeNHS MID ESSEX CCG (06Q)EQ-5D Index</v>
      </c>
      <c r="C2778" t="s">
        <v>247</v>
      </c>
      <c r="D2778" t="s">
        <v>87</v>
      </c>
      <c r="E2778" t="s">
        <v>616</v>
      </c>
      <c r="F2778" t="s">
        <v>617</v>
      </c>
      <c r="G2778" t="s">
        <v>52</v>
      </c>
      <c r="H2778">
        <v>22</v>
      </c>
      <c r="I2778">
        <v>0.39200000000000002</v>
      </c>
      <c r="J2778">
        <v>0.78500000000000003</v>
      </c>
      <c r="K2778">
        <v>0.39300000000000002</v>
      </c>
      <c r="L2778">
        <v>17</v>
      </c>
      <c r="M2778">
        <v>4</v>
      </c>
      <c r="N2778">
        <v>1</v>
      </c>
      <c r="O2778" t="s">
        <v>53</v>
      </c>
      <c r="P2778" t="s">
        <v>53</v>
      </c>
      <c r="Q2778" t="s">
        <v>53</v>
      </c>
    </row>
    <row r="2779" spans="1:17" x14ac:dyDescent="0.2">
      <c r="A2779" s="30" t="str">
        <f>IF(C2779&amp;G2779&amp;D2779&lt;&gt;'Funnel setup'!$K$3&amp;'Funnel setup'!$K$4&amp;'Funnel setup'!$K$5,".",IF(A2778=".",1,A2778+1))</f>
        <v>.</v>
      </c>
      <c r="B2779" s="431" t="str">
        <f t="shared" si="43"/>
        <v>Hip Replacement RevisionCCG of GP PracticeNHS MILTON KEYNES CCG (04F)EQ-5D Index</v>
      </c>
      <c r="C2779" t="s">
        <v>247</v>
      </c>
      <c r="D2779" t="s">
        <v>87</v>
      </c>
      <c r="E2779" t="s">
        <v>619</v>
      </c>
      <c r="F2779" t="s">
        <v>338</v>
      </c>
      <c r="G2779" t="s">
        <v>52</v>
      </c>
      <c r="H2779" t="s">
        <v>53</v>
      </c>
      <c r="I2779" t="s">
        <v>53</v>
      </c>
      <c r="J2779" t="s">
        <v>53</v>
      </c>
      <c r="K2779" t="s">
        <v>53</v>
      </c>
      <c r="L2779" t="s">
        <v>53</v>
      </c>
      <c r="M2779" t="s">
        <v>53</v>
      </c>
      <c r="N2779" t="s">
        <v>53</v>
      </c>
      <c r="O2779" t="s">
        <v>53</v>
      </c>
      <c r="P2779" t="s">
        <v>53</v>
      </c>
      <c r="Q2779" t="s">
        <v>53</v>
      </c>
    </row>
    <row r="2780" spans="1:17" x14ac:dyDescent="0.2">
      <c r="A2780" s="30" t="str">
        <f>IF(C2780&amp;G2780&amp;D2780&lt;&gt;'Funnel setup'!$K$3&amp;'Funnel setup'!$K$4&amp;'Funnel setup'!$K$5,".",IF(A2779=".",1,A2779+1))</f>
        <v>.</v>
      </c>
      <c r="B2780" s="431" t="str">
        <f t="shared" si="43"/>
        <v>Hip Replacement RevisionCCG of GP PracticeNHS NENE CCG (04G)EQ-5D Index</v>
      </c>
      <c r="C2780" t="s">
        <v>247</v>
      </c>
      <c r="D2780" t="s">
        <v>87</v>
      </c>
      <c r="E2780" t="s">
        <v>621</v>
      </c>
      <c r="F2780" t="s">
        <v>622</v>
      </c>
      <c r="G2780" t="s">
        <v>52</v>
      </c>
      <c r="H2780">
        <v>41</v>
      </c>
      <c r="I2780">
        <v>0.40300000000000002</v>
      </c>
      <c r="J2780">
        <v>0.67600000000000005</v>
      </c>
      <c r="K2780">
        <v>0.27300000000000002</v>
      </c>
      <c r="L2780">
        <v>28</v>
      </c>
      <c r="M2780">
        <v>6</v>
      </c>
      <c r="N2780">
        <v>7</v>
      </c>
      <c r="O2780">
        <v>0.68500000000000005</v>
      </c>
      <c r="P2780">
        <v>0.28622319000000002</v>
      </c>
      <c r="Q2780">
        <v>0.254</v>
      </c>
    </row>
    <row r="2781" spans="1:17" x14ac:dyDescent="0.2">
      <c r="A2781" s="30" t="str">
        <f>IF(C2781&amp;G2781&amp;D2781&lt;&gt;'Funnel setup'!$K$3&amp;'Funnel setup'!$K$4&amp;'Funnel setup'!$K$5,".",IF(A2780=".",1,A2780+1))</f>
        <v>.</v>
      </c>
      <c r="B2781" s="431" t="str">
        <f t="shared" si="43"/>
        <v>Hip Replacement RevisionCCG of GP PracticeNHS NEWARK &amp; SHERWOOD CCG (04H)EQ-5D Index</v>
      </c>
      <c r="C2781" t="s">
        <v>247</v>
      </c>
      <c r="D2781" t="s">
        <v>87</v>
      </c>
      <c r="E2781" t="s">
        <v>624</v>
      </c>
      <c r="F2781" t="s">
        <v>625</v>
      </c>
      <c r="G2781" t="s">
        <v>52</v>
      </c>
      <c r="H2781">
        <v>7</v>
      </c>
      <c r="I2781">
        <v>0.3</v>
      </c>
      <c r="J2781">
        <v>0.56899999999999995</v>
      </c>
      <c r="K2781">
        <v>0.26900000000000002</v>
      </c>
      <c r="L2781">
        <v>5</v>
      </c>
      <c r="M2781">
        <v>0</v>
      </c>
      <c r="N2781">
        <v>2</v>
      </c>
      <c r="O2781" t="s">
        <v>53</v>
      </c>
      <c r="P2781" t="s">
        <v>53</v>
      </c>
      <c r="Q2781" t="s">
        <v>53</v>
      </c>
    </row>
    <row r="2782" spans="1:17" x14ac:dyDescent="0.2">
      <c r="A2782" s="30" t="str">
        <f>IF(C2782&amp;G2782&amp;D2782&lt;&gt;'Funnel setup'!$K$3&amp;'Funnel setup'!$K$4&amp;'Funnel setup'!$K$5,".",IF(A2781=".",1,A2781+1))</f>
        <v>.</v>
      </c>
      <c r="B2782" s="431" t="str">
        <f t="shared" si="43"/>
        <v>Hip Replacement RevisionCCG of GP PracticeNHS NEWBURY AND DISTRICT CCG (10M)EQ-5D Index</v>
      </c>
      <c r="C2782" t="s">
        <v>247</v>
      </c>
      <c r="D2782" t="s">
        <v>87</v>
      </c>
      <c r="E2782" t="s">
        <v>627</v>
      </c>
      <c r="F2782" t="s">
        <v>628</v>
      </c>
      <c r="G2782" t="s">
        <v>52</v>
      </c>
      <c r="H2782" t="s">
        <v>53</v>
      </c>
      <c r="I2782" t="s">
        <v>53</v>
      </c>
      <c r="J2782" t="s">
        <v>53</v>
      </c>
      <c r="K2782" t="s">
        <v>53</v>
      </c>
      <c r="L2782" t="s">
        <v>53</v>
      </c>
      <c r="M2782" t="s">
        <v>53</v>
      </c>
      <c r="N2782" t="s">
        <v>53</v>
      </c>
      <c r="O2782" t="s">
        <v>53</v>
      </c>
      <c r="P2782" t="s">
        <v>53</v>
      </c>
      <c r="Q2782" t="s">
        <v>53</v>
      </c>
    </row>
    <row r="2783" spans="1:17" x14ac:dyDescent="0.2">
      <c r="A2783" s="30" t="str">
        <f>IF(C2783&amp;G2783&amp;D2783&lt;&gt;'Funnel setup'!$K$3&amp;'Funnel setup'!$K$4&amp;'Funnel setup'!$K$5,".",IF(A2782=".",1,A2782+1))</f>
        <v>.</v>
      </c>
      <c r="B2783" s="431" t="str">
        <f t="shared" si="43"/>
        <v>Hip Replacement RevisionCCG of GP PracticeNHS NEWCASTLE GATESHEAD CCG (13T)EQ-5D Index</v>
      </c>
      <c r="C2783" t="s">
        <v>247</v>
      </c>
      <c r="D2783" t="s">
        <v>87</v>
      </c>
      <c r="E2783" t="s">
        <v>6553</v>
      </c>
      <c r="F2783" t="s">
        <v>6543</v>
      </c>
      <c r="G2783" t="s">
        <v>52</v>
      </c>
      <c r="H2783">
        <v>24</v>
      </c>
      <c r="I2783">
        <v>0.42299999999999999</v>
      </c>
      <c r="J2783">
        <v>0.752</v>
      </c>
      <c r="K2783">
        <v>0.32800000000000001</v>
      </c>
      <c r="L2783">
        <v>18</v>
      </c>
      <c r="M2783">
        <v>3</v>
      </c>
      <c r="N2783">
        <v>3</v>
      </c>
      <c r="O2783" t="s">
        <v>53</v>
      </c>
      <c r="P2783" t="s">
        <v>53</v>
      </c>
      <c r="Q2783" t="s">
        <v>53</v>
      </c>
    </row>
    <row r="2784" spans="1:17" x14ac:dyDescent="0.2">
      <c r="A2784" s="30" t="str">
        <f>IF(C2784&amp;G2784&amp;D2784&lt;&gt;'Funnel setup'!$K$3&amp;'Funnel setup'!$K$4&amp;'Funnel setup'!$K$5,".",IF(A2783=".",1,A2783+1))</f>
        <v>.</v>
      </c>
      <c r="B2784" s="431" t="str">
        <f t="shared" si="43"/>
        <v>Hip Replacement RevisionCCG of GP PracticeNHS NEWHAM CCG (08M)EQ-5D Index</v>
      </c>
      <c r="C2784" t="s">
        <v>247</v>
      </c>
      <c r="D2784" t="s">
        <v>87</v>
      </c>
      <c r="E2784" t="s">
        <v>630</v>
      </c>
      <c r="F2784" t="s">
        <v>631</v>
      </c>
      <c r="G2784" t="s">
        <v>52</v>
      </c>
      <c r="H2784" t="s">
        <v>53</v>
      </c>
      <c r="I2784" t="s">
        <v>53</v>
      </c>
      <c r="J2784" t="s">
        <v>53</v>
      </c>
      <c r="K2784" t="s">
        <v>53</v>
      </c>
      <c r="L2784" t="s">
        <v>53</v>
      </c>
      <c r="M2784" t="s">
        <v>53</v>
      </c>
      <c r="N2784" t="s">
        <v>53</v>
      </c>
      <c r="O2784" t="s">
        <v>53</v>
      </c>
      <c r="P2784" t="s">
        <v>53</v>
      </c>
      <c r="Q2784" t="s">
        <v>53</v>
      </c>
    </row>
    <row r="2785" spans="1:17" x14ac:dyDescent="0.2">
      <c r="A2785" s="30" t="str">
        <f>IF(C2785&amp;G2785&amp;D2785&lt;&gt;'Funnel setup'!$K$3&amp;'Funnel setup'!$K$4&amp;'Funnel setup'!$K$5,".",IF(A2784=".",1,A2784+1))</f>
        <v>.</v>
      </c>
      <c r="B2785" s="431" t="str">
        <f t="shared" si="43"/>
        <v>Hip Replacement RevisionCCG of GP PracticeNHS NORTH &amp; WEST READING CCG (10N)EQ-5D Index</v>
      </c>
      <c r="C2785" t="s">
        <v>247</v>
      </c>
      <c r="D2785" t="s">
        <v>87</v>
      </c>
      <c r="E2785" t="s">
        <v>633</v>
      </c>
      <c r="F2785" t="s">
        <v>634</v>
      </c>
      <c r="G2785" t="s">
        <v>52</v>
      </c>
      <c r="H2785">
        <v>7</v>
      </c>
      <c r="I2785">
        <v>0.55700000000000005</v>
      </c>
      <c r="J2785">
        <v>0.67300000000000004</v>
      </c>
      <c r="K2785">
        <v>0.11600000000000001</v>
      </c>
      <c r="L2785">
        <v>4</v>
      </c>
      <c r="M2785">
        <v>1</v>
      </c>
      <c r="N2785">
        <v>2</v>
      </c>
      <c r="O2785" t="s">
        <v>53</v>
      </c>
      <c r="P2785" t="s">
        <v>53</v>
      </c>
      <c r="Q2785" t="s">
        <v>53</v>
      </c>
    </row>
    <row r="2786" spans="1:17" x14ac:dyDescent="0.2">
      <c r="A2786" s="30" t="str">
        <f>IF(C2786&amp;G2786&amp;D2786&lt;&gt;'Funnel setup'!$K$3&amp;'Funnel setup'!$K$4&amp;'Funnel setup'!$K$5,".",IF(A2785=".",1,A2785+1))</f>
        <v>.</v>
      </c>
      <c r="B2786" s="431" t="str">
        <f t="shared" si="43"/>
        <v>Hip Replacement RevisionCCG of GP PracticeNHS NORTH DERBYSHIRE CCG (04J)EQ-5D Index</v>
      </c>
      <c r="C2786" t="s">
        <v>247</v>
      </c>
      <c r="D2786" t="s">
        <v>87</v>
      </c>
      <c r="E2786" t="s">
        <v>636</v>
      </c>
      <c r="F2786" t="s">
        <v>637</v>
      </c>
      <c r="G2786" t="s">
        <v>52</v>
      </c>
      <c r="H2786">
        <v>16</v>
      </c>
      <c r="I2786">
        <v>0.41399999999999998</v>
      </c>
      <c r="J2786">
        <v>0.69399999999999995</v>
      </c>
      <c r="K2786">
        <v>0.28000000000000003</v>
      </c>
      <c r="L2786">
        <v>9</v>
      </c>
      <c r="M2786">
        <v>4</v>
      </c>
      <c r="N2786">
        <v>3</v>
      </c>
      <c r="O2786" t="s">
        <v>53</v>
      </c>
      <c r="P2786" t="s">
        <v>53</v>
      </c>
      <c r="Q2786" t="s">
        <v>53</v>
      </c>
    </row>
    <row r="2787" spans="1:17" x14ac:dyDescent="0.2">
      <c r="A2787" s="30" t="str">
        <f>IF(C2787&amp;G2787&amp;D2787&lt;&gt;'Funnel setup'!$K$3&amp;'Funnel setup'!$K$4&amp;'Funnel setup'!$K$5,".",IF(A2786=".",1,A2786+1))</f>
        <v>.</v>
      </c>
      <c r="B2787" s="431" t="str">
        <f t="shared" si="43"/>
        <v>Hip Replacement RevisionCCG of GP PracticeNHS NORTH DURHAM CCG (00J)EQ-5D Index</v>
      </c>
      <c r="C2787" t="s">
        <v>247</v>
      </c>
      <c r="D2787" t="s">
        <v>87</v>
      </c>
      <c r="E2787" t="s">
        <v>639</v>
      </c>
      <c r="F2787" t="s">
        <v>640</v>
      </c>
      <c r="G2787" t="s">
        <v>52</v>
      </c>
      <c r="H2787">
        <v>13</v>
      </c>
      <c r="I2787">
        <v>0.253</v>
      </c>
      <c r="J2787">
        <v>0.52100000000000002</v>
      </c>
      <c r="K2787">
        <v>0.26800000000000002</v>
      </c>
      <c r="L2787">
        <v>10</v>
      </c>
      <c r="M2787">
        <v>1</v>
      </c>
      <c r="N2787">
        <v>2</v>
      </c>
      <c r="O2787" t="s">
        <v>53</v>
      </c>
      <c r="P2787" t="s">
        <v>53</v>
      </c>
      <c r="Q2787" t="s">
        <v>53</v>
      </c>
    </row>
    <row r="2788" spans="1:17" x14ac:dyDescent="0.2">
      <c r="A2788" s="30" t="str">
        <f>IF(C2788&amp;G2788&amp;D2788&lt;&gt;'Funnel setup'!$K$3&amp;'Funnel setup'!$K$4&amp;'Funnel setup'!$K$5,".",IF(A2787=".",1,A2787+1))</f>
        <v>.</v>
      </c>
      <c r="B2788" s="431" t="str">
        <f t="shared" si="43"/>
        <v>Hip Replacement RevisionCCG of GP PracticeNHS NORTH EAST ESSEX CCG (06T)EQ-5D Index</v>
      </c>
      <c r="C2788" t="s">
        <v>247</v>
      </c>
      <c r="D2788" t="s">
        <v>87</v>
      </c>
      <c r="E2788" t="s">
        <v>642</v>
      </c>
      <c r="F2788" t="s">
        <v>643</v>
      </c>
      <c r="G2788" t="s">
        <v>52</v>
      </c>
      <c r="H2788">
        <v>20</v>
      </c>
      <c r="I2788">
        <v>0.34</v>
      </c>
      <c r="J2788">
        <v>0.66800000000000004</v>
      </c>
      <c r="K2788">
        <v>0.32900000000000001</v>
      </c>
      <c r="L2788">
        <v>18</v>
      </c>
      <c r="M2788">
        <v>1</v>
      </c>
      <c r="N2788">
        <v>1</v>
      </c>
      <c r="O2788" t="s">
        <v>53</v>
      </c>
      <c r="P2788" t="s">
        <v>53</v>
      </c>
      <c r="Q2788" t="s">
        <v>53</v>
      </c>
    </row>
    <row r="2789" spans="1:17" x14ac:dyDescent="0.2">
      <c r="A2789" s="30" t="str">
        <f>IF(C2789&amp;G2789&amp;D2789&lt;&gt;'Funnel setup'!$K$3&amp;'Funnel setup'!$K$4&amp;'Funnel setup'!$K$5,".",IF(A2788=".",1,A2788+1))</f>
        <v>.</v>
      </c>
      <c r="B2789" s="431" t="str">
        <f t="shared" si="43"/>
        <v>Hip Replacement RevisionCCG of GP PracticeNHS NORTH EAST HAMPSHIRE AND FARNHAM CCG (99M)EQ-5D Index</v>
      </c>
      <c r="C2789" t="s">
        <v>247</v>
      </c>
      <c r="D2789" t="s">
        <v>87</v>
      </c>
      <c r="E2789" t="s">
        <v>645</v>
      </c>
      <c r="F2789" t="s">
        <v>646</v>
      </c>
      <c r="G2789" t="s">
        <v>52</v>
      </c>
      <c r="H2789">
        <v>14</v>
      </c>
      <c r="I2789">
        <v>0.45800000000000002</v>
      </c>
      <c r="J2789">
        <v>0.68899999999999995</v>
      </c>
      <c r="K2789">
        <v>0.23200000000000001</v>
      </c>
      <c r="L2789">
        <v>8</v>
      </c>
      <c r="M2789">
        <v>2</v>
      </c>
      <c r="N2789">
        <v>4</v>
      </c>
      <c r="O2789" t="s">
        <v>53</v>
      </c>
      <c r="P2789" t="s">
        <v>53</v>
      </c>
      <c r="Q2789" t="s">
        <v>53</v>
      </c>
    </row>
    <row r="2790" spans="1:17" x14ac:dyDescent="0.2">
      <c r="A2790" s="30" t="str">
        <f>IF(C2790&amp;G2790&amp;D2790&lt;&gt;'Funnel setup'!$K$3&amp;'Funnel setup'!$K$4&amp;'Funnel setup'!$K$5,".",IF(A2789=".",1,A2789+1))</f>
        <v>.</v>
      </c>
      <c r="B2790" s="431" t="str">
        <f t="shared" si="43"/>
        <v>Hip Replacement RevisionCCG of GP PracticeNHS NORTH EAST LINCOLNSHIRE CCG (03H)EQ-5D Index</v>
      </c>
      <c r="C2790" t="s">
        <v>247</v>
      </c>
      <c r="D2790" t="s">
        <v>87</v>
      </c>
      <c r="E2790" t="s">
        <v>648</v>
      </c>
      <c r="F2790" t="s">
        <v>649</v>
      </c>
      <c r="G2790" t="s">
        <v>52</v>
      </c>
      <c r="H2790" t="s">
        <v>53</v>
      </c>
      <c r="I2790" t="s">
        <v>53</v>
      </c>
      <c r="J2790" t="s">
        <v>53</v>
      </c>
      <c r="K2790" t="s">
        <v>53</v>
      </c>
      <c r="L2790" t="s">
        <v>53</v>
      </c>
      <c r="M2790" t="s">
        <v>53</v>
      </c>
      <c r="N2790" t="s">
        <v>53</v>
      </c>
      <c r="O2790" t="s">
        <v>53</v>
      </c>
      <c r="P2790" t="s">
        <v>53</v>
      </c>
      <c r="Q2790" t="s">
        <v>53</v>
      </c>
    </row>
    <row r="2791" spans="1:17" x14ac:dyDescent="0.2">
      <c r="A2791" s="30" t="str">
        <f>IF(C2791&amp;G2791&amp;D2791&lt;&gt;'Funnel setup'!$K$3&amp;'Funnel setup'!$K$4&amp;'Funnel setup'!$K$5,".",IF(A2790=".",1,A2790+1))</f>
        <v>.</v>
      </c>
      <c r="B2791" s="431" t="str">
        <f t="shared" si="43"/>
        <v>Hip Replacement RevisionCCG of GP PracticeNHS NORTH HAMPSHIRE CCG (10J)EQ-5D Index</v>
      </c>
      <c r="C2791" t="s">
        <v>247</v>
      </c>
      <c r="D2791" t="s">
        <v>87</v>
      </c>
      <c r="E2791" t="s">
        <v>651</v>
      </c>
      <c r="F2791" t="s">
        <v>652</v>
      </c>
      <c r="G2791" t="s">
        <v>52</v>
      </c>
      <c r="H2791">
        <v>13</v>
      </c>
      <c r="I2791">
        <v>0.42499999999999999</v>
      </c>
      <c r="J2791">
        <v>0.81899999999999995</v>
      </c>
      <c r="K2791">
        <v>0.39400000000000002</v>
      </c>
      <c r="L2791">
        <v>13</v>
      </c>
      <c r="M2791">
        <v>0</v>
      </c>
      <c r="N2791">
        <v>0</v>
      </c>
      <c r="O2791" t="s">
        <v>53</v>
      </c>
      <c r="P2791" t="s">
        <v>53</v>
      </c>
      <c r="Q2791" t="s">
        <v>53</v>
      </c>
    </row>
    <row r="2792" spans="1:17" x14ac:dyDescent="0.2">
      <c r="A2792" s="30" t="str">
        <f>IF(C2792&amp;G2792&amp;D2792&lt;&gt;'Funnel setup'!$K$3&amp;'Funnel setup'!$K$4&amp;'Funnel setup'!$K$5,".",IF(A2791=".",1,A2791+1))</f>
        <v>.</v>
      </c>
      <c r="B2792" s="431" t="str">
        <f t="shared" si="43"/>
        <v>Hip Replacement RevisionCCG of GP PracticeNHS NORTH KIRKLEES CCG (03J)EQ-5D Index</v>
      </c>
      <c r="C2792" t="s">
        <v>247</v>
      </c>
      <c r="D2792" t="s">
        <v>87</v>
      </c>
      <c r="E2792" t="s">
        <v>654</v>
      </c>
      <c r="F2792" t="s">
        <v>655</v>
      </c>
      <c r="G2792" t="s">
        <v>52</v>
      </c>
      <c r="H2792" t="s">
        <v>53</v>
      </c>
      <c r="I2792" t="s">
        <v>53</v>
      </c>
      <c r="J2792" t="s">
        <v>53</v>
      </c>
      <c r="K2792" t="s">
        <v>53</v>
      </c>
      <c r="L2792" t="s">
        <v>53</v>
      </c>
      <c r="M2792" t="s">
        <v>53</v>
      </c>
      <c r="N2792" t="s">
        <v>53</v>
      </c>
      <c r="O2792" t="s">
        <v>53</v>
      </c>
      <c r="P2792" t="s">
        <v>53</v>
      </c>
      <c r="Q2792" t="s">
        <v>53</v>
      </c>
    </row>
    <row r="2793" spans="1:17" x14ac:dyDescent="0.2">
      <c r="A2793" s="30" t="str">
        <f>IF(C2793&amp;G2793&amp;D2793&lt;&gt;'Funnel setup'!$K$3&amp;'Funnel setup'!$K$4&amp;'Funnel setup'!$K$5,".",IF(A2792=".",1,A2792+1))</f>
        <v>.</v>
      </c>
      <c r="B2793" s="431" t="str">
        <f t="shared" si="43"/>
        <v>Hip Replacement RevisionCCG of GP PracticeNHS NORTH LINCOLNSHIRE CCG (03K)EQ-5D Index</v>
      </c>
      <c r="C2793" t="s">
        <v>247</v>
      </c>
      <c r="D2793" t="s">
        <v>87</v>
      </c>
      <c r="E2793" t="s">
        <v>657</v>
      </c>
      <c r="F2793" t="s">
        <v>658</v>
      </c>
      <c r="G2793" t="s">
        <v>52</v>
      </c>
      <c r="H2793">
        <v>8</v>
      </c>
      <c r="I2793">
        <v>0.40699999999999997</v>
      </c>
      <c r="J2793">
        <v>0.63500000000000001</v>
      </c>
      <c r="K2793">
        <v>0.22800000000000001</v>
      </c>
      <c r="L2793">
        <v>7</v>
      </c>
      <c r="M2793">
        <v>0</v>
      </c>
      <c r="N2793">
        <v>1</v>
      </c>
      <c r="O2793" t="s">
        <v>53</v>
      </c>
      <c r="P2793" t="s">
        <v>53</v>
      </c>
      <c r="Q2793" t="s">
        <v>53</v>
      </c>
    </row>
    <row r="2794" spans="1:17" x14ac:dyDescent="0.2">
      <c r="A2794" s="30" t="str">
        <f>IF(C2794&amp;G2794&amp;D2794&lt;&gt;'Funnel setup'!$K$3&amp;'Funnel setup'!$K$4&amp;'Funnel setup'!$K$5,".",IF(A2793=".",1,A2793+1))</f>
        <v>.</v>
      </c>
      <c r="B2794" s="431" t="str">
        <f t="shared" si="43"/>
        <v>Hip Replacement RevisionCCG of GP PracticeNHS NORTH MANCHESTER CCG (01M)EQ-5D Index</v>
      </c>
      <c r="C2794" t="s">
        <v>247</v>
      </c>
      <c r="D2794" t="s">
        <v>87</v>
      </c>
      <c r="E2794" t="s">
        <v>660</v>
      </c>
      <c r="F2794" t="s">
        <v>661</v>
      </c>
      <c r="G2794" t="s">
        <v>52</v>
      </c>
      <c r="H2794">
        <v>6</v>
      </c>
      <c r="I2794">
        <v>0.44900000000000001</v>
      </c>
      <c r="J2794">
        <v>0.69699999999999995</v>
      </c>
      <c r="K2794">
        <v>0.247</v>
      </c>
      <c r="L2794">
        <v>5</v>
      </c>
      <c r="M2794">
        <v>0</v>
      </c>
      <c r="N2794">
        <v>1</v>
      </c>
      <c r="O2794" t="s">
        <v>53</v>
      </c>
      <c r="P2794" t="s">
        <v>53</v>
      </c>
      <c r="Q2794" t="s">
        <v>53</v>
      </c>
    </row>
    <row r="2795" spans="1:17" x14ac:dyDescent="0.2">
      <c r="A2795" s="30" t="str">
        <f>IF(C2795&amp;G2795&amp;D2795&lt;&gt;'Funnel setup'!$K$3&amp;'Funnel setup'!$K$4&amp;'Funnel setup'!$K$5,".",IF(A2794=".",1,A2794+1))</f>
        <v>.</v>
      </c>
      <c r="B2795" s="431" t="str">
        <f t="shared" si="43"/>
        <v>Hip Replacement RevisionCCG of GP PracticeNHS NORTH NORFOLK CCG (06V)EQ-5D Index</v>
      </c>
      <c r="C2795" t="s">
        <v>247</v>
      </c>
      <c r="D2795" t="s">
        <v>87</v>
      </c>
      <c r="E2795" t="s">
        <v>663</v>
      </c>
      <c r="F2795" t="s">
        <v>664</v>
      </c>
      <c r="G2795" t="s">
        <v>52</v>
      </c>
      <c r="H2795">
        <v>15</v>
      </c>
      <c r="I2795">
        <v>0.42</v>
      </c>
      <c r="J2795">
        <v>0.746</v>
      </c>
      <c r="K2795">
        <v>0.32600000000000001</v>
      </c>
      <c r="L2795">
        <v>13</v>
      </c>
      <c r="M2795">
        <v>1</v>
      </c>
      <c r="N2795">
        <v>1</v>
      </c>
      <c r="O2795" t="s">
        <v>53</v>
      </c>
      <c r="P2795" t="s">
        <v>53</v>
      </c>
      <c r="Q2795" t="s">
        <v>53</v>
      </c>
    </row>
    <row r="2796" spans="1:17" x14ac:dyDescent="0.2">
      <c r="A2796" s="30" t="str">
        <f>IF(C2796&amp;G2796&amp;D2796&lt;&gt;'Funnel setup'!$K$3&amp;'Funnel setup'!$K$4&amp;'Funnel setup'!$K$5,".",IF(A2795=".",1,A2795+1))</f>
        <v>.</v>
      </c>
      <c r="B2796" s="431" t="str">
        <f t="shared" si="43"/>
        <v>Hip Replacement RevisionCCG of GP PracticeNHS NORTH SOMERSET CCG (11T)EQ-5D Index</v>
      </c>
      <c r="C2796" t="s">
        <v>247</v>
      </c>
      <c r="D2796" t="s">
        <v>87</v>
      </c>
      <c r="E2796" t="s">
        <v>666</v>
      </c>
      <c r="F2796" t="s">
        <v>667</v>
      </c>
      <c r="G2796" t="s">
        <v>52</v>
      </c>
      <c r="H2796">
        <v>14</v>
      </c>
      <c r="I2796">
        <v>0.62</v>
      </c>
      <c r="J2796">
        <v>0.85599999999999998</v>
      </c>
      <c r="K2796">
        <v>0.23599999999999999</v>
      </c>
      <c r="L2796">
        <v>8</v>
      </c>
      <c r="M2796">
        <v>5</v>
      </c>
      <c r="N2796">
        <v>1</v>
      </c>
      <c r="O2796" t="s">
        <v>53</v>
      </c>
      <c r="P2796" t="s">
        <v>53</v>
      </c>
      <c r="Q2796" t="s">
        <v>53</v>
      </c>
    </row>
    <row r="2797" spans="1:17" x14ac:dyDescent="0.2">
      <c r="A2797" s="30" t="str">
        <f>IF(C2797&amp;G2797&amp;D2797&lt;&gt;'Funnel setup'!$K$3&amp;'Funnel setup'!$K$4&amp;'Funnel setup'!$K$5,".",IF(A2796=".",1,A2796+1))</f>
        <v>.</v>
      </c>
      <c r="B2797" s="431" t="str">
        <f t="shared" si="43"/>
        <v>Hip Replacement RevisionCCG of GP PracticeNHS NORTH STAFFORDSHIRE CCG (05G)EQ-5D Index</v>
      </c>
      <c r="C2797" t="s">
        <v>247</v>
      </c>
      <c r="D2797" t="s">
        <v>87</v>
      </c>
      <c r="E2797" t="s">
        <v>669</v>
      </c>
      <c r="F2797" t="s">
        <v>670</v>
      </c>
      <c r="G2797" t="s">
        <v>52</v>
      </c>
      <c r="H2797">
        <v>9</v>
      </c>
      <c r="I2797">
        <v>0.32400000000000001</v>
      </c>
      <c r="J2797">
        <v>0.67700000000000005</v>
      </c>
      <c r="K2797">
        <v>0.35299999999999998</v>
      </c>
      <c r="L2797">
        <v>8</v>
      </c>
      <c r="M2797">
        <v>0</v>
      </c>
      <c r="N2797">
        <v>1</v>
      </c>
      <c r="O2797" t="s">
        <v>53</v>
      </c>
      <c r="P2797" t="s">
        <v>53</v>
      </c>
      <c r="Q2797" t="s">
        <v>53</v>
      </c>
    </row>
    <row r="2798" spans="1:17" x14ac:dyDescent="0.2">
      <c r="A2798" s="30" t="str">
        <f>IF(C2798&amp;G2798&amp;D2798&lt;&gt;'Funnel setup'!$K$3&amp;'Funnel setup'!$K$4&amp;'Funnel setup'!$K$5,".",IF(A2797=".",1,A2797+1))</f>
        <v>.</v>
      </c>
      <c r="B2798" s="431" t="str">
        <f t="shared" si="43"/>
        <v>Hip Replacement RevisionCCG of GP PracticeNHS NORTH TYNESIDE CCG (99C)EQ-5D Index</v>
      </c>
      <c r="C2798" t="s">
        <v>247</v>
      </c>
      <c r="D2798" t="s">
        <v>87</v>
      </c>
      <c r="E2798" t="s">
        <v>672</v>
      </c>
      <c r="F2798" t="s">
        <v>673</v>
      </c>
      <c r="G2798" t="s">
        <v>52</v>
      </c>
      <c r="H2798">
        <v>13</v>
      </c>
      <c r="I2798">
        <v>0.42799999999999999</v>
      </c>
      <c r="J2798">
        <v>0.71799999999999997</v>
      </c>
      <c r="K2798">
        <v>0.28999999999999998</v>
      </c>
      <c r="L2798">
        <v>8</v>
      </c>
      <c r="M2798">
        <v>2</v>
      </c>
      <c r="N2798">
        <v>3</v>
      </c>
      <c r="O2798" t="s">
        <v>53</v>
      </c>
      <c r="P2798" t="s">
        <v>53</v>
      </c>
      <c r="Q2798" t="s">
        <v>53</v>
      </c>
    </row>
    <row r="2799" spans="1:17" x14ac:dyDescent="0.2">
      <c r="A2799" s="30" t="str">
        <f>IF(C2799&amp;G2799&amp;D2799&lt;&gt;'Funnel setup'!$K$3&amp;'Funnel setup'!$K$4&amp;'Funnel setup'!$K$5,".",IF(A2798=".",1,A2798+1))</f>
        <v>.</v>
      </c>
      <c r="B2799" s="431" t="str">
        <f t="shared" si="43"/>
        <v>Hip Replacement RevisionCCG of GP PracticeNHS NORTH WEST SURREY CCG (09Y)EQ-5D Index</v>
      </c>
      <c r="C2799" t="s">
        <v>247</v>
      </c>
      <c r="D2799" t="s">
        <v>87</v>
      </c>
      <c r="E2799" t="s">
        <v>675</v>
      </c>
      <c r="F2799" t="s">
        <v>676</v>
      </c>
      <c r="G2799" t="s">
        <v>52</v>
      </c>
      <c r="H2799">
        <v>16</v>
      </c>
      <c r="I2799">
        <v>0.60699999999999998</v>
      </c>
      <c r="J2799">
        <v>0.71599999999999997</v>
      </c>
      <c r="K2799">
        <v>0.109</v>
      </c>
      <c r="L2799">
        <v>8</v>
      </c>
      <c r="M2799">
        <v>6</v>
      </c>
      <c r="N2799">
        <v>2</v>
      </c>
      <c r="O2799" t="s">
        <v>53</v>
      </c>
      <c r="P2799" t="s">
        <v>53</v>
      </c>
      <c r="Q2799" t="s">
        <v>53</v>
      </c>
    </row>
    <row r="2800" spans="1:17" x14ac:dyDescent="0.2">
      <c r="A2800" s="30" t="str">
        <f>IF(C2800&amp;G2800&amp;D2800&lt;&gt;'Funnel setup'!$K$3&amp;'Funnel setup'!$K$4&amp;'Funnel setup'!$K$5,".",IF(A2799=".",1,A2799+1))</f>
        <v>.</v>
      </c>
      <c r="B2800" s="431" t="str">
        <f t="shared" si="43"/>
        <v>Hip Replacement RevisionCCG of GP PracticeNHS NORTHERN, EASTERN AND WESTERN DEVON CCG (99P)EQ-5D Index</v>
      </c>
      <c r="C2800" t="s">
        <v>247</v>
      </c>
      <c r="D2800" t="s">
        <v>87</v>
      </c>
      <c r="E2800" t="s">
        <v>678</v>
      </c>
      <c r="F2800" t="s">
        <v>679</v>
      </c>
      <c r="G2800" t="s">
        <v>52</v>
      </c>
      <c r="H2800">
        <v>70</v>
      </c>
      <c r="I2800">
        <v>0.38600000000000001</v>
      </c>
      <c r="J2800">
        <v>0.65500000000000003</v>
      </c>
      <c r="K2800">
        <v>0.27</v>
      </c>
      <c r="L2800">
        <v>55</v>
      </c>
      <c r="M2800">
        <v>6</v>
      </c>
      <c r="N2800">
        <v>9</v>
      </c>
      <c r="O2800">
        <v>0.66100000000000003</v>
      </c>
      <c r="P2800">
        <v>0.26234974900000002</v>
      </c>
      <c r="Q2800">
        <v>0.27200000000000002</v>
      </c>
    </row>
    <row r="2801" spans="1:17" x14ac:dyDescent="0.2">
      <c r="A2801" s="30" t="str">
        <f>IF(C2801&amp;G2801&amp;D2801&lt;&gt;'Funnel setup'!$K$3&amp;'Funnel setup'!$K$4&amp;'Funnel setup'!$K$5,".",IF(A2800=".",1,A2800+1))</f>
        <v>.</v>
      </c>
      <c r="B2801" s="431" t="str">
        <f t="shared" si="43"/>
        <v>Hip Replacement RevisionCCG of GP PracticeNHS NORTHUMBERLAND CCG (00L)EQ-5D Index</v>
      </c>
      <c r="C2801" t="s">
        <v>247</v>
      </c>
      <c r="D2801" t="s">
        <v>87</v>
      </c>
      <c r="E2801" t="s">
        <v>681</v>
      </c>
      <c r="F2801" t="s">
        <v>336</v>
      </c>
      <c r="G2801" t="s">
        <v>52</v>
      </c>
      <c r="H2801">
        <v>12</v>
      </c>
      <c r="I2801">
        <v>0.253</v>
      </c>
      <c r="J2801">
        <v>0.61499999999999999</v>
      </c>
      <c r="K2801">
        <v>0.36199999999999999</v>
      </c>
      <c r="L2801">
        <v>8</v>
      </c>
      <c r="M2801">
        <v>2</v>
      </c>
      <c r="N2801">
        <v>2</v>
      </c>
      <c r="O2801" t="s">
        <v>53</v>
      </c>
      <c r="P2801" t="s">
        <v>53</v>
      </c>
      <c r="Q2801" t="s">
        <v>53</v>
      </c>
    </row>
    <row r="2802" spans="1:17" x14ac:dyDescent="0.2">
      <c r="A2802" s="30" t="str">
        <f>IF(C2802&amp;G2802&amp;D2802&lt;&gt;'Funnel setup'!$K$3&amp;'Funnel setup'!$K$4&amp;'Funnel setup'!$K$5,".",IF(A2801=".",1,A2801+1))</f>
        <v>.</v>
      </c>
      <c r="B2802" s="431" t="str">
        <f t="shared" si="43"/>
        <v>Hip Replacement RevisionCCG of GP PracticeNHS NORWICH CCG (06W)EQ-5D Index</v>
      </c>
      <c r="C2802" t="s">
        <v>247</v>
      </c>
      <c r="D2802" t="s">
        <v>87</v>
      </c>
      <c r="E2802" t="s">
        <v>770</v>
      </c>
      <c r="F2802" t="s">
        <v>771</v>
      </c>
      <c r="G2802" t="s">
        <v>52</v>
      </c>
      <c r="H2802">
        <v>13</v>
      </c>
      <c r="I2802">
        <v>0.58499999999999996</v>
      </c>
      <c r="J2802">
        <v>0.81</v>
      </c>
      <c r="K2802">
        <v>0.22500000000000001</v>
      </c>
      <c r="L2802">
        <v>11</v>
      </c>
      <c r="M2802">
        <v>0</v>
      </c>
      <c r="N2802">
        <v>2</v>
      </c>
      <c r="O2802" t="s">
        <v>53</v>
      </c>
      <c r="P2802" t="s">
        <v>53</v>
      </c>
      <c r="Q2802" t="s">
        <v>53</v>
      </c>
    </row>
    <row r="2803" spans="1:17" x14ac:dyDescent="0.2">
      <c r="A2803" s="30" t="str">
        <f>IF(C2803&amp;G2803&amp;D2803&lt;&gt;'Funnel setup'!$K$3&amp;'Funnel setup'!$K$4&amp;'Funnel setup'!$K$5,".",IF(A2802=".",1,A2802+1))</f>
        <v>.</v>
      </c>
      <c r="B2803" s="431" t="str">
        <f t="shared" si="43"/>
        <v>Hip Replacement RevisionCCG of GP PracticeNHS NOTTINGHAM CITY CCG (04K)EQ-5D Index</v>
      </c>
      <c r="C2803" t="s">
        <v>247</v>
      </c>
      <c r="D2803" t="s">
        <v>87</v>
      </c>
      <c r="E2803" t="s">
        <v>773</v>
      </c>
      <c r="F2803" t="s">
        <v>774</v>
      </c>
      <c r="G2803" t="s">
        <v>52</v>
      </c>
      <c r="H2803">
        <v>8</v>
      </c>
      <c r="I2803">
        <v>0.47699999999999998</v>
      </c>
      <c r="J2803">
        <v>0.60499999999999998</v>
      </c>
      <c r="K2803">
        <v>0.127</v>
      </c>
      <c r="L2803">
        <v>4</v>
      </c>
      <c r="M2803">
        <v>2</v>
      </c>
      <c r="N2803">
        <v>2</v>
      </c>
      <c r="O2803" t="s">
        <v>53</v>
      </c>
      <c r="P2803" t="s">
        <v>53</v>
      </c>
      <c r="Q2803" t="s">
        <v>53</v>
      </c>
    </row>
    <row r="2804" spans="1:17" x14ac:dyDescent="0.2">
      <c r="A2804" s="30" t="str">
        <f>IF(C2804&amp;G2804&amp;D2804&lt;&gt;'Funnel setup'!$K$3&amp;'Funnel setup'!$K$4&amp;'Funnel setup'!$K$5,".",IF(A2803=".",1,A2803+1))</f>
        <v>.</v>
      </c>
      <c r="B2804" s="431" t="str">
        <f t="shared" si="43"/>
        <v>Hip Replacement RevisionCCG of GP PracticeNHS NOTTINGHAM NORTH AND EAST CCG (04L)EQ-5D Index</v>
      </c>
      <c r="C2804" t="s">
        <v>247</v>
      </c>
      <c r="D2804" t="s">
        <v>87</v>
      </c>
      <c r="E2804" t="s">
        <v>776</v>
      </c>
      <c r="F2804" t="s">
        <v>777</v>
      </c>
      <c r="G2804" t="s">
        <v>52</v>
      </c>
      <c r="H2804">
        <v>9</v>
      </c>
      <c r="I2804">
        <v>0.40500000000000003</v>
      </c>
      <c r="J2804">
        <v>0.66500000000000004</v>
      </c>
      <c r="K2804">
        <v>0.26</v>
      </c>
      <c r="L2804">
        <v>7</v>
      </c>
      <c r="M2804">
        <v>0</v>
      </c>
      <c r="N2804">
        <v>2</v>
      </c>
      <c r="O2804" t="s">
        <v>53</v>
      </c>
      <c r="P2804" t="s">
        <v>53</v>
      </c>
      <c r="Q2804" t="s">
        <v>53</v>
      </c>
    </row>
    <row r="2805" spans="1:17" x14ac:dyDescent="0.2">
      <c r="A2805" s="30" t="str">
        <f>IF(C2805&amp;G2805&amp;D2805&lt;&gt;'Funnel setup'!$K$3&amp;'Funnel setup'!$K$4&amp;'Funnel setup'!$K$5,".",IF(A2804=".",1,A2804+1))</f>
        <v>.</v>
      </c>
      <c r="B2805" s="431" t="str">
        <f t="shared" si="43"/>
        <v>Hip Replacement RevisionCCG of GP PracticeNHS NOTTINGHAM WEST CCG (04M)EQ-5D Index</v>
      </c>
      <c r="C2805" t="s">
        <v>247</v>
      </c>
      <c r="D2805" t="s">
        <v>87</v>
      </c>
      <c r="E2805" t="s">
        <v>779</v>
      </c>
      <c r="F2805" t="s">
        <v>780</v>
      </c>
      <c r="G2805" t="s">
        <v>52</v>
      </c>
      <c r="H2805" t="s">
        <v>53</v>
      </c>
      <c r="I2805" t="s">
        <v>53</v>
      </c>
      <c r="J2805" t="s">
        <v>53</v>
      </c>
      <c r="K2805" t="s">
        <v>53</v>
      </c>
      <c r="L2805" t="s">
        <v>53</v>
      </c>
      <c r="M2805" t="s">
        <v>53</v>
      </c>
      <c r="N2805" t="s">
        <v>53</v>
      </c>
      <c r="O2805" t="s">
        <v>53</v>
      </c>
      <c r="P2805" t="s">
        <v>53</v>
      </c>
      <c r="Q2805" t="s">
        <v>53</v>
      </c>
    </row>
    <row r="2806" spans="1:17" x14ac:dyDescent="0.2">
      <c r="A2806" s="30" t="str">
        <f>IF(C2806&amp;G2806&amp;D2806&lt;&gt;'Funnel setup'!$K$3&amp;'Funnel setup'!$K$4&amp;'Funnel setup'!$K$5,".",IF(A2805=".",1,A2805+1))</f>
        <v>.</v>
      </c>
      <c r="B2806" s="431" t="str">
        <f t="shared" si="43"/>
        <v>Hip Replacement RevisionCCG of GP PracticeNHS OLDHAM CCG (00Y)EQ-5D Index</v>
      </c>
      <c r="C2806" t="s">
        <v>247</v>
      </c>
      <c r="D2806" t="s">
        <v>87</v>
      </c>
      <c r="E2806" t="s">
        <v>782</v>
      </c>
      <c r="F2806" t="s">
        <v>783</v>
      </c>
      <c r="G2806" t="s">
        <v>52</v>
      </c>
      <c r="H2806">
        <v>11</v>
      </c>
      <c r="I2806">
        <v>0.36299999999999999</v>
      </c>
      <c r="J2806">
        <v>0.57399999999999995</v>
      </c>
      <c r="K2806">
        <v>0.21</v>
      </c>
      <c r="L2806">
        <v>7</v>
      </c>
      <c r="M2806">
        <v>3</v>
      </c>
      <c r="N2806">
        <v>1</v>
      </c>
      <c r="O2806" t="s">
        <v>53</v>
      </c>
      <c r="P2806" t="s">
        <v>53</v>
      </c>
      <c r="Q2806" t="s">
        <v>53</v>
      </c>
    </row>
    <row r="2807" spans="1:17" x14ac:dyDescent="0.2">
      <c r="A2807" s="30" t="str">
        <f>IF(C2807&amp;G2807&amp;D2807&lt;&gt;'Funnel setup'!$K$3&amp;'Funnel setup'!$K$4&amp;'Funnel setup'!$K$5,".",IF(A2806=".",1,A2806+1))</f>
        <v>.</v>
      </c>
      <c r="B2807" s="431" t="str">
        <f t="shared" si="43"/>
        <v>Hip Replacement RevisionCCG of GP PracticeNHS OXFORDSHIRE CCG (10Q)EQ-5D Index</v>
      </c>
      <c r="C2807" t="s">
        <v>247</v>
      </c>
      <c r="D2807" t="s">
        <v>87</v>
      </c>
      <c r="E2807" t="s">
        <v>785</v>
      </c>
      <c r="F2807" t="s">
        <v>786</v>
      </c>
      <c r="G2807" t="s">
        <v>52</v>
      </c>
      <c r="H2807">
        <v>35</v>
      </c>
      <c r="I2807">
        <v>0.42099999999999999</v>
      </c>
      <c r="J2807">
        <v>0.753</v>
      </c>
      <c r="K2807">
        <v>0.33200000000000002</v>
      </c>
      <c r="L2807">
        <v>27</v>
      </c>
      <c r="M2807">
        <v>5</v>
      </c>
      <c r="N2807">
        <v>3</v>
      </c>
      <c r="O2807">
        <v>0.71899999999999997</v>
      </c>
      <c r="P2807">
        <v>0.32017842000000002</v>
      </c>
      <c r="Q2807">
        <v>0.23699999999999999</v>
      </c>
    </row>
    <row r="2808" spans="1:17" x14ac:dyDescent="0.2">
      <c r="A2808" s="30" t="str">
        <f>IF(C2808&amp;G2808&amp;D2808&lt;&gt;'Funnel setup'!$K$3&amp;'Funnel setup'!$K$4&amp;'Funnel setup'!$K$5,".",IF(A2807=".",1,A2807+1))</f>
        <v>.</v>
      </c>
      <c r="B2808" s="431" t="str">
        <f t="shared" si="43"/>
        <v>Hip Replacement RevisionCCG of GP PracticeNHS PORTSMOUTH CCG (10R)EQ-5D Index</v>
      </c>
      <c r="C2808" t="s">
        <v>247</v>
      </c>
      <c r="D2808" t="s">
        <v>87</v>
      </c>
      <c r="E2808" t="s">
        <v>788</v>
      </c>
      <c r="F2808" t="s">
        <v>789</v>
      </c>
      <c r="G2808" t="s">
        <v>52</v>
      </c>
      <c r="H2808" t="s">
        <v>53</v>
      </c>
      <c r="I2808" t="s">
        <v>53</v>
      </c>
      <c r="J2808" t="s">
        <v>53</v>
      </c>
      <c r="K2808" t="s">
        <v>53</v>
      </c>
      <c r="L2808" t="s">
        <v>53</v>
      </c>
      <c r="M2808" t="s">
        <v>53</v>
      </c>
      <c r="N2808" t="s">
        <v>53</v>
      </c>
      <c r="O2808" t="s">
        <v>53</v>
      </c>
      <c r="P2808" t="s">
        <v>53</v>
      </c>
      <c r="Q2808" t="s">
        <v>53</v>
      </c>
    </row>
    <row r="2809" spans="1:17" x14ac:dyDescent="0.2">
      <c r="A2809" s="30" t="str">
        <f>IF(C2809&amp;G2809&amp;D2809&lt;&gt;'Funnel setup'!$K$3&amp;'Funnel setup'!$K$4&amp;'Funnel setup'!$K$5,".",IF(A2808=".",1,A2808+1))</f>
        <v>.</v>
      </c>
      <c r="B2809" s="431" t="str">
        <f t="shared" si="43"/>
        <v>Hip Replacement RevisionCCG of GP PracticeNHS REDBRIDGE CCG (08N)EQ-5D Index</v>
      </c>
      <c r="C2809" t="s">
        <v>247</v>
      </c>
      <c r="D2809" t="s">
        <v>87</v>
      </c>
      <c r="E2809" t="s">
        <v>791</v>
      </c>
      <c r="F2809" t="s">
        <v>792</v>
      </c>
      <c r="G2809" t="s">
        <v>52</v>
      </c>
      <c r="H2809" t="s">
        <v>53</v>
      </c>
      <c r="I2809" t="s">
        <v>53</v>
      </c>
      <c r="J2809" t="s">
        <v>53</v>
      </c>
      <c r="K2809" t="s">
        <v>53</v>
      </c>
      <c r="L2809" t="s">
        <v>53</v>
      </c>
      <c r="M2809" t="s">
        <v>53</v>
      </c>
      <c r="N2809" t="s">
        <v>53</v>
      </c>
      <c r="O2809" t="s">
        <v>53</v>
      </c>
      <c r="P2809" t="s">
        <v>53</v>
      </c>
      <c r="Q2809" t="s">
        <v>53</v>
      </c>
    </row>
    <row r="2810" spans="1:17" x14ac:dyDescent="0.2">
      <c r="A2810" s="30" t="str">
        <f>IF(C2810&amp;G2810&amp;D2810&lt;&gt;'Funnel setup'!$K$3&amp;'Funnel setup'!$K$4&amp;'Funnel setup'!$K$5,".",IF(A2809=".",1,A2809+1))</f>
        <v>.</v>
      </c>
      <c r="B2810" s="431" t="str">
        <f t="shared" si="43"/>
        <v>Hip Replacement RevisionCCG of GP PracticeNHS REDDITCH AND BROMSGROVE CCG (05J)EQ-5D Index</v>
      </c>
      <c r="C2810" t="s">
        <v>247</v>
      </c>
      <c r="D2810" t="s">
        <v>87</v>
      </c>
      <c r="E2810" t="s">
        <v>794</v>
      </c>
      <c r="F2810" t="s">
        <v>795</v>
      </c>
      <c r="G2810" t="s">
        <v>52</v>
      </c>
      <c r="H2810" t="s">
        <v>53</v>
      </c>
      <c r="I2810" t="s">
        <v>53</v>
      </c>
      <c r="J2810" t="s">
        <v>53</v>
      </c>
      <c r="K2810" t="s">
        <v>53</v>
      </c>
      <c r="L2810" t="s">
        <v>53</v>
      </c>
      <c r="M2810" t="s">
        <v>53</v>
      </c>
      <c r="N2810" t="s">
        <v>53</v>
      </c>
      <c r="O2810" t="s">
        <v>53</v>
      </c>
      <c r="P2810" t="s">
        <v>53</v>
      </c>
      <c r="Q2810" t="s">
        <v>53</v>
      </c>
    </row>
    <row r="2811" spans="1:17" x14ac:dyDescent="0.2">
      <c r="A2811" s="30" t="str">
        <f>IF(C2811&amp;G2811&amp;D2811&lt;&gt;'Funnel setup'!$K$3&amp;'Funnel setup'!$K$4&amp;'Funnel setup'!$K$5,".",IF(A2810=".",1,A2810+1))</f>
        <v>.</v>
      </c>
      <c r="B2811" s="431" t="str">
        <f t="shared" si="43"/>
        <v>Hip Replacement RevisionCCG of GP PracticeNHS RICHMOND CCG (08P)EQ-5D Index</v>
      </c>
      <c r="C2811" t="s">
        <v>247</v>
      </c>
      <c r="D2811" t="s">
        <v>87</v>
      </c>
      <c r="E2811" t="s">
        <v>797</v>
      </c>
      <c r="F2811" t="s">
        <v>798</v>
      </c>
      <c r="G2811" t="s">
        <v>52</v>
      </c>
      <c r="H2811">
        <v>6</v>
      </c>
      <c r="I2811">
        <v>0.48499999999999999</v>
      </c>
      <c r="J2811">
        <v>0.72599999999999998</v>
      </c>
      <c r="K2811">
        <v>0.24099999999999999</v>
      </c>
      <c r="L2811">
        <v>4</v>
      </c>
      <c r="M2811">
        <v>1</v>
      </c>
      <c r="N2811">
        <v>1</v>
      </c>
      <c r="O2811" t="s">
        <v>53</v>
      </c>
      <c r="P2811" t="s">
        <v>53</v>
      </c>
      <c r="Q2811" t="s">
        <v>53</v>
      </c>
    </row>
    <row r="2812" spans="1:17" x14ac:dyDescent="0.2">
      <c r="A2812" s="30" t="str">
        <f>IF(C2812&amp;G2812&amp;D2812&lt;&gt;'Funnel setup'!$K$3&amp;'Funnel setup'!$K$4&amp;'Funnel setup'!$K$5,".",IF(A2811=".",1,A2811+1))</f>
        <v>.</v>
      </c>
      <c r="B2812" s="431" t="str">
        <f t="shared" si="43"/>
        <v>Hip Replacement RevisionCCG of GP PracticeNHS ROTHERHAM CCG (03L)EQ-5D Index</v>
      </c>
      <c r="C2812" t="s">
        <v>247</v>
      </c>
      <c r="D2812" t="s">
        <v>87</v>
      </c>
      <c r="E2812" t="s">
        <v>800</v>
      </c>
      <c r="F2812" t="s">
        <v>801</v>
      </c>
      <c r="G2812" t="s">
        <v>52</v>
      </c>
      <c r="H2812">
        <v>15</v>
      </c>
      <c r="I2812">
        <v>0.316</v>
      </c>
      <c r="J2812">
        <v>0.71599999999999997</v>
      </c>
      <c r="K2812">
        <v>0.4</v>
      </c>
      <c r="L2812">
        <v>11</v>
      </c>
      <c r="M2812">
        <v>3</v>
      </c>
      <c r="N2812">
        <v>1</v>
      </c>
      <c r="O2812" t="s">
        <v>53</v>
      </c>
      <c r="P2812" t="s">
        <v>53</v>
      </c>
      <c r="Q2812" t="s">
        <v>53</v>
      </c>
    </row>
    <row r="2813" spans="1:17" x14ac:dyDescent="0.2">
      <c r="A2813" s="30" t="str">
        <f>IF(C2813&amp;G2813&amp;D2813&lt;&gt;'Funnel setup'!$K$3&amp;'Funnel setup'!$K$4&amp;'Funnel setup'!$K$5,".",IF(A2812=".",1,A2812+1))</f>
        <v>.</v>
      </c>
      <c r="B2813" s="431" t="str">
        <f t="shared" si="43"/>
        <v>Hip Replacement RevisionCCG of GP PracticeNHS RUSHCLIFFE CCG (04N)EQ-5D Index</v>
      </c>
      <c r="C2813" t="s">
        <v>247</v>
      </c>
      <c r="D2813" t="s">
        <v>87</v>
      </c>
      <c r="E2813" t="s">
        <v>803</v>
      </c>
      <c r="F2813" t="s">
        <v>804</v>
      </c>
      <c r="G2813" t="s">
        <v>52</v>
      </c>
      <c r="H2813">
        <v>7</v>
      </c>
      <c r="I2813">
        <v>0.318</v>
      </c>
      <c r="J2813">
        <v>0.58799999999999997</v>
      </c>
      <c r="K2813">
        <v>0.26900000000000002</v>
      </c>
      <c r="L2813">
        <v>6</v>
      </c>
      <c r="M2813">
        <v>0</v>
      </c>
      <c r="N2813">
        <v>1</v>
      </c>
      <c r="O2813" t="s">
        <v>53</v>
      </c>
      <c r="P2813" t="s">
        <v>53</v>
      </c>
      <c r="Q2813" t="s">
        <v>53</v>
      </c>
    </row>
    <row r="2814" spans="1:17" x14ac:dyDescent="0.2">
      <c r="A2814" s="30" t="str">
        <f>IF(C2814&amp;G2814&amp;D2814&lt;&gt;'Funnel setup'!$K$3&amp;'Funnel setup'!$K$4&amp;'Funnel setup'!$K$5,".",IF(A2813=".",1,A2813+1))</f>
        <v>.</v>
      </c>
      <c r="B2814" s="431" t="str">
        <f t="shared" si="43"/>
        <v>Hip Replacement RevisionCCG of GP PracticeNHS SALFORD CCG (01G)EQ-5D Index</v>
      </c>
      <c r="C2814" t="s">
        <v>247</v>
      </c>
      <c r="D2814" t="s">
        <v>87</v>
      </c>
      <c r="E2814" t="s">
        <v>806</v>
      </c>
      <c r="F2814" t="s">
        <v>807</v>
      </c>
      <c r="G2814" t="s">
        <v>52</v>
      </c>
      <c r="H2814" t="s">
        <v>53</v>
      </c>
      <c r="I2814" t="s">
        <v>53</v>
      </c>
      <c r="J2814" t="s">
        <v>53</v>
      </c>
      <c r="K2814" t="s">
        <v>53</v>
      </c>
      <c r="L2814" t="s">
        <v>53</v>
      </c>
      <c r="M2814" t="s">
        <v>53</v>
      </c>
      <c r="N2814" t="s">
        <v>53</v>
      </c>
      <c r="O2814" t="s">
        <v>53</v>
      </c>
      <c r="P2814" t="s">
        <v>53</v>
      </c>
      <c r="Q2814" t="s">
        <v>53</v>
      </c>
    </row>
    <row r="2815" spans="1:17" x14ac:dyDescent="0.2">
      <c r="A2815" s="30" t="str">
        <f>IF(C2815&amp;G2815&amp;D2815&lt;&gt;'Funnel setup'!$K$3&amp;'Funnel setup'!$K$4&amp;'Funnel setup'!$K$5,".",IF(A2814=".",1,A2814+1))</f>
        <v>.</v>
      </c>
      <c r="B2815" s="431" t="str">
        <f t="shared" si="43"/>
        <v>Hip Replacement RevisionCCG of GP PracticeNHS SANDWELL AND WEST BIRMINGHAM CCG (05L)EQ-5D Index</v>
      </c>
      <c r="C2815" t="s">
        <v>247</v>
      </c>
      <c r="D2815" t="s">
        <v>87</v>
      </c>
      <c r="E2815" t="s">
        <v>809</v>
      </c>
      <c r="F2815" t="s">
        <v>810</v>
      </c>
      <c r="G2815" t="s">
        <v>52</v>
      </c>
      <c r="H2815">
        <v>10</v>
      </c>
      <c r="I2815">
        <v>0.47699999999999998</v>
      </c>
      <c r="J2815">
        <v>0.74399999999999999</v>
      </c>
      <c r="K2815">
        <v>0.26700000000000002</v>
      </c>
      <c r="L2815">
        <v>8</v>
      </c>
      <c r="M2815">
        <v>0</v>
      </c>
      <c r="N2815">
        <v>2</v>
      </c>
      <c r="O2815" t="s">
        <v>53</v>
      </c>
      <c r="P2815" t="s">
        <v>53</v>
      </c>
      <c r="Q2815" t="s">
        <v>53</v>
      </c>
    </row>
    <row r="2816" spans="1:17" x14ac:dyDescent="0.2">
      <c r="A2816" s="30" t="str">
        <f>IF(C2816&amp;G2816&amp;D2816&lt;&gt;'Funnel setup'!$K$3&amp;'Funnel setup'!$K$4&amp;'Funnel setup'!$K$5,".",IF(A2815=".",1,A2815+1))</f>
        <v>.</v>
      </c>
      <c r="B2816" s="431" t="str">
        <f t="shared" si="43"/>
        <v>Hip Replacement RevisionCCG of GP PracticeNHS SCARBOROUGH AND RYEDALE CCG (03M)EQ-5D Index</v>
      </c>
      <c r="C2816" t="s">
        <v>247</v>
      </c>
      <c r="D2816" t="s">
        <v>87</v>
      </c>
      <c r="E2816" t="s">
        <v>812</v>
      </c>
      <c r="F2816" t="s">
        <v>813</v>
      </c>
      <c r="G2816" t="s">
        <v>52</v>
      </c>
      <c r="H2816">
        <v>9</v>
      </c>
      <c r="I2816">
        <v>0.46700000000000003</v>
      </c>
      <c r="J2816">
        <v>0.73399999999999999</v>
      </c>
      <c r="K2816">
        <v>0.26800000000000002</v>
      </c>
      <c r="L2816">
        <v>7</v>
      </c>
      <c r="M2816">
        <v>2</v>
      </c>
      <c r="N2816">
        <v>0</v>
      </c>
      <c r="O2816" t="s">
        <v>53</v>
      </c>
      <c r="P2816" t="s">
        <v>53</v>
      </c>
      <c r="Q2816" t="s">
        <v>53</v>
      </c>
    </row>
    <row r="2817" spans="1:17" x14ac:dyDescent="0.2">
      <c r="A2817" s="30" t="str">
        <f>IF(C2817&amp;G2817&amp;D2817&lt;&gt;'Funnel setup'!$K$3&amp;'Funnel setup'!$K$4&amp;'Funnel setup'!$K$5,".",IF(A2816=".",1,A2816+1))</f>
        <v>.</v>
      </c>
      <c r="B2817" s="431" t="str">
        <f t="shared" si="43"/>
        <v>Hip Replacement RevisionCCG of GP PracticeNHS SHEFFIELD CCG (03N)EQ-5D Index</v>
      </c>
      <c r="C2817" t="s">
        <v>247</v>
      </c>
      <c r="D2817" t="s">
        <v>87</v>
      </c>
      <c r="E2817" t="s">
        <v>815</v>
      </c>
      <c r="F2817" t="s">
        <v>816</v>
      </c>
      <c r="G2817" t="s">
        <v>52</v>
      </c>
      <c r="H2817">
        <v>11</v>
      </c>
      <c r="I2817">
        <v>0.217</v>
      </c>
      <c r="J2817">
        <v>0.67</v>
      </c>
      <c r="K2817">
        <v>0.45300000000000001</v>
      </c>
      <c r="L2817">
        <v>10</v>
      </c>
      <c r="M2817">
        <v>1</v>
      </c>
      <c r="N2817">
        <v>0</v>
      </c>
      <c r="O2817" t="s">
        <v>53</v>
      </c>
      <c r="P2817" t="s">
        <v>53</v>
      </c>
      <c r="Q2817" t="s">
        <v>53</v>
      </c>
    </row>
    <row r="2818" spans="1:17" x14ac:dyDescent="0.2">
      <c r="A2818" s="30" t="str">
        <f>IF(C2818&amp;G2818&amp;D2818&lt;&gt;'Funnel setup'!$K$3&amp;'Funnel setup'!$K$4&amp;'Funnel setup'!$K$5,".",IF(A2817=".",1,A2817+1))</f>
        <v>.</v>
      </c>
      <c r="B2818" s="431" t="str">
        <f t="shared" si="43"/>
        <v>Hip Replacement RevisionCCG of GP PracticeNHS SHROPSHIRE CCG (05N)EQ-5D Index</v>
      </c>
      <c r="C2818" t="s">
        <v>247</v>
      </c>
      <c r="D2818" t="s">
        <v>87</v>
      </c>
      <c r="E2818" t="s">
        <v>818</v>
      </c>
      <c r="F2818" t="s">
        <v>819</v>
      </c>
      <c r="G2818" t="s">
        <v>52</v>
      </c>
      <c r="H2818">
        <v>38</v>
      </c>
      <c r="I2818">
        <v>0.38300000000000001</v>
      </c>
      <c r="J2818">
        <v>0.745</v>
      </c>
      <c r="K2818">
        <v>0.36099999999999999</v>
      </c>
      <c r="L2818">
        <v>31</v>
      </c>
      <c r="M2818">
        <v>3</v>
      </c>
      <c r="N2818">
        <v>4</v>
      </c>
      <c r="O2818">
        <v>0.69499999999999995</v>
      </c>
      <c r="P2818">
        <v>0.29605702</v>
      </c>
      <c r="Q2818">
        <v>0.20899999999999999</v>
      </c>
    </row>
    <row r="2819" spans="1:17" x14ac:dyDescent="0.2">
      <c r="A2819" s="30" t="str">
        <f>IF(C2819&amp;G2819&amp;D2819&lt;&gt;'Funnel setup'!$K$3&amp;'Funnel setup'!$K$4&amp;'Funnel setup'!$K$5,".",IF(A2818=".",1,A2818+1))</f>
        <v>.</v>
      </c>
      <c r="B2819" s="431" t="str">
        <f t="shared" ref="B2819:B2882" si="44">C2819&amp;D2819&amp;F2819&amp;G2819</f>
        <v>Hip Replacement RevisionCCG of GP PracticeNHS SLOUGH CCG (10T)EQ-5D Index</v>
      </c>
      <c r="C2819" t="s">
        <v>247</v>
      </c>
      <c r="D2819" t="s">
        <v>87</v>
      </c>
      <c r="E2819" t="s">
        <v>821</v>
      </c>
      <c r="F2819" t="s">
        <v>822</v>
      </c>
      <c r="G2819" t="s">
        <v>52</v>
      </c>
      <c r="H2819" t="s">
        <v>53</v>
      </c>
      <c r="I2819" t="s">
        <v>53</v>
      </c>
      <c r="J2819" t="s">
        <v>53</v>
      </c>
      <c r="K2819" t="s">
        <v>53</v>
      </c>
      <c r="L2819" t="s">
        <v>53</v>
      </c>
      <c r="M2819" t="s">
        <v>53</v>
      </c>
      <c r="N2819" t="s">
        <v>53</v>
      </c>
      <c r="O2819" t="s">
        <v>53</v>
      </c>
      <c r="P2819" t="s">
        <v>53</v>
      </c>
      <c r="Q2819" t="s">
        <v>53</v>
      </c>
    </row>
    <row r="2820" spans="1:17" x14ac:dyDescent="0.2">
      <c r="A2820" s="30" t="str">
        <f>IF(C2820&amp;G2820&amp;D2820&lt;&gt;'Funnel setup'!$K$3&amp;'Funnel setup'!$K$4&amp;'Funnel setup'!$K$5,".",IF(A2819=".",1,A2819+1))</f>
        <v>.</v>
      </c>
      <c r="B2820" s="431" t="str">
        <f t="shared" si="44"/>
        <v>Hip Replacement RevisionCCG of GP PracticeNHS SOLIHULL CCG (05P)EQ-5D Index</v>
      </c>
      <c r="C2820" t="s">
        <v>247</v>
      </c>
      <c r="D2820" t="s">
        <v>87</v>
      </c>
      <c r="E2820" t="s">
        <v>824</v>
      </c>
      <c r="F2820" t="s">
        <v>825</v>
      </c>
      <c r="G2820" t="s">
        <v>52</v>
      </c>
      <c r="H2820">
        <v>10</v>
      </c>
      <c r="I2820">
        <v>0.254</v>
      </c>
      <c r="J2820">
        <v>0.63600000000000001</v>
      </c>
      <c r="K2820">
        <v>0.38200000000000001</v>
      </c>
      <c r="L2820">
        <v>9</v>
      </c>
      <c r="M2820">
        <v>1</v>
      </c>
      <c r="N2820">
        <v>0</v>
      </c>
      <c r="O2820" t="s">
        <v>53</v>
      </c>
      <c r="P2820" t="s">
        <v>53</v>
      </c>
      <c r="Q2820" t="s">
        <v>53</v>
      </c>
    </row>
    <row r="2821" spans="1:17" x14ac:dyDescent="0.2">
      <c r="A2821" s="30" t="str">
        <f>IF(C2821&amp;G2821&amp;D2821&lt;&gt;'Funnel setup'!$K$3&amp;'Funnel setup'!$K$4&amp;'Funnel setup'!$K$5,".",IF(A2820=".",1,A2820+1))</f>
        <v>.</v>
      </c>
      <c r="B2821" s="431" t="str">
        <f t="shared" si="44"/>
        <v>Hip Replacement RevisionCCG of GP PracticeNHS SOMERSET CCG (11X)EQ-5D Index</v>
      </c>
      <c r="C2821" t="s">
        <v>247</v>
      </c>
      <c r="D2821" t="s">
        <v>87</v>
      </c>
      <c r="E2821" t="s">
        <v>827</v>
      </c>
      <c r="F2821" t="s">
        <v>828</v>
      </c>
      <c r="G2821" t="s">
        <v>52</v>
      </c>
      <c r="H2821">
        <v>48</v>
      </c>
      <c r="I2821">
        <v>0.54600000000000004</v>
      </c>
      <c r="J2821">
        <v>0.78500000000000003</v>
      </c>
      <c r="K2821">
        <v>0.23899999999999999</v>
      </c>
      <c r="L2821">
        <v>29</v>
      </c>
      <c r="M2821">
        <v>12</v>
      </c>
      <c r="N2821">
        <v>7</v>
      </c>
      <c r="O2821">
        <v>0.72499999999999998</v>
      </c>
      <c r="P2821">
        <v>0.32583919300000003</v>
      </c>
      <c r="Q2821">
        <v>0.182</v>
      </c>
    </row>
    <row r="2822" spans="1:17" x14ac:dyDescent="0.2">
      <c r="A2822" s="30" t="str">
        <f>IF(C2822&amp;G2822&amp;D2822&lt;&gt;'Funnel setup'!$K$3&amp;'Funnel setup'!$K$4&amp;'Funnel setup'!$K$5,".",IF(A2821=".",1,A2821+1))</f>
        <v>.</v>
      </c>
      <c r="B2822" s="431" t="str">
        <f t="shared" si="44"/>
        <v>Hip Replacement RevisionCCG of GP PracticeNHS SOUTH CHESHIRE CCG (01R)EQ-5D Index</v>
      </c>
      <c r="C2822" t="s">
        <v>247</v>
      </c>
      <c r="D2822" t="s">
        <v>87</v>
      </c>
      <c r="E2822" t="s">
        <v>830</v>
      </c>
      <c r="F2822" t="s">
        <v>831</v>
      </c>
      <c r="G2822" t="s">
        <v>52</v>
      </c>
      <c r="H2822" t="s">
        <v>53</v>
      </c>
      <c r="I2822" t="s">
        <v>53</v>
      </c>
      <c r="J2822" t="s">
        <v>53</v>
      </c>
      <c r="K2822" t="s">
        <v>53</v>
      </c>
      <c r="L2822" t="s">
        <v>53</v>
      </c>
      <c r="M2822" t="s">
        <v>53</v>
      </c>
      <c r="N2822" t="s">
        <v>53</v>
      </c>
      <c r="O2822" t="s">
        <v>53</v>
      </c>
      <c r="P2822" t="s">
        <v>53</v>
      </c>
      <c r="Q2822" t="s">
        <v>53</v>
      </c>
    </row>
    <row r="2823" spans="1:17" x14ac:dyDescent="0.2">
      <c r="A2823" s="30" t="str">
        <f>IF(C2823&amp;G2823&amp;D2823&lt;&gt;'Funnel setup'!$K$3&amp;'Funnel setup'!$K$4&amp;'Funnel setup'!$K$5,".",IF(A2822=".",1,A2822+1))</f>
        <v>.</v>
      </c>
      <c r="B2823" s="431" t="str">
        <f t="shared" si="44"/>
        <v>Hip Replacement RevisionCCG of GP PracticeNHS SOUTH DEVON AND TORBAY CCG (99Q)EQ-5D Index</v>
      </c>
      <c r="C2823" t="s">
        <v>247</v>
      </c>
      <c r="D2823" t="s">
        <v>87</v>
      </c>
      <c r="E2823" t="s">
        <v>833</v>
      </c>
      <c r="F2823" t="s">
        <v>834</v>
      </c>
      <c r="G2823" t="s">
        <v>52</v>
      </c>
      <c r="H2823">
        <v>28</v>
      </c>
      <c r="I2823">
        <v>0.45600000000000002</v>
      </c>
      <c r="J2823">
        <v>0.59199999999999997</v>
      </c>
      <c r="K2823">
        <v>0.13600000000000001</v>
      </c>
      <c r="L2823">
        <v>12</v>
      </c>
      <c r="M2823">
        <v>9</v>
      </c>
      <c r="N2823">
        <v>7</v>
      </c>
      <c r="O2823" t="s">
        <v>53</v>
      </c>
      <c r="P2823" t="s">
        <v>53</v>
      </c>
      <c r="Q2823" t="s">
        <v>53</v>
      </c>
    </row>
    <row r="2824" spans="1:17" x14ac:dyDescent="0.2">
      <c r="A2824" s="30" t="str">
        <f>IF(C2824&amp;G2824&amp;D2824&lt;&gt;'Funnel setup'!$K$3&amp;'Funnel setup'!$K$4&amp;'Funnel setup'!$K$5,".",IF(A2823=".",1,A2823+1))</f>
        <v>.</v>
      </c>
      <c r="B2824" s="431" t="str">
        <f t="shared" si="44"/>
        <v>Hip Replacement RevisionCCG of GP PracticeNHS SOUTH EAST STAFFORDSHIRE AND SEISDON PENINSULA CCG (05Q)EQ-5D Index</v>
      </c>
      <c r="C2824" t="s">
        <v>247</v>
      </c>
      <c r="D2824" t="s">
        <v>87</v>
      </c>
      <c r="E2824" t="s">
        <v>836</v>
      </c>
      <c r="F2824" t="s">
        <v>837</v>
      </c>
      <c r="G2824" t="s">
        <v>52</v>
      </c>
      <c r="H2824">
        <v>8</v>
      </c>
      <c r="I2824">
        <v>0.28199999999999997</v>
      </c>
      <c r="J2824">
        <v>0.63200000000000001</v>
      </c>
      <c r="K2824">
        <v>0.35</v>
      </c>
      <c r="L2824">
        <v>8</v>
      </c>
      <c r="M2824">
        <v>0</v>
      </c>
      <c r="N2824">
        <v>0</v>
      </c>
      <c r="O2824" t="s">
        <v>53</v>
      </c>
      <c r="P2824" t="s">
        <v>53</v>
      </c>
      <c r="Q2824" t="s">
        <v>53</v>
      </c>
    </row>
    <row r="2825" spans="1:17" x14ac:dyDescent="0.2">
      <c r="A2825" s="30" t="str">
        <f>IF(C2825&amp;G2825&amp;D2825&lt;&gt;'Funnel setup'!$K$3&amp;'Funnel setup'!$K$4&amp;'Funnel setup'!$K$5,".",IF(A2824=".",1,A2824+1))</f>
        <v>.</v>
      </c>
      <c r="B2825" s="431" t="str">
        <f t="shared" si="44"/>
        <v>Hip Replacement RevisionCCG of GP PracticeNHS SOUTH EASTERN HAMPSHIRE CCG (10V)EQ-5D Index</v>
      </c>
      <c r="C2825" t="s">
        <v>247</v>
      </c>
      <c r="D2825" t="s">
        <v>87</v>
      </c>
      <c r="E2825" t="s">
        <v>839</v>
      </c>
      <c r="F2825" t="s">
        <v>840</v>
      </c>
      <c r="G2825" t="s">
        <v>52</v>
      </c>
      <c r="H2825">
        <v>8</v>
      </c>
      <c r="I2825">
        <v>0.312</v>
      </c>
      <c r="J2825">
        <v>0.61</v>
      </c>
      <c r="K2825">
        <v>0.29799999999999999</v>
      </c>
      <c r="L2825">
        <v>5</v>
      </c>
      <c r="M2825">
        <v>0</v>
      </c>
      <c r="N2825">
        <v>3</v>
      </c>
      <c r="O2825" t="s">
        <v>53</v>
      </c>
      <c r="P2825" t="s">
        <v>53</v>
      </c>
      <c r="Q2825" t="s">
        <v>53</v>
      </c>
    </row>
    <row r="2826" spans="1:17" x14ac:dyDescent="0.2">
      <c r="A2826" s="30" t="str">
        <f>IF(C2826&amp;G2826&amp;D2826&lt;&gt;'Funnel setup'!$K$3&amp;'Funnel setup'!$K$4&amp;'Funnel setup'!$K$5,".",IF(A2825=".",1,A2825+1))</f>
        <v>.</v>
      </c>
      <c r="B2826" s="431" t="str">
        <f t="shared" si="44"/>
        <v>Hip Replacement RevisionCCG of GP PracticeNHS SOUTH GLOUCESTERSHIRE CCG (12A)EQ-5D Index</v>
      </c>
      <c r="C2826" t="s">
        <v>247</v>
      </c>
      <c r="D2826" t="s">
        <v>87</v>
      </c>
      <c r="E2826" t="s">
        <v>842</v>
      </c>
      <c r="F2826" t="s">
        <v>843</v>
      </c>
      <c r="G2826" t="s">
        <v>52</v>
      </c>
      <c r="H2826">
        <v>7</v>
      </c>
      <c r="I2826">
        <v>0.52800000000000002</v>
      </c>
      <c r="J2826">
        <v>0.73299999999999998</v>
      </c>
      <c r="K2826">
        <v>0.20499999999999999</v>
      </c>
      <c r="L2826">
        <v>4</v>
      </c>
      <c r="M2826">
        <v>3</v>
      </c>
      <c r="N2826">
        <v>0</v>
      </c>
      <c r="O2826" t="s">
        <v>53</v>
      </c>
      <c r="P2826" t="s">
        <v>53</v>
      </c>
      <c r="Q2826" t="s">
        <v>53</v>
      </c>
    </row>
    <row r="2827" spans="1:17" x14ac:dyDescent="0.2">
      <c r="A2827" s="30" t="str">
        <f>IF(C2827&amp;G2827&amp;D2827&lt;&gt;'Funnel setup'!$K$3&amp;'Funnel setup'!$K$4&amp;'Funnel setup'!$K$5,".",IF(A2826=".",1,A2826+1))</f>
        <v>.</v>
      </c>
      <c r="B2827" s="431" t="str">
        <f t="shared" si="44"/>
        <v>Hip Replacement RevisionCCG of GP PracticeNHS SOUTH KENT COAST CCG (10A)EQ-5D Index</v>
      </c>
      <c r="C2827" t="s">
        <v>247</v>
      </c>
      <c r="D2827" t="s">
        <v>87</v>
      </c>
      <c r="E2827" t="s">
        <v>845</v>
      </c>
      <c r="F2827" t="s">
        <v>846</v>
      </c>
      <c r="G2827" t="s">
        <v>52</v>
      </c>
      <c r="H2827">
        <v>13</v>
      </c>
      <c r="I2827">
        <v>0.314</v>
      </c>
      <c r="J2827">
        <v>0.72899999999999998</v>
      </c>
      <c r="K2827">
        <v>0.41599999999999998</v>
      </c>
      <c r="L2827">
        <v>11</v>
      </c>
      <c r="M2827">
        <v>2</v>
      </c>
      <c r="N2827">
        <v>0</v>
      </c>
      <c r="O2827" t="s">
        <v>53</v>
      </c>
      <c r="P2827" t="s">
        <v>53</v>
      </c>
      <c r="Q2827" t="s">
        <v>53</v>
      </c>
    </row>
    <row r="2828" spans="1:17" x14ac:dyDescent="0.2">
      <c r="A2828" s="30" t="str">
        <f>IF(C2828&amp;G2828&amp;D2828&lt;&gt;'Funnel setup'!$K$3&amp;'Funnel setup'!$K$4&amp;'Funnel setup'!$K$5,".",IF(A2827=".",1,A2827+1))</f>
        <v>.</v>
      </c>
      <c r="B2828" s="431" t="str">
        <f t="shared" si="44"/>
        <v>Hip Replacement RevisionCCG of GP PracticeNHS SOUTH LINCOLNSHIRE CCG (99D)EQ-5D Index</v>
      </c>
      <c r="C2828" t="s">
        <v>247</v>
      </c>
      <c r="D2828" t="s">
        <v>87</v>
      </c>
      <c r="E2828" t="s">
        <v>848</v>
      </c>
      <c r="F2828" t="s">
        <v>849</v>
      </c>
      <c r="G2828" t="s">
        <v>52</v>
      </c>
      <c r="H2828" t="s">
        <v>53</v>
      </c>
      <c r="I2828" t="s">
        <v>53</v>
      </c>
      <c r="J2828" t="s">
        <v>53</v>
      </c>
      <c r="K2828" t="s">
        <v>53</v>
      </c>
      <c r="L2828" t="s">
        <v>53</v>
      </c>
      <c r="M2828" t="s">
        <v>53</v>
      </c>
      <c r="N2828" t="s">
        <v>53</v>
      </c>
      <c r="O2828" t="s">
        <v>53</v>
      </c>
      <c r="P2828" t="s">
        <v>53</v>
      </c>
      <c r="Q2828" t="s">
        <v>53</v>
      </c>
    </row>
    <row r="2829" spans="1:17" x14ac:dyDescent="0.2">
      <c r="A2829" s="30" t="str">
        <f>IF(C2829&amp;G2829&amp;D2829&lt;&gt;'Funnel setup'!$K$3&amp;'Funnel setup'!$K$4&amp;'Funnel setup'!$K$5,".",IF(A2828=".",1,A2828+1))</f>
        <v>.</v>
      </c>
      <c r="B2829" s="431" t="str">
        <f t="shared" si="44"/>
        <v>Hip Replacement RevisionCCG of GP PracticeNHS SOUTH MANCHESTER CCG (01N)EQ-5D Index</v>
      </c>
      <c r="C2829" t="s">
        <v>247</v>
      </c>
      <c r="D2829" t="s">
        <v>87</v>
      </c>
      <c r="E2829" t="s">
        <v>851</v>
      </c>
      <c r="F2829" t="s">
        <v>852</v>
      </c>
      <c r="G2829" t="s">
        <v>52</v>
      </c>
      <c r="H2829" t="s">
        <v>53</v>
      </c>
      <c r="I2829" t="s">
        <v>53</v>
      </c>
      <c r="J2829" t="s">
        <v>53</v>
      </c>
      <c r="K2829" t="s">
        <v>53</v>
      </c>
      <c r="L2829" t="s">
        <v>53</v>
      </c>
      <c r="M2829" t="s">
        <v>53</v>
      </c>
      <c r="N2829" t="s">
        <v>53</v>
      </c>
      <c r="O2829" t="s">
        <v>53</v>
      </c>
      <c r="P2829" t="s">
        <v>53</v>
      </c>
      <c r="Q2829" t="s">
        <v>53</v>
      </c>
    </row>
    <row r="2830" spans="1:17" x14ac:dyDescent="0.2">
      <c r="A2830" s="30" t="str">
        <f>IF(C2830&amp;G2830&amp;D2830&lt;&gt;'Funnel setup'!$K$3&amp;'Funnel setup'!$K$4&amp;'Funnel setup'!$K$5,".",IF(A2829=".",1,A2829+1))</f>
        <v>.</v>
      </c>
      <c r="B2830" s="431" t="str">
        <f t="shared" si="44"/>
        <v>Hip Replacement RevisionCCG of GP PracticeNHS SOUTH NORFOLK CCG (06Y)EQ-5D Index</v>
      </c>
      <c r="C2830" t="s">
        <v>247</v>
      </c>
      <c r="D2830" t="s">
        <v>87</v>
      </c>
      <c r="E2830" t="s">
        <v>932</v>
      </c>
      <c r="F2830" t="s">
        <v>933</v>
      </c>
      <c r="G2830" t="s">
        <v>52</v>
      </c>
      <c r="H2830">
        <v>15</v>
      </c>
      <c r="I2830">
        <v>0.56000000000000005</v>
      </c>
      <c r="J2830">
        <v>0.80800000000000005</v>
      </c>
      <c r="K2830">
        <v>0.249</v>
      </c>
      <c r="L2830">
        <v>11</v>
      </c>
      <c r="M2830">
        <v>2</v>
      </c>
      <c r="N2830">
        <v>2</v>
      </c>
      <c r="O2830" t="s">
        <v>53</v>
      </c>
      <c r="P2830" t="s">
        <v>53</v>
      </c>
      <c r="Q2830" t="s">
        <v>53</v>
      </c>
    </row>
    <row r="2831" spans="1:17" x14ac:dyDescent="0.2">
      <c r="A2831" s="30" t="str">
        <f>IF(C2831&amp;G2831&amp;D2831&lt;&gt;'Funnel setup'!$K$3&amp;'Funnel setup'!$K$4&amp;'Funnel setup'!$K$5,".",IF(A2830=".",1,A2830+1))</f>
        <v>.</v>
      </c>
      <c r="B2831" s="431" t="str">
        <f t="shared" si="44"/>
        <v>Hip Replacement RevisionCCG of GP PracticeNHS SOUTH READING CCG (10W)EQ-5D Index</v>
      </c>
      <c r="C2831" t="s">
        <v>247</v>
      </c>
      <c r="D2831" t="s">
        <v>87</v>
      </c>
      <c r="E2831" t="s">
        <v>935</v>
      </c>
      <c r="F2831" t="s">
        <v>936</v>
      </c>
      <c r="G2831" t="s">
        <v>52</v>
      </c>
      <c r="H2831" t="s">
        <v>53</v>
      </c>
      <c r="I2831" t="s">
        <v>53</v>
      </c>
      <c r="J2831" t="s">
        <v>53</v>
      </c>
      <c r="K2831" t="s">
        <v>53</v>
      </c>
      <c r="L2831" t="s">
        <v>53</v>
      </c>
      <c r="M2831" t="s">
        <v>53</v>
      </c>
      <c r="N2831" t="s">
        <v>53</v>
      </c>
      <c r="O2831" t="s">
        <v>53</v>
      </c>
      <c r="P2831" t="s">
        <v>53</v>
      </c>
      <c r="Q2831" t="s">
        <v>53</v>
      </c>
    </row>
    <row r="2832" spans="1:17" x14ac:dyDescent="0.2">
      <c r="A2832" s="30" t="str">
        <f>IF(C2832&amp;G2832&amp;D2832&lt;&gt;'Funnel setup'!$K$3&amp;'Funnel setup'!$K$4&amp;'Funnel setup'!$K$5,".",IF(A2831=".",1,A2831+1))</f>
        <v>.</v>
      </c>
      <c r="B2832" s="431" t="str">
        <f t="shared" si="44"/>
        <v>Hip Replacement RevisionCCG of GP PracticeNHS SOUTH SEFTON CCG (01T)EQ-5D Index</v>
      </c>
      <c r="C2832" t="s">
        <v>247</v>
      </c>
      <c r="D2832" t="s">
        <v>87</v>
      </c>
      <c r="E2832" t="s">
        <v>938</v>
      </c>
      <c r="F2832" t="s">
        <v>939</v>
      </c>
      <c r="G2832" t="s">
        <v>52</v>
      </c>
      <c r="H2832">
        <v>9</v>
      </c>
      <c r="I2832">
        <v>0.34100000000000003</v>
      </c>
      <c r="J2832">
        <v>0.55700000000000005</v>
      </c>
      <c r="K2832">
        <v>0.215</v>
      </c>
      <c r="L2832">
        <v>5</v>
      </c>
      <c r="M2832">
        <v>2</v>
      </c>
      <c r="N2832">
        <v>2</v>
      </c>
      <c r="O2832" t="s">
        <v>53</v>
      </c>
      <c r="P2832" t="s">
        <v>53</v>
      </c>
      <c r="Q2832" t="s">
        <v>53</v>
      </c>
    </row>
    <row r="2833" spans="1:17" x14ac:dyDescent="0.2">
      <c r="A2833" s="30" t="str">
        <f>IF(C2833&amp;G2833&amp;D2833&lt;&gt;'Funnel setup'!$K$3&amp;'Funnel setup'!$K$4&amp;'Funnel setup'!$K$5,".",IF(A2832=".",1,A2832+1))</f>
        <v>.</v>
      </c>
      <c r="B2833" s="431" t="str">
        <f t="shared" si="44"/>
        <v>Hip Replacement RevisionCCG of GP PracticeNHS SOUTH TEES CCG (00M)EQ-5D Index</v>
      </c>
      <c r="C2833" t="s">
        <v>247</v>
      </c>
      <c r="D2833" t="s">
        <v>87</v>
      </c>
      <c r="E2833" t="s">
        <v>941</v>
      </c>
      <c r="F2833" t="s">
        <v>942</v>
      </c>
      <c r="G2833" t="s">
        <v>52</v>
      </c>
      <c r="H2833">
        <v>17</v>
      </c>
      <c r="I2833">
        <v>0.435</v>
      </c>
      <c r="J2833">
        <v>0.59399999999999997</v>
      </c>
      <c r="K2833">
        <v>0.159</v>
      </c>
      <c r="L2833">
        <v>8</v>
      </c>
      <c r="M2833">
        <v>4</v>
      </c>
      <c r="N2833">
        <v>5</v>
      </c>
      <c r="O2833" t="s">
        <v>53</v>
      </c>
      <c r="P2833" t="s">
        <v>53</v>
      </c>
      <c r="Q2833" t="s">
        <v>53</v>
      </c>
    </row>
    <row r="2834" spans="1:17" x14ac:dyDescent="0.2">
      <c r="A2834" s="30" t="str">
        <f>IF(C2834&amp;G2834&amp;D2834&lt;&gt;'Funnel setup'!$K$3&amp;'Funnel setup'!$K$4&amp;'Funnel setup'!$K$5,".",IF(A2833=".",1,A2833+1))</f>
        <v>.</v>
      </c>
      <c r="B2834" s="431" t="str">
        <f t="shared" si="44"/>
        <v>Hip Replacement RevisionCCG of GP PracticeNHS SOUTH TYNESIDE CCG (00N)EQ-5D Index</v>
      </c>
      <c r="C2834" t="s">
        <v>247</v>
      </c>
      <c r="D2834" t="s">
        <v>87</v>
      </c>
      <c r="E2834" t="s">
        <v>1016</v>
      </c>
      <c r="F2834" t="s">
        <v>1017</v>
      </c>
      <c r="G2834" t="s">
        <v>52</v>
      </c>
      <c r="H2834" t="s">
        <v>53</v>
      </c>
      <c r="I2834" t="s">
        <v>53</v>
      </c>
      <c r="J2834" t="s">
        <v>53</v>
      </c>
      <c r="K2834" t="s">
        <v>53</v>
      </c>
      <c r="L2834" t="s">
        <v>53</v>
      </c>
      <c r="M2834" t="s">
        <v>53</v>
      </c>
      <c r="N2834" t="s">
        <v>53</v>
      </c>
      <c r="O2834" t="s">
        <v>53</v>
      </c>
      <c r="P2834" t="s">
        <v>53</v>
      </c>
      <c r="Q2834" t="s">
        <v>53</v>
      </c>
    </row>
    <row r="2835" spans="1:17" x14ac:dyDescent="0.2">
      <c r="A2835" s="30" t="str">
        <f>IF(C2835&amp;G2835&amp;D2835&lt;&gt;'Funnel setup'!$K$3&amp;'Funnel setup'!$K$4&amp;'Funnel setup'!$K$5,".",IF(A2834=".",1,A2834+1))</f>
        <v>.</v>
      </c>
      <c r="B2835" s="431" t="str">
        <f t="shared" si="44"/>
        <v>Hip Replacement RevisionCCG of GP PracticeNHS SOUTH WARWICKSHIRE CCG (05R)EQ-5D Index</v>
      </c>
      <c r="C2835" t="s">
        <v>247</v>
      </c>
      <c r="D2835" t="s">
        <v>87</v>
      </c>
      <c r="E2835" t="s">
        <v>944</v>
      </c>
      <c r="F2835" t="s">
        <v>945</v>
      </c>
      <c r="G2835" t="s">
        <v>52</v>
      </c>
      <c r="H2835">
        <v>14</v>
      </c>
      <c r="I2835">
        <v>0.45600000000000002</v>
      </c>
      <c r="J2835">
        <v>0.65300000000000002</v>
      </c>
      <c r="K2835">
        <v>0.19700000000000001</v>
      </c>
      <c r="L2835">
        <v>11</v>
      </c>
      <c r="M2835">
        <v>2</v>
      </c>
      <c r="N2835">
        <v>1</v>
      </c>
      <c r="O2835" t="s">
        <v>53</v>
      </c>
      <c r="P2835" t="s">
        <v>53</v>
      </c>
      <c r="Q2835" t="s">
        <v>53</v>
      </c>
    </row>
    <row r="2836" spans="1:17" x14ac:dyDescent="0.2">
      <c r="A2836" s="30" t="str">
        <f>IF(C2836&amp;G2836&amp;D2836&lt;&gt;'Funnel setup'!$K$3&amp;'Funnel setup'!$K$4&amp;'Funnel setup'!$K$5,".",IF(A2835=".",1,A2835+1))</f>
        <v>.</v>
      </c>
      <c r="B2836" s="431" t="str">
        <f t="shared" si="44"/>
        <v>Hip Replacement RevisionCCG of GP PracticeNHS SOUTH WEST LINCOLNSHIRE CCG (04Q)EQ-5D Index</v>
      </c>
      <c r="C2836" t="s">
        <v>247</v>
      </c>
      <c r="D2836" t="s">
        <v>87</v>
      </c>
      <c r="E2836" t="s">
        <v>947</v>
      </c>
      <c r="F2836" t="s">
        <v>948</v>
      </c>
      <c r="G2836" t="s">
        <v>52</v>
      </c>
      <c r="H2836" t="s">
        <v>53</v>
      </c>
      <c r="I2836" t="s">
        <v>53</v>
      </c>
      <c r="J2836" t="s">
        <v>53</v>
      </c>
      <c r="K2836" t="s">
        <v>53</v>
      </c>
      <c r="L2836" t="s">
        <v>53</v>
      </c>
      <c r="M2836" t="s">
        <v>53</v>
      </c>
      <c r="N2836" t="s">
        <v>53</v>
      </c>
      <c r="O2836" t="s">
        <v>53</v>
      </c>
      <c r="P2836" t="s">
        <v>53</v>
      </c>
      <c r="Q2836" t="s">
        <v>53</v>
      </c>
    </row>
    <row r="2837" spans="1:17" x14ac:dyDescent="0.2">
      <c r="A2837" s="30" t="str">
        <f>IF(C2837&amp;G2837&amp;D2837&lt;&gt;'Funnel setup'!$K$3&amp;'Funnel setup'!$K$4&amp;'Funnel setup'!$K$5,".",IF(A2836=".",1,A2836+1))</f>
        <v>.</v>
      </c>
      <c r="B2837" s="431" t="str">
        <f t="shared" si="44"/>
        <v>Hip Replacement RevisionCCG of GP PracticeNHS SOUTH WORCESTERSHIRE CCG (05T)EQ-5D Index</v>
      </c>
      <c r="C2837" t="s">
        <v>247</v>
      </c>
      <c r="D2837" t="s">
        <v>87</v>
      </c>
      <c r="E2837" t="s">
        <v>950</v>
      </c>
      <c r="F2837" t="s">
        <v>951</v>
      </c>
      <c r="G2837" t="s">
        <v>52</v>
      </c>
      <c r="H2837">
        <v>15</v>
      </c>
      <c r="I2837">
        <v>0.33600000000000002</v>
      </c>
      <c r="J2837">
        <v>0.68700000000000006</v>
      </c>
      <c r="K2837">
        <v>0.35099999999999998</v>
      </c>
      <c r="L2837">
        <v>11</v>
      </c>
      <c r="M2837">
        <v>2</v>
      </c>
      <c r="N2837">
        <v>2</v>
      </c>
      <c r="O2837" t="s">
        <v>53</v>
      </c>
      <c r="P2837" t="s">
        <v>53</v>
      </c>
      <c r="Q2837" t="s">
        <v>53</v>
      </c>
    </row>
    <row r="2838" spans="1:17" x14ac:dyDescent="0.2">
      <c r="A2838" s="30" t="str">
        <f>IF(C2838&amp;G2838&amp;D2838&lt;&gt;'Funnel setup'!$K$3&amp;'Funnel setup'!$K$4&amp;'Funnel setup'!$K$5,".",IF(A2837=".",1,A2837+1))</f>
        <v>.</v>
      </c>
      <c r="B2838" s="431" t="str">
        <f t="shared" si="44"/>
        <v>Hip Replacement RevisionCCG of GP PracticeNHS SOUTHAMPTON CCG (10X)EQ-5D Index</v>
      </c>
      <c r="C2838" t="s">
        <v>247</v>
      </c>
      <c r="D2838" t="s">
        <v>87</v>
      </c>
      <c r="E2838" t="s">
        <v>953</v>
      </c>
      <c r="F2838" t="s">
        <v>954</v>
      </c>
      <c r="G2838" t="s">
        <v>52</v>
      </c>
      <c r="H2838">
        <v>12</v>
      </c>
      <c r="I2838">
        <v>0.378</v>
      </c>
      <c r="J2838">
        <v>0.69199999999999995</v>
      </c>
      <c r="K2838">
        <v>0.315</v>
      </c>
      <c r="L2838">
        <v>7</v>
      </c>
      <c r="M2838">
        <v>1</v>
      </c>
      <c r="N2838">
        <v>4</v>
      </c>
      <c r="O2838" t="s">
        <v>53</v>
      </c>
      <c r="P2838" t="s">
        <v>53</v>
      </c>
      <c r="Q2838" t="s">
        <v>53</v>
      </c>
    </row>
    <row r="2839" spans="1:17" x14ac:dyDescent="0.2">
      <c r="A2839" s="30" t="str">
        <f>IF(C2839&amp;G2839&amp;D2839&lt;&gt;'Funnel setup'!$K$3&amp;'Funnel setup'!$K$4&amp;'Funnel setup'!$K$5,".",IF(A2838=".",1,A2838+1))</f>
        <v>.</v>
      </c>
      <c r="B2839" s="431" t="str">
        <f t="shared" si="44"/>
        <v>Hip Replacement RevisionCCG of GP PracticeNHS SOUTHEND CCG (99G)EQ-5D Index</v>
      </c>
      <c r="C2839" t="s">
        <v>247</v>
      </c>
      <c r="D2839" t="s">
        <v>87</v>
      </c>
      <c r="E2839" t="s">
        <v>956</v>
      </c>
      <c r="F2839" t="s">
        <v>957</v>
      </c>
      <c r="G2839" t="s">
        <v>52</v>
      </c>
      <c r="H2839" t="s">
        <v>53</v>
      </c>
      <c r="I2839" t="s">
        <v>53</v>
      </c>
      <c r="J2839" t="s">
        <v>53</v>
      </c>
      <c r="K2839" t="s">
        <v>53</v>
      </c>
      <c r="L2839" t="s">
        <v>53</v>
      </c>
      <c r="M2839" t="s">
        <v>53</v>
      </c>
      <c r="N2839" t="s">
        <v>53</v>
      </c>
      <c r="O2839" t="s">
        <v>53</v>
      </c>
      <c r="P2839" t="s">
        <v>53</v>
      </c>
      <c r="Q2839" t="s">
        <v>53</v>
      </c>
    </row>
    <row r="2840" spans="1:17" x14ac:dyDescent="0.2">
      <c r="A2840" s="30" t="str">
        <f>IF(C2840&amp;G2840&amp;D2840&lt;&gt;'Funnel setup'!$K$3&amp;'Funnel setup'!$K$4&amp;'Funnel setup'!$K$5,".",IF(A2839=".",1,A2839+1))</f>
        <v>.</v>
      </c>
      <c r="B2840" s="431" t="str">
        <f t="shared" si="44"/>
        <v>Hip Replacement RevisionCCG of GP PracticeNHS SOUTHERN DERBYSHIRE CCG (04R)EQ-5D Index</v>
      </c>
      <c r="C2840" t="s">
        <v>247</v>
      </c>
      <c r="D2840" t="s">
        <v>87</v>
      </c>
      <c r="E2840" t="s">
        <v>959</v>
      </c>
      <c r="F2840" t="s">
        <v>960</v>
      </c>
      <c r="G2840" t="s">
        <v>52</v>
      </c>
      <c r="H2840">
        <v>23</v>
      </c>
      <c r="I2840">
        <v>0.48299999999999998</v>
      </c>
      <c r="J2840">
        <v>0.63500000000000001</v>
      </c>
      <c r="K2840">
        <v>0.152</v>
      </c>
      <c r="L2840">
        <v>15</v>
      </c>
      <c r="M2840">
        <v>3</v>
      </c>
      <c r="N2840">
        <v>5</v>
      </c>
      <c r="O2840" t="s">
        <v>53</v>
      </c>
      <c r="P2840" t="s">
        <v>53</v>
      </c>
      <c r="Q2840" t="s">
        <v>53</v>
      </c>
    </row>
    <row r="2841" spans="1:17" x14ac:dyDescent="0.2">
      <c r="A2841" s="30" t="str">
        <f>IF(C2841&amp;G2841&amp;D2841&lt;&gt;'Funnel setup'!$K$3&amp;'Funnel setup'!$K$4&amp;'Funnel setup'!$K$5,".",IF(A2840=".",1,A2840+1))</f>
        <v>.</v>
      </c>
      <c r="B2841" s="431" t="str">
        <f t="shared" si="44"/>
        <v>Hip Replacement RevisionCCG of GP PracticeNHS SOUTHPORT AND FORMBY CCG (01V)EQ-5D Index</v>
      </c>
      <c r="C2841" t="s">
        <v>247</v>
      </c>
      <c r="D2841" t="s">
        <v>87</v>
      </c>
      <c r="E2841" t="s">
        <v>962</v>
      </c>
      <c r="F2841" t="s">
        <v>963</v>
      </c>
      <c r="G2841" t="s">
        <v>52</v>
      </c>
      <c r="H2841" t="s">
        <v>53</v>
      </c>
      <c r="I2841" t="s">
        <v>53</v>
      </c>
      <c r="J2841" t="s">
        <v>53</v>
      </c>
      <c r="K2841" t="s">
        <v>53</v>
      </c>
      <c r="L2841" t="s">
        <v>53</v>
      </c>
      <c r="M2841" t="s">
        <v>53</v>
      </c>
      <c r="N2841" t="s">
        <v>53</v>
      </c>
      <c r="O2841" t="s">
        <v>53</v>
      </c>
      <c r="P2841" t="s">
        <v>53</v>
      </c>
      <c r="Q2841" t="s">
        <v>53</v>
      </c>
    </row>
    <row r="2842" spans="1:17" x14ac:dyDescent="0.2">
      <c r="A2842" s="30" t="str">
        <f>IF(C2842&amp;G2842&amp;D2842&lt;&gt;'Funnel setup'!$K$3&amp;'Funnel setup'!$K$4&amp;'Funnel setup'!$K$5,".",IF(A2841=".",1,A2841+1))</f>
        <v>.</v>
      </c>
      <c r="B2842" s="431" t="str">
        <f t="shared" si="44"/>
        <v>Hip Replacement RevisionCCG of GP PracticeNHS SOUTHWARK CCG (08Q)EQ-5D Index</v>
      </c>
      <c r="C2842" t="s">
        <v>247</v>
      </c>
      <c r="D2842" t="s">
        <v>87</v>
      </c>
      <c r="E2842" t="s">
        <v>965</v>
      </c>
      <c r="F2842" t="s">
        <v>966</v>
      </c>
      <c r="G2842" t="s">
        <v>52</v>
      </c>
      <c r="H2842" t="s">
        <v>53</v>
      </c>
      <c r="I2842" t="s">
        <v>53</v>
      </c>
      <c r="J2842" t="s">
        <v>53</v>
      </c>
      <c r="K2842" t="s">
        <v>53</v>
      </c>
      <c r="L2842" t="s">
        <v>53</v>
      </c>
      <c r="M2842" t="s">
        <v>53</v>
      </c>
      <c r="N2842" t="s">
        <v>53</v>
      </c>
      <c r="O2842" t="s">
        <v>53</v>
      </c>
      <c r="P2842" t="s">
        <v>53</v>
      </c>
      <c r="Q2842" t="s">
        <v>53</v>
      </c>
    </row>
    <row r="2843" spans="1:17" x14ac:dyDescent="0.2">
      <c r="A2843" s="30" t="str">
        <f>IF(C2843&amp;G2843&amp;D2843&lt;&gt;'Funnel setup'!$K$3&amp;'Funnel setup'!$K$4&amp;'Funnel setup'!$K$5,".",IF(A2842=".",1,A2842+1))</f>
        <v>.</v>
      </c>
      <c r="B2843" s="431" t="str">
        <f t="shared" si="44"/>
        <v>Hip Replacement RevisionCCG of GP PracticeNHS ST HELENS CCG (01X)EQ-5D Index</v>
      </c>
      <c r="C2843" t="s">
        <v>247</v>
      </c>
      <c r="D2843" t="s">
        <v>87</v>
      </c>
      <c r="E2843" t="s">
        <v>968</v>
      </c>
      <c r="F2843" t="s">
        <v>969</v>
      </c>
      <c r="G2843" t="s">
        <v>52</v>
      </c>
      <c r="H2843">
        <v>13</v>
      </c>
      <c r="I2843">
        <v>0.34200000000000003</v>
      </c>
      <c r="J2843">
        <v>0.46300000000000002</v>
      </c>
      <c r="K2843">
        <v>0.121</v>
      </c>
      <c r="L2843">
        <v>8</v>
      </c>
      <c r="M2843">
        <v>0</v>
      </c>
      <c r="N2843">
        <v>5</v>
      </c>
      <c r="O2843" t="s">
        <v>53</v>
      </c>
      <c r="P2843" t="s">
        <v>53</v>
      </c>
      <c r="Q2843" t="s">
        <v>53</v>
      </c>
    </row>
    <row r="2844" spans="1:17" x14ac:dyDescent="0.2">
      <c r="A2844" s="30" t="str">
        <f>IF(C2844&amp;G2844&amp;D2844&lt;&gt;'Funnel setup'!$K$3&amp;'Funnel setup'!$K$4&amp;'Funnel setup'!$K$5,".",IF(A2843=".",1,A2843+1))</f>
        <v>.</v>
      </c>
      <c r="B2844" s="431" t="str">
        <f t="shared" si="44"/>
        <v>Hip Replacement RevisionCCG of GP PracticeNHS STAFFORD AND SURROUNDS CCG (05V)EQ-5D Index</v>
      </c>
      <c r="C2844" t="s">
        <v>247</v>
      </c>
      <c r="D2844" t="s">
        <v>87</v>
      </c>
      <c r="E2844" t="s">
        <v>971</v>
      </c>
      <c r="F2844" t="s">
        <v>972</v>
      </c>
      <c r="G2844" t="s">
        <v>52</v>
      </c>
      <c r="H2844">
        <v>11</v>
      </c>
      <c r="I2844">
        <v>0.34599999999999997</v>
      </c>
      <c r="J2844">
        <v>0.63100000000000001</v>
      </c>
      <c r="K2844">
        <v>0.28399999999999997</v>
      </c>
      <c r="L2844">
        <v>9</v>
      </c>
      <c r="M2844">
        <v>0</v>
      </c>
      <c r="N2844">
        <v>2</v>
      </c>
      <c r="O2844" t="s">
        <v>53</v>
      </c>
      <c r="P2844" t="s">
        <v>53</v>
      </c>
      <c r="Q2844" t="s">
        <v>53</v>
      </c>
    </row>
    <row r="2845" spans="1:17" x14ac:dyDescent="0.2">
      <c r="A2845" s="30" t="str">
        <f>IF(C2845&amp;G2845&amp;D2845&lt;&gt;'Funnel setup'!$K$3&amp;'Funnel setup'!$K$4&amp;'Funnel setup'!$K$5,".",IF(A2844=".",1,A2844+1))</f>
        <v>.</v>
      </c>
      <c r="B2845" s="431" t="str">
        <f t="shared" si="44"/>
        <v>Hip Replacement RevisionCCG of GP PracticeNHS STOCKPORT CCG (01W)EQ-5D Index</v>
      </c>
      <c r="C2845" t="s">
        <v>247</v>
      </c>
      <c r="D2845" t="s">
        <v>87</v>
      </c>
      <c r="E2845" t="s">
        <v>974</v>
      </c>
      <c r="F2845" t="s">
        <v>975</v>
      </c>
      <c r="G2845" t="s">
        <v>52</v>
      </c>
      <c r="H2845" t="s">
        <v>53</v>
      </c>
      <c r="I2845" t="s">
        <v>53</v>
      </c>
      <c r="J2845" t="s">
        <v>53</v>
      </c>
      <c r="K2845" t="s">
        <v>53</v>
      </c>
      <c r="L2845" t="s">
        <v>53</v>
      </c>
      <c r="M2845" t="s">
        <v>53</v>
      </c>
      <c r="N2845" t="s">
        <v>53</v>
      </c>
      <c r="O2845" t="s">
        <v>53</v>
      </c>
      <c r="P2845" t="s">
        <v>53</v>
      </c>
      <c r="Q2845" t="s">
        <v>53</v>
      </c>
    </row>
    <row r="2846" spans="1:17" x14ac:dyDescent="0.2">
      <c r="A2846" s="30" t="str">
        <f>IF(C2846&amp;G2846&amp;D2846&lt;&gt;'Funnel setup'!$K$3&amp;'Funnel setup'!$K$4&amp;'Funnel setup'!$K$5,".",IF(A2845=".",1,A2845+1))</f>
        <v>.</v>
      </c>
      <c r="B2846" s="431" t="str">
        <f t="shared" si="44"/>
        <v>Hip Replacement RevisionCCG of GP PracticeNHS STOKE ON TRENT CCG (05W)EQ-5D Index</v>
      </c>
      <c r="C2846" t="s">
        <v>247</v>
      </c>
      <c r="D2846" t="s">
        <v>87</v>
      </c>
      <c r="E2846" t="s">
        <v>977</v>
      </c>
      <c r="F2846" t="s">
        <v>978</v>
      </c>
      <c r="G2846" t="s">
        <v>52</v>
      </c>
      <c r="H2846" t="s">
        <v>53</v>
      </c>
      <c r="I2846" t="s">
        <v>53</v>
      </c>
      <c r="J2846" t="s">
        <v>53</v>
      </c>
      <c r="K2846" t="s">
        <v>53</v>
      </c>
      <c r="L2846" t="s">
        <v>53</v>
      </c>
      <c r="M2846" t="s">
        <v>53</v>
      </c>
      <c r="N2846" t="s">
        <v>53</v>
      </c>
      <c r="O2846" t="s">
        <v>53</v>
      </c>
      <c r="P2846" t="s">
        <v>53</v>
      </c>
      <c r="Q2846" t="s">
        <v>53</v>
      </c>
    </row>
    <row r="2847" spans="1:17" x14ac:dyDescent="0.2">
      <c r="A2847" s="30" t="str">
        <f>IF(C2847&amp;G2847&amp;D2847&lt;&gt;'Funnel setup'!$K$3&amp;'Funnel setup'!$K$4&amp;'Funnel setup'!$K$5,".",IF(A2846=".",1,A2846+1))</f>
        <v>.</v>
      </c>
      <c r="B2847" s="431" t="str">
        <f t="shared" si="44"/>
        <v>Hip Replacement RevisionCCG of GP PracticeNHS SUNDERLAND CCG (00P)EQ-5D Index</v>
      </c>
      <c r="C2847" t="s">
        <v>247</v>
      </c>
      <c r="D2847" t="s">
        <v>87</v>
      </c>
      <c r="E2847" t="s">
        <v>980</v>
      </c>
      <c r="F2847" t="s">
        <v>981</v>
      </c>
      <c r="G2847" t="s">
        <v>52</v>
      </c>
      <c r="H2847">
        <v>8</v>
      </c>
      <c r="I2847">
        <v>0.377</v>
      </c>
      <c r="J2847">
        <v>0.55100000000000005</v>
      </c>
      <c r="K2847">
        <v>0.17499999999999999</v>
      </c>
      <c r="L2847">
        <v>4</v>
      </c>
      <c r="M2847">
        <v>3</v>
      </c>
      <c r="N2847">
        <v>1</v>
      </c>
      <c r="O2847" t="s">
        <v>53</v>
      </c>
      <c r="P2847" t="s">
        <v>53</v>
      </c>
      <c r="Q2847" t="s">
        <v>53</v>
      </c>
    </row>
    <row r="2848" spans="1:17" x14ac:dyDescent="0.2">
      <c r="A2848" s="30" t="str">
        <f>IF(C2848&amp;G2848&amp;D2848&lt;&gt;'Funnel setup'!$K$3&amp;'Funnel setup'!$K$4&amp;'Funnel setup'!$K$5,".",IF(A2847=".",1,A2847+1))</f>
        <v>.</v>
      </c>
      <c r="B2848" s="431" t="str">
        <f t="shared" si="44"/>
        <v>Hip Replacement RevisionCCG of GP PracticeNHS SURREY DOWNS CCG (99H)EQ-5D Index</v>
      </c>
      <c r="C2848" t="s">
        <v>247</v>
      </c>
      <c r="D2848" t="s">
        <v>87</v>
      </c>
      <c r="E2848" t="s">
        <v>983</v>
      </c>
      <c r="F2848" t="s">
        <v>984</v>
      </c>
      <c r="G2848" t="s">
        <v>52</v>
      </c>
      <c r="H2848">
        <v>15</v>
      </c>
      <c r="I2848">
        <v>0.45</v>
      </c>
      <c r="J2848">
        <v>0.63500000000000001</v>
      </c>
      <c r="K2848">
        <v>0.184</v>
      </c>
      <c r="L2848">
        <v>9</v>
      </c>
      <c r="M2848">
        <v>5</v>
      </c>
      <c r="N2848">
        <v>1</v>
      </c>
      <c r="O2848" t="s">
        <v>53</v>
      </c>
      <c r="P2848" t="s">
        <v>53</v>
      </c>
      <c r="Q2848" t="s">
        <v>53</v>
      </c>
    </row>
    <row r="2849" spans="1:17" x14ac:dyDescent="0.2">
      <c r="A2849" s="30" t="str">
        <f>IF(C2849&amp;G2849&amp;D2849&lt;&gt;'Funnel setup'!$K$3&amp;'Funnel setup'!$K$4&amp;'Funnel setup'!$K$5,".",IF(A2848=".",1,A2848+1))</f>
        <v>.</v>
      </c>
      <c r="B2849" s="431" t="str">
        <f t="shared" si="44"/>
        <v>Hip Replacement RevisionCCG of GP PracticeNHS SURREY HEATH CCG (10C)EQ-5D Index</v>
      </c>
      <c r="C2849" t="s">
        <v>247</v>
      </c>
      <c r="D2849" t="s">
        <v>87</v>
      </c>
      <c r="E2849" t="s">
        <v>986</v>
      </c>
      <c r="F2849" t="s">
        <v>987</v>
      </c>
      <c r="G2849" t="s">
        <v>52</v>
      </c>
      <c r="H2849">
        <v>6</v>
      </c>
      <c r="I2849">
        <v>0.41699999999999998</v>
      </c>
      <c r="J2849">
        <v>0.75700000000000001</v>
      </c>
      <c r="K2849">
        <v>0.34</v>
      </c>
      <c r="L2849">
        <v>5</v>
      </c>
      <c r="M2849">
        <v>0</v>
      </c>
      <c r="N2849">
        <v>1</v>
      </c>
      <c r="O2849" t="s">
        <v>53</v>
      </c>
      <c r="P2849" t="s">
        <v>53</v>
      </c>
      <c r="Q2849" t="s">
        <v>53</v>
      </c>
    </row>
    <row r="2850" spans="1:17" x14ac:dyDescent="0.2">
      <c r="A2850" s="30" t="str">
        <f>IF(C2850&amp;G2850&amp;D2850&lt;&gt;'Funnel setup'!$K$3&amp;'Funnel setup'!$K$4&amp;'Funnel setup'!$K$5,".",IF(A2849=".",1,A2849+1))</f>
        <v>.</v>
      </c>
      <c r="B2850" s="431" t="str">
        <f t="shared" si="44"/>
        <v>Hip Replacement RevisionCCG of GP PracticeNHS SUTTON CCG (08T)EQ-5D Index</v>
      </c>
      <c r="C2850" t="s">
        <v>247</v>
      </c>
      <c r="D2850" t="s">
        <v>87</v>
      </c>
      <c r="E2850" t="s">
        <v>989</v>
      </c>
      <c r="F2850" t="s">
        <v>990</v>
      </c>
      <c r="G2850" t="s">
        <v>52</v>
      </c>
      <c r="H2850" t="s">
        <v>53</v>
      </c>
      <c r="I2850" t="s">
        <v>53</v>
      </c>
      <c r="J2850" t="s">
        <v>53</v>
      </c>
      <c r="K2850" t="s">
        <v>53</v>
      </c>
      <c r="L2850" t="s">
        <v>53</v>
      </c>
      <c r="M2850" t="s">
        <v>53</v>
      </c>
      <c r="N2850" t="s">
        <v>53</v>
      </c>
      <c r="O2850" t="s">
        <v>53</v>
      </c>
      <c r="P2850" t="s">
        <v>53</v>
      </c>
      <c r="Q2850" t="s">
        <v>53</v>
      </c>
    </row>
    <row r="2851" spans="1:17" x14ac:dyDescent="0.2">
      <c r="A2851" s="30" t="str">
        <f>IF(C2851&amp;G2851&amp;D2851&lt;&gt;'Funnel setup'!$K$3&amp;'Funnel setup'!$K$4&amp;'Funnel setup'!$K$5,".",IF(A2850=".",1,A2850+1))</f>
        <v>.</v>
      </c>
      <c r="B2851" s="431" t="str">
        <f t="shared" si="44"/>
        <v>Hip Replacement RevisionCCG of GP PracticeNHS SWALE CCG (10D)EQ-5D Index</v>
      </c>
      <c r="C2851" t="s">
        <v>247</v>
      </c>
      <c r="D2851" t="s">
        <v>87</v>
      </c>
      <c r="E2851" t="s">
        <v>992</v>
      </c>
      <c r="F2851" t="s">
        <v>993</v>
      </c>
      <c r="G2851" t="s">
        <v>52</v>
      </c>
      <c r="H2851">
        <v>8</v>
      </c>
      <c r="I2851">
        <v>0.44800000000000001</v>
      </c>
      <c r="J2851">
        <v>0.68400000000000005</v>
      </c>
      <c r="K2851">
        <v>0.23599999999999999</v>
      </c>
      <c r="L2851">
        <v>6</v>
      </c>
      <c r="M2851">
        <v>0</v>
      </c>
      <c r="N2851">
        <v>2</v>
      </c>
      <c r="O2851" t="s">
        <v>53</v>
      </c>
      <c r="P2851" t="s">
        <v>53</v>
      </c>
      <c r="Q2851" t="s">
        <v>53</v>
      </c>
    </row>
    <row r="2852" spans="1:17" x14ac:dyDescent="0.2">
      <c r="A2852" s="30" t="str">
        <f>IF(C2852&amp;G2852&amp;D2852&lt;&gt;'Funnel setup'!$K$3&amp;'Funnel setup'!$K$4&amp;'Funnel setup'!$K$5,".",IF(A2851=".",1,A2851+1))</f>
        <v>.</v>
      </c>
      <c r="B2852" s="431" t="str">
        <f t="shared" si="44"/>
        <v>Hip Replacement RevisionCCG of GP PracticeNHS SWINDON CCG (12D)EQ-5D Index</v>
      </c>
      <c r="C2852" t="s">
        <v>247</v>
      </c>
      <c r="D2852" t="s">
        <v>87</v>
      </c>
      <c r="E2852" t="s">
        <v>995</v>
      </c>
      <c r="F2852" t="s">
        <v>996</v>
      </c>
      <c r="G2852" t="s">
        <v>52</v>
      </c>
      <c r="H2852">
        <v>9</v>
      </c>
      <c r="I2852">
        <v>0.29299999999999998</v>
      </c>
      <c r="J2852">
        <v>0.66700000000000004</v>
      </c>
      <c r="K2852">
        <v>0.373</v>
      </c>
      <c r="L2852">
        <v>8</v>
      </c>
      <c r="M2852">
        <v>0</v>
      </c>
      <c r="N2852">
        <v>1</v>
      </c>
      <c r="O2852" t="s">
        <v>53</v>
      </c>
      <c r="P2852" t="s">
        <v>53</v>
      </c>
      <c r="Q2852" t="s">
        <v>53</v>
      </c>
    </row>
    <row r="2853" spans="1:17" x14ac:dyDescent="0.2">
      <c r="A2853" s="30" t="str">
        <f>IF(C2853&amp;G2853&amp;D2853&lt;&gt;'Funnel setup'!$K$3&amp;'Funnel setup'!$K$4&amp;'Funnel setup'!$K$5,".",IF(A2852=".",1,A2852+1))</f>
        <v>.</v>
      </c>
      <c r="B2853" s="431" t="str">
        <f t="shared" si="44"/>
        <v>Hip Replacement RevisionCCG of GP PracticeNHS TELFORD AND WREKIN CCG (05X)EQ-5D Index</v>
      </c>
      <c r="C2853" t="s">
        <v>247</v>
      </c>
      <c r="D2853" t="s">
        <v>87</v>
      </c>
      <c r="E2853" t="s">
        <v>1001</v>
      </c>
      <c r="F2853" t="s">
        <v>1002</v>
      </c>
      <c r="G2853" t="s">
        <v>52</v>
      </c>
      <c r="H2853">
        <v>15</v>
      </c>
      <c r="I2853">
        <v>0.23</v>
      </c>
      <c r="J2853">
        <v>0.63600000000000001</v>
      </c>
      <c r="K2853">
        <v>0.40600000000000003</v>
      </c>
      <c r="L2853">
        <v>12</v>
      </c>
      <c r="M2853">
        <v>0</v>
      </c>
      <c r="N2853">
        <v>3</v>
      </c>
      <c r="O2853" t="s">
        <v>53</v>
      </c>
      <c r="P2853" t="s">
        <v>53</v>
      </c>
      <c r="Q2853" t="s">
        <v>53</v>
      </c>
    </row>
    <row r="2854" spans="1:17" x14ac:dyDescent="0.2">
      <c r="A2854" s="30" t="str">
        <f>IF(C2854&amp;G2854&amp;D2854&lt;&gt;'Funnel setup'!$K$3&amp;'Funnel setup'!$K$4&amp;'Funnel setup'!$K$5,".",IF(A2853=".",1,A2853+1))</f>
        <v>.</v>
      </c>
      <c r="B2854" s="431" t="str">
        <f t="shared" si="44"/>
        <v>Hip Replacement RevisionCCG of GP PracticeNHS THANET CCG (10E)EQ-5D Index</v>
      </c>
      <c r="C2854" t="s">
        <v>247</v>
      </c>
      <c r="D2854" t="s">
        <v>87</v>
      </c>
      <c r="E2854" t="s">
        <v>1004</v>
      </c>
      <c r="F2854" t="s">
        <v>1005</v>
      </c>
      <c r="G2854" t="s">
        <v>52</v>
      </c>
      <c r="H2854">
        <v>11</v>
      </c>
      <c r="I2854">
        <v>0.189</v>
      </c>
      <c r="J2854">
        <v>0.59099999999999997</v>
      </c>
      <c r="K2854">
        <v>0.40200000000000002</v>
      </c>
      <c r="L2854">
        <v>9</v>
      </c>
      <c r="M2854">
        <v>2</v>
      </c>
      <c r="N2854">
        <v>0</v>
      </c>
      <c r="O2854" t="s">
        <v>53</v>
      </c>
      <c r="P2854" t="s">
        <v>53</v>
      </c>
      <c r="Q2854" t="s">
        <v>53</v>
      </c>
    </row>
    <row r="2855" spans="1:17" x14ac:dyDescent="0.2">
      <c r="A2855" s="30" t="str">
        <f>IF(C2855&amp;G2855&amp;D2855&lt;&gt;'Funnel setup'!$K$3&amp;'Funnel setup'!$K$4&amp;'Funnel setup'!$K$5,".",IF(A2854=".",1,A2854+1))</f>
        <v>.</v>
      </c>
      <c r="B2855" s="431" t="str">
        <f t="shared" si="44"/>
        <v>Hip Replacement RevisionCCG of GP PracticeNHS THURROCK CCG (07G)EQ-5D Index</v>
      </c>
      <c r="C2855" t="s">
        <v>247</v>
      </c>
      <c r="D2855" t="s">
        <v>87</v>
      </c>
      <c r="E2855" t="s">
        <v>1007</v>
      </c>
      <c r="F2855" t="s">
        <v>1008</v>
      </c>
      <c r="G2855" t="s">
        <v>52</v>
      </c>
      <c r="H2855" t="s">
        <v>53</v>
      </c>
      <c r="I2855" t="s">
        <v>53</v>
      </c>
      <c r="J2855" t="s">
        <v>53</v>
      </c>
      <c r="K2855" t="s">
        <v>53</v>
      </c>
      <c r="L2855" t="s">
        <v>53</v>
      </c>
      <c r="M2855" t="s">
        <v>53</v>
      </c>
      <c r="N2855" t="s">
        <v>53</v>
      </c>
      <c r="O2855" t="s">
        <v>53</v>
      </c>
      <c r="P2855" t="s">
        <v>53</v>
      </c>
      <c r="Q2855" t="s">
        <v>53</v>
      </c>
    </row>
    <row r="2856" spans="1:17" x14ac:dyDescent="0.2">
      <c r="A2856" s="30" t="str">
        <f>IF(C2856&amp;G2856&amp;D2856&lt;&gt;'Funnel setup'!$K$3&amp;'Funnel setup'!$K$4&amp;'Funnel setup'!$K$5,".",IF(A2855=".",1,A2855+1))</f>
        <v>.</v>
      </c>
      <c r="B2856" s="431" t="str">
        <f t="shared" si="44"/>
        <v>Hip Replacement RevisionCCG of GP PracticeNHS TOWER HAMLETS CCG (08V)EQ-5D Index</v>
      </c>
      <c r="C2856" t="s">
        <v>247</v>
      </c>
      <c r="D2856" t="s">
        <v>87</v>
      </c>
      <c r="E2856" t="s">
        <v>1010</v>
      </c>
      <c r="F2856" t="s">
        <v>1011</v>
      </c>
      <c r="G2856" t="s">
        <v>52</v>
      </c>
      <c r="H2856" t="s">
        <v>53</v>
      </c>
      <c r="I2856" t="s">
        <v>53</v>
      </c>
      <c r="J2856" t="s">
        <v>53</v>
      </c>
      <c r="K2856" t="s">
        <v>53</v>
      </c>
      <c r="L2856" t="s">
        <v>53</v>
      </c>
      <c r="M2856" t="s">
        <v>53</v>
      </c>
      <c r="N2856" t="s">
        <v>53</v>
      </c>
      <c r="O2856" t="s">
        <v>53</v>
      </c>
      <c r="P2856" t="s">
        <v>53</v>
      </c>
      <c r="Q2856" t="s">
        <v>53</v>
      </c>
    </row>
    <row r="2857" spans="1:17" x14ac:dyDescent="0.2">
      <c r="A2857" s="30" t="str">
        <f>IF(C2857&amp;G2857&amp;D2857&lt;&gt;'Funnel setup'!$K$3&amp;'Funnel setup'!$K$4&amp;'Funnel setup'!$K$5,".",IF(A2856=".",1,A2856+1))</f>
        <v>.</v>
      </c>
      <c r="B2857" s="431" t="str">
        <f t="shared" si="44"/>
        <v>Hip Replacement RevisionCCG of GP PracticeNHS TRAFFORD CCG (02A)EQ-5D Index</v>
      </c>
      <c r="C2857" t="s">
        <v>247</v>
      </c>
      <c r="D2857" t="s">
        <v>87</v>
      </c>
      <c r="E2857" t="s">
        <v>1013</v>
      </c>
      <c r="F2857" t="s">
        <v>1014</v>
      </c>
      <c r="G2857" t="s">
        <v>52</v>
      </c>
      <c r="H2857" t="s">
        <v>53</v>
      </c>
      <c r="I2857" t="s">
        <v>53</v>
      </c>
      <c r="J2857" t="s">
        <v>53</v>
      </c>
      <c r="K2857" t="s">
        <v>53</v>
      </c>
      <c r="L2857" t="s">
        <v>53</v>
      </c>
      <c r="M2857" t="s">
        <v>53</v>
      </c>
      <c r="N2857" t="s">
        <v>53</v>
      </c>
      <c r="O2857" t="s">
        <v>53</v>
      </c>
      <c r="P2857" t="s">
        <v>53</v>
      </c>
      <c r="Q2857" t="s">
        <v>53</v>
      </c>
    </row>
    <row r="2858" spans="1:17" x14ac:dyDescent="0.2">
      <c r="A2858" s="30" t="str">
        <f>IF(C2858&amp;G2858&amp;D2858&lt;&gt;'Funnel setup'!$K$3&amp;'Funnel setup'!$K$4&amp;'Funnel setup'!$K$5,".",IF(A2857=".",1,A2857+1))</f>
        <v>.</v>
      </c>
      <c r="B2858" s="431" t="str">
        <f t="shared" si="44"/>
        <v>Hip Replacement RevisionCCG of GP PracticeNHS VALE OF YORK CCG (03Q)EQ-5D Index</v>
      </c>
      <c r="C2858" t="s">
        <v>247</v>
      </c>
      <c r="D2858" t="s">
        <v>87</v>
      </c>
      <c r="E2858" t="s">
        <v>420</v>
      </c>
      <c r="F2858" t="s">
        <v>421</v>
      </c>
      <c r="G2858" t="s">
        <v>52</v>
      </c>
      <c r="H2858">
        <v>32</v>
      </c>
      <c r="I2858">
        <v>0.55100000000000005</v>
      </c>
      <c r="J2858">
        <v>0.69699999999999995</v>
      </c>
      <c r="K2858">
        <v>0.14599999999999999</v>
      </c>
      <c r="L2858">
        <v>22</v>
      </c>
      <c r="M2858">
        <v>5</v>
      </c>
      <c r="N2858">
        <v>5</v>
      </c>
      <c r="O2858">
        <v>0.63400000000000001</v>
      </c>
      <c r="P2858">
        <v>0.23547652499999999</v>
      </c>
      <c r="Q2858">
        <v>0.27900000000000003</v>
      </c>
    </row>
    <row r="2859" spans="1:17" x14ac:dyDescent="0.2">
      <c r="A2859" s="30" t="str">
        <f>IF(C2859&amp;G2859&amp;D2859&lt;&gt;'Funnel setup'!$K$3&amp;'Funnel setup'!$K$4&amp;'Funnel setup'!$K$5,".",IF(A2858=".",1,A2858+1))</f>
        <v>.</v>
      </c>
      <c r="B2859" s="431" t="str">
        <f t="shared" si="44"/>
        <v>Hip Replacement RevisionCCG of GP PracticeNHS VALE ROYAL CCG (02D)EQ-5D Index</v>
      </c>
      <c r="C2859" t="s">
        <v>247</v>
      </c>
      <c r="D2859" t="s">
        <v>87</v>
      </c>
      <c r="E2859" t="s">
        <v>423</v>
      </c>
      <c r="F2859" t="s">
        <v>424</v>
      </c>
      <c r="G2859" t="s">
        <v>52</v>
      </c>
      <c r="H2859" t="s">
        <v>53</v>
      </c>
      <c r="I2859" t="s">
        <v>53</v>
      </c>
      <c r="J2859" t="s">
        <v>53</v>
      </c>
      <c r="K2859" t="s">
        <v>53</v>
      </c>
      <c r="L2859" t="s">
        <v>53</v>
      </c>
      <c r="M2859" t="s">
        <v>53</v>
      </c>
      <c r="N2859" t="s">
        <v>53</v>
      </c>
      <c r="O2859" t="s">
        <v>53</v>
      </c>
      <c r="P2859" t="s">
        <v>53</v>
      </c>
      <c r="Q2859" t="s">
        <v>53</v>
      </c>
    </row>
    <row r="2860" spans="1:17" x14ac:dyDescent="0.2">
      <c r="A2860" s="30" t="str">
        <f>IF(C2860&amp;G2860&amp;D2860&lt;&gt;'Funnel setup'!$K$3&amp;'Funnel setup'!$K$4&amp;'Funnel setup'!$K$5,".",IF(A2859=".",1,A2859+1))</f>
        <v>.</v>
      </c>
      <c r="B2860" s="431" t="str">
        <f t="shared" si="44"/>
        <v>Hip Replacement RevisionCCG of GP PracticeNHS WAKEFIELD CCG (03R)EQ-5D Index</v>
      </c>
      <c r="C2860" t="s">
        <v>247</v>
      </c>
      <c r="D2860" t="s">
        <v>87</v>
      </c>
      <c r="E2860" t="s">
        <v>426</v>
      </c>
      <c r="F2860" t="s">
        <v>427</v>
      </c>
      <c r="G2860" t="s">
        <v>52</v>
      </c>
      <c r="H2860" t="s">
        <v>53</v>
      </c>
      <c r="I2860" t="s">
        <v>53</v>
      </c>
      <c r="J2860" t="s">
        <v>53</v>
      </c>
      <c r="K2860" t="s">
        <v>53</v>
      </c>
      <c r="L2860" t="s">
        <v>53</v>
      </c>
      <c r="M2860" t="s">
        <v>53</v>
      </c>
      <c r="N2860" t="s">
        <v>53</v>
      </c>
      <c r="O2860" t="s">
        <v>53</v>
      </c>
      <c r="P2860" t="s">
        <v>53</v>
      </c>
      <c r="Q2860" t="s">
        <v>53</v>
      </c>
    </row>
    <row r="2861" spans="1:17" x14ac:dyDescent="0.2">
      <c r="A2861" s="30" t="str">
        <f>IF(C2861&amp;G2861&amp;D2861&lt;&gt;'Funnel setup'!$K$3&amp;'Funnel setup'!$K$4&amp;'Funnel setup'!$K$5,".",IF(A2860=".",1,A2860+1))</f>
        <v>.</v>
      </c>
      <c r="B2861" s="431" t="str">
        <f t="shared" si="44"/>
        <v>Hip Replacement RevisionCCG of GP PracticeNHS WALSALL CCG (05Y)EQ-5D Index</v>
      </c>
      <c r="C2861" t="s">
        <v>247</v>
      </c>
      <c r="D2861" t="s">
        <v>87</v>
      </c>
      <c r="E2861" t="s">
        <v>429</v>
      </c>
      <c r="F2861" t="s">
        <v>430</v>
      </c>
      <c r="G2861" t="s">
        <v>52</v>
      </c>
      <c r="H2861">
        <v>8</v>
      </c>
      <c r="I2861">
        <v>0.45600000000000002</v>
      </c>
      <c r="J2861">
        <v>0.56399999999999995</v>
      </c>
      <c r="K2861">
        <v>0.107</v>
      </c>
      <c r="L2861">
        <v>4</v>
      </c>
      <c r="M2861">
        <v>3</v>
      </c>
      <c r="N2861">
        <v>1</v>
      </c>
      <c r="O2861" t="s">
        <v>53</v>
      </c>
      <c r="P2861" t="s">
        <v>53</v>
      </c>
      <c r="Q2861" t="s">
        <v>53</v>
      </c>
    </row>
    <row r="2862" spans="1:17" x14ac:dyDescent="0.2">
      <c r="A2862" s="30" t="str">
        <f>IF(C2862&amp;G2862&amp;D2862&lt;&gt;'Funnel setup'!$K$3&amp;'Funnel setup'!$K$4&amp;'Funnel setup'!$K$5,".",IF(A2861=".",1,A2861+1))</f>
        <v>.</v>
      </c>
      <c r="B2862" s="431" t="str">
        <f t="shared" si="44"/>
        <v>Hip Replacement RevisionCCG of GP PracticeNHS WALTHAM FOREST CCG (08W)EQ-5D Index</v>
      </c>
      <c r="C2862" t="s">
        <v>247</v>
      </c>
      <c r="D2862" t="s">
        <v>87</v>
      </c>
      <c r="E2862" t="s">
        <v>432</v>
      </c>
      <c r="F2862" t="s">
        <v>433</v>
      </c>
      <c r="G2862" t="s">
        <v>52</v>
      </c>
      <c r="H2862" t="s">
        <v>53</v>
      </c>
      <c r="I2862" t="s">
        <v>53</v>
      </c>
      <c r="J2862" t="s">
        <v>53</v>
      </c>
      <c r="K2862" t="s">
        <v>53</v>
      </c>
      <c r="L2862" t="s">
        <v>53</v>
      </c>
      <c r="M2862" t="s">
        <v>53</v>
      </c>
      <c r="N2862" t="s">
        <v>53</v>
      </c>
      <c r="O2862" t="s">
        <v>53</v>
      </c>
      <c r="P2862" t="s">
        <v>53</v>
      </c>
      <c r="Q2862" t="s">
        <v>53</v>
      </c>
    </row>
    <row r="2863" spans="1:17" x14ac:dyDescent="0.2">
      <c r="A2863" s="30" t="str">
        <f>IF(C2863&amp;G2863&amp;D2863&lt;&gt;'Funnel setup'!$K$3&amp;'Funnel setup'!$K$4&amp;'Funnel setup'!$K$5,".",IF(A2862=".",1,A2862+1))</f>
        <v>.</v>
      </c>
      <c r="B2863" s="431" t="str">
        <f t="shared" si="44"/>
        <v>Hip Replacement RevisionCCG of GP PracticeNHS WANDSWORTH CCG (08X)EQ-5D Index</v>
      </c>
      <c r="C2863" t="s">
        <v>247</v>
      </c>
      <c r="D2863" t="s">
        <v>87</v>
      </c>
      <c r="E2863" t="s">
        <v>435</v>
      </c>
      <c r="F2863" t="s">
        <v>436</v>
      </c>
      <c r="G2863" t="s">
        <v>52</v>
      </c>
      <c r="H2863" t="s">
        <v>53</v>
      </c>
      <c r="I2863" t="s">
        <v>53</v>
      </c>
      <c r="J2863" t="s">
        <v>53</v>
      </c>
      <c r="K2863" t="s">
        <v>53</v>
      </c>
      <c r="L2863" t="s">
        <v>53</v>
      </c>
      <c r="M2863" t="s">
        <v>53</v>
      </c>
      <c r="N2863" t="s">
        <v>53</v>
      </c>
      <c r="O2863" t="s">
        <v>53</v>
      </c>
      <c r="P2863" t="s">
        <v>53</v>
      </c>
      <c r="Q2863" t="s">
        <v>53</v>
      </c>
    </row>
    <row r="2864" spans="1:17" x14ac:dyDescent="0.2">
      <c r="A2864" s="30" t="str">
        <f>IF(C2864&amp;G2864&amp;D2864&lt;&gt;'Funnel setup'!$K$3&amp;'Funnel setup'!$K$4&amp;'Funnel setup'!$K$5,".",IF(A2863=".",1,A2863+1))</f>
        <v>.</v>
      </c>
      <c r="B2864" s="431" t="str">
        <f t="shared" si="44"/>
        <v>Hip Replacement RevisionCCG of GP PracticeNHS WARRINGTON CCG (02E)EQ-5D Index</v>
      </c>
      <c r="C2864" t="s">
        <v>247</v>
      </c>
      <c r="D2864" t="s">
        <v>87</v>
      </c>
      <c r="E2864" t="s">
        <v>441</v>
      </c>
      <c r="F2864" t="s">
        <v>442</v>
      </c>
      <c r="G2864" t="s">
        <v>52</v>
      </c>
      <c r="H2864" t="s">
        <v>53</v>
      </c>
      <c r="I2864" t="s">
        <v>53</v>
      </c>
      <c r="J2864" t="s">
        <v>53</v>
      </c>
      <c r="K2864" t="s">
        <v>53</v>
      </c>
      <c r="L2864" t="s">
        <v>53</v>
      </c>
      <c r="M2864" t="s">
        <v>53</v>
      </c>
      <c r="N2864" t="s">
        <v>53</v>
      </c>
      <c r="O2864" t="s">
        <v>53</v>
      </c>
      <c r="P2864" t="s">
        <v>53</v>
      </c>
      <c r="Q2864" t="s">
        <v>53</v>
      </c>
    </row>
    <row r="2865" spans="1:17" x14ac:dyDescent="0.2">
      <c r="A2865" s="30" t="str">
        <f>IF(C2865&amp;G2865&amp;D2865&lt;&gt;'Funnel setup'!$K$3&amp;'Funnel setup'!$K$4&amp;'Funnel setup'!$K$5,".",IF(A2864=".",1,A2864+1))</f>
        <v>.</v>
      </c>
      <c r="B2865" s="431" t="str">
        <f t="shared" si="44"/>
        <v>Hip Replacement RevisionCCG of GP PracticeNHS WARWICKSHIRE NORTH CCG (05H)EQ-5D Index</v>
      </c>
      <c r="C2865" t="s">
        <v>247</v>
      </c>
      <c r="D2865" t="s">
        <v>87</v>
      </c>
      <c r="E2865" t="s">
        <v>438</v>
      </c>
      <c r="F2865" t="s">
        <v>439</v>
      </c>
      <c r="G2865" t="s">
        <v>52</v>
      </c>
      <c r="H2865" t="s">
        <v>53</v>
      </c>
      <c r="I2865" t="s">
        <v>53</v>
      </c>
      <c r="J2865" t="s">
        <v>53</v>
      </c>
      <c r="K2865" t="s">
        <v>53</v>
      </c>
      <c r="L2865" t="s">
        <v>53</v>
      </c>
      <c r="M2865" t="s">
        <v>53</v>
      </c>
      <c r="N2865" t="s">
        <v>53</v>
      </c>
      <c r="O2865" t="s">
        <v>53</v>
      </c>
      <c r="P2865" t="s">
        <v>53</v>
      </c>
      <c r="Q2865" t="s">
        <v>53</v>
      </c>
    </row>
    <row r="2866" spans="1:17" x14ac:dyDescent="0.2">
      <c r="A2866" s="30" t="str">
        <f>IF(C2866&amp;G2866&amp;D2866&lt;&gt;'Funnel setup'!$K$3&amp;'Funnel setup'!$K$4&amp;'Funnel setup'!$K$5,".",IF(A2865=".",1,A2865+1))</f>
        <v>.</v>
      </c>
      <c r="B2866" s="431" t="str">
        <f t="shared" si="44"/>
        <v>Hip Replacement RevisionCCG of GP PracticeNHS WEST CHESHIRE CCG (02F)EQ-5D Index</v>
      </c>
      <c r="C2866" t="s">
        <v>247</v>
      </c>
      <c r="D2866" t="s">
        <v>87</v>
      </c>
      <c r="E2866" t="s">
        <v>402</v>
      </c>
      <c r="F2866" t="s">
        <v>403</v>
      </c>
      <c r="G2866" t="s">
        <v>52</v>
      </c>
      <c r="H2866">
        <v>14</v>
      </c>
      <c r="I2866">
        <v>0.39800000000000002</v>
      </c>
      <c r="J2866">
        <v>0.66800000000000004</v>
      </c>
      <c r="K2866">
        <v>0.27</v>
      </c>
      <c r="L2866">
        <v>11</v>
      </c>
      <c r="M2866">
        <v>1</v>
      </c>
      <c r="N2866">
        <v>2</v>
      </c>
      <c r="O2866" t="s">
        <v>53</v>
      </c>
      <c r="P2866" t="s">
        <v>53</v>
      </c>
      <c r="Q2866" t="s">
        <v>53</v>
      </c>
    </row>
    <row r="2867" spans="1:17" x14ac:dyDescent="0.2">
      <c r="A2867" s="30" t="str">
        <f>IF(C2867&amp;G2867&amp;D2867&lt;&gt;'Funnel setup'!$K$3&amp;'Funnel setup'!$K$4&amp;'Funnel setup'!$K$5,".",IF(A2866=".",1,A2866+1))</f>
        <v>.</v>
      </c>
      <c r="B2867" s="431" t="str">
        <f t="shared" si="44"/>
        <v>Hip Replacement RevisionCCG of GP PracticeNHS WEST ESSEX CCG (07H)EQ-5D Index</v>
      </c>
      <c r="C2867" t="s">
        <v>247</v>
      </c>
      <c r="D2867" t="s">
        <v>87</v>
      </c>
      <c r="E2867" t="s">
        <v>405</v>
      </c>
      <c r="F2867" t="s">
        <v>406</v>
      </c>
      <c r="G2867" t="s">
        <v>52</v>
      </c>
      <c r="H2867">
        <v>11</v>
      </c>
      <c r="I2867">
        <v>0.39900000000000002</v>
      </c>
      <c r="J2867">
        <v>0.61099999999999999</v>
      </c>
      <c r="K2867">
        <v>0.21199999999999999</v>
      </c>
      <c r="L2867">
        <v>7</v>
      </c>
      <c r="M2867">
        <v>1</v>
      </c>
      <c r="N2867">
        <v>3</v>
      </c>
      <c r="O2867" t="s">
        <v>53</v>
      </c>
      <c r="P2867" t="s">
        <v>53</v>
      </c>
      <c r="Q2867" t="s">
        <v>53</v>
      </c>
    </row>
    <row r="2868" spans="1:17" x14ac:dyDescent="0.2">
      <c r="A2868" s="30" t="str">
        <f>IF(C2868&amp;G2868&amp;D2868&lt;&gt;'Funnel setup'!$K$3&amp;'Funnel setup'!$K$4&amp;'Funnel setup'!$K$5,".",IF(A2867=".",1,A2867+1))</f>
        <v>.</v>
      </c>
      <c r="B2868" s="431" t="str">
        <f t="shared" si="44"/>
        <v>Hip Replacement RevisionCCG of GP PracticeNHS WEST HAMPSHIRE CCG (11A)EQ-5D Index</v>
      </c>
      <c r="C2868" t="s">
        <v>247</v>
      </c>
      <c r="D2868" t="s">
        <v>87</v>
      </c>
      <c r="E2868" t="s">
        <v>444</v>
      </c>
      <c r="F2868" t="s">
        <v>445</v>
      </c>
      <c r="G2868" t="s">
        <v>52</v>
      </c>
      <c r="H2868">
        <v>29</v>
      </c>
      <c r="I2868">
        <v>0.40400000000000003</v>
      </c>
      <c r="J2868">
        <v>0.71099999999999997</v>
      </c>
      <c r="K2868">
        <v>0.30599999999999999</v>
      </c>
      <c r="L2868">
        <v>23</v>
      </c>
      <c r="M2868">
        <v>3</v>
      </c>
      <c r="N2868">
        <v>3</v>
      </c>
      <c r="O2868" t="s">
        <v>53</v>
      </c>
      <c r="P2868" t="s">
        <v>53</v>
      </c>
      <c r="Q2868" t="s">
        <v>53</v>
      </c>
    </row>
    <row r="2869" spans="1:17" x14ac:dyDescent="0.2">
      <c r="A2869" s="30" t="str">
        <f>IF(C2869&amp;G2869&amp;D2869&lt;&gt;'Funnel setup'!$K$3&amp;'Funnel setup'!$K$4&amp;'Funnel setup'!$K$5,".",IF(A2868=".",1,A2868+1))</f>
        <v>.</v>
      </c>
      <c r="B2869" s="431" t="str">
        <f t="shared" si="44"/>
        <v>Hip Replacement RevisionCCG of GP PracticeNHS WEST KENT CCG (99J)EQ-5D Index</v>
      </c>
      <c r="C2869" t="s">
        <v>247</v>
      </c>
      <c r="D2869" t="s">
        <v>87</v>
      </c>
      <c r="E2869" t="s">
        <v>447</v>
      </c>
      <c r="F2869" t="s">
        <v>448</v>
      </c>
      <c r="G2869" t="s">
        <v>52</v>
      </c>
      <c r="H2869">
        <v>22</v>
      </c>
      <c r="I2869">
        <v>0.49199999999999999</v>
      </c>
      <c r="J2869">
        <v>0.77</v>
      </c>
      <c r="K2869">
        <v>0.27700000000000002</v>
      </c>
      <c r="L2869">
        <v>17</v>
      </c>
      <c r="M2869">
        <v>1</v>
      </c>
      <c r="N2869">
        <v>4</v>
      </c>
      <c r="O2869" t="s">
        <v>53</v>
      </c>
      <c r="P2869" t="s">
        <v>53</v>
      </c>
      <c r="Q2869" t="s">
        <v>53</v>
      </c>
    </row>
    <row r="2870" spans="1:17" x14ac:dyDescent="0.2">
      <c r="A2870" s="30" t="str">
        <f>IF(C2870&amp;G2870&amp;D2870&lt;&gt;'Funnel setup'!$K$3&amp;'Funnel setup'!$K$4&amp;'Funnel setup'!$K$5,".",IF(A2869=".",1,A2869+1))</f>
        <v>.</v>
      </c>
      <c r="B2870" s="431" t="str">
        <f t="shared" si="44"/>
        <v>Hip Replacement RevisionCCG of GP PracticeNHS WEST LANCASHIRE CCG (02G)EQ-5D Index</v>
      </c>
      <c r="C2870" t="s">
        <v>247</v>
      </c>
      <c r="D2870" t="s">
        <v>87</v>
      </c>
      <c r="E2870" t="s">
        <v>450</v>
      </c>
      <c r="F2870" t="s">
        <v>451</v>
      </c>
      <c r="G2870" t="s">
        <v>52</v>
      </c>
      <c r="H2870" t="s">
        <v>53</v>
      </c>
      <c r="I2870" t="s">
        <v>53</v>
      </c>
      <c r="J2870" t="s">
        <v>53</v>
      </c>
      <c r="K2870" t="s">
        <v>53</v>
      </c>
      <c r="L2870" t="s">
        <v>53</v>
      </c>
      <c r="M2870" t="s">
        <v>53</v>
      </c>
      <c r="N2870" t="s">
        <v>53</v>
      </c>
      <c r="O2870" t="s">
        <v>53</v>
      </c>
      <c r="P2870" t="s">
        <v>53</v>
      </c>
      <c r="Q2870" t="s">
        <v>53</v>
      </c>
    </row>
    <row r="2871" spans="1:17" x14ac:dyDescent="0.2">
      <c r="A2871" s="30" t="str">
        <f>IF(C2871&amp;G2871&amp;D2871&lt;&gt;'Funnel setup'!$K$3&amp;'Funnel setup'!$K$4&amp;'Funnel setup'!$K$5,".",IF(A2870=".",1,A2870+1))</f>
        <v>.</v>
      </c>
      <c r="B2871" s="431" t="str">
        <f t="shared" si="44"/>
        <v>Hip Replacement RevisionCCG of GP PracticeNHS WEST LEICESTERSHIRE CCG (04V)EQ-5D Index</v>
      </c>
      <c r="C2871" t="s">
        <v>247</v>
      </c>
      <c r="D2871" t="s">
        <v>87</v>
      </c>
      <c r="E2871" t="s">
        <v>453</v>
      </c>
      <c r="F2871" t="s">
        <v>454</v>
      </c>
      <c r="G2871" t="s">
        <v>52</v>
      </c>
      <c r="H2871">
        <v>15</v>
      </c>
      <c r="I2871">
        <v>0.45200000000000001</v>
      </c>
      <c r="J2871">
        <v>0.65700000000000003</v>
      </c>
      <c r="K2871">
        <v>0.20499999999999999</v>
      </c>
      <c r="L2871">
        <v>11</v>
      </c>
      <c r="M2871">
        <v>2</v>
      </c>
      <c r="N2871">
        <v>2</v>
      </c>
      <c r="O2871" t="s">
        <v>53</v>
      </c>
      <c r="P2871" t="s">
        <v>53</v>
      </c>
      <c r="Q2871" t="s">
        <v>53</v>
      </c>
    </row>
    <row r="2872" spans="1:17" x14ac:dyDescent="0.2">
      <c r="A2872" s="30" t="str">
        <f>IF(C2872&amp;G2872&amp;D2872&lt;&gt;'Funnel setup'!$K$3&amp;'Funnel setup'!$K$4&amp;'Funnel setup'!$K$5,".",IF(A2871=".",1,A2871+1))</f>
        <v>.</v>
      </c>
      <c r="B2872" s="431" t="str">
        <f t="shared" si="44"/>
        <v>Hip Replacement RevisionCCG of GP PracticeNHS WEST LONDON CCG (08Y)EQ-5D Index</v>
      </c>
      <c r="C2872" t="s">
        <v>247</v>
      </c>
      <c r="D2872" t="s">
        <v>87</v>
      </c>
      <c r="E2872" t="s">
        <v>456</v>
      </c>
      <c r="F2872" t="s">
        <v>457</v>
      </c>
      <c r="G2872" t="s">
        <v>52</v>
      </c>
      <c r="H2872" t="s">
        <v>53</v>
      </c>
      <c r="I2872" t="s">
        <v>53</v>
      </c>
      <c r="J2872" t="s">
        <v>53</v>
      </c>
      <c r="K2872" t="s">
        <v>53</v>
      </c>
      <c r="L2872" t="s">
        <v>53</v>
      </c>
      <c r="M2872" t="s">
        <v>53</v>
      </c>
      <c r="N2872" t="s">
        <v>53</v>
      </c>
      <c r="O2872" t="s">
        <v>53</v>
      </c>
      <c r="P2872" t="s">
        <v>53</v>
      </c>
      <c r="Q2872" t="s">
        <v>53</v>
      </c>
    </row>
    <row r="2873" spans="1:17" x14ac:dyDescent="0.2">
      <c r="A2873" s="30" t="str">
        <f>IF(C2873&amp;G2873&amp;D2873&lt;&gt;'Funnel setup'!$K$3&amp;'Funnel setup'!$K$4&amp;'Funnel setup'!$K$5,".",IF(A2872=".",1,A2872+1))</f>
        <v>.</v>
      </c>
      <c r="B2873" s="431" t="str">
        <f t="shared" si="44"/>
        <v>Hip Replacement RevisionCCG of GP PracticeNHS WEST NORFOLK CCG (07J)EQ-5D Index</v>
      </c>
      <c r="C2873" t="s">
        <v>247</v>
      </c>
      <c r="D2873" t="s">
        <v>87</v>
      </c>
      <c r="E2873" t="s">
        <v>459</v>
      </c>
      <c r="F2873" t="s">
        <v>460</v>
      </c>
      <c r="G2873" t="s">
        <v>52</v>
      </c>
      <c r="H2873">
        <v>10</v>
      </c>
      <c r="I2873">
        <v>0.51400000000000001</v>
      </c>
      <c r="J2873">
        <v>0.80700000000000005</v>
      </c>
      <c r="K2873">
        <v>0.29399999999999998</v>
      </c>
      <c r="L2873">
        <v>9</v>
      </c>
      <c r="M2873">
        <v>0</v>
      </c>
      <c r="N2873">
        <v>1</v>
      </c>
      <c r="O2873" t="s">
        <v>53</v>
      </c>
      <c r="P2873" t="s">
        <v>53</v>
      </c>
      <c r="Q2873" t="s">
        <v>53</v>
      </c>
    </row>
    <row r="2874" spans="1:17" x14ac:dyDescent="0.2">
      <c r="A2874" s="30" t="str">
        <f>IF(C2874&amp;G2874&amp;D2874&lt;&gt;'Funnel setup'!$K$3&amp;'Funnel setup'!$K$4&amp;'Funnel setup'!$K$5,".",IF(A2873=".",1,A2873+1))</f>
        <v>.</v>
      </c>
      <c r="B2874" s="431" t="str">
        <f t="shared" si="44"/>
        <v>Hip Replacement RevisionCCG of GP PracticeNHS WEST SUFFOLK CCG (07K)EQ-5D Index</v>
      </c>
      <c r="C2874" t="s">
        <v>247</v>
      </c>
      <c r="D2874" t="s">
        <v>87</v>
      </c>
      <c r="E2874" t="s">
        <v>462</v>
      </c>
      <c r="F2874" t="s">
        <v>463</v>
      </c>
      <c r="G2874" t="s">
        <v>52</v>
      </c>
      <c r="H2874">
        <v>14</v>
      </c>
      <c r="I2874">
        <v>0.36799999999999999</v>
      </c>
      <c r="J2874">
        <v>0.73199999999999998</v>
      </c>
      <c r="K2874">
        <v>0.36399999999999999</v>
      </c>
      <c r="L2874">
        <v>13</v>
      </c>
      <c r="M2874">
        <v>0</v>
      </c>
      <c r="N2874">
        <v>1</v>
      </c>
      <c r="O2874" t="s">
        <v>53</v>
      </c>
      <c r="P2874" t="s">
        <v>53</v>
      </c>
      <c r="Q2874" t="s">
        <v>53</v>
      </c>
    </row>
    <row r="2875" spans="1:17" x14ac:dyDescent="0.2">
      <c r="A2875" s="30" t="str">
        <f>IF(C2875&amp;G2875&amp;D2875&lt;&gt;'Funnel setup'!$K$3&amp;'Funnel setup'!$K$4&amp;'Funnel setup'!$K$5,".",IF(A2874=".",1,A2874+1))</f>
        <v>.</v>
      </c>
      <c r="B2875" s="431" t="str">
        <f t="shared" si="44"/>
        <v>Hip Replacement RevisionCCG of GP PracticeNHS WIGAN BOROUGH CCG (02H)EQ-5D Index</v>
      </c>
      <c r="C2875" t="s">
        <v>247</v>
      </c>
      <c r="D2875" t="s">
        <v>87</v>
      </c>
      <c r="E2875" t="s">
        <v>465</v>
      </c>
      <c r="F2875" t="s">
        <v>466</v>
      </c>
      <c r="G2875" t="s">
        <v>52</v>
      </c>
      <c r="H2875">
        <v>10</v>
      </c>
      <c r="I2875">
        <v>0.38</v>
      </c>
      <c r="J2875">
        <v>0.41299999999999998</v>
      </c>
      <c r="K2875">
        <v>3.3000000000000002E-2</v>
      </c>
      <c r="L2875">
        <v>6</v>
      </c>
      <c r="M2875">
        <v>1</v>
      </c>
      <c r="N2875">
        <v>3</v>
      </c>
      <c r="O2875" t="s">
        <v>53</v>
      </c>
      <c r="P2875" t="s">
        <v>53</v>
      </c>
      <c r="Q2875" t="s">
        <v>53</v>
      </c>
    </row>
    <row r="2876" spans="1:17" x14ac:dyDescent="0.2">
      <c r="A2876" s="30" t="str">
        <f>IF(C2876&amp;G2876&amp;D2876&lt;&gt;'Funnel setup'!$K$3&amp;'Funnel setup'!$K$4&amp;'Funnel setup'!$K$5,".",IF(A2875=".",1,A2875+1))</f>
        <v>.</v>
      </c>
      <c r="B2876" s="431" t="str">
        <f t="shared" si="44"/>
        <v>Hip Replacement RevisionCCG of GP PracticeNHS WILTSHIRE CCG (99N)EQ-5D Index</v>
      </c>
      <c r="C2876" t="s">
        <v>247</v>
      </c>
      <c r="D2876" t="s">
        <v>87</v>
      </c>
      <c r="E2876" t="s">
        <v>468</v>
      </c>
      <c r="F2876" t="s">
        <v>469</v>
      </c>
      <c r="G2876" t="s">
        <v>52</v>
      </c>
      <c r="H2876">
        <v>39</v>
      </c>
      <c r="I2876">
        <v>0.39500000000000002</v>
      </c>
      <c r="J2876">
        <v>0.73</v>
      </c>
      <c r="K2876">
        <v>0.33500000000000002</v>
      </c>
      <c r="L2876">
        <v>27</v>
      </c>
      <c r="M2876">
        <v>8</v>
      </c>
      <c r="N2876">
        <v>4</v>
      </c>
      <c r="O2876">
        <v>0.71799999999999997</v>
      </c>
      <c r="P2876">
        <v>0.31918214499999997</v>
      </c>
      <c r="Q2876">
        <v>0.22600000000000001</v>
      </c>
    </row>
    <row r="2877" spans="1:17" x14ac:dyDescent="0.2">
      <c r="A2877" s="30" t="str">
        <f>IF(C2877&amp;G2877&amp;D2877&lt;&gt;'Funnel setup'!$K$3&amp;'Funnel setup'!$K$4&amp;'Funnel setup'!$K$5,".",IF(A2876=".",1,A2876+1))</f>
        <v>.</v>
      </c>
      <c r="B2877" s="431" t="str">
        <f t="shared" si="44"/>
        <v>Hip Replacement RevisionCCG of GP PracticeNHS WINDSOR, ASCOT AND MAIDENHEAD CCG (11C)EQ-5D Index</v>
      </c>
      <c r="C2877" t="s">
        <v>247</v>
      </c>
      <c r="D2877" t="s">
        <v>87</v>
      </c>
      <c r="E2877" t="s">
        <v>471</v>
      </c>
      <c r="F2877" t="s">
        <v>472</v>
      </c>
      <c r="G2877" t="s">
        <v>52</v>
      </c>
      <c r="H2877">
        <v>7</v>
      </c>
      <c r="I2877">
        <v>0.129</v>
      </c>
      <c r="J2877">
        <v>0.55700000000000005</v>
      </c>
      <c r="K2877">
        <v>0.42799999999999999</v>
      </c>
      <c r="L2877">
        <v>6</v>
      </c>
      <c r="M2877">
        <v>0</v>
      </c>
      <c r="N2877">
        <v>1</v>
      </c>
      <c r="O2877" t="s">
        <v>53</v>
      </c>
      <c r="P2877" t="s">
        <v>53</v>
      </c>
      <c r="Q2877" t="s">
        <v>53</v>
      </c>
    </row>
    <row r="2878" spans="1:17" x14ac:dyDescent="0.2">
      <c r="A2878" s="30" t="str">
        <f>IF(C2878&amp;G2878&amp;D2878&lt;&gt;'Funnel setup'!$K$3&amp;'Funnel setup'!$K$4&amp;'Funnel setup'!$K$5,".",IF(A2877=".",1,A2877+1))</f>
        <v>.</v>
      </c>
      <c r="B2878" s="431" t="str">
        <f t="shared" si="44"/>
        <v>Hip Replacement RevisionCCG of GP PracticeNHS WIRRAL CCG (12F)EQ-5D Index</v>
      </c>
      <c r="C2878" t="s">
        <v>247</v>
      </c>
      <c r="D2878" t="s">
        <v>87</v>
      </c>
      <c r="E2878" t="s">
        <v>474</v>
      </c>
      <c r="F2878" t="s">
        <v>475</v>
      </c>
      <c r="G2878" t="s">
        <v>52</v>
      </c>
      <c r="H2878" t="s">
        <v>53</v>
      </c>
      <c r="I2878" t="s">
        <v>53</v>
      </c>
      <c r="J2878" t="s">
        <v>53</v>
      </c>
      <c r="K2878" t="s">
        <v>53</v>
      </c>
      <c r="L2878" t="s">
        <v>53</v>
      </c>
      <c r="M2878" t="s">
        <v>53</v>
      </c>
      <c r="N2878" t="s">
        <v>53</v>
      </c>
      <c r="O2878" t="s">
        <v>53</v>
      </c>
      <c r="P2878" t="s">
        <v>53</v>
      </c>
      <c r="Q2878" t="s">
        <v>53</v>
      </c>
    </row>
    <row r="2879" spans="1:17" x14ac:dyDescent="0.2">
      <c r="A2879" s="30" t="str">
        <f>IF(C2879&amp;G2879&amp;D2879&lt;&gt;'Funnel setup'!$K$3&amp;'Funnel setup'!$K$4&amp;'Funnel setup'!$K$5,".",IF(A2878=".",1,A2878+1))</f>
        <v>.</v>
      </c>
      <c r="B2879" s="431" t="str">
        <f t="shared" si="44"/>
        <v>Hip Replacement RevisionCCG of GP PracticeNHS WOKINGHAM CCG (11D)EQ-5D Index</v>
      </c>
      <c r="C2879" t="s">
        <v>247</v>
      </c>
      <c r="D2879" t="s">
        <v>87</v>
      </c>
      <c r="E2879" t="s">
        <v>477</v>
      </c>
      <c r="F2879" t="s">
        <v>478</v>
      </c>
      <c r="G2879" t="s">
        <v>52</v>
      </c>
      <c r="H2879" t="s">
        <v>53</v>
      </c>
      <c r="I2879" t="s">
        <v>53</v>
      </c>
      <c r="J2879" t="s">
        <v>53</v>
      </c>
      <c r="K2879" t="s">
        <v>53</v>
      </c>
      <c r="L2879" t="s">
        <v>53</v>
      </c>
      <c r="M2879" t="s">
        <v>53</v>
      </c>
      <c r="N2879" t="s">
        <v>53</v>
      </c>
      <c r="O2879" t="s">
        <v>53</v>
      </c>
      <c r="P2879" t="s">
        <v>53</v>
      </c>
      <c r="Q2879" t="s">
        <v>53</v>
      </c>
    </row>
    <row r="2880" spans="1:17" x14ac:dyDescent="0.2">
      <c r="A2880" s="30" t="str">
        <f>IF(C2880&amp;G2880&amp;D2880&lt;&gt;'Funnel setup'!$K$3&amp;'Funnel setup'!$K$4&amp;'Funnel setup'!$K$5,".",IF(A2879=".",1,A2879+1))</f>
        <v>.</v>
      </c>
      <c r="B2880" s="431" t="str">
        <f t="shared" si="44"/>
        <v>Hip Replacement RevisionCCG of GP PracticeNHS WOLVERHAMPTON CCG (06A)EQ-5D Index</v>
      </c>
      <c r="C2880" t="s">
        <v>247</v>
      </c>
      <c r="D2880" t="s">
        <v>87</v>
      </c>
      <c r="E2880" t="s">
        <v>480</v>
      </c>
      <c r="F2880" t="s">
        <v>481</v>
      </c>
      <c r="G2880" t="s">
        <v>52</v>
      </c>
      <c r="H2880">
        <v>6</v>
      </c>
      <c r="I2880">
        <v>0.38300000000000001</v>
      </c>
      <c r="J2880">
        <v>0.66200000000000003</v>
      </c>
      <c r="K2880">
        <v>0.27900000000000003</v>
      </c>
      <c r="L2880">
        <v>5</v>
      </c>
      <c r="M2880">
        <v>0</v>
      </c>
      <c r="N2880">
        <v>1</v>
      </c>
      <c r="O2880" t="s">
        <v>53</v>
      </c>
      <c r="P2880" t="s">
        <v>53</v>
      </c>
      <c r="Q2880" t="s">
        <v>53</v>
      </c>
    </row>
    <row r="2881" spans="1:17" x14ac:dyDescent="0.2">
      <c r="A2881" s="30" t="str">
        <f>IF(C2881&amp;G2881&amp;D2881&lt;&gt;'Funnel setup'!$K$3&amp;'Funnel setup'!$K$4&amp;'Funnel setup'!$K$5,".",IF(A2880=".",1,A2880+1))</f>
        <v>.</v>
      </c>
      <c r="B2881" s="431" t="str">
        <f t="shared" si="44"/>
        <v>Hip Replacement RevisionCCG of GP PracticeNHS WYRE FOREST CCG (06D)EQ-5D Index</v>
      </c>
      <c r="C2881" t="s">
        <v>247</v>
      </c>
      <c r="D2881" t="s">
        <v>87</v>
      </c>
      <c r="E2881" t="s">
        <v>483</v>
      </c>
      <c r="F2881" t="s">
        <v>484</v>
      </c>
      <c r="G2881" t="s">
        <v>52</v>
      </c>
      <c r="H2881">
        <v>6</v>
      </c>
      <c r="I2881">
        <v>0.38300000000000001</v>
      </c>
      <c r="J2881">
        <v>0.63500000000000001</v>
      </c>
      <c r="K2881">
        <v>0.252</v>
      </c>
      <c r="L2881">
        <v>6</v>
      </c>
      <c r="M2881">
        <v>0</v>
      </c>
      <c r="N2881">
        <v>0</v>
      </c>
      <c r="O2881" t="s">
        <v>53</v>
      </c>
      <c r="P2881" t="s">
        <v>53</v>
      </c>
      <c r="Q2881" t="s">
        <v>53</v>
      </c>
    </row>
    <row r="2882" spans="1:17" x14ac:dyDescent="0.2">
      <c r="A2882" s="30" t="str">
        <f>IF(C2882&amp;G2882&amp;D2882&lt;&gt;'Funnel setup'!$K$3&amp;'Funnel setup'!$K$4&amp;'Funnel setup'!$K$5,".",IF(A2881=".",1,A2881+1))</f>
        <v>.</v>
      </c>
      <c r="B2882" s="431" t="str">
        <f t="shared" si="44"/>
        <v>Hip Replacement RevisionCCG of GP PracticeNATIONAL COMMISSIONING HUB 1 (13Q)Oxford Hip Score</v>
      </c>
      <c r="C2882" t="s">
        <v>247</v>
      </c>
      <c r="D2882" t="s">
        <v>87</v>
      </c>
      <c r="E2882" t="s">
        <v>563</v>
      </c>
      <c r="F2882" t="s">
        <v>564</v>
      </c>
      <c r="G2882" t="s">
        <v>14</v>
      </c>
      <c r="H2882" t="s">
        <v>53</v>
      </c>
      <c r="I2882" t="s">
        <v>53</v>
      </c>
      <c r="J2882" t="s">
        <v>53</v>
      </c>
      <c r="K2882" t="s">
        <v>53</v>
      </c>
      <c r="L2882" t="s">
        <v>53</v>
      </c>
      <c r="M2882" t="s">
        <v>53</v>
      </c>
      <c r="N2882" t="s">
        <v>53</v>
      </c>
      <c r="O2882" t="s">
        <v>53</v>
      </c>
      <c r="P2882" t="s">
        <v>53</v>
      </c>
      <c r="Q2882" t="s">
        <v>53</v>
      </c>
    </row>
    <row r="2883" spans="1:17" x14ac:dyDescent="0.2">
      <c r="A2883" s="30" t="str">
        <f>IF(C2883&amp;G2883&amp;D2883&lt;&gt;'Funnel setup'!$K$3&amp;'Funnel setup'!$K$4&amp;'Funnel setup'!$K$5,".",IF(A2882=".",1,A2882+1))</f>
        <v>.</v>
      </c>
      <c r="B2883" s="431" t="str">
        <f t="shared" ref="B2883:B2946" si="45">C2883&amp;D2883&amp;F2883&amp;G2883</f>
        <v>Hip Replacement RevisionCCG of GP PracticeNHS AIREDALE, WHARFEDALE AND CRAVEN CCG (02N)Oxford Hip Score</v>
      </c>
      <c r="C2883" t="s">
        <v>247</v>
      </c>
      <c r="D2883" t="s">
        <v>87</v>
      </c>
      <c r="E2883" t="s">
        <v>566</v>
      </c>
      <c r="F2883" t="s">
        <v>567</v>
      </c>
      <c r="G2883" t="s">
        <v>14</v>
      </c>
      <c r="H2883">
        <v>12</v>
      </c>
      <c r="I2883">
        <v>19.25</v>
      </c>
      <c r="J2883">
        <v>33.917000000000002</v>
      </c>
      <c r="K2883">
        <v>14.667</v>
      </c>
      <c r="L2883">
        <v>11</v>
      </c>
      <c r="M2883">
        <v>0</v>
      </c>
      <c r="N2883">
        <v>1</v>
      </c>
      <c r="O2883" t="s">
        <v>53</v>
      </c>
      <c r="P2883" t="s">
        <v>53</v>
      </c>
      <c r="Q2883" t="s">
        <v>53</v>
      </c>
    </row>
    <row r="2884" spans="1:17" x14ac:dyDescent="0.2">
      <c r="A2884" s="30" t="str">
        <f>IF(C2884&amp;G2884&amp;D2884&lt;&gt;'Funnel setup'!$K$3&amp;'Funnel setup'!$K$4&amp;'Funnel setup'!$K$5,".",IF(A2883=".",1,A2883+1))</f>
        <v>.</v>
      </c>
      <c r="B2884" s="431" t="str">
        <f t="shared" si="45"/>
        <v>Hip Replacement RevisionCCG of GP PracticeNHS ASHFORD CCG (09C)Oxford Hip Score</v>
      </c>
      <c r="C2884" t="s">
        <v>247</v>
      </c>
      <c r="D2884" t="s">
        <v>87</v>
      </c>
      <c r="E2884" t="s">
        <v>569</v>
      </c>
      <c r="F2884" t="s">
        <v>339</v>
      </c>
      <c r="G2884" t="s">
        <v>14</v>
      </c>
      <c r="H2884">
        <v>11</v>
      </c>
      <c r="I2884">
        <v>17.727</v>
      </c>
      <c r="J2884">
        <v>37.182000000000002</v>
      </c>
      <c r="K2884">
        <v>19.454999999999998</v>
      </c>
      <c r="L2884">
        <v>11</v>
      </c>
      <c r="M2884">
        <v>0</v>
      </c>
      <c r="N2884">
        <v>0</v>
      </c>
      <c r="O2884" t="s">
        <v>53</v>
      </c>
      <c r="P2884" t="s">
        <v>53</v>
      </c>
      <c r="Q2884" t="s">
        <v>53</v>
      </c>
    </row>
    <row r="2885" spans="1:17" x14ac:dyDescent="0.2">
      <c r="A2885" s="30" t="str">
        <f>IF(C2885&amp;G2885&amp;D2885&lt;&gt;'Funnel setup'!$K$3&amp;'Funnel setup'!$K$4&amp;'Funnel setup'!$K$5,".",IF(A2884=".",1,A2884+1))</f>
        <v>.</v>
      </c>
      <c r="B2885" s="431" t="str">
        <f t="shared" si="45"/>
        <v>Hip Replacement RevisionCCG of GP PracticeNHS AYLESBURY VALE CCG (10Y)Oxford Hip Score</v>
      </c>
      <c r="C2885" t="s">
        <v>247</v>
      </c>
      <c r="D2885" t="s">
        <v>87</v>
      </c>
      <c r="E2885" t="s">
        <v>571</v>
      </c>
      <c r="F2885" t="s">
        <v>572</v>
      </c>
      <c r="G2885" t="s">
        <v>14</v>
      </c>
      <c r="H2885">
        <v>7</v>
      </c>
      <c r="I2885">
        <v>21.428999999999998</v>
      </c>
      <c r="J2885">
        <v>38.856999999999999</v>
      </c>
      <c r="K2885">
        <v>17.428999999999998</v>
      </c>
      <c r="L2885">
        <v>7</v>
      </c>
      <c r="M2885">
        <v>0</v>
      </c>
      <c r="N2885">
        <v>0</v>
      </c>
      <c r="O2885" t="s">
        <v>53</v>
      </c>
      <c r="P2885" t="s">
        <v>53</v>
      </c>
      <c r="Q2885" t="s">
        <v>53</v>
      </c>
    </row>
    <row r="2886" spans="1:17" x14ac:dyDescent="0.2">
      <c r="A2886" s="30" t="str">
        <f>IF(C2886&amp;G2886&amp;D2886&lt;&gt;'Funnel setup'!$K$3&amp;'Funnel setup'!$K$4&amp;'Funnel setup'!$K$5,".",IF(A2885=".",1,A2885+1))</f>
        <v>.</v>
      </c>
      <c r="B2886" s="431" t="str">
        <f t="shared" si="45"/>
        <v>Hip Replacement RevisionCCG of GP PracticeNHS BARKING AND DAGENHAM CCG (07L)Oxford Hip Score</v>
      </c>
      <c r="C2886" t="s">
        <v>247</v>
      </c>
      <c r="D2886" t="s">
        <v>87</v>
      </c>
      <c r="E2886" t="s">
        <v>574</v>
      </c>
      <c r="F2886" t="s">
        <v>575</v>
      </c>
      <c r="G2886" t="s">
        <v>14</v>
      </c>
      <c r="H2886" t="s">
        <v>53</v>
      </c>
      <c r="I2886" t="s">
        <v>53</v>
      </c>
      <c r="J2886" t="s">
        <v>53</v>
      </c>
      <c r="K2886" t="s">
        <v>53</v>
      </c>
      <c r="L2886" t="s">
        <v>53</v>
      </c>
      <c r="M2886" t="s">
        <v>53</v>
      </c>
      <c r="N2886" t="s">
        <v>53</v>
      </c>
      <c r="O2886" t="s">
        <v>53</v>
      </c>
      <c r="P2886" t="s">
        <v>53</v>
      </c>
      <c r="Q2886" t="s">
        <v>53</v>
      </c>
    </row>
    <row r="2887" spans="1:17" x14ac:dyDescent="0.2">
      <c r="A2887" s="30" t="str">
        <f>IF(C2887&amp;G2887&amp;D2887&lt;&gt;'Funnel setup'!$K$3&amp;'Funnel setup'!$K$4&amp;'Funnel setup'!$K$5,".",IF(A2886=".",1,A2886+1))</f>
        <v>.</v>
      </c>
      <c r="B2887" s="431" t="str">
        <f t="shared" si="45"/>
        <v>Hip Replacement RevisionCCG of GP PracticeNHS BARNET CCG (07M)Oxford Hip Score</v>
      </c>
      <c r="C2887" t="s">
        <v>247</v>
      </c>
      <c r="D2887" t="s">
        <v>87</v>
      </c>
      <c r="E2887" t="s">
        <v>577</v>
      </c>
      <c r="F2887" t="s">
        <v>578</v>
      </c>
      <c r="G2887" t="s">
        <v>14</v>
      </c>
      <c r="H2887" t="s">
        <v>53</v>
      </c>
      <c r="I2887" t="s">
        <v>53</v>
      </c>
      <c r="J2887" t="s">
        <v>53</v>
      </c>
      <c r="K2887" t="s">
        <v>53</v>
      </c>
      <c r="L2887" t="s">
        <v>53</v>
      </c>
      <c r="M2887" t="s">
        <v>53</v>
      </c>
      <c r="N2887" t="s">
        <v>53</v>
      </c>
      <c r="O2887" t="s">
        <v>53</v>
      </c>
      <c r="P2887" t="s">
        <v>53</v>
      </c>
      <c r="Q2887" t="s">
        <v>53</v>
      </c>
    </row>
    <row r="2888" spans="1:17" x14ac:dyDescent="0.2">
      <c r="A2888" s="30" t="str">
        <f>IF(C2888&amp;G2888&amp;D2888&lt;&gt;'Funnel setup'!$K$3&amp;'Funnel setup'!$K$4&amp;'Funnel setup'!$K$5,".",IF(A2887=".",1,A2887+1))</f>
        <v>.</v>
      </c>
      <c r="B2888" s="431" t="str">
        <f t="shared" si="45"/>
        <v>Hip Replacement RevisionCCG of GP PracticeNHS BARNSLEY CCG (02P)Oxford Hip Score</v>
      </c>
      <c r="C2888" t="s">
        <v>247</v>
      </c>
      <c r="D2888" t="s">
        <v>87</v>
      </c>
      <c r="E2888" t="s">
        <v>580</v>
      </c>
      <c r="F2888" t="s">
        <v>581</v>
      </c>
      <c r="G2888" t="s">
        <v>14</v>
      </c>
      <c r="H2888">
        <v>10</v>
      </c>
      <c r="I2888">
        <v>15.4</v>
      </c>
      <c r="J2888">
        <v>26.3</v>
      </c>
      <c r="K2888">
        <v>10.9</v>
      </c>
      <c r="L2888">
        <v>9</v>
      </c>
      <c r="M2888">
        <v>0</v>
      </c>
      <c r="N2888">
        <v>1</v>
      </c>
      <c r="O2888" t="s">
        <v>53</v>
      </c>
      <c r="P2888" t="s">
        <v>53</v>
      </c>
      <c r="Q2888" t="s">
        <v>53</v>
      </c>
    </row>
    <row r="2889" spans="1:17" x14ac:dyDescent="0.2">
      <c r="A2889" s="30" t="str">
        <f>IF(C2889&amp;G2889&amp;D2889&lt;&gt;'Funnel setup'!$K$3&amp;'Funnel setup'!$K$4&amp;'Funnel setup'!$K$5,".",IF(A2888=".",1,A2888+1))</f>
        <v>.</v>
      </c>
      <c r="B2889" s="431" t="str">
        <f t="shared" si="45"/>
        <v>Hip Replacement RevisionCCG of GP PracticeNHS BASILDON AND BRENTWOOD CCG (99E)Oxford Hip Score</v>
      </c>
      <c r="C2889" t="s">
        <v>247</v>
      </c>
      <c r="D2889" t="s">
        <v>87</v>
      </c>
      <c r="E2889" t="s">
        <v>583</v>
      </c>
      <c r="F2889" t="s">
        <v>584</v>
      </c>
      <c r="G2889" t="s">
        <v>14</v>
      </c>
      <c r="H2889">
        <v>14</v>
      </c>
      <c r="I2889">
        <v>15.143000000000001</v>
      </c>
      <c r="J2889">
        <v>28.571000000000002</v>
      </c>
      <c r="K2889">
        <v>13.429</v>
      </c>
      <c r="L2889">
        <v>12</v>
      </c>
      <c r="M2889">
        <v>0</v>
      </c>
      <c r="N2889">
        <v>2</v>
      </c>
      <c r="O2889" t="s">
        <v>53</v>
      </c>
      <c r="P2889" t="s">
        <v>53</v>
      </c>
      <c r="Q2889" t="s">
        <v>53</v>
      </c>
    </row>
    <row r="2890" spans="1:17" x14ac:dyDescent="0.2">
      <c r="A2890" s="30" t="str">
        <f>IF(C2890&amp;G2890&amp;D2890&lt;&gt;'Funnel setup'!$K$3&amp;'Funnel setup'!$K$4&amp;'Funnel setup'!$K$5,".",IF(A2889=".",1,A2889+1))</f>
        <v>.</v>
      </c>
      <c r="B2890" s="431" t="str">
        <f t="shared" si="45"/>
        <v>Hip Replacement RevisionCCG of GP PracticeNHS BASSETLAW CCG (02Q)Oxford Hip Score</v>
      </c>
      <c r="C2890" t="s">
        <v>247</v>
      </c>
      <c r="D2890" t="s">
        <v>87</v>
      </c>
      <c r="E2890" t="s">
        <v>586</v>
      </c>
      <c r="F2890" t="s">
        <v>587</v>
      </c>
      <c r="G2890" t="s">
        <v>14</v>
      </c>
      <c r="H2890" t="s">
        <v>53</v>
      </c>
      <c r="I2890" t="s">
        <v>53</v>
      </c>
      <c r="J2890" t="s">
        <v>53</v>
      </c>
      <c r="K2890" t="s">
        <v>53</v>
      </c>
      <c r="L2890" t="s">
        <v>53</v>
      </c>
      <c r="M2890" t="s">
        <v>53</v>
      </c>
      <c r="N2890" t="s">
        <v>53</v>
      </c>
      <c r="O2890" t="s">
        <v>53</v>
      </c>
      <c r="P2890" t="s">
        <v>53</v>
      </c>
      <c r="Q2890" t="s">
        <v>53</v>
      </c>
    </row>
    <row r="2891" spans="1:17" x14ac:dyDescent="0.2">
      <c r="A2891" s="30" t="str">
        <f>IF(C2891&amp;G2891&amp;D2891&lt;&gt;'Funnel setup'!$K$3&amp;'Funnel setup'!$K$4&amp;'Funnel setup'!$K$5,".",IF(A2890=".",1,A2890+1))</f>
        <v>.</v>
      </c>
      <c r="B2891" s="431" t="str">
        <f t="shared" si="45"/>
        <v>Hip Replacement RevisionCCG of GP PracticeNHS BATH AND NORTH EAST SOMERSET CCG (11E)Oxford Hip Score</v>
      </c>
      <c r="C2891" t="s">
        <v>247</v>
      </c>
      <c r="D2891" t="s">
        <v>87</v>
      </c>
      <c r="E2891" t="s">
        <v>589</v>
      </c>
      <c r="F2891" t="s">
        <v>590</v>
      </c>
      <c r="G2891" t="s">
        <v>14</v>
      </c>
      <c r="H2891">
        <v>22</v>
      </c>
      <c r="I2891">
        <v>29.591000000000001</v>
      </c>
      <c r="J2891">
        <v>38.091000000000001</v>
      </c>
      <c r="K2891">
        <v>8.5</v>
      </c>
      <c r="L2891">
        <v>14</v>
      </c>
      <c r="M2891">
        <v>4</v>
      </c>
      <c r="N2891">
        <v>4</v>
      </c>
      <c r="O2891" t="s">
        <v>53</v>
      </c>
      <c r="P2891" t="s">
        <v>53</v>
      </c>
      <c r="Q2891" t="s">
        <v>53</v>
      </c>
    </row>
    <row r="2892" spans="1:17" x14ac:dyDescent="0.2">
      <c r="A2892" s="30" t="str">
        <f>IF(C2892&amp;G2892&amp;D2892&lt;&gt;'Funnel setup'!$K$3&amp;'Funnel setup'!$K$4&amp;'Funnel setup'!$K$5,".",IF(A2891=".",1,A2891+1))</f>
        <v>.</v>
      </c>
      <c r="B2892" s="431" t="str">
        <f t="shared" si="45"/>
        <v>Hip Replacement RevisionCCG of GP PracticeNHS BEDFORDSHIRE CCG (06F)Oxford Hip Score</v>
      </c>
      <c r="C2892" t="s">
        <v>247</v>
      </c>
      <c r="D2892" t="s">
        <v>87</v>
      </c>
      <c r="E2892" t="s">
        <v>592</v>
      </c>
      <c r="F2892" t="s">
        <v>593</v>
      </c>
      <c r="G2892" t="s">
        <v>14</v>
      </c>
      <c r="H2892">
        <v>18</v>
      </c>
      <c r="I2892">
        <v>18.943999999999999</v>
      </c>
      <c r="J2892">
        <v>32.832999999999998</v>
      </c>
      <c r="K2892">
        <v>13.888999999999999</v>
      </c>
      <c r="L2892">
        <v>16</v>
      </c>
      <c r="M2892">
        <v>0</v>
      </c>
      <c r="N2892">
        <v>2</v>
      </c>
      <c r="O2892" t="s">
        <v>53</v>
      </c>
      <c r="P2892" t="s">
        <v>53</v>
      </c>
      <c r="Q2892" t="s">
        <v>53</v>
      </c>
    </row>
    <row r="2893" spans="1:17" x14ac:dyDescent="0.2">
      <c r="A2893" s="30" t="str">
        <f>IF(C2893&amp;G2893&amp;D2893&lt;&gt;'Funnel setup'!$K$3&amp;'Funnel setup'!$K$4&amp;'Funnel setup'!$K$5,".",IF(A2892=".",1,A2892+1))</f>
        <v>.</v>
      </c>
      <c r="B2893" s="431" t="str">
        <f t="shared" si="45"/>
        <v>Hip Replacement RevisionCCG of GP PracticeNHS BEXLEY CCG (07N)Oxford Hip Score</v>
      </c>
      <c r="C2893" t="s">
        <v>247</v>
      </c>
      <c r="D2893" t="s">
        <v>87</v>
      </c>
      <c r="E2893" t="s">
        <v>595</v>
      </c>
      <c r="F2893" t="s">
        <v>596</v>
      </c>
      <c r="G2893" t="s">
        <v>14</v>
      </c>
      <c r="H2893" t="s">
        <v>53</v>
      </c>
      <c r="I2893" t="s">
        <v>53</v>
      </c>
      <c r="J2893" t="s">
        <v>53</v>
      </c>
      <c r="K2893" t="s">
        <v>53</v>
      </c>
      <c r="L2893" t="s">
        <v>53</v>
      </c>
      <c r="M2893" t="s">
        <v>53</v>
      </c>
      <c r="N2893" t="s">
        <v>53</v>
      </c>
      <c r="O2893" t="s">
        <v>53</v>
      </c>
      <c r="P2893" t="s">
        <v>53</v>
      </c>
      <c r="Q2893" t="s">
        <v>53</v>
      </c>
    </row>
    <row r="2894" spans="1:17" x14ac:dyDescent="0.2">
      <c r="A2894" s="30" t="str">
        <f>IF(C2894&amp;G2894&amp;D2894&lt;&gt;'Funnel setup'!$K$3&amp;'Funnel setup'!$K$4&amp;'Funnel setup'!$K$5,".",IF(A2893=".",1,A2893+1))</f>
        <v>.</v>
      </c>
      <c r="B2894" s="431" t="str">
        <f t="shared" si="45"/>
        <v>Hip Replacement RevisionCCG of GP PracticeNHS BIRMINGHAM CROSSCITY CCG (13P)Oxford Hip Score</v>
      </c>
      <c r="C2894" t="s">
        <v>247</v>
      </c>
      <c r="D2894" t="s">
        <v>87</v>
      </c>
      <c r="E2894" t="s">
        <v>598</v>
      </c>
      <c r="F2894" t="s">
        <v>599</v>
      </c>
      <c r="G2894" t="s">
        <v>14</v>
      </c>
      <c r="H2894">
        <v>33</v>
      </c>
      <c r="I2894">
        <v>20.757999999999999</v>
      </c>
      <c r="J2894">
        <v>32.787999999999997</v>
      </c>
      <c r="K2894">
        <v>12.03</v>
      </c>
      <c r="L2894">
        <v>30</v>
      </c>
      <c r="M2894">
        <v>0</v>
      </c>
      <c r="N2894">
        <v>3</v>
      </c>
      <c r="O2894">
        <v>33.917999999999999</v>
      </c>
      <c r="P2894">
        <v>13.043518150000001</v>
      </c>
      <c r="Q2894">
        <v>9.0510000000000002</v>
      </c>
    </row>
    <row r="2895" spans="1:17" x14ac:dyDescent="0.2">
      <c r="A2895" s="30" t="str">
        <f>IF(C2895&amp;G2895&amp;D2895&lt;&gt;'Funnel setup'!$K$3&amp;'Funnel setup'!$K$4&amp;'Funnel setup'!$K$5,".",IF(A2894=".",1,A2894+1))</f>
        <v>.</v>
      </c>
      <c r="B2895" s="431" t="str">
        <f t="shared" si="45"/>
        <v>Hip Replacement RevisionCCG of GP PracticeNHS BIRMINGHAM SOUTH AND CENTRAL CCG (04X)Oxford Hip Score</v>
      </c>
      <c r="C2895" t="s">
        <v>247</v>
      </c>
      <c r="D2895" t="s">
        <v>87</v>
      </c>
      <c r="E2895" t="s">
        <v>601</v>
      </c>
      <c r="F2895" t="s">
        <v>602</v>
      </c>
      <c r="G2895" t="s">
        <v>14</v>
      </c>
      <c r="H2895">
        <v>6</v>
      </c>
      <c r="I2895">
        <v>21.332999999999998</v>
      </c>
      <c r="J2895">
        <v>34.5</v>
      </c>
      <c r="K2895">
        <v>13.167</v>
      </c>
      <c r="L2895">
        <v>6</v>
      </c>
      <c r="M2895">
        <v>0</v>
      </c>
      <c r="N2895">
        <v>0</v>
      </c>
      <c r="O2895" t="s">
        <v>53</v>
      </c>
      <c r="P2895" t="s">
        <v>53</v>
      </c>
      <c r="Q2895" t="s">
        <v>53</v>
      </c>
    </row>
    <row r="2896" spans="1:17" x14ac:dyDescent="0.2">
      <c r="A2896" s="30" t="str">
        <f>IF(C2896&amp;G2896&amp;D2896&lt;&gt;'Funnel setup'!$K$3&amp;'Funnel setup'!$K$4&amp;'Funnel setup'!$K$5,".",IF(A2895=".",1,A2895+1))</f>
        <v>.</v>
      </c>
      <c r="B2896" s="431" t="str">
        <f t="shared" si="45"/>
        <v>Hip Replacement RevisionCCG of GP PracticeNHS BLACKBURN WITH DARWEN CCG (00Q)Oxford Hip Score</v>
      </c>
      <c r="C2896" t="s">
        <v>247</v>
      </c>
      <c r="D2896" t="s">
        <v>87</v>
      </c>
      <c r="E2896" t="s">
        <v>604</v>
      </c>
      <c r="F2896" t="s">
        <v>605</v>
      </c>
      <c r="G2896" t="s">
        <v>14</v>
      </c>
      <c r="H2896" t="s">
        <v>53</v>
      </c>
      <c r="I2896" t="s">
        <v>53</v>
      </c>
      <c r="J2896" t="s">
        <v>53</v>
      </c>
      <c r="K2896" t="s">
        <v>53</v>
      </c>
      <c r="L2896" t="s">
        <v>53</v>
      </c>
      <c r="M2896" t="s">
        <v>53</v>
      </c>
      <c r="N2896" t="s">
        <v>53</v>
      </c>
      <c r="O2896" t="s">
        <v>53</v>
      </c>
      <c r="P2896" t="s">
        <v>53</v>
      </c>
      <c r="Q2896" t="s">
        <v>53</v>
      </c>
    </row>
    <row r="2897" spans="1:17" x14ac:dyDescent="0.2">
      <c r="A2897" s="30" t="str">
        <f>IF(C2897&amp;G2897&amp;D2897&lt;&gt;'Funnel setup'!$K$3&amp;'Funnel setup'!$K$4&amp;'Funnel setup'!$K$5,".",IF(A2896=".",1,A2896+1))</f>
        <v>.</v>
      </c>
      <c r="B2897" s="431" t="str">
        <f t="shared" si="45"/>
        <v>Hip Replacement RevisionCCG of GP PracticeNHS BLACKPOOL CCG (00R)Oxford Hip Score</v>
      </c>
      <c r="C2897" t="s">
        <v>247</v>
      </c>
      <c r="D2897" t="s">
        <v>87</v>
      </c>
      <c r="E2897" t="s">
        <v>607</v>
      </c>
      <c r="F2897" t="s">
        <v>608</v>
      </c>
      <c r="G2897" t="s">
        <v>14</v>
      </c>
      <c r="H2897" t="s">
        <v>53</v>
      </c>
      <c r="I2897" t="s">
        <v>53</v>
      </c>
      <c r="J2897" t="s">
        <v>53</v>
      </c>
      <c r="K2897" t="s">
        <v>53</v>
      </c>
      <c r="L2897" t="s">
        <v>53</v>
      </c>
      <c r="M2897" t="s">
        <v>53</v>
      </c>
      <c r="N2897" t="s">
        <v>53</v>
      </c>
      <c r="O2897" t="s">
        <v>53</v>
      </c>
      <c r="P2897" t="s">
        <v>53</v>
      </c>
      <c r="Q2897" t="s">
        <v>53</v>
      </c>
    </row>
    <row r="2898" spans="1:17" x14ac:dyDescent="0.2">
      <c r="A2898" s="30" t="str">
        <f>IF(C2898&amp;G2898&amp;D2898&lt;&gt;'Funnel setup'!$K$3&amp;'Funnel setup'!$K$4&amp;'Funnel setup'!$K$5,".",IF(A2897=".",1,A2897+1))</f>
        <v>.</v>
      </c>
      <c r="B2898" s="431" t="str">
        <f t="shared" si="45"/>
        <v>Hip Replacement RevisionCCG of GP PracticeNHS BOLTON CCG (00T)Oxford Hip Score</v>
      </c>
      <c r="C2898" t="s">
        <v>247</v>
      </c>
      <c r="D2898" t="s">
        <v>87</v>
      </c>
      <c r="E2898" t="s">
        <v>683</v>
      </c>
      <c r="F2898" t="s">
        <v>684</v>
      </c>
      <c r="G2898" t="s">
        <v>14</v>
      </c>
      <c r="H2898" t="s">
        <v>53</v>
      </c>
      <c r="I2898" t="s">
        <v>53</v>
      </c>
      <c r="J2898" t="s">
        <v>53</v>
      </c>
      <c r="K2898" t="s">
        <v>53</v>
      </c>
      <c r="L2898" t="s">
        <v>53</v>
      </c>
      <c r="M2898" t="s">
        <v>53</v>
      </c>
      <c r="N2898" t="s">
        <v>53</v>
      </c>
      <c r="O2898" t="s">
        <v>53</v>
      </c>
      <c r="P2898" t="s">
        <v>53</v>
      </c>
      <c r="Q2898" t="s">
        <v>53</v>
      </c>
    </row>
    <row r="2899" spans="1:17" x14ac:dyDescent="0.2">
      <c r="A2899" s="30" t="str">
        <f>IF(C2899&amp;G2899&amp;D2899&lt;&gt;'Funnel setup'!$K$3&amp;'Funnel setup'!$K$4&amp;'Funnel setup'!$K$5,".",IF(A2898=".",1,A2898+1))</f>
        <v>.</v>
      </c>
      <c r="B2899" s="431" t="str">
        <f t="shared" si="45"/>
        <v>Hip Replacement RevisionCCG of GP PracticeNHS BRACKNELL AND ASCOT CCG (10G)Oxford Hip Score</v>
      </c>
      <c r="C2899" t="s">
        <v>247</v>
      </c>
      <c r="D2899" t="s">
        <v>87</v>
      </c>
      <c r="E2899" t="s">
        <v>686</v>
      </c>
      <c r="F2899" t="s">
        <v>687</v>
      </c>
      <c r="G2899" t="s">
        <v>14</v>
      </c>
      <c r="H2899" t="s">
        <v>53</v>
      </c>
      <c r="I2899" t="s">
        <v>53</v>
      </c>
      <c r="J2899" t="s">
        <v>53</v>
      </c>
      <c r="K2899" t="s">
        <v>53</v>
      </c>
      <c r="L2899" t="s">
        <v>53</v>
      </c>
      <c r="M2899" t="s">
        <v>53</v>
      </c>
      <c r="N2899" t="s">
        <v>53</v>
      </c>
      <c r="O2899" t="s">
        <v>53</v>
      </c>
      <c r="P2899" t="s">
        <v>53</v>
      </c>
      <c r="Q2899" t="s">
        <v>53</v>
      </c>
    </row>
    <row r="2900" spans="1:17" x14ac:dyDescent="0.2">
      <c r="A2900" s="30" t="str">
        <f>IF(C2900&amp;G2900&amp;D2900&lt;&gt;'Funnel setup'!$K$3&amp;'Funnel setup'!$K$4&amp;'Funnel setup'!$K$5,".",IF(A2899=".",1,A2899+1))</f>
        <v>.</v>
      </c>
      <c r="B2900" s="431" t="str">
        <f t="shared" si="45"/>
        <v>Hip Replacement RevisionCCG of GP PracticeNHS BRADFORD DISTRICTS CCG (02R)Oxford Hip Score</v>
      </c>
      <c r="C2900" t="s">
        <v>247</v>
      </c>
      <c r="D2900" t="s">
        <v>87</v>
      </c>
      <c r="E2900" t="s">
        <v>692</v>
      </c>
      <c r="F2900" t="s">
        <v>693</v>
      </c>
      <c r="G2900" t="s">
        <v>14</v>
      </c>
      <c r="H2900">
        <v>12</v>
      </c>
      <c r="I2900">
        <v>27</v>
      </c>
      <c r="J2900">
        <v>40.25</v>
      </c>
      <c r="K2900">
        <v>13.25</v>
      </c>
      <c r="L2900">
        <v>11</v>
      </c>
      <c r="M2900">
        <v>0</v>
      </c>
      <c r="N2900">
        <v>1</v>
      </c>
      <c r="O2900" t="s">
        <v>53</v>
      </c>
      <c r="P2900" t="s">
        <v>53</v>
      </c>
      <c r="Q2900" t="s">
        <v>53</v>
      </c>
    </row>
    <row r="2901" spans="1:17" x14ac:dyDescent="0.2">
      <c r="A2901" s="30" t="str">
        <f>IF(C2901&amp;G2901&amp;D2901&lt;&gt;'Funnel setup'!$K$3&amp;'Funnel setup'!$K$4&amp;'Funnel setup'!$K$5,".",IF(A2900=".",1,A2900+1))</f>
        <v>.</v>
      </c>
      <c r="B2901" s="431" t="str">
        <f t="shared" si="45"/>
        <v>Hip Replacement RevisionCCG of GP PracticeNHS BRENT CCG (07P)Oxford Hip Score</v>
      </c>
      <c r="C2901" t="s">
        <v>247</v>
      </c>
      <c r="D2901" t="s">
        <v>87</v>
      </c>
      <c r="E2901" t="s">
        <v>695</v>
      </c>
      <c r="F2901" t="s">
        <v>696</v>
      </c>
      <c r="G2901" t="s">
        <v>14</v>
      </c>
      <c r="H2901" t="s">
        <v>53</v>
      </c>
      <c r="I2901" t="s">
        <v>53</v>
      </c>
      <c r="J2901" t="s">
        <v>53</v>
      </c>
      <c r="K2901" t="s">
        <v>53</v>
      </c>
      <c r="L2901" t="s">
        <v>53</v>
      </c>
      <c r="M2901" t="s">
        <v>53</v>
      </c>
      <c r="N2901" t="s">
        <v>53</v>
      </c>
      <c r="O2901" t="s">
        <v>53</v>
      </c>
      <c r="P2901" t="s">
        <v>53</v>
      </c>
      <c r="Q2901" t="s">
        <v>53</v>
      </c>
    </row>
    <row r="2902" spans="1:17" x14ac:dyDescent="0.2">
      <c r="A2902" s="30" t="str">
        <f>IF(C2902&amp;G2902&amp;D2902&lt;&gt;'Funnel setup'!$K$3&amp;'Funnel setup'!$K$4&amp;'Funnel setup'!$K$5,".",IF(A2901=".",1,A2901+1))</f>
        <v>.</v>
      </c>
      <c r="B2902" s="431" t="str">
        <f t="shared" si="45"/>
        <v>Hip Replacement RevisionCCG of GP PracticeNHS BRIGHTON AND HOVE CCG (09D)Oxford Hip Score</v>
      </c>
      <c r="C2902" t="s">
        <v>247</v>
      </c>
      <c r="D2902" t="s">
        <v>87</v>
      </c>
      <c r="E2902" t="s">
        <v>698</v>
      </c>
      <c r="F2902" t="s">
        <v>699</v>
      </c>
      <c r="G2902" t="s">
        <v>14</v>
      </c>
      <c r="H2902">
        <v>13</v>
      </c>
      <c r="I2902">
        <v>20.692</v>
      </c>
      <c r="J2902">
        <v>32.076999999999998</v>
      </c>
      <c r="K2902">
        <v>11.385</v>
      </c>
      <c r="L2902">
        <v>10</v>
      </c>
      <c r="M2902">
        <v>1</v>
      </c>
      <c r="N2902">
        <v>2</v>
      </c>
      <c r="O2902" t="s">
        <v>53</v>
      </c>
      <c r="P2902" t="s">
        <v>53</v>
      </c>
      <c r="Q2902" t="s">
        <v>53</v>
      </c>
    </row>
    <row r="2903" spans="1:17" x14ac:dyDescent="0.2">
      <c r="A2903" s="30" t="str">
        <f>IF(C2903&amp;G2903&amp;D2903&lt;&gt;'Funnel setup'!$K$3&amp;'Funnel setup'!$K$4&amp;'Funnel setup'!$K$5,".",IF(A2902=".",1,A2902+1))</f>
        <v>.</v>
      </c>
      <c r="B2903" s="431" t="str">
        <f t="shared" si="45"/>
        <v>Hip Replacement RevisionCCG of GP PracticeNHS BRISTOL CCG (11H)Oxford Hip Score</v>
      </c>
      <c r="C2903" t="s">
        <v>247</v>
      </c>
      <c r="D2903" t="s">
        <v>87</v>
      </c>
      <c r="E2903" t="s">
        <v>701</v>
      </c>
      <c r="F2903" t="s">
        <v>702</v>
      </c>
      <c r="G2903" t="s">
        <v>14</v>
      </c>
      <c r="H2903">
        <v>6</v>
      </c>
      <c r="I2903">
        <v>19.667000000000002</v>
      </c>
      <c r="J2903">
        <v>27.5</v>
      </c>
      <c r="K2903">
        <v>7.8330000000000002</v>
      </c>
      <c r="L2903">
        <v>5</v>
      </c>
      <c r="M2903">
        <v>0</v>
      </c>
      <c r="N2903">
        <v>1</v>
      </c>
      <c r="O2903" t="s">
        <v>53</v>
      </c>
      <c r="P2903" t="s">
        <v>53</v>
      </c>
      <c r="Q2903" t="s">
        <v>53</v>
      </c>
    </row>
    <row r="2904" spans="1:17" x14ac:dyDescent="0.2">
      <c r="A2904" s="30" t="str">
        <f>IF(C2904&amp;G2904&amp;D2904&lt;&gt;'Funnel setup'!$K$3&amp;'Funnel setup'!$K$4&amp;'Funnel setup'!$K$5,".",IF(A2903=".",1,A2903+1))</f>
        <v>.</v>
      </c>
      <c r="B2904" s="431" t="str">
        <f t="shared" si="45"/>
        <v>Hip Replacement RevisionCCG of GP PracticeNHS BROMLEY CCG (07Q)Oxford Hip Score</v>
      </c>
      <c r="C2904" t="s">
        <v>247</v>
      </c>
      <c r="D2904" t="s">
        <v>87</v>
      </c>
      <c r="E2904" t="s">
        <v>704</v>
      </c>
      <c r="F2904" t="s">
        <v>705</v>
      </c>
      <c r="G2904" t="s">
        <v>14</v>
      </c>
      <c r="H2904" t="s">
        <v>53</v>
      </c>
      <c r="I2904" t="s">
        <v>53</v>
      </c>
      <c r="J2904" t="s">
        <v>53</v>
      </c>
      <c r="K2904" t="s">
        <v>53</v>
      </c>
      <c r="L2904" t="s">
        <v>53</v>
      </c>
      <c r="M2904" t="s">
        <v>53</v>
      </c>
      <c r="N2904" t="s">
        <v>53</v>
      </c>
      <c r="O2904" t="s">
        <v>53</v>
      </c>
      <c r="P2904" t="s">
        <v>53</v>
      </c>
      <c r="Q2904" t="s">
        <v>53</v>
      </c>
    </row>
    <row r="2905" spans="1:17" x14ac:dyDescent="0.2">
      <c r="A2905" s="30" t="str">
        <f>IF(C2905&amp;G2905&amp;D2905&lt;&gt;'Funnel setup'!$K$3&amp;'Funnel setup'!$K$4&amp;'Funnel setup'!$K$5,".",IF(A2904=".",1,A2904+1))</f>
        <v>.</v>
      </c>
      <c r="B2905" s="431" t="str">
        <f t="shared" si="45"/>
        <v>Hip Replacement RevisionCCG of GP PracticeNHS BURY CCG (00V)Oxford Hip Score</v>
      </c>
      <c r="C2905" t="s">
        <v>247</v>
      </c>
      <c r="D2905" t="s">
        <v>87</v>
      </c>
      <c r="E2905" t="s">
        <v>707</v>
      </c>
      <c r="F2905" t="s">
        <v>708</v>
      </c>
      <c r="G2905" t="s">
        <v>14</v>
      </c>
      <c r="H2905" t="s">
        <v>53</v>
      </c>
      <c r="I2905" t="s">
        <v>53</v>
      </c>
      <c r="J2905" t="s">
        <v>53</v>
      </c>
      <c r="K2905" t="s">
        <v>53</v>
      </c>
      <c r="L2905" t="s">
        <v>53</v>
      </c>
      <c r="M2905" t="s">
        <v>53</v>
      </c>
      <c r="N2905" t="s">
        <v>53</v>
      </c>
      <c r="O2905" t="s">
        <v>53</v>
      </c>
      <c r="P2905" t="s">
        <v>53</v>
      </c>
      <c r="Q2905" t="s">
        <v>53</v>
      </c>
    </row>
    <row r="2906" spans="1:17" x14ac:dyDescent="0.2">
      <c r="A2906" s="30" t="str">
        <f>IF(C2906&amp;G2906&amp;D2906&lt;&gt;'Funnel setup'!$K$3&amp;'Funnel setup'!$K$4&amp;'Funnel setup'!$K$5,".",IF(A2905=".",1,A2905+1))</f>
        <v>.</v>
      </c>
      <c r="B2906" s="431" t="str">
        <f t="shared" si="45"/>
        <v>Hip Replacement RevisionCCG of GP PracticeNHS CALDERDALE CCG (02T)Oxford Hip Score</v>
      </c>
      <c r="C2906" t="s">
        <v>247</v>
      </c>
      <c r="D2906" t="s">
        <v>87</v>
      </c>
      <c r="E2906" t="s">
        <v>710</v>
      </c>
      <c r="F2906" t="s">
        <v>711</v>
      </c>
      <c r="G2906" t="s">
        <v>14</v>
      </c>
      <c r="H2906">
        <v>14</v>
      </c>
      <c r="I2906">
        <v>26.786000000000001</v>
      </c>
      <c r="J2906">
        <v>36.143000000000001</v>
      </c>
      <c r="K2906">
        <v>9.3569999999999993</v>
      </c>
      <c r="L2906">
        <v>12</v>
      </c>
      <c r="M2906">
        <v>0</v>
      </c>
      <c r="N2906">
        <v>2</v>
      </c>
      <c r="O2906" t="s">
        <v>53</v>
      </c>
      <c r="P2906" t="s">
        <v>53</v>
      </c>
      <c r="Q2906" t="s">
        <v>53</v>
      </c>
    </row>
    <row r="2907" spans="1:17" x14ac:dyDescent="0.2">
      <c r="A2907" s="30" t="str">
        <f>IF(C2907&amp;G2907&amp;D2907&lt;&gt;'Funnel setup'!$K$3&amp;'Funnel setup'!$K$4&amp;'Funnel setup'!$K$5,".",IF(A2906=".",1,A2906+1))</f>
        <v>.</v>
      </c>
      <c r="B2907" s="431" t="str">
        <f t="shared" si="45"/>
        <v>Hip Replacement RevisionCCG of GP PracticeNHS CAMBRIDGESHIRE AND PETERBOROUGH CCG (06H)Oxford Hip Score</v>
      </c>
      <c r="C2907" t="s">
        <v>247</v>
      </c>
      <c r="D2907" t="s">
        <v>87</v>
      </c>
      <c r="E2907" t="s">
        <v>713</v>
      </c>
      <c r="F2907" t="s">
        <v>714</v>
      </c>
      <c r="G2907" t="s">
        <v>14</v>
      </c>
      <c r="H2907">
        <v>32</v>
      </c>
      <c r="I2907">
        <v>21.125</v>
      </c>
      <c r="J2907">
        <v>35.75</v>
      </c>
      <c r="K2907">
        <v>14.625</v>
      </c>
      <c r="L2907">
        <v>26</v>
      </c>
      <c r="M2907">
        <v>2</v>
      </c>
      <c r="N2907">
        <v>4</v>
      </c>
      <c r="O2907">
        <v>34.747999999999998</v>
      </c>
      <c r="P2907">
        <v>13.87335536</v>
      </c>
      <c r="Q2907">
        <v>9.6929999999999996</v>
      </c>
    </row>
    <row r="2908" spans="1:17" x14ac:dyDescent="0.2">
      <c r="A2908" s="30" t="str">
        <f>IF(C2908&amp;G2908&amp;D2908&lt;&gt;'Funnel setup'!$K$3&amp;'Funnel setup'!$K$4&amp;'Funnel setup'!$K$5,".",IF(A2907=".",1,A2907+1))</f>
        <v>.</v>
      </c>
      <c r="B2908" s="431" t="str">
        <f t="shared" si="45"/>
        <v>Hip Replacement RevisionCCG of GP PracticeNHS CAMDEN CCG (07R)Oxford Hip Score</v>
      </c>
      <c r="C2908" t="s">
        <v>247</v>
      </c>
      <c r="D2908" t="s">
        <v>87</v>
      </c>
      <c r="E2908" t="s">
        <v>716</v>
      </c>
      <c r="F2908" t="s">
        <v>717</v>
      </c>
      <c r="G2908" t="s">
        <v>14</v>
      </c>
      <c r="H2908" t="s">
        <v>53</v>
      </c>
      <c r="I2908" t="s">
        <v>53</v>
      </c>
      <c r="J2908" t="s">
        <v>53</v>
      </c>
      <c r="K2908" t="s">
        <v>53</v>
      </c>
      <c r="L2908" t="s">
        <v>53</v>
      </c>
      <c r="M2908" t="s">
        <v>53</v>
      </c>
      <c r="N2908" t="s">
        <v>53</v>
      </c>
      <c r="O2908" t="s">
        <v>53</v>
      </c>
      <c r="P2908" t="s">
        <v>53</v>
      </c>
      <c r="Q2908" t="s">
        <v>53</v>
      </c>
    </row>
    <row r="2909" spans="1:17" x14ac:dyDescent="0.2">
      <c r="A2909" s="30" t="str">
        <f>IF(C2909&amp;G2909&amp;D2909&lt;&gt;'Funnel setup'!$K$3&amp;'Funnel setup'!$K$4&amp;'Funnel setup'!$K$5,".",IF(A2908=".",1,A2908+1))</f>
        <v>.</v>
      </c>
      <c r="B2909" s="431" t="str">
        <f t="shared" si="45"/>
        <v>Hip Replacement RevisionCCG of GP PracticeNHS CANNOCK CHASE CCG (04Y)Oxford Hip Score</v>
      </c>
      <c r="C2909" t="s">
        <v>247</v>
      </c>
      <c r="D2909" t="s">
        <v>87</v>
      </c>
      <c r="E2909" t="s">
        <v>719</v>
      </c>
      <c r="F2909" t="s">
        <v>720</v>
      </c>
      <c r="G2909" t="s">
        <v>14</v>
      </c>
      <c r="H2909">
        <v>9</v>
      </c>
      <c r="I2909">
        <v>16.777999999999999</v>
      </c>
      <c r="J2909">
        <v>30</v>
      </c>
      <c r="K2909">
        <v>13.222</v>
      </c>
      <c r="L2909">
        <v>8</v>
      </c>
      <c r="M2909">
        <v>0</v>
      </c>
      <c r="N2909">
        <v>1</v>
      </c>
      <c r="O2909" t="s">
        <v>53</v>
      </c>
      <c r="P2909" t="s">
        <v>53</v>
      </c>
      <c r="Q2909" t="s">
        <v>53</v>
      </c>
    </row>
    <row r="2910" spans="1:17" x14ac:dyDescent="0.2">
      <c r="A2910" s="30" t="str">
        <f>IF(C2910&amp;G2910&amp;D2910&lt;&gt;'Funnel setup'!$K$3&amp;'Funnel setup'!$K$4&amp;'Funnel setup'!$K$5,".",IF(A2909=".",1,A2909+1))</f>
        <v>.</v>
      </c>
      <c r="B2910" s="431" t="str">
        <f t="shared" si="45"/>
        <v>Hip Replacement RevisionCCG of GP PracticeNHS CANTERBURY AND COASTAL CCG (09E)Oxford Hip Score</v>
      </c>
      <c r="C2910" t="s">
        <v>247</v>
      </c>
      <c r="D2910" t="s">
        <v>87</v>
      </c>
      <c r="E2910" t="s">
        <v>722</v>
      </c>
      <c r="F2910" t="s">
        <v>723</v>
      </c>
      <c r="G2910" t="s">
        <v>14</v>
      </c>
      <c r="H2910">
        <v>11</v>
      </c>
      <c r="I2910">
        <v>20.364000000000001</v>
      </c>
      <c r="J2910">
        <v>34.726999999999997</v>
      </c>
      <c r="K2910">
        <v>14.364000000000001</v>
      </c>
      <c r="L2910">
        <v>10</v>
      </c>
      <c r="M2910">
        <v>0</v>
      </c>
      <c r="N2910">
        <v>1</v>
      </c>
      <c r="O2910" t="s">
        <v>53</v>
      </c>
      <c r="P2910" t="s">
        <v>53</v>
      </c>
      <c r="Q2910" t="s">
        <v>53</v>
      </c>
    </row>
    <row r="2911" spans="1:17" x14ac:dyDescent="0.2">
      <c r="A2911" s="30" t="str">
        <f>IF(C2911&amp;G2911&amp;D2911&lt;&gt;'Funnel setup'!$K$3&amp;'Funnel setup'!$K$4&amp;'Funnel setup'!$K$5,".",IF(A2910=".",1,A2910+1))</f>
        <v>.</v>
      </c>
      <c r="B2911" s="431" t="str">
        <f t="shared" si="45"/>
        <v>Hip Replacement RevisionCCG of GP PracticeNHS CASTLE POINT AND ROCHFORD CCG (99F)Oxford Hip Score</v>
      </c>
      <c r="C2911" t="s">
        <v>247</v>
      </c>
      <c r="D2911" t="s">
        <v>87</v>
      </c>
      <c r="E2911" t="s">
        <v>725</v>
      </c>
      <c r="F2911" t="s">
        <v>726</v>
      </c>
      <c r="G2911" t="s">
        <v>14</v>
      </c>
      <c r="H2911">
        <v>13</v>
      </c>
      <c r="I2911">
        <v>16.768999999999998</v>
      </c>
      <c r="J2911">
        <v>32.384999999999998</v>
      </c>
      <c r="K2911">
        <v>15.615</v>
      </c>
      <c r="L2911">
        <v>12</v>
      </c>
      <c r="M2911">
        <v>0</v>
      </c>
      <c r="N2911">
        <v>1</v>
      </c>
      <c r="O2911" t="s">
        <v>53</v>
      </c>
      <c r="P2911" t="s">
        <v>53</v>
      </c>
      <c r="Q2911" t="s">
        <v>53</v>
      </c>
    </row>
    <row r="2912" spans="1:17" x14ac:dyDescent="0.2">
      <c r="A2912" s="30" t="str">
        <f>IF(C2912&amp;G2912&amp;D2912&lt;&gt;'Funnel setup'!$K$3&amp;'Funnel setup'!$K$4&amp;'Funnel setup'!$K$5,".",IF(A2911=".",1,A2911+1))</f>
        <v>.</v>
      </c>
      <c r="B2912" s="431" t="str">
        <f t="shared" si="45"/>
        <v>Hip Replacement RevisionCCG of GP PracticeNHS CENTRAL LONDON (WESTMINSTER) CCG (09A)Oxford Hip Score</v>
      </c>
      <c r="C2912" t="s">
        <v>247</v>
      </c>
      <c r="D2912" t="s">
        <v>87</v>
      </c>
      <c r="E2912" t="s">
        <v>728</v>
      </c>
      <c r="F2912" t="s">
        <v>729</v>
      </c>
      <c r="G2912" t="s">
        <v>14</v>
      </c>
      <c r="H2912" t="s">
        <v>53</v>
      </c>
      <c r="I2912" t="s">
        <v>53</v>
      </c>
      <c r="J2912" t="s">
        <v>53</v>
      </c>
      <c r="K2912" t="s">
        <v>53</v>
      </c>
      <c r="L2912" t="s">
        <v>53</v>
      </c>
      <c r="M2912" t="s">
        <v>53</v>
      </c>
      <c r="N2912" t="s">
        <v>53</v>
      </c>
      <c r="O2912" t="s">
        <v>53</v>
      </c>
      <c r="P2912" t="s">
        <v>53</v>
      </c>
      <c r="Q2912" t="s">
        <v>53</v>
      </c>
    </row>
    <row r="2913" spans="1:17" x14ac:dyDescent="0.2">
      <c r="A2913" s="30" t="str">
        <f>IF(C2913&amp;G2913&amp;D2913&lt;&gt;'Funnel setup'!$K$3&amp;'Funnel setup'!$K$4&amp;'Funnel setup'!$K$5,".",IF(A2912=".",1,A2912+1))</f>
        <v>.</v>
      </c>
      <c r="B2913" s="431" t="str">
        <f t="shared" si="45"/>
        <v>Hip Replacement RevisionCCG of GP PracticeNHS CENTRAL MANCHESTER CCG (00W)Oxford Hip Score</v>
      </c>
      <c r="C2913" t="s">
        <v>247</v>
      </c>
      <c r="D2913" t="s">
        <v>87</v>
      </c>
      <c r="E2913" t="s">
        <v>731</v>
      </c>
      <c r="F2913" t="s">
        <v>732</v>
      </c>
      <c r="G2913" t="s">
        <v>14</v>
      </c>
      <c r="H2913" t="s">
        <v>53</v>
      </c>
      <c r="I2913" t="s">
        <v>53</v>
      </c>
      <c r="J2913" t="s">
        <v>53</v>
      </c>
      <c r="K2913" t="s">
        <v>53</v>
      </c>
      <c r="L2913" t="s">
        <v>53</v>
      </c>
      <c r="M2913" t="s">
        <v>53</v>
      </c>
      <c r="N2913" t="s">
        <v>53</v>
      </c>
      <c r="O2913" t="s">
        <v>53</v>
      </c>
      <c r="P2913" t="s">
        <v>53</v>
      </c>
      <c r="Q2913" t="s">
        <v>53</v>
      </c>
    </row>
    <row r="2914" spans="1:17" x14ac:dyDescent="0.2">
      <c r="A2914" s="30" t="str">
        <f>IF(C2914&amp;G2914&amp;D2914&lt;&gt;'Funnel setup'!$K$3&amp;'Funnel setup'!$K$4&amp;'Funnel setup'!$K$5,".",IF(A2913=".",1,A2913+1))</f>
        <v>.</v>
      </c>
      <c r="B2914" s="431" t="str">
        <f t="shared" si="45"/>
        <v>Hip Replacement RevisionCCG of GP PracticeNHS CHILTERN CCG (10H)Oxford Hip Score</v>
      </c>
      <c r="C2914" t="s">
        <v>247</v>
      </c>
      <c r="D2914" t="s">
        <v>87</v>
      </c>
      <c r="E2914" t="s">
        <v>734</v>
      </c>
      <c r="F2914" t="s">
        <v>735</v>
      </c>
      <c r="G2914" t="s">
        <v>14</v>
      </c>
      <c r="H2914">
        <v>22</v>
      </c>
      <c r="I2914">
        <v>17.454999999999998</v>
      </c>
      <c r="J2914">
        <v>33.591000000000001</v>
      </c>
      <c r="K2914">
        <v>16.135999999999999</v>
      </c>
      <c r="L2914">
        <v>21</v>
      </c>
      <c r="M2914">
        <v>0</v>
      </c>
      <c r="N2914">
        <v>1</v>
      </c>
      <c r="O2914" t="s">
        <v>53</v>
      </c>
      <c r="P2914" t="s">
        <v>53</v>
      </c>
      <c r="Q2914" t="s">
        <v>53</v>
      </c>
    </row>
    <row r="2915" spans="1:17" x14ac:dyDescent="0.2">
      <c r="A2915" s="30" t="str">
        <f>IF(C2915&amp;G2915&amp;D2915&lt;&gt;'Funnel setup'!$K$3&amp;'Funnel setup'!$K$4&amp;'Funnel setup'!$K$5,".",IF(A2914=".",1,A2914+1))</f>
        <v>.</v>
      </c>
      <c r="B2915" s="431" t="str">
        <f t="shared" si="45"/>
        <v>Hip Replacement RevisionCCG of GP PracticeNHS CHORLEY AND SOUTH RIBBLE CCG (00X)Oxford Hip Score</v>
      </c>
      <c r="C2915" t="s">
        <v>247</v>
      </c>
      <c r="D2915" t="s">
        <v>87</v>
      </c>
      <c r="E2915" t="s">
        <v>737</v>
      </c>
      <c r="F2915" t="s">
        <v>738</v>
      </c>
      <c r="G2915" t="s">
        <v>14</v>
      </c>
      <c r="H2915">
        <v>8</v>
      </c>
      <c r="I2915">
        <v>12.75</v>
      </c>
      <c r="J2915">
        <v>26.625</v>
      </c>
      <c r="K2915">
        <v>13.875</v>
      </c>
      <c r="L2915">
        <v>7</v>
      </c>
      <c r="M2915">
        <v>0</v>
      </c>
      <c r="N2915">
        <v>1</v>
      </c>
      <c r="O2915" t="s">
        <v>53</v>
      </c>
      <c r="P2915" t="s">
        <v>53</v>
      </c>
      <c r="Q2915" t="s">
        <v>53</v>
      </c>
    </row>
    <row r="2916" spans="1:17" x14ac:dyDescent="0.2">
      <c r="A2916" s="30" t="str">
        <f>IF(C2916&amp;G2916&amp;D2916&lt;&gt;'Funnel setup'!$K$3&amp;'Funnel setup'!$K$4&amp;'Funnel setup'!$K$5,".",IF(A2915=".",1,A2915+1))</f>
        <v>.</v>
      </c>
      <c r="B2916" s="431" t="str">
        <f t="shared" si="45"/>
        <v>Hip Replacement RevisionCCG of GP PracticeNHS CITY AND HACKNEY CCG (07T)Oxford Hip Score</v>
      </c>
      <c r="C2916" t="s">
        <v>247</v>
      </c>
      <c r="D2916" t="s">
        <v>87</v>
      </c>
      <c r="E2916" t="s">
        <v>740</v>
      </c>
      <c r="F2916" t="s">
        <v>741</v>
      </c>
      <c r="G2916" t="s">
        <v>14</v>
      </c>
      <c r="H2916" t="s">
        <v>53</v>
      </c>
      <c r="I2916" t="s">
        <v>53</v>
      </c>
      <c r="J2916" t="s">
        <v>53</v>
      </c>
      <c r="K2916" t="s">
        <v>53</v>
      </c>
      <c r="L2916" t="s">
        <v>53</v>
      </c>
      <c r="M2916" t="s">
        <v>53</v>
      </c>
      <c r="N2916" t="s">
        <v>53</v>
      </c>
      <c r="O2916" t="s">
        <v>53</v>
      </c>
      <c r="P2916" t="s">
        <v>53</v>
      </c>
      <c r="Q2916" t="s">
        <v>53</v>
      </c>
    </row>
    <row r="2917" spans="1:17" x14ac:dyDescent="0.2">
      <c r="A2917" s="30" t="str">
        <f>IF(C2917&amp;G2917&amp;D2917&lt;&gt;'Funnel setup'!$K$3&amp;'Funnel setup'!$K$4&amp;'Funnel setup'!$K$5,".",IF(A2916=".",1,A2916+1))</f>
        <v>.</v>
      </c>
      <c r="B2917" s="431" t="str">
        <f t="shared" si="45"/>
        <v>Hip Replacement RevisionCCG of GP PracticeNHS COASTAL WEST SUSSEX CCG (09G)Oxford Hip Score</v>
      </c>
      <c r="C2917" t="s">
        <v>247</v>
      </c>
      <c r="D2917" t="s">
        <v>87</v>
      </c>
      <c r="E2917" t="s">
        <v>743</v>
      </c>
      <c r="F2917" t="s">
        <v>744</v>
      </c>
      <c r="G2917" t="s">
        <v>14</v>
      </c>
      <c r="H2917">
        <v>47</v>
      </c>
      <c r="I2917">
        <v>20.914999999999999</v>
      </c>
      <c r="J2917">
        <v>32.085000000000001</v>
      </c>
      <c r="K2917">
        <v>11.17</v>
      </c>
      <c r="L2917">
        <v>41</v>
      </c>
      <c r="M2917">
        <v>3</v>
      </c>
      <c r="N2917">
        <v>3</v>
      </c>
      <c r="O2917">
        <v>32.21</v>
      </c>
      <c r="P2917">
        <v>11.3354768</v>
      </c>
      <c r="Q2917">
        <v>9.3350000000000009</v>
      </c>
    </row>
    <row r="2918" spans="1:17" x14ac:dyDescent="0.2">
      <c r="A2918" s="30" t="str">
        <f>IF(C2918&amp;G2918&amp;D2918&lt;&gt;'Funnel setup'!$K$3&amp;'Funnel setup'!$K$4&amp;'Funnel setup'!$K$5,".",IF(A2917=".",1,A2917+1))</f>
        <v>.</v>
      </c>
      <c r="B2918" s="431" t="str">
        <f t="shared" si="45"/>
        <v>Hip Replacement RevisionCCG of GP PracticeNHS CORBY CCG (03V)Oxford Hip Score</v>
      </c>
      <c r="C2918" t="s">
        <v>247</v>
      </c>
      <c r="D2918" t="s">
        <v>87</v>
      </c>
      <c r="E2918" t="s">
        <v>746</v>
      </c>
      <c r="F2918" t="s">
        <v>747</v>
      </c>
      <c r="G2918" t="s">
        <v>14</v>
      </c>
      <c r="H2918" t="s">
        <v>53</v>
      </c>
      <c r="I2918" t="s">
        <v>53</v>
      </c>
      <c r="J2918" t="s">
        <v>53</v>
      </c>
      <c r="K2918" t="s">
        <v>53</v>
      </c>
      <c r="L2918" t="s">
        <v>53</v>
      </c>
      <c r="M2918" t="s">
        <v>53</v>
      </c>
      <c r="N2918" t="s">
        <v>53</v>
      </c>
      <c r="O2918" t="s">
        <v>53</v>
      </c>
      <c r="P2918" t="s">
        <v>53</v>
      </c>
      <c r="Q2918" t="s">
        <v>53</v>
      </c>
    </row>
    <row r="2919" spans="1:17" x14ac:dyDescent="0.2">
      <c r="A2919" s="30" t="str">
        <f>IF(C2919&amp;G2919&amp;D2919&lt;&gt;'Funnel setup'!$K$3&amp;'Funnel setup'!$K$4&amp;'Funnel setup'!$K$5,".",IF(A2918=".",1,A2918+1))</f>
        <v>.</v>
      </c>
      <c r="B2919" s="431" t="str">
        <f t="shared" si="45"/>
        <v>Hip Replacement RevisionCCG of GP PracticeNHS COVENTRY AND RUGBY CCG (05A)Oxford Hip Score</v>
      </c>
      <c r="C2919" t="s">
        <v>247</v>
      </c>
      <c r="D2919" t="s">
        <v>87</v>
      </c>
      <c r="E2919" t="s">
        <v>749</v>
      </c>
      <c r="F2919" t="s">
        <v>750</v>
      </c>
      <c r="G2919" t="s">
        <v>14</v>
      </c>
      <c r="H2919">
        <v>14</v>
      </c>
      <c r="I2919">
        <v>21.286000000000001</v>
      </c>
      <c r="J2919">
        <v>34.643000000000001</v>
      </c>
      <c r="K2919">
        <v>13.356999999999999</v>
      </c>
      <c r="L2919">
        <v>11</v>
      </c>
      <c r="M2919">
        <v>0</v>
      </c>
      <c r="N2919">
        <v>3</v>
      </c>
      <c r="O2919" t="s">
        <v>53</v>
      </c>
      <c r="P2919" t="s">
        <v>53</v>
      </c>
      <c r="Q2919" t="s">
        <v>53</v>
      </c>
    </row>
    <row r="2920" spans="1:17" x14ac:dyDescent="0.2">
      <c r="A2920" s="30" t="str">
        <f>IF(C2920&amp;G2920&amp;D2920&lt;&gt;'Funnel setup'!$K$3&amp;'Funnel setup'!$K$4&amp;'Funnel setup'!$K$5,".",IF(A2919=".",1,A2919+1))</f>
        <v>.</v>
      </c>
      <c r="B2920" s="431" t="str">
        <f t="shared" si="45"/>
        <v>Hip Replacement RevisionCCG of GP PracticeNHS CRAWLEY CCG (09H)Oxford Hip Score</v>
      </c>
      <c r="C2920" t="s">
        <v>247</v>
      </c>
      <c r="D2920" t="s">
        <v>87</v>
      </c>
      <c r="E2920" t="s">
        <v>752</v>
      </c>
      <c r="F2920" t="s">
        <v>753</v>
      </c>
      <c r="G2920" t="s">
        <v>14</v>
      </c>
      <c r="H2920" t="s">
        <v>53</v>
      </c>
      <c r="I2920" t="s">
        <v>53</v>
      </c>
      <c r="J2920" t="s">
        <v>53</v>
      </c>
      <c r="K2920" t="s">
        <v>53</v>
      </c>
      <c r="L2920" t="s">
        <v>53</v>
      </c>
      <c r="M2920" t="s">
        <v>53</v>
      </c>
      <c r="N2920" t="s">
        <v>53</v>
      </c>
      <c r="O2920" t="s">
        <v>53</v>
      </c>
      <c r="P2920" t="s">
        <v>53</v>
      </c>
      <c r="Q2920" t="s">
        <v>53</v>
      </c>
    </row>
    <row r="2921" spans="1:17" x14ac:dyDescent="0.2">
      <c r="A2921" s="30" t="str">
        <f>IF(C2921&amp;G2921&amp;D2921&lt;&gt;'Funnel setup'!$K$3&amp;'Funnel setup'!$K$4&amp;'Funnel setup'!$K$5,".",IF(A2920=".",1,A2920+1))</f>
        <v>.</v>
      </c>
      <c r="B2921" s="431" t="str">
        <f t="shared" si="45"/>
        <v>Hip Replacement RevisionCCG of GP PracticeNHS CROYDON CCG (07V)Oxford Hip Score</v>
      </c>
      <c r="C2921" t="s">
        <v>247</v>
      </c>
      <c r="D2921" t="s">
        <v>87</v>
      </c>
      <c r="E2921" t="s">
        <v>755</v>
      </c>
      <c r="F2921" t="s">
        <v>756</v>
      </c>
      <c r="G2921" t="s">
        <v>14</v>
      </c>
      <c r="H2921">
        <v>13</v>
      </c>
      <c r="I2921">
        <v>24.231000000000002</v>
      </c>
      <c r="J2921">
        <v>36.076999999999998</v>
      </c>
      <c r="K2921">
        <v>11.846</v>
      </c>
      <c r="L2921">
        <v>12</v>
      </c>
      <c r="M2921">
        <v>0</v>
      </c>
      <c r="N2921">
        <v>1</v>
      </c>
      <c r="O2921" t="s">
        <v>53</v>
      </c>
      <c r="P2921" t="s">
        <v>53</v>
      </c>
      <c r="Q2921" t="s">
        <v>53</v>
      </c>
    </row>
    <row r="2922" spans="1:17" x14ac:dyDescent="0.2">
      <c r="A2922" s="30" t="str">
        <f>IF(C2922&amp;G2922&amp;D2922&lt;&gt;'Funnel setup'!$K$3&amp;'Funnel setup'!$K$4&amp;'Funnel setup'!$K$5,".",IF(A2921=".",1,A2921+1))</f>
        <v>.</v>
      </c>
      <c r="B2922" s="431" t="str">
        <f t="shared" si="45"/>
        <v>Hip Replacement RevisionCCG of GP PracticeNHS CUMBRIA CCG (01H)Oxford Hip Score</v>
      </c>
      <c r="C2922" t="s">
        <v>247</v>
      </c>
      <c r="D2922" t="s">
        <v>87</v>
      </c>
      <c r="E2922" t="s">
        <v>758</v>
      </c>
      <c r="F2922" t="s">
        <v>759</v>
      </c>
      <c r="G2922" t="s">
        <v>14</v>
      </c>
      <c r="H2922">
        <v>31</v>
      </c>
      <c r="I2922">
        <v>20.484000000000002</v>
      </c>
      <c r="J2922">
        <v>34.774000000000001</v>
      </c>
      <c r="K2922">
        <v>14.29</v>
      </c>
      <c r="L2922">
        <v>27</v>
      </c>
      <c r="M2922">
        <v>0</v>
      </c>
      <c r="N2922">
        <v>4</v>
      </c>
      <c r="O2922">
        <v>35.539000000000001</v>
      </c>
      <c r="P2922">
        <v>14.66377628</v>
      </c>
      <c r="Q2922">
        <v>9.359</v>
      </c>
    </row>
    <row r="2923" spans="1:17" x14ac:dyDescent="0.2">
      <c r="A2923" s="30" t="str">
        <f>IF(C2923&amp;G2923&amp;D2923&lt;&gt;'Funnel setup'!$K$3&amp;'Funnel setup'!$K$4&amp;'Funnel setup'!$K$5,".",IF(A2922=".",1,A2922+1))</f>
        <v>.</v>
      </c>
      <c r="B2923" s="431" t="str">
        <f t="shared" si="45"/>
        <v>Hip Replacement RevisionCCG of GP PracticeNHS DARLINGTON CCG (00C)Oxford Hip Score</v>
      </c>
      <c r="C2923" t="s">
        <v>247</v>
      </c>
      <c r="D2923" t="s">
        <v>87</v>
      </c>
      <c r="E2923" t="s">
        <v>761</v>
      </c>
      <c r="F2923" t="s">
        <v>762</v>
      </c>
      <c r="G2923" t="s">
        <v>14</v>
      </c>
      <c r="H2923">
        <v>6</v>
      </c>
      <c r="I2923">
        <v>22</v>
      </c>
      <c r="J2923">
        <v>38.332999999999998</v>
      </c>
      <c r="K2923">
        <v>16.332999999999998</v>
      </c>
      <c r="L2923">
        <v>6</v>
      </c>
      <c r="M2923">
        <v>0</v>
      </c>
      <c r="N2923">
        <v>0</v>
      </c>
      <c r="O2923" t="s">
        <v>53</v>
      </c>
      <c r="P2923" t="s">
        <v>53</v>
      </c>
      <c r="Q2923" t="s">
        <v>53</v>
      </c>
    </row>
    <row r="2924" spans="1:17" x14ac:dyDescent="0.2">
      <c r="A2924" s="30" t="str">
        <f>IF(C2924&amp;G2924&amp;D2924&lt;&gt;'Funnel setup'!$K$3&amp;'Funnel setup'!$K$4&amp;'Funnel setup'!$K$5,".",IF(A2923=".",1,A2923+1))</f>
        <v>.</v>
      </c>
      <c r="B2924" s="431" t="str">
        <f t="shared" si="45"/>
        <v>Hip Replacement RevisionCCG of GP PracticeNHS DARTFORD, GRAVESHAM AND SWANLEY CCG (09J)Oxford Hip Score</v>
      </c>
      <c r="C2924" t="s">
        <v>247</v>
      </c>
      <c r="D2924" t="s">
        <v>87</v>
      </c>
      <c r="E2924" t="s">
        <v>764</v>
      </c>
      <c r="F2924" t="s">
        <v>765</v>
      </c>
      <c r="G2924" t="s">
        <v>14</v>
      </c>
      <c r="H2924">
        <v>11</v>
      </c>
      <c r="I2924">
        <v>18.364000000000001</v>
      </c>
      <c r="J2924">
        <v>29.818000000000001</v>
      </c>
      <c r="K2924">
        <v>11.455</v>
      </c>
      <c r="L2924">
        <v>10</v>
      </c>
      <c r="M2924">
        <v>0</v>
      </c>
      <c r="N2924">
        <v>1</v>
      </c>
      <c r="O2924" t="s">
        <v>53</v>
      </c>
      <c r="P2924" t="s">
        <v>53</v>
      </c>
      <c r="Q2924" t="s">
        <v>53</v>
      </c>
    </row>
    <row r="2925" spans="1:17" x14ac:dyDescent="0.2">
      <c r="A2925" s="30" t="str">
        <f>IF(C2925&amp;G2925&amp;D2925&lt;&gt;'Funnel setup'!$K$3&amp;'Funnel setup'!$K$4&amp;'Funnel setup'!$K$5,".",IF(A2924=".",1,A2924+1))</f>
        <v>.</v>
      </c>
      <c r="B2925" s="431" t="str">
        <f t="shared" si="45"/>
        <v>Hip Replacement RevisionCCG of GP PracticeNHS DONCASTER CCG (02X)Oxford Hip Score</v>
      </c>
      <c r="C2925" t="s">
        <v>247</v>
      </c>
      <c r="D2925" t="s">
        <v>87</v>
      </c>
      <c r="E2925" t="s">
        <v>767</v>
      </c>
      <c r="F2925" t="s">
        <v>768</v>
      </c>
      <c r="G2925" t="s">
        <v>14</v>
      </c>
      <c r="H2925">
        <v>22</v>
      </c>
      <c r="I2925">
        <v>16.545000000000002</v>
      </c>
      <c r="J2925">
        <v>27.408999999999999</v>
      </c>
      <c r="K2925">
        <v>10.864000000000001</v>
      </c>
      <c r="L2925">
        <v>18</v>
      </c>
      <c r="M2925">
        <v>0</v>
      </c>
      <c r="N2925">
        <v>4</v>
      </c>
      <c r="O2925" t="s">
        <v>53</v>
      </c>
      <c r="P2925" t="s">
        <v>53</v>
      </c>
      <c r="Q2925" t="s">
        <v>53</v>
      </c>
    </row>
    <row r="2926" spans="1:17" x14ac:dyDescent="0.2">
      <c r="A2926" s="30" t="str">
        <f>IF(C2926&amp;G2926&amp;D2926&lt;&gt;'Funnel setup'!$K$3&amp;'Funnel setup'!$K$4&amp;'Funnel setup'!$K$5,".",IF(A2925=".",1,A2925+1))</f>
        <v>.</v>
      </c>
      <c r="B2926" s="431" t="str">
        <f t="shared" si="45"/>
        <v>Hip Replacement RevisionCCG of GP PracticeNHS DORSET CCG (11J)Oxford Hip Score</v>
      </c>
      <c r="C2926" t="s">
        <v>247</v>
      </c>
      <c r="D2926" t="s">
        <v>87</v>
      </c>
      <c r="E2926" t="s">
        <v>854</v>
      </c>
      <c r="F2926" t="s">
        <v>855</v>
      </c>
      <c r="G2926" t="s">
        <v>14</v>
      </c>
      <c r="H2926">
        <v>23</v>
      </c>
      <c r="I2926">
        <v>22.652000000000001</v>
      </c>
      <c r="J2926">
        <v>33.521999999999998</v>
      </c>
      <c r="K2926">
        <v>10.87</v>
      </c>
      <c r="L2926">
        <v>18</v>
      </c>
      <c r="M2926">
        <v>3</v>
      </c>
      <c r="N2926">
        <v>2</v>
      </c>
      <c r="O2926" t="s">
        <v>53</v>
      </c>
      <c r="P2926" t="s">
        <v>53</v>
      </c>
      <c r="Q2926" t="s">
        <v>53</v>
      </c>
    </row>
    <row r="2927" spans="1:17" x14ac:dyDescent="0.2">
      <c r="A2927" s="30" t="str">
        <f>IF(C2927&amp;G2927&amp;D2927&lt;&gt;'Funnel setup'!$K$3&amp;'Funnel setup'!$K$4&amp;'Funnel setup'!$K$5,".",IF(A2926=".",1,A2926+1))</f>
        <v>.</v>
      </c>
      <c r="B2927" s="431" t="str">
        <f t="shared" si="45"/>
        <v>Hip Replacement RevisionCCG of GP PracticeNHS DUDLEY CCG (05C)Oxford Hip Score</v>
      </c>
      <c r="C2927" t="s">
        <v>247</v>
      </c>
      <c r="D2927" t="s">
        <v>87</v>
      </c>
      <c r="E2927" t="s">
        <v>857</v>
      </c>
      <c r="F2927" t="s">
        <v>858</v>
      </c>
      <c r="G2927" t="s">
        <v>14</v>
      </c>
      <c r="H2927">
        <v>14</v>
      </c>
      <c r="I2927">
        <v>22.856999999999999</v>
      </c>
      <c r="J2927">
        <v>34.570999999999998</v>
      </c>
      <c r="K2927">
        <v>11.714</v>
      </c>
      <c r="L2927">
        <v>13</v>
      </c>
      <c r="M2927">
        <v>0</v>
      </c>
      <c r="N2927">
        <v>1</v>
      </c>
      <c r="O2927" t="s">
        <v>53</v>
      </c>
      <c r="P2927" t="s">
        <v>53</v>
      </c>
      <c r="Q2927" t="s">
        <v>53</v>
      </c>
    </row>
    <row r="2928" spans="1:17" x14ac:dyDescent="0.2">
      <c r="A2928" s="30" t="str">
        <f>IF(C2928&amp;G2928&amp;D2928&lt;&gt;'Funnel setup'!$K$3&amp;'Funnel setup'!$K$4&amp;'Funnel setup'!$K$5,".",IF(A2927=".",1,A2927+1))</f>
        <v>.</v>
      </c>
      <c r="B2928" s="431" t="str">
        <f t="shared" si="45"/>
        <v>Hip Replacement RevisionCCG of GP PracticeNHS DURHAM DALES, EASINGTON AND SEDGEFIELD CCG (00D)Oxford Hip Score</v>
      </c>
      <c r="C2928" t="s">
        <v>247</v>
      </c>
      <c r="D2928" t="s">
        <v>87</v>
      </c>
      <c r="E2928" t="s">
        <v>860</v>
      </c>
      <c r="F2928" t="s">
        <v>861</v>
      </c>
      <c r="G2928" t="s">
        <v>14</v>
      </c>
      <c r="H2928">
        <v>11</v>
      </c>
      <c r="I2928">
        <v>15.727</v>
      </c>
      <c r="J2928">
        <v>32.817999999999998</v>
      </c>
      <c r="K2928">
        <v>17.091000000000001</v>
      </c>
      <c r="L2928">
        <v>10</v>
      </c>
      <c r="M2928">
        <v>0</v>
      </c>
      <c r="N2928">
        <v>1</v>
      </c>
      <c r="O2928" t="s">
        <v>53</v>
      </c>
      <c r="P2928" t="s">
        <v>53</v>
      </c>
      <c r="Q2928" t="s">
        <v>53</v>
      </c>
    </row>
    <row r="2929" spans="1:17" x14ac:dyDescent="0.2">
      <c r="A2929" s="30" t="str">
        <f>IF(C2929&amp;G2929&amp;D2929&lt;&gt;'Funnel setup'!$K$3&amp;'Funnel setup'!$K$4&amp;'Funnel setup'!$K$5,".",IF(A2928=".",1,A2928+1))</f>
        <v>.</v>
      </c>
      <c r="B2929" s="431" t="str">
        <f t="shared" si="45"/>
        <v>Hip Replacement RevisionCCG of GP PracticeNHS EALING CCG (07W)Oxford Hip Score</v>
      </c>
      <c r="C2929" t="s">
        <v>247</v>
      </c>
      <c r="D2929" t="s">
        <v>87</v>
      </c>
      <c r="E2929" t="s">
        <v>863</v>
      </c>
      <c r="F2929" t="s">
        <v>864</v>
      </c>
      <c r="G2929" t="s">
        <v>14</v>
      </c>
      <c r="H2929">
        <v>8</v>
      </c>
      <c r="I2929">
        <v>15.875</v>
      </c>
      <c r="J2929">
        <v>37.25</v>
      </c>
      <c r="K2929">
        <v>21.375</v>
      </c>
      <c r="L2929">
        <v>8</v>
      </c>
      <c r="M2929">
        <v>0</v>
      </c>
      <c r="N2929">
        <v>0</v>
      </c>
      <c r="O2929" t="s">
        <v>53</v>
      </c>
      <c r="P2929" t="s">
        <v>53</v>
      </c>
      <c r="Q2929" t="s">
        <v>53</v>
      </c>
    </row>
    <row r="2930" spans="1:17" x14ac:dyDescent="0.2">
      <c r="A2930" s="30" t="str">
        <f>IF(C2930&amp;G2930&amp;D2930&lt;&gt;'Funnel setup'!$K$3&amp;'Funnel setup'!$K$4&amp;'Funnel setup'!$K$5,".",IF(A2929=".",1,A2929+1))</f>
        <v>.</v>
      </c>
      <c r="B2930" s="431" t="str">
        <f t="shared" si="45"/>
        <v>Hip Replacement RevisionCCG of GP PracticeNHS EAST AND NORTH HERTFORDSHIRE CCG (06K)Oxford Hip Score</v>
      </c>
      <c r="C2930" t="s">
        <v>247</v>
      </c>
      <c r="D2930" t="s">
        <v>87</v>
      </c>
      <c r="E2930" t="s">
        <v>866</v>
      </c>
      <c r="F2930" t="s">
        <v>867</v>
      </c>
      <c r="G2930" t="s">
        <v>14</v>
      </c>
      <c r="H2930">
        <v>26</v>
      </c>
      <c r="I2930">
        <v>18.538</v>
      </c>
      <c r="J2930">
        <v>33.615000000000002</v>
      </c>
      <c r="K2930">
        <v>15.077</v>
      </c>
      <c r="L2930">
        <v>23</v>
      </c>
      <c r="M2930">
        <v>0</v>
      </c>
      <c r="N2930">
        <v>3</v>
      </c>
      <c r="O2930" t="s">
        <v>53</v>
      </c>
      <c r="P2930" t="s">
        <v>53</v>
      </c>
      <c r="Q2930" t="s">
        <v>53</v>
      </c>
    </row>
    <row r="2931" spans="1:17" x14ac:dyDescent="0.2">
      <c r="A2931" s="30" t="str">
        <f>IF(C2931&amp;G2931&amp;D2931&lt;&gt;'Funnel setup'!$K$3&amp;'Funnel setup'!$K$4&amp;'Funnel setup'!$K$5,".",IF(A2930=".",1,A2930+1))</f>
        <v>.</v>
      </c>
      <c r="B2931" s="431" t="str">
        <f t="shared" si="45"/>
        <v>Hip Replacement RevisionCCG of GP PracticeNHS EAST LANCASHIRE CCG (01A)Oxford Hip Score</v>
      </c>
      <c r="C2931" t="s">
        <v>247</v>
      </c>
      <c r="D2931" t="s">
        <v>87</v>
      </c>
      <c r="E2931" t="s">
        <v>869</v>
      </c>
      <c r="F2931" t="s">
        <v>870</v>
      </c>
      <c r="G2931" t="s">
        <v>14</v>
      </c>
      <c r="H2931">
        <v>17</v>
      </c>
      <c r="I2931">
        <v>19.471</v>
      </c>
      <c r="J2931">
        <v>29.175999999999998</v>
      </c>
      <c r="K2931">
        <v>9.7059999999999995</v>
      </c>
      <c r="L2931">
        <v>13</v>
      </c>
      <c r="M2931">
        <v>0</v>
      </c>
      <c r="N2931">
        <v>4</v>
      </c>
      <c r="O2931" t="s">
        <v>53</v>
      </c>
      <c r="P2931" t="s">
        <v>53</v>
      </c>
      <c r="Q2931" t="s">
        <v>53</v>
      </c>
    </row>
    <row r="2932" spans="1:17" x14ac:dyDescent="0.2">
      <c r="A2932" s="30" t="str">
        <f>IF(C2932&amp;G2932&amp;D2932&lt;&gt;'Funnel setup'!$K$3&amp;'Funnel setup'!$K$4&amp;'Funnel setup'!$K$5,".",IF(A2931=".",1,A2931+1))</f>
        <v>.</v>
      </c>
      <c r="B2932" s="431" t="str">
        <f t="shared" si="45"/>
        <v>Hip Replacement RevisionCCG of GP PracticeNHS EAST LEICESTERSHIRE AND RUTLAND CCG (03W)Oxford Hip Score</v>
      </c>
      <c r="C2932" t="s">
        <v>247</v>
      </c>
      <c r="D2932" t="s">
        <v>87</v>
      </c>
      <c r="E2932" t="s">
        <v>872</v>
      </c>
      <c r="F2932" t="s">
        <v>873</v>
      </c>
      <c r="G2932" t="s">
        <v>14</v>
      </c>
      <c r="H2932">
        <v>16</v>
      </c>
      <c r="I2932">
        <v>20</v>
      </c>
      <c r="J2932">
        <v>35.375</v>
      </c>
      <c r="K2932">
        <v>15.375</v>
      </c>
      <c r="L2932">
        <v>15</v>
      </c>
      <c r="M2932">
        <v>0</v>
      </c>
      <c r="N2932">
        <v>1</v>
      </c>
      <c r="O2932" t="s">
        <v>53</v>
      </c>
      <c r="P2932" t="s">
        <v>53</v>
      </c>
      <c r="Q2932" t="s">
        <v>53</v>
      </c>
    </row>
    <row r="2933" spans="1:17" x14ac:dyDescent="0.2">
      <c r="A2933" s="30" t="str">
        <f>IF(C2933&amp;G2933&amp;D2933&lt;&gt;'Funnel setup'!$K$3&amp;'Funnel setup'!$K$4&amp;'Funnel setup'!$K$5,".",IF(A2932=".",1,A2932+1))</f>
        <v>.</v>
      </c>
      <c r="B2933" s="431" t="str">
        <f t="shared" si="45"/>
        <v>Hip Replacement RevisionCCG of GP PracticeNHS EAST RIDING OF YORKSHIRE CCG (02Y)Oxford Hip Score</v>
      </c>
      <c r="C2933" t="s">
        <v>247</v>
      </c>
      <c r="D2933" t="s">
        <v>87</v>
      </c>
      <c r="E2933" t="s">
        <v>875</v>
      </c>
      <c r="F2933" t="s">
        <v>876</v>
      </c>
      <c r="G2933" t="s">
        <v>14</v>
      </c>
      <c r="H2933">
        <v>18</v>
      </c>
      <c r="I2933">
        <v>23.111000000000001</v>
      </c>
      <c r="J2933">
        <v>39.110999999999997</v>
      </c>
      <c r="K2933">
        <v>16</v>
      </c>
      <c r="L2933">
        <v>17</v>
      </c>
      <c r="M2933">
        <v>1</v>
      </c>
      <c r="N2933">
        <v>0</v>
      </c>
      <c r="O2933" t="s">
        <v>53</v>
      </c>
      <c r="P2933" t="s">
        <v>53</v>
      </c>
      <c r="Q2933" t="s">
        <v>53</v>
      </c>
    </row>
    <row r="2934" spans="1:17" x14ac:dyDescent="0.2">
      <c r="A2934" s="30" t="str">
        <f>IF(C2934&amp;G2934&amp;D2934&lt;&gt;'Funnel setup'!$K$3&amp;'Funnel setup'!$K$4&amp;'Funnel setup'!$K$5,".",IF(A2933=".",1,A2933+1))</f>
        <v>.</v>
      </c>
      <c r="B2934" s="431" t="str">
        <f t="shared" si="45"/>
        <v>Hip Replacement RevisionCCG of GP PracticeNHS EAST STAFFORDSHIRE CCG (05D)Oxford Hip Score</v>
      </c>
      <c r="C2934" t="s">
        <v>247</v>
      </c>
      <c r="D2934" t="s">
        <v>87</v>
      </c>
      <c r="E2934" t="s">
        <v>878</v>
      </c>
      <c r="F2934" t="s">
        <v>879</v>
      </c>
      <c r="G2934" t="s">
        <v>14</v>
      </c>
      <c r="H2934">
        <v>11</v>
      </c>
      <c r="I2934">
        <v>18.273</v>
      </c>
      <c r="J2934">
        <v>36.636000000000003</v>
      </c>
      <c r="K2934">
        <v>18.364000000000001</v>
      </c>
      <c r="L2934">
        <v>11</v>
      </c>
      <c r="M2934">
        <v>0</v>
      </c>
      <c r="N2934">
        <v>0</v>
      </c>
      <c r="O2934" t="s">
        <v>53</v>
      </c>
      <c r="P2934" t="s">
        <v>53</v>
      </c>
      <c r="Q2934" t="s">
        <v>53</v>
      </c>
    </row>
    <row r="2935" spans="1:17" x14ac:dyDescent="0.2">
      <c r="A2935" s="30" t="str">
        <f>IF(C2935&amp;G2935&amp;D2935&lt;&gt;'Funnel setup'!$K$3&amp;'Funnel setup'!$K$4&amp;'Funnel setup'!$K$5,".",IF(A2934=".",1,A2934+1))</f>
        <v>.</v>
      </c>
      <c r="B2935" s="431" t="str">
        <f t="shared" si="45"/>
        <v>Hip Replacement RevisionCCG of GP PracticeNHS EAST SURREY CCG (09L)Oxford Hip Score</v>
      </c>
      <c r="C2935" t="s">
        <v>247</v>
      </c>
      <c r="D2935" t="s">
        <v>87</v>
      </c>
      <c r="E2935" t="s">
        <v>881</v>
      </c>
      <c r="F2935" t="s">
        <v>882</v>
      </c>
      <c r="G2935" t="s">
        <v>14</v>
      </c>
      <c r="H2935">
        <v>6</v>
      </c>
      <c r="I2935">
        <v>28.332999999999998</v>
      </c>
      <c r="J2935">
        <v>32.5</v>
      </c>
      <c r="K2935">
        <v>4.1669999999999998</v>
      </c>
      <c r="L2935">
        <v>4</v>
      </c>
      <c r="M2935">
        <v>0</v>
      </c>
      <c r="N2935">
        <v>2</v>
      </c>
      <c r="O2935" t="s">
        <v>53</v>
      </c>
      <c r="P2935" t="s">
        <v>53</v>
      </c>
      <c r="Q2935" t="s">
        <v>53</v>
      </c>
    </row>
    <row r="2936" spans="1:17" x14ac:dyDescent="0.2">
      <c r="A2936" s="30" t="str">
        <f>IF(C2936&amp;G2936&amp;D2936&lt;&gt;'Funnel setup'!$K$3&amp;'Funnel setup'!$K$4&amp;'Funnel setup'!$K$5,".",IF(A2935=".",1,A2935+1))</f>
        <v>.</v>
      </c>
      <c r="B2936" s="431" t="str">
        <f t="shared" si="45"/>
        <v>Hip Replacement RevisionCCG of GP PracticeNHS EASTBOURNE, HAILSHAM AND SEAFORD CCG (09F)Oxford Hip Score</v>
      </c>
      <c r="C2936" t="s">
        <v>247</v>
      </c>
      <c r="D2936" t="s">
        <v>87</v>
      </c>
      <c r="E2936" t="s">
        <v>884</v>
      </c>
      <c r="F2936" t="s">
        <v>885</v>
      </c>
      <c r="G2936" t="s">
        <v>14</v>
      </c>
      <c r="H2936">
        <v>26</v>
      </c>
      <c r="I2936">
        <v>21.731000000000002</v>
      </c>
      <c r="J2936">
        <v>34.537999999999997</v>
      </c>
      <c r="K2936">
        <v>12.808</v>
      </c>
      <c r="L2936">
        <v>21</v>
      </c>
      <c r="M2936">
        <v>1</v>
      </c>
      <c r="N2936">
        <v>4</v>
      </c>
      <c r="O2936" t="s">
        <v>53</v>
      </c>
      <c r="P2936" t="s">
        <v>53</v>
      </c>
      <c r="Q2936" t="s">
        <v>53</v>
      </c>
    </row>
    <row r="2937" spans="1:17" x14ac:dyDescent="0.2">
      <c r="A2937" s="30" t="str">
        <f>IF(C2937&amp;G2937&amp;D2937&lt;&gt;'Funnel setup'!$K$3&amp;'Funnel setup'!$K$4&amp;'Funnel setup'!$K$5,".",IF(A2936=".",1,A2936+1))</f>
        <v>.</v>
      </c>
      <c r="B2937" s="431" t="str">
        <f t="shared" si="45"/>
        <v>Hip Replacement RevisionCCG of GP PracticeNHS EASTERN CHESHIRE CCG (01C)Oxford Hip Score</v>
      </c>
      <c r="C2937" t="s">
        <v>247</v>
      </c>
      <c r="D2937" t="s">
        <v>87</v>
      </c>
      <c r="E2937" t="s">
        <v>887</v>
      </c>
      <c r="F2937" t="s">
        <v>888</v>
      </c>
      <c r="G2937" t="s">
        <v>14</v>
      </c>
      <c r="H2937">
        <v>6</v>
      </c>
      <c r="I2937">
        <v>15.5</v>
      </c>
      <c r="J2937">
        <v>30.5</v>
      </c>
      <c r="K2937">
        <v>15</v>
      </c>
      <c r="L2937">
        <v>5</v>
      </c>
      <c r="M2937">
        <v>0</v>
      </c>
      <c r="N2937">
        <v>1</v>
      </c>
      <c r="O2937" t="s">
        <v>53</v>
      </c>
      <c r="P2937" t="s">
        <v>53</v>
      </c>
      <c r="Q2937" t="s">
        <v>53</v>
      </c>
    </row>
    <row r="2938" spans="1:17" x14ac:dyDescent="0.2">
      <c r="A2938" s="30" t="str">
        <f>IF(C2938&amp;G2938&amp;D2938&lt;&gt;'Funnel setup'!$K$3&amp;'Funnel setup'!$K$4&amp;'Funnel setup'!$K$5,".",IF(A2937=".",1,A2937+1))</f>
        <v>.</v>
      </c>
      <c r="B2938" s="431" t="str">
        <f t="shared" si="45"/>
        <v>Hip Replacement RevisionCCG of GP PracticeNHS ENFIELD CCG (07X)Oxford Hip Score</v>
      </c>
      <c r="C2938" t="s">
        <v>247</v>
      </c>
      <c r="D2938" t="s">
        <v>87</v>
      </c>
      <c r="E2938" t="s">
        <v>890</v>
      </c>
      <c r="F2938" t="s">
        <v>891</v>
      </c>
      <c r="G2938" t="s">
        <v>14</v>
      </c>
      <c r="H2938" t="s">
        <v>53</v>
      </c>
      <c r="I2938" t="s">
        <v>53</v>
      </c>
      <c r="J2938" t="s">
        <v>53</v>
      </c>
      <c r="K2938" t="s">
        <v>53</v>
      </c>
      <c r="L2938" t="s">
        <v>53</v>
      </c>
      <c r="M2938" t="s">
        <v>53</v>
      </c>
      <c r="N2938" t="s">
        <v>53</v>
      </c>
      <c r="O2938" t="s">
        <v>53</v>
      </c>
      <c r="P2938" t="s">
        <v>53</v>
      </c>
      <c r="Q2938" t="s">
        <v>53</v>
      </c>
    </row>
    <row r="2939" spans="1:17" x14ac:dyDescent="0.2">
      <c r="A2939" s="30" t="str">
        <f>IF(C2939&amp;G2939&amp;D2939&lt;&gt;'Funnel setup'!$K$3&amp;'Funnel setup'!$K$4&amp;'Funnel setup'!$K$5,".",IF(A2938=".",1,A2938+1))</f>
        <v>.</v>
      </c>
      <c r="B2939" s="431" t="str">
        <f t="shared" si="45"/>
        <v>Hip Replacement RevisionCCG of GP PracticeNHS EREWASH CCG (03X)Oxford Hip Score</v>
      </c>
      <c r="C2939" t="s">
        <v>247</v>
      </c>
      <c r="D2939" t="s">
        <v>87</v>
      </c>
      <c r="E2939" t="s">
        <v>893</v>
      </c>
      <c r="F2939" t="s">
        <v>894</v>
      </c>
      <c r="G2939" t="s">
        <v>14</v>
      </c>
      <c r="H2939">
        <v>6</v>
      </c>
      <c r="I2939">
        <v>16.5</v>
      </c>
      <c r="J2939">
        <v>36.667000000000002</v>
      </c>
      <c r="K2939">
        <v>20.167000000000002</v>
      </c>
      <c r="L2939">
        <v>6</v>
      </c>
      <c r="M2939">
        <v>0</v>
      </c>
      <c r="N2939">
        <v>0</v>
      </c>
      <c r="O2939" t="s">
        <v>53</v>
      </c>
      <c r="P2939" t="s">
        <v>53</v>
      </c>
      <c r="Q2939" t="s">
        <v>53</v>
      </c>
    </row>
    <row r="2940" spans="1:17" x14ac:dyDescent="0.2">
      <c r="A2940" s="30" t="str">
        <f>IF(C2940&amp;G2940&amp;D2940&lt;&gt;'Funnel setup'!$K$3&amp;'Funnel setup'!$K$4&amp;'Funnel setup'!$K$5,".",IF(A2939=".",1,A2939+1))</f>
        <v>.</v>
      </c>
      <c r="B2940" s="431" t="str">
        <f t="shared" si="45"/>
        <v>Hip Replacement RevisionCCG of GP PracticeNHS FAREHAM AND GOSPORT CCG (10K)Oxford Hip Score</v>
      </c>
      <c r="C2940" t="s">
        <v>247</v>
      </c>
      <c r="D2940" t="s">
        <v>87</v>
      </c>
      <c r="E2940" t="s">
        <v>896</v>
      </c>
      <c r="F2940" t="s">
        <v>897</v>
      </c>
      <c r="G2940" t="s">
        <v>14</v>
      </c>
      <c r="H2940" t="s">
        <v>53</v>
      </c>
      <c r="I2940" t="s">
        <v>53</v>
      </c>
      <c r="J2940" t="s">
        <v>53</v>
      </c>
      <c r="K2940" t="s">
        <v>53</v>
      </c>
      <c r="L2940" t="s">
        <v>53</v>
      </c>
      <c r="M2940" t="s">
        <v>53</v>
      </c>
      <c r="N2940" t="s">
        <v>53</v>
      </c>
      <c r="O2940" t="s">
        <v>53</v>
      </c>
      <c r="P2940" t="s">
        <v>53</v>
      </c>
      <c r="Q2940" t="s">
        <v>53</v>
      </c>
    </row>
    <row r="2941" spans="1:17" x14ac:dyDescent="0.2">
      <c r="A2941" s="30" t="str">
        <f>IF(C2941&amp;G2941&amp;D2941&lt;&gt;'Funnel setup'!$K$3&amp;'Funnel setup'!$K$4&amp;'Funnel setup'!$K$5,".",IF(A2940=".",1,A2940+1))</f>
        <v>.</v>
      </c>
      <c r="B2941" s="431" t="str">
        <f t="shared" si="45"/>
        <v>Hip Replacement RevisionCCG of GP PracticeNHS FYLDE &amp; WYRE CCG (02M)Oxford Hip Score</v>
      </c>
      <c r="C2941" t="s">
        <v>247</v>
      </c>
      <c r="D2941" t="s">
        <v>87</v>
      </c>
      <c r="E2941" t="s">
        <v>899</v>
      </c>
      <c r="F2941" t="s">
        <v>900</v>
      </c>
      <c r="G2941" t="s">
        <v>14</v>
      </c>
      <c r="H2941" t="s">
        <v>53</v>
      </c>
      <c r="I2941" t="s">
        <v>53</v>
      </c>
      <c r="J2941" t="s">
        <v>53</v>
      </c>
      <c r="K2941" t="s">
        <v>53</v>
      </c>
      <c r="L2941" t="s">
        <v>53</v>
      </c>
      <c r="M2941" t="s">
        <v>53</v>
      </c>
      <c r="N2941" t="s">
        <v>53</v>
      </c>
      <c r="O2941" t="s">
        <v>53</v>
      </c>
      <c r="P2941" t="s">
        <v>53</v>
      </c>
      <c r="Q2941" t="s">
        <v>53</v>
      </c>
    </row>
    <row r="2942" spans="1:17" x14ac:dyDescent="0.2">
      <c r="A2942" s="30" t="str">
        <f>IF(C2942&amp;G2942&amp;D2942&lt;&gt;'Funnel setup'!$K$3&amp;'Funnel setup'!$K$4&amp;'Funnel setup'!$K$5,".",IF(A2941=".",1,A2941+1))</f>
        <v>.</v>
      </c>
      <c r="B2942" s="431" t="str">
        <f t="shared" si="45"/>
        <v>Hip Replacement RevisionCCG of GP PracticeNHS GLOUCESTERSHIRE CCG (11M)Oxford Hip Score</v>
      </c>
      <c r="C2942" t="s">
        <v>247</v>
      </c>
      <c r="D2942" t="s">
        <v>87</v>
      </c>
      <c r="E2942" t="s">
        <v>902</v>
      </c>
      <c r="F2942" t="s">
        <v>903</v>
      </c>
      <c r="G2942" t="s">
        <v>14</v>
      </c>
      <c r="H2942">
        <v>43</v>
      </c>
      <c r="I2942">
        <v>20.814</v>
      </c>
      <c r="J2942">
        <v>30.488</v>
      </c>
      <c r="K2942">
        <v>9.6739999999999995</v>
      </c>
      <c r="L2942">
        <v>35</v>
      </c>
      <c r="M2942">
        <v>3</v>
      </c>
      <c r="N2942">
        <v>5</v>
      </c>
      <c r="O2942">
        <v>30.539000000000001</v>
      </c>
      <c r="P2942">
        <v>9.6645136310000002</v>
      </c>
      <c r="Q2942">
        <v>8.7390000000000008</v>
      </c>
    </row>
    <row r="2943" spans="1:17" x14ac:dyDescent="0.2">
      <c r="A2943" s="30" t="str">
        <f>IF(C2943&amp;G2943&amp;D2943&lt;&gt;'Funnel setup'!$K$3&amp;'Funnel setup'!$K$4&amp;'Funnel setup'!$K$5,".",IF(A2942=".",1,A2942+1))</f>
        <v>.</v>
      </c>
      <c r="B2943" s="431" t="str">
        <f t="shared" si="45"/>
        <v>Hip Replacement RevisionCCG of GP PracticeNHS GREAT YARMOUTH AND WAVENEY CCG (06M)Oxford Hip Score</v>
      </c>
      <c r="C2943" t="s">
        <v>247</v>
      </c>
      <c r="D2943" t="s">
        <v>87</v>
      </c>
      <c r="E2943" t="s">
        <v>905</v>
      </c>
      <c r="F2943" t="s">
        <v>906</v>
      </c>
      <c r="G2943" t="s">
        <v>14</v>
      </c>
      <c r="H2943">
        <v>12</v>
      </c>
      <c r="I2943">
        <v>18.332999999999998</v>
      </c>
      <c r="J2943">
        <v>33.25</v>
      </c>
      <c r="K2943">
        <v>14.917</v>
      </c>
      <c r="L2943">
        <v>11</v>
      </c>
      <c r="M2943">
        <v>0</v>
      </c>
      <c r="N2943">
        <v>1</v>
      </c>
      <c r="O2943" t="s">
        <v>53</v>
      </c>
      <c r="P2943" t="s">
        <v>53</v>
      </c>
      <c r="Q2943" t="s">
        <v>53</v>
      </c>
    </row>
    <row r="2944" spans="1:17" x14ac:dyDescent="0.2">
      <c r="A2944" s="30" t="str">
        <f>IF(C2944&amp;G2944&amp;D2944&lt;&gt;'Funnel setup'!$K$3&amp;'Funnel setup'!$K$4&amp;'Funnel setup'!$K$5,".",IF(A2943=".",1,A2943+1))</f>
        <v>.</v>
      </c>
      <c r="B2944" s="431" t="str">
        <f t="shared" si="45"/>
        <v>Hip Replacement RevisionCCG of GP PracticeNHS GREATER HUDDERSFIELD CCG (03A)Oxford Hip Score</v>
      </c>
      <c r="C2944" t="s">
        <v>247</v>
      </c>
      <c r="D2944" t="s">
        <v>87</v>
      </c>
      <c r="E2944" t="s">
        <v>908</v>
      </c>
      <c r="F2944" t="s">
        <v>909</v>
      </c>
      <c r="G2944" t="s">
        <v>14</v>
      </c>
      <c r="H2944">
        <v>16</v>
      </c>
      <c r="I2944">
        <v>24.937999999999999</v>
      </c>
      <c r="J2944">
        <v>38.188000000000002</v>
      </c>
      <c r="K2944">
        <v>13.25</v>
      </c>
      <c r="L2944">
        <v>14</v>
      </c>
      <c r="M2944">
        <v>2</v>
      </c>
      <c r="N2944">
        <v>0</v>
      </c>
      <c r="O2944" t="s">
        <v>53</v>
      </c>
      <c r="P2944" t="s">
        <v>53</v>
      </c>
      <c r="Q2944" t="s">
        <v>53</v>
      </c>
    </row>
    <row r="2945" spans="1:17" x14ac:dyDescent="0.2">
      <c r="A2945" s="30" t="str">
        <f>IF(C2945&amp;G2945&amp;D2945&lt;&gt;'Funnel setup'!$K$3&amp;'Funnel setup'!$K$4&amp;'Funnel setup'!$K$5,".",IF(A2944=".",1,A2944+1))</f>
        <v>.</v>
      </c>
      <c r="B2945" s="431" t="str">
        <f t="shared" si="45"/>
        <v>Hip Replacement RevisionCCG of GP PracticeNHS GREATER PRESTON CCG (01E)Oxford Hip Score</v>
      </c>
      <c r="C2945" t="s">
        <v>247</v>
      </c>
      <c r="D2945" t="s">
        <v>87</v>
      </c>
      <c r="E2945" t="s">
        <v>486</v>
      </c>
      <c r="F2945" t="s">
        <v>487</v>
      </c>
      <c r="G2945" t="s">
        <v>14</v>
      </c>
      <c r="H2945">
        <v>15</v>
      </c>
      <c r="I2945">
        <v>23.332999999999998</v>
      </c>
      <c r="J2945">
        <v>38.332999999999998</v>
      </c>
      <c r="K2945">
        <v>15</v>
      </c>
      <c r="L2945">
        <v>13</v>
      </c>
      <c r="M2945">
        <v>1</v>
      </c>
      <c r="N2945">
        <v>1</v>
      </c>
      <c r="O2945" t="s">
        <v>53</v>
      </c>
      <c r="P2945" t="s">
        <v>53</v>
      </c>
      <c r="Q2945" t="s">
        <v>53</v>
      </c>
    </row>
    <row r="2946" spans="1:17" x14ac:dyDescent="0.2">
      <c r="A2946" s="30" t="str">
        <f>IF(C2946&amp;G2946&amp;D2946&lt;&gt;'Funnel setup'!$K$3&amp;'Funnel setup'!$K$4&amp;'Funnel setup'!$K$5,".",IF(A2945=".",1,A2945+1))</f>
        <v>.</v>
      </c>
      <c r="B2946" s="431" t="str">
        <f t="shared" si="45"/>
        <v>Hip Replacement RevisionCCG of GP PracticeNHS GREENWICH CCG (08A)Oxford Hip Score</v>
      </c>
      <c r="C2946" t="s">
        <v>247</v>
      </c>
      <c r="D2946" t="s">
        <v>87</v>
      </c>
      <c r="E2946" t="s">
        <v>489</v>
      </c>
      <c r="F2946" t="s">
        <v>490</v>
      </c>
      <c r="G2946" t="s">
        <v>14</v>
      </c>
      <c r="H2946" t="s">
        <v>53</v>
      </c>
      <c r="I2946" t="s">
        <v>53</v>
      </c>
      <c r="J2946" t="s">
        <v>53</v>
      </c>
      <c r="K2946" t="s">
        <v>53</v>
      </c>
      <c r="L2946" t="s">
        <v>53</v>
      </c>
      <c r="M2946" t="s">
        <v>53</v>
      </c>
      <c r="N2946" t="s">
        <v>53</v>
      </c>
      <c r="O2946" t="s">
        <v>53</v>
      </c>
      <c r="P2946" t="s">
        <v>53</v>
      </c>
      <c r="Q2946" t="s">
        <v>53</v>
      </c>
    </row>
    <row r="2947" spans="1:17" x14ac:dyDescent="0.2">
      <c r="A2947" s="30" t="str">
        <f>IF(C2947&amp;G2947&amp;D2947&lt;&gt;'Funnel setup'!$K$3&amp;'Funnel setup'!$K$4&amp;'Funnel setup'!$K$5,".",IF(A2946=".",1,A2946+1))</f>
        <v>.</v>
      </c>
      <c r="B2947" s="431" t="str">
        <f t="shared" ref="B2947:B3010" si="46">C2947&amp;D2947&amp;F2947&amp;G2947</f>
        <v>Hip Replacement RevisionCCG of GP PracticeNHS GUILDFORD AND WAVERLEY CCG (09N)Oxford Hip Score</v>
      </c>
      <c r="C2947" t="s">
        <v>247</v>
      </c>
      <c r="D2947" t="s">
        <v>87</v>
      </c>
      <c r="E2947" t="s">
        <v>911</v>
      </c>
      <c r="F2947" t="s">
        <v>912</v>
      </c>
      <c r="G2947" t="s">
        <v>14</v>
      </c>
      <c r="H2947">
        <v>7</v>
      </c>
      <c r="I2947">
        <v>18</v>
      </c>
      <c r="J2947">
        <v>27.856999999999999</v>
      </c>
      <c r="K2947">
        <v>9.8569999999999993</v>
      </c>
      <c r="L2947">
        <v>6</v>
      </c>
      <c r="M2947">
        <v>0</v>
      </c>
      <c r="N2947">
        <v>1</v>
      </c>
      <c r="O2947" t="s">
        <v>53</v>
      </c>
      <c r="P2947" t="s">
        <v>53</v>
      </c>
      <c r="Q2947" t="s">
        <v>53</v>
      </c>
    </row>
    <row r="2948" spans="1:17" x14ac:dyDescent="0.2">
      <c r="A2948" s="30" t="str">
        <f>IF(C2948&amp;G2948&amp;D2948&lt;&gt;'Funnel setup'!$K$3&amp;'Funnel setup'!$K$4&amp;'Funnel setup'!$K$5,".",IF(A2947=".",1,A2947+1))</f>
        <v>.</v>
      </c>
      <c r="B2948" s="431" t="str">
        <f t="shared" si="46"/>
        <v>Hip Replacement RevisionCCG of GP PracticeNHS HALTON CCG (01F)Oxford Hip Score</v>
      </c>
      <c r="C2948" t="s">
        <v>247</v>
      </c>
      <c r="D2948" t="s">
        <v>87</v>
      </c>
      <c r="E2948" t="s">
        <v>914</v>
      </c>
      <c r="F2948" t="s">
        <v>915</v>
      </c>
      <c r="G2948" t="s">
        <v>14</v>
      </c>
      <c r="H2948" t="s">
        <v>53</v>
      </c>
      <c r="I2948" t="s">
        <v>53</v>
      </c>
      <c r="J2948" t="s">
        <v>53</v>
      </c>
      <c r="K2948" t="s">
        <v>53</v>
      </c>
      <c r="L2948" t="s">
        <v>53</v>
      </c>
      <c r="M2948" t="s">
        <v>53</v>
      </c>
      <c r="N2948" t="s">
        <v>53</v>
      </c>
      <c r="O2948" t="s">
        <v>53</v>
      </c>
      <c r="P2948" t="s">
        <v>53</v>
      </c>
      <c r="Q2948" t="s">
        <v>53</v>
      </c>
    </row>
    <row r="2949" spans="1:17" x14ac:dyDescent="0.2">
      <c r="A2949" s="30" t="str">
        <f>IF(C2949&amp;G2949&amp;D2949&lt;&gt;'Funnel setup'!$K$3&amp;'Funnel setup'!$K$4&amp;'Funnel setup'!$K$5,".",IF(A2948=".",1,A2948+1))</f>
        <v>.</v>
      </c>
      <c r="B2949" s="431" t="str">
        <f t="shared" si="46"/>
        <v>Hip Replacement RevisionCCG of GP PracticeNHS HAMBLETON, RICHMONDSHIRE AND WHITBY CCG (03D)Oxford Hip Score</v>
      </c>
      <c r="C2949" t="s">
        <v>247</v>
      </c>
      <c r="D2949" t="s">
        <v>87</v>
      </c>
      <c r="E2949" t="s">
        <v>917</v>
      </c>
      <c r="F2949" t="s">
        <v>918</v>
      </c>
      <c r="G2949" t="s">
        <v>14</v>
      </c>
      <c r="H2949">
        <v>23</v>
      </c>
      <c r="I2949">
        <v>21.087</v>
      </c>
      <c r="J2949">
        <v>32.738999999999997</v>
      </c>
      <c r="K2949">
        <v>11.651999999999999</v>
      </c>
      <c r="L2949">
        <v>18</v>
      </c>
      <c r="M2949">
        <v>0</v>
      </c>
      <c r="N2949">
        <v>5</v>
      </c>
      <c r="O2949" t="s">
        <v>53</v>
      </c>
      <c r="P2949" t="s">
        <v>53</v>
      </c>
      <c r="Q2949" t="s">
        <v>53</v>
      </c>
    </row>
    <row r="2950" spans="1:17" x14ac:dyDescent="0.2">
      <c r="A2950" s="30" t="str">
        <f>IF(C2950&amp;G2950&amp;D2950&lt;&gt;'Funnel setup'!$K$3&amp;'Funnel setup'!$K$4&amp;'Funnel setup'!$K$5,".",IF(A2949=".",1,A2949+1))</f>
        <v>.</v>
      </c>
      <c r="B2950" s="431" t="str">
        <f t="shared" si="46"/>
        <v>Hip Replacement RevisionCCG of GP PracticeNHS HAMMERSMITH AND FULHAM CCG (08C)Oxford Hip Score</v>
      </c>
      <c r="C2950" t="s">
        <v>247</v>
      </c>
      <c r="D2950" t="s">
        <v>87</v>
      </c>
      <c r="E2950" t="s">
        <v>920</v>
      </c>
      <c r="F2950" t="s">
        <v>921</v>
      </c>
      <c r="G2950" t="s">
        <v>14</v>
      </c>
      <c r="H2950" t="s">
        <v>53</v>
      </c>
      <c r="I2950" t="s">
        <v>53</v>
      </c>
      <c r="J2950" t="s">
        <v>53</v>
      </c>
      <c r="K2950" t="s">
        <v>53</v>
      </c>
      <c r="L2950" t="s">
        <v>53</v>
      </c>
      <c r="M2950" t="s">
        <v>53</v>
      </c>
      <c r="N2950" t="s">
        <v>53</v>
      </c>
      <c r="O2950" t="s">
        <v>53</v>
      </c>
      <c r="P2950" t="s">
        <v>53</v>
      </c>
      <c r="Q2950" t="s">
        <v>53</v>
      </c>
    </row>
    <row r="2951" spans="1:17" x14ac:dyDescent="0.2">
      <c r="A2951" s="30" t="str">
        <f>IF(C2951&amp;G2951&amp;D2951&lt;&gt;'Funnel setup'!$K$3&amp;'Funnel setup'!$K$4&amp;'Funnel setup'!$K$5,".",IF(A2950=".",1,A2950+1))</f>
        <v>.</v>
      </c>
      <c r="B2951" s="431" t="str">
        <f t="shared" si="46"/>
        <v>Hip Replacement RevisionCCG of GP PracticeNHS HARDWICK CCG (03Y)Oxford Hip Score</v>
      </c>
      <c r="C2951" t="s">
        <v>247</v>
      </c>
      <c r="D2951" t="s">
        <v>87</v>
      </c>
      <c r="E2951" t="s">
        <v>923</v>
      </c>
      <c r="F2951" t="s">
        <v>924</v>
      </c>
      <c r="G2951" t="s">
        <v>14</v>
      </c>
      <c r="H2951" t="s">
        <v>53</v>
      </c>
      <c r="I2951" t="s">
        <v>53</v>
      </c>
      <c r="J2951" t="s">
        <v>53</v>
      </c>
      <c r="K2951" t="s">
        <v>53</v>
      </c>
      <c r="L2951" t="s">
        <v>53</v>
      </c>
      <c r="M2951" t="s">
        <v>53</v>
      </c>
      <c r="N2951" t="s">
        <v>53</v>
      </c>
      <c r="O2951" t="s">
        <v>53</v>
      </c>
      <c r="P2951" t="s">
        <v>53</v>
      </c>
      <c r="Q2951" t="s">
        <v>53</v>
      </c>
    </row>
    <row r="2952" spans="1:17" x14ac:dyDescent="0.2">
      <c r="A2952" s="30" t="str">
        <f>IF(C2952&amp;G2952&amp;D2952&lt;&gt;'Funnel setup'!$K$3&amp;'Funnel setup'!$K$4&amp;'Funnel setup'!$K$5,".",IF(A2951=".",1,A2951+1))</f>
        <v>.</v>
      </c>
      <c r="B2952" s="431" t="str">
        <f t="shared" si="46"/>
        <v>Hip Replacement RevisionCCG of GP PracticeNHS HARINGEY CCG (08D)Oxford Hip Score</v>
      </c>
      <c r="C2952" t="s">
        <v>247</v>
      </c>
      <c r="D2952" t="s">
        <v>87</v>
      </c>
      <c r="E2952" t="s">
        <v>926</v>
      </c>
      <c r="F2952" t="s">
        <v>927</v>
      </c>
      <c r="G2952" t="s">
        <v>14</v>
      </c>
      <c r="H2952" t="s">
        <v>53</v>
      </c>
      <c r="I2952" t="s">
        <v>53</v>
      </c>
      <c r="J2952" t="s">
        <v>53</v>
      </c>
      <c r="K2952" t="s">
        <v>53</v>
      </c>
      <c r="L2952" t="s">
        <v>53</v>
      </c>
      <c r="M2952" t="s">
        <v>53</v>
      </c>
      <c r="N2952" t="s">
        <v>53</v>
      </c>
      <c r="O2952" t="s">
        <v>53</v>
      </c>
      <c r="P2952" t="s">
        <v>53</v>
      </c>
      <c r="Q2952" t="s">
        <v>53</v>
      </c>
    </row>
    <row r="2953" spans="1:17" x14ac:dyDescent="0.2">
      <c r="A2953" s="30" t="str">
        <f>IF(C2953&amp;G2953&amp;D2953&lt;&gt;'Funnel setup'!$K$3&amp;'Funnel setup'!$K$4&amp;'Funnel setup'!$K$5,".",IF(A2952=".",1,A2952+1))</f>
        <v>.</v>
      </c>
      <c r="B2953" s="431" t="str">
        <f t="shared" si="46"/>
        <v>Hip Replacement RevisionCCG of GP PracticeNHS HARROGATE AND RURAL DISTRICT CCG (03E)Oxford Hip Score</v>
      </c>
      <c r="C2953" t="s">
        <v>247</v>
      </c>
      <c r="D2953" t="s">
        <v>87</v>
      </c>
      <c r="E2953" t="s">
        <v>929</v>
      </c>
      <c r="F2953" t="s">
        <v>930</v>
      </c>
      <c r="G2953" t="s">
        <v>14</v>
      </c>
      <c r="H2953">
        <v>15</v>
      </c>
      <c r="I2953">
        <v>24.8</v>
      </c>
      <c r="J2953">
        <v>38.466999999999999</v>
      </c>
      <c r="K2953">
        <v>13.667</v>
      </c>
      <c r="L2953">
        <v>13</v>
      </c>
      <c r="M2953">
        <v>0</v>
      </c>
      <c r="N2953">
        <v>2</v>
      </c>
      <c r="O2953" t="s">
        <v>53</v>
      </c>
      <c r="P2953" t="s">
        <v>53</v>
      </c>
      <c r="Q2953" t="s">
        <v>53</v>
      </c>
    </row>
    <row r="2954" spans="1:17" x14ac:dyDescent="0.2">
      <c r="A2954" s="30" t="str">
        <f>IF(C2954&amp;G2954&amp;D2954&lt;&gt;'Funnel setup'!$K$3&amp;'Funnel setup'!$K$4&amp;'Funnel setup'!$K$5,".",IF(A2953=".",1,A2953+1))</f>
        <v>.</v>
      </c>
      <c r="B2954" s="431" t="str">
        <f t="shared" si="46"/>
        <v>Hip Replacement RevisionCCG of GP PracticeNHS HARROW CCG (08E)Oxford Hip Score</v>
      </c>
      <c r="C2954" t="s">
        <v>247</v>
      </c>
      <c r="D2954" t="s">
        <v>87</v>
      </c>
      <c r="E2954" t="s">
        <v>492</v>
      </c>
      <c r="F2954" t="s">
        <v>493</v>
      </c>
      <c r="G2954" t="s">
        <v>14</v>
      </c>
      <c r="H2954">
        <v>7</v>
      </c>
      <c r="I2954">
        <v>18</v>
      </c>
      <c r="J2954">
        <v>27.856999999999999</v>
      </c>
      <c r="K2954">
        <v>9.8569999999999993</v>
      </c>
      <c r="L2954">
        <v>6</v>
      </c>
      <c r="M2954">
        <v>0</v>
      </c>
      <c r="N2954">
        <v>1</v>
      </c>
      <c r="O2954" t="s">
        <v>53</v>
      </c>
      <c r="P2954" t="s">
        <v>53</v>
      </c>
      <c r="Q2954" t="s">
        <v>53</v>
      </c>
    </row>
    <row r="2955" spans="1:17" x14ac:dyDescent="0.2">
      <c r="A2955" s="30" t="str">
        <f>IF(C2955&amp;G2955&amp;D2955&lt;&gt;'Funnel setup'!$K$3&amp;'Funnel setup'!$K$4&amp;'Funnel setup'!$K$5,".",IF(A2954=".",1,A2954+1))</f>
        <v>.</v>
      </c>
      <c r="B2955" s="431" t="str">
        <f t="shared" si="46"/>
        <v>Hip Replacement RevisionCCG of GP PracticeNHS HARTLEPOOL AND STOCKTON-ON-TEES CCG (00K)Oxford Hip Score</v>
      </c>
      <c r="C2955" t="s">
        <v>247</v>
      </c>
      <c r="D2955" t="s">
        <v>87</v>
      </c>
      <c r="E2955" t="s">
        <v>495</v>
      </c>
      <c r="F2955" t="s">
        <v>496</v>
      </c>
      <c r="G2955" t="s">
        <v>14</v>
      </c>
      <c r="H2955">
        <v>27</v>
      </c>
      <c r="I2955">
        <v>21.815000000000001</v>
      </c>
      <c r="J2955">
        <v>30.777999999999999</v>
      </c>
      <c r="K2955">
        <v>8.9629999999999992</v>
      </c>
      <c r="L2955">
        <v>22</v>
      </c>
      <c r="M2955">
        <v>0</v>
      </c>
      <c r="N2955">
        <v>5</v>
      </c>
      <c r="O2955" t="s">
        <v>53</v>
      </c>
      <c r="P2955" t="s">
        <v>53</v>
      </c>
      <c r="Q2955" t="s">
        <v>53</v>
      </c>
    </row>
    <row r="2956" spans="1:17" x14ac:dyDescent="0.2">
      <c r="A2956" s="30" t="str">
        <f>IF(C2956&amp;G2956&amp;D2956&lt;&gt;'Funnel setup'!$K$3&amp;'Funnel setup'!$K$4&amp;'Funnel setup'!$K$5,".",IF(A2955=".",1,A2955+1))</f>
        <v>.</v>
      </c>
      <c r="B2956" s="431" t="str">
        <f t="shared" si="46"/>
        <v>Hip Replacement RevisionCCG of GP PracticeNHS HASTINGS AND ROTHER CCG (09P)Oxford Hip Score</v>
      </c>
      <c r="C2956" t="s">
        <v>247</v>
      </c>
      <c r="D2956" t="s">
        <v>87</v>
      </c>
      <c r="E2956" t="s">
        <v>498</v>
      </c>
      <c r="F2956" t="s">
        <v>499</v>
      </c>
      <c r="G2956" t="s">
        <v>14</v>
      </c>
      <c r="H2956">
        <v>17</v>
      </c>
      <c r="I2956">
        <v>18.940999999999999</v>
      </c>
      <c r="J2956">
        <v>37.941000000000003</v>
      </c>
      <c r="K2956">
        <v>19</v>
      </c>
      <c r="L2956">
        <v>16</v>
      </c>
      <c r="M2956">
        <v>0</v>
      </c>
      <c r="N2956">
        <v>1</v>
      </c>
      <c r="O2956" t="s">
        <v>53</v>
      </c>
      <c r="P2956" t="s">
        <v>53</v>
      </c>
      <c r="Q2956" t="s">
        <v>53</v>
      </c>
    </row>
    <row r="2957" spans="1:17" x14ac:dyDescent="0.2">
      <c r="A2957" s="30" t="str">
        <f>IF(C2957&amp;G2957&amp;D2957&lt;&gt;'Funnel setup'!$K$3&amp;'Funnel setup'!$K$4&amp;'Funnel setup'!$K$5,".",IF(A2956=".",1,A2956+1))</f>
        <v>.</v>
      </c>
      <c r="B2957" s="431" t="str">
        <f t="shared" si="46"/>
        <v>Hip Replacement RevisionCCG of GP PracticeNHS HAVERING CCG (08F)Oxford Hip Score</v>
      </c>
      <c r="C2957" t="s">
        <v>247</v>
      </c>
      <c r="D2957" t="s">
        <v>87</v>
      </c>
      <c r="E2957" t="s">
        <v>501</v>
      </c>
      <c r="F2957" t="s">
        <v>502</v>
      </c>
      <c r="G2957" t="s">
        <v>14</v>
      </c>
      <c r="H2957">
        <v>6</v>
      </c>
      <c r="I2957">
        <v>13.167</v>
      </c>
      <c r="J2957">
        <v>34.832999999999998</v>
      </c>
      <c r="K2957">
        <v>21.667000000000002</v>
      </c>
      <c r="L2957">
        <v>6</v>
      </c>
      <c r="M2957">
        <v>0</v>
      </c>
      <c r="N2957">
        <v>0</v>
      </c>
      <c r="O2957" t="s">
        <v>53</v>
      </c>
      <c r="P2957" t="s">
        <v>53</v>
      </c>
      <c r="Q2957" t="s">
        <v>53</v>
      </c>
    </row>
    <row r="2958" spans="1:17" x14ac:dyDescent="0.2">
      <c r="A2958" s="30" t="str">
        <f>IF(C2958&amp;G2958&amp;D2958&lt;&gt;'Funnel setup'!$K$3&amp;'Funnel setup'!$K$4&amp;'Funnel setup'!$K$5,".",IF(A2957=".",1,A2957+1))</f>
        <v>.</v>
      </c>
      <c r="B2958" s="431" t="str">
        <f t="shared" si="46"/>
        <v>Hip Replacement RevisionCCG of GP PracticeNHS HEREFORDSHIRE CCG (05F)Oxford Hip Score</v>
      </c>
      <c r="C2958" t="s">
        <v>247</v>
      </c>
      <c r="D2958" t="s">
        <v>87</v>
      </c>
      <c r="E2958" t="s">
        <v>504</v>
      </c>
      <c r="F2958" t="s">
        <v>505</v>
      </c>
      <c r="G2958" t="s">
        <v>14</v>
      </c>
      <c r="H2958">
        <v>9</v>
      </c>
      <c r="I2958">
        <v>18.443999999999999</v>
      </c>
      <c r="J2958">
        <v>37.444000000000003</v>
      </c>
      <c r="K2958">
        <v>19</v>
      </c>
      <c r="L2958">
        <v>9</v>
      </c>
      <c r="M2958">
        <v>0</v>
      </c>
      <c r="N2958">
        <v>0</v>
      </c>
      <c r="O2958" t="s">
        <v>53</v>
      </c>
      <c r="P2958" t="s">
        <v>53</v>
      </c>
      <c r="Q2958" t="s">
        <v>53</v>
      </c>
    </row>
    <row r="2959" spans="1:17" x14ac:dyDescent="0.2">
      <c r="A2959" s="30" t="str">
        <f>IF(C2959&amp;G2959&amp;D2959&lt;&gt;'Funnel setup'!$K$3&amp;'Funnel setup'!$K$4&amp;'Funnel setup'!$K$5,".",IF(A2958=".",1,A2958+1))</f>
        <v>.</v>
      </c>
      <c r="B2959" s="431" t="str">
        <f t="shared" si="46"/>
        <v>Hip Replacement RevisionCCG of GP PracticeNHS HERTS VALLEYS CCG (06N)Oxford Hip Score</v>
      </c>
      <c r="C2959" t="s">
        <v>247</v>
      </c>
      <c r="D2959" t="s">
        <v>87</v>
      </c>
      <c r="E2959" t="s">
        <v>507</v>
      </c>
      <c r="F2959" t="s">
        <v>508</v>
      </c>
      <c r="G2959" t="s">
        <v>14</v>
      </c>
      <c r="H2959">
        <v>24</v>
      </c>
      <c r="I2959">
        <v>20.375</v>
      </c>
      <c r="J2959">
        <v>33.5</v>
      </c>
      <c r="K2959">
        <v>13.125</v>
      </c>
      <c r="L2959">
        <v>20</v>
      </c>
      <c r="M2959">
        <v>0</v>
      </c>
      <c r="N2959">
        <v>4</v>
      </c>
      <c r="O2959" t="s">
        <v>53</v>
      </c>
      <c r="P2959" t="s">
        <v>53</v>
      </c>
      <c r="Q2959" t="s">
        <v>53</v>
      </c>
    </row>
    <row r="2960" spans="1:17" x14ac:dyDescent="0.2">
      <c r="A2960" s="30" t="str">
        <f>IF(C2960&amp;G2960&amp;D2960&lt;&gt;'Funnel setup'!$K$3&amp;'Funnel setup'!$K$4&amp;'Funnel setup'!$K$5,".",IF(A2959=".",1,A2959+1))</f>
        <v>.</v>
      </c>
      <c r="B2960" s="431" t="str">
        <f t="shared" si="46"/>
        <v>Hip Replacement RevisionCCG of GP PracticeNHS HEYWOOD, MIDDLETON AND ROCHDALE CCG (01D)Oxford Hip Score</v>
      </c>
      <c r="C2960" t="s">
        <v>247</v>
      </c>
      <c r="D2960" t="s">
        <v>87</v>
      </c>
      <c r="E2960" t="s">
        <v>510</v>
      </c>
      <c r="F2960" t="s">
        <v>511</v>
      </c>
      <c r="G2960" t="s">
        <v>14</v>
      </c>
      <c r="H2960">
        <v>12</v>
      </c>
      <c r="I2960">
        <v>28.25</v>
      </c>
      <c r="J2960">
        <v>31.25</v>
      </c>
      <c r="K2960">
        <v>3</v>
      </c>
      <c r="L2960">
        <v>7</v>
      </c>
      <c r="M2960">
        <v>1</v>
      </c>
      <c r="N2960">
        <v>4</v>
      </c>
      <c r="O2960" t="s">
        <v>53</v>
      </c>
      <c r="P2960" t="s">
        <v>53</v>
      </c>
      <c r="Q2960" t="s">
        <v>53</v>
      </c>
    </row>
    <row r="2961" spans="1:17" x14ac:dyDescent="0.2">
      <c r="A2961" s="30" t="str">
        <f>IF(C2961&amp;G2961&amp;D2961&lt;&gt;'Funnel setup'!$K$3&amp;'Funnel setup'!$K$4&amp;'Funnel setup'!$K$5,".",IF(A2960=".",1,A2960+1))</f>
        <v>.</v>
      </c>
      <c r="B2961" s="431" t="str">
        <f t="shared" si="46"/>
        <v>Hip Replacement RevisionCCG of GP PracticeNHS HIGH WEALD LEWES HAVENS CCG (99K)Oxford Hip Score</v>
      </c>
      <c r="C2961" t="s">
        <v>247</v>
      </c>
      <c r="D2961" t="s">
        <v>87</v>
      </c>
      <c r="E2961" t="s">
        <v>513</v>
      </c>
      <c r="F2961" t="s">
        <v>514</v>
      </c>
      <c r="G2961" t="s">
        <v>14</v>
      </c>
      <c r="H2961">
        <v>14</v>
      </c>
      <c r="I2961">
        <v>27.643000000000001</v>
      </c>
      <c r="J2961">
        <v>33</v>
      </c>
      <c r="K2961">
        <v>5.3570000000000002</v>
      </c>
      <c r="L2961">
        <v>10</v>
      </c>
      <c r="M2961">
        <v>0</v>
      </c>
      <c r="N2961">
        <v>4</v>
      </c>
      <c r="O2961" t="s">
        <v>53</v>
      </c>
      <c r="P2961" t="s">
        <v>53</v>
      </c>
      <c r="Q2961" t="s">
        <v>53</v>
      </c>
    </row>
    <row r="2962" spans="1:17" x14ac:dyDescent="0.2">
      <c r="A2962" s="30" t="str">
        <f>IF(C2962&amp;G2962&amp;D2962&lt;&gt;'Funnel setup'!$K$3&amp;'Funnel setup'!$K$4&amp;'Funnel setup'!$K$5,".",IF(A2961=".",1,A2961+1))</f>
        <v>.</v>
      </c>
      <c r="B2962" s="431" t="str">
        <f t="shared" si="46"/>
        <v>Hip Replacement RevisionCCG of GP PracticeNHS HILLINGDON CCG (08G)Oxford Hip Score</v>
      </c>
      <c r="C2962" t="s">
        <v>247</v>
      </c>
      <c r="D2962" t="s">
        <v>87</v>
      </c>
      <c r="E2962" t="s">
        <v>516</v>
      </c>
      <c r="F2962" t="s">
        <v>517</v>
      </c>
      <c r="G2962" t="s">
        <v>14</v>
      </c>
      <c r="H2962" t="s">
        <v>53</v>
      </c>
      <c r="I2962" t="s">
        <v>53</v>
      </c>
      <c r="J2962" t="s">
        <v>53</v>
      </c>
      <c r="K2962" t="s">
        <v>53</v>
      </c>
      <c r="L2962" t="s">
        <v>53</v>
      </c>
      <c r="M2962" t="s">
        <v>53</v>
      </c>
      <c r="N2962" t="s">
        <v>53</v>
      </c>
      <c r="O2962" t="s">
        <v>53</v>
      </c>
      <c r="P2962" t="s">
        <v>53</v>
      </c>
      <c r="Q2962" t="s">
        <v>53</v>
      </c>
    </row>
    <row r="2963" spans="1:17" x14ac:dyDescent="0.2">
      <c r="A2963" s="30" t="str">
        <f>IF(C2963&amp;G2963&amp;D2963&lt;&gt;'Funnel setup'!$K$3&amp;'Funnel setup'!$K$4&amp;'Funnel setup'!$K$5,".",IF(A2962=".",1,A2962+1))</f>
        <v>.</v>
      </c>
      <c r="B2963" s="431" t="str">
        <f t="shared" si="46"/>
        <v>Hip Replacement RevisionCCG of GP PracticeNHS HORSHAM AND MID SUSSEX CCG (09X)Oxford Hip Score</v>
      </c>
      <c r="C2963" t="s">
        <v>247</v>
      </c>
      <c r="D2963" t="s">
        <v>87</v>
      </c>
      <c r="E2963" t="s">
        <v>519</v>
      </c>
      <c r="F2963" t="s">
        <v>520</v>
      </c>
      <c r="G2963" t="s">
        <v>14</v>
      </c>
      <c r="H2963">
        <v>15</v>
      </c>
      <c r="I2963">
        <v>19.533000000000001</v>
      </c>
      <c r="J2963">
        <v>37</v>
      </c>
      <c r="K2963">
        <v>17.466999999999999</v>
      </c>
      <c r="L2963">
        <v>13</v>
      </c>
      <c r="M2963">
        <v>0</v>
      </c>
      <c r="N2963">
        <v>2</v>
      </c>
      <c r="O2963" t="s">
        <v>53</v>
      </c>
      <c r="P2963" t="s">
        <v>53</v>
      </c>
      <c r="Q2963" t="s">
        <v>53</v>
      </c>
    </row>
    <row r="2964" spans="1:17" x14ac:dyDescent="0.2">
      <c r="A2964" s="30" t="str">
        <f>IF(C2964&amp;G2964&amp;D2964&lt;&gt;'Funnel setup'!$K$3&amp;'Funnel setup'!$K$4&amp;'Funnel setup'!$K$5,".",IF(A2963=".",1,A2963+1))</f>
        <v>.</v>
      </c>
      <c r="B2964" s="431" t="str">
        <f t="shared" si="46"/>
        <v>Hip Replacement RevisionCCG of GP PracticeNHS HOUNSLOW CCG (07Y)Oxford Hip Score</v>
      </c>
      <c r="C2964" t="s">
        <v>247</v>
      </c>
      <c r="D2964" t="s">
        <v>87</v>
      </c>
      <c r="E2964" t="s">
        <v>522</v>
      </c>
      <c r="F2964" t="s">
        <v>523</v>
      </c>
      <c r="G2964" t="s">
        <v>14</v>
      </c>
      <c r="H2964">
        <v>6</v>
      </c>
      <c r="I2964">
        <v>19.332999999999998</v>
      </c>
      <c r="J2964">
        <v>33.832999999999998</v>
      </c>
      <c r="K2964">
        <v>14.5</v>
      </c>
      <c r="L2964">
        <v>6</v>
      </c>
      <c r="M2964">
        <v>0</v>
      </c>
      <c r="N2964">
        <v>0</v>
      </c>
      <c r="O2964" t="s">
        <v>53</v>
      </c>
      <c r="P2964" t="s">
        <v>53</v>
      </c>
      <c r="Q2964" t="s">
        <v>53</v>
      </c>
    </row>
    <row r="2965" spans="1:17" x14ac:dyDescent="0.2">
      <c r="A2965" s="30" t="str">
        <f>IF(C2965&amp;G2965&amp;D2965&lt;&gt;'Funnel setup'!$K$3&amp;'Funnel setup'!$K$4&amp;'Funnel setup'!$K$5,".",IF(A2964=".",1,A2964+1))</f>
        <v>.</v>
      </c>
      <c r="B2965" s="431" t="str">
        <f t="shared" si="46"/>
        <v>Hip Replacement RevisionCCG of GP PracticeNHS HULL CCG (03F)Oxford Hip Score</v>
      </c>
      <c r="C2965" t="s">
        <v>247</v>
      </c>
      <c r="D2965" t="s">
        <v>87</v>
      </c>
      <c r="E2965" t="s">
        <v>525</v>
      </c>
      <c r="F2965" t="s">
        <v>526</v>
      </c>
      <c r="G2965" t="s">
        <v>14</v>
      </c>
      <c r="H2965">
        <v>17</v>
      </c>
      <c r="I2965">
        <v>21.706</v>
      </c>
      <c r="J2965">
        <v>33.529000000000003</v>
      </c>
      <c r="K2965">
        <v>11.824</v>
      </c>
      <c r="L2965">
        <v>15</v>
      </c>
      <c r="M2965">
        <v>1</v>
      </c>
      <c r="N2965">
        <v>1</v>
      </c>
      <c r="O2965" t="s">
        <v>53</v>
      </c>
      <c r="P2965" t="s">
        <v>53</v>
      </c>
      <c r="Q2965" t="s">
        <v>53</v>
      </c>
    </row>
    <row r="2966" spans="1:17" x14ac:dyDescent="0.2">
      <c r="A2966" s="30" t="str">
        <f>IF(C2966&amp;G2966&amp;D2966&lt;&gt;'Funnel setup'!$K$3&amp;'Funnel setup'!$K$4&amp;'Funnel setup'!$K$5,".",IF(A2965=".",1,A2965+1))</f>
        <v>.</v>
      </c>
      <c r="B2966" s="431" t="str">
        <f t="shared" si="46"/>
        <v>Hip Replacement RevisionCCG of GP PracticeNHS IPSWICH AND EAST SUFFOLK CCG (06L)Oxford Hip Score</v>
      </c>
      <c r="C2966" t="s">
        <v>247</v>
      </c>
      <c r="D2966" t="s">
        <v>87</v>
      </c>
      <c r="E2966" t="s">
        <v>528</v>
      </c>
      <c r="F2966" t="s">
        <v>529</v>
      </c>
      <c r="G2966" t="s">
        <v>14</v>
      </c>
      <c r="H2966">
        <v>10</v>
      </c>
      <c r="I2966">
        <v>19.399999999999999</v>
      </c>
      <c r="J2966">
        <v>34.1</v>
      </c>
      <c r="K2966">
        <v>14.7</v>
      </c>
      <c r="L2966">
        <v>9</v>
      </c>
      <c r="M2966">
        <v>1</v>
      </c>
      <c r="N2966">
        <v>0</v>
      </c>
      <c r="O2966" t="s">
        <v>53</v>
      </c>
      <c r="P2966" t="s">
        <v>53</v>
      </c>
      <c r="Q2966" t="s">
        <v>53</v>
      </c>
    </row>
    <row r="2967" spans="1:17" x14ac:dyDescent="0.2">
      <c r="A2967" s="30" t="str">
        <f>IF(C2967&amp;G2967&amp;D2967&lt;&gt;'Funnel setup'!$K$3&amp;'Funnel setup'!$K$4&amp;'Funnel setup'!$K$5,".",IF(A2966=".",1,A2966+1))</f>
        <v>.</v>
      </c>
      <c r="B2967" s="431" t="str">
        <f t="shared" si="46"/>
        <v>Hip Replacement RevisionCCG of GP PracticeNHS ISLE OF WIGHT CCG (10L)Oxford Hip Score</v>
      </c>
      <c r="C2967" t="s">
        <v>247</v>
      </c>
      <c r="D2967" t="s">
        <v>87</v>
      </c>
      <c r="E2967" t="s">
        <v>531</v>
      </c>
      <c r="F2967" t="s">
        <v>532</v>
      </c>
      <c r="G2967" t="s">
        <v>14</v>
      </c>
      <c r="H2967" t="s">
        <v>53</v>
      </c>
      <c r="I2967" t="s">
        <v>53</v>
      </c>
      <c r="J2967" t="s">
        <v>53</v>
      </c>
      <c r="K2967" t="s">
        <v>53</v>
      </c>
      <c r="L2967" t="s">
        <v>53</v>
      </c>
      <c r="M2967" t="s">
        <v>53</v>
      </c>
      <c r="N2967" t="s">
        <v>53</v>
      </c>
      <c r="O2967" t="s">
        <v>53</v>
      </c>
      <c r="P2967" t="s">
        <v>53</v>
      </c>
      <c r="Q2967" t="s">
        <v>53</v>
      </c>
    </row>
    <row r="2968" spans="1:17" x14ac:dyDescent="0.2">
      <c r="A2968" s="30" t="str">
        <f>IF(C2968&amp;G2968&amp;D2968&lt;&gt;'Funnel setup'!$K$3&amp;'Funnel setup'!$K$4&amp;'Funnel setup'!$K$5,".",IF(A2967=".",1,A2967+1))</f>
        <v>.</v>
      </c>
      <c r="B2968" s="431" t="str">
        <f t="shared" si="46"/>
        <v>Hip Replacement RevisionCCG of GP PracticeNHS ISLINGTON CCG (08H)Oxford Hip Score</v>
      </c>
      <c r="C2968" t="s">
        <v>247</v>
      </c>
      <c r="D2968" t="s">
        <v>87</v>
      </c>
      <c r="E2968" t="s">
        <v>534</v>
      </c>
      <c r="F2968" t="s">
        <v>535</v>
      </c>
      <c r="G2968" t="s">
        <v>14</v>
      </c>
      <c r="H2968" t="s">
        <v>53</v>
      </c>
      <c r="I2968" t="s">
        <v>53</v>
      </c>
      <c r="J2968" t="s">
        <v>53</v>
      </c>
      <c r="K2968" t="s">
        <v>53</v>
      </c>
      <c r="L2968" t="s">
        <v>53</v>
      </c>
      <c r="M2968" t="s">
        <v>53</v>
      </c>
      <c r="N2968" t="s">
        <v>53</v>
      </c>
      <c r="O2968" t="s">
        <v>53</v>
      </c>
      <c r="P2968" t="s">
        <v>53</v>
      </c>
      <c r="Q2968" t="s">
        <v>53</v>
      </c>
    </row>
    <row r="2969" spans="1:17" x14ac:dyDescent="0.2">
      <c r="A2969" s="30" t="str">
        <f>IF(C2969&amp;G2969&amp;D2969&lt;&gt;'Funnel setup'!$K$3&amp;'Funnel setup'!$K$4&amp;'Funnel setup'!$K$5,".",IF(A2968=".",1,A2968+1))</f>
        <v>.</v>
      </c>
      <c r="B2969" s="431" t="str">
        <f t="shared" si="46"/>
        <v>Hip Replacement RevisionCCG of GP PracticeNHS KERNOW CCG (11N)Oxford Hip Score</v>
      </c>
      <c r="C2969" t="s">
        <v>247</v>
      </c>
      <c r="D2969" t="s">
        <v>87</v>
      </c>
      <c r="E2969" t="s">
        <v>537</v>
      </c>
      <c r="F2969" t="s">
        <v>538</v>
      </c>
      <c r="G2969" t="s">
        <v>14</v>
      </c>
      <c r="H2969">
        <v>58</v>
      </c>
      <c r="I2969">
        <v>23.552</v>
      </c>
      <c r="J2969">
        <v>33.430999999999997</v>
      </c>
      <c r="K2969">
        <v>9.8789999999999996</v>
      </c>
      <c r="L2969">
        <v>51</v>
      </c>
      <c r="M2969">
        <v>0</v>
      </c>
      <c r="N2969">
        <v>7</v>
      </c>
      <c r="O2969">
        <v>32.53</v>
      </c>
      <c r="P2969">
        <v>11.65527129</v>
      </c>
      <c r="Q2969">
        <v>9.6359999999999992</v>
      </c>
    </row>
    <row r="2970" spans="1:17" x14ac:dyDescent="0.2">
      <c r="A2970" s="30" t="str">
        <f>IF(C2970&amp;G2970&amp;D2970&lt;&gt;'Funnel setup'!$K$3&amp;'Funnel setup'!$K$4&amp;'Funnel setup'!$K$5,".",IF(A2969=".",1,A2969+1))</f>
        <v>.</v>
      </c>
      <c r="B2970" s="431" t="str">
        <f t="shared" si="46"/>
        <v>Hip Replacement RevisionCCG of GP PracticeNHS KINGSTON CCG (08J)Oxford Hip Score</v>
      </c>
      <c r="C2970" t="s">
        <v>247</v>
      </c>
      <c r="D2970" t="s">
        <v>87</v>
      </c>
      <c r="E2970" t="s">
        <v>540</v>
      </c>
      <c r="F2970" t="s">
        <v>541</v>
      </c>
      <c r="G2970" t="s">
        <v>14</v>
      </c>
      <c r="H2970">
        <v>6</v>
      </c>
      <c r="I2970">
        <v>26.5</v>
      </c>
      <c r="J2970">
        <v>35.832999999999998</v>
      </c>
      <c r="K2970">
        <v>9.3330000000000002</v>
      </c>
      <c r="L2970">
        <v>6</v>
      </c>
      <c r="M2970">
        <v>0</v>
      </c>
      <c r="N2970">
        <v>0</v>
      </c>
      <c r="O2970" t="s">
        <v>53</v>
      </c>
      <c r="P2970" t="s">
        <v>53</v>
      </c>
      <c r="Q2970" t="s">
        <v>53</v>
      </c>
    </row>
    <row r="2971" spans="1:17" x14ac:dyDescent="0.2">
      <c r="A2971" s="30" t="str">
        <f>IF(C2971&amp;G2971&amp;D2971&lt;&gt;'Funnel setup'!$K$3&amp;'Funnel setup'!$K$4&amp;'Funnel setup'!$K$5,".",IF(A2970=".",1,A2970+1))</f>
        <v>.</v>
      </c>
      <c r="B2971" s="431" t="str">
        <f t="shared" si="46"/>
        <v>Hip Replacement RevisionCCG of GP PracticeNHS KNOWSLEY CCG (01J)Oxford Hip Score</v>
      </c>
      <c r="C2971" t="s">
        <v>247</v>
      </c>
      <c r="D2971" t="s">
        <v>87</v>
      </c>
      <c r="E2971" t="s">
        <v>543</v>
      </c>
      <c r="F2971" t="s">
        <v>544</v>
      </c>
      <c r="G2971" t="s">
        <v>14</v>
      </c>
      <c r="H2971" t="s">
        <v>53</v>
      </c>
      <c r="I2971" t="s">
        <v>53</v>
      </c>
      <c r="J2971" t="s">
        <v>53</v>
      </c>
      <c r="K2971" t="s">
        <v>53</v>
      </c>
      <c r="L2971" t="s">
        <v>53</v>
      </c>
      <c r="M2971" t="s">
        <v>53</v>
      </c>
      <c r="N2971" t="s">
        <v>53</v>
      </c>
      <c r="O2971" t="s">
        <v>53</v>
      </c>
      <c r="P2971" t="s">
        <v>53</v>
      </c>
      <c r="Q2971" t="s">
        <v>53</v>
      </c>
    </row>
    <row r="2972" spans="1:17" x14ac:dyDescent="0.2">
      <c r="A2972" s="30" t="str">
        <f>IF(C2972&amp;G2972&amp;D2972&lt;&gt;'Funnel setup'!$K$3&amp;'Funnel setup'!$K$4&amp;'Funnel setup'!$K$5,".",IF(A2971=".",1,A2971+1))</f>
        <v>.</v>
      </c>
      <c r="B2972" s="431" t="str">
        <f t="shared" si="46"/>
        <v>Hip Replacement RevisionCCG of GP PracticeNHS LAMBETH CCG (08K)Oxford Hip Score</v>
      </c>
      <c r="C2972" t="s">
        <v>247</v>
      </c>
      <c r="D2972" t="s">
        <v>87</v>
      </c>
      <c r="E2972" t="s">
        <v>546</v>
      </c>
      <c r="F2972" t="s">
        <v>547</v>
      </c>
      <c r="G2972" t="s">
        <v>14</v>
      </c>
      <c r="H2972" t="s">
        <v>53</v>
      </c>
      <c r="I2972" t="s">
        <v>53</v>
      </c>
      <c r="J2972" t="s">
        <v>53</v>
      </c>
      <c r="K2972" t="s">
        <v>53</v>
      </c>
      <c r="L2972" t="s">
        <v>53</v>
      </c>
      <c r="M2972" t="s">
        <v>53</v>
      </c>
      <c r="N2972" t="s">
        <v>53</v>
      </c>
      <c r="O2972" t="s">
        <v>53</v>
      </c>
      <c r="P2972" t="s">
        <v>53</v>
      </c>
      <c r="Q2972" t="s">
        <v>53</v>
      </c>
    </row>
    <row r="2973" spans="1:17" x14ac:dyDescent="0.2">
      <c r="A2973" s="30" t="str">
        <f>IF(C2973&amp;G2973&amp;D2973&lt;&gt;'Funnel setup'!$K$3&amp;'Funnel setup'!$K$4&amp;'Funnel setup'!$K$5,".",IF(A2972=".",1,A2972+1))</f>
        <v>.</v>
      </c>
      <c r="B2973" s="431" t="str">
        <f t="shared" si="46"/>
        <v>Hip Replacement RevisionCCG of GP PracticeNHS LANCASHIRE NORTH CCG (01K)Oxford Hip Score</v>
      </c>
      <c r="C2973" t="s">
        <v>247</v>
      </c>
      <c r="D2973" t="s">
        <v>87</v>
      </c>
      <c r="E2973" t="s">
        <v>549</v>
      </c>
      <c r="F2973" t="s">
        <v>550</v>
      </c>
      <c r="G2973" t="s">
        <v>14</v>
      </c>
      <c r="H2973">
        <v>9</v>
      </c>
      <c r="I2973">
        <v>15.555999999999999</v>
      </c>
      <c r="J2973">
        <v>35.222000000000001</v>
      </c>
      <c r="K2973">
        <v>19.667000000000002</v>
      </c>
      <c r="L2973">
        <v>9</v>
      </c>
      <c r="M2973">
        <v>0</v>
      </c>
      <c r="N2973">
        <v>0</v>
      </c>
      <c r="O2973" t="s">
        <v>53</v>
      </c>
      <c r="P2973" t="s">
        <v>53</v>
      </c>
      <c r="Q2973" t="s">
        <v>53</v>
      </c>
    </row>
    <row r="2974" spans="1:17" x14ac:dyDescent="0.2">
      <c r="A2974" s="30" t="str">
        <f>IF(C2974&amp;G2974&amp;D2974&lt;&gt;'Funnel setup'!$K$3&amp;'Funnel setup'!$K$4&amp;'Funnel setup'!$K$5,".",IF(A2973=".",1,A2973+1))</f>
        <v>.</v>
      </c>
      <c r="B2974" s="431" t="str">
        <f t="shared" si="46"/>
        <v>Hip Replacement RevisionCCG of GP PracticeNHS LEEDS NORTH CCG (02V)Oxford Hip Score</v>
      </c>
      <c r="C2974" t="s">
        <v>247</v>
      </c>
      <c r="D2974" t="s">
        <v>87</v>
      </c>
      <c r="E2974" t="s">
        <v>552</v>
      </c>
      <c r="F2974" t="s">
        <v>337</v>
      </c>
      <c r="G2974" t="s">
        <v>14</v>
      </c>
      <c r="H2974" t="s">
        <v>53</v>
      </c>
      <c r="I2974" t="s">
        <v>53</v>
      </c>
      <c r="J2974" t="s">
        <v>53</v>
      </c>
      <c r="K2974" t="s">
        <v>53</v>
      </c>
      <c r="L2974" t="s">
        <v>53</v>
      </c>
      <c r="M2974" t="s">
        <v>53</v>
      </c>
      <c r="N2974" t="s">
        <v>53</v>
      </c>
      <c r="O2974" t="s">
        <v>53</v>
      </c>
      <c r="P2974" t="s">
        <v>53</v>
      </c>
      <c r="Q2974" t="s">
        <v>53</v>
      </c>
    </row>
    <row r="2975" spans="1:17" x14ac:dyDescent="0.2">
      <c r="A2975" s="30" t="str">
        <f>IF(C2975&amp;G2975&amp;D2975&lt;&gt;'Funnel setup'!$K$3&amp;'Funnel setup'!$K$4&amp;'Funnel setup'!$K$5,".",IF(A2974=".",1,A2974+1))</f>
        <v>.</v>
      </c>
      <c r="B2975" s="431" t="str">
        <f t="shared" si="46"/>
        <v>Hip Replacement RevisionCCG of GP PracticeNHS LEEDS SOUTH AND EAST CCG (03G)Oxford Hip Score</v>
      </c>
      <c r="C2975" t="s">
        <v>247</v>
      </c>
      <c r="D2975" t="s">
        <v>87</v>
      </c>
      <c r="E2975" t="s">
        <v>396</v>
      </c>
      <c r="F2975" t="s">
        <v>397</v>
      </c>
      <c r="G2975" t="s">
        <v>14</v>
      </c>
      <c r="H2975" t="s">
        <v>53</v>
      </c>
      <c r="I2975" t="s">
        <v>53</v>
      </c>
      <c r="J2975" t="s">
        <v>53</v>
      </c>
      <c r="K2975" t="s">
        <v>53</v>
      </c>
      <c r="L2975" t="s">
        <v>53</v>
      </c>
      <c r="M2975" t="s">
        <v>53</v>
      </c>
      <c r="N2975" t="s">
        <v>53</v>
      </c>
      <c r="O2975" t="s">
        <v>53</v>
      </c>
      <c r="P2975" t="s">
        <v>53</v>
      </c>
      <c r="Q2975" t="s">
        <v>53</v>
      </c>
    </row>
    <row r="2976" spans="1:17" x14ac:dyDescent="0.2">
      <c r="A2976" s="30" t="str">
        <f>IF(C2976&amp;G2976&amp;D2976&lt;&gt;'Funnel setup'!$K$3&amp;'Funnel setup'!$K$4&amp;'Funnel setup'!$K$5,".",IF(A2975=".",1,A2975+1))</f>
        <v>.</v>
      </c>
      <c r="B2976" s="431" t="str">
        <f t="shared" si="46"/>
        <v>Hip Replacement RevisionCCG of GP PracticeNHS LEEDS WEST CCG (03C)Oxford Hip Score</v>
      </c>
      <c r="C2976" t="s">
        <v>247</v>
      </c>
      <c r="D2976" t="s">
        <v>87</v>
      </c>
      <c r="E2976" t="s">
        <v>399</v>
      </c>
      <c r="F2976" t="s">
        <v>400</v>
      </c>
      <c r="G2976" t="s">
        <v>14</v>
      </c>
      <c r="H2976">
        <v>9</v>
      </c>
      <c r="I2976">
        <v>24.222000000000001</v>
      </c>
      <c r="J2976">
        <v>38.889000000000003</v>
      </c>
      <c r="K2976">
        <v>14.667</v>
      </c>
      <c r="L2976">
        <v>9</v>
      </c>
      <c r="M2976">
        <v>0</v>
      </c>
      <c r="N2976">
        <v>0</v>
      </c>
      <c r="O2976" t="s">
        <v>53</v>
      </c>
      <c r="P2976" t="s">
        <v>53</v>
      </c>
      <c r="Q2976" t="s">
        <v>53</v>
      </c>
    </row>
    <row r="2977" spans="1:17" x14ac:dyDescent="0.2">
      <c r="A2977" s="30" t="str">
        <f>IF(C2977&amp;G2977&amp;D2977&lt;&gt;'Funnel setup'!$K$3&amp;'Funnel setup'!$K$4&amp;'Funnel setup'!$K$5,".",IF(A2976=".",1,A2976+1))</f>
        <v>.</v>
      </c>
      <c r="B2977" s="431" t="str">
        <f t="shared" si="46"/>
        <v>Hip Replacement RevisionCCG of GP PracticeNHS LEICESTER CITY CCG (04C)Oxford Hip Score</v>
      </c>
      <c r="C2977" t="s">
        <v>247</v>
      </c>
      <c r="D2977" t="s">
        <v>87</v>
      </c>
      <c r="E2977" t="s">
        <v>554</v>
      </c>
      <c r="F2977" t="s">
        <v>555</v>
      </c>
      <c r="G2977" t="s">
        <v>14</v>
      </c>
      <c r="H2977">
        <v>7</v>
      </c>
      <c r="I2977">
        <v>17.428999999999998</v>
      </c>
      <c r="J2977">
        <v>20.713999999999999</v>
      </c>
      <c r="K2977">
        <v>3.286</v>
      </c>
      <c r="L2977">
        <v>5</v>
      </c>
      <c r="M2977">
        <v>0</v>
      </c>
      <c r="N2977">
        <v>2</v>
      </c>
      <c r="O2977" t="s">
        <v>53</v>
      </c>
      <c r="P2977" t="s">
        <v>53</v>
      </c>
      <c r="Q2977" t="s">
        <v>53</v>
      </c>
    </row>
    <row r="2978" spans="1:17" x14ac:dyDescent="0.2">
      <c r="A2978" s="30" t="str">
        <f>IF(C2978&amp;G2978&amp;D2978&lt;&gt;'Funnel setup'!$K$3&amp;'Funnel setup'!$K$4&amp;'Funnel setup'!$K$5,".",IF(A2977=".",1,A2977+1))</f>
        <v>.</v>
      </c>
      <c r="B2978" s="431" t="str">
        <f t="shared" si="46"/>
        <v>Hip Replacement RevisionCCG of GP PracticeNHS LEWISHAM CCG (08L)Oxford Hip Score</v>
      </c>
      <c r="C2978" t="s">
        <v>247</v>
      </c>
      <c r="D2978" t="s">
        <v>87</v>
      </c>
      <c r="E2978" t="s">
        <v>557</v>
      </c>
      <c r="F2978" t="s">
        <v>558</v>
      </c>
      <c r="G2978" t="s">
        <v>14</v>
      </c>
      <c r="H2978" t="s">
        <v>53</v>
      </c>
      <c r="I2978" t="s">
        <v>53</v>
      </c>
      <c r="J2978" t="s">
        <v>53</v>
      </c>
      <c r="K2978" t="s">
        <v>53</v>
      </c>
      <c r="L2978" t="s">
        <v>53</v>
      </c>
      <c r="M2978" t="s">
        <v>53</v>
      </c>
      <c r="N2978" t="s">
        <v>53</v>
      </c>
      <c r="O2978" t="s">
        <v>53</v>
      </c>
      <c r="P2978" t="s">
        <v>53</v>
      </c>
      <c r="Q2978" t="s">
        <v>53</v>
      </c>
    </row>
    <row r="2979" spans="1:17" x14ac:dyDescent="0.2">
      <c r="A2979" s="30" t="str">
        <f>IF(C2979&amp;G2979&amp;D2979&lt;&gt;'Funnel setup'!$K$3&amp;'Funnel setup'!$K$4&amp;'Funnel setup'!$K$5,".",IF(A2978=".",1,A2978+1))</f>
        <v>.</v>
      </c>
      <c r="B2979" s="431" t="str">
        <f t="shared" si="46"/>
        <v>Hip Replacement RevisionCCG of GP PracticeNHS LINCOLNSHIRE EAST CCG (03T)Oxford Hip Score</v>
      </c>
      <c r="C2979" t="s">
        <v>247</v>
      </c>
      <c r="D2979" t="s">
        <v>87</v>
      </c>
      <c r="E2979" t="s">
        <v>560</v>
      </c>
      <c r="F2979" t="s">
        <v>561</v>
      </c>
      <c r="G2979" t="s">
        <v>14</v>
      </c>
      <c r="H2979">
        <v>24</v>
      </c>
      <c r="I2979">
        <v>18.917000000000002</v>
      </c>
      <c r="J2979">
        <v>30.082999999999998</v>
      </c>
      <c r="K2979">
        <v>11.167</v>
      </c>
      <c r="L2979">
        <v>19</v>
      </c>
      <c r="M2979">
        <v>2</v>
      </c>
      <c r="N2979">
        <v>3</v>
      </c>
      <c r="O2979" t="s">
        <v>53</v>
      </c>
      <c r="P2979" t="s">
        <v>53</v>
      </c>
      <c r="Q2979" t="s">
        <v>53</v>
      </c>
    </row>
    <row r="2980" spans="1:17" x14ac:dyDescent="0.2">
      <c r="A2980" s="30" t="str">
        <f>IF(C2980&amp;G2980&amp;D2980&lt;&gt;'Funnel setup'!$K$3&amp;'Funnel setup'!$K$4&amp;'Funnel setup'!$K$5,".",IF(A2979=".",1,A2979+1))</f>
        <v>.</v>
      </c>
      <c r="B2980" s="431" t="str">
        <f t="shared" si="46"/>
        <v>Hip Replacement RevisionCCG of GP PracticeNHS LINCOLNSHIRE WEST CCG (04D)Oxford Hip Score</v>
      </c>
      <c r="C2980" t="s">
        <v>247</v>
      </c>
      <c r="D2980" t="s">
        <v>87</v>
      </c>
      <c r="E2980" t="s">
        <v>408</v>
      </c>
      <c r="F2980" t="s">
        <v>409</v>
      </c>
      <c r="G2980" t="s">
        <v>14</v>
      </c>
      <c r="H2980">
        <v>7</v>
      </c>
      <c r="I2980">
        <v>21.143000000000001</v>
      </c>
      <c r="J2980">
        <v>38.286000000000001</v>
      </c>
      <c r="K2980">
        <v>17.143000000000001</v>
      </c>
      <c r="L2980">
        <v>6</v>
      </c>
      <c r="M2980">
        <v>0</v>
      </c>
      <c r="N2980">
        <v>1</v>
      </c>
      <c r="O2980" t="s">
        <v>53</v>
      </c>
      <c r="P2980" t="s">
        <v>53</v>
      </c>
      <c r="Q2980" t="s">
        <v>53</v>
      </c>
    </row>
    <row r="2981" spans="1:17" x14ac:dyDescent="0.2">
      <c r="A2981" s="30" t="str">
        <f>IF(C2981&amp;G2981&amp;D2981&lt;&gt;'Funnel setup'!$K$3&amp;'Funnel setup'!$K$4&amp;'Funnel setup'!$K$5,".",IF(A2980=".",1,A2980+1))</f>
        <v>.</v>
      </c>
      <c r="B2981" s="431" t="str">
        <f t="shared" si="46"/>
        <v>Hip Replacement RevisionCCG of GP PracticeNHS LIVERPOOL CCG (99A)Oxford Hip Score</v>
      </c>
      <c r="C2981" t="s">
        <v>247</v>
      </c>
      <c r="D2981" t="s">
        <v>87</v>
      </c>
      <c r="E2981" t="s">
        <v>411</v>
      </c>
      <c r="F2981" t="s">
        <v>412</v>
      </c>
      <c r="G2981" t="s">
        <v>14</v>
      </c>
      <c r="H2981">
        <v>10</v>
      </c>
      <c r="I2981">
        <v>11.6</v>
      </c>
      <c r="J2981">
        <v>23.5</v>
      </c>
      <c r="K2981">
        <v>11.9</v>
      </c>
      <c r="L2981">
        <v>8</v>
      </c>
      <c r="M2981">
        <v>0</v>
      </c>
      <c r="N2981">
        <v>2</v>
      </c>
      <c r="O2981" t="s">
        <v>53</v>
      </c>
      <c r="P2981" t="s">
        <v>53</v>
      </c>
      <c r="Q2981" t="s">
        <v>53</v>
      </c>
    </row>
    <row r="2982" spans="1:17" x14ac:dyDescent="0.2">
      <c r="A2982" s="30" t="str">
        <f>IF(C2982&amp;G2982&amp;D2982&lt;&gt;'Funnel setup'!$K$3&amp;'Funnel setup'!$K$4&amp;'Funnel setup'!$K$5,".",IF(A2981=".",1,A2981+1))</f>
        <v>.</v>
      </c>
      <c r="B2982" s="431" t="str">
        <f t="shared" si="46"/>
        <v>Hip Replacement RevisionCCG of GP PracticeNHS LUTON CCG (06P)Oxford Hip Score</v>
      </c>
      <c r="C2982" t="s">
        <v>247</v>
      </c>
      <c r="D2982" t="s">
        <v>87</v>
      </c>
      <c r="E2982" t="s">
        <v>414</v>
      </c>
      <c r="F2982" t="s">
        <v>415</v>
      </c>
      <c r="G2982" t="s">
        <v>14</v>
      </c>
      <c r="H2982">
        <v>13</v>
      </c>
      <c r="I2982">
        <v>18</v>
      </c>
      <c r="J2982">
        <v>38.384999999999998</v>
      </c>
      <c r="K2982">
        <v>20.385000000000002</v>
      </c>
      <c r="L2982">
        <v>13</v>
      </c>
      <c r="M2982">
        <v>0</v>
      </c>
      <c r="N2982">
        <v>0</v>
      </c>
      <c r="O2982" t="s">
        <v>53</v>
      </c>
      <c r="P2982" t="s">
        <v>53</v>
      </c>
      <c r="Q2982" t="s">
        <v>53</v>
      </c>
    </row>
    <row r="2983" spans="1:17" x14ac:dyDescent="0.2">
      <c r="A2983" s="30" t="str">
        <f>IF(C2983&amp;G2983&amp;D2983&lt;&gt;'Funnel setup'!$K$3&amp;'Funnel setup'!$K$4&amp;'Funnel setup'!$K$5,".",IF(A2982=".",1,A2982+1))</f>
        <v>.</v>
      </c>
      <c r="B2983" s="431" t="str">
        <f t="shared" si="46"/>
        <v>Hip Replacement RevisionCCG of GP PracticeNHS MANSFIELD AND ASHFIELD CCG (04E)Oxford Hip Score</v>
      </c>
      <c r="C2983" t="s">
        <v>247</v>
      </c>
      <c r="D2983" t="s">
        <v>87</v>
      </c>
      <c r="E2983" t="s">
        <v>417</v>
      </c>
      <c r="F2983" t="s">
        <v>418</v>
      </c>
      <c r="G2983" t="s">
        <v>14</v>
      </c>
      <c r="H2983">
        <v>6</v>
      </c>
      <c r="I2983">
        <v>24.5</v>
      </c>
      <c r="J2983">
        <v>30.167000000000002</v>
      </c>
      <c r="K2983">
        <v>5.6669999999999998</v>
      </c>
      <c r="L2983">
        <v>5</v>
      </c>
      <c r="M2983">
        <v>0</v>
      </c>
      <c r="N2983">
        <v>1</v>
      </c>
      <c r="O2983" t="s">
        <v>53</v>
      </c>
      <c r="P2983" t="s">
        <v>53</v>
      </c>
      <c r="Q2983" t="s">
        <v>53</v>
      </c>
    </row>
    <row r="2984" spans="1:17" x14ac:dyDescent="0.2">
      <c r="A2984" s="30" t="str">
        <f>IF(C2984&amp;G2984&amp;D2984&lt;&gt;'Funnel setup'!$K$3&amp;'Funnel setup'!$K$4&amp;'Funnel setup'!$K$5,".",IF(A2983=".",1,A2983+1))</f>
        <v>.</v>
      </c>
      <c r="B2984" s="431" t="str">
        <f t="shared" si="46"/>
        <v>Hip Replacement RevisionCCG of GP PracticeNHS MEDWAY CCG (09W)Oxford Hip Score</v>
      </c>
      <c r="C2984" t="s">
        <v>247</v>
      </c>
      <c r="D2984" t="s">
        <v>87</v>
      </c>
      <c r="E2984" t="s">
        <v>610</v>
      </c>
      <c r="F2984" t="s">
        <v>611</v>
      </c>
      <c r="G2984" t="s">
        <v>14</v>
      </c>
      <c r="H2984">
        <v>21</v>
      </c>
      <c r="I2984">
        <v>21.332999999999998</v>
      </c>
      <c r="J2984">
        <v>31.047999999999998</v>
      </c>
      <c r="K2984">
        <v>9.7140000000000004</v>
      </c>
      <c r="L2984">
        <v>16</v>
      </c>
      <c r="M2984">
        <v>1</v>
      </c>
      <c r="N2984">
        <v>4</v>
      </c>
      <c r="O2984" t="s">
        <v>53</v>
      </c>
      <c r="P2984" t="s">
        <v>53</v>
      </c>
      <c r="Q2984" t="s">
        <v>53</v>
      </c>
    </row>
    <row r="2985" spans="1:17" x14ac:dyDescent="0.2">
      <c r="A2985" s="30" t="str">
        <f>IF(C2985&amp;G2985&amp;D2985&lt;&gt;'Funnel setup'!$K$3&amp;'Funnel setup'!$K$4&amp;'Funnel setup'!$K$5,".",IF(A2984=".",1,A2984+1))</f>
        <v>.</v>
      </c>
      <c r="B2985" s="431" t="str">
        <f t="shared" si="46"/>
        <v>Hip Replacement RevisionCCG of GP PracticeNHS MERTON CCG (08R)Oxford Hip Score</v>
      </c>
      <c r="C2985" t="s">
        <v>247</v>
      </c>
      <c r="D2985" t="s">
        <v>87</v>
      </c>
      <c r="E2985" t="s">
        <v>613</v>
      </c>
      <c r="F2985" t="s">
        <v>614</v>
      </c>
      <c r="G2985" t="s">
        <v>14</v>
      </c>
      <c r="H2985" t="s">
        <v>53</v>
      </c>
      <c r="I2985" t="s">
        <v>53</v>
      </c>
      <c r="J2985" t="s">
        <v>53</v>
      </c>
      <c r="K2985" t="s">
        <v>53</v>
      </c>
      <c r="L2985" t="s">
        <v>53</v>
      </c>
      <c r="M2985" t="s">
        <v>53</v>
      </c>
      <c r="N2985" t="s">
        <v>53</v>
      </c>
      <c r="O2985" t="s">
        <v>53</v>
      </c>
      <c r="P2985" t="s">
        <v>53</v>
      </c>
      <c r="Q2985" t="s">
        <v>53</v>
      </c>
    </row>
    <row r="2986" spans="1:17" x14ac:dyDescent="0.2">
      <c r="A2986" s="30" t="str">
        <f>IF(C2986&amp;G2986&amp;D2986&lt;&gt;'Funnel setup'!$K$3&amp;'Funnel setup'!$K$4&amp;'Funnel setup'!$K$5,".",IF(A2985=".",1,A2985+1))</f>
        <v>.</v>
      </c>
      <c r="B2986" s="431" t="str">
        <f t="shared" si="46"/>
        <v>Hip Replacement RevisionCCG of GP PracticeNHS MID ESSEX CCG (06Q)Oxford Hip Score</v>
      </c>
      <c r="C2986" t="s">
        <v>247</v>
      </c>
      <c r="D2986" t="s">
        <v>87</v>
      </c>
      <c r="E2986" t="s">
        <v>616</v>
      </c>
      <c r="F2986" t="s">
        <v>617</v>
      </c>
      <c r="G2986" t="s">
        <v>14</v>
      </c>
      <c r="H2986">
        <v>22</v>
      </c>
      <c r="I2986">
        <v>21.773</v>
      </c>
      <c r="J2986">
        <v>36.454999999999998</v>
      </c>
      <c r="K2986">
        <v>14.682</v>
      </c>
      <c r="L2986">
        <v>19</v>
      </c>
      <c r="M2986">
        <v>0</v>
      </c>
      <c r="N2986">
        <v>3</v>
      </c>
      <c r="O2986" t="s">
        <v>53</v>
      </c>
      <c r="P2986" t="s">
        <v>53</v>
      </c>
      <c r="Q2986" t="s">
        <v>53</v>
      </c>
    </row>
    <row r="2987" spans="1:17" x14ac:dyDescent="0.2">
      <c r="A2987" s="30" t="str">
        <f>IF(C2987&amp;G2987&amp;D2987&lt;&gt;'Funnel setup'!$K$3&amp;'Funnel setup'!$K$4&amp;'Funnel setup'!$K$5,".",IF(A2986=".",1,A2986+1))</f>
        <v>.</v>
      </c>
      <c r="B2987" s="431" t="str">
        <f t="shared" si="46"/>
        <v>Hip Replacement RevisionCCG of GP PracticeNHS MILTON KEYNES CCG (04F)Oxford Hip Score</v>
      </c>
      <c r="C2987" t="s">
        <v>247</v>
      </c>
      <c r="D2987" t="s">
        <v>87</v>
      </c>
      <c r="E2987" t="s">
        <v>619</v>
      </c>
      <c r="F2987" t="s">
        <v>338</v>
      </c>
      <c r="G2987" t="s">
        <v>14</v>
      </c>
      <c r="H2987">
        <v>7</v>
      </c>
      <c r="I2987">
        <v>22.713999999999999</v>
      </c>
      <c r="J2987">
        <v>37.143000000000001</v>
      </c>
      <c r="K2987">
        <v>14.429</v>
      </c>
      <c r="L2987">
        <v>7</v>
      </c>
      <c r="M2987">
        <v>0</v>
      </c>
      <c r="N2987">
        <v>0</v>
      </c>
      <c r="O2987" t="s">
        <v>53</v>
      </c>
      <c r="P2987" t="s">
        <v>53</v>
      </c>
      <c r="Q2987" t="s">
        <v>53</v>
      </c>
    </row>
    <row r="2988" spans="1:17" x14ac:dyDescent="0.2">
      <c r="A2988" s="30" t="str">
        <f>IF(C2988&amp;G2988&amp;D2988&lt;&gt;'Funnel setup'!$K$3&amp;'Funnel setup'!$K$4&amp;'Funnel setup'!$K$5,".",IF(A2987=".",1,A2987+1))</f>
        <v>.</v>
      </c>
      <c r="B2988" s="431" t="str">
        <f t="shared" si="46"/>
        <v>Hip Replacement RevisionCCG of GP PracticeNHS NENE CCG (04G)Oxford Hip Score</v>
      </c>
      <c r="C2988" t="s">
        <v>247</v>
      </c>
      <c r="D2988" t="s">
        <v>87</v>
      </c>
      <c r="E2988" t="s">
        <v>621</v>
      </c>
      <c r="F2988" t="s">
        <v>622</v>
      </c>
      <c r="G2988" t="s">
        <v>14</v>
      </c>
      <c r="H2988">
        <v>43</v>
      </c>
      <c r="I2988">
        <v>21.14</v>
      </c>
      <c r="J2988">
        <v>34.023000000000003</v>
      </c>
      <c r="K2988">
        <v>12.884</v>
      </c>
      <c r="L2988">
        <v>39</v>
      </c>
      <c r="M2988">
        <v>1</v>
      </c>
      <c r="N2988">
        <v>3</v>
      </c>
      <c r="O2988">
        <v>34.508000000000003</v>
      </c>
      <c r="P2988">
        <v>13.63270955</v>
      </c>
      <c r="Q2988">
        <v>8.2789999999999999</v>
      </c>
    </row>
    <row r="2989" spans="1:17" x14ac:dyDescent="0.2">
      <c r="A2989" s="30" t="str">
        <f>IF(C2989&amp;G2989&amp;D2989&lt;&gt;'Funnel setup'!$K$3&amp;'Funnel setup'!$K$4&amp;'Funnel setup'!$K$5,".",IF(A2988=".",1,A2988+1))</f>
        <v>.</v>
      </c>
      <c r="B2989" s="431" t="str">
        <f t="shared" si="46"/>
        <v>Hip Replacement RevisionCCG of GP PracticeNHS NEWARK &amp; SHERWOOD CCG (04H)Oxford Hip Score</v>
      </c>
      <c r="C2989" t="s">
        <v>247</v>
      </c>
      <c r="D2989" t="s">
        <v>87</v>
      </c>
      <c r="E2989" t="s">
        <v>624</v>
      </c>
      <c r="F2989" t="s">
        <v>625</v>
      </c>
      <c r="G2989" t="s">
        <v>14</v>
      </c>
      <c r="H2989">
        <v>7</v>
      </c>
      <c r="I2989">
        <v>17.286000000000001</v>
      </c>
      <c r="J2989">
        <v>30.428999999999998</v>
      </c>
      <c r="K2989">
        <v>13.143000000000001</v>
      </c>
      <c r="L2989">
        <v>7</v>
      </c>
      <c r="M2989">
        <v>0</v>
      </c>
      <c r="N2989">
        <v>0</v>
      </c>
      <c r="O2989" t="s">
        <v>53</v>
      </c>
      <c r="P2989" t="s">
        <v>53</v>
      </c>
      <c r="Q2989" t="s">
        <v>53</v>
      </c>
    </row>
    <row r="2990" spans="1:17" x14ac:dyDescent="0.2">
      <c r="A2990" s="30" t="str">
        <f>IF(C2990&amp;G2990&amp;D2990&lt;&gt;'Funnel setup'!$K$3&amp;'Funnel setup'!$K$4&amp;'Funnel setup'!$K$5,".",IF(A2989=".",1,A2989+1))</f>
        <v>.</v>
      </c>
      <c r="B2990" s="431" t="str">
        <f t="shared" si="46"/>
        <v>Hip Replacement RevisionCCG of GP PracticeNHS NEWBURY AND DISTRICT CCG (10M)Oxford Hip Score</v>
      </c>
      <c r="C2990" t="s">
        <v>247</v>
      </c>
      <c r="D2990" t="s">
        <v>87</v>
      </c>
      <c r="E2990" t="s">
        <v>627</v>
      </c>
      <c r="F2990" t="s">
        <v>628</v>
      </c>
      <c r="G2990" t="s">
        <v>14</v>
      </c>
      <c r="H2990" t="s">
        <v>53</v>
      </c>
      <c r="I2990" t="s">
        <v>53</v>
      </c>
      <c r="J2990" t="s">
        <v>53</v>
      </c>
      <c r="K2990" t="s">
        <v>53</v>
      </c>
      <c r="L2990" t="s">
        <v>53</v>
      </c>
      <c r="M2990" t="s">
        <v>53</v>
      </c>
      <c r="N2990" t="s">
        <v>53</v>
      </c>
      <c r="O2990" t="s">
        <v>53</v>
      </c>
      <c r="P2990" t="s">
        <v>53</v>
      </c>
      <c r="Q2990" t="s">
        <v>53</v>
      </c>
    </row>
    <row r="2991" spans="1:17" x14ac:dyDescent="0.2">
      <c r="A2991" s="30" t="str">
        <f>IF(C2991&amp;G2991&amp;D2991&lt;&gt;'Funnel setup'!$K$3&amp;'Funnel setup'!$K$4&amp;'Funnel setup'!$K$5,".",IF(A2990=".",1,A2990+1))</f>
        <v>.</v>
      </c>
      <c r="B2991" s="431" t="str">
        <f t="shared" si="46"/>
        <v>Hip Replacement RevisionCCG of GP PracticeNHS NEWCASTLE GATESHEAD CCG (13T)Oxford Hip Score</v>
      </c>
      <c r="C2991" t="s">
        <v>247</v>
      </c>
      <c r="D2991" t="s">
        <v>87</v>
      </c>
      <c r="E2991" t="s">
        <v>6553</v>
      </c>
      <c r="F2991" t="s">
        <v>6543</v>
      </c>
      <c r="G2991" t="s">
        <v>14</v>
      </c>
      <c r="H2991">
        <v>25</v>
      </c>
      <c r="I2991">
        <v>23.68</v>
      </c>
      <c r="J2991">
        <v>38.159999999999997</v>
      </c>
      <c r="K2991">
        <v>14.48</v>
      </c>
      <c r="L2991">
        <v>22</v>
      </c>
      <c r="M2991">
        <v>0</v>
      </c>
      <c r="N2991">
        <v>3</v>
      </c>
      <c r="O2991" t="s">
        <v>53</v>
      </c>
      <c r="P2991" t="s">
        <v>53</v>
      </c>
      <c r="Q2991" t="s">
        <v>53</v>
      </c>
    </row>
    <row r="2992" spans="1:17" x14ac:dyDescent="0.2">
      <c r="A2992" s="30" t="str">
        <f>IF(C2992&amp;G2992&amp;D2992&lt;&gt;'Funnel setup'!$K$3&amp;'Funnel setup'!$K$4&amp;'Funnel setup'!$K$5,".",IF(A2991=".",1,A2991+1))</f>
        <v>.</v>
      </c>
      <c r="B2992" s="431" t="str">
        <f t="shared" si="46"/>
        <v>Hip Replacement RevisionCCG of GP PracticeNHS NEWHAM CCG (08M)Oxford Hip Score</v>
      </c>
      <c r="C2992" t="s">
        <v>247</v>
      </c>
      <c r="D2992" t="s">
        <v>87</v>
      </c>
      <c r="E2992" t="s">
        <v>630</v>
      </c>
      <c r="F2992" t="s">
        <v>631</v>
      </c>
      <c r="G2992" t="s">
        <v>14</v>
      </c>
      <c r="H2992" t="s">
        <v>53</v>
      </c>
      <c r="I2992" t="s">
        <v>53</v>
      </c>
      <c r="J2992" t="s">
        <v>53</v>
      </c>
      <c r="K2992" t="s">
        <v>53</v>
      </c>
      <c r="L2992" t="s">
        <v>53</v>
      </c>
      <c r="M2992" t="s">
        <v>53</v>
      </c>
      <c r="N2992" t="s">
        <v>53</v>
      </c>
      <c r="O2992" t="s">
        <v>53</v>
      </c>
      <c r="P2992" t="s">
        <v>53</v>
      </c>
      <c r="Q2992" t="s">
        <v>53</v>
      </c>
    </row>
    <row r="2993" spans="1:17" x14ac:dyDescent="0.2">
      <c r="A2993" s="30" t="str">
        <f>IF(C2993&amp;G2993&amp;D2993&lt;&gt;'Funnel setup'!$K$3&amp;'Funnel setup'!$K$4&amp;'Funnel setup'!$K$5,".",IF(A2992=".",1,A2992+1))</f>
        <v>.</v>
      </c>
      <c r="B2993" s="431" t="str">
        <f t="shared" si="46"/>
        <v>Hip Replacement RevisionCCG of GP PracticeNHS NORTH &amp; WEST READING CCG (10N)Oxford Hip Score</v>
      </c>
      <c r="C2993" t="s">
        <v>247</v>
      </c>
      <c r="D2993" t="s">
        <v>87</v>
      </c>
      <c r="E2993" t="s">
        <v>633</v>
      </c>
      <c r="F2993" t="s">
        <v>634</v>
      </c>
      <c r="G2993" t="s">
        <v>14</v>
      </c>
      <c r="H2993">
        <v>7</v>
      </c>
      <c r="I2993">
        <v>24.856999999999999</v>
      </c>
      <c r="J2993">
        <v>33.429000000000002</v>
      </c>
      <c r="K2993">
        <v>8.5709999999999997</v>
      </c>
      <c r="L2993">
        <v>5</v>
      </c>
      <c r="M2993">
        <v>1</v>
      </c>
      <c r="N2993">
        <v>1</v>
      </c>
      <c r="O2993" t="s">
        <v>53</v>
      </c>
      <c r="P2993" t="s">
        <v>53</v>
      </c>
      <c r="Q2993" t="s">
        <v>53</v>
      </c>
    </row>
    <row r="2994" spans="1:17" x14ac:dyDescent="0.2">
      <c r="A2994" s="30" t="str">
        <f>IF(C2994&amp;G2994&amp;D2994&lt;&gt;'Funnel setup'!$K$3&amp;'Funnel setup'!$K$4&amp;'Funnel setup'!$K$5,".",IF(A2993=".",1,A2993+1))</f>
        <v>.</v>
      </c>
      <c r="B2994" s="431" t="str">
        <f t="shared" si="46"/>
        <v>Hip Replacement RevisionCCG of GP PracticeNHS NORTH DERBYSHIRE CCG (04J)Oxford Hip Score</v>
      </c>
      <c r="C2994" t="s">
        <v>247</v>
      </c>
      <c r="D2994" t="s">
        <v>87</v>
      </c>
      <c r="E2994" t="s">
        <v>636</v>
      </c>
      <c r="F2994" t="s">
        <v>637</v>
      </c>
      <c r="G2994" t="s">
        <v>14</v>
      </c>
      <c r="H2994">
        <v>18</v>
      </c>
      <c r="I2994">
        <v>22.167000000000002</v>
      </c>
      <c r="J2994">
        <v>33.777999999999999</v>
      </c>
      <c r="K2994">
        <v>11.611000000000001</v>
      </c>
      <c r="L2994">
        <v>16</v>
      </c>
      <c r="M2994">
        <v>0</v>
      </c>
      <c r="N2994">
        <v>2</v>
      </c>
      <c r="O2994" t="s">
        <v>53</v>
      </c>
      <c r="P2994" t="s">
        <v>53</v>
      </c>
      <c r="Q2994" t="s">
        <v>53</v>
      </c>
    </row>
    <row r="2995" spans="1:17" x14ac:dyDescent="0.2">
      <c r="A2995" s="30" t="str">
        <f>IF(C2995&amp;G2995&amp;D2995&lt;&gt;'Funnel setup'!$K$3&amp;'Funnel setup'!$K$4&amp;'Funnel setup'!$K$5,".",IF(A2994=".",1,A2994+1))</f>
        <v>.</v>
      </c>
      <c r="B2995" s="431" t="str">
        <f t="shared" si="46"/>
        <v>Hip Replacement RevisionCCG of GP PracticeNHS NORTH DURHAM CCG (00J)Oxford Hip Score</v>
      </c>
      <c r="C2995" t="s">
        <v>247</v>
      </c>
      <c r="D2995" t="s">
        <v>87</v>
      </c>
      <c r="E2995" t="s">
        <v>639</v>
      </c>
      <c r="F2995" t="s">
        <v>640</v>
      </c>
      <c r="G2995" t="s">
        <v>14</v>
      </c>
      <c r="H2995">
        <v>14</v>
      </c>
      <c r="I2995">
        <v>15.5</v>
      </c>
      <c r="J2995">
        <v>28.5</v>
      </c>
      <c r="K2995">
        <v>13</v>
      </c>
      <c r="L2995">
        <v>12</v>
      </c>
      <c r="M2995">
        <v>0</v>
      </c>
      <c r="N2995">
        <v>2</v>
      </c>
      <c r="O2995" t="s">
        <v>53</v>
      </c>
      <c r="P2995" t="s">
        <v>53</v>
      </c>
      <c r="Q2995" t="s">
        <v>53</v>
      </c>
    </row>
    <row r="2996" spans="1:17" x14ac:dyDescent="0.2">
      <c r="A2996" s="30" t="str">
        <f>IF(C2996&amp;G2996&amp;D2996&lt;&gt;'Funnel setup'!$K$3&amp;'Funnel setup'!$K$4&amp;'Funnel setup'!$K$5,".",IF(A2995=".",1,A2995+1))</f>
        <v>.</v>
      </c>
      <c r="B2996" s="431" t="str">
        <f t="shared" si="46"/>
        <v>Hip Replacement RevisionCCG of GP PracticeNHS NORTH EAST ESSEX CCG (06T)Oxford Hip Score</v>
      </c>
      <c r="C2996" t="s">
        <v>247</v>
      </c>
      <c r="D2996" t="s">
        <v>87</v>
      </c>
      <c r="E2996" t="s">
        <v>642</v>
      </c>
      <c r="F2996" t="s">
        <v>643</v>
      </c>
      <c r="G2996" t="s">
        <v>14</v>
      </c>
      <c r="H2996">
        <v>21</v>
      </c>
      <c r="I2996">
        <v>17.190000000000001</v>
      </c>
      <c r="J2996">
        <v>30.238</v>
      </c>
      <c r="K2996">
        <v>13.048</v>
      </c>
      <c r="L2996">
        <v>19</v>
      </c>
      <c r="M2996">
        <v>1</v>
      </c>
      <c r="N2996">
        <v>1</v>
      </c>
      <c r="O2996" t="s">
        <v>53</v>
      </c>
      <c r="P2996" t="s">
        <v>53</v>
      </c>
      <c r="Q2996" t="s">
        <v>53</v>
      </c>
    </row>
    <row r="2997" spans="1:17" x14ac:dyDescent="0.2">
      <c r="A2997" s="30" t="str">
        <f>IF(C2997&amp;G2997&amp;D2997&lt;&gt;'Funnel setup'!$K$3&amp;'Funnel setup'!$K$4&amp;'Funnel setup'!$K$5,".",IF(A2996=".",1,A2996+1))</f>
        <v>.</v>
      </c>
      <c r="B2997" s="431" t="str">
        <f t="shared" si="46"/>
        <v>Hip Replacement RevisionCCG of GP PracticeNHS NORTH EAST HAMPSHIRE AND FARNHAM CCG (99M)Oxford Hip Score</v>
      </c>
      <c r="C2997" t="s">
        <v>247</v>
      </c>
      <c r="D2997" t="s">
        <v>87</v>
      </c>
      <c r="E2997" t="s">
        <v>645</v>
      </c>
      <c r="F2997" t="s">
        <v>646</v>
      </c>
      <c r="G2997" t="s">
        <v>14</v>
      </c>
      <c r="H2997">
        <v>16</v>
      </c>
      <c r="I2997">
        <v>23.812999999999999</v>
      </c>
      <c r="J2997">
        <v>37.688000000000002</v>
      </c>
      <c r="K2997">
        <v>13.875</v>
      </c>
      <c r="L2997">
        <v>14</v>
      </c>
      <c r="M2997">
        <v>0</v>
      </c>
      <c r="N2997">
        <v>2</v>
      </c>
      <c r="O2997" t="s">
        <v>53</v>
      </c>
      <c r="P2997" t="s">
        <v>53</v>
      </c>
      <c r="Q2997" t="s">
        <v>53</v>
      </c>
    </row>
    <row r="2998" spans="1:17" x14ac:dyDescent="0.2">
      <c r="A2998" s="30" t="str">
        <f>IF(C2998&amp;G2998&amp;D2998&lt;&gt;'Funnel setup'!$K$3&amp;'Funnel setup'!$K$4&amp;'Funnel setup'!$K$5,".",IF(A2997=".",1,A2997+1))</f>
        <v>.</v>
      </c>
      <c r="B2998" s="431" t="str">
        <f t="shared" si="46"/>
        <v>Hip Replacement RevisionCCG of GP PracticeNHS NORTH EAST LINCOLNSHIRE CCG (03H)Oxford Hip Score</v>
      </c>
      <c r="C2998" t="s">
        <v>247</v>
      </c>
      <c r="D2998" t="s">
        <v>87</v>
      </c>
      <c r="E2998" t="s">
        <v>648</v>
      </c>
      <c r="F2998" t="s">
        <v>649</v>
      </c>
      <c r="G2998" t="s">
        <v>14</v>
      </c>
      <c r="H2998" t="s">
        <v>53</v>
      </c>
      <c r="I2998" t="s">
        <v>53</v>
      </c>
      <c r="J2998" t="s">
        <v>53</v>
      </c>
      <c r="K2998" t="s">
        <v>53</v>
      </c>
      <c r="L2998" t="s">
        <v>53</v>
      </c>
      <c r="M2998" t="s">
        <v>53</v>
      </c>
      <c r="N2998" t="s">
        <v>53</v>
      </c>
      <c r="O2998" t="s">
        <v>53</v>
      </c>
      <c r="P2998" t="s">
        <v>53</v>
      </c>
      <c r="Q2998" t="s">
        <v>53</v>
      </c>
    </row>
    <row r="2999" spans="1:17" x14ac:dyDescent="0.2">
      <c r="A2999" s="30" t="str">
        <f>IF(C2999&amp;G2999&amp;D2999&lt;&gt;'Funnel setup'!$K$3&amp;'Funnel setup'!$K$4&amp;'Funnel setup'!$K$5,".",IF(A2998=".",1,A2998+1))</f>
        <v>.</v>
      </c>
      <c r="B2999" s="431" t="str">
        <f t="shared" si="46"/>
        <v>Hip Replacement RevisionCCG of GP PracticeNHS NORTH HAMPSHIRE CCG (10J)Oxford Hip Score</v>
      </c>
      <c r="C2999" t="s">
        <v>247</v>
      </c>
      <c r="D2999" t="s">
        <v>87</v>
      </c>
      <c r="E2999" t="s">
        <v>651</v>
      </c>
      <c r="F2999" t="s">
        <v>652</v>
      </c>
      <c r="G2999" t="s">
        <v>14</v>
      </c>
      <c r="H2999">
        <v>15</v>
      </c>
      <c r="I2999">
        <v>26.332999999999998</v>
      </c>
      <c r="J2999">
        <v>38.4</v>
      </c>
      <c r="K2999">
        <v>12.067</v>
      </c>
      <c r="L2999">
        <v>14</v>
      </c>
      <c r="M2999">
        <v>0</v>
      </c>
      <c r="N2999">
        <v>1</v>
      </c>
      <c r="O2999" t="s">
        <v>53</v>
      </c>
      <c r="P2999" t="s">
        <v>53</v>
      </c>
      <c r="Q2999" t="s">
        <v>53</v>
      </c>
    </row>
    <row r="3000" spans="1:17" x14ac:dyDescent="0.2">
      <c r="A3000" s="30" t="str">
        <f>IF(C3000&amp;G3000&amp;D3000&lt;&gt;'Funnel setup'!$K$3&amp;'Funnel setup'!$K$4&amp;'Funnel setup'!$K$5,".",IF(A2999=".",1,A2999+1))</f>
        <v>.</v>
      </c>
      <c r="B3000" s="431" t="str">
        <f t="shared" si="46"/>
        <v>Hip Replacement RevisionCCG of GP PracticeNHS NORTH KIRKLEES CCG (03J)Oxford Hip Score</v>
      </c>
      <c r="C3000" t="s">
        <v>247</v>
      </c>
      <c r="D3000" t="s">
        <v>87</v>
      </c>
      <c r="E3000" t="s">
        <v>654</v>
      </c>
      <c r="F3000" t="s">
        <v>655</v>
      </c>
      <c r="G3000" t="s">
        <v>14</v>
      </c>
      <c r="H3000" t="s">
        <v>53</v>
      </c>
      <c r="I3000" t="s">
        <v>53</v>
      </c>
      <c r="J3000" t="s">
        <v>53</v>
      </c>
      <c r="K3000" t="s">
        <v>53</v>
      </c>
      <c r="L3000" t="s">
        <v>53</v>
      </c>
      <c r="M3000" t="s">
        <v>53</v>
      </c>
      <c r="N3000" t="s">
        <v>53</v>
      </c>
      <c r="O3000" t="s">
        <v>53</v>
      </c>
      <c r="P3000" t="s">
        <v>53</v>
      </c>
      <c r="Q3000" t="s">
        <v>53</v>
      </c>
    </row>
    <row r="3001" spans="1:17" x14ac:dyDescent="0.2">
      <c r="A3001" s="30" t="str">
        <f>IF(C3001&amp;G3001&amp;D3001&lt;&gt;'Funnel setup'!$K$3&amp;'Funnel setup'!$K$4&amp;'Funnel setup'!$K$5,".",IF(A3000=".",1,A3000+1))</f>
        <v>.</v>
      </c>
      <c r="B3001" s="431" t="str">
        <f t="shared" si="46"/>
        <v>Hip Replacement RevisionCCG of GP PracticeNHS NORTH LINCOLNSHIRE CCG (03K)Oxford Hip Score</v>
      </c>
      <c r="C3001" t="s">
        <v>247</v>
      </c>
      <c r="D3001" t="s">
        <v>87</v>
      </c>
      <c r="E3001" t="s">
        <v>657</v>
      </c>
      <c r="F3001" t="s">
        <v>658</v>
      </c>
      <c r="G3001" t="s">
        <v>14</v>
      </c>
      <c r="H3001">
        <v>9</v>
      </c>
      <c r="I3001">
        <v>18.443999999999999</v>
      </c>
      <c r="J3001">
        <v>32.777999999999999</v>
      </c>
      <c r="K3001">
        <v>14.333</v>
      </c>
      <c r="L3001">
        <v>8</v>
      </c>
      <c r="M3001">
        <v>0</v>
      </c>
      <c r="N3001">
        <v>1</v>
      </c>
      <c r="O3001" t="s">
        <v>53</v>
      </c>
      <c r="P3001" t="s">
        <v>53</v>
      </c>
      <c r="Q3001" t="s">
        <v>53</v>
      </c>
    </row>
    <row r="3002" spans="1:17" x14ac:dyDescent="0.2">
      <c r="A3002" s="30" t="str">
        <f>IF(C3002&amp;G3002&amp;D3002&lt;&gt;'Funnel setup'!$K$3&amp;'Funnel setup'!$K$4&amp;'Funnel setup'!$K$5,".",IF(A3001=".",1,A3001+1))</f>
        <v>.</v>
      </c>
      <c r="B3002" s="431" t="str">
        <f t="shared" si="46"/>
        <v>Hip Replacement RevisionCCG of GP PracticeNHS NORTH MANCHESTER CCG (01M)Oxford Hip Score</v>
      </c>
      <c r="C3002" t="s">
        <v>247</v>
      </c>
      <c r="D3002" t="s">
        <v>87</v>
      </c>
      <c r="E3002" t="s">
        <v>660</v>
      </c>
      <c r="F3002" t="s">
        <v>661</v>
      </c>
      <c r="G3002" t="s">
        <v>14</v>
      </c>
      <c r="H3002">
        <v>7</v>
      </c>
      <c r="I3002">
        <v>24.428999999999998</v>
      </c>
      <c r="J3002">
        <v>32.713999999999999</v>
      </c>
      <c r="K3002">
        <v>8.2859999999999996</v>
      </c>
      <c r="L3002">
        <v>5</v>
      </c>
      <c r="M3002">
        <v>0</v>
      </c>
      <c r="N3002">
        <v>2</v>
      </c>
      <c r="O3002" t="s">
        <v>53</v>
      </c>
      <c r="P3002" t="s">
        <v>53</v>
      </c>
      <c r="Q3002" t="s">
        <v>53</v>
      </c>
    </row>
    <row r="3003" spans="1:17" x14ac:dyDescent="0.2">
      <c r="A3003" s="30" t="str">
        <f>IF(C3003&amp;G3003&amp;D3003&lt;&gt;'Funnel setup'!$K$3&amp;'Funnel setup'!$K$4&amp;'Funnel setup'!$K$5,".",IF(A3002=".",1,A3002+1))</f>
        <v>.</v>
      </c>
      <c r="B3003" s="431" t="str">
        <f t="shared" si="46"/>
        <v>Hip Replacement RevisionCCG of GP PracticeNHS NORTH NORFOLK CCG (06V)Oxford Hip Score</v>
      </c>
      <c r="C3003" t="s">
        <v>247</v>
      </c>
      <c r="D3003" t="s">
        <v>87</v>
      </c>
      <c r="E3003" t="s">
        <v>663</v>
      </c>
      <c r="F3003" t="s">
        <v>664</v>
      </c>
      <c r="G3003" t="s">
        <v>14</v>
      </c>
      <c r="H3003">
        <v>16</v>
      </c>
      <c r="I3003">
        <v>20.937999999999999</v>
      </c>
      <c r="J3003">
        <v>32.938000000000002</v>
      </c>
      <c r="K3003">
        <v>12</v>
      </c>
      <c r="L3003">
        <v>14</v>
      </c>
      <c r="M3003">
        <v>0</v>
      </c>
      <c r="N3003">
        <v>2</v>
      </c>
      <c r="O3003" t="s">
        <v>53</v>
      </c>
      <c r="P3003" t="s">
        <v>53</v>
      </c>
      <c r="Q3003" t="s">
        <v>53</v>
      </c>
    </row>
    <row r="3004" spans="1:17" x14ac:dyDescent="0.2">
      <c r="A3004" s="30" t="str">
        <f>IF(C3004&amp;G3004&amp;D3004&lt;&gt;'Funnel setup'!$K$3&amp;'Funnel setup'!$K$4&amp;'Funnel setup'!$K$5,".",IF(A3003=".",1,A3003+1))</f>
        <v>.</v>
      </c>
      <c r="B3004" s="431" t="str">
        <f t="shared" si="46"/>
        <v>Hip Replacement RevisionCCG of GP PracticeNHS NORTH SOMERSET CCG (11T)Oxford Hip Score</v>
      </c>
      <c r="C3004" t="s">
        <v>247</v>
      </c>
      <c r="D3004" t="s">
        <v>87</v>
      </c>
      <c r="E3004" t="s">
        <v>666</v>
      </c>
      <c r="F3004" t="s">
        <v>667</v>
      </c>
      <c r="G3004" t="s">
        <v>14</v>
      </c>
      <c r="H3004">
        <v>16</v>
      </c>
      <c r="I3004">
        <v>27.562999999999999</v>
      </c>
      <c r="J3004">
        <v>37.938000000000002</v>
      </c>
      <c r="K3004">
        <v>10.375</v>
      </c>
      <c r="L3004">
        <v>13</v>
      </c>
      <c r="M3004">
        <v>2</v>
      </c>
      <c r="N3004">
        <v>1</v>
      </c>
      <c r="O3004" t="s">
        <v>53</v>
      </c>
      <c r="P3004" t="s">
        <v>53</v>
      </c>
      <c r="Q3004" t="s">
        <v>53</v>
      </c>
    </row>
    <row r="3005" spans="1:17" x14ac:dyDescent="0.2">
      <c r="A3005" s="30" t="str">
        <f>IF(C3005&amp;G3005&amp;D3005&lt;&gt;'Funnel setup'!$K$3&amp;'Funnel setup'!$K$4&amp;'Funnel setup'!$K$5,".",IF(A3004=".",1,A3004+1))</f>
        <v>.</v>
      </c>
      <c r="B3005" s="431" t="str">
        <f t="shared" si="46"/>
        <v>Hip Replacement RevisionCCG of GP PracticeNHS NORTH STAFFORDSHIRE CCG (05G)Oxford Hip Score</v>
      </c>
      <c r="C3005" t="s">
        <v>247</v>
      </c>
      <c r="D3005" t="s">
        <v>87</v>
      </c>
      <c r="E3005" t="s">
        <v>669</v>
      </c>
      <c r="F3005" t="s">
        <v>670</v>
      </c>
      <c r="G3005" t="s">
        <v>14</v>
      </c>
      <c r="H3005">
        <v>9</v>
      </c>
      <c r="I3005">
        <v>17.888999999999999</v>
      </c>
      <c r="J3005">
        <v>30.667000000000002</v>
      </c>
      <c r="K3005">
        <v>12.778</v>
      </c>
      <c r="L3005">
        <v>8</v>
      </c>
      <c r="M3005">
        <v>0</v>
      </c>
      <c r="N3005">
        <v>1</v>
      </c>
      <c r="O3005" t="s">
        <v>53</v>
      </c>
      <c r="P3005" t="s">
        <v>53</v>
      </c>
      <c r="Q3005" t="s">
        <v>53</v>
      </c>
    </row>
    <row r="3006" spans="1:17" x14ac:dyDescent="0.2">
      <c r="A3006" s="30" t="str">
        <f>IF(C3006&amp;G3006&amp;D3006&lt;&gt;'Funnel setup'!$K$3&amp;'Funnel setup'!$K$4&amp;'Funnel setup'!$K$5,".",IF(A3005=".",1,A3005+1))</f>
        <v>.</v>
      </c>
      <c r="B3006" s="431" t="str">
        <f t="shared" si="46"/>
        <v>Hip Replacement RevisionCCG of GP PracticeNHS NORTH TYNESIDE CCG (99C)Oxford Hip Score</v>
      </c>
      <c r="C3006" t="s">
        <v>247</v>
      </c>
      <c r="D3006" t="s">
        <v>87</v>
      </c>
      <c r="E3006" t="s">
        <v>672</v>
      </c>
      <c r="F3006" t="s">
        <v>673</v>
      </c>
      <c r="G3006" t="s">
        <v>14</v>
      </c>
      <c r="H3006">
        <v>14</v>
      </c>
      <c r="I3006">
        <v>20.856999999999999</v>
      </c>
      <c r="J3006">
        <v>33.429000000000002</v>
      </c>
      <c r="K3006">
        <v>12.571</v>
      </c>
      <c r="L3006">
        <v>13</v>
      </c>
      <c r="M3006">
        <v>0</v>
      </c>
      <c r="N3006">
        <v>1</v>
      </c>
      <c r="O3006" t="s">
        <v>53</v>
      </c>
      <c r="P3006" t="s">
        <v>53</v>
      </c>
      <c r="Q3006" t="s">
        <v>53</v>
      </c>
    </row>
    <row r="3007" spans="1:17" x14ac:dyDescent="0.2">
      <c r="A3007" s="30" t="str">
        <f>IF(C3007&amp;G3007&amp;D3007&lt;&gt;'Funnel setup'!$K$3&amp;'Funnel setup'!$K$4&amp;'Funnel setup'!$K$5,".",IF(A3006=".",1,A3006+1))</f>
        <v>.</v>
      </c>
      <c r="B3007" s="431" t="str">
        <f t="shared" si="46"/>
        <v>Hip Replacement RevisionCCG of GP PracticeNHS NORTH WEST SURREY CCG (09Y)Oxford Hip Score</v>
      </c>
      <c r="C3007" t="s">
        <v>247</v>
      </c>
      <c r="D3007" t="s">
        <v>87</v>
      </c>
      <c r="E3007" t="s">
        <v>675</v>
      </c>
      <c r="F3007" t="s">
        <v>676</v>
      </c>
      <c r="G3007" t="s">
        <v>14</v>
      </c>
      <c r="H3007">
        <v>18</v>
      </c>
      <c r="I3007">
        <v>24.667000000000002</v>
      </c>
      <c r="J3007">
        <v>34.5</v>
      </c>
      <c r="K3007">
        <v>9.8330000000000002</v>
      </c>
      <c r="L3007">
        <v>16</v>
      </c>
      <c r="M3007">
        <v>1</v>
      </c>
      <c r="N3007">
        <v>1</v>
      </c>
      <c r="O3007" t="s">
        <v>53</v>
      </c>
      <c r="P3007" t="s">
        <v>53</v>
      </c>
      <c r="Q3007" t="s">
        <v>53</v>
      </c>
    </row>
    <row r="3008" spans="1:17" x14ac:dyDescent="0.2">
      <c r="A3008" s="30" t="str">
        <f>IF(C3008&amp;G3008&amp;D3008&lt;&gt;'Funnel setup'!$K$3&amp;'Funnel setup'!$K$4&amp;'Funnel setup'!$K$5,".",IF(A3007=".",1,A3007+1))</f>
        <v>.</v>
      </c>
      <c r="B3008" s="431" t="str">
        <f t="shared" si="46"/>
        <v>Hip Replacement RevisionCCG of GP PracticeNHS NORTHERN, EASTERN AND WESTERN DEVON CCG (99P)Oxford Hip Score</v>
      </c>
      <c r="C3008" t="s">
        <v>247</v>
      </c>
      <c r="D3008" t="s">
        <v>87</v>
      </c>
      <c r="E3008" t="s">
        <v>678</v>
      </c>
      <c r="F3008" t="s">
        <v>679</v>
      </c>
      <c r="G3008" t="s">
        <v>14</v>
      </c>
      <c r="H3008">
        <v>78</v>
      </c>
      <c r="I3008">
        <v>21.050999999999998</v>
      </c>
      <c r="J3008">
        <v>35.590000000000003</v>
      </c>
      <c r="K3008">
        <v>14.538</v>
      </c>
      <c r="L3008">
        <v>69</v>
      </c>
      <c r="M3008">
        <v>1</v>
      </c>
      <c r="N3008">
        <v>8</v>
      </c>
      <c r="O3008">
        <v>35.537999999999997</v>
      </c>
      <c r="P3008">
        <v>14.66339616</v>
      </c>
      <c r="Q3008">
        <v>8.1549999999999994</v>
      </c>
    </row>
    <row r="3009" spans="1:17" x14ac:dyDescent="0.2">
      <c r="A3009" s="30" t="str">
        <f>IF(C3009&amp;G3009&amp;D3009&lt;&gt;'Funnel setup'!$K$3&amp;'Funnel setup'!$K$4&amp;'Funnel setup'!$K$5,".",IF(A3008=".",1,A3008+1))</f>
        <v>.</v>
      </c>
      <c r="B3009" s="431" t="str">
        <f t="shared" si="46"/>
        <v>Hip Replacement RevisionCCG of GP PracticeNHS NORTHUMBERLAND CCG (00L)Oxford Hip Score</v>
      </c>
      <c r="C3009" t="s">
        <v>247</v>
      </c>
      <c r="D3009" t="s">
        <v>87</v>
      </c>
      <c r="E3009" t="s">
        <v>681</v>
      </c>
      <c r="F3009" t="s">
        <v>336</v>
      </c>
      <c r="G3009" t="s">
        <v>14</v>
      </c>
      <c r="H3009">
        <v>14</v>
      </c>
      <c r="I3009">
        <v>16.928999999999998</v>
      </c>
      <c r="J3009">
        <v>31.713999999999999</v>
      </c>
      <c r="K3009">
        <v>14.786</v>
      </c>
      <c r="L3009">
        <v>11</v>
      </c>
      <c r="M3009">
        <v>0</v>
      </c>
      <c r="N3009">
        <v>3</v>
      </c>
      <c r="O3009" t="s">
        <v>53</v>
      </c>
      <c r="P3009" t="s">
        <v>53</v>
      </c>
      <c r="Q3009" t="s">
        <v>53</v>
      </c>
    </row>
    <row r="3010" spans="1:17" x14ac:dyDescent="0.2">
      <c r="A3010" s="30" t="str">
        <f>IF(C3010&amp;G3010&amp;D3010&lt;&gt;'Funnel setup'!$K$3&amp;'Funnel setup'!$K$4&amp;'Funnel setup'!$K$5,".",IF(A3009=".",1,A3009+1))</f>
        <v>.</v>
      </c>
      <c r="B3010" s="431" t="str">
        <f t="shared" si="46"/>
        <v>Hip Replacement RevisionCCG of GP PracticeNHS NORWICH CCG (06W)Oxford Hip Score</v>
      </c>
      <c r="C3010" t="s">
        <v>247</v>
      </c>
      <c r="D3010" t="s">
        <v>87</v>
      </c>
      <c r="E3010" t="s">
        <v>770</v>
      </c>
      <c r="F3010" t="s">
        <v>771</v>
      </c>
      <c r="G3010" t="s">
        <v>14</v>
      </c>
      <c r="H3010">
        <v>14</v>
      </c>
      <c r="I3010">
        <v>26.571000000000002</v>
      </c>
      <c r="J3010">
        <v>37.570999999999998</v>
      </c>
      <c r="K3010">
        <v>11</v>
      </c>
      <c r="L3010">
        <v>13</v>
      </c>
      <c r="M3010">
        <v>0</v>
      </c>
      <c r="N3010">
        <v>1</v>
      </c>
      <c r="O3010" t="s">
        <v>53</v>
      </c>
      <c r="P3010" t="s">
        <v>53</v>
      </c>
      <c r="Q3010" t="s">
        <v>53</v>
      </c>
    </row>
    <row r="3011" spans="1:17" x14ac:dyDescent="0.2">
      <c r="A3011" s="30" t="str">
        <f>IF(C3011&amp;G3011&amp;D3011&lt;&gt;'Funnel setup'!$K$3&amp;'Funnel setup'!$K$4&amp;'Funnel setup'!$K$5,".",IF(A3010=".",1,A3010+1))</f>
        <v>.</v>
      </c>
      <c r="B3011" s="431" t="str">
        <f t="shared" ref="B3011:B3074" si="47">C3011&amp;D3011&amp;F3011&amp;G3011</f>
        <v>Hip Replacement RevisionCCG of GP PracticeNHS NOTTINGHAM CITY CCG (04K)Oxford Hip Score</v>
      </c>
      <c r="C3011" t="s">
        <v>247</v>
      </c>
      <c r="D3011" t="s">
        <v>87</v>
      </c>
      <c r="E3011" t="s">
        <v>773</v>
      </c>
      <c r="F3011" t="s">
        <v>774</v>
      </c>
      <c r="G3011" t="s">
        <v>14</v>
      </c>
      <c r="H3011">
        <v>8</v>
      </c>
      <c r="I3011">
        <v>20.5</v>
      </c>
      <c r="J3011">
        <v>32.5</v>
      </c>
      <c r="K3011">
        <v>12</v>
      </c>
      <c r="L3011">
        <v>7</v>
      </c>
      <c r="M3011">
        <v>0</v>
      </c>
      <c r="N3011">
        <v>1</v>
      </c>
      <c r="O3011" t="s">
        <v>53</v>
      </c>
      <c r="P3011" t="s">
        <v>53</v>
      </c>
      <c r="Q3011" t="s">
        <v>53</v>
      </c>
    </row>
    <row r="3012" spans="1:17" x14ac:dyDescent="0.2">
      <c r="A3012" s="30" t="str">
        <f>IF(C3012&amp;G3012&amp;D3012&lt;&gt;'Funnel setup'!$K$3&amp;'Funnel setup'!$K$4&amp;'Funnel setup'!$K$5,".",IF(A3011=".",1,A3011+1))</f>
        <v>.</v>
      </c>
      <c r="B3012" s="431" t="str">
        <f t="shared" si="47"/>
        <v>Hip Replacement RevisionCCG of GP PracticeNHS NOTTINGHAM NORTH AND EAST CCG (04L)Oxford Hip Score</v>
      </c>
      <c r="C3012" t="s">
        <v>247</v>
      </c>
      <c r="D3012" t="s">
        <v>87</v>
      </c>
      <c r="E3012" t="s">
        <v>776</v>
      </c>
      <c r="F3012" t="s">
        <v>777</v>
      </c>
      <c r="G3012" t="s">
        <v>14</v>
      </c>
      <c r="H3012">
        <v>11</v>
      </c>
      <c r="I3012">
        <v>20.908999999999999</v>
      </c>
      <c r="J3012">
        <v>35.182000000000002</v>
      </c>
      <c r="K3012">
        <v>14.273</v>
      </c>
      <c r="L3012">
        <v>11</v>
      </c>
      <c r="M3012">
        <v>0</v>
      </c>
      <c r="N3012">
        <v>0</v>
      </c>
      <c r="O3012" t="s">
        <v>53</v>
      </c>
      <c r="P3012" t="s">
        <v>53</v>
      </c>
      <c r="Q3012" t="s">
        <v>53</v>
      </c>
    </row>
    <row r="3013" spans="1:17" x14ac:dyDescent="0.2">
      <c r="A3013" s="30" t="str">
        <f>IF(C3013&amp;G3013&amp;D3013&lt;&gt;'Funnel setup'!$K$3&amp;'Funnel setup'!$K$4&amp;'Funnel setup'!$K$5,".",IF(A3012=".",1,A3012+1))</f>
        <v>.</v>
      </c>
      <c r="B3013" s="431" t="str">
        <f t="shared" si="47"/>
        <v>Hip Replacement RevisionCCG of GP PracticeNHS NOTTINGHAM WEST CCG (04M)Oxford Hip Score</v>
      </c>
      <c r="C3013" t="s">
        <v>247</v>
      </c>
      <c r="D3013" t="s">
        <v>87</v>
      </c>
      <c r="E3013" t="s">
        <v>779</v>
      </c>
      <c r="F3013" t="s">
        <v>780</v>
      </c>
      <c r="G3013" t="s">
        <v>14</v>
      </c>
      <c r="H3013" t="s">
        <v>53</v>
      </c>
      <c r="I3013" t="s">
        <v>53</v>
      </c>
      <c r="J3013" t="s">
        <v>53</v>
      </c>
      <c r="K3013" t="s">
        <v>53</v>
      </c>
      <c r="L3013" t="s">
        <v>53</v>
      </c>
      <c r="M3013" t="s">
        <v>53</v>
      </c>
      <c r="N3013" t="s">
        <v>53</v>
      </c>
      <c r="O3013" t="s">
        <v>53</v>
      </c>
      <c r="P3013" t="s">
        <v>53</v>
      </c>
      <c r="Q3013" t="s">
        <v>53</v>
      </c>
    </row>
    <row r="3014" spans="1:17" x14ac:dyDescent="0.2">
      <c r="A3014" s="30" t="str">
        <f>IF(C3014&amp;G3014&amp;D3014&lt;&gt;'Funnel setup'!$K$3&amp;'Funnel setup'!$K$4&amp;'Funnel setup'!$K$5,".",IF(A3013=".",1,A3013+1))</f>
        <v>.</v>
      </c>
      <c r="B3014" s="431" t="str">
        <f t="shared" si="47"/>
        <v>Hip Replacement RevisionCCG of GP PracticeNHS OLDHAM CCG (00Y)Oxford Hip Score</v>
      </c>
      <c r="C3014" t="s">
        <v>247</v>
      </c>
      <c r="D3014" t="s">
        <v>87</v>
      </c>
      <c r="E3014" t="s">
        <v>782</v>
      </c>
      <c r="F3014" t="s">
        <v>783</v>
      </c>
      <c r="G3014" t="s">
        <v>14</v>
      </c>
      <c r="H3014">
        <v>12</v>
      </c>
      <c r="I3014">
        <v>22.25</v>
      </c>
      <c r="J3014">
        <v>30.332999999999998</v>
      </c>
      <c r="K3014">
        <v>8.0830000000000002</v>
      </c>
      <c r="L3014">
        <v>8</v>
      </c>
      <c r="M3014">
        <v>0</v>
      </c>
      <c r="N3014">
        <v>4</v>
      </c>
      <c r="O3014" t="s">
        <v>53</v>
      </c>
      <c r="P3014" t="s">
        <v>53</v>
      </c>
      <c r="Q3014" t="s">
        <v>53</v>
      </c>
    </row>
    <row r="3015" spans="1:17" x14ac:dyDescent="0.2">
      <c r="A3015" s="30" t="str">
        <f>IF(C3015&amp;G3015&amp;D3015&lt;&gt;'Funnel setup'!$K$3&amp;'Funnel setup'!$K$4&amp;'Funnel setup'!$K$5,".",IF(A3014=".",1,A3014+1))</f>
        <v>.</v>
      </c>
      <c r="B3015" s="431" t="str">
        <f t="shared" si="47"/>
        <v>Hip Replacement RevisionCCG of GP PracticeNHS OXFORDSHIRE CCG (10Q)Oxford Hip Score</v>
      </c>
      <c r="C3015" t="s">
        <v>247</v>
      </c>
      <c r="D3015" t="s">
        <v>87</v>
      </c>
      <c r="E3015" t="s">
        <v>785</v>
      </c>
      <c r="F3015" t="s">
        <v>786</v>
      </c>
      <c r="G3015" t="s">
        <v>14</v>
      </c>
      <c r="H3015">
        <v>39</v>
      </c>
      <c r="I3015">
        <v>21.359000000000002</v>
      </c>
      <c r="J3015">
        <v>37.103000000000002</v>
      </c>
      <c r="K3015">
        <v>15.744</v>
      </c>
      <c r="L3015">
        <v>35</v>
      </c>
      <c r="M3015">
        <v>1</v>
      </c>
      <c r="N3015">
        <v>3</v>
      </c>
      <c r="O3015">
        <v>35.72</v>
      </c>
      <c r="P3015">
        <v>14.844793689999999</v>
      </c>
      <c r="Q3015">
        <v>8.6530000000000005</v>
      </c>
    </row>
    <row r="3016" spans="1:17" x14ac:dyDescent="0.2">
      <c r="A3016" s="30" t="str">
        <f>IF(C3016&amp;G3016&amp;D3016&lt;&gt;'Funnel setup'!$K$3&amp;'Funnel setup'!$K$4&amp;'Funnel setup'!$K$5,".",IF(A3015=".",1,A3015+1))</f>
        <v>.</v>
      </c>
      <c r="B3016" s="431" t="str">
        <f t="shared" si="47"/>
        <v>Hip Replacement RevisionCCG of GP PracticeNHS PORTSMOUTH CCG (10R)Oxford Hip Score</v>
      </c>
      <c r="C3016" t="s">
        <v>247</v>
      </c>
      <c r="D3016" t="s">
        <v>87</v>
      </c>
      <c r="E3016" t="s">
        <v>788</v>
      </c>
      <c r="F3016" t="s">
        <v>789</v>
      </c>
      <c r="G3016" t="s">
        <v>14</v>
      </c>
      <c r="H3016" t="s">
        <v>53</v>
      </c>
      <c r="I3016" t="s">
        <v>53</v>
      </c>
      <c r="J3016" t="s">
        <v>53</v>
      </c>
      <c r="K3016" t="s">
        <v>53</v>
      </c>
      <c r="L3016" t="s">
        <v>53</v>
      </c>
      <c r="M3016" t="s">
        <v>53</v>
      </c>
      <c r="N3016" t="s">
        <v>53</v>
      </c>
      <c r="O3016" t="s">
        <v>53</v>
      </c>
      <c r="P3016" t="s">
        <v>53</v>
      </c>
      <c r="Q3016" t="s">
        <v>53</v>
      </c>
    </row>
    <row r="3017" spans="1:17" x14ac:dyDescent="0.2">
      <c r="A3017" s="30" t="str">
        <f>IF(C3017&amp;G3017&amp;D3017&lt;&gt;'Funnel setup'!$K$3&amp;'Funnel setup'!$K$4&amp;'Funnel setup'!$K$5,".",IF(A3016=".",1,A3016+1))</f>
        <v>.</v>
      </c>
      <c r="B3017" s="431" t="str">
        <f t="shared" si="47"/>
        <v>Hip Replacement RevisionCCG of GP PracticeNHS REDBRIDGE CCG (08N)Oxford Hip Score</v>
      </c>
      <c r="C3017" t="s">
        <v>247</v>
      </c>
      <c r="D3017" t="s">
        <v>87</v>
      </c>
      <c r="E3017" t="s">
        <v>791</v>
      </c>
      <c r="F3017" t="s">
        <v>792</v>
      </c>
      <c r="G3017" t="s">
        <v>14</v>
      </c>
      <c r="H3017" t="s">
        <v>53</v>
      </c>
      <c r="I3017" t="s">
        <v>53</v>
      </c>
      <c r="J3017" t="s">
        <v>53</v>
      </c>
      <c r="K3017" t="s">
        <v>53</v>
      </c>
      <c r="L3017" t="s">
        <v>53</v>
      </c>
      <c r="M3017" t="s">
        <v>53</v>
      </c>
      <c r="N3017" t="s">
        <v>53</v>
      </c>
      <c r="O3017" t="s">
        <v>53</v>
      </c>
      <c r="P3017" t="s">
        <v>53</v>
      </c>
      <c r="Q3017" t="s">
        <v>53</v>
      </c>
    </row>
    <row r="3018" spans="1:17" x14ac:dyDescent="0.2">
      <c r="A3018" s="30" t="str">
        <f>IF(C3018&amp;G3018&amp;D3018&lt;&gt;'Funnel setup'!$K$3&amp;'Funnel setup'!$K$4&amp;'Funnel setup'!$K$5,".",IF(A3017=".",1,A3017+1))</f>
        <v>.</v>
      </c>
      <c r="B3018" s="431" t="str">
        <f t="shared" si="47"/>
        <v>Hip Replacement RevisionCCG of GP PracticeNHS REDDITCH AND BROMSGROVE CCG (05J)Oxford Hip Score</v>
      </c>
      <c r="C3018" t="s">
        <v>247</v>
      </c>
      <c r="D3018" t="s">
        <v>87</v>
      </c>
      <c r="E3018" t="s">
        <v>794</v>
      </c>
      <c r="F3018" t="s">
        <v>795</v>
      </c>
      <c r="G3018" t="s">
        <v>14</v>
      </c>
      <c r="H3018" t="s">
        <v>53</v>
      </c>
      <c r="I3018" t="s">
        <v>53</v>
      </c>
      <c r="J3018" t="s">
        <v>53</v>
      </c>
      <c r="K3018" t="s">
        <v>53</v>
      </c>
      <c r="L3018" t="s">
        <v>53</v>
      </c>
      <c r="M3018" t="s">
        <v>53</v>
      </c>
      <c r="N3018" t="s">
        <v>53</v>
      </c>
      <c r="O3018" t="s">
        <v>53</v>
      </c>
      <c r="P3018" t="s">
        <v>53</v>
      </c>
      <c r="Q3018" t="s">
        <v>53</v>
      </c>
    </row>
    <row r="3019" spans="1:17" x14ac:dyDescent="0.2">
      <c r="A3019" s="30" t="str">
        <f>IF(C3019&amp;G3019&amp;D3019&lt;&gt;'Funnel setup'!$K$3&amp;'Funnel setup'!$K$4&amp;'Funnel setup'!$K$5,".",IF(A3018=".",1,A3018+1))</f>
        <v>.</v>
      </c>
      <c r="B3019" s="431" t="str">
        <f t="shared" si="47"/>
        <v>Hip Replacement RevisionCCG of GP PracticeNHS RICHMOND CCG (08P)Oxford Hip Score</v>
      </c>
      <c r="C3019" t="s">
        <v>247</v>
      </c>
      <c r="D3019" t="s">
        <v>87</v>
      </c>
      <c r="E3019" t="s">
        <v>797</v>
      </c>
      <c r="F3019" t="s">
        <v>798</v>
      </c>
      <c r="G3019" t="s">
        <v>14</v>
      </c>
      <c r="H3019" t="s">
        <v>53</v>
      </c>
      <c r="I3019" t="s">
        <v>53</v>
      </c>
      <c r="J3019" t="s">
        <v>53</v>
      </c>
      <c r="K3019" t="s">
        <v>53</v>
      </c>
      <c r="L3019" t="s">
        <v>53</v>
      </c>
      <c r="M3019" t="s">
        <v>53</v>
      </c>
      <c r="N3019" t="s">
        <v>53</v>
      </c>
      <c r="O3019" t="s">
        <v>53</v>
      </c>
      <c r="P3019" t="s">
        <v>53</v>
      </c>
      <c r="Q3019" t="s">
        <v>53</v>
      </c>
    </row>
    <row r="3020" spans="1:17" x14ac:dyDescent="0.2">
      <c r="A3020" s="30" t="str">
        <f>IF(C3020&amp;G3020&amp;D3020&lt;&gt;'Funnel setup'!$K$3&amp;'Funnel setup'!$K$4&amp;'Funnel setup'!$K$5,".",IF(A3019=".",1,A3019+1))</f>
        <v>.</v>
      </c>
      <c r="B3020" s="431" t="str">
        <f t="shared" si="47"/>
        <v>Hip Replacement RevisionCCG of GP PracticeNHS ROTHERHAM CCG (03L)Oxford Hip Score</v>
      </c>
      <c r="C3020" t="s">
        <v>247</v>
      </c>
      <c r="D3020" t="s">
        <v>87</v>
      </c>
      <c r="E3020" t="s">
        <v>800</v>
      </c>
      <c r="F3020" t="s">
        <v>801</v>
      </c>
      <c r="G3020" t="s">
        <v>14</v>
      </c>
      <c r="H3020">
        <v>17</v>
      </c>
      <c r="I3020">
        <v>18.882000000000001</v>
      </c>
      <c r="J3020">
        <v>33.765000000000001</v>
      </c>
      <c r="K3020">
        <v>14.882</v>
      </c>
      <c r="L3020">
        <v>15</v>
      </c>
      <c r="M3020">
        <v>0</v>
      </c>
      <c r="N3020">
        <v>2</v>
      </c>
      <c r="O3020" t="s">
        <v>53</v>
      </c>
      <c r="P3020" t="s">
        <v>53</v>
      </c>
      <c r="Q3020" t="s">
        <v>53</v>
      </c>
    </row>
    <row r="3021" spans="1:17" x14ac:dyDescent="0.2">
      <c r="A3021" s="30" t="str">
        <f>IF(C3021&amp;G3021&amp;D3021&lt;&gt;'Funnel setup'!$K$3&amp;'Funnel setup'!$K$4&amp;'Funnel setup'!$K$5,".",IF(A3020=".",1,A3020+1))</f>
        <v>.</v>
      </c>
      <c r="B3021" s="431" t="str">
        <f t="shared" si="47"/>
        <v>Hip Replacement RevisionCCG of GP PracticeNHS RUSHCLIFFE CCG (04N)Oxford Hip Score</v>
      </c>
      <c r="C3021" t="s">
        <v>247</v>
      </c>
      <c r="D3021" t="s">
        <v>87</v>
      </c>
      <c r="E3021" t="s">
        <v>803</v>
      </c>
      <c r="F3021" t="s">
        <v>804</v>
      </c>
      <c r="G3021" t="s">
        <v>14</v>
      </c>
      <c r="H3021">
        <v>8</v>
      </c>
      <c r="I3021">
        <v>15</v>
      </c>
      <c r="J3021">
        <v>37.25</v>
      </c>
      <c r="K3021">
        <v>22.25</v>
      </c>
      <c r="L3021">
        <v>8</v>
      </c>
      <c r="M3021">
        <v>0</v>
      </c>
      <c r="N3021">
        <v>0</v>
      </c>
      <c r="O3021" t="s">
        <v>53</v>
      </c>
      <c r="P3021" t="s">
        <v>53</v>
      </c>
      <c r="Q3021" t="s">
        <v>53</v>
      </c>
    </row>
    <row r="3022" spans="1:17" x14ac:dyDescent="0.2">
      <c r="A3022" s="30" t="str">
        <f>IF(C3022&amp;G3022&amp;D3022&lt;&gt;'Funnel setup'!$K$3&amp;'Funnel setup'!$K$4&amp;'Funnel setup'!$K$5,".",IF(A3021=".",1,A3021+1))</f>
        <v>.</v>
      </c>
      <c r="B3022" s="431" t="str">
        <f t="shared" si="47"/>
        <v>Hip Replacement RevisionCCG of GP PracticeNHS SALFORD CCG (01G)Oxford Hip Score</v>
      </c>
      <c r="C3022" t="s">
        <v>247</v>
      </c>
      <c r="D3022" t="s">
        <v>87</v>
      </c>
      <c r="E3022" t="s">
        <v>806</v>
      </c>
      <c r="F3022" t="s">
        <v>807</v>
      </c>
      <c r="G3022" t="s">
        <v>14</v>
      </c>
      <c r="H3022" t="s">
        <v>53</v>
      </c>
      <c r="I3022" t="s">
        <v>53</v>
      </c>
      <c r="J3022" t="s">
        <v>53</v>
      </c>
      <c r="K3022" t="s">
        <v>53</v>
      </c>
      <c r="L3022" t="s">
        <v>53</v>
      </c>
      <c r="M3022" t="s">
        <v>53</v>
      </c>
      <c r="N3022" t="s">
        <v>53</v>
      </c>
      <c r="O3022" t="s">
        <v>53</v>
      </c>
      <c r="P3022" t="s">
        <v>53</v>
      </c>
      <c r="Q3022" t="s">
        <v>53</v>
      </c>
    </row>
    <row r="3023" spans="1:17" x14ac:dyDescent="0.2">
      <c r="A3023" s="30" t="str">
        <f>IF(C3023&amp;G3023&amp;D3023&lt;&gt;'Funnel setup'!$K$3&amp;'Funnel setup'!$K$4&amp;'Funnel setup'!$K$5,".",IF(A3022=".",1,A3022+1))</f>
        <v>.</v>
      </c>
      <c r="B3023" s="431" t="str">
        <f t="shared" si="47"/>
        <v>Hip Replacement RevisionCCG of GP PracticeNHS SANDWELL AND WEST BIRMINGHAM CCG (05L)Oxford Hip Score</v>
      </c>
      <c r="C3023" t="s">
        <v>247</v>
      </c>
      <c r="D3023" t="s">
        <v>87</v>
      </c>
      <c r="E3023" t="s">
        <v>809</v>
      </c>
      <c r="F3023" t="s">
        <v>810</v>
      </c>
      <c r="G3023" t="s">
        <v>14</v>
      </c>
      <c r="H3023">
        <v>12</v>
      </c>
      <c r="I3023">
        <v>25</v>
      </c>
      <c r="J3023">
        <v>36.667000000000002</v>
      </c>
      <c r="K3023">
        <v>11.667</v>
      </c>
      <c r="L3023">
        <v>10</v>
      </c>
      <c r="M3023">
        <v>0</v>
      </c>
      <c r="N3023">
        <v>2</v>
      </c>
      <c r="O3023" t="s">
        <v>53</v>
      </c>
      <c r="P3023" t="s">
        <v>53</v>
      </c>
      <c r="Q3023" t="s">
        <v>53</v>
      </c>
    </row>
    <row r="3024" spans="1:17" x14ac:dyDescent="0.2">
      <c r="A3024" s="30" t="str">
        <f>IF(C3024&amp;G3024&amp;D3024&lt;&gt;'Funnel setup'!$K$3&amp;'Funnel setup'!$K$4&amp;'Funnel setup'!$K$5,".",IF(A3023=".",1,A3023+1))</f>
        <v>.</v>
      </c>
      <c r="B3024" s="431" t="str">
        <f t="shared" si="47"/>
        <v>Hip Replacement RevisionCCG of GP PracticeNHS SCARBOROUGH AND RYEDALE CCG (03M)Oxford Hip Score</v>
      </c>
      <c r="C3024" t="s">
        <v>247</v>
      </c>
      <c r="D3024" t="s">
        <v>87</v>
      </c>
      <c r="E3024" t="s">
        <v>812</v>
      </c>
      <c r="F3024" t="s">
        <v>813</v>
      </c>
      <c r="G3024" t="s">
        <v>14</v>
      </c>
      <c r="H3024">
        <v>10</v>
      </c>
      <c r="I3024">
        <v>23.7</v>
      </c>
      <c r="J3024">
        <v>37.5</v>
      </c>
      <c r="K3024">
        <v>13.8</v>
      </c>
      <c r="L3024">
        <v>9</v>
      </c>
      <c r="M3024">
        <v>1</v>
      </c>
      <c r="N3024">
        <v>0</v>
      </c>
      <c r="O3024" t="s">
        <v>53</v>
      </c>
      <c r="P3024" t="s">
        <v>53</v>
      </c>
      <c r="Q3024" t="s">
        <v>53</v>
      </c>
    </row>
    <row r="3025" spans="1:17" x14ac:dyDescent="0.2">
      <c r="A3025" s="30" t="str">
        <f>IF(C3025&amp;G3025&amp;D3025&lt;&gt;'Funnel setup'!$K$3&amp;'Funnel setup'!$K$4&amp;'Funnel setup'!$K$5,".",IF(A3024=".",1,A3024+1))</f>
        <v>.</v>
      </c>
      <c r="B3025" s="431" t="str">
        <f t="shared" si="47"/>
        <v>Hip Replacement RevisionCCG of GP PracticeNHS SHEFFIELD CCG (03N)Oxford Hip Score</v>
      </c>
      <c r="C3025" t="s">
        <v>247</v>
      </c>
      <c r="D3025" t="s">
        <v>87</v>
      </c>
      <c r="E3025" t="s">
        <v>815</v>
      </c>
      <c r="F3025" t="s">
        <v>816</v>
      </c>
      <c r="G3025" t="s">
        <v>14</v>
      </c>
      <c r="H3025">
        <v>14</v>
      </c>
      <c r="I3025">
        <v>12.071</v>
      </c>
      <c r="J3025">
        <v>28</v>
      </c>
      <c r="K3025">
        <v>15.929</v>
      </c>
      <c r="L3025">
        <v>14</v>
      </c>
      <c r="M3025">
        <v>0</v>
      </c>
      <c r="N3025">
        <v>0</v>
      </c>
      <c r="O3025" t="s">
        <v>53</v>
      </c>
      <c r="P3025" t="s">
        <v>53</v>
      </c>
      <c r="Q3025" t="s">
        <v>53</v>
      </c>
    </row>
    <row r="3026" spans="1:17" x14ac:dyDescent="0.2">
      <c r="A3026" s="30" t="str">
        <f>IF(C3026&amp;G3026&amp;D3026&lt;&gt;'Funnel setup'!$K$3&amp;'Funnel setup'!$K$4&amp;'Funnel setup'!$K$5,".",IF(A3025=".",1,A3025+1))</f>
        <v>.</v>
      </c>
      <c r="B3026" s="431" t="str">
        <f t="shared" si="47"/>
        <v>Hip Replacement RevisionCCG of GP PracticeNHS SHROPSHIRE CCG (05N)Oxford Hip Score</v>
      </c>
      <c r="C3026" t="s">
        <v>247</v>
      </c>
      <c r="D3026" t="s">
        <v>87</v>
      </c>
      <c r="E3026" t="s">
        <v>818</v>
      </c>
      <c r="F3026" t="s">
        <v>819</v>
      </c>
      <c r="G3026" t="s">
        <v>14</v>
      </c>
      <c r="H3026">
        <v>43</v>
      </c>
      <c r="I3026">
        <v>20.744</v>
      </c>
      <c r="J3026">
        <v>32.720999999999997</v>
      </c>
      <c r="K3026">
        <v>11.977</v>
      </c>
      <c r="L3026">
        <v>34</v>
      </c>
      <c r="M3026">
        <v>5</v>
      </c>
      <c r="N3026">
        <v>4</v>
      </c>
      <c r="O3026">
        <v>31.047000000000001</v>
      </c>
      <c r="P3026">
        <v>10.17242328</v>
      </c>
      <c r="Q3026">
        <v>9.4489999999999998</v>
      </c>
    </row>
    <row r="3027" spans="1:17" x14ac:dyDescent="0.2">
      <c r="A3027" s="30" t="str">
        <f>IF(C3027&amp;G3027&amp;D3027&lt;&gt;'Funnel setup'!$K$3&amp;'Funnel setup'!$K$4&amp;'Funnel setup'!$K$5,".",IF(A3026=".",1,A3026+1))</f>
        <v>.</v>
      </c>
      <c r="B3027" s="431" t="str">
        <f t="shared" si="47"/>
        <v>Hip Replacement RevisionCCG of GP PracticeNHS SLOUGH CCG (10T)Oxford Hip Score</v>
      </c>
      <c r="C3027" t="s">
        <v>247</v>
      </c>
      <c r="D3027" t="s">
        <v>87</v>
      </c>
      <c r="E3027" t="s">
        <v>821</v>
      </c>
      <c r="F3027" t="s">
        <v>822</v>
      </c>
      <c r="G3027" t="s">
        <v>14</v>
      </c>
      <c r="H3027" t="s">
        <v>53</v>
      </c>
      <c r="I3027" t="s">
        <v>53</v>
      </c>
      <c r="J3027" t="s">
        <v>53</v>
      </c>
      <c r="K3027" t="s">
        <v>53</v>
      </c>
      <c r="L3027" t="s">
        <v>53</v>
      </c>
      <c r="M3027" t="s">
        <v>53</v>
      </c>
      <c r="N3027" t="s">
        <v>53</v>
      </c>
      <c r="O3027" t="s">
        <v>53</v>
      </c>
      <c r="P3027" t="s">
        <v>53</v>
      </c>
      <c r="Q3027" t="s">
        <v>53</v>
      </c>
    </row>
    <row r="3028" spans="1:17" x14ac:dyDescent="0.2">
      <c r="A3028" s="30" t="str">
        <f>IF(C3028&amp;G3028&amp;D3028&lt;&gt;'Funnel setup'!$K$3&amp;'Funnel setup'!$K$4&amp;'Funnel setup'!$K$5,".",IF(A3027=".",1,A3027+1))</f>
        <v>.</v>
      </c>
      <c r="B3028" s="431" t="str">
        <f t="shared" si="47"/>
        <v>Hip Replacement RevisionCCG of GP PracticeNHS SOLIHULL CCG (05P)Oxford Hip Score</v>
      </c>
      <c r="C3028" t="s">
        <v>247</v>
      </c>
      <c r="D3028" t="s">
        <v>87</v>
      </c>
      <c r="E3028" t="s">
        <v>824</v>
      </c>
      <c r="F3028" t="s">
        <v>825</v>
      </c>
      <c r="G3028" t="s">
        <v>14</v>
      </c>
      <c r="H3028">
        <v>10</v>
      </c>
      <c r="I3028">
        <v>12.8</v>
      </c>
      <c r="J3028">
        <v>31.3</v>
      </c>
      <c r="K3028">
        <v>18.5</v>
      </c>
      <c r="L3028">
        <v>10</v>
      </c>
      <c r="M3028">
        <v>0</v>
      </c>
      <c r="N3028">
        <v>0</v>
      </c>
      <c r="O3028" t="s">
        <v>53</v>
      </c>
      <c r="P3028" t="s">
        <v>53</v>
      </c>
      <c r="Q3028" t="s">
        <v>53</v>
      </c>
    </row>
    <row r="3029" spans="1:17" x14ac:dyDescent="0.2">
      <c r="A3029" s="30" t="str">
        <f>IF(C3029&amp;G3029&amp;D3029&lt;&gt;'Funnel setup'!$K$3&amp;'Funnel setup'!$K$4&amp;'Funnel setup'!$K$5,".",IF(A3028=".",1,A3028+1))</f>
        <v>.</v>
      </c>
      <c r="B3029" s="431" t="str">
        <f t="shared" si="47"/>
        <v>Hip Replacement RevisionCCG of GP PracticeNHS SOMERSET CCG (11X)Oxford Hip Score</v>
      </c>
      <c r="C3029" t="s">
        <v>247</v>
      </c>
      <c r="D3029" t="s">
        <v>87</v>
      </c>
      <c r="E3029" t="s">
        <v>827</v>
      </c>
      <c r="F3029" t="s">
        <v>828</v>
      </c>
      <c r="G3029" t="s">
        <v>14</v>
      </c>
      <c r="H3029">
        <v>48</v>
      </c>
      <c r="I3029">
        <v>27.457999999999998</v>
      </c>
      <c r="J3029">
        <v>37.082999999999998</v>
      </c>
      <c r="K3029">
        <v>9.625</v>
      </c>
      <c r="L3029">
        <v>32</v>
      </c>
      <c r="M3029">
        <v>4</v>
      </c>
      <c r="N3029">
        <v>12</v>
      </c>
      <c r="O3029">
        <v>34.195</v>
      </c>
      <c r="P3029">
        <v>13.31995337</v>
      </c>
      <c r="Q3029">
        <v>8.9819999999999993</v>
      </c>
    </row>
    <row r="3030" spans="1:17" x14ac:dyDescent="0.2">
      <c r="A3030" s="30" t="str">
        <f>IF(C3030&amp;G3030&amp;D3030&lt;&gt;'Funnel setup'!$K$3&amp;'Funnel setup'!$K$4&amp;'Funnel setup'!$K$5,".",IF(A3029=".",1,A3029+1))</f>
        <v>.</v>
      </c>
      <c r="B3030" s="431" t="str">
        <f t="shared" si="47"/>
        <v>Hip Replacement RevisionCCG of GP PracticeNHS SOUTH CHESHIRE CCG (01R)Oxford Hip Score</v>
      </c>
      <c r="C3030" t="s">
        <v>247</v>
      </c>
      <c r="D3030" t="s">
        <v>87</v>
      </c>
      <c r="E3030" t="s">
        <v>830</v>
      </c>
      <c r="F3030" t="s">
        <v>831</v>
      </c>
      <c r="G3030" t="s">
        <v>14</v>
      </c>
      <c r="H3030">
        <v>6</v>
      </c>
      <c r="I3030">
        <v>15.5</v>
      </c>
      <c r="J3030">
        <v>29</v>
      </c>
      <c r="K3030">
        <v>13.5</v>
      </c>
      <c r="L3030">
        <v>5</v>
      </c>
      <c r="M3030">
        <v>0</v>
      </c>
      <c r="N3030">
        <v>1</v>
      </c>
      <c r="O3030" t="s">
        <v>53</v>
      </c>
      <c r="P3030" t="s">
        <v>53</v>
      </c>
      <c r="Q3030" t="s">
        <v>53</v>
      </c>
    </row>
    <row r="3031" spans="1:17" x14ac:dyDescent="0.2">
      <c r="A3031" s="30" t="str">
        <f>IF(C3031&amp;G3031&amp;D3031&lt;&gt;'Funnel setup'!$K$3&amp;'Funnel setup'!$K$4&amp;'Funnel setup'!$K$5,".",IF(A3030=".",1,A3030+1))</f>
        <v>.</v>
      </c>
      <c r="B3031" s="431" t="str">
        <f t="shared" si="47"/>
        <v>Hip Replacement RevisionCCG of GP PracticeNHS SOUTH DEVON AND TORBAY CCG (99Q)Oxford Hip Score</v>
      </c>
      <c r="C3031" t="s">
        <v>247</v>
      </c>
      <c r="D3031" t="s">
        <v>87</v>
      </c>
      <c r="E3031" t="s">
        <v>833</v>
      </c>
      <c r="F3031" t="s">
        <v>834</v>
      </c>
      <c r="G3031" t="s">
        <v>14</v>
      </c>
      <c r="H3031">
        <v>30</v>
      </c>
      <c r="I3031">
        <v>23.766999999999999</v>
      </c>
      <c r="J3031">
        <v>33.232999999999997</v>
      </c>
      <c r="K3031">
        <v>9.4670000000000005</v>
      </c>
      <c r="L3031">
        <v>20</v>
      </c>
      <c r="M3031">
        <v>3</v>
      </c>
      <c r="N3031">
        <v>7</v>
      </c>
      <c r="O3031">
        <v>32.640999999999998</v>
      </c>
      <c r="P3031">
        <v>11.76627592</v>
      </c>
      <c r="Q3031">
        <v>9.2439999999999998</v>
      </c>
    </row>
    <row r="3032" spans="1:17" x14ac:dyDescent="0.2">
      <c r="A3032" s="30" t="str">
        <f>IF(C3032&amp;G3032&amp;D3032&lt;&gt;'Funnel setup'!$K$3&amp;'Funnel setup'!$K$4&amp;'Funnel setup'!$K$5,".",IF(A3031=".",1,A3031+1))</f>
        <v>.</v>
      </c>
      <c r="B3032" s="431" t="str">
        <f t="shared" si="47"/>
        <v>Hip Replacement RevisionCCG of GP PracticeNHS SOUTH EAST STAFFORDSHIRE AND SEISDON PENINSULA CCG (05Q)Oxford Hip Score</v>
      </c>
      <c r="C3032" t="s">
        <v>247</v>
      </c>
      <c r="D3032" t="s">
        <v>87</v>
      </c>
      <c r="E3032" t="s">
        <v>836</v>
      </c>
      <c r="F3032" t="s">
        <v>837</v>
      </c>
      <c r="G3032" t="s">
        <v>14</v>
      </c>
      <c r="H3032">
        <v>9</v>
      </c>
      <c r="I3032">
        <v>20.332999999999998</v>
      </c>
      <c r="J3032">
        <v>30.222000000000001</v>
      </c>
      <c r="K3032">
        <v>9.8889999999999993</v>
      </c>
      <c r="L3032">
        <v>7</v>
      </c>
      <c r="M3032">
        <v>0</v>
      </c>
      <c r="N3032">
        <v>2</v>
      </c>
      <c r="O3032" t="s">
        <v>53</v>
      </c>
      <c r="P3032" t="s">
        <v>53</v>
      </c>
      <c r="Q3032" t="s">
        <v>53</v>
      </c>
    </row>
    <row r="3033" spans="1:17" x14ac:dyDescent="0.2">
      <c r="A3033" s="30" t="str">
        <f>IF(C3033&amp;G3033&amp;D3033&lt;&gt;'Funnel setup'!$K$3&amp;'Funnel setup'!$K$4&amp;'Funnel setup'!$K$5,".",IF(A3032=".",1,A3032+1))</f>
        <v>.</v>
      </c>
      <c r="B3033" s="431" t="str">
        <f t="shared" si="47"/>
        <v>Hip Replacement RevisionCCG of GP PracticeNHS SOUTH EASTERN HAMPSHIRE CCG (10V)Oxford Hip Score</v>
      </c>
      <c r="C3033" t="s">
        <v>247</v>
      </c>
      <c r="D3033" t="s">
        <v>87</v>
      </c>
      <c r="E3033" t="s">
        <v>839</v>
      </c>
      <c r="F3033" t="s">
        <v>840</v>
      </c>
      <c r="G3033" t="s">
        <v>14</v>
      </c>
      <c r="H3033">
        <v>9</v>
      </c>
      <c r="I3033">
        <v>15.444000000000001</v>
      </c>
      <c r="J3033">
        <v>29.443999999999999</v>
      </c>
      <c r="K3033">
        <v>14</v>
      </c>
      <c r="L3033">
        <v>9</v>
      </c>
      <c r="M3033">
        <v>0</v>
      </c>
      <c r="N3033">
        <v>0</v>
      </c>
      <c r="O3033" t="s">
        <v>53</v>
      </c>
      <c r="P3033" t="s">
        <v>53</v>
      </c>
      <c r="Q3033" t="s">
        <v>53</v>
      </c>
    </row>
    <row r="3034" spans="1:17" x14ac:dyDescent="0.2">
      <c r="A3034" s="30" t="str">
        <f>IF(C3034&amp;G3034&amp;D3034&lt;&gt;'Funnel setup'!$K$3&amp;'Funnel setup'!$K$4&amp;'Funnel setup'!$K$5,".",IF(A3033=".",1,A3033+1))</f>
        <v>.</v>
      </c>
      <c r="B3034" s="431" t="str">
        <f t="shared" si="47"/>
        <v>Hip Replacement RevisionCCG of GP PracticeNHS SOUTH GLOUCESTERSHIRE CCG (12A)Oxford Hip Score</v>
      </c>
      <c r="C3034" t="s">
        <v>247</v>
      </c>
      <c r="D3034" t="s">
        <v>87</v>
      </c>
      <c r="E3034" t="s">
        <v>842</v>
      </c>
      <c r="F3034" t="s">
        <v>843</v>
      </c>
      <c r="G3034" t="s">
        <v>14</v>
      </c>
      <c r="H3034">
        <v>8</v>
      </c>
      <c r="I3034">
        <v>24.125</v>
      </c>
      <c r="J3034">
        <v>34.875</v>
      </c>
      <c r="K3034">
        <v>10.75</v>
      </c>
      <c r="L3034">
        <v>8</v>
      </c>
      <c r="M3034">
        <v>0</v>
      </c>
      <c r="N3034">
        <v>0</v>
      </c>
      <c r="O3034" t="s">
        <v>53</v>
      </c>
      <c r="P3034" t="s">
        <v>53</v>
      </c>
      <c r="Q3034" t="s">
        <v>53</v>
      </c>
    </row>
    <row r="3035" spans="1:17" x14ac:dyDescent="0.2">
      <c r="A3035" s="30" t="str">
        <f>IF(C3035&amp;G3035&amp;D3035&lt;&gt;'Funnel setup'!$K$3&amp;'Funnel setup'!$K$4&amp;'Funnel setup'!$K$5,".",IF(A3034=".",1,A3034+1))</f>
        <v>.</v>
      </c>
      <c r="B3035" s="431" t="str">
        <f t="shared" si="47"/>
        <v>Hip Replacement RevisionCCG of GP PracticeNHS SOUTH KENT COAST CCG (10A)Oxford Hip Score</v>
      </c>
      <c r="C3035" t="s">
        <v>247</v>
      </c>
      <c r="D3035" t="s">
        <v>87</v>
      </c>
      <c r="E3035" t="s">
        <v>845</v>
      </c>
      <c r="F3035" t="s">
        <v>846</v>
      </c>
      <c r="G3035" t="s">
        <v>14</v>
      </c>
      <c r="H3035">
        <v>13</v>
      </c>
      <c r="I3035">
        <v>16.768999999999998</v>
      </c>
      <c r="J3035">
        <v>38.692</v>
      </c>
      <c r="K3035">
        <v>21.922999999999998</v>
      </c>
      <c r="L3035">
        <v>13</v>
      </c>
      <c r="M3035">
        <v>0</v>
      </c>
      <c r="N3035">
        <v>0</v>
      </c>
      <c r="O3035" t="s">
        <v>53</v>
      </c>
      <c r="P3035" t="s">
        <v>53</v>
      </c>
      <c r="Q3035" t="s">
        <v>53</v>
      </c>
    </row>
    <row r="3036" spans="1:17" x14ac:dyDescent="0.2">
      <c r="A3036" s="30" t="str">
        <f>IF(C3036&amp;G3036&amp;D3036&lt;&gt;'Funnel setup'!$K$3&amp;'Funnel setup'!$K$4&amp;'Funnel setup'!$K$5,".",IF(A3035=".",1,A3035+1))</f>
        <v>.</v>
      </c>
      <c r="B3036" s="431" t="str">
        <f t="shared" si="47"/>
        <v>Hip Replacement RevisionCCG of GP PracticeNHS SOUTH LINCOLNSHIRE CCG (99D)Oxford Hip Score</v>
      </c>
      <c r="C3036" t="s">
        <v>247</v>
      </c>
      <c r="D3036" t="s">
        <v>87</v>
      </c>
      <c r="E3036" t="s">
        <v>848</v>
      </c>
      <c r="F3036" t="s">
        <v>849</v>
      </c>
      <c r="G3036" t="s">
        <v>14</v>
      </c>
      <c r="H3036">
        <v>7</v>
      </c>
      <c r="I3036">
        <v>26.856999999999999</v>
      </c>
      <c r="J3036">
        <v>30</v>
      </c>
      <c r="K3036">
        <v>3.1429999999999998</v>
      </c>
      <c r="L3036">
        <v>5</v>
      </c>
      <c r="M3036">
        <v>0</v>
      </c>
      <c r="N3036">
        <v>2</v>
      </c>
      <c r="O3036" t="s">
        <v>53</v>
      </c>
      <c r="P3036" t="s">
        <v>53</v>
      </c>
      <c r="Q3036" t="s">
        <v>53</v>
      </c>
    </row>
    <row r="3037" spans="1:17" x14ac:dyDescent="0.2">
      <c r="A3037" s="30" t="str">
        <f>IF(C3037&amp;G3037&amp;D3037&lt;&gt;'Funnel setup'!$K$3&amp;'Funnel setup'!$K$4&amp;'Funnel setup'!$K$5,".",IF(A3036=".",1,A3036+1))</f>
        <v>.</v>
      </c>
      <c r="B3037" s="431" t="str">
        <f t="shared" si="47"/>
        <v>Hip Replacement RevisionCCG of GP PracticeNHS SOUTH MANCHESTER CCG (01N)Oxford Hip Score</v>
      </c>
      <c r="C3037" t="s">
        <v>247</v>
      </c>
      <c r="D3037" t="s">
        <v>87</v>
      </c>
      <c r="E3037" t="s">
        <v>851</v>
      </c>
      <c r="F3037" t="s">
        <v>852</v>
      </c>
      <c r="G3037" t="s">
        <v>14</v>
      </c>
      <c r="H3037" t="s">
        <v>53</v>
      </c>
      <c r="I3037" t="s">
        <v>53</v>
      </c>
      <c r="J3037" t="s">
        <v>53</v>
      </c>
      <c r="K3037" t="s">
        <v>53</v>
      </c>
      <c r="L3037" t="s">
        <v>53</v>
      </c>
      <c r="M3037" t="s">
        <v>53</v>
      </c>
      <c r="N3037" t="s">
        <v>53</v>
      </c>
      <c r="O3037" t="s">
        <v>53</v>
      </c>
      <c r="P3037" t="s">
        <v>53</v>
      </c>
      <c r="Q3037" t="s">
        <v>53</v>
      </c>
    </row>
    <row r="3038" spans="1:17" x14ac:dyDescent="0.2">
      <c r="A3038" s="30" t="str">
        <f>IF(C3038&amp;G3038&amp;D3038&lt;&gt;'Funnel setup'!$K$3&amp;'Funnel setup'!$K$4&amp;'Funnel setup'!$K$5,".",IF(A3037=".",1,A3037+1))</f>
        <v>.</v>
      </c>
      <c r="B3038" s="431" t="str">
        <f t="shared" si="47"/>
        <v>Hip Replacement RevisionCCG of GP PracticeNHS SOUTH NORFOLK CCG (06Y)Oxford Hip Score</v>
      </c>
      <c r="C3038" t="s">
        <v>247</v>
      </c>
      <c r="D3038" t="s">
        <v>87</v>
      </c>
      <c r="E3038" t="s">
        <v>932</v>
      </c>
      <c r="F3038" t="s">
        <v>933</v>
      </c>
      <c r="G3038" t="s">
        <v>14</v>
      </c>
      <c r="H3038">
        <v>17</v>
      </c>
      <c r="I3038">
        <v>22.529</v>
      </c>
      <c r="J3038">
        <v>36.706000000000003</v>
      </c>
      <c r="K3038">
        <v>14.176</v>
      </c>
      <c r="L3038">
        <v>14</v>
      </c>
      <c r="M3038">
        <v>0</v>
      </c>
      <c r="N3038">
        <v>3</v>
      </c>
      <c r="O3038" t="s">
        <v>53</v>
      </c>
      <c r="P3038" t="s">
        <v>53</v>
      </c>
      <c r="Q3038" t="s">
        <v>53</v>
      </c>
    </row>
    <row r="3039" spans="1:17" x14ac:dyDescent="0.2">
      <c r="A3039" s="30" t="str">
        <f>IF(C3039&amp;G3039&amp;D3039&lt;&gt;'Funnel setup'!$K$3&amp;'Funnel setup'!$K$4&amp;'Funnel setup'!$K$5,".",IF(A3038=".",1,A3038+1))</f>
        <v>.</v>
      </c>
      <c r="B3039" s="431" t="str">
        <f t="shared" si="47"/>
        <v>Hip Replacement RevisionCCG of GP PracticeNHS SOUTH READING CCG (10W)Oxford Hip Score</v>
      </c>
      <c r="C3039" t="s">
        <v>247</v>
      </c>
      <c r="D3039" t="s">
        <v>87</v>
      </c>
      <c r="E3039" t="s">
        <v>935</v>
      </c>
      <c r="F3039" t="s">
        <v>936</v>
      </c>
      <c r="G3039" t="s">
        <v>14</v>
      </c>
      <c r="H3039" t="s">
        <v>53</v>
      </c>
      <c r="I3039" t="s">
        <v>53</v>
      </c>
      <c r="J3039" t="s">
        <v>53</v>
      </c>
      <c r="K3039" t="s">
        <v>53</v>
      </c>
      <c r="L3039" t="s">
        <v>53</v>
      </c>
      <c r="M3039" t="s">
        <v>53</v>
      </c>
      <c r="N3039" t="s">
        <v>53</v>
      </c>
      <c r="O3039" t="s">
        <v>53</v>
      </c>
      <c r="P3039" t="s">
        <v>53</v>
      </c>
      <c r="Q3039" t="s">
        <v>53</v>
      </c>
    </row>
    <row r="3040" spans="1:17" x14ac:dyDescent="0.2">
      <c r="A3040" s="30" t="str">
        <f>IF(C3040&amp;G3040&amp;D3040&lt;&gt;'Funnel setup'!$K$3&amp;'Funnel setup'!$K$4&amp;'Funnel setup'!$K$5,".",IF(A3039=".",1,A3039+1))</f>
        <v>.</v>
      </c>
      <c r="B3040" s="431" t="str">
        <f t="shared" si="47"/>
        <v>Hip Replacement RevisionCCG of GP PracticeNHS SOUTH SEFTON CCG (01T)Oxford Hip Score</v>
      </c>
      <c r="C3040" t="s">
        <v>247</v>
      </c>
      <c r="D3040" t="s">
        <v>87</v>
      </c>
      <c r="E3040" t="s">
        <v>938</v>
      </c>
      <c r="F3040" t="s">
        <v>939</v>
      </c>
      <c r="G3040" t="s">
        <v>14</v>
      </c>
      <c r="H3040">
        <v>9</v>
      </c>
      <c r="I3040">
        <v>20.111000000000001</v>
      </c>
      <c r="J3040">
        <v>31.667000000000002</v>
      </c>
      <c r="K3040">
        <v>11.555999999999999</v>
      </c>
      <c r="L3040">
        <v>7</v>
      </c>
      <c r="M3040">
        <v>0</v>
      </c>
      <c r="N3040">
        <v>2</v>
      </c>
      <c r="O3040" t="s">
        <v>53</v>
      </c>
      <c r="P3040" t="s">
        <v>53</v>
      </c>
      <c r="Q3040" t="s">
        <v>53</v>
      </c>
    </row>
    <row r="3041" spans="1:17" x14ac:dyDescent="0.2">
      <c r="A3041" s="30" t="str">
        <f>IF(C3041&amp;G3041&amp;D3041&lt;&gt;'Funnel setup'!$K$3&amp;'Funnel setup'!$K$4&amp;'Funnel setup'!$K$5,".",IF(A3040=".",1,A3040+1))</f>
        <v>.</v>
      </c>
      <c r="B3041" s="431" t="str">
        <f t="shared" si="47"/>
        <v>Hip Replacement RevisionCCG of GP PracticeNHS SOUTH TEES CCG (00M)Oxford Hip Score</v>
      </c>
      <c r="C3041" t="s">
        <v>247</v>
      </c>
      <c r="D3041" t="s">
        <v>87</v>
      </c>
      <c r="E3041" t="s">
        <v>941</v>
      </c>
      <c r="F3041" t="s">
        <v>942</v>
      </c>
      <c r="G3041" t="s">
        <v>14</v>
      </c>
      <c r="H3041">
        <v>18</v>
      </c>
      <c r="I3041">
        <v>22.443999999999999</v>
      </c>
      <c r="J3041">
        <v>30.332999999999998</v>
      </c>
      <c r="K3041">
        <v>7.8890000000000002</v>
      </c>
      <c r="L3041">
        <v>13</v>
      </c>
      <c r="M3041">
        <v>1</v>
      </c>
      <c r="N3041">
        <v>4</v>
      </c>
      <c r="O3041" t="s">
        <v>53</v>
      </c>
      <c r="P3041" t="s">
        <v>53</v>
      </c>
      <c r="Q3041" t="s">
        <v>53</v>
      </c>
    </row>
    <row r="3042" spans="1:17" x14ac:dyDescent="0.2">
      <c r="A3042" s="30" t="str">
        <f>IF(C3042&amp;G3042&amp;D3042&lt;&gt;'Funnel setup'!$K$3&amp;'Funnel setup'!$K$4&amp;'Funnel setup'!$K$5,".",IF(A3041=".",1,A3041+1))</f>
        <v>.</v>
      </c>
      <c r="B3042" s="431" t="str">
        <f t="shared" si="47"/>
        <v>Hip Replacement RevisionCCG of GP PracticeNHS SOUTH TYNESIDE CCG (00N)Oxford Hip Score</v>
      </c>
      <c r="C3042" t="s">
        <v>247</v>
      </c>
      <c r="D3042" t="s">
        <v>87</v>
      </c>
      <c r="E3042" t="s">
        <v>1016</v>
      </c>
      <c r="F3042" t="s">
        <v>1017</v>
      </c>
      <c r="G3042" t="s">
        <v>14</v>
      </c>
      <c r="H3042" t="s">
        <v>53</v>
      </c>
      <c r="I3042" t="s">
        <v>53</v>
      </c>
      <c r="J3042" t="s">
        <v>53</v>
      </c>
      <c r="K3042" t="s">
        <v>53</v>
      </c>
      <c r="L3042" t="s">
        <v>53</v>
      </c>
      <c r="M3042" t="s">
        <v>53</v>
      </c>
      <c r="N3042" t="s">
        <v>53</v>
      </c>
      <c r="O3042" t="s">
        <v>53</v>
      </c>
      <c r="P3042" t="s">
        <v>53</v>
      </c>
      <c r="Q3042" t="s">
        <v>53</v>
      </c>
    </row>
    <row r="3043" spans="1:17" x14ac:dyDescent="0.2">
      <c r="A3043" s="30" t="str">
        <f>IF(C3043&amp;G3043&amp;D3043&lt;&gt;'Funnel setup'!$K$3&amp;'Funnel setup'!$K$4&amp;'Funnel setup'!$K$5,".",IF(A3042=".",1,A3042+1))</f>
        <v>.</v>
      </c>
      <c r="B3043" s="431" t="str">
        <f t="shared" si="47"/>
        <v>Hip Replacement RevisionCCG of GP PracticeNHS SOUTH WARWICKSHIRE CCG (05R)Oxford Hip Score</v>
      </c>
      <c r="C3043" t="s">
        <v>247</v>
      </c>
      <c r="D3043" t="s">
        <v>87</v>
      </c>
      <c r="E3043" t="s">
        <v>944</v>
      </c>
      <c r="F3043" t="s">
        <v>945</v>
      </c>
      <c r="G3043" t="s">
        <v>14</v>
      </c>
      <c r="H3043">
        <v>16</v>
      </c>
      <c r="I3043">
        <v>23.375</v>
      </c>
      <c r="J3043">
        <v>36.375</v>
      </c>
      <c r="K3043">
        <v>13</v>
      </c>
      <c r="L3043">
        <v>13</v>
      </c>
      <c r="M3043">
        <v>0</v>
      </c>
      <c r="N3043">
        <v>3</v>
      </c>
      <c r="O3043" t="s">
        <v>53</v>
      </c>
      <c r="P3043" t="s">
        <v>53</v>
      </c>
      <c r="Q3043" t="s">
        <v>53</v>
      </c>
    </row>
    <row r="3044" spans="1:17" x14ac:dyDescent="0.2">
      <c r="A3044" s="30" t="str">
        <f>IF(C3044&amp;G3044&amp;D3044&lt;&gt;'Funnel setup'!$K$3&amp;'Funnel setup'!$K$4&amp;'Funnel setup'!$K$5,".",IF(A3043=".",1,A3043+1))</f>
        <v>.</v>
      </c>
      <c r="B3044" s="431" t="str">
        <f t="shared" si="47"/>
        <v>Hip Replacement RevisionCCG of GP PracticeNHS SOUTH WEST LINCOLNSHIRE CCG (04Q)Oxford Hip Score</v>
      </c>
      <c r="C3044" t="s">
        <v>247</v>
      </c>
      <c r="D3044" t="s">
        <v>87</v>
      </c>
      <c r="E3044" t="s">
        <v>947</v>
      </c>
      <c r="F3044" t="s">
        <v>948</v>
      </c>
      <c r="G3044" t="s">
        <v>14</v>
      </c>
      <c r="H3044" t="s">
        <v>53</v>
      </c>
      <c r="I3044" t="s">
        <v>53</v>
      </c>
      <c r="J3044" t="s">
        <v>53</v>
      </c>
      <c r="K3044" t="s">
        <v>53</v>
      </c>
      <c r="L3044" t="s">
        <v>53</v>
      </c>
      <c r="M3044" t="s">
        <v>53</v>
      </c>
      <c r="N3044" t="s">
        <v>53</v>
      </c>
      <c r="O3044" t="s">
        <v>53</v>
      </c>
      <c r="P3044" t="s">
        <v>53</v>
      </c>
      <c r="Q3044" t="s">
        <v>53</v>
      </c>
    </row>
    <row r="3045" spans="1:17" x14ac:dyDescent="0.2">
      <c r="A3045" s="30" t="str">
        <f>IF(C3045&amp;G3045&amp;D3045&lt;&gt;'Funnel setup'!$K$3&amp;'Funnel setup'!$K$4&amp;'Funnel setup'!$K$5,".",IF(A3044=".",1,A3044+1))</f>
        <v>.</v>
      </c>
      <c r="B3045" s="431" t="str">
        <f t="shared" si="47"/>
        <v>Hip Replacement RevisionCCG of GP PracticeNHS SOUTH WORCESTERSHIRE CCG (05T)Oxford Hip Score</v>
      </c>
      <c r="C3045" t="s">
        <v>247</v>
      </c>
      <c r="D3045" t="s">
        <v>87</v>
      </c>
      <c r="E3045" t="s">
        <v>950</v>
      </c>
      <c r="F3045" t="s">
        <v>951</v>
      </c>
      <c r="G3045" t="s">
        <v>14</v>
      </c>
      <c r="H3045">
        <v>18</v>
      </c>
      <c r="I3045">
        <v>20.611000000000001</v>
      </c>
      <c r="J3045">
        <v>31.667000000000002</v>
      </c>
      <c r="K3045">
        <v>11.055999999999999</v>
      </c>
      <c r="L3045">
        <v>13</v>
      </c>
      <c r="M3045">
        <v>0</v>
      </c>
      <c r="N3045">
        <v>5</v>
      </c>
      <c r="O3045" t="s">
        <v>53</v>
      </c>
      <c r="P3045" t="s">
        <v>53</v>
      </c>
      <c r="Q3045" t="s">
        <v>53</v>
      </c>
    </row>
    <row r="3046" spans="1:17" x14ac:dyDescent="0.2">
      <c r="A3046" s="30" t="str">
        <f>IF(C3046&amp;G3046&amp;D3046&lt;&gt;'Funnel setup'!$K$3&amp;'Funnel setup'!$K$4&amp;'Funnel setup'!$K$5,".",IF(A3045=".",1,A3045+1))</f>
        <v>.</v>
      </c>
      <c r="B3046" s="431" t="str">
        <f t="shared" si="47"/>
        <v>Hip Replacement RevisionCCG of GP PracticeNHS SOUTHAMPTON CCG (10X)Oxford Hip Score</v>
      </c>
      <c r="C3046" t="s">
        <v>247</v>
      </c>
      <c r="D3046" t="s">
        <v>87</v>
      </c>
      <c r="E3046" t="s">
        <v>953</v>
      </c>
      <c r="F3046" t="s">
        <v>954</v>
      </c>
      <c r="G3046" t="s">
        <v>14</v>
      </c>
      <c r="H3046">
        <v>13</v>
      </c>
      <c r="I3046">
        <v>17.538</v>
      </c>
      <c r="J3046">
        <v>32.231000000000002</v>
      </c>
      <c r="K3046">
        <v>14.692</v>
      </c>
      <c r="L3046">
        <v>10</v>
      </c>
      <c r="M3046">
        <v>0</v>
      </c>
      <c r="N3046">
        <v>3</v>
      </c>
      <c r="O3046" t="s">
        <v>53</v>
      </c>
      <c r="P3046" t="s">
        <v>53</v>
      </c>
      <c r="Q3046" t="s">
        <v>53</v>
      </c>
    </row>
    <row r="3047" spans="1:17" x14ac:dyDescent="0.2">
      <c r="A3047" s="30" t="str">
        <f>IF(C3047&amp;G3047&amp;D3047&lt;&gt;'Funnel setup'!$K$3&amp;'Funnel setup'!$K$4&amp;'Funnel setup'!$K$5,".",IF(A3046=".",1,A3046+1))</f>
        <v>.</v>
      </c>
      <c r="B3047" s="431" t="str">
        <f t="shared" si="47"/>
        <v>Hip Replacement RevisionCCG of GP PracticeNHS SOUTHEND CCG (99G)Oxford Hip Score</v>
      </c>
      <c r="C3047" t="s">
        <v>247</v>
      </c>
      <c r="D3047" t="s">
        <v>87</v>
      </c>
      <c r="E3047" t="s">
        <v>956</v>
      </c>
      <c r="F3047" t="s">
        <v>957</v>
      </c>
      <c r="G3047" t="s">
        <v>14</v>
      </c>
      <c r="H3047" t="s">
        <v>53</v>
      </c>
      <c r="I3047" t="s">
        <v>53</v>
      </c>
      <c r="J3047" t="s">
        <v>53</v>
      </c>
      <c r="K3047" t="s">
        <v>53</v>
      </c>
      <c r="L3047" t="s">
        <v>53</v>
      </c>
      <c r="M3047" t="s">
        <v>53</v>
      </c>
      <c r="N3047" t="s">
        <v>53</v>
      </c>
      <c r="O3047" t="s">
        <v>53</v>
      </c>
      <c r="P3047" t="s">
        <v>53</v>
      </c>
      <c r="Q3047" t="s">
        <v>53</v>
      </c>
    </row>
    <row r="3048" spans="1:17" x14ac:dyDescent="0.2">
      <c r="A3048" s="30" t="str">
        <f>IF(C3048&amp;G3048&amp;D3048&lt;&gt;'Funnel setup'!$K$3&amp;'Funnel setup'!$K$4&amp;'Funnel setup'!$K$5,".",IF(A3047=".",1,A3047+1))</f>
        <v>.</v>
      </c>
      <c r="B3048" s="431" t="str">
        <f t="shared" si="47"/>
        <v>Hip Replacement RevisionCCG of GP PracticeNHS SOUTHERN DERBYSHIRE CCG (04R)Oxford Hip Score</v>
      </c>
      <c r="C3048" t="s">
        <v>247</v>
      </c>
      <c r="D3048" t="s">
        <v>87</v>
      </c>
      <c r="E3048" t="s">
        <v>959</v>
      </c>
      <c r="F3048" t="s">
        <v>960</v>
      </c>
      <c r="G3048" t="s">
        <v>14</v>
      </c>
      <c r="H3048">
        <v>25</v>
      </c>
      <c r="I3048">
        <v>22.12</v>
      </c>
      <c r="J3048">
        <v>33.76</v>
      </c>
      <c r="K3048">
        <v>11.64</v>
      </c>
      <c r="L3048">
        <v>21</v>
      </c>
      <c r="M3048">
        <v>0</v>
      </c>
      <c r="N3048">
        <v>4</v>
      </c>
      <c r="O3048" t="s">
        <v>53</v>
      </c>
      <c r="P3048" t="s">
        <v>53</v>
      </c>
      <c r="Q3048" t="s">
        <v>53</v>
      </c>
    </row>
    <row r="3049" spans="1:17" x14ac:dyDescent="0.2">
      <c r="A3049" s="30" t="str">
        <f>IF(C3049&amp;G3049&amp;D3049&lt;&gt;'Funnel setup'!$K$3&amp;'Funnel setup'!$K$4&amp;'Funnel setup'!$K$5,".",IF(A3048=".",1,A3048+1))</f>
        <v>.</v>
      </c>
      <c r="B3049" s="431" t="str">
        <f t="shared" si="47"/>
        <v>Hip Replacement RevisionCCG of GP PracticeNHS SOUTHPORT AND FORMBY CCG (01V)Oxford Hip Score</v>
      </c>
      <c r="C3049" t="s">
        <v>247</v>
      </c>
      <c r="D3049" t="s">
        <v>87</v>
      </c>
      <c r="E3049" t="s">
        <v>962</v>
      </c>
      <c r="F3049" t="s">
        <v>963</v>
      </c>
      <c r="G3049" t="s">
        <v>14</v>
      </c>
      <c r="H3049" t="s">
        <v>53</v>
      </c>
      <c r="I3049" t="s">
        <v>53</v>
      </c>
      <c r="J3049" t="s">
        <v>53</v>
      </c>
      <c r="K3049" t="s">
        <v>53</v>
      </c>
      <c r="L3049" t="s">
        <v>53</v>
      </c>
      <c r="M3049" t="s">
        <v>53</v>
      </c>
      <c r="N3049" t="s">
        <v>53</v>
      </c>
      <c r="O3049" t="s">
        <v>53</v>
      </c>
      <c r="P3049" t="s">
        <v>53</v>
      </c>
      <c r="Q3049" t="s">
        <v>53</v>
      </c>
    </row>
    <row r="3050" spans="1:17" x14ac:dyDescent="0.2">
      <c r="A3050" s="30" t="str">
        <f>IF(C3050&amp;G3050&amp;D3050&lt;&gt;'Funnel setup'!$K$3&amp;'Funnel setup'!$K$4&amp;'Funnel setup'!$K$5,".",IF(A3049=".",1,A3049+1))</f>
        <v>.</v>
      </c>
      <c r="B3050" s="431" t="str">
        <f t="shared" si="47"/>
        <v>Hip Replacement RevisionCCG of GP PracticeNHS SOUTHWARK CCG (08Q)Oxford Hip Score</v>
      </c>
      <c r="C3050" t="s">
        <v>247</v>
      </c>
      <c r="D3050" t="s">
        <v>87</v>
      </c>
      <c r="E3050" t="s">
        <v>965</v>
      </c>
      <c r="F3050" t="s">
        <v>966</v>
      </c>
      <c r="G3050" t="s">
        <v>14</v>
      </c>
      <c r="H3050" t="s">
        <v>53</v>
      </c>
      <c r="I3050" t="s">
        <v>53</v>
      </c>
      <c r="J3050" t="s">
        <v>53</v>
      </c>
      <c r="K3050" t="s">
        <v>53</v>
      </c>
      <c r="L3050" t="s">
        <v>53</v>
      </c>
      <c r="M3050" t="s">
        <v>53</v>
      </c>
      <c r="N3050" t="s">
        <v>53</v>
      </c>
      <c r="O3050" t="s">
        <v>53</v>
      </c>
      <c r="P3050" t="s">
        <v>53</v>
      </c>
      <c r="Q3050" t="s">
        <v>53</v>
      </c>
    </row>
    <row r="3051" spans="1:17" x14ac:dyDescent="0.2">
      <c r="A3051" s="30" t="str">
        <f>IF(C3051&amp;G3051&amp;D3051&lt;&gt;'Funnel setup'!$K$3&amp;'Funnel setup'!$K$4&amp;'Funnel setup'!$K$5,".",IF(A3050=".",1,A3050+1))</f>
        <v>.</v>
      </c>
      <c r="B3051" s="431" t="str">
        <f t="shared" si="47"/>
        <v>Hip Replacement RevisionCCG of GP PracticeNHS ST HELENS CCG (01X)Oxford Hip Score</v>
      </c>
      <c r="C3051" t="s">
        <v>247</v>
      </c>
      <c r="D3051" t="s">
        <v>87</v>
      </c>
      <c r="E3051" t="s">
        <v>968</v>
      </c>
      <c r="F3051" t="s">
        <v>969</v>
      </c>
      <c r="G3051" t="s">
        <v>14</v>
      </c>
      <c r="H3051">
        <v>14</v>
      </c>
      <c r="I3051">
        <v>17.428999999999998</v>
      </c>
      <c r="J3051">
        <v>26.928999999999998</v>
      </c>
      <c r="K3051">
        <v>9.5</v>
      </c>
      <c r="L3051">
        <v>10</v>
      </c>
      <c r="M3051">
        <v>0</v>
      </c>
      <c r="N3051">
        <v>4</v>
      </c>
      <c r="O3051" t="s">
        <v>53</v>
      </c>
      <c r="P3051" t="s">
        <v>53</v>
      </c>
      <c r="Q3051" t="s">
        <v>53</v>
      </c>
    </row>
    <row r="3052" spans="1:17" x14ac:dyDescent="0.2">
      <c r="A3052" s="30" t="str">
        <f>IF(C3052&amp;G3052&amp;D3052&lt;&gt;'Funnel setup'!$K$3&amp;'Funnel setup'!$K$4&amp;'Funnel setup'!$K$5,".",IF(A3051=".",1,A3051+1))</f>
        <v>.</v>
      </c>
      <c r="B3052" s="431" t="str">
        <f t="shared" si="47"/>
        <v>Hip Replacement RevisionCCG of GP PracticeNHS STAFFORD AND SURROUNDS CCG (05V)Oxford Hip Score</v>
      </c>
      <c r="C3052" t="s">
        <v>247</v>
      </c>
      <c r="D3052" t="s">
        <v>87</v>
      </c>
      <c r="E3052" t="s">
        <v>971</v>
      </c>
      <c r="F3052" t="s">
        <v>972</v>
      </c>
      <c r="G3052" t="s">
        <v>14</v>
      </c>
      <c r="H3052">
        <v>11</v>
      </c>
      <c r="I3052">
        <v>17.818000000000001</v>
      </c>
      <c r="J3052">
        <v>29.727</v>
      </c>
      <c r="K3052">
        <v>11.909000000000001</v>
      </c>
      <c r="L3052">
        <v>10</v>
      </c>
      <c r="M3052">
        <v>0</v>
      </c>
      <c r="N3052">
        <v>1</v>
      </c>
      <c r="O3052" t="s">
        <v>53</v>
      </c>
      <c r="P3052" t="s">
        <v>53</v>
      </c>
      <c r="Q3052" t="s">
        <v>53</v>
      </c>
    </row>
    <row r="3053" spans="1:17" x14ac:dyDescent="0.2">
      <c r="A3053" s="30" t="str">
        <f>IF(C3053&amp;G3053&amp;D3053&lt;&gt;'Funnel setup'!$K$3&amp;'Funnel setup'!$K$4&amp;'Funnel setup'!$K$5,".",IF(A3052=".",1,A3052+1))</f>
        <v>.</v>
      </c>
      <c r="B3053" s="431" t="str">
        <f t="shared" si="47"/>
        <v>Hip Replacement RevisionCCG of GP PracticeNHS STOCKPORT CCG (01W)Oxford Hip Score</v>
      </c>
      <c r="C3053" t="s">
        <v>247</v>
      </c>
      <c r="D3053" t="s">
        <v>87</v>
      </c>
      <c r="E3053" t="s">
        <v>974</v>
      </c>
      <c r="F3053" t="s">
        <v>975</v>
      </c>
      <c r="G3053" t="s">
        <v>14</v>
      </c>
      <c r="H3053" t="s">
        <v>53</v>
      </c>
      <c r="I3053" t="s">
        <v>53</v>
      </c>
      <c r="J3053" t="s">
        <v>53</v>
      </c>
      <c r="K3053" t="s">
        <v>53</v>
      </c>
      <c r="L3053" t="s">
        <v>53</v>
      </c>
      <c r="M3053" t="s">
        <v>53</v>
      </c>
      <c r="N3053" t="s">
        <v>53</v>
      </c>
      <c r="O3053" t="s">
        <v>53</v>
      </c>
      <c r="P3053" t="s">
        <v>53</v>
      </c>
      <c r="Q3053" t="s">
        <v>53</v>
      </c>
    </row>
    <row r="3054" spans="1:17" x14ac:dyDescent="0.2">
      <c r="A3054" s="30" t="str">
        <f>IF(C3054&amp;G3054&amp;D3054&lt;&gt;'Funnel setup'!$K$3&amp;'Funnel setup'!$K$4&amp;'Funnel setup'!$K$5,".",IF(A3053=".",1,A3053+1))</f>
        <v>.</v>
      </c>
      <c r="B3054" s="431" t="str">
        <f t="shared" si="47"/>
        <v>Hip Replacement RevisionCCG of GP PracticeNHS STOKE ON TRENT CCG (05W)Oxford Hip Score</v>
      </c>
      <c r="C3054" t="s">
        <v>247</v>
      </c>
      <c r="D3054" t="s">
        <v>87</v>
      </c>
      <c r="E3054" t="s">
        <v>977</v>
      </c>
      <c r="F3054" t="s">
        <v>978</v>
      </c>
      <c r="G3054" t="s">
        <v>14</v>
      </c>
      <c r="H3054" t="s">
        <v>53</v>
      </c>
      <c r="I3054" t="s">
        <v>53</v>
      </c>
      <c r="J3054" t="s">
        <v>53</v>
      </c>
      <c r="K3054" t="s">
        <v>53</v>
      </c>
      <c r="L3054" t="s">
        <v>53</v>
      </c>
      <c r="M3054" t="s">
        <v>53</v>
      </c>
      <c r="N3054" t="s">
        <v>53</v>
      </c>
      <c r="O3054" t="s">
        <v>53</v>
      </c>
      <c r="P3054" t="s">
        <v>53</v>
      </c>
      <c r="Q3054" t="s">
        <v>53</v>
      </c>
    </row>
    <row r="3055" spans="1:17" x14ac:dyDescent="0.2">
      <c r="A3055" s="30" t="str">
        <f>IF(C3055&amp;G3055&amp;D3055&lt;&gt;'Funnel setup'!$K$3&amp;'Funnel setup'!$K$4&amp;'Funnel setup'!$K$5,".",IF(A3054=".",1,A3054+1))</f>
        <v>.</v>
      </c>
      <c r="B3055" s="431" t="str">
        <f t="shared" si="47"/>
        <v>Hip Replacement RevisionCCG of GP PracticeNHS SUNDERLAND CCG (00P)Oxford Hip Score</v>
      </c>
      <c r="C3055" t="s">
        <v>247</v>
      </c>
      <c r="D3055" t="s">
        <v>87</v>
      </c>
      <c r="E3055" t="s">
        <v>980</v>
      </c>
      <c r="F3055" t="s">
        <v>981</v>
      </c>
      <c r="G3055" t="s">
        <v>14</v>
      </c>
      <c r="H3055">
        <v>9</v>
      </c>
      <c r="I3055">
        <v>17.777999999999999</v>
      </c>
      <c r="J3055">
        <v>27.667000000000002</v>
      </c>
      <c r="K3055">
        <v>9.8889999999999993</v>
      </c>
      <c r="L3055">
        <v>8</v>
      </c>
      <c r="M3055">
        <v>0</v>
      </c>
      <c r="N3055">
        <v>1</v>
      </c>
      <c r="O3055" t="s">
        <v>53</v>
      </c>
      <c r="P3055" t="s">
        <v>53</v>
      </c>
      <c r="Q3055" t="s">
        <v>53</v>
      </c>
    </row>
    <row r="3056" spans="1:17" x14ac:dyDescent="0.2">
      <c r="A3056" s="30" t="str">
        <f>IF(C3056&amp;G3056&amp;D3056&lt;&gt;'Funnel setup'!$K$3&amp;'Funnel setup'!$K$4&amp;'Funnel setup'!$K$5,".",IF(A3055=".",1,A3055+1))</f>
        <v>.</v>
      </c>
      <c r="B3056" s="431" t="str">
        <f t="shared" si="47"/>
        <v>Hip Replacement RevisionCCG of GP PracticeNHS SURREY DOWNS CCG (99H)Oxford Hip Score</v>
      </c>
      <c r="C3056" t="s">
        <v>247</v>
      </c>
      <c r="D3056" t="s">
        <v>87</v>
      </c>
      <c r="E3056" t="s">
        <v>983</v>
      </c>
      <c r="F3056" t="s">
        <v>984</v>
      </c>
      <c r="G3056" t="s">
        <v>14</v>
      </c>
      <c r="H3056">
        <v>17</v>
      </c>
      <c r="I3056">
        <v>24.294</v>
      </c>
      <c r="J3056">
        <v>31.706</v>
      </c>
      <c r="K3056">
        <v>7.4119999999999999</v>
      </c>
      <c r="L3056">
        <v>11</v>
      </c>
      <c r="M3056">
        <v>1</v>
      </c>
      <c r="N3056">
        <v>5</v>
      </c>
      <c r="O3056" t="s">
        <v>53</v>
      </c>
      <c r="P3056" t="s">
        <v>53</v>
      </c>
      <c r="Q3056" t="s">
        <v>53</v>
      </c>
    </row>
    <row r="3057" spans="1:17" x14ac:dyDescent="0.2">
      <c r="A3057" s="30" t="str">
        <f>IF(C3057&amp;G3057&amp;D3057&lt;&gt;'Funnel setup'!$K$3&amp;'Funnel setup'!$K$4&amp;'Funnel setup'!$K$5,".",IF(A3056=".",1,A3056+1))</f>
        <v>.</v>
      </c>
      <c r="B3057" s="431" t="str">
        <f t="shared" si="47"/>
        <v>Hip Replacement RevisionCCG of GP PracticeNHS SURREY HEATH CCG (10C)Oxford Hip Score</v>
      </c>
      <c r="C3057" t="s">
        <v>247</v>
      </c>
      <c r="D3057" t="s">
        <v>87</v>
      </c>
      <c r="E3057" t="s">
        <v>986</v>
      </c>
      <c r="F3057" t="s">
        <v>987</v>
      </c>
      <c r="G3057" t="s">
        <v>14</v>
      </c>
      <c r="H3057">
        <v>6</v>
      </c>
      <c r="I3057">
        <v>23.167000000000002</v>
      </c>
      <c r="J3057">
        <v>36.5</v>
      </c>
      <c r="K3057">
        <v>13.333</v>
      </c>
      <c r="L3057">
        <v>6</v>
      </c>
      <c r="M3057">
        <v>0</v>
      </c>
      <c r="N3057">
        <v>0</v>
      </c>
      <c r="O3057" t="s">
        <v>53</v>
      </c>
      <c r="P3057" t="s">
        <v>53</v>
      </c>
      <c r="Q3057" t="s">
        <v>53</v>
      </c>
    </row>
    <row r="3058" spans="1:17" x14ac:dyDescent="0.2">
      <c r="A3058" s="30" t="str">
        <f>IF(C3058&amp;G3058&amp;D3058&lt;&gt;'Funnel setup'!$K$3&amp;'Funnel setup'!$K$4&amp;'Funnel setup'!$K$5,".",IF(A3057=".",1,A3057+1))</f>
        <v>.</v>
      </c>
      <c r="B3058" s="431" t="str">
        <f t="shared" si="47"/>
        <v>Hip Replacement RevisionCCG of GP PracticeNHS SUTTON CCG (08T)Oxford Hip Score</v>
      </c>
      <c r="C3058" t="s">
        <v>247</v>
      </c>
      <c r="D3058" t="s">
        <v>87</v>
      </c>
      <c r="E3058" t="s">
        <v>989</v>
      </c>
      <c r="F3058" t="s">
        <v>990</v>
      </c>
      <c r="G3058" t="s">
        <v>14</v>
      </c>
      <c r="H3058" t="s">
        <v>53</v>
      </c>
      <c r="I3058" t="s">
        <v>53</v>
      </c>
      <c r="J3058" t="s">
        <v>53</v>
      </c>
      <c r="K3058" t="s">
        <v>53</v>
      </c>
      <c r="L3058" t="s">
        <v>53</v>
      </c>
      <c r="M3058" t="s">
        <v>53</v>
      </c>
      <c r="N3058" t="s">
        <v>53</v>
      </c>
      <c r="O3058" t="s">
        <v>53</v>
      </c>
      <c r="P3058" t="s">
        <v>53</v>
      </c>
      <c r="Q3058" t="s">
        <v>53</v>
      </c>
    </row>
    <row r="3059" spans="1:17" x14ac:dyDescent="0.2">
      <c r="A3059" s="30" t="str">
        <f>IF(C3059&amp;G3059&amp;D3059&lt;&gt;'Funnel setup'!$K$3&amp;'Funnel setup'!$K$4&amp;'Funnel setup'!$K$5,".",IF(A3058=".",1,A3058+1))</f>
        <v>.</v>
      </c>
      <c r="B3059" s="431" t="str">
        <f t="shared" si="47"/>
        <v>Hip Replacement RevisionCCG of GP PracticeNHS SWALE CCG (10D)Oxford Hip Score</v>
      </c>
      <c r="C3059" t="s">
        <v>247</v>
      </c>
      <c r="D3059" t="s">
        <v>87</v>
      </c>
      <c r="E3059" t="s">
        <v>992</v>
      </c>
      <c r="F3059" t="s">
        <v>993</v>
      </c>
      <c r="G3059" t="s">
        <v>14</v>
      </c>
      <c r="H3059">
        <v>9</v>
      </c>
      <c r="I3059">
        <v>24.777999999999999</v>
      </c>
      <c r="J3059">
        <v>31.888999999999999</v>
      </c>
      <c r="K3059">
        <v>7.1109999999999998</v>
      </c>
      <c r="L3059">
        <v>7</v>
      </c>
      <c r="M3059">
        <v>0</v>
      </c>
      <c r="N3059">
        <v>2</v>
      </c>
      <c r="O3059" t="s">
        <v>53</v>
      </c>
      <c r="P3059" t="s">
        <v>53</v>
      </c>
      <c r="Q3059" t="s">
        <v>53</v>
      </c>
    </row>
    <row r="3060" spans="1:17" x14ac:dyDescent="0.2">
      <c r="A3060" s="30" t="str">
        <f>IF(C3060&amp;G3060&amp;D3060&lt;&gt;'Funnel setup'!$K$3&amp;'Funnel setup'!$K$4&amp;'Funnel setup'!$K$5,".",IF(A3059=".",1,A3059+1))</f>
        <v>.</v>
      </c>
      <c r="B3060" s="431" t="str">
        <f t="shared" si="47"/>
        <v>Hip Replacement RevisionCCG of GP PracticeNHS SWINDON CCG (12D)Oxford Hip Score</v>
      </c>
      <c r="C3060" t="s">
        <v>247</v>
      </c>
      <c r="D3060" t="s">
        <v>87</v>
      </c>
      <c r="E3060" t="s">
        <v>995</v>
      </c>
      <c r="F3060" t="s">
        <v>996</v>
      </c>
      <c r="G3060" t="s">
        <v>14</v>
      </c>
      <c r="H3060">
        <v>9</v>
      </c>
      <c r="I3060">
        <v>17</v>
      </c>
      <c r="J3060">
        <v>33.332999999999998</v>
      </c>
      <c r="K3060">
        <v>16.332999999999998</v>
      </c>
      <c r="L3060">
        <v>8</v>
      </c>
      <c r="M3060">
        <v>0</v>
      </c>
      <c r="N3060">
        <v>1</v>
      </c>
      <c r="O3060" t="s">
        <v>53</v>
      </c>
      <c r="P3060" t="s">
        <v>53</v>
      </c>
      <c r="Q3060" t="s">
        <v>53</v>
      </c>
    </row>
    <row r="3061" spans="1:17" x14ac:dyDescent="0.2">
      <c r="A3061" s="30" t="str">
        <f>IF(C3061&amp;G3061&amp;D3061&lt;&gt;'Funnel setup'!$K$3&amp;'Funnel setup'!$K$4&amp;'Funnel setup'!$K$5,".",IF(A3060=".",1,A3060+1))</f>
        <v>.</v>
      </c>
      <c r="B3061" s="431" t="str">
        <f t="shared" si="47"/>
        <v>Hip Replacement RevisionCCG of GP PracticeNHS TAMESIDE AND GLOSSOP CCG (01Y)Oxford Hip Score</v>
      </c>
      <c r="C3061" t="s">
        <v>247</v>
      </c>
      <c r="D3061" t="s">
        <v>87</v>
      </c>
      <c r="E3061" t="s">
        <v>998</v>
      </c>
      <c r="F3061" t="s">
        <v>999</v>
      </c>
      <c r="G3061" t="s">
        <v>14</v>
      </c>
      <c r="H3061" t="s">
        <v>53</v>
      </c>
      <c r="I3061" t="s">
        <v>53</v>
      </c>
      <c r="J3061" t="s">
        <v>53</v>
      </c>
      <c r="K3061" t="s">
        <v>53</v>
      </c>
      <c r="L3061" t="s">
        <v>53</v>
      </c>
      <c r="M3061" t="s">
        <v>53</v>
      </c>
      <c r="N3061" t="s">
        <v>53</v>
      </c>
      <c r="O3061" t="s">
        <v>53</v>
      </c>
      <c r="P3061" t="s">
        <v>53</v>
      </c>
      <c r="Q3061" t="s">
        <v>53</v>
      </c>
    </row>
    <row r="3062" spans="1:17" x14ac:dyDescent="0.2">
      <c r="A3062" s="30" t="str">
        <f>IF(C3062&amp;G3062&amp;D3062&lt;&gt;'Funnel setup'!$K$3&amp;'Funnel setup'!$K$4&amp;'Funnel setup'!$K$5,".",IF(A3061=".",1,A3061+1))</f>
        <v>.</v>
      </c>
      <c r="B3062" s="431" t="str">
        <f t="shared" si="47"/>
        <v>Hip Replacement RevisionCCG of GP PracticeNHS TELFORD AND WREKIN CCG (05X)Oxford Hip Score</v>
      </c>
      <c r="C3062" t="s">
        <v>247</v>
      </c>
      <c r="D3062" t="s">
        <v>87</v>
      </c>
      <c r="E3062" t="s">
        <v>1001</v>
      </c>
      <c r="F3062" t="s">
        <v>1002</v>
      </c>
      <c r="G3062" t="s">
        <v>14</v>
      </c>
      <c r="H3062">
        <v>18</v>
      </c>
      <c r="I3062">
        <v>17.722000000000001</v>
      </c>
      <c r="J3062">
        <v>29.332999999999998</v>
      </c>
      <c r="K3062">
        <v>11.611000000000001</v>
      </c>
      <c r="L3062">
        <v>16</v>
      </c>
      <c r="M3062">
        <v>0</v>
      </c>
      <c r="N3062">
        <v>2</v>
      </c>
      <c r="O3062" t="s">
        <v>53</v>
      </c>
      <c r="P3062" t="s">
        <v>53</v>
      </c>
      <c r="Q3062" t="s">
        <v>53</v>
      </c>
    </row>
    <row r="3063" spans="1:17" x14ac:dyDescent="0.2">
      <c r="A3063" s="30" t="str">
        <f>IF(C3063&amp;G3063&amp;D3063&lt;&gt;'Funnel setup'!$K$3&amp;'Funnel setup'!$K$4&amp;'Funnel setup'!$K$5,".",IF(A3062=".",1,A3062+1))</f>
        <v>.</v>
      </c>
      <c r="B3063" s="431" t="str">
        <f t="shared" si="47"/>
        <v>Hip Replacement RevisionCCG of GP PracticeNHS THANET CCG (10E)Oxford Hip Score</v>
      </c>
      <c r="C3063" t="s">
        <v>247</v>
      </c>
      <c r="D3063" t="s">
        <v>87</v>
      </c>
      <c r="E3063" t="s">
        <v>1004</v>
      </c>
      <c r="F3063" t="s">
        <v>1005</v>
      </c>
      <c r="G3063" t="s">
        <v>14</v>
      </c>
      <c r="H3063">
        <v>15</v>
      </c>
      <c r="I3063">
        <v>16.132999999999999</v>
      </c>
      <c r="J3063">
        <v>27.733000000000001</v>
      </c>
      <c r="K3063">
        <v>11.6</v>
      </c>
      <c r="L3063">
        <v>12</v>
      </c>
      <c r="M3063">
        <v>0</v>
      </c>
      <c r="N3063">
        <v>3</v>
      </c>
      <c r="O3063" t="s">
        <v>53</v>
      </c>
      <c r="P3063" t="s">
        <v>53</v>
      </c>
      <c r="Q3063" t="s">
        <v>53</v>
      </c>
    </row>
    <row r="3064" spans="1:17" x14ac:dyDescent="0.2">
      <c r="A3064" s="30" t="str">
        <f>IF(C3064&amp;G3064&amp;D3064&lt;&gt;'Funnel setup'!$K$3&amp;'Funnel setup'!$K$4&amp;'Funnel setup'!$K$5,".",IF(A3063=".",1,A3063+1))</f>
        <v>.</v>
      </c>
      <c r="B3064" s="431" t="str">
        <f t="shared" si="47"/>
        <v>Hip Replacement RevisionCCG of GP PracticeNHS THURROCK CCG (07G)Oxford Hip Score</v>
      </c>
      <c r="C3064" t="s">
        <v>247</v>
      </c>
      <c r="D3064" t="s">
        <v>87</v>
      </c>
      <c r="E3064" t="s">
        <v>1007</v>
      </c>
      <c r="F3064" t="s">
        <v>1008</v>
      </c>
      <c r="G3064" t="s">
        <v>14</v>
      </c>
      <c r="H3064" t="s">
        <v>53</v>
      </c>
      <c r="I3064" t="s">
        <v>53</v>
      </c>
      <c r="J3064" t="s">
        <v>53</v>
      </c>
      <c r="K3064" t="s">
        <v>53</v>
      </c>
      <c r="L3064" t="s">
        <v>53</v>
      </c>
      <c r="M3064" t="s">
        <v>53</v>
      </c>
      <c r="N3064" t="s">
        <v>53</v>
      </c>
      <c r="O3064" t="s">
        <v>53</v>
      </c>
      <c r="P3064" t="s">
        <v>53</v>
      </c>
      <c r="Q3064" t="s">
        <v>53</v>
      </c>
    </row>
    <row r="3065" spans="1:17" x14ac:dyDescent="0.2">
      <c r="A3065" s="30" t="str">
        <f>IF(C3065&amp;G3065&amp;D3065&lt;&gt;'Funnel setup'!$K$3&amp;'Funnel setup'!$K$4&amp;'Funnel setup'!$K$5,".",IF(A3064=".",1,A3064+1))</f>
        <v>.</v>
      </c>
      <c r="B3065" s="431" t="str">
        <f t="shared" si="47"/>
        <v>Hip Replacement RevisionCCG of GP PracticeNHS TOWER HAMLETS CCG (08V)Oxford Hip Score</v>
      </c>
      <c r="C3065" t="s">
        <v>247</v>
      </c>
      <c r="D3065" t="s">
        <v>87</v>
      </c>
      <c r="E3065" t="s">
        <v>1010</v>
      </c>
      <c r="F3065" t="s">
        <v>1011</v>
      </c>
      <c r="G3065" t="s">
        <v>14</v>
      </c>
      <c r="H3065" t="s">
        <v>53</v>
      </c>
      <c r="I3065" t="s">
        <v>53</v>
      </c>
      <c r="J3065" t="s">
        <v>53</v>
      </c>
      <c r="K3065" t="s">
        <v>53</v>
      </c>
      <c r="L3065" t="s">
        <v>53</v>
      </c>
      <c r="M3065" t="s">
        <v>53</v>
      </c>
      <c r="N3065" t="s">
        <v>53</v>
      </c>
      <c r="O3065" t="s">
        <v>53</v>
      </c>
      <c r="P3065" t="s">
        <v>53</v>
      </c>
      <c r="Q3065" t="s">
        <v>53</v>
      </c>
    </row>
    <row r="3066" spans="1:17" x14ac:dyDescent="0.2">
      <c r="A3066" s="30" t="str">
        <f>IF(C3066&amp;G3066&amp;D3066&lt;&gt;'Funnel setup'!$K$3&amp;'Funnel setup'!$K$4&amp;'Funnel setup'!$K$5,".",IF(A3065=".",1,A3065+1))</f>
        <v>.</v>
      </c>
      <c r="B3066" s="431" t="str">
        <f t="shared" si="47"/>
        <v>Hip Replacement RevisionCCG of GP PracticeNHS TRAFFORD CCG (02A)Oxford Hip Score</v>
      </c>
      <c r="C3066" t="s">
        <v>247</v>
      </c>
      <c r="D3066" t="s">
        <v>87</v>
      </c>
      <c r="E3066" t="s">
        <v>1013</v>
      </c>
      <c r="F3066" t="s">
        <v>1014</v>
      </c>
      <c r="G3066" t="s">
        <v>14</v>
      </c>
      <c r="H3066" t="s">
        <v>53</v>
      </c>
      <c r="I3066" t="s">
        <v>53</v>
      </c>
      <c r="J3066" t="s">
        <v>53</v>
      </c>
      <c r="K3066" t="s">
        <v>53</v>
      </c>
      <c r="L3066" t="s">
        <v>53</v>
      </c>
      <c r="M3066" t="s">
        <v>53</v>
      </c>
      <c r="N3066" t="s">
        <v>53</v>
      </c>
      <c r="O3066" t="s">
        <v>53</v>
      </c>
      <c r="P3066" t="s">
        <v>53</v>
      </c>
      <c r="Q3066" t="s">
        <v>53</v>
      </c>
    </row>
    <row r="3067" spans="1:17" x14ac:dyDescent="0.2">
      <c r="A3067" s="30" t="str">
        <f>IF(C3067&amp;G3067&amp;D3067&lt;&gt;'Funnel setup'!$K$3&amp;'Funnel setup'!$K$4&amp;'Funnel setup'!$K$5,".",IF(A3066=".",1,A3066+1))</f>
        <v>.</v>
      </c>
      <c r="B3067" s="431" t="str">
        <f t="shared" si="47"/>
        <v>Hip Replacement RevisionCCG of GP PracticeNHS VALE OF YORK CCG (03Q)Oxford Hip Score</v>
      </c>
      <c r="C3067" t="s">
        <v>247</v>
      </c>
      <c r="D3067" t="s">
        <v>87</v>
      </c>
      <c r="E3067" t="s">
        <v>420</v>
      </c>
      <c r="F3067" t="s">
        <v>421</v>
      </c>
      <c r="G3067" t="s">
        <v>14</v>
      </c>
      <c r="H3067">
        <v>36</v>
      </c>
      <c r="I3067">
        <v>23.222000000000001</v>
      </c>
      <c r="J3067">
        <v>34.305999999999997</v>
      </c>
      <c r="K3067">
        <v>11.083</v>
      </c>
      <c r="L3067">
        <v>32</v>
      </c>
      <c r="M3067">
        <v>0</v>
      </c>
      <c r="N3067">
        <v>4</v>
      </c>
      <c r="O3067">
        <v>32.984999999999999</v>
      </c>
      <c r="P3067">
        <v>12.10982798</v>
      </c>
      <c r="Q3067">
        <v>9.7669999999999995</v>
      </c>
    </row>
    <row r="3068" spans="1:17" x14ac:dyDescent="0.2">
      <c r="A3068" s="30" t="str">
        <f>IF(C3068&amp;G3068&amp;D3068&lt;&gt;'Funnel setup'!$K$3&amp;'Funnel setup'!$K$4&amp;'Funnel setup'!$K$5,".",IF(A3067=".",1,A3067+1))</f>
        <v>.</v>
      </c>
      <c r="B3068" s="431" t="str">
        <f t="shared" si="47"/>
        <v>Hip Replacement RevisionCCG of GP PracticeNHS VALE ROYAL CCG (02D)Oxford Hip Score</v>
      </c>
      <c r="C3068" t="s">
        <v>247</v>
      </c>
      <c r="D3068" t="s">
        <v>87</v>
      </c>
      <c r="E3068" t="s">
        <v>423</v>
      </c>
      <c r="F3068" t="s">
        <v>424</v>
      </c>
      <c r="G3068" t="s">
        <v>14</v>
      </c>
      <c r="H3068" t="s">
        <v>53</v>
      </c>
      <c r="I3068" t="s">
        <v>53</v>
      </c>
      <c r="J3068" t="s">
        <v>53</v>
      </c>
      <c r="K3068" t="s">
        <v>53</v>
      </c>
      <c r="L3068" t="s">
        <v>53</v>
      </c>
      <c r="M3068" t="s">
        <v>53</v>
      </c>
      <c r="N3068" t="s">
        <v>53</v>
      </c>
      <c r="O3068" t="s">
        <v>53</v>
      </c>
      <c r="P3068" t="s">
        <v>53</v>
      </c>
      <c r="Q3068" t="s">
        <v>53</v>
      </c>
    </row>
    <row r="3069" spans="1:17" x14ac:dyDescent="0.2">
      <c r="A3069" s="30" t="str">
        <f>IF(C3069&amp;G3069&amp;D3069&lt;&gt;'Funnel setup'!$K$3&amp;'Funnel setup'!$K$4&amp;'Funnel setup'!$K$5,".",IF(A3068=".",1,A3068+1))</f>
        <v>.</v>
      </c>
      <c r="B3069" s="431" t="str">
        <f t="shared" si="47"/>
        <v>Hip Replacement RevisionCCG of GP PracticeNHS WAKEFIELD CCG (03R)Oxford Hip Score</v>
      </c>
      <c r="C3069" t="s">
        <v>247</v>
      </c>
      <c r="D3069" t="s">
        <v>87</v>
      </c>
      <c r="E3069" t="s">
        <v>426</v>
      </c>
      <c r="F3069" t="s">
        <v>427</v>
      </c>
      <c r="G3069" t="s">
        <v>14</v>
      </c>
      <c r="H3069">
        <v>6</v>
      </c>
      <c r="I3069">
        <v>14.5</v>
      </c>
      <c r="J3069">
        <v>34.5</v>
      </c>
      <c r="K3069">
        <v>20</v>
      </c>
      <c r="L3069">
        <v>6</v>
      </c>
      <c r="M3069">
        <v>0</v>
      </c>
      <c r="N3069">
        <v>0</v>
      </c>
      <c r="O3069" t="s">
        <v>53</v>
      </c>
      <c r="P3069" t="s">
        <v>53</v>
      </c>
      <c r="Q3069" t="s">
        <v>53</v>
      </c>
    </row>
    <row r="3070" spans="1:17" x14ac:dyDescent="0.2">
      <c r="A3070" s="30" t="str">
        <f>IF(C3070&amp;G3070&amp;D3070&lt;&gt;'Funnel setup'!$K$3&amp;'Funnel setup'!$K$4&amp;'Funnel setup'!$K$5,".",IF(A3069=".",1,A3069+1))</f>
        <v>.</v>
      </c>
      <c r="B3070" s="431" t="str">
        <f t="shared" si="47"/>
        <v>Hip Replacement RevisionCCG of GP PracticeNHS WALSALL CCG (05Y)Oxford Hip Score</v>
      </c>
      <c r="C3070" t="s">
        <v>247</v>
      </c>
      <c r="D3070" t="s">
        <v>87</v>
      </c>
      <c r="E3070" t="s">
        <v>429</v>
      </c>
      <c r="F3070" t="s">
        <v>430</v>
      </c>
      <c r="G3070" t="s">
        <v>14</v>
      </c>
      <c r="H3070">
        <v>12</v>
      </c>
      <c r="I3070">
        <v>19.25</v>
      </c>
      <c r="J3070">
        <v>29.5</v>
      </c>
      <c r="K3070">
        <v>10.25</v>
      </c>
      <c r="L3070">
        <v>9</v>
      </c>
      <c r="M3070">
        <v>0</v>
      </c>
      <c r="N3070">
        <v>3</v>
      </c>
      <c r="O3070" t="s">
        <v>53</v>
      </c>
      <c r="P3070" t="s">
        <v>53</v>
      </c>
      <c r="Q3070" t="s">
        <v>53</v>
      </c>
    </row>
    <row r="3071" spans="1:17" x14ac:dyDescent="0.2">
      <c r="A3071" s="30" t="str">
        <f>IF(C3071&amp;G3071&amp;D3071&lt;&gt;'Funnel setup'!$K$3&amp;'Funnel setup'!$K$4&amp;'Funnel setup'!$K$5,".",IF(A3070=".",1,A3070+1))</f>
        <v>.</v>
      </c>
      <c r="B3071" s="431" t="str">
        <f t="shared" si="47"/>
        <v>Hip Replacement RevisionCCG of GP PracticeNHS WALTHAM FOREST CCG (08W)Oxford Hip Score</v>
      </c>
      <c r="C3071" t="s">
        <v>247</v>
      </c>
      <c r="D3071" t="s">
        <v>87</v>
      </c>
      <c r="E3071" t="s">
        <v>432</v>
      </c>
      <c r="F3071" t="s">
        <v>433</v>
      </c>
      <c r="G3071" t="s">
        <v>14</v>
      </c>
      <c r="H3071" t="s">
        <v>53</v>
      </c>
      <c r="I3071" t="s">
        <v>53</v>
      </c>
      <c r="J3071" t="s">
        <v>53</v>
      </c>
      <c r="K3071" t="s">
        <v>53</v>
      </c>
      <c r="L3071" t="s">
        <v>53</v>
      </c>
      <c r="M3071" t="s">
        <v>53</v>
      </c>
      <c r="N3071" t="s">
        <v>53</v>
      </c>
      <c r="O3071" t="s">
        <v>53</v>
      </c>
      <c r="P3071" t="s">
        <v>53</v>
      </c>
      <c r="Q3071" t="s">
        <v>53</v>
      </c>
    </row>
    <row r="3072" spans="1:17" x14ac:dyDescent="0.2">
      <c r="A3072" s="30" t="str">
        <f>IF(C3072&amp;G3072&amp;D3072&lt;&gt;'Funnel setup'!$K$3&amp;'Funnel setup'!$K$4&amp;'Funnel setup'!$K$5,".",IF(A3071=".",1,A3071+1))</f>
        <v>.</v>
      </c>
      <c r="B3072" s="431" t="str">
        <f t="shared" si="47"/>
        <v>Hip Replacement RevisionCCG of GP PracticeNHS WANDSWORTH CCG (08X)Oxford Hip Score</v>
      </c>
      <c r="C3072" t="s">
        <v>247</v>
      </c>
      <c r="D3072" t="s">
        <v>87</v>
      </c>
      <c r="E3072" t="s">
        <v>435</v>
      </c>
      <c r="F3072" t="s">
        <v>436</v>
      </c>
      <c r="G3072" t="s">
        <v>14</v>
      </c>
      <c r="H3072" t="s">
        <v>53</v>
      </c>
      <c r="I3072" t="s">
        <v>53</v>
      </c>
      <c r="J3072" t="s">
        <v>53</v>
      </c>
      <c r="K3072" t="s">
        <v>53</v>
      </c>
      <c r="L3072" t="s">
        <v>53</v>
      </c>
      <c r="M3072" t="s">
        <v>53</v>
      </c>
      <c r="N3072" t="s">
        <v>53</v>
      </c>
      <c r="O3072" t="s">
        <v>53</v>
      </c>
      <c r="P3072" t="s">
        <v>53</v>
      </c>
      <c r="Q3072" t="s">
        <v>53</v>
      </c>
    </row>
    <row r="3073" spans="1:17" x14ac:dyDescent="0.2">
      <c r="A3073" s="30" t="str">
        <f>IF(C3073&amp;G3073&amp;D3073&lt;&gt;'Funnel setup'!$K$3&amp;'Funnel setup'!$K$4&amp;'Funnel setup'!$K$5,".",IF(A3072=".",1,A3072+1))</f>
        <v>.</v>
      </c>
      <c r="B3073" s="431" t="str">
        <f t="shared" si="47"/>
        <v>Hip Replacement RevisionCCG of GP PracticeNHS WARRINGTON CCG (02E)Oxford Hip Score</v>
      </c>
      <c r="C3073" t="s">
        <v>247</v>
      </c>
      <c r="D3073" t="s">
        <v>87</v>
      </c>
      <c r="E3073" t="s">
        <v>441</v>
      </c>
      <c r="F3073" t="s">
        <v>442</v>
      </c>
      <c r="G3073" t="s">
        <v>14</v>
      </c>
      <c r="H3073" t="s">
        <v>53</v>
      </c>
      <c r="I3073" t="s">
        <v>53</v>
      </c>
      <c r="J3073" t="s">
        <v>53</v>
      </c>
      <c r="K3073" t="s">
        <v>53</v>
      </c>
      <c r="L3073" t="s">
        <v>53</v>
      </c>
      <c r="M3073" t="s">
        <v>53</v>
      </c>
      <c r="N3073" t="s">
        <v>53</v>
      </c>
      <c r="O3073" t="s">
        <v>53</v>
      </c>
      <c r="P3073" t="s">
        <v>53</v>
      </c>
      <c r="Q3073" t="s">
        <v>53</v>
      </c>
    </row>
    <row r="3074" spans="1:17" x14ac:dyDescent="0.2">
      <c r="A3074" s="30" t="str">
        <f>IF(C3074&amp;G3074&amp;D3074&lt;&gt;'Funnel setup'!$K$3&amp;'Funnel setup'!$K$4&amp;'Funnel setup'!$K$5,".",IF(A3073=".",1,A3073+1))</f>
        <v>.</v>
      </c>
      <c r="B3074" s="431" t="str">
        <f t="shared" si="47"/>
        <v>Hip Replacement RevisionCCG of GP PracticeNHS WARWICKSHIRE NORTH CCG (05H)Oxford Hip Score</v>
      </c>
      <c r="C3074" t="s">
        <v>247</v>
      </c>
      <c r="D3074" t="s">
        <v>87</v>
      </c>
      <c r="E3074" t="s">
        <v>438</v>
      </c>
      <c r="F3074" t="s">
        <v>439</v>
      </c>
      <c r="G3074" t="s">
        <v>14</v>
      </c>
      <c r="H3074" t="s">
        <v>53</v>
      </c>
      <c r="I3074" t="s">
        <v>53</v>
      </c>
      <c r="J3074" t="s">
        <v>53</v>
      </c>
      <c r="K3074" t="s">
        <v>53</v>
      </c>
      <c r="L3074" t="s">
        <v>53</v>
      </c>
      <c r="M3074" t="s">
        <v>53</v>
      </c>
      <c r="N3074" t="s">
        <v>53</v>
      </c>
      <c r="O3074" t="s">
        <v>53</v>
      </c>
      <c r="P3074" t="s">
        <v>53</v>
      </c>
      <c r="Q3074" t="s">
        <v>53</v>
      </c>
    </row>
    <row r="3075" spans="1:17" x14ac:dyDescent="0.2">
      <c r="A3075" s="30" t="str">
        <f>IF(C3075&amp;G3075&amp;D3075&lt;&gt;'Funnel setup'!$K$3&amp;'Funnel setup'!$K$4&amp;'Funnel setup'!$K$5,".",IF(A3074=".",1,A3074+1))</f>
        <v>.</v>
      </c>
      <c r="B3075" s="431" t="str">
        <f t="shared" ref="B3075:B3138" si="48">C3075&amp;D3075&amp;F3075&amp;G3075</f>
        <v>Hip Replacement RevisionCCG of GP PracticeNHS WEST CHESHIRE CCG (02F)Oxford Hip Score</v>
      </c>
      <c r="C3075" t="s">
        <v>247</v>
      </c>
      <c r="D3075" t="s">
        <v>87</v>
      </c>
      <c r="E3075" t="s">
        <v>402</v>
      </c>
      <c r="F3075" t="s">
        <v>403</v>
      </c>
      <c r="G3075" t="s">
        <v>14</v>
      </c>
      <c r="H3075">
        <v>19</v>
      </c>
      <c r="I3075">
        <v>21.105</v>
      </c>
      <c r="J3075">
        <v>32.895000000000003</v>
      </c>
      <c r="K3075">
        <v>11.789</v>
      </c>
      <c r="L3075">
        <v>18</v>
      </c>
      <c r="M3075">
        <v>0</v>
      </c>
      <c r="N3075">
        <v>1</v>
      </c>
      <c r="O3075" t="s">
        <v>53</v>
      </c>
      <c r="P3075" t="s">
        <v>53</v>
      </c>
      <c r="Q3075" t="s">
        <v>53</v>
      </c>
    </row>
    <row r="3076" spans="1:17" x14ac:dyDescent="0.2">
      <c r="A3076" s="30" t="str">
        <f>IF(C3076&amp;G3076&amp;D3076&lt;&gt;'Funnel setup'!$K$3&amp;'Funnel setup'!$K$4&amp;'Funnel setup'!$K$5,".",IF(A3075=".",1,A3075+1))</f>
        <v>.</v>
      </c>
      <c r="B3076" s="431" t="str">
        <f t="shared" si="48"/>
        <v>Hip Replacement RevisionCCG of GP PracticeNHS WEST ESSEX CCG (07H)Oxford Hip Score</v>
      </c>
      <c r="C3076" t="s">
        <v>247</v>
      </c>
      <c r="D3076" t="s">
        <v>87</v>
      </c>
      <c r="E3076" t="s">
        <v>405</v>
      </c>
      <c r="F3076" t="s">
        <v>406</v>
      </c>
      <c r="G3076" t="s">
        <v>14</v>
      </c>
      <c r="H3076">
        <v>11</v>
      </c>
      <c r="I3076">
        <v>22.181999999999999</v>
      </c>
      <c r="J3076">
        <v>31</v>
      </c>
      <c r="K3076">
        <v>8.8179999999999996</v>
      </c>
      <c r="L3076">
        <v>9</v>
      </c>
      <c r="M3076">
        <v>0</v>
      </c>
      <c r="N3076">
        <v>2</v>
      </c>
      <c r="O3076" t="s">
        <v>53</v>
      </c>
      <c r="P3076" t="s">
        <v>53</v>
      </c>
      <c r="Q3076" t="s">
        <v>53</v>
      </c>
    </row>
    <row r="3077" spans="1:17" x14ac:dyDescent="0.2">
      <c r="A3077" s="30" t="str">
        <f>IF(C3077&amp;G3077&amp;D3077&lt;&gt;'Funnel setup'!$K$3&amp;'Funnel setup'!$K$4&amp;'Funnel setup'!$K$5,".",IF(A3076=".",1,A3076+1))</f>
        <v>.</v>
      </c>
      <c r="B3077" s="431" t="str">
        <f t="shared" si="48"/>
        <v>Hip Replacement RevisionCCG of GP PracticeNHS WEST HAMPSHIRE CCG (11A)Oxford Hip Score</v>
      </c>
      <c r="C3077" t="s">
        <v>247</v>
      </c>
      <c r="D3077" t="s">
        <v>87</v>
      </c>
      <c r="E3077" t="s">
        <v>444</v>
      </c>
      <c r="F3077" t="s">
        <v>445</v>
      </c>
      <c r="G3077" t="s">
        <v>14</v>
      </c>
      <c r="H3077">
        <v>30</v>
      </c>
      <c r="I3077">
        <v>22</v>
      </c>
      <c r="J3077">
        <v>34.832999999999998</v>
      </c>
      <c r="K3077">
        <v>12.833</v>
      </c>
      <c r="L3077">
        <v>29</v>
      </c>
      <c r="M3077">
        <v>0</v>
      </c>
      <c r="N3077">
        <v>1</v>
      </c>
      <c r="O3077">
        <v>33.654000000000003</v>
      </c>
      <c r="P3077">
        <v>12.779136919999999</v>
      </c>
      <c r="Q3077">
        <v>8.2739999999999991</v>
      </c>
    </row>
    <row r="3078" spans="1:17" x14ac:dyDescent="0.2">
      <c r="A3078" s="30" t="str">
        <f>IF(C3078&amp;G3078&amp;D3078&lt;&gt;'Funnel setup'!$K$3&amp;'Funnel setup'!$K$4&amp;'Funnel setup'!$K$5,".",IF(A3077=".",1,A3077+1))</f>
        <v>.</v>
      </c>
      <c r="B3078" s="431" t="str">
        <f t="shared" si="48"/>
        <v>Hip Replacement RevisionCCG of GP PracticeNHS WEST KENT CCG (99J)Oxford Hip Score</v>
      </c>
      <c r="C3078" t="s">
        <v>247</v>
      </c>
      <c r="D3078" t="s">
        <v>87</v>
      </c>
      <c r="E3078" t="s">
        <v>447</v>
      </c>
      <c r="F3078" t="s">
        <v>448</v>
      </c>
      <c r="G3078" t="s">
        <v>14</v>
      </c>
      <c r="H3078">
        <v>22</v>
      </c>
      <c r="I3078">
        <v>24.135999999999999</v>
      </c>
      <c r="J3078">
        <v>36.363999999999997</v>
      </c>
      <c r="K3078">
        <v>12.227</v>
      </c>
      <c r="L3078">
        <v>19</v>
      </c>
      <c r="M3078">
        <v>0</v>
      </c>
      <c r="N3078">
        <v>3</v>
      </c>
      <c r="O3078" t="s">
        <v>53</v>
      </c>
      <c r="P3078" t="s">
        <v>53</v>
      </c>
      <c r="Q3078" t="s">
        <v>53</v>
      </c>
    </row>
    <row r="3079" spans="1:17" x14ac:dyDescent="0.2">
      <c r="A3079" s="30" t="str">
        <f>IF(C3079&amp;G3079&amp;D3079&lt;&gt;'Funnel setup'!$K$3&amp;'Funnel setup'!$K$4&amp;'Funnel setup'!$K$5,".",IF(A3078=".",1,A3078+1))</f>
        <v>.</v>
      </c>
      <c r="B3079" s="431" t="str">
        <f t="shared" si="48"/>
        <v>Hip Replacement RevisionCCG of GP PracticeNHS WEST LANCASHIRE CCG (02G)Oxford Hip Score</v>
      </c>
      <c r="C3079" t="s">
        <v>247</v>
      </c>
      <c r="D3079" t="s">
        <v>87</v>
      </c>
      <c r="E3079" t="s">
        <v>450</v>
      </c>
      <c r="F3079" t="s">
        <v>451</v>
      </c>
      <c r="G3079" t="s">
        <v>14</v>
      </c>
      <c r="H3079" t="s">
        <v>53</v>
      </c>
      <c r="I3079" t="s">
        <v>53</v>
      </c>
      <c r="J3079" t="s">
        <v>53</v>
      </c>
      <c r="K3079" t="s">
        <v>53</v>
      </c>
      <c r="L3079" t="s">
        <v>53</v>
      </c>
      <c r="M3079" t="s">
        <v>53</v>
      </c>
      <c r="N3079" t="s">
        <v>53</v>
      </c>
      <c r="O3079" t="s">
        <v>53</v>
      </c>
      <c r="P3079" t="s">
        <v>53</v>
      </c>
      <c r="Q3079" t="s">
        <v>53</v>
      </c>
    </row>
    <row r="3080" spans="1:17" x14ac:dyDescent="0.2">
      <c r="A3080" s="30" t="str">
        <f>IF(C3080&amp;G3080&amp;D3080&lt;&gt;'Funnel setup'!$K$3&amp;'Funnel setup'!$K$4&amp;'Funnel setup'!$K$5,".",IF(A3079=".",1,A3079+1))</f>
        <v>.</v>
      </c>
      <c r="B3080" s="431" t="str">
        <f t="shared" si="48"/>
        <v>Hip Replacement RevisionCCG of GP PracticeNHS WEST LEICESTERSHIRE CCG (04V)Oxford Hip Score</v>
      </c>
      <c r="C3080" t="s">
        <v>247</v>
      </c>
      <c r="D3080" t="s">
        <v>87</v>
      </c>
      <c r="E3080" t="s">
        <v>453</v>
      </c>
      <c r="F3080" t="s">
        <v>454</v>
      </c>
      <c r="G3080" t="s">
        <v>14</v>
      </c>
      <c r="H3080">
        <v>18</v>
      </c>
      <c r="I3080">
        <v>17.667000000000002</v>
      </c>
      <c r="J3080">
        <v>32.667000000000002</v>
      </c>
      <c r="K3080">
        <v>15</v>
      </c>
      <c r="L3080">
        <v>17</v>
      </c>
      <c r="M3080">
        <v>0</v>
      </c>
      <c r="N3080">
        <v>1</v>
      </c>
      <c r="O3080" t="s">
        <v>53</v>
      </c>
      <c r="P3080" t="s">
        <v>53</v>
      </c>
      <c r="Q3080" t="s">
        <v>53</v>
      </c>
    </row>
    <row r="3081" spans="1:17" x14ac:dyDescent="0.2">
      <c r="A3081" s="30" t="str">
        <f>IF(C3081&amp;G3081&amp;D3081&lt;&gt;'Funnel setup'!$K$3&amp;'Funnel setup'!$K$4&amp;'Funnel setup'!$K$5,".",IF(A3080=".",1,A3080+1))</f>
        <v>.</v>
      </c>
      <c r="B3081" s="431" t="str">
        <f t="shared" si="48"/>
        <v>Hip Replacement RevisionCCG of GP PracticeNHS WEST LONDON CCG (08Y)Oxford Hip Score</v>
      </c>
      <c r="C3081" t="s">
        <v>247</v>
      </c>
      <c r="D3081" t="s">
        <v>87</v>
      </c>
      <c r="E3081" t="s">
        <v>456</v>
      </c>
      <c r="F3081" t="s">
        <v>457</v>
      </c>
      <c r="G3081" t="s">
        <v>14</v>
      </c>
      <c r="H3081" t="s">
        <v>53</v>
      </c>
      <c r="I3081" t="s">
        <v>53</v>
      </c>
      <c r="J3081" t="s">
        <v>53</v>
      </c>
      <c r="K3081" t="s">
        <v>53</v>
      </c>
      <c r="L3081" t="s">
        <v>53</v>
      </c>
      <c r="M3081" t="s">
        <v>53</v>
      </c>
      <c r="N3081" t="s">
        <v>53</v>
      </c>
      <c r="O3081" t="s">
        <v>53</v>
      </c>
      <c r="P3081" t="s">
        <v>53</v>
      </c>
      <c r="Q3081" t="s">
        <v>53</v>
      </c>
    </row>
    <row r="3082" spans="1:17" x14ac:dyDescent="0.2">
      <c r="A3082" s="30" t="str">
        <f>IF(C3082&amp;G3082&amp;D3082&lt;&gt;'Funnel setup'!$K$3&amp;'Funnel setup'!$K$4&amp;'Funnel setup'!$K$5,".",IF(A3081=".",1,A3081+1))</f>
        <v>.</v>
      </c>
      <c r="B3082" s="431" t="str">
        <f t="shared" si="48"/>
        <v>Hip Replacement RevisionCCG of GP PracticeNHS WEST NORFOLK CCG (07J)Oxford Hip Score</v>
      </c>
      <c r="C3082" t="s">
        <v>247</v>
      </c>
      <c r="D3082" t="s">
        <v>87</v>
      </c>
      <c r="E3082" t="s">
        <v>459</v>
      </c>
      <c r="F3082" t="s">
        <v>460</v>
      </c>
      <c r="G3082" t="s">
        <v>14</v>
      </c>
      <c r="H3082">
        <v>11</v>
      </c>
      <c r="I3082">
        <v>21</v>
      </c>
      <c r="J3082">
        <v>38.363999999999997</v>
      </c>
      <c r="K3082">
        <v>17.364000000000001</v>
      </c>
      <c r="L3082">
        <v>9</v>
      </c>
      <c r="M3082">
        <v>0</v>
      </c>
      <c r="N3082">
        <v>2</v>
      </c>
      <c r="O3082" t="s">
        <v>53</v>
      </c>
      <c r="P3082" t="s">
        <v>53</v>
      </c>
      <c r="Q3082" t="s">
        <v>53</v>
      </c>
    </row>
    <row r="3083" spans="1:17" x14ac:dyDescent="0.2">
      <c r="A3083" s="30" t="str">
        <f>IF(C3083&amp;G3083&amp;D3083&lt;&gt;'Funnel setup'!$K$3&amp;'Funnel setup'!$K$4&amp;'Funnel setup'!$K$5,".",IF(A3082=".",1,A3082+1))</f>
        <v>.</v>
      </c>
      <c r="B3083" s="431" t="str">
        <f t="shared" si="48"/>
        <v>Hip Replacement RevisionCCG of GP PracticeNHS WEST SUFFOLK CCG (07K)Oxford Hip Score</v>
      </c>
      <c r="C3083" t="s">
        <v>247</v>
      </c>
      <c r="D3083" t="s">
        <v>87</v>
      </c>
      <c r="E3083" t="s">
        <v>462</v>
      </c>
      <c r="F3083" t="s">
        <v>463</v>
      </c>
      <c r="G3083" t="s">
        <v>14</v>
      </c>
      <c r="H3083">
        <v>11</v>
      </c>
      <c r="I3083">
        <v>19.727</v>
      </c>
      <c r="J3083">
        <v>36.273000000000003</v>
      </c>
      <c r="K3083">
        <v>16.545000000000002</v>
      </c>
      <c r="L3083">
        <v>9</v>
      </c>
      <c r="M3083">
        <v>1</v>
      </c>
      <c r="N3083">
        <v>1</v>
      </c>
      <c r="O3083" t="s">
        <v>53</v>
      </c>
      <c r="P3083" t="s">
        <v>53</v>
      </c>
      <c r="Q3083" t="s">
        <v>53</v>
      </c>
    </row>
    <row r="3084" spans="1:17" x14ac:dyDescent="0.2">
      <c r="A3084" s="30" t="str">
        <f>IF(C3084&amp;G3084&amp;D3084&lt;&gt;'Funnel setup'!$K$3&amp;'Funnel setup'!$K$4&amp;'Funnel setup'!$K$5,".",IF(A3083=".",1,A3083+1))</f>
        <v>.</v>
      </c>
      <c r="B3084" s="431" t="str">
        <f t="shared" si="48"/>
        <v>Hip Replacement RevisionCCG of GP PracticeNHS WIGAN BOROUGH CCG (02H)Oxford Hip Score</v>
      </c>
      <c r="C3084" t="s">
        <v>247</v>
      </c>
      <c r="D3084" t="s">
        <v>87</v>
      </c>
      <c r="E3084" t="s">
        <v>465</v>
      </c>
      <c r="F3084" t="s">
        <v>466</v>
      </c>
      <c r="G3084" t="s">
        <v>14</v>
      </c>
      <c r="H3084">
        <v>10</v>
      </c>
      <c r="I3084">
        <v>15.9</v>
      </c>
      <c r="J3084">
        <v>29.3</v>
      </c>
      <c r="K3084">
        <v>13.4</v>
      </c>
      <c r="L3084">
        <v>9</v>
      </c>
      <c r="M3084">
        <v>0</v>
      </c>
      <c r="N3084">
        <v>1</v>
      </c>
      <c r="O3084" t="s">
        <v>53</v>
      </c>
      <c r="P3084" t="s">
        <v>53</v>
      </c>
      <c r="Q3084" t="s">
        <v>53</v>
      </c>
    </row>
    <row r="3085" spans="1:17" x14ac:dyDescent="0.2">
      <c r="A3085" s="30" t="str">
        <f>IF(C3085&amp;G3085&amp;D3085&lt;&gt;'Funnel setup'!$K$3&amp;'Funnel setup'!$K$4&amp;'Funnel setup'!$K$5,".",IF(A3084=".",1,A3084+1))</f>
        <v>.</v>
      </c>
      <c r="B3085" s="431" t="str">
        <f t="shared" si="48"/>
        <v>Hip Replacement RevisionCCG of GP PracticeNHS WILTSHIRE CCG (99N)Oxford Hip Score</v>
      </c>
      <c r="C3085" t="s">
        <v>247</v>
      </c>
      <c r="D3085" t="s">
        <v>87</v>
      </c>
      <c r="E3085" t="s">
        <v>468</v>
      </c>
      <c r="F3085" t="s">
        <v>469</v>
      </c>
      <c r="G3085" t="s">
        <v>14</v>
      </c>
      <c r="H3085">
        <v>41</v>
      </c>
      <c r="I3085">
        <v>22.292999999999999</v>
      </c>
      <c r="J3085">
        <v>35.146000000000001</v>
      </c>
      <c r="K3085">
        <v>12.853999999999999</v>
      </c>
      <c r="L3085">
        <v>36</v>
      </c>
      <c r="M3085">
        <v>1</v>
      </c>
      <c r="N3085">
        <v>4</v>
      </c>
      <c r="O3085">
        <v>34.238</v>
      </c>
      <c r="P3085">
        <v>13.36294992</v>
      </c>
      <c r="Q3085">
        <v>8.1440000000000001</v>
      </c>
    </row>
    <row r="3086" spans="1:17" x14ac:dyDescent="0.2">
      <c r="A3086" s="30" t="str">
        <f>IF(C3086&amp;G3086&amp;D3086&lt;&gt;'Funnel setup'!$K$3&amp;'Funnel setup'!$K$4&amp;'Funnel setup'!$K$5,".",IF(A3085=".",1,A3085+1))</f>
        <v>.</v>
      </c>
      <c r="B3086" s="431" t="str">
        <f t="shared" si="48"/>
        <v>Hip Replacement RevisionCCG of GP PracticeNHS WINDSOR, ASCOT AND MAIDENHEAD CCG (11C)Oxford Hip Score</v>
      </c>
      <c r="C3086" t="s">
        <v>247</v>
      </c>
      <c r="D3086" t="s">
        <v>87</v>
      </c>
      <c r="E3086" t="s">
        <v>471</v>
      </c>
      <c r="F3086" t="s">
        <v>472</v>
      </c>
      <c r="G3086" t="s">
        <v>14</v>
      </c>
      <c r="H3086" t="s">
        <v>53</v>
      </c>
      <c r="I3086" t="s">
        <v>53</v>
      </c>
      <c r="J3086" t="s">
        <v>53</v>
      </c>
      <c r="K3086" t="s">
        <v>53</v>
      </c>
      <c r="L3086" t="s">
        <v>53</v>
      </c>
      <c r="M3086" t="s">
        <v>53</v>
      </c>
      <c r="N3086" t="s">
        <v>53</v>
      </c>
      <c r="O3086" t="s">
        <v>53</v>
      </c>
      <c r="P3086" t="s">
        <v>53</v>
      </c>
      <c r="Q3086" t="s">
        <v>53</v>
      </c>
    </row>
    <row r="3087" spans="1:17" x14ac:dyDescent="0.2">
      <c r="A3087" s="30" t="str">
        <f>IF(C3087&amp;G3087&amp;D3087&lt;&gt;'Funnel setup'!$K$3&amp;'Funnel setup'!$K$4&amp;'Funnel setup'!$K$5,".",IF(A3086=".",1,A3086+1))</f>
        <v>.</v>
      </c>
      <c r="B3087" s="431" t="str">
        <f t="shared" si="48"/>
        <v>Hip Replacement RevisionCCG of GP PracticeNHS WIRRAL CCG (12F)Oxford Hip Score</v>
      </c>
      <c r="C3087" t="s">
        <v>247</v>
      </c>
      <c r="D3087" t="s">
        <v>87</v>
      </c>
      <c r="E3087" t="s">
        <v>474</v>
      </c>
      <c r="F3087" t="s">
        <v>475</v>
      </c>
      <c r="G3087" t="s">
        <v>14</v>
      </c>
      <c r="H3087" t="s">
        <v>53</v>
      </c>
      <c r="I3087" t="s">
        <v>53</v>
      </c>
      <c r="J3087" t="s">
        <v>53</v>
      </c>
      <c r="K3087" t="s">
        <v>53</v>
      </c>
      <c r="L3087" t="s">
        <v>53</v>
      </c>
      <c r="M3087" t="s">
        <v>53</v>
      </c>
      <c r="N3087" t="s">
        <v>53</v>
      </c>
      <c r="O3087" t="s">
        <v>53</v>
      </c>
      <c r="P3087" t="s">
        <v>53</v>
      </c>
      <c r="Q3087" t="s">
        <v>53</v>
      </c>
    </row>
    <row r="3088" spans="1:17" x14ac:dyDescent="0.2">
      <c r="A3088" s="30" t="str">
        <f>IF(C3088&amp;G3088&amp;D3088&lt;&gt;'Funnel setup'!$K$3&amp;'Funnel setup'!$K$4&amp;'Funnel setup'!$K$5,".",IF(A3087=".",1,A3087+1))</f>
        <v>.</v>
      </c>
      <c r="B3088" s="431" t="str">
        <f t="shared" si="48"/>
        <v>Hip Replacement RevisionCCG of GP PracticeNHS WOKINGHAM CCG (11D)Oxford Hip Score</v>
      </c>
      <c r="C3088" t="s">
        <v>247</v>
      </c>
      <c r="D3088" t="s">
        <v>87</v>
      </c>
      <c r="E3088" t="s">
        <v>477</v>
      </c>
      <c r="F3088" t="s">
        <v>478</v>
      </c>
      <c r="G3088" t="s">
        <v>14</v>
      </c>
      <c r="H3088" t="s">
        <v>53</v>
      </c>
      <c r="I3088" t="s">
        <v>53</v>
      </c>
      <c r="J3088" t="s">
        <v>53</v>
      </c>
      <c r="K3088" t="s">
        <v>53</v>
      </c>
      <c r="L3088" t="s">
        <v>53</v>
      </c>
      <c r="M3088" t="s">
        <v>53</v>
      </c>
      <c r="N3088" t="s">
        <v>53</v>
      </c>
      <c r="O3088" t="s">
        <v>53</v>
      </c>
      <c r="P3088" t="s">
        <v>53</v>
      </c>
      <c r="Q3088" t="s">
        <v>53</v>
      </c>
    </row>
    <row r="3089" spans="1:17" x14ac:dyDescent="0.2">
      <c r="A3089" s="30" t="str">
        <f>IF(C3089&amp;G3089&amp;D3089&lt;&gt;'Funnel setup'!$K$3&amp;'Funnel setup'!$K$4&amp;'Funnel setup'!$K$5,".",IF(A3088=".",1,A3088+1))</f>
        <v>.</v>
      </c>
      <c r="B3089" s="431" t="str">
        <f t="shared" si="48"/>
        <v>Hip Replacement RevisionCCG of GP PracticeNHS WOLVERHAMPTON CCG (06A)Oxford Hip Score</v>
      </c>
      <c r="C3089" t="s">
        <v>247</v>
      </c>
      <c r="D3089" t="s">
        <v>87</v>
      </c>
      <c r="E3089" t="s">
        <v>480</v>
      </c>
      <c r="F3089" t="s">
        <v>481</v>
      </c>
      <c r="G3089" t="s">
        <v>14</v>
      </c>
      <c r="H3089">
        <v>6</v>
      </c>
      <c r="I3089">
        <v>19.667000000000002</v>
      </c>
      <c r="J3089">
        <v>30</v>
      </c>
      <c r="K3089">
        <v>10.333</v>
      </c>
      <c r="L3089">
        <v>5</v>
      </c>
      <c r="M3089">
        <v>0</v>
      </c>
      <c r="N3089">
        <v>1</v>
      </c>
      <c r="O3089" t="s">
        <v>53</v>
      </c>
      <c r="P3089" t="s">
        <v>53</v>
      </c>
      <c r="Q3089" t="s">
        <v>53</v>
      </c>
    </row>
    <row r="3090" spans="1:17" x14ac:dyDescent="0.2">
      <c r="A3090" s="30" t="str">
        <f>IF(C3090&amp;G3090&amp;D3090&lt;&gt;'Funnel setup'!$K$3&amp;'Funnel setup'!$K$4&amp;'Funnel setup'!$K$5,".",IF(A3089=".",1,A3089+1))</f>
        <v>.</v>
      </c>
      <c r="B3090" s="431" t="str">
        <f t="shared" si="48"/>
        <v>Hip Replacement RevisionCCG of GP PracticeNHS WYRE FOREST CCG (06D)Oxford Hip Score</v>
      </c>
      <c r="C3090" t="s">
        <v>247</v>
      </c>
      <c r="D3090" t="s">
        <v>87</v>
      </c>
      <c r="E3090" t="s">
        <v>483</v>
      </c>
      <c r="F3090" t="s">
        <v>484</v>
      </c>
      <c r="G3090" t="s">
        <v>14</v>
      </c>
      <c r="H3090">
        <v>7</v>
      </c>
      <c r="I3090">
        <v>17.143000000000001</v>
      </c>
      <c r="J3090">
        <v>32.856999999999999</v>
      </c>
      <c r="K3090">
        <v>15.714</v>
      </c>
      <c r="L3090">
        <v>7</v>
      </c>
      <c r="M3090">
        <v>0</v>
      </c>
      <c r="N3090">
        <v>0</v>
      </c>
      <c r="O3090" t="s">
        <v>53</v>
      </c>
      <c r="P3090" t="s">
        <v>53</v>
      </c>
      <c r="Q3090" t="s">
        <v>53</v>
      </c>
    </row>
    <row r="3091" spans="1:17" x14ac:dyDescent="0.2">
      <c r="A3091" s="30" t="str">
        <f>IF(C3091&amp;G3091&amp;D3091&lt;&gt;'Funnel setup'!$K$3&amp;'Funnel setup'!$K$4&amp;'Funnel setup'!$K$5,".",IF(A3090=".",1,A3090+1))</f>
        <v>.</v>
      </c>
      <c r="B3091" s="431" t="str">
        <f t="shared" si="48"/>
        <v>Hip Replacement RevisionEnglandEnglandEQ VAS</v>
      </c>
      <c r="C3091" t="s">
        <v>247</v>
      </c>
      <c r="D3091" t="s">
        <v>163</v>
      </c>
      <c r="E3091" t="s">
        <v>163</v>
      </c>
      <c r="F3091" t="s">
        <v>163</v>
      </c>
      <c r="G3091" t="s">
        <v>179</v>
      </c>
      <c r="H3091">
        <v>2143</v>
      </c>
      <c r="I3091">
        <v>64.77</v>
      </c>
      <c r="J3091">
        <v>70</v>
      </c>
      <c r="K3091">
        <v>5.23</v>
      </c>
      <c r="L3091">
        <v>1134</v>
      </c>
      <c r="M3091">
        <v>268</v>
      </c>
      <c r="N3091">
        <v>741</v>
      </c>
      <c r="O3091">
        <v>70</v>
      </c>
      <c r="P3091">
        <v>5.2300513300000002</v>
      </c>
      <c r="Q3091">
        <v>17.638000000000002</v>
      </c>
    </row>
    <row r="3092" spans="1:17" x14ac:dyDescent="0.2">
      <c r="A3092" s="30" t="str">
        <f>IF(C3092&amp;G3092&amp;D3092&lt;&gt;'Funnel setup'!$K$3&amp;'Funnel setup'!$K$4&amp;'Funnel setup'!$K$5,".",IF(A3091=".",1,A3091+1))</f>
        <v>.</v>
      </c>
      <c r="B3092" s="431" t="str">
        <f t="shared" si="48"/>
        <v>Hip Replacement RevisionEnglandEnglandEQ-5D Index</v>
      </c>
      <c r="C3092" t="s">
        <v>247</v>
      </c>
      <c r="D3092" t="s">
        <v>163</v>
      </c>
      <c r="E3092" t="s">
        <v>163</v>
      </c>
      <c r="F3092" t="s">
        <v>163</v>
      </c>
      <c r="G3092" t="s">
        <v>52</v>
      </c>
      <c r="H3092">
        <v>2263</v>
      </c>
      <c r="I3092">
        <v>0.39900000000000002</v>
      </c>
      <c r="J3092">
        <v>0.67500000000000004</v>
      </c>
      <c r="K3092">
        <v>0.27700000000000002</v>
      </c>
      <c r="L3092">
        <v>1633</v>
      </c>
      <c r="M3092">
        <v>290</v>
      </c>
      <c r="N3092">
        <v>340</v>
      </c>
      <c r="O3092">
        <v>0.67500000000000004</v>
      </c>
      <c r="P3092">
        <v>0.27656076000000002</v>
      </c>
      <c r="Q3092">
        <v>0.254</v>
      </c>
    </row>
    <row r="3093" spans="1:17" x14ac:dyDescent="0.2">
      <c r="A3093" s="30" t="str">
        <f>IF(C3093&amp;G3093&amp;D3093&lt;&gt;'Funnel setup'!$K$3&amp;'Funnel setup'!$K$4&amp;'Funnel setup'!$K$5,".",IF(A3092=".",1,A3092+1))</f>
        <v>.</v>
      </c>
      <c r="B3093" s="431" t="str">
        <f t="shared" si="48"/>
        <v>Hip Replacement RevisionEnglandEnglandOxford Hip Score</v>
      </c>
      <c r="C3093" t="s">
        <v>247</v>
      </c>
      <c r="D3093" t="s">
        <v>163</v>
      </c>
      <c r="E3093" t="s">
        <v>163</v>
      </c>
      <c r="F3093" t="s">
        <v>163</v>
      </c>
      <c r="G3093" t="s">
        <v>14</v>
      </c>
      <c r="H3093">
        <v>2477</v>
      </c>
      <c r="I3093">
        <v>20.875</v>
      </c>
      <c r="J3093">
        <v>33.6</v>
      </c>
      <c r="K3093">
        <v>12.725</v>
      </c>
      <c r="L3093">
        <v>2123</v>
      </c>
      <c r="M3093">
        <v>56</v>
      </c>
      <c r="N3093">
        <v>298</v>
      </c>
      <c r="O3093">
        <v>33.6</v>
      </c>
      <c r="P3093">
        <v>12.724666940000001</v>
      </c>
      <c r="Q3093">
        <v>9.5359999999999996</v>
      </c>
    </row>
    <row r="3094" spans="1:17" x14ac:dyDescent="0.2">
      <c r="A3094" s="30" t="str">
        <f>IF(C3094&amp;G3094&amp;D3094&lt;&gt;'Funnel setup'!$K$3&amp;'Funnel setup'!$K$4&amp;'Funnel setup'!$K$5,".",IF(A3093=".",1,A3093+1))</f>
        <v>.</v>
      </c>
      <c r="B3094" s="431" t="str">
        <f t="shared" si="48"/>
        <v>Hip Replacement RevisionProviderAINTREE UNIVERSITY HOSPITAL NHS FOUNDATION TRUST (REM)EQ VAS</v>
      </c>
      <c r="C3094" t="s">
        <v>247</v>
      </c>
      <c r="D3094" t="s">
        <v>1</v>
      </c>
      <c r="E3094" t="s">
        <v>3838</v>
      </c>
      <c r="F3094" t="s">
        <v>3839</v>
      </c>
      <c r="G3094" t="s">
        <v>179</v>
      </c>
      <c r="H3094">
        <v>14</v>
      </c>
      <c r="I3094">
        <v>54.5</v>
      </c>
      <c r="J3094">
        <v>61.929000000000002</v>
      </c>
      <c r="K3094">
        <v>7.4290000000000003</v>
      </c>
      <c r="L3094">
        <v>7</v>
      </c>
      <c r="M3094">
        <v>2</v>
      </c>
      <c r="N3094">
        <v>5</v>
      </c>
      <c r="O3094" t="s">
        <v>53</v>
      </c>
      <c r="P3094" t="s">
        <v>53</v>
      </c>
      <c r="Q3094" t="s">
        <v>53</v>
      </c>
    </row>
    <row r="3095" spans="1:17" x14ac:dyDescent="0.2">
      <c r="A3095" s="30" t="str">
        <f>IF(C3095&amp;G3095&amp;D3095&lt;&gt;'Funnel setup'!$K$3&amp;'Funnel setup'!$K$4&amp;'Funnel setup'!$K$5,".",IF(A3094=".",1,A3094+1))</f>
        <v>.</v>
      </c>
      <c r="B3095" s="431" t="str">
        <f t="shared" si="48"/>
        <v>Hip Replacement RevisionProviderAIREDALE NHS FOUNDATION TRUST (RCF)EQ VAS</v>
      </c>
      <c r="C3095" t="s">
        <v>247</v>
      </c>
      <c r="D3095" t="s">
        <v>1</v>
      </c>
      <c r="E3095" t="s">
        <v>3841</v>
      </c>
      <c r="F3095" t="s">
        <v>3842</v>
      </c>
      <c r="G3095" t="s">
        <v>179</v>
      </c>
      <c r="H3095">
        <v>9</v>
      </c>
      <c r="I3095">
        <v>72</v>
      </c>
      <c r="J3095">
        <v>80.111000000000004</v>
      </c>
      <c r="K3095">
        <v>8.1110000000000007</v>
      </c>
      <c r="L3095">
        <v>4</v>
      </c>
      <c r="M3095">
        <v>4</v>
      </c>
      <c r="N3095">
        <v>1</v>
      </c>
      <c r="O3095" t="s">
        <v>53</v>
      </c>
      <c r="P3095" t="s">
        <v>53</v>
      </c>
      <c r="Q3095" t="s">
        <v>53</v>
      </c>
    </row>
    <row r="3096" spans="1:17" x14ac:dyDescent="0.2">
      <c r="A3096" s="30" t="str">
        <f>IF(C3096&amp;G3096&amp;D3096&lt;&gt;'Funnel setup'!$K$3&amp;'Funnel setup'!$K$4&amp;'Funnel setup'!$K$5,".",IF(A3095=".",1,A3095+1))</f>
        <v>.</v>
      </c>
      <c r="B3096" s="431" t="str">
        <f t="shared" si="48"/>
        <v>Hip Replacement RevisionProviderASHFORD AND ST PETER'S HOSPITALS NHS FOUNDATION TRUST (RTK)EQ VAS</v>
      </c>
      <c r="C3096" t="s">
        <v>247</v>
      </c>
      <c r="D3096" t="s">
        <v>1</v>
      </c>
      <c r="E3096" t="s">
        <v>3844</v>
      </c>
      <c r="F3096" t="s">
        <v>345</v>
      </c>
      <c r="G3096" t="s">
        <v>179</v>
      </c>
      <c r="H3096">
        <v>14</v>
      </c>
      <c r="I3096">
        <v>74.143000000000001</v>
      </c>
      <c r="J3096">
        <v>72.856999999999999</v>
      </c>
      <c r="K3096">
        <v>-1.286</v>
      </c>
      <c r="L3096">
        <v>4</v>
      </c>
      <c r="M3096">
        <v>2</v>
      </c>
      <c r="N3096">
        <v>8</v>
      </c>
      <c r="O3096" t="s">
        <v>53</v>
      </c>
      <c r="P3096" t="s">
        <v>53</v>
      </c>
      <c r="Q3096" t="s">
        <v>53</v>
      </c>
    </row>
    <row r="3097" spans="1:17" x14ac:dyDescent="0.2">
      <c r="A3097" s="30" t="str">
        <f>IF(C3097&amp;G3097&amp;D3097&lt;&gt;'Funnel setup'!$K$3&amp;'Funnel setup'!$K$4&amp;'Funnel setup'!$K$5,".",IF(A3096=".",1,A3096+1))</f>
        <v>.</v>
      </c>
      <c r="B3097" s="431" t="str">
        <f t="shared" si="48"/>
        <v>Hip Replacement RevisionProviderASHTEAD HOSPITAL (NVC01)EQ VAS</v>
      </c>
      <c r="C3097" t="s">
        <v>247</v>
      </c>
      <c r="D3097" t="s">
        <v>1</v>
      </c>
      <c r="E3097" t="s">
        <v>3846</v>
      </c>
      <c r="F3097" t="s">
        <v>3847</v>
      </c>
      <c r="G3097" t="s">
        <v>179</v>
      </c>
      <c r="H3097" t="s">
        <v>53</v>
      </c>
      <c r="I3097" t="s">
        <v>53</v>
      </c>
      <c r="J3097" t="s">
        <v>53</v>
      </c>
      <c r="K3097" t="s">
        <v>53</v>
      </c>
      <c r="L3097" t="s">
        <v>53</v>
      </c>
      <c r="M3097" t="s">
        <v>53</v>
      </c>
      <c r="N3097" t="s">
        <v>53</v>
      </c>
      <c r="O3097" t="s">
        <v>53</v>
      </c>
      <c r="P3097" t="s">
        <v>53</v>
      </c>
      <c r="Q3097" t="s">
        <v>53</v>
      </c>
    </row>
    <row r="3098" spans="1:17" x14ac:dyDescent="0.2">
      <c r="A3098" s="30" t="str">
        <f>IF(C3098&amp;G3098&amp;D3098&lt;&gt;'Funnel setup'!$K$3&amp;'Funnel setup'!$K$4&amp;'Funnel setup'!$K$5,".",IF(A3097=".",1,A3097+1))</f>
        <v>.</v>
      </c>
      <c r="B3098" s="431" t="str">
        <f t="shared" si="48"/>
        <v>Hip Replacement RevisionProviderASPEN - CLAREMONT HOSPITAL (NYW04)EQ VAS</v>
      </c>
      <c r="C3098" t="s">
        <v>247</v>
      </c>
      <c r="D3098" t="s">
        <v>1</v>
      </c>
      <c r="E3098" t="s">
        <v>3500</v>
      </c>
      <c r="F3098" t="s">
        <v>3501</v>
      </c>
      <c r="G3098" t="s">
        <v>179</v>
      </c>
      <c r="H3098" t="s">
        <v>53</v>
      </c>
      <c r="I3098" t="s">
        <v>53</v>
      </c>
      <c r="J3098" t="s">
        <v>53</v>
      </c>
      <c r="K3098" t="s">
        <v>53</v>
      </c>
      <c r="L3098" t="s">
        <v>53</v>
      </c>
      <c r="M3098" t="s">
        <v>53</v>
      </c>
      <c r="N3098" t="s">
        <v>53</v>
      </c>
      <c r="O3098" t="s">
        <v>53</v>
      </c>
      <c r="P3098" t="s">
        <v>53</v>
      </c>
      <c r="Q3098" t="s">
        <v>53</v>
      </c>
    </row>
    <row r="3099" spans="1:17" x14ac:dyDescent="0.2">
      <c r="A3099" s="30" t="str">
        <f>IF(C3099&amp;G3099&amp;D3099&lt;&gt;'Funnel setup'!$K$3&amp;'Funnel setup'!$K$4&amp;'Funnel setup'!$K$5,".",IF(A3098=".",1,A3098+1))</f>
        <v>.</v>
      </c>
      <c r="B3099" s="431" t="str">
        <f t="shared" si="48"/>
        <v>Hip Replacement RevisionProviderBARLBOROUGH NHS TREATMENT CENTRE (NTP13)EQ VAS</v>
      </c>
      <c r="C3099" t="s">
        <v>247</v>
      </c>
      <c r="D3099" t="s">
        <v>1</v>
      </c>
      <c r="E3099" t="s">
        <v>4425</v>
      </c>
      <c r="F3099" t="s">
        <v>4426</v>
      </c>
      <c r="G3099" t="s">
        <v>179</v>
      </c>
      <c r="H3099">
        <v>6</v>
      </c>
      <c r="I3099">
        <v>59.167000000000002</v>
      </c>
      <c r="J3099">
        <v>65.667000000000002</v>
      </c>
      <c r="K3099">
        <v>6.5</v>
      </c>
      <c r="L3099">
        <v>3</v>
      </c>
      <c r="M3099">
        <v>0</v>
      </c>
      <c r="N3099">
        <v>3</v>
      </c>
      <c r="O3099" t="s">
        <v>53</v>
      </c>
      <c r="P3099" t="s">
        <v>53</v>
      </c>
      <c r="Q3099" t="s">
        <v>53</v>
      </c>
    </row>
    <row r="3100" spans="1:17" x14ac:dyDescent="0.2">
      <c r="A3100" s="30" t="str">
        <f>IF(C3100&amp;G3100&amp;D3100&lt;&gt;'Funnel setup'!$K$3&amp;'Funnel setup'!$K$4&amp;'Funnel setup'!$K$5,".",IF(A3099=".",1,A3099+1))</f>
        <v>.</v>
      </c>
      <c r="B3100" s="431" t="str">
        <f t="shared" si="48"/>
        <v>Hip Replacement RevisionProviderBARNSLEY HOSPITAL NHS FOUNDATION TRUST (RFF)EQ VAS</v>
      </c>
      <c r="C3100" t="s">
        <v>247</v>
      </c>
      <c r="D3100" t="s">
        <v>1</v>
      </c>
      <c r="E3100" t="s">
        <v>3549</v>
      </c>
      <c r="F3100" t="s">
        <v>3550</v>
      </c>
      <c r="G3100" t="s">
        <v>179</v>
      </c>
      <c r="H3100" t="s">
        <v>53</v>
      </c>
      <c r="I3100" t="s">
        <v>53</v>
      </c>
      <c r="J3100" t="s">
        <v>53</v>
      </c>
      <c r="K3100" t="s">
        <v>53</v>
      </c>
      <c r="L3100" t="s">
        <v>53</v>
      </c>
      <c r="M3100" t="s">
        <v>53</v>
      </c>
      <c r="N3100" t="s">
        <v>53</v>
      </c>
      <c r="O3100" t="s">
        <v>53</v>
      </c>
      <c r="P3100" t="s">
        <v>53</v>
      </c>
      <c r="Q3100" t="s">
        <v>53</v>
      </c>
    </row>
    <row r="3101" spans="1:17" x14ac:dyDescent="0.2">
      <c r="A3101" s="30" t="str">
        <f>IF(C3101&amp;G3101&amp;D3101&lt;&gt;'Funnel setup'!$K$3&amp;'Funnel setup'!$K$4&amp;'Funnel setup'!$K$5,".",IF(A3100=".",1,A3100+1))</f>
        <v>.</v>
      </c>
      <c r="B3101" s="431" t="str">
        <f t="shared" si="48"/>
        <v>Hip Replacement RevisionProviderBARTS HEALTH NHS TRUST (R1H)EQ VAS</v>
      </c>
      <c r="C3101" t="s">
        <v>247</v>
      </c>
      <c r="D3101" t="s">
        <v>1</v>
      </c>
      <c r="E3101" t="s">
        <v>3552</v>
      </c>
      <c r="F3101" t="s">
        <v>3553</v>
      </c>
      <c r="G3101" t="s">
        <v>179</v>
      </c>
      <c r="H3101">
        <v>11</v>
      </c>
      <c r="I3101">
        <v>63.636000000000003</v>
      </c>
      <c r="J3101">
        <v>59.908999999999999</v>
      </c>
      <c r="K3101">
        <v>-3.7269999999999999</v>
      </c>
      <c r="L3101">
        <v>3</v>
      </c>
      <c r="M3101">
        <v>2</v>
      </c>
      <c r="N3101">
        <v>6</v>
      </c>
      <c r="O3101" t="s">
        <v>53</v>
      </c>
      <c r="P3101" t="s">
        <v>53</v>
      </c>
      <c r="Q3101" t="s">
        <v>53</v>
      </c>
    </row>
    <row r="3102" spans="1:17" x14ac:dyDescent="0.2">
      <c r="A3102" s="30" t="str">
        <f>IF(C3102&amp;G3102&amp;D3102&lt;&gt;'Funnel setup'!$K$3&amp;'Funnel setup'!$K$4&amp;'Funnel setup'!$K$5,".",IF(A3101=".",1,A3101+1))</f>
        <v>.</v>
      </c>
      <c r="B3102" s="431" t="str">
        <f t="shared" si="48"/>
        <v>Hip Replacement RevisionProviderBASILDON AND THURROCK UNIVERSITY HOSPITALS NHS FOUNDATION TRUST (RDD)EQ VAS</v>
      </c>
      <c r="C3102" t="s">
        <v>247</v>
      </c>
      <c r="D3102" t="s">
        <v>1</v>
      </c>
      <c r="E3102" t="s">
        <v>3555</v>
      </c>
      <c r="F3102" t="s">
        <v>3556</v>
      </c>
      <c r="G3102" t="s">
        <v>179</v>
      </c>
      <c r="H3102">
        <v>9</v>
      </c>
      <c r="I3102">
        <v>66</v>
      </c>
      <c r="J3102">
        <v>62.110999999999997</v>
      </c>
      <c r="K3102">
        <v>-3.8889999999999998</v>
      </c>
      <c r="L3102">
        <v>3</v>
      </c>
      <c r="M3102">
        <v>1</v>
      </c>
      <c r="N3102">
        <v>5</v>
      </c>
      <c r="O3102" t="s">
        <v>53</v>
      </c>
      <c r="P3102" t="s">
        <v>53</v>
      </c>
      <c r="Q3102" t="s">
        <v>53</v>
      </c>
    </row>
    <row r="3103" spans="1:17" x14ac:dyDescent="0.2">
      <c r="A3103" s="30" t="str">
        <f>IF(C3103&amp;G3103&amp;D3103&lt;&gt;'Funnel setup'!$K$3&amp;'Funnel setup'!$K$4&amp;'Funnel setup'!$K$5,".",IF(A3102=".",1,A3102+1))</f>
        <v>.</v>
      </c>
      <c r="B3103" s="431" t="str">
        <f t="shared" si="48"/>
        <v>Hip Replacement RevisionProviderBEDFORD HOSPITAL NHS TRUST (RC1)EQ VAS</v>
      </c>
      <c r="C3103" t="s">
        <v>247</v>
      </c>
      <c r="D3103" t="s">
        <v>1</v>
      </c>
      <c r="E3103" t="s">
        <v>3558</v>
      </c>
      <c r="F3103" t="s">
        <v>3559</v>
      </c>
      <c r="G3103" t="s">
        <v>179</v>
      </c>
      <c r="H3103" t="s">
        <v>53</v>
      </c>
      <c r="I3103" t="s">
        <v>53</v>
      </c>
      <c r="J3103" t="s">
        <v>53</v>
      </c>
      <c r="K3103" t="s">
        <v>53</v>
      </c>
      <c r="L3103" t="s">
        <v>53</v>
      </c>
      <c r="M3103" t="s">
        <v>53</v>
      </c>
      <c r="N3103" t="s">
        <v>53</v>
      </c>
      <c r="O3103" t="s">
        <v>53</v>
      </c>
      <c r="P3103" t="s">
        <v>53</v>
      </c>
      <c r="Q3103" t="s">
        <v>53</v>
      </c>
    </row>
    <row r="3104" spans="1:17" x14ac:dyDescent="0.2">
      <c r="A3104" s="30" t="str">
        <f>IF(C3104&amp;G3104&amp;D3104&lt;&gt;'Funnel setup'!$K$3&amp;'Funnel setup'!$K$4&amp;'Funnel setup'!$K$5,".",IF(A3103=".",1,A3103+1))</f>
        <v>.</v>
      </c>
      <c r="B3104" s="431" t="str">
        <f t="shared" si="48"/>
        <v>Hip Replacement RevisionProviderBMI - BATH CLINIC (NT402)EQ VAS</v>
      </c>
      <c r="C3104" t="s">
        <v>247</v>
      </c>
      <c r="D3104" t="s">
        <v>1</v>
      </c>
      <c r="E3104" t="s">
        <v>3488</v>
      </c>
      <c r="F3104" t="s">
        <v>3489</v>
      </c>
      <c r="G3104" t="s">
        <v>179</v>
      </c>
      <c r="H3104" t="s">
        <v>53</v>
      </c>
      <c r="I3104" t="s">
        <v>53</v>
      </c>
      <c r="J3104" t="s">
        <v>53</v>
      </c>
      <c r="K3104" t="s">
        <v>53</v>
      </c>
      <c r="L3104" t="s">
        <v>53</v>
      </c>
      <c r="M3104" t="s">
        <v>53</v>
      </c>
      <c r="N3104" t="s">
        <v>53</v>
      </c>
      <c r="O3104" t="s">
        <v>53</v>
      </c>
      <c r="P3104" t="s">
        <v>53</v>
      </c>
      <c r="Q3104" t="s">
        <v>53</v>
      </c>
    </row>
    <row r="3105" spans="1:17" x14ac:dyDescent="0.2">
      <c r="A3105" s="30" t="str">
        <f>IF(C3105&amp;G3105&amp;D3105&lt;&gt;'Funnel setup'!$K$3&amp;'Funnel setup'!$K$4&amp;'Funnel setup'!$K$5,".",IF(A3104=".",1,A3104+1))</f>
        <v>.</v>
      </c>
      <c r="B3105" s="431" t="str">
        <f t="shared" si="48"/>
        <v>Hip Replacement RevisionProviderBMI - BISHOPS WOOD (NT405)EQ VAS</v>
      </c>
      <c r="C3105" t="s">
        <v>247</v>
      </c>
      <c r="D3105" t="s">
        <v>1</v>
      </c>
      <c r="E3105" t="s">
        <v>3491</v>
      </c>
      <c r="F3105" t="s">
        <v>3492</v>
      </c>
      <c r="G3105" t="s">
        <v>179</v>
      </c>
      <c r="H3105" t="s">
        <v>53</v>
      </c>
      <c r="I3105" t="s">
        <v>53</v>
      </c>
      <c r="J3105" t="s">
        <v>53</v>
      </c>
      <c r="K3105" t="s">
        <v>53</v>
      </c>
      <c r="L3105" t="s">
        <v>53</v>
      </c>
      <c r="M3105" t="s">
        <v>53</v>
      </c>
      <c r="N3105" t="s">
        <v>53</v>
      </c>
      <c r="O3105" t="s">
        <v>53</v>
      </c>
      <c r="P3105" t="s">
        <v>53</v>
      </c>
      <c r="Q3105" t="s">
        <v>53</v>
      </c>
    </row>
    <row r="3106" spans="1:17" x14ac:dyDescent="0.2">
      <c r="A3106" s="30" t="str">
        <f>IF(C3106&amp;G3106&amp;D3106&lt;&gt;'Funnel setup'!$K$3&amp;'Funnel setup'!$K$4&amp;'Funnel setup'!$K$5,".",IF(A3105=".",1,A3105+1))</f>
        <v>.</v>
      </c>
      <c r="B3106" s="431" t="str">
        <f t="shared" si="48"/>
        <v>Hip Replacement RevisionProviderBMI - GORING HALL HOSPITAL (NT417)EQ VAS</v>
      </c>
      <c r="C3106" t="s">
        <v>247</v>
      </c>
      <c r="D3106" t="s">
        <v>1</v>
      </c>
      <c r="E3106" t="s">
        <v>3403</v>
      </c>
      <c r="F3106" t="s">
        <v>3404</v>
      </c>
      <c r="G3106" t="s">
        <v>179</v>
      </c>
      <c r="H3106">
        <v>8</v>
      </c>
      <c r="I3106">
        <v>64.625</v>
      </c>
      <c r="J3106">
        <v>76.25</v>
      </c>
      <c r="K3106">
        <v>11.625</v>
      </c>
      <c r="L3106">
        <v>5</v>
      </c>
      <c r="M3106">
        <v>0</v>
      </c>
      <c r="N3106">
        <v>3</v>
      </c>
      <c r="O3106" t="s">
        <v>53</v>
      </c>
      <c r="P3106" t="s">
        <v>53</v>
      </c>
      <c r="Q3106" t="s">
        <v>53</v>
      </c>
    </row>
    <row r="3107" spans="1:17" x14ac:dyDescent="0.2">
      <c r="A3107" s="30" t="str">
        <f>IF(C3107&amp;G3107&amp;D3107&lt;&gt;'Funnel setup'!$K$3&amp;'Funnel setup'!$K$4&amp;'Funnel setup'!$K$5,".",IF(A3106=".",1,A3106+1))</f>
        <v>.</v>
      </c>
      <c r="B3107" s="431" t="str">
        <f t="shared" si="48"/>
        <v>Hip Replacement RevisionProviderBMI - THE CHILTERN HOSPITAL (NT410)EQ VAS</v>
      </c>
      <c r="C3107" t="s">
        <v>247</v>
      </c>
      <c r="D3107" t="s">
        <v>1</v>
      </c>
      <c r="E3107" t="s">
        <v>3594</v>
      </c>
      <c r="F3107" t="s">
        <v>3595</v>
      </c>
      <c r="G3107" t="s">
        <v>179</v>
      </c>
      <c r="H3107" t="s">
        <v>53</v>
      </c>
      <c r="I3107" t="s">
        <v>53</v>
      </c>
      <c r="J3107" t="s">
        <v>53</v>
      </c>
      <c r="K3107" t="s">
        <v>53</v>
      </c>
      <c r="L3107" t="s">
        <v>53</v>
      </c>
      <c r="M3107" t="s">
        <v>53</v>
      </c>
      <c r="N3107" t="s">
        <v>53</v>
      </c>
      <c r="O3107" t="s">
        <v>53</v>
      </c>
      <c r="P3107" t="s">
        <v>53</v>
      </c>
      <c r="Q3107" t="s">
        <v>53</v>
      </c>
    </row>
    <row r="3108" spans="1:17" x14ac:dyDescent="0.2">
      <c r="A3108" s="30" t="str">
        <f>IF(C3108&amp;G3108&amp;D3108&lt;&gt;'Funnel setup'!$K$3&amp;'Funnel setup'!$K$4&amp;'Funnel setup'!$K$5,".",IF(A3107=".",1,A3107+1))</f>
        <v>.</v>
      </c>
      <c r="B3108" s="431" t="str">
        <f t="shared" si="48"/>
        <v>Hip Replacement RevisionProviderBMI - THE MERIDEN HOSPITAL (NT424)EQ VAS</v>
      </c>
      <c r="C3108" t="s">
        <v>247</v>
      </c>
      <c r="D3108" t="s">
        <v>1</v>
      </c>
      <c r="E3108" t="s">
        <v>3283</v>
      </c>
      <c r="F3108" t="s">
        <v>3284</v>
      </c>
      <c r="G3108" t="s">
        <v>179</v>
      </c>
      <c r="H3108" t="s">
        <v>53</v>
      </c>
      <c r="I3108" t="s">
        <v>53</v>
      </c>
      <c r="J3108" t="s">
        <v>53</v>
      </c>
      <c r="K3108" t="s">
        <v>53</v>
      </c>
      <c r="L3108" t="s">
        <v>53</v>
      </c>
      <c r="M3108" t="s">
        <v>53</v>
      </c>
      <c r="N3108" t="s">
        <v>53</v>
      </c>
      <c r="O3108" t="s">
        <v>53</v>
      </c>
      <c r="P3108" t="s">
        <v>53</v>
      </c>
      <c r="Q3108" t="s">
        <v>53</v>
      </c>
    </row>
    <row r="3109" spans="1:17" x14ac:dyDescent="0.2">
      <c r="A3109" s="30" t="str">
        <f>IF(C3109&amp;G3109&amp;D3109&lt;&gt;'Funnel setup'!$K$3&amp;'Funnel setup'!$K$4&amp;'Funnel setup'!$K$5,".",IF(A3108=".",1,A3108+1))</f>
        <v>.</v>
      </c>
      <c r="B3109" s="431" t="str">
        <f t="shared" si="48"/>
        <v>Hip Replacement RevisionProviderBMI - THE RUNNYMEDE HOSPITAL (NT431)EQ VAS</v>
      </c>
      <c r="C3109" t="s">
        <v>247</v>
      </c>
      <c r="D3109" t="s">
        <v>1</v>
      </c>
      <c r="E3109" t="s">
        <v>3295</v>
      </c>
      <c r="F3109" t="s">
        <v>3296</v>
      </c>
      <c r="G3109" t="s">
        <v>179</v>
      </c>
      <c r="H3109" t="s">
        <v>53</v>
      </c>
      <c r="I3109" t="s">
        <v>53</v>
      </c>
      <c r="J3109" t="s">
        <v>53</v>
      </c>
      <c r="K3109" t="s">
        <v>53</v>
      </c>
      <c r="L3109" t="s">
        <v>53</v>
      </c>
      <c r="M3109" t="s">
        <v>53</v>
      </c>
      <c r="N3109" t="s">
        <v>53</v>
      </c>
      <c r="O3109" t="s">
        <v>53</v>
      </c>
      <c r="P3109" t="s">
        <v>53</v>
      </c>
      <c r="Q3109" t="s">
        <v>53</v>
      </c>
    </row>
    <row r="3110" spans="1:17" x14ac:dyDescent="0.2">
      <c r="A3110" s="30" t="str">
        <f>IF(C3110&amp;G3110&amp;D3110&lt;&gt;'Funnel setup'!$K$3&amp;'Funnel setup'!$K$4&amp;'Funnel setup'!$K$5,".",IF(A3109=".",1,A3109+1))</f>
        <v>.</v>
      </c>
      <c r="B3110" s="431" t="str">
        <f t="shared" si="48"/>
        <v>Hip Replacement RevisionProviderBMI - THREE SHIRES HOSPITAL (NT441)EQ VAS</v>
      </c>
      <c r="C3110" t="s">
        <v>247</v>
      </c>
      <c r="D3110" t="s">
        <v>1</v>
      </c>
      <c r="E3110" t="s">
        <v>3316</v>
      </c>
      <c r="F3110" t="s">
        <v>3317</v>
      </c>
      <c r="G3110" t="s">
        <v>179</v>
      </c>
      <c r="H3110" t="s">
        <v>53</v>
      </c>
      <c r="I3110" t="s">
        <v>53</v>
      </c>
      <c r="J3110" t="s">
        <v>53</v>
      </c>
      <c r="K3110" t="s">
        <v>53</v>
      </c>
      <c r="L3110" t="s">
        <v>53</v>
      </c>
      <c r="M3110" t="s">
        <v>53</v>
      </c>
      <c r="N3110" t="s">
        <v>53</v>
      </c>
      <c r="O3110" t="s">
        <v>53</v>
      </c>
      <c r="P3110" t="s">
        <v>53</v>
      </c>
      <c r="Q3110" t="s">
        <v>53</v>
      </c>
    </row>
    <row r="3111" spans="1:17" x14ac:dyDescent="0.2">
      <c r="A3111" s="30" t="str">
        <f>IF(C3111&amp;G3111&amp;D3111&lt;&gt;'Funnel setup'!$K$3&amp;'Funnel setup'!$K$4&amp;'Funnel setup'!$K$5,".",IF(A3110=".",1,A3110+1))</f>
        <v>.</v>
      </c>
      <c r="B3111" s="431" t="str">
        <f t="shared" si="48"/>
        <v>Hip Replacement RevisionProviderBMI ST EDMUNDS HOSPITAL (NT446)EQ VAS</v>
      </c>
      <c r="C3111" t="s">
        <v>247</v>
      </c>
      <c r="D3111" t="s">
        <v>1</v>
      </c>
      <c r="E3111" t="s">
        <v>3328</v>
      </c>
      <c r="F3111" t="s">
        <v>3329</v>
      </c>
      <c r="G3111" t="s">
        <v>179</v>
      </c>
      <c r="H3111" t="s">
        <v>53</v>
      </c>
      <c r="I3111" t="s">
        <v>53</v>
      </c>
      <c r="J3111" t="s">
        <v>53</v>
      </c>
      <c r="K3111" t="s">
        <v>53</v>
      </c>
      <c r="L3111" t="s">
        <v>53</v>
      </c>
      <c r="M3111" t="s">
        <v>53</v>
      </c>
      <c r="N3111" t="s">
        <v>53</v>
      </c>
      <c r="O3111" t="s">
        <v>53</v>
      </c>
      <c r="P3111" t="s">
        <v>53</v>
      </c>
      <c r="Q3111" t="s">
        <v>53</v>
      </c>
    </row>
    <row r="3112" spans="1:17" x14ac:dyDescent="0.2">
      <c r="A3112" s="30" t="str">
        <f>IF(C3112&amp;G3112&amp;D3112&lt;&gt;'Funnel setup'!$K$3&amp;'Funnel setup'!$K$4&amp;'Funnel setup'!$K$5,".",IF(A3111=".",1,A3111+1))</f>
        <v>.</v>
      </c>
      <c r="B3112" s="431" t="str">
        <f t="shared" si="48"/>
        <v>Hip Replacement RevisionProviderBMI THE CAVELL HOSPITAL (NT451)EQ VAS</v>
      </c>
      <c r="C3112" t="s">
        <v>247</v>
      </c>
      <c r="D3112" t="s">
        <v>1</v>
      </c>
      <c r="E3112" t="s">
        <v>3331</v>
      </c>
      <c r="F3112" t="s">
        <v>3332</v>
      </c>
      <c r="G3112" t="s">
        <v>179</v>
      </c>
      <c r="H3112" t="s">
        <v>53</v>
      </c>
      <c r="I3112" t="s">
        <v>53</v>
      </c>
      <c r="J3112" t="s">
        <v>53</v>
      </c>
      <c r="K3112" t="s">
        <v>53</v>
      </c>
      <c r="L3112" t="s">
        <v>53</v>
      </c>
      <c r="M3112" t="s">
        <v>53</v>
      </c>
      <c r="N3112" t="s">
        <v>53</v>
      </c>
      <c r="O3112" t="s">
        <v>53</v>
      </c>
      <c r="P3112" t="s">
        <v>53</v>
      </c>
      <c r="Q3112" t="s">
        <v>53</v>
      </c>
    </row>
    <row r="3113" spans="1:17" x14ac:dyDescent="0.2">
      <c r="A3113" s="30" t="str">
        <f>IF(C3113&amp;G3113&amp;D3113&lt;&gt;'Funnel setup'!$K$3&amp;'Funnel setup'!$K$4&amp;'Funnel setup'!$K$5,".",IF(A3112=".",1,A3112+1))</f>
        <v>.</v>
      </c>
      <c r="B3113" s="431" t="str">
        <f t="shared" si="48"/>
        <v>Hip Replacement RevisionProviderBMI WOODLANDS HOSPITAL (NT457)EQ VAS</v>
      </c>
      <c r="C3113" t="s">
        <v>247</v>
      </c>
      <c r="D3113" t="s">
        <v>1</v>
      </c>
      <c r="E3113" t="s">
        <v>3355</v>
      </c>
      <c r="F3113" t="s">
        <v>3356</v>
      </c>
      <c r="G3113" t="s">
        <v>179</v>
      </c>
      <c r="H3113" t="s">
        <v>53</v>
      </c>
      <c r="I3113" t="s">
        <v>53</v>
      </c>
      <c r="J3113" t="s">
        <v>53</v>
      </c>
      <c r="K3113" t="s">
        <v>53</v>
      </c>
      <c r="L3113" t="s">
        <v>53</v>
      </c>
      <c r="M3113" t="s">
        <v>53</v>
      </c>
      <c r="N3113" t="s">
        <v>53</v>
      </c>
      <c r="O3113" t="s">
        <v>53</v>
      </c>
      <c r="P3113" t="s">
        <v>53</v>
      </c>
      <c r="Q3113" t="s">
        <v>53</v>
      </c>
    </row>
    <row r="3114" spans="1:17" x14ac:dyDescent="0.2">
      <c r="A3114" s="30" t="str">
        <f>IF(C3114&amp;G3114&amp;D3114&lt;&gt;'Funnel setup'!$K$3&amp;'Funnel setup'!$K$4&amp;'Funnel setup'!$K$5,".",IF(A3113=".",1,A3113+1))</f>
        <v>.</v>
      </c>
      <c r="B3114" s="431" t="str">
        <f t="shared" si="48"/>
        <v>Hip Replacement RevisionProviderBOLTON NHS FOUNDATION TRUST (RMC)EQ VAS</v>
      </c>
      <c r="C3114" t="s">
        <v>247</v>
      </c>
      <c r="D3114" t="s">
        <v>1</v>
      </c>
      <c r="E3114" t="s">
        <v>3358</v>
      </c>
      <c r="F3114" t="s">
        <v>3359</v>
      </c>
      <c r="G3114" t="s">
        <v>179</v>
      </c>
      <c r="H3114" t="s">
        <v>53</v>
      </c>
      <c r="I3114" t="s">
        <v>53</v>
      </c>
      <c r="J3114" t="s">
        <v>53</v>
      </c>
      <c r="K3114" t="s">
        <v>53</v>
      </c>
      <c r="L3114" t="s">
        <v>53</v>
      </c>
      <c r="M3114" t="s">
        <v>53</v>
      </c>
      <c r="N3114" t="s">
        <v>53</v>
      </c>
      <c r="O3114" t="s">
        <v>53</v>
      </c>
      <c r="P3114" t="s">
        <v>53</v>
      </c>
      <c r="Q3114" t="s">
        <v>53</v>
      </c>
    </row>
    <row r="3115" spans="1:17" x14ac:dyDescent="0.2">
      <c r="A3115" s="30" t="str">
        <f>IF(C3115&amp;G3115&amp;D3115&lt;&gt;'Funnel setup'!$K$3&amp;'Funnel setup'!$K$4&amp;'Funnel setup'!$K$5,".",IF(A3114=".",1,A3114+1))</f>
        <v>.</v>
      </c>
      <c r="B3115" s="431" t="str">
        <f t="shared" si="48"/>
        <v>Hip Replacement RevisionProviderBRADFORD TEACHING HOSPITALS NHS FOUNDATION TRUST (RAE)EQ VAS</v>
      </c>
      <c r="C3115" t="s">
        <v>247</v>
      </c>
      <c r="D3115" t="s">
        <v>1</v>
      </c>
      <c r="E3115" t="s">
        <v>3361</v>
      </c>
      <c r="F3115" t="s">
        <v>3362</v>
      </c>
      <c r="G3115" t="s">
        <v>179</v>
      </c>
      <c r="H3115">
        <v>7</v>
      </c>
      <c r="I3115">
        <v>61.286000000000001</v>
      </c>
      <c r="J3115">
        <v>67.856999999999999</v>
      </c>
      <c r="K3115">
        <v>6.5709999999999997</v>
      </c>
      <c r="L3115">
        <v>4</v>
      </c>
      <c r="M3115">
        <v>1</v>
      </c>
      <c r="N3115">
        <v>2</v>
      </c>
      <c r="O3115" t="s">
        <v>53</v>
      </c>
      <c r="P3115" t="s">
        <v>53</v>
      </c>
      <c r="Q3115" t="s">
        <v>53</v>
      </c>
    </row>
    <row r="3116" spans="1:17" x14ac:dyDescent="0.2">
      <c r="A3116" s="30" t="str">
        <f>IF(C3116&amp;G3116&amp;D3116&lt;&gt;'Funnel setup'!$K$3&amp;'Funnel setup'!$K$4&amp;'Funnel setup'!$K$5,".",IF(A3115=".",1,A3115+1))</f>
        <v>.</v>
      </c>
      <c r="B3116" s="431" t="str">
        <f t="shared" si="48"/>
        <v>Hip Replacement RevisionProviderBRIGHTON AND SUSSEX UNIVERSITY HOSPITALS NHS TRUST (RXH)EQ VAS</v>
      </c>
      <c r="C3116" t="s">
        <v>247</v>
      </c>
      <c r="D3116" t="s">
        <v>1</v>
      </c>
      <c r="E3116" t="s">
        <v>3367</v>
      </c>
      <c r="F3116" t="s">
        <v>3368</v>
      </c>
      <c r="G3116" t="s">
        <v>179</v>
      </c>
      <c r="H3116">
        <v>16</v>
      </c>
      <c r="I3116">
        <v>53.688000000000002</v>
      </c>
      <c r="J3116">
        <v>59.063000000000002</v>
      </c>
      <c r="K3116">
        <v>5.375</v>
      </c>
      <c r="L3116">
        <v>8</v>
      </c>
      <c r="M3116">
        <v>3</v>
      </c>
      <c r="N3116">
        <v>5</v>
      </c>
      <c r="O3116" t="s">
        <v>53</v>
      </c>
      <c r="P3116" t="s">
        <v>53</v>
      </c>
      <c r="Q3116" t="s">
        <v>53</v>
      </c>
    </row>
    <row r="3117" spans="1:17" x14ac:dyDescent="0.2">
      <c r="A3117" s="30" t="str">
        <f>IF(C3117&amp;G3117&amp;D3117&lt;&gt;'Funnel setup'!$K$3&amp;'Funnel setup'!$K$4&amp;'Funnel setup'!$K$5,".",IF(A3116=".",1,A3116+1))</f>
        <v>.</v>
      </c>
      <c r="B3117" s="431" t="str">
        <f t="shared" si="48"/>
        <v>Hip Replacement RevisionProviderBUCKINGHAMSHIRE HEALTHCARE NHS TRUST (RXQ)EQ VAS</v>
      </c>
      <c r="C3117" t="s">
        <v>247</v>
      </c>
      <c r="D3117" t="s">
        <v>1</v>
      </c>
      <c r="E3117" t="s">
        <v>3370</v>
      </c>
      <c r="F3117" t="s">
        <v>3371</v>
      </c>
      <c r="G3117" t="s">
        <v>179</v>
      </c>
      <c r="H3117">
        <v>8</v>
      </c>
      <c r="I3117">
        <v>53.875</v>
      </c>
      <c r="J3117">
        <v>63.75</v>
      </c>
      <c r="K3117">
        <v>9.875</v>
      </c>
      <c r="L3117">
        <v>6</v>
      </c>
      <c r="M3117">
        <v>1</v>
      </c>
      <c r="N3117">
        <v>1</v>
      </c>
      <c r="O3117" t="s">
        <v>53</v>
      </c>
      <c r="P3117" t="s">
        <v>53</v>
      </c>
      <c r="Q3117" t="s">
        <v>53</v>
      </c>
    </row>
    <row r="3118" spans="1:17" x14ac:dyDescent="0.2">
      <c r="A3118" s="30" t="str">
        <f>IF(C3118&amp;G3118&amp;D3118&lt;&gt;'Funnel setup'!$K$3&amp;'Funnel setup'!$K$4&amp;'Funnel setup'!$K$5,".",IF(A3117=".",1,A3117+1))</f>
        <v>.</v>
      </c>
      <c r="B3118" s="431" t="str">
        <f t="shared" si="48"/>
        <v>Hip Replacement RevisionProviderBURTON HOSPITALS NHS FOUNDATION TRUST (RJF)EQ VAS</v>
      </c>
      <c r="C3118" t="s">
        <v>247</v>
      </c>
      <c r="D3118" t="s">
        <v>1</v>
      </c>
      <c r="E3118" t="s">
        <v>3373</v>
      </c>
      <c r="F3118" t="s">
        <v>3374</v>
      </c>
      <c r="G3118" t="s">
        <v>179</v>
      </c>
      <c r="H3118" t="s">
        <v>53</v>
      </c>
      <c r="I3118" t="s">
        <v>53</v>
      </c>
      <c r="J3118" t="s">
        <v>53</v>
      </c>
      <c r="K3118" t="s">
        <v>53</v>
      </c>
      <c r="L3118" t="s">
        <v>53</v>
      </c>
      <c r="M3118" t="s">
        <v>53</v>
      </c>
      <c r="N3118" t="s">
        <v>53</v>
      </c>
      <c r="O3118" t="s">
        <v>53</v>
      </c>
      <c r="P3118" t="s">
        <v>53</v>
      </c>
      <c r="Q3118" t="s">
        <v>53</v>
      </c>
    </row>
    <row r="3119" spans="1:17" x14ac:dyDescent="0.2">
      <c r="A3119" s="30" t="str">
        <f>IF(C3119&amp;G3119&amp;D3119&lt;&gt;'Funnel setup'!$K$3&amp;'Funnel setup'!$K$4&amp;'Funnel setup'!$K$5,".",IF(A3118=".",1,A3118+1))</f>
        <v>.</v>
      </c>
      <c r="B3119" s="431" t="str">
        <f t="shared" si="48"/>
        <v>Hip Replacement RevisionProviderCALDERDALE AND HUDDERSFIELD NHS FOUNDATION TRUST (RWY)EQ VAS</v>
      </c>
      <c r="C3119" t="s">
        <v>247</v>
      </c>
      <c r="D3119" t="s">
        <v>1</v>
      </c>
      <c r="E3119" t="s">
        <v>3379</v>
      </c>
      <c r="F3119" t="s">
        <v>3380</v>
      </c>
      <c r="G3119" t="s">
        <v>179</v>
      </c>
      <c r="H3119">
        <v>27</v>
      </c>
      <c r="I3119">
        <v>69.962999999999994</v>
      </c>
      <c r="J3119">
        <v>75</v>
      </c>
      <c r="K3119">
        <v>5.0369999999999999</v>
      </c>
      <c r="L3119">
        <v>13</v>
      </c>
      <c r="M3119">
        <v>4</v>
      </c>
      <c r="N3119">
        <v>10</v>
      </c>
      <c r="O3119" t="s">
        <v>53</v>
      </c>
      <c r="P3119" t="s">
        <v>53</v>
      </c>
      <c r="Q3119" t="s">
        <v>53</v>
      </c>
    </row>
    <row r="3120" spans="1:17" x14ac:dyDescent="0.2">
      <c r="A3120" s="30" t="str">
        <f>IF(C3120&amp;G3120&amp;D3120&lt;&gt;'Funnel setup'!$K$3&amp;'Funnel setup'!$K$4&amp;'Funnel setup'!$K$5,".",IF(A3119=".",1,A3119+1))</f>
        <v>.</v>
      </c>
      <c r="B3120" s="431" t="str">
        <f t="shared" si="48"/>
        <v>Hip Replacement RevisionProviderCAMBRIDGE UNIVERSITY HOSPITALS NHS FOUNDATION TRUST (RGT)EQ VAS</v>
      </c>
      <c r="C3120" t="s">
        <v>247</v>
      </c>
      <c r="D3120" t="s">
        <v>1</v>
      </c>
      <c r="E3120" t="s">
        <v>3076</v>
      </c>
      <c r="F3120" t="s">
        <v>3077</v>
      </c>
      <c r="G3120" t="s">
        <v>179</v>
      </c>
      <c r="H3120">
        <v>16</v>
      </c>
      <c r="I3120">
        <v>62.875</v>
      </c>
      <c r="J3120">
        <v>69.938000000000002</v>
      </c>
      <c r="K3120">
        <v>7.0629999999999997</v>
      </c>
      <c r="L3120">
        <v>7</v>
      </c>
      <c r="M3120">
        <v>4</v>
      </c>
      <c r="N3120">
        <v>5</v>
      </c>
      <c r="O3120" t="s">
        <v>53</v>
      </c>
      <c r="P3120" t="s">
        <v>53</v>
      </c>
      <c r="Q3120" t="s">
        <v>53</v>
      </c>
    </row>
    <row r="3121" spans="1:17" x14ac:dyDescent="0.2">
      <c r="A3121" s="30" t="str">
        <f>IF(C3121&amp;G3121&amp;D3121&lt;&gt;'Funnel setup'!$K$3&amp;'Funnel setup'!$K$4&amp;'Funnel setup'!$K$5,".",IF(A3120=".",1,A3120+1))</f>
        <v>.</v>
      </c>
      <c r="B3121" s="431" t="str">
        <f t="shared" si="48"/>
        <v>Hip Replacement RevisionProviderCENTRAL MANCHESTER UNIVERSITY HOSPITALS NHS FOUNDATION TRUST (RW3)EQ VAS</v>
      </c>
      <c r="C3121" t="s">
        <v>247</v>
      </c>
      <c r="D3121" t="s">
        <v>1</v>
      </c>
      <c r="E3121" t="s">
        <v>3079</v>
      </c>
      <c r="F3121" t="s">
        <v>3080</v>
      </c>
      <c r="G3121" t="s">
        <v>179</v>
      </c>
      <c r="H3121" t="s">
        <v>53</v>
      </c>
      <c r="I3121" t="s">
        <v>53</v>
      </c>
      <c r="J3121" t="s">
        <v>53</v>
      </c>
      <c r="K3121" t="s">
        <v>53</v>
      </c>
      <c r="L3121" t="s">
        <v>53</v>
      </c>
      <c r="M3121" t="s">
        <v>53</v>
      </c>
      <c r="N3121" t="s">
        <v>53</v>
      </c>
      <c r="O3121" t="s">
        <v>53</v>
      </c>
      <c r="P3121" t="s">
        <v>53</v>
      </c>
      <c r="Q3121" t="s">
        <v>53</v>
      </c>
    </row>
    <row r="3122" spans="1:17" x14ac:dyDescent="0.2">
      <c r="A3122" s="30" t="str">
        <f>IF(C3122&amp;G3122&amp;D3122&lt;&gt;'Funnel setup'!$K$3&amp;'Funnel setup'!$K$4&amp;'Funnel setup'!$K$5,".",IF(A3121=".",1,A3121+1))</f>
        <v>.</v>
      </c>
      <c r="B3122" s="431" t="str">
        <f t="shared" si="48"/>
        <v>Hip Replacement RevisionProviderCHELSEA AND WESTMINSTER HOSPITAL NHS FOUNDATION TRUST (RQM)EQ VAS</v>
      </c>
      <c r="C3122" t="s">
        <v>247</v>
      </c>
      <c r="D3122" t="s">
        <v>1</v>
      </c>
      <c r="E3122" t="s">
        <v>3082</v>
      </c>
      <c r="F3122" t="s">
        <v>3083</v>
      </c>
      <c r="G3122" t="s">
        <v>179</v>
      </c>
      <c r="H3122" t="s">
        <v>53</v>
      </c>
      <c r="I3122" t="s">
        <v>53</v>
      </c>
      <c r="J3122" t="s">
        <v>53</v>
      </c>
      <c r="K3122" t="s">
        <v>53</v>
      </c>
      <c r="L3122" t="s">
        <v>53</v>
      </c>
      <c r="M3122" t="s">
        <v>53</v>
      </c>
      <c r="N3122" t="s">
        <v>53</v>
      </c>
      <c r="O3122" t="s">
        <v>53</v>
      </c>
      <c r="P3122" t="s">
        <v>53</v>
      </c>
      <c r="Q3122" t="s">
        <v>53</v>
      </c>
    </row>
    <row r="3123" spans="1:17" x14ac:dyDescent="0.2">
      <c r="A3123" s="30" t="str">
        <f>IF(C3123&amp;G3123&amp;D3123&lt;&gt;'Funnel setup'!$K$3&amp;'Funnel setup'!$K$4&amp;'Funnel setup'!$K$5,".",IF(A3122=".",1,A3122+1))</f>
        <v>.</v>
      </c>
      <c r="B3123" s="431" t="str">
        <f t="shared" si="48"/>
        <v>Hip Replacement RevisionProviderCHESTERFIELD ROYAL HOSPITAL NHS FOUNDATION TRUST (RFS)EQ VAS</v>
      </c>
      <c r="C3123" t="s">
        <v>247</v>
      </c>
      <c r="D3123" t="s">
        <v>1</v>
      </c>
      <c r="E3123" t="s">
        <v>3085</v>
      </c>
      <c r="F3123" t="s">
        <v>3086</v>
      </c>
      <c r="G3123" t="s">
        <v>179</v>
      </c>
      <c r="H3123">
        <v>10</v>
      </c>
      <c r="I3123">
        <v>60</v>
      </c>
      <c r="J3123">
        <v>67.5</v>
      </c>
      <c r="K3123">
        <v>7.5</v>
      </c>
      <c r="L3123">
        <v>5</v>
      </c>
      <c r="M3123">
        <v>0</v>
      </c>
      <c r="N3123">
        <v>5</v>
      </c>
      <c r="O3123" t="s">
        <v>53</v>
      </c>
      <c r="P3123" t="s">
        <v>53</v>
      </c>
      <c r="Q3123" t="s">
        <v>53</v>
      </c>
    </row>
    <row r="3124" spans="1:17" x14ac:dyDescent="0.2">
      <c r="A3124" s="30" t="str">
        <f>IF(C3124&amp;G3124&amp;D3124&lt;&gt;'Funnel setup'!$K$3&amp;'Funnel setup'!$K$4&amp;'Funnel setup'!$K$5,".",IF(A3123=".",1,A3123+1))</f>
        <v>.</v>
      </c>
      <c r="B3124" s="431" t="str">
        <f t="shared" si="48"/>
        <v>Hip Replacement RevisionProviderCIRCLE BATH HOSPITAL (NV302)EQ VAS</v>
      </c>
      <c r="C3124" t="s">
        <v>247</v>
      </c>
      <c r="D3124" t="s">
        <v>1</v>
      </c>
      <c r="E3124" t="s">
        <v>3097</v>
      </c>
      <c r="F3124" t="s">
        <v>3098</v>
      </c>
      <c r="G3124" t="s">
        <v>179</v>
      </c>
      <c r="H3124">
        <v>8</v>
      </c>
      <c r="I3124">
        <v>78.125</v>
      </c>
      <c r="J3124">
        <v>83.625</v>
      </c>
      <c r="K3124">
        <v>5.5</v>
      </c>
      <c r="L3124">
        <v>5</v>
      </c>
      <c r="M3124">
        <v>1</v>
      </c>
      <c r="N3124">
        <v>2</v>
      </c>
      <c r="O3124" t="s">
        <v>53</v>
      </c>
      <c r="P3124" t="s">
        <v>53</v>
      </c>
      <c r="Q3124" t="s">
        <v>53</v>
      </c>
    </row>
    <row r="3125" spans="1:17" x14ac:dyDescent="0.2">
      <c r="A3125" s="30" t="str">
        <f>IF(C3125&amp;G3125&amp;D3125&lt;&gt;'Funnel setup'!$K$3&amp;'Funnel setup'!$K$4&amp;'Funnel setup'!$K$5,".",IF(A3124=".",1,A3124+1))</f>
        <v>.</v>
      </c>
      <c r="B3125" s="431" t="str">
        <f t="shared" si="48"/>
        <v>Hip Replacement RevisionProviderCITY HOSPITALS SUNDERLAND NHS FOUNDATION TRUST (RLN)EQ VAS</v>
      </c>
      <c r="C3125" t="s">
        <v>247</v>
      </c>
      <c r="D3125" t="s">
        <v>1</v>
      </c>
      <c r="E3125" t="s">
        <v>3100</v>
      </c>
      <c r="F3125" t="s">
        <v>3101</v>
      </c>
      <c r="G3125" t="s">
        <v>179</v>
      </c>
      <c r="H3125">
        <v>12</v>
      </c>
      <c r="I3125">
        <v>61.25</v>
      </c>
      <c r="J3125">
        <v>53</v>
      </c>
      <c r="K3125">
        <v>-8.25</v>
      </c>
      <c r="L3125">
        <v>4</v>
      </c>
      <c r="M3125">
        <v>0</v>
      </c>
      <c r="N3125">
        <v>8</v>
      </c>
      <c r="O3125" t="s">
        <v>53</v>
      </c>
      <c r="P3125" t="s">
        <v>53</v>
      </c>
      <c r="Q3125" t="s">
        <v>53</v>
      </c>
    </row>
    <row r="3126" spans="1:17" x14ac:dyDescent="0.2">
      <c r="A3126" s="30" t="str">
        <f>IF(C3126&amp;G3126&amp;D3126&lt;&gt;'Funnel setup'!$K$3&amp;'Funnel setup'!$K$4&amp;'Funnel setup'!$K$5,".",IF(A3125=".",1,A3125+1))</f>
        <v>.</v>
      </c>
      <c r="B3126" s="431" t="str">
        <f t="shared" si="48"/>
        <v>Hip Replacement RevisionProviderCLIFTON PARK HOSPITAL (NVC28)EQ VAS</v>
      </c>
      <c r="C3126" t="s">
        <v>247</v>
      </c>
      <c r="D3126" t="s">
        <v>1</v>
      </c>
      <c r="E3126" t="s">
        <v>4229</v>
      </c>
      <c r="F3126" t="s">
        <v>4230</v>
      </c>
      <c r="G3126" t="s">
        <v>179</v>
      </c>
      <c r="H3126">
        <v>11</v>
      </c>
      <c r="I3126">
        <v>74.272999999999996</v>
      </c>
      <c r="J3126">
        <v>79.364000000000004</v>
      </c>
      <c r="K3126">
        <v>5.0910000000000002</v>
      </c>
      <c r="L3126">
        <v>7</v>
      </c>
      <c r="M3126">
        <v>1</v>
      </c>
      <c r="N3126">
        <v>3</v>
      </c>
      <c r="O3126" t="s">
        <v>53</v>
      </c>
      <c r="P3126" t="s">
        <v>53</v>
      </c>
      <c r="Q3126" t="s">
        <v>53</v>
      </c>
    </row>
    <row r="3127" spans="1:17" x14ac:dyDescent="0.2">
      <c r="A3127" s="30" t="str">
        <f>IF(C3127&amp;G3127&amp;D3127&lt;&gt;'Funnel setup'!$K$3&amp;'Funnel setup'!$K$4&amp;'Funnel setup'!$K$5,".",IF(A3126=".",1,A3126+1))</f>
        <v>.</v>
      </c>
      <c r="B3127" s="431" t="str">
        <f t="shared" si="48"/>
        <v>Hip Replacement RevisionProviderCOLCHESTER HOSPITAL UNIVERSITY NHS FOUNDATION TRUST (RDE)EQ VAS</v>
      </c>
      <c r="C3127" t="s">
        <v>247</v>
      </c>
      <c r="D3127" t="s">
        <v>1</v>
      </c>
      <c r="E3127" t="s">
        <v>3109</v>
      </c>
      <c r="F3127" t="s">
        <v>3110</v>
      </c>
      <c r="G3127" t="s">
        <v>179</v>
      </c>
      <c r="H3127">
        <v>22</v>
      </c>
      <c r="I3127">
        <v>62.363999999999997</v>
      </c>
      <c r="J3127">
        <v>76.317999999999998</v>
      </c>
      <c r="K3127">
        <v>13.955</v>
      </c>
      <c r="L3127">
        <v>16</v>
      </c>
      <c r="M3127">
        <v>3</v>
      </c>
      <c r="N3127">
        <v>3</v>
      </c>
      <c r="O3127" t="s">
        <v>53</v>
      </c>
      <c r="P3127" t="s">
        <v>53</v>
      </c>
      <c r="Q3127" t="s">
        <v>53</v>
      </c>
    </row>
    <row r="3128" spans="1:17" x14ac:dyDescent="0.2">
      <c r="A3128" s="30" t="str">
        <f>IF(C3128&amp;G3128&amp;D3128&lt;&gt;'Funnel setup'!$K$3&amp;'Funnel setup'!$K$4&amp;'Funnel setup'!$K$5,".",IF(A3127=".",1,A3127+1))</f>
        <v>.</v>
      </c>
      <c r="B3128" s="431" t="str">
        <f t="shared" si="48"/>
        <v>Hip Replacement RevisionProviderCOUNTESS OF CHESTER HOSPITAL NHS FOUNDATION TRUST (RJR)EQ VAS</v>
      </c>
      <c r="C3128" t="s">
        <v>247</v>
      </c>
      <c r="D3128" t="s">
        <v>1</v>
      </c>
      <c r="E3128" t="s">
        <v>3781</v>
      </c>
      <c r="F3128" t="s">
        <v>3782</v>
      </c>
      <c r="G3128" t="s">
        <v>179</v>
      </c>
      <c r="H3128" t="s">
        <v>53</v>
      </c>
      <c r="I3128" t="s">
        <v>53</v>
      </c>
      <c r="J3128" t="s">
        <v>53</v>
      </c>
      <c r="K3128" t="s">
        <v>53</v>
      </c>
      <c r="L3128" t="s">
        <v>53</v>
      </c>
      <c r="M3128" t="s">
        <v>53</v>
      </c>
      <c r="N3128" t="s">
        <v>53</v>
      </c>
      <c r="O3128" t="s">
        <v>53</v>
      </c>
      <c r="P3128" t="s">
        <v>53</v>
      </c>
      <c r="Q3128" t="s">
        <v>53</v>
      </c>
    </row>
    <row r="3129" spans="1:17" x14ac:dyDescent="0.2">
      <c r="A3129" s="30" t="str">
        <f>IF(C3129&amp;G3129&amp;D3129&lt;&gt;'Funnel setup'!$K$3&amp;'Funnel setup'!$K$4&amp;'Funnel setup'!$K$5,".",IF(A3128=".",1,A3128+1))</f>
        <v>.</v>
      </c>
      <c r="B3129" s="431" t="str">
        <f t="shared" si="48"/>
        <v>Hip Replacement RevisionProviderCOUNTY DURHAM AND DARLINGTON NHS FOUNDATION TRUST (RXP)EQ VAS</v>
      </c>
      <c r="C3129" t="s">
        <v>247</v>
      </c>
      <c r="D3129" t="s">
        <v>1</v>
      </c>
      <c r="E3129" t="s">
        <v>3784</v>
      </c>
      <c r="F3129" t="s">
        <v>3785</v>
      </c>
      <c r="G3129" t="s">
        <v>179</v>
      </c>
      <c r="H3129">
        <v>11</v>
      </c>
      <c r="I3129">
        <v>63.182000000000002</v>
      </c>
      <c r="J3129">
        <v>68</v>
      </c>
      <c r="K3129">
        <v>4.8179999999999996</v>
      </c>
      <c r="L3129">
        <v>7</v>
      </c>
      <c r="M3129">
        <v>1</v>
      </c>
      <c r="N3129">
        <v>3</v>
      </c>
      <c r="O3129" t="s">
        <v>53</v>
      </c>
      <c r="P3129" t="s">
        <v>53</v>
      </c>
      <c r="Q3129" t="s">
        <v>53</v>
      </c>
    </row>
    <row r="3130" spans="1:17" x14ac:dyDescent="0.2">
      <c r="A3130" s="30" t="str">
        <f>IF(C3130&amp;G3130&amp;D3130&lt;&gt;'Funnel setup'!$K$3&amp;'Funnel setup'!$K$4&amp;'Funnel setup'!$K$5,".",IF(A3129=".",1,A3129+1))</f>
        <v>.</v>
      </c>
      <c r="B3130" s="431" t="str">
        <f t="shared" si="48"/>
        <v>Hip Replacement RevisionProviderDARTFORD AND GRAVESHAM NHS TRUST (RN7)EQ VAS</v>
      </c>
      <c r="C3130" t="s">
        <v>247</v>
      </c>
      <c r="D3130" t="s">
        <v>1</v>
      </c>
      <c r="E3130" t="s">
        <v>3787</v>
      </c>
      <c r="F3130" t="s">
        <v>3788</v>
      </c>
      <c r="G3130" t="s">
        <v>179</v>
      </c>
      <c r="H3130">
        <v>6</v>
      </c>
      <c r="I3130">
        <v>70.5</v>
      </c>
      <c r="J3130">
        <v>69.167000000000002</v>
      </c>
      <c r="K3130">
        <v>-1.333</v>
      </c>
      <c r="L3130">
        <v>3</v>
      </c>
      <c r="M3130">
        <v>0</v>
      </c>
      <c r="N3130">
        <v>3</v>
      </c>
      <c r="O3130" t="s">
        <v>53</v>
      </c>
      <c r="P3130" t="s">
        <v>53</v>
      </c>
      <c r="Q3130" t="s">
        <v>53</v>
      </c>
    </row>
    <row r="3131" spans="1:17" x14ac:dyDescent="0.2">
      <c r="A3131" s="30" t="str">
        <f>IF(C3131&amp;G3131&amp;D3131&lt;&gt;'Funnel setup'!$K$3&amp;'Funnel setup'!$K$4&amp;'Funnel setup'!$K$5,".",IF(A3130=".",1,A3130+1))</f>
        <v>.</v>
      </c>
      <c r="B3131" s="431" t="str">
        <f t="shared" si="48"/>
        <v>Hip Replacement RevisionProviderDERBY TEACHING HOSPITALS NHS FOUNDATION TRUST (RTG)EQ VAS</v>
      </c>
      <c r="C3131" t="s">
        <v>247</v>
      </c>
      <c r="D3131" t="s">
        <v>1</v>
      </c>
      <c r="E3131" t="s">
        <v>3790</v>
      </c>
      <c r="F3131" t="s">
        <v>3791</v>
      </c>
      <c r="G3131" t="s">
        <v>179</v>
      </c>
      <c r="H3131">
        <v>27</v>
      </c>
      <c r="I3131">
        <v>66.741</v>
      </c>
      <c r="J3131">
        <v>70.073999999999998</v>
      </c>
      <c r="K3131">
        <v>3.3330000000000002</v>
      </c>
      <c r="L3131">
        <v>13</v>
      </c>
      <c r="M3131">
        <v>4</v>
      </c>
      <c r="N3131">
        <v>10</v>
      </c>
      <c r="O3131" t="s">
        <v>53</v>
      </c>
      <c r="P3131" t="s">
        <v>53</v>
      </c>
      <c r="Q3131" t="s">
        <v>53</v>
      </c>
    </row>
    <row r="3132" spans="1:17" x14ac:dyDescent="0.2">
      <c r="A3132" s="30" t="str">
        <f>IF(C3132&amp;G3132&amp;D3132&lt;&gt;'Funnel setup'!$K$3&amp;'Funnel setup'!$K$4&amp;'Funnel setup'!$K$5,".",IF(A3131=".",1,A3131+1))</f>
        <v>.</v>
      </c>
      <c r="B3132" s="431" t="str">
        <f t="shared" si="48"/>
        <v>Hip Replacement RevisionProviderDONCASTER AND BASSETLAW HOSPITALS NHS FOUNDATION TRUST (RP5)EQ VAS</v>
      </c>
      <c r="C3132" t="s">
        <v>247</v>
      </c>
      <c r="D3132" t="s">
        <v>1</v>
      </c>
      <c r="E3132" t="s">
        <v>3799</v>
      </c>
      <c r="F3132" t="s">
        <v>3800</v>
      </c>
      <c r="G3132" t="s">
        <v>179</v>
      </c>
      <c r="H3132">
        <v>20</v>
      </c>
      <c r="I3132">
        <v>57.95</v>
      </c>
      <c r="J3132">
        <v>57.95</v>
      </c>
      <c r="K3132">
        <v>0</v>
      </c>
      <c r="L3132">
        <v>11</v>
      </c>
      <c r="M3132">
        <v>0</v>
      </c>
      <c r="N3132">
        <v>9</v>
      </c>
      <c r="O3132" t="s">
        <v>53</v>
      </c>
      <c r="P3132" t="s">
        <v>53</v>
      </c>
      <c r="Q3132" t="s">
        <v>53</v>
      </c>
    </row>
    <row r="3133" spans="1:17" x14ac:dyDescent="0.2">
      <c r="A3133" s="30" t="str">
        <f>IF(C3133&amp;G3133&amp;D3133&lt;&gt;'Funnel setup'!$K$3&amp;'Funnel setup'!$K$4&amp;'Funnel setup'!$K$5,".",IF(A3132=".",1,A3132+1))</f>
        <v>.</v>
      </c>
      <c r="B3133" s="431" t="str">
        <f t="shared" si="48"/>
        <v>Hip Replacement RevisionProviderDORSET COUNTY HOSPITAL NHS FOUNDATION TRUST (RBD)EQ VAS</v>
      </c>
      <c r="C3133" t="s">
        <v>247</v>
      </c>
      <c r="D3133" t="s">
        <v>1</v>
      </c>
      <c r="E3133" t="s">
        <v>3802</v>
      </c>
      <c r="F3133" t="s">
        <v>3803</v>
      </c>
      <c r="G3133" t="s">
        <v>179</v>
      </c>
      <c r="H3133">
        <v>12</v>
      </c>
      <c r="I3133">
        <v>55.417000000000002</v>
      </c>
      <c r="J3133">
        <v>77.082999999999998</v>
      </c>
      <c r="K3133">
        <v>21.667000000000002</v>
      </c>
      <c r="L3133">
        <v>9</v>
      </c>
      <c r="M3133">
        <v>2</v>
      </c>
      <c r="N3133">
        <v>1</v>
      </c>
      <c r="O3133" t="s">
        <v>53</v>
      </c>
      <c r="P3133" t="s">
        <v>53</v>
      </c>
      <c r="Q3133" t="s">
        <v>53</v>
      </c>
    </row>
    <row r="3134" spans="1:17" x14ac:dyDescent="0.2">
      <c r="A3134" s="30" t="str">
        <f>IF(C3134&amp;G3134&amp;D3134&lt;&gt;'Funnel setup'!$K$3&amp;'Funnel setup'!$K$4&amp;'Funnel setup'!$K$5,".",IF(A3133=".",1,A3133+1))</f>
        <v>.</v>
      </c>
      <c r="B3134" s="431" t="str">
        <f t="shared" si="48"/>
        <v>Hip Replacement RevisionProviderDUCHY HOSPITAL (NVC04)EQ VAS</v>
      </c>
      <c r="C3134" t="s">
        <v>247</v>
      </c>
      <c r="D3134" t="s">
        <v>1</v>
      </c>
      <c r="E3134" t="s">
        <v>4518</v>
      </c>
      <c r="F3134" t="s">
        <v>4519</v>
      </c>
      <c r="G3134" t="s">
        <v>179</v>
      </c>
      <c r="H3134">
        <v>15</v>
      </c>
      <c r="I3134">
        <v>71.466999999999999</v>
      </c>
      <c r="J3134">
        <v>76.400000000000006</v>
      </c>
      <c r="K3134">
        <v>4.9329999999999998</v>
      </c>
      <c r="L3134">
        <v>9</v>
      </c>
      <c r="M3134">
        <v>1</v>
      </c>
      <c r="N3134">
        <v>5</v>
      </c>
      <c r="O3134" t="s">
        <v>53</v>
      </c>
      <c r="P3134" t="s">
        <v>53</v>
      </c>
      <c r="Q3134" t="s">
        <v>53</v>
      </c>
    </row>
    <row r="3135" spans="1:17" x14ac:dyDescent="0.2">
      <c r="A3135" s="30" t="str">
        <f>IF(C3135&amp;G3135&amp;D3135&lt;&gt;'Funnel setup'!$K$3&amp;'Funnel setup'!$K$4&amp;'Funnel setup'!$K$5,".",IF(A3134=".",1,A3134+1))</f>
        <v>.</v>
      </c>
      <c r="B3135" s="431" t="str">
        <f t="shared" si="48"/>
        <v>Hip Replacement RevisionProviderEAST AND NORTH HERTFORDSHIRE NHS TRUST (RWH)EQ VAS</v>
      </c>
      <c r="C3135" t="s">
        <v>247</v>
      </c>
      <c r="D3135" t="s">
        <v>1</v>
      </c>
      <c r="E3135" t="s">
        <v>3814</v>
      </c>
      <c r="F3135" t="s">
        <v>3815</v>
      </c>
      <c r="G3135" t="s">
        <v>179</v>
      </c>
      <c r="H3135">
        <v>14</v>
      </c>
      <c r="I3135">
        <v>59.929000000000002</v>
      </c>
      <c r="J3135">
        <v>64.856999999999999</v>
      </c>
      <c r="K3135">
        <v>4.9290000000000003</v>
      </c>
      <c r="L3135">
        <v>8</v>
      </c>
      <c r="M3135">
        <v>1</v>
      </c>
      <c r="N3135">
        <v>5</v>
      </c>
      <c r="O3135" t="s">
        <v>53</v>
      </c>
      <c r="P3135" t="s">
        <v>53</v>
      </c>
      <c r="Q3135" t="s">
        <v>53</v>
      </c>
    </row>
    <row r="3136" spans="1:17" x14ac:dyDescent="0.2">
      <c r="A3136" s="30" t="str">
        <f>IF(C3136&amp;G3136&amp;D3136&lt;&gt;'Funnel setup'!$K$3&amp;'Funnel setup'!$K$4&amp;'Funnel setup'!$K$5,".",IF(A3135=".",1,A3135+1))</f>
        <v>.</v>
      </c>
      <c r="B3136" s="431" t="str">
        <f t="shared" si="48"/>
        <v>Hip Replacement RevisionProviderEAST CHESHIRE NHS TRUST (RJN)EQ VAS</v>
      </c>
      <c r="C3136" t="s">
        <v>247</v>
      </c>
      <c r="D3136" t="s">
        <v>1</v>
      </c>
      <c r="E3136" t="s">
        <v>3817</v>
      </c>
      <c r="F3136" t="s">
        <v>3818</v>
      </c>
      <c r="G3136" t="s">
        <v>179</v>
      </c>
      <c r="H3136" t="s">
        <v>53</v>
      </c>
      <c r="I3136" t="s">
        <v>53</v>
      </c>
      <c r="J3136" t="s">
        <v>53</v>
      </c>
      <c r="K3136" t="s">
        <v>53</v>
      </c>
      <c r="L3136" t="s">
        <v>53</v>
      </c>
      <c r="M3136" t="s">
        <v>53</v>
      </c>
      <c r="N3136" t="s">
        <v>53</v>
      </c>
      <c r="O3136" t="s">
        <v>53</v>
      </c>
      <c r="P3136" t="s">
        <v>53</v>
      </c>
      <c r="Q3136" t="s">
        <v>53</v>
      </c>
    </row>
    <row r="3137" spans="1:17" x14ac:dyDescent="0.2">
      <c r="A3137" s="30" t="str">
        <f>IF(C3137&amp;G3137&amp;D3137&lt;&gt;'Funnel setup'!$K$3&amp;'Funnel setup'!$K$4&amp;'Funnel setup'!$K$5,".",IF(A3136=".",1,A3136+1))</f>
        <v>.</v>
      </c>
      <c r="B3137" s="431" t="str">
        <f t="shared" si="48"/>
        <v>Hip Replacement RevisionProviderEAST KENT HOSPITALS UNIVERSITY NHS FOUNDATION TRUST (RVV)EQ VAS</v>
      </c>
      <c r="C3137" t="s">
        <v>247</v>
      </c>
      <c r="D3137" t="s">
        <v>1</v>
      </c>
      <c r="E3137" t="s">
        <v>3820</v>
      </c>
      <c r="F3137" t="s">
        <v>3821</v>
      </c>
      <c r="G3137" t="s">
        <v>179</v>
      </c>
      <c r="H3137">
        <v>35</v>
      </c>
      <c r="I3137">
        <v>62.429000000000002</v>
      </c>
      <c r="J3137">
        <v>68.599999999999994</v>
      </c>
      <c r="K3137">
        <v>6.1710000000000003</v>
      </c>
      <c r="L3137">
        <v>15</v>
      </c>
      <c r="M3137">
        <v>7</v>
      </c>
      <c r="N3137">
        <v>13</v>
      </c>
      <c r="O3137">
        <v>69.379000000000005</v>
      </c>
      <c r="P3137">
        <v>4.6088408149999998</v>
      </c>
      <c r="Q3137">
        <v>18.312000000000001</v>
      </c>
    </row>
    <row r="3138" spans="1:17" x14ac:dyDescent="0.2">
      <c r="A3138" s="30" t="str">
        <f>IF(C3138&amp;G3138&amp;D3138&lt;&gt;'Funnel setup'!$K$3&amp;'Funnel setup'!$K$4&amp;'Funnel setup'!$K$5,".",IF(A3137=".",1,A3137+1))</f>
        <v>.</v>
      </c>
      <c r="B3138" s="431" t="str">
        <f t="shared" si="48"/>
        <v>Hip Replacement RevisionProviderEAST LANCASHIRE HOSPITALS NHS TRUST (RXR)EQ VAS</v>
      </c>
      <c r="C3138" t="s">
        <v>247</v>
      </c>
      <c r="D3138" t="s">
        <v>1</v>
      </c>
      <c r="E3138" t="s">
        <v>3823</v>
      </c>
      <c r="F3138" t="s">
        <v>3824</v>
      </c>
      <c r="G3138" t="s">
        <v>179</v>
      </c>
      <c r="H3138">
        <v>12</v>
      </c>
      <c r="I3138">
        <v>54.75</v>
      </c>
      <c r="J3138">
        <v>59.5</v>
      </c>
      <c r="K3138">
        <v>4.75</v>
      </c>
      <c r="L3138">
        <v>5</v>
      </c>
      <c r="M3138">
        <v>5</v>
      </c>
      <c r="N3138">
        <v>2</v>
      </c>
      <c r="O3138" t="s">
        <v>53</v>
      </c>
      <c r="P3138" t="s">
        <v>53</v>
      </c>
      <c r="Q3138" t="s">
        <v>53</v>
      </c>
    </row>
    <row r="3139" spans="1:17" x14ac:dyDescent="0.2">
      <c r="A3139" s="30" t="str">
        <f>IF(C3139&amp;G3139&amp;D3139&lt;&gt;'Funnel setup'!$K$3&amp;'Funnel setup'!$K$4&amp;'Funnel setup'!$K$5,".",IF(A3138=".",1,A3138+1))</f>
        <v>.</v>
      </c>
      <c r="B3139" s="431" t="str">
        <f t="shared" ref="B3139:B3202" si="49">C3139&amp;D3139&amp;F3139&amp;G3139</f>
        <v>Hip Replacement RevisionProviderEAST SUSSEX HEALTHCARE NHS TRUST (RXC)EQ VAS</v>
      </c>
      <c r="C3139" t="s">
        <v>247</v>
      </c>
      <c r="D3139" t="s">
        <v>1</v>
      </c>
      <c r="E3139" t="s">
        <v>3826</v>
      </c>
      <c r="F3139" t="s">
        <v>3827</v>
      </c>
      <c r="G3139" t="s">
        <v>179</v>
      </c>
      <c r="H3139">
        <v>25</v>
      </c>
      <c r="I3139">
        <v>68.08</v>
      </c>
      <c r="J3139">
        <v>71.319999999999993</v>
      </c>
      <c r="K3139">
        <v>3.24</v>
      </c>
      <c r="L3139">
        <v>14</v>
      </c>
      <c r="M3139">
        <v>4</v>
      </c>
      <c r="N3139">
        <v>7</v>
      </c>
      <c r="O3139" t="s">
        <v>53</v>
      </c>
      <c r="P3139" t="s">
        <v>53</v>
      </c>
      <c r="Q3139" t="s">
        <v>53</v>
      </c>
    </row>
    <row r="3140" spans="1:17" x14ac:dyDescent="0.2">
      <c r="A3140" s="30" t="str">
        <f>IF(C3140&amp;G3140&amp;D3140&lt;&gt;'Funnel setup'!$K$3&amp;'Funnel setup'!$K$4&amp;'Funnel setup'!$K$5,".",IF(A3139=".",1,A3139+1))</f>
        <v>.</v>
      </c>
      <c r="B3140" s="431" t="str">
        <f t="shared" si="49"/>
        <v>Hip Replacement RevisionProviderEMERSONS GREEN NHS TREATMENT CENTRE (NTPH2)EQ VAS</v>
      </c>
      <c r="C3140" t="s">
        <v>247</v>
      </c>
      <c r="D3140" t="s">
        <v>1</v>
      </c>
      <c r="E3140" t="s">
        <v>3829</v>
      </c>
      <c r="F3140" t="s">
        <v>3830</v>
      </c>
      <c r="G3140" t="s">
        <v>179</v>
      </c>
      <c r="H3140">
        <v>6</v>
      </c>
      <c r="I3140">
        <v>58.332999999999998</v>
      </c>
      <c r="J3140">
        <v>74.167000000000002</v>
      </c>
      <c r="K3140">
        <v>15.833</v>
      </c>
      <c r="L3140">
        <v>4</v>
      </c>
      <c r="M3140">
        <v>0</v>
      </c>
      <c r="N3140">
        <v>2</v>
      </c>
      <c r="O3140" t="s">
        <v>53</v>
      </c>
      <c r="P3140" t="s">
        <v>53</v>
      </c>
      <c r="Q3140" t="s">
        <v>53</v>
      </c>
    </row>
    <row r="3141" spans="1:17" x14ac:dyDescent="0.2">
      <c r="A3141" s="30" t="str">
        <f>IF(C3141&amp;G3141&amp;D3141&lt;&gt;'Funnel setup'!$K$3&amp;'Funnel setup'!$K$4&amp;'Funnel setup'!$K$5,".",IF(A3140=".",1,A3140+1))</f>
        <v>.</v>
      </c>
      <c r="B3141" s="431" t="str">
        <f t="shared" si="49"/>
        <v>Hip Replacement RevisionProviderEPSOM AND ST HELIER UNIVERSITY HOSPITALS NHS TRUST (RVR)EQ VAS</v>
      </c>
      <c r="C3141" t="s">
        <v>247</v>
      </c>
      <c r="D3141" t="s">
        <v>1</v>
      </c>
      <c r="E3141" t="s">
        <v>3849</v>
      </c>
      <c r="F3141" t="s">
        <v>3850</v>
      </c>
      <c r="G3141" t="s">
        <v>179</v>
      </c>
      <c r="H3141">
        <v>45</v>
      </c>
      <c r="I3141">
        <v>67.822000000000003</v>
      </c>
      <c r="J3141">
        <v>73.489000000000004</v>
      </c>
      <c r="K3141">
        <v>5.6669999999999998</v>
      </c>
      <c r="L3141">
        <v>26</v>
      </c>
      <c r="M3141">
        <v>5</v>
      </c>
      <c r="N3141">
        <v>14</v>
      </c>
      <c r="O3141">
        <v>71.328999999999994</v>
      </c>
      <c r="P3141">
        <v>6.5590085680000003</v>
      </c>
      <c r="Q3141">
        <v>14.914999999999999</v>
      </c>
    </row>
    <row r="3142" spans="1:17" x14ac:dyDescent="0.2">
      <c r="A3142" s="30" t="str">
        <f>IF(C3142&amp;G3142&amp;D3142&lt;&gt;'Funnel setup'!$K$3&amp;'Funnel setup'!$K$4&amp;'Funnel setup'!$K$5,".",IF(A3141=".",1,A3141+1))</f>
        <v>.</v>
      </c>
      <c r="B3142" s="431" t="str">
        <f t="shared" si="49"/>
        <v>Hip Replacement RevisionProviderFITZWILLIAM HOSPITAL (NVC06)EQ VAS</v>
      </c>
      <c r="C3142" t="s">
        <v>247</v>
      </c>
      <c r="D3142" t="s">
        <v>1</v>
      </c>
      <c r="E3142" t="s">
        <v>3858</v>
      </c>
      <c r="F3142" t="s">
        <v>3859</v>
      </c>
      <c r="G3142" t="s">
        <v>179</v>
      </c>
      <c r="H3142" t="s">
        <v>53</v>
      </c>
      <c r="I3142" t="s">
        <v>53</v>
      </c>
      <c r="J3142" t="s">
        <v>53</v>
      </c>
      <c r="K3142" t="s">
        <v>53</v>
      </c>
      <c r="L3142" t="s">
        <v>53</v>
      </c>
      <c r="M3142" t="s">
        <v>53</v>
      </c>
      <c r="N3142" t="s">
        <v>53</v>
      </c>
      <c r="O3142" t="s">
        <v>53</v>
      </c>
      <c r="P3142" t="s">
        <v>53</v>
      </c>
      <c r="Q3142" t="s">
        <v>53</v>
      </c>
    </row>
    <row r="3143" spans="1:17" x14ac:dyDescent="0.2">
      <c r="A3143" s="30" t="str">
        <f>IF(C3143&amp;G3143&amp;D3143&lt;&gt;'Funnel setup'!$K$3&amp;'Funnel setup'!$K$4&amp;'Funnel setup'!$K$5,".",IF(A3142=".",1,A3142+1))</f>
        <v>.</v>
      </c>
      <c r="B3143" s="431" t="str">
        <f t="shared" si="49"/>
        <v>Hip Replacement RevisionProviderFRIMLEY HEALTH NHS FOUNDATION TRUST (RDU)EQ VAS</v>
      </c>
      <c r="C3143" t="s">
        <v>247</v>
      </c>
      <c r="D3143" t="s">
        <v>1</v>
      </c>
      <c r="E3143" t="s">
        <v>3861</v>
      </c>
      <c r="F3143" t="s">
        <v>3862</v>
      </c>
      <c r="G3143" t="s">
        <v>179</v>
      </c>
      <c r="H3143">
        <v>33</v>
      </c>
      <c r="I3143">
        <v>64.879000000000005</v>
      </c>
      <c r="J3143">
        <v>70.575999999999993</v>
      </c>
      <c r="K3143">
        <v>5.6970000000000001</v>
      </c>
      <c r="L3143">
        <v>20</v>
      </c>
      <c r="M3143">
        <v>1</v>
      </c>
      <c r="N3143">
        <v>12</v>
      </c>
      <c r="O3143">
        <v>69.784999999999997</v>
      </c>
      <c r="P3143">
        <v>5.0143281909999997</v>
      </c>
      <c r="Q3143">
        <v>19.309000000000001</v>
      </c>
    </row>
    <row r="3144" spans="1:17" x14ac:dyDescent="0.2">
      <c r="A3144" s="30" t="str">
        <f>IF(C3144&amp;G3144&amp;D3144&lt;&gt;'Funnel setup'!$K$3&amp;'Funnel setup'!$K$4&amp;'Funnel setup'!$K$5,".",IF(A3143=".",1,A3143+1))</f>
        <v>.</v>
      </c>
      <c r="B3144" s="431" t="str">
        <f t="shared" si="49"/>
        <v>Hip Replacement RevisionProviderFULWOOD HALL HOSPITAL (NVC07)EQ VAS</v>
      </c>
      <c r="C3144" t="s">
        <v>247</v>
      </c>
      <c r="D3144" t="s">
        <v>1</v>
      </c>
      <c r="E3144" t="s">
        <v>3864</v>
      </c>
      <c r="F3144" t="s">
        <v>3865</v>
      </c>
      <c r="G3144" t="s">
        <v>179</v>
      </c>
      <c r="H3144" t="s">
        <v>53</v>
      </c>
      <c r="I3144" t="s">
        <v>53</v>
      </c>
      <c r="J3144" t="s">
        <v>53</v>
      </c>
      <c r="K3144" t="s">
        <v>53</v>
      </c>
      <c r="L3144" t="s">
        <v>53</v>
      </c>
      <c r="M3144" t="s">
        <v>53</v>
      </c>
      <c r="N3144" t="s">
        <v>53</v>
      </c>
      <c r="O3144" t="s">
        <v>53</v>
      </c>
      <c r="P3144" t="s">
        <v>53</v>
      </c>
      <c r="Q3144" t="s">
        <v>53</v>
      </c>
    </row>
    <row r="3145" spans="1:17" x14ac:dyDescent="0.2">
      <c r="A3145" s="30" t="str">
        <f>IF(C3145&amp;G3145&amp;D3145&lt;&gt;'Funnel setup'!$K$3&amp;'Funnel setup'!$K$4&amp;'Funnel setup'!$K$5,".",IF(A3144=".",1,A3144+1))</f>
        <v>.</v>
      </c>
      <c r="B3145" s="431" t="str">
        <f t="shared" si="49"/>
        <v>Hip Replacement RevisionProviderGATESHEAD HEALTH NHS FOUNDATION TRUST (RR7)EQ VAS</v>
      </c>
      <c r="C3145" t="s">
        <v>247</v>
      </c>
      <c r="D3145" t="s">
        <v>1</v>
      </c>
      <c r="E3145" t="s">
        <v>3867</v>
      </c>
      <c r="F3145" t="s">
        <v>3868</v>
      </c>
      <c r="G3145" t="s">
        <v>179</v>
      </c>
      <c r="H3145">
        <v>9</v>
      </c>
      <c r="I3145">
        <v>74.332999999999998</v>
      </c>
      <c r="J3145">
        <v>69.667000000000002</v>
      </c>
      <c r="K3145">
        <v>-4.6669999999999998</v>
      </c>
      <c r="L3145">
        <v>2</v>
      </c>
      <c r="M3145">
        <v>3</v>
      </c>
      <c r="N3145">
        <v>4</v>
      </c>
      <c r="O3145" t="s">
        <v>53</v>
      </c>
      <c r="P3145" t="s">
        <v>53</v>
      </c>
      <c r="Q3145" t="s">
        <v>53</v>
      </c>
    </row>
    <row r="3146" spans="1:17" x14ac:dyDescent="0.2">
      <c r="A3146" s="30" t="str">
        <f>IF(C3146&amp;G3146&amp;D3146&lt;&gt;'Funnel setup'!$K$3&amp;'Funnel setup'!$K$4&amp;'Funnel setup'!$K$5,".",IF(A3145=".",1,A3145+1))</f>
        <v>.</v>
      </c>
      <c r="B3146" s="431" t="str">
        <f t="shared" si="49"/>
        <v>Hip Replacement RevisionProviderGEORGE ELIOT HOSPITAL NHS TRUST (RLT)EQ VAS</v>
      </c>
      <c r="C3146" t="s">
        <v>247</v>
      </c>
      <c r="D3146" t="s">
        <v>1</v>
      </c>
      <c r="E3146" t="s">
        <v>3870</v>
      </c>
      <c r="F3146" t="s">
        <v>3871</v>
      </c>
      <c r="G3146" t="s">
        <v>179</v>
      </c>
      <c r="H3146" t="s">
        <v>53</v>
      </c>
      <c r="I3146" t="s">
        <v>53</v>
      </c>
      <c r="J3146" t="s">
        <v>53</v>
      </c>
      <c r="K3146" t="s">
        <v>53</v>
      </c>
      <c r="L3146" t="s">
        <v>53</v>
      </c>
      <c r="M3146" t="s">
        <v>53</v>
      </c>
      <c r="N3146" t="s">
        <v>53</v>
      </c>
      <c r="O3146" t="s">
        <v>53</v>
      </c>
      <c r="P3146" t="s">
        <v>53</v>
      </c>
      <c r="Q3146" t="s">
        <v>53</v>
      </c>
    </row>
    <row r="3147" spans="1:17" x14ac:dyDescent="0.2">
      <c r="A3147" s="30" t="str">
        <f>IF(C3147&amp;G3147&amp;D3147&lt;&gt;'Funnel setup'!$K$3&amp;'Funnel setup'!$K$4&amp;'Funnel setup'!$K$5,".",IF(A3146=".",1,A3146+1))</f>
        <v>.</v>
      </c>
      <c r="B3147" s="431" t="str">
        <f t="shared" si="49"/>
        <v>Hip Replacement RevisionProviderGLOUCESTERSHIRE HOSPITALS NHS FOUNDATION TRUST (RTE)EQ VAS</v>
      </c>
      <c r="C3147" t="s">
        <v>247</v>
      </c>
      <c r="D3147" t="s">
        <v>1</v>
      </c>
      <c r="E3147" t="s">
        <v>3873</v>
      </c>
      <c r="F3147" t="s">
        <v>3874</v>
      </c>
      <c r="G3147" t="s">
        <v>179</v>
      </c>
      <c r="H3147">
        <v>36</v>
      </c>
      <c r="I3147">
        <v>60.75</v>
      </c>
      <c r="J3147">
        <v>64.417000000000002</v>
      </c>
      <c r="K3147">
        <v>3.6669999999999998</v>
      </c>
      <c r="L3147">
        <v>19</v>
      </c>
      <c r="M3147">
        <v>3</v>
      </c>
      <c r="N3147">
        <v>14</v>
      </c>
      <c r="O3147">
        <v>65.369</v>
      </c>
      <c r="P3147">
        <v>0.598253272</v>
      </c>
      <c r="Q3147">
        <v>21.370999999999999</v>
      </c>
    </row>
    <row r="3148" spans="1:17" x14ac:dyDescent="0.2">
      <c r="A3148" s="30" t="str">
        <f>IF(C3148&amp;G3148&amp;D3148&lt;&gt;'Funnel setup'!$K$3&amp;'Funnel setup'!$K$4&amp;'Funnel setup'!$K$5,".",IF(A3147=".",1,A3147+1))</f>
        <v>.</v>
      </c>
      <c r="B3148" s="431" t="str">
        <f t="shared" si="49"/>
        <v>Hip Replacement RevisionProviderGREAT WESTERN HOSPITALS NHS FOUNDATION TRUST (RN3)EQ VAS</v>
      </c>
      <c r="C3148" t="s">
        <v>247</v>
      </c>
      <c r="D3148" t="s">
        <v>1</v>
      </c>
      <c r="E3148" t="s">
        <v>3876</v>
      </c>
      <c r="F3148" t="s">
        <v>3877</v>
      </c>
      <c r="G3148" t="s">
        <v>179</v>
      </c>
      <c r="H3148">
        <v>12</v>
      </c>
      <c r="I3148">
        <v>68.332999999999998</v>
      </c>
      <c r="J3148">
        <v>70.667000000000002</v>
      </c>
      <c r="K3148">
        <v>2.3330000000000002</v>
      </c>
      <c r="L3148">
        <v>5</v>
      </c>
      <c r="M3148">
        <v>2</v>
      </c>
      <c r="N3148">
        <v>5</v>
      </c>
      <c r="O3148" t="s">
        <v>53</v>
      </c>
      <c r="P3148" t="s">
        <v>53</v>
      </c>
      <c r="Q3148" t="s">
        <v>53</v>
      </c>
    </row>
    <row r="3149" spans="1:17" x14ac:dyDescent="0.2">
      <c r="A3149" s="30" t="str">
        <f>IF(C3149&amp;G3149&amp;D3149&lt;&gt;'Funnel setup'!$K$3&amp;'Funnel setup'!$K$4&amp;'Funnel setup'!$K$5,".",IF(A3148=".",1,A3148+1))</f>
        <v>.</v>
      </c>
      <c r="B3149" s="431" t="str">
        <f t="shared" si="49"/>
        <v>Hip Replacement RevisionProviderGUY'S AND ST THOMAS' NHS FOUNDATION TRUST (RJ1)EQ VAS</v>
      </c>
      <c r="C3149" t="s">
        <v>247</v>
      </c>
      <c r="D3149" t="s">
        <v>1</v>
      </c>
      <c r="E3149" t="s">
        <v>3879</v>
      </c>
      <c r="F3149" t="s">
        <v>3880</v>
      </c>
      <c r="G3149" t="s">
        <v>179</v>
      </c>
      <c r="H3149">
        <v>14</v>
      </c>
      <c r="I3149">
        <v>64.429000000000002</v>
      </c>
      <c r="J3149">
        <v>70.286000000000001</v>
      </c>
      <c r="K3149">
        <v>5.8570000000000002</v>
      </c>
      <c r="L3149">
        <v>9</v>
      </c>
      <c r="M3149">
        <v>1</v>
      </c>
      <c r="N3149">
        <v>4</v>
      </c>
      <c r="O3149" t="s">
        <v>53</v>
      </c>
      <c r="P3149" t="s">
        <v>53</v>
      </c>
      <c r="Q3149" t="s">
        <v>53</v>
      </c>
    </row>
    <row r="3150" spans="1:17" x14ac:dyDescent="0.2">
      <c r="A3150" s="30" t="str">
        <f>IF(C3150&amp;G3150&amp;D3150&lt;&gt;'Funnel setup'!$K$3&amp;'Funnel setup'!$K$4&amp;'Funnel setup'!$K$5,".",IF(A3149=".",1,A3149+1))</f>
        <v>.</v>
      </c>
      <c r="B3150" s="431" t="str">
        <f t="shared" si="49"/>
        <v>Hip Replacement RevisionProviderHAMPSHIRE HOSPITALS NHS FOUNDATION TRUST (RN5)EQ VAS</v>
      </c>
      <c r="C3150" t="s">
        <v>247</v>
      </c>
      <c r="D3150" t="s">
        <v>1</v>
      </c>
      <c r="E3150" t="s">
        <v>3882</v>
      </c>
      <c r="F3150" t="s">
        <v>3883</v>
      </c>
      <c r="G3150" t="s">
        <v>179</v>
      </c>
      <c r="H3150">
        <v>22</v>
      </c>
      <c r="I3150">
        <v>69.909000000000006</v>
      </c>
      <c r="J3150">
        <v>72.272999999999996</v>
      </c>
      <c r="K3150">
        <v>2.3639999999999999</v>
      </c>
      <c r="L3150">
        <v>9</v>
      </c>
      <c r="M3150">
        <v>5</v>
      </c>
      <c r="N3150">
        <v>8</v>
      </c>
      <c r="O3150" t="s">
        <v>53</v>
      </c>
      <c r="P3150" t="s">
        <v>53</v>
      </c>
      <c r="Q3150" t="s">
        <v>53</v>
      </c>
    </row>
    <row r="3151" spans="1:17" x14ac:dyDescent="0.2">
      <c r="A3151" s="30" t="str">
        <f>IF(C3151&amp;G3151&amp;D3151&lt;&gt;'Funnel setup'!$K$3&amp;'Funnel setup'!$K$4&amp;'Funnel setup'!$K$5,".",IF(A3150=".",1,A3150+1))</f>
        <v>.</v>
      </c>
      <c r="B3151" s="431" t="str">
        <f t="shared" si="49"/>
        <v>Hip Replacement RevisionProviderHARROGATE AND DISTRICT NHS FOUNDATION TRUST (RCD)EQ VAS</v>
      </c>
      <c r="C3151" t="s">
        <v>247</v>
      </c>
      <c r="D3151" t="s">
        <v>1</v>
      </c>
      <c r="E3151" t="s">
        <v>3885</v>
      </c>
      <c r="F3151" t="s">
        <v>3886</v>
      </c>
      <c r="G3151" t="s">
        <v>179</v>
      </c>
      <c r="H3151">
        <v>8</v>
      </c>
      <c r="I3151">
        <v>58.625</v>
      </c>
      <c r="J3151">
        <v>65</v>
      </c>
      <c r="K3151">
        <v>6.375</v>
      </c>
      <c r="L3151">
        <v>5</v>
      </c>
      <c r="M3151">
        <v>0</v>
      </c>
      <c r="N3151">
        <v>3</v>
      </c>
      <c r="O3151" t="s">
        <v>53</v>
      </c>
      <c r="P3151" t="s">
        <v>53</v>
      </c>
      <c r="Q3151" t="s">
        <v>53</v>
      </c>
    </row>
    <row r="3152" spans="1:17" x14ac:dyDescent="0.2">
      <c r="A3152" s="30" t="str">
        <f>IF(C3152&amp;G3152&amp;D3152&lt;&gt;'Funnel setup'!$K$3&amp;'Funnel setup'!$K$4&amp;'Funnel setup'!$K$5,".",IF(A3151=".",1,A3151+1))</f>
        <v>.</v>
      </c>
      <c r="B3152" s="431" t="str">
        <f t="shared" si="49"/>
        <v>Hip Replacement RevisionProviderHEART OF ENGLAND NHS FOUNDATION TRUST (RR1)EQ VAS</v>
      </c>
      <c r="C3152" t="s">
        <v>247</v>
      </c>
      <c r="D3152" t="s">
        <v>1</v>
      </c>
      <c r="E3152" t="s">
        <v>3888</v>
      </c>
      <c r="F3152" t="s">
        <v>3889</v>
      </c>
      <c r="G3152" t="s">
        <v>179</v>
      </c>
      <c r="H3152">
        <v>18</v>
      </c>
      <c r="I3152">
        <v>54.444000000000003</v>
      </c>
      <c r="J3152">
        <v>55.889000000000003</v>
      </c>
      <c r="K3152">
        <v>1.444</v>
      </c>
      <c r="L3152">
        <v>8</v>
      </c>
      <c r="M3152">
        <v>2</v>
      </c>
      <c r="N3152">
        <v>8</v>
      </c>
      <c r="O3152" t="s">
        <v>53</v>
      </c>
      <c r="P3152" t="s">
        <v>53</v>
      </c>
      <c r="Q3152" t="s">
        <v>53</v>
      </c>
    </row>
    <row r="3153" spans="1:17" x14ac:dyDescent="0.2">
      <c r="A3153" s="30" t="str">
        <f>IF(C3153&amp;G3153&amp;D3153&lt;&gt;'Funnel setup'!$K$3&amp;'Funnel setup'!$K$4&amp;'Funnel setup'!$K$5,".",IF(A3152=".",1,A3152+1))</f>
        <v>.</v>
      </c>
      <c r="B3153" s="431" t="str">
        <f t="shared" si="49"/>
        <v>Hip Replacement RevisionProviderHINCHINGBROOKE HEALTH CARE NHS TRUST (RQQ)EQ VAS</v>
      </c>
      <c r="C3153" t="s">
        <v>247</v>
      </c>
      <c r="D3153" t="s">
        <v>1</v>
      </c>
      <c r="E3153" t="s">
        <v>3894</v>
      </c>
      <c r="F3153" t="s">
        <v>3895</v>
      </c>
      <c r="G3153" t="s">
        <v>179</v>
      </c>
      <c r="H3153">
        <v>20</v>
      </c>
      <c r="I3153">
        <v>71.55</v>
      </c>
      <c r="J3153">
        <v>76</v>
      </c>
      <c r="K3153">
        <v>4.45</v>
      </c>
      <c r="L3153">
        <v>9</v>
      </c>
      <c r="M3153">
        <v>5</v>
      </c>
      <c r="N3153">
        <v>6</v>
      </c>
      <c r="O3153" t="s">
        <v>53</v>
      </c>
      <c r="P3153" t="s">
        <v>53</v>
      </c>
      <c r="Q3153" t="s">
        <v>53</v>
      </c>
    </row>
    <row r="3154" spans="1:17" x14ac:dyDescent="0.2">
      <c r="A3154" s="30" t="str">
        <f>IF(C3154&amp;G3154&amp;D3154&lt;&gt;'Funnel setup'!$K$3&amp;'Funnel setup'!$K$4&amp;'Funnel setup'!$K$5,".",IF(A3153=".",1,A3153+1))</f>
        <v>.</v>
      </c>
      <c r="B3154" s="431" t="str">
        <f t="shared" si="49"/>
        <v>Hip Replacement RevisionProviderHOMERTON UNIVERSITY HOSPITAL NHS FOUNDATION TRUST (RQX)EQ VAS</v>
      </c>
      <c r="C3154" t="s">
        <v>247</v>
      </c>
      <c r="D3154" t="s">
        <v>1</v>
      </c>
      <c r="E3154" t="s">
        <v>3897</v>
      </c>
      <c r="F3154" t="s">
        <v>3898</v>
      </c>
      <c r="G3154" t="s">
        <v>179</v>
      </c>
      <c r="H3154" t="s">
        <v>53</v>
      </c>
      <c r="I3154" t="s">
        <v>53</v>
      </c>
      <c r="J3154" t="s">
        <v>53</v>
      </c>
      <c r="K3154" t="s">
        <v>53</v>
      </c>
      <c r="L3154" t="s">
        <v>53</v>
      </c>
      <c r="M3154" t="s">
        <v>53</v>
      </c>
      <c r="N3154" t="s">
        <v>53</v>
      </c>
      <c r="O3154" t="s">
        <v>53</v>
      </c>
      <c r="P3154" t="s">
        <v>53</v>
      </c>
      <c r="Q3154" t="s">
        <v>53</v>
      </c>
    </row>
    <row r="3155" spans="1:17" x14ac:dyDescent="0.2">
      <c r="A3155" s="30" t="str">
        <f>IF(C3155&amp;G3155&amp;D3155&lt;&gt;'Funnel setup'!$K$3&amp;'Funnel setup'!$K$4&amp;'Funnel setup'!$K$5,".",IF(A3154=".",1,A3154+1))</f>
        <v>.</v>
      </c>
      <c r="B3155" s="431" t="str">
        <f t="shared" si="49"/>
        <v>Hip Replacement RevisionProviderHORTON NHS TREATMENT CENTRE (NVC25)EQ VAS</v>
      </c>
      <c r="C3155" t="s">
        <v>247</v>
      </c>
      <c r="D3155" t="s">
        <v>1</v>
      </c>
      <c r="E3155" t="s">
        <v>4553</v>
      </c>
      <c r="F3155" t="s">
        <v>4554</v>
      </c>
      <c r="G3155" t="s">
        <v>179</v>
      </c>
      <c r="H3155" t="s">
        <v>53</v>
      </c>
      <c r="I3155" t="s">
        <v>53</v>
      </c>
      <c r="J3155" t="s">
        <v>53</v>
      </c>
      <c r="K3155" t="s">
        <v>53</v>
      </c>
      <c r="L3155" t="s">
        <v>53</v>
      </c>
      <c r="M3155" t="s">
        <v>53</v>
      </c>
      <c r="N3155" t="s">
        <v>53</v>
      </c>
      <c r="O3155" t="s">
        <v>53</v>
      </c>
      <c r="P3155" t="s">
        <v>53</v>
      </c>
      <c r="Q3155" t="s">
        <v>53</v>
      </c>
    </row>
    <row r="3156" spans="1:17" x14ac:dyDescent="0.2">
      <c r="A3156" s="30" t="str">
        <f>IF(C3156&amp;G3156&amp;D3156&lt;&gt;'Funnel setup'!$K$3&amp;'Funnel setup'!$K$4&amp;'Funnel setup'!$K$5,".",IF(A3155=".",1,A3155+1))</f>
        <v>.</v>
      </c>
      <c r="B3156" s="431" t="str">
        <f t="shared" si="49"/>
        <v>Hip Replacement RevisionProviderHULL AND EAST YORKSHIRE HOSPITALS NHS TRUST (RWA)EQ VAS</v>
      </c>
      <c r="C3156" t="s">
        <v>247</v>
      </c>
      <c r="D3156" t="s">
        <v>1</v>
      </c>
      <c r="E3156" t="s">
        <v>3906</v>
      </c>
      <c r="F3156" t="s">
        <v>3907</v>
      </c>
      <c r="G3156" t="s">
        <v>179</v>
      </c>
      <c r="H3156">
        <v>20</v>
      </c>
      <c r="I3156">
        <v>62.55</v>
      </c>
      <c r="J3156">
        <v>73.099999999999994</v>
      </c>
      <c r="K3156">
        <v>10.55</v>
      </c>
      <c r="L3156">
        <v>13</v>
      </c>
      <c r="M3156">
        <v>2</v>
      </c>
      <c r="N3156">
        <v>5</v>
      </c>
      <c r="O3156" t="s">
        <v>53</v>
      </c>
      <c r="P3156" t="s">
        <v>53</v>
      </c>
      <c r="Q3156" t="s">
        <v>53</v>
      </c>
    </row>
    <row r="3157" spans="1:17" x14ac:dyDescent="0.2">
      <c r="A3157" s="30" t="str">
        <f>IF(C3157&amp;G3157&amp;D3157&lt;&gt;'Funnel setup'!$K$3&amp;'Funnel setup'!$K$4&amp;'Funnel setup'!$K$5,".",IF(A3156=".",1,A3156+1))</f>
        <v>.</v>
      </c>
      <c r="B3157" s="431" t="str">
        <f t="shared" si="49"/>
        <v>Hip Replacement RevisionProviderIMPERIAL COLLEGE HEALTHCARE NHS TRUST (RYJ)EQ VAS</v>
      </c>
      <c r="C3157" t="s">
        <v>247</v>
      </c>
      <c r="D3157" t="s">
        <v>1</v>
      </c>
      <c r="E3157" t="s">
        <v>4558</v>
      </c>
      <c r="F3157" t="s">
        <v>4559</v>
      </c>
      <c r="G3157" t="s">
        <v>179</v>
      </c>
      <c r="H3157" t="s">
        <v>53</v>
      </c>
      <c r="I3157" t="s">
        <v>53</v>
      </c>
      <c r="J3157" t="s">
        <v>53</v>
      </c>
      <c r="K3157" t="s">
        <v>53</v>
      </c>
      <c r="L3157" t="s">
        <v>53</v>
      </c>
      <c r="M3157" t="s">
        <v>53</v>
      </c>
      <c r="N3157" t="s">
        <v>53</v>
      </c>
      <c r="O3157" t="s">
        <v>53</v>
      </c>
      <c r="P3157" t="s">
        <v>53</v>
      </c>
      <c r="Q3157" t="s">
        <v>53</v>
      </c>
    </row>
    <row r="3158" spans="1:17" x14ac:dyDescent="0.2">
      <c r="A3158" s="30" t="str">
        <f>IF(C3158&amp;G3158&amp;D3158&lt;&gt;'Funnel setup'!$K$3&amp;'Funnel setup'!$K$4&amp;'Funnel setup'!$K$5,".",IF(A3157=".",1,A3157+1))</f>
        <v>.</v>
      </c>
      <c r="B3158" s="431" t="str">
        <f t="shared" si="49"/>
        <v>Hip Replacement RevisionProviderIPSWICH HOSPITAL NHS TRUST (RGQ)EQ VAS</v>
      </c>
      <c r="C3158" t="s">
        <v>247</v>
      </c>
      <c r="D3158" t="s">
        <v>1</v>
      </c>
      <c r="E3158" t="s">
        <v>3909</v>
      </c>
      <c r="F3158" t="s">
        <v>3910</v>
      </c>
      <c r="G3158" t="s">
        <v>179</v>
      </c>
      <c r="H3158">
        <v>8</v>
      </c>
      <c r="I3158">
        <v>58.75</v>
      </c>
      <c r="J3158">
        <v>75.375</v>
      </c>
      <c r="K3158">
        <v>16.625</v>
      </c>
      <c r="L3158">
        <v>5</v>
      </c>
      <c r="M3158">
        <v>1</v>
      </c>
      <c r="N3158">
        <v>2</v>
      </c>
      <c r="O3158" t="s">
        <v>53</v>
      </c>
      <c r="P3158" t="s">
        <v>53</v>
      </c>
      <c r="Q3158" t="s">
        <v>53</v>
      </c>
    </row>
    <row r="3159" spans="1:17" x14ac:dyDescent="0.2">
      <c r="A3159" s="30" t="str">
        <f>IF(C3159&amp;G3159&amp;D3159&lt;&gt;'Funnel setup'!$K$3&amp;'Funnel setup'!$K$4&amp;'Funnel setup'!$K$5,".",IF(A3158=".",1,A3158+1))</f>
        <v>.</v>
      </c>
      <c r="B3159" s="431" t="str">
        <f t="shared" si="49"/>
        <v>Hip Replacement RevisionProviderISLE OF WIGHT NHS TRUST (R1F)EQ VAS</v>
      </c>
      <c r="C3159" t="s">
        <v>247</v>
      </c>
      <c r="D3159" t="s">
        <v>1</v>
      </c>
      <c r="E3159" t="s">
        <v>3912</v>
      </c>
      <c r="F3159" t="s">
        <v>3913</v>
      </c>
      <c r="G3159" t="s">
        <v>179</v>
      </c>
      <c r="H3159" t="s">
        <v>53</v>
      </c>
      <c r="I3159" t="s">
        <v>53</v>
      </c>
      <c r="J3159" t="s">
        <v>53</v>
      </c>
      <c r="K3159" t="s">
        <v>53</v>
      </c>
      <c r="L3159" t="s">
        <v>53</v>
      </c>
      <c r="M3159" t="s">
        <v>53</v>
      </c>
      <c r="N3159" t="s">
        <v>53</v>
      </c>
      <c r="O3159" t="s">
        <v>53</v>
      </c>
      <c r="P3159" t="s">
        <v>53</v>
      </c>
      <c r="Q3159" t="s">
        <v>53</v>
      </c>
    </row>
    <row r="3160" spans="1:17" x14ac:dyDescent="0.2">
      <c r="A3160" s="30" t="str">
        <f>IF(C3160&amp;G3160&amp;D3160&lt;&gt;'Funnel setup'!$K$3&amp;'Funnel setup'!$K$4&amp;'Funnel setup'!$K$5,".",IF(A3159=".",1,A3159+1))</f>
        <v>.</v>
      </c>
      <c r="B3160" s="431" t="str">
        <f t="shared" si="49"/>
        <v>Hip Replacement RevisionProviderJAMES PAGET UNIVERSITY HOSPITALS NHS FOUNDATION TRUST (RGP)EQ VAS</v>
      </c>
      <c r="C3160" t="s">
        <v>247</v>
      </c>
      <c r="D3160" t="s">
        <v>1</v>
      </c>
      <c r="E3160" t="s">
        <v>3915</v>
      </c>
      <c r="F3160" t="s">
        <v>3916</v>
      </c>
      <c r="G3160" t="s">
        <v>179</v>
      </c>
      <c r="H3160" t="s">
        <v>53</v>
      </c>
      <c r="I3160" t="s">
        <v>53</v>
      </c>
      <c r="J3160" t="s">
        <v>53</v>
      </c>
      <c r="K3160" t="s">
        <v>53</v>
      </c>
      <c r="L3160" t="s">
        <v>53</v>
      </c>
      <c r="M3160" t="s">
        <v>53</v>
      </c>
      <c r="N3160" t="s">
        <v>53</v>
      </c>
      <c r="O3160" t="s">
        <v>53</v>
      </c>
      <c r="P3160" t="s">
        <v>53</v>
      </c>
      <c r="Q3160" t="s">
        <v>53</v>
      </c>
    </row>
    <row r="3161" spans="1:17" x14ac:dyDescent="0.2">
      <c r="A3161" s="30" t="str">
        <f>IF(C3161&amp;G3161&amp;D3161&lt;&gt;'Funnel setup'!$K$3&amp;'Funnel setup'!$K$4&amp;'Funnel setup'!$K$5,".",IF(A3160=".",1,A3160+1))</f>
        <v>.</v>
      </c>
      <c r="B3161" s="431" t="str">
        <f t="shared" si="49"/>
        <v>Hip Replacement RevisionProviderKETTERING GENERAL HOSPITAL NHS FOUNDATION TRUST (RNQ)EQ VAS</v>
      </c>
      <c r="C3161" t="s">
        <v>247</v>
      </c>
      <c r="D3161" t="s">
        <v>1</v>
      </c>
      <c r="E3161" t="s">
        <v>3918</v>
      </c>
      <c r="F3161" t="s">
        <v>3919</v>
      </c>
      <c r="G3161" t="s">
        <v>179</v>
      </c>
      <c r="H3161">
        <v>11</v>
      </c>
      <c r="I3161">
        <v>69.364000000000004</v>
      </c>
      <c r="J3161">
        <v>71.817999999999998</v>
      </c>
      <c r="K3161">
        <v>2.4550000000000001</v>
      </c>
      <c r="L3161">
        <v>6</v>
      </c>
      <c r="M3161">
        <v>1</v>
      </c>
      <c r="N3161">
        <v>4</v>
      </c>
      <c r="O3161" t="s">
        <v>53</v>
      </c>
      <c r="P3161" t="s">
        <v>53</v>
      </c>
      <c r="Q3161" t="s">
        <v>53</v>
      </c>
    </row>
    <row r="3162" spans="1:17" x14ac:dyDescent="0.2">
      <c r="A3162" s="30" t="str">
        <f>IF(C3162&amp;G3162&amp;D3162&lt;&gt;'Funnel setup'!$K$3&amp;'Funnel setup'!$K$4&amp;'Funnel setup'!$K$5,".",IF(A3161=".",1,A3161+1))</f>
        <v>.</v>
      </c>
      <c r="B3162" s="431" t="str">
        <f t="shared" si="49"/>
        <v>Hip Replacement RevisionProviderKING'S COLLEGE HOSPITAL NHS FOUNDATION TRUST (RJZ)EQ VAS</v>
      </c>
      <c r="C3162" t="s">
        <v>247</v>
      </c>
      <c r="D3162" t="s">
        <v>1</v>
      </c>
      <c r="E3162" t="s">
        <v>3924</v>
      </c>
      <c r="F3162" t="s">
        <v>3925</v>
      </c>
      <c r="G3162" t="s">
        <v>179</v>
      </c>
      <c r="H3162" t="s">
        <v>53</v>
      </c>
      <c r="I3162" t="s">
        <v>53</v>
      </c>
      <c r="J3162" t="s">
        <v>53</v>
      </c>
      <c r="K3162" t="s">
        <v>53</v>
      </c>
      <c r="L3162" t="s">
        <v>53</v>
      </c>
      <c r="M3162" t="s">
        <v>53</v>
      </c>
      <c r="N3162" t="s">
        <v>53</v>
      </c>
      <c r="O3162" t="s">
        <v>53</v>
      </c>
      <c r="P3162" t="s">
        <v>53</v>
      </c>
      <c r="Q3162" t="s">
        <v>53</v>
      </c>
    </row>
    <row r="3163" spans="1:17" x14ac:dyDescent="0.2">
      <c r="A3163" s="30" t="str">
        <f>IF(C3163&amp;G3163&amp;D3163&lt;&gt;'Funnel setup'!$K$3&amp;'Funnel setup'!$K$4&amp;'Funnel setup'!$K$5,".",IF(A3162=".",1,A3162+1))</f>
        <v>.</v>
      </c>
      <c r="B3163" s="431" t="str">
        <f t="shared" si="49"/>
        <v>Hip Replacement RevisionProviderLANCASHIRE TEACHING HOSPITALS NHS FOUNDATION TRUST (RXN)EQ VAS</v>
      </c>
      <c r="C3163" t="s">
        <v>247</v>
      </c>
      <c r="D3163" t="s">
        <v>1</v>
      </c>
      <c r="E3163" t="s">
        <v>3567</v>
      </c>
      <c r="F3163" t="s">
        <v>3568</v>
      </c>
      <c r="G3163" t="s">
        <v>179</v>
      </c>
      <c r="H3163">
        <v>23</v>
      </c>
      <c r="I3163">
        <v>70.13</v>
      </c>
      <c r="J3163">
        <v>73.652000000000001</v>
      </c>
      <c r="K3163">
        <v>3.5219999999999998</v>
      </c>
      <c r="L3163">
        <v>16</v>
      </c>
      <c r="M3163">
        <v>1</v>
      </c>
      <c r="N3163">
        <v>6</v>
      </c>
      <c r="O3163" t="s">
        <v>53</v>
      </c>
      <c r="P3163" t="s">
        <v>53</v>
      </c>
      <c r="Q3163" t="s">
        <v>53</v>
      </c>
    </row>
    <row r="3164" spans="1:17" x14ac:dyDescent="0.2">
      <c r="A3164" s="30" t="str">
        <f>IF(C3164&amp;G3164&amp;D3164&lt;&gt;'Funnel setup'!$K$3&amp;'Funnel setup'!$K$4&amp;'Funnel setup'!$K$5,".",IF(A3163=".",1,A3163+1))</f>
        <v>.</v>
      </c>
      <c r="B3164" s="431" t="str">
        <f t="shared" si="49"/>
        <v>Hip Replacement RevisionProviderLEEDS TEACHING HOSPITALS NHS TRUST (RR8)EQ VAS</v>
      </c>
      <c r="C3164" t="s">
        <v>247</v>
      </c>
      <c r="D3164" t="s">
        <v>1</v>
      </c>
      <c r="E3164" t="s">
        <v>3930</v>
      </c>
      <c r="F3164" t="s">
        <v>344</v>
      </c>
      <c r="G3164" t="s">
        <v>179</v>
      </c>
      <c r="H3164">
        <v>17</v>
      </c>
      <c r="I3164">
        <v>68.176000000000002</v>
      </c>
      <c r="J3164">
        <v>70.823999999999998</v>
      </c>
      <c r="K3164">
        <v>2.6469999999999998</v>
      </c>
      <c r="L3164">
        <v>8</v>
      </c>
      <c r="M3164">
        <v>4</v>
      </c>
      <c r="N3164">
        <v>5</v>
      </c>
      <c r="O3164" t="s">
        <v>53</v>
      </c>
      <c r="P3164" t="s">
        <v>53</v>
      </c>
      <c r="Q3164" t="s">
        <v>53</v>
      </c>
    </row>
    <row r="3165" spans="1:17" x14ac:dyDescent="0.2">
      <c r="A3165" s="30" t="str">
        <f>IF(C3165&amp;G3165&amp;D3165&lt;&gt;'Funnel setup'!$K$3&amp;'Funnel setup'!$K$4&amp;'Funnel setup'!$K$5,".",IF(A3164=".",1,A3164+1))</f>
        <v>.</v>
      </c>
      <c r="B3165" s="431" t="str">
        <f t="shared" si="49"/>
        <v>Hip Replacement RevisionProviderLEWISHAM AND GREENWICH NHS TRUST (RJ2)EQ VAS</v>
      </c>
      <c r="C3165" t="s">
        <v>247</v>
      </c>
      <c r="D3165" t="s">
        <v>1</v>
      </c>
      <c r="E3165" t="s">
        <v>3522</v>
      </c>
      <c r="F3165" t="s">
        <v>3523</v>
      </c>
      <c r="G3165" t="s">
        <v>179</v>
      </c>
      <c r="H3165" t="s">
        <v>53</v>
      </c>
      <c r="I3165" t="s">
        <v>53</v>
      </c>
      <c r="J3165" t="s">
        <v>53</v>
      </c>
      <c r="K3165" t="s">
        <v>53</v>
      </c>
      <c r="L3165" t="s">
        <v>53</v>
      </c>
      <c r="M3165" t="s">
        <v>53</v>
      </c>
      <c r="N3165" t="s">
        <v>53</v>
      </c>
      <c r="O3165" t="s">
        <v>53</v>
      </c>
      <c r="P3165" t="s">
        <v>53</v>
      </c>
      <c r="Q3165" t="s">
        <v>53</v>
      </c>
    </row>
    <row r="3166" spans="1:17" x14ac:dyDescent="0.2">
      <c r="A3166" s="30" t="str">
        <f>IF(C3166&amp;G3166&amp;D3166&lt;&gt;'Funnel setup'!$K$3&amp;'Funnel setup'!$K$4&amp;'Funnel setup'!$K$5,".",IF(A3165=".",1,A3165+1))</f>
        <v>.</v>
      </c>
      <c r="B3166" s="431" t="str">
        <f t="shared" si="49"/>
        <v>Hip Replacement RevisionProviderLONDON NORTH WEST HEALTHCARE NHS TRUST (R1K)EQ VAS</v>
      </c>
      <c r="C3166" t="s">
        <v>247</v>
      </c>
      <c r="D3166" t="s">
        <v>1</v>
      </c>
      <c r="E3166" t="s">
        <v>6515</v>
      </c>
      <c r="F3166" t="s">
        <v>6516</v>
      </c>
      <c r="G3166" t="s">
        <v>179</v>
      </c>
      <c r="H3166">
        <v>7</v>
      </c>
      <c r="I3166">
        <v>47.713999999999999</v>
      </c>
      <c r="J3166">
        <v>76.429000000000002</v>
      </c>
      <c r="K3166">
        <v>28.713999999999999</v>
      </c>
      <c r="L3166">
        <v>5</v>
      </c>
      <c r="M3166">
        <v>1</v>
      </c>
      <c r="N3166">
        <v>1</v>
      </c>
      <c r="O3166" t="s">
        <v>53</v>
      </c>
      <c r="P3166" t="s">
        <v>53</v>
      </c>
      <c r="Q3166" t="s">
        <v>53</v>
      </c>
    </row>
    <row r="3167" spans="1:17" x14ac:dyDescent="0.2">
      <c r="A3167" s="30" t="str">
        <f>IF(C3167&amp;G3167&amp;D3167&lt;&gt;'Funnel setup'!$K$3&amp;'Funnel setup'!$K$4&amp;'Funnel setup'!$K$5,".",IF(A3166=".",1,A3166+1))</f>
        <v>.</v>
      </c>
      <c r="B3167" s="431" t="str">
        <f t="shared" si="49"/>
        <v>Hip Replacement RevisionProviderLUTON AND DUNSTABLE UNIVERSITY HOSPITAL NHS FOUNDATION TRUST (RC9)EQ VAS</v>
      </c>
      <c r="C3167" t="s">
        <v>247</v>
      </c>
      <c r="D3167" t="s">
        <v>1</v>
      </c>
      <c r="E3167" t="s">
        <v>3528</v>
      </c>
      <c r="F3167" t="s">
        <v>3529</v>
      </c>
      <c r="G3167" t="s">
        <v>179</v>
      </c>
      <c r="H3167">
        <v>12</v>
      </c>
      <c r="I3167">
        <v>54.582999999999998</v>
      </c>
      <c r="J3167">
        <v>71.917000000000002</v>
      </c>
      <c r="K3167">
        <v>17.332999999999998</v>
      </c>
      <c r="L3167">
        <v>5</v>
      </c>
      <c r="M3167">
        <v>3</v>
      </c>
      <c r="N3167">
        <v>4</v>
      </c>
      <c r="O3167" t="s">
        <v>53</v>
      </c>
      <c r="P3167" t="s">
        <v>53</v>
      </c>
      <c r="Q3167" t="s">
        <v>53</v>
      </c>
    </row>
    <row r="3168" spans="1:17" x14ac:dyDescent="0.2">
      <c r="A3168" s="30" t="str">
        <f>IF(C3168&amp;G3168&amp;D3168&lt;&gt;'Funnel setup'!$K$3&amp;'Funnel setup'!$K$4&amp;'Funnel setup'!$K$5,".",IF(A3167=".",1,A3167+1))</f>
        <v>.</v>
      </c>
      <c r="B3168" s="431" t="str">
        <f t="shared" si="49"/>
        <v>Hip Replacement RevisionProviderMAIDSTONE AND TUNBRIDGE WELLS NHS TRUST (RWF)EQ VAS</v>
      </c>
      <c r="C3168" t="s">
        <v>247</v>
      </c>
      <c r="D3168" t="s">
        <v>1</v>
      </c>
      <c r="E3168" t="s">
        <v>3627</v>
      </c>
      <c r="F3168" t="s">
        <v>3628</v>
      </c>
      <c r="G3168" t="s">
        <v>179</v>
      </c>
      <c r="H3168">
        <v>16</v>
      </c>
      <c r="I3168">
        <v>68.563000000000002</v>
      </c>
      <c r="J3168">
        <v>75.938000000000002</v>
      </c>
      <c r="K3168">
        <v>7.375</v>
      </c>
      <c r="L3168">
        <v>7</v>
      </c>
      <c r="M3168">
        <v>2</v>
      </c>
      <c r="N3168">
        <v>7</v>
      </c>
      <c r="O3168" t="s">
        <v>53</v>
      </c>
      <c r="P3168" t="s">
        <v>53</v>
      </c>
      <c r="Q3168" t="s">
        <v>53</v>
      </c>
    </row>
    <row r="3169" spans="1:17" x14ac:dyDescent="0.2">
      <c r="A3169" s="30" t="str">
        <f>IF(C3169&amp;G3169&amp;D3169&lt;&gt;'Funnel setup'!$K$3&amp;'Funnel setup'!$K$4&amp;'Funnel setup'!$K$5,".",IF(A3168=".",1,A3168+1))</f>
        <v>.</v>
      </c>
      <c r="B3169" s="431" t="str">
        <f t="shared" si="49"/>
        <v>Hip Replacement RevisionProviderMEDWAY NHS FOUNDATION TRUST (RPA)EQ VAS</v>
      </c>
      <c r="C3169" t="s">
        <v>247</v>
      </c>
      <c r="D3169" t="s">
        <v>1</v>
      </c>
      <c r="E3169" t="s">
        <v>3630</v>
      </c>
      <c r="F3169" t="s">
        <v>3631</v>
      </c>
      <c r="G3169" t="s">
        <v>179</v>
      </c>
      <c r="H3169">
        <v>18</v>
      </c>
      <c r="I3169">
        <v>76.611000000000004</v>
      </c>
      <c r="J3169">
        <v>74.388999999999996</v>
      </c>
      <c r="K3169">
        <v>-2.222</v>
      </c>
      <c r="L3169">
        <v>7</v>
      </c>
      <c r="M3169">
        <v>3</v>
      </c>
      <c r="N3169">
        <v>8</v>
      </c>
      <c r="O3169" t="s">
        <v>53</v>
      </c>
      <c r="P3169" t="s">
        <v>53</v>
      </c>
      <c r="Q3169" t="s">
        <v>53</v>
      </c>
    </row>
    <row r="3170" spans="1:17" x14ac:dyDescent="0.2">
      <c r="A3170" s="30" t="str">
        <f>IF(C3170&amp;G3170&amp;D3170&lt;&gt;'Funnel setup'!$K$3&amp;'Funnel setup'!$K$4&amp;'Funnel setup'!$K$5,".",IF(A3169=".",1,A3169+1))</f>
        <v>.</v>
      </c>
      <c r="B3170" s="431" t="str">
        <f t="shared" si="49"/>
        <v>Hip Replacement RevisionProviderMID CHESHIRE HOSPITALS NHS FOUNDATION TRUST (RBT)EQ VAS</v>
      </c>
      <c r="C3170" t="s">
        <v>247</v>
      </c>
      <c r="D3170" t="s">
        <v>1</v>
      </c>
      <c r="E3170" t="s">
        <v>3633</v>
      </c>
      <c r="F3170" t="s">
        <v>342</v>
      </c>
      <c r="G3170" t="s">
        <v>179</v>
      </c>
      <c r="H3170">
        <v>8</v>
      </c>
      <c r="I3170">
        <v>74</v>
      </c>
      <c r="J3170">
        <v>72.125</v>
      </c>
      <c r="K3170">
        <v>-1.875</v>
      </c>
      <c r="L3170">
        <v>4</v>
      </c>
      <c r="M3170">
        <v>0</v>
      </c>
      <c r="N3170">
        <v>4</v>
      </c>
      <c r="O3170" t="s">
        <v>53</v>
      </c>
      <c r="P3170" t="s">
        <v>53</v>
      </c>
      <c r="Q3170" t="s">
        <v>53</v>
      </c>
    </row>
    <row r="3171" spans="1:17" x14ac:dyDescent="0.2">
      <c r="A3171" s="30" t="str">
        <f>IF(C3171&amp;G3171&amp;D3171&lt;&gt;'Funnel setup'!$K$3&amp;'Funnel setup'!$K$4&amp;'Funnel setup'!$K$5,".",IF(A3170=".",1,A3170+1))</f>
        <v>.</v>
      </c>
      <c r="B3171" s="431" t="str">
        <f t="shared" si="49"/>
        <v>Hip Replacement RevisionProviderMID ESSEX HOSPITAL SERVICES NHS TRUST (RQ8)EQ VAS</v>
      </c>
      <c r="C3171" t="s">
        <v>247</v>
      </c>
      <c r="D3171" t="s">
        <v>1</v>
      </c>
      <c r="E3171" t="s">
        <v>3635</v>
      </c>
      <c r="F3171" t="s">
        <v>3636</v>
      </c>
      <c r="G3171" t="s">
        <v>179</v>
      </c>
      <c r="H3171">
        <v>16</v>
      </c>
      <c r="I3171">
        <v>68.563000000000002</v>
      </c>
      <c r="J3171">
        <v>68.563000000000002</v>
      </c>
      <c r="K3171">
        <v>0</v>
      </c>
      <c r="L3171">
        <v>7</v>
      </c>
      <c r="M3171">
        <v>1</v>
      </c>
      <c r="N3171">
        <v>8</v>
      </c>
      <c r="O3171" t="s">
        <v>53</v>
      </c>
      <c r="P3171" t="s">
        <v>53</v>
      </c>
      <c r="Q3171" t="s">
        <v>53</v>
      </c>
    </row>
    <row r="3172" spans="1:17" x14ac:dyDescent="0.2">
      <c r="A3172" s="30" t="str">
        <f>IF(C3172&amp;G3172&amp;D3172&lt;&gt;'Funnel setup'!$K$3&amp;'Funnel setup'!$K$4&amp;'Funnel setup'!$K$5,".",IF(A3171=".",1,A3171+1))</f>
        <v>.</v>
      </c>
      <c r="B3172" s="431" t="str">
        <f t="shared" si="49"/>
        <v>Hip Replacement RevisionProviderMID STAFFORDSHIRE NHS FOUNDATION TRUST (RJD)EQ VAS</v>
      </c>
      <c r="C3172" t="s">
        <v>247</v>
      </c>
      <c r="D3172" t="s">
        <v>1</v>
      </c>
      <c r="E3172" t="s">
        <v>3638</v>
      </c>
      <c r="F3172" t="s">
        <v>3639</v>
      </c>
      <c r="G3172" t="s">
        <v>179</v>
      </c>
      <c r="H3172">
        <v>12</v>
      </c>
      <c r="I3172">
        <v>70.667000000000002</v>
      </c>
      <c r="J3172">
        <v>75.167000000000002</v>
      </c>
      <c r="K3172">
        <v>4.5</v>
      </c>
      <c r="L3172">
        <v>8</v>
      </c>
      <c r="M3172">
        <v>1</v>
      </c>
      <c r="N3172">
        <v>3</v>
      </c>
      <c r="O3172" t="s">
        <v>53</v>
      </c>
      <c r="P3172" t="s">
        <v>53</v>
      </c>
      <c r="Q3172" t="s">
        <v>53</v>
      </c>
    </row>
    <row r="3173" spans="1:17" x14ac:dyDescent="0.2">
      <c r="A3173" s="30" t="str">
        <f>IF(C3173&amp;G3173&amp;D3173&lt;&gt;'Funnel setup'!$K$3&amp;'Funnel setup'!$K$4&amp;'Funnel setup'!$K$5,".",IF(A3172=".",1,A3172+1))</f>
        <v>.</v>
      </c>
      <c r="B3173" s="431" t="str">
        <f t="shared" si="49"/>
        <v>Hip Replacement RevisionProviderMID YORKSHIRE HOSPITALS NHS TRUST (RXF)EQ VAS</v>
      </c>
      <c r="C3173" t="s">
        <v>247</v>
      </c>
      <c r="D3173" t="s">
        <v>1</v>
      </c>
      <c r="E3173" t="s">
        <v>3641</v>
      </c>
      <c r="F3173" t="s">
        <v>3642</v>
      </c>
      <c r="G3173" t="s">
        <v>179</v>
      </c>
      <c r="H3173" t="s">
        <v>53</v>
      </c>
      <c r="I3173" t="s">
        <v>53</v>
      </c>
      <c r="J3173" t="s">
        <v>53</v>
      </c>
      <c r="K3173" t="s">
        <v>53</v>
      </c>
      <c r="L3173" t="s">
        <v>53</v>
      </c>
      <c r="M3173" t="s">
        <v>53</v>
      </c>
      <c r="N3173" t="s">
        <v>53</v>
      </c>
      <c r="O3173" t="s">
        <v>53</v>
      </c>
      <c r="P3173" t="s">
        <v>53</v>
      </c>
      <c r="Q3173" t="s">
        <v>53</v>
      </c>
    </row>
    <row r="3174" spans="1:17" x14ac:dyDescent="0.2">
      <c r="A3174" s="30" t="str">
        <f>IF(C3174&amp;G3174&amp;D3174&lt;&gt;'Funnel setup'!$K$3&amp;'Funnel setup'!$K$4&amp;'Funnel setup'!$K$5,".",IF(A3173=".",1,A3173+1))</f>
        <v>.</v>
      </c>
      <c r="B3174" s="431" t="str">
        <f t="shared" si="49"/>
        <v>Hip Replacement RevisionProviderMILTON KEYNES UNIVERSITY HOSPITAL NHS FOUNDATION TRUST (RD8)EQ VAS</v>
      </c>
      <c r="C3174" t="s">
        <v>247</v>
      </c>
      <c r="D3174" t="s">
        <v>1</v>
      </c>
      <c r="E3174" t="s">
        <v>3643</v>
      </c>
      <c r="F3174" t="s">
        <v>6580</v>
      </c>
      <c r="G3174" t="s">
        <v>179</v>
      </c>
      <c r="H3174" t="s">
        <v>53</v>
      </c>
      <c r="I3174" t="s">
        <v>53</v>
      </c>
      <c r="J3174" t="s">
        <v>53</v>
      </c>
      <c r="K3174" t="s">
        <v>53</v>
      </c>
      <c r="L3174" t="s">
        <v>53</v>
      </c>
      <c r="M3174" t="s">
        <v>53</v>
      </c>
      <c r="N3174" t="s">
        <v>53</v>
      </c>
      <c r="O3174" t="s">
        <v>53</v>
      </c>
      <c r="P3174" t="s">
        <v>53</v>
      </c>
      <c r="Q3174" t="s">
        <v>53</v>
      </c>
    </row>
    <row r="3175" spans="1:17" x14ac:dyDescent="0.2">
      <c r="A3175" s="30" t="str">
        <f>IF(C3175&amp;G3175&amp;D3175&lt;&gt;'Funnel setup'!$K$3&amp;'Funnel setup'!$K$4&amp;'Funnel setup'!$K$5,".",IF(A3174=".",1,A3174+1))</f>
        <v>.</v>
      </c>
      <c r="B3175" s="431" t="str">
        <f t="shared" si="49"/>
        <v>Hip Replacement RevisionProviderMOUNT STUART HOSPITAL (NVC08)EQ VAS</v>
      </c>
      <c r="C3175" t="s">
        <v>247</v>
      </c>
      <c r="D3175" t="s">
        <v>1</v>
      </c>
      <c r="E3175" t="s">
        <v>3645</v>
      </c>
      <c r="F3175" t="s">
        <v>3646</v>
      </c>
      <c r="G3175" t="s">
        <v>179</v>
      </c>
      <c r="H3175" t="s">
        <v>53</v>
      </c>
      <c r="I3175" t="s">
        <v>53</v>
      </c>
      <c r="J3175" t="s">
        <v>53</v>
      </c>
      <c r="K3175" t="s">
        <v>53</v>
      </c>
      <c r="L3175" t="s">
        <v>53</v>
      </c>
      <c r="M3175" t="s">
        <v>53</v>
      </c>
      <c r="N3175" t="s">
        <v>53</v>
      </c>
      <c r="O3175" t="s">
        <v>53</v>
      </c>
      <c r="P3175" t="s">
        <v>53</v>
      </c>
      <c r="Q3175" t="s">
        <v>53</v>
      </c>
    </row>
    <row r="3176" spans="1:17" x14ac:dyDescent="0.2">
      <c r="A3176" s="30" t="str">
        <f>IF(C3176&amp;G3176&amp;D3176&lt;&gt;'Funnel setup'!$K$3&amp;'Funnel setup'!$K$4&amp;'Funnel setup'!$K$5,".",IF(A3175=".",1,A3175+1))</f>
        <v>.</v>
      </c>
      <c r="B3176" s="431" t="str">
        <f t="shared" si="49"/>
        <v>Hip Replacement RevisionProviderNEW HALL HOSPITAL (NVC09)EQ VAS</v>
      </c>
      <c r="C3176" t="s">
        <v>247</v>
      </c>
      <c r="D3176" t="s">
        <v>1</v>
      </c>
      <c r="E3176" t="s">
        <v>3648</v>
      </c>
      <c r="F3176" t="s">
        <v>3649</v>
      </c>
      <c r="G3176" t="s">
        <v>179</v>
      </c>
      <c r="H3176">
        <v>6</v>
      </c>
      <c r="I3176">
        <v>65.167000000000002</v>
      </c>
      <c r="J3176">
        <v>71.667000000000002</v>
      </c>
      <c r="K3176">
        <v>6.5</v>
      </c>
      <c r="L3176">
        <v>4</v>
      </c>
      <c r="M3176">
        <v>1</v>
      </c>
      <c r="N3176">
        <v>1</v>
      </c>
      <c r="O3176" t="s">
        <v>53</v>
      </c>
      <c r="P3176" t="s">
        <v>53</v>
      </c>
      <c r="Q3176" t="s">
        <v>53</v>
      </c>
    </row>
    <row r="3177" spans="1:17" x14ac:dyDescent="0.2">
      <c r="A3177" s="30" t="str">
        <f>IF(C3177&amp;G3177&amp;D3177&lt;&gt;'Funnel setup'!$K$3&amp;'Funnel setup'!$K$4&amp;'Funnel setup'!$K$5,".",IF(A3176=".",1,A3176+1))</f>
        <v>.</v>
      </c>
      <c r="B3177" s="431" t="str">
        <f t="shared" si="49"/>
        <v>Hip Replacement RevisionProviderNORFOLK AND NORWICH UNIVERSITY HOSPITALS NHS FOUNDATION TRUST (RM1)EQ VAS</v>
      </c>
      <c r="C3177" t="s">
        <v>247</v>
      </c>
      <c r="D3177" t="s">
        <v>1</v>
      </c>
      <c r="E3177" t="s">
        <v>3651</v>
      </c>
      <c r="F3177" t="s">
        <v>3652</v>
      </c>
      <c r="G3177" t="s">
        <v>179</v>
      </c>
      <c r="H3177">
        <v>51</v>
      </c>
      <c r="I3177">
        <v>67.078000000000003</v>
      </c>
      <c r="J3177">
        <v>72.528999999999996</v>
      </c>
      <c r="K3177">
        <v>5.4509999999999996</v>
      </c>
      <c r="L3177">
        <v>28</v>
      </c>
      <c r="M3177">
        <v>9</v>
      </c>
      <c r="N3177">
        <v>14</v>
      </c>
      <c r="O3177">
        <v>70.739999999999995</v>
      </c>
      <c r="P3177">
        <v>5.9695070899999996</v>
      </c>
      <c r="Q3177">
        <v>15.336</v>
      </c>
    </row>
    <row r="3178" spans="1:17" x14ac:dyDescent="0.2">
      <c r="A3178" s="30" t="str">
        <f>IF(C3178&amp;G3178&amp;D3178&lt;&gt;'Funnel setup'!$K$3&amp;'Funnel setup'!$K$4&amp;'Funnel setup'!$K$5,".",IF(A3177=".",1,A3177+1))</f>
        <v>.</v>
      </c>
      <c r="B3178" s="431" t="str">
        <f t="shared" si="49"/>
        <v>Hip Replacement RevisionProviderNORTH BRISTOL NHS TRUST (RVJ)EQ VAS</v>
      </c>
      <c r="C3178" t="s">
        <v>247</v>
      </c>
      <c r="D3178" t="s">
        <v>1</v>
      </c>
      <c r="E3178" t="s">
        <v>3654</v>
      </c>
      <c r="F3178" t="s">
        <v>3655</v>
      </c>
      <c r="G3178" t="s">
        <v>179</v>
      </c>
      <c r="H3178">
        <v>10</v>
      </c>
      <c r="I3178">
        <v>61.2</v>
      </c>
      <c r="J3178">
        <v>64.2</v>
      </c>
      <c r="K3178">
        <v>3</v>
      </c>
      <c r="L3178">
        <v>3</v>
      </c>
      <c r="M3178">
        <v>1</v>
      </c>
      <c r="N3178">
        <v>6</v>
      </c>
      <c r="O3178" t="s">
        <v>53</v>
      </c>
      <c r="P3178" t="s">
        <v>53</v>
      </c>
      <c r="Q3178" t="s">
        <v>53</v>
      </c>
    </row>
    <row r="3179" spans="1:17" x14ac:dyDescent="0.2">
      <c r="A3179" s="30" t="str">
        <f>IF(C3179&amp;G3179&amp;D3179&lt;&gt;'Funnel setup'!$K$3&amp;'Funnel setup'!$K$4&amp;'Funnel setup'!$K$5,".",IF(A3178=".",1,A3178+1))</f>
        <v>.</v>
      </c>
      <c r="B3179" s="431" t="str">
        <f t="shared" si="49"/>
        <v>Hip Replacement RevisionProviderNORTH CUMBRIA UNIVERSITY HOSPITALS NHS TRUST (RNL)EQ VAS</v>
      </c>
      <c r="C3179" t="s">
        <v>247</v>
      </c>
      <c r="D3179" t="s">
        <v>1</v>
      </c>
      <c r="E3179" t="s">
        <v>3657</v>
      </c>
      <c r="F3179" t="s">
        <v>3658</v>
      </c>
      <c r="G3179" t="s">
        <v>179</v>
      </c>
      <c r="H3179">
        <v>9</v>
      </c>
      <c r="I3179">
        <v>72.221999999999994</v>
      </c>
      <c r="J3179">
        <v>70.221999999999994</v>
      </c>
      <c r="K3179">
        <v>-2</v>
      </c>
      <c r="L3179">
        <v>4</v>
      </c>
      <c r="M3179">
        <v>1</v>
      </c>
      <c r="N3179">
        <v>4</v>
      </c>
      <c r="O3179" t="s">
        <v>53</v>
      </c>
      <c r="P3179" t="s">
        <v>53</v>
      </c>
      <c r="Q3179" t="s">
        <v>53</v>
      </c>
    </row>
    <row r="3180" spans="1:17" x14ac:dyDescent="0.2">
      <c r="A3180" s="30" t="str">
        <f>IF(C3180&amp;G3180&amp;D3180&lt;&gt;'Funnel setup'!$K$3&amp;'Funnel setup'!$K$4&amp;'Funnel setup'!$K$5,".",IF(A3179=".",1,A3179+1))</f>
        <v>.</v>
      </c>
      <c r="B3180" s="431" t="str">
        <f t="shared" si="49"/>
        <v>Hip Replacement RevisionProviderNORTH DOWNS HOSPITAL (NVC11)EQ VAS</v>
      </c>
      <c r="C3180" t="s">
        <v>247</v>
      </c>
      <c r="D3180" t="s">
        <v>1</v>
      </c>
      <c r="E3180" t="s">
        <v>3660</v>
      </c>
      <c r="F3180" t="s">
        <v>3661</v>
      </c>
      <c r="G3180" t="s">
        <v>179</v>
      </c>
      <c r="H3180" t="s">
        <v>53</v>
      </c>
      <c r="I3180" t="s">
        <v>53</v>
      </c>
      <c r="J3180" t="s">
        <v>53</v>
      </c>
      <c r="K3180" t="s">
        <v>53</v>
      </c>
      <c r="L3180" t="s">
        <v>53</v>
      </c>
      <c r="M3180" t="s">
        <v>53</v>
      </c>
      <c r="N3180" t="s">
        <v>53</v>
      </c>
      <c r="O3180" t="s">
        <v>53</v>
      </c>
      <c r="P3180" t="s">
        <v>53</v>
      </c>
      <c r="Q3180" t="s">
        <v>53</v>
      </c>
    </row>
    <row r="3181" spans="1:17" x14ac:dyDescent="0.2">
      <c r="A3181" s="30" t="str">
        <f>IF(C3181&amp;G3181&amp;D3181&lt;&gt;'Funnel setup'!$K$3&amp;'Funnel setup'!$K$4&amp;'Funnel setup'!$K$5,".",IF(A3180=".",1,A3180+1))</f>
        <v>.</v>
      </c>
      <c r="B3181" s="431" t="str">
        <f t="shared" si="49"/>
        <v>Hip Replacement RevisionProviderNORTH EAST LONDON TREATMENT CENTRE CARE UK (NTP15)EQ VAS</v>
      </c>
      <c r="C3181" t="s">
        <v>247</v>
      </c>
      <c r="D3181" t="s">
        <v>1</v>
      </c>
      <c r="E3181" t="s">
        <v>3663</v>
      </c>
      <c r="F3181" t="s">
        <v>3664</v>
      </c>
      <c r="G3181" t="s">
        <v>179</v>
      </c>
      <c r="H3181" t="s">
        <v>53</v>
      </c>
      <c r="I3181" t="s">
        <v>53</v>
      </c>
      <c r="J3181" t="s">
        <v>53</v>
      </c>
      <c r="K3181" t="s">
        <v>53</v>
      </c>
      <c r="L3181" t="s">
        <v>53</v>
      </c>
      <c r="M3181" t="s">
        <v>53</v>
      </c>
      <c r="N3181" t="s">
        <v>53</v>
      </c>
      <c r="O3181" t="s">
        <v>53</v>
      </c>
      <c r="P3181" t="s">
        <v>53</v>
      </c>
      <c r="Q3181" t="s">
        <v>53</v>
      </c>
    </row>
    <row r="3182" spans="1:17" x14ac:dyDescent="0.2">
      <c r="A3182" s="30" t="str">
        <f>IF(C3182&amp;G3182&amp;D3182&lt;&gt;'Funnel setup'!$K$3&amp;'Funnel setup'!$K$4&amp;'Funnel setup'!$K$5,".",IF(A3181=".",1,A3181+1))</f>
        <v>.</v>
      </c>
      <c r="B3182" s="431" t="str">
        <f t="shared" si="49"/>
        <v>Hip Replacement RevisionProviderNORTH MIDDLESEX UNIVERSITY HOSPITAL NHS TRUST (RAP)EQ VAS</v>
      </c>
      <c r="C3182" t="s">
        <v>247</v>
      </c>
      <c r="D3182" t="s">
        <v>1</v>
      </c>
      <c r="E3182" t="s">
        <v>3666</v>
      </c>
      <c r="F3182" t="s">
        <v>3667</v>
      </c>
      <c r="G3182" t="s">
        <v>179</v>
      </c>
      <c r="H3182" t="s">
        <v>53</v>
      </c>
      <c r="I3182" t="s">
        <v>53</v>
      </c>
      <c r="J3182" t="s">
        <v>53</v>
      </c>
      <c r="K3182" t="s">
        <v>53</v>
      </c>
      <c r="L3182" t="s">
        <v>53</v>
      </c>
      <c r="M3182" t="s">
        <v>53</v>
      </c>
      <c r="N3182" t="s">
        <v>53</v>
      </c>
      <c r="O3182" t="s">
        <v>53</v>
      </c>
      <c r="P3182" t="s">
        <v>53</v>
      </c>
      <c r="Q3182" t="s">
        <v>53</v>
      </c>
    </row>
    <row r="3183" spans="1:17" x14ac:dyDescent="0.2">
      <c r="A3183" s="30" t="str">
        <f>IF(C3183&amp;G3183&amp;D3183&lt;&gt;'Funnel setup'!$K$3&amp;'Funnel setup'!$K$4&amp;'Funnel setup'!$K$5,".",IF(A3182=".",1,A3182+1))</f>
        <v>.</v>
      </c>
      <c r="B3183" s="431" t="str">
        <f t="shared" si="49"/>
        <v>Hip Replacement RevisionProviderNORTH TEES AND HARTLEPOOL NHS FOUNDATION TRUST (RVW)EQ VAS</v>
      </c>
      <c r="C3183" t="s">
        <v>247</v>
      </c>
      <c r="D3183" t="s">
        <v>1</v>
      </c>
      <c r="E3183" t="s">
        <v>3669</v>
      </c>
      <c r="F3183" t="s">
        <v>3670</v>
      </c>
      <c r="G3183" t="s">
        <v>179</v>
      </c>
      <c r="H3183">
        <v>22</v>
      </c>
      <c r="I3183">
        <v>55.773000000000003</v>
      </c>
      <c r="J3183">
        <v>73.454999999999998</v>
      </c>
      <c r="K3183">
        <v>17.681999999999999</v>
      </c>
      <c r="L3183">
        <v>16</v>
      </c>
      <c r="M3183">
        <v>1</v>
      </c>
      <c r="N3183">
        <v>5</v>
      </c>
      <c r="O3183" t="s">
        <v>53</v>
      </c>
      <c r="P3183" t="s">
        <v>53</v>
      </c>
      <c r="Q3183" t="s">
        <v>53</v>
      </c>
    </row>
    <row r="3184" spans="1:17" x14ac:dyDescent="0.2">
      <c r="A3184" s="30" t="str">
        <f>IF(C3184&amp;G3184&amp;D3184&lt;&gt;'Funnel setup'!$K$3&amp;'Funnel setup'!$K$4&amp;'Funnel setup'!$K$5,".",IF(A3183=".",1,A3183+1))</f>
        <v>.</v>
      </c>
      <c r="B3184" s="431" t="str">
        <f t="shared" si="49"/>
        <v>Hip Replacement RevisionProviderNORTHAMPTON GENERAL HOSPITAL NHS TRUST (RNS)EQ VAS</v>
      </c>
      <c r="C3184" t="s">
        <v>247</v>
      </c>
      <c r="D3184" t="s">
        <v>1</v>
      </c>
      <c r="E3184" t="s">
        <v>3675</v>
      </c>
      <c r="F3184" t="s">
        <v>3676</v>
      </c>
      <c r="G3184" t="s">
        <v>179</v>
      </c>
      <c r="H3184">
        <v>17</v>
      </c>
      <c r="I3184">
        <v>70</v>
      </c>
      <c r="J3184">
        <v>72.058999999999997</v>
      </c>
      <c r="K3184">
        <v>2.0590000000000002</v>
      </c>
      <c r="L3184">
        <v>7</v>
      </c>
      <c r="M3184">
        <v>2</v>
      </c>
      <c r="N3184">
        <v>8</v>
      </c>
      <c r="O3184" t="s">
        <v>53</v>
      </c>
      <c r="P3184" t="s">
        <v>53</v>
      </c>
      <c r="Q3184" t="s">
        <v>53</v>
      </c>
    </row>
    <row r="3185" spans="1:17" x14ac:dyDescent="0.2">
      <c r="A3185" s="30" t="str">
        <f>IF(C3185&amp;G3185&amp;D3185&lt;&gt;'Funnel setup'!$K$3&amp;'Funnel setup'!$K$4&amp;'Funnel setup'!$K$5,".",IF(A3184=".",1,A3184+1))</f>
        <v>.</v>
      </c>
      <c r="B3185" s="431" t="str">
        <f t="shared" si="49"/>
        <v>Hip Replacement RevisionProviderNORTHERN DEVON HEALTHCARE NHS TRUST (RBZ)EQ VAS</v>
      </c>
      <c r="C3185" t="s">
        <v>247</v>
      </c>
      <c r="D3185" t="s">
        <v>1</v>
      </c>
      <c r="E3185" t="s">
        <v>3678</v>
      </c>
      <c r="F3185" t="s">
        <v>3679</v>
      </c>
      <c r="G3185" t="s">
        <v>179</v>
      </c>
      <c r="H3185">
        <v>12</v>
      </c>
      <c r="I3185">
        <v>70.417000000000002</v>
      </c>
      <c r="J3185">
        <v>72</v>
      </c>
      <c r="K3185">
        <v>1.583</v>
      </c>
      <c r="L3185">
        <v>7</v>
      </c>
      <c r="M3185">
        <v>1</v>
      </c>
      <c r="N3185">
        <v>4</v>
      </c>
      <c r="O3185" t="s">
        <v>53</v>
      </c>
      <c r="P3185" t="s">
        <v>53</v>
      </c>
      <c r="Q3185" t="s">
        <v>53</v>
      </c>
    </row>
    <row r="3186" spans="1:17" x14ac:dyDescent="0.2">
      <c r="A3186" s="30" t="str">
        <f>IF(C3186&amp;G3186&amp;D3186&lt;&gt;'Funnel setup'!$K$3&amp;'Funnel setup'!$K$4&amp;'Funnel setup'!$K$5,".",IF(A3185=".",1,A3185+1))</f>
        <v>.</v>
      </c>
      <c r="B3186" s="431" t="str">
        <f t="shared" si="49"/>
        <v>Hip Replacement RevisionProviderNORTHERN LINCOLNSHIRE AND GOOLE NHS FOUNDATION TRUST (RJL)EQ VAS</v>
      </c>
      <c r="C3186" t="s">
        <v>247</v>
      </c>
      <c r="D3186" t="s">
        <v>1</v>
      </c>
      <c r="E3186" t="s">
        <v>3681</v>
      </c>
      <c r="F3186" t="s">
        <v>3682</v>
      </c>
      <c r="G3186" t="s">
        <v>179</v>
      </c>
      <c r="H3186">
        <v>14</v>
      </c>
      <c r="I3186">
        <v>62</v>
      </c>
      <c r="J3186">
        <v>65.856999999999999</v>
      </c>
      <c r="K3186">
        <v>3.8570000000000002</v>
      </c>
      <c r="L3186">
        <v>8</v>
      </c>
      <c r="M3186">
        <v>0</v>
      </c>
      <c r="N3186">
        <v>6</v>
      </c>
      <c r="O3186" t="s">
        <v>53</v>
      </c>
      <c r="P3186" t="s">
        <v>53</v>
      </c>
      <c r="Q3186" t="s">
        <v>53</v>
      </c>
    </row>
    <row r="3187" spans="1:17" x14ac:dyDescent="0.2">
      <c r="A3187" s="30" t="str">
        <f>IF(C3187&amp;G3187&amp;D3187&lt;&gt;'Funnel setup'!$K$3&amp;'Funnel setup'!$K$4&amp;'Funnel setup'!$K$5,".",IF(A3186=".",1,A3186+1))</f>
        <v>.</v>
      </c>
      <c r="B3187" s="431" t="str">
        <f t="shared" si="49"/>
        <v>Hip Replacement RevisionProviderNORTHUMBRIA HEALTHCARE NHS FOUNDATION TRUST (RTF)EQ VAS</v>
      </c>
      <c r="C3187" t="s">
        <v>247</v>
      </c>
      <c r="D3187" t="s">
        <v>1</v>
      </c>
      <c r="E3187" t="s">
        <v>3684</v>
      </c>
      <c r="F3187" t="s">
        <v>3685</v>
      </c>
      <c r="G3187" t="s">
        <v>179</v>
      </c>
      <c r="H3187">
        <v>22</v>
      </c>
      <c r="I3187">
        <v>52.636000000000003</v>
      </c>
      <c r="J3187">
        <v>69.864000000000004</v>
      </c>
      <c r="K3187">
        <v>17.227</v>
      </c>
      <c r="L3187">
        <v>16</v>
      </c>
      <c r="M3187">
        <v>1</v>
      </c>
      <c r="N3187">
        <v>5</v>
      </c>
      <c r="O3187" t="s">
        <v>53</v>
      </c>
      <c r="P3187" t="s">
        <v>53</v>
      </c>
      <c r="Q3187" t="s">
        <v>53</v>
      </c>
    </row>
    <row r="3188" spans="1:17" x14ac:dyDescent="0.2">
      <c r="A3188" s="30" t="str">
        <f>IF(C3188&amp;G3188&amp;D3188&lt;&gt;'Funnel setup'!$K$3&amp;'Funnel setup'!$K$4&amp;'Funnel setup'!$K$5,".",IF(A3187=".",1,A3187+1))</f>
        <v>.</v>
      </c>
      <c r="B3188" s="431" t="str">
        <f t="shared" si="49"/>
        <v>Hip Replacement RevisionProviderNOTTINGHAM UNIVERSITY HOSPITALS NHS TRUST (RX1)EQ VAS</v>
      </c>
      <c r="C3188" t="s">
        <v>247</v>
      </c>
      <c r="D3188" t="s">
        <v>1</v>
      </c>
      <c r="E3188" t="s">
        <v>3687</v>
      </c>
      <c r="F3188" t="s">
        <v>3688</v>
      </c>
      <c r="G3188" t="s">
        <v>179</v>
      </c>
      <c r="H3188">
        <v>35</v>
      </c>
      <c r="I3188">
        <v>60.713999999999999</v>
      </c>
      <c r="J3188">
        <v>64.228999999999999</v>
      </c>
      <c r="K3188">
        <v>3.5139999999999998</v>
      </c>
      <c r="L3188">
        <v>19</v>
      </c>
      <c r="M3188">
        <v>4</v>
      </c>
      <c r="N3188">
        <v>12</v>
      </c>
      <c r="O3188">
        <v>68.891000000000005</v>
      </c>
      <c r="P3188">
        <v>4.1203963840000002</v>
      </c>
      <c r="Q3188">
        <v>18.414000000000001</v>
      </c>
    </row>
    <row r="3189" spans="1:17" x14ac:dyDescent="0.2">
      <c r="A3189" s="30" t="str">
        <f>IF(C3189&amp;G3189&amp;D3189&lt;&gt;'Funnel setup'!$K$3&amp;'Funnel setup'!$K$4&amp;'Funnel setup'!$K$5,".",IF(A3188=".",1,A3188+1))</f>
        <v>.</v>
      </c>
      <c r="B3189" s="431" t="str">
        <f t="shared" si="49"/>
        <v>Hip Replacement RevisionProviderNUFFIELD HEALTH, HAYWARDS HEATH HOSPITAL (NT218)EQ VAS</v>
      </c>
      <c r="C3189" t="s">
        <v>247</v>
      </c>
      <c r="D3189" t="s">
        <v>1</v>
      </c>
      <c r="E3189" t="s">
        <v>4342</v>
      </c>
      <c r="F3189" t="s">
        <v>4343</v>
      </c>
      <c r="G3189" t="s">
        <v>179</v>
      </c>
      <c r="H3189" t="s">
        <v>53</v>
      </c>
      <c r="I3189" t="s">
        <v>53</v>
      </c>
      <c r="J3189" t="s">
        <v>53</v>
      </c>
      <c r="K3189" t="s">
        <v>53</v>
      </c>
      <c r="L3189" t="s">
        <v>53</v>
      </c>
      <c r="M3189" t="s">
        <v>53</v>
      </c>
      <c r="N3189" t="s">
        <v>53</v>
      </c>
      <c r="O3189" t="s">
        <v>53</v>
      </c>
      <c r="P3189" t="s">
        <v>53</v>
      </c>
      <c r="Q3189" t="s">
        <v>53</v>
      </c>
    </row>
    <row r="3190" spans="1:17" x14ac:dyDescent="0.2">
      <c r="A3190" s="30" t="str">
        <f>IF(C3190&amp;G3190&amp;D3190&lt;&gt;'Funnel setup'!$K$3&amp;'Funnel setup'!$K$4&amp;'Funnel setup'!$K$5,".",IF(A3189=".",1,A3189+1))</f>
        <v>.</v>
      </c>
      <c r="B3190" s="431" t="str">
        <f t="shared" si="49"/>
        <v>Hip Replacement RevisionProviderNUFFIELD HEALTH, LEEDS HOSPITAL (NT225)EQ VAS</v>
      </c>
      <c r="C3190" t="s">
        <v>247</v>
      </c>
      <c r="D3190" t="s">
        <v>1</v>
      </c>
      <c r="E3190" t="s">
        <v>3388</v>
      </c>
      <c r="F3190" t="s">
        <v>3389</v>
      </c>
      <c r="G3190" t="s">
        <v>179</v>
      </c>
      <c r="H3190" t="s">
        <v>53</v>
      </c>
      <c r="I3190" t="s">
        <v>53</v>
      </c>
      <c r="J3190" t="s">
        <v>53</v>
      </c>
      <c r="K3190" t="s">
        <v>53</v>
      </c>
      <c r="L3190" t="s">
        <v>53</v>
      </c>
      <c r="M3190" t="s">
        <v>53</v>
      </c>
      <c r="N3190" t="s">
        <v>53</v>
      </c>
      <c r="O3190" t="s">
        <v>53</v>
      </c>
      <c r="P3190" t="s">
        <v>53</v>
      </c>
      <c r="Q3190" t="s">
        <v>53</v>
      </c>
    </row>
    <row r="3191" spans="1:17" x14ac:dyDescent="0.2">
      <c r="A3191" s="30" t="str">
        <f>IF(C3191&amp;G3191&amp;D3191&lt;&gt;'Funnel setup'!$K$3&amp;'Funnel setup'!$K$4&amp;'Funnel setup'!$K$5,".",IF(A3190=".",1,A3190+1))</f>
        <v>.</v>
      </c>
      <c r="B3191" s="431" t="str">
        <f t="shared" si="49"/>
        <v>Hip Replacement RevisionProviderNUFFIELD HEALTH, NEWCASTLE UPON TYNE HOSPITAL (NT229)EQ VAS</v>
      </c>
      <c r="C3191" t="s">
        <v>247</v>
      </c>
      <c r="D3191" t="s">
        <v>1</v>
      </c>
      <c r="E3191" t="s">
        <v>3394</v>
      </c>
      <c r="F3191" t="s">
        <v>3395</v>
      </c>
      <c r="G3191" t="s">
        <v>179</v>
      </c>
      <c r="H3191" t="s">
        <v>53</v>
      </c>
      <c r="I3191" t="s">
        <v>53</v>
      </c>
      <c r="J3191" t="s">
        <v>53</v>
      </c>
      <c r="K3191" t="s">
        <v>53</v>
      </c>
      <c r="L3191" t="s">
        <v>53</v>
      </c>
      <c r="M3191" t="s">
        <v>53</v>
      </c>
      <c r="N3191" t="s">
        <v>53</v>
      </c>
      <c r="O3191" t="s">
        <v>53</v>
      </c>
      <c r="P3191" t="s">
        <v>53</v>
      </c>
      <c r="Q3191" t="s">
        <v>53</v>
      </c>
    </row>
    <row r="3192" spans="1:17" x14ac:dyDescent="0.2">
      <c r="A3192" s="30" t="str">
        <f>IF(C3192&amp;G3192&amp;D3192&lt;&gt;'Funnel setup'!$K$3&amp;'Funnel setup'!$K$4&amp;'Funnel setup'!$K$5,".",IF(A3191=".",1,A3191+1))</f>
        <v>.</v>
      </c>
      <c r="B3192" s="431" t="str">
        <f t="shared" si="49"/>
        <v>Hip Replacement RevisionProviderNUFFIELD HEALTH, TEES HOSPITAL (NT237)EQ VAS</v>
      </c>
      <c r="C3192" t="s">
        <v>247</v>
      </c>
      <c r="D3192" t="s">
        <v>1</v>
      </c>
      <c r="E3192" t="s">
        <v>3246</v>
      </c>
      <c r="F3192" t="s">
        <v>3247</v>
      </c>
      <c r="G3192" t="s">
        <v>179</v>
      </c>
      <c r="H3192">
        <v>9</v>
      </c>
      <c r="I3192">
        <v>65.221999999999994</v>
      </c>
      <c r="J3192">
        <v>78.888999999999996</v>
      </c>
      <c r="K3192">
        <v>13.667</v>
      </c>
      <c r="L3192">
        <v>6</v>
      </c>
      <c r="M3192">
        <v>2</v>
      </c>
      <c r="N3192">
        <v>1</v>
      </c>
      <c r="O3192" t="s">
        <v>53</v>
      </c>
      <c r="P3192" t="s">
        <v>53</v>
      </c>
      <c r="Q3192" t="s">
        <v>53</v>
      </c>
    </row>
    <row r="3193" spans="1:17" x14ac:dyDescent="0.2">
      <c r="A3193" s="30" t="str">
        <f>IF(C3193&amp;G3193&amp;D3193&lt;&gt;'Funnel setup'!$K$3&amp;'Funnel setup'!$K$4&amp;'Funnel setup'!$K$5,".",IF(A3192=".",1,A3192+1))</f>
        <v>.</v>
      </c>
      <c r="B3193" s="431" t="str">
        <f t="shared" si="49"/>
        <v>Hip Replacement RevisionProviderNUFFIELD HEALTH, WOKING HOSPITAL (NT241)EQ VAS</v>
      </c>
      <c r="C3193" t="s">
        <v>247</v>
      </c>
      <c r="D3193" t="s">
        <v>1</v>
      </c>
      <c r="E3193" t="s">
        <v>3261</v>
      </c>
      <c r="F3193" t="s">
        <v>3262</v>
      </c>
      <c r="G3193" t="s">
        <v>179</v>
      </c>
      <c r="H3193" t="s">
        <v>53</v>
      </c>
      <c r="I3193" t="s">
        <v>53</v>
      </c>
      <c r="J3193" t="s">
        <v>53</v>
      </c>
      <c r="K3193" t="s">
        <v>53</v>
      </c>
      <c r="L3193" t="s">
        <v>53</v>
      </c>
      <c r="M3193" t="s">
        <v>53</v>
      </c>
      <c r="N3193" t="s">
        <v>53</v>
      </c>
      <c r="O3193" t="s">
        <v>53</v>
      </c>
      <c r="P3193" t="s">
        <v>53</v>
      </c>
      <c r="Q3193" t="s">
        <v>53</v>
      </c>
    </row>
    <row r="3194" spans="1:17" x14ac:dyDescent="0.2">
      <c r="A3194" s="30" t="str">
        <f>IF(C3194&amp;G3194&amp;D3194&lt;&gt;'Funnel setup'!$K$3&amp;'Funnel setup'!$K$4&amp;'Funnel setup'!$K$5,".",IF(A3193=".",1,A3193+1))</f>
        <v>.</v>
      </c>
      <c r="B3194" s="431" t="str">
        <f t="shared" si="49"/>
        <v>Hip Replacement RevisionProviderNUFFIELD HEALTH, YORK HOSPITAL (NT245)EQ VAS</v>
      </c>
      <c r="C3194" t="s">
        <v>247</v>
      </c>
      <c r="D3194" t="s">
        <v>1</v>
      </c>
      <c r="E3194" t="s">
        <v>4299</v>
      </c>
      <c r="F3194" t="s">
        <v>4300</v>
      </c>
      <c r="G3194" t="s">
        <v>179</v>
      </c>
      <c r="H3194" t="s">
        <v>53</v>
      </c>
      <c r="I3194" t="s">
        <v>53</v>
      </c>
      <c r="J3194" t="s">
        <v>53</v>
      </c>
      <c r="K3194" t="s">
        <v>53</v>
      </c>
      <c r="L3194" t="s">
        <v>53</v>
      </c>
      <c r="M3194" t="s">
        <v>53</v>
      </c>
      <c r="N3194" t="s">
        <v>53</v>
      </c>
      <c r="O3194" t="s">
        <v>53</v>
      </c>
      <c r="P3194" t="s">
        <v>53</v>
      </c>
      <c r="Q3194" t="s">
        <v>53</v>
      </c>
    </row>
    <row r="3195" spans="1:17" x14ac:dyDescent="0.2">
      <c r="A3195" s="30" t="str">
        <f>IF(C3195&amp;G3195&amp;D3195&lt;&gt;'Funnel setup'!$K$3&amp;'Funnel setup'!$K$4&amp;'Funnel setup'!$K$5,".",IF(A3194=".",1,A3194+1))</f>
        <v>.</v>
      </c>
      <c r="B3195" s="431" t="str">
        <f t="shared" si="49"/>
        <v>Hip Replacement RevisionProviderOXFORD UNIVERSITY HOSPITALS NHS FOUNDATION TRUST (RTH)EQ VAS</v>
      </c>
      <c r="C3195" t="s">
        <v>247</v>
      </c>
      <c r="D3195" t="s">
        <v>1</v>
      </c>
      <c r="E3195" t="s">
        <v>3278</v>
      </c>
      <c r="F3195" t="s">
        <v>6578</v>
      </c>
      <c r="G3195" t="s">
        <v>179</v>
      </c>
      <c r="H3195">
        <v>76</v>
      </c>
      <c r="I3195">
        <v>63.381999999999998</v>
      </c>
      <c r="J3195">
        <v>70.474000000000004</v>
      </c>
      <c r="K3195">
        <v>7.0919999999999996</v>
      </c>
      <c r="L3195">
        <v>50</v>
      </c>
      <c r="M3195">
        <v>2</v>
      </c>
      <c r="N3195">
        <v>24</v>
      </c>
      <c r="O3195">
        <v>69.712999999999994</v>
      </c>
      <c r="P3195">
        <v>4.9430225170000002</v>
      </c>
      <c r="Q3195">
        <v>18.382999999999999</v>
      </c>
    </row>
    <row r="3196" spans="1:17" x14ac:dyDescent="0.2">
      <c r="A3196" s="30" t="str">
        <f>IF(C3196&amp;G3196&amp;D3196&lt;&gt;'Funnel setup'!$K$3&amp;'Funnel setup'!$K$4&amp;'Funnel setup'!$K$5,".",IF(A3195=".",1,A3195+1))</f>
        <v>.</v>
      </c>
      <c r="B3196" s="431" t="str">
        <f t="shared" si="49"/>
        <v>Hip Replacement RevisionProviderPENINSULA NHS TREATMENT CENTRE (NTPH5)EQ VAS</v>
      </c>
      <c r="C3196" t="s">
        <v>247</v>
      </c>
      <c r="D3196" t="s">
        <v>1</v>
      </c>
      <c r="E3196" t="s">
        <v>4285</v>
      </c>
      <c r="F3196" t="s">
        <v>4286</v>
      </c>
      <c r="G3196" t="s">
        <v>179</v>
      </c>
      <c r="H3196" t="s">
        <v>53</v>
      </c>
      <c r="I3196" t="s">
        <v>53</v>
      </c>
      <c r="J3196" t="s">
        <v>53</v>
      </c>
      <c r="K3196" t="s">
        <v>53</v>
      </c>
      <c r="L3196" t="s">
        <v>53</v>
      </c>
      <c r="M3196" t="s">
        <v>53</v>
      </c>
      <c r="N3196" t="s">
        <v>53</v>
      </c>
      <c r="O3196" t="s">
        <v>53</v>
      </c>
      <c r="P3196" t="s">
        <v>53</v>
      </c>
      <c r="Q3196" t="s">
        <v>53</v>
      </c>
    </row>
    <row r="3197" spans="1:17" x14ac:dyDescent="0.2">
      <c r="A3197" s="30" t="str">
        <f>IF(C3197&amp;G3197&amp;D3197&lt;&gt;'Funnel setup'!$K$3&amp;'Funnel setup'!$K$4&amp;'Funnel setup'!$K$5,".",IF(A3196=".",1,A3196+1))</f>
        <v>.</v>
      </c>
      <c r="B3197" s="431" t="str">
        <f t="shared" si="49"/>
        <v>Hip Replacement RevisionProviderPENNINE ACUTE HOSPITALS NHS TRUST (RW6)EQ VAS</v>
      </c>
      <c r="C3197" t="s">
        <v>247</v>
      </c>
      <c r="D3197" t="s">
        <v>1</v>
      </c>
      <c r="E3197" t="s">
        <v>3216</v>
      </c>
      <c r="F3197" t="s">
        <v>3217</v>
      </c>
      <c r="G3197" t="s">
        <v>179</v>
      </c>
      <c r="H3197">
        <v>28</v>
      </c>
      <c r="I3197">
        <v>73.463999999999999</v>
      </c>
      <c r="J3197">
        <v>75.75</v>
      </c>
      <c r="K3197">
        <v>2.286</v>
      </c>
      <c r="L3197">
        <v>16</v>
      </c>
      <c r="M3197">
        <v>3</v>
      </c>
      <c r="N3197">
        <v>9</v>
      </c>
      <c r="O3197" t="s">
        <v>53</v>
      </c>
      <c r="P3197" t="s">
        <v>53</v>
      </c>
      <c r="Q3197" t="s">
        <v>53</v>
      </c>
    </row>
    <row r="3198" spans="1:17" x14ac:dyDescent="0.2">
      <c r="A3198" s="30" t="str">
        <f>IF(C3198&amp;G3198&amp;D3198&lt;&gt;'Funnel setup'!$K$3&amp;'Funnel setup'!$K$4&amp;'Funnel setup'!$K$5,".",IF(A3197=".",1,A3197+1))</f>
        <v>.</v>
      </c>
      <c r="B3198" s="431" t="str">
        <f t="shared" si="49"/>
        <v>Hip Replacement RevisionProviderPETERBOROUGH AND STAMFORD HOSPITALS NHS FOUNDATION TRUST (RGN)EQ VAS</v>
      </c>
      <c r="C3198" t="s">
        <v>247</v>
      </c>
      <c r="D3198" t="s">
        <v>1</v>
      </c>
      <c r="E3198" t="s">
        <v>3219</v>
      </c>
      <c r="F3198" t="s">
        <v>3220</v>
      </c>
      <c r="G3198" t="s">
        <v>179</v>
      </c>
      <c r="H3198" t="s">
        <v>53</v>
      </c>
      <c r="I3198" t="s">
        <v>53</v>
      </c>
      <c r="J3198" t="s">
        <v>53</v>
      </c>
      <c r="K3198" t="s">
        <v>53</v>
      </c>
      <c r="L3198" t="s">
        <v>53</v>
      </c>
      <c r="M3198" t="s">
        <v>53</v>
      </c>
      <c r="N3198" t="s">
        <v>53</v>
      </c>
      <c r="O3198" t="s">
        <v>53</v>
      </c>
      <c r="P3198" t="s">
        <v>53</v>
      </c>
      <c r="Q3198" t="s">
        <v>53</v>
      </c>
    </row>
    <row r="3199" spans="1:17" x14ac:dyDescent="0.2">
      <c r="A3199" s="30" t="str">
        <f>IF(C3199&amp;G3199&amp;D3199&lt;&gt;'Funnel setup'!$K$3&amp;'Funnel setup'!$K$4&amp;'Funnel setup'!$K$5,".",IF(A3198=".",1,A3198+1))</f>
        <v>.</v>
      </c>
      <c r="B3199" s="431" t="str">
        <f t="shared" si="49"/>
        <v>Hip Replacement RevisionProviderPINEHILL HOSPITAL (NVC15)EQ VAS</v>
      </c>
      <c r="C3199" t="s">
        <v>247</v>
      </c>
      <c r="D3199" t="s">
        <v>1</v>
      </c>
      <c r="E3199" t="s">
        <v>3222</v>
      </c>
      <c r="F3199" t="s">
        <v>3223</v>
      </c>
      <c r="G3199" t="s">
        <v>179</v>
      </c>
      <c r="H3199" t="s">
        <v>53</v>
      </c>
      <c r="I3199" t="s">
        <v>53</v>
      </c>
      <c r="J3199" t="s">
        <v>53</v>
      </c>
      <c r="K3199" t="s">
        <v>53</v>
      </c>
      <c r="L3199" t="s">
        <v>53</v>
      </c>
      <c r="M3199" t="s">
        <v>53</v>
      </c>
      <c r="N3199" t="s">
        <v>53</v>
      </c>
      <c r="O3199" t="s">
        <v>53</v>
      </c>
      <c r="P3199" t="s">
        <v>53</v>
      </c>
      <c r="Q3199" t="s">
        <v>53</v>
      </c>
    </row>
    <row r="3200" spans="1:17" x14ac:dyDescent="0.2">
      <c r="A3200" s="30" t="str">
        <f>IF(C3200&amp;G3200&amp;D3200&lt;&gt;'Funnel setup'!$K$3&amp;'Funnel setup'!$K$4&amp;'Funnel setup'!$K$5,".",IF(A3199=".",1,A3199+1))</f>
        <v>.</v>
      </c>
      <c r="B3200" s="431" t="str">
        <f t="shared" si="49"/>
        <v>Hip Replacement RevisionProviderPLYMOUTH HOSPITALS NHS TRUST (RK9)EQ VAS</v>
      </c>
      <c r="C3200" t="s">
        <v>247</v>
      </c>
      <c r="D3200" t="s">
        <v>1</v>
      </c>
      <c r="E3200" t="s">
        <v>3225</v>
      </c>
      <c r="F3200" t="s">
        <v>3226</v>
      </c>
      <c r="G3200" t="s">
        <v>179</v>
      </c>
      <c r="H3200">
        <v>17</v>
      </c>
      <c r="I3200">
        <v>70</v>
      </c>
      <c r="J3200">
        <v>65</v>
      </c>
      <c r="K3200">
        <v>-5</v>
      </c>
      <c r="L3200">
        <v>4</v>
      </c>
      <c r="M3200">
        <v>2</v>
      </c>
      <c r="N3200">
        <v>11</v>
      </c>
      <c r="O3200" t="s">
        <v>53</v>
      </c>
      <c r="P3200" t="s">
        <v>53</v>
      </c>
      <c r="Q3200" t="s">
        <v>53</v>
      </c>
    </row>
    <row r="3201" spans="1:17" x14ac:dyDescent="0.2">
      <c r="A3201" s="30" t="str">
        <f>IF(C3201&amp;G3201&amp;D3201&lt;&gt;'Funnel setup'!$K$3&amp;'Funnel setup'!$K$4&amp;'Funnel setup'!$K$5,".",IF(A3200=".",1,A3200+1))</f>
        <v>.</v>
      </c>
      <c r="B3201" s="431" t="str">
        <f t="shared" si="49"/>
        <v>Hip Replacement RevisionProviderPORTSMOUTH HOSPITALS NHS TRUST (RHU)EQ VAS</v>
      </c>
      <c r="C3201" t="s">
        <v>247</v>
      </c>
      <c r="D3201" t="s">
        <v>1</v>
      </c>
      <c r="E3201" t="s">
        <v>3234</v>
      </c>
      <c r="F3201" t="s">
        <v>3235</v>
      </c>
      <c r="G3201" t="s">
        <v>179</v>
      </c>
      <c r="H3201" t="s">
        <v>53</v>
      </c>
      <c r="I3201" t="s">
        <v>53</v>
      </c>
      <c r="J3201" t="s">
        <v>53</v>
      </c>
      <c r="K3201" t="s">
        <v>53</v>
      </c>
      <c r="L3201" t="s">
        <v>53</v>
      </c>
      <c r="M3201" t="s">
        <v>53</v>
      </c>
      <c r="N3201" t="s">
        <v>53</v>
      </c>
      <c r="O3201" t="s">
        <v>53</v>
      </c>
      <c r="P3201" t="s">
        <v>53</v>
      </c>
      <c r="Q3201" t="s">
        <v>53</v>
      </c>
    </row>
    <row r="3202" spans="1:17" x14ac:dyDescent="0.2">
      <c r="A3202" s="30" t="str">
        <f>IF(C3202&amp;G3202&amp;D3202&lt;&gt;'Funnel setup'!$K$3&amp;'Funnel setup'!$K$4&amp;'Funnel setup'!$K$5,".",IF(A3201=".",1,A3201+1))</f>
        <v>.</v>
      </c>
      <c r="B3202" s="431" t="str">
        <f t="shared" si="49"/>
        <v>Hip Replacement RevisionProviderRENACRES HOSPITAL (NVC16)EQ VAS</v>
      </c>
      <c r="C3202" t="s">
        <v>247</v>
      </c>
      <c r="D3202" t="s">
        <v>1</v>
      </c>
      <c r="E3202" t="s">
        <v>3237</v>
      </c>
      <c r="F3202" t="s">
        <v>3238</v>
      </c>
      <c r="G3202" t="s">
        <v>179</v>
      </c>
      <c r="H3202" t="s">
        <v>53</v>
      </c>
      <c r="I3202" t="s">
        <v>53</v>
      </c>
      <c r="J3202" t="s">
        <v>53</v>
      </c>
      <c r="K3202" t="s">
        <v>53</v>
      </c>
      <c r="L3202" t="s">
        <v>53</v>
      </c>
      <c r="M3202" t="s">
        <v>53</v>
      </c>
      <c r="N3202" t="s">
        <v>53</v>
      </c>
      <c r="O3202" t="s">
        <v>53</v>
      </c>
      <c r="P3202" t="s">
        <v>53</v>
      </c>
      <c r="Q3202" t="s">
        <v>53</v>
      </c>
    </row>
    <row r="3203" spans="1:17" x14ac:dyDescent="0.2">
      <c r="A3203" s="30" t="str">
        <f>IF(C3203&amp;G3203&amp;D3203&lt;&gt;'Funnel setup'!$K$3&amp;'Funnel setup'!$K$4&amp;'Funnel setup'!$K$5,".",IF(A3202=".",1,A3202+1))</f>
        <v>.</v>
      </c>
      <c r="B3203" s="431" t="str">
        <f t="shared" ref="B3203:B3266" si="50">C3203&amp;D3203&amp;F3203&amp;G3203</f>
        <v>Hip Replacement RevisionProviderRIVERS HOSPITAL (NVC19)EQ VAS</v>
      </c>
      <c r="C3203" t="s">
        <v>247</v>
      </c>
      <c r="D3203" t="s">
        <v>1</v>
      </c>
      <c r="E3203" t="s">
        <v>3204</v>
      </c>
      <c r="F3203" t="s">
        <v>3205</v>
      </c>
      <c r="G3203" t="s">
        <v>179</v>
      </c>
      <c r="H3203" t="s">
        <v>53</v>
      </c>
      <c r="I3203" t="s">
        <v>53</v>
      </c>
      <c r="J3203" t="s">
        <v>53</v>
      </c>
      <c r="K3203" t="s">
        <v>53</v>
      </c>
      <c r="L3203" t="s">
        <v>53</v>
      </c>
      <c r="M3203" t="s">
        <v>53</v>
      </c>
      <c r="N3203" t="s">
        <v>53</v>
      </c>
      <c r="O3203" t="s">
        <v>53</v>
      </c>
      <c r="P3203" t="s">
        <v>53</v>
      </c>
      <c r="Q3203" t="s">
        <v>53</v>
      </c>
    </row>
    <row r="3204" spans="1:17" x14ac:dyDescent="0.2">
      <c r="A3204" s="30" t="str">
        <f>IF(C3204&amp;G3204&amp;D3204&lt;&gt;'Funnel setup'!$K$3&amp;'Funnel setup'!$K$4&amp;'Funnel setup'!$K$5,".",IF(A3203=".",1,A3203+1))</f>
        <v>.</v>
      </c>
      <c r="B3204" s="431" t="str">
        <f t="shared" si="50"/>
        <v>Hip Replacement RevisionProviderROYAL BERKSHIRE NHS FOUNDATION TRUST (RHW)EQ VAS</v>
      </c>
      <c r="C3204" t="s">
        <v>247</v>
      </c>
      <c r="D3204" t="s">
        <v>1</v>
      </c>
      <c r="E3204" t="s">
        <v>3832</v>
      </c>
      <c r="F3204" t="s">
        <v>3833</v>
      </c>
      <c r="G3204" t="s">
        <v>179</v>
      </c>
      <c r="H3204">
        <v>13</v>
      </c>
      <c r="I3204">
        <v>51.231000000000002</v>
      </c>
      <c r="J3204">
        <v>68.462000000000003</v>
      </c>
      <c r="K3204">
        <v>17.231000000000002</v>
      </c>
      <c r="L3204">
        <v>7</v>
      </c>
      <c r="M3204">
        <v>2</v>
      </c>
      <c r="N3204">
        <v>4</v>
      </c>
      <c r="O3204" t="s">
        <v>53</v>
      </c>
      <c r="P3204" t="s">
        <v>53</v>
      </c>
      <c r="Q3204" t="s">
        <v>53</v>
      </c>
    </row>
    <row r="3205" spans="1:17" x14ac:dyDescent="0.2">
      <c r="A3205" s="30" t="str">
        <f>IF(C3205&amp;G3205&amp;D3205&lt;&gt;'Funnel setup'!$K$3&amp;'Funnel setup'!$K$4&amp;'Funnel setup'!$K$5,".",IF(A3204=".",1,A3204+1))</f>
        <v>.</v>
      </c>
      <c r="B3205" s="431" t="str">
        <f t="shared" si="50"/>
        <v>Hip Replacement RevisionProviderROYAL CORNWALL HOSPITALS NHS TRUST (REF)EQ VAS</v>
      </c>
      <c r="C3205" t="s">
        <v>247</v>
      </c>
      <c r="D3205" t="s">
        <v>1</v>
      </c>
      <c r="E3205" t="s">
        <v>3745</v>
      </c>
      <c r="F3205" t="s">
        <v>3746</v>
      </c>
      <c r="G3205" t="s">
        <v>179</v>
      </c>
      <c r="H3205">
        <v>29</v>
      </c>
      <c r="I3205">
        <v>62.482999999999997</v>
      </c>
      <c r="J3205">
        <v>60.378999999999998</v>
      </c>
      <c r="K3205">
        <v>-2.1030000000000002</v>
      </c>
      <c r="L3205">
        <v>11</v>
      </c>
      <c r="M3205">
        <v>5</v>
      </c>
      <c r="N3205">
        <v>13</v>
      </c>
      <c r="O3205" t="s">
        <v>53</v>
      </c>
      <c r="P3205" t="s">
        <v>53</v>
      </c>
      <c r="Q3205" t="s">
        <v>53</v>
      </c>
    </row>
    <row r="3206" spans="1:17" x14ac:dyDescent="0.2">
      <c r="A3206" s="30" t="str">
        <f>IF(C3206&amp;G3206&amp;D3206&lt;&gt;'Funnel setup'!$K$3&amp;'Funnel setup'!$K$4&amp;'Funnel setup'!$K$5,".",IF(A3205=".",1,A3205+1))</f>
        <v>.</v>
      </c>
      <c r="B3206" s="431" t="str">
        <f t="shared" si="50"/>
        <v>Hip Replacement RevisionProviderROYAL DEVON AND EXETER NHS FOUNDATION TRUST (RH8)EQ VAS</v>
      </c>
      <c r="C3206" t="s">
        <v>247</v>
      </c>
      <c r="D3206" t="s">
        <v>1</v>
      </c>
      <c r="E3206" t="s">
        <v>3442</v>
      </c>
      <c r="F3206" t="s">
        <v>3443</v>
      </c>
      <c r="G3206" t="s">
        <v>179</v>
      </c>
      <c r="H3206">
        <v>50</v>
      </c>
      <c r="I3206">
        <v>66</v>
      </c>
      <c r="J3206">
        <v>70.02</v>
      </c>
      <c r="K3206">
        <v>4.0199999999999996</v>
      </c>
      <c r="L3206">
        <v>27</v>
      </c>
      <c r="M3206">
        <v>7</v>
      </c>
      <c r="N3206">
        <v>16</v>
      </c>
      <c r="O3206">
        <v>70.52</v>
      </c>
      <c r="P3206">
        <v>5.7494511910000003</v>
      </c>
      <c r="Q3206">
        <v>19.11</v>
      </c>
    </row>
    <row r="3207" spans="1:17" x14ac:dyDescent="0.2">
      <c r="A3207" s="30" t="str">
        <f>IF(C3207&amp;G3207&amp;D3207&lt;&gt;'Funnel setup'!$K$3&amp;'Funnel setup'!$K$4&amp;'Funnel setup'!$K$5,".",IF(A3206=".",1,A3206+1))</f>
        <v>.</v>
      </c>
      <c r="B3207" s="431" t="str">
        <f t="shared" si="50"/>
        <v>Hip Replacement RevisionProviderROYAL FREE LONDON NHS FOUNDATION TRUST (RAL)EQ VAS</v>
      </c>
      <c r="C3207" t="s">
        <v>247</v>
      </c>
      <c r="D3207" t="s">
        <v>1</v>
      </c>
      <c r="E3207" t="s">
        <v>3445</v>
      </c>
      <c r="F3207" t="s">
        <v>3446</v>
      </c>
      <c r="G3207" t="s">
        <v>179</v>
      </c>
      <c r="H3207">
        <v>12</v>
      </c>
      <c r="I3207">
        <v>67.75</v>
      </c>
      <c r="J3207">
        <v>76.082999999999998</v>
      </c>
      <c r="K3207">
        <v>8.3330000000000002</v>
      </c>
      <c r="L3207">
        <v>9</v>
      </c>
      <c r="M3207">
        <v>2</v>
      </c>
      <c r="N3207">
        <v>1</v>
      </c>
      <c r="O3207" t="s">
        <v>53</v>
      </c>
      <c r="P3207" t="s">
        <v>53</v>
      </c>
      <c r="Q3207" t="s">
        <v>53</v>
      </c>
    </row>
    <row r="3208" spans="1:17" x14ac:dyDescent="0.2">
      <c r="A3208" s="30" t="str">
        <f>IF(C3208&amp;G3208&amp;D3208&lt;&gt;'Funnel setup'!$K$3&amp;'Funnel setup'!$K$4&amp;'Funnel setup'!$K$5,".",IF(A3207=".",1,A3207+1))</f>
        <v>.</v>
      </c>
      <c r="B3208" s="431" t="str">
        <f t="shared" si="50"/>
        <v>Hip Replacement RevisionProviderROYAL LIVERPOOL AND BROADGREEN UNIVERSITY HOSPITALS NHS TRUST (RQ6)EQ VAS</v>
      </c>
      <c r="C3208" t="s">
        <v>247</v>
      </c>
      <c r="D3208" t="s">
        <v>1</v>
      </c>
      <c r="E3208" t="s">
        <v>3448</v>
      </c>
      <c r="F3208" t="s">
        <v>3449</v>
      </c>
      <c r="G3208" t="s">
        <v>179</v>
      </c>
      <c r="H3208" t="s">
        <v>53</v>
      </c>
      <c r="I3208" t="s">
        <v>53</v>
      </c>
      <c r="J3208" t="s">
        <v>53</v>
      </c>
      <c r="K3208" t="s">
        <v>53</v>
      </c>
      <c r="L3208" t="s">
        <v>53</v>
      </c>
      <c r="M3208" t="s">
        <v>53</v>
      </c>
      <c r="N3208" t="s">
        <v>53</v>
      </c>
      <c r="O3208" t="s">
        <v>53</v>
      </c>
      <c r="P3208" t="s">
        <v>53</v>
      </c>
      <c r="Q3208" t="s">
        <v>53</v>
      </c>
    </row>
    <row r="3209" spans="1:17" x14ac:dyDescent="0.2">
      <c r="A3209" s="30" t="str">
        <f>IF(C3209&amp;G3209&amp;D3209&lt;&gt;'Funnel setup'!$K$3&amp;'Funnel setup'!$K$4&amp;'Funnel setup'!$K$5,".",IF(A3208=".",1,A3208+1))</f>
        <v>.</v>
      </c>
      <c r="B3209" s="431" t="str">
        <f t="shared" si="50"/>
        <v>Hip Replacement RevisionProviderROYAL NATIONAL ORTHOPAEDIC HOSPITAL NHS TRUST (RAN)EQ VAS</v>
      </c>
      <c r="C3209" t="s">
        <v>247</v>
      </c>
      <c r="D3209" t="s">
        <v>1</v>
      </c>
      <c r="E3209" t="s">
        <v>4378</v>
      </c>
      <c r="F3209" t="s">
        <v>4379</v>
      </c>
      <c r="G3209" t="s">
        <v>179</v>
      </c>
      <c r="H3209">
        <v>36</v>
      </c>
      <c r="I3209">
        <v>58.917000000000002</v>
      </c>
      <c r="J3209">
        <v>70.278000000000006</v>
      </c>
      <c r="K3209">
        <v>11.361000000000001</v>
      </c>
      <c r="L3209">
        <v>23</v>
      </c>
      <c r="M3209">
        <v>2</v>
      </c>
      <c r="N3209">
        <v>11</v>
      </c>
      <c r="O3209">
        <v>71.653000000000006</v>
      </c>
      <c r="P3209">
        <v>6.88270362</v>
      </c>
      <c r="Q3209">
        <v>22.960999999999999</v>
      </c>
    </row>
    <row r="3210" spans="1:17" x14ac:dyDescent="0.2">
      <c r="A3210" s="30" t="str">
        <f>IF(C3210&amp;G3210&amp;D3210&lt;&gt;'Funnel setup'!$K$3&amp;'Funnel setup'!$K$4&amp;'Funnel setup'!$K$5,".",IF(A3209=".",1,A3209+1))</f>
        <v>.</v>
      </c>
      <c r="B3210" s="431" t="str">
        <f t="shared" si="50"/>
        <v>Hip Replacement RevisionProviderROYAL SURREY COUNTY HOSPITAL NHS FOUNDATION TRUST (RA2)EQ VAS</v>
      </c>
      <c r="C3210" t="s">
        <v>247</v>
      </c>
      <c r="D3210" t="s">
        <v>1</v>
      </c>
      <c r="E3210" t="s">
        <v>3451</v>
      </c>
      <c r="F3210" t="s">
        <v>3452</v>
      </c>
      <c r="G3210" t="s">
        <v>179</v>
      </c>
      <c r="H3210">
        <v>6</v>
      </c>
      <c r="I3210">
        <v>48.332999999999998</v>
      </c>
      <c r="J3210">
        <v>62.5</v>
      </c>
      <c r="K3210">
        <v>14.167</v>
      </c>
      <c r="L3210">
        <v>4</v>
      </c>
      <c r="M3210">
        <v>2</v>
      </c>
      <c r="N3210">
        <v>0</v>
      </c>
      <c r="O3210" t="s">
        <v>53</v>
      </c>
      <c r="P3210" t="s">
        <v>53</v>
      </c>
      <c r="Q3210" t="s">
        <v>53</v>
      </c>
    </row>
    <row r="3211" spans="1:17" x14ac:dyDescent="0.2">
      <c r="A3211" s="30" t="str">
        <f>IF(C3211&amp;G3211&amp;D3211&lt;&gt;'Funnel setup'!$K$3&amp;'Funnel setup'!$K$4&amp;'Funnel setup'!$K$5,".",IF(A3210=".",1,A3210+1))</f>
        <v>.</v>
      </c>
      <c r="B3211" s="431" t="str">
        <f t="shared" si="50"/>
        <v>Hip Replacement RevisionProviderROYAL UNITED HOSPITALS BATH NHS FOUNDATION TRUST (RD1)EQ VAS</v>
      </c>
      <c r="C3211" t="s">
        <v>247</v>
      </c>
      <c r="D3211" t="s">
        <v>1</v>
      </c>
      <c r="E3211" t="s">
        <v>3454</v>
      </c>
      <c r="F3211" t="s">
        <v>3455</v>
      </c>
      <c r="G3211" t="s">
        <v>179</v>
      </c>
      <c r="H3211">
        <v>30</v>
      </c>
      <c r="I3211">
        <v>66.933000000000007</v>
      </c>
      <c r="J3211">
        <v>73.632999999999996</v>
      </c>
      <c r="K3211">
        <v>6.7</v>
      </c>
      <c r="L3211">
        <v>11</v>
      </c>
      <c r="M3211">
        <v>9</v>
      </c>
      <c r="N3211">
        <v>10</v>
      </c>
      <c r="O3211">
        <v>71.906999999999996</v>
      </c>
      <c r="P3211">
        <v>7.1361314800000004</v>
      </c>
      <c r="Q3211">
        <v>14.015000000000001</v>
      </c>
    </row>
    <row r="3212" spans="1:17" x14ac:dyDescent="0.2">
      <c r="A3212" s="30" t="str">
        <f>IF(C3212&amp;G3212&amp;D3212&lt;&gt;'Funnel setup'!$K$3&amp;'Funnel setup'!$K$4&amp;'Funnel setup'!$K$5,".",IF(A3211=".",1,A3211+1))</f>
        <v>.</v>
      </c>
      <c r="B3212" s="431" t="str">
        <f t="shared" si="50"/>
        <v>Hip Replacement RevisionProviderSALFORD ROYAL NHS FOUNDATION TRUST (RM3)EQ VAS</v>
      </c>
      <c r="C3212" t="s">
        <v>247</v>
      </c>
      <c r="D3212" t="s">
        <v>1</v>
      </c>
      <c r="E3212" t="s">
        <v>3457</v>
      </c>
      <c r="F3212" t="s">
        <v>3458</v>
      </c>
      <c r="G3212" t="s">
        <v>179</v>
      </c>
      <c r="H3212" t="s">
        <v>53</v>
      </c>
      <c r="I3212" t="s">
        <v>53</v>
      </c>
      <c r="J3212" t="s">
        <v>53</v>
      </c>
      <c r="K3212" t="s">
        <v>53</v>
      </c>
      <c r="L3212" t="s">
        <v>53</v>
      </c>
      <c r="M3212" t="s">
        <v>53</v>
      </c>
      <c r="N3212" t="s">
        <v>53</v>
      </c>
      <c r="O3212" t="s">
        <v>53</v>
      </c>
      <c r="P3212" t="s">
        <v>53</v>
      </c>
      <c r="Q3212" t="s">
        <v>53</v>
      </c>
    </row>
    <row r="3213" spans="1:17" x14ac:dyDescent="0.2">
      <c r="A3213" s="30" t="str">
        <f>IF(C3213&amp;G3213&amp;D3213&lt;&gt;'Funnel setup'!$K$3&amp;'Funnel setup'!$K$4&amp;'Funnel setup'!$K$5,".",IF(A3212=".",1,A3212+1))</f>
        <v>.</v>
      </c>
      <c r="B3213" s="431" t="str">
        <f t="shared" si="50"/>
        <v>Hip Replacement RevisionProviderSALISBURY NHS FOUNDATION TRUST (RNZ)EQ VAS</v>
      </c>
      <c r="C3213" t="s">
        <v>247</v>
      </c>
      <c r="D3213" t="s">
        <v>1</v>
      </c>
      <c r="E3213" t="s">
        <v>3460</v>
      </c>
      <c r="F3213" t="s">
        <v>3461</v>
      </c>
      <c r="G3213" t="s">
        <v>179</v>
      </c>
      <c r="H3213" t="s">
        <v>53</v>
      </c>
      <c r="I3213" t="s">
        <v>53</v>
      </c>
      <c r="J3213" t="s">
        <v>53</v>
      </c>
      <c r="K3213" t="s">
        <v>53</v>
      </c>
      <c r="L3213" t="s">
        <v>53</v>
      </c>
      <c r="M3213" t="s">
        <v>53</v>
      </c>
      <c r="N3213" t="s">
        <v>53</v>
      </c>
      <c r="O3213" t="s">
        <v>53</v>
      </c>
      <c r="P3213" t="s">
        <v>53</v>
      </c>
      <c r="Q3213" t="s">
        <v>53</v>
      </c>
    </row>
    <row r="3214" spans="1:17" x14ac:dyDescent="0.2">
      <c r="A3214" s="30" t="str">
        <f>IF(C3214&amp;G3214&amp;D3214&lt;&gt;'Funnel setup'!$K$3&amp;'Funnel setup'!$K$4&amp;'Funnel setup'!$K$5,".",IF(A3213=".",1,A3213+1))</f>
        <v>.</v>
      </c>
      <c r="B3214" s="431" t="str">
        <f t="shared" si="50"/>
        <v>Hip Replacement RevisionProviderSANDWELL AND WEST BIRMINGHAM HOSPITALS NHS TRUST (RXK)EQ VAS</v>
      </c>
      <c r="C3214" t="s">
        <v>247</v>
      </c>
      <c r="D3214" t="s">
        <v>1</v>
      </c>
      <c r="E3214" t="s">
        <v>3463</v>
      </c>
      <c r="F3214" t="s">
        <v>3464</v>
      </c>
      <c r="G3214" t="s">
        <v>179</v>
      </c>
      <c r="H3214" t="s">
        <v>53</v>
      </c>
      <c r="I3214" t="s">
        <v>53</v>
      </c>
      <c r="J3214" t="s">
        <v>53</v>
      </c>
      <c r="K3214" t="s">
        <v>53</v>
      </c>
      <c r="L3214" t="s">
        <v>53</v>
      </c>
      <c r="M3214" t="s">
        <v>53</v>
      </c>
      <c r="N3214" t="s">
        <v>53</v>
      </c>
      <c r="O3214" t="s">
        <v>53</v>
      </c>
      <c r="P3214" t="s">
        <v>53</v>
      </c>
      <c r="Q3214" t="s">
        <v>53</v>
      </c>
    </row>
    <row r="3215" spans="1:17" x14ac:dyDescent="0.2">
      <c r="A3215" s="30" t="str">
        <f>IF(C3215&amp;G3215&amp;D3215&lt;&gt;'Funnel setup'!$K$3&amp;'Funnel setup'!$K$4&amp;'Funnel setup'!$K$5,".",IF(A3214=".",1,A3214+1))</f>
        <v>.</v>
      </c>
      <c r="B3215" s="431" t="str">
        <f t="shared" si="50"/>
        <v>Hip Replacement RevisionProviderSHEFFIELD TEACHING HOSPITALS NHS FOUNDATION TRUST (RHQ)EQ VAS</v>
      </c>
      <c r="C3215" t="s">
        <v>247</v>
      </c>
      <c r="D3215" t="s">
        <v>1</v>
      </c>
      <c r="E3215" t="s">
        <v>3466</v>
      </c>
      <c r="F3215" t="s">
        <v>3467</v>
      </c>
      <c r="G3215" t="s">
        <v>179</v>
      </c>
      <c r="H3215">
        <v>44</v>
      </c>
      <c r="I3215">
        <v>57</v>
      </c>
      <c r="J3215">
        <v>66.75</v>
      </c>
      <c r="K3215">
        <v>9.75</v>
      </c>
      <c r="L3215">
        <v>27</v>
      </c>
      <c r="M3215">
        <v>4</v>
      </c>
      <c r="N3215">
        <v>13</v>
      </c>
      <c r="O3215">
        <v>68.739999999999995</v>
      </c>
      <c r="P3215">
        <v>3.9698664560000001</v>
      </c>
      <c r="Q3215">
        <v>18.629000000000001</v>
      </c>
    </row>
    <row r="3216" spans="1:17" x14ac:dyDescent="0.2">
      <c r="A3216" s="30" t="str">
        <f>IF(C3216&amp;G3216&amp;D3216&lt;&gt;'Funnel setup'!$K$3&amp;'Funnel setup'!$K$4&amp;'Funnel setup'!$K$5,".",IF(A3215=".",1,A3215+1))</f>
        <v>.</v>
      </c>
      <c r="B3216" s="431" t="str">
        <f t="shared" si="50"/>
        <v>Hip Replacement RevisionProviderSHEPTON MALLET NHS TREATMENT CENTRE (NTPH1)EQ VAS</v>
      </c>
      <c r="C3216" t="s">
        <v>247</v>
      </c>
      <c r="D3216" t="s">
        <v>1</v>
      </c>
      <c r="E3216" t="s">
        <v>3472</v>
      </c>
      <c r="F3216" t="s">
        <v>3473</v>
      </c>
      <c r="G3216" t="s">
        <v>179</v>
      </c>
      <c r="H3216">
        <v>30</v>
      </c>
      <c r="I3216">
        <v>79.433000000000007</v>
      </c>
      <c r="J3216">
        <v>82.332999999999998</v>
      </c>
      <c r="K3216">
        <v>2.9</v>
      </c>
      <c r="L3216">
        <v>15</v>
      </c>
      <c r="M3216">
        <v>3</v>
      </c>
      <c r="N3216">
        <v>12</v>
      </c>
      <c r="O3216">
        <v>74.013000000000005</v>
      </c>
      <c r="P3216">
        <v>9.2427311099999994</v>
      </c>
      <c r="Q3216">
        <v>12.224</v>
      </c>
    </row>
    <row r="3217" spans="1:17" x14ac:dyDescent="0.2">
      <c r="A3217" s="30" t="str">
        <f>IF(C3217&amp;G3217&amp;D3217&lt;&gt;'Funnel setup'!$K$3&amp;'Funnel setup'!$K$4&amp;'Funnel setup'!$K$5,".",IF(A3216=".",1,A3216+1))</f>
        <v>.</v>
      </c>
      <c r="B3217" s="431" t="str">
        <f t="shared" si="50"/>
        <v>Hip Replacement RevisionProviderSHERWOOD FOREST HOSPITALS NHS FOUNDATION TRUST (RK5)EQ VAS</v>
      </c>
      <c r="C3217" t="s">
        <v>247</v>
      </c>
      <c r="D3217" t="s">
        <v>1</v>
      </c>
      <c r="E3217" t="s">
        <v>3475</v>
      </c>
      <c r="F3217" t="s">
        <v>3476</v>
      </c>
      <c r="G3217" t="s">
        <v>179</v>
      </c>
      <c r="H3217" t="s">
        <v>53</v>
      </c>
      <c r="I3217" t="s">
        <v>53</v>
      </c>
      <c r="J3217" t="s">
        <v>53</v>
      </c>
      <c r="K3217" t="s">
        <v>53</v>
      </c>
      <c r="L3217" t="s">
        <v>53</v>
      </c>
      <c r="M3217" t="s">
        <v>53</v>
      </c>
      <c r="N3217" t="s">
        <v>53</v>
      </c>
      <c r="O3217" t="s">
        <v>53</v>
      </c>
      <c r="P3217" t="s">
        <v>53</v>
      </c>
      <c r="Q3217" t="s">
        <v>53</v>
      </c>
    </row>
    <row r="3218" spans="1:17" x14ac:dyDescent="0.2">
      <c r="A3218" s="30" t="str">
        <f>IF(C3218&amp;G3218&amp;D3218&lt;&gt;'Funnel setup'!$K$3&amp;'Funnel setup'!$K$4&amp;'Funnel setup'!$K$5,".",IF(A3217=".",1,A3217+1))</f>
        <v>.</v>
      </c>
      <c r="B3218" s="431" t="str">
        <f t="shared" si="50"/>
        <v>Hip Replacement RevisionProviderSHREWSBURY AND TELFORD HOSPITAL NHS TRUST (RXW)EQ VAS</v>
      </c>
      <c r="C3218" t="s">
        <v>247</v>
      </c>
      <c r="D3218" t="s">
        <v>1</v>
      </c>
      <c r="E3218" t="s">
        <v>3478</v>
      </c>
      <c r="F3218" t="s">
        <v>3479</v>
      </c>
      <c r="G3218" t="s">
        <v>179</v>
      </c>
      <c r="H3218">
        <v>13</v>
      </c>
      <c r="I3218">
        <v>68.923000000000002</v>
      </c>
      <c r="J3218">
        <v>70.614999999999995</v>
      </c>
      <c r="K3218">
        <v>1.6919999999999999</v>
      </c>
      <c r="L3218">
        <v>5</v>
      </c>
      <c r="M3218">
        <v>3</v>
      </c>
      <c r="N3218">
        <v>5</v>
      </c>
      <c r="O3218" t="s">
        <v>53</v>
      </c>
      <c r="P3218" t="s">
        <v>53</v>
      </c>
      <c r="Q3218" t="s">
        <v>53</v>
      </c>
    </row>
    <row r="3219" spans="1:17" x14ac:dyDescent="0.2">
      <c r="A3219" s="30" t="str">
        <f>IF(C3219&amp;G3219&amp;D3219&lt;&gt;'Funnel setup'!$K$3&amp;'Funnel setup'!$K$4&amp;'Funnel setup'!$K$5,".",IF(A3218=".",1,A3218+1))</f>
        <v>.</v>
      </c>
      <c r="B3219" s="431" t="str">
        <f t="shared" si="50"/>
        <v>Hip Replacement RevisionProviderSOUTH TEES HOSPITALS NHS FOUNDATION TRUST (RTR)EQ VAS</v>
      </c>
      <c r="C3219" t="s">
        <v>247</v>
      </c>
      <c r="D3219" t="s">
        <v>1</v>
      </c>
      <c r="E3219" t="s">
        <v>3482</v>
      </c>
      <c r="F3219" t="s">
        <v>3483</v>
      </c>
      <c r="G3219" t="s">
        <v>179</v>
      </c>
      <c r="H3219">
        <v>41</v>
      </c>
      <c r="I3219">
        <v>67.39</v>
      </c>
      <c r="J3219">
        <v>68.072999999999993</v>
      </c>
      <c r="K3219">
        <v>0.68300000000000005</v>
      </c>
      <c r="L3219">
        <v>18</v>
      </c>
      <c r="M3219">
        <v>3</v>
      </c>
      <c r="N3219">
        <v>20</v>
      </c>
      <c r="O3219">
        <v>67.692999999999998</v>
      </c>
      <c r="P3219">
        <v>2.9226326729999998</v>
      </c>
      <c r="Q3219">
        <v>15.557</v>
      </c>
    </row>
    <row r="3220" spans="1:17" x14ac:dyDescent="0.2">
      <c r="A3220" s="30" t="str">
        <f>IF(C3220&amp;G3220&amp;D3220&lt;&gt;'Funnel setup'!$K$3&amp;'Funnel setup'!$K$4&amp;'Funnel setup'!$K$5,".",IF(A3219=".",1,A3219+1))</f>
        <v>.</v>
      </c>
      <c r="B3220" s="431" t="str">
        <f t="shared" si="50"/>
        <v>Hip Replacement RevisionProviderSOUTH TYNESIDE NHS FOUNDATION TRUST (RE9)EQ VAS</v>
      </c>
      <c r="C3220" t="s">
        <v>247</v>
      </c>
      <c r="D3220" t="s">
        <v>1</v>
      </c>
      <c r="E3220" t="s">
        <v>3485</v>
      </c>
      <c r="F3220" t="s">
        <v>3486</v>
      </c>
      <c r="G3220" t="s">
        <v>179</v>
      </c>
      <c r="H3220" t="s">
        <v>53</v>
      </c>
      <c r="I3220" t="s">
        <v>53</v>
      </c>
      <c r="J3220" t="s">
        <v>53</v>
      </c>
      <c r="K3220" t="s">
        <v>53</v>
      </c>
      <c r="L3220" t="s">
        <v>53</v>
      </c>
      <c r="M3220" t="s">
        <v>53</v>
      </c>
      <c r="N3220" t="s">
        <v>53</v>
      </c>
      <c r="O3220" t="s">
        <v>53</v>
      </c>
      <c r="P3220" t="s">
        <v>53</v>
      </c>
      <c r="Q3220" t="s">
        <v>53</v>
      </c>
    </row>
    <row r="3221" spans="1:17" x14ac:dyDescent="0.2">
      <c r="A3221" s="30" t="str">
        <f>IF(C3221&amp;G3221&amp;D3221&lt;&gt;'Funnel setup'!$K$3&amp;'Funnel setup'!$K$4&amp;'Funnel setup'!$K$5,".",IF(A3220=".",1,A3220+1))</f>
        <v>.</v>
      </c>
      <c r="B3221" s="431" t="str">
        <f t="shared" si="50"/>
        <v>Hip Replacement RevisionProviderSOUTH WARWICKSHIRE NHS FOUNDATION TRUST (RJC)EQ VAS</v>
      </c>
      <c r="C3221" t="s">
        <v>247</v>
      </c>
      <c r="D3221" t="s">
        <v>1</v>
      </c>
      <c r="E3221" t="s">
        <v>3421</v>
      </c>
      <c r="F3221" t="s">
        <v>3422</v>
      </c>
      <c r="G3221" t="s">
        <v>179</v>
      </c>
      <c r="H3221">
        <v>16</v>
      </c>
      <c r="I3221">
        <v>62</v>
      </c>
      <c r="J3221">
        <v>63.75</v>
      </c>
      <c r="K3221">
        <v>1.75</v>
      </c>
      <c r="L3221">
        <v>8</v>
      </c>
      <c r="M3221">
        <v>1</v>
      </c>
      <c r="N3221">
        <v>7</v>
      </c>
      <c r="O3221" t="s">
        <v>53</v>
      </c>
      <c r="P3221" t="s">
        <v>53</v>
      </c>
      <c r="Q3221" t="s">
        <v>53</v>
      </c>
    </row>
    <row r="3222" spans="1:17" x14ac:dyDescent="0.2">
      <c r="A3222" s="30" t="str">
        <f>IF(C3222&amp;G3222&amp;D3222&lt;&gt;'Funnel setup'!$K$3&amp;'Funnel setup'!$K$4&amp;'Funnel setup'!$K$5,".",IF(A3221=".",1,A3221+1))</f>
        <v>.</v>
      </c>
      <c r="B3222" s="431" t="str">
        <f t="shared" si="50"/>
        <v>Hip Replacement RevisionProviderSOUTHEND UNIVERSITY HOSPITAL NHS FOUNDATION TRUST (RAJ)EQ VAS</v>
      </c>
      <c r="C3222" t="s">
        <v>247</v>
      </c>
      <c r="D3222" t="s">
        <v>1</v>
      </c>
      <c r="E3222" t="s">
        <v>3427</v>
      </c>
      <c r="F3222" t="s">
        <v>3428</v>
      </c>
      <c r="G3222" t="s">
        <v>179</v>
      </c>
      <c r="H3222">
        <v>9</v>
      </c>
      <c r="I3222">
        <v>85</v>
      </c>
      <c r="J3222">
        <v>80.111000000000004</v>
      </c>
      <c r="K3222">
        <v>-4.8890000000000002</v>
      </c>
      <c r="L3222">
        <v>3</v>
      </c>
      <c r="M3222">
        <v>1</v>
      </c>
      <c r="N3222">
        <v>5</v>
      </c>
      <c r="O3222" t="s">
        <v>53</v>
      </c>
      <c r="P3222" t="s">
        <v>53</v>
      </c>
      <c r="Q3222" t="s">
        <v>53</v>
      </c>
    </row>
    <row r="3223" spans="1:17" x14ac:dyDescent="0.2">
      <c r="A3223" s="30" t="str">
        <f>IF(C3223&amp;G3223&amp;D3223&lt;&gt;'Funnel setup'!$K$3&amp;'Funnel setup'!$K$4&amp;'Funnel setup'!$K$5,".",IF(A3222=".",1,A3222+1))</f>
        <v>.</v>
      </c>
      <c r="B3223" s="431" t="str">
        <f t="shared" si="50"/>
        <v>Hip Replacement RevisionProviderSOUTHPORT AND ORMSKIRK HOSPITAL NHS TRUST (RVY)EQ VAS</v>
      </c>
      <c r="C3223" t="s">
        <v>247</v>
      </c>
      <c r="D3223" t="s">
        <v>1</v>
      </c>
      <c r="E3223" t="s">
        <v>3430</v>
      </c>
      <c r="F3223" t="s">
        <v>3431</v>
      </c>
      <c r="G3223" t="s">
        <v>179</v>
      </c>
      <c r="H3223" t="s">
        <v>53</v>
      </c>
      <c r="I3223" t="s">
        <v>53</v>
      </c>
      <c r="J3223" t="s">
        <v>53</v>
      </c>
      <c r="K3223" t="s">
        <v>53</v>
      </c>
      <c r="L3223" t="s">
        <v>53</v>
      </c>
      <c r="M3223" t="s">
        <v>53</v>
      </c>
      <c r="N3223" t="s">
        <v>53</v>
      </c>
      <c r="O3223" t="s">
        <v>53</v>
      </c>
      <c r="P3223" t="s">
        <v>53</v>
      </c>
      <c r="Q3223" t="s">
        <v>53</v>
      </c>
    </row>
    <row r="3224" spans="1:17" x14ac:dyDescent="0.2">
      <c r="A3224" s="30" t="str">
        <f>IF(C3224&amp;G3224&amp;D3224&lt;&gt;'Funnel setup'!$K$3&amp;'Funnel setup'!$K$4&amp;'Funnel setup'!$K$5,".",IF(A3223=".",1,A3223+1))</f>
        <v>.</v>
      </c>
      <c r="B3224" s="431" t="str">
        <f t="shared" si="50"/>
        <v>Hip Replacement RevisionProviderSPIRE BRISTOL HOSPITAL (NT302)EQ VAS</v>
      </c>
      <c r="C3224" t="s">
        <v>247</v>
      </c>
      <c r="D3224" t="s">
        <v>1</v>
      </c>
      <c r="E3224" t="s">
        <v>4381</v>
      </c>
      <c r="F3224" t="s">
        <v>4382</v>
      </c>
      <c r="G3224" t="s">
        <v>179</v>
      </c>
      <c r="H3224" t="s">
        <v>53</v>
      </c>
      <c r="I3224" t="s">
        <v>53</v>
      </c>
      <c r="J3224" t="s">
        <v>53</v>
      </c>
      <c r="K3224" t="s">
        <v>53</v>
      </c>
      <c r="L3224" t="s">
        <v>53</v>
      </c>
      <c r="M3224" t="s">
        <v>53</v>
      </c>
      <c r="N3224" t="s">
        <v>53</v>
      </c>
      <c r="O3224" t="s">
        <v>53</v>
      </c>
      <c r="P3224" t="s">
        <v>53</v>
      </c>
      <c r="Q3224" t="s">
        <v>53</v>
      </c>
    </row>
    <row r="3225" spans="1:17" x14ac:dyDescent="0.2">
      <c r="A3225" s="30" t="str">
        <f>IF(C3225&amp;G3225&amp;D3225&lt;&gt;'Funnel setup'!$K$3&amp;'Funnel setup'!$K$4&amp;'Funnel setup'!$K$5,".",IF(A3224=".",1,A3224+1))</f>
        <v>.</v>
      </c>
      <c r="B3225" s="431" t="str">
        <f t="shared" si="50"/>
        <v>Hip Replacement RevisionProviderSPIRE GATWICK PARK HOSPITAL (NT308)EQ VAS</v>
      </c>
      <c r="C3225" t="s">
        <v>247</v>
      </c>
      <c r="D3225" t="s">
        <v>1</v>
      </c>
      <c r="E3225" t="s">
        <v>3409</v>
      </c>
      <c r="F3225" t="s">
        <v>3410</v>
      </c>
      <c r="G3225" t="s">
        <v>179</v>
      </c>
      <c r="H3225" t="s">
        <v>53</v>
      </c>
      <c r="I3225" t="s">
        <v>53</v>
      </c>
      <c r="J3225" t="s">
        <v>53</v>
      </c>
      <c r="K3225" t="s">
        <v>53</v>
      </c>
      <c r="L3225" t="s">
        <v>53</v>
      </c>
      <c r="M3225" t="s">
        <v>53</v>
      </c>
      <c r="N3225" t="s">
        <v>53</v>
      </c>
      <c r="O3225" t="s">
        <v>53</v>
      </c>
      <c r="P3225" t="s">
        <v>53</v>
      </c>
      <c r="Q3225" t="s">
        <v>53</v>
      </c>
    </row>
    <row r="3226" spans="1:17" x14ac:dyDescent="0.2">
      <c r="A3226" s="30" t="str">
        <f>IF(C3226&amp;G3226&amp;D3226&lt;&gt;'Funnel setup'!$K$3&amp;'Funnel setup'!$K$4&amp;'Funnel setup'!$K$5,".",IF(A3225=".",1,A3225+1))</f>
        <v>.</v>
      </c>
      <c r="B3226" s="431" t="str">
        <f t="shared" si="50"/>
        <v>Hip Replacement RevisionProviderSPIRE HARPENDEN HOSPITAL (NT316)EQ VAS</v>
      </c>
      <c r="C3226" t="s">
        <v>247</v>
      </c>
      <c r="D3226" t="s">
        <v>1</v>
      </c>
      <c r="E3226" t="s">
        <v>4267</v>
      </c>
      <c r="F3226" t="s">
        <v>4268</v>
      </c>
      <c r="G3226" t="s">
        <v>179</v>
      </c>
      <c r="H3226" t="s">
        <v>53</v>
      </c>
      <c r="I3226" t="s">
        <v>53</v>
      </c>
      <c r="J3226" t="s">
        <v>53</v>
      </c>
      <c r="K3226" t="s">
        <v>53</v>
      </c>
      <c r="L3226" t="s">
        <v>53</v>
      </c>
      <c r="M3226" t="s">
        <v>53</v>
      </c>
      <c r="N3226" t="s">
        <v>53</v>
      </c>
      <c r="O3226" t="s">
        <v>53</v>
      </c>
      <c r="P3226" t="s">
        <v>53</v>
      </c>
      <c r="Q3226" t="s">
        <v>53</v>
      </c>
    </row>
    <row r="3227" spans="1:17" x14ac:dyDescent="0.2">
      <c r="A3227" s="30" t="str">
        <f>IF(C3227&amp;G3227&amp;D3227&lt;&gt;'Funnel setup'!$K$3&amp;'Funnel setup'!$K$4&amp;'Funnel setup'!$K$5,".",IF(A3226=".",1,A3226+1))</f>
        <v>.</v>
      </c>
      <c r="B3227" s="431" t="str">
        <f t="shared" si="50"/>
        <v>Hip Replacement RevisionProviderSPIRE REGENCY HOSPITAL (NT339)EQ VAS</v>
      </c>
      <c r="C3227" t="s">
        <v>247</v>
      </c>
      <c r="D3227" t="s">
        <v>1</v>
      </c>
      <c r="E3227" t="s">
        <v>3171</v>
      </c>
      <c r="F3227" t="s">
        <v>3172</v>
      </c>
      <c r="G3227" t="s">
        <v>179</v>
      </c>
      <c r="H3227" t="s">
        <v>53</v>
      </c>
      <c r="I3227" t="s">
        <v>53</v>
      </c>
      <c r="J3227" t="s">
        <v>53</v>
      </c>
      <c r="K3227" t="s">
        <v>53</v>
      </c>
      <c r="L3227" t="s">
        <v>53</v>
      </c>
      <c r="M3227" t="s">
        <v>53</v>
      </c>
      <c r="N3227" t="s">
        <v>53</v>
      </c>
      <c r="O3227" t="s">
        <v>53</v>
      </c>
      <c r="P3227" t="s">
        <v>53</v>
      </c>
      <c r="Q3227" t="s">
        <v>53</v>
      </c>
    </row>
    <row r="3228" spans="1:17" x14ac:dyDescent="0.2">
      <c r="A3228" s="30" t="str">
        <f>IF(C3228&amp;G3228&amp;D3228&lt;&gt;'Funnel setup'!$K$3&amp;'Funnel setup'!$K$4&amp;'Funnel setup'!$K$5,".",IF(A3227=".",1,A3227+1))</f>
        <v>.</v>
      </c>
      <c r="B3228" s="431" t="str">
        <f t="shared" si="50"/>
        <v>Hip Replacement RevisionProviderSPIRE SUSSEX HOSPITAL (NT309)EQ VAS</v>
      </c>
      <c r="C3228" t="s">
        <v>247</v>
      </c>
      <c r="D3228" t="s">
        <v>1</v>
      </c>
      <c r="E3228" t="s">
        <v>3180</v>
      </c>
      <c r="F3228" t="s">
        <v>3181</v>
      </c>
      <c r="G3228" t="s">
        <v>179</v>
      </c>
      <c r="H3228" t="s">
        <v>53</v>
      </c>
      <c r="I3228" t="s">
        <v>53</v>
      </c>
      <c r="J3228" t="s">
        <v>53</v>
      </c>
      <c r="K3228" t="s">
        <v>53</v>
      </c>
      <c r="L3228" t="s">
        <v>53</v>
      </c>
      <c r="M3228" t="s">
        <v>53</v>
      </c>
      <c r="N3228" t="s">
        <v>53</v>
      </c>
      <c r="O3228" t="s">
        <v>53</v>
      </c>
      <c r="P3228" t="s">
        <v>53</v>
      </c>
      <c r="Q3228" t="s">
        <v>53</v>
      </c>
    </row>
    <row r="3229" spans="1:17" x14ac:dyDescent="0.2">
      <c r="A3229" s="30" t="str">
        <f>IF(C3229&amp;G3229&amp;D3229&lt;&gt;'Funnel setup'!$K$3&amp;'Funnel setup'!$K$4&amp;'Funnel setup'!$K$5,".",IF(A3228=".",1,A3228+1))</f>
        <v>.</v>
      </c>
      <c r="B3229" s="431" t="str">
        <f t="shared" si="50"/>
        <v>Hip Replacement RevisionProviderSPIRE WELLESLEY HOSPITAL (NT313)EQ VAS</v>
      </c>
      <c r="C3229" t="s">
        <v>247</v>
      </c>
      <c r="D3229" t="s">
        <v>1</v>
      </c>
      <c r="E3229" t="s">
        <v>3192</v>
      </c>
      <c r="F3229" t="s">
        <v>3193</v>
      </c>
      <c r="G3229" t="s">
        <v>179</v>
      </c>
      <c r="H3229" t="s">
        <v>53</v>
      </c>
      <c r="I3229" t="s">
        <v>53</v>
      </c>
      <c r="J3229" t="s">
        <v>53</v>
      </c>
      <c r="K3229" t="s">
        <v>53</v>
      </c>
      <c r="L3229" t="s">
        <v>53</v>
      </c>
      <c r="M3229" t="s">
        <v>53</v>
      </c>
      <c r="N3229" t="s">
        <v>53</v>
      </c>
      <c r="O3229" t="s">
        <v>53</v>
      </c>
      <c r="P3229" t="s">
        <v>53</v>
      </c>
      <c r="Q3229" t="s">
        <v>53</v>
      </c>
    </row>
    <row r="3230" spans="1:17" x14ac:dyDescent="0.2">
      <c r="A3230" s="30" t="str">
        <f>IF(C3230&amp;G3230&amp;D3230&lt;&gt;'Funnel setup'!$K$3&amp;'Funnel setup'!$K$4&amp;'Funnel setup'!$K$5,".",IF(A3229=".",1,A3229+1))</f>
        <v>.</v>
      </c>
      <c r="B3230" s="431" t="str">
        <f t="shared" si="50"/>
        <v>Hip Replacement RevisionProviderSPRINGFIELD HOSPITAL (NVC18)EQ VAS</v>
      </c>
      <c r="C3230" t="s">
        <v>247</v>
      </c>
      <c r="D3230" t="s">
        <v>1</v>
      </c>
      <c r="E3230" t="s">
        <v>3195</v>
      </c>
      <c r="F3230" t="s">
        <v>3196</v>
      </c>
      <c r="G3230" t="s">
        <v>179</v>
      </c>
      <c r="H3230" t="s">
        <v>53</v>
      </c>
      <c r="I3230" t="s">
        <v>53</v>
      </c>
      <c r="J3230" t="s">
        <v>53</v>
      </c>
      <c r="K3230" t="s">
        <v>53</v>
      </c>
      <c r="L3230" t="s">
        <v>53</v>
      </c>
      <c r="M3230" t="s">
        <v>53</v>
      </c>
      <c r="N3230" t="s">
        <v>53</v>
      </c>
      <c r="O3230" t="s">
        <v>53</v>
      </c>
      <c r="P3230" t="s">
        <v>53</v>
      </c>
      <c r="Q3230" t="s">
        <v>53</v>
      </c>
    </row>
    <row r="3231" spans="1:17" x14ac:dyDescent="0.2">
      <c r="A3231" s="30" t="str">
        <f>IF(C3231&amp;G3231&amp;D3231&lt;&gt;'Funnel setup'!$K$3&amp;'Funnel setup'!$K$4&amp;'Funnel setup'!$K$5,".",IF(A3230=".",1,A3230+1))</f>
        <v>.</v>
      </c>
      <c r="B3231" s="431" t="str">
        <f t="shared" si="50"/>
        <v>Hip Replacement RevisionProviderST GEORGE'S UNIVERSITY HOSPITALS NHS FOUNDATION TRUST (RJ7)EQ VAS</v>
      </c>
      <c r="C3231" t="s">
        <v>247</v>
      </c>
      <c r="D3231" t="s">
        <v>1</v>
      </c>
      <c r="E3231" t="s">
        <v>3124</v>
      </c>
      <c r="F3231" t="s">
        <v>3125</v>
      </c>
      <c r="G3231" t="s">
        <v>179</v>
      </c>
      <c r="H3231" t="s">
        <v>53</v>
      </c>
      <c r="I3231" t="s">
        <v>53</v>
      </c>
      <c r="J3231" t="s">
        <v>53</v>
      </c>
      <c r="K3231" t="s">
        <v>53</v>
      </c>
      <c r="L3231" t="s">
        <v>53</v>
      </c>
      <c r="M3231" t="s">
        <v>53</v>
      </c>
      <c r="N3231" t="s">
        <v>53</v>
      </c>
      <c r="O3231" t="s">
        <v>53</v>
      </c>
      <c r="P3231" t="s">
        <v>53</v>
      </c>
      <c r="Q3231" t="s">
        <v>53</v>
      </c>
    </row>
    <row r="3232" spans="1:17" x14ac:dyDescent="0.2">
      <c r="A3232" s="30" t="str">
        <f>IF(C3232&amp;G3232&amp;D3232&lt;&gt;'Funnel setup'!$K$3&amp;'Funnel setup'!$K$4&amp;'Funnel setup'!$K$5,".",IF(A3231=".",1,A3231+1))</f>
        <v>.</v>
      </c>
      <c r="B3232" s="431" t="str">
        <f t="shared" si="50"/>
        <v>Hip Replacement RevisionProviderST HELENS AND KNOWSLEY HOSPITALS NHS TRUST (RBN)EQ VAS</v>
      </c>
      <c r="C3232" t="s">
        <v>247</v>
      </c>
      <c r="D3232" t="s">
        <v>1</v>
      </c>
      <c r="E3232" t="s">
        <v>3127</v>
      </c>
      <c r="F3232" t="s">
        <v>3128</v>
      </c>
      <c r="G3232" t="s">
        <v>179</v>
      </c>
      <c r="H3232">
        <v>12</v>
      </c>
      <c r="I3232">
        <v>60.75</v>
      </c>
      <c r="J3232">
        <v>75.332999999999998</v>
      </c>
      <c r="K3232">
        <v>14.583</v>
      </c>
      <c r="L3232">
        <v>9</v>
      </c>
      <c r="M3232">
        <v>0</v>
      </c>
      <c r="N3232">
        <v>3</v>
      </c>
      <c r="O3232" t="s">
        <v>53</v>
      </c>
      <c r="P3232" t="s">
        <v>53</v>
      </c>
      <c r="Q3232" t="s">
        <v>53</v>
      </c>
    </row>
    <row r="3233" spans="1:17" x14ac:dyDescent="0.2">
      <c r="A3233" s="30" t="str">
        <f>IF(C3233&amp;G3233&amp;D3233&lt;&gt;'Funnel setup'!$K$3&amp;'Funnel setup'!$K$4&amp;'Funnel setup'!$K$5,".",IF(A3232=".",1,A3232+1))</f>
        <v>.</v>
      </c>
      <c r="B3233" s="431" t="str">
        <f t="shared" si="50"/>
        <v>Hip Replacement RevisionProviderSTOCKPORT NHS FOUNDATION TRUST (RWJ)EQ VAS</v>
      </c>
      <c r="C3233" t="s">
        <v>247</v>
      </c>
      <c r="D3233" t="s">
        <v>1</v>
      </c>
      <c r="E3233" t="s">
        <v>3142</v>
      </c>
      <c r="F3233" t="s">
        <v>3143</v>
      </c>
      <c r="G3233" t="s">
        <v>179</v>
      </c>
      <c r="H3233" t="s">
        <v>53</v>
      </c>
      <c r="I3233" t="s">
        <v>53</v>
      </c>
      <c r="J3233" t="s">
        <v>53</v>
      </c>
      <c r="K3233" t="s">
        <v>53</v>
      </c>
      <c r="L3233" t="s">
        <v>53</v>
      </c>
      <c r="M3233" t="s">
        <v>53</v>
      </c>
      <c r="N3233" t="s">
        <v>53</v>
      </c>
      <c r="O3233" t="s">
        <v>53</v>
      </c>
      <c r="P3233" t="s">
        <v>53</v>
      </c>
      <c r="Q3233" t="s">
        <v>53</v>
      </c>
    </row>
    <row r="3234" spans="1:17" x14ac:dyDescent="0.2">
      <c r="A3234" s="30" t="str">
        <f>IF(C3234&amp;G3234&amp;D3234&lt;&gt;'Funnel setup'!$K$3&amp;'Funnel setup'!$K$4&amp;'Funnel setup'!$K$5,".",IF(A3233=".",1,A3233+1))</f>
        <v>.</v>
      </c>
      <c r="B3234" s="431" t="str">
        <f t="shared" si="50"/>
        <v>Hip Replacement RevisionProviderTAUNTON AND SOMERSET NHS FOUNDATION TRUST (RBA)EQ VAS</v>
      </c>
      <c r="C3234" t="s">
        <v>247</v>
      </c>
      <c r="D3234" t="s">
        <v>1</v>
      </c>
      <c r="E3234" t="s">
        <v>3151</v>
      </c>
      <c r="F3234" t="s">
        <v>3152</v>
      </c>
      <c r="G3234" t="s">
        <v>179</v>
      </c>
      <c r="H3234">
        <v>9</v>
      </c>
      <c r="I3234">
        <v>62.889000000000003</v>
      </c>
      <c r="J3234">
        <v>76.667000000000002</v>
      </c>
      <c r="K3234">
        <v>13.778</v>
      </c>
      <c r="L3234">
        <v>6</v>
      </c>
      <c r="M3234">
        <v>2</v>
      </c>
      <c r="N3234">
        <v>1</v>
      </c>
      <c r="O3234" t="s">
        <v>53</v>
      </c>
      <c r="P3234" t="s">
        <v>53</v>
      </c>
      <c r="Q3234" t="s">
        <v>53</v>
      </c>
    </row>
    <row r="3235" spans="1:17" x14ac:dyDescent="0.2">
      <c r="A3235" s="30" t="str">
        <f>IF(C3235&amp;G3235&amp;D3235&lt;&gt;'Funnel setup'!$K$3&amp;'Funnel setup'!$K$4&amp;'Funnel setup'!$K$5,".",IF(A3234=".",1,A3234+1))</f>
        <v>.</v>
      </c>
      <c r="B3235" s="431" t="str">
        <f t="shared" si="50"/>
        <v>Hip Replacement RevisionProviderTHE BERKSHIRE INDEPENDENT HOSPITAL (NVC02)EQ VAS</v>
      </c>
      <c r="C3235" t="s">
        <v>247</v>
      </c>
      <c r="D3235" t="s">
        <v>1</v>
      </c>
      <c r="E3235" t="s">
        <v>3118</v>
      </c>
      <c r="F3235" t="s">
        <v>3119</v>
      </c>
      <c r="G3235" t="s">
        <v>179</v>
      </c>
      <c r="H3235" t="s">
        <v>53</v>
      </c>
      <c r="I3235" t="s">
        <v>53</v>
      </c>
      <c r="J3235" t="s">
        <v>53</v>
      </c>
      <c r="K3235" t="s">
        <v>53</v>
      </c>
      <c r="L3235" t="s">
        <v>53</v>
      </c>
      <c r="M3235" t="s">
        <v>53</v>
      </c>
      <c r="N3235" t="s">
        <v>53</v>
      </c>
      <c r="O3235" t="s">
        <v>53</v>
      </c>
      <c r="P3235" t="s">
        <v>53</v>
      </c>
      <c r="Q3235" t="s">
        <v>53</v>
      </c>
    </row>
    <row r="3236" spans="1:17" x14ac:dyDescent="0.2">
      <c r="A3236" s="30" t="str">
        <f>IF(C3236&amp;G3236&amp;D3236&lt;&gt;'Funnel setup'!$K$3&amp;'Funnel setup'!$K$4&amp;'Funnel setup'!$K$5,".",IF(A3235=".",1,A3235+1))</f>
        <v>.</v>
      </c>
      <c r="B3236" s="431" t="str">
        <f t="shared" si="50"/>
        <v>Hip Replacement RevisionProviderTHE HILLINGDON HOSPITALS NHS FOUNDATION TRUST (RAS)EQ VAS</v>
      </c>
      <c r="C3236" t="s">
        <v>247</v>
      </c>
      <c r="D3236" t="s">
        <v>1</v>
      </c>
      <c r="E3236" t="s">
        <v>3115</v>
      </c>
      <c r="F3236" t="s">
        <v>3116</v>
      </c>
      <c r="G3236" t="s">
        <v>179</v>
      </c>
      <c r="H3236">
        <v>6</v>
      </c>
      <c r="I3236">
        <v>78.332999999999998</v>
      </c>
      <c r="J3236">
        <v>77.332999999999998</v>
      </c>
      <c r="K3236">
        <v>-1</v>
      </c>
      <c r="L3236">
        <v>3</v>
      </c>
      <c r="M3236">
        <v>0</v>
      </c>
      <c r="N3236">
        <v>3</v>
      </c>
      <c r="O3236" t="s">
        <v>53</v>
      </c>
      <c r="P3236" t="s">
        <v>53</v>
      </c>
      <c r="Q3236" t="s">
        <v>53</v>
      </c>
    </row>
    <row r="3237" spans="1:17" x14ac:dyDescent="0.2">
      <c r="A3237" s="30" t="str">
        <f>IF(C3237&amp;G3237&amp;D3237&lt;&gt;'Funnel setup'!$K$3&amp;'Funnel setup'!$K$4&amp;'Funnel setup'!$K$5,".",IF(A3236=".",1,A3236+1))</f>
        <v>.</v>
      </c>
      <c r="B3237" s="431" t="str">
        <f t="shared" si="50"/>
        <v>Hip Replacement RevisionProviderTHE HORDER CENTRE - ST JOHNS ROAD (NXM01)EQ VAS</v>
      </c>
      <c r="C3237" t="s">
        <v>247</v>
      </c>
      <c r="D3237" t="s">
        <v>1</v>
      </c>
      <c r="E3237" t="s">
        <v>4222</v>
      </c>
      <c r="F3237" t="s">
        <v>4223</v>
      </c>
      <c r="G3237" t="s">
        <v>179</v>
      </c>
      <c r="H3237">
        <v>40</v>
      </c>
      <c r="I3237">
        <v>77.05</v>
      </c>
      <c r="J3237">
        <v>74.825000000000003</v>
      </c>
      <c r="K3237">
        <v>-2.2250000000000001</v>
      </c>
      <c r="L3237">
        <v>19</v>
      </c>
      <c r="M3237">
        <v>6</v>
      </c>
      <c r="N3237">
        <v>15</v>
      </c>
      <c r="O3237">
        <v>70.457999999999998</v>
      </c>
      <c r="P3237">
        <v>5.6878216420000003</v>
      </c>
      <c r="Q3237">
        <v>18.420999999999999</v>
      </c>
    </row>
    <row r="3238" spans="1:17" x14ac:dyDescent="0.2">
      <c r="A3238" s="30" t="str">
        <f>IF(C3238&amp;G3238&amp;D3238&lt;&gt;'Funnel setup'!$K$3&amp;'Funnel setup'!$K$4&amp;'Funnel setup'!$K$5,".",IF(A3237=".",1,A3237+1))</f>
        <v>.</v>
      </c>
      <c r="B3238" s="431" t="str">
        <f t="shared" si="50"/>
        <v>Hip Replacement RevisionProviderTHE NEWCASTLE UPON TYNE HOSPITALS NHS FOUNDATION TRUST (RTD)EQ VAS</v>
      </c>
      <c r="C3238" t="s">
        <v>247</v>
      </c>
      <c r="D3238" t="s">
        <v>1</v>
      </c>
      <c r="E3238" t="s">
        <v>3748</v>
      </c>
      <c r="F3238" t="s">
        <v>3749</v>
      </c>
      <c r="G3238" t="s">
        <v>179</v>
      </c>
      <c r="H3238">
        <v>19</v>
      </c>
      <c r="I3238">
        <v>60.052999999999997</v>
      </c>
      <c r="J3238">
        <v>66.474000000000004</v>
      </c>
      <c r="K3238">
        <v>6.4210000000000003</v>
      </c>
      <c r="L3238">
        <v>9</v>
      </c>
      <c r="M3238">
        <v>3</v>
      </c>
      <c r="N3238">
        <v>7</v>
      </c>
      <c r="O3238" t="s">
        <v>53</v>
      </c>
      <c r="P3238" t="s">
        <v>53</v>
      </c>
      <c r="Q3238" t="s">
        <v>53</v>
      </c>
    </row>
    <row r="3239" spans="1:17" x14ac:dyDescent="0.2">
      <c r="A3239" s="30" t="str">
        <f>IF(C3239&amp;G3239&amp;D3239&lt;&gt;'Funnel setup'!$K$3&amp;'Funnel setup'!$K$4&amp;'Funnel setup'!$K$5,".",IF(A3238=".",1,A3238+1))</f>
        <v>.</v>
      </c>
      <c r="B3239" s="431" t="str">
        <f t="shared" si="50"/>
        <v>Hip Replacement RevisionProviderTHE PRINCESS ALEXANDRA HOSPITAL NHS TRUST (RQW)EQ VAS</v>
      </c>
      <c r="C3239" t="s">
        <v>247</v>
      </c>
      <c r="D3239" t="s">
        <v>1</v>
      </c>
      <c r="E3239" t="s">
        <v>3751</v>
      </c>
      <c r="F3239" t="s">
        <v>3752</v>
      </c>
      <c r="G3239" t="s">
        <v>179</v>
      </c>
      <c r="H3239">
        <v>9</v>
      </c>
      <c r="I3239">
        <v>52.777999999999999</v>
      </c>
      <c r="J3239">
        <v>57.222000000000001</v>
      </c>
      <c r="K3239">
        <v>4.444</v>
      </c>
      <c r="L3239">
        <v>4</v>
      </c>
      <c r="M3239">
        <v>0</v>
      </c>
      <c r="N3239">
        <v>5</v>
      </c>
      <c r="O3239" t="s">
        <v>53</v>
      </c>
      <c r="P3239" t="s">
        <v>53</v>
      </c>
      <c r="Q3239" t="s">
        <v>53</v>
      </c>
    </row>
    <row r="3240" spans="1:17" x14ac:dyDescent="0.2">
      <c r="A3240" s="30" t="str">
        <f>IF(C3240&amp;G3240&amp;D3240&lt;&gt;'Funnel setup'!$K$3&amp;'Funnel setup'!$K$4&amp;'Funnel setup'!$K$5,".",IF(A3239=".",1,A3239+1))</f>
        <v>.</v>
      </c>
      <c r="B3240" s="431" t="str">
        <f t="shared" si="50"/>
        <v>Hip Replacement RevisionProviderTHE QUEEN ELIZABETH HOSPITAL, KING'S LYNN, NHS FOUNDATION TRUST (RCX)EQ VAS</v>
      </c>
      <c r="C3240" t="s">
        <v>247</v>
      </c>
      <c r="D3240" t="s">
        <v>1</v>
      </c>
      <c r="E3240" t="s">
        <v>3754</v>
      </c>
      <c r="F3240" t="s">
        <v>3755</v>
      </c>
      <c r="G3240" t="s">
        <v>179</v>
      </c>
      <c r="H3240">
        <v>6</v>
      </c>
      <c r="I3240">
        <v>65</v>
      </c>
      <c r="J3240">
        <v>71.667000000000002</v>
      </c>
      <c r="K3240">
        <v>6.6669999999999998</v>
      </c>
      <c r="L3240">
        <v>3</v>
      </c>
      <c r="M3240">
        <v>2</v>
      </c>
      <c r="N3240">
        <v>1</v>
      </c>
      <c r="O3240" t="s">
        <v>53</v>
      </c>
      <c r="P3240" t="s">
        <v>53</v>
      </c>
      <c r="Q3240" t="s">
        <v>53</v>
      </c>
    </row>
    <row r="3241" spans="1:17" x14ac:dyDescent="0.2">
      <c r="A3241" s="30" t="str">
        <f>IF(C3241&amp;G3241&amp;D3241&lt;&gt;'Funnel setup'!$K$3&amp;'Funnel setup'!$K$4&amp;'Funnel setup'!$K$5,".",IF(A3240=".",1,A3240+1))</f>
        <v>.</v>
      </c>
      <c r="B3241" s="431" t="str">
        <f t="shared" si="50"/>
        <v>Hip Replacement RevisionProviderTHE ROBERT JONES AND AGNES HUNT ORTHOPAEDIC HOSPITAL NHS FOUNDATION TRUST (RL1)EQ VAS</v>
      </c>
      <c r="C3241" t="s">
        <v>247</v>
      </c>
      <c r="D3241" t="s">
        <v>1</v>
      </c>
      <c r="E3241" t="s">
        <v>4496</v>
      </c>
      <c r="F3241" t="s">
        <v>4497</v>
      </c>
      <c r="G3241" t="s">
        <v>179</v>
      </c>
      <c r="H3241">
        <v>53</v>
      </c>
      <c r="I3241">
        <v>63.189</v>
      </c>
      <c r="J3241">
        <v>69.225999999999999</v>
      </c>
      <c r="K3241">
        <v>6.0380000000000003</v>
      </c>
      <c r="L3241">
        <v>29</v>
      </c>
      <c r="M3241">
        <v>6</v>
      </c>
      <c r="N3241">
        <v>18</v>
      </c>
      <c r="O3241">
        <v>65.826999999999998</v>
      </c>
      <c r="P3241">
        <v>1.056513767</v>
      </c>
      <c r="Q3241">
        <v>19.46</v>
      </c>
    </row>
    <row r="3242" spans="1:17" x14ac:dyDescent="0.2">
      <c r="A3242" s="30" t="str">
        <f>IF(C3242&amp;G3242&amp;D3242&lt;&gt;'Funnel setup'!$K$3&amp;'Funnel setup'!$K$4&amp;'Funnel setup'!$K$5,".",IF(A3241=".",1,A3241+1))</f>
        <v>.</v>
      </c>
      <c r="B3242" s="431" t="str">
        <f t="shared" si="50"/>
        <v>Hip Replacement RevisionProviderTHE ROTHERHAM NHS FOUNDATION TRUST (RFR)EQ VAS</v>
      </c>
      <c r="C3242" t="s">
        <v>247</v>
      </c>
      <c r="D3242" t="s">
        <v>1</v>
      </c>
      <c r="E3242" t="s">
        <v>3739</v>
      </c>
      <c r="F3242" t="s">
        <v>3740</v>
      </c>
      <c r="G3242" t="s">
        <v>179</v>
      </c>
      <c r="H3242">
        <v>16</v>
      </c>
      <c r="I3242">
        <v>67.25</v>
      </c>
      <c r="J3242">
        <v>73.438000000000002</v>
      </c>
      <c r="K3242">
        <v>6.1879999999999997</v>
      </c>
      <c r="L3242">
        <v>8</v>
      </c>
      <c r="M3242">
        <v>6</v>
      </c>
      <c r="N3242">
        <v>2</v>
      </c>
      <c r="O3242" t="s">
        <v>53</v>
      </c>
      <c r="P3242" t="s">
        <v>53</v>
      </c>
      <c r="Q3242" t="s">
        <v>53</v>
      </c>
    </row>
    <row r="3243" spans="1:17" x14ac:dyDescent="0.2">
      <c r="A3243" s="30" t="str">
        <f>IF(C3243&amp;G3243&amp;D3243&lt;&gt;'Funnel setup'!$K$3&amp;'Funnel setup'!$K$4&amp;'Funnel setup'!$K$5,".",IF(A3242=".",1,A3242+1))</f>
        <v>.</v>
      </c>
      <c r="B3243" s="431" t="str">
        <f t="shared" si="50"/>
        <v>Hip Replacement RevisionProviderTHE ROYAL BOURNEMOUTH AND CHRISTCHURCH HOSPITALS NHS FOUNDATION TRUST (RDZ)EQ VAS</v>
      </c>
      <c r="C3243" t="s">
        <v>247</v>
      </c>
      <c r="D3243" t="s">
        <v>1</v>
      </c>
      <c r="E3243" t="s">
        <v>3742</v>
      </c>
      <c r="F3243" t="s">
        <v>3743</v>
      </c>
      <c r="G3243" t="s">
        <v>179</v>
      </c>
      <c r="H3243" t="s">
        <v>53</v>
      </c>
      <c r="I3243" t="s">
        <v>53</v>
      </c>
      <c r="J3243" t="s">
        <v>53</v>
      </c>
      <c r="K3243" t="s">
        <v>53</v>
      </c>
      <c r="L3243" t="s">
        <v>53</v>
      </c>
      <c r="M3243" t="s">
        <v>53</v>
      </c>
      <c r="N3243" t="s">
        <v>53</v>
      </c>
      <c r="O3243" t="s">
        <v>53</v>
      </c>
      <c r="P3243" t="s">
        <v>53</v>
      </c>
      <c r="Q3243" t="s">
        <v>53</v>
      </c>
    </row>
    <row r="3244" spans="1:17" x14ac:dyDescent="0.2">
      <c r="A3244" s="30" t="str">
        <f>IF(C3244&amp;G3244&amp;D3244&lt;&gt;'Funnel setup'!$K$3&amp;'Funnel setup'!$K$4&amp;'Funnel setup'!$K$5,".",IF(A3243=".",1,A3243+1))</f>
        <v>.</v>
      </c>
      <c r="B3244" s="431" t="str">
        <f t="shared" si="50"/>
        <v>Hip Replacement RevisionProviderTHE ROYAL ORTHOPAEDIC HOSPITAL NHS FOUNDATION TRUST (RRJ)EQ VAS</v>
      </c>
      <c r="C3244" t="s">
        <v>247</v>
      </c>
      <c r="D3244" t="s">
        <v>1</v>
      </c>
      <c r="E3244" t="s">
        <v>4480</v>
      </c>
      <c r="F3244" t="s">
        <v>4481</v>
      </c>
      <c r="G3244" t="s">
        <v>179</v>
      </c>
      <c r="H3244">
        <v>43</v>
      </c>
      <c r="I3244">
        <v>63.395000000000003</v>
      </c>
      <c r="J3244">
        <v>69.372</v>
      </c>
      <c r="K3244">
        <v>5.9770000000000003</v>
      </c>
      <c r="L3244">
        <v>21</v>
      </c>
      <c r="M3244">
        <v>6</v>
      </c>
      <c r="N3244">
        <v>16</v>
      </c>
      <c r="O3244">
        <v>70.093999999999994</v>
      </c>
      <c r="P3244">
        <v>5.3236043029999998</v>
      </c>
      <c r="Q3244">
        <v>20.434000000000001</v>
      </c>
    </row>
    <row r="3245" spans="1:17" x14ac:dyDescent="0.2">
      <c r="A3245" s="30" t="str">
        <f>IF(C3245&amp;G3245&amp;D3245&lt;&gt;'Funnel setup'!$K$3&amp;'Funnel setup'!$K$4&amp;'Funnel setup'!$K$5,".",IF(A3244=".",1,A3244+1))</f>
        <v>.</v>
      </c>
      <c r="B3245" s="431" t="str">
        <f t="shared" si="50"/>
        <v>Hip Replacement RevisionProviderTHE ROYAL WOLVERHAMPTON NHS TRUST (RL4)EQ VAS</v>
      </c>
      <c r="C3245" t="s">
        <v>247</v>
      </c>
      <c r="D3245" t="s">
        <v>1</v>
      </c>
      <c r="E3245" t="s">
        <v>3382</v>
      </c>
      <c r="F3245" t="s">
        <v>3383</v>
      </c>
      <c r="G3245" t="s">
        <v>179</v>
      </c>
      <c r="H3245">
        <v>10</v>
      </c>
      <c r="I3245">
        <v>61.9</v>
      </c>
      <c r="J3245">
        <v>74.3</v>
      </c>
      <c r="K3245">
        <v>12.4</v>
      </c>
      <c r="L3245">
        <v>6</v>
      </c>
      <c r="M3245">
        <v>2</v>
      </c>
      <c r="N3245">
        <v>2</v>
      </c>
      <c r="O3245" t="s">
        <v>53</v>
      </c>
      <c r="P3245" t="s">
        <v>53</v>
      </c>
      <c r="Q3245" t="s">
        <v>53</v>
      </c>
    </row>
    <row r="3246" spans="1:17" x14ac:dyDescent="0.2">
      <c r="A3246" s="30" t="str">
        <f>IF(C3246&amp;G3246&amp;D3246&lt;&gt;'Funnel setup'!$K$3&amp;'Funnel setup'!$K$4&amp;'Funnel setup'!$K$5,".",IF(A3245=".",1,A3245+1))</f>
        <v>.</v>
      </c>
      <c r="B3246" s="431" t="str">
        <f t="shared" si="50"/>
        <v>Hip Replacement RevisionProviderTHE YORKSHIRE CLINIC (NVC20)EQ VAS</v>
      </c>
      <c r="C3246" t="s">
        <v>247</v>
      </c>
      <c r="D3246" t="s">
        <v>1</v>
      </c>
      <c r="E3246" t="s">
        <v>3760</v>
      </c>
      <c r="F3246" t="s">
        <v>3761</v>
      </c>
      <c r="G3246" t="s">
        <v>179</v>
      </c>
      <c r="H3246" t="s">
        <v>53</v>
      </c>
      <c r="I3246" t="s">
        <v>53</v>
      </c>
      <c r="J3246" t="s">
        <v>53</v>
      </c>
      <c r="K3246" t="s">
        <v>53</v>
      </c>
      <c r="L3246" t="s">
        <v>53</v>
      </c>
      <c r="M3246" t="s">
        <v>53</v>
      </c>
      <c r="N3246" t="s">
        <v>53</v>
      </c>
      <c r="O3246" t="s">
        <v>53</v>
      </c>
      <c r="P3246" t="s">
        <v>53</v>
      </c>
      <c r="Q3246" t="s">
        <v>53</v>
      </c>
    </row>
    <row r="3247" spans="1:17" x14ac:dyDescent="0.2">
      <c r="A3247" s="30" t="str">
        <f>IF(C3247&amp;G3247&amp;D3247&lt;&gt;'Funnel setup'!$K$3&amp;'Funnel setup'!$K$4&amp;'Funnel setup'!$K$5,".",IF(A3246=".",1,A3246+1))</f>
        <v>.</v>
      </c>
      <c r="B3247" s="431" t="str">
        <f t="shared" si="50"/>
        <v>Hip Replacement RevisionProviderTORBAY AND SOUTH DEVON NHS FOUNDATION TRUST (RA9)EQ VAS</v>
      </c>
      <c r="C3247" t="s">
        <v>247</v>
      </c>
      <c r="D3247" t="s">
        <v>1</v>
      </c>
      <c r="E3247" t="s">
        <v>3480</v>
      </c>
      <c r="F3247" t="s">
        <v>6584</v>
      </c>
      <c r="G3247" t="s">
        <v>179</v>
      </c>
      <c r="H3247">
        <v>25</v>
      </c>
      <c r="I3247">
        <v>68.040000000000006</v>
      </c>
      <c r="J3247">
        <v>71.680000000000007</v>
      </c>
      <c r="K3247">
        <v>3.64</v>
      </c>
      <c r="L3247">
        <v>13</v>
      </c>
      <c r="M3247">
        <v>1</v>
      </c>
      <c r="N3247">
        <v>11</v>
      </c>
      <c r="O3247" t="s">
        <v>53</v>
      </c>
      <c r="P3247" t="s">
        <v>53</v>
      </c>
      <c r="Q3247" t="s">
        <v>53</v>
      </c>
    </row>
    <row r="3248" spans="1:17" x14ac:dyDescent="0.2">
      <c r="A3248" s="30" t="str">
        <f>IF(C3248&amp;G3248&amp;D3248&lt;&gt;'Funnel setup'!$K$3&amp;'Funnel setup'!$K$4&amp;'Funnel setup'!$K$5,".",IF(A3247=".",1,A3247+1))</f>
        <v>.</v>
      </c>
      <c r="B3248" s="431" t="str">
        <f t="shared" si="50"/>
        <v>Hip Replacement RevisionProviderUNITED LINCOLNSHIRE HOSPITALS NHS TRUST (RWD)EQ VAS</v>
      </c>
      <c r="C3248" t="s">
        <v>247</v>
      </c>
      <c r="D3248" t="s">
        <v>1</v>
      </c>
      <c r="E3248" t="s">
        <v>3763</v>
      </c>
      <c r="F3248" t="s">
        <v>3764</v>
      </c>
      <c r="G3248" t="s">
        <v>179</v>
      </c>
      <c r="H3248">
        <v>15</v>
      </c>
      <c r="I3248">
        <v>65.667000000000002</v>
      </c>
      <c r="J3248">
        <v>61.933</v>
      </c>
      <c r="K3248">
        <v>-3.7330000000000001</v>
      </c>
      <c r="L3248">
        <v>4</v>
      </c>
      <c r="M3248">
        <v>3</v>
      </c>
      <c r="N3248">
        <v>8</v>
      </c>
      <c r="O3248" t="s">
        <v>53</v>
      </c>
      <c r="P3248" t="s">
        <v>53</v>
      </c>
      <c r="Q3248" t="s">
        <v>53</v>
      </c>
    </row>
    <row r="3249" spans="1:17" x14ac:dyDescent="0.2">
      <c r="A3249" s="30" t="str">
        <f>IF(C3249&amp;G3249&amp;D3249&lt;&gt;'Funnel setup'!$K$3&amp;'Funnel setup'!$K$4&amp;'Funnel setup'!$K$5,".",IF(A3248=".",1,A3248+1))</f>
        <v>.</v>
      </c>
      <c r="B3249" s="431" t="str">
        <f t="shared" si="50"/>
        <v>Hip Replacement RevisionProviderUNIVERSITY COLLEGE LONDON HOSPITALS NHS FOUNDATION TRUST (RRV)EQ VAS</v>
      </c>
      <c r="C3249" t="s">
        <v>247</v>
      </c>
      <c r="D3249" t="s">
        <v>1</v>
      </c>
      <c r="E3249" t="s">
        <v>3766</v>
      </c>
      <c r="F3249" t="s">
        <v>3767</v>
      </c>
      <c r="G3249" t="s">
        <v>179</v>
      </c>
      <c r="H3249" t="s">
        <v>53</v>
      </c>
      <c r="I3249" t="s">
        <v>53</v>
      </c>
      <c r="J3249" t="s">
        <v>53</v>
      </c>
      <c r="K3249" t="s">
        <v>53</v>
      </c>
      <c r="L3249" t="s">
        <v>53</v>
      </c>
      <c r="M3249" t="s">
        <v>53</v>
      </c>
      <c r="N3249" t="s">
        <v>53</v>
      </c>
      <c r="O3249" t="s">
        <v>53</v>
      </c>
      <c r="P3249" t="s">
        <v>53</v>
      </c>
      <c r="Q3249" t="s">
        <v>53</v>
      </c>
    </row>
    <row r="3250" spans="1:17" x14ac:dyDescent="0.2">
      <c r="A3250" s="30" t="str">
        <f>IF(C3250&amp;G3250&amp;D3250&lt;&gt;'Funnel setup'!$K$3&amp;'Funnel setup'!$K$4&amp;'Funnel setup'!$K$5,".",IF(A3249=".",1,A3249+1))</f>
        <v>.</v>
      </c>
      <c r="B3250" s="431" t="str">
        <f t="shared" si="50"/>
        <v>Hip Replacement RevisionProviderUNIVERSITY HOSPITAL OF SOUTH MANCHESTER NHS FOUNDATION TRUST (RM2)EQ VAS</v>
      </c>
      <c r="C3250" t="s">
        <v>247</v>
      </c>
      <c r="D3250" t="s">
        <v>1</v>
      </c>
      <c r="E3250" t="s">
        <v>3769</v>
      </c>
      <c r="F3250" t="s">
        <v>3770</v>
      </c>
      <c r="G3250" t="s">
        <v>179</v>
      </c>
      <c r="H3250" t="s">
        <v>53</v>
      </c>
      <c r="I3250" t="s">
        <v>53</v>
      </c>
      <c r="J3250" t="s">
        <v>53</v>
      </c>
      <c r="K3250" t="s">
        <v>53</v>
      </c>
      <c r="L3250" t="s">
        <v>53</v>
      </c>
      <c r="M3250" t="s">
        <v>53</v>
      </c>
      <c r="N3250" t="s">
        <v>53</v>
      </c>
      <c r="O3250" t="s">
        <v>53</v>
      </c>
      <c r="P3250" t="s">
        <v>53</v>
      </c>
      <c r="Q3250" t="s">
        <v>53</v>
      </c>
    </row>
    <row r="3251" spans="1:17" x14ac:dyDescent="0.2">
      <c r="A3251" s="30" t="str">
        <f>IF(C3251&amp;G3251&amp;D3251&lt;&gt;'Funnel setup'!$K$3&amp;'Funnel setup'!$K$4&amp;'Funnel setup'!$K$5,".",IF(A3250=".",1,A3250+1))</f>
        <v>.</v>
      </c>
      <c r="B3251" s="431" t="str">
        <f t="shared" si="50"/>
        <v>Hip Replacement RevisionProviderUNIVERSITY HOSPITAL SOUTHAMPTON NHS FOUNDATION TRUST (RHM)EQ VAS</v>
      </c>
      <c r="C3251" t="s">
        <v>247</v>
      </c>
      <c r="D3251" t="s">
        <v>1</v>
      </c>
      <c r="E3251" t="s">
        <v>3772</v>
      </c>
      <c r="F3251" t="s">
        <v>3773</v>
      </c>
      <c r="G3251" t="s">
        <v>179</v>
      </c>
      <c r="H3251">
        <v>27</v>
      </c>
      <c r="I3251">
        <v>59.332999999999998</v>
      </c>
      <c r="J3251">
        <v>74.073999999999998</v>
      </c>
      <c r="K3251">
        <v>14.741</v>
      </c>
      <c r="L3251">
        <v>18</v>
      </c>
      <c r="M3251">
        <v>3</v>
      </c>
      <c r="N3251">
        <v>6</v>
      </c>
      <c r="O3251" t="s">
        <v>53</v>
      </c>
      <c r="P3251" t="s">
        <v>53</v>
      </c>
      <c r="Q3251" t="s">
        <v>53</v>
      </c>
    </row>
    <row r="3252" spans="1:17" x14ac:dyDescent="0.2">
      <c r="A3252" s="30" t="str">
        <f>IF(C3252&amp;G3252&amp;D3252&lt;&gt;'Funnel setup'!$K$3&amp;'Funnel setup'!$K$4&amp;'Funnel setup'!$K$5,".",IF(A3251=".",1,A3251+1))</f>
        <v>.</v>
      </c>
      <c r="B3252" s="431" t="str">
        <f t="shared" si="50"/>
        <v>Hip Replacement RevisionProviderUNIVERSITY HOSPITALS COVENTRY AND WARWICKSHIRE NHS TRUST (RKB)EQ VAS</v>
      </c>
      <c r="C3252" t="s">
        <v>247</v>
      </c>
      <c r="D3252" t="s">
        <v>1</v>
      </c>
      <c r="E3252" t="s">
        <v>3715</v>
      </c>
      <c r="F3252" t="s">
        <v>3716</v>
      </c>
      <c r="G3252" t="s">
        <v>179</v>
      </c>
      <c r="H3252">
        <v>13</v>
      </c>
      <c r="I3252">
        <v>63.845999999999997</v>
      </c>
      <c r="J3252">
        <v>60.076999999999998</v>
      </c>
      <c r="K3252">
        <v>-3.7690000000000001</v>
      </c>
      <c r="L3252">
        <v>5</v>
      </c>
      <c r="M3252">
        <v>3</v>
      </c>
      <c r="N3252">
        <v>5</v>
      </c>
      <c r="O3252" t="s">
        <v>53</v>
      </c>
      <c r="P3252" t="s">
        <v>53</v>
      </c>
      <c r="Q3252" t="s">
        <v>53</v>
      </c>
    </row>
    <row r="3253" spans="1:17" x14ac:dyDescent="0.2">
      <c r="A3253" s="30" t="str">
        <f>IF(C3253&amp;G3253&amp;D3253&lt;&gt;'Funnel setup'!$K$3&amp;'Funnel setup'!$K$4&amp;'Funnel setup'!$K$5,".",IF(A3252=".",1,A3252+1))</f>
        <v>.</v>
      </c>
      <c r="B3253" s="431" t="str">
        <f t="shared" si="50"/>
        <v>Hip Replacement RevisionProviderUNIVERSITY HOSPITALS OF LEICESTER NHS TRUST (RWE)EQ VAS</v>
      </c>
      <c r="C3253" t="s">
        <v>247</v>
      </c>
      <c r="D3253" t="s">
        <v>1</v>
      </c>
      <c r="E3253" t="s">
        <v>3718</v>
      </c>
      <c r="F3253" t="s">
        <v>3719</v>
      </c>
      <c r="G3253" t="s">
        <v>179</v>
      </c>
      <c r="H3253">
        <v>30</v>
      </c>
      <c r="I3253">
        <v>60.9</v>
      </c>
      <c r="J3253">
        <v>69</v>
      </c>
      <c r="K3253">
        <v>8.1</v>
      </c>
      <c r="L3253">
        <v>17</v>
      </c>
      <c r="M3253">
        <v>5</v>
      </c>
      <c r="N3253">
        <v>8</v>
      </c>
      <c r="O3253">
        <v>70.411000000000001</v>
      </c>
      <c r="P3253">
        <v>5.6410299149999998</v>
      </c>
      <c r="Q3253">
        <v>14.539</v>
      </c>
    </row>
    <row r="3254" spans="1:17" x14ac:dyDescent="0.2">
      <c r="A3254" s="30" t="str">
        <f>IF(C3254&amp;G3254&amp;D3254&lt;&gt;'Funnel setup'!$K$3&amp;'Funnel setup'!$K$4&amp;'Funnel setup'!$K$5,".",IF(A3253=".",1,A3253+1))</f>
        <v>.</v>
      </c>
      <c r="B3254" s="431" t="str">
        <f t="shared" si="50"/>
        <v>Hip Replacement RevisionProviderUNIVERSITY HOSPITALS OF MORECAMBE BAY NHS FOUNDATION TRUST (RTX)EQ VAS</v>
      </c>
      <c r="C3254" t="s">
        <v>247</v>
      </c>
      <c r="D3254" t="s">
        <v>1</v>
      </c>
      <c r="E3254" t="s">
        <v>3721</v>
      </c>
      <c r="F3254" t="s">
        <v>3722</v>
      </c>
      <c r="G3254" t="s">
        <v>179</v>
      </c>
      <c r="H3254">
        <v>13</v>
      </c>
      <c r="I3254">
        <v>54.615000000000002</v>
      </c>
      <c r="J3254">
        <v>62.154000000000003</v>
      </c>
      <c r="K3254">
        <v>7.5380000000000003</v>
      </c>
      <c r="L3254">
        <v>7</v>
      </c>
      <c r="M3254">
        <v>1</v>
      </c>
      <c r="N3254">
        <v>5</v>
      </c>
      <c r="O3254" t="s">
        <v>53</v>
      </c>
      <c r="P3254" t="s">
        <v>53</v>
      </c>
      <c r="Q3254" t="s">
        <v>53</v>
      </c>
    </row>
    <row r="3255" spans="1:17" x14ac:dyDescent="0.2">
      <c r="A3255" s="30" t="str">
        <f>IF(C3255&amp;G3255&amp;D3255&lt;&gt;'Funnel setup'!$K$3&amp;'Funnel setup'!$K$4&amp;'Funnel setup'!$K$5,".",IF(A3254=".",1,A3254+1))</f>
        <v>.</v>
      </c>
      <c r="B3255" s="431" t="str">
        <f t="shared" si="50"/>
        <v>Hip Replacement RevisionProviderUNIVERSITY HOSPITALS OF NORTH MIDLANDS NHS TRUST (RJE)EQ VAS</v>
      </c>
      <c r="C3255" t="s">
        <v>247</v>
      </c>
      <c r="D3255" t="s">
        <v>1</v>
      </c>
      <c r="E3255" t="s">
        <v>3724</v>
      </c>
      <c r="F3255" t="s">
        <v>3725</v>
      </c>
      <c r="G3255" t="s">
        <v>179</v>
      </c>
      <c r="H3255">
        <v>10</v>
      </c>
      <c r="I3255">
        <v>56.6</v>
      </c>
      <c r="J3255">
        <v>67.099999999999994</v>
      </c>
      <c r="K3255">
        <v>10.5</v>
      </c>
      <c r="L3255">
        <v>7</v>
      </c>
      <c r="M3255">
        <v>0</v>
      </c>
      <c r="N3255">
        <v>3</v>
      </c>
      <c r="O3255" t="s">
        <v>53</v>
      </c>
      <c r="P3255" t="s">
        <v>53</v>
      </c>
      <c r="Q3255" t="s">
        <v>53</v>
      </c>
    </row>
    <row r="3256" spans="1:17" x14ac:dyDescent="0.2">
      <c r="A3256" s="30" t="str">
        <f>IF(C3256&amp;G3256&amp;D3256&lt;&gt;'Funnel setup'!$K$3&amp;'Funnel setup'!$K$4&amp;'Funnel setup'!$K$5,".",IF(A3255=".",1,A3255+1))</f>
        <v>.</v>
      </c>
      <c r="B3256" s="431" t="str">
        <f t="shared" si="50"/>
        <v>Hip Replacement RevisionProviderWALSALL HEALTHCARE NHS TRUST (RBK)EQ VAS</v>
      </c>
      <c r="C3256" t="s">
        <v>247</v>
      </c>
      <c r="D3256" t="s">
        <v>1</v>
      </c>
      <c r="E3256" t="s">
        <v>3727</v>
      </c>
      <c r="F3256" t="s">
        <v>3728</v>
      </c>
      <c r="G3256" t="s">
        <v>179</v>
      </c>
      <c r="H3256">
        <v>10</v>
      </c>
      <c r="I3256">
        <v>56.8</v>
      </c>
      <c r="J3256">
        <v>56.8</v>
      </c>
      <c r="K3256">
        <v>0</v>
      </c>
      <c r="L3256">
        <v>5</v>
      </c>
      <c r="M3256">
        <v>1</v>
      </c>
      <c r="N3256">
        <v>4</v>
      </c>
      <c r="O3256" t="s">
        <v>53</v>
      </c>
      <c r="P3256" t="s">
        <v>53</v>
      </c>
      <c r="Q3256" t="s">
        <v>53</v>
      </c>
    </row>
    <row r="3257" spans="1:17" x14ac:dyDescent="0.2">
      <c r="A3257" s="30" t="str">
        <f>IF(C3257&amp;G3257&amp;D3257&lt;&gt;'Funnel setup'!$K$3&amp;'Funnel setup'!$K$4&amp;'Funnel setup'!$K$5,".",IF(A3256=".",1,A3256+1))</f>
        <v>.</v>
      </c>
      <c r="B3257" s="431" t="str">
        <f t="shared" si="50"/>
        <v>Hip Replacement RevisionProviderWARRINGTON AND HALTON HOSPITALS NHS FOUNDATION TRUST (RWW)EQ VAS</v>
      </c>
      <c r="C3257" t="s">
        <v>247</v>
      </c>
      <c r="D3257" t="s">
        <v>1</v>
      </c>
      <c r="E3257" t="s">
        <v>3730</v>
      </c>
      <c r="F3257" t="s">
        <v>3731</v>
      </c>
      <c r="G3257" t="s">
        <v>179</v>
      </c>
      <c r="H3257">
        <v>13</v>
      </c>
      <c r="I3257">
        <v>61.537999999999997</v>
      </c>
      <c r="J3257">
        <v>66.076999999999998</v>
      </c>
      <c r="K3257">
        <v>4.5380000000000003</v>
      </c>
      <c r="L3257">
        <v>8</v>
      </c>
      <c r="M3257">
        <v>1</v>
      </c>
      <c r="N3257">
        <v>4</v>
      </c>
      <c r="O3257" t="s">
        <v>53</v>
      </c>
      <c r="P3257" t="s">
        <v>53</v>
      </c>
      <c r="Q3257" t="s">
        <v>53</v>
      </c>
    </row>
    <row r="3258" spans="1:17" x14ac:dyDescent="0.2">
      <c r="A3258" s="30" t="str">
        <f>IF(C3258&amp;G3258&amp;D3258&lt;&gt;'Funnel setup'!$K$3&amp;'Funnel setup'!$K$4&amp;'Funnel setup'!$K$5,".",IF(A3257=".",1,A3257+1))</f>
        <v>.</v>
      </c>
      <c r="B3258" s="431" t="str">
        <f t="shared" si="50"/>
        <v>Hip Replacement RevisionProviderWEST HERTFORDSHIRE HOSPITALS NHS TRUST (RWG)EQ VAS</v>
      </c>
      <c r="C3258" t="s">
        <v>247</v>
      </c>
      <c r="D3258" t="s">
        <v>1</v>
      </c>
      <c r="E3258" t="s">
        <v>3733</v>
      </c>
      <c r="F3258" t="s">
        <v>3734</v>
      </c>
      <c r="G3258" t="s">
        <v>179</v>
      </c>
      <c r="H3258">
        <v>10</v>
      </c>
      <c r="I3258">
        <v>63</v>
      </c>
      <c r="J3258">
        <v>61.5</v>
      </c>
      <c r="K3258">
        <v>-1.5</v>
      </c>
      <c r="L3258">
        <v>5</v>
      </c>
      <c r="M3258">
        <v>1</v>
      </c>
      <c r="N3258">
        <v>4</v>
      </c>
      <c r="O3258" t="s">
        <v>53</v>
      </c>
      <c r="P3258" t="s">
        <v>53</v>
      </c>
      <c r="Q3258" t="s">
        <v>53</v>
      </c>
    </row>
    <row r="3259" spans="1:17" x14ac:dyDescent="0.2">
      <c r="A3259" s="30" t="str">
        <f>IF(C3259&amp;G3259&amp;D3259&lt;&gt;'Funnel setup'!$K$3&amp;'Funnel setup'!$K$4&amp;'Funnel setup'!$K$5,".",IF(A3258=".",1,A3258+1))</f>
        <v>.</v>
      </c>
      <c r="B3259" s="431" t="str">
        <f t="shared" si="50"/>
        <v>Hip Replacement RevisionProviderWEST MIDDLESEX UNIVERSITY HOSPITAL NHS TRUST (RFW)EQ VAS</v>
      </c>
      <c r="C3259" t="s">
        <v>247</v>
      </c>
      <c r="D3259" t="s">
        <v>1</v>
      </c>
      <c r="E3259" t="s">
        <v>3736</v>
      </c>
      <c r="F3259" t="s">
        <v>3737</v>
      </c>
      <c r="G3259" t="s">
        <v>179</v>
      </c>
      <c r="H3259" t="s">
        <v>53</v>
      </c>
      <c r="I3259" t="s">
        <v>53</v>
      </c>
      <c r="J3259" t="s">
        <v>53</v>
      </c>
      <c r="K3259" t="s">
        <v>53</v>
      </c>
      <c r="L3259" t="s">
        <v>53</v>
      </c>
      <c r="M3259" t="s">
        <v>53</v>
      </c>
      <c r="N3259" t="s">
        <v>53</v>
      </c>
      <c r="O3259" t="s">
        <v>53</v>
      </c>
      <c r="P3259" t="s">
        <v>53</v>
      </c>
      <c r="Q3259" t="s">
        <v>53</v>
      </c>
    </row>
    <row r="3260" spans="1:17" x14ac:dyDescent="0.2">
      <c r="A3260" s="30" t="str">
        <f>IF(C3260&amp;G3260&amp;D3260&lt;&gt;'Funnel setup'!$K$3&amp;'Funnel setup'!$K$4&amp;'Funnel setup'!$K$5,".",IF(A3259=".",1,A3259+1))</f>
        <v>.</v>
      </c>
      <c r="B3260" s="431" t="str">
        <f t="shared" si="50"/>
        <v>Hip Replacement RevisionProviderWEST SUFFOLK NHS FOUNDATION TRUST (RGR)EQ VAS</v>
      </c>
      <c r="C3260" t="s">
        <v>247</v>
      </c>
      <c r="D3260" t="s">
        <v>1</v>
      </c>
      <c r="E3260" t="s">
        <v>3712</v>
      </c>
      <c r="F3260" t="s">
        <v>3713</v>
      </c>
      <c r="G3260" t="s">
        <v>179</v>
      </c>
      <c r="H3260">
        <v>12</v>
      </c>
      <c r="I3260">
        <v>61</v>
      </c>
      <c r="J3260">
        <v>70.832999999999998</v>
      </c>
      <c r="K3260">
        <v>9.8330000000000002</v>
      </c>
      <c r="L3260">
        <v>7</v>
      </c>
      <c r="M3260">
        <v>2</v>
      </c>
      <c r="N3260">
        <v>3</v>
      </c>
      <c r="O3260" t="s">
        <v>53</v>
      </c>
      <c r="P3260" t="s">
        <v>53</v>
      </c>
      <c r="Q3260" t="s">
        <v>53</v>
      </c>
    </row>
    <row r="3261" spans="1:17" x14ac:dyDescent="0.2">
      <c r="A3261" s="30" t="str">
        <f>IF(C3261&amp;G3261&amp;D3261&lt;&gt;'Funnel setup'!$K$3&amp;'Funnel setup'!$K$4&amp;'Funnel setup'!$K$5,".",IF(A3260=".",1,A3260+1))</f>
        <v>.</v>
      </c>
      <c r="B3261" s="431" t="str">
        <f t="shared" si="50"/>
        <v>Hip Replacement RevisionProviderWESTERN SUSSEX HOSPITALS NHS FOUNDATION TRUST (RYR)EQ VAS</v>
      </c>
      <c r="C3261" t="s">
        <v>247</v>
      </c>
      <c r="D3261" t="s">
        <v>1</v>
      </c>
      <c r="E3261" t="s">
        <v>3706</v>
      </c>
      <c r="F3261" t="s">
        <v>3707</v>
      </c>
      <c r="G3261" t="s">
        <v>179</v>
      </c>
      <c r="H3261">
        <v>36</v>
      </c>
      <c r="I3261">
        <v>62.944000000000003</v>
      </c>
      <c r="J3261">
        <v>68.028000000000006</v>
      </c>
      <c r="K3261">
        <v>5.0830000000000002</v>
      </c>
      <c r="L3261">
        <v>21</v>
      </c>
      <c r="M3261">
        <v>2</v>
      </c>
      <c r="N3261">
        <v>13</v>
      </c>
      <c r="O3261">
        <v>68.953999999999994</v>
      </c>
      <c r="P3261">
        <v>4.1835189079999999</v>
      </c>
      <c r="Q3261">
        <v>15.725</v>
      </c>
    </row>
    <row r="3262" spans="1:17" x14ac:dyDescent="0.2">
      <c r="A3262" s="30" t="str">
        <f>IF(C3262&amp;G3262&amp;D3262&lt;&gt;'Funnel setup'!$K$3&amp;'Funnel setup'!$K$4&amp;'Funnel setup'!$K$5,".",IF(A3261=".",1,A3261+1))</f>
        <v>.</v>
      </c>
      <c r="B3262" s="431" t="str">
        <f t="shared" si="50"/>
        <v>Hip Replacement RevisionProviderWESTON AREA HEALTH NHS TRUST (RA3)EQ VAS</v>
      </c>
      <c r="C3262" t="s">
        <v>247</v>
      </c>
      <c r="D3262" t="s">
        <v>1</v>
      </c>
      <c r="E3262" t="s">
        <v>3525</v>
      </c>
      <c r="F3262" t="s">
        <v>3526</v>
      </c>
      <c r="G3262" t="s">
        <v>179</v>
      </c>
      <c r="H3262">
        <v>7</v>
      </c>
      <c r="I3262">
        <v>67.143000000000001</v>
      </c>
      <c r="J3262">
        <v>78.570999999999998</v>
      </c>
      <c r="K3262">
        <v>11.429</v>
      </c>
      <c r="L3262">
        <v>5</v>
      </c>
      <c r="M3262">
        <v>1</v>
      </c>
      <c r="N3262">
        <v>1</v>
      </c>
      <c r="O3262" t="s">
        <v>53</v>
      </c>
      <c r="P3262" t="s">
        <v>53</v>
      </c>
      <c r="Q3262" t="s">
        <v>53</v>
      </c>
    </row>
    <row r="3263" spans="1:17" x14ac:dyDescent="0.2">
      <c r="A3263" s="30" t="str">
        <f>IF(C3263&amp;G3263&amp;D3263&lt;&gt;'Funnel setup'!$K$3&amp;'Funnel setup'!$K$4&amp;'Funnel setup'!$K$5,".",IF(A3262=".",1,A3262+1))</f>
        <v>.</v>
      </c>
      <c r="B3263" s="431" t="str">
        <f t="shared" si="50"/>
        <v>Hip Replacement RevisionProviderWINFIELD HOSPITAL (NVC22)EQ VAS</v>
      </c>
      <c r="C3263" t="s">
        <v>247</v>
      </c>
      <c r="D3263" t="s">
        <v>1</v>
      </c>
      <c r="E3263" t="s">
        <v>3534</v>
      </c>
      <c r="F3263" t="s">
        <v>3535</v>
      </c>
      <c r="G3263" t="s">
        <v>179</v>
      </c>
      <c r="H3263" t="s">
        <v>53</v>
      </c>
      <c r="I3263" t="s">
        <v>53</v>
      </c>
      <c r="J3263" t="s">
        <v>53</v>
      </c>
      <c r="K3263" t="s">
        <v>53</v>
      </c>
      <c r="L3263" t="s">
        <v>53</v>
      </c>
      <c r="M3263" t="s">
        <v>53</v>
      </c>
      <c r="N3263" t="s">
        <v>53</v>
      </c>
      <c r="O3263" t="s">
        <v>53</v>
      </c>
      <c r="P3263" t="s">
        <v>53</v>
      </c>
      <c r="Q3263" t="s">
        <v>53</v>
      </c>
    </row>
    <row r="3264" spans="1:17" x14ac:dyDescent="0.2">
      <c r="A3264" s="30" t="str">
        <f>IF(C3264&amp;G3264&amp;D3264&lt;&gt;'Funnel setup'!$K$3&amp;'Funnel setup'!$K$4&amp;'Funnel setup'!$K$5,".",IF(A3263=".",1,A3263+1))</f>
        <v>.</v>
      </c>
      <c r="B3264" s="431" t="str">
        <f t="shared" si="50"/>
        <v>Hip Replacement RevisionProviderWIRRAL UNIVERSITY TEACHING HOSPITAL NHS FOUNDATION TRUST (RBL)EQ VAS</v>
      </c>
      <c r="C3264" t="s">
        <v>247</v>
      </c>
      <c r="D3264" t="s">
        <v>1</v>
      </c>
      <c r="E3264" t="s">
        <v>3537</v>
      </c>
      <c r="F3264" t="s">
        <v>3538</v>
      </c>
      <c r="G3264" t="s">
        <v>179</v>
      </c>
      <c r="H3264" t="s">
        <v>53</v>
      </c>
      <c r="I3264" t="s">
        <v>53</v>
      </c>
      <c r="J3264" t="s">
        <v>53</v>
      </c>
      <c r="K3264" t="s">
        <v>53</v>
      </c>
      <c r="L3264" t="s">
        <v>53</v>
      </c>
      <c r="M3264" t="s">
        <v>53</v>
      </c>
      <c r="N3264" t="s">
        <v>53</v>
      </c>
      <c r="O3264" t="s">
        <v>53</v>
      </c>
      <c r="P3264" t="s">
        <v>53</v>
      </c>
      <c r="Q3264" t="s">
        <v>53</v>
      </c>
    </row>
    <row r="3265" spans="1:17" x14ac:dyDescent="0.2">
      <c r="A3265" s="30" t="str">
        <f>IF(C3265&amp;G3265&amp;D3265&lt;&gt;'Funnel setup'!$K$3&amp;'Funnel setup'!$K$4&amp;'Funnel setup'!$K$5,".",IF(A3264=".",1,A3264+1))</f>
        <v>.</v>
      </c>
      <c r="B3265" s="431" t="str">
        <f t="shared" si="50"/>
        <v>Hip Replacement RevisionProviderWOODLAND HOSPITAL (NVC23)EQ VAS</v>
      </c>
      <c r="C3265" t="s">
        <v>247</v>
      </c>
      <c r="D3265" t="s">
        <v>1</v>
      </c>
      <c r="E3265" t="s">
        <v>3540</v>
      </c>
      <c r="F3265" t="s">
        <v>3541</v>
      </c>
      <c r="G3265" t="s">
        <v>179</v>
      </c>
      <c r="H3265" t="s">
        <v>53</v>
      </c>
      <c r="I3265" t="s">
        <v>53</v>
      </c>
      <c r="J3265" t="s">
        <v>53</v>
      </c>
      <c r="K3265" t="s">
        <v>53</v>
      </c>
      <c r="L3265" t="s">
        <v>53</v>
      </c>
      <c r="M3265" t="s">
        <v>53</v>
      </c>
      <c r="N3265" t="s">
        <v>53</v>
      </c>
      <c r="O3265" t="s">
        <v>53</v>
      </c>
      <c r="P3265" t="s">
        <v>53</v>
      </c>
      <c r="Q3265" t="s">
        <v>53</v>
      </c>
    </row>
    <row r="3266" spans="1:17" x14ac:dyDescent="0.2">
      <c r="A3266" s="30" t="str">
        <f>IF(C3266&amp;G3266&amp;D3266&lt;&gt;'Funnel setup'!$K$3&amp;'Funnel setup'!$K$4&amp;'Funnel setup'!$K$5,".",IF(A3265=".",1,A3265+1))</f>
        <v>.</v>
      </c>
      <c r="B3266" s="431" t="str">
        <f t="shared" si="50"/>
        <v>Hip Replacement RevisionProviderWOODTHORPE HOSPITAL (NVC40)EQ VAS</v>
      </c>
      <c r="C3266" t="s">
        <v>247</v>
      </c>
      <c r="D3266" t="s">
        <v>1</v>
      </c>
      <c r="E3266" t="s">
        <v>3689</v>
      </c>
      <c r="F3266" t="s">
        <v>6576</v>
      </c>
      <c r="G3266" t="s">
        <v>179</v>
      </c>
      <c r="H3266" t="s">
        <v>53</v>
      </c>
      <c r="I3266" t="s">
        <v>53</v>
      </c>
      <c r="J3266" t="s">
        <v>53</v>
      </c>
      <c r="K3266" t="s">
        <v>53</v>
      </c>
      <c r="L3266" t="s">
        <v>53</v>
      </c>
      <c r="M3266" t="s">
        <v>53</v>
      </c>
      <c r="N3266" t="s">
        <v>53</v>
      </c>
      <c r="O3266" t="s">
        <v>53</v>
      </c>
      <c r="P3266" t="s">
        <v>53</v>
      </c>
      <c r="Q3266" t="s">
        <v>53</v>
      </c>
    </row>
    <row r="3267" spans="1:17" x14ac:dyDescent="0.2">
      <c r="A3267" s="30" t="str">
        <f>IF(C3267&amp;G3267&amp;D3267&lt;&gt;'Funnel setup'!$K$3&amp;'Funnel setup'!$K$4&amp;'Funnel setup'!$K$5,".",IF(A3266=".",1,A3266+1))</f>
        <v>.</v>
      </c>
      <c r="B3267" s="431" t="str">
        <f t="shared" ref="B3267:B3330" si="51">C3267&amp;D3267&amp;F3267&amp;G3267</f>
        <v>Hip Replacement RevisionProviderWORCESTERSHIRE ACUTE HOSPITALS NHS TRUST (RWP)EQ VAS</v>
      </c>
      <c r="C3267" t="s">
        <v>247</v>
      </c>
      <c r="D3267" t="s">
        <v>1</v>
      </c>
      <c r="E3267" t="s">
        <v>3543</v>
      </c>
      <c r="F3267" t="s">
        <v>3544</v>
      </c>
      <c r="G3267" t="s">
        <v>179</v>
      </c>
      <c r="H3267">
        <v>13</v>
      </c>
      <c r="I3267">
        <v>55.384999999999998</v>
      </c>
      <c r="J3267">
        <v>66.153999999999996</v>
      </c>
      <c r="K3267">
        <v>10.769</v>
      </c>
      <c r="L3267">
        <v>8</v>
      </c>
      <c r="M3267">
        <v>1</v>
      </c>
      <c r="N3267">
        <v>4</v>
      </c>
      <c r="O3267" t="s">
        <v>53</v>
      </c>
      <c r="P3267" t="s">
        <v>53</v>
      </c>
      <c r="Q3267" t="s">
        <v>53</v>
      </c>
    </row>
    <row r="3268" spans="1:17" x14ac:dyDescent="0.2">
      <c r="A3268" s="30" t="str">
        <f>IF(C3268&amp;G3268&amp;D3268&lt;&gt;'Funnel setup'!$K$3&amp;'Funnel setup'!$K$4&amp;'Funnel setup'!$K$5,".",IF(A3267=".",1,A3267+1))</f>
        <v>.</v>
      </c>
      <c r="B3268" s="431" t="str">
        <f t="shared" si="51"/>
        <v>Hip Replacement RevisionProviderWRIGHTINGTON, WIGAN AND LEIGH NHS FOUNDATION TRUST (RRF)EQ VAS</v>
      </c>
      <c r="C3268" t="s">
        <v>247</v>
      </c>
      <c r="D3268" t="s">
        <v>1</v>
      </c>
      <c r="E3268" t="s">
        <v>3546</v>
      </c>
      <c r="F3268" t="s">
        <v>3547</v>
      </c>
      <c r="G3268" t="s">
        <v>179</v>
      </c>
      <c r="H3268">
        <v>38</v>
      </c>
      <c r="I3268">
        <v>63.210999999999999</v>
      </c>
      <c r="J3268">
        <v>61.052999999999997</v>
      </c>
      <c r="K3268">
        <v>-2.1579999999999999</v>
      </c>
      <c r="L3268">
        <v>14</v>
      </c>
      <c r="M3268">
        <v>5</v>
      </c>
      <c r="N3268">
        <v>19</v>
      </c>
      <c r="O3268">
        <v>63.125</v>
      </c>
      <c r="P3268">
        <v>-1.6455226970000001</v>
      </c>
      <c r="Q3268">
        <v>19.835999999999999</v>
      </c>
    </row>
    <row r="3269" spans="1:17" x14ac:dyDescent="0.2">
      <c r="A3269" s="30" t="str">
        <f>IF(C3269&amp;G3269&amp;D3269&lt;&gt;'Funnel setup'!$K$3&amp;'Funnel setup'!$K$4&amp;'Funnel setup'!$K$5,".",IF(A3268=".",1,A3268+1))</f>
        <v>.</v>
      </c>
      <c r="B3269" s="431" t="str">
        <f t="shared" si="51"/>
        <v>Hip Replacement RevisionProviderWYE VALLEY NHS TRUST (RLQ)EQ VAS</v>
      </c>
      <c r="C3269" t="s">
        <v>247</v>
      </c>
      <c r="D3269" t="s">
        <v>1</v>
      </c>
      <c r="E3269" t="s">
        <v>3517</v>
      </c>
      <c r="F3269" t="s">
        <v>3518</v>
      </c>
      <c r="G3269" t="s">
        <v>179</v>
      </c>
      <c r="H3269">
        <v>6</v>
      </c>
      <c r="I3269">
        <v>68.332999999999998</v>
      </c>
      <c r="J3269">
        <v>69.167000000000002</v>
      </c>
      <c r="K3269">
        <v>0.83299999999999996</v>
      </c>
      <c r="L3269">
        <v>3</v>
      </c>
      <c r="M3269">
        <v>1</v>
      </c>
      <c r="N3269">
        <v>2</v>
      </c>
      <c r="O3269" t="s">
        <v>53</v>
      </c>
      <c r="P3269" t="s">
        <v>53</v>
      </c>
      <c r="Q3269" t="s">
        <v>53</v>
      </c>
    </row>
    <row r="3270" spans="1:17" x14ac:dyDescent="0.2">
      <c r="A3270" s="30" t="str">
        <f>IF(C3270&amp;G3270&amp;D3270&lt;&gt;'Funnel setup'!$K$3&amp;'Funnel setup'!$K$4&amp;'Funnel setup'!$K$5,".",IF(A3269=".",1,A3269+1))</f>
        <v>.</v>
      </c>
      <c r="B3270" s="431" t="str">
        <f t="shared" si="51"/>
        <v>Hip Replacement RevisionProviderYEOVIL DISTRICT HOSPITAL NHS FOUNDATION TRUST (RA4)EQ VAS</v>
      </c>
      <c r="C3270" t="s">
        <v>247</v>
      </c>
      <c r="D3270" t="s">
        <v>1</v>
      </c>
      <c r="E3270" t="s">
        <v>3520</v>
      </c>
      <c r="F3270" t="s">
        <v>341</v>
      </c>
      <c r="G3270" t="s">
        <v>179</v>
      </c>
      <c r="H3270">
        <v>6</v>
      </c>
      <c r="I3270">
        <v>67.167000000000002</v>
      </c>
      <c r="J3270">
        <v>79.167000000000002</v>
      </c>
      <c r="K3270">
        <v>12</v>
      </c>
      <c r="L3270">
        <v>4</v>
      </c>
      <c r="M3270">
        <v>1</v>
      </c>
      <c r="N3270">
        <v>1</v>
      </c>
      <c r="O3270" t="s">
        <v>53</v>
      </c>
      <c r="P3270" t="s">
        <v>53</v>
      </c>
      <c r="Q3270" t="s">
        <v>53</v>
      </c>
    </row>
    <row r="3271" spans="1:17" x14ac:dyDescent="0.2">
      <c r="A3271" s="30" t="str">
        <f>IF(C3271&amp;G3271&amp;D3271&lt;&gt;'Funnel setup'!$K$3&amp;'Funnel setup'!$K$4&amp;'Funnel setup'!$K$5,".",IF(A3270=".",1,A3270+1))</f>
        <v>.</v>
      </c>
      <c r="B3271" s="431" t="str">
        <f t="shared" si="51"/>
        <v>Hip Replacement RevisionProviderYORK TEACHING HOSPITAL NHS FOUNDATION TRUST (RCB)EQ VAS</v>
      </c>
      <c r="C3271" t="s">
        <v>247</v>
      </c>
      <c r="D3271" t="s">
        <v>1</v>
      </c>
      <c r="E3271" t="s">
        <v>3515</v>
      </c>
      <c r="F3271" t="s">
        <v>343</v>
      </c>
      <c r="G3271" t="s">
        <v>179</v>
      </c>
      <c r="H3271">
        <v>31</v>
      </c>
      <c r="I3271">
        <v>66.644999999999996</v>
      </c>
      <c r="J3271">
        <v>72.194000000000003</v>
      </c>
      <c r="K3271">
        <v>5.548</v>
      </c>
      <c r="L3271">
        <v>17</v>
      </c>
      <c r="M3271">
        <v>3</v>
      </c>
      <c r="N3271">
        <v>11</v>
      </c>
      <c r="O3271">
        <v>71.623999999999995</v>
      </c>
      <c r="P3271">
        <v>6.8531050870000003</v>
      </c>
      <c r="Q3271">
        <v>18.184999999999999</v>
      </c>
    </row>
    <row r="3272" spans="1:17" x14ac:dyDescent="0.2">
      <c r="A3272" s="30" t="str">
        <f>IF(C3272&amp;G3272&amp;D3272&lt;&gt;'Funnel setup'!$K$3&amp;'Funnel setup'!$K$4&amp;'Funnel setup'!$K$5,".",IF(A3271=".",1,A3271+1))</f>
        <v>.</v>
      </c>
      <c r="B3272" s="431" t="str">
        <f t="shared" si="51"/>
        <v>Hip Replacement RevisionProviderAINTREE UNIVERSITY HOSPITAL NHS FOUNDATION TRUST (REM)EQ-5D Index</v>
      </c>
      <c r="C3272" t="s">
        <v>247</v>
      </c>
      <c r="D3272" t="s">
        <v>1</v>
      </c>
      <c r="E3272" t="s">
        <v>3838</v>
      </c>
      <c r="F3272" t="s">
        <v>3839</v>
      </c>
      <c r="G3272" t="s">
        <v>52</v>
      </c>
      <c r="H3272">
        <v>14</v>
      </c>
      <c r="I3272">
        <v>0.22600000000000001</v>
      </c>
      <c r="J3272">
        <v>0.40400000000000003</v>
      </c>
      <c r="K3272">
        <v>0.17799999999999999</v>
      </c>
      <c r="L3272">
        <v>10</v>
      </c>
      <c r="M3272">
        <v>1</v>
      </c>
      <c r="N3272">
        <v>3</v>
      </c>
      <c r="O3272" t="s">
        <v>53</v>
      </c>
      <c r="P3272" t="s">
        <v>53</v>
      </c>
      <c r="Q3272" t="s">
        <v>53</v>
      </c>
    </row>
    <row r="3273" spans="1:17" x14ac:dyDescent="0.2">
      <c r="A3273" s="30" t="str">
        <f>IF(C3273&amp;G3273&amp;D3273&lt;&gt;'Funnel setup'!$K$3&amp;'Funnel setup'!$K$4&amp;'Funnel setup'!$K$5,".",IF(A3272=".",1,A3272+1))</f>
        <v>.</v>
      </c>
      <c r="B3273" s="431" t="str">
        <f t="shared" si="51"/>
        <v>Hip Replacement RevisionProviderAIREDALE NHS FOUNDATION TRUST (RCF)EQ-5D Index</v>
      </c>
      <c r="C3273" t="s">
        <v>247</v>
      </c>
      <c r="D3273" t="s">
        <v>1</v>
      </c>
      <c r="E3273" t="s">
        <v>3841</v>
      </c>
      <c r="F3273" t="s">
        <v>3842</v>
      </c>
      <c r="G3273" t="s">
        <v>52</v>
      </c>
      <c r="H3273">
        <v>11</v>
      </c>
      <c r="I3273">
        <v>0.48299999999999998</v>
      </c>
      <c r="J3273">
        <v>0.77500000000000002</v>
      </c>
      <c r="K3273">
        <v>0.29199999999999998</v>
      </c>
      <c r="L3273">
        <v>7</v>
      </c>
      <c r="M3273">
        <v>2</v>
      </c>
      <c r="N3273">
        <v>2</v>
      </c>
      <c r="O3273" t="s">
        <v>53</v>
      </c>
      <c r="P3273" t="s">
        <v>53</v>
      </c>
      <c r="Q3273" t="s">
        <v>53</v>
      </c>
    </row>
    <row r="3274" spans="1:17" x14ac:dyDescent="0.2">
      <c r="A3274" s="30" t="str">
        <f>IF(C3274&amp;G3274&amp;D3274&lt;&gt;'Funnel setup'!$K$3&amp;'Funnel setup'!$K$4&amp;'Funnel setup'!$K$5,".",IF(A3273=".",1,A3273+1))</f>
        <v>.</v>
      </c>
      <c r="B3274" s="431" t="str">
        <f t="shared" si="51"/>
        <v>Hip Replacement RevisionProviderASHFORD AND ST PETER'S HOSPITALS NHS FOUNDATION TRUST (RTK)EQ-5D Index</v>
      </c>
      <c r="C3274" t="s">
        <v>247</v>
      </c>
      <c r="D3274" t="s">
        <v>1</v>
      </c>
      <c r="E3274" t="s">
        <v>3844</v>
      </c>
      <c r="F3274" t="s">
        <v>345</v>
      </c>
      <c r="G3274" t="s">
        <v>52</v>
      </c>
      <c r="H3274">
        <v>14</v>
      </c>
      <c r="I3274">
        <v>0.59799999999999998</v>
      </c>
      <c r="J3274">
        <v>0.71199999999999997</v>
      </c>
      <c r="K3274">
        <v>0.115</v>
      </c>
      <c r="L3274">
        <v>8</v>
      </c>
      <c r="M3274">
        <v>4</v>
      </c>
      <c r="N3274">
        <v>2</v>
      </c>
      <c r="O3274" t="s">
        <v>53</v>
      </c>
      <c r="P3274" t="s">
        <v>53</v>
      </c>
      <c r="Q3274" t="s">
        <v>53</v>
      </c>
    </row>
    <row r="3275" spans="1:17" x14ac:dyDescent="0.2">
      <c r="A3275" s="30" t="str">
        <f>IF(C3275&amp;G3275&amp;D3275&lt;&gt;'Funnel setup'!$K$3&amp;'Funnel setup'!$K$4&amp;'Funnel setup'!$K$5,".",IF(A3274=".",1,A3274+1))</f>
        <v>.</v>
      </c>
      <c r="B3275" s="431" t="str">
        <f t="shared" si="51"/>
        <v>Hip Replacement RevisionProviderASHTEAD HOSPITAL (NVC01)EQ-5D Index</v>
      </c>
      <c r="C3275" t="s">
        <v>247</v>
      </c>
      <c r="D3275" t="s">
        <v>1</v>
      </c>
      <c r="E3275" t="s">
        <v>3846</v>
      </c>
      <c r="F3275" t="s">
        <v>3847</v>
      </c>
      <c r="G3275" t="s">
        <v>52</v>
      </c>
      <c r="H3275" t="s">
        <v>53</v>
      </c>
      <c r="I3275" t="s">
        <v>53</v>
      </c>
      <c r="J3275" t="s">
        <v>53</v>
      </c>
      <c r="K3275" t="s">
        <v>53</v>
      </c>
      <c r="L3275" t="s">
        <v>53</v>
      </c>
      <c r="M3275" t="s">
        <v>53</v>
      </c>
      <c r="N3275" t="s">
        <v>53</v>
      </c>
      <c r="O3275" t="s">
        <v>53</v>
      </c>
      <c r="P3275" t="s">
        <v>53</v>
      </c>
      <c r="Q3275" t="s">
        <v>53</v>
      </c>
    </row>
    <row r="3276" spans="1:17" x14ac:dyDescent="0.2">
      <c r="A3276" s="30" t="str">
        <f>IF(C3276&amp;G3276&amp;D3276&lt;&gt;'Funnel setup'!$K$3&amp;'Funnel setup'!$K$4&amp;'Funnel setup'!$K$5,".",IF(A3275=".",1,A3275+1))</f>
        <v>.</v>
      </c>
      <c r="B3276" s="431" t="str">
        <f t="shared" si="51"/>
        <v>Hip Replacement RevisionProviderASPEN - CLAREMONT HOSPITAL (NYW04)EQ-5D Index</v>
      </c>
      <c r="C3276" t="s">
        <v>247</v>
      </c>
      <c r="D3276" t="s">
        <v>1</v>
      </c>
      <c r="E3276" t="s">
        <v>3500</v>
      </c>
      <c r="F3276" t="s">
        <v>3501</v>
      </c>
      <c r="G3276" t="s">
        <v>52</v>
      </c>
      <c r="H3276" t="s">
        <v>53</v>
      </c>
      <c r="I3276" t="s">
        <v>53</v>
      </c>
      <c r="J3276" t="s">
        <v>53</v>
      </c>
      <c r="K3276" t="s">
        <v>53</v>
      </c>
      <c r="L3276" t="s">
        <v>53</v>
      </c>
      <c r="M3276" t="s">
        <v>53</v>
      </c>
      <c r="N3276" t="s">
        <v>53</v>
      </c>
      <c r="O3276" t="s">
        <v>53</v>
      </c>
      <c r="P3276" t="s">
        <v>53</v>
      </c>
      <c r="Q3276" t="s">
        <v>53</v>
      </c>
    </row>
    <row r="3277" spans="1:17" x14ac:dyDescent="0.2">
      <c r="A3277" s="30" t="str">
        <f>IF(C3277&amp;G3277&amp;D3277&lt;&gt;'Funnel setup'!$K$3&amp;'Funnel setup'!$K$4&amp;'Funnel setup'!$K$5,".",IF(A3276=".",1,A3276+1))</f>
        <v>.</v>
      </c>
      <c r="B3277" s="431" t="str">
        <f t="shared" si="51"/>
        <v>Hip Replacement RevisionProviderBARLBOROUGH NHS TREATMENT CENTRE (NTP13)EQ-5D Index</v>
      </c>
      <c r="C3277" t="s">
        <v>247</v>
      </c>
      <c r="D3277" t="s">
        <v>1</v>
      </c>
      <c r="E3277" t="s">
        <v>4425</v>
      </c>
      <c r="F3277" t="s">
        <v>4426</v>
      </c>
      <c r="G3277" t="s">
        <v>52</v>
      </c>
      <c r="H3277">
        <v>6</v>
      </c>
      <c r="I3277">
        <v>0.28999999999999998</v>
      </c>
      <c r="J3277">
        <v>0.59499999999999997</v>
      </c>
      <c r="K3277">
        <v>0.30499999999999999</v>
      </c>
      <c r="L3277">
        <v>5</v>
      </c>
      <c r="M3277">
        <v>0</v>
      </c>
      <c r="N3277">
        <v>1</v>
      </c>
      <c r="O3277" t="s">
        <v>53</v>
      </c>
      <c r="P3277" t="s">
        <v>53</v>
      </c>
      <c r="Q3277" t="s">
        <v>53</v>
      </c>
    </row>
    <row r="3278" spans="1:17" x14ac:dyDescent="0.2">
      <c r="A3278" s="30" t="str">
        <f>IF(C3278&amp;G3278&amp;D3278&lt;&gt;'Funnel setup'!$K$3&amp;'Funnel setup'!$K$4&amp;'Funnel setup'!$K$5,".",IF(A3277=".",1,A3277+1))</f>
        <v>.</v>
      </c>
      <c r="B3278" s="431" t="str">
        <f t="shared" si="51"/>
        <v>Hip Replacement RevisionProviderBARNSLEY HOSPITAL NHS FOUNDATION TRUST (RFF)EQ-5D Index</v>
      </c>
      <c r="C3278" t="s">
        <v>247</v>
      </c>
      <c r="D3278" t="s">
        <v>1</v>
      </c>
      <c r="E3278" t="s">
        <v>3549</v>
      </c>
      <c r="F3278" t="s">
        <v>3550</v>
      </c>
      <c r="G3278" t="s">
        <v>52</v>
      </c>
      <c r="H3278" t="s">
        <v>53</v>
      </c>
      <c r="I3278" t="s">
        <v>53</v>
      </c>
      <c r="J3278" t="s">
        <v>53</v>
      </c>
      <c r="K3278" t="s">
        <v>53</v>
      </c>
      <c r="L3278" t="s">
        <v>53</v>
      </c>
      <c r="M3278" t="s">
        <v>53</v>
      </c>
      <c r="N3278" t="s">
        <v>53</v>
      </c>
      <c r="O3278" t="s">
        <v>53</v>
      </c>
      <c r="P3278" t="s">
        <v>53</v>
      </c>
      <c r="Q3278" t="s">
        <v>53</v>
      </c>
    </row>
    <row r="3279" spans="1:17" x14ac:dyDescent="0.2">
      <c r="A3279" s="30" t="str">
        <f>IF(C3279&amp;G3279&amp;D3279&lt;&gt;'Funnel setup'!$K$3&amp;'Funnel setup'!$K$4&amp;'Funnel setup'!$K$5,".",IF(A3278=".",1,A3278+1))</f>
        <v>.</v>
      </c>
      <c r="B3279" s="431" t="str">
        <f t="shared" si="51"/>
        <v>Hip Replacement RevisionProviderBARTS HEALTH NHS TRUST (R1H)EQ-5D Index</v>
      </c>
      <c r="C3279" t="s">
        <v>247</v>
      </c>
      <c r="D3279" t="s">
        <v>1</v>
      </c>
      <c r="E3279" t="s">
        <v>3552</v>
      </c>
      <c r="F3279" t="s">
        <v>3553</v>
      </c>
      <c r="G3279" t="s">
        <v>52</v>
      </c>
      <c r="H3279">
        <v>13</v>
      </c>
      <c r="I3279">
        <v>0.152</v>
      </c>
      <c r="J3279">
        <v>0.502</v>
      </c>
      <c r="K3279">
        <v>0.35</v>
      </c>
      <c r="L3279">
        <v>10</v>
      </c>
      <c r="M3279">
        <v>3</v>
      </c>
      <c r="N3279">
        <v>0</v>
      </c>
      <c r="O3279" t="s">
        <v>53</v>
      </c>
      <c r="P3279" t="s">
        <v>53</v>
      </c>
      <c r="Q3279" t="s">
        <v>53</v>
      </c>
    </row>
    <row r="3280" spans="1:17" x14ac:dyDescent="0.2">
      <c r="A3280" s="30" t="str">
        <f>IF(C3280&amp;G3280&amp;D3280&lt;&gt;'Funnel setup'!$K$3&amp;'Funnel setup'!$K$4&amp;'Funnel setup'!$K$5,".",IF(A3279=".",1,A3279+1))</f>
        <v>.</v>
      </c>
      <c r="B3280" s="431" t="str">
        <f t="shared" si="51"/>
        <v>Hip Replacement RevisionProviderBASILDON AND THURROCK UNIVERSITY HOSPITALS NHS FOUNDATION TRUST (RDD)EQ-5D Index</v>
      </c>
      <c r="C3280" t="s">
        <v>247</v>
      </c>
      <c r="D3280" t="s">
        <v>1</v>
      </c>
      <c r="E3280" t="s">
        <v>3555</v>
      </c>
      <c r="F3280" t="s">
        <v>3556</v>
      </c>
      <c r="G3280" t="s">
        <v>52</v>
      </c>
      <c r="H3280">
        <v>9</v>
      </c>
      <c r="I3280">
        <v>0.41899999999999998</v>
      </c>
      <c r="J3280">
        <v>0.59</v>
      </c>
      <c r="K3280">
        <v>0.17100000000000001</v>
      </c>
      <c r="L3280">
        <v>5</v>
      </c>
      <c r="M3280">
        <v>3</v>
      </c>
      <c r="N3280">
        <v>1</v>
      </c>
      <c r="O3280" t="s">
        <v>53</v>
      </c>
      <c r="P3280" t="s">
        <v>53</v>
      </c>
      <c r="Q3280" t="s">
        <v>53</v>
      </c>
    </row>
    <row r="3281" spans="1:17" x14ac:dyDescent="0.2">
      <c r="A3281" s="30" t="str">
        <f>IF(C3281&amp;G3281&amp;D3281&lt;&gt;'Funnel setup'!$K$3&amp;'Funnel setup'!$K$4&amp;'Funnel setup'!$K$5,".",IF(A3280=".",1,A3280+1))</f>
        <v>.</v>
      </c>
      <c r="B3281" s="431" t="str">
        <f t="shared" si="51"/>
        <v>Hip Replacement RevisionProviderBEDFORD HOSPITAL NHS TRUST (RC1)EQ-5D Index</v>
      </c>
      <c r="C3281" t="s">
        <v>247</v>
      </c>
      <c r="D3281" t="s">
        <v>1</v>
      </c>
      <c r="E3281" t="s">
        <v>3558</v>
      </c>
      <c r="F3281" t="s">
        <v>3559</v>
      </c>
      <c r="G3281" t="s">
        <v>52</v>
      </c>
      <c r="H3281">
        <v>6</v>
      </c>
      <c r="I3281">
        <v>0.502</v>
      </c>
      <c r="J3281">
        <v>0.70099999999999996</v>
      </c>
      <c r="K3281">
        <v>0.19800000000000001</v>
      </c>
      <c r="L3281">
        <v>4</v>
      </c>
      <c r="M3281">
        <v>2</v>
      </c>
      <c r="N3281">
        <v>0</v>
      </c>
      <c r="O3281" t="s">
        <v>53</v>
      </c>
      <c r="P3281" t="s">
        <v>53</v>
      </c>
      <c r="Q3281" t="s">
        <v>53</v>
      </c>
    </row>
    <row r="3282" spans="1:17" x14ac:dyDescent="0.2">
      <c r="A3282" s="30" t="str">
        <f>IF(C3282&amp;G3282&amp;D3282&lt;&gt;'Funnel setup'!$K$3&amp;'Funnel setup'!$K$4&amp;'Funnel setup'!$K$5,".",IF(A3281=".",1,A3281+1))</f>
        <v>.</v>
      </c>
      <c r="B3282" s="431" t="str">
        <f t="shared" si="51"/>
        <v>Hip Replacement RevisionProviderBMI - BATH CLINIC (NT402)EQ-5D Index</v>
      </c>
      <c r="C3282" t="s">
        <v>247</v>
      </c>
      <c r="D3282" t="s">
        <v>1</v>
      </c>
      <c r="E3282" t="s">
        <v>3488</v>
      </c>
      <c r="F3282" t="s">
        <v>3489</v>
      </c>
      <c r="G3282" t="s">
        <v>52</v>
      </c>
      <c r="H3282" t="s">
        <v>53</v>
      </c>
      <c r="I3282" t="s">
        <v>53</v>
      </c>
      <c r="J3282" t="s">
        <v>53</v>
      </c>
      <c r="K3282" t="s">
        <v>53</v>
      </c>
      <c r="L3282" t="s">
        <v>53</v>
      </c>
      <c r="M3282" t="s">
        <v>53</v>
      </c>
      <c r="N3282" t="s">
        <v>53</v>
      </c>
      <c r="O3282" t="s">
        <v>53</v>
      </c>
      <c r="P3282" t="s">
        <v>53</v>
      </c>
      <c r="Q3282" t="s">
        <v>53</v>
      </c>
    </row>
    <row r="3283" spans="1:17" x14ac:dyDescent="0.2">
      <c r="A3283" s="30" t="str">
        <f>IF(C3283&amp;G3283&amp;D3283&lt;&gt;'Funnel setup'!$K$3&amp;'Funnel setup'!$K$4&amp;'Funnel setup'!$K$5,".",IF(A3282=".",1,A3282+1))</f>
        <v>.</v>
      </c>
      <c r="B3283" s="431" t="str">
        <f t="shared" si="51"/>
        <v>Hip Replacement RevisionProviderBMI - BISHOPS WOOD (NT405)EQ-5D Index</v>
      </c>
      <c r="C3283" t="s">
        <v>247</v>
      </c>
      <c r="D3283" t="s">
        <v>1</v>
      </c>
      <c r="E3283" t="s">
        <v>3491</v>
      </c>
      <c r="F3283" t="s">
        <v>3492</v>
      </c>
      <c r="G3283" t="s">
        <v>52</v>
      </c>
      <c r="H3283" t="s">
        <v>53</v>
      </c>
      <c r="I3283" t="s">
        <v>53</v>
      </c>
      <c r="J3283" t="s">
        <v>53</v>
      </c>
      <c r="K3283" t="s">
        <v>53</v>
      </c>
      <c r="L3283" t="s">
        <v>53</v>
      </c>
      <c r="M3283" t="s">
        <v>53</v>
      </c>
      <c r="N3283" t="s">
        <v>53</v>
      </c>
      <c r="O3283" t="s">
        <v>53</v>
      </c>
      <c r="P3283" t="s">
        <v>53</v>
      </c>
      <c r="Q3283" t="s">
        <v>53</v>
      </c>
    </row>
    <row r="3284" spans="1:17" x14ac:dyDescent="0.2">
      <c r="A3284" s="30" t="str">
        <f>IF(C3284&amp;G3284&amp;D3284&lt;&gt;'Funnel setup'!$K$3&amp;'Funnel setup'!$K$4&amp;'Funnel setup'!$K$5,".",IF(A3283=".",1,A3283+1))</f>
        <v>.</v>
      </c>
      <c r="B3284" s="431" t="str">
        <f t="shared" si="51"/>
        <v>Hip Replacement RevisionProviderBMI - GORING HALL HOSPITAL (NT417)EQ-5D Index</v>
      </c>
      <c r="C3284" t="s">
        <v>247</v>
      </c>
      <c r="D3284" t="s">
        <v>1</v>
      </c>
      <c r="E3284" t="s">
        <v>3403</v>
      </c>
      <c r="F3284" t="s">
        <v>3404</v>
      </c>
      <c r="G3284" t="s">
        <v>52</v>
      </c>
      <c r="H3284">
        <v>8</v>
      </c>
      <c r="I3284">
        <v>0.438</v>
      </c>
      <c r="J3284">
        <v>0.63700000000000001</v>
      </c>
      <c r="K3284">
        <v>0.2</v>
      </c>
      <c r="L3284">
        <v>5</v>
      </c>
      <c r="M3284">
        <v>0</v>
      </c>
      <c r="N3284">
        <v>3</v>
      </c>
      <c r="O3284" t="s">
        <v>53</v>
      </c>
      <c r="P3284" t="s">
        <v>53</v>
      </c>
      <c r="Q3284" t="s">
        <v>53</v>
      </c>
    </row>
    <row r="3285" spans="1:17" x14ac:dyDescent="0.2">
      <c r="A3285" s="30" t="str">
        <f>IF(C3285&amp;G3285&amp;D3285&lt;&gt;'Funnel setup'!$K$3&amp;'Funnel setup'!$K$4&amp;'Funnel setup'!$K$5,".",IF(A3284=".",1,A3284+1))</f>
        <v>.</v>
      </c>
      <c r="B3285" s="431" t="str">
        <f t="shared" si="51"/>
        <v>Hip Replacement RevisionProviderBMI - THE CHILTERN HOSPITAL (NT410)EQ-5D Index</v>
      </c>
      <c r="C3285" t="s">
        <v>247</v>
      </c>
      <c r="D3285" t="s">
        <v>1</v>
      </c>
      <c r="E3285" t="s">
        <v>3594</v>
      </c>
      <c r="F3285" t="s">
        <v>3595</v>
      </c>
      <c r="G3285" t="s">
        <v>52</v>
      </c>
      <c r="H3285" t="s">
        <v>53</v>
      </c>
      <c r="I3285" t="s">
        <v>53</v>
      </c>
      <c r="J3285" t="s">
        <v>53</v>
      </c>
      <c r="K3285" t="s">
        <v>53</v>
      </c>
      <c r="L3285" t="s">
        <v>53</v>
      </c>
      <c r="M3285" t="s">
        <v>53</v>
      </c>
      <c r="N3285" t="s">
        <v>53</v>
      </c>
      <c r="O3285" t="s">
        <v>53</v>
      </c>
      <c r="P3285" t="s">
        <v>53</v>
      </c>
      <c r="Q3285" t="s">
        <v>53</v>
      </c>
    </row>
    <row r="3286" spans="1:17" x14ac:dyDescent="0.2">
      <c r="A3286" s="30" t="str">
        <f>IF(C3286&amp;G3286&amp;D3286&lt;&gt;'Funnel setup'!$K$3&amp;'Funnel setup'!$K$4&amp;'Funnel setup'!$K$5,".",IF(A3285=".",1,A3285+1))</f>
        <v>.</v>
      </c>
      <c r="B3286" s="431" t="str">
        <f t="shared" si="51"/>
        <v>Hip Replacement RevisionProviderBMI - THE MERIDEN HOSPITAL (NT424)EQ-5D Index</v>
      </c>
      <c r="C3286" t="s">
        <v>247</v>
      </c>
      <c r="D3286" t="s">
        <v>1</v>
      </c>
      <c r="E3286" t="s">
        <v>3283</v>
      </c>
      <c r="F3286" t="s">
        <v>3284</v>
      </c>
      <c r="G3286" t="s">
        <v>52</v>
      </c>
      <c r="H3286" t="s">
        <v>53</v>
      </c>
      <c r="I3286" t="s">
        <v>53</v>
      </c>
      <c r="J3286" t="s">
        <v>53</v>
      </c>
      <c r="K3286" t="s">
        <v>53</v>
      </c>
      <c r="L3286" t="s">
        <v>53</v>
      </c>
      <c r="M3286" t="s">
        <v>53</v>
      </c>
      <c r="N3286" t="s">
        <v>53</v>
      </c>
      <c r="O3286" t="s">
        <v>53</v>
      </c>
      <c r="P3286" t="s">
        <v>53</v>
      </c>
      <c r="Q3286" t="s">
        <v>53</v>
      </c>
    </row>
    <row r="3287" spans="1:17" x14ac:dyDescent="0.2">
      <c r="A3287" s="30" t="str">
        <f>IF(C3287&amp;G3287&amp;D3287&lt;&gt;'Funnel setup'!$K$3&amp;'Funnel setup'!$K$4&amp;'Funnel setup'!$K$5,".",IF(A3286=".",1,A3286+1))</f>
        <v>.</v>
      </c>
      <c r="B3287" s="431" t="str">
        <f t="shared" si="51"/>
        <v>Hip Replacement RevisionProviderBMI - THE RUNNYMEDE HOSPITAL (NT431)EQ-5D Index</v>
      </c>
      <c r="C3287" t="s">
        <v>247</v>
      </c>
      <c r="D3287" t="s">
        <v>1</v>
      </c>
      <c r="E3287" t="s">
        <v>3295</v>
      </c>
      <c r="F3287" t="s">
        <v>3296</v>
      </c>
      <c r="G3287" t="s">
        <v>52</v>
      </c>
      <c r="H3287" t="s">
        <v>53</v>
      </c>
      <c r="I3287" t="s">
        <v>53</v>
      </c>
      <c r="J3287" t="s">
        <v>53</v>
      </c>
      <c r="K3287" t="s">
        <v>53</v>
      </c>
      <c r="L3287" t="s">
        <v>53</v>
      </c>
      <c r="M3287" t="s">
        <v>53</v>
      </c>
      <c r="N3287" t="s">
        <v>53</v>
      </c>
      <c r="O3287" t="s">
        <v>53</v>
      </c>
      <c r="P3287" t="s">
        <v>53</v>
      </c>
      <c r="Q3287" t="s">
        <v>53</v>
      </c>
    </row>
    <row r="3288" spans="1:17" x14ac:dyDescent="0.2">
      <c r="A3288" s="30" t="str">
        <f>IF(C3288&amp;G3288&amp;D3288&lt;&gt;'Funnel setup'!$K$3&amp;'Funnel setup'!$K$4&amp;'Funnel setup'!$K$5,".",IF(A3287=".",1,A3287+1))</f>
        <v>.</v>
      </c>
      <c r="B3288" s="431" t="str">
        <f t="shared" si="51"/>
        <v>Hip Replacement RevisionProviderBMI - THREE SHIRES HOSPITAL (NT441)EQ-5D Index</v>
      </c>
      <c r="C3288" t="s">
        <v>247</v>
      </c>
      <c r="D3288" t="s">
        <v>1</v>
      </c>
      <c r="E3288" t="s">
        <v>3316</v>
      </c>
      <c r="F3288" t="s">
        <v>3317</v>
      </c>
      <c r="G3288" t="s">
        <v>52</v>
      </c>
      <c r="H3288" t="s">
        <v>53</v>
      </c>
      <c r="I3288" t="s">
        <v>53</v>
      </c>
      <c r="J3288" t="s">
        <v>53</v>
      </c>
      <c r="K3288" t="s">
        <v>53</v>
      </c>
      <c r="L3288" t="s">
        <v>53</v>
      </c>
      <c r="M3288" t="s">
        <v>53</v>
      </c>
      <c r="N3288" t="s">
        <v>53</v>
      </c>
      <c r="O3288" t="s">
        <v>53</v>
      </c>
      <c r="P3288" t="s">
        <v>53</v>
      </c>
      <c r="Q3288" t="s">
        <v>53</v>
      </c>
    </row>
    <row r="3289" spans="1:17" x14ac:dyDescent="0.2">
      <c r="A3289" s="30" t="str">
        <f>IF(C3289&amp;G3289&amp;D3289&lt;&gt;'Funnel setup'!$K$3&amp;'Funnel setup'!$K$4&amp;'Funnel setup'!$K$5,".",IF(A3288=".",1,A3288+1))</f>
        <v>.</v>
      </c>
      <c r="B3289" s="431" t="str">
        <f t="shared" si="51"/>
        <v>Hip Replacement RevisionProviderBMI ST EDMUNDS HOSPITAL (NT446)EQ-5D Index</v>
      </c>
      <c r="C3289" t="s">
        <v>247</v>
      </c>
      <c r="D3289" t="s">
        <v>1</v>
      </c>
      <c r="E3289" t="s">
        <v>3328</v>
      </c>
      <c r="F3289" t="s">
        <v>3329</v>
      </c>
      <c r="G3289" t="s">
        <v>52</v>
      </c>
      <c r="H3289" t="s">
        <v>53</v>
      </c>
      <c r="I3289" t="s">
        <v>53</v>
      </c>
      <c r="J3289" t="s">
        <v>53</v>
      </c>
      <c r="K3289" t="s">
        <v>53</v>
      </c>
      <c r="L3289" t="s">
        <v>53</v>
      </c>
      <c r="M3289" t="s">
        <v>53</v>
      </c>
      <c r="N3289" t="s">
        <v>53</v>
      </c>
      <c r="O3289" t="s">
        <v>53</v>
      </c>
      <c r="P3289" t="s">
        <v>53</v>
      </c>
      <c r="Q3289" t="s">
        <v>53</v>
      </c>
    </row>
    <row r="3290" spans="1:17" x14ac:dyDescent="0.2">
      <c r="A3290" s="30" t="str">
        <f>IF(C3290&amp;G3290&amp;D3290&lt;&gt;'Funnel setup'!$K$3&amp;'Funnel setup'!$K$4&amp;'Funnel setup'!$K$5,".",IF(A3289=".",1,A3289+1))</f>
        <v>.</v>
      </c>
      <c r="B3290" s="431" t="str">
        <f t="shared" si="51"/>
        <v>Hip Replacement RevisionProviderBMI THE CAVELL HOSPITAL (NT451)EQ-5D Index</v>
      </c>
      <c r="C3290" t="s">
        <v>247</v>
      </c>
      <c r="D3290" t="s">
        <v>1</v>
      </c>
      <c r="E3290" t="s">
        <v>3331</v>
      </c>
      <c r="F3290" t="s">
        <v>3332</v>
      </c>
      <c r="G3290" t="s">
        <v>52</v>
      </c>
      <c r="H3290" t="s">
        <v>53</v>
      </c>
      <c r="I3290" t="s">
        <v>53</v>
      </c>
      <c r="J3290" t="s">
        <v>53</v>
      </c>
      <c r="K3290" t="s">
        <v>53</v>
      </c>
      <c r="L3290" t="s">
        <v>53</v>
      </c>
      <c r="M3290" t="s">
        <v>53</v>
      </c>
      <c r="N3290" t="s">
        <v>53</v>
      </c>
      <c r="O3290" t="s">
        <v>53</v>
      </c>
      <c r="P3290" t="s">
        <v>53</v>
      </c>
      <c r="Q3290" t="s">
        <v>53</v>
      </c>
    </row>
    <row r="3291" spans="1:17" x14ac:dyDescent="0.2">
      <c r="A3291" s="30" t="str">
        <f>IF(C3291&amp;G3291&amp;D3291&lt;&gt;'Funnel setup'!$K$3&amp;'Funnel setup'!$K$4&amp;'Funnel setup'!$K$5,".",IF(A3290=".",1,A3290+1))</f>
        <v>.</v>
      </c>
      <c r="B3291" s="431" t="str">
        <f t="shared" si="51"/>
        <v>Hip Replacement RevisionProviderBMI WOODLANDS HOSPITAL (NT457)EQ-5D Index</v>
      </c>
      <c r="C3291" t="s">
        <v>247</v>
      </c>
      <c r="D3291" t="s">
        <v>1</v>
      </c>
      <c r="E3291" t="s">
        <v>3355</v>
      </c>
      <c r="F3291" t="s">
        <v>3356</v>
      </c>
      <c r="G3291" t="s">
        <v>52</v>
      </c>
      <c r="H3291" t="s">
        <v>53</v>
      </c>
      <c r="I3291" t="s">
        <v>53</v>
      </c>
      <c r="J3291" t="s">
        <v>53</v>
      </c>
      <c r="K3291" t="s">
        <v>53</v>
      </c>
      <c r="L3291" t="s">
        <v>53</v>
      </c>
      <c r="M3291" t="s">
        <v>53</v>
      </c>
      <c r="N3291" t="s">
        <v>53</v>
      </c>
      <c r="O3291" t="s">
        <v>53</v>
      </c>
      <c r="P3291" t="s">
        <v>53</v>
      </c>
      <c r="Q3291" t="s">
        <v>53</v>
      </c>
    </row>
    <row r="3292" spans="1:17" x14ac:dyDescent="0.2">
      <c r="A3292" s="30" t="str">
        <f>IF(C3292&amp;G3292&amp;D3292&lt;&gt;'Funnel setup'!$K$3&amp;'Funnel setup'!$K$4&amp;'Funnel setup'!$K$5,".",IF(A3291=".",1,A3291+1))</f>
        <v>.</v>
      </c>
      <c r="B3292" s="431" t="str">
        <f t="shared" si="51"/>
        <v>Hip Replacement RevisionProviderBOLTON NHS FOUNDATION TRUST (RMC)EQ-5D Index</v>
      </c>
      <c r="C3292" t="s">
        <v>247</v>
      </c>
      <c r="D3292" t="s">
        <v>1</v>
      </c>
      <c r="E3292" t="s">
        <v>3358</v>
      </c>
      <c r="F3292" t="s">
        <v>3359</v>
      </c>
      <c r="G3292" t="s">
        <v>52</v>
      </c>
      <c r="H3292" t="s">
        <v>53</v>
      </c>
      <c r="I3292" t="s">
        <v>53</v>
      </c>
      <c r="J3292" t="s">
        <v>53</v>
      </c>
      <c r="K3292" t="s">
        <v>53</v>
      </c>
      <c r="L3292" t="s">
        <v>53</v>
      </c>
      <c r="M3292" t="s">
        <v>53</v>
      </c>
      <c r="N3292" t="s">
        <v>53</v>
      </c>
      <c r="O3292" t="s">
        <v>53</v>
      </c>
      <c r="P3292" t="s">
        <v>53</v>
      </c>
      <c r="Q3292" t="s">
        <v>53</v>
      </c>
    </row>
    <row r="3293" spans="1:17" x14ac:dyDescent="0.2">
      <c r="A3293" s="30" t="str">
        <f>IF(C3293&amp;G3293&amp;D3293&lt;&gt;'Funnel setup'!$K$3&amp;'Funnel setup'!$K$4&amp;'Funnel setup'!$K$5,".",IF(A3292=".",1,A3292+1))</f>
        <v>.</v>
      </c>
      <c r="B3293" s="431" t="str">
        <f t="shared" si="51"/>
        <v>Hip Replacement RevisionProviderBRADFORD TEACHING HOSPITALS NHS FOUNDATION TRUST (RAE)EQ-5D Index</v>
      </c>
      <c r="C3293" t="s">
        <v>247</v>
      </c>
      <c r="D3293" t="s">
        <v>1</v>
      </c>
      <c r="E3293" t="s">
        <v>3361</v>
      </c>
      <c r="F3293" t="s">
        <v>3362</v>
      </c>
      <c r="G3293" t="s">
        <v>52</v>
      </c>
      <c r="H3293">
        <v>7</v>
      </c>
      <c r="I3293">
        <v>0.36</v>
      </c>
      <c r="J3293">
        <v>0.76900000000000002</v>
      </c>
      <c r="K3293">
        <v>0.40899999999999997</v>
      </c>
      <c r="L3293">
        <v>6</v>
      </c>
      <c r="M3293">
        <v>1</v>
      </c>
      <c r="N3293">
        <v>0</v>
      </c>
      <c r="O3293" t="s">
        <v>53</v>
      </c>
      <c r="P3293" t="s">
        <v>53</v>
      </c>
      <c r="Q3293" t="s">
        <v>53</v>
      </c>
    </row>
    <row r="3294" spans="1:17" x14ac:dyDescent="0.2">
      <c r="A3294" s="30" t="str">
        <f>IF(C3294&amp;G3294&amp;D3294&lt;&gt;'Funnel setup'!$K$3&amp;'Funnel setup'!$K$4&amp;'Funnel setup'!$K$5,".",IF(A3293=".",1,A3293+1))</f>
        <v>.</v>
      </c>
      <c r="B3294" s="431" t="str">
        <f t="shared" si="51"/>
        <v>Hip Replacement RevisionProviderBRIGHTON AND SUSSEX UNIVERSITY HOSPITALS NHS TRUST (RXH)EQ-5D Index</v>
      </c>
      <c r="C3294" t="s">
        <v>247</v>
      </c>
      <c r="D3294" t="s">
        <v>1</v>
      </c>
      <c r="E3294" t="s">
        <v>3367</v>
      </c>
      <c r="F3294" t="s">
        <v>3368</v>
      </c>
      <c r="G3294" t="s">
        <v>52</v>
      </c>
      <c r="H3294">
        <v>18</v>
      </c>
      <c r="I3294">
        <v>0.40500000000000003</v>
      </c>
      <c r="J3294">
        <v>0.65400000000000003</v>
      </c>
      <c r="K3294">
        <v>0.249</v>
      </c>
      <c r="L3294">
        <v>12</v>
      </c>
      <c r="M3294">
        <v>3</v>
      </c>
      <c r="N3294">
        <v>3</v>
      </c>
      <c r="O3294" t="s">
        <v>53</v>
      </c>
      <c r="P3294" t="s">
        <v>53</v>
      </c>
      <c r="Q3294" t="s">
        <v>53</v>
      </c>
    </row>
    <row r="3295" spans="1:17" x14ac:dyDescent="0.2">
      <c r="A3295" s="30" t="str">
        <f>IF(C3295&amp;G3295&amp;D3295&lt;&gt;'Funnel setup'!$K$3&amp;'Funnel setup'!$K$4&amp;'Funnel setup'!$K$5,".",IF(A3294=".",1,A3294+1))</f>
        <v>.</v>
      </c>
      <c r="B3295" s="431" t="str">
        <f t="shared" si="51"/>
        <v>Hip Replacement RevisionProviderBUCKINGHAMSHIRE HEALTHCARE NHS TRUST (RXQ)EQ-5D Index</v>
      </c>
      <c r="C3295" t="s">
        <v>247</v>
      </c>
      <c r="D3295" t="s">
        <v>1</v>
      </c>
      <c r="E3295" t="s">
        <v>3370</v>
      </c>
      <c r="F3295" t="s">
        <v>3371</v>
      </c>
      <c r="G3295" t="s">
        <v>52</v>
      </c>
      <c r="H3295">
        <v>9</v>
      </c>
      <c r="I3295">
        <v>0.217</v>
      </c>
      <c r="J3295">
        <v>0.72899999999999998</v>
      </c>
      <c r="K3295">
        <v>0.51200000000000001</v>
      </c>
      <c r="L3295">
        <v>7</v>
      </c>
      <c r="M3295">
        <v>2</v>
      </c>
      <c r="N3295">
        <v>0</v>
      </c>
      <c r="O3295" t="s">
        <v>53</v>
      </c>
      <c r="P3295" t="s">
        <v>53</v>
      </c>
      <c r="Q3295" t="s">
        <v>53</v>
      </c>
    </row>
    <row r="3296" spans="1:17" x14ac:dyDescent="0.2">
      <c r="A3296" s="30" t="str">
        <f>IF(C3296&amp;G3296&amp;D3296&lt;&gt;'Funnel setup'!$K$3&amp;'Funnel setup'!$K$4&amp;'Funnel setup'!$K$5,".",IF(A3295=".",1,A3295+1))</f>
        <v>.</v>
      </c>
      <c r="B3296" s="431" t="str">
        <f t="shared" si="51"/>
        <v>Hip Replacement RevisionProviderBURTON HOSPITALS NHS FOUNDATION TRUST (RJF)EQ-5D Index</v>
      </c>
      <c r="C3296" t="s">
        <v>247</v>
      </c>
      <c r="D3296" t="s">
        <v>1</v>
      </c>
      <c r="E3296" t="s">
        <v>3373</v>
      </c>
      <c r="F3296" t="s">
        <v>3374</v>
      </c>
      <c r="G3296" t="s">
        <v>52</v>
      </c>
      <c r="H3296" t="s">
        <v>53</v>
      </c>
      <c r="I3296" t="s">
        <v>53</v>
      </c>
      <c r="J3296" t="s">
        <v>53</v>
      </c>
      <c r="K3296" t="s">
        <v>53</v>
      </c>
      <c r="L3296" t="s">
        <v>53</v>
      </c>
      <c r="M3296" t="s">
        <v>53</v>
      </c>
      <c r="N3296" t="s">
        <v>53</v>
      </c>
      <c r="O3296" t="s">
        <v>53</v>
      </c>
      <c r="P3296" t="s">
        <v>53</v>
      </c>
      <c r="Q3296" t="s">
        <v>53</v>
      </c>
    </row>
    <row r="3297" spans="1:17" x14ac:dyDescent="0.2">
      <c r="A3297" s="30" t="str">
        <f>IF(C3297&amp;G3297&amp;D3297&lt;&gt;'Funnel setup'!$K$3&amp;'Funnel setup'!$K$4&amp;'Funnel setup'!$K$5,".",IF(A3296=".",1,A3296+1))</f>
        <v>.</v>
      </c>
      <c r="B3297" s="431" t="str">
        <f t="shared" si="51"/>
        <v>Hip Replacement RevisionProviderCALDERDALE AND HUDDERSFIELD NHS FOUNDATION TRUST (RWY)EQ-5D Index</v>
      </c>
      <c r="C3297" t="s">
        <v>247</v>
      </c>
      <c r="D3297" t="s">
        <v>1</v>
      </c>
      <c r="E3297" t="s">
        <v>3379</v>
      </c>
      <c r="F3297" t="s">
        <v>3380</v>
      </c>
      <c r="G3297" t="s">
        <v>52</v>
      </c>
      <c r="H3297">
        <v>29</v>
      </c>
      <c r="I3297">
        <v>0.52100000000000002</v>
      </c>
      <c r="J3297">
        <v>0.77500000000000002</v>
      </c>
      <c r="K3297">
        <v>0.254</v>
      </c>
      <c r="L3297">
        <v>21</v>
      </c>
      <c r="M3297">
        <v>3</v>
      </c>
      <c r="N3297">
        <v>5</v>
      </c>
      <c r="O3297" t="s">
        <v>53</v>
      </c>
      <c r="P3297" t="s">
        <v>53</v>
      </c>
      <c r="Q3297" t="s">
        <v>53</v>
      </c>
    </row>
    <row r="3298" spans="1:17" x14ac:dyDescent="0.2">
      <c r="A3298" s="30" t="str">
        <f>IF(C3298&amp;G3298&amp;D3298&lt;&gt;'Funnel setup'!$K$3&amp;'Funnel setup'!$K$4&amp;'Funnel setup'!$K$5,".",IF(A3297=".",1,A3297+1))</f>
        <v>.</v>
      </c>
      <c r="B3298" s="431" t="str">
        <f t="shared" si="51"/>
        <v>Hip Replacement RevisionProviderCAMBRIDGE UNIVERSITY HOSPITALS NHS FOUNDATION TRUST (RGT)EQ-5D Index</v>
      </c>
      <c r="C3298" t="s">
        <v>247</v>
      </c>
      <c r="D3298" t="s">
        <v>1</v>
      </c>
      <c r="E3298" t="s">
        <v>3076</v>
      </c>
      <c r="F3298" t="s">
        <v>3077</v>
      </c>
      <c r="G3298" t="s">
        <v>52</v>
      </c>
      <c r="H3298">
        <v>16</v>
      </c>
      <c r="I3298">
        <v>0.34899999999999998</v>
      </c>
      <c r="J3298">
        <v>0.66900000000000004</v>
      </c>
      <c r="K3298">
        <v>0.32</v>
      </c>
      <c r="L3298">
        <v>13</v>
      </c>
      <c r="M3298">
        <v>0</v>
      </c>
      <c r="N3298">
        <v>3</v>
      </c>
      <c r="O3298" t="s">
        <v>53</v>
      </c>
      <c r="P3298" t="s">
        <v>53</v>
      </c>
      <c r="Q3298" t="s">
        <v>53</v>
      </c>
    </row>
    <row r="3299" spans="1:17" x14ac:dyDescent="0.2">
      <c r="A3299" s="30" t="str">
        <f>IF(C3299&amp;G3299&amp;D3299&lt;&gt;'Funnel setup'!$K$3&amp;'Funnel setup'!$K$4&amp;'Funnel setup'!$K$5,".",IF(A3298=".",1,A3298+1))</f>
        <v>.</v>
      </c>
      <c r="B3299" s="431" t="str">
        <f t="shared" si="51"/>
        <v>Hip Replacement RevisionProviderCENTRAL MANCHESTER UNIVERSITY HOSPITALS NHS FOUNDATION TRUST (RW3)EQ-5D Index</v>
      </c>
      <c r="C3299" t="s">
        <v>247</v>
      </c>
      <c r="D3299" t="s">
        <v>1</v>
      </c>
      <c r="E3299" t="s">
        <v>3079</v>
      </c>
      <c r="F3299" t="s">
        <v>3080</v>
      </c>
      <c r="G3299" t="s">
        <v>52</v>
      </c>
      <c r="H3299" t="s">
        <v>53</v>
      </c>
      <c r="I3299" t="s">
        <v>53</v>
      </c>
      <c r="J3299" t="s">
        <v>53</v>
      </c>
      <c r="K3299" t="s">
        <v>53</v>
      </c>
      <c r="L3299" t="s">
        <v>53</v>
      </c>
      <c r="M3299" t="s">
        <v>53</v>
      </c>
      <c r="N3299" t="s">
        <v>53</v>
      </c>
      <c r="O3299" t="s">
        <v>53</v>
      </c>
      <c r="P3299" t="s">
        <v>53</v>
      </c>
      <c r="Q3299" t="s">
        <v>53</v>
      </c>
    </row>
    <row r="3300" spans="1:17" x14ac:dyDescent="0.2">
      <c r="A3300" s="30" t="str">
        <f>IF(C3300&amp;G3300&amp;D3300&lt;&gt;'Funnel setup'!$K$3&amp;'Funnel setup'!$K$4&amp;'Funnel setup'!$K$5,".",IF(A3299=".",1,A3299+1))</f>
        <v>.</v>
      </c>
      <c r="B3300" s="431" t="str">
        <f t="shared" si="51"/>
        <v>Hip Replacement RevisionProviderCHELSEA AND WESTMINSTER HOSPITAL NHS FOUNDATION TRUST (RQM)EQ-5D Index</v>
      </c>
      <c r="C3300" t="s">
        <v>247</v>
      </c>
      <c r="D3300" t="s">
        <v>1</v>
      </c>
      <c r="E3300" t="s">
        <v>3082</v>
      </c>
      <c r="F3300" t="s">
        <v>3083</v>
      </c>
      <c r="G3300" t="s">
        <v>52</v>
      </c>
      <c r="H3300" t="s">
        <v>53</v>
      </c>
      <c r="I3300" t="s">
        <v>53</v>
      </c>
      <c r="J3300" t="s">
        <v>53</v>
      </c>
      <c r="K3300" t="s">
        <v>53</v>
      </c>
      <c r="L3300" t="s">
        <v>53</v>
      </c>
      <c r="M3300" t="s">
        <v>53</v>
      </c>
      <c r="N3300" t="s">
        <v>53</v>
      </c>
      <c r="O3300" t="s">
        <v>53</v>
      </c>
      <c r="P3300" t="s">
        <v>53</v>
      </c>
      <c r="Q3300" t="s">
        <v>53</v>
      </c>
    </row>
    <row r="3301" spans="1:17" x14ac:dyDescent="0.2">
      <c r="A3301" s="30" t="str">
        <f>IF(C3301&amp;G3301&amp;D3301&lt;&gt;'Funnel setup'!$K$3&amp;'Funnel setup'!$K$4&amp;'Funnel setup'!$K$5,".",IF(A3300=".",1,A3300+1))</f>
        <v>.</v>
      </c>
      <c r="B3301" s="431" t="str">
        <f t="shared" si="51"/>
        <v>Hip Replacement RevisionProviderCHESTERFIELD ROYAL HOSPITAL NHS FOUNDATION TRUST (RFS)EQ-5D Index</v>
      </c>
      <c r="C3301" t="s">
        <v>247</v>
      </c>
      <c r="D3301" t="s">
        <v>1</v>
      </c>
      <c r="E3301" t="s">
        <v>3085</v>
      </c>
      <c r="F3301" t="s">
        <v>3086</v>
      </c>
      <c r="G3301" t="s">
        <v>52</v>
      </c>
      <c r="H3301">
        <v>10</v>
      </c>
      <c r="I3301">
        <v>0.375</v>
      </c>
      <c r="J3301">
        <v>0.54800000000000004</v>
      </c>
      <c r="K3301">
        <v>0.17299999999999999</v>
      </c>
      <c r="L3301">
        <v>5</v>
      </c>
      <c r="M3301">
        <v>2</v>
      </c>
      <c r="N3301">
        <v>3</v>
      </c>
      <c r="O3301" t="s">
        <v>53</v>
      </c>
      <c r="P3301" t="s">
        <v>53</v>
      </c>
      <c r="Q3301" t="s">
        <v>53</v>
      </c>
    </row>
    <row r="3302" spans="1:17" x14ac:dyDescent="0.2">
      <c r="A3302" s="30" t="str">
        <f>IF(C3302&amp;G3302&amp;D3302&lt;&gt;'Funnel setup'!$K$3&amp;'Funnel setup'!$K$4&amp;'Funnel setup'!$K$5,".",IF(A3301=".",1,A3301+1))</f>
        <v>.</v>
      </c>
      <c r="B3302" s="431" t="str">
        <f t="shared" si="51"/>
        <v>Hip Replacement RevisionProviderCIRCLE BATH HOSPITAL (NV302)EQ-5D Index</v>
      </c>
      <c r="C3302" t="s">
        <v>247</v>
      </c>
      <c r="D3302" t="s">
        <v>1</v>
      </c>
      <c r="E3302" t="s">
        <v>3097</v>
      </c>
      <c r="F3302" t="s">
        <v>3098</v>
      </c>
      <c r="G3302" t="s">
        <v>52</v>
      </c>
      <c r="H3302">
        <v>8</v>
      </c>
      <c r="I3302">
        <v>0.55500000000000005</v>
      </c>
      <c r="J3302">
        <v>0.85599999999999998</v>
      </c>
      <c r="K3302">
        <v>0.30099999999999999</v>
      </c>
      <c r="L3302">
        <v>6</v>
      </c>
      <c r="M3302">
        <v>2</v>
      </c>
      <c r="N3302">
        <v>0</v>
      </c>
      <c r="O3302" t="s">
        <v>53</v>
      </c>
      <c r="P3302" t="s">
        <v>53</v>
      </c>
      <c r="Q3302" t="s">
        <v>53</v>
      </c>
    </row>
    <row r="3303" spans="1:17" x14ac:dyDescent="0.2">
      <c r="A3303" s="30" t="str">
        <f>IF(C3303&amp;G3303&amp;D3303&lt;&gt;'Funnel setup'!$K$3&amp;'Funnel setup'!$K$4&amp;'Funnel setup'!$K$5,".",IF(A3302=".",1,A3302+1))</f>
        <v>.</v>
      </c>
      <c r="B3303" s="431" t="str">
        <f t="shared" si="51"/>
        <v>Hip Replacement RevisionProviderCIRCLE READING HOSPITAL (NV323)EQ-5D Index</v>
      </c>
      <c r="C3303" t="s">
        <v>247</v>
      </c>
      <c r="D3303" t="s">
        <v>1</v>
      </c>
      <c r="E3303" t="s">
        <v>3091</v>
      </c>
      <c r="F3303" t="s">
        <v>3092</v>
      </c>
      <c r="G3303" t="s">
        <v>52</v>
      </c>
      <c r="H3303" t="s">
        <v>53</v>
      </c>
      <c r="I3303" t="s">
        <v>53</v>
      </c>
      <c r="J3303" t="s">
        <v>53</v>
      </c>
      <c r="K3303" t="s">
        <v>53</v>
      </c>
      <c r="L3303" t="s">
        <v>53</v>
      </c>
      <c r="M3303" t="s">
        <v>53</v>
      </c>
      <c r="N3303" t="s">
        <v>53</v>
      </c>
      <c r="O3303" t="s">
        <v>53</v>
      </c>
      <c r="P3303" t="s">
        <v>53</v>
      </c>
      <c r="Q3303" t="s">
        <v>53</v>
      </c>
    </row>
    <row r="3304" spans="1:17" x14ac:dyDescent="0.2">
      <c r="A3304" s="30" t="str">
        <f>IF(C3304&amp;G3304&amp;D3304&lt;&gt;'Funnel setup'!$K$3&amp;'Funnel setup'!$K$4&amp;'Funnel setup'!$K$5,".",IF(A3303=".",1,A3303+1))</f>
        <v>.</v>
      </c>
      <c r="B3304" s="431" t="str">
        <f t="shared" si="51"/>
        <v>Hip Replacement RevisionProviderCITY HOSPITALS SUNDERLAND NHS FOUNDATION TRUST (RLN)EQ-5D Index</v>
      </c>
      <c r="C3304" t="s">
        <v>247</v>
      </c>
      <c r="D3304" t="s">
        <v>1</v>
      </c>
      <c r="E3304" t="s">
        <v>3100</v>
      </c>
      <c r="F3304" t="s">
        <v>3101</v>
      </c>
      <c r="G3304" t="s">
        <v>52</v>
      </c>
      <c r="H3304">
        <v>11</v>
      </c>
      <c r="I3304">
        <v>0.216</v>
      </c>
      <c r="J3304">
        <v>0.59199999999999997</v>
      </c>
      <c r="K3304">
        <v>0.376</v>
      </c>
      <c r="L3304">
        <v>8</v>
      </c>
      <c r="M3304">
        <v>3</v>
      </c>
      <c r="N3304">
        <v>0</v>
      </c>
      <c r="O3304" t="s">
        <v>53</v>
      </c>
      <c r="P3304" t="s">
        <v>53</v>
      </c>
      <c r="Q3304" t="s">
        <v>53</v>
      </c>
    </row>
    <row r="3305" spans="1:17" x14ac:dyDescent="0.2">
      <c r="A3305" s="30" t="str">
        <f>IF(C3305&amp;G3305&amp;D3305&lt;&gt;'Funnel setup'!$K$3&amp;'Funnel setup'!$K$4&amp;'Funnel setup'!$K$5,".",IF(A3304=".",1,A3304+1))</f>
        <v>.</v>
      </c>
      <c r="B3305" s="431" t="str">
        <f t="shared" si="51"/>
        <v>Hip Replacement RevisionProviderCLIFTON PARK HOSPITAL (NVC28)EQ-5D Index</v>
      </c>
      <c r="C3305" t="s">
        <v>247</v>
      </c>
      <c r="D3305" t="s">
        <v>1</v>
      </c>
      <c r="E3305" t="s">
        <v>4229</v>
      </c>
      <c r="F3305" t="s">
        <v>4230</v>
      </c>
      <c r="G3305" t="s">
        <v>52</v>
      </c>
      <c r="H3305">
        <v>11</v>
      </c>
      <c r="I3305">
        <v>0.55000000000000004</v>
      </c>
      <c r="J3305">
        <v>0.82199999999999995</v>
      </c>
      <c r="K3305">
        <v>0.27200000000000002</v>
      </c>
      <c r="L3305">
        <v>10</v>
      </c>
      <c r="M3305">
        <v>1</v>
      </c>
      <c r="N3305">
        <v>0</v>
      </c>
      <c r="O3305" t="s">
        <v>53</v>
      </c>
      <c r="P3305" t="s">
        <v>53</v>
      </c>
      <c r="Q3305" t="s">
        <v>53</v>
      </c>
    </row>
    <row r="3306" spans="1:17" x14ac:dyDescent="0.2">
      <c r="A3306" s="30" t="str">
        <f>IF(C3306&amp;G3306&amp;D3306&lt;&gt;'Funnel setup'!$K$3&amp;'Funnel setup'!$K$4&amp;'Funnel setup'!$K$5,".",IF(A3305=".",1,A3305+1))</f>
        <v>.</v>
      </c>
      <c r="B3306" s="431" t="str">
        <f t="shared" si="51"/>
        <v>Hip Replacement RevisionProviderCOLCHESTER HOSPITAL UNIVERSITY NHS FOUNDATION TRUST (RDE)EQ-5D Index</v>
      </c>
      <c r="C3306" t="s">
        <v>247</v>
      </c>
      <c r="D3306" t="s">
        <v>1</v>
      </c>
      <c r="E3306" t="s">
        <v>3109</v>
      </c>
      <c r="F3306" t="s">
        <v>3110</v>
      </c>
      <c r="G3306" t="s">
        <v>52</v>
      </c>
      <c r="H3306">
        <v>22</v>
      </c>
      <c r="I3306">
        <v>0.39</v>
      </c>
      <c r="J3306">
        <v>0.71799999999999997</v>
      </c>
      <c r="K3306">
        <v>0.32900000000000001</v>
      </c>
      <c r="L3306">
        <v>20</v>
      </c>
      <c r="M3306">
        <v>1</v>
      </c>
      <c r="N3306">
        <v>1</v>
      </c>
      <c r="O3306" t="s">
        <v>53</v>
      </c>
      <c r="P3306" t="s">
        <v>53</v>
      </c>
      <c r="Q3306" t="s">
        <v>53</v>
      </c>
    </row>
    <row r="3307" spans="1:17" x14ac:dyDescent="0.2">
      <c r="A3307" s="30" t="str">
        <f>IF(C3307&amp;G3307&amp;D3307&lt;&gt;'Funnel setup'!$K$3&amp;'Funnel setup'!$K$4&amp;'Funnel setup'!$K$5,".",IF(A3306=".",1,A3306+1))</f>
        <v>.</v>
      </c>
      <c r="B3307" s="431" t="str">
        <f t="shared" si="51"/>
        <v>Hip Replacement RevisionProviderCOUNTESS OF CHESTER HOSPITAL NHS FOUNDATION TRUST (RJR)EQ-5D Index</v>
      </c>
      <c r="C3307" t="s">
        <v>247</v>
      </c>
      <c r="D3307" t="s">
        <v>1</v>
      </c>
      <c r="E3307" t="s">
        <v>3781</v>
      </c>
      <c r="F3307" t="s">
        <v>3782</v>
      </c>
      <c r="G3307" t="s">
        <v>52</v>
      </c>
      <c r="H3307" t="s">
        <v>53</v>
      </c>
      <c r="I3307" t="s">
        <v>53</v>
      </c>
      <c r="J3307" t="s">
        <v>53</v>
      </c>
      <c r="K3307" t="s">
        <v>53</v>
      </c>
      <c r="L3307" t="s">
        <v>53</v>
      </c>
      <c r="M3307" t="s">
        <v>53</v>
      </c>
      <c r="N3307" t="s">
        <v>53</v>
      </c>
      <c r="O3307" t="s">
        <v>53</v>
      </c>
      <c r="P3307" t="s">
        <v>53</v>
      </c>
      <c r="Q3307" t="s">
        <v>53</v>
      </c>
    </row>
    <row r="3308" spans="1:17" x14ac:dyDescent="0.2">
      <c r="A3308" s="30" t="str">
        <f>IF(C3308&amp;G3308&amp;D3308&lt;&gt;'Funnel setup'!$K$3&amp;'Funnel setup'!$K$4&amp;'Funnel setup'!$K$5,".",IF(A3307=".",1,A3307+1))</f>
        <v>.</v>
      </c>
      <c r="B3308" s="431" t="str">
        <f t="shared" si="51"/>
        <v>Hip Replacement RevisionProviderCOUNTY DURHAM AND DARLINGTON NHS FOUNDATION TRUST (RXP)EQ-5D Index</v>
      </c>
      <c r="C3308" t="s">
        <v>247</v>
      </c>
      <c r="D3308" t="s">
        <v>1</v>
      </c>
      <c r="E3308" t="s">
        <v>3784</v>
      </c>
      <c r="F3308" t="s">
        <v>3785</v>
      </c>
      <c r="G3308" t="s">
        <v>52</v>
      </c>
      <c r="H3308">
        <v>16</v>
      </c>
      <c r="I3308">
        <v>0.27500000000000002</v>
      </c>
      <c r="J3308">
        <v>0.622</v>
      </c>
      <c r="K3308">
        <v>0.34699999999999998</v>
      </c>
      <c r="L3308">
        <v>13</v>
      </c>
      <c r="M3308">
        <v>1</v>
      </c>
      <c r="N3308">
        <v>2</v>
      </c>
      <c r="O3308" t="s">
        <v>53</v>
      </c>
      <c r="P3308" t="s">
        <v>53</v>
      </c>
      <c r="Q3308" t="s">
        <v>53</v>
      </c>
    </row>
    <row r="3309" spans="1:17" x14ac:dyDescent="0.2">
      <c r="A3309" s="30" t="str">
        <f>IF(C3309&amp;G3309&amp;D3309&lt;&gt;'Funnel setup'!$K$3&amp;'Funnel setup'!$K$4&amp;'Funnel setup'!$K$5,".",IF(A3308=".",1,A3308+1))</f>
        <v>.</v>
      </c>
      <c r="B3309" s="431" t="str">
        <f t="shared" si="51"/>
        <v>Hip Replacement RevisionProviderDARTFORD AND GRAVESHAM NHS TRUST (RN7)EQ-5D Index</v>
      </c>
      <c r="C3309" t="s">
        <v>247</v>
      </c>
      <c r="D3309" t="s">
        <v>1</v>
      </c>
      <c r="E3309" t="s">
        <v>3787</v>
      </c>
      <c r="F3309" t="s">
        <v>3788</v>
      </c>
      <c r="G3309" t="s">
        <v>52</v>
      </c>
      <c r="H3309">
        <v>6</v>
      </c>
      <c r="I3309">
        <v>0.42299999999999999</v>
      </c>
      <c r="J3309">
        <v>0.67600000000000005</v>
      </c>
      <c r="K3309">
        <v>0.253</v>
      </c>
      <c r="L3309">
        <v>5</v>
      </c>
      <c r="M3309">
        <v>0</v>
      </c>
      <c r="N3309">
        <v>1</v>
      </c>
      <c r="O3309" t="s">
        <v>53</v>
      </c>
      <c r="P3309" t="s">
        <v>53</v>
      </c>
      <c r="Q3309" t="s">
        <v>53</v>
      </c>
    </row>
    <row r="3310" spans="1:17" x14ac:dyDescent="0.2">
      <c r="A3310" s="30" t="str">
        <f>IF(C3310&amp;G3310&amp;D3310&lt;&gt;'Funnel setup'!$K$3&amp;'Funnel setup'!$K$4&amp;'Funnel setup'!$K$5,".",IF(A3309=".",1,A3309+1))</f>
        <v>.</v>
      </c>
      <c r="B3310" s="431" t="str">
        <f t="shared" si="51"/>
        <v>Hip Replacement RevisionProviderDERBY TEACHING HOSPITALS NHS FOUNDATION TRUST (RTG)EQ-5D Index</v>
      </c>
      <c r="C3310" t="s">
        <v>247</v>
      </c>
      <c r="D3310" t="s">
        <v>1</v>
      </c>
      <c r="E3310" t="s">
        <v>3790</v>
      </c>
      <c r="F3310" t="s">
        <v>3791</v>
      </c>
      <c r="G3310" t="s">
        <v>52</v>
      </c>
      <c r="H3310">
        <v>29</v>
      </c>
      <c r="I3310">
        <v>0.47499999999999998</v>
      </c>
      <c r="J3310">
        <v>0.65500000000000003</v>
      </c>
      <c r="K3310">
        <v>0.18</v>
      </c>
      <c r="L3310">
        <v>19</v>
      </c>
      <c r="M3310">
        <v>4</v>
      </c>
      <c r="N3310">
        <v>6</v>
      </c>
      <c r="O3310" t="s">
        <v>53</v>
      </c>
      <c r="P3310" t="s">
        <v>53</v>
      </c>
      <c r="Q3310" t="s">
        <v>53</v>
      </c>
    </row>
    <row r="3311" spans="1:17" x14ac:dyDescent="0.2">
      <c r="A3311" s="30" t="str">
        <f>IF(C3311&amp;G3311&amp;D3311&lt;&gt;'Funnel setup'!$K$3&amp;'Funnel setup'!$K$4&amp;'Funnel setup'!$K$5,".",IF(A3310=".",1,A3310+1))</f>
        <v>.</v>
      </c>
      <c r="B3311" s="431" t="str">
        <f t="shared" si="51"/>
        <v>Hip Replacement RevisionProviderDONCASTER AND BASSETLAW HOSPITALS NHS FOUNDATION TRUST (RP5)EQ-5D Index</v>
      </c>
      <c r="C3311" t="s">
        <v>247</v>
      </c>
      <c r="D3311" t="s">
        <v>1</v>
      </c>
      <c r="E3311" t="s">
        <v>3799</v>
      </c>
      <c r="F3311" t="s">
        <v>3800</v>
      </c>
      <c r="G3311" t="s">
        <v>52</v>
      </c>
      <c r="H3311">
        <v>20</v>
      </c>
      <c r="I3311">
        <v>0.36799999999999999</v>
      </c>
      <c r="J3311">
        <v>0.61</v>
      </c>
      <c r="K3311">
        <v>0.24199999999999999</v>
      </c>
      <c r="L3311">
        <v>13</v>
      </c>
      <c r="M3311">
        <v>3</v>
      </c>
      <c r="N3311">
        <v>4</v>
      </c>
      <c r="O3311" t="s">
        <v>53</v>
      </c>
      <c r="P3311" t="s">
        <v>53</v>
      </c>
      <c r="Q3311" t="s">
        <v>53</v>
      </c>
    </row>
    <row r="3312" spans="1:17" x14ac:dyDescent="0.2">
      <c r="A3312" s="30" t="str">
        <f>IF(C3312&amp;G3312&amp;D3312&lt;&gt;'Funnel setup'!$K$3&amp;'Funnel setup'!$K$4&amp;'Funnel setup'!$K$5,".",IF(A3311=".",1,A3311+1))</f>
        <v>.</v>
      </c>
      <c r="B3312" s="431" t="str">
        <f t="shared" si="51"/>
        <v>Hip Replacement RevisionProviderDORSET COUNTY HOSPITAL NHS FOUNDATION TRUST (RBD)EQ-5D Index</v>
      </c>
      <c r="C3312" t="s">
        <v>247</v>
      </c>
      <c r="D3312" t="s">
        <v>1</v>
      </c>
      <c r="E3312" t="s">
        <v>3802</v>
      </c>
      <c r="F3312" t="s">
        <v>3803</v>
      </c>
      <c r="G3312" t="s">
        <v>52</v>
      </c>
      <c r="H3312">
        <v>14</v>
      </c>
      <c r="I3312">
        <v>0.41299999999999998</v>
      </c>
      <c r="J3312">
        <v>0.627</v>
      </c>
      <c r="K3312">
        <v>0.21299999999999999</v>
      </c>
      <c r="L3312">
        <v>12</v>
      </c>
      <c r="M3312">
        <v>1</v>
      </c>
      <c r="N3312">
        <v>1</v>
      </c>
      <c r="O3312" t="s">
        <v>53</v>
      </c>
      <c r="P3312" t="s">
        <v>53</v>
      </c>
      <c r="Q3312" t="s">
        <v>53</v>
      </c>
    </row>
    <row r="3313" spans="1:17" x14ac:dyDescent="0.2">
      <c r="A3313" s="30" t="str">
        <f>IF(C3313&amp;G3313&amp;D3313&lt;&gt;'Funnel setup'!$K$3&amp;'Funnel setup'!$K$4&amp;'Funnel setup'!$K$5,".",IF(A3312=".",1,A3312+1))</f>
        <v>.</v>
      </c>
      <c r="B3313" s="431" t="str">
        <f t="shared" si="51"/>
        <v>Hip Replacement RevisionProviderDUCHY HOSPITAL (NVC04)EQ-5D Index</v>
      </c>
      <c r="C3313" t="s">
        <v>247</v>
      </c>
      <c r="D3313" t="s">
        <v>1</v>
      </c>
      <c r="E3313" t="s">
        <v>4518</v>
      </c>
      <c r="F3313" t="s">
        <v>4519</v>
      </c>
      <c r="G3313" t="s">
        <v>52</v>
      </c>
      <c r="H3313">
        <v>14</v>
      </c>
      <c r="I3313">
        <v>0.60699999999999998</v>
      </c>
      <c r="J3313">
        <v>0.79300000000000004</v>
      </c>
      <c r="K3313">
        <v>0.186</v>
      </c>
      <c r="L3313">
        <v>12</v>
      </c>
      <c r="M3313">
        <v>1</v>
      </c>
      <c r="N3313">
        <v>1</v>
      </c>
      <c r="O3313" t="s">
        <v>53</v>
      </c>
      <c r="P3313" t="s">
        <v>53</v>
      </c>
      <c r="Q3313" t="s">
        <v>53</v>
      </c>
    </row>
    <row r="3314" spans="1:17" x14ac:dyDescent="0.2">
      <c r="A3314" s="30" t="str">
        <f>IF(C3314&amp;G3314&amp;D3314&lt;&gt;'Funnel setup'!$K$3&amp;'Funnel setup'!$K$4&amp;'Funnel setup'!$K$5,".",IF(A3313=".",1,A3313+1))</f>
        <v>.</v>
      </c>
      <c r="B3314" s="431" t="str">
        <f t="shared" si="51"/>
        <v>Hip Replacement RevisionProviderEAST AND NORTH HERTFORDSHIRE NHS TRUST (RWH)EQ-5D Index</v>
      </c>
      <c r="C3314" t="s">
        <v>247</v>
      </c>
      <c r="D3314" t="s">
        <v>1</v>
      </c>
      <c r="E3314" t="s">
        <v>3814</v>
      </c>
      <c r="F3314" t="s">
        <v>3815</v>
      </c>
      <c r="G3314" t="s">
        <v>52</v>
      </c>
      <c r="H3314">
        <v>15</v>
      </c>
      <c r="I3314">
        <v>0.378</v>
      </c>
      <c r="J3314">
        <v>0.70199999999999996</v>
      </c>
      <c r="K3314">
        <v>0.32300000000000001</v>
      </c>
      <c r="L3314">
        <v>9</v>
      </c>
      <c r="M3314">
        <v>3</v>
      </c>
      <c r="N3314">
        <v>3</v>
      </c>
      <c r="O3314" t="s">
        <v>53</v>
      </c>
      <c r="P3314" t="s">
        <v>53</v>
      </c>
      <c r="Q3314" t="s">
        <v>53</v>
      </c>
    </row>
    <row r="3315" spans="1:17" x14ac:dyDescent="0.2">
      <c r="A3315" s="30" t="str">
        <f>IF(C3315&amp;G3315&amp;D3315&lt;&gt;'Funnel setup'!$K$3&amp;'Funnel setup'!$K$4&amp;'Funnel setup'!$K$5,".",IF(A3314=".",1,A3314+1))</f>
        <v>.</v>
      </c>
      <c r="B3315" s="431" t="str">
        <f t="shared" si="51"/>
        <v>Hip Replacement RevisionProviderEAST CHESHIRE NHS TRUST (RJN)EQ-5D Index</v>
      </c>
      <c r="C3315" t="s">
        <v>247</v>
      </c>
      <c r="D3315" t="s">
        <v>1</v>
      </c>
      <c r="E3315" t="s">
        <v>3817</v>
      </c>
      <c r="F3315" t="s">
        <v>3818</v>
      </c>
      <c r="G3315" t="s">
        <v>52</v>
      </c>
      <c r="H3315" t="s">
        <v>53</v>
      </c>
      <c r="I3315" t="s">
        <v>53</v>
      </c>
      <c r="J3315" t="s">
        <v>53</v>
      </c>
      <c r="K3315" t="s">
        <v>53</v>
      </c>
      <c r="L3315" t="s">
        <v>53</v>
      </c>
      <c r="M3315" t="s">
        <v>53</v>
      </c>
      <c r="N3315" t="s">
        <v>53</v>
      </c>
      <c r="O3315" t="s">
        <v>53</v>
      </c>
      <c r="P3315" t="s">
        <v>53</v>
      </c>
      <c r="Q3315" t="s">
        <v>53</v>
      </c>
    </row>
    <row r="3316" spans="1:17" x14ac:dyDescent="0.2">
      <c r="A3316" s="30" t="str">
        <f>IF(C3316&amp;G3316&amp;D3316&lt;&gt;'Funnel setup'!$K$3&amp;'Funnel setup'!$K$4&amp;'Funnel setup'!$K$5,".",IF(A3315=".",1,A3315+1))</f>
        <v>.</v>
      </c>
      <c r="B3316" s="431" t="str">
        <f t="shared" si="51"/>
        <v>Hip Replacement RevisionProviderEAST KENT HOSPITALS UNIVERSITY NHS FOUNDATION TRUST (RVV)EQ-5D Index</v>
      </c>
      <c r="C3316" t="s">
        <v>247</v>
      </c>
      <c r="D3316" t="s">
        <v>1</v>
      </c>
      <c r="E3316" t="s">
        <v>3820</v>
      </c>
      <c r="F3316" t="s">
        <v>3821</v>
      </c>
      <c r="G3316" t="s">
        <v>52</v>
      </c>
      <c r="H3316">
        <v>39</v>
      </c>
      <c r="I3316">
        <v>0.33200000000000002</v>
      </c>
      <c r="J3316">
        <v>0.72699999999999998</v>
      </c>
      <c r="K3316">
        <v>0.39600000000000002</v>
      </c>
      <c r="L3316">
        <v>32</v>
      </c>
      <c r="M3316">
        <v>5</v>
      </c>
      <c r="N3316">
        <v>2</v>
      </c>
      <c r="O3316">
        <v>0.74199999999999999</v>
      </c>
      <c r="P3316">
        <v>0.34350756799999999</v>
      </c>
      <c r="Q3316">
        <v>0.252</v>
      </c>
    </row>
    <row r="3317" spans="1:17" x14ac:dyDescent="0.2">
      <c r="A3317" s="30" t="str">
        <f>IF(C3317&amp;G3317&amp;D3317&lt;&gt;'Funnel setup'!$K$3&amp;'Funnel setup'!$K$4&amp;'Funnel setup'!$K$5,".",IF(A3316=".",1,A3316+1))</f>
        <v>.</v>
      </c>
      <c r="B3317" s="431" t="str">
        <f t="shared" si="51"/>
        <v>Hip Replacement RevisionProviderEAST LANCASHIRE HOSPITALS NHS TRUST (RXR)EQ-5D Index</v>
      </c>
      <c r="C3317" t="s">
        <v>247</v>
      </c>
      <c r="D3317" t="s">
        <v>1</v>
      </c>
      <c r="E3317" t="s">
        <v>3823</v>
      </c>
      <c r="F3317" t="s">
        <v>3824</v>
      </c>
      <c r="G3317" t="s">
        <v>52</v>
      </c>
      <c r="H3317">
        <v>12</v>
      </c>
      <c r="I3317">
        <v>0.307</v>
      </c>
      <c r="J3317">
        <v>0.56599999999999995</v>
      </c>
      <c r="K3317">
        <v>0.25900000000000001</v>
      </c>
      <c r="L3317">
        <v>7</v>
      </c>
      <c r="M3317">
        <v>0</v>
      </c>
      <c r="N3317">
        <v>5</v>
      </c>
      <c r="O3317" t="s">
        <v>53</v>
      </c>
      <c r="P3317" t="s">
        <v>53</v>
      </c>
      <c r="Q3317" t="s">
        <v>53</v>
      </c>
    </row>
    <row r="3318" spans="1:17" x14ac:dyDescent="0.2">
      <c r="A3318" s="30" t="str">
        <f>IF(C3318&amp;G3318&amp;D3318&lt;&gt;'Funnel setup'!$K$3&amp;'Funnel setup'!$K$4&amp;'Funnel setup'!$K$5,".",IF(A3317=".",1,A3317+1))</f>
        <v>.</v>
      </c>
      <c r="B3318" s="431" t="str">
        <f t="shared" si="51"/>
        <v>Hip Replacement RevisionProviderEAST SUSSEX HEALTHCARE NHS TRUST (RXC)EQ-5D Index</v>
      </c>
      <c r="C3318" t="s">
        <v>247</v>
      </c>
      <c r="D3318" t="s">
        <v>1</v>
      </c>
      <c r="E3318" t="s">
        <v>3826</v>
      </c>
      <c r="F3318" t="s">
        <v>3827</v>
      </c>
      <c r="G3318" t="s">
        <v>52</v>
      </c>
      <c r="H3318">
        <v>23</v>
      </c>
      <c r="I3318">
        <v>0.43</v>
      </c>
      <c r="J3318">
        <v>0.72899999999999998</v>
      </c>
      <c r="K3318">
        <v>0.29899999999999999</v>
      </c>
      <c r="L3318">
        <v>16</v>
      </c>
      <c r="M3318">
        <v>2</v>
      </c>
      <c r="N3318">
        <v>5</v>
      </c>
      <c r="O3318" t="s">
        <v>53</v>
      </c>
      <c r="P3318" t="s">
        <v>53</v>
      </c>
      <c r="Q3318" t="s">
        <v>53</v>
      </c>
    </row>
    <row r="3319" spans="1:17" x14ac:dyDescent="0.2">
      <c r="A3319" s="30" t="str">
        <f>IF(C3319&amp;G3319&amp;D3319&lt;&gt;'Funnel setup'!$K$3&amp;'Funnel setup'!$K$4&amp;'Funnel setup'!$K$5,".",IF(A3318=".",1,A3318+1))</f>
        <v>.</v>
      </c>
      <c r="B3319" s="431" t="str">
        <f t="shared" si="51"/>
        <v>Hip Replacement RevisionProviderEMERSONS GREEN NHS TREATMENT CENTRE (NTPH2)EQ-5D Index</v>
      </c>
      <c r="C3319" t="s">
        <v>247</v>
      </c>
      <c r="D3319" t="s">
        <v>1</v>
      </c>
      <c r="E3319" t="s">
        <v>3829</v>
      </c>
      <c r="F3319" t="s">
        <v>3830</v>
      </c>
      <c r="G3319" t="s">
        <v>52</v>
      </c>
      <c r="H3319">
        <v>6</v>
      </c>
      <c r="I3319">
        <v>0.35699999999999998</v>
      </c>
      <c r="J3319">
        <v>0.61199999999999999</v>
      </c>
      <c r="K3319">
        <v>0.25600000000000001</v>
      </c>
      <c r="L3319">
        <v>3</v>
      </c>
      <c r="M3319">
        <v>2</v>
      </c>
      <c r="N3319">
        <v>1</v>
      </c>
      <c r="O3319" t="s">
        <v>53</v>
      </c>
      <c r="P3319" t="s">
        <v>53</v>
      </c>
      <c r="Q3319" t="s">
        <v>53</v>
      </c>
    </row>
    <row r="3320" spans="1:17" x14ac:dyDescent="0.2">
      <c r="A3320" s="30" t="str">
        <f>IF(C3320&amp;G3320&amp;D3320&lt;&gt;'Funnel setup'!$K$3&amp;'Funnel setup'!$K$4&amp;'Funnel setup'!$K$5,".",IF(A3319=".",1,A3319+1))</f>
        <v>.</v>
      </c>
      <c r="B3320" s="431" t="str">
        <f t="shared" si="51"/>
        <v>Hip Replacement RevisionProviderEPSOM AND ST HELIER UNIVERSITY HOSPITALS NHS TRUST (RVR)EQ-5D Index</v>
      </c>
      <c r="C3320" t="s">
        <v>247</v>
      </c>
      <c r="D3320" t="s">
        <v>1</v>
      </c>
      <c r="E3320" t="s">
        <v>3849</v>
      </c>
      <c r="F3320" t="s">
        <v>3850</v>
      </c>
      <c r="G3320" t="s">
        <v>52</v>
      </c>
      <c r="H3320">
        <v>41</v>
      </c>
      <c r="I3320">
        <v>0.45</v>
      </c>
      <c r="J3320">
        <v>0.746</v>
      </c>
      <c r="K3320">
        <v>0.29599999999999999</v>
      </c>
      <c r="L3320">
        <v>32</v>
      </c>
      <c r="M3320">
        <v>7</v>
      </c>
      <c r="N3320">
        <v>2</v>
      </c>
      <c r="O3320">
        <v>0.71199999999999997</v>
      </c>
      <c r="P3320">
        <v>0.31303909800000002</v>
      </c>
      <c r="Q3320">
        <v>0.217</v>
      </c>
    </row>
    <row r="3321" spans="1:17" x14ac:dyDescent="0.2">
      <c r="A3321" s="30" t="str">
        <f>IF(C3321&amp;G3321&amp;D3321&lt;&gt;'Funnel setup'!$K$3&amp;'Funnel setup'!$K$4&amp;'Funnel setup'!$K$5,".",IF(A3320=".",1,A3320+1))</f>
        <v>.</v>
      </c>
      <c r="B3321" s="431" t="str">
        <f t="shared" si="51"/>
        <v>Hip Replacement RevisionProviderFITZWILLIAM HOSPITAL (NVC06)EQ-5D Index</v>
      </c>
      <c r="C3321" t="s">
        <v>247</v>
      </c>
      <c r="D3321" t="s">
        <v>1</v>
      </c>
      <c r="E3321" t="s">
        <v>3858</v>
      </c>
      <c r="F3321" t="s">
        <v>3859</v>
      </c>
      <c r="G3321" t="s">
        <v>52</v>
      </c>
      <c r="H3321" t="s">
        <v>53</v>
      </c>
      <c r="I3321" t="s">
        <v>53</v>
      </c>
      <c r="J3321" t="s">
        <v>53</v>
      </c>
      <c r="K3321" t="s">
        <v>53</v>
      </c>
      <c r="L3321" t="s">
        <v>53</v>
      </c>
      <c r="M3321" t="s">
        <v>53</v>
      </c>
      <c r="N3321" t="s">
        <v>53</v>
      </c>
      <c r="O3321" t="s">
        <v>53</v>
      </c>
      <c r="P3321" t="s">
        <v>53</v>
      </c>
      <c r="Q3321" t="s">
        <v>53</v>
      </c>
    </row>
    <row r="3322" spans="1:17" x14ac:dyDescent="0.2">
      <c r="A3322" s="30" t="str">
        <f>IF(C3322&amp;G3322&amp;D3322&lt;&gt;'Funnel setup'!$K$3&amp;'Funnel setup'!$K$4&amp;'Funnel setup'!$K$5,".",IF(A3321=".",1,A3321+1))</f>
        <v>.</v>
      </c>
      <c r="B3322" s="431" t="str">
        <f t="shared" si="51"/>
        <v>Hip Replacement RevisionProviderFRIMLEY HEALTH NHS FOUNDATION TRUST (RDU)EQ-5D Index</v>
      </c>
      <c r="C3322" t="s">
        <v>247</v>
      </c>
      <c r="D3322" t="s">
        <v>1</v>
      </c>
      <c r="E3322" t="s">
        <v>3861</v>
      </c>
      <c r="F3322" t="s">
        <v>3862</v>
      </c>
      <c r="G3322" t="s">
        <v>52</v>
      </c>
      <c r="H3322">
        <v>32</v>
      </c>
      <c r="I3322">
        <v>0.39300000000000002</v>
      </c>
      <c r="J3322">
        <v>0.68700000000000006</v>
      </c>
      <c r="K3322">
        <v>0.29399999999999998</v>
      </c>
      <c r="L3322">
        <v>21</v>
      </c>
      <c r="M3322">
        <v>3</v>
      </c>
      <c r="N3322">
        <v>8</v>
      </c>
      <c r="O3322">
        <v>0.69299999999999995</v>
      </c>
      <c r="P3322">
        <v>0.29401937700000003</v>
      </c>
      <c r="Q3322">
        <v>0.28000000000000003</v>
      </c>
    </row>
    <row r="3323" spans="1:17" x14ac:dyDescent="0.2">
      <c r="A3323" s="30" t="str">
        <f>IF(C3323&amp;G3323&amp;D3323&lt;&gt;'Funnel setup'!$K$3&amp;'Funnel setup'!$K$4&amp;'Funnel setup'!$K$5,".",IF(A3322=".",1,A3322+1))</f>
        <v>.</v>
      </c>
      <c r="B3323" s="431" t="str">
        <f t="shared" si="51"/>
        <v>Hip Replacement RevisionProviderFULWOOD HALL HOSPITAL (NVC07)EQ-5D Index</v>
      </c>
      <c r="C3323" t="s">
        <v>247</v>
      </c>
      <c r="D3323" t="s">
        <v>1</v>
      </c>
      <c r="E3323" t="s">
        <v>3864</v>
      </c>
      <c r="F3323" t="s">
        <v>3865</v>
      </c>
      <c r="G3323" t="s">
        <v>52</v>
      </c>
      <c r="H3323" t="s">
        <v>53</v>
      </c>
      <c r="I3323" t="s">
        <v>53</v>
      </c>
      <c r="J3323" t="s">
        <v>53</v>
      </c>
      <c r="K3323" t="s">
        <v>53</v>
      </c>
      <c r="L3323" t="s">
        <v>53</v>
      </c>
      <c r="M3323" t="s">
        <v>53</v>
      </c>
      <c r="N3323" t="s">
        <v>53</v>
      </c>
      <c r="O3323" t="s">
        <v>53</v>
      </c>
      <c r="P3323" t="s">
        <v>53</v>
      </c>
      <c r="Q3323" t="s">
        <v>53</v>
      </c>
    </row>
    <row r="3324" spans="1:17" x14ac:dyDescent="0.2">
      <c r="A3324" s="30" t="str">
        <f>IF(C3324&amp;G3324&amp;D3324&lt;&gt;'Funnel setup'!$K$3&amp;'Funnel setup'!$K$4&amp;'Funnel setup'!$K$5,".",IF(A3323=".",1,A3323+1))</f>
        <v>.</v>
      </c>
      <c r="B3324" s="431" t="str">
        <f t="shared" si="51"/>
        <v>Hip Replacement RevisionProviderGATESHEAD HEALTH NHS FOUNDATION TRUST (RR7)EQ-5D Index</v>
      </c>
      <c r="C3324" t="s">
        <v>247</v>
      </c>
      <c r="D3324" t="s">
        <v>1</v>
      </c>
      <c r="E3324" t="s">
        <v>3867</v>
      </c>
      <c r="F3324" t="s">
        <v>3868</v>
      </c>
      <c r="G3324" t="s">
        <v>52</v>
      </c>
      <c r="H3324">
        <v>9</v>
      </c>
      <c r="I3324">
        <v>0.47499999999999998</v>
      </c>
      <c r="J3324">
        <v>0.748</v>
      </c>
      <c r="K3324">
        <v>0.27300000000000002</v>
      </c>
      <c r="L3324">
        <v>7</v>
      </c>
      <c r="M3324">
        <v>1</v>
      </c>
      <c r="N3324">
        <v>1</v>
      </c>
      <c r="O3324" t="s">
        <v>53</v>
      </c>
      <c r="P3324" t="s">
        <v>53</v>
      </c>
      <c r="Q3324" t="s">
        <v>53</v>
      </c>
    </row>
    <row r="3325" spans="1:17" x14ac:dyDescent="0.2">
      <c r="A3325" s="30" t="str">
        <f>IF(C3325&amp;G3325&amp;D3325&lt;&gt;'Funnel setup'!$K$3&amp;'Funnel setup'!$K$4&amp;'Funnel setup'!$K$5,".",IF(A3324=".",1,A3324+1))</f>
        <v>.</v>
      </c>
      <c r="B3325" s="431" t="str">
        <f t="shared" si="51"/>
        <v>Hip Replacement RevisionProviderGEORGE ELIOT HOSPITAL NHS TRUST (RLT)EQ-5D Index</v>
      </c>
      <c r="C3325" t="s">
        <v>247</v>
      </c>
      <c r="D3325" t="s">
        <v>1</v>
      </c>
      <c r="E3325" t="s">
        <v>3870</v>
      </c>
      <c r="F3325" t="s">
        <v>3871</v>
      </c>
      <c r="G3325" t="s">
        <v>52</v>
      </c>
      <c r="H3325" t="s">
        <v>53</v>
      </c>
      <c r="I3325" t="s">
        <v>53</v>
      </c>
      <c r="J3325" t="s">
        <v>53</v>
      </c>
      <c r="K3325" t="s">
        <v>53</v>
      </c>
      <c r="L3325" t="s">
        <v>53</v>
      </c>
      <c r="M3325" t="s">
        <v>53</v>
      </c>
      <c r="N3325" t="s">
        <v>53</v>
      </c>
      <c r="O3325" t="s">
        <v>53</v>
      </c>
      <c r="P3325" t="s">
        <v>53</v>
      </c>
      <c r="Q3325" t="s">
        <v>53</v>
      </c>
    </row>
    <row r="3326" spans="1:17" x14ac:dyDescent="0.2">
      <c r="A3326" s="30" t="str">
        <f>IF(C3326&amp;G3326&amp;D3326&lt;&gt;'Funnel setup'!$K$3&amp;'Funnel setup'!$K$4&amp;'Funnel setup'!$K$5,".",IF(A3325=".",1,A3325+1))</f>
        <v>.</v>
      </c>
      <c r="B3326" s="431" t="str">
        <f t="shared" si="51"/>
        <v>Hip Replacement RevisionProviderGLOUCESTERSHIRE HOSPITALS NHS FOUNDATION TRUST (RTE)EQ-5D Index</v>
      </c>
      <c r="C3326" t="s">
        <v>247</v>
      </c>
      <c r="D3326" t="s">
        <v>1</v>
      </c>
      <c r="E3326" t="s">
        <v>3873</v>
      </c>
      <c r="F3326" t="s">
        <v>3874</v>
      </c>
      <c r="G3326" t="s">
        <v>52</v>
      </c>
      <c r="H3326">
        <v>40</v>
      </c>
      <c r="I3326">
        <v>0.47099999999999997</v>
      </c>
      <c r="J3326">
        <v>0.61299999999999999</v>
      </c>
      <c r="K3326">
        <v>0.14199999999999999</v>
      </c>
      <c r="L3326">
        <v>22</v>
      </c>
      <c r="M3326">
        <v>10</v>
      </c>
      <c r="N3326">
        <v>8</v>
      </c>
      <c r="O3326">
        <v>0.59799999999999998</v>
      </c>
      <c r="P3326">
        <v>0.19898080300000001</v>
      </c>
      <c r="Q3326">
        <v>0.252</v>
      </c>
    </row>
    <row r="3327" spans="1:17" x14ac:dyDescent="0.2">
      <c r="A3327" s="30" t="str">
        <f>IF(C3327&amp;G3327&amp;D3327&lt;&gt;'Funnel setup'!$K$3&amp;'Funnel setup'!$K$4&amp;'Funnel setup'!$K$5,".",IF(A3326=".",1,A3326+1))</f>
        <v>.</v>
      </c>
      <c r="B3327" s="431" t="str">
        <f t="shared" si="51"/>
        <v>Hip Replacement RevisionProviderGREAT WESTERN HOSPITALS NHS FOUNDATION TRUST (RN3)EQ-5D Index</v>
      </c>
      <c r="C3327" t="s">
        <v>247</v>
      </c>
      <c r="D3327" t="s">
        <v>1</v>
      </c>
      <c r="E3327" t="s">
        <v>3876</v>
      </c>
      <c r="F3327" t="s">
        <v>3877</v>
      </c>
      <c r="G3327" t="s">
        <v>52</v>
      </c>
      <c r="H3327">
        <v>12</v>
      </c>
      <c r="I3327">
        <v>0.34899999999999998</v>
      </c>
      <c r="J3327">
        <v>0.68100000000000005</v>
      </c>
      <c r="K3327">
        <v>0.33200000000000002</v>
      </c>
      <c r="L3327">
        <v>9</v>
      </c>
      <c r="M3327">
        <v>2</v>
      </c>
      <c r="N3327">
        <v>1</v>
      </c>
      <c r="O3327" t="s">
        <v>53</v>
      </c>
      <c r="P3327" t="s">
        <v>53</v>
      </c>
      <c r="Q3327" t="s">
        <v>53</v>
      </c>
    </row>
    <row r="3328" spans="1:17" x14ac:dyDescent="0.2">
      <c r="A3328" s="30" t="str">
        <f>IF(C3328&amp;G3328&amp;D3328&lt;&gt;'Funnel setup'!$K$3&amp;'Funnel setup'!$K$4&amp;'Funnel setup'!$K$5,".",IF(A3327=".",1,A3327+1))</f>
        <v>.</v>
      </c>
      <c r="B3328" s="431" t="str">
        <f t="shared" si="51"/>
        <v>Hip Replacement RevisionProviderGUY'S AND ST THOMAS' NHS FOUNDATION TRUST (RJ1)EQ-5D Index</v>
      </c>
      <c r="C3328" t="s">
        <v>247</v>
      </c>
      <c r="D3328" t="s">
        <v>1</v>
      </c>
      <c r="E3328" t="s">
        <v>3879</v>
      </c>
      <c r="F3328" t="s">
        <v>3880</v>
      </c>
      <c r="G3328" t="s">
        <v>52</v>
      </c>
      <c r="H3328">
        <v>14</v>
      </c>
      <c r="I3328">
        <v>0.12</v>
      </c>
      <c r="J3328">
        <v>0.58599999999999997</v>
      </c>
      <c r="K3328">
        <v>0.46700000000000003</v>
      </c>
      <c r="L3328">
        <v>12</v>
      </c>
      <c r="M3328">
        <v>0</v>
      </c>
      <c r="N3328">
        <v>2</v>
      </c>
      <c r="O3328" t="s">
        <v>53</v>
      </c>
      <c r="P3328" t="s">
        <v>53</v>
      </c>
      <c r="Q3328" t="s">
        <v>53</v>
      </c>
    </row>
    <row r="3329" spans="1:17" x14ac:dyDescent="0.2">
      <c r="A3329" s="30" t="str">
        <f>IF(C3329&amp;G3329&amp;D3329&lt;&gt;'Funnel setup'!$K$3&amp;'Funnel setup'!$K$4&amp;'Funnel setup'!$K$5,".",IF(A3328=".",1,A3328+1))</f>
        <v>.</v>
      </c>
      <c r="B3329" s="431" t="str">
        <f t="shared" si="51"/>
        <v>Hip Replacement RevisionProviderHAMPSHIRE HOSPITALS NHS FOUNDATION TRUST (RN5)EQ-5D Index</v>
      </c>
      <c r="C3329" t="s">
        <v>247</v>
      </c>
      <c r="D3329" t="s">
        <v>1</v>
      </c>
      <c r="E3329" t="s">
        <v>3882</v>
      </c>
      <c r="F3329" t="s">
        <v>3883</v>
      </c>
      <c r="G3329" t="s">
        <v>52</v>
      </c>
      <c r="H3329">
        <v>26</v>
      </c>
      <c r="I3329">
        <v>0.47699999999999998</v>
      </c>
      <c r="J3329">
        <v>0.76300000000000001</v>
      </c>
      <c r="K3329">
        <v>0.28499999999999998</v>
      </c>
      <c r="L3329">
        <v>20</v>
      </c>
      <c r="M3329">
        <v>3</v>
      </c>
      <c r="N3329">
        <v>3</v>
      </c>
      <c r="O3329" t="s">
        <v>53</v>
      </c>
      <c r="P3329" t="s">
        <v>53</v>
      </c>
      <c r="Q3329" t="s">
        <v>53</v>
      </c>
    </row>
    <row r="3330" spans="1:17" x14ac:dyDescent="0.2">
      <c r="A3330" s="30" t="str">
        <f>IF(C3330&amp;G3330&amp;D3330&lt;&gt;'Funnel setup'!$K$3&amp;'Funnel setup'!$K$4&amp;'Funnel setup'!$K$5,".",IF(A3329=".",1,A3329+1))</f>
        <v>.</v>
      </c>
      <c r="B3330" s="431" t="str">
        <f t="shared" si="51"/>
        <v>Hip Replacement RevisionProviderHARROGATE AND DISTRICT NHS FOUNDATION TRUST (RCD)EQ-5D Index</v>
      </c>
      <c r="C3330" t="s">
        <v>247</v>
      </c>
      <c r="D3330" t="s">
        <v>1</v>
      </c>
      <c r="E3330" t="s">
        <v>3885</v>
      </c>
      <c r="F3330" t="s">
        <v>3886</v>
      </c>
      <c r="G3330" t="s">
        <v>52</v>
      </c>
      <c r="H3330">
        <v>8</v>
      </c>
      <c r="I3330">
        <v>0.40100000000000002</v>
      </c>
      <c r="J3330">
        <v>0.71699999999999997</v>
      </c>
      <c r="K3330">
        <v>0.316</v>
      </c>
      <c r="L3330">
        <v>7</v>
      </c>
      <c r="M3330">
        <v>1</v>
      </c>
      <c r="N3330">
        <v>0</v>
      </c>
      <c r="O3330" t="s">
        <v>53</v>
      </c>
      <c r="P3330" t="s">
        <v>53</v>
      </c>
      <c r="Q3330" t="s">
        <v>53</v>
      </c>
    </row>
    <row r="3331" spans="1:17" x14ac:dyDescent="0.2">
      <c r="A3331" s="30" t="str">
        <f>IF(C3331&amp;G3331&amp;D3331&lt;&gt;'Funnel setup'!$K$3&amp;'Funnel setup'!$K$4&amp;'Funnel setup'!$K$5,".",IF(A3330=".",1,A3330+1))</f>
        <v>.</v>
      </c>
      <c r="B3331" s="431" t="str">
        <f t="shared" ref="B3331:B3394" si="52">C3331&amp;D3331&amp;F3331&amp;G3331</f>
        <v>Hip Replacement RevisionProviderHEART OF ENGLAND NHS FOUNDATION TRUST (RR1)EQ-5D Index</v>
      </c>
      <c r="C3331" t="s">
        <v>247</v>
      </c>
      <c r="D3331" t="s">
        <v>1</v>
      </c>
      <c r="E3331" t="s">
        <v>3888</v>
      </c>
      <c r="F3331" t="s">
        <v>3889</v>
      </c>
      <c r="G3331" t="s">
        <v>52</v>
      </c>
      <c r="H3331">
        <v>18</v>
      </c>
      <c r="I3331">
        <v>0.247</v>
      </c>
      <c r="J3331">
        <v>0.624</v>
      </c>
      <c r="K3331">
        <v>0.377</v>
      </c>
      <c r="L3331">
        <v>15</v>
      </c>
      <c r="M3331">
        <v>2</v>
      </c>
      <c r="N3331">
        <v>1</v>
      </c>
      <c r="O3331" t="s">
        <v>53</v>
      </c>
      <c r="P3331" t="s">
        <v>53</v>
      </c>
      <c r="Q3331" t="s">
        <v>53</v>
      </c>
    </row>
    <row r="3332" spans="1:17" x14ac:dyDescent="0.2">
      <c r="A3332" s="30" t="str">
        <f>IF(C3332&amp;G3332&amp;D3332&lt;&gt;'Funnel setup'!$K$3&amp;'Funnel setup'!$K$4&amp;'Funnel setup'!$K$5,".",IF(A3331=".",1,A3331+1))</f>
        <v>.</v>
      </c>
      <c r="B3332" s="431" t="str">
        <f t="shared" si="52"/>
        <v>Hip Replacement RevisionProviderHINCHINGBROOKE HEALTH CARE NHS TRUST (RQQ)EQ-5D Index</v>
      </c>
      <c r="C3332" t="s">
        <v>247</v>
      </c>
      <c r="D3332" t="s">
        <v>1</v>
      </c>
      <c r="E3332" t="s">
        <v>3894</v>
      </c>
      <c r="F3332" t="s">
        <v>3895</v>
      </c>
      <c r="G3332" t="s">
        <v>52</v>
      </c>
      <c r="H3332">
        <v>19</v>
      </c>
      <c r="I3332">
        <v>0.49199999999999999</v>
      </c>
      <c r="J3332">
        <v>0.68</v>
      </c>
      <c r="K3332">
        <v>0.188</v>
      </c>
      <c r="L3332">
        <v>12</v>
      </c>
      <c r="M3332">
        <v>5</v>
      </c>
      <c r="N3332">
        <v>2</v>
      </c>
      <c r="O3332" t="s">
        <v>53</v>
      </c>
      <c r="P3332" t="s">
        <v>53</v>
      </c>
      <c r="Q3332" t="s">
        <v>53</v>
      </c>
    </row>
    <row r="3333" spans="1:17" x14ac:dyDescent="0.2">
      <c r="A3333" s="30" t="str">
        <f>IF(C3333&amp;G3333&amp;D3333&lt;&gt;'Funnel setup'!$K$3&amp;'Funnel setup'!$K$4&amp;'Funnel setup'!$K$5,".",IF(A3332=".",1,A3332+1))</f>
        <v>.</v>
      </c>
      <c r="B3333" s="431" t="str">
        <f t="shared" si="52"/>
        <v>Hip Replacement RevisionProviderHOMERTON UNIVERSITY HOSPITAL NHS FOUNDATION TRUST (RQX)EQ-5D Index</v>
      </c>
      <c r="C3333" t="s">
        <v>247</v>
      </c>
      <c r="D3333" t="s">
        <v>1</v>
      </c>
      <c r="E3333" t="s">
        <v>3897</v>
      </c>
      <c r="F3333" t="s">
        <v>3898</v>
      </c>
      <c r="G3333" t="s">
        <v>52</v>
      </c>
      <c r="H3333" t="s">
        <v>53</v>
      </c>
      <c r="I3333" t="s">
        <v>53</v>
      </c>
      <c r="J3333" t="s">
        <v>53</v>
      </c>
      <c r="K3333" t="s">
        <v>53</v>
      </c>
      <c r="L3333" t="s">
        <v>53</v>
      </c>
      <c r="M3333" t="s">
        <v>53</v>
      </c>
      <c r="N3333" t="s">
        <v>53</v>
      </c>
      <c r="O3333" t="s">
        <v>53</v>
      </c>
      <c r="P3333" t="s">
        <v>53</v>
      </c>
      <c r="Q3333" t="s">
        <v>53</v>
      </c>
    </row>
    <row r="3334" spans="1:17" x14ac:dyDescent="0.2">
      <c r="A3334" s="30" t="str">
        <f>IF(C3334&amp;G3334&amp;D3334&lt;&gt;'Funnel setup'!$K$3&amp;'Funnel setup'!$K$4&amp;'Funnel setup'!$K$5,".",IF(A3333=".",1,A3333+1))</f>
        <v>.</v>
      </c>
      <c r="B3334" s="431" t="str">
        <f t="shared" si="52"/>
        <v>Hip Replacement RevisionProviderHORTON NHS TREATMENT CENTRE (NVC25)EQ-5D Index</v>
      </c>
      <c r="C3334" t="s">
        <v>247</v>
      </c>
      <c r="D3334" t="s">
        <v>1</v>
      </c>
      <c r="E3334" t="s">
        <v>4553</v>
      </c>
      <c r="F3334" t="s">
        <v>4554</v>
      </c>
      <c r="G3334" t="s">
        <v>52</v>
      </c>
      <c r="H3334" t="s">
        <v>53</v>
      </c>
      <c r="I3334" t="s">
        <v>53</v>
      </c>
      <c r="J3334" t="s">
        <v>53</v>
      </c>
      <c r="K3334" t="s">
        <v>53</v>
      </c>
      <c r="L3334" t="s">
        <v>53</v>
      </c>
      <c r="M3334" t="s">
        <v>53</v>
      </c>
      <c r="N3334" t="s">
        <v>53</v>
      </c>
      <c r="O3334" t="s">
        <v>53</v>
      </c>
      <c r="P3334" t="s">
        <v>53</v>
      </c>
      <c r="Q3334" t="s">
        <v>53</v>
      </c>
    </row>
    <row r="3335" spans="1:17" x14ac:dyDescent="0.2">
      <c r="A3335" s="30" t="str">
        <f>IF(C3335&amp;G3335&amp;D3335&lt;&gt;'Funnel setup'!$K$3&amp;'Funnel setup'!$K$4&amp;'Funnel setup'!$K$5,".",IF(A3334=".",1,A3334+1))</f>
        <v>.</v>
      </c>
      <c r="B3335" s="431" t="str">
        <f t="shared" si="52"/>
        <v>Hip Replacement RevisionProviderHULL AND EAST YORKSHIRE HOSPITALS NHS TRUST (RWA)EQ-5D Index</v>
      </c>
      <c r="C3335" t="s">
        <v>247</v>
      </c>
      <c r="D3335" t="s">
        <v>1</v>
      </c>
      <c r="E3335" t="s">
        <v>3906</v>
      </c>
      <c r="F3335" t="s">
        <v>3907</v>
      </c>
      <c r="G3335" t="s">
        <v>52</v>
      </c>
      <c r="H3335">
        <v>24</v>
      </c>
      <c r="I3335">
        <v>0.51600000000000001</v>
      </c>
      <c r="J3335">
        <v>0.754</v>
      </c>
      <c r="K3335">
        <v>0.23799999999999999</v>
      </c>
      <c r="L3335">
        <v>17</v>
      </c>
      <c r="M3335">
        <v>6</v>
      </c>
      <c r="N3335">
        <v>1</v>
      </c>
      <c r="O3335" t="s">
        <v>53</v>
      </c>
      <c r="P3335" t="s">
        <v>53</v>
      </c>
      <c r="Q3335" t="s">
        <v>53</v>
      </c>
    </row>
    <row r="3336" spans="1:17" x14ac:dyDescent="0.2">
      <c r="A3336" s="30" t="str">
        <f>IF(C3336&amp;G3336&amp;D3336&lt;&gt;'Funnel setup'!$K$3&amp;'Funnel setup'!$K$4&amp;'Funnel setup'!$K$5,".",IF(A3335=".",1,A3335+1))</f>
        <v>.</v>
      </c>
      <c r="B3336" s="431" t="str">
        <f t="shared" si="52"/>
        <v>Hip Replacement RevisionProviderIMPERIAL COLLEGE HEALTHCARE NHS TRUST (RYJ)EQ-5D Index</v>
      </c>
      <c r="C3336" t="s">
        <v>247</v>
      </c>
      <c r="D3336" t="s">
        <v>1</v>
      </c>
      <c r="E3336" t="s">
        <v>4558</v>
      </c>
      <c r="F3336" t="s">
        <v>4559</v>
      </c>
      <c r="G3336" t="s">
        <v>52</v>
      </c>
      <c r="H3336" t="s">
        <v>53</v>
      </c>
      <c r="I3336" t="s">
        <v>53</v>
      </c>
      <c r="J3336" t="s">
        <v>53</v>
      </c>
      <c r="K3336" t="s">
        <v>53</v>
      </c>
      <c r="L3336" t="s">
        <v>53</v>
      </c>
      <c r="M3336" t="s">
        <v>53</v>
      </c>
      <c r="N3336" t="s">
        <v>53</v>
      </c>
      <c r="O3336" t="s">
        <v>53</v>
      </c>
      <c r="P3336" t="s">
        <v>53</v>
      </c>
      <c r="Q3336" t="s">
        <v>53</v>
      </c>
    </row>
    <row r="3337" spans="1:17" x14ac:dyDescent="0.2">
      <c r="A3337" s="30" t="str">
        <f>IF(C3337&amp;G3337&amp;D3337&lt;&gt;'Funnel setup'!$K$3&amp;'Funnel setup'!$K$4&amp;'Funnel setup'!$K$5,".",IF(A3336=".",1,A3336+1))</f>
        <v>.</v>
      </c>
      <c r="B3337" s="431" t="str">
        <f t="shared" si="52"/>
        <v>Hip Replacement RevisionProviderIPSWICH HOSPITAL NHS TRUST (RGQ)EQ-5D Index</v>
      </c>
      <c r="C3337" t="s">
        <v>247</v>
      </c>
      <c r="D3337" t="s">
        <v>1</v>
      </c>
      <c r="E3337" t="s">
        <v>3909</v>
      </c>
      <c r="F3337" t="s">
        <v>3910</v>
      </c>
      <c r="G3337" t="s">
        <v>52</v>
      </c>
      <c r="H3337">
        <v>9</v>
      </c>
      <c r="I3337">
        <v>0.26300000000000001</v>
      </c>
      <c r="J3337">
        <v>0.68899999999999995</v>
      </c>
      <c r="K3337">
        <v>0.42599999999999999</v>
      </c>
      <c r="L3337">
        <v>9</v>
      </c>
      <c r="M3337">
        <v>0</v>
      </c>
      <c r="N3337">
        <v>0</v>
      </c>
      <c r="O3337" t="s">
        <v>53</v>
      </c>
      <c r="P3337" t="s">
        <v>53</v>
      </c>
      <c r="Q3337" t="s">
        <v>53</v>
      </c>
    </row>
    <row r="3338" spans="1:17" x14ac:dyDescent="0.2">
      <c r="A3338" s="30" t="str">
        <f>IF(C3338&amp;G3338&amp;D3338&lt;&gt;'Funnel setup'!$K$3&amp;'Funnel setup'!$K$4&amp;'Funnel setup'!$K$5,".",IF(A3337=".",1,A3337+1))</f>
        <v>.</v>
      </c>
      <c r="B3338" s="431" t="str">
        <f t="shared" si="52"/>
        <v>Hip Replacement RevisionProviderISLE OF WIGHT NHS TRUST (R1F)EQ-5D Index</v>
      </c>
      <c r="C3338" t="s">
        <v>247</v>
      </c>
      <c r="D3338" t="s">
        <v>1</v>
      </c>
      <c r="E3338" t="s">
        <v>3912</v>
      </c>
      <c r="F3338" t="s">
        <v>3913</v>
      </c>
      <c r="G3338" t="s">
        <v>52</v>
      </c>
      <c r="H3338" t="s">
        <v>53</v>
      </c>
      <c r="I3338" t="s">
        <v>53</v>
      </c>
      <c r="J3338" t="s">
        <v>53</v>
      </c>
      <c r="K3338" t="s">
        <v>53</v>
      </c>
      <c r="L3338" t="s">
        <v>53</v>
      </c>
      <c r="M3338" t="s">
        <v>53</v>
      </c>
      <c r="N3338" t="s">
        <v>53</v>
      </c>
      <c r="O3338" t="s">
        <v>53</v>
      </c>
      <c r="P3338" t="s">
        <v>53</v>
      </c>
      <c r="Q3338" t="s">
        <v>53</v>
      </c>
    </row>
    <row r="3339" spans="1:17" x14ac:dyDescent="0.2">
      <c r="A3339" s="30" t="str">
        <f>IF(C3339&amp;G3339&amp;D3339&lt;&gt;'Funnel setup'!$K$3&amp;'Funnel setup'!$K$4&amp;'Funnel setup'!$K$5,".",IF(A3338=".",1,A3338+1))</f>
        <v>.</v>
      </c>
      <c r="B3339" s="431" t="str">
        <f t="shared" si="52"/>
        <v>Hip Replacement RevisionProviderJAMES PAGET UNIVERSITY HOSPITALS NHS FOUNDATION TRUST (RGP)EQ-5D Index</v>
      </c>
      <c r="C3339" t="s">
        <v>247</v>
      </c>
      <c r="D3339" t="s">
        <v>1</v>
      </c>
      <c r="E3339" t="s">
        <v>3915</v>
      </c>
      <c r="F3339" t="s">
        <v>3916</v>
      </c>
      <c r="G3339" t="s">
        <v>52</v>
      </c>
      <c r="H3339" t="s">
        <v>53</v>
      </c>
      <c r="I3339" t="s">
        <v>53</v>
      </c>
      <c r="J3339" t="s">
        <v>53</v>
      </c>
      <c r="K3339" t="s">
        <v>53</v>
      </c>
      <c r="L3339" t="s">
        <v>53</v>
      </c>
      <c r="M3339" t="s">
        <v>53</v>
      </c>
      <c r="N3339" t="s">
        <v>53</v>
      </c>
      <c r="O3339" t="s">
        <v>53</v>
      </c>
      <c r="P3339" t="s">
        <v>53</v>
      </c>
      <c r="Q3339" t="s">
        <v>53</v>
      </c>
    </row>
    <row r="3340" spans="1:17" x14ac:dyDescent="0.2">
      <c r="A3340" s="30" t="str">
        <f>IF(C3340&amp;G3340&amp;D3340&lt;&gt;'Funnel setup'!$K$3&amp;'Funnel setup'!$K$4&amp;'Funnel setup'!$K$5,".",IF(A3339=".",1,A3339+1))</f>
        <v>.</v>
      </c>
      <c r="B3340" s="431" t="str">
        <f t="shared" si="52"/>
        <v>Hip Replacement RevisionProviderKETTERING GENERAL HOSPITAL NHS FOUNDATION TRUST (RNQ)EQ-5D Index</v>
      </c>
      <c r="C3340" t="s">
        <v>247</v>
      </c>
      <c r="D3340" t="s">
        <v>1</v>
      </c>
      <c r="E3340" t="s">
        <v>3918</v>
      </c>
      <c r="F3340" t="s">
        <v>3919</v>
      </c>
      <c r="G3340" t="s">
        <v>52</v>
      </c>
      <c r="H3340">
        <v>12</v>
      </c>
      <c r="I3340">
        <v>0.39700000000000002</v>
      </c>
      <c r="J3340">
        <v>0.70399999999999996</v>
      </c>
      <c r="K3340">
        <v>0.307</v>
      </c>
      <c r="L3340">
        <v>7</v>
      </c>
      <c r="M3340">
        <v>3</v>
      </c>
      <c r="N3340">
        <v>2</v>
      </c>
      <c r="O3340" t="s">
        <v>53</v>
      </c>
      <c r="P3340" t="s">
        <v>53</v>
      </c>
      <c r="Q3340" t="s">
        <v>53</v>
      </c>
    </row>
    <row r="3341" spans="1:17" x14ac:dyDescent="0.2">
      <c r="A3341" s="30" t="str">
        <f>IF(C3341&amp;G3341&amp;D3341&lt;&gt;'Funnel setup'!$K$3&amp;'Funnel setup'!$K$4&amp;'Funnel setup'!$K$5,".",IF(A3340=".",1,A3340+1))</f>
        <v>.</v>
      </c>
      <c r="B3341" s="431" t="str">
        <f t="shared" si="52"/>
        <v>Hip Replacement RevisionProviderKING'S COLLEGE HOSPITAL NHS FOUNDATION TRUST (RJZ)EQ-5D Index</v>
      </c>
      <c r="C3341" t="s">
        <v>247</v>
      </c>
      <c r="D3341" t="s">
        <v>1</v>
      </c>
      <c r="E3341" t="s">
        <v>3924</v>
      </c>
      <c r="F3341" t="s">
        <v>3925</v>
      </c>
      <c r="G3341" t="s">
        <v>52</v>
      </c>
      <c r="H3341" t="s">
        <v>53</v>
      </c>
      <c r="I3341" t="s">
        <v>53</v>
      </c>
      <c r="J3341" t="s">
        <v>53</v>
      </c>
      <c r="K3341" t="s">
        <v>53</v>
      </c>
      <c r="L3341" t="s">
        <v>53</v>
      </c>
      <c r="M3341" t="s">
        <v>53</v>
      </c>
      <c r="N3341" t="s">
        <v>53</v>
      </c>
      <c r="O3341" t="s">
        <v>53</v>
      </c>
      <c r="P3341" t="s">
        <v>53</v>
      </c>
      <c r="Q3341" t="s">
        <v>53</v>
      </c>
    </row>
    <row r="3342" spans="1:17" x14ac:dyDescent="0.2">
      <c r="A3342" s="30" t="str">
        <f>IF(C3342&amp;G3342&amp;D3342&lt;&gt;'Funnel setup'!$K$3&amp;'Funnel setup'!$K$4&amp;'Funnel setup'!$K$5,".",IF(A3341=".",1,A3341+1))</f>
        <v>.</v>
      </c>
      <c r="B3342" s="431" t="str">
        <f t="shared" si="52"/>
        <v>Hip Replacement RevisionProviderLANCASHIRE TEACHING HOSPITALS NHS FOUNDATION TRUST (RXN)EQ-5D Index</v>
      </c>
      <c r="C3342" t="s">
        <v>247</v>
      </c>
      <c r="D3342" t="s">
        <v>1</v>
      </c>
      <c r="E3342" t="s">
        <v>3567</v>
      </c>
      <c r="F3342" t="s">
        <v>3568</v>
      </c>
      <c r="G3342" t="s">
        <v>52</v>
      </c>
      <c r="H3342">
        <v>23</v>
      </c>
      <c r="I3342">
        <v>0.371</v>
      </c>
      <c r="J3342">
        <v>0.77900000000000003</v>
      </c>
      <c r="K3342">
        <v>0.40799999999999997</v>
      </c>
      <c r="L3342">
        <v>19</v>
      </c>
      <c r="M3342">
        <v>3</v>
      </c>
      <c r="N3342">
        <v>1</v>
      </c>
      <c r="O3342" t="s">
        <v>53</v>
      </c>
      <c r="P3342" t="s">
        <v>53</v>
      </c>
      <c r="Q3342" t="s">
        <v>53</v>
      </c>
    </row>
    <row r="3343" spans="1:17" x14ac:dyDescent="0.2">
      <c r="A3343" s="30" t="str">
        <f>IF(C3343&amp;G3343&amp;D3343&lt;&gt;'Funnel setup'!$K$3&amp;'Funnel setup'!$K$4&amp;'Funnel setup'!$K$5,".",IF(A3342=".",1,A3342+1))</f>
        <v>.</v>
      </c>
      <c r="B3343" s="431" t="str">
        <f t="shared" si="52"/>
        <v>Hip Replacement RevisionProviderLEEDS TEACHING HOSPITALS NHS TRUST (RR8)EQ-5D Index</v>
      </c>
      <c r="C3343" t="s">
        <v>247</v>
      </c>
      <c r="D3343" t="s">
        <v>1</v>
      </c>
      <c r="E3343" t="s">
        <v>3930</v>
      </c>
      <c r="F3343" t="s">
        <v>344</v>
      </c>
      <c r="G3343" t="s">
        <v>52</v>
      </c>
      <c r="H3343">
        <v>20</v>
      </c>
      <c r="I3343">
        <v>0.46700000000000003</v>
      </c>
      <c r="J3343">
        <v>0.67700000000000005</v>
      </c>
      <c r="K3343">
        <v>0.21</v>
      </c>
      <c r="L3343">
        <v>12</v>
      </c>
      <c r="M3343">
        <v>2</v>
      </c>
      <c r="N3343">
        <v>6</v>
      </c>
      <c r="O3343" t="s">
        <v>53</v>
      </c>
      <c r="P3343" t="s">
        <v>53</v>
      </c>
      <c r="Q3343" t="s">
        <v>53</v>
      </c>
    </row>
    <row r="3344" spans="1:17" x14ac:dyDescent="0.2">
      <c r="A3344" s="30" t="str">
        <f>IF(C3344&amp;G3344&amp;D3344&lt;&gt;'Funnel setup'!$K$3&amp;'Funnel setup'!$K$4&amp;'Funnel setup'!$K$5,".",IF(A3343=".",1,A3343+1))</f>
        <v>.</v>
      </c>
      <c r="B3344" s="431" t="str">
        <f t="shared" si="52"/>
        <v>Hip Replacement RevisionProviderLEWISHAM AND GREENWICH NHS TRUST (RJ2)EQ-5D Index</v>
      </c>
      <c r="C3344" t="s">
        <v>247</v>
      </c>
      <c r="D3344" t="s">
        <v>1</v>
      </c>
      <c r="E3344" t="s">
        <v>3522</v>
      </c>
      <c r="F3344" t="s">
        <v>3523</v>
      </c>
      <c r="G3344" t="s">
        <v>52</v>
      </c>
      <c r="H3344" t="s">
        <v>53</v>
      </c>
      <c r="I3344" t="s">
        <v>53</v>
      </c>
      <c r="J3344" t="s">
        <v>53</v>
      </c>
      <c r="K3344" t="s">
        <v>53</v>
      </c>
      <c r="L3344" t="s">
        <v>53</v>
      </c>
      <c r="M3344" t="s">
        <v>53</v>
      </c>
      <c r="N3344" t="s">
        <v>53</v>
      </c>
      <c r="O3344" t="s">
        <v>53</v>
      </c>
      <c r="P3344" t="s">
        <v>53</v>
      </c>
      <c r="Q3344" t="s">
        <v>53</v>
      </c>
    </row>
    <row r="3345" spans="1:17" x14ac:dyDescent="0.2">
      <c r="A3345" s="30" t="str">
        <f>IF(C3345&amp;G3345&amp;D3345&lt;&gt;'Funnel setup'!$K$3&amp;'Funnel setup'!$K$4&amp;'Funnel setup'!$K$5,".",IF(A3344=".",1,A3344+1))</f>
        <v>.</v>
      </c>
      <c r="B3345" s="431" t="str">
        <f t="shared" si="52"/>
        <v>Hip Replacement RevisionProviderLONDON NORTH WEST HEALTHCARE NHS TRUST (R1K)EQ-5D Index</v>
      </c>
      <c r="C3345" t="s">
        <v>247</v>
      </c>
      <c r="D3345" t="s">
        <v>1</v>
      </c>
      <c r="E3345" t="s">
        <v>6515</v>
      </c>
      <c r="F3345" t="s">
        <v>6516</v>
      </c>
      <c r="G3345" t="s">
        <v>52</v>
      </c>
      <c r="H3345">
        <v>7</v>
      </c>
      <c r="I3345">
        <v>0.48899999999999999</v>
      </c>
      <c r="J3345">
        <v>0.76800000000000002</v>
      </c>
      <c r="K3345">
        <v>0.28000000000000003</v>
      </c>
      <c r="L3345">
        <v>5</v>
      </c>
      <c r="M3345">
        <v>1</v>
      </c>
      <c r="N3345">
        <v>1</v>
      </c>
      <c r="O3345" t="s">
        <v>53</v>
      </c>
      <c r="P3345" t="s">
        <v>53</v>
      </c>
      <c r="Q3345" t="s">
        <v>53</v>
      </c>
    </row>
    <row r="3346" spans="1:17" x14ac:dyDescent="0.2">
      <c r="A3346" s="30" t="str">
        <f>IF(C3346&amp;G3346&amp;D3346&lt;&gt;'Funnel setup'!$K$3&amp;'Funnel setup'!$K$4&amp;'Funnel setup'!$K$5,".",IF(A3345=".",1,A3345+1))</f>
        <v>.</v>
      </c>
      <c r="B3346" s="431" t="str">
        <f t="shared" si="52"/>
        <v>Hip Replacement RevisionProviderLUTON AND DUNSTABLE UNIVERSITY HOSPITAL NHS FOUNDATION TRUST (RC9)EQ-5D Index</v>
      </c>
      <c r="C3346" t="s">
        <v>247</v>
      </c>
      <c r="D3346" t="s">
        <v>1</v>
      </c>
      <c r="E3346" t="s">
        <v>3528</v>
      </c>
      <c r="F3346" t="s">
        <v>3529</v>
      </c>
      <c r="G3346" t="s">
        <v>52</v>
      </c>
      <c r="H3346">
        <v>12</v>
      </c>
      <c r="I3346">
        <v>0.307</v>
      </c>
      <c r="J3346">
        <v>0.7</v>
      </c>
      <c r="K3346">
        <v>0.39300000000000002</v>
      </c>
      <c r="L3346">
        <v>9</v>
      </c>
      <c r="M3346">
        <v>0</v>
      </c>
      <c r="N3346">
        <v>3</v>
      </c>
      <c r="O3346" t="s">
        <v>53</v>
      </c>
      <c r="P3346" t="s">
        <v>53</v>
      </c>
      <c r="Q3346" t="s">
        <v>53</v>
      </c>
    </row>
    <row r="3347" spans="1:17" x14ac:dyDescent="0.2">
      <c r="A3347" s="30" t="str">
        <f>IF(C3347&amp;G3347&amp;D3347&lt;&gt;'Funnel setup'!$K$3&amp;'Funnel setup'!$K$4&amp;'Funnel setup'!$K$5,".",IF(A3346=".",1,A3346+1))</f>
        <v>.</v>
      </c>
      <c r="B3347" s="431" t="str">
        <f t="shared" si="52"/>
        <v>Hip Replacement RevisionProviderMAIDSTONE AND TUNBRIDGE WELLS NHS TRUST (RWF)EQ-5D Index</v>
      </c>
      <c r="C3347" t="s">
        <v>247</v>
      </c>
      <c r="D3347" t="s">
        <v>1</v>
      </c>
      <c r="E3347" t="s">
        <v>3627</v>
      </c>
      <c r="F3347" t="s">
        <v>3628</v>
      </c>
      <c r="G3347" t="s">
        <v>52</v>
      </c>
      <c r="H3347">
        <v>16</v>
      </c>
      <c r="I3347">
        <v>0.432</v>
      </c>
      <c r="J3347">
        <v>0.75700000000000001</v>
      </c>
      <c r="K3347">
        <v>0.32600000000000001</v>
      </c>
      <c r="L3347">
        <v>11</v>
      </c>
      <c r="M3347">
        <v>2</v>
      </c>
      <c r="N3347">
        <v>3</v>
      </c>
      <c r="O3347" t="s">
        <v>53</v>
      </c>
      <c r="P3347" t="s">
        <v>53</v>
      </c>
      <c r="Q3347" t="s">
        <v>53</v>
      </c>
    </row>
    <row r="3348" spans="1:17" x14ac:dyDescent="0.2">
      <c r="A3348" s="30" t="str">
        <f>IF(C3348&amp;G3348&amp;D3348&lt;&gt;'Funnel setup'!$K$3&amp;'Funnel setup'!$K$4&amp;'Funnel setup'!$K$5,".",IF(A3347=".",1,A3347+1))</f>
        <v>.</v>
      </c>
      <c r="B3348" s="431" t="str">
        <f t="shared" si="52"/>
        <v>Hip Replacement RevisionProviderMEDWAY NHS FOUNDATION TRUST (RPA)EQ-5D Index</v>
      </c>
      <c r="C3348" t="s">
        <v>247</v>
      </c>
      <c r="D3348" t="s">
        <v>1</v>
      </c>
      <c r="E3348" t="s">
        <v>3630</v>
      </c>
      <c r="F3348" t="s">
        <v>3631</v>
      </c>
      <c r="G3348" t="s">
        <v>52</v>
      </c>
      <c r="H3348">
        <v>19</v>
      </c>
      <c r="I3348">
        <v>0.40400000000000003</v>
      </c>
      <c r="J3348">
        <v>0.65500000000000003</v>
      </c>
      <c r="K3348">
        <v>0.25</v>
      </c>
      <c r="L3348">
        <v>14</v>
      </c>
      <c r="M3348">
        <v>1</v>
      </c>
      <c r="N3348">
        <v>4</v>
      </c>
      <c r="O3348" t="s">
        <v>53</v>
      </c>
      <c r="P3348" t="s">
        <v>53</v>
      </c>
      <c r="Q3348" t="s">
        <v>53</v>
      </c>
    </row>
    <row r="3349" spans="1:17" x14ac:dyDescent="0.2">
      <c r="A3349" s="30" t="str">
        <f>IF(C3349&amp;G3349&amp;D3349&lt;&gt;'Funnel setup'!$K$3&amp;'Funnel setup'!$K$4&amp;'Funnel setup'!$K$5,".",IF(A3348=".",1,A3348+1))</f>
        <v>.</v>
      </c>
      <c r="B3349" s="431" t="str">
        <f t="shared" si="52"/>
        <v>Hip Replacement RevisionProviderMID CHESHIRE HOSPITALS NHS FOUNDATION TRUST (RBT)EQ-5D Index</v>
      </c>
      <c r="C3349" t="s">
        <v>247</v>
      </c>
      <c r="D3349" t="s">
        <v>1</v>
      </c>
      <c r="E3349" t="s">
        <v>3633</v>
      </c>
      <c r="F3349" t="s">
        <v>342</v>
      </c>
      <c r="G3349" t="s">
        <v>52</v>
      </c>
      <c r="H3349">
        <v>8</v>
      </c>
      <c r="I3349">
        <v>0.33800000000000002</v>
      </c>
      <c r="J3349">
        <v>0.63600000000000001</v>
      </c>
      <c r="K3349">
        <v>0.29799999999999999</v>
      </c>
      <c r="L3349">
        <v>5</v>
      </c>
      <c r="M3349">
        <v>2</v>
      </c>
      <c r="N3349">
        <v>1</v>
      </c>
      <c r="O3349" t="s">
        <v>53</v>
      </c>
      <c r="P3349" t="s">
        <v>53</v>
      </c>
      <c r="Q3349" t="s">
        <v>53</v>
      </c>
    </row>
    <row r="3350" spans="1:17" x14ac:dyDescent="0.2">
      <c r="A3350" s="30" t="str">
        <f>IF(C3350&amp;G3350&amp;D3350&lt;&gt;'Funnel setup'!$K$3&amp;'Funnel setup'!$K$4&amp;'Funnel setup'!$K$5,".",IF(A3349=".",1,A3349+1))</f>
        <v>.</v>
      </c>
      <c r="B3350" s="431" t="str">
        <f t="shared" si="52"/>
        <v>Hip Replacement RevisionProviderMID ESSEX HOSPITAL SERVICES NHS TRUST (RQ8)EQ-5D Index</v>
      </c>
      <c r="C3350" t="s">
        <v>247</v>
      </c>
      <c r="D3350" t="s">
        <v>1</v>
      </c>
      <c r="E3350" t="s">
        <v>3635</v>
      </c>
      <c r="F3350" t="s">
        <v>3636</v>
      </c>
      <c r="G3350" t="s">
        <v>52</v>
      </c>
      <c r="H3350">
        <v>17</v>
      </c>
      <c r="I3350">
        <v>0.36399999999999999</v>
      </c>
      <c r="J3350">
        <v>0.74199999999999999</v>
      </c>
      <c r="K3350">
        <v>0.378</v>
      </c>
      <c r="L3350">
        <v>11</v>
      </c>
      <c r="M3350">
        <v>5</v>
      </c>
      <c r="N3350">
        <v>1</v>
      </c>
      <c r="O3350" t="s">
        <v>53</v>
      </c>
      <c r="P3350" t="s">
        <v>53</v>
      </c>
      <c r="Q3350" t="s">
        <v>53</v>
      </c>
    </row>
    <row r="3351" spans="1:17" x14ac:dyDescent="0.2">
      <c r="A3351" s="30" t="str">
        <f>IF(C3351&amp;G3351&amp;D3351&lt;&gt;'Funnel setup'!$K$3&amp;'Funnel setup'!$K$4&amp;'Funnel setup'!$K$5,".",IF(A3350=".",1,A3350+1))</f>
        <v>.</v>
      </c>
      <c r="B3351" s="431" t="str">
        <f t="shared" si="52"/>
        <v>Hip Replacement RevisionProviderMID STAFFORDSHIRE NHS FOUNDATION TRUST (RJD)EQ-5D Index</v>
      </c>
      <c r="C3351" t="s">
        <v>247</v>
      </c>
      <c r="D3351" t="s">
        <v>1</v>
      </c>
      <c r="E3351" t="s">
        <v>3638</v>
      </c>
      <c r="F3351" t="s">
        <v>3639</v>
      </c>
      <c r="G3351" t="s">
        <v>52</v>
      </c>
      <c r="H3351">
        <v>12</v>
      </c>
      <c r="I3351">
        <v>0.26</v>
      </c>
      <c r="J3351">
        <v>0.52200000000000002</v>
      </c>
      <c r="K3351">
        <v>0.26100000000000001</v>
      </c>
      <c r="L3351">
        <v>9</v>
      </c>
      <c r="M3351">
        <v>0</v>
      </c>
      <c r="N3351">
        <v>3</v>
      </c>
      <c r="O3351" t="s">
        <v>53</v>
      </c>
      <c r="P3351" t="s">
        <v>53</v>
      </c>
      <c r="Q3351" t="s">
        <v>53</v>
      </c>
    </row>
    <row r="3352" spans="1:17" x14ac:dyDescent="0.2">
      <c r="A3352" s="30" t="str">
        <f>IF(C3352&amp;G3352&amp;D3352&lt;&gt;'Funnel setup'!$K$3&amp;'Funnel setup'!$K$4&amp;'Funnel setup'!$K$5,".",IF(A3351=".",1,A3351+1))</f>
        <v>.</v>
      </c>
      <c r="B3352" s="431" t="str">
        <f t="shared" si="52"/>
        <v>Hip Replacement RevisionProviderMID YORKSHIRE HOSPITALS NHS TRUST (RXF)EQ-5D Index</v>
      </c>
      <c r="C3352" t="s">
        <v>247</v>
      </c>
      <c r="D3352" t="s">
        <v>1</v>
      </c>
      <c r="E3352" t="s">
        <v>3641</v>
      </c>
      <c r="F3352" t="s">
        <v>3642</v>
      </c>
      <c r="G3352" t="s">
        <v>52</v>
      </c>
      <c r="H3352" t="s">
        <v>53</v>
      </c>
      <c r="I3352" t="s">
        <v>53</v>
      </c>
      <c r="J3352" t="s">
        <v>53</v>
      </c>
      <c r="K3352" t="s">
        <v>53</v>
      </c>
      <c r="L3352" t="s">
        <v>53</v>
      </c>
      <c r="M3352" t="s">
        <v>53</v>
      </c>
      <c r="N3352" t="s">
        <v>53</v>
      </c>
      <c r="O3352" t="s">
        <v>53</v>
      </c>
      <c r="P3352" t="s">
        <v>53</v>
      </c>
      <c r="Q3352" t="s">
        <v>53</v>
      </c>
    </row>
    <row r="3353" spans="1:17" x14ac:dyDescent="0.2">
      <c r="A3353" s="30" t="str">
        <f>IF(C3353&amp;G3353&amp;D3353&lt;&gt;'Funnel setup'!$K$3&amp;'Funnel setup'!$K$4&amp;'Funnel setup'!$K$5,".",IF(A3352=".",1,A3352+1))</f>
        <v>.</v>
      </c>
      <c r="B3353" s="431" t="str">
        <f t="shared" si="52"/>
        <v>Hip Replacement RevisionProviderMILTON KEYNES UNIVERSITY HOSPITAL NHS FOUNDATION TRUST (RD8)EQ-5D Index</v>
      </c>
      <c r="C3353" t="s">
        <v>247</v>
      </c>
      <c r="D3353" t="s">
        <v>1</v>
      </c>
      <c r="E3353" t="s">
        <v>3643</v>
      </c>
      <c r="F3353" t="s">
        <v>6580</v>
      </c>
      <c r="G3353" t="s">
        <v>52</v>
      </c>
      <c r="H3353" t="s">
        <v>53</v>
      </c>
      <c r="I3353" t="s">
        <v>53</v>
      </c>
      <c r="J3353" t="s">
        <v>53</v>
      </c>
      <c r="K3353" t="s">
        <v>53</v>
      </c>
      <c r="L3353" t="s">
        <v>53</v>
      </c>
      <c r="M3353" t="s">
        <v>53</v>
      </c>
      <c r="N3353" t="s">
        <v>53</v>
      </c>
      <c r="O3353" t="s">
        <v>53</v>
      </c>
      <c r="P3353" t="s">
        <v>53</v>
      </c>
      <c r="Q3353" t="s">
        <v>53</v>
      </c>
    </row>
    <row r="3354" spans="1:17" x14ac:dyDescent="0.2">
      <c r="A3354" s="30" t="str">
        <f>IF(C3354&amp;G3354&amp;D3354&lt;&gt;'Funnel setup'!$K$3&amp;'Funnel setup'!$K$4&amp;'Funnel setup'!$K$5,".",IF(A3353=".",1,A3353+1))</f>
        <v>.</v>
      </c>
      <c r="B3354" s="431" t="str">
        <f t="shared" si="52"/>
        <v>Hip Replacement RevisionProviderMOUNT STUART HOSPITAL (NVC08)EQ-5D Index</v>
      </c>
      <c r="C3354" t="s">
        <v>247</v>
      </c>
      <c r="D3354" t="s">
        <v>1</v>
      </c>
      <c r="E3354" t="s">
        <v>3645</v>
      </c>
      <c r="F3354" t="s">
        <v>3646</v>
      </c>
      <c r="G3354" t="s">
        <v>52</v>
      </c>
      <c r="H3354" t="s">
        <v>53</v>
      </c>
      <c r="I3354" t="s">
        <v>53</v>
      </c>
      <c r="J3354" t="s">
        <v>53</v>
      </c>
      <c r="K3354" t="s">
        <v>53</v>
      </c>
      <c r="L3354" t="s">
        <v>53</v>
      </c>
      <c r="M3354" t="s">
        <v>53</v>
      </c>
      <c r="N3354" t="s">
        <v>53</v>
      </c>
      <c r="O3354" t="s">
        <v>53</v>
      </c>
      <c r="P3354" t="s">
        <v>53</v>
      </c>
      <c r="Q3354" t="s">
        <v>53</v>
      </c>
    </row>
    <row r="3355" spans="1:17" x14ac:dyDescent="0.2">
      <c r="A3355" s="30" t="str">
        <f>IF(C3355&amp;G3355&amp;D3355&lt;&gt;'Funnel setup'!$K$3&amp;'Funnel setup'!$K$4&amp;'Funnel setup'!$K$5,".",IF(A3354=".",1,A3354+1))</f>
        <v>.</v>
      </c>
      <c r="B3355" s="431" t="str">
        <f t="shared" si="52"/>
        <v>Hip Replacement RevisionProviderNEW HALL HOSPITAL (NVC09)EQ-5D Index</v>
      </c>
      <c r="C3355" t="s">
        <v>247</v>
      </c>
      <c r="D3355" t="s">
        <v>1</v>
      </c>
      <c r="E3355" t="s">
        <v>3648</v>
      </c>
      <c r="F3355" t="s">
        <v>3649</v>
      </c>
      <c r="G3355" t="s">
        <v>52</v>
      </c>
      <c r="H3355" t="s">
        <v>53</v>
      </c>
      <c r="I3355" t="s">
        <v>53</v>
      </c>
      <c r="J3355" t="s">
        <v>53</v>
      </c>
      <c r="K3355" t="s">
        <v>53</v>
      </c>
      <c r="L3355" t="s">
        <v>53</v>
      </c>
      <c r="M3355" t="s">
        <v>53</v>
      </c>
      <c r="N3355" t="s">
        <v>53</v>
      </c>
      <c r="O3355" t="s">
        <v>53</v>
      </c>
      <c r="P3355" t="s">
        <v>53</v>
      </c>
      <c r="Q3355" t="s">
        <v>53</v>
      </c>
    </row>
    <row r="3356" spans="1:17" x14ac:dyDescent="0.2">
      <c r="A3356" s="30" t="str">
        <f>IF(C3356&amp;G3356&amp;D3356&lt;&gt;'Funnel setup'!$K$3&amp;'Funnel setup'!$K$4&amp;'Funnel setup'!$K$5,".",IF(A3355=".",1,A3355+1))</f>
        <v>.</v>
      </c>
      <c r="B3356" s="431" t="str">
        <f t="shared" si="52"/>
        <v>Hip Replacement RevisionProviderNORFOLK AND NORWICH UNIVERSITY HOSPITALS NHS FOUNDATION TRUST (RM1)EQ-5D Index</v>
      </c>
      <c r="C3356" t="s">
        <v>247</v>
      </c>
      <c r="D3356" t="s">
        <v>1</v>
      </c>
      <c r="E3356" t="s">
        <v>3651</v>
      </c>
      <c r="F3356" t="s">
        <v>3652</v>
      </c>
      <c r="G3356" t="s">
        <v>52</v>
      </c>
      <c r="H3356">
        <v>50</v>
      </c>
      <c r="I3356">
        <v>0.53600000000000003</v>
      </c>
      <c r="J3356">
        <v>0.77700000000000002</v>
      </c>
      <c r="K3356">
        <v>0.24099999999999999</v>
      </c>
      <c r="L3356">
        <v>41</v>
      </c>
      <c r="M3356">
        <v>3</v>
      </c>
      <c r="N3356">
        <v>6</v>
      </c>
      <c r="O3356">
        <v>0.73199999999999998</v>
      </c>
      <c r="P3356">
        <v>0.33343280199999997</v>
      </c>
      <c r="Q3356">
        <v>0.19500000000000001</v>
      </c>
    </row>
    <row r="3357" spans="1:17" x14ac:dyDescent="0.2">
      <c r="A3357" s="30" t="str">
        <f>IF(C3357&amp;G3357&amp;D3357&lt;&gt;'Funnel setup'!$K$3&amp;'Funnel setup'!$K$4&amp;'Funnel setup'!$K$5,".",IF(A3356=".",1,A3356+1))</f>
        <v>.</v>
      </c>
      <c r="B3357" s="431" t="str">
        <f t="shared" si="52"/>
        <v>Hip Replacement RevisionProviderNORTH BRISTOL NHS TRUST (RVJ)EQ-5D Index</v>
      </c>
      <c r="C3357" t="s">
        <v>247</v>
      </c>
      <c r="D3357" t="s">
        <v>1</v>
      </c>
      <c r="E3357" t="s">
        <v>3654</v>
      </c>
      <c r="F3357" t="s">
        <v>3655</v>
      </c>
      <c r="G3357" t="s">
        <v>52</v>
      </c>
      <c r="H3357">
        <v>10</v>
      </c>
      <c r="I3357">
        <v>0.38900000000000001</v>
      </c>
      <c r="J3357">
        <v>0.61799999999999999</v>
      </c>
      <c r="K3357">
        <v>0.22900000000000001</v>
      </c>
      <c r="L3357">
        <v>8</v>
      </c>
      <c r="M3357">
        <v>0</v>
      </c>
      <c r="N3357">
        <v>2</v>
      </c>
      <c r="O3357" t="s">
        <v>53</v>
      </c>
      <c r="P3357" t="s">
        <v>53</v>
      </c>
      <c r="Q3357" t="s">
        <v>53</v>
      </c>
    </row>
    <row r="3358" spans="1:17" x14ac:dyDescent="0.2">
      <c r="A3358" s="30" t="str">
        <f>IF(C3358&amp;G3358&amp;D3358&lt;&gt;'Funnel setup'!$K$3&amp;'Funnel setup'!$K$4&amp;'Funnel setup'!$K$5,".",IF(A3357=".",1,A3357+1))</f>
        <v>.</v>
      </c>
      <c r="B3358" s="431" t="str">
        <f t="shared" si="52"/>
        <v>Hip Replacement RevisionProviderNORTH CUMBRIA UNIVERSITY HOSPITALS NHS TRUST (RNL)EQ-5D Index</v>
      </c>
      <c r="C3358" t="s">
        <v>247</v>
      </c>
      <c r="D3358" t="s">
        <v>1</v>
      </c>
      <c r="E3358" t="s">
        <v>3657</v>
      </c>
      <c r="F3358" t="s">
        <v>3658</v>
      </c>
      <c r="G3358" t="s">
        <v>52</v>
      </c>
      <c r="H3358">
        <v>10</v>
      </c>
      <c r="I3358">
        <v>0.32600000000000001</v>
      </c>
      <c r="J3358">
        <v>0.69899999999999995</v>
      </c>
      <c r="K3358">
        <v>0.372</v>
      </c>
      <c r="L3358">
        <v>7</v>
      </c>
      <c r="M3358">
        <v>3</v>
      </c>
      <c r="N3358">
        <v>0</v>
      </c>
      <c r="O3358" t="s">
        <v>53</v>
      </c>
      <c r="P3358" t="s">
        <v>53</v>
      </c>
      <c r="Q3358" t="s">
        <v>53</v>
      </c>
    </row>
    <row r="3359" spans="1:17" x14ac:dyDescent="0.2">
      <c r="A3359" s="30" t="str">
        <f>IF(C3359&amp;G3359&amp;D3359&lt;&gt;'Funnel setup'!$K$3&amp;'Funnel setup'!$K$4&amp;'Funnel setup'!$K$5,".",IF(A3358=".",1,A3358+1))</f>
        <v>.</v>
      </c>
      <c r="B3359" s="431" t="str">
        <f t="shared" si="52"/>
        <v>Hip Replacement RevisionProviderNORTH DOWNS HOSPITAL (NVC11)EQ-5D Index</v>
      </c>
      <c r="C3359" t="s">
        <v>247</v>
      </c>
      <c r="D3359" t="s">
        <v>1</v>
      </c>
      <c r="E3359" t="s">
        <v>3660</v>
      </c>
      <c r="F3359" t="s">
        <v>3661</v>
      </c>
      <c r="G3359" t="s">
        <v>52</v>
      </c>
      <c r="H3359" t="s">
        <v>53</v>
      </c>
      <c r="I3359" t="s">
        <v>53</v>
      </c>
      <c r="J3359" t="s">
        <v>53</v>
      </c>
      <c r="K3359" t="s">
        <v>53</v>
      </c>
      <c r="L3359" t="s">
        <v>53</v>
      </c>
      <c r="M3359" t="s">
        <v>53</v>
      </c>
      <c r="N3359" t="s">
        <v>53</v>
      </c>
      <c r="O3359" t="s">
        <v>53</v>
      </c>
      <c r="P3359" t="s">
        <v>53</v>
      </c>
      <c r="Q3359" t="s">
        <v>53</v>
      </c>
    </row>
    <row r="3360" spans="1:17" x14ac:dyDescent="0.2">
      <c r="A3360" s="30" t="str">
        <f>IF(C3360&amp;G3360&amp;D3360&lt;&gt;'Funnel setup'!$K$3&amp;'Funnel setup'!$K$4&amp;'Funnel setup'!$K$5,".",IF(A3359=".",1,A3359+1))</f>
        <v>.</v>
      </c>
      <c r="B3360" s="431" t="str">
        <f t="shared" si="52"/>
        <v>Hip Replacement RevisionProviderNORTH EAST LONDON TREATMENT CENTRE CARE UK (NTP15)EQ-5D Index</v>
      </c>
      <c r="C3360" t="s">
        <v>247</v>
      </c>
      <c r="D3360" t="s">
        <v>1</v>
      </c>
      <c r="E3360" t="s">
        <v>3663</v>
      </c>
      <c r="F3360" t="s">
        <v>3664</v>
      </c>
      <c r="G3360" t="s">
        <v>52</v>
      </c>
      <c r="H3360" t="s">
        <v>53</v>
      </c>
      <c r="I3360" t="s">
        <v>53</v>
      </c>
      <c r="J3360" t="s">
        <v>53</v>
      </c>
      <c r="K3360" t="s">
        <v>53</v>
      </c>
      <c r="L3360" t="s">
        <v>53</v>
      </c>
      <c r="M3360" t="s">
        <v>53</v>
      </c>
      <c r="N3360" t="s">
        <v>53</v>
      </c>
      <c r="O3360" t="s">
        <v>53</v>
      </c>
      <c r="P3360" t="s">
        <v>53</v>
      </c>
      <c r="Q3360" t="s">
        <v>53</v>
      </c>
    </row>
    <row r="3361" spans="1:17" x14ac:dyDescent="0.2">
      <c r="A3361" s="30" t="str">
        <f>IF(C3361&amp;G3361&amp;D3361&lt;&gt;'Funnel setup'!$K$3&amp;'Funnel setup'!$K$4&amp;'Funnel setup'!$K$5,".",IF(A3360=".",1,A3360+1))</f>
        <v>.</v>
      </c>
      <c r="B3361" s="431" t="str">
        <f t="shared" si="52"/>
        <v>Hip Replacement RevisionProviderNORTH MIDDLESEX UNIVERSITY HOSPITAL NHS TRUST (RAP)EQ-5D Index</v>
      </c>
      <c r="C3361" t="s">
        <v>247</v>
      </c>
      <c r="D3361" t="s">
        <v>1</v>
      </c>
      <c r="E3361" t="s">
        <v>3666</v>
      </c>
      <c r="F3361" t="s">
        <v>3667</v>
      </c>
      <c r="G3361" t="s">
        <v>52</v>
      </c>
      <c r="H3361" t="s">
        <v>53</v>
      </c>
      <c r="I3361" t="s">
        <v>53</v>
      </c>
      <c r="J3361" t="s">
        <v>53</v>
      </c>
      <c r="K3361" t="s">
        <v>53</v>
      </c>
      <c r="L3361" t="s">
        <v>53</v>
      </c>
      <c r="M3361" t="s">
        <v>53</v>
      </c>
      <c r="N3361" t="s">
        <v>53</v>
      </c>
      <c r="O3361" t="s">
        <v>53</v>
      </c>
      <c r="P3361" t="s">
        <v>53</v>
      </c>
      <c r="Q3361" t="s">
        <v>53</v>
      </c>
    </row>
    <row r="3362" spans="1:17" x14ac:dyDescent="0.2">
      <c r="A3362" s="30" t="str">
        <f>IF(C3362&amp;G3362&amp;D3362&lt;&gt;'Funnel setup'!$K$3&amp;'Funnel setup'!$K$4&amp;'Funnel setup'!$K$5,".",IF(A3361=".",1,A3361+1))</f>
        <v>.</v>
      </c>
      <c r="B3362" s="431" t="str">
        <f t="shared" si="52"/>
        <v>Hip Replacement RevisionProviderNORTH TEES AND HARTLEPOOL NHS FOUNDATION TRUST (RVW)EQ-5D Index</v>
      </c>
      <c r="C3362" t="s">
        <v>247</v>
      </c>
      <c r="D3362" t="s">
        <v>1</v>
      </c>
      <c r="E3362" t="s">
        <v>3669</v>
      </c>
      <c r="F3362" t="s">
        <v>3670</v>
      </c>
      <c r="G3362" t="s">
        <v>52</v>
      </c>
      <c r="H3362">
        <v>24</v>
      </c>
      <c r="I3362">
        <v>0.35</v>
      </c>
      <c r="J3362">
        <v>0.64700000000000002</v>
      </c>
      <c r="K3362">
        <v>0.29699999999999999</v>
      </c>
      <c r="L3362">
        <v>18</v>
      </c>
      <c r="M3362">
        <v>0</v>
      </c>
      <c r="N3362">
        <v>6</v>
      </c>
      <c r="O3362" t="s">
        <v>53</v>
      </c>
      <c r="P3362" t="s">
        <v>53</v>
      </c>
      <c r="Q3362" t="s">
        <v>53</v>
      </c>
    </row>
    <row r="3363" spans="1:17" x14ac:dyDescent="0.2">
      <c r="A3363" s="30" t="str">
        <f>IF(C3363&amp;G3363&amp;D3363&lt;&gt;'Funnel setup'!$K$3&amp;'Funnel setup'!$K$4&amp;'Funnel setup'!$K$5,".",IF(A3362=".",1,A3362+1))</f>
        <v>.</v>
      </c>
      <c r="B3363" s="431" t="str">
        <f t="shared" si="52"/>
        <v>Hip Replacement RevisionProviderNORTHAMPTON GENERAL HOSPITAL NHS TRUST (RNS)EQ-5D Index</v>
      </c>
      <c r="C3363" t="s">
        <v>247</v>
      </c>
      <c r="D3363" t="s">
        <v>1</v>
      </c>
      <c r="E3363" t="s">
        <v>3675</v>
      </c>
      <c r="F3363" t="s">
        <v>3676</v>
      </c>
      <c r="G3363" t="s">
        <v>52</v>
      </c>
      <c r="H3363">
        <v>20</v>
      </c>
      <c r="I3363">
        <v>0.41199999999999998</v>
      </c>
      <c r="J3363">
        <v>0.69599999999999995</v>
      </c>
      <c r="K3363">
        <v>0.28499999999999998</v>
      </c>
      <c r="L3363">
        <v>15</v>
      </c>
      <c r="M3363">
        <v>1</v>
      </c>
      <c r="N3363">
        <v>4</v>
      </c>
      <c r="O3363" t="s">
        <v>53</v>
      </c>
      <c r="P3363" t="s">
        <v>53</v>
      </c>
      <c r="Q3363" t="s">
        <v>53</v>
      </c>
    </row>
    <row r="3364" spans="1:17" x14ac:dyDescent="0.2">
      <c r="A3364" s="30" t="str">
        <f>IF(C3364&amp;G3364&amp;D3364&lt;&gt;'Funnel setup'!$K$3&amp;'Funnel setup'!$K$4&amp;'Funnel setup'!$K$5,".",IF(A3363=".",1,A3363+1))</f>
        <v>.</v>
      </c>
      <c r="B3364" s="431" t="str">
        <f t="shared" si="52"/>
        <v>Hip Replacement RevisionProviderNORTHERN DEVON HEALTHCARE NHS TRUST (RBZ)EQ-5D Index</v>
      </c>
      <c r="C3364" t="s">
        <v>247</v>
      </c>
      <c r="D3364" t="s">
        <v>1</v>
      </c>
      <c r="E3364" t="s">
        <v>3678</v>
      </c>
      <c r="F3364" t="s">
        <v>3679</v>
      </c>
      <c r="G3364" t="s">
        <v>52</v>
      </c>
      <c r="H3364">
        <v>12</v>
      </c>
      <c r="I3364">
        <v>0.44800000000000001</v>
      </c>
      <c r="J3364">
        <v>0.73699999999999999</v>
      </c>
      <c r="K3364">
        <v>0.28799999999999998</v>
      </c>
      <c r="L3364">
        <v>10</v>
      </c>
      <c r="M3364">
        <v>0</v>
      </c>
      <c r="N3364">
        <v>2</v>
      </c>
      <c r="O3364" t="s">
        <v>53</v>
      </c>
      <c r="P3364" t="s">
        <v>53</v>
      </c>
      <c r="Q3364" t="s">
        <v>53</v>
      </c>
    </row>
    <row r="3365" spans="1:17" x14ac:dyDescent="0.2">
      <c r="A3365" s="30" t="str">
        <f>IF(C3365&amp;G3365&amp;D3365&lt;&gt;'Funnel setup'!$K$3&amp;'Funnel setup'!$K$4&amp;'Funnel setup'!$K$5,".",IF(A3364=".",1,A3364+1))</f>
        <v>.</v>
      </c>
      <c r="B3365" s="431" t="str">
        <f t="shared" si="52"/>
        <v>Hip Replacement RevisionProviderNORTHERN LINCOLNSHIRE AND GOOLE NHS FOUNDATION TRUST (RJL)EQ-5D Index</v>
      </c>
      <c r="C3365" t="s">
        <v>247</v>
      </c>
      <c r="D3365" t="s">
        <v>1</v>
      </c>
      <c r="E3365" t="s">
        <v>3681</v>
      </c>
      <c r="F3365" t="s">
        <v>3682</v>
      </c>
      <c r="G3365" t="s">
        <v>52</v>
      </c>
      <c r="H3365">
        <v>15</v>
      </c>
      <c r="I3365">
        <v>0.24299999999999999</v>
      </c>
      <c r="J3365">
        <v>0.6</v>
      </c>
      <c r="K3365">
        <v>0.35699999999999998</v>
      </c>
      <c r="L3365">
        <v>12</v>
      </c>
      <c r="M3365">
        <v>1</v>
      </c>
      <c r="N3365">
        <v>2</v>
      </c>
      <c r="O3365" t="s">
        <v>53</v>
      </c>
      <c r="P3365" t="s">
        <v>53</v>
      </c>
      <c r="Q3365" t="s">
        <v>53</v>
      </c>
    </row>
    <row r="3366" spans="1:17" x14ac:dyDescent="0.2">
      <c r="A3366" s="30" t="str">
        <f>IF(C3366&amp;G3366&amp;D3366&lt;&gt;'Funnel setup'!$K$3&amp;'Funnel setup'!$K$4&amp;'Funnel setup'!$K$5,".",IF(A3365=".",1,A3365+1))</f>
        <v>.</v>
      </c>
      <c r="B3366" s="431" t="str">
        <f t="shared" si="52"/>
        <v>Hip Replacement RevisionProviderNORTHUMBRIA HEALTHCARE NHS FOUNDATION TRUST (RTF)EQ-5D Index</v>
      </c>
      <c r="C3366" t="s">
        <v>247</v>
      </c>
      <c r="D3366" t="s">
        <v>1</v>
      </c>
      <c r="E3366" t="s">
        <v>3684</v>
      </c>
      <c r="F3366" t="s">
        <v>3685</v>
      </c>
      <c r="G3366" t="s">
        <v>52</v>
      </c>
      <c r="H3366">
        <v>24</v>
      </c>
      <c r="I3366">
        <v>0.255</v>
      </c>
      <c r="J3366">
        <v>0.66600000000000004</v>
      </c>
      <c r="K3366">
        <v>0.41099999999999998</v>
      </c>
      <c r="L3366">
        <v>17</v>
      </c>
      <c r="M3366">
        <v>5</v>
      </c>
      <c r="N3366">
        <v>2</v>
      </c>
      <c r="O3366" t="s">
        <v>53</v>
      </c>
      <c r="P3366" t="s">
        <v>53</v>
      </c>
      <c r="Q3366" t="s">
        <v>53</v>
      </c>
    </row>
    <row r="3367" spans="1:17" x14ac:dyDescent="0.2">
      <c r="A3367" s="30" t="str">
        <f>IF(C3367&amp;G3367&amp;D3367&lt;&gt;'Funnel setup'!$K$3&amp;'Funnel setup'!$K$4&amp;'Funnel setup'!$K$5,".",IF(A3366=".",1,A3366+1))</f>
        <v>.</v>
      </c>
      <c r="B3367" s="431" t="str">
        <f t="shared" si="52"/>
        <v>Hip Replacement RevisionProviderNOTTINGHAM UNIVERSITY HOSPITALS NHS TRUST (RX1)EQ-5D Index</v>
      </c>
      <c r="C3367" t="s">
        <v>247</v>
      </c>
      <c r="D3367" t="s">
        <v>1</v>
      </c>
      <c r="E3367" t="s">
        <v>3687</v>
      </c>
      <c r="F3367" t="s">
        <v>3688</v>
      </c>
      <c r="G3367" t="s">
        <v>52</v>
      </c>
      <c r="H3367">
        <v>41</v>
      </c>
      <c r="I3367">
        <v>0.31</v>
      </c>
      <c r="J3367">
        <v>0.57199999999999995</v>
      </c>
      <c r="K3367">
        <v>0.26200000000000001</v>
      </c>
      <c r="L3367">
        <v>29</v>
      </c>
      <c r="M3367">
        <v>4</v>
      </c>
      <c r="N3367">
        <v>8</v>
      </c>
      <c r="O3367">
        <v>0.63600000000000001</v>
      </c>
      <c r="P3367">
        <v>0.23727684800000001</v>
      </c>
      <c r="Q3367">
        <v>0.30599999999999999</v>
      </c>
    </row>
    <row r="3368" spans="1:17" x14ac:dyDescent="0.2">
      <c r="A3368" s="30" t="str">
        <f>IF(C3368&amp;G3368&amp;D3368&lt;&gt;'Funnel setup'!$K$3&amp;'Funnel setup'!$K$4&amp;'Funnel setup'!$K$5,".",IF(A3367=".",1,A3367+1))</f>
        <v>.</v>
      </c>
      <c r="B3368" s="431" t="str">
        <f t="shared" si="52"/>
        <v>Hip Replacement RevisionProviderNUFFIELD HEALTH, HAYWARDS HEATH HOSPITAL (NT218)EQ-5D Index</v>
      </c>
      <c r="C3368" t="s">
        <v>247</v>
      </c>
      <c r="D3368" t="s">
        <v>1</v>
      </c>
      <c r="E3368" t="s">
        <v>4342</v>
      </c>
      <c r="F3368" t="s">
        <v>4343</v>
      </c>
      <c r="G3368" t="s">
        <v>52</v>
      </c>
      <c r="H3368" t="s">
        <v>53</v>
      </c>
      <c r="I3368" t="s">
        <v>53</v>
      </c>
      <c r="J3368" t="s">
        <v>53</v>
      </c>
      <c r="K3368" t="s">
        <v>53</v>
      </c>
      <c r="L3368" t="s">
        <v>53</v>
      </c>
      <c r="M3368" t="s">
        <v>53</v>
      </c>
      <c r="N3368" t="s">
        <v>53</v>
      </c>
      <c r="O3368" t="s">
        <v>53</v>
      </c>
      <c r="P3368" t="s">
        <v>53</v>
      </c>
      <c r="Q3368" t="s">
        <v>53</v>
      </c>
    </row>
    <row r="3369" spans="1:17" x14ac:dyDescent="0.2">
      <c r="A3369" s="30" t="str">
        <f>IF(C3369&amp;G3369&amp;D3369&lt;&gt;'Funnel setup'!$K$3&amp;'Funnel setup'!$K$4&amp;'Funnel setup'!$K$5,".",IF(A3368=".",1,A3368+1))</f>
        <v>.</v>
      </c>
      <c r="B3369" s="431" t="str">
        <f t="shared" si="52"/>
        <v>Hip Replacement RevisionProviderNUFFIELD HEALTH, LEEDS HOSPITAL (NT225)EQ-5D Index</v>
      </c>
      <c r="C3369" t="s">
        <v>247</v>
      </c>
      <c r="D3369" t="s">
        <v>1</v>
      </c>
      <c r="E3369" t="s">
        <v>3388</v>
      </c>
      <c r="F3369" t="s">
        <v>3389</v>
      </c>
      <c r="G3369" t="s">
        <v>52</v>
      </c>
      <c r="H3369" t="s">
        <v>53</v>
      </c>
      <c r="I3369" t="s">
        <v>53</v>
      </c>
      <c r="J3369" t="s">
        <v>53</v>
      </c>
      <c r="K3369" t="s">
        <v>53</v>
      </c>
      <c r="L3369" t="s">
        <v>53</v>
      </c>
      <c r="M3369" t="s">
        <v>53</v>
      </c>
      <c r="N3369" t="s">
        <v>53</v>
      </c>
      <c r="O3369" t="s">
        <v>53</v>
      </c>
      <c r="P3369" t="s">
        <v>53</v>
      </c>
      <c r="Q3369" t="s">
        <v>53</v>
      </c>
    </row>
    <row r="3370" spans="1:17" x14ac:dyDescent="0.2">
      <c r="A3370" s="30" t="str">
        <f>IF(C3370&amp;G3370&amp;D3370&lt;&gt;'Funnel setup'!$K$3&amp;'Funnel setup'!$K$4&amp;'Funnel setup'!$K$5,".",IF(A3369=".",1,A3369+1))</f>
        <v>.</v>
      </c>
      <c r="B3370" s="431" t="str">
        <f t="shared" si="52"/>
        <v>Hip Replacement RevisionProviderNUFFIELD HEALTH, NEWCASTLE UPON TYNE HOSPITAL (NT229)EQ-5D Index</v>
      </c>
      <c r="C3370" t="s">
        <v>247</v>
      </c>
      <c r="D3370" t="s">
        <v>1</v>
      </c>
      <c r="E3370" t="s">
        <v>3394</v>
      </c>
      <c r="F3370" t="s">
        <v>3395</v>
      </c>
      <c r="G3370" t="s">
        <v>52</v>
      </c>
      <c r="H3370" t="s">
        <v>53</v>
      </c>
      <c r="I3370" t="s">
        <v>53</v>
      </c>
      <c r="J3370" t="s">
        <v>53</v>
      </c>
      <c r="K3370" t="s">
        <v>53</v>
      </c>
      <c r="L3370" t="s">
        <v>53</v>
      </c>
      <c r="M3370" t="s">
        <v>53</v>
      </c>
      <c r="N3370" t="s">
        <v>53</v>
      </c>
      <c r="O3370" t="s">
        <v>53</v>
      </c>
      <c r="P3370" t="s">
        <v>53</v>
      </c>
      <c r="Q3370" t="s">
        <v>53</v>
      </c>
    </row>
    <row r="3371" spans="1:17" x14ac:dyDescent="0.2">
      <c r="A3371" s="30" t="str">
        <f>IF(C3371&amp;G3371&amp;D3371&lt;&gt;'Funnel setup'!$K$3&amp;'Funnel setup'!$K$4&amp;'Funnel setup'!$K$5,".",IF(A3370=".",1,A3370+1))</f>
        <v>.</v>
      </c>
      <c r="B3371" s="431" t="str">
        <f t="shared" si="52"/>
        <v>Hip Replacement RevisionProviderNUFFIELD HEALTH, TEES HOSPITAL (NT237)EQ-5D Index</v>
      </c>
      <c r="C3371" t="s">
        <v>247</v>
      </c>
      <c r="D3371" t="s">
        <v>1</v>
      </c>
      <c r="E3371" t="s">
        <v>3246</v>
      </c>
      <c r="F3371" t="s">
        <v>3247</v>
      </c>
      <c r="G3371" t="s">
        <v>52</v>
      </c>
      <c r="H3371">
        <v>12</v>
      </c>
      <c r="I3371">
        <v>0.51</v>
      </c>
      <c r="J3371">
        <v>0.81799999999999995</v>
      </c>
      <c r="K3371">
        <v>0.308</v>
      </c>
      <c r="L3371">
        <v>8</v>
      </c>
      <c r="M3371">
        <v>3</v>
      </c>
      <c r="N3371">
        <v>1</v>
      </c>
      <c r="O3371" t="s">
        <v>53</v>
      </c>
      <c r="P3371" t="s">
        <v>53</v>
      </c>
      <c r="Q3371" t="s">
        <v>53</v>
      </c>
    </row>
    <row r="3372" spans="1:17" x14ac:dyDescent="0.2">
      <c r="A3372" s="30" t="str">
        <f>IF(C3372&amp;G3372&amp;D3372&lt;&gt;'Funnel setup'!$K$3&amp;'Funnel setup'!$K$4&amp;'Funnel setup'!$K$5,".",IF(A3371=".",1,A3371+1))</f>
        <v>.</v>
      </c>
      <c r="B3372" s="431" t="str">
        <f t="shared" si="52"/>
        <v>Hip Replacement RevisionProviderNUFFIELD HEALTH, WOKING HOSPITAL (NT241)EQ-5D Index</v>
      </c>
      <c r="C3372" t="s">
        <v>247</v>
      </c>
      <c r="D3372" t="s">
        <v>1</v>
      </c>
      <c r="E3372" t="s">
        <v>3261</v>
      </c>
      <c r="F3372" t="s">
        <v>3262</v>
      </c>
      <c r="G3372" t="s">
        <v>52</v>
      </c>
      <c r="H3372" t="s">
        <v>53</v>
      </c>
      <c r="I3372" t="s">
        <v>53</v>
      </c>
      <c r="J3372" t="s">
        <v>53</v>
      </c>
      <c r="K3372" t="s">
        <v>53</v>
      </c>
      <c r="L3372" t="s">
        <v>53</v>
      </c>
      <c r="M3372" t="s">
        <v>53</v>
      </c>
      <c r="N3372" t="s">
        <v>53</v>
      </c>
      <c r="O3372" t="s">
        <v>53</v>
      </c>
      <c r="P3372" t="s">
        <v>53</v>
      </c>
      <c r="Q3372" t="s">
        <v>53</v>
      </c>
    </row>
    <row r="3373" spans="1:17" x14ac:dyDescent="0.2">
      <c r="A3373" s="30" t="str">
        <f>IF(C3373&amp;G3373&amp;D3373&lt;&gt;'Funnel setup'!$K$3&amp;'Funnel setup'!$K$4&amp;'Funnel setup'!$K$5,".",IF(A3372=".",1,A3372+1))</f>
        <v>.</v>
      </c>
      <c r="B3373" s="431" t="str">
        <f t="shared" si="52"/>
        <v>Hip Replacement RevisionProviderNUFFIELD HEALTH, YORK HOSPITAL (NT245)EQ-5D Index</v>
      </c>
      <c r="C3373" t="s">
        <v>247</v>
      </c>
      <c r="D3373" t="s">
        <v>1</v>
      </c>
      <c r="E3373" t="s">
        <v>4299</v>
      </c>
      <c r="F3373" t="s">
        <v>4300</v>
      </c>
      <c r="G3373" t="s">
        <v>52</v>
      </c>
      <c r="H3373" t="s">
        <v>53</v>
      </c>
      <c r="I3373" t="s">
        <v>53</v>
      </c>
      <c r="J3373" t="s">
        <v>53</v>
      </c>
      <c r="K3373" t="s">
        <v>53</v>
      </c>
      <c r="L3373" t="s">
        <v>53</v>
      </c>
      <c r="M3373" t="s">
        <v>53</v>
      </c>
      <c r="N3373" t="s">
        <v>53</v>
      </c>
      <c r="O3373" t="s">
        <v>53</v>
      </c>
      <c r="P3373" t="s">
        <v>53</v>
      </c>
      <c r="Q3373" t="s">
        <v>53</v>
      </c>
    </row>
    <row r="3374" spans="1:17" x14ac:dyDescent="0.2">
      <c r="A3374" s="30" t="str">
        <f>IF(C3374&amp;G3374&amp;D3374&lt;&gt;'Funnel setup'!$K$3&amp;'Funnel setup'!$K$4&amp;'Funnel setup'!$K$5,".",IF(A3373=".",1,A3373+1))</f>
        <v>.</v>
      </c>
      <c r="B3374" s="431" t="str">
        <f t="shared" si="52"/>
        <v>Hip Replacement RevisionProviderOXFORD UNIVERSITY HOSPITALS NHS FOUNDATION TRUST (RTH)EQ-5D Index</v>
      </c>
      <c r="C3374" t="s">
        <v>247</v>
      </c>
      <c r="D3374" t="s">
        <v>1</v>
      </c>
      <c r="E3374" t="s">
        <v>3278</v>
      </c>
      <c r="F3374" t="s">
        <v>6578</v>
      </c>
      <c r="G3374" t="s">
        <v>52</v>
      </c>
      <c r="H3374">
        <v>75</v>
      </c>
      <c r="I3374">
        <v>0.39400000000000002</v>
      </c>
      <c r="J3374">
        <v>0.66800000000000004</v>
      </c>
      <c r="K3374">
        <v>0.27300000000000002</v>
      </c>
      <c r="L3374">
        <v>56</v>
      </c>
      <c r="M3374">
        <v>8</v>
      </c>
      <c r="N3374">
        <v>11</v>
      </c>
      <c r="O3374">
        <v>0.66500000000000004</v>
      </c>
      <c r="P3374">
        <v>0.26610911500000001</v>
      </c>
      <c r="Q3374">
        <v>0.28199999999999997</v>
      </c>
    </row>
    <row r="3375" spans="1:17" x14ac:dyDescent="0.2">
      <c r="A3375" s="30" t="str">
        <f>IF(C3375&amp;G3375&amp;D3375&lt;&gt;'Funnel setup'!$K$3&amp;'Funnel setup'!$K$4&amp;'Funnel setup'!$K$5,".",IF(A3374=".",1,A3374+1))</f>
        <v>.</v>
      </c>
      <c r="B3375" s="431" t="str">
        <f t="shared" si="52"/>
        <v>Hip Replacement RevisionProviderPENINSULA NHS TREATMENT CENTRE (NTPH5)EQ-5D Index</v>
      </c>
      <c r="C3375" t="s">
        <v>247</v>
      </c>
      <c r="D3375" t="s">
        <v>1</v>
      </c>
      <c r="E3375" t="s">
        <v>4285</v>
      </c>
      <c r="F3375" t="s">
        <v>4286</v>
      </c>
      <c r="G3375" t="s">
        <v>52</v>
      </c>
      <c r="H3375" t="s">
        <v>53</v>
      </c>
      <c r="I3375" t="s">
        <v>53</v>
      </c>
      <c r="J3375" t="s">
        <v>53</v>
      </c>
      <c r="K3375" t="s">
        <v>53</v>
      </c>
      <c r="L3375" t="s">
        <v>53</v>
      </c>
      <c r="M3375" t="s">
        <v>53</v>
      </c>
      <c r="N3375" t="s">
        <v>53</v>
      </c>
      <c r="O3375" t="s">
        <v>53</v>
      </c>
      <c r="P3375" t="s">
        <v>53</v>
      </c>
      <c r="Q3375" t="s">
        <v>53</v>
      </c>
    </row>
    <row r="3376" spans="1:17" x14ac:dyDescent="0.2">
      <c r="A3376" s="30" t="str">
        <f>IF(C3376&amp;G3376&amp;D3376&lt;&gt;'Funnel setup'!$K$3&amp;'Funnel setup'!$K$4&amp;'Funnel setup'!$K$5,".",IF(A3375=".",1,A3375+1))</f>
        <v>.</v>
      </c>
      <c r="B3376" s="431" t="str">
        <f t="shared" si="52"/>
        <v>Hip Replacement RevisionProviderPENNINE ACUTE HOSPITALS NHS TRUST (RW6)EQ-5D Index</v>
      </c>
      <c r="C3376" t="s">
        <v>247</v>
      </c>
      <c r="D3376" t="s">
        <v>1</v>
      </c>
      <c r="E3376" t="s">
        <v>3216</v>
      </c>
      <c r="F3376" t="s">
        <v>3217</v>
      </c>
      <c r="G3376" t="s">
        <v>52</v>
      </c>
      <c r="H3376">
        <v>30</v>
      </c>
      <c r="I3376">
        <v>0.44800000000000001</v>
      </c>
      <c r="J3376">
        <v>0.69399999999999995</v>
      </c>
      <c r="K3376">
        <v>0.245</v>
      </c>
      <c r="L3376">
        <v>20</v>
      </c>
      <c r="M3376">
        <v>4</v>
      </c>
      <c r="N3376">
        <v>6</v>
      </c>
      <c r="O3376">
        <v>0.69599999999999995</v>
      </c>
      <c r="P3376">
        <v>0.29692859700000002</v>
      </c>
      <c r="Q3376">
        <v>0.255</v>
      </c>
    </row>
    <row r="3377" spans="1:17" x14ac:dyDescent="0.2">
      <c r="A3377" s="30" t="str">
        <f>IF(C3377&amp;G3377&amp;D3377&lt;&gt;'Funnel setup'!$K$3&amp;'Funnel setup'!$K$4&amp;'Funnel setup'!$K$5,".",IF(A3376=".",1,A3376+1))</f>
        <v>.</v>
      </c>
      <c r="B3377" s="431" t="str">
        <f t="shared" si="52"/>
        <v>Hip Replacement RevisionProviderPETERBOROUGH AND STAMFORD HOSPITALS NHS FOUNDATION TRUST (RGN)EQ-5D Index</v>
      </c>
      <c r="C3377" t="s">
        <v>247</v>
      </c>
      <c r="D3377" t="s">
        <v>1</v>
      </c>
      <c r="E3377" t="s">
        <v>3219</v>
      </c>
      <c r="F3377" t="s">
        <v>3220</v>
      </c>
      <c r="G3377" t="s">
        <v>52</v>
      </c>
      <c r="H3377" t="s">
        <v>53</v>
      </c>
      <c r="I3377" t="s">
        <v>53</v>
      </c>
      <c r="J3377" t="s">
        <v>53</v>
      </c>
      <c r="K3377" t="s">
        <v>53</v>
      </c>
      <c r="L3377" t="s">
        <v>53</v>
      </c>
      <c r="M3377" t="s">
        <v>53</v>
      </c>
      <c r="N3377" t="s">
        <v>53</v>
      </c>
      <c r="O3377" t="s">
        <v>53</v>
      </c>
      <c r="P3377" t="s">
        <v>53</v>
      </c>
      <c r="Q3377" t="s">
        <v>53</v>
      </c>
    </row>
    <row r="3378" spans="1:17" x14ac:dyDescent="0.2">
      <c r="A3378" s="30" t="str">
        <f>IF(C3378&amp;G3378&amp;D3378&lt;&gt;'Funnel setup'!$K$3&amp;'Funnel setup'!$K$4&amp;'Funnel setup'!$K$5,".",IF(A3377=".",1,A3377+1))</f>
        <v>.</v>
      </c>
      <c r="B3378" s="431" t="str">
        <f t="shared" si="52"/>
        <v>Hip Replacement RevisionProviderPINEHILL HOSPITAL (NVC15)EQ-5D Index</v>
      </c>
      <c r="C3378" t="s">
        <v>247</v>
      </c>
      <c r="D3378" t="s">
        <v>1</v>
      </c>
      <c r="E3378" t="s">
        <v>3222</v>
      </c>
      <c r="F3378" t="s">
        <v>3223</v>
      </c>
      <c r="G3378" t="s">
        <v>52</v>
      </c>
      <c r="H3378" t="s">
        <v>53</v>
      </c>
      <c r="I3378" t="s">
        <v>53</v>
      </c>
      <c r="J3378" t="s">
        <v>53</v>
      </c>
      <c r="K3378" t="s">
        <v>53</v>
      </c>
      <c r="L3378" t="s">
        <v>53</v>
      </c>
      <c r="M3378" t="s">
        <v>53</v>
      </c>
      <c r="N3378" t="s">
        <v>53</v>
      </c>
      <c r="O3378" t="s">
        <v>53</v>
      </c>
      <c r="P3378" t="s">
        <v>53</v>
      </c>
      <c r="Q3378" t="s">
        <v>53</v>
      </c>
    </row>
    <row r="3379" spans="1:17" x14ac:dyDescent="0.2">
      <c r="A3379" s="30" t="str">
        <f>IF(C3379&amp;G3379&amp;D3379&lt;&gt;'Funnel setup'!$K$3&amp;'Funnel setup'!$K$4&amp;'Funnel setup'!$K$5,".",IF(A3378=".",1,A3378+1))</f>
        <v>.</v>
      </c>
      <c r="B3379" s="431" t="str">
        <f t="shared" si="52"/>
        <v>Hip Replacement RevisionProviderPLYMOUTH HOSPITALS NHS TRUST (RK9)EQ-5D Index</v>
      </c>
      <c r="C3379" t="s">
        <v>247</v>
      </c>
      <c r="D3379" t="s">
        <v>1</v>
      </c>
      <c r="E3379" t="s">
        <v>3225</v>
      </c>
      <c r="F3379" t="s">
        <v>3226</v>
      </c>
      <c r="G3379" t="s">
        <v>52</v>
      </c>
      <c r="H3379">
        <v>20</v>
      </c>
      <c r="I3379">
        <v>0.36299999999999999</v>
      </c>
      <c r="J3379">
        <v>0.58699999999999997</v>
      </c>
      <c r="K3379">
        <v>0.224</v>
      </c>
      <c r="L3379">
        <v>15</v>
      </c>
      <c r="M3379">
        <v>1</v>
      </c>
      <c r="N3379">
        <v>4</v>
      </c>
      <c r="O3379" t="s">
        <v>53</v>
      </c>
      <c r="P3379" t="s">
        <v>53</v>
      </c>
      <c r="Q3379" t="s">
        <v>53</v>
      </c>
    </row>
    <row r="3380" spans="1:17" x14ac:dyDescent="0.2">
      <c r="A3380" s="30" t="str">
        <f>IF(C3380&amp;G3380&amp;D3380&lt;&gt;'Funnel setup'!$K$3&amp;'Funnel setup'!$K$4&amp;'Funnel setup'!$K$5,".",IF(A3379=".",1,A3379+1))</f>
        <v>.</v>
      </c>
      <c r="B3380" s="431" t="str">
        <f t="shared" si="52"/>
        <v>Hip Replacement RevisionProviderPORTSMOUTH HOSPITALS NHS TRUST (RHU)EQ-5D Index</v>
      </c>
      <c r="C3380" t="s">
        <v>247</v>
      </c>
      <c r="D3380" t="s">
        <v>1</v>
      </c>
      <c r="E3380" t="s">
        <v>3234</v>
      </c>
      <c r="F3380" t="s">
        <v>3235</v>
      </c>
      <c r="G3380" t="s">
        <v>52</v>
      </c>
      <c r="H3380" t="s">
        <v>53</v>
      </c>
      <c r="I3380" t="s">
        <v>53</v>
      </c>
      <c r="J3380" t="s">
        <v>53</v>
      </c>
      <c r="K3380" t="s">
        <v>53</v>
      </c>
      <c r="L3380" t="s">
        <v>53</v>
      </c>
      <c r="M3380" t="s">
        <v>53</v>
      </c>
      <c r="N3380" t="s">
        <v>53</v>
      </c>
      <c r="O3380" t="s">
        <v>53</v>
      </c>
      <c r="P3380" t="s">
        <v>53</v>
      </c>
      <c r="Q3380" t="s">
        <v>53</v>
      </c>
    </row>
    <row r="3381" spans="1:17" x14ac:dyDescent="0.2">
      <c r="A3381" s="30" t="str">
        <f>IF(C3381&amp;G3381&amp;D3381&lt;&gt;'Funnel setup'!$K$3&amp;'Funnel setup'!$K$4&amp;'Funnel setup'!$K$5,".",IF(A3380=".",1,A3380+1))</f>
        <v>.</v>
      </c>
      <c r="B3381" s="431" t="str">
        <f t="shared" si="52"/>
        <v>Hip Replacement RevisionProviderRENACRES HOSPITAL (NVC16)EQ-5D Index</v>
      </c>
      <c r="C3381" t="s">
        <v>247</v>
      </c>
      <c r="D3381" t="s">
        <v>1</v>
      </c>
      <c r="E3381" t="s">
        <v>3237</v>
      </c>
      <c r="F3381" t="s">
        <v>3238</v>
      </c>
      <c r="G3381" t="s">
        <v>52</v>
      </c>
      <c r="H3381" t="s">
        <v>53</v>
      </c>
      <c r="I3381" t="s">
        <v>53</v>
      </c>
      <c r="J3381" t="s">
        <v>53</v>
      </c>
      <c r="K3381" t="s">
        <v>53</v>
      </c>
      <c r="L3381" t="s">
        <v>53</v>
      </c>
      <c r="M3381" t="s">
        <v>53</v>
      </c>
      <c r="N3381" t="s">
        <v>53</v>
      </c>
      <c r="O3381" t="s">
        <v>53</v>
      </c>
      <c r="P3381" t="s">
        <v>53</v>
      </c>
      <c r="Q3381" t="s">
        <v>53</v>
      </c>
    </row>
    <row r="3382" spans="1:17" x14ac:dyDescent="0.2">
      <c r="A3382" s="30" t="str">
        <f>IF(C3382&amp;G3382&amp;D3382&lt;&gt;'Funnel setup'!$K$3&amp;'Funnel setup'!$K$4&amp;'Funnel setup'!$K$5,".",IF(A3381=".",1,A3381+1))</f>
        <v>.</v>
      </c>
      <c r="B3382" s="431" t="str">
        <f t="shared" si="52"/>
        <v>Hip Replacement RevisionProviderRIVERS HOSPITAL (NVC19)EQ-5D Index</v>
      </c>
      <c r="C3382" t="s">
        <v>247</v>
      </c>
      <c r="D3382" t="s">
        <v>1</v>
      </c>
      <c r="E3382" t="s">
        <v>3204</v>
      </c>
      <c r="F3382" t="s">
        <v>3205</v>
      </c>
      <c r="G3382" t="s">
        <v>52</v>
      </c>
      <c r="H3382" t="s">
        <v>53</v>
      </c>
      <c r="I3382" t="s">
        <v>53</v>
      </c>
      <c r="J3382" t="s">
        <v>53</v>
      </c>
      <c r="K3382" t="s">
        <v>53</v>
      </c>
      <c r="L3382" t="s">
        <v>53</v>
      </c>
      <c r="M3382" t="s">
        <v>53</v>
      </c>
      <c r="N3382" t="s">
        <v>53</v>
      </c>
      <c r="O3382" t="s">
        <v>53</v>
      </c>
      <c r="P3382" t="s">
        <v>53</v>
      </c>
      <c r="Q3382" t="s">
        <v>53</v>
      </c>
    </row>
    <row r="3383" spans="1:17" x14ac:dyDescent="0.2">
      <c r="A3383" s="30" t="str">
        <f>IF(C3383&amp;G3383&amp;D3383&lt;&gt;'Funnel setup'!$K$3&amp;'Funnel setup'!$K$4&amp;'Funnel setup'!$K$5,".",IF(A3382=".",1,A3382+1))</f>
        <v>.</v>
      </c>
      <c r="B3383" s="431" t="str">
        <f t="shared" si="52"/>
        <v>Hip Replacement RevisionProviderROYAL BERKSHIRE NHS FOUNDATION TRUST (RHW)EQ-5D Index</v>
      </c>
      <c r="C3383" t="s">
        <v>247</v>
      </c>
      <c r="D3383" t="s">
        <v>1</v>
      </c>
      <c r="E3383" t="s">
        <v>3832</v>
      </c>
      <c r="F3383" t="s">
        <v>3833</v>
      </c>
      <c r="G3383" t="s">
        <v>52</v>
      </c>
      <c r="H3383">
        <v>14</v>
      </c>
      <c r="I3383">
        <v>0.47899999999999998</v>
      </c>
      <c r="J3383">
        <v>0.7</v>
      </c>
      <c r="K3383">
        <v>0.221</v>
      </c>
      <c r="L3383">
        <v>12</v>
      </c>
      <c r="M3383">
        <v>1</v>
      </c>
      <c r="N3383">
        <v>1</v>
      </c>
      <c r="O3383" t="s">
        <v>53</v>
      </c>
      <c r="P3383" t="s">
        <v>53</v>
      </c>
      <c r="Q3383" t="s">
        <v>53</v>
      </c>
    </row>
    <row r="3384" spans="1:17" x14ac:dyDescent="0.2">
      <c r="A3384" s="30" t="str">
        <f>IF(C3384&amp;G3384&amp;D3384&lt;&gt;'Funnel setup'!$K$3&amp;'Funnel setup'!$K$4&amp;'Funnel setup'!$K$5,".",IF(A3383=".",1,A3383+1))</f>
        <v>.</v>
      </c>
      <c r="B3384" s="431" t="str">
        <f t="shared" si="52"/>
        <v>Hip Replacement RevisionProviderROYAL CORNWALL HOSPITALS NHS TRUST (REF)EQ-5D Index</v>
      </c>
      <c r="C3384" t="s">
        <v>247</v>
      </c>
      <c r="D3384" t="s">
        <v>1</v>
      </c>
      <c r="E3384" t="s">
        <v>3745</v>
      </c>
      <c r="F3384" t="s">
        <v>3746</v>
      </c>
      <c r="G3384" t="s">
        <v>52</v>
      </c>
      <c r="H3384">
        <v>29</v>
      </c>
      <c r="I3384">
        <v>0.48299999999999998</v>
      </c>
      <c r="J3384">
        <v>0.58599999999999997</v>
      </c>
      <c r="K3384">
        <v>0.10299999999999999</v>
      </c>
      <c r="L3384">
        <v>16</v>
      </c>
      <c r="M3384">
        <v>5</v>
      </c>
      <c r="N3384">
        <v>8</v>
      </c>
      <c r="O3384" t="s">
        <v>53</v>
      </c>
      <c r="P3384" t="s">
        <v>53</v>
      </c>
      <c r="Q3384" t="s">
        <v>53</v>
      </c>
    </row>
    <row r="3385" spans="1:17" x14ac:dyDescent="0.2">
      <c r="A3385" s="30" t="str">
        <f>IF(C3385&amp;G3385&amp;D3385&lt;&gt;'Funnel setup'!$K$3&amp;'Funnel setup'!$K$4&amp;'Funnel setup'!$K$5,".",IF(A3384=".",1,A3384+1))</f>
        <v>.</v>
      </c>
      <c r="B3385" s="431" t="str">
        <f t="shared" si="52"/>
        <v>Hip Replacement RevisionProviderROYAL DEVON AND EXETER NHS FOUNDATION TRUST (RH8)EQ-5D Index</v>
      </c>
      <c r="C3385" t="s">
        <v>247</v>
      </c>
      <c r="D3385" t="s">
        <v>1</v>
      </c>
      <c r="E3385" t="s">
        <v>3442</v>
      </c>
      <c r="F3385" t="s">
        <v>3443</v>
      </c>
      <c r="G3385" t="s">
        <v>52</v>
      </c>
      <c r="H3385">
        <v>50</v>
      </c>
      <c r="I3385">
        <v>0.34599999999999997</v>
      </c>
      <c r="J3385">
        <v>0.629</v>
      </c>
      <c r="K3385">
        <v>0.28399999999999997</v>
      </c>
      <c r="L3385">
        <v>39</v>
      </c>
      <c r="M3385">
        <v>6</v>
      </c>
      <c r="N3385">
        <v>5</v>
      </c>
      <c r="O3385">
        <v>0.65200000000000002</v>
      </c>
      <c r="P3385">
        <v>0.25323839599999998</v>
      </c>
      <c r="Q3385">
        <v>0.27300000000000002</v>
      </c>
    </row>
    <row r="3386" spans="1:17" x14ac:dyDescent="0.2">
      <c r="A3386" s="30" t="str">
        <f>IF(C3386&amp;G3386&amp;D3386&lt;&gt;'Funnel setup'!$K$3&amp;'Funnel setup'!$K$4&amp;'Funnel setup'!$K$5,".",IF(A3385=".",1,A3385+1))</f>
        <v>.</v>
      </c>
      <c r="B3386" s="431" t="str">
        <f t="shared" si="52"/>
        <v>Hip Replacement RevisionProviderROYAL FREE LONDON NHS FOUNDATION TRUST (RAL)EQ-5D Index</v>
      </c>
      <c r="C3386" t="s">
        <v>247</v>
      </c>
      <c r="D3386" t="s">
        <v>1</v>
      </c>
      <c r="E3386" t="s">
        <v>3445</v>
      </c>
      <c r="F3386" t="s">
        <v>3446</v>
      </c>
      <c r="G3386" t="s">
        <v>52</v>
      </c>
      <c r="H3386">
        <v>13</v>
      </c>
      <c r="I3386">
        <v>0.45200000000000001</v>
      </c>
      <c r="J3386">
        <v>0.59199999999999997</v>
      </c>
      <c r="K3386">
        <v>0.13900000000000001</v>
      </c>
      <c r="L3386">
        <v>9</v>
      </c>
      <c r="M3386">
        <v>1</v>
      </c>
      <c r="N3386">
        <v>3</v>
      </c>
      <c r="O3386" t="s">
        <v>53</v>
      </c>
      <c r="P3386" t="s">
        <v>53</v>
      </c>
      <c r="Q3386" t="s">
        <v>53</v>
      </c>
    </row>
    <row r="3387" spans="1:17" x14ac:dyDescent="0.2">
      <c r="A3387" s="30" t="str">
        <f>IF(C3387&amp;G3387&amp;D3387&lt;&gt;'Funnel setup'!$K$3&amp;'Funnel setup'!$K$4&amp;'Funnel setup'!$K$5,".",IF(A3386=".",1,A3386+1))</f>
        <v>.</v>
      </c>
      <c r="B3387" s="431" t="str">
        <f t="shared" si="52"/>
        <v>Hip Replacement RevisionProviderROYAL LIVERPOOL AND BROADGREEN UNIVERSITY HOSPITALS NHS TRUST (RQ6)EQ-5D Index</v>
      </c>
      <c r="C3387" t="s">
        <v>247</v>
      </c>
      <c r="D3387" t="s">
        <v>1</v>
      </c>
      <c r="E3387" t="s">
        <v>3448</v>
      </c>
      <c r="F3387" t="s">
        <v>3449</v>
      </c>
      <c r="G3387" t="s">
        <v>52</v>
      </c>
      <c r="H3387">
        <v>6</v>
      </c>
      <c r="I3387">
        <v>0.27500000000000002</v>
      </c>
      <c r="J3387">
        <v>0.184</v>
      </c>
      <c r="K3387">
        <v>-9.0999999999999998E-2</v>
      </c>
      <c r="L3387">
        <v>2</v>
      </c>
      <c r="M3387">
        <v>1</v>
      </c>
      <c r="N3387">
        <v>3</v>
      </c>
      <c r="O3387" t="s">
        <v>53</v>
      </c>
      <c r="P3387" t="s">
        <v>53</v>
      </c>
      <c r="Q3387" t="s">
        <v>53</v>
      </c>
    </row>
    <row r="3388" spans="1:17" x14ac:dyDescent="0.2">
      <c r="A3388" s="30" t="str">
        <f>IF(C3388&amp;G3388&amp;D3388&lt;&gt;'Funnel setup'!$K$3&amp;'Funnel setup'!$K$4&amp;'Funnel setup'!$K$5,".",IF(A3387=".",1,A3387+1))</f>
        <v>.</v>
      </c>
      <c r="B3388" s="431" t="str">
        <f t="shared" si="52"/>
        <v>Hip Replacement RevisionProviderROYAL NATIONAL ORTHOPAEDIC HOSPITAL NHS TRUST (RAN)EQ-5D Index</v>
      </c>
      <c r="C3388" t="s">
        <v>247</v>
      </c>
      <c r="D3388" t="s">
        <v>1</v>
      </c>
      <c r="E3388" t="s">
        <v>4378</v>
      </c>
      <c r="F3388" t="s">
        <v>4379</v>
      </c>
      <c r="G3388" t="s">
        <v>52</v>
      </c>
      <c r="H3388">
        <v>40</v>
      </c>
      <c r="I3388">
        <v>0.29799999999999999</v>
      </c>
      <c r="J3388">
        <v>0.621</v>
      </c>
      <c r="K3388">
        <v>0.32300000000000001</v>
      </c>
      <c r="L3388">
        <v>30</v>
      </c>
      <c r="M3388">
        <v>4</v>
      </c>
      <c r="N3388">
        <v>6</v>
      </c>
      <c r="O3388">
        <v>0.67400000000000004</v>
      </c>
      <c r="P3388">
        <v>0.27507091500000003</v>
      </c>
      <c r="Q3388">
        <v>0.25</v>
      </c>
    </row>
    <row r="3389" spans="1:17" x14ac:dyDescent="0.2">
      <c r="A3389" s="30" t="str">
        <f>IF(C3389&amp;G3389&amp;D3389&lt;&gt;'Funnel setup'!$K$3&amp;'Funnel setup'!$K$4&amp;'Funnel setup'!$K$5,".",IF(A3388=".",1,A3388+1))</f>
        <v>.</v>
      </c>
      <c r="B3389" s="431" t="str">
        <f t="shared" si="52"/>
        <v>Hip Replacement RevisionProviderROYAL SURREY COUNTY HOSPITAL NHS FOUNDATION TRUST (RA2)EQ-5D Index</v>
      </c>
      <c r="C3389" t="s">
        <v>247</v>
      </c>
      <c r="D3389" t="s">
        <v>1</v>
      </c>
      <c r="E3389" t="s">
        <v>3451</v>
      </c>
      <c r="F3389" t="s">
        <v>3452</v>
      </c>
      <c r="G3389" t="s">
        <v>52</v>
      </c>
      <c r="H3389">
        <v>8</v>
      </c>
      <c r="I3389">
        <v>0.34100000000000003</v>
      </c>
      <c r="J3389">
        <v>0.44700000000000001</v>
      </c>
      <c r="K3389">
        <v>0.106</v>
      </c>
      <c r="L3389">
        <v>4</v>
      </c>
      <c r="M3389">
        <v>0</v>
      </c>
      <c r="N3389">
        <v>4</v>
      </c>
      <c r="O3389" t="s">
        <v>53</v>
      </c>
      <c r="P3389" t="s">
        <v>53</v>
      </c>
      <c r="Q3389" t="s">
        <v>53</v>
      </c>
    </row>
    <row r="3390" spans="1:17" x14ac:dyDescent="0.2">
      <c r="A3390" s="30" t="str">
        <f>IF(C3390&amp;G3390&amp;D3390&lt;&gt;'Funnel setup'!$K$3&amp;'Funnel setup'!$K$4&amp;'Funnel setup'!$K$5,".",IF(A3389=".",1,A3389+1))</f>
        <v>.</v>
      </c>
      <c r="B3390" s="431" t="str">
        <f t="shared" si="52"/>
        <v>Hip Replacement RevisionProviderROYAL UNITED HOSPITALS BATH NHS FOUNDATION TRUST (RD1)EQ-5D Index</v>
      </c>
      <c r="C3390" t="s">
        <v>247</v>
      </c>
      <c r="D3390" t="s">
        <v>1</v>
      </c>
      <c r="E3390" t="s">
        <v>3454</v>
      </c>
      <c r="F3390" t="s">
        <v>3455</v>
      </c>
      <c r="G3390" t="s">
        <v>52</v>
      </c>
      <c r="H3390">
        <v>33</v>
      </c>
      <c r="I3390">
        <v>0.45900000000000002</v>
      </c>
      <c r="J3390">
        <v>0.70899999999999996</v>
      </c>
      <c r="K3390">
        <v>0.25</v>
      </c>
      <c r="L3390">
        <v>18</v>
      </c>
      <c r="M3390">
        <v>11</v>
      </c>
      <c r="N3390">
        <v>4</v>
      </c>
      <c r="O3390">
        <v>0.68</v>
      </c>
      <c r="P3390">
        <v>0.28092714099999999</v>
      </c>
      <c r="Q3390">
        <v>0.246</v>
      </c>
    </row>
    <row r="3391" spans="1:17" x14ac:dyDescent="0.2">
      <c r="A3391" s="30" t="str">
        <f>IF(C3391&amp;G3391&amp;D3391&lt;&gt;'Funnel setup'!$K$3&amp;'Funnel setup'!$K$4&amp;'Funnel setup'!$K$5,".",IF(A3390=".",1,A3390+1))</f>
        <v>.</v>
      </c>
      <c r="B3391" s="431" t="str">
        <f t="shared" si="52"/>
        <v>Hip Replacement RevisionProviderSALFORD ROYAL NHS FOUNDATION TRUST (RM3)EQ-5D Index</v>
      </c>
      <c r="C3391" t="s">
        <v>247</v>
      </c>
      <c r="D3391" t="s">
        <v>1</v>
      </c>
      <c r="E3391" t="s">
        <v>3457</v>
      </c>
      <c r="F3391" t="s">
        <v>3458</v>
      </c>
      <c r="G3391" t="s">
        <v>52</v>
      </c>
      <c r="H3391" t="s">
        <v>53</v>
      </c>
      <c r="I3391" t="s">
        <v>53</v>
      </c>
      <c r="J3391" t="s">
        <v>53</v>
      </c>
      <c r="K3391" t="s">
        <v>53</v>
      </c>
      <c r="L3391" t="s">
        <v>53</v>
      </c>
      <c r="M3391" t="s">
        <v>53</v>
      </c>
      <c r="N3391" t="s">
        <v>53</v>
      </c>
      <c r="O3391" t="s">
        <v>53</v>
      </c>
      <c r="P3391" t="s">
        <v>53</v>
      </c>
      <c r="Q3391" t="s">
        <v>53</v>
      </c>
    </row>
    <row r="3392" spans="1:17" x14ac:dyDescent="0.2">
      <c r="A3392" s="30" t="str">
        <f>IF(C3392&amp;G3392&amp;D3392&lt;&gt;'Funnel setup'!$K$3&amp;'Funnel setup'!$K$4&amp;'Funnel setup'!$K$5,".",IF(A3391=".",1,A3391+1))</f>
        <v>.</v>
      </c>
      <c r="B3392" s="431" t="str">
        <f t="shared" si="52"/>
        <v>Hip Replacement RevisionProviderSALISBURY NHS FOUNDATION TRUST (RNZ)EQ-5D Index</v>
      </c>
      <c r="C3392" t="s">
        <v>247</v>
      </c>
      <c r="D3392" t="s">
        <v>1</v>
      </c>
      <c r="E3392" t="s">
        <v>3460</v>
      </c>
      <c r="F3392" t="s">
        <v>3461</v>
      </c>
      <c r="G3392" t="s">
        <v>52</v>
      </c>
      <c r="H3392" t="s">
        <v>53</v>
      </c>
      <c r="I3392" t="s">
        <v>53</v>
      </c>
      <c r="J3392" t="s">
        <v>53</v>
      </c>
      <c r="K3392" t="s">
        <v>53</v>
      </c>
      <c r="L3392" t="s">
        <v>53</v>
      </c>
      <c r="M3392" t="s">
        <v>53</v>
      </c>
      <c r="N3392" t="s">
        <v>53</v>
      </c>
      <c r="O3392" t="s">
        <v>53</v>
      </c>
      <c r="P3392" t="s">
        <v>53</v>
      </c>
      <c r="Q3392" t="s">
        <v>53</v>
      </c>
    </row>
    <row r="3393" spans="1:17" x14ac:dyDescent="0.2">
      <c r="A3393" s="30" t="str">
        <f>IF(C3393&amp;G3393&amp;D3393&lt;&gt;'Funnel setup'!$K$3&amp;'Funnel setup'!$K$4&amp;'Funnel setup'!$K$5,".",IF(A3392=".",1,A3392+1))</f>
        <v>.</v>
      </c>
      <c r="B3393" s="431" t="str">
        <f t="shared" si="52"/>
        <v>Hip Replacement RevisionProviderSANDWELL AND WEST BIRMINGHAM HOSPITALS NHS TRUST (RXK)EQ-5D Index</v>
      </c>
      <c r="C3393" t="s">
        <v>247</v>
      </c>
      <c r="D3393" t="s">
        <v>1</v>
      </c>
      <c r="E3393" t="s">
        <v>3463</v>
      </c>
      <c r="F3393" t="s">
        <v>3464</v>
      </c>
      <c r="G3393" t="s">
        <v>52</v>
      </c>
      <c r="H3393" t="s">
        <v>53</v>
      </c>
      <c r="I3393" t="s">
        <v>53</v>
      </c>
      <c r="J3393" t="s">
        <v>53</v>
      </c>
      <c r="K3393" t="s">
        <v>53</v>
      </c>
      <c r="L3393" t="s">
        <v>53</v>
      </c>
      <c r="M3393" t="s">
        <v>53</v>
      </c>
      <c r="N3393" t="s">
        <v>53</v>
      </c>
      <c r="O3393" t="s">
        <v>53</v>
      </c>
      <c r="P3393" t="s">
        <v>53</v>
      </c>
      <c r="Q3393" t="s">
        <v>53</v>
      </c>
    </row>
    <row r="3394" spans="1:17" x14ac:dyDescent="0.2">
      <c r="A3394" s="30" t="str">
        <f>IF(C3394&amp;G3394&amp;D3394&lt;&gt;'Funnel setup'!$K$3&amp;'Funnel setup'!$K$4&amp;'Funnel setup'!$K$5,".",IF(A3393=".",1,A3393+1))</f>
        <v>.</v>
      </c>
      <c r="B3394" s="431" t="str">
        <f t="shared" si="52"/>
        <v>Hip Replacement RevisionProviderSHEFFIELD TEACHING HOSPITALS NHS FOUNDATION TRUST (RHQ)EQ-5D Index</v>
      </c>
      <c r="C3394" t="s">
        <v>247</v>
      </c>
      <c r="D3394" t="s">
        <v>1</v>
      </c>
      <c r="E3394" t="s">
        <v>3466</v>
      </c>
      <c r="F3394" t="s">
        <v>3467</v>
      </c>
      <c r="G3394" t="s">
        <v>52</v>
      </c>
      <c r="H3394">
        <v>42</v>
      </c>
      <c r="I3394">
        <v>0.252</v>
      </c>
      <c r="J3394">
        <v>0.66200000000000003</v>
      </c>
      <c r="K3394">
        <v>0.40899999999999997</v>
      </c>
      <c r="L3394">
        <v>34</v>
      </c>
      <c r="M3394">
        <v>5</v>
      </c>
      <c r="N3394">
        <v>3</v>
      </c>
      <c r="O3394">
        <v>0.70499999999999996</v>
      </c>
      <c r="P3394">
        <v>0.305783103</v>
      </c>
      <c r="Q3394">
        <v>0.245</v>
      </c>
    </row>
    <row r="3395" spans="1:17" x14ac:dyDescent="0.2">
      <c r="A3395" s="30" t="str">
        <f>IF(C3395&amp;G3395&amp;D3395&lt;&gt;'Funnel setup'!$K$3&amp;'Funnel setup'!$K$4&amp;'Funnel setup'!$K$5,".",IF(A3394=".",1,A3394+1))</f>
        <v>.</v>
      </c>
      <c r="B3395" s="431" t="str">
        <f t="shared" ref="B3395:B3458" si="53">C3395&amp;D3395&amp;F3395&amp;G3395</f>
        <v>Hip Replacement RevisionProviderSHEPTON MALLET NHS TREATMENT CENTRE (NTPH1)EQ-5D Index</v>
      </c>
      <c r="C3395" t="s">
        <v>247</v>
      </c>
      <c r="D3395" t="s">
        <v>1</v>
      </c>
      <c r="E3395" t="s">
        <v>3472</v>
      </c>
      <c r="F3395" t="s">
        <v>3473</v>
      </c>
      <c r="G3395" t="s">
        <v>52</v>
      </c>
      <c r="H3395">
        <v>32</v>
      </c>
      <c r="I3395">
        <v>0.73799999999999999</v>
      </c>
      <c r="J3395">
        <v>0.872</v>
      </c>
      <c r="K3395">
        <v>0.13400000000000001</v>
      </c>
      <c r="L3395">
        <v>12</v>
      </c>
      <c r="M3395">
        <v>15</v>
      </c>
      <c r="N3395">
        <v>5</v>
      </c>
      <c r="O3395">
        <v>0.74199999999999999</v>
      </c>
      <c r="P3395">
        <v>0.34356868299999999</v>
      </c>
      <c r="Q3395">
        <v>0.127</v>
      </c>
    </row>
    <row r="3396" spans="1:17" x14ac:dyDescent="0.2">
      <c r="A3396" s="30" t="str">
        <f>IF(C3396&amp;G3396&amp;D3396&lt;&gt;'Funnel setup'!$K$3&amp;'Funnel setup'!$K$4&amp;'Funnel setup'!$K$5,".",IF(A3395=".",1,A3395+1))</f>
        <v>.</v>
      </c>
      <c r="B3396" s="431" t="str">
        <f t="shared" si="53"/>
        <v>Hip Replacement RevisionProviderSHERWOOD FOREST HOSPITALS NHS FOUNDATION TRUST (RK5)EQ-5D Index</v>
      </c>
      <c r="C3396" t="s">
        <v>247</v>
      </c>
      <c r="D3396" t="s">
        <v>1</v>
      </c>
      <c r="E3396" t="s">
        <v>3475</v>
      </c>
      <c r="F3396" t="s">
        <v>3476</v>
      </c>
      <c r="G3396" t="s">
        <v>52</v>
      </c>
      <c r="H3396" t="s">
        <v>53</v>
      </c>
      <c r="I3396" t="s">
        <v>53</v>
      </c>
      <c r="J3396" t="s">
        <v>53</v>
      </c>
      <c r="K3396" t="s">
        <v>53</v>
      </c>
      <c r="L3396" t="s">
        <v>53</v>
      </c>
      <c r="M3396" t="s">
        <v>53</v>
      </c>
      <c r="N3396" t="s">
        <v>53</v>
      </c>
      <c r="O3396" t="s">
        <v>53</v>
      </c>
      <c r="P3396" t="s">
        <v>53</v>
      </c>
      <c r="Q3396" t="s">
        <v>53</v>
      </c>
    </row>
    <row r="3397" spans="1:17" x14ac:dyDescent="0.2">
      <c r="A3397" s="30" t="str">
        <f>IF(C3397&amp;G3397&amp;D3397&lt;&gt;'Funnel setup'!$K$3&amp;'Funnel setup'!$K$4&amp;'Funnel setup'!$K$5,".",IF(A3396=".",1,A3396+1))</f>
        <v>.</v>
      </c>
      <c r="B3397" s="431" t="str">
        <f t="shared" si="53"/>
        <v>Hip Replacement RevisionProviderSHREWSBURY AND TELFORD HOSPITAL NHS TRUST (RXW)EQ-5D Index</v>
      </c>
      <c r="C3397" t="s">
        <v>247</v>
      </c>
      <c r="D3397" t="s">
        <v>1</v>
      </c>
      <c r="E3397" t="s">
        <v>3478</v>
      </c>
      <c r="F3397" t="s">
        <v>3479</v>
      </c>
      <c r="G3397" t="s">
        <v>52</v>
      </c>
      <c r="H3397">
        <v>13</v>
      </c>
      <c r="I3397">
        <v>0.28399999999999997</v>
      </c>
      <c r="J3397">
        <v>0.64800000000000002</v>
      </c>
      <c r="K3397">
        <v>0.36399999999999999</v>
      </c>
      <c r="L3397">
        <v>10</v>
      </c>
      <c r="M3397">
        <v>0</v>
      </c>
      <c r="N3397">
        <v>3</v>
      </c>
      <c r="O3397" t="s">
        <v>53</v>
      </c>
      <c r="P3397" t="s">
        <v>53</v>
      </c>
      <c r="Q3397" t="s">
        <v>53</v>
      </c>
    </row>
    <row r="3398" spans="1:17" x14ac:dyDescent="0.2">
      <c r="A3398" s="30" t="str">
        <f>IF(C3398&amp;G3398&amp;D3398&lt;&gt;'Funnel setup'!$K$3&amp;'Funnel setup'!$K$4&amp;'Funnel setup'!$K$5,".",IF(A3397=".",1,A3397+1))</f>
        <v>.</v>
      </c>
      <c r="B3398" s="431" t="str">
        <f t="shared" si="53"/>
        <v>Hip Replacement RevisionProviderSOUTH TEES HOSPITALS NHS FOUNDATION TRUST (RTR)EQ-5D Index</v>
      </c>
      <c r="C3398" t="s">
        <v>247</v>
      </c>
      <c r="D3398" t="s">
        <v>1</v>
      </c>
      <c r="E3398" t="s">
        <v>3482</v>
      </c>
      <c r="F3398" t="s">
        <v>3483</v>
      </c>
      <c r="G3398" t="s">
        <v>52</v>
      </c>
      <c r="H3398">
        <v>40</v>
      </c>
      <c r="I3398">
        <v>0.433</v>
      </c>
      <c r="J3398">
        <v>0.64500000000000002</v>
      </c>
      <c r="K3398">
        <v>0.21199999999999999</v>
      </c>
      <c r="L3398">
        <v>24</v>
      </c>
      <c r="M3398">
        <v>10</v>
      </c>
      <c r="N3398">
        <v>6</v>
      </c>
      <c r="O3398">
        <v>0.64600000000000002</v>
      </c>
      <c r="P3398">
        <v>0.247657196</v>
      </c>
      <c r="Q3398">
        <v>0.23200000000000001</v>
      </c>
    </row>
    <row r="3399" spans="1:17" x14ac:dyDescent="0.2">
      <c r="A3399" s="30" t="str">
        <f>IF(C3399&amp;G3399&amp;D3399&lt;&gt;'Funnel setup'!$K$3&amp;'Funnel setup'!$K$4&amp;'Funnel setup'!$K$5,".",IF(A3398=".",1,A3398+1))</f>
        <v>.</v>
      </c>
      <c r="B3399" s="431" t="str">
        <f t="shared" si="53"/>
        <v>Hip Replacement RevisionProviderSOUTH TYNESIDE NHS FOUNDATION TRUST (RE9)EQ-5D Index</v>
      </c>
      <c r="C3399" t="s">
        <v>247</v>
      </c>
      <c r="D3399" t="s">
        <v>1</v>
      </c>
      <c r="E3399" t="s">
        <v>3485</v>
      </c>
      <c r="F3399" t="s">
        <v>3486</v>
      </c>
      <c r="G3399" t="s">
        <v>52</v>
      </c>
      <c r="H3399" t="s">
        <v>53</v>
      </c>
      <c r="I3399" t="s">
        <v>53</v>
      </c>
      <c r="J3399" t="s">
        <v>53</v>
      </c>
      <c r="K3399" t="s">
        <v>53</v>
      </c>
      <c r="L3399" t="s">
        <v>53</v>
      </c>
      <c r="M3399" t="s">
        <v>53</v>
      </c>
      <c r="N3399" t="s">
        <v>53</v>
      </c>
      <c r="O3399" t="s">
        <v>53</v>
      </c>
      <c r="P3399" t="s">
        <v>53</v>
      </c>
      <c r="Q3399" t="s">
        <v>53</v>
      </c>
    </row>
    <row r="3400" spans="1:17" x14ac:dyDescent="0.2">
      <c r="A3400" s="30" t="str">
        <f>IF(C3400&amp;G3400&amp;D3400&lt;&gt;'Funnel setup'!$K$3&amp;'Funnel setup'!$K$4&amp;'Funnel setup'!$K$5,".",IF(A3399=".",1,A3399+1))</f>
        <v>.</v>
      </c>
      <c r="B3400" s="431" t="str">
        <f t="shared" si="53"/>
        <v>Hip Replacement RevisionProviderSOUTH WARWICKSHIRE NHS FOUNDATION TRUST (RJC)EQ-5D Index</v>
      </c>
      <c r="C3400" t="s">
        <v>247</v>
      </c>
      <c r="D3400" t="s">
        <v>1</v>
      </c>
      <c r="E3400" t="s">
        <v>3421</v>
      </c>
      <c r="F3400" t="s">
        <v>3422</v>
      </c>
      <c r="G3400" t="s">
        <v>52</v>
      </c>
      <c r="H3400">
        <v>15</v>
      </c>
      <c r="I3400">
        <v>0.42899999999999999</v>
      </c>
      <c r="J3400">
        <v>0.60499999999999998</v>
      </c>
      <c r="K3400">
        <v>0.17499999999999999</v>
      </c>
      <c r="L3400">
        <v>11</v>
      </c>
      <c r="M3400">
        <v>2</v>
      </c>
      <c r="N3400">
        <v>2</v>
      </c>
      <c r="O3400" t="s">
        <v>53</v>
      </c>
      <c r="P3400" t="s">
        <v>53</v>
      </c>
      <c r="Q3400" t="s">
        <v>53</v>
      </c>
    </row>
    <row r="3401" spans="1:17" x14ac:dyDescent="0.2">
      <c r="A3401" s="30" t="str">
        <f>IF(C3401&amp;G3401&amp;D3401&lt;&gt;'Funnel setup'!$K$3&amp;'Funnel setup'!$K$4&amp;'Funnel setup'!$K$5,".",IF(A3400=".",1,A3400+1))</f>
        <v>.</v>
      </c>
      <c r="B3401" s="431" t="str">
        <f t="shared" si="53"/>
        <v>Hip Replacement RevisionProviderSOUTHAMPTON NHS TREATMENT CENTRE (NTP11)EQ-5D Index</v>
      </c>
      <c r="C3401" t="s">
        <v>247</v>
      </c>
      <c r="D3401" t="s">
        <v>1</v>
      </c>
      <c r="E3401" t="s">
        <v>3424</v>
      </c>
      <c r="F3401" t="s">
        <v>3425</v>
      </c>
      <c r="G3401" t="s">
        <v>52</v>
      </c>
      <c r="H3401" t="s">
        <v>53</v>
      </c>
      <c r="I3401" t="s">
        <v>53</v>
      </c>
      <c r="J3401" t="s">
        <v>53</v>
      </c>
      <c r="K3401" t="s">
        <v>53</v>
      </c>
      <c r="L3401" t="s">
        <v>53</v>
      </c>
      <c r="M3401" t="s">
        <v>53</v>
      </c>
      <c r="N3401" t="s">
        <v>53</v>
      </c>
      <c r="O3401" t="s">
        <v>53</v>
      </c>
      <c r="P3401" t="s">
        <v>53</v>
      </c>
      <c r="Q3401" t="s">
        <v>53</v>
      </c>
    </row>
    <row r="3402" spans="1:17" x14ac:dyDescent="0.2">
      <c r="A3402" s="30" t="str">
        <f>IF(C3402&amp;G3402&amp;D3402&lt;&gt;'Funnel setup'!$K$3&amp;'Funnel setup'!$K$4&amp;'Funnel setup'!$K$5,".",IF(A3401=".",1,A3401+1))</f>
        <v>.</v>
      </c>
      <c r="B3402" s="431" t="str">
        <f t="shared" si="53"/>
        <v>Hip Replacement RevisionProviderSOUTHEND UNIVERSITY HOSPITAL NHS FOUNDATION TRUST (RAJ)EQ-5D Index</v>
      </c>
      <c r="C3402" t="s">
        <v>247</v>
      </c>
      <c r="D3402" t="s">
        <v>1</v>
      </c>
      <c r="E3402" t="s">
        <v>3427</v>
      </c>
      <c r="F3402" t="s">
        <v>3428</v>
      </c>
      <c r="G3402" t="s">
        <v>52</v>
      </c>
      <c r="H3402">
        <v>9</v>
      </c>
      <c r="I3402">
        <v>0.40899999999999997</v>
      </c>
      <c r="J3402">
        <v>0.747</v>
      </c>
      <c r="K3402">
        <v>0.33800000000000002</v>
      </c>
      <c r="L3402">
        <v>6</v>
      </c>
      <c r="M3402">
        <v>2</v>
      </c>
      <c r="N3402">
        <v>1</v>
      </c>
      <c r="O3402" t="s">
        <v>53</v>
      </c>
      <c r="P3402" t="s">
        <v>53</v>
      </c>
      <c r="Q3402" t="s">
        <v>53</v>
      </c>
    </row>
    <row r="3403" spans="1:17" x14ac:dyDescent="0.2">
      <c r="A3403" s="30" t="str">
        <f>IF(C3403&amp;G3403&amp;D3403&lt;&gt;'Funnel setup'!$K$3&amp;'Funnel setup'!$K$4&amp;'Funnel setup'!$K$5,".",IF(A3402=".",1,A3402+1))</f>
        <v>.</v>
      </c>
      <c r="B3403" s="431" t="str">
        <f t="shared" si="53"/>
        <v>Hip Replacement RevisionProviderSOUTHPORT AND ORMSKIRK HOSPITAL NHS TRUST (RVY)EQ-5D Index</v>
      </c>
      <c r="C3403" t="s">
        <v>247</v>
      </c>
      <c r="D3403" t="s">
        <v>1</v>
      </c>
      <c r="E3403" t="s">
        <v>3430</v>
      </c>
      <c r="F3403" t="s">
        <v>3431</v>
      </c>
      <c r="G3403" t="s">
        <v>52</v>
      </c>
      <c r="H3403" t="s">
        <v>53</v>
      </c>
      <c r="I3403" t="s">
        <v>53</v>
      </c>
      <c r="J3403" t="s">
        <v>53</v>
      </c>
      <c r="K3403" t="s">
        <v>53</v>
      </c>
      <c r="L3403" t="s">
        <v>53</v>
      </c>
      <c r="M3403" t="s">
        <v>53</v>
      </c>
      <c r="N3403" t="s">
        <v>53</v>
      </c>
      <c r="O3403" t="s">
        <v>53</v>
      </c>
      <c r="P3403" t="s">
        <v>53</v>
      </c>
      <c r="Q3403" t="s">
        <v>53</v>
      </c>
    </row>
    <row r="3404" spans="1:17" x14ac:dyDescent="0.2">
      <c r="A3404" s="30" t="str">
        <f>IF(C3404&amp;G3404&amp;D3404&lt;&gt;'Funnel setup'!$K$3&amp;'Funnel setup'!$K$4&amp;'Funnel setup'!$K$5,".",IF(A3403=".",1,A3403+1))</f>
        <v>.</v>
      </c>
      <c r="B3404" s="431" t="str">
        <f t="shared" si="53"/>
        <v>Hip Replacement RevisionProviderSPIRE BRISTOL HOSPITAL (NT302)EQ-5D Index</v>
      </c>
      <c r="C3404" t="s">
        <v>247</v>
      </c>
      <c r="D3404" t="s">
        <v>1</v>
      </c>
      <c r="E3404" t="s">
        <v>4381</v>
      </c>
      <c r="F3404" t="s">
        <v>4382</v>
      </c>
      <c r="G3404" t="s">
        <v>52</v>
      </c>
      <c r="H3404" t="s">
        <v>53</v>
      </c>
      <c r="I3404" t="s">
        <v>53</v>
      </c>
      <c r="J3404" t="s">
        <v>53</v>
      </c>
      <c r="K3404" t="s">
        <v>53</v>
      </c>
      <c r="L3404" t="s">
        <v>53</v>
      </c>
      <c r="M3404" t="s">
        <v>53</v>
      </c>
      <c r="N3404" t="s">
        <v>53</v>
      </c>
      <c r="O3404" t="s">
        <v>53</v>
      </c>
      <c r="P3404" t="s">
        <v>53</v>
      </c>
      <c r="Q3404" t="s">
        <v>53</v>
      </c>
    </row>
    <row r="3405" spans="1:17" x14ac:dyDescent="0.2">
      <c r="A3405" s="30" t="str">
        <f>IF(C3405&amp;G3405&amp;D3405&lt;&gt;'Funnel setup'!$K$3&amp;'Funnel setup'!$K$4&amp;'Funnel setup'!$K$5,".",IF(A3404=".",1,A3404+1))</f>
        <v>.</v>
      </c>
      <c r="B3405" s="431" t="str">
        <f t="shared" si="53"/>
        <v>Hip Replacement RevisionProviderSPIRE GATWICK PARK HOSPITAL (NT308)EQ-5D Index</v>
      </c>
      <c r="C3405" t="s">
        <v>247</v>
      </c>
      <c r="D3405" t="s">
        <v>1</v>
      </c>
      <c r="E3405" t="s">
        <v>3409</v>
      </c>
      <c r="F3405" t="s">
        <v>3410</v>
      </c>
      <c r="G3405" t="s">
        <v>52</v>
      </c>
      <c r="H3405" t="s">
        <v>53</v>
      </c>
      <c r="I3405" t="s">
        <v>53</v>
      </c>
      <c r="J3405" t="s">
        <v>53</v>
      </c>
      <c r="K3405" t="s">
        <v>53</v>
      </c>
      <c r="L3405" t="s">
        <v>53</v>
      </c>
      <c r="M3405" t="s">
        <v>53</v>
      </c>
      <c r="N3405" t="s">
        <v>53</v>
      </c>
      <c r="O3405" t="s">
        <v>53</v>
      </c>
      <c r="P3405" t="s">
        <v>53</v>
      </c>
      <c r="Q3405" t="s">
        <v>53</v>
      </c>
    </row>
    <row r="3406" spans="1:17" x14ac:dyDescent="0.2">
      <c r="A3406" s="30" t="str">
        <f>IF(C3406&amp;G3406&amp;D3406&lt;&gt;'Funnel setup'!$K$3&amp;'Funnel setup'!$K$4&amp;'Funnel setup'!$K$5,".",IF(A3405=".",1,A3405+1))</f>
        <v>.</v>
      </c>
      <c r="B3406" s="431" t="str">
        <f t="shared" si="53"/>
        <v>Hip Replacement RevisionProviderSPIRE HARPENDEN HOSPITAL (NT316)EQ-5D Index</v>
      </c>
      <c r="C3406" t="s">
        <v>247</v>
      </c>
      <c r="D3406" t="s">
        <v>1</v>
      </c>
      <c r="E3406" t="s">
        <v>4267</v>
      </c>
      <c r="F3406" t="s">
        <v>4268</v>
      </c>
      <c r="G3406" t="s">
        <v>52</v>
      </c>
      <c r="H3406" t="s">
        <v>53</v>
      </c>
      <c r="I3406" t="s">
        <v>53</v>
      </c>
      <c r="J3406" t="s">
        <v>53</v>
      </c>
      <c r="K3406" t="s">
        <v>53</v>
      </c>
      <c r="L3406" t="s">
        <v>53</v>
      </c>
      <c r="M3406" t="s">
        <v>53</v>
      </c>
      <c r="N3406" t="s">
        <v>53</v>
      </c>
      <c r="O3406" t="s">
        <v>53</v>
      </c>
      <c r="P3406" t="s">
        <v>53</v>
      </c>
      <c r="Q3406" t="s">
        <v>53</v>
      </c>
    </row>
    <row r="3407" spans="1:17" x14ac:dyDescent="0.2">
      <c r="A3407" s="30" t="str">
        <f>IF(C3407&amp;G3407&amp;D3407&lt;&gt;'Funnel setup'!$K$3&amp;'Funnel setup'!$K$4&amp;'Funnel setup'!$K$5,".",IF(A3406=".",1,A3406+1))</f>
        <v>.</v>
      </c>
      <c r="B3407" s="431" t="str">
        <f t="shared" si="53"/>
        <v>Hip Replacement RevisionProviderSPIRE HULL AND EAST RIDING HOSPITAL (NT351)EQ-5D Index</v>
      </c>
      <c r="C3407" t="s">
        <v>247</v>
      </c>
      <c r="D3407" t="s">
        <v>1</v>
      </c>
      <c r="E3407" t="s">
        <v>3213</v>
      </c>
      <c r="F3407" t="s">
        <v>3214</v>
      </c>
      <c r="G3407" t="s">
        <v>52</v>
      </c>
      <c r="H3407" t="s">
        <v>53</v>
      </c>
      <c r="I3407" t="s">
        <v>53</v>
      </c>
      <c r="J3407" t="s">
        <v>53</v>
      </c>
      <c r="K3407" t="s">
        <v>53</v>
      </c>
      <c r="L3407" t="s">
        <v>53</v>
      </c>
      <c r="M3407" t="s">
        <v>53</v>
      </c>
      <c r="N3407" t="s">
        <v>53</v>
      </c>
      <c r="O3407" t="s">
        <v>53</v>
      </c>
      <c r="P3407" t="s">
        <v>53</v>
      </c>
      <c r="Q3407" t="s">
        <v>53</v>
      </c>
    </row>
    <row r="3408" spans="1:17" x14ac:dyDescent="0.2">
      <c r="A3408" s="30" t="str">
        <f>IF(C3408&amp;G3408&amp;D3408&lt;&gt;'Funnel setup'!$K$3&amp;'Funnel setup'!$K$4&amp;'Funnel setup'!$K$5,".",IF(A3407=".",1,A3407+1))</f>
        <v>.</v>
      </c>
      <c r="B3408" s="431" t="str">
        <f t="shared" si="53"/>
        <v>Hip Replacement RevisionProviderSPIRE REGENCY HOSPITAL (NT339)EQ-5D Index</v>
      </c>
      <c r="C3408" t="s">
        <v>247</v>
      </c>
      <c r="D3408" t="s">
        <v>1</v>
      </c>
      <c r="E3408" t="s">
        <v>3171</v>
      </c>
      <c r="F3408" t="s">
        <v>3172</v>
      </c>
      <c r="G3408" t="s">
        <v>52</v>
      </c>
      <c r="H3408" t="s">
        <v>53</v>
      </c>
      <c r="I3408" t="s">
        <v>53</v>
      </c>
      <c r="J3408" t="s">
        <v>53</v>
      </c>
      <c r="K3408" t="s">
        <v>53</v>
      </c>
      <c r="L3408" t="s">
        <v>53</v>
      </c>
      <c r="M3408" t="s">
        <v>53</v>
      </c>
      <c r="N3408" t="s">
        <v>53</v>
      </c>
      <c r="O3408" t="s">
        <v>53</v>
      </c>
      <c r="P3408" t="s">
        <v>53</v>
      </c>
      <c r="Q3408" t="s">
        <v>53</v>
      </c>
    </row>
    <row r="3409" spans="1:17" x14ac:dyDescent="0.2">
      <c r="A3409" s="30" t="str">
        <f>IF(C3409&amp;G3409&amp;D3409&lt;&gt;'Funnel setup'!$K$3&amp;'Funnel setup'!$K$4&amp;'Funnel setup'!$K$5,".",IF(A3408=".",1,A3408+1))</f>
        <v>.</v>
      </c>
      <c r="B3409" s="431" t="str">
        <f t="shared" si="53"/>
        <v>Hip Replacement RevisionProviderSPIRE SUSSEX HOSPITAL (NT309)EQ-5D Index</v>
      </c>
      <c r="C3409" t="s">
        <v>247</v>
      </c>
      <c r="D3409" t="s">
        <v>1</v>
      </c>
      <c r="E3409" t="s">
        <v>3180</v>
      </c>
      <c r="F3409" t="s">
        <v>3181</v>
      </c>
      <c r="G3409" t="s">
        <v>52</v>
      </c>
      <c r="H3409" t="s">
        <v>53</v>
      </c>
      <c r="I3409" t="s">
        <v>53</v>
      </c>
      <c r="J3409" t="s">
        <v>53</v>
      </c>
      <c r="K3409" t="s">
        <v>53</v>
      </c>
      <c r="L3409" t="s">
        <v>53</v>
      </c>
      <c r="M3409" t="s">
        <v>53</v>
      </c>
      <c r="N3409" t="s">
        <v>53</v>
      </c>
      <c r="O3409" t="s">
        <v>53</v>
      </c>
      <c r="P3409" t="s">
        <v>53</v>
      </c>
      <c r="Q3409" t="s">
        <v>53</v>
      </c>
    </row>
    <row r="3410" spans="1:17" x14ac:dyDescent="0.2">
      <c r="A3410" s="30" t="str">
        <f>IF(C3410&amp;G3410&amp;D3410&lt;&gt;'Funnel setup'!$K$3&amp;'Funnel setup'!$K$4&amp;'Funnel setup'!$K$5,".",IF(A3409=".",1,A3409+1))</f>
        <v>.</v>
      </c>
      <c r="B3410" s="431" t="str">
        <f t="shared" si="53"/>
        <v>Hip Replacement RevisionProviderSPIRE WELLESLEY HOSPITAL (NT313)EQ-5D Index</v>
      </c>
      <c r="C3410" t="s">
        <v>247</v>
      </c>
      <c r="D3410" t="s">
        <v>1</v>
      </c>
      <c r="E3410" t="s">
        <v>3192</v>
      </c>
      <c r="F3410" t="s">
        <v>3193</v>
      </c>
      <c r="G3410" t="s">
        <v>52</v>
      </c>
      <c r="H3410" t="s">
        <v>53</v>
      </c>
      <c r="I3410" t="s">
        <v>53</v>
      </c>
      <c r="J3410" t="s">
        <v>53</v>
      </c>
      <c r="K3410" t="s">
        <v>53</v>
      </c>
      <c r="L3410" t="s">
        <v>53</v>
      </c>
      <c r="M3410" t="s">
        <v>53</v>
      </c>
      <c r="N3410" t="s">
        <v>53</v>
      </c>
      <c r="O3410" t="s">
        <v>53</v>
      </c>
      <c r="P3410" t="s">
        <v>53</v>
      </c>
      <c r="Q3410" t="s">
        <v>53</v>
      </c>
    </row>
    <row r="3411" spans="1:17" x14ac:dyDescent="0.2">
      <c r="A3411" s="30" t="str">
        <f>IF(C3411&amp;G3411&amp;D3411&lt;&gt;'Funnel setup'!$K$3&amp;'Funnel setup'!$K$4&amp;'Funnel setup'!$K$5,".",IF(A3410=".",1,A3410+1))</f>
        <v>.</v>
      </c>
      <c r="B3411" s="431" t="str">
        <f t="shared" si="53"/>
        <v>Hip Replacement RevisionProviderSPRINGFIELD HOSPITAL (NVC18)EQ-5D Index</v>
      </c>
      <c r="C3411" t="s">
        <v>247</v>
      </c>
      <c r="D3411" t="s">
        <v>1</v>
      </c>
      <c r="E3411" t="s">
        <v>3195</v>
      </c>
      <c r="F3411" t="s">
        <v>3196</v>
      </c>
      <c r="G3411" t="s">
        <v>52</v>
      </c>
      <c r="H3411" t="s">
        <v>53</v>
      </c>
      <c r="I3411" t="s">
        <v>53</v>
      </c>
      <c r="J3411" t="s">
        <v>53</v>
      </c>
      <c r="K3411" t="s">
        <v>53</v>
      </c>
      <c r="L3411" t="s">
        <v>53</v>
      </c>
      <c r="M3411" t="s">
        <v>53</v>
      </c>
      <c r="N3411" t="s">
        <v>53</v>
      </c>
      <c r="O3411" t="s">
        <v>53</v>
      </c>
      <c r="P3411" t="s">
        <v>53</v>
      </c>
      <c r="Q3411" t="s">
        <v>53</v>
      </c>
    </row>
    <row r="3412" spans="1:17" x14ac:dyDescent="0.2">
      <c r="A3412" s="30" t="str">
        <f>IF(C3412&amp;G3412&amp;D3412&lt;&gt;'Funnel setup'!$K$3&amp;'Funnel setup'!$K$4&amp;'Funnel setup'!$K$5,".",IF(A3411=".",1,A3411+1))</f>
        <v>.</v>
      </c>
      <c r="B3412" s="431" t="str">
        <f t="shared" si="53"/>
        <v>Hip Replacement RevisionProviderST GEORGE'S UNIVERSITY HOSPITALS NHS FOUNDATION TRUST (RJ7)EQ-5D Index</v>
      </c>
      <c r="C3412" t="s">
        <v>247</v>
      </c>
      <c r="D3412" t="s">
        <v>1</v>
      </c>
      <c r="E3412" t="s">
        <v>3124</v>
      </c>
      <c r="F3412" t="s">
        <v>3125</v>
      </c>
      <c r="G3412" t="s">
        <v>52</v>
      </c>
      <c r="H3412" t="s">
        <v>53</v>
      </c>
      <c r="I3412" t="s">
        <v>53</v>
      </c>
      <c r="J3412" t="s">
        <v>53</v>
      </c>
      <c r="K3412" t="s">
        <v>53</v>
      </c>
      <c r="L3412" t="s">
        <v>53</v>
      </c>
      <c r="M3412" t="s">
        <v>53</v>
      </c>
      <c r="N3412" t="s">
        <v>53</v>
      </c>
      <c r="O3412" t="s">
        <v>53</v>
      </c>
      <c r="P3412" t="s">
        <v>53</v>
      </c>
      <c r="Q3412" t="s">
        <v>53</v>
      </c>
    </row>
    <row r="3413" spans="1:17" x14ac:dyDescent="0.2">
      <c r="A3413" s="30" t="str">
        <f>IF(C3413&amp;G3413&amp;D3413&lt;&gt;'Funnel setup'!$K$3&amp;'Funnel setup'!$K$4&amp;'Funnel setup'!$K$5,".",IF(A3412=".",1,A3412+1))</f>
        <v>.</v>
      </c>
      <c r="B3413" s="431" t="str">
        <f t="shared" si="53"/>
        <v>Hip Replacement RevisionProviderST HELENS AND KNOWSLEY HOSPITALS NHS TRUST (RBN)EQ-5D Index</v>
      </c>
      <c r="C3413" t="s">
        <v>247</v>
      </c>
      <c r="D3413" t="s">
        <v>1</v>
      </c>
      <c r="E3413" t="s">
        <v>3127</v>
      </c>
      <c r="F3413" t="s">
        <v>3128</v>
      </c>
      <c r="G3413" t="s">
        <v>52</v>
      </c>
      <c r="H3413">
        <v>13</v>
      </c>
      <c r="I3413">
        <v>0.39900000000000002</v>
      </c>
      <c r="J3413">
        <v>0.44600000000000001</v>
      </c>
      <c r="K3413">
        <v>4.7E-2</v>
      </c>
      <c r="L3413">
        <v>8</v>
      </c>
      <c r="M3413">
        <v>1</v>
      </c>
      <c r="N3413">
        <v>4</v>
      </c>
      <c r="O3413" t="s">
        <v>53</v>
      </c>
      <c r="P3413" t="s">
        <v>53</v>
      </c>
      <c r="Q3413" t="s">
        <v>53</v>
      </c>
    </row>
    <row r="3414" spans="1:17" x14ac:dyDescent="0.2">
      <c r="A3414" s="30" t="str">
        <f>IF(C3414&amp;G3414&amp;D3414&lt;&gt;'Funnel setup'!$K$3&amp;'Funnel setup'!$K$4&amp;'Funnel setup'!$K$5,".",IF(A3413=".",1,A3413+1))</f>
        <v>.</v>
      </c>
      <c r="B3414" s="431" t="str">
        <f t="shared" si="53"/>
        <v>Hip Replacement RevisionProviderSTOCKPORT NHS FOUNDATION TRUST (RWJ)EQ-5D Index</v>
      </c>
      <c r="C3414" t="s">
        <v>247</v>
      </c>
      <c r="D3414" t="s">
        <v>1</v>
      </c>
      <c r="E3414" t="s">
        <v>3142</v>
      </c>
      <c r="F3414" t="s">
        <v>3143</v>
      </c>
      <c r="G3414" t="s">
        <v>52</v>
      </c>
      <c r="H3414" t="s">
        <v>53</v>
      </c>
      <c r="I3414" t="s">
        <v>53</v>
      </c>
      <c r="J3414" t="s">
        <v>53</v>
      </c>
      <c r="K3414" t="s">
        <v>53</v>
      </c>
      <c r="L3414" t="s">
        <v>53</v>
      </c>
      <c r="M3414" t="s">
        <v>53</v>
      </c>
      <c r="N3414" t="s">
        <v>53</v>
      </c>
      <c r="O3414" t="s">
        <v>53</v>
      </c>
      <c r="P3414" t="s">
        <v>53</v>
      </c>
      <c r="Q3414" t="s">
        <v>53</v>
      </c>
    </row>
    <row r="3415" spans="1:17" x14ac:dyDescent="0.2">
      <c r="A3415" s="30" t="str">
        <f>IF(C3415&amp;G3415&amp;D3415&lt;&gt;'Funnel setup'!$K$3&amp;'Funnel setup'!$K$4&amp;'Funnel setup'!$K$5,".",IF(A3414=".",1,A3414+1))</f>
        <v>.</v>
      </c>
      <c r="B3415" s="431" t="str">
        <f t="shared" si="53"/>
        <v>Hip Replacement RevisionProviderTAUNTON AND SOMERSET NHS FOUNDATION TRUST (RBA)EQ-5D Index</v>
      </c>
      <c r="C3415" t="s">
        <v>247</v>
      </c>
      <c r="D3415" t="s">
        <v>1</v>
      </c>
      <c r="E3415" t="s">
        <v>3151</v>
      </c>
      <c r="F3415" t="s">
        <v>3152</v>
      </c>
      <c r="G3415" t="s">
        <v>52</v>
      </c>
      <c r="H3415">
        <v>9</v>
      </c>
      <c r="I3415">
        <v>0.378</v>
      </c>
      <c r="J3415">
        <v>0.746</v>
      </c>
      <c r="K3415">
        <v>0.36799999999999999</v>
      </c>
      <c r="L3415">
        <v>7</v>
      </c>
      <c r="M3415">
        <v>1</v>
      </c>
      <c r="N3415">
        <v>1</v>
      </c>
      <c r="O3415" t="s">
        <v>53</v>
      </c>
      <c r="P3415" t="s">
        <v>53</v>
      </c>
      <c r="Q3415" t="s">
        <v>53</v>
      </c>
    </row>
    <row r="3416" spans="1:17" x14ac:dyDescent="0.2">
      <c r="A3416" s="30" t="str">
        <f>IF(C3416&amp;G3416&amp;D3416&lt;&gt;'Funnel setup'!$K$3&amp;'Funnel setup'!$K$4&amp;'Funnel setup'!$K$5,".",IF(A3415=".",1,A3415+1))</f>
        <v>.</v>
      </c>
      <c r="B3416" s="431" t="str">
        <f t="shared" si="53"/>
        <v>Hip Replacement RevisionProviderTHE BERKSHIRE INDEPENDENT HOSPITAL (NVC02)EQ-5D Index</v>
      </c>
      <c r="C3416" t="s">
        <v>247</v>
      </c>
      <c r="D3416" t="s">
        <v>1</v>
      </c>
      <c r="E3416" t="s">
        <v>3118</v>
      </c>
      <c r="F3416" t="s">
        <v>3119</v>
      </c>
      <c r="G3416" t="s">
        <v>52</v>
      </c>
      <c r="H3416" t="s">
        <v>53</v>
      </c>
      <c r="I3416" t="s">
        <v>53</v>
      </c>
      <c r="J3416" t="s">
        <v>53</v>
      </c>
      <c r="K3416" t="s">
        <v>53</v>
      </c>
      <c r="L3416" t="s">
        <v>53</v>
      </c>
      <c r="M3416" t="s">
        <v>53</v>
      </c>
      <c r="N3416" t="s">
        <v>53</v>
      </c>
      <c r="O3416" t="s">
        <v>53</v>
      </c>
      <c r="P3416" t="s">
        <v>53</v>
      </c>
      <c r="Q3416" t="s">
        <v>53</v>
      </c>
    </row>
    <row r="3417" spans="1:17" x14ac:dyDescent="0.2">
      <c r="A3417" s="30" t="str">
        <f>IF(C3417&amp;G3417&amp;D3417&lt;&gt;'Funnel setup'!$K$3&amp;'Funnel setup'!$K$4&amp;'Funnel setup'!$K$5,".",IF(A3416=".",1,A3416+1))</f>
        <v>.</v>
      </c>
      <c r="B3417" s="431" t="str">
        <f t="shared" si="53"/>
        <v>Hip Replacement RevisionProviderTHE HILLINGDON HOSPITALS NHS FOUNDATION TRUST (RAS)EQ-5D Index</v>
      </c>
      <c r="C3417" t="s">
        <v>247</v>
      </c>
      <c r="D3417" t="s">
        <v>1</v>
      </c>
      <c r="E3417" t="s">
        <v>3115</v>
      </c>
      <c r="F3417" t="s">
        <v>3116</v>
      </c>
      <c r="G3417" t="s">
        <v>52</v>
      </c>
      <c r="H3417">
        <v>6</v>
      </c>
      <c r="I3417">
        <v>0.32</v>
      </c>
      <c r="J3417">
        <v>0.79900000000000004</v>
      </c>
      <c r="K3417">
        <v>0.47899999999999998</v>
      </c>
      <c r="L3417">
        <v>5</v>
      </c>
      <c r="M3417">
        <v>0</v>
      </c>
      <c r="N3417">
        <v>1</v>
      </c>
      <c r="O3417" t="s">
        <v>53</v>
      </c>
      <c r="P3417" t="s">
        <v>53</v>
      </c>
      <c r="Q3417" t="s">
        <v>53</v>
      </c>
    </row>
    <row r="3418" spans="1:17" x14ac:dyDescent="0.2">
      <c r="A3418" s="30" t="str">
        <f>IF(C3418&amp;G3418&amp;D3418&lt;&gt;'Funnel setup'!$K$3&amp;'Funnel setup'!$K$4&amp;'Funnel setup'!$K$5,".",IF(A3417=".",1,A3417+1))</f>
        <v>.</v>
      </c>
      <c r="B3418" s="431" t="str">
        <f t="shared" si="53"/>
        <v>Hip Replacement RevisionProviderTHE HORDER CENTRE - ST JOHNS ROAD (NXM01)EQ-5D Index</v>
      </c>
      <c r="C3418" t="s">
        <v>247</v>
      </c>
      <c r="D3418" t="s">
        <v>1</v>
      </c>
      <c r="E3418" t="s">
        <v>4222</v>
      </c>
      <c r="F3418" t="s">
        <v>4223</v>
      </c>
      <c r="G3418" t="s">
        <v>52</v>
      </c>
      <c r="H3418">
        <v>39</v>
      </c>
      <c r="I3418">
        <v>0.497</v>
      </c>
      <c r="J3418">
        <v>0.71099999999999997</v>
      </c>
      <c r="K3418">
        <v>0.214</v>
      </c>
      <c r="L3418">
        <v>28</v>
      </c>
      <c r="M3418">
        <v>4</v>
      </c>
      <c r="N3418">
        <v>7</v>
      </c>
      <c r="O3418">
        <v>0.66300000000000003</v>
      </c>
      <c r="P3418">
        <v>0.26451189200000003</v>
      </c>
      <c r="Q3418">
        <v>0.29199999999999998</v>
      </c>
    </row>
    <row r="3419" spans="1:17" x14ac:dyDescent="0.2">
      <c r="A3419" s="30" t="str">
        <f>IF(C3419&amp;G3419&amp;D3419&lt;&gt;'Funnel setup'!$K$3&amp;'Funnel setup'!$K$4&amp;'Funnel setup'!$K$5,".",IF(A3418=".",1,A3418+1))</f>
        <v>.</v>
      </c>
      <c r="B3419" s="431" t="str">
        <f t="shared" si="53"/>
        <v>Hip Replacement RevisionProviderTHE NEWCASTLE UPON TYNE HOSPITALS NHS FOUNDATION TRUST (RTD)EQ-5D Index</v>
      </c>
      <c r="C3419" t="s">
        <v>247</v>
      </c>
      <c r="D3419" t="s">
        <v>1</v>
      </c>
      <c r="E3419" t="s">
        <v>3748</v>
      </c>
      <c r="F3419" t="s">
        <v>3749</v>
      </c>
      <c r="G3419" t="s">
        <v>52</v>
      </c>
      <c r="H3419">
        <v>20</v>
      </c>
      <c r="I3419">
        <v>0.439</v>
      </c>
      <c r="J3419">
        <v>0.65300000000000002</v>
      </c>
      <c r="K3419">
        <v>0.214</v>
      </c>
      <c r="L3419">
        <v>13</v>
      </c>
      <c r="M3419">
        <v>2</v>
      </c>
      <c r="N3419">
        <v>5</v>
      </c>
      <c r="O3419" t="s">
        <v>53</v>
      </c>
      <c r="P3419" t="s">
        <v>53</v>
      </c>
      <c r="Q3419" t="s">
        <v>53</v>
      </c>
    </row>
    <row r="3420" spans="1:17" x14ac:dyDescent="0.2">
      <c r="A3420" s="30" t="str">
        <f>IF(C3420&amp;G3420&amp;D3420&lt;&gt;'Funnel setup'!$K$3&amp;'Funnel setup'!$K$4&amp;'Funnel setup'!$K$5,".",IF(A3419=".",1,A3419+1))</f>
        <v>.</v>
      </c>
      <c r="B3420" s="431" t="str">
        <f t="shared" si="53"/>
        <v>Hip Replacement RevisionProviderTHE PRINCESS ALEXANDRA HOSPITAL NHS TRUST (RQW)EQ-5D Index</v>
      </c>
      <c r="C3420" t="s">
        <v>247</v>
      </c>
      <c r="D3420" t="s">
        <v>1</v>
      </c>
      <c r="E3420" t="s">
        <v>3751</v>
      </c>
      <c r="F3420" t="s">
        <v>3752</v>
      </c>
      <c r="G3420" t="s">
        <v>52</v>
      </c>
      <c r="H3420">
        <v>8</v>
      </c>
      <c r="I3420">
        <v>0.214</v>
      </c>
      <c r="J3420">
        <v>0.41599999999999998</v>
      </c>
      <c r="K3420">
        <v>0.20200000000000001</v>
      </c>
      <c r="L3420">
        <v>5</v>
      </c>
      <c r="M3420">
        <v>0</v>
      </c>
      <c r="N3420">
        <v>3</v>
      </c>
      <c r="O3420" t="s">
        <v>53</v>
      </c>
      <c r="P3420" t="s">
        <v>53</v>
      </c>
      <c r="Q3420" t="s">
        <v>53</v>
      </c>
    </row>
    <row r="3421" spans="1:17" x14ac:dyDescent="0.2">
      <c r="A3421" s="30" t="str">
        <f>IF(C3421&amp;G3421&amp;D3421&lt;&gt;'Funnel setup'!$K$3&amp;'Funnel setup'!$K$4&amp;'Funnel setup'!$K$5,".",IF(A3420=".",1,A3420+1))</f>
        <v>.</v>
      </c>
      <c r="B3421" s="431" t="str">
        <f t="shared" si="53"/>
        <v>Hip Replacement RevisionProviderTHE QUEEN ELIZABETH HOSPITAL, KING'S LYNN, NHS FOUNDATION TRUST (RCX)EQ-5D Index</v>
      </c>
      <c r="C3421" t="s">
        <v>247</v>
      </c>
      <c r="D3421" t="s">
        <v>1</v>
      </c>
      <c r="E3421" t="s">
        <v>3754</v>
      </c>
      <c r="F3421" t="s">
        <v>3755</v>
      </c>
      <c r="G3421" t="s">
        <v>52</v>
      </c>
      <c r="H3421">
        <v>8</v>
      </c>
      <c r="I3421">
        <v>0.39600000000000002</v>
      </c>
      <c r="J3421">
        <v>0.81599999999999995</v>
      </c>
      <c r="K3421">
        <v>0.42</v>
      </c>
      <c r="L3421">
        <v>8</v>
      </c>
      <c r="M3421">
        <v>0</v>
      </c>
      <c r="N3421">
        <v>0</v>
      </c>
      <c r="O3421" t="s">
        <v>53</v>
      </c>
      <c r="P3421" t="s">
        <v>53</v>
      </c>
      <c r="Q3421" t="s">
        <v>53</v>
      </c>
    </row>
    <row r="3422" spans="1:17" x14ac:dyDescent="0.2">
      <c r="A3422" s="30" t="str">
        <f>IF(C3422&amp;G3422&amp;D3422&lt;&gt;'Funnel setup'!$K$3&amp;'Funnel setup'!$K$4&amp;'Funnel setup'!$K$5,".",IF(A3421=".",1,A3421+1))</f>
        <v>.</v>
      </c>
      <c r="B3422" s="431" t="str">
        <f t="shared" si="53"/>
        <v>Hip Replacement RevisionProviderTHE ROBERT JONES AND AGNES HUNT ORTHOPAEDIC HOSPITAL NHS FOUNDATION TRUST (RL1)EQ-5D Index</v>
      </c>
      <c r="C3422" t="s">
        <v>247</v>
      </c>
      <c r="D3422" t="s">
        <v>1</v>
      </c>
      <c r="E3422" t="s">
        <v>4496</v>
      </c>
      <c r="F3422" t="s">
        <v>4497</v>
      </c>
      <c r="G3422" t="s">
        <v>52</v>
      </c>
      <c r="H3422">
        <v>55</v>
      </c>
      <c r="I3422">
        <v>0.34599999999999997</v>
      </c>
      <c r="J3422">
        <v>0.69399999999999995</v>
      </c>
      <c r="K3422">
        <v>0.34799999999999998</v>
      </c>
      <c r="L3422">
        <v>44</v>
      </c>
      <c r="M3422">
        <v>4</v>
      </c>
      <c r="N3422">
        <v>7</v>
      </c>
      <c r="O3422">
        <v>0.63200000000000001</v>
      </c>
      <c r="P3422">
        <v>0.23294777799999999</v>
      </c>
      <c r="Q3422">
        <v>0.246</v>
      </c>
    </row>
    <row r="3423" spans="1:17" x14ac:dyDescent="0.2">
      <c r="A3423" s="30" t="str">
        <f>IF(C3423&amp;G3423&amp;D3423&lt;&gt;'Funnel setup'!$K$3&amp;'Funnel setup'!$K$4&amp;'Funnel setup'!$K$5,".",IF(A3422=".",1,A3422+1))</f>
        <v>.</v>
      </c>
      <c r="B3423" s="431" t="str">
        <f t="shared" si="53"/>
        <v>Hip Replacement RevisionProviderTHE ROTHERHAM NHS FOUNDATION TRUST (RFR)EQ-5D Index</v>
      </c>
      <c r="C3423" t="s">
        <v>247</v>
      </c>
      <c r="D3423" t="s">
        <v>1</v>
      </c>
      <c r="E3423" t="s">
        <v>3739</v>
      </c>
      <c r="F3423" t="s">
        <v>3740</v>
      </c>
      <c r="G3423" t="s">
        <v>52</v>
      </c>
      <c r="H3423">
        <v>15</v>
      </c>
      <c r="I3423">
        <v>0.39900000000000002</v>
      </c>
      <c r="J3423">
        <v>0.77</v>
      </c>
      <c r="K3423">
        <v>0.372</v>
      </c>
      <c r="L3423">
        <v>10</v>
      </c>
      <c r="M3423">
        <v>3</v>
      </c>
      <c r="N3423">
        <v>2</v>
      </c>
      <c r="O3423" t="s">
        <v>53</v>
      </c>
      <c r="P3423" t="s">
        <v>53</v>
      </c>
      <c r="Q3423" t="s">
        <v>53</v>
      </c>
    </row>
    <row r="3424" spans="1:17" x14ac:dyDescent="0.2">
      <c r="A3424" s="30" t="str">
        <f>IF(C3424&amp;G3424&amp;D3424&lt;&gt;'Funnel setup'!$K$3&amp;'Funnel setup'!$K$4&amp;'Funnel setup'!$K$5,".",IF(A3423=".",1,A3423+1))</f>
        <v>.</v>
      </c>
      <c r="B3424" s="431" t="str">
        <f t="shared" si="53"/>
        <v>Hip Replacement RevisionProviderTHE ROYAL BOURNEMOUTH AND CHRISTCHURCH HOSPITALS NHS FOUNDATION TRUST (RDZ)EQ-5D Index</v>
      </c>
      <c r="C3424" t="s">
        <v>247</v>
      </c>
      <c r="D3424" t="s">
        <v>1</v>
      </c>
      <c r="E3424" t="s">
        <v>3742</v>
      </c>
      <c r="F3424" t="s">
        <v>3743</v>
      </c>
      <c r="G3424" t="s">
        <v>52</v>
      </c>
      <c r="H3424" t="s">
        <v>53</v>
      </c>
      <c r="I3424" t="s">
        <v>53</v>
      </c>
      <c r="J3424" t="s">
        <v>53</v>
      </c>
      <c r="K3424" t="s">
        <v>53</v>
      </c>
      <c r="L3424" t="s">
        <v>53</v>
      </c>
      <c r="M3424" t="s">
        <v>53</v>
      </c>
      <c r="N3424" t="s">
        <v>53</v>
      </c>
      <c r="O3424" t="s">
        <v>53</v>
      </c>
      <c r="P3424" t="s">
        <v>53</v>
      </c>
      <c r="Q3424" t="s">
        <v>53</v>
      </c>
    </row>
    <row r="3425" spans="1:17" x14ac:dyDescent="0.2">
      <c r="A3425" s="30" t="str">
        <f>IF(C3425&amp;G3425&amp;D3425&lt;&gt;'Funnel setup'!$K$3&amp;'Funnel setup'!$K$4&amp;'Funnel setup'!$K$5,".",IF(A3424=".",1,A3424+1))</f>
        <v>.</v>
      </c>
      <c r="B3425" s="431" t="str">
        <f t="shared" si="53"/>
        <v>Hip Replacement RevisionProviderTHE ROYAL ORTHOPAEDIC HOSPITAL NHS FOUNDATION TRUST (RRJ)EQ-5D Index</v>
      </c>
      <c r="C3425" t="s">
        <v>247</v>
      </c>
      <c r="D3425" t="s">
        <v>1</v>
      </c>
      <c r="E3425" t="s">
        <v>4480</v>
      </c>
      <c r="F3425" t="s">
        <v>4481</v>
      </c>
      <c r="G3425" t="s">
        <v>52</v>
      </c>
      <c r="H3425">
        <v>62</v>
      </c>
      <c r="I3425">
        <v>0.42499999999999999</v>
      </c>
      <c r="J3425">
        <v>0.71499999999999997</v>
      </c>
      <c r="K3425">
        <v>0.28999999999999998</v>
      </c>
      <c r="L3425">
        <v>46</v>
      </c>
      <c r="M3425">
        <v>5</v>
      </c>
      <c r="N3425">
        <v>11</v>
      </c>
      <c r="O3425">
        <v>0.72199999999999998</v>
      </c>
      <c r="P3425">
        <v>0.32347778500000002</v>
      </c>
      <c r="Q3425">
        <v>0.20499999999999999</v>
      </c>
    </row>
    <row r="3426" spans="1:17" x14ac:dyDescent="0.2">
      <c r="A3426" s="30" t="str">
        <f>IF(C3426&amp;G3426&amp;D3426&lt;&gt;'Funnel setup'!$K$3&amp;'Funnel setup'!$K$4&amp;'Funnel setup'!$K$5,".",IF(A3425=".",1,A3425+1))</f>
        <v>.</v>
      </c>
      <c r="B3426" s="431" t="str">
        <f t="shared" si="53"/>
        <v>Hip Replacement RevisionProviderTHE ROYAL WOLVERHAMPTON NHS TRUST (RL4)EQ-5D Index</v>
      </c>
      <c r="C3426" t="s">
        <v>247</v>
      </c>
      <c r="D3426" t="s">
        <v>1</v>
      </c>
      <c r="E3426" t="s">
        <v>3382</v>
      </c>
      <c r="F3426" t="s">
        <v>3383</v>
      </c>
      <c r="G3426" t="s">
        <v>52</v>
      </c>
      <c r="H3426">
        <v>11</v>
      </c>
      <c r="I3426">
        <v>0.45100000000000001</v>
      </c>
      <c r="J3426">
        <v>0.71499999999999997</v>
      </c>
      <c r="K3426">
        <v>0.26400000000000001</v>
      </c>
      <c r="L3426">
        <v>10</v>
      </c>
      <c r="M3426">
        <v>0</v>
      </c>
      <c r="N3426">
        <v>1</v>
      </c>
      <c r="O3426" t="s">
        <v>53</v>
      </c>
      <c r="P3426" t="s">
        <v>53</v>
      </c>
      <c r="Q3426" t="s">
        <v>53</v>
      </c>
    </row>
    <row r="3427" spans="1:17" x14ac:dyDescent="0.2">
      <c r="A3427" s="30" t="str">
        <f>IF(C3427&amp;G3427&amp;D3427&lt;&gt;'Funnel setup'!$K$3&amp;'Funnel setup'!$K$4&amp;'Funnel setup'!$K$5,".",IF(A3426=".",1,A3426+1))</f>
        <v>.</v>
      </c>
      <c r="B3427" s="431" t="str">
        <f t="shared" si="53"/>
        <v>Hip Replacement RevisionProviderTHE YORKSHIRE CLINIC (NVC20)EQ-5D Index</v>
      </c>
      <c r="C3427" t="s">
        <v>247</v>
      </c>
      <c r="D3427" t="s">
        <v>1</v>
      </c>
      <c r="E3427" t="s">
        <v>3760</v>
      </c>
      <c r="F3427" t="s">
        <v>3761</v>
      </c>
      <c r="G3427" t="s">
        <v>52</v>
      </c>
      <c r="H3427" t="s">
        <v>53</v>
      </c>
      <c r="I3427" t="s">
        <v>53</v>
      </c>
      <c r="J3427" t="s">
        <v>53</v>
      </c>
      <c r="K3427" t="s">
        <v>53</v>
      </c>
      <c r="L3427" t="s">
        <v>53</v>
      </c>
      <c r="M3427" t="s">
        <v>53</v>
      </c>
      <c r="N3427" t="s">
        <v>53</v>
      </c>
      <c r="O3427" t="s">
        <v>53</v>
      </c>
      <c r="P3427" t="s">
        <v>53</v>
      </c>
      <c r="Q3427" t="s">
        <v>53</v>
      </c>
    </row>
    <row r="3428" spans="1:17" x14ac:dyDescent="0.2">
      <c r="A3428" s="30" t="str">
        <f>IF(C3428&amp;G3428&amp;D3428&lt;&gt;'Funnel setup'!$K$3&amp;'Funnel setup'!$K$4&amp;'Funnel setup'!$K$5,".",IF(A3427=".",1,A3427+1))</f>
        <v>.</v>
      </c>
      <c r="B3428" s="431" t="str">
        <f t="shared" si="53"/>
        <v>Hip Replacement RevisionProviderTORBAY AND SOUTH DEVON NHS FOUNDATION TRUST (RA9)EQ-5D Index</v>
      </c>
      <c r="C3428" t="s">
        <v>247</v>
      </c>
      <c r="D3428" t="s">
        <v>1</v>
      </c>
      <c r="E3428" t="s">
        <v>3480</v>
      </c>
      <c r="F3428" t="s">
        <v>6584</v>
      </c>
      <c r="G3428" t="s">
        <v>52</v>
      </c>
      <c r="H3428">
        <v>23</v>
      </c>
      <c r="I3428">
        <v>0.47599999999999998</v>
      </c>
      <c r="J3428">
        <v>0.65500000000000003</v>
      </c>
      <c r="K3428">
        <v>0.17899999999999999</v>
      </c>
      <c r="L3428">
        <v>13</v>
      </c>
      <c r="M3428">
        <v>7</v>
      </c>
      <c r="N3428">
        <v>3</v>
      </c>
      <c r="O3428" t="s">
        <v>53</v>
      </c>
      <c r="P3428" t="s">
        <v>53</v>
      </c>
      <c r="Q3428" t="s">
        <v>53</v>
      </c>
    </row>
    <row r="3429" spans="1:17" x14ac:dyDescent="0.2">
      <c r="A3429" s="30" t="str">
        <f>IF(C3429&amp;G3429&amp;D3429&lt;&gt;'Funnel setup'!$K$3&amp;'Funnel setup'!$K$4&amp;'Funnel setup'!$K$5,".",IF(A3428=".",1,A3428+1))</f>
        <v>.</v>
      </c>
      <c r="B3429" s="431" t="str">
        <f t="shared" si="53"/>
        <v>Hip Replacement RevisionProviderUNITED LINCOLNSHIRE HOSPITALS NHS TRUST (RWD)EQ-5D Index</v>
      </c>
      <c r="C3429" t="s">
        <v>247</v>
      </c>
      <c r="D3429" t="s">
        <v>1</v>
      </c>
      <c r="E3429" t="s">
        <v>3763</v>
      </c>
      <c r="F3429" t="s">
        <v>3764</v>
      </c>
      <c r="G3429" t="s">
        <v>52</v>
      </c>
      <c r="H3429">
        <v>18</v>
      </c>
      <c r="I3429">
        <v>0.44400000000000001</v>
      </c>
      <c r="J3429">
        <v>0.65200000000000002</v>
      </c>
      <c r="K3429">
        <v>0.20799999999999999</v>
      </c>
      <c r="L3429">
        <v>11</v>
      </c>
      <c r="M3429">
        <v>2</v>
      </c>
      <c r="N3429">
        <v>5</v>
      </c>
      <c r="O3429" t="s">
        <v>53</v>
      </c>
      <c r="P3429" t="s">
        <v>53</v>
      </c>
      <c r="Q3429" t="s">
        <v>53</v>
      </c>
    </row>
    <row r="3430" spans="1:17" x14ac:dyDescent="0.2">
      <c r="A3430" s="30" t="str">
        <f>IF(C3430&amp;G3430&amp;D3430&lt;&gt;'Funnel setup'!$K$3&amp;'Funnel setup'!$K$4&amp;'Funnel setup'!$K$5,".",IF(A3429=".",1,A3429+1))</f>
        <v>.</v>
      </c>
      <c r="B3430" s="431" t="str">
        <f t="shared" si="53"/>
        <v>Hip Replacement RevisionProviderUNIVERSITY COLLEGE LONDON HOSPITALS NHS FOUNDATION TRUST (RRV)EQ-5D Index</v>
      </c>
      <c r="C3430" t="s">
        <v>247</v>
      </c>
      <c r="D3430" t="s">
        <v>1</v>
      </c>
      <c r="E3430" t="s">
        <v>3766</v>
      </c>
      <c r="F3430" t="s">
        <v>3767</v>
      </c>
      <c r="G3430" t="s">
        <v>52</v>
      </c>
      <c r="H3430">
        <v>7</v>
      </c>
      <c r="I3430">
        <v>0.60299999999999998</v>
      </c>
      <c r="J3430">
        <v>0.80400000000000005</v>
      </c>
      <c r="K3430">
        <v>0.20100000000000001</v>
      </c>
      <c r="L3430">
        <v>4</v>
      </c>
      <c r="M3430">
        <v>1</v>
      </c>
      <c r="N3430">
        <v>2</v>
      </c>
      <c r="O3430" t="s">
        <v>53</v>
      </c>
      <c r="P3430" t="s">
        <v>53</v>
      </c>
      <c r="Q3430" t="s">
        <v>53</v>
      </c>
    </row>
    <row r="3431" spans="1:17" x14ac:dyDescent="0.2">
      <c r="A3431" s="30" t="str">
        <f>IF(C3431&amp;G3431&amp;D3431&lt;&gt;'Funnel setup'!$K$3&amp;'Funnel setup'!$K$4&amp;'Funnel setup'!$K$5,".",IF(A3430=".",1,A3430+1))</f>
        <v>.</v>
      </c>
      <c r="B3431" s="431" t="str">
        <f t="shared" si="53"/>
        <v>Hip Replacement RevisionProviderUNIVERSITY HOSPITAL OF SOUTH MANCHESTER NHS FOUNDATION TRUST (RM2)EQ-5D Index</v>
      </c>
      <c r="C3431" t="s">
        <v>247</v>
      </c>
      <c r="D3431" t="s">
        <v>1</v>
      </c>
      <c r="E3431" t="s">
        <v>3769</v>
      </c>
      <c r="F3431" t="s">
        <v>3770</v>
      </c>
      <c r="G3431" t="s">
        <v>52</v>
      </c>
      <c r="H3431" t="s">
        <v>53</v>
      </c>
      <c r="I3431" t="s">
        <v>53</v>
      </c>
      <c r="J3431" t="s">
        <v>53</v>
      </c>
      <c r="K3431" t="s">
        <v>53</v>
      </c>
      <c r="L3431" t="s">
        <v>53</v>
      </c>
      <c r="M3431" t="s">
        <v>53</v>
      </c>
      <c r="N3431" t="s">
        <v>53</v>
      </c>
      <c r="O3431" t="s">
        <v>53</v>
      </c>
      <c r="P3431" t="s">
        <v>53</v>
      </c>
      <c r="Q3431" t="s">
        <v>53</v>
      </c>
    </row>
    <row r="3432" spans="1:17" x14ac:dyDescent="0.2">
      <c r="A3432" s="30" t="str">
        <f>IF(C3432&amp;G3432&amp;D3432&lt;&gt;'Funnel setup'!$K$3&amp;'Funnel setup'!$K$4&amp;'Funnel setup'!$K$5,".",IF(A3431=".",1,A3431+1))</f>
        <v>.</v>
      </c>
      <c r="B3432" s="431" t="str">
        <f t="shared" si="53"/>
        <v>Hip Replacement RevisionProviderUNIVERSITY HOSPITAL SOUTHAMPTON NHS FOUNDATION TRUST (RHM)EQ-5D Index</v>
      </c>
      <c r="C3432" t="s">
        <v>247</v>
      </c>
      <c r="D3432" t="s">
        <v>1</v>
      </c>
      <c r="E3432" t="s">
        <v>3772</v>
      </c>
      <c r="F3432" t="s">
        <v>3773</v>
      </c>
      <c r="G3432" t="s">
        <v>52</v>
      </c>
      <c r="H3432">
        <v>28</v>
      </c>
      <c r="I3432">
        <v>0.44600000000000001</v>
      </c>
      <c r="J3432">
        <v>0.752</v>
      </c>
      <c r="K3432">
        <v>0.30599999999999999</v>
      </c>
      <c r="L3432">
        <v>22</v>
      </c>
      <c r="M3432">
        <v>2</v>
      </c>
      <c r="N3432">
        <v>4</v>
      </c>
      <c r="O3432" t="s">
        <v>53</v>
      </c>
      <c r="P3432" t="s">
        <v>53</v>
      </c>
      <c r="Q3432" t="s">
        <v>53</v>
      </c>
    </row>
    <row r="3433" spans="1:17" x14ac:dyDescent="0.2">
      <c r="A3433" s="30" t="str">
        <f>IF(C3433&amp;G3433&amp;D3433&lt;&gt;'Funnel setup'!$K$3&amp;'Funnel setup'!$K$4&amp;'Funnel setup'!$K$5,".",IF(A3432=".",1,A3432+1))</f>
        <v>.</v>
      </c>
      <c r="B3433" s="431" t="str">
        <f t="shared" si="53"/>
        <v>Hip Replacement RevisionProviderUNIVERSITY HOSPITALS COVENTRY AND WARWICKSHIRE NHS TRUST (RKB)EQ-5D Index</v>
      </c>
      <c r="C3433" t="s">
        <v>247</v>
      </c>
      <c r="D3433" t="s">
        <v>1</v>
      </c>
      <c r="E3433" t="s">
        <v>3715</v>
      </c>
      <c r="F3433" t="s">
        <v>3716</v>
      </c>
      <c r="G3433" t="s">
        <v>52</v>
      </c>
      <c r="H3433">
        <v>11</v>
      </c>
      <c r="I3433">
        <v>0.32800000000000001</v>
      </c>
      <c r="J3433">
        <v>0.57999999999999996</v>
      </c>
      <c r="K3433">
        <v>0.252</v>
      </c>
      <c r="L3433">
        <v>9</v>
      </c>
      <c r="M3433">
        <v>0</v>
      </c>
      <c r="N3433">
        <v>2</v>
      </c>
      <c r="O3433" t="s">
        <v>53</v>
      </c>
      <c r="P3433" t="s">
        <v>53</v>
      </c>
      <c r="Q3433" t="s">
        <v>53</v>
      </c>
    </row>
    <row r="3434" spans="1:17" x14ac:dyDescent="0.2">
      <c r="A3434" s="30" t="str">
        <f>IF(C3434&amp;G3434&amp;D3434&lt;&gt;'Funnel setup'!$K$3&amp;'Funnel setup'!$K$4&amp;'Funnel setup'!$K$5,".",IF(A3433=".",1,A3433+1))</f>
        <v>.</v>
      </c>
      <c r="B3434" s="431" t="str">
        <f t="shared" si="53"/>
        <v>Hip Replacement RevisionProviderUNIVERSITY HOSPITALS OF LEICESTER NHS TRUST (RWE)EQ-5D Index</v>
      </c>
      <c r="C3434" t="s">
        <v>247</v>
      </c>
      <c r="D3434" t="s">
        <v>1</v>
      </c>
      <c r="E3434" t="s">
        <v>3718</v>
      </c>
      <c r="F3434" t="s">
        <v>3719</v>
      </c>
      <c r="G3434" t="s">
        <v>52</v>
      </c>
      <c r="H3434">
        <v>31</v>
      </c>
      <c r="I3434">
        <v>0.41299999999999998</v>
      </c>
      <c r="J3434">
        <v>0.68500000000000005</v>
      </c>
      <c r="K3434">
        <v>0.27200000000000002</v>
      </c>
      <c r="L3434">
        <v>22</v>
      </c>
      <c r="M3434">
        <v>2</v>
      </c>
      <c r="N3434">
        <v>7</v>
      </c>
      <c r="O3434">
        <v>0.67</v>
      </c>
      <c r="P3434">
        <v>0.27091897500000001</v>
      </c>
      <c r="Q3434">
        <v>0.28299999999999997</v>
      </c>
    </row>
    <row r="3435" spans="1:17" x14ac:dyDescent="0.2">
      <c r="A3435" s="30" t="str">
        <f>IF(C3435&amp;G3435&amp;D3435&lt;&gt;'Funnel setup'!$K$3&amp;'Funnel setup'!$K$4&amp;'Funnel setup'!$K$5,".",IF(A3434=".",1,A3434+1))</f>
        <v>.</v>
      </c>
      <c r="B3435" s="431" t="str">
        <f t="shared" si="53"/>
        <v>Hip Replacement RevisionProviderUNIVERSITY HOSPITALS OF MORECAMBE BAY NHS FOUNDATION TRUST (RTX)EQ-5D Index</v>
      </c>
      <c r="C3435" t="s">
        <v>247</v>
      </c>
      <c r="D3435" t="s">
        <v>1</v>
      </c>
      <c r="E3435" t="s">
        <v>3721</v>
      </c>
      <c r="F3435" t="s">
        <v>3722</v>
      </c>
      <c r="G3435" t="s">
        <v>52</v>
      </c>
      <c r="H3435">
        <v>14</v>
      </c>
      <c r="I3435">
        <v>0.315</v>
      </c>
      <c r="J3435">
        <v>0.60699999999999998</v>
      </c>
      <c r="K3435">
        <v>0.29199999999999998</v>
      </c>
      <c r="L3435">
        <v>9</v>
      </c>
      <c r="M3435">
        <v>3</v>
      </c>
      <c r="N3435">
        <v>2</v>
      </c>
      <c r="O3435" t="s">
        <v>53</v>
      </c>
      <c r="P3435" t="s">
        <v>53</v>
      </c>
      <c r="Q3435" t="s">
        <v>53</v>
      </c>
    </row>
    <row r="3436" spans="1:17" x14ac:dyDescent="0.2">
      <c r="A3436" s="30" t="str">
        <f>IF(C3436&amp;G3436&amp;D3436&lt;&gt;'Funnel setup'!$K$3&amp;'Funnel setup'!$K$4&amp;'Funnel setup'!$K$5,".",IF(A3435=".",1,A3435+1))</f>
        <v>.</v>
      </c>
      <c r="B3436" s="431" t="str">
        <f t="shared" si="53"/>
        <v>Hip Replacement RevisionProviderUNIVERSITY HOSPITALS OF NORTH MIDLANDS NHS TRUST (RJE)EQ-5D Index</v>
      </c>
      <c r="C3436" t="s">
        <v>247</v>
      </c>
      <c r="D3436" t="s">
        <v>1</v>
      </c>
      <c r="E3436" t="s">
        <v>3724</v>
      </c>
      <c r="F3436" t="s">
        <v>3725</v>
      </c>
      <c r="G3436" t="s">
        <v>52</v>
      </c>
      <c r="H3436">
        <v>10</v>
      </c>
      <c r="I3436">
        <v>0.27500000000000002</v>
      </c>
      <c r="J3436">
        <v>0.629</v>
      </c>
      <c r="K3436">
        <v>0.35399999999999998</v>
      </c>
      <c r="L3436">
        <v>8</v>
      </c>
      <c r="M3436">
        <v>1</v>
      </c>
      <c r="N3436">
        <v>1</v>
      </c>
      <c r="O3436" t="s">
        <v>53</v>
      </c>
      <c r="P3436" t="s">
        <v>53</v>
      </c>
      <c r="Q3436" t="s">
        <v>53</v>
      </c>
    </row>
    <row r="3437" spans="1:17" x14ac:dyDescent="0.2">
      <c r="A3437" s="30" t="str">
        <f>IF(C3437&amp;G3437&amp;D3437&lt;&gt;'Funnel setup'!$K$3&amp;'Funnel setup'!$K$4&amp;'Funnel setup'!$K$5,".",IF(A3436=".",1,A3436+1))</f>
        <v>.</v>
      </c>
      <c r="B3437" s="431" t="str">
        <f t="shared" si="53"/>
        <v>Hip Replacement RevisionProviderWALSALL HEALTHCARE NHS TRUST (RBK)EQ-5D Index</v>
      </c>
      <c r="C3437" t="s">
        <v>247</v>
      </c>
      <c r="D3437" t="s">
        <v>1</v>
      </c>
      <c r="E3437" t="s">
        <v>3727</v>
      </c>
      <c r="F3437" t="s">
        <v>3728</v>
      </c>
      <c r="G3437" t="s">
        <v>52</v>
      </c>
      <c r="H3437">
        <v>8</v>
      </c>
      <c r="I3437">
        <v>0.28699999999999998</v>
      </c>
      <c r="J3437">
        <v>0.53400000000000003</v>
      </c>
      <c r="K3437">
        <v>0.247</v>
      </c>
      <c r="L3437">
        <v>5</v>
      </c>
      <c r="M3437">
        <v>2</v>
      </c>
      <c r="N3437">
        <v>1</v>
      </c>
      <c r="O3437" t="s">
        <v>53</v>
      </c>
      <c r="P3437" t="s">
        <v>53</v>
      </c>
      <c r="Q3437" t="s">
        <v>53</v>
      </c>
    </row>
    <row r="3438" spans="1:17" x14ac:dyDescent="0.2">
      <c r="A3438" s="30" t="str">
        <f>IF(C3438&amp;G3438&amp;D3438&lt;&gt;'Funnel setup'!$K$3&amp;'Funnel setup'!$K$4&amp;'Funnel setup'!$K$5,".",IF(A3437=".",1,A3437+1))</f>
        <v>.</v>
      </c>
      <c r="B3438" s="431" t="str">
        <f t="shared" si="53"/>
        <v>Hip Replacement RevisionProviderWARRINGTON AND HALTON HOSPITALS NHS FOUNDATION TRUST (RWW)EQ-5D Index</v>
      </c>
      <c r="C3438" t="s">
        <v>247</v>
      </c>
      <c r="D3438" t="s">
        <v>1</v>
      </c>
      <c r="E3438" t="s">
        <v>3730</v>
      </c>
      <c r="F3438" t="s">
        <v>3731</v>
      </c>
      <c r="G3438" t="s">
        <v>52</v>
      </c>
      <c r="H3438">
        <v>13</v>
      </c>
      <c r="I3438">
        <v>0.39600000000000002</v>
      </c>
      <c r="J3438">
        <v>0.64200000000000002</v>
      </c>
      <c r="K3438">
        <v>0.246</v>
      </c>
      <c r="L3438">
        <v>12</v>
      </c>
      <c r="M3438">
        <v>1</v>
      </c>
      <c r="N3438">
        <v>0</v>
      </c>
      <c r="O3438" t="s">
        <v>53</v>
      </c>
      <c r="P3438" t="s">
        <v>53</v>
      </c>
      <c r="Q3438" t="s">
        <v>53</v>
      </c>
    </row>
    <row r="3439" spans="1:17" x14ac:dyDescent="0.2">
      <c r="A3439" s="30" t="str">
        <f>IF(C3439&amp;G3439&amp;D3439&lt;&gt;'Funnel setup'!$K$3&amp;'Funnel setup'!$K$4&amp;'Funnel setup'!$K$5,".",IF(A3438=".",1,A3438+1))</f>
        <v>.</v>
      </c>
      <c r="B3439" s="431" t="str">
        <f t="shared" si="53"/>
        <v>Hip Replacement RevisionProviderWEST HERTFORDSHIRE HOSPITALS NHS TRUST (RWG)EQ-5D Index</v>
      </c>
      <c r="C3439" t="s">
        <v>247</v>
      </c>
      <c r="D3439" t="s">
        <v>1</v>
      </c>
      <c r="E3439" t="s">
        <v>3733</v>
      </c>
      <c r="F3439" t="s">
        <v>3734</v>
      </c>
      <c r="G3439" t="s">
        <v>52</v>
      </c>
      <c r="H3439">
        <v>11</v>
      </c>
      <c r="I3439">
        <v>0.27800000000000002</v>
      </c>
      <c r="J3439">
        <v>0.51</v>
      </c>
      <c r="K3439">
        <v>0.23100000000000001</v>
      </c>
      <c r="L3439">
        <v>5</v>
      </c>
      <c r="M3439">
        <v>4</v>
      </c>
      <c r="N3439">
        <v>2</v>
      </c>
      <c r="O3439" t="s">
        <v>53</v>
      </c>
      <c r="P3439" t="s">
        <v>53</v>
      </c>
      <c r="Q3439" t="s">
        <v>53</v>
      </c>
    </row>
    <row r="3440" spans="1:17" x14ac:dyDescent="0.2">
      <c r="A3440" s="30" t="str">
        <f>IF(C3440&amp;G3440&amp;D3440&lt;&gt;'Funnel setup'!$K$3&amp;'Funnel setup'!$K$4&amp;'Funnel setup'!$K$5,".",IF(A3439=".",1,A3439+1))</f>
        <v>.</v>
      </c>
      <c r="B3440" s="431" t="str">
        <f t="shared" si="53"/>
        <v>Hip Replacement RevisionProviderWEST MIDDLESEX UNIVERSITY HOSPITAL NHS TRUST (RFW)EQ-5D Index</v>
      </c>
      <c r="C3440" t="s">
        <v>247</v>
      </c>
      <c r="D3440" t="s">
        <v>1</v>
      </c>
      <c r="E3440" t="s">
        <v>3736</v>
      </c>
      <c r="F3440" t="s">
        <v>3737</v>
      </c>
      <c r="G3440" t="s">
        <v>52</v>
      </c>
      <c r="H3440" t="s">
        <v>53</v>
      </c>
      <c r="I3440" t="s">
        <v>53</v>
      </c>
      <c r="J3440" t="s">
        <v>53</v>
      </c>
      <c r="K3440" t="s">
        <v>53</v>
      </c>
      <c r="L3440" t="s">
        <v>53</v>
      </c>
      <c r="M3440" t="s">
        <v>53</v>
      </c>
      <c r="N3440" t="s">
        <v>53</v>
      </c>
      <c r="O3440" t="s">
        <v>53</v>
      </c>
      <c r="P3440" t="s">
        <v>53</v>
      </c>
      <c r="Q3440" t="s">
        <v>53</v>
      </c>
    </row>
    <row r="3441" spans="1:17" x14ac:dyDescent="0.2">
      <c r="A3441" s="30" t="str">
        <f>IF(C3441&amp;G3441&amp;D3441&lt;&gt;'Funnel setup'!$K$3&amp;'Funnel setup'!$K$4&amp;'Funnel setup'!$K$5,".",IF(A3440=".",1,A3440+1))</f>
        <v>.</v>
      </c>
      <c r="B3441" s="431" t="str">
        <f t="shared" si="53"/>
        <v>Hip Replacement RevisionProviderWEST SUFFOLK NHS FOUNDATION TRUST (RGR)EQ-5D Index</v>
      </c>
      <c r="C3441" t="s">
        <v>247</v>
      </c>
      <c r="D3441" t="s">
        <v>1</v>
      </c>
      <c r="E3441" t="s">
        <v>3712</v>
      </c>
      <c r="F3441" t="s">
        <v>3713</v>
      </c>
      <c r="G3441" t="s">
        <v>52</v>
      </c>
      <c r="H3441">
        <v>16</v>
      </c>
      <c r="I3441">
        <v>0.45200000000000001</v>
      </c>
      <c r="J3441">
        <v>0.70699999999999996</v>
      </c>
      <c r="K3441">
        <v>0.255</v>
      </c>
      <c r="L3441">
        <v>14</v>
      </c>
      <c r="M3441">
        <v>1</v>
      </c>
      <c r="N3441">
        <v>1</v>
      </c>
      <c r="O3441" t="s">
        <v>53</v>
      </c>
      <c r="P3441" t="s">
        <v>53</v>
      </c>
      <c r="Q3441" t="s">
        <v>53</v>
      </c>
    </row>
    <row r="3442" spans="1:17" x14ac:dyDescent="0.2">
      <c r="A3442" s="30" t="str">
        <f>IF(C3442&amp;G3442&amp;D3442&lt;&gt;'Funnel setup'!$K$3&amp;'Funnel setup'!$K$4&amp;'Funnel setup'!$K$5,".",IF(A3441=".",1,A3441+1))</f>
        <v>.</v>
      </c>
      <c r="B3442" s="431" t="str">
        <f t="shared" si="53"/>
        <v>Hip Replacement RevisionProviderWESTERN SUSSEX HOSPITALS NHS FOUNDATION TRUST (RYR)EQ-5D Index</v>
      </c>
      <c r="C3442" t="s">
        <v>247</v>
      </c>
      <c r="D3442" t="s">
        <v>1</v>
      </c>
      <c r="E3442" t="s">
        <v>3706</v>
      </c>
      <c r="F3442" t="s">
        <v>3707</v>
      </c>
      <c r="G3442" t="s">
        <v>52</v>
      </c>
      <c r="H3442">
        <v>38</v>
      </c>
      <c r="I3442">
        <v>0.32600000000000001</v>
      </c>
      <c r="J3442">
        <v>0.64500000000000002</v>
      </c>
      <c r="K3442">
        <v>0.31900000000000001</v>
      </c>
      <c r="L3442">
        <v>30</v>
      </c>
      <c r="M3442">
        <v>2</v>
      </c>
      <c r="N3442">
        <v>6</v>
      </c>
      <c r="O3442">
        <v>0.65800000000000003</v>
      </c>
      <c r="P3442">
        <v>0.25934511300000002</v>
      </c>
      <c r="Q3442">
        <v>0.23400000000000001</v>
      </c>
    </row>
    <row r="3443" spans="1:17" x14ac:dyDescent="0.2">
      <c r="A3443" s="30" t="str">
        <f>IF(C3443&amp;G3443&amp;D3443&lt;&gt;'Funnel setup'!$K$3&amp;'Funnel setup'!$K$4&amp;'Funnel setup'!$K$5,".",IF(A3442=".",1,A3442+1))</f>
        <v>.</v>
      </c>
      <c r="B3443" s="431" t="str">
        <f t="shared" si="53"/>
        <v>Hip Replacement RevisionProviderWESTON AREA HEALTH NHS TRUST (RA3)EQ-5D Index</v>
      </c>
      <c r="C3443" t="s">
        <v>247</v>
      </c>
      <c r="D3443" t="s">
        <v>1</v>
      </c>
      <c r="E3443" t="s">
        <v>3525</v>
      </c>
      <c r="F3443" t="s">
        <v>3526</v>
      </c>
      <c r="G3443" t="s">
        <v>52</v>
      </c>
      <c r="H3443">
        <v>9</v>
      </c>
      <c r="I3443">
        <v>0.57599999999999996</v>
      </c>
      <c r="J3443">
        <v>0.79800000000000004</v>
      </c>
      <c r="K3443">
        <v>0.223</v>
      </c>
      <c r="L3443">
        <v>5</v>
      </c>
      <c r="M3443">
        <v>3</v>
      </c>
      <c r="N3443">
        <v>1</v>
      </c>
      <c r="O3443" t="s">
        <v>53</v>
      </c>
      <c r="P3443" t="s">
        <v>53</v>
      </c>
      <c r="Q3443" t="s">
        <v>53</v>
      </c>
    </row>
    <row r="3444" spans="1:17" x14ac:dyDescent="0.2">
      <c r="A3444" s="30" t="str">
        <f>IF(C3444&amp;G3444&amp;D3444&lt;&gt;'Funnel setup'!$K$3&amp;'Funnel setup'!$K$4&amp;'Funnel setup'!$K$5,".",IF(A3443=".",1,A3443+1))</f>
        <v>.</v>
      </c>
      <c r="B3444" s="431" t="str">
        <f t="shared" si="53"/>
        <v>Hip Replacement RevisionProviderWINFIELD HOSPITAL (NVC22)EQ-5D Index</v>
      </c>
      <c r="C3444" t="s">
        <v>247</v>
      </c>
      <c r="D3444" t="s">
        <v>1</v>
      </c>
      <c r="E3444" t="s">
        <v>3534</v>
      </c>
      <c r="F3444" t="s">
        <v>3535</v>
      </c>
      <c r="G3444" t="s">
        <v>52</v>
      </c>
      <c r="H3444" t="s">
        <v>53</v>
      </c>
      <c r="I3444" t="s">
        <v>53</v>
      </c>
      <c r="J3444" t="s">
        <v>53</v>
      </c>
      <c r="K3444" t="s">
        <v>53</v>
      </c>
      <c r="L3444" t="s">
        <v>53</v>
      </c>
      <c r="M3444" t="s">
        <v>53</v>
      </c>
      <c r="N3444" t="s">
        <v>53</v>
      </c>
      <c r="O3444" t="s">
        <v>53</v>
      </c>
      <c r="P3444" t="s">
        <v>53</v>
      </c>
      <c r="Q3444" t="s">
        <v>53</v>
      </c>
    </row>
    <row r="3445" spans="1:17" x14ac:dyDescent="0.2">
      <c r="A3445" s="30" t="str">
        <f>IF(C3445&amp;G3445&amp;D3445&lt;&gt;'Funnel setup'!$K$3&amp;'Funnel setup'!$K$4&amp;'Funnel setup'!$K$5,".",IF(A3444=".",1,A3444+1))</f>
        <v>.</v>
      </c>
      <c r="B3445" s="431" t="str">
        <f t="shared" si="53"/>
        <v>Hip Replacement RevisionProviderWIRRAL UNIVERSITY TEACHING HOSPITAL NHS FOUNDATION TRUST (RBL)EQ-5D Index</v>
      </c>
      <c r="C3445" t="s">
        <v>247</v>
      </c>
      <c r="D3445" t="s">
        <v>1</v>
      </c>
      <c r="E3445" t="s">
        <v>3537</v>
      </c>
      <c r="F3445" t="s">
        <v>3538</v>
      </c>
      <c r="G3445" t="s">
        <v>52</v>
      </c>
      <c r="H3445" t="s">
        <v>53</v>
      </c>
      <c r="I3445" t="s">
        <v>53</v>
      </c>
      <c r="J3445" t="s">
        <v>53</v>
      </c>
      <c r="K3445" t="s">
        <v>53</v>
      </c>
      <c r="L3445" t="s">
        <v>53</v>
      </c>
      <c r="M3445" t="s">
        <v>53</v>
      </c>
      <c r="N3445" t="s">
        <v>53</v>
      </c>
      <c r="O3445" t="s">
        <v>53</v>
      </c>
      <c r="P3445" t="s">
        <v>53</v>
      </c>
      <c r="Q3445" t="s">
        <v>53</v>
      </c>
    </row>
    <row r="3446" spans="1:17" x14ac:dyDescent="0.2">
      <c r="A3446" s="30" t="str">
        <f>IF(C3446&amp;G3446&amp;D3446&lt;&gt;'Funnel setup'!$K$3&amp;'Funnel setup'!$K$4&amp;'Funnel setup'!$K$5,".",IF(A3445=".",1,A3445+1))</f>
        <v>.</v>
      </c>
      <c r="B3446" s="431" t="str">
        <f t="shared" si="53"/>
        <v>Hip Replacement RevisionProviderWOODLAND HOSPITAL (NVC23)EQ-5D Index</v>
      </c>
      <c r="C3446" t="s">
        <v>247</v>
      </c>
      <c r="D3446" t="s">
        <v>1</v>
      </c>
      <c r="E3446" t="s">
        <v>3540</v>
      </c>
      <c r="F3446" t="s">
        <v>3541</v>
      </c>
      <c r="G3446" t="s">
        <v>52</v>
      </c>
      <c r="H3446" t="s">
        <v>53</v>
      </c>
      <c r="I3446" t="s">
        <v>53</v>
      </c>
      <c r="J3446" t="s">
        <v>53</v>
      </c>
      <c r="K3446" t="s">
        <v>53</v>
      </c>
      <c r="L3446" t="s">
        <v>53</v>
      </c>
      <c r="M3446" t="s">
        <v>53</v>
      </c>
      <c r="N3446" t="s">
        <v>53</v>
      </c>
      <c r="O3446" t="s">
        <v>53</v>
      </c>
      <c r="P3446" t="s">
        <v>53</v>
      </c>
      <c r="Q3446" t="s">
        <v>53</v>
      </c>
    </row>
    <row r="3447" spans="1:17" x14ac:dyDescent="0.2">
      <c r="A3447" s="30" t="str">
        <f>IF(C3447&amp;G3447&amp;D3447&lt;&gt;'Funnel setup'!$K$3&amp;'Funnel setup'!$K$4&amp;'Funnel setup'!$K$5,".",IF(A3446=".",1,A3446+1))</f>
        <v>.</v>
      </c>
      <c r="B3447" s="431" t="str">
        <f t="shared" si="53"/>
        <v>Hip Replacement RevisionProviderWOODTHORPE HOSPITAL (NVC40)EQ-5D Index</v>
      </c>
      <c r="C3447" t="s">
        <v>247</v>
      </c>
      <c r="D3447" t="s">
        <v>1</v>
      </c>
      <c r="E3447" t="s">
        <v>3689</v>
      </c>
      <c r="F3447" t="s">
        <v>6576</v>
      </c>
      <c r="G3447" t="s">
        <v>52</v>
      </c>
      <c r="H3447" t="s">
        <v>53</v>
      </c>
      <c r="I3447" t="s">
        <v>53</v>
      </c>
      <c r="J3447" t="s">
        <v>53</v>
      </c>
      <c r="K3447" t="s">
        <v>53</v>
      </c>
      <c r="L3447" t="s">
        <v>53</v>
      </c>
      <c r="M3447" t="s">
        <v>53</v>
      </c>
      <c r="N3447" t="s">
        <v>53</v>
      </c>
      <c r="O3447" t="s">
        <v>53</v>
      </c>
      <c r="P3447" t="s">
        <v>53</v>
      </c>
      <c r="Q3447" t="s">
        <v>53</v>
      </c>
    </row>
    <row r="3448" spans="1:17" x14ac:dyDescent="0.2">
      <c r="A3448" s="30" t="str">
        <f>IF(C3448&amp;G3448&amp;D3448&lt;&gt;'Funnel setup'!$K$3&amp;'Funnel setup'!$K$4&amp;'Funnel setup'!$K$5,".",IF(A3447=".",1,A3447+1))</f>
        <v>.</v>
      </c>
      <c r="B3448" s="431" t="str">
        <f t="shared" si="53"/>
        <v>Hip Replacement RevisionProviderWORCESTERSHIRE ACUTE HOSPITALS NHS TRUST (RWP)EQ-5D Index</v>
      </c>
      <c r="C3448" t="s">
        <v>247</v>
      </c>
      <c r="D3448" t="s">
        <v>1</v>
      </c>
      <c r="E3448" t="s">
        <v>3543</v>
      </c>
      <c r="F3448" t="s">
        <v>3544</v>
      </c>
      <c r="G3448" t="s">
        <v>52</v>
      </c>
      <c r="H3448">
        <v>13</v>
      </c>
      <c r="I3448">
        <v>0.29699999999999999</v>
      </c>
      <c r="J3448">
        <v>0.77400000000000002</v>
      </c>
      <c r="K3448">
        <v>0.47699999999999998</v>
      </c>
      <c r="L3448">
        <v>13</v>
      </c>
      <c r="M3448">
        <v>0</v>
      </c>
      <c r="N3448">
        <v>0</v>
      </c>
      <c r="O3448" t="s">
        <v>53</v>
      </c>
      <c r="P3448" t="s">
        <v>53</v>
      </c>
      <c r="Q3448" t="s">
        <v>53</v>
      </c>
    </row>
    <row r="3449" spans="1:17" x14ac:dyDescent="0.2">
      <c r="A3449" s="30" t="str">
        <f>IF(C3449&amp;G3449&amp;D3449&lt;&gt;'Funnel setup'!$K$3&amp;'Funnel setup'!$K$4&amp;'Funnel setup'!$K$5,".",IF(A3448=".",1,A3448+1))</f>
        <v>.</v>
      </c>
      <c r="B3449" s="431" t="str">
        <f t="shared" si="53"/>
        <v>Hip Replacement RevisionProviderWRIGHTINGTON, WIGAN AND LEIGH NHS FOUNDATION TRUST (RRF)EQ-5D Index</v>
      </c>
      <c r="C3449" t="s">
        <v>247</v>
      </c>
      <c r="D3449" t="s">
        <v>1</v>
      </c>
      <c r="E3449" t="s">
        <v>3546</v>
      </c>
      <c r="F3449" t="s">
        <v>3547</v>
      </c>
      <c r="G3449" t="s">
        <v>52</v>
      </c>
      <c r="H3449">
        <v>41</v>
      </c>
      <c r="I3449">
        <v>0.32200000000000001</v>
      </c>
      <c r="J3449">
        <v>0.55100000000000005</v>
      </c>
      <c r="K3449">
        <v>0.22800000000000001</v>
      </c>
      <c r="L3449">
        <v>28</v>
      </c>
      <c r="M3449">
        <v>4</v>
      </c>
      <c r="N3449">
        <v>9</v>
      </c>
      <c r="O3449">
        <v>0.59399999999999997</v>
      </c>
      <c r="P3449">
        <v>0.19538283000000001</v>
      </c>
      <c r="Q3449">
        <v>0.33</v>
      </c>
    </row>
    <row r="3450" spans="1:17" x14ac:dyDescent="0.2">
      <c r="A3450" s="30" t="str">
        <f>IF(C3450&amp;G3450&amp;D3450&lt;&gt;'Funnel setup'!$K$3&amp;'Funnel setup'!$K$4&amp;'Funnel setup'!$K$5,".",IF(A3449=".",1,A3449+1))</f>
        <v>.</v>
      </c>
      <c r="B3450" s="431" t="str">
        <f t="shared" si="53"/>
        <v>Hip Replacement RevisionProviderWYE VALLEY NHS TRUST (RLQ)EQ-5D Index</v>
      </c>
      <c r="C3450" t="s">
        <v>247</v>
      </c>
      <c r="D3450" t="s">
        <v>1</v>
      </c>
      <c r="E3450" t="s">
        <v>3517</v>
      </c>
      <c r="F3450" t="s">
        <v>3518</v>
      </c>
      <c r="G3450" t="s">
        <v>52</v>
      </c>
      <c r="H3450">
        <v>6</v>
      </c>
      <c r="I3450">
        <v>0.39500000000000002</v>
      </c>
      <c r="J3450">
        <v>0.81799999999999995</v>
      </c>
      <c r="K3450">
        <v>0.42199999999999999</v>
      </c>
      <c r="L3450">
        <v>6</v>
      </c>
      <c r="M3450">
        <v>0</v>
      </c>
      <c r="N3450">
        <v>0</v>
      </c>
      <c r="O3450" t="s">
        <v>53</v>
      </c>
      <c r="P3450" t="s">
        <v>53</v>
      </c>
      <c r="Q3450" t="s">
        <v>53</v>
      </c>
    </row>
    <row r="3451" spans="1:17" x14ac:dyDescent="0.2">
      <c r="A3451" s="30" t="str">
        <f>IF(C3451&amp;G3451&amp;D3451&lt;&gt;'Funnel setup'!$K$3&amp;'Funnel setup'!$K$4&amp;'Funnel setup'!$K$5,".",IF(A3450=".",1,A3450+1))</f>
        <v>.</v>
      </c>
      <c r="B3451" s="431" t="str">
        <f t="shared" si="53"/>
        <v>Hip Replacement RevisionProviderYEOVIL DISTRICT HOSPITAL NHS FOUNDATION TRUST (RA4)EQ-5D Index</v>
      </c>
      <c r="C3451" t="s">
        <v>247</v>
      </c>
      <c r="D3451" t="s">
        <v>1</v>
      </c>
      <c r="E3451" t="s">
        <v>3520</v>
      </c>
      <c r="F3451" t="s">
        <v>341</v>
      </c>
      <c r="G3451" t="s">
        <v>52</v>
      </c>
      <c r="H3451">
        <v>7</v>
      </c>
      <c r="I3451">
        <v>0.33600000000000002</v>
      </c>
      <c r="J3451">
        <v>0.73299999999999998</v>
      </c>
      <c r="K3451">
        <v>0.39700000000000002</v>
      </c>
      <c r="L3451">
        <v>5</v>
      </c>
      <c r="M3451">
        <v>1</v>
      </c>
      <c r="N3451">
        <v>1</v>
      </c>
      <c r="O3451" t="s">
        <v>53</v>
      </c>
      <c r="P3451" t="s">
        <v>53</v>
      </c>
      <c r="Q3451" t="s">
        <v>53</v>
      </c>
    </row>
    <row r="3452" spans="1:17" x14ac:dyDescent="0.2">
      <c r="A3452" s="30" t="str">
        <f>IF(C3452&amp;G3452&amp;D3452&lt;&gt;'Funnel setup'!$K$3&amp;'Funnel setup'!$K$4&amp;'Funnel setup'!$K$5,".",IF(A3451=".",1,A3451+1))</f>
        <v>.</v>
      </c>
      <c r="B3452" s="431" t="str">
        <f t="shared" si="53"/>
        <v>Hip Replacement RevisionProviderYORK TEACHING HOSPITAL NHS FOUNDATION TRUST (RCB)EQ-5D Index</v>
      </c>
      <c r="C3452" t="s">
        <v>247</v>
      </c>
      <c r="D3452" t="s">
        <v>1</v>
      </c>
      <c r="E3452" t="s">
        <v>3515</v>
      </c>
      <c r="F3452" t="s">
        <v>343</v>
      </c>
      <c r="G3452" t="s">
        <v>52</v>
      </c>
      <c r="H3452">
        <v>34</v>
      </c>
      <c r="I3452">
        <v>0.54300000000000004</v>
      </c>
      <c r="J3452">
        <v>0.69599999999999995</v>
      </c>
      <c r="K3452">
        <v>0.153</v>
      </c>
      <c r="L3452">
        <v>23</v>
      </c>
      <c r="M3452">
        <v>6</v>
      </c>
      <c r="N3452">
        <v>5</v>
      </c>
      <c r="O3452">
        <v>0.65500000000000003</v>
      </c>
      <c r="P3452">
        <v>0.255833017</v>
      </c>
      <c r="Q3452">
        <v>0.27500000000000002</v>
      </c>
    </row>
    <row r="3453" spans="1:17" x14ac:dyDescent="0.2">
      <c r="A3453" s="30" t="str">
        <f>IF(C3453&amp;G3453&amp;D3453&lt;&gt;'Funnel setup'!$K$3&amp;'Funnel setup'!$K$4&amp;'Funnel setup'!$K$5,".",IF(A3452=".",1,A3452+1))</f>
        <v>.</v>
      </c>
      <c r="B3453" s="431" t="str">
        <f t="shared" si="53"/>
        <v>Hip Replacement RevisionProviderAINTREE UNIVERSITY HOSPITAL NHS FOUNDATION TRUST (REM)Oxford Hip Score</v>
      </c>
      <c r="C3453" t="s">
        <v>247</v>
      </c>
      <c r="D3453" t="s">
        <v>1</v>
      </c>
      <c r="E3453" t="s">
        <v>3838</v>
      </c>
      <c r="F3453" t="s">
        <v>3839</v>
      </c>
      <c r="G3453" t="s">
        <v>14</v>
      </c>
      <c r="H3453">
        <v>13</v>
      </c>
      <c r="I3453">
        <v>16.614999999999998</v>
      </c>
      <c r="J3453">
        <v>27.231000000000002</v>
      </c>
      <c r="K3453">
        <v>10.615</v>
      </c>
      <c r="L3453">
        <v>10</v>
      </c>
      <c r="M3453">
        <v>0</v>
      </c>
      <c r="N3453">
        <v>3</v>
      </c>
      <c r="O3453" t="s">
        <v>53</v>
      </c>
      <c r="P3453" t="s">
        <v>53</v>
      </c>
      <c r="Q3453" t="s">
        <v>53</v>
      </c>
    </row>
    <row r="3454" spans="1:17" x14ac:dyDescent="0.2">
      <c r="A3454" s="30" t="str">
        <f>IF(C3454&amp;G3454&amp;D3454&lt;&gt;'Funnel setup'!$K$3&amp;'Funnel setup'!$K$4&amp;'Funnel setup'!$K$5,".",IF(A3453=".",1,A3453+1))</f>
        <v>.</v>
      </c>
      <c r="B3454" s="431" t="str">
        <f t="shared" si="53"/>
        <v>Hip Replacement RevisionProviderAIREDALE NHS FOUNDATION TRUST (RCF)Oxford Hip Score</v>
      </c>
      <c r="C3454" t="s">
        <v>247</v>
      </c>
      <c r="D3454" t="s">
        <v>1</v>
      </c>
      <c r="E3454" t="s">
        <v>3841</v>
      </c>
      <c r="F3454" t="s">
        <v>3842</v>
      </c>
      <c r="G3454" t="s">
        <v>14</v>
      </c>
      <c r="H3454">
        <v>13</v>
      </c>
      <c r="I3454">
        <v>23.922999999999998</v>
      </c>
      <c r="J3454">
        <v>35.308</v>
      </c>
      <c r="K3454">
        <v>11.385</v>
      </c>
      <c r="L3454">
        <v>11</v>
      </c>
      <c r="M3454">
        <v>0</v>
      </c>
      <c r="N3454">
        <v>2</v>
      </c>
      <c r="O3454" t="s">
        <v>53</v>
      </c>
      <c r="P3454" t="s">
        <v>53</v>
      </c>
      <c r="Q3454" t="s">
        <v>53</v>
      </c>
    </row>
    <row r="3455" spans="1:17" x14ac:dyDescent="0.2">
      <c r="A3455" s="30" t="str">
        <f>IF(C3455&amp;G3455&amp;D3455&lt;&gt;'Funnel setup'!$K$3&amp;'Funnel setup'!$K$4&amp;'Funnel setup'!$K$5,".",IF(A3454=".",1,A3454+1))</f>
        <v>.</v>
      </c>
      <c r="B3455" s="431" t="str">
        <f t="shared" si="53"/>
        <v>Hip Replacement RevisionProviderASHFORD AND ST PETER'S HOSPITALS NHS FOUNDATION TRUST (RTK)Oxford Hip Score</v>
      </c>
      <c r="C3455" t="s">
        <v>247</v>
      </c>
      <c r="D3455" t="s">
        <v>1</v>
      </c>
      <c r="E3455" t="s">
        <v>3844</v>
      </c>
      <c r="F3455" t="s">
        <v>345</v>
      </c>
      <c r="G3455" t="s">
        <v>14</v>
      </c>
      <c r="H3455">
        <v>15</v>
      </c>
      <c r="I3455">
        <v>23.867000000000001</v>
      </c>
      <c r="J3455">
        <v>34.067</v>
      </c>
      <c r="K3455">
        <v>10.199999999999999</v>
      </c>
      <c r="L3455">
        <v>13</v>
      </c>
      <c r="M3455">
        <v>1</v>
      </c>
      <c r="N3455">
        <v>1</v>
      </c>
      <c r="O3455" t="s">
        <v>53</v>
      </c>
      <c r="P3455" t="s">
        <v>53</v>
      </c>
      <c r="Q3455" t="s">
        <v>53</v>
      </c>
    </row>
    <row r="3456" spans="1:17" x14ac:dyDescent="0.2">
      <c r="A3456" s="30" t="str">
        <f>IF(C3456&amp;G3456&amp;D3456&lt;&gt;'Funnel setup'!$K$3&amp;'Funnel setup'!$K$4&amp;'Funnel setup'!$K$5,".",IF(A3455=".",1,A3455+1))</f>
        <v>.</v>
      </c>
      <c r="B3456" s="431" t="str">
        <f t="shared" si="53"/>
        <v>Hip Replacement RevisionProviderASHTEAD HOSPITAL (NVC01)Oxford Hip Score</v>
      </c>
      <c r="C3456" t="s">
        <v>247</v>
      </c>
      <c r="D3456" t="s">
        <v>1</v>
      </c>
      <c r="E3456" t="s">
        <v>3846</v>
      </c>
      <c r="F3456" t="s">
        <v>3847</v>
      </c>
      <c r="G3456" t="s">
        <v>14</v>
      </c>
      <c r="H3456" t="s">
        <v>53</v>
      </c>
      <c r="I3456" t="s">
        <v>53</v>
      </c>
      <c r="J3456" t="s">
        <v>53</v>
      </c>
      <c r="K3456" t="s">
        <v>53</v>
      </c>
      <c r="L3456" t="s">
        <v>53</v>
      </c>
      <c r="M3456" t="s">
        <v>53</v>
      </c>
      <c r="N3456" t="s">
        <v>53</v>
      </c>
      <c r="O3456" t="s">
        <v>53</v>
      </c>
      <c r="P3456" t="s">
        <v>53</v>
      </c>
      <c r="Q3456" t="s">
        <v>53</v>
      </c>
    </row>
    <row r="3457" spans="1:17" x14ac:dyDescent="0.2">
      <c r="A3457" s="30" t="str">
        <f>IF(C3457&amp;G3457&amp;D3457&lt;&gt;'Funnel setup'!$K$3&amp;'Funnel setup'!$K$4&amp;'Funnel setup'!$K$5,".",IF(A3456=".",1,A3456+1))</f>
        <v>.</v>
      </c>
      <c r="B3457" s="431" t="str">
        <f t="shared" si="53"/>
        <v>Hip Replacement RevisionProviderASPEN - CLAREMONT HOSPITAL (NYW04)Oxford Hip Score</v>
      </c>
      <c r="C3457" t="s">
        <v>247</v>
      </c>
      <c r="D3457" t="s">
        <v>1</v>
      </c>
      <c r="E3457" t="s">
        <v>3500</v>
      </c>
      <c r="F3457" t="s">
        <v>3501</v>
      </c>
      <c r="G3457" t="s">
        <v>14</v>
      </c>
      <c r="H3457" t="s">
        <v>53</v>
      </c>
      <c r="I3457" t="s">
        <v>53</v>
      </c>
      <c r="J3457" t="s">
        <v>53</v>
      </c>
      <c r="K3457" t="s">
        <v>53</v>
      </c>
      <c r="L3457" t="s">
        <v>53</v>
      </c>
      <c r="M3457" t="s">
        <v>53</v>
      </c>
      <c r="N3457" t="s">
        <v>53</v>
      </c>
      <c r="O3457" t="s">
        <v>53</v>
      </c>
      <c r="P3457" t="s">
        <v>53</v>
      </c>
      <c r="Q3457" t="s">
        <v>53</v>
      </c>
    </row>
    <row r="3458" spans="1:17" x14ac:dyDescent="0.2">
      <c r="A3458" s="30" t="str">
        <f>IF(C3458&amp;G3458&amp;D3458&lt;&gt;'Funnel setup'!$K$3&amp;'Funnel setup'!$K$4&amp;'Funnel setup'!$K$5,".",IF(A3457=".",1,A3457+1))</f>
        <v>.</v>
      </c>
      <c r="B3458" s="431" t="str">
        <f t="shared" si="53"/>
        <v>Hip Replacement RevisionProviderBARLBOROUGH NHS TREATMENT CENTRE (NTP13)Oxford Hip Score</v>
      </c>
      <c r="C3458" t="s">
        <v>247</v>
      </c>
      <c r="D3458" t="s">
        <v>1</v>
      </c>
      <c r="E3458" t="s">
        <v>4425</v>
      </c>
      <c r="F3458" t="s">
        <v>4426</v>
      </c>
      <c r="G3458" t="s">
        <v>14</v>
      </c>
      <c r="H3458">
        <v>7</v>
      </c>
      <c r="I3458">
        <v>17</v>
      </c>
      <c r="J3458">
        <v>27.286000000000001</v>
      </c>
      <c r="K3458">
        <v>10.286</v>
      </c>
      <c r="L3458">
        <v>5</v>
      </c>
      <c r="M3458">
        <v>0</v>
      </c>
      <c r="N3458">
        <v>2</v>
      </c>
      <c r="O3458" t="s">
        <v>53</v>
      </c>
      <c r="P3458" t="s">
        <v>53</v>
      </c>
      <c r="Q3458" t="s">
        <v>53</v>
      </c>
    </row>
    <row r="3459" spans="1:17" x14ac:dyDescent="0.2">
      <c r="A3459" s="30" t="str">
        <f>IF(C3459&amp;G3459&amp;D3459&lt;&gt;'Funnel setup'!$K$3&amp;'Funnel setup'!$K$4&amp;'Funnel setup'!$K$5,".",IF(A3458=".",1,A3458+1))</f>
        <v>.</v>
      </c>
      <c r="B3459" s="431" t="str">
        <f t="shared" ref="B3459:B3522" si="54">C3459&amp;D3459&amp;F3459&amp;G3459</f>
        <v>Hip Replacement RevisionProviderBARNSLEY HOSPITAL NHS FOUNDATION TRUST (RFF)Oxford Hip Score</v>
      </c>
      <c r="C3459" t="s">
        <v>247</v>
      </c>
      <c r="D3459" t="s">
        <v>1</v>
      </c>
      <c r="E3459" t="s">
        <v>3549</v>
      </c>
      <c r="F3459" t="s">
        <v>3550</v>
      </c>
      <c r="G3459" t="s">
        <v>14</v>
      </c>
      <c r="H3459">
        <v>6</v>
      </c>
      <c r="I3459">
        <v>11.167</v>
      </c>
      <c r="J3459">
        <v>23.832999999999998</v>
      </c>
      <c r="K3459">
        <v>12.667</v>
      </c>
      <c r="L3459">
        <v>5</v>
      </c>
      <c r="M3459">
        <v>0</v>
      </c>
      <c r="N3459">
        <v>1</v>
      </c>
      <c r="O3459" t="s">
        <v>53</v>
      </c>
      <c r="P3459" t="s">
        <v>53</v>
      </c>
      <c r="Q3459" t="s">
        <v>53</v>
      </c>
    </row>
    <row r="3460" spans="1:17" x14ac:dyDescent="0.2">
      <c r="A3460" s="30" t="str">
        <f>IF(C3460&amp;G3460&amp;D3460&lt;&gt;'Funnel setup'!$K$3&amp;'Funnel setup'!$K$4&amp;'Funnel setup'!$K$5,".",IF(A3459=".",1,A3459+1))</f>
        <v>.</v>
      </c>
      <c r="B3460" s="431" t="str">
        <f t="shared" si="54"/>
        <v>Hip Replacement RevisionProviderBARTS HEALTH NHS TRUST (R1H)Oxford Hip Score</v>
      </c>
      <c r="C3460" t="s">
        <v>247</v>
      </c>
      <c r="D3460" t="s">
        <v>1</v>
      </c>
      <c r="E3460" t="s">
        <v>3552</v>
      </c>
      <c r="F3460" t="s">
        <v>3553</v>
      </c>
      <c r="G3460" t="s">
        <v>14</v>
      </c>
      <c r="H3460">
        <v>15</v>
      </c>
      <c r="I3460">
        <v>15.933</v>
      </c>
      <c r="J3460">
        <v>29</v>
      </c>
      <c r="K3460">
        <v>13.067</v>
      </c>
      <c r="L3460">
        <v>12</v>
      </c>
      <c r="M3460">
        <v>0</v>
      </c>
      <c r="N3460">
        <v>3</v>
      </c>
      <c r="O3460" t="s">
        <v>53</v>
      </c>
      <c r="P3460" t="s">
        <v>53</v>
      </c>
      <c r="Q3460" t="s">
        <v>53</v>
      </c>
    </row>
    <row r="3461" spans="1:17" x14ac:dyDescent="0.2">
      <c r="A3461" s="30" t="str">
        <f>IF(C3461&amp;G3461&amp;D3461&lt;&gt;'Funnel setup'!$K$3&amp;'Funnel setup'!$K$4&amp;'Funnel setup'!$K$5,".",IF(A3460=".",1,A3460+1))</f>
        <v>.</v>
      </c>
      <c r="B3461" s="431" t="str">
        <f t="shared" si="54"/>
        <v>Hip Replacement RevisionProviderBASILDON AND THURROCK UNIVERSITY HOSPITALS NHS FOUNDATION TRUST (RDD)Oxford Hip Score</v>
      </c>
      <c r="C3461" t="s">
        <v>247</v>
      </c>
      <c r="D3461" t="s">
        <v>1</v>
      </c>
      <c r="E3461" t="s">
        <v>3555</v>
      </c>
      <c r="F3461" t="s">
        <v>3556</v>
      </c>
      <c r="G3461" t="s">
        <v>14</v>
      </c>
      <c r="H3461">
        <v>13</v>
      </c>
      <c r="I3461">
        <v>16.922999999999998</v>
      </c>
      <c r="J3461">
        <v>27.308</v>
      </c>
      <c r="K3461">
        <v>10.385</v>
      </c>
      <c r="L3461">
        <v>11</v>
      </c>
      <c r="M3461">
        <v>0</v>
      </c>
      <c r="N3461">
        <v>2</v>
      </c>
      <c r="O3461" t="s">
        <v>53</v>
      </c>
      <c r="P3461" t="s">
        <v>53</v>
      </c>
      <c r="Q3461" t="s">
        <v>53</v>
      </c>
    </row>
    <row r="3462" spans="1:17" x14ac:dyDescent="0.2">
      <c r="A3462" s="30" t="str">
        <f>IF(C3462&amp;G3462&amp;D3462&lt;&gt;'Funnel setup'!$K$3&amp;'Funnel setup'!$K$4&amp;'Funnel setup'!$K$5,".",IF(A3461=".",1,A3461+1))</f>
        <v>.</v>
      </c>
      <c r="B3462" s="431" t="str">
        <f t="shared" si="54"/>
        <v>Hip Replacement RevisionProviderBEDFORD HOSPITAL NHS TRUST (RC1)Oxford Hip Score</v>
      </c>
      <c r="C3462" t="s">
        <v>247</v>
      </c>
      <c r="D3462" t="s">
        <v>1</v>
      </c>
      <c r="E3462" t="s">
        <v>3558</v>
      </c>
      <c r="F3462" t="s">
        <v>3559</v>
      </c>
      <c r="G3462" t="s">
        <v>14</v>
      </c>
      <c r="H3462">
        <v>7</v>
      </c>
      <c r="I3462">
        <v>22.856999999999999</v>
      </c>
      <c r="J3462">
        <v>35.429000000000002</v>
      </c>
      <c r="K3462">
        <v>12.571</v>
      </c>
      <c r="L3462">
        <v>6</v>
      </c>
      <c r="M3462">
        <v>0</v>
      </c>
      <c r="N3462">
        <v>1</v>
      </c>
      <c r="O3462" t="s">
        <v>53</v>
      </c>
      <c r="P3462" t="s">
        <v>53</v>
      </c>
      <c r="Q3462" t="s">
        <v>53</v>
      </c>
    </row>
    <row r="3463" spans="1:17" x14ac:dyDescent="0.2">
      <c r="A3463" s="30" t="str">
        <f>IF(C3463&amp;G3463&amp;D3463&lt;&gt;'Funnel setup'!$K$3&amp;'Funnel setup'!$K$4&amp;'Funnel setup'!$K$5,".",IF(A3462=".",1,A3462+1))</f>
        <v>.</v>
      </c>
      <c r="B3463" s="431" t="str">
        <f t="shared" si="54"/>
        <v>Hip Replacement RevisionProviderBMI - BATH CLINIC (NT402)Oxford Hip Score</v>
      </c>
      <c r="C3463" t="s">
        <v>247</v>
      </c>
      <c r="D3463" t="s">
        <v>1</v>
      </c>
      <c r="E3463" t="s">
        <v>3488</v>
      </c>
      <c r="F3463" t="s">
        <v>3489</v>
      </c>
      <c r="G3463" t="s">
        <v>14</v>
      </c>
      <c r="H3463" t="s">
        <v>53</v>
      </c>
      <c r="I3463" t="s">
        <v>53</v>
      </c>
      <c r="J3463" t="s">
        <v>53</v>
      </c>
      <c r="K3463" t="s">
        <v>53</v>
      </c>
      <c r="L3463" t="s">
        <v>53</v>
      </c>
      <c r="M3463" t="s">
        <v>53</v>
      </c>
      <c r="N3463" t="s">
        <v>53</v>
      </c>
      <c r="O3463" t="s">
        <v>53</v>
      </c>
      <c r="P3463" t="s">
        <v>53</v>
      </c>
      <c r="Q3463" t="s">
        <v>53</v>
      </c>
    </row>
    <row r="3464" spans="1:17" x14ac:dyDescent="0.2">
      <c r="A3464" s="30" t="str">
        <f>IF(C3464&amp;G3464&amp;D3464&lt;&gt;'Funnel setup'!$K$3&amp;'Funnel setup'!$K$4&amp;'Funnel setup'!$K$5,".",IF(A3463=".",1,A3463+1))</f>
        <v>.</v>
      </c>
      <c r="B3464" s="431" t="str">
        <f t="shared" si="54"/>
        <v>Hip Replacement RevisionProviderBMI - BISHOPS WOOD (NT405)Oxford Hip Score</v>
      </c>
      <c r="C3464" t="s">
        <v>247</v>
      </c>
      <c r="D3464" t="s">
        <v>1</v>
      </c>
      <c r="E3464" t="s">
        <v>3491</v>
      </c>
      <c r="F3464" t="s">
        <v>3492</v>
      </c>
      <c r="G3464" t="s">
        <v>14</v>
      </c>
      <c r="H3464" t="s">
        <v>53</v>
      </c>
      <c r="I3464" t="s">
        <v>53</v>
      </c>
      <c r="J3464" t="s">
        <v>53</v>
      </c>
      <c r="K3464" t="s">
        <v>53</v>
      </c>
      <c r="L3464" t="s">
        <v>53</v>
      </c>
      <c r="M3464" t="s">
        <v>53</v>
      </c>
      <c r="N3464" t="s">
        <v>53</v>
      </c>
      <c r="O3464" t="s">
        <v>53</v>
      </c>
      <c r="P3464" t="s">
        <v>53</v>
      </c>
      <c r="Q3464" t="s">
        <v>53</v>
      </c>
    </row>
    <row r="3465" spans="1:17" x14ac:dyDescent="0.2">
      <c r="A3465" s="30" t="str">
        <f>IF(C3465&amp;G3465&amp;D3465&lt;&gt;'Funnel setup'!$K$3&amp;'Funnel setup'!$K$4&amp;'Funnel setup'!$K$5,".",IF(A3464=".",1,A3464+1))</f>
        <v>.</v>
      </c>
      <c r="B3465" s="431" t="str">
        <f t="shared" si="54"/>
        <v>Hip Replacement RevisionProviderBMI - GORING HALL HOSPITAL (NT417)Oxford Hip Score</v>
      </c>
      <c r="C3465" t="s">
        <v>247</v>
      </c>
      <c r="D3465" t="s">
        <v>1</v>
      </c>
      <c r="E3465" t="s">
        <v>3403</v>
      </c>
      <c r="F3465" t="s">
        <v>3404</v>
      </c>
      <c r="G3465" t="s">
        <v>14</v>
      </c>
      <c r="H3465">
        <v>9</v>
      </c>
      <c r="I3465">
        <v>24.222000000000001</v>
      </c>
      <c r="J3465">
        <v>35.667000000000002</v>
      </c>
      <c r="K3465">
        <v>11.444000000000001</v>
      </c>
      <c r="L3465">
        <v>8</v>
      </c>
      <c r="M3465">
        <v>0</v>
      </c>
      <c r="N3465">
        <v>1</v>
      </c>
      <c r="O3465" t="s">
        <v>53</v>
      </c>
      <c r="P3465" t="s">
        <v>53</v>
      </c>
      <c r="Q3465" t="s">
        <v>53</v>
      </c>
    </row>
    <row r="3466" spans="1:17" x14ac:dyDescent="0.2">
      <c r="A3466" s="30" t="str">
        <f>IF(C3466&amp;G3466&amp;D3466&lt;&gt;'Funnel setup'!$K$3&amp;'Funnel setup'!$K$4&amp;'Funnel setup'!$K$5,".",IF(A3465=".",1,A3465+1))</f>
        <v>.</v>
      </c>
      <c r="B3466" s="431" t="str">
        <f t="shared" si="54"/>
        <v>Hip Replacement RevisionProviderBMI - THE CHILTERN HOSPITAL (NT410)Oxford Hip Score</v>
      </c>
      <c r="C3466" t="s">
        <v>247</v>
      </c>
      <c r="D3466" t="s">
        <v>1</v>
      </c>
      <c r="E3466" t="s">
        <v>3594</v>
      </c>
      <c r="F3466" t="s">
        <v>3595</v>
      </c>
      <c r="G3466" t="s">
        <v>14</v>
      </c>
      <c r="H3466" t="s">
        <v>53</v>
      </c>
      <c r="I3466" t="s">
        <v>53</v>
      </c>
      <c r="J3466" t="s">
        <v>53</v>
      </c>
      <c r="K3466" t="s">
        <v>53</v>
      </c>
      <c r="L3466" t="s">
        <v>53</v>
      </c>
      <c r="M3466" t="s">
        <v>53</v>
      </c>
      <c r="N3466" t="s">
        <v>53</v>
      </c>
      <c r="O3466" t="s">
        <v>53</v>
      </c>
      <c r="P3466" t="s">
        <v>53</v>
      </c>
      <c r="Q3466" t="s">
        <v>53</v>
      </c>
    </row>
    <row r="3467" spans="1:17" x14ac:dyDescent="0.2">
      <c r="A3467" s="30" t="str">
        <f>IF(C3467&amp;G3467&amp;D3467&lt;&gt;'Funnel setup'!$K$3&amp;'Funnel setup'!$K$4&amp;'Funnel setup'!$K$5,".",IF(A3466=".",1,A3466+1))</f>
        <v>.</v>
      </c>
      <c r="B3467" s="431" t="str">
        <f t="shared" si="54"/>
        <v>Hip Replacement RevisionProviderBMI - THE MERIDEN HOSPITAL (NT424)Oxford Hip Score</v>
      </c>
      <c r="C3467" t="s">
        <v>247</v>
      </c>
      <c r="D3467" t="s">
        <v>1</v>
      </c>
      <c r="E3467" t="s">
        <v>3283</v>
      </c>
      <c r="F3467" t="s">
        <v>3284</v>
      </c>
      <c r="G3467" t="s">
        <v>14</v>
      </c>
      <c r="H3467" t="s">
        <v>53</v>
      </c>
      <c r="I3467" t="s">
        <v>53</v>
      </c>
      <c r="J3467" t="s">
        <v>53</v>
      </c>
      <c r="K3467" t="s">
        <v>53</v>
      </c>
      <c r="L3467" t="s">
        <v>53</v>
      </c>
      <c r="M3467" t="s">
        <v>53</v>
      </c>
      <c r="N3467" t="s">
        <v>53</v>
      </c>
      <c r="O3467" t="s">
        <v>53</v>
      </c>
      <c r="P3467" t="s">
        <v>53</v>
      </c>
      <c r="Q3467" t="s">
        <v>53</v>
      </c>
    </row>
    <row r="3468" spans="1:17" x14ac:dyDescent="0.2">
      <c r="A3468" s="30" t="str">
        <f>IF(C3468&amp;G3468&amp;D3468&lt;&gt;'Funnel setup'!$K$3&amp;'Funnel setup'!$K$4&amp;'Funnel setup'!$K$5,".",IF(A3467=".",1,A3467+1))</f>
        <v>.</v>
      </c>
      <c r="B3468" s="431" t="str">
        <f t="shared" si="54"/>
        <v>Hip Replacement RevisionProviderBMI - THE RUNNYMEDE HOSPITAL (NT431)Oxford Hip Score</v>
      </c>
      <c r="C3468" t="s">
        <v>247</v>
      </c>
      <c r="D3468" t="s">
        <v>1</v>
      </c>
      <c r="E3468" t="s">
        <v>3295</v>
      </c>
      <c r="F3468" t="s">
        <v>3296</v>
      </c>
      <c r="G3468" t="s">
        <v>14</v>
      </c>
      <c r="H3468" t="s">
        <v>53</v>
      </c>
      <c r="I3468" t="s">
        <v>53</v>
      </c>
      <c r="J3468" t="s">
        <v>53</v>
      </c>
      <c r="K3468" t="s">
        <v>53</v>
      </c>
      <c r="L3468" t="s">
        <v>53</v>
      </c>
      <c r="M3468" t="s">
        <v>53</v>
      </c>
      <c r="N3468" t="s">
        <v>53</v>
      </c>
      <c r="O3468" t="s">
        <v>53</v>
      </c>
      <c r="P3468" t="s">
        <v>53</v>
      </c>
      <c r="Q3468" t="s">
        <v>53</v>
      </c>
    </row>
    <row r="3469" spans="1:17" x14ac:dyDescent="0.2">
      <c r="A3469" s="30" t="str">
        <f>IF(C3469&amp;G3469&amp;D3469&lt;&gt;'Funnel setup'!$K$3&amp;'Funnel setup'!$K$4&amp;'Funnel setup'!$K$5,".",IF(A3468=".",1,A3468+1))</f>
        <v>.</v>
      </c>
      <c r="B3469" s="431" t="str">
        <f t="shared" si="54"/>
        <v>Hip Replacement RevisionProviderBMI - THREE SHIRES HOSPITAL (NT441)Oxford Hip Score</v>
      </c>
      <c r="C3469" t="s">
        <v>247</v>
      </c>
      <c r="D3469" t="s">
        <v>1</v>
      </c>
      <c r="E3469" t="s">
        <v>3316</v>
      </c>
      <c r="F3469" t="s">
        <v>3317</v>
      </c>
      <c r="G3469" t="s">
        <v>14</v>
      </c>
      <c r="H3469" t="s">
        <v>53</v>
      </c>
      <c r="I3469" t="s">
        <v>53</v>
      </c>
      <c r="J3469" t="s">
        <v>53</v>
      </c>
      <c r="K3469" t="s">
        <v>53</v>
      </c>
      <c r="L3469" t="s">
        <v>53</v>
      </c>
      <c r="M3469" t="s">
        <v>53</v>
      </c>
      <c r="N3469" t="s">
        <v>53</v>
      </c>
      <c r="O3469" t="s">
        <v>53</v>
      </c>
      <c r="P3469" t="s">
        <v>53</v>
      </c>
      <c r="Q3469" t="s">
        <v>53</v>
      </c>
    </row>
    <row r="3470" spans="1:17" x14ac:dyDescent="0.2">
      <c r="A3470" s="30" t="str">
        <f>IF(C3470&amp;G3470&amp;D3470&lt;&gt;'Funnel setup'!$K$3&amp;'Funnel setup'!$K$4&amp;'Funnel setup'!$K$5,".",IF(A3469=".",1,A3469+1))</f>
        <v>.</v>
      </c>
      <c r="B3470" s="431" t="str">
        <f t="shared" si="54"/>
        <v>Hip Replacement RevisionProviderBMI ST EDMUNDS HOSPITAL (NT446)Oxford Hip Score</v>
      </c>
      <c r="C3470" t="s">
        <v>247</v>
      </c>
      <c r="D3470" t="s">
        <v>1</v>
      </c>
      <c r="E3470" t="s">
        <v>3328</v>
      </c>
      <c r="F3470" t="s">
        <v>3329</v>
      </c>
      <c r="G3470" t="s">
        <v>14</v>
      </c>
      <c r="H3470" t="s">
        <v>53</v>
      </c>
      <c r="I3470" t="s">
        <v>53</v>
      </c>
      <c r="J3470" t="s">
        <v>53</v>
      </c>
      <c r="K3470" t="s">
        <v>53</v>
      </c>
      <c r="L3470" t="s">
        <v>53</v>
      </c>
      <c r="M3470" t="s">
        <v>53</v>
      </c>
      <c r="N3470" t="s">
        <v>53</v>
      </c>
      <c r="O3470" t="s">
        <v>53</v>
      </c>
      <c r="P3470" t="s">
        <v>53</v>
      </c>
      <c r="Q3470" t="s">
        <v>53</v>
      </c>
    </row>
    <row r="3471" spans="1:17" x14ac:dyDescent="0.2">
      <c r="A3471" s="30" t="str">
        <f>IF(C3471&amp;G3471&amp;D3471&lt;&gt;'Funnel setup'!$K$3&amp;'Funnel setup'!$K$4&amp;'Funnel setup'!$K$5,".",IF(A3470=".",1,A3470+1))</f>
        <v>.</v>
      </c>
      <c r="B3471" s="431" t="str">
        <f t="shared" si="54"/>
        <v>Hip Replacement RevisionProviderBMI THE CAVELL HOSPITAL (NT451)Oxford Hip Score</v>
      </c>
      <c r="C3471" t="s">
        <v>247</v>
      </c>
      <c r="D3471" t="s">
        <v>1</v>
      </c>
      <c r="E3471" t="s">
        <v>3331</v>
      </c>
      <c r="F3471" t="s">
        <v>3332</v>
      </c>
      <c r="G3471" t="s">
        <v>14</v>
      </c>
      <c r="H3471" t="s">
        <v>53</v>
      </c>
      <c r="I3471" t="s">
        <v>53</v>
      </c>
      <c r="J3471" t="s">
        <v>53</v>
      </c>
      <c r="K3471" t="s">
        <v>53</v>
      </c>
      <c r="L3471" t="s">
        <v>53</v>
      </c>
      <c r="M3471" t="s">
        <v>53</v>
      </c>
      <c r="N3471" t="s">
        <v>53</v>
      </c>
      <c r="O3471" t="s">
        <v>53</v>
      </c>
      <c r="P3471" t="s">
        <v>53</v>
      </c>
      <c r="Q3471" t="s">
        <v>53</v>
      </c>
    </row>
    <row r="3472" spans="1:17" x14ac:dyDescent="0.2">
      <c r="A3472" s="30" t="str">
        <f>IF(C3472&amp;G3472&amp;D3472&lt;&gt;'Funnel setup'!$K$3&amp;'Funnel setup'!$K$4&amp;'Funnel setup'!$K$5,".",IF(A3471=".",1,A3471+1))</f>
        <v>.</v>
      </c>
      <c r="B3472" s="431" t="str">
        <f t="shared" si="54"/>
        <v>Hip Replacement RevisionProviderBMI WOODLANDS HOSPITAL (NT457)Oxford Hip Score</v>
      </c>
      <c r="C3472" t="s">
        <v>247</v>
      </c>
      <c r="D3472" t="s">
        <v>1</v>
      </c>
      <c r="E3472" t="s">
        <v>3355</v>
      </c>
      <c r="F3472" t="s">
        <v>3356</v>
      </c>
      <c r="G3472" t="s">
        <v>14</v>
      </c>
      <c r="H3472" t="s">
        <v>53</v>
      </c>
      <c r="I3472" t="s">
        <v>53</v>
      </c>
      <c r="J3472" t="s">
        <v>53</v>
      </c>
      <c r="K3472" t="s">
        <v>53</v>
      </c>
      <c r="L3472" t="s">
        <v>53</v>
      </c>
      <c r="M3472" t="s">
        <v>53</v>
      </c>
      <c r="N3472" t="s">
        <v>53</v>
      </c>
      <c r="O3472" t="s">
        <v>53</v>
      </c>
      <c r="P3472" t="s">
        <v>53</v>
      </c>
      <c r="Q3472" t="s">
        <v>53</v>
      </c>
    </row>
    <row r="3473" spans="1:17" x14ac:dyDescent="0.2">
      <c r="A3473" s="30" t="str">
        <f>IF(C3473&amp;G3473&amp;D3473&lt;&gt;'Funnel setup'!$K$3&amp;'Funnel setup'!$K$4&amp;'Funnel setup'!$K$5,".",IF(A3472=".",1,A3472+1))</f>
        <v>.</v>
      </c>
      <c r="B3473" s="431" t="str">
        <f t="shared" si="54"/>
        <v>Hip Replacement RevisionProviderBOLTON NHS FOUNDATION TRUST (RMC)Oxford Hip Score</v>
      </c>
      <c r="C3473" t="s">
        <v>247</v>
      </c>
      <c r="D3473" t="s">
        <v>1</v>
      </c>
      <c r="E3473" t="s">
        <v>3358</v>
      </c>
      <c r="F3473" t="s">
        <v>3359</v>
      </c>
      <c r="G3473" t="s">
        <v>14</v>
      </c>
      <c r="H3473" t="s">
        <v>53</v>
      </c>
      <c r="I3473" t="s">
        <v>53</v>
      </c>
      <c r="J3473" t="s">
        <v>53</v>
      </c>
      <c r="K3473" t="s">
        <v>53</v>
      </c>
      <c r="L3473" t="s">
        <v>53</v>
      </c>
      <c r="M3473" t="s">
        <v>53</v>
      </c>
      <c r="N3473" t="s">
        <v>53</v>
      </c>
      <c r="O3473" t="s">
        <v>53</v>
      </c>
      <c r="P3473" t="s">
        <v>53</v>
      </c>
      <c r="Q3473" t="s">
        <v>53</v>
      </c>
    </row>
    <row r="3474" spans="1:17" x14ac:dyDescent="0.2">
      <c r="A3474" s="30" t="str">
        <f>IF(C3474&amp;G3474&amp;D3474&lt;&gt;'Funnel setup'!$K$3&amp;'Funnel setup'!$K$4&amp;'Funnel setup'!$K$5,".",IF(A3473=".",1,A3473+1))</f>
        <v>.</v>
      </c>
      <c r="B3474" s="431" t="str">
        <f t="shared" si="54"/>
        <v>Hip Replacement RevisionProviderBRADFORD TEACHING HOSPITALS NHS FOUNDATION TRUST (RAE)Oxford Hip Score</v>
      </c>
      <c r="C3474" t="s">
        <v>247</v>
      </c>
      <c r="D3474" t="s">
        <v>1</v>
      </c>
      <c r="E3474" t="s">
        <v>3361</v>
      </c>
      <c r="F3474" t="s">
        <v>3362</v>
      </c>
      <c r="G3474" t="s">
        <v>14</v>
      </c>
      <c r="H3474">
        <v>8</v>
      </c>
      <c r="I3474">
        <v>23.625</v>
      </c>
      <c r="J3474">
        <v>38.25</v>
      </c>
      <c r="K3474">
        <v>14.625</v>
      </c>
      <c r="L3474">
        <v>7</v>
      </c>
      <c r="M3474">
        <v>0</v>
      </c>
      <c r="N3474">
        <v>1</v>
      </c>
      <c r="O3474" t="s">
        <v>53</v>
      </c>
      <c r="P3474" t="s">
        <v>53</v>
      </c>
      <c r="Q3474" t="s">
        <v>53</v>
      </c>
    </row>
    <row r="3475" spans="1:17" x14ac:dyDescent="0.2">
      <c r="A3475" s="30" t="str">
        <f>IF(C3475&amp;G3475&amp;D3475&lt;&gt;'Funnel setup'!$K$3&amp;'Funnel setup'!$K$4&amp;'Funnel setup'!$K$5,".",IF(A3474=".",1,A3474+1))</f>
        <v>.</v>
      </c>
      <c r="B3475" s="431" t="str">
        <f t="shared" si="54"/>
        <v>Hip Replacement RevisionProviderBRIGHTON AND SUSSEX UNIVERSITY HOSPITALS NHS TRUST (RXH)Oxford Hip Score</v>
      </c>
      <c r="C3475" t="s">
        <v>247</v>
      </c>
      <c r="D3475" t="s">
        <v>1</v>
      </c>
      <c r="E3475" t="s">
        <v>3367</v>
      </c>
      <c r="F3475" t="s">
        <v>3368</v>
      </c>
      <c r="G3475" t="s">
        <v>14</v>
      </c>
      <c r="H3475">
        <v>20</v>
      </c>
      <c r="I3475">
        <v>19.45</v>
      </c>
      <c r="J3475">
        <v>32.799999999999997</v>
      </c>
      <c r="K3475">
        <v>13.35</v>
      </c>
      <c r="L3475">
        <v>16</v>
      </c>
      <c r="M3475">
        <v>1</v>
      </c>
      <c r="N3475">
        <v>3</v>
      </c>
      <c r="O3475" t="s">
        <v>53</v>
      </c>
      <c r="P3475" t="s">
        <v>53</v>
      </c>
      <c r="Q3475" t="s">
        <v>53</v>
      </c>
    </row>
    <row r="3476" spans="1:17" x14ac:dyDescent="0.2">
      <c r="A3476" s="30" t="str">
        <f>IF(C3476&amp;G3476&amp;D3476&lt;&gt;'Funnel setup'!$K$3&amp;'Funnel setup'!$K$4&amp;'Funnel setup'!$K$5,".",IF(A3475=".",1,A3475+1))</f>
        <v>.</v>
      </c>
      <c r="B3476" s="431" t="str">
        <f t="shared" si="54"/>
        <v>Hip Replacement RevisionProviderBUCKINGHAMSHIRE HEALTHCARE NHS TRUST (RXQ)Oxford Hip Score</v>
      </c>
      <c r="C3476" t="s">
        <v>247</v>
      </c>
      <c r="D3476" t="s">
        <v>1</v>
      </c>
      <c r="E3476" t="s">
        <v>3370</v>
      </c>
      <c r="F3476" t="s">
        <v>3371</v>
      </c>
      <c r="G3476" t="s">
        <v>14</v>
      </c>
      <c r="H3476">
        <v>12</v>
      </c>
      <c r="I3476">
        <v>19</v>
      </c>
      <c r="J3476">
        <v>35.75</v>
      </c>
      <c r="K3476">
        <v>16.75</v>
      </c>
      <c r="L3476">
        <v>11</v>
      </c>
      <c r="M3476">
        <v>0</v>
      </c>
      <c r="N3476">
        <v>1</v>
      </c>
      <c r="O3476" t="s">
        <v>53</v>
      </c>
      <c r="P3476" t="s">
        <v>53</v>
      </c>
      <c r="Q3476" t="s">
        <v>53</v>
      </c>
    </row>
    <row r="3477" spans="1:17" x14ac:dyDescent="0.2">
      <c r="A3477" s="30" t="str">
        <f>IF(C3477&amp;G3477&amp;D3477&lt;&gt;'Funnel setup'!$K$3&amp;'Funnel setup'!$K$4&amp;'Funnel setup'!$K$5,".",IF(A3476=".",1,A3476+1))</f>
        <v>.</v>
      </c>
      <c r="B3477" s="431" t="str">
        <f t="shared" si="54"/>
        <v>Hip Replacement RevisionProviderBURTON HOSPITALS NHS FOUNDATION TRUST (RJF)Oxford Hip Score</v>
      </c>
      <c r="C3477" t="s">
        <v>247</v>
      </c>
      <c r="D3477" t="s">
        <v>1</v>
      </c>
      <c r="E3477" t="s">
        <v>3373</v>
      </c>
      <c r="F3477" t="s">
        <v>3374</v>
      </c>
      <c r="G3477" t="s">
        <v>14</v>
      </c>
      <c r="H3477">
        <v>6</v>
      </c>
      <c r="I3477">
        <v>20</v>
      </c>
      <c r="J3477">
        <v>33</v>
      </c>
      <c r="K3477">
        <v>13</v>
      </c>
      <c r="L3477">
        <v>6</v>
      </c>
      <c r="M3477">
        <v>0</v>
      </c>
      <c r="N3477">
        <v>0</v>
      </c>
      <c r="O3477" t="s">
        <v>53</v>
      </c>
      <c r="P3477" t="s">
        <v>53</v>
      </c>
      <c r="Q3477" t="s">
        <v>53</v>
      </c>
    </row>
    <row r="3478" spans="1:17" x14ac:dyDescent="0.2">
      <c r="A3478" s="30" t="str">
        <f>IF(C3478&amp;G3478&amp;D3478&lt;&gt;'Funnel setup'!$K$3&amp;'Funnel setup'!$K$4&amp;'Funnel setup'!$K$5,".",IF(A3477=".",1,A3477+1))</f>
        <v>.</v>
      </c>
      <c r="B3478" s="431" t="str">
        <f t="shared" si="54"/>
        <v>Hip Replacement RevisionProviderCALDERDALE AND HUDDERSFIELD NHS FOUNDATION TRUST (RWY)Oxford Hip Score</v>
      </c>
      <c r="C3478" t="s">
        <v>247</v>
      </c>
      <c r="D3478" t="s">
        <v>1</v>
      </c>
      <c r="E3478" t="s">
        <v>3379</v>
      </c>
      <c r="F3478" t="s">
        <v>3380</v>
      </c>
      <c r="G3478" t="s">
        <v>14</v>
      </c>
      <c r="H3478">
        <v>32</v>
      </c>
      <c r="I3478">
        <v>25.844000000000001</v>
      </c>
      <c r="J3478">
        <v>36</v>
      </c>
      <c r="K3478">
        <v>10.156000000000001</v>
      </c>
      <c r="L3478">
        <v>26</v>
      </c>
      <c r="M3478">
        <v>2</v>
      </c>
      <c r="N3478">
        <v>4</v>
      </c>
      <c r="O3478">
        <v>33.14</v>
      </c>
      <c r="P3478">
        <v>12.265481189999999</v>
      </c>
      <c r="Q3478">
        <v>9.7029999999999994</v>
      </c>
    </row>
    <row r="3479" spans="1:17" x14ac:dyDescent="0.2">
      <c r="A3479" s="30" t="str">
        <f>IF(C3479&amp;G3479&amp;D3479&lt;&gt;'Funnel setup'!$K$3&amp;'Funnel setup'!$K$4&amp;'Funnel setup'!$K$5,".",IF(A3478=".",1,A3478+1))</f>
        <v>.</v>
      </c>
      <c r="B3479" s="431" t="str">
        <f t="shared" si="54"/>
        <v>Hip Replacement RevisionProviderCAMBRIDGE UNIVERSITY HOSPITALS NHS FOUNDATION TRUST (RGT)Oxford Hip Score</v>
      </c>
      <c r="C3479" t="s">
        <v>247</v>
      </c>
      <c r="D3479" t="s">
        <v>1</v>
      </c>
      <c r="E3479" t="s">
        <v>3076</v>
      </c>
      <c r="F3479" t="s">
        <v>3077</v>
      </c>
      <c r="G3479" t="s">
        <v>14</v>
      </c>
      <c r="H3479">
        <v>18</v>
      </c>
      <c r="I3479">
        <v>17.556000000000001</v>
      </c>
      <c r="J3479">
        <v>32.832999999999998</v>
      </c>
      <c r="K3479">
        <v>15.278</v>
      </c>
      <c r="L3479">
        <v>15</v>
      </c>
      <c r="M3479">
        <v>1</v>
      </c>
      <c r="N3479">
        <v>2</v>
      </c>
      <c r="O3479" t="s">
        <v>53</v>
      </c>
      <c r="P3479" t="s">
        <v>53</v>
      </c>
      <c r="Q3479" t="s">
        <v>53</v>
      </c>
    </row>
    <row r="3480" spans="1:17" x14ac:dyDescent="0.2">
      <c r="A3480" s="30" t="str">
        <f>IF(C3480&amp;G3480&amp;D3480&lt;&gt;'Funnel setup'!$K$3&amp;'Funnel setup'!$K$4&amp;'Funnel setup'!$K$5,".",IF(A3479=".",1,A3479+1))</f>
        <v>.</v>
      </c>
      <c r="B3480" s="431" t="str">
        <f t="shared" si="54"/>
        <v>Hip Replacement RevisionProviderCENTRAL MANCHESTER UNIVERSITY HOSPITALS NHS FOUNDATION TRUST (RW3)Oxford Hip Score</v>
      </c>
      <c r="C3480" t="s">
        <v>247</v>
      </c>
      <c r="D3480" t="s">
        <v>1</v>
      </c>
      <c r="E3480" t="s">
        <v>3079</v>
      </c>
      <c r="F3480" t="s">
        <v>3080</v>
      </c>
      <c r="G3480" t="s">
        <v>14</v>
      </c>
      <c r="H3480" t="s">
        <v>53</v>
      </c>
      <c r="I3480" t="s">
        <v>53</v>
      </c>
      <c r="J3480" t="s">
        <v>53</v>
      </c>
      <c r="K3480" t="s">
        <v>53</v>
      </c>
      <c r="L3480" t="s">
        <v>53</v>
      </c>
      <c r="M3480" t="s">
        <v>53</v>
      </c>
      <c r="N3480" t="s">
        <v>53</v>
      </c>
      <c r="O3480" t="s">
        <v>53</v>
      </c>
      <c r="P3480" t="s">
        <v>53</v>
      </c>
      <c r="Q3480" t="s">
        <v>53</v>
      </c>
    </row>
    <row r="3481" spans="1:17" x14ac:dyDescent="0.2">
      <c r="A3481" s="30" t="str">
        <f>IF(C3481&amp;G3481&amp;D3481&lt;&gt;'Funnel setup'!$K$3&amp;'Funnel setup'!$K$4&amp;'Funnel setup'!$K$5,".",IF(A3480=".",1,A3480+1))</f>
        <v>.</v>
      </c>
      <c r="B3481" s="431" t="str">
        <f t="shared" si="54"/>
        <v>Hip Replacement RevisionProviderCHELSEA AND WESTMINSTER HOSPITAL NHS FOUNDATION TRUST (RQM)Oxford Hip Score</v>
      </c>
      <c r="C3481" t="s">
        <v>247</v>
      </c>
      <c r="D3481" t="s">
        <v>1</v>
      </c>
      <c r="E3481" t="s">
        <v>3082</v>
      </c>
      <c r="F3481" t="s">
        <v>3083</v>
      </c>
      <c r="G3481" t="s">
        <v>14</v>
      </c>
      <c r="H3481" t="s">
        <v>53</v>
      </c>
      <c r="I3481" t="s">
        <v>53</v>
      </c>
      <c r="J3481" t="s">
        <v>53</v>
      </c>
      <c r="K3481" t="s">
        <v>53</v>
      </c>
      <c r="L3481" t="s">
        <v>53</v>
      </c>
      <c r="M3481" t="s">
        <v>53</v>
      </c>
      <c r="N3481" t="s">
        <v>53</v>
      </c>
      <c r="O3481" t="s">
        <v>53</v>
      </c>
      <c r="P3481" t="s">
        <v>53</v>
      </c>
      <c r="Q3481" t="s">
        <v>53</v>
      </c>
    </row>
    <row r="3482" spans="1:17" x14ac:dyDescent="0.2">
      <c r="A3482" s="30" t="str">
        <f>IF(C3482&amp;G3482&amp;D3482&lt;&gt;'Funnel setup'!$K$3&amp;'Funnel setup'!$K$4&amp;'Funnel setup'!$K$5,".",IF(A3481=".",1,A3481+1))</f>
        <v>.</v>
      </c>
      <c r="B3482" s="431" t="str">
        <f t="shared" si="54"/>
        <v>Hip Replacement RevisionProviderCHESTERFIELD ROYAL HOSPITAL NHS FOUNDATION TRUST (RFS)Oxford Hip Score</v>
      </c>
      <c r="C3482" t="s">
        <v>247</v>
      </c>
      <c r="D3482" t="s">
        <v>1</v>
      </c>
      <c r="E3482" t="s">
        <v>3085</v>
      </c>
      <c r="F3482" t="s">
        <v>3086</v>
      </c>
      <c r="G3482" t="s">
        <v>14</v>
      </c>
      <c r="H3482">
        <v>13</v>
      </c>
      <c r="I3482">
        <v>20.846</v>
      </c>
      <c r="J3482">
        <v>29.462</v>
      </c>
      <c r="K3482">
        <v>8.6150000000000002</v>
      </c>
      <c r="L3482">
        <v>10</v>
      </c>
      <c r="M3482">
        <v>0</v>
      </c>
      <c r="N3482">
        <v>3</v>
      </c>
      <c r="O3482" t="s">
        <v>53</v>
      </c>
      <c r="P3482" t="s">
        <v>53</v>
      </c>
      <c r="Q3482" t="s">
        <v>53</v>
      </c>
    </row>
    <row r="3483" spans="1:17" x14ac:dyDescent="0.2">
      <c r="A3483" s="30" t="str">
        <f>IF(C3483&amp;G3483&amp;D3483&lt;&gt;'Funnel setup'!$K$3&amp;'Funnel setup'!$K$4&amp;'Funnel setup'!$K$5,".",IF(A3482=".",1,A3482+1))</f>
        <v>.</v>
      </c>
      <c r="B3483" s="431" t="str">
        <f t="shared" si="54"/>
        <v>Hip Replacement RevisionProviderCIRCLE BATH HOSPITAL (NV302)Oxford Hip Score</v>
      </c>
      <c r="C3483" t="s">
        <v>247</v>
      </c>
      <c r="D3483" t="s">
        <v>1</v>
      </c>
      <c r="E3483" t="s">
        <v>3097</v>
      </c>
      <c r="F3483" t="s">
        <v>3098</v>
      </c>
      <c r="G3483" t="s">
        <v>14</v>
      </c>
      <c r="H3483">
        <v>9</v>
      </c>
      <c r="I3483">
        <v>29.556000000000001</v>
      </c>
      <c r="J3483">
        <v>39.777999999999999</v>
      </c>
      <c r="K3483">
        <v>10.222</v>
      </c>
      <c r="L3483">
        <v>8</v>
      </c>
      <c r="M3483">
        <v>0</v>
      </c>
      <c r="N3483">
        <v>1</v>
      </c>
      <c r="O3483" t="s">
        <v>53</v>
      </c>
      <c r="P3483" t="s">
        <v>53</v>
      </c>
      <c r="Q3483" t="s">
        <v>53</v>
      </c>
    </row>
    <row r="3484" spans="1:17" x14ac:dyDescent="0.2">
      <c r="A3484" s="30" t="str">
        <f>IF(C3484&amp;G3484&amp;D3484&lt;&gt;'Funnel setup'!$K$3&amp;'Funnel setup'!$K$4&amp;'Funnel setup'!$K$5,".",IF(A3483=".",1,A3483+1))</f>
        <v>.</v>
      </c>
      <c r="B3484" s="431" t="str">
        <f t="shared" si="54"/>
        <v>Hip Replacement RevisionProviderCIRCLE READING HOSPITAL (NV323)Oxford Hip Score</v>
      </c>
      <c r="C3484" t="s">
        <v>247</v>
      </c>
      <c r="D3484" t="s">
        <v>1</v>
      </c>
      <c r="E3484" t="s">
        <v>3091</v>
      </c>
      <c r="F3484" t="s">
        <v>3092</v>
      </c>
      <c r="G3484" t="s">
        <v>14</v>
      </c>
      <c r="H3484" t="s">
        <v>53</v>
      </c>
      <c r="I3484" t="s">
        <v>53</v>
      </c>
      <c r="J3484" t="s">
        <v>53</v>
      </c>
      <c r="K3484" t="s">
        <v>53</v>
      </c>
      <c r="L3484" t="s">
        <v>53</v>
      </c>
      <c r="M3484" t="s">
        <v>53</v>
      </c>
      <c r="N3484" t="s">
        <v>53</v>
      </c>
      <c r="O3484" t="s">
        <v>53</v>
      </c>
      <c r="P3484" t="s">
        <v>53</v>
      </c>
      <c r="Q3484" t="s">
        <v>53</v>
      </c>
    </row>
    <row r="3485" spans="1:17" x14ac:dyDescent="0.2">
      <c r="A3485" s="30" t="str">
        <f>IF(C3485&amp;G3485&amp;D3485&lt;&gt;'Funnel setup'!$K$3&amp;'Funnel setup'!$K$4&amp;'Funnel setup'!$K$5,".",IF(A3484=".",1,A3484+1))</f>
        <v>.</v>
      </c>
      <c r="B3485" s="431" t="str">
        <f t="shared" si="54"/>
        <v>Hip Replacement RevisionProviderCITY HOSPITALS SUNDERLAND NHS FOUNDATION TRUST (RLN)Oxford Hip Score</v>
      </c>
      <c r="C3485" t="s">
        <v>247</v>
      </c>
      <c r="D3485" t="s">
        <v>1</v>
      </c>
      <c r="E3485" t="s">
        <v>3100</v>
      </c>
      <c r="F3485" t="s">
        <v>3101</v>
      </c>
      <c r="G3485" t="s">
        <v>14</v>
      </c>
      <c r="H3485">
        <v>13</v>
      </c>
      <c r="I3485">
        <v>16.462</v>
      </c>
      <c r="J3485">
        <v>28.846</v>
      </c>
      <c r="K3485">
        <v>12.385</v>
      </c>
      <c r="L3485">
        <v>12</v>
      </c>
      <c r="M3485">
        <v>0</v>
      </c>
      <c r="N3485">
        <v>1</v>
      </c>
      <c r="O3485" t="s">
        <v>53</v>
      </c>
      <c r="P3485" t="s">
        <v>53</v>
      </c>
      <c r="Q3485" t="s">
        <v>53</v>
      </c>
    </row>
    <row r="3486" spans="1:17" x14ac:dyDescent="0.2">
      <c r="A3486" s="30" t="str">
        <f>IF(C3486&amp;G3486&amp;D3486&lt;&gt;'Funnel setup'!$K$3&amp;'Funnel setup'!$K$4&amp;'Funnel setup'!$K$5,".",IF(A3485=".",1,A3485+1))</f>
        <v>.</v>
      </c>
      <c r="B3486" s="431" t="str">
        <f t="shared" si="54"/>
        <v>Hip Replacement RevisionProviderCLIFTON PARK HOSPITAL (NVC28)Oxford Hip Score</v>
      </c>
      <c r="C3486" t="s">
        <v>247</v>
      </c>
      <c r="D3486" t="s">
        <v>1</v>
      </c>
      <c r="E3486" t="s">
        <v>4229</v>
      </c>
      <c r="F3486" t="s">
        <v>4230</v>
      </c>
      <c r="G3486" t="s">
        <v>14</v>
      </c>
      <c r="H3486">
        <v>12</v>
      </c>
      <c r="I3486">
        <v>24.167000000000002</v>
      </c>
      <c r="J3486">
        <v>36.332999999999998</v>
      </c>
      <c r="K3486">
        <v>12.167</v>
      </c>
      <c r="L3486">
        <v>11</v>
      </c>
      <c r="M3486">
        <v>0</v>
      </c>
      <c r="N3486">
        <v>1</v>
      </c>
      <c r="O3486" t="s">
        <v>53</v>
      </c>
      <c r="P3486" t="s">
        <v>53</v>
      </c>
      <c r="Q3486" t="s">
        <v>53</v>
      </c>
    </row>
    <row r="3487" spans="1:17" x14ac:dyDescent="0.2">
      <c r="A3487" s="30" t="str">
        <f>IF(C3487&amp;G3487&amp;D3487&lt;&gt;'Funnel setup'!$K$3&amp;'Funnel setup'!$K$4&amp;'Funnel setup'!$K$5,".",IF(A3486=".",1,A3486+1))</f>
        <v>.</v>
      </c>
      <c r="B3487" s="431" t="str">
        <f t="shared" si="54"/>
        <v>Hip Replacement RevisionProviderCOLCHESTER HOSPITAL UNIVERSITY NHS FOUNDATION TRUST (RDE)Oxford Hip Score</v>
      </c>
      <c r="C3487" t="s">
        <v>247</v>
      </c>
      <c r="D3487" t="s">
        <v>1</v>
      </c>
      <c r="E3487" t="s">
        <v>3109</v>
      </c>
      <c r="F3487" t="s">
        <v>3110</v>
      </c>
      <c r="G3487" t="s">
        <v>14</v>
      </c>
      <c r="H3487">
        <v>23</v>
      </c>
      <c r="I3487">
        <v>17.652000000000001</v>
      </c>
      <c r="J3487">
        <v>32.173999999999999</v>
      </c>
      <c r="K3487">
        <v>14.522</v>
      </c>
      <c r="L3487">
        <v>21</v>
      </c>
      <c r="M3487">
        <v>1</v>
      </c>
      <c r="N3487">
        <v>1</v>
      </c>
      <c r="O3487" t="s">
        <v>53</v>
      </c>
      <c r="P3487" t="s">
        <v>53</v>
      </c>
      <c r="Q3487" t="s">
        <v>53</v>
      </c>
    </row>
    <row r="3488" spans="1:17" x14ac:dyDescent="0.2">
      <c r="A3488" s="30" t="str">
        <f>IF(C3488&amp;G3488&amp;D3488&lt;&gt;'Funnel setup'!$K$3&amp;'Funnel setup'!$K$4&amp;'Funnel setup'!$K$5,".",IF(A3487=".",1,A3487+1))</f>
        <v>.</v>
      </c>
      <c r="B3488" s="431" t="str">
        <f t="shared" si="54"/>
        <v>Hip Replacement RevisionProviderCOUNTESS OF CHESTER HOSPITAL NHS FOUNDATION TRUST (RJR)Oxford Hip Score</v>
      </c>
      <c r="C3488" t="s">
        <v>247</v>
      </c>
      <c r="D3488" t="s">
        <v>1</v>
      </c>
      <c r="E3488" t="s">
        <v>3781</v>
      </c>
      <c r="F3488" t="s">
        <v>3782</v>
      </c>
      <c r="G3488" t="s">
        <v>14</v>
      </c>
      <c r="H3488">
        <v>6</v>
      </c>
      <c r="I3488">
        <v>18.667000000000002</v>
      </c>
      <c r="J3488">
        <v>28.832999999999998</v>
      </c>
      <c r="K3488">
        <v>10.167</v>
      </c>
      <c r="L3488">
        <v>6</v>
      </c>
      <c r="M3488">
        <v>0</v>
      </c>
      <c r="N3488">
        <v>0</v>
      </c>
      <c r="O3488" t="s">
        <v>53</v>
      </c>
      <c r="P3488" t="s">
        <v>53</v>
      </c>
      <c r="Q3488" t="s">
        <v>53</v>
      </c>
    </row>
    <row r="3489" spans="1:17" x14ac:dyDescent="0.2">
      <c r="A3489" s="30" t="str">
        <f>IF(C3489&amp;G3489&amp;D3489&lt;&gt;'Funnel setup'!$K$3&amp;'Funnel setup'!$K$4&amp;'Funnel setup'!$K$5,".",IF(A3488=".",1,A3488+1))</f>
        <v>.</v>
      </c>
      <c r="B3489" s="431" t="str">
        <f t="shared" si="54"/>
        <v>Hip Replacement RevisionProviderCOUNTY DURHAM AND DARLINGTON NHS FOUNDATION TRUST (RXP)Oxford Hip Score</v>
      </c>
      <c r="C3489" t="s">
        <v>247</v>
      </c>
      <c r="D3489" t="s">
        <v>1</v>
      </c>
      <c r="E3489" t="s">
        <v>3784</v>
      </c>
      <c r="F3489" t="s">
        <v>3785</v>
      </c>
      <c r="G3489" t="s">
        <v>14</v>
      </c>
      <c r="H3489">
        <v>19</v>
      </c>
      <c r="I3489">
        <v>15.737</v>
      </c>
      <c r="J3489">
        <v>30.158000000000001</v>
      </c>
      <c r="K3489">
        <v>14.420999999999999</v>
      </c>
      <c r="L3489">
        <v>15</v>
      </c>
      <c r="M3489">
        <v>0</v>
      </c>
      <c r="N3489">
        <v>4</v>
      </c>
      <c r="O3489" t="s">
        <v>53</v>
      </c>
      <c r="P3489" t="s">
        <v>53</v>
      </c>
      <c r="Q3489" t="s">
        <v>53</v>
      </c>
    </row>
    <row r="3490" spans="1:17" x14ac:dyDescent="0.2">
      <c r="A3490" s="30" t="str">
        <f>IF(C3490&amp;G3490&amp;D3490&lt;&gt;'Funnel setup'!$K$3&amp;'Funnel setup'!$K$4&amp;'Funnel setup'!$K$5,".",IF(A3489=".",1,A3489+1))</f>
        <v>.</v>
      </c>
      <c r="B3490" s="431" t="str">
        <f t="shared" si="54"/>
        <v>Hip Replacement RevisionProviderDARTFORD AND GRAVESHAM NHS TRUST (RN7)Oxford Hip Score</v>
      </c>
      <c r="C3490" t="s">
        <v>247</v>
      </c>
      <c r="D3490" t="s">
        <v>1</v>
      </c>
      <c r="E3490" t="s">
        <v>3787</v>
      </c>
      <c r="F3490" t="s">
        <v>3788</v>
      </c>
      <c r="G3490" t="s">
        <v>14</v>
      </c>
      <c r="H3490">
        <v>7</v>
      </c>
      <c r="I3490">
        <v>20.143000000000001</v>
      </c>
      <c r="J3490">
        <v>34.429000000000002</v>
      </c>
      <c r="K3490">
        <v>14.286</v>
      </c>
      <c r="L3490">
        <v>6</v>
      </c>
      <c r="M3490">
        <v>0</v>
      </c>
      <c r="N3490">
        <v>1</v>
      </c>
      <c r="O3490" t="s">
        <v>53</v>
      </c>
      <c r="P3490" t="s">
        <v>53</v>
      </c>
      <c r="Q3490" t="s">
        <v>53</v>
      </c>
    </row>
    <row r="3491" spans="1:17" x14ac:dyDescent="0.2">
      <c r="A3491" s="30" t="str">
        <f>IF(C3491&amp;G3491&amp;D3491&lt;&gt;'Funnel setup'!$K$3&amp;'Funnel setup'!$K$4&amp;'Funnel setup'!$K$5,".",IF(A3490=".",1,A3490+1))</f>
        <v>.</v>
      </c>
      <c r="B3491" s="431" t="str">
        <f t="shared" si="54"/>
        <v>Hip Replacement RevisionProviderDERBY TEACHING HOSPITALS NHS FOUNDATION TRUST (RTG)Oxford Hip Score</v>
      </c>
      <c r="C3491" t="s">
        <v>247</v>
      </c>
      <c r="D3491" t="s">
        <v>1</v>
      </c>
      <c r="E3491" t="s">
        <v>3790</v>
      </c>
      <c r="F3491" t="s">
        <v>3791</v>
      </c>
      <c r="G3491" t="s">
        <v>14</v>
      </c>
      <c r="H3491">
        <v>32</v>
      </c>
      <c r="I3491">
        <v>22</v>
      </c>
      <c r="J3491">
        <v>34.25</v>
      </c>
      <c r="K3491">
        <v>12.25</v>
      </c>
      <c r="L3491">
        <v>28</v>
      </c>
      <c r="M3491">
        <v>0</v>
      </c>
      <c r="N3491">
        <v>4</v>
      </c>
      <c r="O3491">
        <v>33.469000000000001</v>
      </c>
      <c r="P3491">
        <v>12.594046199999999</v>
      </c>
      <c r="Q3491">
        <v>8.7089999999999996</v>
      </c>
    </row>
    <row r="3492" spans="1:17" x14ac:dyDescent="0.2">
      <c r="A3492" s="30" t="str">
        <f>IF(C3492&amp;G3492&amp;D3492&lt;&gt;'Funnel setup'!$K$3&amp;'Funnel setup'!$K$4&amp;'Funnel setup'!$K$5,".",IF(A3491=".",1,A3491+1))</f>
        <v>.</v>
      </c>
      <c r="B3492" s="431" t="str">
        <f t="shared" si="54"/>
        <v>Hip Replacement RevisionProviderDONCASTER AND BASSETLAW HOSPITALS NHS FOUNDATION TRUST (RP5)Oxford Hip Score</v>
      </c>
      <c r="C3492" t="s">
        <v>247</v>
      </c>
      <c r="D3492" t="s">
        <v>1</v>
      </c>
      <c r="E3492" t="s">
        <v>3799</v>
      </c>
      <c r="F3492" t="s">
        <v>3800</v>
      </c>
      <c r="G3492" t="s">
        <v>14</v>
      </c>
      <c r="H3492">
        <v>22</v>
      </c>
      <c r="I3492">
        <v>18.045000000000002</v>
      </c>
      <c r="J3492">
        <v>29.454999999999998</v>
      </c>
      <c r="K3492">
        <v>11.409000000000001</v>
      </c>
      <c r="L3492">
        <v>19</v>
      </c>
      <c r="M3492">
        <v>0</v>
      </c>
      <c r="N3492">
        <v>3</v>
      </c>
      <c r="O3492" t="s">
        <v>53</v>
      </c>
      <c r="P3492" t="s">
        <v>53</v>
      </c>
      <c r="Q3492" t="s">
        <v>53</v>
      </c>
    </row>
    <row r="3493" spans="1:17" x14ac:dyDescent="0.2">
      <c r="A3493" s="30" t="str">
        <f>IF(C3493&amp;G3493&amp;D3493&lt;&gt;'Funnel setup'!$K$3&amp;'Funnel setup'!$K$4&amp;'Funnel setup'!$K$5,".",IF(A3492=".",1,A3492+1))</f>
        <v>.</v>
      </c>
      <c r="B3493" s="431" t="str">
        <f t="shared" si="54"/>
        <v>Hip Replacement RevisionProviderDORSET COUNTY HOSPITAL NHS FOUNDATION TRUST (RBD)Oxford Hip Score</v>
      </c>
      <c r="C3493" t="s">
        <v>247</v>
      </c>
      <c r="D3493" t="s">
        <v>1</v>
      </c>
      <c r="E3493" t="s">
        <v>3802</v>
      </c>
      <c r="F3493" t="s">
        <v>3803</v>
      </c>
      <c r="G3493" t="s">
        <v>14</v>
      </c>
      <c r="H3493">
        <v>15</v>
      </c>
      <c r="I3493">
        <v>18.2</v>
      </c>
      <c r="J3493">
        <v>32.200000000000003</v>
      </c>
      <c r="K3493">
        <v>14</v>
      </c>
      <c r="L3493">
        <v>14</v>
      </c>
      <c r="M3493">
        <v>0</v>
      </c>
      <c r="N3493">
        <v>1</v>
      </c>
      <c r="O3493" t="s">
        <v>53</v>
      </c>
      <c r="P3493" t="s">
        <v>53</v>
      </c>
      <c r="Q3493" t="s">
        <v>53</v>
      </c>
    </row>
    <row r="3494" spans="1:17" x14ac:dyDescent="0.2">
      <c r="A3494" s="30" t="str">
        <f>IF(C3494&amp;G3494&amp;D3494&lt;&gt;'Funnel setup'!$K$3&amp;'Funnel setup'!$K$4&amp;'Funnel setup'!$K$5,".",IF(A3493=".",1,A3493+1))</f>
        <v>.</v>
      </c>
      <c r="B3494" s="431" t="str">
        <f t="shared" si="54"/>
        <v>Hip Replacement RevisionProviderDUCHY HOSPITAL (NVC04)Oxford Hip Score</v>
      </c>
      <c r="C3494" t="s">
        <v>247</v>
      </c>
      <c r="D3494" t="s">
        <v>1</v>
      </c>
      <c r="E3494" t="s">
        <v>4518</v>
      </c>
      <c r="F3494" t="s">
        <v>4519</v>
      </c>
      <c r="G3494" t="s">
        <v>14</v>
      </c>
      <c r="H3494">
        <v>15</v>
      </c>
      <c r="I3494">
        <v>25.867000000000001</v>
      </c>
      <c r="J3494">
        <v>37.933</v>
      </c>
      <c r="K3494">
        <v>12.067</v>
      </c>
      <c r="L3494">
        <v>15</v>
      </c>
      <c r="M3494">
        <v>0</v>
      </c>
      <c r="N3494">
        <v>0</v>
      </c>
      <c r="O3494" t="s">
        <v>53</v>
      </c>
      <c r="P3494" t="s">
        <v>53</v>
      </c>
      <c r="Q3494" t="s">
        <v>53</v>
      </c>
    </row>
    <row r="3495" spans="1:17" x14ac:dyDescent="0.2">
      <c r="A3495" s="30" t="str">
        <f>IF(C3495&amp;G3495&amp;D3495&lt;&gt;'Funnel setup'!$K$3&amp;'Funnel setup'!$K$4&amp;'Funnel setup'!$K$5,".",IF(A3494=".",1,A3494+1))</f>
        <v>.</v>
      </c>
      <c r="B3495" s="431" t="str">
        <f t="shared" si="54"/>
        <v>Hip Replacement RevisionProviderEAST AND NORTH HERTFORDSHIRE NHS TRUST (RWH)Oxford Hip Score</v>
      </c>
      <c r="C3495" t="s">
        <v>247</v>
      </c>
      <c r="D3495" t="s">
        <v>1</v>
      </c>
      <c r="E3495" t="s">
        <v>3814</v>
      </c>
      <c r="F3495" t="s">
        <v>3815</v>
      </c>
      <c r="G3495" t="s">
        <v>14</v>
      </c>
      <c r="H3495">
        <v>15</v>
      </c>
      <c r="I3495">
        <v>18.667000000000002</v>
      </c>
      <c r="J3495">
        <v>31.733000000000001</v>
      </c>
      <c r="K3495">
        <v>13.067</v>
      </c>
      <c r="L3495">
        <v>11</v>
      </c>
      <c r="M3495">
        <v>0</v>
      </c>
      <c r="N3495">
        <v>4</v>
      </c>
      <c r="O3495" t="s">
        <v>53</v>
      </c>
      <c r="P3495" t="s">
        <v>53</v>
      </c>
      <c r="Q3495" t="s">
        <v>53</v>
      </c>
    </row>
    <row r="3496" spans="1:17" x14ac:dyDescent="0.2">
      <c r="A3496" s="30" t="str">
        <f>IF(C3496&amp;G3496&amp;D3496&lt;&gt;'Funnel setup'!$K$3&amp;'Funnel setup'!$K$4&amp;'Funnel setup'!$K$5,".",IF(A3495=".",1,A3495+1))</f>
        <v>.</v>
      </c>
      <c r="B3496" s="431" t="str">
        <f t="shared" si="54"/>
        <v>Hip Replacement RevisionProviderEAST CHESHIRE NHS TRUST (RJN)Oxford Hip Score</v>
      </c>
      <c r="C3496" t="s">
        <v>247</v>
      </c>
      <c r="D3496" t="s">
        <v>1</v>
      </c>
      <c r="E3496" t="s">
        <v>3817</v>
      </c>
      <c r="F3496" t="s">
        <v>3818</v>
      </c>
      <c r="G3496" t="s">
        <v>14</v>
      </c>
      <c r="H3496" t="s">
        <v>53</v>
      </c>
      <c r="I3496" t="s">
        <v>53</v>
      </c>
      <c r="J3496" t="s">
        <v>53</v>
      </c>
      <c r="K3496" t="s">
        <v>53</v>
      </c>
      <c r="L3496" t="s">
        <v>53</v>
      </c>
      <c r="M3496" t="s">
        <v>53</v>
      </c>
      <c r="N3496" t="s">
        <v>53</v>
      </c>
      <c r="O3496" t="s">
        <v>53</v>
      </c>
      <c r="P3496" t="s">
        <v>53</v>
      </c>
      <c r="Q3496" t="s">
        <v>53</v>
      </c>
    </row>
    <row r="3497" spans="1:17" x14ac:dyDescent="0.2">
      <c r="A3497" s="30" t="str">
        <f>IF(C3497&amp;G3497&amp;D3497&lt;&gt;'Funnel setup'!$K$3&amp;'Funnel setup'!$K$4&amp;'Funnel setup'!$K$5,".",IF(A3496=".",1,A3496+1))</f>
        <v>.</v>
      </c>
      <c r="B3497" s="431" t="str">
        <f t="shared" si="54"/>
        <v>Hip Replacement RevisionProviderEAST KENT HOSPITALS UNIVERSITY NHS FOUNDATION TRUST (RVV)Oxford Hip Score</v>
      </c>
      <c r="C3497" t="s">
        <v>247</v>
      </c>
      <c r="D3497" t="s">
        <v>1</v>
      </c>
      <c r="E3497" t="s">
        <v>3820</v>
      </c>
      <c r="F3497" t="s">
        <v>3821</v>
      </c>
      <c r="G3497" t="s">
        <v>14</v>
      </c>
      <c r="H3497">
        <v>44</v>
      </c>
      <c r="I3497">
        <v>18.431999999999999</v>
      </c>
      <c r="J3497">
        <v>34.976999999999997</v>
      </c>
      <c r="K3497">
        <v>16.545000000000002</v>
      </c>
      <c r="L3497">
        <v>40</v>
      </c>
      <c r="M3497">
        <v>0</v>
      </c>
      <c r="N3497">
        <v>4</v>
      </c>
      <c r="O3497">
        <v>36.003</v>
      </c>
      <c r="P3497">
        <v>15.12844724</v>
      </c>
      <c r="Q3497">
        <v>10.092000000000001</v>
      </c>
    </row>
    <row r="3498" spans="1:17" x14ac:dyDescent="0.2">
      <c r="A3498" s="30" t="str">
        <f>IF(C3498&amp;G3498&amp;D3498&lt;&gt;'Funnel setup'!$K$3&amp;'Funnel setup'!$K$4&amp;'Funnel setup'!$K$5,".",IF(A3497=".",1,A3497+1))</f>
        <v>.</v>
      </c>
      <c r="B3498" s="431" t="str">
        <f t="shared" si="54"/>
        <v>Hip Replacement RevisionProviderEAST LANCASHIRE HOSPITALS NHS TRUST (RXR)Oxford Hip Score</v>
      </c>
      <c r="C3498" t="s">
        <v>247</v>
      </c>
      <c r="D3498" t="s">
        <v>1</v>
      </c>
      <c r="E3498" t="s">
        <v>3823</v>
      </c>
      <c r="F3498" t="s">
        <v>3824</v>
      </c>
      <c r="G3498" t="s">
        <v>14</v>
      </c>
      <c r="H3498">
        <v>13</v>
      </c>
      <c r="I3498">
        <v>18.231000000000002</v>
      </c>
      <c r="J3498">
        <v>26.077000000000002</v>
      </c>
      <c r="K3498">
        <v>7.8460000000000001</v>
      </c>
      <c r="L3498">
        <v>10</v>
      </c>
      <c r="M3498">
        <v>0</v>
      </c>
      <c r="N3498">
        <v>3</v>
      </c>
      <c r="O3498" t="s">
        <v>53</v>
      </c>
      <c r="P3498" t="s">
        <v>53</v>
      </c>
      <c r="Q3498" t="s">
        <v>53</v>
      </c>
    </row>
    <row r="3499" spans="1:17" x14ac:dyDescent="0.2">
      <c r="A3499" s="30" t="str">
        <f>IF(C3499&amp;G3499&amp;D3499&lt;&gt;'Funnel setup'!$K$3&amp;'Funnel setup'!$K$4&amp;'Funnel setup'!$K$5,".",IF(A3498=".",1,A3498+1))</f>
        <v>.</v>
      </c>
      <c r="B3499" s="431" t="str">
        <f t="shared" si="54"/>
        <v>Hip Replacement RevisionProviderEAST SUSSEX HEALTHCARE NHS TRUST (RXC)Oxford Hip Score</v>
      </c>
      <c r="C3499" t="s">
        <v>247</v>
      </c>
      <c r="D3499" t="s">
        <v>1</v>
      </c>
      <c r="E3499" t="s">
        <v>3826</v>
      </c>
      <c r="F3499" t="s">
        <v>3827</v>
      </c>
      <c r="G3499" t="s">
        <v>14</v>
      </c>
      <c r="H3499">
        <v>27</v>
      </c>
      <c r="I3499">
        <v>19.222000000000001</v>
      </c>
      <c r="J3499">
        <v>34.110999999999997</v>
      </c>
      <c r="K3499">
        <v>14.888999999999999</v>
      </c>
      <c r="L3499">
        <v>24</v>
      </c>
      <c r="M3499">
        <v>0</v>
      </c>
      <c r="N3499">
        <v>3</v>
      </c>
      <c r="O3499" t="s">
        <v>53</v>
      </c>
      <c r="P3499" t="s">
        <v>53</v>
      </c>
      <c r="Q3499" t="s">
        <v>53</v>
      </c>
    </row>
    <row r="3500" spans="1:17" x14ac:dyDescent="0.2">
      <c r="A3500" s="30" t="str">
        <f>IF(C3500&amp;G3500&amp;D3500&lt;&gt;'Funnel setup'!$K$3&amp;'Funnel setup'!$K$4&amp;'Funnel setup'!$K$5,".",IF(A3499=".",1,A3499+1))</f>
        <v>.</v>
      </c>
      <c r="B3500" s="431" t="str">
        <f t="shared" si="54"/>
        <v>Hip Replacement RevisionProviderEMERSONS GREEN NHS TREATMENT CENTRE (NTPH2)Oxford Hip Score</v>
      </c>
      <c r="C3500" t="s">
        <v>247</v>
      </c>
      <c r="D3500" t="s">
        <v>1</v>
      </c>
      <c r="E3500" t="s">
        <v>3829</v>
      </c>
      <c r="F3500" t="s">
        <v>3830</v>
      </c>
      <c r="G3500" t="s">
        <v>14</v>
      </c>
      <c r="H3500">
        <v>7</v>
      </c>
      <c r="I3500">
        <v>17.856999999999999</v>
      </c>
      <c r="J3500">
        <v>29.286000000000001</v>
      </c>
      <c r="K3500">
        <v>11.429</v>
      </c>
      <c r="L3500">
        <v>7</v>
      </c>
      <c r="M3500">
        <v>0</v>
      </c>
      <c r="N3500">
        <v>0</v>
      </c>
      <c r="O3500" t="s">
        <v>53</v>
      </c>
      <c r="P3500" t="s">
        <v>53</v>
      </c>
      <c r="Q3500" t="s">
        <v>53</v>
      </c>
    </row>
    <row r="3501" spans="1:17" x14ac:dyDescent="0.2">
      <c r="A3501" s="30" t="str">
        <f>IF(C3501&amp;G3501&amp;D3501&lt;&gt;'Funnel setup'!$K$3&amp;'Funnel setup'!$K$4&amp;'Funnel setup'!$K$5,".",IF(A3500=".",1,A3500+1))</f>
        <v>.</v>
      </c>
      <c r="B3501" s="431" t="str">
        <f t="shared" si="54"/>
        <v>Hip Replacement RevisionProviderEPSOM AND ST HELIER UNIVERSITY HOSPITALS NHS TRUST (RVR)Oxford Hip Score</v>
      </c>
      <c r="C3501" t="s">
        <v>247</v>
      </c>
      <c r="D3501" t="s">
        <v>1</v>
      </c>
      <c r="E3501" t="s">
        <v>3849</v>
      </c>
      <c r="F3501" t="s">
        <v>3850</v>
      </c>
      <c r="G3501" t="s">
        <v>14</v>
      </c>
      <c r="H3501">
        <v>46</v>
      </c>
      <c r="I3501">
        <v>23.803999999999998</v>
      </c>
      <c r="J3501">
        <v>35.435000000000002</v>
      </c>
      <c r="K3501">
        <v>11.63</v>
      </c>
      <c r="L3501">
        <v>40</v>
      </c>
      <c r="M3501">
        <v>1</v>
      </c>
      <c r="N3501">
        <v>5</v>
      </c>
      <c r="O3501">
        <v>33.503</v>
      </c>
      <c r="P3501">
        <v>12.62860088</v>
      </c>
      <c r="Q3501">
        <v>8.8219999999999992</v>
      </c>
    </row>
    <row r="3502" spans="1:17" x14ac:dyDescent="0.2">
      <c r="A3502" s="30" t="str">
        <f>IF(C3502&amp;G3502&amp;D3502&lt;&gt;'Funnel setup'!$K$3&amp;'Funnel setup'!$K$4&amp;'Funnel setup'!$K$5,".",IF(A3501=".",1,A3501+1))</f>
        <v>.</v>
      </c>
      <c r="B3502" s="431" t="str">
        <f t="shared" si="54"/>
        <v>Hip Replacement RevisionProviderFITZWILLIAM HOSPITAL (NVC06)Oxford Hip Score</v>
      </c>
      <c r="C3502" t="s">
        <v>247</v>
      </c>
      <c r="D3502" t="s">
        <v>1</v>
      </c>
      <c r="E3502" t="s">
        <v>3858</v>
      </c>
      <c r="F3502" t="s">
        <v>3859</v>
      </c>
      <c r="G3502" t="s">
        <v>14</v>
      </c>
      <c r="H3502" t="s">
        <v>53</v>
      </c>
      <c r="I3502" t="s">
        <v>53</v>
      </c>
      <c r="J3502" t="s">
        <v>53</v>
      </c>
      <c r="K3502" t="s">
        <v>53</v>
      </c>
      <c r="L3502" t="s">
        <v>53</v>
      </c>
      <c r="M3502" t="s">
        <v>53</v>
      </c>
      <c r="N3502" t="s">
        <v>53</v>
      </c>
      <c r="O3502" t="s">
        <v>53</v>
      </c>
      <c r="P3502" t="s">
        <v>53</v>
      </c>
      <c r="Q3502" t="s">
        <v>53</v>
      </c>
    </row>
    <row r="3503" spans="1:17" x14ac:dyDescent="0.2">
      <c r="A3503" s="30" t="str">
        <f>IF(C3503&amp;G3503&amp;D3503&lt;&gt;'Funnel setup'!$K$3&amp;'Funnel setup'!$K$4&amp;'Funnel setup'!$K$5,".",IF(A3502=".",1,A3502+1))</f>
        <v>.</v>
      </c>
      <c r="B3503" s="431" t="str">
        <f t="shared" si="54"/>
        <v>Hip Replacement RevisionProviderFRIMLEY HEALTH NHS FOUNDATION TRUST (RDU)Oxford Hip Score</v>
      </c>
      <c r="C3503" t="s">
        <v>247</v>
      </c>
      <c r="D3503" t="s">
        <v>1</v>
      </c>
      <c r="E3503" t="s">
        <v>3861</v>
      </c>
      <c r="F3503" t="s">
        <v>3862</v>
      </c>
      <c r="G3503" t="s">
        <v>14</v>
      </c>
      <c r="H3503">
        <v>34</v>
      </c>
      <c r="I3503">
        <v>22.175999999999998</v>
      </c>
      <c r="J3503">
        <v>35.941000000000003</v>
      </c>
      <c r="K3503">
        <v>13.765000000000001</v>
      </c>
      <c r="L3503">
        <v>29</v>
      </c>
      <c r="M3503">
        <v>0</v>
      </c>
      <c r="N3503">
        <v>5</v>
      </c>
      <c r="O3503">
        <v>35.457000000000001</v>
      </c>
      <c r="P3503">
        <v>14.582130980000001</v>
      </c>
      <c r="Q3503">
        <v>10.101000000000001</v>
      </c>
    </row>
    <row r="3504" spans="1:17" x14ac:dyDescent="0.2">
      <c r="A3504" s="30" t="str">
        <f>IF(C3504&amp;G3504&amp;D3504&lt;&gt;'Funnel setup'!$K$3&amp;'Funnel setup'!$K$4&amp;'Funnel setup'!$K$5,".",IF(A3503=".",1,A3503+1))</f>
        <v>.</v>
      </c>
      <c r="B3504" s="431" t="str">
        <f t="shared" si="54"/>
        <v>Hip Replacement RevisionProviderFULWOOD HALL HOSPITAL (NVC07)Oxford Hip Score</v>
      </c>
      <c r="C3504" t="s">
        <v>247</v>
      </c>
      <c r="D3504" t="s">
        <v>1</v>
      </c>
      <c r="E3504" t="s">
        <v>3864</v>
      </c>
      <c r="F3504" t="s">
        <v>3865</v>
      </c>
      <c r="G3504" t="s">
        <v>14</v>
      </c>
      <c r="H3504" t="s">
        <v>53</v>
      </c>
      <c r="I3504" t="s">
        <v>53</v>
      </c>
      <c r="J3504" t="s">
        <v>53</v>
      </c>
      <c r="K3504" t="s">
        <v>53</v>
      </c>
      <c r="L3504" t="s">
        <v>53</v>
      </c>
      <c r="M3504" t="s">
        <v>53</v>
      </c>
      <c r="N3504" t="s">
        <v>53</v>
      </c>
      <c r="O3504" t="s">
        <v>53</v>
      </c>
      <c r="P3504" t="s">
        <v>53</v>
      </c>
      <c r="Q3504" t="s">
        <v>53</v>
      </c>
    </row>
    <row r="3505" spans="1:17" x14ac:dyDescent="0.2">
      <c r="A3505" s="30" t="str">
        <f>IF(C3505&amp;G3505&amp;D3505&lt;&gt;'Funnel setup'!$K$3&amp;'Funnel setup'!$K$4&amp;'Funnel setup'!$K$5,".",IF(A3504=".",1,A3504+1))</f>
        <v>.</v>
      </c>
      <c r="B3505" s="431" t="str">
        <f t="shared" si="54"/>
        <v>Hip Replacement RevisionProviderGATESHEAD HEALTH NHS FOUNDATION TRUST (RR7)Oxford Hip Score</v>
      </c>
      <c r="C3505" t="s">
        <v>247</v>
      </c>
      <c r="D3505" t="s">
        <v>1</v>
      </c>
      <c r="E3505" t="s">
        <v>3867</v>
      </c>
      <c r="F3505" t="s">
        <v>3868</v>
      </c>
      <c r="G3505" t="s">
        <v>14</v>
      </c>
      <c r="H3505">
        <v>9</v>
      </c>
      <c r="I3505">
        <v>21.556000000000001</v>
      </c>
      <c r="J3505">
        <v>37.667000000000002</v>
      </c>
      <c r="K3505">
        <v>16.111000000000001</v>
      </c>
      <c r="L3505">
        <v>8</v>
      </c>
      <c r="M3505">
        <v>0</v>
      </c>
      <c r="N3505">
        <v>1</v>
      </c>
      <c r="O3505" t="s">
        <v>53</v>
      </c>
      <c r="P3505" t="s">
        <v>53</v>
      </c>
      <c r="Q3505" t="s">
        <v>53</v>
      </c>
    </row>
    <row r="3506" spans="1:17" x14ac:dyDescent="0.2">
      <c r="A3506" s="30" t="str">
        <f>IF(C3506&amp;G3506&amp;D3506&lt;&gt;'Funnel setup'!$K$3&amp;'Funnel setup'!$K$4&amp;'Funnel setup'!$K$5,".",IF(A3505=".",1,A3505+1))</f>
        <v>.</v>
      </c>
      <c r="B3506" s="431" t="str">
        <f t="shared" si="54"/>
        <v>Hip Replacement RevisionProviderGEORGE ELIOT HOSPITAL NHS TRUST (RLT)Oxford Hip Score</v>
      </c>
      <c r="C3506" t="s">
        <v>247</v>
      </c>
      <c r="D3506" t="s">
        <v>1</v>
      </c>
      <c r="E3506" t="s">
        <v>3870</v>
      </c>
      <c r="F3506" t="s">
        <v>3871</v>
      </c>
      <c r="G3506" t="s">
        <v>14</v>
      </c>
      <c r="H3506" t="s">
        <v>53</v>
      </c>
      <c r="I3506" t="s">
        <v>53</v>
      </c>
      <c r="J3506" t="s">
        <v>53</v>
      </c>
      <c r="K3506" t="s">
        <v>53</v>
      </c>
      <c r="L3506" t="s">
        <v>53</v>
      </c>
      <c r="M3506" t="s">
        <v>53</v>
      </c>
      <c r="N3506" t="s">
        <v>53</v>
      </c>
      <c r="O3506" t="s">
        <v>53</v>
      </c>
      <c r="P3506" t="s">
        <v>53</v>
      </c>
      <c r="Q3506" t="s">
        <v>53</v>
      </c>
    </row>
    <row r="3507" spans="1:17" x14ac:dyDescent="0.2">
      <c r="A3507" s="30" t="str">
        <f>IF(C3507&amp;G3507&amp;D3507&lt;&gt;'Funnel setup'!$K$3&amp;'Funnel setup'!$K$4&amp;'Funnel setup'!$K$5,".",IF(A3506=".",1,A3506+1))</f>
        <v>.</v>
      </c>
      <c r="B3507" s="431" t="str">
        <f t="shared" si="54"/>
        <v>Hip Replacement RevisionProviderGLOUCESTERSHIRE HOSPITALS NHS FOUNDATION TRUST (RTE)Oxford Hip Score</v>
      </c>
      <c r="C3507" t="s">
        <v>247</v>
      </c>
      <c r="D3507" t="s">
        <v>1</v>
      </c>
      <c r="E3507" t="s">
        <v>3873</v>
      </c>
      <c r="F3507" t="s">
        <v>3874</v>
      </c>
      <c r="G3507" t="s">
        <v>14</v>
      </c>
      <c r="H3507">
        <v>43</v>
      </c>
      <c r="I3507">
        <v>22.279</v>
      </c>
      <c r="J3507">
        <v>30.907</v>
      </c>
      <c r="K3507">
        <v>8.6280000000000001</v>
      </c>
      <c r="L3507">
        <v>33</v>
      </c>
      <c r="M3507">
        <v>3</v>
      </c>
      <c r="N3507">
        <v>7</v>
      </c>
      <c r="O3507">
        <v>30.135000000000002</v>
      </c>
      <c r="P3507">
        <v>9.2601887759999997</v>
      </c>
      <c r="Q3507">
        <v>8.6910000000000007</v>
      </c>
    </row>
    <row r="3508" spans="1:17" x14ac:dyDescent="0.2">
      <c r="A3508" s="30" t="str">
        <f>IF(C3508&amp;G3508&amp;D3508&lt;&gt;'Funnel setup'!$K$3&amp;'Funnel setup'!$K$4&amp;'Funnel setup'!$K$5,".",IF(A3507=".",1,A3507+1))</f>
        <v>.</v>
      </c>
      <c r="B3508" s="431" t="str">
        <f t="shared" si="54"/>
        <v>Hip Replacement RevisionProviderGREAT WESTERN HOSPITALS NHS FOUNDATION TRUST (RN3)Oxford Hip Score</v>
      </c>
      <c r="C3508" t="s">
        <v>247</v>
      </c>
      <c r="D3508" t="s">
        <v>1</v>
      </c>
      <c r="E3508" t="s">
        <v>3876</v>
      </c>
      <c r="F3508" t="s">
        <v>3877</v>
      </c>
      <c r="G3508" t="s">
        <v>14</v>
      </c>
      <c r="H3508">
        <v>13</v>
      </c>
      <c r="I3508">
        <v>22.614999999999998</v>
      </c>
      <c r="J3508">
        <v>33</v>
      </c>
      <c r="K3508">
        <v>10.385</v>
      </c>
      <c r="L3508">
        <v>11</v>
      </c>
      <c r="M3508">
        <v>1</v>
      </c>
      <c r="N3508">
        <v>1</v>
      </c>
      <c r="O3508" t="s">
        <v>53</v>
      </c>
      <c r="P3508" t="s">
        <v>53</v>
      </c>
      <c r="Q3508" t="s">
        <v>53</v>
      </c>
    </row>
    <row r="3509" spans="1:17" x14ac:dyDescent="0.2">
      <c r="A3509" s="30" t="str">
        <f>IF(C3509&amp;G3509&amp;D3509&lt;&gt;'Funnel setup'!$K$3&amp;'Funnel setup'!$K$4&amp;'Funnel setup'!$K$5,".",IF(A3508=".",1,A3508+1))</f>
        <v>.</v>
      </c>
      <c r="B3509" s="431" t="str">
        <f t="shared" si="54"/>
        <v>Hip Replacement RevisionProviderGUY'S AND ST THOMAS' NHS FOUNDATION TRUST (RJ1)Oxford Hip Score</v>
      </c>
      <c r="C3509" t="s">
        <v>247</v>
      </c>
      <c r="D3509" t="s">
        <v>1</v>
      </c>
      <c r="E3509" t="s">
        <v>3879</v>
      </c>
      <c r="F3509" t="s">
        <v>3880</v>
      </c>
      <c r="G3509" t="s">
        <v>14</v>
      </c>
      <c r="H3509">
        <v>14</v>
      </c>
      <c r="I3509">
        <v>14.856999999999999</v>
      </c>
      <c r="J3509">
        <v>29.286000000000001</v>
      </c>
      <c r="K3509">
        <v>14.429</v>
      </c>
      <c r="L3509">
        <v>10</v>
      </c>
      <c r="M3509">
        <v>2</v>
      </c>
      <c r="N3509">
        <v>2</v>
      </c>
      <c r="O3509" t="s">
        <v>53</v>
      </c>
      <c r="P3509" t="s">
        <v>53</v>
      </c>
      <c r="Q3509" t="s">
        <v>53</v>
      </c>
    </row>
    <row r="3510" spans="1:17" x14ac:dyDescent="0.2">
      <c r="A3510" s="30" t="str">
        <f>IF(C3510&amp;G3510&amp;D3510&lt;&gt;'Funnel setup'!$K$3&amp;'Funnel setup'!$K$4&amp;'Funnel setup'!$K$5,".",IF(A3509=".",1,A3509+1))</f>
        <v>.</v>
      </c>
      <c r="B3510" s="431" t="str">
        <f t="shared" si="54"/>
        <v>Hip Replacement RevisionProviderHAMPSHIRE HOSPITALS NHS FOUNDATION TRUST (RN5)Oxford Hip Score</v>
      </c>
      <c r="C3510" t="s">
        <v>247</v>
      </c>
      <c r="D3510" t="s">
        <v>1</v>
      </c>
      <c r="E3510" t="s">
        <v>3882</v>
      </c>
      <c r="F3510" t="s">
        <v>3883</v>
      </c>
      <c r="G3510" t="s">
        <v>14</v>
      </c>
      <c r="H3510">
        <v>27</v>
      </c>
      <c r="I3510">
        <v>24.556000000000001</v>
      </c>
      <c r="J3510">
        <v>35.814999999999998</v>
      </c>
      <c r="K3510">
        <v>11.259</v>
      </c>
      <c r="L3510">
        <v>25</v>
      </c>
      <c r="M3510">
        <v>0</v>
      </c>
      <c r="N3510">
        <v>2</v>
      </c>
      <c r="O3510" t="s">
        <v>53</v>
      </c>
      <c r="P3510" t="s">
        <v>53</v>
      </c>
      <c r="Q3510" t="s">
        <v>53</v>
      </c>
    </row>
    <row r="3511" spans="1:17" x14ac:dyDescent="0.2">
      <c r="A3511" s="30" t="str">
        <f>IF(C3511&amp;G3511&amp;D3511&lt;&gt;'Funnel setup'!$K$3&amp;'Funnel setup'!$K$4&amp;'Funnel setup'!$K$5,".",IF(A3510=".",1,A3510+1))</f>
        <v>.</v>
      </c>
      <c r="B3511" s="431" t="str">
        <f t="shared" si="54"/>
        <v>Hip Replacement RevisionProviderHARROGATE AND DISTRICT NHS FOUNDATION TRUST (RCD)Oxford Hip Score</v>
      </c>
      <c r="C3511" t="s">
        <v>247</v>
      </c>
      <c r="D3511" t="s">
        <v>1</v>
      </c>
      <c r="E3511" t="s">
        <v>3885</v>
      </c>
      <c r="F3511" t="s">
        <v>3886</v>
      </c>
      <c r="G3511" t="s">
        <v>14</v>
      </c>
      <c r="H3511">
        <v>10</v>
      </c>
      <c r="I3511">
        <v>22.5</v>
      </c>
      <c r="J3511">
        <v>38.4</v>
      </c>
      <c r="K3511">
        <v>15.9</v>
      </c>
      <c r="L3511">
        <v>10</v>
      </c>
      <c r="M3511">
        <v>0</v>
      </c>
      <c r="N3511">
        <v>0</v>
      </c>
      <c r="O3511" t="s">
        <v>53</v>
      </c>
      <c r="P3511" t="s">
        <v>53</v>
      </c>
      <c r="Q3511" t="s">
        <v>53</v>
      </c>
    </row>
    <row r="3512" spans="1:17" x14ac:dyDescent="0.2">
      <c r="A3512" s="30" t="str">
        <f>IF(C3512&amp;G3512&amp;D3512&lt;&gt;'Funnel setup'!$K$3&amp;'Funnel setup'!$K$4&amp;'Funnel setup'!$K$5,".",IF(A3511=".",1,A3511+1))</f>
        <v>.</v>
      </c>
      <c r="B3512" s="431" t="str">
        <f t="shared" si="54"/>
        <v>Hip Replacement RevisionProviderHEART OF ENGLAND NHS FOUNDATION TRUST (RR1)Oxford Hip Score</v>
      </c>
      <c r="C3512" t="s">
        <v>247</v>
      </c>
      <c r="D3512" t="s">
        <v>1</v>
      </c>
      <c r="E3512" t="s">
        <v>3888</v>
      </c>
      <c r="F3512" t="s">
        <v>3889</v>
      </c>
      <c r="G3512" t="s">
        <v>14</v>
      </c>
      <c r="H3512">
        <v>22</v>
      </c>
      <c r="I3512">
        <v>14.682</v>
      </c>
      <c r="J3512">
        <v>28.181999999999999</v>
      </c>
      <c r="K3512">
        <v>13.5</v>
      </c>
      <c r="L3512">
        <v>21</v>
      </c>
      <c r="M3512">
        <v>0</v>
      </c>
      <c r="N3512">
        <v>1</v>
      </c>
      <c r="O3512" t="s">
        <v>53</v>
      </c>
      <c r="P3512" t="s">
        <v>53</v>
      </c>
      <c r="Q3512" t="s">
        <v>53</v>
      </c>
    </row>
    <row r="3513" spans="1:17" x14ac:dyDescent="0.2">
      <c r="A3513" s="30" t="str">
        <f>IF(C3513&amp;G3513&amp;D3513&lt;&gt;'Funnel setup'!$K$3&amp;'Funnel setup'!$K$4&amp;'Funnel setup'!$K$5,".",IF(A3512=".",1,A3512+1))</f>
        <v>.</v>
      </c>
      <c r="B3513" s="431" t="str">
        <f t="shared" si="54"/>
        <v>Hip Replacement RevisionProviderHINCHINGBROOKE HEALTH CARE NHS TRUST (RQQ)Oxford Hip Score</v>
      </c>
      <c r="C3513" t="s">
        <v>247</v>
      </c>
      <c r="D3513" t="s">
        <v>1</v>
      </c>
      <c r="E3513" t="s">
        <v>3894</v>
      </c>
      <c r="F3513" t="s">
        <v>3895</v>
      </c>
      <c r="G3513" t="s">
        <v>14</v>
      </c>
      <c r="H3513">
        <v>21</v>
      </c>
      <c r="I3513">
        <v>23.952000000000002</v>
      </c>
      <c r="J3513">
        <v>36.713999999999999</v>
      </c>
      <c r="K3513">
        <v>12.762</v>
      </c>
      <c r="L3513">
        <v>17</v>
      </c>
      <c r="M3513">
        <v>1</v>
      </c>
      <c r="N3513">
        <v>3</v>
      </c>
      <c r="O3513" t="s">
        <v>53</v>
      </c>
      <c r="P3513" t="s">
        <v>53</v>
      </c>
      <c r="Q3513" t="s">
        <v>53</v>
      </c>
    </row>
    <row r="3514" spans="1:17" x14ac:dyDescent="0.2">
      <c r="A3514" s="30" t="str">
        <f>IF(C3514&amp;G3514&amp;D3514&lt;&gt;'Funnel setup'!$K$3&amp;'Funnel setup'!$K$4&amp;'Funnel setup'!$K$5,".",IF(A3513=".",1,A3513+1))</f>
        <v>.</v>
      </c>
      <c r="B3514" s="431" t="str">
        <f t="shared" si="54"/>
        <v>Hip Replacement RevisionProviderHOMERTON UNIVERSITY HOSPITAL NHS FOUNDATION TRUST (RQX)Oxford Hip Score</v>
      </c>
      <c r="C3514" t="s">
        <v>247</v>
      </c>
      <c r="D3514" t="s">
        <v>1</v>
      </c>
      <c r="E3514" t="s">
        <v>3897</v>
      </c>
      <c r="F3514" t="s">
        <v>3898</v>
      </c>
      <c r="G3514" t="s">
        <v>14</v>
      </c>
      <c r="H3514" t="s">
        <v>53</v>
      </c>
      <c r="I3514" t="s">
        <v>53</v>
      </c>
      <c r="J3514" t="s">
        <v>53</v>
      </c>
      <c r="K3514" t="s">
        <v>53</v>
      </c>
      <c r="L3514" t="s">
        <v>53</v>
      </c>
      <c r="M3514" t="s">
        <v>53</v>
      </c>
      <c r="N3514" t="s">
        <v>53</v>
      </c>
      <c r="O3514" t="s">
        <v>53</v>
      </c>
      <c r="P3514" t="s">
        <v>53</v>
      </c>
      <c r="Q3514" t="s">
        <v>53</v>
      </c>
    </row>
    <row r="3515" spans="1:17" x14ac:dyDescent="0.2">
      <c r="A3515" s="30" t="str">
        <f>IF(C3515&amp;G3515&amp;D3515&lt;&gt;'Funnel setup'!$K$3&amp;'Funnel setup'!$K$4&amp;'Funnel setup'!$K$5,".",IF(A3514=".",1,A3514+1))</f>
        <v>.</v>
      </c>
      <c r="B3515" s="431" t="str">
        <f t="shared" si="54"/>
        <v>Hip Replacement RevisionProviderHORTON NHS TREATMENT CENTRE (NVC25)Oxford Hip Score</v>
      </c>
      <c r="C3515" t="s">
        <v>247</v>
      </c>
      <c r="D3515" t="s">
        <v>1</v>
      </c>
      <c r="E3515" t="s">
        <v>4553</v>
      </c>
      <c r="F3515" t="s">
        <v>4554</v>
      </c>
      <c r="G3515" t="s">
        <v>14</v>
      </c>
      <c r="H3515" t="s">
        <v>53</v>
      </c>
      <c r="I3515" t="s">
        <v>53</v>
      </c>
      <c r="J3515" t="s">
        <v>53</v>
      </c>
      <c r="K3515" t="s">
        <v>53</v>
      </c>
      <c r="L3515" t="s">
        <v>53</v>
      </c>
      <c r="M3515" t="s">
        <v>53</v>
      </c>
      <c r="N3515" t="s">
        <v>53</v>
      </c>
      <c r="O3515" t="s">
        <v>53</v>
      </c>
      <c r="P3515" t="s">
        <v>53</v>
      </c>
      <c r="Q3515" t="s">
        <v>53</v>
      </c>
    </row>
    <row r="3516" spans="1:17" x14ac:dyDescent="0.2">
      <c r="A3516" s="30" t="str">
        <f>IF(C3516&amp;G3516&amp;D3516&lt;&gt;'Funnel setup'!$K$3&amp;'Funnel setup'!$K$4&amp;'Funnel setup'!$K$5,".",IF(A3515=".",1,A3515+1))</f>
        <v>.</v>
      </c>
      <c r="B3516" s="431" t="str">
        <f t="shared" si="54"/>
        <v>Hip Replacement RevisionProviderHULL AND EAST YORKSHIRE HOSPITALS NHS TRUST (RWA)Oxford Hip Score</v>
      </c>
      <c r="C3516" t="s">
        <v>247</v>
      </c>
      <c r="D3516" t="s">
        <v>1</v>
      </c>
      <c r="E3516" t="s">
        <v>3906</v>
      </c>
      <c r="F3516" t="s">
        <v>3907</v>
      </c>
      <c r="G3516" t="s">
        <v>14</v>
      </c>
      <c r="H3516">
        <v>25</v>
      </c>
      <c r="I3516">
        <v>22.64</v>
      </c>
      <c r="J3516">
        <v>36</v>
      </c>
      <c r="K3516">
        <v>13.36</v>
      </c>
      <c r="L3516">
        <v>22</v>
      </c>
      <c r="M3516">
        <v>2</v>
      </c>
      <c r="N3516">
        <v>1</v>
      </c>
      <c r="O3516" t="s">
        <v>53</v>
      </c>
      <c r="P3516" t="s">
        <v>53</v>
      </c>
      <c r="Q3516" t="s">
        <v>53</v>
      </c>
    </row>
    <row r="3517" spans="1:17" x14ac:dyDescent="0.2">
      <c r="A3517" s="30" t="str">
        <f>IF(C3517&amp;G3517&amp;D3517&lt;&gt;'Funnel setup'!$K$3&amp;'Funnel setup'!$K$4&amp;'Funnel setup'!$K$5,".",IF(A3516=".",1,A3516+1))</f>
        <v>.</v>
      </c>
      <c r="B3517" s="431" t="str">
        <f t="shared" si="54"/>
        <v>Hip Replacement RevisionProviderIMPERIAL COLLEGE HEALTHCARE NHS TRUST (RYJ)Oxford Hip Score</v>
      </c>
      <c r="C3517" t="s">
        <v>247</v>
      </c>
      <c r="D3517" t="s">
        <v>1</v>
      </c>
      <c r="E3517" t="s">
        <v>4558</v>
      </c>
      <c r="F3517" t="s">
        <v>4559</v>
      </c>
      <c r="G3517" t="s">
        <v>14</v>
      </c>
      <c r="H3517">
        <v>6</v>
      </c>
      <c r="I3517">
        <v>15.833</v>
      </c>
      <c r="J3517">
        <v>29.667000000000002</v>
      </c>
      <c r="K3517">
        <v>13.833</v>
      </c>
      <c r="L3517">
        <v>5</v>
      </c>
      <c r="M3517">
        <v>0</v>
      </c>
      <c r="N3517">
        <v>1</v>
      </c>
      <c r="O3517" t="s">
        <v>53</v>
      </c>
      <c r="P3517" t="s">
        <v>53</v>
      </c>
      <c r="Q3517" t="s">
        <v>53</v>
      </c>
    </row>
    <row r="3518" spans="1:17" x14ac:dyDescent="0.2">
      <c r="A3518" s="30" t="str">
        <f>IF(C3518&amp;G3518&amp;D3518&lt;&gt;'Funnel setup'!$K$3&amp;'Funnel setup'!$K$4&amp;'Funnel setup'!$K$5,".",IF(A3517=".",1,A3517+1))</f>
        <v>.</v>
      </c>
      <c r="B3518" s="431" t="str">
        <f t="shared" si="54"/>
        <v>Hip Replacement RevisionProviderIPSWICH HOSPITAL NHS TRUST (RGQ)Oxford Hip Score</v>
      </c>
      <c r="C3518" t="s">
        <v>247</v>
      </c>
      <c r="D3518" t="s">
        <v>1</v>
      </c>
      <c r="E3518" t="s">
        <v>3909</v>
      </c>
      <c r="F3518" t="s">
        <v>3910</v>
      </c>
      <c r="G3518" t="s">
        <v>14</v>
      </c>
      <c r="H3518">
        <v>8</v>
      </c>
      <c r="I3518">
        <v>16</v>
      </c>
      <c r="J3518">
        <v>33.5</v>
      </c>
      <c r="K3518">
        <v>17.5</v>
      </c>
      <c r="L3518">
        <v>7</v>
      </c>
      <c r="M3518">
        <v>1</v>
      </c>
      <c r="N3518">
        <v>0</v>
      </c>
      <c r="O3518" t="s">
        <v>53</v>
      </c>
      <c r="P3518" t="s">
        <v>53</v>
      </c>
      <c r="Q3518" t="s">
        <v>53</v>
      </c>
    </row>
    <row r="3519" spans="1:17" x14ac:dyDescent="0.2">
      <c r="A3519" s="30" t="str">
        <f>IF(C3519&amp;G3519&amp;D3519&lt;&gt;'Funnel setup'!$K$3&amp;'Funnel setup'!$K$4&amp;'Funnel setup'!$K$5,".",IF(A3518=".",1,A3518+1))</f>
        <v>.</v>
      </c>
      <c r="B3519" s="431" t="str">
        <f t="shared" si="54"/>
        <v>Hip Replacement RevisionProviderISLE OF WIGHT NHS TRUST (R1F)Oxford Hip Score</v>
      </c>
      <c r="C3519" t="s">
        <v>247</v>
      </c>
      <c r="D3519" t="s">
        <v>1</v>
      </c>
      <c r="E3519" t="s">
        <v>3912</v>
      </c>
      <c r="F3519" t="s">
        <v>3913</v>
      </c>
      <c r="G3519" t="s">
        <v>14</v>
      </c>
      <c r="H3519" t="s">
        <v>53</v>
      </c>
      <c r="I3519" t="s">
        <v>53</v>
      </c>
      <c r="J3519" t="s">
        <v>53</v>
      </c>
      <c r="K3519" t="s">
        <v>53</v>
      </c>
      <c r="L3519" t="s">
        <v>53</v>
      </c>
      <c r="M3519" t="s">
        <v>53</v>
      </c>
      <c r="N3519" t="s">
        <v>53</v>
      </c>
      <c r="O3519" t="s">
        <v>53</v>
      </c>
      <c r="P3519" t="s">
        <v>53</v>
      </c>
      <c r="Q3519" t="s">
        <v>53</v>
      </c>
    </row>
    <row r="3520" spans="1:17" x14ac:dyDescent="0.2">
      <c r="A3520" s="30" t="str">
        <f>IF(C3520&amp;G3520&amp;D3520&lt;&gt;'Funnel setup'!$K$3&amp;'Funnel setup'!$K$4&amp;'Funnel setup'!$K$5,".",IF(A3519=".",1,A3519+1))</f>
        <v>.</v>
      </c>
      <c r="B3520" s="431" t="str">
        <f t="shared" si="54"/>
        <v>Hip Replacement RevisionProviderJAMES PAGET UNIVERSITY HOSPITALS NHS FOUNDATION TRUST (RGP)Oxford Hip Score</v>
      </c>
      <c r="C3520" t="s">
        <v>247</v>
      </c>
      <c r="D3520" t="s">
        <v>1</v>
      </c>
      <c r="E3520" t="s">
        <v>3915</v>
      </c>
      <c r="F3520" t="s">
        <v>3916</v>
      </c>
      <c r="G3520" t="s">
        <v>14</v>
      </c>
      <c r="H3520" t="s">
        <v>53</v>
      </c>
      <c r="I3520" t="s">
        <v>53</v>
      </c>
      <c r="J3520" t="s">
        <v>53</v>
      </c>
      <c r="K3520" t="s">
        <v>53</v>
      </c>
      <c r="L3520" t="s">
        <v>53</v>
      </c>
      <c r="M3520" t="s">
        <v>53</v>
      </c>
      <c r="N3520" t="s">
        <v>53</v>
      </c>
      <c r="O3520" t="s">
        <v>53</v>
      </c>
      <c r="P3520" t="s">
        <v>53</v>
      </c>
      <c r="Q3520" t="s">
        <v>53</v>
      </c>
    </row>
    <row r="3521" spans="1:17" x14ac:dyDescent="0.2">
      <c r="A3521" s="30" t="str">
        <f>IF(C3521&amp;G3521&amp;D3521&lt;&gt;'Funnel setup'!$K$3&amp;'Funnel setup'!$K$4&amp;'Funnel setup'!$K$5,".",IF(A3520=".",1,A3520+1))</f>
        <v>.</v>
      </c>
      <c r="B3521" s="431" t="str">
        <f t="shared" si="54"/>
        <v>Hip Replacement RevisionProviderKETTERING GENERAL HOSPITAL NHS FOUNDATION TRUST (RNQ)Oxford Hip Score</v>
      </c>
      <c r="C3521" t="s">
        <v>247</v>
      </c>
      <c r="D3521" t="s">
        <v>1</v>
      </c>
      <c r="E3521" t="s">
        <v>3918</v>
      </c>
      <c r="F3521" t="s">
        <v>3919</v>
      </c>
      <c r="G3521" t="s">
        <v>14</v>
      </c>
      <c r="H3521">
        <v>11</v>
      </c>
      <c r="I3521">
        <v>21.545000000000002</v>
      </c>
      <c r="J3521">
        <v>33.817999999999998</v>
      </c>
      <c r="K3521">
        <v>12.273</v>
      </c>
      <c r="L3521">
        <v>10</v>
      </c>
      <c r="M3521">
        <v>0</v>
      </c>
      <c r="N3521">
        <v>1</v>
      </c>
      <c r="O3521" t="s">
        <v>53</v>
      </c>
      <c r="P3521" t="s">
        <v>53</v>
      </c>
      <c r="Q3521" t="s">
        <v>53</v>
      </c>
    </row>
    <row r="3522" spans="1:17" x14ac:dyDescent="0.2">
      <c r="A3522" s="30" t="str">
        <f>IF(C3522&amp;G3522&amp;D3522&lt;&gt;'Funnel setup'!$K$3&amp;'Funnel setup'!$K$4&amp;'Funnel setup'!$K$5,".",IF(A3521=".",1,A3521+1))</f>
        <v>.</v>
      </c>
      <c r="B3522" s="431" t="str">
        <f t="shared" si="54"/>
        <v>Hip Replacement RevisionProviderKING'S COLLEGE HOSPITAL NHS FOUNDATION TRUST (RJZ)Oxford Hip Score</v>
      </c>
      <c r="C3522" t="s">
        <v>247</v>
      </c>
      <c r="D3522" t="s">
        <v>1</v>
      </c>
      <c r="E3522" t="s">
        <v>3924</v>
      </c>
      <c r="F3522" t="s">
        <v>3925</v>
      </c>
      <c r="G3522" t="s">
        <v>14</v>
      </c>
      <c r="H3522" t="s">
        <v>53</v>
      </c>
      <c r="I3522" t="s">
        <v>53</v>
      </c>
      <c r="J3522" t="s">
        <v>53</v>
      </c>
      <c r="K3522" t="s">
        <v>53</v>
      </c>
      <c r="L3522" t="s">
        <v>53</v>
      </c>
      <c r="M3522" t="s">
        <v>53</v>
      </c>
      <c r="N3522" t="s">
        <v>53</v>
      </c>
      <c r="O3522" t="s">
        <v>53</v>
      </c>
      <c r="P3522" t="s">
        <v>53</v>
      </c>
      <c r="Q3522" t="s">
        <v>53</v>
      </c>
    </row>
    <row r="3523" spans="1:17" x14ac:dyDescent="0.2">
      <c r="A3523" s="30" t="str">
        <f>IF(C3523&amp;G3523&amp;D3523&lt;&gt;'Funnel setup'!$K$3&amp;'Funnel setup'!$K$4&amp;'Funnel setup'!$K$5,".",IF(A3522=".",1,A3522+1))</f>
        <v>.</v>
      </c>
      <c r="B3523" s="431" t="str">
        <f t="shared" ref="B3523:B3586" si="55">C3523&amp;D3523&amp;F3523&amp;G3523</f>
        <v>Hip Replacement RevisionProviderLANCASHIRE TEACHING HOSPITALS NHS FOUNDATION TRUST (RXN)Oxford Hip Score</v>
      </c>
      <c r="C3523" t="s">
        <v>247</v>
      </c>
      <c r="D3523" t="s">
        <v>1</v>
      </c>
      <c r="E3523" t="s">
        <v>3567</v>
      </c>
      <c r="F3523" t="s">
        <v>3568</v>
      </c>
      <c r="G3523" t="s">
        <v>14</v>
      </c>
      <c r="H3523">
        <v>22</v>
      </c>
      <c r="I3523">
        <v>19.273</v>
      </c>
      <c r="J3523">
        <v>36.454999999999998</v>
      </c>
      <c r="K3523">
        <v>17.181999999999999</v>
      </c>
      <c r="L3523">
        <v>20</v>
      </c>
      <c r="M3523">
        <v>0</v>
      </c>
      <c r="N3523">
        <v>2</v>
      </c>
      <c r="O3523" t="s">
        <v>53</v>
      </c>
      <c r="P3523" t="s">
        <v>53</v>
      </c>
      <c r="Q3523" t="s">
        <v>53</v>
      </c>
    </row>
    <row r="3524" spans="1:17" x14ac:dyDescent="0.2">
      <c r="A3524" s="30" t="str">
        <f>IF(C3524&amp;G3524&amp;D3524&lt;&gt;'Funnel setup'!$K$3&amp;'Funnel setup'!$K$4&amp;'Funnel setup'!$K$5,".",IF(A3523=".",1,A3523+1))</f>
        <v>.</v>
      </c>
      <c r="B3524" s="431" t="str">
        <f t="shared" si="55"/>
        <v>Hip Replacement RevisionProviderLEEDS TEACHING HOSPITALS NHS TRUST (RR8)Oxford Hip Score</v>
      </c>
      <c r="C3524" t="s">
        <v>247</v>
      </c>
      <c r="D3524" t="s">
        <v>1</v>
      </c>
      <c r="E3524" t="s">
        <v>3930</v>
      </c>
      <c r="F3524" t="s">
        <v>344</v>
      </c>
      <c r="G3524" t="s">
        <v>14</v>
      </c>
      <c r="H3524">
        <v>19</v>
      </c>
      <c r="I3524">
        <v>21.053000000000001</v>
      </c>
      <c r="J3524">
        <v>35.526000000000003</v>
      </c>
      <c r="K3524">
        <v>14.474</v>
      </c>
      <c r="L3524">
        <v>18</v>
      </c>
      <c r="M3524">
        <v>0</v>
      </c>
      <c r="N3524">
        <v>1</v>
      </c>
      <c r="O3524" t="s">
        <v>53</v>
      </c>
      <c r="P3524" t="s">
        <v>53</v>
      </c>
      <c r="Q3524" t="s">
        <v>53</v>
      </c>
    </row>
    <row r="3525" spans="1:17" x14ac:dyDescent="0.2">
      <c r="A3525" s="30" t="str">
        <f>IF(C3525&amp;G3525&amp;D3525&lt;&gt;'Funnel setup'!$K$3&amp;'Funnel setup'!$K$4&amp;'Funnel setup'!$K$5,".",IF(A3524=".",1,A3524+1))</f>
        <v>.</v>
      </c>
      <c r="B3525" s="431" t="str">
        <f t="shared" si="55"/>
        <v>Hip Replacement RevisionProviderLEWISHAM AND GREENWICH NHS TRUST (RJ2)Oxford Hip Score</v>
      </c>
      <c r="C3525" t="s">
        <v>247</v>
      </c>
      <c r="D3525" t="s">
        <v>1</v>
      </c>
      <c r="E3525" t="s">
        <v>3522</v>
      </c>
      <c r="F3525" t="s">
        <v>3523</v>
      </c>
      <c r="G3525" t="s">
        <v>14</v>
      </c>
      <c r="H3525" t="s">
        <v>53</v>
      </c>
      <c r="I3525" t="s">
        <v>53</v>
      </c>
      <c r="J3525" t="s">
        <v>53</v>
      </c>
      <c r="K3525" t="s">
        <v>53</v>
      </c>
      <c r="L3525" t="s">
        <v>53</v>
      </c>
      <c r="M3525" t="s">
        <v>53</v>
      </c>
      <c r="N3525" t="s">
        <v>53</v>
      </c>
      <c r="O3525" t="s">
        <v>53</v>
      </c>
      <c r="P3525" t="s">
        <v>53</v>
      </c>
      <c r="Q3525" t="s">
        <v>53</v>
      </c>
    </row>
    <row r="3526" spans="1:17" x14ac:dyDescent="0.2">
      <c r="A3526" s="30" t="str">
        <f>IF(C3526&amp;G3526&amp;D3526&lt;&gt;'Funnel setup'!$K$3&amp;'Funnel setup'!$K$4&amp;'Funnel setup'!$K$5,".",IF(A3525=".",1,A3525+1))</f>
        <v>.</v>
      </c>
      <c r="B3526" s="431" t="str">
        <f t="shared" si="55"/>
        <v>Hip Replacement RevisionProviderLONDON NORTH WEST HEALTHCARE NHS TRUST (R1K)Oxford Hip Score</v>
      </c>
      <c r="C3526" t="s">
        <v>247</v>
      </c>
      <c r="D3526" t="s">
        <v>1</v>
      </c>
      <c r="E3526" t="s">
        <v>6515</v>
      </c>
      <c r="F3526" t="s">
        <v>6516</v>
      </c>
      <c r="G3526" t="s">
        <v>14</v>
      </c>
      <c r="H3526">
        <v>7</v>
      </c>
      <c r="I3526">
        <v>22.856999999999999</v>
      </c>
      <c r="J3526">
        <v>35.713999999999999</v>
      </c>
      <c r="K3526">
        <v>12.856999999999999</v>
      </c>
      <c r="L3526">
        <v>6</v>
      </c>
      <c r="M3526">
        <v>0</v>
      </c>
      <c r="N3526">
        <v>1</v>
      </c>
      <c r="O3526" t="s">
        <v>53</v>
      </c>
      <c r="P3526" t="s">
        <v>53</v>
      </c>
      <c r="Q3526" t="s">
        <v>53</v>
      </c>
    </row>
    <row r="3527" spans="1:17" x14ac:dyDescent="0.2">
      <c r="A3527" s="30" t="str">
        <f>IF(C3527&amp;G3527&amp;D3527&lt;&gt;'Funnel setup'!$K$3&amp;'Funnel setup'!$K$4&amp;'Funnel setup'!$K$5,".",IF(A3526=".",1,A3526+1))</f>
        <v>.</v>
      </c>
      <c r="B3527" s="431" t="str">
        <f t="shared" si="55"/>
        <v>Hip Replacement RevisionProviderLUTON AND DUNSTABLE UNIVERSITY HOSPITAL NHS FOUNDATION TRUST (RC9)Oxford Hip Score</v>
      </c>
      <c r="C3527" t="s">
        <v>247</v>
      </c>
      <c r="D3527" t="s">
        <v>1</v>
      </c>
      <c r="E3527" t="s">
        <v>3528</v>
      </c>
      <c r="F3527" t="s">
        <v>3529</v>
      </c>
      <c r="G3527" t="s">
        <v>14</v>
      </c>
      <c r="H3527">
        <v>13</v>
      </c>
      <c r="I3527">
        <v>15.231</v>
      </c>
      <c r="J3527">
        <v>36.768999999999998</v>
      </c>
      <c r="K3527">
        <v>21.538</v>
      </c>
      <c r="L3527">
        <v>13</v>
      </c>
      <c r="M3527">
        <v>0</v>
      </c>
      <c r="N3527">
        <v>0</v>
      </c>
      <c r="O3527" t="s">
        <v>53</v>
      </c>
      <c r="P3527" t="s">
        <v>53</v>
      </c>
      <c r="Q3527" t="s">
        <v>53</v>
      </c>
    </row>
    <row r="3528" spans="1:17" x14ac:dyDescent="0.2">
      <c r="A3528" s="30" t="str">
        <f>IF(C3528&amp;G3528&amp;D3528&lt;&gt;'Funnel setup'!$K$3&amp;'Funnel setup'!$K$4&amp;'Funnel setup'!$K$5,".",IF(A3527=".",1,A3527+1))</f>
        <v>.</v>
      </c>
      <c r="B3528" s="431" t="str">
        <f t="shared" si="55"/>
        <v>Hip Replacement RevisionProviderMAIDSTONE AND TUNBRIDGE WELLS NHS TRUST (RWF)Oxford Hip Score</v>
      </c>
      <c r="C3528" t="s">
        <v>247</v>
      </c>
      <c r="D3528" t="s">
        <v>1</v>
      </c>
      <c r="E3528" t="s">
        <v>3627</v>
      </c>
      <c r="F3528" t="s">
        <v>3628</v>
      </c>
      <c r="G3528" t="s">
        <v>14</v>
      </c>
      <c r="H3528">
        <v>16</v>
      </c>
      <c r="I3528">
        <v>22.812999999999999</v>
      </c>
      <c r="J3528">
        <v>36.375</v>
      </c>
      <c r="K3528">
        <v>13.563000000000001</v>
      </c>
      <c r="L3528">
        <v>13</v>
      </c>
      <c r="M3528">
        <v>0</v>
      </c>
      <c r="N3528">
        <v>3</v>
      </c>
      <c r="O3528" t="s">
        <v>53</v>
      </c>
      <c r="P3528" t="s">
        <v>53</v>
      </c>
      <c r="Q3528" t="s">
        <v>53</v>
      </c>
    </row>
    <row r="3529" spans="1:17" x14ac:dyDescent="0.2">
      <c r="A3529" s="30" t="str">
        <f>IF(C3529&amp;G3529&amp;D3529&lt;&gt;'Funnel setup'!$K$3&amp;'Funnel setup'!$K$4&amp;'Funnel setup'!$K$5,".",IF(A3528=".",1,A3528+1))</f>
        <v>.</v>
      </c>
      <c r="B3529" s="431" t="str">
        <f t="shared" si="55"/>
        <v>Hip Replacement RevisionProviderMEDWAY NHS FOUNDATION TRUST (RPA)Oxford Hip Score</v>
      </c>
      <c r="C3529" t="s">
        <v>247</v>
      </c>
      <c r="D3529" t="s">
        <v>1</v>
      </c>
      <c r="E3529" t="s">
        <v>3630</v>
      </c>
      <c r="F3529" t="s">
        <v>3631</v>
      </c>
      <c r="G3529" t="s">
        <v>14</v>
      </c>
      <c r="H3529">
        <v>21</v>
      </c>
      <c r="I3529">
        <v>22.952000000000002</v>
      </c>
      <c r="J3529">
        <v>32.619</v>
      </c>
      <c r="K3529">
        <v>9.6669999999999998</v>
      </c>
      <c r="L3529">
        <v>18</v>
      </c>
      <c r="M3529">
        <v>0</v>
      </c>
      <c r="N3529">
        <v>3</v>
      </c>
      <c r="O3529" t="s">
        <v>53</v>
      </c>
      <c r="P3529" t="s">
        <v>53</v>
      </c>
      <c r="Q3529" t="s">
        <v>53</v>
      </c>
    </row>
    <row r="3530" spans="1:17" x14ac:dyDescent="0.2">
      <c r="A3530" s="30" t="str">
        <f>IF(C3530&amp;G3530&amp;D3530&lt;&gt;'Funnel setup'!$K$3&amp;'Funnel setup'!$K$4&amp;'Funnel setup'!$K$5,".",IF(A3529=".",1,A3529+1))</f>
        <v>.</v>
      </c>
      <c r="B3530" s="431" t="str">
        <f t="shared" si="55"/>
        <v>Hip Replacement RevisionProviderMID CHESHIRE HOSPITALS NHS FOUNDATION TRUST (RBT)Oxford Hip Score</v>
      </c>
      <c r="C3530" t="s">
        <v>247</v>
      </c>
      <c r="D3530" t="s">
        <v>1</v>
      </c>
      <c r="E3530" t="s">
        <v>3633</v>
      </c>
      <c r="F3530" t="s">
        <v>342</v>
      </c>
      <c r="G3530" t="s">
        <v>14</v>
      </c>
      <c r="H3530">
        <v>8</v>
      </c>
      <c r="I3530">
        <v>15.5</v>
      </c>
      <c r="J3530">
        <v>34.125</v>
      </c>
      <c r="K3530">
        <v>18.625</v>
      </c>
      <c r="L3530">
        <v>7</v>
      </c>
      <c r="M3530">
        <v>0</v>
      </c>
      <c r="N3530">
        <v>1</v>
      </c>
      <c r="O3530" t="s">
        <v>53</v>
      </c>
      <c r="P3530" t="s">
        <v>53</v>
      </c>
      <c r="Q3530" t="s">
        <v>53</v>
      </c>
    </row>
    <row r="3531" spans="1:17" x14ac:dyDescent="0.2">
      <c r="A3531" s="30" t="str">
        <f>IF(C3531&amp;G3531&amp;D3531&lt;&gt;'Funnel setup'!$K$3&amp;'Funnel setup'!$K$4&amp;'Funnel setup'!$K$5,".",IF(A3530=".",1,A3530+1))</f>
        <v>.</v>
      </c>
      <c r="B3531" s="431" t="str">
        <f t="shared" si="55"/>
        <v>Hip Replacement RevisionProviderMID ESSEX HOSPITAL SERVICES NHS TRUST (RQ8)Oxford Hip Score</v>
      </c>
      <c r="C3531" t="s">
        <v>247</v>
      </c>
      <c r="D3531" t="s">
        <v>1</v>
      </c>
      <c r="E3531" t="s">
        <v>3635</v>
      </c>
      <c r="F3531" t="s">
        <v>3636</v>
      </c>
      <c r="G3531" t="s">
        <v>14</v>
      </c>
      <c r="H3531">
        <v>17</v>
      </c>
      <c r="I3531">
        <v>21.765000000000001</v>
      </c>
      <c r="J3531">
        <v>34.765000000000001</v>
      </c>
      <c r="K3531">
        <v>13</v>
      </c>
      <c r="L3531">
        <v>14</v>
      </c>
      <c r="M3531">
        <v>0</v>
      </c>
      <c r="N3531">
        <v>3</v>
      </c>
      <c r="O3531" t="s">
        <v>53</v>
      </c>
      <c r="P3531" t="s">
        <v>53</v>
      </c>
      <c r="Q3531" t="s">
        <v>53</v>
      </c>
    </row>
    <row r="3532" spans="1:17" x14ac:dyDescent="0.2">
      <c r="A3532" s="30" t="str">
        <f>IF(C3532&amp;G3532&amp;D3532&lt;&gt;'Funnel setup'!$K$3&amp;'Funnel setup'!$K$4&amp;'Funnel setup'!$K$5,".",IF(A3531=".",1,A3531+1))</f>
        <v>.</v>
      </c>
      <c r="B3532" s="431" t="str">
        <f t="shared" si="55"/>
        <v>Hip Replacement RevisionProviderMID STAFFORDSHIRE NHS FOUNDATION TRUST (RJD)Oxford Hip Score</v>
      </c>
      <c r="C3532" t="s">
        <v>247</v>
      </c>
      <c r="D3532" t="s">
        <v>1</v>
      </c>
      <c r="E3532" t="s">
        <v>3638</v>
      </c>
      <c r="F3532" t="s">
        <v>3639</v>
      </c>
      <c r="G3532" t="s">
        <v>14</v>
      </c>
      <c r="H3532">
        <v>13</v>
      </c>
      <c r="I3532">
        <v>17.692</v>
      </c>
      <c r="J3532">
        <v>27.231000000000002</v>
      </c>
      <c r="K3532">
        <v>9.5380000000000003</v>
      </c>
      <c r="L3532">
        <v>11</v>
      </c>
      <c r="M3532">
        <v>0</v>
      </c>
      <c r="N3532">
        <v>2</v>
      </c>
      <c r="O3532" t="s">
        <v>53</v>
      </c>
      <c r="P3532" t="s">
        <v>53</v>
      </c>
      <c r="Q3532" t="s">
        <v>53</v>
      </c>
    </row>
    <row r="3533" spans="1:17" x14ac:dyDescent="0.2">
      <c r="A3533" s="30" t="str">
        <f>IF(C3533&amp;G3533&amp;D3533&lt;&gt;'Funnel setup'!$K$3&amp;'Funnel setup'!$K$4&amp;'Funnel setup'!$K$5,".",IF(A3532=".",1,A3532+1))</f>
        <v>.</v>
      </c>
      <c r="B3533" s="431" t="str">
        <f t="shared" si="55"/>
        <v>Hip Replacement RevisionProviderMID YORKSHIRE HOSPITALS NHS TRUST (RXF)Oxford Hip Score</v>
      </c>
      <c r="C3533" t="s">
        <v>247</v>
      </c>
      <c r="D3533" t="s">
        <v>1</v>
      </c>
      <c r="E3533" t="s">
        <v>3641</v>
      </c>
      <c r="F3533" t="s">
        <v>3642</v>
      </c>
      <c r="G3533" t="s">
        <v>14</v>
      </c>
      <c r="H3533" t="s">
        <v>53</v>
      </c>
      <c r="I3533" t="s">
        <v>53</v>
      </c>
      <c r="J3533" t="s">
        <v>53</v>
      </c>
      <c r="K3533" t="s">
        <v>53</v>
      </c>
      <c r="L3533" t="s">
        <v>53</v>
      </c>
      <c r="M3533" t="s">
        <v>53</v>
      </c>
      <c r="N3533" t="s">
        <v>53</v>
      </c>
      <c r="O3533" t="s">
        <v>53</v>
      </c>
      <c r="P3533" t="s">
        <v>53</v>
      </c>
      <c r="Q3533" t="s">
        <v>53</v>
      </c>
    </row>
    <row r="3534" spans="1:17" x14ac:dyDescent="0.2">
      <c r="A3534" s="30" t="str">
        <f>IF(C3534&amp;G3534&amp;D3534&lt;&gt;'Funnel setup'!$K$3&amp;'Funnel setup'!$K$4&amp;'Funnel setup'!$K$5,".",IF(A3533=".",1,A3533+1))</f>
        <v>.</v>
      </c>
      <c r="B3534" s="431" t="str">
        <f t="shared" si="55"/>
        <v>Hip Replacement RevisionProviderMILTON KEYNES UNIVERSITY HOSPITAL NHS FOUNDATION TRUST (RD8)Oxford Hip Score</v>
      </c>
      <c r="C3534" t="s">
        <v>247</v>
      </c>
      <c r="D3534" t="s">
        <v>1</v>
      </c>
      <c r="E3534" t="s">
        <v>3643</v>
      </c>
      <c r="F3534" t="s">
        <v>6580</v>
      </c>
      <c r="G3534" t="s">
        <v>14</v>
      </c>
      <c r="H3534" t="s">
        <v>53</v>
      </c>
      <c r="I3534" t="s">
        <v>53</v>
      </c>
      <c r="J3534" t="s">
        <v>53</v>
      </c>
      <c r="K3534" t="s">
        <v>53</v>
      </c>
      <c r="L3534" t="s">
        <v>53</v>
      </c>
      <c r="M3534" t="s">
        <v>53</v>
      </c>
      <c r="N3534" t="s">
        <v>53</v>
      </c>
      <c r="O3534" t="s">
        <v>53</v>
      </c>
      <c r="P3534" t="s">
        <v>53</v>
      </c>
      <c r="Q3534" t="s">
        <v>53</v>
      </c>
    </row>
    <row r="3535" spans="1:17" x14ac:dyDescent="0.2">
      <c r="A3535" s="30" t="str">
        <f>IF(C3535&amp;G3535&amp;D3535&lt;&gt;'Funnel setup'!$K$3&amp;'Funnel setup'!$K$4&amp;'Funnel setup'!$K$5,".",IF(A3534=".",1,A3534+1))</f>
        <v>.</v>
      </c>
      <c r="B3535" s="431" t="str">
        <f t="shared" si="55"/>
        <v>Hip Replacement RevisionProviderMOUNT STUART HOSPITAL (NVC08)Oxford Hip Score</v>
      </c>
      <c r="C3535" t="s">
        <v>247</v>
      </c>
      <c r="D3535" t="s">
        <v>1</v>
      </c>
      <c r="E3535" t="s">
        <v>3645</v>
      </c>
      <c r="F3535" t="s">
        <v>3646</v>
      </c>
      <c r="G3535" t="s">
        <v>14</v>
      </c>
      <c r="H3535" t="s">
        <v>53</v>
      </c>
      <c r="I3535" t="s">
        <v>53</v>
      </c>
      <c r="J3535" t="s">
        <v>53</v>
      </c>
      <c r="K3535" t="s">
        <v>53</v>
      </c>
      <c r="L3535" t="s">
        <v>53</v>
      </c>
      <c r="M3535" t="s">
        <v>53</v>
      </c>
      <c r="N3535" t="s">
        <v>53</v>
      </c>
      <c r="O3535" t="s">
        <v>53</v>
      </c>
      <c r="P3535" t="s">
        <v>53</v>
      </c>
      <c r="Q3535" t="s">
        <v>53</v>
      </c>
    </row>
    <row r="3536" spans="1:17" x14ac:dyDescent="0.2">
      <c r="A3536" s="30" t="str">
        <f>IF(C3536&amp;G3536&amp;D3536&lt;&gt;'Funnel setup'!$K$3&amp;'Funnel setup'!$K$4&amp;'Funnel setup'!$K$5,".",IF(A3535=".",1,A3535+1))</f>
        <v>.</v>
      </c>
      <c r="B3536" s="431" t="str">
        <f t="shared" si="55"/>
        <v>Hip Replacement RevisionProviderNEW HALL HOSPITAL (NVC09)Oxford Hip Score</v>
      </c>
      <c r="C3536" t="s">
        <v>247</v>
      </c>
      <c r="D3536" t="s">
        <v>1</v>
      </c>
      <c r="E3536" t="s">
        <v>3648</v>
      </c>
      <c r="F3536" t="s">
        <v>3649</v>
      </c>
      <c r="G3536" t="s">
        <v>14</v>
      </c>
      <c r="H3536">
        <v>6</v>
      </c>
      <c r="I3536">
        <v>25.667000000000002</v>
      </c>
      <c r="J3536">
        <v>33.332999999999998</v>
      </c>
      <c r="K3536">
        <v>7.6669999999999998</v>
      </c>
      <c r="L3536">
        <v>6</v>
      </c>
      <c r="M3536">
        <v>0</v>
      </c>
      <c r="N3536">
        <v>0</v>
      </c>
      <c r="O3536" t="s">
        <v>53</v>
      </c>
      <c r="P3536" t="s">
        <v>53</v>
      </c>
      <c r="Q3536" t="s">
        <v>53</v>
      </c>
    </row>
    <row r="3537" spans="1:17" x14ac:dyDescent="0.2">
      <c r="A3537" s="30" t="str">
        <f>IF(C3537&amp;G3537&amp;D3537&lt;&gt;'Funnel setup'!$K$3&amp;'Funnel setup'!$K$4&amp;'Funnel setup'!$K$5,".",IF(A3536=".",1,A3536+1))</f>
        <v>.</v>
      </c>
      <c r="B3537" s="431" t="str">
        <f t="shared" si="55"/>
        <v>Hip Replacement RevisionProviderNORFOLK AND NORWICH UNIVERSITY HOSPITALS NHS FOUNDATION TRUST (RM1)Oxford Hip Score</v>
      </c>
      <c r="C3537" t="s">
        <v>247</v>
      </c>
      <c r="D3537" t="s">
        <v>1</v>
      </c>
      <c r="E3537" t="s">
        <v>3651</v>
      </c>
      <c r="F3537" t="s">
        <v>3652</v>
      </c>
      <c r="G3537" t="s">
        <v>14</v>
      </c>
      <c r="H3537">
        <v>55</v>
      </c>
      <c r="I3537">
        <v>22.890999999999998</v>
      </c>
      <c r="J3537">
        <v>35.381999999999998</v>
      </c>
      <c r="K3537">
        <v>12.491</v>
      </c>
      <c r="L3537">
        <v>47</v>
      </c>
      <c r="M3537">
        <v>0</v>
      </c>
      <c r="N3537">
        <v>8</v>
      </c>
      <c r="O3537">
        <v>34.582000000000001</v>
      </c>
      <c r="P3537">
        <v>13.70719366</v>
      </c>
      <c r="Q3537">
        <v>9.0350000000000001</v>
      </c>
    </row>
    <row r="3538" spans="1:17" x14ac:dyDescent="0.2">
      <c r="A3538" s="30" t="str">
        <f>IF(C3538&amp;G3538&amp;D3538&lt;&gt;'Funnel setup'!$K$3&amp;'Funnel setup'!$K$4&amp;'Funnel setup'!$K$5,".",IF(A3537=".",1,A3537+1))</f>
        <v>.</v>
      </c>
      <c r="B3538" s="431" t="str">
        <f t="shared" si="55"/>
        <v>Hip Replacement RevisionProviderNORTH BRISTOL NHS TRUST (RVJ)Oxford Hip Score</v>
      </c>
      <c r="C3538" t="s">
        <v>247</v>
      </c>
      <c r="D3538" t="s">
        <v>1</v>
      </c>
      <c r="E3538" t="s">
        <v>3654</v>
      </c>
      <c r="F3538" t="s">
        <v>3655</v>
      </c>
      <c r="G3538" t="s">
        <v>14</v>
      </c>
      <c r="H3538">
        <v>11</v>
      </c>
      <c r="I3538">
        <v>19.273</v>
      </c>
      <c r="J3538">
        <v>30.454999999999998</v>
      </c>
      <c r="K3538">
        <v>11.182</v>
      </c>
      <c r="L3538">
        <v>10</v>
      </c>
      <c r="M3538">
        <v>0</v>
      </c>
      <c r="N3538">
        <v>1</v>
      </c>
      <c r="O3538" t="s">
        <v>53</v>
      </c>
      <c r="P3538" t="s">
        <v>53</v>
      </c>
      <c r="Q3538" t="s">
        <v>53</v>
      </c>
    </row>
    <row r="3539" spans="1:17" x14ac:dyDescent="0.2">
      <c r="A3539" s="30" t="str">
        <f>IF(C3539&amp;G3539&amp;D3539&lt;&gt;'Funnel setup'!$K$3&amp;'Funnel setup'!$K$4&amp;'Funnel setup'!$K$5,".",IF(A3538=".",1,A3538+1))</f>
        <v>.</v>
      </c>
      <c r="B3539" s="431" t="str">
        <f t="shared" si="55"/>
        <v>Hip Replacement RevisionProviderNORTH CUMBRIA UNIVERSITY HOSPITALS NHS TRUST (RNL)Oxford Hip Score</v>
      </c>
      <c r="C3539" t="s">
        <v>247</v>
      </c>
      <c r="D3539" t="s">
        <v>1</v>
      </c>
      <c r="E3539" t="s">
        <v>3657</v>
      </c>
      <c r="F3539" t="s">
        <v>3658</v>
      </c>
      <c r="G3539" t="s">
        <v>14</v>
      </c>
      <c r="H3539">
        <v>12</v>
      </c>
      <c r="I3539">
        <v>21.332999999999998</v>
      </c>
      <c r="J3539">
        <v>36.75</v>
      </c>
      <c r="K3539">
        <v>15.417</v>
      </c>
      <c r="L3539">
        <v>10</v>
      </c>
      <c r="M3539">
        <v>0</v>
      </c>
      <c r="N3539">
        <v>2</v>
      </c>
      <c r="O3539" t="s">
        <v>53</v>
      </c>
      <c r="P3539" t="s">
        <v>53</v>
      </c>
      <c r="Q3539" t="s">
        <v>53</v>
      </c>
    </row>
    <row r="3540" spans="1:17" x14ac:dyDescent="0.2">
      <c r="A3540" s="30" t="str">
        <f>IF(C3540&amp;G3540&amp;D3540&lt;&gt;'Funnel setup'!$K$3&amp;'Funnel setup'!$K$4&amp;'Funnel setup'!$K$5,".",IF(A3539=".",1,A3539+1))</f>
        <v>.</v>
      </c>
      <c r="B3540" s="431" t="str">
        <f t="shared" si="55"/>
        <v>Hip Replacement RevisionProviderNORTH DOWNS HOSPITAL (NVC11)Oxford Hip Score</v>
      </c>
      <c r="C3540" t="s">
        <v>247</v>
      </c>
      <c r="D3540" t="s">
        <v>1</v>
      </c>
      <c r="E3540" t="s">
        <v>3660</v>
      </c>
      <c r="F3540" t="s">
        <v>3661</v>
      </c>
      <c r="G3540" t="s">
        <v>14</v>
      </c>
      <c r="H3540" t="s">
        <v>53</v>
      </c>
      <c r="I3540" t="s">
        <v>53</v>
      </c>
      <c r="J3540" t="s">
        <v>53</v>
      </c>
      <c r="K3540" t="s">
        <v>53</v>
      </c>
      <c r="L3540" t="s">
        <v>53</v>
      </c>
      <c r="M3540" t="s">
        <v>53</v>
      </c>
      <c r="N3540" t="s">
        <v>53</v>
      </c>
      <c r="O3540" t="s">
        <v>53</v>
      </c>
      <c r="P3540" t="s">
        <v>53</v>
      </c>
      <c r="Q3540" t="s">
        <v>53</v>
      </c>
    </row>
    <row r="3541" spans="1:17" x14ac:dyDescent="0.2">
      <c r="A3541" s="30" t="str">
        <f>IF(C3541&amp;G3541&amp;D3541&lt;&gt;'Funnel setup'!$K$3&amp;'Funnel setup'!$K$4&amp;'Funnel setup'!$K$5,".",IF(A3540=".",1,A3540+1))</f>
        <v>.</v>
      </c>
      <c r="B3541" s="431" t="str">
        <f t="shared" si="55"/>
        <v>Hip Replacement RevisionProviderNORTH EAST LONDON TREATMENT CENTRE CARE UK (NTP15)Oxford Hip Score</v>
      </c>
      <c r="C3541" t="s">
        <v>247</v>
      </c>
      <c r="D3541" t="s">
        <v>1</v>
      </c>
      <c r="E3541" t="s">
        <v>3663</v>
      </c>
      <c r="F3541" t="s">
        <v>3664</v>
      </c>
      <c r="G3541" t="s">
        <v>14</v>
      </c>
      <c r="H3541" t="s">
        <v>53</v>
      </c>
      <c r="I3541" t="s">
        <v>53</v>
      </c>
      <c r="J3541" t="s">
        <v>53</v>
      </c>
      <c r="K3541" t="s">
        <v>53</v>
      </c>
      <c r="L3541" t="s">
        <v>53</v>
      </c>
      <c r="M3541" t="s">
        <v>53</v>
      </c>
      <c r="N3541" t="s">
        <v>53</v>
      </c>
      <c r="O3541" t="s">
        <v>53</v>
      </c>
      <c r="P3541" t="s">
        <v>53</v>
      </c>
      <c r="Q3541" t="s">
        <v>53</v>
      </c>
    </row>
    <row r="3542" spans="1:17" x14ac:dyDescent="0.2">
      <c r="A3542" s="30" t="str">
        <f>IF(C3542&amp;G3542&amp;D3542&lt;&gt;'Funnel setup'!$K$3&amp;'Funnel setup'!$K$4&amp;'Funnel setup'!$K$5,".",IF(A3541=".",1,A3541+1))</f>
        <v>.</v>
      </c>
      <c r="B3542" s="431" t="str">
        <f t="shared" si="55"/>
        <v>Hip Replacement RevisionProviderNORTH MIDDLESEX UNIVERSITY HOSPITAL NHS TRUST (RAP)Oxford Hip Score</v>
      </c>
      <c r="C3542" t="s">
        <v>247</v>
      </c>
      <c r="D3542" t="s">
        <v>1</v>
      </c>
      <c r="E3542" t="s">
        <v>3666</v>
      </c>
      <c r="F3542" t="s">
        <v>3667</v>
      </c>
      <c r="G3542" t="s">
        <v>14</v>
      </c>
      <c r="H3542" t="s">
        <v>53</v>
      </c>
      <c r="I3542" t="s">
        <v>53</v>
      </c>
      <c r="J3542" t="s">
        <v>53</v>
      </c>
      <c r="K3542" t="s">
        <v>53</v>
      </c>
      <c r="L3542" t="s">
        <v>53</v>
      </c>
      <c r="M3542" t="s">
        <v>53</v>
      </c>
      <c r="N3542" t="s">
        <v>53</v>
      </c>
      <c r="O3542" t="s">
        <v>53</v>
      </c>
      <c r="P3542" t="s">
        <v>53</v>
      </c>
      <c r="Q3542" t="s">
        <v>53</v>
      </c>
    </row>
    <row r="3543" spans="1:17" x14ac:dyDescent="0.2">
      <c r="A3543" s="30" t="str">
        <f>IF(C3543&amp;G3543&amp;D3543&lt;&gt;'Funnel setup'!$K$3&amp;'Funnel setup'!$K$4&amp;'Funnel setup'!$K$5,".",IF(A3542=".",1,A3542+1))</f>
        <v>.</v>
      </c>
      <c r="B3543" s="431" t="str">
        <f t="shared" si="55"/>
        <v>Hip Replacement RevisionProviderNORTH TEES AND HARTLEPOOL NHS FOUNDATION TRUST (RVW)Oxford Hip Score</v>
      </c>
      <c r="C3543" t="s">
        <v>247</v>
      </c>
      <c r="D3543" t="s">
        <v>1</v>
      </c>
      <c r="E3543" t="s">
        <v>3669</v>
      </c>
      <c r="F3543" t="s">
        <v>3670</v>
      </c>
      <c r="G3543" t="s">
        <v>14</v>
      </c>
      <c r="H3543">
        <v>24</v>
      </c>
      <c r="I3543">
        <v>21.957999999999998</v>
      </c>
      <c r="J3543">
        <v>32.167000000000002</v>
      </c>
      <c r="K3543">
        <v>10.208</v>
      </c>
      <c r="L3543">
        <v>20</v>
      </c>
      <c r="M3543">
        <v>0</v>
      </c>
      <c r="N3543">
        <v>4</v>
      </c>
      <c r="O3543" t="s">
        <v>53</v>
      </c>
      <c r="P3543" t="s">
        <v>53</v>
      </c>
      <c r="Q3543" t="s">
        <v>53</v>
      </c>
    </row>
    <row r="3544" spans="1:17" x14ac:dyDescent="0.2">
      <c r="A3544" s="30" t="str">
        <f>IF(C3544&amp;G3544&amp;D3544&lt;&gt;'Funnel setup'!$K$3&amp;'Funnel setup'!$K$4&amp;'Funnel setup'!$K$5,".",IF(A3543=".",1,A3543+1))</f>
        <v>.</v>
      </c>
      <c r="B3544" s="431" t="str">
        <f t="shared" si="55"/>
        <v>Hip Replacement RevisionProviderNORTHAMPTON GENERAL HOSPITAL NHS TRUST (RNS)Oxford Hip Score</v>
      </c>
      <c r="C3544" t="s">
        <v>247</v>
      </c>
      <c r="D3544" t="s">
        <v>1</v>
      </c>
      <c r="E3544" t="s">
        <v>3675</v>
      </c>
      <c r="F3544" t="s">
        <v>3676</v>
      </c>
      <c r="G3544" t="s">
        <v>14</v>
      </c>
      <c r="H3544">
        <v>20</v>
      </c>
      <c r="I3544">
        <v>22.9</v>
      </c>
      <c r="J3544">
        <v>35.75</v>
      </c>
      <c r="K3544">
        <v>12.85</v>
      </c>
      <c r="L3544">
        <v>19</v>
      </c>
      <c r="M3544">
        <v>1</v>
      </c>
      <c r="N3544">
        <v>0</v>
      </c>
      <c r="O3544" t="s">
        <v>53</v>
      </c>
      <c r="P3544" t="s">
        <v>53</v>
      </c>
      <c r="Q3544" t="s">
        <v>53</v>
      </c>
    </row>
    <row r="3545" spans="1:17" x14ac:dyDescent="0.2">
      <c r="A3545" s="30" t="str">
        <f>IF(C3545&amp;G3545&amp;D3545&lt;&gt;'Funnel setup'!$K$3&amp;'Funnel setup'!$K$4&amp;'Funnel setup'!$K$5,".",IF(A3544=".",1,A3544+1))</f>
        <v>.</v>
      </c>
      <c r="B3545" s="431" t="str">
        <f t="shared" si="55"/>
        <v>Hip Replacement RevisionProviderNORTHERN DEVON HEALTHCARE NHS TRUST (RBZ)Oxford Hip Score</v>
      </c>
      <c r="C3545" t="s">
        <v>247</v>
      </c>
      <c r="D3545" t="s">
        <v>1</v>
      </c>
      <c r="E3545" t="s">
        <v>3678</v>
      </c>
      <c r="F3545" t="s">
        <v>3679</v>
      </c>
      <c r="G3545" t="s">
        <v>14</v>
      </c>
      <c r="H3545">
        <v>13</v>
      </c>
      <c r="I3545">
        <v>23.692</v>
      </c>
      <c r="J3545">
        <v>36</v>
      </c>
      <c r="K3545">
        <v>12.308</v>
      </c>
      <c r="L3545">
        <v>11</v>
      </c>
      <c r="M3545">
        <v>0</v>
      </c>
      <c r="N3545">
        <v>2</v>
      </c>
      <c r="O3545" t="s">
        <v>53</v>
      </c>
      <c r="P3545" t="s">
        <v>53</v>
      </c>
      <c r="Q3545" t="s">
        <v>53</v>
      </c>
    </row>
    <row r="3546" spans="1:17" x14ac:dyDescent="0.2">
      <c r="A3546" s="30" t="str">
        <f>IF(C3546&amp;G3546&amp;D3546&lt;&gt;'Funnel setup'!$K$3&amp;'Funnel setup'!$K$4&amp;'Funnel setup'!$K$5,".",IF(A3545=".",1,A3545+1))</f>
        <v>.</v>
      </c>
      <c r="B3546" s="431" t="str">
        <f t="shared" si="55"/>
        <v>Hip Replacement RevisionProviderNORTHERN LINCOLNSHIRE AND GOOLE NHS FOUNDATION TRUST (RJL)Oxford Hip Score</v>
      </c>
      <c r="C3546" t="s">
        <v>247</v>
      </c>
      <c r="D3546" t="s">
        <v>1</v>
      </c>
      <c r="E3546" t="s">
        <v>3681</v>
      </c>
      <c r="F3546" t="s">
        <v>3682</v>
      </c>
      <c r="G3546" t="s">
        <v>14</v>
      </c>
      <c r="H3546">
        <v>16</v>
      </c>
      <c r="I3546">
        <v>16.75</v>
      </c>
      <c r="J3546">
        <v>30.375</v>
      </c>
      <c r="K3546">
        <v>13.625</v>
      </c>
      <c r="L3546">
        <v>14</v>
      </c>
      <c r="M3546">
        <v>0</v>
      </c>
      <c r="N3546">
        <v>2</v>
      </c>
      <c r="O3546" t="s">
        <v>53</v>
      </c>
      <c r="P3546" t="s">
        <v>53</v>
      </c>
      <c r="Q3546" t="s">
        <v>53</v>
      </c>
    </row>
    <row r="3547" spans="1:17" x14ac:dyDescent="0.2">
      <c r="A3547" s="30" t="str">
        <f>IF(C3547&amp;G3547&amp;D3547&lt;&gt;'Funnel setup'!$K$3&amp;'Funnel setup'!$K$4&amp;'Funnel setup'!$K$5,".",IF(A3546=".",1,A3546+1))</f>
        <v>.</v>
      </c>
      <c r="B3547" s="431" t="str">
        <f t="shared" si="55"/>
        <v>Hip Replacement RevisionProviderNORTHUMBRIA HEALTHCARE NHS FOUNDATION TRUST (RTF)Oxford Hip Score</v>
      </c>
      <c r="C3547" t="s">
        <v>247</v>
      </c>
      <c r="D3547" t="s">
        <v>1</v>
      </c>
      <c r="E3547" t="s">
        <v>3684</v>
      </c>
      <c r="F3547" t="s">
        <v>3685</v>
      </c>
      <c r="G3547" t="s">
        <v>14</v>
      </c>
      <c r="H3547">
        <v>26</v>
      </c>
      <c r="I3547">
        <v>17.231000000000002</v>
      </c>
      <c r="J3547">
        <v>32.692</v>
      </c>
      <c r="K3547">
        <v>15.462</v>
      </c>
      <c r="L3547">
        <v>24</v>
      </c>
      <c r="M3547">
        <v>0</v>
      </c>
      <c r="N3547">
        <v>2</v>
      </c>
      <c r="O3547" t="s">
        <v>53</v>
      </c>
      <c r="P3547" t="s">
        <v>53</v>
      </c>
      <c r="Q3547" t="s">
        <v>53</v>
      </c>
    </row>
    <row r="3548" spans="1:17" x14ac:dyDescent="0.2">
      <c r="A3548" s="30" t="str">
        <f>IF(C3548&amp;G3548&amp;D3548&lt;&gt;'Funnel setup'!$K$3&amp;'Funnel setup'!$K$4&amp;'Funnel setup'!$K$5,".",IF(A3547=".",1,A3547+1))</f>
        <v>.</v>
      </c>
      <c r="B3548" s="431" t="str">
        <f t="shared" si="55"/>
        <v>Hip Replacement RevisionProviderNOTTINGHAM UNIVERSITY HOSPITALS NHS TRUST (RX1)Oxford Hip Score</v>
      </c>
      <c r="C3548" t="s">
        <v>247</v>
      </c>
      <c r="D3548" t="s">
        <v>1</v>
      </c>
      <c r="E3548" t="s">
        <v>3687</v>
      </c>
      <c r="F3548" t="s">
        <v>3688</v>
      </c>
      <c r="G3548" t="s">
        <v>14</v>
      </c>
      <c r="H3548">
        <v>44</v>
      </c>
      <c r="I3548">
        <v>17.364000000000001</v>
      </c>
      <c r="J3548">
        <v>31.158999999999999</v>
      </c>
      <c r="K3548">
        <v>13.795</v>
      </c>
      <c r="L3548">
        <v>39</v>
      </c>
      <c r="M3548">
        <v>3</v>
      </c>
      <c r="N3548">
        <v>2</v>
      </c>
      <c r="O3548">
        <v>33.86</v>
      </c>
      <c r="P3548">
        <v>12.98491954</v>
      </c>
      <c r="Q3548">
        <v>9.7140000000000004</v>
      </c>
    </row>
    <row r="3549" spans="1:17" x14ac:dyDescent="0.2">
      <c r="A3549" s="30" t="str">
        <f>IF(C3549&amp;G3549&amp;D3549&lt;&gt;'Funnel setup'!$K$3&amp;'Funnel setup'!$K$4&amp;'Funnel setup'!$K$5,".",IF(A3548=".",1,A3548+1))</f>
        <v>.</v>
      </c>
      <c r="B3549" s="431" t="str">
        <f t="shared" si="55"/>
        <v>Hip Replacement RevisionProviderNUFFIELD HEALTH, HAYWARDS HEATH HOSPITAL (NT218)Oxford Hip Score</v>
      </c>
      <c r="C3549" t="s">
        <v>247</v>
      </c>
      <c r="D3549" t="s">
        <v>1</v>
      </c>
      <c r="E3549" t="s">
        <v>4342</v>
      </c>
      <c r="F3549" t="s">
        <v>4343</v>
      </c>
      <c r="G3549" t="s">
        <v>14</v>
      </c>
      <c r="H3549" t="s">
        <v>53</v>
      </c>
      <c r="I3549" t="s">
        <v>53</v>
      </c>
      <c r="J3549" t="s">
        <v>53</v>
      </c>
      <c r="K3549" t="s">
        <v>53</v>
      </c>
      <c r="L3549" t="s">
        <v>53</v>
      </c>
      <c r="M3549" t="s">
        <v>53</v>
      </c>
      <c r="N3549" t="s">
        <v>53</v>
      </c>
      <c r="O3549" t="s">
        <v>53</v>
      </c>
      <c r="P3549" t="s">
        <v>53</v>
      </c>
      <c r="Q3549" t="s">
        <v>53</v>
      </c>
    </row>
    <row r="3550" spans="1:17" x14ac:dyDescent="0.2">
      <c r="A3550" s="30" t="str">
        <f>IF(C3550&amp;G3550&amp;D3550&lt;&gt;'Funnel setup'!$K$3&amp;'Funnel setup'!$K$4&amp;'Funnel setup'!$K$5,".",IF(A3549=".",1,A3549+1))</f>
        <v>.</v>
      </c>
      <c r="B3550" s="431" t="str">
        <f t="shared" si="55"/>
        <v>Hip Replacement RevisionProviderNUFFIELD HEALTH, LEEDS HOSPITAL (NT225)Oxford Hip Score</v>
      </c>
      <c r="C3550" t="s">
        <v>247</v>
      </c>
      <c r="D3550" t="s">
        <v>1</v>
      </c>
      <c r="E3550" t="s">
        <v>3388</v>
      </c>
      <c r="F3550" t="s">
        <v>3389</v>
      </c>
      <c r="G3550" t="s">
        <v>14</v>
      </c>
      <c r="H3550" t="s">
        <v>53</v>
      </c>
      <c r="I3550" t="s">
        <v>53</v>
      </c>
      <c r="J3550" t="s">
        <v>53</v>
      </c>
      <c r="K3550" t="s">
        <v>53</v>
      </c>
      <c r="L3550" t="s">
        <v>53</v>
      </c>
      <c r="M3550" t="s">
        <v>53</v>
      </c>
      <c r="N3550" t="s">
        <v>53</v>
      </c>
      <c r="O3550" t="s">
        <v>53</v>
      </c>
      <c r="P3550" t="s">
        <v>53</v>
      </c>
      <c r="Q3550" t="s">
        <v>53</v>
      </c>
    </row>
    <row r="3551" spans="1:17" x14ac:dyDescent="0.2">
      <c r="A3551" s="30" t="str">
        <f>IF(C3551&amp;G3551&amp;D3551&lt;&gt;'Funnel setup'!$K$3&amp;'Funnel setup'!$K$4&amp;'Funnel setup'!$K$5,".",IF(A3550=".",1,A3550+1))</f>
        <v>.</v>
      </c>
      <c r="B3551" s="431" t="str">
        <f t="shared" si="55"/>
        <v>Hip Replacement RevisionProviderNUFFIELD HEALTH, NEWCASTLE UPON TYNE HOSPITAL (NT229)Oxford Hip Score</v>
      </c>
      <c r="C3551" t="s">
        <v>247</v>
      </c>
      <c r="D3551" t="s">
        <v>1</v>
      </c>
      <c r="E3551" t="s">
        <v>3394</v>
      </c>
      <c r="F3551" t="s">
        <v>3395</v>
      </c>
      <c r="G3551" t="s">
        <v>14</v>
      </c>
      <c r="H3551" t="s">
        <v>53</v>
      </c>
      <c r="I3551" t="s">
        <v>53</v>
      </c>
      <c r="J3551" t="s">
        <v>53</v>
      </c>
      <c r="K3551" t="s">
        <v>53</v>
      </c>
      <c r="L3551" t="s">
        <v>53</v>
      </c>
      <c r="M3551" t="s">
        <v>53</v>
      </c>
      <c r="N3551" t="s">
        <v>53</v>
      </c>
      <c r="O3551" t="s">
        <v>53</v>
      </c>
      <c r="P3551" t="s">
        <v>53</v>
      </c>
      <c r="Q3551" t="s">
        <v>53</v>
      </c>
    </row>
    <row r="3552" spans="1:17" x14ac:dyDescent="0.2">
      <c r="A3552" s="30" t="str">
        <f>IF(C3552&amp;G3552&amp;D3552&lt;&gt;'Funnel setup'!$K$3&amp;'Funnel setup'!$K$4&amp;'Funnel setup'!$K$5,".",IF(A3551=".",1,A3551+1))</f>
        <v>.</v>
      </c>
      <c r="B3552" s="431" t="str">
        <f t="shared" si="55"/>
        <v>Hip Replacement RevisionProviderNUFFIELD HEALTH, TEES HOSPITAL (NT237)Oxford Hip Score</v>
      </c>
      <c r="C3552" t="s">
        <v>247</v>
      </c>
      <c r="D3552" t="s">
        <v>1</v>
      </c>
      <c r="E3552" t="s">
        <v>3246</v>
      </c>
      <c r="F3552" t="s">
        <v>3247</v>
      </c>
      <c r="G3552" t="s">
        <v>14</v>
      </c>
      <c r="H3552">
        <v>13</v>
      </c>
      <c r="I3552">
        <v>24.077000000000002</v>
      </c>
      <c r="J3552">
        <v>37.154000000000003</v>
      </c>
      <c r="K3552">
        <v>13.077</v>
      </c>
      <c r="L3552">
        <v>11</v>
      </c>
      <c r="M3552">
        <v>0</v>
      </c>
      <c r="N3552">
        <v>2</v>
      </c>
      <c r="O3552" t="s">
        <v>53</v>
      </c>
      <c r="P3552" t="s">
        <v>53</v>
      </c>
      <c r="Q3552" t="s">
        <v>53</v>
      </c>
    </row>
    <row r="3553" spans="1:17" x14ac:dyDescent="0.2">
      <c r="A3553" s="30" t="str">
        <f>IF(C3553&amp;G3553&amp;D3553&lt;&gt;'Funnel setup'!$K$3&amp;'Funnel setup'!$K$4&amp;'Funnel setup'!$K$5,".",IF(A3552=".",1,A3552+1))</f>
        <v>.</v>
      </c>
      <c r="B3553" s="431" t="str">
        <f t="shared" si="55"/>
        <v>Hip Replacement RevisionProviderNUFFIELD HEALTH, WOKING HOSPITAL (NT241)Oxford Hip Score</v>
      </c>
      <c r="C3553" t="s">
        <v>247</v>
      </c>
      <c r="D3553" t="s">
        <v>1</v>
      </c>
      <c r="E3553" t="s">
        <v>3261</v>
      </c>
      <c r="F3553" t="s">
        <v>3262</v>
      </c>
      <c r="G3553" t="s">
        <v>14</v>
      </c>
      <c r="H3553" t="s">
        <v>53</v>
      </c>
      <c r="I3553" t="s">
        <v>53</v>
      </c>
      <c r="J3553" t="s">
        <v>53</v>
      </c>
      <c r="K3553" t="s">
        <v>53</v>
      </c>
      <c r="L3553" t="s">
        <v>53</v>
      </c>
      <c r="M3553" t="s">
        <v>53</v>
      </c>
      <c r="N3553" t="s">
        <v>53</v>
      </c>
      <c r="O3553" t="s">
        <v>53</v>
      </c>
      <c r="P3553" t="s">
        <v>53</v>
      </c>
      <c r="Q3553" t="s">
        <v>53</v>
      </c>
    </row>
    <row r="3554" spans="1:17" x14ac:dyDescent="0.2">
      <c r="A3554" s="30" t="str">
        <f>IF(C3554&amp;G3554&amp;D3554&lt;&gt;'Funnel setup'!$K$3&amp;'Funnel setup'!$K$4&amp;'Funnel setup'!$K$5,".",IF(A3553=".",1,A3553+1))</f>
        <v>.</v>
      </c>
      <c r="B3554" s="431" t="str">
        <f t="shared" si="55"/>
        <v>Hip Replacement RevisionProviderNUFFIELD HEALTH, YORK HOSPITAL (NT245)Oxford Hip Score</v>
      </c>
      <c r="C3554" t="s">
        <v>247</v>
      </c>
      <c r="D3554" t="s">
        <v>1</v>
      </c>
      <c r="E3554" t="s">
        <v>4299</v>
      </c>
      <c r="F3554" t="s">
        <v>4300</v>
      </c>
      <c r="G3554" t="s">
        <v>14</v>
      </c>
      <c r="H3554" t="s">
        <v>53</v>
      </c>
      <c r="I3554" t="s">
        <v>53</v>
      </c>
      <c r="J3554" t="s">
        <v>53</v>
      </c>
      <c r="K3554" t="s">
        <v>53</v>
      </c>
      <c r="L3554" t="s">
        <v>53</v>
      </c>
      <c r="M3554" t="s">
        <v>53</v>
      </c>
      <c r="N3554" t="s">
        <v>53</v>
      </c>
      <c r="O3554" t="s">
        <v>53</v>
      </c>
      <c r="P3554" t="s">
        <v>53</v>
      </c>
      <c r="Q3554" t="s">
        <v>53</v>
      </c>
    </row>
    <row r="3555" spans="1:17" x14ac:dyDescent="0.2">
      <c r="A3555" s="30" t="str">
        <f>IF(C3555&amp;G3555&amp;D3555&lt;&gt;'Funnel setup'!$K$3&amp;'Funnel setup'!$K$4&amp;'Funnel setup'!$K$5,".",IF(A3554=".",1,A3554+1))</f>
        <v>.</v>
      </c>
      <c r="B3555" s="431" t="str">
        <f t="shared" si="55"/>
        <v>Hip Replacement RevisionProviderOXFORD UNIVERSITY HOSPITALS NHS FOUNDATION TRUST (RTH)Oxford Hip Score</v>
      </c>
      <c r="C3555" t="s">
        <v>247</v>
      </c>
      <c r="D3555" t="s">
        <v>1</v>
      </c>
      <c r="E3555" t="s">
        <v>3278</v>
      </c>
      <c r="F3555" t="s">
        <v>6578</v>
      </c>
      <c r="G3555" t="s">
        <v>14</v>
      </c>
      <c r="H3555">
        <v>84</v>
      </c>
      <c r="I3555">
        <v>19.417000000000002</v>
      </c>
      <c r="J3555">
        <v>33.786000000000001</v>
      </c>
      <c r="K3555">
        <v>14.369</v>
      </c>
      <c r="L3555">
        <v>72</v>
      </c>
      <c r="M3555">
        <v>1</v>
      </c>
      <c r="N3555">
        <v>11</v>
      </c>
      <c r="O3555">
        <v>34.25</v>
      </c>
      <c r="P3555">
        <v>13.37561678</v>
      </c>
      <c r="Q3555">
        <v>9.7219999999999995</v>
      </c>
    </row>
    <row r="3556" spans="1:17" x14ac:dyDescent="0.2">
      <c r="A3556" s="30" t="str">
        <f>IF(C3556&amp;G3556&amp;D3556&lt;&gt;'Funnel setup'!$K$3&amp;'Funnel setup'!$K$4&amp;'Funnel setup'!$K$5,".",IF(A3555=".",1,A3555+1))</f>
        <v>.</v>
      </c>
      <c r="B3556" s="431" t="str">
        <f t="shared" si="55"/>
        <v>Hip Replacement RevisionProviderPENINSULA NHS TREATMENT CENTRE (NTPH5)Oxford Hip Score</v>
      </c>
      <c r="C3556" t="s">
        <v>247</v>
      </c>
      <c r="D3556" t="s">
        <v>1</v>
      </c>
      <c r="E3556" t="s">
        <v>4285</v>
      </c>
      <c r="F3556" t="s">
        <v>4286</v>
      </c>
      <c r="G3556" t="s">
        <v>14</v>
      </c>
      <c r="H3556" t="s">
        <v>53</v>
      </c>
      <c r="I3556" t="s">
        <v>53</v>
      </c>
      <c r="J3556" t="s">
        <v>53</v>
      </c>
      <c r="K3556" t="s">
        <v>53</v>
      </c>
      <c r="L3556" t="s">
        <v>53</v>
      </c>
      <c r="M3556" t="s">
        <v>53</v>
      </c>
      <c r="N3556" t="s">
        <v>53</v>
      </c>
      <c r="O3556" t="s">
        <v>53</v>
      </c>
      <c r="P3556" t="s">
        <v>53</v>
      </c>
      <c r="Q3556" t="s">
        <v>53</v>
      </c>
    </row>
    <row r="3557" spans="1:17" x14ac:dyDescent="0.2">
      <c r="A3557" s="30" t="str">
        <f>IF(C3557&amp;G3557&amp;D3557&lt;&gt;'Funnel setup'!$K$3&amp;'Funnel setup'!$K$4&amp;'Funnel setup'!$K$5,".",IF(A3556=".",1,A3556+1))</f>
        <v>.</v>
      </c>
      <c r="B3557" s="431" t="str">
        <f t="shared" si="55"/>
        <v>Hip Replacement RevisionProviderPENNINE ACUTE HOSPITALS NHS TRUST (RW6)Oxford Hip Score</v>
      </c>
      <c r="C3557" t="s">
        <v>247</v>
      </c>
      <c r="D3557" t="s">
        <v>1</v>
      </c>
      <c r="E3557" t="s">
        <v>3216</v>
      </c>
      <c r="F3557" t="s">
        <v>3217</v>
      </c>
      <c r="G3557" t="s">
        <v>14</v>
      </c>
      <c r="H3557">
        <v>31</v>
      </c>
      <c r="I3557">
        <v>23.225999999999999</v>
      </c>
      <c r="J3557">
        <v>33.902999999999999</v>
      </c>
      <c r="K3557">
        <v>10.677</v>
      </c>
      <c r="L3557">
        <v>22</v>
      </c>
      <c r="M3557">
        <v>1</v>
      </c>
      <c r="N3557">
        <v>8</v>
      </c>
      <c r="O3557">
        <v>33.435000000000002</v>
      </c>
      <c r="P3557">
        <v>12.559801820000001</v>
      </c>
      <c r="Q3557">
        <v>11.56</v>
      </c>
    </row>
    <row r="3558" spans="1:17" x14ac:dyDescent="0.2">
      <c r="A3558" s="30" t="str">
        <f>IF(C3558&amp;G3558&amp;D3558&lt;&gt;'Funnel setup'!$K$3&amp;'Funnel setup'!$K$4&amp;'Funnel setup'!$K$5,".",IF(A3557=".",1,A3557+1))</f>
        <v>.</v>
      </c>
      <c r="B3558" s="431" t="str">
        <f t="shared" si="55"/>
        <v>Hip Replacement RevisionProviderPETERBOROUGH AND STAMFORD HOSPITALS NHS FOUNDATION TRUST (RGN)Oxford Hip Score</v>
      </c>
      <c r="C3558" t="s">
        <v>247</v>
      </c>
      <c r="D3558" t="s">
        <v>1</v>
      </c>
      <c r="E3558" t="s">
        <v>3219</v>
      </c>
      <c r="F3558" t="s">
        <v>3220</v>
      </c>
      <c r="G3558" t="s">
        <v>14</v>
      </c>
      <c r="H3558" t="s">
        <v>53</v>
      </c>
      <c r="I3558" t="s">
        <v>53</v>
      </c>
      <c r="J3558" t="s">
        <v>53</v>
      </c>
      <c r="K3558" t="s">
        <v>53</v>
      </c>
      <c r="L3558" t="s">
        <v>53</v>
      </c>
      <c r="M3558" t="s">
        <v>53</v>
      </c>
      <c r="N3558" t="s">
        <v>53</v>
      </c>
      <c r="O3558" t="s">
        <v>53</v>
      </c>
      <c r="P3558" t="s">
        <v>53</v>
      </c>
      <c r="Q3558" t="s">
        <v>53</v>
      </c>
    </row>
    <row r="3559" spans="1:17" x14ac:dyDescent="0.2">
      <c r="A3559" s="30" t="str">
        <f>IF(C3559&amp;G3559&amp;D3559&lt;&gt;'Funnel setup'!$K$3&amp;'Funnel setup'!$K$4&amp;'Funnel setup'!$K$5,".",IF(A3558=".",1,A3558+1))</f>
        <v>.</v>
      </c>
      <c r="B3559" s="431" t="str">
        <f t="shared" si="55"/>
        <v>Hip Replacement RevisionProviderPINEHILL HOSPITAL (NVC15)Oxford Hip Score</v>
      </c>
      <c r="C3559" t="s">
        <v>247</v>
      </c>
      <c r="D3559" t="s">
        <v>1</v>
      </c>
      <c r="E3559" t="s">
        <v>3222</v>
      </c>
      <c r="F3559" t="s">
        <v>3223</v>
      </c>
      <c r="G3559" t="s">
        <v>14</v>
      </c>
      <c r="H3559" t="s">
        <v>53</v>
      </c>
      <c r="I3559" t="s">
        <v>53</v>
      </c>
      <c r="J3559" t="s">
        <v>53</v>
      </c>
      <c r="K3559" t="s">
        <v>53</v>
      </c>
      <c r="L3559" t="s">
        <v>53</v>
      </c>
      <c r="M3559" t="s">
        <v>53</v>
      </c>
      <c r="N3559" t="s">
        <v>53</v>
      </c>
      <c r="O3559" t="s">
        <v>53</v>
      </c>
      <c r="P3559" t="s">
        <v>53</v>
      </c>
      <c r="Q3559" t="s">
        <v>53</v>
      </c>
    </row>
    <row r="3560" spans="1:17" x14ac:dyDescent="0.2">
      <c r="A3560" s="30" t="str">
        <f>IF(C3560&amp;G3560&amp;D3560&lt;&gt;'Funnel setup'!$K$3&amp;'Funnel setup'!$K$4&amp;'Funnel setup'!$K$5,".",IF(A3559=".",1,A3559+1))</f>
        <v>.</v>
      </c>
      <c r="B3560" s="431" t="str">
        <f t="shared" si="55"/>
        <v>Hip Replacement RevisionProviderPLYMOUTH HOSPITALS NHS TRUST (RK9)Oxford Hip Score</v>
      </c>
      <c r="C3560" t="s">
        <v>247</v>
      </c>
      <c r="D3560" t="s">
        <v>1</v>
      </c>
      <c r="E3560" t="s">
        <v>3225</v>
      </c>
      <c r="F3560" t="s">
        <v>3226</v>
      </c>
      <c r="G3560" t="s">
        <v>14</v>
      </c>
      <c r="H3560">
        <v>25</v>
      </c>
      <c r="I3560">
        <v>23.16</v>
      </c>
      <c r="J3560">
        <v>34.76</v>
      </c>
      <c r="K3560">
        <v>11.6</v>
      </c>
      <c r="L3560">
        <v>20</v>
      </c>
      <c r="M3560">
        <v>1</v>
      </c>
      <c r="N3560">
        <v>4</v>
      </c>
      <c r="O3560" t="s">
        <v>53</v>
      </c>
      <c r="P3560" t="s">
        <v>53</v>
      </c>
      <c r="Q3560" t="s">
        <v>53</v>
      </c>
    </row>
    <row r="3561" spans="1:17" x14ac:dyDescent="0.2">
      <c r="A3561" s="30" t="str">
        <f>IF(C3561&amp;G3561&amp;D3561&lt;&gt;'Funnel setup'!$K$3&amp;'Funnel setup'!$K$4&amp;'Funnel setup'!$K$5,".",IF(A3560=".",1,A3560+1))</f>
        <v>.</v>
      </c>
      <c r="B3561" s="431" t="str">
        <f t="shared" si="55"/>
        <v>Hip Replacement RevisionProviderPORTSMOUTH HOSPITALS NHS TRUST (RHU)Oxford Hip Score</v>
      </c>
      <c r="C3561" t="s">
        <v>247</v>
      </c>
      <c r="D3561" t="s">
        <v>1</v>
      </c>
      <c r="E3561" t="s">
        <v>3234</v>
      </c>
      <c r="F3561" t="s">
        <v>3235</v>
      </c>
      <c r="G3561" t="s">
        <v>14</v>
      </c>
      <c r="H3561">
        <v>6</v>
      </c>
      <c r="I3561">
        <v>16.5</v>
      </c>
      <c r="J3561">
        <v>30.167000000000002</v>
      </c>
      <c r="K3561">
        <v>13.667</v>
      </c>
      <c r="L3561">
        <v>6</v>
      </c>
      <c r="M3561">
        <v>0</v>
      </c>
      <c r="N3561">
        <v>0</v>
      </c>
      <c r="O3561" t="s">
        <v>53</v>
      </c>
      <c r="P3561" t="s">
        <v>53</v>
      </c>
      <c r="Q3561" t="s">
        <v>53</v>
      </c>
    </row>
    <row r="3562" spans="1:17" x14ac:dyDescent="0.2">
      <c r="A3562" s="30" t="str">
        <f>IF(C3562&amp;G3562&amp;D3562&lt;&gt;'Funnel setup'!$K$3&amp;'Funnel setup'!$K$4&amp;'Funnel setup'!$K$5,".",IF(A3561=".",1,A3561+1))</f>
        <v>.</v>
      </c>
      <c r="B3562" s="431" t="str">
        <f t="shared" si="55"/>
        <v>Hip Replacement RevisionProviderRENACRES HOSPITAL (NVC16)Oxford Hip Score</v>
      </c>
      <c r="C3562" t="s">
        <v>247</v>
      </c>
      <c r="D3562" t="s">
        <v>1</v>
      </c>
      <c r="E3562" t="s">
        <v>3237</v>
      </c>
      <c r="F3562" t="s">
        <v>3238</v>
      </c>
      <c r="G3562" t="s">
        <v>14</v>
      </c>
      <c r="H3562" t="s">
        <v>53</v>
      </c>
      <c r="I3562" t="s">
        <v>53</v>
      </c>
      <c r="J3562" t="s">
        <v>53</v>
      </c>
      <c r="K3562" t="s">
        <v>53</v>
      </c>
      <c r="L3562" t="s">
        <v>53</v>
      </c>
      <c r="M3562" t="s">
        <v>53</v>
      </c>
      <c r="N3562" t="s">
        <v>53</v>
      </c>
      <c r="O3562" t="s">
        <v>53</v>
      </c>
      <c r="P3562" t="s">
        <v>53</v>
      </c>
      <c r="Q3562" t="s">
        <v>53</v>
      </c>
    </row>
    <row r="3563" spans="1:17" x14ac:dyDescent="0.2">
      <c r="A3563" s="30" t="str">
        <f>IF(C3563&amp;G3563&amp;D3563&lt;&gt;'Funnel setup'!$K$3&amp;'Funnel setup'!$K$4&amp;'Funnel setup'!$K$5,".",IF(A3562=".",1,A3562+1))</f>
        <v>.</v>
      </c>
      <c r="B3563" s="431" t="str">
        <f t="shared" si="55"/>
        <v>Hip Replacement RevisionProviderRIVERS HOSPITAL (NVC19)Oxford Hip Score</v>
      </c>
      <c r="C3563" t="s">
        <v>247</v>
      </c>
      <c r="D3563" t="s">
        <v>1</v>
      </c>
      <c r="E3563" t="s">
        <v>3204</v>
      </c>
      <c r="F3563" t="s">
        <v>3205</v>
      </c>
      <c r="G3563" t="s">
        <v>14</v>
      </c>
      <c r="H3563" t="s">
        <v>53</v>
      </c>
      <c r="I3563" t="s">
        <v>53</v>
      </c>
      <c r="J3563" t="s">
        <v>53</v>
      </c>
      <c r="K3563" t="s">
        <v>53</v>
      </c>
      <c r="L3563" t="s">
        <v>53</v>
      </c>
      <c r="M3563" t="s">
        <v>53</v>
      </c>
      <c r="N3563" t="s">
        <v>53</v>
      </c>
      <c r="O3563" t="s">
        <v>53</v>
      </c>
      <c r="P3563" t="s">
        <v>53</v>
      </c>
      <c r="Q3563" t="s">
        <v>53</v>
      </c>
    </row>
    <row r="3564" spans="1:17" x14ac:dyDescent="0.2">
      <c r="A3564" s="30" t="str">
        <f>IF(C3564&amp;G3564&amp;D3564&lt;&gt;'Funnel setup'!$K$3&amp;'Funnel setup'!$K$4&amp;'Funnel setup'!$K$5,".",IF(A3563=".",1,A3563+1))</f>
        <v>.</v>
      </c>
      <c r="B3564" s="431" t="str">
        <f t="shared" si="55"/>
        <v>Hip Replacement RevisionProviderROYAL BERKSHIRE NHS FOUNDATION TRUST (RHW)Oxford Hip Score</v>
      </c>
      <c r="C3564" t="s">
        <v>247</v>
      </c>
      <c r="D3564" t="s">
        <v>1</v>
      </c>
      <c r="E3564" t="s">
        <v>3832</v>
      </c>
      <c r="F3564" t="s">
        <v>3833</v>
      </c>
      <c r="G3564" t="s">
        <v>14</v>
      </c>
      <c r="H3564">
        <v>16</v>
      </c>
      <c r="I3564">
        <v>22.812999999999999</v>
      </c>
      <c r="J3564">
        <v>34.313000000000002</v>
      </c>
      <c r="K3564">
        <v>11.5</v>
      </c>
      <c r="L3564">
        <v>16</v>
      </c>
      <c r="M3564">
        <v>0</v>
      </c>
      <c r="N3564">
        <v>0</v>
      </c>
      <c r="O3564" t="s">
        <v>53</v>
      </c>
      <c r="P3564" t="s">
        <v>53</v>
      </c>
      <c r="Q3564" t="s">
        <v>53</v>
      </c>
    </row>
    <row r="3565" spans="1:17" x14ac:dyDescent="0.2">
      <c r="A3565" s="30" t="str">
        <f>IF(C3565&amp;G3565&amp;D3565&lt;&gt;'Funnel setup'!$K$3&amp;'Funnel setup'!$K$4&amp;'Funnel setup'!$K$5,".",IF(A3564=".",1,A3564+1))</f>
        <v>.</v>
      </c>
      <c r="B3565" s="431" t="str">
        <f t="shared" si="55"/>
        <v>Hip Replacement RevisionProviderROYAL CORNWALL HOSPITALS NHS TRUST (REF)Oxford Hip Score</v>
      </c>
      <c r="C3565" t="s">
        <v>247</v>
      </c>
      <c r="D3565" t="s">
        <v>1</v>
      </c>
      <c r="E3565" t="s">
        <v>3745</v>
      </c>
      <c r="F3565" t="s">
        <v>3746</v>
      </c>
      <c r="G3565" t="s">
        <v>14</v>
      </c>
      <c r="H3565">
        <v>35</v>
      </c>
      <c r="I3565">
        <v>21.343</v>
      </c>
      <c r="J3565">
        <v>29.657</v>
      </c>
      <c r="K3565">
        <v>8.3140000000000001</v>
      </c>
      <c r="L3565">
        <v>29</v>
      </c>
      <c r="M3565">
        <v>0</v>
      </c>
      <c r="N3565">
        <v>6</v>
      </c>
      <c r="O3565">
        <v>29.960999999999999</v>
      </c>
      <c r="P3565">
        <v>9.0858318209999993</v>
      </c>
      <c r="Q3565">
        <v>10.021000000000001</v>
      </c>
    </row>
    <row r="3566" spans="1:17" x14ac:dyDescent="0.2">
      <c r="A3566" s="30" t="str">
        <f>IF(C3566&amp;G3566&amp;D3566&lt;&gt;'Funnel setup'!$K$3&amp;'Funnel setup'!$K$4&amp;'Funnel setup'!$K$5,".",IF(A3565=".",1,A3565+1))</f>
        <v>.</v>
      </c>
      <c r="B3566" s="431" t="str">
        <f t="shared" si="55"/>
        <v>Hip Replacement RevisionProviderROYAL DEVON AND EXETER NHS FOUNDATION TRUST (RH8)Oxford Hip Score</v>
      </c>
      <c r="C3566" t="s">
        <v>247</v>
      </c>
      <c r="D3566" t="s">
        <v>1</v>
      </c>
      <c r="E3566" t="s">
        <v>3442</v>
      </c>
      <c r="F3566" t="s">
        <v>3443</v>
      </c>
      <c r="G3566" t="s">
        <v>14</v>
      </c>
      <c r="H3566">
        <v>53</v>
      </c>
      <c r="I3566">
        <v>19.905999999999999</v>
      </c>
      <c r="J3566">
        <v>35.472000000000001</v>
      </c>
      <c r="K3566">
        <v>15.566000000000001</v>
      </c>
      <c r="L3566">
        <v>50</v>
      </c>
      <c r="M3566">
        <v>0</v>
      </c>
      <c r="N3566">
        <v>3</v>
      </c>
      <c r="O3566">
        <v>35.776000000000003</v>
      </c>
      <c r="P3566">
        <v>14.901537879999999</v>
      </c>
      <c r="Q3566">
        <v>8.6180000000000003</v>
      </c>
    </row>
    <row r="3567" spans="1:17" x14ac:dyDescent="0.2">
      <c r="A3567" s="30" t="str">
        <f>IF(C3567&amp;G3567&amp;D3567&lt;&gt;'Funnel setup'!$K$3&amp;'Funnel setup'!$K$4&amp;'Funnel setup'!$K$5,".",IF(A3566=".",1,A3566+1))</f>
        <v>.</v>
      </c>
      <c r="B3567" s="431" t="str">
        <f t="shared" si="55"/>
        <v>Hip Replacement RevisionProviderROYAL FREE LONDON NHS FOUNDATION TRUST (RAL)Oxford Hip Score</v>
      </c>
      <c r="C3567" t="s">
        <v>247</v>
      </c>
      <c r="D3567" t="s">
        <v>1</v>
      </c>
      <c r="E3567" t="s">
        <v>3445</v>
      </c>
      <c r="F3567" t="s">
        <v>3446</v>
      </c>
      <c r="G3567" t="s">
        <v>14</v>
      </c>
      <c r="H3567">
        <v>14</v>
      </c>
      <c r="I3567">
        <v>20.571000000000002</v>
      </c>
      <c r="J3567">
        <v>34.070999999999998</v>
      </c>
      <c r="K3567">
        <v>13.5</v>
      </c>
      <c r="L3567">
        <v>12</v>
      </c>
      <c r="M3567">
        <v>0</v>
      </c>
      <c r="N3567">
        <v>2</v>
      </c>
      <c r="O3567" t="s">
        <v>53</v>
      </c>
      <c r="P3567" t="s">
        <v>53</v>
      </c>
      <c r="Q3567" t="s">
        <v>53</v>
      </c>
    </row>
    <row r="3568" spans="1:17" x14ac:dyDescent="0.2">
      <c r="A3568" s="30" t="str">
        <f>IF(C3568&amp;G3568&amp;D3568&lt;&gt;'Funnel setup'!$K$3&amp;'Funnel setup'!$K$4&amp;'Funnel setup'!$K$5,".",IF(A3567=".",1,A3567+1))</f>
        <v>.</v>
      </c>
      <c r="B3568" s="431" t="str">
        <f t="shared" si="55"/>
        <v>Hip Replacement RevisionProviderROYAL LIVERPOOL AND BROADGREEN UNIVERSITY HOSPITALS NHS TRUST (RQ6)Oxford Hip Score</v>
      </c>
      <c r="C3568" t="s">
        <v>247</v>
      </c>
      <c r="D3568" t="s">
        <v>1</v>
      </c>
      <c r="E3568" t="s">
        <v>3448</v>
      </c>
      <c r="F3568" t="s">
        <v>3449</v>
      </c>
      <c r="G3568" t="s">
        <v>14</v>
      </c>
      <c r="H3568">
        <v>6</v>
      </c>
      <c r="I3568">
        <v>16.167000000000002</v>
      </c>
      <c r="J3568">
        <v>19.832999999999998</v>
      </c>
      <c r="K3568">
        <v>3.6669999999999998</v>
      </c>
      <c r="L3568">
        <v>4</v>
      </c>
      <c r="M3568">
        <v>0</v>
      </c>
      <c r="N3568">
        <v>2</v>
      </c>
      <c r="O3568" t="s">
        <v>53</v>
      </c>
      <c r="P3568" t="s">
        <v>53</v>
      </c>
      <c r="Q3568" t="s">
        <v>53</v>
      </c>
    </row>
    <row r="3569" spans="1:17" x14ac:dyDescent="0.2">
      <c r="A3569" s="30" t="str">
        <f>IF(C3569&amp;G3569&amp;D3569&lt;&gt;'Funnel setup'!$K$3&amp;'Funnel setup'!$K$4&amp;'Funnel setup'!$K$5,".",IF(A3568=".",1,A3568+1))</f>
        <v>.</v>
      </c>
      <c r="B3569" s="431" t="str">
        <f t="shared" si="55"/>
        <v>Hip Replacement RevisionProviderROYAL NATIONAL ORTHOPAEDIC HOSPITAL NHS TRUST (RAN)Oxford Hip Score</v>
      </c>
      <c r="C3569" t="s">
        <v>247</v>
      </c>
      <c r="D3569" t="s">
        <v>1</v>
      </c>
      <c r="E3569" t="s">
        <v>4378</v>
      </c>
      <c r="F3569" t="s">
        <v>4379</v>
      </c>
      <c r="G3569" t="s">
        <v>14</v>
      </c>
      <c r="H3569">
        <v>39</v>
      </c>
      <c r="I3569">
        <v>16.922999999999998</v>
      </c>
      <c r="J3569">
        <v>30.949000000000002</v>
      </c>
      <c r="K3569">
        <v>14.026</v>
      </c>
      <c r="L3569">
        <v>33</v>
      </c>
      <c r="M3569">
        <v>0</v>
      </c>
      <c r="N3569">
        <v>6</v>
      </c>
      <c r="O3569">
        <v>33.878999999999998</v>
      </c>
      <c r="P3569">
        <v>13.004573069999999</v>
      </c>
      <c r="Q3569">
        <v>10.276999999999999</v>
      </c>
    </row>
    <row r="3570" spans="1:17" x14ac:dyDescent="0.2">
      <c r="A3570" s="30" t="str">
        <f>IF(C3570&amp;G3570&amp;D3570&lt;&gt;'Funnel setup'!$K$3&amp;'Funnel setup'!$K$4&amp;'Funnel setup'!$K$5,".",IF(A3569=".",1,A3569+1))</f>
        <v>.</v>
      </c>
      <c r="B3570" s="431" t="str">
        <f t="shared" si="55"/>
        <v>Hip Replacement RevisionProviderROYAL SURREY COUNTY HOSPITAL NHS FOUNDATION TRUST (RA2)Oxford Hip Score</v>
      </c>
      <c r="C3570" t="s">
        <v>247</v>
      </c>
      <c r="D3570" t="s">
        <v>1</v>
      </c>
      <c r="E3570" t="s">
        <v>3451</v>
      </c>
      <c r="F3570" t="s">
        <v>3452</v>
      </c>
      <c r="G3570" t="s">
        <v>14</v>
      </c>
      <c r="H3570">
        <v>8</v>
      </c>
      <c r="I3570">
        <v>15.875</v>
      </c>
      <c r="J3570">
        <v>26.625</v>
      </c>
      <c r="K3570">
        <v>10.75</v>
      </c>
      <c r="L3570">
        <v>7</v>
      </c>
      <c r="M3570">
        <v>0</v>
      </c>
      <c r="N3570">
        <v>1</v>
      </c>
      <c r="O3570" t="s">
        <v>53</v>
      </c>
      <c r="P3570" t="s">
        <v>53</v>
      </c>
      <c r="Q3570" t="s">
        <v>53</v>
      </c>
    </row>
    <row r="3571" spans="1:17" x14ac:dyDescent="0.2">
      <c r="A3571" s="30" t="str">
        <f>IF(C3571&amp;G3571&amp;D3571&lt;&gt;'Funnel setup'!$K$3&amp;'Funnel setup'!$K$4&amp;'Funnel setup'!$K$5,".",IF(A3570=".",1,A3570+1))</f>
        <v>.</v>
      </c>
      <c r="B3571" s="431" t="str">
        <f t="shared" si="55"/>
        <v>Hip Replacement RevisionProviderROYAL UNITED HOSPITALS BATH NHS FOUNDATION TRUST (RD1)Oxford Hip Score</v>
      </c>
      <c r="C3571" t="s">
        <v>247</v>
      </c>
      <c r="D3571" t="s">
        <v>1</v>
      </c>
      <c r="E3571" t="s">
        <v>3454</v>
      </c>
      <c r="F3571" t="s">
        <v>3455</v>
      </c>
      <c r="G3571" t="s">
        <v>14</v>
      </c>
      <c r="H3571">
        <v>34</v>
      </c>
      <c r="I3571">
        <v>24.059000000000001</v>
      </c>
      <c r="J3571">
        <v>35.853000000000002</v>
      </c>
      <c r="K3571">
        <v>11.794</v>
      </c>
      <c r="L3571">
        <v>25</v>
      </c>
      <c r="M3571">
        <v>4</v>
      </c>
      <c r="N3571">
        <v>5</v>
      </c>
      <c r="O3571">
        <v>33.951000000000001</v>
      </c>
      <c r="P3571">
        <v>13.07637808</v>
      </c>
      <c r="Q3571">
        <v>8.3710000000000004</v>
      </c>
    </row>
    <row r="3572" spans="1:17" x14ac:dyDescent="0.2">
      <c r="A3572" s="30" t="str">
        <f>IF(C3572&amp;G3572&amp;D3572&lt;&gt;'Funnel setup'!$K$3&amp;'Funnel setup'!$K$4&amp;'Funnel setup'!$K$5,".",IF(A3571=".",1,A3571+1))</f>
        <v>.</v>
      </c>
      <c r="B3572" s="431" t="str">
        <f t="shared" si="55"/>
        <v>Hip Replacement RevisionProviderSALFORD ROYAL NHS FOUNDATION TRUST (RM3)Oxford Hip Score</v>
      </c>
      <c r="C3572" t="s">
        <v>247</v>
      </c>
      <c r="D3572" t="s">
        <v>1</v>
      </c>
      <c r="E3572" t="s">
        <v>3457</v>
      </c>
      <c r="F3572" t="s">
        <v>3458</v>
      </c>
      <c r="G3572" t="s">
        <v>14</v>
      </c>
      <c r="H3572" t="s">
        <v>53</v>
      </c>
      <c r="I3572" t="s">
        <v>53</v>
      </c>
      <c r="J3572" t="s">
        <v>53</v>
      </c>
      <c r="K3572" t="s">
        <v>53</v>
      </c>
      <c r="L3572" t="s">
        <v>53</v>
      </c>
      <c r="M3572" t="s">
        <v>53</v>
      </c>
      <c r="N3572" t="s">
        <v>53</v>
      </c>
      <c r="O3572" t="s">
        <v>53</v>
      </c>
      <c r="P3572" t="s">
        <v>53</v>
      </c>
      <c r="Q3572" t="s">
        <v>53</v>
      </c>
    </row>
    <row r="3573" spans="1:17" x14ac:dyDescent="0.2">
      <c r="A3573" s="30" t="str">
        <f>IF(C3573&amp;G3573&amp;D3573&lt;&gt;'Funnel setup'!$K$3&amp;'Funnel setup'!$K$4&amp;'Funnel setup'!$K$5,".",IF(A3572=".",1,A3572+1))</f>
        <v>.</v>
      </c>
      <c r="B3573" s="431" t="str">
        <f t="shared" si="55"/>
        <v>Hip Replacement RevisionProviderSALISBURY NHS FOUNDATION TRUST (RNZ)Oxford Hip Score</v>
      </c>
      <c r="C3573" t="s">
        <v>247</v>
      </c>
      <c r="D3573" t="s">
        <v>1</v>
      </c>
      <c r="E3573" t="s">
        <v>3460</v>
      </c>
      <c r="F3573" t="s">
        <v>3461</v>
      </c>
      <c r="G3573" t="s">
        <v>14</v>
      </c>
      <c r="H3573" t="s">
        <v>53</v>
      </c>
      <c r="I3573" t="s">
        <v>53</v>
      </c>
      <c r="J3573" t="s">
        <v>53</v>
      </c>
      <c r="K3573" t="s">
        <v>53</v>
      </c>
      <c r="L3573" t="s">
        <v>53</v>
      </c>
      <c r="M3573" t="s">
        <v>53</v>
      </c>
      <c r="N3573" t="s">
        <v>53</v>
      </c>
      <c r="O3573" t="s">
        <v>53</v>
      </c>
      <c r="P3573" t="s">
        <v>53</v>
      </c>
      <c r="Q3573" t="s">
        <v>53</v>
      </c>
    </row>
    <row r="3574" spans="1:17" x14ac:dyDescent="0.2">
      <c r="A3574" s="30" t="str">
        <f>IF(C3574&amp;G3574&amp;D3574&lt;&gt;'Funnel setup'!$K$3&amp;'Funnel setup'!$K$4&amp;'Funnel setup'!$K$5,".",IF(A3573=".",1,A3573+1))</f>
        <v>.</v>
      </c>
      <c r="B3574" s="431" t="str">
        <f t="shared" si="55"/>
        <v>Hip Replacement RevisionProviderSANDWELL AND WEST BIRMINGHAM HOSPITALS NHS TRUST (RXK)Oxford Hip Score</v>
      </c>
      <c r="C3574" t="s">
        <v>247</v>
      </c>
      <c r="D3574" t="s">
        <v>1</v>
      </c>
      <c r="E3574" t="s">
        <v>3463</v>
      </c>
      <c r="F3574" t="s">
        <v>3464</v>
      </c>
      <c r="G3574" t="s">
        <v>14</v>
      </c>
      <c r="H3574" t="s">
        <v>53</v>
      </c>
      <c r="I3574" t="s">
        <v>53</v>
      </c>
      <c r="J3574" t="s">
        <v>53</v>
      </c>
      <c r="K3574" t="s">
        <v>53</v>
      </c>
      <c r="L3574" t="s">
        <v>53</v>
      </c>
      <c r="M3574" t="s">
        <v>53</v>
      </c>
      <c r="N3574" t="s">
        <v>53</v>
      </c>
      <c r="O3574" t="s">
        <v>53</v>
      </c>
      <c r="P3574" t="s">
        <v>53</v>
      </c>
      <c r="Q3574" t="s">
        <v>53</v>
      </c>
    </row>
    <row r="3575" spans="1:17" x14ac:dyDescent="0.2">
      <c r="A3575" s="30" t="str">
        <f>IF(C3575&amp;G3575&amp;D3575&lt;&gt;'Funnel setup'!$K$3&amp;'Funnel setup'!$K$4&amp;'Funnel setup'!$K$5,".",IF(A3574=".",1,A3574+1))</f>
        <v>.</v>
      </c>
      <c r="B3575" s="431" t="str">
        <f t="shared" si="55"/>
        <v>Hip Replacement RevisionProviderSHEFFIELD TEACHING HOSPITALS NHS FOUNDATION TRUST (RHQ)Oxford Hip Score</v>
      </c>
      <c r="C3575" t="s">
        <v>247</v>
      </c>
      <c r="D3575" t="s">
        <v>1</v>
      </c>
      <c r="E3575" t="s">
        <v>3466</v>
      </c>
      <c r="F3575" t="s">
        <v>3467</v>
      </c>
      <c r="G3575" t="s">
        <v>14</v>
      </c>
      <c r="H3575">
        <v>45</v>
      </c>
      <c r="I3575">
        <v>15.8</v>
      </c>
      <c r="J3575">
        <v>31.556000000000001</v>
      </c>
      <c r="K3575">
        <v>15.756</v>
      </c>
      <c r="L3575">
        <v>43</v>
      </c>
      <c r="M3575">
        <v>0</v>
      </c>
      <c r="N3575">
        <v>2</v>
      </c>
      <c r="O3575">
        <v>34.597999999999999</v>
      </c>
      <c r="P3575">
        <v>13.72343974</v>
      </c>
      <c r="Q3575">
        <v>9.3239999999999998</v>
      </c>
    </row>
    <row r="3576" spans="1:17" x14ac:dyDescent="0.2">
      <c r="A3576" s="30" t="str">
        <f>IF(C3576&amp;G3576&amp;D3576&lt;&gt;'Funnel setup'!$K$3&amp;'Funnel setup'!$K$4&amp;'Funnel setup'!$K$5,".",IF(A3575=".",1,A3575+1))</f>
        <v>.</v>
      </c>
      <c r="B3576" s="431" t="str">
        <f t="shared" si="55"/>
        <v>Hip Replacement RevisionProviderSHEPTON MALLET NHS TREATMENT CENTRE (NTPH1)Oxford Hip Score</v>
      </c>
      <c r="C3576" t="s">
        <v>247</v>
      </c>
      <c r="D3576" t="s">
        <v>1</v>
      </c>
      <c r="E3576" t="s">
        <v>3472</v>
      </c>
      <c r="F3576" t="s">
        <v>3473</v>
      </c>
      <c r="G3576" t="s">
        <v>14</v>
      </c>
      <c r="H3576">
        <v>33</v>
      </c>
      <c r="I3576">
        <v>37.363999999999997</v>
      </c>
      <c r="J3576">
        <v>41.758000000000003</v>
      </c>
      <c r="K3576">
        <v>4.3940000000000001</v>
      </c>
      <c r="L3576">
        <v>15</v>
      </c>
      <c r="M3576">
        <v>9</v>
      </c>
      <c r="N3576">
        <v>9</v>
      </c>
      <c r="O3576">
        <v>35.347000000000001</v>
      </c>
      <c r="P3576">
        <v>14.472568089999999</v>
      </c>
      <c r="Q3576">
        <v>7.343</v>
      </c>
    </row>
    <row r="3577" spans="1:17" x14ac:dyDescent="0.2">
      <c r="A3577" s="30" t="str">
        <f>IF(C3577&amp;G3577&amp;D3577&lt;&gt;'Funnel setup'!$K$3&amp;'Funnel setup'!$K$4&amp;'Funnel setup'!$K$5,".",IF(A3576=".",1,A3576+1))</f>
        <v>.</v>
      </c>
      <c r="B3577" s="431" t="str">
        <f t="shared" si="55"/>
        <v>Hip Replacement RevisionProviderSHERWOOD FOREST HOSPITALS NHS FOUNDATION TRUST (RK5)Oxford Hip Score</v>
      </c>
      <c r="C3577" t="s">
        <v>247</v>
      </c>
      <c r="D3577" t="s">
        <v>1</v>
      </c>
      <c r="E3577" t="s">
        <v>3475</v>
      </c>
      <c r="F3577" t="s">
        <v>3476</v>
      </c>
      <c r="G3577" t="s">
        <v>14</v>
      </c>
      <c r="H3577" t="s">
        <v>53</v>
      </c>
      <c r="I3577" t="s">
        <v>53</v>
      </c>
      <c r="J3577" t="s">
        <v>53</v>
      </c>
      <c r="K3577" t="s">
        <v>53</v>
      </c>
      <c r="L3577" t="s">
        <v>53</v>
      </c>
      <c r="M3577" t="s">
        <v>53</v>
      </c>
      <c r="N3577" t="s">
        <v>53</v>
      </c>
      <c r="O3577" t="s">
        <v>53</v>
      </c>
      <c r="P3577" t="s">
        <v>53</v>
      </c>
      <c r="Q3577" t="s">
        <v>53</v>
      </c>
    </row>
    <row r="3578" spans="1:17" x14ac:dyDescent="0.2">
      <c r="A3578" s="30" t="str">
        <f>IF(C3578&amp;G3578&amp;D3578&lt;&gt;'Funnel setup'!$K$3&amp;'Funnel setup'!$K$4&amp;'Funnel setup'!$K$5,".",IF(A3577=".",1,A3577+1))</f>
        <v>.</v>
      </c>
      <c r="B3578" s="431" t="str">
        <f t="shared" si="55"/>
        <v>Hip Replacement RevisionProviderSHREWSBURY AND TELFORD HOSPITAL NHS TRUST (RXW)Oxford Hip Score</v>
      </c>
      <c r="C3578" t="s">
        <v>247</v>
      </c>
      <c r="D3578" t="s">
        <v>1</v>
      </c>
      <c r="E3578" t="s">
        <v>3478</v>
      </c>
      <c r="F3578" t="s">
        <v>3479</v>
      </c>
      <c r="G3578" t="s">
        <v>14</v>
      </c>
      <c r="H3578">
        <v>14</v>
      </c>
      <c r="I3578">
        <v>20.713999999999999</v>
      </c>
      <c r="J3578">
        <v>30</v>
      </c>
      <c r="K3578">
        <v>9.2859999999999996</v>
      </c>
      <c r="L3578">
        <v>12</v>
      </c>
      <c r="M3578">
        <v>1</v>
      </c>
      <c r="N3578">
        <v>1</v>
      </c>
      <c r="O3578" t="s">
        <v>53</v>
      </c>
      <c r="P3578" t="s">
        <v>53</v>
      </c>
      <c r="Q3578" t="s">
        <v>53</v>
      </c>
    </row>
    <row r="3579" spans="1:17" x14ac:dyDescent="0.2">
      <c r="A3579" s="30" t="str">
        <f>IF(C3579&amp;G3579&amp;D3579&lt;&gt;'Funnel setup'!$K$3&amp;'Funnel setup'!$K$4&amp;'Funnel setup'!$K$5,".",IF(A3578=".",1,A3578+1))</f>
        <v>.</v>
      </c>
      <c r="B3579" s="431" t="str">
        <f t="shared" si="55"/>
        <v>Hip Replacement RevisionProviderSOUTH TEES HOSPITALS NHS FOUNDATION TRUST (RTR)Oxford Hip Score</v>
      </c>
      <c r="C3579" t="s">
        <v>247</v>
      </c>
      <c r="D3579" t="s">
        <v>1</v>
      </c>
      <c r="E3579" t="s">
        <v>3482</v>
      </c>
      <c r="F3579" t="s">
        <v>3483</v>
      </c>
      <c r="G3579" t="s">
        <v>14</v>
      </c>
      <c r="H3579">
        <v>43</v>
      </c>
      <c r="I3579">
        <v>21.814</v>
      </c>
      <c r="J3579">
        <v>31.512</v>
      </c>
      <c r="K3579">
        <v>9.6980000000000004</v>
      </c>
      <c r="L3579">
        <v>32</v>
      </c>
      <c r="M3579">
        <v>1</v>
      </c>
      <c r="N3579">
        <v>10</v>
      </c>
      <c r="O3579">
        <v>31.611999999999998</v>
      </c>
      <c r="P3579">
        <v>10.737544789999999</v>
      </c>
      <c r="Q3579">
        <v>8.6560000000000006</v>
      </c>
    </row>
    <row r="3580" spans="1:17" x14ac:dyDescent="0.2">
      <c r="A3580" s="30" t="str">
        <f>IF(C3580&amp;G3580&amp;D3580&lt;&gt;'Funnel setup'!$K$3&amp;'Funnel setup'!$K$4&amp;'Funnel setup'!$K$5,".",IF(A3579=".",1,A3579+1))</f>
        <v>.</v>
      </c>
      <c r="B3580" s="431" t="str">
        <f t="shared" si="55"/>
        <v>Hip Replacement RevisionProviderSOUTH TYNESIDE NHS FOUNDATION TRUST (RE9)Oxford Hip Score</v>
      </c>
      <c r="C3580" t="s">
        <v>247</v>
      </c>
      <c r="D3580" t="s">
        <v>1</v>
      </c>
      <c r="E3580" t="s">
        <v>3485</v>
      </c>
      <c r="F3580" t="s">
        <v>3486</v>
      </c>
      <c r="G3580" t="s">
        <v>14</v>
      </c>
      <c r="H3580" t="s">
        <v>53</v>
      </c>
      <c r="I3580" t="s">
        <v>53</v>
      </c>
      <c r="J3580" t="s">
        <v>53</v>
      </c>
      <c r="K3580" t="s">
        <v>53</v>
      </c>
      <c r="L3580" t="s">
        <v>53</v>
      </c>
      <c r="M3580" t="s">
        <v>53</v>
      </c>
      <c r="N3580" t="s">
        <v>53</v>
      </c>
      <c r="O3580" t="s">
        <v>53</v>
      </c>
      <c r="P3580" t="s">
        <v>53</v>
      </c>
      <c r="Q3580" t="s">
        <v>53</v>
      </c>
    </row>
    <row r="3581" spans="1:17" x14ac:dyDescent="0.2">
      <c r="A3581" s="30" t="str">
        <f>IF(C3581&amp;G3581&amp;D3581&lt;&gt;'Funnel setup'!$K$3&amp;'Funnel setup'!$K$4&amp;'Funnel setup'!$K$5,".",IF(A3580=".",1,A3580+1))</f>
        <v>.</v>
      </c>
      <c r="B3581" s="431" t="str">
        <f t="shared" si="55"/>
        <v>Hip Replacement RevisionProviderSOUTH WARWICKSHIRE NHS FOUNDATION TRUST (RJC)Oxford Hip Score</v>
      </c>
      <c r="C3581" t="s">
        <v>247</v>
      </c>
      <c r="D3581" t="s">
        <v>1</v>
      </c>
      <c r="E3581" t="s">
        <v>3421</v>
      </c>
      <c r="F3581" t="s">
        <v>3422</v>
      </c>
      <c r="G3581" t="s">
        <v>14</v>
      </c>
      <c r="H3581">
        <v>16</v>
      </c>
      <c r="I3581">
        <v>22.562999999999999</v>
      </c>
      <c r="J3581">
        <v>34</v>
      </c>
      <c r="K3581">
        <v>11.438000000000001</v>
      </c>
      <c r="L3581">
        <v>12</v>
      </c>
      <c r="M3581">
        <v>0</v>
      </c>
      <c r="N3581">
        <v>4</v>
      </c>
      <c r="O3581" t="s">
        <v>53</v>
      </c>
      <c r="P3581" t="s">
        <v>53</v>
      </c>
      <c r="Q3581" t="s">
        <v>53</v>
      </c>
    </row>
    <row r="3582" spans="1:17" x14ac:dyDescent="0.2">
      <c r="A3582" s="30" t="str">
        <f>IF(C3582&amp;G3582&amp;D3582&lt;&gt;'Funnel setup'!$K$3&amp;'Funnel setup'!$K$4&amp;'Funnel setup'!$K$5,".",IF(A3581=".",1,A3581+1))</f>
        <v>.</v>
      </c>
      <c r="B3582" s="431" t="str">
        <f t="shared" si="55"/>
        <v>Hip Replacement RevisionProviderSOUTHAMPTON NHS TREATMENT CENTRE (NTP11)Oxford Hip Score</v>
      </c>
      <c r="C3582" t="s">
        <v>247</v>
      </c>
      <c r="D3582" t="s">
        <v>1</v>
      </c>
      <c r="E3582" t="s">
        <v>3424</v>
      </c>
      <c r="F3582" t="s">
        <v>3425</v>
      </c>
      <c r="G3582" t="s">
        <v>14</v>
      </c>
      <c r="H3582" t="s">
        <v>53</v>
      </c>
      <c r="I3582" t="s">
        <v>53</v>
      </c>
      <c r="J3582" t="s">
        <v>53</v>
      </c>
      <c r="K3582" t="s">
        <v>53</v>
      </c>
      <c r="L3582" t="s">
        <v>53</v>
      </c>
      <c r="M3582" t="s">
        <v>53</v>
      </c>
      <c r="N3582" t="s">
        <v>53</v>
      </c>
      <c r="O3582" t="s">
        <v>53</v>
      </c>
      <c r="P3582" t="s">
        <v>53</v>
      </c>
      <c r="Q3582" t="s">
        <v>53</v>
      </c>
    </row>
    <row r="3583" spans="1:17" x14ac:dyDescent="0.2">
      <c r="A3583" s="30" t="str">
        <f>IF(C3583&amp;G3583&amp;D3583&lt;&gt;'Funnel setup'!$K$3&amp;'Funnel setup'!$K$4&amp;'Funnel setup'!$K$5,".",IF(A3582=".",1,A3582+1))</f>
        <v>.</v>
      </c>
      <c r="B3583" s="431" t="str">
        <f t="shared" si="55"/>
        <v>Hip Replacement RevisionProviderSOUTHEND UNIVERSITY HOSPITAL NHS FOUNDATION TRUST (RAJ)Oxford Hip Score</v>
      </c>
      <c r="C3583" t="s">
        <v>247</v>
      </c>
      <c r="D3583" t="s">
        <v>1</v>
      </c>
      <c r="E3583" t="s">
        <v>3427</v>
      </c>
      <c r="F3583" t="s">
        <v>3428</v>
      </c>
      <c r="G3583" t="s">
        <v>14</v>
      </c>
      <c r="H3583">
        <v>9</v>
      </c>
      <c r="I3583">
        <v>18.888999999999999</v>
      </c>
      <c r="J3583">
        <v>32.555999999999997</v>
      </c>
      <c r="K3583">
        <v>13.667</v>
      </c>
      <c r="L3583">
        <v>8</v>
      </c>
      <c r="M3583">
        <v>0</v>
      </c>
      <c r="N3583">
        <v>1</v>
      </c>
      <c r="O3583" t="s">
        <v>53</v>
      </c>
      <c r="P3583" t="s">
        <v>53</v>
      </c>
      <c r="Q3583" t="s">
        <v>53</v>
      </c>
    </row>
    <row r="3584" spans="1:17" x14ac:dyDescent="0.2">
      <c r="A3584" s="30" t="str">
        <f>IF(C3584&amp;G3584&amp;D3584&lt;&gt;'Funnel setup'!$K$3&amp;'Funnel setup'!$K$4&amp;'Funnel setup'!$K$5,".",IF(A3583=".",1,A3583+1))</f>
        <v>.</v>
      </c>
      <c r="B3584" s="431" t="str">
        <f t="shared" si="55"/>
        <v>Hip Replacement RevisionProviderSOUTHPORT AND ORMSKIRK HOSPITAL NHS TRUST (RVY)Oxford Hip Score</v>
      </c>
      <c r="C3584" t="s">
        <v>247</v>
      </c>
      <c r="D3584" t="s">
        <v>1</v>
      </c>
      <c r="E3584" t="s">
        <v>3430</v>
      </c>
      <c r="F3584" t="s">
        <v>3431</v>
      </c>
      <c r="G3584" t="s">
        <v>14</v>
      </c>
      <c r="H3584" t="s">
        <v>53</v>
      </c>
      <c r="I3584" t="s">
        <v>53</v>
      </c>
      <c r="J3584" t="s">
        <v>53</v>
      </c>
      <c r="K3584" t="s">
        <v>53</v>
      </c>
      <c r="L3584" t="s">
        <v>53</v>
      </c>
      <c r="M3584" t="s">
        <v>53</v>
      </c>
      <c r="N3584" t="s">
        <v>53</v>
      </c>
      <c r="O3584" t="s">
        <v>53</v>
      </c>
      <c r="P3584" t="s">
        <v>53</v>
      </c>
      <c r="Q3584" t="s">
        <v>53</v>
      </c>
    </row>
    <row r="3585" spans="1:17" x14ac:dyDescent="0.2">
      <c r="A3585" s="30" t="str">
        <f>IF(C3585&amp;G3585&amp;D3585&lt;&gt;'Funnel setup'!$K$3&amp;'Funnel setup'!$K$4&amp;'Funnel setup'!$K$5,".",IF(A3584=".",1,A3584+1))</f>
        <v>.</v>
      </c>
      <c r="B3585" s="431" t="str">
        <f t="shared" si="55"/>
        <v>Hip Replacement RevisionProviderSPIRE BRISTOL HOSPITAL (NT302)Oxford Hip Score</v>
      </c>
      <c r="C3585" t="s">
        <v>247</v>
      </c>
      <c r="D3585" t="s">
        <v>1</v>
      </c>
      <c r="E3585" t="s">
        <v>4381</v>
      </c>
      <c r="F3585" t="s">
        <v>4382</v>
      </c>
      <c r="G3585" t="s">
        <v>14</v>
      </c>
      <c r="H3585" t="s">
        <v>53</v>
      </c>
      <c r="I3585" t="s">
        <v>53</v>
      </c>
      <c r="J3585" t="s">
        <v>53</v>
      </c>
      <c r="K3585" t="s">
        <v>53</v>
      </c>
      <c r="L3585" t="s">
        <v>53</v>
      </c>
      <c r="M3585" t="s">
        <v>53</v>
      </c>
      <c r="N3585" t="s">
        <v>53</v>
      </c>
      <c r="O3585" t="s">
        <v>53</v>
      </c>
      <c r="P3585" t="s">
        <v>53</v>
      </c>
      <c r="Q3585" t="s">
        <v>53</v>
      </c>
    </row>
    <row r="3586" spans="1:17" x14ac:dyDescent="0.2">
      <c r="A3586" s="30" t="str">
        <f>IF(C3586&amp;G3586&amp;D3586&lt;&gt;'Funnel setup'!$K$3&amp;'Funnel setup'!$K$4&amp;'Funnel setup'!$K$5,".",IF(A3585=".",1,A3585+1))</f>
        <v>.</v>
      </c>
      <c r="B3586" s="431" t="str">
        <f t="shared" si="55"/>
        <v>Hip Replacement RevisionProviderSPIRE GATWICK PARK HOSPITAL (NT308)Oxford Hip Score</v>
      </c>
      <c r="C3586" t="s">
        <v>247</v>
      </c>
      <c r="D3586" t="s">
        <v>1</v>
      </c>
      <c r="E3586" t="s">
        <v>3409</v>
      </c>
      <c r="F3586" t="s">
        <v>3410</v>
      </c>
      <c r="G3586" t="s">
        <v>14</v>
      </c>
      <c r="H3586" t="s">
        <v>53</v>
      </c>
      <c r="I3586" t="s">
        <v>53</v>
      </c>
      <c r="J3586" t="s">
        <v>53</v>
      </c>
      <c r="K3586" t="s">
        <v>53</v>
      </c>
      <c r="L3586" t="s">
        <v>53</v>
      </c>
      <c r="M3586" t="s">
        <v>53</v>
      </c>
      <c r="N3586" t="s">
        <v>53</v>
      </c>
      <c r="O3586" t="s">
        <v>53</v>
      </c>
      <c r="P3586" t="s">
        <v>53</v>
      </c>
      <c r="Q3586" t="s">
        <v>53</v>
      </c>
    </row>
    <row r="3587" spans="1:17" x14ac:dyDescent="0.2">
      <c r="A3587" s="30" t="str">
        <f>IF(C3587&amp;G3587&amp;D3587&lt;&gt;'Funnel setup'!$K$3&amp;'Funnel setup'!$K$4&amp;'Funnel setup'!$K$5,".",IF(A3586=".",1,A3586+1))</f>
        <v>.</v>
      </c>
      <c r="B3587" s="431" t="str">
        <f t="shared" ref="B3587:B3650" si="56">C3587&amp;D3587&amp;F3587&amp;G3587</f>
        <v>Hip Replacement RevisionProviderSPIRE HARPENDEN HOSPITAL (NT316)Oxford Hip Score</v>
      </c>
      <c r="C3587" t="s">
        <v>247</v>
      </c>
      <c r="D3587" t="s">
        <v>1</v>
      </c>
      <c r="E3587" t="s">
        <v>4267</v>
      </c>
      <c r="F3587" t="s">
        <v>4268</v>
      </c>
      <c r="G3587" t="s">
        <v>14</v>
      </c>
      <c r="H3587" t="s">
        <v>53</v>
      </c>
      <c r="I3587" t="s">
        <v>53</v>
      </c>
      <c r="J3587" t="s">
        <v>53</v>
      </c>
      <c r="K3587" t="s">
        <v>53</v>
      </c>
      <c r="L3587" t="s">
        <v>53</v>
      </c>
      <c r="M3587" t="s">
        <v>53</v>
      </c>
      <c r="N3587" t="s">
        <v>53</v>
      </c>
      <c r="O3587" t="s">
        <v>53</v>
      </c>
      <c r="P3587" t="s">
        <v>53</v>
      </c>
      <c r="Q3587" t="s">
        <v>53</v>
      </c>
    </row>
    <row r="3588" spans="1:17" x14ac:dyDescent="0.2">
      <c r="A3588" s="30" t="str">
        <f>IF(C3588&amp;G3588&amp;D3588&lt;&gt;'Funnel setup'!$K$3&amp;'Funnel setup'!$K$4&amp;'Funnel setup'!$K$5,".",IF(A3587=".",1,A3587+1))</f>
        <v>.</v>
      </c>
      <c r="B3588" s="431" t="str">
        <f t="shared" si="56"/>
        <v>Hip Replacement RevisionProviderSPIRE HULL AND EAST RIDING HOSPITAL (NT351)Oxford Hip Score</v>
      </c>
      <c r="C3588" t="s">
        <v>247</v>
      </c>
      <c r="D3588" t="s">
        <v>1</v>
      </c>
      <c r="E3588" t="s">
        <v>3213</v>
      </c>
      <c r="F3588" t="s">
        <v>3214</v>
      </c>
      <c r="G3588" t="s">
        <v>14</v>
      </c>
      <c r="H3588" t="s">
        <v>53</v>
      </c>
      <c r="I3588" t="s">
        <v>53</v>
      </c>
      <c r="J3588" t="s">
        <v>53</v>
      </c>
      <c r="K3588" t="s">
        <v>53</v>
      </c>
      <c r="L3588" t="s">
        <v>53</v>
      </c>
      <c r="M3588" t="s">
        <v>53</v>
      </c>
      <c r="N3588" t="s">
        <v>53</v>
      </c>
      <c r="O3588" t="s">
        <v>53</v>
      </c>
      <c r="P3588" t="s">
        <v>53</v>
      </c>
      <c r="Q3588" t="s">
        <v>53</v>
      </c>
    </row>
    <row r="3589" spans="1:17" x14ac:dyDescent="0.2">
      <c r="A3589" s="30" t="str">
        <f>IF(C3589&amp;G3589&amp;D3589&lt;&gt;'Funnel setup'!$K$3&amp;'Funnel setup'!$K$4&amp;'Funnel setup'!$K$5,".",IF(A3588=".",1,A3588+1))</f>
        <v>.</v>
      </c>
      <c r="B3589" s="431" t="str">
        <f t="shared" si="56"/>
        <v>Hip Replacement RevisionProviderSPIRE REGENCY HOSPITAL (NT339)Oxford Hip Score</v>
      </c>
      <c r="C3589" t="s">
        <v>247</v>
      </c>
      <c r="D3589" t="s">
        <v>1</v>
      </c>
      <c r="E3589" t="s">
        <v>3171</v>
      </c>
      <c r="F3589" t="s">
        <v>3172</v>
      </c>
      <c r="G3589" t="s">
        <v>14</v>
      </c>
      <c r="H3589" t="s">
        <v>53</v>
      </c>
      <c r="I3589" t="s">
        <v>53</v>
      </c>
      <c r="J3589" t="s">
        <v>53</v>
      </c>
      <c r="K3589" t="s">
        <v>53</v>
      </c>
      <c r="L3589" t="s">
        <v>53</v>
      </c>
      <c r="M3589" t="s">
        <v>53</v>
      </c>
      <c r="N3589" t="s">
        <v>53</v>
      </c>
      <c r="O3589" t="s">
        <v>53</v>
      </c>
      <c r="P3589" t="s">
        <v>53</v>
      </c>
      <c r="Q3589" t="s">
        <v>53</v>
      </c>
    </row>
    <row r="3590" spans="1:17" x14ac:dyDescent="0.2">
      <c r="A3590" s="30" t="str">
        <f>IF(C3590&amp;G3590&amp;D3590&lt;&gt;'Funnel setup'!$K$3&amp;'Funnel setup'!$K$4&amp;'Funnel setup'!$K$5,".",IF(A3589=".",1,A3589+1))</f>
        <v>.</v>
      </c>
      <c r="B3590" s="431" t="str">
        <f t="shared" si="56"/>
        <v>Hip Replacement RevisionProviderSPIRE SUSSEX HOSPITAL (NT309)Oxford Hip Score</v>
      </c>
      <c r="C3590" t="s">
        <v>247</v>
      </c>
      <c r="D3590" t="s">
        <v>1</v>
      </c>
      <c r="E3590" t="s">
        <v>3180</v>
      </c>
      <c r="F3590" t="s">
        <v>3181</v>
      </c>
      <c r="G3590" t="s">
        <v>14</v>
      </c>
      <c r="H3590" t="s">
        <v>53</v>
      </c>
      <c r="I3590" t="s">
        <v>53</v>
      </c>
      <c r="J3590" t="s">
        <v>53</v>
      </c>
      <c r="K3590" t="s">
        <v>53</v>
      </c>
      <c r="L3590" t="s">
        <v>53</v>
      </c>
      <c r="M3590" t="s">
        <v>53</v>
      </c>
      <c r="N3590" t="s">
        <v>53</v>
      </c>
      <c r="O3590" t="s">
        <v>53</v>
      </c>
      <c r="P3590" t="s">
        <v>53</v>
      </c>
      <c r="Q3590" t="s">
        <v>53</v>
      </c>
    </row>
    <row r="3591" spans="1:17" x14ac:dyDescent="0.2">
      <c r="A3591" s="30" t="str">
        <f>IF(C3591&amp;G3591&amp;D3591&lt;&gt;'Funnel setup'!$K$3&amp;'Funnel setup'!$K$4&amp;'Funnel setup'!$K$5,".",IF(A3590=".",1,A3590+1))</f>
        <v>.</v>
      </c>
      <c r="B3591" s="431" t="str">
        <f t="shared" si="56"/>
        <v>Hip Replacement RevisionProviderSPIRE WELLESLEY HOSPITAL (NT313)Oxford Hip Score</v>
      </c>
      <c r="C3591" t="s">
        <v>247</v>
      </c>
      <c r="D3591" t="s">
        <v>1</v>
      </c>
      <c r="E3591" t="s">
        <v>3192</v>
      </c>
      <c r="F3591" t="s">
        <v>3193</v>
      </c>
      <c r="G3591" t="s">
        <v>14</v>
      </c>
      <c r="H3591" t="s">
        <v>53</v>
      </c>
      <c r="I3591" t="s">
        <v>53</v>
      </c>
      <c r="J3591" t="s">
        <v>53</v>
      </c>
      <c r="K3591" t="s">
        <v>53</v>
      </c>
      <c r="L3591" t="s">
        <v>53</v>
      </c>
      <c r="M3591" t="s">
        <v>53</v>
      </c>
      <c r="N3591" t="s">
        <v>53</v>
      </c>
      <c r="O3591" t="s">
        <v>53</v>
      </c>
      <c r="P3591" t="s">
        <v>53</v>
      </c>
      <c r="Q3591" t="s">
        <v>53</v>
      </c>
    </row>
    <row r="3592" spans="1:17" x14ac:dyDescent="0.2">
      <c r="A3592" s="30" t="str">
        <f>IF(C3592&amp;G3592&amp;D3592&lt;&gt;'Funnel setup'!$K$3&amp;'Funnel setup'!$K$4&amp;'Funnel setup'!$K$5,".",IF(A3591=".",1,A3591+1))</f>
        <v>.</v>
      </c>
      <c r="B3592" s="431" t="str">
        <f t="shared" si="56"/>
        <v>Hip Replacement RevisionProviderSPRINGFIELD HOSPITAL (NVC18)Oxford Hip Score</v>
      </c>
      <c r="C3592" t="s">
        <v>247</v>
      </c>
      <c r="D3592" t="s">
        <v>1</v>
      </c>
      <c r="E3592" t="s">
        <v>3195</v>
      </c>
      <c r="F3592" t="s">
        <v>3196</v>
      </c>
      <c r="G3592" t="s">
        <v>14</v>
      </c>
      <c r="H3592" t="s">
        <v>53</v>
      </c>
      <c r="I3592" t="s">
        <v>53</v>
      </c>
      <c r="J3592" t="s">
        <v>53</v>
      </c>
      <c r="K3592" t="s">
        <v>53</v>
      </c>
      <c r="L3592" t="s">
        <v>53</v>
      </c>
      <c r="M3592" t="s">
        <v>53</v>
      </c>
      <c r="N3592" t="s">
        <v>53</v>
      </c>
      <c r="O3592" t="s">
        <v>53</v>
      </c>
      <c r="P3592" t="s">
        <v>53</v>
      </c>
      <c r="Q3592" t="s">
        <v>53</v>
      </c>
    </row>
    <row r="3593" spans="1:17" x14ac:dyDescent="0.2">
      <c r="A3593" s="30" t="str">
        <f>IF(C3593&amp;G3593&amp;D3593&lt;&gt;'Funnel setup'!$K$3&amp;'Funnel setup'!$K$4&amp;'Funnel setup'!$K$5,".",IF(A3592=".",1,A3592+1))</f>
        <v>.</v>
      </c>
      <c r="B3593" s="431" t="str">
        <f t="shared" si="56"/>
        <v>Hip Replacement RevisionProviderST GEORGE'S UNIVERSITY HOSPITALS NHS FOUNDATION TRUST (RJ7)Oxford Hip Score</v>
      </c>
      <c r="C3593" t="s">
        <v>247</v>
      </c>
      <c r="D3593" t="s">
        <v>1</v>
      </c>
      <c r="E3593" t="s">
        <v>3124</v>
      </c>
      <c r="F3593" t="s">
        <v>3125</v>
      </c>
      <c r="G3593" t="s">
        <v>14</v>
      </c>
      <c r="H3593" t="s">
        <v>53</v>
      </c>
      <c r="I3593" t="s">
        <v>53</v>
      </c>
      <c r="J3593" t="s">
        <v>53</v>
      </c>
      <c r="K3593" t="s">
        <v>53</v>
      </c>
      <c r="L3593" t="s">
        <v>53</v>
      </c>
      <c r="M3593" t="s">
        <v>53</v>
      </c>
      <c r="N3593" t="s">
        <v>53</v>
      </c>
      <c r="O3593" t="s">
        <v>53</v>
      </c>
      <c r="P3593" t="s">
        <v>53</v>
      </c>
      <c r="Q3593" t="s">
        <v>53</v>
      </c>
    </row>
    <row r="3594" spans="1:17" x14ac:dyDescent="0.2">
      <c r="A3594" s="30" t="str">
        <f>IF(C3594&amp;G3594&amp;D3594&lt;&gt;'Funnel setup'!$K$3&amp;'Funnel setup'!$K$4&amp;'Funnel setup'!$K$5,".",IF(A3593=".",1,A3593+1))</f>
        <v>.</v>
      </c>
      <c r="B3594" s="431" t="str">
        <f t="shared" si="56"/>
        <v>Hip Replacement RevisionProviderST HELENS AND KNOWSLEY HOSPITALS NHS TRUST (RBN)Oxford Hip Score</v>
      </c>
      <c r="C3594" t="s">
        <v>247</v>
      </c>
      <c r="D3594" t="s">
        <v>1</v>
      </c>
      <c r="E3594" t="s">
        <v>3127</v>
      </c>
      <c r="F3594" t="s">
        <v>3128</v>
      </c>
      <c r="G3594" t="s">
        <v>14</v>
      </c>
      <c r="H3594">
        <v>14</v>
      </c>
      <c r="I3594">
        <v>16.428999999999998</v>
      </c>
      <c r="J3594">
        <v>28.713999999999999</v>
      </c>
      <c r="K3594">
        <v>12.286</v>
      </c>
      <c r="L3594">
        <v>12</v>
      </c>
      <c r="M3594">
        <v>0</v>
      </c>
      <c r="N3594">
        <v>2</v>
      </c>
      <c r="O3594" t="s">
        <v>53</v>
      </c>
      <c r="P3594" t="s">
        <v>53</v>
      </c>
      <c r="Q3594" t="s">
        <v>53</v>
      </c>
    </row>
    <row r="3595" spans="1:17" x14ac:dyDescent="0.2">
      <c r="A3595" s="30" t="str">
        <f>IF(C3595&amp;G3595&amp;D3595&lt;&gt;'Funnel setup'!$K$3&amp;'Funnel setup'!$K$4&amp;'Funnel setup'!$K$5,".",IF(A3594=".",1,A3594+1))</f>
        <v>.</v>
      </c>
      <c r="B3595" s="431" t="str">
        <f t="shared" si="56"/>
        <v>Hip Replacement RevisionProviderSTOCKPORT NHS FOUNDATION TRUST (RWJ)Oxford Hip Score</v>
      </c>
      <c r="C3595" t="s">
        <v>247</v>
      </c>
      <c r="D3595" t="s">
        <v>1</v>
      </c>
      <c r="E3595" t="s">
        <v>3142</v>
      </c>
      <c r="F3595" t="s">
        <v>3143</v>
      </c>
      <c r="G3595" t="s">
        <v>14</v>
      </c>
      <c r="H3595" t="s">
        <v>53</v>
      </c>
      <c r="I3595" t="s">
        <v>53</v>
      </c>
      <c r="J3595" t="s">
        <v>53</v>
      </c>
      <c r="K3595" t="s">
        <v>53</v>
      </c>
      <c r="L3595" t="s">
        <v>53</v>
      </c>
      <c r="M3595" t="s">
        <v>53</v>
      </c>
      <c r="N3595" t="s">
        <v>53</v>
      </c>
      <c r="O3595" t="s">
        <v>53</v>
      </c>
      <c r="P3595" t="s">
        <v>53</v>
      </c>
      <c r="Q3595" t="s">
        <v>53</v>
      </c>
    </row>
    <row r="3596" spans="1:17" x14ac:dyDescent="0.2">
      <c r="A3596" s="30" t="str">
        <f>IF(C3596&amp;G3596&amp;D3596&lt;&gt;'Funnel setup'!$K$3&amp;'Funnel setup'!$K$4&amp;'Funnel setup'!$K$5,".",IF(A3595=".",1,A3595+1))</f>
        <v>.</v>
      </c>
      <c r="B3596" s="431" t="str">
        <f t="shared" si="56"/>
        <v>Hip Replacement RevisionProviderTAUNTON AND SOMERSET NHS FOUNDATION TRUST (RBA)Oxford Hip Score</v>
      </c>
      <c r="C3596" t="s">
        <v>247</v>
      </c>
      <c r="D3596" t="s">
        <v>1</v>
      </c>
      <c r="E3596" t="s">
        <v>3151</v>
      </c>
      <c r="F3596" t="s">
        <v>3152</v>
      </c>
      <c r="G3596" t="s">
        <v>14</v>
      </c>
      <c r="H3596">
        <v>9</v>
      </c>
      <c r="I3596">
        <v>18.667000000000002</v>
      </c>
      <c r="J3596">
        <v>33.777999999999999</v>
      </c>
      <c r="K3596">
        <v>15.111000000000001</v>
      </c>
      <c r="L3596">
        <v>9</v>
      </c>
      <c r="M3596">
        <v>0</v>
      </c>
      <c r="N3596">
        <v>0</v>
      </c>
      <c r="O3596" t="s">
        <v>53</v>
      </c>
      <c r="P3596" t="s">
        <v>53</v>
      </c>
      <c r="Q3596" t="s">
        <v>53</v>
      </c>
    </row>
    <row r="3597" spans="1:17" x14ac:dyDescent="0.2">
      <c r="A3597" s="30" t="str">
        <f>IF(C3597&amp;G3597&amp;D3597&lt;&gt;'Funnel setup'!$K$3&amp;'Funnel setup'!$K$4&amp;'Funnel setup'!$K$5,".",IF(A3596=".",1,A3596+1))</f>
        <v>.</v>
      </c>
      <c r="B3597" s="431" t="str">
        <f t="shared" si="56"/>
        <v>Hip Replacement RevisionProviderTHE BERKSHIRE INDEPENDENT HOSPITAL (NVC02)Oxford Hip Score</v>
      </c>
      <c r="C3597" t="s">
        <v>247</v>
      </c>
      <c r="D3597" t="s">
        <v>1</v>
      </c>
      <c r="E3597" t="s">
        <v>3118</v>
      </c>
      <c r="F3597" t="s">
        <v>3119</v>
      </c>
      <c r="G3597" t="s">
        <v>14</v>
      </c>
      <c r="H3597" t="s">
        <v>53</v>
      </c>
      <c r="I3597" t="s">
        <v>53</v>
      </c>
      <c r="J3597" t="s">
        <v>53</v>
      </c>
      <c r="K3597" t="s">
        <v>53</v>
      </c>
      <c r="L3597" t="s">
        <v>53</v>
      </c>
      <c r="M3597" t="s">
        <v>53</v>
      </c>
      <c r="N3597" t="s">
        <v>53</v>
      </c>
      <c r="O3597" t="s">
        <v>53</v>
      </c>
      <c r="P3597" t="s">
        <v>53</v>
      </c>
      <c r="Q3597" t="s">
        <v>53</v>
      </c>
    </row>
    <row r="3598" spans="1:17" x14ac:dyDescent="0.2">
      <c r="A3598" s="30" t="str">
        <f>IF(C3598&amp;G3598&amp;D3598&lt;&gt;'Funnel setup'!$K$3&amp;'Funnel setup'!$K$4&amp;'Funnel setup'!$K$5,".",IF(A3597=".",1,A3597+1))</f>
        <v>.</v>
      </c>
      <c r="B3598" s="431" t="str">
        <f t="shared" si="56"/>
        <v>Hip Replacement RevisionProviderTHE DUDLEY GROUP NHS FOUNDATION TRUST (RNA)Oxford Hip Score</v>
      </c>
      <c r="C3598" t="s">
        <v>247</v>
      </c>
      <c r="D3598" t="s">
        <v>1</v>
      </c>
      <c r="E3598" t="s">
        <v>3121</v>
      </c>
      <c r="F3598" t="s">
        <v>3122</v>
      </c>
      <c r="G3598" t="s">
        <v>14</v>
      </c>
      <c r="H3598" t="s">
        <v>53</v>
      </c>
      <c r="I3598" t="s">
        <v>53</v>
      </c>
      <c r="J3598" t="s">
        <v>53</v>
      </c>
      <c r="K3598" t="s">
        <v>53</v>
      </c>
      <c r="L3598" t="s">
        <v>53</v>
      </c>
      <c r="M3598" t="s">
        <v>53</v>
      </c>
      <c r="N3598" t="s">
        <v>53</v>
      </c>
      <c r="O3598" t="s">
        <v>53</v>
      </c>
      <c r="P3598" t="s">
        <v>53</v>
      </c>
      <c r="Q3598" t="s">
        <v>53</v>
      </c>
    </row>
    <row r="3599" spans="1:17" x14ac:dyDescent="0.2">
      <c r="A3599" s="30" t="str">
        <f>IF(C3599&amp;G3599&amp;D3599&lt;&gt;'Funnel setup'!$K$3&amp;'Funnel setup'!$K$4&amp;'Funnel setup'!$K$5,".",IF(A3598=".",1,A3598+1))</f>
        <v>.</v>
      </c>
      <c r="B3599" s="431" t="str">
        <f t="shared" si="56"/>
        <v>Hip Replacement RevisionProviderTHE HILLINGDON HOSPITALS NHS FOUNDATION TRUST (RAS)Oxford Hip Score</v>
      </c>
      <c r="C3599" t="s">
        <v>247</v>
      </c>
      <c r="D3599" t="s">
        <v>1</v>
      </c>
      <c r="E3599" t="s">
        <v>3115</v>
      </c>
      <c r="F3599" t="s">
        <v>3116</v>
      </c>
      <c r="G3599" t="s">
        <v>14</v>
      </c>
      <c r="H3599">
        <v>7</v>
      </c>
      <c r="I3599">
        <v>17.428999999999998</v>
      </c>
      <c r="J3599">
        <v>35.429000000000002</v>
      </c>
      <c r="K3599">
        <v>18</v>
      </c>
      <c r="L3599">
        <v>7</v>
      </c>
      <c r="M3599">
        <v>0</v>
      </c>
      <c r="N3599">
        <v>0</v>
      </c>
      <c r="O3599" t="s">
        <v>53</v>
      </c>
      <c r="P3599" t="s">
        <v>53</v>
      </c>
      <c r="Q3599" t="s">
        <v>53</v>
      </c>
    </row>
    <row r="3600" spans="1:17" x14ac:dyDescent="0.2">
      <c r="A3600" s="30" t="str">
        <f>IF(C3600&amp;G3600&amp;D3600&lt;&gt;'Funnel setup'!$K$3&amp;'Funnel setup'!$K$4&amp;'Funnel setup'!$K$5,".",IF(A3599=".",1,A3599+1))</f>
        <v>.</v>
      </c>
      <c r="B3600" s="431" t="str">
        <f t="shared" si="56"/>
        <v>Hip Replacement RevisionProviderTHE HORDER CENTRE - ST JOHNS ROAD (NXM01)Oxford Hip Score</v>
      </c>
      <c r="C3600" t="s">
        <v>247</v>
      </c>
      <c r="D3600" t="s">
        <v>1</v>
      </c>
      <c r="E3600" t="s">
        <v>4222</v>
      </c>
      <c r="F3600" t="s">
        <v>4223</v>
      </c>
      <c r="G3600" t="s">
        <v>14</v>
      </c>
      <c r="H3600">
        <v>44</v>
      </c>
      <c r="I3600">
        <v>24.091000000000001</v>
      </c>
      <c r="J3600">
        <v>35.704999999999998</v>
      </c>
      <c r="K3600">
        <v>11.614000000000001</v>
      </c>
      <c r="L3600">
        <v>36</v>
      </c>
      <c r="M3600">
        <v>1</v>
      </c>
      <c r="N3600">
        <v>7</v>
      </c>
      <c r="O3600">
        <v>33.353000000000002</v>
      </c>
      <c r="P3600">
        <v>12.47845774</v>
      </c>
      <c r="Q3600">
        <v>9.5440000000000005</v>
      </c>
    </row>
    <row r="3601" spans="1:17" x14ac:dyDescent="0.2">
      <c r="A3601" s="30" t="str">
        <f>IF(C3601&amp;G3601&amp;D3601&lt;&gt;'Funnel setup'!$K$3&amp;'Funnel setup'!$K$4&amp;'Funnel setup'!$K$5,".",IF(A3600=".",1,A3600+1))</f>
        <v>.</v>
      </c>
      <c r="B3601" s="431" t="str">
        <f t="shared" si="56"/>
        <v>Hip Replacement RevisionProviderTHE NEWCASTLE UPON TYNE HOSPITALS NHS FOUNDATION TRUST (RTD)Oxford Hip Score</v>
      </c>
      <c r="C3601" t="s">
        <v>247</v>
      </c>
      <c r="D3601" t="s">
        <v>1</v>
      </c>
      <c r="E3601" t="s">
        <v>3748</v>
      </c>
      <c r="F3601" t="s">
        <v>3749</v>
      </c>
      <c r="G3601" t="s">
        <v>14</v>
      </c>
      <c r="H3601">
        <v>22</v>
      </c>
      <c r="I3601">
        <v>21.954999999999998</v>
      </c>
      <c r="J3601">
        <v>33.773000000000003</v>
      </c>
      <c r="K3601">
        <v>11.818</v>
      </c>
      <c r="L3601">
        <v>18</v>
      </c>
      <c r="M3601">
        <v>0</v>
      </c>
      <c r="N3601">
        <v>4</v>
      </c>
      <c r="O3601" t="s">
        <v>53</v>
      </c>
      <c r="P3601" t="s">
        <v>53</v>
      </c>
      <c r="Q3601" t="s">
        <v>53</v>
      </c>
    </row>
    <row r="3602" spans="1:17" x14ac:dyDescent="0.2">
      <c r="A3602" s="30" t="str">
        <f>IF(C3602&amp;G3602&amp;D3602&lt;&gt;'Funnel setup'!$K$3&amp;'Funnel setup'!$K$4&amp;'Funnel setup'!$K$5,".",IF(A3601=".",1,A3601+1))</f>
        <v>.</v>
      </c>
      <c r="B3602" s="431" t="str">
        <f t="shared" si="56"/>
        <v>Hip Replacement RevisionProviderTHE PRINCESS ALEXANDRA HOSPITAL NHS TRUST (RQW)Oxford Hip Score</v>
      </c>
      <c r="C3602" t="s">
        <v>247</v>
      </c>
      <c r="D3602" t="s">
        <v>1</v>
      </c>
      <c r="E3602" t="s">
        <v>3751</v>
      </c>
      <c r="F3602" t="s">
        <v>3752</v>
      </c>
      <c r="G3602" t="s">
        <v>14</v>
      </c>
      <c r="H3602">
        <v>8</v>
      </c>
      <c r="I3602">
        <v>17.375</v>
      </c>
      <c r="J3602">
        <v>26.125</v>
      </c>
      <c r="K3602">
        <v>8.75</v>
      </c>
      <c r="L3602">
        <v>7</v>
      </c>
      <c r="M3602">
        <v>0</v>
      </c>
      <c r="N3602">
        <v>1</v>
      </c>
      <c r="O3602" t="s">
        <v>53</v>
      </c>
      <c r="P3602" t="s">
        <v>53</v>
      </c>
      <c r="Q3602" t="s">
        <v>53</v>
      </c>
    </row>
    <row r="3603" spans="1:17" x14ac:dyDescent="0.2">
      <c r="A3603" s="30" t="str">
        <f>IF(C3603&amp;G3603&amp;D3603&lt;&gt;'Funnel setup'!$K$3&amp;'Funnel setup'!$K$4&amp;'Funnel setup'!$K$5,".",IF(A3602=".",1,A3602+1))</f>
        <v>.</v>
      </c>
      <c r="B3603" s="431" t="str">
        <f t="shared" si="56"/>
        <v>Hip Replacement RevisionProviderTHE QUEEN ELIZABETH HOSPITAL, KING'S LYNN, NHS FOUNDATION TRUST (RCX)Oxford Hip Score</v>
      </c>
      <c r="C3603" t="s">
        <v>247</v>
      </c>
      <c r="D3603" t="s">
        <v>1</v>
      </c>
      <c r="E3603" t="s">
        <v>3754</v>
      </c>
      <c r="F3603" t="s">
        <v>3755</v>
      </c>
      <c r="G3603" t="s">
        <v>14</v>
      </c>
      <c r="H3603">
        <v>9</v>
      </c>
      <c r="I3603">
        <v>20</v>
      </c>
      <c r="J3603">
        <v>35.889000000000003</v>
      </c>
      <c r="K3603">
        <v>15.888999999999999</v>
      </c>
      <c r="L3603">
        <v>8</v>
      </c>
      <c r="M3603">
        <v>0</v>
      </c>
      <c r="N3603">
        <v>1</v>
      </c>
      <c r="O3603" t="s">
        <v>53</v>
      </c>
      <c r="P3603" t="s">
        <v>53</v>
      </c>
      <c r="Q3603" t="s">
        <v>53</v>
      </c>
    </row>
    <row r="3604" spans="1:17" x14ac:dyDescent="0.2">
      <c r="A3604" s="30" t="str">
        <f>IF(C3604&amp;G3604&amp;D3604&lt;&gt;'Funnel setup'!$K$3&amp;'Funnel setup'!$K$4&amp;'Funnel setup'!$K$5,".",IF(A3603=".",1,A3603+1))</f>
        <v>.</v>
      </c>
      <c r="B3604" s="431" t="str">
        <f t="shared" si="56"/>
        <v>Hip Replacement RevisionProviderTHE ROBERT JONES AND AGNES HUNT ORTHOPAEDIC HOSPITAL NHS FOUNDATION TRUST (RL1)Oxford Hip Score</v>
      </c>
      <c r="C3604" t="s">
        <v>247</v>
      </c>
      <c r="D3604" t="s">
        <v>1</v>
      </c>
      <c r="E3604" t="s">
        <v>4496</v>
      </c>
      <c r="F3604" t="s">
        <v>4497</v>
      </c>
      <c r="G3604" t="s">
        <v>14</v>
      </c>
      <c r="H3604">
        <v>66</v>
      </c>
      <c r="I3604">
        <v>19.818000000000001</v>
      </c>
      <c r="J3604">
        <v>32.152000000000001</v>
      </c>
      <c r="K3604">
        <v>12.333</v>
      </c>
      <c r="L3604">
        <v>54</v>
      </c>
      <c r="M3604">
        <v>4</v>
      </c>
      <c r="N3604">
        <v>8</v>
      </c>
      <c r="O3604">
        <v>29.463000000000001</v>
      </c>
      <c r="P3604">
        <v>8.5884646379999996</v>
      </c>
      <c r="Q3604">
        <v>9.8209999999999997</v>
      </c>
    </row>
    <row r="3605" spans="1:17" x14ac:dyDescent="0.2">
      <c r="A3605" s="30" t="str">
        <f>IF(C3605&amp;G3605&amp;D3605&lt;&gt;'Funnel setup'!$K$3&amp;'Funnel setup'!$K$4&amp;'Funnel setup'!$K$5,".",IF(A3604=".",1,A3604+1))</f>
        <v>.</v>
      </c>
      <c r="B3605" s="431" t="str">
        <f t="shared" si="56"/>
        <v>Hip Replacement RevisionProviderTHE ROTHERHAM NHS FOUNDATION TRUST (RFR)Oxford Hip Score</v>
      </c>
      <c r="C3605" t="s">
        <v>247</v>
      </c>
      <c r="D3605" t="s">
        <v>1</v>
      </c>
      <c r="E3605" t="s">
        <v>3739</v>
      </c>
      <c r="F3605" t="s">
        <v>3740</v>
      </c>
      <c r="G3605" t="s">
        <v>14</v>
      </c>
      <c r="H3605">
        <v>18</v>
      </c>
      <c r="I3605">
        <v>20.888999999999999</v>
      </c>
      <c r="J3605">
        <v>35.889000000000003</v>
      </c>
      <c r="K3605">
        <v>15</v>
      </c>
      <c r="L3605">
        <v>17</v>
      </c>
      <c r="M3605">
        <v>0</v>
      </c>
      <c r="N3605">
        <v>1</v>
      </c>
      <c r="O3605" t="s">
        <v>53</v>
      </c>
      <c r="P3605" t="s">
        <v>53</v>
      </c>
      <c r="Q3605" t="s">
        <v>53</v>
      </c>
    </row>
    <row r="3606" spans="1:17" x14ac:dyDescent="0.2">
      <c r="A3606" s="30" t="str">
        <f>IF(C3606&amp;G3606&amp;D3606&lt;&gt;'Funnel setup'!$K$3&amp;'Funnel setup'!$K$4&amp;'Funnel setup'!$K$5,".",IF(A3605=".",1,A3605+1))</f>
        <v>.</v>
      </c>
      <c r="B3606" s="431" t="str">
        <f t="shared" si="56"/>
        <v>Hip Replacement RevisionProviderTHE ROYAL BOURNEMOUTH AND CHRISTCHURCH HOSPITALS NHS FOUNDATION TRUST (RDZ)Oxford Hip Score</v>
      </c>
      <c r="C3606" t="s">
        <v>247</v>
      </c>
      <c r="D3606" t="s">
        <v>1</v>
      </c>
      <c r="E3606" t="s">
        <v>3742</v>
      </c>
      <c r="F3606" t="s">
        <v>3743</v>
      </c>
      <c r="G3606" t="s">
        <v>14</v>
      </c>
      <c r="H3606" t="s">
        <v>53</v>
      </c>
      <c r="I3606" t="s">
        <v>53</v>
      </c>
      <c r="J3606" t="s">
        <v>53</v>
      </c>
      <c r="K3606" t="s">
        <v>53</v>
      </c>
      <c r="L3606" t="s">
        <v>53</v>
      </c>
      <c r="M3606" t="s">
        <v>53</v>
      </c>
      <c r="N3606" t="s">
        <v>53</v>
      </c>
      <c r="O3606" t="s">
        <v>53</v>
      </c>
      <c r="P3606" t="s">
        <v>53</v>
      </c>
      <c r="Q3606" t="s">
        <v>53</v>
      </c>
    </row>
    <row r="3607" spans="1:17" x14ac:dyDescent="0.2">
      <c r="A3607" s="30" t="str">
        <f>IF(C3607&amp;G3607&amp;D3607&lt;&gt;'Funnel setup'!$K$3&amp;'Funnel setup'!$K$4&amp;'Funnel setup'!$K$5,".",IF(A3606=".",1,A3606+1))</f>
        <v>.</v>
      </c>
      <c r="B3607" s="431" t="str">
        <f t="shared" si="56"/>
        <v>Hip Replacement RevisionProviderTHE ROYAL ORTHOPAEDIC HOSPITAL NHS FOUNDATION TRUST (RRJ)Oxford Hip Score</v>
      </c>
      <c r="C3607" t="s">
        <v>247</v>
      </c>
      <c r="D3607" t="s">
        <v>1</v>
      </c>
      <c r="E3607" t="s">
        <v>4480</v>
      </c>
      <c r="F3607" t="s">
        <v>4481</v>
      </c>
      <c r="G3607" t="s">
        <v>14</v>
      </c>
      <c r="H3607">
        <v>66</v>
      </c>
      <c r="I3607">
        <v>23.908999999999999</v>
      </c>
      <c r="J3607">
        <v>36.439</v>
      </c>
      <c r="K3607">
        <v>12.53</v>
      </c>
      <c r="L3607">
        <v>59</v>
      </c>
      <c r="M3607">
        <v>0</v>
      </c>
      <c r="N3607">
        <v>7</v>
      </c>
      <c r="O3607">
        <v>35.881999999999998</v>
      </c>
      <c r="P3607">
        <v>15.0074585</v>
      </c>
      <c r="Q3607">
        <v>9</v>
      </c>
    </row>
    <row r="3608" spans="1:17" x14ac:dyDescent="0.2">
      <c r="A3608" s="30" t="str">
        <f>IF(C3608&amp;G3608&amp;D3608&lt;&gt;'Funnel setup'!$K$3&amp;'Funnel setup'!$K$4&amp;'Funnel setup'!$K$5,".",IF(A3607=".",1,A3607+1))</f>
        <v>.</v>
      </c>
      <c r="B3608" s="431" t="str">
        <f t="shared" si="56"/>
        <v>Hip Replacement RevisionProviderTHE ROYAL WOLVERHAMPTON NHS TRUST (RL4)Oxford Hip Score</v>
      </c>
      <c r="C3608" t="s">
        <v>247</v>
      </c>
      <c r="D3608" t="s">
        <v>1</v>
      </c>
      <c r="E3608" t="s">
        <v>3382</v>
      </c>
      <c r="F3608" t="s">
        <v>3383</v>
      </c>
      <c r="G3608" t="s">
        <v>14</v>
      </c>
      <c r="H3608">
        <v>11</v>
      </c>
      <c r="I3608">
        <v>20.727</v>
      </c>
      <c r="J3608">
        <v>33.454999999999998</v>
      </c>
      <c r="K3608">
        <v>12.727</v>
      </c>
      <c r="L3608">
        <v>10</v>
      </c>
      <c r="M3608">
        <v>0</v>
      </c>
      <c r="N3608">
        <v>1</v>
      </c>
      <c r="O3608" t="s">
        <v>53</v>
      </c>
      <c r="P3608" t="s">
        <v>53</v>
      </c>
      <c r="Q3608" t="s">
        <v>53</v>
      </c>
    </row>
    <row r="3609" spans="1:17" x14ac:dyDescent="0.2">
      <c r="A3609" s="30" t="str">
        <f>IF(C3609&amp;G3609&amp;D3609&lt;&gt;'Funnel setup'!$K$3&amp;'Funnel setup'!$K$4&amp;'Funnel setup'!$K$5,".",IF(A3608=".",1,A3608+1))</f>
        <v>.</v>
      </c>
      <c r="B3609" s="431" t="str">
        <f t="shared" si="56"/>
        <v>Hip Replacement RevisionProviderTHE YORKSHIRE CLINIC (NVC20)Oxford Hip Score</v>
      </c>
      <c r="C3609" t="s">
        <v>247</v>
      </c>
      <c r="D3609" t="s">
        <v>1</v>
      </c>
      <c r="E3609" t="s">
        <v>3760</v>
      </c>
      <c r="F3609" t="s">
        <v>3761</v>
      </c>
      <c r="G3609" t="s">
        <v>14</v>
      </c>
      <c r="H3609" t="s">
        <v>53</v>
      </c>
      <c r="I3609" t="s">
        <v>53</v>
      </c>
      <c r="J3609" t="s">
        <v>53</v>
      </c>
      <c r="K3609" t="s">
        <v>53</v>
      </c>
      <c r="L3609" t="s">
        <v>53</v>
      </c>
      <c r="M3609" t="s">
        <v>53</v>
      </c>
      <c r="N3609" t="s">
        <v>53</v>
      </c>
      <c r="O3609" t="s">
        <v>53</v>
      </c>
      <c r="P3609" t="s">
        <v>53</v>
      </c>
      <c r="Q3609" t="s">
        <v>53</v>
      </c>
    </row>
    <row r="3610" spans="1:17" x14ac:dyDescent="0.2">
      <c r="A3610" s="30" t="str">
        <f>IF(C3610&amp;G3610&amp;D3610&lt;&gt;'Funnel setup'!$K$3&amp;'Funnel setup'!$K$4&amp;'Funnel setup'!$K$5,".",IF(A3609=".",1,A3609+1))</f>
        <v>.</v>
      </c>
      <c r="B3610" s="431" t="str">
        <f t="shared" si="56"/>
        <v>Hip Replacement RevisionProviderTORBAY AND SOUTH DEVON NHS FOUNDATION TRUST (RA9)Oxford Hip Score</v>
      </c>
      <c r="C3610" t="s">
        <v>247</v>
      </c>
      <c r="D3610" t="s">
        <v>1</v>
      </c>
      <c r="E3610" t="s">
        <v>3480</v>
      </c>
      <c r="F3610" t="s">
        <v>6584</v>
      </c>
      <c r="G3610" t="s">
        <v>14</v>
      </c>
      <c r="H3610">
        <v>26</v>
      </c>
      <c r="I3610">
        <v>23.654</v>
      </c>
      <c r="J3610">
        <v>34.923000000000002</v>
      </c>
      <c r="K3610">
        <v>11.269</v>
      </c>
      <c r="L3610">
        <v>18</v>
      </c>
      <c r="M3610">
        <v>3</v>
      </c>
      <c r="N3610">
        <v>5</v>
      </c>
      <c r="O3610" t="s">
        <v>53</v>
      </c>
      <c r="P3610" t="s">
        <v>53</v>
      </c>
      <c r="Q3610" t="s">
        <v>53</v>
      </c>
    </row>
    <row r="3611" spans="1:17" x14ac:dyDescent="0.2">
      <c r="A3611" s="30" t="str">
        <f>IF(C3611&amp;G3611&amp;D3611&lt;&gt;'Funnel setup'!$K$3&amp;'Funnel setup'!$K$4&amp;'Funnel setup'!$K$5,".",IF(A3610=".",1,A3610+1))</f>
        <v>.</v>
      </c>
      <c r="B3611" s="431" t="str">
        <f t="shared" si="56"/>
        <v>Hip Replacement RevisionProviderUNITED LINCOLNSHIRE HOSPITALS NHS TRUST (RWD)Oxford Hip Score</v>
      </c>
      <c r="C3611" t="s">
        <v>247</v>
      </c>
      <c r="D3611" t="s">
        <v>1</v>
      </c>
      <c r="E3611" t="s">
        <v>3763</v>
      </c>
      <c r="F3611" t="s">
        <v>3764</v>
      </c>
      <c r="G3611" t="s">
        <v>14</v>
      </c>
      <c r="H3611">
        <v>18</v>
      </c>
      <c r="I3611">
        <v>22.056000000000001</v>
      </c>
      <c r="J3611">
        <v>30.777999999999999</v>
      </c>
      <c r="K3611">
        <v>8.7219999999999995</v>
      </c>
      <c r="L3611">
        <v>14</v>
      </c>
      <c r="M3611">
        <v>1</v>
      </c>
      <c r="N3611">
        <v>3</v>
      </c>
      <c r="O3611" t="s">
        <v>53</v>
      </c>
      <c r="P3611" t="s">
        <v>53</v>
      </c>
      <c r="Q3611" t="s">
        <v>53</v>
      </c>
    </row>
    <row r="3612" spans="1:17" x14ac:dyDescent="0.2">
      <c r="A3612" s="30" t="str">
        <f>IF(C3612&amp;G3612&amp;D3612&lt;&gt;'Funnel setup'!$K$3&amp;'Funnel setup'!$K$4&amp;'Funnel setup'!$K$5,".",IF(A3611=".",1,A3611+1))</f>
        <v>.</v>
      </c>
      <c r="B3612" s="431" t="str">
        <f t="shared" si="56"/>
        <v>Hip Replacement RevisionProviderUNIVERSITY COLLEGE LONDON HOSPITALS NHS FOUNDATION TRUST (RRV)Oxford Hip Score</v>
      </c>
      <c r="C3612" t="s">
        <v>247</v>
      </c>
      <c r="D3612" t="s">
        <v>1</v>
      </c>
      <c r="E3612" t="s">
        <v>3766</v>
      </c>
      <c r="F3612" t="s">
        <v>3767</v>
      </c>
      <c r="G3612" t="s">
        <v>14</v>
      </c>
      <c r="H3612">
        <v>7</v>
      </c>
      <c r="I3612">
        <v>28.571000000000002</v>
      </c>
      <c r="J3612">
        <v>43</v>
      </c>
      <c r="K3612">
        <v>14.429</v>
      </c>
      <c r="L3612">
        <v>6</v>
      </c>
      <c r="M3612">
        <v>0</v>
      </c>
      <c r="N3612">
        <v>1</v>
      </c>
      <c r="O3612" t="s">
        <v>53</v>
      </c>
      <c r="P3612" t="s">
        <v>53</v>
      </c>
      <c r="Q3612" t="s">
        <v>53</v>
      </c>
    </row>
    <row r="3613" spans="1:17" x14ac:dyDescent="0.2">
      <c r="A3613" s="30" t="str">
        <f>IF(C3613&amp;G3613&amp;D3613&lt;&gt;'Funnel setup'!$K$3&amp;'Funnel setup'!$K$4&amp;'Funnel setup'!$K$5,".",IF(A3612=".",1,A3612+1))</f>
        <v>.</v>
      </c>
      <c r="B3613" s="431" t="str">
        <f t="shared" si="56"/>
        <v>Hip Replacement RevisionProviderUNIVERSITY HOSPITAL OF SOUTH MANCHESTER NHS FOUNDATION TRUST (RM2)Oxford Hip Score</v>
      </c>
      <c r="C3613" t="s">
        <v>247</v>
      </c>
      <c r="D3613" t="s">
        <v>1</v>
      </c>
      <c r="E3613" t="s">
        <v>3769</v>
      </c>
      <c r="F3613" t="s">
        <v>3770</v>
      </c>
      <c r="G3613" t="s">
        <v>14</v>
      </c>
      <c r="H3613" t="s">
        <v>53</v>
      </c>
      <c r="I3613" t="s">
        <v>53</v>
      </c>
      <c r="J3613" t="s">
        <v>53</v>
      </c>
      <c r="K3613" t="s">
        <v>53</v>
      </c>
      <c r="L3613" t="s">
        <v>53</v>
      </c>
      <c r="M3613" t="s">
        <v>53</v>
      </c>
      <c r="N3613" t="s">
        <v>53</v>
      </c>
      <c r="O3613" t="s">
        <v>53</v>
      </c>
      <c r="P3613" t="s">
        <v>53</v>
      </c>
      <c r="Q3613" t="s">
        <v>53</v>
      </c>
    </row>
    <row r="3614" spans="1:17" x14ac:dyDescent="0.2">
      <c r="A3614" s="30" t="str">
        <f>IF(C3614&amp;G3614&amp;D3614&lt;&gt;'Funnel setup'!$K$3&amp;'Funnel setup'!$K$4&amp;'Funnel setup'!$K$5,".",IF(A3613=".",1,A3613+1))</f>
        <v>.</v>
      </c>
      <c r="B3614" s="431" t="str">
        <f t="shared" si="56"/>
        <v>Hip Replacement RevisionProviderUNIVERSITY HOSPITAL SOUTHAMPTON NHS FOUNDATION TRUST (RHM)Oxford Hip Score</v>
      </c>
      <c r="C3614" t="s">
        <v>247</v>
      </c>
      <c r="D3614" t="s">
        <v>1</v>
      </c>
      <c r="E3614" t="s">
        <v>3772</v>
      </c>
      <c r="F3614" t="s">
        <v>3773</v>
      </c>
      <c r="G3614" t="s">
        <v>14</v>
      </c>
      <c r="H3614">
        <v>30</v>
      </c>
      <c r="I3614">
        <v>20.667000000000002</v>
      </c>
      <c r="J3614">
        <v>34.6</v>
      </c>
      <c r="K3614">
        <v>13.933</v>
      </c>
      <c r="L3614">
        <v>27</v>
      </c>
      <c r="M3614">
        <v>0</v>
      </c>
      <c r="N3614">
        <v>3</v>
      </c>
      <c r="O3614">
        <v>35.652999999999999</v>
      </c>
      <c r="P3614">
        <v>14.777998269999999</v>
      </c>
      <c r="Q3614">
        <v>10.279</v>
      </c>
    </row>
    <row r="3615" spans="1:17" x14ac:dyDescent="0.2">
      <c r="A3615" s="30" t="str">
        <f>IF(C3615&amp;G3615&amp;D3615&lt;&gt;'Funnel setup'!$K$3&amp;'Funnel setup'!$K$4&amp;'Funnel setup'!$K$5,".",IF(A3614=".",1,A3614+1))</f>
        <v>.</v>
      </c>
      <c r="B3615" s="431" t="str">
        <f t="shared" si="56"/>
        <v>Hip Replacement RevisionProviderUNIVERSITY HOSPITALS COVENTRY AND WARWICKSHIRE NHS TRUST (RKB)Oxford Hip Score</v>
      </c>
      <c r="C3615" t="s">
        <v>247</v>
      </c>
      <c r="D3615" t="s">
        <v>1</v>
      </c>
      <c r="E3615" t="s">
        <v>3715</v>
      </c>
      <c r="F3615" t="s">
        <v>3716</v>
      </c>
      <c r="G3615" t="s">
        <v>14</v>
      </c>
      <c r="H3615">
        <v>13</v>
      </c>
      <c r="I3615">
        <v>20.308</v>
      </c>
      <c r="J3615">
        <v>36.231000000000002</v>
      </c>
      <c r="K3615">
        <v>15.923</v>
      </c>
      <c r="L3615">
        <v>11</v>
      </c>
      <c r="M3615">
        <v>0</v>
      </c>
      <c r="N3615">
        <v>2</v>
      </c>
      <c r="O3615" t="s">
        <v>53</v>
      </c>
      <c r="P3615" t="s">
        <v>53</v>
      </c>
      <c r="Q3615" t="s">
        <v>53</v>
      </c>
    </row>
    <row r="3616" spans="1:17" x14ac:dyDescent="0.2">
      <c r="A3616" s="30" t="str">
        <f>IF(C3616&amp;G3616&amp;D3616&lt;&gt;'Funnel setup'!$K$3&amp;'Funnel setup'!$K$4&amp;'Funnel setup'!$K$5,".",IF(A3615=".",1,A3615+1))</f>
        <v>.</v>
      </c>
      <c r="B3616" s="431" t="str">
        <f t="shared" si="56"/>
        <v>Hip Replacement RevisionProviderUNIVERSITY HOSPITALS OF LEICESTER NHS TRUST (RWE)Oxford Hip Score</v>
      </c>
      <c r="C3616" t="s">
        <v>247</v>
      </c>
      <c r="D3616" t="s">
        <v>1</v>
      </c>
      <c r="E3616" t="s">
        <v>3718</v>
      </c>
      <c r="F3616" t="s">
        <v>3719</v>
      </c>
      <c r="G3616" t="s">
        <v>14</v>
      </c>
      <c r="H3616">
        <v>37</v>
      </c>
      <c r="I3616">
        <v>18.838000000000001</v>
      </c>
      <c r="J3616">
        <v>32.459000000000003</v>
      </c>
      <c r="K3616">
        <v>13.622</v>
      </c>
      <c r="L3616">
        <v>35</v>
      </c>
      <c r="M3616">
        <v>0</v>
      </c>
      <c r="N3616">
        <v>2</v>
      </c>
      <c r="O3616">
        <v>32.61</v>
      </c>
      <c r="P3616">
        <v>11.735372119999999</v>
      </c>
      <c r="Q3616">
        <v>9.2170000000000005</v>
      </c>
    </row>
    <row r="3617" spans="1:17" x14ac:dyDescent="0.2">
      <c r="A3617" s="30" t="str">
        <f>IF(C3617&amp;G3617&amp;D3617&lt;&gt;'Funnel setup'!$K$3&amp;'Funnel setup'!$K$4&amp;'Funnel setup'!$K$5,".",IF(A3616=".",1,A3616+1))</f>
        <v>.</v>
      </c>
      <c r="B3617" s="431" t="str">
        <f t="shared" si="56"/>
        <v>Hip Replacement RevisionProviderUNIVERSITY HOSPITALS OF MORECAMBE BAY NHS FOUNDATION TRUST (RTX)Oxford Hip Score</v>
      </c>
      <c r="C3617" t="s">
        <v>247</v>
      </c>
      <c r="D3617" t="s">
        <v>1</v>
      </c>
      <c r="E3617" t="s">
        <v>3721</v>
      </c>
      <c r="F3617" t="s">
        <v>3722</v>
      </c>
      <c r="G3617" t="s">
        <v>14</v>
      </c>
      <c r="H3617">
        <v>16</v>
      </c>
      <c r="I3617">
        <v>16.437999999999999</v>
      </c>
      <c r="J3617">
        <v>31.375</v>
      </c>
      <c r="K3617">
        <v>14.938000000000001</v>
      </c>
      <c r="L3617">
        <v>14</v>
      </c>
      <c r="M3617">
        <v>0</v>
      </c>
      <c r="N3617">
        <v>2</v>
      </c>
      <c r="O3617" t="s">
        <v>53</v>
      </c>
      <c r="P3617" t="s">
        <v>53</v>
      </c>
      <c r="Q3617" t="s">
        <v>53</v>
      </c>
    </row>
    <row r="3618" spans="1:17" x14ac:dyDescent="0.2">
      <c r="A3618" s="30" t="str">
        <f>IF(C3618&amp;G3618&amp;D3618&lt;&gt;'Funnel setup'!$K$3&amp;'Funnel setup'!$K$4&amp;'Funnel setup'!$K$5,".",IF(A3617=".",1,A3617+1))</f>
        <v>.</v>
      </c>
      <c r="B3618" s="431" t="str">
        <f t="shared" si="56"/>
        <v>Hip Replacement RevisionProviderUNIVERSITY HOSPITALS OF NORTH MIDLANDS NHS TRUST (RJE)Oxford Hip Score</v>
      </c>
      <c r="C3618" t="s">
        <v>247</v>
      </c>
      <c r="D3618" t="s">
        <v>1</v>
      </c>
      <c r="E3618" t="s">
        <v>3724</v>
      </c>
      <c r="F3618" t="s">
        <v>3725</v>
      </c>
      <c r="G3618" t="s">
        <v>14</v>
      </c>
      <c r="H3618">
        <v>10</v>
      </c>
      <c r="I3618">
        <v>12.5</v>
      </c>
      <c r="J3618">
        <v>30</v>
      </c>
      <c r="K3618">
        <v>17.5</v>
      </c>
      <c r="L3618">
        <v>10</v>
      </c>
      <c r="M3618">
        <v>0</v>
      </c>
      <c r="N3618">
        <v>0</v>
      </c>
      <c r="O3618" t="s">
        <v>53</v>
      </c>
      <c r="P3618" t="s">
        <v>53</v>
      </c>
      <c r="Q3618" t="s">
        <v>53</v>
      </c>
    </row>
    <row r="3619" spans="1:17" x14ac:dyDescent="0.2">
      <c r="A3619" s="30" t="str">
        <f>IF(C3619&amp;G3619&amp;D3619&lt;&gt;'Funnel setup'!$K$3&amp;'Funnel setup'!$K$4&amp;'Funnel setup'!$K$5,".",IF(A3618=".",1,A3618+1))</f>
        <v>.</v>
      </c>
      <c r="B3619" s="431" t="str">
        <f t="shared" si="56"/>
        <v>Hip Replacement RevisionProviderWALSALL HEALTHCARE NHS TRUST (RBK)Oxford Hip Score</v>
      </c>
      <c r="C3619" t="s">
        <v>247</v>
      </c>
      <c r="D3619" t="s">
        <v>1</v>
      </c>
      <c r="E3619" t="s">
        <v>3727</v>
      </c>
      <c r="F3619" t="s">
        <v>3728</v>
      </c>
      <c r="G3619" t="s">
        <v>14</v>
      </c>
      <c r="H3619">
        <v>12</v>
      </c>
      <c r="I3619">
        <v>17.75</v>
      </c>
      <c r="J3619">
        <v>27.417000000000002</v>
      </c>
      <c r="K3619">
        <v>9.6669999999999998</v>
      </c>
      <c r="L3619">
        <v>9</v>
      </c>
      <c r="M3619">
        <v>0</v>
      </c>
      <c r="N3619">
        <v>3</v>
      </c>
      <c r="O3619" t="s">
        <v>53</v>
      </c>
      <c r="P3619" t="s">
        <v>53</v>
      </c>
      <c r="Q3619" t="s">
        <v>53</v>
      </c>
    </row>
    <row r="3620" spans="1:17" x14ac:dyDescent="0.2">
      <c r="A3620" s="30" t="str">
        <f>IF(C3620&amp;G3620&amp;D3620&lt;&gt;'Funnel setup'!$K$3&amp;'Funnel setup'!$K$4&amp;'Funnel setup'!$K$5,".",IF(A3619=".",1,A3619+1))</f>
        <v>.</v>
      </c>
      <c r="B3620" s="431" t="str">
        <f t="shared" si="56"/>
        <v>Hip Replacement RevisionProviderWARRINGTON AND HALTON HOSPITALS NHS FOUNDATION TRUST (RWW)Oxford Hip Score</v>
      </c>
      <c r="C3620" t="s">
        <v>247</v>
      </c>
      <c r="D3620" t="s">
        <v>1</v>
      </c>
      <c r="E3620" t="s">
        <v>3730</v>
      </c>
      <c r="F3620" t="s">
        <v>3731</v>
      </c>
      <c r="G3620" t="s">
        <v>14</v>
      </c>
      <c r="H3620">
        <v>13</v>
      </c>
      <c r="I3620">
        <v>20.614999999999998</v>
      </c>
      <c r="J3620">
        <v>33.615000000000002</v>
      </c>
      <c r="K3620">
        <v>13</v>
      </c>
      <c r="L3620">
        <v>12</v>
      </c>
      <c r="M3620">
        <v>0</v>
      </c>
      <c r="N3620">
        <v>1</v>
      </c>
      <c r="O3620" t="s">
        <v>53</v>
      </c>
      <c r="P3620" t="s">
        <v>53</v>
      </c>
      <c r="Q3620" t="s">
        <v>53</v>
      </c>
    </row>
    <row r="3621" spans="1:17" x14ac:dyDescent="0.2">
      <c r="A3621" s="30" t="str">
        <f>IF(C3621&amp;G3621&amp;D3621&lt;&gt;'Funnel setup'!$K$3&amp;'Funnel setup'!$K$4&amp;'Funnel setup'!$K$5,".",IF(A3620=".",1,A3620+1))</f>
        <v>.</v>
      </c>
      <c r="B3621" s="431" t="str">
        <f t="shared" si="56"/>
        <v>Hip Replacement RevisionProviderWEST HERTFORDSHIRE HOSPITALS NHS TRUST (RWG)Oxford Hip Score</v>
      </c>
      <c r="C3621" t="s">
        <v>247</v>
      </c>
      <c r="D3621" t="s">
        <v>1</v>
      </c>
      <c r="E3621" t="s">
        <v>3733</v>
      </c>
      <c r="F3621" t="s">
        <v>3734</v>
      </c>
      <c r="G3621" t="s">
        <v>14</v>
      </c>
      <c r="H3621">
        <v>11</v>
      </c>
      <c r="I3621">
        <v>14.635999999999999</v>
      </c>
      <c r="J3621">
        <v>30.091000000000001</v>
      </c>
      <c r="K3621">
        <v>15.455</v>
      </c>
      <c r="L3621">
        <v>10</v>
      </c>
      <c r="M3621">
        <v>0</v>
      </c>
      <c r="N3621">
        <v>1</v>
      </c>
      <c r="O3621" t="s">
        <v>53</v>
      </c>
      <c r="P3621" t="s">
        <v>53</v>
      </c>
      <c r="Q3621" t="s">
        <v>53</v>
      </c>
    </row>
    <row r="3622" spans="1:17" x14ac:dyDescent="0.2">
      <c r="A3622" s="30" t="str">
        <f>IF(C3622&amp;G3622&amp;D3622&lt;&gt;'Funnel setup'!$K$3&amp;'Funnel setup'!$K$4&amp;'Funnel setup'!$K$5,".",IF(A3621=".",1,A3621+1))</f>
        <v>.</v>
      </c>
      <c r="B3622" s="431" t="str">
        <f t="shared" si="56"/>
        <v>Hip Replacement RevisionProviderWEST MIDDLESEX UNIVERSITY HOSPITAL NHS TRUST (RFW)Oxford Hip Score</v>
      </c>
      <c r="C3622" t="s">
        <v>247</v>
      </c>
      <c r="D3622" t="s">
        <v>1</v>
      </c>
      <c r="E3622" t="s">
        <v>3736</v>
      </c>
      <c r="F3622" t="s">
        <v>3737</v>
      </c>
      <c r="G3622" t="s">
        <v>14</v>
      </c>
      <c r="H3622" t="s">
        <v>53</v>
      </c>
      <c r="I3622" t="s">
        <v>53</v>
      </c>
      <c r="J3622" t="s">
        <v>53</v>
      </c>
      <c r="K3622" t="s">
        <v>53</v>
      </c>
      <c r="L3622" t="s">
        <v>53</v>
      </c>
      <c r="M3622" t="s">
        <v>53</v>
      </c>
      <c r="N3622" t="s">
        <v>53</v>
      </c>
      <c r="O3622" t="s">
        <v>53</v>
      </c>
      <c r="P3622" t="s">
        <v>53</v>
      </c>
      <c r="Q3622" t="s">
        <v>53</v>
      </c>
    </row>
    <row r="3623" spans="1:17" x14ac:dyDescent="0.2">
      <c r="A3623" s="30" t="str">
        <f>IF(C3623&amp;G3623&amp;D3623&lt;&gt;'Funnel setup'!$K$3&amp;'Funnel setup'!$K$4&amp;'Funnel setup'!$K$5,".",IF(A3622=".",1,A3622+1))</f>
        <v>.</v>
      </c>
      <c r="B3623" s="431" t="str">
        <f t="shared" si="56"/>
        <v>Hip Replacement RevisionProviderWEST SUFFOLK NHS FOUNDATION TRUST (RGR)Oxford Hip Score</v>
      </c>
      <c r="C3623" t="s">
        <v>247</v>
      </c>
      <c r="D3623" t="s">
        <v>1</v>
      </c>
      <c r="E3623" t="s">
        <v>3712</v>
      </c>
      <c r="F3623" t="s">
        <v>3713</v>
      </c>
      <c r="G3623" t="s">
        <v>14</v>
      </c>
      <c r="H3623">
        <v>14</v>
      </c>
      <c r="I3623">
        <v>21.643000000000001</v>
      </c>
      <c r="J3623">
        <v>35.213999999999999</v>
      </c>
      <c r="K3623">
        <v>13.571</v>
      </c>
      <c r="L3623">
        <v>12</v>
      </c>
      <c r="M3623">
        <v>1</v>
      </c>
      <c r="N3623">
        <v>1</v>
      </c>
      <c r="O3623" t="s">
        <v>53</v>
      </c>
      <c r="P3623" t="s">
        <v>53</v>
      </c>
      <c r="Q3623" t="s">
        <v>53</v>
      </c>
    </row>
    <row r="3624" spans="1:17" x14ac:dyDescent="0.2">
      <c r="A3624" s="30" t="str">
        <f>IF(C3624&amp;G3624&amp;D3624&lt;&gt;'Funnel setup'!$K$3&amp;'Funnel setup'!$K$4&amp;'Funnel setup'!$K$5,".",IF(A3623=".",1,A3623+1))</f>
        <v>.</v>
      </c>
      <c r="B3624" s="431" t="str">
        <f t="shared" si="56"/>
        <v>Hip Replacement RevisionProviderWESTERN SUSSEX HOSPITALS NHS FOUNDATION TRUST (RYR)Oxford Hip Score</v>
      </c>
      <c r="C3624" t="s">
        <v>247</v>
      </c>
      <c r="D3624" t="s">
        <v>1</v>
      </c>
      <c r="E3624" t="s">
        <v>3706</v>
      </c>
      <c r="F3624" t="s">
        <v>3707</v>
      </c>
      <c r="G3624" t="s">
        <v>14</v>
      </c>
      <c r="H3624">
        <v>40</v>
      </c>
      <c r="I3624">
        <v>19.925000000000001</v>
      </c>
      <c r="J3624">
        <v>30.375</v>
      </c>
      <c r="K3624">
        <v>10.45</v>
      </c>
      <c r="L3624">
        <v>33</v>
      </c>
      <c r="M3624">
        <v>3</v>
      </c>
      <c r="N3624">
        <v>4</v>
      </c>
      <c r="O3624">
        <v>30.544</v>
      </c>
      <c r="P3624">
        <v>9.6692793609999992</v>
      </c>
      <c r="Q3624">
        <v>9.6370000000000005</v>
      </c>
    </row>
    <row r="3625" spans="1:17" x14ac:dyDescent="0.2">
      <c r="A3625" s="30" t="str">
        <f>IF(C3625&amp;G3625&amp;D3625&lt;&gt;'Funnel setup'!$K$3&amp;'Funnel setup'!$K$4&amp;'Funnel setup'!$K$5,".",IF(A3624=".",1,A3624+1))</f>
        <v>.</v>
      </c>
      <c r="B3625" s="431" t="str">
        <f t="shared" si="56"/>
        <v>Hip Replacement RevisionProviderWESTON AREA HEALTH NHS TRUST (RA3)Oxford Hip Score</v>
      </c>
      <c r="C3625" t="s">
        <v>247</v>
      </c>
      <c r="D3625" t="s">
        <v>1</v>
      </c>
      <c r="E3625" t="s">
        <v>3525</v>
      </c>
      <c r="F3625" t="s">
        <v>3526</v>
      </c>
      <c r="G3625" t="s">
        <v>14</v>
      </c>
      <c r="H3625">
        <v>10</v>
      </c>
      <c r="I3625">
        <v>27.7</v>
      </c>
      <c r="J3625">
        <v>36</v>
      </c>
      <c r="K3625">
        <v>8.3000000000000007</v>
      </c>
      <c r="L3625">
        <v>7</v>
      </c>
      <c r="M3625">
        <v>0</v>
      </c>
      <c r="N3625">
        <v>3</v>
      </c>
      <c r="O3625" t="s">
        <v>53</v>
      </c>
      <c r="P3625" t="s">
        <v>53</v>
      </c>
      <c r="Q3625" t="s">
        <v>53</v>
      </c>
    </row>
    <row r="3626" spans="1:17" x14ac:dyDescent="0.2">
      <c r="A3626" s="30" t="str">
        <f>IF(C3626&amp;G3626&amp;D3626&lt;&gt;'Funnel setup'!$K$3&amp;'Funnel setup'!$K$4&amp;'Funnel setup'!$K$5,".",IF(A3625=".",1,A3625+1))</f>
        <v>.</v>
      </c>
      <c r="B3626" s="431" t="str">
        <f t="shared" si="56"/>
        <v>Hip Replacement RevisionProviderWINFIELD HOSPITAL (NVC22)Oxford Hip Score</v>
      </c>
      <c r="C3626" t="s">
        <v>247</v>
      </c>
      <c r="D3626" t="s">
        <v>1</v>
      </c>
      <c r="E3626" t="s">
        <v>3534</v>
      </c>
      <c r="F3626" t="s">
        <v>3535</v>
      </c>
      <c r="G3626" t="s">
        <v>14</v>
      </c>
      <c r="H3626" t="s">
        <v>53</v>
      </c>
      <c r="I3626" t="s">
        <v>53</v>
      </c>
      <c r="J3626" t="s">
        <v>53</v>
      </c>
      <c r="K3626" t="s">
        <v>53</v>
      </c>
      <c r="L3626" t="s">
        <v>53</v>
      </c>
      <c r="M3626" t="s">
        <v>53</v>
      </c>
      <c r="N3626" t="s">
        <v>53</v>
      </c>
      <c r="O3626" t="s">
        <v>53</v>
      </c>
      <c r="P3626" t="s">
        <v>53</v>
      </c>
      <c r="Q3626" t="s">
        <v>53</v>
      </c>
    </row>
    <row r="3627" spans="1:17" x14ac:dyDescent="0.2">
      <c r="A3627" s="30" t="str">
        <f>IF(C3627&amp;G3627&amp;D3627&lt;&gt;'Funnel setup'!$K$3&amp;'Funnel setup'!$K$4&amp;'Funnel setup'!$K$5,".",IF(A3626=".",1,A3626+1))</f>
        <v>.</v>
      </c>
      <c r="B3627" s="431" t="str">
        <f t="shared" si="56"/>
        <v>Hip Replacement RevisionProviderWIRRAL UNIVERSITY TEACHING HOSPITAL NHS FOUNDATION TRUST (RBL)Oxford Hip Score</v>
      </c>
      <c r="C3627" t="s">
        <v>247</v>
      </c>
      <c r="D3627" t="s">
        <v>1</v>
      </c>
      <c r="E3627" t="s">
        <v>3537</v>
      </c>
      <c r="F3627" t="s">
        <v>3538</v>
      </c>
      <c r="G3627" t="s">
        <v>14</v>
      </c>
      <c r="H3627" t="s">
        <v>53</v>
      </c>
      <c r="I3627" t="s">
        <v>53</v>
      </c>
      <c r="J3627" t="s">
        <v>53</v>
      </c>
      <c r="K3627" t="s">
        <v>53</v>
      </c>
      <c r="L3627" t="s">
        <v>53</v>
      </c>
      <c r="M3627" t="s">
        <v>53</v>
      </c>
      <c r="N3627" t="s">
        <v>53</v>
      </c>
      <c r="O3627" t="s">
        <v>53</v>
      </c>
      <c r="P3627" t="s">
        <v>53</v>
      </c>
      <c r="Q3627" t="s">
        <v>53</v>
      </c>
    </row>
    <row r="3628" spans="1:17" x14ac:dyDescent="0.2">
      <c r="A3628" s="30" t="str">
        <f>IF(C3628&amp;G3628&amp;D3628&lt;&gt;'Funnel setup'!$K$3&amp;'Funnel setup'!$K$4&amp;'Funnel setup'!$K$5,".",IF(A3627=".",1,A3627+1))</f>
        <v>.</v>
      </c>
      <c r="B3628" s="431" t="str">
        <f t="shared" si="56"/>
        <v>Hip Replacement RevisionProviderWOODLAND HOSPITAL (NVC23)Oxford Hip Score</v>
      </c>
      <c r="C3628" t="s">
        <v>247</v>
      </c>
      <c r="D3628" t="s">
        <v>1</v>
      </c>
      <c r="E3628" t="s">
        <v>3540</v>
      </c>
      <c r="F3628" t="s">
        <v>3541</v>
      </c>
      <c r="G3628" t="s">
        <v>14</v>
      </c>
      <c r="H3628" t="s">
        <v>53</v>
      </c>
      <c r="I3628" t="s">
        <v>53</v>
      </c>
      <c r="J3628" t="s">
        <v>53</v>
      </c>
      <c r="K3628" t="s">
        <v>53</v>
      </c>
      <c r="L3628" t="s">
        <v>53</v>
      </c>
      <c r="M3628" t="s">
        <v>53</v>
      </c>
      <c r="N3628" t="s">
        <v>53</v>
      </c>
      <c r="O3628" t="s">
        <v>53</v>
      </c>
      <c r="P3628" t="s">
        <v>53</v>
      </c>
      <c r="Q3628" t="s">
        <v>53</v>
      </c>
    </row>
    <row r="3629" spans="1:17" x14ac:dyDescent="0.2">
      <c r="A3629" s="30" t="str">
        <f>IF(C3629&amp;G3629&amp;D3629&lt;&gt;'Funnel setup'!$K$3&amp;'Funnel setup'!$K$4&amp;'Funnel setup'!$K$5,".",IF(A3628=".",1,A3628+1))</f>
        <v>.</v>
      </c>
      <c r="B3629" s="431" t="str">
        <f t="shared" si="56"/>
        <v>Hip Replacement RevisionProviderWOODTHORPE HOSPITAL (NVC40)Oxford Hip Score</v>
      </c>
      <c r="C3629" t="s">
        <v>247</v>
      </c>
      <c r="D3629" t="s">
        <v>1</v>
      </c>
      <c r="E3629" t="s">
        <v>3689</v>
      </c>
      <c r="F3629" t="s">
        <v>6576</v>
      </c>
      <c r="G3629" t="s">
        <v>14</v>
      </c>
      <c r="H3629" t="s">
        <v>53</v>
      </c>
      <c r="I3629" t="s">
        <v>53</v>
      </c>
      <c r="J3629" t="s">
        <v>53</v>
      </c>
      <c r="K3629" t="s">
        <v>53</v>
      </c>
      <c r="L3629" t="s">
        <v>53</v>
      </c>
      <c r="M3629" t="s">
        <v>53</v>
      </c>
      <c r="N3629" t="s">
        <v>53</v>
      </c>
      <c r="O3629" t="s">
        <v>53</v>
      </c>
      <c r="P3629" t="s">
        <v>53</v>
      </c>
      <c r="Q3629" t="s">
        <v>53</v>
      </c>
    </row>
    <row r="3630" spans="1:17" x14ac:dyDescent="0.2">
      <c r="A3630" s="30" t="str">
        <f>IF(C3630&amp;G3630&amp;D3630&lt;&gt;'Funnel setup'!$K$3&amp;'Funnel setup'!$K$4&amp;'Funnel setup'!$K$5,".",IF(A3629=".",1,A3629+1))</f>
        <v>.</v>
      </c>
      <c r="B3630" s="431" t="str">
        <f t="shared" si="56"/>
        <v>Hip Replacement RevisionProviderWORCESTERSHIRE ACUTE HOSPITALS NHS TRUST (RWP)Oxford Hip Score</v>
      </c>
      <c r="C3630" t="s">
        <v>247</v>
      </c>
      <c r="D3630" t="s">
        <v>1</v>
      </c>
      <c r="E3630" t="s">
        <v>3543</v>
      </c>
      <c r="F3630" t="s">
        <v>3544</v>
      </c>
      <c r="G3630" t="s">
        <v>14</v>
      </c>
      <c r="H3630">
        <v>17</v>
      </c>
      <c r="I3630">
        <v>17.175999999999998</v>
      </c>
      <c r="J3630">
        <v>34.411999999999999</v>
      </c>
      <c r="K3630">
        <v>17.234999999999999</v>
      </c>
      <c r="L3630">
        <v>16</v>
      </c>
      <c r="M3630">
        <v>0</v>
      </c>
      <c r="N3630">
        <v>1</v>
      </c>
      <c r="O3630" t="s">
        <v>53</v>
      </c>
      <c r="P3630" t="s">
        <v>53</v>
      </c>
      <c r="Q3630" t="s">
        <v>53</v>
      </c>
    </row>
    <row r="3631" spans="1:17" x14ac:dyDescent="0.2">
      <c r="A3631" s="30" t="str">
        <f>IF(C3631&amp;G3631&amp;D3631&lt;&gt;'Funnel setup'!$K$3&amp;'Funnel setup'!$K$4&amp;'Funnel setup'!$K$5,".",IF(A3630=".",1,A3630+1))</f>
        <v>.</v>
      </c>
      <c r="B3631" s="431" t="str">
        <f t="shared" si="56"/>
        <v>Hip Replacement RevisionProviderWRIGHTINGTON, WIGAN AND LEIGH NHS FOUNDATION TRUST (RRF)Oxford Hip Score</v>
      </c>
      <c r="C3631" t="s">
        <v>247</v>
      </c>
      <c r="D3631" t="s">
        <v>1</v>
      </c>
      <c r="E3631" t="s">
        <v>3546</v>
      </c>
      <c r="F3631" t="s">
        <v>3547</v>
      </c>
      <c r="G3631" t="s">
        <v>14</v>
      </c>
      <c r="H3631">
        <v>46</v>
      </c>
      <c r="I3631">
        <v>19.173999999999999</v>
      </c>
      <c r="J3631">
        <v>30.13</v>
      </c>
      <c r="K3631">
        <v>10.957000000000001</v>
      </c>
      <c r="L3631">
        <v>38</v>
      </c>
      <c r="M3631">
        <v>1</v>
      </c>
      <c r="N3631">
        <v>7</v>
      </c>
      <c r="O3631">
        <v>31.556000000000001</v>
      </c>
      <c r="P3631">
        <v>10.68143572</v>
      </c>
      <c r="Q3631">
        <v>10.218</v>
      </c>
    </row>
    <row r="3632" spans="1:17" x14ac:dyDescent="0.2">
      <c r="A3632" s="30" t="str">
        <f>IF(C3632&amp;G3632&amp;D3632&lt;&gt;'Funnel setup'!$K$3&amp;'Funnel setup'!$K$4&amp;'Funnel setup'!$K$5,".",IF(A3631=".",1,A3631+1))</f>
        <v>.</v>
      </c>
      <c r="B3632" s="431" t="str">
        <f t="shared" si="56"/>
        <v>Hip Replacement RevisionProviderWYE VALLEY NHS TRUST (RLQ)Oxford Hip Score</v>
      </c>
      <c r="C3632" t="s">
        <v>247</v>
      </c>
      <c r="D3632" t="s">
        <v>1</v>
      </c>
      <c r="E3632" t="s">
        <v>3517</v>
      </c>
      <c r="F3632" t="s">
        <v>3518</v>
      </c>
      <c r="G3632" t="s">
        <v>14</v>
      </c>
      <c r="H3632">
        <v>9</v>
      </c>
      <c r="I3632">
        <v>18.443999999999999</v>
      </c>
      <c r="J3632">
        <v>37.444000000000003</v>
      </c>
      <c r="K3632">
        <v>19</v>
      </c>
      <c r="L3632">
        <v>9</v>
      </c>
      <c r="M3632">
        <v>0</v>
      </c>
      <c r="N3632">
        <v>0</v>
      </c>
      <c r="O3632" t="s">
        <v>53</v>
      </c>
      <c r="P3632" t="s">
        <v>53</v>
      </c>
      <c r="Q3632" t="s">
        <v>53</v>
      </c>
    </row>
    <row r="3633" spans="1:17" x14ac:dyDescent="0.2">
      <c r="A3633" s="30" t="str">
        <f>IF(C3633&amp;G3633&amp;D3633&lt;&gt;'Funnel setup'!$K$3&amp;'Funnel setup'!$K$4&amp;'Funnel setup'!$K$5,".",IF(A3632=".",1,A3632+1))</f>
        <v>.</v>
      </c>
      <c r="B3633" s="431" t="str">
        <f t="shared" si="56"/>
        <v>Hip Replacement RevisionProviderYEOVIL DISTRICT HOSPITAL NHS FOUNDATION TRUST (RA4)Oxford Hip Score</v>
      </c>
      <c r="C3633" t="s">
        <v>247</v>
      </c>
      <c r="D3633" t="s">
        <v>1</v>
      </c>
      <c r="E3633" t="s">
        <v>3520</v>
      </c>
      <c r="F3633" t="s">
        <v>341</v>
      </c>
      <c r="G3633" t="s">
        <v>14</v>
      </c>
      <c r="H3633">
        <v>7</v>
      </c>
      <c r="I3633">
        <v>22.713999999999999</v>
      </c>
      <c r="J3633">
        <v>34.429000000000002</v>
      </c>
      <c r="K3633">
        <v>11.714</v>
      </c>
      <c r="L3633">
        <v>6</v>
      </c>
      <c r="M3633">
        <v>0</v>
      </c>
      <c r="N3633">
        <v>1</v>
      </c>
      <c r="O3633" t="s">
        <v>53</v>
      </c>
      <c r="P3633" t="s">
        <v>53</v>
      </c>
      <c r="Q3633" t="s">
        <v>53</v>
      </c>
    </row>
    <row r="3634" spans="1:17" x14ac:dyDescent="0.2">
      <c r="A3634" s="30" t="str">
        <f>IF(C3634&amp;G3634&amp;D3634&lt;&gt;'Funnel setup'!$K$3&amp;'Funnel setup'!$K$4&amp;'Funnel setup'!$K$5,".",IF(A3633=".",1,A3633+1))</f>
        <v>.</v>
      </c>
      <c r="B3634" s="431" t="str">
        <f t="shared" si="56"/>
        <v>Hip Replacement RevisionProviderYORK TEACHING HOSPITAL NHS FOUNDATION TRUST (RCB)Oxford Hip Score</v>
      </c>
      <c r="C3634" t="s">
        <v>247</v>
      </c>
      <c r="D3634" t="s">
        <v>1</v>
      </c>
      <c r="E3634" t="s">
        <v>3515</v>
      </c>
      <c r="F3634" t="s">
        <v>343</v>
      </c>
      <c r="G3634" t="s">
        <v>14</v>
      </c>
      <c r="H3634">
        <v>38</v>
      </c>
      <c r="I3634">
        <v>23.446999999999999</v>
      </c>
      <c r="J3634">
        <v>35.5</v>
      </c>
      <c r="K3634">
        <v>12.053000000000001</v>
      </c>
      <c r="L3634">
        <v>34</v>
      </c>
      <c r="M3634">
        <v>1</v>
      </c>
      <c r="N3634">
        <v>3</v>
      </c>
      <c r="O3634">
        <v>34.381999999999998</v>
      </c>
      <c r="P3634">
        <v>13.50711675</v>
      </c>
      <c r="Q3634">
        <v>9.8379999999999992</v>
      </c>
    </row>
    <row r="3635" spans="1:17" x14ac:dyDescent="0.2">
      <c r="A3635" s="30" t="str">
        <f>IF(C3635&amp;G3635&amp;D3635&lt;&gt;'Funnel setup'!$K$3&amp;'Funnel setup'!$K$4&amp;'Funnel setup'!$K$5,".",IF(A3634=".",1,A3634+1))</f>
        <v>.</v>
      </c>
      <c r="B3635" s="431" t="str">
        <f t="shared" si="56"/>
        <v>Knee Replacement PrimaryCCG of GP PracticeNATIONAL COMMISSIONING HUB 1 (13Q)EQ VAS</v>
      </c>
      <c r="C3635" t="s">
        <v>249</v>
      </c>
      <c r="D3635" t="s">
        <v>87</v>
      </c>
      <c r="E3635" t="s">
        <v>563</v>
      </c>
      <c r="F3635" t="s">
        <v>564</v>
      </c>
      <c r="G3635" t="s">
        <v>179</v>
      </c>
      <c r="H3635" t="s">
        <v>53</v>
      </c>
      <c r="I3635" t="s">
        <v>53</v>
      </c>
      <c r="J3635" t="s">
        <v>53</v>
      </c>
      <c r="K3635" t="s">
        <v>53</v>
      </c>
      <c r="L3635" t="s">
        <v>53</v>
      </c>
      <c r="M3635" t="s">
        <v>53</v>
      </c>
      <c r="N3635" t="s">
        <v>53</v>
      </c>
      <c r="O3635" t="s">
        <v>53</v>
      </c>
      <c r="P3635" t="s">
        <v>53</v>
      </c>
      <c r="Q3635" t="s">
        <v>53</v>
      </c>
    </row>
    <row r="3636" spans="1:17" x14ac:dyDescent="0.2">
      <c r="A3636" s="30" t="str">
        <f>IF(C3636&amp;G3636&amp;D3636&lt;&gt;'Funnel setup'!$K$3&amp;'Funnel setup'!$K$4&amp;'Funnel setup'!$K$5,".",IF(A3635=".",1,A3635+1))</f>
        <v>.</v>
      </c>
      <c r="B3636" s="431" t="str">
        <f t="shared" si="56"/>
        <v>Knee Replacement PrimaryCCG of GP PracticeNHS AIREDALE, WHARFEDALE AND CRAVEN CCG (02N)EQ VAS</v>
      </c>
      <c r="C3636" t="s">
        <v>249</v>
      </c>
      <c r="D3636" t="s">
        <v>87</v>
      </c>
      <c r="E3636" t="s">
        <v>566</v>
      </c>
      <c r="F3636" t="s">
        <v>567</v>
      </c>
      <c r="G3636" t="s">
        <v>179</v>
      </c>
      <c r="H3636">
        <v>126</v>
      </c>
      <c r="I3636">
        <v>68.159000000000006</v>
      </c>
      <c r="J3636">
        <v>76.238</v>
      </c>
      <c r="K3636">
        <v>8.0790000000000006</v>
      </c>
      <c r="L3636">
        <v>74</v>
      </c>
      <c r="M3636">
        <v>15</v>
      </c>
      <c r="N3636">
        <v>37</v>
      </c>
      <c r="O3636">
        <v>74.795000000000002</v>
      </c>
      <c r="P3636">
        <v>6.1367414890000003</v>
      </c>
      <c r="Q3636">
        <v>14.243</v>
      </c>
    </row>
    <row r="3637" spans="1:17" x14ac:dyDescent="0.2">
      <c r="A3637" s="30" t="str">
        <f>IF(C3637&amp;G3637&amp;D3637&lt;&gt;'Funnel setup'!$K$3&amp;'Funnel setup'!$K$4&amp;'Funnel setup'!$K$5,".",IF(A3636=".",1,A3636+1))</f>
        <v>.</v>
      </c>
      <c r="B3637" s="431" t="str">
        <f t="shared" si="56"/>
        <v>Knee Replacement PrimaryCCG of GP PracticeNHS ASHFORD CCG (09C)EQ VAS</v>
      </c>
      <c r="C3637" t="s">
        <v>249</v>
      </c>
      <c r="D3637" t="s">
        <v>87</v>
      </c>
      <c r="E3637" t="s">
        <v>569</v>
      </c>
      <c r="F3637" t="s">
        <v>339</v>
      </c>
      <c r="G3637" t="s">
        <v>179</v>
      </c>
      <c r="H3637">
        <v>61</v>
      </c>
      <c r="I3637">
        <v>72.197000000000003</v>
      </c>
      <c r="J3637">
        <v>75.835999999999999</v>
      </c>
      <c r="K3637">
        <v>3.6389999999999998</v>
      </c>
      <c r="L3637">
        <v>22</v>
      </c>
      <c r="M3637">
        <v>13</v>
      </c>
      <c r="N3637">
        <v>26</v>
      </c>
      <c r="O3637">
        <v>74.622</v>
      </c>
      <c r="P3637">
        <v>5.9634060690000004</v>
      </c>
      <c r="Q3637">
        <v>13.413</v>
      </c>
    </row>
    <row r="3638" spans="1:17" x14ac:dyDescent="0.2">
      <c r="A3638" s="30" t="str">
        <f>IF(C3638&amp;G3638&amp;D3638&lt;&gt;'Funnel setup'!$K$3&amp;'Funnel setup'!$K$4&amp;'Funnel setup'!$K$5,".",IF(A3637=".",1,A3637+1))</f>
        <v>.</v>
      </c>
      <c r="B3638" s="431" t="str">
        <f t="shared" si="56"/>
        <v>Knee Replacement PrimaryCCG of GP PracticeNHS AYLESBURY VALE CCG (10Y)EQ VAS</v>
      </c>
      <c r="C3638" t="s">
        <v>249</v>
      </c>
      <c r="D3638" t="s">
        <v>87</v>
      </c>
      <c r="E3638" t="s">
        <v>571</v>
      </c>
      <c r="F3638" t="s">
        <v>572</v>
      </c>
      <c r="G3638" t="s">
        <v>179</v>
      </c>
      <c r="H3638">
        <v>129</v>
      </c>
      <c r="I3638">
        <v>69.884</v>
      </c>
      <c r="J3638">
        <v>76.534999999999997</v>
      </c>
      <c r="K3638">
        <v>6.6509999999999998</v>
      </c>
      <c r="L3638">
        <v>73</v>
      </c>
      <c r="M3638">
        <v>15</v>
      </c>
      <c r="N3638">
        <v>41</v>
      </c>
      <c r="O3638">
        <v>74.542000000000002</v>
      </c>
      <c r="P3638">
        <v>5.8840403300000004</v>
      </c>
      <c r="Q3638">
        <v>13.484</v>
      </c>
    </row>
    <row r="3639" spans="1:17" x14ac:dyDescent="0.2">
      <c r="A3639" s="30" t="str">
        <f>IF(C3639&amp;G3639&amp;D3639&lt;&gt;'Funnel setup'!$K$3&amp;'Funnel setup'!$K$4&amp;'Funnel setup'!$K$5,".",IF(A3638=".",1,A3638+1))</f>
        <v>.</v>
      </c>
      <c r="B3639" s="431" t="str">
        <f t="shared" si="56"/>
        <v>Knee Replacement PrimaryCCG of GP PracticeNHS BARKING AND DAGENHAM CCG (07L)EQ VAS</v>
      </c>
      <c r="C3639" t="s">
        <v>249</v>
      </c>
      <c r="D3639" t="s">
        <v>87</v>
      </c>
      <c r="E3639" t="s">
        <v>574</v>
      </c>
      <c r="F3639" t="s">
        <v>575</v>
      </c>
      <c r="G3639" t="s">
        <v>179</v>
      </c>
      <c r="H3639">
        <v>46</v>
      </c>
      <c r="I3639">
        <v>66.260999999999996</v>
      </c>
      <c r="J3639">
        <v>67.216999999999999</v>
      </c>
      <c r="K3639">
        <v>0.95699999999999996</v>
      </c>
      <c r="L3639">
        <v>17</v>
      </c>
      <c r="M3639">
        <v>7</v>
      </c>
      <c r="N3639">
        <v>22</v>
      </c>
      <c r="O3639">
        <v>71.489999999999995</v>
      </c>
      <c r="P3639">
        <v>2.8317659919999998</v>
      </c>
      <c r="Q3639">
        <v>16.306999999999999</v>
      </c>
    </row>
    <row r="3640" spans="1:17" x14ac:dyDescent="0.2">
      <c r="A3640" s="30" t="str">
        <f>IF(C3640&amp;G3640&amp;D3640&lt;&gt;'Funnel setup'!$K$3&amp;'Funnel setup'!$K$4&amp;'Funnel setup'!$K$5,".",IF(A3639=".",1,A3639+1))</f>
        <v>.</v>
      </c>
      <c r="B3640" s="431" t="str">
        <f t="shared" si="56"/>
        <v>Knee Replacement PrimaryCCG of GP PracticeNHS BARNET CCG (07M)EQ VAS</v>
      </c>
      <c r="C3640" t="s">
        <v>249</v>
      </c>
      <c r="D3640" t="s">
        <v>87</v>
      </c>
      <c r="E3640" t="s">
        <v>577</v>
      </c>
      <c r="F3640" t="s">
        <v>578</v>
      </c>
      <c r="G3640" t="s">
        <v>179</v>
      </c>
      <c r="H3640">
        <v>75</v>
      </c>
      <c r="I3640">
        <v>64.52</v>
      </c>
      <c r="J3640">
        <v>70.706999999999994</v>
      </c>
      <c r="K3640">
        <v>6.1870000000000003</v>
      </c>
      <c r="L3640">
        <v>41</v>
      </c>
      <c r="M3640">
        <v>6</v>
      </c>
      <c r="N3640">
        <v>28</v>
      </c>
      <c r="O3640">
        <v>72.665000000000006</v>
      </c>
      <c r="P3640">
        <v>4.0062319679999998</v>
      </c>
      <c r="Q3640">
        <v>15.829000000000001</v>
      </c>
    </row>
    <row r="3641" spans="1:17" x14ac:dyDescent="0.2">
      <c r="A3641" s="30" t="str">
        <f>IF(C3641&amp;G3641&amp;D3641&lt;&gt;'Funnel setup'!$K$3&amp;'Funnel setup'!$K$4&amp;'Funnel setup'!$K$5,".",IF(A3640=".",1,A3640+1))</f>
        <v>.</v>
      </c>
      <c r="B3641" s="431" t="str">
        <f t="shared" si="56"/>
        <v>Knee Replacement PrimaryCCG of GP PracticeNHS BARNSLEY CCG (02P)EQ VAS</v>
      </c>
      <c r="C3641" t="s">
        <v>249</v>
      </c>
      <c r="D3641" t="s">
        <v>87</v>
      </c>
      <c r="E3641" t="s">
        <v>580</v>
      </c>
      <c r="F3641" t="s">
        <v>581</v>
      </c>
      <c r="G3641" t="s">
        <v>179</v>
      </c>
      <c r="H3641">
        <v>278</v>
      </c>
      <c r="I3641">
        <v>62.856000000000002</v>
      </c>
      <c r="J3641">
        <v>72.046999999999997</v>
      </c>
      <c r="K3641">
        <v>9.1910000000000007</v>
      </c>
      <c r="L3641">
        <v>169</v>
      </c>
      <c r="M3641">
        <v>34</v>
      </c>
      <c r="N3641">
        <v>75</v>
      </c>
      <c r="O3641">
        <v>74.516000000000005</v>
      </c>
      <c r="P3641">
        <v>5.8581508590000002</v>
      </c>
      <c r="Q3641">
        <v>17.045999999999999</v>
      </c>
    </row>
    <row r="3642" spans="1:17" x14ac:dyDescent="0.2">
      <c r="A3642" s="30" t="str">
        <f>IF(C3642&amp;G3642&amp;D3642&lt;&gt;'Funnel setup'!$K$3&amp;'Funnel setup'!$K$4&amp;'Funnel setup'!$K$5,".",IF(A3641=".",1,A3641+1))</f>
        <v>.</v>
      </c>
      <c r="B3642" s="431" t="str">
        <f t="shared" si="56"/>
        <v>Knee Replacement PrimaryCCG of GP PracticeNHS BASILDON AND BRENTWOOD CCG (99E)EQ VAS</v>
      </c>
      <c r="C3642" t="s">
        <v>249</v>
      </c>
      <c r="D3642" t="s">
        <v>87</v>
      </c>
      <c r="E3642" t="s">
        <v>583</v>
      </c>
      <c r="F3642" t="s">
        <v>584</v>
      </c>
      <c r="G3642" t="s">
        <v>179</v>
      </c>
      <c r="H3642">
        <v>161</v>
      </c>
      <c r="I3642">
        <v>68.366</v>
      </c>
      <c r="J3642">
        <v>74.924999999999997</v>
      </c>
      <c r="K3642">
        <v>6.5590000000000002</v>
      </c>
      <c r="L3642">
        <v>93</v>
      </c>
      <c r="M3642">
        <v>21</v>
      </c>
      <c r="N3642">
        <v>47</v>
      </c>
      <c r="O3642">
        <v>74.953999999999994</v>
      </c>
      <c r="P3642">
        <v>6.295752309</v>
      </c>
      <c r="Q3642">
        <v>16.062000000000001</v>
      </c>
    </row>
    <row r="3643" spans="1:17" x14ac:dyDescent="0.2">
      <c r="A3643" s="30" t="str">
        <f>IF(C3643&amp;G3643&amp;D3643&lt;&gt;'Funnel setup'!$K$3&amp;'Funnel setup'!$K$4&amp;'Funnel setup'!$K$5,".",IF(A3642=".",1,A3642+1))</f>
        <v>.</v>
      </c>
      <c r="B3643" s="431" t="str">
        <f t="shared" si="56"/>
        <v>Knee Replacement PrimaryCCG of GP PracticeNHS BASSETLAW CCG (02Q)EQ VAS</v>
      </c>
      <c r="C3643" t="s">
        <v>249</v>
      </c>
      <c r="D3643" t="s">
        <v>87</v>
      </c>
      <c r="E3643" t="s">
        <v>586</v>
      </c>
      <c r="F3643" t="s">
        <v>587</v>
      </c>
      <c r="G3643" t="s">
        <v>179</v>
      </c>
      <c r="H3643">
        <v>114</v>
      </c>
      <c r="I3643">
        <v>71.236999999999995</v>
      </c>
      <c r="J3643">
        <v>74.158000000000001</v>
      </c>
      <c r="K3643">
        <v>2.9209999999999998</v>
      </c>
      <c r="L3643">
        <v>59</v>
      </c>
      <c r="M3643">
        <v>13</v>
      </c>
      <c r="N3643">
        <v>42</v>
      </c>
      <c r="O3643">
        <v>73.688000000000002</v>
      </c>
      <c r="P3643">
        <v>5.0299323109999996</v>
      </c>
      <c r="Q3643">
        <v>16.106999999999999</v>
      </c>
    </row>
    <row r="3644" spans="1:17" x14ac:dyDescent="0.2">
      <c r="A3644" s="30" t="str">
        <f>IF(C3644&amp;G3644&amp;D3644&lt;&gt;'Funnel setup'!$K$3&amp;'Funnel setup'!$K$4&amp;'Funnel setup'!$K$5,".",IF(A3643=".",1,A3643+1))</f>
        <v>.</v>
      </c>
      <c r="B3644" s="431" t="str">
        <f t="shared" si="56"/>
        <v>Knee Replacement PrimaryCCG of GP PracticeNHS BATH AND NORTH EAST SOMERSET CCG (11E)EQ VAS</v>
      </c>
      <c r="C3644" t="s">
        <v>249</v>
      </c>
      <c r="D3644" t="s">
        <v>87</v>
      </c>
      <c r="E3644" t="s">
        <v>589</v>
      </c>
      <c r="F3644" t="s">
        <v>590</v>
      </c>
      <c r="G3644" t="s">
        <v>179</v>
      </c>
      <c r="H3644">
        <v>141</v>
      </c>
      <c r="I3644">
        <v>70.921999999999997</v>
      </c>
      <c r="J3644">
        <v>76.518000000000001</v>
      </c>
      <c r="K3644">
        <v>5.5960000000000001</v>
      </c>
      <c r="L3644">
        <v>67</v>
      </c>
      <c r="M3644">
        <v>28</v>
      </c>
      <c r="N3644">
        <v>46</v>
      </c>
      <c r="O3644">
        <v>74.546000000000006</v>
      </c>
      <c r="P3644">
        <v>5.887455009</v>
      </c>
      <c r="Q3644">
        <v>15.125999999999999</v>
      </c>
    </row>
    <row r="3645" spans="1:17" x14ac:dyDescent="0.2">
      <c r="A3645" s="30" t="str">
        <f>IF(C3645&amp;G3645&amp;D3645&lt;&gt;'Funnel setup'!$K$3&amp;'Funnel setup'!$K$4&amp;'Funnel setup'!$K$5,".",IF(A3644=".",1,A3644+1))</f>
        <v>.</v>
      </c>
      <c r="B3645" s="431" t="str">
        <f t="shared" si="56"/>
        <v>Knee Replacement PrimaryCCG of GP PracticeNHS BEDFORDSHIRE CCG (06F)EQ VAS</v>
      </c>
      <c r="C3645" t="s">
        <v>249</v>
      </c>
      <c r="D3645" t="s">
        <v>87</v>
      </c>
      <c r="E3645" t="s">
        <v>592</v>
      </c>
      <c r="F3645" t="s">
        <v>593</v>
      </c>
      <c r="G3645" t="s">
        <v>179</v>
      </c>
      <c r="H3645">
        <v>320</v>
      </c>
      <c r="I3645">
        <v>68.281000000000006</v>
      </c>
      <c r="J3645">
        <v>74.430999999999997</v>
      </c>
      <c r="K3645">
        <v>6.15</v>
      </c>
      <c r="L3645">
        <v>187</v>
      </c>
      <c r="M3645">
        <v>37</v>
      </c>
      <c r="N3645">
        <v>96</v>
      </c>
      <c r="O3645">
        <v>74.034000000000006</v>
      </c>
      <c r="P3645">
        <v>5.3760000049999999</v>
      </c>
      <c r="Q3645">
        <v>15.989000000000001</v>
      </c>
    </row>
    <row r="3646" spans="1:17" x14ac:dyDescent="0.2">
      <c r="A3646" s="30" t="str">
        <f>IF(C3646&amp;G3646&amp;D3646&lt;&gt;'Funnel setup'!$K$3&amp;'Funnel setup'!$K$4&amp;'Funnel setup'!$K$5,".",IF(A3645=".",1,A3645+1))</f>
        <v>.</v>
      </c>
      <c r="B3646" s="431" t="str">
        <f t="shared" si="56"/>
        <v>Knee Replacement PrimaryCCG of GP PracticeNHS BEXLEY CCG (07N)EQ VAS</v>
      </c>
      <c r="C3646" t="s">
        <v>249</v>
      </c>
      <c r="D3646" t="s">
        <v>87</v>
      </c>
      <c r="E3646" t="s">
        <v>595</v>
      </c>
      <c r="F3646" t="s">
        <v>596</v>
      </c>
      <c r="G3646" t="s">
        <v>179</v>
      </c>
      <c r="H3646">
        <v>88</v>
      </c>
      <c r="I3646">
        <v>68.875</v>
      </c>
      <c r="J3646">
        <v>72.545000000000002</v>
      </c>
      <c r="K3646">
        <v>3.67</v>
      </c>
      <c r="L3646">
        <v>47</v>
      </c>
      <c r="M3646">
        <v>14</v>
      </c>
      <c r="N3646">
        <v>27</v>
      </c>
      <c r="O3646">
        <v>72.575000000000003</v>
      </c>
      <c r="P3646">
        <v>3.9170741150000001</v>
      </c>
      <c r="Q3646">
        <v>15.342000000000001</v>
      </c>
    </row>
    <row r="3647" spans="1:17" x14ac:dyDescent="0.2">
      <c r="A3647" s="30" t="str">
        <f>IF(C3647&amp;G3647&amp;D3647&lt;&gt;'Funnel setup'!$K$3&amp;'Funnel setup'!$K$4&amp;'Funnel setup'!$K$5,".",IF(A3646=".",1,A3646+1))</f>
        <v>.</v>
      </c>
      <c r="B3647" s="431" t="str">
        <f t="shared" si="56"/>
        <v>Knee Replacement PrimaryCCG of GP PracticeNHS BIRMINGHAM CROSSCITY CCG (13P)EQ VAS</v>
      </c>
      <c r="C3647" t="s">
        <v>249</v>
      </c>
      <c r="D3647" t="s">
        <v>87</v>
      </c>
      <c r="E3647" t="s">
        <v>598</v>
      </c>
      <c r="F3647" t="s">
        <v>599</v>
      </c>
      <c r="G3647" t="s">
        <v>179</v>
      </c>
      <c r="H3647">
        <v>337</v>
      </c>
      <c r="I3647">
        <v>66.122</v>
      </c>
      <c r="J3647">
        <v>72.777000000000001</v>
      </c>
      <c r="K3647">
        <v>6.6559999999999997</v>
      </c>
      <c r="L3647">
        <v>208</v>
      </c>
      <c r="M3647">
        <v>33</v>
      </c>
      <c r="N3647">
        <v>96</v>
      </c>
      <c r="O3647">
        <v>74.975999999999999</v>
      </c>
      <c r="P3647">
        <v>6.3177378839999996</v>
      </c>
      <c r="Q3647">
        <v>17.329000000000001</v>
      </c>
    </row>
    <row r="3648" spans="1:17" x14ac:dyDescent="0.2">
      <c r="A3648" s="30" t="str">
        <f>IF(C3648&amp;G3648&amp;D3648&lt;&gt;'Funnel setup'!$K$3&amp;'Funnel setup'!$K$4&amp;'Funnel setup'!$K$5,".",IF(A3647=".",1,A3647+1))</f>
        <v>.</v>
      </c>
      <c r="B3648" s="431" t="str">
        <f t="shared" si="56"/>
        <v>Knee Replacement PrimaryCCG of GP PracticeNHS BIRMINGHAM SOUTH AND CENTRAL CCG (04X)EQ VAS</v>
      </c>
      <c r="C3648" t="s">
        <v>249</v>
      </c>
      <c r="D3648" t="s">
        <v>87</v>
      </c>
      <c r="E3648" t="s">
        <v>601</v>
      </c>
      <c r="F3648" t="s">
        <v>602</v>
      </c>
      <c r="G3648" t="s">
        <v>179</v>
      </c>
      <c r="H3648">
        <v>64</v>
      </c>
      <c r="I3648">
        <v>68.468999999999994</v>
      </c>
      <c r="J3648">
        <v>77.343999999999994</v>
      </c>
      <c r="K3648">
        <v>8.875</v>
      </c>
      <c r="L3648">
        <v>37</v>
      </c>
      <c r="M3648">
        <v>10</v>
      </c>
      <c r="N3648">
        <v>17</v>
      </c>
      <c r="O3648">
        <v>79.686000000000007</v>
      </c>
      <c r="P3648">
        <v>11.027758779999999</v>
      </c>
      <c r="Q3648">
        <v>15.688000000000001</v>
      </c>
    </row>
    <row r="3649" spans="1:17" x14ac:dyDescent="0.2">
      <c r="A3649" s="30" t="str">
        <f>IF(C3649&amp;G3649&amp;D3649&lt;&gt;'Funnel setup'!$K$3&amp;'Funnel setup'!$K$4&amp;'Funnel setup'!$K$5,".",IF(A3648=".",1,A3648+1))</f>
        <v>.</v>
      </c>
      <c r="B3649" s="431" t="str">
        <f t="shared" si="56"/>
        <v>Knee Replacement PrimaryCCG of GP PracticeNHS BLACKBURN WITH DARWEN CCG (00Q)EQ VAS</v>
      </c>
      <c r="C3649" t="s">
        <v>249</v>
      </c>
      <c r="D3649" t="s">
        <v>87</v>
      </c>
      <c r="E3649" t="s">
        <v>604</v>
      </c>
      <c r="F3649" t="s">
        <v>605</v>
      </c>
      <c r="G3649" t="s">
        <v>179</v>
      </c>
      <c r="H3649">
        <v>80</v>
      </c>
      <c r="I3649">
        <v>67.986999999999995</v>
      </c>
      <c r="J3649">
        <v>75</v>
      </c>
      <c r="K3649">
        <v>7.0129999999999999</v>
      </c>
      <c r="L3649">
        <v>44</v>
      </c>
      <c r="M3649">
        <v>16</v>
      </c>
      <c r="N3649">
        <v>20</v>
      </c>
      <c r="O3649">
        <v>77.052999999999997</v>
      </c>
      <c r="P3649">
        <v>8.3948089750000001</v>
      </c>
      <c r="Q3649">
        <v>16.132999999999999</v>
      </c>
    </row>
    <row r="3650" spans="1:17" x14ac:dyDescent="0.2">
      <c r="A3650" s="30" t="str">
        <f>IF(C3650&amp;G3650&amp;D3650&lt;&gt;'Funnel setup'!$K$3&amp;'Funnel setup'!$K$4&amp;'Funnel setup'!$K$5,".",IF(A3649=".",1,A3649+1))</f>
        <v>.</v>
      </c>
      <c r="B3650" s="431" t="str">
        <f t="shared" si="56"/>
        <v>Knee Replacement PrimaryCCG of GP PracticeNHS BLACKPOOL CCG (00R)EQ VAS</v>
      </c>
      <c r="C3650" t="s">
        <v>249</v>
      </c>
      <c r="D3650" t="s">
        <v>87</v>
      </c>
      <c r="E3650" t="s">
        <v>607</v>
      </c>
      <c r="F3650" t="s">
        <v>608</v>
      </c>
      <c r="G3650" t="s">
        <v>179</v>
      </c>
      <c r="H3650">
        <v>41</v>
      </c>
      <c r="I3650">
        <v>66.268000000000001</v>
      </c>
      <c r="J3650">
        <v>71.659000000000006</v>
      </c>
      <c r="K3650">
        <v>5.39</v>
      </c>
      <c r="L3650">
        <v>20</v>
      </c>
      <c r="M3650">
        <v>5</v>
      </c>
      <c r="N3650">
        <v>16</v>
      </c>
      <c r="O3650">
        <v>72.507999999999996</v>
      </c>
      <c r="P3650">
        <v>3.8498079999999999</v>
      </c>
      <c r="Q3650">
        <v>15.082000000000001</v>
      </c>
    </row>
    <row r="3651" spans="1:17" x14ac:dyDescent="0.2">
      <c r="A3651" s="30" t="str">
        <f>IF(C3651&amp;G3651&amp;D3651&lt;&gt;'Funnel setup'!$K$3&amp;'Funnel setup'!$K$4&amp;'Funnel setup'!$K$5,".",IF(A3650=".",1,A3650+1))</f>
        <v>.</v>
      </c>
      <c r="B3651" s="431" t="str">
        <f t="shared" ref="B3651:B3714" si="57">C3651&amp;D3651&amp;F3651&amp;G3651</f>
        <v>Knee Replacement PrimaryCCG of GP PracticeNHS BOLTON CCG (00T)EQ VAS</v>
      </c>
      <c r="C3651" t="s">
        <v>249</v>
      </c>
      <c r="D3651" t="s">
        <v>87</v>
      </c>
      <c r="E3651" t="s">
        <v>683</v>
      </c>
      <c r="F3651" t="s">
        <v>684</v>
      </c>
      <c r="G3651" t="s">
        <v>179</v>
      </c>
      <c r="H3651">
        <v>130</v>
      </c>
      <c r="I3651">
        <v>64.707999999999998</v>
      </c>
      <c r="J3651">
        <v>72.138000000000005</v>
      </c>
      <c r="K3651">
        <v>7.431</v>
      </c>
      <c r="L3651">
        <v>78</v>
      </c>
      <c r="M3651">
        <v>16</v>
      </c>
      <c r="N3651">
        <v>36</v>
      </c>
      <c r="O3651">
        <v>74.441000000000003</v>
      </c>
      <c r="P3651">
        <v>5.7829234779999998</v>
      </c>
      <c r="Q3651">
        <v>14.975</v>
      </c>
    </row>
    <row r="3652" spans="1:17" x14ac:dyDescent="0.2">
      <c r="A3652" s="30" t="str">
        <f>IF(C3652&amp;G3652&amp;D3652&lt;&gt;'Funnel setup'!$K$3&amp;'Funnel setup'!$K$4&amp;'Funnel setup'!$K$5,".",IF(A3651=".",1,A3651+1))</f>
        <v>.</v>
      </c>
      <c r="B3652" s="431" t="str">
        <f t="shared" si="57"/>
        <v>Knee Replacement PrimaryCCG of GP PracticeNHS BRACKNELL AND ASCOT CCG (10G)EQ VAS</v>
      </c>
      <c r="C3652" t="s">
        <v>249</v>
      </c>
      <c r="D3652" t="s">
        <v>87</v>
      </c>
      <c r="E3652" t="s">
        <v>686</v>
      </c>
      <c r="F3652" t="s">
        <v>687</v>
      </c>
      <c r="G3652" t="s">
        <v>179</v>
      </c>
      <c r="H3652">
        <v>74</v>
      </c>
      <c r="I3652">
        <v>68.823999999999998</v>
      </c>
      <c r="J3652">
        <v>73.040999999999997</v>
      </c>
      <c r="K3652">
        <v>4.2160000000000002</v>
      </c>
      <c r="L3652">
        <v>41</v>
      </c>
      <c r="M3652">
        <v>9</v>
      </c>
      <c r="N3652">
        <v>24</v>
      </c>
      <c r="O3652">
        <v>73.230999999999995</v>
      </c>
      <c r="P3652">
        <v>4.572481282</v>
      </c>
      <c r="Q3652">
        <v>14.491</v>
      </c>
    </row>
    <row r="3653" spans="1:17" x14ac:dyDescent="0.2">
      <c r="A3653" s="30" t="str">
        <f>IF(C3653&amp;G3653&amp;D3653&lt;&gt;'Funnel setup'!$K$3&amp;'Funnel setup'!$K$4&amp;'Funnel setup'!$K$5,".",IF(A3652=".",1,A3652+1))</f>
        <v>.</v>
      </c>
      <c r="B3653" s="431" t="str">
        <f t="shared" si="57"/>
        <v>Knee Replacement PrimaryCCG of GP PracticeNHS BRADFORD CITY CCG (02W)EQ VAS</v>
      </c>
      <c r="C3653" t="s">
        <v>249</v>
      </c>
      <c r="D3653" t="s">
        <v>87</v>
      </c>
      <c r="E3653" t="s">
        <v>689</v>
      </c>
      <c r="F3653" t="s">
        <v>690</v>
      </c>
      <c r="G3653" t="s">
        <v>179</v>
      </c>
      <c r="H3653">
        <v>25</v>
      </c>
      <c r="I3653">
        <v>53.68</v>
      </c>
      <c r="J3653">
        <v>67.48</v>
      </c>
      <c r="K3653">
        <v>13.8</v>
      </c>
      <c r="L3653">
        <v>15</v>
      </c>
      <c r="M3653">
        <v>2</v>
      </c>
      <c r="N3653">
        <v>8</v>
      </c>
      <c r="O3653" t="s">
        <v>53</v>
      </c>
      <c r="P3653" t="s">
        <v>53</v>
      </c>
      <c r="Q3653" t="s">
        <v>53</v>
      </c>
    </row>
    <row r="3654" spans="1:17" x14ac:dyDescent="0.2">
      <c r="A3654" s="30" t="str">
        <f>IF(C3654&amp;G3654&amp;D3654&lt;&gt;'Funnel setup'!$K$3&amp;'Funnel setup'!$K$4&amp;'Funnel setup'!$K$5,".",IF(A3653=".",1,A3653+1))</f>
        <v>.</v>
      </c>
      <c r="B3654" s="431" t="str">
        <f t="shared" si="57"/>
        <v>Knee Replacement PrimaryCCG of GP PracticeNHS BRADFORD DISTRICTS CCG (02R)EQ VAS</v>
      </c>
      <c r="C3654" t="s">
        <v>249</v>
      </c>
      <c r="D3654" t="s">
        <v>87</v>
      </c>
      <c r="E3654" t="s">
        <v>692</v>
      </c>
      <c r="F3654" t="s">
        <v>693</v>
      </c>
      <c r="G3654" t="s">
        <v>179</v>
      </c>
      <c r="H3654">
        <v>153</v>
      </c>
      <c r="I3654">
        <v>66.477000000000004</v>
      </c>
      <c r="J3654">
        <v>72.078000000000003</v>
      </c>
      <c r="K3654">
        <v>5.601</v>
      </c>
      <c r="L3654">
        <v>89</v>
      </c>
      <c r="M3654">
        <v>17</v>
      </c>
      <c r="N3654">
        <v>47</v>
      </c>
      <c r="O3654">
        <v>73.956000000000003</v>
      </c>
      <c r="P3654">
        <v>5.2977261569999996</v>
      </c>
      <c r="Q3654">
        <v>16.899999999999999</v>
      </c>
    </row>
    <row r="3655" spans="1:17" x14ac:dyDescent="0.2">
      <c r="A3655" s="30" t="str">
        <f>IF(C3655&amp;G3655&amp;D3655&lt;&gt;'Funnel setup'!$K$3&amp;'Funnel setup'!$K$4&amp;'Funnel setup'!$K$5,".",IF(A3654=".",1,A3654+1))</f>
        <v>.</v>
      </c>
      <c r="B3655" s="431" t="str">
        <f t="shared" si="57"/>
        <v>Knee Replacement PrimaryCCG of GP PracticeNHS BRENT CCG (07P)EQ VAS</v>
      </c>
      <c r="C3655" t="s">
        <v>249</v>
      </c>
      <c r="D3655" t="s">
        <v>87</v>
      </c>
      <c r="E3655" t="s">
        <v>695</v>
      </c>
      <c r="F3655" t="s">
        <v>696</v>
      </c>
      <c r="G3655" t="s">
        <v>179</v>
      </c>
      <c r="H3655">
        <v>84</v>
      </c>
      <c r="I3655">
        <v>60.69</v>
      </c>
      <c r="J3655">
        <v>66.655000000000001</v>
      </c>
      <c r="K3655">
        <v>5.9640000000000004</v>
      </c>
      <c r="L3655">
        <v>44</v>
      </c>
      <c r="M3655">
        <v>11</v>
      </c>
      <c r="N3655">
        <v>29</v>
      </c>
      <c r="O3655">
        <v>72.411000000000001</v>
      </c>
      <c r="P3655">
        <v>3.7527200710000002</v>
      </c>
      <c r="Q3655">
        <v>17.433</v>
      </c>
    </row>
    <row r="3656" spans="1:17" x14ac:dyDescent="0.2">
      <c r="A3656" s="30" t="str">
        <f>IF(C3656&amp;G3656&amp;D3656&lt;&gt;'Funnel setup'!$K$3&amp;'Funnel setup'!$K$4&amp;'Funnel setup'!$K$5,".",IF(A3655=".",1,A3655+1))</f>
        <v>.</v>
      </c>
      <c r="B3656" s="431" t="str">
        <f t="shared" si="57"/>
        <v>Knee Replacement PrimaryCCG of GP PracticeNHS BRIGHTON AND HOVE CCG (09D)EQ VAS</v>
      </c>
      <c r="C3656" t="s">
        <v>249</v>
      </c>
      <c r="D3656" t="s">
        <v>87</v>
      </c>
      <c r="E3656" t="s">
        <v>698</v>
      </c>
      <c r="F3656" t="s">
        <v>699</v>
      </c>
      <c r="G3656" t="s">
        <v>179</v>
      </c>
      <c r="H3656">
        <v>147</v>
      </c>
      <c r="I3656">
        <v>68.075000000000003</v>
      </c>
      <c r="J3656">
        <v>71.319999999999993</v>
      </c>
      <c r="K3656">
        <v>3.2450000000000001</v>
      </c>
      <c r="L3656">
        <v>81</v>
      </c>
      <c r="M3656">
        <v>14</v>
      </c>
      <c r="N3656">
        <v>52</v>
      </c>
      <c r="O3656">
        <v>72.188000000000002</v>
      </c>
      <c r="P3656">
        <v>3.5301528260000001</v>
      </c>
      <c r="Q3656">
        <v>17.010999999999999</v>
      </c>
    </row>
    <row r="3657" spans="1:17" x14ac:dyDescent="0.2">
      <c r="A3657" s="30" t="str">
        <f>IF(C3657&amp;G3657&amp;D3657&lt;&gt;'Funnel setup'!$K$3&amp;'Funnel setup'!$K$4&amp;'Funnel setup'!$K$5,".",IF(A3656=".",1,A3656+1))</f>
        <v>.</v>
      </c>
      <c r="B3657" s="431" t="str">
        <f t="shared" si="57"/>
        <v>Knee Replacement PrimaryCCG of GP PracticeNHS BRISTOL CCG (11H)EQ VAS</v>
      </c>
      <c r="C3657" t="s">
        <v>249</v>
      </c>
      <c r="D3657" t="s">
        <v>87</v>
      </c>
      <c r="E3657" t="s">
        <v>701</v>
      </c>
      <c r="F3657" t="s">
        <v>702</v>
      </c>
      <c r="G3657" t="s">
        <v>179</v>
      </c>
      <c r="H3657">
        <v>201</v>
      </c>
      <c r="I3657">
        <v>69.647000000000006</v>
      </c>
      <c r="J3657">
        <v>74.756</v>
      </c>
      <c r="K3657">
        <v>5.109</v>
      </c>
      <c r="L3657">
        <v>101</v>
      </c>
      <c r="M3657">
        <v>28</v>
      </c>
      <c r="N3657">
        <v>72</v>
      </c>
      <c r="O3657">
        <v>74.320999999999998</v>
      </c>
      <c r="P3657">
        <v>5.6629519879999997</v>
      </c>
      <c r="Q3657">
        <v>14.17</v>
      </c>
    </row>
    <row r="3658" spans="1:17" x14ac:dyDescent="0.2">
      <c r="A3658" s="30" t="str">
        <f>IF(C3658&amp;G3658&amp;D3658&lt;&gt;'Funnel setup'!$K$3&amp;'Funnel setup'!$K$4&amp;'Funnel setup'!$K$5,".",IF(A3657=".",1,A3657+1))</f>
        <v>.</v>
      </c>
      <c r="B3658" s="431" t="str">
        <f t="shared" si="57"/>
        <v>Knee Replacement PrimaryCCG of GP PracticeNHS BROMLEY CCG (07Q)EQ VAS</v>
      </c>
      <c r="C3658" t="s">
        <v>249</v>
      </c>
      <c r="D3658" t="s">
        <v>87</v>
      </c>
      <c r="E3658" t="s">
        <v>704</v>
      </c>
      <c r="F3658" t="s">
        <v>705</v>
      </c>
      <c r="G3658" t="s">
        <v>179</v>
      </c>
      <c r="H3658">
        <v>109</v>
      </c>
      <c r="I3658">
        <v>70.037000000000006</v>
      </c>
      <c r="J3658">
        <v>76.513999999999996</v>
      </c>
      <c r="K3658">
        <v>6.4770000000000003</v>
      </c>
      <c r="L3658">
        <v>58</v>
      </c>
      <c r="M3658">
        <v>14</v>
      </c>
      <c r="N3658">
        <v>37</v>
      </c>
      <c r="O3658">
        <v>74.299000000000007</v>
      </c>
      <c r="P3658">
        <v>5.6410631359999996</v>
      </c>
      <c r="Q3658">
        <v>13.569000000000001</v>
      </c>
    </row>
    <row r="3659" spans="1:17" x14ac:dyDescent="0.2">
      <c r="A3659" s="30" t="str">
        <f>IF(C3659&amp;G3659&amp;D3659&lt;&gt;'Funnel setup'!$K$3&amp;'Funnel setup'!$K$4&amp;'Funnel setup'!$K$5,".",IF(A3658=".",1,A3658+1))</f>
        <v>.</v>
      </c>
      <c r="B3659" s="431" t="str">
        <f t="shared" si="57"/>
        <v>Knee Replacement PrimaryCCG of GP PracticeNHS BURY CCG (00V)EQ VAS</v>
      </c>
      <c r="C3659" t="s">
        <v>249</v>
      </c>
      <c r="D3659" t="s">
        <v>87</v>
      </c>
      <c r="E3659" t="s">
        <v>707</v>
      </c>
      <c r="F3659" t="s">
        <v>708</v>
      </c>
      <c r="G3659" t="s">
        <v>179</v>
      </c>
      <c r="H3659">
        <v>88</v>
      </c>
      <c r="I3659">
        <v>61.966000000000001</v>
      </c>
      <c r="J3659">
        <v>68.864000000000004</v>
      </c>
      <c r="K3659">
        <v>6.8979999999999997</v>
      </c>
      <c r="L3659">
        <v>43</v>
      </c>
      <c r="M3659">
        <v>12</v>
      </c>
      <c r="N3659">
        <v>33</v>
      </c>
      <c r="O3659">
        <v>72.257000000000005</v>
      </c>
      <c r="P3659">
        <v>3.5987238879999999</v>
      </c>
      <c r="Q3659">
        <v>16.201000000000001</v>
      </c>
    </row>
    <row r="3660" spans="1:17" x14ac:dyDescent="0.2">
      <c r="A3660" s="30" t="str">
        <f>IF(C3660&amp;G3660&amp;D3660&lt;&gt;'Funnel setup'!$K$3&amp;'Funnel setup'!$K$4&amp;'Funnel setup'!$K$5,".",IF(A3659=".",1,A3659+1))</f>
        <v>.</v>
      </c>
      <c r="B3660" s="431" t="str">
        <f t="shared" si="57"/>
        <v>Knee Replacement PrimaryCCG of GP PracticeNHS CALDERDALE CCG (02T)EQ VAS</v>
      </c>
      <c r="C3660" t="s">
        <v>249</v>
      </c>
      <c r="D3660" t="s">
        <v>87</v>
      </c>
      <c r="E3660" t="s">
        <v>710</v>
      </c>
      <c r="F3660" t="s">
        <v>711</v>
      </c>
      <c r="G3660" t="s">
        <v>179</v>
      </c>
      <c r="H3660">
        <v>156</v>
      </c>
      <c r="I3660">
        <v>68.962000000000003</v>
      </c>
      <c r="J3660">
        <v>76.628</v>
      </c>
      <c r="K3660">
        <v>7.6669999999999998</v>
      </c>
      <c r="L3660">
        <v>101</v>
      </c>
      <c r="M3660">
        <v>18</v>
      </c>
      <c r="N3660">
        <v>37</v>
      </c>
      <c r="O3660">
        <v>76.373000000000005</v>
      </c>
      <c r="P3660">
        <v>7.7151326019999997</v>
      </c>
      <c r="Q3660">
        <v>13.272</v>
      </c>
    </row>
    <row r="3661" spans="1:17" x14ac:dyDescent="0.2">
      <c r="A3661" s="30" t="str">
        <f>IF(C3661&amp;G3661&amp;D3661&lt;&gt;'Funnel setup'!$K$3&amp;'Funnel setup'!$K$4&amp;'Funnel setup'!$K$5,".",IF(A3660=".",1,A3660+1))</f>
        <v>.</v>
      </c>
      <c r="B3661" s="431" t="str">
        <f t="shared" si="57"/>
        <v>Knee Replacement PrimaryCCG of GP PracticeNHS CAMBRIDGESHIRE AND PETERBOROUGH CCG (06H)EQ VAS</v>
      </c>
      <c r="C3661" t="s">
        <v>249</v>
      </c>
      <c r="D3661" t="s">
        <v>87</v>
      </c>
      <c r="E3661" t="s">
        <v>713</v>
      </c>
      <c r="F3661" t="s">
        <v>714</v>
      </c>
      <c r="G3661" t="s">
        <v>179</v>
      </c>
      <c r="H3661">
        <v>520</v>
      </c>
      <c r="I3661">
        <v>68.114999999999995</v>
      </c>
      <c r="J3661">
        <v>75.245999999999995</v>
      </c>
      <c r="K3661">
        <v>7.1310000000000002</v>
      </c>
      <c r="L3661">
        <v>314</v>
      </c>
      <c r="M3661">
        <v>57</v>
      </c>
      <c r="N3661">
        <v>149</v>
      </c>
      <c r="O3661">
        <v>75.356999999999999</v>
      </c>
      <c r="P3661">
        <v>6.6989631630000002</v>
      </c>
      <c r="Q3661">
        <v>15.058999999999999</v>
      </c>
    </row>
    <row r="3662" spans="1:17" x14ac:dyDescent="0.2">
      <c r="A3662" s="30" t="str">
        <f>IF(C3662&amp;G3662&amp;D3662&lt;&gt;'Funnel setup'!$K$3&amp;'Funnel setup'!$K$4&amp;'Funnel setup'!$K$5,".",IF(A3661=".",1,A3661+1))</f>
        <v>.</v>
      </c>
      <c r="B3662" s="431" t="str">
        <f t="shared" si="57"/>
        <v>Knee Replacement PrimaryCCG of GP PracticeNHS CAMDEN CCG (07R)EQ VAS</v>
      </c>
      <c r="C3662" t="s">
        <v>249</v>
      </c>
      <c r="D3662" t="s">
        <v>87</v>
      </c>
      <c r="E3662" t="s">
        <v>716</v>
      </c>
      <c r="F3662" t="s">
        <v>717</v>
      </c>
      <c r="G3662" t="s">
        <v>179</v>
      </c>
      <c r="H3662">
        <v>24</v>
      </c>
      <c r="I3662">
        <v>64.207999999999998</v>
      </c>
      <c r="J3662">
        <v>72.082999999999998</v>
      </c>
      <c r="K3662">
        <v>7.875</v>
      </c>
      <c r="L3662">
        <v>14</v>
      </c>
      <c r="M3662">
        <v>2</v>
      </c>
      <c r="N3662">
        <v>8</v>
      </c>
      <c r="O3662" t="s">
        <v>53</v>
      </c>
      <c r="P3662" t="s">
        <v>53</v>
      </c>
      <c r="Q3662" t="s">
        <v>53</v>
      </c>
    </row>
    <row r="3663" spans="1:17" x14ac:dyDescent="0.2">
      <c r="A3663" s="30" t="str">
        <f>IF(C3663&amp;G3663&amp;D3663&lt;&gt;'Funnel setup'!$K$3&amp;'Funnel setup'!$K$4&amp;'Funnel setup'!$K$5,".",IF(A3662=".",1,A3662+1))</f>
        <v>.</v>
      </c>
      <c r="B3663" s="431" t="str">
        <f t="shared" si="57"/>
        <v>Knee Replacement PrimaryCCG of GP PracticeNHS CANNOCK CHASE CCG (04Y)EQ VAS</v>
      </c>
      <c r="C3663" t="s">
        <v>249</v>
      </c>
      <c r="D3663" t="s">
        <v>87</v>
      </c>
      <c r="E3663" t="s">
        <v>719</v>
      </c>
      <c r="F3663" t="s">
        <v>720</v>
      </c>
      <c r="G3663" t="s">
        <v>179</v>
      </c>
      <c r="H3663">
        <v>154</v>
      </c>
      <c r="I3663">
        <v>69.480999999999995</v>
      </c>
      <c r="J3663">
        <v>72.694999999999993</v>
      </c>
      <c r="K3663">
        <v>3.214</v>
      </c>
      <c r="L3663">
        <v>78</v>
      </c>
      <c r="M3663">
        <v>20</v>
      </c>
      <c r="N3663">
        <v>56</v>
      </c>
      <c r="O3663">
        <v>73.021000000000001</v>
      </c>
      <c r="P3663">
        <v>4.3622881869999999</v>
      </c>
      <c r="Q3663">
        <v>16.591999999999999</v>
      </c>
    </row>
    <row r="3664" spans="1:17" x14ac:dyDescent="0.2">
      <c r="A3664" s="30" t="str">
        <f>IF(C3664&amp;G3664&amp;D3664&lt;&gt;'Funnel setup'!$K$3&amp;'Funnel setup'!$K$4&amp;'Funnel setup'!$K$5,".",IF(A3663=".",1,A3663+1))</f>
        <v>.</v>
      </c>
      <c r="B3664" s="431" t="str">
        <f t="shared" si="57"/>
        <v>Knee Replacement PrimaryCCG of GP PracticeNHS CANTERBURY AND COASTAL CCG (09E)EQ VAS</v>
      </c>
      <c r="C3664" t="s">
        <v>249</v>
      </c>
      <c r="D3664" t="s">
        <v>87</v>
      </c>
      <c r="E3664" t="s">
        <v>722</v>
      </c>
      <c r="F3664" t="s">
        <v>723</v>
      </c>
      <c r="G3664" t="s">
        <v>179</v>
      </c>
      <c r="H3664">
        <v>134</v>
      </c>
      <c r="I3664">
        <v>72.97</v>
      </c>
      <c r="J3664">
        <v>74.671999999999997</v>
      </c>
      <c r="K3664">
        <v>1.7010000000000001</v>
      </c>
      <c r="L3664">
        <v>65</v>
      </c>
      <c r="M3664">
        <v>22</v>
      </c>
      <c r="N3664">
        <v>47</v>
      </c>
      <c r="O3664">
        <v>72.7</v>
      </c>
      <c r="P3664">
        <v>4.0415061559999996</v>
      </c>
      <c r="Q3664">
        <v>14.843</v>
      </c>
    </row>
    <row r="3665" spans="1:17" x14ac:dyDescent="0.2">
      <c r="A3665" s="30" t="str">
        <f>IF(C3665&amp;G3665&amp;D3665&lt;&gt;'Funnel setup'!$K$3&amp;'Funnel setup'!$K$4&amp;'Funnel setup'!$K$5,".",IF(A3664=".",1,A3664+1))</f>
        <v>.</v>
      </c>
      <c r="B3665" s="431" t="str">
        <f t="shared" si="57"/>
        <v>Knee Replacement PrimaryCCG of GP PracticeNHS CASTLE POINT AND ROCHFORD CCG (99F)EQ VAS</v>
      </c>
      <c r="C3665" t="s">
        <v>249</v>
      </c>
      <c r="D3665" t="s">
        <v>87</v>
      </c>
      <c r="E3665" t="s">
        <v>725</v>
      </c>
      <c r="F3665" t="s">
        <v>726</v>
      </c>
      <c r="G3665" t="s">
        <v>179</v>
      </c>
      <c r="H3665">
        <v>153</v>
      </c>
      <c r="I3665">
        <v>70.275000000000006</v>
      </c>
      <c r="J3665">
        <v>74.242000000000004</v>
      </c>
      <c r="K3665">
        <v>3.9670000000000001</v>
      </c>
      <c r="L3665">
        <v>80</v>
      </c>
      <c r="M3665">
        <v>17</v>
      </c>
      <c r="N3665">
        <v>56</v>
      </c>
      <c r="O3665">
        <v>73.013000000000005</v>
      </c>
      <c r="P3665">
        <v>4.3547147229999998</v>
      </c>
      <c r="Q3665">
        <v>16.387</v>
      </c>
    </row>
    <row r="3666" spans="1:17" x14ac:dyDescent="0.2">
      <c r="A3666" s="30" t="str">
        <f>IF(C3666&amp;G3666&amp;D3666&lt;&gt;'Funnel setup'!$K$3&amp;'Funnel setup'!$K$4&amp;'Funnel setup'!$K$5,".",IF(A3665=".",1,A3665+1))</f>
        <v>.</v>
      </c>
      <c r="B3666" s="431" t="str">
        <f t="shared" si="57"/>
        <v>Knee Replacement PrimaryCCG of GP PracticeNHS CENTRAL LONDON (WESTMINSTER) CCG (09A)EQ VAS</v>
      </c>
      <c r="C3666" t="s">
        <v>249</v>
      </c>
      <c r="D3666" t="s">
        <v>87</v>
      </c>
      <c r="E3666" t="s">
        <v>728</v>
      </c>
      <c r="F3666" t="s">
        <v>729</v>
      </c>
      <c r="G3666" t="s">
        <v>179</v>
      </c>
      <c r="H3666">
        <v>16</v>
      </c>
      <c r="I3666">
        <v>58.5</v>
      </c>
      <c r="J3666">
        <v>75.313000000000002</v>
      </c>
      <c r="K3666">
        <v>16.812999999999999</v>
      </c>
      <c r="L3666">
        <v>10</v>
      </c>
      <c r="M3666">
        <v>3</v>
      </c>
      <c r="N3666">
        <v>3</v>
      </c>
      <c r="O3666" t="s">
        <v>53</v>
      </c>
      <c r="P3666" t="s">
        <v>53</v>
      </c>
      <c r="Q3666" t="s">
        <v>53</v>
      </c>
    </row>
    <row r="3667" spans="1:17" x14ac:dyDescent="0.2">
      <c r="A3667" s="30" t="str">
        <f>IF(C3667&amp;G3667&amp;D3667&lt;&gt;'Funnel setup'!$K$3&amp;'Funnel setup'!$K$4&amp;'Funnel setup'!$K$5,".",IF(A3666=".",1,A3666+1))</f>
        <v>.</v>
      </c>
      <c r="B3667" s="431" t="str">
        <f t="shared" si="57"/>
        <v>Knee Replacement PrimaryCCG of GP PracticeNHS CENTRAL MANCHESTER CCG (00W)EQ VAS</v>
      </c>
      <c r="C3667" t="s">
        <v>249</v>
      </c>
      <c r="D3667" t="s">
        <v>87</v>
      </c>
      <c r="E3667" t="s">
        <v>731</v>
      </c>
      <c r="F3667" t="s">
        <v>732</v>
      </c>
      <c r="G3667" t="s">
        <v>179</v>
      </c>
      <c r="H3667">
        <v>23</v>
      </c>
      <c r="I3667">
        <v>63.695999999999998</v>
      </c>
      <c r="J3667">
        <v>71.216999999999999</v>
      </c>
      <c r="K3667">
        <v>7.5220000000000002</v>
      </c>
      <c r="L3667">
        <v>13</v>
      </c>
      <c r="M3667">
        <v>3</v>
      </c>
      <c r="N3667">
        <v>7</v>
      </c>
      <c r="O3667" t="s">
        <v>53</v>
      </c>
      <c r="P3667" t="s">
        <v>53</v>
      </c>
      <c r="Q3667" t="s">
        <v>53</v>
      </c>
    </row>
    <row r="3668" spans="1:17" x14ac:dyDescent="0.2">
      <c r="A3668" s="30" t="str">
        <f>IF(C3668&amp;G3668&amp;D3668&lt;&gt;'Funnel setup'!$K$3&amp;'Funnel setup'!$K$4&amp;'Funnel setup'!$K$5,".",IF(A3667=".",1,A3667+1))</f>
        <v>.</v>
      </c>
      <c r="B3668" s="431" t="str">
        <f t="shared" si="57"/>
        <v>Knee Replacement PrimaryCCG of GP PracticeNHS CHILTERN CCG (10H)EQ VAS</v>
      </c>
      <c r="C3668" t="s">
        <v>249</v>
      </c>
      <c r="D3668" t="s">
        <v>87</v>
      </c>
      <c r="E3668" t="s">
        <v>734</v>
      </c>
      <c r="F3668" t="s">
        <v>735</v>
      </c>
      <c r="G3668" t="s">
        <v>179</v>
      </c>
      <c r="H3668">
        <v>171</v>
      </c>
      <c r="I3668">
        <v>70.977000000000004</v>
      </c>
      <c r="J3668">
        <v>75.959000000000003</v>
      </c>
      <c r="K3668">
        <v>4.9820000000000002</v>
      </c>
      <c r="L3668">
        <v>90</v>
      </c>
      <c r="M3668">
        <v>32</v>
      </c>
      <c r="N3668">
        <v>49</v>
      </c>
      <c r="O3668">
        <v>73.98</v>
      </c>
      <c r="P3668">
        <v>5.3213647010000003</v>
      </c>
      <c r="Q3668">
        <v>14.782</v>
      </c>
    </row>
    <row r="3669" spans="1:17" x14ac:dyDescent="0.2">
      <c r="A3669" s="30" t="str">
        <f>IF(C3669&amp;G3669&amp;D3669&lt;&gt;'Funnel setup'!$K$3&amp;'Funnel setup'!$K$4&amp;'Funnel setup'!$K$5,".",IF(A3668=".",1,A3668+1))</f>
        <v>.</v>
      </c>
      <c r="B3669" s="431" t="str">
        <f t="shared" si="57"/>
        <v>Knee Replacement PrimaryCCG of GP PracticeNHS CHORLEY AND SOUTH RIBBLE CCG (00X)EQ VAS</v>
      </c>
      <c r="C3669" t="s">
        <v>249</v>
      </c>
      <c r="D3669" t="s">
        <v>87</v>
      </c>
      <c r="E3669" t="s">
        <v>737</v>
      </c>
      <c r="F3669" t="s">
        <v>738</v>
      </c>
      <c r="G3669" t="s">
        <v>179</v>
      </c>
      <c r="H3669">
        <v>193</v>
      </c>
      <c r="I3669">
        <v>69.605999999999995</v>
      </c>
      <c r="J3669">
        <v>74.626999999999995</v>
      </c>
      <c r="K3669">
        <v>5.0209999999999999</v>
      </c>
      <c r="L3669">
        <v>107</v>
      </c>
      <c r="M3669">
        <v>29</v>
      </c>
      <c r="N3669">
        <v>57</v>
      </c>
      <c r="O3669">
        <v>74.22</v>
      </c>
      <c r="P3669">
        <v>5.561881069</v>
      </c>
      <c r="Q3669">
        <v>15.098000000000001</v>
      </c>
    </row>
    <row r="3670" spans="1:17" x14ac:dyDescent="0.2">
      <c r="A3670" s="30" t="str">
        <f>IF(C3670&amp;G3670&amp;D3670&lt;&gt;'Funnel setup'!$K$3&amp;'Funnel setup'!$K$4&amp;'Funnel setup'!$K$5,".",IF(A3669=".",1,A3669+1))</f>
        <v>.</v>
      </c>
      <c r="B3670" s="431" t="str">
        <f t="shared" si="57"/>
        <v>Knee Replacement PrimaryCCG of GP PracticeNHS CITY AND HACKNEY CCG (07T)EQ VAS</v>
      </c>
      <c r="C3670" t="s">
        <v>249</v>
      </c>
      <c r="D3670" t="s">
        <v>87</v>
      </c>
      <c r="E3670" t="s">
        <v>740</v>
      </c>
      <c r="F3670" t="s">
        <v>741</v>
      </c>
      <c r="G3670" t="s">
        <v>179</v>
      </c>
      <c r="H3670">
        <v>46</v>
      </c>
      <c r="I3670">
        <v>59.283000000000001</v>
      </c>
      <c r="J3670">
        <v>64.216999999999999</v>
      </c>
      <c r="K3670">
        <v>4.9349999999999996</v>
      </c>
      <c r="L3670">
        <v>23</v>
      </c>
      <c r="M3670">
        <v>6</v>
      </c>
      <c r="N3670">
        <v>17</v>
      </c>
      <c r="O3670">
        <v>71.831999999999994</v>
      </c>
      <c r="P3670">
        <v>3.1736254289999999</v>
      </c>
      <c r="Q3670">
        <v>15.404</v>
      </c>
    </row>
    <row r="3671" spans="1:17" x14ac:dyDescent="0.2">
      <c r="A3671" s="30" t="str">
        <f>IF(C3671&amp;G3671&amp;D3671&lt;&gt;'Funnel setup'!$K$3&amp;'Funnel setup'!$K$4&amp;'Funnel setup'!$K$5,".",IF(A3670=".",1,A3670+1))</f>
        <v>.</v>
      </c>
      <c r="B3671" s="431" t="str">
        <f t="shared" si="57"/>
        <v>Knee Replacement PrimaryCCG of GP PracticeNHS COASTAL WEST SUSSEX CCG (09G)EQ VAS</v>
      </c>
      <c r="C3671" t="s">
        <v>249</v>
      </c>
      <c r="D3671" t="s">
        <v>87</v>
      </c>
      <c r="E3671" t="s">
        <v>743</v>
      </c>
      <c r="F3671" t="s">
        <v>744</v>
      </c>
      <c r="G3671" t="s">
        <v>179</v>
      </c>
      <c r="H3671">
        <v>397</v>
      </c>
      <c r="I3671">
        <v>70.183999999999997</v>
      </c>
      <c r="J3671">
        <v>74.673000000000002</v>
      </c>
      <c r="K3671">
        <v>4.4889999999999999</v>
      </c>
      <c r="L3671">
        <v>194</v>
      </c>
      <c r="M3671">
        <v>59</v>
      </c>
      <c r="N3671">
        <v>144</v>
      </c>
      <c r="O3671">
        <v>73.921000000000006</v>
      </c>
      <c r="P3671">
        <v>5.2621676500000003</v>
      </c>
      <c r="Q3671">
        <v>14.688000000000001</v>
      </c>
    </row>
    <row r="3672" spans="1:17" x14ac:dyDescent="0.2">
      <c r="A3672" s="30" t="str">
        <f>IF(C3672&amp;G3672&amp;D3672&lt;&gt;'Funnel setup'!$K$3&amp;'Funnel setup'!$K$4&amp;'Funnel setup'!$K$5,".",IF(A3671=".",1,A3671+1))</f>
        <v>.</v>
      </c>
      <c r="B3672" s="431" t="str">
        <f t="shared" si="57"/>
        <v>Knee Replacement PrimaryCCG of GP PracticeNHS CORBY CCG (03V)EQ VAS</v>
      </c>
      <c r="C3672" t="s">
        <v>249</v>
      </c>
      <c r="D3672" t="s">
        <v>87</v>
      </c>
      <c r="E3672" t="s">
        <v>746</v>
      </c>
      <c r="F3672" t="s">
        <v>747</v>
      </c>
      <c r="G3672" t="s">
        <v>179</v>
      </c>
      <c r="H3672">
        <v>32</v>
      </c>
      <c r="I3672">
        <v>61.155999999999999</v>
      </c>
      <c r="J3672">
        <v>70.906000000000006</v>
      </c>
      <c r="K3672">
        <v>9.75</v>
      </c>
      <c r="L3672">
        <v>17</v>
      </c>
      <c r="M3672">
        <v>8</v>
      </c>
      <c r="N3672">
        <v>7</v>
      </c>
      <c r="O3672">
        <v>76.412999999999997</v>
      </c>
      <c r="P3672">
        <v>7.7547961340000002</v>
      </c>
      <c r="Q3672">
        <v>14.717000000000001</v>
      </c>
    </row>
    <row r="3673" spans="1:17" x14ac:dyDescent="0.2">
      <c r="A3673" s="30" t="str">
        <f>IF(C3673&amp;G3673&amp;D3673&lt;&gt;'Funnel setup'!$K$3&amp;'Funnel setup'!$K$4&amp;'Funnel setup'!$K$5,".",IF(A3672=".",1,A3672+1))</f>
        <v>.</v>
      </c>
      <c r="B3673" s="431" t="str">
        <f t="shared" si="57"/>
        <v>Knee Replacement PrimaryCCG of GP PracticeNHS COVENTRY AND RUGBY CCG (05A)EQ VAS</v>
      </c>
      <c r="C3673" t="s">
        <v>249</v>
      </c>
      <c r="D3673" t="s">
        <v>87</v>
      </c>
      <c r="E3673" t="s">
        <v>749</v>
      </c>
      <c r="F3673" t="s">
        <v>750</v>
      </c>
      <c r="G3673" t="s">
        <v>179</v>
      </c>
      <c r="H3673">
        <v>285</v>
      </c>
      <c r="I3673">
        <v>68.480999999999995</v>
      </c>
      <c r="J3673">
        <v>73.34</v>
      </c>
      <c r="K3673">
        <v>4.8600000000000003</v>
      </c>
      <c r="L3673">
        <v>163</v>
      </c>
      <c r="M3673">
        <v>37</v>
      </c>
      <c r="N3673">
        <v>85</v>
      </c>
      <c r="O3673">
        <v>73.748000000000005</v>
      </c>
      <c r="P3673">
        <v>5.0894375460000001</v>
      </c>
      <c r="Q3673">
        <v>16.087</v>
      </c>
    </row>
    <row r="3674" spans="1:17" x14ac:dyDescent="0.2">
      <c r="A3674" s="30" t="str">
        <f>IF(C3674&amp;G3674&amp;D3674&lt;&gt;'Funnel setup'!$K$3&amp;'Funnel setup'!$K$4&amp;'Funnel setup'!$K$5,".",IF(A3673=".",1,A3673+1))</f>
        <v>.</v>
      </c>
      <c r="B3674" s="431" t="str">
        <f t="shared" si="57"/>
        <v>Knee Replacement PrimaryCCG of GP PracticeNHS CRAWLEY CCG (09H)EQ VAS</v>
      </c>
      <c r="C3674" t="s">
        <v>249</v>
      </c>
      <c r="D3674" t="s">
        <v>87</v>
      </c>
      <c r="E3674" t="s">
        <v>752</v>
      </c>
      <c r="F3674" t="s">
        <v>753</v>
      </c>
      <c r="G3674" t="s">
        <v>179</v>
      </c>
      <c r="H3674">
        <v>71</v>
      </c>
      <c r="I3674">
        <v>72.084999999999994</v>
      </c>
      <c r="J3674">
        <v>75.887</v>
      </c>
      <c r="K3674">
        <v>3.8029999999999999</v>
      </c>
      <c r="L3674">
        <v>34</v>
      </c>
      <c r="M3674">
        <v>13</v>
      </c>
      <c r="N3674">
        <v>24</v>
      </c>
      <c r="O3674">
        <v>74.111999999999995</v>
      </c>
      <c r="P3674">
        <v>5.4541144370000003</v>
      </c>
      <c r="Q3674">
        <v>12.054</v>
      </c>
    </row>
    <row r="3675" spans="1:17" x14ac:dyDescent="0.2">
      <c r="A3675" s="30" t="str">
        <f>IF(C3675&amp;G3675&amp;D3675&lt;&gt;'Funnel setup'!$K$3&amp;'Funnel setup'!$K$4&amp;'Funnel setup'!$K$5,".",IF(A3674=".",1,A3674+1))</f>
        <v>.</v>
      </c>
      <c r="B3675" s="431" t="str">
        <f t="shared" si="57"/>
        <v>Knee Replacement PrimaryCCG of GP PracticeNHS CROYDON CCG (07V)EQ VAS</v>
      </c>
      <c r="C3675" t="s">
        <v>249</v>
      </c>
      <c r="D3675" t="s">
        <v>87</v>
      </c>
      <c r="E3675" t="s">
        <v>755</v>
      </c>
      <c r="F3675" t="s">
        <v>756</v>
      </c>
      <c r="G3675" t="s">
        <v>179</v>
      </c>
      <c r="H3675">
        <v>110</v>
      </c>
      <c r="I3675">
        <v>66.718000000000004</v>
      </c>
      <c r="J3675">
        <v>73.745000000000005</v>
      </c>
      <c r="K3675">
        <v>7.0270000000000001</v>
      </c>
      <c r="L3675">
        <v>61</v>
      </c>
      <c r="M3675">
        <v>20</v>
      </c>
      <c r="N3675">
        <v>29</v>
      </c>
      <c r="O3675">
        <v>75.117000000000004</v>
      </c>
      <c r="P3675">
        <v>6.4583573459999997</v>
      </c>
      <c r="Q3675">
        <v>13.105</v>
      </c>
    </row>
    <row r="3676" spans="1:17" x14ac:dyDescent="0.2">
      <c r="A3676" s="30" t="str">
        <f>IF(C3676&amp;G3676&amp;D3676&lt;&gt;'Funnel setup'!$K$3&amp;'Funnel setup'!$K$4&amp;'Funnel setup'!$K$5,".",IF(A3675=".",1,A3675+1))</f>
        <v>.</v>
      </c>
      <c r="B3676" s="431" t="str">
        <f t="shared" si="57"/>
        <v>Knee Replacement PrimaryCCG of GP PracticeNHS CUMBRIA CCG (01H)EQ VAS</v>
      </c>
      <c r="C3676" t="s">
        <v>249</v>
      </c>
      <c r="D3676" t="s">
        <v>87</v>
      </c>
      <c r="E3676" t="s">
        <v>758</v>
      </c>
      <c r="F3676" t="s">
        <v>759</v>
      </c>
      <c r="G3676" t="s">
        <v>179</v>
      </c>
      <c r="H3676">
        <v>623</v>
      </c>
      <c r="I3676">
        <v>67.739999999999995</v>
      </c>
      <c r="J3676">
        <v>75.180999999999997</v>
      </c>
      <c r="K3676">
        <v>7.4409999999999998</v>
      </c>
      <c r="L3676">
        <v>354</v>
      </c>
      <c r="M3676">
        <v>100</v>
      </c>
      <c r="N3676">
        <v>169</v>
      </c>
      <c r="O3676">
        <v>75.331999999999994</v>
      </c>
      <c r="P3676">
        <v>6.6739758050000004</v>
      </c>
      <c r="Q3676">
        <v>14.657</v>
      </c>
    </row>
    <row r="3677" spans="1:17" x14ac:dyDescent="0.2">
      <c r="A3677" s="30" t="str">
        <f>IF(C3677&amp;G3677&amp;D3677&lt;&gt;'Funnel setup'!$K$3&amp;'Funnel setup'!$K$4&amp;'Funnel setup'!$K$5,".",IF(A3676=".",1,A3676+1))</f>
        <v>.</v>
      </c>
      <c r="B3677" s="431" t="str">
        <f t="shared" si="57"/>
        <v>Knee Replacement PrimaryCCG of GP PracticeNHS DARLINGTON CCG (00C)EQ VAS</v>
      </c>
      <c r="C3677" t="s">
        <v>249</v>
      </c>
      <c r="D3677" t="s">
        <v>87</v>
      </c>
      <c r="E3677" t="s">
        <v>761</v>
      </c>
      <c r="F3677" t="s">
        <v>762</v>
      </c>
      <c r="G3677" t="s">
        <v>179</v>
      </c>
      <c r="H3677">
        <v>69</v>
      </c>
      <c r="I3677">
        <v>64.564999999999998</v>
      </c>
      <c r="J3677">
        <v>74.855000000000004</v>
      </c>
      <c r="K3677">
        <v>10.29</v>
      </c>
      <c r="L3677">
        <v>44</v>
      </c>
      <c r="M3677">
        <v>9</v>
      </c>
      <c r="N3677">
        <v>16</v>
      </c>
      <c r="O3677">
        <v>76.585999999999999</v>
      </c>
      <c r="P3677">
        <v>7.9280119830000002</v>
      </c>
      <c r="Q3677">
        <v>13.846</v>
      </c>
    </row>
    <row r="3678" spans="1:17" x14ac:dyDescent="0.2">
      <c r="A3678" s="30" t="str">
        <f>IF(C3678&amp;G3678&amp;D3678&lt;&gt;'Funnel setup'!$K$3&amp;'Funnel setup'!$K$4&amp;'Funnel setup'!$K$5,".",IF(A3677=".",1,A3677+1))</f>
        <v>.</v>
      </c>
      <c r="B3678" s="431" t="str">
        <f t="shared" si="57"/>
        <v>Knee Replacement PrimaryCCG of GP PracticeNHS DARTFORD, GRAVESHAM AND SWANLEY CCG (09J)EQ VAS</v>
      </c>
      <c r="C3678" t="s">
        <v>249</v>
      </c>
      <c r="D3678" t="s">
        <v>87</v>
      </c>
      <c r="E3678" t="s">
        <v>764</v>
      </c>
      <c r="F3678" t="s">
        <v>765</v>
      </c>
      <c r="G3678" t="s">
        <v>179</v>
      </c>
      <c r="H3678">
        <v>148</v>
      </c>
      <c r="I3678">
        <v>69.953000000000003</v>
      </c>
      <c r="J3678">
        <v>75.350999999999999</v>
      </c>
      <c r="K3678">
        <v>5.399</v>
      </c>
      <c r="L3678">
        <v>80</v>
      </c>
      <c r="M3678">
        <v>22</v>
      </c>
      <c r="N3678">
        <v>46</v>
      </c>
      <c r="O3678">
        <v>74.994</v>
      </c>
      <c r="P3678">
        <v>6.3357679659999997</v>
      </c>
      <c r="Q3678">
        <v>14.936</v>
      </c>
    </row>
    <row r="3679" spans="1:17" x14ac:dyDescent="0.2">
      <c r="A3679" s="30" t="str">
        <f>IF(C3679&amp;G3679&amp;D3679&lt;&gt;'Funnel setup'!$K$3&amp;'Funnel setup'!$K$4&amp;'Funnel setup'!$K$5,".",IF(A3678=".",1,A3678+1))</f>
        <v>.</v>
      </c>
      <c r="B3679" s="431" t="str">
        <f t="shared" si="57"/>
        <v>Knee Replacement PrimaryCCG of GP PracticeNHS DONCASTER CCG (02X)EQ VAS</v>
      </c>
      <c r="C3679" t="s">
        <v>249</v>
      </c>
      <c r="D3679" t="s">
        <v>87</v>
      </c>
      <c r="E3679" t="s">
        <v>767</v>
      </c>
      <c r="F3679" t="s">
        <v>768</v>
      </c>
      <c r="G3679" t="s">
        <v>179</v>
      </c>
      <c r="H3679">
        <v>261</v>
      </c>
      <c r="I3679">
        <v>69.307000000000002</v>
      </c>
      <c r="J3679">
        <v>71.424999999999997</v>
      </c>
      <c r="K3679">
        <v>2.1190000000000002</v>
      </c>
      <c r="L3679">
        <v>127</v>
      </c>
      <c r="M3679">
        <v>44</v>
      </c>
      <c r="N3679">
        <v>90</v>
      </c>
      <c r="O3679">
        <v>72.293999999999997</v>
      </c>
      <c r="P3679">
        <v>3.6357178480000001</v>
      </c>
      <c r="Q3679">
        <v>17.256</v>
      </c>
    </row>
    <row r="3680" spans="1:17" x14ac:dyDescent="0.2">
      <c r="A3680" s="30" t="str">
        <f>IF(C3680&amp;G3680&amp;D3680&lt;&gt;'Funnel setup'!$K$3&amp;'Funnel setup'!$K$4&amp;'Funnel setup'!$K$5,".",IF(A3679=".",1,A3679+1))</f>
        <v>.</v>
      </c>
      <c r="B3680" s="431" t="str">
        <f t="shared" si="57"/>
        <v>Knee Replacement PrimaryCCG of GP PracticeNHS DORSET CCG (11J)EQ VAS</v>
      </c>
      <c r="C3680" t="s">
        <v>249</v>
      </c>
      <c r="D3680" t="s">
        <v>87</v>
      </c>
      <c r="E3680" t="s">
        <v>854</v>
      </c>
      <c r="F3680" t="s">
        <v>855</v>
      </c>
      <c r="G3680" t="s">
        <v>179</v>
      </c>
      <c r="H3680">
        <v>629</v>
      </c>
      <c r="I3680">
        <v>70.727000000000004</v>
      </c>
      <c r="J3680">
        <v>76.307000000000002</v>
      </c>
      <c r="K3680">
        <v>5.58</v>
      </c>
      <c r="L3680">
        <v>343</v>
      </c>
      <c r="M3680">
        <v>80</v>
      </c>
      <c r="N3680">
        <v>206</v>
      </c>
      <c r="O3680">
        <v>75.2</v>
      </c>
      <c r="P3680">
        <v>6.541363145</v>
      </c>
      <c r="Q3680">
        <v>14.202</v>
      </c>
    </row>
    <row r="3681" spans="1:17" x14ac:dyDescent="0.2">
      <c r="A3681" s="30" t="str">
        <f>IF(C3681&amp;G3681&amp;D3681&lt;&gt;'Funnel setup'!$K$3&amp;'Funnel setup'!$K$4&amp;'Funnel setup'!$K$5,".",IF(A3680=".",1,A3680+1))</f>
        <v>.</v>
      </c>
      <c r="B3681" s="431" t="str">
        <f t="shared" si="57"/>
        <v>Knee Replacement PrimaryCCG of GP PracticeNHS DUDLEY CCG (05C)EQ VAS</v>
      </c>
      <c r="C3681" t="s">
        <v>249</v>
      </c>
      <c r="D3681" t="s">
        <v>87</v>
      </c>
      <c r="E3681" t="s">
        <v>857</v>
      </c>
      <c r="F3681" t="s">
        <v>858</v>
      </c>
      <c r="G3681" t="s">
        <v>179</v>
      </c>
      <c r="H3681">
        <v>279</v>
      </c>
      <c r="I3681">
        <v>67.796000000000006</v>
      </c>
      <c r="J3681">
        <v>73.501999999999995</v>
      </c>
      <c r="K3681">
        <v>5.7060000000000004</v>
      </c>
      <c r="L3681">
        <v>164</v>
      </c>
      <c r="M3681">
        <v>31</v>
      </c>
      <c r="N3681">
        <v>84</v>
      </c>
      <c r="O3681">
        <v>74.632000000000005</v>
      </c>
      <c r="P3681">
        <v>5.9737521259999999</v>
      </c>
      <c r="Q3681">
        <v>15.722</v>
      </c>
    </row>
    <row r="3682" spans="1:17" x14ac:dyDescent="0.2">
      <c r="A3682" s="30" t="str">
        <f>IF(C3682&amp;G3682&amp;D3682&lt;&gt;'Funnel setup'!$K$3&amp;'Funnel setup'!$K$4&amp;'Funnel setup'!$K$5,".",IF(A3681=".",1,A3681+1))</f>
        <v>.</v>
      </c>
      <c r="B3682" s="431" t="str">
        <f t="shared" si="57"/>
        <v>Knee Replacement PrimaryCCG of GP PracticeNHS DURHAM DALES, EASINGTON AND SEDGEFIELD CCG (00D)EQ VAS</v>
      </c>
      <c r="C3682" t="s">
        <v>249</v>
      </c>
      <c r="D3682" t="s">
        <v>87</v>
      </c>
      <c r="E3682" t="s">
        <v>860</v>
      </c>
      <c r="F3682" t="s">
        <v>861</v>
      </c>
      <c r="G3682" t="s">
        <v>179</v>
      </c>
      <c r="H3682">
        <v>265</v>
      </c>
      <c r="I3682">
        <v>67.331999999999994</v>
      </c>
      <c r="J3682">
        <v>71.268000000000001</v>
      </c>
      <c r="K3682">
        <v>3.9359999999999999</v>
      </c>
      <c r="L3682">
        <v>149</v>
      </c>
      <c r="M3682">
        <v>34</v>
      </c>
      <c r="N3682">
        <v>82</v>
      </c>
      <c r="O3682">
        <v>73.674999999999997</v>
      </c>
      <c r="P3682">
        <v>5.0169965879999996</v>
      </c>
      <c r="Q3682">
        <v>16.779</v>
      </c>
    </row>
    <row r="3683" spans="1:17" x14ac:dyDescent="0.2">
      <c r="A3683" s="30" t="str">
        <f>IF(C3683&amp;G3683&amp;D3683&lt;&gt;'Funnel setup'!$K$3&amp;'Funnel setup'!$K$4&amp;'Funnel setup'!$K$5,".",IF(A3682=".",1,A3682+1))</f>
        <v>.</v>
      </c>
      <c r="B3683" s="431" t="str">
        <f t="shared" si="57"/>
        <v>Knee Replacement PrimaryCCG of GP PracticeNHS EALING CCG (07W)EQ VAS</v>
      </c>
      <c r="C3683" t="s">
        <v>249</v>
      </c>
      <c r="D3683" t="s">
        <v>87</v>
      </c>
      <c r="E3683" t="s">
        <v>863</v>
      </c>
      <c r="F3683" t="s">
        <v>864</v>
      </c>
      <c r="G3683" t="s">
        <v>179</v>
      </c>
      <c r="H3683">
        <v>81</v>
      </c>
      <c r="I3683">
        <v>58.481000000000002</v>
      </c>
      <c r="J3683">
        <v>70.197999999999993</v>
      </c>
      <c r="K3683">
        <v>11.715999999999999</v>
      </c>
      <c r="L3683">
        <v>57</v>
      </c>
      <c r="M3683">
        <v>10</v>
      </c>
      <c r="N3683">
        <v>14</v>
      </c>
      <c r="O3683">
        <v>75.975999999999999</v>
      </c>
      <c r="P3683">
        <v>7.3173097690000004</v>
      </c>
      <c r="Q3683">
        <v>14.997</v>
      </c>
    </row>
    <row r="3684" spans="1:17" x14ac:dyDescent="0.2">
      <c r="A3684" s="30" t="str">
        <f>IF(C3684&amp;G3684&amp;D3684&lt;&gt;'Funnel setup'!$K$3&amp;'Funnel setup'!$K$4&amp;'Funnel setup'!$K$5,".",IF(A3683=".",1,A3683+1))</f>
        <v>.</v>
      </c>
      <c r="B3684" s="431" t="str">
        <f t="shared" si="57"/>
        <v>Knee Replacement PrimaryCCG of GP PracticeNHS EAST AND NORTH HERTFORDSHIRE CCG (06K)EQ VAS</v>
      </c>
      <c r="C3684" t="s">
        <v>249</v>
      </c>
      <c r="D3684" t="s">
        <v>87</v>
      </c>
      <c r="E3684" t="s">
        <v>866</v>
      </c>
      <c r="F3684" t="s">
        <v>867</v>
      </c>
      <c r="G3684" t="s">
        <v>179</v>
      </c>
      <c r="H3684">
        <v>300</v>
      </c>
      <c r="I3684">
        <v>68.626999999999995</v>
      </c>
      <c r="J3684">
        <v>74.106999999999999</v>
      </c>
      <c r="K3684">
        <v>5.48</v>
      </c>
      <c r="L3684">
        <v>167</v>
      </c>
      <c r="M3684">
        <v>43</v>
      </c>
      <c r="N3684">
        <v>90</v>
      </c>
      <c r="O3684">
        <v>73.447000000000003</v>
      </c>
      <c r="P3684">
        <v>4.7882654929999999</v>
      </c>
      <c r="Q3684">
        <v>16.187000000000001</v>
      </c>
    </row>
    <row r="3685" spans="1:17" x14ac:dyDescent="0.2">
      <c r="A3685" s="30" t="str">
        <f>IF(C3685&amp;G3685&amp;D3685&lt;&gt;'Funnel setup'!$K$3&amp;'Funnel setup'!$K$4&amp;'Funnel setup'!$K$5,".",IF(A3684=".",1,A3684+1))</f>
        <v>.</v>
      </c>
      <c r="B3685" s="431" t="str">
        <f t="shared" si="57"/>
        <v>Knee Replacement PrimaryCCG of GP PracticeNHS EAST LANCASHIRE CCG (01A)EQ VAS</v>
      </c>
      <c r="C3685" t="s">
        <v>249</v>
      </c>
      <c r="D3685" t="s">
        <v>87</v>
      </c>
      <c r="E3685" t="s">
        <v>869</v>
      </c>
      <c r="F3685" t="s">
        <v>870</v>
      </c>
      <c r="G3685" t="s">
        <v>179</v>
      </c>
      <c r="H3685">
        <v>182</v>
      </c>
      <c r="I3685">
        <v>64.593000000000004</v>
      </c>
      <c r="J3685">
        <v>75.466999999999999</v>
      </c>
      <c r="K3685">
        <v>10.874000000000001</v>
      </c>
      <c r="L3685">
        <v>118</v>
      </c>
      <c r="M3685">
        <v>16</v>
      </c>
      <c r="N3685">
        <v>48</v>
      </c>
      <c r="O3685">
        <v>77.284000000000006</v>
      </c>
      <c r="P3685">
        <v>8.6261481629999999</v>
      </c>
      <c r="Q3685">
        <v>14.901999999999999</v>
      </c>
    </row>
    <row r="3686" spans="1:17" x14ac:dyDescent="0.2">
      <c r="A3686" s="30" t="str">
        <f>IF(C3686&amp;G3686&amp;D3686&lt;&gt;'Funnel setup'!$K$3&amp;'Funnel setup'!$K$4&amp;'Funnel setup'!$K$5,".",IF(A3685=".",1,A3685+1))</f>
        <v>.</v>
      </c>
      <c r="B3686" s="431" t="str">
        <f t="shared" si="57"/>
        <v>Knee Replacement PrimaryCCG of GP PracticeNHS EAST LEICESTERSHIRE AND RUTLAND CCG (03W)EQ VAS</v>
      </c>
      <c r="C3686" t="s">
        <v>249</v>
      </c>
      <c r="D3686" t="s">
        <v>87</v>
      </c>
      <c r="E3686" t="s">
        <v>872</v>
      </c>
      <c r="F3686" t="s">
        <v>873</v>
      </c>
      <c r="G3686" t="s">
        <v>179</v>
      </c>
      <c r="H3686">
        <v>322</v>
      </c>
      <c r="I3686">
        <v>66.698999999999998</v>
      </c>
      <c r="J3686">
        <v>74.77</v>
      </c>
      <c r="K3686">
        <v>8.0709999999999997</v>
      </c>
      <c r="L3686">
        <v>196</v>
      </c>
      <c r="M3686">
        <v>45</v>
      </c>
      <c r="N3686">
        <v>81</v>
      </c>
      <c r="O3686">
        <v>74.631</v>
      </c>
      <c r="P3686">
        <v>5.9726385569999998</v>
      </c>
      <c r="Q3686">
        <v>14.263</v>
      </c>
    </row>
    <row r="3687" spans="1:17" x14ac:dyDescent="0.2">
      <c r="A3687" s="30" t="str">
        <f>IF(C3687&amp;G3687&amp;D3687&lt;&gt;'Funnel setup'!$K$3&amp;'Funnel setup'!$K$4&amp;'Funnel setup'!$K$5,".",IF(A3686=".",1,A3686+1))</f>
        <v>.</v>
      </c>
      <c r="B3687" s="431" t="str">
        <f t="shared" si="57"/>
        <v>Knee Replacement PrimaryCCG of GP PracticeNHS EAST RIDING OF YORKSHIRE CCG (02Y)EQ VAS</v>
      </c>
      <c r="C3687" t="s">
        <v>249</v>
      </c>
      <c r="D3687" t="s">
        <v>87</v>
      </c>
      <c r="E3687" t="s">
        <v>875</v>
      </c>
      <c r="F3687" t="s">
        <v>876</v>
      </c>
      <c r="G3687" t="s">
        <v>179</v>
      </c>
      <c r="H3687">
        <v>345</v>
      </c>
      <c r="I3687">
        <v>67.599999999999994</v>
      </c>
      <c r="J3687">
        <v>74.442999999999998</v>
      </c>
      <c r="K3687">
        <v>6.843</v>
      </c>
      <c r="L3687">
        <v>196</v>
      </c>
      <c r="M3687">
        <v>48</v>
      </c>
      <c r="N3687">
        <v>101</v>
      </c>
      <c r="O3687">
        <v>73.921999999999997</v>
      </c>
      <c r="P3687">
        <v>5.2641634049999997</v>
      </c>
      <c r="Q3687">
        <v>16.128</v>
      </c>
    </row>
    <row r="3688" spans="1:17" x14ac:dyDescent="0.2">
      <c r="A3688" s="30" t="str">
        <f>IF(C3688&amp;G3688&amp;D3688&lt;&gt;'Funnel setup'!$K$3&amp;'Funnel setup'!$K$4&amp;'Funnel setup'!$K$5,".",IF(A3687=".",1,A3687+1))</f>
        <v>.</v>
      </c>
      <c r="B3688" s="431" t="str">
        <f t="shared" si="57"/>
        <v>Knee Replacement PrimaryCCG of GP PracticeNHS EAST STAFFORDSHIRE CCG (05D)EQ VAS</v>
      </c>
      <c r="C3688" t="s">
        <v>249</v>
      </c>
      <c r="D3688" t="s">
        <v>87</v>
      </c>
      <c r="E3688" t="s">
        <v>878</v>
      </c>
      <c r="F3688" t="s">
        <v>879</v>
      </c>
      <c r="G3688" t="s">
        <v>179</v>
      </c>
      <c r="H3688">
        <v>128</v>
      </c>
      <c r="I3688">
        <v>69.944999999999993</v>
      </c>
      <c r="J3688">
        <v>74.555000000000007</v>
      </c>
      <c r="K3688">
        <v>4.609</v>
      </c>
      <c r="L3688">
        <v>68</v>
      </c>
      <c r="M3688">
        <v>13</v>
      </c>
      <c r="N3688">
        <v>47</v>
      </c>
      <c r="O3688">
        <v>73.41</v>
      </c>
      <c r="P3688">
        <v>4.751365625</v>
      </c>
      <c r="Q3688">
        <v>16.016999999999999</v>
      </c>
    </row>
    <row r="3689" spans="1:17" x14ac:dyDescent="0.2">
      <c r="A3689" s="30" t="str">
        <f>IF(C3689&amp;G3689&amp;D3689&lt;&gt;'Funnel setup'!$K$3&amp;'Funnel setup'!$K$4&amp;'Funnel setup'!$K$5,".",IF(A3688=".",1,A3688+1))</f>
        <v>.</v>
      </c>
      <c r="B3689" s="431" t="str">
        <f t="shared" si="57"/>
        <v>Knee Replacement PrimaryCCG of GP PracticeNHS EAST SURREY CCG (09L)EQ VAS</v>
      </c>
      <c r="C3689" t="s">
        <v>249</v>
      </c>
      <c r="D3689" t="s">
        <v>87</v>
      </c>
      <c r="E3689" t="s">
        <v>881</v>
      </c>
      <c r="F3689" t="s">
        <v>882</v>
      </c>
      <c r="G3689" t="s">
        <v>179</v>
      </c>
      <c r="H3689">
        <v>113</v>
      </c>
      <c r="I3689">
        <v>67.132999999999996</v>
      </c>
      <c r="J3689">
        <v>73.938000000000002</v>
      </c>
      <c r="K3689">
        <v>6.8049999999999997</v>
      </c>
      <c r="L3689">
        <v>61</v>
      </c>
      <c r="M3689">
        <v>16</v>
      </c>
      <c r="N3689">
        <v>36</v>
      </c>
      <c r="O3689">
        <v>74.009</v>
      </c>
      <c r="P3689">
        <v>5.3510387750000001</v>
      </c>
      <c r="Q3689">
        <v>13.862</v>
      </c>
    </row>
    <row r="3690" spans="1:17" x14ac:dyDescent="0.2">
      <c r="A3690" s="30" t="str">
        <f>IF(C3690&amp;G3690&amp;D3690&lt;&gt;'Funnel setup'!$K$3&amp;'Funnel setup'!$K$4&amp;'Funnel setup'!$K$5,".",IF(A3689=".",1,A3689+1))</f>
        <v>.</v>
      </c>
      <c r="B3690" s="431" t="str">
        <f t="shared" si="57"/>
        <v>Knee Replacement PrimaryCCG of GP PracticeNHS EASTBOURNE, HAILSHAM AND SEAFORD CCG (09F)EQ VAS</v>
      </c>
      <c r="C3690" t="s">
        <v>249</v>
      </c>
      <c r="D3690" t="s">
        <v>87</v>
      </c>
      <c r="E3690" t="s">
        <v>884</v>
      </c>
      <c r="F3690" t="s">
        <v>885</v>
      </c>
      <c r="G3690" t="s">
        <v>179</v>
      </c>
      <c r="H3690">
        <v>282</v>
      </c>
      <c r="I3690">
        <v>69.956999999999994</v>
      </c>
      <c r="J3690">
        <v>75.784000000000006</v>
      </c>
      <c r="K3690">
        <v>5.8259999999999996</v>
      </c>
      <c r="L3690">
        <v>154</v>
      </c>
      <c r="M3690">
        <v>37</v>
      </c>
      <c r="N3690">
        <v>91</v>
      </c>
      <c r="O3690">
        <v>74.754999999999995</v>
      </c>
      <c r="P3690">
        <v>6.0961792790000002</v>
      </c>
      <c r="Q3690">
        <v>14.516</v>
      </c>
    </row>
    <row r="3691" spans="1:17" x14ac:dyDescent="0.2">
      <c r="A3691" s="30" t="str">
        <f>IF(C3691&amp;G3691&amp;D3691&lt;&gt;'Funnel setup'!$K$3&amp;'Funnel setup'!$K$4&amp;'Funnel setup'!$K$5,".",IF(A3690=".",1,A3690+1))</f>
        <v>.</v>
      </c>
      <c r="B3691" s="431" t="str">
        <f t="shared" si="57"/>
        <v>Knee Replacement PrimaryCCG of GP PracticeNHS EASTERN CHESHIRE CCG (01C)EQ VAS</v>
      </c>
      <c r="C3691" t="s">
        <v>249</v>
      </c>
      <c r="D3691" t="s">
        <v>87</v>
      </c>
      <c r="E3691" t="s">
        <v>887</v>
      </c>
      <c r="F3691" t="s">
        <v>888</v>
      </c>
      <c r="G3691" t="s">
        <v>179</v>
      </c>
      <c r="H3691">
        <v>123</v>
      </c>
      <c r="I3691">
        <v>68.667000000000002</v>
      </c>
      <c r="J3691">
        <v>77.260000000000005</v>
      </c>
      <c r="K3691">
        <v>8.593</v>
      </c>
      <c r="L3691">
        <v>77</v>
      </c>
      <c r="M3691">
        <v>16</v>
      </c>
      <c r="N3691">
        <v>30</v>
      </c>
      <c r="O3691">
        <v>75.415999999999997</v>
      </c>
      <c r="P3691">
        <v>6.7577476499999998</v>
      </c>
      <c r="Q3691">
        <v>14.7</v>
      </c>
    </row>
    <row r="3692" spans="1:17" x14ac:dyDescent="0.2">
      <c r="A3692" s="30" t="str">
        <f>IF(C3692&amp;G3692&amp;D3692&lt;&gt;'Funnel setup'!$K$3&amp;'Funnel setup'!$K$4&amp;'Funnel setup'!$K$5,".",IF(A3691=".",1,A3691+1))</f>
        <v>.</v>
      </c>
      <c r="B3692" s="431" t="str">
        <f t="shared" si="57"/>
        <v>Knee Replacement PrimaryCCG of GP PracticeNHS ENFIELD CCG (07X)EQ VAS</v>
      </c>
      <c r="C3692" t="s">
        <v>249</v>
      </c>
      <c r="D3692" t="s">
        <v>87</v>
      </c>
      <c r="E3692" t="s">
        <v>890</v>
      </c>
      <c r="F3692" t="s">
        <v>891</v>
      </c>
      <c r="G3692" t="s">
        <v>179</v>
      </c>
      <c r="H3692">
        <v>96</v>
      </c>
      <c r="I3692">
        <v>60.563000000000002</v>
      </c>
      <c r="J3692">
        <v>70.792000000000002</v>
      </c>
      <c r="K3692">
        <v>10.228999999999999</v>
      </c>
      <c r="L3692">
        <v>64</v>
      </c>
      <c r="M3692">
        <v>7</v>
      </c>
      <c r="N3692">
        <v>25</v>
      </c>
      <c r="O3692">
        <v>74.197999999999993</v>
      </c>
      <c r="P3692">
        <v>5.5393018390000002</v>
      </c>
      <c r="Q3692">
        <v>16.852</v>
      </c>
    </row>
    <row r="3693" spans="1:17" x14ac:dyDescent="0.2">
      <c r="A3693" s="30" t="str">
        <f>IF(C3693&amp;G3693&amp;D3693&lt;&gt;'Funnel setup'!$K$3&amp;'Funnel setup'!$K$4&amp;'Funnel setup'!$K$5,".",IF(A3692=".",1,A3692+1))</f>
        <v>.</v>
      </c>
      <c r="B3693" s="431" t="str">
        <f t="shared" si="57"/>
        <v>Knee Replacement PrimaryCCG of GP PracticeNHS EREWASH CCG (03X)EQ VAS</v>
      </c>
      <c r="C3693" t="s">
        <v>249</v>
      </c>
      <c r="D3693" t="s">
        <v>87</v>
      </c>
      <c r="E3693" t="s">
        <v>893</v>
      </c>
      <c r="F3693" t="s">
        <v>894</v>
      </c>
      <c r="G3693" t="s">
        <v>179</v>
      </c>
      <c r="H3693">
        <v>116</v>
      </c>
      <c r="I3693">
        <v>71.706999999999994</v>
      </c>
      <c r="J3693">
        <v>75.233000000000004</v>
      </c>
      <c r="K3693">
        <v>3.5259999999999998</v>
      </c>
      <c r="L3693">
        <v>62</v>
      </c>
      <c r="M3693">
        <v>21</v>
      </c>
      <c r="N3693">
        <v>33</v>
      </c>
      <c r="O3693">
        <v>73.552000000000007</v>
      </c>
      <c r="P3693">
        <v>4.8936323240000004</v>
      </c>
      <c r="Q3693">
        <v>14.913</v>
      </c>
    </row>
    <row r="3694" spans="1:17" x14ac:dyDescent="0.2">
      <c r="A3694" s="30" t="str">
        <f>IF(C3694&amp;G3694&amp;D3694&lt;&gt;'Funnel setup'!$K$3&amp;'Funnel setup'!$K$4&amp;'Funnel setup'!$K$5,".",IF(A3693=".",1,A3693+1))</f>
        <v>.</v>
      </c>
      <c r="B3694" s="431" t="str">
        <f t="shared" si="57"/>
        <v>Knee Replacement PrimaryCCG of GP PracticeNHS FAREHAM AND GOSPORT CCG (10K)EQ VAS</v>
      </c>
      <c r="C3694" t="s">
        <v>249</v>
      </c>
      <c r="D3694" t="s">
        <v>87</v>
      </c>
      <c r="E3694" t="s">
        <v>896</v>
      </c>
      <c r="F3694" t="s">
        <v>897</v>
      </c>
      <c r="G3694" t="s">
        <v>179</v>
      </c>
      <c r="H3694">
        <v>90</v>
      </c>
      <c r="I3694">
        <v>71.367000000000004</v>
      </c>
      <c r="J3694">
        <v>76.033000000000001</v>
      </c>
      <c r="K3694">
        <v>4.6669999999999998</v>
      </c>
      <c r="L3694">
        <v>54</v>
      </c>
      <c r="M3694">
        <v>6</v>
      </c>
      <c r="N3694">
        <v>30</v>
      </c>
      <c r="O3694">
        <v>73.951999999999998</v>
      </c>
      <c r="P3694">
        <v>5.2934743380000002</v>
      </c>
      <c r="Q3694">
        <v>18.599</v>
      </c>
    </row>
    <row r="3695" spans="1:17" x14ac:dyDescent="0.2">
      <c r="A3695" s="30" t="str">
        <f>IF(C3695&amp;G3695&amp;D3695&lt;&gt;'Funnel setup'!$K$3&amp;'Funnel setup'!$K$4&amp;'Funnel setup'!$K$5,".",IF(A3694=".",1,A3694+1))</f>
        <v>.</v>
      </c>
      <c r="B3695" s="431" t="str">
        <f t="shared" si="57"/>
        <v>Knee Replacement PrimaryCCG of GP PracticeNHS FYLDE &amp; WYRE CCG (02M)EQ VAS</v>
      </c>
      <c r="C3695" t="s">
        <v>249</v>
      </c>
      <c r="D3695" t="s">
        <v>87</v>
      </c>
      <c r="E3695" t="s">
        <v>899</v>
      </c>
      <c r="F3695" t="s">
        <v>900</v>
      </c>
      <c r="G3695" t="s">
        <v>179</v>
      </c>
      <c r="H3695">
        <v>70</v>
      </c>
      <c r="I3695">
        <v>69.257000000000005</v>
      </c>
      <c r="J3695">
        <v>73.456999999999994</v>
      </c>
      <c r="K3695">
        <v>4.2</v>
      </c>
      <c r="L3695">
        <v>42</v>
      </c>
      <c r="M3695">
        <v>9</v>
      </c>
      <c r="N3695">
        <v>19</v>
      </c>
      <c r="O3695">
        <v>72.617999999999995</v>
      </c>
      <c r="P3695">
        <v>3.9594713970000002</v>
      </c>
      <c r="Q3695">
        <v>19.292999999999999</v>
      </c>
    </row>
    <row r="3696" spans="1:17" x14ac:dyDescent="0.2">
      <c r="A3696" s="30" t="str">
        <f>IF(C3696&amp;G3696&amp;D3696&lt;&gt;'Funnel setup'!$K$3&amp;'Funnel setup'!$K$4&amp;'Funnel setup'!$K$5,".",IF(A3695=".",1,A3695+1))</f>
        <v>.</v>
      </c>
      <c r="B3696" s="431" t="str">
        <f t="shared" si="57"/>
        <v>Knee Replacement PrimaryCCG of GP PracticeNHS GLOUCESTERSHIRE CCG (11M)EQ VAS</v>
      </c>
      <c r="C3696" t="s">
        <v>249</v>
      </c>
      <c r="D3696" t="s">
        <v>87</v>
      </c>
      <c r="E3696" t="s">
        <v>902</v>
      </c>
      <c r="F3696" t="s">
        <v>903</v>
      </c>
      <c r="G3696" t="s">
        <v>179</v>
      </c>
      <c r="H3696">
        <v>381</v>
      </c>
      <c r="I3696">
        <v>72.575000000000003</v>
      </c>
      <c r="J3696">
        <v>76.614000000000004</v>
      </c>
      <c r="K3696">
        <v>4.0389999999999997</v>
      </c>
      <c r="L3696">
        <v>196</v>
      </c>
      <c r="M3696">
        <v>52</v>
      </c>
      <c r="N3696">
        <v>133</v>
      </c>
      <c r="O3696">
        <v>74.061000000000007</v>
      </c>
      <c r="P3696">
        <v>5.4026713160000002</v>
      </c>
      <c r="Q3696">
        <v>14.476000000000001</v>
      </c>
    </row>
    <row r="3697" spans="1:17" x14ac:dyDescent="0.2">
      <c r="A3697" s="30" t="str">
        <f>IF(C3697&amp;G3697&amp;D3697&lt;&gt;'Funnel setup'!$K$3&amp;'Funnel setup'!$K$4&amp;'Funnel setup'!$K$5,".",IF(A3696=".",1,A3696+1))</f>
        <v>.</v>
      </c>
      <c r="B3697" s="431" t="str">
        <f t="shared" si="57"/>
        <v>Knee Replacement PrimaryCCG of GP PracticeNHS GREAT YARMOUTH AND WAVENEY CCG (06M)EQ VAS</v>
      </c>
      <c r="C3697" t="s">
        <v>249</v>
      </c>
      <c r="D3697" t="s">
        <v>87</v>
      </c>
      <c r="E3697" t="s">
        <v>905</v>
      </c>
      <c r="F3697" t="s">
        <v>906</v>
      </c>
      <c r="G3697" t="s">
        <v>179</v>
      </c>
      <c r="H3697">
        <v>190</v>
      </c>
      <c r="I3697">
        <v>69.2</v>
      </c>
      <c r="J3697">
        <v>74.311000000000007</v>
      </c>
      <c r="K3697">
        <v>5.1109999999999998</v>
      </c>
      <c r="L3697">
        <v>112</v>
      </c>
      <c r="M3697">
        <v>19</v>
      </c>
      <c r="N3697">
        <v>59</v>
      </c>
      <c r="O3697">
        <v>74.539000000000001</v>
      </c>
      <c r="P3697">
        <v>5.8810778069999996</v>
      </c>
      <c r="Q3697">
        <v>14.911</v>
      </c>
    </row>
    <row r="3698" spans="1:17" x14ac:dyDescent="0.2">
      <c r="A3698" s="30" t="str">
        <f>IF(C3698&amp;G3698&amp;D3698&lt;&gt;'Funnel setup'!$K$3&amp;'Funnel setup'!$K$4&amp;'Funnel setup'!$K$5,".",IF(A3697=".",1,A3697+1))</f>
        <v>.</v>
      </c>
      <c r="B3698" s="431" t="str">
        <f t="shared" si="57"/>
        <v>Knee Replacement PrimaryCCG of GP PracticeNHS GREATER HUDDERSFIELD CCG (03A)EQ VAS</v>
      </c>
      <c r="C3698" t="s">
        <v>249</v>
      </c>
      <c r="D3698" t="s">
        <v>87</v>
      </c>
      <c r="E3698" t="s">
        <v>908</v>
      </c>
      <c r="F3698" t="s">
        <v>909</v>
      </c>
      <c r="G3698" t="s">
        <v>179</v>
      </c>
      <c r="H3698">
        <v>161</v>
      </c>
      <c r="I3698">
        <v>68.956999999999994</v>
      </c>
      <c r="J3698">
        <v>73.596000000000004</v>
      </c>
      <c r="K3698">
        <v>4.6399999999999997</v>
      </c>
      <c r="L3698">
        <v>84</v>
      </c>
      <c r="M3698">
        <v>24</v>
      </c>
      <c r="N3698">
        <v>53</v>
      </c>
      <c r="O3698">
        <v>73.171999999999997</v>
      </c>
      <c r="P3698">
        <v>4.5132877919999999</v>
      </c>
      <c r="Q3698">
        <v>17.123999999999999</v>
      </c>
    </row>
    <row r="3699" spans="1:17" x14ac:dyDescent="0.2">
      <c r="A3699" s="30" t="str">
        <f>IF(C3699&amp;G3699&amp;D3699&lt;&gt;'Funnel setup'!$K$3&amp;'Funnel setup'!$K$4&amp;'Funnel setup'!$K$5,".",IF(A3698=".",1,A3698+1))</f>
        <v>.</v>
      </c>
      <c r="B3699" s="431" t="str">
        <f t="shared" si="57"/>
        <v>Knee Replacement PrimaryCCG of GP PracticeNHS GREATER PRESTON CCG (01E)EQ VAS</v>
      </c>
      <c r="C3699" t="s">
        <v>249</v>
      </c>
      <c r="D3699" t="s">
        <v>87</v>
      </c>
      <c r="E3699" t="s">
        <v>486</v>
      </c>
      <c r="F3699" t="s">
        <v>487</v>
      </c>
      <c r="G3699" t="s">
        <v>179</v>
      </c>
      <c r="H3699">
        <v>234</v>
      </c>
      <c r="I3699">
        <v>70.09</v>
      </c>
      <c r="J3699">
        <v>75.415000000000006</v>
      </c>
      <c r="K3699">
        <v>5.3250000000000002</v>
      </c>
      <c r="L3699">
        <v>129</v>
      </c>
      <c r="M3699">
        <v>43</v>
      </c>
      <c r="N3699">
        <v>62</v>
      </c>
      <c r="O3699">
        <v>74.896000000000001</v>
      </c>
      <c r="P3699">
        <v>6.237367141</v>
      </c>
      <c r="Q3699">
        <v>15.212</v>
      </c>
    </row>
    <row r="3700" spans="1:17" x14ac:dyDescent="0.2">
      <c r="A3700" s="30" t="str">
        <f>IF(C3700&amp;G3700&amp;D3700&lt;&gt;'Funnel setup'!$K$3&amp;'Funnel setup'!$K$4&amp;'Funnel setup'!$K$5,".",IF(A3699=".",1,A3699+1))</f>
        <v>.</v>
      </c>
      <c r="B3700" s="431" t="str">
        <f t="shared" si="57"/>
        <v>Knee Replacement PrimaryCCG of GP PracticeNHS GREENWICH CCG (08A)EQ VAS</v>
      </c>
      <c r="C3700" t="s">
        <v>249</v>
      </c>
      <c r="D3700" t="s">
        <v>87</v>
      </c>
      <c r="E3700" t="s">
        <v>489</v>
      </c>
      <c r="F3700" t="s">
        <v>490</v>
      </c>
      <c r="G3700" t="s">
        <v>179</v>
      </c>
      <c r="H3700">
        <v>55</v>
      </c>
      <c r="I3700">
        <v>68.144999999999996</v>
      </c>
      <c r="J3700">
        <v>73.891000000000005</v>
      </c>
      <c r="K3700">
        <v>5.7450000000000001</v>
      </c>
      <c r="L3700">
        <v>35</v>
      </c>
      <c r="M3700">
        <v>7</v>
      </c>
      <c r="N3700">
        <v>13</v>
      </c>
      <c r="O3700">
        <v>74.918000000000006</v>
      </c>
      <c r="P3700">
        <v>6.2596017179999999</v>
      </c>
      <c r="Q3700">
        <v>18.093</v>
      </c>
    </row>
    <row r="3701" spans="1:17" x14ac:dyDescent="0.2">
      <c r="A3701" s="30" t="str">
        <f>IF(C3701&amp;G3701&amp;D3701&lt;&gt;'Funnel setup'!$K$3&amp;'Funnel setup'!$K$4&amp;'Funnel setup'!$K$5,".",IF(A3700=".",1,A3700+1))</f>
        <v>.</v>
      </c>
      <c r="B3701" s="431" t="str">
        <f t="shared" si="57"/>
        <v>Knee Replacement PrimaryCCG of GP PracticeNHS GUILDFORD AND WAVERLEY CCG (09N)EQ VAS</v>
      </c>
      <c r="C3701" t="s">
        <v>249</v>
      </c>
      <c r="D3701" t="s">
        <v>87</v>
      </c>
      <c r="E3701" t="s">
        <v>911</v>
      </c>
      <c r="F3701" t="s">
        <v>912</v>
      </c>
      <c r="G3701" t="s">
        <v>179</v>
      </c>
      <c r="H3701">
        <v>87</v>
      </c>
      <c r="I3701">
        <v>70.552000000000007</v>
      </c>
      <c r="J3701">
        <v>77.620999999999995</v>
      </c>
      <c r="K3701">
        <v>7.069</v>
      </c>
      <c r="L3701">
        <v>52</v>
      </c>
      <c r="M3701">
        <v>9</v>
      </c>
      <c r="N3701">
        <v>26</v>
      </c>
      <c r="O3701">
        <v>75.117000000000004</v>
      </c>
      <c r="P3701">
        <v>6.4590138220000002</v>
      </c>
      <c r="Q3701">
        <v>14.037000000000001</v>
      </c>
    </row>
    <row r="3702" spans="1:17" x14ac:dyDescent="0.2">
      <c r="A3702" s="30" t="str">
        <f>IF(C3702&amp;G3702&amp;D3702&lt;&gt;'Funnel setup'!$K$3&amp;'Funnel setup'!$K$4&amp;'Funnel setup'!$K$5,".",IF(A3701=".",1,A3701+1))</f>
        <v>.</v>
      </c>
      <c r="B3702" s="431" t="str">
        <f t="shared" si="57"/>
        <v>Knee Replacement PrimaryCCG of GP PracticeNHS HALTON CCG (01F)EQ VAS</v>
      </c>
      <c r="C3702" t="s">
        <v>249</v>
      </c>
      <c r="D3702" t="s">
        <v>87</v>
      </c>
      <c r="E3702" t="s">
        <v>914</v>
      </c>
      <c r="F3702" t="s">
        <v>915</v>
      </c>
      <c r="G3702" t="s">
        <v>179</v>
      </c>
      <c r="H3702">
        <v>81</v>
      </c>
      <c r="I3702">
        <v>63.395000000000003</v>
      </c>
      <c r="J3702">
        <v>73.049000000000007</v>
      </c>
      <c r="K3702">
        <v>9.6539999999999999</v>
      </c>
      <c r="L3702">
        <v>50</v>
      </c>
      <c r="M3702">
        <v>9</v>
      </c>
      <c r="N3702">
        <v>22</v>
      </c>
      <c r="O3702">
        <v>76.010999999999996</v>
      </c>
      <c r="P3702">
        <v>7.3521783660000004</v>
      </c>
      <c r="Q3702">
        <v>15.75</v>
      </c>
    </row>
    <row r="3703" spans="1:17" x14ac:dyDescent="0.2">
      <c r="A3703" s="30" t="str">
        <f>IF(C3703&amp;G3703&amp;D3703&lt;&gt;'Funnel setup'!$K$3&amp;'Funnel setup'!$K$4&amp;'Funnel setup'!$K$5,".",IF(A3702=".",1,A3702+1))</f>
        <v>.</v>
      </c>
      <c r="B3703" s="431" t="str">
        <f t="shared" si="57"/>
        <v>Knee Replacement PrimaryCCG of GP PracticeNHS HAMBLETON, RICHMONDSHIRE AND WHITBY CCG (03D)EQ VAS</v>
      </c>
      <c r="C3703" t="s">
        <v>249</v>
      </c>
      <c r="D3703" t="s">
        <v>87</v>
      </c>
      <c r="E3703" t="s">
        <v>917</v>
      </c>
      <c r="F3703" t="s">
        <v>918</v>
      </c>
      <c r="G3703" t="s">
        <v>179</v>
      </c>
      <c r="H3703">
        <v>196</v>
      </c>
      <c r="I3703">
        <v>70.173000000000002</v>
      </c>
      <c r="J3703">
        <v>76.555999999999997</v>
      </c>
      <c r="K3703">
        <v>6.383</v>
      </c>
      <c r="L3703">
        <v>115</v>
      </c>
      <c r="M3703">
        <v>27</v>
      </c>
      <c r="N3703">
        <v>54</v>
      </c>
      <c r="O3703">
        <v>75.775999999999996</v>
      </c>
      <c r="P3703">
        <v>7.117717914</v>
      </c>
      <c r="Q3703">
        <v>13.141</v>
      </c>
    </row>
    <row r="3704" spans="1:17" x14ac:dyDescent="0.2">
      <c r="A3704" s="30" t="str">
        <f>IF(C3704&amp;G3704&amp;D3704&lt;&gt;'Funnel setup'!$K$3&amp;'Funnel setup'!$K$4&amp;'Funnel setup'!$K$5,".",IF(A3703=".",1,A3703+1))</f>
        <v>.</v>
      </c>
      <c r="B3704" s="431" t="str">
        <f t="shared" si="57"/>
        <v>Knee Replacement PrimaryCCG of GP PracticeNHS HAMMERSMITH AND FULHAM CCG (08C)EQ VAS</v>
      </c>
      <c r="C3704" t="s">
        <v>249</v>
      </c>
      <c r="D3704" t="s">
        <v>87</v>
      </c>
      <c r="E3704" t="s">
        <v>920</v>
      </c>
      <c r="F3704" t="s">
        <v>921</v>
      </c>
      <c r="G3704" t="s">
        <v>179</v>
      </c>
      <c r="H3704">
        <v>18</v>
      </c>
      <c r="I3704">
        <v>66.111000000000004</v>
      </c>
      <c r="J3704">
        <v>72.388999999999996</v>
      </c>
      <c r="K3704">
        <v>6.2779999999999996</v>
      </c>
      <c r="L3704">
        <v>11</v>
      </c>
      <c r="M3704">
        <v>3</v>
      </c>
      <c r="N3704">
        <v>4</v>
      </c>
      <c r="O3704" t="s">
        <v>53</v>
      </c>
      <c r="P3704" t="s">
        <v>53</v>
      </c>
      <c r="Q3704" t="s">
        <v>53</v>
      </c>
    </row>
    <row r="3705" spans="1:17" x14ac:dyDescent="0.2">
      <c r="A3705" s="30" t="str">
        <f>IF(C3705&amp;G3705&amp;D3705&lt;&gt;'Funnel setup'!$K$3&amp;'Funnel setup'!$K$4&amp;'Funnel setup'!$K$5,".",IF(A3704=".",1,A3704+1))</f>
        <v>.</v>
      </c>
      <c r="B3705" s="431" t="str">
        <f t="shared" si="57"/>
        <v>Knee Replacement PrimaryCCG of GP PracticeNHS HARDWICK CCG (03Y)EQ VAS</v>
      </c>
      <c r="C3705" t="s">
        <v>249</v>
      </c>
      <c r="D3705" t="s">
        <v>87</v>
      </c>
      <c r="E3705" t="s">
        <v>923</v>
      </c>
      <c r="F3705" t="s">
        <v>924</v>
      </c>
      <c r="G3705" t="s">
        <v>179</v>
      </c>
      <c r="H3705">
        <v>121</v>
      </c>
      <c r="I3705">
        <v>66.587000000000003</v>
      </c>
      <c r="J3705">
        <v>70.917000000000002</v>
      </c>
      <c r="K3705">
        <v>4.3310000000000004</v>
      </c>
      <c r="L3705">
        <v>57</v>
      </c>
      <c r="M3705">
        <v>19</v>
      </c>
      <c r="N3705">
        <v>45</v>
      </c>
      <c r="O3705">
        <v>73.090999999999994</v>
      </c>
      <c r="P3705">
        <v>4.433042092</v>
      </c>
      <c r="Q3705">
        <v>15.423</v>
      </c>
    </row>
    <row r="3706" spans="1:17" x14ac:dyDescent="0.2">
      <c r="A3706" s="30" t="str">
        <f>IF(C3706&amp;G3706&amp;D3706&lt;&gt;'Funnel setup'!$K$3&amp;'Funnel setup'!$K$4&amp;'Funnel setup'!$K$5,".",IF(A3705=".",1,A3705+1))</f>
        <v>.</v>
      </c>
      <c r="B3706" s="431" t="str">
        <f t="shared" si="57"/>
        <v>Knee Replacement PrimaryCCG of GP PracticeNHS HARINGEY CCG (08D)EQ VAS</v>
      </c>
      <c r="C3706" t="s">
        <v>249</v>
      </c>
      <c r="D3706" t="s">
        <v>87</v>
      </c>
      <c r="E3706" t="s">
        <v>926</v>
      </c>
      <c r="F3706" t="s">
        <v>927</v>
      </c>
      <c r="G3706" t="s">
        <v>179</v>
      </c>
      <c r="H3706">
        <v>23</v>
      </c>
      <c r="I3706">
        <v>58.826000000000001</v>
      </c>
      <c r="J3706">
        <v>59.304000000000002</v>
      </c>
      <c r="K3706">
        <v>0.47799999999999998</v>
      </c>
      <c r="L3706">
        <v>13</v>
      </c>
      <c r="M3706">
        <v>0</v>
      </c>
      <c r="N3706">
        <v>10</v>
      </c>
      <c r="O3706" t="s">
        <v>53</v>
      </c>
      <c r="P3706" t="s">
        <v>53</v>
      </c>
      <c r="Q3706" t="s">
        <v>53</v>
      </c>
    </row>
    <row r="3707" spans="1:17" x14ac:dyDescent="0.2">
      <c r="A3707" s="30" t="str">
        <f>IF(C3707&amp;G3707&amp;D3707&lt;&gt;'Funnel setup'!$K$3&amp;'Funnel setup'!$K$4&amp;'Funnel setup'!$K$5,".",IF(A3706=".",1,A3706+1))</f>
        <v>.</v>
      </c>
      <c r="B3707" s="431" t="str">
        <f t="shared" si="57"/>
        <v>Knee Replacement PrimaryCCG of GP PracticeNHS HARROGATE AND RURAL DISTRICT CCG (03E)EQ VAS</v>
      </c>
      <c r="C3707" t="s">
        <v>249</v>
      </c>
      <c r="D3707" t="s">
        <v>87</v>
      </c>
      <c r="E3707" t="s">
        <v>929</v>
      </c>
      <c r="F3707" t="s">
        <v>930</v>
      </c>
      <c r="G3707" t="s">
        <v>179</v>
      </c>
      <c r="H3707">
        <v>131</v>
      </c>
      <c r="I3707">
        <v>71.947000000000003</v>
      </c>
      <c r="J3707">
        <v>78.572999999999993</v>
      </c>
      <c r="K3707">
        <v>6.6260000000000003</v>
      </c>
      <c r="L3707">
        <v>80</v>
      </c>
      <c r="M3707">
        <v>20</v>
      </c>
      <c r="N3707">
        <v>31</v>
      </c>
      <c r="O3707">
        <v>76.194000000000003</v>
      </c>
      <c r="P3707">
        <v>7.5355934070000004</v>
      </c>
      <c r="Q3707">
        <v>13.818</v>
      </c>
    </row>
    <row r="3708" spans="1:17" x14ac:dyDescent="0.2">
      <c r="A3708" s="30" t="str">
        <f>IF(C3708&amp;G3708&amp;D3708&lt;&gt;'Funnel setup'!$K$3&amp;'Funnel setup'!$K$4&amp;'Funnel setup'!$K$5,".",IF(A3707=".",1,A3707+1))</f>
        <v>.</v>
      </c>
      <c r="B3708" s="431" t="str">
        <f t="shared" si="57"/>
        <v>Knee Replacement PrimaryCCG of GP PracticeNHS HARROW CCG (08E)EQ VAS</v>
      </c>
      <c r="C3708" t="s">
        <v>249</v>
      </c>
      <c r="D3708" t="s">
        <v>87</v>
      </c>
      <c r="E3708" t="s">
        <v>492</v>
      </c>
      <c r="F3708" t="s">
        <v>493</v>
      </c>
      <c r="G3708" t="s">
        <v>179</v>
      </c>
      <c r="H3708">
        <v>109</v>
      </c>
      <c r="I3708">
        <v>61.412999999999997</v>
      </c>
      <c r="J3708">
        <v>71.063999999999993</v>
      </c>
      <c r="K3708">
        <v>9.6509999999999998</v>
      </c>
      <c r="L3708">
        <v>62</v>
      </c>
      <c r="M3708">
        <v>15</v>
      </c>
      <c r="N3708">
        <v>32</v>
      </c>
      <c r="O3708">
        <v>74.823999999999998</v>
      </c>
      <c r="P3708">
        <v>6.1656735520000003</v>
      </c>
      <c r="Q3708">
        <v>16.068000000000001</v>
      </c>
    </row>
    <row r="3709" spans="1:17" x14ac:dyDescent="0.2">
      <c r="A3709" s="30" t="str">
        <f>IF(C3709&amp;G3709&amp;D3709&lt;&gt;'Funnel setup'!$K$3&amp;'Funnel setup'!$K$4&amp;'Funnel setup'!$K$5,".",IF(A3708=".",1,A3708+1))</f>
        <v>.</v>
      </c>
      <c r="B3709" s="431" t="str">
        <f t="shared" si="57"/>
        <v>Knee Replacement PrimaryCCG of GP PracticeNHS HARTLEPOOL AND STOCKTON-ON-TEES CCG (00K)EQ VAS</v>
      </c>
      <c r="C3709" t="s">
        <v>249</v>
      </c>
      <c r="D3709" t="s">
        <v>87</v>
      </c>
      <c r="E3709" t="s">
        <v>495</v>
      </c>
      <c r="F3709" t="s">
        <v>496</v>
      </c>
      <c r="G3709" t="s">
        <v>179</v>
      </c>
      <c r="H3709">
        <v>307</v>
      </c>
      <c r="I3709">
        <v>65.950999999999993</v>
      </c>
      <c r="J3709">
        <v>74.201999999999998</v>
      </c>
      <c r="K3709">
        <v>8.2509999999999994</v>
      </c>
      <c r="L3709">
        <v>172</v>
      </c>
      <c r="M3709">
        <v>42</v>
      </c>
      <c r="N3709">
        <v>93</v>
      </c>
      <c r="O3709">
        <v>75.590999999999994</v>
      </c>
      <c r="P3709">
        <v>6.9328169810000002</v>
      </c>
      <c r="Q3709">
        <v>15.263</v>
      </c>
    </row>
    <row r="3710" spans="1:17" x14ac:dyDescent="0.2">
      <c r="A3710" s="30" t="str">
        <f>IF(C3710&amp;G3710&amp;D3710&lt;&gt;'Funnel setup'!$K$3&amp;'Funnel setup'!$K$4&amp;'Funnel setup'!$K$5,".",IF(A3709=".",1,A3709+1))</f>
        <v>.</v>
      </c>
      <c r="B3710" s="431" t="str">
        <f t="shared" si="57"/>
        <v>Knee Replacement PrimaryCCG of GP PracticeNHS HASTINGS AND ROTHER CCG (09P)EQ VAS</v>
      </c>
      <c r="C3710" t="s">
        <v>249</v>
      </c>
      <c r="D3710" t="s">
        <v>87</v>
      </c>
      <c r="E3710" t="s">
        <v>498</v>
      </c>
      <c r="F3710" t="s">
        <v>499</v>
      </c>
      <c r="G3710" t="s">
        <v>179</v>
      </c>
      <c r="H3710">
        <v>207</v>
      </c>
      <c r="I3710">
        <v>71.391000000000005</v>
      </c>
      <c r="J3710">
        <v>75.709999999999994</v>
      </c>
      <c r="K3710">
        <v>4.319</v>
      </c>
      <c r="L3710">
        <v>113</v>
      </c>
      <c r="M3710">
        <v>25</v>
      </c>
      <c r="N3710">
        <v>69</v>
      </c>
      <c r="O3710">
        <v>74.465999999999994</v>
      </c>
      <c r="P3710">
        <v>5.8078952140000002</v>
      </c>
      <c r="Q3710">
        <v>15.023</v>
      </c>
    </row>
    <row r="3711" spans="1:17" x14ac:dyDescent="0.2">
      <c r="A3711" s="30" t="str">
        <f>IF(C3711&amp;G3711&amp;D3711&lt;&gt;'Funnel setup'!$K$3&amp;'Funnel setup'!$K$4&amp;'Funnel setup'!$K$5,".",IF(A3710=".",1,A3710+1))</f>
        <v>.</v>
      </c>
      <c r="B3711" s="431" t="str">
        <f t="shared" si="57"/>
        <v>Knee Replacement PrimaryCCG of GP PracticeNHS HAVERING CCG (08F)EQ VAS</v>
      </c>
      <c r="C3711" t="s">
        <v>249</v>
      </c>
      <c r="D3711" t="s">
        <v>87</v>
      </c>
      <c r="E3711" t="s">
        <v>501</v>
      </c>
      <c r="F3711" t="s">
        <v>502</v>
      </c>
      <c r="G3711" t="s">
        <v>179</v>
      </c>
      <c r="H3711">
        <v>107</v>
      </c>
      <c r="I3711">
        <v>72.195999999999998</v>
      </c>
      <c r="J3711">
        <v>73.709999999999994</v>
      </c>
      <c r="K3711">
        <v>1.514</v>
      </c>
      <c r="L3711">
        <v>49</v>
      </c>
      <c r="M3711">
        <v>14</v>
      </c>
      <c r="N3711">
        <v>44</v>
      </c>
      <c r="O3711">
        <v>72.731999999999999</v>
      </c>
      <c r="P3711">
        <v>4.0740145170000002</v>
      </c>
      <c r="Q3711">
        <v>16.356000000000002</v>
      </c>
    </row>
    <row r="3712" spans="1:17" x14ac:dyDescent="0.2">
      <c r="A3712" s="30" t="str">
        <f>IF(C3712&amp;G3712&amp;D3712&lt;&gt;'Funnel setup'!$K$3&amp;'Funnel setup'!$K$4&amp;'Funnel setup'!$K$5,".",IF(A3711=".",1,A3711+1))</f>
        <v>.</v>
      </c>
      <c r="B3712" s="431" t="str">
        <f t="shared" si="57"/>
        <v>Knee Replacement PrimaryCCG of GP PracticeNHS HEREFORDSHIRE CCG (05F)EQ VAS</v>
      </c>
      <c r="C3712" t="s">
        <v>249</v>
      </c>
      <c r="D3712" t="s">
        <v>87</v>
      </c>
      <c r="E3712" t="s">
        <v>504</v>
      </c>
      <c r="F3712" t="s">
        <v>505</v>
      </c>
      <c r="G3712" t="s">
        <v>179</v>
      </c>
      <c r="H3712">
        <v>157</v>
      </c>
      <c r="I3712">
        <v>70.337999999999994</v>
      </c>
      <c r="J3712">
        <v>77.471000000000004</v>
      </c>
      <c r="K3712">
        <v>7.1340000000000003</v>
      </c>
      <c r="L3712">
        <v>95</v>
      </c>
      <c r="M3712">
        <v>11</v>
      </c>
      <c r="N3712">
        <v>51</v>
      </c>
      <c r="O3712">
        <v>76.239000000000004</v>
      </c>
      <c r="P3712">
        <v>7.58096558</v>
      </c>
      <c r="Q3712">
        <v>14.855</v>
      </c>
    </row>
    <row r="3713" spans="1:17" x14ac:dyDescent="0.2">
      <c r="A3713" s="30" t="str">
        <f>IF(C3713&amp;G3713&amp;D3713&lt;&gt;'Funnel setup'!$K$3&amp;'Funnel setup'!$K$4&amp;'Funnel setup'!$K$5,".",IF(A3712=".",1,A3712+1))</f>
        <v>.</v>
      </c>
      <c r="B3713" s="431" t="str">
        <f t="shared" si="57"/>
        <v>Knee Replacement PrimaryCCG of GP PracticeNHS HERTS VALLEYS CCG (06N)EQ VAS</v>
      </c>
      <c r="C3713" t="s">
        <v>249</v>
      </c>
      <c r="D3713" t="s">
        <v>87</v>
      </c>
      <c r="E3713" t="s">
        <v>507</v>
      </c>
      <c r="F3713" t="s">
        <v>508</v>
      </c>
      <c r="G3713" t="s">
        <v>179</v>
      </c>
      <c r="H3713">
        <v>344</v>
      </c>
      <c r="I3713">
        <v>69.506</v>
      </c>
      <c r="J3713">
        <v>75.400999999999996</v>
      </c>
      <c r="K3713">
        <v>5.8949999999999996</v>
      </c>
      <c r="L3713">
        <v>198</v>
      </c>
      <c r="M3713">
        <v>40</v>
      </c>
      <c r="N3713">
        <v>106</v>
      </c>
      <c r="O3713">
        <v>74.436000000000007</v>
      </c>
      <c r="P3713">
        <v>5.7780288610000001</v>
      </c>
      <c r="Q3713">
        <v>14.96</v>
      </c>
    </row>
    <row r="3714" spans="1:17" x14ac:dyDescent="0.2">
      <c r="A3714" s="30" t="str">
        <f>IF(C3714&amp;G3714&amp;D3714&lt;&gt;'Funnel setup'!$K$3&amp;'Funnel setup'!$K$4&amp;'Funnel setup'!$K$5,".",IF(A3713=".",1,A3713+1))</f>
        <v>.</v>
      </c>
      <c r="B3714" s="431" t="str">
        <f t="shared" si="57"/>
        <v>Knee Replacement PrimaryCCG of GP PracticeNHS HEYWOOD, MIDDLETON AND ROCHDALE CCG (01D)EQ VAS</v>
      </c>
      <c r="C3714" t="s">
        <v>249</v>
      </c>
      <c r="D3714" t="s">
        <v>87</v>
      </c>
      <c r="E3714" t="s">
        <v>510</v>
      </c>
      <c r="F3714" t="s">
        <v>511</v>
      </c>
      <c r="G3714" t="s">
        <v>179</v>
      </c>
      <c r="H3714">
        <v>79</v>
      </c>
      <c r="I3714">
        <v>68.986999999999995</v>
      </c>
      <c r="J3714">
        <v>70.911000000000001</v>
      </c>
      <c r="K3714">
        <v>1.9239999999999999</v>
      </c>
      <c r="L3714">
        <v>35</v>
      </c>
      <c r="M3714">
        <v>15</v>
      </c>
      <c r="N3714">
        <v>29</v>
      </c>
      <c r="O3714">
        <v>72.704999999999998</v>
      </c>
      <c r="P3714">
        <v>4.0464272149999996</v>
      </c>
      <c r="Q3714">
        <v>15.315</v>
      </c>
    </row>
    <row r="3715" spans="1:17" x14ac:dyDescent="0.2">
      <c r="A3715" s="30" t="str">
        <f>IF(C3715&amp;G3715&amp;D3715&lt;&gt;'Funnel setup'!$K$3&amp;'Funnel setup'!$K$4&amp;'Funnel setup'!$K$5,".",IF(A3714=".",1,A3714+1))</f>
        <v>.</v>
      </c>
      <c r="B3715" s="431" t="str">
        <f t="shared" ref="B3715:B3778" si="58">C3715&amp;D3715&amp;F3715&amp;G3715</f>
        <v>Knee Replacement PrimaryCCG of GP PracticeNHS HIGH WEALD LEWES HAVENS CCG (99K)EQ VAS</v>
      </c>
      <c r="C3715" t="s">
        <v>249</v>
      </c>
      <c r="D3715" t="s">
        <v>87</v>
      </c>
      <c r="E3715" t="s">
        <v>513</v>
      </c>
      <c r="F3715" t="s">
        <v>514</v>
      </c>
      <c r="G3715" t="s">
        <v>179</v>
      </c>
      <c r="H3715">
        <v>238</v>
      </c>
      <c r="I3715">
        <v>73.819000000000003</v>
      </c>
      <c r="J3715">
        <v>76.622</v>
      </c>
      <c r="K3715">
        <v>2.8029999999999999</v>
      </c>
      <c r="L3715">
        <v>129</v>
      </c>
      <c r="M3715">
        <v>27</v>
      </c>
      <c r="N3715">
        <v>82</v>
      </c>
      <c r="O3715">
        <v>73.807000000000002</v>
      </c>
      <c r="P3715">
        <v>5.1488936120000002</v>
      </c>
      <c r="Q3715">
        <v>16.03</v>
      </c>
    </row>
    <row r="3716" spans="1:17" x14ac:dyDescent="0.2">
      <c r="A3716" s="30" t="str">
        <f>IF(C3716&amp;G3716&amp;D3716&lt;&gt;'Funnel setup'!$K$3&amp;'Funnel setup'!$K$4&amp;'Funnel setup'!$K$5,".",IF(A3715=".",1,A3715+1))</f>
        <v>.</v>
      </c>
      <c r="B3716" s="431" t="str">
        <f t="shared" si="58"/>
        <v>Knee Replacement PrimaryCCG of GP PracticeNHS HILLINGDON CCG (08G)EQ VAS</v>
      </c>
      <c r="C3716" t="s">
        <v>249</v>
      </c>
      <c r="D3716" t="s">
        <v>87</v>
      </c>
      <c r="E3716" t="s">
        <v>516</v>
      </c>
      <c r="F3716" t="s">
        <v>517</v>
      </c>
      <c r="G3716" t="s">
        <v>179</v>
      </c>
      <c r="H3716">
        <v>111</v>
      </c>
      <c r="I3716">
        <v>71</v>
      </c>
      <c r="J3716">
        <v>71.936999999999998</v>
      </c>
      <c r="K3716">
        <v>0.93700000000000006</v>
      </c>
      <c r="L3716">
        <v>47</v>
      </c>
      <c r="M3716">
        <v>25</v>
      </c>
      <c r="N3716">
        <v>39</v>
      </c>
      <c r="O3716">
        <v>72.546000000000006</v>
      </c>
      <c r="P3716">
        <v>3.8876271330000001</v>
      </c>
      <c r="Q3716">
        <v>14.72</v>
      </c>
    </row>
    <row r="3717" spans="1:17" x14ac:dyDescent="0.2">
      <c r="A3717" s="30" t="str">
        <f>IF(C3717&amp;G3717&amp;D3717&lt;&gt;'Funnel setup'!$K$3&amp;'Funnel setup'!$K$4&amp;'Funnel setup'!$K$5,".",IF(A3716=".",1,A3716+1))</f>
        <v>.</v>
      </c>
      <c r="B3717" s="431" t="str">
        <f t="shared" si="58"/>
        <v>Knee Replacement PrimaryCCG of GP PracticeNHS HORSHAM AND MID SUSSEX CCG (09X)EQ VAS</v>
      </c>
      <c r="C3717" t="s">
        <v>249</v>
      </c>
      <c r="D3717" t="s">
        <v>87</v>
      </c>
      <c r="E3717" t="s">
        <v>519</v>
      </c>
      <c r="F3717" t="s">
        <v>520</v>
      </c>
      <c r="G3717" t="s">
        <v>179</v>
      </c>
      <c r="H3717">
        <v>161</v>
      </c>
      <c r="I3717">
        <v>73.626999999999995</v>
      </c>
      <c r="J3717">
        <v>78.459999999999994</v>
      </c>
      <c r="K3717">
        <v>4.8319999999999999</v>
      </c>
      <c r="L3717">
        <v>96</v>
      </c>
      <c r="M3717">
        <v>22</v>
      </c>
      <c r="N3717">
        <v>43</v>
      </c>
      <c r="O3717">
        <v>74.936999999999998</v>
      </c>
      <c r="P3717">
        <v>6.2790315899999998</v>
      </c>
      <c r="Q3717">
        <v>13.397</v>
      </c>
    </row>
    <row r="3718" spans="1:17" x14ac:dyDescent="0.2">
      <c r="A3718" s="30" t="str">
        <f>IF(C3718&amp;G3718&amp;D3718&lt;&gt;'Funnel setup'!$K$3&amp;'Funnel setup'!$K$4&amp;'Funnel setup'!$K$5,".",IF(A3717=".",1,A3717+1))</f>
        <v>.</v>
      </c>
      <c r="B3718" s="431" t="str">
        <f t="shared" si="58"/>
        <v>Knee Replacement PrimaryCCG of GP PracticeNHS HOUNSLOW CCG (07Y)EQ VAS</v>
      </c>
      <c r="C3718" t="s">
        <v>249</v>
      </c>
      <c r="D3718" t="s">
        <v>87</v>
      </c>
      <c r="E3718" t="s">
        <v>522</v>
      </c>
      <c r="F3718" t="s">
        <v>523</v>
      </c>
      <c r="G3718" t="s">
        <v>179</v>
      </c>
      <c r="H3718">
        <v>60</v>
      </c>
      <c r="I3718">
        <v>55.1</v>
      </c>
      <c r="J3718">
        <v>64.632999999999996</v>
      </c>
      <c r="K3718">
        <v>9.5329999999999995</v>
      </c>
      <c r="L3718">
        <v>35</v>
      </c>
      <c r="M3718">
        <v>10</v>
      </c>
      <c r="N3718">
        <v>15</v>
      </c>
      <c r="O3718">
        <v>71.933999999999997</v>
      </c>
      <c r="P3718">
        <v>3.2755239700000001</v>
      </c>
      <c r="Q3718">
        <v>14.920999999999999</v>
      </c>
    </row>
    <row r="3719" spans="1:17" x14ac:dyDescent="0.2">
      <c r="A3719" s="30" t="str">
        <f>IF(C3719&amp;G3719&amp;D3719&lt;&gt;'Funnel setup'!$K$3&amp;'Funnel setup'!$K$4&amp;'Funnel setup'!$K$5,".",IF(A3718=".",1,A3718+1))</f>
        <v>.</v>
      </c>
      <c r="B3719" s="431" t="str">
        <f t="shared" si="58"/>
        <v>Knee Replacement PrimaryCCG of GP PracticeNHS HULL CCG (03F)EQ VAS</v>
      </c>
      <c r="C3719" t="s">
        <v>249</v>
      </c>
      <c r="D3719" t="s">
        <v>87</v>
      </c>
      <c r="E3719" t="s">
        <v>525</v>
      </c>
      <c r="F3719" t="s">
        <v>526</v>
      </c>
      <c r="G3719" t="s">
        <v>179</v>
      </c>
      <c r="H3719">
        <v>207</v>
      </c>
      <c r="I3719">
        <v>64.337999999999994</v>
      </c>
      <c r="J3719">
        <v>70.676000000000002</v>
      </c>
      <c r="K3719">
        <v>6.3380000000000001</v>
      </c>
      <c r="L3719">
        <v>116</v>
      </c>
      <c r="M3719">
        <v>25</v>
      </c>
      <c r="N3719">
        <v>66</v>
      </c>
      <c r="O3719">
        <v>73.212000000000003</v>
      </c>
      <c r="P3719">
        <v>4.5537269260000004</v>
      </c>
      <c r="Q3719">
        <v>17.506</v>
      </c>
    </row>
    <row r="3720" spans="1:17" x14ac:dyDescent="0.2">
      <c r="A3720" s="30" t="str">
        <f>IF(C3720&amp;G3720&amp;D3720&lt;&gt;'Funnel setup'!$K$3&amp;'Funnel setup'!$K$4&amp;'Funnel setup'!$K$5,".",IF(A3719=".",1,A3719+1))</f>
        <v>.</v>
      </c>
      <c r="B3720" s="431" t="str">
        <f t="shared" si="58"/>
        <v>Knee Replacement PrimaryCCG of GP PracticeNHS IPSWICH AND EAST SUFFOLK CCG (06L)EQ VAS</v>
      </c>
      <c r="C3720" t="s">
        <v>249</v>
      </c>
      <c r="D3720" t="s">
        <v>87</v>
      </c>
      <c r="E3720" t="s">
        <v>528</v>
      </c>
      <c r="F3720" t="s">
        <v>529</v>
      </c>
      <c r="G3720" t="s">
        <v>179</v>
      </c>
      <c r="H3720">
        <v>227</v>
      </c>
      <c r="I3720">
        <v>71.471000000000004</v>
      </c>
      <c r="J3720">
        <v>77.942999999999998</v>
      </c>
      <c r="K3720">
        <v>6.4710000000000001</v>
      </c>
      <c r="L3720">
        <v>118</v>
      </c>
      <c r="M3720">
        <v>40</v>
      </c>
      <c r="N3720">
        <v>69</v>
      </c>
      <c r="O3720">
        <v>76.463999999999999</v>
      </c>
      <c r="P3720">
        <v>7.8059245949999996</v>
      </c>
      <c r="Q3720">
        <v>13.865</v>
      </c>
    </row>
    <row r="3721" spans="1:17" x14ac:dyDescent="0.2">
      <c r="A3721" s="30" t="str">
        <f>IF(C3721&amp;G3721&amp;D3721&lt;&gt;'Funnel setup'!$K$3&amp;'Funnel setup'!$K$4&amp;'Funnel setup'!$K$5,".",IF(A3720=".",1,A3720+1))</f>
        <v>.</v>
      </c>
      <c r="B3721" s="431" t="str">
        <f t="shared" si="58"/>
        <v>Knee Replacement PrimaryCCG of GP PracticeNHS ISLE OF WIGHT CCG (10L)EQ VAS</v>
      </c>
      <c r="C3721" t="s">
        <v>249</v>
      </c>
      <c r="D3721" t="s">
        <v>87</v>
      </c>
      <c r="E3721" t="s">
        <v>531</v>
      </c>
      <c r="F3721" t="s">
        <v>532</v>
      </c>
      <c r="G3721" t="s">
        <v>179</v>
      </c>
      <c r="H3721">
        <v>96</v>
      </c>
      <c r="I3721">
        <v>68.646000000000001</v>
      </c>
      <c r="J3721">
        <v>73.521000000000001</v>
      </c>
      <c r="K3721">
        <v>4.875</v>
      </c>
      <c r="L3721">
        <v>46</v>
      </c>
      <c r="M3721">
        <v>12</v>
      </c>
      <c r="N3721">
        <v>38</v>
      </c>
      <c r="O3721">
        <v>73.667000000000002</v>
      </c>
      <c r="P3721">
        <v>5.0087576829999998</v>
      </c>
      <c r="Q3721">
        <v>17.181000000000001</v>
      </c>
    </row>
    <row r="3722" spans="1:17" x14ac:dyDescent="0.2">
      <c r="A3722" s="30" t="str">
        <f>IF(C3722&amp;G3722&amp;D3722&lt;&gt;'Funnel setup'!$K$3&amp;'Funnel setup'!$K$4&amp;'Funnel setup'!$K$5,".",IF(A3721=".",1,A3721+1))</f>
        <v>.</v>
      </c>
      <c r="B3722" s="431" t="str">
        <f t="shared" si="58"/>
        <v>Knee Replacement PrimaryCCG of GP PracticeNHS ISLINGTON CCG (08H)EQ VAS</v>
      </c>
      <c r="C3722" t="s">
        <v>249</v>
      </c>
      <c r="D3722" t="s">
        <v>87</v>
      </c>
      <c r="E3722" t="s">
        <v>534</v>
      </c>
      <c r="F3722" t="s">
        <v>535</v>
      </c>
      <c r="G3722" t="s">
        <v>179</v>
      </c>
      <c r="H3722">
        <v>18</v>
      </c>
      <c r="I3722">
        <v>62.5</v>
      </c>
      <c r="J3722">
        <v>73.721999999999994</v>
      </c>
      <c r="K3722">
        <v>11.222</v>
      </c>
      <c r="L3722">
        <v>12</v>
      </c>
      <c r="M3722">
        <v>2</v>
      </c>
      <c r="N3722">
        <v>4</v>
      </c>
      <c r="O3722" t="s">
        <v>53</v>
      </c>
      <c r="P3722" t="s">
        <v>53</v>
      </c>
      <c r="Q3722" t="s">
        <v>53</v>
      </c>
    </row>
    <row r="3723" spans="1:17" x14ac:dyDescent="0.2">
      <c r="A3723" s="30" t="str">
        <f>IF(C3723&amp;G3723&amp;D3723&lt;&gt;'Funnel setup'!$K$3&amp;'Funnel setup'!$K$4&amp;'Funnel setup'!$K$5,".",IF(A3722=".",1,A3722+1))</f>
        <v>.</v>
      </c>
      <c r="B3723" s="431" t="str">
        <f t="shared" si="58"/>
        <v>Knee Replacement PrimaryCCG of GP PracticeNHS KERNOW CCG (11N)EQ VAS</v>
      </c>
      <c r="C3723" t="s">
        <v>249</v>
      </c>
      <c r="D3723" t="s">
        <v>87</v>
      </c>
      <c r="E3723" t="s">
        <v>537</v>
      </c>
      <c r="F3723" t="s">
        <v>538</v>
      </c>
      <c r="G3723" t="s">
        <v>179</v>
      </c>
      <c r="H3723">
        <v>602</v>
      </c>
      <c r="I3723">
        <v>70.620999999999995</v>
      </c>
      <c r="J3723">
        <v>77.356999999999999</v>
      </c>
      <c r="K3723">
        <v>6.7359999999999998</v>
      </c>
      <c r="L3723">
        <v>352</v>
      </c>
      <c r="M3723">
        <v>82</v>
      </c>
      <c r="N3723">
        <v>168</v>
      </c>
      <c r="O3723">
        <v>76.686999999999998</v>
      </c>
      <c r="P3723">
        <v>8.0291364630000004</v>
      </c>
      <c r="Q3723">
        <v>14.449</v>
      </c>
    </row>
    <row r="3724" spans="1:17" x14ac:dyDescent="0.2">
      <c r="A3724" s="30" t="str">
        <f>IF(C3724&amp;G3724&amp;D3724&lt;&gt;'Funnel setup'!$K$3&amp;'Funnel setup'!$K$4&amp;'Funnel setup'!$K$5,".",IF(A3723=".",1,A3723+1))</f>
        <v>.</v>
      </c>
      <c r="B3724" s="431" t="str">
        <f t="shared" si="58"/>
        <v>Knee Replacement PrimaryCCG of GP PracticeNHS KINGSTON CCG (08J)EQ VAS</v>
      </c>
      <c r="C3724" t="s">
        <v>249</v>
      </c>
      <c r="D3724" t="s">
        <v>87</v>
      </c>
      <c r="E3724" t="s">
        <v>540</v>
      </c>
      <c r="F3724" t="s">
        <v>541</v>
      </c>
      <c r="G3724" t="s">
        <v>179</v>
      </c>
      <c r="H3724">
        <v>46</v>
      </c>
      <c r="I3724">
        <v>67.716999999999999</v>
      </c>
      <c r="J3724">
        <v>79.260999999999996</v>
      </c>
      <c r="K3724">
        <v>11.542999999999999</v>
      </c>
      <c r="L3724">
        <v>30</v>
      </c>
      <c r="M3724">
        <v>5</v>
      </c>
      <c r="N3724">
        <v>11</v>
      </c>
      <c r="O3724">
        <v>78.698999999999998</v>
      </c>
      <c r="P3724">
        <v>10.040514160000001</v>
      </c>
      <c r="Q3724">
        <v>13.621</v>
      </c>
    </row>
    <row r="3725" spans="1:17" x14ac:dyDescent="0.2">
      <c r="A3725" s="30" t="str">
        <f>IF(C3725&amp;G3725&amp;D3725&lt;&gt;'Funnel setup'!$K$3&amp;'Funnel setup'!$K$4&amp;'Funnel setup'!$K$5,".",IF(A3724=".",1,A3724+1))</f>
        <v>.</v>
      </c>
      <c r="B3725" s="431" t="str">
        <f t="shared" si="58"/>
        <v>Knee Replacement PrimaryCCG of GP PracticeNHS KNOWSLEY CCG (01J)EQ VAS</v>
      </c>
      <c r="C3725" t="s">
        <v>249</v>
      </c>
      <c r="D3725" t="s">
        <v>87</v>
      </c>
      <c r="E3725" t="s">
        <v>543</v>
      </c>
      <c r="F3725" t="s">
        <v>544</v>
      </c>
      <c r="G3725" t="s">
        <v>179</v>
      </c>
      <c r="H3725">
        <v>97</v>
      </c>
      <c r="I3725">
        <v>69.155000000000001</v>
      </c>
      <c r="J3725">
        <v>70.959000000000003</v>
      </c>
      <c r="K3725">
        <v>1.804</v>
      </c>
      <c r="L3725">
        <v>45</v>
      </c>
      <c r="M3725">
        <v>16</v>
      </c>
      <c r="N3725">
        <v>36</v>
      </c>
      <c r="O3725">
        <v>73.073999999999998</v>
      </c>
      <c r="P3725">
        <v>4.4156503540000003</v>
      </c>
      <c r="Q3725">
        <v>16.114000000000001</v>
      </c>
    </row>
    <row r="3726" spans="1:17" x14ac:dyDescent="0.2">
      <c r="A3726" s="30" t="str">
        <f>IF(C3726&amp;G3726&amp;D3726&lt;&gt;'Funnel setup'!$K$3&amp;'Funnel setup'!$K$4&amp;'Funnel setup'!$K$5,".",IF(A3725=".",1,A3725+1))</f>
        <v>.</v>
      </c>
      <c r="B3726" s="431" t="str">
        <f t="shared" si="58"/>
        <v>Knee Replacement PrimaryCCG of GP PracticeNHS LAMBETH CCG (08K)EQ VAS</v>
      </c>
      <c r="C3726" t="s">
        <v>249</v>
      </c>
      <c r="D3726" t="s">
        <v>87</v>
      </c>
      <c r="E3726" t="s">
        <v>546</v>
      </c>
      <c r="F3726" t="s">
        <v>547</v>
      </c>
      <c r="G3726" t="s">
        <v>179</v>
      </c>
      <c r="H3726">
        <v>35</v>
      </c>
      <c r="I3726">
        <v>61.085999999999999</v>
      </c>
      <c r="J3726">
        <v>67.629000000000005</v>
      </c>
      <c r="K3726">
        <v>6.5430000000000001</v>
      </c>
      <c r="L3726">
        <v>19</v>
      </c>
      <c r="M3726">
        <v>4</v>
      </c>
      <c r="N3726">
        <v>12</v>
      </c>
      <c r="O3726">
        <v>72.260000000000005</v>
      </c>
      <c r="P3726">
        <v>3.6019695970000001</v>
      </c>
      <c r="Q3726">
        <v>17.882999999999999</v>
      </c>
    </row>
    <row r="3727" spans="1:17" x14ac:dyDescent="0.2">
      <c r="A3727" s="30" t="str">
        <f>IF(C3727&amp;G3727&amp;D3727&lt;&gt;'Funnel setup'!$K$3&amp;'Funnel setup'!$K$4&amp;'Funnel setup'!$K$5,".",IF(A3726=".",1,A3726+1))</f>
        <v>.</v>
      </c>
      <c r="B3727" s="431" t="str">
        <f t="shared" si="58"/>
        <v>Knee Replacement PrimaryCCG of GP PracticeNHS LANCASHIRE NORTH CCG (01K)EQ VAS</v>
      </c>
      <c r="C3727" t="s">
        <v>249</v>
      </c>
      <c r="D3727" t="s">
        <v>87</v>
      </c>
      <c r="E3727" t="s">
        <v>549</v>
      </c>
      <c r="F3727" t="s">
        <v>550</v>
      </c>
      <c r="G3727" t="s">
        <v>179</v>
      </c>
      <c r="H3727">
        <v>162</v>
      </c>
      <c r="I3727">
        <v>70.278000000000006</v>
      </c>
      <c r="J3727">
        <v>75.802000000000007</v>
      </c>
      <c r="K3727">
        <v>5.5250000000000004</v>
      </c>
      <c r="L3727">
        <v>89</v>
      </c>
      <c r="M3727">
        <v>20</v>
      </c>
      <c r="N3727">
        <v>53</v>
      </c>
      <c r="O3727">
        <v>74.361000000000004</v>
      </c>
      <c r="P3727">
        <v>5.7029481239999997</v>
      </c>
      <c r="Q3727">
        <v>14.007999999999999</v>
      </c>
    </row>
    <row r="3728" spans="1:17" x14ac:dyDescent="0.2">
      <c r="A3728" s="30" t="str">
        <f>IF(C3728&amp;G3728&amp;D3728&lt;&gt;'Funnel setup'!$K$3&amp;'Funnel setup'!$K$4&amp;'Funnel setup'!$K$5,".",IF(A3727=".",1,A3727+1))</f>
        <v>.</v>
      </c>
      <c r="B3728" s="431" t="str">
        <f t="shared" si="58"/>
        <v>Knee Replacement PrimaryCCG of GP PracticeNHS LEEDS NORTH CCG (02V)EQ VAS</v>
      </c>
      <c r="C3728" t="s">
        <v>249</v>
      </c>
      <c r="D3728" t="s">
        <v>87</v>
      </c>
      <c r="E3728" t="s">
        <v>552</v>
      </c>
      <c r="F3728" t="s">
        <v>337</v>
      </c>
      <c r="G3728" t="s">
        <v>179</v>
      </c>
      <c r="H3728">
        <v>140</v>
      </c>
      <c r="I3728">
        <v>70.614000000000004</v>
      </c>
      <c r="J3728">
        <v>75.349999999999994</v>
      </c>
      <c r="K3728">
        <v>4.7359999999999998</v>
      </c>
      <c r="L3728">
        <v>74</v>
      </c>
      <c r="M3728">
        <v>19</v>
      </c>
      <c r="N3728">
        <v>47</v>
      </c>
      <c r="O3728">
        <v>74.506</v>
      </c>
      <c r="P3728">
        <v>5.8472749339999996</v>
      </c>
      <c r="Q3728">
        <v>14.855</v>
      </c>
    </row>
    <row r="3729" spans="1:17" x14ac:dyDescent="0.2">
      <c r="A3729" s="30" t="str">
        <f>IF(C3729&amp;G3729&amp;D3729&lt;&gt;'Funnel setup'!$K$3&amp;'Funnel setup'!$K$4&amp;'Funnel setup'!$K$5,".",IF(A3728=".",1,A3728+1))</f>
        <v>.</v>
      </c>
      <c r="B3729" s="431" t="str">
        <f t="shared" si="58"/>
        <v>Knee Replacement PrimaryCCG of GP PracticeNHS LEEDS SOUTH AND EAST CCG (03G)EQ VAS</v>
      </c>
      <c r="C3729" t="s">
        <v>249</v>
      </c>
      <c r="D3729" t="s">
        <v>87</v>
      </c>
      <c r="E3729" t="s">
        <v>396</v>
      </c>
      <c r="F3729" t="s">
        <v>397</v>
      </c>
      <c r="G3729" t="s">
        <v>179</v>
      </c>
      <c r="H3729">
        <v>197</v>
      </c>
      <c r="I3729">
        <v>70.293999999999997</v>
      </c>
      <c r="J3729">
        <v>75.650000000000006</v>
      </c>
      <c r="K3729">
        <v>5.3550000000000004</v>
      </c>
      <c r="L3729">
        <v>106</v>
      </c>
      <c r="M3729">
        <v>36</v>
      </c>
      <c r="N3729">
        <v>55</v>
      </c>
      <c r="O3729">
        <v>75.412000000000006</v>
      </c>
      <c r="P3729">
        <v>6.7534470659999997</v>
      </c>
      <c r="Q3729">
        <v>13.916</v>
      </c>
    </row>
    <row r="3730" spans="1:17" x14ac:dyDescent="0.2">
      <c r="A3730" s="30" t="str">
        <f>IF(C3730&amp;G3730&amp;D3730&lt;&gt;'Funnel setup'!$K$3&amp;'Funnel setup'!$K$4&amp;'Funnel setup'!$K$5,".",IF(A3729=".",1,A3729+1))</f>
        <v>.</v>
      </c>
      <c r="B3730" s="431" t="str">
        <f t="shared" si="58"/>
        <v>Knee Replacement PrimaryCCG of GP PracticeNHS LEEDS WEST CCG (03C)EQ VAS</v>
      </c>
      <c r="C3730" t="s">
        <v>249</v>
      </c>
      <c r="D3730" t="s">
        <v>87</v>
      </c>
      <c r="E3730" t="s">
        <v>399</v>
      </c>
      <c r="F3730" t="s">
        <v>400</v>
      </c>
      <c r="G3730" t="s">
        <v>179</v>
      </c>
      <c r="H3730">
        <v>217</v>
      </c>
      <c r="I3730">
        <v>70.852999999999994</v>
      </c>
      <c r="J3730">
        <v>73.760000000000005</v>
      </c>
      <c r="K3730">
        <v>2.9079999999999999</v>
      </c>
      <c r="L3730">
        <v>103</v>
      </c>
      <c r="M3730">
        <v>35</v>
      </c>
      <c r="N3730">
        <v>79</v>
      </c>
      <c r="O3730">
        <v>73.272000000000006</v>
      </c>
      <c r="P3730">
        <v>4.6137136029999999</v>
      </c>
      <c r="Q3730">
        <v>15.862</v>
      </c>
    </row>
    <row r="3731" spans="1:17" x14ac:dyDescent="0.2">
      <c r="A3731" s="30" t="str">
        <f>IF(C3731&amp;G3731&amp;D3731&lt;&gt;'Funnel setup'!$K$3&amp;'Funnel setup'!$K$4&amp;'Funnel setup'!$K$5,".",IF(A3730=".",1,A3730+1))</f>
        <v>.</v>
      </c>
      <c r="B3731" s="431" t="str">
        <f t="shared" si="58"/>
        <v>Knee Replacement PrimaryCCG of GP PracticeNHS LEICESTER CITY CCG (04C)EQ VAS</v>
      </c>
      <c r="C3731" t="s">
        <v>249</v>
      </c>
      <c r="D3731" t="s">
        <v>87</v>
      </c>
      <c r="E3731" t="s">
        <v>554</v>
      </c>
      <c r="F3731" t="s">
        <v>555</v>
      </c>
      <c r="G3731" t="s">
        <v>179</v>
      </c>
      <c r="H3731">
        <v>157</v>
      </c>
      <c r="I3731">
        <v>64.222999999999999</v>
      </c>
      <c r="J3731">
        <v>71.471000000000004</v>
      </c>
      <c r="K3731">
        <v>7.2480000000000002</v>
      </c>
      <c r="L3731">
        <v>92</v>
      </c>
      <c r="M3731">
        <v>17</v>
      </c>
      <c r="N3731">
        <v>48</v>
      </c>
      <c r="O3731">
        <v>76.203999999999994</v>
      </c>
      <c r="P3731">
        <v>7.5452247080000001</v>
      </c>
      <c r="Q3731">
        <v>16.215</v>
      </c>
    </row>
    <row r="3732" spans="1:17" x14ac:dyDescent="0.2">
      <c r="A3732" s="30" t="str">
        <f>IF(C3732&amp;G3732&amp;D3732&lt;&gt;'Funnel setup'!$K$3&amp;'Funnel setup'!$K$4&amp;'Funnel setup'!$K$5,".",IF(A3731=".",1,A3731+1))</f>
        <v>.</v>
      </c>
      <c r="B3732" s="431" t="str">
        <f t="shared" si="58"/>
        <v>Knee Replacement PrimaryCCG of GP PracticeNHS LEWISHAM CCG (08L)EQ VAS</v>
      </c>
      <c r="C3732" t="s">
        <v>249</v>
      </c>
      <c r="D3732" t="s">
        <v>87</v>
      </c>
      <c r="E3732" t="s">
        <v>557</v>
      </c>
      <c r="F3732" t="s">
        <v>558</v>
      </c>
      <c r="G3732" t="s">
        <v>179</v>
      </c>
      <c r="H3732">
        <v>58</v>
      </c>
      <c r="I3732">
        <v>65.516999999999996</v>
      </c>
      <c r="J3732">
        <v>70.552000000000007</v>
      </c>
      <c r="K3732">
        <v>5.0339999999999998</v>
      </c>
      <c r="L3732">
        <v>31</v>
      </c>
      <c r="M3732">
        <v>5</v>
      </c>
      <c r="N3732">
        <v>22</v>
      </c>
      <c r="O3732">
        <v>73.664000000000001</v>
      </c>
      <c r="P3732">
        <v>5.0057715710000004</v>
      </c>
      <c r="Q3732">
        <v>15.592000000000001</v>
      </c>
    </row>
    <row r="3733" spans="1:17" x14ac:dyDescent="0.2">
      <c r="A3733" s="30" t="str">
        <f>IF(C3733&amp;G3733&amp;D3733&lt;&gt;'Funnel setup'!$K$3&amp;'Funnel setup'!$K$4&amp;'Funnel setup'!$K$5,".",IF(A3732=".",1,A3732+1))</f>
        <v>.</v>
      </c>
      <c r="B3733" s="431" t="str">
        <f t="shared" si="58"/>
        <v>Knee Replacement PrimaryCCG of GP PracticeNHS LINCOLNSHIRE EAST CCG (03T)EQ VAS</v>
      </c>
      <c r="C3733" t="s">
        <v>249</v>
      </c>
      <c r="D3733" t="s">
        <v>87</v>
      </c>
      <c r="E3733" t="s">
        <v>560</v>
      </c>
      <c r="F3733" t="s">
        <v>561</v>
      </c>
      <c r="G3733" t="s">
        <v>179</v>
      </c>
      <c r="H3733">
        <v>214</v>
      </c>
      <c r="I3733">
        <v>73</v>
      </c>
      <c r="J3733">
        <v>75.022999999999996</v>
      </c>
      <c r="K3733">
        <v>2.0230000000000001</v>
      </c>
      <c r="L3733">
        <v>107</v>
      </c>
      <c r="M3733">
        <v>33</v>
      </c>
      <c r="N3733">
        <v>74</v>
      </c>
      <c r="O3733">
        <v>73.959999999999994</v>
      </c>
      <c r="P3733">
        <v>5.3020285190000003</v>
      </c>
      <c r="Q3733">
        <v>18.530999999999999</v>
      </c>
    </row>
    <row r="3734" spans="1:17" x14ac:dyDescent="0.2">
      <c r="A3734" s="30" t="str">
        <f>IF(C3734&amp;G3734&amp;D3734&lt;&gt;'Funnel setup'!$K$3&amp;'Funnel setup'!$K$4&amp;'Funnel setup'!$K$5,".",IF(A3733=".",1,A3733+1))</f>
        <v>.</v>
      </c>
      <c r="B3734" s="431" t="str">
        <f t="shared" si="58"/>
        <v>Knee Replacement PrimaryCCG of GP PracticeNHS LINCOLNSHIRE WEST CCG (04D)EQ VAS</v>
      </c>
      <c r="C3734" t="s">
        <v>249</v>
      </c>
      <c r="D3734" t="s">
        <v>87</v>
      </c>
      <c r="E3734" t="s">
        <v>408</v>
      </c>
      <c r="F3734" t="s">
        <v>409</v>
      </c>
      <c r="G3734" t="s">
        <v>179</v>
      </c>
      <c r="H3734">
        <v>177</v>
      </c>
      <c r="I3734">
        <v>67.497</v>
      </c>
      <c r="J3734">
        <v>76.977000000000004</v>
      </c>
      <c r="K3734">
        <v>9.48</v>
      </c>
      <c r="L3734">
        <v>110</v>
      </c>
      <c r="M3734">
        <v>19</v>
      </c>
      <c r="N3734">
        <v>48</v>
      </c>
      <c r="O3734">
        <v>76.248999999999995</v>
      </c>
      <c r="P3734">
        <v>7.591135886</v>
      </c>
      <c r="Q3734">
        <v>14.553000000000001</v>
      </c>
    </row>
    <row r="3735" spans="1:17" x14ac:dyDescent="0.2">
      <c r="A3735" s="30" t="str">
        <f>IF(C3735&amp;G3735&amp;D3735&lt;&gt;'Funnel setup'!$K$3&amp;'Funnel setup'!$K$4&amp;'Funnel setup'!$K$5,".",IF(A3734=".",1,A3734+1))</f>
        <v>.</v>
      </c>
      <c r="B3735" s="431" t="str">
        <f t="shared" si="58"/>
        <v>Knee Replacement PrimaryCCG of GP PracticeNHS LIVERPOOL CCG (99A)EQ VAS</v>
      </c>
      <c r="C3735" t="s">
        <v>249</v>
      </c>
      <c r="D3735" t="s">
        <v>87</v>
      </c>
      <c r="E3735" t="s">
        <v>411</v>
      </c>
      <c r="F3735" t="s">
        <v>412</v>
      </c>
      <c r="G3735" t="s">
        <v>179</v>
      </c>
      <c r="H3735">
        <v>211</v>
      </c>
      <c r="I3735">
        <v>67.013999999999996</v>
      </c>
      <c r="J3735">
        <v>71.635000000000005</v>
      </c>
      <c r="K3735">
        <v>4.6210000000000004</v>
      </c>
      <c r="L3735">
        <v>111</v>
      </c>
      <c r="M3735">
        <v>25</v>
      </c>
      <c r="N3735">
        <v>75</v>
      </c>
      <c r="O3735">
        <v>73.835999999999999</v>
      </c>
      <c r="P3735">
        <v>5.1776270980000003</v>
      </c>
      <c r="Q3735">
        <v>15.317</v>
      </c>
    </row>
    <row r="3736" spans="1:17" x14ac:dyDescent="0.2">
      <c r="A3736" s="30" t="str">
        <f>IF(C3736&amp;G3736&amp;D3736&lt;&gt;'Funnel setup'!$K$3&amp;'Funnel setup'!$K$4&amp;'Funnel setup'!$K$5,".",IF(A3735=".",1,A3735+1))</f>
        <v>.</v>
      </c>
      <c r="B3736" s="431" t="str">
        <f t="shared" si="58"/>
        <v>Knee Replacement PrimaryCCG of GP PracticeNHS LUTON CCG (06P)EQ VAS</v>
      </c>
      <c r="C3736" t="s">
        <v>249</v>
      </c>
      <c r="D3736" t="s">
        <v>87</v>
      </c>
      <c r="E3736" t="s">
        <v>414</v>
      </c>
      <c r="F3736" t="s">
        <v>415</v>
      </c>
      <c r="G3736" t="s">
        <v>179</v>
      </c>
      <c r="H3736">
        <v>112</v>
      </c>
      <c r="I3736">
        <v>65.634</v>
      </c>
      <c r="J3736">
        <v>73.491</v>
      </c>
      <c r="K3736">
        <v>7.8570000000000002</v>
      </c>
      <c r="L3736">
        <v>69</v>
      </c>
      <c r="M3736">
        <v>10</v>
      </c>
      <c r="N3736">
        <v>33</v>
      </c>
      <c r="O3736">
        <v>76.162999999999997</v>
      </c>
      <c r="P3736">
        <v>7.5044558959999996</v>
      </c>
      <c r="Q3736">
        <v>17.920000000000002</v>
      </c>
    </row>
    <row r="3737" spans="1:17" x14ac:dyDescent="0.2">
      <c r="A3737" s="30" t="str">
        <f>IF(C3737&amp;G3737&amp;D3737&lt;&gt;'Funnel setup'!$K$3&amp;'Funnel setup'!$K$4&amp;'Funnel setup'!$K$5,".",IF(A3736=".",1,A3736+1))</f>
        <v>.</v>
      </c>
      <c r="B3737" s="431" t="str">
        <f t="shared" si="58"/>
        <v>Knee Replacement PrimaryCCG of GP PracticeNHS MANSFIELD AND ASHFIELD CCG (04E)EQ VAS</v>
      </c>
      <c r="C3737" t="s">
        <v>249</v>
      </c>
      <c r="D3737" t="s">
        <v>87</v>
      </c>
      <c r="E3737" t="s">
        <v>417</v>
      </c>
      <c r="F3737" t="s">
        <v>418</v>
      </c>
      <c r="G3737" t="s">
        <v>179</v>
      </c>
      <c r="H3737">
        <v>118</v>
      </c>
      <c r="I3737">
        <v>64.271000000000001</v>
      </c>
      <c r="J3737">
        <v>69.703000000000003</v>
      </c>
      <c r="K3737">
        <v>5.4320000000000004</v>
      </c>
      <c r="L3737">
        <v>72</v>
      </c>
      <c r="M3737">
        <v>12</v>
      </c>
      <c r="N3737">
        <v>34</v>
      </c>
      <c r="O3737">
        <v>72.781999999999996</v>
      </c>
      <c r="P3737">
        <v>4.1234875219999996</v>
      </c>
      <c r="Q3737">
        <v>17.109000000000002</v>
      </c>
    </row>
    <row r="3738" spans="1:17" x14ac:dyDescent="0.2">
      <c r="A3738" s="30" t="str">
        <f>IF(C3738&amp;G3738&amp;D3738&lt;&gt;'Funnel setup'!$K$3&amp;'Funnel setup'!$K$4&amp;'Funnel setup'!$K$5,".",IF(A3737=".",1,A3737+1))</f>
        <v>.</v>
      </c>
      <c r="B3738" s="431" t="str">
        <f t="shared" si="58"/>
        <v>Knee Replacement PrimaryCCG of GP PracticeNHS MEDWAY CCG (09W)EQ VAS</v>
      </c>
      <c r="C3738" t="s">
        <v>249</v>
      </c>
      <c r="D3738" t="s">
        <v>87</v>
      </c>
      <c r="E3738" t="s">
        <v>610</v>
      </c>
      <c r="F3738" t="s">
        <v>611</v>
      </c>
      <c r="G3738" t="s">
        <v>179</v>
      </c>
      <c r="H3738">
        <v>152</v>
      </c>
      <c r="I3738">
        <v>67.775999999999996</v>
      </c>
      <c r="J3738">
        <v>73.796000000000006</v>
      </c>
      <c r="K3738">
        <v>6.02</v>
      </c>
      <c r="L3738">
        <v>89</v>
      </c>
      <c r="M3738">
        <v>19</v>
      </c>
      <c r="N3738">
        <v>44</v>
      </c>
      <c r="O3738">
        <v>74.091999999999999</v>
      </c>
      <c r="P3738">
        <v>5.4341004670000004</v>
      </c>
      <c r="Q3738">
        <v>17.404</v>
      </c>
    </row>
    <row r="3739" spans="1:17" x14ac:dyDescent="0.2">
      <c r="A3739" s="30" t="str">
        <f>IF(C3739&amp;G3739&amp;D3739&lt;&gt;'Funnel setup'!$K$3&amp;'Funnel setup'!$K$4&amp;'Funnel setup'!$K$5,".",IF(A3738=".",1,A3738+1))</f>
        <v>.</v>
      </c>
      <c r="B3739" s="431" t="str">
        <f t="shared" si="58"/>
        <v>Knee Replacement PrimaryCCG of GP PracticeNHS MERTON CCG (08R)EQ VAS</v>
      </c>
      <c r="C3739" t="s">
        <v>249</v>
      </c>
      <c r="D3739" t="s">
        <v>87</v>
      </c>
      <c r="E3739" t="s">
        <v>613</v>
      </c>
      <c r="F3739" t="s">
        <v>614</v>
      </c>
      <c r="G3739" t="s">
        <v>179</v>
      </c>
      <c r="H3739">
        <v>54</v>
      </c>
      <c r="I3739">
        <v>69.480999999999995</v>
      </c>
      <c r="J3739">
        <v>70.63</v>
      </c>
      <c r="K3739">
        <v>1.1479999999999999</v>
      </c>
      <c r="L3739">
        <v>30</v>
      </c>
      <c r="M3739">
        <v>11</v>
      </c>
      <c r="N3739">
        <v>13</v>
      </c>
      <c r="O3739">
        <v>70.488</v>
      </c>
      <c r="P3739">
        <v>1.8293453930000001</v>
      </c>
      <c r="Q3739">
        <v>16.625</v>
      </c>
    </row>
    <row r="3740" spans="1:17" x14ac:dyDescent="0.2">
      <c r="A3740" s="30" t="str">
        <f>IF(C3740&amp;G3740&amp;D3740&lt;&gt;'Funnel setup'!$K$3&amp;'Funnel setup'!$K$4&amp;'Funnel setup'!$K$5,".",IF(A3739=".",1,A3739+1))</f>
        <v>.</v>
      </c>
      <c r="B3740" s="431" t="str">
        <f t="shared" si="58"/>
        <v>Knee Replacement PrimaryCCG of GP PracticeNHS MID ESSEX CCG (06Q)EQ VAS</v>
      </c>
      <c r="C3740" t="s">
        <v>249</v>
      </c>
      <c r="D3740" t="s">
        <v>87</v>
      </c>
      <c r="E3740" t="s">
        <v>616</v>
      </c>
      <c r="F3740" t="s">
        <v>617</v>
      </c>
      <c r="G3740" t="s">
        <v>179</v>
      </c>
      <c r="H3740">
        <v>269</v>
      </c>
      <c r="I3740">
        <v>69.48</v>
      </c>
      <c r="J3740">
        <v>73.954999999999998</v>
      </c>
      <c r="K3740">
        <v>4.476</v>
      </c>
      <c r="L3740">
        <v>146</v>
      </c>
      <c r="M3740">
        <v>37</v>
      </c>
      <c r="N3740">
        <v>86</v>
      </c>
      <c r="O3740">
        <v>72.694000000000003</v>
      </c>
      <c r="P3740">
        <v>4.0356179440000002</v>
      </c>
      <c r="Q3740">
        <v>16.001999999999999</v>
      </c>
    </row>
    <row r="3741" spans="1:17" x14ac:dyDescent="0.2">
      <c r="A3741" s="30" t="str">
        <f>IF(C3741&amp;G3741&amp;D3741&lt;&gt;'Funnel setup'!$K$3&amp;'Funnel setup'!$K$4&amp;'Funnel setup'!$K$5,".",IF(A3740=".",1,A3740+1))</f>
        <v>.</v>
      </c>
      <c r="B3741" s="431" t="str">
        <f t="shared" si="58"/>
        <v>Knee Replacement PrimaryCCG of GP PracticeNHS MILTON KEYNES CCG (04F)EQ VAS</v>
      </c>
      <c r="C3741" t="s">
        <v>249</v>
      </c>
      <c r="D3741" t="s">
        <v>87</v>
      </c>
      <c r="E3741" t="s">
        <v>619</v>
      </c>
      <c r="F3741" t="s">
        <v>338</v>
      </c>
      <c r="G3741" t="s">
        <v>179</v>
      </c>
      <c r="H3741">
        <v>127</v>
      </c>
      <c r="I3741">
        <v>66.983999999999995</v>
      </c>
      <c r="J3741">
        <v>75.756</v>
      </c>
      <c r="K3741">
        <v>8.7720000000000002</v>
      </c>
      <c r="L3741">
        <v>83</v>
      </c>
      <c r="M3741">
        <v>10</v>
      </c>
      <c r="N3741">
        <v>34</v>
      </c>
      <c r="O3741">
        <v>75.983000000000004</v>
      </c>
      <c r="P3741">
        <v>7.3249268890000003</v>
      </c>
      <c r="Q3741">
        <v>16.577000000000002</v>
      </c>
    </row>
    <row r="3742" spans="1:17" x14ac:dyDescent="0.2">
      <c r="A3742" s="30" t="str">
        <f>IF(C3742&amp;G3742&amp;D3742&lt;&gt;'Funnel setup'!$K$3&amp;'Funnel setup'!$K$4&amp;'Funnel setup'!$K$5,".",IF(A3741=".",1,A3741+1))</f>
        <v>.</v>
      </c>
      <c r="B3742" s="431" t="str">
        <f t="shared" si="58"/>
        <v>Knee Replacement PrimaryCCG of GP PracticeNHS NENE CCG (04G)EQ VAS</v>
      </c>
      <c r="C3742" t="s">
        <v>249</v>
      </c>
      <c r="D3742" t="s">
        <v>87</v>
      </c>
      <c r="E3742" t="s">
        <v>621</v>
      </c>
      <c r="F3742" t="s">
        <v>622</v>
      </c>
      <c r="G3742" t="s">
        <v>179</v>
      </c>
      <c r="H3742">
        <v>399</v>
      </c>
      <c r="I3742">
        <v>64.465999999999994</v>
      </c>
      <c r="J3742">
        <v>74.965000000000003</v>
      </c>
      <c r="K3742">
        <v>10.499000000000001</v>
      </c>
      <c r="L3742">
        <v>247</v>
      </c>
      <c r="M3742">
        <v>44</v>
      </c>
      <c r="N3742">
        <v>108</v>
      </c>
      <c r="O3742">
        <v>76.590999999999994</v>
      </c>
      <c r="P3742">
        <v>7.9329772529999998</v>
      </c>
      <c r="Q3742">
        <v>16.475000000000001</v>
      </c>
    </row>
    <row r="3743" spans="1:17" x14ac:dyDescent="0.2">
      <c r="A3743" s="30" t="str">
        <f>IF(C3743&amp;G3743&amp;D3743&lt;&gt;'Funnel setup'!$K$3&amp;'Funnel setup'!$K$4&amp;'Funnel setup'!$K$5,".",IF(A3742=".",1,A3742+1))</f>
        <v>.</v>
      </c>
      <c r="B3743" s="431" t="str">
        <f t="shared" si="58"/>
        <v>Knee Replacement PrimaryCCG of GP PracticeNHS NEWARK &amp; SHERWOOD CCG (04H)EQ VAS</v>
      </c>
      <c r="C3743" t="s">
        <v>249</v>
      </c>
      <c r="D3743" t="s">
        <v>87</v>
      </c>
      <c r="E3743" t="s">
        <v>624</v>
      </c>
      <c r="F3743" t="s">
        <v>625</v>
      </c>
      <c r="G3743" t="s">
        <v>179</v>
      </c>
      <c r="H3743">
        <v>98</v>
      </c>
      <c r="I3743">
        <v>66.296000000000006</v>
      </c>
      <c r="J3743">
        <v>73.275999999999996</v>
      </c>
      <c r="K3743">
        <v>6.98</v>
      </c>
      <c r="L3743">
        <v>57</v>
      </c>
      <c r="M3743">
        <v>11</v>
      </c>
      <c r="N3743">
        <v>30</v>
      </c>
      <c r="O3743">
        <v>74.415999999999997</v>
      </c>
      <c r="P3743">
        <v>5.7577505330000003</v>
      </c>
      <c r="Q3743">
        <v>16.481999999999999</v>
      </c>
    </row>
    <row r="3744" spans="1:17" x14ac:dyDescent="0.2">
      <c r="A3744" s="30" t="str">
        <f>IF(C3744&amp;G3744&amp;D3744&lt;&gt;'Funnel setup'!$K$3&amp;'Funnel setup'!$K$4&amp;'Funnel setup'!$K$5,".",IF(A3743=".",1,A3743+1))</f>
        <v>.</v>
      </c>
      <c r="B3744" s="431" t="str">
        <f t="shared" si="58"/>
        <v>Knee Replacement PrimaryCCG of GP PracticeNHS NEWBURY AND DISTRICT CCG (10M)EQ VAS</v>
      </c>
      <c r="C3744" t="s">
        <v>249</v>
      </c>
      <c r="D3744" t="s">
        <v>87</v>
      </c>
      <c r="E3744" t="s">
        <v>627</v>
      </c>
      <c r="F3744" t="s">
        <v>628</v>
      </c>
      <c r="G3744" t="s">
        <v>179</v>
      </c>
      <c r="H3744">
        <v>50</v>
      </c>
      <c r="I3744">
        <v>76.040000000000006</v>
      </c>
      <c r="J3744">
        <v>77.72</v>
      </c>
      <c r="K3744">
        <v>1.68</v>
      </c>
      <c r="L3744">
        <v>18</v>
      </c>
      <c r="M3744">
        <v>18</v>
      </c>
      <c r="N3744">
        <v>14</v>
      </c>
      <c r="O3744">
        <v>72.873999999999995</v>
      </c>
      <c r="P3744">
        <v>4.2152532459999996</v>
      </c>
      <c r="Q3744">
        <v>11.818</v>
      </c>
    </row>
    <row r="3745" spans="1:17" x14ac:dyDescent="0.2">
      <c r="A3745" s="30" t="str">
        <f>IF(C3745&amp;G3745&amp;D3745&lt;&gt;'Funnel setup'!$K$3&amp;'Funnel setup'!$K$4&amp;'Funnel setup'!$K$5,".",IF(A3744=".",1,A3744+1))</f>
        <v>.</v>
      </c>
      <c r="B3745" s="431" t="str">
        <f t="shared" si="58"/>
        <v>Knee Replacement PrimaryCCG of GP PracticeNHS NEWCASTLE GATESHEAD CCG (13T)EQ VAS</v>
      </c>
      <c r="C3745" t="s">
        <v>249</v>
      </c>
      <c r="D3745" t="s">
        <v>87</v>
      </c>
      <c r="E3745" t="s">
        <v>6553</v>
      </c>
      <c r="F3745" t="s">
        <v>6543</v>
      </c>
      <c r="G3745" t="s">
        <v>179</v>
      </c>
      <c r="H3745">
        <v>461</v>
      </c>
      <c r="I3745">
        <v>68.965000000000003</v>
      </c>
      <c r="J3745">
        <v>73.007000000000005</v>
      </c>
      <c r="K3745">
        <v>4.0410000000000004</v>
      </c>
      <c r="L3745">
        <v>238</v>
      </c>
      <c r="M3745">
        <v>69</v>
      </c>
      <c r="N3745">
        <v>154</v>
      </c>
      <c r="O3745">
        <v>73.947000000000003</v>
      </c>
      <c r="P3745">
        <v>5.2883887630000004</v>
      </c>
      <c r="Q3745">
        <v>16.274999999999999</v>
      </c>
    </row>
    <row r="3746" spans="1:17" x14ac:dyDescent="0.2">
      <c r="A3746" s="30" t="str">
        <f>IF(C3746&amp;G3746&amp;D3746&lt;&gt;'Funnel setup'!$K$3&amp;'Funnel setup'!$K$4&amp;'Funnel setup'!$K$5,".",IF(A3745=".",1,A3745+1))</f>
        <v>.</v>
      </c>
      <c r="B3746" s="431" t="str">
        <f t="shared" si="58"/>
        <v>Knee Replacement PrimaryCCG of GP PracticeNHS NEWHAM CCG (08M)EQ VAS</v>
      </c>
      <c r="C3746" t="s">
        <v>249</v>
      </c>
      <c r="D3746" t="s">
        <v>87</v>
      </c>
      <c r="E3746" t="s">
        <v>630</v>
      </c>
      <c r="F3746" t="s">
        <v>631</v>
      </c>
      <c r="G3746" t="s">
        <v>179</v>
      </c>
      <c r="H3746">
        <v>80</v>
      </c>
      <c r="I3746">
        <v>58.512999999999998</v>
      </c>
      <c r="J3746">
        <v>62.787999999999997</v>
      </c>
      <c r="K3746">
        <v>4.2750000000000004</v>
      </c>
      <c r="L3746">
        <v>41</v>
      </c>
      <c r="M3746">
        <v>12</v>
      </c>
      <c r="N3746">
        <v>27</v>
      </c>
      <c r="O3746">
        <v>71.760000000000005</v>
      </c>
      <c r="P3746">
        <v>3.1021103160000001</v>
      </c>
      <c r="Q3746">
        <v>17.791</v>
      </c>
    </row>
    <row r="3747" spans="1:17" x14ac:dyDescent="0.2">
      <c r="A3747" s="30" t="str">
        <f>IF(C3747&amp;G3747&amp;D3747&lt;&gt;'Funnel setup'!$K$3&amp;'Funnel setup'!$K$4&amp;'Funnel setup'!$K$5,".",IF(A3746=".",1,A3746+1))</f>
        <v>.</v>
      </c>
      <c r="B3747" s="431" t="str">
        <f t="shared" si="58"/>
        <v>Knee Replacement PrimaryCCG of GP PracticeNHS NORTH &amp; WEST READING CCG (10N)EQ VAS</v>
      </c>
      <c r="C3747" t="s">
        <v>249</v>
      </c>
      <c r="D3747" t="s">
        <v>87</v>
      </c>
      <c r="E3747" t="s">
        <v>633</v>
      </c>
      <c r="F3747" t="s">
        <v>634</v>
      </c>
      <c r="G3747" t="s">
        <v>179</v>
      </c>
      <c r="H3747">
        <v>69</v>
      </c>
      <c r="I3747">
        <v>70.652000000000001</v>
      </c>
      <c r="J3747">
        <v>77.986000000000004</v>
      </c>
      <c r="K3747">
        <v>7.3330000000000002</v>
      </c>
      <c r="L3747">
        <v>42</v>
      </c>
      <c r="M3747">
        <v>7</v>
      </c>
      <c r="N3747">
        <v>20</v>
      </c>
      <c r="O3747">
        <v>75.105000000000004</v>
      </c>
      <c r="P3747">
        <v>6.4462103820000003</v>
      </c>
      <c r="Q3747">
        <v>14.576000000000001</v>
      </c>
    </row>
    <row r="3748" spans="1:17" x14ac:dyDescent="0.2">
      <c r="A3748" s="30" t="str">
        <f>IF(C3748&amp;G3748&amp;D3748&lt;&gt;'Funnel setup'!$K$3&amp;'Funnel setup'!$K$4&amp;'Funnel setup'!$K$5,".",IF(A3747=".",1,A3747+1))</f>
        <v>.</v>
      </c>
      <c r="B3748" s="431" t="str">
        <f t="shared" si="58"/>
        <v>Knee Replacement PrimaryCCG of GP PracticeNHS NORTH DERBYSHIRE CCG (04J)EQ VAS</v>
      </c>
      <c r="C3748" t="s">
        <v>249</v>
      </c>
      <c r="D3748" t="s">
        <v>87</v>
      </c>
      <c r="E3748" t="s">
        <v>636</v>
      </c>
      <c r="F3748" t="s">
        <v>637</v>
      </c>
      <c r="G3748" t="s">
        <v>179</v>
      </c>
      <c r="H3748">
        <v>308</v>
      </c>
      <c r="I3748">
        <v>68.795000000000002</v>
      </c>
      <c r="J3748">
        <v>75.36</v>
      </c>
      <c r="K3748">
        <v>6.5650000000000004</v>
      </c>
      <c r="L3748">
        <v>169</v>
      </c>
      <c r="M3748">
        <v>47</v>
      </c>
      <c r="N3748">
        <v>92</v>
      </c>
      <c r="O3748">
        <v>74.789000000000001</v>
      </c>
      <c r="P3748">
        <v>6.1304715879999998</v>
      </c>
      <c r="Q3748">
        <v>15.045</v>
      </c>
    </row>
    <row r="3749" spans="1:17" x14ac:dyDescent="0.2">
      <c r="A3749" s="30" t="str">
        <f>IF(C3749&amp;G3749&amp;D3749&lt;&gt;'Funnel setup'!$K$3&amp;'Funnel setup'!$K$4&amp;'Funnel setup'!$K$5,".",IF(A3748=".",1,A3748+1))</f>
        <v>.</v>
      </c>
      <c r="B3749" s="431" t="str">
        <f t="shared" si="58"/>
        <v>Knee Replacement PrimaryCCG of GP PracticeNHS NORTH DURHAM CCG (00J)EQ VAS</v>
      </c>
      <c r="C3749" t="s">
        <v>249</v>
      </c>
      <c r="D3749" t="s">
        <v>87</v>
      </c>
      <c r="E3749" t="s">
        <v>639</v>
      </c>
      <c r="F3749" t="s">
        <v>640</v>
      </c>
      <c r="G3749" t="s">
        <v>179</v>
      </c>
      <c r="H3749">
        <v>223</v>
      </c>
      <c r="I3749">
        <v>70.456999999999994</v>
      </c>
      <c r="J3749">
        <v>72.721999999999994</v>
      </c>
      <c r="K3749">
        <v>2.2650000000000001</v>
      </c>
      <c r="L3749">
        <v>107</v>
      </c>
      <c r="M3749">
        <v>19</v>
      </c>
      <c r="N3749">
        <v>97</v>
      </c>
      <c r="O3749">
        <v>72.768000000000001</v>
      </c>
      <c r="P3749">
        <v>4.1098483620000001</v>
      </c>
      <c r="Q3749">
        <v>15.534000000000001</v>
      </c>
    </row>
    <row r="3750" spans="1:17" x14ac:dyDescent="0.2">
      <c r="A3750" s="30" t="str">
        <f>IF(C3750&amp;G3750&amp;D3750&lt;&gt;'Funnel setup'!$K$3&amp;'Funnel setup'!$K$4&amp;'Funnel setup'!$K$5,".",IF(A3749=".",1,A3749+1))</f>
        <v>.</v>
      </c>
      <c r="B3750" s="431" t="str">
        <f t="shared" si="58"/>
        <v>Knee Replacement PrimaryCCG of GP PracticeNHS NORTH EAST ESSEX CCG (06T)EQ VAS</v>
      </c>
      <c r="C3750" t="s">
        <v>249</v>
      </c>
      <c r="D3750" t="s">
        <v>87</v>
      </c>
      <c r="E3750" t="s">
        <v>642</v>
      </c>
      <c r="F3750" t="s">
        <v>643</v>
      </c>
      <c r="G3750" t="s">
        <v>179</v>
      </c>
      <c r="H3750">
        <v>306</v>
      </c>
      <c r="I3750">
        <v>68.879000000000005</v>
      </c>
      <c r="J3750">
        <v>76.569000000000003</v>
      </c>
      <c r="K3750">
        <v>7.69</v>
      </c>
      <c r="L3750">
        <v>185</v>
      </c>
      <c r="M3750">
        <v>42</v>
      </c>
      <c r="N3750">
        <v>79</v>
      </c>
      <c r="O3750">
        <v>76.7</v>
      </c>
      <c r="P3750">
        <v>8.0419978319999998</v>
      </c>
      <c r="Q3750">
        <v>13.712</v>
      </c>
    </row>
    <row r="3751" spans="1:17" x14ac:dyDescent="0.2">
      <c r="A3751" s="30" t="str">
        <f>IF(C3751&amp;G3751&amp;D3751&lt;&gt;'Funnel setup'!$K$3&amp;'Funnel setup'!$K$4&amp;'Funnel setup'!$K$5,".",IF(A3750=".",1,A3750+1))</f>
        <v>.</v>
      </c>
      <c r="B3751" s="431" t="str">
        <f t="shared" si="58"/>
        <v>Knee Replacement PrimaryCCG of GP PracticeNHS NORTH EAST HAMPSHIRE AND FARNHAM CCG (99M)EQ VAS</v>
      </c>
      <c r="C3751" t="s">
        <v>249</v>
      </c>
      <c r="D3751" t="s">
        <v>87</v>
      </c>
      <c r="E3751" t="s">
        <v>645</v>
      </c>
      <c r="F3751" t="s">
        <v>646</v>
      </c>
      <c r="G3751" t="s">
        <v>179</v>
      </c>
      <c r="H3751">
        <v>167</v>
      </c>
      <c r="I3751">
        <v>71.497</v>
      </c>
      <c r="J3751">
        <v>76.084000000000003</v>
      </c>
      <c r="K3751">
        <v>4.5869999999999997</v>
      </c>
      <c r="L3751">
        <v>91</v>
      </c>
      <c r="M3751">
        <v>19</v>
      </c>
      <c r="N3751">
        <v>57</v>
      </c>
      <c r="O3751">
        <v>73.188000000000002</v>
      </c>
      <c r="P3751">
        <v>4.5301431450000003</v>
      </c>
      <c r="Q3751">
        <v>14.952</v>
      </c>
    </row>
    <row r="3752" spans="1:17" x14ac:dyDescent="0.2">
      <c r="A3752" s="30" t="str">
        <f>IF(C3752&amp;G3752&amp;D3752&lt;&gt;'Funnel setup'!$K$3&amp;'Funnel setup'!$K$4&amp;'Funnel setup'!$K$5,".",IF(A3751=".",1,A3751+1))</f>
        <v>.</v>
      </c>
      <c r="B3752" s="431" t="str">
        <f t="shared" si="58"/>
        <v>Knee Replacement PrimaryCCG of GP PracticeNHS NORTH EAST LINCOLNSHIRE CCG (03H)EQ VAS</v>
      </c>
      <c r="C3752" t="s">
        <v>249</v>
      </c>
      <c r="D3752" t="s">
        <v>87</v>
      </c>
      <c r="E3752" t="s">
        <v>648</v>
      </c>
      <c r="F3752" t="s">
        <v>649</v>
      </c>
      <c r="G3752" t="s">
        <v>179</v>
      </c>
      <c r="H3752">
        <v>87</v>
      </c>
      <c r="I3752">
        <v>67.022999999999996</v>
      </c>
      <c r="J3752">
        <v>76.977000000000004</v>
      </c>
      <c r="K3752">
        <v>9.9540000000000006</v>
      </c>
      <c r="L3752">
        <v>54</v>
      </c>
      <c r="M3752">
        <v>17</v>
      </c>
      <c r="N3752">
        <v>16</v>
      </c>
      <c r="O3752">
        <v>76.971999999999994</v>
      </c>
      <c r="P3752">
        <v>8.313901521</v>
      </c>
      <c r="Q3752">
        <v>14.27</v>
      </c>
    </row>
    <row r="3753" spans="1:17" x14ac:dyDescent="0.2">
      <c r="A3753" s="30" t="str">
        <f>IF(C3753&amp;G3753&amp;D3753&lt;&gt;'Funnel setup'!$K$3&amp;'Funnel setup'!$K$4&amp;'Funnel setup'!$K$5,".",IF(A3752=".",1,A3752+1))</f>
        <v>.</v>
      </c>
      <c r="B3753" s="431" t="str">
        <f t="shared" si="58"/>
        <v>Knee Replacement PrimaryCCG of GP PracticeNHS NORTH HAMPSHIRE CCG (10J)EQ VAS</v>
      </c>
      <c r="C3753" t="s">
        <v>249</v>
      </c>
      <c r="D3753" t="s">
        <v>87</v>
      </c>
      <c r="E3753" t="s">
        <v>651</v>
      </c>
      <c r="F3753" t="s">
        <v>652</v>
      </c>
      <c r="G3753" t="s">
        <v>179</v>
      </c>
      <c r="H3753">
        <v>106</v>
      </c>
      <c r="I3753">
        <v>73.396000000000001</v>
      </c>
      <c r="J3753">
        <v>72.274000000000001</v>
      </c>
      <c r="K3753">
        <v>-1.123</v>
      </c>
      <c r="L3753">
        <v>44</v>
      </c>
      <c r="M3753">
        <v>19</v>
      </c>
      <c r="N3753">
        <v>43</v>
      </c>
      <c r="O3753">
        <v>70.709000000000003</v>
      </c>
      <c r="P3753">
        <v>2.0510858719999998</v>
      </c>
      <c r="Q3753">
        <v>14.813000000000001</v>
      </c>
    </row>
    <row r="3754" spans="1:17" x14ac:dyDescent="0.2">
      <c r="A3754" s="30" t="str">
        <f>IF(C3754&amp;G3754&amp;D3754&lt;&gt;'Funnel setup'!$K$3&amp;'Funnel setup'!$K$4&amp;'Funnel setup'!$K$5,".",IF(A3753=".",1,A3753+1))</f>
        <v>.</v>
      </c>
      <c r="B3754" s="431" t="str">
        <f t="shared" si="58"/>
        <v>Knee Replacement PrimaryCCG of GP PracticeNHS NORTH KIRKLEES CCG (03J)EQ VAS</v>
      </c>
      <c r="C3754" t="s">
        <v>249</v>
      </c>
      <c r="D3754" t="s">
        <v>87</v>
      </c>
      <c r="E3754" t="s">
        <v>654</v>
      </c>
      <c r="F3754" t="s">
        <v>655</v>
      </c>
      <c r="G3754" t="s">
        <v>179</v>
      </c>
      <c r="H3754">
        <v>128</v>
      </c>
      <c r="I3754">
        <v>69.421999999999997</v>
      </c>
      <c r="J3754">
        <v>74.414000000000001</v>
      </c>
      <c r="K3754">
        <v>4.992</v>
      </c>
      <c r="L3754">
        <v>73</v>
      </c>
      <c r="M3754">
        <v>14</v>
      </c>
      <c r="N3754">
        <v>41</v>
      </c>
      <c r="O3754">
        <v>75.156000000000006</v>
      </c>
      <c r="P3754">
        <v>6.4973711730000003</v>
      </c>
      <c r="Q3754">
        <v>16.542999999999999</v>
      </c>
    </row>
    <row r="3755" spans="1:17" x14ac:dyDescent="0.2">
      <c r="A3755" s="30" t="str">
        <f>IF(C3755&amp;G3755&amp;D3755&lt;&gt;'Funnel setup'!$K$3&amp;'Funnel setup'!$K$4&amp;'Funnel setup'!$K$5,".",IF(A3754=".",1,A3754+1))</f>
        <v>.</v>
      </c>
      <c r="B3755" s="431" t="str">
        <f t="shared" si="58"/>
        <v>Knee Replacement PrimaryCCG of GP PracticeNHS NORTH LINCOLNSHIRE CCG (03K)EQ VAS</v>
      </c>
      <c r="C3755" t="s">
        <v>249</v>
      </c>
      <c r="D3755" t="s">
        <v>87</v>
      </c>
      <c r="E3755" t="s">
        <v>657</v>
      </c>
      <c r="F3755" t="s">
        <v>658</v>
      </c>
      <c r="G3755" t="s">
        <v>179</v>
      </c>
      <c r="H3755">
        <v>166</v>
      </c>
      <c r="I3755">
        <v>67.259</v>
      </c>
      <c r="J3755">
        <v>74.078000000000003</v>
      </c>
      <c r="K3755">
        <v>6.819</v>
      </c>
      <c r="L3755">
        <v>93</v>
      </c>
      <c r="M3755">
        <v>26</v>
      </c>
      <c r="N3755">
        <v>47</v>
      </c>
      <c r="O3755">
        <v>73.680999999999997</v>
      </c>
      <c r="P3755">
        <v>5.0228489810000001</v>
      </c>
      <c r="Q3755">
        <v>15.259</v>
      </c>
    </row>
    <row r="3756" spans="1:17" x14ac:dyDescent="0.2">
      <c r="A3756" s="30" t="str">
        <f>IF(C3756&amp;G3756&amp;D3756&lt;&gt;'Funnel setup'!$K$3&amp;'Funnel setup'!$K$4&amp;'Funnel setup'!$K$5,".",IF(A3755=".",1,A3755+1))</f>
        <v>.</v>
      </c>
      <c r="B3756" s="431" t="str">
        <f t="shared" si="58"/>
        <v>Knee Replacement PrimaryCCG of GP PracticeNHS NORTH MANCHESTER CCG (01M)EQ VAS</v>
      </c>
      <c r="C3756" t="s">
        <v>249</v>
      </c>
      <c r="D3756" t="s">
        <v>87</v>
      </c>
      <c r="E3756" t="s">
        <v>660</v>
      </c>
      <c r="F3756" t="s">
        <v>661</v>
      </c>
      <c r="G3756" t="s">
        <v>179</v>
      </c>
      <c r="H3756">
        <v>86</v>
      </c>
      <c r="I3756">
        <v>67.244</v>
      </c>
      <c r="J3756">
        <v>72.697999999999993</v>
      </c>
      <c r="K3756">
        <v>5.4530000000000003</v>
      </c>
      <c r="L3756">
        <v>46</v>
      </c>
      <c r="M3756">
        <v>10</v>
      </c>
      <c r="N3756">
        <v>30</v>
      </c>
      <c r="O3756">
        <v>75.400000000000006</v>
      </c>
      <c r="P3756">
        <v>6.7416695659999997</v>
      </c>
      <c r="Q3756">
        <v>17.294</v>
      </c>
    </row>
    <row r="3757" spans="1:17" x14ac:dyDescent="0.2">
      <c r="A3757" s="30" t="str">
        <f>IF(C3757&amp;G3757&amp;D3757&lt;&gt;'Funnel setup'!$K$3&amp;'Funnel setup'!$K$4&amp;'Funnel setup'!$K$5,".",IF(A3756=".",1,A3756+1))</f>
        <v>.</v>
      </c>
      <c r="B3757" s="431" t="str">
        <f t="shared" si="58"/>
        <v>Knee Replacement PrimaryCCG of GP PracticeNHS NORTH NORFOLK CCG (06V)EQ VAS</v>
      </c>
      <c r="C3757" t="s">
        <v>249</v>
      </c>
      <c r="D3757" t="s">
        <v>87</v>
      </c>
      <c r="E3757" t="s">
        <v>663</v>
      </c>
      <c r="F3757" t="s">
        <v>664</v>
      </c>
      <c r="G3757" t="s">
        <v>179</v>
      </c>
      <c r="H3757">
        <v>175</v>
      </c>
      <c r="I3757">
        <v>69.245999999999995</v>
      </c>
      <c r="J3757">
        <v>76.319999999999993</v>
      </c>
      <c r="K3757">
        <v>7.0739999999999998</v>
      </c>
      <c r="L3757">
        <v>103</v>
      </c>
      <c r="M3757">
        <v>22</v>
      </c>
      <c r="N3757">
        <v>50</v>
      </c>
      <c r="O3757">
        <v>76.007000000000005</v>
      </c>
      <c r="P3757">
        <v>7.3487291949999998</v>
      </c>
      <c r="Q3757">
        <v>14.462</v>
      </c>
    </row>
    <row r="3758" spans="1:17" x14ac:dyDescent="0.2">
      <c r="A3758" s="30" t="str">
        <f>IF(C3758&amp;G3758&amp;D3758&lt;&gt;'Funnel setup'!$K$3&amp;'Funnel setup'!$K$4&amp;'Funnel setup'!$K$5,".",IF(A3757=".",1,A3757+1))</f>
        <v>.</v>
      </c>
      <c r="B3758" s="431" t="str">
        <f t="shared" si="58"/>
        <v>Knee Replacement PrimaryCCG of GP PracticeNHS NORTH SOMERSET CCG (11T)EQ VAS</v>
      </c>
      <c r="C3758" t="s">
        <v>249</v>
      </c>
      <c r="D3758" t="s">
        <v>87</v>
      </c>
      <c r="E3758" t="s">
        <v>666</v>
      </c>
      <c r="F3758" t="s">
        <v>667</v>
      </c>
      <c r="G3758" t="s">
        <v>179</v>
      </c>
      <c r="H3758">
        <v>181</v>
      </c>
      <c r="I3758">
        <v>69.569000000000003</v>
      </c>
      <c r="J3758">
        <v>77.590999999999994</v>
      </c>
      <c r="K3758">
        <v>8.0220000000000002</v>
      </c>
      <c r="L3758">
        <v>103</v>
      </c>
      <c r="M3758">
        <v>34</v>
      </c>
      <c r="N3758">
        <v>44</v>
      </c>
      <c r="O3758">
        <v>75.804000000000002</v>
      </c>
      <c r="P3758">
        <v>7.1458180579999997</v>
      </c>
      <c r="Q3758">
        <v>13.579000000000001</v>
      </c>
    </row>
    <row r="3759" spans="1:17" x14ac:dyDescent="0.2">
      <c r="A3759" s="30" t="str">
        <f>IF(C3759&amp;G3759&amp;D3759&lt;&gt;'Funnel setup'!$K$3&amp;'Funnel setup'!$K$4&amp;'Funnel setup'!$K$5,".",IF(A3758=".",1,A3758+1))</f>
        <v>.</v>
      </c>
      <c r="B3759" s="431" t="str">
        <f t="shared" si="58"/>
        <v>Knee Replacement PrimaryCCG of GP PracticeNHS NORTH STAFFORDSHIRE CCG (05G)EQ VAS</v>
      </c>
      <c r="C3759" t="s">
        <v>249</v>
      </c>
      <c r="D3759" t="s">
        <v>87</v>
      </c>
      <c r="E3759" t="s">
        <v>669</v>
      </c>
      <c r="F3759" t="s">
        <v>670</v>
      </c>
      <c r="G3759" t="s">
        <v>179</v>
      </c>
      <c r="H3759">
        <v>169</v>
      </c>
      <c r="I3759">
        <v>66.230999999999995</v>
      </c>
      <c r="J3759">
        <v>72.775000000000006</v>
      </c>
      <c r="K3759">
        <v>6.5439999999999996</v>
      </c>
      <c r="L3759">
        <v>92</v>
      </c>
      <c r="M3759">
        <v>22</v>
      </c>
      <c r="N3759">
        <v>55</v>
      </c>
      <c r="O3759">
        <v>74.613</v>
      </c>
      <c r="P3759">
        <v>5.9547295660000001</v>
      </c>
      <c r="Q3759">
        <v>15.551</v>
      </c>
    </row>
    <row r="3760" spans="1:17" x14ac:dyDescent="0.2">
      <c r="A3760" s="30" t="str">
        <f>IF(C3760&amp;G3760&amp;D3760&lt;&gt;'Funnel setup'!$K$3&amp;'Funnel setup'!$K$4&amp;'Funnel setup'!$K$5,".",IF(A3759=".",1,A3759+1))</f>
        <v>.</v>
      </c>
      <c r="B3760" s="431" t="str">
        <f t="shared" si="58"/>
        <v>Knee Replacement PrimaryCCG of GP PracticeNHS NORTH TYNESIDE CCG (99C)EQ VAS</v>
      </c>
      <c r="C3760" t="s">
        <v>249</v>
      </c>
      <c r="D3760" t="s">
        <v>87</v>
      </c>
      <c r="E3760" t="s">
        <v>672</v>
      </c>
      <c r="F3760" t="s">
        <v>673</v>
      </c>
      <c r="G3760" t="s">
        <v>179</v>
      </c>
      <c r="H3760">
        <v>246</v>
      </c>
      <c r="I3760">
        <v>66.475999999999999</v>
      </c>
      <c r="J3760">
        <v>73.739999999999995</v>
      </c>
      <c r="K3760">
        <v>7.2640000000000002</v>
      </c>
      <c r="L3760">
        <v>140</v>
      </c>
      <c r="M3760">
        <v>39</v>
      </c>
      <c r="N3760">
        <v>67</v>
      </c>
      <c r="O3760">
        <v>74.655000000000001</v>
      </c>
      <c r="P3760">
        <v>5.996934134</v>
      </c>
      <c r="Q3760">
        <v>14.035</v>
      </c>
    </row>
    <row r="3761" spans="1:17" x14ac:dyDescent="0.2">
      <c r="A3761" s="30" t="str">
        <f>IF(C3761&amp;G3761&amp;D3761&lt;&gt;'Funnel setup'!$K$3&amp;'Funnel setup'!$K$4&amp;'Funnel setup'!$K$5,".",IF(A3760=".",1,A3760+1))</f>
        <v>.</v>
      </c>
      <c r="B3761" s="431" t="str">
        <f t="shared" si="58"/>
        <v>Knee Replacement PrimaryCCG of GP PracticeNHS NORTH WEST SURREY CCG (09Y)EQ VAS</v>
      </c>
      <c r="C3761" t="s">
        <v>249</v>
      </c>
      <c r="D3761" t="s">
        <v>87</v>
      </c>
      <c r="E3761" t="s">
        <v>675</v>
      </c>
      <c r="F3761" t="s">
        <v>676</v>
      </c>
      <c r="G3761" t="s">
        <v>179</v>
      </c>
      <c r="H3761">
        <v>267</v>
      </c>
      <c r="I3761">
        <v>68.992999999999995</v>
      </c>
      <c r="J3761">
        <v>75.277000000000001</v>
      </c>
      <c r="K3761">
        <v>6.2850000000000001</v>
      </c>
      <c r="L3761">
        <v>147</v>
      </c>
      <c r="M3761">
        <v>41</v>
      </c>
      <c r="N3761">
        <v>79</v>
      </c>
      <c r="O3761">
        <v>74.031999999999996</v>
      </c>
      <c r="P3761">
        <v>5.373186682</v>
      </c>
      <c r="Q3761">
        <v>14.484999999999999</v>
      </c>
    </row>
    <row r="3762" spans="1:17" x14ac:dyDescent="0.2">
      <c r="A3762" s="30" t="str">
        <f>IF(C3762&amp;G3762&amp;D3762&lt;&gt;'Funnel setup'!$K$3&amp;'Funnel setup'!$K$4&amp;'Funnel setup'!$K$5,".",IF(A3761=".",1,A3761+1))</f>
        <v>.</v>
      </c>
      <c r="B3762" s="431" t="str">
        <f t="shared" si="58"/>
        <v>Knee Replacement PrimaryCCG of GP PracticeNHS NORTHERN, EASTERN AND WESTERN DEVON CCG (99P)EQ VAS</v>
      </c>
      <c r="C3762" t="s">
        <v>249</v>
      </c>
      <c r="D3762" t="s">
        <v>87</v>
      </c>
      <c r="E3762" t="s">
        <v>678</v>
      </c>
      <c r="F3762" t="s">
        <v>679</v>
      </c>
      <c r="G3762" t="s">
        <v>179</v>
      </c>
      <c r="H3762">
        <v>960</v>
      </c>
      <c r="I3762">
        <v>69.563000000000002</v>
      </c>
      <c r="J3762">
        <v>75.481999999999999</v>
      </c>
      <c r="K3762">
        <v>5.92</v>
      </c>
      <c r="L3762">
        <v>540</v>
      </c>
      <c r="M3762">
        <v>128</v>
      </c>
      <c r="N3762">
        <v>292</v>
      </c>
      <c r="O3762">
        <v>74.787999999999997</v>
      </c>
      <c r="P3762">
        <v>6.1292882689999999</v>
      </c>
      <c r="Q3762">
        <v>14.951000000000001</v>
      </c>
    </row>
    <row r="3763" spans="1:17" x14ac:dyDescent="0.2">
      <c r="A3763" s="30" t="str">
        <f>IF(C3763&amp;G3763&amp;D3763&lt;&gt;'Funnel setup'!$K$3&amp;'Funnel setup'!$K$4&amp;'Funnel setup'!$K$5,".",IF(A3762=".",1,A3762+1))</f>
        <v>.</v>
      </c>
      <c r="B3763" s="431" t="str">
        <f t="shared" si="58"/>
        <v>Knee Replacement PrimaryCCG of GP PracticeNHS NORTHUMBERLAND CCG (00L)EQ VAS</v>
      </c>
      <c r="C3763" t="s">
        <v>249</v>
      </c>
      <c r="D3763" t="s">
        <v>87</v>
      </c>
      <c r="E3763" t="s">
        <v>681</v>
      </c>
      <c r="F3763" t="s">
        <v>336</v>
      </c>
      <c r="G3763" t="s">
        <v>179</v>
      </c>
      <c r="H3763">
        <v>384</v>
      </c>
      <c r="I3763">
        <v>67.082999999999998</v>
      </c>
      <c r="J3763">
        <v>75.397999999999996</v>
      </c>
      <c r="K3763">
        <v>8.3149999999999995</v>
      </c>
      <c r="L3763">
        <v>232</v>
      </c>
      <c r="M3763">
        <v>64</v>
      </c>
      <c r="N3763">
        <v>88</v>
      </c>
      <c r="O3763">
        <v>76.058999999999997</v>
      </c>
      <c r="P3763">
        <v>7.4003740899999997</v>
      </c>
      <c r="Q3763">
        <v>14.826000000000001</v>
      </c>
    </row>
    <row r="3764" spans="1:17" x14ac:dyDescent="0.2">
      <c r="A3764" s="30" t="str">
        <f>IF(C3764&amp;G3764&amp;D3764&lt;&gt;'Funnel setup'!$K$3&amp;'Funnel setup'!$K$4&amp;'Funnel setup'!$K$5,".",IF(A3763=".",1,A3763+1))</f>
        <v>.</v>
      </c>
      <c r="B3764" s="431" t="str">
        <f t="shared" si="58"/>
        <v>Knee Replacement PrimaryCCG of GP PracticeNHS NORWICH CCG (06W)EQ VAS</v>
      </c>
      <c r="C3764" t="s">
        <v>249</v>
      </c>
      <c r="D3764" t="s">
        <v>87</v>
      </c>
      <c r="E3764" t="s">
        <v>770</v>
      </c>
      <c r="F3764" t="s">
        <v>771</v>
      </c>
      <c r="G3764" t="s">
        <v>179</v>
      </c>
      <c r="H3764">
        <v>119</v>
      </c>
      <c r="I3764">
        <v>67.025000000000006</v>
      </c>
      <c r="J3764">
        <v>72.992000000000004</v>
      </c>
      <c r="K3764">
        <v>5.9660000000000002</v>
      </c>
      <c r="L3764">
        <v>65</v>
      </c>
      <c r="M3764">
        <v>19</v>
      </c>
      <c r="N3764">
        <v>35</v>
      </c>
      <c r="O3764">
        <v>74.215000000000003</v>
      </c>
      <c r="P3764">
        <v>5.5566535410000002</v>
      </c>
      <c r="Q3764">
        <v>15.542999999999999</v>
      </c>
    </row>
    <row r="3765" spans="1:17" x14ac:dyDescent="0.2">
      <c r="A3765" s="30" t="str">
        <f>IF(C3765&amp;G3765&amp;D3765&lt;&gt;'Funnel setup'!$K$3&amp;'Funnel setup'!$K$4&amp;'Funnel setup'!$K$5,".",IF(A3764=".",1,A3764+1))</f>
        <v>.</v>
      </c>
      <c r="B3765" s="431" t="str">
        <f t="shared" si="58"/>
        <v>Knee Replacement PrimaryCCG of GP PracticeNHS NOTTINGHAM CITY CCG (04K)EQ VAS</v>
      </c>
      <c r="C3765" t="s">
        <v>249</v>
      </c>
      <c r="D3765" t="s">
        <v>87</v>
      </c>
      <c r="E3765" t="s">
        <v>773</v>
      </c>
      <c r="F3765" t="s">
        <v>774</v>
      </c>
      <c r="G3765" t="s">
        <v>179</v>
      </c>
      <c r="H3765">
        <v>139</v>
      </c>
      <c r="I3765">
        <v>64.05</v>
      </c>
      <c r="J3765">
        <v>69.927999999999997</v>
      </c>
      <c r="K3765">
        <v>5.8780000000000001</v>
      </c>
      <c r="L3765">
        <v>77</v>
      </c>
      <c r="M3765">
        <v>12</v>
      </c>
      <c r="N3765">
        <v>50</v>
      </c>
      <c r="O3765">
        <v>73.525000000000006</v>
      </c>
      <c r="P3765">
        <v>4.8666135089999996</v>
      </c>
      <c r="Q3765">
        <v>18.309999999999999</v>
      </c>
    </row>
    <row r="3766" spans="1:17" x14ac:dyDescent="0.2">
      <c r="A3766" s="30" t="str">
        <f>IF(C3766&amp;G3766&amp;D3766&lt;&gt;'Funnel setup'!$K$3&amp;'Funnel setup'!$K$4&amp;'Funnel setup'!$K$5,".",IF(A3765=".",1,A3765+1))</f>
        <v>.</v>
      </c>
      <c r="B3766" s="431" t="str">
        <f t="shared" si="58"/>
        <v>Knee Replacement PrimaryCCG of GP PracticeNHS NOTTINGHAM NORTH AND EAST CCG (04L)EQ VAS</v>
      </c>
      <c r="C3766" t="s">
        <v>249</v>
      </c>
      <c r="D3766" t="s">
        <v>87</v>
      </c>
      <c r="E3766" t="s">
        <v>776</v>
      </c>
      <c r="F3766" t="s">
        <v>777</v>
      </c>
      <c r="G3766" t="s">
        <v>179</v>
      </c>
      <c r="H3766">
        <v>124</v>
      </c>
      <c r="I3766">
        <v>69.120999999999995</v>
      </c>
      <c r="J3766">
        <v>74.879000000000005</v>
      </c>
      <c r="K3766">
        <v>5.758</v>
      </c>
      <c r="L3766">
        <v>70</v>
      </c>
      <c r="M3766">
        <v>15</v>
      </c>
      <c r="N3766">
        <v>39</v>
      </c>
      <c r="O3766">
        <v>74.257999999999996</v>
      </c>
      <c r="P3766">
        <v>5.5993535769999996</v>
      </c>
      <c r="Q3766">
        <v>12.92</v>
      </c>
    </row>
    <row r="3767" spans="1:17" x14ac:dyDescent="0.2">
      <c r="A3767" s="30" t="str">
        <f>IF(C3767&amp;G3767&amp;D3767&lt;&gt;'Funnel setup'!$K$3&amp;'Funnel setup'!$K$4&amp;'Funnel setup'!$K$5,".",IF(A3766=".",1,A3766+1))</f>
        <v>.</v>
      </c>
      <c r="B3767" s="431" t="str">
        <f t="shared" si="58"/>
        <v>Knee Replacement PrimaryCCG of GP PracticeNHS NOTTINGHAM WEST CCG (04M)EQ VAS</v>
      </c>
      <c r="C3767" t="s">
        <v>249</v>
      </c>
      <c r="D3767" t="s">
        <v>87</v>
      </c>
      <c r="E3767" t="s">
        <v>779</v>
      </c>
      <c r="F3767" t="s">
        <v>780</v>
      </c>
      <c r="G3767" t="s">
        <v>179</v>
      </c>
      <c r="H3767">
        <v>91</v>
      </c>
      <c r="I3767">
        <v>68.263999999999996</v>
      </c>
      <c r="J3767">
        <v>71.856999999999999</v>
      </c>
      <c r="K3767">
        <v>3.593</v>
      </c>
      <c r="L3767">
        <v>51</v>
      </c>
      <c r="M3767">
        <v>12</v>
      </c>
      <c r="N3767">
        <v>28</v>
      </c>
      <c r="O3767">
        <v>71.335999999999999</v>
      </c>
      <c r="P3767">
        <v>2.6778060950000002</v>
      </c>
      <c r="Q3767">
        <v>16.190999999999999</v>
      </c>
    </row>
    <row r="3768" spans="1:17" x14ac:dyDescent="0.2">
      <c r="A3768" s="30" t="str">
        <f>IF(C3768&amp;G3768&amp;D3768&lt;&gt;'Funnel setup'!$K$3&amp;'Funnel setup'!$K$4&amp;'Funnel setup'!$K$5,".",IF(A3767=".",1,A3767+1))</f>
        <v>.</v>
      </c>
      <c r="B3768" s="431" t="str">
        <f t="shared" si="58"/>
        <v>Knee Replacement PrimaryCCG of GP PracticeNHS OLDHAM CCG (00Y)EQ VAS</v>
      </c>
      <c r="C3768" t="s">
        <v>249</v>
      </c>
      <c r="D3768" t="s">
        <v>87</v>
      </c>
      <c r="E3768" t="s">
        <v>782</v>
      </c>
      <c r="F3768" t="s">
        <v>783</v>
      </c>
      <c r="G3768" t="s">
        <v>179</v>
      </c>
      <c r="H3768">
        <v>135</v>
      </c>
      <c r="I3768">
        <v>70.784999999999997</v>
      </c>
      <c r="J3768">
        <v>73.378</v>
      </c>
      <c r="K3768">
        <v>2.593</v>
      </c>
      <c r="L3768">
        <v>55</v>
      </c>
      <c r="M3768">
        <v>24</v>
      </c>
      <c r="N3768">
        <v>56</v>
      </c>
      <c r="O3768">
        <v>73.153999999999996</v>
      </c>
      <c r="P3768">
        <v>4.4956560799999998</v>
      </c>
      <c r="Q3768">
        <v>15.816000000000001</v>
      </c>
    </row>
    <row r="3769" spans="1:17" x14ac:dyDescent="0.2">
      <c r="A3769" s="30" t="str">
        <f>IF(C3769&amp;G3769&amp;D3769&lt;&gt;'Funnel setup'!$K$3&amp;'Funnel setup'!$K$4&amp;'Funnel setup'!$K$5,".",IF(A3768=".",1,A3768+1))</f>
        <v>.</v>
      </c>
      <c r="B3769" s="431" t="str">
        <f t="shared" si="58"/>
        <v>Knee Replacement PrimaryCCG of GP PracticeNHS OXFORDSHIRE CCG (10Q)EQ VAS</v>
      </c>
      <c r="C3769" t="s">
        <v>249</v>
      </c>
      <c r="D3769" t="s">
        <v>87</v>
      </c>
      <c r="E3769" t="s">
        <v>785</v>
      </c>
      <c r="F3769" t="s">
        <v>786</v>
      </c>
      <c r="G3769" t="s">
        <v>179</v>
      </c>
      <c r="H3769">
        <v>276</v>
      </c>
      <c r="I3769">
        <v>68.486000000000004</v>
      </c>
      <c r="J3769">
        <v>75.768000000000001</v>
      </c>
      <c r="K3769">
        <v>7.2830000000000004</v>
      </c>
      <c r="L3769">
        <v>158</v>
      </c>
      <c r="M3769">
        <v>36</v>
      </c>
      <c r="N3769">
        <v>82</v>
      </c>
      <c r="O3769">
        <v>75.156999999999996</v>
      </c>
      <c r="P3769">
        <v>6.4988658990000001</v>
      </c>
      <c r="Q3769">
        <v>16.170000000000002</v>
      </c>
    </row>
    <row r="3770" spans="1:17" x14ac:dyDescent="0.2">
      <c r="A3770" s="30" t="str">
        <f>IF(C3770&amp;G3770&amp;D3770&lt;&gt;'Funnel setup'!$K$3&amp;'Funnel setup'!$K$4&amp;'Funnel setup'!$K$5,".",IF(A3769=".",1,A3769+1))</f>
        <v>.</v>
      </c>
      <c r="B3770" s="431" t="str">
        <f t="shared" si="58"/>
        <v>Knee Replacement PrimaryCCG of GP PracticeNHS PORTSMOUTH CCG (10R)EQ VAS</v>
      </c>
      <c r="C3770" t="s">
        <v>249</v>
      </c>
      <c r="D3770" t="s">
        <v>87</v>
      </c>
      <c r="E3770" t="s">
        <v>788</v>
      </c>
      <c r="F3770" t="s">
        <v>789</v>
      </c>
      <c r="G3770" t="s">
        <v>179</v>
      </c>
      <c r="H3770">
        <v>49</v>
      </c>
      <c r="I3770">
        <v>72.183999999999997</v>
      </c>
      <c r="J3770">
        <v>75.694000000000003</v>
      </c>
      <c r="K3770">
        <v>3.51</v>
      </c>
      <c r="L3770">
        <v>21</v>
      </c>
      <c r="M3770">
        <v>7</v>
      </c>
      <c r="N3770">
        <v>21</v>
      </c>
      <c r="O3770">
        <v>74.408000000000001</v>
      </c>
      <c r="P3770">
        <v>5.749488232</v>
      </c>
      <c r="Q3770">
        <v>11.914999999999999</v>
      </c>
    </row>
    <row r="3771" spans="1:17" x14ac:dyDescent="0.2">
      <c r="A3771" s="30" t="str">
        <f>IF(C3771&amp;G3771&amp;D3771&lt;&gt;'Funnel setup'!$K$3&amp;'Funnel setup'!$K$4&amp;'Funnel setup'!$K$5,".",IF(A3770=".",1,A3770+1))</f>
        <v>.</v>
      </c>
      <c r="B3771" s="431" t="str">
        <f t="shared" si="58"/>
        <v>Knee Replacement PrimaryCCG of GP PracticeNHS REDBRIDGE CCG (08N)EQ VAS</v>
      </c>
      <c r="C3771" t="s">
        <v>249</v>
      </c>
      <c r="D3771" t="s">
        <v>87</v>
      </c>
      <c r="E3771" t="s">
        <v>791</v>
      </c>
      <c r="F3771" t="s">
        <v>792</v>
      </c>
      <c r="G3771" t="s">
        <v>179</v>
      </c>
      <c r="H3771">
        <v>84</v>
      </c>
      <c r="I3771">
        <v>62.619</v>
      </c>
      <c r="J3771">
        <v>72.31</v>
      </c>
      <c r="K3771">
        <v>9.69</v>
      </c>
      <c r="L3771">
        <v>56</v>
      </c>
      <c r="M3771">
        <v>9</v>
      </c>
      <c r="N3771">
        <v>19</v>
      </c>
      <c r="O3771">
        <v>76.03</v>
      </c>
      <c r="P3771">
        <v>7.3712355059999997</v>
      </c>
      <c r="Q3771">
        <v>15.36</v>
      </c>
    </row>
    <row r="3772" spans="1:17" x14ac:dyDescent="0.2">
      <c r="A3772" s="30" t="str">
        <f>IF(C3772&amp;G3772&amp;D3772&lt;&gt;'Funnel setup'!$K$3&amp;'Funnel setup'!$K$4&amp;'Funnel setup'!$K$5,".",IF(A3771=".",1,A3771+1))</f>
        <v>.</v>
      </c>
      <c r="B3772" s="431" t="str">
        <f t="shared" si="58"/>
        <v>Knee Replacement PrimaryCCG of GP PracticeNHS REDDITCH AND BROMSGROVE CCG (05J)EQ VAS</v>
      </c>
      <c r="C3772" t="s">
        <v>249</v>
      </c>
      <c r="D3772" t="s">
        <v>87</v>
      </c>
      <c r="E3772" t="s">
        <v>794</v>
      </c>
      <c r="F3772" t="s">
        <v>795</v>
      </c>
      <c r="G3772" t="s">
        <v>179</v>
      </c>
      <c r="H3772">
        <v>126</v>
      </c>
      <c r="I3772">
        <v>76.262</v>
      </c>
      <c r="J3772">
        <v>78.055999999999997</v>
      </c>
      <c r="K3772">
        <v>1.794</v>
      </c>
      <c r="L3772">
        <v>59</v>
      </c>
      <c r="M3772">
        <v>30</v>
      </c>
      <c r="N3772">
        <v>37</v>
      </c>
      <c r="O3772">
        <v>75.067999999999998</v>
      </c>
      <c r="P3772">
        <v>6.4100774530000004</v>
      </c>
      <c r="Q3772">
        <v>14.718</v>
      </c>
    </row>
    <row r="3773" spans="1:17" x14ac:dyDescent="0.2">
      <c r="A3773" s="30" t="str">
        <f>IF(C3773&amp;G3773&amp;D3773&lt;&gt;'Funnel setup'!$K$3&amp;'Funnel setup'!$K$4&amp;'Funnel setup'!$K$5,".",IF(A3772=".",1,A3772+1))</f>
        <v>.</v>
      </c>
      <c r="B3773" s="431" t="str">
        <f t="shared" si="58"/>
        <v>Knee Replacement PrimaryCCG of GP PracticeNHS RICHMOND CCG (08P)EQ VAS</v>
      </c>
      <c r="C3773" t="s">
        <v>249</v>
      </c>
      <c r="D3773" t="s">
        <v>87</v>
      </c>
      <c r="E3773" t="s">
        <v>797</v>
      </c>
      <c r="F3773" t="s">
        <v>798</v>
      </c>
      <c r="G3773" t="s">
        <v>179</v>
      </c>
      <c r="H3773">
        <v>51</v>
      </c>
      <c r="I3773">
        <v>67.98</v>
      </c>
      <c r="J3773">
        <v>75.510000000000005</v>
      </c>
      <c r="K3773">
        <v>7.5289999999999999</v>
      </c>
      <c r="L3773">
        <v>30</v>
      </c>
      <c r="M3773">
        <v>6</v>
      </c>
      <c r="N3773">
        <v>15</v>
      </c>
      <c r="O3773">
        <v>75.674999999999997</v>
      </c>
      <c r="P3773">
        <v>7.0163818730000003</v>
      </c>
      <c r="Q3773">
        <v>15.253</v>
      </c>
    </row>
    <row r="3774" spans="1:17" x14ac:dyDescent="0.2">
      <c r="A3774" s="30" t="str">
        <f>IF(C3774&amp;G3774&amp;D3774&lt;&gt;'Funnel setup'!$K$3&amp;'Funnel setup'!$K$4&amp;'Funnel setup'!$K$5,".",IF(A3773=".",1,A3773+1))</f>
        <v>.</v>
      </c>
      <c r="B3774" s="431" t="str">
        <f t="shared" si="58"/>
        <v>Knee Replacement PrimaryCCG of GP PracticeNHS ROTHERHAM CCG (03L)EQ VAS</v>
      </c>
      <c r="C3774" t="s">
        <v>249</v>
      </c>
      <c r="D3774" t="s">
        <v>87</v>
      </c>
      <c r="E3774" t="s">
        <v>800</v>
      </c>
      <c r="F3774" t="s">
        <v>801</v>
      </c>
      <c r="G3774" t="s">
        <v>179</v>
      </c>
      <c r="H3774">
        <v>182</v>
      </c>
      <c r="I3774">
        <v>70.033000000000001</v>
      </c>
      <c r="J3774">
        <v>75.22</v>
      </c>
      <c r="K3774">
        <v>5.1870000000000003</v>
      </c>
      <c r="L3774">
        <v>97</v>
      </c>
      <c r="M3774">
        <v>32</v>
      </c>
      <c r="N3774">
        <v>53</v>
      </c>
      <c r="O3774">
        <v>75.186999999999998</v>
      </c>
      <c r="P3774">
        <v>6.5281835560000001</v>
      </c>
      <c r="Q3774">
        <v>13.744</v>
      </c>
    </row>
    <row r="3775" spans="1:17" x14ac:dyDescent="0.2">
      <c r="A3775" s="30" t="str">
        <f>IF(C3775&amp;G3775&amp;D3775&lt;&gt;'Funnel setup'!$K$3&amp;'Funnel setup'!$K$4&amp;'Funnel setup'!$K$5,".",IF(A3774=".",1,A3774+1))</f>
        <v>.</v>
      </c>
      <c r="B3775" s="431" t="str">
        <f t="shared" si="58"/>
        <v>Knee Replacement PrimaryCCG of GP PracticeNHS RUSHCLIFFE CCG (04N)EQ VAS</v>
      </c>
      <c r="C3775" t="s">
        <v>249</v>
      </c>
      <c r="D3775" t="s">
        <v>87</v>
      </c>
      <c r="E3775" t="s">
        <v>803</v>
      </c>
      <c r="F3775" t="s">
        <v>804</v>
      </c>
      <c r="G3775" t="s">
        <v>179</v>
      </c>
      <c r="H3775">
        <v>97</v>
      </c>
      <c r="I3775">
        <v>71.052000000000007</v>
      </c>
      <c r="J3775">
        <v>76.463999999999999</v>
      </c>
      <c r="K3775">
        <v>5.4119999999999999</v>
      </c>
      <c r="L3775">
        <v>56</v>
      </c>
      <c r="M3775">
        <v>11</v>
      </c>
      <c r="N3775">
        <v>30</v>
      </c>
      <c r="O3775">
        <v>73.355000000000004</v>
      </c>
      <c r="P3775">
        <v>4.6964510659999998</v>
      </c>
      <c r="Q3775">
        <v>15.606999999999999</v>
      </c>
    </row>
    <row r="3776" spans="1:17" x14ac:dyDescent="0.2">
      <c r="A3776" s="30" t="str">
        <f>IF(C3776&amp;G3776&amp;D3776&lt;&gt;'Funnel setup'!$K$3&amp;'Funnel setup'!$K$4&amp;'Funnel setup'!$K$5,".",IF(A3775=".",1,A3775+1))</f>
        <v>.</v>
      </c>
      <c r="B3776" s="431" t="str">
        <f t="shared" si="58"/>
        <v>Knee Replacement PrimaryCCG of GP PracticeNHS SALFORD CCG (01G)EQ VAS</v>
      </c>
      <c r="C3776" t="s">
        <v>249</v>
      </c>
      <c r="D3776" t="s">
        <v>87</v>
      </c>
      <c r="E3776" t="s">
        <v>806</v>
      </c>
      <c r="F3776" t="s">
        <v>807</v>
      </c>
      <c r="G3776" t="s">
        <v>179</v>
      </c>
      <c r="H3776">
        <v>131</v>
      </c>
      <c r="I3776">
        <v>68.382000000000005</v>
      </c>
      <c r="J3776">
        <v>69.251999999999995</v>
      </c>
      <c r="K3776">
        <v>0.87</v>
      </c>
      <c r="L3776">
        <v>59</v>
      </c>
      <c r="M3776">
        <v>18</v>
      </c>
      <c r="N3776">
        <v>54</v>
      </c>
      <c r="O3776">
        <v>71.332999999999998</v>
      </c>
      <c r="P3776">
        <v>2.6741798569999999</v>
      </c>
      <c r="Q3776">
        <v>18.698</v>
      </c>
    </row>
    <row r="3777" spans="1:17" x14ac:dyDescent="0.2">
      <c r="A3777" s="30" t="str">
        <f>IF(C3777&amp;G3777&amp;D3777&lt;&gt;'Funnel setup'!$K$3&amp;'Funnel setup'!$K$4&amp;'Funnel setup'!$K$5,".",IF(A3776=".",1,A3776+1))</f>
        <v>.</v>
      </c>
      <c r="B3777" s="431" t="str">
        <f t="shared" si="58"/>
        <v>Knee Replacement PrimaryCCG of GP PracticeNHS SANDWELL AND WEST BIRMINGHAM CCG (05L)EQ VAS</v>
      </c>
      <c r="C3777" t="s">
        <v>249</v>
      </c>
      <c r="D3777" t="s">
        <v>87</v>
      </c>
      <c r="E3777" t="s">
        <v>809</v>
      </c>
      <c r="F3777" t="s">
        <v>810</v>
      </c>
      <c r="G3777" t="s">
        <v>179</v>
      </c>
      <c r="H3777">
        <v>221</v>
      </c>
      <c r="I3777">
        <v>65.33</v>
      </c>
      <c r="J3777">
        <v>70.253</v>
      </c>
      <c r="K3777">
        <v>4.923</v>
      </c>
      <c r="L3777">
        <v>118</v>
      </c>
      <c r="M3777">
        <v>27</v>
      </c>
      <c r="N3777">
        <v>76</v>
      </c>
      <c r="O3777">
        <v>74.5</v>
      </c>
      <c r="P3777">
        <v>5.8414116600000003</v>
      </c>
      <c r="Q3777">
        <v>16.748999999999999</v>
      </c>
    </row>
    <row r="3778" spans="1:17" x14ac:dyDescent="0.2">
      <c r="A3778" s="30" t="str">
        <f>IF(C3778&amp;G3778&amp;D3778&lt;&gt;'Funnel setup'!$K$3&amp;'Funnel setup'!$K$4&amp;'Funnel setup'!$K$5,".",IF(A3777=".",1,A3777+1))</f>
        <v>.</v>
      </c>
      <c r="B3778" s="431" t="str">
        <f t="shared" si="58"/>
        <v>Knee Replacement PrimaryCCG of GP PracticeNHS SCARBOROUGH AND RYEDALE CCG (03M)EQ VAS</v>
      </c>
      <c r="C3778" t="s">
        <v>249</v>
      </c>
      <c r="D3778" t="s">
        <v>87</v>
      </c>
      <c r="E3778" t="s">
        <v>812</v>
      </c>
      <c r="F3778" t="s">
        <v>813</v>
      </c>
      <c r="G3778" t="s">
        <v>179</v>
      </c>
      <c r="H3778">
        <v>123</v>
      </c>
      <c r="I3778">
        <v>68.504000000000005</v>
      </c>
      <c r="J3778">
        <v>74.739999999999995</v>
      </c>
      <c r="K3778">
        <v>6.2359999999999998</v>
      </c>
      <c r="L3778">
        <v>74</v>
      </c>
      <c r="M3778">
        <v>15</v>
      </c>
      <c r="N3778">
        <v>34</v>
      </c>
      <c r="O3778">
        <v>74.858999999999995</v>
      </c>
      <c r="P3778">
        <v>6.2011629460000002</v>
      </c>
      <c r="Q3778">
        <v>15.747999999999999</v>
      </c>
    </row>
    <row r="3779" spans="1:17" x14ac:dyDescent="0.2">
      <c r="A3779" s="30" t="str">
        <f>IF(C3779&amp;G3779&amp;D3779&lt;&gt;'Funnel setup'!$K$3&amp;'Funnel setup'!$K$4&amp;'Funnel setup'!$K$5,".",IF(A3778=".",1,A3778+1))</f>
        <v>.</v>
      </c>
      <c r="B3779" s="431" t="str">
        <f t="shared" ref="B3779:B3842" si="59">C3779&amp;D3779&amp;F3779&amp;G3779</f>
        <v>Knee Replacement PrimaryCCG of GP PracticeNHS SHEFFIELD CCG (03N)EQ VAS</v>
      </c>
      <c r="C3779" t="s">
        <v>249</v>
      </c>
      <c r="D3779" t="s">
        <v>87</v>
      </c>
      <c r="E3779" t="s">
        <v>815</v>
      </c>
      <c r="F3779" t="s">
        <v>816</v>
      </c>
      <c r="G3779" t="s">
        <v>179</v>
      </c>
      <c r="H3779">
        <v>441</v>
      </c>
      <c r="I3779">
        <v>67.546000000000006</v>
      </c>
      <c r="J3779">
        <v>74.057000000000002</v>
      </c>
      <c r="K3779">
        <v>6.51</v>
      </c>
      <c r="L3779">
        <v>244</v>
      </c>
      <c r="M3779">
        <v>59</v>
      </c>
      <c r="N3779">
        <v>138</v>
      </c>
      <c r="O3779">
        <v>74.569000000000003</v>
      </c>
      <c r="P3779">
        <v>5.9111196960000001</v>
      </c>
      <c r="Q3779">
        <v>14.616</v>
      </c>
    </row>
    <row r="3780" spans="1:17" x14ac:dyDescent="0.2">
      <c r="A3780" s="30" t="str">
        <f>IF(C3780&amp;G3780&amp;D3780&lt;&gt;'Funnel setup'!$K$3&amp;'Funnel setup'!$K$4&amp;'Funnel setup'!$K$5,".",IF(A3779=".",1,A3779+1))</f>
        <v>.</v>
      </c>
      <c r="B3780" s="431" t="str">
        <f t="shared" si="59"/>
        <v>Knee Replacement PrimaryCCG of GP PracticeNHS SHROPSHIRE CCG (05N)EQ VAS</v>
      </c>
      <c r="C3780" t="s">
        <v>249</v>
      </c>
      <c r="D3780" t="s">
        <v>87</v>
      </c>
      <c r="E3780" t="s">
        <v>818</v>
      </c>
      <c r="F3780" t="s">
        <v>819</v>
      </c>
      <c r="G3780" t="s">
        <v>179</v>
      </c>
      <c r="H3780">
        <v>277</v>
      </c>
      <c r="I3780">
        <v>67.971000000000004</v>
      </c>
      <c r="J3780">
        <v>76.78</v>
      </c>
      <c r="K3780">
        <v>8.8089999999999993</v>
      </c>
      <c r="L3780">
        <v>162</v>
      </c>
      <c r="M3780">
        <v>49</v>
      </c>
      <c r="N3780">
        <v>66</v>
      </c>
      <c r="O3780">
        <v>74.409000000000006</v>
      </c>
      <c r="P3780">
        <v>5.7509006109999996</v>
      </c>
      <c r="Q3780">
        <v>14.781000000000001</v>
      </c>
    </row>
    <row r="3781" spans="1:17" x14ac:dyDescent="0.2">
      <c r="A3781" s="30" t="str">
        <f>IF(C3781&amp;G3781&amp;D3781&lt;&gt;'Funnel setup'!$K$3&amp;'Funnel setup'!$K$4&amp;'Funnel setup'!$K$5,".",IF(A3780=".",1,A3780+1))</f>
        <v>.</v>
      </c>
      <c r="B3781" s="431" t="str">
        <f t="shared" si="59"/>
        <v>Knee Replacement PrimaryCCG of GP PracticeNHS SLOUGH CCG (10T)EQ VAS</v>
      </c>
      <c r="C3781" t="s">
        <v>249</v>
      </c>
      <c r="D3781" t="s">
        <v>87</v>
      </c>
      <c r="E3781" t="s">
        <v>821</v>
      </c>
      <c r="F3781" t="s">
        <v>822</v>
      </c>
      <c r="G3781" t="s">
        <v>179</v>
      </c>
      <c r="H3781">
        <v>46</v>
      </c>
      <c r="I3781">
        <v>65.739000000000004</v>
      </c>
      <c r="J3781">
        <v>67.043000000000006</v>
      </c>
      <c r="K3781">
        <v>1.304</v>
      </c>
      <c r="L3781">
        <v>18</v>
      </c>
      <c r="M3781">
        <v>7</v>
      </c>
      <c r="N3781">
        <v>21</v>
      </c>
      <c r="O3781">
        <v>70.218000000000004</v>
      </c>
      <c r="P3781">
        <v>1.559915905</v>
      </c>
      <c r="Q3781">
        <v>15.076000000000001</v>
      </c>
    </row>
    <row r="3782" spans="1:17" x14ac:dyDescent="0.2">
      <c r="A3782" s="30" t="str">
        <f>IF(C3782&amp;G3782&amp;D3782&lt;&gt;'Funnel setup'!$K$3&amp;'Funnel setup'!$K$4&amp;'Funnel setup'!$K$5,".",IF(A3781=".",1,A3781+1))</f>
        <v>.</v>
      </c>
      <c r="B3782" s="431" t="str">
        <f t="shared" si="59"/>
        <v>Knee Replacement PrimaryCCG of GP PracticeNHS SOLIHULL CCG (05P)EQ VAS</v>
      </c>
      <c r="C3782" t="s">
        <v>249</v>
      </c>
      <c r="D3782" t="s">
        <v>87</v>
      </c>
      <c r="E3782" t="s">
        <v>824</v>
      </c>
      <c r="F3782" t="s">
        <v>825</v>
      </c>
      <c r="G3782" t="s">
        <v>179</v>
      </c>
      <c r="H3782">
        <v>243</v>
      </c>
      <c r="I3782">
        <v>63.106999999999999</v>
      </c>
      <c r="J3782">
        <v>73.206000000000003</v>
      </c>
      <c r="K3782">
        <v>10.099</v>
      </c>
      <c r="L3782">
        <v>154</v>
      </c>
      <c r="M3782">
        <v>26</v>
      </c>
      <c r="N3782">
        <v>63</v>
      </c>
      <c r="O3782">
        <v>75.715999999999994</v>
      </c>
      <c r="P3782">
        <v>7.057403592</v>
      </c>
      <c r="Q3782">
        <v>18.748999999999999</v>
      </c>
    </row>
    <row r="3783" spans="1:17" x14ac:dyDescent="0.2">
      <c r="A3783" s="30" t="str">
        <f>IF(C3783&amp;G3783&amp;D3783&lt;&gt;'Funnel setup'!$K$3&amp;'Funnel setup'!$K$4&amp;'Funnel setup'!$K$5,".",IF(A3782=".",1,A3782+1))</f>
        <v>.</v>
      </c>
      <c r="B3783" s="431" t="str">
        <f t="shared" si="59"/>
        <v>Knee Replacement PrimaryCCG of GP PracticeNHS SOMERSET CCG (11X)EQ VAS</v>
      </c>
      <c r="C3783" t="s">
        <v>249</v>
      </c>
      <c r="D3783" t="s">
        <v>87</v>
      </c>
      <c r="E3783" t="s">
        <v>827</v>
      </c>
      <c r="F3783" t="s">
        <v>828</v>
      </c>
      <c r="G3783" t="s">
        <v>179</v>
      </c>
      <c r="H3783">
        <v>376</v>
      </c>
      <c r="I3783">
        <v>71.180999999999997</v>
      </c>
      <c r="J3783">
        <v>77.861999999999995</v>
      </c>
      <c r="K3783">
        <v>6.681</v>
      </c>
      <c r="L3783">
        <v>227</v>
      </c>
      <c r="M3783">
        <v>57</v>
      </c>
      <c r="N3783">
        <v>92</v>
      </c>
      <c r="O3783">
        <v>75.510999999999996</v>
      </c>
      <c r="P3783">
        <v>6.8531559739999999</v>
      </c>
      <c r="Q3783">
        <v>14.507999999999999</v>
      </c>
    </row>
    <row r="3784" spans="1:17" x14ac:dyDescent="0.2">
      <c r="A3784" s="30" t="str">
        <f>IF(C3784&amp;G3784&amp;D3784&lt;&gt;'Funnel setup'!$K$3&amp;'Funnel setup'!$K$4&amp;'Funnel setup'!$K$5,".",IF(A3783=".",1,A3783+1))</f>
        <v>.</v>
      </c>
      <c r="B3784" s="431" t="str">
        <f t="shared" si="59"/>
        <v>Knee Replacement PrimaryCCG of GP PracticeNHS SOUTH CHESHIRE CCG (01R)EQ VAS</v>
      </c>
      <c r="C3784" t="s">
        <v>249</v>
      </c>
      <c r="D3784" t="s">
        <v>87</v>
      </c>
      <c r="E3784" t="s">
        <v>830</v>
      </c>
      <c r="F3784" t="s">
        <v>831</v>
      </c>
      <c r="G3784" t="s">
        <v>179</v>
      </c>
      <c r="H3784">
        <v>150</v>
      </c>
      <c r="I3784">
        <v>72.453000000000003</v>
      </c>
      <c r="J3784">
        <v>75.787000000000006</v>
      </c>
      <c r="K3784">
        <v>3.3330000000000002</v>
      </c>
      <c r="L3784">
        <v>78</v>
      </c>
      <c r="M3784">
        <v>24</v>
      </c>
      <c r="N3784">
        <v>48</v>
      </c>
      <c r="O3784">
        <v>72.558000000000007</v>
      </c>
      <c r="P3784">
        <v>3.8996109209999998</v>
      </c>
      <c r="Q3784">
        <v>15.831</v>
      </c>
    </row>
    <row r="3785" spans="1:17" x14ac:dyDescent="0.2">
      <c r="A3785" s="30" t="str">
        <f>IF(C3785&amp;G3785&amp;D3785&lt;&gt;'Funnel setup'!$K$3&amp;'Funnel setup'!$K$4&amp;'Funnel setup'!$K$5,".",IF(A3784=".",1,A3784+1))</f>
        <v>.</v>
      </c>
      <c r="B3785" s="431" t="str">
        <f t="shared" si="59"/>
        <v>Knee Replacement PrimaryCCG of GP PracticeNHS SOUTH DEVON AND TORBAY CCG (99Q)EQ VAS</v>
      </c>
      <c r="C3785" t="s">
        <v>249</v>
      </c>
      <c r="D3785" t="s">
        <v>87</v>
      </c>
      <c r="E3785" t="s">
        <v>833</v>
      </c>
      <c r="F3785" t="s">
        <v>834</v>
      </c>
      <c r="G3785" t="s">
        <v>179</v>
      </c>
      <c r="H3785">
        <v>313</v>
      </c>
      <c r="I3785">
        <v>70.412000000000006</v>
      </c>
      <c r="J3785">
        <v>75.754000000000005</v>
      </c>
      <c r="K3785">
        <v>5.3419999999999996</v>
      </c>
      <c r="L3785">
        <v>176</v>
      </c>
      <c r="M3785">
        <v>37</v>
      </c>
      <c r="N3785">
        <v>100</v>
      </c>
      <c r="O3785">
        <v>75.462000000000003</v>
      </c>
      <c r="P3785">
        <v>6.803899973</v>
      </c>
      <c r="Q3785">
        <v>15.647</v>
      </c>
    </row>
    <row r="3786" spans="1:17" x14ac:dyDescent="0.2">
      <c r="A3786" s="30" t="str">
        <f>IF(C3786&amp;G3786&amp;D3786&lt;&gt;'Funnel setup'!$K$3&amp;'Funnel setup'!$K$4&amp;'Funnel setup'!$K$5,".",IF(A3785=".",1,A3785+1))</f>
        <v>.</v>
      </c>
      <c r="B3786" s="431" t="str">
        <f t="shared" si="59"/>
        <v>Knee Replacement PrimaryCCG of GP PracticeNHS SOUTH EAST STAFFORDSHIRE AND SEISDON PENINSULA CCG (05Q)EQ VAS</v>
      </c>
      <c r="C3786" t="s">
        <v>249</v>
      </c>
      <c r="D3786" t="s">
        <v>87</v>
      </c>
      <c r="E3786" t="s">
        <v>836</v>
      </c>
      <c r="F3786" t="s">
        <v>837</v>
      </c>
      <c r="G3786" t="s">
        <v>179</v>
      </c>
      <c r="H3786">
        <v>220</v>
      </c>
      <c r="I3786">
        <v>69.504999999999995</v>
      </c>
      <c r="J3786">
        <v>75.608999999999995</v>
      </c>
      <c r="K3786">
        <v>6.1050000000000004</v>
      </c>
      <c r="L3786">
        <v>126</v>
      </c>
      <c r="M3786">
        <v>25</v>
      </c>
      <c r="N3786">
        <v>69</v>
      </c>
      <c r="O3786">
        <v>74.909000000000006</v>
      </c>
      <c r="P3786">
        <v>6.2504942200000002</v>
      </c>
      <c r="Q3786">
        <v>14.103</v>
      </c>
    </row>
    <row r="3787" spans="1:17" x14ac:dyDescent="0.2">
      <c r="A3787" s="30" t="str">
        <f>IF(C3787&amp;G3787&amp;D3787&lt;&gt;'Funnel setup'!$K$3&amp;'Funnel setup'!$K$4&amp;'Funnel setup'!$K$5,".",IF(A3786=".",1,A3786+1))</f>
        <v>.</v>
      </c>
      <c r="B3787" s="431" t="str">
        <f t="shared" si="59"/>
        <v>Knee Replacement PrimaryCCG of GP PracticeNHS SOUTH EASTERN HAMPSHIRE CCG (10V)EQ VAS</v>
      </c>
      <c r="C3787" t="s">
        <v>249</v>
      </c>
      <c r="D3787" t="s">
        <v>87</v>
      </c>
      <c r="E3787" t="s">
        <v>839</v>
      </c>
      <c r="F3787" t="s">
        <v>840</v>
      </c>
      <c r="G3787" t="s">
        <v>179</v>
      </c>
      <c r="H3787">
        <v>107</v>
      </c>
      <c r="I3787">
        <v>70.551000000000002</v>
      </c>
      <c r="J3787">
        <v>77.542000000000002</v>
      </c>
      <c r="K3787">
        <v>6.9909999999999997</v>
      </c>
      <c r="L3787">
        <v>61</v>
      </c>
      <c r="M3787">
        <v>20</v>
      </c>
      <c r="N3787">
        <v>26</v>
      </c>
      <c r="O3787">
        <v>75.501999999999995</v>
      </c>
      <c r="P3787">
        <v>6.8439761969999999</v>
      </c>
      <c r="Q3787">
        <v>13.791</v>
      </c>
    </row>
    <row r="3788" spans="1:17" x14ac:dyDescent="0.2">
      <c r="A3788" s="30" t="str">
        <f>IF(C3788&amp;G3788&amp;D3788&lt;&gt;'Funnel setup'!$K$3&amp;'Funnel setup'!$K$4&amp;'Funnel setup'!$K$5,".",IF(A3787=".",1,A3787+1))</f>
        <v>.</v>
      </c>
      <c r="B3788" s="431" t="str">
        <f t="shared" si="59"/>
        <v>Knee Replacement PrimaryCCG of GP PracticeNHS SOUTH GLOUCESTERSHIRE CCG (12A)EQ VAS</v>
      </c>
      <c r="C3788" t="s">
        <v>249</v>
      </c>
      <c r="D3788" t="s">
        <v>87</v>
      </c>
      <c r="E3788" t="s">
        <v>842</v>
      </c>
      <c r="F3788" t="s">
        <v>843</v>
      </c>
      <c r="G3788" t="s">
        <v>179</v>
      </c>
      <c r="H3788">
        <v>201</v>
      </c>
      <c r="I3788">
        <v>72.835999999999999</v>
      </c>
      <c r="J3788">
        <v>78.248999999999995</v>
      </c>
      <c r="K3788">
        <v>5.4130000000000003</v>
      </c>
      <c r="L3788">
        <v>115</v>
      </c>
      <c r="M3788">
        <v>26</v>
      </c>
      <c r="N3788">
        <v>60</v>
      </c>
      <c r="O3788">
        <v>74.840999999999994</v>
      </c>
      <c r="P3788">
        <v>6.1829176229999998</v>
      </c>
      <c r="Q3788">
        <v>14.48</v>
      </c>
    </row>
    <row r="3789" spans="1:17" x14ac:dyDescent="0.2">
      <c r="A3789" s="30" t="str">
        <f>IF(C3789&amp;G3789&amp;D3789&lt;&gt;'Funnel setup'!$K$3&amp;'Funnel setup'!$K$4&amp;'Funnel setup'!$K$5,".",IF(A3788=".",1,A3788+1))</f>
        <v>.</v>
      </c>
      <c r="B3789" s="431" t="str">
        <f t="shared" si="59"/>
        <v>Knee Replacement PrimaryCCG of GP PracticeNHS SOUTH KENT COAST CCG (10A)EQ VAS</v>
      </c>
      <c r="C3789" t="s">
        <v>249</v>
      </c>
      <c r="D3789" t="s">
        <v>87</v>
      </c>
      <c r="E3789" t="s">
        <v>845</v>
      </c>
      <c r="F3789" t="s">
        <v>846</v>
      </c>
      <c r="G3789" t="s">
        <v>179</v>
      </c>
      <c r="H3789">
        <v>146</v>
      </c>
      <c r="I3789">
        <v>70.171000000000006</v>
      </c>
      <c r="J3789">
        <v>71.828999999999994</v>
      </c>
      <c r="K3789">
        <v>1.6579999999999999</v>
      </c>
      <c r="L3789">
        <v>59</v>
      </c>
      <c r="M3789">
        <v>25</v>
      </c>
      <c r="N3789">
        <v>62</v>
      </c>
      <c r="O3789">
        <v>71.117000000000004</v>
      </c>
      <c r="P3789">
        <v>2.4591141379999999</v>
      </c>
      <c r="Q3789">
        <v>16.521000000000001</v>
      </c>
    </row>
    <row r="3790" spans="1:17" x14ac:dyDescent="0.2">
      <c r="A3790" s="30" t="str">
        <f>IF(C3790&amp;G3790&amp;D3790&lt;&gt;'Funnel setup'!$K$3&amp;'Funnel setup'!$K$4&amp;'Funnel setup'!$K$5,".",IF(A3789=".",1,A3789+1))</f>
        <v>.</v>
      </c>
      <c r="B3790" s="431" t="str">
        <f t="shared" si="59"/>
        <v>Knee Replacement PrimaryCCG of GP PracticeNHS SOUTH LINCOLNSHIRE CCG (99D)EQ VAS</v>
      </c>
      <c r="C3790" t="s">
        <v>249</v>
      </c>
      <c r="D3790" t="s">
        <v>87</v>
      </c>
      <c r="E3790" t="s">
        <v>848</v>
      </c>
      <c r="F3790" t="s">
        <v>849</v>
      </c>
      <c r="G3790" t="s">
        <v>179</v>
      </c>
      <c r="H3790">
        <v>188</v>
      </c>
      <c r="I3790">
        <v>73.686000000000007</v>
      </c>
      <c r="J3790">
        <v>76.947000000000003</v>
      </c>
      <c r="K3790">
        <v>3.2610000000000001</v>
      </c>
      <c r="L3790">
        <v>95</v>
      </c>
      <c r="M3790">
        <v>24</v>
      </c>
      <c r="N3790">
        <v>69</v>
      </c>
      <c r="O3790">
        <v>73.953000000000003</v>
      </c>
      <c r="P3790">
        <v>5.2948379880000003</v>
      </c>
      <c r="Q3790">
        <v>15.478999999999999</v>
      </c>
    </row>
    <row r="3791" spans="1:17" x14ac:dyDescent="0.2">
      <c r="A3791" s="30" t="str">
        <f>IF(C3791&amp;G3791&amp;D3791&lt;&gt;'Funnel setup'!$K$3&amp;'Funnel setup'!$K$4&amp;'Funnel setup'!$K$5,".",IF(A3790=".",1,A3790+1))</f>
        <v>.</v>
      </c>
      <c r="B3791" s="431" t="str">
        <f t="shared" si="59"/>
        <v>Knee Replacement PrimaryCCG of GP PracticeNHS SOUTH MANCHESTER CCG (01N)EQ VAS</v>
      </c>
      <c r="C3791" t="s">
        <v>249</v>
      </c>
      <c r="D3791" t="s">
        <v>87</v>
      </c>
      <c r="E3791" t="s">
        <v>851</v>
      </c>
      <c r="F3791" t="s">
        <v>852</v>
      </c>
      <c r="G3791" t="s">
        <v>179</v>
      </c>
      <c r="H3791">
        <v>56</v>
      </c>
      <c r="I3791">
        <v>65.070999999999998</v>
      </c>
      <c r="J3791">
        <v>67.963999999999999</v>
      </c>
      <c r="K3791">
        <v>2.8929999999999998</v>
      </c>
      <c r="L3791">
        <v>25</v>
      </c>
      <c r="M3791">
        <v>9</v>
      </c>
      <c r="N3791">
        <v>22</v>
      </c>
      <c r="O3791">
        <v>71.28</v>
      </c>
      <c r="P3791">
        <v>2.6212247940000002</v>
      </c>
      <c r="Q3791">
        <v>20.771000000000001</v>
      </c>
    </row>
    <row r="3792" spans="1:17" x14ac:dyDescent="0.2">
      <c r="A3792" s="30" t="str">
        <f>IF(C3792&amp;G3792&amp;D3792&lt;&gt;'Funnel setup'!$K$3&amp;'Funnel setup'!$K$4&amp;'Funnel setup'!$K$5,".",IF(A3791=".",1,A3791+1))</f>
        <v>.</v>
      </c>
      <c r="B3792" s="431" t="str">
        <f t="shared" si="59"/>
        <v>Knee Replacement PrimaryCCG of GP PracticeNHS SOUTH NORFOLK CCG (06Y)EQ VAS</v>
      </c>
      <c r="C3792" t="s">
        <v>249</v>
      </c>
      <c r="D3792" t="s">
        <v>87</v>
      </c>
      <c r="E3792" t="s">
        <v>932</v>
      </c>
      <c r="F3792" t="s">
        <v>933</v>
      </c>
      <c r="G3792" t="s">
        <v>179</v>
      </c>
      <c r="H3792">
        <v>178</v>
      </c>
      <c r="I3792">
        <v>68.253</v>
      </c>
      <c r="J3792">
        <v>75.994</v>
      </c>
      <c r="K3792">
        <v>7.742</v>
      </c>
      <c r="L3792">
        <v>107</v>
      </c>
      <c r="M3792">
        <v>24</v>
      </c>
      <c r="N3792">
        <v>47</v>
      </c>
      <c r="O3792">
        <v>74.888999999999996</v>
      </c>
      <c r="P3792">
        <v>6.2303909089999996</v>
      </c>
      <c r="Q3792">
        <v>15.835000000000001</v>
      </c>
    </row>
    <row r="3793" spans="1:17" x14ac:dyDescent="0.2">
      <c r="A3793" s="30" t="str">
        <f>IF(C3793&amp;G3793&amp;D3793&lt;&gt;'Funnel setup'!$K$3&amp;'Funnel setup'!$K$4&amp;'Funnel setup'!$K$5,".",IF(A3792=".",1,A3792+1))</f>
        <v>.</v>
      </c>
      <c r="B3793" s="431" t="str">
        <f t="shared" si="59"/>
        <v>Knee Replacement PrimaryCCG of GP PracticeNHS SOUTH READING CCG (10W)EQ VAS</v>
      </c>
      <c r="C3793" t="s">
        <v>249</v>
      </c>
      <c r="D3793" t="s">
        <v>87</v>
      </c>
      <c r="E3793" t="s">
        <v>935</v>
      </c>
      <c r="F3793" t="s">
        <v>936</v>
      </c>
      <c r="G3793" t="s">
        <v>179</v>
      </c>
      <c r="H3793">
        <v>28</v>
      </c>
      <c r="I3793">
        <v>65.786000000000001</v>
      </c>
      <c r="J3793">
        <v>78.143000000000001</v>
      </c>
      <c r="K3793">
        <v>12.356999999999999</v>
      </c>
      <c r="L3793">
        <v>18</v>
      </c>
      <c r="M3793">
        <v>3</v>
      </c>
      <c r="N3793">
        <v>7</v>
      </c>
      <c r="O3793" t="s">
        <v>53</v>
      </c>
      <c r="P3793" t="s">
        <v>53</v>
      </c>
      <c r="Q3793" t="s">
        <v>53</v>
      </c>
    </row>
    <row r="3794" spans="1:17" x14ac:dyDescent="0.2">
      <c r="A3794" s="30" t="str">
        <f>IF(C3794&amp;G3794&amp;D3794&lt;&gt;'Funnel setup'!$K$3&amp;'Funnel setup'!$K$4&amp;'Funnel setup'!$K$5,".",IF(A3793=".",1,A3793+1))</f>
        <v>.</v>
      </c>
      <c r="B3794" s="431" t="str">
        <f t="shared" si="59"/>
        <v>Knee Replacement PrimaryCCG of GP PracticeNHS SOUTH SEFTON CCG (01T)EQ VAS</v>
      </c>
      <c r="C3794" t="s">
        <v>249</v>
      </c>
      <c r="D3794" t="s">
        <v>87</v>
      </c>
      <c r="E3794" t="s">
        <v>938</v>
      </c>
      <c r="F3794" t="s">
        <v>939</v>
      </c>
      <c r="G3794" t="s">
        <v>179</v>
      </c>
      <c r="H3794">
        <v>104</v>
      </c>
      <c r="I3794">
        <v>64.25</v>
      </c>
      <c r="J3794">
        <v>70.528999999999996</v>
      </c>
      <c r="K3794">
        <v>6.2789999999999999</v>
      </c>
      <c r="L3794">
        <v>58</v>
      </c>
      <c r="M3794">
        <v>13</v>
      </c>
      <c r="N3794">
        <v>33</v>
      </c>
      <c r="O3794">
        <v>73.528000000000006</v>
      </c>
      <c r="P3794">
        <v>4.8700471399999996</v>
      </c>
      <c r="Q3794">
        <v>17.818000000000001</v>
      </c>
    </row>
    <row r="3795" spans="1:17" x14ac:dyDescent="0.2">
      <c r="A3795" s="30" t="str">
        <f>IF(C3795&amp;G3795&amp;D3795&lt;&gt;'Funnel setup'!$K$3&amp;'Funnel setup'!$K$4&amp;'Funnel setup'!$K$5,".",IF(A3794=".",1,A3794+1))</f>
        <v>.</v>
      </c>
      <c r="B3795" s="431" t="str">
        <f t="shared" si="59"/>
        <v>Knee Replacement PrimaryCCG of GP PracticeNHS SOUTH TEES CCG (00M)EQ VAS</v>
      </c>
      <c r="C3795" t="s">
        <v>249</v>
      </c>
      <c r="D3795" t="s">
        <v>87</v>
      </c>
      <c r="E3795" t="s">
        <v>941</v>
      </c>
      <c r="F3795" t="s">
        <v>942</v>
      </c>
      <c r="G3795" t="s">
        <v>179</v>
      </c>
      <c r="H3795">
        <v>300</v>
      </c>
      <c r="I3795">
        <v>67.266999999999996</v>
      </c>
      <c r="J3795">
        <v>73.903000000000006</v>
      </c>
      <c r="K3795">
        <v>6.6369999999999996</v>
      </c>
      <c r="L3795">
        <v>176</v>
      </c>
      <c r="M3795">
        <v>37</v>
      </c>
      <c r="N3795">
        <v>87</v>
      </c>
      <c r="O3795">
        <v>76.028000000000006</v>
      </c>
      <c r="P3795">
        <v>7.3701473310000001</v>
      </c>
      <c r="Q3795">
        <v>15.367000000000001</v>
      </c>
    </row>
    <row r="3796" spans="1:17" x14ac:dyDescent="0.2">
      <c r="A3796" s="30" t="str">
        <f>IF(C3796&amp;G3796&amp;D3796&lt;&gt;'Funnel setup'!$K$3&amp;'Funnel setup'!$K$4&amp;'Funnel setup'!$K$5,".",IF(A3795=".",1,A3795+1))</f>
        <v>.</v>
      </c>
      <c r="B3796" s="431" t="str">
        <f t="shared" si="59"/>
        <v>Knee Replacement PrimaryCCG of GP PracticeNHS SOUTH TYNESIDE CCG (00N)EQ VAS</v>
      </c>
      <c r="C3796" t="s">
        <v>249</v>
      </c>
      <c r="D3796" t="s">
        <v>87</v>
      </c>
      <c r="E3796" t="s">
        <v>1016</v>
      </c>
      <c r="F3796" t="s">
        <v>1017</v>
      </c>
      <c r="G3796" t="s">
        <v>179</v>
      </c>
      <c r="H3796">
        <v>143</v>
      </c>
      <c r="I3796">
        <v>68.706000000000003</v>
      </c>
      <c r="J3796">
        <v>73.86</v>
      </c>
      <c r="K3796">
        <v>5.1539999999999999</v>
      </c>
      <c r="L3796">
        <v>77</v>
      </c>
      <c r="M3796">
        <v>22</v>
      </c>
      <c r="N3796">
        <v>44</v>
      </c>
      <c r="O3796">
        <v>74.266999999999996</v>
      </c>
      <c r="P3796">
        <v>5.6082126429999999</v>
      </c>
      <c r="Q3796">
        <v>15.237</v>
      </c>
    </row>
    <row r="3797" spans="1:17" x14ac:dyDescent="0.2">
      <c r="A3797" s="30" t="str">
        <f>IF(C3797&amp;G3797&amp;D3797&lt;&gt;'Funnel setup'!$K$3&amp;'Funnel setup'!$K$4&amp;'Funnel setup'!$K$5,".",IF(A3796=".",1,A3796+1))</f>
        <v>.</v>
      </c>
      <c r="B3797" s="431" t="str">
        <f t="shared" si="59"/>
        <v>Knee Replacement PrimaryCCG of GP PracticeNHS SOUTH WARWICKSHIRE CCG (05R)EQ VAS</v>
      </c>
      <c r="C3797" t="s">
        <v>249</v>
      </c>
      <c r="D3797" t="s">
        <v>87</v>
      </c>
      <c r="E3797" t="s">
        <v>944</v>
      </c>
      <c r="F3797" t="s">
        <v>945</v>
      </c>
      <c r="G3797" t="s">
        <v>179</v>
      </c>
      <c r="H3797">
        <v>260</v>
      </c>
      <c r="I3797">
        <v>70.281000000000006</v>
      </c>
      <c r="J3797">
        <v>75.188000000000002</v>
      </c>
      <c r="K3797">
        <v>4.9080000000000004</v>
      </c>
      <c r="L3797">
        <v>143</v>
      </c>
      <c r="M3797">
        <v>31</v>
      </c>
      <c r="N3797">
        <v>86</v>
      </c>
      <c r="O3797">
        <v>74.102000000000004</v>
      </c>
      <c r="P3797">
        <v>5.4433983650000002</v>
      </c>
      <c r="Q3797">
        <v>15.573</v>
      </c>
    </row>
    <row r="3798" spans="1:17" x14ac:dyDescent="0.2">
      <c r="A3798" s="30" t="str">
        <f>IF(C3798&amp;G3798&amp;D3798&lt;&gt;'Funnel setup'!$K$3&amp;'Funnel setup'!$K$4&amp;'Funnel setup'!$K$5,".",IF(A3797=".",1,A3797+1))</f>
        <v>.</v>
      </c>
      <c r="B3798" s="431" t="str">
        <f t="shared" si="59"/>
        <v>Knee Replacement PrimaryCCG of GP PracticeNHS SOUTH WEST LINCOLNSHIRE CCG (04Q)EQ VAS</v>
      </c>
      <c r="C3798" t="s">
        <v>249</v>
      </c>
      <c r="D3798" t="s">
        <v>87</v>
      </c>
      <c r="E3798" t="s">
        <v>947</v>
      </c>
      <c r="F3798" t="s">
        <v>948</v>
      </c>
      <c r="G3798" t="s">
        <v>179</v>
      </c>
      <c r="H3798">
        <v>102</v>
      </c>
      <c r="I3798">
        <v>66.363</v>
      </c>
      <c r="J3798">
        <v>73.813999999999993</v>
      </c>
      <c r="K3798">
        <v>7.4509999999999996</v>
      </c>
      <c r="L3798">
        <v>59</v>
      </c>
      <c r="M3798">
        <v>7</v>
      </c>
      <c r="N3798">
        <v>36</v>
      </c>
      <c r="O3798">
        <v>73.703999999999994</v>
      </c>
      <c r="P3798">
        <v>5.0461618980000003</v>
      </c>
      <c r="Q3798">
        <v>16.754000000000001</v>
      </c>
    </row>
    <row r="3799" spans="1:17" x14ac:dyDescent="0.2">
      <c r="A3799" s="30" t="str">
        <f>IF(C3799&amp;G3799&amp;D3799&lt;&gt;'Funnel setup'!$K$3&amp;'Funnel setup'!$K$4&amp;'Funnel setup'!$K$5,".",IF(A3798=".",1,A3798+1))</f>
        <v>.</v>
      </c>
      <c r="B3799" s="431" t="str">
        <f t="shared" si="59"/>
        <v>Knee Replacement PrimaryCCG of GP PracticeNHS SOUTH WORCESTERSHIRE CCG (05T)EQ VAS</v>
      </c>
      <c r="C3799" t="s">
        <v>249</v>
      </c>
      <c r="D3799" t="s">
        <v>87</v>
      </c>
      <c r="E3799" t="s">
        <v>950</v>
      </c>
      <c r="F3799" t="s">
        <v>951</v>
      </c>
      <c r="G3799" t="s">
        <v>179</v>
      </c>
      <c r="H3799">
        <v>162</v>
      </c>
      <c r="I3799">
        <v>72.16</v>
      </c>
      <c r="J3799">
        <v>78.241</v>
      </c>
      <c r="K3799">
        <v>6.08</v>
      </c>
      <c r="L3799">
        <v>85</v>
      </c>
      <c r="M3799">
        <v>28</v>
      </c>
      <c r="N3799">
        <v>49</v>
      </c>
      <c r="O3799">
        <v>75.671000000000006</v>
      </c>
      <c r="P3799">
        <v>7.0131079129999998</v>
      </c>
      <c r="Q3799">
        <v>15.11</v>
      </c>
    </row>
    <row r="3800" spans="1:17" x14ac:dyDescent="0.2">
      <c r="A3800" s="30" t="str">
        <f>IF(C3800&amp;G3800&amp;D3800&lt;&gt;'Funnel setup'!$K$3&amp;'Funnel setup'!$K$4&amp;'Funnel setup'!$K$5,".",IF(A3799=".",1,A3799+1))</f>
        <v>.</v>
      </c>
      <c r="B3800" s="431" t="str">
        <f t="shared" si="59"/>
        <v>Knee Replacement PrimaryCCG of GP PracticeNHS SOUTHAMPTON CCG (10X)EQ VAS</v>
      </c>
      <c r="C3800" t="s">
        <v>249</v>
      </c>
      <c r="D3800" t="s">
        <v>87</v>
      </c>
      <c r="E3800" t="s">
        <v>953</v>
      </c>
      <c r="F3800" t="s">
        <v>954</v>
      </c>
      <c r="G3800" t="s">
        <v>179</v>
      </c>
      <c r="H3800">
        <v>158</v>
      </c>
      <c r="I3800">
        <v>68.841999999999999</v>
      </c>
      <c r="J3800">
        <v>73.671000000000006</v>
      </c>
      <c r="K3800">
        <v>4.8289999999999997</v>
      </c>
      <c r="L3800">
        <v>83</v>
      </c>
      <c r="M3800">
        <v>29</v>
      </c>
      <c r="N3800">
        <v>46</v>
      </c>
      <c r="O3800">
        <v>73.977999999999994</v>
      </c>
      <c r="P3800">
        <v>5.3200792510000001</v>
      </c>
      <c r="Q3800">
        <v>14.315</v>
      </c>
    </row>
    <row r="3801" spans="1:17" x14ac:dyDescent="0.2">
      <c r="A3801" s="30" t="str">
        <f>IF(C3801&amp;G3801&amp;D3801&lt;&gt;'Funnel setup'!$K$3&amp;'Funnel setup'!$K$4&amp;'Funnel setup'!$K$5,".",IF(A3800=".",1,A3800+1))</f>
        <v>.</v>
      </c>
      <c r="B3801" s="431" t="str">
        <f t="shared" si="59"/>
        <v>Knee Replacement PrimaryCCG of GP PracticeNHS SOUTHEND CCG (99G)EQ VAS</v>
      </c>
      <c r="C3801" t="s">
        <v>249</v>
      </c>
      <c r="D3801" t="s">
        <v>87</v>
      </c>
      <c r="E3801" t="s">
        <v>956</v>
      </c>
      <c r="F3801" t="s">
        <v>957</v>
      </c>
      <c r="G3801" t="s">
        <v>179</v>
      </c>
      <c r="H3801">
        <v>119</v>
      </c>
      <c r="I3801">
        <v>66.521000000000001</v>
      </c>
      <c r="J3801">
        <v>75.570999999999998</v>
      </c>
      <c r="K3801">
        <v>9.0500000000000007</v>
      </c>
      <c r="L3801">
        <v>65</v>
      </c>
      <c r="M3801">
        <v>21</v>
      </c>
      <c r="N3801">
        <v>33</v>
      </c>
      <c r="O3801">
        <v>76.748999999999995</v>
      </c>
      <c r="P3801">
        <v>8.0907122299999994</v>
      </c>
      <c r="Q3801">
        <v>14.648999999999999</v>
      </c>
    </row>
    <row r="3802" spans="1:17" x14ac:dyDescent="0.2">
      <c r="A3802" s="30" t="str">
        <f>IF(C3802&amp;G3802&amp;D3802&lt;&gt;'Funnel setup'!$K$3&amp;'Funnel setup'!$K$4&amp;'Funnel setup'!$K$5,".",IF(A3801=".",1,A3801+1))</f>
        <v>.</v>
      </c>
      <c r="B3802" s="431" t="str">
        <f t="shared" si="59"/>
        <v>Knee Replacement PrimaryCCG of GP PracticeNHS SOUTHERN DERBYSHIRE CCG (04R)EQ VAS</v>
      </c>
      <c r="C3802" t="s">
        <v>249</v>
      </c>
      <c r="D3802" t="s">
        <v>87</v>
      </c>
      <c r="E3802" t="s">
        <v>959</v>
      </c>
      <c r="F3802" t="s">
        <v>960</v>
      </c>
      <c r="G3802" t="s">
        <v>179</v>
      </c>
      <c r="H3802">
        <v>419</v>
      </c>
      <c r="I3802">
        <v>69.768000000000001</v>
      </c>
      <c r="J3802">
        <v>74.980999999999995</v>
      </c>
      <c r="K3802">
        <v>5.2119999999999997</v>
      </c>
      <c r="L3802">
        <v>230</v>
      </c>
      <c r="M3802">
        <v>52</v>
      </c>
      <c r="N3802">
        <v>137</v>
      </c>
      <c r="O3802">
        <v>74.138999999999996</v>
      </c>
      <c r="P3802">
        <v>5.4805672940000001</v>
      </c>
      <c r="Q3802">
        <v>15.436999999999999</v>
      </c>
    </row>
    <row r="3803" spans="1:17" x14ac:dyDescent="0.2">
      <c r="A3803" s="30" t="str">
        <f>IF(C3803&amp;G3803&amp;D3803&lt;&gt;'Funnel setup'!$K$3&amp;'Funnel setup'!$K$4&amp;'Funnel setup'!$K$5,".",IF(A3802=".",1,A3802+1))</f>
        <v>.</v>
      </c>
      <c r="B3803" s="431" t="str">
        <f t="shared" si="59"/>
        <v>Knee Replacement PrimaryCCG of GP PracticeNHS SOUTHPORT AND FORMBY CCG (01V)EQ VAS</v>
      </c>
      <c r="C3803" t="s">
        <v>249</v>
      </c>
      <c r="D3803" t="s">
        <v>87</v>
      </c>
      <c r="E3803" t="s">
        <v>962</v>
      </c>
      <c r="F3803" t="s">
        <v>963</v>
      </c>
      <c r="G3803" t="s">
        <v>179</v>
      </c>
      <c r="H3803">
        <v>78</v>
      </c>
      <c r="I3803">
        <v>69</v>
      </c>
      <c r="J3803">
        <v>73.808000000000007</v>
      </c>
      <c r="K3803">
        <v>4.8079999999999998</v>
      </c>
      <c r="L3803">
        <v>40</v>
      </c>
      <c r="M3803">
        <v>14</v>
      </c>
      <c r="N3803">
        <v>24</v>
      </c>
      <c r="O3803">
        <v>73.338999999999999</v>
      </c>
      <c r="P3803">
        <v>4.6808342820000002</v>
      </c>
      <c r="Q3803">
        <v>14.808</v>
      </c>
    </row>
    <row r="3804" spans="1:17" x14ac:dyDescent="0.2">
      <c r="A3804" s="30" t="str">
        <f>IF(C3804&amp;G3804&amp;D3804&lt;&gt;'Funnel setup'!$K$3&amp;'Funnel setup'!$K$4&amp;'Funnel setup'!$K$5,".",IF(A3803=".",1,A3803+1))</f>
        <v>.</v>
      </c>
      <c r="B3804" s="431" t="str">
        <f t="shared" si="59"/>
        <v>Knee Replacement PrimaryCCG of GP PracticeNHS SOUTHWARK CCG (08Q)EQ VAS</v>
      </c>
      <c r="C3804" t="s">
        <v>249</v>
      </c>
      <c r="D3804" t="s">
        <v>87</v>
      </c>
      <c r="E3804" t="s">
        <v>965</v>
      </c>
      <c r="F3804" t="s">
        <v>966</v>
      </c>
      <c r="G3804" t="s">
        <v>179</v>
      </c>
      <c r="H3804">
        <v>44</v>
      </c>
      <c r="I3804">
        <v>67.022999999999996</v>
      </c>
      <c r="J3804">
        <v>71.727000000000004</v>
      </c>
      <c r="K3804">
        <v>4.7050000000000001</v>
      </c>
      <c r="L3804">
        <v>24</v>
      </c>
      <c r="M3804">
        <v>8</v>
      </c>
      <c r="N3804">
        <v>12</v>
      </c>
      <c r="O3804">
        <v>75.975999999999999</v>
      </c>
      <c r="P3804">
        <v>7.317951324</v>
      </c>
      <c r="Q3804">
        <v>17.140999999999998</v>
      </c>
    </row>
    <row r="3805" spans="1:17" x14ac:dyDescent="0.2">
      <c r="A3805" s="30" t="str">
        <f>IF(C3805&amp;G3805&amp;D3805&lt;&gt;'Funnel setup'!$K$3&amp;'Funnel setup'!$K$4&amp;'Funnel setup'!$K$5,".",IF(A3804=".",1,A3804+1))</f>
        <v>.</v>
      </c>
      <c r="B3805" s="431" t="str">
        <f t="shared" si="59"/>
        <v>Knee Replacement PrimaryCCG of GP PracticeNHS ST HELENS CCG (01X)EQ VAS</v>
      </c>
      <c r="C3805" t="s">
        <v>249</v>
      </c>
      <c r="D3805" t="s">
        <v>87</v>
      </c>
      <c r="E3805" t="s">
        <v>968</v>
      </c>
      <c r="F3805" t="s">
        <v>969</v>
      </c>
      <c r="G3805" t="s">
        <v>179</v>
      </c>
      <c r="H3805">
        <v>171</v>
      </c>
      <c r="I3805">
        <v>69.221999999999994</v>
      </c>
      <c r="J3805">
        <v>72.186999999999998</v>
      </c>
      <c r="K3805">
        <v>2.9649999999999999</v>
      </c>
      <c r="L3805">
        <v>80</v>
      </c>
      <c r="M3805">
        <v>23</v>
      </c>
      <c r="N3805">
        <v>68</v>
      </c>
      <c r="O3805">
        <v>73.075999999999993</v>
      </c>
      <c r="P3805">
        <v>4.4175767920000002</v>
      </c>
      <c r="Q3805">
        <v>16.919</v>
      </c>
    </row>
    <row r="3806" spans="1:17" x14ac:dyDescent="0.2">
      <c r="A3806" s="30" t="str">
        <f>IF(C3806&amp;G3806&amp;D3806&lt;&gt;'Funnel setup'!$K$3&amp;'Funnel setup'!$K$4&amp;'Funnel setup'!$K$5,".",IF(A3805=".",1,A3805+1))</f>
        <v>.</v>
      </c>
      <c r="B3806" s="431" t="str">
        <f t="shared" si="59"/>
        <v>Knee Replacement PrimaryCCG of GP PracticeNHS STAFFORD AND SURROUNDS CCG (05V)EQ VAS</v>
      </c>
      <c r="C3806" t="s">
        <v>249</v>
      </c>
      <c r="D3806" t="s">
        <v>87</v>
      </c>
      <c r="E3806" t="s">
        <v>971</v>
      </c>
      <c r="F3806" t="s">
        <v>972</v>
      </c>
      <c r="G3806" t="s">
        <v>179</v>
      </c>
      <c r="H3806">
        <v>129</v>
      </c>
      <c r="I3806">
        <v>70.721000000000004</v>
      </c>
      <c r="J3806">
        <v>75.201999999999998</v>
      </c>
      <c r="K3806">
        <v>4.4809999999999999</v>
      </c>
      <c r="L3806">
        <v>68</v>
      </c>
      <c r="M3806">
        <v>22</v>
      </c>
      <c r="N3806">
        <v>39</v>
      </c>
      <c r="O3806">
        <v>73.778000000000006</v>
      </c>
      <c r="P3806">
        <v>5.1193152619999998</v>
      </c>
      <c r="Q3806">
        <v>15.278</v>
      </c>
    </row>
    <row r="3807" spans="1:17" x14ac:dyDescent="0.2">
      <c r="A3807" s="30" t="str">
        <f>IF(C3807&amp;G3807&amp;D3807&lt;&gt;'Funnel setup'!$K$3&amp;'Funnel setup'!$K$4&amp;'Funnel setup'!$K$5,".",IF(A3806=".",1,A3806+1))</f>
        <v>.</v>
      </c>
      <c r="B3807" s="431" t="str">
        <f t="shared" si="59"/>
        <v>Knee Replacement PrimaryCCG of GP PracticeNHS STOCKPORT CCG (01W)EQ VAS</v>
      </c>
      <c r="C3807" t="s">
        <v>249</v>
      </c>
      <c r="D3807" t="s">
        <v>87</v>
      </c>
      <c r="E3807" t="s">
        <v>974</v>
      </c>
      <c r="F3807" t="s">
        <v>975</v>
      </c>
      <c r="G3807" t="s">
        <v>179</v>
      </c>
      <c r="H3807">
        <v>165</v>
      </c>
      <c r="I3807">
        <v>68.012</v>
      </c>
      <c r="J3807">
        <v>76.569999999999993</v>
      </c>
      <c r="K3807">
        <v>8.5579999999999998</v>
      </c>
      <c r="L3807">
        <v>109</v>
      </c>
      <c r="M3807">
        <v>16</v>
      </c>
      <c r="N3807">
        <v>40</v>
      </c>
      <c r="O3807">
        <v>76.066000000000003</v>
      </c>
      <c r="P3807">
        <v>7.4079073070000003</v>
      </c>
      <c r="Q3807">
        <v>13.815</v>
      </c>
    </row>
    <row r="3808" spans="1:17" x14ac:dyDescent="0.2">
      <c r="A3808" s="30" t="str">
        <f>IF(C3808&amp;G3808&amp;D3808&lt;&gt;'Funnel setup'!$K$3&amp;'Funnel setup'!$K$4&amp;'Funnel setup'!$K$5,".",IF(A3807=".",1,A3807+1))</f>
        <v>.</v>
      </c>
      <c r="B3808" s="431" t="str">
        <f t="shared" si="59"/>
        <v>Knee Replacement PrimaryCCG of GP PracticeNHS STOKE ON TRENT CCG (05W)EQ VAS</v>
      </c>
      <c r="C3808" t="s">
        <v>249</v>
      </c>
      <c r="D3808" t="s">
        <v>87</v>
      </c>
      <c r="E3808" t="s">
        <v>977</v>
      </c>
      <c r="F3808" t="s">
        <v>978</v>
      </c>
      <c r="G3808" t="s">
        <v>179</v>
      </c>
      <c r="H3808">
        <v>158</v>
      </c>
      <c r="I3808">
        <v>64.486999999999995</v>
      </c>
      <c r="J3808">
        <v>69.543999999999997</v>
      </c>
      <c r="K3808">
        <v>5.0570000000000004</v>
      </c>
      <c r="L3808">
        <v>86</v>
      </c>
      <c r="M3808">
        <v>13</v>
      </c>
      <c r="N3808">
        <v>59</v>
      </c>
      <c r="O3808">
        <v>72.709000000000003</v>
      </c>
      <c r="P3808">
        <v>4.0509330669999999</v>
      </c>
      <c r="Q3808">
        <v>16.587</v>
      </c>
    </row>
    <row r="3809" spans="1:17" x14ac:dyDescent="0.2">
      <c r="A3809" s="30" t="str">
        <f>IF(C3809&amp;G3809&amp;D3809&lt;&gt;'Funnel setup'!$K$3&amp;'Funnel setup'!$K$4&amp;'Funnel setup'!$K$5,".",IF(A3808=".",1,A3808+1))</f>
        <v>.</v>
      </c>
      <c r="B3809" s="431" t="str">
        <f t="shared" si="59"/>
        <v>Knee Replacement PrimaryCCG of GP PracticeNHS SUNDERLAND CCG (00P)EQ VAS</v>
      </c>
      <c r="C3809" t="s">
        <v>249</v>
      </c>
      <c r="D3809" t="s">
        <v>87</v>
      </c>
      <c r="E3809" t="s">
        <v>980</v>
      </c>
      <c r="F3809" t="s">
        <v>981</v>
      </c>
      <c r="G3809" t="s">
        <v>179</v>
      </c>
      <c r="H3809">
        <v>247</v>
      </c>
      <c r="I3809">
        <v>66.813999999999993</v>
      </c>
      <c r="J3809">
        <v>71.53</v>
      </c>
      <c r="K3809">
        <v>4.7169999999999996</v>
      </c>
      <c r="L3809">
        <v>130</v>
      </c>
      <c r="M3809">
        <v>37</v>
      </c>
      <c r="N3809">
        <v>80</v>
      </c>
      <c r="O3809">
        <v>73.620999999999995</v>
      </c>
      <c r="P3809">
        <v>4.9630045620000001</v>
      </c>
      <c r="Q3809">
        <v>16.010000000000002</v>
      </c>
    </row>
    <row r="3810" spans="1:17" x14ac:dyDescent="0.2">
      <c r="A3810" s="30" t="str">
        <f>IF(C3810&amp;G3810&amp;D3810&lt;&gt;'Funnel setup'!$K$3&amp;'Funnel setup'!$K$4&amp;'Funnel setup'!$K$5,".",IF(A3809=".",1,A3809+1))</f>
        <v>.</v>
      </c>
      <c r="B3810" s="431" t="str">
        <f t="shared" si="59"/>
        <v>Knee Replacement PrimaryCCG of GP PracticeNHS SURREY DOWNS CCG (99H)EQ VAS</v>
      </c>
      <c r="C3810" t="s">
        <v>249</v>
      </c>
      <c r="D3810" t="s">
        <v>87</v>
      </c>
      <c r="E3810" t="s">
        <v>983</v>
      </c>
      <c r="F3810" t="s">
        <v>984</v>
      </c>
      <c r="G3810" t="s">
        <v>179</v>
      </c>
      <c r="H3810">
        <v>155</v>
      </c>
      <c r="I3810">
        <v>71.935000000000002</v>
      </c>
      <c r="J3810">
        <v>75.968000000000004</v>
      </c>
      <c r="K3810">
        <v>4.032</v>
      </c>
      <c r="L3810">
        <v>79</v>
      </c>
      <c r="M3810">
        <v>26</v>
      </c>
      <c r="N3810">
        <v>50</v>
      </c>
      <c r="O3810">
        <v>73.418000000000006</v>
      </c>
      <c r="P3810">
        <v>4.7597138909999996</v>
      </c>
      <c r="Q3810">
        <v>14.718</v>
      </c>
    </row>
    <row r="3811" spans="1:17" x14ac:dyDescent="0.2">
      <c r="A3811" s="30" t="str">
        <f>IF(C3811&amp;G3811&amp;D3811&lt;&gt;'Funnel setup'!$K$3&amp;'Funnel setup'!$K$4&amp;'Funnel setup'!$K$5,".",IF(A3810=".",1,A3810+1))</f>
        <v>.</v>
      </c>
      <c r="B3811" s="431" t="str">
        <f t="shared" si="59"/>
        <v>Knee Replacement PrimaryCCG of GP PracticeNHS SURREY HEATH CCG (10C)EQ VAS</v>
      </c>
      <c r="C3811" t="s">
        <v>249</v>
      </c>
      <c r="D3811" t="s">
        <v>87</v>
      </c>
      <c r="E3811" t="s">
        <v>986</v>
      </c>
      <c r="F3811" t="s">
        <v>987</v>
      </c>
      <c r="G3811" t="s">
        <v>179</v>
      </c>
      <c r="H3811">
        <v>66</v>
      </c>
      <c r="I3811">
        <v>70.757999999999996</v>
      </c>
      <c r="J3811">
        <v>73.879000000000005</v>
      </c>
      <c r="K3811">
        <v>3.121</v>
      </c>
      <c r="L3811">
        <v>32</v>
      </c>
      <c r="M3811">
        <v>12</v>
      </c>
      <c r="N3811">
        <v>22</v>
      </c>
      <c r="O3811">
        <v>71.299000000000007</v>
      </c>
      <c r="P3811">
        <v>2.6408400040000002</v>
      </c>
      <c r="Q3811">
        <v>14.371</v>
      </c>
    </row>
    <row r="3812" spans="1:17" x14ac:dyDescent="0.2">
      <c r="A3812" s="30" t="str">
        <f>IF(C3812&amp;G3812&amp;D3812&lt;&gt;'Funnel setup'!$K$3&amp;'Funnel setup'!$K$4&amp;'Funnel setup'!$K$5,".",IF(A3811=".",1,A3811+1))</f>
        <v>.</v>
      </c>
      <c r="B3812" s="431" t="str">
        <f t="shared" si="59"/>
        <v>Knee Replacement PrimaryCCG of GP PracticeNHS SUTTON CCG (08T)EQ VAS</v>
      </c>
      <c r="C3812" t="s">
        <v>249</v>
      </c>
      <c r="D3812" t="s">
        <v>87</v>
      </c>
      <c r="E3812" t="s">
        <v>989</v>
      </c>
      <c r="F3812" t="s">
        <v>990</v>
      </c>
      <c r="G3812" t="s">
        <v>179</v>
      </c>
      <c r="H3812">
        <v>65</v>
      </c>
      <c r="I3812">
        <v>71</v>
      </c>
      <c r="J3812">
        <v>77.923000000000002</v>
      </c>
      <c r="K3812">
        <v>6.923</v>
      </c>
      <c r="L3812">
        <v>38</v>
      </c>
      <c r="M3812">
        <v>12</v>
      </c>
      <c r="N3812">
        <v>15</v>
      </c>
      <c r="O3812">
        <v>75.668000000000006</v>
      </c>
      <c r="P3812">
        <v>7.0097231720000002</v>
      </c>
      <c r="Q3812">
        <v>12.351000000000001</v>
      </c>
    </row>
    <row r="3813" spans="1:17" x14ac:dyDescent="0.2">
      <c r="A3813" s="30" t="str">
        <f>IF(C3813&amp;G3813&amp;D3813&lt;&gt;'Funnel setup'!$K$3&amp;'Funnel setup'!$K$4&amp;'Funnel setup'!$K$5,".",IF(A3812=".",1,A3812+1))</f>
        <v>.</v>
      </c>
      <c r="B3813" s="431" t="str">
        <f t="shared" si="59"/>
        <v>Knee Replacement PrimaryCCG of GP PracticeNHS SWALE CCG (10D)EQ VAS</v>
      </c>
      <c r="C3813" t="s">
        <v>249</v>
      </c>
      <c r="D3813" t="s">
        <v>87</v>
      </c>
      <c r="E3813" t="s">
        <v>992</v>
      </c>
      <c r="F3813" t="s">
        <v>993</v>
      </c>
      <c r="G3813" t="s">
        <v>179</v>
      </c>
      <c r="H3813">
        <v>56</v>
      </c>
      <c r="I3813">
        <v>68.606999999999999</v>
      </c>
      <c r="J3813">
        <v>75.768000000000001</v>
      </c>
      <c r="K3813">
        <v>7.1609999999999996</v>
      </c>
      <c r="L3813">
        <v>31</v>
      </c>
      <c r="M3813">
        <v>7</v>
      </c>
      <c r="N3813">
        <v>18</v>
      </c>
      <c r="O3813">
        <v>76.161000000000001</v>
      </c>
      <c r="P3813">
        <v>7.5026809549999998</v>
      </c>
      <c r="Q3813">
        <v>15.276</v>
      </c>
    </row>
    <row r="3814" spans="1:17" x14ac:dyDescent="0.2">
      <c r="A3814" s="30" t="str">
        <f>IF(C3814&amp;G3814&amp;D3814&lt;&gt;'Funnel setup'!$K$3&amp;'Funnel setup'!$K$4&amp;'Funnel setup'!$K$5,".",IF(A3813=".",1,A3813+1))</f>
        <v>.</v>
      </c>
      <c r="B3814" s="431" t="str">
        <f t="shared" si="59"/>
        <v>Knee Replacement PrimaryCCG of GP PracticeNHS SWINDON CCG (12D)EQ VAS</v>
      </c>
      <c r="C3814" t="s">
        <v>249</v>
      </c>
      <c r="D3814" t="s">
        <v>87</v>
      </c>
      <c r="E3814" t="s">
        <v>995</v>
      </c>
      <c r="F3814" t="s">
        <v>996</v>
      </c>
      <c r="G3814" t="s">
        <v>179</v>
      </c>
      <c r="H3814">
        <v>143</v>
      </c>
      <c r="I3814">
        <v>71.287000000000006</v>
      </c>
      <c r="J3814">
        <v>76.587000000000003</v>
      </c>
      <c r="K3814">
        <v>5.3010000000000002</v>
      </c>
      <c r="L3814">
        <v>83</v>
      </c>
      <c r="M3814">
        <v>18</v>
      </c>
      <c r="N3814">
        <v>42</v>
      </c>
      <c r="O3814">
        <v>74.819999999999993</v>
      </c>
      <c r="P3814">
        <v>6.1616462260000002</v>
      </c>
      <c r="Q3814">
        <v>16.518000000000001</v>
      </c>
    </row>
    <row r="3815" spans="1:17" x14ac:dyDescent="0.2">
      <c r="A3815" s="30" t="str">
        <f>IF(C3815&amp;G3815&amp;D3815&lt;&gt;'Funnel setup'!$K$3&amp;'Funnel setup'!$K$4&amp;'Funnel setup'!$K$5,".",IF(A3814=".",1,A3814+1))</f>
        <v>.</v>
      </c>
      <c r="B3815" s="431" t="str">
        <f t="shared" si="59"/>
        <v>Knee Replacement PrimaryCCG of GP PracticeNHS TAMESIDE AND GLOSSOP CCG (01Y)EQ VAS</v>
      </c>
      <c r="C3815" t="s">
        <v>249</v>
      </c>
      <c r="D3815" t="s">
        <v>87</v>
      </c>
      <c r="E3815" t="s">
        <v>998</v>
      </c>
      <c r="F3815" t="s">
        <v>999</v>
      </c>
      <c r="G3815" t="s">
        <v>179</v>
      </c>
      <c r="H3815">
        <v>159</v>
      </c>
      <c r="I3815">
        <v>67.106999999999999</v>
      </c>
      <c r="J3815">
        <v>71.887</v>
      </c>
      <c r="K3815">
        <v>4.78</v>
      </c>
      <c r="L3815">
        <v>85</v>
      </c>
      <c r="M3815">
        <v>17</v>
      </c>
      <c r="N3815">
        <v>57</v>
      </c>
      <c r="O3815">
        <v>72.978999999999999</v>
      </c>
      <c r="P3815">
        <v>4.3208312380000002</v>
      </c>
      <c r="Q3815">
        <v>15.635999999999999</v>
      </c>
    </row>
    <row r="3816" spans="1:17" x14ac:dyDescent="0.2">
      <c r="A3816" s="30" t="str">
        <f>IF(C3816&amp;G3816&amp;D3816&lt;&gt;'Funnel setup'!$K$3&amp;'Funnel setup'!$K$4&amp;'Funnel setup'!$K$5,".",IF(A3815=".",1,A3815+1))</f>
        <v>.</v>
      </c>
      <c r="B3816" s="431" t="str">
        <f t="shared" si="59"/>
        <v>Knee Replacement PrimaryCCG of GP PracticeNHS TELFORD AND WREKIN CCG (05X)EQ VAS</v>
      </c>
      <c r="C3816" t="s">
        <v>249</v>
      </c>
      <c r="D3816" t="s">
        <v>87</v>
      </c>
      <c r="E3816" t="s">
        <v>1001</v>
      </c>
      <c r="F3816" t="s">
        <v>1002</v>
      </c>
      <c r="G3816" t="s">
        <v>179</v>
      </c>
      <c r="H3816">
        <v>125</v>
      </c>
      <c r="I3816">
        <v>64.552000000000007</v>
      </c>
      <c r="J3816">
        <v>72.688000000000002</v>
      </c>
      <c r="K3816">
        <v>8.1359999999999992</v>
      </c>
      <c r="L3816">
        <v>75</v>
      </c>
      <c r="M3816">
        <v>18</v>
      </c>
      <c r="N3816">
        <v>32</v>
      </c>
      <c r="O3816">
        <v>75.061999999999998</v>
      </c>
      <c r="P3816">
        <v>6.403809807</v>
      </c>
      <c r="Q3816">
        <v>15.462999999999999</v>
      </c>
    </row>
    <row r="3817" spans="1:17" x14ac:dyDescent="0.2">
      <c r="A3817" s="30" t="str">
        <f>IF(C3817&amp;G3817&amp;D3817&lt;&gt;'Funnel setup'!$K$3&amp;'Funnel setup'!$K$4&amp;'Funnel setup'!$K$5,".",IF(A3816=".",1,A3816+1))</f>
        <v>.</v>
      </c>
      <c r="B3817" s="431" t="str">
        <f t="shared" si="59"/>
        <v>Knee Replacement PrimaryCCG of GP PracticeNHS THANET CCG (10E)EQ VAS</v>
      </c>
      <c r="C3817" t="s">
        <v>249</v>
      </c>
      <c r="D3817" t="s">
        <v>87</v>
      </c>
      <c r="E3817" t="s">
        <v>1004</v>
      </c>
      <c r="F3817" t="s">
        <v>1005</v>
      </c>
      <c r="G3817" t="s">
        <v>179</v>
      </c>
      <c r="H3817">
        <v>121</v>
      </c>
      <c r="I3817">
        <v>74.156999999999996</v>
      </c>
      <c r="J3817">
        <v>76.569999999999993</v>
      </c>
      <c r="K3817">
        <v>2.4129999999999998</v>
      </c>
      <c r="L3817">
        <v>56</v>
      </c>
      <c r="M3817">
        <v>25</v>
      </c>
      <c r="N3817">
        <v>40</v>
      </c>
      <c r="O3817">
        <v>74.676000000000002</v>
      </c>
      <c r="P3817">
        <v>6.0173144719999998</v>
      </c>
      <c r="Q3817">
        <v>15.78</v>
      </c>
    </row>
    <row r="3818" spans="1:17" x14ac:dyDescent="0.2">
      <c r="A3818" s="30" t="str">
        <f>IF(C3818&amp;G3818&amp;D3818&lt;&gt;'Funnel setup'!$K$3&amp;'Funnel setup'!$K$4&amp;'Funnel setup'!$K$5,".",IF(A3817=".",1,A3817+1))</f>
        <v>.</v>
      </c>
      <c r="B3818" s="431" t="str">
        <f t="shared" si="59"/>
        <v>Knee Replacement PrimaryCCG of GP PracticeNHS THURROCK CCG (07G)EQ VAS</v>
      </c>
      <c r="C3818" t="s">
        <v>249</v>
      </c>
      <c r="D3818" t="s">
        <v>87</v>
      </c>
      <c r="E3818" t="s">
        <v>1007</v>
      </c>
      <c r="F3818" t="s">
        <v>1008</v>
      </c>
      <c r="G3818" t="s">
        <v>179</v>
      </c>
      <c r="H3818">
        <v>79</v>
      </c>
      <c r="I3818">
        <v>70.861000000000004</v>
      </c>
      <c r="J3818">
        <v>72.19</v>
      </c>
      <c r="K3818">
        <v>1.329</v>
      </c>
      <c r="L3818">
        <v>39</v>
      </c>
      <c r="M3818">
        <v>10</v>
      </c>
      <c r="N3818">
        <v>30</v>
      </c>
      <c r="O3818">
        <v>72.122</v>
      </c>
      <c r="P3818">
        <v>3.463675126</v>
      </c>
      <c r="Q3818">
        <v>16.314</v>
      </c>
    </row>
    <row r="3819" spans="1:17" x14ac:dyDescent="0.2">
      <c r="A3819" s="30" t="str">
        <f>IF(C3819&amp;G3819&amp;D3819&lt;&gt;'Funnel setup'!$K$3&amp;'Funnel setup'!$K$4&amp;'Funnel setup'!$K$5,".",IF(A3818=".",1,A3818+1))</f>
        <v>.</v>
      </c>
      <c r="B3819" s="431" t="str">
        <f t="shared" si="59"/>
        <v>Knee Replacement PrimaryCCG of GP PracticeNHS TOWER HAMLETS CCG (08V)EQ VAS</v>
      </c>
      <c r="C3819" t="s">
        <v>249</v>
      </c>
      <c r="D3819" t="s">
        <v>87</v>
      </c>
      <c r="E3819" t="s">
        <v>1010</v>
      </c>
      <c r="F3819" t="s">
        <v>1011</v>
      </c>
      <c r="G3819" t="s">
        <v>179</v>
      </c>
      <c r="H3819">
        <v>27</v>
      </c>
      <c r="I3819">
        <v>60.518999999999998</v>
      </c>
      <c r="J3819">
        <v>62.073999999999998</v>
      </c>
      <c r="K3819">
        <v>1.556</v>
      </c>
      <c r="L3819">
        <v>14</v>
      </c>
      <c r="M3819">
        <v>2</v>
      </c>
      <c r="N3819">
        <v>11</v>
      </c>
      <c r="O3819" t="s">
        <v>53</v>
      </c>
      <c r="P3819" t="s">
        <v>53</v>
      </c>
      <c r="Q3819" t="s">
        <v>53</v>
      </c>
    </row>
    <row r="3820" spans="1:17" x14ac:dyDescent="0.2">
      <c r="A3820" s="30" t="str">
        <f>IF(C3820&amp;G3820&amp;D3820&lt;&gt;'Funnel setup'!$K$3&amp;'Funnel setup'!$K$4&amp;'Funnel setup'!$K$5,".",IF(A3819=".",1,A3819+1))</f>
        <v>.</v>
      </c>
      <c r="B3820" s="431" t="str">
        <f t="shared" si="59"/>
        <v>Knee Replacement PrimaryCCG of GP PracticeNHS TRAFFORD CCG (02A)EQ VAS</v>
      </c>
      <c r="C3820" t="s">
        <v>249</v>
      </c>
      <c r="D3820" t="s">
        <v>87</v>
      </c>
      <c r="E3820" t="s">
        <v>1013</v>
      </c>
      <c r="F3820" t="s">
        <v>1014</v>
      </c>
      <c r="G3820" t="s">
        <v>179</v>
      </c>
      <c r="H3820">
        <v>99</v>
      </c>
      <c r="I3820">
        <v>71.120999999999995</v>
      </c>
      <c r="J3820">
        <v>73.677000000000007</v>
      </c>
      <c r="K3820">
        <v>2.556</v>
      </c>
      <c r="L3820">
        <v>45</v>
      </c>
      <c r="M3820">
        <v>14</v>
      </c>
      <c r="N3820">
        <v>40</v>
      </c>
      <c r="O3820">
        <v>72.275000000000006</v>
      </c>
      <c r="P3820">
        <v>3.6162094680000001</v>
      </c>
      <c r="Q3820">
        <v>17.991</v>
      </c>
    </row>
    <row r="3821" spans="1:17" x14ac:dyDescent="0.2">
      <c r="A3821" s="30" t="str">
        <f>IF(C3821&amp;G3821&amp;D3821&lt;&gt;'Funnel setup'!$K$3&amp;'Funnel setup'!$K$4&amp;'Funnel setup'!$K$5,".",IF(A3820=".",1,A3820+1))</f>
        <v>.</v>
      </c>
      <c r="B3821" s="431" t="str">
        <f t="shared" si="59"/>
        <v>Knee Replacement PrimaryCCG of GP PracticeNHS VALE OF YORK CCG (03Q)EQ VAS</v>
      </c>
      <c r="C3821" t="s">
        <v>249</v>
      </c>
      <c r="D3821" t="s">
        <v>87</v>
      </c>
      <c r="E3821" t="s">
        <v>420</v>
      </c>
      <c r="F3821" t="s">
        <v>421</v>
      </c>
      <c r="G3821" t="s">
        <v>179</v>
      </c>
      <c r="H3821">
        <v>318</v>
      </c>
      <c r="I3821">
        <v>68.716999999999999</v>
      </c>
      <c r="J3821">
        <v>75.063000000000002</v>
      </c>
      <c r="K3821">
        <v>6.3460000000000001</v>
      </c>
      <c r="L3821">
        <v>197</v>
      </c>
      <c r="M3821">
        <v>33</v>
      </c>
      <c r="N3821">
        <v>88</v>
      </c>
      <c r="O3821">
        <v>73.278000000000006</v>
      </c>
      <c r="P3821">
        <v>4.6200491240000003</v>
      </c>
      <c r="Q3821">
        <v>14.962999999999999</v>
      </c>
    </row>
    <row r="3822" spans="1:17" x14ac:dyDescent="0.2">
      <c r="A3822" s="30" t="str">
        <f>IF(C3822&amp;G3822&amp;D3822&lt;&gt;'Funnel setup'!$K$3&amp;'Funnel setup'!$K$4&amp;'Funnel setup'!$K$5,".",IF(A3821=".",1,A3821+1))</f>
        <v>.</v>
      </c>
      <c r="B3822" s="431" t="str">
        <f t="shared" si="59"/>
        <v>Knee Replacement PrimaryCCG of GP PracticeNHS VALE ROYAL CCG (02D)EQ VAS</v>
      </c>
      <c r="C3822" t="s">
        <v>249</v>
      </c>
      <c r="D3822" t="s">
        <v>87</v>
      </c>
      <c r="E3822" t="s">
        <v>423</v>
      </c>
      <c r="F3822" t="s">
        <v>424</v>
      </c>
      <c r="G3822" t="s">
        <v>179</v>
      </c>
      <c r="H3822">
        <v>76</v>
      </c>
      <c r="I3822">
        <v>66.210999999999999</v>
      </c>
      <c r="J3822">
        <v>74.644999999999996</v>
      </c>
      <c r="K3822">
        <v>8.4339999999999993</v>
      </c>
      <c r="L3822">
        <v>47</v>
      </c>
      <c r="M3822">
        <v>8</v>
      </c>
      <c r="N3822">
        <v>21</v>
      </c>
      <c r="O3822">
        <v>74.980999999999995</v>
      </c>
      <c r="P3822">
        <v>6.3224692310000004</v>
      </c>
      <c r="Q3822">
        <v>14.583</v>
      </c>
    </row>
    <row r="3823" spans="1:17" x14ac:dyDescent="0.2">
      <c r="A3823" s="30" t="str">
        <f>IF(C3823&amp;G3823&amp;D3823&lt;&gt;'Funnel setup'!$K$3&amp;'Funnel setup'!$K$4&amp;'Funnel setup'!$K$5,".",IF(A3822=".",1,A3822+1))</f>
        <v>.</v>
      </c>
      <c r="B3823" s="431" t="str">
        <f t="shared" si="59"/>
        <v>Knee Replacement PrimaryCCG of GP PracticeNHS WAKEFIELD CCG (03R)EQ VAS</v>
      </c>
      <c r="C3823" t="s">
        <v>249</v>
      </c>
      <c r="D3823" t="s">
        <v>87</v>
      </c>
      <c r="E3823" t="s">
        <v>426</v>
      </c>
      <c r="F3823" t="s">
        <v>427</v>
      </c>
      <c r="G3823" t="s">
        <v>179</v>
      </c>
      <c r="H3823">
        <v>281</v>
      </c>
      <c r="I3823">
        <v>67.509</v>
      </c>
      <c r="J3823">
        <v>72.783000000000001</v>
      </c>
      <c r="K3823">
        <v>5.274</v>
      </c>
      <c r="L3823">
        <v>167</v>
      </c>
      <c r="M3823">
        <v>26</v>
      </c>
      <c r="N3823">
        <v>88</v>
      </c>
      <c r="O3823">
        <v>73.722999999999999</v>
      </c>
      <c r="P3823">
        <v>5.0645224730000002</v>
      </c>
      <c r="Q3823">
        <v>17.824999999999999</v>
      </c>
    </row>
    <row r="3824" spans="1:17" x14ac:dyDescent="0.2">
      <c r="A3824" s="30" t="str">
        <f>IF(C3824&amp;G3824&amp;D3824&lt;&gt;'Funnel setup'!$K$3&amp;'Funnel setup'!$K$4&amp;'Funnel setup'!$K$5,".",IF(A3823=".",1,A3823+1))</f>
        <v>.</v>
      </c>
      <c r="B3824" s="431" t="str">
        <f t="shared" si="59"/>
        <v>Knee Replacement PrimaryCCG of GP PracticeNHS WALSALL CCG (05Y)EQ VAS</v>
      </c>
      <c r="C3824" t="s">
        <v>249</v>
      </c>
      <c r="D3824" t="s">
        <v>87</v>
      </c>
      <c r="E3824" t="s">
        <v>429</v>
      </c>
      <c r="F3824" t="s">
        <v>430</v>
      </c>
      <c r="G3824" t="s">
        <v>179</v>
      </c>
      <c r="H3824">
        <v>166</v>
      </c>
      <c r="I3824">
        <v>62.734999999999999</v>
      </c>
      <c r="J3824">
        <v>71.102000000000004</v>
      </c>
      <c r="K3824">
        <v>8.3670000000000009</v>
      </c>
      <c r="L3824">
        <v>104</v>
      </c>
      <c r="M3824">
        <v>17</v>
      </c>
      <c r="N3824">
        <v>45</v>
      </c>
      <c r="O3824">
        <v>75.155000000000001</v>
      </c>
      <c r="P3824">
        <v>6.4965001710000001</v>
      </c>
      <c r="Q3824">
        <v>16.920999999999999</v>
      </c>
    </row>
    <row r="3825" spans="1:17" x14ac:dyDescent="0.2">
      <c r="A3825" s="30" t="str">
        <f>IF(C3825&amp;G3825&amp;D3825&lt;&gt;'Funnel setup'!$K$3&amp;'Funnel setup'!$K$4&amp;'Funnel setup'!$K$5,".",IF(A3824=".",1,A3824+1))</f>
        <v>.</v>
      </c>
      <c r="B3825" s="431" t="str">
        <f t="shared" si="59"/>
        <v>Knee Replacement PrimaryCCG of GP PracticeNHS WALTHAM FOREST CCG (08W)EQ VAS</v>
      </c>
      <c r="C3825" t="s">
        <v>249</v>
      </c>
      <c r="D3825" t="s">
        <v>87</v>
      </c>
      <c r="E3825" t="s">
        <v>432</v>
      </c>
      <c r="F3825" t="s">
        <v>433</v>
      </c>
      <c r="G3825" t="s">
        <v>179</v>
      </c>
      <c r="H3825">
        <v>80</v>
      </c>
      <c r="I3825">
        <v>67.325000000000003</v>
      </c>
      <c r="J3825">
        <v>73.712999999999994</v>
      </c>
      <c r="K3825">
        <v>6.3879999999999999</v>
      </c>
      <c r="L3825">
        <v>47</v>
      </c>
      <c r="M3825">
        <v>12</v>
      </c>
      <c r="N3825">
        <v>21</v>
      </c>
      <c r="O3825">
        <v>76.238</v>
      </c>
      <c r="P3825">
        <v>7.5792140310000002</v>
      </c>
      <c r="Q3825">
        <v>15.356</v>
      </c>
    </row>
    <row r="3826" spans="1:17" x14ac:dyDescent="0.2">
      <c r="A3826" s="30" t="str">
        <f>IF(C3826&amp;G3826&amp;D3826&lt;&gt;'Funnel setup'!$K$3&amp;'Funnel setup'!$K$4&amp;'Funnel setup'!$K$5,".",IF(A3825=".",1,A3825+1))</f>
        <v>.</v>
      </c>
      <c r="B3826" s="431" t="str">
        <f t="shared" si="59"/>
        <v>Knee Replacement PrimaryCCG of GP PracticeNHS WANDSWORTH CCG (08X)EQ VAS</v>
      </c>
      <c r="C3826" t="s">
        <v>249</v>
      </c>
      <c r="D3826" t="s">
        <v>87</v>
      </c>
      <c r="E3826" t="s">
        <v>435</v>
      </c>
      <c r="F3826" t="s">
        <v>436</v>
      </c>
      <c r="G3826" t="s">
        <v>179</v>
      </c>
      <c r="H3826">
        <v>53</v>
      </c>
      <c r="I3826">
        <v>66.358000000000004</v>
      </c>
      <c r="J3826">
        <v>75.188999999999993</v>
      </c>
      <c r="K3826">
        <v>8.83</v>
      </c>
      <c r="L3826">
        <v>32</v>
      </c>
      <c r="M3826">
        <v>8</v>
      </c>
      <c r="N3826">
        <v>13</v>
      </c>
      <c r="O3826">
        <v>75.989999999999995</v>
      </c>
      <c r="P3826">
        <v>7.3316872890000004</v>
      </c>
      <c r="Q3826">
        <v>13.186999999999999</v>
      </c>
    </row>
    <row r="3827" spans="1:17" x14ac:dyDescent="0.2">
      <c r="A3827" s="30" t="str">
        <f>IF(C3827&amp;G3827&amp;D3827&lt;&gt;'Funnel setup'!$K$3&amp;'Funnel setup'!$K$4&amp;'Funnel setup'!$K$5,".",IF(A3826=".",1,A3826+1))</f>
        <v>.</v>
      </c>
      <c r="B3827" s="431" t="str">
        <f t="shared" si="59"/>
        <v>Knee Replacement PrimaryCCG of GP PracticeNHS WARRINGTON CCG (02E)EQ VAS</v>
      </c>
      <c r="C3827" t="s">
        <v>249</v>
      </c>
      <c r="D3827" t="s">
        <v>87</v>
      </c>
      <c r="E3827" t="s">
        <v>441</v>
      </c>
      <c r="F3827" t="s">
        <v>442</v>
      </c>
      <c r="G3827" t="s">
        <v>179</v>
      </c>
      <c r="H3827">
        <v>178</v>
      </c>
      <c r="I3827">
        <v>67.129000000000005</v>
      </c>
      <c r="J3827">
        <v>73.388000000000005</v>
      </c>
      <c r="K3827">
        <v>6.258</v>
      </c>
      <c r="L3827">
        <v>103</v>
      </c>
      <c r="M3827">
        <v>28</v>
      </c>
      <c r="N3827">
        <v>47</v>
      </c>
      <c r="O3827">
        <v>73.435000000000002</v>
      </c>
      <c r="P3827">
        <v>4.7766989029999998</v>
      </c>
      <c r="Q3827">
        <v>15.202999999999999</v>
      </c>
    </row>
    <row r="3828" spans="1:17" x14ac:dyDescent="0.2">
      <c r="A3828" s="30" t="str">
        <f>IF(C3828&amp;G3828&amp;D3828&lt;&gt;'Funnel setup'!$K$3&amp;'Funnel setup'!$K$4&amp;'Funnel setup'!$K$5,".",IF(A3827=".",1,A3827+1))</f>
        <v>.</v>
      </c>
      <c r="B3828" s="431" t="str">
        <f t="shared" si="59"/>
        <v>Knee Replacement PrimaryCCG of GP PracticeNHS WARWICKSHIRE NORTH CCG (05H)EQ VAS</v>
      </c>
      <c r="C3828" t="s">
        <v>249</v>
      </c>
      <c r="D3828" t="s">
        <v>87</v>
      </c>
      <c r="E3828" t="s">
        <v>438</v>
      </c>
      <c r="F3828" t="s">
        <v>439</v>
      </c>
      <c r="G3828" t="s">
        <v>179</v>
      </c>
      <c r="H3828">
        <v>79</v>
      </c>
      <c r="I3828">
        <v>68.924000000000007</v>
      </c>
      <c r="J3828">
        <v>74.796999999999997</v>
      </c>
      <c r="K3828">
        <v>5.8730000000000002</v>
      </c>
      <c r="L3828">
        <v>40</v>
      </c>
      <c r="M3828">
        <v>13</v>
      </c>
      <c r="N3828">
        <v>26</v>
      </c>
      <c r="O3828">
        <v>74.093999999999994</v>
      </c>
      <c r="P3828">
        <v>5.4359265810000004</v>
      </c>
      <c r="Q3828">
        <v>17.062000000000001</v>
      </c>
    </row>
    <row r="3829" spans="1:17" x14ac:dyDescent="0.2">
      <c r="A3829" s="30" t="str">
        <f>IF(C3829&amp;G3829&amp;D3829&lt;&gt;'Funnel setup'!$K$3&amp;'Funnel setup'!$K$4&amp;'Funnel setup'!$K$5,".",IF(A3828=".",1,A3828+1))</f>
        <v>.</v>
      </c>
      <c r="B3829" s="431" t="str">
        <f t="shared" si="59"/>
        <v>Knee Replacement PrimaryCCG of GP PracticeNHS WEST CHESHIRE CCG (02F)EQ VAS</v>
      </c>
      <c r="C3829" t="s">
        <v>249</v>
      </c>
      <c r="D3829" t="s">
        <v>87</v>
      </c>
      <c r="E3829" t="s">
        <v>402</v>
      </c>
      <c r="F3829" t="s">
        <v>403</v>
      </c>
      <c r="G3829" t="s">
        <v>179</v>
      </c>
      <c r="H3829">
        <v>241</v>
      </c>
      <c r="I3829">
        <v>69.622</v>
      </c>
      <c r="J3829">
        <v>75.075000000000003</v>
      </c>
      <c r="K3829">
        <v>5.452</v>
      </c>
      <c r="L3829">
        <v>127</v>
      </c>
      <c r="M3829">
        <v>29</v>
      </c>
      <c r="N3829">
        <v>85</v>
      </c>
      <c r="O3829">
        <v>74.010999999999996</v>
      </c>
      <c r="P3829">
        <v>5.3523294400000001</v>
      </c>
      <c r="Q3829">
        <v>14.571</v>
      </c>
    </row>
    <row r="3830" spans="1:17" x14ac:dyDescent="0.2">
      <c r="A3830" s="30" t="str">
        <f>IF(C3830&amp;G3830&amp;D3830&lt;&gt;'Funnel setup'!$K$3&amp;'Funnel setup'!$K$4&amp;'Funnel setup'!$K$5,".",IF(A3829=".",1,A3829+1))</f>
        <v>.</v>
      </c>
      <c r="B3830" s="431" t="str">
        <f t="shared" si="59"/>
        <v>Knee Replacement PrimaryCCG of GP PracticeNHS WEST ESSEX CCG (07H)EQ VAS</v>
      </c>
      <c r="C3830" t="s">
        <v>249</v>
      </c>
      <c r="D3830" t="s">
        <v>87</v>
      </c>
      <c r="E3830" t="s">
        <v>405</v>
      </c>
      <c r="F3830" t="s">
        <v>406</v>
      </c>
      <c r="G3830" t="s">
        <v>179</v>
      </c>
      <c r="H3830">
        <v>199</v>
      </c>
      <c r="I3830">
        <v>69.171000000000006</v>
      </c>
      <c r="J3830">
        <v>75.697999999999993</v>
      </c>
      <c r="K3830">
        <v>6.5279999999999996</v>
      </c>
      <c r="L3830">
        <v>115</v>
      </c>
      <c r="M3830">
        <v>27</v>
      </c>
      <c r="N3830">
        <v>57</v>
      </c>
      <c r="O3830">
        <v>75.915999999999997</v>
      </c>
      <c r="P3830">
        <v>7.2576507149999996</v>
      </c>
      <c r="Q3830">
        <v>17.452999999999999</v>
      </c>
    </row>
    <row r="3831" spans="1:17" x14ac:dyDescent="0.2">
      <c r="A3831" s="30" t="str">
        <f>IF(C3831&amp;G3831&amp;D3831&lt;&gt;'Funnel setup'!$K$3&amp;'Funnel setup'!$K$4&amp;'Funnel setup'!$K$5,".",IF(A3830=".",1,A3830+1))</f>
        <v>.</v>
      </c>
      <c r="B3831" s="431" t="str">
        <f t="shared" si="59"/>
        <v>Knee Replacement PrimaryCCG of GP PracticeNHS WEST HAMPSHIRE CCG (11A)EQ VAS</v>
      </c>
      <c r="C3831" t="s">
        <v>249</v>
      </c>
      <c r="D3831" t="s">
        <v>87</v>
      </c>
      <c r="E3831" t="s">
        <v>444</v>
      </c>
      <c r="F3831" t="s">
        <v>445</v>
      </c>
      <c r="G3831" t="s">
        <v>179</v>
      </c>
      <c r="H3831">
        <v>402</v>
      </c>
      <c r="I3831">
        <v>71.072000000000003</v>
      </c>
      <c r="J3831">
        <v>76.885999999999996</v>
      </c>
      <c r="K3831">
        <v>5.8129999999999997</v>
      </c>
      <c r="L3831">
        <v>223</v>
      </c>
      <c r="M3831">
        <v>57</v>
      </c>
      <c r="N3831">
        <v>122</v>
      </c>
      <c r="O3831">
        <v>74.566999999999993</v>
      </c>
      <c r="P3831">
        <v>5.9082666570000004</v>
      </c>
      <c r="Q3831">
        <v>15.291</v>
      </c>
    </row>
    <row r="3832" spans="1:17" x14ac:dyDescent="0.2">
      <c r="A3832" s="30" t="str">
        <f>IF(C3832&amp;G3832&amp;D3832&lt;&gt;'Funnel setup'!$K$3&amp;'Funnel setup'!$K$4&amp;'Funnel setup'!$K$5,".",IF(A3831=".",1,A3831+1))</f>
        <v>.</v>
      </c>
      <c r="B3832" s="431" t="str">
        <f t="shared" si="59"/>
        <v>Knee Replacement PrimaryCCG of GP PracticeNHS WEST KENT CCG (99J)EQ VAS</v>
      </c>
      <c r="C3832" t="s">
        <v>249</v>
      </c>
      <c r="D3832" t="s">
        <v>87</v>
      </c>
      <c r="E3832" t="s">
        <v>447</v>
      </c>
      <c r="F3832" t="s">
        <v>448</v>
      </c>
      <c r="G3832" t="s">
        <v>179</v>
      </c>
      <c r="H3832">
        <v>309</v>
      </c>
      <c r="I3832">
        <v>71.912999999999997</v>
      </c>
      <c r="J3832">
        <v>78.521000000000001</v>
      </c>
      <c r="K3832">
        <v>6.6079999999999997</v>
      </c>
      <c r="L3832">
        <v>173</v>
      </c>
      <c r="M3832">
        <v>51</v>
      </c>
      <c r="N3832">
        <v>85</v>
      </c>
      <c r="O3832">
        <v>76.135000000000005</v>
      </c>
      <c r="P3832">
        <v>7.4761812220000001</v>
      </c>
      <c r="Q3832">
        <v>13.657</v>
      </c>
    </row>
    <row r="3833" spans="1:17" x14ac:dyDescent="0.2">
      <c r="A3833" s="30" t="str">
        <f>IF(C3833&amp;G3833&amp;D3833&lt;&gt;'Funnel setup'!$K$3&amp;'Funnel setup'!$K$4&amp;'Funnel setup'!$K$5,".",IF(A3832=".",1,A3832+1))</f>
        <v>.</v>
      </c>
      <c r="B3833" s="431" t="str">
        <f t="shared" si="59"/>
        <v>Knee Replacement PrimaryCCG of GP PracticeNHS WEST LANCASHIRE CCG (02G)EQ VAS</v>
      </c>
      <c r="C3833" t="s">
        <v>249</v>
      </c>
      <c r="D3833" t="s">
        <v>87</v>
      </c>
      <c r="E3833" t="s">
        <v>450</v>
      </c>
      <c r="F3833" t="s">
        <v>451</v>
      </c>
      <c r="G3833" t="s">
        <v>179</v>
      </c>
      <c r="H3833">
        <v>75</v>
      </c>
      <c r="I3833">
        <v>68.106999999999999</v>
      </c>
      <c r="J3833">
        <v>72.400000000000006</v>
      </c>
      <c r="K3833">
        <v>4.2930000000000001</v>
      </c>
      <c r="L3833">
        <v>35</v>
      </c>
      <c r="M3833">
        <v>5</v>
      </c>
      <c r="N3833">
        <v>35</v>
      </c>
      <c r="O3833">
        <v>72.403000000000006</v>
      </c>
      <c r="P3833">
        <v>3.7447558679999999</v>
      </c>
      <c r="Q3833">
        <v>16.065999999999999</v>
      </c>
    </row>
    <row r="3834" spans="1:17" x14ac:dyDescent="0.2">
      <c r="A3834" s="30" t="str">
        <f>IF(C3834&amp;G3834&amp;D3834&lt;&gt;'Funnel setup'!$K$3&amp;'Funnel setup'!$K$4&amp;'Funnel setup'!$K$5,".",IF(A3833=".",1,A3833+1))</f>
        <v>.</v>
      </c>
      <c r="B3834" s="431" t="str">
        <f t="shared" si="59"/>
        <v>Knee Replacement PrimaryCCG of GP PracticeNHS WEST LEICESTERSHIRE CCG (04V)EQ VAS</v>
      </c>
      <c r="C3834" t="s">
        <v>249</v>
      </c>
      <c r="D3834" t="s">
        <v>87</v>
      </c>
      <c r="E3834" t="s">
        <v>453</v>
      </c>
      <c r="F3834" t="s">
        <v>454</v>
      </c>
      <c r="G3834" t="s">
        <v>179</v>
      </c>
      <c r="H3834">
        <v>312</v>
      </c>
      <c r="I3834">
        <v>69.441999999999993</v>
      </c>
      <c r="J3834">
        <v>75.980999999999995</v>
      </c>
      <c r="K3834">
        <v>6.5380000000000003</v>
      </c>
      <c r="L3834">
        <v>188</v>
      </c>
      <c r="M3834">
        <v>43</v>
      </c>
      <c r="N3834">
        <v>81</v>
      </c>
      <c r="O3834">
        <v>75.671999999999997</v>
      </c>
      <c r="P3834">
        <v>7.0139616680000003</v>
      </c>
      <c r="Q3834">
        <v>14.926</v>
      </c>
    </row>
    <row r="3835" spans="1:17" x14ac:dyDescent="0.2">
      <c r="A3835" s="30" t="str">
        <f>IF(C3835&amp;G3835&amp;D3835&lt;&gt;'Funnel setup'!$K$3&amp;'Funnel setup'!$K$4&amp;'Funnel setup'!$K$5,".",IF(A3834=".",1,A3834+1))</f>
        <v>.</v>
      </c>
      <c r="B3835" s="431" t="str">
        <f t="shared" si="59"/>
        <v>Knee Replacement PrimaryCCG of GP PracticeNHS WEST LONDON CCG (08Y)EQ VAS</v>
      </c>
      <c r="C3835" t="s">
        <v>249</v>
      </c>
      <c r="D3835" t="s">
        <v>87</v>
      </c>
      <c r="E3835" t="s">
        <v>456</v>
      </c>
      <c r="F3835" t="s">
        <v>457</v>
      </c>
      <c r="G3835" t="s">
        <v>179</v>
      </c>
      <c r="H3835">
        <v>17</v>
      </c>
      <c r="I3835">
        <v>67.941000000000003</v>
      </c>
      <c r="J3835">
        <v>71.647000000000006</v>
      </c>
      <c r="K3835">
        <v>3.706</v>
      </c>
      <c r="L3835">
        <v>11</v>
      </c>
      <c r="M3835">
        <v>0</v>
      </c>
      <c r="N3835">
        <v>6</v>
      </c>
      <c r="O3835" t="s">
        <v>53</v>
      </c>
      <c r="P3835" t="s">
        <v>53</v>
      </c>
      <c r="Q3835" t="s">
        <v>53</v>
      </c>
    </row>
    <row r="3836" spans="1:17" x14ac:dyDescent="0.2">
      <c r="A3836" s="30" t="str">
        <f>IF(C3836&amp;G3836&amp;D3836&lt;&gt;'Funnel setup'!$K$3&amp;'Funnel setup'!$K$4&amp;'Funnel setup'!$K$5,".",IF(A3835=".",1,A3835+1))</f>
        <v>.</v>
      </c>
      <c r="B3836" s="431" t="str">
        <f t="shared" si="59"/>
        <v>Knee Replacement PrimaryCCG of GP PracticeNHS WEST NORFOLK CCG (07J)EQ VAS</v>
      </c>
      <c r="C3836" t="s">
        <v>249</v>
      </c>
      <c r="D3836" t="s">
        <v>87</v>
      </c>
      <c r="E3836" t="s">
        <v>459</v>
      </c>
      <c r="F3836" t="s">
        <v>460</v>
      </c>
      <c r="G3836" t="s">
        <v>179</v>
      </c>
      <c r="H3836">
        <v>141</v>
      </c>
      <c r="I3836">
        <v>68.787000000000006</v>
      </c>
      <c r="J3836">
        <v>72.793999999999997</v>
      </c>
      <c r="K3836">
        <v>4.0069999999999997</v>
      </c>
      <c r="L3836">
        <v>70</v>
      </c>
      <c r="M3836">
        <v>23</v>
      </c>
      <c r="N3836">
        <v>48</v>
      </c>
      <c r="O3836">
        <v>72.998999999999995</v>
      </c>
      <c r="P3836">
        <v>4.3404115990000003</v>
      </c>
      <c r="Q3836">
        <v>16.132999999999999</v>
      </c>
    </row>
    <row r="3837" spans="1:17" x14ac:dyDescent="0.2">
      <c r="A3837" s="30" t="str">
        <f>IF(C3837&amp;G3837&amp;D3837&lt;&gt;'Funnel setup'!$K$3&amp;'Funnel setup'!$K$4&amp;'Funnel setup'!$K$5,".",IF(A3836=".",1,A3836+1))</f>
        <v>.</v>
      </c>
      <c r="B3837" s="431" t="str">
        <f t="shared" si="59"/>
        <v>Knee Replacement PrimaryCCG of GP PracticeNHS WEST SUFFOLK CCG (07K)EQ VAS</v>
      </c>
      <c r="C3837" t="s">
        <v>249</v>
      </c>
      <c r="D3837" t="s">
        <v>87</v>
      </c>
      <c r="E3837" t="s">
        <v>462</v>
      </c>
      <c r="F3837" t="s">
        <v>463</v>
      </c>
      <c r="G3837" t="s">
        <v>179</v>
      </c>
      <c r="H3837">
        <v>175</v>
      </c>
      <c r="I3837">
        <v>68.873999999999995</v>
      </c>
      <c r="J3837">
        <v>75.257000000000005</v>
      </c>
      <c r="K3837">
        <v>6.383</v>
      </c>
      <c r="L3837">
        <v>103</v>
      </c>
      <c r="M3837">
        <v>24</v>
      </c>
      <c r="N3837">
        <v>48</v>
      </c>
      <c r="O3837">
        <v>74.881</v>
      </c>
      <c r="P3837">
        <v>6.2223981860000004</v>
      </c>
      <c r="Q3837">
        <v>16.411999999999999</v>
      </c>
    </row>
    <row r="3838" spans="1:17" x14ac:dyDescent="0.2">
      <c r="A3838" s="30" t="str">
        <f>IF(C3838&amp;G3838&amp;D3838&lt;&gt;'Funnel setup'!$K$3&amp;'Funnel setup'!$K$4&amp;'Funnel setup'!$K$5,".",IF(A3837=".",1,A3837+1))</f>
        <v>.</v>
      </c>
      <c r="B3838" s="431" t="str">
        <f t="shared" si="59"/>
        <v>Knee Replacement PrimaryCCG of GP PracticeNHS WIGAN BOROUGH CCG (02H)EQ VAS</v>
      </c>
      <c r="C3838" t="s">
        <v>249</v>
      </c>
      <c r="D3838" t="s">
        <v>87</v>
      </c>
      <c r="E3838" t="s">
        <v>465</v>
      </c>
      <c r="F3838" t="s">
        <v>466</v>
      </c>
      <c r="G3838" t="s">
        <v>179</v>
      </c>
      <c r="H3838">
        <v>154</v>
      </c>
      <c r="I3838">
        <v>66.896000000000001</v>
      </c>
      <c r="J3838">
        <v>71.070999999999998</v>
      </c>
      <c r="K3838">
        <v>4.1749999999999998</v>
      </c>
      <c r="L3838">
        <v>82</v>
      </c>
      <c r="M3838">
        <v>19</v>
      </c>
      <c r="N3838">
        <v>53</v>
      </c>
      <c r="O3838">
        <v>73.198999999999998</v>
      </c>
      <c r="P3838">
        <v>4.5410067639999996</v>
      </c>
      <c r="Q3838">
        <v>14.502000000000001</v>
      </c>
    </row>
    <row r="3839" spans="1:17" x14ac:dyDescent="0.2">
      <c r="A3839" s="30" t="str">
        <f>IF(C3839&amp;G3839&amp;D3839&lt;&gt;'Funnel setup'!$K$3&amp;'Funnel setup'!$K$4&amp;'Funnel setup'!$K$5,".",IF(A3838=".",1,A3838+1))</f>
        <v>.</v>
      </c>
      <c r="B3839" s="431" t="str">
        <f t="shared" si="59"/>
        <v>Knee Replacement PrimaryCCG of GP PracticeNHS WILTSHIRE CCG (99N)EQ VAS</v>
      </c>
      <c r="C3839" t="s">
        <v>249</v>
      </c>
      <c r="D3839" t="s">
        <v>87</v>
      </c>
      <c r="E3839" t="s">
        <v>468</v>
      </c>
      <c r="F3839" t="s">
        <v>469</v>
      </c>
      <c r="G3839" t="s">
        <v>179</v>
      </c>
      <c r="H3839">
        <v>482</v>
      </c>
      <c r="I3839">
        <v>69.078999999999994</v>
      </c>
      <c r="J3839">
        <v>76.257000000000005</v>
      </c>
      <c r="K3839">
        <v>7.1779999999999999</v>
      </c>
      <c r="L3839">
        <v>293</v>
      </c>
      <c r="M3839">
        <v>52</v>
      </c>
      <c r="N3839">
        <v>137</v>
      </c>
      <c r="O3839">
        <v>75.31</v>
      </c>
      <c r="P3839">
        <v>6.6519099749999997</v>
      </c>
      <c r="Q3839">
        <v>15.058</v>
      </c>
    </row>
    <row r="3840" spans="1:17" x14ac:dyDescent="0.2">
      <c r="A3840" s="30" t="str">
        <f>IF(C3840&amp;G3840&amp;D3840&lt;&gt;'Funnel setup'!$K$3&amp;'Funnel setup'!$K$4&amp;'Funnel setup'!$K$5,".",IF(A3839=".",1,A3839+1))</f>
        <v>.</v>
      </c>
      <c r="B3840" s="431" t="str">
        <f t="shared" si="59"/>
        <v>Knee Replacement PrimaryCCG of GP PracticeNHS WINDSOR, ASCOT AND MAIDENHEAD CCG (11C)EQ VAS</v>
      </c>
      <c r="C3840" t="s">
        <v>249</v>
      </c>
      <c r="D3840" t="s">
        <v>87</v>
      </c>
      <c r="E3840" t="s">
        <v>471</v>
      </c>
      <c r="F3840" t="s">
        <v>472</v>
      </c>
      <c r="G3840" t="s">
        <v>179</v>
      </c>
      <c r="H3840">
        <v>59</v>
      </c>
      <c r="I3840">
        <v>70.203000000000003</v>
      </c>
      <c r="J3840">
        <v>78.186000000000007</v>
      </c>
      <c r="K3840">
        <v>7.9829999999999997</v>
      </c>
      <c r="L3840">
        <v>33</v>
      </c>
      <c r="M3840">
        <v>4</v>
      </c>
      <c r="N3840">
        <v>22</v>
      </c>
      <c r="O3840">
        <v>76.515000000000001</v>
      </c>
      <c r="P3840">
        <v>7.8570157910000002</v>
      </c>
      <c r="Q3840">
        <v>14.454000000000001</v>
      </c>
    </row>
    <row r="3841" spans="1:17" x14ac:dyDescent="0.2">
      <c r="A3841" s="30" t="str">
        <f>IF(C3841&amp;G3841&amp;D3841&lt;&gt;'Funnel setup'!$K$3&amp;'Funnel setup'!$K$4&amp;'Funnel setup'!$K$5,".",IF(A3840=".",1,A3840+1))</f>
        <v>.</v>
      </c>
      <c r="B3841" s="431" t="str">
        <f t="shared" si="59"/>
        <v>Knee Replacement PrimaryCCG of GP PracticeNHS WIRRAL CCG (12F)EQ VAS</v>
      </c>
      <c r="C3841" t="s">
        <v>249</v>
      </c>
      <c r="D3841" t="s">
        <v>87</v>
      </c>
      <c r="E3841" t="s">
        <v>474</v>
      </c>
      <c r="F3841" t="s">
        <v>475</v>
      </c>
      <c r="G3841" t="s">
        <v>179</v>
      </c>
      <c r="H3841">
        <v>284</v>
      </c>
      <c r="I3841">
        <v>68.978999999999999</v>
      </c>
      <c r="J3841">
        <v>73.792000000000002</v>
      </c>
      <c r="K3841">
        <v>4.8129999999999997</v>
      </c>
      <c r="L3841">
        <v>147</v>
      </c>
      <c r="M3841">
        <v>36</v>
      </c>
      <c r="N3841">
        <v>101</v>
      </c>
      <c r="O3841">
        <v>74.132999999999996</v>
      </c>
      <c r="P3841">
        <v>5.4749688909999996</v>
      </c>
      <c r="Q3841">
        <v>16.585000000000001</v>
      </c>
    </row>
    <row r="3842" spans="1:17" x14ac:dyDescent="0.2">
      <c r="A3842" s="30" t="str">
        <f>IF(C3842&amp;G3842&amp;D3842&lt;&gt;'Funnel setup'!$K$3&amp;'Funnel setup'!$K$4&amp;'Funnel setup'!$K$5,".",IF(A3841=".",1,A3841+1))</f>
        <v>.</v>
      </c>
      <c r="B3842" s="431" t="str">
        <f t="shared" si="59"/>
        <v>Knee Replacement PrimaryCCG of GP PracticeNHS WOKINGHAM CCG (11D)EQ VAS</v>
      </c>
      <c r="C3842" t="s">
        <v>249</v>
      </c>
      <c r="D3842" t="s">
        <v>87</v>
      </c>
      <c r="E3842" t="s">
        <v>477</v>
      </c>
      <c r="F3842" t="s">
        <v>478</v>
      </c>
      <c r="G3842" t="s">
        <v>179</v>
      </c>
      <c r="H3842">
        <v>94</v>
      </c>
      <c r="I3842">
        <v>74.872</v>
      </c>
      <c r="J3842">
        <v>76.552999999999997</v>
      </c>
      <c r="K3842">
        <v>1.681</v>
      </c>
      <c r="L3842">
        <v>45</v>
      </c>
      <c r="M3842">
        <v>13</v>
      </c>
      <c r="N3842">
        <v>36</v>
      </c>
      <c r="O3842">
        <v>72.379000000000005</v>
      </c>
      <c r="P3842">
        <v>3.720634649</v>
      </c>
      <c r="Q3842">
        <v>14.545</v>
      </c>
    </row>
    <row r="3843" spans="1:17" x14ac:dyDescent="0.2">
      <c r="A3843" s="30" t="str">
        <f>IF(C3843&amp;G3843&amp;D3843&lt;&gt;'Funnel setup'!$K$3&amp;'Funnel setup'!$K$4&amp;'Funnel setup'!$K$5,".",IF(A3842=".",1,A3842+1))</f>
        <v>.</v>
      </c>
      <c r="B3843" s="431" t="str">
        <f t="shared" ref="B3843:B3906" si="60">C3843&amp;D3843&amp;F3843&amp;G3843</f>
        <v>Knee Replacement PrimaryCCG of GP PracticeNHS WOLVERHAMPTON CCG (06A)EQ VAS</v>
      </c>
      <c r="C3843" t="s">
        <v>249</v>
      </c>
      <c r="D3843" t="s">
        <v>87</v>
      </c>
      <c r="E3843" t="s">
        <v>480</v>
      </c>
      <c r="F3843" t="s">
        <v>481</v>
      </c>
      <c r="G3843" t="s">
        <v>179</v>
      </c>
      <c r="H3843">
        <v>207</v>
      </c>
      <c r="I3843">
        <v>66.295000000000002</v>
      </c>
      <c r="J3843">
        <v>70.783000000000001</v>
      </c>
      <c r="K3843">
        <v>4.4880000000000004</v>
      </c>
      <c r="L3843">
        <v>110</v>
      </c>
      <c r="M3843">
        <v>28</v>
      </c>
      <c r="N3843">
        <v>69</v>
      </c>
      <c r="O3843">
        <v>74.212999999999994</v>
      </c>
      <c r="P3843">
        <v>5.5547386799999998</v>
      </c>
      <c r="Q3843">
        <v>15.433</v>
      </c>
    </row>
    <row r="3844" spans="1:17" x14ac:dyDescent="0.2">
      <c r="A3844" s="30" t="str">
        <f>IF(C3844&amp;G3844&amp;D3844&lt;&gt;'Funnel setup'!$K$3&amp;'Funnel setup'!$K$4&amp;'Funnel setup'!$K$5,".",IF(A3843=".",1,A3843+1))</f>
        <v>.</v>
      </c>
      <c r="B3844" s="431" t="str">
        <f t="shared" si="60"/>
        <v>Knee Replacement PrimaryCCG of GP PracticeNHS WYRE FOREST CCG (06D)EQ VAS</v>
      </c>
      <c r="C3844" t="s">
        <v>249</v>
      </c>
      <c r="D3844" t="s">
        <v>87</v>
      </c>
      <c r="E3844" t="s">
        <v>483</v>
      </c>
      <c r="F3844" t="s">
        <v>484</v>
      </c>
      <c r="G3844" t="s">
        <v>179</v>
      </c>
      <c r="H3844">
        <v>70</v>
      </c>
      <c r="I3844">
        <v>69.843000000000004</v>
      </c>
      <c r="J3844">
        <v>76.8</v>
      </c>
      <c r="K3844">
        <v>6.9569999999999999</v>
      </c>
      <c r="L3844">
        <v>41</v>
      </c>
      <c r="M3844">
        <v>7</v>
      </c>
      <c r="N3844">
        <v>22</v>
      </c>
      <c r="O3844">
        <v>75.582999999999998</v>
      </c>
      <c r="P3844">
        <v>6.9244501559999998</v>
      </c>
      <c r="Q3844">
        <v>13.224</v>
      </c>
    </row>
    <row r="3845" spans="1:17" x14ac:dyDescent="0.2">
      <c r="A3845" s="30" t="str">
        <f>IF(C3845&amp;G3845&amp;D3845&lt;&gt;'Funnel setup'!$K$3&amp;'Funnel setup'!$K$4&amp;'Funnel setup'!$K$5,".",IF(A3844=".",1,A3844+1))</f>
        <v>.</v>
      </c>
      <c r="B3845" s="431" t="str">
        <f t="shared" si="60"/>
        <v>Knee Replacement PrimaryCCG of GP PracticeNATIONAL COMMISSIONING HUB 1 (13Q)EQ-5D Index</v>
      </c>
      <c r="C3845" t="s">
        <v>249</v>
      </c>
      <c r="D3845" t="s">
        <v>87</v>
      </c>
      <c r="E3845" t="s">
        <v>563</v>
      </c>
      <c r="F3845" t="s">
        <v>564</v>
      </c>
      <c r="G3845" t="s">
        <v>52</v>
      </c>
      <c r="H3845" t="s">
        <v>53</v>
      </c>
      <c r="I3845" t="s">
        <v>53</v>
      </c>
      <c r="J3845" t="s">
        <v>53</v>
      </c>
      <c r="K3845" t="s">
        <v>53</v>
      </c>
      <c r="L3845" t="s">
        <v>53</v>
      </c>
      <c r="M3845" t="s">
        <v>53</v>
      </c>
      <c r="N3845" t="s">
        <v>53</v>
      </c>
      <c r="O3845" t="s">
        <v>53</v>
      </c>
      <c r="P3845" t="s">
        <v>53</v>
      </c>
      <c r="Q3845" t="s">
        <v>53</v>
      </c>
    </row>
    <row r="3846" spans="1:17" x14ac:dyDescent="0.2">
      <c r="A3846" s="30" t="str">
        <f>IF(C3846&amp;G3846&amp;D3846&lt;&gt;'Funnel setup'!$K$3&amp;'Funnel setup'!$K$4&amp;'Funnel setup'!$K$5,".",IF(A3845=".",1,A3845+1))</f>
        <v>.</v>
      </c>
      <c r="B3846" s="431" t="str">
        <f t="shared" si="60"/>
        <v>Knee Replacement PrimaryCCG of GP PracticeNHS AIREDALE, WHARFEDALE AND CRAVEN CCG (02N)EQ-5D Index</v>
      </c>
      <c r="C3846" t="s">
        <v>249</v>
      </c>
      <c r="D3846" t="s">
        <v>87</v>
      </c>
      <c r="E3846" t="s">
        <v>566</v>
      </c>
      <c r="F3846" t="s">
        <v>567</v>
      </c>
      <c r="G3846" t="s">
        <v>52</v>
      </c>
      <c r="H3846">
        <v>136</v>
      </c>
      <c r="I3846">
        <v>0.498</v>
      </c>
      <c r="J3846">
        <v>0.79300000000000004</v>
      </c>
      <c r="K3846">
        <v>0.29499999999999998</v>
      </c>
      <c r="L3846">
        <v>115</v>
      </c>
      <c r="M3846">
        <v>11</v>
      </c>
      <c r="N3846">
        <v>10</v>
      </c>
      <c r="O3846">
        <v>0.754</v>
      </c>
      <c r="P3846">
        <v>0.32938943799999998</v>
      </c>
      <c r="Q3846">
        <v>0.21099999999999999</v>
      </c>
    </row>
    <row r="3847" spans="1:17" x14ac:dyDescent="0.2">
      <c r="A3847" s="30" t="str">
        <f>IF(C3847&amp;G3847&amp;D3847&lt;&gt;'Funnel setup'!$K$3&amp;'Funnel setup'!$K$4&amp;'Funnel setup'!$K$5,".",IF(A3846=".",1,A3846+1))</f>
        <v>.</v>
      </c>
      <c r="B3847" s="431" t="str">
        <f t="shared" si="60"/>
        <v>Knee Replacement PrimaryCCG of GP PracticeNHS ASHFORD CCG (09C)EQ-5D Index</v>
      </c>
      <c r="C3847" t="s">
        <v>249</v>
      </c>
      <c r="D3847" t="s">
        <v>87</v>
      </c>
      <c r="E3847" t="s">
        <v>569</v>
      </c>
      <c r="F3847" t="s">
        <v>339</v>
      </c>
      <c r="G3847" t="s">
        <v>52</v>
      </c>
      <c r="H3847">
        <v>60</v>
      </c>
      <c r="I3847">
        <v>0.503</v>
      </c>
      <c r="J3847">
        <v>0.76300000000000001</v>
      </c>
      <c r="K3847">
        <v>0.26</v>
      </c>
      <c r="L3847">
        <v>47</v>
      </c>
      <c r="M3847">
        <v>8</v>
      </c>
      <c r="N3847">
        <v>5</v>
      </c>
      <c r="O3847">
        <v>0.749</v>
      </c>
      <c r="P3847">
        <v>0.32376771500000001</v>
      </c>
      <c r="Q3847">
        <v>0.248</v>
      </c>
    </row>
    <row r="3848" spans="1:17" x14ac:dyDescent="0.2">
      <c r="A3848" s="30" t="str">
        <f>IF(C3848&amp;G3848&amp;D3848&lt;&gt;'Funnel setup'!$K$3&amp;'Funnel setup'!$K$4&amp;'Funnel setup'!$K$5,".",IF(A3847=".",1,A3847+1))</f>
        <v>.</v>
      </c>
      <c r="B3848" s="431" t="str">
        <f t="shared" si="60"/>
        <v>Knee Replacement PrimaryCCG of GP PracticeNHS AYLESBURY VALE CCG (10Y)EQ-5D Index</v>
      </c>
      <c r="C3848" t="s">
        <v>249</v>
      </c>
      <c r="D3848" t="s">
        <v>87</v>
      </c>
      <c r="E3848" t="s">
        <v>571</v>
      </c>
      <c r="F3848" t="s">
        <v>572</v>
      </c>
      <c r="G3848" t="s">
        <v>52</v>
      </c>
      <c r="H3848">
        <v>146</v>
      </c>
      <c r="I3848">
        <v>0.47499999999999998</v>
      </c>
      <c r="J3848">
        <v>0.76600000000000001</v>
      </c>
      <c r="K3848">
        <v>0.29099999999999998</v>
      </c>
      <c r="L3848">
        <v>113</v>
      </c>
      <c r="M3848">
        <v>19</v>
      </c>
      <c r="N3848">
        <v>14</v>
      </c>
      <c r="O3848">
        <v>0.73599999999999999</v>
      </c>
      <c r="P3848">
        <v>0.31100995399999998</v>
      </c>
      <c r="Q3848">
        <v>0.215</v>
      </c>
    </row>
    <row r="3849" spans="1:17" x14ac:dyDescent="0.2">
      <c r="A3849" s="30" t="str">
        <f>IF(C3849&amp;G3849&amp;D3849&lt;&gt;'Funnel setup'!$K$3&amp;'Funnel setup'!$K$4&amp;'Funnel setup'!$K$5,".",IF(A3848=".",1,A3848+1))</f>
        <v>.</v>
      </c>
      <c r="B3849" s="431" t="str">
        <f t="shared" si="60"/>
        <v>Knee Replacement PrimaryCCG of GP PracticeNHS BARKING AND DAGENHAM CCG (07L)EQ-5D Index</v>
      </c>
      <c r="C3849" t="s">
        <v>249</v>
      </c>
      <c r="D3849" t="s">
        <v>87</v>
      </c>
      <c r="E3849" t="s">
        <v>574</v>
      </c>
      <c r="F3849" t="s">
        <v>575</v>
      </c>
      <c r="G3849" t="s">
        <v>52</v>
      </c>
      <c r="H3849">
        <v>48</v>
      </c>
      <c r="I3849">
        <v>0.371</v>
      </c>
      <c r="J3849">
        <v>0.68200000000000005</v>
      </c>
      <c r="K3849">
        <v>0.311</v>
      </c>
      <c r="L3849">
        <v>40</v>
      </c>
      <c r="M3849">
        <v>3</v>
      </c>
      <c r="N3849">
        <v>5</v>
      </c>
      <c r="O3849">
        <v>0.73299999999999998</v>
      </c>
      <c r="P3849">
        <v>0.30828481299999999</v>
      </c>
      <c r="Q3849">
        <v>0.217</v>
      </c>
    </row>
    <row r="3850" spans="1:17" x14ac:dyDescent="0.2">
      <c r="A3850" s="30" t="str">
        <f>IF(C3850&amp;G3850&amp;D3850&lt;&gt;'Funnel setup'!$K$3&amp;'Funnel setup'!$K$4&amp;'Funnel setup'!$K$5,".",IF(A3849=".",1,A3849+1))</f>
        <v>.</v>
      </c>
      <c r="B3850" s="431" t="str">
        <f t="shared" si="60"/>
        <v>Knee Replacement PrimaryCCG of GP PracticeNHS BARNET CCG (07M)EQ-5D Index</v>
      </c>
      <c r="C3850" t="s">
        <v>249</v>
      </c>
      <c r="D3850" t="s">
        <v>87</v>
      </c>
      <c r="E3850" t="s">
        <v>577</v>
      </c>
      <c r="F3850" t="s">
        <v>578</v>
      </c>
      <c r="G3850" t="s">
        <v>52</v>
      </c>
      <c r="H3850">
        <v>84</v>
      </c>
      <c r="I3850">
        <v>0.44900000000000001</v>
      </c>
      <c r="J3850">
        <v>0.68899999999999995</v>
      </c>
      <c r="K3850">
        <v>0.24</v>
      </c>
      <c r="L3850">
        <v>64</v>
      </c>
      <c r="M3850">
        <v>5</v>
      </c>
      <c r="N3850">
        <v>15</v>
      </c>
      <c r="O3850">
        <v>0.68400000000000005</v>
      </c>
      <c r="P3850">
        <v>0.25904195000000002</v>
      </c>
      <c r="Q3850">
        <v>0.23</v>
      </c>
    </row>
    <row r="3851" spans="1:17" x14ac:dyDescent="0.2">
      <c r="A3851" s="30" t="str">
        <f>IF(C3851&amp;G3851&amp;D3851&lt;&gt;'Funnel setup'!$K$3&amp;'Funnel setup'!$K$4&amp;'Funnel setup'!$K$5,".",IF(A3850=".",1,A3850+1))</f>
        <v>.</v>
      </c>
      <c r="B3851" s="431" t="str">
        <f t="shared" si="60"/>
        <v>Knee Replacement PrimaryCCG of GP PracticeNHS BARNSLEY CCG (02P)EQ-5D Index</v>
      </c>
      <c r="C3851" t="s">
        <v>249</v>
      </c>
      <c r="D3851" t="s">
        <v>87</v>
      </c>
      <c r="E3851" t="s">
        <v>580</v>
      </c>
      <c r="F3851" t="s">
        <v>581</v>
      </c>
      <c r="G3851" t="s">
        <v>52</v>
      </c>
      <c r="H3851">
        <v>296</v>
      </c>
      <c r="I3851">
        <v>0.372</v>
      </c>
      <c r="J3851">
        <v>0.70799999999999996</v>
      </c>
      <c r="K3851">
        <v>0.33600000000000002</v>
      </c>
      <c r="L3851">
        <v>246</v>
      </c>
      <c r="M3851">
        <v>25</v>
      </c>
      <c r="N3851">
        <v>25</v>
      </c>
      <c r="O3851">
        <v>0.73899999999999999</v>
      </c>
      <c r="P3851">
        <v>0.31422356299999998</v>
      </c>
      <c r="Q3851">
        <v>0.23400000000000001</v>
      </c>
    </row>
    <row r="3852" spans="1:17" x14ac:dyDescent="0.2">
      <c r="A3852" s="30" t="str">
        <f>IF(C3852&amp;G3852&amp;D3852&lt;&gt;'Funnel setup'!$K$3&amp;'Funnel setup'!$K$4&amp;'Funnel setup'!$K$5,".",IF(A3851=".",1,A3851+1))</f>
        <v>.</v>
      </c>
      <c r="B3852" s="431" t="str">
        <f t="shared" si="60"/>
        <v>Knee Replacement PrimaryCCG of GP PracticeNHS BASILDON AND BRENTWOOD CCG (99E)EQ-5D Index</v>
      </c>
      <c r="C3852" t="s">
        <v>249</v>
      </c>
      <c r="D3852" t="s">
        <v>87</v>
      </c>
      <c r="E3852" t="s">
        <v>583</v>
      </c>
      <c r="F3852" t="s">
        <v>584</v>
      </c>
      <c r="G3852" t="s">
        <v>52</v>
      </c>
      <c r="H3852">
        <v>168</v>
      </c>
      <c r="I3852">
        <v>0.40400000000000003</v>
      </c>
      <c r="J3852">
        <v>0.74299999999999999</v>
      </c>
      <c r="K3852">
        <v>0.33900000000000002</v>
      </c>
      <c r="L3852">
        <v>136</v>
      </c>
      <c r="M3852">
        <v>12</v>
      </c>
      <c r="N3852">
        <v>20</v>
      </c>
      <c r="O3852">
        <v>0.74</v>
      </c>
      <c r="P3852">
        <v>0.314511021</v>
      </c>
      <c r="Q3852">
        <v>0.24</v>
      </c>
    </row>
    <row r="3853" spans="1:17" x14ac:dyDescent="0.2">
      <c r="A3853" s="30" t="str">
        <f>IF(C3853&amp;G3853&amp;D3853&lt;&gt;'Funnel setup'!$K$3&amp;'Funnel setup'!$K$4&amp;'Funnel setup'!$K$5,".",IF(A3852=".",1,A3852+1))</f>
        <v>.</v>
      </c>
      <c r="B3853" s="431" t="str">
        <f t="shared" si="60"/>
        <v>Knee Replacement PrimaryCCG of GP PracticeNHS BASSETLAW CCG (02Q)EQ-5D Index</v>
      </c>
      <c r="C3853" t="s">
        <v>249</v>
      </c>
      <c r="D3853" t="s">
        <v>87</v>
      </c>
      <c r="E3853" t="s">
        <v>586</v>
      </c>
      <c r="F3853" t="s">
        <v>587</v>
      </c>
      <c r="G3853" t="s">
        <v>52</v>
      </c>
      <c r="H3853">
        <v>122</v>
      </c>
      <c r="I3853">
        <v>0.40899999999999997</v>
      </c>
      <c r="J3853">
        <v>0.73599999999999999</v>
      </c>
      <c r="K3853">
        <v>0.32600000000000001</v>
      </c>
      <c r="L3853">
        <v>99</v>
      </c>
      <c r="M3853">
        <v>10</v>
      </c>
      <c r="N3853">
        <v>13</v>
      </c>
      <c r="O3853">
        <v>0.745</v>
      </c>
      <c r="P3853">
        <v>0.32047844199999997</v>
      </c>
      <c r="Q3853">
        <v>0.23</v>
      </c>
    </row>
    <row r="3854" spans="1:17" x14ac:dyDescent="0.2">
      <c r="A3854" s="30" t="str">
        <f>IF(C3854&amp;G3854&amp;D3854&lt;&gt;'Funnel setup'!$K$3&amp;'Funnel setup'!$K$4&amp;'Funnel setup'!$K$5,".",IF(A3853=".",1,A3853+1))</f>
        <v>.</v>
      </c>
      <c r="B3854" s="431" t="str">
        <f t="shared" si="60"/>
        <v>Knee Replacement PrimaryCCG of GP PracticeNHS BATH AND NORTH EAST SOMERSET CCG (11E)EQ-5D Index</v>
      </c>
      <c r="C3854" t="s">
        <v>249</v>
      </c>
      <c r="D3854" t="s">
        <v>87</v>
      </c>
      <c r="E3854" t="s">
        <v>589</v>
      </c>
      <c r="F3854" t="s">
        <v>590</v>
      </c>
      <c r="G3854" t="s">
        <v>52</v>
      </c>
      <c r="H3854">
        <v>149</v>
      </c>
      <c r="I3854">
        <v>0.44800000000000001</v>
      </c>
      <c r="J3854">
        <v>0.76200000000000001</v>
      </c>
      <c r="K3854">
        <v>0.313</v>
      </c>
      <c r="L3854">
        <v>124</v>
      </c>
      <c r="M3854">
        <v>15</v>
      </c>
      <c r="N3854">
        <v>10</v>
      </c>
      <c r="O3854">
        <v>0.73699999999999999</v>
      </c>
      <c r="P3854">
        <v>0.312420588</v>
      </c>
      <c r="Q3854">
        <v>0.224</v>
      </c>
    </row>
    <row r="3855" spans="1:17" x14ac:dyDescent="0.2">
      <c r="A3855" s="30" t="str">
        <f>IF(C3855&amp;G3855&amp;D3855&lt;&gt;'Funnel setup'!$K$3&amp;'Funnel setup'!$K$4&amp;'Funnel setup'!$K$5,".",IF(A3854=".",1,A3854+1))</f>
        <v>.</v>
      </c>
      <c r="B3855" s="431" t="str">
        <f t="shared" si="60"/>
        <v>Knee Replacement PrimaryCCG of GP PracticeNHS BEDFORDSHIRE CCG (06F)EQ-5D Index</v>
      </c>
      <c r="C3855" t="s">
        <v>249</v>
      </c>
      <c r="D3855" t="s">
        <v>87</v>
      </c>
      <c r="E3855" t="s">
        <v>592</v>
      </c>
      <c r="F3855" t="s">
        <v>593</v>
      </c>
      <c r="G3855" t="s">
        <v>52</v>
      </c>
      <c r="H3855">
        <v>331</v>
      </c>
      <c r="I3855">
        <v>0.435</v>
      </c>
      <c r="J3855">
        <v>0.73599999999999999</v>
      </c>
      <c r="K3855">
        <v>0.30099999999999999</v>
      </c>
      <c r="L3855">
        <v>274</v>
      </c>
      <c r="M3855">
        <v>30</v>
      </c>
      <c r="N3855">
        <v>27</v>
      </c>
      <c r="O3855">
        <v>0.72699999999999998</v>
      </c>
      <c r="P3855">
        <v>0.30200781199999999</v>
      </c>
      <c r="Q3855">
        <v>0.23699999999999999</v>
      </c>
    </row>
    <row r="3856" spans="1:17" x14ac:dyDescent="0.2">
      <c r="A3856" s="30" t="str">
        <f>IF(C3856&amp;G3856&amp;D3856&lt;&gt;'Funnel setup'!$K$3&amp;'Funnel setup'!$K$4&amp;'Funnel setup'!$K$5,".",IF(A3855=".",1,A3855+1))</f>
        <v>.</v>
      </c>
      <c r="B3856" s="431" t="str">
        <f t="shared" si="60"/>
        <v>Knee Replacement PrimaryCCG of GP PracticeNHS BEXLEY CCG (07N)EQ-5D Index</v>
      </c>
      <c r="C3856" t="s">
        <v>249</v>
      </c>
      <c r="D3856" t="s">
        <v>87</v>
      </c>
      <c r="E3856" t="s">
        <v>595</v>
      </c>
      <c r="F3856" t="s">
        <v>596</v>
      </c>
      <c r="G3856" t="s">
        <v>52</v>
      </c>
      <c r="H3856">
        <v>99</v>
      </c>
      <c r="I3856">
        <v>0.35899999999999999</v>
      </c>
      <c r="J3856">
        <v>0.73699999999999999</v>
      </c>
      <c r="K3856">
        <v>0.377</v>
      </c>
      <c r="L3856">
        <v>78</v>
      </c>
      <c r="M3856">
        <v>15</v>
      </c>
      <c r="N3856">
        <v>6</v>
      </c>
      <c r="O3856">
        <v>0.755</v>
      </c>
      <c r="P3856">
        <v>0.32982804599999999</v>
      </c>
      <c r="Q3856">
        <v>0.24099999999999999</v>
      </c>
    </row>
    <row r="3857" spans="1:17" x14ac:dyDescent="0.2">
      <c r="A3857" s="30" t="str">
        <f>IF(C3857&amp;G3857&amp;D3857&lt;&gt;'Funnel setup'!$K$3&amp;'Funnel setup'!$K$4&amp;'Funnel setup'!$K$5,".",IF(A3856=".",1,A3856+1))</f>
        <v>.</v>
      </c>
      <c r="B3857" s="431" t="str">
        <f t="shared" si="60"/>
        <v>Knee Replacement PrimaryCCG of GP PracticeNHS BIRMINGHAM CROSSCITY CCG (13P)EQ-5D Index</v>
      </c>
      <c r="C3857" t="s">
        <v>249</v>
      </c>
      <c r="D3857" t="s">
        <v>87</v>
      </c>
      <c r="E3857" t="s">
        <v>598</v>
      </c>
      <c r="F3857" t="s">
        <v>599</v>
      </c>
      <c r="G3857" t="s">
        <v>52</v>
      </c>
      <c r="H3857">
        <v>378</v>
      </c>
      <c r="I3857">
        <v>0.39700000000000002</v>
      </c>
      <c r="J3857">
        <v>0.68600000000000005</v>
      </c>
      <c r="K3857">
        <v>0.28999999999999998</v>
      </c>
      <c r="L3857">
        <v>296</v>
      </c>
      <c r="M3857">
        <v>34</v>
      </c>
      <c r="N3857">
        <v>48</v>
      </c>
      <c r="O3857">
        <v>0.71499999999999997</v>
      </c>
      <c r="P3857">
        <v>0.290133751</v>
      </c>
      <c r="Q3857">
        <v>0.246</v>
      </c>
    </row>
    <row r="3858" spans="1:17" x14ac:dyDescent="0.2">
      <c r="A3858" s="30" t="str">
        <f>IF(C3858&amp;G3858&amp;D3858&lt;&gt;'Funnel setup'!$K$3&amp;'Funnel setup'!$K$4&amp;'Funnel setup'!$K$5,".",IF(A3857=".",1,A3857+1))</f>
        <v>.</v>
      </c>
      <c r="B3858" s="431" t="str">
        <f t="shared" si="60"/>
        <v>Knee Replacement PrimaryCCG of GP PracticeNHS BIRMINGHAM SOUTH AND CENTRAL CCG (04X)EQ-5D Index</v>
      </c>
      <c r="C3858" t="s">
        <v>249</v>
      </c>
      <c r="D3858" t="s">
        <v>87</v>
      </c>
      <c r="E3858" t="s">
        <v>601</v>
      </c>
      <c r="F3858" t="s">
        <v>602</v>
      </c>
      <c r="G3858" t="s">
        <v>52</v>
      </c>
      <c r="H3858">
        <v>94</v>
      </c>
      <c r="I3858">
        <v>0.39400000000000002</v>
      </c>
      <c r="J3858">
        <v>0.71799999999999997</v>
      </c>
      <c r="K3858">
        <v>0.32400000000000001</v>
      </c>
      <c r="L3858">
        <v>80</v>
      </c>
      <c r="M3858">
        <v>6</v>
      </c>
      <c r="N3858">
        <v>8</v>
      </c>
      <c r="O3858">
        <v>0.75</v>
      </c>
      <c r="P3858">
        <v>0.32454797000000002</v>
      </c>
      <c r="Q3858">
        <v>0.26700000000000002</v>
      </c>
    </row>
    <row r="3859" spans="1:17" x14ac:dyDescent="0.2">
      <c r="A3859" s="30" t="str">
        <f>IF(C3859&amp;G3859&amp;D3859&lt;&gt;'Funnel setup'!$K$3&amp;'Funnel setup'!$K$4&amp;'Funnel setup'!$K$5,".",IF(A3858=".",1,A3858+1))</f>
        <v>.</v>
      </c>
      <c r="B3859" s="431" t="str">
        <f t="shared" si="60"/>
        <v>Knee Replacement PrimaryCCG of GP PracticeNHS BLACKBURN WITH DARWEN CCG (00Q)EQ-5D Index</v>
      </c>
      <c r="C3859" t="s">
        <v>249</v>
      </c>
      <c r="D3859" t="s">
        <v>87</v>
      </c>
      <c r="E3859" t="s">
        <v>604</v>
      </c>
      <c r="F3859" t="s">
        <v>605</v>
      </c>
      <c r="G3859" t="s">
        <v>52</v>
      </c>
      <c r="H3859">
        <v>91</v>
      </c>
      <c r="I3859">
        <v>0.41199999999999998</v>
      </c>
      <c r="J3859">
        <v>0.77500000000000002</v>
      </c>
      <c r="K3859">
        <v>0.36299999999999999</v>
      </c>
      <c r="L3859">
        <v>79</v>
      </c>
      <c r="M3859">
        <v>7</v>
      </c>
      <c r="N3859">
        <v>5</v>
      </c>
      <c r="O3859">
        <v>0.8</v>
      </c>
      <c r="P3859">
        <v>0.37538783599999997</v>
      </c>
      <c r="Q3859">
        <v>0.20300000000000001</v>
      </c>
    </row>
    <row r="3860" spans="1:17" x14ac:dyDescent="0.2">
      <c r="A3860" s="30" t="str">
        <f>IF(C3860&amp;G3860&amp;D3860&lt;&gt;'Funnel setup'!$K$3&amp;'Funnel setup'!$K$4&amp;'Funnel setup'!$K$5,".",IF(A3859=".",1,A3859+1))</f>
        <v>.</v>
      </c>
      <c r="B3860" s="431" t="str">
        <f t="shared" si="60"/>
        <v>Knee Replacement PrimaryCCG of GP PracticeNHS BLACKPOOL CCG (00R)EQ-5D Index</v>
      </c>
      <c r="C3860" t="s">
        <v>249</v>
      </c>
      <c r="D3860" t="s">
        <v>87</v>
      </c>
      <c r="E3860" t="s">
        <v>607</v>
      </c>
      <c r="F3860" t="s">
        <v>608</v>
      </c>
      <c r="G3860" t="s">
        <v>52</v>
      </c>
      <c r="H3860">
        <v>41</v>
      </c>
      <c r="I3860">
        <v>0.45100000000000001</v>
      </c>
      <c r="J3860">
        <v>0.69</v>
      </c>
      <c r="K3860">
        <v>0.23899999999999999</v>
      </c>
      <c r="L3860">
        <v>29</v>
      </c>
      <c r="M3860">
        <v>7</v>
      </c>
      <c r="N3860">
        <v>5</v>
      </c>
      <c r="O3860">
        <v>0.70099999999999996</v>
      </c>
      <c r="P3860">
        <v>0.27611953900000002</v>
      </c>
      <c r="Q3860">
        <v>0.22500000000000001</v>
      </c>
    </row>
    <row r="3861" spans="1:17" x14ac:dyDescent="0.2">
      <c r="A3861" s="30" t="str">
        <f>IF(C3861&amp;G3861&amp;D3861&lt;&gt;'Funnel setup'!$K$3&amp;'Funnel setup'!$K$4&amp;'Funnel setup'!$K$5,".",IF(A3860=".",1,A3860+1))</f>
        <v>.</v>
      </c>
      <c r="B3861" s="431" t="str">
        <f t="shared" si="60"/>
        <v>Knee Replacement PrimaryCCG of GP PracticeNHS BOLTON CCG (00T)EQ-5D Index</v>
      </c>
      <c r="C3861" t="s">
        <v>249</v>
      </c>
      <c r="D3861" t="s">
        <v>87</v>
      </c>
      <c r="E3861" t="s">
        <v>683</v>
      </c>
      <c r="F3861" t="s">
        <v>684</v>
      </c>
      <c r="G3861" t="s">
        <v>52</v>
      </c>
      <c r="H3861">
        <v>136</v>
      </c>
      <c r="I3861">
        <v>0.35499999999999998</v>
      </c>
      <c r="J3861">
        <v>0.66600000000000004</v>
      </c>
      <c r="K3861">
        <v>0.31</v>
      </c>
      <c r="L3861">
        <v>103</v>
      </c>
      <c r="M3861">
        <v>10</v>
      </c>
      <c r="N3861">
        <v>23</v>
      </c>
      <c r="O3861">
        <v>0.69699999999999995</v>
      </c>
      <c r="P3861">
        <v>0.27197462900000002</v>
      </c>
      <c r="Q3861">
        <v>0.26800000000000002</v>
      </c>
    </row>
    <row r="3862" spans="1:17" x14ac:dyDescent="0.2">
      <c r="A3862" s="30" t="str">
        <f>IF(C3862&amp;G3862&amp;D3862&lt;&gt;'Funnel setup'!$K$3&amp;'Funnel setup'!$K$4&amp;'Funnel setup'!$K$5,".",IF(A3861=".",1,A3861+1))</f>
        <v>.</v>
      </c>
      <c r="B3862" s="431" t="str">
        <f t="shared" si="60"/>
        <v>Knee Replacement PrimaryCCG of GP PracticeNHS BRACKNELL AND ASCOT CCG (10G)EQ-5D Index</v>
      </c>
      <c r="C3862" t="s">
        <v>249</v>
      </c>
      <c r="D3862" t="s">
        <v>87</v>
      </c>
      <c r="E3862" t="s">
        <v>686</v>
      </c>
      <c r="F3862" t="s">
        <v>687</v>
      </c>
      <c r="G3862" t="s">
        <v>52</v>
      </c>
      <c r="H3862">
        <v>77</v>
      </c>
      <c r="I3862">
        <v>0.434</v>
      </c>
      <c r="J3862">
        <v>0.75900000000000001</v>
      </c>
      <c r="K3862">
        <v>0.32400000000000001</v>
      </c>
      <c r="L3862">
        <v>63</v>
      </c>
      <c r="M3862">
        <v>8</v>
      </c>
      <c r="N3862">
        <v>6</v>
      </c>
      <c r="O3862">
        <v>0.75</v>
      </c>
      <c r="P3862">
        <v>0.324794207</v>
      </c>
      <c r="Q3862">
        <v>0.221</v>
      </c>
    </row>
    <row r="3863" spans="1:17" x14ac:dyDescent="0.2">
      <c r="A3863" s="30" t="str">
        <f>IF(C3863&amp;G3863&amp;D3863&lt;&gt;'Funnel setup'!$K$3&amp;'Funnel setup'!$K$4&amp;'Funnel setup'!$K$5,".",IF(A3862=".",1,A3862+1))</f>
        <v>.</v>
      </c>
      <c r="B3863" s="431" t="str">
        <f t="shared" si="60"/>
        <v>Knee Replacement PrimaryCCG of GP PracticeNHS BRADFORD CITY CCG (02W)EQ-5D Index</v>
      </c>
      <c r="C3863" t="s">
        <v>249</v>
      </c>
      <c r="D3863" t="s">
        <v>87</v>
      </c>
      <c r="E3863" t="s">
        <v>689</v>
      </c>
      <c r="F3863" t="s">
        <v>690</v>
      </c>
      <c r="G3863" t="s">
        <v>52</v>
      </c>
      <c r="H3863">
        <v>26</v>
      </c>
      <c r="I3863">
        <v>0.224</v>
      </c>
      <c r="J3863">
        <v>0.68200000000000005</v>
      </c>
      <c r="K3863">
        <v>0.45800000000000002</v>
      </c>
      <c r="L3863">
        <v>22</v>
      </c>
      <c r="M3863">
        <v>2</v>
      </c>
      <c r="N3863">
        <v>2</v>
      </c>
      <c r="O3863" t="s">
        <v>53</v>
      </c>
      <c r="P3863" t="s">
        <v>53</v>
      </c>
      <c r="Q3863" t="s">
        <v>53</v>
      </c>
    </row>
    <row r="3864" spans="1:17" x14ac:dyDescent="0.2">
      <c r="A3864" s="30" t="str">
        <f>IF(C3864&amp;G3864&amp;D3864&lt;&gt;'Funnel setup'!$K$3&amp;'Funnel setup'!$K$4&amp;'Funnel setup'!$K$5,".",IF(A3863=".",1,A3863+1))</f>
        <v>.</v>
      </c>
      <c r="B3864" s="431" t="str">
        <f t="shared" si="60"/>
        <v>Knee Replacement PrimaryCCG of GP PracticeNHS BRADFORD DISTRICTS CCG (02R)EQ-5D Index</v>
      </c>
      <c r="C3864" t="s">
        <v>249</v>
      </c>
      <c r="D3864" t="s">
        <v>87</v>
      </c>
      <c r="E3864" t="s">
        <v>692</v>
      </c>
      <c r="F3864" t="s">
        <v>693</v>
      </c>
      <c r="G3864" t="s">
        <v>52</v>
      </c>
      <c r="H3864">
        <v>155</v>
      </c>
      <c r="I3864">
        <v>0.434</v>
      </c>
      <c r="J3864">
        <v>0.74399999999999999</v>
      </c>
      <c r="K3864">
        <v>0.31</v>
      </c>
      <c r="L3864">
        <v>123</v>
      </c>
      <c r="M3864">
        <v>18</v>
      </c>
      <c r="N3864">
        <v>14</v>
      </c>
      <c r="O3864">
        <v>0.751</v>
      </c>
      <c r="P3864">
        <v>0.32584498200000001</v>
      </c>
      <c r="Q3864">
        <v>0.23699999999999999</v>
      </c>
    </row>
    <row r="3865" spans="1:17" x14ac:dyDescent="0.2">
      <c r="A3865" s="30" t="str">
        <f>IF(C3865&amp;G3865&amp;D3865&lt;&gt;'Funnel setup'!$K$3&amp;'Funnel setup'!$K$4&amp;'Funnel setup'!$K$5,".",IF(A3864=".",1,A3864+1))</f>
        <v>.</v>
      </c>
      <c r="B3865" s="431" t="str">
        <f t="shared" si="60"/>
        <v>Knee Replacement PrimaryCCG of GP PracticeNHS BRENT CCG (07P)EQ-5D Index</v>
      </c>
      <c r="C3865" t="s">
        <v>249</v>
      </c>
      <c r="D3865" t="s">
        <v>87</v>
      </c>
      <c r="E3865" t="s">
        <v>695</v>
      </c>
      <c r="F3865" t="s">
        <v>696</v>
      </c>
      <c r="G3865" t="s">
        <v>52</v>
      </c>
      <c r="H3865">
        <v>92</v>
      </c>
      <c r="I3865">
        <v>0.33600000000000002</v>
      </c>
      <c r="J3865">
        <v>0.57099999999999995</v>
      </c>
      <c r="K3865">
        <v>0.23499999999999999</v>
      </c>
      <c r="L3865">
        <v>63</v>
      </c>
      <c r="M3865">
        <v>11</v>
      </c>
      <c r="N3865">
        <v>18</v>
      </c>
      <c r="O3865">
        <v>0.63600000000000001</v>
      </c>
      <c r="P3865">
        <v>0.21106409800000001</v>
      </c>
      <c r="Q3865">
        <v>0.27200000000000002</v>
      </c>
    </row>
    <row r="3866" spans="1:17" x14ac:dyDescent="0.2">
      <c r="A3866" s="30" t="str">
        <f>IF(C3866&amp;G3866&amp;D3866&lt;&gt;'Funnel setup'!$K$3&amp;'Funnel setup'!$K$4&amp;'Funnel setup'!$K$5,".",IF(A3865=".",1,A3865+1))</f>
        <v>.</v>
      </c>
      <c r="B3866" s="431" t="str">
        <f t="shared" si="60"/>
        <v>Knee Replacement PrimaryCCG of GP PracticeNHS BRIGHTON AND HOVE CCG (09D)EQ-5D Index</v>
      </c>
      <c r="C3866" t="s">
        <v>249</v>
      </c>
      <c r="D3866" t="s">
        <v>87</v>
      </c>
      <c r="E3866" t="s">
        <v>698</v>
      </c>
      <c r="F3866" t="s">
        <v>699</v>
      </c>
      <c r="G3866" t="s">
        <v>52</v>
      </c>
      <c r="H3866">
        <v>155</v>
      </c>
      <c r="I3866">
        <v>0.46500000000000002</v>
      </c>
      <c r="J3866">
        <v>0.69899999999999995</v>
      </c>
      <c r="K3866">
        <v>0.23400000000000001</v>
      </c>
      <c r="L3866">
        <v>113</v>
      </c>
      <c r="M3866">
        <v>21</v>
      </c>
      <c r="N3866">
        <v>21</v>
      </c>
      <c r="O3866">
        <v>0.69499999999999995</v>
      </c>
      <c r="P3866">
        <v>0.27023776900000002</v>
      </c>
      <c r="Q3866">
        <v>0.26500000000000001</v>
      </c>
    </row>
    <row r="3867" spans="1:17" x14ac:dyDescent="0.2">
      <c r="A3867" s="30" t="str">
        <f>IF(C3867&amp;G3867&amp;D3867&lt;&gt;'Funnel setup'!$K$3&amp;'Funnel setup'!$K$4&amp;'Funnel setup'!$K$5,".",IF(A3866=".",1,A3866+1))</f>
        <v>.</v>
      </c>
      <c r="B3867" s="431" t="str">
        <f t="shared" si="60"/>
        <v>Knee Replacement PrimaryCCG of GP PracticeNHS BRISTOL CCG (11H)EQ-5D Index</v>
      </c>
      <c r="C3867" t="s">
        <v>249</v>
      </c>
      <c r="D3867" t="s">
        <v>87</v>
      </c>
      <c r="E3867" t="s">
        <v>701</v>
      </c>
      <c r="F3867" t="s">
        <v>702</v>
      </c>
      <c r="G3867" t="s">
        <v>52</v>
      </c>
      <c r="H3867">
        <v>219</v>
      </c>
      <c r="I3867">
        <v>0.42</v>
      </c>
      <c r="J3867">
        <v>0.751</v>
      </c>
      <c r="K3867">
        <v>0.33100000000000002</v>
      </c>
      <c r="L3867">
        <v>182</v>
      </c>
      <c r="M3867">
        <v>21</v>
      </c>
      <c r="N3867">
        <v>16</v>
      </c>
      <c r="O3867">
        <v>0.751</v>
      </c>
      <c r="P3867">
        <v>0.32641853900000001</v>
      </c>
      <c r="Q3867">
        <v>0.20599999999999999</v>
      </c>
    </row>
    <row r="3868" spans="1:17" x14ac:dyDescent="0.2">
      <c r="A3868" s="30" t="str">
        <f>IF(C3868&amp;G3868&amp;D3868&lt;&gt;'Funnel setup'!$K$3&amp;'Funnel setup'!$K$4&amp;'Funnel setup'!$K$5,".",IF(A3867=".",1,A3867+1))</f>
        <v>.</v>
      </c>
      <c r="B3868" s="431" t="str">
        <f t="shared" si="60"/>
        <v>Knee Replacement PrimaryCCG of GP PracticeNHS BROMLEY CCG (07Q)EQ-5D Index</v>
      </c>
      <c r="C3868" t="s">
        <v>249</v>
      </c>
      <c r="D3868" t="s">
        <v>87</v>
      </c>
      <c r="E3868" t="s">
        <v>704</v>
      </c>
      <c r="F3868" t="s">
        <v>705</v>
      </c>
      <c r="G3868" t="s">
        <v>52</v>
      </c>
      <c r="H3868">
        <v>111</v>
      </c>
      <c r="I3868">
        <v>0.47299999999999998</v>
      </c>
      <c r="J3868">
        <v>0.77900000000000003</v>
      </c>
      <c r="K3868">
        <v>0.30599999999999999</v>
      </c>
      <c r="L3868">
        <v>96</v>
      </c>
      <c r="M3868">
        <v>9</v>
      </c>
      <c r="N3868">
        <v>6</v>
      </c>
      <c r="O3868">
        <v>0.74199999999999999</v>
      </c>
      <c r="P3868">
        <v>0.31733324899999998</v>
      </c>
      <c r="Q3868">
        <v>0.17899999999999999</v>
      </c>
    </row>
    <row r="3869" spans="1:17" x14ac:dyDescent="0.2">
      <c r="A3869" s="30" t="str">
        <f>IF(C3869&amp;G3869&amp;D3869&lt;&gt;'Funnel setup'!$K$3&amp;'Funnel setup'!$K$4&amp;'Funnel setup'!$K$5,".",IF(A3868=".",1,A3868+1))</f>
        <v>.</v>
      </c>
      <c r="B3869" s="431" t="str">
        <f t="shared" si="60"/>
        <v>Knee Replacement PrimaryCCG of GP PracticeNHS BURY CCG (00V)EQ-5D Index</v>
      </c>
      <c r="C3869" t="s">
        <v>249</v>
      </c>
      <c r="D3869" t="s">
        <v>87</v>
      </c>
      <c r="E3869" t="s">
        <v>707</v>
      </c>
      <c r="F3869" t="s">
        <v>708</v>
      </c>
      <c r="G3869" t="s">
        <v>52</v>
      </c>
      <c r="H3869">
        <v>91</v>
      </c>
      <c r="I3869">
        <v>0.27500000000000002</v>
      </c>
      <c r="J3869">
        <v>0.67500000000000004</v>
      </c>
      <c r="K3869">
        <v>0.39900000000000002</v>
      </c>
      <c r="L3869">
        <v>73</v>
      </c>
      <c r="M3869">
        <v>11</v>
      </c>
      <c r="N3869">
        <v>7</v>
      </c>
      <c r="O3869">
        <v>0.72899999999999998</v>
      </c>
      <c r="P3869">
        <v>0.30434321199999997</v>
      </c>
      <c r="Q3869">
        <v>0.24099999999999999</v>
      </c>
    </row>
    <row r="3870" spans="1:17" x14ac:dyDescent="0.2">
      <c r="A3870" s="30" t="str">
        <f>IF(C3870&amp;G3870&amp;D3870&lt;&gt;'Funnel setup'!$K$3&amp;'Funnel setup'!$K$4&amp;'Funnel setup'!$K$5,".",IF(A3869=".",1,A3869+1))</f>
        <v>.</v>
      </c>
      <c r="B3870" s="431" t="str">
        <f t="shared" si="60"/>
        <v>Knee Replacement PrimaryCCG of GP PracticeNHS CALDERDALE CCG (02T)EQ-5D Index</v>
      </c>
      <c r="C3870" t="s">
        <v>249</v>
      </c>
      <c r="D3870" t="s">
        <v>87</v>
      </c>
      <c r="E3870" t="s">
        <v>710</v>
      </c>
      <c r="F3870" t="s">
        <v>711</v>
      </c>
      <c r="G3870" t="s">
        <v>52</v>
      </c>
      <c r="H3870">
        <v>164</v>
      </c>
      <c r="I3870">
        <v>0.46800000000000003</v>
      </c>
      <c r="J3870">
        <v>0.79</v>
      </c>
      <c r="K3870">
        <v>0.32200000000000001</v>
      </c>
      <c r="L3870">
        <v>141</v>
      </c>
      <c r="M3870">
        <v>11</v>
      </c>
      <c r="N3870">
        <v>12</v>
      </c>
      <c r="O3870">
        <v>0.78100000000000003</v>
      </c>
      <c r="P3870">
        <v>0.35590742199999997</v>
      </c>
      <c r="Q3870">
        <v>0.20499999999999999</v>
      </c>
    </row>
    <row r="3871" spans="1:17" x14ac:dyDescent="0.2">
      <c r="A3871" s="30" t="str">
        <f>IF(C3871&amp;G3871&amp;D3871&lt;&gt;'Funnel setup'!$K$3&amp;'Funnel setup'!$K$4&amp;'Funnel setup'!$K$5,".",IF(A3870=".",1,A3870+1))</f>
        <v>.</v>
      </c>
      <c r="B3871" s="431" t="str">
        <f t="shared" si="60"/>
        <v>Knee Replacement PrimaryCCG of GP PracticeNHS CAMBRIDGESHIRE AND PETERBOROUGH CCG (06H)EQ-5D Index</v>
      </c>
      <c r="C3871" t="s">
        <v>249</v>
      </c>
      <c r="D3871" t="s">
        <v>87</v>
      </c>
      <c r="E3871" t="s">
        <v>713</v>
      </c>
      <c r="F3871" t="s">
        <v>714</v>
      </c>
      <c r="G3871" t="s">
        <v>52</v>
      </c>
      <c r="H3871">
        <v>541</v>
      </c>
      <c r="I3871">
        <v>0.42199999999999999</v>
      </c>
      <c r="J3871">
        <v>0.74399999999999999</v>
      </c>
      <c r="K3871">
        <v>0.32200000000000001</v>
      </c>
      <c r="L3871">
        <v>442</v>
      </c>
      <c r="M3871">
        <v>47</v>
      </c>
      <c r="N3871">
        <v>52</v>
      </c>
      <c r="O3871">
        <v>0.74</v>
      </c>
      <c r="P3871">
        <v>0.31496438599999999</v>
      </c>
      <c r="Q3871">
        <v>0.23100000000000001</v>
      </c>
    </row>
    <row r="3872" spans="1:17" x14ac:dyDescent="0.2">
      <c r="A3872" s="30" t="str">
        <f>IF(C3872&amp;G3872&amp;D3872&lt;&gt;'Funnel setup'!$K$3&amp;'Funnel setup'!$K$4&amp;'Funnel setup'!$K$5,".",IF(A3871=".",1,A3871+1))</f>
        <v>.</v>
      </c>
      <c r="B3872" s="431" t="str">
        <f t="shared" si="60"/>
        <v>Knee Replacement PrimaryCCG of GP PracticeNHS CAMDEN CCG (07R)EQ-5D Index</v>
      </c>
      <c r="C3872" t="s">
        <v>249</v>
      </c>
      <c r="D3872" t="s">
        <v>87</v>
      </c>
      <c r="E3872" t="s">
        <v>716</v>
      </c>
      <c r="F3872" t="s">
        <v>717</v>
      </c>
      <c r="G3872" t="s">
        <v>52</v>
      </c>
      <c r="H3872">
        <v>27</v>
      </c>
      <c r="I3872">
        <v>0.50600000000000001</v>
      </c>
      <c r="J3872">
        <v>0.624</v>
      </c>
      <c r="K3872">
        <v>0.11899999999999999</v>
      </c>
      <c r="L3872">
        <v>16</v>
      </c>
      <c r="M3872">
        <v>4</v>
      </c>
      <c r="N3872">
        <v>7</v>
      </c>
      <c r="O3872" t="s">
        <v>53</v>
      </c>
      <c r="P3872" t="s">
        <v>53</v>
      </c>
      <c r="Q3872" t="s">
        <v>53</v>
      </c>
    </row>
    <row r="3873" spans="1:17" x14ac:dyDescent="0.2">
      <c r="A3873" s="30" t="str">
        <f>IF(C3873&amp;G3873&amp;D3873&lt;&gt;'Funnel setup'!$K$3&amp;'Funnel setup'!$K$4&amp;'Funnel setup'!$K$5,".",IF(A3872=".",1,A3872+1))</f>
        <v>.</v>
      </c>
      <c r="B3873" s="431" t="str">
        <f t="shared" si="60"/>
        <v>Knee Replacement PrimaryCCG of GP PracticeNHS CANNOCK CHASE CCG (04Y)EQ-5D Index</v>
      </c>
      <c r="C3873" t="s">
        <v>249</v>
      </c>
      <c r="D3873" t="s">
        <v>87</v>
      </c>
      <c r="E3873" t="s">
        <v>719</v>
      </c>
      <c r="F3873" t="s">
        <v>720</v>
      </c>
      <c r="G3873" t="s">
        <v>52</v>
      </c>
      <c r="H3873">
        <v>158</v>
      </c>
      <c r="I3873">
        <v>0.38400000000000001</v>
      </c>
      <c r="J3873">
        <v>0.72599999999999998</v>
      </c>
      <c r="K3873">
        <v>0.34200000000000003</v>
      </c>
      <c r="L3873">
        <v>125</v>
      </c>
      <c r="M3873">
        <v>14</v>
      </c>
      <c r="N3873">
        <v>19</v>
      </c>
      <c r="O3873">
        <v>0.74199999999999999</v>
      </c>
      <c r="P3873">
        <v>0.31679992200000001</v>
      </c>
      <c r="Q3873">
        <v>0.223</v>
      </c>
    </row>
    <row r="3874" spans="1:17" x14ac:dyDescent="0.2">
      <c r="A3874" s="30" t="str">
        <f>IF(C3874&amp;G3874&amp;D3874&lt;&gt;'Funnel setup'!$K$3&amp;'Funnel setup'!$K$4&amp;'Funnel setup'!$K$5,".",IF(A3873=".",1,A3873+1))</f>
        <v>.</v>
      </c>
      <c r="B3874" s="431" t="str">
        <f t="shared" si="60"/>
        <v>Knee Replacement PrimaryCCG of GP PracticeNHS CANTERBURY AND COASTAL CCG (09E)EQ-5D Index</v>
      </c>
      <c r="C3874" t="s">
        <v>249</v>
      </c>
      <c r="D3874" t="s">
        <v>87</v>
      </c>
      <c r="E3874" t="s">
        <v>722</v>
      </c>
      <c r="F3874" t="s">
        <v>723</v>
      </c>
      <c r="G3874" t="s">
        <v>52</v>
      </c>
      <c r="H3874">
        <v>132</v>
      </c>
      <c r="I3874">
        <v>0.45300000000000001</v>
      </c>
      <c r="J3874">
        <v>0.78400000000000003</v>
      </c>
      <c r="K3874">
        <v>0.33100000000000002</v>
      </c>
      <c r="L3874">
        <v>113</v>
      </c>
      <c r="M3874">
        <v>9</v>
      </c>
      <c r="N3874">
        <v>10</v>
      </c>
      <c r="O3874">
        <v>0.77</v>
      </c>
      <c r="P3874">
        <v>0.34524116500000002</v>
      </c>
      <c r="Q3874">
        <v>0.20200000000000001</v>
      </c>
    </row>
    <row r="3875" spans="1:17" x14ac:dyDescent="0.2">
      <c r="A3875" s="30" t="str">
        <f>IF(C3875&amp;G3875&amp;D3875&lt;&gt;'Funnel setup'!$K$3&amp;'Funnel setup'!$K$4&amp;'Funnel setup'!$K$5,".",IF(A3874=".",1,A3874+1))</f>
        <v>.</v>
      </c>
      <c r="B3875" s="431" t="str">
        <f t="shared" si="60"/>
        <v>Knee Replacement PrimaryCCG of GP PracticeNHS CASTLE POINT AND ROCHFORD CCG (99F)EQ-5D Index</v>
      </c>
      <c r="C3875" t="s">
        <v>249</v>
      </c>
      <c r="D3875" t="s">
        <v>87</v>
      </c>
      <c r="E3875" t="s">
        <v>725</v>
      </c>
      <c r="F3875" t="s">
        <v>726</v>
      </c>
      <c r="G3875" t="s">
        <v>52</v>
      </c>
      <c r="H3875">
        <v>156</v>
      </c>
      <c r="I3875">
        <v>0.41399999999999998</v>
      </c>
      <c r="J3875">
        <v>0.74399999999999999</v>
      </c>
      <c r="K3875">
        <v>0.33</v>
      </c>
      <c r="L3875">
        <v>131</v>
      </c>
      <c r="M3875">
        <v>12</v>
      </c>
      <c r="N3875">
        <v>13</v>
      </c>
      <c r="O3875">
        <v>0.73799999999999999</v>
      </c>
      <c r="P3875">
        <v>0.31309882300000003</v>
      </c>
      <c r="Q3875">
        <v>0.20899999999999999</v>
      </c>
    </row>
    <row r="3876" spans="1:17" x14ac:dyDescent="0.2">
      <c r="A3876" s="30" t="str">
        <f>IF(C3876&amp;G3876&amp;D3876&lt;&gt;'Funnel setup'!$K$3&amp;'Funnel setup'!$K$4&amp;'Funnel setup'!$K$5,".",IF(A3875=".",1,A3875+1))</f>
        <v>.</v>
      </c>
      <c r="B3876" s="431" t="str">
        <f t="shared" si="60"/>
        <v>Knee Replacement PrimaryCCG of GP PracticeNHS CENTRAL LONDON (WESTMINSTER) CCG (09A)EQ-5D Index</v>
      </c>
      <c r="C3876" t="s">
        <v>249</v>
      </c>
      <c r="D3876" t="s">
        <v>87</v>
      </c>
      <c r="E3876" t="s">
        <v>728</v>
      </c>
      <c r="F3876" t="s">
        <v>729</v>
      </c>
      <c r="G3876" t="s">
        <v>52</v>
      </c>
      <c r="H3876">
        <v>17</v>
      </c>
      <c r="I3876">
        <v>0.25</v>
      </c>
      <c r="J3876">
        <v>0.63400000000000001</v>
      </c>
      <c r="K3876">
        <v>0.38400000000000001</v>
      </c>
      <c r="L3876">
        <v>14</v>
      </c>
      <c r="M3876">
        <v>1</v>
      </c>
      <c r="N3876">
        <v>2</v>
      </c>
      <c r="O3876" t="s">
        <v>53</v>
      </c>
      <c r="P3876" t="s">
        <v>53</v>
      </c>
      <c r="Q3876" t="s">
        <v>53</v>
      </c>
    </row>
    <row r="3877" spans="1:17" x14ac:dyDescent="0.2">
      <c r="A3877" s="30" t="str">
        <f>IF(C3877&amp;G3877&amp;D3877&lt;&gt;'Funnel setup'!$K$3&amp;'Funnel setup'!$K$4&amp;'Funnel setup'!$K$5,".",IF(A3876=".",1,A3876+1))</f>
        <v>.</v>
      </c>
      <c r="B3877" s="431" t="str">
        <f t="shared" si="60"/>
        <v>Knee Replacement PrimaryCCG of GP PracticeNHS CENTRAL MANCHESTER CCG (00W)EQ-5D Index</v>
      </c>
      <c r="C3877" t="s">
        <v>249</v>
      </c>
      <c r="D3877" t="s">
        <v>87</v>
      </c>
      <c r="E3877" t="s">
        <v>731</v>
      </c>
      <c r="F3877" t="s">
        <v>732</v>
      </c>
      <c r="G3877" t="s">
        <v>52</v>
      </c>
      <c r="H3877">
        <v>26</v>
      </c>
      <c r="I3877">
        <v>0.38700000000000001</v>
      </c>
      <c r="J3877">
        <v>0.65200000000000002</v>
      </c>
      <c r="K3877">
        <v>0.26500000000000001</v>
      </c>
      <c r="L3877">
        <v>20</v>
      </c>
      <c r="M3877">
        <v>3</v>
      </c>
      <c r="N3877">
        <v>3</v>
      </c>
      <c r="O3877" t="s">
        <v>53</v>
      </c>
      <c r="P3877" t="s">
        <v>53</v>
      </c>
      <c r="Q3877" t="s">
        <v>53</v>
      </c>
    </row>
    <row r="3878" spans="1:17" x14ac:dyDescent="0.2">
      <c r="A3878" s="30" t="str">
        <f>IF(C3878&amp;G3878&amp;D3878&lt;&gt;'Funnel setup'!$K$3&amp;'Funnel setup'!$K$4&amp;'Funnel setup'!$K$5,".",IF(A3877=".",1,A3877+1))</f>
        <v>.</v>
      </c>
      <c r="B3878" s="431" t="str">
        <f t="shared" si="60"/>
        <v>Knee Replacement PrimaryCCG of GP PracticeNHS CHILTERN CCG (10H)EQ-5D Index</v>
      </c>
      <c r="C3878" t="s">
        <v>249</v>
      </c>
      <c r="D3878" t="s">
        <v>87</v>
      </c>
      <c r="E3878" t="s">
        <v>734</v>
      </c>
      <c r="F3878" t="s">
        <v>735</v>
      </c>
      <c r="G3878" t="s">
        <v>52</v>
      </c>
      <c r="H3878">
        <v>186</v>
      </c>
      <c r="I3878">
        <v>0.45900000000000002</v>
      </c>
      <c r="J3878">
        <v>0.78600000000000003</v>
      </c>
      <c r="K3878">
        <v>0.32600000000000001</v>
      </c>
      <c r="L3878">
        <v>150</v>
      </c>
      <c r="M3878">
        <v>24</v>
      </c>
      <c r="N3878">
        <v>12</v>
      </c>
      <c r="O3878">
        <v>0.75800000000000001</v>
      </c>
      <c r="P3878">
        <v>0.33314915000000001</v>
      </c>
      <c r="Q3878">
        <v>0.19900000000000001</v>
      </c>
    </row>
    <row r="3879" spans="1:17" x14ac:dyDescent="0.2">
      <c r="A3879" s="30" t="str">
        <f>IF(C3879&amp;G3879&amp;D3879&lt;&gt;'Funnel setup'!$K$3&amp;'Funnel setup'!$K$4&amp;'Funnel setup'!$K$5,".",IF(A3878=".",1,A3878+1))</f>
        <v>.</v>
      </c>
      <c r="B3879" s="431" t="str">
        <f t="shared" si="60"/>
        <v>Knee Replacement PrimaryCCG of GP PracticeNHS CHORLEY AND SOUTH RIBBLE CCG (00X)EQ-5D Index</v>
      </c>
      <c r="C3879" t="s">
        <v>249</v>
      </c>
      <c r="D3879" t="s">
        <v>87</v>
      </c>
      <c r="E3879" t="s">
        <v>737</v>
      </c>
      <c r="F3879" t="s">
        <v>738</v>
      </c>
      <c r="G3879" t="s">
        <v>52</v>
      </c>
      <c r="H3879">
        <v>194</v>
      </c>
      <c r="I3879">
        <v>0.45600000000000002</v>
      </c>
      <c r="J3879">
        <v>0.75600000000000001</v>
      </c>
      <c r="K3879">
        <v>0.3</v>
      </c>
      <c r="L3879">
        <v>153</v>
      </c>
      <c r="M3879">
        <v>18</v>
      </c>
      <c r="N3879">
        <v>23</v>
      </c>
      <c r="O3879">
        <v>0.74</v>
      </c>
      <c r="P3879">
        <v>0.31467326800000001</v>
      </c>
      <c r="Q3879">
        <v>0.214</v>
      </c>
    </row>
    <row r="3880" spans="1:17" x14ac:dyDescent="0.2">
      <c r="A3880" s="30" t="str">
        <f>IF(C3880&amp;G3880&amp;D3880&lt;&gt;'Funnel setup'!$K$3&amp;'Funnel setup'!$K$4&amp;'Funnel setup'!$K$5,".",IF(A3879=".",1,A3879+1))</f>
        <v>.</v>
      </c>
      <c r="B3880" s="431" t="str">
        <f t="shared" si="60"/>
        <v>Knee Replacement PrimaryCCG of GP PracticeNHS CITY AND HACKNEY CCG (07T)EQ-5D Index</v>
      </c>
      <c r="C3880" t="s">
        <v>249</v>
      </c>
      <c r="D3880" t="s">
        <v>87</v>
      </c>
      <c r="E3880" t="s">
        <v>740</v>
      </c>
      <c r="F3880" t="s">
        <v>741</v>
      </c>
      <c r="G3880" t="s">
        <v>52</v>
      </c>
      <c r="H3880">
        <v>48</v>
      </c>
      <c r="I3880">
        <v>0.40100000000000002</v>
      </c>
      <c r="J3880">
        <v>0.57399999999999995</v>
      </c>
      <c r="K3880">
        <v>0.17199999999999999</v>
      </c>
      <c r="L3880">
        <v>27</v>
      </c>
      <c r="M3880">
        <v>6</v>
      </c>
      <c r="N3880">
        <v>15</v>
      </c>
      <c r="O3880">
        <v>0.65900000000000003</v>
      </c>
      <c r="P3880">
        <v>0.23400390300000001</v>
      </c>
      <c r="Q3880">
        <v>0.28999999999999998</v>
      </c>
    </row>
    <row r="3881" spans="1:17" x14ac:dyDescent="0.2">
      <c r="A3881" s="30" t="str">
        <f>IF(C3881&amp;G3881&amp;D3881&lt;&gt;'Funnel setup'!$K$3&amp;'Funnel setup'!$K$4&amp;'Funnel setup'!$K$5,".",IF(A3880=".",1,A3880+1))</f>
        <v>.</v>
      </c>
      <c r="B3881" s="431" t="str">
        <f t="shared" si="60"/>
        <v>Knee Replacement PrimaryCCG of GP PracticeNHS COASTAL WEST SUSSEX CCG (09G)EQ-5D Index</v>
      </c>
      <c r="C3881" t="s">
        <v>249</v>
      </c>
      <c r="D3881" t="s">
        <v>87</v>
      </c>
      <c r="E3881" t="s">
        <v>743</v>
      </c>
      <c r="F3881" t="s">
        <v>744</v>
      </c>
      <c r="G3881" t="s">
        <v>52</v>
      </c>
      <c r="H3881">
        <v>401</v>
      </c>
      <c r="I3881">
        <v>0.441</v>
      </c>
      <c r="J3881">
        <v>0.73799999999999999</v>
      </c>
      <c r="K3881">
        <v>0.29699999999999999</v>
      </c>
      <c r="L3881">
        <v>319</v>
      </c>
      <c r="M3881">
        <v>35</v>
      </c>
      <c r="N3881">
        <v>47</v>
      </c>
      <c r="O3881">
        <v>0.72499999999999998</v>
      </c>
      <c r="P3881">
        <v>0.29987888000000001</v>
      </c>
      <c r="Q3881">
        <v>0.23100000000000001</v>
      </c>
    </row>
    <row r="3882" spans="1:17" x14ac:dyDescent="0.2">
      <c r="A3882" s="30" t="str">
        <f>IF(C3882&amp;G3882&amp;D3882&lt;&gt;'Funnel setup'!$K$3&amp;'Funnel setup'!$K$4&amp;'Funnel setup'!$K$5,".",IF(A3881=".",1,A3881+1))</f>
        <v>.</v>
      </c>
      <c r="B3882" s="431" t="str">
        <f t="shared" si="60"/>
        <v>Knee Replacement PrimaryCCG of GP PracticeNHS CORBY CCG (03V)EQ-5D Index</v>
      </c>
      <c r="C3882" t="s">
        <v>249</v>
      </c>
      <c r="D3882" t="s">
        <v>87</v>
      </c>
      <c r="E3882" t="s">
        <v>746</v>
      </c>
      <c r="F3882" t="s">
        <v>747</v>
      </c>
      <c r="G3882" t="s">
        <v>52</v>
      </c>
      <c r="H3882">
        <v>33</v>
      </c>
      <c r="I3882">
        <v>0.36599999999999999</v>
      </c>
      <c r="J3882">
        <v>0.67300000000000004</v>
      </c>
      <c r="K3882">
        <v>0.307</v>
      </c>
      <c r="L3882">
        <v>26</v>
      </c>
      <c r="M3882">
        <v>4</v>
      </c>
      <c r="N3882">
        <v>3</v>
      </c>
      <c r="O3882">
        <v>0.71699999999999997</v>
      </c>
      <c r="P3882">
        <v>0.29181711900000001</v>
      </c>
      <c r="Q3882">
        <v>0.217</v>
      </c>
    </row>
    <row r="3883" spans="1:17" x14ac:dyDescent="0.2">
      <c r="A3883" s="30" t="str">
        <f>IF(C3883&amp;G3883&amp;D3883&lt;&gt;'Funnel setup'!$K$3&amp;'Funnel setup'!$K$4&amp;'Funnel setup'!$K$5,".",IF(A3882=".",1,A3882+1))</f>
        <v>.</v>
      </c>
      <c r="B3883" s="431" t="str">
        <f t="shared" si="60"/>
        <v>Knee Replacement PrimaryCCG of GP PracticeNHS COVENTRY AND RUGBY CCG (05A)EQ-5D Index</v>
      </c>
      <c r="C3883" t="s">
        <v>249</v>
      </c>
      <c r="D3883" t="s">
        <v>87</v>
      </c>
      <c r="E3883" t="s">
        <v>749</v>
      </c>
      <c r="F3883" t="s">
        <v>750</v>
      </c>
      <c r="G3883" t="s">
        <v>52</v>
      </c>
      <c r="H3883">
        <v>312</v>
      </c>
      <c r="I3883">
        <v>0.433</v>
      </c>
      <c r="J3883">
        <v>0.72599999999999998</v>
      </c>
      <c r="K3883">
        <v>0.29299999999999998</v>
      </c>
      <c r="L3883">
        <v>233</v>
      </c>
      <c r="M3883">
        <v>42</v>
      </c>
      <c r="N3883">
        <v>37</v>
      </c>
      <c r="O3883">
        <v>0.72799999999999998</v>
      </c>
      <c r="P3883">
        <v>0.30309569200000003</v>
      </c>
      <c r="Q3883">
        <v>0.23400000000000001</v>
      </c>
    </row>
    <row r="3884" spans="1:17" x14ac:dyDescent="0.2">
      <c r="A3884" s="30" t="str">
        <f>IF(C3884&amp;G3884&amp;D3884&lt;&gt;'Funnel setup'!$K$3&amp;'Funnel setup'!$K$4&amp;'Funnel setup'!$K$5,".",IF(A3883=".",1,A3883+1))</f>
        <v>.</v>
      </c>
      <c r="B3884" s="431" t="str">
        <f t="shared" si="60"/>
        <v>Knee Replacement PrimaryCCG of GP PracticeNHS CRAWLEY CCG (09H)EQ-5D Index</v>
      </c>
      <c r="C3884" t="s">
        <v>249</v>
      </c>
      <c r="D3884" t="s">
        <v>87</v>
      </c>
      <c r="E3884" t="s">
        <v>752</v>
      </c>
      <c r="F3884" t="s">
        <v>753</v>
      </c>
      <c r="G3884" t="s">
        <v>52</v>
      </c>
      <c r="H3884">
        <v>73</v>
      </c>
      <c r="I3884">
        <v>0.46500000000000002</v>
      </c>
      <c r="J3884">
        <v>0.69599999999999995</v>
      </c>
      <c r="K3884">
        <v>0.23100000000000001</v>
      </c>
      <c r="L3884">
        <v>58</v>
      </c>
      <c r="M3884">
        <v>8</v>
      </c>
      <c r="N3884">
        <v>7</v>
      </c>
      <c r="O3884">
        <v>0.68100000000000005</v>
      </c>
      <c r="P3884">
        <v>0.25614649099999998</v>
      </c>
      <c r="Q3884">
        <v>0.20899999999999999</v>
      </c>
    </row>
    <row r="3885" spans="1:17" x14ac:dyDescent="0.2">
      <c r="A3885" s="30" t="str">
        <f>IF(C3885&amp;G3885&amp;D3885&lt;&gt;'Funnel setup'!$K$3&amp;'Funnel setup'!$K$4&amp;'Funnel setup'!$K$5,".",IF(A3884=".",1,A3884+1))</f>
        <v>.</v>
      </c>
      <c r="B3885" s="431" t="str">
        <f t="shared" si="60"/>
        <v>Knee Replacement PrimaryCCG of GP PracticeNHS CROYDON CCG (07V)EQ-5D Index</v>
      </c>
      <c r="C3885" t="s">
        <v>249</v>
      </c>
      <c r="D3885" t="s">
        <v>87</v>
      </c>
      <c r="E3885" t="s">
        <v>755</v>
      </c>
      <c r="F3885" t="s">
        <v>756</v>
      </c>
      <c r="G3885" t="s">
        <v>52</v>
      </c>
      <c r="H3885">
        <v>116</v>
      </c>
      <c r="I3885">
        <v>0.439</v>
      </c>
      <c r="J3885">
        <v>0.67600000000000005</v>
      </c>
      <c r="K3885">
        <v>0.23599999999999999</v>
      </c>
      <c r="L3885">
        <v>82</v>
      </c>
      <c r="M3885">
        <v>18</v>
      </c>
      <c r="N3885">
        <v>16</v>
      </c>
      <c r="O3885">
        <v>0.67800000000000005</v>
      </c>
      <c r="P3885">
        <v>0.25266625599999998</v>
      </c>
      <c r="Q3885">
        <v>0.23300000000000001</v>
      </c>
    </row>
    <row r="3886" spans="1:17" x14ac:dyDescent="0.2">
      <c r="A3886" s="30" t="str">
        <f>IF(C3886&amp;G3886&amp;D3886&lt;&gt;'Funnel setup'!$K$3&amp;'Funnel setup'!$K$4&amp;'Funnel setup'!$K$5,".",IF(A3885=".",1,A3885+1))</f>
        <v>.</v>
      </c>
      <c r="B3886" s="431" t="str">
        <f t="shared" si="60"/>
        <v>Knee Replacement PrimaryCCG of GP PracticeNHS CUMBRIA CCG (01H)EQ-5D Index</v>
      </c>
      <c r="C3886" t="s">
        <v>249</v>
      </c>
      <c r="D3886" t="s">
        <v>87</v>
      </c>
      <c r="E3886" t="s">
        <v>758</v>
      </c>
      <c r="F3886" t="s">
        <v>759</v>
      </c>
      <c r="G3886" t="s">
        <v>52</v>
      </c>
      <c r="H3886">
        <v>660</v>
      </c>
      <c r="I3886">
        <v>0.45100000000000001</v>
      </c>
      <c r="J3886">
        <v>0.76700000000000002</v>
      </c>
      <c r="K3886">
        <v>0.316</v>
      </c>
      <c r="L3886">
        <v>549</v>
      </c>
      <c r="M3886">
        <v>54</v>
      </c>
      <c r="N3886">
        <v>57</v>
      </c>
      <c r="O3886">
        <v>0.76400000000000001</v>
      </c>
      <c r="P3886">
        <v>0.33881262000000001</v>
      </c>
      <c r="Q3886">
        <v>0.21299999999999999</v>
      </c>
    </row>
    <row r="3887" spans="1:17" x14ac:dyDescent="0.2">
      <c r="A3887" s="30" t="str">
        <f>IF(C3887&amp;G3887&amp;D3887&lt;&gt;'Funnel setup'!$K$3&amp;'Funnel setup'!$K$4&amp;'Funnel setup'!$K$5,".",IF(A3886=".",1,A3886+1))</f>
        <v>.</v>
      </c>
      <c r="B3887" s="431" t="str">
        <f t="shared" si="60"/>
        <v>Knee Replacement PrimaryCCG of GP PracticeNHS DARLINGTON CCG (00C)EQ-5D Index</v>
      </c>
      <c r="C3887" t="s">
        <v>249</v>
      </c>
      <c r="D3887" t="s">
        <v>87</v>
      </c>
      <c r="E3887" t="s">
        <v>761</v>
      </c>
      <c r="F3887" t="s">
        <v>762</v>
      </c>
      <c r="G3887" t="s">
        <v>52</v>
      </c>
      <c r="H3887">
        <v>72</v>
      </c>
      <c r="I3887">
        <v>0.432</v>
      </c>
      <c r="J3887">
        <v>0.68300000000000005</v>
      </c>
      <c r="K3887">
        <v>0.251</v>
      </c>
      <c r="L3887">
        <v>52</v>
      </c>
      <c r="M3887">
        <v>13</v>
      </c>
      <c r="N3887">
        <v>7</v>
      </c>
      <c r="O3887">
        <v>0.70099999999999996</v>
      </c>
      <c r="P3887">
        <v>0.27631432299999997</v>
      </c>
      <c r="Q3887">
        <v>0.25800000000000001</v>
      </c>
    </row>
    <row r="3888" spans="1:17" x14ac:dyDescent="0.2">
      <c r="A3888" s="30" t="str">
        <f>IF(C3888&amp;G3888&amp;D3888&lt;&gt;'Funnel setup'!$K$3&amp;'Funnel setup'!$K$4&amp;'Funnel setup'!$K$5,".",IF(A3887=".",1,A3887+1))</f>
        <v>.</v>
      </c>
      <c r="B3888" s="431" t="str">
        <f t="shared" si="60"/>
        <v>Knee Replacement PrimaryCCG of GP PracticeNHS DARTFORD, GRAVESHAM AND SWANLEY CCG (09J)EQ-5D Index</v>
      </c>
      <c r="C3888" t="s">
        <v>249</v>
      </c>
      <c r="D3888" t="s">
        <v>87</v>
      </c>
      <c r="E3888" t="s">
        <v>764</v>
      </c>
      <c r="F3888" t="s">
        <v>765</v>
      </c>
      <c r="G3888" t="s">
        <v>52</v>
      </c>
      <c r="H3888">
        <v>169</v>
      </c>
      <c r="I3888">
        <v>0.41499999999999998</v>
      </c>
      <c r="J3888">
        <v>0.75900000000000001</v>
      </c>
      <c r="K3888">
        <v>0.34399999999999997</v>
      </c>
      <c r="L3888">
        <v>149</v>
      </c>
      <c r="M3888">
        <v>12</v>
      </c>
      <c r="N3888">
        <v>8</v>
      </c>
      <c r="O3888">
        <v>0.75800000000000001</v>
      </c>
      <c r="P3888">
        <v>0.33336280699999998</v>
      </c>
      <c r="Q3888">
        <v>0.19700000000000001</v>
      </c>
    </row>
    <row r="3889" spans="1:17" x14ac:dyDescent="0.2">
      <c r="A3889" s="30" t="str">
        <f>IF(C3889&amp;G3889&amp;D3889&lt;&gt;'Funnel setup'!$K$3&amp;'Funnel setup'!$K$4&amp;'Funnel setup'!$K$5,".",IF(A3888=".",1,A3888+1))</f>
        <v>.</v>
      </c>
      <c r="B3889" s="431" t="str">
        <f t="shared" si="60"/>
        <v>Knee Replacement PrimaryCCG of GP PracticeNHS DONCASTER CCG (02X)EQ-5D Index</v>
      </c>
      <c r="C3889" t="s">
        <v>249</v>
      </c>
      <c r="D3889" t="s">
        <v>87</v>
      </c>
      <c r="E3889" t="s">
        <v>767</v>
      </c>
      <c r="F3889" t="s">
        <v>768</v>
      </c>
      <c r="G3889" t="s">
        <v>52</v>
      </c>
      <c r="H3889">
        <v>267</v>
      </c>
      <c r="I3889">
        <v>0.40300000000000002</v>
      </c>
      <c r="J3889">
        <v>0.68799999999999994</v>
      </c>
      <c r="K3889">
        <v>0.28499999999999998</v>
      </c>
      <c r="L3889">
        <v>200</v>
      </c>
      <c r="M3889">
        <v>36</v>
      </c>
      <c r="N3889">
        <v>31</v>
      </c>
      <c r="O3889">
        <v>0.70799999999999996</v>
      </c>
      <c r="P3889">
        <v>0.282874758</v>
      </c>
      <c r="Q3889">
        <v>0.24199999999999999</v>
      </c>
    </row>
    <row r="3890" spans="1:17" x14ac:dyDescent="0.2">
      <c r="A3890" s="30" t="str">
        <f>IF(C3890&amp;G3890&amp;D3890&lt;&gt;'Funnel setup'!$K$3&amp;'Funnel setup'!$K$4&amp;'Funnel setup'!$K$5,".",IF(A3889=".",1,A3889+1))</f>
        <v>.</v>
      </c>
      <c r="B3890" s="431" t="str">
        <f t="shared" si="60"/>
        <v>Knee Replacement PrimaryCCG of GP PracticeNHS DORSET CCG (11J)EQ-5D Index</v>
      </c>
      <c r="C3890" t="s">
        <v>249</v>
      </c>
      <c r="D3890" t="s">
        <v>87</v>
      </c>
      <c r="E3890" t="s">
        <v>854</v>
      </c>
      <c r="F3890" t="s">
        <v>855</v>
      </c>
      <c r="G3890" t="s">
        <v>52</v>
      </c>
      <c r="H3890">
        <v>643</v>
      </c>
      <c r="I3890">
        <v>0.46400000000000002</v>
      </c>
      <c r="J3890">
        <v>0.755</v>
      </c>
      <c r="K3890">
        <v>0.29099999999999998</v>
      </c>
      <c r="L3890">
        <v>520</v>
      </c>
      <c r="M3890">
        <v>63</v>
      </c>
      <c r="N3890">
        <v>60</v>
      </c>
      <c r="O3890">
        <v>0.73899999999999999</v>
      </c>
      <c r="P3890">
        <v>0.31375267099999998</v>
      </c>
      <c r="Q3890">
        <v>0.218</v>
      </c>
    </row>
    <row r="3891" spans="1:17" x14ac:dyDescent="0.2">
      <c r="A3891" s="30" t="str">
        <f>IF(C3891&amp;G3891&amp;D3891&lt;&gt;'Funnel setup'!$K$3&amp;'Funnel setup'!$K$4&amp;'Funnel setup'!$K$5,".",IF(A3890=".",1,A3890+1))</f>
        <v>.</v>
      </c>
      <c r="B3891" s="431" t="str">
        <f t="shared" si="60"/>
        <v>Knee Replacement PrimaryCCG of GP PracticeNHS DUDLEY CCG (05C)EQ-5D Index</v>
      </c>
      <c r="C3891" t="s">
        <v>249</v>
      </c>
      <c r="D3891" t="s">
        <v>87</v>
      </c>
      <c r="E3891" t="s">
        <v>857</v>
      </c>
      <c r="F3891" t="s">
        <v>858</v>
      </c>
      <c r="G3891" t="s">
        <v>52</v>
      </c>
      <c r="H3891">
        <v>308</v>
      </c>
      <c r="I3891">
        <v>0.377</v>
      </c>
      <c r="J3891">
        <v>0.73699999999999999</v>
      </c>
      <c r="K3891">
        <v>0.36</v>
      </c>
      <c r="L3891">
        <v>261</v>
      </c>
      <c r="M3891">
        <v>24</v>
      </c>
      <c r="N3891">
        <v>23</v>
      </c>
      <c r="O3891">
        <v>0.75800000000000001</v>
      </c>
      <c r="P3891">
        <v>0.33275659099999999</v>
      </c>
      <c r="Q3891">
        <v>0.22700000000000001</v>
      </c>
    </row>
    <row r="3892" spans="1:17" x14ac:dyDescent="0.2">
      <c r="A3892" s="30" t="str">
        <f>IF(C3892&amp;G3892&amp;D3892&lt;&gt;'Funnel setup'!$K$3&amp;'Funnel setup'!$K$4&amp;'Funnel setup'!$K$5,".",IF(A3891=".",1,A3891+1))</f>
        <v>.</v>
      </c>
      <c r="B3892" s="431" t="str">
        <f t="shared" si="60"/>
        <v>Knee Replacement PrimaryCCG of GP PracticeNHS DURHAM DALES, EASINGTON AND SEDGEFIELD CCG (00D)EQ-5D Index</v>
      </c>
      <c r="C3892" t="s">
        <v>249</v>
      </c>
      <c r="D3892" t="s">
        <v>87</v>
      </c>
      <c r="E3892" t="s">
        <v>860</v>
      </c>
      <c r="F3892" t="s">
        <v>861</v>
      </c>
      <c r="G3892" t="s">
        <v>52</v>
      </c>
      <c r="H3892">
        <v>270</v>
      </c>
      <c r="I3892">
        <v>0.38900000000000001</v>
      </c>
      <c r="J3892">
        <v>0.70399999999999996</v>
      </c>
      <c r="K3892">
        <v>0.316</v>
      </c>
      <c r="L3892">
        <v>219</v>
      </c>
      <c r="M3892">
        <v>28</v>
      </c>
      <c r="N3892">
        <v>23</v>
      </c>
      <c r="O3892">
        <v>0.746</v>
      </c>
      <c r="P3892">
        <v>0.32127587400000002</v>
      </c>
      <c r="Q3892">
        <v>0.23699999999999999</v>
      </c>
    </row>
    <row r="3893" spans="1:17" x14ac:dyDescent="0.2">
      <c r="A3893" s="30" t="str">
        <f>IF(C3893&amp;G3893&amp;D3893&lt;&gt;'Funnel setup'!$K$3&amp;'Funnel setup'!$K$4&amp;'Funnel setup'!$K$5,".",IF(A3892=".",1,A3892+1))</f>
        <v>.</v>
      </c>
      <c r="B3893" s="431" t="str">
        <f t="shared" si="60"/>
        <v>Knee Replacement PrimaryCCG of GP PracticeNHS EALING CCG (07W)EQ-5D Index</v>
      </c>
      <c r="C3893" t="s">
        <v>249</v>
      </c>
      <c r="D3893" t="s">
        <v>87</v>
      </c>
      <c r="E3893" t="s">
        <v>863</v>
      </c>
      <c r="F3893" t="s">
        <v>864</v>
      </c>
      <c r="G3893" t="s">
        <v>52</v>
      </c>
      <c r="H3893">
        <v>82</v>
      </c>
      <c r="I3893">
        <v>0.32200000000000001</v>
      </c>
      <c r="J3893">
        <v>0.66100000000000003</v>
      </c>
      <c r="K3893">
        <v>0.33900000000000002</v>
      </c>
      <c r="L3893">
        <v>70</v>
      </c>
      <c r="M3893">
        <v>3</v>
      </c>
      <c r="N3893">
        <v>9</v>
      </c>
      <c r="O3893">
        <v>0.71</v>
      </c>
      <c r="P3893">
        <v>0.28462526500000002</v>
      </c>
      <c r="Q3893">
        <v>0.23899999999999999</v>
      </c>
    </row>
    <row r="3894" spans="1:17" x14ac:dyDescent="0.2">
      <c r="A3894" s="30" t="str">
        <f>IF(C3894&amp;G3894&amp;D3894&lt;&gt;'Funnel setup'!$K$3&amp;'Funnel setup'!$K$4&amp;'Funnel setup'!$K$5,".",IF(A3893=".",1,A3893+1))</f>
        <v>.</v>
      </c>
      <c r="B3894" s="431" t="str">
        <f t="shared" si="60"/>
        <v>Knee Replacement PrimaryCCG of GP PracticeNHS EAST AND NORTH HERTFORDSHIRE CCG (06K)EQ-5D Index</v>
      </c>
      <c r="C3894" t="s">
        <v>249</v>
      </c>
      <c r="D3894" t="s">
        <v>87</v>
      </c>
      <c r="E3894" t="s">
        <v>866</v>
      </c>
      <c r="F3894" t="s">
        <v>867</v>
      </c>
      <c r="G3894" t="s">
        <v>52</v>
      </c>
      <c r="H3894">
        <v>316</v>
      </c>
      <c r="I3894">
        <v>0.39300000000000002</v>
      </c>
      <c r="J3894">
        <v>0.74</v>
      </c>
      <c r="K3894">
        <v>0.34699999999999998</v>
      </c>
      <c r="L3894">
        <v>261</v>
      </c>
      <c r="M3894">
        <v>28</v>
      </c>
      <c r="N3894">
        <v>27</v>
      </c>
      <c r="O3894">
        <v>0.73199999999999998</v>
      </c>
      <c r="P3894">
        <v>0.30682962200000002</v>
      </c>
      <c r="Q3894">
        <v>0.24199999999999999</v>
      </c>
    </row>
    <row r="3895" spans="1:17" x14ac:dyDescent="0.2">
      <c r="A3895" s="30" t="str">
        <f>IF(C3895&amp;G3895&amp;D3895&lt;&gt;'Funnel setup'!$K$3&amp;'Funnel setup'!$K$4&amp;'Funnel setup'!$K$5,".",IF(A3894=".",1,A3894+1))</f>
        <v>.</v>
      </c>
      <c r="B3895" s="431" t="str">
        <f t="shared" si="60"/>
        <v>Knee Replacement PrimaryCCG of GP PracticeNHS EAST LANCASHIRE CCG (01A)EQ-5D Index</v>
      </c>
      <c r="C3895" t="s">
        <v>249</v>
      </c>
      <c r="D3895" t="s">
        <v>87</v>
      </c>
      <c r="E3895" t="s">
        <v>869</v>
      </c>
      <c r="F3895" t="s">
        <v>870</v>
      </c>
      <c r="G3895" t="s">
        <v>52</v>
      </c>
      <c r="H3895">
        <v>187</v>
      </c>
      <c r="I3895">
        <v>0.36199999999999999</v>
      </c>
      <c r="J3895">
        <v>0.76500000000000001</v>
      </c>
      <c r="K3895">
        <v>0.40200000000000002</v>
      </c>
      <c r="L3895">
        <v>164</v>
      </c>
      <c r="M3895">
        <v>14</v>
      </c>
      <c r="N3895">
        <v>9</v>
      </c>
      <c r="O3895">
        <v>0.78900000000000003</v>
      </c>
      <c r="P3895">
        <v>0.36392495699999999</v>
      </c>
      <c r="Q3895">
        <v>0.215</v>
      </c>
    </row>
    <row r="3896" spans="1:17" x14ac:dyDescent="0.2">
      <c r="A3896" s="30" t="str">
        <f>IF(C3896&amp;G3896&amp;D3896&lt;&gt;'Funnel setup'!$K$3&amp;'Funnel setup'!$K$4&amp;'Funnel setup'!$K$5,".",IF(A3895=".",1,A3895+1))</f>
        <v>.</v>
      </c>
      <c r="B3896" s="431" t="str">
        <f t="shared" si="60"/>
        <v>Knee Replacement PrimaryCCG of GP PracticeNHS EAST LEICESTERSHIRE AND RUTLAND CCG (03W)EQ-5D Index</v>
      </c>
      <c r="C3896" t="s">
        <v>249</v>
      </c>
      <c r="D3896" t="s">
        <v>87</v>
      </c>
      <c r="E3896" t="s">
        <v>872</v>
      </c>
      <c r="F3896" t="s">
        <v>873</v>
      </c>
      <c r="G3896" t="s">
        <v>52</v>
      </c>
      <c r="H3896">
        <v>339</v>
      </c>
      <c r="I3896">
        <v>0.41199999999999998</v>
      </c>
      <c r="J3896">
        <v>0.75900000000000001</v>
      </c>
      <c r="K3896">
        <v>0.34599999999999997</v>
      </c>
      <c r="L3896">
        <v>289</v>
      </c>
      <c r="M3896">
        <v>30</v>
      </c>
      <c r="N3896">
        <v>20</v>
      </c>
      <c r="O3896">
        <v>0.752</v>
      </c>
      <c r="P3896">
        <v>0.327480508</v>
      </c>
      <c r="Q3896">
        <v>0.183</v>
      </c>
    </row>
    <row r="3897" spans="1:17" x14ac:dyDescent="0.2">
      <c r="A3897" s="30" t="str">
        <f>IF(C3897&amp;G3897&amp;D3897&lt;&gt;'Funnel setup'!$K$3&amp;'Funnel setup'!$K$4&amp;'Funnel setup'!$K$5,".",IF(A3896=".",1,A3896+1))</f>
        <v>.</v>
      </c>
      <c r="B3897" s="431" t="str">
        <f t="shared" si="60"/>
        <v>Knee Replacement PrimaryCCG of GP PracticeNHS EAST RIDING OF YORKSHIRE CCG (02Y)EQ-5D Index</v>
      </c>
      <c r="C3897" t="s">
        <v>249</v>
      </c>
      <c r="D3897" t="s">
        <v>87</v>
      </c>
      <c r="E3897" t="s">
        <v>875</v>
      </c>
      <c r="F3897" t="s">
        <v>876</v>
      </c>
      <c r="G3897" t="s">
        <v>52</v>
      </c>
      <c r="H3897">
        <v>360</v>
      </c>
      <c r="I3897">
        <v>0.47199999999999998</v>
      </c>
      <c r="J3897">
        <v>0.76800000000000002</v>
      </c>
      <c r="K3897">
        <v>0.29599999999999999</v>
      </c>
      <c r="L3897">
        <v>289</v>
      </c>
      <c r="M3897">
        <v>37</v>
      </c>
      <c r="N3897">
        <v>34</v>
      </c>
      <c r="O3897">
        <v>0.747</v>
      </c>
      <c r="P3897">
        <v>0.32196545900000001</v>
      </c>
      <c r="Q3897">
        <v>0.21199999999999999</v>
      </c>
    </row>
    <row r="3898" spans="1:17" x14ac:dyDescent="0.2">
      <c r="A3898" s="30" t="str">
        <f>IF(C3898&amp;G3898&amp;D3898&lt;&gt;'Funnel setup'!$K$3&amp;'Funnel setup'!$K$4&amp;'Funnel setup'!$K$5,".",IF(A3897=".",1,A3897+1))</f>
        <v>.</v>
      </c>
      <c r="B3898" s="431" t="str">
        <f t="shared" si="60"/>
        <v>Knee Replacement PrimaryCCG of GP PracticeNHS EAST STAFFORDSHIRE CCG (05D)EQ-5D Index</v>
      </c>
      <c r="C3898" t="s">
        <v>249</v>
      </c>
      <c r="D3898" t="s">
        <v>87</v>
      </c>
      <c r="E3898" t="s">
        <v>878</v>
      </c>
      <c r="F3898" t="s">
        <v>879</v>
      </c>
      <c r="G3898" t="s">
        <v>52</v>
      </c>
      <c r="H3898">
        <v>134</v>
      </c>
      <c r="I3898">
        <v>0.47599999999999998</v>
      </c>
      <c r="J3898">
        <v>0.76100000000000001</v>
      </c>
      <c r="K3898">
        <v>0.28499999999999998</v>
      </c>
      <c r="L3898">
        <v>102</v>
      </c>
      <c r="M3898">
        <v>19</v>
      </c>
      <c r="N3898">
        <v>13</v>
      </c>
      <c r="O3898">
        <v>0.73499999999999999</v>
      </c>
      <c r="P3898">
        <v>0.30993533099999998</v>
      </c>
      <c r="Q3898">
        <v>0.221</v>
      </c>
    </row>
    <row r="3899" spans="1:17" x14ac:dyDescent="0.2">
      <c r="A3899" s="30" t="str">
        <f>IF(C3899&amp;G3899&amp;D3899&lt;&gt;'Funnel setup'!$K$3&amp;'Funnel setup'!$K$4&amp;'Funnel setup'!$K$5,".",IF(A3898=".",1,A3898+1))</f>
        <v>.</v>
      </c>
      <c r="B3899" s="431" t="str">
        <f t="shared" si="60"/>
        <v>Knee Replacement PrimaryCCG of GP PracticeNHS EAST SURREY CCG (09L)EQ-5D Index</v>
      </c>
      <c r="C3899" t="s">
        <v>249</v>
      </c>
      <c r="D3899" t="s">
        <v>87</v>
      </c>
      <c r="E3899" t="s">
        <v>881</v>
      </c>
      <c r="F3899" t="s">
        <v>882</v>
      </c>
      <c r="G3899" t="s">
        <v>52</v>
      </c>
      <c r="H3899">
        <v>119</v>
      </c>
      <c r="I3899">
        <v>0.45600000000000002</v>
      </c>
      <c r="J3899">
        <v>0.72299999999999998</v>
      </c>
      <c r="K3899">
        <v>0.26700000000000002</v>
      </c>
      <c r="L3899">
        <v>90</v>
      </c>
      <c r="M3899">
        <v>18</v>
      </c>
      <c r="N3899">
        <v>11</v>
      </c>
      <c r="O3899">
        <v>0.70599999999999996</v>
      </c>
      <c r="P3899">
        <v>0.28074576899999998</v>
      </c>
      <c r="Q3899">
        <v>0.22</v>
      </c>
    </row>
    <row r="3900" spans="1:17" x14ac:dyDescent="0.2">
      <c r="A3900" s="30" t="str">
        <f>IF(C3900&amp;G3900&amp;D3900&lt;&gt;'Funnel setup'!$K$3&amp;'Funnel setup'!$K$4&amp;'Funnel setup'!$K$5,".",IF(A3899=".",1,A3899+1))</f>
        <v>.</v>
      </c>
      <c r="B3900" s="431" t="str">
        <f t="shared" si="60"/>
        <v>Knee Replacement PrimaryCCG of GP PracticeNHS EASTBOURNE, HAILSHAM AND SEAFORD CCG (09F)EQ-5D Index</v>
      </c>
      <c r="C3900" t="s">
        <v>249</v>
      </c>
      <c r="D3900" t="s">
        <v>87</v>
      </c>
      <c r="E3900" t="s">
        <v>884</v>
      </c>
      <c r="F3900" t="s">
        <v>885</v>
      </c>
      <c r="G3900" t="s">
        <v>52</v>
      </c>
      <c r="H3900">
        <v>308</v>
      </c>
      <c r="I3900">
        <v>0.48799999999999999</v>
      </c>
      <c r="J3900">
        <v>0.78100000000000003</v>
      </c>
      <c r="K3900">
        <v>0.29299999999999998</v>
      </c>
      <c r="L3900">
        <v>254</v>
      </c>
      <c r="M3900">
        <v>26</v>
      </c>
      <c r="N3900">
        <v>28</v>
      </c>
      <c r="O3900">
        <v>0.75800000000000001</v>
      </c>
      <c r="P3900">
        <v>0.33340451300000001</v>
      </c>
      <c r="Q3900">
        <v>0.19700000000000001</v>
      </c>
    </row>
    <row r="3901" spans="1:17" x14ac:dyDescent="0.2">
      <c r="A3901" s="30" t="str">
        <f>IF(C3901&amp;G3901&amp;D3901&lt;&gt;'Funnel setup'!$K$3&amp;'Funnel setup'!$K$4&amp;'Funnel setup'!$K$5,".",IF(A3900=".",1,A3900+1))</f>
        <v>.</v>
      </c>
      <c r="B3901" s="431" t="str">
        <f t="shared" si="60"/>
        <v>Knee Replacement PrimaryCCG of GP PracticeNHS EASTERN CHESHIRE CCG (01C)EQ-5D Index</v>
      </c>
      <c r="C3901" t="s">
        <v>249</v>
      </c>
      <c r="D3901" t="s">
        <v>87</v>
      </c>
      <c r="E3901" t="s">
        <v>887</v>
      </c>
      <c r="F3901" t="s">
        <v>888</v>
      </c>
      <c r="G3901" t="s">
        <v>52</v>
      </c>
      <c r="H3901">
        <v>122</v>
      </c>
      <c r="I3901">
        <v>0.44700000000000001</v>
      </c>
      <c r="J3901">
        <v>0.77</v>
      </c>
      <c r="K3901">
        <v>0.32300000000000001</v>
      </c>
      <c r="L3901">
        <v>100</v>
      </c>
      <c r="M3901">
        <v>13</v>
      </c>
      <c r="N3901">
        <v>9</v>
      </c>
      <c r="O3901">
        <v>0.73</v>
      </c>
      <c r="P3901">
        <v>0.305090525</v>
      </c>
      <c r="Q3901">
        <v>0.20300000000000001</v>
      </c>
    </row>
    <row r="3902" spans="1:17" x14ac:dyDescent="0.2">
      <c r="A3902" s="30" t="str">
        <f>IF(C3902&amp;G3902&amp;D3902&lt;&gt;'Funnel setup'!$K$3&amp;'Funnel setup'!$K$4&amp;'Funnel setup'!$K$5,".",IF(A3901=".",1,A3901+1))</f>
        <v>.</v>
      </c>
      <c r="B3902" s="431" t="str">
        <f t="shared" si="60"/>
        <v>Knee Replacement PrimaryCCG of GP PracticeNHS ENFIELD CCG (07X)EQ-5D Index</v>
      </c>
      <c r="C3902" t="s">
        <v>249</v>
      </c>
      <c r="D3902" t="s">
        <v>87</v>
      </c>
      <c r="E3902" t="s">
        <v>890</v>
      </c>
      <c r="F3902" t="s">
        <v>891</v>
      </c>
      <c r="G3902" t="s">
        <v>52</v>
      </c>
      <c r="H3902">
        <v>103</v>
      </c>
      <c r="I3902">
        <v>0.35799999999999998</v>
      </c>
      <c r="J3902">
        <v>0.69199999999999995</v>
      </c>
      <c r="K3902">
        <v>0.33400000000000002</v>
      </c>
      <c r="L3902">
        <v>87</v>
      </c>
      <c r="M3902">
        <v>11</v>
      </c>
      <c r="N3902">
        <v>5</v>
      </c>
      <c r="O3902">
        <v>0.72</v>
      </c>
      <c r="P3902">
        <v>0.295326321</v>
      </c>
      <c r="Q3902">
        <v>0.23100000000000001</v>
      </c>
    </row>
    <row r="3903" spans="1:17" x14ac:dyDescent="0.2">
      <c r="A3903" s="30" t="str">
        <f>IF(C3903&amp;G3903&amp;D3903&lt;&gt;'Funnel setup'!$K$3&amp;'Funnel setup'!$K$4&amp;'Funnel setup'!$K$5,".",IF(A3902=".",1,A3902+1))</f>
        <v>.</v>
      </c>
      <c r="B3903" s="431" t="str">
        <f t="shared" si="60"/>
        <v>Knee Replacement PrimaryCCG of GP PracticeNHS EREWASH CCG (03X)EQ-5D Index</v>
      </c>
      <c r="C3903" t="s">
        <v>249</v>
      </c>
      <c r="D3903" t="s">
        <v>87</v>
      </c>
      <c r="E3903" t="s">
        <v>893</v>
      </c>
      <c r="F3903" t="s">
        <v>894</v>
      </c>
      <c r="G3903" t="s">
        <v>52</v>
      </c>
      <c r="H3903">
        <v>123</v>
      </c>
      <c r="I3903">
        <v>0.47</v>
      </c>
      <c r="J3903">
        <v>0.77500000000000002</v>
      </c>
      <c r="K3903">
        <v>0.30599999999999999</v>
      </c>
      <c r="L3903">
        <v>103</v>
      </c>
      <c r="M3903">
        <v>9</v>
      </c>
      <c r="N3903">
        <v>11</v>
      </c>
      <c r="O3903">
        <v>0.752</v>
      </c>
      <c r="P3903">
        <v>0.32698781999999998</v>
      </c>
      <c r="Q3903">
        <v>0.23</v>
      </c>
    </row>
    <row r="3904" spans="1:17" x14ac:dyDescent="0.2">
      <c r="A3904" s="30" t="str">
        <f>IF(C3904&amp;G3904&amp;D3904&lt;&gt;'Funnel setup'!$K$3&amp;'Funnel setup'!$K$4&amp;'Funnel setup'!$K$5,".",IF(A3903=".",1,A3903+1))</f>
        <v>.</v>
      </c>
      <c r="B3904" s="431" t="str">
        <f t="shared" si="60"/>
        <v>Knee Replacement PrimaryCCG of GP PracticeNHS FAREHAM AND GOSPORT CCG (10K)EQ-5D Index</v>
      </c>
      <c r="C3904" t="s">
        <v>249</v>
      </c>
      <c r="D3904" t="s">
        <v>87</v>
      </c>
      <c r="E3904" t="s">
        <v>896</v>
      </c>
      <c r="F3904" t="s">
        <v>897</v>
      </c>
      <c r="G3904" t="s">
        <v>52</v>
      </c>
      <c r="H3904">
        <v>96</v>
      </c>
      <c r="I3904">
        <v>0.439</v>
      </c>
      <c r="J3904">
        <v>0.76600000000000001</v>
      </c>
      <c r="K3904">
        <v>0.32700000000000001</v>
      </c>
      <c r="L3904">
        <v>82</v>
      </c>
      <c r="M3904">
        <v>8</v>
      </c>
      <c r="N3904">
        <v>6</v>
      </c>
      <c r="O3904">
        <v>0.74099999999999999</v>
      </c>
      <c r="P3904">
        <v>0.31582635999999997</v>
      </c>
      <c r="Q3904">
        <v>0.20699999999999999</v>
      </c>
    </row>
    <row r="3905" spans="1:17" x14ac:dyDescent="0.2">
      <c r="A3905" s="30" t="str">
        <f>IF(C3905&amp;G3905&amp;D3905&lt;&gt;'Funnel setup'!$K$3&amp;'Funnel setup'!$K$4&amp;'Funnel setup'!$K$5,".",IF(A3904=".",1,A3904+1))</f>
        <v>.</v>
      </c>
      <c r="B3905" s="431" t="str">
        <f t="shared" si="60"/>
        <v>Knee Replacement PrimaryCCG of GP PracticeNHS FYLDE &amp; WYRE CCG (02M)EQ-5D Index</v>
      </c>
      <c r="C3905" t="s">
        <v>249</v>
      </c>
      <c r="D3905" t="s">
        <v>87</v>
      </c>
      <c r="E3905" t="s">
        <v>899</v>
      </c>
      <c r="F3905" t="s">
        <v>900</v>
      </c>
      <c r="G3905" t="s">
        <v>52</v>
      </c>
      <c r="H3905">
        <v>74</v>
      </c>
      <c r="I3905">
        <v>0.45600000000000002</v>
      </c>
      <c r="J3905">
        <v>0.72399999999999998</v>
      </c>
      <c r="K3905">
        <v>0.26800000000000002</v>
      </c>
      <c r="L3905">
        <v>59</v>
      </c>
      <c r="M3905">
        <v>4</v>
      </c>
      <c r="N3905">
        <v>11</v>
      </c>
      <c r="O3905">
        <v>0.71499999999999997</v>
      </c>
      <c r="P3905">
        <v>0.28975904400000002</v>
      </c>
      <c r="Q3905">
        <v>0.25600000000000001</v>
      </c>
    </row>
    <row r="3906" spans="1:17" x14ac:dyDescent="0.2">
      <c r="A3906" s="30" t="str">
        <f>IF(C3906&amp;G3906&amp;D3906&lt;&gt;'Funnel setup'!$K$3&amp;'Funnel setup'!$K$4&amp;'Funnel setup'!$K$5,".",IF(A3905=".",1,A3905+1))</f>
        <v>.</v>
      </c>
      <c r="B3906" s="431" t="str">
        <f t="shared" si="60"/>
        <v>Knee Replacement PrimaryCCG of GP PracticeNHS GLOUCESTERSHIRE CCG (11M)EQ-5D Index</v>
      </c>
      <c r="C3906" t="s">
        <v>249</v>
      </c>
      <c r="D3906" t="s">
        <v>87</v>
      </c>
      <c r="E3906" t="s">
        <v>902</v>
      </c>
      <c r="F3906" t="s">
        <v>903</v>
      </c>
      <c r="G3906" t="s">
        <v>52</v>
      </c>
      <c r="H3906">
        <v>402</v>
      </c>
      <c r="I3906">
        <v>0.48599999999999999</v>
      </c>
      <c r="J3906">
        <v>0.79600000000000004</v>
      </c>
      <c r="K3906">
        <v>0.31</v>
      </c>
      <c r="L3906">
        <v>333</v>
      </c>
      <c r="M3906">
        <v>37</v>
      </c>
      <c r="N3906">
        <v>32</v>
      </c>
      <c r="O3906">
        <v>0.76</v>
      </c>
      <c r="P3906">
        <v>0.33527522799999998</v>
      </c>
      <c r="Q3906">
        <v>0.19600000000000001</v>
      </c>
    </row>
    <row r="3907" spans="1:17" x14ac:dyDescent="0.2">
      <c r="A3907" s="30" t="str">
        <f>IF(C3907&amp;G3907&amp;D3907&lt;&gt;'Funnel setup'!$K$3&amp;'Funnel setup'!$K$4&amp;'Funnel setup'!$K$5,".",IF(A3906=".",1,A3906+1))</f>
        <v>.</v>
      </c>
      <c r="B3907" s="431" t="str">
        <f t="shared" ref="B3907:B3970" si="61">C3907&amp;D3907&amp;F3907&amp;G3907</f>
        <v>Knee Replacement PrimaryCCG of GP PracticeNHS GREAT YARMOUTH AND WAVENEY CCG (06M)EQ-5D Index</v>
      </c>
      <c r="C3907" t="s">
        <v>249</v>
      </c>
      <c r="D3907" t="s">
        <v>87</v>
      </c>
      <c r="E3907" t="s">
        <v>905</v>
      </c>
      <c r="F3907" t="s">
        <v>906</v>
      </c>
      <c r="G3907" t="s">
        <v>52</v>
      </c>
      <c r="H3907">
        <v>197</v>
      </c>
      <c r="I3907">
        <v>0.42499999999999999</v>
      </c>
      <c r="J3907">
        <v>0.748</v>
      </c>
      <c r="K3907">
        <v>0.32300000000000001</v>
      </c>
      <c r="L3907">
        <v>163</v>
      </c>
      <c r="M3907">
        <v>21</v>
      </c>
      <c r="N3907">
        <v>13</v>
      </c>
      <c r="O3907">
        <v>0.753</v>
      </c>
      <c r="P3907">
        <v>0.32836030799999999</v>
      </c>
      <c r="Q3907">
        <v>0.23200000000000001</v>
      </c>
    </row>
    <row r="3908" spans="1:17" x14ac:dyDescent="0.2">
      <c r="A3908" s="30" t="str">
        <f>IF(C3908&amp;G3908&amp;D3908&lt;&gt;'Funnel setup'!$K$3&amp;'Funnel setup'!$K$4&amp;'Funnel setup'!$K$5,".",IF(A3907=".",1,A3907+1))</f>
        <v>.</v>
      </c>
      <c r="B3908" s="431" t="str">
        <f t="shared" si="61"/>
        <v>Knee Replacement PrimaryCCG of GP PracticeNHS GREATER HUDDERSFIELD CCG (03A)EQ-5D Index</v>
      </c>
      <c r="C3908" t="s">
        <v>249</v>
      </c>
      <c r="D3908" t="s">
        <v>87</v>
      </c>
      <c r="E3908" t="s">
        <v>908</v>
      </c>
      <c r="F3908" t="s">
        <v>909</v>
      </c>
      <c r="G3908" t="s">
        <v>52</v>
      </c>
      <c r="H3908">
        <v>175</v>
      </c>
      <c r="I3908">
        <v>0.45700000000000002</v>
      </c>
      <c r="J3908">
        <v>0.73699999999999999</v>
      </c>
      <c r="K3908">
        <v>0.28000000000000003</v>
      </c>
      <c r="L3908">
        <v>142</v>
      </c>
      <c r="M3908">
        <v>22</v>
      </c>
      <c r="N3908">
        <v>11</v>
      </c>
      <c r="O3908">
        <v>0.73399999999999999</v>
      </c>
      <c r="P3908">
        <v>0.30932095300000001</v>
      </c>
      <c r="Q3908">
        <v>0.224</v>
      </c>
    </row>
    <row r="3909" spans="1:17" x14ac:dyDescent="0.2">
      <c r="A3909" s="30" t="str">
        <f>IF(C3909&amp;G3909&amp;D3909&lt;&gt;'Funnel setup'!$K$3&amp;'Funnel setup'!$K$4&amp;'Funnel setup'!$K$5,".",IF(A3908=".",1,A3908+1))</f>
        <v>.</v>
      </c>
      <c r="B3909" s="431" t="str">
        <f t="shared" si="61"/>
        <v>Knee Replacement PrimaryCCG of GP PracticeNHS GREATER PRESTON CCG (01E)EQ-5D Index</v>
      </c>
      <c r="C3909" t="s">
        <v>249</v>
      </c>
      <c r="D3909" t="s">
        <v>87</v>
      </c>
      <c r="E3909" t="s">
        <v>486</v>
      </c>
      <c r="F3909" t="s">
        <v>487</v>
      </c>
      <c r="G3909" t="s">
        <v>52</v>
      </c>
      <c r="H3909">
        <v>236</v>
      </c>
      <c r="I3909">
        <v>0.44900000000000001</v>
      </c>
      <c r="J3909">
        <v>0.77200000000000002</v>
      </c>
      <c r="K3909">
        <v>0.32300000000000001</v>
      </c>
      <c r="L3909">
        <v>202</v>
      </c>
      <c r="M3909">
        <v>17</v>
      </c>
      <c r="N3909">
        <v>17</v>
      </c>
      <c r="O3909">
        <v>0.76200000000000001</v>
      </c>
      <c r="P3909">
        <v>0.33662741499999999</v>
      </c>
      <c r="Q3909">
        <v>0.186</v>
      </c>
    </row>
    <row r="3910" spans="1:17" x14ac:dyDescent="0.2">
      <c r="A3910" s="30" t="str">
        <f>IF(C3910&amp;G3910&amp;D3910&lt;&gt;'Funnel setup'!$K$3&amp;'Funnel setup'!$K$4&amp;'Funnel setup'!$K$5,".",IF(A3909=".",1,A3909+1))</f>
        <v>.</v>
      </c>
      <c r="B3910" s="431" t="str">
        <f t="shared" si="61"/>
        <v>Knee Replacement PrimaryCCG of GP PracticeNHS GREENWICH CCG (08A)EQ-5D Index</v>
      </c>
      <c r="C3910" t="s">
        <v>249</v>
      </c>
      <c r="D3910" t="s">
        <v>87</v>
      </c>
      <c r="E3910" t="s">
        <v>489</v>
      </c>
      <c r="F3910" t="s">
        <v>490</v>
      </c>
      <c r="G3910" t="s">
        <v>52</v>
      </c>
      <c r="H3910">
        <v>67</v>
      </c>
      <c r="I3910">
        <v>0.377</v>
      </c>
      <c r="J3910">
        <v>0.70799999999999996</v>
      </c>
      <c r="K3910">
        <v>0.33100000000000002</v>
      </c>
      <c r="L3910">
        <v>58</v>
      </c>
      <c r="M3910">
        <v>2</v>
      </c>
      <c r="N3910">
        <v>7</v>
      </c>
      <c r="O3910">
        <v>0.73099999999999998</v>
      </c>
      <c r="P3910">
        <v>0.30618474600000001</v>
      </c>
      <c r="Q3910">
        <v>0.26200000000000001</v>
      </c>
    </row>
    <row r="3911" spans="1:17" x14ac:dyDescent="0.2">
      <c r="A3911" s="30" t="str">
        <f>IF(C3911&amp;G3911&amp;D3911&lt;&gt;'Funnel setup'!$K$3&amp;'Funnel setup'!$K$4&amp;'Funnel setup'!$K$5,".",IF(A3910=".",1,A3910+1))</f>
        <v>.</v>
      </c>
      <c r="B3911" s="431" t="str">
        <f t="shared" si="61"/>
        <v>Knee Replacement PrimaryCCG of GP PracticeNHS GUILDFORD AND WAVERLEY CCG (09N)EQ-5D Index</v>
      </c>
      <c r="C3911" t="s">
        <v>249</v>
      </c>
      <c r="D3911" t="s">
        <v>87</v>
      </c>
      <c r="E3911" t="s">
        <v>911</v>
      </c>
      <c r="F3911" t="s">
        <v>912</v>
      </c>
      <c r="G3911" t="s">
        <v>52</v>
      </c>
      <c r="H3911">
        <v>89</v>
      </c>
      <c r="I3911">
        <v>0.45200000000000001</v>
      </c>
      <c r="J3911">
        <v>0.79500000000000004</v>
      </c>
      <c r="K3911">
        <v>0.34300000000000003</v>
      </c>
      <c r="L3911">
        <v>77</v>
      </c>
      <c r="M3911">
        <v>5</v>
      </c>
      <c r="N3911">
        <v>7</v>
      </c>
      <c r="O3911">
        <v>0.76300000000000001</v>
      </c>
      <c r="P3911">
        <v>0.33848451699999998</v>
      </c>
      <c r="Q3911">
        <v>0.19900000000000001</v>
      </c>
    </row>
    <row r="3912" spans="1:17" x14ac:dyDescent="0.2">
      <c r="A3912" s="30" t="str">
        <f>IF(C3912&amp;G3912&amp;D3912&lt;&gt;'Funnel setup'!$K$3&amp;'Funnel setup'!$K$4&amp;'Funnel setup'!$K$5,".",IF(A3911=".",1,A3911+1))</f>
        <v>.</v>
      </c>
      <c r="B3912" s="431" t="str">
        <f t="shared" si="61"/>
        <v>Knee Replacement PrimaryCCG of GP PracticeNHS HALTON CCG (01F)EQ-5D Index</v>
      </c>
      <c r="C3912" t="s">
        <v>249</v>
      </c>
      <c r="D3912" t="s">
        <v>87</v>
      </c>
      <c r="E3912" t="s">
        <v>914</v>
      </c>
      <c r="F3912" t="s">
        <v>915</v>
      </c>
      <c r="G3912" t="s">
        <v>52</v>
      </c>
      <c r="H3912">
        <v>82</v>
      </c>
      <c r="I3912">
        <v>0.38400000000000001</v>
      </c>
      <c r="J3912">
        <v>0.71499999999999997</v>
      </c>
      <c r="K3912">
        <v>0.33100000000000002</v>
      </c>
      <c r="L3912">
        <v>66</v>
      </c>
      <c r="M3912">
        <v>11</v>
      </c>
      <c r="N3912">
        <v>5</v>
      </c>
      <c r="O3912">
        <v>0.753</v>
      </c>
      <c r="P3912">
        <v>0.32834179400000002</v>
      </c>
      <c r="Q3912">
        <v>0.17799999999999999</v>
      </c>
    </row>
    <row r="3913" spans="1:17" x14ac:dyDescent="0.2">
      <c r="A3913" s="30" t="str">
        <f>IF(C3913&amp;G3913&amp;D3913&lt;&gt;'Funnel setup'!$K$3&amp;'Funnel setup'!$K$4&amp;'Funnel setup'!$K$5,".",IF(A3912=".",1,A3912+1))</f>
        <v>.</v>
      </c>
      <c r="B3913" s="431" t="str">
        <f t="shared" si="61"/>
        <v>Knee Replacement PrimaryCCG of GP PracticeNHS HAMBLETON, RICHMONDSHIRE AND WHITBY CCG (03D)EQ-5D Index</v>
      </c>
      <c r="C3913" t="s">
        <v>249</v>
      </c>
      <c r="D3913" t="s">
        <v>87</v>
      </c>
      <c r="E3913" t="s">
        <v>917</v>
      </c>
      <c r="F3913" t="s">
        <v>918</v>
      </c>
      <c r="G3913" t="s">
        <v>52</v>
      </c>
      <c r="H3913">
        <v>211</v>
      </c>
      <c r="I3913">
        <v>0.44400000000000001</v>
      </c>
      <c r="J3913">
        <v>0.78900000000000003</v>
      </c>
      <c r="K3913">
        <v>0.34599999999999997</v>
      </c>
      <c r="L3913">
        <v>178</v>
      </c>
      <c r="M3913">
        <v>20</v>
      </c>
      <c r="N3913">
        <v>13</v>
      </c>
      <c r="O3913">
        <v>0.78100000000000003</v>
      </c>
      <c r="P3913">
        <v>0.355910746</v>
      </c>
      <c r="Q3913">
        <v>0.20300000000000001</v>
      </c>
    </row>
    <row r="3914" spans="1:17" x14ac:dyDescent="0.2">
      <c r="A3914" s="30" t="str">
        <f>IF(C3914&amp;G3914&amp;D3914&lt;&gt;'Funnel setup'!$K$3&amp;'Funnel setup'!$K$4&amp;'Funnel setup'!$K$5,".",IF(A3913=".",1,A3913+1))</f>
        <v>.</v>
      </c>
      <c r="B3914" s="431" t="str">
        <f t="shared" si="61"/>
        <v>Knee Replacement PrimaryCCG of GP PracticeNHS HAMMERSMITH AND FULHAM CCG (08C)EQ-5D Index</v>
      </c>
      <c r="C3914" t="s">
        <v>249</v>
      </c>
      <c r="D3914" t="s">
        <v>87</v>
      </c>
      <c r="E3914" t="s">
        <v>920</v>
      </c>
      <c r="F3914" t="s">
        <v>921</v>
      </c>
      <c r="G3914" t="s">
        <v>52</v>
      </c>
      <c r="H3914">
        <v>19</v>
      </c>
      <c r="I3914">
        <v>0.26500000000000001</v>
      </c>
      <c r="J3914">
        <v>0.60399999999999998</v>
      </c>
      <c r="K3914">
        <v>0.33900000000000002</v>
      </c>
      <c r="L3914">
        <v>16</v>
      </c>
      <c r="M3914">
        <v>0</v>
      </c>
      <c r="N3914">
        <v>3</v>
      </c>
      <c r="O3914" t="s">
        <v>53</v>
      </c>
      <c r="P3914" t="s">
        <v>53</v>
      </c>
      <c r="Q3914" t="s">
        <v>53</v>
      </c>
    </row>
    <row r="3915" spans="1:17" x14ac:dyDescent="0.2">
      <c r="A3915" s="30" t="str">
        <f>IF(C3915&amp;G3915&amp;D3915&lt;&gt;'Funnel setup'!$K$3&amp;'Funnel setup'!$K$4&amp;'Funnel setup'!$K$5,".",IF(A3914=".",1,A3914+1))</f>
        <v>.</v>
      </c>
      <c r="B3915" s="431" t="str">
        <f t="shared" si="61"/>
        <v>Knee Replacement PrimaryCCG of GP PracticeNHS HARDWICK CCG (03Y)EQ-5D Index</v>
      </c>
      <c r="C3915" t="s">
        <v>249</v>
      </c>
      <c r="D3915" t="s">
        <v>87</v>
      </c>
      <c r="E3915" t="s">
        <v>923</v>
      </c>
      <c r="F3915" t="s">
        <v>924</v>
      </c>
      <c r="G3915" t="s">
        <v>52</v>
      </c>
      <c r="H3915">
        <v>131</v>
      </c>
      <c r="I3915">
        <v>0.38900000000000001</v>
      </c>
      <c r="J3915">
        <v>0.66600000000000004</v>
      </c>
      <c r="K3915">
        <v>0.27800000000000002</v>
      </c>
      <c r="L3915">
        <v>100</v>
      </c>
      <c r="M3915">
        <v>13</v>
      </c>
      <c r="N3915">
        <v>18</v>
      </c>
      <c r="O3915">
        <v>0.70299999999999996</v>
      </c>
      <c r="P3915">
        <v>0.27816274600000002</v>
      </c>
      <c r="Q3915">
        <v>0.23499999999999999</v>
      </c>
    </row>
    <row r="3916" spans="1:17" x14ac:dyDescent="0.2">
      <c r="A3916" s="30" t="str">
        <f>IF(C3916&amp;G3916&amp;D3916&lt;&gt;'Funnel setup'!$K$3&amp;'Funnel setup'!$K$4&amp;'Funnel setup'!$K$5,".",IF(A3915=".",1,A3915+1))</f>
        <v>.</v>
      </c>
      <c r="B3916" s="431" t="str">
        <f t="shared" si="61"/>
        <v>Knee Replacement PrimaryCCG of GP PracticeNHS HARINGEY CCG (08D)EQ-5D Index</v>
      </c>
      <c r="C3916" t="s">
        <v>249</v>
      </c>
      <c r="D3916" t="s">
        <v>87</v>
      </c>
      <c r="E3916" t="s">
        <v>926</v>
      </c>
      <c r="F3916" t="s">
        <v>927</v>
      </c>
      <c r="G3916" t="s">
        <v>52</v>
      </c>
      <c r="H3916">
        <v>27</v>
      </c>
      <c r="I3916">
        <v>0.34799999999999998</v>
      </c>
      <c r="J3916">
        <v>0.63600000000000001</v>
      </c>
      <c r="K3916">
        <v>0.28799999999999998</v>
      </c>
      <c r="L3916">
        <v>22</v>
      </c>
      <c r="M3916">
        <v>2</v>
      </c>
      <c r="N3916">
        <v>3</v>
      </c>
      <c r="O3916" t="s">
        <v>53</v>
      </c>
      <c r="P3916" t="s">
        <v>53</v>
      </c>
      <c r="Q3916" t="s">
        <v>53</v>
      </c>
    </row>
    <row r="3917" spans="1:17" x14ac:dyDescent="0.2">
      <c r="A3917" s="30" t="str">
        <f>IF(C3917&amp;G3917&amp;D3917&lt;&gt;'Funnel setup'!$K$3&amp;'Funnel setup'!$K$4&amp;'Funnel setup'!$K$5,".",IF(A3916=".",1,A3916+1))</f>
        <v>.</v>
      </c>
      <c r="B3917" s="431" t="str">
        <f t="shared" si="61"/>
        <v>Knee Replacement PrimaryCCG of GP PracticeNHS HARROGATE AND RURAL DISTRICT CCG (03E)EQ-5D Index</v>
      </c>
      <c r="C3917" t="s">
        <v>249</v>
      </c>
      <c r="D3917" t="s">
        <v>87</v>
      </c>
      <c r="E3917" t="s">
        <v>929</v>
      </c>
      <c r="F3917" t="s">
        <v>930</v>
      </c>
      <c r="G3917" t="s">
        <v>52</v>
      </c>
      <c r="H3917">
        <v>140</v>
      </c>
      <c r="I3917">
        <v>0.48799999999999999</v>
      </c>
      <c r="J3917">
        <v>0.80400000000000005</v>
      </c>
      <c r="K3917">
        <v>0.316</v>
      </c>
      <c r="L3917">
        <v>115</v>
      </c>
      <c r="M3917">
        <v>14</v>
      </c>
      <c r="N3917">
        <v>11</v>
      </c>
      <c r="O3917">
        <v>0.76700000000000002</v>
      </c>
      <c r="P3917">
        <v>0.34182824499999998</v>
      </c>
      <c r="Q3917">
        <v>0.20100000000000001</v>
      </c>
    </row>
    <row r="3918" spans="1:17" x14ac:dyDescent="0.2">
      <c r="A3918" s="30" t="str">
        <f>IF(C3918&amp;G3918&amp;D3918&lt;&gt;'Funnel setup'!$K$3&amp;'Funnel setup'!$K$4&amp;'Funnel setup'!$K$5,".",IF(A3917=".",1,A3917+1))</f>
        <v>.</v>
      </c>
      <c r="B3918" s="431" t="str">
        <f t="shared" si="61"/>
        <v>Knee Replacement PrimaryCCG of GP PracticeNHS HARROW CCG (08E)EQ-5D Index</v>
      </c>
      <c r="C3918" t="s">
        <v>249</v>
      </c>
      <c r="D3918" t="s">
        <v>87</v>
      </c>
      <c r="E3918" t="s">
        <v>492</v>
      </c>
      <c r="F3918" t="s">
        <v>493</v>
      </c>
      <c r="G3918" t="s">
        <v>52</v>
      </c>
      <c r="H3918">
        <v>121</v>
      </c>
      <c r="I3918">
        <v>0.36699999999999999</v>
      </c>
      <c r="J3918">
        <v>0.67200000000000004</v>
      </c>
      <c r="K3918">
        <v>0.30499999999999999</v>
      </c>
      <c r="L3918">
        <v>92</v>
      </c>
      <c r="M3918">
        <v>14</v>
      </c>
      <c r="N3918">
        <v>15</v>
      </c>
      <c r="O3918">
        <v>0.68899999999999995</v>
      </c>
      <c r="P3918">
        <v>0.26369259499999997</v>
      </c>
      <c r="Q3918">
        <v>0.23599999999999999</v>
      </c>
    </row>
    <row r="3919" spans="1:17" x14ac:dyDescent="0.2">
      <c r="A3919" s="30" t="str">
        <f>IF(C3919&amp;G3919&amp;D3919&lt;&gt;'Funnel setup'!$K$3&amp;'Funnel setup'!$K$4&amp;'Funnel setup'!$K$5,".",IF(A3918=".",1,A3918+1))</f>
        <v>.</v>
      </c>
      <c r="B3919" s="431" t="str">
        <f t="shared" si="61"/>
        <v>Knee Replacement PrimaryCCG of GP PracticeNHS HARTLEPOOL AND STOCKTON-ON-TEES CCG (00K)EQ-5D Index</v>
      </c>
      <c r="C3919" t="s">
        <v>249</v>
      </c>
      <c r="D3919" t="s">
        <v>87</v>
      </c>
      <c r="E3919" t="s">
        <v>495</v>
      </c>
      <c r="F3919" t="s">
        <v>496</v>
      </c>
      <c r="G3919" t="s">
        <v>52</v>
      </c>
      <c r="H3919">
        <v>327</v>
      </c>
      <c r="I3919">
        <v>0.34599999999999997</v>
      </c>
      <c r="J3919">
        <v>0.73799999999999999</v>
      </c>
      <c r="K3919">
        <v>0.39200000000000002</v>
      </c>
      <c r="L3919">
        <v>286</v>
      </c>
      <c r="M3919">
        <v>20</v>
      </c>
      <c r="N3919">
        <v>21</v>
      </c>
      <c r="O3919">
        <v>0.76700000000000002</v>
      </c>
      <c r="P3919">
        <v>0.342505744</v>
      </c>
      <c r="Q3919">
        <v>0.23200000000000001</v>
      </c>
    </row>
    <row r="3920" spans="1:17" x14ac:dyDescent="0.2">
      <c r="A3920" s="30" t="str">
        <f>IF(C3920&amp;G3920&amp;D3920&lt;&gt;'Funnel setup'!$K$3&amp;'Funnel setup'!$K$4&amp;'Funnel setup'!$K$5,".",IF(A3919=".",1,A3919+1))</f>
        <v>.</v>
      </c>
      <c r="B3920" s="431" t="str">
        <f t="shared" si="61"/>
        <v>Knee Replacement PrimaryCCG of GP PracticeNHS HASTINGS AND ROTHER CCG (09P)EQ-5D Index</v>
      </c>
      <c r="C3920" t="s">
        <v>249</v>
      </c>
      <c r="D3920" t="s">
        <v>87</v>
      </c>
      <c r="E3920" t="s">
        <v>498</v>
      </c>
      <c r="F3920" t="s">
        <v>499</v>
      </c>
      <c r="G3920" t="s">
        <v>52</v>
      </c>
      <c r="H3920">
        <v>222</v>
      </c>
      <c r="I3920">
        <v>0.497</v>
      </c>
      <c r="J3920">
        <v>0.752</v>
      </c>
      <c r="K3920">
        <v>0.254</v>
      </c>
      <c r="L3920">
        <v>182</v>
      </c>
      <c r="M3920">
        <v>15</v>
      </c>
      <c r="N3920">
        <v>25</v>
      </c>
      <c r="O3920">
        <v>0.73199999999999998</v>
      </c>
      <c r="P3920">
        <v>0.30669673400000003</v>
      </c>
      <c r="Q3920">
        <v>0.245</v>
      </c>
    </row>
    <row r="3921" spans="1:17" x14ac:dyDescent="0.2">
      <c r="A3921" s="30" t="str">
        <f>IF(C3921&amp;G3921&amp;D3921&lt;&gt;'Funnel setup'!$K$3&amp;'Funnel setup'!$K$4&amp;'Funnel setup'!$K$5,".",IF(A3920=".",1,A3920+1))</f>
        <v>.</v>
      </c>
      <c r="B3921" s="431" t="str">
        <f t="shared" si="61"/>
        <v>Knee Replacement PrimaryCCG of GP PracticeNHS HAVERING CCG (08F)EQ-5D Index</v>
      </c>
      <c r="C3921" t="s">
        <v>249</v>
      </c>
      <c r="D3921" t="s">
        <v>87</v>
      </c>
      <c r="E3921" t="s">
        <v>501</v>
      </c>
      <c r="F3921" t="s">
        <v>502</v>
      </c>
      <c r="G3921" t="s">
        <v>52</v>
      </c>
      <c r="H3921">
        <v>116</v>
      </c>
      <c r="I3921">
        <v>0.372</v>
      </c>
      <c r="J3921">
        <v>0.747</v>
      </c>
      <c r="K3921">
        <v>0.375</v>
      </c>
      <c r="L3921">
        <v>97</v>
      </c>
      <c r="M3921">
        <v>10</v>
      </c>
      <c r="N3921">
        <v>9</v>
      </c>
      <c r="O3921">
        <v>0.745</v>
      </c>
      <c r="P3921">
        <v>0.319535821</v>
      </c>
      <c r="Q3921">
        <v>0.253</v>
      </c>
    </row>
    <row r="3922" spans="1:17" x14ac:dyDescent="0.2">
      <c r="A3922" s="30" t="str">
        <f>IF(C3922&amp;G3922&amp;D3922&lt;&gt;'Funnel setup'!$K$3&amp;'Funnel setup'!$K$4&amp;'Funnel setup'!$K$5,".",IF(A3921=".",1,A3921+1))</f>
        <v>.</v>
      </c>
      <c r="B3922" s="431" t="str">
        <f t="shared" si="61"/>
        <v>Knee Replacement PrimaryCCG of GP PracticeNHS HEREFORDSHIRE CCG (05F)EQ-5D Index</v>
      </c>
      <c r="C3922" t="s">
        <v>249</v>
      </c>
      <c r="D3922" t="s">
        <v>87</v>
      </c>
      <c r="E3922" t="s">
        <v>504</v>
      </c>
      <c r="F3922" t="s">
        <v>505</v>
      </c>
      <c r="G3922" t="s">
        <v>52</v>
      </c>
      <c r="H3922">
        <v>167</v>
      </c>
      <c r="I3922">
        <v>0.496</v>
      </c>
      <c r="J3922">
        <v>0.78100000000000003</v>
      </c>
      <c r="K3922">
        <v>0.28499999999999998</v>
      </c>
      <c r="L3922">
        <v>132</v>
      </c>
      <c r="M3922">
        <v>17</v>
      </c>
      <c r="N3922">
        <v>18</v>
      </c>
      <c r="O3922">
        <v>0.76</v>
      </c>
      <c r="P3922">
        <v>0.335435284</v>
      </c>
      <c r="Q3922">
        <v>0.222</v>
      </c>
    </row>
    <row r="3923" spans="1:17" x14ac:dyDescent="0.2">
      <c r="A3923" s="30" t="str">
        <f>IF(C3923&amp;G3923&amp;D3923&lt;&gt;'Funnel setup'!$K$3&amp;'Funnel setup'!$K$4&amp;'Funnel setup'!$K$5,".",IF(A3922=".",1,A3922+1))</f>
        <v>.</v>
      </c>
      <c r="B3923" s="431" t="str">
        <f t="shared" si="61"/>
        <v>Knee Replacement PrimaryCCG of GP PracticeNHS HERTS VALLEYS CCG (06N)EQ-5D Index</v>
      </c>
      <c r="C3923" t="s">
        <v>249</v>
      </c>
      <c r="D3923" t="s">
        <v>87</v>
      </c>
      <c r="E3923" t="s">
        <v>507</v>
      </c>
      <c r="F3923" t="s">
        <v>508</v>
      </c>
      <c r="G3923" t="s">
        <v>52</v>
      </c>
      <c r="H3923">
        <v>363</v>
      </c>
      <c r="I3923">
        <v>0.438</v>
      </c>
      <c r="J3923">
        <v>0.749</v>
      </c>
      <c r="K3923">
        <v>0.312</v>
      </c>
      <c r="L3923">
        <v>295</v>
      </c>
      <c r="M3923">
        <v>37</v>
      </c>
      <c r="N3923">
        <v>31</v>
      </c>
      <c r="O3923">
        <v>0.73599999999999999</v>
      </c>
      <c r="P3923">
        <v>0.31070285800000003</v>
      </c>
      <c r="Q3923">
        <v>0.23499999999999999</v>
      </c>
    </row>
    <row r="3924" spans="1:17" x14ac:dyDescent="0.2">
      <c r="A3924" s="30" t="str">
        <f>IF(C3924&amp;G3924&amp;D3924&lt;&gt;'Funnel setup'!$K$3&amp;'Funnel setup'!$K$4&amp;'Funnel setup'!$K$5,".",IF(A3923=".",1,A3923+1))</f>
        <v>.</v>
      </c>
      <c r="B3924" s="431" t="str">
        <f t="shared" si="61"/>
        <v>Knee Replacement PrimaryCCG of GP PracticeNHS HEYWOOD, MIDDLETON AND ROCHDALE CCG (01D)EQ-5D Index</v>
      </c>
      <c r="C3924" t="s">
        <v>249</v>
      </c>
      <c r="D3924" t="s">
        <v>87</v>
      </c>
      <c r="E3924" t="s">
        <v>510</v>
      </c>
      <c r="F3924" t="s">
        <v>511</v>
      </c>
      <c r="G3924" t="s">
        <v>52</v>
      </c>
      <c r="H3924">
        <v>78</v>
      </c>
      <c r="I3924">
        <v>0.35599999999999998</v>
      </c>
      <c r="J3924">
        <v>0.70299999999999996</v>
      </c>
      <c r="K3924">
        <v>0.34699999999999998</v>
      </c>
      <c r="L3924">
        <v>65</v>
      </c>
      <c r="M3924">
        <v>7</v>
      </c>
      <c r="N3924">
        <v>6</v>
      </c>
      <c r="O3924">
        <v>0.75700000000000001</v>
      </c>
      <c r="P3924">
        <v>0.331989704</v>
      </c>
      <c r="Q3924">
        <v>0.252</v>
      </c>
    </row>
    <row r="3925" spans="1:17" x14ac:dyDescent="0.2">
      <c r="A3925" s="30" t="str">
        <f>IF(C3925&amp;G3925&amp;D3925&lt;&gt;'Funnel setup'!$K$3&amp;'Funnel setup'!$K$4&amp;'Funnel setup'!$K$5,".",IF(A3924=".",1,A3924+1))</f>
        <v>.</v>
      </c>
      <c r="B3925" s="431" t="str">
        <f t="shared" si="61"/>
        <v>Knee Replacement PrimaryCCG of GP PracticeNHS HIGH WEALD LEWES HAVENS CCG (99K)EQ-5D Index</v>
      </c>
      <c r="C3925" t="s">
        <v>249</v>
      </c>
      <c r="D3925" t="s">
        <v>87</v>
      </c>
      <c r="E3925" t="s">
        <v>513</v>
      </c>
      <c r="F3925" t="s">
        <v>514</v>
      </c>
      <c r="G3925" t="s">
        <v>52</v>
      </c>
      <c r="H3925">
        <v>242</v>
      </c>
      <c r="I3925">
        <v>0.52300000000000002</v>
      </c>
      <c r="J3925">
        <v>0.78</v>
      </c>
      <c r="K3925">
        <v>0.25700000000000001</v>
      </c>
      <c r="L3925">
        <v>189</v>
      </c>
      <c r="M3925">
        <v>28</v>
      </c>
      <c r="N3925">
        <v>25</v>
      </c>
      <c r="O3925">
        <v>0.746</v>
      </c>
      <c r="P3925">
        <v>0.32116801699999997</v>
      </c>
      <c r="Q3925">
        <v>0.20699999999999999</v>
      </c>
    </row>
    <row r="3926" spans="1:17" x14ac:dyDescent="0.2">
      <c r="A3926" s="30" t="str">
        <f>IF(C3926&amp;G3926&amp;D3926&lt;&gt;'Funnel setup'!$K$3&amp;'Funnel setup'!$K$4&amp;'Funnel setup'!$K$5,".",IF(A3925=".",1,A3925+1))</f>
        <v>.</v>
      </c>
      <c r="B3926" s="431" t="str">
        <f t="shared" si="61"/>
        <v>Knee Replacement PrimaryCCG of GP PracticeNHS HILLINGDON CCG (08G)EQ-5D Index</v>
      </c>
      <c r="C3926" t="s">
        <v>249</v>
      </c>
      <c r="D3926" t="s">
        <v>87</v>
      </c>
      <c r="E3926" t="s">
        <v>516</v>
      </c>
      <c r="F3926" t="s">
        <v>517</v>
      </c>
      <c r="G3926" t="s">
        <v>52</v>
      </c>
      <c r="H3926">
        <v>117</v>
      </c>
      <c r="I3926">
        <v>0.435</v>
      </c>
      <c r="J3926">
        <v>0.67200000000000004</v>
      </c>
      <c r="K3926">
        <v>0.23699999999999999</v>
      </c>
      <c r="L3926">
        <v>87</v>
      </c>
      <c r="M3926">
        <v>14</v>
      </c>
      <c r="N3926">
        <v>16</v>
      </c>
      <c r="O3926">
        <v>0.67900000000000005</v>
      </c>
      <c r="P3926">
        <v>0.253676964</v>
      </c>
      <c r="Q3926">
        <v>0.28799999999999998</v>
      </c>
    </row>
    <row r="3927" spans="1:17" x14ac:dyDescent="0.2">
      <c r="A3927" s="30" t="str">
        <f>IF(C3927&amp;G3927&amp;D3927&lt;&gt;'Funnel setup'!$K$3&amp;'Funnel setup'!$K$4&amp;'Funnel setup'!$K$5,".",IF(A3926=".",1,A3926+1))</f>
        <v>.</v>
      </c>
      <c r="B3927" s="431" t="str">
        <f t="shared" si="61"/>
        <v>Knee Replacement PrimaryCCG of GP PracticeNHS HORSHAM AND MID SUSSEX CCG (09X)EQ-5D Index</v>
      </c>
      <c r="C3927" t="s">
        <v>249</v>
      </c>
      <c r="D3927" t="s">
        <v>87</v>
      </c>
      <c r="E3927" t="s">
        <v>519</v>
      </c>
      <c r="F3927" t="s">
        <v>520</v>
      </c>
      <c r="G3927" t="s">
        <v>52</v>
      </c>
      <c r="H3927">
        <v>172</v>
      </c>
      <c r="I3927">
        <v>0.56699999999999995</v>
      </c>
      <c r="J3927">
        <v>0.81499999999999995</v>
      </c>
      <c r="K3927">
        <v>0.248</v>
      </c>
      <c r="L3927">
        <v>134</v>
      </c>
      <c r="M3927">
        <v>21</v>
      </c>
      <c r="N3927">
        <v>17</v>
      </c>
      <c r="O3927">
        <v>0.755</v>
      </c>
      <c r="P3927">
        <v>0.33036702699999998</v>
      </c>
      <c r="Q3927">
        <v>0.17399999999999999</v>
      </c>
    </row>
    <row r="3928" spans="1:17" x14ac:dyDescent="0.2">
      <c r="A3928" s="30" t="str">
        <f>IF(C3928&amp;G3928&amp;D3928&lt;&gt;'Funnel setup'!$K$3&amp;'Funnel setup'!$K$4&amp;'Funnel setup'!$K$5,".",IF(A3927=".",1,A3927+1))</f>
        <v>.</v>
      </c>
      <c r="B3928" s="431" t="str">
        <f t="shared" si="61"/>
        <v>Knee Replacement PrimaryCCG of GP PracticeNHS HOUNSLOW CCG (07Y)EQ-5D Index</v>
      </c>
      <c r="C3928" t="s">
        <v>249</v>
      </c>
      <c r="D3928" t="s">
        <v>87</v>
      </c>
      <c r="E3928" t="s">
        <v>522</v>
      </c>
      <c r="F3928" t="s">
        <v>523</v>
      </c>
      <c r="G3928" t="s">
        <v>52</v>
      </c>
      <c r="H3928">
        <v>64</v>
      </c>
      <c r="I3928">
        <v>0.245</v>
      </c>
      <c r="J3928">
        <v>0.628</v>
      </c>
      <c r="K3928">
        <v>0.38400000000000001</v>
      </c>
      <c r="L3928">
        <v>54</v>
      </c>
      <c r="M3928">
        <v>7</v>
      </c>
      <c r="N3928">
        <v>3</v>
      </c>
      <c r="O3928">
        <v>0.7</v>
      </c>
      <c r="P3928">
        <v>0.27509231499999998</v>
      </c>
      <c r="Q3928">
        <v>0.26600000000000001</v>
      </c>
    </row>
    <row r="3929" spans="1:17" x14ac:dyDescent="0.2">
      <c r="A3929" s="30" t="str">
        <f>IF(C3929&amp;G3929&amp;D3929&lt;&gt;'Funnel setup'!$K$3&amp;'Funnel setup'!$K$4&amp;'Funnel setup'!$K$5,".",IF(A3928=".",1,A3928+1))</f>
        <v>.</v>
      </c>
      <c r="B3929" s="431" t="str">
        <f t="shared" si="61"/>
        <v>Knee Replacement PrimaryCCG of GP PracticeNHS HULL CCG (03F)EQ-5D Index</v>
      </c>
      <c r="C3929" t="s">
        <v>249</v>
      </c>
      <c r="D3929" t="s">
        <v>87</v>
      </c>
      <c r="E3929" t="s">
        <v>525</v>
      </c>
      <c r="F3929" t="s">
        <v>526</v>
      </c>
      <c r="G3929" t="s">
        <v>52</v>
      </c>
      <c r="H3929">
        <v>219</v>
      </c>
      <c r="I3929">
        <v>0.38500000000000001</v>
      </c>
      <c r="J3929">
        <v>0.69399999999999995</v>
      </c>
      <c r="K3929">
        <v>0.309</v>
      </c>
      <c r="L3929">
        <v>176</v>
      </c>
      <c r="M3929">
        <v>20</v>
      </c>
      <c r="N3929">
        <v>23</v>
      </c>
      <c r="O3929">
        <v>0.72199999999999998</v>
      </c>
      <c r="P3929">
        <v>0.29665306899999999</v>
      </c>
      <c r="Q3929">
        <v>0.25700000000000001</v>
      </c>
    </row>
    <row r="3930" spans="1:17" x14ac:dyDescent="0.2">
      <c r="A3930" s="30" t="str">
        <f>IF(C3930&amp;G3930&amp;D3930&lt;&gt;'Funnel setup'!$K$3&amp;'Funnel setup'!$K$4&amp;'Funnel setup'!$K$5,".",IF(A3929=".",1,A3929+1))</f>
        <v>.</v>
      </c>
      <c r="B3930" s="431" t="str">
        <f t="shared" si="61"/>
        <v>Knee Replacement PrimaryCCG of GP PracticeNHS IPSWICH AND EAST SUFFOLK CCG (06L)EQ-5D Index</v>
      </c>
      <c r="C3930" t="s">
        <v>249</v>
      </c>
      <c r="D3930" t="s">
        <v>87</v>
      </c>
      <c r="E3930" t="s">
        <v>528</v>
      </c>
      <c r="F3930" t="s">
        <v>529</v>
      </c>
      <c r="G3930" t="s">
        <v>52</v>
      </c>
      <c r="H3930">
        <v>232</v>
      </c>
      <c r="I3930">
        <v>0.39600000000000002</v>
      </c>
      <c r="J3930">
        <v>0.78900000000000003</v>
      </c>
      <c r="K3930">
        <v>0.39300000000000002</v>
      </c>
      <c r="L3930">
        <v>204</v>
      </c>
      <c r="M3930">
        <v>13</v>
      </c>
      <c r="N3930">
        <v>15</v>
      </c>
      <c r="O3930">
        <v>0.77800000000000002</v>
      </c>
      <c r="P3930">
        <v>0.35253231800000001</v>
      </c>
      <c r="Q3930">
        <v>0.19800000000000001</v>
      </c>
    </row>
    <row r="3931" spans="1:17" x14ac:dyDescent="0.2">
      <c r="A3931" s="30" t="str">
        <f>IF(C3931&amp;G3931&amp;D3931&lt;&gt;'Funnel setup'!$K$3&amp;'Funnel setup'!$K$4&amp;'Funnel setup'!$K$5,".",IF(A3930=".",1,A3930+1))</f>
        <v>.</v>
      </c>
      <c r="B3931" s="431" t="str">
        <f t="shared" si="61"/>
        <v>Knee Replacement PrimaryCCG of GP PracticeNHS ISLE OF WIGHT CCG (10L)EQ-5D Index</v>
      </c>
      <c r="C3931" t="s">
        <v>249</v>
      </c>
      <c r="D3931" t="s">
        <v>87</v>
      </c>
      <c r="E3931" t="s">
        <v>531</v>
      </c>
      <c r="F3931" t="s">
        <v>532</v>
      </c>
      <c r="G3931" t="s">
        <v>52</v>
      </c>
      <c r="H3931">
        <v>99</v>
      </c>
      <c r="I3931">
        <v>0.44900000000000001</v>
      </c>
      <c r="J3931">
        <v>0.70299999999999996</v>
      </c>
      <c r="K3931">
        <v>0.253</v>
      </c>
      <c r="L3931">
        <v>80</v>
      </c>
      <c r="M3931">
        <v>4</v>
      </c>
      <c r="N3931">
        <v>15</v>
      </c>
      <c r="O3931">
        <v>0.71</v>
      </c>
      <c r="P3931">
        <v>0.284793764</v>
      </c>
      <c r="Q3931">
        <v>0.26800000000000002</v>
      </c>
    </row>
    <row r="3932" spans="1:17" x14ac:dyDescent="0.2">
      <c r="A3932" s="30" t="str">
        <f>IF(C3932&amp;G3932&amp;D3932&lt;&gt;'Funnel setup'!$K$3&amp;'Funnel setup'!$K$4&amp;'Funnel setup'!$K$5,".",IF(A3931=".",1,A3931+1))</f>
        <v>.</v>
      </c>
      <c r="B3932" s="431" t="str">
        <f t="shared" si="61"/>
        <v>Knee Replacement PrimaryCCG of GP PracticeNHS ISLINGTON CCG (08H)EQ-5D Index</v>
      </c>
      <c r="C3932" t="s">
        <v>249</v>
      </c>
      <c r="D3932" t="s">
        <v>87</v>
      </c>
      <c r="E3932" t="s">
        <v>534</v>
      </c>
      <c r="F3932" t="s">
        <v>535</v>
      </c>
      <c r="G3932" t="s">
        <v>52</v>
      </c>
      <c r="H3932">
        <v>19</v>
      </c>
      <c r="I3932">
        <v>0.435</v>
      </c>
      <c r="J3932">
        <v>0.69099999999999995</v>
      </c>
      <c r="K3932">
        <v>0.25600000000000001</v>
      </c>
      <c r="L3932">
        <v>13</v>
      </c>
      <c r="M3932">
        <v>3</v>
      </c>
      <c r="N3932">
        <v>3</v>
      </c>
      <c r="O3932" t="s">
        <v>53</v>
      </c>
      <c r="P3932" t="s">
        <v>53</v>
      </c>
      <c r="Q3932" t="s">
        <v>53</v>
      </c>
    </row>
    <row r="3933" spans="1:17" x14ac:dyDescent="0.2">
      <c r="A3933" s="30" t="str">
        <f>IF(C3933&amp;G3933&amp;D3933&lt;&gt;'Funnel setup'!$K$3&amp;'Funnel setup'!$K$4&amp;'Funnel setup'!$K$5,".",IF(A3932=".",1,A3932+1))</f>
        <v>.</v>
      </c>
      <c r="B3933" s="431" t="str">
        <f t="shared" si="61"/>
        <v>Knee Replacement PrimaryCCG of GP PracticeNHS KERNOW CCG (11N)EQ-5D Index</v>
      </c>
      <c r="C3933" t="s">
        <v>249</v>
      </c>
      <c r="D3933" t="s">
        <v>87</v>
      </c>
      <c r="E3933" t="s">
        <v>537</v>
      </c>
      <c r="F3933" t="s">
        <v>538</v>
      </c>
      <c r="G3933" t="s">
        <v>52</v>
      </c>
      <c r="H3933">
        <v>606</v>
      </c>
      <c r="I3933">
        <v>0.46899999999999997</v>
      </c>
      <c r="J3933">
        <v>0.77900000000000003</v>
      </c>
      <c r="K3933">
        <v>0.31</v>
      </c>
      <c r="L3933">
        <v>507</v>
      </c>
      <c r="M3933">
        <v>55</v>
      </c>
      <c r="N3933">
        <v>44</v>
      </c>
      <c r="O3933">
        <v>0.76800000000000002</v>
      </c>
      <c r="P3933">
        <v>0.34272352299999997</v>
      </c>
      <c r="Q3933">
        <v>0.218</v>
      </c>
    </row>
    <row r="3934" spans="1:17" x14ac:dyDescent="0.2">
      <c r="A3934" s="30" t="str">
        <f>IF(C3934&amp;G3934&amp;D3934&lt;&gt;'Funnel setup'!$K$3&amp;'Funnel setup'!$K$4&amp;'Funnel setup'!$K$5,".",IF(A3933=".",1,A3933+1))</f>
        <v>.</v>
      </c>
      <c r="B3934" s="431" t="str">
        <f t="shared" si="61"/>
        <v>Knee Replacement PrimaryCCG of GP PracticeNHS KINGSTON CCG (08J)EQ-5D Index</v>
      </c>
      <c r="C3934" t="s">
        <v>249</v>
      </c>
      <c r="D3934" t="s">
        <v>87</v>
      </c>
      <c r="E3934" t="s">
        <v>540</v>
      </c>
      <c r="F3934" t="s">
        <v>541</v>
      </c>
      <c r="G3934" t="s">
        <v>52</v>
      </c>
      <c r="H3934">
        <v>48</v>
      </c>
      <c r="I3934">
        <v>0.40600000000000003</v>
      </c>
      <c r="J3934">
        <v>0.79800000000000004</v>
      </c>
      <c r="K3934">
        <v>0.39200000000000002</v>
      </c>
      <c r="L3934">
        <v>42</v>
      </c>
      <c r="M3934">
        <v>5</v>
      </c>
      <c r="N3934">
        <v>1</v>
      </c>
      <c r="O3934">
        <v>0.77600000000000002</v>
      </c>
      <c r="P3934">
        <v>0.35095932400000002</v>
      </c>
      <c r="Q3934">
        <v>0.14899999999999999</v>
      </c>
    </row>
    <row r="3935" spans="1:17" x14ac:dyDescent="0.2">
      <c r="A3935" s="30" t="str">
        <f>IF(C3935&amp;G3935&amp;D3935&lt;&gt;'Funnel setup'!$K$3&amp;'Funnel setup'!$K$4&amp;'Funnel setup'!$K$5,".",IF(A3934=".",1,A3934+1))</f>
        <v>.</v>
      </c>
      <c r="B3935" s="431" t="str">
        <f t="shared" si="61"/>
        <v>Knee Replacement PrimaryCCG of GP PracticeNHS KNOWSLEY CCG (01J)EQ-5D Index</v>
      </c>
      <c r="C3935" t="s">
        <v>249</v>
      </c>
      <c r="D3935" t="s">
        <v>87</v>
      </c>
      <c r="E3935" t="s">
        <v>543</v>
      </c>
      <c r="F3935" t="s">
        <v>544</v>
      </c>
      <c r="G3935" t="s">
        <v>52</v>
      </c>
      <c r="H3935">
        <v>116</v>
      </c>
      <c r="I3935">
        <v>0.35899999999999999</v>
      </c>
      <c r="J3935">
        <v>0.625</v>
      </c>
      <c r="K3935">
        <v>0.26600000000000001</v>
      </c>
      <c r="L3935">
        <v>83</v>
      </c>
      <c r="M3935">
        <v>17</v>
      </c>
      <c r="N3935">
        <v>16</v>
      </c>
      <c r="O3935">
        <v>0.67100000000000004</v>
      </c>
      <c r="P3935">
        <v>0.246387309</v>
      </c>
      <c r="Q3935">
        <v>0.28599999999999998</v>
      </c>
    </row>
    <row r="3936" spans="1:17" x14ac:dyDescent="0.2">
      <c r="A3936" s="30" t="str">
        <f>IF(C3936&amp;G3936&amp;D3936&lt;&gt;'Funnel setup'!$K$3&amp;'Funnel setup'!$K$4&amp;'Funnel setup'!$K$5,".",IF(A3935=".",1,A3935+1))</f>
        <v>.</v>
      </c>
      <c r="B3936" s="431" t="str">
        <f t="shared" si="61"/>
        <v>Knee Replacement PrimaryCCG of GP PracticeNHS LAMBETH CCG (08K)EQ-5D Index</v>
      </c>
      <c r="C3936" t="s">
        <v>249</v>
      </c>
      <c r="D3936" t="s">
        <v>87</v>
      </c>
      <c r="E3936" t="s">
        <v>546</v>
      </c>
      <c r="F3936" t="s">
        <v>547</v>
      </c>
      <c r="G3936" t="s">
        <v>52</v>
      </c>
      <c r="H3936">
        <v>38</v>
      </c>
      <c r="I3936">
        <v>0.36499999999999999</v>
      </c>
      <c r="J3936">
        <v>0.66200000000000003</v>
      </c>
      <c r="K3936">
        <v>0.29699999999999999</v>
      </c>
      <c r="L3936">
        <v>30</v>
      </c>
      <c r="M3936">
        <v>4</v>
      </c>
      <c r="N3936">
        <v>4</v>
      </c>
      <c r="O3936">
        <v>0.70699999999999996</v>
      </c>
      <c r="P3936">
        <v>0.28168654500000001</v>
      </c>
      <c r="Q3936">
        <v>0.25600000000000001</v>
      </c>
    </row>
    <row r="3937" spans="1:17" x14ac:dyDescent="0.2">
      <c r="A3937" s="30" t="str">
        <f>IF(C3937&amp;G3937&amp;D3937&lt;&gt;'Funnel setup'!$K$3&amp;'Funnel setup'!$K$4&amp;'Funnel setup'!$K$5,".",IF(A3936=".",1,A3936+1))</f>
        <v>.</v>
      </c>
      <c r="B3937" s="431" t="str">
        <f t="shared" si="61"/>
        <v>Knee Replacement PrimaryCCG of GP PracticeNHS LANCASHIRE NORTH CCG (01K)EQ-5D Index</v>
      </c>
      <c r="C3937" t="s">
        <v>249</v>
      </c>
      <c r="D3937" t="s">
        <v>87</v>
      </c>
      <c r="E3937" t="s">
        <v>549</v>
      </c>
      <c r="F3937" t="s">
        <v>550</v>
      </c>
      <c r="G3937" t="s">
        <v>52</v>
      </c>
      <c r="H3937">
        <v>166</v>
      </c>
      <c r="I3937">
        <v>0.48399999999999999</v>
      </c>
      <c r="J3937">
        <v>0.77200000000000002</v>
      </c>
      <c r="K3937">
        <v>0.28799999999999998</v>
      </c>
      <c r="L3937">
        <v>134</v>
      </c>
      <c r="M3937">
        <v>18</v>
      </c>
      <c r="N3937">
        <v>14</v>
      </c>
      <c r="O3937">
        <v>0.751</v>
      </c>
      <c r="P3937">
        <v>0.32581938799999999</v>
      </c>
      <c r="Q3937">
        <v>0.19800000000000001</v>
      </c>
    </row>
    <row r="3938" spans="1:17" x14ac:dyDescent="0.2">
      <c r="A3938" s="30" t="str">
        <f>IF(C3938&amp;G3938&amp;D3938&lt;&gt;'Funnel setup'!$K$3&amp;'Funnel setup'!$K$4&amp;'Funnel setup'!$K$5,".",IF(A3937=".",1,A3937+1))</f>
        <v>.</v>
      </c>
      <c r="B3938" s="431" t="str">
        <f t="shared" si="61"/>
        <v>Knee Replacement PrimaryCCG of GP PracticeNHS LEEDS NORTH CCG (02V)EQ-5D Index</v>
      </c>
      <c r="C3938" t="s">
        <v>249</v>
      </c>
      <c r="D3938" t="s">
        <v>87</v>
      </c>
      <c r="E3938" t="s">
        <v>552</v>
      </c>
      <c r="F3938" t="s">
        <v>337</v>
      </c>
      <c r="G3938" t="s">
        <v>52</v>
      </c>
      <c r="H3938">
        <v>153</v>
      </c>
      <c r="I3938">
        <v>0.48699999999999999</v>
      </c>
      <c r="J3938">
        <v>0.76</v>
      </c>
      <c r="K3938">
        <v>0.27300000000000002</v>
      </c>
      <c r="L3938">
        <v>129</v>
      </c>
      <c r="M3938">
        <v>12</v>
      </c>
      <c r="N3938">
        <v>12</v>
      </c>
      <c r="O3938">
        <v>0.74099999999999999</v>
      </c>
      <c r="P3938">
        <v>0.31577379500000002</v>
      </c>
      <c r="Q3938">
        <v>0.192</v>
      </c>
    </row>
    <row r="3939" spans="1:17" x14ac:dyDescent="0.2">
      <c r="A3939" s="30" t="str">
        <f>IF(C3939&amp;G3939&amp;D3939&lt;&gt;'Funnel setup'!$K$3&amp;'Funnel setup'!$K$4&amp;'Funnel setup'!$K$5,".",IF(A3938=".",1,A3938+1))</f>
        <v>.</v>
      </c>
      <c r="B3939" s="431" t="str">
        <f t="shared" si="61"/>
        <v>Knee Replacement PrimaryCCG of GP PracticeNHS LEEDS SOUTH AND EAST CCG (03G)EQ-5D Index</v>
      </c>
      <c r="C3939" t="s">
        <v>249</v>
      </c>
      <c r="D3939" t="s">
        <v>87</v>
      </c>
      <c r="E3939" t="s">
        <v>396</v>
      </c>
      <c r="F3939" t="s">
        <v>397</v>
      </c>
      <c r="G3939" t="s">
        <v>52</v>
      </c>
      <c r="H3939">
        <v>210</v>
      </c>
      <c r="I3939">
        <v>0.45400000000000001</v>
      </c>
      <c r="J3939">
        <v>0.748</v>
      </c>
      <c r="K3939">
        <v>0.29399999999999998</v>
      </c>
      <c r="L3939">
        <v>166</v>
      </c>
      <c r="M3939">
        <v>22</v>
      </c>
      <c r="N3939">
        <v>22</v>
      </c>
      <c r="O3939">
        <v>0.747</v>
      </c>
      <c r="P3939">
        <v>0.321591829</v>
      </c>
      <c r="Q3939">
        <v>0.22</v>
      </c>
    </row>
    <row r="3940" spans="1:17" x14ac:dyDescent="0.2">
      <c r="A3940" s="30" t="str">
        <f>IF(C3940&amp;G3940&amp;D3940&lt;&gt;'Funnel setup'!$K$3&amp;'Funnel setup'!$K$4&amp;'Funnel setup'!$K$5,".",IF(A3939=".",1,A3939+1))</f>
        <v>.</v>
      </c>
      <c r="B3940" s="431" t="str">
        <f t="shared" si="61"/>
        <v>Knee Replacement PrimaryCCG of GP PracticeNHS LEEDS WEST CCG (03C)EQ-5D Index</v>
      </c>
      <c r="C3940" t="s">
        <v>249</v>
      </c>
      <c r="D3940" t="s">
        <v>87</v>
      </c>
      <c r="E3940" t="s">
        <v>399</v>
      </c>
      <c r="F3940" t="s">
        <v>400</v>
      </c>
      <c r="G3940" t="s">
        <v>52</v>
      </c>
      <c r="H3940">
        <v>241</v>
      </c>
      <c r="I3940">
        <v>0.433</v>
      </c>
      <c r="J3940">
        <v>0.71899999999999997</v>
      </c>
      <c r="K3940">
        <v>0.28499999999999998</v>
      </c>
      <c r="L3940">
        <v>183</v>
      </c>
      <c r="M3940">
        <v>26</v>
      </c>
      <c r="N3940">
        <v>32</v>
      </c>
      <c r="O3940">
        <v>0.71399999999999997</v>
      </c>
      <c r="P3940">
        <v>0.28859722199999999</v>
      </c>
      <c r="Q3940">
        <v>0.24299999999999999</v>
      </c>
    </row>
    <row r="3941" spans="1:17" x14ac:dyDescent="0.2">
      <c r="A3941" s="30" t="str">
        <f>IF(C3941&amp;G3941&amp;D3941&lt;&gt;'Funnel setup'!$K$3&amp;'Funnel setup'!$K$4&amp;'Funnel setup'!$K$5,".",IF(A3940=".",1,A3940+1))</f>
        <v>.</v>
      </c>
      <c r="B3941" s="431" t="str">
        <f t="shared" si="61"/>
        <v>Knee Replacement PrimaryCCG of GP PracticeNHS LEICESTER CITY CCG (04C)EQ-5D Index</v>
      </c>
      <c r="C3941" t="s">
        <v>249</v>
      </c>
      <c r="D3941" t="s">
        <v>87</v>
      </c>
      <c r="E3941" t="s">
        <v>554</v>
      </c>
      <c r="F3941" t="s">
        <v>555</v>
      </c>
      <c r="G3941" t="s">
        <v>52</v>
      </c>
      <c r="H3941">
        <v>175</v>
      </c>
      <c r="I3941">
        <v>0.28599999999999998</v>
      </c>
      <c r="J3941">
        <v>0.70199999999999996</v>
      </c>
      <c r="K3941">
        <v>0.41599999999999998</v>
      </c>
      <c r="L3941">
        <v>153</v>
      </c>
      <c r="M3941">
        <v>10</v>
      </c>
      <c r="N3941">
        <v>12</v>
      </c>
      <c r="O3941">
        <v>0.77</v>
      </c>
      <c r="P3941">
        <v>0.34464958800000001</v>
      </c>
      <c r="Q3941">
        <v>0.216</v>
      </c>
    </row>
    <row r="3942" spans="1:17" x14ac:dyDescent="0.2">
      <c r="A3942" s="30" t="str">
        <f>IF(C3942&amp;G3942&amp;D3942&lt;&gt;'Funnel setup'!$K$3&amp;'Funnel setup'!$K$4&amp;'Funnel setup'!$K$5,".",IF(A3941=".",1,A3941+1))</f>
        <v>.</v>
      </c>
      <c r="B3942" s="431" t="str">
        <f t="shared" si="61"/>
        <v>Knee Replacement PrimaryCCG of GP PracticeNHS LEWISHAM CCG (08L)EQ-5D Index</v>
      </c>
      <c r="C3942" t="s">
        <v>249</v>
      </c>
      <c r="D3942" t="s">
        <v>87</v>
      </c>
      <c r="E3942" t="s">
        <v>557</v>
      </c>
      <c r="F3942" t="s">
        <v>558</v>
      </c>
      <c r="G3942" t="s">
        <v>52</v>
      </c>
      <c r="H3942">
        <v>61</v>
      </c>
      <c r="I3942">
        <v>0.33600000000000002</v>
      </c>
      <c r="J3942">
        <v>0.61</v>
      </c>
      <c r="K3942">
        <v>0.27400000000000002</v>
      </c>
      <c r="L3942">
        <v>49</v>
      </c>
      <c r="M3942">
        <v>4</v>
      </c>
      <c r="N3942">
        <v>8</v>
      </c>
      <c r="O3942">
        <v>0.67100000000000004</v>
      </c>
      <c r="P3942">
        <v>0.245768018</v>
      </c>
      <c r="Q3942">
        <v>0.28599999999999998</v>
      </c>
    </row>
    <row r="3943" spans="1:17" x14ac:dyDescent="0.2">
      <c r="A3943" s="30" t="str">
        <f>IF(C3943&amp;G3943&amp;D3943&lt;&gt;'Funnel setup'!$K$3&amp;'Funnel setup'!$K$4&amp;'Funnel setup'!$K$5,".",IF(A3942=".",1,A3942+1))</f>
        <v>.</v>
      </c>
      <c r="B3943" s="431" t="str">
        <f t="shared" si="61"/>
        <v>Knee Replacement PrimaryCCG of GP PracticeNHS LINCOLNSHIRE EAST CCG (03T)EQ-5D Index</v>
      </c>
      <c r="C3943" t="s">
        <v>249</v>
      </c>
      <c r="D3943" t="s">
        <v>87</v>
      </c>
      <c r="E3943" t="s">
        <v>560</v>
      </c>
      <c r="F3943" t="s">
        <v>561</v>
      </c>
      <c r="G3943" t="s">
        <v>52</v>
      </c>
      <c r="H3943">
        <v>226</v>
      </c>
      <c r="I3943">
        <v>0.44</v>
      </c>
      <c r="J3943">
        <v>0.752</v>
      </c>
      <c r="K3943">
        <v>0.311</v>
      </c>
      <c r="L3943">
        <v>184</v>
      </c>
      <c r="M3943">
        <v>16</v>
      </c>
      <c r="N3943">
        <v>26</v>
      </c>
      <c r="O3943">
        <v>0.752</v>
      </c>
      <c r="P3943">
        <v>0.327190588</v>
      </c>
      <c r="Q3943">
        <v>0.22600000000000001</v>
      </c>
    </row>
    <row r="3944" spans="1:17" x14ac:dyDescent="0.2">
      <c r="A3944" s="30" t="str">
        <f>IF(C3944&amp;G3944&amp;D3944&lt;&gt;'Funnel setup'!$K$3&amp;'Funnel setup'!$K$4&amp;'Funnel setup'!$K$5,".",IF(A3943=".",1,A3943+1))</f>
        <v>.</v>
      </c>
      <c r="B3944" s="431" t="str">
        <f t="shared" si="61"/>
        <v>Knee Replacement PrimaryCCG of GP PracticeNHS LINCOLNSHIRE WEST CCG (04D)EQ-5D Index</v>
      </c>
      <c r="C3944" t="s">
        <v>249</v>
      </c>
      <c r="D3944" t="s">
        <v>87</v>
      </c>
      <c r="E3944" t="s">
        <v>408</v>
      </c>
      <c r="F3944" t="s">
        <v>409</v>
      </c>
      <c r="G3944" t="s">
        <v>52</v>
      </c>
      <c r="H3944">
        <v>187</v>
      </c>
      <c r="I3944">
        <v>0.45300000000000001</v>
      </c>
      <c r="J3944">
        <v>0.78200000000000003</v>
      </c>
      <c r="K3944">
        <v>0.32900000000000001</v>
      </c>
      <c r="L3944">
        <v>158</v>
      </c>
      <c r="M3944">
        <v>21</v>
      </c>
      <c r="N3944">
        <v>8</v>
      </c>
      <c r="O3944">
        <v>0.76300000000000001</v>
      </c>
      <c r="P3944">
        <v>0.33821240000000002</v>
      </c>
      <c r="Q3944">
        <v>0.19400000000000001</v>
      </c>
    </row>
    <row r="3945" spans="1:17" x14ac:dyDescent="0.2">
      <c r="A3945" s="30" t="str">
        <f>IF(C3945&amp;G3945&amp;D3945&lt;&gt;'Funnel setup'!$K$3&amp;'Funnel setup'!$K$4&amp;'Funnel setup'!$K$5,".",IF(A3944=".",1,A3944+1))</f>
        <v>.</v>
      </c>
      <c r="B3945" s="431" t="str">
        <f t="shared" si="61"/>
        <v>Knee Replacement PrimaryCCG of GP PracticeNHS LIVERPOOL CCG (99A)EQ-5D Index</v>
      </c>
      <c r="C3945" t="s">
        <v>249</v>
      </c>
      <c r="D3945" t="s">
        <v>87</v>
      </c>
      <c r="E3945" t="s">
        <v>411</v>
      </c>
      <c r="F3945" t="s">
        <v>412</v>
      </c>
      <c r="G3945" t="s">
        <v>52</v>
      </c>
      <c r="H3945">
        <v>251</v>
      </c>
      <c r="I3945">
        <v>0.34399999999999997</v>
      </c>
      <c r="J3945">
        <v>0.66600000000000004</v>
      </c>
      <c r="K3945">
        <v>0.32200000000000001</v>
      </c>
      <c r="L3945">
        <v>192</v>
      </c>
      <c r="M3945">
        <v>32</v>
      </c>
      <c r="N3945">
        <v>27</v>
      </c>
      <c r="O3945">
        <v>0.71799999999999997</v>
      </c>
      <c r="P3945">
        <v>0.292557224</v>
      </c>
      <c r="Q3945">
        <v>0.23400000000000001</v>
      </c>
    </row>
    <row r="3946" spans="1:17" x14ac:dyDescent="0.2">
      <c r="A3946" s="30" t="str">
        <f>IF(C3946&amp;G3946&amp;D3946&lt;&gt;'Funnel setup'!$K$3&amp;'Funnel setup'!$K$4&amp;'Funnel setup'!$K$5,".",IF(A3945=".",1,A3945+1))</f>
        <v>.</v>
      </c>
      <c r="B3946" s="431" t="str">
        <f t="shared" si="61"/>
        <v>Knee Replacement PrimaryCCG of GP PracticeNHS LUTON CCG (06P)EQ-5D Index</v>
      </c>
      <c r="C3946" t="s">
        <v>249</v>
      </c>
      <c r="D3946" t="s">
        <v>87</v>
      </c>
      <c r="E3946" t="s">
        <v>414</v>
      </c>
      <c r="F3946" t="s">
        <v>415</v>
      </c>
      <c r="G3946" t="s">
        <v>52</v>
      </c>
      <c r="H3946">
        <v>113</v>
      </c>
      <c r="I3946">
        <v>0.309</v>
      </c>
      <c r="J3946">
        <v>0.68700000000000006</v>
      </c>
      <c r="K3946">
        <v>0.378</v>
      </c>
      <c r="L3946">
        <v>96</v>
      </c>
      <c r="M3946">
        <v>8</v>
      </c>
      <c r="N3946">
        <v>9</v>
      </c>
      <c r="O3946">
        <v>0.72299999999999998</v>
      </c>
      <c r="P3946">
        <v>0.29820595700000002</v>
      </c>
      <c r="Q3946">
        <v>0.23799999999999999</v>
      </c>
    </row>
    <row r="3947" spans="1:17" x14ac:dyDescent="0.2">
      <c r="A3947" s="30" t="str">
        <f>IF(C3947&amp;G3947&amp;D3947&lt;&gt;'Funnel setup'!$K$3&amp;'Funnel setup'!$K$4&amp;'Funnel setup'!$K$5,".",IF(A3946=".",1,A3946+1))</f>
        <v>.</v>
      </c>
      <c r="B3947" s="431" t="str">
        <f t="shared" si="61"/>
        <v>Knee Replacement PrimaryCCG of GP PracticeNHS MANSFIELD AND ASHFIELD CCG (04E)EQ-5D Index</v>
      </c>
      <c r="C3947" t="s">
        <v>249</v>
      </c>
      <c r="D3947" t="s">
        <v>87</v>
      </c>
      <c r="E3947" t="s">
        <v>417</v>
      </c>
      <c r="F3947" t="s">
        <v>418</v>
      </c>
      <c r="G3947" t="s">
        <v>52</v>
      </c>
      <c r="H3947">
        <v>128</v>
      </c>
      <c r="I3947">
        <v>0.36899999999999999</v>
      </c>
      <c r="J3947">
        <v>0.67800000000000005</v>
      </c>
      <c r="K3947">
        <v>0.309</v>
      </c>
      <c r="L3947">
        <v>100</v>
      </c>
      <c r="M3947">
        <v>14</v>
      </c>
      <c r="N3947">
        <v>14</v>
      </c>
      <c r="O3947">
        <v>0.71099999999999997</v>
      </c>
      <c r="P3947">
        <v>0.285904029</v>
      </c>
      <c r="Q3947">
        <v>0.26200000000000001</v>
      </c>
    </row>
    <row r="3948" spans="1:17" x14ac:dyDescent="0.2">
      <c r="A3948" s="30" t="str">
        <f>IF(C3948&amp;G3948&amp;D3948&lt;&gt;'Funnel setup'!$K$3&amp;'Funnel setup'!$K$4&amp;'Funnel setup'!$K$5,".",IF(A3947=".",1,A3947+1))</f>
        <v>.</v>
      </c>
      <c r="B3948" s="431" t="str">
        <f t="shared" si="61"/>
        <v>Knee Replacement PrimaryCCG of GP PracticeNHS MEDWAY CCG (09W)EQ-5D Index</v>
      </c>
      <c r="C3948" t="s">
        <v>249</v>
      </c>
      <c r="D3948" t="s">
        <v>87</v>
      </c>
      <c r="E3948" t="s">
        <v>610</v>
      </c>
      <c r="F3948" t="s">
        <v>611</v>
      </c>
      <c r="G3948" t="s">
        <v>52</v>
      </c>
      <c r="H3948">
        <v>167</v>
      </c>
      <c r="I3948">
        <v>0.40100000000000002</v>
      </c>
      <c r="J3948">
        <v>0.74</v>
      </c>
      <c r="K3948">
        <v>0.33900000000000002</v>
      </c>
      <c r="L3948">
        <v>141</v>
      </c>
      <c r="M3948">
        <v>11</v>
      </c>
      <c r="N3948">
        <v>15</v>
      </c>
      <c r="O3948">
        <v>0.751</v>
      </c>
      <c r="P3948">
        <v>0.32576055799999998</v>
      </c>
      <c r="Q3948">
        <v>0.21299999999999999</v>
      </c>
    </row>
    <row r="3949" spans="1:17" x14ac:dyDescent="0.2">
      <c r="A3949" s="30" t="str">
        <f>IF(C3949&amp;G3949&amp;D3949&lt;&gt;'Funnel setup'!$K$3&amp;'Funnel setup'!$K$4&amp;'Funnel setup'!$K$5,".",IF(A3948=".",1,A3948+1))</f>
        <v>.</v>
      </c>
      <c r="B3949" s="431" t="str">
        <f t="shared" si="61"/>
        <v>Knee Replacement PrimaryCCG of GP PracticeNHS MERTON CCG (08R)EQ-5D Index</v>
      </c>
      <c r="C3949" t="s">
        <v>249</v>
      </c>
      <c r="D3949" t="s">
        <v>87</v>
      </c>
      <c r="E3949" t="s">
        <v>613</v>
      </c>
      <c r="F3949" t="s">
        <v>614</v>
      </c>
      <c r="G3949" t="s">
        <v>52</v>
      </c>
      <c r="H3949">
        <v>58</v>
      </c>
      <c r="I3949">
        <v>0.36399999999999999</v>
      </c>
      <c r="J3949">
        <v>0.66600000000000004</v>
      </c>
      <c r="K3949">
        <v>0.30199999999999999</v>
      </c>
      <c r="L3949">
        <v>47</v>
      </c>
      <c r="M3949">
        <v>4</v>
      </c>
      <c r="N3949">
        <v>7</v>
      </c>
      <c r="O3949">
        <v>0.67700000000000005</v>
      </c>
      <c r="P3949">
        <v>0.25168871100000001</v>
      </c>
      <c r="Q3949">
        <v>0.26100000000000001</v>
      </c>
    </row>
    <row r="3950" spans="1:17" x14ac:dyDescent="0.2">
      <c r="A3950" s="30" t="str">
        <f>IF(C3950&amp;G3950&amp;D3950&lt;&gt;'Funnel setup'!$K$3&amp;'Funnel setup'!$K$4&amp;'Funnel setup'!$K$5,".",IF(A3949=".",1,A3949+1))</f>
        <v>.</v>
      </c>
      <c r="B3950" s="431" t="str">
        <f t="shared" si="61"/>
        <v>Knee Replacement PrimaryCCG of GP PracticeNHS MID ESSEX CCG (06Q)EQ-5D Index</v>
      </c>
      <c r="C3950" t="s">
        <v>249</v>
      </c>
      <c r="D3950" t="s">
        <v>87</v>
      </c>
      <c r="E3950" t="s">
        <v>616</v>
      </c>
      <c r="F3950" t="s">
        <v>617</v>
      </c>
      <c r="G3950" t="s">
        <v>52</v>
      </c>
      <c r="H3950">
        <v>276</v>
      </c>
      <c r="I3950">
        <v>0.35399999999999998</v>
      </c>
      <c r="J3950">
        <v>0.71299999999999997</v>
      </c>
      <c r="K3950">
        <v>0.35899999999999999</v>
      </c>
      <c r="L3950">
        <v>227</v>
      </c>
      <c r="M3950">
        <v>23</v>
      </c>
      <c r="N3950">
        <v>26</v>
      </c>
      <c r="O3950">
        <v>0.71099999999999997</v>
      </c>
      <c r="P3950">
        <v>0.28605838300000003</v>
      </c>
      <c r="Q3950">
        <v>0.24199999999999999</v>
      </c>
    </row>
    <row r="3951" spans="1:17" x14ac:dyDescent="0.2">
      <c r="A3951" s="30" t="str">
        <f>IF(C3951&amp;G3951&amp;D3951&lt;&gt;'Funnel setup'!$K$3&amp;'Funnel setup'!$K$4&amp;'Funnel setup'!$K$5,".",IF(A3950=".",1,A3950+1))</f>
        <v>.</v>
      </c>
      <c r="B3951" s="431" t="str">
        <f t="shared" si="61"/>
        <v>Knee Replacement PrimaryCCG of GP PracticeNHS MILTON KEYNES CCG (04F)EQ-5D Index</v>
      </c>
      <c r="C3951" t="s">
        <v>249</v>
      </c>
      <c r="D3951" t="s">
        <v>87</v>
      </c>
      <c r="E3951" t="s">
        <v>619</v>
      </c>
      <c r="F3951" t="s">
        <v>338</v>
      </c>
      <c r="G3951" t="s">
        <v>52</v>
      </c>
      <c r="H3951">
        <v>131</v>
      </c>
      <c r="I3951">
        <v>0.35799999999999998</v>
      </c>
      <c r="J3951">
        <v>0.78500000000000003</v>
      </c>
      <c r="K3951">
        <v>0.42799999999999999</v>
      </c>
      <c r="L3951">
        <v>114</v>
      </c>
      <c r="M3951">
        <v>11</v>
      </c>
      <c r="N3951">
        <v>6</v>
      </c>
      <c r="O3951">
        <v>0.79900000000000004</v>
      </c>
      <c r="P3951">
        <v>0.37381088099999998</v>
      </c>
      <c r="Q3951">
        <v>0.23400000000000001</v>
      </c>
    </row>
    <row r="3952" spans="1:17" x14ac:dyDescent="0.2">
      <c r="A3952" s="30" t="str">
        <f>IF(C3952&amp;G3952&amp;D3952&lt;&gt;'Funnel setup'!$K$3&amp;'Funnel setup'!$K$4&amp;'Funnel setup'!$K$5,".",IF(A3951=".",1,A3951+1))</f>
        <v>.</v>
      </c>
      <c r="B3952" s="431" t="str">
        <f t="shared" si="61"/>
        <v>Knee Replacement PrimaryCCG of GP PracticeNHS NENE CCG (04G)EQ-5D Index</v>
      </c>
      <c r="C3952" t="s">
        <v>249</v>
      </c>
      <c r="D3952" t="s">
        <v>87</v>
      </c>
      <c r="E3952" t="s">
        <v>621</v>
      </c>
      <c r="F3952" t="s">
        <v>622</v>
      </c>
      <c r="G3952" t="s">
        <v>52</v>
      </c>
      <c r="H3952">
        <v>416</v>
      </c>
      <c r="I3952">
        <v>0.35799999999999998</v>
      </c>
      <c r="J3952">
        <v>0.746</v>
      </c>
      <c r="K3952">
        <v>0.38800000000000001</v>
      </c>
      <c r="L3952">
        <v>356</v>
      </c>
      <c r="M3952">
        <v>26</v>
      </c>
      <c r="N3952">
        <v>34</v>
      </c>
      <c r="O3952">
        <v>0.76400000000000001</v>
      </c>
      <c r="P3952">
        <v>0.339267178</v>
      </c>
      <c r="Q3952">
        <v>0.249</v>
      </c>
    </row>
    <row r="3953" spans="1:17" x14ac:dyDescent="0.2">
      <c r="A3953" s="30" t="str">
        <f>IF(C3953&amp;G3953&amp;D3953&lt;&gt;'Funnel setup'!$K$3&amp;'Funnel setup'!$K$4&amp;'Funnel setup'!$K$5,".",IF(A3952=".",1,A3952+1))</f>
        <v>.</v>
      </c>
      <c r="B3953" s="431" t="str">
        <f t="shared" si="61"/>
        <v>Knee Replacement PrimaryCCG of GP PracticeNHS NEWARK &amp; SHERWOOD CCG (04H)EQ-5D Index</v>
      </c>
      <c r="C3953" t="s">
        <v>249</v>
      </c>
      <c r="D3953" t="s">
        <v>87</v>
      </c>
      <c r="E3953" t="s">
        <v>624</v>
      </c>
      <c r="F3953" t="s">
        <v>625</v>
      </c>
      <c r="G3953" t="s">
        <v>52</v>
      </c>
      <c r="H3953">
        <v>102</v>
      </c>
      <c r="I3953">
        <v>0.35499999999999998</v>
      </c>
      <c r="J3953">
        <v>0.66800000000000004</v>
      </c>
      <c r="K3953">
        <v>0.313</v>
      </c>
      <c r="L3953">
        <v>82</v>
      </c>
      <c r="M3953">
        <v>9</v>
      </c>
      <c r="N3953">
        <v>11</v>
      </c>
      <c r="O3953">
        <v>0.69199999999999995</v>
      </c>
      <c r="P3953">
        <v>0.26719438000000001</v>
      </c>
      <c r="Q3953">
        <v>0.26700000000000002</v>
      </c>
    </row>
    <row r="3954" spans="1:17" x14ac:dyDescent="0.2">
      <c r="A3954" s="30" t="str">
        <f>IF(C3954&amp;G3954&amp;D3954&lt;&gt;'Funnel setup'!$K$3&amp;'Funnel setup'!$K$4&amp;'Funnel setup'!$K$5,".",IF(A3953=".",1,A3953+1))</f>
        <v>.</v>
      </c>
      <c r="B3954" s="431" t="str">
        <f t="shared" si="61"/>
        <v>Knee Replacement PrimaryCCG of GP PracticeNHS NEWBURY AND DISTRICT CCG (10M)EQ-5D Index</v>
      </c>
      <c r="C3954" t="s">
        <v>249</v>
      </c>
      <c r="D3954" t="s">
        <v>87</v>
      </c>
      <c r="E3954" t="s">
        <v>627</v>
      </c>
      <c r="F3954" t="s">
        <v>628</v>
      </c>
      <c r="G3954" t="s">
        <v>52</v>
      </c>
      <c r="H3954">
        <v>50</v>
      </c>
      <c r="I3954">
        <v>0.497</v>
      </c>
      <c r="J3954">
        <v>0.76600000000000001</v>
      </c>
      <c r="K3954">
        <v>0.26900000000000002</v>
      </c>
      <c r="L3954">
        <v>36</v>
      </c>
      <c r="M3954">
        <v>6</v>
      </c>
      <c r="N3954">
        <v>8</v>
      </c>
      <c r="O3954">
        <v>0.71699999999999997</v>
      </c>
      <c r="P3954">
        <v>0.29159475699999998</v>
      </c>
      <c r="Q3954">
        <v>0.19</v>
      </c>
    </row>
    <row r="3955" spans="1:17" x14ac:dyDescent="0.2">
      <c r="A3955" s="30" t="str">
        <f>IF(C3955&amp;G3955&amp;D3955&lt;&gt;'Funnel setup'!$K$3&amp;'Funnel setup'!$K$4&amp;'Funnel setup'!$K$5,".",IF(A3954=".",1,A3954+1))</f>
        <v>.</v>
      </c>
      <c r="B3955" s="431" t="str">
        <f t="shared" si="61"/>
        <v>Knee Replacement PrimaryCCG of GP PracticeNHS NEWCASTLE GATESHEAD CCG (13T)EQ-5D Index</v>
      </c>
      <c r="C3955" t="s">
        <v>249</v>
      </c>
      <c r="D3955" t="s">
        <v>87</v>
      </c>
      <c r="E3955" t="s">
        <v>6553</v>
      </c>
      <c r="F3955" t="s">
        <v>6543</v>
      </c>
      <c r="G3955" t="s">
        <v>52</v>
      </c>
      <c r="H3955">
        <v>475</v>
      </c>
      <c r="I3955">
        <v>0.38700000000000001</v>
      </c>
      <c r="J3955">
        <v>0.71299999999999997</v>
      </c>
      <c r="K3955">
        <v>0.32600000000000001</v>
      </c>
      <c r="L3955">
        <v>380</v>
      </c>
      <c r="M3955">
        <v>45</v>
      </c>
      <c r="N3955">
        <v>50</v>
      </c>
      <c r="O3955">
        <v>0.73799999999999999</v>
      </c>
      <c r="P3955">
        <v>0.31344561300000001</v>
      </c>
      <c r="Q3955">
        <v>0.223</v>
      </c>
    </row>
    <row r="3956" spans="1:17" x14ac:dyDescent="0.2">
      <c r="A3956" s="30" t="str">
        <f>IF(C3956&amp;G3956&amp;D3956&lt;&gt;'Funnel setup'!$K$3&amp;'Funnel setup'!$K$4&amp;'Funnel setup'!$K$5,".",IF(A3955=".",1,A3955+1))</f>
        <v>.</v>
      </c>
      <c r="B3956" s="431" t="str">
        <f t="shared" si="61"/>
        <v>Knee Replacement PrimaryCCG of GP PracticeNHS NEWHAM CCG (08M)EQ-5D Index</v>
      </c>
      <c r="C3956" t="s">
        <v>249</v>
      </c>
      <c r="D3956" t="s">
        <v>87</v>
      </c>
      <c r="E3956" t="s">
        <v>630</v>
      </c>
      <c r="F3956" t="s">
        <v>631</v>
      </c>
      <c r="G3956" t="s">
        <v>52</v>
      </c>
      <c r="H3956">
        <v>88</v>
      </c>
      <c r="I3956">
        <v>0.32500000000000001</v>
      </c>
      <c r="J3956">
        <v>0.54900000000000004</v>
      </c>
      <c r="K3956">
        <v>0.224</v>
      </c>
      <c r="L3956">
        <v>59</v>
      </c>
      <c r="M3956">
        <v>11</v>
      </c>
      <c r="N3956">
        <v>18</v>
      </c>
      <c r="O3956">
        <v>0.65700000000000003</v>
      </c>
      <c r="P3956">
        <v>0.23244335399999999</v>
      </c>
      <c r="Q3956">
        <v>0.28499999999999998</v>
      </c>
    </row>
    <row r="3957" spans="1:17" x14ac:dyDescent="0.2">
      <c r="A3957" s="30" t="str">
        <f>IF(C3957&amp;G3957&amp;D3957&lt;&gt;'Funnel setup'!$K$3&amp;'Funnel setup'!$K$4&amp;'Funnel setup'!$K$5,".",IF(A3956=".",1,A3956+1))</f>
        <v>.</v>
      </c>
      <c r="B3957" s="431" t="str">
        <f t="shared" si="61"/>
        <v>Knee Replacement PrimaryCCG of GP PracticeNHS NORTH &amp; WEST READING CCG (10N)EQ-5D Index</v>
      </c>
      <c r="C3957" t="s">
        <v>249</v>
      </c>
      <c r="D3957" t="s">
        <v>87</v>
      </c>
      <c r="E3957" t="s">
        <v>633</v>
      </c>
      <c r="F3957" t="s">
        <v>634</v>
      </c>
      <c r="G3957" t="s">
        <v>52</v>
      </c>
      <c r="H3957">
        <v>72</v>
      </c>
      <c r="I3957">
        <v>0.53900000000000003</v>
      </c>
      <c r="J3957">
        <v>0.76400000000000001</v>
      </c>
      <c r="K3957">
        <v>0.22500000000000001</v>
      </c>
      <c r="L3957">
        <v>50</v>
      </c>
      <c r="M3957">
        <v>14</v>
      </c>
      <c r="N3957">
        <v>8</v>
      </c>
      <c r="O3957">
        <v>0.70399999999999996</v>
      </c>
      <c r="P3957">
        <v>0.27890996000000001</v>
      </c>
      <c r="Q3957">
        <v>0.19600000000000001</v>
      </c>
    </row>
    <row r="3958" spans="1:17" x14ac:dyDescent="0.2">
      <c r="A3958" s="30" t="str">
        <f>IF(C3958&amp;G3958&amp;D3958&lt;&gt;'Funnel setup'!$K$3&amp;'Funnel setup'!$K$4&amp;'Funnel setup'!$K$5,".",IF(A3957=".",1,A3957+1))</f>
        <v>.</v>
      </c>
      <c r="B3958" s="431" t="str">
        <f t="shared" si="61"/>
        <v>Knee Replacement PrimaryCCG of GP PracticeNHS NORTH DERBYSHIRE CCG (04J)EQ-5D Index</v>
      </c>
      <c r="C3958" t="s">
        <v>249</v>
      </c>
      <c r="D3958" t="s">
        <v>87</v>
      </c>
      <c r="E3958" t="s">
        <v>636</v>
      </c>
      <c r="F3958" t="s">
        <v>637</v>
      </c>
      <c r="G3958" t="s">
        <v>52</v>
      </c>
      <c r="H3958">
        <v>321</v>
      </c>
      <c r="I3958">
        <v>0.46100000000000002</v>
      </c>
      <c r="J3958">
        <v>0.77100000000000002</v>
      </c>
      <c r="K3958">
        <v>0.311</v>
      </c>
      <c r="L3958">
        <v>268</v>
      </c>
      <c r="M3958">
        <v>29</v>
      </c>
      <c r="N3958">
        <v>24</v>
      </c>
      <c r="O3958">
        <v>0.75900000000000001</v>
      </c>
      <c r="P3958">
        <v>0.33422889900000002</v>
      </c>
      <c r="Q3958">
        <v>0.215</v>
      </c>
    </row>
    <row r="3959" spans="1:17" x14ac:dyDescent="0.2">
      <c r="A3959" s="30" t="str">
        <f>IF(C3959&amp;G3959&amp;D3959&lt;&gt;'Funnel setup'!$K$3&amp;'Funnel setup'!$K$4&amp;'Funnel setup'!$K$5,".",IF(A3958=".",1,A3958+1))</f>
        <v>.</v>
      </c>
      <c r="B3959" s="431" t="str">
        <f t="shared" si="61"/>
        <v>Knee Replacement PrimaryCCG of GP PracticeNHS NORTH DURHAM CCG (00J)EQ-5D Index</v>
      </c>
      <c r="C3959" t="s">
        <v>249</v>
      </c>
      <c r="D3959" t="s">
        <v>87</v>
      </c>
      <c r="E3959" t="s">
        <v>639</v>
      </c>
      <c r="F3959" t="s">
        <v>640</v>
      </c>
      <c r="G3959" t="s">
        <v>52</v>
      </c>
      <c r="H3959">
        <v>225</v>
      </c>
      <c r="I3959">
        <v>0.35299999999999998</v>
      </c>
      <c r="J3959">
        <v>0.71099999999999997</v>
      </c>
      <c r="K3959">
        <v>0.35799999999999998</v>
      </c>
      <c r="L3959">
        <v>185</v>
      </c>
      <c r="M3959">
        <v>21</v>
      </c>
      <c r="N3959">
        <v>19</v>
      </c>
      <c r="O3959">
        <v>0.73799999999999999</v>
      </c>
      <c r="P3959">
        <v>0.31303400100000001</v>
      </c>
      <c r="Q3959">
        <v>0.246</v>
      </c>
    </row>
    <row r="3960" spans="1:17" x14ac:dyDescent="0.2">
      <c r="A3960" s="30" t="str">
        <f>IF(C3960&amp;G3960&amp;D3960&lt;&gt;'Funnel setup'!$K$3&amp;'Funnel setup'!$K$4&amp;'Funnel setup'!$K$5,".",IF(A3959=".",1,A3959+1))</f>
        <v>.</v>
      </c>
      <c r="B3960" s="431" t="str">
        <f t="shared" si="61"/>
        <v>Knee Replacement PrimaryCCG of GP PracticeNHS NORTH EAST ESSEX CCG (06T)EQ-5D Index</v>
      </c>
      <c r="C3960" t="s">
        <v>249</v>
      </c>
      <c r="D3960" t="s">
        <v>87</v>
      </c>
      <c r="E3960" t="s">
        <v>642</v>
      </c>
      <c r="F3960" t="s">
        <v>643</v>
      </c>
      <c r="G3960" t="s">
        <v>52</v>
      </c>
      <c r="H3960">
        <v>315</v>
      </c>
      <c r="I3960">
        <v>0.45900000000000002</v>
      </c>
      <c r="J3960">
        <v>0.75900000000000001</v>
      </c>
      <c r="K3960">
        <v>0.3</v>
      </c>
      <c r="L3960">
        <v>256</v>
      </c>
      <c r="M3960">
        <v>33</v>
      </c>
      <c r="N3960">
        <v>26</v>
      </c>
      <c r="O3960">
        <v>0.753</v>
      </c>
      <c r="P3960">
        <v>0.328411601</v>
      </c>
      <c r="Q3960">
        <v>0.22</v>
      </c>
    </row>
    <row r="3961" spans="1:17" x14ac:dyDescent="0.2">
      <c r="A3961" s="30" t="str">
        <f>IF(C3961&amp;G3961&amp;D3961&lt;&gt;'Funnel setup'!$K$3&amp;'Funnel setup'!$K$4&amp;'Funnel setup'!$K$5,".",IF(A3960=".",1,A3960+1))</f>
        <v>.</v>
      </c>
      <c r="B3961" s="431" t="str">
        <f t="shared" si="61"/>
        <v>Knee Replacement PrimaryCCG of GP PracticeNHS NORTH EAST HAMPSHIRE AND FARNHAM CCG (99M)EQ-5D Index</v>
      </c>
      <c r="C3961" t="s">
        <v>249</v>
      </c>
      <c r="D3961" t="s">
        <v>87</v>
      </c>
      <c r="E3961" t="s">
        <v>645</v>
      </c>
      <c r="F3961" t="s">
        <v>646</v>
      </c>
      <c r="G3961" t="s">
        <v>52</v>
      </c>
      <c r="H3961">
        <v>176</v>
      </c>
      <c r="I3961">
        <v>0.53</v>
      </c>
      <c r="J3961">
        <v>0.8</v>
      </c>
      <c r="K3961">
        <v>0.27</v>
      </c>
      <c r="L3961">
        <v>143</v>
      </c>
      <c r="M3961">
        <v>17</v>
      </c>
      <c r="N3961">
        <v>16</v>
      </c>
      <c r="O3961">
        <v>0.747</v>
      </c>
      <c r="P3961">
        <v>0.32153700699999999</v>
      </c>
      <c r="Q3961">
        <v>0.17699999999999999</v>
      </c>
    </row>
    <row r="3962" spans="1:17" x14ac:dyDescent="0.2">
      <c r="A3962" s="30" t="str">
        <f>IF(C3962&amp;G3962&amp;D3962&lt;&gt;'Funnel setup'!$K$3&amp;'Funnel setup'!$K$4&amp;'Funnel setup'!$K$5,".",IF(A3961=".",1,A3961+1))</f>
        <v>.</v>
      </c>
      <c r="B3962" s="431" t="str">
        <f t="shared" si="61"/>
        <v>Knee Replacement PrimaryCCG of GP PracticeNHS NORTH EAST LINCOLNSHIRE CCG (03H)EQ-5D Index</v>
      </c>
      <c r="C3962" t="s">
        <v>249</v>
      </c>
      <c r="D3962" t="s">
        <v>87</v>
      </c>
      <c r="E3962" t="s">
        <v>648</v>
      </c>
      <c r="F3962" t="s">
        <v>649</v>
      </c>
      <c r="G3962" t="s">
        <v>52</v>
      </c>
      <c r="H3962">
        <v>94</v>
      </c>
      <c r="I3962">
        <v>0.39500000000000002</v>
      </c>
      <c r="J3962">
        <v>0.752</v>
      </c>
      <c r="K3962">
        <v>0.35699999999999998</v>
      </c>
      <c r="L3962">
        <v>77</v>
      </c>
      <c r="M3962">
        <v>11</v>
      </c>
      <c r="N3962">
        <v>6</v>
      </c>
      <c r="O3962">
        <v>0.752</v>
      </c>
      <c r="P3962">
        <v>0.32658034000000002</v>
      </c>
      <c r="Q3962">
        <v>0.224</v>
      </c>
    </row>
    <row r="3963" spans="1:17" x14ac:dyDescent="0.2">
      <c r="A3963" s="30" t="str">
        <f>IF(C3963&amp;G3963&amp;D3963&lt;&gt;'Funnel setup'!$K$3&amp;'Funnel setup'!$K$4&amp;'Funnel setup'!$K$5,".",IF(A3962=".",1,A3962+1))</f>
        <v>.</v>
      </c>
      <c r="B3963" s="431" t="str">
        <f t="shared" si="61"/>
        <v>Knee Replacement PrimaryCCG of GP PracticeNHS NORTH HAMPSHIRE CCG (10J)EQ-5D Index</v>
      </c>
      <c r="C3963" t="s">
        <v>249</v>
      </c>
      <c r="D3963" t="s">
        <v>87</v>
      </c>
      <c r="E3963" t="s">
        <v>651</v>
      </c>
      <c r="F3963" t="s">
        <v>652</v>
      </c>
      <c r="G3963" t="s">
        <v>52</v>
      </c>
      <c r="H3963">
        <v>115</v>
      </c>
      <c r="I3963">
        <v>0.48299999999999998</v>
      </c>
      <c r="J3963">
        <v>0.75</v>
      </c>
      <c r="K3963">
        <v>0.26700000000000002</v>
      </c>
      <c r="L3963">
        <v>91</v>
      </c>
      <c r="M3963">
        <v>12</v>
      </c>
      <c r="N3963">
        <v>12</v>
      </c>
      <c r="O3963">
        <v>0.73299999999999998</v>
      </c>
      <c r="P3963">
        <v>0.30756884200000001</v>
      </c>
      <c r="Q3963">
        <v>0.218</v>
      </c>
    </row>
    <row r="3964" spans="1:17" x14ac:dyDescent="0.2">
      <c r="A3964" s="30" t="str">
        <f>IF(C3964&amp;G3964&amp;D3964&lt;&gt;'Funnel setup'!$K$3&amp;'Funnel setup'!$K$4&amp;'Funnel setup'!$K$5,".",IF(A3963=".",1,A3963+1))</f>
        <v>.</v>
      </c>
      <c r="B3964" s="431" t="str">
        <f t="shared" si="61"/>
        <v>Knee Replacement PrimaryCCG of GP PracticeNHS NORTH KIRKLEES CCG (03J)EQ-5D Index</v>
      </c>
      <c r="C3964" t="s">
        <v>249</v>
      </c>
      <c r="D3964" t="s">
        <v>87</v>
      </c>
      <c r="E3964" t="s">
        <v>654</v>
      </c>
      <c r="F3964" t="s">
        <v>655</v>
      </c>
      <c r="G3964" t="s">
        <v>52</v>
      </c>
      <c r="H3964">
        <v>144</v>
      </c>
      <c r="I3964">
        <v>0.45900000000000002</v>
      </c>
      <c r="J3964">
        <v>0.751</v>
      </c>
      <c r="K3964">
        <v>0.29199999999999998</v>
      </c>
      <c r="L3964">
        <v>112</v>
      </c>
      <c r="M3964">
        <v>16</v>
      </c>
      <c r="N3964">
        <v>16</v>
      </c>
      <c r="O3964">
        <v>0.76</v>
      </c>
      <c r="P3964">
        <v>0.33478386799999998</v>
      </c>
      <c r="Q3964">
        <v>0.20100000000000001</v>
      </c>
    </row>
    <row r="3965" spans="1:17" x14ac:dyDescent="0.2">
      <c r="A3965" s="30" t="str">
        <f>IF(C3965&amp;G3965&amp;D3965&lt;&gt;'Funnel setup'!$K$3&amp;'Funnel setup'!$K$4&amp;'Funnel setup'!$K$5,".",IF(A3964=".",1,A3964+1))</f>
        <v>.</v>
      </c>
      <c r="B3965" s="431" t="str">
        <f t="shared" si="61"/>
        <v>Knee Replacement PrimaryCCG of GP PracticeNHS NORTH LINCOLNSHIRE CCG (03K)EQ-5D Index</v>
      </c>
      <c r="C3965" t="s">
        <v>249</v>
      </c>
      <c r="D3965" t="s">
        <v>87</v>
      </c>
      <c r="E3965" t="s">
        <v>657</v>
      </c>
      <c r="F3965" t="s">
        <v>658</v>
      </c>
      <c r="G3965" t="s">
        <v>52</v>
      </c>
      <c r="H3965">
        <v>183</v>
      </c>
      <c r="I3965">
        <v>0.39800000000000002</v>
      </c>
      <c r="J3965">
        <v>0.749</v>
      </c>
      <c r="K3965">
        <v>0.35099999999999998</v>
      </c>
      <c r="L3965">
        <v>150</v>
      </c>
      <c r="M3965">
        <v>18</v>
      </c>
      <c r="N3965">
        <v>15</v>
      </c>
      <c r="O3965">
        <v>0.753</v>
      </c>
      <c r="P3965">
        <v>0.32825339199999998</v>
      </c>
      <c r="Q3965">
        <v>0.24</v>
      </c>
    </row>
    <row r="3966" spans="1:17" x14ac:dyDescent="0.2">
      <c r="A3966" s="30" t="str">
        <f>IF(C3966&amp;G3966&amp;D3966&lt;&gt;'Funnel setup'!$K$3&amp;'Funnel setup'!$K$4&amp;'Funnel setup'!$K$5,".",IF(A3965=".",1,A3965+1))</f>
        <v>.</v>
      </c>
      <c r="B3966" s="431" t="str">
        <f t="shared" si="61"/>
        <v>Knee Replacement PrimaryCCG of GP PracticeNHS NORTH MANCHESTER CCG (01M)EQ-5D Index</v>
      </c>
      <c r="C3966" t="s">
        <v>249</v>
      </c>
      <c r="D3966" t="s">
        <v>87</v>
      </c>
      <c r="E3966" t="s">
        <v>660</v>
      </c>
      <c r="F3966" t="s">
        <v>661</v>
      </c>
      <c r="G3966" t="s">
        <v>52</v>
      </c>
      <c r="H3966">
        <v>94</v>
      </c>
      <c r="I3966">
        <v>0.34100000000000003</v>
      </c>
      <c r="J3966">
        <v>0.66200000000000003</v>
      </c>
      <c r="K3966">
        <v>0.32100000000000001</v>
      </c>
      <c r="L3966">
        <v>73</v>
      </c>
      <c r="M3966">
        <v>9</v>
      </c>
      <c r="N3966">
        <v>12</v>
      </c>
      <c r="O3966">
        <v>0.73199999999999998</v>
      </c>
      <c r="P3966">
        <v>0.30681204200000001</v>
      </c>
      <c r="Q3966">
        <v>0.29699999999999999</v>
      </c>
    </row>
    <row r="3967" spans="1:17" x14ac:dyDescent="0.2">
      <c r="A3967" s="30" t="str">
        <f>IF(C3967&amp;G3967&amp;D3967&lt;&gt;'Funnel setup'!$K$3&amp;'Funnel setup'!$K$4&amp;'Funnel setup'!$K$5,".",IF(A3966=".",1,A3966+1))</f>
        <v>.</v>
      </c>
      <c r="B3967" s="431" t="str">
        <f t="shared" si="61"/>
        <v>Knee Replacement PrimaryCCG of GP PracticeNHS NORTH NORFOLK CCG (06V)EQ-5D Index</v>
      </c>
      <c r="C3967" t="s">
        <v>249</v>
      </c>
      <c r="D3967" t="s">
        <v>87</v>
      </c>
      <c r="E3967" t="s">
        <v>663</v>
      </c>
      <c r="F3967" t="s">
        <v>664</v>
      </c>
      <c r="G3967" t="s">
        <v>52</v>
      </c>
      <c r="H3967">
        <v>183</v>
      </c>
      <c r="I3967">
        <v>0.442</v>
      </c>
      <c r="J3967">
        <v>0.75</v>
      </c>
      <c r="K3967">
        <v>0.307</v>
      </c>
      <c r="L3967">
        <v>152</v>
      </c>
      <c r="M3967">
        <v>16</v>
      </c>
      <c r="N3967">
        <v>15</v>
      </c>
      <c r="O3967">
        <v>0.73799999999999999</v>
      </c>
      <c r="P3967">
        <v>0.31339204300000001</v>
      </c>
      <c r="Q3967">
        <v>0.23300000000000001</v>
      </c>
    </row>
    <row r="3968" spans="1:17" x14ac:dyDescent="0.2">
      <c r="A3968" s="30" t="str">
        <f>IF(C3968&amp;G3968&amp;D3968&lt;&gt;'Funnel setup'!$K$3&amp;'Funnel setup'!$K$4&amp;'Funnel setup'!$K$5,".",IF(A3967=".",1,A3967+1))</f>
        <v>.</v>
      </c>
      <c r="B3968" s="431" t="str">
        <f t="shared" si="61"/>
        <v>Knee Replacement PrimaryCCG of GP PracticeNHS NORTH SOMERSET CCG (11T)EQ-5D Index</v>
      </c>
      <c r="C3968" t="s">
        <v>249</v>
      </c>
      <c r="D3968" t="s">
        <v>87</v>
      </c>
      <c r="E3968" t="s">
        <v>666</v>
      </c>
      <c r="F3968" t="s">
        <v>667</v>
      </c>
      <c r="G3968" t="s">
        <v>52</v>
      </c>
      <c r="H3968">
        <v>183</v>
      </c>
      <c r="I3968">
        <v>0.443</v>
      </c>
      <c r="J3968">
        <v>0.78</v>
      </c>
      <c r="K3968">
        <v>0.33700000000000002</v>
      </c>
      <c r="L3968">
        <v>149</v>
      </c>
      <c r="M3968">
        <v>20</v>
      </c>
      <c r="N3968">
        <v>14</v>
      </c>
      <c r="O3968">
        <v>0.75600000000000001</v>
      </c>
      <c r="P3968">
        <v>0.33106686499999999</v>
      </c>
      <c r="Q3968">
        <v>0.218</v>
      </c>
    </row>
    <row r="3969" spans="1:17" x14ac:dyDescent="0.2">
      <c r="A3969" s="30" t="str">
        <f>IF(C3969&amp;G3969&amp;D3969&lt;&gt;'Funnel setup'!$K$3&amp;'Funnel setup'!$K$4&amp;'Funnel setup'!$K$5,".",IF(A3968=".",1,A3968+1))</f>
        <v>.</v>
      </c>
      <c r="B3969" s="431" t="str">
        <f t="shared" si="61"/>
        <v>Knee Replacement PrimaryCCG of GP PracticeNHS NORTH STAFFORDSHIRE CCG (05G)EQ-5D Index</v>
      </c>
      <c r="C3969" t="s">
        <v>249</v>
      </c>
      <c r="D3969" t="s">
        <v>87</v>
      </c>
      <c r="E3969" t="s">
        <v>669</v>
      </c>
      <c r="F3969" t="s">
        <v>670</v>
      </c>
      <c r="G3969" t="s">
        <v>52</v>
      </c>
      <c r="H3969">
        <v>183</v>
      </c>
      <c r="I3969">
        <v>0.38600000000000001</v>
      </c>
      <c r="J3969">
        <v>0.70699999999999996</v>
      </c>
      <c r="K3969">
        <v>0.32100000000000001</v>
      </c>
      <c r="L3969">
        <v>146</v>
      </c>
      <c r="M3969">
        <v>21</v>
      </c>
      <c r="N3969">
        <v>16</v>
      </c>
      <c r="O3969">
        <v>0.73199999999999998</v>
      </c>
      <c r="P3969">
        <v>0.30697434200000001</v>
      </c>
      <c r="Q3969">
        <v>0.23300000000000001</v>
      </c>
    </row>
    <row r="3970" spans="1:17" x14ac:dyDescent="0.2">
      <c r="A3970" s="30" t="str">
        <f>IF(C3970&amp;G3970&amp;D3970&lt;&gt;'Funnel setup'!$K$3&amp;'Funnel setup'!$K$4&amp;'Funnel setup'!$K$5,".",IF(A3969=".",1,A3969+1))</f>
        <v>.</v>
      </c>
      <c r="B3970" s="431" t="str">
        <f t="shared" si="61"/>
        <v>Knee Replacement PrimaryCCG of GP PracticeNHS NORTH TYNESIDE CCG (99C)EQ-5D Index</v>
      </c>
      <c r="C3970" t="s">
        <v>249</v>
      </c>
      <c r="D3970" t="s">
        <v>87</v>
      </c>
      <c r="E3970" t="s">
        <v>672</v>
      </c>
      <c r="F3970" t="s">
        <v>673</v>
      </c>
      <c r="G3970" t="s">
        <v>52</v>
      </c>
      <c r="H3970">
        <v>261</v>
      </c>
      <c r="I3970">
        <v>0.39500000000000002</v>
      </c>
      <c r="J3970">
        <v>0.74199999999999999</v>
      </c>
      <c r="K3970">
        <v>0.34699999999999998</v>
      </c>
      <c r="L3970">
        <v>222</v>
      </c>
      <c r="M3970">
        <v>22</v>
      </c>
      <c r="N3970">
        <v>17</v>
      </c>
      <c r="O3970">
        <v>0.755</v>
      </c>
      <c r="P3970">
        <v>0.32952932099999999</v>
      </c>
      <c r="Q3970">
        <v>0.19500000000000001</v>
      </c>
    </row>
    <row r="3971" spans="1:17" x14ac:dyDescent="0.2">
      <c r="A3971" s="30" t="str">
        <f>IF(C3971&amp;G3971&amp;D3971&lt;&gt;'Funnel setup'!$K$3&amp;'Funnel setup'!$K$4&amp;'Funnel setup'!$K$5,".",IF(A3970=".",1,A3970+1))</f>
        <v>.</v>
      </c>
      <c r="B3971" s="431" t="str">
        <f t="shared" ref="B3971:B4034" si="62">C3971&amp;D3971&amp;F3971&amp;G3971</f>
        <v>Knee Replacement PrimaryCCG of GP PracticeNHS NORTH WEST SURREY CCG (09Y)EQ-5D Index</v>
      </c>
      <c r="C3971" t="s">
        <v>249</v>
      </c>
      <c r="D3971" t="s">
        <v>87</v>
      </c>
      <c r="E3971" t="s">
        <v>675</v>
      </c>
      <c r="F3971" t="s">
        <v>676</v>
      </c>
      <c r="G3971" t="s">
        <v>52</v>
      </c>
      <c r="H3971">
        <v>287</v>
      </c>
      <c r="I3971">
        <v>0.45600000000000002</v>
      </c>
      <c r="J3971">
        <v>0.76200000000000001</v>
      </c>
      <c r="K3971">
        <v>0.30599999999999999</v>
      </c>
      <c r="L3971">
        <v>237</v>
      </c>
      <c r="M3971">
        <v>26</v>
      </c>
      <c r="N3971">
        <v>24</v>
      </c>
      <c r="O3971">
        <v>0.73499999999999999</v>
      </c>
      <c r="P3971">
        <v>0.30997006300000002</v>
      </c>
      <c r="Q3971">
        <v>0.214</v>
      </c>
    </row>
    <row r="3972" spans="1:17" x14ac:dyDescent="0.2">
      <c r="A3972" s="30" t="str">
        <f>IF(C3972&amp;G3972&amp;D3972&lt;&gt;'Funnel setup'!$K$3&amp;'Funnel setup'!$K$4&amp;'Funnel setup'!$K$5,".",IF(A3971=".",1,A3971+1))</f>
        <v>.</v>
      </c>
      <c r="B3972" s="431" t="str">
        <f t="shared" si="62"/>
        <v>Knee Replacement PrimaryCCG of GP PracticeNHS NORTHERN, EASTERN AND WESTERN DEVON CCG (99P)EQ-5D Index</v>
      </c>
      <c r="C3972" t="s">
        <v>249</v>
      </c>
      <c r="D3972" t="s">
        <v>87</v>
      </c>
      <c r="E3972" t="s">
        <v>678</v>
      </c>
      <c r="F3972" t="s">
        <v>679</v>
      </c>
      <c r="G3972" t="s">
        <v>52</v>
      </c>
      <c r="H3972">
        <v>991</v>
      </c>
      <c r="I3972">
        <v>0.46600000000000003</v>
      </c>
      <c r="J3972">
        <v>0.77</v>
      </c>
      <c r="K3972">
        <v>0.30499999999999999</v>
      </c>
      <c r="L3972">
        <v>814</v>
      </c>
      <c r="M3972">
        <v>94</v>
      </c>
      <c r="N3972">
        <v>83</v>
      </c>
      <c r="O3972">
        <v>0.753</v>
      </c>
      <c r="P3972">
        <v>0.327965548</v>
      </c>
      <c r="Q3972">
        <v>0.20699999999999999</v>
      </c>
    </row>
    <row r="3973" spans="1:17" x14ac:dyDescent="0.2">
      <c r="A3973" s="30" t="str">
        <f>IF(C3973&amp;G3973&amp;D3973&lt;&gt;'Funnel setup'!$K$3&amp;'Funnel setup'!$K$4&amp;'Funnel setup'!$K$5,".",IF(A3972=".",1,A3972+1))</f>
        <v>.</v>
      </c>
      <c r="B3973" s="431" t="str">
        <f t="shared" si="62"/>
        <v>Knee Replacement PrimaryCCG of GP PracticeNHS NORTHUMBERLAND CCG (00L)EQ-5D Index</v>
      </c>
      <c r="C3973" t="s">
        <v>249</v>
      </c>
      <c r="D3973" t="s">
        <v>87</v>
      </c>
      <c r="E3973" t="s">
        <v>681</v>
      </c>
      <c r="F3973" t="s">
        <v>336</v>
      </c>
      <c r="G3973" t="s">
        <v>52</v>
      </c>
      <c r="H3973">
        <v>396</v>
      </c>
      <c r="I3973">
        <v>0.44900000000000001</v>
      </c>
      <c r="J3973">
        <v>0.755</v>
      </c>
      <c r="K3973">
        <v>0.30599999999999999</v>
      </c>
      <c r="L3973">
        <v>322</v>
      </c>
      <c r="M3973">
        <v>41</v>
      </c>
      <c r="N3973">
        <v>33</v>
      </c>
      <c r="O3973">
        <v>0.753</v>
      </c>
      <c r="P3973">
        <v>0.32814934800000001</v>
      </c>
      <c r="Q3973">
        <v>0.21299999999999999</v>
      </c>
    </row>
    <row r="3974" spans="1:17" x14ac:dyDescent="0.2">
      <c r="A3974" s="30" t="str">
        <f>IF(C3974&amp;G3974&amp;D3974&lt;&gt;'Funnel setup'!$K$3&amp;'Funnel setup'!$K$4&amp;'Funnel setup'!$K$5,".",IF(A3973=".",1,A3973+1))</f>
        <v>.</v>
      </c>
      <c r="B3974" s="431" t="str">
        <f t="shared" si="62"/>
        <v>Knee Replacement PrimaryCCG of GP PracticeNHS NORWICH CCG (06W)EQ-5D Index</v>
      </c>
      <c r="C3974" t="s">
        <v>249</v>
      </c>
      <c r="D3974" t="s">
        <v>87</v>
      </c>
      <c r="E3974" t="s">
        <v>770</v>
      </c>
      <c r="F3974" t="s">
        <v>771</v>
      </c>
      <c r="G3974" t="s">
        <v>52</v>
      </c>
      <c r="H3974">
        <v>132</v>
      </c>
      <c r="I3974">
        <v>0.39600000000000002</v>
      </c>
      <c r="J3974">
        <v>0.70799999999999996</v>
      </c>
      <c r="K3974">
        <v>0.312</v>
      </c>
      <c r="L3974">
        <v>103</v>
      </c>
      <c r="M3974">
        <v>13</v>
      </c>
      <c r="N3974">
        <v>16</v>
      </c>
      <c r="O3974">
        <v>0.72099999999999997</v>
      </c>
      <c r="P3974">
        <v>0.29556389599999999</v>
      </c>
      <c r="Q3974">
        <v>0.23899999999999999</v>
      </c>
    </row>
    <row r="3975" spans="1:17" x14ac:dyDescent="0.2">
      <c r="A3975" s="30" t="str">
        <f>IF(C3975&amp;G3975&amp;D3975&lt;&gt;'Funnel setup'!$K$3&amp;'Funnel setup'!$K$4&amp;'Funnel setup'!$K$5,".",IF(A3974=".",1,A3974+1))</f>
        <v>.</v>
      </c>
      <c r="B3975" s="431" t="str">
        <f t="shared" si="62"/>
        <v>Knee Replacement PrimaryCCG of GP PracticeNHS NOTTINGHAM CITY CCG (04K)EQ-5D Index</v>
      </c>
      <c r="C3975" t="s">
        <v>249</v>
      </c>
      <c r="D3975" t="s">
        <v>87</v>
      </c>
      <c r="E3975" t="s">
        <v>773</v>
      </c>
      <c r="F3975" t="s">
        <v>774</v>
      </c>
      <c r="G3975" t="s">
        <v>52</v>
      </c>
      <c r="H3975">
        <v>157</v>
      </c>
      <c r="I3975">
        <v>0.38700000000000001</v>
      </c>
      <c r="J3975">
        <v>0.65900000000000003</v>
      </c>
      <c r="K3975">
        <v>0.27200000000000002</v>
      </c>
      <c r="L3975">
        <v>108</v>
      </c>
      <c r="M3975">
        <v>27</v>
      </c>
      <c r="N3975">
        <v>22</v>
      </c>
      <c r="O3975">
        <v>0.69899999999999995</v>
      </c>
      <c r="P3975">
        <v>0.27444442200000002</v>
      </c>
      <c r="Q3975">
        <v>0.249</v>
      </c>
    </row>
    <row r="3976" spans="1:17" x14ac:dyDescent="0.2">
      <c r="A3976" s="30" t="str">
        <f>IF(C3976&amp;G3976&amp;D3976&lt;&gt;'Funnel setup'!$K$3&amp;'Funnel setup'!$K$4&amp;'Funnel setup'!$K$5,".",IF(A3975=".",1,A3975+1))</f>
        <v>.</v>
      </c>
      <c r="B3976" s="431" t="str">
        <f t="shared" si="62"/>
        <v>Knee Replacement PrimaryCCG of GP PracticeNHS NOTTINGHAM NORTH AND EAST CCG (04L)EQ-5D Index</v>
      </c>
      <c r="C3976" t="s">
        <v>249</v>
      </c>
      <c r="D3976" t="s">
        <v>87</v>
      </c>
      <c r="E3976" t="s">
        <v>776</v>
      </c>
      <c r="F3976" t="s">
        <v>777</v>
      </c>
      <c r="G3976" t="s">
        <v>52</v>
      </c>
      <c r="H3976">
        <v>127</v>
      </c>
      <c r="I3976">
        <v>0.438</v>
      </c>
      <c r="J3976">
        <v>0.76</v>
      </c>
      <c r="K3976">
        <v>0.32200000000000001</v>
      </c>
      <c r="L3976">
        <v>103</v>
      </c>
      <c r="M3976">
        <v>18</v>
      </c>
      <c r="N3976">
        <v>6</v>
      </c>
      <c r="O3976">
        <v>0.753</v>
      </c>
      <c r="P3976">
        <v>0.32769678400000002</v>
      </c>
      <c r="Q3976">
        <v>0.191</v>
      </c>
    </row>
    <row r="3977" spans="1:17" x14ac:dyDescent="0.2">
      <c r="A3977" s="30" t="str">
        <f>IF(C3977&amp;G3977&amp;D3977&lt;&gt;'Funnel setup'!$K$3&amp;'Funnel setup'!$K$4&amp;'Funnel setup'!$K$5,".",IF(A3976=".",1,A3976+1))</f>
        <v>.</v>
      </c>
      <c r="B3977" s="431" t="str">
        <f t="shared" si="62"/>
        <v>Knee Replacement PrimaryCCG of GP PracticeNHS NOTTINGHAM WEST CCG (04M)EQ-5D Index</v>
      </c>
      <c r="C3977" t="s">
        <v>249</v>
      </c>
      <c r="D3977" t="s">
        <v>87</v>
      </c>
      <c r="E3977" t="s">
        <v>779</v>
      </c>
      <c r="F3977" t="s">
        <v>780</v>
      </c>
      <c r="G3977" t="s">
        <v>52</v>
      </c>
      <c r="H3977">
        <v>100</v>
      </c>
      <c r="I3977">
        <v>0.40600000000000003</v>
      </c>
      <c r="J3977">
        <v>0.71599999999999997</v>
      </c>
      <c r="K3977">
        <v>0.31</v>
      </c>
      <c r="L3977">
        <v>72</v>
      </c>
      <c r="M3977">
        <v>15</v>
      </c>
      <c r="N3977">
        <v>13</v>
      </c>
      <c r="O3977">
        <v>0.71499999999999997</v>
      </c>
      <c r="P3977">
        <v>0.29001303899999997</v>
      </c>
      <c r="Q3977">
        <v>0.23100000000000001</v>
      </c>
    </row>
    <row r="3978" spans="1:17" x14ac:dyDescent="0.2">
      <c r="A3978" s="30" t="str">
        <f>IF(C3978&amp;G3978&amp;D3978&lt;&gt;'Funnel setup'!$K$3&amp;'Funnel setup'!$K$4&amp;'Funnel setup'!$K$5,".",IF(A3977=".",1,A3977+1))</f>
        <v>.</v>
      </c>
      <c r="B3978" s="431" t="str">
        <f t="shared" si="62"/>
        <v>Knee Replacement PrimaryCCG of GP PracticeNHS OLDHAM CCG (00Y)EQ-5D Index</v>
      </c>
      <c r="C3978" t="s">
        <v>249</v>
      </c>
      <c r="D3978" t="s">
        <v>87</v>
      </c>
      <c r="E3978" t="s">
        <v>782</v>
      </c>
      <c r="F3978" t="s">
        <v>783</v>
      </c>
      <c r="G3978" t="s">
        <v>52</v>
      </c>
      <c r="H3978">
        <v>141</v>
      </c>
      <c r="I3978">
        <v>0.41199999999999998</v>
      </c>
      <c r="J3978">
        <v>0.70699999999999996</v>
      </c>
      <c r="K3978">
        <v>0.29499999999999998</v>
      </c>
      <c r="L3978">
        <v>112</v>
      </c>
      <c r="M3978">
        <v>16</v>
      </c>
      <c r="N3978">
        <v>13</v>
      </c>
      <c r="O3978">
        <v>0.72799999999999998</v>
      </c>
      <c r="P3978">
        <v>0.30264603299999998</v>
      </c>
      <c r="Q3978">
        <v>0.245</v>
      </c>
    </row>
    <row r="3979" spans="1:17" x14ac:dyDescent="0.2">
      <c r="A3979" s="30" t="str">
        <f>IF(C3979&amp;G3979&amp;D3979&lt;&gt;'Funnel setup'!$K$3&amp;'Funnel setup'!$K$4&amp;'Funnel setup'!$K$5,".",IF(A3978=".",1,A3978+1))</f>
        <v>.</v>
      </c>
      <c r="B3979" s="431" t="str">
        <f t="shared" si="62"/>
        <v>Knee Replacement PrimaryCCG of GP PracticeNHS OXFORDSHIRE CCG (10Q)EQ-5D Index</v>
      </c>
      <c r="C3979" t="s">
        <v>249</v>
      </c>
      <c r="D3979" t="s">
        <v>87</v>
      </c>
      <c r="E3979" t="s">
        <v>785</v>
      </c>
      <c r="F3979" t="s">
        <v>786</v>
      </c>
      <c r="G3979" t="s">
        <v>52</v>
      </c>
      <c r="H3979">
        <v>282</v>
      </c>
      <c r="I3979">
        <v>0.42399999999999999</v>
      </c>
      <c r="J3979">
        <v>0.74299999999999999</v>
      </c>
      <c r="K3979">
        <v>0.32</v>
      </c>
      <c r="L3979">
        <v>234</v>
      </c>
      <c r="M3979">
        <v>28</v>
      </c>
      <c r="N3979">
        <v>20</v>
      </c>
      <c r="O3979">
        <v>0.72799999999999998</v>
      </c>
      <c r="P3979">
        <v>0.30313205199999999</v>
      </c>
      <c r="Q3979">
        <v>0.20899999999999999</v>
      </c>
    </row>
    <row r="3980" spans="1:17" x14ac:dyDescent="0.2">
      <c r="A3980" s="30" t="str">
        <f>IF(C3980&amp;G3980&amp;D3980&lt;&gt;'Funnel setup'!$K$3&amp;'Funnel setup'!$K$4&amp;'Funnel setup'!$K$5,".",IF(A3979=".",1,A3979+1))</f>
        <v>.</v>
      </c>
      <c r="B3980" s="431" t="str">
        <f t="shared" si="62"/>
        <v>Knee Replacement PrimaryCCG of GP PracticeNHS PORTSMOUTH CCG (10R)EQ-5D Index</v>
      </c>
      <c r="C3980" t="s">
        <v>249</v>
      </c>
      <c r="D3980" t="s">
        <v>87</v>
      </c>
      <c r="E3980" t="s">
        <v>788</v>
      </c>
      <c r="F3980" t="s">
        <v>789</v>
      </c>
      <c r="G3980" t="s">
        <v>52</v>
      </c>
      <c r="H3980">
        <v>53</v>
      </c>
      <c r="I3980">
        <v>0.38300000000000001</v>
      </c>
      <c r="J3980">
        <v>0.70099999999999996</v>
      </c>
      <c r="K3980">
        <v>0.317</v>
      </c>
      <c r="L3980">
        <v>43</v>
      </c>
      <c r="M3980">
        <v>6</v>
      </c>
      <c r="N3980">
        <v>4</v>
      </c>
      <c r="O3980">
        <v>0.70799999999999996</v>
      </c>
      <c r="P3980">
        <v>0.283049995</v>
      </c>
      <c r="Q3980">
        <v>0.252</v>
      </c>
    </row>
    <row r="3981" spans="1:17" x14ac:dyDescent="0.2">
      <c r="A3981" s="30" t="str">
        <f>IF(C3981&amp;G3981&amp;D3981&lt;&gt;'Funnel setup'!$K$3&amp;'Funnel setup'!$K$4&amp;'Funnel setup'!$K$5,".",IF(A3980=".",1,A3980+1))</f>
        <v>.</v>
      </c>
      <c r="B3981" s="431" t="str">
        <f t="shared" si="62"/>
        <v>Knee Replacement PrimaryCCG of GP PracticeNHS REDBRIDGE CCG (08N)EQ-5D Index</v>
      </c>
      <c r="C3981" t="s">
        <v>249</v>
      </c>
      <c r="D3981" t="s">
        <v>87</v>
      </c>
      <c r="E3981" t="s">
        <v>791</v>
      </c>
      <c r="F3981" t="s">
        <v>792</v>
      </c>
      <c r="G3981" t="s">
        <v>52</v>
      </c>
      <c r="H3981">
        <v>91</v>
      </c>
      <c r="I3981">
        <v>0.376</v>
      </c>
      <c r="J3981">
        <v>0.69399999999999995</v>
      </c>
      <c r="K3981">
        <v>0.318</v>
      </c>
      <c r="L3981">
        <v>75</v>
      </c>
      <c r="M3981">
        <v>9</v>
      </c>
      <c r="N3981">
        <v>7</v>
      </c>
      <c r="O3981">
        <v>0.72899999999999998</v>
      </c>
      <c r="P3981">
        <v>0.30358249500000001</v>
      </c>
      <c r="Q3981">
        <v>0.20799999999999999</v>
      </c>
    </row>
    <row r="3982" spans="1:17" x14ac:dyDescent="0.2">
      <c r="A3982" s="30" t="str">
        <f>IF(C3982&amp;G3982&amp;D3982&lt;&gt;'Funnel setup'!$K$3&amp;'Funnel setup'!$K$4&amp;'Funnel setup'!$K$5,".",IF(A3981=".",1,A3981+1))</f>
        <v>.</v>
      </c>
      <c r="B3982" s="431" t="str">
        <f t="shared" si="62"/>
        <v>Knee Replacement PrimaryCCG of GP PracticeNHS REDDITCH AND BROMSGROVE CCG (05J)EQ-5D Index</v>
      </c>
      <c r="C3982" t="s">
        <v>249</v>
      </c>
      <c r="D3982" t="s">
        <v>87</v>
      </c>
      <c r="E3982" t="s">
        <v>794</v>
      </c>
      <c r="F3982" t="s">
        <v>795</v>
      </c>
      <c r="G3982" t="s">
        <v>52</v>
      </c>
      <c r="H3982">
        <v>149</v>
      </c>
      <c r="I3982">
        <v>0.46400000000000002</v>
      </c>
      <c r="J3982">
        <v>0.751</v>
      </c>
      <c r="K3982">
        <v>0.28799999999999998</v>
      </c>
      <c r="L3982">
        <v>122</v>
      </c>
      <c r="M3982">
        <v>10</v>
      </c>
      <c r="N3982">
        <v>17</v>
      </c>
      <c r="O3982">
        <v>0.746</v>
      </c>
      <c r="P3982">
        <v>0.321283928</v>
      </c>
      <c r="Q3982">
        <v>0.24399999999999999</v>
      </c>
    </row>
    <row r="3983" spans="1:17" x14ac:dyDescent="0.2">
      <c r="A3983" s="30" t="str">
        <f>IF(C3983&amp;G3983&amp;D3983&lt;&gt;'Funnel setup'!$K$3&amp;'Funnel setup'!$K$4&amp;'Funnel setup'!$K$5,".",IF(A3982=".",1,A3982+1))</f>
        <v>.</v>
      </c>
      <c r="B3983" s="431" t="str">
        <f t="shared" si="62"/>
        <v>Knee Replacement PrimaryCCG of GP PracticeNHS RICHMOND CCG (08P)EQ-5D Index</v>
      </c>
      <c r="C3983" t="s">
        <v>249</v>
      </c>
      <c r="D3983" t="s">
        <v>87</v>
      </c>
      <c r="E3983" t="s">
        <v>797</v>
      </c>
      <c r="F3983" t="s">
        <v>798</v>
      </c>
      <c r="G3983" t="s">
        <v>52</v>
      </c>
      <c r="H3983">
        <v>54</v>
      </c>
      <c r="I3983">
        <v>0.436</v>
      </c>
      <c r="J3983">
        <v>0.76100000000000001</v>
      </c>
      <c r="K3983">
        <v>0.32500000000000001</v>
      </c>
      <c r="L3983">
        <v>47</v>
      </c>
      <c r="M3983">
        <v>6</v>
      </c>
      <c r="N3983">
        <v>1</v>
      </c>
      <c r="O3983">
        <v>0.75</v>
      </c>
      <c r="P3983">
        <v>0.32480776099999997</v>
      </c>
      <c r="Q3983">
        <v>0.19700000000000001</v>
      </c>
    </row>
    <row r="3984" spans="1:17" x14ac:dyDescent="0.2">
      <c r="A3984" s="30" t="str">
        <f>IF(C3984&amp;G3984&amp;D3984&lt;&gt;'Funnel setup'!$K$3&amp;'Funnel setup'!$K$4&amp;'Funnel setup'!$K$5,".",IF(A3983=".",1,A3983+1))</f>
        <v>.</v>
      </c>
      <c r="B3984" s="431" t="str">
        <f t="shared" si="62"/>
        <v>Knee Replacement PrimaryCCG of GP PracticeNHS ROTHERHAM CCG (03L)EQ-5D Index</v>
      </c>
      <c r="C3984" t="s">
        <v>249</v>
      </c>
      <c r="D3984" t="s">
        <v>87</v>
      </c>
      <c r="E3984" t="s">
        <v>800</v>
      </c>
      <c r="F3984" t="s">
        <v>801</v>
      </c>
      <c r="G3984" t="s">
        <v>52</v>
      </c>
      <c r="H3984">
        <v>197</v>
      </c>
      <c r="I3984">
        <v>0.376</v>
      </c>
      <c r="J3984">
        <v>0.73499999999999999</v>
      </c>
      <c r="K3984">
        <v>0.35899999999999999</v>
      </c>
      <c r="L3984">
        <v>165</v>
      </c>
      <c r="M3984">
        <v>19</v>
      </c>
      <c r="N3984">
        <v>13</v>
      </c>
      <c r="O3984">
        <v>0.75600000000000001</v>
      </c>
      <c r="P3984">
        <v>0.33059123699999998</v>
      </c>
      <c r="Q3984">
        <v>0.224</v>
      </c>
    </row>
    <row r="3985" spans="1:17" x14ac:dyDescent="0.2">
      <c r="A3985" s="30" t="str">
        <f>IF(C3985&amp;G3985&amp;D3985&lt;&gt;'Funnel setup'!$K$3&amp;'Funnel setup'!$K$4&amp;'Funnel setup'!$K$5,".",IF(A3984=".",1,A3984+1))</f>
        <v>.</v>
      </c>
      <c r="B3985" s="431" t="str">
        <f t="shared" si="62"/>
        <v>Knee Replacement PrimaryCCG of GP PracticeNHS RUSHCLIFFE CCG (04N)EQ-5D Index</v>
      </c>
      <c r="C3985" t="s">
        <v>249</v>
      </c>
      <c r="D3985" t="s">
        <v>87</v>
      </c>
      <c r="E3985" t="s">
        <v>803</v>
      </c>
      <c r="F3985" t="s">
        <v>804</v>
      </c>
      <c r="G3985" t="s">
        <v>52</v>
      </c>
      <c r="H3985">
        <v>106</v>
      </c>
      <c r="I3985">
        <v>0.54100000000000004</v>
      </c>
      <c r="J3985">
        <v>0.78200000000000003</v>
      </c>
      <c r="K3985">
        <v>0.24099999999999999</v>
      </c>
      <c r="L3985">
        <v>84</v>
      </c>
      <c r="M3985">
        <v>8</v>
      </c>
      <c r="N3985">
        <v>14</v>
      </c>
      <c r="O3985">
        <v>0.72099999999999997</v>
      </c>
      <c r="P3985">
        <v>0.29648400600000002</v>
      </c>
      <c r="Q3985">
        <v>0.20200000000000001</v>
      </c>
    </row>
    <row r="3986" spans="1:17" x14ac:dyDescent="0.2">
      <c r="A3986" s="30" t="str">
        <f>IF(C3986&amp;G3986&amp;D3986&lt;&gt;'Funnel setup'!$K$3&amp;'Funnel setup'!$K$4&amp;'Funnel setup'!$K$5,".",IF(A3985=".",1,A3985+1))</f>
        <v>.</v>
      </c>
      <c r="B3986" s="431" t="str">
        <f t="shared" si="62"/>
        <v>Knee Replacement PrimaryCCG of GP PracticeNHS SALFORD CCG (01G)EQ-5D Index</v>
      </c>
      <c r="C3986" t="s">
        <v>249</v>
      </c>
      <c r="D3986" t="s">
        <v>87</v>
      </c>
      <c r="E3986" t="s">
        <v>806</v>
      </c>
      <c r="F3986" t="s">
        <v>807</v>
      </c>
      <c r="G3986" t="s">
        <v>52</v>
      </c>
      <c r="H3986">
        <v>149</v>
      </c>
      <c r="I3986">
        <v>0.34</v>
      </c>
      <c r="J3986">
        <v>0.67700000000000005</v>
      </c>
      <c r="K3986">
        <v>0.33700000000000002</v>
      </c>
      <c r="L3986">
        <v>119</v>
      </c>
      <c r="M3986">
        <v>13</v>
      </c>
      <c r="N3986">
        <v>17</v>
      </c>
      <c r="O3986">
        <v>0.72299999999999998</v>
      </c>
      <c r="P3986">
        <v>0.29761189999999998</v>
      </c>
      <c r="Q3986">
        <v>0.24399999999999999</v>
      </c>
    </row>
    <row r="3987" spans="1:17" x14ac:dyDescent="0.2">
      <c r="A3987" s="30" t="str">
        <f>IF(C3987&amp;G3987&amp;D3987&lt;&gt;'Funnel setup'!$K$3&amp;'Funnel setup'!$K$4&amp;'Funnel setup'!$K$5,".",IF(A3986=".",1,A3986+1))</f>
        <v>.</v>
      </c>
      <c r="B3987" s="431" t="str">
        <f t="shared" si="62"/>
        <v>Knee Replacement PrimaryCCG of GP PracticeNHS SANDWELL AND WEST BIRMINGHAM CCG (05L)EQ-5D Index</v>
      </c>
      <c r="C3987" t="s">
        <v>249</v>
      </c>
      <c r="D3987" t="s">
        <v>87</v>
      </c>
      <c r="E3987" t="s">
        <v>809</v>
      </c>
      <c r="F3987" t="s">
        <v>810</v>
      </c>
      <c r="G3987" t="s">
        <v>52</v>
      </c>
      <c r="H3987">
        <v>262</v>
      </c>
      <c r="I3987">
        <v>0.35099999999999998</v>
      </c>
      <c r="J3987">
        <v>0.65800000000000003</v>
      </c>
      <c r="K3987">
        <v>0.307</v>
      </c>
      <c r="L3987">
        <v>206</v>
      </c>
      <c r="M3987">
        <v>29</v>
      </c>
      <c r="N3987">
        <v>27</v>
      </c>
      <c r="O3987">
        <v>0.71599999999999997</v>
      </c>
      <c r="P3987">
        <v>0.29055843599999998</v>
      </c>
      <c r="Q3987">
        <v>0.254</v>
      </c>
    </row>
    <row r="3988" spans="1:17" x14ac:dyDescent="0.2">
      <c r="A3988" s="30" t="str">
        <f>IF(C3988&amp;G3988&amp;D3988&lt;&gt;'Funnel setup'!$K$3&amp;'Funnel setup'!$K$4&amp;'Funnel setup'!$K$5,".",IF(A3987=".",1,A3987+1))</f>
        <v>.</v>
      </c>
      <c r="B3988" s="431" t="str">
        <f t="shared" si="62"/>
        <v>Knee Replacement PrimaryCCG of GP PracticeNHS SCARBOROUGH AND RYEDALE CCG (03M)EQ-5D Index</v>
      </c>
      <c r="C3988" t="s">
        <v>249</v>
      </c>
      <c r="D3988" t="s">
        <v>87</v>
      </c>
      <c r="E3988" t="s">
        <v>812</v>
      </c>
      <c r="F3988" t="s">
        <v>813</v>
      </c>
      <c r="G3988" t="s">
        <v>52</v>
      </c>
      <c r="H3988">
        <v>127</v>
      </c>
      <c r="I3988">
        <v>0.432</v>
      </c>
      <c r="J3988">
        <v>0.748</v>
      </c>
      <c r="K3988">
        <v>0.316</v>
      </c>
      <c r="L3988">
        <v>104</v>
      </c>
      <c r="M3988">
        <v>9</v>
      </c>
      <c r="N3988">
        <v>14</v>
      </c>
      <c r="O3988">
        <v>0.749</v>
      </c>
      <c r="P3988">
        <v>0.32450045300000002</v>
      </c>
      <c r="Q3988">
        <v>0.223</v>
      </c>
    </row>
    <row r="3989" spans="1:17" x14ac:dyDescent="0.2">
      <c r="A3989" s="30" t="str">
        <f>IF(C3989&amp;G3989&amp;D3989&lt;&gt;'Funnel setup'!$K$3&amp;'Funnel setup'!$K$4&amp;'Funnel setup'!$K$5,".",IF(A3988=".",1,A3988+1))</f>
        <v>.</v>
      </c>
      <c r="B3989" s="431" t="str">
        <f t="shared" si="62"/>
        <v>Knee Replacement PrimaryCCG of GP PracticeNHS SHEFFIELD CCG (03N)EQ-5D Index</v>
      </c>
      <c r="C3989" t="s">
        <v>249</v>
      </c>
      <c r="D3989" t="s">
        <v>87</v>
      </c>
      <c r="E3989" t="s">
        <v>815</v>
      </c>
      <c r="F3989" t="s">
        <v>816</v>
      </c>
      <c r="G3989" t="s">
        <v>52</v>
      </c>
      <c r="H3989">
        <v>481</v>
      </c>
      <c r="I3989">
        <v>0.41199999999999998</v>
      </c>
      <c r="J3989">
        <v>0.74299999999999999</v>
      </c>
      <c r="K3989">
        <v>0.33100000000000002</v>
      </c>
      <c r="L3989">
        <v>384</v>
      </c>
      <c r="M3989">
        <v>53</v>
      </c>
      <c r="N3989">
        <v>44</v>
      </c>
      <c r="O3989">
        <v>0.751</v>
      </c>
      <c r="P3989">
        <v>0.325585809</v>
      </c>
      <c r="Q3989">
        <v>0.221</v>
      </c>
    </row>
    <row r="3990" spans="1:17" x14ac:dyDescent="0.2">
      <c r="A3990" s="30" t="str">
        <f>IF(C3990&amp;G3990&amp;D3990&lt;&gt;'Funnel setup'!$K$3&amp;'Funnel setup'!$K$4&amp;'Funnel setup'!$K$5,".",IF(A3989=".",1,A3989+1))</f>
        <v>.</v>
      </c>
      <c r="B3990" s="431" t="str">
        <f t="shared" si="62"/>
        <v>Knee Replacement PrimaryCCG of GP PracticeNHS SHROPSHIRE CCG (05N)EQ-5D Index</v>
      </c>
      <c r="C3990" t="s">
        <v>249</v>
      </c>
      <c r="D3990" t="s">
        <v>87</v>
      </c>
      <c r="E3990" t="s">
        <v>818</v>
      </c>
      <c r="F3990" t="s">
        <v>819</v>
      </c>
      <c r="G3990" t="s">
        <v>52</v>
      </c>
      <c r="H3990">
        <v>334</v>
      </c>
      <c r="I3990">
        <v>0.39500000000000002</v>
      </c>
      <c r="J3990">
        <v>0.78200000000000003</v>
      </c>
      <c r="K3990">
        <v>0.38700000000000001</v>
      </c>
      <c r="L3990">
        <v>297</v>
      </c>
      <c r="M3990">
        <v>15</v>
      </c>
      <c r="N3990">
        <v>22</v>
      </c>
      <c r="O3990">
        <v>0.74399999999999999</v>
      </c>
      <c r="P3990">
        <v>0.31872420200000001</v>
      </c>
      <c r="Q3990">
        <v>0.21099999999999999</v>
      </c>
    </row>
    <row r="3991" spans="1:17" x14ac:dyDescent="0.2">
      <c r="A3991" s="30" t="str">
        <f>IF(C3991&amp;G3991&amp;D3991&lt;&gt;'Funnel setup'!$K$3&amp;'Funnel setup'!$K$4&amp;'Funnel setup'!$K$5,".",IF(A3990=".",1,A3990+1))</f>
        <v>.</v>
      </c>
      <c r="B3991" s="431" t="str">
        <f t="shared" si="62"/>
        <v>Knee Replacement PrimaryCCG of GP PracticeNHS SLOUGH CCG (10T)EQ-5D Index</v>
      </c>
      <c r="C3991" t="s">
        <v>249</v>
      </c>
      <c r="D3991" t="s">
        <v>87</v>
      </c>
      <c r="E3991" t="s">
        <v>821</v>
      </c>
      <c r="F3991" t="s">
        <v>822</v>
      </c>
      <c r="G3991" t="s">
        <v>52</v>
      </c>
      <c r="H3991">
        <v>52</v>
      </c>
      <c r="I3991">
        <v>0.373</v>
      </c>
      <c r="J3991">
        <v>0.63300000000000001</v>
      </c>
      <c r="K3991">
        <v>0.25900000000000001</v>
      </c>
      <c r="L3991">
        <v>39</v>
      </c>
      <c r="M3991">
        <v>6</v>
      </c>
      <c r="N3991">
        <v>7</v>
      </c>
      <c r="O3991">
        <v>0.66300000000000003</v>
      </c>
      <c r="P3991">
        <v>0.23847296100000001</v>
      </c>
      <c r="Q3991">
        <v>0.20599999999999999</v>
      </c>
    </row>
    <row r="3992" spans="1:17" x14ac:dyDescent="0.2">
      <c r="A3992" s="30" t="str">
        <f>IF(C3992&amp;G3992&amp;D3992&lt;&gt;'Funnel setup'!$K$3&amp;'Funnel setup'!$K$4&amp;'Funnel setup'!$K$5,".",IF(A3991=".",1,A3991+1))</f>
        <v>.</v>
      </c>
      <c r="B3992" s="431" t="str">
        <f t="shared" si="62"/>
        <v>Knee Replacement PrimaryCCG of GP PracticeNHS SOLIHULL CCG (05P)EQ-5D Index</v>
      </c>
      <c r="C3992" t="s">
        <v>249</v>
      </c>
      <c r="D3992" t="s">
        <v>87</v>
      </c>
      <c r="E3992" t="s">
        <v>824</v>
      </c>
      <c r="F3992" t="s">
        <v>825</v>
      </c>
      <c r="G3992" t="s">
        <v>52</v>
      </c>
      <c r="H3992">
        <v>249</v>
      </c>
      <c r="I3992">
        <v>0.43</v>
      </c>
      <c r="J3992">
        <v>0.71499999999999997</v>
      </c>
      <c r="K3992">
        <v>0.28499999999999998</v>
      </c>
      <c r="L3992">
        <v>193</v>
      </c>
      <c r="M3992">
        <v>30</v>
      </c>
      <c r="N3992">
        <v>26</v>
      </c>
      <c r="O3992">
        <v>0.72899999999999998</v>
      </c>
      <c r="P3992">
        <v>0.304014689</v>
      </c>
      <c r="Q3992">
        <v>0.25</v>
      </c>
    </row>
    <row r="3993" spans="1:17" x14ac:dyDescent="0.2">
      <c r="A3993" s="30" t="str">
        <f>IF(C3993&amp;G3993&amp;D3993&lt;&gt;'Funnel setup'!$K$3&amp;'Funnel setup'!$K$4&amp;'Funnel setup'!$K$5,".",IF(A3992=".",1,A3992+1))</f>
        <v>.</v>
      </c>
      <c r="B3993" s="431" t="str">
        <f t="shared" si="62"/>
        <v>Knee Replacement PrimaryCCG of GP PracticeNHS SOMERSET CCG (11X)EQ-5D Index</v>
      </c>
      <c r="C3993" t="s">
        <v>249</v>
      </c>
      <c r="D3993" t="s">
        <v>87</v>
      </c>
      <c r="E3993" t="s">
        <v>827</v>
      </c>
      <c r="F3993" t="s">
        <v>828</v>
      </c>
      <c r="G3993" t="s">
        <v>52</v>
      </c>
      <c r="H3993">
        <v>405</v>
      </c>
      <c r="I3993">
        <v>0.45200000000000001</v>
      </c>
      <c r="J3993">
        <v>0.78500000000000003</v>
      </c>
      <c r="K3993">
        <v>0.33300000000000002</v>
      </c>
      <c r="L3993">
        <v>344</v>
      </c>
      <c r="M3993">
        <v>35</v>
      </c>
      <c r="N3993">
        <v>26</v>
      </c>
      <c r="O3993">
        <v>0.76</v>
      </c>
      <c r="P3993">
        <v>0.33517603800000001</v>
      </c>
      <c r="Q3993">
        <v>0.215</v>
      </c>
    </row>
    <row r="3994" spans="1:17" x14ac:dyDescent="0.2">
      <c r="A3994" s="30" t="str">
        <f>IF(C3994&amp;G3994&amp;D3994&lt;&gt;'Funnel setup'!$K$3&amp;'Funnel setup'!$K$4&amp;'Funnel setup'!$K$5,".",IF(A3993=".",1,A3993+1))</f>
        <v>.</v>
      </c>
      <c r="B3994" s="431" t="str">
        <f t="shared" si="62"/>
        <v>Knee Replacement PrimaryCCG of GP PracticeNHS SOUTH CHESHIRE CCG (01R)EQ-5D Index</v>
      </c>
      <c r="C3994" t="s">
        <v>249</v>
      </c>
      <c r="D3994" t="s">
        <v>87</v>
      </c>
      <c r="E3994" t="s">
        <v>830</v>
      </c>
      <c r="F3994" t="s">
        <v>831</v>
      </c>
      <c r="G3994" t="s">
        <v>52</v>
      </c>
      <c r="H3994">
        <v>164</v>
      </c>
      <c r="I3994">
        <v>0.496</v>
      </c>
      <c r="J3994">
        <v>0.76700000000000002</v>
      </c>
      <c r="K3994">
        <v>0.27100000000000002</v>
      </c>
      <c r="L3994">
        <v>121</v>
      </c>
      <c r="M3994">
        <v>27</v>
      </c>
      <c r="N3994">
        <v>16</v>
      </c>
      <c r="O3994">
        <v>0.71699999999999997</v>
      </c>
      <c r="P3994">
        <v>0.29158315400000001</v>
      </c>
      <c r="Q3994">
        <v>0.21199999999999999</v>
      </c>
    </row>
    <row r="3995" spans="1:17" x14ac:dyDescent="0.2">
      <c r="A3995" s="30" t="str">
        <f>IF(C3995&amp;G3995&amp;D3995&lt;&gt;'Funnel setup'!$K$3&amp;'Funnel setup'!$K$4&amp;'Funnel setup'!$K$5,".",IF(A3994=".",1,A3994+1))</f>
        <v>.</v>
      </c>
      <c r="B3995" s="431" t="str">
        <f t="shared" si="62"/>
        <v>Knee Replacement PrimaryCCG of GP PracticeNHS SOUTH DEVON AND TORBAY CCG (99Q)EQ-5D Index</v>
      </c>
      <c r="C3995" t="s">
        <v>249</v>
      </c>
      <c r="D3995" t="s">
        <v>87</v>
      </c>
      <c r="E3995" t="s">
        <v>833</v>
      </c>
      <c r="F3995" t="s">
        <v>834</v>
      </c>
      <c r="G3995" t="s">
        <v>52</v>
      </c>
      <c r="H3995">
        <v>315</v>
      </c>
      <c r="I3995">
        <v>0.46600000000000003</v>
      </c>
      <c r="J3995">
        <v>0.755</v>
      </c>
      <c r="K3995">
        <v>0.28899999999999998</v>
      </c>
      <c r="L3995">
        <v>252</v>
      </c>
      <c r="M3995">
        <v>38</v>
      </c>
      <c r="N3995">
        <v>25</v>
      </c>
      <c r="O3995">
        <v>0.752</v>
      </c>
      <c r="P3995">
        <v>0.32711265299999998</v>
      </c>
      <c r="Q3995">
        <v>0.219</v>
      </c>
    </row>
    <row r="3996" spans="1:17" x14ac:dyDescent="0.2">
      <c r="A3996" s="30" t="str">
        <f>IF(C3996&amp;G3996&amp;D3996&lt;&gt;'Funnel setup'!$K$3&amp;'Funnel setup'!$K$4&amp;'Funnel setup'!$K$5,".",IF(A3995=".",1,A3995+1))</f>
        <v>.</v>
      </c>
      <c r="B3996" s="431" t="str">
        <f t="shared" si="62"/>
        <v>Knee Replacement PrimaryCCG of GP PracticeNHS SOUTH EAST STAFFORDSHIRE AND SEISDON PENINSULA CCG (05Q)EQ-5D Index</v>
      </c>
      <c r="C3996" t="s">
        <v>249</v>
      </c>
      <c r="D3996" t="s">
        <v>87</v>
      </c>
      <c r="E3996" t="s">
        <v>836</v>
      </c>
      <c r="F3996" t="s">
        <v>837</v>
      </c>
      <c r="G3996" t="s">
        <v>52</v>
      </c>
      <c r="H3996">
        <v>223</v>
      </c>
      <c r="I3996">
        <v>0.41599999999999998</v>
      </c>
      <c r="J3996">
        <v>0.73199999999999998</v>
      </c>
      <c r="K3996">
        <v>0.316</v>
      </c>
      <c r="L3996">
        <v>182</v>
      </c>
      <c r="M3996">
        <v>24</v>
      </c>
      <c r="N3996">
        <v>17</v>
      </c>
      <c r="O3996">
        <v>0.72599999999999998</v>
      </c>
      <c r="P3996">
        <v>0.30078114</v>
      </c>
      <c r="Q3996">
        <v>0.22500000000000001</v>
      </c>
    </row>
    <row r="3997" spans="1:17" x14ac:dyDescent="0.2">
      <c r="A3997" s="30" t="str">
        <f>IF(C3997&amp;G3997&amp;D3997&lt;&gt;'Funnel setup'!$K$3&amp;'Funnel setup'!$K$4&amp;'Funnel setup'!$K$5,".",IF(A3996=".",1,A3996+1))</f>
        <v>.</v>
      </c>
      <c r="B3997" s="431" t="str">
        <f t="shared" si="62"/>
        <v>Knee Replacement PrimaryCCG of GP PracticeNHS SOUTH EASTERN HAMPSHIRE CCG (10V)EQ-5D Index</v>
      </c>
      <c r="C3997" t="s">
        <v>249</v>
      </c>
      <c r="D3997" t="s">
        <v>87</v>
      </c>
      <c r="E3997" t="s">
        <v>839</v>
      </c>
      <c r="F3997" t="s">
        <v>840</v>
      </c>
      <c r="G3997" t="s">
        <v>52</v>
      </c>
      <c r="H3997">
        <v>112</v>
      </c>
      <c r="I3997">
        <v>0.44500000000000001</v>
      </c>
      <c r="J3997">
        <v>0.76100000000000001</v>
      </c>
      <c r="K3997">
        <v>0.316</v>
      </c>
      <c r="L3997">
        <v>95</v>
      </c>
      <c r="M3997">
        <v>11</v>
      </c>
      <c r="N3997">
        <v>6</v>
      </c>
      <c r="O3997">
        <v>0.73699999999999999</v>
      </c>
      <c r="P3997">
        <v>0.311745524</v>
      </c>
      <c r="Q3997">
        <v>0.193</v>
      </c>
    </row>
    <row r="3998" spans="1:17" x14ac:dyDescent="0.2">
      <c r="A3998" s="30" t="str">
        <f>IF(C3998&amp;G3998&amp;D3998&lt;&gt;'Funnel setup'!$K$3&amp;'Funnel setup'!$K$4&amp;'Funnel setup'!$K$5,".",IF(A3997=".",1,A3997+1))</f>
        <v>.</v>
      </c>
      <c r="B3998" s="431" t="str">
        <f t="shared" si="62"/>
        <v>Knee Replacement PrimaryCCG of GP PracticeNHS SOUTH GLOUCESTERSHIRE CCG (12A)EQ-5D Index</v>
      </c>
      <c r="C3998" t="s">
        <v>249</v>
      </c>
      <c r="D3998" t="s">
        <v>87</v>
      </c>
      <c r="E3998" t="s">
        <v>842</v>
      </c>
      <c r="F3998" t="s">
        <v>843</v>
      </c>
      <c r="G3998" t="s">
        <v>52</v>
      </c>
      <c r="H3998">
        <v>210</v>
      </c>
      <c r="I3998">
        <v>0.46400000000000002</v>
      </c>
      <c r="J3998">
        <v>0.78300000000000003</v>
      </c>
      <c r="K3998">
        <v>0.318</v>
      </c>
      <c r="L3998">
        <v>170</v>
      </c>
      <c r="M3998">
        <v>19</v>
      </c>
      <c r="N3998">
        <v>21</v>
      </c>
      <c r="O3998">
        <v>0.745</v>
      </c>
      <c r="P3998">
        <v>0.319993162</v>
      </c>
      <c r="Q3998">
        <v>0.20399999999999999</v>
      </c>
    </row>
    <row r="3999" spans="1:17" x14ac:dyDescent="0.2">
      <c r="A3999" s="30" t="str">
        <f>IF(C3999&amp;G3999&amp;D3999&lt;&gt;'Funnel setup'!$K$3&amp;'Funnel setup'!$K$4&amp;'Funnel setup'!$K$5,".",IF(A3998=".",1,A3998+1))</f>
        <v>.</v>
      </c>
      <c r="B3999" s="431" t="str">
        <f t="shared" si="62"/>
        <v>Knee Replacement PrimaryCCG of GP PracticeNHS SOUTH KENT COAST CCG (10A)EQ-5D Index</v>
      </c>
      <c r="C3999" t="s">
        <v>249</v>
      </c>
      <c r="D3999" t="s">
        <v>87</v>
      </c>
      <c r="E3999" t="s">
        <v>845</v>
      </c>
      <c r="F3999" t="s">
        <v>846</v>
      </c>
      <c r="G3999" t="s">
        <v>52</v>
      </c>
      <c r="H3999">
        <v>148</v>
      </c>
      <c r="I3999">
        <v>0.441</v>
      </c>
      <c r="J3999">
        <v>0.70699999999999996</v>
      </c>
      <c r="K3999">
        <v>0.26600000000000001</v>
      </c>
      <c r="L3999">
        <v>111</v>
      </c>
      <c r="M3999">
        <v>19</v>
      </c>
      <c r="N3999">
        <v>18</v>
      </c>
      <c r="O3999">
        <v>0.70399999999999996</v>
      </c>
      <c r="P3999">
        <v>0.27868020999999998</v>
      </c>
      <c r="Q3999">
        <v>0.23599999999999999</v>
      </c>
    </row>
    <row r="4000" spans="1:17" x14ac:dyDescent="0.2">
      <c r="A4000" s="30" t="str">
        <f>IF(C4000&amp;G4000&amp;D4000&lt;&gt;'Funnel setup'!$K$3&amp;'Funnel setup'!$K$4&amp;'Funnel setup'!$K$5,".",IF(A3999=".",1,A3999+1))</f>
        <v>.</v>
      </c>
      <c r="B4000" s="431" t="str">
        <f t="shared" si="62"/>
        <v>Knee Replacement PrimaryCCG of GP PracticeNHS SOUTH LINCOLNSHIRE CCG (99D)EQ-5D Index</v>
      </c>
      <c r="C4000" t="s">
        <v>249</v>
      </c>
      <c r="D4000" t="s">
        <v>87</v>
      </c>
      <c r="E4000" t="s">
        <v>848</v>
      </c>
      <c r="F4000" t="s">
        <v>849</v>
      </c>
      <c r="G4000" t="s">
        <v>52</v>
      </c>
      <c r="H4000">
        <v>200</v>
      </c>
      <c r="I4000">
        <v>0.46400000000000002</v>
      </c>
      <c r="J4000">
        <v>0.77100000000000002</v>
      </c>
      <c r="K4000">
        <v>0.307</v>
      </c>
      <c r="L4000">
        <v>164</v>
      </c>
      <c r="M4000">
        <v>19</v>
      </c>
      <c r="N4000">
        <v>17</v>
      </c>
      <c r="O4000">
        <v>0.745</v>
      </c>
      <c r="P4000">
        <v>0.31955724299999999</v>
      </c>
      <c r="Q4000">
        <v>0.20100000000000001</v>
      </c>
    </row>
    <row r="4001" spans="1:17" x14ac:dyDescent="0.2">
      <c r="A4001" s="30" t="str">
        <f>IF(C4001&amp;G4001&amp;D4001&lt;&gt;'Funnel setup'!$K$3&amp;'Funnel setup'!$K$4&amp;'Funnel setup'!$K$5,".",IF(A4000=".",1,A4000+1))</f>
        <v>.</v>
      </c>
      <c r="B4001" s="431" t="str">
        <f t="shared" si="62"/>
        <v>Knee Replacement PrimaryCCG of GP PracticeNHS SOUTH MANCHESTER CCG (01N)EQ-5D Index</v>
      </c>
      <c r="C4001" t="s">
        <v>249</v>
      </c>
      <c r="D4001" t="s">
        <v>87</v>
      </c>
      <c r="E4001" t="s">
        <v>851</v>
      </c>
      <c r="F4001" t="s">
        <v>852</v>
      </c>
      <c r="G4001" t="s">
        <v>52</v>
      </c>
      <c r="H4001">
        <v>61</v>
      </c>
      <c r="I4001">
        <v>0.371</v>
      </c>
      <c r="J4001">
        <v>0.63500000000000001</v>
      </c>
      <c r="K4001">
        <v>0.26400000000000001</v>
      </c>
      <c r="L4001">
        <v>41</v>
      </c>
      <c r="M4001">
        <v>8</v>
      </c>
      <c r="N4001">
        <v>12</v>
      </c>
      <c r="O4001">
        <v>0.69299999999999995</v>
      </c>
      <c r="P4001">
        <v>0.26825555299999998</v>
      </c>
      <c r="Q4001">
        <v>0.309</v>
      </c>
    </row>
    <row r="4002" spans="1:17" x14ac:dyDescent="0.2">
      <c r="A4002" s="30" t="str">
        <f>IF(C4002&amp;G4002&amp;D4002&lt;&gt;'Funnel setup'!$K$3&amp;'Funnel setup'!$K$4&amp;'Funnel setup'!$K$5,".",IF(A4001=".",1,A4001+1))</f>
        <v>.</v>
      </c>
      <c r="B4002" s="431" t="str">
        <f t="shared" si="62"/>
        <v>Knee Replacement PrimaryCCG of GP PracticeNHS SOUTH NORFOLK CCG (06Y)EQ-5D Index</v>
      </c>
      <c r="C4002" t="s">
        <v>249</v>
      </c>
      <c r="D4002" t="s">
        <v>87</v>
      </c>
      <c r="E4002" t="s">
        <v>932</v>
      </c>
      <c r="F4002" t="s">
        <v>933</v>
      </c>
      <c r="G4002" t="s">
        <v>52</v>
      </c>
      <c r="H4002">
        <v>188</v>
      </c>
      <c r="I4002">
        <v>0.43</v>
      </c>
      <c r="J4002">
        <v>0.751</v>
      </c>
      <c r="K4002">
        <v>0.32</v>
      </c>
      <c r="L4002">
        <v>149</v>
      </c>
      <c r="M4002">
        <v>24</v>
      </c>
      <c r="N4002">
        <v>15</v>
      </c>
      <c r="O4002">
        <v>0.73199999999999998</v>
      </c>
      <c r="P4002">
        <v>0.306599648</v>
      </c>
      <c r="Q4002">
        <v>0.21099999999999999</v>
      </c>
    </row>
    <row r="4003" spans="1:17" x14ac:dyDescent="0.2">
      <c r="A4003" s="30" t="str">
        <f>IF(C4003&amp;G4003&amp;D4003&lt;&gt;'Funnel setup'!$K$3&amp;'Funnel setup'!$K$4&amp;'Funnel setup'!$K$5,".",IF(A4002=".",1,A4002+1))</f>
        <v>.</v>
      </c>
      <c r="B4003" s="431" t="str">
        <f t="shared" si="62"/>
        <v>Knee Replacement PrimaryCCG of GP PracticeNHS SOUTH READING CCG (10W)EQ-5D Index</v>
      </c>
      <c r="C4003" t="s">
        <v>249</v>
      </c>
      <c r="D4003" t="s">
        <v>87</v>
      </c>
      <c r="E4003" t="s">
        <v>935</v>
      </c>
      <c r="F4003" t="s">
        <v>936</v>
      </c>
      <c r="G4003" t="s">
        <v>52</v>
      </c>
      <c r="H4003">
        <v>32</v>
      </c>
      <c r="I4003">
        <v>0.48199999999999998</v>
      </c>
      <c r="J4003">
        <v>0.76900000000000002</v>
      </c>
      <c r="K4003">
        <v>0.28699999999999998</v>
      </c>
      <c r="L4003">
        <v>26</v>
      </c>
      <c r="M4003">
        <v>2</v>
      </c>
      <c r="N4003">
        <v>4</v>
      </c>
      <c r="O4003">
        <v>0.73799999999999999</v>
      </c>
      <c r="P4003">
        <v>0.31325420199999998</v>
      </c>
      <c r="Q4003">
        <v>0.22800000000000001</v>
      </c>
    </row>
    <row r="4004" spans="1:17" x14ac:dyDescent="0.2">
      <c r="A4004" s="30" t="str">
        <f>IF(C4004&amp;G4004&amp;D4004&lt;&gt;'Funnel setup'!$K$3&amp;'Funnel setup'!$K$4&amp;'Funnel setup'!$K$5,".",IF(A4003=".",1,A4003+1))</f>
        <v>.</v>
      </c>
      <c r="B4004" s="431" t="str">
        <f t="shared" si="62"/>
        <v>Knee Replacement PrimaryCCG of GP PracticeNHS SOUTH SEFTON CCG (01T)EQ-5D Index</v>
      </c>
      <c r="C4004" t="s">
        <v>249</v>
      </c>
      <c r="D4004" t="s">
        <v>87</v>
      </c>
      <c r="E4004" t="s">
        <v>938</v>
      </c>
      <c r="F4004" t="s">
        <v>939</v>
      </c>
      <c r="G4004" t="s">
        <v>52</v>
      </c>
      <c r="H4004">
        <v>113</v>
      </c>
      <c r="I4004">
        <v>0.307</v>
      </c>
      <c r="J4004">
        <v>0.66600000000000004</v>
      </c>
      <c r="K4004">
        <v>0.36</v>
      </c>
      <c r="L4004">
        <v>93</v>
      </c>
      <c r="M4004">
        <v>7</v>
      </c>
      <c r="N4004">
        <v>13</v>
      </c>
      <c r="O4004">
        <v>0.71899999999999997</v>
      </c>
      <c r="P4004">
        <v>0.29396684200000001</v>
      </c>
      <c r="Q4004">
        <v>0.253</v>
      </c>
    </row>
    <row r="4005" spans="1:17" x14ac:dyDescent="0.2">
      <c r="A4005" s="30" t="str">
        <f>IF(C4005&amp;G4005&amp;D4005&lt;&gt;'Funnel setup'!$K$3&amp;'Funnel setup'!$K$4&amp;'Funnel setup'!$K$5,".",IF(A4004=".",1,A4004+1))</f>
        <v>.</v>
      </c>
      <c r="B4005" s="431" t="str">
        <f t="shared" si="62"/>
        <v>Knee Replacement PrimaryCCG of GP PracticeNHS SOUTH TEES CCG (00M)EQ-5D Index</v>
      </c>
      <c r="C4005" t="s">
        <v>249</v>
      </c>
      <c r="D4005" t="s">
        <v>87</v>
      </c>
      <c r="E4005" t="s">
        <v>941</v>
      </c>
      <c r="F4005" t="s">
        <v>942</v>
      </c>
      <c r="G4005" t="s">
        <v>52</v>
      </c>
      <c r="H4005">
        <v>334</v>
      </c>
      <c r="I4005">
        <v>0.39200000000000002</v>
      </c>
      <c r="J4005">
        <v>0.74</v>
      </c>
      <c r="K4005">
        <v>0.34799999999999998</v>
      </c>
      <c r="L4005">
        <v>279</v>
      </c>
      <c r="M4005">
        <v>29</v>
      </c>
      <c r="N4005">
        <v>26</v>
      </c>
      <c r="O4005">
        <v>0.77200000000000002</v>
      </c>
      <c r="P4005">
        <v>0.34740036800000001</v>
      </c>
      <c r="Q4005">
        <v>0.22700000000000001</v>
      </c>
    </row>
    <row r="4006" spans="1:17" x14ac:dyDescent="0.2">
      <c r="A4006" s="30" t="str">
        <f>IF(C4006&amp;G4006&amp;D4006&lt;&gt;'Funnel setup'!$K$3&amp;'Funnel setup'!$K$4&amp;'Funnel setup'!$K$5,".",IF(A4005=".",1,A4005+1))</f>
        <v>.</v>
      </c>
      <c r="B4006" s="431" t="str">
        <f t="shared" si="62"/>
        <v>Knee Replacement PrimaryCCG of GP PracticeNHS SOUTH TYNESIDE CCG (00N)EQ-5D Index</v>
      </c>
      <c r="C4006" t="s">
        <v>249</v>
      </c>
      <c r="D4006" t="s">
        <v>87</v>
      </c>
      <c r="E4006" t="s">
        <v>1016</v>
      </c>
      <c r="F4006" t="s">
        <v>1017</v>
      </c>
      <c r="G4006" t="s">
        <v>52</v>
      </c>
      <c r="H4006">
        <v>146</v>
      </c>
      <c r="I4006">
        <v>0.38600000000000001</v>
      </c>
      <c r="J4006">
        <v>0.71599999999999997</v>
      </c>
      <c r="K4006">
        <v>0.32900000000000001</v>
      </c>
      <c r="L4006">
        <v>114</v>
      </c>
      <c r="M4006">
        <v>12</v>
      </c>
      <c r="N4006">
        <v>20</v>
      </c>
      <c r="O4006">
        <v>0.73299999999999998</v>
      </c>
      <c r="P4006">
        <v>0.307910815</v>
      </c>
      <c r="Q4006">
        <v>0.247</v>
      </c>
    </row>
    <row r="4007" spans="1:17" x14ac:dyDescent="0.2">
      <c r="A4007" s="30" t="str">
        <f>IF(C4007&amp;G4007&amp;D4007&lt;&gt;'Funnel setup'!$K$3&amp;'Funnel setup'!$K$4&amp;'Funnel setup'!$K$5,".",IF(A4006=".",1,A4006+1))</f>
        <v>.</v>
      </c>
      <c r="B4007" s="431" t="str">
        <f t="shared" si="62"/>
        <v>Knee Replacement PrimaryCCG of GP PracticeNHS SOUTH WARWICKSHIRE CCG (05R)EQ-5D Index</v>
      </c>
      <c r="C4007" t="s">
        <v>249</v>
      </c>
      <c r="D4007" t="s">
        <v>87</v>
      </c>
      <c r="E4007" t="s">
        <v>944</v>
      </c>
      <c r="F4007" t="s">
        <v>945</v>
      </c>
      <c r="G4007" t="s">
        <v>52</v>
      </c>
      <c r="H4007">
        <v>259</v>
      </c>
      <c r="I4007">
        <v>0.47299999999999998</v>
      </c>
      <c r="J4007">
        <v>0.751</v>
      </c>
      <c r="K4007">
        <v>0.27800000000000002</v>
      </c>
      <c r="L4007">
        <v>209</v>
      </c>
      <c r="M4007">
        <v>26</v>
      </c>
      <c r="N4007">
        <v>24</v>
      </c>
      <c r="O4007">
        <v>0.72599999999999998</v>
      </c>
      <c r="P4007">
        <v>0.30077854700000001</v>
      </c>
      <c r="Q4007">
        <v>0.20799999999999999</v>
      </c>
    </row>
    <row r="4008" spans="1:17" x14ac:dyDescent="0.2">
      <c r="A4008" s="30" t="str">
        <f>IF(C4008&amp;G4008&amp;D4008&lt;&gt;'Funnel setup'!$K$3&amp;'Funnel setup'!$K$4&amp;'Funnel setup'!$K$5,".",IF(A4007=".",1,A4007+1))</f>
        <v>.</v>
      </c>
      <c r="B4008" s="431" t="str">
        <f t="shared" si="62"/>
        <v>Knee Replacement PrimaryCCG of GP PracticeNHS SOUTH WEST LINCOLNSHIRE CCG (04Q)EQ-5D Index</v>
      </c>
      <c r="C4008" t="s">
        <v>249</v>
      </c>
      <c r="D4008" t="s">
        <v>87</v>
      </c>
      <c r="E4008" t="s">
        <v>947</v>
      </c>
      <c r="F4008" t="s">
        <v>948</v>
      </c>
      <c r="G4008" t="s">
        <v>52</v>
      </c>
      <c r="H4008">
        <v>110</v>
      </c>
      <c r="I4008">
        <v>0.42099999999999999</v>
      </c>
      <c r="J4008">
        <v>0.73899999999999999</v>
      </c>
      <c r="K4008">
        <v>0.317</v>
      </c>
      <c r="L4008">
        <v>85</v>
      </c>
      <c r="M4008">
        <v>12</v>
      </c>
      <c r="N4008">
        <v>13</v>
      </c>
      <c r="O4008">
        <v>0.73199999999999998</v>
      </c>
      <c r="P4008">
        <v>0.30652716400000002</v>
      </c>
      <c r="Q4008">
        <v>0.26900000000000002</v>
      </c>
    </row>
    <row r="4009" spans="1:17" x14ac:dyDescent="0.2">
      <c r="A4009" s="30" t="str">
        <f>IF(C4009&amp;G4009&amp;D4009&lt;&gt;'Funnel setup'!$K$3&amp;'Funnel setup'!$K$4&amp;'Funnel setup'!$K$5,".",IF(A4008=".",1,A4008+1))</f>
        <v>.</v>
      </c>
      <c r="B4009" s="431" t="str">
        <f t="shared" si="62"/>
        <v>Knee Replacement PrimaryCCG of GP PracticeNHS SOUTH WORCESTERSHIRE CCG (05T)EQ-5D Index</v>
      </c>
      <c r="C4009" t="s">
        <v>249</v>
      </c>
      <c r="D4009" t="s">
        <v>87</v>
      </c>
      <c r="E4009" t="s">
        <v>950</v>
      </c>
      <c r="F4009" t="s">
        <v>951</v>
      </c>
      <c r="G4009" t="s">
        <v>52</v>
      </c>
      <c r="H4009">
        <v>169</v>
      </c>
      <c r="I4009">
        <v>0.43099999999999999</v>
      </c>
      <c r="J4009">
        <v>0.78700000000000003</v>
      </c>
      <c r="K4009">
        <v>0.35599999999999998</v>
      </c>
      <c r="L4009">
        <v>140</v>
      </c>
      <c r="M4009">
        <v>18</v>
      </c>
      <c r="N4009">
        <v>11</v>
      </c>
      <c r="O4009">
        <v>0.77</v>
      </c>
      <c r="P4009">
        <v>0.34536363599999997</v>
      </c>
      <c r="Q4009">
        <v>0.20799999999999999</v>
      </c>
    </row>
    <row r="4010" spans="1:17" x14ac:dyDescent="0.2">
      <c r="A4010" s="30" t="str">
        <f>IF(C4010&amp;G4010&amp;D4010&lt;&gt;'Funnel setup'!$K$3&amp;'Funnel setup'!$K$4&amp;'Funnel setup'!$K$5,".",IF(A4009=".",1,A4009+1))</f>
        <v>.</v>
      </c>
      <c r="B4010" s="431" t="str">
        <f t="shared" si="62"/>
        <v>Knee Replacement PrimaryCCG of GP PracticeNHS SOUTHAMPTON CCG (10X)EQ-5D Index</v>
      </c>
      <c r="C4010" t="s">
        <v>249</v>
      </c>
      <c r="D4010" t="s">
        <v>87</v>
      </c>
      <c r="E4010" t="s">
        <v>953</v>
      </c>
      <c r="F4010" t="s">
        <v>954</v>
      </c>
      <c r="G4010" t="s">
        <v>52</v>
      </c>
      <c r="H4010">
        <v>171</v>
      </c>
      <c r="I4010">
        <v>0.34300000000000003</v>
      </c>
      <c r="J4010">
        <v>0.68899999999999995</v>
      </c>
      <c r="K4010">
        <v>0.34499999999999997</v>
      </c>
      <c r="L4010">
        <v>141</v>
      </c>
      <c r="M4010">
        <v>12</v>
      </c>
      <c r="N4010">
        <v>18</v>
      </c>
      <c r="O4010">
        <v>0.71499999999999997</v>
      </c>
      <c r="P4010">
        <v>0.28968265999999998</v>
      </c>
      <c r="Q4010">
        <v>0.255</v>
      </c>
    </row>
    <row r="4011" spans="1:17" x14ac:dyDescent="0.2">
      <c r="A4011" s="30" t="str">
        <f>IF(C4011&amp;G4011&amp;D4011&lt;&gt;'Funnel setup'!$K$3&amp;'Funnel setup'!$K$4&amp;'Funnel setup'!$K$5,".",IF(A4010=".",1,A4010+1))</f>
        <v>.</v>
      </c>
      <c r="B4011" s="431" t="str">
        <f t="shared" si="62"/>
        <v>Knee Replacement PrimaryCCG of GP PracticeNHS SOUTHEND CCG (99G)EQ-5D Index</v>
      </c>
      <c r="C4011" t="s">
        <v>249</v>
      </c>
      <c r="D4011" t="s">
        <v>87</v>
      </c>
      <c r="E4011" t="s">
        <v>956</v>
      </c>
      <c r="F4011" t="s">
        <v>957</v>
      </c>
      <c r="G4011" t="s">
        <v>52</v>
      </c>
      <c r="H4011">
        <v>117</v>
      </c>
      <c r="I4011">
        <v>0.38200000000000001</v>
      </c>
      <c r="J4011">
        <v>0.71399999999999997</v>
      </c>
      <c r="K4011">
        <v>0.33100000000000002</v>
      </c>
      <c r="L4011">
        <v>93</v>
      </c>
      <c r="M4011">
        <v>13</v>
      </c>
      <c r="N4011">
        <v>11</v>
      </c>
      <c r="O4011">
        <v>0.73299999999999998</v>
      </c>
      <c r="P4011">
        <v>0.30841141900000002</v>
      </c>
      <c r="Q4011">
        <v>0.219</v>
      </c>
    </row>
    <row r="4012" spans="1:17" x14ac:dyDescent="0.2">
      <c r="A4012" s="30" t="str">
        <f>IF(C4012&amp;G4012&amp;D4012&lt;&gt;'Funnel setup'!$K$3&amp;'Funnel setup'!$K$4&amp;'Funnel setup'!$K$5,".",IF(A4011=".",1,A4011+1))</f>
        <v>.</v>
      </c>
      <c r="B4012" s="431" t="str">
        <f t="shared" si="62"/>
        <v>Knee Replacement PrimaryCCG of GP PracticeNHS SOUTHERN DERBYSHIRE CCG (04R)EQ-5D Index</v>
      </c>
      <c r="C4012" t="s">
        <v>249</v>
      </c>
      <c r="D4012" t="s">
        <v>87</v>
      </c>
      <c r="E4012" t="s">
        <v>959</v>
      </c>
      <c r="F4012" t="s">
        <v>960</v>
      </c>
      <c r="G4012" t="s">
        <v>52</v>
      </c>
      <c r="H4012">
        <v>447</v>
      </c>
      <c r="I4012">
        <v>0.44700000000000001</v>
      </c>
      <c r="J4012">
        <v>0.75600000000000001</v>
      </c>
      <c r="K4012">
        <v>0.309</v>
      </c>
      <c r="L4012">
        <v>360</v>
      </c>
      <c r="M4012">
        <v>39</v>
      </c>
      <c r="N4012">
        <v>48</v>
      </c>
      <c r="O4012">
        <v>0.745</v>
      </c>
      <c r="P4012">
        <v>0.32010960399999999</v>
      </c>
      <c r="Q4012">
        <v>0.218</v>
      </c>
    </row>
    <row r="4013" spans="1:17" x14ac:dyDescent="0.2">
      <c r="A4013" s="30" t="str">
        <f>IF(C4013&amp;G4013&amp;D4013&lt;&gt;'Funnel setup'!$K$3&amp;'Funnel setup'!$K$4&amp;'Funnel setup'!$K$5,".",IF(A4012=".",1,A4012+1))</f>
        <v>.</v>
      </c>
      <c r="B4013" s="431" t="str">
        <f t="shared" si="62"/>
        <v>Knee Replacement PrimaryCCG of GP PracticeNHS SOUTHPORT AND FORMBY CCG (01V)EQ-5D Index</v>
      </c>
      <c r="C4013" t="s">
        <v>249</v>
      </c>
      <c r="D4013" t="s">
        <v>87</v>
      </c>
      <c r="E4013" t="s">
        <v>962</v>
      </c>
      <c r="F4013" t="s">
        <v>963</v>
      </c>
      <c r="G4013" t="s">
        <v>52</v>
      </c>
      <c r="H4013">
        <v>86</v>
      </c>
      <c r="I4013">
        <v>0.375</v>
      </c>
      <c r="J4013">
        <v>0.72799999999999998</v>
      </c>
      <c r="K4013">
        <v>0.35299999999999998</v>
      </c>
      <c r="L4013">
        <v>70</v>
      </c>
      <c r="M4013">
        <v>8</v>
      </c>
      <c r="N4013">
        <v>8</v>
      </c>
      <c r="O4013">
        <v>0.72799999999999998</v>
      </c>
      <c r="P4013">
        <v>0.30345455399999999</v>
      </c>
      <c r="Q4013">
        <v>0.22500000000000001</v>
      </c>
    </row>
    <row r="4014" spans="1:17" x14ac:dyDescent="0.2">
      <c r="A4014" s="30" t="str">
        <f>IF(C4014&amp;G4014&amp;D4014&lt;&gt;'Funnel setup'!$K$3&amp;'Funnel setup'!$K$4&amp;'Funnel setup'!$K$5,".",IF(A4013=".",1,A4013+1))</f>
        <v>.</v>
      </c>
      <c r="B4014" s="431" t="str">
        <f t="shared" si="62"/>
        <v>Knee Replacement PrimaryCCG of GP PracticeNHS SOUTHWARK CCG (08Q)EQ-5D Index</v>
      </c>
      <c r="C4014" t="s">
        <v>249</v>
      </c>
      <c r="D4014" t="s">
        <v>87</v>
      </c>
      <c r="E4014" t="s">
        <v>965</v>
      </c>
      <c r="F4014" t="s">
        <v>966</v>
      </c>
      <c r="G4014" t="s">
        <v>52</v>
      </c>
      <c r="H4014">
        <v>49</v>
      </c>
      <c r="I4014">
        <v>0.23400000000000001</v>
      </c>
      <c r="J4014">
        <v>0.628</v>
      </c>
      <c r="K4014">
        <v>0.39400000000000002</v>
      </c>
      <c r="L4014">
        <v>43</v>
      </c>
      <c r="M4014">
        <v>2</v>
      </c>
      <c r="N4014">
        <v>4</v>
      </c>
      <c r="O4014">
        <v>0.71899999999999997</v>
      </c>
      <c r="P4014">
        <v>0.29407522400000002</v>
      </c>
      <c r="Q4014">
        <v>0.29299999999999998</v>
      </c>
    </row>
    <row r="4015" spans="1:17" x14ac:dyDescent="0.2">
      <c r="A4015" s="30" t="str">
        <f>IF(C4015&amp;G4015&amp;D4015&lt;&gt;'Funnel setup'!$K$3&amp;'Funnel setup'!$K$4&amp;'Funnel setup'!$K$5,".",IF(A4014=".",1,A4014+1))</f>
        <v>.</v>
      </c>
      <c r="B4015" s="431" t="str">
        <f t="shared" si="62"/>
        <v>Knee Replacement PrimaryCCG of GP PracticeNHS ST HELENS CCG (01X)EQ-5D Index</v>
      </c>
      <c r="C4015" t="s">
        <v>249</v>
      </c>
      <c r="D4015" t="s">
        <v>87</v>
      </c>
      <c r="E4015" t="s">
        <v>968</v>
      </c>
      <c r="F4015" t="s">
        <v>969</v>
      </c>
      <c r="G4015" t="s">
        <v>52</v>
      </c>
      <c r="H4015">
        <v>181</v>
      </c>
      <c r="I4015">
        <v>0.42199999999999999</v>
      </c>
      <c r="J4015">
        <v>0.71399999999999997</v>
      </c>
      <c r="K4015">
        <v>0.29199999999999998</v>
      </c>
      <c r="L4015">
        <v>137</v>
      </c>
      <c r="M4015">
        <v>30</v>
      </c>
      <c r="N4015">
        <v>14</v>
      </c>
      <c r="O4015">
        <v>0.73</v>
      </c>
      <c r="P4015">
        <v>0.30539068400000002</v>
      </c>
      <c r="Q4015">
        <v>0.23100000000000001</v>
      </c>
    </row>
    <row r="4016" spans="1:17" x14ac:dyDescent="0.2">
      <c r="A4016" s="30" t="str">
        <f>IF(C4016&amp;G4016&amp;D4016&lt;&gt;'Funnel setup'!$K$3&amp;'Funnel setup'!$K$4&amp;'Funnel setup'!$K$5,".",IF(A4015=".",1,A4015+1))</f>
        <v>.</v>
      </c>
      <c r="B4016" s="431" t="str">
        <f t="shared" si="62"/>
        <v>Knee Replacement PrimaryCCG of GP PracticeNHS STAFFORD AND SURROUNDS CCG (05V)EQ-5D Index</v>
      </c>
      <c r="C4016" t="s">
        <v>249</v>
      </c>
      <c r="D4016" t="s">
        <v>87</v>
      </c>
      <c r="E4016" t="s">
        <v>971</v>
      </c>
      <c r="F4016" t="s">
        <v>972</v>
      </c>
      <c r="G4016" t="s">
        <v>52</v>
      </c>
      <c r="H4016">
        <v>136</v>
      </c>
      <c r="I4016">
        <v>0.42699999999999999</v>
      </c>
      <c r="J4016">
        <v>0.75600000000000001</v>
      </c>
      <c r="K4016">
        <v>0.32900000000000001</v>
      </c>
      <c r="L4016">
        <v>115</v>
      </c>
      <c r="M4016">
        <v>12</v>
      </c>
      <c r="N4016">
        <v>9</v>
      </c>
      <c r="O4016">
        <v>0.74299999999999999</v>
      </c>
      <c r="P4016">
        <v>0.31786066600000001</v>
      </c>
      <c r="Q4016">
        <v>0.215</v>
      </c>
    </row>
    <row r="4017" spans="1:17" x14ac:dyDescent="0.2">
      <c r="A4017" s="30" t="str">
        <f>IF(C4017&amp;G4017&amp;D4017&lt;&gt;'Funnel setup'!$K$3&amp;'Funnel setup'!$K$4&amp;'Funnel setup'!$K$5,".",IF(A4016=".",1,A4016+1))</f>
        <v>.</v>
      </c>
      <c r="B4017" s="431" t="str">
        <f t="shared" si="62"/>
        <v>Knee Replacement PrimaryCCG of GP PracticeNHS STOCKPORT CCG (01W)EQ-5D Index</v>
      </c>
      <c r="C4017" t="s">
        <v>249</v>
      </c>
      <c r="D4017" t="s">
        <v>87</v>
      </c>
      <c r="E4017" t="s">
        <v>974</v>
      </c>
      <c r="F4017" t="s">
        <v>975</v>
      </c>
      <c r="G4017" t="s">
        <v>52</v>
      </c>
      <c r="H4017">
        <v>171</v>
      </c>
      <c r="I4017">
        <v>0.40100000000000002</v>
      </c>
      <c r="J4017">
        <v>0.77200000000000002</v>
      </c>
      <c r="K4017">
        <v>0.37</v>
      </c>
      <c r="L4017">
        <v>149</v>
      </c>
      <c r="M4017">
        <v>15</v>
      </c>
      <c r="N4017">
        <v>7</v>
      </c>
      <c r="O4017">
        <v>0.76700000000000002</v>
      </c>
      <c r="P4017">
        <v>0.34244418199999999</v>
      </c>
      <c r="Q4017">
        <v>0.17</v>
      </c>
    </row>
    <row r="4018" spans="1:17" x14ac:dyDescent="0.2">
      <c r="A4018" s="30" t="str">
        <f>IF(C4018&amp;G4018&amp;D4018&lt;&gt;'Funnel setup'!$K$3&amp;'Funnel setup'!$K$4&amp;'Funnel setup'!$K$5,".",IF(A4017=".",1,A4017+1))</f>
        <v>.</v>
      </c>
      <c r="B4018" s="431" t="str">
        <f t="shared" si="62"/>
        <v>Knee Replacement PrimaryCCG of GP PracticeNHS STOKE ON TRENT CCG (05W)EQ-5D Index</v>
      </c>
      <c r="C4018" t="s">
        <v>249</v>
      </c>
      <c r="D4018" t="s">
        <v>87</v>
      </c>
      <c r="E4018" t="s">
        <v>977</v>
      </c>
      <c r="F4018" t="s">
        <v>978</v>
      </c>
      <c r="G4018" t="s">
        <v>52</v>
      </c>
      <c r="H4018">
        <v>170</v>
      </c>
      <c r="I4018">
        <v>0.26300000000000001</v>
      </c>
      <c r="J4018">
        <v>0.63500000000000001</v>
      </c>
      <c r="K4018">
        <v>0.372</v>
      </c>
      <c r="L4018">
        <v>139</v>
      </c>
      <c r="M4018">
        <v>16</v>
      </c>
      <c r="N4018">
        <v>15</v>
      </c>
      <c r="O4018">
        <v>0.69899999999999995</v>
      </c>
      <c r="P4018">
        <v>0.273685805</v>
      </c>
      <c r="Q4018">
        <v>0.246</v>
      </c>
    </row>
    <row r="4019" spans="1:17" x14ac:dyDescent="0.2">
      <c r="A4019" s="30" t="str">
        <f>IF(C4019&amp;G4019&amp;D4019&lt;&gt;'Funnel setup'!$K$3&amp;'Funnel setup'!$K$4&amp;'Funnel setup'!$K$5,".",IF(A4018=".",1,A4018+1))</f>
        <v>.</v>
      </c>
      <c r="B4019" s="431" t="str">
        <f t="shared" si="62"/>
        <v>Knee Replacement PrimaryCCG of GP PracticeNHS SUNDERLAND CCG (00P)EQ-5D Index</v>
      </c>
      <c r="C4019" t="s">
        <v>249</v>
      </c>
      <c r="D4019" t="s">
        <v>87</v>
      </c>
      <c r="E4019" t="s">
        <v>980</v>
      </c>
      <c r="F4019" t="s">
        <v>981</v>
      </c>
      <c r="G4019" t="s">
        <v>52</v>
      </c>
      <c r="H4019">
        <v>255</v>
      </c>
      <c r="I4019">
        <v>0.375</v>
      </c>
      <c r="J4019">
        <v>0.70499999999999996</v>
      </c>
      <c r="K4019">
        <v>0.33</v>
      </c>
      <c r="L4019">
        <v>209</v>
      </c>
      <c r="M4019">
        <v>20</v>
      </c>
      <c r="N4019">
        <v>26</v>
      </c>
      <c r="O4019">
        <v>0.746</v>
      </c>
      <c r="P4019">
        <v>0.320703656</v>
      </c>
      <c r="Q4019">
        <v>0.22500000000000001</v>
      </c>
    </row>
    <row r="4020" spans="1:17" x14ac:dyDescent="0.2">
      <c r="A4020" s="30" t="str">
        <f>IF(C4020&amp;G4020&amp;D4020&lt;&gt;'Funnel setup'!$K$3&amp;'Funnel setup'!$K$4&amp;'Funnel setup'!$K$5,".",IF(A4019=".",1,A4019+1))</f>
        <v>.</v>
      </c>
      <c r="B4020" s="431" t="str">
        <f t="shared" si="62"/>
        <v>Knee Replacement PrimaryCCG of GP PracticeNHS SURREY DOWNS CCG (99H)EQ-5D Index</v>
      </c>
      <c r="C4020" t="s">
        <v>249</v>
      </c>
      <c r="D4020" t="s">
        <v>87</v>
      </c>
      <c r="E4020" t="s">
        <v>983</v>
      </c>
      <c r="F4020" t="s">
        <v>984</v>
      </c>
      <c r="G4020" t="s">
        <v>52</v>
      </c>
      <c r="H4020">
        <v>158</v>
      </c>
      <c r="I4020">
        <v>0.50800000000000001</v>
      </c>
      <c r="J4020">
        <v>0.75700000000000001</v>
      </c>
      <c r="K4020">
        <v>0.249</v>
      </c>
      <c r="L4020">
        <v>115</v>
      </c>
      <c r="M4020">
        <v>22</v>
      </c>
      <c r="N4020">
        <v>21</v>
      </c>
      <c r="O4020">
        <v>0.71199999999999997</v>
      </c>
      <c r="P4020">
        <v>0.28678680699999998</v>
      </c>
      <c r="Q4020">
        <v>0.21199999999999999</v>
      </c>
    </row>
    <row r="4021" spans="1:17" x14ac:dyDescent="0.2">
      <c r="A4021" s="30" t="str">
        <f>IF(C4021&amp;G4021&amp;D4021&lt;&gt;'Funnel setup'!$K$3&amp;'Funnel setup'!$K$4&amp;'Funnel setup'!$K$5,".",IF(A4020=".",1,A4020+1))</f>
        <v>.</v>
      </c>
      <c r="B4021" s="431" t="str">
        <f t="shared" si="62"/>
        <v>Knee Replacement PrimaryCCG of GP PracticeNHS SURREY HEATH CCG (10C)EQ-5D Index</v>
      </c>
      <c r="C4021" t="s">
        <v>249</v>
      </c>
      <c r="D4021" t="s">
        <v>87</v>
      </c>
      <c r="E4021" t="s">
        <v>986</v>
      </c>
      <c r="F4021" t="s">
        <v>987</v>
      </c>
      <c r="G4021" t="s">
        <v>52</v>
      </c>
      <c r="H4021">
        <v>72</v>
      </c>
      <c r="I4021">
        <v>0.48699999999999999</v>
      </c>
      <c r="J4021">
        <v>0.77300000000000002</v>
      </c>
      <c r="K4021">
        <v>0.28599999999999998</v>
      </c>
      <c r="L4021">
        <v>55</v>
      </c>
      <c r="M4021">
        <v>5</v>
      </c>
      <c r="N4021">
        <v>12</v>
      </c>
      <c r="O4021">
        <v>0.72799999999999998</v>
      </c>
      <c r="P4021">
        <v>0.30259183899999997</v>
      </c>
      <c r="Q4021">
        <v>0.222</v>
      </c>
    </row>
    <row r="4022" spans="1:17" x14ac:dyDescent="0.2">
      <c r="A4022" s="30" t="str">
        <f>IF(C4022&amp;G4022&amp;D4022&lt;&gt;'Funnel setup'!$K$3&amp;'Funnel setup'!$K$4&amp;'Funnel setup'!$K$5,".",IF(A4021=".",1,A4021+1))</f>
        <v>.</v>
      </c>
      <c r="B4022" s="431" t="str">
        <f t="shared" si="62"/>
        <v>Knee Replacement PrimaryCCG of GP PracticeNHS SUTTON CCG (08T)EQ-5D Index</v>
      </c>
      <c r="C4022" t="s">
        <v>249</v>
      </c>
      <c r="D4022" t="s">
        <v>87</v>
      </c>
      <c r="E4022" t="s">
        <v>989</v>
      </c>
      <c r="F4022" t="s">
        <v>990</v>
      </c>
      <c r="G4022" t="s">
        <v>52</v>
      </c>
      <c r="H4022">
        <v>71</v>
      </c>
      <c r="I4022">
        <v>0.438</v>
      </c>
      <c r="J4022">
        <v>0.747</v>
      </c>
      <c r="K4022">
        <v>0.309</v>
      </c>
      <c r="L4022">
        <v>55</v>
      </c>
      <c r="M4022">
        <v>10</v>
      </c>
      <c r="N4022">
        <v>6</v>
      </c>
      <c r="O4022">
        <v>0.72399999999999998</v>
      </c>
      <c r="P4022">
        <v>0.299155634</v>
      </c>
      <c r="Q4022">
        <v>0.19800000000000001</v>
      </c>
    </row>
    <row r="4023" spans="1:17" x14ac:dyDescent="0.2">
      <c r="A4023" s="30" t="str">
        <f>IF(C4023&amp;G4023&amp;D4023&lt;&gt;'Funnel setup'!$K$3&amp;'Funnel setup'!$K$4&amp;'Funnel setup'!$K$5,".",IF(A4022=".",1,A4022+1))</f>
        <v>.</v>
      </c>
      <c r="B4023" s="431" t="str">
        <f t="shared" si="62"/>
        <v>Knee Replacement PrimaryCCG of GP PracticeNHS SWALE CCG (10D)EQ-5D Index</v>
      </c>
      <c r="C4023" t="s">
        <v>249</v>
      </c>
      <c r="D4023" t="s">
        <v>87</v>
      </c>
      <c r="E4023" t="s">
        <v>992</v>
      </c>
      <c r="F4023" t="s">
        <v>993</v>
      </c>
      <c r="G4023" t="s">
        <v>52</v>
      </c>
      <c r="H4023">
        <v>65</v>
      </c>
      <c r="I4023">
        <v>0.39100000000000001</v>
      </c>
      <c r="J4023">
        <v>0.748</v>
      </c>
      <c r="K4023">
        <v>0.35699999999999998</v>
      </c>
      <c r="L4023">
        <v>53</v>
      </c>
      <c r="M4023">
        <v>4</v>
      </c>
      <c r="N4023">
        <v>8</v>
      </c>
      <c r="O4023">
        <v>0.76400000000000001</v>
      </c>
      <c r="P4023">
        <v>0.339457542</v>
      </c>
      <c r="Q4023">
        <v>0.20799999999999999</v>
      </c>
    </row>
    <row r="4024" spans="1:17" x14ac:dyDescent="0.2">
      <c r="A4024" s="30" t="str">
        <f>IF(C4024&amp;G4024&amp;D4024&lt;&gt;'Funnel setup'!$K$3&amp;'Funnel setup'!$K$4&amp;'Funnel setup'!$K$5,".",IF(A4023=".",1,A4023+1))</f>
        <v>.</v>
      </c>
      <c r="B4024" s="431" t="str">
        <f t="shared" si="62"/>
        <v>Knee Replacement PrimaryCCG of GP PracticeNHS SWINDON CCG (12D)EQ-5D Index</v>
      </c>
      <c r="C4024" t="s">
        <v>249</v>
      </c>
      <c r="D4024" t="s">
        <v>87</v>
      </c>
      <c r="E4024" t="s">
        <v>995</v>
      </c>
      <c r="F4024" t="s">
        <v>996</v>
      </c>
      <c r="G4024" t="s">
        <v>52</v>
      </c>
      <c r="H4024">
        <v>139</v>
      </c>
      <c r="I4024">
        <v>0.433</v>
      </c>
      <c r="J4024">
        <v>0.75800000000000001</v>
      </c>
      <c r="K4024">
        <v>0.32400000000000001</v>
      </c>
      <c r="L4024">
        <v>116</v>
      </c>
      <c r="M4024">
        <v>10</v>
      </c>
      <c r="N4024">
        <v>13</v>
      </c>
      <c r="O4024">
        <v>0.73799999999999999</v>
      </c>
      <c r="P4024">
        <v>0.31291174999999999</v>
      </c>
      <c r="Q4024">
        <v>0.23699999999999999</v>
      </c>
    </row>
    <row r="4025" spans="1:17" x14ac:dyDescent="0.2">
      <c r="A4025" s="30" t="str">
        <f>IF(C4025&amp;G4025&amp;D4025&lt;&gt;'Funnel setup'!$K$3&amp;'Funnel setup'!$K$4&amp;'Funnel setup'!$K$5,".",IF(A4024=".",1,A4024+1))</f>
        <v>.</v>
      </c>
      <c r="B4025" s="431" t="str">
        <f t="shared" si="62"/>
        <v>Knee Replacement PrimaryCCG of GP PracticeNHS TAMESIDE AND GLOSSOP CCG (01Y)EQ-5D Index</v>
      </c>
      <c r="C4025" t="s">
        <v>249</v>
      </c>
      <c r="D4025" t="s">
        <v>87</v>
      </c>
      <c r="E4025" t="s">
        <v>998</v>
      </c>
      <c r="F4025" t="s">
        <v>999</v>
      </c>
      <c r="G4025" t="s">
        <v>52</v>
      </c>
      <c r="H4025">
        <v>158</v>
      </c>
      <c r="I4025">
        <v>0.39800000000000002</v>
      </c>
      <c r="J4025">
        <v>0.71699999999999997</v>
      </c>
      <c r="K4025">
        <v>0.31900000000000001</v>
      </c>
      <c r="L4025">
        <v>123</v>
      </c>
      <c r="M4025">
        <v>15</v>
      </c>
      <c r="N4025">
        <v>20</v>
      </c>
      <c r="O4025">
        <v>0.73599999999999999</v>
      </c>
      <c r="P4025">
        <v>0.31132561800000003</v>
      </c>
      <c r="Q4025">
        <v>0.25700000000000001</v>
      </c>
    </row>
    <row r="4026" spans="1:17" x14ac:dyDescent="0.2">
      <c r="A4026" s="30" t="str">
        <f>IF(C4026&amp;G4026&amp;D4026&lt;&gt;'Funnel setup'!$K$3&amp;'Funnel setup'!$K$4&amp;'Funnel setup'!$K$5,".",IF(A4025=".",1,A4025+1))</f>
        <v>.</v>
      </c>
      <c r="B4026" s="431" t="str">
        <f t="shared" si="62"/>
        <v>Knee Replacement PrimaryCCG of GP PracticeNHS TELFORD AND WREKIN CCG (05X)EQ-5D Index</v>
      </c>
      <c r="C4026" t="s">
        <v>249</v>
      </c>
      <c r="D4026" t="s">
        <v>87</v>
      </c>
      <c r="E4026" t="s">
        <v>1001</v>
      </c>
      <c r="F4026" t="s">
        <v>1002</v>
      </c>
      <c r="G4026" t="s">
        <v>52</v>
      </c>
      <c r="H4026">
        <v>130</v>
      </c>
      <c r="I4026">
        <v>0.34100000000000003</v>
      </c>
      <c r="J4026">
        <v>0.72299999999999998</v>
      </c>
      <c r="K4026">
        <v>0.38100000000000001</v>
      </c>
      <c r="L4026">
        <v>109</v>
      </c>
      <c r="M4026">
        <v>9</v>
      </c>
      <c r="N4026">
        <v>12</v>
      </c>
      <c r="O4026">
        <v>0.74</v>
      </c>
      <c r="P4026">
        <v>0.31474724300000001</v>
      </c>
      <c r="Q4026">
        <v>0.24199999999999999</v>
      </c>
    </row>
    <row r="4027" spans="1:17" x14ac:dyDescent="0.2">
      <c r="A4027" s="30" t="str">
        <f>IF(C4027&amp;G4027&amp;D4027&lt;&gt;'Funnel setup'!$K$3&amp;'Funnel setup'!$K$4&amp;'Funnel setup'!$K$5,".",IF(A4026=".",1,A4026+1))</f>
        <v>.</v>
      </c>
      <c r="B4027" s="431" t="str">
        <f t="shared" si="62"/>
        <v>Knee Replacement PrimaryCCG of GP PracticeNHS THANET CCG (10E)EQ-5D Index</v>
      </c>
      <c r="C4027" t="s">
        <v>249</v>
      </c>
      <c r="D4027" t="s">
        <v>87</v>
      </c>
      <c r="E4027" t="s">
        <v>1004</v>
      </c>
      <c r="F4027" t="s">
        <v>1005</v>
      </c>
      <c r="G4027" t="s">
        <v>52</v>
      </c>
      <c r="H4027">
        <v>124</v>
      </c>
      <c r="I4027">
        <v>0.48199999999999998</v>
      </c>
      <c r="J4027">
        <v>0.77300000000000002</v>
      </c>
      <c r="K4027">
        <v>0.29099999999999998</v>
      </c>
      <c r="L4027">
        <v>97</v>
      </c>
      <c r="M4027">
        <v>14</v>
      </c>
      <c r="N4027">
        <v>13</v>
      </c>
      <c r="O4027">
        <v>0.76600000000000001</v>
      </c>
      <c r="P4027">
        <v>0.34092472200000001</v>
      </c>
      <c r="Q4027">
        <v>0.223</v>
      </c>
    </row>
    <row r="4028" spans="1:17" x14ac:dyDescent="0.2">
      <c r="A4028" s="30" t="str">
        <f>IF(C4028&amp;G4028&amp;D4028&lt;&gt;'Funnel setup'!$K$3&amp;'Funnel setup'!$K$4&amp;'Funnel setup'!$K$5,".",IF(A4027=".",1,A4027+1))</f>
        <v>.</v>
      </c>
      <c r="B4028" s="431" t="str">
        <f t="shared" si="62"/>
        <v>Knee Replacement PrimaryCCG of GP PracticeNHS THURROCK CCG (07G)EQ-5D Index</v>
      </c>
      <c r="C4028" t="s">
        <v>249</v>
      </c>
      <c r="D4028" t="s">
        <v>87</v>
      </c>
      <c r="E4028" t="s">
        <v>1007</v>
      </c>
      <c r="F4028" t="s">
        <v>1008</v>
      </c>
      <c r="G4028" t="s">
        <v>52</v>
      </c>
      <c r="H4028">
        <v>88</v>
      </c>
      <c r="I4028">
        <v>0.47899999999999998</v>
      </c>
      <c r="J4028">
        <v>0.75600000000000001</v>
      </c>
      <c r="K4028">
        <v>0.27700000000000002</v>
      </c>
      <c r="L4028">
        <v>66</v>
      </c>
      <c r="M4028">
        <v>14</v>
      </c>
      <c r="N4028">
        <v>8</v>
      </c>
      <c r="O4028">
        <v>0.74099999999999999</v>
      </c>
      <c r="P4028">
        <v>0.31641225699999997</v>
      </c>
      <c r="Q4028">
        <v>0.222</v>
      </c>
    </row>
    <row r="4029" spans="1:17" x14ac:dyDescent="0.2">
      <c r="A4029" s="30" t="str">
        <f>IF(C4029&amp;G4029&amp;D4029&lt;&gt;'Funnel setup'!$K$3&amp;'Funnel setup'!$K$4&amp;'Funnel setup'!$K$5,".",IF(A4028=".",1,A4028+1))</f>
        <v>.</v>
      </c>
      <c r="B4029" s="431" t="str">
        <f t="shared" si="62"/>
        <v>Knee Replacement PrimaryCCG of GP PracticeNHS TOWER HAMLETS CCG (08V)EQ-5D Index</v>
      </c>
      <c r="C4029" t="s">
        <v>249</v>
      </c>
      <c r="D4029" t="s">
        <v>87</v>
      </c>
      <c r="E4029" t="s">
        <v>1010</v>
      </c>
      <c r="F4029" t="s">
        <v>1011</v>
      </c>
      <c r="G4029" t="s">
        <v>52</v>
      </c>
      <c r="H4029">
        <v>27</v>
      </c>
      <c r="I4029">
        <v>0.17399999999999999</v>
      </c>
      <c r="J4029">
        <v>0.52800000000000002</v>
      </c>
      <c r="K4029">
        <v>0.35399999999999998</v>
      </c>
      <c r="L4029">
        <v>23</v>
      </c>
      <c r="M4029">
        <v>3</v>
      </c>
      <c r="N4029">
        <v>1</v>
      </c>
      <c r="O4029" t="s">
        <v>53</v>
      </c>
      <c r="P4029" t="s">
        <v>53</v>
      </c>
      <c r="Q4029" t="s">
        <v>53</v>
      </c>
    </row>
    <row r="4030" spans="1:17" x14ac:dyDescent="0.2">
      <c r="A4030" s="30" t="str">
        <f>IF(C4030&amp;G4030&amp;D4030&lt;&gt;'Funnel setup'!$K$3&amp;'Funnel setup'!$K$4&amp;'Funnel setup'!$K$5,".",IF(A4029=".",1,A4029+1))</f>
        <v>.</v>
      </c>
      <c r="B4030" s="431" t="str">
        <f t="shared" si="62"/>
        <v>Knee Replacement PrimaryCCG of GP PracticeNHS TRAFFORD CCG (02A)EQ-5D Index</v>
      </c>
      <c r="C4030" t="s">
        <v>249</v>
      </c>
      <c r="D4030" t="s">
        <v>87</v>
      </c>
      <c r="E4030" t="s">
        <v>1013</v>
      </c>
      <c r="F4030" t="s">
        <v>1014</v>
      </c>
      <c r="G4030" t="s">
        <v>52</v>
      </c>
      <c r="H4030">
        <v>104</v>
      </c>
      <c r="I4030">
        <v>0.45900000000000002</v>
      </c>
      <c r="J4030">
        <v>0.71</v>
      </c>
      <c r="K4030">
        <v>0.251</v>
      </c>
      <c r="L4030">
        <v>84</v>
      </c>
      <c r="M4030">
        <v>10</v>
      </c>
      <c r="N4030">
        <v>10</v>
      </c>
      <c r="O4030">
        <v>0.69299999999999995</v>
      </c>
      <c r="P4030">
        <v>0.26751841700000001</v>
      </c>
      <c r="Q4030">
        <v>0.25600000000000001</v>
      </c>
    </row>
    <row r="4031" spans="1:17" x14ac:dyDescent="0.2">
      <c r="A4031" s="30" t="str">
        <f>IF(C4031&amp;G4031&amp;D4031&lt;&gt;'Funnel setup'!$K$3&amp;'Funnel setup'!$K$4&amp;'Funnel setup'!$K$5,".",IF(A4030=".",1,A4030+1))</f>
        <v>.</v>
      </c>
      <c r="B4031" s="431" t="str">
        <f t="shared" si="62"/>
        <v>Knee Replacement PrimaryCCG of GP PracticeNHS VALE OF YORK CCG (03Q)EQ-5D Index</v>
      </c>
      <c r="C4031" t="s">
        <v>249</v>
      </c>
      <c r="D4031" t="s">
        <v>87</v>
      </c>
      <c r="E4031" t="s">
        <v>420</v>
      </c>
      <c r="F4031" t="s">
        <v>421</v>
      </c>
      <c r="G4031" t="s">
        <v>52</v>
      </c>
      <c r="H4031">
        <v>334</v>
      </c>
      <c r="I4031">
        <v>0.51700000000000002</v>
      </c>
      <c r="J4031">
        <v>0.78600000000000003</v>
      </c>
      <c r="K4031">
        <v>0.26900000000000002</v>
      </c>
      <c r="L4031">
        <v>272</v>
      </c>
      <c r="M4031">
        <v>33</v>
      </c>
      <c r="N4031">
        <v>29</v>
      </c>
      <c r="O4031">
        <v>0.73499999999999999</v>
      </c>
      <c r="P4031">
        <v>0.30986813099999999</v>
      </c>
      <c r="Q4031">
        <v>0.19700000000000001</v>
      </c>
    </row>
    <row r="4032" spans="1:17" x14ac:dyDescent="0.2">
      <c r="A4032" s="30" t="str">
        <f>IF(C4032&amp;G4032&amp;D4032&lt;&gt;'Funnel setup'!$K$3&amp;'Funnel setup'!$K$4&amp;'Funnel setup'!$K$5,".",IF(A4031=".",1,A4031+1))</f>
        <v>.</v>
      </c>
      <c r="B4032" s="431" t="str">
        <f t="shared" si="62"/>
        <v>Knee Replacement PrimaryCCG of GP PracticeNHS VALE ROYAL CCG (02D)EQ-5D Index</v>
      </c>
      <c r="C4032" t="s">
        <v>249</v>
      </c>
      <c r="D4032" t="s">
        <v>87</v>
      </c>
      <c r="E4032" t="s">
        <v>423</v>
      </c>
      <c r="F4032" t="s">
        <v>424</v>
      </c>
      <c r="G4032" t="s">
        <v>52</v>
      </c>
      <c r="H4032">
        <v>79</v>
      </c>
      <c r="I4032">
        <v>0.42499999999999999</v>
      </c>
      <c r="J4032">
        <v>0.76</v>
      </c>
      <c r="K4032">
        <v>0.33500000000000002</v>
      </c>
      <c r="L4032">
        <v>61</v>
      </c>
      <c r="M4032">
        <v>10</v>
      </c>
      <c r="N4032">
        <v>8</v>
      </c>
      <c r="O4032">
        <v>0.748</v>
      </c>
      <c r="P4032">
        <v>0.32317795599999999</v>
      </c>
      <c r="Q4032">
        <v>0.17499999999999999</v>
      </c>
    </row>
    <row r="4033" spans="1:17" x14ac:dyDescent="0.2">
      <c r="A4033" s="30" t="str">
        <f>IF(C4033&amp;G4033&amp;D4033&lt;&gt;'Funnel setup'!$K$3&amp;'Funnel setup'!$K$4&amp;'Funnel setup'!$K$5,".",IF(A4032=".",1,A4032+1))</f>
        <v>.</v>
      </c>
      <c r="B4033" s="431" t="str">
        <f t="shared" si="62"/>
        <v>Knee Replacement PrimaryCCG of GP PracticeNHS WAKEFIELD CCG (03R)EQ-5D Index</v>
      </c>
      <c r="C4033" t="s">
        <v>249</v>
      </c>
      <c r="D4033" t="s">
        <v>87</v>
      </c>
      <c r="E4033" t="s">
        <v>426</v>
      </c>
      <c r="F4033" t="s">
        <v>427</v>
      </c>
      <c r="G4033" t="s">
        <v>52</v>
      </c>
      <c r="H4033">
        <v>296</v>
      </c>
      <c r="I4033">
        <v>0.38200000000000001</v>
      </c>
      <c r="J4033">
        <v>0.73799999999999999</v>
      </c>
      <c r="K4033">
        <v>0.35499999999999998</v>
      </c>
      <c r="L4033">
        <v>237</v>
      </c>
      <c r="M4033">
        <v>28</v>
      </c>
      <c r="N4033">
        <v>31</v>
      </c>
      <c r="O4033">
        <v>0.76</v>
      </c>
      <c r="P4033">
        <v>0.33519501400000001</v>
      </c>
      <c r="Q4033">
        <v>0.224</v>
      </c>
    </row>
    <row r="4034" spans="1:17" x14ac:dyDescent="0.2">
      <c r="A4034" s="30" t="str">
        <f>IF(C4034&amp;G4034&amp;D4034&lt;&gt;'Funnel setup'!$K$3&amp;'Funnel setup'!$K$4&amp;'Funnel setup'!$K$5,".",IF(A4033=".",1,A4033+1))</f>
        <v>.</v>
      </c>
      <c r="B4034" s="431" t="str">
        <f t="shared" si="62"/>
        <v>Knee Replacement PrimaryCCG of GP PracticeNHS WALSALL CCG (05Y)EQ-5D Index</v>
      </c>
      <c r="C4034" t="s">
        <v>249</v>
      </c>
      <c r="D4034" t="s">
        <v>87</v>
      </c>
      <c r="E4034" t="s">
        <v>429</v>
      </c>
      <c r="F4034" t="s">
        <v>430</v>
      </c>
      <c r="G4034" t="s">
        <v>52</v>
      </c>
      <c r="H4034">
        <v>187</v>
      </c>
      <c r="I4034">
        <v>0.33300000000000002</v>
      </c>
      <c r="J4034">
        <v>0.68100000000000005</v>
      </c>
      <c r="K4034">
        <v>0.34799999999999998</v>
      </c>
      <c r="L4034">
        <v>156</v>
      </c>
      <c r="M4034">
        <v>16</v>
      </c>
      <c r="N4034">
        <v>15</v>
      </c>
      <c r="O4034">
        <v>0.72599999999999998</v>
      </c>
      <c r="P4034">
        <v>0.30097505000000002</v>
      </c>
      <c r="Q4034">
        <v>0.23899999999999999</v>
      </c>
    </row>
    <row r="4035" spans="1:17" x14ac:dyDescent="0.2">
      <c r="A4035" s="30" t="str">
        <f>IF(C4035&amp;G4035&amp;D4035&lt;&gt;'Funnel setup'!$K$3&amp;'Funnel setup'!$K$4&amp;'Funnel setup'!$K$5,".",IF(A4034=".",1,A4034+1))</f>
        <v>.</v>
      </c>
      <c r="B4035" s="431" t="str">
        <f t="shared" ref="B4035:B4098" si="63">C4035&amp;D4035&amp;F4035&amp;G4035</f>
        <v>Knee Replacement PrimaryCCG of GP PracticeNHS WALTHAM FOREST CCG (08W)EQ-5D Index</v>
      </c>
      <c r="C4035" t="s">
        <v>249</v>
      </c>
      <c r="D4035" t="s">
        <v>87</v>
      </c>
      <c r="E4035" t="s">
        <v>432</v>
      </c>
      <c r="F4035" t="s">
        <v>433</v>
      </c>
      <c r="G4035" t="s">
        <v>52</v>
      </c>
      <c r="H4035">
        <v>84</v>
      </c>
      <c r="I4035">
        <v>0.42</v>
      </c>
      <c r="J4035">
        <v>0.75900000000000001</v>
      </c>
      <c r="K4035">
        <v>0.33900000000000002</v>
      </c>
      <c r="L4035">
        <v>73</v>
      </c>
      <c r="M4035">
        <v>8</v>
      </c>
      <c r="N4035">
        <v>3</v>
      </c>
      <c r="O4035">
        <v>0.78</v>
      </c>
      <c r="P4035">
        <v>0.354924564</v>
      </c>
      <c r="Q4035">
        <v>0.16800000000000001</v>
      </c>
    </row>
    <row r="4036" spans="1:17" x14ac:dyDescent="0.2">
      <c r="A4036" s="30" t="str">
        <f>IF(C4036&amp;G4036&amp;D4036&lt;&gt;'Funnel setup'!$K$3&amp;'Funnel setup'!$K$4&amp;'Funnel setup'!$K$5,".",IF(A4035=".",1,A4035+1))</f>
        <v>.</v>
      </c>
      <c r="B4036" s="431" t="str">
        <f t="shared" si="63"/>
        <v>Knee Replacement PrimaryCCG of GP PracticeNHS WANDSWORTH CCG (08X)EQ-5D Index</v>
      </c>
      <c r="C4036" t="s">
        <v>249</v>
      </c>
      <c r="D4036" t="s">
        <v>87</v>
      </c>
      <c r="E4036" t="s">
        <v>435</v>
      </c>
      <c r="F4036" t="s">
        <v>436</v>
      </c>
      <c r="G4036" t="s">
        <v>52</v>
      </c>
      <c r="H4036">
        <v>50</v>
      </c>
      <c r="I4036">
        <v>0.44800000000000001</v>
      </c>
      <c r="J4036">
        <v>0.69599999999999995</v>
      </c>
      <c r="K4036">
        <v>0.248</v>
      </c>
      <c r="L4036">
        <v>34</v>
      </c>
      <c r="M4036">
        <v>8</v>
      </c>
      <c r="N4036">
        <v>8</v>
      </c>
      <c r="O4036">
        <v>0.69799999999999995</v>
      </c>
      <c r="P4036">
        <v>0.27265124800000001</v>
      </c>
      <c r="Q4036">
        <v>0.23599999999999999</v>
      </c>
    </row>
    <row r="4037" spans="1:17" x14ac:dyDescent="0.2">
      <c r="A4037" s="30" t="str">
        <f>IF(C4037&amp;G4037&amp;D4037&lt;&gt;'Funnel setup'!$K$3&amp;'Funnel setup'!$K$4&amp;'Funnel setup'!$K$5,".",IF(A4036=".",1,A4036+1))</f>
        <v>.</v>
      </c>
      <c r="B4037" s="431" t="str">
        <f t="shared" si="63"/>
        <v>Knee Replacement PrimaryCCG of GP PracticeNHS WARRINGTON CCG (02E)EQ-5D Index</v>
      </c>
      <c r="C4037" t="s">
        <v>249</v>
      </c>
      <c r="D4037" t="s">
        <v>87</v>
      </c>
      <c r="E4037" t="s">
        <v>441</v>
      </c>
      <c r="F4037" t="s">
        <v>442</v>
      </c>
      <c r="G4037" t="s">
        <v>52</v>
      </c>
      <c r="H4037">
        <v>182</v>
      </c>
      <c r="I4037">
        <v>0.41399999999999998</v>
      </c>
      <c r="J4037">
        <v>0.73899999999999999</v>
      </c>
      <c r="K4037">
        <v>0.32600000000000001</v>
      </c>
      <c r="L4037">
        <v>146</v>
      </c>
      <c r="M4037">
        <v>21</v>
      </c>
      <c r="N4037">
        <v>15</v>
      </c>
      <c r="O4037">
        <v>0.73499999999999999</v>
      </c>
      <c r="P4037">
        <v>0.31004998299999997</v>
      </c>
      <c r="Q4037">
        <v>0.192</v>
      </c>
    </row>
    <row r="4038" spans="1:17" x14ac:dyDescent="0.2">
      <c r="A4038" s="30" t="str">
        <f>IF(C4038&amp;G4038&amp;D4038&lt;&gt;'Funnel setup'!$K$3&amp;'Funnel setup'!$K$4&amp;'Funnel setup'!$K$5,".",IF(A4037=".",1,A4037+1))</f>
        <v>.</v>
      </c>
      <c r="B4038" s="431" t="str">
        <f t="shared" si="63"/>
        <v>Knee Replacement PrimaryCCG of GP PracticeNHS WARWICKSHIRE NORTH CCG (05H)EQ-5D Index</v>
      </c>
      <c r="C4038" t="s">
        <v>249</v>
      </c>
      <c r="D4038" t="s">
        <v>87</v>
      </c>
      <c r="E4038" t="s">
        <v>438</v>
      </c>
      <c r="F4038" t="s">
        <v>439</v>
      </c>
      <c r="G4038" t="s">
        <v>52</v>
      </c>
      <c r="H4038">
        <v>83</v>
      </c>
      <c r="I4038">
        <v>0.375</v>
      </c>
      <c r="J4038">
        <v>0.752</v>
      </c>
      <c r="K4038">
        <v>0.377</v>
      </c>
      <c r="L4038">
        <v>72</v>
      </c>
      <c r="M4038">
        <v>7</v>
      </c>
      <c r="N4038">
        <v>4</v>
      </c>
      <c r="O4038">
        <v>0.753</v>
      </c>
      <c r="P4038">
        <v>0.328051598</v>
      </c>
      <c r="Q4038">
        <v>0.21199999999999999</v>
      </c>
    </row>
    <row r="4039" spans="1:17" x14ac:dyDescent="0.2">
      <c r="A4039" s="30" t="str">
        <f>IF(C4039&amp;G4039&amp;D4039&lt;&gt;'Funnel setup'!$K$3&amp;'Funnel setup'!$K$4&amp;'Funnel setup'!$K$5,".",IF(A4038=".",1,A4038+1))</f>
        <v>.</v>
      </c>
      <c r="B4039" s="431" t="str">
        <f t="shared" si="63"/>
        <v>Knee Replacement PrimaryCCG of GP PracticeNHS WEST CHESHIRE CCG (02F)EQ-5D Index</v>
      </c>
      <c r="C4039" t="s">
        <v>249</v>
      </c>
      <c r="D4039" t="s">
        <v>87</v>
      </c>
      <c r="E4039" t="s">
        <v>402</v>
      </c>
      <c r="F4039" t="s">
        <v>403</v>
      </c>
      <c r="G4039" t="s">
        <v>52</v>
      </c>
      <c r="H4039">
        <v>256</v>
      </c>
      <c r="I4039">
        <v>0.42299999999999999</v>
      </c>
      <c r="J4039">
        <v>0.72499999999999998</v>
      </c>
      <c r="K4039">
        <v>0.30299999999999999</v>
      </c>
      <c r="L4039">
        <v>204</v>
      </c>
      <c r="M4039">
        <v>26</v>
      </c>
      <c r="N4039">
        <v>26</v>
      </c>
      <c r="O4039">
        <v>0.71199999999999997</v>
      </c>
      <c r="P4039">
        <v>0.28747601299999997</v>
      </c>
      <c r="Q4039">
        <v>0.23400000000000001</v>
      </c>
    </row>
    <row r="4040" spans="1:17" x14ac:dyDescent="0.2">
      <c r="A4040" s="30" t="str">
        <f>IF(C4040&amp;G4040&amp;D4040&lt;&gt;'Funnel setup'!$K$3&amp;'Funnel setup'!$K$4&amp;'Funnel setup'!$K$5,".",IF(A4039=".",1,A4039+1))</f>
        <v>.</v>
      </c>
      <c r="B4040" s="431" t="str">
        <f t="shared" si="63"/>
        <v>Knee Replacement PrimaryCCG of GP PracticeNHS WEST ESSEX CCG (07H)EQ-5D Index</v>
      </c>
      <c r="C4040" t="s">
        <v>249</v>
      </c>
      <c r="D4040" t="s">
        <v>87</v>
      </c>
      <c r="E4040" t="s">
        <v>405</v>
      </c>
      <c r="F4040" t="s">
        <v>406</v>
      </c>
      <c r="G4040" t="s">
        <v>52</v>
      </c>
      <c r="H4040">
        <v>198</v>
      </c>
      <c r="I4040">
        <v>0.42599999999999999</v>
      </c>
      <c r="J4040">
        <v>0.74</v>
      </c>
      <c r="K4040">
        <v>0.314</v>
      </c>
      <c r="L4040">
        <v>166</v>
      </c>
      <c r="M4040">
        <v>9</v>
      </c>
      <c r="N4040">
        <v>23</v>
      </c>
      <c r="O4040">
        <v>0.747</v>
      </c>
      <c r="P4040">
        <v>0.32209800900000002</v>
      </c>
      <c r="Q4040">
        <v>0.248</v>
      </c>
    </row>
    <row r="4041" spans="1:17" x14ac:dyDescent="0.2">
      <c r="A4041" s="30" t="str">
        <f>IF(C4041&amp;G4041&amp;D4041&lt;&gt;'Funnel setup'!$K$3&amp;'Funnel setup'!$K$4&amp;'Funnel setup'!$K$5,".",IF(A4040=".",1,A4040+1))</f>
        <v>.</v>
      </c>
      <c r="B4041" s="431" t="str">
        <f t="shared" si="63"/>
        <v>Knee Replacement PrimaryCCG of GP PracticeNHS WEST HAMPSHIRE CCG (11A)EQ-5D Index</v>
      </c>
      <c r="C4041" t="s">
        <v>249</v>
      </c>
      <c r="D4041" t="s">
        <v>87</v>
      </c>
      <c r="E4041" t="s">
        <v>444</v>
      </c>
      <c r="F4041" t="s">
        <v>445</v>
      </c>
      <c r="G4041" t="s">
        <v>52</v>
      </c>
      <c r="H4041">
        <v>412</v>
      </c>
      <c r="I4041">
        <v>0.497</v>
      </c>
      <c r="J4041">
        <v>0.77500000000000002</v>
      </c>
      <c r="K4041">
        <v>0.27800000000000002</v>
      </c>
      <c r="L4041">
        <v>344</v>
      </c>
      <c r="M4041">
        <v>36</v>
      </c>
      <c r="N4041">
        <v>32</v>
      </c>
      <c r="O4041">
        <v>0.73799999999999999</v>
      </c>
      <c r="P4041">
        <v>0.31311709599999998</v>
      </c>
      <c r="Q4041">
        <v>0.20699999999999999</v>
      </c>
    </row>
    <row r="4042" spans="1:17" x14ac:dyDescent="0.2">
      <c r="A4042" s="30" t="str">
        <f>IF(C4042&amp;G4042&amp;D4042&lt;&gt;'Funnel setup'!$K$3&amp;'Funnel setup'!$K$4&amp;'Funnel setup'!$K$5,".",IF(A4041=".",1,A4041+1))</f>
        <v>.</v>
      </c>
      <c r="B4042" s="431" t="str">
        <f t="shared" si="63"/>
        <v>Knee Replacement PrimaryCCG of GP PracticeNHS WEST KENT CCG (99J)EQ-5D Index</v>
      </c>
      <c r="C4042" t="s">
        <v>249</v>
      </c>
      <c r="D4042" t="s">
        <v>87</v>
      </c>
      <c r="E4042" t="s">
        <v>447</v>
      </c>
      <c r="F4042" t="s">
        <v>448</v>
      </c>
      <c r="G4042" t="s">
        <v>52</v>
      </c>
      <c r="H4042">
        <v>319</v>
      </c>
      <c r="I4042">
        <v>0.52400000000000002</v>
      </c>
      <c r="J4042">
        <v>0.78800000000000003</v>
      </c>
      <c r="K4042">
        <v>0.26400000000000001</v>
      </c>
      <c r="L4042">
        <v>260</v>
      </c>
      <c r="M4042">
        <v>31</v>
      </c>
      <c r="N4042">
        <v>28</v>
      </c>
      <c r="O4042">
        <v>0.748</v>
      </c>
      <c r="P4042">
        <v>0.32253224000000003</v>
      </c>
      <c r="Q4042">
        <v>0.20100000000000001</v>
      </c>
    </row>
    <row r="4043" spans="1:17" x14ac:dyDescent="0.2">
      <c r="A4043" s="30" t="str">
        <f>IF(C4043&amp;G4043&amp;D4043&lt;&gt;'Funnel setup'!$K$3&amp;'Funnel setup'!$K$4&amp;'Funnel setup'!$K$5,".",IF(A4042=".",1,A4042+1))</f>
        <v>.</v>
      </c>
      <c r="B4043" s="431" t="str">
        <f t="shared" si="63"/>
        <v>Knee Replacement PrimaryCCG of GP PracticeNHS WEST LANCASHIRE CCG (02G)EQ-5D Index</v>
      </c>
      <c r="C4043" t="s">
        <v>249</v>
      </c>
      <c r="D4043" t="s">
        <v>87</v>
      </c>
      <c r="E4043" t="s">
        <v>450</v>
      </c>
      <c r="F4043" t="s">
        <v>451</v>
      </c>
      <c r="G4043" t="s">
        <v>52</v>
      </c>
      <c r="H4043">
        <v>84</v>
      </c>
      <c r="I4043">
        <v>0.443</v>
      </c>
      <c r="J4043">
        <v>0.74399999999999999</v>
      </c>
      <c r="K4043">
        <v>0.30099999999999999</v>
      </c>
      <c r="L4043">
        <v>63</v>
      </c>
      <c r="M4043">
        <v>7</v>
      </c>
      <c r="N4043">
        <v>14</v>
      </c>
      <c r="O4043">
        <v>0.74099999999999999</v>
      </c>
      <c r="P4043">
        <v>0.31604476100000001</v>
      </c>
      <c r="Q4043">
        <v>0.214</v>
      </c>
    </row>
    <row r="4044" spans="1:17" x14ac:dyDescent="0.2">
      <c r="A4044" s="30" t="str">
        <f>IF(C4044&amp;G4044&amp;D4044&lt;&gt;'Funnel setup'!$K$3&amp;'Funnel setup'!$K$4&amp;'Funnel setup'!$K$5,".",IF(A4043=".",1,A4043+1))</f>
        <v>.</v>
      </c>
      <c r="B4044" s="431" t="str">
        <f t="shared" si="63"/>
        <v>Knee Replacement PrimaryCCG of GP PracticeNHS WEST LEICESTERSHIRE CCG (04V)EQ-5D Index</v>
      </c>
      <c r="C4044" t="s">
        <v>249</v>
      </c>
      <c r="D4044" t="s">
        <v>87</v>
      </c>
      <c r="E4044" t="s">
        <v>453</v>
      </c>
      <c r="F4044" t="s">
        <v>454</v>
      </c>
      <c r="G4044" t="s">
        <v>52</v>
      </c>
      <c r="H4044">
        <v>330</v>
      </c>
      <c r="I4044">
        <v>0.41799999999999998</v>
      </c>
      <c r="J4044">
        <v>0.75600000000000001</v>
      </c>
      <c r="K4044">
        <v>0.33800000000000002</v>
      </c>
      <c r="L4044">
        <v>272</v>
      </c>
      <c r="M4044">
        <v>33</v>
      </c>
      <c r="N4044">
        <v>25</v>
      </c>
      <c r="O4044">
        <v>0.752</v>
      </c>
      <c r="P4044">
        <v>0.326987323</v>
      </c>
      <c r="Q4044">
        <v>0.21</v>
      </c>
    </row>
    <row r="4045" spans="1:17" x14ac:dyDescent="0.2">
      <c r="A4045" s="30" t="str">
        <f>IF(C4045&amp;G4045&amp;D4045&lt;&gt;'Funnel setup'!$K$3&amp;'Funnel setup'!$K$4&amp;'Funnel setup'!$K$5,".",IF(A4044=".",1,A4044+1))</f>
        <v>.</v>
      </c>
      <c r="B4045" s="431" t="str">
        <f t="shared" si="63"/>
        <v>Knee Replacement PrimaryCCG of GP PracticeNHS WEST LONDON CCG (08Y)EQ-5D Index</v>
      </c>
      <c r="C4045" t="s">
        <v>249</v>
      </c>
      <c r="D4045" t="s">
        <v>87</v>
      </c>
      <c r="E4045" t="s">
        <v>456</v>
      </c>
      <c r="F4045" t="s">
        <v>457</v>
      </c>
      <c r="G4045" t="s">
        <v>52</v>
      </c>
      <c r="H4045">
        <v>19</v>
      </c>
      <c r="I4045">
        <v>0.35499999999999998</v>
      </c>
      <c r="J4045">
        <v>0.69</v>
      </c>
      <c r="K4045">
        <v>0.33500000000000002</v>
      </c>
      <c r="L4045">
        <v>14</v>
      </c>
      <c r="M4045">
        <v>3</v>
      </c>
      <c r="N4045">
        <v>2</v>
      </c>
      <c r="O4045" t="s">
        <v>53</v>
      </c>
      <c r="P4045" t="s">
        <v>53</v>
      </c>
      <c r="Q4045" t="s">
        <v>53</v>
      </c>
    </row>
    <row r="4046" spans="1:17" x14ac:dyDescent="0.2">
      <c r="A4046" s="30" t="str">
        <f>IF(C4046&amp;G4046&amp;D4046&lt;&gt;'Funnel setup'!$K$3&amp;'Funnel setup'!$K$4&amp;'Funnel setup'!$K$5,".",IF(A4045=".",1,A4045+1))</f>
        <v>.</v>
      </c>
      <c r="B4046" s="431" t="str">
        <f t="shared" si="63"/>
        <v>Knee Replacement PrimaryCCG of GP PracticeNHS WEST NORFOLK CCG (07J)EQ-5D Index</v>
      </c>
      <c r="C4046" t="s">
        <v>249</v>
      </c>
      <c r="D4046" t="s">
        <v>87</v>
      </c>
      <c r="E4046" t="s">
        <v>459</v>
      </c>
      <c r="F4046" t="s">
        <v>460</v>
      </c>
      <c r="G4046" t="s">
        <v>52</v>
      </c>
      <c r="H4046">
        <v>147</v>
      </c>
      <c r="I4046">
        <v>0.45</v>
      </c>
      <c r="J4046">
        <v>0.73399999999999999</v>
      </c>
      <c r="K4046">
        <v>0.28399999999999997</v>
      </c>
      <c r="L4046">
        <v>114</v>
      </c>
      <c r="M4046">
        <v>17</v>
      </c>
      <c r="N4046">
        <v>16</v>
      </c>
      <c r="O4046">
        <v>0.72599999999999998</v>
      </c>
      <c r="P4046">
        <v>0.30127308899999999</v>
      </c>
      <c r="Q4046">
        <v>0.20399999999999999</v>
      </c>
    </row>
    <row r="4047" spans="1:17" x14ac:dyDescent="0.2">
      <c r="A4047" s="30" t="str">
        <f>IF(C4047&amp;G4047&amp;D4047&lt;&gt;'Funnel setup'!$K$3&amp;'Funnel setup'!$K$4&amp;'Funnel setup'!$K$5,".",IF(A4046=".",1,A4046+1))</f>
        <v>.</v>
      </c>
      <c r="B4047" s="431" t="str">
        <f t="shared" si="63"/>
        <v>Knee Replacement PrimaryCCG of GP PracticeNHS WEST SUFFOLK CCG (07K)EQ-5D Index</v>
      </c>
      <c r="C4047" t="s">
        <v>249</v>
      </c>
      <c r="D4047" t="s">
        <v>87</v>
      </c>
      <c r="E4047" t="s">
        <v>462</v>
      </c>
      <c r="F4047" t="s">
        <v>463</v>
      </c>
      <c r="G4047" t="s">
        <v>52</v>
      </c>
      <c r="H4047">
        <v>184</v>
      </c>
      <c r="I4047">
        <v>0.42199999999999999</v>
      </c>
      <c r="J4047">
        <v>0.72799999999999998</v>
      </c>
      <c r="K4047">
        <v>0.30599999999999999</v>
      </c>
      <c r="L4047">
        <v>148</v>
      </c>
      <c r="M4047">
        <v>19</v>
      </c>
      <c r="N4047">
        <v>17</v>
      </c>
      <c r="O4047">
        <v>0.71899999999999997</v>
      </c>
      <c r="P4047">
        <v>0.29366671900000002</v>
      </c>
      <c r="Q4047">
        <v>0.26</v>
      </c>
    </row>
    <row r="4048" spans="1:17" x14ac:dyDescent="0.2">
      <c r="A4048" s="30" t="str">
        <f>IF(C4048&amp;G4048&amp;D4048&lt;&gt;'Funnel setup'!$K$3&amp;'Funnel setup'!$K$4&amp;'Funnel setup'!$K$5,".",IF(A4047=".",1,A4047+1))</f>
        <v>.</v>
      </c>
      <c r="B4048" s="431" t="str">
        <f t="shared" si="63"/>
        <v>Knee Replacement PrimaryCCG of GP PracticeNHS WIGAN BOROUGH CCG (02H)EQ-5D Index</v>
      </c>
      <c r="C4048" t="s">
        <v>249</v>
      </c>
      <c r="D4048" t="s">
        <v>87</v>
      </c>
      <c r="E4048" t="s">
        <v>465</v>
      </c>
      <c r="F4048" t="s">
        <v>466</v>
      </c>
      <c r="G4048" t="s">
        <v>52</v>
      </c>
      <c r="H4048">
        <v>165</v>
      </c>
      <c r="I4048">
        <v>0.33700000000000002</v>
      </c>
      <c r="J4048">
        <v>0.67300000000000004</v>
      </c>
      <c r="K4048">
        <v>0.33600000000000002</v>
      </c>
      <c r="L4048">
        <v>129</v>
      </c>
      <c r="M4048">
        <v>22</v>
      </c>
      <c r="N4048">
        <v>14</v>
      </c>
      <c r="O4048">
        <v>0.72499999999999998</v>
      </c>
      <c r="P4048">
        <v>0.29988523299999997</v>
      </c>
      <c r="Q4048">
        <v>0.214</v>
      </c>
    </row>
    <row r="4049" spans="1:17" x14ac:dyDescent="0.2">
      <c r="A4049" s="30" t="str">
        <f>IF(C4049&amp;G4049&amp;D4049&lt;&gt;'Funnel setup'!$K$3&amp;'Funnel setup'!$K$4&amp;'Funnel setup'!$K$5,".",IF(A4048=".",1,A4048+1))</f>
        <v>.</v>
      </c>
      <c r="B4049" s="431" t="str">
        <f t="shared" si="63"/>
        <v>Knee Replacement PrimaryCCG of GP PracticeNHS WILTSHIRE CCG (99N)EQ-5D Index</v>
      </c>
      <c r="C4049" t="s">
        <v>249</v>
      </c>
      <c r="D4049" t="s">
        <v>87</v>
      </c>
      <c r="E4049" t="s">
        <v>468</v>
      </c>
      <c r="F4049" t="s">
        <v>469</v>
      </c>
      <c r="G4049" t="s">
        <v>52</v>
      </c>
      <c r="H4049">
        <v>491</v>
      </c>
      <c r="I4049">
        <v>0.47099999999999997</v>
      </c>
      <c r="J4049">
        <v>0.76900000000000002</v>
      </c>
      <c r="K4049">
        <v>0.29899999999999999</v>
      </c>
      <c r="L4049">
        <v>396</v>
      </c>
      <c r="M4049">
        <v>57</v>
      </c>
      <c r="N4049">
        <v>38</v>
      </c>
      <c r="O4049">
        <v>0.746</v>
      </c>
      <c r="P4049">
        <v>0.32146742099999998</v>
      </c>
      <c r="Q4049">
        <v>0.21199999999999999</v>
      </c>
    </row>
    <row r="4050" spans="1:17" x14ac:dyDescent="0.2">
      <c r="A4050" s="30" t="str">
        <f>IF(C4050&amp;G4050&amp;D4050&lt;&gt;'Funnel setup'!$K$3&amp;'Funnel setup'!$K$4&amp;'Funnel setup'!$K$5,".",IF(A4049=".",1,A4049+1))</f>
        <v>.</v>
      </c>
      <c r="B4050" s="431" t="str">
        <f t="shared" si="63"/>
        <v>Knee Replacement PrimaryCCG of GP PracticeNHS WINDSOR, ASCOT AND MAIDENHEAD CCG (11C)EQ-5D Index</v>
      </c>
      <c r="C4050" t="s">
        <v>249</v>
      </c>
      <c r="D4050" t="s">
        <v>87</v>
      </c>
      <c r="E4050" t="s">
        <v>471</v>
      </c>
      <c r="F4050" t="s">
        <v>472</v>
      </c>
      <c r="G4050" t="s">
        <v>52</v>
      </c>
      <c r="H4050">
        <v>57</v>
      </c>
      <c r="I4050">
        <v>0.48199999999999998</v>
      </c>
      <c r="J4050">
        <v>0.79900000000000004</v>
      </c>
      <c r="K4050">
        <v>0.317</v>
      </c>
      <c r="L4050">
        <v>49</v>
      </c>
      <c r="M4050">
        <v>4</v>
      </c>
      <c r="N4050">
        <v>4</v>
      </c>
      <c r="O4050">
        <v>0.77</v>
      </c>
      <c r="P4050">
        <v>0.34542683600000001</v>
      </c>
      <c r="Q4050">
        <v>0.193</v>
      </c>
    </row>
    <row r="4051" spans="1:17" x14ac:dyDescent="0.2">
      <c r="A4051" s="30" t="str">
        <f>IF(C4051&amp;G4051&amp;D4051&lt;&gt;'Funnel setup'!$K$3&amp;'Funnel setup'!$K$4&amp;'Funnel setup'!$K$5,".",IF(A4050=".",1,A4050+1))</f>
        <v>.</v>
      </c>
      <c r="B4051" s="431" t="str">
        <f t="shared" si="63"/>
        <v>Knee Replacement PrimaryCCG of GP PracticeNHS WIRRAL CCG (12F)EQ-5D Index</v>
      </c>
      <c r="C4051" t="s">
        <v>249</v>
      </c>
      <c r="D4051" t="s">
        <v>87</v>
      </c>
      <c r="E4051" t="s">
        <v>474</v>
      </c>
      <c r="F4051" t="s">
        <v>475</v>
      </c>
      <c r="G4051" t="s">
        <v>52</v>
      </c>
      <c r="H4051">
        <v>306</v>
      </c>
      <c r="I4051">
        <v>0.37</v>
      </c>
      <c r="J4051">
        <v>0.71599999999999997</v>
      </c>
      <c r="K4051">
        <v>0.34599999999999997</v>
      </c>
      <c r="L4051">
        <v>247</v>
      </c>
      <c r="M4051">
        <v>29</v>
      </c>
      <c r="N4051">
        <v>30</v>
      </c>
      <c r="O4051">
        <v>0.745</v>
      </c>
      <c r="P4051">
        <v>0.320339233</v>
      </c>
      <c r="Q4051">
        <v>0.22900000000000001</v>
      </c>
    </row>
    <row r="4052" spans="1:17" x14ac:dyDescent="0.2">
      <c r="A4052" s="30" t="str">
        <f>IF(C4052&amp;G4052&amp;D4052&lt;&gt;'Funnel setup'!$K$3&amp;'Funnel setup'!$K$4&amp;'Funnel setup'!$K$5,".",IF(A4051=".",1,A4051+1))</f>
        <v>.</v>
      </c>
      <c r="B4052" s="431" t="str">
        <f t="shared" si="63"/>
        <v>Knee Replacement PrimaryCCG of GP PracticeNHS WOKINGHAM CCG (11D)EQ-5D Index</v>
      </c>
      <c r="C4052" t="s">
        <v>249</v>
      </c>
      <c r="D4052" t="s">
        <v>87</v>
      </c>
      <c r="E4052" t="s">
        <v>477</v>
      </c>
      <c r="F4052" t="s">
        <v>478</v>
      </c>
      <c r="G4052" t="s">
        <v>52</v>
      </c>
      <c r="H4052">
        <v>103</v>
      </c>
      <c r="I4052">
        <v>0.46</v>
      </c>
      <c r="J4052">
        <v>0.8</v>
      </c>
      <c r="K4052">
        <v>0.34</v>
      </c>
      <c r="L4052">
        <v>84</v>
      </c>
      <c r="M4052">
        <v>10</v>
      </c>
      <c r="N4052">
        <v>9</v>
      </c>
      <c r="O4052">
        <v>0.752</v>
      </c>
      <c r="P4052">
        <v>0.32701547399999997</v>
      </c>
      <c r="Q4052">
        <v>0.17399999999999999</v>
      </c>
    </row>
    <row r="4053" spans="1:17" x14ac:dyDescent="0.2">
      <c r="A4053" s="30" t="str">
        <f>IF(C4053&amp;G4053&amp;D4053&lt;&gt;'Funnel setup'!$K$3&amp;'Funnel setup'!$K$4&amp;'Funnel setup'!$K$5,".",IF(A4052=".",1,A4052+1))</f>
        <v>.</v>
      </c>
      <c r="B4053" s="431" t="str">
        <f t="shared" si="63"/>
        <v>Knee Replacement PrimaryCCG of GP PracticeNHS WOLVERHAMPTON CCG (06A)EQ-5D Index</v>
      </c>
      <c r="C4053" t="s">
        <v>249</v>
      </c>
      <c r="D4053" t="s">
        <v>87</v>
      </c>
      <c r="E4053" t="s">
        <v>480</v>
      </c>
      <c r="F4053" t="s">
        <v>481</v>
      </c>
      <c r="G4053" t="s">
        <v>52</v>
      </c>
      <c r="H4053">
        <v>216</v>
      </c>
      <c r="I4053">
        <v>0.36</v>
      </c>
      <c r="J4053">
        <v>0.68</v>
      </c>
      <c r="K4053">
        <v>0.32</v>
      </c>
      <c r="L4053">
        <v>170</v>
      </c>
      <c r="M4053">
        <v>21</v>
      </c>
      <c r="N4053">
        <v>25</v>
      </c>
      <c r="O4053">
        <v>0.73599999999999999</v>
      </c>
      <c r="P4053">
        <v>0.31089986400000003</v>
      </c>
      <c r="Q4053">
        <v>0.25800000000000001</v>
      </c>
    </row>
    <row r="4054" spans="1:17" x14ac:dyDescent="0.2">
      <c r="A4054" s="30" t="str">
        <f>IF(C4054&amp;G4054&amp;D4054&lt;&gt;'Funnel setup'!$K$3&amp;'Funnel setup'!$K$4&amp;'Funnel setup'!$K$5,".",IF(A4053=".",1,A4053+1))</f>
        <v>.</v>
      </c>
      <c r="B4054" s="431" t="str">
        <f t="shared" si="63"/>
        <v>Knee Replacement PrimaryCCG of GP PracticeNHS WYRE FOREST CCG (06D)EQ-5D Index</v>
      </c>
      <c r="C4054" t="s">
        <v>249</v>
      </c>
      <c r="D4054" t="s">
        <v>87</v>
      </c>
      <c r="E4054" t="s">
        <v>483</v>
      </c>
      <c r="F4054" t="s">
        <v>484</v>
      </c>
      <c r="G4054" t="s">
        <v>52</v>
      </c>
      <c r="H4054">
        <v>70</v>
      </c>
      <c r="I4054">
        <v>0.48199999999999998</v>
      </c>
      <c r="J4054">
        <v>0.77600000000000002</v>
      </c>
      <c r="K4054">
        <v>0.29399999999999998</v>
      </c>
      <c r="L4054">
        <v>56</v>
      </c>
      <c r="M4054">
        <v>9</v>
      </c>
      <c r="N4054">
        <v>5</v>
      </c>
      <c r="O4054">
        <v>0.746</v>
      </c>
      <c r="P4054">
        <v>0.32065520199999997</v>
      </c>
      <c r="Q4054">
        <v>0.17100000000000001</v>
      </c>
    </row>
    <row r="4055" spans="1:17" x14ac:dyDescent="0.2">
      <c r="A4055" s="30" t="str">
        <f>IF(C4055&amp;G4055&amp;D4055&lt;&gt;'Funnel setup'!$K$3&amp;'Funnel setup'!$K$4&amp;'Funnel setup'!$K$5,".",IF(A4054=".",1,A4054+1))</f>
        <v>.</v>
      </c>
      <c r="B4055" s="431" t="str">
        <f t="shared" si="63"/>
        <v>Knee Replacement PrimaryCCG of GP PracticeNATIONAL COMMISSIONING HUB 1 (13Q)Oxford Knee Score</v>
      </c>
      <c r="C4055" t="s">
        <v>249</v>
      </c>
      <c r="D4055" t="s">
        <v>87</v>
      </c>
      <c r="E4055" t="s">
        <v>563</v>
      </c>
      <c r="F4055" t="s">
        <v>564</v>
      </c>
      <c r="G4055" t="s">
        <v>16</v>
      </c>
      <c r="H4055" t="s">
        <v>53</v>
      </c>
      <c r="I4055" t="s">
        <v>53</v>
      </c>
      <c r="J4055" t="s">
        <v>53</v>
      </c>
      <c r="K4055" t="s">
        <v>53</v>
      </c>
      <c r="L4055" t="s">
        <v>53</v>
      </c>
      <c r="M4055" t="s">
        <v>53</v>
      </c>
      <c r="N4055" t="s">
        <v>53</v>
      </c>
      <c r="O4055" t="s">
        <v>53</v>
      </c>
      <c r="P4055" t="s">
        <v>53</v>
      </c>
      <c r="Q4055" t="s">
        <v>53</v>
      </c>
    </row>
    <row r="4056" spans="1:17" x14ac:dyDescent="0.2">
      <c r="A4056" s="30" t="str">
        <f>IF(C4056&amp;G4056&amp;D4056&lt;&gt;'Funnel setup'!$K$3&amp;'Funnel setup'!$K$4&amp;'Funnel setup'!$K$5,".",IF(A4055=".",1,A4055+1))</f>
        <v>.</v>
      </c>
      <c r="B4056" s="431" t="str">
        <f t="shared" si="63"/>
        <v>Knee Replacement PrimaryCCG of GP PracticeNHS AIREDALE, WHARFEDALE AND CRAVEN CCG (02N)Oxford Knee Score</v>
      </c>
      <c r="C4056" t="s">
        <v>249</v>
      </c>
      <c r="D4056" t="s">
        <v>87</v>
      </c>
      <c r="E4056" t="s">
        <v>566</v>
      </c>
      <c r="F4056" t="s">
        <v>567</v>
      </c>
      <c r="G4056" t="s">
        <v>16</v>
      </c>
      <c r="H4056">
        <v>146</v>
      </c>
      <c r="I4056">
        <v>21.11</v>
      </c>
      <c r="J4056">
        <v>37.719000000000001</v>
      </c>
      <c r="K4056">
        <v>16.61</v>
      </c>
      <c r="L4056">
        <v>137</v>
      </c>
      <c r="M4056">
        <v>1</v>
      </c>
      <c r="N4056">
        <v>8</v>
      </c>
      <c r="O4056">
        <v>36.268000000000001</v>
      </c>
      <c r="P4056">
        <v>16.982463559999999</v>
      </c>
      <c r="Q4056">
        <v>7.9089999999999998</v>
      </c>
    </row>
    <row r="4057" spans="1:17" x14ac:dyDescent="0.2">
      <c r="A4057" s="30" t="str">
        <f>IF(C4057&amp;G4057&amp;D4057&lt;&gt;'Funnel setup'!$K$3&amp;'Funnel setup'!$K$4&amp;'Funnel setup'!$K$5,".",IF(A4056=".",1,A4056+1))</f>
        <v>.</v>
      </c>
      <c r="B4057" s="431" t="str">
        <f t="shared" si="63"/>
        <v>Knee Replacement PrimaryCCG of GP PracticeNHS ASHFORD CCG (09C)Oxford Knee Score</v>
      </c>
      <c r="C4057" t="s">
        <v>249</v>
      </c>
      <c r="D4057" t="s">
        <v>87</v>
      </c>
      <c r="E4057" t="s">
        <v>569</v>
      </c>
      <c r="F4057" t="s">
        <v>339</v>
      </c>
      <c r="G4057" t="s">
        <v>16</v>
      </c>
      <c r="H4057">
        <v>67</v>
      </c>
      <c r="I4057">
        <v>21.850999999999999</v>
      </c>
      <c r="J4057">
        <v>36.478000000000002</v>
      </c>
      <c r="K4057">
        <v>14.627000000000001</v>
      </c>
      <c r="L4057">
        <v>63</v>
      </c>
      <c r="M4057">
        <v>0</v>
      </c>
      <c r="N4057">
        <v>4</v>
      </c>
      <c r="O4057">
        <v>35.585000000000001</v>
      </c>
      <c r="P4057">
        <v>16.299784500000001</v>
      </c>
      <c r="Q4057">
        <v>7.32</v>
      </c>
    </row>
    <row r="4058" spans="1:17" x14ac:dyDescent="0.2">
      <c r="A4058" s="30" t="str">
        <f>IF(C4058&amp;G4058&amp;D4058&lt;&gt;'Funnel setup'!$K$3&amp;'Funnel setup'!$K$4&amp;'Funnel setup'!$K$5,".",IF(A4057=".",1,A4057+1))</f>
        <v>.</v>
      </c>
      <c r="B4058" s="431" t="str">
        <f t="shared" si="63"/>
        <v>Knee Replacement PrimaryCCG of GP PracticeNHS AYLESBURY VALE CCG (10Y)Oxford Knee Score</v>
      </c>
      <c r="C4058" t="s">
        <v>249</v>
      </c>
      <c r="D4058" t="s">
        <v>87</v>
      </c>
      <c r="E4058" t="s">
        <v>571</v>
      </c>
      <c r="F4058" t="s">
        <v>572</v>
      </c>
      <c r="G4058" t="s">
        <v>16</v>
      </c>
      <c r="H4058">
        <v>148</v>
      </c>
      <c r="I4058">
        <v>21.736000000000001</v>
      </c>
      <c r="J4058">
        <v>36.372</v>
      </c>
      <c r="K4058">
        <v>14.635</v>
      </c>
      <c r="L4058">
        <v>139</v>
      </c>
      <c r="M4058">
        <v>2</v>
      </c>
      <c r="N4058">
        <v>7</v>
      </c>
      <c r="O4058">
        <v>34.823999999999998</v>
      </c>
      <c r="P4058">
        <v>15.53849129</v>
      </c>
      <c r="Q4058">
        <v>8.1240000000000006</v>
      </c>
    </row>
    <row r="4059" spans="1:17" x14ac:dyDescent="0.2">
      <c r="A4059" s="30" t="str">
        <f>IF(C4059&amp;G4059&amp;D4059&lt;&gt;'Funnel setup'!$K$3&amp;'Funnel setup'!$K$4&amp;'Funnel setup'!$K$5,".",IF(A4058=".",1,A4058+1))</f>
        <v>.</v>
      </c>
      <c r="B4059" s="431" t="str">
        <f t="shared" si="63"/>
        <v>Knee Replacement PrimaryCCG of GP PracticeNHS BARKING AND DAGENHAM CCG (07L)Oxford Knee Score</v>
      </c>
      <c r="C4059" t="s">
        <v>249</v>
      </c>
      <c r="D4059" t="s">
        <v>87</v>
      </c>
      <c r="E4059" t="s">
        <v>574</v>
      </c>
      <c r="F4059" t="s">
        <v>575</v>
      </c>
      <c r="G4059" t="s">
        <v>16</v>
      </c>
      <c r="H4059">
        <v>56</v>
      </c>
      <c r="I4059">
        <v>16.981999999999999</v>
      </c>
      <c r="J4059">
        <v>30.553999999999998</v>
      </c>
      <c r="K4059">
        <v>13.571</v>
      </c>
      <c r="L4059">
        <v>50</v>
      </c>
      <c r="M4059">
        <v>2</v>
      </c>
      <c r="N4059">
        <v>4</v>
      </c>
      <c r="O4059">
        <v>33.136000000000003</v>
      </c>
      <c r="P4059">
        <v>13.85021882</v>
      </c>
      <c r="Q4059">
        <v>8.6820000000000004</v>
      </c>
    </row>
    <row r="4060" spans="1:17" x14ac:dyDescent="0.2">
      <c r="A4060" s="30" t="str">
        <f>IF(C4060&amp;G4060&amp;D4060&lt;&gt;'Funnel setup'!$K$3&amp;'Funnel setup'!$K$4&amp;'Funnel setup'!$K$5,".",IF(A4059=".",1,A4059+1))</f>
        <v>.</v>
      </c>
      <c r="B4060" s="431" t="str">
        <f t="shared" si="63"/>
        <v>Knee Replacement PrimaryCCG of GP PracticeNHS BARNET CCG (07M)Oxford Knee Score</v>
      </c>
      <c r="C4060" t="s">
        <v>249</v>
      </c>
      <c r="D4060" t="s">
        <v>87</v>
      </c>
      <c r="E4060" t="s">
        <v>577</v>
      </c>
      <c r="F4060" t="s">
        <v>578</v>
      </c>
      <c r="G4060" t="s">
        <v>16</v>
      </c>
      <c r="H4060">
        <v>94</v>
      </c>
      <c r="I4060">
        <v>19.382999999999999</v>
      </c>
      <c r="J4060">
        <v>31.222999999999999</v>
      </c>
      <c r="K4060">
        <v>11.84</v>
      </c>
      <c r="L4060">
        <v>77</v>
      </c>
      <c r="M4060">
        <v>1</v>
      </c>
      <c r="N4060">
        <v>16</v>
      </c>
      <c r="O4060">
        <v>31.882999999999999</v>
      </c>
      <c r="P4060">
        <v>12.59737981</v>
      </c>
      <c r="Q4060">
        <v>9.5009999999999994</v>
      </c>
    </row>
    <row r="4061" spans="1:17" x14ac:dyDescent="0.2">
      <c r="A4061" s="30" t="str">
        <f>IF(C4061&amp;G4061&amp;D4061&lt;&gt;'Funnel setup'!$K$3&amp;'Funnel setup'!$K$4&amp;'Funnel setup'!$K$5,".",IF(A4060=".",1,A4060+1))</f>
        <v>.</v>
      </c>
      <c r="B4061" s="431" t="str">
        <f t="shared" si="63"/>
        <v>Knee Replacement PrimaryCCG of GP PracticeNHS BARNSLEY CCG (02P)Oxford Knee Score</v>
      </c>
      <c r="C4061" t="s">
        <v>249</v>
      </c>
      <c r="D4061" t="s">
        <v>87</v>
      </c>
      <c r="E4061" t="s">
        <v>580</v>
      </c>
      <c r="F4061" t="s">
        <v>581</v>
      </c>
      <c r="G4061" t="s">
        <v>16</v>
      </c>
      <c r="H4061">
        <v>307</v>
      </c>
      <c r="I4061">
        <v>18.085000000000001</v>
      </c>
      <c r="J4061">
        <v>33.792000000000002</v>
      </c>
      <c r="K4061">
        <v>15.707000000000001</v>
      </c>
      <c r="L4061">
        <v>291</v>
      </c>
      <c r="M4061">
        <v>3</v>
      </c>
      <c r="N4061">
        <v>13</v>
      </c>
      <c r="O4061">
        <v>34.837000000000003</v>
      </c>
      <c r="P4061">
        <v>15.55177918</v>
      </c>
      <c r="Q4061">
        <v>8.8970000000000002</v>
      </c>
    </row>
    <row r="4062" spans="1:17" x14ac:dyDescent="0.2">
      <c r="A4062" s="30" t="str">
        <f>IF(C4062&amp;G4062&amp;D4062&lt;&gt;'Funnel setup'!$K$3&amp;'Funnel setup'!$K$4&amp;'Funnel setup'!$K$5,".",IF(A4061=".",1,A4061+1))</f>
        <v>.</v>
      </c>
      <c r="B4062" s="431" t="str">
        <f t="shared" si="63"/>
        <v>Knee Replacement PrimaryCCG of GP PracticeNHS BASILDON AND BRENTWOOD CCG (99E)Oxford Knee Score</v>
      </c>
      <c r="C4062" t="s">
        <v>249</v>
      </c>
      <c r="D4062" t="s">
        <v>87</v>
      </c>
      <c r="E4062" t="s">
        <v>583</v>
      </c>
      <c r="F4062" t="s">
        <v>584</v>
      </c>
      <c r="G4062" t="s">
        <v>16</v>
      </c>
      <c r="H4062">
        <v>171</v>
      </c>
      <c r="I4062">
        <v>18.661000000000001</v>
      </c>
      <c r="J4062">
        <v>35.795000000000002</v>
      </c>
      <c r="K4062">
        <v>17.135000000000002</v>
      </c>
      <c r="L4062">
        <v>162</v>
      </c>
      <c r="M4062">
        <v>1</v>
      </c>
      <c r="N4062">
        <v>8</v>
      </c>
      <c r="O4062">
        <v>35.679000000000002</v>
      </c>
      <c r="P4062">
        <v>16.393619300000001</v>
      </c>
      <c r="Q4062">
        <v>8.6329999999999991</v>
      </c>
    </row>
    <row r="4063" spans="1:17" x14ac:dyDescent="0.2">
      <c r="A4063" s="30" t="str">
        <f>IF(C4063&amp;G4063&amp;D4063&lt;&gt;'Funnel setup'!$K$3&amp;'Funnel setup'!$K$4&amp;'Funnel setup'!$K$5,".",IF(A4062=".",1,A4062+1))</f>
        <v>.</v>
      </c>
      <c r="B4063" s="431" t="str">
        <f t="shared" si="63"/>
        <v>Knee Replacement PrimaryCCG of GP PracticeNHS BASSETLAW CCG (02Q)Oxford Knee Score</v>
      </c>
      <c r="C4063" t="s">
        <v>249</v>
      </c>
      <c r="D4063" t="s">
        <v>87</v>
      </c>
      <c r="E4063" t="s">
        <v>586</v>
      </c>
      <c r="F4063" t="s">
        <v>587</v>
      </c>
      <c r="G4063" t="s">
        <v>16</v>
      </c>
      <c r="H4063">
        <v>122</v>
      </c>
      <c r="I4063">
        <v>18.541</v>
      </c>
      <c r="J4063">
        <v>35.508000000000003</v>
      </c>
      <c r="K4063">
        <v>16.966999999999999</v>
      </c>
      <c r="L4063">
        <v>115</v>
      </c>
      <c r="M4063">
        <v>0</v>
      </c>
      <c r="N4063">
        <v>7</v>
      </c>
      <c r="O4063">
        <v>35.683999999999997</v>
      </c>
      <c r="P4063">
        <v>16.399099199999998</v>
      </c>
      <c r="Q4063">
        <v>8.1609999999999996</v>
      </c>
    </row>
    <row r="4064" spans="1:17" x14ac:dyDescent="0.2">
      <c r="A4064" s="30" t="str">
        <f>IF(C4064&amp;G4064&amp;D4064&lt;&gt;'Funnel setup'!$K$3&amp;'Funnel setup'!$K$4&amp;'Funnel setup'!$K$5,".",IF(A4063=".",1,A4063+1))</f>
        <v>.</v>
      </c>
      <c r="B4064" s="431" t="str">
        <f t="shared" si="63"/>
        <v>Knee Replacement PrimaryCCG of GP PracticeNHS BATH AND NORTH EAST SOMERSET CCG (11E)Oxford Knee Score</v>
      </c>
      <c r="C4064" t="s">
        <v>249</v>
      </c>
      <c r="D4064" t="s">
        <v>87</v>
      </c>
      <c r="E4064" t="s">
        <v>589</v>
      </c>
      <c r="F4064" t="s">
        <v>590</v>
      </c>
      <c r="G4064" t="s">
        <v>16</v>
      </c>
      <c r="H4064">
        <v>162</v>
      </c>
      <c r="I4064">
        <v>19.876999999999999</v>
      </c>
      <c r="J4064">
        <v>38.130000000000003</v>
      </c>
      <c r="K4064">
        <v>18.253</v>
      </c>
      <c r="L4064">
        <v>156</v>
      </c>
      <c r="M4064">
        <v>0</v>
      </c>
      <c r="N4064">
        <v>6</v>
      </c>
      <c r="O4064">
        <v>37.204000000000001</v>
      </c>
      <c r="P4064">
        <v>17.918412239999999</v>
      </c>
      <c r="Q4064">
        <v>7.5119999999999996</v>
      </c>
    </row>
    <row r="4065" spans="1:17" x14ac:dyDescent="0.2">
      <c r="A4065" s="30" t="str">
        <f>IF(C4065&amp;G4065&amp;D4065&lt;&gt;'Funnel setup'!$K$3&amp;'Funnel setup'!$K$4&amp;'Funnel setup'!$K$5,".",IF(A4064=".",1,A4064+1))</f>
        <v>.</v>
      </c>
      <c r="B4065" s="431" t="str">
        <f t="shared" si="63"/>
        <v>Knee Replacement PrimaryCCG of GP PracticeNHS BEDFORDSHIRE CCG (06F)Oxford Knee Score</v>
      </c>
      <c r="C4065" t="s">
        <v>249</v>
      </c>
      <c r="D4065" t="s">
        <v>87</v>
      </c>
      <c r="E4065" t="s">
        <v>592</v>
      </c>
      <c r="F4065" t="s">
        <v>593</v>
      </c>
      <c r="G4065" t="s">
        <v>16</v>
      </c>
      <c r="H4065">
        <v>350</v>
      </c>
      <c r="I4065">
        <v>19.582999999999998</v>
      </c>
      <c r="J4065">
        <v>35.790999999999997</v>
      </c>
      <c r="K4065">
        <v>16.209</v>
      </c>
      <c r="L4065">
        <v>331</v>
      </c>
      <c r="M4065">
        <v>4</v>
      </c>
      <c r="N4065">
        <v>15</v>
      </c>
      <c r="O4065">
        <v>35.264000000000003</v>
      </c>
      <c r="P4065">
        <v>15.97893163</v>
      </c>
      <c r="Q4065">
        <v>8.1959999999999997</v>
      </c>
    </row>
    <row r="4066" spans="1:17" x14ac:dyDescent="0.2">
      <c r="A4066" s="30" t="str">
        <f>IF(C4066&amp;G4066&amp;D4066&lt;&gt;'Funnel setup'!$K$3&amp;'Funnel setup'!$K$4&amp;'Funnel setup'!$K$5,".",IF(A4065=".",1,A4065+1))</f>
        <v>.</v>
      </c>
      <c r="B4066" s="431" t="str">
        <f t="shared" si="63"/>
        <v>Knee Replacement PrimaryCCG of GP PracticeNHS BEXLEY CCG (07N)Oxford Knee Score</v>
      </c>
      <c r="C4066" t="s">
        <v>249</v>
      </c>
      <c r="D4066" t="s">
        <v>87</v>
      </c>
      <c r="E4066" t="s">
        <v>595</v>
      </c>
      <c r="F4066" t="s">
        <v>596</v>
      </c>
      <c r="G4066" t="s">
        <v>16</v>
      </c>
      <c r="H4066">
        <v>104</v>
      </c>
      <c r="I4066">
        <v>17.297999999999998</v>
      </c>
      <c r="J4066">
        <v>34.24</v>
      </c>
      <c r="K4066">
        <v>16.942</v>
      </c>
      <c r="L4066">
        <v>97</v>
      </c>
      <c r="M4066">
        <v>0</v>
      </c>
      <c r="N4066">
        <v>7</v>
      </c>
      <c r="O4066">
        <v>35.136000000000003</v>
      </c>
      <c r="P4066">
        <v>15.850504669999999</v>
      </c>
      <c r="Q4066">
        <v>9.7279999999999998</v>
      </c>
    </row>
    <row r="4067" spans="1:17" x14ac:dyDescent="0.2">
      <c r="A4067" s="30" t="str">
        <f>IF(C4067&amp;G4067&amp;D4067&lt;&gt;'Funnel setup'!$K$3&amp;'Funnel setup'!$K$4&amp;'Funnel setup'!$K$5,".",IF(A4066=".",1,A4066+1))</f>
        <v>.</v>
      </c>
      <c r="B4067" s="431" t="str">
        <f t="shared" si="63"/>
        <v>Knee Replacement PrimaryCCG of GP PracticeNHS BIRMINGHAM CROSSCITY CCG (13P)Oxford Knee Score</v>
      </c>
      <c r="C4067" t="s">
        <v>249</v>
      </c>
      <c r="D4067" t="s">
        <v>87</v>
      </c>
      <c r="E4067" t="s">
        <v>598</v>
      </c>
      <c r="F4067" t="s">
        <v>599</v>
      </c>
      <c r="G4067" t="s">
        <v>16</v>
      </c>
      <c r="H4067">
        <v>403</v>
      </c>
      <c r="I4067">
        <v>18.475999999999999</v>
      </c>
      <c r="J4067">
        <v>33.511000000000003</v>
      </c>
      <c r="K4067">
        <v>15.035</v>
      </c>
      <c r="L4067">
        <v>366</v>
      </c>
      <c r="M4067">
        <v>4</v>
      </c>
      <c r="N4067">
        <v>33</v>
      </c>
      <c r="O4067">
        <v>34.847999999999999</v>
      </c>
      <c r="P4067">
        <v>15.56306468</v>
      </c>
      <c r="Q4067">
        <v>9.4109999999999996</v>
      </c>
    </row>
    <row r="4068" spans="1:17" x14ac:dyDescent="0.2">
      <c r="A4068" s="30" t="str">
        <f>IF(C4068&amp;G4068&amp;D4068&lt;&gt;'Funnel setup'!$K$3&amp;'Funnel setup'!$K$4&amp;'Funnel setup'!$K$5,".",IF(A4067=".",1,A4067+1))</f>
        <v>.</v>
      </c>
      <c r="B4068" s="431" t="str">
        <f t="shared" si="63"/>
        <v>Knee Replacement PrimaryCCG of GP PracticeNHS BIRMINGHAM SOUTH AND CENTRAL CCG (04X)Oxford Knee Score</v>
      </c>
      <c r="C4068" t="s">
        <v>249</v>
      </c>
      <c r="D4068" t="s">
        <v>87</v>
      </c>
      <c r="E4068" t="s">
        <v>601</v>
      </c>
      <c r="F4068" t="s">
        <v>602</v>
      </c>
      <c r="G4068" t="s">
        <v>16</v>
      </c>
      <c r="H4068">
        <v>100</v>
      </c>
      <c r="I4068">
        <v>17.78</v>
      </c>
      <c r="J4068">
        <v>34.26</v>
      </c>
      <c r="K4068">
        <v>16.48</v>
      </c>
      <c r="L4068">
        <v>97</v>
      </c>
      <c r="M4068">
        <v>1</v>
      </c>
      <c r="N4068">
        <v>2</v>
      </c>
      <c r="O4068">
        <v>36.164000000000001</v>
      </c>
      <c r="P4068">
        <v>16.878991800000001</v>
      </c>
      <c r="Q4068">
        <v>8.2240000000000002</v>
      </c>
    </row>
    <row r="4069" spans="1:17" x14ac:dyDescent="0.2">
      <c r="A4069" s="30" t="str">
        <f>IF(C4069&amp;G4069&amp;D4069&lt;&gt;'Funnel setup'!$K$3&amp;'Funnel setup'!$K$4&amp;'Funnel setup'!$K$5,".",IF(A4068=".",1,A4068+1))</f>
        <v>.</v>
      </c>
      <c r="B4069" s="431" t="str">
        <f t="shared" si="63"/>
        <v>Knee Replacement PrimaryCCG of GP PracticeNHS BLACKBURN WITH DARWEN CCG (00Q)Oxford Knee Score</v>
      </c>
      <c r="C4069" t="s">
        <v>249</v>
      </c>
      <c r="D4069" t="s">
        <v>87</v>
      </c>
      <c r="E4069" t="s">
        <v>604</v>
      </c>
      <c r="F4069" t="s">
        <v>605</v>
      </c>
      <c r="G4069" t="s">
        <v>16</v>
      </c>
      <c r="H4069">
        <v>99</v>
      </c>
      <c r="I4069">
        <v>18.152000000000001</v>
      </c>
      <c r="J4069">
        <v>35.758000000000003</v>
      </c>
      <c r="K4069">
        <v>17.606000000000002</v>
      </c>
      <c r="L4069">
        <v>97</v>
      </c>
      <c r="M4069">
        <v>0</v>
      </c>
      <c r="N4069">
        <v>2</v>
      </c>
      <c r="O4069">
        <v>37.225999999999999</v>
      </c>
      <c r="P4069">
        <v>17.940207619999999</v>
      </c>
      <c r="Q4069">
        <v>8.093</v>
      </c>
    </row>
    <row r="4070" spans="1:17" x14ac:dyDescent="0.2">
      <c r="A4070" s="30" t="str">
        <f>IF(C4070&amp;G4070&amp;D4070&lt;&gt;'Funnel setup'!$K$3&amp;'Funnel setup'!$K$4&amp;'Funnel setup'!$K$5,".",IF(A4069=".",1,A4069+1))</f>
        <v>.</v>
      </c>
      <c r="B4070" s="431" t="str">
        <f t="shared" si="63"/>
        <v>Knee Replacement PrimaryCCG of GP PracticeNHS BLACKPOOL CCG (00R)Oxford Knee Score</v>
      </c>
      <c r="C4070" t="s">
        <v>249</v>
      </c>
      <c r="D4070" t="s">
        <v>87</v>
      </c>
      <c r="E4070" t="s">
        <v>607</v>
      </c>
      <c r="F4070" t="s">
        <v>608</v>
      </c>
      <c r="G4070" t="s">
        <v>16</v>
      </c>
      <c r="H4070">
        <v>43</v>
      </c>
      <c r="I4070">
        <v>20.442</v>
      </c>
      <c r="J4070">
        <v>33.906999999999996</v>
      </c>
      <c r="K4070">
        <v>13.465</v>
      </c>
      <c r="L4070">
        <v>39</v>
      </c>
      <c r="M4070">
        <v>1</v>
      </c>
      <c r="N4070">
        <v>3</v>
      </c>
      <c r="O4070">
        <v>34.161000000000001</v>
      </c>
      <c r="P4070">
        <v>14.8756222</v>
      </c>
      <c r="Q4070">
        <v>8.3230000000000004</v>
      </c>
    </row>
    <row r="4071" spans="1:17" x14ac:dyDescent="0.2">
      <c r="A4071" s="30" t="str">
        <f>IF(C4071&amp;G4071&amp;D4071&lt;&gt;'Funnel setup'!$K$3&amp;'Funnel setup'!$K$4&amp;'Funnel setup'!$K$5,".",IF(A4070=".",1,A4070+1))</f>
        <v>.</v>
      </c>
      <c r="B4071" s="431" t="str">
        <f t="shared" si="63"/>
        <v>Knee Replacement PrimaryCCG of GP PracticeNHS BOLTON CCG (00T)Oxford Knee Score</v>
      </c>
      <c r="C4071" t="s">
        <v>249</v>
      </c>
      <c r="D4071" t="s">
        <v>87</v>
      </c>
      <c r="E4071" t="s">
        <v>683</v>
      </c>
      <c r="F4071" t="s">
        <v>684</v>
      </c>
      <c r="G4071" t="s">
        <v>16</v>
      </c>
      <c r="H4071">
        <v>144</v>
      </c>
      <c r="I4071">
        <v>17.507000000000001</v>
      </c>
      <c r="J4071">
        <v>33.340000000000003</v>
      </c>
      <c r="K4071">
        <v>15.833</v>
      </c>
      <c r="L4071">
        <v>133</v>
      </c>
      <c r="M4071">
        <v>0</v>
      </c>
      <c r="N4071">
        <v>11</v>
      </c>
      <c r="O4071">
        <v>34.631</v>
      </c>
      <c r="P4071">
        <v>15.34541347</v>
      </c>
      <c r="Q4071">
        <v>9.3179999999999996</v>
      </c>
    </row>
    <row r="4072" spans="1:17" x14ac:dyDescent="0.2">
      <c r="A4072" s="30" t="str">
        <f>IF(C4072&amp;G4072&amp;D4072&lt;&gt;'Funnel setup'!$K$3&amp;'Funnel setup'!$K$4&amp;'Funnel setup'!$K$5,".",IF(A4071=".",1,A4071+1))</f>
        <v>.</v>
      </c>
      <c r="B4072" s="431" t="str">
        <f t="shared" si="63"/>
        <v>Knee Replacement PrimaryCCG of GP PracticeNHS BRACKNELL AND ASCOT CCG (10G)Oxford Knee Score</v>
      </c>
      <c r="C4072" t="s">
        <v>249</v>
      </c>
      <c r="D4072" t="s">
        <v>87</v>
      </c>
      <c r="E4072" t="s">
        <v>686</v>
      </c>
      <c r="F4072" t="s">
        <v>687</v>
      </c>
      <c r="G4072" t="s">
        <v>16</v>
      </c>
      <c r="H4072">
        <v>79</v>
      </c>
      <c r="I4072">
        <v>19.937000000000001</v>
      </c>
      <c r="J4072">
        <v>36.253</v>
      </c>
      <c r="K4072">
        <v>16.315999999999999</v>
      </c>
      <c r="L4072">
        <v>72</v>
      </c>
      <c r="M4072">
        <v>0</v>
      </c>
      <c r="N4072">
        <v>7</v>
      </c>
      <c r="O4072">
        <v>35.835999999999999</v>
      </c>
      <c r="P4072">
        <v>16.550898050000001</v>
      </c>
      <c r="Q4072">
        <v>8.8460000000000001</v>
      </c>
    </row>
    <row r="4073" spans="1:17" x14ac:dyDescent="0.2">
      <c r="A4073" s="30" t="str">
        <f>IF(C4073&amp;G4073&amp;D4073&lt;&gt;'Funnel setup'!$K$3&amp;'Funnel setup'!$K$4&amp;'Funnel setup'!$K$5,".",IF(A4072=".",1,A4072+1))</f>
        <v>.</v>
      </c>
      <c r="B4073" s="431" t="str">
        <f t="shared" si="63"/>
        <v>Knee Replacement PrimaryCCG of GP PracticeNHS BRADFORD CITY CCG (02W)Oxford Knee Score</v>
      </c>
      <c r="C4073" t="s">
        <v>249</v>
      </c>
      <c r="D4073" t="s">
        <v>87</v>
      </c>
      <c r="E4073" t="s">
        <v>689</v>
      </c>
      <c r="F4073" t="s">
        <v>690</v>
      </c>
      <c r="G4073" t="s">
        <v>16</v>
      </c>
      <c r="H4073">
        <v>29</v>
      </c>
      <c r="I4073">
        <v>15.792999999999999</v>
      </c>
      <c r="J4073">
        <v>30.896999999999998</v>
      </c>
      <c r="K4073">
        <v>15.103</v>
      </c>
      <c r="L4073">
        <v>28</v>
      </c>
      <c r="M4073">
        <v>0</v>
      </c>
      <c r="N4073">
        <v>1</v>
      </c>
      <c r="O4073" t="s">
        <v>53</v>
      </c>
      <c r="P4073" t="s">
        <v>53</v>
      </c>
      <c r="Q4073" t="s">
        <v>53</v>
      </c>
    </row>
    <row r="4074" spans="1:17" x14ac:dyDescent="0.2">
      <c r="A4074" s="30" t="str">
        <f>IF(C4074&amp;G4074&amp;D4074&lt;&gt;'Funnel setup'!$K$3&amp;'Funnel setup'!$K$4&amp;'Funnel setup'!$K$5,".",IF(A4073=".",1,A4073+1))</f>
        <v>.</v>
      </c>
      <c r="B4074" s="431" t="str">
        <f t="shared" si="63"/>
        <v>Knee Replacement PrimaryCCG of GP PracticeNHS BRADFORD DISTRICTS CCG (02R)Oxford Knee Score</v>
      </c>
      <c r="C4074" t="s">
        <v>249</v>
      </c>
      <c r="D4074" t="s">
        <v>87</v>
      </c>
      <c r="E4074" t="s">
        <v>692</v>
      </c>
      <c r="F4074" t="s">
        <v>693</v>
      </c>
      <c r="G4074" t="s">
        <v>16</v>
      </c>
      <c r="H4074">
        <v>168</v>
      </c>
      <c r="I4074">
        <v>20.042000000000002</v>
      </c>
      <c r="J4074">
        <v>34.820999999999998</v>
      </c>
      <c r="K4074">
        <v>14.78</v>
      </c>
      <c r="L4074">
        <v>153</v>
      </c>
      <c r="M4074">
        <v>1</v>
      </c>
      <c r="N4074">
        <v>14</v>
      </c>
      <c r="O4074">
        <v>35.097999999999999</v>
      </c>
      <c r="P4074">
        <v>15.81241193</v>
      </c>
      <c r="Q4074">
        <v>9.0630000000000006</v>
      </c>
    </row>
    <row r="4075" spans="1:17" x14ac:dyDescent="0.2">
      <c r="A4075" s="30" t="str">
        <f>IF(C4075&amp;G4075&amp;D4075&lt;&gt;'Funnel setup'!$K$3&amp;'Funnel setup'!$K$4&amp;'Funnel setup'!$K$5,".",IF(A4074=".",1,A4074+1))</f>
        <v>.</v>
      </c>
      <c r="B4075" s="431" t="str">
        <f t="shared" si="63"/>
        <v>Knee Replacement PrimaryCCG of GP PracticeNHS BRENT CCG (07P)Oxford Knee Score</v>
      </c>
      <c r="C4075" t="s">
        <v>249</v>
      </c>
      <c r="D4075" t="s">
        <v>87</v>
      </c>
      <c r="E4075" t="s">
        <v>695</v>
      </c>
      <c r="F4075" t="s">
        <v>696</v>
      </c>
      <c r="G4075" t="s">
        <v>16</v>
      </c>
      <c r="H4075">
        <v>98</v>
      </c>
      <c r="I4075">
        <v>15.5</v>
      </c>
      <c r="J4075">
        <v>26.582000000000001</v>
      </c>
      <c r="K4075">
        <v>11.082000000000001</v>
      </c>
      <c r="L4075">
        <v>84</v>
      </c>
      <c r="M4075">
        <v>2</v>
      </c>
      <c r="N4075">
        <v>12</v>
      </c>
      <c r="O4075">
        <v>30.675999999999998</v>
      </c>
      <c r="P4075">
        <v>11.390297589999999</v>
      </c>
      <c r="Q4075">
        <v>9.0779999999999994</v>
      </c>
    </row>
    <row r="4076" spans="1:17" x14ac:dyDescent="0.2">
      <c r="A4076" s="30" t="str">
        <f>IF(C4076&amp;G4076&amp;D4076&lt;&gt;'Funnel setup'!$K$3&amp;'Funnel setup'!$K$4&amp;'Funnel setup'!$K$5,".",IF(A4075=".",1,A4075+1))</f>
        <v>.</v>
      </c>
      <c r="B4076" s="431" t="str">
        <f t="shared" si="63"/>
        <v>Knee Replacement PrimaryCCG of GP PracticeNHS BRIGHTON AND HOVE CCG (09D)Oxford Knee Score</v>
      </c>
      <c r="C4076" t="s">
        <v>249</v>
      </c>
      <c r="D4076" t="s">
        <v>87</v>
      </c>
      <c r="E4076" t="s">
        <v>698</v>
      </c>
      <c r="F4076" t="s">
        <v>699</v>
      </c>
      <c r="G4076" t="s">
        <v>16</v>
      </c>
      <c r="H4076">
        <v>169</v>
      </c>
      <c r="I4076">
        <v>20.478999999999999</v>
      </c>
      <c r="J4076">
        <v>34.561999999999998</v>
      </c>
      <c r="K4076">
        <v>14.083</v>
      </c>
      <c r="L4076">
        <v>148</v>
      </c>
      <c r="M4076">
        <v>3</v>
      </c>
      <c r="N4076">
        <v>18</v>
      </c>
      <c r="O4076">
        <v>34.463999999999999</v>
      </c>
      <c r="P4076">
        <v>15.178360570000001</v>
      </c>
      <c r="Q4076">
        <v>9.5129999999999999</v>
      </c>
    </row>
    <row r="4077" spans="1:17" x14ac:dyDescent="0.2">
      <c r="A4077" s="30" t="str">
        <f>IF(C4077&amp;G4077&amp;D4077&lt;&gt;'Funnel setup'!$K$3&amp;'Funnel setup'!$K$4&amp;'Funnel setup'!$K$5,".",IF(A4076=".",1,A4076+1))</f>
        <v>.</v>
      </c>
      <c r="B4077" s="431" t="str">
        <f t="shared" si="63"/>
        <v>Knee Replacement PrimaryCCG of GP PracticeNHS BRISTOL CCG (11H)Oxford Knee Score</v>
      </c>
      <c r="C4077" t="s">
        <v>249</v>
      </c>
      <c r="D4077" t="s">
        <v>87</v>
      </c>
      <c r="E4077" t="s">
        <v>701</v>
      </c>
      <c r="F4077" t="s">
        <v>702</v>
      </c>
      <c r="G4077" t="s">
        <v>16</v>
      </c>
      <c r="H4077">
        <v>232</v>
      </c>
      <c r="I4077">
        <v>18.97</v>
      </c>
      <c r="J4077">
        <v>35.241</v>
      </c>
      <c r="K4077">
        <v>16.271999999999998</v>
      </c>
      <c r="L4077">
        <v>218</v>
      </c>
      <c r="M4077">
        <v>5</v>
      </c>
      <c r="N4077">
        <v>9</v>
      </c>
      <c r="O4077">
        <v>35.386000000000003</v>
      </c>
      <c r="P4077">
        <v>16.100892940000001</v>
      </c>
      <c r="Q4077">
        <v>8.3810000000000002</v>
      </c>
    </row>
    <row r="4078" spans="1:17" x14ac:dyDescent="0.2">
      <c r="A4078" s="30" t="str">
        <f>IF(C4078&amp;G4078&amp;D4078&lt;&gt;'Funnel setup'!$K$3&amp;'Funnel setup'!$K$4&amp;'Funnel setup'!$K$5,".",IF(A4077=".",1,A4077+1))</f>
        <v>.</v>
      </c>
      <c r="B4078" s="431" t="str">
        <f t="shared" si="63"/>
        <v>Knee Replacement PrimaryCCG of GP PracticeNHS BROMLEY CCG (07Q)Oxford Knee Score</v>
      </c>
      <c r="C4078" t="s">
        <v>249</v>
      </c>
      <c r="D4078" t="s">
        <v>87</v>
      </c>
      <c r="E4078" t="s">
        <v>704</v>
      </c>
      <c r="F4078" t="s">
        <v>705</v>
      </c>
      <c r="G4078" t="s">
        <v>16</v>
      </c>
      <c r="H4078">
        <v>122</v>
      </c>
      <c r="I4078">
        <v>21.402000000000001</v>
      </c>
      <c r="J4078">
        <v>36.524999999999999</v>
      </c>
      <c r="K4078">
        <v>15.122999999999999</v>
      </c>
      <c r="L4078">
        <v>115</v>
      </c>
      <c r="M4078">
        <v>1</v>
      </c>
      <c r="N4078">
        <v>6</v>
      </c>
      <c r="O4078">
        <v>34.881</v>
      </c>
      <c r="P4078">
        <v>15.59583578</v>
      </c>
      <c r="Q4078">
        <v>8.1539999999999999</v>
      </c>
    </row>
    <row r="4079" spans="1:17" x14ac:dyDescent="0.2">
      <c r="A4079" s="30" t="str">
        <f>IF(C4079&amp;G4079&amp;D4079&lt;&gt;'Funnel setup'!$K$3&amp;'Funnel setup'!$K$4&amp;'Funnel setup'!$K$5,".",IF(A4078=".",1,A4078+1))</f>
        <v>.</v>
      </c>
      <c r="B4079" s="431" t="str">
        <f t="shared" si="63"/>
        <v>Knee Replacement PrimaryCCG of GP PracticeNHS BURY CCG (00V)Oxford Knee Score</v>
      </c>
      <c r="C4079" t="s">
        <v>249</v>
      </c>
      <c r="D4079" t="s">
        <v>87</v>
      </c>
      <c r="E4079" t="s">
        <v>707</v>
      </c>
      <c r="F4079" t="s">
        <v>708</v>
      </c>
      <c r="G4079" t="s">
        <v>16</v>
      </c>
      <c r="H4079">
        <v>97</v>
      </c>
      <c r="I4079">
        <v>15.701000000000001</v>
      </c>
      <c r="J4079">
        <v>32.649000000000001</v>
      </c>
      <c r="K4079">
        <v>16.948</v>
      </c>
      <c r="L4079">
        <v>93</v>
      </c>
      <c r="M4079">
        <v>1</v>
      </c>
      <c r="N4079">
        <v>3</v>
      </c>
      <c r="O4079">
        <v>34.813000000000002</v>
      </c>
      <c r="P4079">
        <v>15.52733761</v>
      </c>
      <c r="Q4079">
        <v>9.8580000000000005</v>
      </c>
    </row>
    <row r="4080" spans="1:17" x14ac:dyDescent="0.2">
      <c r="A4080" s="30" t="str">
        <f>IF(C4080&amp;G4080&amp;D4080&lt;&gt;'Funnel setup'!$K$3&amp;'Funnel setup'!$K$4&amp;'Funnel setup'!$K$5,".",IF(A4079=".",1,A4079+1))</f>
        <v>.</v>
      </c>
      <c r="B4080" s="431" t="str">
        <f t="shared" si="63"/>
        <v>Knee Replacement PrimaryCCG of GP PracticeNHS CALDERDALE CCG (02T)Oxford Knee Score</v>
      </c>
      <c r="C4080" t="s">
        <v>249</v>
      </c>
      <c r="D4080" t="s">
        <v>87</v>
      </c>
      <c r="E4080" t="s">
        <v>710</v>
      </c>
      <c r="F4080" t="s">
        <v>711</v>
      </c>
      <c r="G4080" t="s">
        <v>16</v>
      </c>
      <c r="H4080">
        <v>176</v>
      </c>
      <c r="I4080">
        <v>19.812999999999999</v>
      </c>
      <c r="J4080">
        <v>37.347000000000001</v>
      </c>
      <c r="K4080">
        <v>17.533999999999999</v>
      </c>
      <c r="L4080">
        <v>168</v>
      </c>
      <c r="M4080">
        <v>2</v>
      </c>
      <c r="N4080">
        <v>6</v>
      </c>
      <c r="O4080">
        <v>37.293999999999997</v>
      </c>
      <c r="P4080">
        <v>18.00821711</v>
      </c>
      <c r="Q4080">
        <v>7.9690000000000003</v>
      </c>
    </row>
    <row r="4081" spans="1:17" x14ac:dyDescent="0.2">
      <c r="A4081" s="30" t="str">
        <f>IF(C4081&amp;G4081&amp;D4081&lt;&gt;'Funnel setup'!$K$3&amp;'Funnel setup'!$K$4&amp;'Funnel setup'!$K$5,".",IF(A4080=".",1,A4080+1))</f>
        <v>.</v>
      </c>
      <c r="B4081" s="431" t="str">
        <f t="shared" si="63"/>
        <v>Knee Replacement PrimaryCCG of GP PracticeNHS CAMBRIDGESHIRE AND PETERBOROUGH CCG (06H)Oxford Knee Score</v>
      </c>
      <c r="C4081" t="s">
        <v>249</v>
      </c>
      <c r="D4081" t="s">
        <v>87</v>
      </c>
      <c r="E4081" t="s">
        <v>713</v>
      </c>
      <c r="F4081" t="s">
        <v>714</v>
      </c>
      <c r="G4081" t="s">
        <v>16</v>
      </c>
      <c r="H4081">
        <v>601</v>
      </c>
      <c r="I4081">
        <v>18.658999999999999</v>
      </c>
      <c r="J4081">
        <v>35.753999999999998</v>
      </c>
      <c r="K4081">
        <v>17.094999999999999</v>
      </c>
      <c r="L4081">
        <v>576</v>
      </c>
      <c r="M4081">
        <v>1</v>
      </c>
      <c r="N4081">
        <v>24</v>
      </c>
      <c r="O4081">
        <v>35.718000000000004</v>
      </c>
      <c r="P4081">
        <v>16.43300846</v>
      </c>
      <c r="Q4081">
        <v>8.41</v>
      </c>
    </row>
    <row r="4082" spans="1:17" x14ac:dyDescent="0.2">
      <c r="A4082" s="30" t="str">
        <f>IF(C4082&amp;G4082&amp;D4082&lt;&gt;'Funnel setup'!$K$3&amp;'Funnel setup'!$K$4&amp;'Funnel setup'!$K$5,".",IF(A4081=".",1,A4081+1))</f>
        <v>.</v>
      </c>
      <c r="B4082" s="431" t="str">
        <f t="shared" si="63"/>
        <v>Knee Replacement PrimaryCCG of GP PracticeNHS CAMDEN CCG (07R)Oxford Knee Score</v>
      </c>
      <c r="C4082" t="s">
        <v>249</v>
      </c>
      <c r="D4082" t="s">
        <v>87</v>
      </c>
      <c r="E4082" t="s">
        <v>716</v>
      </c>
      <c r="F4082" t="s">
        <v>717</v>
      </c>
      <c r="G4082" t="s">
        <v>16</v>
      </c>
      <c r="H4082">
        <v>30</v>
      </c>
      <c r="I4082">
        <v>19.332999999999998</v>
      </c>
      <c r="J4082">
        <v>29.667000000000002</v>
      </c>
      <c r="K4082">
        <v>10.333</v>
      </c>
      <c r="L4082">
        <v>23</v>
      </c>
      <c r="M4082">
        <v>1</v>
      </c>
      <c r="N4082">
        <v>6</v>
      </c>
      <c r="O4082">
        <v>30.754999999999999</v>
      </c>
      <c r="P4082">
        <v>11.46928572</v>
      </c>
      <c r="Q4082">
        <v>9.5809999999999995</v>
      </c>
    </row>
    <row r="4083" spans="1:17" x14ac:dyDescent="0.2">
      <c r="A4083" s="30" t="str">
        <f>IF(C4083&amp;G4083&amp;D4083&lt;&gt;'Funnel setup'!$K$3&amp;'Funnel setup'!$K$4&amp;'Funnel setup'!$K$5,".",IF(A4082=".",1,A4082+1))</f>
        <v>.</v>
      </c>
      <c r="B4083" s="431" t="str">
        <f t="shared" si="63"/>
        <v>Knee Replacement PrimaryCCG of GP PracticeNHS CANNOCK CHASE CCG (04Y)Oxford Knee Score</v>
      </c>
      <c r="C4083" t="s">
        <v>249</v>
      </c>
      <c r="D4083" t="s">
        <v>87</v>
      </c>
      <c r="E4083" t="s">
        <v>719</v>
      </c>
      <c r="F4083" t="s">
        <v>720</v>
      </c>
      <c r="G4083" t="s">
        <v>16</v>
      </c>
      <c r="H4083">
        <v>166</v>
      </c>
      <c r="I4083">
        <v>17.97</v>
      </c>
      <c r="J4083">
        <v>34.319000000000003</v>
      </c>
      <c r="K4083">
        <v>16.349</v>
      </c>
      <c r="L4083">
        <v>148</v>
      </c>
      <c r="M4083">
        <v>3</v>
      </c>
      <c r="N4083">
        <v>15</v>
      </c>
      <c r="O4083">
        <v>35.204999999999998</v>
      </c>
      <c r="P4083">
        <v>15.919596139999999</v>
      </c>
      <c r="Q4083">
        <v>9.7609999999999992</v>
      </c>
    </row>
    <row r="4084" spans="1:17" x14ac:dyDescent="0.2">
      <c r="A4084" s="30" t="str">
        <f>IF(C4084&amp;G4084&amp;D4084&lt;&gt;'Funnel setup'!$K$3&amp;'Funnel setup'!$K$4&amp;'Funnel setup'!$K$5,".",IF(A4083=".",1,A4083+1))</f>
        <v>.</v>
      </c>
      <c r="B4084" s="431" t="str">
        <f t="shared" si="63"/>
        <v>Knee Replacement PrimaryCCG of GP PracticeNHS CANTERBURY AND COASTAL CCG (09E)Oxford Knee Score</v>
      </c>
      <c r="C4084" t="s">
        <v>249</v>
      </c>
      <c r="D4084" t="s">
        <v>87</v>
      </c>
      <c r="E4084" t="s">
        <v>722</v>
      </c>
      <c r="F4084" t="s">
        <v>723</v>
      </c>
      <c r="G4084" t="s">
        <v>16</v>
      </c>
      <c r="H4084">
        <v>146</v>
      </c>
      <c r="I4084">
        <v>20.568000000000001</v>
      </c>
      <c r="J4084">
        <v>36.959000000000003</v>
      </c>
      <c r="K4084">
        <v>16.39</v>
      </c>
      <c r="L4084">
        <v>139</v>
      </c>
      <c r="M4084">
        <v>2</v>
      </c>
      <c r="N4084">
        <v>5</v>
      </c>
      <c r="O4084">
        <v>36.067</v>
      </c>
      <c r="P4084">
        <v>16.78142325</v>
      </c>
      <c r="Q4084">
        <v>7.7619999999999996</v>
      </c>
    </row>
    <row r="4085" spans="1:17" x14ac:dyDescent="0.2">
      <c r="A4085" s="30" t="str">
        <f>IF(C4085&amp;G4085&amp;D4085&lt;&gt;'Funnel setup'!$K$3&amp;'Funnel setup'!$K$4&amp;'Funnel setup'!$K$5,".",IF(A4084=".",1,A4084+1))</f>
        <v>.</v>
      </c>
      <c r="B4085" s="431" t="str">
        <f t="shared" si="63"/>
        <v>Knee Replacement PrimaryCCG of GP PracticeNHS CASTLE POINT AND ROCHFORD CCG (99F)Oxford Knee Score</v>
      </c>
      <c r="C4085" t="s">
        <v>249</v>
      </c>
      <c r="D4085" t="s">
        <v>87</v>
      </c>
      <c r="E4085" t="s">
        <v>725</v>
      </c>
      <c r="F4085" t="s">
        <v>726</v>
      </c>
      <c r="G4085" t="s">
        <v>16</v>
      </c>
      <c r="H4085">
        <v>161</v>
      </c>
      <c r="I4085">
        <v>18.236000000000001</v>
      </c>
      <c r="J4085">
        <v>35.838999999999999</v>
      </c>
      <c r="K4085">
        <v>17.602</v>
      </c>
      <c r="L4085">
        <v>151</v>
      </c>
      <c r="M4085">
        <v>1</v>
      </c>
      <c r="N4085">
        <v>9</v>
      </c>
      <c r="O4085">
        <v>35.716999999999999</v>
      </c>
      <c r="P4085">
        <v>16.4313571</v>
      </c>
      <c r="Q4085">
        <v>8.4969999999999999</v>
      </c>
    </row>
    <row r="4086" spans="1:17" x14ac:dyDescent="0.2">
      <c r="A4086" s="30" t="str">
        <f>IF(C4086&amp;G4086&amp;D4086&lt;&gt;'Funnel setup'!$K$3&amp;'Funnel setup'!$K$4&amp;'Funnel setup'!$K$5,".",IF(A4085=".",1,A4085+1))</f>
        <v>.</v>
      </c>
      <c r="B4086" s="431" t="str">
        <f t="shared" si="63"/>
        <v>Knee Replacement PrimaryCCG of GP PracticeNHS CENTRAL LONDON (WESTMINSTER) CCG (09A)Oxford Knee Score</v>
      </c>
      <c r="C4086" t="s">
        <v>249</v>
      </c>
      <c r="D4086" t="s">
        <v>87</v>
      </c>
      <c r="E4086" t="s">
        <v>728</v>
      </c>
      <c r="F4086" t="s">
        <v>729</v>
      </c>
      <c r="G4086" t="s">
        <v>16</v>
      </c>
      <c r="H4086">
        <v>17</v>
      </c>
      <c r="I4086">
        <v>18.646999999999998</v>
      </c>
      <c r="J4086">
        <v>31.765000000000001</v>
      </c>
      <c r="K4086">
        <v>13.118</v>
      </c>
      <c r="L4086">
        <v>15</v>
      </c>
      <c r="M4086">
        <v>0</v>
      </c>
      <c r="N4086">
        <v>2</v>
      </c>
      <c r="O4086" t="s">
        <v>53</v>
      </c>
      <c r="P4086" t="s">
        <v>53</v>
      </c>
      <c r="Q4086" t="s">
        <v>53</v>
      </c>
    </row>
    <row r="4087" spans="1:17" x14ac:dyDescent="0.2">
      <c r="A4087" s="30" t="str">
        <f>IF(C4087&amp;G4087&amp;D4087&lt;&gt;'Funnel setup'!$K$3&amp;'Funnel setup'!$K$4&amp;'Funnel setup'!$K$5,".",IF(A4086=".",1,A4086+1))</f>
        <v>.</v>
      </c>
      <c r="B4087" s="431" t="str">
        <f t="shared" si="63"/>
        <v>Knee Replacement PrimaryCCG of GP PracticeNHS CENTRAL MANCHESTER CCG (00W)Oxford Knee Score</v>
      </c>
      <c r="C4087" t="s">
        <v>249</v>
      </c>
      <c r="D4087" t="s">
        <v>87</v>
      </c>
      <c r="E4087" t="s">
        <v>731</v>
      </c>
      <c r="F4087" t="s">
        <v>732</v>
      </c>
      <c r="G4087" t="s">
        <v>16</v>
      </c>
      <c r="H4087">
        <v>29</v>
      </c>
      <c r="I4087">
        <v>16.620999999999999</v>
      </c>
      <c r="J4087">
        <v>30.379000000000001</v>
      </c>
      <c r="K4087">
        <v>13.759</v>
      </c>
      <c r="L4087">
        <v>27</v>
      </c>
      <c r="M4087">
        <v>1</v>
      </c>
      <c r="N4087">
        <v>1</v>
      </c>
      <c r="O4087" t="s">
        <v>53</v>
      </c>
      <c r="P4087" t="s">
        <v>53</v>
      </c>
      <c r="Q4087" t="s">
        <v>53</v>
      </c>
    </row>
    <row r="4088" spans="1:17" x14ac:dyDescent="0.2">
      <c r="A4088" s="30" t="str">
        <f>IF(C4088&amp;G4088&amp;D4088&lt;&gt;'Funnel setup'!$K$3&amp;'Funnel setup'!$K$4&amp;'Funnel setup'!$K$5,".",IF(A4087=".",1,A4087+1))</f>
        <v>.</v>
      </c>
      <c r="B4088" s="431" t="str">
        <f t="shared" si="63"/>
        <v>Knee Replacement PrimaryCCG of GP PracticeNHS CHILTERN CCG (10H)Oxford Knee Score</v>
      </c>
      <c r="C4088" t="s">
        <v>249</v>
      </c>
      <c r="D4088" t="s">
        <v>87</v>
      </c>
      <c r="E4088" t="s">
        <v>734</v>
      </c>
      <c r="F4088" t="s">
        <v>735</v>
      </c>
      <c r="G4088" t="s">
        <v>16</v>
      </c>
      <c r="H4088">
        <v>197</v>
      </c>
      <c r="I4088">
        <v>20.518000000000001</v>
      </c>
      <c r="J4088">
        <v>36.512999999999998</v>
      </c>
      <c r="K4088">
        <v>15.994999999999999</v>
      </c>
      <c r="L4088">
        <v>188</v>
      </c>
      <c r="M4088">
        <v>2</v>
      </c>
      <c r="N4088">
        <v>7</v>
      </c>
      <c r="O4088">
        <v>35.207000000000001</v>
      </c>
      <c r="P4088">
        <v>15.92191474</v>
      </c>
      <c r="Q4088">
        <v>8.1280000000000001</v>
      </c>
    </row>
    <row r="4089" spans="1:17" x14ac:dyDescent="0.2">
      <c r="A4089" s="30" t="str">
        <f>IF(C4089&amp;G4089&amp;D4089&lt;&gt;'Funnel setup'!$K$3&amp;'Funnel setup'!$K$4&amp;'Funnel setup'!$K$5,".",IF(A4088=".",1,A4088+1))</f>
        <v>.</v>
      </c>
      <c r="B4089" s="431" t="str">
        <f t="shared" si="63"/>
        <v>Knee Replacement PrimaryCCG of GP PracticeNHS CHORLEY AND SOUTH RIBBLE CCG (00X)Oxford Knee Score</v>
      </c>
      <c r="C4089" t="s">
        <v>249</v>
      </c>
      <c r="D4089" t="s">
        <v>87</v>
      </c>
      <c r="E4089" t="s">
        <v>737</v>
      </c>
      <c r="F4089" t="s">
        <v>738</v>
      </c>
      <c r="G4089" t="s">
        <v>16</v>
      </c>
      <c r="H4089">
        <v>213</v>
      </c>
      <c r="I4089">
        <v>19.745999999999999</v>
      </c>
      <c r="J4089">
        <v>35.853999999999999</v>
      </c>
      <c r="K4089">
        <v>16.108000000000001</v>
      </c>
      <c r="L4089">
        <v>203</v>
      </c>
      <c r="M4089">
        <v>1</v>
      </c>
      <c r="N4089">
        <v>9</v>
      </c>
      <c r="O4089">
        <v>35.338999999999999</v>
      </c>
      <c r="P4089">
        <v>16.053326309999999</v>
      </c>
      <c r="Q4089">
        <v>8.5419999999999998</v>
      </c>
    </row>
    <row r="4090" spans="1:17" x14ac:dyDescent="0.2">
      <c r="A4090" s="30" t="str">
        <f>IF(C4090&amp;G4090&amp;D4090&lt;&gt;'Funnel setup'!$K$3&amp;'Funnel setup'!$K$4&amp;'Funnel setup'!$K$5,".",IF(A4089=".",1,A4089+1))</f>
        <v>.</v>
      </c>
      <c r="B4090" s="431" t="str">
        <f t="shared" si="63"/>
        <v>Knee Replacement PrimaryCCG of GP PracticeNHS CITY AND HACKNEY CCG (07T)Oxford Knee Score</v>
      </c>
      <c r="C4090" t="s">
        <v>249</v>
      </c>
      <c r="D4090" t="s">
        <v>87</v>
      </c>
      <c r="E4090" t="s">
        <v>740</v>
      </c>
      <c r="F4090" t="s">
        <v>741</v>
      </c>
      <c r="G4090" t="s">
        <v>16</v>
      </c>
      <c r="H4090">
        <v>49</v>
      </c>
      <c r="I4090">
        <v>19.734999999999999</v>
      </c>
      <c r="J4090">
        <v>28.245000000000001</v>
      </c>
      <c r="K4090">
        <v>8.51</v>
      </c>
      <c r="L4090">
        <v>39</v>
      </c>
      <c r="M4090">
        <v>0</v>
      </c>
      <c r="N4090">
        <v>10</v>
      </c>
      <c r="O4090">
        <v>31.152000000000001</v>
      </c>
      <c r="P4090">
        <v>11.86683195</v>
      </c>
      <c r="Q4090">
        <v>8.4190000000000005</v>
      </c>
    </row>
    <row r="4091" spans="1:17" x14ac:dyDescent="0.2">
      <c r="A4091" s="30" t="str">
        <f>IF(C4091&amp;G4091&amp;D4091&lt;&gt;'Funnel setup'!$K$3&amp;'Funnel setup'!$K$4&amp;'Funnel setup'!$K$5,".",IF(A4090=".",1,A4090+1))</f>
        <v>.</v>
      </c>
      <c r="B4091" s="431" t="str">
        <f t="shared" si="63"/>
        <v>Knee Replacement PrimaryCCG of GP PracticeNHS COASTAL WEST SUSSEX CCG (09G)Oxford Knee Score</v>
      </c>
      <c r="C4091" t="s">
        <v>249</v>
      </c>
      <c r="D4091" t="s">
        <v>87</v>
      </c>
      <c r="E4091" t="s">
        <v>743</v>
      </c>
      <c r="F4091" t="s">
        <v>744</v>
      </c>
      <c r="G4091" t="s">
        <v>16</v>
      </c>
      <c r="H4091">
        <v>429</v>
      </c>
      <c r="I4091">
        <v>18.907</v>
      </c>
      <c r="J4091">
        <v>35.557000000000002</v>
      </c>
      <c r="K4091">
        <v>16.649999999999999</v>
      </c>
      <c r="L4091">
        <v>396</v>
      </c>
      <c r="M4091">
        <v>8</v>
      </c>
      <c r="N4091">
        <v>25</v>
      </c>
      <c r="O4091">
        <v>35.256</v>
      </c>
      <c r="P4091">
        <v>15.97082174</v>
      </c>
      <c r="Q4091">
        <v>8.7309999999999999</v>
      </c>
    </row>
    <row r="4092" spans="1:17" x14ac:dyDescent="0.2">
      <c r="A4092" s="30" t="str">
        <f>IF(C4092&amp;G4092&amp;D4092&lt;&gt;'Funnel setup'!$K$3&amp;'Funnel setup'!$K$4&amp;'Funnel setup'!$K$5,".",IF(A4091=".",1,A4091+1))</f>
        <v>.</v>
      </c>
      <c r="B4092" s="431" t="str">
        <f t="shared" si="63"/>
        <v>Knee Replacement PrimaryCCG of GP PracticeNHS CORBY CCG (03V)Oxford Knee Score</v>
      </c>
      <c r="C4092" t="s">
        <v>249</v>
      </c>
      <c r="D4092" t="s">
        <v>87</v>
      </c>
      <c r="E4092" t="s">
        <v>746</v>
      </c>
      <c r="F4092" t="s">
        <v>747</v>
      </c>
      <c r="G4092" t="s">
        <v>16</v>
      </c>
      <c r="H4092">
        <v>36</v>
      </c>
      <c r="I4092">
        <v>15.417</v>
      </c>
      <c r="J4092">
        <v>33.5</v>
      </c>
      <c r="K4092">
        <v>18.082999999999998</v>
      </c>
      <c r="L4092">
        <v>36</v>
      </c>
      <c r="M4092">
        <v>0</v>
      </c>
      <c r="N4092">
        <v>0</v>
      </c>
      <c r="O4092">
        <v>36.073</v>
      </c>
      <c r="P4092">
        <v>16.78806325</v>
      </c>
      <c r="Q4092">
        <v>7.7489999999999997</v>
      </c>
    </row>
    <row r="4093" spans="1:17" x14ac:dyDescent="0.2">
      <c r="A4093" s="30" t="str">
        <f>IF(C4093&amp;G4093&amp;D4093&lt;&gt;'Funnel setup'!$K$3&amp;'Funnel setup'!$K$4&amp;'Funnel setup'!$K$5,".",IF(A4092=".",1,A4092+1))</f>
        <v>.</v>
      </c>
      <c r="B4093" s="431" t="str">
        <f t="shared" si="63"/>
        <v>Knee Replacement PrimaryCCG of GP PracticeNHS COVENTRY AND RUGBY CCG (05A)Oxford Knee Score</v>
      </c>
      <c r="C4093" t="s">
        <v>249</v>
      </c>
      <c r="D4093" t="s">
        <v>87</v>
      </c>
      <c r="E4093" t="s">
        <v>749</v>
      </c>
      <c r="F4093" t="s">
        <v>750</v>
      </c>
      <c r="G4093" t="s">
        <v>16</v>
      </c>
      <c r="H4093">
        <v>342</v>
      </c>
      <c r="I4093">
        <v>19.98</v>
      </c>
      <c r="J4093">
        <v>34.383000000000003</v>
      </c>
      <c r="K4093">
        <v>14.404</v>
      </c>
      <c r="L4093">
        <v>314</v>
      </c>
      <c r="M4093">
        <v>4</v>
      </c>
      <c r="N4093">
        <v>24</v>
      </c>
      <c r="O4093">
        <v>34.433</v>
      </c>
      <c r="P4093">
        <v>15.14739617</v>
      </c>
      <c r="Q4093">
        <v>8.83</v>
      </c>
    </row>
    <row r="4094" spans="1:17" x14ac:dyDescent="0.2">
      <c r="A4094" s="30" t="str">
        <f>IF(C4094&amp;G4094&amp;D4094&lt;&gt;'Funnel setup'!$K$3&amp;'Funnel setup'!$K$4&amp;'Funnel setup'!$K$5,".",IF(A4093=".",1,A4093+1))</f>
        <v>.</v>
      </c>
      <c r="B4094" s="431" t="str">
        <f t="shared" si="63"/>
        <v>Knee Replacement PrimaryCCG of GP PracticeNHS CRAWLEY CCG (09H)Oxford Knee Score</v>
      </c>
      <c r="C4094" t="s">
        <v>249</v>
      </c>
      <c r="D4094" t="s">
        <v>87</v>
      </c>
      <c r="E4094" t="s">
        <v>752</v>
      </c>
      <c r="F4094" t="s">
        <v>753</v>
      </c>
      <c r="G4094" t="s">
        <v>16</v>
      </c>
      <c r="H4094">
        <v>81</v>
      </c>
      <c r="I4094">
        <v>20.198</v>
      </c>
      <c r="J4094">
        <v>33.406999999999996</v>
      </c>
      <c r="K4094">
        <v>13.21</v>
      </c>
      <c r="L4094">
        <v>75</v>
      </c>
      <c r="M4094">
        <v>2</v>
      </c>
      <c r="N4094">
        <v>4</v>
      </c>
      <c r="O4094">
        <v>32.89</v>
      </c>
      <c r="P4094">
        <v>13.604709079999999</v>
      </c>
      <c r="Q4094">
        <v>8.0289999999999999</v>
      </c>
    </row>
    <row r="4095" spans="1:17" x14ac:dyDescent="0.2">
      <c r="A4095" s="30" t="str">
        <f>IF(C4095&amp;G4095&amp;D4095&lt;&gt;'Funnel setup'!$K$3&amp;'Funnel setup'!$K$4&amp;'Funnel setup'!$K$5,".",IF(A4094=".",1,A4094+1))</f>
        <v>.</v>
      </c>
      <c r="B4095" s="431" t="str">
        <f t="shared" si="63"/>
        <v>Knee Replacement PrimaryCCG of GP PracticeNHS CROYDON CCG (07V)Oxford Knee Score</v>
      </c>
      <c r="C4095" t="s">
        <v>249</v>
      </c>
      <c r="D4095" t="s">
        <v>87</v>
      </c>
      <c r="E4095" t="s">
        <v>755</v>
      </c>
      <c r="F4095" t="s">
        <v>756</v>
      </c>
      <c r="G4095" t="s">
        <v>16</v>
      </c>
      <c r="H4095">
        <v>126</v>
      </c>
      <c r="I4095">
        <v>19.302</v>
      </c>
      <c r="J4095">
        <v>33.048000000000002</v>
      </c>
      <c r="K4095">
        <v>13.746</v>
      </c>
      <c r="L4095">
        <v>117</v>
      </c>
      <c r="M4095">
        <v>0</v>
      </c>
      <c r="N4095">
        <v>9</v>
      </c>
      <c r="O4095">
        <v>33.540999999999997</v>
      </c>
      <c r="P4095">
        <v>14.25602456</v>
      </c>
      <c r="Q4095">
        <v>8.6479999999999997</v>
      </c>
    </row>
    <row r="4096" spans="1:17" x14ac:dyDescent="0.2">
      <c r="A4096" s="30" t="str">
        <f>IF(C4096&amp;G4096&amp;D4096&lt;&gt;'Funnel setup'!$K$3&amp;'Funnel setup'!$K$4&amp;'Funnel setup'!$K$5,".",IF(A4095=".",1,A4095+1))</f>
        <v>.</v>
      </c>
      <c r="B4096" s="431" t="str">
        <f t="shared" si="63"/>
        <v>Knee Replacement PrimaryCCG of GP PracticeNHS CUMBRIA CCG (01H)Oxford Knee Score</v>
      </c>
      <c r="C4096" t="s">
        <v>249</v>
      </c>
      <c r="D4096" t="s">
        <v>87</v>
      </c>
      <c r="E4096" t="s">
        <v>758</v>
      </c>
      <c r="F4096" t="s">
        <v>759</v>
      </c>
      <c r="G4096" t="s">
        <v>16</v>
      </c>
      <c r="H4096">
        <v>739</v>
      </c>
      <c r="I4096">
        <v>19.777999999999999</v>
      </c>
      <c r="J4096">
        <v>36.762999999999998</v>
      </c>
      <c r="K4096">
        <v>16.984999999999999</v>
      </c>
      <c r="L4096">
        <v>700</v>
      </c>
      <c r="M4096">
        <v>6</v>
      </c>
      <c r="N4096">
        <v>33</v>
      </c>
      <c r="O4096">
        <v>36.534999999999997</v>
      </c>
      <c r="P4096">
        <v>17.249819840000001</v>
      </c>
      <c r="Q4096">
        <v>8.0830000000000002</v>
      </c>
    </row>
    <row r="4097" spans="1:17" x14ac:dyDescent="0.2">
      <c r="A4097" s="30" t="str">
        <f>IF(C4097&amp;G4097&amp;D4097&lt;&gt;'Funnel setup'!$K$3&amp;'Funnel setup'!$K$4&amp;'Funnel setup'!$K$5,".",IF(A4096=".",1,A4096+1))</f>
        <v>.</v>
      </c>
      <c r="B4097" s="431" t="str">
        <f t="shared" si="63"/>
        <v>Knee Replacement PrimaryCCG of GP PracticeNHS DARLINGTON CCG (00C)Oxford Knee Score</v>
      </c>
      <c r="C4097" t="s">
        <v>249</v>
      </c>
      <c r="D4097" t="s">
        <v>87</v>
      </c>
      <c r="E4097" t="s">
        <v>761</v>
      </c>
      <c r="F4097" t="s">
        <v>762</v>
      </c>
      <c r="G4097" t="s">
        <v>16</v>
      </c>
      <c r="H4097">
        <v>80</v>
      </c>
      <c r="I4097">
        <v>19.600000000000001</v>
      </c>
      <c r="J4097">
        <v>35.225000000000001</v>
      </c>
      <c r="K4097">
        <v>15.625</v>
      </c>
      <c r="L4097">
        <v>76</v>
      </c>
      <c r="M4097">
        <v>0</v>
      </c>
      <c r="N4097">
        <v>4</v>
      </c>
      <c r="O4097">
        <v>35.520000000000003</v>
      </c>
      <c r="P4097">
        <v>16.234223610000001</v>
      </c>
      <c r="Q4097">
        <v>8.2759999999999998</v>
      </c>
    </row>
    <row r="4098" spans="1:17" x14ac:dyDescent="0.2">
      <c r="A4098" s="30" t="str">
        <f>IF(C4098&amp;G4098&amp;D4098&lt;&gt;'Funnel setup'!$K$3&amp;'Funnel setup'!$K$4&amp;'Funnel setup'!$K$5,".",IF(A4097=".",1,A4097+1))</f>
        <v>.</v>
      </c>
      <c r="B4098" s="431" t="str">
        <f t="shared" si="63"/>
        <v>Knee Replacement PrimaryCCG of GP PracticeNHS DARTFORD, GRAVESHAM AND SWANLEY CCG (09J)Oxford Knee Score</v>
      </c>
      <c r="C4098" t="s">
        <v>249</v>
      </c>
      <c r="D4098" t="s">
        <v>87</v>
      </c>
      <c r="E4098" t="s">
        <v>764</v>
      </c>
      <c r="F4098" t="s">
        <v>765</v>
      </c>
      <c r="G4098" t="s">
        <v>16</v>
      </c>
      <c r="H4098">
        <v>178</v>
      </c>
      <c r="I4098">
        <v>19.404</v>
      </c>
      <c r="J4098">
        <v>36.837000000000003</v>
      </c>
      <c r="K4098">
        <v>17.433</v>
      </c>
      <c r="L4098">
        <v>176</v>
      </c>
      <c r="M4098">
        <v>0</v>
      </c>
      <c r="N4098">
        <v>2</v>
      </c>
      <c r="O4098">
        <v>36.847000000000001</v>
      </c>
      <c r="P4098">
        <v>17.56170638</v>
      </c>
      <c r="Q4098">
        <v>7.4589999999999996</v>
      </c>
    </row>
    <row r="4099" spans="1:17" x14ac:dyDescent="0.2">
      <c r="A4099" s="30" t="str">
        <f>IF(C4099&amp;G4099&amp;D4099&lt;&gt;'Funnel setup'!$K$3&amp;'Funnel setup'!$K$4&amp;'Funnel setup'!$K$5,".",IF(A4098=".",1,A4098+1))</f>
        <v>.</v>
      </c>
      <c r="B4099" s="431" t="str">
        <f t="shared" ref="B4099:B4162" si="64">C4099&amp;D4099&amp;F4099&amp;G4099</f>
        <v>Knee Replacement PrimaryCCG of GP PracticeNHS DONCASTER CCG (02X)Oxford Knee Score</v>
      </c>
      <c r="C4099" t="s">
        <v>249</v>
      </c>
      <c r="D4099" t="s">
        <v>87</v>
      </c>
      <c r="E4099" t="s">
        <v>767</v>
      </c>
      <c r="F4099" t="s">
        <v>768</v>
      </c>
      <c r="G4099" t="s">
        <v>16</v>
      </c>
      <c r="H4099">
        <v>294</v>
      </c>
      <c r="I4099">
        <v>18.292999999999999</v>
      </c>
      <c r="J4099">
        <v>33.514000000000003</v>
      </c>
      <c r="K4099">
        <v>15.221</v>
      </c>
      <c r="L4099">
        <v>273</v>
      </c>
      <c r="M4099">
        <v>3</v>
      </c>
      <c r="N4099">
        <v>18</v>
      </c>
      <c r="O4099">
        <v>34.366999999999997</v>
      </c>
      <c r="P4099">
        <v>15.081845189999999</v>
      </c>
      <c r="Q4099">
        <v>9.2989999999999995</v>
      </c>
    </row>
    <row r="4100" spans="1:17" x14ac:dyDescent="0.2">
      <c r="A4100" s="30" t="str">
        <f>IF(C4100&amp;G4100&amp;D4100&lt;&gt;'Funnel setup'!$K$3&amp;'Funnel setup'!$K$4&amp;'Funnel setup'!$K$5,".",IF(A4099=".",1,A4099+1))</f>
        <v>.</v>
      </c>
      <c r="B4100" s="431" t="str">
        <f t="shared" si="64"/>
        <v>Knee Replacement PrimaryCCG of GP PracticeNHS DORSET CCG (11J)Oxford Knee Score</v>
      </c>
      <c r="C4100" t="s">
        <v>249</v>
      </c>
      <c r="D4100" t="s">
        <v>87</v>
      </c>
      <c r="E4100" t="s">
        <v>854</v>
      </c>
      <c r="F4100" t="s">
        <v>855</v>
      </c>
      <c r="G4100" t="s">
        <v>16</v>
      </c>
      <c r="H4100">
        <v>700</v>
      </c>
      <c r="I4100">
        <v>20.245999999999999</v>
      </c>
      <c r="J4100">
        <v>35.767000000000003</v>
      </c>
      <c r="K4100">
        <v>15.521000000000001</v>
      </c>
      <c r="L4100">
        <v>649</v>
      </c>
      <c r="M4100">
        <v>9</v>
      </c>
      <c r="N4100">
        <v>42</v>
      </c>
      <c r="O4100">
        <v>34.972000000000001</v>
      </c>
      <c r="P4100">
        <v>15.68654044</v>
      </c>
      <c r="Q4100">
        <v>8.5839999999999996</v>
      </c>
    </row>
    <row r="4101" spans="1:17" x14ac:dyDescent="0.2">
      <c r="A4101" s="30" t="str">
        <f>IF(C4101&amp;G4101&amp;D4101&lt;&gt;'Funnel setup'!$K$3&amp;'Funnel setup'!$K$4&amp;'Funnel setup'!$K$5,".",IF(A4100=".",1,A4100+1))</f>
        <v>.</v>
      </c>
      <c r="B4101" s="431" t="str">
        <f t="shared" si="64"/>
        <v>Knee Replacement PrimaryCCG of GP PracticeNHS DUDLEY CCG (05C)Oxford Knee Score</v>
      </c>
      <c r="C4101" t="s">
        <v>249</v>
      </c>
      <c r="D4101" t="s">
        <v>87</v>
      </c>
      <c r="E4101" t="s">
        <v>857</v>
      </c>
      <c r="F4101" t="s">
        <v>858</v>
      </c>
      <c r="G4101" t="s">
        <v>16</v>
      </c>
      <c r="H4101">
        <v>329</v>
      </c>
      <c r="I4101">
        <v>17.923999999999999</v>
      </c>
      <c r="J4101">
        <v>35.662999999999997</v>
      </c>
      <c r="K4101">
        <v>17.739000000000001</v>
      </c>
      <c r="L4101">
        <v>318</v>
      </c>
      <c r="M4101">
        <v>4</v>
      </c>
      <c r="N4101">
        <v>7</v>
      </c>
      <c r="O4101">
        <v>36.497</v>
      </c>
      <c r="P4101">
        <v>17.21120986</v>
      </c>
      <c r="Q4101">
        <v>8.298</v>
      </c>
    </row>
    <row r="4102" spans="1:17" x14ac:dyDescent="0.2">
      <c r="A4102" s="30" t="str">
        <f>IF(C4102&amp;G4102&amp;D4102&lt;&gt;'Funnel setup'!$K$3&amp;'Funnel setup'!$K$4&amp;'Funnel setup'!$K$5,".",IF(A4101=".",1,A4101+1))</f>
        <v>.</v>
      </c>
      <c r="B4102" s="431" t="str">
        <f t="shared" si="64"/>
        <v>Knee Replacement PrimaryCCG of GP PracticeNHS DURHAM DALES, EASINGTON AND SEDGEFIELD CCG (00D)Oxford Knee Score</v>
      </c>
      <c r="C4102" t="s">
        <v>249</v>
      </c>
      <c r="D4102" t="s">
        <v>87</v>
      </c>
      <c r="E4102" t="s">
        <v>860</v>
      </c>
      <c r="F4102" t="s">
        <v>861</v>
      </c>
      <c r="G4102" t="s">
        <v>16</v>
      </c>
      <c r="H4102">
        <v>289</v>
      </c>
      <c r="I4102">
        <v>17.931000000000001</v>
      </c>
      <c r="J4102">
        <v>33.975999999999999</v>
      </c>
      <c r="K4102">
        <v>16.045000000000002</v>
      </c>
      <c r="L4102">
        <v>271</v>
      </c>
      <c r="M4102">
        <v>2</v>
      </c>
      <c r="N4102">
        <v>16</v>
      </c>
      <c r="O4102">
        <v>35.621000000000002</v>
      </c>
      <c r="P4102">
        <v>16.335944690000002</v>
      </c>
      <c r="Q4102">
        <v>9.3439999999999994</v>
      </c>
    </row>
    <row r="4103" spans="1:17" x14ac:dyDescent="0.2">
      <c r="A4103" s="30" t="str">
        <f>IF(C4103&amp;G4103&amp;D4103&lt;&gt;'Funnel setup'!$K$3&amp;'Funnel setup'!$K$4&amp;'Funnel setup'!$K$5,".",IF(A4102=".",1,A4102+1))</f>
        <v>.</v>
      </c>
      <c r="B4103" s="431" t="str">
        <f t="shared" si="64"/>
        <v>Knee Replacement PrimaryCCG of GP PracticeNHS EALING CCG (07W)Oxford Knee Score</v>
      </c>
      <c r="C4103" t="s">
        <v>249</v>
      </c>
      <c r="D4103" t="s">
        <v>87</v>
      </c>
      <c r="E4103" t="s">
        <v>863</v>
      </c>
      <c r="F4103" t="s">
        <v>864</v>
      </c>
      <c r="G4103" t="s">
        <v>16</v>
      </c>
      <c r="H4103">
        <v>89</v>
      </c>
      <c r="I4103">
        <v>17.876000000000001</v>
      </c>
      <c r="J4103">
        <v>31.562000000000001</v>
      </c>
      <c r="K4103">
        <v>13.685</v>
      </c>
      <c r="L4103">
        <v>81</v>
      </c>
      <c r="M4103">
        <v>1</v>
      </c>
      <c r="N4103">
        <v>7</v>
      </c>
      <c r="O4103">
        <v>34.01</v>
      </c>
      <c r="P4103">
        <v>14.72495807</v>
      </c>
      <c r="Q4103">
        <v>8.9169999999999998</v>
      </c>
    </row>
    <row r="4104" spans="1:17" x14ac:dyDescent="0.2">
      <c r="A4104" s="30" t="str">
        <f>IF(C4104&amp;G4104&amp;D4104&lt;&gt;'Funnel setup'!$K$3&amp;'Funnel setup'!$K$4&amp;'Funnel setup'!$K$5,".",IF(A4103=".",1,A4103+1))</f>
        <v>.</v>
      </c>
      <c r="B4104" s="431" t="str">
        <f t="shared" si="64"/>
        <v>Knee Replacement PrimaryCCG of GP PracticeNHS EAST AND NORTH HERTFORDSHIRE CCG (06K)Oxford Knee Score</v>
      </c>
      <c r="C4104" t="s">
        <v>249</v>
      </c>
      <c r="D4104" t="s">
        <v>87</v>
      </c>
      <c r="E4104" t="s">
        <v>866</v>
      </c>
      <c r="F4104" t="s">
        <v>867</v>
      </c>
      <c r="G4104" t="s">
        <v>16</v>
      </c>
      <c r="H4104">
        <v>338</v>
      </c>
      <c r="I4104">
        <v>19.077000000000002</v>
      </c>
      <c r="J4104">
        <v>35.651000000000003</v>
      </c>
      <c r="K4104">
        <v>16.574000000000002</v>
      </c>
      <c r="L4104">
        <v>315</v>
      </c>
      <c r="M4104">
        <v>3</v>
      </c>
      <c r="N4104">
        <v>20</v>
      </c>
      <c r="O4104">
        <v>35.179000000000002</v>
      </c>
      <c r="P4104">
        <v>15.893852259999999</v>
      </c>
      <c r="Q4104">
        <v>8.7750000000000004</v>
      </c>
    </row>
    <row r="4105" spans="1:17" x14ac:dyDescent="0.2">
      <c r="A4105" s="30" t="str">
        <f>IF(C4105&amp;G4105&amp;D4105&lt;&gt;'Funnel setup'!$K$3&amp;'Funnel setup'!$K$4&amp;'Funnel setup'!$K$5,".",IF(A4104=".",1,A4104+1))</f>
        <v>.</v>
      </c>
      <c r="B4105" s="431" t="str">
        <f t="shared" si="64"/>
        <v>Knee Replacement PrimaryCCG of GP PracticeNHS EAST LANCASHIRE CCG (01A)Oxford Knee Score</v>
      </c>
      <c r="C4105" t="s">
        <v>249</v>
      </c>
      <c r="D4105" t="s">
        <v>87</v>
      </c>
      <c r="E4105" t="s">
        <v>869</v>
      </c>
      <c r="F4105" t="s">
        <v>870</v>
      </c>
      <c r="G4105" t="s">
        <v>16</v>
      </c>
      <c r="H4105">
        <v>214</v>
      </c>
      <c r="I4105">
        <v>18.620999999999999</v>
      </c>
      <c r="J4105">
        <v>36.491</v>
      </c>
      <c r="K4105">
        <v>17.869</v>
      </c>
      <c r="L4105">
        <v>207</v>
      </c>
      <c r="M4105">
        <v>1</v>
      </c>
      <c r="N4105">
        <v>6</v>
      </c>
      <c r="O4105">
        <v>37.24</v>
      </c>
      <c r="P4105">
        <v>17.954257550000001</v>
      </c>
      <c r="Q4105">
        <v>8.7040000000000006</v>
      </c>
    </row>
    <row r="4106" spans="1:17" x14ac:dyDescent="0.2">
      <c r="A4106" s="30" t="str">
        <f>IF(C4106&amp;G4106&amp;D4106&lt;&gt;'Funnel setup'!$K$3&amp;'Funnel setup'!$K$4&amp;'Funnel setup'!$K$5,".",IF(A4105=".",1,A4105+1))</f>
        <v>.</v>
      </c>
      <c r="B4106" s="431" t="str">
        <f t="shared" si="64"/>
        <v>Knee Replacement PrimaryCCG of GP PracticeNHS EAST LEICESTERSHIRE AND RUTLAND CCG (03W)Oxford Knee Score</v>
      </c>
      <c r="C4106" t="s">
        <v>249</v>
      </c>
      <c r="D4106" t="s">
        <v>87</v>
      </c>
      <c r="E4106" t="s">
        <v>872</v>
      </c>
      <c r="F4106" t="s">
        <v>873</v>
      </c>
      <c r="G4106" t="s">
        <v>16</v>
      </c>
      <c r="H4106">
        <v>376</v>
      </c>
      <c r="I4106">
        <v>18.425999999999998</v>
      </c>
      <c r="J4106">
        <v>35.218000000000004</v>
      </c>
      <c r="K4106">
        <v>16.792999999999999</v>
      </c>
      <c r="L4106">
        <v>356</v>
      </c>
      <c r="M4106">
        <v>5</v>
      </c>
      <c r="N4106">
        <v>15</v>
      </c>
      <c r="O4106">
        <v>35.14</v>
      </c>
      <c r="P4106">
        <v>15.854631810000001</v>
      </c>
      <c r="Q4106">
        <v>8.42</v>
      </c>
    </row>
    <row r="4107" spans="1:17" x14ac:dyDescent="0.2">
      <c r="A4107" s="30" t="str">
        <f>IF(C4107&amp;G4107&amp;D4107&lt;&gt;'Funnel setup'!$K$3&amp;'Funnel setup'!$K$4&amp;'Funnel setup'!$K$5,".",IF(A4106=".",1,A4106+1))</f>
        <v>.</v>
      </c>
      <c r="B4107" s="431" t="str">
        <f t="shared" si="64"/>
        <v>Knee Replacement PrimaryCCG of GP PracticeNHS EAST RIDING OF YORKSHIRE CCG (02Y)Oxford Knee Score</v>
      </c>
      <c r="C4107" t="s">
        <v>249</v>
      </c>
      <c r="D4107" t="s">
        <v>87</v>
      </c>
      <c r="E4107" t="s">
        <v>875</v>
      </c>
      <c r="F4107" t="s">
        <v>876</v>
      </c>
      <c r="G4107" t="s">
        <v>16</v>
      </c>
      <c r="H4107">
        <v>390</v>
      </c>
      <c r="I4107">
        <v>20.335999999999999</v>
      </c>
      <c r="J4107">
        <v>36.296999999999997</v>
      </c>
      <c r="K4107">
        <v>15.962</v>
      </c>
      <c r="L4107">
        <v>363</v>
      </c>
      <c r="M4107">
        <v>2</v>
      </c>
      <c r="N4107">
        <v>25</v>
      </c>
      <c r="O4107">
        <v>35.433999999999997</v>
      </c>
      <c r="P4107">
        <v>16.14877096</v>
      </c>
      <c r="Q4107">
        <v>7.9640000000000004</v>
      </c>
    </row>
    <row r="4108" spans="1:17" x14ac:dyDescent="0.2">
      <c r="A4108" s="30" t="str">
        <f>IF(C4108&amp;G4108&amp;D4108&lt;&gt;'Funnel setup'!$K$3&amp;'Funnel setup'!$K$4&amp;'Funnel setup'!$K$5,".",IF(A4107=".",1,A4107+1))</f>
        <v>.</v>
      </c>
      <c r="B4108" s="431" t="str">
        <f t="shared" si="64"/>
        <v>Knee Replacement PrimaryCCG of GP PracticeNHS EAST STAFFORDSHIRE CCG (05D)Oxford Knee Score</v>
      </c>
      <c r="C4108" t="s">
        <v>249</v>
      </c>
      <c r="D4108" t="s">
        <v>87</v>
      </c>
      <c r="E4108" t="s">
        <v>878</v>
      </c>
      <c r="F4108" t="s">
        <v>879</v>
      </c>
      <c r="G4108" t="s">
        <v>16</v>
      </c>
      <c r="H4108">
        <v>142</v>
      </c>
      <c r="I4108">
        <v>20.393999999999998</v>
      </c>
      <c r="J4108">
        <v>36.908000000000001</v>
      </c>
      <c r="K4108">
        <v>16.513999999999999</v>
      </c>
      <c r="L4108">
        <v>136</v>
      </c>
      <c r="M4108">
        <v>1</v>
      </c>
      <c r="N4108">
        <v>5</v>
      </c>
      <c r="O4108">
        <v>35.808999999999997</v>
      </c>
      <c r="P4108">
        <v>16.523867150000001</v>
      </c>
      <c r="Q4108">
        <v>7.66</v>
      </c>
    </row>
    <row r="4109" spans="1:17" x14ac:dyDescent="0.2">
      <c r="A4109" s="30" t="str">
        <f>IF(C4109&amp;G4109&amp;D4109&lt;&gt;'Funnel setup'!$K$3&amp;'Funnel setup'!$K$4&amp;'Funnel setup'!$K$5,".",IF(A4108=".",1,A4108+1))</f>
        <v>.</v>
      </c>
      <c r="B4109" s="431" t="str">
        <f t="shared" si="64"/>
        <v>Knee Replacement PrimaryCCG of GP PracticeNHS EAST SURREY CCG (09L)Oxford Knee Score</v>
      </c>
      <c r="C4109" t="s">
        <v>249</v>
      </c>
      <c r="D4109" t="s">
        <v>87</v>
      </c>
      <c r="E4109" t="s">
        <v>881</v>
      </c>
      <c r="F4109" t="s">
        <v>882</v>
      </c>
      <c r="G4109" t="s">
        <v>16</v>
      </c>
      <c r="H4109">
        <v>128</v>
      </c>
      <c r="I4109">
        <v>19.515999999999998</v>
      </c>
      <c r="J4109">
        <v>35.078000000000003</v>
      </c>
      <c r="K4109">
        <v>15.563000000000001</v>
      </c>
      <c r="L4109">
        <v>117</v>
      </c>
      <c r="M4109">
        <v>4</v>
      </c>
      <c r="N4109">
        <v>7</v>
      </c>
      <c r="O4109">
        <v>34.588999999999999</v>
      </c>
      <c r="P4109">
        <v>15.30383232</v>
      </c>
      <c r="Q4109">
        <v>8.2959999999999994</v>
      </c>
    </row>
    <row r="4110" spans="1:17" x14ac:dyDescent="0.2">
      <c r="A4110" s="30" t="str">
        <f>IF(C4110&amp;G4110&amp;D4110&lt;&gt;'Funnel setup'!$K$3&amp;'Funnel setup'!$K$4&amp;'Funnel setup'!$K$5,".",IF(A4109=".",1,A4109+1))</f>
        <v>.</v>
      </c>
      <c r="B4110" s="431" t="str">
        <f t="shared" si="64"/>
        <v>Knee Replacement PrimaryCCG of GP PracticeNHS EASTBOURNE, HAILSHAM AND SEAFORD CCG (09F)Oxford Knee Score</v>
      </c>
      <c r="C4110" t="s">
        <v>249</v>
      </c>
      <c r="D4110" t="s">
        <v>87</v>
      </c>
      <c r="E4110" t="s">
        <v>884</v>
      </c>
      <c r="F4110" t="s">
        <v>885</v>
      </c>
      <c r="G4110" t="s">
        <v>16</v>
      </c>
      <c r="H4110">
        <v>326</v>
      </c>
      <c r="I4110">
        <v>21.472000000000001</v>
      </c>
      <c r="J4110">
        <v>36.65</v>
      </c>
      <c r="K4110">
        <v>15.178000000000001</v>
      </c>
      <c r="L4110">
        <v>300</v>
      </c>
      <c r="M4110">
        <v>3</v>
      </c>
      <c r="N4110">
        <v>23</v>
      </c>
      <c r="O4110">
        <v>35.478999999999999</v>
      </c>
      <c r="P4110">
        <v>16.193699039999998</v>
      </c>
      <c r="Q4110">
        <v>8.0589999999999993</v>
      </c>
    </row>
    <row r="4111" spans="1:17" x14ac:dyDescent="0.2">
      <c r="A4111" s="30" t="str">
        <f>IF(C4111&amp;G4111&amp;D4111&lt;&gt;'Funnel setup'!$K$3&amp;'Funnel setup'!$K$4&amp;'Funnel setup'!$K$5,".",IF(A4110=".",1,A4110+1))</f>
        <v>.</v>
      </c>
      <c r="B4111" s="431" t="str">
        <f t="shared" si="64"/>
        <v>Knee Replacement PrimaryCCG of GP PracticeNHS EASTERN CHESHIRE CCG (01C)Oxford Knee Score</v>
      </c>
      <c r="C4111" t="s">
        <v>249</v>
      </c>
      <c r="D4111" t="s">
        <v>87</v>
      </c>
      <c r="E4111" t="s">
        <v>887</v>
      </c>
      <c r="F4111" t="s">
        <v>888</v>
      </c>
      <c r="G4111" t="s">
        <v>16</v>
      </c>
      <c r="H4111">
        <v>134</v>
      </c>
      <c r="I4111">
        <v>19.678999999999998</v>
      </c>
      <c r="J4111">
        <v>37.887999999999998</v>
      </c>
      <c r="K4111">
        <v>18.209</v>
      </c>
      <c r="L4111">
        <v>130</v>
      </c>
      <c r="M4111">
        <v>0</v>
      </c>
      <c r="N4111">
        <v>4</v>
      </c>
      <c r="O4111">
        <v>36.51</v>
      </c>
      <c r="P4111">
        <v>17.224831890000001</v>
      </c>
      <c r="Q4111">
        <v>8.3539999999999992</v>
      </c>
    </row>
    <row r="4112" spans="1:17" x14ac:dyDescent="0.2">
      <c r="A4112" s="30" t="str">
        <f>IF(C4112&amp;G4112&amp;D4112&lt;&gt;'Funnel setup'!$K$3&amp;'Funnel setup'!$K$4&amp;'Funnel setup'!$K$5,".",IF(A4111=".",1,A4111+1))</f>
        <v>.</v>
      </c>
      <c r="B4112" s="431" t="str">
        <f t="shared" si="64"/>
        <v>Knee Replacement PrimaryCCG of GP PracticeNHS ENFIELD CCG (07X)Oxford Knee Score</v>
      </c>
      <c r="C4112" t="s">
        <v>249</v>
      </c>
      <c r="D4112" t="s">
        <v>87</v>
      </c>
      <c r="E4112" t="s">
        <v>890</v>
      </c>
      <c r="F4112" t="s">
        <v>891</v>
      </c>
      <c r="G4112" t="s">
        <v>16</v>
      </c>
      <c r="H4112">
        <v>114</v>
      </c>
      <c r="I4112">
        <v>17.271999999999998</v>
      </c>
      <c r="J4112">
        <v>33.228000000000002</v>
      </c>
      <c r="K4112">
        <v>15.956</v>
      </c>
      <c r="L4112">
        <v>108</v>
      </c>
      <c r="M4112">
        <v>1</v>
      </c>
      <c r="N4112">
        <v>5</v>
      </c>
      <c r="O4112">
        <v>34.716000000000001</v>
      </c>
      <c r="P4112">
        <v>15.430779019999999</v>
      </c>
      <c r="Q4112">
        <v>9.0150000000000006</v>
      </c>
    </row>
    <row r="4113" spans="1:17" x14ac:dyDescent="0.2">
      <c r="A4113" s="30" t="str">
        <f>IF(C4113&amp;G4113&amp;D4113&lt;&gt;'Funnel setup'!$K$3&amp;'Funnel setup'!$K$4&amp;'Funnel setup'!$K$5,".",IF(A4112=".",1,A4112+1))</f>
        <v>.</v>
      </c>
      <c r="B4113" s="431" t="str">
        <f t="shared" si="64"/>
        <v>Knee Replacement PrimaryCCG of GP PracticeNHS EREWASH CCG (03X)Oxford Knee Score</v>
      </c>
      <c r="C4113" t="s">
        <v>249</v>
      </c>
      <c r="D4113" t="s">
        <v>87</v>
      </c>
      <c r="E4113" t="s">
        <v>893</v>
      </c>
      <c r="F4113" t="s">
        <v>894</v>
      </c>
      <c r="G4113" t="s">
        <v>16</v>
      </c>
      <c r="H4113">
        <v>134</v>
      </c>
      <c r="I4113">
        <v>20.41</v>
      </c>
      <c r="J4113">
        <v>36.612000000000002</v>
      </c>
      <c r="K4113">
        <v>16.201000000000001</v>
      </c>
      <c r="L4113">
        <v>130</v>
      </c>
      <c r="M4113">
        <v>0</v>
      </c>
      <c r="N4113">
        <v>4</v>
      </c>
      <c r="O4113">
        <v>35.927</v>
      </c>
      <c r="P4113">
        <v>16.641470819999999</v>
      </c>
      <c r="Q4113">
        <v>8.3989999999999991</v>
      </c>
    </row>
    <row r="4114" spans="1:17" x14ac:dyDescent="0.2">
      <c r="A4114" s="30" t="str">
        <f>IF(C4114&amp;G4114&amp;D4114&lt;&gt;'Funnel setup'!$K$3&amp;'Funnel setup'!$K$4&amp;'Funnel setup'!$K$5,".",IF(A4113=".",1,A4113+1))</f>
        <v>.</v>
      </c>
      <c r="B4114" s="431" t="str">
        <f t="shared" si="64"/>
        <v>Knee Replacement PrimaryCCG of GP PracticeNHS FAREHAM AND GOSPORT CCG (10K)Oxford Knee Score</v>
      </c>
      <c r="C4114" t="s">
        <v>249</v>
      </c>
      <c r="D4114" t="s">
        <v>87</v>
      </c>
      <c r="E4114" t="s">
        <v>896</v>
      </c>
      <c r="F4114" t="s">
        <v>897</v>
      </c>
      <c r="G4114" t="s">
        <v>16</v>
      </c>
      <c r="H4114">
        <v>103</v>
      </c>
      <c r="I4114">
        <v>19.155000000000001</v>
      </c>
      <c r="J4114">
        <v>36.981000000000002</v>
      </c>
      <c r="K4114">
        <v>17.824999999999999</v>
      </c>
      <c r="L4114">
        <v>100</v>
      </c>
      <c r="M4114">
        <v>0</v>
      </c>
      <c r="N4114">
        <v>3</v>
      </c>
      <c r="O4114">
        <v>36.173000000000002</v>
      </c>
      <c r="P4114">
        <v>16.88808152</v>
      </c>
      <c r="Q4114">
        <v>7.1689999999999996</v>
      </c>
    </row>
    <row r="4115" spans="1:17" x14ac:dyDescent="0.2">
      <c r="A4115" s="30" t="str">
        <f>IF(C4115&amp;G4115&amp;D4115&lt;&gt;'Funnel setup'!$K$3&amp;'Funnel setup'!$K$4&amp;'Funnel setup'!$K$5,".",IF(A4114=".",1,A4114+1))</f>
        <v>.</v>
      </c>
      <c r="B4115" s="431" t="str">
        <f t="shared" si="64"/>
        <v>Knee Replacement PrimaryCCG of GP PracticeNHS FYLDE &amp; WYRE CCG (02M)Oxford Knee Score</v>
      </c>
      <c r="C4115" t="s">
        <v>249</v>
      </c>
      <c r="D4115" t="s">
        <v>87</v>
      </c>
      <c r="E4115" t="s">
        <v>899</v>
      </c>
      <c r="F4115" t="s">
        <v>900</v>
      </c>
      <c r="G4115" t="s">
        <v>16</v>
      </c>
      <c r="H4115">
        <v>77</v>
      </c>
      <c r="I4115">
        <v>19.416</v>
      </c>
      <c r="J4115">
        <v>34.377000000000002</v>
      </c>
      <c r="K4115">
        <v>14.961</v>
      </c>
      <c r="L4115">
        <v>67</v>
      </c>
      <c r="M4115">
        <v>0</v>
      </c>
      <c r="N4115">
        <v>10</v>
      </c>
      <c r="O4115">
        <v>34.186999999999998</v>
      </c>
      <c r="P4115">
        <v>14.90171366</v>
      </c>
      <c r="Q4115">
        <v>9.7590000000000003</v>
      </c>
    </row>
    <row r="4116" spans="1:17" x14ac:dyDescent="0.2">
      <c r="A4116" s="30" t="str">
        <f>IF(C4116&amp;G4116&amp;D4116&lt;&gt;'Funnel setup'!$K$3&amp;'Funnel setup'!$K$4&amp;'Funnel setup'!$K$5,".",IF(A4115=".",1,A4115+1))</f>
        <v>.</v>
      </c>
      <c r="B4116" s="431" t="str">
        <f t="shared" si="64"/>
        <v>Knee Replacement PrimaryCCG of GP PracticeNHS GLOUCESTERSHIRE CCG (11M)Oxford Knee Score</v>
      </c>
      <c r="C4116" t="s">
        <v>249</v>
      </c>
      <c r="D4116" t="s">
        <v>87</v>
      </c>
      <c r="E4116" t="s">
        <v>902</v>
      </c>
      <c r="F4116" t="s">
        <v>903</v>
      </c>
      <c r="G4116" t="s">
        <v>16</v>
      </c>
      <c r="H4116">
        <v>447</v>
      </c>
      <c r="I4116">
        <v>21.3</v>
      </c>
      <c r="J4116">
        <v>37.488</v>
      </c>
      <c r="K4116">
        <v>16.187999999999999</v>
      </c>
      <c r="L4116">
        <v>430</v>
      </c>
      <c r="M4116">
        <v>5</v>
      </c>
      <c r="N4116">
        <v>12</v>
      </c>
      <c r="O4116">
        <v>35.831000000000003</v>
      </c>
      <c r="P4116">
        <v>16.545455919999998</v>
      </c>
      <c r="Q4116">
        <v>7.2519999999999998</v>
      </c>
    </row>
    <row r="4117" spans="1:17" x14ac:dyDescent="0.2">
      <c r="A4117" s="30" t="str">
        <f>IF(C4117&amp;G4117&amp;D4117&lt;&gt;'Funnel setup'!$K$3&amp;'Funnel setup'!$K$4&amp;'Funnel setup'!$K$5,".",IF(A4116=".",1,A4116+1))</f>
        <v>.</v>
      </c>
      <c r="B4117" s="431" t="str">
        <f t="shared" si="64"/>
        <v>Knee Replacement PrimaryCCG of GP PracticeNHS GREAT YARMOUTH AND WAVENEY CCG (06M)Oxford Knee Score</v>
      </c>
      <c r="C4117" t="s">
        <v>249</v>
      </c>
      <c r="D4117" t="s">
        <v>87</v>
      </c>
      <c r="E4117" t="s">
        <v>905</v>
      </c>
      <c r="F4117" t="s">
        <v>906</v>
      </c>
      <c r="G4117" t="s">
        <v>16</v>
      </c>
      <c r="H4117">
        <v>199</v>
      </c>
      <c r="I4117">
        <v>19.542999999999999</v>
      </c>
      <c r="J4117">
        <v>35.417000000000002</v>
      </c>
      <c r="K4117">
        <v>15.874000000000001</v>
      </c>
      <c r="L4117">
        <v>186</v>
      </c>
      <c r="M4117">
        <v>7</v>
      </c>
      <c r="N4117">
        <v>6</v>
      </c>
      <c r="O4117">
        <v>35.402999999999999</v>
      </c>
      <c r="P4117">
        <v>16.117877799999999</v>
      </c>
      <c r="Q4117">
        <v>8.2579999999999991</v>
      </c>
    </row>
    <row r="4118" spans="1:17" x14ac:dyDescent="0.2">
      <c r="A4118" s="30" t="str">
        <f>IF(C4118&amp;G4118&amp;D4118&lt;&gt;'Funnel setup'!$K$3&amp;'Funnel setup'!$K$4&amp;'Funnel setup'!$K$5,".",IF(A4117=".",1,A4117+1))</f>
        <v>.</v>
      </c>
      <c r="B4118" s="431" t="str">
        <f t="shared" si="64"/>
        <v>Knee Replacement PrimaryCCG of GP PracticeNHS GREATER HUDDERSFIELD CCG (03A)Oxford Knee Score</v>
      </c>
      <c r="C4118" t="s">
        <v>249</v>
      </c>
      <c r="D4118" t="s">
        <v>87</v>
      </c>
      <c r="E4118" t="s">
        <v>908</v>
      </c>
      <c r="F4118" t="s">
        <v>909</v>
      </c>
      <c r="G4118" t="s">
        <v>16</v>
      </c>
      <c r="H4118">
        <v>189</v>
      </c>
      <c r="I4118">
        <v>20.106000000000002</v>
      </c>
      <c r="J4118">
        <v>35.450000000000003</v>
      </c>
      <c r="K4118">
        <v>15.343999999999999</v>
      </c>
      <c r="L4118">
        <v>180</v>
      </c>
      <c r="M4118">
        <v>0</v>
      </c>
      <c r="N4118">
        <v>9</v>
      </c>
      <c r="O4118">
        <v>35.04</v>
      </c>
      <c r="P4118">
        <v>15.754846819999999</v>
      </c>
      <c r="Q4118">
        <v>8.17</v>
      </c>
    </row>
    <row r="4119" spans="1:17" x14ac:dyDescent="0.2">
      <c r="A4119" s="30" t="str">
        <f>IF(C4119&amp;G4119&amp;D4119&lt;&gt;'Funnel setup'!$K$3&amp;'Funnel setup'!$K$4&amp;'Funnel setup'!$K$5,".",IF(A4118=".",1,A4118+1))</f>
        <v>.</v>
      </c>
      <c r="B4119" s="431" t="str">
        <f t="shared" si="64"/>
        <v>Knee Replacement PrimaryCCG of GP PracticeNHS GREATER PRESTON CCG (01E)Oxford Knee Score</v>
      </c>
      <c r="C4119" t="s">
        <v>249</v>
      </c>
      <c r="D4119" t="s">
        <v>87</v>
      </c>
      <c r="E4119" t="s">
        <v>486</v>
      </c>
      <c r="F4119" t="s">
        <v>487</v>
      </c>
      <c r="G4119" t="s">
        <v>16</v>
      </c>
      <c r="H4119">
        <v>250</v>
      </c>
      <c r="I4119">
        <v>19.84</v>
      </c>
      <c r="J4119">
        <v>35.552</v>
      </c>
      <c r="K4119">
        <v>15.712</v>
      </c>
      <c r="L4119">
        <v>235</v>
      </c>
      <c r="M4119">
        <v>2</v>
      </c>
      <c r="N4119">
        <v>13</v>
      </c>
      <c r="O4119">
        <v>35.360999999999997</v>
      </c>
      <c r="P4119">
        <v>16.07566212</v>
      </c>
      <c r="Q4119">
        <v>8.1739999999999995</v>
      </c>
    </row>
    <row r="4120" spans="1:17" x14ac:dyDescent="0.2">
      <c r="A4120" s="30" t="str">
        <f>IF(C4120&amp;G4120&amp;D4120&lt;&gt;'Funnel setup'!$K$3&amp;'Funnel setup'!$K$4&amp;'Funnel setup'!$K$5,".",IF(A4119=".",1,A4119+1))</f>
        <v>.</v>
      </c>
      <c r="B4120" s="431" t="str">
        <f t="shared" si="64"/>
        <v>Knee Replacement PrimaryCCG of GP PracticeNHS GREENWICH CCG (08A)Oxford Knee Score</v>
      </c>
      <c r="C4120" t="s">
        <v>249</v>
      </c>
      <c r="D4120" t="s">
        <v>87</v>
      </c>
      <c r="E4120" t="s">
        <v>489</v>
      </c>
      <c r="F4120" t="s">
        <v>490</v>
      </c>
      <c r="G4120" t="s">
        <v>16</v>
      </c>
      <c r="H4120">
        <v>69</v>
      </c>
      <c r="I4120">
        <v>18.594000000000001</v>
      </c>
      <c r="J4120">
        <v>33.116</v>
      </c>
      <c r="K4120">
        <v>14.522</v>
      </c>
      <c r="L4120">
        <v>64</v>
      </c>
      <c r="M4120">
        <v>0</v>
      </c>
      <c r="N4120">
        <v>5</v>
      </c>
      <c r="O4120">
        <v>34.229999999999997</v>
      </c>
      <c r="P4120">
        <v>14.9446078</v>
      </c>
      <c r="Q4120">
        <v>9.6669999999999998</v>
      </c>
    </row>
    <row r="4121" spans="1:17" x14ac:dyDescent="0.2">
      <c r="A4121" s="30" t="str">
        <f>IF(C4121&amp;G4121&amp;D4121&lt;&gt;'Funnel setup'!$K$3&amp;'Funnel setup'!$K$4&amp;'Funnel setup'!$K$5,".",IF(A4120=".",1,A4120+1))</f>
        <v>.</v>
      </c>
      <c r="B4121" s="431" t="str">
        <f t="shared" si="64"/>
        <v>Knee Replacement PrimaryCCG of GP PracticeNHS GUILDFORD AND WAVERLEY CCG (09N)Oxford Knee Score</v>
      </c>
      <c r="C4121" t="s">
        <v>249</v>
      </c>
      <c r="D4121" t="s">
        <v>87</v>
      </c>
      <c r="E4121" t="s">
        <v>911</v>
      </c>
      <c r="F4121" t="s">
        <v>912</v>
      </c>
      <c r="G4121" t="s">
        <v>16</v>
      </c>
      <c r="H4121">
        <v>103</v>
      </c>
      <c r="I4121">
        <v>21.068000000000001</v>
      </c>
      <c r="J4121">
        <v>37.67</v>
      </c>
      <c r="K4121">
        <v>16.602</v>
      </c>
      <c r="L4121">
        <v>97</v>
      </c>
      <c r="M4121">
        <v>1</v>
      </c>
      <c r="N4121">
        <v>5</v>
      </c>
      <c r="O4121">
        <v>35.979999999999997</v>
      </c>
      <c r="P4121">
        <v>16.6950611</v>
      </c>
      <c r="Q4121">
        <v>7.5</v>
      </c>
    </row>
    <row r="4122" spans="1:17" x14ac:dyDescent="0.2">
      <c r="A4122" s="30" t="str">
        <f>IF(C4122&amp;G4122&amp;D4122&lt;&gt;'Funnel setup'!$K$3&amp;'Funnel setup'!$K$4&amp;'Funnel setup'!$K$5,".",IF(A4121=".",1,A4121+1))</f>
        <v>.</v>
      </c>
      <c r="B4122" s="431" t="str">
        <f t="shared" si="64"/>
        <v>Knee Replacement PrimaryCCG of GP PracticeNHS HALTON CCG (01F)Oxford Knee Score</v>
      </c>
      <c r="C4122" t="s">
        <v>249</v>
      </c>
      <c r="D4122" t="s">
        <v>87</v>
      </c>
      <c r="E4122" t="s">
        <v>914</v>
      </c>
      <c r="F4122" t="s">
        <v>915</v>
      </c>
      <c r="G4122" t="s">
        <v>16</v>
      </c>
      <c r="H4122">
        <v>88</v>
      </c>
      <c r="I4122">
        <v>17.260999999999999</v>
      </c>
      <c r="J4122">
        <v>34.601999999999997</v>
      </c>
      <c r="K4122">
        <v>17.341000000000001</v>
      </c>
      <c r="L4122">
        <v>82</v>
      </c>
      <c r="M4122">
        <v>2</v>
      </c>
      <c r="N4122">
        <v>4</v>
      </c>
      <c r="O4122">
        <v>36.264000000000003</v>
      </c>
      <c r="P4122">
        <v>16.97836964</v>
      </c>
      <c r="Q4122">
        <v>8.6790000000000003</v>
      </c>
    </row>
    <row r="4123" spans="1:17" x14ac:dyDescent="0.2">
      <c r="A4123" s="30" t="str">
        <f>IF(C4123&amp;G4123&amp;D4123&lt;&gt;'Funnel setup'!$K$3&amp;'Funnel setup'!$K$4&amp;'Funnel setup'!$K$5,".",IF(A4122=".",1,A4122+1))</f>
        <v>.</v>
      </c>
      <c r="B4123" s="431" t="str">
        <f t="shared" si="64"/>
        <v>Knee Replacement PrimaryCCG of GP PracticeNHS HAMBLETON, RICHMONDSHIRE AND WHITBY CCG (03D)Oxford Knee Score</v>
      </c>
      <c r="C4123" t="s">
        <v>249</v>
      </c>
      <c r="D4123" t="s">
        <v>87</v>
      </c>
      <c r="E4123" t="s">
        <v>917</v>
      </c>
      <c r="F4123" t="s">
        <v>918</v>
      </c>
      <c r="G4123" t="s">
        <v>16</v>
      </c>
      <c r="H4123">
        <v>226</v>
      </c>
      <c r="I4123">
        <v>19.888999999999999</v>
      </c>
      <c r="J4123">
        <v>36.92</v>
      </c>
      <c r="K4123">
        <v>17.030999999999999</v>
      </c>
      <c r="L4123">
        <v>217</v>
      </c>
      <c r="M4123">
        <v>3</v>
      </c>
      <c r="N4123">
        <v>6</v>
      </c>
      <c r="O4123">
        <v>36.344000000000001</v>
      </c>
      <c r="P4123">
        <v>17.058671759999999</v>
      </c>
      <c r="Q4123">
        <v>7.8650000000000002</v>
      </c>
    </row>
    <row r="4124" spans="1:17" x14ac:dyDescent="0.2">
      <c r="A4124" s="30" t="str">
        <f>IF(C4124&amp;G4124&amp;D4124&lt;&gt;'Funnel setup'!$K$3&amp;'Funnel setup'!$K$4&amp;'Funnel setup'!$K$5,".",IF(A4123=".",1,A4123+1))</f>
        <v>.</v>
      </c>
      <c r="B4124" s="431" t="str">
        <f t="shared" si="64"/>
        <v>Knee Replacement PrimaryCCG of GP PracticeNHS HAMMERSMITH AND FULHAM CCG (08C)Oxford Knee Score</v>
      </c>
      <c r="C4124" t="s">
        <v>249</v>
      </c>
      <c r="D4124" t="s">
        <v>87</v>
      </c>
      <c r="E4124" t="s">
        <v>920</v>
      </c>
      <c r="F4124" t="s">
        <v>921</v>
      </c>
      <c r="G4124" t="s">
        <v>16</v>
      </c>
      <c r="H4124">
        <v>22</v>
      </c>
      <c r="I4124">
        <v>16.454999999999998</v>
      </c>
      <c r="J4124">
        <v>29.545000000000002</v>
      </c>
      <c r="K4124">
        <v>13.090999999999999</v>
      </c>
      <c r="L4124">
        <v>20</v>
      </c>
      <c r="M4124">
        <v>0</v>
      </c>
      <c r="N4124">
        <v>2</v>
      </c>
      <c r="O4124" t="s">
        <v>53</v>
      </c>
      <c r="P4124" t="s">
        <v>53</v>
      </c>
      <c r="Q4124" t="s">
        <v>53</v>
      </c>
    </row>
    <row r="4125" spans="1:17" x14ac:dyDescent="0.2">
      <c r="A4125" s="30" t="str">
        <f>IF(C4125&amp;G4125&amp;D4125&lt;&gt;'Funnel setup'!$K$3&amp;'Funnel setup'!$K$4&amp;'Funnel setup'!$K$5,".",IF(A4124=".",1,A4124+1))</f>
        <v>.</v>
      </c>
      <c r="B4125" s="431" t="str">
        <f t="shared" si="64"/>
        <v>Knee Replacement PrimaryCCG of GP PracticeNHS HARDWICK CCG (03Y)Oxford Knee Score</v>
      </c>
      <c r="C4125" t="s">
        <v>249</v>
      </c>
      <c r="D4125" t="s">
        <v>87</v>
      </c>
      <c r="E4125" t="s">
        <v>923</v>
      </c>
      <c r="F4125" t="s">
        <v>924</v>
      </c>
      <c r="G4125" t="s">
        <v>16</v>
      </c>
      <c r="H4125">
        <v>140</v>
      </c>
      <c r="I4125">
        <v>16.907</v>
      </c>
      <c r="J4125">
        <v>32.936</v>
      </c>
      <c r="K4125">
        <v>16.029</v>
      </c>
      <c r="L4125">
        <v>129</v>
      </c>
      <c r="M4125">
        <v>1</v>
      </c>
      <c r="N4125">
        <v>10</v>
      </c>
      <c r="O4125">
        <v>34.795999999999999</v>
      </c>
      <c r="P4125">
        <v>15.51090473</v>
      </c>
      <c r="Q4125">
        <v>9.3650000000000002</v>
      </c>
    </row>
    <row r="4126" spans="1:17" x14ac:dyDescent="0.2">
      <c r="A4126" s="30" t="str">
        <f>IF(C4126&amp;G4126&amp;D4126&lt;&gt;'Funnel setup'!$K$3&amp;'Funnel setup'!$K$4&amp;'Funnel setup'!$K$5,".",IF(A4125=".",1,A4125+1))</f>
        <v>.</v>
      </c>
      <c r="B4126" s="431" t="str">
        <f t="shared" si="64"/>
        <v>Knee Replacement PrimaryCCG of GP PracticeNHS HARINGEY CCG (08D)Oxford Knee Score</v>
      </c>
      <c r="C4126" t="s">
        <v>249</v>
      </c>
      <c r="D4126" t="s">
        <v>87</v>
      </c>
      <c r="E4126" t="s">
        <v>926</v>
      </c>
      <c r="F4126" t="s">
        <v>927</v>
      </c>
      <c r="G4126" t="s">
        <v>16</v>
      </c>
      <c r="H4126">
        <v>29</v>
      </c>
      <c r="I4126">
        <v>14.792999999999999</v>
      </c>
      <c r="J4126">
        <v>28.138000000000002</v>
      </c>
      <c r="K4126">
        <v>13.345000000000001</v>
      </c>
      <c r="L4126">
        <v>26</v>
      </c>
      <c r="M4126">
        <v>1</v>
      </c>
      <c r="N4126">
        <v>2</v>
      </c>
      <c r="O4126" t="s">
        <v>53</v>
      </c>
      <c r="P4126" t="s">
        <v>53</v>
      </c>
      <c r="Q4126" t="s">
        <v>53</v>
      </c>
    </row>
    <row r="4127" spans="1:17" x14ac:dyDescent="0.2">
      <c r="A4127" s="30" t="str">
        <f>IF(C4127&amp;G4127&amp;D4127&lt;&gt;'Funnel setup'!$K$3&amp;'Funnel setup'!$K$4&amp;'Funnel setup'!$K$5,".",IF(A4126=".",1,A4126+1))</f>
        <v>.</v>
      </c>
      <c r="B4127" s="431" t="str">
        <f t="shared" si="64"/>
        <v>Knee Replacement PrimaryCCG of GP PracticeNHS HARROGATE AND RURAL DISTRICT CCG (03E)Oxford Knee Score</v>
      </c>
      <c r="C4127" t="s">
        <v>249</v>
      </c>
      <c r="D4127" t="s">
        <v>87</v>
      </c>
      <c r="E4127" t="s">
        <v>929</v>
      </c>
      <c r="F4127" t="s">
        <v>930</v>
      </c>
      <c r="G4127" t="s">
        <v>16</v>
      </c>
      <c r="H4127">
        <v>150</v>
      </c>
      <c r="I4127">
        <v>21.32</v>
      </c>
      <c r="J4127">
        <v>38.56</v>
      </c>
      <c r="K4127">
        <v>17.239999999999998</v>
      </c>
      <c r="L4127">
        <v>145</v>
      </c>
      <c r="M4127">
        <v>0</v>
      </c>
      <c r="N4127">
        <v>5</v>
      </c>
      <c r="O4127">
        <v>36.97</v>
      </c>
      <c r="P4127">
        <v>17.68505691</v>
      </c>
      <c r="Q4127">
        <v>7.5490000000000004</v>
      </c>
    </row>
    <row r="4128" spans="1:17" x14ac:dyDescent="0.2">
      <c r="A4128" s="30" t="str">
        <f>IF(C4128&amp;G4128&amp;D4128&lt;&gt;'Funnel setup'!$K$3&amp;'Funnel setup'!$K$4&amp;'Funnel setup'!$K$5,".",IF(A4127=".",1,A4127+1))</f>
        <v>.</v>
      </c>
      <c r="B4128" s="431" t="str">
        <f t="shared" si="64"/>
        <v>Knee Replacement PrimaryCCG of GP PracticeNHS HARROW CCG (08E)Oxford Knee Score</v>
      </c>
      <c r="C4128" t="s">
        <v>249</v>
      </c>
      <c r="D4128" t="s">
        <v>87</v>
      </c>
      <c r="E4128" t="s">
        <v>492</v>
      </c>
      <c r="F4128" t="s">
        <v>493</v>
      </c>
      <c r="G4128" t="s">
        <v>16</v>
      </c>
      <c r="H4128">
        <v>133</v>
      </c>
      <c r="I4128">
        <v>18.789000000000001</v>
      </c>
      <c r="J4128">
        <v>31.887</v>
      </c>
      <c r="K4128">
        <v>13.098000000000001</v>
      </c>
      <c r="L4128">
        <v>121</v>
      </c>
      <c r="M4128">
        <v>3</v>
      </c>
      <c r="N4128">
        <v>9</v>
      </c>
      <c r="O4128">
        <v>32.872</v>
      </c>
      <c r="P4128">
        <v>13.586377219999999</v>
      </c>
      <c r="Q4128">
        <v>8.5589999999999993</v>
      </c>
    </row>
    <row r="4129" spans="1:17" x14ac:dyDescent="0.2">
      <c r="A4129" s="30" t="str">
        <f>IF(C4129&amp;G4129&amp;D4129&lt;&gt;'Funnel setup'!$K$3&amp;'Funnel setup'!$K$4&amp;'Funnel setup'!$K$5,".",IF(A4128=".",1,A4128+1))</f>
        <v>.</v>
      </c>
      <c r="B4129" s="431" t="str">
        <f t="shared" si="64"/>
        <v>Knee Replacement PrimaryCCG of GP PracticeNHS HARTLEPOOL AND STOCKTON-ON-TEES CCG (00K)Oxford Knee Score</v>
      </c>
      <c r="C4129" t="s">
        <v>249</v>
      </c>
      <c r="D4129" t="s">
        <v>87</v>
      </c>
      <c r="E4129" t="s">
        <v>495</v>
      </c>
      <c r="F4129" t="s">
        <v>496</v>
      </c>
      <c r="G4129" t="s">
        <v>16</v>
      </c>
      <c r="H4129">
        <v>358</v>
      </c>
      <c r="I4129">
        <v>18.215</v>
      </c>
      <c r="J4129">
        <v>35.936</v>
      </c>
      <c r="K4129">
        <v>17.721</v>
      </c>
      <c r="L4129">
        <v>342</v>
      </c>
      <c r="M4129">
        <v>4</v>
      </c>
      <c r="N4129">
        <v>12</v>
      </c>
      <c r="O4129">
        <v>36.637</v>
      </c>
      <c r="P4129">
        <v>17.351943309999999</v>
      </c>
      <c r="Q4129">
        <v>8.7279999999999998</v>
      </c>
    </row>
    <row r="4130" spans="1:17" x14ac:dyDescent="0.2">
      <c r="A4130" s="30" t="str">
        <f>IF(C4130&amp;G4130&amp;D4130&lt;&gt;'Funnel setup'!$K$3&amp;'Funnel setup'!$K$4&amp;'Funnel setup'!$K$5,".",IF(A4129=".",1,A4129+1))</f>
        <v>.</v>
      </c>
      <c r="B4130" s="431" t="str">
        <f t="shared" si="64"/>
        <v>Knee Replacement PrimaryCCG of GP PracticeNHS HASTINGS AND ROTHER CCG (09P)Oxford Knee Score</v>
      </c>
      <c r="C4130" t="s">
        <v>249</v>
      </c>
      <c r="D4130" t="s">
        <v>87</v>
      </c>
      <c r="E4130" t="s">
        <v>498</v>
      </c>
      <c r="F4130" t="s">
        <v>499</v>
      </c>
      <c r="G4130" t="s">
        <v>16</v>
      </c>
      <c r="H4130">
        <v>231</v>
      </c>
      <c r="I4130">
        <v>21.381</v>
      </c>
      <c r="J4130">
        <v>37.039000000000001</v>
      </c>
      <c r="K4130">
        <v>15.657999999999999</v>
      </c>
      <c r="L4130">
        <v>217</v>
      </c>
      <c r="M4130">
        <v>1</v>
      </c>
      <c r="N4130">
        <v>13</v>
      </c>
      <c r="O4130">
        <v>36.079000000000001</v>
      </c>
      <c r="P4130">
        <v>16.794060349999999</v>
      </c>
      <c r="Q4130">
        <v>8.0129999999999999</v>
      </c>
    </row>
    <row r="4131" spans="1:17" x14ac:dyDescent="0.2">
      <c r="A4131" s="30" t="str">
        <f>IF(C4131&amp;G4131&amp;D4131&lt;&gt;'Funnel setup'!$K$3&amp;'Funnel setup'!$K$4&amp;'Funnel setup'!$K$5,".",IF(A4130=".",1,A4130+1))</f>
        <v>.</v>
      </c>
      <c r="B4131" s="431" t="str">
        <f t="shared" si="64"/>
        <v>Knee Replacement PrimaryCCG of GP PracticeNHS HAVERING CCG (08F)Oxford Knee Score</v>
      </c>
      <c r="C4131" t="s">
        <v>249</v>
      </c>
      <c r="D4131" t="s">
        <v>87</v>
      </c>
      <c r="E4131" t="s">
        <v>501</v>
      </c>
      <c r="F4131" t="s">
        <v>502</v>
      </c>
      <c r="G4131" t="s">
        <v>16</v>
      </c>
      <c r="H4131">
        <v>132</v>
      </c>
      <c r="I4131">
        <v>18.689</v>
      </c>
      <c r="J4131">
        <v>34.847999999999999</v>
      </c>
      <c r="K4131">
        <v>16.158999999999999</v>
      </c>
      <c r="L4131">
        <v>124</v>
      </c>
      <c r="M4131">
        <v>3</v>
      </c>
      <c r="N4131">
        <v>5</v>
      </c>
      <c r="O4131">
        <v>34.738999999999997</v>
      </c>
      <c r="P4131">
        <v>15.4537684</v>
      </c>
      <c r="Q4131">
        <v>8.6270000000000007</v>
      </c>
    </row>
    <row r="4132" spans="1:17" x14ac:dyDescent="0.2">
      <c r="A4132" s="30" t="str">
        <f>IF(C4132&amp;G4132&amp;D4132&lt;&gt;'Funnel setup'!$K$3&amp;'Funnel setup'!$K$4&amp;'Funnel setup'!$K$5,".",IF(A4131=".",1,A4131+1))</f>
        <v>.</v>
      </c>
      <c r="B4132" s="431" t="str">
        <f t="shared" si="64"/>
        <v>Knee Replacement PrimaryCCG of GP PracticeNHS HEREFORDSHIRE CCG (05F)Oxford Knee Score</v>
      </c>
      <c r="C4132" t="s">
        <v>249</v>
      </c>
      <c r="D4132" t="s">
        <v>87</v>
      </c>
      <c r="E4132" t="s">
        <v>504</v>
      </c>
      <c r="F4132" t="s">
        <v>505</v>
      </c>
      <c r="G4132" t="s">
        <v>16</v>
      </c>
      <c r="H4132">
        <v>179</v>
      </c>
      <c r="I4132">
        <v>20.983000000000001</v>
      </c>
      <c r="J4132">
        <v>37.619999999999997</v>
      </c>
      <c r="K4132">
        <v>16.637</v>
      </c>
      <c r="L4132">
        <v>172</v>
      </c>
      <c r="M4132">
        <v>2</v>
      </c>
      <c r="N4132">
        <v>5</v>
      </c>
      <c r="O4132">
        <v>36.700000000000003</v>
      </c>
      <c r="P4132">
        <v>17.415053799999999</v>
      </c>
      <c r="Q4132">
        <v>7.7869999999999999</v>
      </c>
    </row>
    <row r="4133" spans="1:17" x14ac:dyDescent="0.2">
      <c r="A4133" s="30" t="str">
        <f>IF(C4133&amp;G4133&amp;D4133&lt;&gt;'Funnel setup'!$K$3&amp;'Funnel setup'!$K$4&amp;'Funnel setup'!$K$5,".",IF(A4132=".",1,A4132+1))</f>
        <v>.</v>
      </c>
      <c r="B4133" s="431" t="str">
        <f t="shared" si="64"/>
        <v>Knee Replacement PrimaryCCG of GP PracticeNHS HERTS VALLEYS CCG (06N)Oxford Knee Score</v>
      </c>
      <c r="C4133" t="s">
        <v>249</v>
      </c>
      <c r="D4133" t="s">
        <v>87</v>
      </c>
      <c r="E4133" t="s">
        <v>507</v>
      </c>
      <c r="F4133" t="s">
        <v>508</v>
      </c>
      <c r="G4133" t="s">
        <v>16</v>
      </c>
      <c r="H4133">
        <v>385</v>
      </c>
      <c r="I4133">
        <v>19.597000000000001</v>
      </c>
      <c r="J4133">
        <v>35.667999999999999</v>
      </c>
      <c r="K4133">
        <v>16.07</v>
      </c>
      <c r="L4133">
        <v>357</v>
      </c>
      <c r="M4133">
        <v>5</v>
      </c>
      <c r="N4133">
        <v>23</v>
      </c>
      <c r="O4133">
        <v>35.081000000000003</v>
      </c>
      <c r="P4133">
        <v>15.795215000000001</v>
      </c>
      <c r="Q4133">
        <v>8.7780000000000005</v>
      </c>
    </row>
    <row r="4134" spans="1:17" x14ac:dyDescent="0.2">
      <c r="A4134" s="30" t="str">
        <f>IF(C4134&amp;G4134&amp;D4134&lt;&gt;'Funnel setup'!$K$3&amp;'Funnel setup'!$K$4&amp;'Funnel setup'!$K$5,".",IF(A4133=".",1,A4133+1))</f>
        <v>.</v>
      </c>
      <c r="B4134" s="431" t="str">
        <f t="shared" si="64"/>
        <v>Knee Replacement PrimaryCCG of GP PracticeNHS HEYWOOD, MIDDLETON AND ROCHDALE CCG (01D)Oxford Knee Score</v>
      </c>
      <c r="C4134" t="s">
        <v>249</v>
      </c>
      <c r="D4134" t="s">
        <v>87</v>
      </c>
      <c r="E4134" t="s">
        <v>510</v>
      </c>
      <c r="F4134" t="s">
        <v>511</v>
      </c>
      <c r="G4134" t="s">
        <v>16</v>
      </c>
      <c r="H4134">
        <v>90</v>
      </c>
      <c r="I4134">
        <v>16.933</v>
      </c>
      <c r="J4134">
        <v>34.244</v>
      </c>
      <c r="K4134">
        <v>17.311</v>
      </c>
      <c r="L4134">
        <v>85</v>
      </c>
      <c r="M4134">
        <v>1</v>
      </c>
      <c r="N4134">
        <v>4</v>
      </c>
      <c r="O4134">
        <v>36.204000000000001</v>
      </c>
      <c r="P4134">
        <v>16.918341170000001</v>
      </c>
      <c r="Q4134">
        <v>9.5429999999999993</v>
      </c>
    </row>
    <row r="4135" spans="1:17" x14ac:dyDescent="0.2">
      <c r="A4135" s="30" t="str">
        <f>IF(C4135&amp;G4135&amp;D4135&lt;&gt;'Funnel setup'!$K$3&amp;'Funnel setup'!$K$4&amp;'Funnel setup'!$K$5,".",IF(A4134=".",1,A4134+1))</f>
        <v>.</v>
      </c>
      <c r="B4135" s="431" t="str">
        <f t="shared" si="64"/>
        <v>Knee Replacement PrimaryCCG of GP PracticeNHS HIGH WEALD LEWES HAVENS CCG (99K)Oxford Knee Score</v>
      </c>
      <c r="C4135" t="s">
        <v>249</v>
      </c>
      <c r="D4135" t="s">
        <v>87</v>
      </c>
      <c r="E4135" t="s">
        <v>513</v>
      </c>
      <c r="F4135" t="s">
        <v>514</v>
      </c>
      <c r="G4135" t="s">
        <v>16</v>
      </c>
      <c r="H4135">
        <v>259</v>
      </c>
      <c r="I4135">
        <v>23.564</v>
      </c>
      <c r="J4135">
        <v>37.354999999999997</v>
      </c>
      <c r="K4135">
        <v>13.792</v>
      </c>
      <c r="L4135">
        <v>238</v>
      </c>
      <c r="M4135">
        <v>5</v>
      </c>
      <c r="N4135">
        <v>16</v>
      </c>
      <c r="O4135">
        <v>35.203000000000003</v>
      </c>
      <c r="P4135">
        <v>15.917961829999999</v>
      </c>
      <c r="Q4135">
        <v>7.8979999999999997</v>
      </c>
    </row>
    <row r="4136" spans="1:17" x14ac:dyDescent="0.2">
      <c r="A4136" s="30" t="str">
        <f>IF(C4136&amp;G4136&amp;D4136&lt;&gt;'Funnel setup'!$K$3&amp;'Funnel setup'!$K$4&amp;'Funnel setup'!$K$5,".",IF(A4135=".",1,A4135+1))</f>
        <v>.</v>
      </c>
      <c r="B4136" s="431" t="str">
        <f t="shared" si="64"/>
        <v>Knee Replacement PrimaryCCG of GP PracticeNHS HILLINGDON CCG (08G)Oxford Knee Score</v>
      </c>
      <c r="C4136" t="s">
        <v>249</v>
      </c>
      <c r="D4136" t="s">
        <v>87</v>
      </c>
      <c r="E4136" t="s">
        <v>516</v>
      </c>
      <c r="F4136" t="s">
        <v>517</v>
      </c>
      <c r="G4136" t="s">
        <v>16</v>
      </c>
      <c r="H4136">
        <v>132</v>
      </c>
      <c r="I4136">
        <v>19.826000000000001</v>
      </c>
      <c r="J4136">
        <v>32.143999999999998</v>
      </c>
      <c r="K4136">
        <v>12.318</v>
      </c>
      <c r="L4136">
        <v>121</v>
      </c>
      <c r="M4136">
        <v>1</v>
      </c>
      <c r="N4136">
        <v>10</v>
      </c>
      <c r="O4136">
        <v>32.363</v>
      </c>
      <c r="P4136">
        <v>13.077150509999999</v>
      </c>
      <c r="Q4136">
        <v>8.5169999999999995</v>
      </c>
    </row>
    <row r="4137" spans="1:17" x14ac:dyDescent="0.2">
      <c r="A4137" s="30" t="str">
        <f>IF(C4137&amp;G4137&amp;D4137&lt;&gt;'Funnel setup'!$K$3&amp;'Funnel setup'!$K$4&amp;'Funnel setup'!$K$5,".",IF(A4136=".",1,A4136+1))</f>
        <v>.</v>
      </c>
      <c r="B4137" s="431" t="str">
        <f t="shared" si="64"/>
        <v>Knee Replacement PrimaryCCG of GP PracticeNHS HORSHAM AND MID SUSSEX CCG (09X)Oxford Knee Score</v>
      </c>
      <c r="C4137" t="s">
        <v>249</v>
      </c>
      <c r="D4137" t="s">
        <v>87</v>
      </c>
      <c r="E4137" t="s">
        <v>519</v>
      </c>
      <c r="F4137" t="s">
        <v>520</v>
      </c>
      <c r="G4137" t="s">
        <v>16</v>
      </c>
      <c r="H4137">
        <v>179</v>
      </c>
      <c r="I4137">
        <v>23.57</v>
      </c>
      <c r="J4137">
        <v>37.893999999999998</v>
      </c>
      <c r="K4137">
        <v>14.324</v>
      </c>
      <c r="L4137">
        <v>172</v>
      </c>
      <c r="M4137">
        <v>0</v>
      </c>
      <c r="N4137">
        <v>7</v>
      </c>
      <c r="O4137">
        <v>35.32</v>
      </c>
      <c r="P4137">
        <v>16.03435588</v>
      </c>
      <c r="Q4137">
        <v>7.0179999999999998</v>
      </c>
    </row>
    <row r="4138" spans="1:17" x14ac:dyDescent="0.2">
      <c r="A4138" s="30" t="str">
        <f>IF(C4138&amp;G4138&amp;D4138&lt;&gt;'Funnel setup'!$K$3&amp;'Funnel setup'!$K$4&amp;'Funnel setup'!$K$5,".",IF(A4137=".",1,A4137+1))</f>
        <v>.</v>
      </c>
      <c r="B4138" s="431" t="str">
        <f t="shared" si="64"/>
        <v>Knee Replacement PrimaryCCG of GP PracticeNHS HOUNSLOW CCG (07Y)Oxford Knee Score</v>
      </c>
      <c r="C4138" t="s">
        <v>249</v>
      </c>
      <c r="D4138" t="s">
        <v>87</v>
      </c>
      <c r="E4138" t="s">
        <v>522</v>
      </c>
      <c r="F4138" t="s">
        <v>523</v>
      </c>
      <c r="G4138" t="s">
        <v>16</v>
      </c>
      <c r="H4138">
        <v>75</v>
      </c>
      <c r="I4138">
        <v>15.693</v>
      </c>
      <c r="J4138">
        <v>31.227</v>
      </c>
      <c r="K4138">
        <v>15.532999999999999</v>
      </c>
      <c r="L4138">
        <v>69</v>
      </c>
      <c r="M4138">
        <v>0</v>
      </c>
      <c r="N4138">
        <v>6</v>
      </c>
      <c r="O4138">
        <v>34.283999999999999</v>
      </c>
      <c r="P4138">
        <v>14.998976369999999</v>
      </c>
      <c r="Q4138">
        <v>10.198</v>
      </c>
    </row>
    <row r="4139" spans="1:17" x14ac:dyDescent="0.2">
      <c r="A4139" s="30" t="str">
        <f>IF(C4139&amp;G4139&amp;D4139&lt;&gt;'Funnel setup'!$K$3&amp;'Funnel setup'!$K$4&amp;'Funnel setup'!$K$5,".",IF(A4138=".",1,A4138+1))</f>
        <v>.</v>
      </c>
      <c r="B4139" s="431" t="str">
        <f t="shared" si="64"/>
        <v>Knee Replacement PrimaryCCG of GP PracticeNHS HULL CCG (03F)Oxford Knee Score</v>
      </c>
      <c r="C4139" t="s">
        <v>249</v>
      </c>
      <c r="D4139" t="s">
        <v>87</v>
      </c>
      <c r="E4139" t="s">
        <v>525</v>
      </c>
      <c r="F4139" t="s">
        <v>526</v>
      </c>
      <c r="G4139" t="s">
        <v>16</v>
      </c>
      <c r="H4139">
        <v>243</v>
      </c>
      <c r="I4139">
        <v>18.690999999999999</v>
      </c>
      <c r="J4139">
        <v>33.86</v>
      </c>
      <c r="K4139">
        <v>15.169</v>
      </c>
      <c r="L4139">
        <v>221</v>
      </c>
      <c r="M4139">
        <v>3</v>
      </c>
      <c r="N4139">
        <v>19</v>
      </c>
      <c r="O4139">
        <v>34.796999999999997</v>
      </c>
      <c r="P4139">
        <v>15.511210609999999</v>
      </c>
      <c r="Q4139">
        <v>9.4789999999999992</v>
      </c>
    </row>
    <row r="4140" spans="1:17" x14ac:dyDescent="0.2">
      <c r="A4140" s="30" t="str">
        <f>IF(C4140&amp;G4140&amp;D4140&lt;&gt;'Funnel setup'!$K$3&amp;'Funnel setup'!$K$4&amp;'Funnel setup'!$K$5,".",IF(A4139=".",1,A4139+1))</f>
        <v>.</v>
      </c>
      <c r="B4140" s="431" t="str">
        <f t="shared" si="64"/>
        <v>Knee Replacement PrimaryCCG of GP PracticeNHS IPSWICH AND EAST SUFFOLK CCG (06L)Oxford Knee Score</v>
      </c>
      <c r="C4140" t="s">
        <v>249</v>
      </c>
      <c r="D4140" t="s">
        <v>87</v>
      </c>
      <c r="E4140" t="s">
        <v>528</v>
      </c>
      <c r="F4140" t="s">
        <v>529</v>
      </c>
      <c r="G4140" t="s">
        <v>16</v>
      </c>
      <c r="H4140">
        <v>245</v>
      </c>
      <c r="I4140">
        <v>18.905999999999999</v>
      </c>
      <c r="J4140">
        <v>37.673000000000002</v>
      </c>
      <c r="K4140">
        <v>18.766999999999999</v>
      </c>
      <c r="L4140">
        <v>237</v>
      </c>
      <c r="M4140">
        <v>3</v>
      </c>
      <c r="N4140">
        <v>5</v>
      </c>
      <c r="O4140">
        <v>36.777000000000001</v>
      </c>
      <c r="P4140">
        <v>17.492009029999998</v>
      </c>
      <c r="Q4140">
        <v>7.6689999999999996</v>
      </c>
    </row>
    <row r="4141" spans="1:17" x14ac:dyDescent="0.2">
      <c r="A4141" s="30" t="str">
        <f>IF(C4141&amp;G4141&amp;D4141&lt;&gt;'Funnel setup'!$K$3&amp;'Funnel setup'!$K$4&amp;'Funnel setup'!$K$5,".",IF(A4140=".",1,A4140+1))</f>
        <v>.</v>
      </c>
      <c r="B4141" s="431" t="str">
        <f t="shared" si="64"/>
        <v>Knee Replacement PrimaryCCG of GP PracticeNHS ISLE OF WIGHT CCG (10L)Oxford Knee Score</v>
      </c>
      <c r="C4141" t="s">
        <v>249</v>
      </c>
      <c r="D4141" t="s">
        <v>87</v>
      </c>
      <c r="E4141" t="s">
        <v>531</v>
      </c>
      <c r="F4141" t="s">
        <v>532</v>
      </c>
      <c r="G4141" t="s">
        <v>16</v>
      </c>
      <c r="H4141">
        <v>113</v>
      </c>
      <c r="I4141">
        <v>18.646000000000001</v>
      </c>
      <c r="J4141">
        <v>34.265000000000001</v>
      </c>
      <c r="K4141">
        <v>15.619</v>
      </c>
      <c r="L4141">
        <v>105</v>
      </c>
      <c r="M4141">
        <v>0</v>
      </c>
      <c r="N4141">
        <v>8</v>
      </c>
      <c r="O4141">
        <v>34.67</v>
      </c>
      <c r="P4141">
        <v>15.38464716</v>
      </c>
      <c r="Q4141">
        <v>9.3680000000000003</v>
      </c>
    </row>
    <row r="4142" spans="1:17" x14ac:dyDescent="0.2">
      <c r="A4142" s="30" t="str">
        <f>IF(C4142&amp;G4142&amp;D4142&lt;&gt;'Funnel setup'!$K$3&amp;'Funnel setup'!$K$4&amp;'Funnel setup'!$K$5,".",IF(A4141=".",1,A4141+1))</f>
        <v>.</v>
      </c>
      <c r="B4142" s="431" t="str">
        <f t="shared" si="64"/>
        <v>Knee Replacement PrimaryCCG of GP PracticeNHS ISLINGTON CCG (08H)Oxford Knee Score</v>
      </c>
      <c r="C4142" t="s">
        <v>249</v>
      </c>
      <c r="D4142" t="s">
        <v>87</v>
      </c>
      <c r="E4142" t="s">
        <v>534</v>
      </c>
      <c r="F4142" t="s">
        <v>535</v>
      </c>
      <c r="G4142" t="s">
        <v>16</v>
      </c>
      <c r="H4142">
        <v>20</v>
      </c>
      <c r="I4142">
        <v>19</v>
      </c>
      <c r="J4142">
        <v>32.450000000000003</v>
      </c>
      <c r="K4142">
        <v>13.45</v>
      </c>
      <c r="L4142">
        <v>18</v>
      </c>
      <c r="M4142">
        <v>0</v>
      </c>
      <c r="N4142">
        <v>2</v>
      </c>
      <c r="O4142" t="s">
        <v>53</v>
      </c>
      <c r="P4142" t="s">
        <v>53</v>
      </c>
      <c r="Q4142" t="s">
        <v>53</v>
      </c>
    </row>
    <row r="4143" spans="1:17" x14ac:dyDescent="0.2">
      <c r="A4143" s="30" t="str">
        <f>IF(C4143&amp;G4143&amp;D4143&lt;&gt;'Funnel setup'!$K$3&amp;'Funnel setup'!$K$4&amp;'Funnel setup'!$K$5,".",IF(A4142=".",1,A4142+1))</f>
        <v>.</v>
      </c>
      <c r="B4143" s="431" t="str">
        <f t="shared" si="64"/>
        <v>Knee Replacement PrimaryCCG of GP PracticeNHS KERNOW CCG (11N)Oxford Knee Score</v>
      </c>
      <c r="C4143" t="s">
        <v>249</v>
      </c>
      <c r="D4143" t="s">
        <v>87</v>
      </c>
      <c r="E4143" t="s">
        <v>537</v>
      </c>
      <c r="F4143" t="s">
        <v>538</v>
      </c>
      <c r="G4143" t="s">
        <v>16</v>
      </c>
      <c r="H4143">
        <v>661</v>
      </c>
      <c r="I4143">
        <v>20.67</v>
      </c>
      <c r="J4143">
        <v>37.473999999999997</v>
      </c>
      <c r="K4143">
        <v>16.803000000000001</v>
      </c>
      <c r="L4143">
        <v>628</v>
      </c>
      <c r="M4143">
        <v>9</v>
      </c>
      <c r="N4143">
        <v>24</v>
      </c>
      <c r="O4143">
        <v>36.875</v>
      </c>
      <c r="P4143">
        <v>17.589772880000002</v>
      </c>
      <c r="Q4143">
        <v>7.8440000000000003</v>
      </c>
    </row>
    <row r="4144" spans="1:17" x14ac:dyDescent="0.2">
      <c r="A4144" s="30" t="str">
        <f>IF(C4144&amp;G4144&amp;D4144&lt;&gt;'Funnel setup'!$K$3&amp;'Funnel setup'!$K$4&amp;'Funnel setup'!$K$5,".",IF(A4143=".",1,A4143+1))</f>
        <v>.</v>
      </c>
      <c r="B4144" s="431" t="str">
        <f t="shared" si="64"/>
        <v>Knee Replacement PrimaryCCG of GP PracticeNHS KINGSTON CCG (08J)Oxford Knee Score</v>
      </c>
      <c r="C4144" t="s">
        <v>249</v>
      </c>
      <c r="D4144" t="s">
        <v>87</v>
      </c>
      <c r="E4144" t="s">
        <v>540</v>
      </c>
      <c r="F4144" t="s">
        <v>541</v>
      </c>
      <c r="G4144" t="s">
        <v>16</v>
      </c>
      <c r="H4144">
        <v>52</v>
      </c>
      <c r="I4144">
        <v>18.25</v>
      </c>
      <c r="J4144">
        <v>37.115000000000002</v>
      </c>
      <c r="K4144">
        <v>18.864999999999998</v>
      </c>
      <c r="L4144">
        <v>51</v>
      </c>
      <c r="M4144">
        <v>0</v>
      </c>
      <c r="N4144">
        <v>1</v>
      </c>
      <c r="O4144">
        <v>36.804000000000002</v>
      </c>
      <c r="P4144">
        <v>17.518890720000002</v>
      </c>
      <c r="Q4144">
        <v>7.4870000000000001</v>
      </c>
    </row>
    <row r="4145" spans="1:17" x14ac:dyDescent="0.2">
      <c r="A4145" s="30" t="str">
        <f>IF(C4145&amp;G4145&amp;D4145&lt;&gt;'Funnel setup'!$K$3&amp;'Funnel setup'!$K$4&amp;'Funnel setup'!$K$5,".",IF(A4144=".",1,A4144+1))</f>
        <v>.</v>
      </c>
      <c r="B4145" s="431" t="str">
        <f t="shared" si="64"/>
        <v>Knee Replacement PrimaryCCG of GP PracticeNHS KNOWSLEY CCG (01J)Oxford Knee Score</v>
      </c>
      <c r="C4145" t="s">
        <v>249</v>
      </c>
      <c r="D4145" t="s">
        <v>87</v>
      </c>
      <c r="E4145" t="s">
        <v>543</v>
      </c>
      <c r="F4145" t="s">
        <v>544</v>
      </c>
      <c r="G4145" t="s">
        <v>16</v>
      </c>
      <c r="H4145">
        <v>127</v>
      </c>
      <c r="I4145">
        <v>17.945</v>
      </c>
      <c r="J4145">
        <v>30.204999999999998</v>
      </c>
      <c r="K4145">
        <v>12.26</v>
      </c>
      <c r="L4145">
        <v>110</v>
      </c>
      <c r="M4145">
        <v>0</v>
      </c>
      <c r="N4145">
        <v>17</v>
      </c>
      <c r="O4145">
        <v>32.134</v>
      </c>
      <c r="P4145">
        <v>12.848456390000001</v>
      </c>
      <c r="Q4145">
        <v>9.99</v>
      </c>
    </row>
    <row r="4146" spans="1:17" x14ac:dyDescent="0.2">
      <c r="A4146" s="30" t="str">
        <f>IF(C4146&amp;G4146&amp;D4146&lt;&gt;'Funnel setup'!$K$3&amp;'Funnel setup'!$K$4&amp;'Funnel setup'!$K$5,".",IF(A4145=".",1,A4145+1))</f>
        <v>.</v>
      </c>
      <c r="B4146" s="431" t="str">
        <f t="shared" si="64"/>
        <v>Knee Replacement PrimaryCCG of GP PracticeNHS LAMBETH CCG (08K)Oxford Knee Score</v>
      </c>
      <c r="C4146" t="s">
        <v>249</v>
      </c>
      <c r="D4146" t="s">
        <v>87</v>
      </c>
      <c r="E4146" t="s">
        <v>546</v>
      </c>
      <c r="F4146" t="s">
        <v>547</v>
      </c>
      <c r="G4146" t="s">
        <v>16</v>
      </c>
      <c r="H4146">
        <v>40</v>
      </c>
      <c r="I4146">
        <v>15.975</v>
      </c>
      <c r="J4146">
        <v>30.35</v>
      </c>
      <c r="K4146">
        <v>14.375</v>
      </c>
      <c r="L4146">
        <v>37</v>
      </c>
      <c r="M4146">
        <v>0</v>
      </c>
      <c r="N4146">
        <v>3</v>
      </c>
      <c r="O4146">
        <v>33.161000000000001</v>
      </c>
      <c r="P4146">
        <v>13.875373160000001</v>
      </c>
      <c r="Q4146">
        <v>10.025</v>
      </c>
    </row>
    <row r="4147" spans="1:17" x14ac:dyDescent="0.2">
      <c r="A4147" s="30" t="str">
        <f>IF(C4147&amp;G4147&amp;D4147&lt;&gt;'Funnel setup'!$K$3&amp;'Funnel setup'!$K$4&amp;'Funnel setup'!$K$5,".",IF(A4146=".",1,A4146+1))</f>
        <v>.</v>
      </c>
      <c r="B4147" s="431" t="str">
        <f t="shared" si="64"/>
        <v>Knee Replacement PrimaryCCG of GP PracticeNHS LANCASHIRE NORTH CCG (01K)Oxford Knee Score</v>
      </c>
      <c r="C4147" t="s">
        <v>249</v>
      </c>
      <c r="D4147" t="s">
        <v>87</v>
      </c>
      <c r="E4147" t="s">
        <v>549</v>
      </c>
      <c r="F4147" t="s">
        <v>550</v>
      </c>
      <c r="G4147" t="s">
        <v>16</v>
      </c>
      <c r="H4147">
        <v>179</v>
      </c>
      <c r="I4147">
        <v>20.324000000000002</v>
      </c>
      <c r="J4147">
        <v>36.927</v>
      </c>
      <c r="K4147">
        <v>16.603000000000002</v>
      </c>
      <c r="L4147">
        <v>172</v>
      </c>
      <c r="M4147">
        <v>0</v>
      </c>
      <c r="N4147">
        <v>7</v>
      </c>
      <c r="O4147">
        <v>36.22</v>
      </c>
      <c r="P4147">
        <v>16.934893840000001</v>
      </c>
      <c r="Q4147">
        <v>8.2469999999999999</v>
      </c>
    </row>
    <row r="4148" spans="1:17" x14ac:dyDescent="0.2">
      <c r="A4148" s="30" t="str">
        <f>IF(C4148&amp;G4148&amp;D4148&lt;&gt;'Funnel setup'!$K$3&amp;'Funnel setup'!$K$4&amp;'Funnel setup'!$K$5,".",IF(A4147=".",1,A4147+1))</f>
        <v>.</v>
      </c>
      <c r="B4148" s="431" t="str">
        <f t="shared" si="64"/>
        <v>Knee Replacement PrimaryCCG of GP PracticeNHS LEEDS NORTH CCG (02V)Oxford Knee Score</v>
      </c>
      <c r="C4148" t="s">
        <v>249</v>
      </c>
      <c r="D4148" t="s">
        <v>87</v>
      </c>
      <c r="E4148" t="s">
        <v>552</v>
      </c>
      <c r="F4148" t="s">
        <v>337</v>
      </c>
      <c r="G4148" t="s">
        <v>16</v>
      </c>
      <c r="H4148">
        <v>160</v>
      </c>
      <c r="I4148">
        <v>21.969000000000001</v>
      </c>
      <c r="J4148">
        <v>36.337000000000003</v>
      </c>
      <c r="K4148">
        <v>14.369</v>
      </c>
      <c r="L4148">
        <v>150</v>
      </c>
      <c r="M4148">
        <v>2</v>
      </c>
      <c r="N4148">
        <v>8</v>
      </c>
      <c r="O4148">
        <v>35.284999999999997</v>
      </c>
      <c r="P4148">
        <v>15.999805719999999</v>
      </c>
      <c r="Q4148">
        <v>7.569</v>
      </c>
    </row>
    <row r="4149" spans="1:17" x14ac:dyDescent="0.2">
      <c r="A4149" s="30" t="str">
        <f>IF(C4149&amp;G4149&amp;D4149&lt;&gt;'Funnel setup'!$K$3&amp;'Funnel setup'!$K$4&amp;'Funnel setup'!$K$5,".",IF(A4148=".",1,A4148+1))</f>
        <v>.</v>
      </c>
      <c r="B4149" s="431" t="str">
        <f t="shared" si="64"/>
        <v>Knee Replacement PrimaryCCG of GP PracticeNHS LEEDS SOUTH AND EAST CCG (03G)Oxford Knee Score</v>
      </c>
      <c r="C4149" t="s">
        <v>249</v>
      </c>
      <c r="D4149" t="s">
        <v>87</v>
      </c>
      <c r="E4149" t="s">
        <v>396</v>
      </c>
      <c r="F4149" t="s">
        <v>397</v>
      </c>
      <c r="G4149" t="s">
        <v>16</v>
      </c>
      <c r="H4149">
        <v>233</v>
      </c>
      <c r="I4149">
        <v>20.175999999999998</v>
      </c>
      <c r="J4149">
        <v>36.082000000000001</v>
      </c>
      <c r="K4149">
        <v>15.906000000000001</v>
      </c>
      <c r="L4149">
        <v>221</v>
      </c>
      <c r="M4149">
        <v>5</v>
      </c>
      <c r="N4149">
        <v>7</v>
      </c>
      <c r="O4149">
        <v>36.006999999999998</v>
      </c>
      <c r="P4149">
        <v>16.72129748</v>
      </c>
      <c r="Q4149">
        <v>8.0609999999999999</v>
      </c>
    </row>
    <row r="4150" spans="1:17" x14ac:dyDescent="0.2">
      <c r="A4150" s="30" t="str">
        <f>IF(C4150&amp;G4150&amp;D4150&lt;&gt;'Funnel setup'!$K$3&amp;'Funnel setup'!$K$4&amp;'Funnel setup'!$K$5,".",IF(A4149=".",1,A4149+1))</f>
        <v>.</v>
      </c>
      <c r="B4150" s="431" t="str">
        <f t="shared" si="64"/>
        <v>Knee Replacement PrimaryCCG of GP PracticeNHS LEEDS WEST CCG (03C)Oxford Knee Score</v>
      </c>
      <c r="C4150" t="s">
        <v>249</v>
      </c>
      <c r="D4150" t="s">
        <v>87</v>
      </c>
      <c r="E4150" t="s">
        <v>399</v>
      </c>
      <c r="F4150" t="s">
        <v>400</v>
      </c>
      <c r="G4150" t="s">
        <v>16</v>
      </c>
      <c r="H4150">
        <v>256</v>
      </c>
      <c r="I4150">
        <v>20</v>
      </c>
      <c r="J4150">
        <v>34.988</v>
      </c>
      <c r="K4150">
        <v>14.988</v>
      </c>
      <c r="L4150">
        <v>236</v>
      </c>
      <c r="M4150">
        <v>5</v>
      </c>
      <c r="N4150">
        <v>15</v>
      </c>
      <c r="O4150">
        <v>34.679000000000002</v>
      </c>
      <c r="P4150">
        <v>15.39328132</v>
      </c>
      <c r="Q4150">
        <v>8.782</v>
      </c>
    </row>
    <row r="4151" spans="1:17" x14ac:dyDescent="0.2">
      <c r="A4151" s="30" t="str">
        <f>IF(C4151&amp;G4151&amp;D4151&lt;&gt;'Funnel setup'!$K$3&amp;'Funnel setup'!$K$4&amp;'Funnel setup'!$K$5,".",IF(A4150=".",1,A4150+1))</f>
        <v>.</v>
      </c>
      <c r="B4151" s="431" t="str">
        <f t="shared" si="64"/>
        <v>Knee Replacement PrimaryCCG of GP PracticeNHS LEICESTER CITY CCG (04C)Oxford Knee Score</v>
      </c>
      <c r="C4151" t="s">
        <v>249</v>
      </c>
      <c r="D4151" t="s">
        <v>87</v>
      </c>
      <c r="E4151" t="s">
        <v>554</v>
      </c>
      <c r="F4151" t="s">
        <v>555</v>
      </c>
      <c r="G4151" t="s">
        <v>16</v>
      </c>
      <c r="H4151">
        <v>197</v>
      </c>
      <c r="I4151">
        <v>14.807</v>
      </c>
      <c r="J4151">
        <v>31.584</v>
      </c>
      <c r="K4151">
        <v>16.777000000000001</v>
      </c>
      <c r="L4151">
        <v>187</v>
      </c>
      <c r="M4151">
        <v>3</v>
      </c>
      <c r="N4151">
        <v>7</v>
      </c>
      <c r="O4151">
        <v>35.619999999999997</v>
      </c>
      <c r="P4151">
        <v>16.33504439</v>
      </c>
      <c r="Q4151">
        <v>8.702</v>
      </c>
    </row>
    <row r="4152" spans="1:17" x14ac:dyDescent="0.2">
      <c r="A4152" s="30" t="str">
        <f>IF(C4152&amp;G4152&amp;D4152&lt;&gt;'Funnel setup'!$K$3&amp;'Funnel setup'!$K$4&amp;'Funnel setup'!$K$5,".",IF(A4151=".",1,A4151+1))</f>
        <v>.</v>
      </c>
      <c r="B4152" s="431" t="str">
        <f t="shared" si="64"/>
        <v>Knee Replacement PrimaryCCG of GP PracticeNHS LEWISHAM CCG (08L)Oxford Knee Score</v>
      </c>
      <c r="C4152" t="s">
        <v>249</v>
      </c>
      <c r="D4152" t="s">
        <v>87</v>
      </c>
      <c r="E4152" t="s">
        <v>557</v>
      </c>
      <c r="F4152" t="s">
        <v>558</v>
      </c>
      <c r="G4152" t="s">
        <v>16</v>
      </c>
      <c r="H4152">
        <v>61</v>
      </c>
      <c r="I4152">
        <v>18.492000000000001</v>
      </c>
      <c r="J4152">
        <v>31.704999999999998</v>
      </c>
      <c r="K4152">
        <v>13.212999999999999</v>
      </c>
      <c r="L4152">
        <v>52</v>
      </c>
      <c r="M4152">
        <v>0</v>
      </c>
      <c r="N4152">
        <v>9</v>
      </c>
      <c r="O4152">
        <v>33.834000000000003</v>
      </c>
      <c r="P4152">
        <v>14.548260089999999</v>
      </c>
      <c r="Q4152">
        <v>9.2669999999999995</v>
      </c>
    </row>
    <row r="4153" spans="1:17" x14ac:dyDescent="0.2">
      <c r="A4153" s="30" t="str">
        <f>IF(C4153&amp;G4153&amp;D4153&lt;&gt;'Funnel setup'!$K$3&amp;'Funnel setup'!$K$4&amp;'Funnel setup'!$K$5,".",IF(A4152=".",1,A4152+1))</f>
        <v>.</v>
      </c>
      <c r="B4153" s="431" t="str">
        <f t="shared" si="64"/>
        <v>Knee Replacement PrimaryCCG of GP PracticeNHS LINCOLNSHIRE EAST CCG (03T)Oxford Knee Score</v>
      </c>
      <c r="C4153" t="s">
        <v>249</v>
      </c>
      <c r="D4153" t="s">
        <v>87</v>
      </c>
      <c r="E4153" t="s">
        <v>560</v>
      </c>
      <c r="F4153" t="s">
        <v>561</v>
      </c>
      <c r="G4153" t="s">
        <v>16</v>
      </c>
      <c r="H4153">
        <v>246</v>
      </c>
      <c r="I4153">
        <v>18.736000000000001</v>
      </c>
      <c r="J4153">
        <v>35.927</v>
      </c>
      <c r="K4153">
        <v>17.190999999999999</v>
      </c>
      <c r="L4153">
        <v>227</v>
      </c>
      <c r="M4153">
        <v>6</v>
      </c>
      <c r="N4153">
        <v>13</v>
      </c>
      <c r="O4153">
        <v>36.200000000000003</v>
      </c>
      <c r="P4153">
        <v>16.914860279999999</v>
      </c>
      <c r="Q4153">
        <v>9.1660000000000004</v>
      </c>
    </row>
    <row r="4154" spans="1:17" x14ac:dyDescent="0.2">
      <c r="A4154" s="30" t="str">
        <f>IF(C4154&amp;G4154&amp;D4154&lt;&gt;'Funnel setup'!$K$3&amp;'Funnel setup'!$K$4&amp;'Funnel setup'!$K$5,".",IF(A4153=".",1,A4153+1))</f>
        <v>.</v>
      </c>
      <c r="B4154" s="431" t="str">
        <f t="shared" si="64"/>
        <v>Knee Replacement PrimaryCCG of GP PracticeNHS LINCOLNSHIRE WEST CCG (04D)Oxford Knee Score</v>
      </c>
      <c r="C4154" t="s">
        <v>249</v>
      </c>
      <c r="D4154" t="s">
        <v>87</v>
      </c>
      <c r="E4154" t="s">
        <v>408</v>
      </c>
      <c r="F4154" t="s">
        <v>409</v>
      </c>
      <c r="G4154" t="s">
        <v>16</v>
      </c>
      <c r="H4154">
        <v>203</v>
      </c>
      <c r="I4154">
        <v>20.207000000000001</v>
      </c>
      <c r="J4154">
        <v>36.851999999999997</v>
      </c>
      <c r="K4154">
        <v>16.645</v>
      </c>
      <c r="L4154">
        <v>193</v>
      </c>
      <c r="M4154">
        <v>3</v>
      </c>
      <c r="N4154">
        <v>7</v>
      </c>
      <c r="O4154">
        <v>35.896999999999998</v>
      </c>
      <c r="P4154">
        <v>16.611669580000001</v>
      </c>
      <c r="Q4154">
        <v>7.2869999999999999</v>
      </c>
    </row>
    <row r="4155" spans="1:17" x14ac:dyDescent="0.2">
      <c r="A4155" s="30" t="str">
        <f>IF(C4155&amp;G4155&amp;D4155&lt;&gt;'Funnel setup'!$K$3&amp;'Funnel setup'!$K$4&amp;'Funnel setup'!$K$5,".",IF(A4154=".",1,A4154+1))</f>
        <v>.</v>
      </c>
      <c r="B4155" s="431" t="str">
        <f t="shared" si="64"/>
        <v>Knee Replacement PrimaryCCG of GP PracticeNHS LIVERPOOL CCG (99A)Oxford Knee Score</v>
      </c>
      <c r="C4155" t="s">
        <v>249</v>
      </c>
      <c r="D4155" t="s">
        <v>87</v>
      </c>
      <c r="E4155" t="s">
        <v>411</v>
      </c>
      <c r="F4155" t="s">
        <v>412</v>
      </c>
      <c r="G4155" t="s">
        <v>16</v>
      </c>
      <c r="H4155">
        <v>269</v>
      </c>
      <c r="I4155">
        <v>16.832999999999998</v>
      </c>
      <c r="J4155">
        <v>32.554000000000002</v>
      </c>
      <c r="K4155">
        <v>15.721</v>
      </c>
      <c r="L4155">
        <v>254</v>
      </c>
      <c r="M4155">
        <v>3</v>
      </c>
      <c r="N4155">
        <v>12</v>
      </c>
      <c r="O4155">
        <v>34.825000000000003</v>
      </c>
      <c r="P4155">
        <v>15.539510829999999</v>
      </c>
      <c r="Q4155">
        <v>8.7899999999999991</v>
      </c>
    </row>
    <row r="4156" spans="1:17" x14ac:dyDescent="0.2">
      <c r="A4156" s="30" t="str">
        <f>IF(C4156&amp;G4156&amp;D4156&lt;&gt;'Funnel setup'!$K$3&amp;'Funnel setup'!$K$4&amp;'Funnel setup'!$K$5,".",IF(A4155=".",1,A4155+1))</f>
        <v>.</v>
      </c>
      <c r="B4156" s="431" t="str">
        <f t="shared" si="64"/>
        <v>Knee Replacement PrimaryCCG of GP PracticeNHS LUTON CCG (06P)Oxford Knee Score</v>
      </c>
      <c r="C4156" t="s">
        <v>249</v>
      </c>
      <c r="D4156" t="s">
        <v>87</v>
      </c>
      <c r="E4156" t="s">
        <v>414</v>
      </c>
      <c r="F4156" t="s">
        <v>415</v>
      </c>
      <c r="G4156" t="s">
        <v>16</v>
      </c>
      <c r="H4156">
        <v>118</v>
      </c>
      <c r="I4156">
        <v>16.033999999999999</v>
      </c>
      <c r="J4156">
        <v>33.372999999999998</v>
      </c>
      <c r="K4156">
        <v>17.338999999999999</v>
      </c>
      <c r="L4156">
        <v>112</v>
      </c>
      <c r="M4156">
        <v>2</v>
      </c>
      <c r="N4156">
        <v>4</v>
      </c>
      <c r="O4156">
        <v>35.619</v>
      </c>
      <c r="P4156">
        <v>16.333320830000002</v>
      </c>
      <c r="Q4156">
        <v>9.3510000000000009</v>
      </c>
    </row>
    <row r="4157" spans="1:17" x14ac:dyDescent="0.2">
      <c r="A4157" s="30" t="str">
        <f>IF(C4157&amp;G4157&amp;D4157&lt;&gt;'Funnel setup'!$K$3&amp;'Funnel setup'!$K$4&amp;'Funnel setup'!$K$5,".",IF(A4156=".",1,A4156+1))</f>
        <v>.</v>
      </c>
      <c r="B4157" s="431" t="str">
        <f t="shared" si="64"/>
        <v>Knee Replacement PrimaryCCG of GP PracticeNHS MANSFIELD AND ASHFIELD CCG (04E)Oxford Knee Score</v>
      </c>
      <c r="C4157" t="s">
        <v>249</v>
      </c>
      <c r="D4157" t="s">
        <v>87</v>
      </c>
      <c r="E4157" t="s">
        <v>417</v>
      </c>
      <c r="F4157" t="s">
        <v>418</v>
      </c>
      <c r="G4157" t="s">
        <v>16</v>
      </c>
      <c r="H4157">
        <v>130</v>
      </c>
      <c r="I4157">
        <v>16.053999999999998</v>
      </c>
      <c r="J4157">
        <v>31.661999999999999</v>
      </c>
      <c r="K4157">
        <v>15.608000000000001</v>
      </c>
      <c r="L4157">
        <v>118</v>
      </c>
      <c r="M4157">
        <v>0</v>
      </c>
      <c r="N4157">
        <v>12</v>
      </c>
      <c r="O4157">
        <v>33.476999999999997</v>
      </c>
      <c r="P4157">
        <v>14.191430349999999</v>
      </c>
      <c r="Q4157">
        <v>10.122999999999999</v>
      </c>
    </row>
    <row r="4158" spans="1:17" x14ac:dyDescent="0.2">
      <c r="A4158" s="30" t="str">
        <f>IF(C4158&amp;G4158&amp;D4158&lt;&gt;'Funnel setup'!$K$3&amp;'Funnel setup'!$K$4&amp;'Funnel setup'!$K$5,".",IF(A4157=".",1,A4157+1))</f>
        <v>.</v>
      </c>
      <c r="B4158" s="431" t="str">
        <f t="shared" si="64"/>
        <v>Knee Replacement PrimaryCCG of GP PracticeNHS MEDWAY CCG (09W)Oxford Knee Score</v>
      </c>
      <c r="C4158" t="s">
        <v>249</v>
      </c>
      <c r="D4158" t="s">
        <v>87</v>
      </c>
      <c r="E4158" t="s">
        <v>610</v>
      </c>
      <c r="F4158" t="s">
        <v>611</v>
      </c>
      <c r="G4158" t="s">
        <v>16</v>
      </c>
      <c r="H4158">
        <v>179</v>
      </c>
      <c r="I4158">
        <v>18.536000000000001</v>
      </c>
      <c r="J4158">
        <v>34.899000000000001</v>
      </c>
      <c r="K4158">
        <v>16.363</v>
      </c>
      <c r="L4158">
        <v>165</v>
      </c>
      <c r="M4158">
        <v>2</v>
      </c>
      <c r="N4158">
        <v>12</v>
      </c>
      <c r="O4158">
        <v>35.299999999999997</v>
      </c>
      <c r="P4158">
        <v>16.014380639999999</v>
      </c>
      <c r="Q4158">
        <v>9.0389999999999997</v>
      </c>
    </row>
    <row r="4159" spans="1:17" x14ac:dyDescent="0.2">
      <c r="A4159" s="30" t="str">
        <f>IF(C4159&amp;G4159&amp;D4159&lt;&gt;'Funnel setup'!$K$3&amp;'Funnel setup'!$K$4&amp;'Funnel setup'!$K$5,".",IF(A4158=".",1,A4158+1))</f>
        <v>.</v>
      </c>
      <c r="B4159" s="431" t="str">
        <f t="shared" si="64"/>
        <v>Knee Replacement PrimaryCCG of GP PracticeNHS MERTON CCG (08R)Oxford Knee Score</v>
      </c>
      <c r="C4159" t="s">
        <v>249</v>
      </c>
      <c r="D4159" t="s">
        <v>87</v>
      </c>
      <c r="E4159" t="s">
        <v>613</v>
      </c>
      <c r="F4159" t="s">
        <v>614</v>
      </c>
      <c r="G4159" t="s">
        <v>16</v>
      </c>
      <c r="H4159">
        <v>57</v>
      </c>
      <c r="I4159">
        <v>19.404</v>
      </c>
      <c r="J4159">
        <v>31.719000000000001</v>
      </c>
      <c r="K4159">
        <v>12.316000000000001</v>
      </c>
      <c r="L4159">
        <v>49</v>
      </c>
      <c r="M4159">
        <v>2</v>
      </c>
      <c r="N4159">
        <v>6</v>
      </c>
      <c r="O4159">
        <v>32.079000000000001</v>
      </c>
      <c r="P4159">
        <v>12.79325307</v>
      </c>
      <c r="Q4159">
        <v>9.3670000000000009</v>
      </c>
    </row>
    <row r="4160" spans="1:17" x14ac:dyDescent="0.2">
      <c r="A4160" s="30" t="str">
        <f>IF(C4160&amp;G4160&amp;D4160&lt;&gt;'Funnel setup'!$K$3&amp;'Funnel setup'!$K$4&amp;'Funnel setup'!$K$5,".",IF(A4159=".",1,A4159+1))</f>
        <v>.</v>
      </c>
      <c r="B4160" s="431" t="str">
        <f t="shared" si="64"/>
        <v>Knee Replacement PrimaryCCG of GP PracticeNHS MID ESSEX CCG (06Q)Oxford Knee Score</v>
      </c>
      <c r="C4160" t="s">
        <v>249</v>
      </c>
      <c r="D4160" t="s">
        <v>87</v>
      </c>
      <c r="E4160" t="s">
        <v>616</v>
      </c>
      <c r="F4160" t="s">
        <v>617</v>
      </c>
      <c r="G4160" t="s">
        <v>16</v>
      </c>
      <c r="H4160">
        <v>298</v>
      </c>
      <c r="I4160">
        <v>17.315000000000001</v>
      </c>
      <c r="J4160">
        <v>35.375999999999998</v>
      </c>
      <c r="K4160">
        <v>18.059999999999999</v>
      </c>
      <c r="L4160">
        <v>284</v>
      </c>
      <c r="M4160">
        <v>4</v>
      </c>
      <c r="N4160">
        <v>10</v>
      </c>
      <c r="O4160">
        <v>35.529000000000003</v>
      </c>
      <c r="P4160">
        <v>16.243289919999999</v>
      </c>
      <c r="Q4160">
        <v>8.5069999999999997</v>
      </c>
    </row>
    <row r="4161" spans="1:17" x14ac:dyDescent="0.2">
      <c r="A4161" s="30" t="str">
        <f>IF(C4161&amp;G4161&amp;D4161&lt;&gt;'Funnel setup'!$K$3&amp;'Funnel setup'!$K$4&amp;'Funnel setup'!$K$5,".",IF(A4160=".",1,A4160+1))</f>
        <v>.</v>
      </c>
      <c r="B4161" s="431" t="str">
        <f t="shared" si="64"/>
        <v>Knee Replacement PrimaryCCG of GP PracticeNHS MILTON KEYNES CCG (04F)Oxford Knee Score</v>
      </c>
      <c r="C4161" t="s">
        <v>249</v>
      </c>
      <c r="D4161" t="s">
        <v>87</v>
      </c>
      <c r="E4161" t="s">
        <v>619</v>
      </c>
      <c r="F4161" t="s">
        <v>338</v>
      </c>
      <c r="G4161" t="s">
        <v>16</v>
      </c>
      <c r="H4161">
        <v>138</v>
      </c>
      <c r="I4161">
        <v>17.942</v>
      </c>
      <c r="J4161">
        <v>36.42</v>
      </c>
      <c r="K4161">
        <v>18.478000000000002</v>
      </c>
      <c r="L4161">
        <v>134</v>
      </c>
      <c r="M4161">
        <v>1</v>
      </c>
      <c r="N4161">
        <v>3</v>
      </c>
      <c r="O4161">
        <v>36.890999999999998</v>
      </c>
      <c r="P4161">
        <v>17.60610934</v>
      </c>
      <c r="Q4161">
        <v>8.1980000000000004</v>
      </c>
    </row>
    <row r="4162" spans="1:17" x14ac:dyDescent="0.2">
      <c r="A4162" s="30" t="str">
        <f>IF(C4162&amp;G4162&amp;D4162&lt;&gt;'Funnel setup'!$K$3&amp;'Funnel setup'!$K$4&amp;'Funnel setup'!$K$5,".",IF(A4161=".",1,A4161+1))</f>
        <v>.</v>
      </c>
      <c r="B4162" s="431" t="str">
        <f t="shared" si="64"/>
        <v>Knee Replacement PrimaryCCG of GP PracticeNHS NENE CCG (04G)Oxford Knee Score</v>
      </c>
      <c r="C4162" t="s">
        <v>249</v>
      </c>
      <c r="D4162" t="s">
        <v>87</v>
      </c>
      <c r="E4162" t="s">
        <v>621</v>
      </c>
      <c r="F4162" t="s">
        <v>622</v>
      </c>
      <c r="G4162" t="s">
        <v>16</v>
      </c>
      <c r="H4162">
        <v>437</v>
      </c>
      <c r="I4162">
        <v>17.419</v>
      </c>
      <c r="J4162">
        <v>35.905999999999999</v>
      </c>
      <c r="K4162">
        <v>18.486999999999998</v>
      </c>
      <c r="L4162">
        <v>415</v>
      </c>
      <c r="M4162">
        <v>8</v>
      </c>
      <c r="N4162">
        <v>14</v>
      </c>
      <c r="O4162">
        <v>36.515000000000001</v>
      </c>
      <c r="P4162">
        <v>17.22979449</v>
      </c>
      <c r="Q4162">
        <v>8.718</v>
      </c>
    </row>
    <row r="4163" spans="1:17" x14ac:dyDescent="0.2">
      <c r="A4163" s="30" t="str">
        <f>IF(C4163&amp;G4163&amp;D4163&lt;&gt;'Funnel setup'!$K$3&amp;'Funnel setup'!$K$4&amp;'Funnel setup'!$K$5,".",IF(A4162=".",1,A4162+1))</f>
        <v>.</v>
      </c>
      <c r="B4163" s="431" t="str">
        <f t="shared" ref="B4163:B4226" si="65">C4163&amp;D4163&amp;F4163&amp;G4163</f>
        <v>Knee Replacement PrimaryCCG of GP PracticeNHS NEWARK &amp; SHERWOOD CCG (04H)Oxford Knee Score</v>
      </c>
      <c r="C4163" t="s">
        <v>249</v>
      </c>
      <c r="D4163" t="s">
        <v>87</v>
      </c>
      <c r="E4163" t="s">
        <v>624</v>
      </c>
      <c r="F4163" t="s">
        <v>625</v>
      </c>
      <c r="G4163" t="s">
        <v>16</v>
      </c>
      <c r="H4163">
        <v>115</v>
      </c>
      <c r="I4163">
        <v>18.443000000000001</v>
      </c>
      <c r="J4163">
        <v>32.808999999999997</v>
      </c>
      <c r="K4163">
        <v>14.365</v>
      </c>
      <c r="L4163">
        <v>104</v>
      </c>
      <c r="M4163">
        <v>5</v>
      </c>
      <c r="N4163">
        <v>6</v>
      </c>
      <c r="O4163">
        <v>33.286999999999999</v>
      </c>
      <c r="P4163">
        <v>14.00179378</v>
      </c>
      <c r="Q4163">
        <v>9.4870000000000001</v>
      </c>
    </row>
    <row r="4164" spans="1:17" x14ac:dyDescent="0.2">
      <c r="A4164" s="30" t="str">
        <f>IF(C4164&amp;G4164&amp;D4164&lt;&gt;'Funnel setup'!$K$3&amp;'Funnel setup'!$K$4&amp;'Funnel setup'!$K$5,".",IF(A4163=".",1,A4163+1))</f>
        <v>.</v>
      </c>
      <c r="B4164" s="431" t="str">
        <f t="shared" si="65"/>
        <v>Knee Replacement PrimaryCCG of GP PracticeNHS NEWBURY AND DISTRICT CCG (10M)Oxford Knee Score</v>
      </c>
      <c r="C4164" t="s">
        <v>249</v>
      </c>
      <c r="D4164" t="s">
        <v>87</v>
      </c>
      <c r="E4164" t="s">
        <v>627</v>
      </c>
      <c r="F4164" t="s">
        <v>628</v>
      </c>
      <c r="G4164" t="s">
        <v>16</v>
      </c>
      <c r="H4164">
        <v>56</v>
      </c>
      <c r="I4164">
        <v>21.768000000000001</v>
      </c>
      <c r="J4164">
        <v>35.268000000000001</v>
      </c>
      <c r="K4164">
        <v>13.5</v>
      </c>
      <c r="L4164">
        <v>50</v>
      </c>
      <c r="M4164">
        <v>0</v>
      </c>
      <c r="N4164">
        <v>6</v>
      </c>
      <c r="O4164">
        <v>33.207000000000001</v>
      </c>
      <c r="P4164">
        <v>13.92130233</v>
      </c>
      <c r="Q4164">
        <v>8.2240000000000002</v>
      </c>
    </row>
    <row r="4165" spans="1:17" x14ac:dyDescent="0.2">
      <c r="A4165" s="30" t="str">
        <f>IF(C4165&amp;G4165&amp;D4165&lt;&gt;'Funnel setup'!$K$3&amp;'Funnel setup'!$K$4&amp;'Funnel setup'!$K$5,".",IF(A4164=".",1,A4164+1))</f>
        <v>.</v>
      </c>
      <c r="B4165" s="431" t="str">
        <f t="shared" si="65"/>
        <v>Knee Replacement PrimaryCCG of GP PracticeNHS NEWCASTLE GATESHEAD CCG (13T)Oxford Knee Score</v>
      </c>
      <c r="C4165" t="s">
        <v>249</v>
      </c>
      <c r="D4165" t="s">
        <v>87</v>
      </c>
      <c r="E4165" t="s">
        <v>6553</v>
      </c>
      <c r="F4165" t="s">
        <v>6543</v>
      </c>
      <c r="G4165" t="s">
        <v>16</v>
      </c>
      <c r="H4165">
        <v>504</v>
      </c>
      <c r="I4165">
        <v>18.751999999999999</v>
      </c>
      <c r="J4165">
        <v>34.326999999999998</v>
      </c>
      <c r="K4165">
        <v>15.574999999999999</v>
      </c>
      <c r="L4165">
        <v>468</v>
      </c>
      <c r="M4165">
        <v>8</v>
      </c>
      <c r="N4165">
        <v>28</v>
      </c>
      <c r="O4165">
        <v>35.113</v>
      </c>
      <c r="P4165">
        <v>15.82749563</v>
      </c>
      <c r="Q4165">
        <v>8.4459999999999997</v>
      </c>
    </row>
    <row r="4166" spans="1:17" x14ac:dyDescent="0.2">
      <c r="A4166" s="30" t="str">
        <f>IF(C4166&amp;G4166&amp;D4166&lt;&gt;'Funnel setup'!$K$3&amp;'Funnel setup'!$K$4&amp;'Funnel setup'!$K$5,".",IF(A4165=".",1,A4165+1))</f>
        <v>.</v>
      </c>
      <c r="B4166" s="431" t="str">
        <f t="shared" si="65"/>
        <v>Knee Replacement PrimaryCCG of GP PracticeNHS NEWHAM CCG (08M)Oxford Knee Score</v>
      </c>
      <c r="C4166" t="s">
        <v>249</v>
      </c>
      <c r="D4166" t="s">
        <v>87</v>
      </c>
      <c r="E4166" t="s">
        <v>630</v>
      </c>
      <c r="F4166" t="s">
        <v>631</v>
      </c>
      <c r="G4166" t="s">
        <v>16</v>
      </c>
      <c r="H4166">
        <v>96</v>
      </c>
      <c r="I4166">
        <v>17.280999999999999</v>
      </c>
      <c r="J4166">
        <v>28.478999999999999</v>
      </c>
      <c r="K4166">
        <v>11.198</v>
      </c>
      <c r="L4166">
        <v>83</v>
      </c>
      <c r="M4166">
        <v>0</v>
      </c>
      <c r="N4166">
        <v>13</v>
      </c>
      <c r="O4166">
        <v>32.863</v>
      </c>
      <c r="P4166">
        <v>13.57758228</v>
      </c>
      <c r="Q4166">
        <v>9.6679999999999993</v>
      </c>
    </row>
    <row r="4167" spans="1:17" x14ac:dyDescent="0.2">
      <c r="A4167" s="30" t="str">
        <f>IF(C4167&amp;G4167&amp;D4167&lt;&gt;'Funnel setup'!$K$3&amp;'Funnel setup'!$K$4&amp;'Funnel setup'!$K$5,".",IF(A4166=".",1,A4166+1))</f>
        <v>.</v>
      </c>
      <c r="B4167" s="431" t="str">
        <f t="shared" si="65"/>
        <v>Knee Replacement PrimaryCCG of GP PracticeNHS NORTH &amp; WEST READING CCG (10N)Oxford Knee Score</v>
      </c>
      <c r="C4167" t="s">
        <v>249</v>
      </c>
      <c r="D4167" t="s">
        <v>87</v>
      </c>
      <c r="E4167" t="s">
        <v>633</v>
      </c>
      <c r="F4167" t="s">
        <v>634</v>
      </c>
      <c r="G4167" t="s">
        <v>16</v>
      </c>
      <c r="H4167">
        <v>78</v>
      </c>
      <c r="I4167">
        <v>23.41</v>
      </c>
      <c r="J4167">
        <v>35.973999999999997</v>
      </c>
      <c r="K4167">
        <v>12.564</v>
      </c>
      <c r="L4167">
        <v>68</v>
      </c>
      <c r="M4167">
        <v>3</v>
      </c>
      <c r="N4167">
        <v>7</v>
      </c>
      <c r="O4167">
        <v>33.426000000000002</v>
      </c>
      <c r="P4167">
        <v>14.140558110000001</v>
      </c>
      <c r="Q4167">
        <v>7.6360000000000001</v>
      </c>
    </row>
    <row r="4168" spans="1:17" x14ac:dyDescent="0.2">
      <c r="A4168" s="30" t="str">
        <f>IF(C4168&amp;G4168&amp;D4168&lt;&gt;'Funnel setup'!$K$3&amp;'Funnel setup'!$K$4&amp;'Funnel setup'!$K$5,".",IF(A4167=".",1,A4167+1))</f>
        <v>.</v>
      </c>
      <c r="B4168" s="431" t="str">
        <f t="shared" si="65"/>
        <v>Knee Replacement PrimaryCCG of GP PracticeNHS NORTH DERBYSHIRE CCG (04J)Oxford Knee Score</v>
      </c>
      <c r="C4168" t="s">
        <v>249</v>
      </c>
      <c r="D4168" t="s">
        <v>87</v>
      </c>
      <c r="E4168" t="s">
        <v>636</v>
      </c>
      <c r="F4168" t="s">
        <v>637</v>
      </c>
      <c r="G4168" t="s">
        <v>16</v>
      </c>
      <c r="H4168">
        <v>349</v>
      </c>
      <c r="I4168">
        <v>19.635999999999999</v>
      </c>
      <c r="J4168">
        <v>36.576000000000001</v>
      </c>
      <c r="K4168">
        <v>16.940000000000001</v>
      </c>
      <c r="L4168">
        <v>330</v>
      </c>
      <c r="M4168">
        <v>3</v>
      </c>
      <c r="N4168">
        <v>16</v>
      </c>
      <c r="O4168">
        <v>36.161000000000001</v>
      </c>
      <c r="P4168">
        <v>16.875517179999999</v>
      </c>
      <c r="Q4168">
        <v>9.0250000000000004</v>
      </c>
    </row>
    <row r="4169" spans="1:17" x14ac:dyDescent="0.2">
      <c r="A4169" s="30" t="str">
        <f>IF(C4169&amp;G4169&amp;D4169&lt;&gt;'Funnel setup'!$K$3&amp;'Funnel setup'!$K$4&amp;'Funnel setup'!$K$5,".",IF(A4168=".",1,A4168+1))</f>
        <v>.</v>
      </c>
      <c r="B4169" s="431" t="str">
        <f t="shared" si="65"/>
        <v>Knee Replacement PrimaryCCG of GP PracticeNHS NORTH DURHAM CCG (00J)Oxford Knee Score</v>
      </c>
      <c r="C4169" t="s">
        <v>249</v>
      </c>
      <c r="D4169" t="s">
        <v>87</v>
      </c>
      <c r="E4169" t="s">
        <v>639</v>
      </c>
      <c r="F4169" t="s">
        <v>640</v>
      </c>
      <c r="G4169" t="s">
        <v>16</v>
      </c>
      <c r="H4169">
        <v>237</v>
      </c>
      <c r="I4169">
        <v>18.417999999999999</v>
      </c>
      <c r="J4169">
        <v>34.835000000000001</v>
      </c>
      <c r="K4169">
        <v>16.417999999999999</v>
      </c>
      <c r="L4169">
        <v>225</v>
      </c>
      <c r="M4169">
        <v>2</v>
      </c>
      <c r="N4169">
        <v>10</v>
      </c>
      <c r="O4169">
        <v>35.406999999999996</v>
      </c>
      <c r="P4169">
        <v>16.121739309999999</v>
      </c>
      <c r="Q4169">
        <v>9.1259999999999994</v>
      </c>
    </row>
    <row r="4170" spans="1:17" x14ac:dyDescent="0.2">
      <c r="A4170" s="30" t="str">
        <f>IF(C4170&amp;G4170&amp;D4170&lt;&gt;'Funnel setup'!$K$3&amp;'Funnel setup'!$K$4&amp;'Funnel setup'!$K$5,".",IF(A4169=".",1,A4169+1))</f>
        <v>.</v>
      </c>
      <c r="B4170" s="431" t="str">
        <f t="shared" si="65"/>
        <v>Knee Replacement PrimaryCCG of GP PracticeNHS NORTH EAST ESSEX CCG (06T)Oxford Knee Score</v>
      </c>
      <c r="C4170" t="s">
        <v>249</v>
      </c>
      <c r="D4170" t="s">
        <v>87</v>
      </c>
      <c r="E4170" t="s">
        <v>642</v>
      </c>
      <c r="F4170" t="s">
        <v>643</v>
      </c>
      <c r="G4170" t="s">
        <v>16</v>
      </c>
      <c r="H4170">
        <v>335</v>
      </c>
      <c r="I4170">
        <v>20.454000000000001</v>
      </c>
      <c r="J4170">
        <v>36.212000000000003</v>
      </c>
      <c r="K4170">
        <v>15.757999999999999</v>
      </c>
      <c r="L4170">
        <v>314</v>
      </c>
      <c r="M4170">
        <v>4</v>
      </c>
      <c r="N4170">
        <v>17</v>
      </c>
      <c r="O4170">
        <v>35.704999999999998</v>
      </c>
      <c r="P4170">
        <v>16.419470069999999</v>
      </c>
      <c r="Q4170">
        <v>8.0980000000000008</v>
      </c>
    </row>
    <row r="4171" spans="1:17" x14ac:dyDescent="0.2">
      <c r="A4171" s="30" t="str">
        <f>IF(C4171&amp;G4171&amp;D4171&lt;&gt;'Funnel setup'!$K$3&amp;'Funnel setup'!$K$4&amp;'Funnel setup'!$K$5,".",IF(A4170=".",1,A4170+1))</f>
        <v>.</v>
      </c>
      <c r="B4171" s="431" t="str">
        <f t="shared" si="65"/>
        <v>Knee Replacement PrimaryCCG of GP PracticeNHS NORTH EAST HAMPSHIRE AND FARNHAM CCG (99M)Oxford Knee Score</v>
      </c>
      <c r="C4171" t="s">
        <v>249</v>
      </c>
      <c r="D4171" t="s">
        <v>87</v>
      </c>
      <c r="E4171" t="s">
        <v>645</v>
      </c>
      <c r="F4171" t="s">
        <v>646</v>
      </c>
      <c r="G4171" t="s">
        <v>16</v>
      </c>
      <c r="H4171">
        <v>189</v>
      </c>
      <c r="I4171">
        <v>21.978999999999999</v>
      </c>
      <c r="J4171">
        <v>37.332999999999998</v>
      </c>
      <c r="K4171">
        <v>15.353999999999999</v>
      </c>
      <c r="L4171">
        <v>176</v>
      </c>
      <c r="M4171">
        <v>0</v>
      </c>
      <c r="N4171">
        <v>13</v>
      </c>
      <c r="O4171">
        <v>35.179000000000002</v>
      </c>
      <c r="P4171">
        <v>15.89385356</v>
      </c>
      <c r="Q4171">
        <v>7.8259999999999996</v>
      </c>
    </row>
    <row r="4172" spans="1:17" x14ac:dyDescent="0.2">
      <c r="A4172" s="30" t="str">
        <f>IF(C4172&amp;G4172&amp;D4172&lt;&gt;'Funnel setup'!$K$3&amp;'Funnel setup'!$K$4&amp;'Funnel setup'!$K$5,".",IF(A4171=".",1,A4171+1))</f>
        <v>.</v>
      </c>
      <c r="B4172" s="431" t="str">
        <f t="shared" si="65"/>
        <v>Knee Replacement PrimaryCCG of GP PracticeNHS NORTH EAST LINCOLNSHIRE CCG (03H)Oxford Knee Score</v>
      </c>
      <c r="C4172" t="s">
        <v>249</v>
      </c>
      <c r="D4172" t="s">
        <v>87</v>
      </c>
      <c r="E4172" t="s">
        <v>648</v>
      </c>
      <c r="F4172" t="s">
        <v>649</v>
      </c>
      <c r="G4172" t="s">
        <v>16</v>
      </c>
      <c r="H4172">
        <v>95</v>
      </c>
      <c r="I4172">
        <v>18.420999999999999</v>
      </c>
      <c r="J4172">
        <v>35.820999999999998</v>
      </c>
      <c r="K4172">
        <v>17.399999999999999</v>
      </c>
      <c r="L4172">
        <v>91</v>
      </c>
      <c r="M4172">
        <v>1</v>
      </c>
      <c r="N4172">
        <v>3</v>
      </c>
      <c r="O4172">
        <v>36.090000000000003</v>
      </c>
      <c r="P4172">
        <v>16.804608909999999</v>
      </c>
      <c r="Q4172">
        <v>8.7319999999999993</v>
      </c>
    </row>
    <row r="4173" spans="1:17" x14ac:dyDescent="0.2">
      <c r="A4173" s="30" t="str">
        <f>IF(C4173&amp;G4173&amp;D4173&lt;&gt;'Funnel setup'!$K$3&amp;'Funnel setup'!$K$4&amp;'Funnel setup'!$K$5,".",IF(A4172=".",1,A4172+1))</f>
        <v>.</v>
      </c>
      <c r="B4173" s="431" t="str">
        <f t="shared" si="65"/>
        <v>Knee Replacement PrimaryCCG of GP PracticeNHS NORTH HAMPSHIRE CCG (10J)Oxford Knee Score</v>
      </c>
      <c r="C4173" t="s">
        <v>249</v>
      </c>
      <c r="D4173" t="s">
        <v>87</v>
      </c>
      <c r="E4173" t="s">
        <v>651</v>
      </c>
      <c r="F4173" t="s">
        <v>652</v>
      </c>
      <c r="G4173" t="s">
        <v>16</v>
      </c>
      <c r="H4173">
        <v>126</v>
      </c>
      <c r="I4173">
        <v>20.888999999999999</v>
      </c>
      <c r="J4173">
        <v>36.04</v>
      </c>
      <c r="K4173">
        <v>15.151</v>
      </c>
      <c r="L4173">
        <v>120</v>
      </c>
      <c r="M4173">
        <v>0</v>
      </c>
      <c r="N4173">
        <v>6</v>
      </c>
      <c r="O4173">
        <v>35.222999999999999</v>
      </c>
      <c r="P4173">
        <v>15.937937939999999</v>
      </c>
      <c r="Q4173">
        <v>7.94</v>
      </c>
    </row>
    <row r="4174" spans="1:17" x14ac:dyDescent="0.2">
      <c r="A4174" s="30" t="str">
        <f>IF(C4174&amp;G4174&amp;D4174&lt;&gt;'Funnel setup'!$K$3&amp;'Funnel setup'!$K$4&amp;'Funnel setup'!$K$5,".",IF(A4173=".",1,A4173+1))</f>
        <v>.</v>
      </c>
      <c r="B4174" s="431" t="str">
        <f t="shared" si="65"/>
        <v>Knee Replacement PrimaryCCG of GP PracticeNHS NORTH KIRKLEES CCG (03J)Oxford Knee Score</v>
      </c>
      <c r="C4174" t="s">
        <v>249</v>
      </c>
      <c r="D4174" t="s">
        <v>87</v>
      </c>
      <c r="E4174" t="s">
        <v>654</v>
      </c>
      <c r="F4174" t="s">
        <v>655</v>
      </c>
      <c r="G4174" t="s">
        <v>16</v>
      </c>
      <c r="H4174">
        <v>148</v>
      </c>
      <c r="I4174">
        <v>20.709</v>
      </c>
      <c r="J4174">
        <v>35.75</v>
      </c>
      <c r="K4174">
        <v>15.041</v>
      </c>
      <c r="L4174">
        <v>136</v>
      </c>
      <c r="M4174">
        <v>1</v>
      </c>
      <c r="N4174">
        <v>11</v>
      </c>
      <c r="O4174">
        <v>35.86</v>
      </c>
      <c r="P4174">
        <v>16.574965339999999</v>
      </c>
      <c r="Q4174">
        <v>8.2739999999999991</v>
      </c>
    </row>
    <row r="4175" spans="1:17" x14ac:dyDescent="0.2">
      <c r="A4175" s="30" t="str">
        <f>IF(C4175&amp;G4175&amp;D4175&lt;&gt;'Funnel setup'!$K$3&amp;'Funnel setup'!$K$4&amp;'Funnel setup'!$K$5,".",IF(A4174=".",1,A4174+1))</f>
        <v>.</v>
      </c>
      <c r="B4175" s="431" t="str">
        <f t="shared" si="65"/>
        <v>Knee Replacement PrimaryCCG of GP PracticeNHS NORTH LINCOLNSHIRE CCG (03K)Oxford Knee Score</v>
      </c>
      <c r="C4175" t="s">
        <v>249</v>
      </c>
      <c r="D4175" t="s">
        <v>87</v>
      </c>
      <c r="E4175" t="s">
        <v>657</v>
      </c>
      <c r="F4175" t="s">
        <v>658</v>
      </c>
      <c r="G4175" t="s">
        <v>16</v>
      </c>
      <c r="H4175">
        <v>200</v>
      </c>
      <c r="I4175">
        <v>18.835000000000001</v>
      </c>
      <c r="J4175">
        <v>35.984999999999999</v>
      </c>
      <c r="K4175">
        <v>17.149999999999999</v>
      </c>
      <c r="L4175">
        <v>188</v>
      </c>
      <c r="M4175">
        <v>4</v>
      </c>
      <c r="N4175">
        <v>8</v>
      </c>
      <c r="O4175">
        <v>35.991999999999997</v>
      </c>
      <c r="P4175">
        <v>16.706225759999999</v>
      </c>
      <c r="Q4175">
        <v>8.8480000000000008</v>
      </c>
    </row>
    <row r="4176" spans="1:17" x14ac:dyDescent="0.2">
      <c r="A4176" s="30" t="str">
        <f>IF(C4176&amp;G4176&amp;D4176&lt;&gt;'Funnel setup'!$K$3&amp;'Funnel setup'!$K$4&amp;'Funnel setup'!$K$5,".",IF(A4175=".",1,A4175+1))</f>
        <v>.</v>
      </c>
      <c r="B4176" s="431" t="str">
        <f t="shared" si="65"/>
        <v>Knee Replacement PrimaryCCG of GP PracticeNHS NORTH MANCHESTER CCG (01M)Oxford Knee Score</v>
      </c>
      <c r="C4176" t="s">
        <v>249</v>
      </c>
      <c r="D4176" t="s">
        <v>87</v>
      </c>
      <c r="E4176" t="s">
        <v>660</v>
      </c>
      <c r="F4176" t="s">
        <v>661</v>
      </c>
      <c r="G4176" t="s">
        <v>16</v>
      </c>
      <c r="H4176">
        <v>101</v>
      </c>
      <c r="I4176">
        <v>16.722999999999999</v>
      </c>
      <c r="J4176">
        <v>32.930999999999997</v>
      </c>
      <c r="K4176">
        <v>16.207999999999998</v>
      </c>
      <c r="L4176">
        <v>94</v>
      </c>
      <c r="M4176">
        <v>0</v>
      </c>
      <c r="N4176">
        <v>7</v>
      </c>
      <c r="O4176">
        <v>35.942</v>
      </c>
      <c r="P4176">
        <v>16.6565932</v>
      </c>
      <c r="Q4176">
        <v>10.223000000000001</v>
      </c>
    </row>
    <row r="4177" spans="1:17" x14ac:dyDescent="0.2">
      <c r="A4177" s="30" t="str">
        <f>IF(C4177&amp;G4177&amp;D4177&lt;&gt;'Funnel setup'!$K$3&amp;'Funnel setup'!$K$4&amp;'Funnel setup'!$K$5,".",IF(A4176=".",1,A4176+1))</f>
        <v>.</v>
      </c>
      <c r="B4177" s="431" t="str">
        <f t="shared" si="65"/>
        <v>Knee Replacement PrimaryCCG of GP PracticeNHS NORTH NORFOLK CCG (06V)Oxford Knee Score</v>
      </c>
      <c r="C4177" t="s">
        <v>249</v>
      </c>
      <c r="D4177" t="s">
        <v>87</v>
      </c>
      <c r="E4177" t="s">
        <v>663</v>
      </c>
      <c r="F4177" t="s">
        <v>664</v>
      </c>
      <c r="G4177" t="s">
        <v>16</v>
      </c>
      <c r="H4177">
        <v>187</v>
      </c>
      <c r="I4177">
        <v>20.079999999999998</v>
      </c>
      <c r="J4177">
        <v>36.625999999999998</v>
      </c>
      <c r="K4177">
        <v>16.545000000000002</v>
      </c>
      <c r="L4177">
        <v>175</v>
      </c>
      <c r="M4177">
        <v>3</v>
      </c>
      <c r="N4177">
        <v>9</v>
      </c>
      <c r="O4177">
        <v>35.951999999999998</v>
      </c>
      <c r="P4177">
        <v>16.667036070000002</v>
      </c>
      <c r="Q4177">
        <v>8.8019999999999996</v>
      </c>
    </row>
    <row r="4178" spans="1:17" x14ac:dyDescent="0.2">
      <c r="A4178" s="30" t="str">
        <f>IF(C4178&amp;G4178&amp;D4178&lt;&gt;'Funnel setup'!$K$3&amp;'Funnel setup'!$K$4&amp;'Funnel setup'!$K$5,".",IF(A4177=".",1,A4177+1))</f>
        <v>.</v>
      </c>
      <c r="B4178" s="431" t="str">
        <f t="shared" si="65"/>
        <v>Knee Replacement PrimaryCCG of GP PracticeNHS NORTH SOMERSET CCG (11T)Oxford Knee Score</v>
      </c>
      <c r="C4178" t="s">
        <v>249</v>
      </c>
      <c r="D4178" t="s">
        <v>87</v>
      </c>
      <c r="E4178" t="s">
        <v>666</v>
      </c>
      <c r="F4178" t="s">
        <v>667</v>
      </c>
      <c r="G4178" t="s">
        <v>16</v>
      </c>
      <c r="H4178">
        <v>201</v>
      </c>
      <c r="I4178">
        <v>19.507000000000001</v>
      </c>
      <c r="J4178">
        <v>37.209000000000003</v>
      </c>
      <c r="K4178">
        <v>17.701000000000001</v>
      </c>
      <c r="L4178">
        <v>198</v>
      </c>
      <c r="M4178">
        <v>0</v>
      </c>
      <c r="N4178">
        <v>3</v>
      </c>
      <c r="O4178">
        <v>36.402000000000001</v>
      </c>
      <c r="P4178">
        <v>17.116238169999999</v>
      </c>
      <c r="Q4178">
        <v>7.6779999999999999</v>
      </c>
    </row>
    <row r="4179" spans="1:17" x14ac:dyDescent="0.2">
      <c r="A4179" s="30" t="str">
        <f>IF(C4179&amp;G4179&amp;D4179&lt;&gt;'Funnel setup'!$K$3&amp;'Funnel setup'!$K$4&amp;'Funnel setup'!$K$5,".",IF(A4178=".",1,A4178+1))</f>
        <v>.</v>
      </c>
      <c r="B4179" s="431" t="str">
        <f t="shared" si="65"/>
        <v>Knee Replacement PrimaryCCG of GP PracticeNHS NORTH STAFFORDSHIRE CCG (05G)Oxford Knee Score</v>
      </c>
      <c r="C4179" t="s">
        <v>249</v>
      </c>
      <c r="D4179" t="s">
        <v>87</v>
      </c>
      <c r="E4179" t="s">
        <v>669</v>
      </c>
      <c r="F4179" t="s">
        <v>670</v>
      </c>
      <c r="G4179" t="s">
        <v>16</v>
      </c>
      <c r="H4179">
        <v>192</v>
      </c>
      <c r="I4179">
        <v>17.364999999999998</v>
      </c>
      <c r="J4179">
        <v>33.223999999999997</v>
      </c>
      <c r="K4179">
        <v>15.859</v>
      </c>
      <c r="L4179">
        <v>176</v>
      </c>
      <c r="M4179">
        <v>1</v>
      </c>
      <c r="N4179">
        <v>15</v>
      </c>
      <c r="O4179">
        <v>34.167999999999999</v>
      </c>
      <c r="P4179">
        <v>14.88221755</v>
      </c>
      <c r="Q4179">
        <v>9.1639999999999997</v>
      </c>
    </row>
    <row r="4180" spans="1:17" x14ac:dyDescent="0.2">
      <c r="A4180" s="30" t="str">
        <f>IF(C4180&amp;G4180&amp;D4180&lt;&gt;'Funnel setup'!$K$3&amp;'Funnel setup'!$K$4&amp;'Funnel setup'!$K$5,".",IF(A4179=".",1,A4179+1))</f>
        <v>.</v>
      </c>
      <c r="B4180" s="431" t="str">
        <f t="shared" si="65"/>
        <v>Knee Replacement PrimaryCCG of GP PracticeNHS NORTH TYNESIDE CCG (99C)Oxford Knee Score</v>
      </c>
      <c r="C4180" t="s">
        <v>249</v>
      </c>
      <c r="D4180" t="s">
        <v>87</v>
      </c>
      <c r="E4180" t="s">
        <v>672</v>
      </c>
      <c r="F4180" t="s">
        <v>673</v>
      </c>
      <c r="G4180" t="s">
        <v>16</v>
      </c>
      <c r="H4180">
        <v>283</v>
      </c>
      <c r="I4180">
        <v>18.375</v>
      </c>
      <c r="J4180">
        <v>35.186999999999998</v>
      </c>
      <c r="K4180">
        <v>16.812999999999999</v>
      </c>
      <c r="L4180">
        <v>273</v>
      </c>
      <c r="M4180">
        <v>1</v>
      </c>
      <c r="N4180">
        <v>9</v>
      </c>
      <c r="O4180">
        <v>35.670999999999999</v>
      </c>
      <c r="P4180">
        <v>16.385576400000001</v>
      </c>
      <c r="Q4180">
        <v>8.4039999999999999</v>
      </c>
    </row>
    <row r="4181" spans="1:17" x14ac:dyDescent="0.2">
      <c r="A4181" s="30" t="str">
        <f>IF(C4181&amp;G4181&amp;D4181&lt;&gt;'Funnel setup'!$K$3&amp;'Funnel setup'!$K$4&amp;'Funnel setup'!$K$5,".",IF(A4180=".",1,A4180+1))</f>
        <v>.</v>
      </c>
      <c r="B4181" s="431" t="str">
        <f t="shared" si="65"/>
        <v>Knee Replacement PrimaryCCG of GP PracticeNHS NORTH WEST SURREY CCG (09Y)Oxford Knee Score</v>
      </c>
      <c r="C4181" t="s">
        <v>249</v>
      </c>
      <c r="D4181" t="s">
        <v>87</v>
      </c>
      <c r="E4181" t="s">
        <v>675</v>
      </c>
      <c r="F4181" t="s">
        <v>676</v>
      </c>
      <c r="G4181" t="s">
        <v>16</v>
      </c>
      <c r="H4181">
        <v>303</v>
      </c>
      <c r="I4181">
        <v>20.439</v>
      </c>
      <c r="J4181">
        <v>35.911000000000001</v>
      </c>
      <c r="K4181">
        <v>15.472</v>
      </c>
      <c r="L4181">
        <v>282</v>
      </c>
      <c r="M4181">
        <v>2</v>
      </c>
      <c r="N4181">
        <v>19</v>
      </c>
      <c r="O4181">
        <v>34.823999999999998</v>
      </c>
      <c r="P4181">
        <v>15.53883038</v>
      </c>
      <c r="Q4181">
        <v>8.2889999999999997</v>
      </c>
    </row>
    <row r="4182" spans="1:17" x14ac:dyDescent="0.2">
      <c r="A4182" s="30" t="str">
        <f>IF(C4182&amp;G4182&amp;D4182&lt;&gt;'Funnel setup'!$K$3&amp;'Funnel setup'!$K$4&amp;'Funnel setup'!$K$5,".",IF(A4181=".",1,A4181+1))</f>
        <v>.</v>
      </c>
      <c r="B4182" s="431" t="str">
        <f t="shared" si="65"/>
        <v>Knee Replacement PrimaryCCG of GP PracticeNHS NORTHERN, EASTERN AND WESTERN DEVON CCG (99P)Oxford Knee Score</v>
      </c>
      <c r="C4182" t="s">
        <v>249</v>
      </c>
      <c r="D4182" t="s">
        <v>87</v>
      </c>
      <c r="E4182" t="s">
        <v>678</v>
      </c>
      <c r="F4182" t="s">
        <v>679</v>
      </c>
      <c r="G4182" t="s">
        <v>16</v>
      </c>
      <c r="H4182">
        <v>1063</v>
      </c>
      <c r="I4182">
        <v>19.887</v>
      </c>
      <c r="J4182">
        <v>36.786000000000001</v>
      </c>
      <c r="K4182">
        <v>16.898</v>
      </c>
      <c r="L4182">
        <v>1014</v>
      </c>
      <c r="M4182">
        <v>12</v>
      </c>
      <c r="N4182">
        <v>37</v>
      </c>
      <c r="O4182">
        <v>36.222999999999999</v>
      </c>
      <c r="P4182">
        <v>16.937332699999999</v>
      </c>
      <c r="Q4182">
        <v>8.0749999999999993</v>
      </c>
    </row>
    <row r="4183" spans="1:17" x14ac:dyDescent="0.2">
      <c r="A4183" s="30" t="str">
        <f>IF(C4183&amp;G4183&amp;D4183&lt;&gt;'Funnel setup'!$K$3&amp;'Funnel setup'!$K$4&amp;'Funnel setup'!$K$5,".",IF(A4182=".",1,A4182+1))</f>
        <v>.</v>
      </c>
      <c r="B4183" s="431" t="str">
        <f t="shared" si="65"/>
        <v>Knee Replacement PrimaryCCG of GP PracticeNHS NORTHUMBERLAND CCG (00L)Oxford Knee Score</v>
      </c>
      <c r="C4183" t="s">
        <v>249</v>
      </c>
      <c r="D4183" t="s">
        <v>87</v>
      </c>
      <c r="E4183" t="s">
        <v>681</v>
      </c>
      <c r="F4183" t="s">
        <v>336</v>
      </c>
      <c r="G4183" t="s">
        <v>16</v>
      </c>
      <c r="H4183">
        <v>423</v>
      </c>
      <c r="I4183">
        <v>19.898</v>
      </c>
      <c r="J4183">
        <v>36.427999999999997</v>
      </c>
      <c r="K4183">
        <v>16.53</v>
      </c>
      <c r="L4183">
        <v>400</v>
      </c>
      <c r="M4183">
        <v>4</v>
      </c>
      <c r="N4183">
        <v>19</v>
      </c>
      <c r="O4183">
        <v>36.222000000000001</v>
      </c>
      <c r="P4183">
        <v>16.93685297</v>
      </c>
      <c r="Q4183">
        <v>8.3079999999999998</v>
      </c>
    </row>
    <row r="4184" spans="1:17" x14ac:dyDescent="0.2">
      <c r="A4184" s="30" t="str">
        <f>IF(C4184&amp;G4184&amp;D4184&lt;&gt;'Funnel setup'!$K$3&amp;'Funnel setup'!$K$4&amp;'Funnel setup'!$K$5,".",IF(A4183=".",1,A4183+1))</f>
        <v>.</v>
      </c>
      <c r="B4184" s="431" t="str">
        <f t="shared" si="65"/>
        <v>Knee Replacement PrimaryCCG of GP PracticeNHS NORWICH CCG (06W)Oxford Knee Score</v>
      </c>
      <c r="C4184" t="s">
        <v>249</v>
      </c>
      <c r="D4184" t="s">
        <v>87</v>
      </c>
      <c r="E4184" t="s">
        <v>770</v>
      </c>
      <c r="F4184" t="s">
        <v>771</v>
      </c>
      <c r="G4184" t="s">
        <v>16</v>
      </c>
      <c r="H4184">
        <v>141</v>
      </c>
      <c r="I4184">
        <v>17.872</v>
      </c>
      <c r="J4184">
        <v>33.39</v>
      </c>
      <c r="K4184">
        <v>15.518000000000001</v>
      </c>
      <c r="L4184">
        <v>125</v>
      </c>
      <c r="M4184">
        <v>5</v>
      </c>
      <c r="N4184">
        <v>11</v>
      </c>
      <c r="O4184">
        <v>34.116</v>
      </c>
      <c r="P4184">
        <v>14.83093575</v>
      </c>
      <c r="Q4184">
        <v>9.2629999999999999</v>
      </c>
    </row>
    <row r="4185" spans="1:17" x14ac:dyDescent="0.2">
      <c r="A4185" s="30" t="str">
        <f>IF(C4185&amp;G4185&amp;D4185&lt;&gt;'Funnel setup'!$K$3&amp;'Funnel setup'!$K$4&amp;'Funnel setup'!$K$5,".",IF(A4184=".",1,A4184+1))</f>
        <v>.</v>
      </c>
      <c r="B4185" s="431" t="str">
        <f t="shared" si="65"/>
        <v>Knee Replacement PrimaryCCG of GP PracticeNHS NOTTINGHAM CITY CCG (04K)Oxford Knee Score</v>
      </c>
      <c r="C4185" t="s">
        <v>249</v>
      </c>
      <c r="D4185" t="s">
        <v>87</v>
      </c>
      <c r="E4185" t="s">
        <v>773</v>
      </c>
      <c r="F4185" t="s">
        <v>774</v>
      </c>
      <c r="G4185" t="s">
        <v>16</v>
      </c>
      <c r="H4185">
        <v>171</v>
      </c>
      <c r="I4185">
        <v>18.228000000000002</v>
      </c>
      <c r="J4185">
        <v>33.326999999999998</v>
      </c>
      <c r="K4185">
        <v>15.099</v>
      </c>
      <c r="L4185">
        <v>157</v>
      </c>
      <c r="M4185">
        <v>2</v>
      </c>
      <c r="N4185">
        <v>12</v>
      </c>
      <c r="O4185">
        <v>34.904000000000003</v>
      </c>
      <c r="P4185">
        <v>15.618660909999999</v>
      </c>
      <c r="Q4185">
        <v>9.0630000000000006</v>
      </c>
    </row>
    <row r="4186" spans="1:17" x14ac:dyDescent="0.2">
      <c r="A4186" s="30" t="str">
        <f>IF(C4186&amp;G4186&amp;D4186&lt;&gt;'Funnel setup'!$K$3&amp;'Funnel setup'!$K$4&amp;'Funnel setup'!$K$5,".",IF(A4185=".",1,A4185+1))</f>
        <v>.</v>
      </c>
      <c r="B4186" s="431" t="str">
        <f t="shared" si="65"/>
        <v>Knee Replacement PrimaryCCG of GP PracticeNHS NOTTINGHAM NORTH AND EAST CCG (04L)Oxford Knee Score</v>
      </c>
      <c r="C4186" t="s">
        <v>249</v>
      </c>
      <c r="D4186" t="s">
        <v>87</v>
      </c>
      <c r="E4186" t="s">
        <v>776</v>
      </c>
      <c r="F4186" t="s">
        <v>777</v>
      </c>
      <c r="G4186" t="s">
        <v>16</v>
      </c>
      <c r="H4186">
        <v>140</v>
      </c>
      <c r="I4186">
        <v>20.029</v>
      </c>
      <c r="J4186">
        <v>36.493000000000002</v>
      </c>
      <c r="K4186">
        <v>16.463999999999999</v>
      </c>
      <c r="L4186">
        <v>131</v>
      </c>
      <c r="M4186">
        <v>0</v>
      </c>
      <c r="N4186">
        <v>9</v>
      </c>
      <c r="O4186">
        <v>36.06</v>
      </c>
      <c r="P4186">
        <v>16.775042729999999</v>
      </c>
      <c r="Q4186">
        <v>7.657</v>
      </c>
    </row>
    <row r="4187" spans="1:17" x14ac:dyDescent="0.2">
      <c r="A4187" s="30" t="str">
        <f>IF(C4187&amp;G4187&amp;D4187&lt;&gt;'Funnel setup'!$K$3&amp;'Funnel setup'!$K$4&amp;'Funnel setup'!$K$5,".",IF(A4186=".",1,A4186+1))</f>
        <v>.</v>
      </c>
      <c r="B4187" s="431" t="str">
        <f t="shared" si="65"/>
        <v>Knee Replacement PrimaryCCG of GP PracticeNHS NOTTINGHAM WEST CCG (04M)Oxford Knee Score</v>
      </c>
      <c r="C4187" t="s">
        <v>249</v>
      </c>
      <c r="D4187" t="s">
        <v>87</v>
      </c>
      <c r="E4187" t="s">
        <v>779</v>
      </c>
      <c r="F4187" t="s">
        <v>780</v>
      </c>
      <c r="G4187" t="s">
        <v>16</v>
      </c>
      <c r="H4187">
        <v>107</v>
      </c>
      <c r="I4187">
        <v>19.271000000000001</v>
      </c>
      <c r="J4187">
        <v>35.055999999999997</v>
      </c>
      <c r="K4187">
        <v>15.785</v>
      </c>
      <c r="L4187">
        <v>101</v>
      </c>
      <c r="M4187">
        <v>1</v>
      </c>
      <c r="N4187">
        <v>5</v>
      </c>
      <c r="O4187">
        <v>34.838999999999999</v>
      </c>
      <c r="P4187">
        <v>15.55362923</v>
      </c>
      <c r="Q4187">
        <v>7.7619999999999996</v>
      </c>
    </row>
    <row r="4188" spans="1:17" x14ac:dyDescent="0.2">
      <c r="A4188" s="30" t="str">
        <f>IF(C4188&amp;G4188&amp;D4188&lt;&gt;'Funnel setup'!$K$3&amp;'Funnel setup'!$K$4&amp;'Funnel setup'!$K$5,".",IF(A4187=".",1,A4187+1))</f>
        <v>.</v>
      </c>
      <c r="B4188" s="431" t="str">
        <f t="shared" si="65"/>
        <v>Knee Replacement PrimaryCCG of GP PracticeNHS OLDHAM CCG (00Y)Oxford Knee Score</v>
      </c>
      <c r="C4188" t="s">
        <v>249</v>
      </c>
      <c r="D4188" t="s">
        <v>87</v>
      </c>
      <c r="E4188" t="s">
        <v>782</v>
      </c>
      <c r="F4188" t="s">
        <v>783</v>
      </c>
      <c r="G4188" t="s">
        <v>16</v>
      </c>
      <c r="H4188">
        <v>151</v>
      </c>
      <c r="I4188">
        <v>17.821000000000002</v>
      </c>
      <c r="J4188">
        <v>33.098999999999997</v>
      </c>
      <c r="K4188">
        <v>15.278</v>
      </c>
      <c r="L4188">
        <v>137</v>
      </c>
      <c r="M4188">
        <v>0</v>
      </c>
      <c r="N4188">
        <v>14</v>
      </c>
      <c r="O4188">
        <v>34.15</v>
      </c>
      <c r="P4188">
        <v>14.865089429999999</v>
      </c>
      <c r="Q4188">
        <v>9.3580000000000005</v>
      </c>
    </row>
    <row r="4189" spans="1:17" x14ac:dyDescent="0.2">
      <c r="A4189" s="30" t="str">
        <f>IF(C4189&amp;G4189&amp;D4189&lt;&gt;'Funnel setup'!$K$3&amp;'Funnel setup'!$K$4&amp;'Funnel setup'!$K$5,".",IF(A4188=".",1,A4188+1))</f>
        <v>.</v>
      </c>
      <c r="B4189" s="431" t="str">
        <f t="shared" si="65"/>
        <v>Knee Replacement PrimaryCCG of GP PracticeNHS OXFORDSHIRE CCG (10Q)Oxford Knee Score</v>
      </c>
      <c r="C4189" t="s">
        <v>249</v>
      </c>
      <c r="D4189" t="s">
        <v>87</v>
      </c>
      <c r="E4189" t="s">
        <v>785</v>
      </c>
      <c r="F4189" t="s">
        <v>786</v>
      </c>
      <c r="G4189" t="s">
        <v>16</v>
      </c>
      <c r="H4189">
        <v>320</v>
      </c>
      <c r="I4189">
        <v>19.158999999999999</v>
      </c>
      <c r="J4189">
        <v>35.447000000000003</v>
      </c>
      <c r="K4189">
        <v>16.288</v>
      </c>
      <c r="L4189">
        <v>307</v>
      </c>
      <c r="M4189">
        <v>3</v>
      </c>
      <c r="N4189">
        <v>10</v>
      </c>
      <c r="O4189">
        <v>34.814999999999998</v>
      </c>
      <c r="P4189">
        <v>15.529596420000001</v>
      </c>
      <c r="Q4189">
        <v>7.8360000000000003</v>
      </c>
    </row>
    <row r="4190" spans="1:17" x14ac:dyDescent="0.2">
      <c r="A4190" s="30" t="str">
        <f>IF(C4190&amp;G4190&amp;D4190&lt;&gt;'Funnel setup'!$K$3&amp;'Funnel setup'!$K$4&amp;'Funnel setup'!$K$5,".",IF(A4189=".",1,A4189+1))</f>
        <v>.</v>
      </c>
      <c r="B4190" s="431" t="str">
        <f t="shared" si="65"/>
        <v>Knee Replacement PrimaryCCG of GP PracticeNHS PORTSMOUTH CCG (10R)Oxford Knee Score</v>
      </c>
      <c r="C4190" t="s">
        <v>249</v>
      </c>
      <c r="D4190" t="s">
        <v>87</v>
      </c>
      <c r="E4190" t="s">
        <v>788</v>
      </c>
      <c r="F4190" t="s">
        <v>789</v>
      </c>
      <c r="G4190" t="s">
        <v>16</v>
      </c>
      <c r="H4190">
        <v>57</v>
      </c>
      <c r="I4190">
        <v>17.420999999999999</v>
      </c>
      <c r="J4190">
        <v>33.456000000000003</v>
      </c>
      <c r="K4190">
        <v>16.035</v>
      </c>
      <c r="L4190">
        <v>54</v>
      </c>
      <c r="M4190">
        <v>0</v>
      </c>
      <c r="N4190">
        <v>3</v>
      </c>
      <c r="O4190">
        <v>34.125999999999998</v>
      </c>
      <c r="P4190">
        <v>14.84067331</v>
      </c>
      <c r="Q4190">
        <v>9.0830000000000002</v>
      </c>
    </row>
    <row r="4191" spans="1:17" x14ac:dyDescent="0.2">
      <c r="A4191" s="30" t="str">
        <f>IF(C4191&amp;G4191&amp;D4191&lt;&gt;'Funnel setup'!$K$3&amp;'Funnel setup'!$K$4&amp;'Funnel setup'!$K$5,".",IF(A4190=".",1,A4190+1))</f>
        <v>.</v>
      </c>
      <c r="B4191" s="431" t="str">
        <f t="shared" si="65"/>
        <v>Knee Replacement PrimaryCCG of GP PracticeNHS REDBRIDGE CCG (08N)Oxford Knee Score</v>
      </c>
      <c r="C4191" t="s">
        <v>249</v>
      </c>
      <c r="D4191" t="s">
        <v>87</v>
      </c>
      <c r="E4191" t="s">
        <v>791</v>
      </c>
      <c r="F4191" t="s">
        <v>792</v>
      </c>
      <c r="G4191" t="s">
        <v>16</v>
      </c>
      <c r="H4191">
        <v>98</v>
      </c>
      <c r="I4191">
        <v>16.989999999999998</v>
      </c>
      <c r="J4191">
        <v>32.448999999999998</v>
      </c>
      <c r="K4191">
        <v>15.459</v>
      </c>
      <c r="L4191">
        <v>93</v>
      </c>
      <c r="M4191">
        <v>0</v>
      </c>
      <c r="N4191">
        <v>5</v>
      </c>
      <c r="O4191">
        <v>34.651000000000003</v>
      </c>
      <c r="P4191">
        <v>15.366028310000001</v>
      </c>
      <c r="Q4191">
        <v>9.1020000000000003</v>
      </c>
    </row>
    <row r="4192" spans="1:17" x14ac:dyDescent="0.2">
      <c r="A4192" s="30" t="str">
        <f>IF(C4192&amp;G4192&amp;D4192&lt;&gt;'Funnel setup'!$K$3&amp;'Funnel setup'!$K$4&amp;'Funnel setup'!$K$5,".",IF(A4191=".",1,A4191+1))</f>
        <v>.</v>
      </c>
      <c r="B4192" s="431" t="str">
        <f t="shared" si="65"/>
        <v>Knee Replacement PrimaryCCG of GP PracticeNHS REDDITCH AND BROMSGROVE CCG (05J)Oxford Knee Score</v>
      </c>
      <c r="C4192" t="s">
        <v>249</v>
      </c>
      <c r="D4192" t="s">
        <v>87</v>
      </c>
      <c r="E4192" t="s">
        <v>794</v>
      </c>
      <c r="F4192" t="s">
        <v>795</v>
      </c>
      <c r="G4192" t="s">
        <v>16</v>
      </c>
      <c r="H4192">
        <v>150</v>
      </c>
      <c r="I4192">
        <v>20.466999999999999</v>
      </c>
      <c r="J4192">
        <v>36.747</v>
      </c>
      <c r="K4192">
        <v>16.28</v>
      </c>
      <c r="L4192">
        <v>142</v>
      </c>
      <c r="M4192">
        <v>2</v>
      </c>
      <c r="N4192">
        <v>6</v>
      </c>
      <c r="O4192">
        <v>36.109000000000002</v>
      </c>
      <c r="P4192">
        <v>16.824069349999998</v>
      </c>
      <c r="Q4192">
        <v>8.1709999999999994</v>
      </c>
    </row>
    <row r="4193" spans="1:17" x14ac:dyDescent="0.2">
      <c r="A4193" s="30" t="str">
        <f>IF(C4193&amp;G4193&amp;D4193&lt;&gt;'Funnel setup'!$K$3&amp;'Funnel setup'!$K$4&amp;'Funnel setup'!$K$5,".",IF(A4192=".",1,A4192+1))</f>
        <v>.</v>
      </c>
      <c r="B4193" s="431" t="str">
        <f t="shared" si="65"/>
        <v>Knee Replacement PrimaryCCG of GP PracticeNHS RICHMOND CCG (08P)Oxford Knee Score</v>
      </c>
      <c r="C4193" t="s">
        <v>249</v>
      </c>
      <c r="D4193" t="s">
        <v>87</v>
      </c>
      <c r="E4193" t="s">
        <v>797</v>
      </c>
      <c r="F4193" t="s">
        <v>798</v>
      </c>
      <c r="G4193" t="s">
        <v>16</v>
      </c>
      <c r="H4193">
        <v>58</v>
      </c>
      <c r="I4193">
        <v>20.585999999999999</v>
      </c>
      <c r="J4193">
        <v>37.31</v>
      </c>
      <c r="K4193">
        <v>16.724</v>
      </c>
      <c r="L4193">
        <v>58</v>
      </c>
      <c r="M4193">
        <v>0</v>
      </c>
      <c r="N4193">
        <v>0</v>
      </c>
      <c r="O4193">
        <v>36.08</v>
      </c>
      <c r="P4193">
        <v>16.795033190000002</v>
      </c>
      <c r="Q4193">
        <v>7.3540000000000001</v>
      </c>
    </row>
    <row r="4194" spans="1:17" x14ac:dyDescent="0.2">
      <c r="A4194" s="30" t="str">
        <f>IF(C4194&amp;G4194&amp;D4194&lt;&gt;'Funnel setup'!$K$3&amp;'Funnel setup'!$K$4&amp;'Funnel setup'!$K$5,".",IF(A4193=".",1,A4193+1))</f>
        <v>.</v>
      </c>
      <c r="B4194" s="431" t="str">
        <f t="shared" si="65"/>
        <v>Knee Replacement PrimaryCCG of GP PracticeNHS ROTHERHAM CCG (03L)Oxford Knee Score</v>
      </c>
      <c r="C4194" t="s">
        <v>249</v>
      </c>
      <c r="D4194" t="s">
        <v>87</v>
      </c>
      <c r="E4194" t="s">
        <v>800</v>
      </c>
      <c r="F4194" t="s">
        <v>801</v>
      </c>
      <c r="G4194" t="s">
        <v>16</v>
      </c>
      <c r="H4194">
        <v>211</v>
      </c>
      <c r="I4194">
        <v>17.009</v>
      </c>
      <c r="J4194">
        <v>34.909999999999997</v>
      </c>
      <c r="K4194">
        <v>17.899999999999999</v>
      </c>
      <c r="L4194">
        <v>201</v>
      </c>
      <c r="M4194">
        <v>2</v>
      </c>
      <c r="N4194">
        <v>8</v>
      </c>
      <c r="O4194">
        <v>36.125999999999998</v>
      </c>
      <c r="P4194">
        <v>16.840704970000001</v>
      </c>
      <c r="Q4194">
        <v>8.4139999999999997</v>
      </c>
    </row>
    <row r="4195" spans="1:17" x14ac:dyDescent="0.2">
      <c r="A4195" s="30" t="str">
        <f>IF(C4195&amp;G4195&amp;D4195&lt;&gt;'Funnel setup'!$K$3&amp;'Funnel setup'!$K$4&amp;'Funnel setup'!$K$5,".",IF(A4194=".",1,A4194+1))</f>
        <v>.</v>
      </c>
      <c r="B4195" s="431" t="str">
        <f t="shared" si="65"/>
        <v>Knee Replacement PrimaryCCG of GP PracticeNHS RUSHCLIFFE CCG (04N)Oxford Knee Score</v>
      </c>
      <c r="C4195" t="s">
        <v>249</v>
      </c>
      <c r="D4195" t="s">
        <v>87</v>
      </c>
      <c r="E4195" t="s">
        <v>803</v>
      </c>
      <c r="F4195" t="s">
        <v>804</v>
      </c>
      <c r="G4195" t="s">
        <v>16</v>
      </c>
      <c r="H4195">
        <v>112</v>
      </c>
      <c r="I4195">
        <v>21.795000000000002</v>
      </c>
      <c r="J4195">
        <v>36.204999999999998</v>
      </c>
      <c r="K4195">
        <v>14.411</v>
      </c>
      <c r="L4195">
        <v>101</v>
      </c>
      <c r="M4195">
        <v>1</v>
      </c>
      <c r="N4195">
        <v>10</v>
      </c>
      <c r="O4195">
        <v>34.031999999999996</v>
      </c>
      <c r="P4195">
        <v>14.74624672</v>
      </c>
      <c r="Q4195">
        <v>8.8699999999999992</v>
      </c>
    </row>
    <row r="4196" spans="1:17" x14ac:dyDescent="0.2">
      <c r="A4196" s="30" t="str">
        <f>IF(C4196&amp;G4196&amp;D4196&lt;&gt;'Funnel setup'!$K$3&amp;'Funnel setup'!$K$4&amp;'Funnel setup'!$K$5,".",IF(A4195=".",1,A4195+1))</f>
        <v>.</v>
      </c>
      <c r="B4196" s="431" t="str">
        <f t="shared" si="65"/>
        <v>Knee Replacement PrimaryCCG of GP PracticeNHS SALFORD CCG (01G)Oxford Knee Score</v>
      </c>
      <c r="C4196" t="s">
        <v>249</v>
      </c>
      <c r="D4196" t="s">
        <v>87</v>
      </c>
      <c r="E4196" t="s">
        <v>806</v>
      </c>
      <c r="F4196" t="s">
        <v>807</v>
      </c>
      <c r="G4196" t="s">
        <v>16</v>
      </c>
      <c r="H4196">
        <v>159</v>
      </c>
      <c r="I4196">
        <v>18.181999999999999</v>
      </c>
      <c r="J4196">
        <v>32.131999999999998</v>
      </c>
      <c r="K4196">
        <v>13.95</v>
      </c>
      <c r="L4196">
        <v>145</v>
      </c>
      <c r="M4196">
        <v>1</v>
      </c>
      <c r="N4196">
        <v>13</v>
      </c>
      <c r="O4196">
        <v>33.466999999999999</v>
      </c>
      <c r="P4196">
        <v>14.18159507</v>
      </c>
      <c r="Q4196">
        <v>9.5210000000000008</v>
      </c>
    </row>
    <row r="4197" spans="1:17" x14ac:dyDescent="0.2">
      <c r="A4197" s="30" t="str">
        <f>IF(C4197&amp;G4197&amp;D4197&lt;&gt;'Funnel setup'!$K$3&amp;'Funnel setup'!$K$4&amp;'Funnel setup'!$K$5,".",IF(A4196=".",1,A4196+1))</f>
        <v>.</v>
      </c>
      <c r="B4197" s="431" t="str">
        <f t="shared" si="65"/>
        <v>Knee Replacement PrimaryCCG of GP PracticeNHS SANDWELL AND WEST BIRMINGHAM CCG (05L)Oxford Knee Score</v>
      </c>
      <c r="C4197" t="s">
        <v>249</v>
      </c>
      <c r="D4197" t="s">
        <v>87</v>
      </c>
      <c r="E4197" t="s">
        <v>809</v>
      </c>
      <c r="F4197" t="s">
        <v>810</v>
      </c>
      <c r="G4197" t="s">
        <v>16</v>
      </c>
      <c r="H4197">
        <v>293</v>
      </c>
      <c r="I4197">
        <v>16.13</v>
      </c>
      <c r="J4197">
        <v>32.191000000000003</v>
      </c>
      <c r="K4197">
        <v>16.061</v>
      </c>
      <c r="L4197">
        <v>274</v>
      </c>
      <c r="M4197">
        <v>3</v>
      </c>
      <c r="N4197">
        <v>16</v>
      </c>
      <c r="O4197">
        <v>35.252000000000002</v>
      </c>
      <c r="P4197">
        <v>15.966205370000001</v>
      </c>
      <c r="Q4197">
        <v>9.4489999999999998</v>
      </c>
    </row>
    <row r="4198" spans="1:17" x14ac:dyDescent="0.2">
      <c r="A4198" s="30" t="str">
        <f>IF(C4198&amp;G4198&amp;D4198&lt;&gt;'Funnel setup'!$K$3&amp;'Funnel setup'!$K$4&amp;'Funnel setup'!$K$5,".",IF(A4197=".",1,A4197+1))</f>
        <v>.</v>
      </c>
      <c r="B4198" s="431" t="str">
        <f t="shared" si="65"/>
        <v>Knee Replacement PrimaryCCG of GP PracticeNHS SCARBOROUGH AND RYEDALE CCG (03M)Oxford Knee Score</v>
      </c>
      <c r="C4198" t="s">
        <v>249</v>
      </c>
      <c r="D4198" t="s">
        <v>87</v>
      </c>
      <c r="E4198" t="s">
        <v>812</v>
      </c>
      <c r="F4198" t="s">
        <v>813</v>
      </c>
      <c r="G4198" t="s">
        <v>16</v>
      </c>
      <c r="H4198">
        <v>143</v>
      </c>
      <c r="I4198">
        <v>18.378</v>
      </c>
      <c r="J4198">
        <v>35.335999999999999</v>
      </c>
      <c r="K4198">
        <v>16.957999999999998</v>
      </c>
      <c r="L4198">
        <v>136</v>
      </c>
      <c r="M4198">
        <v>1</v>
      </c>
      <c r="N4198">
        <v>6</v>
      </c>
      <c r="O4198">
        <v>35.731999999999999</v>
      </c>
      <c r="P4198">
        <v>16.446859790000001</v>
      </c>
      <c r="Q4198">
        <v>8.7100000000000009</v>
      </c>
    </row>
    <row r="4199" spans="1:17" x14ac:dyDescent="0.2">
      <c r="A4199" s="30" t="str">
        <f>IF(C4199&amp;G4199&amp;D4199&lt;&gt;'Funnel setup'!$K$3&amp;'Funnel setup'!$K$4&amp;'Funnel setup'!$K$5,".",IF(A4198=".",1,A4198+1))</f>
        <v>.</v>
      </c>
      <c r="B4199" s="431" t="str">
        <f t="shared" si="65"/>
        <v>Knee Replacement PrimaryCCG of GP PracticeNHS SHEFFIELD CCG (03N)Oxford Knee Score</v>
      </c>
      <c r="C4199" t="s">
        <v>249</v>
      </c>
      <c r="D4199" t="s">
        <v>87</v>
      </c>
      <c r="E4199" t="s">
        <v>815</v>
      </c>
      <c r="F4199" t="s">
        <v>816</v>
      </c>
      <c r="G4199" t="s">
        <v>16</v>
      </c>
      <c r="H4199">
        <v>520</v>
      </c>
      <c r="I4199">
        <v>17.763000000000002</v>
      </c>
      <c r="J4199">
        <v>35.268999999999998</v>
      </c>
      <c r="K4199">
        <v>17.506</v>
      </c>
      <c r="L4199">
        <v>497</v>
      </c>
      <c r="M4199">
        <v>4</v>
      </c>
      <c r="N4199">
        <v>19</v>
      </c>
      <c r="O4199">
        <v>35.994999999999997</v>
      </c>
      <c r="P4199">
        <v>16.710076990000001</v>
      </c>
      <c r="Q4199">
        <v>8.4909999999999997</v>
      </c>
    </row>
    <row r="4200" spans="1:17" x14ac:dyDescent="0.2">
      <c r="A4200" s="30" t="str">
        <f>IF(C4200&amp;G4200&amp;D4200&lt;&gt;'Funnel setup'!$K$3&amp;'Funnel setup'!$K$4&amp;'Funnel setup'!$K$5,".",IF(A4199=".",1,A4199+1))</f>
        <v>.</v>
      </c>
      <c r="B4200" s="431" t="str">
        <f t="shared" si="65"/>
        <v>Knee Replacement PrimaryCCG of GP PracticeNHS SHROPSHIRE CCG (05N)Oxford Knee Score</v>
      </c>
      <c r="C4200" t="s">
        <v>249</v>
      </c>
      <c r="D4200" t="s">
        <v>87</v>
      </c>
      <c r="E4200" t="s">
        <v>818</v>
      </c>
      <c r="F4200" t="s">
        <v>819</v>
      </c>
      <c r="G4200" t="s">
        <v>16</v>
      </c>
      <c r="H4200">
        <v>383</v>
      </c>
      <c r="I4200">
        <v>18.381</v>
      </c>
      <c r="J4200">
        <v>36.942999999999998</v>
      </c>
      <c r="K4200">
        <v>18.561</v>
      </c>
      <c r="L4200">
        <v>371</v>
      </c>
      <c r="M4200">
        <v>0</v>
      </c>
      <c r="N4200">
        <v>12</v>
      </c>
      <c r="O4200">
        <v>35.732999999999997</v>
      </c>
      <c r="P4200">
        <v>16.447572059999999</v>
      </c>
      <c r="Q4200">
        <v>8.2219999999999995</v>
      </c>
    </row>
    <row r="4201" spans="1:17" x14ac:dyDescent="0.2">
      <c r="A4201" s="30" t="str">
        <f>IF(C4201&amp;G4201&amp;D4201&lt;&gt;'Funnel setup'!$K$3&amp;'Funnel setup'!$K$4&amp;'Funnel setup'!$K$5,".",IF(A4200=".",1,A4200+1))</f>
        <v>.</v>
      </c>
      <c r="B4201" s="431" t="str">
        <f t="shared" si="65"/>
        <v>Knee Replacement PrimaryCCG of GP PracticeNHS SLOUGH CCG (10T)Oxford Knee Score</v>
      </c>
      <c r="C4201" t="s">
        <v>249</v>
      </c>
      <c r="D4201" t="s">
        <v>87</v>
      </c>
      <c r="E4201" t="s">
        <v>821</v>
      </c>
      <c r="F4201" t="s">
        <v>822</v>
      </c>
      <c r="G4201" t="s">
        <v>16</v>
      </c>
      <c r="H4201">
        <v>55</v>
      </c>
      <c r="I4201">
        <v>18.364000000000001</v>
      </c>
      <c r="J4201">
        <v>31.527000000000001</v>
      </c>
      <c r="K4201">
        <v>13.164</v>
      </c>
      <c r="L4201">
        <v>50</v>
      </c>
      <c r="M4201">
        <v>0</v>
      </c>
      <c r="N4201">
        <v>5</v>
      </c>
      <c r="O4201">
        <v>32.997</v>
      </c>
      <c r="P4201">
        <v>13.71190021</v>
      </c>
      <c r="Q4201">
        <v>8.1470000000000002</v>
      </c>
    </row>
    <row r="4202" spans="1:17" x14ac:dyDescent="0.2">
      <c r="A4202" s="30" t="str">
        <f>IF(C4202&amp;G4202&amp;D4202&lt;&gt;'Funnel setup'!$K$3&amp;'Funnel setup'!$K$4&amp;'Funnel setup'!$K$5,".",IF(A4201=".",1,A4201+1))</f>
        <v>.</v>
      </c>
      <c r="B4202" s="431" t="str">
        <f t="shared" si="65"/>
        <v>Knee Replacement PrimaryCCG of GP PracticeNHS SOLIHULL CCG (05P)Oxford Knee Score</v>
      </c>
      <c r="C4202" t="s">
        <v>249</v>
      </c>
      <c r="D4202" t="s">
        <v>87</v>
      </c>
      <c r="E4202" t="s">
        <v>824</v>
      </c>
      <c r="F4202" t="s">
        <v>825</v>
      </c>
      <c r="G4202" t="s">
        <v>16</v>
      </c>
      <c r="H4202">
        <v>262</v>
      </c>
      <c r="I4202">
        <v>19.481000000000002</v>
      </c>
      <c r="J4202">
        <v>34.655999999999999</v>
      </c>
      <c r="K4202">
        <v>15.176</v>
      </c>
      <c r="L4202">
        <v>237</v>
      </c>
      <c r="M4202">
        <v>3</v>
      </c>
      <c r="N4202">
        <v>22</v>
      </c>
      <c r="O4202">
        <v>35.005000000000003</v>
      </c>
      <c r="P4202">
        <v>15.71944972</v>
      </c>
      <c r="Q4202">
        <v>8.81</v>
      </c>
    </row>
    <row r="4203" spans="1:17" x14ac:dyDescent="0.2">
      <c r="A4203" s="30" t="str">
        <f>IF(C4203&amp;G4203&amp;D4203&lt;&gt;'Funnel setup'!$K$3&amp;'Funnel setup'!$K$4&amp;'Funnel setup'!$K$5,".",IF(A4202=".",1,A4202+1))</f>
        <v>.</v>
      </c>
      <c r="B4203" s="431" t="str">
        <f t="shared" si="65"/>
        <v>Knee Replacement PrimaryCCG of GP PracticeNHS SOMERSET CCG (11X)Oxford Knee Score</v>
      </c>
      <c r="C4203" t="s">
        <v>249</v>
      </c>
      <c r="D4203" t="s">
        <v>87</v>
      </c>
      <c r="E4203" t="s">
        <v>827</v>
      </c>
      <c r="F4203" t="s">
        <v>828</v>
      </c>
      <c r="G4203" t="s">
        <v>16</v>
      </c>
      <c r="H4203">
        <v>443</v>
      </c>
      <c r="I4203">
        <v>19.856000000000002</v>
      </c>
      <c r="J4203">
        <v>38.072000000000003</v>
      </c>
      <c r="K4203">
        <v>18.216999999999999</v>
      </c>
      <c r="L4203">
        <v>425</v>
      </c>
      <c r="M4203">
        <v>5</v>
      </c>
      <c r="N4203">
        <v>13</v>
      </c>
      <c r="O4203">
        <v>37.167000000000002</v>
      </c>
      <c r="P4203">
        <v>17.881370050000001</v>
      </c>
      <c r="Q4203">
        <v>7.7640000000000002</v>
      </c>
    </row>
    <row r="4204" spans="1:17" x14ac:dyDescent="0.2">
      <c r="A4204" s="30" t="str">
        <f>IF(C4204&amp;G4204&amp;D4204&lt;&gt;'Funnel setup'!$K$3&amp;'Funnel setup'!$K$4&amp;'Funnel setup'!$K$5,".",IF(A4203=".",1,A4203+1))</f>
        <v>.</v>
      </c>
      <c r="B4204" s="431" t="str">
        <f t="shared" si="65"/>
        <v>Knee Replacement PrimaryCCG of GP PracticeNHS SOUTH CHESHIRE CCG (01R)Oxford Knee Score</v>
      </c>
      <c r="C4204" t="s">
        <v>249</v>
      </c>
      <c r="D4204" t="s">
        <v>87</v>
      </c>
      <c r="E4204" t="s">
        <v>830</v>
      </c>
      <c r="F4204" t="s">
        <v>831</v>
      </c>
      <c r="G4204" t="s">
        <v>16</v>
      </c>
      <c r="H4204">
        <v>180</v>
      </c>
      <c r="I4204">
        <v>20.861000000000001</v>
      </c>
      <c r="J4204">
        <v>36.478000000000002</v>
      </c>
      <c r="K4204">
        <v>15.617000000000001</v>
      </c>
      <c r="L4204">
        <v>164</v>
      </c>
      <c r="M4204">
        <v>2</v>
      </c>
      <c r="N4204">
        <v>14</v>
      </c>
      <c r="O4204">
        <v>34.688000000000002</v>
      </c>
      <c r="P4204">
        <v>15.40298482</v>
      </c>
      <c r="Q4204">
        <v>7.9720000000000004</v>
      </c>
    </row>
    <row r="4205" spans="1:17" x14ac:dyDescent="0.2">
      <c r="A4205" s="30" t="str">
        <f>IF(C4205&amp;G4205&amp;D4205&lt;&gt;'Funnel setup'!$K$3&amp;'Funnel setup'!$K$4&amp;'Funnel setup'!$K$5,".",IF(A4204=".",1,A4204+1))</f>
        <v>.</v>
      </c>
      <c r="B4205" s="431" t="str">
        <f t="shared" si="65"/>
        <v>Knee Replacement PrimaryCCG of GP PracticeNHS SOUTH DEVON AND TORBAY CCG (99Q)Oxford Knee Score</v>
      </c>
      <c r="C4205" t="s">
        <v>249</v>
      </c>
      <c r="D4205" t="s">
        <v>87</v>
      </c>
      <c r="E4205" t="s">
        <v>833</v>
      </c>
      <c r="F4205" t="s">
        <v>834</v>
      </c>
      <c r="G4205" t="s">
        <v>16</v>
      </c>
      <c r="H4205">
        <v>342</v>
      </c>
      <c r="I4205">
        <v>19.544</v>
      </c>
      <c r="J4205">
        <v>35.57</v>
      </c>
      <c r="K4205">
        <v>16.026</v>
      </c>
      <c r="L4205">
        <v>323</v>
      </c>
      <c r="M4205">
        <v>4</v>
      </c>
      <c r="N4205">
        <v>15</v>
      </c>
      <c r="O4205">
        <v>35.57</v>
      </c>
      <c r="P4205">
        <v>16.284159880000001</v>
      </c>
      <c r="Q4205">
        <v>8.6750000000000007</v>
      </c>
    </row>
    <row r="4206" spans="1:17" x14ac:dyDescent="0.2">
      <c r="A4206" s="30" t="str">
        <f>IF(C4206&amp;G4206&amp;D4206&lt;&gt;'Funnel setup'!$K$3&amp;'Funnel setup'!$K$4&amp;'Funnel setup'!$K$5,".",IF(A4205=".",1,A4205+1))</f>
        <v>.</v>
      </c>
      <c r="B4206" s="431" t="str">
        <f t="shared" si="65"/>
        <v>Knee Replacement PrimaryCCG of GP PracticeNHS SOUTH EAST STAFFORDSHIRE AND SEISDON PENINSULA CCG (05Q)Oxford Knee Score</v>
      </c>
      <c r="C4206" t="s">
        <v>249</v>
      </c>
      <c r="D4206" t="s">
        <v>87</v>
      </c>
      <c r="E4206" t="s">
        <v>836</v>
      </c>
      <c r="F4206" t="s">
        <v>837</v>
      </c>
      <c r="G4206" t="s">
        <v>16</v>
      </c>
      <c r="H4206">
        <v>235</v>
      </c>
      <c r="I4206">
        <v>18.719000000000001</v>
      </c>
      <c r="J4206">
        <v>35.442999999999998</v>
      </c>
      <c r="K4206">
        <v>16.722999999999999</v>
      </c>
      <c r="L4206">
        <v>221</v>
      </c>
      <c r="M4206">
        <v>2</v>
      </c>
      <c r="N4206">
        <v>12</v>
      </c>
      <c r="O4206">
        <v>35.279000000000003</v>
      </c>
      <c r="P4206">
        <v>15.99373495</v>
      </c>
      <c r="Q4206">
        <v>8.6669999999999998</v>
      </c>
    </row>
    <row r="4207" spans="1:17" x14ac:dyDescent="0.2">
      <c r="A4207" s="30" t="str">
        <f>IF(C4207&amp;G4207&amp;D4207&lt;&gt;'Funnel setup'!$K$3&amp;'Funnel setup'!$K$4&amp;'Funnel setup'!$K$5,".",IF(A4206=".",1,A4206+1))</f>
        <v>.</v>
      </c>
      <c r="B4207" s="431" t="str">
        <f t="shared" si="65"/>
        <v>Knee Replacement PrimaryCCG of GP PracticeNHS SOUTH EASTERN HAMPSHIRE CCG (10V)Oxford Knee Score</v>
      </c>
      <c r="C4207" t="s">
        <v>249</v>
      </c>
      <c r="D4207" t="s">
        <v>87</v>
      </c>
      <c r="E4207" t="s">
        <v>839</v>
      </c>
      <c r="F4207" t="s">
        <v>840</v>
      </c>
      <c r="G4207" t="s">
        <v>16</v>
      </c>
      <c r="H4207">
        <v>121</v>
      </c>
      <c r="I4207">
        <v>20.364000000000001</v>
      </c>
      <c r="J4207">
        <v>37.81</v>
      </c>
      <c r="K4207">
        <v>17.446000000000002</v>
      </c>
      <c r="L4207">
        <v>119</v>
      </c>
      <c r="M4207">
        <v>0</v>
      </c>
      <c r="N4207">
        <v>2</v>
      </c>
      <c r="O4207">
        <v>36.521000000000001</v>
      </c>
      <c r="P4207">
        <v>17.23534463</v>
      </c>
      <c r="Q4207">
        <v>7.1360000000000001</v>
      </c>
    </row>
    <row r="4208" spans="1:17" x14ac:dyDescent="0.2">
      <c r="A4208" s="30" t="str">
        <f>IF(C4208&amp;G4208&amp;D4208&lt;&gt;'Funnel setup'!$K$3&amp;'Funnel setup'!$K$4&amp;'Funnel setup'!$K$5,".",IF(A4207=".",1,A4207+1))</f>
        <v>.</v>
      </c>
      <c r="B4208" s="431" t="str">
        <f t="shared" si="65"/>
        <v>Knee Replacement PrimaryCCG of GP PracticeNHS SOUTH GLOUCESTERSHIRE CCG (12A)Oxford Knee Score</v>
      </c>
      <c r="C4208" t="s">
        <v>249</v>
      </c>
      <c r="D4208" t="s">
        <v>87</v>
      </c>
      <c r="E4208" t="s">
        <v>842</v>
      </c>
      <c r="F4208" t="s">
        <v>843</v>
      </c>
      <c r="G4208" t="s">
        <v>16</v>
      </c>
      <c r="H4208">
        <v>228</v>
      </c>
      <c r="I4208">
        <v>20.013000000000002</v>
      </c>
      <c r="J4208">
        <v>37.654000000000003</v>
      </c>
      <c r="K4208">
        <v>17.64</v>
      </c>
      <c r="L4208">
        <v>218</v>
      </c>
      <c r="M4208">
        <v>2</v>
      </c>
      <c r="N4208">
        <v>8</v>
      </c>
      <c r="O4208">
        <v>36.256999999999998</v>
      </c>
      <c r="P4208">
        <v>16.971829549999999</v>
      </c>
      <c r="Q4208">
        <v>7.6589999999999998</v>
      </c>
    </row>
    <row r="4209" spans="1:17" x14ac:dyDescent="0.2">
      <c r="A4209" s="30" t="str">
        <f>IF(C4209&amp;G4209&amp;D4209&lt;&gt;'Funnel setup'!$K$3&amp;'Funnel setup'!$K$4&amp;'Funnel setup'!$K$5,".",IF(A4208=".",1,A4208+1))</f>
        <v>.</v>
      </c>
      <c r="B4209" s="431" t="str">
        <f t="shared" si="65"/>
        <v>Knee Replacement PrimaryCCG of GP PracticeNHS SOUTH KENT COAST CCG (10A)Oxford Knee Score</v>
      </c>
      <c r="C4209" t="s">
        <v>249</v>
      </c>
      <c r="D4209" t="s">
        <v>87</v>
      </c>
      <c r="E4209" t="s">
        <v>845</v>
      </c>
      <c r="F4209" t="s">
        <v>846</v>
      </c>
      <c r="G4209" t="s">
        <v>16</v>
      </c>
      <c r="H4209">
        <v>163</v>
      </c>
      <c r="I4209">
        <v>19.428999999999998</v>
      </c>
      <c r="J4209">
        <v>34.552</v>
      </c>
      <c r="K4209">
        <v>15.122999999999999</v>
      </c>
      <c r="L4209">
        <v>145</v>
      </c>
      <c r="M4209">
        <v>3</v>
      </c>
      <c r="N4209">
        <v>15</v>
      </c>
      <c r="O4209">
        <v>34.533000000000001</v>
      </c>
      <c r="P4209">
        <v>15.247286040000001</v>
      </c>
      <c r="Q4209">
        <v>8.8930000000000007</v>
      </c>
    </row>
    <row r="4210" spans="1:17" x14ac:dyDescent="0.2">
      <c r="A4210" s="30" t="str">
        <f>IF(C4210&amp;G4210&amp;D4210&lt;&gt;'Funnel setup'!$K$3&amp;'Funnel setup'!$K$4&amp;'Funnel setup'!$K$5,".",IF(A4209=".",1,A4209+1))</f>
        <v>.</v>
      </c>
      <c r="B4210" s="431" t="str">
        <f t="shared" si="65"/>
        <v>Knee Replacement PrimaryCCG of GP PracticeNHS SOUTH LINCOLNSHIRE CCG (99D)Oxford Knee Score</v>
      </c>
      <c r="C4210" t="s">
        <v>249</v>
      </c>
      <c r="D4210" t="s">
        <v>87</v>
      </c>
      <c r="E4210" t="s">
        <v>848</v>
      </c>
      <c r="F4210" t="s">
        <v>849</v>
      </c>
      <c r="G4210" t="s">
        <v>16</v>
      </c>
      <c r="H4210">
        <v>215</v>
      </c>
      <c r="I4210">
        <v>20.628</v>
      </c>
      <c r="J4210">
        <v>35.93</v>
      </c>
      <c r="K4210">
        <v>15.302</v>
      </c>
      <c r="L4210">
        <v>198</v>
      </c>
      <c r="M4210">
        <v>1</v>
      </c>
      <c r="N4210">
        <v>16</v>
      </c>
      <c r="O4210">
        <v>34.728999999999999</v>
      </c>
      <c r="P4210">
        <v>15.443229430000001</v>
      </c>
      <c r="Q4210">
        <v>8.6199999999999992</v>
      </c>
    </row>
    <row r="4211" spans="1:17" x14ac:dyDescent="0.2">
      <c r="A4211" s="30" t="str">
        <f>IF(C4211&amp;G4211&amp;D4211&lt;&gt;'Funnel setup'!$K$3&amp;'Funnel setup'!$K$4&amp;'Funnel setup'!$K$5,".",IF(A4210=".",1,A4210+1))</f>
        <v>.</v>
      </c>
      <c r="B4211" s="431" t="str">
        <f t="shared" si="65"/>
        <v>Knee Replacement PrimaryCCG of GP PracticeNHS SOUTH MANCHESTER CCG (01N)Oxford Knee Score</v>
      </c>
      <c r="C4211" t="s">
        <v>249</v>
      </c>
      <c r="D4211" t="s">
        <v>87</v>
      </c>
      <c r="E4211" t="s">
        <v>851</v>
      </c>
      <c r="F4211" t="s">
        <v>852</v>
      </c>
      <c r="G4211" t="s">
        <v>16</v>
      </c>
      <c r="H4211">
        <v>66</v>
      </c>
      <c r="I4211">
        <v>18.954999999999998</v>
      </c>
      <c r="J4211">
        <v>32.863999999999997</v>
      </c>
      <c r="K4211">
        <v>13.909000000000001</v>
      </c>
      <c r="L4211">
        <v>59</v>
      </c>
      <c r="M4211">
        <v>1</v>
      </c>
      <c r="N4211">
        <v>6</v>
      </c>
      <c r="O4211">
        <v>34.792999999999999</v>
      </c>
      <c r="P4211">
        <v>15.50739411</v>
      </c>
      <c r="Q4211">
        <v>9.2840000000000007</v>
      </c>
    </row>
    <row r="4212" spans="1:17" x14ac:dyDescent="0.2">
      <c r="A4212" s="30" t="str">
        <f>IF(C4212&amp;G4212&amp;D4212&lt;&gt;'Funnel setup'!$K$3&amp;'Funnel setup'!$K$4&amp;'Funnel setup'!$K$5,".",IF(A4211=".",1,A4211+1))</f>
        <v>.</v>
      </c>
      <c r="B4212" s="431" t="str">
        <f t="shared" si="65"/>
        <v>Knee Replacement PrimaryCCG of GP PracticeNHS SOUTH NORFOLK CCG (06Y)Oxford Knee Score</v>
      </c>
      <c r="C4212" t="s">
        <v>249</v>
      </c>
      <c r="D4212" t="s">
        <v>87</v>
      </c>
      <c r="E4212" t="s">
        <v>932</v>
      </c>
      <c r="F4212" t="s">
        <v>933</v>
      </c>
      <c r="G4212" t="s">
        <v>16</v>
      </c>
      <c r="H4212">
        <v>198</v>
      </c>
      <c r="I4212">
        <v>19.581</v>
      </c>
      <c r="J4212">
        <v>35.308</v>
      </c>
      <c r="K4212">
        <v>15.727</v>
      </c>
      <c r="L4212">
        <v>185</v>
      </c>
      <c r="M4212">
        <v>2</v>
      </c>
      <c r="N4212">
        <v>11</v>
      </c>
      <c r="O4212">
        <v>34.503999999999998</v>
      </c>
      <c r="P4212">
        <v>15.21887663</v>
      </c>
      <c r="Q4212">
        <v>8.7970000000000006</v>
      </c>
    </row>
    <row r="4213" spans="1:17" x14ac:dyDescent="0.2">
      <c r="A4213" s="30" t="str">
        <f>IF(C4213&amp;G4213&amp;D4213&lt;&gt;'Funnel setup'!$K$3&amp;'Funnel setup'!$K$4&amp;'Funnel setup'!$K$5,".",IF(A4212=".",1,A4212+1))</f>
        <v>.</v>
      </c>
      <c r="B4213" s="431" t="str">
        <f t="shared" si="65"/>
        <v>Knee Replacement PrimaryCCG of GP PracticeNHS SOUTH READING CCG (10W)Oxford Knee Score</v>
      </c>
      <c r="C4213" t="s">
        <v>249</v>
      </c>
      <c r="D4213" t="s">
        <v>87</v>
      </c>
      <c r="E4213" t="s">
        <v>935</v>
      </c>
      <c r="F4213" t="s">
        <v>936</v>
      </c>
      <c r="G4213" t="s">
        <v>16</v>
      </c>
      <c r="H4213">
        <v>36</v>
      </c>
      <c r="I4213">
        <v>21</v>
      </c>
      <c r="J4213">
        <v>36.082999999999998</v>
      </c>
      <c r="K4213">
        <v>15.083</v>
      </c>
      <c r="L4213">
        <v>34</v>
      </c>
      <c r="M4213">
        <v>0</v>
      </c>
      <c r="N4213">
        <v>2</v>
      </c>
      <c r="O4213">
        <v>35.097000000000001</v>
      </c>
      <c r="P4213">
        <v>15.811756040000001</v>
      </c>
      <c r="Q4213">
        <v>7.4889999999999999</v>
      </c>
    </row>
    <row r="4214" spans="1:17" x14ac:dyDescent="0.2">
      <c r="A4214" s="30" t="str">
        <f>IF(C4214&amp;G4214&amp;D4214&lt;&gt;'Funnel setup'!$K$3&amp;'Funnel setup'!$K$4&amp;'Funnel setup'!$K$5,".",IF(A4213=".",1,A4213+1))</f>
        <v>.</v>
      </c>
      <c r="B4214" s="431" t="str">
        <f t="shared" si="65"/>
        <v>Knee Replacement PrimaryCCG of GP PracticeNHS SOUTH SEFTON CCG (01T)Oxford Knee Score</v>
      </c>
      <c r="C4214" t="s">
        <v>249</v>
      </c>
      <c r="D4214" t="s">
        <v>87</v>
      </c>
      <c r="E4214" t="s">
        <v>938</v>
      </c>
      <c r="F4214" t="s">
        <v>939</v>
      </c>
      <c r="G4214" t="s">
        <v>16</v>
      </c>
      <c r="H4214">
        <v>121</v>
      </c>
      <c r="I4214">
        <v>17.62</v>
      </c>
      <c r="J4214">
        <v>33.289000000000001</v>
      </c>
      <c r="K4214">
        <v>15.669</v>
      </c>
      <c r="L4214">
        <v>115</v>
      </c>
      <c r="M4214">
        <v>0</v>
      </c>
      <c r="N4214">
        <v>6</v>
      </c>
      <c r="O4214">
        <v>34.984999999999999</v>
      </c>
      <c r="P4214">
        <v>15.69958589</v>
      </c>
      <c r="Q4214">
        <v>8.9649999999999999</v>
      </c>
    </row>
    <row r="4215" spans="1:17" x14ac:dyDescent="0.2">
      <c r="A4215" s="30" t="str">
        <f>IF(C4215&amp;G4215&amp;D4215&lt;&gt;'Funnel setup'!$K$3&amp;'Funnel setup'!$K$4&amp;'Funnel setup'!$K$5,".",IF(A4214=".",1,A4214+1))</f>
        <v>.</v>
      </c>
      <c r="B4215" s="431" t="str">
        <f t="shared" si="65"/>
        <v>Knee Replacement PrimaryCCG of GP PracticeNHS SOUTH TEES CCG (00M)Oxford Knee Score</v>
      </c>
      <c r="C4215" t="s">
        <v>249</v>
      </c>
      <c r="D4215" t="s">
        <v>87</v>
      </c>
      <c r="E4215" t="s">
        <v>941</v>
      </c>
      <c r="F4215" t="s">
        <v>942</v>
      </c>
      <c r="G4215" t="s">
        <v>16</v>
      </c>
      <c r="H4215">
        <v>363</v>
      </c>
      <c r="I4215">
        <v>18.812999999999999</v>
      </c>
      <c r="J4215">
        <v>35.686</v>
      </c>
      <c r="K4215">
        <v>16.873000000000001</v>
      </c>
      <c r="L4215">
        <v>344</v>
      </c>
      <c r="M4215">
        <v>5</v>
      </c>
      <c r="N4215">
        <v>14</v>
      </c>
      <c r="O4215">
        <v>36.729999999999997</v>
      </c>
      <c r="P4215">
        <v>17.444923930000002</v>
      </c>
      <c r="Q4215">
        <v>8.3840000000000003</v>
      </c>
    </row>
    <row r="4216" spans="1:17" x14ac:dyDescent="0.2">
      <c r="A4216" s="30" t="str">
        <f>IF(C4216&amp;G4216&amp;D4216&lt;&gt;'Funnel setup'!$K$3&amp;'Funnel setup'!$K$4&amp;'Funnel setup'!$K$5,".",IF(A4215=".",1,A4215+1))</f>
        <v>.</v>
      </c>
      <c r="B4216" s="431" t="str">
        <f t="shared" si="65"/>
        <v>Knee Replacement PrimaryCCG of GP PracticeNHS SOUTH TYNESIDE CCG (00N)Oxford Knee Score</v>
      </c>
      <c r="C4216" t="s">
        <v>249</v>
      </c>
      <c r="D4216" t="s">
        <v>87</v>
      </c>
      <c r="E4216" t="s">
        <v>1016</v>
      </c>
      <c r="F4216" t="s">
        <v>1017</v>
      </c>
      <c r="G4216" t="s">
        <v>16</v>
      </c>
      <c r="H4216">
        <v>142</v>
      </c>
      <c r="I4216">
        <v>18.57</v>
      </c>
      <c r="J4216">
        <v>33.5</v>
      </c>
      <c r="K4216">
        <v>14.93</v>
      </c>
      <c r="L4216">
        <v>126</v>
      </c>
      <c r="M4216">
        <v>1</v>
      </c>
      <c r="N4216">
        <v>15</v>
      </c>
      <c r="O4216">
        <v>34.091000000000001</v>
      </c>
      <c r="P4216">
        <v>14.80535047</v>
      </c>
      <c r="Q4216">
        <v>10.227</v>
      </c>
    </row>
    <row r="4217" spans="1:17" x14ac:dyDescent="0.2">
      <c r="A4217" s="30" t="str">
        <f>IF(C4217&amp;G4217&amp;D4217&lt;&gt;'Funnel setup'!$K$3&amp;'Funnel setup'!$K$4&amp;'Funnel setup'!$K$5,".",IF(A4216=".",1,A4216+1))</f>
        <v>.</v>
      </c>
      <c r="B4217" s="431" t="str">
        <f t="shared" si="65"/>
        <v>Knee Replacement PrimaryCCG of GP PracticeNHS SOUTH WARWICKSHIRE CCG (05R)Oxford Knee Score</v>
      </c>
      <c r="C4217" t="s">
        <v>249</v>
      </c>
      <c r="D4217" t="s">
        <v>87</v>
      </c>
      <c r="E4217" t="s">
        <v>944</v>
      </c>
      <c r="F4217" t="s">
        <v>945</v>
      </c>
      <c r="G4217" t="s">
        <v>16</v>
      </c>
      <c r="H4217">
        <v>277</v>
      </c>
      <c r="I4217">
        <v>20.971</v>
      </c>
      <c r="J4217">
        <v>35.819000000000003</v>
      </c>
      <c r="K4217">
        <v>14.848000000000001</v>
      </c>
      <c r="L4217">
        <v>256</v>
      </c>
      <c r="M4217">
        <v>3</v>
      </c>
      <c r="N4217">
        <v>18</v>
      </c>
      <c r="O4217">
        <v>34.613</v>
      </c>
      <c r="P4217">
        <v>15.32731427</v>
      </c>
      <c r="Q4217">
        <v>8.5839999999999996</v>
      </c>
    </row>
    <row r="4218" spans="1:17" x14ac:dyDescent="0.2">
      <c r="A4218" s="30" t="str">
        <f>IF(C4218&amp;G4218&amp;D4218&lt;&gt;'Funnel setup'!$K$3&amp;'Funnel setup'!$K$4&amp;'Funnel setup'!$K$5,".",IF(A4217=".",1,A4217+1))</f>
        <v>.</v>
      </c>
      <c r="B4218" s="431" t="str">
        <f t="shared" si="65"/>
        <v>Knee Replacement PrimaryCCG of GP PracticeNHS SOUTH WEST LINCOLNSHIRE CCG (04Q)Oxford Knee Score</v>
      </c>
      <c r="C4218" t="s">
        <v>249</v>
      </c>
      <c r="D4218" t="s">
        <v>87</v>
      </c>
      <c r="E4218" t="s">
        <v>947</v>
      </c>
      <c r="F4218" t="s">
        <v>948</v>
      </c>
      <c r="G4218" t="s">
        <v>16</v>
      </c>
      <c r="H4218">
        <v>125</v>
      </c>
      <c r="I4218">
        <v>19.559999999999999</v>
      </c>
      <c r="J4218">
        <v>35.591999999999999</v>
      </c>
      <c r="K4218">
        <v>16.032</v>
      </c>
      <c r="L4218">
        <v>112</v>
      </c>
      <c r="M4218">
        <v>2</v>
      </c>
      <c r="N4218">
        <v>11</v>
      </c>
      <c r="O4218">
        <v>35.177</v>
      </c>
      <c r="P4218">
        <v>15.891806770000001</v>
      </c>
      <c r="Q4218">
        <v>9.5289999999999999</v>
      </c>
    </row>
    <row r="4219" spans="1:17" x14ac:dyDescent="0.2">
      <c r="A4219" s="30" t="str">
        <f>IF(C4219&amp;G4219&amp;D4219&lt;&gt;'Funnel setup'!$K$3&amp;'Funnel setup'!$K$4&amp;'Funnel setup'!$K$5,".",IF(A4218=".",1,A4218+1))</f>
        <v>.</v>
      </c>
      <c r="B4219" s="431" t="str">
        <f t="shared" si="65"/>
        <v>Knee Replacement PrimaryCCG of GP PracticeNHS SOUTH WORCESTERSHIRE CCG (05T)Oxford Knee Score</v>
      </c>
      <c r="C4219" t="s">
        <v>249</v>
      </c>
      <c r="D4219" t="s">
        <v>87</v>
      </c>
      <c r="E4219" t="s">
        <v>950</v>
      </c>
      <c r="F4219" t="s">
        <v>951</v>
      </c>
      <c r="G4219" t="s">
        <v>16</v>
      </c>
      <c r="H4219">
        <v>184</v>
      </c>
      <c r="I4219">
        <v>21.510999999999999</v>
      </c>
      <c r="J4219">
        <v>37.097999999999999</v>
      </c>
      <c r="K4219">
        <v>15.587</v>
      </c>
      <c r="L4219">
        <v>173</v>
      </c>
      <c r="M4219">
        <v>3</v>
      </c>
      <c r="N4219">
        <v>8</v>
      </c>
      <c r="O4219">
        <v>35.731000000000002</v>
      </c>
      <c r="P4219">
        <v>16.446062049999998</v>
      </c>
      <c r="Q4219">
        <v>8.0839999999999996</v>
      </c>
    </row>
    <row r="4220" spans="1:17" x14ac:dyDescent="0.2">
      <c r="A4220" s="30" t="str">
        <f>IF(C4220&amp;G4220&amp;D4220&lt;&gt;'Funnel setup'!$K$3&amp;'Funnel setup'!$K$4&amp;'Funnel setup'!$K$5,".",IF(A4219=".",1,A4219+1))</f>
        <v>.</v>
      </c>
      <c r="B4220" s="431" t="str">
        <f t="shared" si="65"/>
        <v>Knee Replacement PrimaryCCG of GP PracticeNHS SOUTHAMPTON CCG (10X)Oxford Knee Score</v>
      </c>
      <c r="C4220" t="s">
        <v>249</v>
      </c>
      <c r="D4220" t="s">
        <v>87</v>
      </c>
      <c r="E4220" t="s">
        <v>953</v>
      </c>
      <c r="F4220" t="s">
        <v>954</v>
      </c>
      <c r="G4220" t="s">
        <v>16</v>
      </c>
      <c r="H4220">
        <v>182</v>
      </c>
      <c r="I4220">
        <v>18.28</v>
      </c>
      <c r="J4220">
        <v>34.505000000000003</v>
      </c>
      <c r="K4220">
        <v>16.225000000000001</v>
      </c>
      <c r="L4220">
        <v>170</v>
      </c>
      <c r="M4220">
        <v>1</v>
      </c>
      <c r="N4220">
        <v>11</v>
      </c>
      <c r="O4220">
        <v>35.131</v>
      </c>
      <c r="P4220">
        <v>15.84590317</v>
      </c>
      <c r="Q4220">
        <v>8.875</v>
      </c>
    </row>
    <row r="4221" spans="1:17" x14ac:dyDescent="0.2">
      <c r="A4221" s="30" t="str">
        <f>IF(C4221&amp;G4221&amp;D4221&lt;&gt;'Funnel setup'!$K$3&amp;'Funnel setup'!$K$4&amp;'Funnel setup'!$K$5,".",IF(A4220=".",1,A4220+1))</f>
        <v>.</v>
      </c>
      <c r="B4221" s="431" t="str">
        <f t="shared" si="65"/>
        <v>Knee Replacement PrimaryCCG of GP PracticeNHS SOUTHEND CCG (99G)Oxford Knee Score</v>
      </c>
      <c r="C4221" t="s">
        <v>249</v>
      </c>
      <c r="D4221" t="s">
        <v>87</v>
      </c>
      <c r="E4221" t="s">
        <v>956</v>
      </c>
      <c r="F4221" t="s">
        <v>957</v>
      </c>
      <c r="G4221" t="s">
        <v>16</v>
      </c>
      <c r="H4221">
        <v>122</v>
      </c>
      <c r="I4221">
        <v>18.574000000000002</v>
      </c>
      <c r="J4221">
        <v>34.466999999999999</v>
      </c>
      <c r="K4221">
        <v>15.893000000000001</v>
      </c>
      <c r="L4221">
        <v>112</v>
      </c>
      <c r="M4221">
        <v>2</v>
      </c>
      <c r="N4221">
        <v>8</v>
      </c>
      <c r="O4221">
        <v>34.933999999999997</v>
      </c>
      <c r="P4221">
        <v>15.64847168</v>
      </c>
      <c r="Q4221">
        <v>8.4260000000000002</v>
      </c>
    </row>
    <row r="4222" spans="1:17" x14ac:dyDescent="0.2">
      <c r="A4222" s="30" t="str">
        <f>IF(C4222&amp;G4222&amp;D4222&lt;&gt;'Funnel setup'!$K$3&amp;'Funnel setup'!$K$4&amp;'Funnel setup'!$K$5,".",IF(A4221=".",1,A4221+1))</f>
        <v>.</v>
      </c>
      <c r="B4222" s="431" t="str">
        <f t="shared" si="65"/>
        <v>Knee Replacement PrimaryCCG of GP PracticeNHS SOUTHERN DERBYSHIRE CCG (04R)Oxford Knee Score</v>
      </c>
      <c r="C4222" t="s">
        <v>249</v>
      </c>
      <c r="D4222" t="s">
        <v>87</v>
      </c>
      <c r="E4222" t="s">
        <v>959</v>
      </c>
      <c r="F4222" t="s">
        <v>960</v>
      </c>
      <c r="G4222" t="s">
        <v>16</v>
      </c>
      <c r="H4222">
        <v>484</v>
      </c>
      <c r="I4222">
        <v>20.192</v>
      </c>
      <c r="J4222">
        <v>36.374000000000002</v>
      </c>
      <c r="K4222">
        <v>16.181999999999999</v>
      </c>
      <c r="L4222">
        <v>459</v>
      </c>
      <c r="M4222">
        <v>5</v>
      </c>
      <c r="N4222">
        <v>20</v>
      </c>
      <c r="O4222">
        <v>35.795999999999999</v>
      </c>
      <c r="P4222">
        <v>16.510368759999999</v>
      </c>
      <c r="Q4222">
        <v>7.8330000000000002</v>
      </c>
    </row>
    <row r="4223" spans="1:17" x14ac:dyDescent="0.2">
      <c r="A4223" s="30" t="str">
        <f>IF(C4223&amp;G4223&amp;D4223&lt;&gt;'Funnel setup'!$K$3&amp;'Funnel setup'!$K$4&amp;'Funnel setup'!$K$5,".",IF(A4222=".",1,A4222+1))</f>
        <v>.</v>
      </c>
      <c r="B4223" s="431" t="str">
        <f t="shared" si="65"/>
        <v>Knee Replacement PrimaryCCG of GP PracticeNHS SOUTHPORT AND FORMBY CCG (01V)Oxford Knee Score</v>
      </c>
      <c r="C4223" t="s">
        <v>249</v>
      </c>
      <c r="D4223" t="s">
        <v>87</v>
      </c>
      <c r="E4223" t="s">
        <v>962</v>
      </c>
      <c r="F4223" t="s">
        <v>963</v>
      </c>
      <c r="G4223" t="s">
        <v>16</v>
      </c>
      <c r="H4223">
        <v>98</v>
      </c>
      <c r="I4223">
        <v>18.632999999999999</v>
      </c>
      <c r="J4223">
        <v>34.683999999999997</v>
      </c>
      <c r="K4223">
        <v>16.050999999999998</v>
      </c>
      <c r="L4223">
        <v>93</v>
      </c>
      <c r="M4223">
        <v>0</v>
      </c>
      <c r="N4223">
        <v>5</v>
      </c>
      <c r="O4223">
        <v>34.478000000000002</v>
      </c>
      <c r="P4223">
        <v>15.192875600000001</v>
      </c>
      <c r="Q4223">
        <v>8.6760000000000002</v>
      </c>
    </row>
    <row r="4224" spans="1:17" x14ac:dyDescent="0.2">
      <c r="A4224" s="30" t="str">
        <f>IF(C4224&amp;G4224&amp;D4224&lt;&gt;'Funnel setup'!$K$3&amp;'Funnel setup'!$K$4&amp;'Funnel setup'!$K$5,".",IF(A4223=".",1,A4223+1))</f>
        <v>.</v>
      </c>
      <c r="B4224" s="431" t="str">
        <f t="shared" si="65"/>
        <v>Knee Replacement PrimaryCCG of GP PracticeNHS SOUTHWARK CCG (08Q)Oxford Knee Score</v>
      </c>
      <c r="C4224" t="s">
        <v>249</v>
      </c>
      <c r="D4224" t="s">
        <v>87</v>
      </c>
      <c r="E4224" t="s">
        <v>965</v>
      </c>
      <c r="F4224" t="s">
        <v>966</v>
      </c>
      <c r="G4224" t="s">
        <v>16</v>
      </c>
      <c r="H4224">
        <v>54</v>
      </c>
      <c r="I4224">
        <v>14.333</v>
      </c>
      <c r="J4224">
        <v>30.5</v>
      </c>
      <c r="K4224">
        <v>16.167000000000002</v>
      </c>
      <c r="L4224">
        <v>49</v>
      </c>
      <c r="M4224">
        <v>1</v>
      </c>
      <c r="N4224">
        <v>4</v>
      </c>
      <c r="O4224">
        <v>34.716000000000001</v>
      </c>
      <c r="P4224">
        <v>15.43023198</v>
      </c>
      <c r="Q4224">
        <v>10.044</v>
      </c>
    </row>
    <row r="4225" spans="1:17" x14ac:dyDescent="0.2">
      <c r="A4225" s="30" t="str">
        <f>IF(C4225&amp;G4225&amp;D4225&lt;&gt;'Funnel setup'!$K$3&amp;'Funnel setup'!$K$4&amp;'Funnel setup'!$K$5,".",IF(A4224=".",1,A4224+1))</f>
        <v>.</v>
      </c>
      <c r="B4225" s="431" t="str">
        <f t="shared" si="65"/>
        <v>Knee Replacement PrimaryCCG of GP PracticeNHS ST HELENS CCG (01X)Oxford Knee Score</v>
      </c>
      <c r="C4225" t="s">
        <v>249</v>
      </c>
      <c r="D4225" t="s">
        <v>87</v>
      </c>
      <c r="E4225" t="s">
        <v>968</v>
      </c>
      <c r="F4225" t="s">
        <v>969</v>
      </c>
      <c r="G4225" t="s">
        <v>16</v>
      </c>
      <c r="H4225">
        <v>200</v>
      </c>
      <c r="I4225">
        <v>18.664999999999999</v>
      </c>
      <c r="J4225">
        <v>33.89</v>
      </c>
      <c r="K4225">
        <v>15.225</v>
      </c>
      <c r="L4225">
        <v>184</v>
      </c>
      <c r="M4225">
        <v>2</v>
      </c>
      <c r="N4225">
        <v>14</v>
      </c>
      <c r="O4225">
        <v>34.771999999999998</v>
      </c>
      <c r="P4225">
        <v>15.486468370000001</v>
      </c>
      <c r="Q4225">
        <v>8.6310000000000002</v>
      </c>
    </row>
    <row r="4226" spans="1:17" x14ac:dyDescent="0.2">
      <c r="A4226" s="30" t="str">
        <f>IF(C4226&amp;G4226&amp;D4226&lt;&gt;'Funnel setup'!$K$3&amp;'Funnel setup'!$K$4&amp;'Funnel setup'!$K$5,".",IF(A4225=".",1,A4225+1))</f>
        <v>.</v>
      </c>
      <c r="B4226" s="431" t="str">
        <f t="shared" si="65"/>
        <v>Knee Replacement PrimaryCCG of GP PracticeNHS STAFFORD AND SURROUNDS CCG (05V)Oxford Knee Score</v>
      </c>
      <c r="C4226" t="s">
        <v>249</v>
      </c>
      <c r="D4226" t="s">
        <v>87</v>
      </c>
      <c r="E4226" t="s">
        <v>971</v>
      </c>
      <c r="F4226" t="s">
        <v>972</v>
      </c>
      <c r="G4226" t="s">
        <v>16</v>
      </c>
      <c r="H4226">
        <v>146</v>
      </c>
      <c r="I4226">
        <v>20.041</v>
      </c>
      <c r="J4226">
        <v>36.822000000000003</v>
      </c>
      <c r="K4226">
        <v>16.780999999999999</v>
      </c>
      <c r="L4226">
        <v>140</v>
      </c>
      <c r="M4226">
        <v>1</v>
      </c>
      <c r="N4226">
        <v>5</v>
      </c>
      <c r="O4226">
        <v>35.959000000000003</v>
      </c>
      <c r="P4226">
        <v>16.673260490000001</v>
      </c>
      <c r="Q4226">
        <v>7.6459999999999999</v>
      </c>
    </row>
    <row r="4227" spans="1:17" x14ac:dyDescent="0.2">
      <c r="A4227" s="30" t="str">
        <f>IF(C4227&amp;G4227&amp;D4227&lt;&gt;'Funnel setup'!$K$3&amp;'Funnel setup'!$K$4&amp;'Funnel setup'!$K$5,".",IF(A4226=".",1,A4226+1))</f>
        <v>.</v>
      </c>
      <c r="B4227" s="431" t="str">
        <f t="shared" ref="B4227:B4290" si="66">C4227&amp;D4227&amp;F4227&amp;G4227</f>
        <v>Knee Replacement PrimaryCCG of GP PracticeNHS STOCKPORT CCG (01W)Oxford Knee Score</v>
      </c>
      <c r="C4227" t="s">
        <v>249</v>
      </c>
      <c r="D4227" t="s">
        <v>87</v>
      </c>
      <c r="E4227" t="s">
        <v>974</v>
      </c>
      <c r="F4227" t="s">
        <v>975</v>
      </c>
      <c r="G4227" t="s">
        <v>16</v>
      </c>
      <c r="H4227">
        <v>180</v>
      </c>
      <c r="I4227">
        <v>19.128</v>
      </c>
      <c r="J4227">
        <v>37.200000000000003</v>
      </c>
      <c r="K4227">
        <v>18.071999999999999</v>
      </c>
      <c r="L4227">
        <v>175</v>
      </c>
      <c r="M4227">
        <v>1</v>
      </c>
      <c r="N4227">
        <v>4</v>
      </c>
      <c r="O4227">
        <v>36.878999999999998</v>
      </c>
      <c r="P4227">
        <v>17.59349752</v>
      </c>
      <c r="Q4227">
        <v>7.1180000000000003</v>
      </c>
    </row>
    <row r="4228" spans="1:17" x14ac:dyDescent="0.2">
      <c r="A4228" s="30" t="str">
        <f>IF(C4228&amp;G4228&amp;D4228&lt;&gt;'Funnel setup'!$K$3&amp;'Funnel setup'!$K$4&amp;'Funnel setup'!$K$5,".",IF(A4227=".",1,A4227+1))</f>
        <v>.</v>
      </c>
      <c r="B4228" s="431" t="str">
        <f t="shared" si="66"/>
        <v>Knee Replacement PrimaryCCG of GP PracticeNHS STOKE ON TRENT CCG (05W)Oxford Knee Score</v>
      </c>
      <c r="C4228" t="s">
        <v>249</v>
      </c>
      <c r="D4228" t="s">
        <v>87</v>
      </c>
      <c r="E4228" t="s">
        <v>977</v>
      </c>
      <c r="F4228" t="s">
        <v>978</v>
      </c>
      <c r="G4228" t="s">
        <v>16</v>
      </c>
      <c r="H4228">
        <v>182</v>
      </c>
      <c r="I4228">
        <v>15.121</v>
      </c>
      <c r="J4228">
        <v>30.962</v>
      </c>
      <c r="K4228">
        <v>15.840999999999999</v>
      </c>
      <c r="L4228">
        <v>168</v>
      </c>
      <c r="M4228">
        <v>3</v>
      </c>
      <c r="N4228">
        <v>11</v>
      </c>
      <c r="O4228">
        <v>33.585999999999999</v>
      </c>
      <c r="P4228">
        <v>14.300386250000001</v>
      </c>
      <c r="Q4228">
        <v>9.1039999999999992</v>
      </c>
    </row>
    <row r="4229" spans="1:17" x14ac:dyDescent="0.2">
      <c r="A4229" s="30" t="str">
        <f>IF(C4229&amp;G4229&amp;D4229&lt;&gt;'Funnel setup'!$K$3&amp;'Funnel setup'!$K$4&amp;'Funnel setup'!$K$5,".",IF(A4228=".",1,A4228+1))</f>
        <v>.</v>
      </c>
      <c r="B4229" s="431" t="str">
        <f t="shared" si="66"/>
        <v>Knee Replacement PrimaryCCG of GP PracticeNHS SUNDERLAND CCG (00P)Oxford Knee Score</v>
      </c>
      <c r="C4229" t="s">
        <v>249</v>
      </c>
      <c r="D4229" t="s">
        <v>87</v>
      </c>
      <c r="E4229" t="s">
        <v>980</v>
      </c>
      <c r="F4229" t="s">
        <v>981</v>
      </c>
      <c r="G4229" t="s">
        <v>16</v>
      </c>
      <c r="H4229">
        <v>282</v>
      </c>
      <c r="I4229">
        <v>17.832999999999998</v>
      </c>
      <c r="J4229">
        <v>33.259</v>
      </c>
      <c r="K4229">
        <v>15.426</v>
      </c>
      <c r="L4229">
        <v>263</v>
      </c>
      <c r="M4229">
        <v>2</v>
      </c>
      <c r="N4229">
        <v>17</v>
      </c>
      <c r="O4229">
        <v>34.863999999999997</v>
      </c>
      <c r="P4229">
        <v>15.57859419</v>
      </c>
      <c r="Q4229">
        <v>8.9969999999999999</v>
      </c>
    </row>
    <row r="4230" spans="1:17" x14ac:dyDescent="0.2">
      <c r="A4230" s="30" t="str">
        <f>IF(C4230&amp;G4230&amp;D4230&lt;&gt;'Funnel setup'!$K$3&amp;'Funnel setup'!$K$4&amp;'Funnel setup'!$K$5,".",IF(A4229=".",1,A4229+1))</f>
        <v>.</v>
      </c>
      <c r="B4230" s="431" t="str">
        <f t="shared" si="66"/>
        <v>Knee Replacement PrimaryCCG of GP PracticeNHS SURREY DOWNS CCG (99H)Oxford Knee Score</v>
      </c>
      <c r="C4230" t="s">
        <v>249</v>
      </c>
      <c r="D4230" t="s">
        <v>87</v>
      </c>
      <c r="E4230" t="s">
        <v>983</v>
      </c>
      <c r="F4230" t="s">
        <v>984</v>
      </c>
      <c r="G4230" t="s">
        <v>16</v>
      </c>
      <c r="H4230">
        <v>164</v>
      </c>
      <c r="I4230">
        <v>21.798999999999999</v>
      </c>
      <c r="J4230">
        <v>36.091000000000001</v>
      </c>
      <c r="K4230">
        <v>14.292999999999999</v>
      </c>
      <c r="L4230">
        <v>153</v>
      </c>
      <c r="M4230">
        <v>2</v>
      </c>
      <c r="N4230">
        <v>9</v>
      </c>
      <c r="O4230">
        <v>34.249000000000002</v>
      </c>
      <c r="P4230">
        <v>14.96368481</v>
      </c>
      <c r="Q4230">
        <v>8.6150000000000002</v>
      </c>
    </row>
    <row r="4231" spans="1:17" x14ac:dyDescent="0.2">
      <c r="A4231" s="30" t="str">
        <f>IF(C4231&amp;G4231&amp;D4231&lt;&gt;'Funnel setup'!$K$3&amp;'Funnel setup'!$K$4&amp;'Funnel setup'!$K$5,".",IF(A4230=".",1,A4230+1))</f>
        <v>.</v>
      </c>
      <c r="B4231" s="431" t="str">
        <f t="shared" si="66"/>
        <v>Knee Replacement PrimaryCCG of GP PracticeNHS SURREY HEATH CCG (10C)Oxford Knee Score</v>
      </c>
      <c r="C4231" t="s">
        <v>249</v>
      </c>
      <c r="D4231" t="s">
        <v>87</v>
      </c>
      <c r="E4231" t="s">
        <v>986</v>
      </c>
      <c r="F4231" t="s">
        <v>987</v>
      </c>
      <c r="G4231" t="s">
        <v>16</v>
      </c>
      <c r="H4231">
        <v>74</v>
      </c>
      <c r="I4231">
        <v>21.905000000000001</v>
      </c>
      <c r="J4231">
        <v>37.323999999999998</v>
      </c>
      <c r="K4231">
        <v>15.419</v>
      </c>
      <c r="L4231">
        <v>68</v>
      </c>
      <c r="M4231">
        <v>1</v>
      </c>
      <c r="N4231">
        <v>5</v>
      </c>
      <c r="O4231">
        <v>35.088999999999999</v>
      </c>
      <c r="P4231">
        <v>15.80376365</v>
      </c>
      <c r="Q4231">
        <v>7.992</v>
      </c>
    </row>
    <row r="4232" spans="1:17" x14ac:dyDescent="0.2">
      <c r="A4232" s="30" t="str">
        <f>IF(C4232&amp;G4232&amp;D4232&lt;&gt;'Funnel setup'!$K$3&amp;'Funnel setup'!$K$4&amp;'Funnel setup'!$K$5,".",IF(A4231=".",1,A4231+1))</f>
        <v>.</v>
      </c>
      <c r="B4232" s="431" t="str">
        <f t="shared" si="66"/>
        <v>Knee Replacement PrimaryCCG of GP PracticeNHS SUTTON CCG (08T)Oxford Knee Score</v>
      </c>
      <c r="C4232" t="s">
        <v>249</v>
      </c>
      <c r="D4232" t="s">
        <v>87</v>
      </c>
      <c r="E4232" t="s">
        <v>989</v>
      </c>
      <c r="F4232" t="s">
        <v>990</v>
      </c>
      <c r="G4232" t="s">
        <v>16</v>
      </c>
      <c r="H4232">
        <v>73</v>
      </c>
      <c r="I4232">
        <v>19.658000000000001</v>
      </c>
      <c r="J4232">
        <v>34.917999999999999</v>
      </c>
      <c r="K4232">
        <v>15.26</v>
      </c>
      <c r="L4232">
        <v>68</v>
      </c>
      <c r="M4232">
        <v>0</v>
      </c>
      <c r="N4232">
        <v>5</v>
      </c>
      <c r="O4232">
        <v>34.375</v>
      </c>
      <c r="P4232">
        <v>15.089229250000001</v>
      </c>
      <c r="Q4232">
        <v>8.2889999999999997</v>
      </c>
    </row>
    <row r="4233" spans="1:17" x14ac:dyDescent="0.2">
      <c r="A4233" s="30" t="str">
        <f>IF(C4233&amp;G4233&amp;D4233&lt;&gt;'Funnel setup'!$K$3&amp;'Funnel setup'!$K$4&amp;'Funnel setup'!$K$5,".",IF(A4232=".",1,A4232+1))</f>
        <v>.</v>
      </c>
      <c r="B4233" s="431" t="str">
        <f t="shared" si="66"/>
        <v>Knee Replacement PrimaryCCG of GP PracticeNHS SWALE CCG (10D)Oxford Knee Score</v>
      </c>
      <c r="C4233" t="s">
        <v>249</v>
      </c>
      <c r="D4233" t="s">
        <v>87</v>
      </c>
      <c r="E4233" t="s">
        <v>992</v>
      </c>
      <c r="F4233" t="s">
        <v>993</v>
      </c>
      <c r="G4233" t="s">
        <v>16</v>
      </c>
      <c r="H4233">
        <v>73</v>
      </c>
      <c r="I4233">
        <v>18.082000000000001</v>
      </c>
      <c r="J4233">
        <v>34.917999999999999</v>
      </c>
      <c r="K4233">
        <v>16.835999999999999</v>
      </c>
      <c r="L4233">
        <v>67</v>
      </c>
      <c r="M4233">
        <v>0</v>
      </c>
      <c r="N4233">
        <v>6</v>
      </c>
      <c r="O4233">
        <v>35.648000000000003</v>
      </c>
      <c r="P4233">
        <v>16.362141999999999</v>
      </c>
      <c r="Q4233">
        <v>9.8780000000000001</v>
      </c>
    </row>
    <row r="4234" spans="1:17" x14ac:dyDescent="0.2">
      <c r="A4234" s="30" t="str">
        <f>IF(C4234&amp;G4234&amp;D4234&lt;&gt;'Funnel setup'!$K$3&amp;'Funnel setup'!$K$4&amp;'Funnel setup'!$K$5,".",IF(A4233=".",1,A4233+1))</f>
        <v>.</v>
      </c>
      <c r="B4234" s="431" t="str">
        <f t="shared" si="66"/>
        <v>Knee Replacement PrimaryCCG of GP PracticeNHS SWINDON CCG (12D)Oxford Knee Score</v>
      </c>
      <c r="C4234" t="s">
        <v>249</v>
      </c>
      <c r="D4234" t="s">
        <v>87</v>
      </c>
      <c r="E4234" t="s">
        <v>995</v>
      </c>
      <c r="F4234" t="s">
        <v>996</v>
      </c>
      <c r="G4234" t="s">
        <v>16</v>
      </c>
      <c r="H4234">
        <v>150</v>
      </c>
      <c r="I4234">
        <v>19.367000000000001</v>
      </c>
      <c r="J4234">
        <v>36.226999999999997</v>
      </c>
      <c r="K4234">
        <v>16.86</v>
      </c>
      <c r="L4234">
        <v>144</v>
      </c>
      <c r="M4234">
        <v>1</v>
      </c>
      <c r="N4234">
        <v>5</v>
      </c>
      <c r="O4234">
        <v>35.555999999999997</v>
      </c>
      <c r="P4234">
        <v>16.27070243</v>
      </c>
      <c r="Q4234">
        <v>8.0690000000000008</v>
      </c>
    </row>
    <row r="4235" spans="1:17" x14ac:dyDescent="0.2">
      <c r="A4235" s="30" t="str">
        <f>IF(C4235&amp;G4235&amp;D4235&lt;&gt;'Funnel setup'!$K$3&amp;'Funnel setup'!$K$4&amp;'Funnel setup'!$K$5,".",IF(A4234=".",1,A4234+1))</f>
        <v>.</v>
      </c>
      <c r="B4235" s="431" t="str">
        <f t="shared" si="66"/>
        <v>Knee Replacement PrimaryCCG of GP PracticeNHS TAMESIDE AND GLOSSOP CCG (01Y)Oxford Knee Score</v>
      </c>
      <c r="C4235" t="s">
        <v>249</v>
      </c>
      <c r="D4235" t="s">
        <v>87</v>
      </c>
      <c r="E4235" t="s">
        <v>998</v>
      </c>
      <c r="F4235" t="s">
        <v>999</v>
      </c>
      <c r="G4235" t="s">
        <v>16</v>
      </c>
      <c r="H4235">
        <v>174</v>
      </c>
      <c r="I4235">
        <v>18.298999999999999</v>
      </c>
      <c r="J4235">
        <v>34.701000000000001</v>
      </c>
      <c r="K4235">
        <v>16.402000000000001</v>
      </c>
      <c r="L4235">
        <v>161</v>
      </c>
      <c r="M4235">
        <v>5</v>
      </c>
      <c r="N4235">
        <v>8</v>
      </c>
      <c r="O4235">
        <v>35.549999999999997</v>
      </c>
      <c r="P4235">
        <v>16.26429345</v>
      </c>
      <c r="Q4235">
        <v>8.7189999999999994</v>
      </c>
    </row>
    <row r="4236" spans="1:17" x14ac:dyDescent="0.2">
      <c r="A4236" s="30" t="str">
        <f>IF(C4236&amp;G4236&amp;D4236&lt;&gt;'Funnel setup'!$K$3&amp;'Funnel setup'!$K$4&amp;'Funnel setup'!$K$5,".",IF(A4235=".",1,A4235+1))</f>
        <v>.</v>
      </c>
      <c r="B4236" s="431" t="str">
        <f t="shared" si="66"/>
        <v>Knee Replacement PrimaryCCG of GP PracticeNHS TELFORD AND WREKIN CCG (05X)Oxford Knee Score</v>
      </c>
      <c r="C4236" t="s">
        <v>249</v>
      </c>
      <c r="D4236" t="s">
        <v>87</v>
      </c>
      <c r="E4236" t="s">
        <v>1001</v>
      </c>
      <c r="F4236" t="s">
        <v>1002</v>
      </c>
      <c r="G4236" t="s">
        <v>16</v>
      </c>
      <c r="H4236">
        <v>147</v>
      </c>
      <c r="I4236">
        <v>15.476000000000001</v>
      </c>
      <c r="J4236">
        <v>34.795999999999999</v>
      </c>
      <c r="K4236">
        <v>19.32</v>
      </c>
      <c r="L4236">
        <v>145</v>
      </c>
      <c r="M4236">
        <v>0</v>
      </c>
      <c r="N4236">
        <v>2</v>
      </c>
      <c r="O4236">
        <v>36.515000000000001</v>
      </c>
      <c r="P4236">
        <v>17.229584549999998</v>
      </c>
      <c r="Q4236">
        <v>8.5670000000000002</v>
      </c>
    </row>
    <row r="4237" spans="1:17" x14ac:dyDescent="0.2">
      <c r="A4237" s="30" t="str">
        <f>IF(C4237&amp;G4237&amp;D4237&lt;&gt;'Funnel setup'!$K$3&amp;'Funnel setup'!$K$4&amp;'Funnel setup'!$K$5,".",IF(A4236=".",1,A4236+1))</f>
        <v>.</v>
      </c>
      <c r="B4237" s="431" t="str">
        <f t="shared" si="66"/>
        <v>Knee Replacement PrimaryCCG of GP PracticeNHS THANET CCG (10E)Oxford Knee Score</v>
      </c>
      <c r="C4237" t="s">
        <v>249</v>
      </c>
      <c r="D4237" t="s">
        <v>87</v>
      </c>
      <c r="E4237" t="s">
        <v>1004</v>
      </c>
      <c r="F4237" t="s">
        <v>1005</v>
      </c>
      <c r="G4237" t="s">
        <v>16</v>
      </c>
      <c r="H4237">
        <v>131</v>
      </c>
      <c r="I4237">
        <v>21.702000000000002</v>
      </c>
      <c r="J4237">
        <v>36.252000000000002</v>
      </c>
      <c r="K4237">
        <v>14.55</v>
      </c>
      <c r="L4237">
        <v>122</v>
      </c>
      <c r="M4237">
        <v>3</v>
      </c>
      <c r="N4237">
        <v>6</v>
      </c>
      <c r="O4237">
        <v>35.578000000000003</v>
      </c>
      <c r="P4237">
        <v>16.293024630000001</v>
      </c>
      <c r="Q4237">
        <v>8.3710000000000004</v>
      </c>
    </row>
    <row r="4238" spans="1:17" x14ac:dyDescent="0.2">
      <c r="A4238" s="30" t="str">
        <f>IF(C4238&amp;G4238&amp;D4238&lt;&gt;'Funnel setup'!$K$3&amp;'Funnel setup'!$K$4&amp;'Funnel setup'!$K$5,".",IF(A4237=".",1,A4237+1))</f>
        <v>.</v>
      </c>
      <c r="B4238" s="431" t="str">
        <f t="shared" si="66"/>
        <v>Knee Replacement PrimaryCCG of GP PracticeNHS THURROCK CCG (07G)Oxford Knee Score</v>
      </c>
      <c r="C4238" t="s">
        <v>249</v>
      </c>
      <c r="D4238" t="s">
        <v>87</v>
      </c>
      <c r="E4238" t="s">
        <v>1007</v>
      </c>
      <c r="F4238" t="s">
        <v>1008</v>
      </c>
      <c r="G4238" t="s">
        <v>16</v>
      </c>
      <c r="H4238">
        <v>95</v>
      </c>
      <c r="I4238">
        <v>18.146999999999998</v>
      </c>
      <c r="J4238">
        <v>33.725999999999999</v>
      </c>
      <c r="K4238">
        <v>15.579000000000001</v>
      </c>
      <c r="L4238">
        <v>91</v>
      </c>
      <c r="M4238">
        <v>0</v>
      </c>
      <c r="N4238">
        <v>4</v>
      </c>
      <c r="O4238">
        <v>34.113999999999997</v>
      </c>
      <c r="P4238">
        <v>14.829073299999999</v>
      </c>
      <c r="Q4238">
        <v>9.18</v>
      </c>
    </row>
    <row r="4239" spans="1:17" x14ac:dyDescent="0.2">
      <c r="A4239" s="30" t="str">
        <f>IF(C4239&amp;G4239&amp;D4239&lt;&gt;'Funnel setup'!$K$3&amp;'Funnel setup'!$K$4&amp;'Funnel setup'!$K$5,".",IF(A4238=".",1,A4238+1))</f>
        <v>.</v>
      </c>
      <c r="B4239" s="431" t="str">
        <f t="shared" si="66"/>
        <v>Knee Replacement PrimaryCCG of GP PracticeNHS TOWER HAMLETS CCG (08V)Oxford Knee Score</v>
      </c>
      <c r="C4239" t="s">
        <v>249</v>
      </c>
      <c r="D4239" t="s">
        <v>87</v>
      </c>
      <c r="E4239" t="s">
        <v>1010</v>
      </c>
      <c r="F4239" t="s">
        <v>1011</v>
      </c>
      <c r="G4239" t="s">
        <v>16</v>
      </c>
      <c r="H4239">
        <v>34</v>
      </c>
      <c r="I4239">
        <v>15.265000000000001</v>
      </c>
      <c r="J4239">
        <v>28.5</v>
      </c>
      <c r="K4239">
        <v>13.234999999999999</v>
      </c>
      <c r="L4239">
        <v>31</v>
      </c>
      <c r="M4239">
        <v>0</v>
      </c>
      <c r="N4239">
        <v>3</v>
      </c>
      <c r="O4239">
        <v>32.795000000000002</v>
      </c>
      <c r="P4239">
        <v>13.50964763</v>
      </c>
      <c r="Q4239">
        <v>10.423</v>
      </c>
    </row>
    <row r="4240" spans="1:17" x14ac:dyDescent="0.2">
      <c r="A4240" s="30" t="str">
        <f>IF(C4240&amp;G4240&amp;D4240&lt;&gt;'Funnel setup'!$K$3&amp;'Funnel setup'!$K$4&amp;'Funnel setup'!$K$5,".",IF(A4239=".",1,A4239+1))</f>
        <v>.</v>
      </c>
      <c r="B4240" s="431" t="str">
        <f t="shared" si="66"/>
        <v>Knee Replacement PrimaryCCG of GP PracticeNHS TRAFFORD CCG (02A)Oxford Knee Score</v>
      </c>
      <c r="C4240" t="s">
        <v>249</v>
      </c>
      <c r="D4240" t="s">
        <v>87</v>
      </c>
      <c r="E4240" t="s">
        <v>1013</v>
      </c>
      <c r="F4240" t="s">
        <v>1014</v>
      </c>
      <c r="G4240" t="s">
        <v>16</v>
      </c>
      <c r="H4240">
        <v>108</v>
      </c>
      <c r="I4240">
        <v>20.518999999999998</v>
      </c>
      <c r="J4240">
        <v>35.093000000000004</v>
      </c>
      <c r="K4240">
        <v>14.574</v>
      </c>
      <c r="L4240">
        <v>100</v>
      </c>
      <c r="M4240">
        <v>0</v>
      </c>
      <c r="N4240">
        <v>8</v>
      </c>
      <c r="O4240">
        <v>34.386000000000003</v>
      </c>
      <c r="P4240">
        <v>15.10041706</v>
      </c>
      <c r="Q4240">
        <v>8.9559999999999995</v>
      </c>
    </row>
    <row r="4241" spans="1:17" x14ac:dyDescent="0.2">
      <c r="A4241" s="30" t="str">
        <f>IF(C4241&amp;G4241&amp;D4241&lt;&gt;'Funnel setup'!$K$3&amp;'Funnel setup'!$K$4&amp;'Funnel setup'!$K$5,".",IF(A4240=".",1,A4240+1))</f>
        <v>.</v>
      </c>
      <c r="B4241" s="431" t="str">
        <f t="shared" si="66"/>
        <v>Knee Replacement PrimaryCCG of GP PracticeNHS VALE OF YORK CCG (03Q)Oxford Knee Score</v>
      </c>
      <c r="C4241" t="s">
        <v>249</v>
      </c>
      <c r="D4241" t="s">
        <v>87</v>
      </c>
      <c r="E4241" t="s">
        <v>420</v>
      </c>
      <c r="F4241" t="s">
        <v>421</v>
      </c>
      <c r="G4241" t="s">
        <v>16</v>
      </c>
      <c r="H4241">
        <v>366</v>
      </c>
      <c r="I4241">
        <v>21.196999999999999</v>
      </c>
      <c r="J4241">
        <v>37.32</v>
      </c>
      <c r="K4241">
        <v>16.123000000000001</v>
      </c>
      <c r="L4241">
        <v>344</v>
      </c>
      <c r="M4241">
        <v>5</v>
      </c>
      <c r="N4241">
        <v>17</v>
      </c>
      <c r="O4241">
        <v>35.423000000000002</v>
      </c>
      <c r="P4241">
        <v>16.137692879999999</v>
      </c>
      <c r="Q4241">
        <v>7.7309999999999999</v>
      </c>
    </row>
    <row r="4242" spans="1:17" x14ac:dyDescent="0.2">
      <c r="A4242" s="30" t="str">
        <f>IF(C4242&amp;G4242&amp;D4242&lt;&gt;'Funnel setup'!$K$3&amp;'Funnel setup'!$K$4&amp;'Funnel setup'!$K$5,".",IF(A4241=".",1,A4241+1))</f>
        <v>.</v>
      </c>
      <c r="B4242" s="431" t="str">
        <f t="shared" si="66"/>
        <v>Knee Replacement PrimaryCCG of GP PracticeNHS VALE ROYAL CCG (02D)Oxford Knee Score</v>
      </c>
      <c r="C4242" t="s">
        <v>249</v>
      </c>
      <c r="D4242" t="s">
        <v>87</v>
      </c>
      <c r="E4242" t="s">
        <v>423</v>
      </c>
      <c r="F4242" t="s">
        <v>424</v>
      </c>
      <c r="G4242" t="s">
        <v>16</v>
      </c>
      <c r="H4242">
        <v>81</v>
      </c>
      <c r="I4242">
        <v>18.901</v>
      </c>
      <c r="J4242">
        <v>35.542999999999999</v>
      </c>
      <c r="K4242">
        <v>16.641999999999999</v>
      </c>
      <c r="L4242">
        <v>75</v>
      </c>
      <c r="M4242">
        <v>1</v>
      </c>
      <c r="N4242">
        <v>5</v>
      </c>
      <c r="O4242">
        <v>35.408999999999999</v>
      </c>
      <c r="P4242">
        <v>16.123445109999999</v>
      </c>
      <c r="Q4242">
        <v>8.4130000000000003</v>
      </c>
    </row>
    <row r="4243" spans="1:17" x14ac:dyDescent="0.2">
      <c r="A4243" s="30" t="str">
        <f>IF(C4243&amp;G4243&amp;D4243&lt;&gt;'Funnel setup'!$K$3&amp;'Funnel setup'!$K$4&amp;'Funnel setup'!$K$5,".",IF(A4242=".",1,A4242+1))</f>
        <v>.</v>
      </c>
      <c r="B4243" s="431" t="str">
        <f t="shared" si="66"/>
        <v>Knee Replacement PrimaryCCG of GP PracticeNHS WAKEFIELD CCG (03R)Oxford Knee Score</v>
      </c>
      <c r="C4243" t="s">
        <v>249</v>
      </c>
      <c r="D4243" t="s">
        <v>87</v>
      </c>
      <c r="E4243" t="s">
        <v>426</v>
      </c>
      <c r="F4243" t="s">
        <v>427</v>
      </c>
      <c r="G4243" t="s">
        <v>16</v>
      </c>
      <c r="H4243">
        <v>329</v>
      </c>
      <c r="I4243">
        <v>18.93</v>
      </c>
      <c r="J4243">
        <v>34.622999999999998</v>
      </c>
      <c r="K4243">
        <v>15.693</v>
      </c>
      <c r="L4243">
        <v>302</v>
      </c>
      <c r="M4243">
        <v>5</v>
      </c>
      <c r="N4243">
        <v>22</v>
      </c>
      <c r="O4243">
        <v>35.127000000000002</v>
      </c>
      <c r="P4243">
        <v>15.841500269999999</v>
      </c>
      <c r="Q4243">
        <v>9.15</v>
      </c>
    </row>
    <row r="4244" spans="1:17" x14ac:dyDescent="0.2">
      <c r="A4244" s="30" t="str">
        <f>IF(C4244&amp;G4244&amp;D4244&lt;&gt;'Funnel setup'!$K$3&amp;'Funnel setup'!$K$4&amp;'Funnel setup'!$K$5,".",IF(A4243=".",1,A4243+1))</f>
        <v>.</v>
      </c>
      <c r="B4244" s="431" t="str">
        <f t="shared" si="66"/>
        <v>Knee Replacement PrimaryCCG of GP PracticeNHS WALSALL CCG (05Y)Oxford Knee Score</v>
      </c>
      <c r="C4244" t="s">
        <v>249</v>
      </c>
      <c r="D4244" t="s">
        <v>87</v>
      </c>
      <c r="E4244" t="s">
        <v>429</v>
      </c>
      <c r="F4244" t="s">
        <v>430</v>
      </c>
      <c r="G4244" t="s">
        <v>16</v>
      </c>
      <c r="H4244">
        <v>203</v>
      </c>
      <c r="I4244">
        <v>16.792999999999999</v>
      </c>
      <c r="J4244">
        <v>32.930999999999997</v>
      </c>
      <c r="K4244">
        <v>16.138000000000002</v>
      </c>
      <c r="L4244">
        <v>192</v>
      </c>
      <c r="M4244">
        <v>3</v>
      </c>
      <c r="N4244">
        <v>8</v>
      </c>
      <c r="O4244">
        <v>34.835999999999999</v>
      </c>
      <c r="P4244">
        <v>15.550152750000001</v>
      </c>
      <c r="Q4244">
        <v>8.6989999999999998</v>
      </c>
    </row>
    <row r="4245" spans="1:17" x14ac:dyDescent="0.2">
      <c r="A4245" s="30" t="str">
        <f>IF(C4245&amp;G4245&amp;D4245&lt;&gt;'Funnel setup'!$K$3&amp;'Funnel setup'!$K$4&amp;'Funnel setup'!$K$5,".",IF(A4244=".",1,A4244+1))</f>
        <v>.</v>
      </c>
      <c r="B4245" s="431" t="str">
        <f t="shared" si="66"/>
        <v>Knee Replacement PrimaryCCG of GP PracticeNHS WALTHAM FOREST CCG (08W)Oxford Knee Score</v>
      </c>
      <c r="C4245" t="s">
        <v>249</v>
      </c>
      <c r="D4245" t="s">
        <v>87</v>
      </c>
      <c r="E4245" t="s">
        <v>432</v>
      </c>
      <c r="F4245" t="s">
        <v>433</v>
      </c>
      <c r="G4245" t="s">
        <v>16</v>
      </c>
      <c r="H4245">
        <v>91</v>
      </c>
      <c r="I4245">
        <v>18.945</v>
      </c>
      <c r="J4245">
        <v>34.933999999999997</v>
      </c>
      <c r="K4245">
        <v>15.989000000000001</v>
      </c>
      <c r="L4245">
        <v>86</v>
      </c>
      <c r="M4245">
        <v>1</v>
      </c>
      <c r="N4245">
        <v>4</v>
      </c>
      <c r="O4245">
        <v>36.475999999999999</v>
      </c>
      <c r="P4245">
        <v>17.190488179999999</v>
      </c>
      <c r="Q4245">
        <v>7.7990000000000004</v>
      </c>
    </row>
    <row r="4246" spans="1:17" x14ac:dyDescent="0.2">
      <c r="A4246" s="30" t="str">
        <f>IF(C4246&amp;G4246&amp;D4246&lt;&gt;'Funnel setup'!$K$3&amp;'Funnel setup'!$K$4&amp;'Funnel setup'!$K$5,".",IF(A4245=".",1,A4245+1))</f>
        <v>.</v>
      </c>
      <c r="B4246" s="431" t="str">
        <f t="shared" si="66"/>
        <v>Knee Replacement PrimaryCCG of GP PracticeNHS WANDSWORTH CCG (08X)Oxford Knee Score</v>
      </c>
      <c r="C4246" t="s">
        <v>249</v>
      </c>
      <c r="D4246" t="s">
        <v>87</v>
      </c>
      <c r="E4246" t="s">
        <v>435</v>
      </c>
      <c r="F4246" t="s">
        <v>436</v>
      </c>
      <c r="G4246" t="s">
        <v>16</v>
      </c>
      <c r="H4246">
        <v>54</v>
      </c>
      <c r="I4246">
        <v>21.204000000000001</v>
      </c>
      <c r="J4246">
        <v>34.426000000000002</v>
      </c>
      <c r="K4246">
        <v>13.222</v>
      </c>
      <c r="L4246">
        <v>51</v>
      </c>
      <c r="M4246">
        <v>2</v>
      </c>
      <c r="N4246">
        <v>1</v>
      </c>
      <c r="O4246">
        <v>33.893000000000001</v>
      </c>
      <c r="P4246">
        <v>14.60731786</v>
      </c>
      <c r="Q4246">
        <v>6.6870000000000003</v>
      </c>
    </row>
    <row r="4247" spans="1:17" x14ac:dyDescent="0.2">
      <c r="A4247" s="30" t="str">
        <f>IF(C4247&amp;G4247&amp;D4247&lt;&gt;'Funnel setup'!$K$3&amp;'Funnel setup'!$K$4&amp;'Funnel setup'!$K$5,".",IF(A4246=".",1,A4246+1))</f>
        <v>.</v>
      </c>
      <c r="B4247" s="431" t="str">
        <f t="shared" si="66"/>
        <v>Knee Replacement PrimaryCCG of GP PracticeNHS WARRINGTON CCG (02E)Oxford Knee Score</v>
      </c>
      <c r="C4247" t="s">
        <v>249</v>
      </c>
      <c r="D4247" t="s">
        <v>87</v>
      </c>
      <c r="E4247" t="s">
        <v>441</v>
      </c>
      <c r="F4247" t="s">
        <v>442</v>
      </c>
      <c r="G4247" t="s">
        <v>16</v>
      </c>
      <c r="H4247">
        <v>190</v>
      </c>
      <c r="I4247">
        <v>17.920999999999999</v>
      </c>
      <c r="J4247">
        <v>36.725999999999999</v>
      </c>
      <c r="K4247">
        <v>18.805</v>
      </c>
      <c r="L4247">
        <v>182</v>
      </c>
      <c r="M4247">
        <v>2</v>
      </c>
      <c r="N4247">
        <v>6</v>
      </c>
      <c r="O4247">
        <v>36.987000000000002</v>
      </c>
      <c r="P4247">
        <v>17.701536650000001</v>
      </c>
      <c r="Q4247">
        <v>7.9020000000000001</v>
      </c>
    </row>
    <row r="4248" spans="1:17" x14ac:dyDescent="0.2">
      <c r="A4248" s="30" t="str">
        <f>IF(C4248&amp;G4248&amp;D4248&lt;&gt;'Funnel setup'!$K$3&amp;'Funnel setup'!$K$4&amp;'Funnel setup'!$K$5,".",IF(A4247=".",1,A4247+1))</f>
        <v>.</v>
      </c>
      <c r="B4248" s="431" t="str">
        <f t="shared" si="66"/>
        <v>Knee Replacement PrimaryCCG of GP PracticeNHS WARWICKSHIRE NORTH CCG (05H)Oxford Knee Score</v>
      </c>
      <c r="C4248" t="s">
        <v>249</v>
      </c>
      <c r="D4248" t="s">
        <v>87</v>
      </c>
      <c r="E4248" t="s">
        <v>438</v>
      </c>
      <c r="F4248" t="s">
        <v>439</v>
      </c>
      <c r="G4248" t="s">
        <v>16</v>
      </c>
      <c r="H4248">
        <v>93</v>
      </c>
      <c r="I4248">
        <v>18.699000000000002</v>
      </c>
      <c r="J4248">
        <v>34.805999999999997</v>
      </c>
      <c r="K4248">
        <v>16.108000000000001</v>
      </c>
      <c r="L4248">
        <v>87</v>
      </c>
      <c r="M4248">
        <v>3</v>
      </c>
      <c r="N4248">
        <v>3</v>
      </c>
      <c r="O4248">
        <v>34.932000000000002</v>
      </c>
      <c r="P4248">
        <v>15.64689901</v>
      </c>
      <c r="Q4248">
        <v>8.8260000000000005</v>
      </c>
    </row>
    <row r="4249" spans="1:17" x14ac:dyDescent="0.2">
      <c r="A4249" s="30" t="str">
        <f>IF(C4249&amp;G4249&amp;D4249&lt;&gt;'Funnel setup'!$K$3&amp;'Funnel setup'!$K$4&amp;'Funnel setup'!$K$5,".",IF(A4248=".",1,A4248+1))</f>
        <v>.</v>
      </c>
      <c r="B4249" s="431" t="str">
        <f t="shared" si="66"/>
        <v>Knee Replacement PrimaryCCG of GP PracticeNHS WEST CHESHIRE CCG (02F)Oxford Knee Score</v>
      </c>
      <c r="C4249" t="s">
        <v>249</v>
      </c>
      <c r="D4249" t="s">
        <v>87</v>
      </c>
      <c r="E4249" t="s">
        <v>402</v>
      </c>
      <c r="F4249" t="s">
        <v>403</v>
      </c>
      <c r="G4249" t="s">
        <v>16</v>
      </c>
      <c r="H4249">
        <v>271</v>
      </c>
      <c r="I4249">
        <v>19.527999999999999</v>
      </c>
      <c r="J4249">
        <v>35.262</v>
      </c>
      <c r="K4249">
        <v>15.734</v>
      </c>
      <c r="L4249">
        <v>254</v>
      </c>
      <c r="M4249">
        <v>5</v>
      </c>
      <c r="N4249">
        <v>12</v>
      </c>
      <c r="O4249">
        <v>34.633000000000003</v>
      </c>
      <c r="P4249">
        <v>15.347595330000001</v>
      </c>
      <c r="Q4249">
        <v>8.2840000000000007</v>
      </c>
    </row>
    <row r="4250" spans="1:17" x14ac:dyDescent="0.2">
      <c r="A4250" s="30" t="str">
        <f>IF(C4250&amp;G4250&amp;D4250&lt;&gt;'Funnel setup'!$K$3&amp;'Funnel setup'!$K$4&amp;'Funnel setup'!$K$5,".",IF(A4249=".",1,A4249+1))</f>
        <v>.</v>
      </c>
      <c r="B4250" s="431" t="str">
        <f t="shared" si="66"/>
        <v>Knee Replacement PrimaryCCG of GP PracticeNHS WEST ESSEX CCG (07H)Oxford Knee Score</v>
      </c>
      <c r="C4250" t="s">
        <v>249</v>
      </c>
      <c r="D4250" t="s">
        <v>87</v>
      </c>
      <c r="E4250" t="s">
        <v>405</v>
      </c>
      <c r="F4250" t="s">
        <v>406</v>
      </c>
      <c r="G4250" t="s">
        <v>16</v>
      </c>
      <c r="H4250">
        <v>212</v>
      </c>
      <c r="I4250">
        <v>20.5</v>
      </c>
      <c r="J4250">
        <v>35.924999999999997</v>
      </c>
      <c r="K4250">
        <v>15.425000000000001</v>
      </c>
      <c r="L4250">
        <v>195</v>
      </c>
      <c r="M4250">
        <v>4</v>
      </c>
      <c r="N4250">
        <v>13</v>
      </c>
      <c r="O4250">
        <v>35.503</v>
      </c>
      <c r="P4250">
        <v>16.21743871</v>
      </c>
      <c r="Q4250">
        <v>8.7149999999999999</v>
      </c>
    </row>
    <row r="4251" spans="1:17" x14ac:dyDescent="0.2">
      <c r="A4251" s="30" t="str">
        <f>IF(C4251&amp;G4251&amp;D4251&lt;&gt;'Funnel setup'!$K$3&amp;'Funnel setup'!$K$4&amp;'Funnel setup'!$K$5,".",IF(A4250=".",1,A4250+1))</f>
        <v>.</v>
      </c>
      <c r="B4251" s="431" t="str">
        <f t="shared" si="66"/>
        <v>Knee Replacement PrimaryCCG of GP PracticeNHS WEST HAMPSHIRE CCG (11A)Oxford Knee Score</v>
      </c>
      <c r="C4251" t="s">
        <v>249</v>
      </c>
      <c r="D4251" t="s">
        <v>87</v>
      </c>
      <c r="E4251" t="s">
        <v>444</v>
      </c>
      <c r="F4251" t="s">
        <v>445</v>
      </c>
      <c r="G4251" t="s">
        <v>16</v>
      </c>
      <c r="H4251">
        <v>445</v>
      </c>
      <c r="I4251">
        <v>20.867000000000001</v>
      </c>
      <c r="J4251">
        <v>36.652000000000001</v>
      </c>
      <c r="K4251">
        <v>15.784000000000001</v>
      </c>
      <c r="L4251">
        <v>421</v>
      </c>
      <c r="M4251">
        <v>2</v>
      </c>
      <c r="N4251">
        <v>22</v>
      </c>
      <c r="O4251">
        <v>35.210999999999999</v>
      </c>
      <c r="P4251">
        <v>15.92528353</v>
      </c>
      <c r="Q4251">
        <v>7.9950000000000001</v>
      </c>
    </row>
    <row r="4252" spans="1:17" x14ac:dyDescent="0.2">
      <c r="A4252" s="30" t="str">
        <f>IF(C4252&amp;G4252&amp;D4252&lt;&gt;'Funnel setup'!$K$3&amp;'Funnel setup'!$K$4&amp;'Funnel setup'!$K$5,".",IF(A4251=".",1,A4251+1))</f>
        <v>.</v>
      </c>
      <c r="B4252" s="431" t="str">
        <f t="shared" si="66"/>
        <v>Knee Replacement PrimaryCCG of GP PracticeNHS WEST KENT CCG (99J)Oxford Knee Score</v>
      </c>
      <c r="C4252" t="s">
        <v>249</v>
      </c>
      <c r="D4252" t="s">
        <v>87</v>
      </c>
      <c r="E4252" t="s">
        <v>447</v>
      </c>
      <c r="F4252" t="s">
        <v>448</v>
      </c>
      <c r="G4252" t="s">
        <v>16</v>
      </c>
      <c r="H4252">
        <v>348</v>
      </c>
      <c r="I4252">
        <v>22.032</v>
      </c>
      <c r="J4252">
        <v>37.726999999999997</v>
      </c>
      <c r="K4252">
        <v>15.695</v>
      </c>
      <c r="L4252">
        <v>330</v>
      </c>
      <c r="M4252">
        <v>3</v>
      </c>
      <c r="N4252">
        <v>15</v>
      </c>
      <c r="O4252">
        <v>35.923000000000002</v>
      </c>
      <c r="P4252">
        <v>16.637907729999998</v>
      </c>
      <c r="Q4252">
        <v>7.9180000000000001</v>
      </c>
    </row>
    <row r="4253" spans="1:17" x14ac:dyDescent="0.2">
      <c r="A4253" s="30" t="str">
        <f>IF(C4253&amp;G4253&amp;D4253&lt;&gt;'Funnel setup'!$K$3&amp;'Funnel setup'!$K$4&amp;'Funnel setup'!$K$5,".",IF(A4252=".",1,A4252+1))</f>
        <v>.</v>
      </c>
      <c r="B4253" s="431" t="str">
        <f t="shared" si="66"/>
        <v>Knee Replacement PrimaryCCG of GP PracticeNHS WEST LANCASHIRE CCG (02G)Oxford Knee Score</v>
      </c>
      <c r="C4253" t="s">
        <v>249</v>
      </c>
      <c r="D4253" t="s">
        <v>87</v>
      </c>
      <c r="E4253" t="s">
        <v>450</v>
      </c>
      <c r="F4253" t="s">
        <v>451</v>
      </c>
      <c r="G4253" t="s">
        <v>16</v>
      </c>
      <c r="H4253">
        <v>87</v>
      </c>
      <c r="I4253">
        <v>19.356000000000002</v>
      </c>
      <c r="J4253">
        <v>35.69</v>
      </c>
      <c r="K4253">
        <v>16.332999999999998</v>
      </c>
      <c r="L4253">
        <v>79</v>
      </c>
      <c r="M4253">
        <v>2</v>
      </c>
      <c r="N4253">
        <v>6</v>
      </c>
      <c r="O4253">
        <v>35.726999999999997</v>
      </c>
      <c r="P4253">
        <v>16.441998120000001</v>
      </c>
      <c r="Q4253">
        <v>9.4280000000000008</v>
      </c>
    </row>
    <row r="4254" spans="1:17" x14ac:dyDescent="0.2">
      <c r="A4254" s="30" t="str">
        <f>IF(C4254&amp;G4254&amp;D4254&lt;&gt;'Funnel setup'!$K$3&amp;'Funnel setup'!$K$4&amp;'Funnel setup'!$K$5,".",IF(A4253=".",1,A4253+1))</f>
        <v>.</v>
      </c>
      <c r="B4254" s="431" t="str">
        <f t="shared" si="66"/>
        <v>Knee Replacement PrimaryCCG of GP PracticeNHS WEST LEICESTERSHIRE CCG (04V)Oxford Knee Score</v>
      </c>
      <c r="C4254" t="s">
        <v>249</v>
      </c>
      <c r="D4254" t="s">
        <v>87</v>
      </c>
      <c r="E4254" t="s">
        <v>453</v>
      </c>
      <c r="F4254" t="s">
        <v>454</v>
      </c>
      <c r="G4254" t="s">
        <v>16</v>
      </c>
      <c r="H4254">
        <v>361</v>
      </c>
      <c r="I4254">
        <v>18.356999999999999</v>
      </c>
      <c r="J4254">
        <v>35.930999999999997</v>
      </c>
      <c r="K4254">
        <v>17.573</v>
      </c>
      <c r="L4254">
        <v>348</v>
      </c>
      <c r="M4254">
        <v>5</v>
      </c>
      <c r="N4254">
        <v>8</v>
      </c>
      <c r="O4254">
        <v>36.049999999999997</v>
      </c>
      <c r="P4254">
        <v>16.76498067</v>
      </c>
      <c r="Q4254">
        <v>7.7309999999999999</v>
      </c>
    </row>
    <row r="4255" spans="1:17" x14ac:dyDescent="0.2">
      <c r="A4255" s="30" t="str">
        <f>IF(C4255&amp;G4255&amp;D4255&lt;&gt;'Funnel setup'!$K$3&amp;'Funnel setup'!$K$4&amp;'Funnel setup'!$K$5,".",IF(A4254=".",1,A4254+1))</f>
        <v>.</v>
      </c>
      <c r="B4255" s="431" t="str">
        <f t="shared" si="66"/>
        <v>Knee Replacement PrimaryCCG of GP PracticeNHS WEST LONDON CCG (08Y)Oxford Knee Score</v>
      </c>
      <c r="C4255" t="s">
        <v>249</v>
      </c>
      <c r="D4255" t="s">
        <v>87</v>
      </c>
      <c r="E4255" t="s">
        <v>456</v>
      </c>
      <c r="F4255" t="s">
        <v>457</v>
      </c>
      <c r="G4255" t="s">
        <v>16</v>
      </c>
      <c r="H4255">
        <v>22</v>
      </c>
      <c r="I4255">
        <v>17.864000000000001</v>
      </c>
      <c r="J4255">
        <v>29.135999999999999</v>
      </c>
      <c r="K4255">
        <v>11.273</v>
      </c>
      <c r="L4255">
        <v>17</v>
      </c>
      <c r="M4255">
        <v>0</v>
      </c>
      <c r="N4255">
        <v>5</v>
      </c>
      <c r="O4255" t="s">
        <v>53</v>
      </c>
      <c r="P4255" t="s">
        <v>53</v>
      </c>
      <c r="Q4255" t="s">
        <v>53</v>
      </c>
    </row>
    <row r="4256" spans="1:17" x14ac:dyDescent="0.2">
      <c r="A4256" s="30" t="str">
        <f>IF(C4256&amp;G4256&amp;D4256&lt;&gt;'Funnel setup'!$K$3&amp;'Funnel setup'!$K$4&amp;'Funnel setup'!$K$5,".",IF(A4255=".",1,A4255+1))</f>
        <v>.</v>
      </c>
      <c r="B4256" s="431" t="str">
        <f t="shared" si="66"/>
        <v>Knee Replacement PrimaryCCG of GP PracticeNHS WEST NORFOLK CCG (07J)Oxford Knee Score</v>
      </c>
      <c r="C4256" t="s">
        <v>249</v>
      </c>
      <c r="D4256" t="s">
        <v>87</v>
      </c>
      <c r="E4256" t="s">
        <v>459</v>
      </c>
      <c r="F4256" t="s">
        <v>460</v>
      </c>
      <c r="G4256" t="s">
        <v>16</v>
      </c>
      <c r="H4256">
        <v>168</v>
      </c>
      <c r="I4256">
        <v>19.297999999999998</v>
      </c>
      <c r="J4256">
        <v>34.619</v>
      </c>
      <c r="K4256">
        <v>15.321</v>
      </c>
      <c r="L4256">
        <v>154</v>
      </c>
      <c r="M4256">
        <v>2</v>
      </c>
      <c r="N4256">
        <v>12</v>
      </c>
      <c r="O4256">
        <v>34.624000000000002</v>
      </c>
      <c r="P4256">
        <v>15.33877635</v>
      </c>
      <c r="Q4256">
        <v>9.093</v>
      </c>
    </row>
    <row r="4257" spans="1:17" x14ac:dyDescent="0.2">
      <c r="A4257" s="30" t="str">
        <f>IF(C4257&amp;G4257&amp;D4257&lt;&gt;'Funnel setup'!$K$3&amp;'Funnel setup'!$K$4&amp;'Funnel setup'!$K$5,".",IF(A4256=".",1,A4256+1))</f>
        <v>.</v>
      </c>
      <c r="B4257" s="431" t="str">
        <f t="shared" si="66"/>
        <v>Knee Replacement PrimaryCCG of GP PracticeNHS WEST SUFFOLK CCG (07K)Oxford Knee Score</v>
      </c>
      <c r="C4257" t="s">
        <v>249</v>
      </c>
      <c r="D4257" t="s">
        <v>87</v>
      </c>
      <c r="E4257" t="s">
        <v>462</v>
      </c>
      <c r="F4257" t="s">
        <v>463</v>
      </c>
      <c r="G4257" t="s">
        <v>16</v>
      </c>
      <c r="H4257">
        <v>197</v>
      </c>
      <c r="I4257">
        <v>19.486999999999998</v>
      </c>
      <c r="J4257">
        <v>34.244</v>
      </c>
      <c r="K4257">
        <v>14.756</v>
      </c>
      <c r="L4257">
        <v>178</v>
      </c>
      <c r="M4257">
        <v>3</v>
      </c>
      <c r="N4257">
        <v>16</v>
      </c>
      <c r="O4257">
        <v>33.691000000000003</v>
      </c>
      <c r="P4257">
        <v>14.40586828</v>
      </c>
      <c r="Q4257">
        <v>8.8000000000000007</v>
      </c>
    </row>
    <row r="4258" spans="1:17" x14ac:dyDescent="0.2">
      <c r="A4258" s="30" t="str">
        <f>IF(C4258&amp;G4258&amp;D4258&lt;&gt;'Funnel setup'!$K$3&amp;'Funnel setup'!$K$4&amp;'Funnel setup'!$K$5,".",IF(A4257=".",1,A4257+1))</f>
        <v>.</v>
      </c>
      <c r="B4258" s="431" t="str">
        <f t="shared" si="66"/>
        <v>Knee Replacement PrimaryCCG of GP PracticeNHS WIGAN BOROUGH CCG (02H)Oxford Knee Score</v>
      </c>
      <c r="C4258" t="s">
        <v>249</v>
      </c>
      <c r="D4258" t="s">
        <v>87</v>
      </c>
      <c r="E4258" t="s">
        <v>465</v>
      </c>
      <c r="F4258" t="s">
        <v>466</v>
      </c>
      <c r="G4258" t="s">
        <v>16</v>
      </c>
      <c r="H4258">
        <v>186</v>
      </c>
      <c r="I4258">
        <v>16.934999999999999</v>
      </c>
      <c r="J4258">
        <v>33.031999999999996</v>
      </c>
      <c r="K4258">
        <v>16.097000000000001</v>
      </c>
      <c r="L4258">
        <v>171</v>
      </c>
      <c r="M4258">
        <v>5</v>
      </c>
      <c r="N4258">
        <v>10</v>
      </c>
      <c r="O4258">
        <v>34.981000000000002</v>
      </c>
      <c r="P4258">
        <v>15.69598513</v>
      </c>
      <c r="Q4258">
        <v>8.093</v>
      </c>
    </row>
    <row r="4259" spans="1:17" x14ac:dyDescent="0.2">
      <c r="A4259" s="30" t="str">
        <f>IF(C4259&amp;G4259&amp;D4259&lt;&gt;'Funnel setup'!$K$3&amp;'Funnel setup'!$K$4&amp;'Funnel setup'!$K$5,".",IF(A4258=".",1,A4258+1))</f>
        <v>.</v>
      </c>
      <c r="B4259" s="431" t="str">
        <f t="shared" si="66"/>
        <v>Knee Replacement PrimaryCCG of GP PracticeNHS WILTSHIRE CCG (99N)Oxford Knee Score</v>
      </c>
      <c r="C4259" t="s">
        <v>249</v>
      </c>
      <c r="D4259" t="s">
        <v>87</v>
      </c>
      <c r="E4259" t="s">
        <v>468</v>
      </c>
      <c r="F4259" t="s">
        <v>469</v>
      </c>
      <c r="G4259" t="s">
        <v>16</v>
      </c>
      <c r="H4259">
        <v>523</v>
      </c>
      <c r="I4259">
        <v>20.164000000000001</v>
      </c>
      <c r="J4259">
        <v>37.223999999999997</v>
      </c>
      <c r="K4259">
        <v>17.059000000000001</v>
      </c>
      <c r="L4259">
        <v>491</v>
      </c>
      <c r="M4259">
        <v>7</v>
      </c>
      <c r="N4259">
        <v>25</v>
      </c>
      <c r="O4259">
        <v>36.347999999999999</v>
      </c>
      <c r="P4259">
        <v>17.0631126</v>
      </c>
      <c r="Q4259">
        <v>7.976</v>
      </c>
    </row>
    <row r="4260" spans="1:17" x14ac:dyDescent="0.2">
      <c r="A4260" s="30" t="str">
        <f>IF(C4260&amp;G4260&amp;D4260&lt;&gt;'Funnel setup'!$K$3&amp;'Funnel setup'!$K$4&amp;'Funnel setup'!$K$5,".",IF(A4259=".",1,A4259+1))</f>
        <v>.</v>
      </c>
      <c r="B4260" s="431" t="str">
        <f t="shared" si="66"/>
        <v>Knee Replacement PrimaryCCG of GP PracticeNHS WINDSOR, ASCOT AND MAIDENHEAD CCG (11C)Oxford Knee Score</v>
      </c>
      <c r="C4260" t="s">
        <v>249</v>
      </c>
      <c r="D4260" t="s">
        <v>87</v>
      </c>
      <c r="E4260" t="s">
        <v>471</v>
      </c>
      <c r="F4260" t="s">
        <v>472</v>
      </c>
      <c r="G4260" t="s">
        <v>16</v>
      </c>
      <c r="H4260">
        <v>66</v>
      </c>
      <c r="I4260">
        <v>21.288</v>
      </c>
      <c r="J4260">
        <v>36.241999999999997</v>
      </c>
      <c r="K4260">
        <v>14.955</v>
      </c>
      <c r="L4260">
        <v>61</v>
      </c>
      <c r="M4260">
        <v>2</v>
      </c>
      <c r="N4260">
        <v>3</v>
      </c>
      <c r="O4260">
        <v>34.872</v>
      </c>
      <c r="P4260">
        <v>15.58704895</v>
      </c>
      <c r="Q4260">
        <v>8.859</v>
      </c>
    </row>
    <row r="4261" spans="1:17" x14ac:dyDescent="0.2">
      <c r="A4261" s="30" t="str">
        <f>IF(C4261&amp;G4261&amp;D4261&lt;&gt;'Funnel setup'!$K$3&amp;'Funnel setup'!$K$4&amp;'Funnel setup'!$K$5,".",IF(A4260=".",1,A4260+1))</f>
        <v>.</v>
      </c>
      <c r="B4261" s="431" t="str">
        <f t="shared" si="66"/>
        <v>Knee Replacement PrimaryCCG of GP PracticeNHS WIRRAL CCG (12F)Oxford Knee Score</v>
      </c>
      <c r="C4261" t="s">
        <v>249</v>
      </c>
      <c r="D4261" t="s">
        <v>87</v>
      </c>
      <c r="E4261" t="s">
        <v>474</v>
      </c>
      <c r="F4261" t="s">
        <v>475</v>
      </c>
      <c r="G4261" t="s">
        <v>16</v>
      </c>
      <c r="H4261">
        <v>320</v>
      </c>
      <c r="I4261">
        <v>18.853000000000002</v>
      </c>
      <c r="J4261">
        <v>35.049999999999997</v>
      </c>
      <c r="K4261">
        <v>16.196999999999999</v>
      </c>
      <c r="L4261">
        <v>301</v>
      </c>
      <c r="M4261">
        <v>2</v>
      </c>
      <c r="N4261">
        <v>17</v>
      </c>
      <c r="O4261">
        <v>35.72</v>
      </c>
      <c r="P4261">
        <v>16.435069309999999</v>
      </c>
      <c r="Q4261">
        <v>8.7669999999999995</v>
      </c>
    </row>
    <row r="4262" spans="1:17" x14ac:dyDescent="0.2">
      <c r="A4262" s="30" t="str">
        <f>IF(C4262&amp;G4262&amp;D4262&lt;&gt;'Funnel setup'!$K$3&amp;'Funnel setup'!$K$4&amp;'Funnel setup'!$K$5,".",IF(A4261=".",1,A4261+1))</f>
        <v>.</v>
      </c>
      <c r="B4262" s="431" t="str">
        <f t="shared" si="66"/>
        <v>Knee Replacement PrimaryCCG of GP PracticeNHS WOKINGHAM CCG (11D)Oxford Knee Score</v>
      </c>
      <c r="C4262" t="s">
        <v>249</v>
      </c>
      <c r="D4262" t="s">
        <v>87</v>
      </c>
      <c r="E4262" t="s">
        <v>477</v>
      </c>
      <c r="F4262" t="s">
        <v>478</v>
      </c>
      <c r="G4262" t="s">
        <v>16</v>
      </c>
      <c r="H4262">
        <v>108</v>
      </c>
      <c r="I4262">
        <v>22.111000000000001</v>
      </c>
      <c r="J4262">
        <v>37.119999999999997</v>
      </c>
      <c r="K4262">
        <v>15.009</v>
      </c>
      <c r="L4262">
        <v>104</v>
      </c>
      <c r="M4262">
        <v>0</v>
      </c>
      <c r="N4262">
        <v>4</v>
      </c>
      <c r="O4262">
        <v>34.668999999999997</v>
      </c>
      <c r="P4262">
        <v>15.38368249</v>
      </c>
      <c r="Q4262">
        <v>7.9279999999999999</v>
      </c>
    </row>
    <row r="4263" spans="1:17" x14ac:dyDescent="0.2">
      <c r="A4263" s="30" t="str">
        <f>IF(C4263&amp;G4263&amp;D4263&lt;&gt;'Funnel setup'!$K$3&amp;'Funnel setup'!$K$4&amp;'Funnel setup'!$K$5,".",IF(A4262=".",1,A4262+1))</f>
        <v>.</v>
      </c>
      <c r="B4263" s="431" t="str">
        <f t="shared" si="66"/>
        <v>Knee Replacement PrimaryCCG of GP PracticeNHS WOLVERHAMPTON CCG (06A)Oxford Knee Score</v>
      </c>
      <c r="C4263" t="s">
        <v>249</v>
      </c>
      <c r="D4263" t="s">
        <v>87</v>
      </c>
      <c r="E4263" t="s">
        <v>480</v>
      </c>
      <c r="F4263" t="s">
        <v>481</v>
      </c>
      <c r="G4263" t="s">
        <v>16</v>
      </c>
      <c r="H4263">
        <v>226</v>
      </c>
      <c r="I4263">
        <v>17.748000000000001</v>
      </c>
      <c r="J4263">
        <v>33.774000000000001</v>
      </c>
      <c r="K4263">
        <v>16.027000000000001</v>
      </c>
      <c r="L4263">
        <v>209</v>
      </c>
      <c r="M4263">
        <v>2</v>
      </c>
      <c r="N4263">
        <v>15</v>
      </c>
      <c r="O4263">
        <v>36.22</v>
      </c>
      <c r="P4263">
        <v>16.934431</v>
      </c>
      <c r="Q4263">
        <v>8.9280000000000008</v>
      </c>
    </row>
    <row r="4264" spans="1:17" x14ac:dyDescent="0.2">
      <c r="A4264" s="30" t="str">
        <f>IF(C4264&amp;G4264&amp;D4264&lt;&gt;'Funnel setup'!$K$3&amp;'Funnel setup'!$K$4&amp;'Funnel setup'!$K$5,".",IF(A4263=".",1,A4263+1))</f>
        <v>.</v>
      </c>
      <c r="B4264" s="431" t="str">
        <f t="shared" si="66"/>
        <v>Knee Replacement PrimaryCCG of GP PracticeNHS WYRE FOREST CCG (06D)Oxford Knee Score</v>
      </c>
      <c r="C4264" t="s">
        <v>249</v>
      </c>
      <c r="D4264" t="s">
        <v>87</v>
      </c>
      <c r="E4264" t="s">
        <v>483</v>
      </c>
      <c r="F4264" t="s">
        <v>484</v>
      </c>
      <c r="G4264" t="s">
        <v>16</v>
      </c>
      <c r="H4264">
        <v>73</v>
      </c>
      <c r="I4264">
        <v>19.917999999999999</v>
      </c>
      <c r="J4264">
        <v>36.89</v>
      </c>
      <c r="K4264">
        <v>16.972999999999999</v>
      </c>
      <c r="L4264">
        <v>71</v>
      </c>
      <c r="M4264">
        <v>0</v>
      </c>
      <c r="N4264">
        <v>2</v>
      </c>
      <c r="O4264">
        <v>36.348999999999997</v>
      </c>
      <c r="P4264">
        <v>17.063767009999999</v>
      </c>
      <c r="Q4264">
        <v>8.048</v>
      </c>
    </row>
    <row r="4265" spans="1:17" x14ac:dyDescent="0.2">
      <c r="A4265" s="30" t="str">
        <f>IF(C4265&amp;G4265&amp;D4265&lt;&gt;'Funnel setup'!$K$3&amp;'Funnel setup'!$K$4&amp;'Funnel setup'!$K$5,".",IF(A4264=".",1,A4264+1))</f>
        <v>.</v>
      </c>
      <c r="B4265" s="431" t="str">
        <f t="shared" si="66"/>
        <v>Knee Replacement PrimaryEnglandEnglandEQ VAS</v>
      </c>
      <c r="C4265" t="s">
        <v>249</v>
      </c>
      <c r="D4265" t="s">
        <v>163</v>
      </c>
      <c r="E4265" t="s">
        <v>163</v>
      </c>
      <c r="F4265" t="s">
        <v>163</v>
      </c>
      <c r="G4265" t="s">
        <v>179</v>
      </c>
      <c r="H4265">
        <v>35839</v>
      </c>
      <c r="I4265">
        <v>68.658000000000001</v>
      </c>
      <c r="J4265">
        <v>74.513000000000005</v>
      </c>
      <c r="K4265">
        <v>5.8550000000000004</v>
      </c>
      <c r="L4265">
        <v>19955</v>
      </c>
      <c r="M4265">
        <v>4841</v>
      </c>
      <c r="N4265">
        <v>11043</v>
      </c>
      <c r="O4265">
        <v>74.513000000000005</v>
      </c>
      <c r="P4265">
        <v>5.8550461790000004</v>
      </c>
      <c r="Q4265">
        <v>15.462</v>
      </c>
    </row>
    <row r="4266" spans="1:17" x14ac:dyDescent="0.2">
      <c r="A4266" s="30" t="str">
        <f>IF(C4266&amp;G4266&amp;D4266&lt;&gt;'Funnel setup'!$K$3&amp;'Funnel setup'!$K$4&amp;'Funnel setup'!$K$5,".",IF(A4265=".",1,A4265+1))</f>
        <v>.</v>
      </c>
      <c r="B4266" s="431" t="str">
        <f t="shared" si="66"/>
        <v>Knee Replacement PrimaryEnglandEnglandEQ-5D Index</v>
      </c>
      <c r="C4266" t="s">
        <v>249</v>
      </c>
      <c r="D4266" t="s">
        <v>163</v>
      </c>
      <c r="E4266" t="s">
        <v>163</v>
      </c>
      <c r="F4266" t="s">
        <v>163</v>
      </c>
      <c r="G4266" t="s">
        <v>52</v>
      </c>
      <c r="H4266">
        <v>37855</v>
      </c>
      <c r="I4266">
        <v>0.42499999999999999</v>
      </c>
      <c r="J4266">
        <v>0.74</v>
      </c>
      <c r="K4266">
        <v>0.315</v>
      </c>
      <c r="L4266">
        <v>30702</v>
      </c>
      <c r="M4266">
        <v>3678</v>
      </c>
      <c r="N4266">
        <v>3475</v>
      </c>
      <c r="O4266">
        <v>0.74</v>
      </c>
      <c r="P4266">
        <v>0.31506112800000002</v>
      </c>
      <c r="Q4266">
        <v>0.22500000000000001</v>
      </c>
    </row>
    <row r="4267" spans="1:17" x14ac:dyDescent="0.2">
      <c r="A4267" s="30" t="str">
        <f>IF(C4267&amp;G4267&amp;D4267&lt;&gt;'Funnel setup'!$K$3&amp;'Funnel setup'!$K$4&amp;'Funnel setup'!$K$5,".",IF(A4266=".",1,A4266+1))</f>
        <v>.</v>
      </c>
      <c r="B4267" s="431" t="str">
        <f t="shared" si="66"/>
        <v>Knee Replacement PrimaryEnglandEnglandOxford Knee Score</v>
      </c>
      <c r="C4267" t="s">
        <v>249</v>
      </c>
      <c r="D4267" t="s">
        <v>163</v>
      </c>
      <c r="E4267" t="s">
        <v>163</v>
      </c>
      <c r="F4267" t="s">
        <v>163</v>
      </c>
      <c r="G4267" t="s">
        <v>16</v>
      </c>
      <c r="H4267">
        <v>40818</v>
      </c>
      <c r="I4267">
        <v>19.285</v>
      </c>
      <c r="J4267">
        <v>35.427</v>
      </c>
      <c r="K4267">
        <v>16.141999999999999</v>
      </c>
      <c r="L4267">
        <v>38289</v>
      </c>
      <c r="M4267">
        <v>432</v>
      </c>
      <c r="N4267">
        <v>2097</v>
      </c>
      <c r="O4267">
        <v>35.427</v>
      </c>
      <c r="P4267">
        <v>16.141555199999999</v>
      </c>
      <c r="Q4267">
        <v>8.5210000000000008</v>
      </c>
    </row>
    <row r="4268" spans="1:17" x14ac:dyDescent="0.2">
      <c r="A4268" s="30" t="str">
        <f>IF(C4268&amp;G4268&amp;D4268&lt;&gt;'Funnel setup'!$K$3&amp;'Funnel setup'!$K$4&amp;'Funnel setup'!$K$5,".",IF(A4267=".",1,A4267+1))</f>
        <v>.</v>
      </c>
      <c r="B4268" s="431" t="str">
        <f t="shared" si="66"/>
        <v>Knee Replacement PrimaryProviderAINTREE UNIVERSITY HOSPITAL NHS FOUNDATION TRUST (REM)EQ VAS</v>
      </c>
      <c r="C4268" t="s">
        <v>249</v>
      </c>
      <c r="D4268" t="s">
        <v>1</v>
      </c>
      <c r="E4268" t="s">
        <v>3838</v>
      </c>
      <c r="F4268" t="s">
        <v>3839</v>
      </c>
      <c r="G4268" t="s">
        <v>179</v>
      </c>
      <c r="H4268">
        <v>119</v>
      </c>
      <c r="I4268">
        <v>61.319000000000003</v>
      </c>
      <c r="J4268">
        <v>67.933000000000007</v>
      </c>
      <c r="K4268">
        <v>6.6130000000000004</v>
      </c>
      <c r="L4268">
        <v>66</v>
      </c>
      <c r="M4268">
        <v>12</v>
      </c>
      <c r="N4268">
        <v>41</v>
      </c>
      <c r="O4268">
        <v>73.284000000000006</v>
      </c>
      <c r="P4268">
        <v>4.6255944119999999</v>
      </c>
      <c r="Q4268">
        <v>15.603</v>
      </c>
    </row>
    <row r="4269" spans="1:17" x14ac:dyDescent="0.2">
      <c r="A4269" s="30" t="str">
        <f>IF(C4269&amp;G4269&amp;D4269&lt;&gt;'Funnel setup'!$K$3&amp;'Funnel setup'!$K$4&amp;'Funnel setup'!$K$5,".",IF(A4268=".",1,A4268+1))</f>
        <v>.</v>
      </c>
      <c r="B4269" s="431" t="str">
        <f t="shared" si="66"/>
        <v>Knee Replacement PrimaryProviderAIREDALE NHS FOUNDATION TRUST (RCF)EQ VAS</v>
      </c>
      <c r="C4269" t="s">
        <v>249</v>
      </c>
      <c r="D4269" t="s">
        <v>1</v>
      </c>
      <c r="E4269" t="s">
        <v>3841</v>
      </c>
      <c r="F4269" t="s">
        <v>3842</v>
      </c>
      <c r="G4269" t="s">
        <v>179</v>
      </c>
      <c r="H4269">
        <v>127</v>
      </c>
      <c r="I4269">
        <v>68.873999999999995</v>
      </c>
      <c r="J4269">
        <v>75.528000000000006</v>
      </c>
      <c r="K4269">
        <v>6.6539999999999999</v>
      </c>
      <c r="L4269">
        <v>70</v>
      </c>
      <c r="M4269">
        <v>17</v>
      </c>
      <c r="N4269">
        <v>40</v>
      </c>
      <c r="O4269">
        <v>73.989999999999995</v>
      </c>
      <c r="P4269">
        <v>5.3316640150000003</v>
      </c>
      <c r="Q4269">
        <v>14.057</v>
      </c>
    </row>
    <row r="4270" spans="1:17" x14ac:dyDescent="0.2">
      <c r="A4270" s="30" t="str">
        <f>IF(C4270&amp;G4270&amp;D4270&lt;&gt;'Funnel setup'!$K$3&amp;'Funnel setup'!$K$4&amp;'Funnel setup'!$K$5,".",IF(A4269=".",1,A4269+1))</f>
        <v>.</v>
      </c>
      <c r="B4270" s="431" t="str">
        <f t="shared" si="66"/>
        <v>Knee Replacement PrimaryProviderASHFORD AND ST PETER'S HOSPITALS NHS FOUNDATION TRUST (RTK)EQ VAS</v>
      </c>
      <c r="C4270" t="s">
        <v>249</v>
      </c>
      <c r="D4270" t="s">
        <v>1</v>
      </c>
      <c r="E4270" t="s">
        <v>3844</v>
      </c>
      <c r="F4270" t="s">
        <v>345</v>
      </c>
      <c r="G4270" t="s">
        <v>179</v>
      </c>
      <c r="H4270">
        <v>240</v>
      </c>
      <c r="I4270">
        <v>67.453999999999994</v>
      </c>
      <c r="J4270">
        <v>74.304000000000002</v>
      </c>
      <c r="K4270">
        <v>6.85</v>
      </c>
      <c r="L4270">
        <v>134</v>
      </c>
      <c r="M4270">
        <v>35</v>
      </c>
      <c r="N4270">
        <v>71</v>
      </c>
      <c r="O4270">
        <v>74.165000000000006</v>
      </c>
      <c r="P4270">
        <v>5.5067695460000001</v>
      </c>
      <c r="Q4270">
        <v>14.494999999999999</v>
      </c>
    </row>
    <row r="4271" spans="1:17" x14ac:dyDescent="0.2">
      <c r="A4271" s="30" t="str">
        <f>IF(C4271&amp;G4271&amp;D4271&lt;&gt;'Funnel setup'!$K$3&amp;'Funnel setup'!$K$4&amp;'Funnel setup'!$K$5,".",IF(A4270=".",1,A4270+1))</f>
        <v>.</v>
      </c>
      <c r="B4271" s="431" t="str">
        <f t="shared" si="66"/>
        <v>Knee Replacement PrimaryProviderASHTEAD HOSPITAL (NVC01)EQ VAS</v>
      </c>
      <c r="C4271" t="s">
        <v>249</v>
      </c>
      <c r="D4271" t="s">
        <v>1</v>
      </c>
      <c r="E4271" t="s">
        <v>3846</v>
      </c>
      <c r="F4271" t="s">
        <v>3847</v>
      </c>
      <c r="G4271" t="s">
        <v>179</v>
      </c>
      <c r="H4271">
        <v>49</v>
      </c>
      <c r="I4271">
        <v>72</v>
      </c>
      <c r="J4271">
        <v>78.611999999999995</v>
      </c>
      <c r="K4271">
        <v>6.6120000000000001</v>
      </c>
      <c r="L4271">
        <v>25</v>
      </c>
      <c r="M4271">
        <v>10</v>
      </c>
      <c r="N4271">
        <v>14</v>
      </c>
      <c r="O4271">
        <v>75.257000000000005</v>
      </c>
      <c r="P4271">
        <v>6.5989571099999997</v>
      </c>
      <c r="Q4271">
        <v>13.497999999999999</v>
      </c>
    </row>
    <row r="4272" spans="1:17" x14ac:dyDescent="0.2">
      <c r="A4272" s="30" t="str">
        <f>IF(C4272&amp;G4272&amp;D4272&lt;&gt;'Funnel setup'!$K$3&amp;'Funnel setup'!$K$4&amp;'Funnel setup'!$K$5,".",IF(A4271=".",1,A4271+1))</f>
        <v>.</v>
      </c>
      <c r="B4272" s="431" t="str">
        <f t="shared" si="66"/>
        <v>Knee Replacement PrimaryProviderASPEN - CLAREMONT HOSPITAL (NYW04)EQ VAS</v>
      </c>
      <c r="C4272" t="s">
        <v>249</v>
      </c>
      <c r="D4272" t="s">
        <v>1</v>
      </c>
      <c r="E4272" t="s">
        <v>3500</v>
      </c>
      <c r="F4272" t="s">
        <v>3501</v>
      </c>
      <c r="G4272" t="s">
        <v>179</v>
      </c>
      <c r="H4272">
        <v>68</v>
      </c>
      <c r="I4272">
        <v>65.971000000000004</v>
      </c>
      <c r="J4272">
        <v>75.5</v>
      </c>
      <c r="K4272">
        <v>9.5289999999999999</v>
      </c>
      <c r="L4272">
        <v>43</v>
      </c>
      <c r="M4272">
        <v>10</v>
      </c>
      <c r="N4272">
        <v>15</v>
      </c>
      <c r="O4272">
        <v>75.197000000000003</v>
      </c>
      <c r="P4272">
        <v>6.5390845909999999</v>
      </c>
      <c r="Q4272">
        <v>16.625</v>
      </c>
    </row>
    <row r="4273" spans="1:17" x14ac:dyDescent="0.2">
      <c r="A4273" s="30" t="str">
        <f>IF(C4273&amp;G4273&amp;D4273&lt;&gt;'Funnel setup'!$K$3&amp;'Funnel setup'!$K$4&amp;'Funnel setup'!$K$5,".",IF(A4272=".",1,A4272+1))</f>
        <v>.</v>
      </c>
      <c r="B4273" s="431" t="str">
        <f t="shared" si="66"/>
        <v>Knee Replacement PrimaryProviderASPEN - HIGHGATE HOSPITAL (NYW03)EQ VAS</v>
      </c>
      <c r="C4273" t="s">
        <v>249</v>
      </c>
      <c r="D4273" t="s">
        <v>1</v>
      </c>
      <c r="E4273" t="s">
        <v>3503</v>
      </c>
      <c r="F4273" t="s">
        <v>3504</v>
      </c>
      <c r="G4273" t="s">
        <v>179</v>
      </c>
      <c r="H4273" t="s">
        <v>53</v>
      </c>
      <c r="I4273" t="s">
        <v>53</v>
      </c>
      <c r="J4273" t="s">
        <v>53</v>
      </c>
      <c r="K4273" t="s">
        <v>53</v>
      </c>
      <c r="L4273" t="s">
        <v>53</v>
      </c>
      <c r="M4273" t="s">
        <v>53</v>
      </c>
      <c r="N4273" t="s">
        <v>53</v>
      </c>
      <c r="O4273" t="s">
        <v>53</v>
      </c>
      <c r="P4273" t="s">
        <v>53</v>
      </c>
      <c r="Q4273" t="s">
        <v>53</v>
      </c>
    </row>
    <row r="4274" spans="1:17" x14ac:dyDescent="0.2">
      <c r="A4274" s="30" t="str">
        <f>IF(C4274&amp;G4274&amp;D4274&lt;&gt;'Funnel setup'!$K$3&amp;'Funnel setup'!$K$4&amp;'Funnel setup'!$K$5,".",IF(A4273=".",1,A4273+1))</f>
        <v>.</v>
      </c>
      <c r="B4274" s="431" t="str">
        <f t="shared" si="66"/>
        <v>Knee Replacement PrimaryProviderASPEN - HOLLY HOUSE HOSPITAL (NYW01)EQ VAS</v>
      </c>
      <c r="C4274" t="s">
        <v>249</v>
      </c>
      <c r="D4274" t="s">
        <v>1</v>
      </c>
      <c r="E4274" t="s">
        <v>3506</v>
      </c>
      <c r="F4274" t="s">
        <v>3507</v>
      </c>
      <c r="G4274" t="s">
        <v>179</v>
      </c>
      <c r="H4274">
        <v>34</v>
      </c>
      <c r="I4274">
        <v>63.588000000000001</v>
      </c>
      <c r="J4274">
        <v>73.176000000000002</v>
      </c>
      <c r="K4274">
        <v>9.5879999999999992</v>
      </c>
      <c r="L4274">
        <v>24</v>
      </c>
      <c r="M4274">
        <v>2</v>
      </c>
      <c r="N4274">
        <v>8</v>
      </c>
      <c r="O4274">
        <v>74.031000000000006</v>
      </c>
      <c r="P4274">
        <v>5.3729215630000002</v>
      </c>
      <c r="Q4274">
        <v>15.893000000000001</v>
      </c>
    </row>
    <row r="4275" spans="1:17" x14ac:dyDescent="0.2">
      <c r="A4275" s="30" t="str">
        <f>IF(C4275&amp;G4275&amp;D4275&lt;&gt;'Funnel setup'!$K$3&amp;'Funnel setup'!$K$4&amp;'Funnel setup'!$K$5,".",IF(A4274=".",1,A4274+1))</f>
        <v>.</v>
      </c>
      <c r="B4275" s="431" t="str">
        <f t="shared" si="66"/>
        <v>Knee Replacement PrimaryProviderBARKING, HAVERING AND REDBRIDGE UNIVERSITY HOSPITALS NHS TRUST (RF4)EQ VAS</v>
      </c>
      <c r="C4275" t="s">
        <v>249</v>
      </c>
      <c r="D4275" t="s">
        <v>1</v>
      </c>
      <c r="E4275" t="s">
        <v>3509</v>
      </c>
      <c r="F4275" t="s">
        <v>3510</v>
      </c>
      <c r="G4275" t="s">
        <v>179</v>
      </c>
      <c r="H4275">
        <v>74</v>
      </c>
      <c r="I4275">
        <v>66.932000000000002</v>
      </c>
      <c r="J4275">
        <v>67.715999999999994</v>
      </c>
      <c r="K4275">
        <v>0.78400000000000003</v>
      </c>
      <c r="L4275">
        <v>35</v>
      </c>
      <c r="M4275">
        <v>10</v>
      </c>
      <c r="N4275">
        <v>29</v>
      </c>
      <c r="O4275">
        <v>70.638000000000005</v>
      </c>
      <c r="P4275">
        <v>1.9794656639999999</v>
      </c>
      <c r="Q4275">
        <v>18.548999999999999</v>
      </c>
    </row>
    <row r="4276" spans="1:17" x14ac:dyDescent="0.2">
      <c r="A4276" s="30" t="str">
        <f>IF(C4276&amp;G4276&amp;D4276&lt;&gt;'Funnel setup'!$K$3&amp;'Funnel setup'!$K$4&amp;'Funnel setup'!$K$5,".",IF(A4275=".",1,A4275+1))</f>
        <v>.</v>
      </c>
      <c r="B4276" s="431" t="str">
        <f t="shared" si="66"/>
        <v>Knee Replacement PrimaryProviderBARLBOROUGH NHS TREATMENT CENTRE (NTP13)EQ VAS</v>
      </c>
      <c r="C4276" t="s">
        <v>249</v>
      </c>
      <c r="D4276" t="s">
        <v>1</v>
      </c>
      <c r="E4276" t="s">
        <v>4425</v>
      </c>
      <c r="F4276" t="s">
        <v>4426</v>
      </c>
      <c r="G4276" t="s">
        <v>179</v>
      </c>
      <c r="H4276">
        <v>384</v>
      </c>
      <c r="I4276">
        <v>73.63</v>
      </c>
      <c r="J4276">
        <v>76.447999999999993</v>
      </c>
      <c r="K4276">
        <v>2.8180000000000001</v>
      </c>
      <c r="L4276">
        <v>188</v>
      </c>
      <c r="M4276">
        <v>56</v>
      </c>
      <c r="N4276">
        <v>140</v>
      </c>
      <c r="O4276">
        <v>73.725999999999999</v>
      </c>
      <c r="P4276">
        <v>5.0676188470000003</v>
      </c>
      <c r="Q4276">
        <v>13.823</v>
      </c>
    </row>
    <row r="4277" spans="1:17" x14ac:dyDescent="0.2">
      <c r="A4277" s="30" t="str">
        <f>IF(C4277&amp;G4277&amp;D4277&lt;&gt;'Funnel setup'!$K$3&amp;'Funnel setup'!$K$4&amp;'Funnel setup'!$K$5,".",IF(A4276=".",1,A4276+1))</f>
        <v>.</v>
      </c>
      <c r="B4277" s="431" t="str">
        <f t="shared" si="66"/>
        <v>Knee Replacement PrimaryProviderBARNSLEY HOSPITAL NHS FOUNDATION TRUST (RFF)EQ VAS</v>
      </c>
      <c r="C4277" t="s">
        <v>249</v>
      </c>
      <c r="D4277" t="s">
        <v>1</v>
      </c>
      <c r="E4277" t="s">
        <v>3549</v>
      </c>
      <c r="F4277" t="s">
        <v>3550</v>
      </c>
      <c r="G4277" t="s">
        <v>179</v>
      </c>
      <c r="H4277">
        <v>186</v>
      </c>
      <c r="I4277">
        <v>59.237000000000002</v>
      </c>
      <c r="J4277">
        <v>69.866</v>
      </c>
      <c r="K4277">
        <v>10.629</v>
      </c>
      <c r="L4277">
        <v>111</v>
      </c>
      <c r="M4277">
        <v>22</v>
      </c>
      <c r="N4277">
        <v>53</v>
      </c>
      <c r="O4277">
        <v>73.064999999999998</v>
      </c>
      <c r="P4277">
        <v>4.4067838960000003</v>
      </c>
      <c r="Q4277">
        <v>18.018000000000001</v>
      </c>
    </row>
    <row r="4278" spans="1:17" x14ac:dyDescent="0.2">
      <c r="A4278" s="30" t="str">
        <f>IF(C4278&amp;G4278&amp;D4278&lt;&gt;'Funnel setup'!$K$3&amp;'Funnel setup'!$K$4&amp;'Funnel setup'!$K$5,".",IF(A4277=".",1,A4277+1))</f>
        <v>.</v>
      </c>
      <c r="B4278" s="431" t="str">
        <f t="shared" si="66"/>
        <v>Knee Replacement PrimaryProviderBARTS HEALTH NHS TRUST (R1H)EQ VAS</v>
      </c>
      <c r="C4278" t="s">
        <v>249</v>
      </c>
      <c r="D4278" t="s">
        <v>1</v>
      </c>
      <c r="E4278" t="s">
        <v>3552</v>
      </c>
      <c r="F4278" t="s">
        <v>3553</v>
      </c>
      <c r="G4278" t="s">
        <v>179</v>
      </c>
      <c r="H4278">
        <v>191</v>
      </c>
      <c r="I4278">
        <v>60.707000000000001</v>
      </c>
      <c r="J4278">
        <v>67.298000000000002</v>
      </c>
      <c r="K4278">
        <v>6.5919999999999996</v>
      </c>
      <c r="L4278">
        <v>109</v>
      </c>
      <c r="M4278">
        <v>27</v>
      </c>
      <c r="N4278">
        <v>55</v>
      </c>
      <c r="O4278">
        <v>73.869</v>
      </c>
      <c r="P4278">
        <v>5.2109636410000002</v>
      </c>
      <c r="Q4278">
        <v>18.128</v>
      </c>
    </row>
    <row r="4279" spans="1:17" x14ac:dyDescent="0.2">
      <c r="A4279" s="30" t="str">
        <f>IF(C4279&amp;G4279&amp;D4279&lt;&gt;'Funnel setup'!$K$3&amp;'Funnel setup'!$K$4&amp;'Funnel setup'!$K$5,".",IF(A4278=".",1,A4278+1))</f>
        <v>.</v>
      </c>
      <c r="B4279" s="431" t="str">
        <f t="shared" si="66"/>
        <v>Knee Replacement PrimaryProviderBASILDON AND THURROCK UNIVERSITY HOSPITALS NHS FOUNDATION TRUST (RDD)EQ VAS</v>
      </c>
      <c r="C4279" t="s">
        <v>249</v>
      </c>
      <c r="D4279" t="s">
        <v>1</v>
      </c>
      <c r="E4279" t="s">
        <v>3555</v>
      </c>
      <c r="F4279" t="s">
        <v>3556</v>
      </c>
      <c r="G4279" t="s">
        <v>179</v>
      </c>
      <c r="H4279">
        <v>134</v>
      </c>
      <c r="I4279">
        <v>69.209000000000003</v>
      </c>
      <c r="J4279">
        <v>71.664000000000001</v>
      </c>
      <c r="K4279">
        <v>2.4550000000000001</v>
      </c>
      <c r="L4279">
        <v>66</v>
      </c>
      <c r="M4279">
        <v>18</v>
      </c>
      <c r="N4279">
        <v>50</v>
      </c>
      <c r="O4279">
        <v>72.378</v>
      </c>
      <c r="P4279">
        <v>3.7192867870000001</v>
      </c>
      <c r="Q4279">
        <v>17.29</v>
      </c>
    </row>
    <row r="4280" spans="1:17" x14ac:dyDescent="0.2">
      <c r="A4280" s="30" t="str">
        <f>IF(C4280&amp;G4280&amp;D4280&lt;&gt;'Funnel setup'!$K$3&amp;'Funnel setup'!$K$4&amp;'Funnel setup'!$K$5,".",IF(A4279=".",1,A4279+1))</f>
        <v>.</v>
      </c>
      <c r="B4280" s="431" t="str">
        <f t="shared" si="66"/>
        <v>Knee Replacement PrimaryProviderBEDFORD HOSPITAL NHS TRUST (RC1)EQ VAS</v>
      </c>
      <c r="C4280" t="s">
        <v>249</v>
      </c>
      <c r="D4280" t="s">
        <v>1</v>
      </c>
      <c r="E4280" t="s">
        <v>3558</v>
      </c>
      <c r="F4280" t="s">
        <v>3559</v>
      </c>
      <c r="G4280" t="s">
        <v>179</v>
      </c>
      <c r="H4280">
        <v>131</v>
      </c>
      <c r="I4280">
        <v>66.58</v>
      </c>
      <c r="J4280">
        <v>71.206000000000003</v>
      </c>
      <c r="K4280">
        <v>4.6260000000000003</v>
      </c>
      <c r="L4280">
        <v>67</v>
      </c>
      <c r="M4280">
        <v>20</v>
      </c>
      <c r="N4280">
        <v>44</v>
      </c>
      <c r="O4280">
        <v>71.835999999999999</v>
      </c>
      <c r="P4280">
        <v>3.1772107890000001</v>
      </c>
      <c r="Q4280">
        <v>15.728</v>
      </c>
    </row>
    <row r="4281" spans="1:17" x14ac:dyDescent="0.2">
      <c r="A4281" s="30" t="str">
        <f>IF(C4281&amp;G4281&amp;D4281&lt;&gt;'Funnel setup'!$K$3&amp;'Funnel setup'!$K$4&amp;'Funnel setup'!$K$5,".",IF(A4280=".",1,A4280+1))</f>
        <v>.</v>
      </c>
      <c r="B4281" s="431" t="str">
        <f t="shared" si="66"/>
        <v>Knee Replacement PrimaryProviderBENENDEN HOSPITAL (NWF01)EQ VAS</v>
      </c>
      <c r="C4281" t="s">
        <v>249</v>
      </c>
      <c r="D4281" t="s">
        <v>1</v>
      </c>
      <c r="E4281" t="s">
        <v>4428</v>
      </c>
      <c r="F4281" t="s">
        <v>4429</v>
      </c>
      <c r="G4281" t="s">
        <v>179</v>
      </c>
      <c r="H4281">
        <v>33</v>
      </c>
      <c r="I4281">
        <v>75.454999999999998</v>
      </c>
      <c r="J4281">
        <v>80.484999999999999</v>
      </c>
      <c r="K4281">
        <v>5.03</v>
      </c>
      <c r="L4281">
        <v>15</v>
      </c>
      <c r="M4281">
        <v>10</v>
      </c>
      <c r="N4281">
        <v>8</v>
      </c>
      <c r="O4281">
        <v>78.248999999999995</v>
      </c>
      <c r="P4281">
        <v>9.5909136890000006</v>
      </c>
      <c r="Q4281">
        <v>12.491</v>
      </c>
    </row>
    <row r="4282" spans="1:17" x14ac:dyDescent="0.2">
      <c r="A4282" s="30" t="str">
        <f>IF(C4282&amp;G4282&amp;D4282&lt;&gt;'Funnel setup'!$K$3&amp;'Funnel setup'!$K$4&amp;'Funnel setup'!$K$5,".",IF(A4281=".",1,A4281+1))</f>
        <v>.</v>
      </c>
      <c r="B4282" s="431" t="str">
        <f t="shared" si="66"/>
        <v>Knee Replacement PrimaryProviderBLACKPOOL TEACHING HOSPITALS NHS FOUNDATION TRUST (RXL)EQ VAS</v>
      </c>
      <c r="C4282" t="s">
        <v>249</v>
      </c>
      <c r="D4282" t="s">
        <v>1</v>
      </c>
      <c r="E4282" t="s">
        <v>3561</v>
      </c>
      <c r="F4282" t="s">
        <v>3562</v>
      </c>
      <c r="G4282" t="s">
        <v>179</v>
      </c>
      <c r="H4282">
        <v>24</v>
      </c>
      <c r="I4282">
        <v>62.167000000000002</v>
      </c>
      <c r="J4282">
        <v>69.292000000000002</v>
      </c>
      <c r="K4282">
        <v>7.125</v>
      </c>
      <c r="L4282">
        <v>11</v>
      </c>
      <c r="M4282">
        <v>5</v>
      </c>
      <c r="N4282">
        <v>8</v>
      </c>
      <c r="O4282" t="s">
        <v>53</v>
      </c>
      <c r="P4282" t="s">
        <v>53</v>
      </c>
      <c r="Q4282" t="s">
        <v>53</v>
      </c>
    </row>
    <row r="4283" spans="1:17" x14ac:dyDescent="0.2">
      <c r="A4283" s="30" t="str">
        <f>IF(C4283&amp;G4283&amp;D4283&lt;&gt;'Funnel setup'!$K$3&amp;'Funnel setup'!$K$4&amp;'Funnel setup'!$K$5,".",IF(A4282=".",1,A4282+1))</f>
        <v>.</v>
      </c>
      <c r="B4283" s="431" t="str">
        <f t="shared" si="66"/>
        <v>Knee Replacement PrimaryProviderBMI - BATH CLINIC (NT402)EQ VAS</v>
      </c>
      <c r="C4283" t="s">
        <v>249</v>
      </c>
      <c r="D4283" t="s">
        <v>1</v>
      </c>
      <c r="E4283" t="s">
        <v>3488</v>
      </c>
      <c r="F4283" t="s">
        <v>3489</v>
      </c>
      <c r="G4283" t="s">
        <v>179</v>
      </c>
      <c r="H4283">
        <v>43</v>
      </c>
      <c r="I4283">
        <v>68.349000000000004</v>
      </c>
      <c r="J4283">
        <v>78.86</v>
      </c>
      <c r="K4283">
        <v>10.512</v>
      </c>
      <c r="L4283">
        <v>30</v>
      </c>
      <c r="M4283">
        <v>3</v>
      </c>
      <c r="N4283">
        <v>10</v>
      </c>
      <c r="O4283">
        <v>76.831999999999994</v>
      </c>
      <c r="P4283">
        <v>8.1732086020000008</v>
      </c>
      <c r="Q4283">
        <v>11.468999999999999</v>
      </c>
    </row>
    <row r="4284" spans="1:17" x14ac:dyDescent="0.2">
      <c r="A4284" s="30" t="str">
        <f>IF(C4284&amp;G4284&amp;D4284&lt;&gt;'Funnel setup'!$K$3&amp;'Funnel setup'!$K$4&amp;'Funnel setup'!$K$5,".",IF(A4283=".",1,A4283+1))</f>
        <v>.</v>
      </c>
      <c r="B4284" s="431" t="str">
        <f t="shared" si="66"/>
        <v>Knee Replacement PrimaryProviderBMI - BISHOPS WOOD (NT405)EQ VAS</v>
      </c>
      <c r="C4284" t="s">
        <v>249</v>
      </c>
      <c r="D4284" t="s">
        <v>1</v>
      </c>
      <c r="E4284" t="s">
        <v>3491</v>
      </c>
      <c r="F4284" t="s">
        <v>3492</v>
      </c>
      <c r="G4284" t="s">
        <v>179</v>
      </c>
      <c r="H4284">
        <v>13</v>
      </c>
      <c r="I4284">
        <v>78.230999999999995</v>
      </c>
      <c r="J4284">
        <v>76.308000000000007</v>
      </c>
      <c r="K4284">
        <v>-1.923</v>
      </c>
      <c r="L4284">
        <v>4</v>
      </c>
      <c r="M4284">
        <v>4</v>
      </c>
      <c r="N4284">
        <v>5</v>
      </c>
      <c r="O4284" t="s">
        <v>53</v>
      </c>
      <c r="P4284" t="s">
        <v>53</v>
      </c>
      <c r="Q4284" t="s">
        <v>53</v>
      </c>
    </row>
    <row r="4285" spans="1:17" x14ac:dyDescent="0.2">
      <c r="A4285" s="30" t="str">
        <f>IF(C4285&amp;G4285&amp;D4285&lt;&gt;'Funnel setup'!$K$3&amp;'Funnel setup'!$K$4&amp;'Funnel setup'!$K$5,".",IF(A4284=".",1,A4284+1))</f>
        <v>.</v>
      </c>
      <c r="B4285" s="431" t="str">
        <f t="shared" si="66"/>
        <v>Knee Replacement PrimaryProviderBMI - CHELSFIELD PARK HOSPITAL (NT409)EQ VAS</v>
      </c>
      <c r="C4285" t="s">
        <v>249</v>
      </c>
      <c r="D4285" t="s">
        <v>1</v>
      </c>
      <c r="E4285" t="s">
        <v>3494</v>
      </c>
      <c r="F4285" t="s">
        <v>3495</v>
      </c>
      <c r="G4285" t="s">
        <v>179</v>
      </c>
      <c r="H4285">
        <v>13</v>
      </c>
      <c r="I4285">
        <v>68.462000000000003</v>
      </c>
      <c r="J4285">
        <v>75.923000000000002</v>
      </c>
      <c r="K4285">
        <v>7.4619999999999997</v>
      </c>
      <c r="L4285">
        <v>7</v>
      </c>
      <c r="M4285">
        <v>2</v>
      </c>
      <c r="N4285">
        <v>4</v>
      </c>
      <c r="O4285" t="s">
        <v>53</v>
      </c>
      <c r="P4285" t="s">
        <v>53</v>
      </c>
      <c r="Q4285" t="s">
        <v>53</v>
      </c>
    </row>
    <row r="4286" spans="1:17" x14ac:dyDescent="0.2">
      <c r="A4286" s="30" t="str">
        <f>IF(C4286&amp;G4286&amp;D4286&lt;&gt;'Funnel setup'!$K$3&amp;'Funnel setup'!$K$4&amp;'Funnel setup'!$K$5,".",IF(A4285=".",1,A4285+1))</f>
        <v>.</v>
      </c>
      <c r="B4286" s="431" t="str">
        <f t="shared" si="66"/>
        <v>Knee Replacement PrimaryProviderBMI - FAWKHAM MANOR HOSPITAL (NT414)EQ VAS</v>
      </c>
      <c r="C4286" t="s">
        <v>249</v>
      </c>
      <c r="D4286" t="s">
        <v>1</v>
      </c>
      <c r="E4286" t="s">
        <v>3497</v>
      </c>
      <c r="F4286" t="s">
        <v>3498</v>
      </c>
      <c r="G4286" t="s">
        <v>179</v>
      </c>
      <c r="H4286">
        <v>23</v>
      </c>
      <c r="I4286">
        <v>73.260999999999996</v>
      </c>
      <c r="J4286">
        <v>78.956999999999994</v>
      </c>
      <c r="K4286">
        <v>5.6959999999999997</v>
      </c>
      <c r="L4286">
        <v>13</v>
      </c>
      <c r="M4286">
        <v>5</v>
      </c>
      <c r="N4286">
        <v>5</v>
      </c>
      <c r="O4286" t="s">
        <v>53</v>
      </c>
      <c r="P4286" t="s">
        <v>53</v>
      </c>
      <c r="Q4286" t="s">
        <v>53</v>
      </c>
    </row>
    <row r="4287" spans="1:17" x14ac:dyDescent="0.2">
      <c r="A4287" s="30" t="str">
        <f>IF(C4287&amp;G4287&amp;D4287&lt;&gt;'Funnel setup'!$K$3&amp;'Funnel setup'!$K$4&amp;'Funnel setup'!$K$5,".",IF(A4286=".",1,A4286+1))</f>
        <v>.</v>
      </c>
      <c r="B4287" s="431" t="str">
        <f t="shared" si="66"/>
        <v>Knee Replacement PrimaryProviderBMI - GORING HALL HOSPITAL (NT417)EQ VAS</v>
      </c>
      <c r="C4287" t="s">
        <v>249</v>
      </c>
      <c r="D4287" t="s">
        <v>1</v>
      </c>
      <c r="E4287" t="s">
        <v>3403</v>
      </c>
      <c r="F4287" t="s">
        <v>3404</v>
      </c>
      <c r="G4287" t="s">
        <v>179</v>
      </c>
      <c r="H4287">
        <v>97</v>
      </c>
      <c r="I4287">
        <v>73.381</v>
      </c>
      <c r="J4287">
        <v>76.412000000000006</v>
      </c>
      <c r="K4287">
        <v>3.0310000000000001</v>
      </c>
      <c r="L4287">
        <v>44</v>
      </c>
      <c r="M4287">
        <v>12</v>
      </c>
      <c r="N4287">
        <v>41</v>
      </c>
      <c r="O4287">
        <v>73.58</v>
      </c>
      <c r="P4287">
        <v>4.922156406</v>
      </c>
      <c r="Q4287">
        <v>13.571</v>
      </c>
    </row>
    <row r="4288" spans="1:17" x14ac:dyDescent="0.2">
      <c r="A4288" s="30" t="str">
        <f>IF(C4288&amp;G4288&amp;D4288&lt;&gt;'Funnel setup'!$K$3&amp;'Funnel setup'!$K$4&amp;'Funnel setup'!$K$5,".",IF(A4287=".",1,A4287+1))</f>
        <v>.</v>
      </c>
      <c r="B4288" s="431" t="str">
        <f t="shared" si="66"/>
        <v>Knee Replacement PrimaryProviderBMI - HENDON HOSPITAL (NT416)EQ VAS</v>
      </c>
      <c r="C4288" t="s">
        <v>249</v>
      </c>
      <c r="D4288" t="s">
        <v>1</v>
      </c>
      <c r="E4288" t="s">
        <v>3570</v>
      </c>
      <c r="F4288" t="s">
        <v>3571</v>
      </c>
      <c r="G4288" t="s">
        <v>179</v>
      </c>
      <c r="H4288" t="s">
        <v>53</v>
      </c>
      <c r="I4288" t="s">
        <v>53</v>
      </c>
      <c r="J4288" t="s">
        <v>53</v>
      </c>
      <c r="K4288" t="s">
        <v>53</v>
      </c>
      <c r="L4288" t="s">
        <v>53</v>
      </c>
      <c r="M4288" t="s">
        <v>53</v>
      </c>
      <c r="N4288" t="s">
        <v>53</v>
      </c>
      <c r="O4288" t="s">
        <v>53</v>
      </c>
      <c r="P4288" t="s">
        <v>53</v>
      </c>
      <c r="Q4288" t="s">
        <v>53</v>
      </c>
    </row>
    <row r="4289" spans="1:17" x14ac:dyDescent="0.2">
      <c r="A4289" s="30" t="str">
        <f>IF(C4289&amp;G4289&amp;D4289&lt;&gt;'Funnel setup'!$K$3&amp;'Funnel setup'!$K$4&amp;'Funnel setup'!$K$5,".",IF(A4288=".",1,A4288+1))</f>
        <v>.</v>
      </c>
      <c r="B4289" s="431" t="str">
        <f t="shared" si="66"/>
        <v>Knee Replacement PrimaryProviderBMI - SARUM ROAD HOSPITAL (NT433)EQ VAS</v>
      </c>
      <c r="C4289" t="s">
        <v>249</v>
      </c>
      <c r="D4289" t="s">
        <v>1</v>
      </c>
      <c r="E4289" t="s">
        <v>3573</v>
      </c>
      <c r="F4289" t="s">
        <v>3574</v>
      </c>
      <c r="G4289" t="s">
        <v>179</v>
      </c>
      <c r="H4289">
        <v>24</v>
      </c>
      <c r="I4289">
        <v>79.625</v>
      </c>
      <c r="J4289">
        <v>79.792000000000002</v>
      </c>
      <c r="K4289">
        <v>0.16700000000000001</v>
      </c>
      <c r="L4289">
        <v>8</v>
      </c>
      <c r="M4289">
        <v>6</v>
      </c>
      <c r="N4289">
        <v>10</v>
      </c>
      <c r="O4289" t="s">
        <v>53</v>
      </c>
      <c r="P4289" t="s">
        <v>53</v>
      </c>
      <c r="Q4289" t="s">
        <v>53</v>
      </c>
    </row>
    <row r="4290" spans="1:17" x14ac:dyDescent="0.2">
      <c r="A4290" s="30" t="str">
        <f>IF(C4290&amp;G4290&amp;D4290&lt;&gt;'Funnel setup'!$K$3&amp;'Funnel setup'!$K$4&amp;'Funnel setup'!$K$5,".",IF(A4289=".",1,A4289+1))</f>
        <v>.</v>
      </c>
      <c r="B4290" s="431" t="str">
        <f t="shared" si="66"/>
        <v>Knee Replacement PrimaryProviderBMI - SHIRLEY OAKS HOSPITAL (NT436)EQ VAS</v>
      </c>
      <c r="C4290" t="s">
        <v>249</v>
      </c>
      <c r="D4290" t="s">
        <v>1</v>
      </c>
      <c r="E4290" t="s">
        <v>3576</v>
      </c>
      <c r="F4290" t="s">
        <v>3577</v>
      </c>
      <c r="G4290" t="s">
        <v>179</v>
      </c>
      <c r="H4290">
        <v>15</v>
      </c>
      <c r="I4290">
        <v>67.400000000000006</v>
      </c>
      <c r="J4290">
        <v>73</v>
      </c>
      <c r="K4290">
        <v>5.6</v>
      </c>
      <c r="L4290">
        <v>7</v>
      </c>
      <c r="M4290">
        <v>5</v>
      </c>
      <c r="N4290">
        <v>3</v>
      </c>
      <c r="O4290" t="s">
        <v>53</v>
      </c>
      <c r="P4290" t="s">
        <v>53</v>
      </c>
      <c r="Q4290" t="s">
        <v>53</v>
      </c>
    </row>
    <row r="4291" spans="1:17" x14ac:dyDescent="0.2">
      <c r="A4291" s="30" t="str">
        <f>IF(C4291&amp;G4291&amp;D4291&lt;&gt;'Funnel setup'!$K$3&amp;'Funnel setup'!$K$4&amp;'Funnel setup'!$K$5,".",IF(A4290=".",1,A4290+1))</f>
        <v>.</v>
      </c>
      <c r="B4291" s="431" t="str">
        <f t="shared" ref="B4291:B4354" si="67">C4291&amp;D4291&amp;F4291&amp;G4291</f>
        <v>Knee Replacement PrimaryProviderBMI - THE ALEXANDRA HOSPITAL (NT401)EQ VAS</v>
      </c>
      <c r="C4291" t="s">
        <v>249</v>
      </c>
      <c r="D4291" t="s">
        <v>1</v>
      </c>
      <c r="E4291" t="s">
        <v>3579</v>
      </c>
      <c r="F4291" t="s">
        <v>3580</v>
      </c>
      <c r="G4291" t="s">
        <v>179</v>
      </c>
      <c r="H4291">
        <v>69</v>
      </c>
      <c r="I4291">
        <v>71.159000000000006</v>
      </c>
      <c r="J4291">
        <v>78.332999999999998</v>
      </c>
      <c r="K4291">
        <v>7.1740000000000004</v>
      </c>
      <c r="L4291">
        <v>42</v>
      </c>
      <c r="M4291">
        <v>9</v>
      </c>
      <c r="N4291">
        <v>18</v>
      </c>
      <c r="O4291">
        <v>77.116</v>
      </c>
      <c r="P4291">
        <v>8.4576266340000004</v>
      </c>
      <c r="Q4291">
        <v>12.449</v>
      </c>
    </row>
    <row r="4292" spans="1:17" x14ac:dyDescent="0.2">
      <c r="A4292" s="30" t="str">
        <f>IF(C4292&amp;G4292&amp;D4292&lt;&gt;'Funnel setup'!$K$3&amp;'Funnel setup'!$K$4&amp;'Funnel setup'!$K$5,".",IF(A4291=".",1,A4291+1))</f>
        <v>.</v>
      </c>
      <c r="B4292" s="431" t="str">
        <f t="shared" si="67"/>
        <v>Knee Replacement PrimaryProviderBMI - THE BEARDWOOD HOSPITAL (NT403)EQ VAS</v>
      </c>
      <c r="C4292" t="s">
        <v>249</v>
      </c>
      <c r="D4292" t="s">
        <v>1</v>
      </c>
      <c r="E4292" t="s">
        <v>3582</v>
      </c>
      <c r="F4292" t="s">
        <v>3583</v>
      </c>
      <c r="G4292" t="s">
        <v>179</v>
      </c>
      <c r="H4292">
        <v>41</v>
      </c>
      <c r="I4292">
        <v>67.22</v>
      </c>
      <c r="J4292">
        <v>75.659000000000006</v>
      </c>
      <c r="K4292">
        <v>8.4390000000000001</v>
      </c>
      <c r="L4292">
        <v>23</v>
      </c>
      <c r="M4292">
        <v>10</v>
      </c>
      <c r="N4292">
        <v>8</v>
      </c>
      <c r="O4292">
        <v>75.094999999999999</v>
      </c>
      <c r="P4292">
        <v>6.4366164919999997</v>
      </c>
      <c r="Q4292">
        <v>12.022</v>
      </c>
    </row>
    <row r="4293" spans="1:17" x14ac:dyDescent="0.2">
      <c r="A4293" s="30" t="str">
        <f>IF(C4293&amp;G4293&amp;D4293&lt;&gt;'Funnel setup'!$K$3&amp;'Funnel setup'!$K$4&amp;'Funnel setup'!$K$5,".",IF(A4292=".",1,A4292+1))</f>
        <v>.</v>
      </c>
      <c r="B4293" s="431" t="str">
        <f t="shared" si="67"/>
        <v>Knee Replacement PrimaryProviderBMI - THE BEAUMONT HOSPITAL (NT404)EQ VAS</v>
      </c>
      <c r="C4293" t="s">
        <v>249</v>
      </c>
      <c r="D4293" t="s">
        <v>1</v>
      </c>
      <c r="E4293" t="s">
        <v>3585</v>
      </c>
      <c r="F4293" t="s">
        <v>3586</v>
      </c>
      <c r="G4293" t="s">
        <v>179</v>
      </c>
      <c r="H4293">
        <v>37</v>
      </c>
      <c r="I4293">
        <v>70.108000000000004</v>
      </c>
      <c r="J4293">
        <v>78.73</v>
      </c>
      <c r="K4293">
        <v>8.6219999999999999</v>
      </c>
      <c r="L4293">
        <v>24</v>
      </c>
      <c r="M4293">
        <v>6</v>
      </c>
      <c r="N4293">
        <v>7</v>
      </c>
      <c r="O4293">
        <v>77.001000000000005</v>
      </c>
      <c r="P4293">
        <v>8.3424385640000001</v>
      </c>
      <c r="Q4293">
        <v>13.929</v>
      </c>
    </row>
    <row r="4294" spans="1:17" x14ac:dyDescent="0.2">
      <c r="A4294" s="30" t="str">
        <f>IF(C4294&amp;G4294&amp;D4294&lt;&gt;'Funnel setup'!$K$3&amp;'Funnel setup'!$K$4&amp;'Funnel setup'!$K$5,".",IF(A4293=".",1,A4293+1))</f>
        <v>.</v>
      </c>
      <c r="B4294" s="431" t="str">
        <f t="shared" si="67"/>
        <v>Knee Replacement PrimaryProviderBMI - THE BLACKHEATH HOSPITAL (NT406)EQ VAS</v>
      </c>
      <c r="C4294" t="s">
        <v>249</v>
      </c>
      <c r="D4294" t="s">
        <v>1</v>
      </c>
      <c r="E4294" t="s">
        <v>3588</v>
      </c>
      <c r="F4294" t="s">
        <v>3589</v>
      </c>
      <c r="G4294" t="s">
        <v>179</v>
      </c>
      <c r="H4294">
        <v>11</v>
      </c>
      <c r="I4294">
        <v>59.908999999999999</v>
      </c>
      <c r="J4294">
        <v>66.182000000000002</v>
      </c>
      <c r="K4294">
        <v>6.2729999999999997</v>
      </c>
      <c r="L4294">
        <v>7</v>
      </c>
      <c r="M4294">
        <v>1</v>
      </c>
      <c r="N4294">
        <v>3</v>
      </c>
      <c r="O4294" t="s">
        <v>53</v>
      </c>
      <c r="P4294" t="s">
        <v>53</v>
      </c>
      <c r="Q4294" t="s">
        <v>53</v>
      </c>
    </row>
    <row r="4295" spans="1:17" x14ac:dyDescent="0.2">
      <c r="A4295" s="30" t="str">
        <f>IF(C4295&amp;G4295&amp;D4295&lt;&gt;'Funnel setup'!$K$3&amp;'Funnel setup'!$K$4&amp;'Funnel setup'!$K$5,".",IF(A4294=".",1,A4294+1))</f>
        <v>.</v>
      </c>
      <c r="B4295" s="431" t="str">
        <f t="shared" si="67"/>
        <v>Knee Replacement PrimaryProviderBMI - THE CHAUCER HOSPITAL (NT408)EQ VAS</v>
      </c>
      <c r="C4295" t="s">
        <v>249</v>
      </c>
      <c r="D4295" t="s">
        <v>1</v>
      </c>
      <c r="E4295" t="s">
        <v>3591</v>
      </c>
      <c r="F4295" t="s">
        <v>3592</v>
      </c>
      <c r="G4295" t="s">
        <v>179</v>
      </c>
      <c r="H4295">
        <v>9</v>
      </c>
      <c r="I4295">
        <v>70.221999999999994</v>
      </c>
      <c r="J4295">
        <v>81.778000000000006</v>
      </c>
      <c r="K4295">
        <v>11.555999999999999</v>
      </c>
      <c r="L4295">
        <v>7</v>
      </c>
      <c r="M4295">
        <v>1</v>
      </c>
      <c r="N4295">
        <v>1</v>
      </c>
      <c r="O4295" t="s">
        <v>53</v>
      </c>
      <c r="P4295" t="s">
        <v>53</v>
      </c>
      <c r="Q4295" t="s">
        <v>53</v>
      </c>
    </row>
    <row r="4296" spans="1:17" x14ac:dyDescent="0.2">
      <c r="A4296" s="30" t="str">
        <f>IF(C4296&amp;G4296&amp;D4296&lt;&gt;'Funnel setup'!$K$3&amp;'Funnel setup'!$K$4&amp;'Funnel setup'!$K$5,".",IF(A4295=".",1,A4295+1))</f>
        <v>.</v>
      </c>
      <c r="B4296" s="431" t="str">
        <f t="shared" si="67"/>
        <v>Knee Replacement PrimaryProviderBMI - THE CHILTERN HOSPITAL (NT410)EQ VAS</v>
      </c>
      <c r="C4296" t="s">
        <v>249</v>
      </c>
      <c r="D4296" t="s">
        <v>1</v>
      </c>
      <c r="E4296" t="s">
        <v>3594</v>
      </c>
      <c r="F4296" t="s">
        <v>3595</v>
      </c>
      <c r="G4296" t="s">
        <v>179</v>
      </c>
      <c r="H4296">
        <v>64</v>
      </c>
      <c r="I4296">
        <v>71.766000000000005</v>
      </c>
      <c r="J4296">
        <v>80.75</v>
      </c>
      <c r="K4296">
        <v>8.984</v>
      </c>
      <c r="L4296">
        <v>45</v>
      </c>
      <c r="M4296">
        <v>5</v>
      </c>
      <c r="N4296">
        <v>14</v>
      </c>
      <c r="O4296">
        <v>76.763000000000005</v>
      </c>
      <c r="P4296">
        <v>8.1050698570000002</v>
      </c>
      <c r="Q4296">
        <v>13.068</v>
      </c>
    </row>
    <row r="4297" spans="1:17" x14ac:dyDescent="0.2">
      <c r="A4297" s="30" t="str">
        <f>IF(C4297&amp;G4297&amp;D4297&lt;&gt;'Funnel setup'!$K$3&amp;'Funnel setup'!$K$4&amp;'Funnel setup'!$K$5,".",IF(A4296=".",1,A4296+1))</f>
        <v>.</v>
      </c>
      <c r="B4297" s="431" t="str">
        <f t="shared" si="67"/>
        <v>Knee Replacement PrimaryProviderBMI - THE CLEMENTINE CHURCHILL HOSPITAL (NT411)EQ VAS</v>
      </c>
      <c r="C4297" t="s">
        <v>249</v>
      </c>
      <c r="D4297" t="s">
        <v>1</v>
      </c>
      <c r="E4297" t="s">
        <v>3597</v>
      </c>
      <c r="F4297" t="s">
        <v>3598</v>
      </c>
      <c r="G4297" t="s">
        <v>179</v>
      </c>
      <c r="H4297">
        <v>39</v>
      </c>
      <c r="I4297">
        <v>64.102999999999994</v>
      </c>
      <c r="J4297">
        <v>75.358999999999995</v>
      </c>
      <c r="K4297">
        <v>11.256</v>
      </c>
      <c r="L4297">
        <v>23</v>
      </c>
      <c r="M4297">
        <v>5</v>
      </c>
      <c r="N4297">
        <v>11</v>
      </c>
      <c r="O4297">
        <v>77.703000000000003</v>
      </c>
      <c r="P4297">
        <v>9.0451111930000003</v>
      </c>
      <c r="Q4297">
        <v>13.67</v>
      </c>
    </row>
    <row r="4298" spans="1:17" x14ac:dyDescent="0.2">
      <c r="A4298" s="30" t="str">
        <f>IF(C4298&amp;G4298&amp;D4298&lt;&gt;'Funnel setup'!$K$3&amp;'Funnel setup'!$K$4&amp;'Funnel setup'!$K$5,".",IF(A4297=".",1,A4297+1))</f>
        <v>.</v>
      </c>
      <c r="B4298" s="431" t="str">
        <f t="shared" si="67"/>
        <v>Knee Replacement PrimaryProviderBMI - THE DROITWICH SPA HOSPITAL (NT412)EQ VAS</v>
      </c>
      <c r="C4298" t="s">
        <v>249</v>
      </c>
      <c r="D4298" t="s">
        <v>1</v>
      </c>
      <c r="E4298" t="s">
        <v>3600</v>
      </c>
      <c r="F4298" t="s">
        <v>3601</v>
      </c>
      <c r="G4298" t="s">
        <v>179</v>
      </c>
      <c r="H4298">
        <v>83</v>
      </c>
      <c r="I4298">
        <v>73.325000000000003</v>
      </c>
      <c r="J4298">
        <v>78.421999999999997</v>
      </c>
      <c r="K4298">
        <v>5.0960000000000001</v>
      </c>
      <c r="L4298">
        <v>42</v>
      </c>
      <c r="M4298">
        <v>20</v>
      </c>
      <c r="N4298">
        <v>21</v>
      </c>
      <c r="O4298">
        <v>75.67</v>
      </c>
      <c r="P4298">
        <v>7.0114216630000001</v>
      </c>
      <c r="Q4298">
        <v>13.151</v>
      </c>
    </row>
    <row r="4299" spans="1:17" x14ac:dyDescent="0.2">
      <c r="A4299" s="30" t="str">
        <f>IF(C4299&amp;G4299&amp;D4299&lt;&gt;'Funnel setup'!$K$3&amp;'Funnel setup'!$K$4&amp;'Funnel setup'!$K$5,".",IF(A4298=".",1,A4298+1))</f>
        <v>.</v>
      </c>
      <c r="B4299" s="431" t="str">
        <f t="shared" si="67"/>
        <v>Knee Replacement PrimaryProviderBMI - THE ESPERANCE HOSPITAL (NT413)EQ VAS</v>
      </c>
      <c r="C4299" t="s">
        <v>249</v>
      </c>
      <c r="D4299" t="s">
        <v>1</v>
      </c>
      <c r="E4299" t="s">
        <v>3603</v>
      </c>
      <c r="F4299" t="s">
        <v>3604</v>
      </c>
      <c r="G4299" t="s">
        <v>179</v>
      </c>
      <c r="H4299" t="s">
        <v>53</v>
      </c>
      <c r="I4299" t="s">
        <v>53</v>
      </c>
      <c r="J4299" t="s">
        <v>53</v>
      </c>
      <c r="K4299" t="s">
        <v>53</v>
      </c>
      <c r="L4299" t="s">
        <v>53</v>
      </c>
      <c r="M4299" t="s">
        <v>53</v>
      </c>
      <c r="N4299" t="s">
        <v>53</v>
      </c>
      <c r="O4299" t="s">
        <v>53</v>
      </c>
      <c r="P4299" t="s">
        <v>53</v>
      </c>
      <c r="Q4299" t="s">
        <v>53</v>
      </c>
    </row>
    <row r="4300" spans="1:17" x14ac:dyDescent="0.2">
      <c r="A4300" s="30" t="str">
        <f>IF(C4300&amp;G4300&amp;D4300&lt;&gt;'Funnel setup'!$K$3&amp;'Funnel setup'!$K$4&amp;'Funnel setup'!$K$5,".",IF(A4299=".",1,A4299+1))</f>
        <v>.</v>
      </c>
      <c r="B4300" s="431" t="str">
        <f t="shared" si="67"/>
        <v>Knee Replacement PrimaryProviderBMI - THE HAMPSHIRE CLINIC (NT418)EQ VAS</v>
      </c>
      <c r="C4300" t="s">
        <v>249</v>
      </c>
      <c r="D4300" t="s">
        <v>1</v>
      </c>
      <c r="E4300" t="s">
        <v>3609</v>
      </c>
      <c r="F4300" t="s">
        <v>3610</v>
      </c>
      <c r="G4300" t="s">
        <v>179</v>
      </c>
      <c r="H4300">
        <v>18</v>
      </c>
      <c r="I4300">
        <v>71.388999999999996</v>
      </c>
      <c r="J4300">
        <v>79.221999999999994</v>
      </c>
      <c r="K4300">
        <v>7.8330000000000002</v>
      </c>
      <c r="L4300">
        <v>12</v>
      </c>
      <c r="M4300">
        <v>1</v>
      </c>
      <c r="N4300">
        <v>5</v>
      </c>
      <c r="O4300" t="s">
        <v>53</v>
      </c>
      <c r="P4300" t="s">
        <v>53</v>
      </c>
      <c r="Q4300" t="s">
        <v>53</v>
      </c>
    </row>
    <row r="4301" spans="1:17" x14ac:dyDescent="0.2">
      <c r="A4301" s="30" t="str">
        <f>IF(C4301&amp;G4301&amp;D4301&lt;&gt;'Funnel setup'!$K$3&amp;'Funnel setup'!$K$4&amp;'Funnel setup'!$K$5,".",IF(A4300=".",1,A4300+1))</f>
        <v>.</v>
      </c>
      <c r="B4301" s="431" t="str">
        <f t="shared" si="67"/>
        <v>Knee Replacement PrimaryProviderBMI - THE HARBOUR HOSPITAL (NT419)EQ VAS</v>
      </c>
      <c r="C4301" t="s">
        <v>249</v>
      </c>
      <c r="D4301" t="s">
        <v>1</v>
      </c>
      <c r="E4301" t="s">
        <v>3612</v>
      </c>
      <c r="F4301" t="s">
        <v>3613</v>
      </c>
      <c r="G4301" t="s">
        <v>179</v>
      </c>
      <c r="H4301">
        <v>17</v>
      </c>
      <c r="I4301">
        <v>70.293999999999997</v>
      </c>
      <c r="J4301">
        <v>77.471000000000004</v>
      </c>
      <c r="K4301">
        <v>7.1760000000000002</v>
      </c>
      <c r="L4301">
        <v>7</v>
      </c>
      <c r="M4301">
        <v>7</v>
      </c>
      <c r="N4301">
        <v>3</v>
      </c>
      <c r="O4301" t="s">
        <v>53</v>
      </c>
      <c r="P4301" t="s">
        <v>53</v>
      </c>
      <c r="Q4301" t="s">
        <v>53</v>
      </c>
    </row>
    <row r="4302" spans="1:17" x14ac:dyDescent="0.2">
      <c r="A4302" s="30" t="str">
        <f>IF(C4302&amp;G4302&amp;D4302&lt;&gt;'Funnel setup'!$K$3&amp;'Funnel setup'!$K$4&amp;'Funnel setup'!$K$5,".",IF(A4301=".",1,A4301+1))</f>
        <v>.</v>
      </c>
      <c r="B4302" s="431" t="str">
        <f t="shared" si="67"/>
        <v>Knee Replacement PrimaryProviderBMI - THE HIGHFIELD HOSPITAL (NT420)EQ VAS</v>
      </c>
      <c r="C4302" t="s">
        <v>249</v>
      </c>
      <c r="D4302" t="s">
        <v>1</v>
      </c>
      <c r="E4302" t="s">
        <v>3615</v>
      </c>
      <c r="F4302" t="s">
        <v>3616</v>
      </c>
      <c r="G4302" t="s">
        <v>179</v>
      </c>
      <c r="H4302">
        <v>124</v>
      </c>
      <c r="I4302">
        <v>75.620999999999995</v>
      </c>
      <c r="J4302">
        <v>75.305999999999997</v>
      </c>
      <c r="K4302">
        <v>-0.315</v>
      </c>
      <c r="L4302">
        <v>48</v>
      </c>
      <c r="M4302">
        <v>19</v>
      </c>
      <c r="N4302">
        <v>57</v>
      </c>
      <c r="O4302">
        <v>72.242000000000004</v>
      </c>
      <c r="P4302">
        <v>3.5837340160000002</v>
      </c>
      <c r="Q4302">
        <v>15.037000000000001</v>
      </c>
    </row>
    <row r="4303" spans="1:17" x14ac:dyDescent="0.2">
      <c r="A4303" s="30" t="str">
        <f>IF(C4303&amp;G4303&amp;D4303&lt;&gt;'Funnel setup'!$K$3&amp;'Funnel setup'!$K$4&amp;'Funnel setup'!$K$5,".",IF(A4302=".",1,A4302+1))</f>
        <v>.</v>
      </c>
      <c r="B4303" s="431" t="str">
        <f t="shared" si="67"/>
        <v>Knee Replacement PrimaryProviderBMI - THE KINGS OAK HOSPITAL (NT421)EQ VAS</v>
      </c>
      <c r="C4303" t="s">
        <v>249</v>
      </c>
      <c r="D4303" t="s">
        <v>1</v>
      </c>
      <c r="E4303" t="s">
        <v>3618</v>
      </c>
      <c r="F4303" t="s">
        <v>3619</v>
      </c>
      <c r="G4303" t="s">
        <v>179</v>
      </c>
      <c r="H4303">
        <v>20</v>
      </c>
      <c r="I4303">
        <v>58.5</v>
      </c>
      <c r="J4303">
        <v>74.8</v>
      </c>
      <c r="K4303">
        <v>16.3</v>
      </c>
      <c r="L4303">
        <v>14</v>
      </c>
      <c r="M4303">
        <v>2</v>
      </c>
      <c r="N4303">
        <v>4</v>
      </c>
      <c r="O4303" t="s">
        <v>53</v>
      </c>
      <c r="P4303" t="s">
        <v>53</v>
      </c>
      <c r="Q4303" t="s">
        <v>53</v>
      </c>
    </row>
    <row r="4304" spans="1:17" x14ac:dyDescent="0.2">
      <c r="A4304" s="30" t="str">
        <f>IF(C4304&amp;G4304&amp;D4304&lt;&gt;'Funnel setup'!$K$3&amp;'Funnel setup'!$K$4&amp;'Funnel setup'!$K$5,".",IF(A4303=".",1,A4303+1))</f>
        <v>.</v>
      </c>
      <c r="B4304" s="431" t="str">
        <f t="shared" si="67"/>
        <v>Knee Replacement PrimaryProviderBMI - THE LONDON INDEPENDENT HOSPITAL (NT422)EQ VAS</v>
      </c>
      <c r="C4304" t="s">
        <v>249</v>
      </c>
      <c r="D4304" t="s">
        <v>1</v>
      </c>
      <c r="E4304" t="s">
        <v>3621</v>
      </c>
      <c r="F4304" t="s">
        <v>3622</v>
      </c>
      <c r="G4304" t="s">
        <v>179</v>
      </c>
      <c r="H4304" t="s">
        <v>53</v>
      </c>
      <c r="I4304" t="s">
        <v>53</v>
      </c>
      <c r="J4304" t="s">
        <v>53</v>
      </c>
      <c r="K4304" t="s">
        <v>53</v>
      </c>
      <c r="L4304" t="s">
        <v>53</v>
      </c>
      <c r="M4304" t="s">
        <v>53</v>
      </c>
      <c r="N4304" t="s">
        <v>53</v>
      </c>
      <c r="O4304" t="s">
        <v>53</v>
      </c>
      <c r="P4304" t="s">
        <v>53</v>
      </c>
      <c r="Q4304" t="s">
        <v>53</v>
      </c>
    </row>
    <row r="4305" spans="1:17" x14ac:dyDescent="0.2">
      <c r="A4305" s="30" t="str">
        <f>IF(C4305&amp;G4305&amp;D4305&lt;&gt;'Funnel setup'!$K$3&amp;'Funnel setup'!$K$4&amp;'Funnel setup'!$K$5,".",IF(A4304=".",1,A4304+1))</f>
        <v>.</v>
      </c>
      <c r="B4305" s="431" t="str">
        <f t="shared" si="67"/>
        <v>Knee Replacement PrimaryProviderBMI - THE MANOR HOSPITAL (NT423)EQ VAS</v>
      </c>
      <c r="C4305" t="s">
        <v>249</v>
      </c>
      <c r="D4305" t="s">
        <v>1</v>
      </c>
      <c r="E4305" t="s">
        <v>3624</v>
      </c>
      <c r="F4305" t="s">
        <v>3625</v>
      </c>
      <c r="G4305" t="s">
        <v>179</v>
      </c>
      <c r="H4305">
        <v>22</v>
      </c>
      <c r="I4305">
        <v>72.090999999999994</v>
      </c>
      <c r="J4305">
        <v>81.590999999999994</v>
      </c>
      <c r="K4305">
        <v>9.5</v>
      </c>
      <c r="L4305">
        <v>14</v>
      </c>
      <c r="M4305">
        <v>3</v>
      </c>
      <c r="N4305">
        <v>5</v>
      </c>
      <c r="O4305" t="s">
        <v>53</v>
      </c>
      <c r="P4305" t="s">
        <v>53</v>
      </c>
      <c r="Q4305" t="s">
        <v>53</v>
      </c>
    </row>
    <row r="4306" spans="1:17" x14ac:dyDescent="0.2">
      <c r="A4306" s="30" t="str">
        <f>IF(C4306&amp;G4306&amp;D4306&lt;&gt;'Funnel setup'!$K$3&amp;'Funnel setup'!$K$4&amp;'Funnel setup'!$K$5,".",IF(A4305=".",1,A4305+1))</f>
        <v>.</v>
      </c>
      <c r="B4306" s="431" t="str">
        <f t="shared" si="67"/>
        <v>Knee Replacement PrimaryProviderBMI - THE MERIDEN HOSPITAL (NT424)EQ VAS</v>
      </c>
      <c r="C4306" t="s">
        <v>249</v>
      </c>
      <c r="D4306" t="s">
        <v>1</v>
      </c>
      <c r="E4306" t="s">
        <v>3283</v>
      </c>
      <c r="F4306" t="s">
        <v>3284</v>
      </c>
      <c r="G4306" t="s">
        <v>179</v>
      </c>
      <c r="H4306">
        <v>66</v>
      </c>
      <c r="I4306">
        <v>71.302999999999997</v>
      </c>
      <c r="J4306">
        <v>75.394000000000005</v>
      </c>
      <c r="K4306">
        <v>4.0910000000000002</v>
      </c>
      <c r="L4306">
        <v>38</v>
      </c>
      <c r="M4306">
        <v>12</v>
      </c>
      <c r="N4306">
        <v>16</v>
      </c>
      <c r="O4306">
        <v>73.587000000000003</v>
      </c>
      <c r="P4306">
        <v>4.9290594419999998</v>
      </c>
      <c r="Q4306">
        <v>17.861000000000001</v>
      </c>
    </row>
    <row r="4307" spans="1:17" x14ac:dyDescent="0.2">
      <c r="A4307" s="30" t="str">
        <f>IF(C4307&amp;G4307&amp;D4307&lt;&gt;'Funnel setup'!$K$3&amp;'Funnel setup'!$K$4&amp;'Funnel setup'!$K$5,".",IF(A4306=".",1,A4306+1))</f>
        <v>.</v>
      </c>
      <c r="B4307" s="431" t="str">
        <f t="shared" si="67"/>
        <v>Knee Replacement PrimaryProviderBMI - THE PARK HOSPITAL (NT427)EQ VAS</v>
      </c>
      <c r="C4307" t="s">
        <v>249</v>
      </c>
      <c r="D4307" t="s">
        <v>1</v>
      </c>
      <c r="E4307" t="s">
        <v>3286</v>
      </c>
      <c r="F4307" t="s">
        <v>3287</v>
      </c>
      <c r="G4307" t="s">
        <v>179</v>
      </c>
      <c r="H4307">
        <v>31</v>
      </c>
      <c r="I4307">
        <v>66.451999999999998</v>
      </c>
      <c r="J4307">
        <v>75.742000000000004</v>
      </c>
      <c r="K4307">
        <v>9.2899999999999991</v>
      </c>
      <c r="L4307">
        <v>20</v>
      </c>
      <c r="M4307">
        <v>5</v>
      </c>
      <c r="N4307">
        <v>6</v>
      </c>
      <c r="O4307">
        <v>76.102999999999994</v>
      </c>
      <c r="P4307">
        <v>7.4449989130000001</v>
      </c>
      <c r="Q4307">
        <v>18.736999999999998</v>
      </c>
    </row>
    <row r="4308" spans="1:17" x14ac:dyDescent="0.2">
      <c r="A4308" s="30" t="str">
        <f>IF(C4308&amp;G4308&amp;D4308&lt;&gt;'Funnel setup'!$K$3&amp;'Funnel setup'!$K$4&amp;'Funnel setup'!$K$5,".",IF(A4307=".",1,A4307+1))</f>
        <v>.</v>
      </c>
      <c r="B4308" s="431" t="str">
        <f t="shared" si="67"/>
        <v>Knee Replacement PrimaryProviderBMI - THE PRINCESS MARGARET HOSPITAL (NT428)EQ VAS</v>
      </c>
      <c r="C4308" t="s">
        <v>249</v>
      </c>
      <c r="D4308" t="s">
        <v>1</v>
      </c>
      <c r="E4308" t="s">
        <v>3289</v>
      </c>
      <c r="F4308" t="s">
        <v>3290</v>
      </c>
      <c r="G4308" t="s">
        <v>179</v>
      </c>
      <c r="H4308">
        <v>12</v>
      </c>
      <c r="I4308">
        <v>67.082999999999998</v>
      </c>
      <c r="J4308">
        <v>73.332999999999998</v>
      </c>
      <c r="K4308">
        <v>6.25</v>
      </c>
      <c r="L4308">
        <v>6</v>
      </c>
      <c r="M4308">
        <v>2</v>
      </c>
      <c r="N4308">
        <v>4</v>
      </c>
      <c r="O4308" t="s">
        <v>53</v>
      </c>
      <c r="P4308" t="s">
        <v>53</v>
      </c>
      <c r="Q4308" t="s">
        <v>53</v>
      </c>
    </row>
    <row r="4309" spans="1:17" x14ac:dyDescent="0.2">
      <c r="A4309" s="30" t="str">
        <f>IF(C4309&amp;G4309&amp;D4309&lt;&gt;'Funnel setup'!$K$3&amp;'Funnel setup'!$K$4&amp;'Funnel setup'!$K$5,".",IF(A4308=".",1,A4308+1))</f>
        <v>.</v>
      </c>
      <c r="B4309" s="431" t="str">
        <f t="shared" si="67"/>
        <v>Knee Replacement PrimaryProviderBMI - THE PRIORY HOSPITAL (NT429)EQ VAS</v>
      </c>
      <c r="C4309" t="s">
        <v>249</v>
      </c>
      <c r="D4309" t="s">
        <v>1</v>
      </c>
      <c r="E4309" t="s">
        <v>4776</v>
      </c>
      <c r="F4309" t="s">
        <v>4777</v>
      </c>
      <c r="G4309" t="s">
        <v>179</v>
      </c>
      <c r="H4309">
        <v>6</v>
      </c>
      <c r="I4309">
        <v>77.667000000000002</v>
      </c>
      <c r="J4309">
        <v>72.5</v>
      </c>
      <c r="K4309">
        <v>-5.1669999999999998</v>
      </c>
      <c r="L4309">
        <v>5</v>
      </c>
      <c r="M4309">
        <v>0</v>
      </c>
      <c r="N4309">
        <v>1</v>
      </c>
      <c r="O4309" t="s">
        <v>53</v>
      </c>
      <c r="P4309" t="s">
        <v>53</v>
      </c>
      <c r="Q4309" t="s">
        <v>53</v>
      </c>
    </row>
    <row r="4310" spans="1:17" x14ac:dyDescent="0.2">
      <c r="A4310" s="30" t="str">
        <f>IF(C4310&amp;G4310&amp;D4310&lt;&gt;'Funnel setup'!$K$3&amp;'Funnel setup'!$K$4&amp;'Funnel setup'!$K$5,".",IF(A4309=".",1,A4309+1))</f>
        <v>.</v>
      </c>
      <c r="B4310" s="431" t="str">
        <f t="shared" si="67"/>
        <v>Knee Replacement PrimaryProviderBMI - THE RIDGEWAY HOSPITAL (NT430)EQ VAS</v>
      </c>
      <c r="C4310" t="s">
        <v>249</v>
      </c>
      <c r="D4310" t="s">
        <v>1</v>
      </c>
      <c r="E4310" t="s">
        <v>3292</v>
      </c>
      <c r="F4310" t="s">
        <v>3293</v>
      </c>
      <c r="G4310" t="s">
        <v>179</v>
      </c>
      <c r="H4310">
        <v>39</v>
      </c>
      <c r="I4310">
        <v>74.256</v>
      </c>
      <c r="J4310">
        <v>80.846000000000004</v>
      </c>
      <c r="K4310">
        <v>6.59</v>
      </c>
      <c r="L4310">
        <v>25</v>
      </c>
      <c r="M4310">
        <v>5</v>
      </c>
      <c r="N4310">
        <v>9</v>
      </c>
      <c r="O4310">
        <v>76.507000000000005</v>
      </c>
      <c r="P4310">
        <v>7.8489230799999996</v>
      </c>
      <c r="Q4310">
        <v>16.844000000000001</v>
      </c>
    </row>
    <row r="4311" spans="1:17" x14ac:dyDescent="0.2">
      <c r="A4311" s="30" t="str">
        <f>IF(C4311&amp;G4311&amp;D4311&lt;&gt;'Funnel setup'!$K$3&amp;'Funnel setup'!$K$4&amp;'Funnel setup'!$K$5,".",IF(A4310=".",1,A4310+1))</f>
        <v>.</v>
      </c>
      <c r="B4311" s="431" t="str">
        <f t="shared" si="67"/>
        <v>Knee Replacement PrimaryProviderBMI - THE RUNNYMEDE HOSPITAL (NT431)EQ VAS</v>
      </c>
      <c r="C4311" t="s">
        <v>249</v>
      </c>
      <c r="D4311" t="s">
        <v>1</v>
      </c>
      <c r="E4311" t="s">
        <v>3295</v>
      </c>
      <c r="F4311" t="s">
        <v>3296</v>
      </c>
      <c r="G4311" t="s">
        <v>179</v>
      </c>
      <c r="H4311">
        <v>27</v>
      </c>
      <c r="I4311">
        <v>71.185000000000002</v>
      </c>
      <c r="J4311">
        <v>78.519000000000005</v>
      </c>
      <c r="K4311">
        <v>7.3330000000000002</v>
      </c>
      <c r="L4311">
        <v>14</v>
      </c>
      <c r="M4311">
        <v>6</v>
      </c>
      <c r="N4311">
        <v>7</v>
      </c>
      <c r="O4311" t="s">
        <v>53</v>
      </c>
      <c r="P4311" t="s">
        <v>53</v>
      </c>
      <c r="Q4311" t="s">
        <v>53</v>
      </c>
    </row>
    <row r="4312" spans="1:17" x14ac:dyDescent="0.2">
      <c r="A4312" s="30" t="str">
        <f>IF(C4312&amp;G4312&amp;D4312&lt;&gt;'Funnel setup'!$K$3&amp;'Funnel setup'!$K$4&amp;'Funnel setup'!$K$5,".",IF(A4311=".",1,A4311+1))</f>
        <v>.</v>
      </c>
      <c r="B4312" s="431" t="str">
        <f t="shared" si="67"/>
        <v>Knee Replacement PrimaryProviderBMI - THE SANDRINGHAM HOSPITAL (NT432)EQ VAS</v>
      </c>
      <c r="C4312" t="s">
        <v>249</v>
      </c>
      <c r="D4312" t="s">
        <v>1</v>
      </c>
      <c r="E4312" t="s">
        <v>3298</v>
      </c>
      <c r="F4312" t="s">
        <v>3299</v>
      </c>
      <c r="G4312" t="s">
        <v>179</v>
      </c>
      <c r="H4312">
        <v>89</v>
      </c>
      <c r="I4312">
        <v>72.471999999999994</v>
      </c>
      <c r="J4312">
        <v>75.347999999999999</v>
      </c>
      <c r="K4312">
        <v>2.8759999999999999</v>
      </c>
      <c r="L4312">
        <v>47</v>
      </c>
      <c r="M4312">
        <v>19</v>
      </c>
      <c r="N4312">
        <v>23</v>
      </c>
      <c r="O4312">
        <v>73.266999999999996</v>
      </c>
      <c r="P4312">
        <v>4.608828452</v>
      </c>
      <c r="Q4312">
        <v>15.842000000000001</v>
      </c>
    </row>
    <row r="4313" spans="1:17" x14ac:dyDescent="0.2">
      <c r="A4313" s="30" t="str">
        <f>IF(C4313&amp;G4313&amp;D4313&lt;&gt;'Funnel setup'!$K$3&amp;'Funnel setup'!$K$4&amp;'Funnel setup'!$K$5,".",IF(A4312=".",1,A4312+1))</f>
        <v>.</v>
      </c>
      <c r="B4313" s="431" t="str">
        <f t="shared" si="67"/>
        <v>Knee Replacement PrimaryProviderBMI - THE SAXON CLINIC (NT434)EQ VAS</v>
      </c>
      <c r="C4313" t="s">
        <v>249</v>
      </c>
      <c r="D4313" t="s">
        <v>1</v>
      </c>
      <c r="E4313" t="s">
        <v>3301</v>
      </c>
      <c r="F4313" t="s">
        <v>3302</v>
      </c>
      <c r="G4313" t="s">
        <v>179</v>
      </c>
      <c r="H4313">
        <v>32</v>
      </c>
      <c r="I4313">
        <v>78.5</v>
      </c>
      <c r="J4313">
        <v>77.813000000000002</v>
      </c>
      <c r="K4313">
        <v>-0.68799999999999994</v>
      </c>
      <c r="L4313">
        <v>17</v>
      </c>
      <c r="M4313">
        <v>2</v>
      </c>
      <c r="N4313">
        <v>13</v>
      </c>
      <c r="O4313">
        <v>72.168000000000006</v>
      </c>
      <c r="P4313">
        <v>3.5097634979999999</v>
      </c>
      <c r="Q4313">
        <v>18.689</v>
      </c>
    </row>
    <row r="4314" spans="1:17" x14ac:dyDescent="0.2">
      <c r="A4314" s="30" t="str">
        <f>IF(C4314&amp;G4314&amp;D4314&lt;&gt;'Funnel setup'!$K$3&amp;'Funnel setup'!$K$4&amp;'Funnel setup'!$K$5,".",IF(A4313=".",1,A4313+1))</f>
        <v>.</v>
      </c>
      <c r="B4314" s="431" t="str">
        <f t="shared" si="67"/>
        <v>Knee Replacement PrimaryProviderBMI - THE SHELBURNE HOSPITAL (NT435)EQ VAS</v>
      </c>
      <c r="C4314" t="s">
        <v>249</v>
      </c>
      <c r="D4314" t="s">
        <v>1</v>
      </c>
      <c r="E4314" t="s">
        <v>4318</v>
      </c>
      <c r="F4314" t="s">
        <v>4319</v>
      </c>
      <c r="G4314" t="s">
        <v>179</v>
      </c>
      <c r="H4314">
        <v>18</v>
      </c>
      <c r="I4314">
        <v>74.444000000000003</v>
      </c>
      <c r="J4314">
        <v>79.332999999999998</v>
      </c>
      <c r="K4314">
        <v>4.8890000000000002</v>
      </c>
      <c r="L4314">
        <v>10</v>
      </c>
      <c r="M4314">
        <v>4</v>
      </c>
      <c r="N4314">
        <v>4</v>
      </c>
      <c r="O4314" t="s">
        <v>53</v>
      </c>
      <c r="P4314" t="s">
        <v>53</v>
      </c>
      <c r="Q4314" t="s">
        <v>53</v>
      </c>
    </row>
    <row r="4315" spans="1:17" x14ac:dyDescent="0.2">
      <c r="A4315" s="30" t="str">
        <f>IF(C4315&amp;G4315&amp;D4315&lt;&gt;'Funnel setup'!$K$3&amp;'Funnel setup'!$K$4&amp;'Funnel setup'!$K$5,".",IF(A4314=".",1,A4314+1))</f>
        <v>.</v>
      </c>
      <c r="B4315" s="431" t="str">
        <f t="shared" si="67"/>
        <v>Knee Replacement PrimaryProviderBMI - THE SLOANE HOSPITAL (NT437)EQ VAS</v>
      </c>
      <c r="C4315" t="s">
        <v>249</v>
      </c>
      <c r="D4315" t="s">
        <v>1</v>
      </c>
      <c r="E4315" t="s">
        <v>4327</v>
      </c>
      <c r="F4315" t="s">
        <v>4328</v>
      </c>
      <c r="G4315" t="s">
        <v>179</v>
      </c>
      <c r="H4315">
        <v>8</v>
      </c>
      <c r="I4315">
        <v>76.25</v>
      </c>
      <c r="J4315">
        <v>86.875</v>
      </c>
      <c r="K4315">
        <v>10.625</v>
      </c>
      <c r="L4315">
        <v>7</v>
      </c>
      <c r="M4315">
        <v>0</v>
      </c>
      <c r="N4315">
        <v>1</v>
      </c>
      <c r="O4315" t="s">
        <v>53</v>
      </c>
      <c r="P4315" t="s">
        <v>53</v>
      </c>
      <c r="Q4315" t="s">
        <v>53</v>
      </c>
    </row>
    <row r="4316" spans="1:17" x14ac:dyDescent="0.2">
      <c r="A4316" s="30" t="str">
        <f>IF(C4316&amp;G4316&amp;D4316&lt;&gt;'Funnel setup'!$K$3&amp;'Funnel setup'!$K$4&amp;'Funnel setup'!$K$5,".",IF(A4315=".",1,A4315+1))</f>
        <v>.</v>
      </c>
      <c r="B4316" s="431" t="str">
        <f t="shared" si="67"/>
        <v>Knee Replacement PrimaryProviderBMI - THE SOMERFIELD HOSPITAL (NT438)EQ VAS</v>
      </c>
      <c r="C4316" t="s">
        <v>249</v>
      </c>
      <c r="D4316" t="s">
        <v>1</v>
      </c>
      <c r="E4316" t="s">
        <v>3304</v>
      </c>
      <c r="F4316" t="s">
        <v>3305</v>
      </c>
      <c r="G4316" t="s">
        <v>179</v>
      </c>
      <c r="H4316">
        <v>25</v>
      </c>
      <c r="I4316">
        <v>70.88</v>
      </c>
      <c r="J4316">
        <v>83.24</v>
      </c>
      <c r="K4316">
        <v>12.36</v>
      </c>
      <c r="L4316">
        <v>16</v>
      </c>
      <c r="M4316">
        <v>3</v>
      </c>
      <c r="N4316">
        <v>6</v>
      </c>
      <c r="O4316" t="s">
        <v>53</v>
      </c>
      <c r="P4316" t="s">
        <v>53</v>
      </c>
      <c r="Q4316" t="s">
        <v>53</v>
      </c>
    </row>
    <row r="4317" spans="1:17" x14ac:dyDescent="0.2">
      <c r="A4317" s="30" t="str">
        <f>IF(C4317&amp;G4317&amp;D4317&lt;&gt;'Funnel setup'!$K$3&amp;'Funnel setup'!$K$4&amp;'Funnel setup'!$K$5,".",IF(A4316=".",1,A4316+1))</f>
        <v>.</v>
      </c>
      <c r="B4317" s="431" t="str">
        <f t="shared" si="67"/>
        <v>Knee Replacement PrimaryProviderBMI - THE SOUTH CHESHIRE PRIVATE HOSPITAL (NT439)EQ VAS</v>
      </c>
      <c r="C4317" t="s">
        <v>249</v>
      </c>
      <c r="D4317" t="s">
        <v>1</v>
      </c>
      <c r="E4317" t="s">
        <v>3307</v>
      </c>
      <c r="F4317" t="s">
        <v>3308</v>
      </c>
      <c r="G4317" t="s">
        <v>179</v>
      </c>
      <c r="H4317">
        <v>25</v>
      </c>
      <c r="I4317">
        <v>72.08</v>
      </c>
      <c r="J4317">
        <v>75.599999999999994</v>
      </c>
      <c r="K4317">
        <v>3.52</v>
      </c>
      <c r="L4317">
        <v>13</v>
      </c>
      <c r="M4317">
        <v>3</v>
      </c>
      <c r="N4317">
        <v>9</v>
      </c>
      <c r="O4317" t="s">
        <v>53</v>
      </c>
      <c r="P4317" t="s">
        <v>53</v>
      </c>
      <c r="Q4317" t="s">
        <v>53</v>
      </c>
    </row>
    <row r="4318" spans="1:17" x14ac:dyDescent="0.2">
      <c r="A4318" s="30" t="str">
        <f>IF(C4318&amp;G4318&amp;D4318&lt;&gt;'Funnel setup'!$K$3&amp;'Funnel setup'!$K$4&amp;'Funnel setup'!$K$5,".",IF(A4317=".",1,A4317+1))</f>
        <v>.</v>
      </c>
      <c r="B4318" s="431" t="str">
        <f t="shared" si="67"/>
        <v>Knee Replacement PrimaryProviderBMI - THE WINTERBOURNE HOSPITAL (NT443)EQ VAS</v>
      </c>
      <c r="C4318" t="s">
        <v>249</v>
      </c>
      <c r="D4318" t="s">
        <v>1</v>
      </c>
      <c r="E4318" t="s">
        <v>3310</v>
      </c>
      <c r="F4318" t="s">
        <v>3311</v>
      </c>
      <c r="G4318" t="s">
        <v>179</v>
      </c>
      <c r="H4318">
        <v>51</v>
      </c>
      <c r="I4318">
        <v>69.352999999999994</v>
      </c>
      <c r="J4318">
        <v>79.587999999999994</v>
      </c>
      <c r="K4318">
        <v>10.234999999999999</v>
      </c>
      <c r="L4318">
        <v>32</v>
      </c>
      <c r="M4318">
        <v>9</v>
      </c>
      <c r="N4318">
        <v>10</v>
      </c>
      <c r="O4318">
        <v>77.272000000000006</v>
      </c>
      <c r="P4318">
        <v>8.6141548070000002</v>
      </c>
      <c r="Q4318">
        <v>10.516</v>
      </c>
    </row>
    <row r="4319" spans="1:17" x14ac:dyDescent="0.2">
      <c r="A4319" s="30" t="str">
        <f>IF(C4319&amp;G4319&amp;D4319&lt;&gt;'Funnel setup'!$K$3&amp;'Funnel setup'!$K$4&amp;'Funnel setup'!$K$5,".",IF(A4318=".",1,A4318+1))</f>
        <v>.</v>
      </c>
      <c r="B4319" s="431" t="str">
        <f t="shared" si="67"/>
        <v>Knee Replacement PrimaryProviderBMI - THORNBURY HOSPITAL (NT440)EQ VAS</v>
      </c>
      <c r="C4319" t="s">
        <v>249</v>
      </c>
      <c r="D4319" t="s">
        <v>1</v>
      </c>
      <c r="E4319" t="s">
        <v>3313</v>
      </c>
      <c r="F4319" t="s">
        <v>3314</v>
      </c>
      <c r="G4319" t="s">
        <v>179</v>
      </c>
      <c r="H4319">
        <v>38</v>
      </c>
      <c r="I4319">
        <v>63.973999999999997</v>
      </c>
      <c r="J4319">
        <v>75.894999999999996</v>
      </c>
      <c r="K4319">
        <v>11.920999999999999</v>
      </c>
      <c r="L4319">
        <v>29</v>
      </c>
      <c r="M4319">
        <v>2</v>
      </c>
      <c r="N4319">
        <v>7</v>
      </c>
      <c r="O4319">
        <v>75.244</v>
      </c>
      <c r="P4319">
        <v>6.5856210830000004</v>
      </c>
      <c r="Q4319">
        <v>13.472</v>
      </c>
    </row>
    <row r="4320" spans="1:17" x14ac:dyDescent="0.2">
      <c r="A4320" s="30" t="str">
        <f>IF(C4320&amp;G4320&amp;D4320&lt;&gt;'Funnel setup'!$K$3&amp;'Funnel setup'!$K$4&amp;'Funnel setup'!$K$5,".",IF(A4319=".",1,A4319+1))</f>
        <v>.</v>
      </c>
      <c r="B4320" s="431" t="str">
        <f t="shared" si="67"/>
        <v>Knee Replacement PrimaryProviderBMI - THREE SHIRES HOSPITAL (NT441)EQ VAS</v>
      </c>
      <c r="C4320" t="s">
        <v>249</v>
      </c>
      <c r="D4320" t="s">
        <v>1</v>
      </c>
      <c r="E4320" t="s">
        <v>3316</v>
      </c>
      <c r="F4320" t="s">
        <v>3317</v>
      </c>
      <c r="G4320" t="s">
        <v>179</v>
      </c>
      <c r="H4320">
        <v>43</v>
      </c>
      <c r="I4320">
        <v>67.766999999999996</v>
      </c>
      <c r="J4320">
        <v>75.302000000000007</v>
      </c>
      <c r="K4320">
        <v>7.5350000000000001</v>
      </c>
      <c r="L4320">
        <v>25</v>
      </c>
      <c r="M4320">
        <v>4</v>
      </c>
      <c r="N4320">
        <v>14</v>
      </c>
      <c r="O4320">
        <v>75.350999999999999</v>
      </c>
      <c r="P4320">
        <v>6.692188764</v>
      </c>
      <c r="Q4320">
        <v>13.717000000000001</v>
      </c>
    </row>
    <row r="4321" spans="1:17" x14ac:dyDescent="0.2">
      <c r="A4321" s="30" t="str">
        <f>IF(C4321&amp;G4321&amp;D4321&lt;&gt;'Funnel setup'!$K$3&amp;'Funnel setup'!$K$4&amp;'Funnel setup'!$K$5,".",IF(A4320=".",1,A4320+1))</f>
        <v>.</v>
      </c>
      <c r="B4321" s="431" t="str">
        <f t="shared" si="67"/>
        <v>Knee Replacement PrimaryProviderBMI GISBURNE PARK HOSPITAL (NT497)EQ VAS</v>
      </c>
      <c r="C4321" t="s">
        <v>249</v>
      </c>
      <c r="D4321" t="s">
        <v>1</v>
      </c>
      <c r="E4321" t="s">
        <v>3319</v>
      </c>
      <c r="F4321" t="s">
        <v>3320</v>
      </c>
      <c r="G4321" t="s">
        <v>179</v>
      </c>
      <c r="H4321">
        <v>48</v>
      </c>
      <c r="I4321">
        <v>65.832999999999998</v>
      </c>
      <c r="J4321">
        <v>77.728999999999999</v>
      </c>
      <c r="K4321">
        <v>11.896000000000001</v>
      </c>
      <c r="L4321">
        <v>35</v>
      </c>
      <c r="M4321">
        <v>6</v>
      </c>
      <c r="N4321">
        <v>7</v>
      </c>
      <c r="O4321">
        <v>78.448999999999998</v>
      </c>
      <c r="P4321">
        <v>9.7908189730000004</v>
      </c>
      <c r="Q4321">
        <v>14.247</v>
      </c>
    </row>
    <row r="4322" spans="1:17" x14ac:dyDescent="0.2">
      <c r="A4322" s="30" t="str">
        <f>IF(C4322&amp;G4322&amp;D4322&lt;&gt;'Funnel setup'!$K$3&amp;'Funnel setup'!$K$4&amp;'Funnel setup'!$K$5,".",IF(A4321=".",1,A4321+1))</f>
        <v>.</v>
      </c>
      <c r="B4322" s="431" t="str">
        <f t="shared" si="67"/>
        <v>Knee Replacement PrimaryProviderBMI ST EDMUNDS HOSPITAL (NT446)EQ VAS</v>
      </c>
      <c r="C4322" t="s">
        <v>249</v>
      </c>
      <c r="D4322" t="s">
        <v>1</v>
      </c>
      <c r="E4322" t="s">
        <v>3328</v>
      </c>
      <c r="F4322" t="s">
        <v>3329</v>
      </c>
      <c r="G4322" t="s">
        <v>179</v>
      </c>
      <c r="H4322">
        <v>71</v>
      </c>
      <c r="I4322">
        <v>69.099000000000004</v>
      </c>
      <c r="J4322">
        <v>77.224999999999994</v>
      </c>
      <c r="K4322">
        <v>8.1270000000000007</v>
      </c>
      <c r="L4322">
        <v>42</v>
      </c>
      <c r="M4322">
        <v>5</v>
      </c>
      <c r="N4322">
        <v>24</v>
      </c>
      <c r="O4322">
        <v>75.210999999999999</v>
      </c>
      <c r="P4322">
        <v>6.5522392710000004</v>
      </c>
      <c r="Q4322">
        <v>18.277999999999999</v>
      </c>
    </row>
    <row r="4323" spans="1:17" x14ac:dyDescent="0.2">
      <c r="A4323" s="30" t="str">
        <f>IF(C4323&amp;G4323&amp;D4323&lt;&gt;'Funnel setup'!$K$3&amp;'Funnel setup'!$K$4&amp;'Funnel setup'!$K$5,".",IF(A4322=".",1,A4322+1))</f>
        <v>.</v>
      </c>
      <c r="B4323" s="431" t="str">
        <f t="shared" si="67"/>
        <v>Knee Replacement PrimaryProviderBMI THE CAVELL HOSPITAL (NT451)EQ VAS</v>
      </c>
      <c r="C4323" t="s">
        <v>249</v>
      </c>
      <c r="D4323" t="s">
        <v>1</v>
      </c>
      <c r="E4323" t="s">
        <v>3331</v>
      </c>
      <c r="F4323" t="s">
        <v>3332</v>
      </c>
      <c r="G4323" t="s">
        <v>179</v>
      </c>
      <c r="H4323">
        <v>27</v>
      </c>
      <c r="I4323">
        <v>68.519000000000005</v>
      </c>
      <c r="J4323">
        <v>73.852000000000004</v>
      </c>
      <c r="K4323">
        <v>5.3330000000000002</v>
      </c>
      <c r="L4323">
        <v>16</v>
      </c>
      <c r="M4323">
        <v>4</v>
      </c>
      <c r="N4323">
        <v>7</v>
      </c>
      <c r="O4323" t="s">
        <v>53</v>
      </c>
      <c r="P4323" t="s">
        <v>53</v>
      </c>
      <c r="Q4323" t="s">
        <v>53</v>
      </c>
    </row>
    <row r="4324" spans="1:17" x14ac:dyDescent="0.2">
      <c r="A4324" s="30" t="str">
        <f>IF(C4324&amp;G4324&amp;D4324&lt;&gt;'Funnel setup'!$K$3&amp;'Funnel setup'!$K$4&amp;'Funnel setup'!$K$5,".",IF(A4323=".",1,A4323+1))</f>
        <v>.</v>
      </c>
      <c r="B4324" s="431" t="str">
        <f t="shared" si="67"/>
        <v>Knee Replacement PrimaryProviderBMI THE DUCHY HOSPITAL (NT447)EQ VAS</v>
      </c>
      <c r="C4324" t="s">
        <v>249</v>
      </c>
      <c r="D4324" t="s">
        <v>1</v>
      </c>
      <c r="E4324" t="s">
        <v>3334</v>
      </c>
      <c r="F4324" t="s">
        <v>3335</v>
      </c>
      <c r="G4324" t="s">
        <v>179</v>
      </c>
      <c r="H4324">
        <v>25</v>
      </c>
      <c r="I4324">
        <v>72.400000000000006</v>
      </c>
      <c r="J4324">
        <v>80.8</v>
      </c>
      <c r="K4324">
        <v>8.4</v>
      </c>
      <c r="L4324">
        <v>17</v>
      </c>
      <c r="M4324">
        <v>3</v>
      </c>
      <c r="N4324">
        <v>5</v>
      </c>
      <c r="O4324" t="s">
        <v>53</v>
      </c>
      <c r="P4324" t="s">
        <v>53</v>
      </c>
      <c r="Q4324" t="s">
        <v>53</v>
      </c>
    </row>
    <row r="4325" spans="1:17" x14ac:dyDescent="0.2">
      <c r="A4325" s="30" t="str">
        <f>IF(C4325&amp;G4325&amp;D4325&lt;&gt;'Funnel setup'!$K$3&amp;'Funnel setup'!$K$4&amp;'Funnel setup'!$K$5,".",IF(A4324=".",1,A4324+1))</f>
        <v>.</v>
      </c>
      <c r="B4325" s="431" t="str">
        <f t="shared" si="67"/>
        <v>Knee Replacement PrimaryProviderBMI THE EDGBASTON HOSPITAL (NT445)EQ VAS</v>
      </c>
      <c r="C4325" t="s">
        <v>249</v>
      </c>
      <c r="D4325" t="s">
        <v>1</v>
      </c>
      <c r="E4325" t="s">
        <v>3337</v>
      </c>
      <c r="F4325" t="s">
        <v>3338</v>
      </c>
      <c r="G4325" t="s">
        <v>179</v>
      </c>
      <c r="H4325">
        <v>39</v>
      </c>
      <c r="I4325">
        <v>70.846000000000004</v>
      </c>
      <c r="J4325">
        <v>78.204999999999998</v>
      </c>
      <c r="K4325">
        <v>7.359</v>
      </c>
      <c r="L4325">
        <v>21</v>
      </c>
      <c r="M4325">
        <v>11</v>
      </c>
      <c r="N4325">
        <v>7</v>
      </c>
      <c r="O4325">
        <v>77.340999999999994</v>
      </c>
      <c r="P4325">
        <v>8.6822130889999993</v>
      </c>
      <c r="Q4325">
        <v>10.946999999999999</v>
      </c>
    </row>
    <row r="4326" spans="1:17" x14ac:dyDescent="0.2">
      <c r="A4326" s="30" t="str">
        <f>IF(C4326&amp;G4326&amp;D4326&lt;&gt;'Funnel setup'!$K$3&amp;'Funnel setup'!$K$4&amp;'Funnel setup'!$K$5,".",IF(A4325=".",1,A4325+1))</f>
        <v>.</v>
      </c>
      <c r="B4326" s="431" t="str">
        <f t="shared" si="67"/>
        <v>Knee Replacement PrimaryProviderBMI THE HUDDERSFIELD HOSPITAL (NT448)EQ VAS</v>
      </c>
      <c r="C4326" t="s">
        <v>249</v>
      </c>
      <c r="D4326" t="s">
        <v>1</v>
      </c>
      <c r="E4326" t="s">
        <v>3346</v>
      </c>
      <c r="F4326" t="s">
        <v>3347</v>
      </c>
      <c r="G4326" t="s">
        <v>179</v>
      </c>
      <c r="H4326">
        <v>76</v>
      </c>
      <c r="I4326">
        <v>70.171000000000006</v>
      </c>
      <c r="J4326">
        <v>76.986999999999995</v>
      </c>
      <c r="K4326">
        <v>6.8159999999999998</v>
      </c>
      <c r="L4326">
        <v>40</v>
      </c>
      <c r="M4326">
        <v>11</v>
      </c>
      <c r="N4326">
        <v>25</v>
      </c>
      <c r="O4326">
        <v>75.132000000000005</v>
      </c>
      <c r="P4326">
        <v>6.4734624639999998</v>
      </c>
      <c r="Q4326">
        <v>16.033999999999999</v>
      </c>
    </row>
    <row r="4327" spans="1:17" x14ac:dyDescent="0.2">
      <c r="A4327" s="30" t="str">
        <f>IF(C4327&amp;G4327&amp;D4327&lt;&gt;'Funnel setup'!$K$3&amp;'Funnel setup'!$K$4&amp;'Funnel setup'!$K$5,".",IF(A4326=".",1,A4326+1))</f>
        <v>.</v>
      </c>
      <c r="B4327" s="431" t="str">
        <f t="shared" si="67"/>
        <v>Knee Replacement PrimaryProviderBMI THE LANCASTER HOSPITAL (NT449)EQ VAS</v>
      </c>
      <c r="C4327" t="s">
        <v>249</v>
      </c>
      <c r="D4327" t="s">
        <v>1</v>
      </c>
      <c r="E4327" t="s">
        <v>3349</v>
      </c>
      <c r="F4327" t="s">
        <v>3350</v>
      </c>
      <c r="G4327" t="s">
        <v>179</v>
      </c>
      <c r="H4327">
        <v>50</v>
      </c>
      <c r="I4327">
        <v>72.56</v>
      </c>
      <c r="J4327">
        <v>80.62</v>
      </c>
      <c r="K4327">
        <v>8.06</v>
      </c>
      <c r="L4327">
        <v>34</v>
      </c>
      <c r="M4327">
        <v>7</v>
      </c>
      <c r="N4327">
        <v>9</v>
      </c>
      <c r="O4327">
        <v>76.841999999999999</v>
      </c>
      <c r="P4327">
        <v>8.1835892660000003</v>
      </c>
      <c r="Q4327">
        <v>12.55</v>
      </c>
    </row>
    <row r="4328" spans="1:17" x14ac:dyDescent="0.2">
      <c r="A4328" s="30" t="str">
        <f>IF(C4328&amp;G4328&amp;D4328&lt;&gt;'Funnel setup'!$K$3&amp;'Funnel setup'!$K$4&amp;'Funnel setup'!$K$5,".",IF(A4327=".",1,A4327+1))</f>
        <v>.</v>
      </c>
      <c r="B4328" s="431" t="str">
        <f t="shared" si="67"/>
        <v>Knee Replacement PrimaryProviderBMI THE LINCOLN HOSPITAL (NT450)EQ VAS</v>
      </c>
      <c r="C4328" t="s">
        <v>249</v>
      </c>
      <c r="D4328" t="s">
        <v>1</v>
      </c>
      <c r="E4328" t="s">
        <v>3352</v>
      </c>
      <c r="F4328" t="s">
        <v>3353</v>
      </c>
      <c r="G4328" t="s">
        <v>179</v>
      </c>
      <c r="H4328">
        <v>79</v>
      </c>
      <c r="I4328">
        <v>63.962000000000003</v>
      </c>
      <c r="J4328">
        <v>81.126999999999995</v>
      </c>
      <c r="K4328">
        <v>17.164999999999999</v>
      </c>
      <c r="L4328">
        <v>61</v>
      </c>
      <c r="M4328">
        <v>12</v>
      </c>
      <c r="N4328">
        <v>6</v>
      </c>
      <c r="O4328">
        <v>81.174000000000007</v>
      </c>
      <c r="P4328">
        <v>12.515806960000001</v>
      </c>
      <c r="Q4328">
        <v>11.179</v>
      </c>
    </row>
    <row r="4329" spans="1:17" x14ac:dyDescent="0.2">
      <c r="A4329" s="30" t="str">
        <f>IF(C4329&amp;G4329&amp;D4329&lt;&gt;'Funnel setup'!$K$3&amp;'Funnel setup'!$K$4&amp;'Funnel setup'!$K$5,".",IF(A4328=".",1,A4328+1))</f>
        <v>.</v>
      </c>
      <c r="B4329" s="431" t="str">
        <f t="shared" si="67"/>
        <v>Knee Replacement PrimaryProviderBMI WOODLANDS HOSPITAL (NT457)EQ VAS</v>
      </c>
      <c r="C4329" t="s">
        <v>249</v>
      </c>
      <c r="D4329" t="s">
        <v>1</v>
      </c>
      <c r="E4329" t="s">
        <v>3355</v>
      </c>
      <c r="F4329" t="s">
        <v>3356</v>
      </c>
      <c r="G4329" t="s">
        <v>179</v>
      </c>
      <c r="H4329">
        <v>72</v>
      </c>
      <c r="I4329">
        <v>66.736000000000004</v>
      </c>
      <c r="J4329">
        <v>76.375</v>
      </c>
      <c r="K4329">
        <v>9.6389999999999993</v>
      </c>
      <c r="L4329">
        <v>44</v>
      </c>
      <c r="M4329">
        <v>8</v>
      </c>
      <c r="N4329">
        <v>20</v>
      </c>
      <c r="O4329">
        <v>76.325000000000003</v>
      </c>
      <c r="P4329">
        <v>7.6667687430000004</v>
      </c>
      <c r="Q4329">
        <v>15.359</v>
      </c>
    </row>
    <row r="4330" spans="1:17" x14ac:dyDescent="0.2">
      <c r="A4330" s="30" t="str">
        <f>IF(C4330&amp;G4330&amp;D4330&lt;&gt;'Funnel setup'!$K$3&amp;'Funnel setup'!$K$4&amp;'Funnel setup'!$K$5,".",IF(A4329=".",1,A4329+1))</f>
        <v>.</v>
      </c>
      <c r="B4330" s="431" t="str">
        <f t="shared" si="67"/>
        <v>Knee Replacement PrimaryProviderBOLTON NHS FOUNDATION TRUST (RMC)EQ VAS</v>
      </c>
      <c r="C4330" t="s">
        <v>249</v>
      </c>
      <c r="D4330" t="s">
        <v>1</v>
      </c>
      <c r="E4330" t="s">
        <v>3358</v>
      </c>
      <c r="F4330" t="s">
        <v>3359</v>
      </c>
      <c r="G4330" t="s">
        <v>179</v>
      </c>
      <c r="H4330">
        <v>76</v>
      </c>
      <c r="I4330">
        <v>63.395000000000003</v>
      </c>
      <c r="J4330">
        <v>70.867999999999995</v>
      </c>
      <c r="K4330">
        <v>7.4740000000000002</v>
      </c>
      <c r="L4330">
        <v>45</v>
      </c>
      <c r="M4330">
        <v>8</v>
      </c>
      <c r="N4330">
        <v>23</v>
      </c>
      <c r="O4330">
        <v>74.36</v>
      </c>
      <c r="P4330">
        <v>5.7015413449999999</v>
      </c>
      <c r="Q4330">
        <v>14.57</v>
      </c>
    </row>
    <row r="4331" spans="1:17" x14ac:dyDescent="0.2">
      <c r="A4331" s="30" t="str">
        <f>IF(C4331&amp;G4331&amp;D4331&lt;&gt;'Funnel setup'!$K$3&amp;'Funnel setup'!$K$4&amp;'Funnel setup'!$K$5,".",IF(A4330=".",1,A4330+1))</f>
        <v>.</v>
      </c>
      <c r="B4331" s="431" t="str">
        <f t="shared" si="67"/>
        <v>Knee Replacement PrimaryProviderBRADFORD TEACHING HOSPITALS NHS FOUNDATION TRUST (RAE)EQ VAS</v>
      </c>
      <c r="C4331" t="s">
        <v>249</v>
      </c>
      <c r="D4331" t="s">
        <v>1</v>
      </c>
      <c r="E4331" t="s">
        <v>3361</v>
      </c>
      <c r="F4331" t="s">
        <v>3362</v>
      </c>
      <c r="G4331" t="s">
        <v>179</v>
      </c>
      <c r="H4331">
        <v>134</v>
      </c>
      <c r="I4331">
        <v>62.366</v>
      </c>
      <c r="J4331">
        <v>69.954999999999998</v>
      </c>
      <c r="K4331">
        <v>7.59</v>
      </c>
      <c r="L4331">
        <v>74</v>
      </c>
      <c r="M4331">
        <v>14</v>
      </c>
      <c r="N4331">
        <v>46</v>
      </c>
      <c r="O4331">
        <v>75.004999999999995</v>
      </c>
      <c r="P4331">
        <v>6.3462868309999996</v>
      </c>
      <c r="Q4331">
        <v>17.629000000000001</v>
      </c>
    </row>
    <row r="4332" spans="1:17" x14ac:dyDescent="0.2">
      <c r="A4332" s="30" t="str">
        <f>IF(C4332&amp;G4332&amp;D4332&lt;&gt;'Funnel setup'!$K$3&amp;'Funnel setup'!$K$4&amp;'Funnel setup'!$K$5,".",IF(A4331=".",1,A4331+1))</f>
        <v>.</v>
      </c>
      <c r="B4332" s="431" t="str">
        <f t="shared" si="67"/>
        <v>Knee Replacement PrimaryProviderBRIGHTON AND SUSSEX UNIVERSITY HOSPITALS NHS TRUST (RXH)EQ VAS</v>
      </c>
      <c r="C4332" t="s">
        <v>249</v>
      </c>
      <c r="D4332" t="s">
        <v>1</v>
      </c>
      <c r="E4332" t="s">
        <v>3367</v>
      </c>
      <c r="F4332" t="s">
        <v>3368</v>
      </c>
      <c r="G4332" t="s">
        <v>179</v>
      </c>
      <c r="H4332">
        <v>259</v>
      </c>
      <c r="I4332">
        <v>70.242999999999995</v>
      </c>
      <c r="J4332">
        <v>71.555999999999997</v>
      </c>
      <c r="K4332">
        <v>1.3129999999999999</v>
      </c>
      <c r="L4332">
        <v>122</v>
      </c>
      <c r="M4332">
        <v>37</v>
      </c>
      <c r="N4332">
        <v>100</v>
      </c>
      <c r="O4332">
        <v>71.290999999999997</v>
      </c>
      <c r="P4332">
        <v>2.6328341690000001</v>
      </c>
      <c r="Q4332">
        <v>17.137</v>
      </c>
    </row>
    <row r="4333" spans="1:17" x14ac:dyDescent="0.2">
      <c r="A4333" s="30" t="str">
        <f>IF(C4333&amp;G4333&amp;D4333&lt;&gt;'Funnel setup'!$K$3&amp;'Funnel setup'!$K$4&amp;'Funnel setup'!$K$5,".",IF(A4332=".",1,A4332+1))</f>
        <v>.</v>
      </c>
      <c r="B4333" s="431" t="str">
        <f t="shared" si="67"/>
        <v>Knee Replacement PrimaryProviderBUCKINGHAMSHIRE HEALTHCARE NHS TRUST (RXQ)EQ VAS</v>
      </c>
      <c r="C4333" t="s">
        <v>249</v>
      </c>
      <c r="D4333" t="s">
        <v>1</v>
      </c>
      <c r="E4333" t="s">
        <v>3370</v>
      </c>
      <c r="F4333" t="s">
        <v>3371</v>
      </c>
      <c r="G4333" t="s">
        <v>179</v>
      </c>
      <c r="H4333">
        <v>146</v>
      </c>
      <c r="I4333">
        <v>67.992999999999995</v>
      </c>
      <c r="J4333">
        <v>73.685000000000002</v>
      </c>
      <c r="K4333">
        <v>5.6920000000000002</v>
      </c>
      <c r="L4333">
        <v>73</v>
      </c>
      <c r="M4333">
        <v>26</v>
      </c>
      <c r="N4333">
        <v>47</v>
      </c>
      <c r="O4333">
        <v>73.623000000000005</v>
      </c>
      <c r="P4333">
        <v>4.9648210769999999</v>
      </c>
      <c r="Q4333">
        <v>15.442</v>
      </c>
    </row>
    <row r="4334" spans="1:17" x14ac:dyDescent="0.2">
      <c r="A4334" s="30" t="str">
        <f>IF(C4334&amp;G4334&amp;D4334&lt;&gt;'Funnel setup'!$K$3&amp;'Funnel setup'!$K$4&amp;'Funnel setup'!$K$5,".",IF(A4333=".",1,A4333+1))</f>
        <v>.</v>
      </c>
      <c r="B4334" s="431" t="str">
        <f t="shared" si="67"/>
        <v>Knee Replacement PrimaryProviderBURTON HOSPITALS NHS FOUNDATION TRUST (RJF)EQ VAS</v>
      </c>
      <c r="C4334" t="s">
        <v>249</v>
      </c>
      <c r="D4334" t="s">
        <v>1</v>
      </c>
      <c r="E4334" t="s">
        <v>3373</v>
      </c>
      <c r="F4334" t="s">
        <v>3374</v>
      </c>
      <c r="G4334" t="s">
        <v>179</v>
      </c>
      <c r="H4334">
        <v>200</v>
      </c>
      <c r="I4334">
        <v>71.094999999999999</v>
      </c>
      <c r="J4334">
        <v>77.084999999999994</v>
      </c>
      <c r="K4334">
        <v>5.99</v>
      </c>
      <c r="L4334">
        <v>113</v>
      </c>
      <c r="M4334">
        <v>23</v>
      </c>
      <c r="N4334">
        <v>64</v>
      </c>
      <c r="O4334">
        <v>75.186000000000007</v>
      </c>
      <c r="P4334">
        <v>6.5274905969999999</v>
      </c>
      <c r="Q4334">
        <v>14.795999999999999</v>
      </c>
    </row>
    <row r="4335" spans="1:17" x14ac:dyDescent="0.2">
      <c r="A4335" s="30" t="str">
        <f>IF(C4335&amp;G4335&amp;D4335&lt;&gt;'Funnel setup'!$K$3&amp;'Funnel setup'!$K$4&amp;'Funnel setup'!$K$5,".",IF(A4334=".",1,A4334+1))</f>
        <v>.</v>
      </c>
      <c r="B4335" s="431" t="str">
        <f t="shared" si="67"/>
        <v>Knee Replacement PrimaryProviderCALDERDALE AND HUDDERSFIELD NHS FOUNDATION TRUST (RWY)EQ VAS</v>
      </c>
      <c r="C4335" t="s">
        <v>249</v>
      </c>
      <c r="D4335" t="s">
        <v>1</v>
      </c>
      <c r="E4335" t="s">
        <v>3379</v>
      </c>
      <c r="F4335" t="s">
        <v>3380</v>
      </c>
      <c r="G4335" t="s">
        <v>179</v>
      </c>
      <c r="H4335">
        <v>209</v>
      </c>
      <c r="I4335">
        <v>68.602999999999994</v>
      </c>
      <c r="J4335">
        <v>74.123999999999995</v>
      </c>
      <c r="K4335">
        <v>5.5220000000000002</v>
      </c>
      <c r="L4335">
        <v>124</v>
      </c>
      <c r="M4335">
        <v>25</v>
      </c>
      <c r="N4335">
        <v>60</v>
      </c>
      <c r="O4335">
        <v>74.665999999999997</v>
      </c>
      <c r="P4335">
        <v>6.0081518640000002</v>
      </c>
      <c r="Q4335">
        <v>15.771000000000001</v>
      </c>
    </row>
    <row r="4336" spans="1:17" x14ac:dyDescent="0.2">
      <c r="A4336" s="30" t="str">
        <f>IF(C4336&amp;G4336&amp;D4336&lt;&gt;'Funnel setup'!$K$3&amp;'Funnel setup'!$K$4&amp;'Funnel setup'!$K$5,".",IF(A4335=".",1,A4335+1))</f>
        <v>.</v>
      </c>
      <c r="B4336" s="431" t="str">
        <f t="shared" si="67"/>
        <v>Knee Replacement PrimaryProviderCAMBRIDGE UNIVERSITY HOSPITALS NHS FOUNDATION TRUST (RGT)EQ VAS</v>
      </c>
      <c r="C4336" t="s">
        <v>249</v>
      </c>
      <c r="D4336" t="s">
        <v>1</v>
      </c>
      <c r="E4336" t="s">
        <v>3076</v>
      </c>
      <c r="F4336" t="s">
        <v>3077</v>
      </c>
      <c r="G4336" t="s">
        <v>179</v>
      </c>
      <c r="H4336">
        <v>192</v>
      </c>
      <c r="I4336">
        <v>66.875</v>
      </c>
      <c r="J4336">
        <v>75.406000000000006</v>
      </c>
      <c r="K4336">
        <v>8.5310000000000006</v>
      </c>
      <c r="L4336">
        <v>119</v>
      </c>
      <c r="M4336">
        <v>21</v>
      </c>
      <c r="N4336">
        <v>52</v>
      </c>
      <c r="O4336">
        <v>75.894999999999996</v>
      </c>
      <c r="P4336">
        <v>7.236708149</v>
      </c>
      <c r="Q4336">
        <v>16.823</v>
      </c>
    </row>
    <row r="4337" spans="1:17" x14ac:dyDescent="0.2">
      <c r="A4337" s="30" t="str">
        <f>IF(C4337&amp;G4337&amp;D4337&lt;&gt;'Funnel setup'!$K$3&amp;'Funnel setup'!$K$4&amp;'Funnel setup'!$K$5,".",IF(A4336=".",1,A4336+1))</f>
        <v>.</v>
      </c>
      <c r="B4337" s="431" t="str">
        <f t="shared" si="67"/>
        <v>Knee Replacement PrimaryProviderCENTRAL MANCHESTER UNIVERSITY HOSPITALS NHS FOUNDATION TRUST (RW3)EQ VAS</v>
      </c>
      <c r="C4337" t="s">
        <v>249</v>
      </c>
      <c r="D4337" t="s">
        <v>1</v>
      </c>
      <c r="E4337" t="s">
        <v>3079</v>
      </c>
      <c r="F4337" t="s">
        <v>3080</v>
      </c>
      <c r="G4337" t="s">
        <v>179</v>
      </c>
      <c r="H4337">
        <v>76</v>
      </c>
      <c r="I4337">
        <v>67.697000000000003</v>
      </c>
      <c r="J4337">
        <v>69.302999999999997</v>
      </c>
      <c r="K4337">
        <v>1.605</v>
      </c>
      <c r="L4337">
        <v>34</v>
      </c>
      <c r="M4337">
        <v>9</v>
      </c>
      <c r="N4337">
        <v>33</v>
      </c>
      <c r="O4337">
        <v>70.582999999999998</v>
      </c>
      <c r="P4337">
        <v>1.9251527799999999</v>
      </c>
      <c r="Q4337">
        <v>16.997</v>
      </c>
    </row>
    <row r="4338" spans="1:17" x14ac:dyDescent="0.2">
      <c r="A4338" s="30" t="str">
        <f>IF(C4338&amp;G4338&amp;D4338&lt;&gt;'Funnel setup'!$K$3&amp;'Funnel setup'!$K$4&amp;'Funnel setup'!$K$5,".",IF(A4337=".",1,A4337+1))</f>
        <v>.</v>
      </c>
      <c r="B4338" s="431" t="str">
        <f t="shared" si="67"/>
        <v>Knee Replacement PrimaryProviderCHELSEA AND WESTMINSTER HOSPITAL NHS FOUNDATION TRUST (RQM)EQ VAS</v>
      </c>
      <c r="C4338" t="s">
        <v>249</v>
      </c>
      <c r="D4338" t="s">
        <v>1</v>
      </c>
      <c r="E4338" t="s">
        <v>3082</v>
      </c>
      <c r="F4338" t="s">
        <v>3083</v>
      </c>
      <c r="G4338" t="s">
        <v>179</v>
      </c>
      <c r="H4338">
        <v>17</v>
      </c>
      <c r="I4338">
        <v>64.706000000000003</v>
      </c>
      <c r="J4338">
        <v>76.117999999999995</v>
      </c>
      <c r="K4338">
        <v>11.412000000000001</v>
      </c>
      <c r="L4338">
        <v>12</v>
      </c>
      <c r="M4338">
        <v>2</v>
      </c>
      <c r="N4338">
        <v>3</v>
      </c>
      <c r="O4338" t="s">
        <v>53</v>
      </c>
      <c r="P4338" t="s">
        <v>53</v>
      </c>
      <c r="Q4338" t="s">
        <v>53</v>
      </c>
    </row>
    <row r="4339" spans="1:17" x14ac:dyDescent="0.2">
      <c r="A4339" s="30" t="str">
        <f>IF(C4339&amp;G4339&amp;D4339&lt;&gt;'Funnel setup'!$K$3&amp;'Funnel setup'!$K$4&amp;'Funnel setup'!$K$5,".",IF(A4338=".",1,A4338+1))</f>
        <v>.</v>
      </c>
      <c r="B4339" s="431" t="str">
        <f t="shared" si="67"/>
        <v>Knee Replacement PrimaryProviderCHESTERFIELD ROYAL HOSPITAL NHS FOUNDATION TRUST (RFS)EQ VAS</v>
      </c>
      <c r="C4339" t="s">
        <v>249</v>
      </c>
      <c r="D4339" t="s">
        <v>1</v>
      </c>
      <c r="E4339" t="s">
        <v>3085</v>
      </c>
      <c r="F4339" t="s">
        <v>3086</v>
      </c>
      <c r="G4339" t="s">
        <v>179</v>
      </c>
      <c r="H4339">
        <v>223</v>
      </c>
      <c r="I4339">
        <v>67.340999999999994</v>
      </c>
      <c r="J4339">
        <v>73.238</v>
      </c>
      <c r="K4339">
        <v>5.8970000000000002</v>
      </c>
      <c r="L4339">
        <v>118</v>
      </c>
      <c r="M4339">
        <v>31</v>
      </c>
      <c r="N4339">
        <v>74</v>
      </c>
      <c r="O4339">
        <v>74.344999999999999</v>
      </c>
      <c r="P4339">
        <v>5.6864267990000004</v>
      </c>
      <c r="Q4339">
        <v>15.586</v>
      </c>
    </row>
    <row r="4340" spans="1:17" x14ac:dyDescent="0.2">
      <c r="A4340" s="30" t="str">
        <f>IF(C4340&amp;G4340&amp;D4340&lt;&gt;'Funnel setup'!$K$3&amp;'Funnel setup'!$K$4&amp;'Funnel setup'!$K$5,".",IF(A4339=".",1,A4339+1))</f>
        <v>.</v>
      </c>
      <c r="B4340" s="431" t="str">
        <f t="shared" si="67"/>
        <v>Knee Replacement PrimaryProviderCIRCLE - NOTTINGHAM NHS TREATMENT CENTRE (NV313)EQ VAS</v>
      </c>
      <c r="C4340" t="s">
        <v>249</v>
      </c>
      <c r="D4340" t="s">
        <v>1</v>
      </c>
      <c r="E4340" t="s">
        <v>3094</v>
      </c>
      <c r="F4340" t="s">
        <v>3095</v>
      </c>
      <c r="G4340" t="s">
        <v>179</v>
      </c>
      <c r="H4340" t="s">
        <v>53</v>
      </c>
      <c r="I4340" t="s">
        <v>53</v>
      </c>
      <c r="J4340" t="s">
        <v>53</v>
      </c>
      <c r="K4340" t="s">
        <v>53</v>
      </c>
      <c r="L4340" t="s">
        <v>53</v>
      </c>
      <c r="M4340" t="s">
        <v>53</v>
      </c>
      <c r="N4340" t="s">
        <v>53</v>
      </c>
      <c r="O4340" t="s">
        <v>53</v>
      </c>
      <c r="P4340" t="s">
        <v>53</v>
      </c>
      <c r="Q4340" t="s">
        <v>53</v>
      </c>
    </row>
    <row r="4341" spans="1:17" x14ac:dyDescent="0.2">
      <c r="A4341" s="30" t="str">
        <f>IF(C4341&amp;G4341&amp;D4341&lt;&gt;'Funnel setup'!$K$3&amp;'Funnel setup'!$K$4&amp;'Funnel setup'!$K$5,".",IF(A4340=".",1,A4340+1))</f>
        <v>.</v>
      </c>
      <c r="B4341" s="431" t="str">
        <f t="shared" si="67"/>
        <v>Knee Replacement PrimaryProviderCIRCLE BATH HOSPITAL (NV302)EQ VAS</v>
      </c>
      <c r="C4341" t="s">
        <v>249</v>
      </c>
      <c r="D4341" t="s">
        <v>1</v>
      </c>
      <c r="E4341" t="s">
        <v>3097</v>
      </c>
      <c r="F4341" t="s">
        <v>3098</v>
      </c>
      <c r="G4341" t="s">
        <v>179</v>
      </c>
      <c r="H4341">
        <v>138</v>
      </c>
      <c r="I4341">
        <v>72.92</v>
      </c>
      <c r="J4341">
        <v>78.551000000000002</v>
      </c>
      <c r="K4341">
        <v>5.63</v>
      </c>
      <c r="L4341">
        <v>73</v>
      </c>
      <c r="M4341">
        <v>23</v>
      </c>
      <c r="N4341">
        <v>42</v>
      </c>
      <c r="O4341">
        <v>74.981999999999999</v>
      </c>
      <c r="P4341">
        <v>6.3231916650000004</v>
      </c>
      <c r="Q4341">
        <v>14.411</v>
      </c>
    </row>
    <row r="4342" spans="1:17" x14ac:dyDescent="0.2">
      <c r="A4342" s="30" t="str">
        <f>IF(C4342&amp;G4342&amp;D4342&lt;&gt;'Funnel setup'!$K$3&amp;'Funnel setup'!$K$4&amp;'Funnel setup'!$K$5,".",IF(A4341=".",1,A4341+1))</f>
        <v>.</v>
      </c>
      <c r="B4342" s="431" t="str">
        <f t="shared" si="67"/>
        <v>Knee Replacement PrimaryProviderCIRCLE READING HOSPITAL (NV323)EQ VAS</v>
      </c>
      <c r="C4342" t="s">
        <v>249</v>
      </c>
      <c r="D4342" t="s">
        <v>1</v>
      </c>
      <c r="E4342" t="s">
        <v>3091</v>
      </c>
      <c r="F4342" t="s">
        <v>3092</v>
      </c>
      <c r="G4342" t="s">
        <v>179</v>
      </c>
      <c r="H4342">
        <v>92</v>
      </c>
      <c r="I4342">
        <v>76.033000000000001</v>
      </c>
      <c r="J4342">
        <v>77.347999999999999</v>
      </c>
      <c r="K4342">
        <v>1.3149999999999999</v>
      </c>
      <c r="L4342">
        <v>44</v>
      </c>
      <c r="M4342">
        <v>13</v>
      </c>
      <c r="N4342">
        <v>35</v>
      </c>
      <c r="O4342">
        <v>71.072999999999993</v>
      </c>
      <c r="P4342">
        <v>2.4151551339999999</v>
      </c>
      <c r="Q4342">
        <v>15.275</v>
      </c>
    </row>
    <row r="4343" spans="1:17" x14ac:dyDescent="0.2">
      <c r="A4343" s="30" t="str">
        <f>IF(C4343&amp;G4343&amp;D4343&lt;&gt;'Funnel setup'!$K$3&amp;'Funnel setup'!$K$4&amp;'Funnel setup'!$K$5,".",IF(A4342=".",1,A4342+1))</f>
        <v>.</v>
      </c>
      <c r="B4343" s="431" t="str">
        <f t="shared" si="67"/>
        <v>Knee Replacement PrimaryProviderCITY HOSPITALS SUNDERLAND NHS FOUNDATION TRUST (RLN)EQ VAS</v>
      </c>
      <c r="C4343" t="s">
        <v>249</v>
      </c>
      <c r="D4343" t="s">
        <v>1</v>
      </c>
      <c r="E4343" t="s">
        <v>3100</v>
      </c>
      <c r="F4343" t="s">
        <v>3101</v>
      </c>
      <c r="G4343" t="s">
        <v>179</v>
      </c>
      <c r="H4343">
        <v>255</v>
      </c>
      <c r="I4343">
        <v>63.529000000000003</v>
      </c>
      <c r="J4343">
        <v>69.988</v>
      </c>
      <c r="K4343">
        <v>6.4589999999999996</v>
      </c>
      <c r="L4343">
        <v>144</v>
      </c>
      <c r="M4343">
        <v>33</v>
      </c>
      <c r="N4343">
        <v>78</v>
      </c>
      <c r="O4343">
        <v>74.44</v>
      </c>
      <c r="P4343">
        <v>5.7820512180000003</v>
      </c>
      <c r="Q4343">
        <v>16.251999999999999</v>
      </c>
    </row>
    <row r="4344" spans="1:17" x14ac:dyDescent="0.2">
      <c r="A4344" s="30" t="str">
        <f>IF(C4344&amp;G4344&amp;D4344&lt;&gt;'Funnel setup'!$K$3&amp;'Funnel setup'!$K$4&amp;'Funnel setup'!$K$5,".",IF(A4343=".",1,A4343+1))</f>
        <v>.</v>
      </c>
      <c r="B4344" s="431" t="str">
        <f t="shared" si="67"/>
        <v>Knee Replacement PrimaryProviderCLIFTON PARK HOSPITAL (NVC28)EQ VAS</v>
      </c>
      <c r="C4344" t="s">
        <v>249</v>
      </c>
      <c r="D4344" t="s">
        <v>1</v>
      </c>
      <c r="E4344" t="s">
        <v>4229</v>
      </c>
      <c r="F4344" t="s">
        <v>4230</v>
      </c>
      <c r="G4344" t="s">
        <v>179</v>
      </c>
      <c r="H4344">
        <v>190</v>
      </c>
      <c r="I4344">
        <v>71.147000000000006</v>
      </c>
      <c r="J4344">
        <v>76.105000000000004</v>
      </c>
      <c r="K4344">
        <v>4.9580000000000002</v>
      </c>
      <c r="L4344">
        <v>112</v>
      </c>
      <c r="M4344">
        <v>22</v>
      </c>
      <c r="N4344">
        <v>56</v>
      </c>
      <c r="O4344">
        <v>73.159000000000006</v>
      </c>
      <c r="P4344">
        <v>4.5002798220000004</v>
      </c>
      <c r="Q4344">
        <v>14.361000000000001</v>
      </c>
    </row>
    <row r="4345" spans="1:17" x14ac:dyDescent="0.2">
      <c r="A4345" s="30" t="str">
        <f>IF(C4345&amp;G4345&amp;D4345&lt;&gt;'Funnel setup'!$K$3&amp;'Funnel setup'!$K$4&amp;'Funnel setup'!$K$5,".",IF(A4344=".",1,A4344+1))</f>
        <v>.</v>
      </c>
      <c r="B4345" s="431" t="str">
        <f t="shared" si="67"/>
        <v>Knee Replacement PrimaryProviderCOLCHESTER HOSPITAL UNIVERSITY NHS FOUNDATION TRUST (RDE)EQ VAS</v>
      </c>
      <c r="C4345" t="s">
        <v>249</v>
      </c>
      <c r="D4345" t="s">
        <v>1</v>
      </c>
      <c r="E4345" t="s">
        <v>3109</v>
      </c>
      <c r="F4345" t="s">
        <v>3110</v>
      </c>
      <c r="G4345" t="s">
        <v>179</v>
      </c>
      <c r="H4345">
        <v>183</v>
      </c>
      <c r="I4345">
        <v>64.617000000000004</v>
      </c>
      <c r="J4345">
        <v>75.191000000000003</v>
      </c>
      <c r="K4345">
        <v>10.574</v>
      </c>
      <c r="L4345">
        <v>119</v>
      </c>
      <c r="M4345">
        <v>25</v>
      </c>
      <c r="N4345">
        <v>39</v>
      </c>
      <c r="O4345">
        <v>77.215999999999994</v>
      </c>
      <c r="P4345">
        <v>8.5575515539999998</v>
      </c>
      <c r="Q4345">
        <v>14.295</v>
      </c>
    </row>
    <row r="4346" spans="1:17" x14ac:dyDescent="0.2">
      <c r="A4346" s="30" t="str">
        <f>IF(C4346&amp;G4346&amp;D4346&lt;&gt;'Funnel setup'!$K$3&amp;'Funnel setup'!$K$4&amp;'Funnel setup'!$K$5,".",IF(A4345=".",1,A4345+1))</f>
        <v>.</v>
      </c>
      <c r="B4346" s="431" t="str">
        <f t="shared" si="67"/>
        <v>Knee Replacement PrimaryProviderCOUNTESS OF CHESTER HOSPITAL NHS FOUNDATION TRUST (RJR)EQ VAS</v>
      </c>
      <c r="C4346" t="s">
        <v>249</v>
      </c>
      <c r="D4346" t="s">
        <v>1</v>
      </c>
      <c r="E4346" t="s">
        <v>3781</v>
      </c>
      <c r="F4346" t="s">
        <v>3782</v>
      </c>
      <c r="G4346" t="s">
        <v>179</v>
      </c>
      <c r="H4346">
        <v>81</v>
      </c>
      <c r="I4346">
        <v>71.852000000000004</v>
      </c>
      <c r="J4346">
        <v>71.727999999999994</v>
      </c>
      <c r="K4346">
        <v>-0.123</v>
      </c>
      <c r="L4346">
        <v>31</v>
      </c>
      <c r="M4346">
        <v>10</v>
      </c>
      <c r="N4346">
        <v>40</v>
      </c>
      <c r="O4346">
        <v>71.465999999999994</v>
      </c>
      <c r="P4346">
        <v>2.807315585</v>
      </c>
      <c r="Q4346">
        <v>16.242999999999999</v>
      </c>
    </row>
    <row r="4347" spans="1:17" x14ac:dyDescent="0.2">
      <c r="A4347" s="30" t="str">
        <f>IF(C4347&amp;G4347&amp;D4347&lt;&gt;'Funnel setup'!$K$3&amp;'Funnel setup'!$K$4&amp;'Funnel setup'!$K$5,".",IF(A4346=".",1,A4346+1))</f>
        <v>.</v>
      </c>
      <c r="B4347" s="431" t="str">
        <f t="shared" si="67"/>
        <v>Knee Replacement PrimaryProviderCOUNTY DURHAM AND DARLINGTON NHS FOUNDATION TRUST (RXP)EQ VAS</v>
      </c>
      <c r="C4347" t="s">
        <v>249</v>
      </c>
      <c r="D4347" t="s">
        <v>1</v>
      </c>
      <c r="E4347" t="s">
        <v>3784</v>
      </c>
      <c r="F4347" t="s">
        <v>3785</v>
      </c>
      <c r="G4347" t="s">
        <v>179</v>
      </c>
      <c r="H4347">
        <v>298</v>
      </c>
      <c r="I4347">
        <v>68.486999999999995</v>
      </c>
      <c r="J4347">
        <v>73.180999999999997</v>
      </c>
      <c r="K4347">
        <v>4.6950000000000003</v>
      </c>
      <c r="L4347">
        <v>163</v>
      </c>
      <c r="M4347">
        <v>38</v>
      </c>
      <c r="N4347">
        <v>97</v>
      </c>
      <c r="O4347">
        <v>74.099000000000004</v>
      </c>
      <c r="P4347">
        <v>5.4409396570000004</v>
      </c>
      <c r="Q4347">
        <v>15.98</v>
      </c>
    </row>
    <row r="4348" spans="1:17" x14ac:dyDescent="0.2">
      <c r="A4348" s="30" t="str">
        <f>IF(C4348&amp;G4348&amp;D4348&lt;&gt;'Funnel setup'!$K$3&amp;'Funnel setup'!$K$4&amp;'Funnel setup'!$K$5,".",IF(A4347=".",1,A4347+1))</f>
        <v>.</v>
      </c>
      <c r="B4348" s="431" t="str">
        <f t="shared" si="67"/>
        <v>Knee Replacement PrimaryProviderDARTFORD AND GRAVESHAM NHS TRUST (RN7)EQ VAS</v>
      </c>
      <c r="C4348" t="s">
        <v>249</v>
      </c>
      <c r="D4348" t="s">
        <v>1</v>
      </c>
      <c r="E4348" t="s">
        <v>3787</v>
      </c>
      <c r="F4348" t="s">
        <v>3788</v>
      </c>
      <c r="G4348" t="s">
        <v>179</v>
      </c>
      <c r="H4348">
        <v>182</v>
      </c>
      <c r="I4348">
        <v>69.581999999999994</v>
      </c>
      <c r="J4348">
        <v>73.977999999999994</v>
      </c>
      <c r="K4348">
        <v>4.3959999999999999</v>
      </c>
      <c r="L4348">
        <v>96</v>
      </c>
      <c r="M4348">
        <v>24</v>
      </c>
      <c r="N4348">
        <v>62</v>
      </c>
      <c r="O4348">
        <v>73.915999999999997</v>
      </c>
      <c r="P4348">
        <v>5.2574560740000003</v>
      </c>
      <c r="Q4348">
        <v>15.275</v>
      </c>
    </row>
    <row r="4349" spans="1:17" x14ac:dyDescent="0.2">
      <c r="A4349" s="30" t="str">
        <f>IF(C4349&amp;G4349&amp;D4349&lt;&gt;'Funnel setup'!$K$3&amp;'Funnel setup'!$K$4&amp;'Funnel setup'!$K$5,".",IF(A4348=".",1,A4348+1))</f>
        <v>.</v>
      </c>
      <c r="B4349" s="431" t="str">
        <f t="shared" si="67"/>
        <v>Knee Replacement PrimaryProviderDERBY TEACHING HOSPITALS NHS FOUNDATION TRUST (RTG)EQ VAS</v>
      </c>
      <c r="C4349" t="s">
        <v>249</v>
      </c>
      <c r="D4349" t="s">
        <v>1</v>
      </c>
      <c r="E4349" t="s">
        <v>3790</v>
      </c>
      <c r="F4349" t="s">
        <v>3791</v>
      </c>
      <c r="G4349" t="s">
        <v>179</v>
      </c>
      <c r="H4349">
        <v>362</v>
      </c>
      <c r="I4349">
        <v>69.391999999999996</v>
      </c>
      <c r="J4349">
        <v>73.122</v>
      </c>
      <c r="K4349">
        <v>3.7290000000000001</v>
      </c>
      <c r="L4349">
        <v>191</v>
      </c>
      <c r="M4349">
        <v>50</v>
      </c>
      <c r="N4349">
        <v>121</v>
      </c>
      <c r="O4349">
        <v>73.260999999999996</v>
      </c>
      <c r="P4349">
        <v>4.6026411019999998</v>
      </c>
      <c r="Q4349">
        <v>15.79</v>
      </c>
    </row>
    <row r="4350" spans="1:17" x14ac:dyDescent="0.2">
      <c r="A4350" s="30" t="str">
        <f>IF(C4350&amp;G4350&amp;D4350&lt;&gt;'Funnel setup'!$K$3&amp;'Funnel setup'!$K$4&amp;'Funnel setup'!$K$5,".",IF(A4349=".",1,A4349+1))</f>
        <v>.</v>
      </c>
      <c r="B4350" s="431" t="str">
        <f t="shared" si="67"/>
        <v>Knee Replacement PrimaryProviderDONCASTER AND BASSETLAW HOSPITALS NHS FOUNDATION TRUST (RP5)EQ VAS</v>
      </c>
      <c r="C4350" t="s">
        <v>249</v>
      </c>
      <c r="D4350" t="s">
        <v>1</v>
      </c>
      <c r="E4350" t="s">
        <v>3799</v>
      </c>
      <c r="F4350" t="s">
        <v>3800</v>
      </c>
      <c r="G4350" t="s">
        <v>179</v>
      </c>
      <c r="H4350">
        <v>313</v>
      </c>
      <c r="I4350">
        <v>69.093000000000004</v>
      </c>
      <c r="J4350">
        <v>72.236000000000004</v>
      </c>
      <c r="K4350">
        <v>3.1440000000000001</v>
      </c>
      <c r="L4350">
        <v>169</v>
      </c>
      <c r="M4350">
        <v>44</v>
      </c>
      <c r="N4350">
        <v>100</v>
      </c>
      <c r="O4350">
        <v>73.266999999999996</v>
      </c>
      <c r="P4350">
        <v>4.6089518399999996</v>
      </c>
      <c r="Q4350">
        <v>16.446000000000002</v>
      </c>
    </row>
    <row r="4351" spans="1:17" x14ac:dyDescent="0.2">
      <c r="A4351" s="30" t="str">
        <f>IF(C4351&amp;G4351&amp;D4351&lt;&gt;'Funnel setup'!$K$3&amp;'Funnel setup'!$K$4&amp;'Funnel setup'!$K$5,".",IF(A4350=".",1,A4350+1))</f>
        <v>.</v>
      </c>
      <c r="B4351" s="431" t="str">
        <f t="shared" si="67"/>
        <v>Knee Replacement PrimaryProviderDORSET COUNTY HOSPITAL NHS FOUNDATION TRUST (RBD)EQ VAS</v>
      </c>
      <c r="C4351" t="s">
        <v>249</v>
      </c>
      <c r="D4351" t="s">
        <v>1</v>
      </c>
      <c r="E4351" t="s">
        <v>3802</v>
      </c>
      <c r="F4351" t="s">
        <v>3803</v>
      </c>
      <c r="G4351" t="s">
        <v>179</v>
      </c>
      <c r="H4351">
        <v>158</v>
      </c>
      <c r="I4351">
        <v>72.013000000000005</v>
      </c>
      <c r="J4351">
        <v>74.69</v>
      </c>
      <c r="K4351">
        <v>2.677</v>
      </c>
      <c r="L4351">
        <v>82</v>
      </c>
      <c r="M4351">
        <v>17</v>
      </c>
      <c r="N4351">
        <v>59</v>
      </c>
      <c r="O4351">
        <v>73.001999999999995</v>
      </c>
      <c r="P4351">
        <v>4.3432421489999999</v>
      </c>
      <c r="Q4351">
        <v>15.606999999999999</v>
      </c>
    </row>
    <row r="4352" spans="1:17" x14ac:dyDescent="0.2">
      <c r="A4352" s="30" t="str">
        <f>IF(C4352&amp;G4352&amp;D4352&lt;&gt;'Funnel setup'!$K$3&amp;'Funnel setup'!$K$4&amp;'Funnel setup'!$K$5,".",IF(A4351=".",1,A4351+1))</f>
        <v>.</v>
      </c>
      <c r="B4352" s="431" t="str">
        <f t="shared" si="67"/>
        <v>Knee Replacement PrimaryProviderDUCHY HOSPITAL (NVC04)EQ VAS</v>
      </c>
      <c r="C4352" t="s">
        <v>249</v>
      </c>
      <c r="D4352" t="s">
        <v>1</v>
      </c>
      <c r="E4352" t="s">
        <v>4518</v>
      </c>
      <c r="F4352" t="s">
        <v>4519</v>
      </c>
      <c r="G4352" t="s">
        <v>179</v>
      </c>
      <c r="H4352">
        <v>202</v>
      </c>
      <c r="I4352">
        <v>73.634</v>
      </c>
      <c r="J4352">
        <v>79.683000000000007</v>
      </c>
      <c r="K4352">
        <v>6.05</v>
      </c>
      <c r="L4352">
        <v>112</v>
      </c>
      <c r="M4352">
        <v>27</v>
      </c>
      <c r="N4352">
        <v>63</v>
      </c>
      <c r="O4352">
        <v>77.373000000000005</v>
      </c>
      <c r="P4352">
        <v>8.7145762609999995</v>
      </c>
      <c r="Q4352">
        <v>13.012</v>
      </c>
    </row>
    <row r="4353" spans="1:17" x14ac:dyDescent="0.2">
      <c r="A4353" s="30" t="str">
        <f>IF(C4353&amp;G4353&amp;D4353&lt;&gt;'Funnel setup'!$K$3&amp;'Funnel setup'!$K$4&amp;'Funnel setup'!$K$5,".",IF(A4352=".",1,A4352+1))</f>
        <v>.</v>
      </c>
      <c r="B4353" s="431" t="str">
        <f t="shared" si="67"/>
        <v>Knee Replacement PrimaryProviderEAST AND NORTH HERTFORDSHIRE NHS TRUST (RWH)EQ VAS</v>
      </c>
      <c r="C4353" t="s">
        <v>249</v>
      </c>
      <c r="D4353" t="s">
        <v>1</v>
      </c>
      <c r="E4353" t="s">
        <v>3814</v>
      </c>
      <c r="F4353" t="s">
        <v>3815</v>
      </c>
      <c r="G4353" t="s">
        <v>179</v>
      </c>
      <c r="H4353">
        <v>109</v>
      </c>
      <c r="I4353">
        <v>69.421999999999997</v>
      </c>
      <c r="J4353">
        <v>74.174000000000007</v>
      </c>
      <c r="K4353">
        <v>4.7519999999999998</v>
      </c>
      <c r="L4353">
        <v>56</v>
      </c>
      <c r="M4353">
        <v>16</v>
      </c>
      <c r="N4353">
        <v>37</v>
      </c>
      <c r="O4353">
        <v>73.462999999999994</v>
      </c>
      <c r="P4353">
        <v>4.8043669449999999</v>
      </c>
      <c r="Q4353">
        <v>15.815</v>
      </c>
    </row>
    <row r="4354" spans="1:17" x14ac:dyDescent="0.2">
      <c r="A4354" s="30" t="str">
        <f>IF(C4354&amp;G4354&amp;D4354&lt;&gt;'Funnel setup'!$K$3&amp;'Funnel setup'!$K$4&amp;'Funnel setup'!$K$5,".",IF(A4353=".",1,A4353+1))</f>
        <v>.</v>
      </c>
      <c r="B4354" s="431" t="str">
        <f t="shared" si="67"/>
        <v>Knee Replacement PrimaryProviderEAST CHESHIRE NHS TRUST (RJN)EQ VAS</v>
      </c>
      <c r="C4354" t="s">
        <v>249</v>
      </c>
      <c r="D4354" t="s">
        <v>1</v>
      </c>
      <c r="E4354" t="s">
        <v>3817</v>
      </c>
      <c r="F4354" t="s">
        <v>3818</v>
      </c>
      <c r="G4354" t="s">
        <v>179</v>
      </c>
      <c r="H4354">
        <v>82</v>
      </c>
      <c r="I4354">
        <v>70.146000000000001</v>
      </c>
      <c r="J4354">
        <v>79.828999999999994</v>
      </c>
      <c r="K4354">
        <v>9.6829999999999998</v>
      </c>
      <c r="L4354">
        <v>60</v>
      </c>
      <c r="M4354">
        <v>6</v>
      </c>
      <c r="N4354">
        <v>16</v>
      </c>
      <c r="O4354">
        <v>77.784000000000006</v>
      </c>
      <c r="P4354">
        <v>9.1255098889999999</v>
      </c>
      <c r="Q4354">
        <v>13.715999999999999</v>
      </c>
    </row>
    <row r="4355" spans="1:17" x14ac:dyDescent="0.2">
      <c r="A4355" s="30" t="str">
        <f>IF(C4355&amp;G4355&amp;D4355&lt;&gt;'Funnel setup'!$K$3&amp;'Funnel setup'!$K$4&amp;'Funnel setup'!$K$5,".",IF(A4354=".",1,A4354+1))</f>
        <v>.</v>
      </c>
      <c r="B4355" s="431" t="str">
        <f t="shared" ref="B4355:B4418" si="68">C4355&amp;D4355&amp;F4355&amp;G4355</f>
        <v>Knee Replacement PrimaryProviderEAST KENT HOSPITALS UNIVERSITY NHS FOUNDATION TRUST (RVV)EQ VAS</v>
      </c>
      <c r="C4355" t="s">
        <v>249</v>
      </c>
      <c r="D4355" t="s">
        <v>1</v>
      </c>
      <c r="E4355" t="s">
        <v>3820</v>
      </c>
      <c r="F4355" t="s">
        <v>3821</v>
      </c>
      <c r="G4355" t="s">
        <v>179</v>
      </c>
      <c r="H4355">
        <v>385</v>
      </c>
      <c r="I4355">
        <v>71.932000000000002</v>
      </c>
      <c r="J4355">
        <v>73.468000000000004</v>
      </c>
      <c r="K4355">
        <v>1.5349999999999999</v>
      </c>
      <c r="L4355">
        <v>170</v>
      </c>
      <c r="M4355">
        <v>62</v>
      </c>
      <c r="N4355">
        <v>153</v>
      </c>
      <c r="O4355">
        <v>72.518000000000001</v>
      </c>
      <c r="P4355">
        <v>3.859967342</v>
      </c>
      <c r="Q4355">
        <v>16.03</v>
      </c>
    </row>
    <row r="4356" spans="1:17" x14ac:dyDescent="0.2">
      <c r="A4356" s="30" t="str">
        <f>IF(C4356&amp;G4356&amp;D4356&lt;&gt;'Funnel setup'!$K$3&amp;'Funnel setup'!$K$4&amp;'Funnel setup'!$K$5,".",IF(A4355=".",1,A4355+1))</f>
        <v>.</v>
      </c>
      <c r="B4356" s="431" t="str">
        <f t="shared" si="68"/>
        <v>Knee Replacement PrimaryProviderEAST LANCASHIRE HOSPITALS NHS TRUST (RXR)EQ VAS</v>
      </c>
      <c r="C4356" t="s">
        <v>249</v>
      </c>
      <c r="D4356" t="s">
        <v>1</v>
      </c>
      <c r="E4356" t="s">
        <v>3823</v>
      </c>
      <c r="F4356" t="s">
        <v>3824</v>
      </c>
      <c r="G4356" t="s">
        <v>179</v>
      </c>
      <c r="H4356">
        <v>141</v>
      </c>
      <c r="I4356">
        <v>63.837000000000003</v>
      </c>
      <c r="J4356">
        <v>73.652000000000001</v>
      </c>
      <c r="K4356">
        <v>9.8160000000000007</v>
      </c>
      <c r="L4356">
        <v>84</v>
      </c>
      <c r="M4356">
        <v>13</v>
      </c>
      <c r="N4356">
        <v>44</v>
      </c>
      <c r="O4356">
        <v>76.88</v>
      </c>
      <c r="P4356">
        <v>8.2212721490000007</v>
      </c>
      <c r="Q4356">
        <v>16.902000000000001</v>
      </c>
    </row>
    <row r="4357" spans="1:17" x14ac:dyDescent="0.2">
      <c r="A4357" s="30" t="str">
        <f>IF(C4357&amp;G4357&amp;D4357&lt;&gt;'Funnel setup'!$K$3&amp;'Funnel setup'!$K$4&amp;'Funnel setup'!$K$5,".",IF(A4356=".",1,A4356+1))</f>
        <v>.</v>
      </c>
      <c r="B4357" s="431" t="str">
        <f t="shared" si="68"/>
        <v>Knee Replacement PrimaryProviderEAST SUSSEX HEALTHCARE NHS TRUST (RXC)EQ VAS</v>
      </c>
      <c r="C4357" t="s">
        <v>249</v>
      </c>
      <c r="D4357" t="s">
        <v>1</v>
      </c>
      <c r="E4357" t="s">
        <v>3826</v>
      </c>
      <c r="F4357" t="s">
        <v>3827</v>
      </c>
      <c r="G4357" t="s">
        <v>179</v>
      </c>
      <c r="H4357">
        <v>260</v>
      </c>
      <c r="I4357">
        <v>66.138000000000005</v>
      </c>
      <c r="J4357">
        <v>72.292000000000002</v>
      </c>
      <c r="K4357">
        <v>6.1539999999999999</v>
      </c>
      <c r="L4357">
        <v>153</v>
      </c>
      <c r="M4357">
        <v>29</v>
      </c>
      <c r="N4357">
        <v>78</v>
      </c>
      <c r="O4357">
        <v>73.873000000000005</v>
      </c>
      <c r="P4357">
        <v>5.2149967899999998</v>
      </c>
      <c r="Q4357">
        <v>15.204000000000001</v>
      </c>
    </row>
    <row r="4358" spans="1:17" x14ac:dyDescent="0.2">
      <c r="A4358" s="30" t="str">
        <f>IF(C4358&amp;G4358&amp;D4358&lt;&gt;'Funnel setup'!$K$3&amp;'Funnel setup'!$K$4&amp;'Funnel setup'!$K$5,".",IF(A4357=".",1,A4357+1))</f>
        <v>.</v>
      </c>
      <c r="B4358" s="431" t="str">
        <f t="shared" si="68"/>
        <v>Knee Replacement PrimaryProviderEMERSONS GREEN NHS TREATMENT CENTRE (NTPH2)EQ VAS</v>
      </c>
      <c r="C4358" t="s">
        <v>249</v>
      </c>
      <c r="D4358" t="s">
        <v>1</v>
      </c>
      <c r="E4358" t="s">
        <v>3829</v>
      </c>
      <c r="F4358" t="s">
        <v>3830</v>
      </c>
      <c r="G4358" t="s">
        <v>179</v>
      </c>
      <c r="H4358">
        <v>326</v>
      </c>
      <c r="I4358">
        <v>74.38</v>
      </c>
      <c r="J4358">
        <v>80.037000000000006</v>
      </c>
      <c r="K4358">
        <v>5.6559999999999997</v>
      </c>
      <c r="L4358">
        <v>180</v>
      </c>
      <c r="M4358">
        <v>45</v>
      </c>
      <c r="N4358">
        <v>101</v>
      </c>
      <c r="O4358">
        <v>75.909000000000006</v>
      </c>
      <c r="P4358">
        <v>7.2505034000000004</v>
      </c>
      <c r="Q4358">
        <v>12.771000000000001</v>
      </c>
    </row>
    <row r="4359" spans="1:17" x14ac:dyDescent="0.2">
      <c r="A4359" s="30" t="str">
        <f>IF(C4359&amp;G4359&amp;D4359&lt;&gt;'Funnel setup'!$K$3&amp;'Funnel setup'!$K$4&amp;'Funnel setup'!$K$5,".",IF(A4358=".",1,A4358+1))</f>
        <v>.</v>
      </c>
      <c r="B4359" s="431" t="str">
        <f t="shared" si="68"/>
        <v>Knee Replacement PrimaryProviderEPSOM AND ST HELIER UNIVERSITY HOSPITALS NHS TRUST (RVR)EQ VAS</v>
      </c>
      <c r="C4359" t="s">
        <v>249</v>
      </c>
      <c r="D4359" t="s">
        <v>1</v>
      </c>
      <c r="E4359" t="s">
        <v>3849</v>
      </c>
      <c r="F4359" t="s">
        <v>3850</v>
      </c>
      <c r="G4359" t="s">
        <v>179</v>
      </c>
      <c r="H4359">
        <v>419</v>
      </c>
      <c r="I4359">
        <v>68.561000000000007</v>
      </c>
      <c r="J4359">
        <v>74.84</v>
      </c>
      <c r="K4359">
        <v>6.2789999999999999</v>
      </c>
      <c r="L4359">
        <v>240</v>
      </c>
      <c r="M4359">
        <v>62</v>
      </c>
      <c r="N4359">
        <v>117</v>
      </c>
      <c r="O4359">
        <v>74.658000000000001</v>
      </c>
      <c r="P4359">
        <v>6.0000685349999996</v>
      </c>
      <c r="Q4359">
        <v>14.259</v>
      </c>
    </row>
    <row r="4360" spans="1:17" x14ac:dyDescent="0.2">
      <c r="A4360" s="30" t="str">
        <f>IF(C4360&amp;G4360&amp;D4360&lt;&gt;'Funnel setup'!$K$3&amp;'Funnel setup'!$K$4&amp;'Funnel setup'!$K$5,".",IF(A4359=".",1,A4359+1))</f>
        <v>.</v>
      </c>
      <c r="B4360" s="431" t="str">
        <f t="shared" si="68"/>
        <v>Knee Replacement PrimaryProviderEUXTON HALL HOSPITAL (NVC05)EQ VAS</v>
      </c>
      <c r="C4360" t="s">
        <v>249</v>
      </c>
      <c r="D4360" t="s">
        <v>1</v>
      </c>
      <c r="E4360" t="s">
        <v>3852</v>
      </c>
      <c r="F4360" t="s">
        <v>3853</v>
      </c>
      <c r="G4360" t="s">
        <v>179</v>
      </c>
      <c r="H4360">
        <v>85</v>
      </c>
      <c r="I4360">
        <v>73.259</v>
      </c>
      <c r="J4360">
        <v>78.965000000000003</v>
      </c>
      <c r="K4360">
        <v>5.7060000000000004</v>
      </c>
      <c r="L4360">
        <v>51</v>
      </c>
      <c r="M4360">
        <v>14</v>
      </c>
      <c r="N4360">
        <v>20</v>
      </c>
      <c r="O4360">
        <v>75.638000000000005</v>
      </c>
      <c r="P4360">
        <v>6.9799095170000003</v>
      </c>
      <c r="Q4360">
        <v>12.906000000000001</v>
      </c>
    </row>
    <row r="4361" spans="1:17" x14ac:dyDescent="0.2">
      <c r="A4361" s="30" t="str">
        <f>IF(C4361&amp;G4361&amp;D4361&lt;&gt;'Funnel setup'!$K$3&amp;'Funnel setup'!$K$4&amp;'Funnel setup'!$K$5,".",IF(A4360=".",1,A4360+1))</f>
        <v>.</v>
      </c>
      <c r="B4361" s="431" t="str">
        <f t="shared" si="68"/>
        <v>Knee Replacement PrimaryProviderFAIRFIELD HOSPITAL (NVG01)EQ VAS</v>
      </c>
      <c r="C4361" t="s">
        <v>249</v>
      </c>
      <c r="D4361" t="s">
        <v>1</v>
      </c>
      <c r="E4361" t="s">
        <v>3855</v>
      </c>
      <c r="F4361" t="s">
        <v>3856</v>
      </c>
      <c r="G4361" t="s">
        <v>179</v>
      </c>
      <c r="H4361">
        <v>7</v>
      </c>
      <c r="I4361">
        <v>60</v>
      </c>
      <c r="J4361">
        <v>67.143000000000001</v>
      </c>
      <c r="K4361">
        <v>7.1429999999999998</v>
      </c>
      <c r="L4361">
        <v>3</v>
      </c>
      <c r="M4361">
        <v>2</v>
      </c>
      <c r="N4361">
        <v>2</v>
      </c>
      <c r="O4361" t="s">
        <v>53</v>
      </c>
      <c r="P4361" t="s">
        <v>53</v>
      </c>
      <c r="Q4361" t="s">
        <v>53</v>
      </c>
    </row>
    <row r="4362" spans="1:17" x14ac:dyDescent="0.2">
      <c r="A4362" s="30" t="str">
        <f>IF(C4362&amp;G4362&amp;D4362&lt;&gt;'Funnel setup'!$K$3&amp;'Funnel setup'!$K$4&amp;'Funnel setup'!$K$5,".",IF(A4361=".",1,A4361+1))</f>
        <v>.</v>
      </c>
      <c r="B4362" s="431" t="str">
        <f t="shared" si="68"/>
        <v>Knee Replacement PrimaryProviderFITZWILLIAM HOSPITAL (NVC06)EQ VAS</v>
      </c>
      <c r="C4362" t="s">
        <v>249</v>
      </c>
      <c r="D4362" t="s">
        <v>1</v>
      </c>
      <c r="E4362" t="s">
        <v>3858</v>
      </c>
      <c r="F4362" t="s">
        <v>3859</v>
      </c>
      <c r="G4362" t="s">
        <v>179</v>
      </c>
      <c r="H4362">
        <v>123</v>
      </c>
      <c r="I4362">
        <v>73.584999999999994</v>
      </c>
      <c r="J4362">
        <v>77.552999999999997</v>
      </c>
      <c r="K4362">
        <v>3.9670000000000001</v>
      </c>
      <c r="L4362">
        <v>69</v>
      </c>
      <c r="M4362">
        <v>16</v>
      </c>
      <c r="N4362">
        <v>38</v>
      </c>
      <c r="O4362">
        <v>74.566999999999993</v>
      </c>
      <c r="P4362">
        <v>5.9085135119999999</v>
      </c>
      <c r="Q4362">
        <v>14.595000000000001</v>
      </c>
    </row>
    <row r="4363" spans="1:17" x14ac:dyDescent="0.2">
      <c r="A4363" s="30" t="str">
        <f>IF(C4363&amp;G4363&amp;D4363&lt;&gt;'Funnel setup'!$K$3&amp;'Funnel setup'!$K$4&amp;'Funnel setup'!$K$5,".",IF(A4362=".",1,A4362+1))</f>
        <v>.</v>
      </c>
      <c r="B4363" s="431" t="str">
        <f t="shared" si="68"/>
        <v>Knee Replacement PrimaryProviderFOSCOTE COURT (BANBURY) TRUST LTD (AHH)EQ VAS</v>
      </c>
      <c r="C4363" t="s">
        <v>249</v>
      </c>
      <c r="D4363" t="s">
        <v>1</v>
      </c>
      <c r="E4363" t="s">
        <v>3900</v>
      </c>
      <c r="F4363" t="s">
        <v>3901</v>
      </c>
      <c r="G4363" t="s">
        <v>179</v>
      </c>
      <c r="H4363" t="s">
        <v>53</v>
      </c>
      <c r="I4363" t="s">
        <v>53</v>
      </c>
      <c r="J4363" t="s">
        <v>53</v>
      </c>
      <c r="K4363" t="s">
        <v>53</v>
      </c>
      <c r="L4363" t="s">
        <v>53</v>
      </c>
      <c r="M4363" t="s">
        <v>53</v>
      </c>
      <c r="N4363" t="s">
        <v>53</v>
      </c>
      <c r="O4363" t="s">
        <v>53</v>
      </c>
      <c r="P4363" t="s">
        <v>53</v>
      </c>
      <c r="Q4363" t="s">
        <v>53</v>
      </c>
    </row>
    <row r="4364" spans="1:17" x14ac:dyDescent="0.2">
      <c r="A4364" s="30" t="str">
        <f>IF(C4364&amp;G4364&amp;D4364&lt;&gt;'Funnel setup'!$K$3&amp;'Funnel setup'!$K$4&amp;'Funnel setup'!$K$5,".",IF(A4363=".",1,A4363+1))</f>
        <v>.</v>
      </c>
      <c r="B4364" s="431" t="str">
        <f t="shared" si="68"/>
        <v>Knee Replacement PrimaryProviderFRIMLEY HEALTH NHS FOUNDATION TRUST (RDU)EQ VAS</v>
      </c>
      <c r="C4364" t="s">
        <v>249</v>
      </c>
      <c r="D4364" t="s">
        <v>1</v>
      </c>
      <c r="E4364" t="s">
        <v>3861</v>
      </c>
      <c r="F4364" t="s">
        <v>3862</v>
      </c>
      <c r="G4364" t="s">
        <v>179</v>
      </c>
      <c r="H4364">
        <v>405</v>
      </c>
      <c r="I4364">
        <v>69.763000000000005</v>
      </c>
      <c r="J4364">
        <v>74.319000000000003</v>
      </c>
      <c r="K4364">
        <v>4.556</v>
      </c>
      <c r="L4364">
        <v>214</v>
      </c>
      <c r="M4364">
        <v>53</v>
      </c>
      <c r="N4364">
        <v>138</v>
      </c>
      <c r="O4364">
        <v>73.078000000000003</v>
      </c>
      <c r="P4364">
        <v>4.4195727829999996</v>
      </c>
      <c r="Q4364">
        <v>14.756</v>
      </c>
    </row>
    <row r="4365" spans="1:17" x14ac:dyDescent="0.2">
      <c r="A4365" s="30" t="str">
        <f>IF(C4365&amp;G4365&amp;D4365&lt;&gt;'Funnel setup'!$K$3&amp;'Funnel setup'!$K$4&amp;'Funnel setup'!$K$5,".",IF(A4364=".",1,A4364+1))</f>
        <v>.</v>
      </c>
      <c r="B4365" s="431" t="str">
        <f t="shared" si="68"/>
        <v>Knee Replacement PrimaryProviderFULWOOD HALL HOSPITAL (NVC07)EQ VAS</v>
      </c>
      <c r="C4365" t="s">
        <v>249</v>
      </c>
      <c r="D4365" t="s">
        <v>1</v>
      </c>
      <c r="E4365" t="s">
        <v>3864</v>
      </c>
      <c r="F4365" t="s">
        <v>3865</v>
      </c>
      <c r="G4365" t="s">
        <v>179</v>
      </c>
      <c r="H4365">
        <v>203</v>
      </c>
      <c r="I4365">
        <v>70.802999999999997</v>
      </c>
      <c r="J4365">
        <v>76.201999999999998</v>
      </c>
      <c r="K4365">
        <v>5.399</v>
      </c>
      <c r="L4365">
        <v>110</v>
      </c>
      <c r="M4365">
        <v>32</v>
      </c>
      <c r="N4365">
        <v>61</v>
      </c>
      <c r="O4365">
        <v>74.474999999999994</v>
      </c>
      <c r="P4365">
        <v>5.816637074</v>
      </c>
      <c r="Q4365">
        <v>14.093</v>
      </c>
    </row>
    <row r="4366" spans="1:17" x14ac:dyDescent="0.2">
      <c r="A4366" s="30" t="str">
        <f>IF(C4366&amp;G4366&amp;D4366&lt;&gt;'Funnel setup'!$K$3&amp;'Funnel setup'!$K$4&amp;'Funnel setup'!$K$5,".",IF(A4365=".",1,A4365+1))</f>
        <v>.</v>
      </c>
      <c r="B4366" s="431" t="str">
        <f t="shared" si="68"/>
        <v>Knee Replacement PrimaryProviderGATESHEAD HEALTH NHS FOUNDATION TRUST (RR7)EQ VAS</v>
      </c>
      <c r="C4366" t="s">
        <v>249</v>
      </c>
      <c r="D4366" t="s">
        <v>1</v>
      </c>
      <c r="E4366" t="s">
        <v>3867</v>
      </c>
      <c r="F4366" t="s">
        <v>3868</v>
      </c>
      <c r="G4366" t="s">
        <v>179</v>
      </c>
      <c r="H4366">
        <v>256</v>
      </c>
      <c r="I4366">
        <v>69.512</v>
      </c>
      <c r="J4366">
        <v>71.301000000000002</v>
      </c>
      <c r="K4366">
        <v>1.7889999999999999</v>
      </c>
      <c r="L4366">
        <v>119</v>
      </c>
      <c r="M4366">
        <v>32</v>
      </c>
      <c r="N4366">
        <v>105</v>
      </c>
      <c r="O4366">
        <v>71.941000000000003</v>
      </c>
      <c r="P4366">
        <v>3.2825928599999998</v>
      </c>
      <c r="Q4366">
        <v>16.018999999999998</v>
      </c>
    </row>
    <row r="4367" spans="1:17" x14ac:dyDescent="0.2">
      <c r="A4367" s="30" t="str">
        <f>IF(C4367&amp;G4367&amp;D4367&lt;&gt;'Funnel setup'!$K$3&amp;'Funnel setup'!$K$4&amp;'Funnel setup'!$K$5,".",IF(A4366=".",1,A4366+1))</f>
        <v>.</v>
      </c>
      <c r="B4367" s="431" t="str">
        <f t="shared" si="68"/>
        <v>Knee Replacement PrimaryProviderGEORGE ELIOT HOSPITAL NHS TRUST (RLT)EQ VAS</v>
      </c>
      <c r="C4367" t="s">
        <v>249</v>
      </c>
      <c r="D4367" t="s">
        <v>1</v>
      </c>
      <c r="E4367" t="s">
        <v>3870</v>
      </c>
      <c r="F4367" t="s">
        <v>3871</v>
      </c>
      <c r="G4367" t="s">
        <v>179</v>
      </c>
      <c r="H4367">
        <v>40</v>
      </c>
      <c r="I4367">
        <v>65.974999999999994</v>
      </c>
      <c r="J4367">
        <v>71.400000000000006</v>
      </c>
      <c r="K4367">
        <v>5.4249999999999998</v>
      </c>
      <c r="L4367">
        <v>23</v>
      </c>
      <c r="M4367">
        <v>4</v>
      </c>
      <c r="N4367">
        <v>13</v>
      </c>
      <c r="O4367">
        <v>73.465000000000003</v>
      </c>
      <c r="P4367">
        <v>4.8064609750000002</v>
      </c>
      <c r="Q4367">
        <v>17.292999999999999</v>
      </c>
    </row>
    <row r="4368" spans="1:17" x14ac:dyDescent="0.2">
      <c r="A4368" s="30" t="str">
        <f>IF(C4368&amp;G4368&amp;D4368&lt;&gt;'Funnel setup'!$K$3&amp;'Funnel setup'!$K$4&amp;'Funnel setup'!$K$5,".",IF(A4367=".",1,A4367+1))</f>
        <v>.</v>
      </c>
      <c r="B4368" s="431" t="str">
        <f t="shared" si="68"/>
        <v>Knee Replacement PrimaryProviderGLOUCESTERSHIRE HOSPITALS NHS FOUNDATION TRUST (RTE)EQ VAS</v>
      </c>
      <c r="C4368" t="s">
        <v>249</v>
      </c>
      <c r="D4368" t="s">
        <v>1</v>
      </c>
      <c r="E4368" t="s">
        <v>3873</v>
      </c>
      <c r="F4368" t="s">
        <v>3874</v>
      </c>
      <c r="G4368" t="s">
        <v>179</v>
      </c>
      <c r="H4368">
        <v>287</v>
      </c>
      <c r="I4368">
        <v>72.671999999999997</v>
      </c>
      <c r="J4368">
        <v>75.954999999999998</v>
      </c>
      <c r="K4368">
        <v>3.282</v>
      </c>
      <c r="L4368">
        <v>146</v>
      </c>
      <c r="M4368">
        <v>39</v>
      </c>
      <c r="N4368">
        <v>102</v>
      </c>
      <c r="O4368">
        <v>73.725999999999999</v>
      </c>
      <c r="P4368">
        <v>5.0673303250000004</v>
      </c>
      <c r="Q4368">
        <v>15.621</v>
      </c>
    </row>
    <row r="4369" spans="1:17" x14ac:dyDescent="0.2">
      <c r="A4369" s="30" t="str">
        <f>IF(C4369&amp;G4369&amp;D4369&lt;&gt;'Funnel setup'!$K$3&amp;'Funnel setup'!$K$4&amp;'Funnel setup'!$K$5,".",IF(A4368=".",1,A4368+1))</f>
        <v>.</v>
      </c>
      <c r="B4369" s="431" t="str">
        <f t="shared" si="68"/>
        <v>Knee Replacement PrimaryProviderGREAT WESTERN HOSPITALS NHS FOUNDATION TRUST (RN3)EQ VAS</v>
      </c>
      <c r="C4369" t="s">
        <v>249</v>
      </c>
      <c r="D4369" t="s">
        <v>1</v>
      </c>
      <c r="E4369" t="s">
        <v>3876</v>
      </c>
      <c r="F4369" t="s">
        <v>3877</v>
      </c>
      <c r="G4369" t="s">
        <v>179</v>
      </c>
      <c r="H4369">
        <v>208</v>
      </c>
      <c r="I4369">
        <v>70.912999999999997</v>
      </c>
      <c r="J4369">
        <v>74.808000000000007</v>
      </c>
      <c r="K4369">
        <v>3.8940000000000001</v>
      </c>
      <c r="L4369">
        <v>113</v>
      </c>
      <c r="M4369">
        <v>22</v>
      </c>
      <c r="N4369">
        <v>73</v>
      </c>
      <c r="O4369">
        <v>73.918000000000006</v>
      </c>
      <c r="P4369">
        <v>5.2591947279999998</v>
      </c>
      <c r="Q4369">
        <v>17.609000000000002</v>
      </c>
    </row>
    <row r="4370" spans="1:17" x14ac:dyDescent="0.2">
      <c r="A4370" s="30" t="str">
        <f>IF(C4370&amp;G4370&amp;D4370&lt;&gt;'Funnel setup'!$K$3&amp;'Funnel setup'!$K$4&amp;'Funnel setup'!$K$5,".",IF(A4369=".",1,A4369+1))</f>
        <v>.</v>
      </c>
      <c r="B4370" s="431" t="str">
        <f t="shared" si="68"/>
        <v>Knee Replacement PrimaryProviderGUY'S AND ST THOMAS' NHS FOUNDATION TRUST (RJ1)EQ VAS</v>
      </c>
      <c r="C4370" t="s">
        <v>249</v>
      </c>
      <c r="D4370" t="s">
        <v>1</v>
      </c>
      <c r="E4370" t="s">
        <v>3879</v>
      </c>
      <c r="F4370" t="s">
        <v>3880</v>
      </c>
      <c r="G4370" t="s">
        <v>179</v>
      </c>
      <c r="H4370">
        <v>96</v>
      </c>
      <c r="I4370">
        <v>62.313000000000002</v>
      </c>
      <c r="J4370">
        <v>70.322999999999993</v>
      </c>
      <c r="K4370">
        <v>8.01</v>
      </c>
      <c r="L4370">
        <v>57</v>
      </c>
      <c r="M4370">
        <v>15</v>
      </c>
      <c r="N4370">
        <v>24</v>
      </c>
      <c r="O4370">
        <v>74.742999999999995</v>
      </c>
      <c r="P4370">
        <v>6.0843964509999999</v>
      </c>
      <c r="Q4370">
        <v>15.602</v>
      </c>
    </row>
    <row r="4371" spans="1:17" x14ac:dyDescent="0.2">
      <c r="A4371" s="30" t="str">
        <f>IF(C4371&amp;G4371&amp;D4371&lt;&gt;'Funnel setup'!$K$3&amp;'Funnel setup'!$K$4&amp;'Funnel setup'!$K$5,".",IF(A4370=".",1,A4370+1))</f>
        <v>.</v>
      </c>
      <c r="B4371" s="431" t="str">
        <f t="shared" si="68"/>
        <v>Knee Replacement PrimaryProviderHAMPSHIRE HOSPITALS NHS FOUNDATION TRUST (RN5)EQ VAS</v>
      </c>
      <c r="C4371" t="s">
        <v>249</v>
      </c>
      <c r="D4371" t="s">
        <v>1</v>
      </c>
      <c r="E4371" t="s">
        <v>3882</v>
      </c>
      <c r="F4371" t="s">
        <v>3883</v>
      </c>
      <c r="G4371" t="s">
        <v>179</v>
      </c>
      <c r="H4371">
        <v>248</v>
      </c>
      <c r="I4371">
        <v>72.766000000000005</v>
      </c>
      <c r="J4371">
        <v>75.322999999999993</v>
      </c>
      <c r="K4371">
        <v>2.556</v>
      </c>
      <c r="L4371">
        <v>124</v>
      </c>
      <c r="M4371">
        <v>39</v>
      </c>
      <c r="N4371">
        <v>85</v>
      </c>
      <c r="O4371">
        <v>73.138000000000005</v>
      </c>
      <c r="P4371">
        <v>4.47983932</v>
      </c>
      <c r="Q4371">
        <v>14.175000000000001</v>
      </c>
    </row>
    <row r="4372" spans="1:17" x14ac:dyDescent="0.2">
      <c r="A4372" s="30" t="str">
        <f>IF(C4372&amp;G4372&amp;D4372&lt;&gt;'Funnel setup'!$K$3&amp;'Funnel setup'!$K$4&amp;'Funnel setup'!$K$5,".",IF(A4371=".",1,A4371+1))</f>
        <v>.</v>
      </c>
      <c r="B4372" s="431" t="str">
        <f t="shared" si="68"/>
        <v>Knee Replacement PrimaryProviderHARROGATE AND DISTRICT NHS FOUNDATION TRUST (RCD)EQ VAS</v>
      </c>
      <c r="C4372" t="s">
        <v>249</v>
      </c>
      <c r="D4372" t="s">
        <v>1</v>
      </c>
      <c r="E4372" t="s">
        <v>3885</v>
      </c>
      <c r="F4372" t="s">
        <v>3886</v>
      </c>
      <c r="G4372" t="s">
        <v>179</v>
      </c>
      <c r="H4372">
        <v>197</v>
      </c>
      <c r="I4372">
        <v>72.492000000000004</v>
      </c>
      <c r="J4372">
        <v>77.471999999999994</v>
      </c>
      <c r="K4372">
        <v>4.9800000000000004</v>
      </c>
      <c r="L4372">
        <v>110</v>
      </c>
      <c r="M4372">
        <v>34</v>
      </c>
      <c r="N4372">
        <v>53</v>
      </c>
      <c r="O4372">
        <v>74.781000000000006</v>
      </c>
      <c r="P4372">
        <v>6.1223484959999999</v>
      </c>
      <c r="Q4372">
        <v>13.653</v>
      </c>
    </row>
    <row r="4373" spans="1:17" x14ac:dyDescent="0.2">
      <c r="A4373" s="30" t="str">
        <f>IF(C4373&amp;G4373&amp;D4373&lt;&gt;'Funnel setup'!$K$3&amp;'Funnel setup'!$K$4&amp;'Funnel setup'!$K$5,".",IF(A4372=".",1,A4372+1))</f>
        <v>.</v>
      </c>
      <c r="B4373" s="431" t="str">
        <f t="shared" si="68"/>
        <v>Knee Replacement PrimaryProviderHEART OF ENGLAND NHS FOUNDATION TRUST (RR1)EQ VAS</v>
      </c>
      <c r="C4373" t="s">
        <v>249</v>
      </c>
      <c r="D4373" t="s">
        <v>1</v>
      </c>
      <c r="E4373" t="s">
        <v>3888</v>
      </c>
      <c r="F4373" t="s">
        <v>3889</v>
      </c>
      <c r="G4373" t="s">
        <v>179</v>
      </c>
      <c r="H4373">
        <v>466</v>
      </c>
      <c r="I4373">
        <v>65.369</v>
      </c>
      <c r="J4373">
        <v>72.403000000000006</v>
      </c>
      <c r="K4373">
        <v>7.0339999999999998</v>
      </c>
      <c r="L4373">
        <v>275</v>
      </c>
      <c r="M4373">
        <v>51</v>
      </c>
      <c r="N4373">
        <v>140</v>
      </c>
      <c r="O4373">
        <v>74.58</v>
      </c>
      <c r="P4373">
        <v>5.9213488080000003</v>
      </c>
      <c r="Q4373">
        <v>18.030999999999999</v>
      </c>
    </row>
    <row r="4374" spans="1:17" x14ac:dyDescent="0.2">
      <c r="A4374" s="30" t="str">
        <f>IF(C4374&amp;G4374&amp;D4374&lt;&gt;'Funnel setup'!$K$3&amp;'Funnel setup'!$K$4&amp;'Funnel setup'!$K$5,".",IF(A4373=".",1,A4373+1))</f>
        <v>.</v>
      </c>
      <c r="B4374" s="431" t="str">
        <f t="shared" si="68"/>
        <v>Knee Replacement PrimaryProviderHINCHINGBROOKE HEALTH CARE NHS TRUST (RQQ)EQ VAS</v>
      </c>
      <c r="C4374" t="s">
        <v>249</v>
      </c>
      <c r="D4374" t="s">
        <v>1</v>
      </c>
      <c r="E4374" t="s">
        <v>3894</v>
      </c>
      <c r="F4374" t="s">
        <v>3895</v>
      </c>
      <c r="G4374" t="s">
        <v>179</v>
      </c>
      <c r="H4374">
        <v>171</v>
      </c>
      <c r="I4374">
        <v>66.724999999999994</v>
      </c>
      <c r="J4374">
        <v>75.105000000000004</v>
      </c>
      <c r="K4374">
        <v>8.3800000000000008</v>
      </c>
      <c r="L4374">
        <v>109</v>
      </c>
      <c r="M4374">
        <v>16</v>
      </c>
      <c r="N4374">
        <v>46</v>
      </c>
      <c r="O4374">
        <v>75.765000000000001</v>
      </c>
      <c r="P4374">
        <v>7.1068238629999998</v>
      </c>
      <c r="Q4374">
        <v>14.913</v>
      </c>
    </row>
    <row r="4375" spans="1:17" x14ac:dyDescent="0.2">
      <c r="A4375" s="30" t="str">
        <f>IF(C4375&amp;G4375&amp;D4375&lt;&gt;'Funnel setup'!$K$3&amp;'Funnel setup'!$K$4&amp;'Funnel setup'!$K$5,".",IF(A4374=".",1,A4374+1))</f>
        <v>.</v>
      </c>
      <c r="B4375" s="431" t="str">
        <f t="shared" si="68"/>
        <v>Knee Replacement PrimaryProviderHOMERTON UNIVERSITY HOSPITAL NHS FOUNDATION TRUST (RQX)EQ VAS</v>
      </c>
      <c r="C4375" t="s">
        <v>249</v>
      </c>
      <c r="D4375" t="s">
        <v>1</v>
      </c>
      <c r="E4375" t="s">
        <v>3897</v>
      </c>
      <c r="F4375" t="s">
        <v>3898</v>
      </c>
      <c r="G4375" t="s">
        <v>179</v>
      </c>
      <c r="H4375">
        <v>52</v>
      </c>
      <c r="I4375">
        <v>59.981000000000002</v>
      </c>
      <c r="J4375">
        <v>62.5</v>
      </c>
      <c r="K4375">
        <v>2.5190000000000001</v>
      </c>
      <c r="L4375">
        <v>24</v>
      </c>
      <c r="M4375">
        <v>5</v>
      </c>
      <c r="N4375">
        <v>23</v>
      </c>
      <c r="O4375">
        <v>70.361999999999995</v>
      </c>
      <c r="P4375">
        <v>1.704152479</v>
      </c>
      <c r="Q4375">
        <v>16.481999999999999</v>
      </c>
    </row>
    <row r="4376" spans="1:17" x14ac:dyDescent="0.2">
      <c r="A4376" s="30" t="str">
        <f>IF(C4376&amp;G4376&amp;D4376&lt;&gt;'Funnel setup'!$K$3&amp;'Funnel setup'!$K$4&amp;'Funnel setup'!$K$5,".",IF(A4375=".",1,A4375+1))</f>
        <v>.</v>
      </c>
      <c r="B4376" s="431" t="str">
        <f t="shared" si="68"/>
        <v>Knee Replacement PrimaryProviderHORTON NHS TREATMENT CENTRE (NVC25)EQ VAS</v>
      </c>
      <c r="C4376" t="s">
        <v>249</v>
      </c>
      <c r="D4376" t="s">
        <v>1</v>
      </c>
      <c r="E4376" t="s">
        <v>4553</v>
      </c>
      <c r="F4376" t="s">
        <v>4554</v>
      </c>
      <c r="G4376" t="s">
        <v>179</v>
      </c>
      <c r="H4376">
        <v>138</v>
      </c>
      <c r="I4376">
        <v>69.108999999999995</v>
      </c>
      <c r="J4376">
        <v>76.819000000000003</v>
      </c>
      <c r="K4376">
        <v>7.71</v>
      </c>
      <c r="L4376">
        <v>81</v>
      </c>
      <c r="M4376">
        <v>13</v>
      </c>
      <c r="N4376">
        <v>44</v>
      </c>
      <c r="O4376">
        <v>74.680999999999997</v>
      </c>
      <c r="P4376">
        <v>6.0229069429999997</v>
      </c>
      <c r="Q4376">
        <v>16.475999999999999</v>
      </c>
    </row>
    <row r="4377" spans="1:17" x14ac:dyDescent="0.2">
      <c r="A4377" s="30" t="str">
        <f>IF(C4377&amp;G4377&amp;D4377&lt;&gt;'Funnel setup'!$K$3&amp;'Funnel setup'!$K$4&amp;'Funnel setup'!$K$5,".",IF(A4376=".",1,A4376+1))</f>
        <v>.</v>
      </c>
      <c r="B4377" s="431" t="str">
        <f t="shared" si="68"/>
        <v>Knee Replacement PrimaryProviderHULL AND EAST YORKSHIRE HOSPITALS NHS TRUST (RWA)EQ VAS</v>
      </c>
      <c r="C4377" t="s">
        <v>249</v>
      </c>
      <c r="D4377" t="s">
        <v>1</v>
      </c>
      <c r="E4377" t="s">
        <v>3906</v>
      </c>
      <c r="F4377" t="s">
        <v>3907</v>
      </c>
      <c r="G4377" t="s">
        <v>179</v>
      </c>
      <c r="H4377">
        <v>247</v>
      </c>
      <c r="I4377">
        <v>64.494</v>
      </c>
      <c r="J4377">
        <v>70.98</v>
      </c>
      <c r="K4377">
        <v>6.4859999999999998</v>
      </c>
      <c r="L4377">
        <v>142</v>
      </c>
      <c r="M4377">
        <v>25</v>
      </c>
      <c r="N4377">
        <v>80</v>
      </c>
      <c r="O4377">
        <v>72.825999999999993</v>
      </c>
      <c r="P4377">
        <v>4.1677350889999998</v>
      </c>
      <c r="Q4377">
        <v>16.712</v>
      </c>
    </row>
    <row r="4378" spans="1:17" x14ac:dyDescent="0.2">
      <c r="A4378" s="30" t="str">
        <f>IF(C4378&amp;G4378&amp;D4378&lt;&gt;'Funnel setup'!$K$3&amp;'Funnel setup'!$K$4&amp;'Funnel setup'!$K$5,".",IF(A4377=".",1,A4377+1))</f>
        <v>.</v>
      </c>
      <c r="B4378" s="431" t="str">
        <f t="shared" si="68"/>
        <v>Knee Replacement PrimaryProviderIMPERIAL COLLEGE HEALTHCARE NHS TRUST (RYJ)EQ VAS</v>
      </c>
      <c r="C4378" t="s">
        <v>249</v>
      </c>
      <c r="D4378" t="s">
        <v>1</v>
      </c>
      <c r="E4378" t="s">
        <v>4558</v>
      </c>
      <c r="F4378" t="s">
        <v>4559</v>
      </c>
      <c r="G4378" t="s">
        <v>179</v>
      </c>
      <c r="H4378">
        <v>54</v>
      </c>
      <c r="I4378">
        <v>60.259</v>
      </c>
      <c r="J4378">
        <v>74.147999999999996</v>
      </c>
      <c r="K4378">
        <v>13.888999999999999</v>
      </c>
      <c r="L4378">
        <v>37</v>
      </c>
      <c r="M4378">
        <v>7</v>
      </c>
      <c r="N4378">
        <v>10</v>
      </c>
      <c r="O4378">
        <v>79.373999999999995</v>
      </c>
      <c r="P4378">
        <v>10.716096739999999</v>
      </c>
      <c r="Q4378">
        <v>15.422000000000001</v>
      </c>
    </row>
    <row r="4379" spans="1:17" x14ac:dyDescent="0.2">
      <c r="A4379" s="30" t="str">
        <f>IF(C4379&amp;G4379&amp;D4379&lt;&gt;'Funnel setup'!$K$3&amp;'Funnel setup'!$K$4&amp;'Funnel setup'!$K$5,".",IF(A4378=".",1,A4378+1))</f>
        <v>.</v>
      </c>
      <c r="B4379" s="431" t="str">
        <f t="shared" si="68"/>
        <v>Knee Replacement PrimaryProviderIPSWICH HOSPITAL NHS TRUST (RGQ)EQ VAS</v>
      </c>
      <c r="C4379" t="s">
        <v>249</v>
      </c>
      <c r="D4379" t="s">
        <v>1</v>
      </c>
      <c r="E4379" t="s">
        <v>3909</v>
      </c>
      <c r="F4379" t="s">
        <v>3910</v>
      </c>
      <c r="G4379" t="s">
        <v>179</v>
      </c>
      <c r="H4379">
        <v>105</v>
      </c>
      <c r="I4379">
        <v>72.876000000000005</v>
      </c>
      <c r="J4379">
        <v>79.19</v>
      </c>
      <c r="K4379">
        <v>6.3140000000000001</v>
      </c>
      <c r="L4379">
        <v>55</v>
      </c>
      <c r="M4379">
        <v>22</v>
      </c>
      <c r="N4379">
        <v>28</v>
      </c>
      <c r="O4379">
        <v>76.981999999999999</v>
      </c>
      <c r="P4379">
        <v>8.3238093210000006</v>
      </c>
      <c r="Q4379">
        <v>12.667999999999999</v>
      </c>
    </row>
    <row r="4380" spans="1:17" x14ac:dyDescent="0.2">
      <c r="A4380" s="30" t="str">
        <f>IF(C4380&amp;G4380&amp;D4380&lt;&gt;'Funnel setup'!$K$3&amp;'Funnel setup'!$K$4&amp;'Funnel setup'!$K$5,".",IF(A4379=".",1,A4379+1))</f>
        <v>.</v>
      </c>
      <c r="B4380" s="431" t="str">
        <f t="shared" si="68"/>
        <v>Knee Replacement PrimaryProviderISLE OF WIGHT NHS TRUST (R1F)EQ VAS</v>
      </c>
      <c r="C4380" t="s">
        <v>249</v>
      </c>
      <c r="D4380" t="s">
        <v>1</v>
      </c>
      <c r="E4380" t="s">
        <v>3912</v>
      </c>
      <c r="F4380" t="s">
        <v>3913</v>
      </c>
      <c r="G4380" t="s">
        <v>179</v>
      </c>
      <c r="H4380">
        <v>80</v>
      </c>
      <c r="I4380">
        <v>68.938000000000002</v>
      </c>
      <c r="J4380">
        <v>74.162000000000006</v>
      </c>
      <c r="K4380">
        <v>5.2249999999999996</v>
      </c>
      <c r="L4380">
        <v>40</v>
      </c>
      <c r="M4380">
        <v>10</v>
      </c>
      <c r="N4380">
        <v>30</v>
      </c>
      <c r="O4380">
        <v>74.427000000000007</v>
      </c>
      <c r="P4380">
        <v>5.7685953339999996</v>
      </c>
      <c r="Q4380">
        <v>15.631</v>
      </c>
    </row>
    <row r="4381" spans="1:17" x14ac:dyDescent="0.2">
      <c r="A4381" s="30" t="str">
        <f>IF(C4381&amp;G4381&amp;D4381&lt;&gt;'Funnel setup'!$K$3&amp;'Funnel setup'!$K$4&amp;'Funnel setup'!$K$5,".",IF(A4380=".",1,A4380+1))</f>
        <v>.</v>
      </c>
      <c r="B4381" s="431" t="str">
        <f t="shared" si="68"/>
        <v>Knee Replacement PrimaryProviderJAMES PAGET UNIVERSITY HOSPITALS NHS FOUNDATION TRUST (RGP)EQ VAS</v>
      </c>
      <c r="C4381" t="s">
        <v>249</v>
      </c>
      <c r="D4381" t="s">
        <v>1</v>
      </c>
      <c r="E4381" t="s">
        <v>3915</v>
      </c>
      <c r="F4381" t="s">
        <v>3916</v>
      </c>
      <c r="G4381" t="s">
        <v>179</v>
      </c>
      <c r="H4381">
        <v>159</v>
      </c>
      <c r="I4381">
        <v>68.629000000000005</v>
      </c>
      <c r="J4381">
        <v>73.811000000000007</v>
      </c>
      <c r="K4381">
        <v>5.1820000000000004</v>
      </c>
      <c r="L4381">
        <v>92</v>
      </c>
      <c r="M4381">
        <v>19</v>
      </c>
      <c r="N4381">
        <v>48</v>
      </c>
      <c r="O4381">
        <v>74.411000000000001</v>
      </c>
      <c r="P4381">
        <v>5.7528399459999999</v>
      </c>
      <c r="Q4381">
        <v>13.538</v>
      </c>
    </row>
    <row r="4382" spans="1:17" x14ac:dyDescent="0.2">
      <c r="A4382" s="30" t="str">
        <f>IF(C4382&amp;G4382&amp;D4382&lt;&gt;'Funnel setup'!$K$3&amp;'Funnel setup'!$K$4&amp;'Funnel setup'!$K$5,".",IF(A4381=".",1,A4381+1))</f>
        <v>.</v>
      </c>
      <c r="B4382" s="431" t="str">
        <f t="shared" si="68"/>
        <v>Knee Replacement PrimaryProviderKETTERING GENERAL HOSPITAL NHS FOUNDATION TRUST (RNQ)EQ VAS</v>
      </c>
      <c r="C4382" t="s">
        <v>249</v>
      </c>
      <c r="D4382" t="s">
        <v>1</v>
      </c>
      <c r="E4382" t="s">
        <v>3918</v>
      </c>
      <c r="F4382" t="s">
        <v>3919</v>
      </c>
      <c r="G4382" t="s">
        <v>179</v>
      </c>
      <c r="H4382">
        <v>86</v>
      </c>
      <c r="I4382">
        <v>64.894999999999996</v>
      </c>
      <c r="J4382">
        <v>75.418999999999997</v>
      </c>
      <c r="K4382">
        <v>10.523</v>
      </c>
      <c r="L4382">
        <v>52</v>
      </c>
      <c r="M4382">
        <v>14</v>
      </c>
      <c r="N4382">
        <v>20</v>
      </c>
      <c r="O4382">
        <v>78.561999999999998</v>
      </c>
      <c r="P4382">
        <v>9.903784022</v>
      </c>
      <c r="Q4382">
        <v>16.466000000000001</v>
      </c>
    </row>
    <row r="4383" spans="1:17" x14ac:dyDescent="0.2">
      <c r="A4383" s="30" t="str">
        <f>IF(C4383&amp;G4383&amp;D4383&lt;&gt;'Funnel setup'!$K$3&amp;'Funnel setup'!$K$4&amp;'Funnel setup'!$K$5,".",IF(A4382=".",1,A4382+1))</f>
        <v>.</v>
      </c>
      <c r="B4383" s="431" t="str">
        <f t="shared" si="68"/>
        <v>Knee Replacement PrimaryProviderKING'S COLLEGE HOSPITAL NHS FOUNDATION TRUST (RJZ)EQ VAS</v>
      </c>
      <c r="C4383" t="s">
        <v>249</v>
      </c>
      <c r="D4383" t="s">
        <v>1</v>
      </c>
      <c r="E4383" t="s">
        <v>3924</v>
      </c>
      <c r="F4383" t="s">
        <v>3925</v>
      </c>
      <c r="G4383" t="s">
        <v>179</v>
      </c>
      <c r="H4383">
        <v>129</v>
      </c>
      <c r="I4383">
        <v>66.256</v>
      </c>
      <c r="J4383">
        <v>71.728999999999999</v>
      </c>
      <c r="K4383">
        <v>5.4729999999999999</v>
      </c>
      <c r="L4383">
        <v>70</v>
      </c>
      <c r="M4383">
        <v>15</v>
      </c>
      <c r="N4383">
        <v>44</v>
      </c>
      <c r="O4383">
        <v>72.382000000000005</v>
      </c>
      <c r="P4383">
        <v>3.7239541219999999</v>
      </c>
      <c r="Q4383">
        <v>16.155000000000001</v>
      </c>
    </row>
    <row r="4384" spans="1:17" x14ac:dyDescent="0.2">
      <c r="A4384" s="30" t="str">
        <f>IF(C4384&amp;G4384&amp;D4384&lt;&gt;'Funnel setup'!$K$3&amp;'Funnel setup'!$K$4&amp;'Funnel setup'!$K$5,".",IF(A4383=".",1,A4383+1))</f>
        <v>.</v>
      </c>
      <c r="B4384" s="431" t="str">
        <f t="shared" si="68"/>
        <v>Knee Replacement PrimaryProviderLANCASHIRE TEACHING HOSPITALS NHS FOUNDATION TRUST (RXN)EQ VAS</v>
      </c>
      <c r="C4384" t="s">
        <v>249</v>
      </c>
      <c r="D4384" t="s">
        <v>1</v>
      </c>
      <c r="E4384" t="s">
        <v>3567</v>
      </c>
      <c r="F4384" t="s">
        <v>3568</v>
      </c>
      <c r="G4384" t="s">
        <v>179</v>
      </c>
      <c r="H4384">
        <v>219</v>
      </c>
      <c r="I4384">
        <v>67.903999999999996</v>
      </c>
      <c r="J4384">
        <v>71.753</v>
      </c>
      <c r="K4384">
        <v>3.8490000000000002</v>
      </c>
      <c r="L4384">
        <v>122</v>
      </c>
      <c r="M4384">
        <v>34</v>
      </c>
      <c r="N4384">
        <v>63</v>
      </c>
      <c r="O4384">
        <v>73.167000000000002</v>
      </c>
      <c r="P4384">
        <v>4.5090020380000002</v>
      </c>
      <c r="Q4384">
        <v>18.007000000000001</v>
      </c>
    </row>
    <row r="4385" spans="1:17" x14ac:dyDescent="0.2">
      <c r="A4385" s="30" t="str">
        <f>IF(C4385&amp;G4385&amp;D4385&lt;&gt;'Funnel setup'!$K$3&amp;'Funnel setup'!$K$4&amp;'Funnel setup'!$K$5,".",IF(A4384=".",1,A4384+1))</f>
        <v>.</v>
      </c>
      <c r="B4385" s="431" t="str">
        <f t="shared" si="68"/>
        <v>Knee Replacement PrimaryProviderLEEDS TEACHING HOSPITALS NHS TRUST (RR8)EQ VAS</v>
      </c>
      <c r="C4385" t="s">
        <v>249</v>
      </c>
      <c r="D4385" t="s">
        <v>1</v>
      </c>
      <c r="E4385" t="s">
        <v>3930</v>
      </c>
      <c r="F4385" t="s">
        <v>344</v>
      </c>
      <c r="G4385" t="s">
        <v>179</v>
      </c>
      <c r="H4385">
        <v>233</v>
      </c>
      <c r="I4385">
        <v>68.554000000000002</v>
      </c>
      <c r="J4385">
        <v>73.129000000000005</v>
      </c>
      <c r="K4385">
        <v>4.5750000000000002</v>
      </c>
      <c r="L4385">
        <v>123</v>
      </c>
      <c r="M4385">
        <v>36</v>
      </c>
      <c r="N4385">
        <v>74</v>
      </c>
      <c r="O4385">
        <v>74.47</v>
      </c>
      <c r="P4385">
        <v>5.8119874539999996</v>
      </c>
      <c r="Q4385">
        <v>16.488</v>
      </c>
    </row>
    <row r="4386" spans="1:17" x14ac:dyDescent="0.2">
      <c r="A4386" s="30" t="str">
        <f>IF(C4386&amp;G4386&amp;D4386&lt;&gt;'Funnel setup'!$K$3&amp;'Funnel setup'!$K$4&amp;'Funnel setup'!$K$5,".",IF(A4385=".",1,A4385+1))</f>
        <v>.</v>
      </c>
      <c r="B4386" s="431" t="str">
        <f t="shared" si="68"/>
        <v>Knee Replacement PrimaryProviderLEWISHAM AND GREENWICH NHS TRUST (RJ2)EQ VAS</v>
      </c>
      <c r="C4386" t="s">
        <v>249</v>
      </c>
      <c r="D4386" t="s">
        <v>1</v>
      </c>
      <c r="E4386" t="s">
        <v>3522</v>
      </c>
      <c r="F4386" t="s">
        <v>3523</v>
      </c>
      <c r="G4386" t="s">
        <v>179</v>
      </c>
      <c r="H4386">
        <v>77</v>
      </c>
      <c r="I4386">
        <v>68.506</v>
      </c>
      <c r="J4386">
        <v>72.429000000000002</v>
      </c>
      <c r="K4386">
        <v>3.9220000000000002</v>
      </c>
      <c r="L4386">
        <v>45</v>
      </c>
      <c r="M4386">
        <v>6</v>
      </c>
      <c r="N4386">
        <v>26</v>
      </c>
      <c r="O4386">
        <v>74.578999999999994</v>
      </c>
      <c r="P4386">
        <v>5.9202079510000001</v>
      </c>
      <c r="Q4386">
        <v>15.102</v>
      </c>
    </row>
    <row r="4387" spans="1:17" x14ac:dyDescent="0.2">
      <c r="A4387" s="30" t="str">
        <f>IF(C4387&amp;G4387&amp;D4387&lt;&gt;'Funnel setup'!$K$3&amp;'Funnel setup'!$K$4&amp;'Funnel setup'!$K$5,".",IF(A4386=".",1,A4386+1))</f>
        <v>.</v>
      </c>
      <c r="B4387" s="431" t="str">
        <f t="shared" si="68"/>
        <v>Knee Replacement PrimaryProviderLONDON NORTH WEST HEALTHCARE NHS TRUST (R1K)EQ VAS</v>
      </c>
      <c r="C4387" t="s">
        <v>249</v>
      </c>
      <c r="D4387" t="s">
        <v>1</v>
      </c>
      <c r="E4387" t="s">
        <v>6515</v>
      </c>
      <c r="F4387" t="s">
        <v>6516</v>
      </c>
      <c r="G4387" t="s">
        <v>179</v>
      </c>
      <c r="H4387">
        <v>152</v>
      </c>
      <c r="I4387">
        <v>59.558999999999997</v>
      </c>
      <c r="J4387">
        <v>67.625</v>
      </c>
      <c r="K4387">
        <v>8.0660000000000007</v>
      </c>
      <c r="L4387">
        <v>91</v>
      </c>
      <c r="M4387">
        <v>17</v>
      </c>
      <c r="N4387">
        <v>44</v>
      </c>
      <c r="O4387">
        <v>73.42</v>
      </c>
      <c r="P4387">
        <v>4.7619374380000004</v>
      </c>
      <c r="Q4387">
        <v>16.998000000000001</v>
      </c>
    </row>
    <row r="4388" spans="1:17" x14ac:dyDescent="0.2">
      <c r="A4388" s="30" t="str">
        <f>IF(C4388&amp;G4388&amp;D4388&lt;&gt;'Funnel setup'!$K$3&amp;'Funnel setup'!$K$4&amp;'Funnel setup'!$K$5,".",IF(A4387=".",1,A4387+1))</f>
        <v>.</v>
      </c>
      <c r="B4388" s="431" t="str">
        <f t="shared" si="68"/>
        <v>Knee Replacement PrimaryProviderLUTON AND DUNSTABLE UNIVERSITY HOSPITAL NHS FOUNDATION TRUST (RC9)EQ VAS</v>
      </c>
      <c r="C4388" t="s">
        <v>249</v>
      </c>
      <c r="D4388" t="s">
        <v>1</v>
      </c>
      <c r="E4388" t="s">
        <v>3528</v>
      </c>
      <c r="F4388" t="s">
        <v>3529</v>
      </c>
      <c r="G4388" t="s">
        <v>179</v>
      </c>
      <c r="H4388">
        <v>166</v>
      </c>
      <c r="I4388">
        <v>65.325000000000003</v>
      </c>
      <c r="J4388">
        <v>72.734999999999999</v>
      </c>
      <c r="K4388">
        <v>7.41</v>
      </c>
      <c r="L4388">
        <v>103</v>
      </c>
      <c r="M4388">
        <v>14</v>
      </c>
      <c r="N4388">
        <v>49</v>
      </c>
      <c r="O4388">
        <v>75.394999999999996</v>
      </c>
      <c r="P4388">
        <v>6.7370839409999999</v>
      </c>
      <c r="Q4388">
        <v>17.375</v>
      </c>
    </row>
    <row r="4389" spans="1:17" x14ac:dyDescent="0.2">
      <c r="A4389" s="30" t="str">
        <f>IF(C4389&amp;G4389&amp;D4389&lt;&gt;'Funnel setup'!$K$3&amp;'Funnel setup'!$K$4&amp;'Funnel setup'!$K$5,".",IF(A4388=".",1,A4388+1))</f>
        <v>.</v>
      </c>
      <c r="B4389" s="431" t="str">
        <f t="shared" si="68"/>
        <v>Knee Replacement PrimaryProviderMAIDSTONE AND TUNBRIDGE WELLS NHS TRUST (RWF)EQ VAS</v>
      </c>
      <c r="C4389" t="s">
        <v>249</v>
      </c>
      <c r="D4389" t="s">
        <v>1</v>
      </c>
      <c r="E4389" t="s">
        <v>3627</v>
      </c>
      <c r="F4389" t="s">
        <v>3628</v>
      </c>
      <c r="G4389" t="s">
        <v>179</v>
      </c>
      <c r="H4389">
        <v>177</v>
      </c>
      <c r="I4389">
        <v>70.718000000000004</v>
      </c>
      <c r="J4389">
        <v>77.010999999999996</v>
      </c>
      <c r="K4389">
        <v>6.2939999999999996</v>
      </c>
      <c r="L4389">
        <v>95</v>
      </c>
      <c r="M4389">
        <v>33</v>
      </c>
      <c r="N4389">
        <v>49</v>
      </c>
      <c r="O4389">
        <v>75</v>
      </c>
      <c r="P4389">
        <v>6.3421126619999999</v>
      </c>
      <c r="Q4389">
        <v>13.622</v>
      </c>
    </row>
    <row r="4390" spans="1:17" x14ac:dyDescent="0.2">
      <c r="A4390" s="30" t="str">
        <f>IF(C4390&amp;G4390&amp;D4390&lt;&gt;'Funnel setup'!$K$3&amp;'Funnel setup'!$K$4&amp;'Funnel setup'!$K$5,".",IF(A4389=".",1,A4389+1))</f>
        <v>.</v>
      </c>
      <c r="B4390" s="431" t="str">
        <f t="shared" si="68"/>
        <v>Knee Replacement PrimaryProviderMEDWAY NHS FOUNDATION TRUST (RPA)EQ VAS</v>
      </c>
      <c r="C4390" t="s">
        <v>249</v>
      </c>
      <c r="D4390" t="s">
        <v>1</v>
      </c>
      <c r="E4390" t="s">
        <v>3630</v>
      </c>
      <c r="F4390" t="s">
        <v>3631</v>
      </c>
      <c r="G4390" t="s">
        <v>179</v>
      </c>
      <c r="H4390">
        <v>115</v>
      </c>
      <c r="I4390">
        <v>67.564999999999998</v>
      </c>
      <c r="J4390">
        <v>71.903999999999996</v>
      </c>
      <c r="K4390">
        <v>4.3390000000000004</v>
      </c>
      <c r="L4390">
        <v>65</v>
      </c>
      <c r="M4390">
        <v>12</v>
      </c>
      <c r="N4390">
        <v>38</v>
      </c>
      <c r="O4390">
        <v>73.244</v>
      </c>
      <c r="P4390">
        <v>4.5861379380000002</v>
      </c>
      <c r="Q4390">
        <v>19.257000000000001</v>
      </c>
    </row>
    <row r="4391" spans="1:17" x14ac:dyDescent="0.2">
      <c r="A4391" s="30" t="str">
        <f>IF(C4391&amp;G4391&amp;D4391&lt;&gt;'Funnel setup'!$K$3&amp;'Funnel setup'!$K$4&amp;'Funnel setup'!$K$5,".",IF(A4390=".",1,A4390+1))</f>
        <v>.</v>
      </c>
      <c r="B4391" s="431" t="str">
        <f t="shared" si="68"/>
        <v>Knee Replacement PrimaryProviderMID CHESHIRE HOSPITALS NHS FOUNDATION TRUST (RBT)EQ VAS</v>
      </c>
      <c r="C4391" t="s">
        <v>249</v>
      </c>
      <c r="D4391" t="s">
        <v>1</v>
      </c>
      <c r="E4391" t="s">
        <v>3633</v>
      </c>
      <c r="F4391" t="s">
        <v>342</v>
      </c>
      <c r="G4391" t="s">
        <v>179</v>
      </c>
      <c r="H4391">
        <v>155</v>
      </c>
      <c r="I4391">
        <v>74.045000000000002</v>
      </c>
      <c r="J4391">
        <v>76.593999999999994</v>
      </c>
      <c r="K4391">
        <v>2.548</v>
      </c>
      <c r="L4391">
        <v>79</v>
      </c>
      <c r="M4391">
        <v>22</v>
      </c>
      <c r="N4391">
        <v>54</v>
      </c>
      <c r="O4391">
        <v>73.111999999999995</v>
      </c>
      <c r="P4391">
        <v>4.4533188849999998</v>
      </c>
      <c r="Q4391">
        <v>13.923999999999999</v>
      </c>
    </row>
    <row r="4392" spans="1:17" x14ac:dyDescent="0.2">
      <c r="A4392" s="30" t="str">
        <f>IF(C4392&amp;G4392&amp;D4392&lt;&gt;'Funnel setup'!$K$3&amp;'Funnel setup'!$K$4&amp;'Funnel setup'!$K$5,".",IF(A4391=".",1,A4391+1))</f>
        <v>.</v>
      </c>
      <c r="B4392" s="431" t="str">
        <f t="shared" si="68"/>
        <v>Knee Replacement PrimaryProviderMID ESSEX HOSPITAL SERVICES NHS TRUST (RQ8)EQ VAS</v>
      </c>
      <c r="C4392" t="s">
        <v>249</v>
      </c>
      <c r="D4392" t="s">
        <v>1</v>
      </c>
      <c r="E4392" t="s">
        <v>3635</v>
      </c>
      <c r="F4392" t="s">
        <v>3636</v>
      </c>
      <c r="G4392" t="s">
        <v>179</v>
      </c>
      <c r="H4392">
        <v>160</v>
      </c>
      <c r="I4392">
        <v>67.180999999999997</v>
      </c>
      <c r="J4392">
        <v>71.006</v>
      </c>
      <c r="K4392">
        <v>3.8250000000000002</v>
      </c>
      <c r="L4392">
        <v>88</v>
      </c>
      <c r="M4392">
        <v>15</v>
      </c>
      <c r="N4392">
        <v>57</v>
      </c>
      <c r="O4392">
        <v>70.932000000000002</v>
      </c>
      <c r="P4392">
        <v>2.2732785949999998</v>
      </c>
      <c r="Q4392">
        <v>18.100000000000001</v>
      </c>
    </row>
    <row r="4393" spans="1:17" x14ac:dyDescent="0.2">
      <c r="A4393" s="30" t="str">
        <f>IF(C4393&amp;G4393&amp;D4393&lt;&gt;'Funnel setup'!$K$3&amp;'Funnel setup'!$K$4&amp;'Funnel setup'!$K$5,".",IF(A4392=".",1,A4392+1))</f>
        <v>.</v>
      </c>
      <c r="B4393" s="431" t="str">
        <f t="shared" si="68"/>
        <v>Knee Replacement PrimaryProviderMID STAFFORDSHIRE NHS FOUNDATION TRUST (RJD)EQ VAS</v>
      </c>
      <c r="C4393" t="s">
        <v>249</v>
      </c>
      <c r="D4393" t="s">
        <v>1</v>
      </c>
      <c r="E4393" t="s">
        <v>3638</v>
      </c>
      <c r="F4393" t="s">
        <v>3639</v>
      </c>
      <c r="G4393" t="s">
        <v>179</v>
      </c>
      <c r="H4393">
        <v>122</v>
      </c>
      <c r="I4393">
        <v>69.631</v>
      </c>
      <c r="J4393">
        <v>72.843999999999994</v>
      </c>
      <c r="K4393">
        <v>3.2130000000000001</v>
      </c>
      <c r="L4393">
        <v>59</v>
      </c>
      <c r="M4393">
        <v>17</v>
      </c>
      <c r="N4393">
        <v>46</v>
      </c>
      <c r="O4393">
        <v>73.253</v>
      </c>
      <c r="P4393">
        <v>4.5948016889999996</v>
      </c>
      <c r="Q4393">
        <v>16.167000000000002</v>
      </c>
    </row>
    <row r="4394" spans="1:17" x14ac:dyDescent="0.2">
      <c r="A4394" s="30" t="str">
        <f>IF(C4394&amp;G4394&amp;D4394&lt;&gt;'Funnel setup'!$K$3&amp;'Funnel setup'!$K$4&amp;'Funnel setup'!$K$5,".",IF(A4393=".",1,A4393+1))</f>
        <v>.</v>
      </c>
      <c r="B4394" s="431" t="str">
        <f t="shared" si="68"/>
        <v>Knee Replacement PrimaryProviderMID YORKSHIRE HOSPITALS NHS TRUST (RXF)EQ VAS</v>
      </c>
      <c r="C4394" t="s">
        <v>249</v>
      </c>
      <c r="D4394" t="s">
        <v>1</v>
      </c>
      <c r="E4394" t="s">
        <v>3641</v>
      </c>
      <c r="F4394" t="s">
        <v>3642</v>
      </c>
      <c r="G4394" t="s">
        <v>179</v>
      </c>
      <c r="H4394">
        <v>258</v>
      </c>
      <c r="I4394">
        <v>66.504000000000005</v>
      </c>
      <c r="J4394">
        <v>71.263999999999996</v>
      </c>
      <c r="K4394">
        <v>4.76</v>
      </c>
      <c r="L4394">
        <v>154</v>
      </c>
      <c r="M4394">
        <v>25</v>
      </c>
      <c r="N4394">
        <v>79</v>
      </c>
      <c r="O4394">
        <v>73.293999999999997</v>
      </c>
      <c r="P4394">
        <v>4.6357993090000003</v>
      </c>
      <c r="Q4394">
        <v>17.350999999999999</v>
      </c>
    </row>
    <row r="4395" spans="1:17" x14ac:dyDescent="0.2">
      <c r="A4395" s="30" t="str">
        <f>IF(C4395&amp;G4395&amp;D4395&lt;&gt;'Funnel setup'!$K$3&amp;'Funnel setup'!$K$4&amp;'Funnel setup'!$K$5,".",IF(A4394=".",1,A4394+1))</f>
        <v>.</v>
      </c>
      <c r="B4395" s="431" t="str">
        <f t="shared" si="68"/>
        <v>Knee Replacement PrimaryProviderMILTON KEYNES UNIVERSITY HOSPITAL NHS FOUNDATION TRUST (RD8)EQ VAS</v>
      </c>
      <c r="C4395" t="s">
        <v>249</v>
      </c>
      <c r="D4395" t="s">
        <v>1</v>
      </c>
      <c r="E4395" t="s">
        <v>3643</v>
      </c>
      <c r="F4395" t="s">
        <v>6580</v>
      </c>
      <c r="G4395" t="s">
        <v>179</v>
      </c>
      <c r="H4395">
        <v>135</v>
      </c>
      <c r="I4395">
        <v>67.933000000000007</v>
      </c>
      <c r="J4395">
        <v>76.385000000000005</v>
      </c>
      <c r="K4395">
        <v>8.452</v>
      </c>
      <c r="L4395">
        <v>88</v>
      </c>
      <c r="M4395">
        <v>14</v>
      </c>
      <c r="N4395">
        <v>33</v>
      </c>
      <c r="O4395">
        <v>76.126999999999995</v>
      </c>
      <c r="P4395">
        <v>7.4685332149999999</v>
      </c>
      <c r="Q4395">
        <v>15.598000000000001</v>
      </c>
    </row>
    <row r="4396" spans="1:17" x14ac:dyDescent="0.2">
      <c r="A4396" s="30" t="str">
        <f>IF(C4396&amp;G4396&amp;D4396&lt;&gt;'Funnel setup'!$K$3&amp;'Funnel setup'!$K$4&amp;'Funnel setup'!$K$5,".",IF(A4395=".",1,A4395+1))</f>
        <v>.</v>
      </c>
      <c r="B4396" s="431" t="str">
        <f t="shared" si="68"/>
        <v>Knee Replacement PrimaryProviderMOUNT STUART HOSPITAL (NVC08)EQ VAS</v>
      </c>
      <c r="C4396" t="s">
        <v>249</v>
      </c>
      <c r="D4396" t="s">
        <v>1</v>
      </c>
      <c r="E4396" t="s">
        <v>3645</v>
      </c>
      <c r="F4396" t="s">
        <v>3646</v>
      </c>
      <c r="G4396" t="s">
        <v>179</v>
      </c>
      <c r="H4396">
        <v>81</v>
      </c>
      <c r="I4396">
        <v>75.567999999999998</v>
      </c>
      <c r="J4396">
        <v>80.111000000000004</v>
      </c>
      <c r="K4396">
        <v>4.5430000000000001</v>
      </c>
      <c r="L4396">
        <v>42</v>
      </c>
      <c r="M4396">
        <v>10</v>
      </c>
      <c r="N4396">
        <v>29</v>
      </c>
      <c r="O4396">
        <v>76.527000000000001</v>
      </c>
      <c r="P4396">
        <v>7.8687082850000003</v>
      </c>
      <c r="Q4396">
        <v>14.712</v>
      </c>
    </row>
    <row r="4397" spans="1:17" x14ac:dyDescent="0.2">
      <c r="A4397" s="30" t="str">
        <f>IF(C4397&amp;G4397&amp;D4397&lt;&gt;'Funnel setup'!$K$3&amp;'Funnel setup'!$K$4&amp;'Funnel setup'!$K$5,".",IF(A4396=".",1,A4396+1))</f>
        <v>.</v>
      </c>
      <c r="B4397" s="431" t="str">
        <f t="shared" si="68"/>
        <v>Knee Replacement PrimaryProviderNEW HALL HOSPITAL (NVC09)EQ VAS</v>
      </c>
      <c r="C4397" t="s">
        <v>249</v>
      </c>
      <c r="D4397" t="s">
        <v>1</v>
      </c>
      <c r="E4397" t="s">
        <v>3648</v>
      </c>
      <c r="F4397" t="s">
        <v>3649</v>
      </c>
      <c r="G4397" t="s">
        <v>179</v>
      </c>
      <c r="H4397">
        <v>123</v>
      </c>
      <c r="I4397">
        <v>71.504000000000005</v>
      </c>
      <c r="J4397">
        <v>79.260000000000005</v>
      </c>
      <c r="K4397">
        <v>7.7560000000000002</v>
      </c>
      <c r="L4397">
        <v>72</v>
      </c>
      <c r="M4397">
        <v>21</v>
      </c>
      <c r="N4397">
        <v>30</v>
      </c>
      <c r="O4397">
        <v>75.974000000000004</v>
      </c>
      <c r="P4397">
        <v>7.3154170450000002</v>
      </c>
      <c r="Q4397">
        <v>12.823</v>
      </c>
    </row>
    <row r="4398" spans="1:17" x14ac:dyDescent="0.2">
      <c r="A4398" s="30" t="str">
        <f>IF(C4398&amp;G4398&amp;D4398&lt;&gt;'Funnel setup'!$K$3&amp;'Funnel setup'!$K$4&amp;'Funnel setup'!$K$5,".",IF(A4397=".",1,A4397+1))</f>
        <v>.</v>
      </c>
      <c r="B4398" s="431" t="str">
        <f t="shared" si="68"/>
        <v>Knee Replacement PrimaryProviderNORFOLK AND NORWICH UNIVERSITY HOSPITALS NHS FOUNDATION TRUST (RM1)EQ VAS</v>
      </c>
      <c r="C4398" t="s">
        <v>249</v>
      </c>
      <c r="D4398" t="s">
        <v>1</v>
      </c>
      <c r="E4398" t="s">
        <v>3651</v>
      </c>
      <c r="F4398" t="s">
        <v>3652</v>
      </c>
      <c r="G4398" t="s">
        <v>179</v>
      </c>
      <c r="H4398">
        <v>198</v>
      </c>
      <c r="I4398">
        <v>61.399000000000001</v>
      </c>
      <c r="J4398">
        <v>70.652000000000001</v>
      </c>
      <c r="K4398">
        <v>9.2530000000000001</v>
      </c>
      <c r="L4398">
        <v>116</v>
      </c>
      <c r="M4398">
        <v>24</v>
      </c>
      <c r="N4398">
        <v>58</v>
      </c>
      <c r="O4398">
        <v>73.971000000000004</v>
      </c>
      <c r="P4398">
        <v>5.3125453650000001</v>
      </c>
      <c r="Q4398">
        <v>16.152000000000001</v>
      </c>
    </row>
    <row r="4399" spans="1:17" x14ac:dyDescent="0.2">
      <c r="A4399" s="30" t="str">
        <f>IF(C4399&amp;G4399&amp;D4399&lt;&gt;'Funnel setup'!$K$3&amp;'Funnel setup'!$K$4&amp;'Funnel setup'!$K$5,".",IF(A4398=".",1,A4398+1))</f>
        <v>.</v>
      </c>
      <c r="B4399" s="431" t="str">
        <f t="shared" si="68"/>
        <v>Knee Replacement PrimaryProviderNORTH BRISTOL NHS TRUST (RVJ)EQ VAS</v>
      </c>
      <c r="C4399" t="s">
        <v>249</v>
      </c>
      <c r="D4399" t="s">
        <v>1</v>
      </c>
      <c r="E4399" t="s">
        <v>3654</v>
      </c>
      <c r="F4399" t="s">
        <v>3655</v>
      </c>
      <c r="G4399" t="s">
        <v>179</v>
      </c>
      <c r="H4399">
        <v>194</v>
      </c>
      <c r="I4399">
        <v>65.587999999999994</v>
      </c>
      <c r="J4399">
        <v>73.844999999999999</v>
      </c>
      <c r="K4399">
        <v>8.2579999999999991</v>
      </c>
      <c r="L4399">
        <v>106</v>
      </c>
      <c r="M4399">
        <v>31</v>
      </c>
      <c r="N4399">
        <v>57</v>
      </c>
      <c r="O4399">
        <v>74.293999999999997</v>
      </c>
      <c r="P4399">
        <v>5.6354560610000002</v>
      </c>
      <c r="Q4399">
        <v>14.016</v>
      </c>
    </row>
    <row r="4400" spans="1:17" x14ac:dyDescent="0.2">
      <c r="A4400" s="30" t="str">
        <f>IF(C4400&amp;G4400&amp;D4400&lt;&gt;'Funnel setup'!$K$3&amp;'Funnel setup'!$K$4&amp;'Funnel setup'!$K$5,".",IF(A4399=".",1,A4399+1))</f>
        <v>.</v>
      </c>
      <c r="B4400" s="431" t="str">
        <f t="shared" si="68"/>
        <v>Knee Replacement PrimaryProviderNORTH CUMBRIA UNIVERSITY HOSPITALS NHS TRUST (RNL)EQ VAS</v>
      </c>
      <c r="C4400" t="s">
        <v>249</v>
      </c>
      <c r="D4400" t="s">
        <v>1</v>
      </c>
      <c r="E4400" t="s">
        <v>3657</v>
      </c>
      <c r="F4400" t="s">
        <v>3658</v>
      </c>
      <c r="G4400" t="s">
        <v>179</v>
      </c>
      <c r="H4400">
        <v>158</v>
      </c>
      <c r="I4400">
        <v>64.373000000000005</v>
      </c>
      <c r="J4400">
        <v>71.146000000000001</v>
      </c>
      <c r="K4400">
        <v>6.7720000000000002</v>
      </c>
      <c r="L4400">
        <v>86</v>
      </c>
      <c r="M4400">
        <v>22</v>
      </c>
      <c r="N4400">
        <v>50</v>
      </c>
      <c r="O4400">
        <v>73.662000000000006</v>
      </c>
      <c r="P4400">
        <v>5.00394103</v>
      </c>
      <c r="Q4400">
        <v>15.885999999999999</v>
      </c>
    </row>
    <row r="4401" spans="1:17" x14ac:dyDescent="0.2">
      <c r="A4401" s="30" t="str">
        <f>IF(C4401&amp;G4401&amp;D4401&lt;&gt;'Funnel setup'!$K$3&amp;'Funnel setup'!$K$4&amp;'Funnel setup'!$K$5,".",IF(A4400=".",1,A4400+1))</f>
        <v>.</v>
      </c>
      <c r="B4401" s="431" t="str">
        <f t="shared" si="68"/>
        <v>Knee Replacement PrimaryProviderNORTH DOWNS HOSPITAL (NVC11)EQ VAS</v>
      </c>
      <c r="C4401" t="s">
        <v>249</v>
      </c>
      <c r="D4401" t="s">
        <v>1</v>
      </c>
      <c r="E4401" t="s">
        <v>3660</v>
      </c>
      <c r="F4401" t="s">
        <v>3661</v>
      </c>
      <c r="G4401" t="s">
        <v>179</v>
      </c>
      <c r="H4401">
        <v>45</v>
      </c>
      <c r="I4401">
        <v>71.933000000000007</v>
      </c>
      <c r="J4401">
        <v>77.977999999999994</v>
      </c>
      <c r="K4401">
        <v>6.0439999999999996</v>
      </c>
      <c r="L4401">
        <v>22</v>
      </c>
      <c r="M4401">
        <v>8</v>
      </c>
      <c r="N4401">
        <v>15</v>
      </c>
      <c r="O4401">
        <v>75.340999999999994</v>
      </c>
      <c r="P4401">
        <v>6.6831514429999999</v>
      </c>
      <c r="Q4401">
        <v>11.358000000000001</v>
      </c>
    </row>
    <row r="4402" spans="1:17" x14ac:dyDescent="0.2">
      <c r="A4402" s="30" t="str">
        <f>IF(C4402&amp;G4402&amp;D4402&lt;&gt;'Funnel setup'!$K$3&amp;'Funnel setup'!$K$4&amp;'Funnel setup'!$K$5,".",IF(A4401=".",1,A4401+1))</f>
        <v>.</v>
      </c>
      <c r="B4402" s="431" t="str">
        <f t="shared" si="68"/>
        <v>Knee Replacement PrimaryProviderNORTH EAST LONDON TREATMENT CENTRE CARE UK (NTP15)EQ VAS</v>
      </c>
      <c r="C4402" t="s">
        <v>249</v>
      </c>
      <c r="D4402" t="s">
        <v>1</v>
      </c>
      <c r="E4402" t="s">
        <v>3663</v>
      </c>
      <c r="F4402" t="s">
        <v>3664</v>
      </c>
      <c r="G4402" t="s">
        <v>179</v>
      </c>
      <c r="H4402">
        <v>83</v>
      </c>
      <c r="I4402">
        <v>73.096000000000004</v>
      </c>
      <c r="J4402">
        <v>76.132999999999996</v>
      </c>
      <c r="K4402">
        <v>3.036</v>
      </c>
      <c r="L4402">
        <v>41</v>
      </c>
      <c r="M4402">
        <v>7</v>
      </c>
      <c r="N4402">
        <v>35</v>
      </c>
      <c r="O4402">
        <v>75.397999999999996</v>
      </c>
      <c r="P4402">
        <v>6.7399472989999998</v>
      </c>
      <c r="Q4402">
        <v>13.930999999999999</v>
      </c>
    </row>
    <row r="4403" spans="1:17" x14ac:dyDescent="0.2">
      <c r="A4403" s="30" t="str">
        <f>IF(C4403&amp;G4403&amp;D4403&lt;&gt;'Funnel setup'!$K$3&amp;'Funnel setup'!$K$4&amp;'Funnel setup'!$K$5,".",IF(A4402=".",1,A4402+1))</f>
        <v>.</v>
      </c>
      <c r="B4403" s="431" t="str">
        <f t="shared" si="68"/>
        <v>Knee Replacement PrimaryProviderNORTH MIDDLESEX UNIVERSITY HOSPITAL NHS TRUST (RAP)EQ VAS</v>
      </c>
      <c r="C4403" t="s">
        <v>249</v>
      </c>
      <c r="D4403" t="s">
        <v>1</v>
      </c>
      <c r="E4403" t="s">
        <v>3666</v>
      </c>
      <c r="F4403" t="s">
        <v>3667</v>
      </c>
      <c r="G4403" t="s">
        <v>179</v>
      </c>
      <c r="H4403">
        <v>40</v>
      </c>
      <c r="I4403">
        <v>55.774999999999999</v>
      </c>
      <c r="J4403">
        <v>67.3</v>
      </c>
      <c r="K4403">
        <v>11.525</v>
      </c>
      <c r="L4403">
        <v>28</v>
      </c>
      <c r="M4403">
        <v>1</v>
      </c>
      <c r="N4403">
        <v>11</v>
      </c>
      <c r="O4403">
        <v>75.156999999999996</v>
      </c>
      <c r="P4403">
        <v>6.498476235</v>
      </c>
      <c r="Q4403">
        <v>19.042000000000002</v>
      </c>
    </row>
    <row r="4404" spans="1:17" x14ac:dyDescent="0.2">
      <c r="A4404" s="30" t="str">
        <f>IF(C4404&amp;G4404&amp;D4404&lt;&gt;'Funnel setup'!$K$3&amp;'Funnel setup'!$K$4&amp;'Funnel setup'!$K$5,".",IF(A4403=".",1,A4403+1))</f>
        <v>.</v>
      </c>
      <c r="B4404" s="431" t="str">
        <f t="shared" si="68"/>
        <v>Knee Replacement PrimaryProviderNORTH TEES AND HARTLEPOOL NHS FOUNDATION TRUST (RVW)EQ VAS</v>
      </c>
      <c r="C4404" t="s">
        <v>249</v>
      </c>
      <c r="D4404" t="s">
        <v>1</v>
      </c>
      <c r="E4404" t="s">
        <v>3669</v>
      </c>
      <c r="F4404" t="s">
        <v>3670</v>
      </c>
      <c r="G4404" t="s">
        <v>179</v>
      </c>
      <c r="H4404">
        <v>247</v>
      </c>
      <c r="I4404">
        <v>63.655999999999999</v>
      </c>
      <c r="J4404">
        <v>70.861999999999995</v>
      </c>
      <c r="K4404">
        <v>7.2060000000000004</v>
      </c>
      <c r="L4404">
        <v>143</v>
      </c>
      <c r="M4404">
        <v>27</v>
      </c>
      <c r="N4404">
        <v>77</v>
      </c>
      <c r="O4404">
        <v>74.930000000000007</v>
      </c>
      <c r="P4404">
        <v>6.271661784</v>
      </c>
      <c r="Q4404">
        <v>17.597000000000001</v>
      </c>
    </row>
    <row r="4405" spans="1:17" x14ac:dyDescent="0.2">
      <c r="A4405" s="30" t="str">
        <f>IF(C4405&amp;G4405&amp;D4405&lt;&gt;'Funnel setup'!$K$3&amp;'Funnel setup'!$K$4&amp;'Funnel setup'!$K$5,".",IF(A4404=".",1,A4404+1))</f>
        <v>.</v>
      </c>
      <c r="B4405" s="431" t="str">
        <f t="shared" si="68"/>
        <v>Knee Replacement PrimaryProviderNORTHAMPTON GENERAL HOSPITAL NHS TRUST (RNS)EQ VAS</v>
      </c>
      <c r="C4405" t="s">
        <v>249</v>
      </c>
      <c r="D4405" t="s">
        <v>1</v>
      </c>
      <c r="E4405" t="s">
        <v>3675</v>
      </c>
      <c r="F4405" t="s">
        <v>3676</v>
      </c>
      <c r="G4405" t="s">
        <v>179</v>
      </c>
      <c r="H4405">
        <v>140</v>
      </c>
      <c r="I4405">
        <v>69.320999999999998</v>
      </c>
      <c r="J4405">
        <v>75.75</v>
      </c>
      <c r="K4405">
        <v>6.4290000000000003</v>
      </c>
      <c r="L4405">
        <v>80</v>
      </c>
      <c r="M4405">
        <v>19</v>
      </c>
      <c r="N4405">
        <v>41</v>
      </c>
      <c r="O4405">
        <v>76.308999999999997</v>
      </c>
      <c r="P4405">
        <v>7.6502483520000002</v>
      </c>
      <c r="Q4405">
        <v>15.491</v>
      </c>
    </row>
    <row r="4406" spans="1:17" x14ac:dyDescent="0.2">
      <c r="A4406" s="30" t="str">
        <f>IF(C4406&amp;G4406&amp;D4406&lt;&gt;'Funnel setup'!$K$3&amp;'Funnel setup'!$K$4&amp;'Funnel setup'!$K$5,".",IF(A4405=".",1,A4405+1))</f>
        <v>.</v>
      </c>
      <c r="B4406" s="431" t="str">
        <f t="shared" si="68"/>
        <v>Knee Replacement PrimaryProviderNORTHERN DEVON HEALTHCARE NHS TRUST (RBZ)EQ VAS</v>
      </c>
      <c r="C4406" t="s">
        <v>249</v>
      </c>
      <c r="D4406" t="s">
        <v>1</v>
      </c>
      <c r="E4406" t="s">
        <v>3678</v>
      </c>
      <c r="F4406" t="s">
        <v>3679</v>
      </c>
      <c r="G4406" t="s">
        <v>179</v>
      </c>
      <c r="H4406">
        <v>186</v>
      </c>
      <c r="I4406">
        <v>70.816999999999993</v>
      </c>
      <c r="J4406">
        <v>75.489000000000004</v>
      </c>
      <c r="K4406">
        <v>4.6719999999999997</v>
      </c>
      <c r="L4406">
        <v>102</v>
      </c>
      <c r="M4406">
        <v>30</v>
      </c>
      <c r="N4406">
        <v>54</v>
      </c>
      <c r="O4406">
        <v>75.186999999999998</v>
      </c>
      <c r="P4406">
        <v>6.5289182549999998</v>
      </c>
      <c r="Q4406">
        <v>13.872999999999999</v>
      </c>
    </row>
    <row r="4407" spans="1:17" x14ac:dyDescent="0.2">
      <c r="A4407" s="30" t="str">
        <f>IF(C4407&amp;G4407&amp;D4407&lt;&gt;'Funnel setup'!$K$3&amp;'Funnel setup'!$K$4&amp;'Funnel setup'!$K$5,".",IF(A4406=".",1,A4406+1))</f>
        <v>.</v>
      </c>
      <c r="B4407" s="431" t="str">
        <f t="shared" si="68"/>
        <v>Knee Replacement PrimaryProviderNORTHERN LINCOLNSHIRE AND GOOLE NHS FOUNDATION TRUST (RJL)EQ VAS</v>
      </c>
      <c r="C4407" t="s">
        <v>249</v>
      </c>
      <c r="D4407" t="s">
        <v>1</v>
      </c>
      <c r="E4407" t="s">
        <v>3681</v>
      </c>
      <c r="F4407" t="s">
        <v>3682</v>
      </c>
      <c r="G4407" t="s">
        <v>179</v>
      </c>
      <c r="H4407">
        <v>253</v>
      </c>
      <c r="I4407">
        <v>67.162000000000006</v>
      </c>
      <c r="J4407">
        <v>74.394999999999996</v>
      </c>
      <c r="K4407">
        <v>7.2329999999999997</v>
      </c>
      <c r="L4407">
        <v>142</v>
      </c>
      <c r="M4407">
        <v>47</v>
      </c>
      <c r="N4407">
        <v>64</v>
      </c>
      <c r="O4407">
        <v>74.793999999999997</v>
      </c>
      <c r="P4407">
        <v>6.1360725240000003</v>
      </c>
      <c r="Q4407">
        <v>15.699</v>
      </c>
    </row>
    <row r="4408" spans="1:17" x14ac:dyDescent="0.2">
      <c r="A4408" s="30" t="str">
        <f>IF(C4408&amp;G4408&amp;D4408&lt;&gt;'Funnel setup'!$K$3&amp;'Funnel setup'!$K$4&amp;'Funnel setup'!$K$5,".",IF(A4407=".",1,A4407+1))</f>
        <v>.</v>
      </c>
      <c r="B4408" s="431" t="str">
        <f t="shared" si="68"/>
        <v>Knee Replacement PrimaryProviderNORTHUMBRIA HEALTHCARE NHS FOUNDATION TRUST (RTF)EQ VAS</v>
      </c>
      <c r="C4408" t="s">
        <v>249</v>
      </c>
      <c r="D4408" t="s">
        <v>1</v>
      </c>
      <c r="E4408" t="s">
        <v>3684</v>
      </c>
      <c r="F4408" t="s">
        <v>3685</v>
      </c>
      <c r="G4408" t="s">
        <v>179</v>
      </c>
      <c r="H4408">
        <v>730</v>
      </c>
      <c r="I4408">
        <v>66.313999999999993</v>
      </c>
      <c r="J4408">
        <v>75.510999999999996</v>
      </c>
      <c r="K4408">
        <v>9.1969999999999992</v>
      </c>
      <c r="L4408">
        <v>455</v>
      </c>
      <c r="M4408">
        <v>121</v>
      </c>
      <c r="N4408">
        <v>154</v>
      </c>
      <c r="O4408">
        <v>76.536000000000001</v>
      </c>
      <c r="P4408">
        <v>7.8779896559999996</v>
      </c>
      <c r="Q4408">
        <v>14.061</v>
      </c>
    </row>
    <row r="4409" spans="1:17" x14ac:dyDescent="0.2">
      <c r="A4409" s="30" t="str">
        <f>IF(C4409&amp;G4409&amp;D4409&lt;&gt;'Funnel setup'!$K$3&amp;'Funnel setup'!$K$4&amp;'Funnel setup'!$K$5,".",IF(A4408=".",1,A4408+1))</f>
        <v>.</v>
      </c>
      <c r="B4409" s="431" t="str">
        <f t="shared" si="68"/>
        <v>Knee Replacement PrimaryProviderNOTTINGHAM UNIVERSITY HOSPITALS NHS TRUST (RX1)EQ VAS</v>
      </c>
      <c r="C4409" t="s">
        <v>249</v>
      </c>
      <c r="D4409" t="s">
        <v>1</v>
      </c>
      <c r="E4409" t="s">
        <v>3687</v>
      </c>
      <c r="F4409" t="s">
        <v>3688</v>
      </c>
      <c r="G4409" t="s">
        <v>179</v>
      </c>
      <c r="H4409">
        <v>406</v>
      </c>
      <c r="I4409">
        <v>66.911000000000001</v>
      </c>
      <c r="J4409">
        <v>71.736000000000004</v>
      </c>
      <c r="K4409">
        <v>4.8250000000000002</v>
      </c>
      <c r="L4409">
        <v>215</v>
      </c>
      <c r="M4409">
        <v>47</v>
      </c>
      <c r="N4409">
        <v>144</v>
      </c>
      <c r="O4409">
        <v>72.834999999999994</v>
      </c>
      <c r="P4409">
        <v>4.1770042590000003</v>
      </c>
      <c r="Q4409">
        <v>16.664999999999999</v>
      </c>
    </row>
    <row r="4410" spans="1:17" x14ac:dyDescent="0.2">
      <c r="A4410" s="30" t="str">
        <f>IF(C4410&amp;G4410&amp;D4410&lt;&gt;'Funnel setup'!$K$3&amp;'Funnel setup'!$K$4&amp;'Funnel setup'!$K$5,".",IF(A4409=".",1,A4409+1))</f>
        <v>.</v>
      </c>
      <c r="B4410" s="431" t="str">
        <f t="shared" si="68"/>
        <v>Knee Replacement PrimaryProviderNUFFIELD HEALTH, BRENTWOOD HOSPITAL (NT204)EQ VAS</v>
      </c>
      <c r="C4410" t="s">
        <v>249</v>
      </c>
      <c r="D4410" t="s">
        <v>1</v>
      </c>
      <c r="E4410" t="s">
        <v>3691</v>
      </c>
      <c r="F4410" t="s">
        <v>3692</v>
      </c>
      <c r="G4410" t="s">
        <v>179</v>
      </c>
      <c r="H4410">
        <v>69</v>
      </c>
      <c r="I4410">
        <v>72.072000000000003</v>
      </c>
      <c r="J4410">
        <v>77.912999999999997</v>
      </c>
      <c r="K4410">
        <v>5.8410000000000002</v>
      </c>
      <c r="L4410">
        <v>45</v>
      </c>
      <c r="M4410">
        <v>10</v>
      </c>
      <c r="N4410">
        <v>14</v>
      </c>
      <c r="O4410">
        <v>75.495000000000005</v>
      </c>
      <c r="P4410">
        <v>6.8369384599999998</v>
      </c>
      <c r="Q4410">
        <v>12.173</v>
      </c>
    </row>
    <row r="4411" spans="1:17" x14ac:dyDescent="0.2">
      <c r="A4411" s="30" t="str">
        <f>IF(C4411&amp;G4411&amp;D4411&lt;&gt;'Funnel setup'!$K$3&amp;'Funnel setup'!$K$4&amp;'Funnel setup'!$K$5,".",IF(A4410=".",1,A4410+1))</f>
        <v>.</v>
      </c>
      <c r="B4411" s="431" t="str">
        <f t="shared" si="68"/>
        <v>Knee Replacement PrimaryProviderNUFFIELD HEALTH, BRIGHTON HOSPITAL (NT205)EQ VAS</v>
      </c>
      <c r="C4411" t="s">
        <v>249</v>
      </c>
      <c r="D4411" t="s">
        <v>1</v>
      </c>
      <c r="E4411" t="s">
        <v>3697</v>
      </c>
      <c r="F4411" t="s">
        <v>3698</v>
      </c>
      <c r="G4411" t="s">
        <v>179</v>
      </c>
      <c r="H4411">
        <v>6</v>
      </c>
      <c r="I4411">
        <v>65</v>
      </c>
      <c r="J4411">
        <v>81.667000000000002</v>
      </c>
      <c r="K4411">
        <v>16.667000000000002</v>
      </c>
      <c r="L4411">
        <v>6</v>
      </c>
      <c r="M4411">
        <v>0</v>
      </c>
      <c r="N4411">
        <v>0</v>
      </c>
      <c r="O4411" t="s">
        <v>53</v>
      </c>
      <c r="P4411" t="s">
        <v>53</v>
      </c>
      <c r="Q4411" t="s">
        <v>53</v>
      </c>
    </row>
    <row r="4412" spans="1:17" x14ac:dyDescent="0.2">
      <c r="A4412" s="30" t="str">
        <f>IF(C4412&amp;G4412&amp;D4412&lt;&gt;'Funnel setup'!$K$3&amp;'Funnel setup'!$K$4&amp;'Funnel setup'!$K$5,".",IF(A4411=".",1,A4411+1))</f>
        <v>.</v>
      </c>
      <c r="B4412" s="431" t="str">
        <f t="shared" si="68"/>
        <v>Knee Replacement PrimaryProviderNUFFIELD HEALTH, BRISTOL HOSPITAL (CHESTERFIELD) (NT206)EQ VAS</v>
      </c>
      <c r="C4412" t="s">
        <v>249</v>
      </c>
      <c r="D4412" t="s">
        <v>1</v>
      </c>
      <c r="E4412" t="s">
        <v>3700</v>
      </c>
      <c r="F4412" t="s">
        <v>3701</v>
      </c>
      <c r="G4412" t="s">
        <v>179</v>
      </c>
      <c r="H4412">
        <v>12</v>
      </c>
      <c r="I4412">
        <v>70.332999999999998</v>
      </c>
      <c r="J4412">
        <v>77.917000000000002</v>
      </c>
      <c r="K4412">
        <v>7.5830000000000002</v>
      </c>
      <c r="L4412">
        <v>7</v>
      </c>
      <c r="M4412">
        <v>0</v>
      </c>
      <c r="N4412">
        <v>5</v>
      </c>
      <c r="O4412" t="s">
        <v>53</v>
      </c>
      <c r="P4412" t="s">
        <v>53</v>
      </c>
      <c r="Q4412" t="s">
        <v>53</v>
      </c>
    </row>
    <row r="4413" spans="1:17" x14ac:dyDescent="0.2">
      <c r="A4413" s="30" t="str">
        <f>IF(C4413&amp;G4413&amp;D4413&lt;&gt;'Funnel setup'!$K$3&amp;'Funnel setup'!$K$4&amp;'Funnel setup'!$K$5,".",IF(A4412=".",1,A4412+1))</f>
        <v>.</v>
      </c>
      <c r="B4413" s="431" t="str">
        <f t="shared" si="68"/>
        <v>Knee Replacement PrimaryProviderNUFFIELD HEALTH, CAMBRIDGE HOSPITAL (NT209)EQ VAS</v>
      </c>
      <c r="C4413" t="s">
        <v>249</v>
      </c>
      <c r="D4413" t="s">
        <v>1</v>
      </c>
      <c r="E4413" t="s">
        <v>4477</v>
      </c>
      <c r="F4413" t="s">
        <v>4478</v>
      </c>
      <c r="G4413" t="s">
        <v>179</v>
      </c>
      <c r="H4413">
        <v>34</v>
      </c>
      <c r="I4413">
        <v>68.912000000000006</v>
      </c>
      <c r="J4413">
        <v>85</v>
      </c>
      <c r="K4413">
        <v>16.088000000000001</v>
      </c>
      <c r="L4413">
        <v>29</v>
      </c>
      <c r="M4413">
        <v>1</v>
      </c>
      <c r="N4413">
        <v>4</v>
      </c>
      <c r="O4413">
        <v>84.198999999999998</v>
      </c>
      <c r="P4413">
        <v>15.54038718</v>
      </c>
      <c r="Q4413">
        <v>9.7100000000000009</v>
      </c>
    </row>
    <row r="4414" spans="1:17" x14ac:dyDescent="0.2">
      <c r="A4414" s="30" t="str">
        <f>IF(C4414&amp;G4414&amp;D4414&lt;&gt;'Funnel setup'!$K$3&amp;'Funnel setup'!$K$4&amp;'Funnel setup'!$K$5,".",IF(A4413=".",1,A4413+1))</f>
        <v>.</v>
      </c>
      <c r="B4414" s="431" t="str">
        <f t="shared" si="68"/>
        <v>Knee Replacement PrimaryProviderNUFFIELD HEALTH, CHELTENHAM HOSPITAL (NT211)EQ VAS</v>
      </c>
      <c r="C4414" t="s">
        <v>249</v>
      </c>
      <c r="D4414" t="s">
        <v>1</v>
      </c>
      <c r="E4414" t="s">
        <v>3703</v>
      </c>
      <c r="F4414" t="s">
        <v>3704</v>
      </c>
      <c r="G4414" t="s">
        <v>179</v>
      </c>
      <c r="H4414">
        <v>6</v>
      </c>
      <c r="I4414">
        <v>75</v>
      </c>
      <c r="J4414">
        <v>79.167000000000002</v>
      </c>
      <c r="K4414">
        <v>4.1669999999999998</v>
      </c>
      <c r="L4414">
        <v>1</v>
      </c>
      <c r="M4414">
        <v>4</v>
      </c>
      <c r="N4414">
        <v>1</v>
      </c>
      <c r="O4414" t="s">
        <v>53</v>
      </c>
      <c r="P4414" t="s">
        <v>53</v>
      </c>
      <c r="Q4414" t="s">
        <v>53</v>
      </c>
    </row>
    <row r="4415" spans="1:17" x14ac:dyDescent="0.2">
      <c r="A4415" s="30" t="str">
        <f>IF(C4415&amp;G4415&amp;D4415&lt;&gt;'Funnel setup'!$K$3&amp;'Funnel setup'!$K$4&amp;'Funnel setup'!$K$5,".",IF(A4414=".",1,A4414+1))</f>
        <v>.</v>
      </c>
      <c r="B4415" s="431" t="str">
        <f t="shared" si="68"/>
        <v>Knee Replacement PrimaryProviderNUFFIELD HEALTH, CHICHESTER HOSPITAL (NT212)EQ VAS</v>
      </c>
      <c r="C4415" t="s">
        <v>249</v>
      </c>
      <c r="D4415" t="s">
        <v>1</v>
      </c>
      <c r="E4415" t="s">
        <v>4334</v>
      </c>
      <c r="F4415" t="s">
        <v>4335</v>
      </c>
      <c r="G4415" t="s">
        <v>179</v>
      </c>
      <c r="H4415">
        <v>10</v>
      </c>
      <c r="I4415">
        <v>68.400000000000006</v>
      </c>
      <c r="J4415">
        <v>80</v>
      </c>
      <c r="K4415">
        <v>11.6</v>
      </c>
      <c r="L4415">
        <v>7</v>
      </c>
      <c r="M4415">
        <v>2</v>
      </c>
      <c r="N4415">
        <v>1</v>
      </c>
      <c r="O4415" t="s">
        <v>53</v>
      </c>
      <c r="P4415" t="s">
        <v>53</v>
      </c>
      <c r="Q4415" t="s">
        <v>53</v>
      </c>
    </row>
    <row r="4416" spans="1:17" x14ac:dyDescent="0.2">
      <c r="A4416" s="30" t="str">
        <f>IF(C4416&amp;G4416&amp;D4416&lt;&gt;'Funnel setup'!$K$3&amp;'Funnel setup'!$K$4&amp;'Funnel setup'!$K$5,".",IF(A4415=".",1,A4415+1))</f>
        <v>.</v>
      </c>
      <c r="B4416" s="431" t="str">
        <f t="shared" si="68"/>
        <v>Knee Replacement PrimaryProviderNUFFIELD HEALTH, DERBY HOSPITAL (NT213)EQ VAS</v>
      </c>
      <c r="C4416" t="s">
        <v>249</v>
      </c>
      <c r="D4416" t="s">
        <v>1</v>
      </c>
      <c r="E4416" t="s">
        <v>3340</v>
      </c>
      <c r="F4416" t="s">
        <v>3341</v>
      </c>
      <c r="G4416" t="s">
        <v>179</v>
      </c>
      <c r="H4416">
        <v>144</v>
      </c>
      <c r="I4416">
        <v>71.430999999999997</v>
      </c>
      <c r="J4416">
        <v>78.117999999999995</v>
      </c>
      <c r="K4416">
        <v>6.6879999999999997</v>
      </c>
      <c r="L4416">
        <v>78</v>
      </c>
      <c r="M4416">
        <v>21</v>
      </c>
      <c r="N4416">
        <v>45</v>
      </c>
      <c r="O4416">
        <v>75.058000000000007</v>
      </c>
      <c r="P4416">
        <v>6.4000129340000003</v>
      </c>
      <c r="Q4416">
        <v>13.923</v>
      </c>
    </row>
    <row r="4417" spans="1:17" x14ac:dyDescent="0.2">
      <c r="A4417" s="30" t="str">
        <f>IF(C4417&amp;G4417&amp;D4417&lt;&gt;'Funnel setup'!$K$3&amp;'Funnel setup'!$K$4&amp;'Funnel setup'!$K$5,".",IF(A4416=".",1,A4416+1))</f>
        <v>.</v>
      </c>
      <c r="B4417" s="431" t="str">
        <f t="shared" si="68"/>
        <v>Knee Replacement PrimaryProviderNUFFIELD HEALTH, EXETER HOSPITAL (NT215)EQ VAS</v>
      </c>
      <c r="C4417" t="s">
        <v>249</v>
      </c>
      <c r="D4417" t="s">
        <v>1</v>
      </c>
      <c r="E4417" t="s">
        <v>4339</v>
      </c>
      <c r="F4417" t="s">
        <v>4340</v>
      </c>
      <c r="G4417" t="s">
        <v>179</v>
      </c>
      <c r="H4417">
        <v>109</v>
      </c>
      <c r="I4417">
        <v>70.650999999999996</v>
      </c>
      <c r="J4417">
        <v>78.513999999999996</v>
      </c>
      <c r="K4417">
        <v>7.8620000000000001</v>
      </c>
      <c r="L4417">
        <v>66</v>
      </c>
      <c r="M4417">
        <v>18</v>
      </c>
      <c r="N4417">
        <v>25</v>
      </c>
      <c r="O4417">
        <v>75.896000000000001</v>
      </c>
      <c r="P4417">
        <v>7.2378809019999997</v>
      </c>
      <c r="Q4417">
        <v>14.465</v>
      </c>
    </row>
    <row r="4418" spans="1:17" x14ac:dyDescent="0.2">
      <c r="A4418" s="30" t="str">
        <f>IF(C4418&amp;G4418&amp;D4418&lt;&gt;'Funnel setup'!$K$3&amp;'Funnel setup'!$K$4&amp;'Funnel setup'!$K$5,".",IF(A4417=".",1,A4417+1))</f>
        <v>.</v>
      </c>
      <c r="B4418" s="431" t="str">
        <f t="shared" si="68"/>
        <v>Knee Replacement PrimaryProviderNUFFIELD HEALTH, HAYWARDS HEATH HOSPITAL (NT218)EQ VAS</v>
      </c>
      <c r="C4418" t="s">
        <v>249</v>
      </c>
      <c r="D4418" t="s">
        <v>1</v>
      </c>
      <c r="E4418" t="s">
        <v>4342</v>
      </c>
      <c r="F4418" t="s">
        <v>4343</v>
      </c>
      <c r="G4418" t="s">
        <v>179</v>
      </c>
      <c r="H4418">
        <v>18</v>
      </c>
      <c r="I4418">
        <v>70.832999999999998</v>
      </c>
      <c r="J4418">
        <v>76.055999999999997</v>
      </c>
      <c r="K4418">
        <v>5.2220000000000004</v>
      </c>
      <c r="L4418">
        <v>12</v>
      </c>
      <c r="M4418">
        <v>2</v>
      </c>
      <c r="N4418">
        <v>4</v>
      </c>
      <c r="O4418" t="s">
        <v>53</v>
      </c>
      <c r="P4418" t="s">
        <v>53</v>
      </c>
      <c r="Q4418" t="s">
        <v>53</v>
      </c>
    </row>
    <row r="4419" spans="1:17" x14ac:dyDescent="0.2">
      <c r="A4419" s="30" t="str">
        <f>IF(C4419&amp;G4419&amp;D4419&lt;&gt;'Funnel setup'!$K$3&amp;'Funnel setup'!$K$4&amp;'Funnel setup'!$K$5,".",IF(A4418=".",1,A4418+1))</f>
        <v>.</v>
      </c>
      <c r="B4419" s="431" t="str">
        <f t="shared" ref="B4419:B4482" si="69">C4419&amp;D4419&amp;F4419&amp;G4419</f>
        <v>Knee Replacement PrimaryProviderNUFFIELD HEALTH, HEREFORD HOSPITAL (NT219)EQ VAS</v>
      </c>
      <c r="C4419" t="s">
        <v>249</v>
      </c>
      <c r="D4419" t="s">
        <v>1</v>
      </c>
      <c r="E4419" t="s">
        <v>3343</v>
      </c>
      <c r="F4419" t="s">
        <v>3344</v>
      </c>
      <c r="G4419" t="s">
        <v>179</v>
      </c>
      <c r="H4419">
        <v>63</v>
      </c>
      <c r="I4419">
        <v>65.968000000000004</v>
      </c>
      <c r="J4419">
        <v>76.238</v>
      </c>
      <c r="K4419">
        <v>10.27</v>
      </c>
      <c r="L4419">
        <v>43</v>
      </c>
      <c r="M4419">
        <v>4</v>
      </c>
      <c r="N4419">
        <v>16</v>
      </c>
      <c r="O4419">
        <v>76.204999999999998</v>
      </c>
      <c r="P4419">
        <v>7.5462082720000003</v>
      </c>
      <c r="Q4419">
        <v>16.962</v>
      </c>
    </row>
    <row r="4420" spans="1:17" x14ac:dyDescent="0.2">
      <c r="A4420" s="30" t="str">
        <f>IF(C4420&amp;G4420&amp;D4420&lt;&gt;'Funnel setup'!$K$3&amp;'Funnel setup'!$K$4&amp;'Funnel setup'!$K$5,".",IF(A4419=".",1,A4419+1))</f>
        <v>.</v>
      </c>
      <c r="B4420" s="431" t="str">
        <f t="shared" si="69"/>
        <v>Knee Replacement PrimaryProviderNUFFIELD HEALTH, IPSWICH HOSPITAL (NT222)EQ VAS</v>
      </c>
      <c r="C4420" t="s">
        <v>249</v>
      </c>
      <c r="D4420" t="s">
        <v>1</v>
      </c>
      <c r="E4420" t="s">
        <v>3385</v>
      </c>
      <c r="F4420" t="s">
        <v>3386</v>
      </c>
      <c r="G4420" t="s">
        <v>179</v>
      </c>
      <c r="H4420">
        <v>93</v>
      </c>
      <c r="I4420">
        <v>71.569999999999993</v>
      </c>
      <c r="J4420">
        <v>77.548000000000002</v>
      </c>
      <c r="K4420">
        <v>5.9779999999999998</v>
      </c>
      <c r="L4420">
        <v>49</v>
      </c>
      <c r="M4420">
        <v>13</v>
      </c>
      <c r="N4420">
        <v>31</v>
      </c>
      <c r="O4420">
        <v>76.188999999999993</v>
      </c>
      <c r="P4420">
        <v>7.5305199610000004</v>
      </c>
      <c r="Q4420">
        <v>13.831</v>
      </c>
    </row>
    <row r="4421" spans="1:17" x14ac:dyDescent="0.2">
      <c r="A4421" s="30" t="str">
        <f>IF(C4421&amp;G4421&amp;D4421&lt;&gt;'Funnel setup'!$K$3&amp;'Funnel setup'!$K$4&amp;'Funnel setup'!$K$5,".",IF(A4420=".",1,A4420+1))</f>
        <v>.</v>
      </c>
      <c r="B4421" s="431" t="str">
        <f t="shared" si="69"/>
        <v>Knee Replacement PrimaryProviderNUFFIELD HEALTH, LEEDS HOSPITAL (NT225)EQ VAS</v>
      </c>
      <c r="C4421" t="s">
        <v>249</v>
      </c>
      <c r="D4421" t="s">
        <v>1</v>
      </c>
      <c r="E4421" t="s">
        <v>3388</v>
      </c>
      <c r="F4421" t="s">
        <v>3389</v>
      </c>
      <c r="G4421" t="s">
        <v>179</v>
      </c>
      <c r="H4421">
        <v>123</v>
      </c>
      <c r="I4421">
        <v>71.885999999999996</v>
      </c>
      <c r="J4421">
        <v>76.706999999999994</v>
      </c>
      <c r="K4421">
        <v>4.8209999999999997</v>
      </c>
      <c r="L4421">
        <v>57</v>
      </c>
      <c r="M4421">
        <v>24</v>
      </c>
      <c r="N4421">
        <v>42</v>
      </c>
      <c r="O4421">
        <v>75.295000000000002</v>
      </c>
      <c r="P4421">
        <v>6.6370428319999997</v>
      </c>
      <c r="Q4421">
        <v>13.532</v>
      </c>
    </row>
    <row r="4422" spans="1:17" x14ac:dyDescent="0.2">
      <c r="A4422" s="30" t="str">
        <f>IF(C4422&amp;G4422&amp;D4422&lt;&gt;'Funnel setup'!$K$3&amp;'Funnel setup'!$K$4&amp;'Funnel setup'!$K$5,".",IF(A4421=".",1,A4421+1))</f>
        <v>.</v>
      </c>
      <c r="B4422" s="431" t="str">
        <f t="shared" si="69"/>
        <v>Knee Replacement PrimaryProviderNUFFIELD HEALTH, LEICESTER HOSPITAL (NT226)EQ VAS</v>
      </c>
      <c r="C4422" t="s">
        <v>249</v>
      </c>
      <c r="D4422" t="s">
        <v>1</v>
      </c>
      <c r="E4422" t="s">
        <v>3391</v>
      </c>
      <c r="F4422" t="s">
        <v>3392</v>
      </c>
      <c r="G4422" t="s">
        <v>179</v>
      </c>
      <c r="H4422">
        <v>47</v>
      </c>
      <c r="I4422">
        <v>68.212999999999994</v>
      </c>
      <c r="J4422">
        <v>77.233999999999995</v>
      </c>
      <c r="K4422">
        <v>9.0210000000000008</v>
      </c>
      <c r="L4422">
        <v>29</v>
      </c>
      <c r="M4422">
        <v>6</v>
      </c>
      <c r="N4422">
        <v>12</v>
      </c>
      <c r="O4422">
        <v>75.938000000000002</v>
      </c>
      <c r="P4422">
        <v>7.279925081</v>
      </c>
      <c r="Q4422">
        <v>15.406000000000001</v>
      </c>
    </row>
    <row r="4423" spans="1:17" x14ac:dyDescent="0.2">
      <c r="A4423" s="30" t="str">
        <f>IF(C4423&amp;G4423&amp;D4423&lt;&gt;'Funnel setup'!$K$3&amp;'Funnel setup'!$K$4&amp;'Funnel setup'!$K$5,".",IF(A4422=".",1,A4422+1))</f>
        <v>.</v>
      </c>
      <c r="B4423" s="431" t="str">
        <f t="shared" si="69"/>
        <v>Knee Replacement PrimaryProviderNUFFIELD HEALTH, NEWCASTLE UPON TYNE HOSPITAL (NT229)EQ VAS</v>
      </c>
      <c r="C4423" t="s">
        <v>249</v>
      </c>
      <c r="D4423" t="s">
        <v>1</v>
      </c>
      <c r="E4423" t="s">
        <v>3394</v>
      </c>
      <c r="F4423" t="s">
        <v>3395</v>
      </c>
      <c r="G4423" t="s">
        <v>179</v>
      </c>
      <c r="H4423">
        <v>37</v>
      </c>
      <c r="I4423">
        <v>73.350999999999999</v>
      </c>
      <c r="J4423">
        <v>77.540999999999997</v>
      </c>
      <c r="K4423">
        <v>4.1890000000000001</v>
      </c>
      <c r="L4423">
        <v>19</v>
      </c>
      <c r="M4423">
        <v>6</v>
      </c>
      <c r="N4423">
        <v>12</v>
      </c>
      <c r="O4423">
        <v>75.015000000000001</v>
      </c>
      <c r="P4423">
        <v>6.356907358</v>
      </c>
      <c r="Q4423">
        <v>15.603</v>
      </c>
    </row>
    <row r="4424" spans="1:17" x14ac:dyDescent="0.2">
      <c r="A4424" s="30" t="str">
        <f>IF(C4424&amp;G4424&amp;D4424&lt;&gt;'Funnel setup'!$K$3&amp;'Funnel setup'!$K$4&amp;'Funnel setup'!$K$5,".",IF(A4423=".",1,A4423+1))</f>
        <v>.</v>
      </c>
      <c r="B4424" s="431" t="str">
        <f t="shared" si="69"/>
        <v>Knee Replacement PrimaryProviderNUFFIELD HEALTH, NORTH STAFFORDSHIRE HOSPITAL (NT230)EQ VAS</v>
      </c>
      <c r="C4424" t="s">
        <v>249</v>
      </c>
      <c r="D4424" t="s">
        <v>1</v>
      </c>
      <c r="E4424" t="s">
        <v>3397</v>
      </c>
      <c r="F4424" t="s">
        <v>3398</v>
      </c>
      <c r="G4424" t="s">
        <v>179</v>
      </c>
      <c r="H4424">
        <v>98</v>
      </c>
      <c r="I4424">
        <v>65.724000000000004</v>
      </c>
      <c r="J4424">
        <v>70.662999999999997</v>
      </c>
      <c r="K4424">
        <v>4.9390000000000001</v>
      </c>
      <c r="L4424">
        <v>50</v>
      </c>
      <c r="M4424">
        <v>11</v>
      </c>
      <c r="N4424">
        <v>37</v>
      </c>
      <c r="O4424">
        <v>72.203999999999994</v>
      </c>
      <c r="P4424">
        <v>3.5458923000000002</v>
      </c>
      <c r="Q4424">
        <v>15.269</v>
      </c>
    </row>
    <row r="4425" spans="1:17" x14ac:dyDescent="0.2">
      <c r="A4425" s="30" t="str">
        <f>IF(C4425&amp;G4425&amp;D4425&lt;&gt;'Funnel setup'!$K$3&amp;'Funnel setup'!$K$4&amp;'Funnel setup'!$K$5,".",IF(A4424=".",1,A4424+1))</f>
        <v>.</v>
      </c>
      <c r="B4425" s="431" t="str">
        <f t="shared" si="69"/>
        <v>Knee Replacement PrimaryProviderNUFFIELD HEALTH, PLYMOUTH HOSPITAL (NT233)EQ VAS</v>
      </c>
      <c r="C4425" t="s">
        <v>249</v>
      </c>
      <c r="D4425" t="s">
        <v>1</v>
      </c>
      <c r="E4425" t="s">
        <v>3400</v>
      </c>
      <c r="F4425" t="s">
        <v>3401</v>
      </c>
      <c r="G4425" t="s">
        <v>179</v>
      </c>
      <c r="H4425">
        <v>100</v>
      </c>
      <c r="I4425">
        <v>69.47</v>
      </c>
      <c r="J4425">
        <v>75.290000000000006</v>
      </c>
      <c r="K4425">
        <v>5.82</v>
      </c>
      <c r="L4425">
        <v>59</v>
      </c>
      <c r="M4425">
        <v>13</v>
      </c>
      <c r="N4425">
        <v>28</v>
      </c>
      <c r="O4425">
        <v>74.08</v>
      </c>
      <c r="P4425">
        <v>5.4217781489999997</v>
      </c>
      <c r="Q4425">
        <v>14.167999999999999</v>
      </c>
    </row>
    <row r="4426" spans="1:17" x14ac:dyDescent="0.2">
      <c r="A4426" s="30" t="str">
        <f>IF(C4426&amp;G4426&amp;D4426&lt;&gt;'Funnel setup'!$K$3&amp;'Funnel setup'!$K$4&amp;'Funnel setup'!$K$5,".",IF(A4425=".",1,A4425+1))</f>
        <v>.</v>
      </c>
      <c r="B4426" s="431" t="str">
        <f t="shared" si="69"/>
        <v>Knee Replacement PrimaryProviderNUFFIELD HEALTH, SHREWSBURY HOSPITAL (NT235)EQ VAS</v>
      </c>
      <c r="C4426" t="s">
        <v>249</v>
      </c>
      <c r="D4426" t="s">
        <v>1</v>
      </c>
      <c r="E4426" t="s">
        <v>3240</v>
      </c>
      <c r="F4426" t="s">
        <v>3241</v>
      </c>
      <c r="G4426" t="s">
        <v>179</v>
      </c>
      <c r="H4426" t="s">
        <v>53</v>
      </c>
      <c r="I4426" t="s">
        <v>53</v>
      </c>
      <c r="J4426" t="s">
        <v>53</v>
      </c>
      <c r="K4426" t="s">
        <v>53</v>
      </c>
      <c r="L4426" t="s">
        <v>53</v>
      </c>
      <c r="M4426" t="s">
        <v>53</v>
      </c>
      <c r="N4426" t="s">
        <v>53</v>
      </c>
      <c r="O4426" t="s">
        <v>53</v>
      </c>
      <c r="P4426" t="s">
        <v>53</v>
      </c>
      <c r="Q4426" t="s">
        <v>53</v>
      </c>
    </row>
    <row r="4427" spans="1:17" x14ac:dyDescent="0.2">
      <c r="A4427" s="30" t="str">
        <f>IF(C4427&amp;G4427&amp;D4427&lt;&gt;'Funnel setup'!$K$3&amp;'Funnel setup'!$K$4&amp;'Funnel setup'!$K$5,".",IF(A4426=".",1,A4426+1))</f>
        <v>.</v>
      </c>
      <c r="B4427" s="431" t="str">
        <f t="shared" si="69"/>
        <v>Knee Replacement PrimaryProviderNUFFIELD HEALTH, TAUNTON HOSPITAL (NT238)EQ VAS</v>
      </c>
      <c r="C4427" t="s">
        <v>249</v>
      </c>
      <c r="D4427" t="s">
        <v>1</v>
      </c>
      <c r="E4427" t="s">
        <v>3243</v>
      </c>
      <c r="F4427" t="s">
        <v>3244</v>
      </c>
      <c r="G4427" t="s">
        <v>179</v>
      </c>
      <c r="H4427">
        <v>67</v>
      </c>
      <c r="I4427">
        <v>75.045000000000002</v>
      </c>
      <c r="J4427">
        <v>78.850999999999999</v>
      </c>
      <c r="K4427">
        <v>3.806</v>
      </c>
      <c r="L4427">
        <v>37</v>
      </c>
      <c r="M4427">
        <v>8</v>
      </c>
      <c r="N4427">
        <v>22</v>
      </c>
      <c r="O4427">
        <v>73.772000000000006</v>
      </c>
      <c r="P4427">
        <v>5.1133789419999998</v>
      </c>
      <c r="Q4427">
        <v>14.731999999999999</v>
      </c>
    </row>
    <row r="4428" spans="1:17" x14ac:dyDescent="0.2">
      <c r="A4428" s="30" t="str">
        <f>IF(C4428&amp;G4428&amp;D4428&lt;&gt;'Funnel setup'!$K$3&amp;'Funnel setup'!$K$4&amp;'Funnel setup'!$K$5,".",IF(A4427=".",1,A4427+1))</f>
        <v>.</v>
      </c>
      <c r="B4428" s="431" t="str">
        <f t="shared" si="69"/>
        <v>Knee Replacement PrimaryProviderNUFFIELD HEALTH, TEES HOSPITAL (NT237)EQ VAS</v>
      </c>
      <c r="C4428" t="s">
        <v>249</v>
      </c>
      <c r="D4428" t="s">
        <v>1</v>
      </c>
      <c r="E4428" t="s">
        <v>3246</v>
      </c>
      <c r="F4428" t="s">
        <v>3247</v>
      </c>
      <c r="G4428" t="s">
        <v>179</v>
      </c>
      <c r="H4428">
        <v>134</v>
      </c>
      <c r="I4428">
        <v>70.754000000000005</v>
      </c>
      <c r="J4428">
        <v>78.805999999999997</v>
      </c>
      <c r="K4428">
        <v>8.0519999999999996</v>
      </c>
      <c r="L4428">
        <v>75</v>
      </c>
      <c r="M4428">
        <v>20</v>
      </c>
      <c r="N4428">
        <v>39</v>
      </c>
      <c r="O4428">
        <v>76.313000000000002</v>
      </c>
      <c r="P4428">
        <v>7.654800625</v>
      </c>
      <c r="Q4428">
        <v>11.397</v>
      </c>
    </row>
    <row r="4429" spans="1:17" x14ac:dyDescent="0.2">
      <c r="A4429" s="30" t="str">
        <f>IF(C4429&amp;G4429&amp;D4429&lt;&gt;'Funnel setup'!$K$3&amp;'Funnel setup'!$K$4&amp;'Funnel setup'!$K$5,".",IF(A4428=".",1,A4428+1))</f>
        <v>.</v>
      </c>
      <c r="B4429" s="431" t="str">
        <f t="shared" si="69"/>
        <v>Knee Replacement PrimaryProviderNUFFIELD HEALTH, THE GROSVENOR HOSPITAL, CHESTER (NT210)EQ VAS</v>
      </c>
      <c r="C4429" t="s">
        <v>249</v>
      </c>
      <c r="D4429" t="s">
        <v>1</v>
      </c>
      <c r="E4429" t="s">
        <v>3249</v>
      </c>
      <c r="F4429" t="s">
        <v>3250</v>
      </c>
      <c r="G4429" t="s">
        <v>179</v>
      </c>
      <c r="H4429">
        <v>60</v>
      </c>
      <c r="I4429">
        <v>73.05</v>
      </c>
      <c r="J4429">
        <v>81.167000000000002</v>
      </c>
      <c r="K4429">
        <v>8.1170000000000009</v>
      </c>
      <c r="L4429">
        <v>39</v>
      </c>
      <c r="M4429">
        <v>7</v>
      </c>
      <c r="N4429">
        <v>14</v>
      </c>
      <c r="O4429">
        <v>79.061999999999998</v>
      </c>
      <c r="P4429">
        <v>10.403472669999999</v>
      </c>
      <c r="Q4429">
        <v>11.955</v>
      </c>
    </row>
    <row r="4430" spans="1:17" x14ac:dyDescent="0.2">
      <c r="A4430" s="30" t="str">
        <f>IF(C4430&amp;G4430&amp;D4430&lt;&gt;'Funnel setup'!$K$3&amp;'Funnel setup'!$K$4&amp;'Funnel setup'!$K$5,".",IF(A4429=".",1,A4429+1))</f>
        <v>.</v>
      </c>
      <c r="B4430" s="431" t="str">
        <f t="shared" si="69"/>
        <v>Knee Replacement PrimaryProviderNUFFIELD HEALTH, TUNBRIDGE WELLS HOSPITAL (NT239)EQ VAS</v>
      </c>
      <c r="C4430" t="s">
        <v>249</v>
      </c>
      <c r="D4430" t="s">
        <v>1</v>
      </c>
      <c r="E4430" t="s">
        <v>3252</v>
      </c>
      <c r="F4430" t="s">
        <v>3253</v>
      </c>
      <c r="G4430" t="s">
        <v>179</v>
      </c>
      <c r="H4430" t="s">
        <v>53</v>
      </c>
      <c r="I4430" t="s">
        <v>53</v>
      </c>
      <c r="J4430" t="s">
        <v>53</v>
      </c>
      <c r="K4430" t="s">
        <v>53</v>
      </c>
      <c r="L4430" t="s">
        <v>53</v>
      </c>
      <c r="M4430" t="s">
        <v>53</v>
      </c>
      <c r="N4430" t="s">
        <v>53</v>
      </c>
      <c r="O4430" t="s">
        <v>53</v>
      </c>
      <c r="P4430" t="s">
        <v>53</v>
      </c>
      <c r="Q4430" t="s">
        <v>53</v>
      </c>
    </row>
    <row r="4431" spans="1:17" x14ac:dyDescent="0.2">
      <c r="A4431" s="30" t="str">
        <f>IF(C4431&amp;G4431&amp;D4431&lt;&gt;'Funnel setup'!$K$3&amp;'Funnel setup'!$K$4&amp;'Funnel setup'!$K$5,".",IF(A4430=".",1,A4430+1))</f>
        <v>.</v>
      </c>
      <c r="B4431" s="431" t="str">
        <f t="shared" si="69"/>
        <v>Knee Replacement PrimaryProviderNUFFIELD HEALTH, WARWICKSHIRE HOSPITAL (NT224)EQ VAS</v>
      </c>
      <c r="C4431" t="s">
        <v>249</v>
      </c>
      <c r="D4431" t="s">
        <v>1</v>
      </c>
      <c r="E4431" t="s">
        <v>3255</v>
      </c>
      <c r="F4431" t="s">
        <v>3256</v>
      </c>
      <c r="G4431" t="s">
        <v>179</v>
      </c>
      <c r="H4431" t="s">
        <v>53</v>
      </c>
      <c r="I4431" t="s">
        <v>53</v>
      </c>
      <c r="J4431" t="s">
        <v>53</v>
      </c>
      <c r="K4431" t="s">
        <v>53</v>
      </c>
      <c r="L4431" t="s">
        <v>53</v>
      </c>
      <c r="M4431" t="s">
        <v>53</v>
      </c>
      <c r="N4431" t="s">
        <v>53</v>
      </c>
      <c r="O4431" t="s">
        <v>53</v>
      </c>
      <c r="P4431" t="s">
        <v>53</v>
      </c>
      <c r="Q4431" t="s">
        <v>53</v>
      </c>
    </row>
    <row r="4432" spans="1:17" x14ac:dyDescent="0.2">
      <c r="A4432" s="30" t="str">
        <f>IF(C4432&amp;G4432&amp;D4432&lt;&gt;'Funnel setup'!$K$3&amp;'Funnel setup'!$K$4&amp;'Funnel setup'!$K$5,".",IF(A4431=".",1,A4431+1))</f>
        <v>.</v>
      </c>
      <c r="B4432" s="431" t="str">
        <f t="shared" si="69"/>
        <v>Knee Replacement PrimaryProviderNUFFIELD HEALTH, WESSEX HOSPITAL (NT214)EQ VAS</v>
      </c>
      <c r="C4432" t="s">
        <v>249</v>
      </c>
      <c r="D4432" t="s">
        <v>1</v>
      </c>
      <c r="E4432" t="s">
        <v>3258</v>
      </c>
      <c r="F4432" t="s">
        <v>3259</v>
      </c>
      <c r="G4432" t="s">
        <v>179</v>
      </c>
      <c r="H4432">
        <v>43</v>
      </c>
      <c r="I4432">
        <v>70.325999999999993</v>
      </c>
      <c r="J4432">
        <v>74.278999999999996</v>
      </c>
      <c r="K4432">
        <v>3.9529999999999998</v>
      </c>
      <c r="L4432">
        <v>21</v>
      </c>
      <c r="M4432">
        <v>9</v>
      </c>
      <c r="N4432">
        <v>13</v>
      </c>
      <c r="O4432">
        <v>71.649000000000001</v>
      </c>
      <c r="P4432">
        <v>2.990352895</v>
      </c>
      <c r="Q4432">
        <v>19.052</v>
      </c>
    </row>
    <row r="4433" spans="1:17" x14ac:dyDescent="0.2">
      <c r="A4433" s="30" t="str">
        <f>IF(C4433&amp;G4433&amp;D4433&lt;&gt;'Funnel setup'!$K$3&amp;'Funnel setup'!$K$4&amp;'Funnel setup'!$K$5,".",IF(A4432=".",1,A4432+1))</f>
        <v>.</v>
      </c>
      <c r="B4433" s="431" t="str">
        <f t="shared" si="69"/>
        <v>Knee Replacement PrimaryProviderNUFFIELD HEALTH, WOKING HOSPITAL (NT241)EQ VAS</v>
      </c>
      <c r="C4433" t="s">
        <v>249</v>
      </c>
      <c r="D4433" t="s">
        <v>1</v>
      </c>
      <c r="E4433" t="s">
        <v>3261</v>
      </c>
      <c r="F4433" t="s">
        <v>3262</v>
      </c>
      <c r="G4433" t="s">
        <v>179</v>
      </c>
      <c r="H4433">
        <v>17</v>
      </c>
      <c r="I4433">
        <v>82.765000000000001</v>
      </c>
      <c r="J4433">
        <v>83.471000000000004</v>
      </c>
      <c r="K4433">
        <v>0.70599999999999996</v>
      </c>
      <c r="L4433">
        <v>8</v>
      </c>
      <c r="M4433">
        <v>1</v>
      </c>
      <c r="N4433">
        <v>8</v>
      </c>
      <c r="O4433" t="s">
        <v>53</v>
      </c>
      <c r="P4433" t="s">
        <v>53</v>
      </c>
      <c r="Q4433" t="s">
        <v>53</v>
      </c>
    </row>
    <row r="4434" spans="1:17" x14ac:dyDescent="0.2">
      <c r="A4434" s="30" t="str">
        <f>IF(C4434&amp;G4434&amp;D4434&lt;&gt;'Funnel setup'!$K$3&amp;'Funnel setup'!$K$4&amp;'Funnel setup'!$K$5,".",IF(A4433=".",1,A4433+1))</f>
        <v>.</v>
      </c>
      <c r="B4434" s="431" t="str">
        <f t="shared" si="69"/>
        <v>Knee Replacement PrimaryProviderNUFFIELD HEALTH, WOLVERHAMPTON HOSPITAL (NT242)EQ VAS</v>
      </c>
      <c r="C4434" t="s">
        <v>249</v>
      </c>
      <c r="D4434" t="s">
        <v>1</v>
      </c>
      <c r="E4434" t="s">
        <v>3264</v>
      </c>
      <c r="F4434" t="s">
        <v>3265</v>
      </c>
      <c r="G4434" t="s">
        <v>179</v>
      </c>
      <c r="H4434">
        <v>73</v>
      </c>
      <c r="I4434">
        <v>74.781000000000006</v>
      </c>
      <c r="J4434">
        <v>76.355999999999995</v>
      </c>
      <c r="K4434">
        <v>1.575</v>
      </c>
      <c r="L4434">
        <v>33</v>
      </c>
      <c r="M4434">
        <v>16</v>
      </c>
      <c r="N4434">
        <v>24</v>
      </c>
      <c r="O4434">
        <v>73.614000000000004</v>
      </c>
      <c r="P4434">
        <v>4.9559277599999998</v>
      </c>
      <c r="Q4434">
        <v>12.057</v>
      </c>
    </row>
    <row r="4435" spans="1:17" x14ac:dyDescent="0.2">
      <c r="A4435" s="30" t="str">
        <f>IF(C4435&amp;G4435&amp;D4435&lt;&gt;'Funnel setup'!$K$3&amp;'Funnel setup'!$K$4&amp;'Funnel setup'!$K$5,".",IF(A4434=".",1,A4434+1))</f>
        <v>.</v>
      </c>
      <c r="B4435" s="431" t="str">
        <f t="shared" si="69"/>
        <v>Knee Replacement PrimaryProviderNUFFIELD HEALTH, YORK HOSPITAL (NT245)EQ VAS</v>
      </c>
      <c r="C4435" t="s">
        <v>249</v>
      </c>
      <c r="D4435" t="s">
        <v>1</v>
      </c>
      <c r="E4435" t="s">
        <v>4299</v>
      </c>
      <c r="F4435" t="s">
        <v>4300</v>
      </c>
      <c r="G4435" t="s">
        <v>179</v>
      </c>
      <c r="H4435">
        <v>131</v>
      </c>
      <c r="I4435">
        <v>68.679000000000002</v>
      </c>
      <c r="J4435">
        <v>78.015000000000001</v>
      </c>
      <c r="K4435">
        <v>9.3360000000000003</v>
      </c>
      <c r="L4435">
        <v>87</v>
      </c>
      <c r="M4435">
        <v>13</v>
      </c>
      <c r="N4435">
        <v>31</v>
      </c>
      <c r="O4435">
        <v>75.680000000000007</v>
      </c>
      <c r="P4435">
        <v>7.0217403550000004</v>
      </c>
      <c r="Q4435">
        <v>13.212</v>
      </c>
    </row>
    <row r="4436" spans="1:17" x14ac:dyDescent="0.2">
      <c r="A4436" s="30" t="str">
        <f>IF(C4436&amp;G4436&amp;D4436&lt;&gt;'Funnel setup'!$K$3&amp;'Funnel setup'!$K$4&amp;'Funnel setup'!$K$5,".",IF(A4435=".",1,A4435+1))</f>
        <v>.</v>
      </c>
      <c r="B4436" s="431" t="str">
        <f t="shared" si="69"/>
        <v>Knee Replacement PrimaryProviderNUFFIELD HOSPITAL OXFORD (THE MANOR) (NT244)EQ VAS</v>
      </c>
      <c r="C4436" t="s">
        <v>249</v>
      </c>
      <c r="D4436" t="s">
        <v>1</v>
      </c>
      <c r="E4436" t="s">
        <v>4302</v>
      </c>
      <c r="F4436" t="s">
        <v>4303</v>
      </c>
      <c r="G4436" t="s">
        <v>179</v>
      </c>
      <c r="H4436">
        <v>8</v>
      </c>
      <c r="I4436">
        <v>68.125</v>
      </c>
      <c r="J4436">
        <v>82.75</v>
      </c>
      <c r="K4436">
        <v>14.625</v>
      </c>
      <c r="L4436">
        <v>6</v>
      </c>
      <c r="M4436">
        <v>1</v>
      </c>
      <c r="N4436">
        <v>1</v>
      </c>
      <c r="O4436" t="s">
        <v>53</v>
      </c>
      <c r="P4436" t="s">
        <v>53</v>
      </c>
      <c r="Q4436" t="s">
        <v>53</v>
      </c>
    </row>
    <row r="4437" spans="1:17" x14ac:dyDescent="0.2">
      <c r="A4437" s="30" t="str">
        <f>IF(C4437&amp;G4437&amp;D4437&lt;&gt;'Funnel setup'!$K$3&amp;'Funnel setup'!$K$4&amp;'Funnel setup'!$K$5,".",IF(A4436=".",1,A4436+1))</f>
        <v>.</v>
      </c>
      <c r="B4437" s="431" t="str">
        <f t="shared" si="69"/>
        <v>Knee Replacement PrimaryProviderOAKLANDS HOSPITAL (NVC12)EQ VAS</v>
      </c>
      <c r="C4437" t="s">
        <v>249</v>
      </c>
      <c r="D4437" t="s">
        <v>1</v>
      </c>
      <c r="E4437" t="s">
        <v>3267</v>
      </c>
      <c r="F4437" t="s">
        <v>3268</v>
      </c>
      <c r="G4437" t="s">
        <v>179</v>
      </c>
      <c r="H4437">
        <v>123</v>
      </c>
      <c r="I4437">
        <v>74.894000000000005</v>
      </c>
      <c r="J4437">
        <v>73.861999999999995</v>
      </c>
      <c r="K4437">
        <v>-1.0329999999999999</v>
      </c>
      <c r="L4437">
        <v>53</v>
      </c>
      <c r="M4437">
        <v>16</v>
      </c>
      <c r="N4437">
        <v>54</v>
      </c>
      <c r="O4437">
        <v>73.113</v>
      </c>
      <c r="P4437">
        <v>4.4544156629999998</v>
      </c>
      <c r="Q4437">
        <v>17.849</v>
      </c>
    </row>
    <row r="4438" spans="1:17" x14ac:dyDescent="0.2">
      <c r="A4438" s="30" t="str">
        <f>IF(C4438&amp;G4438&amp;D4438&lt;&gt;'Funnel setup'!$K$3&amp;'Funnel setup'!$K$4&amp;'Funnel setup'!$K$5,".",IF(A4437=".",1,A4437+1))</f>
        <v>.</v>
      </c>
      <c r="B4438" s="431" t="str">
        <f t="shared" si="69"/>
        <v>Knee Replacement PrimaryProviderOAKS HOSPITAL (NVC13)EQ VAS</v>
      </c>
      <c r="C4438" t="s">
        <v>249</v>
      </c>
      <c r="D4438" t="s">
        <v>1</v>
      </c>
      <c r="E4438" t="s">
        <v>3270</v>
      </c>
      <c r="F4438" t="s">
        <v>3271</v>
      </c>
      <c r="G4438" t="s">
        <v>179</v>
      </c>
      <c r="H4438">
        <v>147</v>
      </c>
      <c r="I4438">
        <v>71.98</v>
      </c>
      <c r="J4438">
        <v>78.135999999999996</v>
      </c>
      <c r="K4438">
        <v>6.1559999999999997</v>
      </c>
      <c r="L4438">
        <v>83</v>
      </c>
      <c r="M4438">
        <v>20</v>
      </c>
      <c r="N4438">
        <v>44</v>
      </c>
      <c r="O4438">
        <v>76.433999999999997</v>
      </c>
      <c r="P4438">
        <v>7.7757176259999996</v>
      </c>
      <c r="Q4438">
        <v>13.026999999999999</v>
      </c>
    </row>
    <row r="4439" spans="1:17" x14ac:dyDescent="0.2">
      <c r="A4439" s="30" t="str">
        <f>IF(C4439&amp;G4439&amp;D4439&lt;&gt;'Funnel setup'!$K$3&amp;'Funnel setup'!$K$4&amp;'Funnel setup'!$K$5,".",IF(A4438=".",1,A4438+1))</f>
        <v>.</v>
      </c>
      <c r="B4439" s="431" t="str">
        <f t="shared" si="69"/>
        <v>Knee Replacement PrimaryProviderONE HEALTH GROUP LTD (NTX01)EQ VAS</v>
      </c>
      <c r="C4439" t="s">
        <v>249</v>
      </c>
      <c r="D4439" t="s">
        <v>1</v>
      </c>
      <c r="E4439" t="s">
        <v>6507</v>
      </c>
      <c r="F4439" t="s">
        <v>6508</v>
      </c>
      <c r="G4439" t="s">
        <v>179</v>
      </c>
      <c r="H4439">
        <v>34</v>
      </c>
      <c r="I4439">
        <v>71.234999999999999</v>
      </c>
      <c r="J4439">
        <v>77.058999999999997</v>
      </c>
      <c r="K4439">
        <v>5.8239999999999998</v>
      </c>
      <c r="L4439">
        <v>18</v>
      </c>
      <c r="M4439">
        <v>7</v>
      </c>
      <c r="N4439">
        <v>9</v>
      </c>
      <c r="O4439">
        <v>73.674999999999997</v>
      </c>
      <c r="P4439">
        <v>5.0163725379999997</v>
      </c>
      <c r="Q4439">
        <v>14.497999999999999</v>
      </c>
    </row>
    <row r="4440" spans="1:17" x14ac:dyDescent="0.2">
      <c r="A4440" s="30" t="str">
        <f>IF(C4440&amp;G4440&amp;D4440&lt;&gt;'Funnel setup'!$K$3&amp;'Funnel setup'!$K$4&amp;'Funnel setup'!$K$5,".",IF(A4439=".",1,A4439+1))</f>
        <v>.</v>
      </c>
      <c r="B4440" s="431" t="str">
        <f t="shared" si="69"/>
        <v>Knee Replacement PrimaryProviderOXFORD UNIVERSITY HOSPITALS NHS FOUNDATION TRUST (RTH)EQ VAS</v>
      </c>
      <c r="C4440" t="s">
        <v>249</v>
      </c>
      <c r="D4440" t="s">
        <v>1</v>
      </c>
      <c r="E4440" t="s">
        <v>3278</v>
      </c>
      <c r="F4440" t="s">
        <v>6578</v>
      </c>
      <c r="G4440" t="s">
        <v>179</v>
      </c>
      <c r="H4440">
        <v>241</v>
      </c>
      <c r="I4440">
        <v>67.876000000000005</v>
      </c>
      <c r="J4440">
        <v>74.314999999999998</v>
      </c>
      <c r="K4440">
        <v>6.44</v>
      </c>
      <c r="L4440">
        <v>139</v>
      </c>
      <c r="M4440">
        <v>30</v>
      </c>
      <c r="N4440">
        <v>72</v>
      </c>
      <c r="O4440">
        <v>74.364000000000004</v>
      </c>
      <c r="P4440">
        <v>5.7057587620000003</v>
      </c>
      <c r="Q4440">
        <v>16.530999999999999</v>
      </c>
    </row>
    <row r="4441" spans="1:17" x14ac:dyDescent="0.2">
      <c r="A4441" s="30" t="str">
        <f>IF(C4441&amp;G4441&amp;D4441&lt;&gt;'Funnel setup'!$K$3&amp;'Funnel setup'!$K$4&amp;'Funnel setup'!$K$5,".",IF(A4440=".",1,A4440+1))</f>
        <v>.</v>
      </c>
      <c r="B4441" s="431" t="str">
        <f t="shared" si="69"/>
        <v>Knee Replacement PrimaryProviderPARK HILL HOSPITAL (NVC14)EQ VAS</v>
      </c>
      <c r="C4441" t="s">
        <v>249</v>
      </c>
      <c r="D4441" t="s">
        <v>1</v>
      </c>
      <c r="E4441" t="s">
        <v>3280</v>
      </c>
      <c r="F4441" t="s">
        <v>3281</v>
      </c>
      <c r="G4441" t="s">
        <v>179</v>
      </c>
      <c r="H4441">
        <v>30</v>
      </c>
      <c r="I4441">
        <v>71.533000000000001</v>
      </c>
      <c r="J4441">
        <v>74.766999999999996</v>
      </c>
      <c r="K4441">
        <v>3.2330000000000001</v>
      </c>
      <c r="L4441">
        <v>14</v>
      </c>
      <c r="M4441">
        <v>5</v>
      </c>
      <c r="N4441">
        <v>11</v>
      </c>
      <c r="O4441">
        <v>74.478999999999999</v>
      </c>
      <c r="P4441">
        <v>5.82106952</v>
      </c>
      <c r="Q4441">
        <v>17.667999999999999</v>
      </c>
    </row>
    <row r="4442" spans="1:17" x14ac:dyDescent="0.2">
      <c r="A4442" s="30" t="str">
        <f>IF(C4442&amp;G4442&amp;D4442&lt;&gt;'Funnel setup'!$K$3&amp;'Funnel setup'!$K$4&amp;'Funnel setup'!$K$5,".",IF(A4441=".",1,A4441+1))</f>
        <v>.</v>
      </c>
      <c r="B4442" s="431" t="str">
        <f t="shared" si="69"/>
        <v>Knee Replacement PrimaryProviderPENINSULA NHS TREATMENT CENTRE (NTPH5)EQ VAS</v>
      </c>
      <c r="C4442" t="s">
        <v>249</v>
      </c>
      <c r="D4442" t="s">
        <v>1</v>
      </c>
      <c r="E4442" t="s">
        <v>4285</v>
      </c>
      <c r="F4442" t="s">
        <v>4286</v>
      </c>
      <c r="G4442" t="s">
        <v>179</v>
      </c>
      <c r="H4442">
        <v>213</v>
      </c>
      <c r="I4442">
        <v>74.957999999999998</v>
      </c>
      <c r="J4442">
        <v>79.600999999999999</v>
      </c>
      <c r="K4442">
        <v>4.6429999999999998</v>
      </c>
      <c r="L4442">
        <v>107</v>
      </c>
      <c r="M4442">
        <v>34</v>
      </c>
      <c r="N4442">
        <v>72</v>
      </c>
      <c r="O4442">
        <v>75.593000000000004</v>
      </c>
      <c r="P4442">
        <v>6.9345920980000004</v>
      </c>
      <c r="Q4442">
        <v>14.388</v>
      </c>
    </row>
    <row r="4443" spans="1:17" x14ac:dyDescent="0.2">
      <c r="A4443" s="30" t="str">
        <f>IF(C4443&amp;G4443&amp;D4443&lt;&gt;'Funnel setup'!$K$3&amp;'Funnel setup'!$K$4&amp;'Funnel setup'!$K$5,".",IF(A4442=".",1,A4442+1))</f>
        <v>.</v>
      </c>
      <c r="B4443" s="431" t="str">
        <f t="shared" si="69"/>
        <v>Knee Replacement PrimaryProviderPENNINE ACUTE HOSPITALS NHS TRUST (RW6)EQ VAS</v>
      </c>
      <c r="C4443" t="s">
        <v>249</v>
      </c>
      <c r="D4443" t="s">
        <v>1</v>
      </c>
      <c r="E4443" t="s">
        <v>3216</v>
      </c>
      <c r="F4443" t="s">
        <v>3217</v>
      </c>
      <c r="G4443" t="s">
        <v>179</v>
      </c>
      <c r="H4443">
        <v>159</v>
      </c>
      <c r="I4443">
        <v>62.207999999999998</v>
      </c>
      <c r="J4443">
        <v>68.126000000000005</v>
      </c>
      <c r="K4443">
        <v>5.9180000000000001</v>
      </c>
      <c r="L4443">
        <v>81</v>
      </c>
      <c r="M4443">
        <v>23</v>
      </c>
      <c r="N4443">
        <v>55</v>
      </c>
      <c r="O4443">
        <v>72.772000000000006</v>
      </c>
      <c r="P4443">
        <v>4.1139822019999999</v>
      </c>
      <c r="Q4443">
        <v>17.292999999999999</v>
      </c>
    </row>
    <row r="4444" spans="1:17" x14ac:dyDescent="0.2">
      <c r="A4444" s="30" t="str">
        <f>IF(C4444&amp;G4444&amp;D4444&lt;&gt;'Funnel setup'!$K$3&amp;'Funnel setup'!$K$4&amp;'Funnel setup'!$K$5,".",IF(A4443=".",1,A4443+1))</f>
        <v>.</v>
      </c>
      <c r="B4444" s="431" t="str">
        <f t="shared" si="69"/>
        <v>Knee Replacement PrimaryProviderPETERBOROUGH AND STAMFORD HOSPITALS NHS FOUNDATION TRUST (RGN)EQ VAS</v>
      </c>
      <c r="C4444" t="s">
        <v>249</v>
      </c>
      <c r="D4444" t="s">
        <v>1</v>
      </c>
      <c r="E4444" t="s">
        <v>3219</v>
      </c>
      <c r="F4444" t="s">
        <v>3220</v>
      </c>
      <c r="G4444" t="s">
        <v>179</v>
      </c>
      <c r="H4444">
        <v>211</v>
      </c>
      <c r="I4444">
        <v>68.980999999999995</v>
      </c>
      <c r="J4444">
        <v>74.787000000000006</v>
      </c>
      <c r="K4444">
        <v>5.806</v>
      </c>
      <c r="L4444">
        <v>112</v>
      </c>
      <c r="M4444">
        <v>30</v>
      </c>
      <c r="N4444">
        <v>69</v>
      </c>
      <c r="O4444">
        <v>74.304000000000002</v>
      </c>
      <c r="P4444">
        <v>5.6457271340000004</v>
      </c>
      <c r="Q4444">
        <v>16.143000000000001</v>
      </c>
    </row>
    <row r="4445" spans="1:17" x14ac:dyDescent="0.2">
      <c r="A4445" s="30" t="str">
        <f>IF(C4445&amp;G4445&amp;D4445&lt;&gt;'Funnel setup'!$K$3&amp;'Funnel setup'!$K$4&amp;'Funnel setup'!$K$5,".",IF(A4444=".",1,A4444+1))</f>
        <v>.</v>
      </c>
      <c r="B4445" s="431" t="str">
        <f t="shared" si="69"/>
        <v>Knee Replacement PrimaryProviderPINEHILL HOSPITAL (NVC15)EQ VAS</v>
      </c>
      <c r="C4445" t="s">
        <v>249</v>
      </c>
      <c r="D4445" t="s">
        <v>1</v>
      </c>
      <c r="E4445" t="s">
        <v>3222</v>
      </c>
      <c r="F4445" t="s">
        <v>3223</v>
      </c>
      <c r="G4445" t="s">
        <v>179</v>
      </c>
      <c r="H4445">
        <v>33</v>
      </c>
      <c r="I4445">
        <v>76.817999999999998</v>
      </c>
      <c r="J4445">
        <v>76.152000000000001</v>
      </c>
      <c r="K4445">
        <v>-0.66700000000000004</v>
      </c>
      <c r="L4445">
        <v>17</v>
      </c>
      <c r="M4445">
        <v>1</v>
      </c>
      <c r="N4445">
        <v>15</v>
      </c>
      <c r="O4445">
        <v>73.739000000000004</v>
      </c>
      <c r="P4445">
        <v>5.080287223</v>
      </c>
      <c r="Q4445">
        <v>16.815000000000001</v>
      </c>
    </row>
    <row r="4446" spans="1:17" x14ac:dyDescent="0.2">
      <c r="A4446" s="30" t="str">
        <f>IF(C4446&amp;G4446&amp;D4446&lt;&gt;'Funnel setup'!$K$3&amp;'Funnel setup'!$K$4&amp;'Funnel setup'!$K$5,".",IF(A4445=".",1,A4445+1))</f>
        <v>.</v>
      </c>
      <c r="B4446" s="431" t="str">
        <f t="shared" si="69"/>
        <v>Knee Replacement PrimaryProviderPLYMOUTH HOSPITALS NHS TRUST (RK9)EQ VAS</v>
      </c>
      <c r="C4446" t="s">
        <v>249</v>
      </c>
      <c r="D4446" t="s">
        <v>1</v>
      </c>
      <c r="E4446" t="s">
        <v>3225</v>
      </c>
      <c r="F4446" t="s">
        <v>3226</v>
      </c>
      <c r="G4446" t="s">
        <v>179</v>
      </c>
      <c r="H4446">
        <v>199</v>
      </c>
      <c r="I4446">
        <v>64.221000000000004</v>
      </c>
      <c r="J4446">
        <v>71.165999999999997</v>
      </c>
      <c r="K4446">
        <v>6.9450000000000003</v>
      </c>
      <c r="L4446">
        <v>120</v>
      </c>
      <c r="M4446">
        <v>20</v>
      </c>
      <c r="N4446">
        <v>59</v>
      </c>
      <c r="O4446">
        <v>73.287000000000006</v>
      </c>
      <c r="P4446">
        <v>4.6290983399999996</v>
      </c>
      <c r="Q4446">
        <v>16.192</v>
      </c>
    </row>
    <row r="4447" spans="1:17" x14ac:dyDescent="0.2">
      <c r="A4447" s="30" t="str">
        <f>IF(C4447&amp;G4447&amp;D4447&lt;&gt;'Funnel setup'!$K$3&amp;'Funnel setup'!$K$4&amp;'Funnel setup'!$K$5,".",IF(A4446=".",1,A4446+1))</f>
        <v>.</v>
      </c>
      <c r="B4447" s="431" t="str">
        <f t="shared" si="69"/>
        <v>Knee Replacement PrimaryProviderPORTSMOUTH HOSPITALS NHS TRUST (RHU)EQ VAS</v>
      </c>
      <c r="C4447" t="s">
        <v>249</v>
      </c>
      <c r="D4447" t="s">
        <v>1</v>
      </c>
      <c r="E4447" t="s">
        <v>3234</v>
      </c>
      <c r="F4447" t="s">
        <v>3235</v>
      </c>
      <c r="G4447" t="s">
        <v>179</v>
      </c>
      <c r="H4447">
        <v>134</v>
      </c>
      <c r="I4447">
        <v>70.507000000000005</v>
      </c>
      <c r="J4447">
        <v>74.881</v>
      </c>
      <c r="K4447">
        <v>4.3730000000000002</v>
      </c>
      <c r="L4447">
        <v>75</v>
      </c>
      <c r="M4447">
        <v>22</v>
      </c>
      <c r="N4447">
        <v>37</v>
      </c>
      <c r="O4447">
        <v>73.87</v>
      </c>
      <c r="P4447">
        <v>5.2115353320000004</v>
      </c>
      <c r="Q4447">
        <v>16.861000000000001</v>
      </c>
    </row>
    <row r="4448" spans="1:17" x14ac:dyDescent="0.2">
      <c r="A4448" s="30" t="str">
        <f>IF(C4448&amp;G4448&amp;D4448&lt;&gt;'Funnel setup'!$K$3&amp;'Funnel setup'!$K$4&amp;'Funnel setup'!$K$5,".",IF(A4447=".",1,A4447+1))</f>
        <v>.</v>
      </c>
      <c r="B4448" s="431" t="str">
        <f t="shared" si="69"/>
        <v>Knee Replacement PrimaryProviderRENACRES HOSPITAL (NVC16)EQ VAS</v>
      </c>
      <c r="C4448" t="s">
        <v>249</v>
      </c>
      <c r="D4448" t="s">
        <v>1</v>
      </c>
      <c r="E4448" t="s">
        <v>3237</v>
      </c>
      <c r="F4448" t="s">
        <v>3238</v>
      </c>
      <c r="G4448" t="s">
        <v>179</v>
      </c>
      <c r="H4448">
        <v>49</v>
      </c>
      <c r="I4448">
        <v>71.489999999999995</v>
      </c>
      <c r="J4448">
        <v>74.653000000000006</v>
      </c>
      <c r="K4448">
        <v>3.1629999999999998</v>
      </c>
      <c r="L4448">
        <v>23</v>
      </c>
      <c r="M4448">
        <v>4</v>
      </c>
      <c r="N4448">
        <v>22</v>
      </c>
      <c r="O4448">
        <v>71.826999999999998</v>
      </c>
      <c r="P4448">
        <v>3.1682122939999999</v>
      </c>
      <c r="Q4448">
        <v>14.956</v>
      </c>
    </row>
    <row r="4449" spans="1:17" x14ac:dyDescent="0.2">
      <c r="A4449" s="30" t="str">
        <f>IF(C4449&amp;G4449&amp;D4449&lt;&gt;'Funnel setup'!$K$3&amp;'Funnel setup'!$K$4&amp;'Funnel setup'!$K$5,".",IF(A4448=".",1,A4448+1))</f>
        <v>.</v>
      </c>
      <c r="B4449" s="431" t="str">
        <f t="shared" si="69"/>
        <v>Knee Replacement PrimaryProviderRIVERS HOSPITAL (NVC19)EQ VAS</v>
      </c>
      <c r="C4449" t="s">
        <v>249</v>
      </c>
      <c r="D4449" t="s">
        <v>1</v>
      </c>
      <c r="E4449" t="s">
        <v>3204</v>
      </c>
      <c r="F4449" t="s">
        <v>3205</v>
      </c>
      <c r="G4449" t="s">
        <v>179</v>
      </c>
      <c r="H4449">
        <v>71</v>
      </c>
      <c r="I4449">
        <v>68.760999999999996</v>
      </c>
      <c r="J4449">
        <v>76.408000000000001</v>
      </c>
      <c r="K4449">
        <v>7.6479999999999997</v>
      </c>
      <c r="L4449">
        <v>45</v>
      </c>
      <c r="M4449">
        <v>11</v>
      </c>
      <c r="N4449">
        <v>15</v>
      </c>
      <c r="O4449">
        <v>74.97</v>
      </c>
      <c r="P4449">
        <v>6.3117929950000002</v>
      </c>
      <c r="Q4449">
        <v>14.954000000000001</v>
      </c>
    </row>
    <row r="4450" spans="1:17" x14ac:dyDescent="0.2">
      <c r="A4450" s="30" t="str">
        <f>IF(C4450&amp;G4450&amp;D4450&lt;&gt;'Funnel setup'!$K$3&amp;'Funnel setup'!$K$4&amp;'Funnel setup'!$K$5,".",IF(A4449=".",1,A4449+1))</f>
        <v>.</v>
      </c>
      <c r="B4450" s="431" t="str">
        <f t="shared" si="69"/>
        <v>Knee Replacement PrimaryProviderROWLEY HALL HOSPITAL (NVC17)EQ VAS</v>
      </c>
      <c r="C4450" t="s">
        <v>249</v>
      </c>
      <c r="D4450" t="s">
        <v>1</v>
      </c>
      <c r="E4450" t="s">
        <v>3207</v>
      </c>
      <c r="F4450" t="s">
        <v>3208</v>
      </c>
      <c r="G4450" t="s">
        <v>179</v>
      </c>
      <c r="H4450">
        <v>42</v>
      </c>
      <c r="I4450">
        <v>65.881</v>
      </c>
      <c r="J4450">
        <v>71.19</v>
      </c>
      <c r="K4450">
        <v>5.31</v>
      </c>
      <c r="L4450">
        <v>25</v>
      </c>
      <c r="M4450">
        <v>4</v>
      </c>
      <c r="N4450">
        <v>13</v>
      </c>
      <c r="O4450">
        <v>71.561000000000007</v>
      </c>
      <c r="P4450">
        <v>2.9022191130000001</v>
      </c>
      <c r="Q4450">
        <v>19.093</v>
      </c>
    </row>
    <row r="4451" spans="1:17" x14ac:dyDescent="0.2">
      <c r="A4451" s="30" t="str">
        <f>IF(C4451&amp;G4451&amp;D4451&lt;&gt;'Funnel setup'!$K$3&amp;'Funnel setup'!$K$4&amp;'Funnel setup'!$K$5,".",IF(A4450=".",1,A4450+1))</f>
        <v>.</v>
      </c>
      <c r="B4451" s="431" t="str">
        <f t="shared" si="69"/>
        <v>Knee Replacement PrimaryProviderROYAL BERKSHIRE NHS FOUNDATION TRUST (RHW)EQ VAS</v>
      </c>
      <c r="C4451" t="s">
        <v>249</v>
      </c>
      <c r="D4451" t="s">
        <v>1</v>
      </c>
      <c r="E4451" t="s">
        <v>3832</v>
      </c>
      <c r="F4451" t="s">
        <v>3833</v>
      </c>
      <c r="G4451" t="s">
        <v>179</v>
      </c>
      <c r="H4451">
        <v>115</v>
      </c>
      <c r="I4451">
        <v>69.147999999999996</v>
      </c>
      <c r="J4451">
        <v>76.183000000000007</v>
      </c>
      <c r="K4451">
        <v>7.0350000000000001</v>
      </c>
      <c r="L4451">
        <v>63</v>
      </c>
      <c r="M4451">
        <v>18</v>
      </c>
      <c r="N4451">
        <v>34</v>
      </c>
      <c r="O4451">
        <v>74.787000000000006</v>
      </c>
      <c r="P4451">
        <v>6.1282472129999999</v>
      </c>
      <c r="Q4451">
        <v>15.638999999999999</v>
      </c>
    </row>
    <row r="4452" spans="1:17" x14ac:dyDescent="0.2">
      <c r="A4452" s="30" t="str">
        <f>IF(C4452&amp;G4452&amp;D4452&lt;&gt;'Funnel setup'!$K$3&amp;'Funnel setup'!$K$4&amp;'Funnel setup'!$K$5,".",IF(A4451=".",1,A4451+1))</f>
        <v>.</v>
      </c>
      <c r="B4452" s="431" t="str">
        <f t="shared" si="69"/>
        <v>Knee Replacement PrimaryProviderROYAL CORNWALL HOSPITALS NHS TRUST (REF)EQ VAS</v>
      </c>
      <c r="C4452" t="s">
        <v>249</v>
      </c>
      <c r="D4452" t="s">
        <v>1</v>
      </c>
      <c r="E4452" t="s">
        <v>3745</v>
      </c>
      <c r="F4452" t="s">
        <v>3746</v>
      </c>
      <c r="G4452" t="s">
        <v>179</v>
      </c>
      <c r="H4452">
        <v>214</v>
      </c>
      <c r="I4452">
        <v>67.564999999999998</v>
      </c>
      <c r="J4452">
        <v>74.971999999999994</v>
      </c>
      <c r="K4452">
        <v>7.407</v>
      </c>
      <c r="L4452">
        <v>127</v>
      </c>
      <c r="M4452">
        <v>28</v>
      </c>
      <c r="N4452">
        <v>59</v>
      </c>
      <c r="O4452">
        <v>76.340999999999994</v>
      </c>
      <c r="P4452">
        <v>7.6822521940000001</v>
      </c>
      <c r="Q4452">
        <v>15.648</v>
      </c>
    </row>
    <row r="4453" spans="1:17" x14ac:dyDescent="0.2">
      <c r="A4453" s="30" t="str">
        <f>IF(C4453&amp;G4453&amp;D4453&lt;&gt;'Funnel setup'!$K$3&amp;'Funnel setup'!$K$4&amp;'Funnel setup'!$K$5,".",IF(A4452=".",1,A4452+1))</f>
        <v>.</v>
      </c>
      <c r="B4453" s="431" t="str">
        <f t="shared" si="69"/>
        <v>Knee Replacement PrimaryProviderROYAL DEVON AND EXETER NHS FOUNDATION TRUST (RH8)EQ VAS</v>
      </c>
      <c r="C4453" t="s">
        <v>249</v>
      </c>
      <c r="D4453" t="s">
        <v>1</v>
      </c>
      <c r="E4453" t="s">
        <v>3442</v>
      </c>
      <c r="F4453" t="s">
        <v>3443</v>
      </c>
      <c r="G4453" t="s">
        <v>179</v>
      </c>
      <c r="H4453">
        <v>403</v>
      </c>
      <c r="I4453">
        <v>69.691999999999993</v>
      </c>
      <c r="J4453">
        <v>76</v>
      </c>
      <c r="K4453">
        <v>6.3079999999999998</v>
      </c>
      <c r="L4453">
        <v>240</v>
      </c>
      <c r="M4453">
        <v>44</v>
      </c>
      <c r="N4453">
        <v>119</v>
      </c>
      <c r="O4453">
        <v>75.69</v>
      </c>
      <c r="P4453">
        <v>7.0319280830000004</v>
      </c>
      <c r="Q4453">
        <v>15.228</v>
      </c>
    </row>
    <row r="4454" spans="1:17" x14ac:dyDescent="0.2">
      <c r="A4454" s="30" t="str">
        <f>IF(C4454&amp;G4454&amp;D4454&lt;&gt;'Funnel setup'!$K$3&amp;'Funnel setup'!$K$4&amp;'Funnel setup'!$K$5,".",IF(A4453=".",1,A4453+1))</f>
        <v>.</v>
      </c>
      <c r="B4454" s="431" t="str">
        <f t="shared" si="69"/>
        <v>Knee Replacement PrimaryProviderROYAL FREE LONDON NHS FOUNDATION TRUST (RAL)EQ VAS</v>
      </c>
      <c r="C4454" t="s">
        <v>249</v>
      </c>
      <c r="D4454" t="s">
        <v>1</v>
      </c>
      <c r="E4454" t="s">
        <v>3445</v>
      </c>
      <c r="F4454" t="s">
        <v>3446</v>
      </c>
      <c r="G4454" t="s">
        <v>179</v>
      </c>
      <c r="H4454">
        <v>150</v>
      </c>
      <c r="I4454">
        <v>60.9</v>
      </c>
      <c r="J4454">
        <v>68.192999999999998</v>
      </c>
      <c r="K4454">
        <v>7.2930000000000001</v>
      </c>
      <c r="L4454">
        <v>86</v>
      </c>
      <c r="M4454">
        <v>15</v>
      </c>
      <c r="N4454">
        <v>49</v>
      </c>
      <c r="O4454">
        <v>72.491</v>
      </c>
      <c r="P4454">
        <v>3.8322693760000002</v>
      </c>
      <c r="Q4454">
        <v>17.356999999999999</v>
      </c>
    </row>
    <row r="4455" spans="1:17" x14ac:dyDescent="0.2">
      <c r="A4455" s="30" t="str">
        <f>IF(C4455&amp;G4455&amp;D4455&lt;&gt;'Funnel setup'!$K$3&amp;'Funnel setup'!$K$4&amp;'Funnel setup'!$K$5,".",IF(A4454=".",1,A4454+1))</f>
        <v>.</v>
      </c>
      <c r="B4455" s="431" t="str">
        <f t="shared" si="69"/>
        <v>Knee Replacement PrimaryProviderROYAL LIVERPOOL AND BROADGREEN UNIVERSITY HOSPITALS NHS TRUST (RQ6)EQ VAS</v>
      </c>
      <c r="C4455" t="s">
        <v>249</v>
      </c>
      <c r="D4455" t="s">
        <v>1</v>
      </c>
      <c r="E4455" t="s">
        <v>3448</v>
      </c>
      <c r="F4455" t="s">
        <v>3449</v>
      </c>
      <c r="G4455" t="s">
        <v>179</v>
      </c>
      <c r="H4455">
        <v>129</v>
      </c>
      <c r="I4455">
        <v>65.775000000000006</v>
      </c>
      <c r="J4455">
        <v>70.349000000000004</v>
      </c>
      <c r="K4455">
        <v>4.5739999999999998</v>
      </c>
      <c r="L4455">
        <v>65</v>
      </c>
      <c r="M4455">
        <v>14</v>
      </c>
      <c r="N4455">
        <v>50</v>
      </c>
      <c r="O4455">
        <v>72.941999999999993</v>
      </c>
      <c r="P4455">
        <v>4.2841022820000001</v>
      </c>
      <c r="Q4455">
        <v>15.558</v>
      </c>
    </row>
    <row r="4456" spans="1:17" x14ac:dyDescent="0.2">
      <c r="A4456" s="30" t="str">
        <f>IF(C4456&amp;G4456&amp;D4456&lt;&gt;'Funnel setup'!$K$3&amp;'Funnel setup'!$K$4&amp;'Funnel setup'!$K$5,".",IF(A4455=".",1,A4455+1))</f>
        <v>.</v>
      </c>
      <c r="B4456" s="431" t="str">
        <f t="shared" si="69"/>
        <v>Knee Replacement PrimaryProviderROYAL NATIONAL ORTHOPAEDIC HOSPITAL NHS TRUST (RAN)EQ VAS</v>
      </c>
      <c r="C4456" t="s">
        <v>249</v>
      </c>
      <c r="D4456" t="s">
        <v>1</v>
      </c>
      <c r="E4456" t="s">
        <v>4378</v>
      </c>
      <c r="F4456" t="s">
        <v>4379</v>
      </c>
      <c r="G4456" t="s">
        <v>179</v>
      </c>
      <c r="H4456">
        <v>94</v>
      </c>
      <c r="I4456">
        <v>65.956999999999994</v>
      </c>
      <c r="J4456">
        <v>71.552999999999997</v>
      </c>
      <c r="K4456">
        <v>5.5960000000000001</v>
      </c>
      <c r="L4456">
        <v>52</v>
      </c>
      <c r="M4456">
        <v>15</v>
      </c>
      <c r="N4456">
        <v>27</v>
      </c>
      <c r="O4456">
        <v>73.87</v>
      </c>
      <c r="P4456">
        <v>5.2112068010000003</v>
      </c>
      <c r="Q4456">
        <v>13.84</v>
      </c>
    </row>
    <row r="4457" spans="1:17" x14ac:dyDescent="0.2">
      <c r="A4457" s="30" t="str">
        <f>IF(C4457&amp;G4457&amp;D4457&lt;&gt;'Funnel setup'!$K$3&amp;'Funnel setup'!$K$4&amp;'Funnel setup'!$K$5,".",IF(A4456=".",1,A4456+1))</f>
        <v>.</v>
      </c>
      <c r="B4457" s="431" t="str">
        <f t="shared" si="69"/>
        <v>Knee Replacement PrimaryProviderROYAL SURREY COUNTY HOSPITAL NHS FOUNDATION TRUST (RA2)EQ VAS</v>
      </c>
      <c r="C4457" t="s">
        <v>249</v>
      </c>
      <c r="D4457" t="s">
        <v>1</v>
      </c>
      <c r="E4457" t="s">
        <v>3451</v>
      </c>
      <c r="F4457" t="s">
        <v>3452</v>
      </c>
      <c r="G4457" t="s">
        <v>179</v>
      </c>
      <c r="H4457">
        <v>101</v>
      </c>
      <c r="I4457">
        <v>70.058999999999997</v>
      </c>
      <c r="J4457">
        <v>78.376000000000005</v>
      </c>
      <c r="K4457">
        <v>8.3170000000000002</v>
      </c>
      <c r="L4457">
        <v>62</v>
      </c>
      <c r="M4457">
        <v>10</v>
      </c>
      <c r="N4457">
        <v>29</v>
      </c>
      <c r="O4457">
        <v>75.945999999999998</v>
      </c>
      <c r="P4457">
        <v>7.2873406559999996</v>
      </c>
      <c r="Q4457">
        <v>13.891999999999999</v>
      </c>
    </row>
    <row r="4458" spans="1:17" x14ac:dyDescent="0.2">
      <c r="A4458" s="30" t="str">
        <f>IF(C4458&amp;G4458&amp;D4458&lt;&gt;'Funnel setup'!$K$3&amp;'Funnel setup'!$K$4&amp;'Funnel setup'!$K$5,".",IF(A4457=".",1,A4457+1))</f>
        <v>.</v>
      </c>
      <c r="B4458" s="431" t="str">
        <f t="shared" si="69"/>
        <v>Knee Replacement PrimaryProviderROYAL UNITED HOSPITALS BATH NHS FOUNDATION TRUST (RD1)EQ VAS</v>
      </c>
      <c r="C4458" t="s">
        <v>249</v>
      </c>
      <c r="D4458" t="s">
        <v>1</v>
      </c>
      <c r="E4458" t="s">
        <v>3454</v>
      </c>
      <c r="F4458" t="s">
        <v>3455</v>
      </c>
      <c r="G4458" t="s">
        <v>179</v>
      </c>
      <c r="H4458">
        <v>156</v>
      </c>
      <c r="I4458">
        <v>65.34</v>
      </c>
      <c r="J4458">
        <v>72.936000000000007</v>
      </c>
      <c r="K4458">
        <v>7.5960000000000001</v>
      </c>
      <c r="L4458">
        <v>87</v>
      </c>
      <c r="M4458">
        <v>25</v>
      </c>
      <c r="N4458">
        <v>44</v>
      </c>
      <c r="O4458">
        <v>74.721000000000004</v>
      </c>
      <c r="P4458">
        <v>6.0627995160000001</v>
      </c>
      <c r="Q4458">
        <v>15.628</v>
      </c>
    </row>
    <row r="4459" spans="1:17" x14ac:dyDescent="0.2">
      <c r="A4459" s="30" t="str">
        <f>IF(C4459&amp;G4459&amp;D4459&lt;&gt;'Funnel setup'!$K$3&amp;'Funnel setup'!$K$4&amp;'Funnel setup'!$K$5,".",IF(A4458=".",1,A4458+1))</f>
        <v>.</v>
      </c>
      <c r="B4459" s="431" t="str">
        <f t="shared" si="69"/>
        <v>Knee Replacement PrimaryProviderSALFORD ROYAL NHS FOUNDATION TRUST (RM3)EQ VAS</v>
      </c>
      <c r="C4459" t="s">
        <v>249</v>
      </c>
      <c r="D4459" t="s">
        <v>1</v>
      </c>
      <c r="E4459" t="s">
        <v>3457</v>
      </c>
      <c r="F4459" t="s">
        <v>3458</v>
      </c>
      <c r="G4459" t="s">
        <v>179</v>
      </c>
      <c r="H4459">
        <v>78</v>
      </c>
      <c r="I4459">
        <v>62.128</v>
      </c>
      <c r="J4459">
        <v>68.281999999999996</v>
      </c>
      <c r="K4459">
        <v>6.1539999999999999</v>
      </c>
      <c r="L4459">
        <v>43</v>
      </c>
      <c r="M4459">
        <v>10</v>
      </c>
      <c r="N4459">
        <v>25</v>
      </c>
      <c r="O4459">
        <v>73.176000000000002</v>
      </c>
      <c r="P4459">
        <v>4.5181496389999998</v>
      </c>
      <c r="Q4459">
        <v>17.298999999999999</v>
      </c>
    </row>
    <row r="4460" spans="1:17" x14ac:dyDescent="0.2">
      <c r="A4460" s="30" t="str">
        <f>IF(C4460&amp;G4460&amp;D4460&lt;&gt;'Funnel setup'!$K$3&amp;'Funnel setup'!$K$4&amp;'Funnel setup'!$K$5,".",IF(A4459=".",1,A4459+1))</f>
        <v>.</v>
      </c>
      <c r="B4460" s="431" t="str">
        <f t="shared" si="69"/>
        <v>Knee Replacement PrimaryProviderSALISBURY NHS FOUNDATION TRUST (RNZ)EQ VAS</v>
      </c>
      <c r="C4460" t="s">
        <v>249</v>
      </c>
      <c r="D4460" t="s">
        <v>1</v>
      </c>
      <c r="E4460" t="s">
        <v>3460</v>
      </c>
      <c r="F4460" t="s">
        <v>3461</v>
      </c>
      <c r="G4460" t="s">
        <v>179</v>
      </c>
      <c r="H4460">
        <v>190</v>
      </c>
      <c r="I4460">
        <v>69.863</v>
      </c>
      <c r="J4460">
        <v>75.558000000000007</v>
      </c>
      <c r="K4460">
        <v>5.6950000000000003</v>
      </c>
      <c r="L4460">
        <v>105</v>
      </c>
      <c r="M4460">
        <v>27</v>
      </c>
      <c r="N4460">
        <v>58</v>
      </c>
      <c r="O4460">
        <v>74.408000000000001</v>
      </c>
      <c r="P4460">
        <v>5.7494647900000002</v>
      </c>
      <c r="Q4460">
        <v>14.877000000000001</v>
      </c>
    </row>
    <row r="4461" spans="1:17" x14ac:dyDescent="0.2">
      <c r="A4461" s="30" t="str">
        <f>IF(C4461&amp;G4461&amp;D4461&lt;&gt;'Funnel setup'!$K$3&amp;'Funnel setup'!$K$4&amp;'Funnel setup'!$K$5,".",IF(A4460=".",1,A4460+1))</f>
        <v>.</v>
      </c>
      <c r="B4461" s="431" t="str">
        <f t="shared" si="69"/>
        <v>Knee Replacement PrimaryProviderSANDWELL AND WEST BIRMINGHAM HOSPITALS NHS TRUST (RXK)EQ VAS</v>
      </c>
      <c r="C4461" t="s">
        <v>249</v>
      </c>
      <c r="D4461" t="s">
        <v>1</v>
      </c>
      <c r="E4461" t="s">
        <v>3463</v>
      </c>
      <c r="F4461" t="s">
        <v>3464</v>
      </c>
      <c r="G4461" t="s">
        <v>179</v>
      </c>
      <c r="H4461">
        <v>156</v>
      </c>
      <c r="I4461">
        <v>64.179000000000002</v>
      </c>
      <c r="J4461">
        <v>70.519000000000005</v>
      </c>
      <c r="K4461">
        <v>6.34</v>
      </c>
      <c r="L4461">
        <v>84</v>
      </c>
      <c r="M4461">
        <v>21</v>
      </c>
      <c r="N4461">
        <v>51</v>
      </c>
      <c r="O4461">
        <v>75.497</v>
      </c>
      <c r="P4461">
        <v>6.8386326740000003</v>
      </c>
      <c r="Q4461">
        <v>17.303999999999998</v>
      </c>
    </row>
    <row r="4462" spans="1:17" x14ac:dyDescent="0.2">
      <c r="A4462" s="30" t="str">
        <f>IF(C4462&amp;G4462&amp;D4462&lt;&gt;'Funnel setup'!$K$3&amp;'Funnel setup'!$K$4&amp;'Funnel setup'!$K$5,".",IF(A4461=".",1,A4461+1))</f>
        <v>.</v>
      </c>
      <c r="B4462" s="431" t="str">
        <f t="shared" si="69"/>
        <v>Knee Replacement PrimaryProviderSHEFFIELD TEACHING HOSPITALS NHS FOUNDATION TRUST (RHQ)EQ VAS</v>
      </c>
      <c r="C4462" t="s">
        <v>249</v>
      </c>
      <c r="D4462" t="s">
        <v>1</v>
      </c>
      <c r="E4462" t="s">
        <v>3466</v>
      </c>
      <c r="F4462" t="s">
        <v>3467</v>
      </c>
      <c r="G4462" t="s">
        <v>179</v>
      </c>
      <c r="H4462">
        <v>451</v>
      </c>
      <c r="I4462">
        <v>67.745000000000005</v>
      </c>
      <c r="J4462">
        <v>73.981999999999999</v>
      </c>
      <c r="K4462">
        <v>6.2370000000000001</v>
      </c>
      <c r="L4462">
        <v>243</v>
      </c>
      <c r="M4462">
        <v>60</v>
      </c>
      <c r="N4462">
        <v>148</v>
      </c>
      <c r="O4462">
        <v>74.84</v>
      </c>
      <c r="P4462">
        <v>6.1815276729999997</v>
      </c>
      <c r="Q4462">
        <v>14.782999999999999</v>
      </c>
    </row>
    <row r="4463" spans="1:17" x14ac:dyDescent="0.2">
      <c r="A4463" s="30" t="str">
        <f>IF(C4463&amp;G4463&amp;D4463&lt;&gt;'Funnel setup'!$K$3&amp;'Funnel setup'!$K$4&amp;'Funnel setup'!$K$5,".",IF(A4462=".",1,A4462+1))</f>
        <v>.</v>
      </c>
      <c r="B4463" s="431" t="str">
        <f t="shared" si="69"/>
        <v>Knee Replacement PrimaryProviderSHEPTON MALLET NHS TREATMENT CENTRE (NTPH1)EQ VAS</v>
      </c>
      <c r="C4463" t="s">
        <v>249</v>
      </c>
      <c r="D4463" t="s">
        <v>1</v>
      </c>
      <c r="E4463" t="s">
        <v>3472</v>
      </c>
      <c r="F4463" t="s">
        <v>3473</v>
      </c>
      <c r="G4463" t="s">
        <v>179</v>
      </c>
      <c r="H4463">
        <v>156</v>
      </c>
      <c r="I4463">
        <v>73.063999999999993</v>
      </c>
      <c r="J4463">
        <v>81.326999999999998</v>
      </c>
      <c r="K4463">
        <v>8.2629999999999999</v>
      </c>
      <c r="L4463">
        <v>94</v>
      </c>
      <c r="M4463">
        <v>25</v>
      </c>
      <c r="N4463">
        <v>37</v>
      </c>
      <c r="O4463">
        <v>77.715000000000003</v>
      </c>
      <c r="P4463">
        <v>9.0565523550000009</v>
      </c>
      <c r="Q4463">
        <v>12.946</v>
      </c>
    </row>
    <row r="4464" spans="1:17" x14ac:dyDescent="0.2">
      <c r="A4464" s="30" t="str">
        <f>IF(C4464&amp;G4464&amp;D4464&lt;&gt;'Funnel setup'!$K$3&amp;'Funnel setup'!$K$4&amp;'Funnel setup'!$K$5,".",IF(A4463=".",1,A4463+1))</f>
        <v>.</v>
      </c>
      <c r="B4464" s="431" t="str">
        <f t="shared" si="69"/>
        <v>Knee Replacement PrimaryProviderSHERWOOD FOREST HOSPITALS NHS FOUNDATION TRUST (RK5)EQ VAS</v>
      </c>
      <c r="C4464" t="s">
        <v>249</v>
      </c>
      <c r="D4464" t="s">
        <v>1</v>
      </c>
      <c r="E4464" t="s">
        <v>3475</v>
      </c>
      <c r="F4464" t="s">
        <v>3476</v>
      </c>
      <c r="G4464" t="s">
        <v>179</v>
      </c>
      <c r="H4464">
        <v>151</v>
      </c>
      <c r="I4464">
        <v>64.337999999999994</v>
      </c>
      <c r="J4464">
        <v>69.847999999999999</v>
      </c>
      <c r="K4464">
        <v>5.51</v>
      </c>
      <c r="L4464">
        <v>88</v>
      </c>
      <c r="M4464">
        <v>17</v>
      </c>
      <c r="N4464">
        <v>46</v>
      </c>
      <c r="O4464">
        <v>73.230999999999995</v>
      </c>
      <c r="P4464">
        <v>4.5731002949999997</v>
      </c>
      <c r="Q4464">
        <v>17.699000000000002</v>
      </c>
    </row>
    <row r="4465" spans="1:17" x14ac:dyDescent="0.2">
      <c r="A4465" s="30" t="str">
        <f>IF(C4465&amp;G4465&amp;D4465&lt;&gt;'Funnel setup'!$K$3&amp;'Funnel setup'!$K$4&amp;'Funnel setup'!$K$5,".",IF(A4464=".",1,A4464+1))</f>
        <v>.</v>
      </c>
      <c r="B4465" s="431" t="str">
        <f t="shared" si="69"/>
        <v>Knee Replacement PrimaryProviderSHREWSBURY AND TELFORD HOSPITAL NHS TRUST (RXW)EQ VAS</v>
      </c>
      <c r="C4465" t="s">
        <v>249</v>
      </c>
      <c r="D4465" t="s">
        <v>1</v>
      </c>
      <c r="E4465" t="s">
        <v>3478</v>
      </c>
      <c r="F4465" t="s">
        <v>3479</v>
      </c>
      <c r="G4465" t="s">
        <v>179</v>
      </c>
      <c r="H4465">
        <v>139</v>
      </c>
      <c r="I4465">
        <v>66.200999999999993</v>
      </c>
      <c r="J4465">
        <v>72.424000000000007</v>
      </c>
      <c r="K4465">
        <v>6.2229999999999999</v>
      </c>
      <c r="L4465">
        <v>80</v>
      </c>
      <c r="M4465">
        <v>21</v>
      </c>
      <c r="N4465">
        <v>38</v>
      </c>
      <c r="O4465">
        <v>74.325000000000003</v>
      </c>
      <c r="P4465">
        <v>5.6671505409999998</v>
      </c>
      <c r="Q4465">
        <v>15.038</v>
      </c>
    </row>
    <row r="4466" spans="1:17" x14ac:dyDescent="0.2">
      <c r="A4466" s="30" t="str">
        <f>IF(C4466&amp;G4466&amp;D4466&lt;&gt;'Funnel setup'!$K$3&amp;'Funnel setup'!$K$4&amp;'Funnel setup'!$K$5,".",IF(A4465=".",1,A4465+1))</f>
        <v>.</v>
      </c>
      <c r="B4466" s="431" t="str">
        <f t="shared" si="69"/>
        <v>Knee Replacement PrimaryProviderSOUTH TEES HOSPITALS NHS FOUNDATION TRUST (RTR)EQ VAS</v>
      </c>
      <c r="C4466" t="s">
        <v>249</v>
      </c>
      <c r="D4466" t="s">
        <v>1</v>
      </c>
      <c r="E4466" t="s">
        <v>3482</v>
      </c>
      <c r="F4466" t="s">
        <v>3483</v>
      </c>
      <c r="G4466" t="s">
        <v>179</v>
      </c>
      <c r="H4466">
        <v>481</v>
      </c>
      <c r="I4466">
        <v>68.084999999999994</v>
      </c>
      <c r="J4466">
        <v>74.448999999999998</v>
      </c>
      <c r="K4466">
        <v>6.3639999999999999</v>
      </c>
      <c r="L4466">
        <v>275</v>
      </c>
      <c r="M4466">
        <v>64</v>
      </c>
      <c r="N4466">
        <v>142</v>
      </c>
      <c r="O4466">
        <v>75.650000000000006</v>
      </c>
      <c r="P4466">
        <v>6.9913105199999999</v>
      </c>
      <c r="Q4466">
        <v>14.856</v>
      </c>
    </row>
    <row r="4467" spans="1:17" x14ac:dyDescent="0.2">
      <c r="A4467" s="30" t="str">
        <f>IF(C4467&amp;G4467&amp;D4467&lt;&gt;'Funnel setup'!$K$3&amp;'Funnel setup'!$K$4&amp;'Funnel setup'!$K$5,".",IF(A4466=".",1,A4466+1))</f>
        <v>.</v>
      </c>
      <c r="B4467" s="431" t="str">
        <f t="shared" si="69"/>
        <v>Knee Replacement PrimaryProviderSOUTH TYNESIDE NHS FOUNDATION TRUST (RE9)EQ VAS</v>
      </c>
      <c r="C4467" t="s">
        <v>249</v>
      </c>
      <c r="D4467" t="s">
        <v>1</v>
      </c>
      <c r="E4467" t="s">
        <v>3485</v>
      </c>
      <c r="F4467" t="s">
        <v>3486</v>
      </c>
      <c r="G4467" t="s">
        <v>179</v>
      </c>
      <c r="H4467">
        <v>66</v>
      </c>
      <c r="I4467">
        <v>67.635999999999996</v>
      </c>
      <c r="J4467">
        <v>71.97</v>
      </c>
      <c r="K4467">
        <v>4.3330000000000002</v>
      </c>
      <c r="L4467">
        <v>35</v>
      </c>
      <c r="M4467">
        <v>9</v>
      </c>
      <c r="N4467">
        <v>22</v>
      </c>
      <c r="O4467">
        <v>73.105000000000004</v>
      </c>
      <c r="P4467">
        <v>4.4462617829999997</v>
      </c>
      <c r="Q4467">
        <v>16.393000000000001</v>
      </c>
    </row>
    <row r="4468" spans="1:17" x14ac:dyDescent="0.2">
      <c r="A4468" s="30" t="str">
        <f>IF(C4468&amp;G4468&amp;D4468&lt;&gt;'Funnel setup'!$K$3&amp;'Funnel setup'!$K$4&amp;'Funnel setup'!$K$5,".",IF(A4467=".",1,A4467+1))</f>
        <v>.</v>
      </c>
      <c r="B4468" s="431" t="str">
        <f t="shared" si="69"/>
        <v>Knee Replacement PrimaryProviderSOUTH WARWICKSHIRE NHS FOUNDATION TRUST (RJC)EQ VAS</v>
      </c>
      <c r="C4468" t="s">
        <v>249</v>
      </c>
      <c r="D4468" t="s">
        <v>1</v>
      </c>
      <c r="E4468" t="s">
        <v>3421</v>
      </c>
      <c r="F4468" t="s">
        <v>3422</v>
      </c>
      <c r="G4468" t="s">
        <v>179</v>
      </c>
      <c r="H4468">
        <v>229</v>
      </c>
      <c r="I4468">
        <v>68.55</v>
      </c>
      <c r="J4468">
        <v>74.114000000000004</v>
      </c>
      <c r="K4468">
        <v>5.5629999999999997</v>
      </c>
      <c r="L4468">
        <v>135</v>
      </c>
      <c r="M4468">
        <v>20</v>
      </c>
      <c r="N4468">
        <v>74</v>
      </c>
      <c r="O4468">
        <v>73.972999999999999</v>
      </c>
      <c r="P4468">
        <v>5.3150427200000001</v>
      </c>
      <c r="Q4468">
        <v>16.61</v>
      </c>
    </row>
    <row r="4469" spans="1:17" x14ac:dyDescent="0.2">
      <c r="A4469" s="30" t="str">
        <f>IF(C4469&amp;G4469&amp;D4469&lt;&gt;'Funnel setup'!$K$3&amp;'Funnel setup'!$K$4&amp;'Funnel setup'!$K$5,".",IF(A4468=".",1,A4468+1))</f>
        <v>.</v>
      </c>
      <c r="B4469" s="431" t="str">
        <f t="shared" si="69"/>
        <v>Knee Replacement PrimaryProviderSOUTHAMPTON NHS TREATMENT CENTRE (NTP11)EQ VAS</v>
      </c>
      <c r="C4469" t="s">
        <v>249</v>
      </c>
      <c r="D4469" t="s">
        <v>1</v>
      </c>
      <c r="E4469" t="s">
        <v>3424</v>
      </c>
      <c r="F4469" t="s">
        <v>3425</v>
      </c>
      <c r="G4469" t="s">
        <v>179</v>
      </c>
      <c r="H4469">
        <v>106</v>
      </c>
      <c r="I4469">
        <v>73.274000000000001</v>
      </c>
      <c r="J4469">
        <v>75.093999999999994</v>
      </c>
      <c r="K4469">
        <v>1.821</v>
      </c>
      <c r="L4469">
        <v>46</v>
      </c>
      <c r="M4469">
        <v>18</v>
      </c>
      <c r="N4469">
        <v>42</v>
      </c>
      <c r="O4469">
        <v>72.459999999999994</v>
      </c>
      <c r="P4469">
        <v>3.8019263410000002</v>
      </c>
      <c r="Q4469">
        <v>14.188000000000001</v>
      </c>
    </row>
    <row r="4470" spans="1:17" x14ac:dyDescent="0.2">
      <c r="A4470" s="30" t="str">
        <f>IF(C4470&amp;G4470&amp;D4470&lt;&gt;'Funnel setup'!$K$3&amp;'Funnel setup'!$K$4&amp;'Funnel setup'!$K$5,".",IF(A4469=".",1,A4469+1))</f>
        <v>.</v>
      </c>
      <c r="B4470" s="431" t="str">
        <f t="shared" si="69"/>
        <v>Knee Replacement PrimaryProviderSOUTHEND UNIVERSITY HOSPITAL NHS FOUNDATION TRUST (RAJ)EQ VAS</v>
      </c>
      <c r="C4470" t="s">
        <v>249</v>
      </c>
      <c r="D4470" t="s">
        <v>1</v>
      </c>
      <c r="E4470" t="s">
        <v>3427</v>
      </c>
      <c r="F4470" t="s">
        <v>3428</v>
      </c>
      <c r="G4470" t="s">
        <v>179</v>
      </c>
      <c r="H4470">
        <v>168</v>
      </c>
      <c r="I4470">
        <v>68.838999999999999</v>
      </c>
      <c r="J4470">
        <v>75.655000000000001</v>
      </c>
      <c r="K4470">
        <v>6.8150000000000004</v>
      </c>
      <c r="L4470">
        <v>88</v>
      </c>
      <c r="M4470">
        <v>23</v>
      </c>
      <c r="N4470">
        <v>57</v>
      </c>
      <c r="O4470">
        <v>75.748000000000005</v>
      </c>
      <c r="P4470">
        <v>7.0898700879999996</v>
      </c>
      <c r="Q4470">
        <v>14.54</v>
      </c>
    </row>
    <row r="4471" spans="1:17" x14ac:dyDescent="0.2">
      <c r="A4471" s="30" t="str">
        <f>IF(C4471&amp;G4471&amp;D4471&lt;&gt;'Funnel setup'!$K$3&amp;'Funnel setup'!$K$4&amp;'Funnel setup'!$K$5,".",IF(A4470=".",1,A4470+1))</f>
        <v>.</v>
      </c>
      <c r="B4471" s="431" t="str">
        <f t="shared" si="69"/>
        <v>Knee Replacement PrimaryProviderSOUTHPORT AND ORMSKIRK HOSPITAL NHS TRUST (RVY)EQ VAS</v>
      </c>
      <c r="C4471" t="s">
        <v>249</v>
      </c>
      <c r="D4471" t="s">
        <v>1</v>
      </c>
      <c r="E4471" t="s">
        <v>3430</v>
      </c>
      <c r="F4471" t="s">
        <v>3431</v>
      </c>
      <c r="G4471" t="s">
        <v>179</v>
      </c>
      <c r="H4471">
        <v>94</v>
      </c>
      <c r="I4471">
        <v>67.691000000000003</v>
      </c>
      <c r="J4471">
        <v>70.478999999999999</v>
      </c>
      <c r="K4471">
        <v>2.7869999999999999</v>
      </c>
      <c r="L4471">
        <v>47</v>
      </c>
      <c r="M4471">
        <v>13</v>
      </c>
      <c r="N4471">
        <v>34</v>
      </c>
      <c r="O4471">
        <v>71.903999999999996</v>
      </c>
      <c r="P4471">
        <v>3.245691871</v>
      </c>
      <c r="Q4471">
        <v>17.071000000000002</v>
      </c>
    </row>
    <row r="4472" spans="1:17" x14ac:dyDescent="0.2">
      <c r="A4472" s="30" t="str">
        <f>IF(C4472&amp;G4472&amp;D4472&lt;&gt;'Funnel setup'!$K$3&amp;'Funnel setup'!$K$4&amp;'Funnel setup'!$K$5,".",IF(A4471=".",1,A4471+1))</f>
        <v>.</v>
      </c>
      <c r="B4472" s="431" t="str">
        <f t="shared" si="69"/>
        <v>Knee Replacement PrimaryProviderSPIRE ALEXANDRA HOSPITAL (NT312)EQ VAS</v>
      </c>
      <c r="C4472" t="s">
        <v>249</v>
      </c>
      <c r="D4472" t="s">
        <v>1</v>
      </c>
      <c r="E4472" t="s">
        <v>3433</v>
      </c>
      <c r="F4472" t="s">
        <v>3434</v>
      </c>
      <c r="G4472" t="s">
        <v>179</v>
      </c>
      <c r="H4472">
        <v>47</v>
      </c>
      <c r="I4472">
        <v>70.34</v>
      </c>
      <c r="J4472">
        <v>78</v>
      </c>
      <c r="K4472">
        <v>7.66</v>
      </c>
      <c r="L4472">
        <v>24</v>
      </c>
      <c r="M4472">
        <v>10</v>
      </c>
      <c r="N4472">
        <v>13</v>
      </c>
      <c r="O4472">
        <v>76.846000000000004</v>
      </c>
      <c r="P4472">
        <v>8.1875360179999994</v>
      </c>
      <c r="Q4472">
        <v>12.503</v>
      </c>
    </row>
    <row r="4473" spans="1:17" x14ac:dyDescent="0.2">
      <c r="A4473" s="30" t="str">
        <f>IF(C4473&amp;G4473&amp;D4473&lt;&gt;'Funnel setup'!$K$3&amp;'Funnel setup'!$K$4&amp;'Funnel setup'!$K$5,".",IF(A4472=".",1,A4472+1))</f>
        <v>.</v>
      </c>
      <c r="B4473" s="431" t="str">
        <f t="shared" si="69"/>
        <v>Knee Replacement PrimaryProviderSPIRE BRISTOL HOSPITAL (NT302)EQ VAS</v>
      </c>
      <c r="C4473" t="s">
        <v>249</v>
      </c>
      <c r="D4473" t="s">
        <v>1</v>
      </c>
      <c r="E4473" t="s">
        <v>4381</v>
      </c>
      <c r="F4473" t="s">
        <v>4382</v>
      </c>
      <c r="G4473" t="s">
        <v>179</v>
      </c>
      <c r="H4473">
        <v>76</v>
      </c>
      <c r="I4473">
        <v>72.867999999999995</v>
      </c>
      <c r="J4473">
        <v>77.775999999999996</v>
      </c>
      <c r="K4473">
        <v>4.9080000000000004</v>
      </c>
      <c r="L4473">
        <v>44</v>
      </c>
      <c r="M4473">
        <v>7</v>
      </c>
      <c r="N4473">
        <v>25</v>
      </c>
      <c r="O4473">
        <v>74.605000000000004</v>
      </c>
      <c r="P4473">
        <v>5.9463457799999997</v>
      </c>
      <c r="Q4473">
        <v>14.301</v>
      </c>
    </row>
    <row r="4474" spans="1:17" x14ac:dyDescent="0.2">
      <c r="A4474" s="30" t="str">
        <f>IF(C4474&amp;G4474&amp;D4474&lt;&gt;'Funnel setup'!$K$3&amp;'Funnel setup'!$K$4&amp;'Funnel setup'!$K$5,".",IF(A4473=".",1,A4473+1))</f>
        <v>.</v>
      </c>
      <c r="B4474" s="431" t="str">
        <f t="shared" si="69"/>
        <v>Knee Replacement PrimaryProviderSPIRE BUSHEY HOSPITAL (NT315)EQ VAS</v>
      </c>
      <c r="C4474" t="s">
        <v>249</v>
      </c>
      <c r="D4474" t="s">
        <v>1</v>
      </c>
      <c r="E4474" t="s">
        <v>4364</v>
      </c>
      <c r="F4474" t="s">
        <v>4365</v>
      </c>
      <c r="G4474" t="s">
        <v>179</v>
      </c>
      <c r="H4474">
        <v>18</v>
      </c>
      <c r="I4474">
        <v>71.944000000000003</v>
      </c>
      <c r="J4474">
        <v>79.055999999999997</v>
      </c>
      <c r="K4474">
        <v>7.1109999999999998</v>
      </c>
      <c r="L4474">
        <v>11</v>
      </c>
      <c r="M4474">
        <v>3</v>
      </c>
      <c r="N4474">
        <v>4</v>
      </c>
      <c r="O4474" t="s">
        <v>53</v>
      </c>
      <c r="P4474" t="s">
        <v>53</v>
      </c>
      <c r="Q4474" t="s">
        <v>53</v>
      </c>
    </row>
    <row r="4475" spans="1:17" x14ac:dyDescent="0.2">
      <c r="A4475" s="30" t="str">
        <f>IF(C4475&amp;G4475&amp;D4475&lt;&gt;'Funnel setup'!$K$3&amp;'Funnel setup'!$K$4&amp;'Funnel setup'!$K$5,".",IF(A4474=".",1,A4474+1))</f>
        <v>.</v>
      </c>
      <c r="B4475" s="431" t="str">
        <f t="shared" si="69"/>
        <v>Knee Replacement PrimaryProviderSPIRE CAMBRIDGE LEA HOSPITAL (NT317)EQ VAS</v>
      </c>
      <c r="C4475" t="s">
        <v>249</v>
      </c>
      <c r="D4475" t="s">
        <v>1</v>
      </c>
      <c r="E4475" t="s">
        <v>3436</v>
      </c>
      <c r="F4475" t="s">
        <v>3437</v>
      </c>
      <c r="G4475" t="s">
        <v>179</v>
      </c>
      <c r="H4475">
        <v>60</v>
      </c>
      <c r="I4475">
        <v>73.016999999999996</v>
      </c>
      <c r="J4475">
        <v>80.882999999999996</v>
      </c>
      <c r="K4475">
        <v>7.867</v>
      </c>
      <c r="L4475">
        <v>37</v>
      </c>
      <c r="M4475">
        <v>6</v>
      </c>
      <c r="N4475">
        <v>17</v>
      </c>
      <c r="O4475">
        <v>77.018000000000001</v>
      </c>
      <c r="P4475">
        <v>8.3591854160000008</v>
      </c>
      <c r="Q4475">
        <v>12.888999999999999</v>
      </c>
    </row>
    <row r="4476" spans="1:17" x14ac:dyDescent="0.2">
      <c r="A4476" s="30" t="str">
        <f>IF(C4476&amp;G4476&amp;D4476&lt;&gt;'Funnel setup'!$K$3&amp;'Funnel setup'!$K$4&amp;'Funnel setup'!$K$5,".",IF(A4475=".",1,A4475+1))</f>
        <v>.</v>
      </c>
      <c r="B4476" s="431" t="str">
        <f t="shared" si="69"/>
        <v>Knee Replacement PrimaryProviderSPIRE CHESHIRE HOSPITAL (NT324)EQ VAS</v>
      </c>
      <c r="C4476" t="s">
        <v>249</v>
      </c>
      <c r="D4476" t="s">
        <v>1</v>
      </c>
      <c r="E4476" t="s">
        <v>3439</v>
      </c>
      <c r="F4476" t="s">
        <v>3440</v>
      </c>
      <c r="G4476" t="s">
        <v>179</v>
      </c>
      <c r="H4476">
        <v>78</v>
      </c>
      <c r="I4476">
        <v>68.372</v>
      </c>
      <c r="J4476">
        <v>75.923000000000002</v>
      </c>
      <c r="K4476">
        <v>7.5510000000000002</v>
      </c>
      <c r="L4476">
        <v>50</v>
      </c>
      <c r="M4476">
        <v>10</v>
      </c>
      <c r="N4476">
        <v>18</v>
      </c>
      <c r="O4476">
        <v>74.671000000000006</v>
      </c>
      <c r="P4476">
        <v>6.0123618069999996</v>
      </c>
      <c r="Q4476">
        <v>16.439</v>
      </c>
    </row>
    <row r="4477" spans="1:17" x14ac:dyDescent="0.2">
      <c r="A4477" s="30" t="str">
        <f>IF(C4477&amp;G4477&amp;D4477&lt;&gt;'Funnel setup'!$K$3&amp;'Funnel setup'!$K$4&amp;'Funnel setup'!$K$5,".",IF(A4476=".",1,A4476+1))</f>
        <v>.</v>
      </c>
      <c r="B4477" s="431" t="str">
        <f t="shared" si="69"/>
        <v>Knee Replacement PrimaryProviderSPIRE CLARE PARK HOSPITAL (NT345)EQ VAS</v>
      </c>
      <c r="C4477" t="s">
        <v>249</v>
      </c>
      <c r="D4477" t="s">
        <v>1</v>
      </c>
      <c r="E4477" t="s">
        <v>3412</v>
      </c>
      <c r="F4477" t="s">
        <v>3413</v>
      </c>
      <c r="G4477" t="s">
        <v>179</v>
      </c>
      <c r="H4477">
        <v>35</v>
      </c>
      <c r="I4477">
        <v>68.114000000000004</v>
      </c>
      <c r="J4477">
        <v>77.313999999999993</v>
      </c>
      <c r="K4477">
        <v>9.1999999999999993</v>
      </c>
      <c r="L4477">
        <v>22</v>
      </c>
      <c r="M4477">
        <v>3</v>
      </c>
      <c r="N4477">
        <v>10</v>
      </c>
      <c r="O4477">
        <v>75.290000000000006</v>
      </c>
      <c r="P4477">
        <v>6.6319149450000001</v>
      </c>
      <c r="Q4477">
        <v>12.73</v>
      </c>
    </row>
    <row r="4478" spans="1:17" x14ac:dyDescent="0.2">
      <c r="A4478" s="30" t="str">
        <f>IF(C4478&amp;G4478&amp;D4478&lt;&gt;'Funnel setup'!$K$3&amp;'Funnel setup'!$K$4&amp;'Funnel setup'!$K$5,".",IF(A4477=".",1,A4477+1))</f>
        <v>.</v>
      </c>
      <c r="B4478" s="431" t="str">
        <f t="shared" si="69"/>
        <v>Knee Replacement PrimaryProviderSPIRE DUNEDIN HOSPITAL (NT344)EQ VAS</v>
      </c>
      <c r="C4478" t="s">
        <v>249</v>
      </c>
      <c r="D4478" t="s">
        <v>1</v>
      </c>
      <c r="E4478" t="s">
        <v>3415</v>
      </c>
      <c r="F4478" t="s">
        <v>3416</v>
      </c>
      <c r="G4478" t="s">
        <v>179</v>
      </c>
      <c r="H4478">
        <v>13</v>
      </c>
      <c r="I4478">
        <v>73.537999999999997</v>
      </c>
      <c r="J4478">
        <v>77.691999999999993</v>
      </c>
      <c r="K4478">
        <v>4.1539999999999999</v>
      </c>
      <c r="L4478">
        <v>9</v>
      </c>
      <c r="M4478">
        <v>0</v>
      </c>
      <c r="N4478">
        <v>4</v>
      </c>
      <c r="O4478" t="s">
        <v>53</v>
      </c>
      <c r="P4478" t="s">
        <v>53</v>
      </c>
      <c r="Q4478" t="s">
        <v>53</v>
      </c>
    </row>
    <row r="4479" spans="1:17" x14ac:dyDescent="0.2">
      <c r="A4479" s="30" t="str">
        <f>IF(C4479&amp;G4479&amp;D4479&lt;&gt;'Funnel setup'!$K$3&amp;'Funnel setup'!$K$4&amp;'Funnel setup'!$K$5,".",IF(A4478=".",1,A4478+1))</f>
        <v>.</v>
      </c>
      <c r="B4479" s="431" t="str">
        <f t="shared" si="69"/>
        <v>Knee Replacement PrimaryProviderSPIRE ELLAND HOSPITAL (NT348)EQ VAS</v>
      </c>
      <c r="C4479" t="s">
        <v>249</v>
      </c>
      <c r="D4479" t="s">
        <v>1</v>
      </c>
      <c r="E4479" t="s">
        <v>3418</v>
      </c>
      <c r="F4479" t="s">
        <v>3419</v>
      </c>
      <c r="G4479" t="s">
        <v>179</v>
      </c>
      <c r="H4479">
        <v>56</v>
      </c>
      <c r="I4479">
        <v>71.463999999999999</v>
      </c>
      <c r="J4479">
        <v>81.356999999999999</v>
      </c>
      <c r="K4479">
        <v>9.8930000000000007</v>
      </c>
      <c r="L4479">
        <v>41</v>
      </c>
      <c r="M4479">
        <v>5</v>
      </c>
      <c r="N4479">
        <v>10</v>
      </c>
      <c r="O4479">
        <v>79.248999999999995</v>
      </c>
      <c r="P4479">
        <v>10.59110158</v>
      </c>
      <c r="Q4479">
        <v>12.555</v>
      </c>
    </row>
    <row r="4480" spans="1:17" x14ac:dyDescent="0.2">
      <c r="A4480" s="30" t="str">
        <f>IF(C4480&amp;G4480&amp;D4480&lt;&gt;'Funnel setup'!$K$3&amp;'Funnel setup'!$K$4&amp;'Funnel setup'!$K$5,".",IF(A4479=".",1,A4479+1))</f>
        <v>.</v>
      </c>
      <c r="B4480" s="431" t="str">
        <f t="shared" si="69"/>
        <v>Knee Replacement PrimaryProviderSPIRE FYLDE COAST HOSPITAL (NT347)EQ VAS</v>
      </c>
      <c r="C4480" t="s">
        <v>249</v>
      </c>
      <c r="D4480" t="s">
        <v>1</v>
      </c>
      <c r="E4480" t="s">
        <v>4370</v>
      </c>
      <c r="F4480" t="s">
        <v>4371</v>
      </c>
      <c r="G4480" t="s">
        <v>179</v>
      </c>
      <c r="H4480">
        <v>42</v>
      </c>
      <c r="I4480">
        <v>68.286000000000001</v>
      </c>
      <c r="J4480">
        <v>73.881</v>
      </c>
      <c r="K4480">
        <v>5.5949999999999998</v>
      </c>
      <c r="L4480">
        <v>21</v>
      </c>
      <c r="M4480">
        <v>6</v>
      </c>
      <c r="N4480">
        <v>15</v>
      </c>
      <c r="O4480">
        <v>73.712999999999994</v>
      </c>
      <c r="P4480">
        <v>5.0545574609999999</v>
      </c>
      <c r="Q4480">
        <v>11.465999999999999</v>
      </c>
    </row>
    <row r="4481" spans="1:17" x14ac:dyDescent="0.2">
      <c r="A4481" s="30" t="str">
        <f>IF(C4481&amp;G4481&amp;D4481&lt;&gt;'Funnel setup'!$K$3&amp;'Funnel setup'!$K$4&amp;'Funnel setup'!$K$5,".",IF(A4480=".",1,A4480+1))</f>
        <v>.</v>
      </c>
      <c r="B4481" s="431" t="str">
        <f t="shared" si="69"/>
        <v>Knee Replacement PrimaryProviderSPIRE GATWICK PARK HOSPITAL (NT308)EQ VAS</v>
      </c>
      <c r="C4481" t="s">
        <v>249</v>
      </c>
      <c r="D4481" t="s">
        <v>1</v>
      </c>
      <c r="E4481" t="s">
        <v>3409</v>
      </c>
      <c r="F4481" t="s">
        <v>3410</v>
      </c>
      <c r="G4481" t="s">
        <v>179</v>
      </c>
      <c r="H4481">
        <v>54</v>
      </c>
      <c r="I4481">
        <v>70.37</v>
      </c>
      <c r="J4481">
        <v>75.555999999999997</v>
      </c>
      <c r="K4481">
        <v>5.1849999999999996</v>
      </c>
      <c r="L4481">
        <v>29</v>
      </c>
      <c r="M4481">
        <v>12</v>
      </c>
      <c r="N4481">
        <v>13</v>
      </c>
      <c r="O4481">
        <v>73.900999999999996</v>
      </c>
      <c r="P4481">
        <v>5.2426714490000004</v>
      </c>
      <c r="Q4481">
        <v>14.773</v>
      </c>
    </row>
    <row r="4482" spans="1:17" x14ac:dyDescent="0.2">
      <c r="A4482" s="30" t="str">
        <f>IF(C4482&amp;G4482&amp;D4482&lt;&gt;'Funnel setup'!$K$3&amp;'Funnel setup'!$K$4&amp;'Funnel setup'!$K$5,".",IF(A4481=".",1,A4481+1))</f>
        <v>.</v>
      </c>
      <c r="B4482" s="431" t="str">
        <f t="shared" si="69"/>
        <v>Knee Replacement PrimaryProviderSPIRE HARPENDEN HOSPITAL (NT316)EQ VAS</v>
      </c>
      <c r="C4482" t="s">
        <v>249</v>
      </c>
      <c r="D4482" t="s">
        <v>1</v>
      </c>
      <c r="E4482" t="s">
        <v>4267</v>
      </c>
      <c r="F4482" t="s">
        <v>4268</v>
      </c>
      <c r="G4482" t="s">
        <v>179</v>
      </c>
      <c r="H4482">
        <v>42</v>
      </c>
      <c r="I4482">
        <v>73.951999999999998</v>
      </c>
      <c r="J4482">
        <v>79.881</v>
      </c>
      <c r="K4482">
        <v>5.9290000000000003</v>
      </c>
      <c r="L4482">
        <v>27</v>
      </c>
      <c r="M4482">
        <v>3</v>
      </c>
      <c r="N4482">
        <v>12</v>
      </c>
      <c r="O4482">
        <v>76.894999999999996</v>
      </c>
      <c r="P4482">
        <v>8.2361685209999997</v>
      </c>
      <c r="Q4482">
        <v>14.478999999999999</v>
      </c>
    </row>
    <row r="4483" spans="1:17" x14ac:dyDescent="0.2">
      <c r="A4483" s="30" t="str">
        <f>IF(C4483&amp;G4483&amp;D4483&lt;&gt;'Funnel setup'!$K$3&amp;'Funnel setup'!$K$4&amp;'Funnel setup'!$K$5,".",IF(A4482=".",1,A4482+1))</f>
        <v>.</v>
      </c>
      <c r="B4483" s="431" t="str">
        <f t="shared" ref="B4483:B4546" si="70">C4483&amp;D4483&amp;F4483&amp;G4483</f>
        <v>Knee Replacement PrimaryProviderSPIRE HARTSWOOD HOSPITAL (NT319)EQ VAS</v>
      </c>
      <c r="C4483" t="s">
        <v>249</v>
      </c>
      <c r="D4483" t="s">
        <v>1</v>
      </c>
      <c r="E4483" t="s">
        <v>3210</v>
      </c>
      <c r="F4483" t="s">
        <v>3211</v>
      </c>
      <c r="G4483" t="s">
        <v>179</v>
      </c>
      <c r="H4483">
        <v>13</v>
      </c>
      <c r="I4483">
        <v>73.076999999999998</v>
      </c>
      <c r="J4483">
        <v>81.614999999999995</v>
      </c>
      <c r="K4483">
        <v>8.5380000000000003</v>
      </c>
      <c r="L4483">
        <v>7</v>
      </c>
      <c r="M4483">
        <v>4</v>
      </c>
      <c r="N4483">
        <v>2</v>
      </c>
      <c r="O4483" t="s">
        <v>53</v>
      </c>
      <c r="P4483" t="s">
        <v>53</v>
      </c>
      <c r="Q4483" t="s">
        <v>53</v>
      </c>
    </row>
    <row r="4484" spans="1:17" x14ac:dyDescent="0.2">
      <c r="A4484" s="30" t="str">
        <f>IF(C4484&amp;G4484&amp;D4484&lt;&gt;'Funnel setup'!$K$3&amp;'Funnel setup'!$K$4&amp;'Funnel setup'!$K$5,".",IF(A4483=".",1,A4483+1))</f>
        <v>.</v>
      </c>
      <c r="B4484" s="431" t="str">
        <f t="shared" si="70"/>
        <v>Knee Replacement PrimaryProviderSPIRE HULL AND EAST RIDING HOSPITAL (NT351)EQ VAS</v>
      </c>
      <c r="C4484" t="s">
        <v>249</v>
      </c>
      <c r="D4484" t="s">
        <v>1</v>
      </c>
      <c r="E4484" t="s">
        <v>3213</v>
      </c>
      <c r="F4484" t="s">
        <v>3214</v>
      </c>
      <c r="G4484" t="s">
        <v>179</v>
      </c>
      <c r="H4484">
        <v>191</v>
      </c>
      <c r="I4484">
        <v>65.968999999999994</v>
      </c>
      <c r="J4484">
        <v>73.188000000000002</v>
      </c>
      <c r="K4484">
        <v>7.22</v>
      </c>
      <c r="L4484">
        <v>114</v>
      </c>
      <c r="M4484">
        <v>21</v>
      </c>
      <c r="N4484">
        <v>56</v>
      </c>
      <c r="O4484">
        <v>73.55</v>
      </c>
      <c r="P4484">
        <v>4.8916640349999998</v>
      </c>
      <c r="Q4484">
        <v>17.864999999999998</v>
      </c>
    </row>
    <row r="4485" spans="1:17" x14ac:dyDescent="0.2">
      <c r="A4485" s="30" t="str">
        <f>IF(C4485&amp;G4485&amp;D4485&lt;&gt;'Funnel setup'!$K$3&amp;'Funnel setup'!$K$4&amp;'Funnel setup'!$K$5,".",IF(A4484=".",1,A4484+1))</f>
        <v>.</v>
      </c>
      <c r="B4485" s="431" t="str">
        <f t="shared" si="70"/>
        <v>Knee Replacement PrimaryProviderSPIRE LEEDS HOSPITAL (NT332)EQ VAS</v>
      </c>
      <c r="C4485" t="s">
        <v>249</v>
      </c>
      <c r="D4485" t="s">
        <v>1</v>
      </c>
      <c r="E4485" t="s">
        <v>3198</v>
      </c>
      <c r="F4485" t="s">
        <v>3199</v>
      </c>
      <c r="G4485" t="s">
        <v>179</v>
      </c>
      <c r="H4485">
        <v>86</v>
      </c>
      <c r="I4485">
        <v>71.069999999999993</v>
      </c>
      <c r="J4485">
        <v>76.186000000000007</v>
      </c>
      <c r="K4485">
        <v>5.1159999999999997</v>
      </c>
      <c r="L4485">
        <v>45</v>
      </c>
      <c r="M4485">
        <v>13</v>
      </c>
      <c r="N4485">
        <v>28</v>
      </c>
      <c r="O4485">
        <v>74.725999999999999</v>
      </c>
      <c r="P4485">
        <v>6.0678007909999998</v>
      </c>
      <c r="Q4485">
        <v>14.095000000000001</v>
      </c>
    </row>
    <row r="4486" spans="1:17" x14ac:dyDescent="0.2">
      <c r="A4486" s="30" t="str">
        <f>IF(C4486&amp;G4486&amp;D4486&lt;&gt;'Funnel setup'!$K$3&amp;'Funnel setup'!$K$4&amp;'Funnel setup'!$K$5,".",IF(A4485=".",1,A4485+1))</f>
        <v>.</v>
      </c>
      <c r="B4486" s="431" t="str">
        <f t="shared" si="70"/>
        <v>Knee Replacement PrimaryProviderSPIRE LEICESTER HOSPITAL (NT322)EQ VAS</v>
      </c>
      <c r="C4486" t="s">
        <v>249</v>
      </c>
      <c r="D4486" t="s">
        <v>1</v>
      </c>
      <c r="E4486" t="s">
        <v>3201</v>
      </c>
      <c r="F4486" t="s">
        <v>3202</v>
      </c>
      <c r="G4486" t="s">
        <v>179</v>
      </c>
      <c r="H4486">
        <v>97</v>
      </c>
      <c r="I4486">
        <v>68.834999999999994</v>
      </c>
      <c r="J4486">
        <v>75.174999999999997</v>
      </c>
      <c r="K4486">
        <v>6.34</v>
      </c>
      <c r="L4486">
        <v>60</v>
      </c>
      <c r="M4486">
        <v>9</v>
      </c>
      <c r="N4486">
        <v>28</v>
      </c>
      <c r="O4486">
        <v>75.706999999999994</v>
      </c>
      <c r="P4486">
        <v>7.0486612390000003</v>
      </c>
      <c r="Q4486">
        <v>14.622</v>
      </c>
    </row>
    <row r="4487" spans="1:17" x14ac:dyDescent="0.2">
      <c r="A4487" s="30" t="str">
        <f>IF(C4487&amp;G4487&amp;D4487&lt;&gt;'Funnel setup'!$K$3&amp;'Funnel setup'!$K$4&amp;'Funnel setup'!$K$5,".",IF(A4486=".",1,A4486+1))</f>
        <v>.</v>
      </c>
      <c r="B4487" s="431" t="str">
        <f t="shared" si="70"/>
        <v>Knee Replacement PrimaryProviderSPIRE LITTLE ASTON HOSPITAL (NT321)EQ VAS</v>
      </c>
      <c r="C4487" t="s">
        <v>249</v>
      </c>
      <c r="D4487" t="s">
        <v>1</v>
      </c>
      <c r="E4487" t="s">
        <v>3921</v>
      </c>
      <c r="F4487" t="s">
        <v>3922</v>
      </c>
      <c r="G4487" t="s">
        <v>179</v>
      </c>
      <c r="H4487">
        <v>121</v>
      </c>
      <c r="I4487">
        <v>65.528999999999996</v>
      </c>
      <c r="J4487">
        <v>77.116</v>
      </c>
      <c r="K4487">
        <v>11.587</v>
      </c>
      <c r="L4487">
        <v>84</v>
      </c>
      <c r="M4487">
        <v>10</v>
      </c>
      <c r="N4487">
        <v>27</v>
      </c>
      <c r="O4487">
        <v>77.585999999999999</v>
      </c>
      <c r="P4487">
        <v>8.9277047819999993</v>
      </c>
      <c r="Q4487">
        <v>14.099</v>
      </c>
    </row>
    <row r="4488" spans="1:17" x14ac:dyDescent="0.2">
      <c r="A4488" s="30" t="str">
        <f>IF(C4488&amp;G4488&amp;D4488&lt;&gt;'Funnel setup'!$K$3&amp;'Funnel setup'!$K$4&amp;'Funnel setup'!$K$5,".",IF(A4487=".",1,A4487+1))</f>
        <v>.</v>
      </c>
      <c r="B4488" s="431" t="str">
        <f t="shared" si="70"/>
        <v>Knee Replacement PrimaryProviderSPIRE LIVERPOOL HOSPITAL (NT337)EQ VAS</v>
      </c>
      <c r="C4488" t="s">
        <v>249</v>
      </c>
      <c r="D4488" t="s">
        <v>1</v>
      </c>
      <c r="E4488" t="s">
        <v>3927</v>
      </c>
      <c r="F4488" t="s">
        <v>3928</v>
      </c>
      <c r="G4488" t="s">
        <v>179</v>
      </c>
      <c r="H4488">
        <v>81</v>
      </c>
      <c r="I4488">
        <v>72.641999999999996</v>
      </c>
      <c r="J4488">
        <v>74.864000000000004</v>
      </c>
      <c r="K4488">
        <v>2.222</v>
      </c>
      <c r="L4488">
        <v>39</v>
      </c>
      <c r="M4488">
        <v>16</v>
      </c>
      <c r="N4488">
        <v>26</v>
      </c>
      <c r="O4488">
        <v>74.195999999999998</v>
      </c>
      <c r="P4488">
        <v>5.5374252930000001</v>
      </c>
      <c r="Q4488">
        <v>16.454999999999998</v>
      </c>
    </row>
    <row r="4489" spans="1:17" x14ac:dyDescent="0.2">
      <c r="A4489" s="30" t="str">
        <f>IF(C4489&amp;G4489&amp;D4489&lt;&gt;'Funnel setup'!$K$3&amp;'Funnel setup'!$K$4&amp;'Funnel setup'!$K$5,".",IF(A4488=".",1,A4488+1))</f>
        <v>.</v>
      </c>
      <c r="B4489" s="431" t="str">
        <f t="shared" si="70"/>
        <v>Knee Replacement PrimaryProviderSPIRE MANCHESTER HOSPITAL (NT327)EQ VAS</v>
      </c>
      <c r="C4489" t="s">
        <v>249</v>
      </c>
      <c r="D4489" t="s">
        <v>1</v>
      </c>
      <c r="E4489" t="s">
        <v>3154</v>
      </c>
      <c r="F4489" t="s">
        <v>3155</v>
      </c>
      <c r="G4489" t="s">
        <v>179</v>
      </c>
      <c r="H4489">
        <v>39</v>
      </c>
      <c r="I4489">
        <v>71.897000000000006</v>
      </c>
      <c r="J4489">
        <v>74.308000000000007</v>
      </c>
      <c r="K4489">
        <v>2.41</v>
      </c>
      <c r="L4489">
        <v>20</v>
      </c>
      <c r="M4489">
        <v>6</v>
      </c>
      <c r="N4489">
        <v>13</v>
      </c>
      <c r="O4489">
        <v>72.638999999999996</v>
      </c>
      <c r="P4489">
        <v>3.9807094030000001</v>
      </c>
      <c r="Q4489">
        <v>17.018999999999998</v>
      </c>
    </row>
    <row r="4490" spans="1:17" x14ac:dyDescent="0.2">
      <c r="A4490" s="30" t="str">
        <f>IF(C4490&amp;G4490&amp;D4490&lt;&gt;'Funnel setup'!$K$3&amp;'Funnel setup'!$K$4&amp;'Funnel setup'!$K$5,".",IF(A4489=".",1,A4489+1))</f>
        <v>.</v>
      </c>
      <c r="B4490" s="431" t="str">
        <f t="shared" si="70"/>
        <v>Knee Replacement PrimaryProviderSPIRE METHLEY PARK HOSPITAL (NT350)EQ VAS</v>
      </c>
      <c r="C4490" t="s">
        <v>249</v>
      </c>
      <c r="D4490" t="s">
        <v>1</v>
      </c>
      <c r="E4490" t="s">
        <v>3157</v>
      </c>
      <c r="F4490" t="s">
        <v>3158</v>
      </c>
      <c r="G4490" t="s">
        <v>179</v>
      </c>
      <c r="H4490">
        <v>111</v>
      </c>
      <c r="I4490">
        <v>70.936999999999998</v>
      </c>
      <c r="J4490">
        <v>76.864999999999995</v>
      </c>
      <c r="K4490">
        <v>5.9279999999999999</v>
      </c>
      <c r="L4490">
        <v>61</v>
      </c>
      <c r="M4490">
        <v>15</v>
      </c>
      <c r="N4490">
        <v>35</v>
      </c>
      <c r="O4490">
        <v>75.38</v>
      </c>
      <c r="P4490">
        <v>6.7219760580000001</v>
      </c>
      <c r="Q4490">
        <v>16.3</v>
      </c>
    </row>
    <row r="4491" spans="1:17" x14ac:dyDescent="0.2">
      <c r="A4491" s="30" t="str">
        <f>IF(C4491&amp;G4491&amp;D4491&lt;&gt;'Funnel setup'!$K$3&amp;'Funnel setup'!$K$4&amp;'Funnel setup'!$K$5,".",IF(A4490=".",1,A4490+1))</f>
        <v>.</v>
      </c>
      <c r="B4491" s="431" t="str">
        <f t="shared" si="70"/>
        <v>Knee Replacement PrimaryProviderSPIRE MONTEFIORE HOSPITAL (NT364)EQ VAS</v>
      </c>
      <c r="C4491" t="s">
        <v>249</v>
      </c>
      <c r="D4491" t="s">
        <v>1</v>
      </c>
      <c r="E4491" t="s">
        <v>3160</v>
      </c>
      <c r="F4491" t="s">
        <v>3161</v>
      </c>
      <c r="G4491" t="s">
        <v>179</v>
      </c>
      <c r="H4491">
        <v>35</v>
      </c>
      <c r="I4491">
        <v>71.828999999999994</v>
      </c>
      <c r="J4491">
        <v>81.057000000000002</v>
      </c>
      <c r="K4491">
        <v>9.2289999999999992</v>
      </c>
      <c r="L4491">
        <v>27</v>
      </c>
      <c r="M4491">
        <v>0</v>
      </c>
      <c r="N4491">
        <v>8</v>
      </c>
      <c r="O4491">
        <v>77.460999999999999</v>
      </c>
      <c r="P4491">
        <v>8.8023548819999995</v>
      </c>
      <c r="Q4491">
        <v>13.456</v>
      </c>
    </row>
    <row r="4492" spans="1:17" x14ac:dyDescent="0.2">
      <c r="A4492" s="30" t="str">
        <f>IF(C4492&amp;G4492&amp;D4492&lt;&gt;'Funnel setup'!$K$3&amp;'Funnel setup'!$K$4&amp;'Funnel setup'!$K$5,".",IF(A4491=".",1,A4491+1))</f>
        <v>.</v>
      </c>
      <c r="B4492" s="431" t="str">
        <f t="shared" si="70"/>
        <v>Knee Replacement PrimaryProviderSPIRE MURRAYFIELD HOSPITAL (NT325)EQ VAS</v>
      </c>
      <c r="C4492" t="s">
        <v>249</v>
      </c>
      <c r="D4492" t="s">
        <v>1</v>
      </c>
      <c r="E4492" t="s">
        <v>3163</v>
      </c>
      <c r="F4492" t="s">
        <v>3164</v>
      </c>
      <c r="G4492" t="s">
        <v>179</v>
      </c>
      <c r="H4492">
        <v>81</v>
      </c>
      <c r="I4492">
        <v>71.480999999999995</v>
      </c>
      <c r="J4492">
        <v>77.049000000000007</v>
      </c>
      <c r="K4492">
        <v>5.5679999999999996</v>
      </c>
      <c r="L4492">
        <v>38</v>
      </c>
      <c r="M4492">
        <v>14</v>
      </c>
      <c r="N4492">
        <v>29</v>
      </c>
      <c r="O4492">
        <v>75.066999999999993</v>
      </c>
      <c r="P4492">
        <v>6.4087522229999996</v>
      </c>
      <c r="Q4492">
        <v>14.32</v>
      </c>
    </row>
    <row r="4493" spans="1:17" x14ac:dyDescent="0.2">
      <c r="A4493" s="30" t="str">
        <f>IF(C4493&amp;G4493&amp;D4493&lt;&gt;'Funnel setup'!$K$3&amp;'Funnel setup'!$K$4&amp;'Funnel setup'!$K$5,".",IF(A4492=".",1,A4492+1))</f>
        <v>.</v>
      </c>
      <c r="B4493" s="431" t="str">
        <f t="shared" si="70"/>
        <v>Knee Replacement PrimaryProviderSPIRE NORWICH HOSPITAL (NT318)EQ VAS</v>
      </c>
      <c r="C4493" t="s">
        <v>249</v>
      </c>
      <c r="D4493" t="s">
        <v>1</v>
      </c>
      <c r="E4493" t="s">
        <v>4251</v>
      </c>
      <c r="F4493" t="s">
        <v>4252</v>
      </c>
      <c r="G4493" t="s">
        <v>179</v>
      </c>
      <c r="H4493">
        <v>188</v>
      </c>
      <c r="I4493">
        <v>75.277000000000001</v>
      </c>
      <c r="J4493">
        <v>78.813999999999993</v>
      </c>
      <c r="K4493">
        <v>3.5369999999999999</v>
      </c>
      <c r="L4493">
        <v>100</v>
      </c>
      <c r="M4493">
        <v>26</v>
      </c>
      <c r="N4493">
        <v>62</v>
      </c>
      <c r="O4493">
        <v>75.534000000000006</v>
      </c>
      <c r="P4493">
        <v>6.8753734399999997</v>
      </c>
      <c r="Q4493">
        <v>14.457000000000001</v>
      </c>
    </row>
    <row r="4494" spans="1:17" x14ac:dyDescent="0.2">
      <c r="A4494" s="30" t="str">
        <f>IF(C4494&amp;G4494&amp;D4494&lt;&gt;'Funnel setup'!$K$3&amp;'Funnel setup'!$K$4&amp;'Funnel setup'!$K$5,".",IF(A4493=".",1,A4493+1))</f>
        <v>.</v>
      </c>
      <c r="B4494" s="431" t="str">
        <f t="shared" si="70"/>
        <v>Knee Replacement PrimaryProviderSPIRE PARKWAY HOSPITAL (NT320)EQ VAS</v>
      </c>
      <c r="C4494" t="s">
        <v>249</v>
      </c>
      <c r="D4494" t="s">
        <v>1</v>
      </c>
      <c r="E4494" t="s">
        <v>3166</v>
      </c>
      <c r="F4494" t="s">
        <v>3167</v>
      </c>
      <c r="G4494" t="s">
        <v>179</v>
      </c>
      <c r="H4494">
        <v>72</v>
      </c>
      <c r="I4494">
        <v>62.735999999999997</v>
      </c>
      <c r="J4494">
        <v>76.444000000000003</v>
      </c>
      <c r="K4494">
        <v>13.708</v>
      </c>
      <c r="L4494">
        <v>49</v>
      </c>
      <c r="M4494">
        <v>8</v>
      </c>
      <c r="N4494">
        <v>15</v>
      </c>
      <c r="O4494">
        <v>78.241</v>
      </c>
      <c r="P4494">
        <v>9.5830857730000005</v>
      </c>
      <c r="Q4494">
        <v>15.87</v>
      </c>
    </row>
    <row r="4495" spans="1:17" x14ac:dyDescent="0.2">
      <c r="A4495" s="30" t="str">
        <f>IF(C4495&amp;G4495&amp;D4495&lt;&gt;'Funnel setup'!$K$3&amp;'Funnel setup'!$K$4&amp;'Funnel setup'!$K$5,".",IF(A4494=".",1,A4494+1))</f>
        <v>.</v>
      </c>
      <c r="B4495" s="431" t="str">
        <f t="shared" si="70"/>
        <v>Knee Replacement PrimaryProviderSPIRE PORTSMOUTH HOSPITAL (NT305)EQ VAS</v>
      </c>
      <c r="C4495" t="s">
        <v>249</v>
      </c>
      <c r="D4495" t="s">
        <v>1</v>
      </c>
      <c r="E4495" t="s">
        <v>3169</v>
      </c>
      <c r="F4495" t="s">
        <v>340</v>
      </c>
      <c r="G4495" t="s">
        <v>179</v>
      </c>
      <c r="H4495">
        <v>86</v>
      </c>
      <c r="I4495">
        <v>76.162999999999997</v>
      </c>
      <c r="J4495">
        <v>80.174000000000007</v>
      </c>
      <c r="K4495">
        <v>4.0119999999999996</v>
      </c>
      <c r="L4495">
        <v>42</v>
      </c>
      <c r="M4495">
        <v>9</v>
      </c>
      <c r="N4495">
        <v>35</v>
      </c>
      <c r="O4495">
        <v>75.971999999999994</v>
      </c>
      <c r="P4495">
        <v>7.3139144119999999</v>
      </c>
      <c r="Q4495">
        <v>14.077999999999999</v>
      </c>
    </row>
    <row r="4496" spans="1:17" x14ac:dyDescent="0.2">
      <c r="A4496" s="30" t="str">
        <f>IF(C4496&amp;G4496&amp;D4496&lt;&gt;'Funnel setup'!$K$3&amp;'Funnel setup'!$K$4&amp;'Funnel setup'!$K$5,".",IF(A4495=".",1,A4495+1))</f>
        <v>.</v>
      </c>
      <c r="B4496" s="431" t="str">
        <f t="shared" si="70"/>
        <v>Knee Replacement PrimaryProviderSPIRE REGENCY HOSPITAL (NT339)EQ VAS</v>
      </c>
      <c r="C4496" t="s">
        <v>249</v>
      </c>
      <c r="D4496" t="s">
        <v>1</v>
      </c>
      <c r="E4496" t="s">
        <v>3171</v>
      </c>
      <c r="F4496" t="s">
        <v>3172</v>
      </c>
      <c r="G4496" t="s">
        <v>179</v>
      </c>
      <c r="H4496">
        <v>45</v>
      </c>
      <c r="I4496">
        <v>67.289000000000001</v>
      </c>
      <c r="J4496">
        <v>75.8</v>
      </c>
      <c r="K4496">
        <v>8.5109999999999992</v>
      </c>
      <c r="L4496">
        <v>29</v>
      </c>
      <c r="M4496">
        <v>4</v>
      </c>
      <c r="N4496">
        <v>12</v>
      </c>
      <c r="O4496">
        <v>74.602999999999994</v>
      </c>
      <c r="P4496">
        <v>5.9447126370000003</v>
      </c>
      <c r="Q4496">
        <v>16.216999999999999</v>
      </c>
    </row>
    <row r="4497" spans="1:17" x14ac:dyDescent="0.2">
      <c r="A4497" s="30" t="str">
        <f>IF(C4497&amp;G4497&amp;D4497&lt;&gt;'Funnel setup'!$K$3&amp;'Funnel setup'!$K$4&amp;'Funnel setup'!$K$5,".",IF(A4496=".",1,A4496+1))</f>
        <v>.</v>
      </c>
      <c r="B4497" s="431" t="str">
        <f t="shared" si="70"/>
        <v>Knee Replacement PrimaryProviderSPIRE RODING HOSPITAL (NT314)EQ VAS</v>
      </c>
      <c r="C4497" t="s">
        <v>249</v>
      </c>
      <c r="D4497" t="s">
        <v>1</v>
      </c>
      <c r="E4497" t="s">
        <v>4254</v>
      </c>
      <c r="F4497" t="s">
        <v>4255</v>
      </c>
      <c r="G4497" t="s">
        <v>179</v>
      </c>
      <c r="H4497">
        <v>29</v>
      </c>
      <c r="I4497">
        <v>64.724000000000004</v>
      </c>
      <c r="J4497">
        <v>66.206999999999994</v>
      </c>
      <c r="K4497">
        <v>1.4830000000000001</v>
      </c>
      <c r="L4497">
        <v>13</v>
      </c>
      <c r="M4497">
        <v>5</v>
      </c>
      <c r="N4497">
        <v>11</v>
      </c>
      <c r="O4497" t="s">
        <v>53</v>
      </c>
      <c r="P4497" t="s">
        <v>53</v>
      </c>
      <c r="Q4497" t="s">
        <v>53</v>
      </c>
    </row>
    <row r="4498" spans="1:17" x14ac:dyDescent="0.2">
      <c r="A4498" s="30" t="str">
        <f>IF(C4498&amp;G4498&amp;D4498&lt;&gt;'Funnel setup'!$K$3&amp;'Funnel setup'!$K$4&amp;'Funnel setup'!$K$5,".",IF(A4497=".",1,A4497+1))</f>
        <v>.</v>
      </c>
      <c r="B4498" s="431" t="str">
        <f t="shared" si="70"/>
        <v>Knee Replacement PrimaryProviderSPIRE SOUTH BANK HOSPITAL (NT301)EQ VAS</v>
      </c>
      <c r="C4498" t="s">
        <v>249</v>
      </c>
      <c r="D4498" t="s">
        <v>1</v>
      </c>
      <c r="E4498" t="s">
        <v>3174</v>
      </c>
      <c r="F4498" t="s">
        <v>3175</v>
      </c>
      <c r="G4498" t="s">
        <v>179</v>
      </c>
      <c r="H4498">
        <v>40</v>
      </c>
      <c r="I4498">
        <v>74</v>
      </c>
      <c r="J4498">
        <v>77.55</v>
      </c>
      <c r="K4498">
        <v>3.55</v>
      </c>
      <c r="L4498">
        <v>22</v>
      </c>
      <c r="M4498">
        <v>5</v>
      </c>
      <c r="N4498">
        <v>13</v>
      </c>
      <c r="O4498">
        <v>74.122</v>
      </c>
      <c r="P4498">
        <v>5.4639590189999998</v>
      </c>
      <c r="Q4498">
        <v>16.87</v>
      </c>
    </row>
    <row r="4499" spans="1:17" x14ac:dyDescent="0.2">
      <c r="A4499" s="30" t="str">
        <f>IF(C4499&amp;G4499&amp;D4499&lt;&gt;'Funnel setup'!$K$3&amp;'Funnel setup'!$K$4&amp;'Funnel setup'!$K$5,".",IF(A4498=".",1,A4498+1))</f>
        <v>.</v>
      </c>
      <c r="B4499" s="431" t="str">
        <f t="shared" si="70"/>
        <v>Knee Replacement PrimaryProviderSPIRE ST SAVIOURS HOSPITAL (NT346)EQ VAS</v>
      </c>
      <c r="C4499" t="s">
        <v>249</v>
      </c>
      <c r="D4499" t="s">
        <v>1</v>
      </c>
      <c r="E4499" t="s">
        <v>3177</v>
      </c>
      <c r="F4499" t="s">
        <v>3178</v>
      </c>
      <c r="G4499" t="s">
        <v>179</v>
      </c>
      <c r="H4499">
        <v>11</v>
      </c>
      <c r="I4499">
        <v>81.817999999999998</v>
      </c>
      <c r="J4499">
        <v>89.545000000000002</v>
      </c>
      <c r="K4499">
        <v>7.7270000000000003</v>
      </c>
      <c r="L4499">
        <v>5</v>
      </c>
      <c r="M4499">
        <v>5</v>
      </c>
      <c r="N4499">
        <v>1</v>
      </c>
      <c r="O4499" t="s">
        <v>53</v>
      </c>
      <c r="P4499" t="s">
        <v>53</v>
      </c>
      <c r="Q4499" t="s">
        <v>53</v>
      </c>
    </row>
    <row r="4500" spans="1:17" x14ac:dyDescent="0.2">
      <c r="A4500" s="30" t="str">
        <f>IF(C4500&amp;G4500&amp;D4500&lt;&gt;'Funnel setup'!$K$3&amp;'Funnel setup'!$K$4&amp;'Funnel setup'!$K$5,".",IF(A4499=".",1,A4499+1))</f>
        <v>.</v>
      </c>
      <c r="B4500" s="431" t="str">
        <f t="shared" si="70"/>
        <v>Knee Replacement PrimaryProviderSPIRE SUSSEX HOSPITAL (NT309)EQ VAS</v>
      </c>
      <c r="C4500" t="s">
        <v>249</v>
      </c>
      <c r="D4500" t="s">
        <v>1</v>
      </c>
      <c r="E4500" t="s">
        <v>3180</v>
      </c>
      <c r="F4500" t="s">
        <v>3181</v>
      </c>
      <c r="G4500" t="s">
        <v>179</v>
      </c>
      <c r="H4500">
        <v>43</v>
      </c>
      <c r="I4500">
        <v>68.721000000000004</v>
      </c>
      <c r="J4500">
        <v>76.046999999999997</v>
      </c>
      <c r="K4500">
        <v>7.3259999999999996</v>
      </c>
      <c r="L4500">
        <v>27</v>
      </c>
      <c r="M4500">
        <v>6</v>
      </c>
      <c r="N4500">
        <v>10</v>
      </c>
      <c r="O4500">
        <v>74.771000000000001</v>
      </c>
      <c r="P4500">
        <v>6.1124970769999996</v>
      </c>
      <c r="Q4500">
        <v>18.324000000000002</v>
      </c>
    </row>
    <row r="4501" spans="1:17" x14ac:dyDescent="0.2">
      <c r="A4501" s="30" t="str">
        <f>IF(C4501&amp;G4501&amp;D4501&lt;&gt;'Funnel setup'!$K$3&amp;'Funnel setup'!$K$4&amp;'Funnel setup'!$K$5,".",IF(A4500=".",1,A4500+1))</f>
        <v>.</v>
      </c>
      <c r="B4501" s="431" t="str">
        <f t="shared" si="70"/>
        <v>Knee Replacement PrimaryProviderSPIRE THAMES VALLEY HOSPITAL (NT343)EQ VAS</v>
      </c>
      <c r="C4501" t="s">
        <v>249</v>
      </c>
      <c r="D4501" t="s">
        <v>1</v>
      </c>
      <c r="E4501" t="s">
        <v>3183</v>
      </c>
      <c r="F4501" t="s">
        <v>3184</v>
      </c>
      <c r="G4501" t="s">
        <v>179</v>
      </c>
      <c r="H4501" t="s">
        <v>53</v>
      </c>
      <c r="I4501" t="s">
        <v>53</v>
      </c>
      <c r="J4501" t="s">
        <v>53</v>
      </c>
      <c r="K4501" t="s">
        <v>53</v>
      </c>
      <c r="L4501" t="s">
        <v>53</v>
      </c>
      <c r="M4501" t="s">
        <v>53</v>
      </c>
      <c r="N4501" t="s">
        <v>53</v>
      </c>
      <c r="O4501" t="s">
        <v>53</v>
      </c>
      <c r="P4501" t="s">
        <v>53</v>
      </c>
      <c r="Q4501" t="s">
        <v>53</v>
      </c>
    </row>
    <row r="4502" spans="1:17" x14ac:dyDescent="0.2">
      <c r="A4502" s="30" t="str">
        <f>IF(C4502&amp;G4502&amp;D4502&lt;&gt;'Funnel setup'!$K$3&amp;'Funnel setup'!$K$4&amp;'Funnel setup'!$K$5,".",IF(A4501=".",1,A4501+1))</f>
        <v>.</v>
      </c>
      <c r="B4502" s="431" t="str">
        <f t="shared" si="70"/>
        <v>Knee Replacement PrimaryProviderSPIRE TUNBRIDGE WELLS HOSPITAL (NT310)EQ VAS</v>
      </c>
      <c r="C4502" t="s">
        <v>249</v>
      </c>
      <c r="D4502" t="s">
        <v>1</v>
      </c>
      <c r="E4502" t="s">
        <v>3186</v>
      </c>
      <c r="F4502" t="s">
        <v>3187</v>
      </c>
      <c r="G4502" t="s">
        <v>179</v>
      </c>
      <c r="H4502" t="s">
        <v>53</v>
      </c>
      <c r="I4502" t="s">
        <v>53</v>
      </c>
      <c r="J4502" t="s">
        <v>53</v>
      </c>
      <c r="K4502" t="s">
        <v>53</v>
      </c>
      <c r="L4502" t="s">
        <v>53</v>
      </c>
      <c r="M4502" t="s">
        <v>53</v>
      </c>
      <c r="N4502" t="s">
        <v>53</v>
      </c>
      <c r="O4502" t="s">
        <v>53</v>
      </c>
      <c r="P4502" t="s">
        <v>53</v>
      </c>
      <c r="Q4502" t="s">
        <v>53</v>
      </c>
    </row>
    <row r="4503" spans="1:17" x14ac:dyDescent="0.2">
      <c r="A4503" s="30" t="str">
        <f>IF(C4503&amp;G4503&amp;D4503&lt;&gt;'Funnel setup'!$K$3&amp;'Funnel setup'!$K$4&amp;'Funnel setup'!$K$5,".",IF(A4502=".",1,A4502+1))</f>
        <v>.</v>
      </c>
      <c r="B4503" s="431" t="str">
        <f t="shared" si="70"/>
        <v>Knee Replacement PrimaryProviderSPIRE WASHINGTON HOSPITAL (NT333)EQ VAS</v>
      </c>
      <c r="C4503" t="s">
        <v>249</v>
      </c>
      <c r="D4503" t="s">
        <v>1</v>
      </c>
      <c r="E4503" t="s">
        <v>3189</v>
      </c>
      <c r="F4503" t="s">
        <v>3190</v>
      </c>
      <c r="G4503" t="s">
        <v>179</v>
      </c>
      <c r="H4503">
        <v>79</v>
      </c>
      <c r="I4503">
        <v>80.772000000000006</v>
      </c>
      <c r="J4503">
        <v>80.38</v>
      </c>
      <c r="K4503">
        <v>-0.39200000000000002</v>
      </c>
      <c r="L4503">
        <v>33</v>
      </c>
      <c r="M4503">
        <v>12</v>
      </c>
      <c r="N4503">
        <v>34</v>
      </c>
      <c r="O4503">
        <v>74.462999999999994</v>
      </c>
      <c r="P4503">
        <v>5.8049343159999998</v>
      </c>
      <c r="Q4503">
        <v>12.048999999999999</v>
      </c>
    </row>
    <row r="4504" spans="1:17" x14ac:dyDescent="0.2">
      <c r="A4504" s="30" t="str">
        <f>IF(C4504&amp;G4504&amp;D4504&lt;&gt;'Funnel setup'!$K$3&amp;'Funnel setup'!$K$4&amp;'Funnel setup'!$K$5,".",IF(A4503=".",1,A4503+1))</f>
        <v>.</v>
      </c>
      <c r="B4504" s="431" t="str">
        <f t="shared" si="70"/>
        <v>Knee Replacement PrimaryProviderSPIRE WELLESLEY HOSPITAL (NT313)EQ VAS</v>
      </c>
      <c r="C4504" t="s">
        <v>249</v>
      </c>
      <c r="D4504" t="s">
        <v>1</v>
      </c>
      <c r="E4504" t="s">
        <v>3192</v>
      </c>
      <c r="F4504" t="s">
        <v>3193</v>
      </c>
      <c r="G4504" t="s">
        <v>179</v>
      </c>
      <c r="H4504">
        <v>103</v>
      </c>
      <c r="I4504">
        <v>68.290999999999997</v>
      </c>
      <c r="J4504">
        <v>73.456000000000003</v>
      </c>
      <c r="K4504">
        <v>5.165</v>
      </c>
      <c r="L4504">
        <v>55</v>
      </c>
      <c r="M4504">
        <v>15</v>
      </c>
      <c r="N4504">
        <v>33</v>
      </c>
      <c r="O4504">
        <v>72.8</v>
      </c>
      <c r="P4504">
        <v>4.1415422089999998</v>
      </c>
      <c r="Q4504">
        <v>16.963000000000001</v>
      </c>
    </row>
    <row r="4505" spans="1:17" x14ac:dyDescent="0.2">
      <c r="A4505" s="30" t="str">
        <f>IF(C4505&amp;G4505&amp;D4505&lt;&gt;'Funnel setup'!$K$3&amp;'Funnel setup'!$K$4&amp;'Funnel setup'!$K$5,".",IF(A4504=".",1,A4504+1))</f>
        <v>.</v>
      </c>
      <c r="B4505" s="431" t="str">
        <f t="shared" si="70"/>
        <v>Knee Replacement PrimaryProviderSPRINGFIELD HOSPITAL (NVC18)EQ VAS</v>
      </c>
      <c r="C4505" t="s">
        <v>249</v>
      </c>
      <c r="D4505" t="s">
        <v>1</v>
      </c>
      <c r="E4505" t="s">
        <v>3195</v>
      </c>
      <c r="F4505" t="s">
        <v>3196</v>
      </c>
      <c r="G4505" t="s">
        <v>179</v>
      </c>
      <c r="H4505">
        <v>114</v>
      </c>
      <c r="I4505">
        <v>72.86</v>
      </c>
      <c r="J4505">
        <v>78.438999999999993</v>
      </c>
      <c r="K4505">
        <v>5.5789999999999997</v>
      </c>
      <c r="L4505">
        <v>61</v>
      </c>
      <c r="M4505">
        <v>19</v>
      </c>
      <c r="N4505">
        <v>34</v>
      </c>
      <c r="O4505">
        <v>75.253</v>
      </c>
      <c r="P4505">
        <v>6.5944000970000003</v>
      </c>
      <c r="Q4505">
        <v>13.298999999999999</v>
      </c>
    </row>
    <row r="4506" spans="1:17" x14ac:dyDescent="0.2">
      <c r="A4506" s="30" t="str">
        <f>IF(C4506&amp;G4506&amp;D4506&lt;&gt;'Funnel setup'!$K$3&amp;'Funnel setup'!$K$4&amp;'Funnel setup'!$K$5,".",IF(A4505=".",1,A4505+1))</f>
        <v>.</v>
      </c>
      <c r="B4506" s="431" t="str">
        <f t="shared" si="70"/>
        <v>Knee Replacement PrimaryProviderST GEORGE'S UNIVERSITY HOSPITALS NHS FOUNDATION TRUST (RJ7)EQ VAS</v>
      </c>
      <c r="C4506" t="s">
        <v>249</v>
      </c>
      <c r="D4506" t="s">
        <v>1</v>
      </c>
      <c r="E4506" t="s">
        <v>3124</v>
      </c>
      <c r="F4506" t="s">
        <v>3125</v>
      </c>
      <c r="G4506" t="s">
        <v>179</v>
      </c>
      <c r="H4506" t="s">
        <v>53</v>
      </c>
      <c r="I4506" t="s">
        <v>53</v>
      </c>
      <c r="J4506" t="s">
        <v>53</v>
      </c>
      <c r="K4506" t="s">
        <v>53</v>
      </c>
      <c r="L4506" t="s">
        <v>53</v>
      </c>
      <c r="M4506" t="s">
        <v>53</v>
      </c>
      <c r="N4506" t="s">
        <v>53</v>
      </c>
      <c r="O4506" t="s">
        <v>53</v>
      </c>
      <c r="P4506" t="s">
        <v>53</v>
      </c>
      <c r="Q4506" t="s">
        <v>53</v>
      </c>
    </row>
    <row r="4507" spans="1:17" x14ac:dyDescent="0.2">
      <c r="A4507" s="30" t="str">
        <f>IF(C4507&amp;G4507&amp;D4507&lt;&gt;'Funnel setup'!$K$3&amp;'Funnel setup'!$K$4&amp;'Funnel setup'!$K$5,".",IF(A4506=".",1,A4506+1))</f>
        <v>.</v>
      </c>
      <c r="B4507" s="431" t="str">
        <f t="shared" si="70"/>
        <v>Knee Replacement PrimaryProviderST HELENS AND KNOWSLEY HOSPITALS NHS TRUST (RBN)EQ VAS</v>
      </c>
      <c r="C4507" t="s">
        <v>249</v>
      </c>
      <c r="D4507" t="s">
        <v>1</v>
      </c>
      <c r="E4507" t="s">
        <v>3127</v>
      </c>
      <c r="F4507" t="s">
        <v>3128</v>
      </c>
      <c r="G4507" t="s">
        <v>179</v>
      </c>
      <c r="H4507">
        <v>222</v>
      </c>
      <c r="I4507">
        <v>70.013999999999996</v>
      </c>
      <c r="J4507">
        <v>72.194000000000003</v>
      </c>
      <c r="K4507">
        <v>2.1800000000000002</v>
      </c>
      <c r="L4507">
        <v>109</v>
      </c>
      <c r="M4507">
        <v>27</v>
      </c>
      <c r="N4507">
        <v>86</v>
      </c>
      <c r="O4507">
        <v>73.198999999999998</v>
      </c>
      <c r="P4507">
        <v>4.5405787589999997</v>
      </c>
      <c r="Q4507">
        <v>16.218</v>
      </c>
    </row>
    <row r="4508" spans="1:17" x14ac:dyDescent="0.2">
      <c r="A4508" s="30" t="str">
        <f>IF(C4508&amp;G4508&amp;D4508&lt;&gt;'Funnel setup'!$K$3&amp;'Funnel setup'!$K$4&amp;'Funnel setup'!$K$5,".",IF(A4507=".",1,A4507+1))</f>
        <v>.</v>
      </c>
      <c r="B4508" s="431" t="str">
        <f t="shared" si="70"/>
        <v>Knee Replacement PrimaryProviderST HUGH'S HOSPITAL (NTE02)EQ VAS</v>
      </c>
      <c r="C4508" t="s">
        <v>249</v>
      </c>
      <c r="D4508" t="s">
        <v>1</v>
      </c>
      <c r="E4508" t="s">
        <v>3130</v>
      </c>
      <c r="F4508" t="s">
        <v>3131</v>
      </c>
      <c r="G4508" t="s">
        <v>179</v>
      </c>
      <c r="H4508">
        <v>44</v>
      </c>
      <c r="I4508">
        <v>73.864000000000004</v>
      </c>
      <c r="J4508">
        <v>80.682000000000002</v>
      </c>
      <c r="K4508">
        <v>6.8179999999999996</v>
      </c>
      <c r="L4508">
        <v>24</v>
      </c>
      <c r="M4508">
        <v>9</v>
      </c>
      <c r="N4508">
        <v>11</v>
      </c>
      <c r="O4508">
        <v>76.186000000000007</v>
      </c>
      <c r="P4508">
        <v>7.5271870789999999</v>
      </c>
      <c r="Q4508">
        <v>12.246</v>
      </c>
    </row>
    <row r="4509" spans="1:17" x14ac:dyDescent="0.2">
      <c r="A4509" s="30" t="str">
        <f>IF(C4509&amp;G4509&amp;D4509&lt;&gt;'Funnel setup'!$K$3&amp;'Funnel setup'!$K$4&amp;'Funnel setup'!$K$5,".",IF(A4508=".",1,A4508+1))</f>
        <v>.</v>
      </c>
      <c r="B4509" s="431" t="str">
        <f t="shared" si="70"/>
        <v>Knee Replacement PrimaryProviderSTOCKPORT NHS FOUNDATION TRUST (RWJ)EQ VAS</v>
      </c>
      <c r="C4509" t="s">
        <v>249</v>
      </c>
      <c r="D4509" t="s">
        <v>1</v>
      </c>
      <c r="E4509" t="s">
        <v>3142</v>
      </c>
      <c r="F4509" t="s">
        <v>3143</v>
      </c>
      <c r="G4509" t="s">
        <v>179</v>
      </c>
      <c r="H4509">
        <v>168</v>
      </c>
      <c r="I4509">
        <v>65.826999999999998</v>
      </c>
      <c r="J4509">
        <v>75.613</v>
      </c>
      <c r="K4509">
        <v>9.7859999999999996</v>
      </c>
      <c r="L4509">
        <v>111</v>
      </c>
      <c r="M4509">
        <v>18</v>
      </c>
      <c r="N4509">
        <v>39</v>
      </c>
      <c r="O4509">
        <v>75.427999999999997</v>
      </c>
      <c r="P4509">
        <v>6.7698047539999999</v>
      </c>
      <c r="Q4509">
        <v>14.428000000000001</v>
      </c>
    </row>
    <row r="4510" spans="1:17" x14ac:dyDescent="0.2">
      <c r="A4510" s="30" t="str">
        <f>IF(C4510&amp;G4510&amp;D4510&lt;&gt;'Funnel setup'!$K$3&amp;'Funnel setup'!$K$4&amp;'Funnel setup'!$K$5,".",IF(A4509=".",1,A4509+1))</f>
        <v>.</v>
      </c>
      <c r="B4510" s="431" t="str">
        <f t="shared" si="70"/>
        <v>Knee Replacement PrimaryProviderSURREY AND SUSSEX HEALTHCARE NHS TRUST (RTP)EQ VAS</v>
      </c>
      <c r="C4510" t="s">
        <v>249</v>
      </c>
      <c r="D4510" t="s">
        <v>1</v>
      </c>
      <c r="E4510" t="s">
        <v>3145</v>
      </c>
      <c r="F4510" t="s">
        <v>3146</v>
      </c>
      <c r="G4510" t="s">
        <v>179</v>
      </c>
      <c r="H4510">
        <v>110</v>
      </c>
      <c r="I4510">
        <v>68.790999999999997</v>
      </c>
      <c r="J4510">
        <v>74.364000000000004</v>
      </c>
      <c r="K4510">
        <v>5.5730000000000004</v>
      </c>
      <c r="L4510">
        <v>60</v>
      </c>
      <c r="M4510">
        <v>17</v>
      </c>
      <c r="N4510">
        <v>33</v>
      </c>
      <c r="O4510">
        <v>74.171000000000006</v>
      </c>
      <c r="P4510">
        <v>5.5125030170000002</v>
      </c>
      <c r="Q4510">
        <v>13.459</v>
      </c>
    </row>
    <row r="4511" spans="1:17" x14ac:dyDescent="0.2">
      <c r="A4511" s="30" t="str">
        <f>IF(C4511&amp;G4511&amp;D4511&lt;&gt;'Funnel setup'!$K$3&amp;'Funnel setup'!$K$4&amp;'Funnel setup'!$K$5,".",IF(A4510=".",1,A4510+1))</f>
        <v>.</v>
      </c>
      <c r="B4511" s="431" t="str">
        <f t="shared" si="70"/>
        <v>Knee Replacement PrimaryProviderTAMESIDE HOSPITAL NHS FOUNDATION TRUST (RMP)EQ VAS</v>
      </c>
      <c r="C4511" t="s">
        <v>249</v>
      </c>
      <c r="D4511" t="s">
        <v>1</v>
      </c>
      <c r="E4511" t="s">
        <v>3148</v>
      </c>
      <c r="F4511" t="s">
        <v>3149</v>
      </c>
      <c r="G4511" t="s">
        <v>179</v>
      </c>
      <c r="H4511">
        <v>128</v>
      </c>
      <c r="I4511">
        <v>64.656000000000006</v>
      </c>
      <c r="J4511">
        <v>71.914000000000001</v>
      </c>
      <c r="K4511">
        <v>7.258</v>
      </c>
      <c r="L4511">
        <v>69</v>
      </c>
      <c r="M4511">
        <v>15</v>
      </c>
      <c r="N4511">
        <v>44</v>
      </c>
      <c r="O4511">
        <v>75.003</v>
      </c>
      <c r="P4511">
        <v>6.3447506870000003</v>
      </c>
      <c r="Q4511">
        <v>14.923</v>
      </c>
    </row>
    <row r="4512" spans="1:17" x14ac:dyDescent="0.2">
      <c r="A4512" s="30" t="str">
        <f>IF(C4512&amp;G4512&amp;D4512&lt;&gt;'Funnel setup'!$K$3&amp;'Funnel setup'!$K$4&amp;'Funnel setup'!$K$5,".",IF(A4511=".",1,A4511+1))</f>
        <v>.</v>
      </c>
      <c r="B4512" s="431" t="str">
        <f t="shared" si="70"/>
        <v>Knee Replacement PrimaryProviderTAUNTON AND SOMERSET NHS FOUNDATION TRUST (RBA)EQ VAS</v>
      </c>
      <c r="C4512" t="s">
        <v>249</v>
      </c>
      <c r="D4512" t="s">
        <v>1</v>
      </c>
      <c r="E4512" t="s">
        <v>3151</v>
      </c>
      <c r="F4512" t="s">
        <v>3152</v>
      </c>
      <c r="G4512" t="s">
        <v>179</v>
      </c>
      <c r="H4512">
        <v>68</v>
      </c>
      <c r="I4512">
        <v>67.897000000000006</v>
      </c>
      <c r="J4512">
        <v>74.043999999999997</v>
      </c>
      <c r="K4512">
        <v>6.1470000000000002</v>
      </c>
      <c r="L4512">
        <v>40</v>
      </c>
      <c r="M4512">
        <v>17</v>
      </c>
      <c r="N4512">
        <v>11</v>
      </c>
      <c r="O4512">
        <v>75.007999999999996</v>
      </c>
      <c r="P4512">
        <v>6.3497095989999996</v>
      </c>
      <c r="Q4512">
        <v>17.114000000000001</v>
      </c>
    </row>
    <row r="4513" spans="1:17" x14ac:dyDescent="0.2">
      <c r="A4513" s="30" t="str">
        <f>IF(C4513&amp;G4513&amp;D4513&lt;&gt;'Funnel setup'!$K$3&amp;'Funnel setup'!$K$4&amp;'Funnel setup'!$K$5,".",IF(A4512=".",1,A4512+1))</f>
        <v>.</v>
      </c>
      <c r="B4513" s="431" t="str">
        <f t="shared" si="70"/>
        <v>Knee Replacement PrimaryProviderTHE BERKSHIRE INDEPENDENT HOSPITAL (NVC02)EQ VAS</v>
      </c>
      <c r="C4513" t="s">
        <v>249</v>
      </c>
      <c r="D4513" t="s">
        <v>1</v>
      </c>
      <c r="E4513" t="s">
        <v>3118</v>
      </c>
      <c r="F4513" t="s">
        <v>3119</v>
      </c>
      <c r="G4513" t="s">
        <v>179</v>
      </c>
      <c r="H4513">
        <v>41</v>
      </c>
      <c r="I4513">
        <v>74.293000000000006</v>
      </c>
      <c r="J4513">
        <v>79.049000000000007</v>
      </c>
      <c r="K4513">
        <v>4.7560000000000002</v>
      </c>
      <c r="L4513">
        <v>18</v>
      </c>
      <c r="M4513">
        <v>9</v>
      </c>
      <c r="N4513">
        <v>14</v>
      </c>
      <c r="O4513">
        <v>75.537000000000006</v>
      </c>
      <c r="P4513">
        <v>6.8788117089999998</v>
      </c>
      <c r="Q4513">
        <v>11.978999999999999</v>
      </c>
    </row>
    <row r="4514" spans="1:17" x14ac:dyDescent="0.2">
      <c r="A4514" s="30" t="str">
        <f>IF(C4514&amp;G4514&amp;D4514&lt;&gt;'Funnel setup'!$K$3&amp;'Funnel setup'!$K$4&amp;'Funnel setup'!$K$5,".",IF(A4513=".",1,A4513+1))</f>
        <v>.</v>
      </c>
      <c r="B4514" s="431" t="str">
        <f t="shared" si="70"/>
        <v>Knee Replacement PrimaryProviderTHE DUDLEY GROUP NHS FOUNDATION TRUST (RNA)EQ VAS</v>
      </c>
      <c r="C4514" t="s">
        <v>249</v>
      </c>
      <c r="D4514" t="s">
        <v>1</v>
      </c>
      <c r="E4514" t="s">
        <v>3121</v>
      </c>
      <c r="F4514" t="s">
        <v>3122</v>
      </c>
      <c r="G4514" t="s">
        <v>179</v>
      </c>
      <c r="H4514">
        <v>278</v>
      </c>
      <c r="I4514">
        <v>67.680000000000007</v>
      </c>
      <c r="J4514">
        <v>72.704999999999998</v>
      </c>
      <c r="K4514">
        <v>5.0250000000000004</v>
      </c>
      <c r="L4514">
        <v>160</v>
      </c>
      <c r="M4514">
        <v>29</v>
      </c>
      <c r="N4514">
        <v>89</v>
      </c>
      <c r="O4514">
        <v>74.334000000000003</v>
      </c>
      <c r="P4514">
        <v>5.6752641070000003</v>
      </c>
      <c r="Q4514">
        <v>16.067</v>
      </c>
    </row>
    <row r="4515" spans="1:17" x14ac:dyDescent="0.2">
      <c r="A4515" s="30" t="str">
        <f>IF(C4515&amp;G4515&amp;D4515&lt;&gt;'Funnel setup'!$K$3&amp;'Funnel setup'!$K$4&amp;'Funnel setup'!$K$5,".",IF(A4514=".",1,A4514+1))</f>
        <v>.</v>
      </c>
      <c r="B4515" s="431" t="str">
        <f t="shared" si="70"/>
        <v>Knee Replacement PrimaryProviderTHE HILLINGDON HOSPITALS NHS FOUNDATION TRUST (RAS)EQ VAS</v>
      </c>
      <c r="C4515" t="s">
        <v>249</v>
      </c>
      <c r="D4515" t="s">
        <v>1</v>
      </c>
      <c r="E4515" t="s">
        <v>3115</v>
      </c>
      <c r="F4515" t="s">
        <v>3116</v>
      </c>
      <c r="G4515" t="s">
        <v>179</v>
      </c>
      <c r="H4515">
        <v>156</v>
      </c>
      <c r="I4515">
        <v>69.885000000000005</v>
      </c>
      <c r="J4515">
        <v>72</v>
      </c>
      <c r="K4515">
        <v>2.1150000000000002</v>
      </c>
      <c r="L4515">
        <v>71</v>
      </c>
      <c r="M4515">
        <v>34</v>
      </c>
      <c r="N4515">
        <v>51</v>
      </c>
      <c r="O4515">
        <v>72.864000000000004</v>
      </c>
      <c r="P4515">
        <v>4.205881862</v>
      </c>
      <c r="Q4515">
        <v>14.096</v>
      </c>
    </row>
    <row r="4516" spans="1:17" x14ac:dyDescent="0.2">
      <c r="A4516" s="30" t="str">
        <f>IF(C4516&amp;G4516&amp;D4516&lt;&gt;'Funnel setup'!$K$3&amp;'Funnel setup'!$K$4&amp;'Funnel setup'!$K$5,".",IF(A4515=".",1,A4515+1))</f>
        <v>.</v>
      </c>
      <c r="B4516" s="431" t="str">
        <f t="shared" si="70"/>
        <v>Knee Replacement PrimaryProviderTHE HORDER CENTRE - ST JOHNS ROAD (NXM01)EQ VAS</v>
      </c>
      <c r="C4516" t="s">
        <v>249</v>
      </c>
      <c r="D4516" t="s">
        <v>1</v>
      </c>
      <c r="E4516" t="s">
        <v>4222</v>
      </c>
      <c r="F4516" t="s">
        <v>4223</v>
      </c>
      <c r="G4516" t="s">
        <v>179</v>
      </c>
      <c r="H4516">
        <v>617</v>
      </c>
      <c r="I4516">
        <v>75.63</v>
      </c>
      <c r="J4516">
        <v>79.921999999999997</v>
      </c>
      <c r="K4516">
        <v>4.2919999999999998</v>
      </c>
      <c r="L4516">
        <v>326</v>
      </c>
      <c r="M4516">
        <v>87</v>
      </c>
      <c r="N4516">
        <v>204</v>
      </c>
      <c r="O4516">
        <v>75.965000000000003</v>
      </c>
      <c r="P4516">
        <v>7.3070631820000003</v>
      </c>
      <c r="Q4516">
        <v>13.071999999999999</v>
      </c>
    </row>
    <row r="4517" spans="1:17" x14ac:dyDescent="0.2">
      <c r="A4517" s="30" t="str">
        <f>IF(C4517&amp;G4517&amp;D4517&lt;&gt;'Funnel setup'!$K$3&amp;'Funnel setup'!$K$4&amp;'Funnel setup'!$K$5,".",IF(A4516=".",1,A4516+1))</f>
        <v>.</v>
      </c>
      <c r="B4517" s="431" t="str">
        <f t="shared" si="70"/>
        <v>Knee Replacement PrimaryProviderTHE NEWCASTLE UPON TYNE HOSPITALS NHS FOUNDATION TRUST (RTD)EQ VAS</v>
      </c>
      <c r="C4517" t="s">
        <v>249</v>
      </c>
      <c r="D4517" t="s">
        <v>1</v>
      </c>
      <c r="E4517" t="s">
        <v>3748</v>
      </c>
      <c r="F4517" t="s">
        <v>3749</v>
      </c>
      <c r="G4517" t="s">
        <v>179</v>
      </c>
      <c r="H4517">
        <v>381</v>
      </c>
      <c r="I4517">
        <v>68.233999999999995</v>
      </c>
      <c r="J4517">
        <v>73.826999999999998</v>
      </c>
      <c r="K4517">
        <v>5.593</v>
      </c>
      <c r="L4517">
        <v>214</v>
      </c>
      <c r="M4517">
        <v>56</v>
      </c>
      <c r="N4517">
        <v>111</v>
      </c>
      <c r="O4517">
        <v>74.528999999999996</v>
      </c>
      <c r="P4517">
        <v>5.8704424560000001</v>
      </c>
      <c r="Q4517">
        <v>16.198</v>
      </c>
    </row>
    <row r="4518" spans="1:17" x14ac:dyDescent="0.2">
      <c r="A4518" s="30" t="str">
        <f>IF(C4518&amp;G4518&amp;D4518&lt;&gt;'Funnel setup'!$K$3&amp;'Funnel setup'!$K$4&amp;'Funnel setup'!$K$5,".",IF(A4517=".",1,A4517+1))</f>
        <v>.</v>
      </c>
      <c r="B4518" s="431" t="str">
        <f t="shared" si="70"/>
        <v>Knee Replacement PrimaryProviderTHE PRINCESS ALEXANDRA HOSPITAL NHS TRUST (RQW)EQ VAS</v>
      </c>
      <c r="C4518" t="s">
        <v>249</v>
      </c>
      <c r="D4518" t="s">
        <v>1</v>
      </c>
      <c r="E4518" t="s">
        <v>3751</v>
      </c>
      <c r="F4518" t="s">
        <v>3752</v>
      </c>
      <c r="G4518" t="s">
        <v>179</v>
      </c>
      <c r="H4518">
        <v>192</v>
      </c>
      <c r="I4518">
        <v>69.093999999999994</v>
      </c>
      <c r="J4518">
        <v>73.766000000000005</v>
      </c>
      <c r="K4518">
        <v>4.6719999999999997</v>
      </c>
      <c r="L4518">
        <v>100</v>
      </c>
      <c r="M4518">
        <v>34</v>
      </c>
      <c r="N4518">
        <v>58</v>
      </c>
      <c r="O4518">
        <v>73.900000000000006</v>
      </c>
      <c r="P4518">
        <v>5.2420433219999998</v>
      </c>
      <c r="Q4518">
        <v>16.803999999999998</v>
      </c>
    </row>
    <row r="4519" spans="1:17" x14ac:dyDescent="0.2">
      <c r="A4519" s="30" t="str">
        <f>IF(C4519&amp;G4519&amp;D4519&lt;&gt;'Funnel setup'!$K$3&amp;'Funnel setup'!$K$4&amp;'Funnel setup'!$K$5,".",IF(A4518=".",1,A4518+1))</f>
        <v>.</v>
      </c>
      <c r="B4519" s="431" t="str">
        <f t="shared" si="70"/>
        <v>Knee Replacement PrimaryProviderTHE QUEEN ELIZABETH HOSPITAL, KING'S LYNN, NHS FOUNDATION TRUST (RCX)EQ VAS</v>
      </c>
      <c r="C4519" t="s">
        <v>249</v>
      </c>
      <c r="D4519" t="s">
        <v>1</v>
      </c>
      <c r="E4519" t="s">
        <v>3754</v>
      </c>
      <c r="F4519" t="s">
        <v>3755</v>
      </c>
      <c r="G4519" t="s">
        <v>179</v>
      </c>
      <c r="H4519">
        <v>132</v>
      </c>
      <c r="I4519">
        <v>69.212000000000003</v>
      </c>
      <c r="J4519">
        <v>73.007999999999996</v>
      </c>
      <c r="K4519">
        <v>3.7949999999999999</v>
      </c>
      <c r="L4519">
        <v>66</v>
      </c>
      <c r="M4519">
        <v>20</v>
      </c>
      <c r="N4519">
        <v>46</v>
      </c>
      <c r="O4519">
        <v>73.510999999999996</v>
      </c>
      <c r="P4519">
        <v>4.8525778040000001</v>
      </c>
      <c r="Q4519">
        <v>15.345000000000001</v>
      </c>
    </row>
    <row r="4520" spans="1:17" x14ac:dyDescent="0.2">
      <c r="A4520" s="30" t="str">
        <f>IF(C4520&amp;G4520&amp;D4520&lt;&gt;'Funnel setup'!$K$3&amp;'Funnel setup'!$K$4&amp;'Funnel setup'!$K$5,".",IF(A4519=".",1,A4519+1))</f>
        <v>.</v>
      </c>
      <c r="B4520" s="431" t="str">
        <f t="shared" si="70"/>
        <v>Knee Replacement PrimaryProviderTHE ROBERT JONES AND AGNES HUNT ORTHOPAEDIC HOSPITAL NHS FOUNDATION TRUST (RL1)EQ VAS</v>
      </c>
      <c r="C4520" t="s">
        <v>249</v>
      </c>
      <c r="D4520" t="s">
        <v>1</v>
      </c>
      <c r="E4520" t="s">
        <v>4496</v>
      </c>
      <c r="F4520" t="s">
        <v>4497</v>
      </c>
      <c r="G4520" t="s">
        <v>179</v>
      </c>
      <c r="H4520">
        <v>348</v>
      </c>
      <c r="I4520">
        <v>66.049000000000007</v>
      </c>
      <c r="J4520">
        <v>77.655000000000001</v>
      </c>
      <c r="K4520">
        <v>11.606</v>
      </c>
      <c r="L4520">
        <v>226</v>
      </c>
      <c r="M4520">
        <v>58</v>
      </c>
      <c r="N4520">
        <v>64</v>
      </c>
      <c r="O4520">
        <v>75.406999999999996</v>
      </c>
      <c r="P4520">
        <v>6.7486736269999996</v>
      </c>
      <c r="Q4520">
        <v>14.914</v>
      </c>
    </row>
    <row r="4521" spans="1:17" x14ac:dyDescent="0.2">
      <c r="A4521" s="30" t="str">
        <f>IF(C4521&amp;G4521&amp;D4521&lt;&gt;'Funnel setup'!$K$3&amp;'Funnel setup'!$K$4&amp;'Funnel setup'!$K$5,".",IF(A4520=".",1,A4520+1))</f>
        <v>.</v>
      </c>
      <c r="B4521" s="431" t="str">
        <f t="shared" si="70"/>
        <v>Knee Replacement PrimaryProviderTHE ROTHERHAM NHS FOUNDATION TRUST (RFR)EQ VAS</v>
      </c>
      <c r="C4521" t="s">
        <v>249</v>
      </c>
      <c r="D4521" t="s">
        <v>1</v>
      </c>
      <c r="E4521" t="s">
        <v>3739</v>
      </c>
      <c r="F4521" t="s">
        <v>3740</v>
      </c>
      <c r="G4521" t="s">
        <v>179</v>
      </c>
      <c r="H4521">
        <v>160</v>
      </c>
      <c r="I4521">
        <v>69.230999999999995</v>
      </c>
      <c r="J4521">
        <v>74.105999999999995</v>
      </c>
      <c r="K4521">
        <v>4.875</v>
      </c>
      <c r="L4521">
        <v>86</v>
      </c>
      <c r="M4521">
        <v>28</v>
      </c>
      <c r="N4521">
        <v>46</v>
      </c>
      <c r="O4521">
        <v>74.852999999999994</v>
      </c>
      <c r="P4521">
        <v>6.1947710259999997</v>
      </c>
      <c r="Q4521">
        <v>14.69</v>
      </c>
    </row>
    <row r="4522" spans="1:17" x14ac:dyDescent="0.2">
      <c r="A4522" s="30" t="str">
        <f>IF(C4522&amp;G4522&amp;D4522&lt;&gt;'Funnel setup'!$K$3&amp;'Funnel setup'!$K$4&amp;'Funnel setup'!$K$5,".",IF(A4521=".",1,A4521+1))</f>
        <v>.</v>
      </c>
      <c r="B4522" s="431" t="str">
        <f t="shared" si="70"/>
        <v>Knee Replacement PrimaryProviderTHE ROYAL BOURNEMOUTH AND CHRISTCHURCH HOSPITALS NHS FOUNDATION TRUST (RDZ)EQ VAS</v>
      </c>
      <c r="C4522" t="s">
        <v>249</v>
      </c>
      <c r="D4522" t="s">
        <v>1</v>
      </c>
      <c r="E4522" t="s">
        <v>3742</v>
      </c>
      <c r="F4522" t="s">
        <v>3743</v>
      </c>
      <c r="G4522" t="s">
        <v>179</v>
      </c>
      <c r="H4522">
        <v>363</v>
      </c>
      <c r="I4522">
        <v>70.522999999999996</v>
      </c>
      <c r="J4522">
        <v>76.222999999999999</v>
      </c>
      <c r="K4522">
        <v>5.7</v>
      </c>
      <c r="L4522">
        <v>195</v>
      </c>
      <c r="M4522">
        <v>38</v>
      </c>
      <c r="N4522">
        <v>130</v>
      </c>
      <c r="O4522">
        <v>75.606999999999999</v>
      </c>
      <c r="P4522">
        <v>6.9487520800000002</v>
      </c>
      <c r="Q4522">
        <v>14.15</v>
      </c>
    </row>
    <row r="4523" spans="1:17" x14ac:dyDescent="0.2">
      <c r="A4523" s="30" t="str">
        <f>IF(C4523&amp;G4523&amp;D4523&lt;&gt;'Funnel setup'!$K$3&amp;'Funnel setup'!$K$4&amp;'Funnel setup'!$K$5,".",IF(A4522=".",1,A4522+1))</f>
        <v>.</v>
      </c>
      <c r="B4523" s="431" t="str">
        <f t="shared" si="70"/>
        <v>Knee Replacement PrimaryProviderTHE ROYAL ORTHOPAEDIC HOSPITAL NHS FOUNDATION TRUST (RRJ)EQ VAS</v>
      </c>
      <c r="C4523" t="s">
        <v>249</v>
      </c>
      <c r="D4523" t="s">
        <v>1</v>
      </c>
      <c r="E4523" t="s">
        <v>4480</v>
      </c>
      <c r="F4523" t="s">
        <v>4481</v>
      </c>
      <c r="G4523" t="s">
        <v>179</v>
      </c>
      <c r="H4523">
        <v>171</v>
      </c>
      <c r="I4523">
        <v>67.778000000000006</v>
      </c>
      <c r="J4523">
        <v>74.643000000000001</v>
      </c>
      <c r="K4523">
        <v>6.8650000000000002</v>
      </c>
      <c r="L4523">
        <v>100</v>
      </c>
      <c r="M4523">
        <v>16</v>
      </c>
      <c r="N4523">
        <v>55</v>
      </c>
      <c r="O4523">
        <v>76.763000000000005</v>
      </c>
      <c r="P4523">
        <v>8.1043060540000003</v>
      </c>
      <c r="Q4523">
        <v>15.928000000000001</v>
      </c>
    </row>
    <row r="4524" spans="1:17" x14ac:dyDescent="0.2">
      <c r="A4524" s="30" t="str">
        <f>IF(C4524&amp;G4524&amp;D4524&lt;&gt;'Funnel setup'!$K$3&amp;'Funnel setup'!$K$4&amp;'Funnel setup'!$K$5,".",IF(A4523=".",1,A4523+1))</f>
        <v>.</v>
      </c>
      <c r="B4524" s="431" t="str">
        <f t="shared" si="70"/>
        <v>Knee Replacement PrimaryProviderTHE ROYAL WOLVERHAMPTON NHS TRUST (RL4)EQ VAS</v>
      </c>
      <c r="C4524" t="s">
        <v>249</v>
      </c>
      <c r="D4524" t="s">
        <v>1</v>
      </c>
      <c r="E4524" t="s">
        <v>3382</v>
      </c>
      <c r="F4524" t="s">
        <v>3383</v>
      </c>
      <c r="G4524" t="s">
        <v>179</v>
      </c>
      <c r="H4524">
        <v>295</v>
      </c>
      <c r="I4524">
        <v>65.983000000000004</v>
      </c>
      <c r="J4524">
        <v>69.840999999999994</v>
      </c>
      <c r="K4524">
        <v>3.8580000000000001</v>
      </c>
      <c r="L4524">
        <v>154</v>
      </c>
      <c r="M4524">
        <v>35</v>
      </c>
      <c r="N4524">
        <v>106</v>
      </c>
      <c r="O4524">
        <v>73.076999999999998</v>
      </c>
      <c r="P4524">
        <v>4.4185107820000002</v>
      </c>
      <c r="Q4524">
        <v>16.187999999999999</v>
      </c>
    </row>
    <row r="4525" spans="1:17" x14ac:dyDescent="0.2">
      <c r="A4525" s="30" t="str">
        <f>IF(C4525&amp;G4525&amp;D4525&lt;&gt;'Funnel setup'!$K$3&amp;'Funnel setup'!$K$4&amp;'Funnel setup'!$K$5,".",IF(A4524=".",1,A4524+1))</f>
        <v>.</v>
      </c>
      <c r="B4525" s="431" t="str">
        <f t="shared" si="70"/>
        <v>Knee Replacement PrimaryProviderTHE SPENCER WING (RAMSGATE ROAD) (NN801)EQ VAS</v>
      </c>
      <c r="C4525" t="s">
        <v>249</v>
      </c>
      <c r="D4525" t="s">
        <v>1</v>
      </c>
      <c r="E4525" t="s">
        <v>3757</v>
      </c>
      <c r="F4525" t="s">
        <v>3758</v>
      </c>
      <c r="G4525" t="s">
        <v>179</v>
      </c>
      <c r="H4525">
        <v>23</v>
      </c>
      <c r="I4525">
        <v>71.347999999999999</v>
      </c>
      <c r="J4525">
        <v>80.695999999999998</v>
      </c>
      <c r="K4525">
        <v>9.3480000000000008</v>
      </c>
      <c r="L4525">
        <v>13</v>
      </c>
      <c r="M4525">
        <v>4</v>
      </c>
      <c r="N4525">
        <v>6</v>
      </c>
      <c r="O4525" t="s">
        <v>53</v>
      </c>
      <c r="P4525" t="s">
        <v>53</v>
      </c>
      <c r="Q4525" t="s">
        <v>53</v>
      </c>
    </row>
    <row r="4526" spans="1:17" x14ac:dyDescent="0.2">
      <c r="A4526" s="30" t="str">
        <f>IF(C4526&amp;G4526&amp;D4526&lt;&gt;'Funnel setup'!$K$3&amp;'Funnel setup'!$K$4&amp;'Funnel setup'!$K$5,".",IF(A4525=".",1,A4525+1))</f>
        <v>.</v>
      </c>
      <c r="B4526" s="431" t="str">
        <f t="shared" si="70"/>
        <v>Knee Replacement PrimaryProviderTHE YORKSHIRE CLINIC (NVC20)EQ VAS</v>
      </c>
      <c r="C4526" t="s">
        <v>249</v>
      </c>
      <c r="D4526" t="s">
        <v>1</v>
      </c>
      <c r="E4526" t="s">
        <v>3760</v>
      </c>
      <c r="F4526" t="s">
        <v>3761</v>
      </c>
      <c r="G4526" t="s">
        <v>179</v>
      </c>
      <c r="H4526">
        <v>48</v>
      </c>
      <c r="I4526">
        <v>70.792000000000002</v>
      </c>
      <c r="J4526">
        <v>77.207999999999998</v>
      </c>
      <c r="K4526">
        <v>6.4169999999999998</v>
      </c>
      <c r="L4526">
        <v>33</v>
      </c>
      <c r="M4526">
        <v>3</v>
      </c>
      <c r="N4526">
        <v>12</v>
      </c>
      <c r="O4526">
        <v>74.977000000000004</v>
      </c>
      <c r="P4526">
        <v>6.3189801560000003</v>
      </c>
      <c r="Q4526">
        <v>15.257</v>
      </c>
    </row>
    <row r="4527" spans="1:17" x14ac:dyDescent="0.2">
      <c r="A4527" s="30" t="str">
        <f>IF(C4527&amp;G4527&amp;D4527&lt;&gt;'Funnel setup'!$K$3&amp;'Funnel setup'!$K$4&amp;'Funnel setup'!$K$5,".",IF(A4526=".",1,A4526+1))</f>
        <v>.</v>
      </c>
      <c r="B4527" s="431" t="str">
        <f t="shared" si="70"/>
        <v>Knee Replacement PrimaryProviderTORBAY AND SOUTH DEVON NHS FOUNDATION TRUST (RA9)EQ VAS</v>
      </c>
      <c r="C4527" t="s">
        <v>249</v>
      </c>
      <c r="D4527" t="s">
        <v>1</v>
      </c>
      <c r="E4527" t="s">
        <v>3480</v>
      </c>
      <c r="F4527" t="s">
        <v>6584</v>
      </c>
      <c r="G4527" t="s">
        <v>179</v>
      </c>
      <c r="H4527">
        <v>201</v>
      </c>
      <c r="I4527">
        <v>67.715999999999994</v>
      </c>
      <c r="J4527">
        <v>73.134</v>
      </c>
      <c r="K4527">
        <v>5.4180000000000001</v>
      </c>
      <c r="L4527">
        <v>113</v>
      </c>
      <c r="M4527">
        <v>22</v>
      </c>
      <c r="N4527">
        <v>66</v>
      </c>
      <c r="O4527">
        <v>74.491</v>
      </c>
      <c r="P4527">
        <v>5.8328444319999999</v>
      </c>
      <c r="Q4527">
        <v>16.524000000000001</v>
      </c>
    </row>
    <row r="4528" spans="1:17" x14ac:dyDescent="0.2">
      <c r="A4528" s="30" t="str">
        <f>IF(C4528&amp;G4528&amp;D4528&lt;&gt;'Funnel setup'!$K$3&amp;'Funnel setup'!$K$4&amp;'Funnel setup'!$K$5,".",IF(A4527=".",1,A4527+1))</f>
        <v>.</v>
      </c>
      <c r="B4528" s="431" t="str">
        <f t="shared" si="70"/>
        <v>Knee Replacement PrimaryProviderTYNESIDE SURGICAL SERVICES AT THE NORTH EAST NHS SURGERY CENTRE (NN401)EQ VAS</v>
      </c>
      <c r="C4528" t="s">
        <v>249</v>
      </c>
      <c r="D4528" t="s">
        <v>1</v>
      </c>
      <c r="E4528" t="s">
        <v>4506</v>
      </c>
      <c r="F4528" t="s">
        <v>4507</v>
      </c>
      <c r="G4528" t="s">
        <v>179</v>
      </c>
      <c r="H4528">
        <v>7</v>
      </c>
      <c r="I4528">
        <v>72.856999999999999</v>
      </c>
      <c r="J4528">
        <v>80</v>
      </c>
      <c r="K4528">
        <v>7.1429999999999998</v>
      </c>
      <c r="L4528">
        <v>3</v>
      </c>
      <c r="M4528">
        <v>3</v>
      </c>
      <c r="N4528">
        <v>1</v>
      </c>
      <c r="O4528" t="s">
        <v>53</v>
      </c>
      <c r="P4528" t="s">
        <v>53</v>
      </c>
      <c r="Q4528" t="s">
        <v>53</v>
      </c>
    </row>
    <row r="4529" spans="1:17" x14ac:dyDescent="0.2">
      <c r="A4529" s="30" t="str">
        <f>IF(C4529&amp;G4529&amp;D4529&lt;&gt;'Funnel setup'!$K$3&amp;'Funnel setup'!$K$4&amp;'Funnel setup'!$K$5,".",IF(A4528=".",1,A4528+1))</f>
        <v>.</v>
      </c>
      <c r="B4529" s="431" t="str">
        <f t="shared" si="70"/>
        <v>Knee Replacement PrimaryProviderUNITED LINCOLNSHIRE HOSPITALS NHS TRUST (RWD)EQ VAS</v>
      </c>
      <c r="C4529" t="s">
        <v>249</v>
      </c>
      <c r="D4529" t="s">
        <v>1</v>
      </c>
      <c r="E4529" t="s">
        <v>3763</v>
      </c>
      <c r="F4529" t="s">
        <v>3764</v>
      </c>
      <c r="G4529" t="s">
        <v>179</v>
      </c>
      <c r="H4529">
        <v>239</v>
      </c>
      <c r="I4529">
        <v>70.385000000000005</v>
      </c>
      <c r="J4529">
        <v>73.204999999999998</v>
      </c>
      <c r="K4529">
        <v>2.82</v>
      </c>
      <c r="L4529">
        <v>121</v>
      </c>
      <c r="M4529">
        <v>22</v>
      </c>
      <c r="N4529">
        <v>96</v>
      </c>
      <c r="O4529">
        <v>72.563999999999993</v>
      </c>
      <c r="P4529">
        <v>3.905260942</v>
      </c>
      <c r="Q4529">
        <v>18.661000000000001</v>
      </c>
    </row>
    <row r="4530" spans="1:17" x14ac:dyDescent="0.2">
      <c r="A4530" s="30" t="str">
        <f>IF(C4530&amp;G4530&amp;D4530&lt;&gt;'Funnel setup'!$K$3&amp;'Funnel setup'!$K$4&amp;'Funnel setup'!$K$5,".",IF(A4529=".",1,A4529+1))</f>
        <v>.</v>
      </c>
      <c r="B4530" s="431" t="str">
        <f t="shared" si="70"/>
        <v>Knee Replacement PrimaryProviderUNIVERSITY COLLEGE LONDON HOSPITALS NHS FOUNDATION TRUST (RRV)EQ VAS</v>
      </c>
      <c r="C4530" t="s">
        <v>249</v>
      </c>
      <c r="D4530" t="s">
        <v>1</v>
      </c>
      <c r="E4530" t="s">
        <v>3766</v>
      </c>
      <c r="F4530" t="s">
        <v>3767</v>
      </c>
      <c r="G4530" t="s">
        <v>179</v>
      </c>
      <c r="H4530">
        <v>57</v>
      </c>
      <c r="I4530">
        <v>68.86</v>
      </c>
      <c r="J4530">
        <v>73.930000000000007</v>
      </c>
      <c r="K4530">
        <v>5.07</v>
      </c>
      <c r="L4530">
        <v>30</v>
      </c>
      <c r="M4530">
        <v>8</v>
      </c>
      <c r="N4530">
        <v>19</v>
      </c>
      <c r="O4530">
        <v>76.572999999999993</v>
      </c>
      <c r="P4530">
        <v>7.9143753859999997</v>
      </c>
      <c r="Q4530">
        <v>14.567</v>
      </c>
    </row>
    <row r="4531" spans="1:17" x14ac:dyDescent="0.2">
      <c r="A4531" s="30" t="str">
        <f>IF(C4531&amp;G4531&amp;D4531&lt;&gt;'Funnel setup'!$K$3&amp;'Funnel setup'!$K$4&amp;'Funnel setup'!$K$5,".",IF(A4530=".",1,A4530+1))</f>
        <v>.</v>
      </c>
      <c r="B4531" s="431" t="str">
        <f t="shared" si="70"/>
        <v>Knee Replacement PrimaryProviderUNIVERSITY HOSPITAL OF SOUTH MANCHESTER NHS FOUNDATION TRUST (RM2)EQ VAS</v>
      </c>
      <c r="C4531" t="s">
        <v>249</v>
      </c>
      <c r="D4531" t="s">
        <v>1</v>
      </c>
      <c r="E4531" t="s">
        <v>3769</v>
      </c>
      <c r="F4531" t="s">
        <v>3770</v>
      </c>
      <c r="G4531" t="s">
        <v>179</v>
      </c>
      <c r="H4531">
        <v>108</v>
      </c>
      <c r="I4531">
        <v>69.721999999999994</v>
      </c>
      <c r="J4531">
        <v>71.75</v>
      </c>
      <c r="K4531">
        <v>2.028</v>
      </c>
      <c r="L4531">
        <v>47</v>
      </c>
      <c r="M4531">
        <v>18</v>
      </c>
      <c r="N4531">
        <v>43</v>
      </c>
      <c r="O4531">
        <v>72.144000000000005</v>
      </c>
      <c r="P4531">
        <v>3.485872289</v>
      </c>
      <c r="Q4531">
        <v>19.562000000000001</v>
      </c>
    </row>
    <row r="4532" spans="1:17" x14ac:dyDescent="0.2">
      <c r="A4532" s="30" t="str">
        <f>IF(C4532&amp;G4532&amp;D4532&lt;&gt;'Funnel setup'!$K$3&amp;'Funnel setup'!$K$4&amp;'Funnel setup'!$K$5,".",IF(A4531=".",1,A4531+1))</f>
        <v>.</v>
      </c>
      <c r="B4532" s="431" t="str">
        <f t="shared" si="70"/>
        <v>Knee Replacement PrimaryProviderUNIVERSITY HOSPITAL SOUTHAMPTON NHS FOUNDATION TRUST (RHM)EQ VAS</v>
      </c>
      <c r="C4532" t="s">
        <v>249</v>
      </c>
      <c r="D4532" t="s">
        <v>1</v>
      </c>
      <c r="E4532" t="s">
        <v>3772</v>
      </c>
      <c r="F4532" t="s">
        <v>3773</v>
      </c>
      <c r="G4532" t="s">
        <v>179</v>
      </c>
      <c r="H4532">
        <v>162</v>
      </c>
      <c r="I4532">
        <v>64.611000000000004</v>
      </c>
      <c r="J4532">
        <v>73.388999999999996</v>
      </c>
      <c r="K4532">
        <v>8.7780000000000005</v>
      </c>
      <c r="L4532">
        <v>103</v>
      </c>
      <c r="M4532">
        <v>18</v>
      </c>
      <c r="N4532">
        <v>41</v>
      </c>
      <c r="O4532">
        <v>74.995999999999995</v>
      </c>
      <c r="P4532">
        <v>6.3376704750000004</v>
      </c>
      <c r="Q4532">
        <v>16.602</v>
      </c>
    </row>
    <row r="4533" spans="1:17" x14ac:dyDescent="0.2">
      <c r="A4533" s="30" t="str">
        <f>IF(C4533&amp;G4533&amp;D4533&lt;&gt;'Funnel setup'!$K$3&amp;'Funnel setup'!$K$4&amp;'Funnel setup'!$K$5,".",IF(A4532=".",1,A4532+1))</f>
        <v>.</v>
      </c>
      <c r="B4533" s="431" t="str">
        <f t="shared" si="70"/>
        <v>Knee Replacement PrimaryProviderUNIVERSITY HOSPITALS COVENTRY AND WARWICKSHIRE NHS TRUST (RKB)EQ VAS</v>
      </c>
      <c r="C4533" t="s">
        <v>249</v>
      </c>
      <c r="D4533" t="s">
        <v>1</v>
      </c>
      <c r="E4533" t="s">
        <v>3715</v>
      </c>
      <c r="F4533" t="s">
        <v>3716</v>
      </c>
      <c r="G4533" t="s">
        <v>179</v>
      </c>
      <c r="H4533">
        <v>266</v>
      </c>
      <c r="I4533">
        <v>67.778000000000006</v>
      </c>
      <c r="J4533">
        <v>74.191999999999993</v>
      </c>
      <c r="K4533">
        <v>6.4139999999999997</v>
      </c>
      <c r="L4533">
        <v>153</v>
      </c>
      <c r="M4533">
        <v>35</v>
      </c>
      <c r="N4533">
        <v>78</v>
      </c>
      <c r="O4533">
        <v>74.811000000000007</v>
      </c>
      <c r="P4533">
        <v>6.1528791629999997</v>
      </c>
      <c r="Q4533">
        <v>15.4</v>
      </c>
    </row>
    <row r="4534" spans="1:17" x14ac:dyDescent="0.2">
      <c r="A4534" s="30" t="str">
        <f>IF(C4534&amp;G4534&amp;D4534&lt;&gt;'Funnel setup'!$K$3&amp;'Funnel setup'!$K$4&amp;'Funnel setup'!$K$5,".",IF(A4533=".",1,A4533+1))</f>
        <v>.</v>
      </c>
      <c r="B4534" s="431" t="str">
        <f t="shared" si="70"/>
        <v>Knee Replacement PrimaryProviderUNIVERSITY HOSPITALS OF LEICESTER NHS TRUST (RWE)EQ VAS</v>
      </c>
      <c r="C4534" t="s">
        <v>249</v>
      </c>
      <c r="D4534" t="s">
        <v>1</v>
      </c>
      <c r="E4534" t="s">
        <v>3718</v>
      </c>
      <c r="F4534" t="s">
        <v>3719</v>
      </c>
      <c r="G4534" t="s">
        <v>179</v>
      </c>
      <c r="H4534">
        <v>528</v>
      </c>
      <c r="I4534">
        <v>66.403000000000006</v>
      </c>
      <c r="J4534">
        <v>73.177999999999997</v>
      </c>
      <c r="K4534">
        <v>6.7750000000000004</v>
      </c>
      <c r="L4534">
        <v>312</v>
      </c>
      <c r="M4534">
        <v>73</v>
      </c>
      <c r="N4534">
        <v>143</v>
      </c>
      <c r="O4534">
        <v>74.73</v>
      </c>
      <c r="P4534">
        <v>6.0720923850000004</v>
      </c>
      <c r="Q4534">
        <v>15.439</v>
      </c>
    </row>
    <row r="4535" spans="1:17" x14ac:dyDescent="0.2">
      <c r="A4535" s="30" t="str">
        <f>IF(C4535&amp;G4535&amp;D4535&lt;&gt;'Funnel setup'!$K$3&amp;'Funnel setup'!$K$4&amp;'Funnel setup'!$K$5,".",IF(A4534=".",1,A4534+1))</f>
        <v>.</v>
      </c>
      <c r="B4535" s="431" t="str">
        <f t="shared" si="70"/>
        <v>Knee Replacement PrimaryProviderUNIVERSITY HOSPITALS OF MORECAMBE BAY NHS FOUNDATION TRUST (RTX)EQ VAS</v>
      </c>
      <c r="C4535" t="s">
        <v>249</v>
      </c>
      <c r="D4535" t="s">
        <v>1</v>
      </c>
      <c r="E4535" t="s">
        <v>3721</v>
      </c>
      <c r="F4535" t="s">
        <v>3722</v>
      </c>
      <c r="G4535" t="s">
        <v>179</v>
      </c>
      <c r="H4535">
        <v>321</v>
      </c>
      <c r="I4535">
        <v>71.031000000000006</v>
      </c>
      <c r="J4535">
        <v>74.320999999999998</v>
      </c>
      <c r="K4535">
        <v>3.29</v>
      </c>
      <c r="L4535">
        <v>147</v>
      </c>
      <c r="M4535">
        <v>53</v>
      </c>
      <c r="N4535">
        <v>121</v>
      </c>
      <c r="O4535">
        <v>72.930000000000007</v>
      </c>
      <c r="P4535">
        <v>4.2719675779999999</v>
      </c>
      <c r="Q4535">
        <v>14.262</v>
      </c>
    </row>
    <row r="4536" spans="1:17" x14ac:dyDescent="0.2">
      <c r="A4536" s="30" t="str">
        <f>IF(C4536&amp;G4536&amp;D4536&lt;&gt;'Funnel setup'!$K$3&amp;'Funnel setup'!$K$4&amp;'Funnel setup'!$K$5,".",IF(A4535=".",1,A4535+1))</f>
        <v>.</v>
      </c>
      <c r="B4536" s="431" t="str">
        <f t="shared" si="70"/>
        <v>Knee Replacement PrimaryProviderUNIVERSITY HOSPITALS OF NORTH MIDLANDS NHS TRUST (RJE)EQ VAS</v>
      </c>
      <c r="C4536" t="s">
        <v>249</v>
      </c>
      <c r="D4536" t="s">
        <v>1</v>
      </c>
      <c r="E4536" t="s">
        <v>3724</v>
      </c>
      <c r="F4536" t="s">
        <v>3725</v>
      </c>
      <c r="G4536" t="s">
        <v>179</v>
      </c>
      <c r="H4536">
        <v>190</v>
      </c>
      <c r="I4536">
        <v>63.558</v>
      </c>
      <c r="J4536">
        <v>69.525999999999996</v>
      </c>
      <c r="K4536">
        <v>5.968</v>
      </c>
      <c r="L4536">
        <v>101</v>
      </c>
      <c r="M4536">
        <v>22</v>
      </c>
      <c r="N4536">
        <v>67</v>
      </c>
      <c r="O4536">
        <v>73.543999999999997</v>
      </c>
      <c r="P4536">
        <v>4.88556626</v>
      </c>
      <c r="Q4536">
        <v>17.05</v>
      </c>
    </row>
    <row r="4537" spans="1:17" x14ac:dyDescent="0.2">
      <c r="A4537" s="30" t="str">
        <f>IF(C4537&amp;G4537&amp;D4537&lt;&gt;'Funnel setup'!$K$3&amp;'Funnel setup'!$K$4&amp;'Funnel setup'!$K$5,".",IF(A4536=".",1,A4536+1))</f>
        <v>.</v>
      </c>
      <c r="B4537" s="431" t="str">
        <f t="shared" si="70"/>
        <v>Knee Replacement PrimaryProviderWALSALL HEALTHCARE NHS TRUST (RBK)EQ VAS</v>
      </c>
      <c r="C4537" t="s">
        <v>249</v>
      </c>
      <c r="D4537" t="s">
        <v>1</v>
      </c>
      <c r="E4537" t="s">
        <v>3727</v>
      </c>
      <c r="F4537" t="s">
        <v>3728</v>
      </c>
      <c r="G4537" t="s">
        <v>179</v>
      </c>
      <c r="H4537">
        <v>87</v>
      </c>
      <c r="I4537">
        <v>64.700999999999993</v>
      </c>
      <c r="J4537">
        <v>69.102999999999994</v>
      </c>
      <c r="K4537">
        <v>4.4020000000000001</v>
      </c>
      <c r="L4537">
        <v>51</v>
      </c>
      <c r="M4537">
        <v>11</v>
      </c>
      <c r="N4537">
        <v>25</v>
      </c>
      <c r="O4537">
        <v>73.281000000000006</v>
      </c>
      <c r="P4537">
        <v>4.6222444200000004</v>
      </c>
      <c r="Q4537">
        <v>17.597999999999999</v>
      </c>
    </row>
    <row r="4538" spans="1:17" x14ac:dyDescent="0.2">
      <c r="A4538" s="30" t="str">
        <f>IF(C4538&amp;G4538&amp;D4538&lt;&gt;'Funnel setup'!$K$3&amp;'Funnel setup'!$K$4&amp;'Funnel setup'!$K$5,".",IF(A4537=".",1,A4537+1))</f>
        <v>.</v>
      </c>
      <c r="B4538" s="431" t="str">
        <f t="shared" si="70"/>
        <v>Knee Replacement PrimaryProviderWARRINGTON AND HALTON HOSPITALS NHS FOUNDATION TRUST (RWW)EQ VAS</v>
      </c>
      <c r="C4538" t="s">
        <v>249</v>
      </c>
      <c r="D4538" t="s">
        <v>1</v>
      </c>
      <c r="E4538" t="s">
        <v>3730</v>
      </c>
      <c r="F4538" t="s">
        <v>3731</v>
      </c>
      <c r="G4538" t="s">
        <v>179</v>
      </c>
      <c r="H4538">
        <v>233</v>
      </c>
      <c r="I4538">
        <v>64.798000000000002</v>
      </c>
      <c r="J4538">
        <v>73.870999999999995</v>
      </c>
      <c r="K4538">
        <v>9.0730000000000004</v>
      </c>
      <c r="L4538">
        <v>139</v>
      </c>
      <c r="M4538">
        <v>35</v>
      </c>
      <c r="N4538">
        <v>59</v>
      </c>
      <c r="O4538">
        <v>75.290000000000006</v>
      </c>
      <c r="P4538">
        <v>6.6320035900000001</v>
      </c>
      <c r="Q4538">
        <v>15.282</v>
      </c>
    </row>
    <row r="4539" spans="1:17" x14ac:dyDescent="0.2">
      <c r="A4539" s="30" t="str">
        <f>IF(C4539&amp;G4539&amp;D4539&lt;&gt;'Funnel setup'!$K$3&amp;'Funnel setup'!$K$4&amp;'Funnel setup'!$K$5,".",IF(A4538=".",1,A4538+1))</f>
        <v>.</v>
      </c>
      <c r="B4539" s="431" t="str">
        <f t="shared" si="70"/>
        <v>Knee Replacement PrimaryProviderWEST HERTFORDSHIRE HOSPITALS NHS TRUST (RWG)EQ VAS</v>
      </c>
      <c r="C4539" t="s">
        <v>249</v>
      </c>
      <c r="D4539" t="s">
        <v>1</v>
      </c>
      <c r="E4539" t="s">
        <v>3733</v>
      </c>
      <c r="F4539" t="s">
        <v>3734</v>
      </c>
      <c r="G4539" t="s">
        <v>179</v>
      </c>
      <c r="H4539">
        <v>216</v>
      </c>
      <c r="I4539">
        <v>68.069000000000003</v>
      </c>
      <c r="J4539">
        <v>74.769000000000005</v>
      </c>
      <c r="K4539">
        <v>6.6989999999999998</v>
      </c>
      <c r="L4539">
        <v>126</v>
      </c>
      <c r="M4539">
        <v>21</v>
      </c>
      <c r="N4539">
        <v>69</v>
      </c>
      <c r="O4539">
        <v>74.48</v>
      </c>
      <c r="P4539">
        <v>5.821183188</v>
      </c>
      <c r="Q4539">
        <v>16.067</v>
      </c>
    </row>
    <row r="4540" spans="1:17" x14ac:dyDescent="0.2">
      <c r="A4540" s="30" t="str">
        <f>IF(C4540&amp;G4540&amp;D4540&lt;&gt;'Funnel setup'!$K$3&amp;'Funnel setup'!$K$4&amp;'Funnel setup'!$K$5,".",IF(A4539=".",1,A4539+1))</f>
        <v>.</v>
      </c>
      <c r="B4540" s="431" t="str">
        <f t="shared" si="70"/>
        <v>Knee Replacement PrimaryProviderWEST MIDDLESEX UNIVERSITY HOSPITAL NHS TRUST (RFW)EQ VAS</v>
      </c>
      <c r="C4540" t="s">
        <v>249</v>
      </c>
      <c r="D4540" t="s">
        <v>1</v>
      </c>
      <c r="E4540" t="s">
        <v>3736</v>
      </c>
      <c r="F4540" t="s">
        <v>3737</v>
      </c>
      <c r="G4540" t="s">
        <v>179</v>
      </c>
      <c r="H4540">
        <v>51</v>
      </c>
      <c r="I4540">
        <v>59.118000000000002</v>
      </c>
      <c r="J4540">
        <v>67.176000000000002</v>
      </c>
      <c r="K4540">
        <v>8.0589999999999993</v>
      </c>
      <c r="L4540">
        <v>30</v>
      </c>
      <c r="M4540">
        <v>9</v>
      </c>
      <c r="N4540">
        <v>12</v>
      </c>
      <c r="O4540">
        <v>71.543999999999997</v>
      </c>
      <c r="P4540">
        <v>2.8857911569999999</v>
      </c>
      <c r="Q4540">
        <v>13.144</v>
      </c>
    </row>
    <row r="4541" spans="1:17" x14ac:dyDescent="0.2">
      <c r="A4541" s="30" t="str">
        <f>IF(C4541&amp;G4541&amp;D4541&lt;&gt;'Funnel setup'!$K$3&amp;'Funnel setup'!$K$4&amp;'Funnel setup'!$K$5,".",IF(A4540=".",1,A4540+1))</f>
        <v>.</v>
      </c>
      <c r="B4541" s="431" t="str">
        <f t="shared" si="70"/>
        <v>Knee Replacement PrimaryProviderWEST MIDLANDS HOSPITAL (NVC21)EQ VAS</v>
      </c>
      <c r="C4541" t="s">
        <v>249</v>
      </c>
      <c r="D4541" t="s">
        <v>1</v>
      </c>
      <c r="E4541" t="s">
        <v>3709</v>
      </c>
      <c r="F4541" t="s">
        <v>3710</v>
      </c>
      <c r="G4541" t="s">
        <v>179</v>
      </c>
      <c r="H4541">
        <v>51</v>
      </c>
      <c r="I4541">
        <v>69.843000000000004</v>
      </c>
      <c r="J4541">
        <v>75.176000000000002</v>
      </c>
      <c r="K4541">
        <v>5.3330000000000002</v>
      </c>
      <c r="L4541">
        <v>31</v>
      </c>
      <c r="M4541">
        <v>6</v>
      </c>
      <c r="N4541">
        <v>14</v>
      </c>
      <c r="O4541">
        <v>75.537999999999997</v>
      </c>
      <c r="P4541">
        <v>6.8799171640000001</v>
      </c>
      <c r="Q4541">
        <v>16.954000000000001</v>
      </c>
    </row>
    <row r="4542" spans="1:17" x14ac:dyDescent="0.2">
      <c r="A4542" s="30" t="str">
        <f>IF(C4542&amp;G4542&amp;D4542&lt;&gt;'Funnel setup'!$K$3&amp;'Funnel setup'!$K$4&amp;'Funnel setup'!$K$5,".",IF(A4541=".",1,A4541+1))</f>
        <v>.</v>
      </c>
      <c r="B4542" s="431" t="str">
        <f t="shared" si="70"/>
        <v>Knee Replacement PrimaryProviderWEST SUFFOLK NHS FOUNDATION TRUST (RGR)EQ VAS</v>
      </c>
      <c r="C4542" t="s">
        <v>249</v>
      </c>
      <c r="D4542" t="s">
        <v>1</v>
      </c>
      <c r="E4542" t="s">
        <v>3712</v>
      </c>
      <c r="F4542" t="s">
        <v>3713</v>
      </c>
      <c r="G4542" t="s">
        <v>179</v>
      </c>
      <c r="H4542">
        <v>167</v>
      </c>
      <c r="I4542">
        <v>68.521000000000001</v>
      </c>
      <c r="J4542">
        <v>75.418999999999997</v>
      </c>
      <c r="K4542">
        <v>6.8979999999999997</v>
      </c>
      <c r="L4542">
        <v>106</v>
      </c>
      <c r="M4542">
        <v>19</v>
      </c>
      <c r="N4542">
        <v>42</v>
      </c>
      <c r="O4542">
        <v>75.284999999999997</v>
      </c>
      <c r="P4542">
        <v>6.6270916929999997</v>
      </c>
      <c r="Q4542">
        <v>15.242000000000001</v>
      </c>
    </row>
    <row r="4543" spans="1:17" x14ac:dyDescent="0.2">
      <c r="A4543" s="30" t="str">
        <f>IF(C4543&amp;G4543&amp;D4543&lt;&gt;'Funnel setup'!$K$3&amp;'Funnel setup'!$K$4&amp;'Funnel setup'!$K$5,".",IF(A4542=".",1,A4542+1))</f>
        <v>.</v>
      </c>
      <c r="B4543" s="431" t="str">
        <f t="shared" si="70"/>
        <v>Knee Replacement PrimaryProviderWESTERN SUSSEX HOSPITALS NHS FOUNDATION TRUST (RYR)EQ VAS</v>
      </c>
      <c r="C4543" t="s">
        <v>249</v>
      </c>
      <c r="D4543" t="s">
        <v>1</v>
      </c>
      <c r="E4543" t="s">
        <v>3706</v>
      </c>
      <c r="F4543" t="s">
        <v>3707</v>
      </c>
      <c r="G4543" t="s">
        <v>179</v>
      </c>
      <c r="H4543">
        <v>254</v>
      </c>
      <c r="I4543">
        <v>68.185000000000002</v>
      </c>
      <c r="J4543">
        <v>72.52</v>
      </c>
      <c r="K4543">
        <v>4.335</v>
      </c>
      <c r="L4543">
        <v>132</v>
      </c>
      <c r="M4543">
        <v>34</v>
      </c>
      <c r="N4543">
        <v>88</v>
      </c>
      <c r="O4543">
        <v>73.075000000000003</v>
      </c>
      <c r="P4543">
        <v>4.4171545739999996</v>
      </c>
      <c r="Q4543">
        <v>15.704000000000001</v>
      </c>
    </row>
    <row r="4544" spans="1:17" x14ac:dyDescent="0.2">
      <c r="A4544" s="30" t="str">
        <f>IF(C4544&amp;G4544&amp;D4544&lt;&gt;'Funnel setup'!$K$3&amp;'Funnel setup'!$K$4&amp;'Funnel setup'!$K$5,".",IF(A4543=".",1,A4543+1))</f>
        <v>.</v>
      </c>
      <c r="B4544" s="431" t="str">
        <f t="shared" si="70"/>
        <v>Knee Replacement PrimaryProviderWESTON AREA HEALTH NHS TRUST (RA3)EQ VAS</v>
      </c>
      <c r="C4544" t="s">
        <v>249</v>
      </c>
      <c r="D4544" t="s">
        <v>1</v>
      </c>
      <c r="E4544" t="s">
        <v>3525</v>
      </c>
      <c r="F4544" t="s">
        <v>3526</v>
      </c>
      <c r="G4544" t="s">
        <v>179</v>
      </c>
      <c r="H4544">
        <v>84</v>
      </c>
      <c r="I4544">
        <v>69.917000000000002</v>
      </c>
      <c r="J4544">
        <v>74.201999999999998</v>
      </c>
      <c r="K4544">
        <v>4.2859999999999996</v>
      </c>
      <c r="L4544">
        <v>43</v>
      </c>
      <c r="M4544">
        <v>17</v>
      </c>
      <c r="N4544">
        <v>24</v>
      </c>
      <c r="O4544">
        <v>73.567999999999998</v>
      </c>
      <c r="P4544">
        <v>4.909932553</v>
      </c>
      <c r="Q4544">
        <v>15.935</v>
      </c>
    </row>
    <row r="4545" spans="1:17" x14ac:dyDescent="0.2">
      <c r="A4545" s="30" t="str">
        <f>IF(C4545&amp;G4545&amp;D4545&lt;&gt;'Funnel setup'!$K$3&amp;'Funnel setup'!$K$4&amp;'Funnel setup'!$K$5,".",IF(A4544=".",1,A4544+1))</f>
        <v>.</v>
      </c>
      <c r="B4545" s="431" t="str">
        <f t="shared" si="70"/>
        <v>Knee Replacement PrimaryProviderWINFIELD HOSPITAL (NVC22)EQ VAS</v>
      </c>
      <c r="C4545" t="s">
        <v>249</v>
      </c>
      <c r="D4545" t="s">
        <v>1</v>
      </c>
      <c r="E4545" t="s">
        <v>3534</v>
      </c>
      <c r="F4545" t="s">
        <v>3535</v>
      </c>
      <c r="G4545" t="s">
        <v>179</v>
      </c>
      <c r="H4545">
        <v>43</v>
      </c>
      <c r="I4545">
        <v>74.674000000000007</v>
      </c>
      <c r="J4545">
        <v>76.186000000000007</v>
      </c>
      <c r="K4545">
        <v>1.512</v>
      </c>
      <c r="L4545">
        <v>19</v>
      </c>
      <c r="M4545">
        <v>7</v>
      </c>
      <c r="N4545">
        <v>17</v>
      </c>
      <c r="O4545">
        <v>72.054000000000002</v>
      </c>
      <c r="P4545">
        <v>3.3960457329999998</v>
      </c>
      <c r="Q4545">
        <v>9.8670000000000009</v>
      </c>
    </row>
    <row r="4546" spans="1:17" x14ac:dyDescent="0.2">
      <c r="A4546" s="30" t="str">
        <f>IF(C4546&amp;G4546&amp;D4546&lt;&gt;'Funnel setup'!$K$3&amp;'Funnel setup'!$K$4&amp;'Funnel setup'!$K$5,".",IF(A4545=".",1,A4545+1))</f>
        <v>.</v>
      </c>
      <c r="B4546" s="431" t="str">
        <f t="shared" si="70"/>
        <v>Knee Replacement PrimaryProviderWIRRAL UNIVERSITY TEACHING HOSPITAL NHS FOUNDATION TRUST (RBL)EQ VAS</v>
      </c>
      <c r="C4546" t="s">
        <v>249</v>
      </c>
      <c r="D4546" t="s">
        <v>1</v>
      </c>
      <c r="E4546" t="s">
        <v>3537</v>
      </c>
      <c r="F4546" t="s">
        <v>3538</v>
      </c>
      <c r="G4546" t="s">
        <v>179</v>
      </c>
      <c r="H4546">
        <v>247</v>
      </c>
      <c r="I4546">
        <v>68.304000000000002</v>
      </c>
      <c r="J4546">
        <v>72.081000000000003</v>
      </c>
      <c r="K4546">
        <v>3.7770000000000001</v>
      </c>
      <c r="L4546">
        <v>127</v>
      </c>
      <c r="M4546">
        <v>28</v>
      </c>
      <c r="N4546">
        <v>92</v>
      </c>
      <c r="O4546">
        <v>73.063999999999993</v>
      </c>
      <c r="P4546">
        <v>4.406022611</v>
      </c>
      <c r="Q4546">
        <v>16.73</v>
      </c>
    </row>
    <row r="4547" spans="1:17" x14ac:dyDescent="0.2">
      <c r="A4547" s="30" t="str">
        <f>IF(C4547&amp;G4547&amp;D4547&lt;&gt;'Funnel setup'!$K$3&amp;'Funnel setup'!$K$4&amp;'Funnel setup'!$K$5,".",IF(A4546=".",1,A4546+1))</f>
        <v>.</v>
      </c>
      <c r="B4547" s="431" t="str">
        <f t="shared" ref="B4547:B4610" si="71">C4547&amp;D4547&amp;F4547&amp;G4547</f>
        <v>Knee Replacement PrimaryProviderWOODLAND HOSPITAL (NVC23)EQ VAS</v>
      </c>
      <c r="C4547" t="s">
        <v>249</v>
      </c>
      <c r="D4547" t="s">
        <v>1</v>
      </c>
      <c r="E4547" t="s">
        <v>3540</v>
      </c>
      <c r="F4547" t="s">
        <v>3541</v>
      </c>
      <c r="G4547" t="s">
        <v>179</v>
      </c>
      <c r="H4547">
        <v>138</v>
      </c>
      <c r="I4547">
        <v>55.622999999999998</v>
      </c>
      <c r="J4547">
        <v>73.304000000000002</v>
      </c>
      <c r="K4547">
        <v>17.681000000000001</v>
      </c>
      <c r="L4547">
        <v>96</v>
      </c>
      <c r="M4547">
        <v>15</v>
      </c>
      <c r="N4547">
        <v>27</v>
      </c>
      <c r="O4547">
        <v>76.989000000000004</v>
      </c>
      <c r="P4547">
        <v>8.3307411689999995</v>
      </c>
      <c r="Q4547">
        <v>17.16</v>
      </c>
    </row>
    <row r="4548" spans="1:17" x14ac:dyDescent="0.2">
      <c r="A4548" s="30" t="str">
        <f>IF(C4548&amp;G4548&amp;D4548&lt;&gt;'Funnel setup'!$K$3&amp;'Funnel setup'!$K$4&amp;'Funnel setup'!$K$5,".",IF(A4547=".",1,A4547+1))</f>
        <v>.</v>
      </c>
      <c r="B4548" s="431" t="str">
        <f t="shared" si="71"/>
        <v>Knee Replacement PrimaryProviderWOODTHORPE HOSPITAL (NVC40)EQ VAS</v>
      </c>
      <c r="C4548" t="s">
        <v>249</v>
      </c>
      <c r="D4548" t="s">
        <v>1</v>
      </c>
      <c r="E4548" t="s">
        <v>3689</v>
      </c>
      <c r="F4548" t="s">
        <v>6576</v>
      </c>
      <c r="G4548" t="s">
        <v>179</v>
      </c>
      <c r="H4548">
        <v>151</v>
      </c>
      <c r="I4548">
        <v>68.906999999999996</v>
      </c>
      <c r="J4548">
        <v>76.986999999999995</v>
      </c>
      <c r="K4548">
        <v>8.0790000000000006</v>
      </c>
      <c r="L4548">
        <v>98</v>
      </c>
      <c r="M4548">
        <v>19</v>
      </c>
      <c r="N4548">
        <v>34</v>
      </c>
      <c r="O4548">
        <v>74.656000000000006</v>
      </c>
      <c r="P4548">
        <v>5.9979662830000002</v>
      </c>
      <c r="Q4548">
        <v>14.417</v>
      </c>
    </row>
    <row r="4549" spans="1:17" x14ac:dyDescent="0.2">
      <c r="A4549" s="30" t="str">
        <f>IF(C4549&amp;G4549&amp;D4549&lt;&gt;'Funnel setup'!$K$3&amp;'Funnel setup'!$K$4&amp;'Funnel setup'!$K$5,".",IF(A4548=".",1,A4548+1))</f>
        <v>.</v>
      </c>
      <c r="B4549" s="431" t="str">
        <f t="shared" si="71"/>
        <v>Knee Replacement PrimaryProviderWORCESTERSHIRE ACUTE HOSPITALS NHS TRUST (RWP)EQ VAS</v>
      </c>
      <c r="C4549" t="s">
        <v>249</v>
      </c>
      <c r="D4549" t="s">
        <v>1</v>
      </c>
      <c r="E4549" t="s">
        <v>3543</v>
      </c>
      <c r="F4549" t="s">
        <v>3544</v>
      </c>
      <c r="G4549" t="s">
        <v>179</v>
      </c>
      <c r="H4549">
        <v>229</v>
      </c>
      <c r="I4549">
        <v>72.977999999999994</v>
      </c>
      <c r="J4549">
        <v>77.686000000000007</v>
      </c>
      <c r="K4549">
        <v>4.7069999999999999</v>
      </c>
      <c r="L4549">
        <v>114</v>
      </c>
      <c r="M4549">
        <v>40</v>
      </c>
      <c r="N4549">
        <v>75</v>
      </c>
      <c r="O4549">
        <v>75.355999999999995</v>
      </c>
      <c r="P4549">
        <v>6.6980386090000001</v>
      </c>
      <c r="Q4549">
        <v>13.945</v>
      </c>
    </row>
    <row r="4550" spans="1:17" x14ac:dyDescent="0.2">
      <c r="A4550" s="30" t="str">
        <f>IF(C4550&amp;G4550&amp;D4550&lt;&gt;'Funnel setup'!$K$3&amp;'Funnel setup'!$K$4&amp;'Funnel setup'!$K$5,".",IF(A4549=".",1,A4549+1))</f>
        <v>.</v>
      </c>
      <c r="B4550" s="431" t="str">
        <f t="shared" si="71"/>
        <v>Knee Replacement PrimaryProviderWRIGHTINGTON, WIGAN AND LEIGH NHS FOUNDATION TRUST (RRF)EQ VAS</v>
      </c>
      <c r="C4550" t="s">
        <v>249</v>
      </c>
      <c r="D4550" t="s">
        <v>1</v>
      </c>
      <c r="E4550" t="s">
        <v>3546</v>
      </c>
      <c r="F4550" t="s">
        <v>3547</v>
      </c>
      <c r="G4550" t="s">
        <v>179</v>
      </c>
      <c r="H4550">
        <v>253</v>
      </c>
      <c r="I4550">
        <v>64.228999999999999</v>
      </c>
      <c r="J4550">
        <v>71.328000000000003</v>
      </c>
      <c r="K4550">
        <v>7.0990000000000002</v>
      </c>
      <c r="L4550">
        <v>135</v>
      </c>
      <c r="M4550">
        <v>38</v>
      </c>
      <c r="N4550">
        <v>80</v>
      </c>
      <c r="O4550">
        <v>74.23</v>
      </c>
      <c r="P4550">
        <v>5.5719326269999998</v>
      </c>
      <c r="Q4550">
        <v>16.065000000000001</v>
      </c>
    </row>
    <row r="4551" spans="1:17" x14ac:dyDescent="0.2">
      <c r="A4551" s="30" t="str">
        <f>IF(C4551&amp;G4551&amp;D4551&lt;&gt;'Funnel setup'!$K$3&amp;'Funnel setup'!$K$4&amp;'Funnel setup'!$K$5,".",IF(A4550=".",1,A4550+1))</f>
        <v>.</v>
      </c>
      <c r="B4551" s="431" t="str">
        <f t="shared" si="71"/>
        <v>Knee Replacement PrimaryProviderWYE VALLEY NHS TRUST (RLQ)EQ VAS</v>
      </c>
      <c r="C4551" t="s">
        <v>249</v>
      </c>
      <c r="D4551" t="s">
        <v>1</v>
      </c>
      <c r="E4551" t="s">
        <v>3517</v>
      </c>
      <c r="F4551" t="s">
        <v>3518</v>
      </c>
      <c r="G4551" t="s">
        <v>179</v>
      </c>
      <c r="H4551">
        <v>93</v>
      </c>
      <c r="I4551">
        <v>74.891999999999996</v>
      </c>
      <c r="J4551">
        <v>78.108000000000004</v>
      </c>
      <c r="K4551">
        <v>3.2149999999999999</v>
      </c>
      <c r="L4551">
        <v>48</v>
      </c>
      <c r="M4551">
        <v>11</v>
      </c>
      <c r="N4551">
        <v>34</v>
      </c>
      <c r="O4551">
        <v>75.739999999999995</v>
      </c>
      <c r="P4551">
        <v>7.0819610539999998</v>
      </c>
      <c r="Q4551">
        <v>13.449</v>
      </c>
    </row>
    <row r="4552" spans="1:17" x14ac:dyDescent="0.2">
      <c r="A4552" s="30" t="str">
        <f>IF(C4552&amp;G4552&amp;D4552&lt;&gt;'Funnel setup'!$K$3&amp;'Funnel setup'!$K$4&amp;'Funnel setup'!$K$5,".",IF(A4551=".",1,A4551+1))</f>
        <v>.</v>
      </c>
      <c r="B4552" s="431" t="str">
        <f t="shared" si="71"/>
        <v>Knee Replacement PrimaryProviderYEOVIL DISTRICT HOSPITAL NHS FOUNDATION TRUST (RA4)EQ VAS</v>
      </c>
      <c r="C4552" t="s">
        <v>249</v>
      </c>
      <c r="D4552" t="s">
        <v>1</v>
      </c>
      <c r="E4552" t="s">
        <v>3520</v>
      </c>
      <c r="F4552" t="s">
        <v>341</v>
      </c>
      <c r="G4552" t="s">
        <v>179</v>
      </c>
      <c r="H4552">
        <v>60</v>
      </c>
      <c r="I4552">
        <v>65.766999999999996</v>
      </c>
      <c r="J4552">
        <v>74.483000000000004</v>
      </c>
      <c r="K4552">
        <v>8.7170000000000005</v>
      </c>
      <c r="L4552">
        <v>43</v>
      </c>
      <c r="M4552">
        <v>5</v>
      </c>
      <c r="N4552">
        <v>12</v>
      </c>
      <c r="O4552">
        <v>75.137</v>
      </c>
      <c r="P4552">
        <v>6.4787070660000001</v>
      </c>
      <c r="Q4552">
        <v>14.35</v>
      </c>
    </row>
    <row r="4553" spans="1:17" x14ac:dyDescent="0.2">
      <c r="A4553" s="30" t="str">
        <f>IF(C4553&amp;G4553&amp;D4553&lt;&gt;'Funnel setup'!$K$3&amp;'Funnel setup'!$K$4&amp;'Funnel setup'!$K$5,".",IF(A4552=".",1,A4552+1))</f>
        <v>.</v>
      </c>
      <c r="B4553" s="431" t="str">
        <f t="shared" si="71"/>
        <v>Knee Replacement PrimaryProviderYORK TEACHING HOSPITAL NHS FOUNDATION TRUST (RCB)EQ VAS</v>
      </c>
      <c r="C4553" t="s">
        <v>249</v>
      </c>
      <c r="D4553" t="s">
        <v>1</v>
      </c>
      <c r="E4553" t="s">
        <v>3515</v>
      </c>
      <c r="F4553" t="s">
        <v>343</v>
      </c>
      <c r="G4553" t="s">
        <v>179</v>
      </c>
      <c r="H4553">
        <v>247</v>
      </c>
      <c r="I4553">
        <v>67.506</v>
      </c>
      <c r="J4553">
        <v>72.278999999999996</v>
      </c>
      <c r="K4553">
        <v>4.7729999999999997</v>
      </c>
      <c r="L4553">
        <v>139</v>
      </c>
      <c r="M4553">
        <v>35</v>
      </c>
      <c r="N4553">
        <v>73</v>
      </c>
      <c r="O4553">
        <v>72.900000000000006</v>
      </c>
      <c r="P4553">
        <v>4.2414282009999997</v>
      </c>
      <c r="Q4553">
        <v>16.155999999999999</v>
      </c>
    </row>
    <row r="4554" spans="1:17" x14ac:dyDescent="0.2">
      <c r="A4554" s="30" t="str">
        <f>IF(C4554&amp;G4554&amp;D4554&lt;&gt;'Funnel setup'!$K$3&amp;'Funnel setup'!$K$4&amp;'Funnel setup'!$K$5,".",IF(A4553=".",1,A4553+1))</f>
        <v>.</v>
      </c>
      <c r="B4554" s="431" t="str">
        <f t="shared" si="71"/>
        <v>Knee Replacement PrimaryProviderAINTREE UNIVERSITY HOSPITAL NHS FOUNDATION TRUST (REM)EQ-5D Index</v>
      </c>
      <c r="C4554" t="s">
        <v>249</v>
      </c>
      <c r="D4554" t="s">
        <v>1</v>
      </c>
      <c r="E4554" t="s">
        <v>3838</v>
      </c>
      <c r="F4554" t="s">
        <v>3839</v>
      </c>
      <c r="G4554" t="s">
        <v>52</v>
      </c>
      <c r="H4554">
        <v>131</v>
      </c>
      <c r="I4554">
        <v>0.246</v>
      </c>
      <c r="J4554">
        <v>0.61399999999999999</v>
      </c>
      <c r="K4554">
        <v>0.36799999999999999</v>
      </c>
      <c r="L4554">
        <v>101</v>
      </c>
      <c r="M4554">
        <v>14</v>
      </c>
      <c r="N4554">
        <v>16</v>
      </c>
      <c r="O4554">
        <v>0.70499999999999996</v>
      </c>
      <c r="P4554">
        <v>0.28042054799999999</v>
      </c>
      <c r="Q4554">
        <v>0.254</v>
      </c>
    </row>
    <row r="4555" spans="1:17" x14ac:dyDescent="0.2">
      <c r="A4555" s="30" t="str">
        <f>IF(C4555&amp;G4555&amp;D4555&lt;&gt;'Funnel setup'!$K$3&amp;'Funnel setup'!$K$4&amp;'Funnel setup'!$K$5,".",IF(A4554=".",1,A4554+1))</f>
        <v>.</v>
      </c>
      <c r="B4555" s="431" t="str">
        <f t="shared" si="71"/>
        <v>Knee Replacement PrimaryProviderAIREDALE NHS FOUNDATION TRUST (RCF)EQ-5D Index</v>
      </c>
      <c r="C4555" t="s">
        <v>249</v>
      </c>
      <c r="D4555" t="s">
        <v>1</v>
      </c>
      <c r="E4555" t="s">
        <v>3841</v>
      </c>
      <c r="F4555" t="s">
        <v>3842</v>
      </c>
      <c r="G4555" t="s">
        <v>52</v>
      </c>
      <c r="H4555">
        <v>138</v>
      </c>
      <c r="I4555">
        <v>0.48199999999999998</v>
      </c>
      <c r="J4555">
        <v>0.79</v>
      </c>
      <c r="K4555">
        <v>0.308</v>
      </c>
      <c r="L4555">
        <v>118</v>
      </c>
      <c r="M4555">
        <v>10</v>
      </c>
      <c r="N4555">
        <v>10</v>
      </c>
      <c r="O4555">
        <v>0.755</v>
      </c>
      <c r="P4555">
        <v>0.33049315000000001</v>
      </c>
      <c r="Q4555">
        <v>0.221</v>
      </c>
    </row>
    <row r="4556" spans="1:17" x14ac:dyDescent="0.2">
      <c r="A4556" s="30" t="str">
        <f>IF(C4556&amp;G4556&amp;D4556&lt;&gt;'Funnel setup'!$K$3&amp;'Funnel setup'!$K$4&amp;'Funnel setup'!$K$5,".",IF(A4555=".",1,A4555+1))</f>
        <v>.</v>
      </c>
      <c r="B4556" s="431" t="str">
        <f t="shared" si="71"/>
        <v>Knee Replacement PrimaryProviderASHFORD AND ST PETER'S HOSPITALS NHS FOUNDATION TRUST (RTK)EQ-5D Index</v>
      </c>
      <c r="C4556" t="s">
        <v>249</v>
      </c>
      <c r="D4556" t="s">
        <v>1</v>
      </c>
      <c r="E4556" t="s">
        <v>3844</v>
      </c>
      <c r="F4556" t="s">
        <v>345</v>
      </c>
      <c r="G4556" t="s">
        <v>52</v>
      </c>
      <c r="H4556">
        <v>247</v>
      </c>
      <c r="I4556">
        <v>0.438</v>
      </c>
      <c r="J4556">
        <v>0.73899999999999999</v>
      </c>
      <c r="K4556">
        <v>0.30099999999999999</v>
      </c>
      <c r="L4556">
        <v>202</v>
      </c>
      <c r="M4556">
        <v>25</v>
      </c>
      <c r="N4556">
        <v>20</v>
      </c>
      <c r="O4556">
        <v>0.72699999999999998</v>
      </c>
      <c r="P4556">
        <v>0.30209757799999998</v>
      </c>
      <c r="Q4556">
        <v>0.218</v>
      </c>
    </row>
    <row r="4557" spans="1:17" x14ac:dyDescent="0.2">
      <c r="A4557" s="30" t="str">
        <f>IF(C4557&amp;G4557&amp;D4557&lt;&gt;'Funnel setup'!$K$3&amp;'Funnel setup'!$K$4&amp;'Funnel setup'!$K$5,".",IF(A4556=".",1,A4556+1))</f>
        <v>.</v>
      </c>
      <c r="B4557" s="431" t="str">
        <f t="shared" si="71"/>
        <v>Knee Replacement PrimaryProviderASHTEAD HOSPITAL (NVC01)EQ-5D Index</v>
      </c>
      <c r="C4557" t="s">
        <v>249</v>
      </c>
      <c r="D4557" t="s">
        <v>1</v>
      </c>
      <c r="E4557" t="s">
        <v>3846</v>
      </c>
      <c r="F4557" t="s">
        <v>3847</v>
      </c>
      <c r="G4557" t="s">
        <v>52</v>
      </c>
      <c r="H4557">
        <v>50</v>
      </c>
      <c r="I4557">
        <v>0.48</v>
      </c>
      <c r="J4557">
        <v>0.79300000000000004</v>
      </c>
      <c r="K4557">
        <v>0.313</v>
      </c>
      <c r="L4557">
        <v>41</v>
      </c>
      <c r="M4557">
        <v>5</v>
      </c>
      <c r="N4557">
        <v>4</v>
      </c>
      <c r="O4557">
        <v>0.753</v>
      </c>
      <c r="P4557">
        <v>0.32771948200000001</v>
      </c>
      <c r="Q4557">
        <v>0.19700000000000001</v>
      </c>
    </row>
    <row r="4558" spans="1:17" x14ac:dyDescent="0.2">
      <c r="A4558" s="30" t="str">
        <f>IF(C4558&amp;G4558&amp;D4558&lt;&gt;'Funnel setup'!$K$3&amp;'Funnel setup'!$K$4&amp;'Funnel setup'!$K$5,".",IF(A4557=".",1,A4557+1))</f>
        <v>.</v>
      </c>
      <c r="B4558" s="431" t="str">
        <f t="shared" si="71"/>
        <v>Knee Replacement PrimaryProviderASPEN - CLAREMONT HOSPITAL (NYW04)EQ-5D Index</v>
      </c>
      <c r="C4558" t="s">
        <v>249</v>
      </c>
      <c r="D4558" t="s">
        <v>1</v>
      </c>
      <c r="E4558" t="s">
        <v>3500</v>
      </c>
      <c r="F4558" t="s">
        <v>3501</v>
      </c>
      <c r="G4558" t="s">
        <v>52</v>
      </c>
      <c r="H4558">
        <v>69</v>
      </c>
      <c r="I4558">
        <v>0.51</v>
      </c>
      <c r="J4558">
        <v>0.78400000000000003</v>
      </c>
      <c r="K4558">
        <v>0.27400000000000002</v>
      </c>
      <c r="L4558">
        <v>51</v>
      </c>
      <c r="M4558">
        <v>10</v>
      </c>
      <c r="N4558">
        <v>8</v>
      </c>
      <c r="O4558">
        <v>0.752</v>
      </c>
      <c r="P4558">
        <v>0.32689856</v>
      </c>
      <c r="Q4558">
        <v>0.184</v>
      </c>
    </row>
    <row r="4559" spans="1:17" x14ac:dyDescent="0.2">
      <c r="A4559" s="30" t="str">
        <f>IF(C4559&amp;G4559&amp;D4559&lt;&gt;'Funnel setup'!$K$3&amp;'Funnel setup'!$K$4&amp;'Funnel setup'!$K$5,".",IF(A4558=".",1,A4558+1))</f>
        <v>.</v>
      </c>
      <c r="B4559" s="431" t="str">
        <f t="shared" si="71"/>
        <v>Knee Replacement PrimaryProviderASPEN - HIGHGATE HOSPITAL (NYW03)EQ-5D Index</v>
      </c>
      <c r="C4559" t="s">
        <v>249</v>
      </c>
      <c r="D4559" t="s">
        <v>1</v>
      </c>
      <c r="E4559" t="s">
        <v>3503</v>
      </c>
      <c r="F4559" t="s">
        <v>3504</v>
      </c>
      <c r="G4559" t="s">
        <v>52</v>
      </c>
      <c r="H4559" t="s">
        <v>53</v>
      </c>
      <c r="I4559" t="s">
        <v>53</v>
      </c>
      <c r="J4559" t="s">
        <v>53</v>
      </c>
      <c r="K4559" t="s">
        <v>53</v>
      </c>
      <c r="L4559" t="s">
        <v>53</v>
      </c>
      <c r="M4559" t="s">
        <v>53</v>
      </c>
      <c r="N4559" t="s">
        <v>53</v>
      </c>
      <c r="O4559" t="s">
        <v>53</v>
      </c>
      <c r="P4559" t="s">
        <v>53</v>
      </c>
      <c r="Q4559" t="s">
        <v>53</v>
      </c>
    </row>
    <row r="4560" spans="1:17" x14ac:dyDescent="0.2">
      <c r="A4560" s="30" t="str">
        <f>IF(C4560&amp;G4560&amp;D4560&lt;&gt;'Funnel setup'!$K$3&amp;'Funnel setup'!$K$4&amp;'Funnel setup'!$K$5,".",IF(A4559=".",1,A4559+1))</f>
        <v>.</v>
      </c>
      <c r="B4560" s="431" t="str">
        <f t="shared" si="71"/>
        <v>Knee Replacement PrimaryProviderASPEN - HOLLY HOUSE HOSPITAL (NYW01)EQ-5D Index</v>
      </c>
      <c r="C4560" t="s">
        <v>249</v>
      </c>
      <c r="D4560" t="s">
        <v>1</v>
      </c>
      <c r="E4560" t="s">
        <v>3506</v>
      </c>
      <c r="F4560" t="s">
        <v>3507</v>
      </c>
      <c r="G4560" t="s">
        <v>52</v>
      </c>
      <c r="H4560">
        <v>32</v>
      </c>
      <c r="I4560">
        <v>0.42599999999999999</v>
      </c>
      <c r="J4560">
        <v>0.67100000000000004</v>
      </c>
      <c r="K4560">
        <v>0.245</v>
      </c>
      <c r="L4560">
        <v>24</v>
      </c>
      <c r="M4560">
        <v>3</v>
      </c>
      <c r="N4560">
        <v>5</v>
      </c>
      <c r="O4560">
        <v>0.65700000000000003</v>
      </c>
      <c r="P4560">
        <v>0.23187653799999999</v>
      </c>
      <c r="Q4560">
        <v>0.20100000000000001</v>
      </c>
    </row>
    <row r="4561" spans="1:17" x14ac:dyDescent="0.2">
      <c r="A4561" s="30" t="str">
        <f>IF(C4561&amp;G4561&amp;D4561&lt;&gt;'Funnel setup'!$K$3&amp;'Funnel setup'!$K$4&amp;'Funnel setup'!$K$5,".",IF(A4560=".",1,A4560+1))</f>
        <v>.</v>
      </c>
      <c r="B4561" s="431" t="str">
        <f t="shared" si="71"/>
        <v>Knee Replacement PrimaryProviderBARKING, HAVERING AND REDBRIDGE UNIVERSITY HOSPITALS NHS TRUST (RF4)EQ-5D Index</v>
      </c>
      <c r="C4561" t="s">
        <v>249</v>
      </c>
      <c r="D4561" t="s">
        <v>1</v>
      </c>
      <c r="E4561" t="s">
        <v>3509</v>
      </c>
      <c r="F4561" t="s">
        <v>3510</v>
      </c>
      <c r="G4561" t="s">
        <v>52</v>
      </c>
      <c r="H4561">
        <v>82</v>
      </c>
      <c r="I4561">
        <v>0.29199999999999998</v>
      </c>
      <c r="J4561">
        <v>0.63300000000000001</v>
      </c>
      <c r="K4561">
        <v>0.34100000000000003</v>
      </c>
      <c r="L4561">
        <v>67</v>
      </c>
      <c r="M4561">
        <v>7</v>
      </c>
      <c r="N4561">
        <v>8</v>
      </c>
      <c r="O4561">
        <v>0.68799999999999994</v>
      </c>
      <c r="P4561">
        <v>0.26259802599999998</v>
      </c>
      <c r="Q4561">
        <v>0.28000000000000003</v>
      </c>
    </row>
    <row r="4562" spans="1:17" x14ac:dyDescent="0.2">
      <c r="A4562" s="30" t="str">
        <f>IF(C4562&amp;G4562&amp;D4562&lt;&gt;'Funnel setup'!$K$3&amp;'Funnel setup'!$K$4&amp;'Funnel setup'!$K$5,".",IF(A4561=".",1,A4561+1))</f>
        <v>.</v>
      </c>
      <c r="B4562" s="431" t="str">
        <f t="shared" si="71"/>
        <v>Knee Replacement PrimaryProviderBARLBOROUGH NHS TREATMENT CENTRE (NTP13)EQ-5D Index</v>
      </c>
      <c r="C4562" t="s">
        <v>249</v>
      </c>
      <c r="D4562" t="s">
        <v>1</v>
      </c>
      <c r="E4562" t="s">
        <v>4425</v>
      </c>
      <c r="F4562" t="s">
        <v>4426</v>
      </c>
      <c r="G4562" t="s">
        <v>52</v>
      </c>
      <c r="H4562">
        <v>418</v>
      </c>
      <c r="I4562">
        <v>0.45600000000000002</v>
      </c>
      <c r="J4562">
        <v>0.755</v>
      </c>
      <c r="K4562">
        <v>0.29899999999999999</v>
      </c>
      <c r="L4562">
        <v>341</v>
      </c>
      <c r="M4562">
        <v>41</v>
      </c>
      <c r="N4562">
        <v>36</v>
      </c>
      <c r="O4562">
        <v>0.73399999999999999</v>
      </c>
      <c r="P4562">
        <v>0.30946644000000001</v>
      </c>
      <c r="Q4562">
        <v>0.21199999999999999</v>
      </c>
    </row>
    <row r="4563" spans="1:17" x14ac:dyDescent="0.2">
      <c r="A4563" s="30" t="str">
        <f>IF(C4563&amp;G4563&amp;D4563&lt;&gt;'Funnel setup'!$K$3&amp;'Funnel setup'!$K$4&amp;'Funnel setup'!$K$5,".",IF(A4562=".",1,A4562+1))</f>
        <v>.</v>
      </c>
      <c r="B4563" s="431" t="str">
        <f t="shared" si="71"/>
        <v>Knee Replacement PrimaryProviderBARNSLEY HOSPITAL NHS FOUNDATION TRUST (RFF)EQ-5D Index</v>
      </c>
      <c r="C4563" t="s">
        <v>249</v>
      </c>
      <c r="D4563" t="s">
        <v>1</v>
      </c>
      <c r="E4563" t="s">
        <v>3549</v>
      </c>
      <c r="F4563" t="s">
        <v>3550</v>
      </c>
      <c r="G4563" t="s">
        <v>52</v>
      </c>
      <c r="H4563">
        <v>202</v>
      </c>
      <c r="I4563">
        <v>0.37</v>
      </c>
      <c r="J4563">
        <v>0.67900000000000005</v>
      </c>
      <c r="K4563">
        <v>0.309</v>
      </c>
      <c r="L4563">
        <v>159</v>
      </c>
      <c r="M4563">
        <v>21</v>
      </c>
      <c r="N4563">
        <v>22</v>
      </c>
      <c r="O4563">
        <v>0.70599999999999996</v>
      </c>
      <c r="P4563">
        <v>0.28123727799999998</v>
      </c>
      <c r="Q4563">
        <v>0.23699999999999999</v>
      </c>
    </row>
    <row r="4564" spans="1:17" x14ac:dyDescent="0.2">
      <c r="A4564" s="30" t="str">
        <f>IF(C4564&amp;G4564&amp;D4564&lt;&gt;'Funnel setup'!$K$3&amp;'Funnel setup'!$K$4&amp;'Funnel setup'!$K$5,".",IF(A4563=".",1,A4563+1))</f>
        <v>.</v>
      </c>
      <c r="B4564" s="431" t="str">
        <f t="shared" si="71"/>
        <v>Knee Replacement PrimaryProviderBARTS HEALTH NHS TRUST (R1H)EQ-5D Index</v>
      </c>
      <c r="C4564" t="s">
        <v>249</v>
      </c>
      <c r="D4564" t="s">
        <v>1</v>
      </c>
      <c r="E4564" t="s">
        <v>3552</v>
      </c>
      <c r="F4564" t="s">
        <v>3553</v>
      </c>
      <c r="G4564" t="s">
        <v>52</v>
      </c>
      <c r="H4564">
        <v>208</v>
      </c>
      <c r="I4564">
        <v>0.35899999999999999</v>
      </c>
      <c r="J4564">
        <v>0.64700000000000002</v>
      </c>
      <c r="K4564">
        <v>0.28799999999999998</v>
      </c>
      <c r="L4564">
        <v>168</v>
      </c>
      <c r="M4564">
        <v>20</v>
      </c>
      <c r="N4564">
        <v>20</v>
      </c>
      <c r="O4564">
        <v>0.71799999999999997</v>
      </c>
      <c r="P4564">
        <v>0.292655577</v>
      </c>
      <c r="Q4564">
        <v>0.255</v>
      </c>
    </row>
    <row r="4565" spans="1:17" x14ac:dyDescent="0.2">
      <c r="A4565" s="30" t="str">
        <f>IF(C4565&amp;G4565&amp;D4565&lt;&gt;'Funnel setup'!$K$3&amp;'Funnel setup'!$K$4&amp;'Funnel setup'!$K$5,".",IF(A4564=".",1,A4564+1))</f>
        <v>.</v>
      </c>
      <c r="B4565" s="431" t="str">
        <f t="shared" si="71"/>
        <v>Knee Replacement PrimaryProviderBASILDON AND THURROCK UNIVERSITY HOSPITALS NHS FOUNDATION TRUST (RDD)EQ-5D Index</v>
      </c>
      <c r="C4565" t="s">
        <v>249</v>
      </c>
      <c r="D4565" t="s">
        <v>1</v>
      </c>
      <c r="E4565" t="s">
        <v>3555</v>
      </c>
      <c r="F4565" t="s">
        <v>3556</v>
      </c>
      <c r="G4565" t="s">
        <v>52</v>
      </c>
      <c r="H4565">
        <v>142</v>
      </c>
      <c r="I4565">
        <v>0.439</v>
      </c>
      <c r="J4565">
        <v>0.71899999999999997</v>
      </c>
      <c r="K4565">
        <v>0.28000000000000003</v>
      </c>
      <c r="L4565">
        <v>105</v>
      </c>
      <c r="M4565">
        <v>17</v>
      </c>
      <c r="N4565">
        <v>20</v>
      </c>
      <c r="O4565">
        <v>0.72299999999999998</v>
      </c>
      <c r="P4565">
        <v>0.29766711099999998</v>
      </c>
      <c r="Q4565">
        <v>0.248</v>
      </c>
    </row>
    <row r="4566" spans="1:17" x14ac:dyDescent="0.2">
      <c r="A4566" s="30" t="str">
        <f>IF(C4566&amp;G4566&amp;D4566&lt;&gt;'Funnel setup'!$K$3&amp;'Funnel setup'!$K$4&amp;'Funnel setup'!$K$5,".",IF(A4565=".",1,A4565+1))</f>
        <v>.</v>
      </c>
      <c r="B4566" s="431" t="str">
        <f t="shared" si="71"/>
        <v>Knee Replacement PrimaryProviderBEDFORD HOSPITAL NHS TRUST (RC1)EQ-5D Index</v>
      </c>
      <c r="C4566" t="s">
        <v>249</v>
      </c>
      <c r="D4566" t="s">
        <v>1</v>
      </c>
      <c r="E4566" t="s">
        <v>3558</v>
      </c>
      <c r="F4566" t="s">
        <v>3559</v>
      </c>
      <c r="G4566" t="s">
        <v>52</v>
      </c>
      <c r="H4566">
        <v>138</v>
      </c>
      <c r="I4566">
        <v>0.443</v>
      </c>
      <c r="J4566">
        <v>0.67700000000000005</v>
      </c>
      <c r="K4566">
        <v>0.23400000000000001</v>
      </c>
      <c r="L4566">
        <v>105</v>
      </c>
      <c r="M4566">
        <v>16</v>
      </c>
      <c r="N4566">
        <v>17</v>
      </c>
      <c r="O4566">
        <v>0.66800000000000004</v>
      </c>
      <c r="P4566">
        <v>0.24277808200000001</v>
      </c>
      <c r="Q4566">
        <v>0.26700000000000002</v>
      </c>
    </row>
    <row r="4567" spans="1:17" x14ac:dyDescent="0.2">
      <c r="A4567" s="30" t="str">
        <f>IF(C4567&amp;G4567&amp;D4567&lt;&gt;'Funnel setup'!$K$3&amp;'Funnel setup'!$K$4&amp;'Funnel setup'!$K$5,".",IF(A4566=".",1,A4566+1))</f>
        <v>.</v>
      </c>
      <c r="B4567" s="431" t="str">
        <f t="shared" si="71"/>
        <v>Knee Replacement PrimaryProviderBENENDEN HOSPITAL (NWF01)EQ-5D Index</v>
      </c>
      <c r="C4567" t="s">
        <v>249</v>
      </c>
      <c r="D4567" t="s">
        <v>1</v>
      </c>
      <c r="E4567" t="s">
        <v>4428</v>
      </c>
      <c r="F4567" t="s">
        <v>4429</v>
      </c>
      <c r="G4567" t="s">
        <v>52</v>
      </c>
      <c r="H4567">
        <v>38</v>
      </c>
      <c r="I4567">
        <v>0.50700000000000001</v>
      </c>
      <c r="J4567">
        <v>0.81499999999999995</v>
      </c>
      <c r="K4567">
        <v>0.307</v>
      </c>
      <c r="L4567">
        <v>32</v>
      </c>
      <c r="M4567">
        <v>6</v>
      </c>
      <c r="N4567">
        <v>0</v>
      </c>
      <c r="O4567">
        <v>0.80300000000000005</v>
      </c>
      <c r="P4567">
        <v>0.377567349</v>
      </c>
      <c r="Q4567">
        <v>0.19400000000000001</v>
      </c>
    </row>
    <row r="4568" spans="1:17" x14ac:dyDescent="0.2">
      <c r="A4568" s="30" t="str">
        <f>IF(C4568&amp;G4568&amp;D4568&lt;&gt;'Funnel setup'!$K$3&amp;'Funnel setup'!$K$4&amp;'Funnel setup'!$K$5,".",IF(A4567=".",1,A4567+1))</f>
        <v>.</v>
      </c>
      <c r="B4568" s="431" t="str">
        <f t="shared" si="71"/>
        <v>Knee Replacement PrimaryProviderBLACKPOOL TEACHING HOSPITALS NHS FOUNDATION TRUST (RXL)EQ-5D Index</v>
      </c>
      <c r="C4568" t="s">
        <v>249</v>
      </c>
      <c r="D4568" t="s">
        <v>1</v>
      </c>
      <c r="E4568" t="s">
        <v>3561</v>
      </c>
      <c r="F4568" t="s">
        <v>3562</v>
      </c>
      <c r="G4568" t="s">
        <v>52</v>
      </c>
      <c r="H4568">
        <v>25</v>
      </c>
      <c r="I4568">
        <v>0.33600000000000002</v>
      </c>
      <c r="J4568">
        <v>0.67400000000000004</v>
      </c>
      <c r="K4568">
        <v>0.33700000000000002</v>
      </c>
      <c r="L4568">
        <v>21</v>
      </c>
      <c r="M4568">
        <v>1</v>
      </c>
      <c r="N4568">
        <v>3</v>
      </c>
      <c r="O4568" t="s">
        <v>53</v>
      </c>
      <c r="P4568" t="s">
        <v>53</v>
      </c>
      <c r="Q4568" t="s">
        <v>53</v>
      </c>
    </row>
    <row r="4569" spans="1:17" x14ac:dyDescent="0.2">
      <c r="A4569" s="30" t="str">
        <f>IF(C4569&amp;G4569&amp;D4569&lt;&gt;'Funnel setup'!$K$3&amp;'Funnel setup'!$K$4&amp;'Funnel setup'!$K$5,".",IF(A4568=".",1,A4568+1))</f>
        <v>.</v>
      </c>
      <c r="B4569" s="431" t="str">
        <f t="shared" si="71"/>
        <v>Knee Replacement PrimaryProviderBMI - BATH CLINIC (NT402)EQ-5D Index</v>
      </c>
      <c r="C4569" t="s">
        <v>249</v>
      </c>
      <c r="D4569" t="s">
        <v>1</v>
      </c>
      <c r="E4569" t="s">
        <v>3488</v>
      </c>
      <c r="F4569" t="s">
        <v>3489</v>
      </c>
      <c r="G4569" t="s">
        <v>52</v>
      </c>
      <c r="H4569">
        <v>46</v>
      </c>
      <c r="I4569">
        <v>0.48499999999999999</v>
      </c>
      <c r="J4569">
        <v>0.79800000000000004</v>
      </c>
      <c r="K4569">
        <v>0.313</v>
      </c>
      <c r="L4569">
        <v>40</v>
      </c>
      <c r="M4569">
        <v>5</v>
      </c>
      <c r="N4569">
        <v>1</v>
      </c>
      <c r="O4569">
        <v>0.75</v>
      </c>
      <c r="P4569">
        <v>0.32523109900000002</v>
      </c>
      <c r="Q4569">
        <v>0.159</v>
      </c>
    </row>
    <row r="4570" spans="1:17" x14ac:dyDescent="0.2">
      <c r="A4570" s="30" t="str">
        <f>IF(C4570&amp;G4570&amp;D4570&lt;&gt;'Funnel setup'!$K$3&amp;'Funnel setup'!$K$4&amp;'Funnel setup'!$K$5,".",IF(A4569=".",1,A4569+1))</f>
        <v>.</v>
      </c>
      <c r="B4570" s="431" t="str">
        <f t="shared" si="71"/>
        <v>Knee Replacement PrimaryProviderBMI - BISHOPS WOOD (NT405)EQ-5D Index</v>
      </c>
      <c r="C4570" t="s">
        <v>249</v>
      </c>
      <c r="D4570" t="s">
        <v>1</v>
      </c>
      <c r="E4570" t="s">
        <v>3491</v>
      </c>
      <c r="F4570" t="s">
        <v>3492</v>
      </c>
      <c r="G4570" t="s">
        <v>52</v>
      </c>
      <c r="H4570">
        <v>16</v>
      </c>
      <c r="I4570">
        <v>0.56399999999999995</v>
      </c>
      <c r="J4570">
        <v>0.81100000000000005</v>
      </c>
      <c r="K4570">
        <v>0.247</v>
      </c>
      <c r="L4570">
        <v>12</v>
      </c>
      <c r="M4570">
        <v>2</v>
      </c>
      <c r="N4570">
        <v>2</v>
      </c>
      <c r="O4570" t="s">
        <v>53</v>
      </c>
      <c r="P4570" t="s">
        <v>53</v>
      </c>
      <c r="Q4570" t="s">
        <v>53</v>
      </c>
    </row>
    <row r="4571" spans="1:17" x14ac:dyDescent="0.2">
      <c r="A4571" s="30" t="str">
        <f>IF(C4571&amp;G4571&amp;D4571&lt;&gt;'Funnel setup'!$K$3&amp;'Funnel setup'!$K$4&amp;'Funnel setup'!$K$5,".",IF(A4570=".",1,A4570+1))</f>
        <v>.</v>
      </c>
      <c r="B4571" s="431" t="str">
        <f t="shared" si="71"/>
        <v>Knee Replacement PrimaryProviderBMI - CHELSFIELD PARK HOSPITAL (NT409)EQ-5D Index</v>
      </c>
      <c r="C4571" t="s">
        <v>249</v>
      </c>
      <c r="D4571" t="s">
        <v>1</v>
      </c>
      <c r="E4571" t="s">
        <v>3494</v>
      </c>
      <c r="F4571" t="s">
        <v>3495</v>
      </c>
      <c r="G4571" t="s">
        <v>52</v>
      </c>
      <c r="H4571">
        <v>14</v>
      </c>
      <c r="I4571">
        <v>0.51300000000000001</v>
      </c>
      <c r="J4571">
        <v>0.83299999999999996</v>
      </c>
      <c r="K4571">
        <v>0.31900000000000001</v>
      </c>
      <c r="L4571">
        <v>12</v>
      </c>
      <c r="M4571">
        <v>2</v>
      </c>
      <c r="N4571">
        <v>0</v>
      </c>
      <c r="O4571" t="s">
        <v>53</v>
      </c>
      <c r="P4571" t="s">
        <v>53</v>
      </c>
      <c r="Q4571" t="s">
        <v>53</v>
      </c>
    </row>
    <row r="4572" spans="1:17" x14ac:dyDescent="0.2">
      <c r="A4572" s="30" t="str">
        <f>IF(C4572&amp;G4572&amp;D4572&lt;&gt;'Funnel setup'!$K$3&amp;'Funnel setup'!$K$4&amp;'Funnel setup'!$K$5,".",IF(A4571=".",1,A4571+1))</f>
        <v>.</v>
      </c>
      <c r="B4572" s="431" t="str">
        <f t="shared" si="71"/>
        <v>Knee Replacement PrimaryProviderBMI - FAWKHAM MANOR HOSPITAL (NT414)EQ-5D Index</v>
      </c>
      <c r="C4572" t="s">
        <v>249</v>
      </c>
      <c r="D4572" t="s">
        <v>1</v>
      </c>
      <c r="E4572" t="s">
        <v>3497</v>
      </c>
      <c r="F4572" t="s">
        <v>3498</v>
      </c>
      <c r="G4572" t="s">
        <v>52</v>
      </c>
      <c r="H4572">
        <v>27</v>
      </c>
      <c r="I4572">
        <v>0.499</v>
      </c>
      <c r="J4572">
        <v>0.83399999999999996</v>
      </c>
      <c r="K4572">
        <v>0.33600000000000002</v>
      </c>
      <c r="L4572">
        <v>24</v>
      </c>
      <c r="M4572">
        <v>0</v>
      </c>
      <c r="N4572">
        <v>3</v>
      </c>
      <c r="O4572" t="s">
        <v>53</v>
      </c>
      <c r="P4572" t="s">
        <v>53</v>
      </c>
      <c r="Q4572" t="s">
        <v>53</v>
      </c>
    </row>
    <row r="4573" spans="1:17" x14ac:dyDescent="0.2">
      <c r="A4573" s="30" t="str">
        <f>IF(C4573&amp;G4573&amp;D4573&lt;&gt;'Funnel setup'!$K$3&amp;'Funnel setup'!$K$4&amp;'Funnel setup'!$K$5,".",IF(A4572=".",1,A4572+1))</f>
        <v>.</v>
      </c>
      <c r="B4573" s="431" t="str">
        <f t="shared" si="71"/>
        <v>Knee Replacement PrimaryProviderBMI - GORING HALL HOSPITAL (NT417)EQ-5D Index</v>
      </c>
      <c r="C4573" t="s">
        <v>249</v>
      </c>
      <c r="D4573" t="s">
        <v>1</v>
      </c>
      <c r="E4573" t="s">
        <v>3403</v>
      </c>
      <c r="F4573" t="s">
        <v>3404</v>
      </c>
      <c r="G4573" t="s">
        <v>52</v>
      </c>
      <c r="H4573">
        <v>92</v>
      </c>
      <c r="I4573">
        <v>0.48699999999999999</v>
      </c>
      <c r="J4573">
        <v>0.77</v>
      </c>
      <c r="K4573">
        <v>0.28299999999999997</v>
      </c>
      <c r="L4573">
        <v>74</v>
      </c>
      <c r="M4573">
        <v>8</v>
      </c>
      <c r="N4573">
        <v>10</v>
      </c>
      <c r="O4573">
        <v>0.73099999999999998</v>
      </c>
      <c r="P4573">
        <v>0.30642970899999999</v>
      </c>
      <c r="Q4573">
        <v>0.17899999999999999</v>
      </c>
    </row>
    <row r="4574" spans="1:17" x14ac:dyDescent="0.2">
      <c r="A4574" s="30" t="str">
        <f>IF(C4574&amp;G4574&amp;D4574&lt;&gt;'Funnel setup'!$K$3&amp;'Funnel setup'!$K$4&amp;'Funnel setup'!$K$5,".",IF(A4573=".",1,A4573+1))</f>
        <v>.</v>
      </c>
      <c r="B4574" s="431" t="str">
        <f t="shared" si="71"/>
        <v>Knee Replacement PrimaryProviderBMI - HENDON HOSPITAL (NT416)EQ-5D Index</v>
      </c>
      <c r="C4574" t="s">
        <v>249</v>
      </c>
      <c r="D4574" t="s">
        <v>1</v>
      </c>
      <c r="E4574" t="s">
        <v>3570</v>
      </c>
      <c r="F4574" t="s">
        <v>3571</v>
      </c>
      <c r="G4574" t="s">
        <v>52</v>
      </c>
      <c r="H4574" t="s">
        <v>53</v>
      </c>
      <c r="I4574" t="s">
        <v>53</v>
      </c>
      <c r="J4574" t="s">
        <v>53</v>
      </c>
      <c r="K4574" t="s">
        <v>53</v>
      </c>
      <c r="L4574" t="s">
        <v>53</v>
      </c>
      <c r="M4574" t="s">
        <v>53</v>
      </c>
      <c r="N4574" t="s">
        <v>53</v>
      </c>
      <c r="O4574" t="s">
        <v>53</v>
      </c>
      <c r="P4574" t="s">
        <v>53</v>
      </c>
      <c r="Q4574" t="s">
        <v>53</v>
      </c>
    </row>
    <row r="4575" spans="1:17" x14ac:dyDescent="0.2">
      <c r="A4575" s="30" t="str">
        <f>IF(C4575&amp;G4575&amp;D4575&lt;&gt;'Funnel setup'!$K$3&amp;'Funnel setup'!$K$4&amp;'Funnel setup'!$K$5,".",IF(A4574=".",1,A4574+1))</f>
        <v>.</v>
      </c>
      <c r="B4575" s="431" t="str">
        <f t="shared" si="71"/>
        <v>Knee Replacement PrimaryProviderBMI - SARUM ROAD HOSPITAL (NT433)EQ-5D Index</v>
      </c>
      <c r="C4575" t="s">
        <v>249</v>
      </c>
      <c r="D4575" t="s">
        <v>1</v>
      </c>
      <c r="E4575" t="s">
        <v>3573</v>
      </c>
      <c r="F4575" t="s">
        <v>3574</v>
      </c>
      <c r="G4575" t="s">
        <v>52</v>
      </c>
      <c r="H4575">
        <v>26</v>
      </c>
      <c r="I4575">
        <v>0.54300000000000004</v>
      </c>
      <c r="J4575">
        <v>0.80700000000000005</v>
      </c>
      <c r="K4575">
        <v>0.26400000000000001</v>
      </c>
      <c r="L4575">
        <v>22</v>
      </c>
      <c r="M4575">
        <v>2</v>
      </c>
      <c r="N4575">
        <v>2</v>
      </c>
      <c r="O4575" t="s">
        <v>53</v>
      </c>
      <c r="P4575" t="s">
        <v>53</v>
      </c>
      <c r="Q4575" t="s">
        <v>53</v>
      </c>
    </row>
    <row r="4576" spans="1:17" x14ac:dyDescent="0.2">
      <c r="A4576" s="30" t="str">
        <f>IF(C4576&amp;G4576&amp;D4576&lt;&gt;'Funnel setup'!$K$3&amp;'Funnel setup'!$K$4&amp;'Funnel setup'!$K$5,".",IF(A4575=".",1,A4575+1))</f>
        <v>.</v>
      </c>
      <c r="B4576" s="431" t="str">
        <f t="shared" si="71"/>
        <v>Knee Replacement PrimaryProviderBMI - SHIRLEY OAKS HOSPITAL (NT436)EQ-5D Index</v>
      </c>
      <c r="C4576" t="s">
        <v>249</v>
      </c>
      <c r="D4576" t="s">
        <v>1</v>
      </c>
      <c r="E4576" t="s">
        <v>3576</v>
      </c>
      <c r="F4576" t="s">
        <v>3577</v>
      </c>
      <c r="G4576" t="s">
        <v>52</v>
      </c>
      <c r="H4576">
        <v>17</v>
      </c>
      <c r="I4576">
        <v>0.33300000000000002</v>
      </c>
      <c r="J4576">
        <v>0.67800000000000005</v>
      </c>
      <c r="K4576">
        <v>0.34499999999999997</v>
      </c>
      <c r="L4576">
        <v>11</v>
      </c>
      <c r="M4576">
        <v>3</v>
      </c>
      <c r="N4576">
        <v>3</v>
      </c>
      <c r="O4576" t="s">
        <v>53</v>
      </c>
      <c r="P4576" t="s">
        <v>53</v>
      </c>
      <c r="Q4576" t="s">
        <v>53</v>
      </c>
    </row>
    <row r="4577" spans="1:17" x14ac:dyDescent="0.2">
      <c r="A4577" s="30" t="str">
        <f>IF(C4577&amp;G4577&amp;D4577&lt;&gt;'Funnel setup'!$K$3&amp;'Funnel setup'!$K$4&amp;'Funnel setup'!$K$5,".",IF(A4576=".",1,A4576+1))</f>
        <v>.</v>
      </c>
      <c r="B4577" s="431" t="str">
        <f t="shared" si="71"/>
        <v>Knee Replacement PrimaryProviderBMI - THE ALEXANDRA HOSPITAL (NT401)EQ-5D Index</v>
      </c>
      <c r="C4577" t="s">
        <v>249</v>
      </c>
      <c r="D4577" t="s">
        <v>1</v>
      </c>
      <c r="E4577" t="s">
        <v>3579</v>
      </c>
      <c r="F4577" t="s">
        <v>3580</v>
      </c>
      <c r="G4577" t="s">
        <v>52</v>
      </c>
      <c r="H4577">
        <v>70</v>
      </c>
      <c r="I4577">
        <v>0.48499999999999999</v>
      </c>
      <c r="J4577">
        <v>0.76800000000000002</v>
      </c>
      <c r="K4577">
        <v>0.28299999999999997</v>
      </c>
      <c r="L4577">
        <v>55</v>
      </c>
      <c r="M4577">
        <v>9</v>
      </c>
      <c r="N4577">
        <v>6</v>
      </c>
      <c r="O4577">
        <v>0.74199999999999999</v>
      </c>
      <c r="P4577">
        <v>0.317425126</v>
      </c>
      <c r="Q4577">
        <v>0.2</v>
      </c>
    </row>
    <row r="4578" spans="1:17" x14ac:dyDescent="0.2">
      <c r="A4578" s="30" t="str">
        <f>IF(C4578&amp;G4578&amp;D4578&lt;&gt;'Funnel setup'!$K$3&amp;'Funnel setup'!$K$4&amp;'Funnel setup'!$K$5,".",IF(A4577=".",1,A4577+1))</f>
        <v>.</v>
      </c>
      <c r="B4578" s="431" t="str">
        <f t="shared" si="71"/>
        <v>Knee Replacement PrimaryProviderBMI - THE BEARDWOOD HOSPITAL (NT403)EQ-5D Index</v>
      </c>
      <c r="C4578" t="s">
        <v>249</v>
      </c>
      <c r="D4578" t="s">
        <v>1</v>
      </c>
      <c r="E4578" t="s">
        <v>3582</v>
      </c>
      <c r="F4578" t="s">
        <v>3583</v>
      </c>
      <c r="G4578" t="s">
        <v>52</v>
      </c>
      <c r="H4578">
        <v>47</v>
      </c>
      <c r="I4578">
        <v>0.48399999999999999</v>
      </c>
      <c r="J4578">
        <v>0.80700000000000005</v>
      </c>
      <c r="K4578">
        <v>0.32300000000000001</v>
      </c>
      <c r="L4578">
        <v>43</v>
      </c>
      <c r="M4578">
        <v>3</v>
      </c>
      <c r="N4578">
        <v>1</v>
      </c>
      <c r="O4578">
        <v>0.78</v>
      </c>
      <c r="P4578">
        <v>0.354951978</v>
      </c>
      <c r="Q4578">
        <v>0.13500000000000001</v>
      </c>
    </row>
    <row r="4579" spans="1:17" x14ac:dyDescent="0.2">
      <c r="A4579" s="30" t="str">
        <f>IF(C4579&amp;G4579&amp;D4579&lt;&gt;'Funnel setup'!$K$3&amp;'Funnel setup'!$K$4&amp;'Funnel setup'!$K$5,".",IF(A4578=".",1,A4578+1))</f>
        <v>.</v>
      </c>
      <c r="B4579" s="431" t="str">
        <f t="shared" si="71"/>
        <v>Knee Replacement PrimaryProviderBMI - THE BEAUMONT HOSPITAL (NT404)EQ-5D Index</v>
      </c>
      <c r="C4579" t="s">
        <v>249</v>
      </c>
      <c r="D4579" t="s">
        <v>1</v>
      </c>
      <c r="E4579" t="s">
        <v>3585</v>
      </c>
      <c r="F4579" t="s">
        <v>3586</v>
      </c>
      <c r="G4579" t="s">
        <v>52</v>
      </c>
      <c r="H4579">
        <v>38</v>
      </c>
      <c r="I4579">
        <v>0.45800000000000002</v>
      </c>
      <c r="J4579">
        <v>0.746</v>
      </c>
      <c r="K4579">
        <v>0.28799999999999998</v>
      </c>
      <c r="L4579">
        <v>30</v>
      </c>
      <c r="M4579">
        <v>1</v>
      </c>
      <c r="N4579">
        <v>7</v>
      </c>
      <c r="O4579">
        <v>0.72899999999999998</v>
      </c>
      <c r="P4579">
        <v>0.30386213400000001</v>
      </c>
      <c r="Q4579">
        <v>0.23599999999999999</v>
      </c>
    </row>
    <row r="4580" spans="1:17" x14ac:dyDescent="0.2">
      <c r="A4580" s="30" t="str">
        <f>IF(C4580&amp;G4580&amp;D4580&lt;&gt;'Funnel setup'!$K$3&amp;'Funnel setup'!$K$4&amp;'Funnel setup'!$K$5,".",IF(A4579=".",1,A4579+1))</f>
        <v>.</v>
      </c>
      <c r="B4580" s="431" t="str">
        <f t="shared" si="71"/>
        <v>Knee Replacement PrimaryProviderBMI - THE BLACKHEATH HOSPITAL (NT406)EQ-5D Index</v>
      </c>
      <c r="C4580" t="s">
        <v>249</v>
      </c>
      <c r="D4580" t="s">
        <v>1</v>
      </c>
      <c r="E4580" t="s">
        <v>3588</v>
      </c>
      <c r="F4580" t="s">
        <v>3589</v>
      </c>
      <c r="G4580" t="s">
        <v>52</v>
      </c>
      <c r="H4580">
        <v>14</v>
      </c>
      <c r="I4580">
        <v>0.376</v>
      </c>
      <c r="J4580">
        <v>0.73099999999999998</v>
      </c>
      <c r="K4580">
        <v>0.35499999999999998</v>
      </c>
      <c r="L4580">
        <v>12</v>
      </c>
      <c r="M4580">
        <v>0</v>
      </c>
      <c r="N4580">
        <v>2</v>
      </c>
      <c r="O4580" t="s">
        <v>53</v>
      </c>
      <c r="P4580" t="s">
        <v>53</v>
      </c>
      <c r="Q4580" t="s">
        <v>53</v>
      </c>
    </row>
    <row r="4581" spans="1:17" x14ac:dyDescent="0.2">
      <c r="A4581" s="30" t="str">
        <f>IF(C4581&amp;G4581&amp;D4581&lt;&gt;'Funnel setup'!$K$3&amp;'Funnel setup'!$K$4&amp;'Funnel setup'!$K$5,".",IF(A4580=".",1,A4580+1))</f>
        <v>.</v>
      </c>
      <c r="B4581" s="431" t="str">
        <f t="shared" si="71"/>
        <v>Knee Replacement PrimaryProviderBMI - THE CHAUCER HOSPITAL (NT408)EQ-5D Index</v>
      </c>
      <c r="C4581" t="s">
        <v>249</v>
      </c>
      <c r="D4581" t="s">
        <v>1</v>
      </c>
      <c r="E4581" t="s">
        <v>3591</v>
      </c>
      <c r="F4581" t="s">
        <v>3592</v>
      </c>
      <c r="G4581" t="s">
        <v>52</v>
      </c>
      <c r="H4581">
        <v>10</v>
      </c>
      <c r="I4581">
        <v>0.38800000000000001</v>
      </c>
      <c r="J4581">
        <v>0.84599999999999997</v>
      </c>
      <c r="K4581">
        <v>0.45800000000000002</v>
      </c>
      <c r="L4581">
        <v>10</v>
      </c>
      <c r="M4581">
        <v>0</v>
      </c>
      <c r="N4581">
        <v>0</v>
      </c>
      <c r="O4581" t="s">
        <v>53</v>
      </c>
      <c r="P4581" t="s">
        <v>53</v>
      </c>
      <c r="Q4581" t="s">
        <v>53</v>
      </c>
    </row>
    <row r="4582" spans="1:17" x14ac:dyDescent="0.2">
      <c r="A4582" s="30" t="str">
        <f>IF(C4582&amp;G4582&amp;D4582&lt;&gt;'Funnel setup'!$K$3&amp;'Funnel setup'!$K$4&amp;'Funnel setup'!$K$5,".",IF(A4581=".",1,A4581+1))</f>
        <v>.</v>
      </c>
      <c r="B4582" s="431" t="str">
        <f t="shared" si="71"/>
        <v>Knee Replacement PrimaryProviderBMI - THE CHILTERN HOSPITAL (NT410)EQ-5D Index</v>
      </c>
      <c r="C4582" t="s">
        <v>249</v>
      </c>
      <c r="D4582" t="s">
        <v>1</v>
      </c>
      <c r="E4582" t="s">
        <v>3594</v>
      </c>
      <c r="F4582" t="s">
        <v>3595</v>
      </c>
      <c r="G4582" t="s">
        <v>52</v>
      </c>
      <c r="H4582">
        <v>75</v>
      </c>
      <c r="I4582">
        <v>0.51500000000000001</v>
      </c>
      <c r="J4582">
        <v>0.81899999999999995</v>
      </c>
      <c r="K4582">
        <v>0.30399999999999999</v>
      </c>
      <c r="L4582">
        <v>65</v>
      </c>
      <c r="M4582">
        <v>7</v>
      </c>
      <c r="N4582">
        <v>3</v>
      </c>
      <c r="O4582">
        <v>0.76</v>
      </c>
      <c r="P4582">
        <v>0.33454487599999999</v>
      </c>
      <c r="Q4582">
        <v>0.16800000000000001</v>
      </c>
    </row>
    <row r="4583" spans="1:17" x14ac:dyDescent="0.2">
      <c r="A4583" s="30" t="str">
        <f>IF(C4583&amp;G4583&amp;D4583&lt;&gt;'Funnel setup'!$K$3&amp;'Funnel setup'!$K$4&amp;'Funnel setup'!$K$5,".",IF(A4582=".",1,A4582+1))</f>
        <v>.</v>
      </c>
      <c r="B4583" s="431" t="str">
        <f t="shared" si="71"/>
        <v>Knee Replacement PrimaryProviderBMI - THE CLEMENTINE CHURCHILL HOSPITAL (NT411)EQ-5D Index</v>
      </c>
      <c r="C4583" t="s">
        <v>249</v>
      </c>
      <c r="D4583" t="s">
        <v>1</v>
      </c>
      <c r="E4583" t="s">
        <v>3597</v>
      </c>
      <c r="F4583" t="s">
        <v>3598</v>
      </c>
      <c r="G4583" t="s">
        <v>52</v>
      </c>
      <c r="H4583">
        <v>43</v>
      </c>
      <c r="I4583">
        <v>0.40100000000000002</v>
      </c>
      <c r="J4583">
        <v>0.74399999999999999</v>
      </c>
      <c r="K4583">
        <v>0.34300000000000003</v>
      </c>
      <c r="L4583">
        <v>36</v>
      </c>
      <c r="M4583">
        <v>4</v>
      </c>
      <c r="N4583">
        <v>3</v>
      </c>
      <c r="O4583">
        <v>0.74</v>
      </c>
      <c r="P4583">
        <v>0.31519206999999999</v>
      </c>
      <c r="Q4583">
        <v>0.20100000000000001</v>
      </c>
    </row>
    <row r="4584" spans="1:17" x14ac:dyDescent="0.2">
      <c r="A4584" s="30" t="str">
        <f>IF(C4584&amp;G4584&amp;D4584&lt;&gt;'Funnel setup'!$K$3&amp;'Funnel setup'!$K$4&amp;'Funnel setup'!$K$5,".",IF(A4583=".",1,A4583+1))</f>
        <v>.</v>
      </c>
      <c r="B4584" s="431" t="str">
        <f t="shared" si="71"/>
        <v>Knee Replacement PrimaryProviderBMI - THE DROITWICH SPA HOSPITAL (NT412)EQ-5D Index</v>
      </c>
      <c r="C4584" t="s">
        <v>249</v>
      </c>
      <c r="D4584" t="s">
        <v>1</v>
      </c>
      <c r="E4584" t="s">
        <v>3600</v>
      </c>
      <c r="F4584" t="s">
        <v>3601</v>
      </c>
      <c r="G4584" t="s">
        <v>52</v>
      </c>
      <c r="H4584">
        <v>88</v>
      </c>
      <c r="I4584">
        <v>0.49</v>
      </c>
      <c r="J4584">
        <v>0.76500000000000001</v>
      </c>
      <c r="K4584">
        <v>0.27500000000000002</v>
      </c>
      <c r="L4584">
        <v>69</v>
      </c>
      <c r="M4584">
        <v>10</v>
      </c>
      <c r="N4584">
        <v>9</v>
      </c>
      <c r="O4584">
        <v>0.745</v>
      </c>
      <c r="P4584">
        <v>0.32009907100000001</v>
      </c>
      <c r="Q4584">
        <v>0.20499999999999999</v>
      </c>
    </row>
    <row r="4585" spans="1:17" x14ac:dyDescent="0.2">
      <c r="A4585" s="30" t="str">
        <f>IF(C4585&amp;G4585&amp;D4585&lt;&gt;'Funnel setup'!$K$3&amp;'Funnel setup'!$K$4&amp;'Funnel setup'!$K$5,".",IF(A4584=".",1,A4584+1))</f>
        <v>.</v>
      </c>
      <c r="B4585" s="431" t="str">
        <f t="shared" si="71"/>
        <v>Knee Replacement PrimaryProviderBMI - THE ESPERANCE HOSPITAL (NT413)EQ-5D Index</v>
      </c>
      <c r="C4585" t="s">
        <v>249</v>
      </c>
      <c r="D4585" t="s">
        <v>1</v>
      </c>
      <c r="E4585" t="s">
        <v>3603</v>
      </c>
      <c r="F4585" t="s">
        <v>3604</v>
      </c>
      <c r="G4585" t="s">
        <v>52</v>
      </c>
      <c r="H4585">
        <v>6</v>
      </c>
      <c r="I4585">
        <v>0.47799999999999998</v>
      </c>
      <c r="J4585">
        <v>0.82299999999999995</v>
      </c>
      <c r="K4585">
        <v>0.34499999999999997</v>
      </c>
      <c r="L4585">
        <v>6</v>
      </c>
      <c r="M4585">
        <v>0</v>
      </c>
      <c r="N4585">
        <v>0</v>
      </c>
      <c r="O4585" t="s">
        <v>53</v>
      </c>
      <c r="P4585" t="s">
        <v>53</v>
      </c>
      <c r="Q4585" t="s">
        <v>53</v>
      </c>
    </row>
    <row r="4586" spans="1:17" x14ac:dyDescent="0.2">
      <c r="A4586" s="30" t="str">
        <f>IF(C4586&amp;G4586&amp;D4586&lt;&gt;'Funnel setup'!$K$3&amp;'Funnel setup'!$K$4&amp;'Funnel setup'!$K$5,".",IF(A4585=".",1,A4585+1))</f>
        <v>.</v>
      </c>
      <c r="B4586" s="431" t="str">
        <f t="shared" si="71"/>
        <v>Knee Replacement PrimaryProviderBMI - THE HAMPSHIRE CLINIC (NT418)EQ-5D Index</v>
      </c>
      <c r="C4586" t="s">
        <v>249</v>
      </c>
      <c r="D4586" t="s">
        <v>1</v>
      </c>
      <c r="E4586" t="s">
        <v>3609</v>
      </c>
      <c r="F4586" t="s">
        <v>3610</v>
      </c>
      <c r="G4586" t="s">
        <v>52</v>
      </c>
      <c r="H4586">
        <v>17</v>
      </c>
      <c r="I4586">
        <v>0.61299999999999999</v>
      </c>
      <c r="J4586">
        <v>0.73499999999999999</v>
      </c>
      <c r="K4586">
        <v>0.122</v>
      </c>
      <c r="L4586">
        <v>10</v>
      </c>
      <c r="M4586">
        <v>6</v>
      </c>
      <c r="N4586">
        <v>1</v>
      </c>
      <c r="O4586" t="s">
        <v>53</v>
      </c>
      <c r="P4586" t="s">
        <v>53</v>
      </c>
      <c r="Q4586" t="s">
        <v>53</v>
      </c>
    </row>
    <row r="4587" spans="1:17" x14ac:dyDescent="0.2">
      <c r="A4587" s="30" t="str">
        <f>IF(C4587&amp;G4587&amp;D4587&lt;&gt;'Funnel setup'!$K$3&amp;'Funnel setup'!$K$4&amp;'Funnel setup'!$K$5,".",IF(A4586=".",1,A4586+1))</f>
        <v>.</v>
      </c>
      <c r="B4587" s="431" t="str">
        <f t="shared" si="71"/>
        <v>Knee Replacement PrimaryProviderBMI - THE HARBOUR HOSPITAL (NT419)EQ-5D Index</v>
      </c>
      <c r="C4587" t="s">
        <v>249</v>
      </c>
      <c r="D4587" t="s">
        <v>1</v>
      </c>
      <c r="E4587" t="s">
        <v>3612</v>
      </c>
      <c r="F4587" t="s">
        <v>3613</v>
      </c>
      <c r="G4587" t="s">
        <v>52</v>
      </c>
      <c r="H4587">
        <v>16</v>
      </c>
      <c r="I4587">
        <v>0.52600000000000002</v>
      </c>
      <c r="J4587">
        <v>0.73299999999999998</v>
      </c>
      <c r="K4587">
        <v>0.20699999999999999</v>
      </c>
      <c r="L4587">
        <v>12</v>
      </c>
      <c r="M4587">
        <v>2</v>
      </c>
      <c r="N4587">
        <v>2</v>
      </c>
      <c r="O4587" t="s">
        <v>53</v>
      </c>
      <c r="P4587" t="s">
        <v>53</v>
      </c>
      <c r="Q4587" t="s">
        <v>53</v>
      </c>
    </row>
    <row r="4588" spans="1:17" x14ac:dyDescent="0.2">
      <c r="A4588" s="30" t="str">
        <f>IF(C4588&amp;G4588&amp;D4588&lt;&gt;'Funnel setup'!$K$3&amp;'Funnel setup'!$K$4&amp;'Funnel setup'!$K$5,".",IF(A4587=".",1,A4587+1))</f>
        <v>.</v>
      </c>
      <c r="B4588" s="431" t="str">
        <f t="shared" si="71"/>
        <v>Knee Replacement PrimaryProviderBMI - THE HIGHFIELD HOSPITAL (NT420)EQ-5D Index</v>
      </c>
      <c r="C4588" t="s">
        <v>249</v>
      </c>
      <c r="D4588" t="s">
        <v>1</v>
      </c>
      <c r="E4588" t="s">
        <v>3615</v>
      </c>
      <c r="F4588" t="s">
        <v>3616</v>
      </c>
      <c r="G4588" t="s">
        <v>52</v>
      </c>
      <c r="H4588">
        <v>127</v>
      </c>
      <c r="I4588">
        <v>0.439</v>
      </c>
      <c r="J4588">
        <v>0.73899999999999999</v>
      </c>
      <c r="K4588">
        <v>0.3</v>
      </c>
      <c r="L4588">
        <v>97</v>
      </c>
      <c r="M4588">
        <v>17</v>
      </c>
      <c r="N4588">
        <v>13</v>
      </c>
      <c r="O4588">
        <v>0.73799999999999999</v>
      </c>
      <c r="P4588">
        <v>0.312924857</v>
      </c>
      <c r="Q4588">
        <v>0.247</v>
      </c>
    </row>
    <row r="4589" spans="1:17" x14ac:dyDescent="0.2">
      <c r="A4589" s="30" t="str">
        <f>IF(C4589&amp;G4589&amp;D4589&lt;&gt;'Funnel setup'!$K$3&amp;'Funnel setup'!$K$4&amp;'Funnel setup'!$K$5,".",IF(A4588=".",1,A4588+1))</f>
        <v>.</v>
      </c>
      <c r="B4589" s="431" t="str">
        <f t="shared" si="71"/>
        <v>Knee Replacement PrimaryProviderBMI - THE KINGS OAK HOSPITAL (NT421)EQ-5D Index</v>
      </c>
      <c r="C4589" t="s">
        <v>249</v>
      </c>
      <c r="D4589" t="s">
        <v>1</v>
      </c>
      <c r="E4589" t="s">
        <v>3618</v>
      </c>
      <c r="F4589" t="s">
        <v>3619</v>
      </c>
      <c r="G4589" t="s">
        <v>52</v>
      </c>
      <c r="H4589">
        <v>22</v>
      </c>
      <c r="I4589">
        <v>0.436</v>
      </c>
      <c r="J4589">
        <v>0.78700000000000003</v>
      </c>
      <c r="K4589">
        <v>0.35099999999999998</v>
      </c>
      <c r="L4589">
        <v>18</v>
      </c>
      <c r="M4589">
        <v>4</v>
      </c>
      <c r="N4589">
        <v>0</v>
      </c>
      <c r="O4589" t="s">
        <v>53</v>
      </c>
      <c r="P4589" t="s">
        <v>53</v>
      </c>
      <c r="Q4589" t="s">
        <v>53</v>
      </c>
    </row>
    <row r="4590" spans="1:17" x14ac:dyDescent="0.2">
      <c r="A4590" s="30" t="str">
        <f>IF(C4590&amp;G4590&amp;D4590&lt;&gt;'Funnel setup'!$K$3&amp;'Funnel setup'!$K$4&amp;'Funnel setup'!$K$5,".",IF(A4589=".",1,A4589+1))</f>
        <v>.</v>
      </c>
      <c r="B4590" s="431" t="str">
        <f t="shared" si="71"/>
        <v>Knee Replacement PrimaryProviderBMI - THE LONDON INDEPENDENT HOSPITAL (NT422)EQ-5D Index</v>
      </c>
      <c r="C4590" t="s">
        <v>249</v>
      </c>
      <c r="D4590" t="s">
        <v>1</v>
      </c>
      <c r="E4590" t="s">
        <v>3621</v>
      </c>
      <c r="F4590" t="s">
        <v>3622</v>
      </c>
      <c r="G4590" t="s">
        <v>52</v>
      </c>
      <c r="H4590">
        <v>7</v>
      </c>
      <c r="I4590">
        <v>0.214</v>
      </c>
      <c r="J4590">
        <v>0.66</v>
      </c>
      <c r="K4590">
        <v>0.44600000000000001</v>
      </c>
      <c r="L4590">
        <v>6</v>
      </c>
      <c r="M4590">
        <v>1</v>
      </c>
      <c r="N4590">
        <v>0</v>
      </c>
      <c r="O4590" t="s">
        <v>53</v>
      </c>
      <c r="P4590" t="s">
        <v>53</v>
      </c>
      <c r="Q4590" t="s">
        <v>53</v>
      </c>
    </row>
    <row r="4591" spans="1:17" x14ac:dyDescent="0.2">
      <c r="A4591" s="30" t="str">
        <f>IF(C4591&amp;G4591&amp;D4591&lt;&gt;'Funnel setup'!$K$3&amp;'Funnel setup'!$K$4&amp;'Funnel setup'!$K$5,".",IF(A4590=".",1,A4590+1))</f>
        <v>.</v>
      </c>
      <c r="B4591" s="431" t="str">
        <f t="shared" si="71"/>
        <v>Knee Replacement PrimaryProviderBMI - THE MANOR HOSPITAL (NT423)EQ-5D Index</v>
      </c>
      <c r="C4591" t="s">
        <v>249</v>
      </c>
      <c r="D4591" t="s">
        <v>1</v>
      </c>
      <c r="E4591" t="s">
        <v>3624</v>
      </c>
      <c r="F4591" t="s">
        <v>3625</v>
      </c>
      <c r="G4591" t="s">
        <v>52</v>
      </c>
      <c r="H4591">
        <v>22</v>
      </c>
      <c r="I4591">
        <v>0.52700000000000002</v>
      </c>
      <c r="J4591">
        <v>0.875</v>
      </c>
      <c r="K4591">
        <v>0.34799999999999998</v>
      </c>
      <c r="L4591">
        <v>20</v>
      </c>
      <c r="M4591">
        <v>1</v>
      </c>
      <c r="N4591">
        <v>1</v>
      </c>
      <c r="O4591" t="s">
        <v>53</v>
      </c>
      <c r="P4591" t="s">
        <v>53</v>
      </c>
      <c r="Q4591" t="s">
        <v>53</v>
      </c>
    </row>
    <row r="4592" spans="1:17" x14ac:dyDescent="0.2">
      <c r="A4592" s="30" t="str">
        <f>IF(C4592&amp;G4592&amp;D4592&lt;&gt;'Funnel setup'!$K$3&amp;'Funnel setup'!$K$4&amp;'Funnel setup'!$K$5,".",IF(A4591=".",1,A4591+1))</f>
        <v>.</v>
      </c>
      <c r="B4592" s="431" t="str">
        <f t="shared" si="71"/>
        <v>Knee Replacement PrimaryProviderBMI - THE MERIDEN HOSPITAL (NT424)EQ-5D Index</v>
      </c>
      <c r="C4592" t="s">
        <v>249</v>
      </c>
      <c r="D4592" t="s">
        <v>1</v>
      </c>
      <c r="E4592" t="s">
        <v>3283</v>
      </c>
      <c r="F4592" t="s">
        <v>3284</v>
      </c>
      <c r="G4592" t="s">
        <v>52</v>
      </c>
      <c r="H4592">
        <v>73</v>
      </c>
      <c r="I4592">
        <v>0.51400000000000001</v>
      </c>
      <c r="J4592">
        <v>0.754</v>
      </c>
      <c r="K4592">
        <v>0.24</v>
      </c>
      <c r="L4592">
        <v>54</v>
      </c>
      <c r="M4592">
        <v>11</v>
      </c>
      <c r="N4592">
        <v>8</v>
      </c>
      <c r="O4592">
        <v>0.71699999999999997</v>
      </c>
      <c r="P4592">
        <v>0.29208880399999998</v>
      </c>
      <c r="Q4592">
        <v>0.217</v>
      </c>
    </row>
    <row r="4593" spans="1:17" x14ac:dyDescent="0.2">
      <c r="A4593" s="30" t="str">
        <f>IF(C4593&amp;G4593&amp;D4593&lt;&gt;'Funnel setup'!$K$3&amp;'Funnel setup'!$K$4&amp;'Funnel setup'!$K$5,".",IF(A4592=".",1,A4592+1))</f>
        <v>.</v>
      </c>
      <c r="B4593" s="431" t="str">
        <f t="shared" si="71"/>
        <v>Knee Replacement PrimaryProviderBMI - THE PARK HOSPITAL (NT427)EQ-5D Index</v>
      </c>
      <c r="C4593" t="s">
        <v>249</v>
      </c>
      <c r="D4593" t="s">
        <v>1</v>
      </c>
      <c r="E4593" t="s">
        <v>3286</v>
      </c>
      <c r="F4593" t="s">
        <v>3287</v>
      </c>
      <c r="G4593" t="s">
        <v>52</v>
      </c>
      <c r="H4593">
        <v>31</v>
      </c>
      <c r="I4593">
        <v>0.47899999999999998</v>
      </c>
      <c r="J4593">
        <v>0.80200000000000005</v>
      </c>
      <c r="K4593">
        <v>0.32300000000000001</v>
      </c>
      <c r="L4593">
        <v>28</v>
      </c>
      <c r="M4593">
        <v>1</v>
      </c>
      <c r="N4593">
        <v>2</v>
      </c>
      <c r="O4593">
        <v>0.78200000000000003</v>
      </c>
      <c r="P4593">
        <v>0.35689209300000002</v>
      </c>
      <c r="Q4593">
        <v>0.22700000000000001</v>
      </c>
    </row>
    <row r="4594" spans="1:17" x14ac:dyDescent="0.2">
      <c r="A4594" s="30" t="str">
        <f>IF(C4594&amp;G4594&amp;D4594&lt;&gt;'Funnel setup'!$K$3&amp;'Funnel setup'!$K$4&amp;'Funnel setup'!$K$5,".",IF(A4593=".",1,A4593+1))</f>
        <v>.</v>
      </c>
      <c r="B4594" s="431" t="str">
        <f t="shared" si="71"/>
        <v>Knee Replacement PrimaryProviderBMI - THE PRINCESS MARGARET HOSPITAL (NT428)EQ-5D Index</v>
      </c>
      <c r="C4594" t="s">
        <v>249</v>
      </c>
      <c r="D4594" t="s">
        <v>1</v>
      </c>
      <c r="E4594" t="s">
        <v>3289</v>
      </c>
      <c r="F4594" t="s">
        <v>3290</v>
      </c>
      <c r="G4594" t="s">
        <v>52</v>
      </c>
      <c r="H4594">
        <v>16</v>
      </c>
      <c r="I4594">
        <v>0.34100000000000003</v>
      </c>
      <c r="J4594">
        <v>0.753</v>
      </c>
      <c r="K4594">
        <v>0.41199999999999998</v>
      </c>
      <c r="L4594">
        <v>13</v>
      </c>
      <c r="M4594">
        <v>3</v>
      </c>
      <c r="N4594">
        <v>0</v>
      </c>
      <c r="O4594" t="s">
        <v>53</v>
      </c>
      <c r="P4594" t="s">
        <v>53</v>
      </c>
      <c r="Q4594" t="s">
        <v>53</v>
      </c>
    </row>
    <row r="4595" spans="1:17" x14ac:dyDescent="0.2">
      <c r="A4595" s="30" t="str">
        <f>IF(C4595&amp;G4595&amp;D4595&lt;&gt;'Funnel setup'!$K$3&amp;'Funnel setup'!$K$4&amp;'Funnel setup'!$K$5,".",IF(A4594=".",1,A4594+1))</f>
        <v>.</v>
      </c>
      <c r="B4595" s="431" t="str">
        <f t="shared" si="71"/>
        <v>Knee Replacement PrimaryProviderBMI - THE PRIORY HOSPITAL (NT429)EQ-5D Index</v>
      </c>
      <c r="C4595" t="s">
        <v>249</v>
      </c>
      <c r="D4595" t="s">
        <v>1</v>
      </c>
      <c r="E4595" t="s">
        <v>4776</v>
      </c>
      <c r="F4595" t="s">
        <v>4777</v>
      </c>
      <c r="G4595" t="s">
        <v>52</v>
      </c>
      <c r="H4595">
        <v>7</v>
      </c>
      <c r="I4595">
        <v>0.42499999999999999</v>
      </c>
      <c r="J4595">
        <v>0.70599999999999996</v>
      </c>
      <c r="K4595">
        <v>0.28100000000000003</v>
      </c>
      <c r="L4595">
        <v>6</v>
      </c>
      <c r="M4595">
        <v>0</v>
      </c>
      <c r="N4595">
        <v>1</v>
      </c>
      <c r="O4595" t="s">
        <v>53</v>
      </c>
      <c r="P4595" t="s">
        <v>53</v>
      </c>
      <c r="Q4595" t="s">
        <v>53</v>
      </c>
    </row>
    <row r="4596" spans="1:17" x14ac:dyDescent="0.2">
      <c r="A4596" s="30" t="str">
        <f>IF(C4596&amp;G4596&amp;D4596&lt;&gt;'Funnel setup'!$K$3&amp;'Funnel setup'!$K$4&amp;'Funnel setup'!$K$5,".",IF(A4595=".",1,A4595+1))</f>
        <v>.</v>
      </c>
      <c r="B4596" s="431" t="str">
        <f t="shared" si="71"/>
        <v>Knee Replacement PrimaryProviderBMI - THE RIDGEWAY HOSPITAL (NT430)EQ-5D Index</v>
      </c>
      <c r="C4596" t="s">
        <v>249</v>
      </c>
      <c r="D4596" t="s">
        <v>1</v>
      </c>
      <c r="E4596" t="s">
        <v>3292</v>
      </c>
      <c r="F4596" t="s">
        <v>3293</v>
      </c>
      <c r="G4596" t="s">
        <v>52</v>
      </c>
      <c r="H4596">
        <v>39</v>
      </c>
      <c r="I4596">
        <v>0.53700000000000003</v>
      </c>
      <c r="J4596">
        <v>0.83899999999999997</v>
      </c>
      <c r="K4596">
        <v>0.30199999999999999</v>
      </c>
      <c r="L4596">
        <v>36</v>
      </c>
      <c r="M4596">
        <v>2</v>
      </c>
      <c r="N4596">
        <v>1</v>
      </c>
      <c r="O4596">
        <v>0.77700000000000002</v>
      </c>
      <c r="P4596">
        <v>0.35239575200000001</v>
      </c>
      <c r="Q4596">
        <v>0.151</v>
      </c>
    </row>
    <row r="4597" spans="1:17" x14ac:dyDescent="0.2">
      <c r="A4597" s="30" t="str">
        <f>IF(C4597&amp;G4597&amp;D4597&lt;&gt;'Funnel setup'!$K$3&amp;'Funnel setup'!$K$4&amp;'Funnel setup'!$K$5,".",IF(A4596=".",1,A4596+1))</f>
        <v>.</v>
      </c>
      <c r="B4597" s="431" t="str">
        <f t="shared" si="71"/>
        <v>Knee Replacement PrimaryProviderBMI - THE RUNNYMEDE HOSPITAL (NT431)EQ-5D Index</v>
      </c>
      <c r="C4597" t="s">
        <v>249</v>
      </c>
      <c r="D4597" t="s">
        <v>1</v>
      </c>
      <c r="E4597" t="s">
        <v>3295</v>
      </c>
      <c r="F4597" t="s">
        <v>3296</v>
      </c>
      <c r="G4597" t="s">
        <v>52</v>
      </c>
      <c r="H4597">
        <v>32</v>
      </c>
      <c r="I4597">
        <v>0.57099999999999995</v>
      </c>
      <c r="J4597">
        <v>0.76300000000000001</v>
      </c>
      <c r="K4597">
        <v>0.191</v>
      </c>
      <c r="L4597">
        <v>24</v>
      </c>
      <c r="M4597">
        <v>5</v>
      </c>
      <c r="N4597">
        <v>3</v>
      </c>
      <c r="O4597">
        <v>0.70199999999999996</v>
      </c>
      <c r="P4597">
        <v>0.27724501899999998</v>
      </c>
      <c r="Q4597">
        <v>0.19700000000000001</v>
      </c>
    </row>
    <row r="4598" spans="1:17" x14ac:dyDescent="0.2">
      <c r="A4598" s="30" t="str">
        <f>IF(C4598&amp;G4598&amp;D4598&lt;&gt;'Funnel setup'!$K$3&amp;'Funnel setup'!$K$4&amp;'Funnel setup'!$K$5,".",IF(A4597=".",1,A4597+1))</f>
        <v>.</v>
      </c>
      <c r="B4598" s="431" t="str">
        <f t="shared" si="71"/>
        <v>Knee Replacement PrimaryProviderBMI - THE SANDRINGHAM HOSPITAL (NT432)EQ-5D Index</v>
      </c>
      <c r="C4598" t="s">
        <v>249</v>
      </c>
      <c r="D4598" t="s">
        <v>1</v>
      </c>
      <c r="E4598" t="s">
        <v>3298</v>
      </c>
      <c r="F4598" t="s">
        <v>3299</v>
      </c>
      <c r="G4598" t="s">
        <v>52</v>
      </c>
      <c r="H4598">
        <v>90</v>
      </c>
      <c r="I4598">
        <v>0.47699999999999998</v>
      </c>
      <c r="J4598">
        <v>0.77</v>
      </c>
      <c r="K4598">
        <v>0.29399999999999998</v>
      </c>
      <c r="L4598">
        <v>71</v>
      </c>
      <c r="M4598">
        <v>9</v>
      </c>
      <c r="N4598">
        <v>10</v>
      </c>
      <c r="O4598">
        <v>0.74299999999999999</v>
      </c>
      <c r="P4598">
        <v>0.31772269800000003</v>
      </c>
      <c r="Q4598">
        <v>0.22500000000000001</v>
      </c>
    </row>
    <row r="4599" spans="1:17" x14ac:dyDescent="0.2">
      <c r="A4599" s="30" t="str">
        <f>IF(C4599&amp;G4599&amp;D4599&lt;&gt;'Funnel setup'!$K$3&amp;'Funnel setup'!$K$4&amp;'Funnel setup'!$K$5,".",IF(A4598=".",1,A4598+1))</f>
        <v>.</v>
      </c>
      <c r="B4599" s="431" t="str">
        <f t="shared" si="71"/>
        <v>Knee Replacement PrimaryProviderBMI - THE SAXON CLINIC (NT434)EQ-5D Index</v>
      </c>
      <c r="C4599" t="s">
        <v>249</v>
      </c>
      <c r="D4599" t="s">
        <v>1</v>
      </c>
      <c r="E4599" t="s">
        <v>3301</v>
      </c>
      <c r="F4599" t="s">
        <v>3302</v>
      </c>
      <c r="G4599" t="s">
        <v>52</v>
      </c>
      <c r="H4599">
        <v>34</v>
      </c>
      <c r="I4599">
        <v>0.39500000000000002</v>
      </c>
      <c r="J4599">
        <v>0.77800000000000002</v>
      </c>
      <c r="K4599">
        <v>0.38300000000000001</v>
      </c>
      <c r="L4599">
        <v>27</v>
      </c>
      <c r="M4599">
        <v>4</v>
      </c>
      <c r="N4599">
        <v>3</v>
      </c>
      <c r="O4599">
        <v>0.748</v>
      </c>
      <c r="P4599">
        <v>0.32330244400000002</v>
      </c>
      <c r="Q4599">
        <v>0.253</v>
      </c>
    </row>
    <row r="4600" spans="1:17" x14ac:dyDescent="0.2">
      <c r="A4600" s="30" t="str">
        <f>IF(C4600&amp;G4600&amp;D4600&lt;&gt;'Funnel setup'!$K$3&amp;'Funnel setup'!$K$4&amp;'Funnel setup'!$K$5,".",IF(A4599=".",1,A4599+1))</f>
        <v>.</v>
      </c>
      <c r="B4600" s="431" t="str">
        <f t="shared" si="71"/>
        <v>Knee Replacement PrimaryProviderBMI - THE SHELBURNE HOSPITAL (NT435)EQ-5D Index</v>
      </c>
      <c r="C4600" t="s">
        <v>249</v>
      </c>
      <c r="D4600" t="s">
        <v>1</v>
      </c>
      <c r="E4600" t="s">
        <v>4318</v>
      </c>
      <c r="F4600" t="s">
        <v>4319</v>
      </c>
      <c r="G4600" t="s">
        <v>52</v>
      </c>
      <c r="H4600">
        <v>19</v>
      </c>
      <c r="I4600">
        <v>0.45</v>
      </c>
      <c r="J4600">
        <v>0.83</v>
      </c>
      <c r="K4600">
        <v>0.38100000000000001</v>
      </c>
      <c r="L4600">
        <v>19</v>
      </c>
      <c r="M4600">
        <v>0</v>
      </c>
      <c r="N4600">
        <v>0</v>
      </c>
      <c r="O4600" t="s">
        <v>53</v>
      </c>
      <c r="P4600" t="s">
        <v>53</v>
      </c>
      <c r="Q4600" t="s">
        <v>53</v>
      </c>
    </row>
    <row r="4601" spans="1:17" x14ac:dyDescent="0.2">
      <c r="A4601" s="30" t="str">
        <f>IF(C4601&amp;G4601&amp;D4601&lt;&gt;'Funnel setup'!$K$3&amp;'Funnel setup'!$K$4&amp;'Funnel setup'!$K$5,".",IF(A4600=".",1,A4600+1))</f>
        <v>.</v>
      </c>
      <c r="B4601" s="431" t="str">
        <f t="shared" si="71"/>
        <v>Knee Replacement PrimaryProviderBMI - THE SLOANE HOSPITAL (NT437)EQ-5D Index</v>
      </c>
      <c r="C4601" t="s">
        <v>249</v>
      </c>
      <c r="D4601" t="s">
        <v>1</v>
      </c>
      <c r="E4601" t="s">
        <v>4327</v>
      </c>
      <c r="F4601" t="s">
        <v>4328</v>
      </c>
      <c r="G4601" t="s">
        <v>52</v>
      </c>
      <c r="H4601">
        <v>8</v>
      </c>
      <c r="I4601">
        <v>0.55600000000000005</v>
      </c>
      <c r="J4601">
        <v>0.83299999999999996</v>
      </c>
      <c r="K4601">
        <v>0.27800000000000002</v>
      </c>
      <c r="L4601">
        <v>6</v>
      </c>
      <c r="M4601">
        <v>1</v>
      </c>
      <c r="N4601">
        <v>1</v>
      </c>
      <c r="O4601" t="s">
        <v>53</v>
      </c>
      <c r="P4601" t="s">
        <v>53</v>
      </c>
      <c r="Q4601" t="s">
        <v>53</v>
      </c>
    </row>
    <row r="4602" spans="1:17" x14ac:dyDescent="0.2">
      <c r="A4602" s="30" t="str">
        <f>IF(C4602&amp;G4602&amp;D4602&lt;&gt;'Funnel setup'!$K$3&amp;'Funnel setup'!$K$4&amp;'Funnel setup'!$K$5,".",IF(A4601=".",1,A4601+1))</f>
        <v>.</v>
      </c>
      <c r="B4602" s="431" t="str">
        <f t="shared" si="71"/>
        <v>Knee Replacement PrimaryProviderBMI - THE SOMERFIELD HOSPITAL (NT438)EQ-5D Index</v>
      </c>
      <c r="C4602" t="s">
        <v>249</v>
      </c>
      <c r="D4602" t="s">
        <v>1</v>
      </c>
      <c r="E4602" t="s">
        <v>3304</v>
      </c>
      <c r="F4602" t="s">
        <v>3305</v>
      </c>
      <c r="G4602" t="s">
        <v>52</v>
      </c>
      <c r="H4602">
        <v>27</v>
      </c>
      <c r="I4602">
        <v>0.47599999999999998</v>
      </c>
      <c r="J4602">
        <v>0.85799999999999998</v>
      </c>
      <c r="K4602">
        <v>0.38200000000000001</v>
      </c>
      <c r="L4602">
        <v>25</v>
      </c>
      <c r="M4602">
        <v>2</v>
      </c>
      <c r="N4602">
        <v>0</v>
      </c>
      <c r="O4602" t="s">
        <v>53</v>
      </c>
      <c r="P4602" t="s">
        <v>53</v>
      </c>
      <c r="Q4602" t="s">
        <v>53</v>
      </c>
    </row>
    <row r="4603" spans="1:17" x14ac:dyDescent="0.2">
      <c r="A4603" s="30" t="str">
        <f>IF(C4603&amp;G4603&amp;D4603&lt;&gt;'Funnel setup'!$K$3&amp;'Funnel setup'!$K$4&amp;'Funnel setup'!$K$5,".",IF(A4602=".",1,A4602+1))</f>
        <v>.</v>
      </c>
      <c r="B4603" s="431" t="str">
        <f t="shared" si="71"/>
        <v>Knee Replacement PrimaryProviderBMI - THE SOUTH CHESHIRE PRIVATE HOSPITAL (NT439)EQ-5D Index</v>
      </c>
      <c r="C4603" t="s">
        <v>249</v>
      </c>
      <c r="D4603" t="s">
        <v>1</v>
      </c>
      <c r="E4603" t="s">
        <v>3307</v>
      </c>
      <c r="F4603" t="s">
        <v>3308</v>
      </c>
      <c r="G4603" t="s">
        <v>52</v>
      </c>
      <c r="H4603">
        <v>27</v>
      </c>
      <c r="I4603">
        <v>0.39100000000000001</v>
      </c>
      <c r="J4603">
        <v>0.76300000000000001</v>
      </c>
      <c r="K4603">
        <v>0.371</v>
      </c>
      <c r="L4603">
        <v>24</v>
      </c>
      <c r="M4603">
        <v>0</v>
      </c>
      <c r="N4603">
        <v>3</v>
      </c>
      <c r="O4603" t="s">
        <v>53</v>
      </c>
      <c r="P4603" t="s">
        <v>53</v>
      </c>
      <c r="Q4603" t="s">
        <v>53</v>
      </c>
    </row>
    <row r="4604" spans="1:17" x14ac:dyDescent="0.2">
      <c r="A4604" s="30" t="str">
        <f>IF(C4604&amp;G4604&amp;D4604&lt;&gt;'Funnel setup'!$K$3&amp;'Funnel setup'!$K$4&amp;'Funnel setup'!$K$5,".",IF(A4603=".",1,A4603+1))</f>
        <v>.</v>
      </c>
      <c r="B4604" s="431" t="str">
        <f t="shared" si="71"/>
        <v>Knee Replacement PrimaryProviderBMI - THE WINTERBOURNE HOSPITAL (NT443)EQ-5D Index</v>
      </c>
      <c r="C4604" t="s">
        <v>249</v>
      </c>
      <c r="D4604" t="s">
        <v>1</v>
      </c>
      <c r="E4604" t="s">
        <v>3310</v>
      </c>
      <c r="F4604" t="s">
        <v>3311</v>
      </c>
      <c r="G4604" t="s">
        <v>52</v>
      </c>
      <c r="H4604">
        <v>53</v>
      </c>
      <c r="I4604">
        <v>0.53200000000000003</v>
      </c>
      <c r="J4604">
        <v>0.77900000000000003</v>
      </c>
      <c r="K4604">
        <v>0.247</v>
      </c>
      <c r="L4604">
        <v>39</v>
      </c>
      <c r="M4604">
        <v>9</v>
      </c>
      <c r="N4604">
        <v>5</v>
      </c>
      <c r="O4604">
        <v>0.73299999999999998</v>
      </c>
      <c r="P4604">
        <v>0.30755381300000001</v>
      </c>
      <c r="Q4604">
        <v>0.17399999999999999</v>
      </c>
    </row>
    <row r="4605" spans="1:17" x14ac:dyDescent="0.2">
      <c r="A4605" s="30" t="str">
        <f>IF(C4605&amp;G4605&amp;D4605&lt;&gt;'Funnel setup'!$K$3&amp;'Funnel setup'!$K$4&amp;'Funnel setup'!$K$5,".",IF(A4604=".",1,A4604+1))</f>
        <v>.</v>
      </c>
      <c r="B4605" s="431" t="str">
        <f t="shared" si="71"/>
        <v>Knee Replacement PrimaryProviderBMI - THORNBURY HOSPITAL (NT440)EQ-5D Index</v>
      </c>
      <c r="C4605" t="s">
        <v>249</v>
      </c>
      <c r="D4605" t="s">
        <v>1</v>
      </c>
      <c r="E4605" t="s">
        <v>3313</v>
      </c>
      <c r="F4605" t="s">
        <v>3314</v>
      </c>
      <c r="G4605" t="s">
        <v>52</v>
      </c>
      <c r="H4605">
        <v>42</v>
      </c>
      <c r="I4605">
        <v>0.38</v>
      </c>
      <c r="J4605">
        <v>0.8</v>
      </c>
      <c r="K4605">
        <v>0.42</v>
      </c>
      <c r="L4605">
        <v>40</v>
      </c>
      <c r="M4605">
        <v>2</v>
      </c>
      <c r="N4605">
        <v>0</v>
      </c>
      <c r="O4605">
        <v>0.77400000000000002</v>
      </c>
      <c r="P4605">
        <v>0.34874959799999999</v>
      </c>
      <c r="Q4605">
        <v>0.17699999999999999</v>
      </c>
    </row>
    <row r="4606" spans="1:17" x14ac:dyDescent="0.2">
      <c r="A4606" s="30" t="str">
        <f>IF(C4606&amp;G4606&amp;D4606&lt;&gt;'Funnel setup'!$K$3&amp;'Funnel setup'!$K$4&amp;'Funnel setup'!$K$5,".",IF(A4605=".",1,A4605+1))</f>
        <v>.</v>
      </c>
      <c r="B4606" s="431" t="str">
        <f t="shared" si="71"/>
        <v>Knee Replacement PrimaryProviderBMI - THREE SHIRES HOSPITAL (NT441)EQ-5D Index</v>
      </c>
      <c r="C4606" t="s">
        <v>249</v>
      </c>
      <c r="D4606" t="s">
        <v>1</v>
      </c>
      <c r="E4606" t="s">
        <v>3316</v>
      </c>
      <c r="F4606" t="s">
        <v>3317</v>
      </c>
      <c r="G4606" t="s">
        <v>52</v>
      </c>
      <c r="H4606">
        <v>46</v>
      </c>
      <c r="I4606">
        <v>0.36099999999999999</v>
      </c>
      <c r="J4606">
        <v>0.74199999999999999</v>
      </c>
      <c r="K4606">
        <v>0.38100000000000001</v>
      </c>
      <c r="L4606">
        <v>38</v>
      </c>
      <c r="M4606">
        <v>2</v>
      </c>
      <c r="N4606">
        <v>6</v>
      </c>
      <c r="O4606">
        <v>0.753</v>
      </c>
      <c r="P4606">
        <v>0.32848002999999998</v>
      </c>
      <c r="Q4606">
        <v>0.25900000000000001</v>
      </c>
    </row>
    <row r="4607" spans="1:17" x14ac:dyDescent="0.2">
      <c r="A4607" s="30" t="str">
        <f>IF(C4607&amp;G4607&amp;D4607&lt;&gt;'Funnel setup'!$K$3&amp;'Funnel setup'!$K$4&amp;'Funnel setup'!$K$5,".",IF(A4606=".",1,A4606+1))</f>
        <v>.</v>
      </c>
      <c r="B4607" s="431" t="str">
        <f t="shared" si="71"/>
        <v>Knee Replacement PrimaryProviderBMI GISBURNE PARK HOSPITAL (NT497)EQ-5D Index</v>
      </c>
      <c r="C4607" t="s">
        <v>249</v>
      </c>
      <c r="D4607" t="s">
        <v>1</v>
      </c>
      <c r="E4607" t="s">
        <v>3319</v>
      </c>
      <c r="F4607" t="s">
        <v>3320</v>
      </c>
      <c r="G4607" t="s">
        <v>52</v>
      </c>
      <c r="H4607">
        <v>46</v>
      </c>
      <c r="I4607">
        <v>0.40300000000000002</v>
      </c>
      <c r="J4607">
        <v>0.83199999999999996</v>
      </c>
      <c r="K4607">
        <v>0.42899999999999999</v>
      </c>
      <c r="L4607">
        <v>42</v>
      </c>
      <c r="M4607">
        <v>3</v>
      </c>
      <c r="N4607">
        <v>1</v>
      </c>
      <c r="O4607">
        <v>0.84199999999999997</v>
      </c>
      <c r="P4607">
        <v>0.41743282199999998</v>
      </c>
      <c r="Q4607">
        <v>0.19400000000000001</v>
      </c>
    </row>
    <row r="4608" spans="1:17" x14ac:dyDescent="0.2">
      <c r="A4608" s="30" t="str">
        <f>IF(C4608&amp;G4608&amp;D4608&lt;&gt;'Funnel setup'!$K$3&amp;'Funnel setup'!$K$4&amp;'Funnel setup'!$K$5,".",IF(A4607=".",1,A4607+1))</f>
        <v>.</v>
      </c>
      <c r="B4608" s="431" t="str">
        <f t="shared" si="71"/>
        <v>Knee Replacement PrimaryProviderBMI ST EDMUNDS HOSPITAL (NT446)EQ-5D Index</v>
      </c>
      <c r="C4608" t="s">
        <v>249</v>
      </c>
      <c r="D4608" t="s">
        <v>1</v>
      </c>
      <c r="E4608" t="s">
        <v>3328</v>
      </c>
      <c r="F4608" t="s">
        <v>3329</v>
      </c>
      <c r="G4608" t="s">
        <v>52</v>
      </c>
      <c r="H4608">
        <v>70</v>
      </c>
      <c r="I4608">
        <v>0.49099999999999999</v>
      </c>
      <c r="J4608">
        <v>0.74099999999999999</v>
      </c>
      <c r="K4608">
        <v>0.251</v>
      </c>
      <c r="L4608">
        <v>59</v>
      </c>
      <c r="M4608">
        <v>6</v>
      </c>
      <c r="N4608">
        <v>5</v>
      </c>
      <c r="O4608">
        <v>0.69899999999999995</v>
      </c>
      <c r="P4608">
        <v>0.27431852000000001</v>
      </c>
      <c r="Q4608">
        <v>0.23499999999999999</v>
      </c>
    </row>
    <row r="4609" spans="1:17" x14ac:dyDescent="0.2">
      <c r="A4609" s="30" t="str">
        <f>IF(C4609&amp;G4609&amp;D4609&lt;&gt;'Funnel setup'!$K$3&amp;'Funnel setup'!$K$4&amp;'Funnel setup'!$K$5,".",IF(A4608=".",1,A4608+1))</f>
        <v>.</v>
      </c>
      <c r="B4609" s="431" t="str">
        <f t="shared" si="71"/>
        <v>Knee Replacement PrimaryProviderBMI THE CAVELL HOSPITAL (NT451)EQ-5D Index</v>
      </c>
      <c r="C4609" t="s">
        <v>249</v>
      </c>
      <c r="D4609" t="s">
        <v>1</v>
      </c>
      <c r="E4609" t="s">
        <v>3331</v>
      </c>
      <c r="F4609" t="s">
        <v>3332</v>
      </c>
      <c r="G4609" t="s">
        <v>52</v>
      </c>
      <c r="H4609">
        <v>29</v>
      </c>
      <c r="I4609">
        <v>0.36399999999999999</v>
      </c>
      <c r="J4609">
        <v>0.66200000000000003</v>
      </c>
      <c r="K4609">
        <v>0.29699999999999999</v>
      </c>
      <c r="L4609">
        <v>24</v>
      </c>
      <c r="M4609">
        <v>2</v>
      </c>
      <c r="N4609">
        <v>3</v>
      </c>
      <c r="O4609" t="s">
        <v>53</v>
      </c>
      <c r="P4609" t="s">
        <v>53</v>
      </c>
      <c r="Q4609" t="s">
        <v>53</v>
      </c>
    </row>
    <row r="4610" spans="1:17" x14ac:dyDescent="0.2">
      <c r="A4610" s="30" t="str">
        <f>IF(C4610&amp;G4610&amp;D4610&lt;&gt;'Funnel setup'!$K$3&amp;'Funnel setup'!$K$4&amp;'Funnel setup'!$K$5,".",IF(A4609=".",1,A4609+1))</f>
        <v>.</v>
      </c>
      <c r="B4610" s="431" t="str">
        <f t="shared" si="71"/>
        <v>Knee Replacement PrimaryProviderBMI THE DUCHY HOSPITAL (NT447)EQ-5D Index</v>
      </c>
      <c r="C4610" t="s">
        <v>249</v>
      </c>
      <c r="D4610" t="s">
        <v>1</v>
      </c>
      <c r="E4610" t="s">
        <v>3334</v>
      </c>
      <c r="F4610" t="s">
        <v>3335</v>
      </c>
      <c r="G4610" t="s">
        <v>52</v>
      </c>
      <c r="H4610">
        <v>26</v>
      </c>
      <c r="I4610">
        <v>0.51400000000000001</v>
      </c>
      <c r="J4610">
        <v>0.83099999999999996</v>
      </c>
      <c r="K4610">
        <v>0.317</v>
      </c>
      <c r="L4610">
        <v>22</v>
      </c>
      <c r="M4610">
        <v>2</v>
      </c>
      <c r="N4610">
        <v>2</v>
      </c>
      <c r="O4610" t="s">
        <v>53</v>
      </c>
      <c r="P4610" t="s">
        <v>53</v>
      </c>
      <c r="Q4610" t="s">
        <v>53</v>
      </c>
    </row>
    <row r="4611" spans="1:17" x14ac:dyDescent="0.2">
      <c r="A4611" s="30" t="str">
        <f>IF(C4611&amp;G4611&amp;D4611&lt;&gt;'Funnel setup'!$K$3&amp;'Funnel setup'!$K$4&amp;'Funnel setup'!$K$5,".",IF(A4610=".",1,A4610+1))</f>
        <v>.</v>
      </c>
      <c r="B4611" s="431" t="str">
        <f t="shared" ref="B4611:B4674" si="72">C4611&amp;D4611&amp;F4611&amp;G4611</f>
        <v>Knee Replacement PrimaryProviderBMI THE EDGBASTON HOSPITAL (NT445)EQ-5D Index</v>
      </c>
      <c r="C4611" t="s">
        <v>249</v>
      </c>
      <c r="D4611" t="s">
        <v>1</v>
      </c>
      <c r="E4611" t="s">
        <v>3337</v>
      </c>
      <c r="F4611" t="s">
        <v>3338</v>
      </c>
      <c r="G4611" t="s">
        <v>52</v>
      </c>
      <c r="H4611">
        <v>42</v>
      </c>
      <c r="I4611">
        <v>0.48099999999999998</v>
      </c>
      <c r="J4611">
        <v>0.81599999999999995</v>
      </c>
      <c r="K4611">
        <v>0.33500000000000002</v>
      </c>
      <c r="L4611">
        <v>37</v>
      </c>
      <c r="M4611">
        <v>3</v>
      </c>
      <c r="N4611">
        <v>2</v>
      </c>
      <c r="O4611">
        <v>0.79100000000000004</v>
      </c>
      <c r="P4611">
        <v>0.36579698599999999</v>
      </c>
      <c r="Q4611">
        <v>0.129</v>
      </c>
    </row>
    <row r="4612" spans="1:17" x14ac:dyDescent="0.2">
      <c r="A4612" s="30" t="str">
        <f>IF(C4612&amp;G4612&amp;D4612&lt;&gt;'Funnel setup'!$K$3&amp;'Funnel setup'!$K$4&amp;'Funnel setup'!$K$5,".",IF(A4611=".",1,A4611+1))</f>
        <v>.</v>
      </c>
      <c r="B4612" s="431" t="str">
        <f t="shared" si="72"/>
        <v>Knee Replacement PrimaryProviderBMI THE HUDDERSFIELD HOSPITAL (NT448)EQ-5D Index</v>
      </c>
      <c r="C4612" t="s">
        <v>249</v>
      </c>
      <c r="D4612" t="s">
        <v>1</v>
      </c>
      <c r="E4612" t="s">
        <v>3346</v>
      </c>
      <c r="F4612" t="s">
        <v>3347</v>
      </c>
      <c r="G4612" t="s">
        <v>52</v>
      </c>
      <c r="H4612">
        <v>77</v>
      </c>
      <c r="I4612">
        <v>0.495</v>
      </c>
      <c r="J4612">
        <v>0.77500000000000002</v>
      </c>
      <c r="K4612">
        <v>0.28000000000000003</v>
      </c>
      <c r="L4612">
        <v>66</v>
      </c>
      <c r="M4612">
        <v>6</v>
      </c>
      <c r="N4612">
        <v>5</v>
      </c>
      <c r="O4612">
        <v>0.74299999999999999</v>
      </c>
      <c r="P4612">
        <v>0.31820636299999999</v>
      </c>
      <c r="Q4612">
        <v>0.215</v>
      </c>
    </row>
    <row r="4613" spans="1:17" x14ac:dyDescent="0.2">
      <c r="A4613" s="30" t="str">
        <f>IF(C4613&amp;G4613&amp;D4613&lt;&gt;'Funnel setup'!$K$3&amp;'Funnel setup'!$K$4&amp;'Funnel setup'!$K$5,".",IF(A4612=".",1,A4612+1))</f>
        <v>.</v>
      </c>
      <c r="B4613" s="431" t="str">
        <f t="shared" si="72"/>
        <v>Knee Replacement PrimaryProviderBMI THE LANCASTER HOSPITAL (NT449)EQ-5D Index</v>
      </c>
      <c r="C4613" t="s">
        <v>249</v>
      </c>
      <c r="D4613" t="s">
        <v>1</v>
      </c>
      <c r="E4613" t="s">
        <v>3349</v>
      </c>
      <c r="F4613" t="s">
        <v>3350</v>
      </c>
      <c r="G4613" t="s">
        <v>52</v>
      </c>
      <c r="H4613">
        <v>56</v>
      </c>
      <c r="I4613">
        <v>0.53900000000000003</v>
      </c>
      <c r="J4613">
        <v>0.81799999999999995</v>
      </c>
      <c r="K4613">
        <v>0.27900000000000003</v>
      </c>
      <c r="L4613">
        <v>49</v>
      </c>
      <c r="M4613">
        <v>5</v>
      </c>
      <c r="N4613">
        <v>2</v>
      </c>
      <c r="O4613">
        <v>0.76400000000000001</v>
      </c>
      <c r="P4613">
        <v>0.33854649199999998</v>
      </c>
      <c r="Q4613">
        <v>0.159</v>
      </c>
    </row>
    <row r="4614" spans="1:17" x14ac:dyDescent="0.2">
      <c r="A4614" s="30" t="str">
        <f>IF(C4614&amp;G4614&amp;D4614&lt;&gt;'Funnel setup'!$K$3&amp;'Funnel setup'!$K$4&amp;'Funnel setup'!$K$5,".",IF(A4613=".",1,A4613+1))</f>
        <v>.</v>
      </c>
      <c r="B4614" s="431" t="str">
        <f t="shared" si="72"/>
        <v>Knee Replacement PrimaryProviderBMI THE LINCOLN HOSPITAL (NT450)EQ-5D Index</v>
      </c>
      <c r="C4614" t="s">
        <v>249</v>
      </c>
      <c r="D4614" t="s">
        <v>1</v>
      </c>
      <c r="E4614" t="s">
        <v>3352</v>
      </c>
      <c r="F4614" t="s">
        <v>3353</v>
      </c>
      <c r="G4614" t="s">
        <v>52</v>
      </c>
      <c r="H4614">
        <v>84</v>
      </c>
      <c r="I4614">
        <v>0.47299999999999998</v>
      </c>
      <c r="J4614">
        <v>0.81699999999999995</v>
      </c>
      <c r="K4614">
        <v>0.34399999999999997</v>
      </c>
      <c r="L4614">
        <v>76</v>
      </c>
      <c r="M4614">
        <v>4</v>
      </c>
      <c r="N4614">
        <v>4</v>
      </c>
      <c r="O4614">
        <v>0.77800000000000002</v>
      </c>
      <c r="P4614">
        <v>0.35347483699999999</v>
      </c>
      <c r="Q4614">
        <v>0.17299999999999999</v>
      </c>
    </row>
    <row r="4615" spans="1:17" x14ac:dyDescent="0.2">
      <c r="A4615" s="30" t="str">
        <f>IF(C4615&amp;G4615&amp;D4615&lt;&gt;'Funnel setup'!$K$3&amp;'Funnel setup'!$K$4&amp;'Funnel setup'!$K$5,".",IF(A4614=".",1,A4614+1))</f>
        <v>.</v>
      </c>
      <c r="B4615" s="431" t="str">
        <f t="shared" si="72"/>
        <v>Knee Replacement PrimaryProviderBMI WOODLANDS HOSPITAL (NT457)EQ-5D Index</v>
      </c>
      <c r="C4615" t="s">
        <v>249</v>
      </c>
      <c r="D4615" t="s">
        <v>1</v>
      </c>
      <c r="E4615" t="s">
        <v>3355</v>
      </c>
      <c r="F4615" t="s">
        <v>3356</v>
      </c>
      <c r="G4615" t="s">
        <v>52</v>
      </c>
      <c r="H4615">
        <v>70</v>
      </c>
      <c r="I4615">
        <v>0.45400000000000001</v>
      </c>
      <c r="J4615">
        <v>0.77900000000000003</v>
      </c>
      <c r="K4615">
        <v>0.32500000000000001</v>
      </c>
      <c r="L4615">
        <v>58</v>
      </c>
      <c r="M4615">
        <v>8</v>
      </c>
      <c r="N4615">
        <v>4</v>
      </c>
      <c r="O4615">
        <v>0.77800000000000002</v>
      </c>
      <c r="P4615">
        <v>0.35317240900000002</v>
      </c>
      <c r="Q4615">
        <v>0.216</v>
      </c>
    </row>
    <row r="4616" spans="1:17" x14ac:dyDescent="0.2">
      <c r="A4616" s="30" t="str">
        <f>IF(C4616&amp;G4616&amp;D4616&lt;&gt;'Funnel setup'!$K$3&amp;'Funnel setup'!$K$4&amp;'Funnel setup'!$K$5,".",IF(A4615=".",1,A4615+1))</f>
        <v>.</v>
      </c>
      <c r="B4616" s="431" t="str">
        <f t="shared" si="72"/>
        <v>Knee Replacement PrimaryProviderBOLTON NHS FOUNDATION TRUST (RMC)EQ-5D Index</v>
      </c>
      <c r="C4616" t="s">
        <v>249</v>
      </c>
      <c r="D4616" t="s">
        <v>1</v>
      </c>
      <c r="E4616" t="s">
        <v>3358</v>
      </c>
      <c r="F4616" t="s">
        <v>3359</v>
      </c>
      <c r="G4616" t="s">
        <v>52</v>
      </c>
      <c r="H4616">
        <v>81</v>
      </c>
      <c r="I4616">
        <v>0.29899999999999999</v>
      </c>
      <c r="J4616">
        <v>0.67200000000000004</v>
      </c>
      <c r="K4616">
        <v>0.373</v>
      </c>
      <c r="L4616">
        <v>64</v>
      </c>
      <c r="M4616">
        <v>8</v>
      </c>
      <c r="N4616">
        <v>9</v>
      </c>
      <c r="O4616">
        <v>0.72399999999999998</v>
      </c>
      <c r="P4616">
        <v>0.29929533200000003</v>
      </c>
      <c r="Q4616">
        <v>0.25800000000000001</v>
      </c>
    </row>
    <row r="4617" spans="1:17" x14ac:dyDescent="0.2">
      <c r="A4617" s="30" t="str">
        <f>IF(C4617&amp;G4617&amp;D4617&lt;&gt;'Funnel setup'!$K$3&amp;'Funnel setup'!$K$4&amp;'Funnel setup'!$K$5,".",IF(A4616=".",1,A4616+1))</f>
        <v>.</v>
      </c>
      <c r="B4617" s="431" t="str">
        <f t="shared" si="72"/>
        <v>Knee Replacement PrimaryProviderBRADFORD TEACHING HOSPITALS NHS FOUNDATION TRUST (RAE)EQ-5D Index</v>
      </c>
      <c r="C4617" t="s">
        <v>249</v>
      </c>
      <c r="D4617" t="s">
        <v>1</v>
      </c>
      <c r="E4617" t="s">
        <v>3361</v>
      </c>
      <c r="F4617" t="s">
        <v>3362</v>
      </c>
      <c r="G4617" t="s">
        <v>52</v>
      </c>
      <c r="H4617">
        <v>135</v>
      </c>
      <c r="I4617">
        <v>0.36699999999999999</v>
      </c>
      <c r="J4617">
        <v>0.71499999999999997</v>
      </c>
      <c r="K4617">
        <v>0.34799999999999998</v>
      </c>
      <c r="L4617">
        <v>109</v>
      </c>
      <c r="M4617">
        <v>16</v>
      </c>
      <c r="N4617">
        <v>10</v>
      </c>
      <c r="O4617">
        <v>0.76600000000000001</v>
      </c>
      <c r="P4617">
        <v>0.341442784</v>
      </c>
      <c r="Q4617">
        <v>0.246</v>
      </c>
    </row>
    <row r="4618" spans="1:17" x14ac:dyDescent="0.2">
      <c r="A4618" s="30" t="str">
        <f>IF(C4618&amp;G4618&amp;D4618&lt;&gt;'Funnel setup'!$K$3&amp;'Funnel setup'!$K$4&amp;'Funnel setup'!$K$5,".",IF(A4617=".",1,A4617+1))</f>
        <v>.</v>
      </c>
      <c r="B4618" s="431" t="str">
        <f t="shared" si="72"/>
        <v>Knee Replacement PrimaryProviderBRIGHTON AND SUSSEX UNIVERSITY HOSPITALS NHS TRUST (RXH)EQ-5D Index</v>
      </c>
      <c r="C4618" t="s">
        <v>249</v>
      </c>
      <c r="D4618" t="s">
        <v>1</v>
      </c>
      <c r="E4618" t="s">
        <v>3367</v>
      </c>
      <c r="F4618" t="s">
        <v>3368</v>
      </c>
      <c r="G4618" t="s">
        <v>52</v>
      </c>
      <c r="H4618">
        <v>277</v>
      </c>
      <c r="I4618">
        <v>0.47399999999999998</v>
      </c>
      <c r="J4618">
        <v>0.71599999999999997</v>
      </c>
      <c r="K4618">
        <v>0.24299999999999999</v>
      </c>
      <c r="L4618">
        <v>203</v>
      </c>
      <c r="M4618">
        <v>37</v>
      </c>
      <c r="N4618">
        <v>37</v>
      </c>
      <c r="O4618">
        <v>0.70799999999999996</v>
      </c>
      <c r="P4618">
        <v>0.28334103199999999</v>
      </c>
      <c r="Q4618">
        <v>0.23400000000000001</v>
      </c>
    </row>
    <row r="4619" spans="1:17" x14ac:dyDescent="0.2">
      <c r="A4619" s="30" t="str">
        <f>IF(C4619&amp;G4619&amp;D4619&lt;&gt;'Funnel setup'!$K$3&amp;'Funnel setup'!$K$4&amp;'Funnel setup'!$K$5,".",IF(A4618=".",1,A4618+1))</f>
        <v>.</v>
      </c>
      <c r="B4619" s="431" t="str">
        <f t="shared" si="72"/>
        <v>Knee Replacement PrimaryProviderBUCKINGHAMSHIRE HEALTHCARE NHS TRUST (RXQ)EQ-5D Index</v>
      </c>
      <c r="C4619" t="s">
        <v>249</v>
      </c>
      <c r="D4619" t="s">
        <v>1</v>
      </c>
      <c r="E4619" t="s">
        <v>3370</v>
      </c>
      <c r="F4619" t="s">
        <v>3371</v>
      </c>
      <c r="G4619" t="s">
        <v>52</v>
      </c>
      <c r="H4619">
        <v>151</v>
      </c>
      <c r="I4619">
        <v>0.433</v>
      </c>
      <c r="J4619">
        <v>0.74399999999999999</v>
      </c>
      <c r="K4619">
        <v>0.311</v>
      </c>
      <c r="L4619">
        <v>121</v>
      </c>
      <c r="M4619">
        <v>20</v>
      </c>
      <c r="N4619">
        <v>10</v>
      </c>
      <c r="O4619">
        <v>0.74299999999999999</v>
      </c>
      <c r="P4619">
        <v>0.31799529999999998</v>
      </c>
      <c r="Q4619">
        <v>0.22500000000000001</v>
      </c>
    </row>
    <row r="4620" spans="1:17" x14ac:dyDescent="0.2">
      <c r="A4620" s="30" t="str">
        <f>IF(C4620&amp;G4620&amp;D4620&lt;&gt;'Funnel setup'!$K$3&amp;'Funnel setup'!$K$4&amp;'Funnel setup'!$K$5,".",IF(A4619=".",1,A4619+1))</f>
        <v>.</v>
      </c>
      <c r="B4620" s="431" t="str">
        <f t="shared" si="72"/>
        <v>Knee Replacement PrimaryProviderBURTON HOSPITALS NHS FOUNDATION TRUST (RJF)EQ-5D Index</v>
      </c>
      <c r="C4620" t="s">
        <v>249</v>
      </c>
      <c r="D4620" t="s">
        <v>1</v>
      </c>
      <c r="E4620" t="s">
        <v>3373</v>
      </c>
      <c r="F4620" t="s">
        <v>3374</v>
      </c>
      <c r="G4620" t="s">
        <v>52</v>
      </c>
      <c r="H4620">
        <v>213</v>
      </c>
      <c r="I4620">
        <v>0.46300000000000002</v>
      </c>
      <c r="J4620">
        <v>0.77800000000000002</v>
      </c>
      <c r="K4620">
        <v>0.314</v>
      </c>
      <c r="L4620">
        <v>167</v>
      </c>
      <c r="M4620">
        <v>29</v>
      </c>
      <c r="N4620">
        <v>17</v>
      </c>
      <c r="O4620">
        <v>0.755</v>
      </c>
      <c r="P4620">
        <v>0.33038991099999998</v>
      </c>
      <c r="Q4620">
        <v>0.21099999999999999</v>
      </c>
    </row>
    <row r="4621" spans="1:17" x14ac:dyDescent="0.2">
      <c r="A4621" s="30" t="str">
        <f>IF(C4621&amp;G4621&amp;D4621&lt;&gt;'Funnel setup'!$K$3&amp;'Funnel setup'!$K$4&amp;'Funnel setup'!$K$5,".",IF(A4620=".",1,A4620+1))</f>
        <v>.</v>
      </c>
      <c r="B4621" s="431" t="str">
        <f t="shared" si="72"/>
        <v>Knee Replacement PrimaryProviderCALDERDALE AND HUDDERSFIELD NHS FOUNDATION TRUST (RWY)EQ-5D Index</v>
      </c>
      <c r="C4621" t="s">
        <v>249</v>
      </c>
      <c r="D4621" t="s">
        <v>1</v>
      </c>
      <c r="E4621" t="s">
        <v>3379</v>
      </c>
      <c r="F4621" t="s">
        <v>3380</v>
      </c>
      <c r="G4621" t="s">
        <v>52</v>
      </c>
      <c r="H4621">
        <v>228</v>
      </c>
      <c r="I4621">
        <v>0.437</v>
      </c>
      <c r="J4621">
        <v>0.75</v>
      </c>
      <c r="K4621">
        <v>0.313</v>
      </c>
      <c r="L4621">
        <v>189</v>
      </c>
      <c r="M4621">
        <v>23</v>
      </c>
      <c r="N4621">
        <v>16</v>
      </c>
      <c r="O4621">
        <v>0.75800000000000001</v>
      </c>
      <c r="P4621">
        <v>0.332884715</v>
      </c>
      <c r="Q4621">
        <v>0.222</v>
      </c>
    </row>
    <row r="4622" spans="1:17" x14ac:dyDescent="0.2">
      <c r="A4622" s="30" t="str">
        <f>IF(C4622&amp;G4622&amp;D4622&lt;&gt;'Funnel setup'!$K$3&amp;'Funnel setup'!$K$4&amp;'Funnel setup'!$K$5,".",IF(A4621=".",1,A4621+1))</f>
        <v>.</v>
      </c>
      <c r="B4622" s="431" t="str">
        <f t="shared" si="72"/>
        <v>Knee Replacement PrimaryProviderCAMBRIDGE UNIVERSITY HOSPITALS NHS FOUNDATION TRUST (RGT)EQ-5D Index</v>
      </c>
      <c r="C4622" t="s">
        <v>249</v>
      </c>
      <c r="D4622" t="s">
        <v>1</v>
      </c>
      <c r="E4622" t="s">
        <v>3076</v>
      </c>
      <c r="F4622" t="s">
        <v>3077</v>
      </c>
      <c r="G4622" t="s">
        <v>52</v>
      </c>
      <c r="H4622">
        <v>197</v>
      </c>
      <c r="I4622">
        <v>0.40400000000000003</v>
      </c>
      <c r="J4622">
        <v>0.73499999999999999</v>
      </c>
      <c r="K4622">
        <v>0.33100000000000002</v>
      </c>
      <c r="L4622">
        <v>166</v>
      </c>
      <c r="M4622">
        <v>14</v>
      </c>
      <c r="N4622">
        <v>17</v>
      </c>
      <c r="O4622">
        <v>0.73099999999999998</v>
      </c>
      <c r="P4622">
        <v>0.30570613400000002</v>
      </c>
      <c r="Q4622">
        <v>0.26100000000000001</v>
      </c>
    </row>
    <row r="4623" spans="1:17" x14ac:dyDescent="0.2">
      <c r="A4623" s="30" t="str">
        <f>IF(C4623&amp;G4623&amp;D4623&lt;&gt;'Funnel setup'!$K$3&amp;'Funnel setup'!$K$4&amp;'Funnel setup'!$K$5,".",IF(A4622=".",1,A4622+1))</f>
        <v>.</v>
      </c>
      <c r="B4623" s="431" t="str">
        <f t="shared" si="72"/>
        <v>Knee Replacement PrimaryProviderCENTRAL MANCHESTER UNIVERSITY HOSPITALS NHS FOUNDATION TRUST (RW3)EQ-5D Index</v>
      </c>
      <c r="C4623" t="s">
        <v>249</v>
      </c>
      <c r="D4623" t="s">
        <v>1</v>
      </c>
      <c r="E4623" t="s">
        <v>3079</v>
      </c>
      <c r="F4623" t="s">
        <v>3080</v>
      </c>
      <c r="G4623" t="s">
        <v>52</v>
      </c>
      <c r="H4623">
        <v>83</v>
      </c>
      <c r="I4623">
        <v>0.38</v>
      </c>
      <c r="J4623">
        <v>0.66100000000000003</v>
      </c>
      <c r="K4623">
        <v>0.28100000000000003</v>
      </c>
      <c r="L4623">
        <v>64</v>
      </c>
      <c r="M4623">
        <v>7</v>
      </c>
      <c r="N4623">
        <v>12</v>
      </c>
      <c r="O4623">
        <v>0.68799999999999994</v>
      </c>
      <c r="P4623">
        <v>0.26298887199999998</v>
      </c>
      <c r="Q4623">
        <v>0.27200000000000002</v>
      </c>
    </row>
    <row r="4624" spans="1:17" x14ac:dyDescent="0.2">
      <c r="A4624" s="30" t="str">
        <f>IF(C4624&amp;G4624&amp;D4624&lt;&gt;'Funnel setup'!$K$3&amp;'Funnel setup'!$K$4&amp;'Funnel setup'!$K$5,".",IF(A4623=".",1,A4623+1))</f>
        <v>.</v>
      </c>
      <c r="B4624" s="431" t="str">
        <f t="shared" si="72"/>
        <v>Knee Replacement PrimaryProviderCHELSEA AND WESTMINSTER HOSPITAL NHS FOUNDATION TRUST (RQM)EQ-5D Index</v>
      </c>
      <c r="C4624" t="s">
        <v>249</v>
      </c>
      <c r="D4624" t="s">
        <v>1</v>
      </c>
      <c r="E4624" t="s">
        <v>3082</v>
      </c>
      <c r="F4624" t="s">
        <v>3083</v>
      </c>
      <c r="G4624" t="s">
        <v>52</v>
      </c>
      <c r="H4624">
        <v>19</v>
      </c>
      <c r="I4624">
        <v>0.22500000000000001</v>
      </c>
      <c r="J4624">
        <v>0.746</v>
      </c>
      <c r="K4624">
        <v>0.52</v>
      </c>
      <c r="L4624">
        <v>17</v>
      </c>
      <c r="M4624">
        <v>1</v>
      </c>
      <c r="N4624">
        <v>1</v>
      </c>
      <c r="O4624" t="s">
        <v>53</v>
      </c>
      <c r="P4624" t="s">
        <v>53</v>
      </c>
      <c r="Q4624" t="s">
        <v>53</v>
      </c>
    </row>
    <row r="4625" spans="1:17" x14ac:dyDescent="0.2">
      <c r="A4625" s="30" t="str">
        <f>IF(C4625&amp;G4625&amp;D4625&lt;&gt;'Funnel setup'!$K$3&amp;'Funnel setup'!$K$4&amp;'Funnel setup'!$K$5,".",IF(A4624=".",1,A4624+1))</f>
        <v>.</v>
      </c>
      <c r="B4625" s="431" t="str">
        <f t="shared" si="72"/>
        <v>Knee Replacement PrimaryProviderCHESTERFIELD ROYAL HOSPITAL NHS FOUNDATION TRUST (RFS)EQ-5D Index</v>
      </c>
      <c r="C4625" t="s">
        <v>249</v>
      </c>
      <c r="D4625" t="s">
        <v>1</v>
      </c>
      <c r="E4625" t="s">
        <v>3085</v>
      </c>
      <c r="F4625" t="s">
        <v>3086</v>
      </c>
      <c r="G4625" t="s">
        <v>52</v>
      </c>
      <c r="H4625">
        <v>236</v>
      </c>
      <c r="I4625">
        <v>0.437</v>
      </c>
      <c r="J4625">
        <v>0.72799999999999998</v>
      </c>
      <c r="K4625">
        <v>0.29099999999999998</v>
      </c>
      <c r="L4625">
        <v>193</v>
      </c>
      <c r="M4625">
        <v>22</v>
      </c>
      <c r="N4625">
        <v>21</v>
      </c>
      <c r="O4625">
        <v>0.74</v>
      </c>
      <c r="P4625">
        <v>0.31469092799999998</v>
      </c>
      <c r="Q4625">
        <v>0.24299999999999999</v>
      </c>
    </row>
    <row r="4626" spans="1:17" x14ac:dyDescent="0.2">
      <c r="A4626" s="30" t="str">
        <f>IF(C4626&amp;G4626&amp;D4626&lt;&gt;'Funnel setup'!$K$3&amp;'Funnel setup'!$K$4&amp;'Funnel setup'!$K$5,".",IF(A4625=".",1,A4625+1))</f>
        <v>.</v>
      </c>
      <c r="B4626" s="431" t="str">
        <f t="shared" si="72"/>
        <v>Knee Replacement PrimaryProviderCIRCLE - NOTTINGHAM NHS TREATMENT CENTRE (NV313)EQ-5D Index</v>
      </c>
      <c r="C4626" t="s">
        <v>249</v>
      </c>
      <c r="D4626" t="s">
        <v>1</v>
      </c>
      <c r="E4626" t="s">
        <v>3094</v>
      </c>
      <c r="F4626" t="s">
        <v>3095</v>
      </c>
      <c r="G4626" t="s">
        <v>52</v>
      </c>
      <c r="H4626" t="s">
        <v>53</v>
      </c>
      <c r="I4626" t="s">
        <v>53</v>
      </c>
      <c r="J4626" t="s">
        <v>53</v>
      </c>
      <c r="K4626" t="s">
        <v>53</v>
      </c>
      <c r="L4626" t="s">
        <v>53</v>
      </c>
      <c r="M4626" t="s">
        <v>53</v>
      </c>
      <c r="N4626" t="s">
        <v>53</v>
      </c>
      <c r="O4626" t="s">
        <v>53</v>
      </c>
      <c r="P4626" t="s">
        <v>53</v>
      </c>
      <c r="Q4626" t="s">
        <v>53</v>
      </c>
    </row>
    <row r="4627" spans="1:17" x14ac:dyDescent="0.2">
      <c r="A4627" s="30" t="str">
        <f>IF(C4627&amp;G4627&amp;D4627&lt;&gt;'Funnel setup'!$K$3&amp;'Funnel setup'!$K$4&amp;'Funnel setup'!$K$5,".",IF(A4626=".",1,A4626+1))</f>
        <v>.</v>
      </c>
      <c r="B4627" s="431" t="str">
        <f t="shared" si="72"/>
        <v>Knee Replacement PrimaryProviderCIRCLE BATH HOSPITAL (NV302)EQ-5D Index</v>
      </c>
      <c r="C4627" t="s">
        <v>249</v>
      </c>
      <c r="D4627" t="s">
        <v>1</v>
      </c>
      <c r="E4627" t="s">
        <v>3097</v>
      </c>
      <c r="F4627" t="s">
        <v>3098</v>
      </c>
      <c r="G4627" t="s">
        <v>52</v>
      </c>
      <c r="H4627">
        <v>143</v>
      </c>
      <c r="I4627">
        <v>0.50800000000000001</v>
      </c>
      <c r="J4627">
        <v>0.81699999999999995</v>
      </c>
      <c r="K4627">
        <v>0.309</v>
      </c>
      <c r="L4627">
        <v>121</v>
      </c>
      <c r="M4627">
        <v>14</v>
      </c>
      <c r="N4627">
        <v>8</v>
      </c>
      <c r="O4627">
        <v>0.77</v>
      </c>
      <c r="P4627">
        <v>0.34546300499999999</v>
      </c>
      <c r="Q4627">
        <v>0.183</v>
      </c>
    </row>
    <row r="4628" spans="1:17" x14ac:dyDescent="0.2">
      <c r="A4628" s="30" t="str">
        <f>IF(C4628&amp;G4628&amp;D4628&lt;&gt;'Funnel setup'!$K$3&amp;'Funnel setup'!$K$4&amp;'Funnel setup'!$K$5,".",IF(A4627=".",1,A4627+1))</f>
        <v>.</v>
      </c>
      <c r="B4628" s="431" t="str">
        <f t="shared" si="72"/>
        <v>Knee Replacement PrimaryProviderCIRCLE READING HOSPITAL (NV323)EQ-5D Index</v>
      </c>
      <c r="C4628" t="s">
        <v>249</v>
      </c>
      <c r="D4628" t="s">
        <v>1</v>
      </c>
      <c r="E4628" t="s">
        <v>3091</v>
      </c>
      <c r="F4628" t="s">
        <v>3092</v>
      </c>
      <c r="G4628" t="s">
        <v>52</v>
      </c>
      <c r="H4628">
        <v>95</v>
      </c>
      <c r="I4628">
        <v>0.51700000000000002</v>
      </c>
      <c r="J4628">
        <v>0.81499999999999995</v>
      </c>
      <c r="K4628">
        <v>0.29799999999999999</v>
      </c>
      <c r="L4628">
        <v>78</v>
      </c>
      <c r="M4628">
        <v>11</v>
      </c>
      <c r="N4628">
        <v>6</v>
      </c>
      <c r="O4628">
        <v>0.73599999999999999</v>
      </c>
      <c r="P4628">
        <v>0.31147581600000002</v>
      </c>
      <c r="Q4628">
        <v>0.186</v>
      </c>
    </row>
    <row r="4629" spans="1:17" x14ac:dyDescent="0.2">
      <c r="A4629" s="30" t="str">
        <f>IF(C4629&amp;G4629&amp;D4629&lt;&gt;'Funnel setup'!$K$3&amp;'Funnel setup'!$K$4&amp;'Funnel setup'!$K$5,".",IF(A4628=".",1,A4628+1))</f>
        <v>.</v>
      </c>
      <c r="B4629" s="431" t="str">
        <f t="shared" si="72"/>
        <v>Knee Replacement PrimaryProviderCITY HOSPITALS SUNDERLAND NHS FOUNDATION TRUST (RLN)EQ-5D Index</v>
      </c>
      <c r="C4629" t="s">
        <v>249</v>
      </c>
      <c r="D4629" t="s">
        <v>1</v>
      </c>
      <c r="E4629" t="s">
        <v>3100</v>
      </c>
      <c r="F4629" t="s">
        <v>3101</v>
      </c>
      <c r="G4629" t="s">
        <v>52</v>
      </c>
      <c r="H4629">
        <v>261</v>
      </c>
      <c r="I4629">
        <v>0.33200000000000002</v>
      </c>
      <c r="J4629">
        <v>0.69299999999999995</v>
      </c>
      <c r="K4629">
        <v>0.36199999999999999</v>
      </c>
      <c r="L4629">
        <v>221</v>
      </c>
      <c r="M4629">
        <v>19</v>
      </c>
      <c r="N4629">
        <v>21</v>
      </c>
      <c r="O4629">
        <v>0.76200000000000001</v>
      </c>
      <c r="P4629">
        <v>0.33667872700000001</v>
      </c>
      <c r="Q4629">
        <v>0.224</v>
      </c>
    </row>
    <row r="4630" spans="1:17" x14ac:dyDescent="0.2">
      <c r="A4630" s="30" t="str">
        <f>IF(C4630&amp;G4630&amp;D4630&lt;&gt;'Funnel setup'!$K$3&amp;'Funnel setup'!$K$4&amp;'Funnel setup'!$K$5,".",IF(A4629=".",1,A4629+1))</f>
        <v>.</v>
      </c>
      <c r="B4630" s="431" t="str">
        <f t="shared" si="72"/>
        <v>Knee Replacement PrimaryProviderCLIFTON PARK HOSPITAL (NVC28)EQ-5D Index</v>
      </c>
      <c r="C4630" t="s">
        <v>249</v>
      </c>
      <c r="D4630" t="s">
        <v>1</v>
      </c>
      <c r="E4630" t="s">
        <v>4229</v>
      </c>
      <c r="F4630" t="s">
        <v>4230</v>
      </c>
      <c r="G4630" t="s">
        <v>52</v>
      </c>
      <c r="H4630">
        <v>203</v>
      </c>
      <c r="I4630">
        <v>0.54300000000000004</v>
      </c>
      <c r="J4630">
        <v>0.78500000000000003</v>
      </c>
      <c r="K4630">
        <v>0.24099999999999999</v>
      </c>
      <c r="L4630">
        <v>165</v>
      </c>
      <c r="M4630">
        <v>20</v>
      </c>
      <c r="N4630">
        <v>18</v>
      </c>
      <c r="O4630">
        <v>0.73</v>
      </c>
      <c r="P4630">
        <v>0.30490626999999998</v>
      </c>
      <c r="Q4630">
        <v>0.20499999999999999</v>
      </c>
    </row>
    <row r="4631" spans="1:17" x14ac:dyDescent="0.2">
      <c r="A4631" s="30" t="str">
        <f>IF(C4631&amp;G4631&amp;D4631&lt;&gt;'Funnel setup'!$K$3&amp;'Funnel setup'!$K$4&amp;'Funnel setup'!$K$5,".",IF(A4630=".",1,A4630+1))</f>
        <v>.</v>
      </c>
      <c r="B4631" s="431" t="str">
        <f t="shared" si="72"/>
        <v>Knee Replacement PrimaryProviderCOLCHESTER HOSPITAL UNIVERSITY NHS FOUNDATION TRUST (RDE)EQ-5D Index</v>
      </c>
      <c r="C4631" t="s">
        <v>249</v>
      </c>
      <c r="D4631" t="s">
        <v>1</v>
      </c>
      <c r="E4631" t="s">
        <v>3109</v>
      </c>
      <c r="F4631" t="s">
        <v>3110</v>
      </c>
      <c r="G4631" t="s">
        <v>52</v>
      </c>
      <c r="H4631">
        <v>185</v>
      </c>
      <c r="I4631">
        <v>0.40400000000000003</v>
      </c>
      <c r="J4631">
        <v>0.73699999999999999</v>
      </c>
      <c r="K4631">
        <v>0.33300000000000002</v>
      </c>
      <c r="L4631">
        <v>150</v>
      </c>
      <c r="M4631">
        <v>24</v>
      </c>
      <c r="N4631">
        <v>11</v>
      </c>
      <c r="O4631">
        <v>0.751</v>
      </c>
      <c r="P4631">
        <v>0.32606771400000001</v>
      </c>
      <c r="Q4631">
        <v>0.224</v>
      </c>
    </row>
    <row r="4632" spans="1:17" x14ac:dyDescent="0.2">
      <c r="A4632" s="30" t="str">
        <f>IF(C4632&amp;G4632&amp;D4632&lt;&gt;'Funnel setup'!$K$3&amp;'Funnel setup'!$K$4&amp;'Funnel setup'!$K$5,".",IF(A4631=".",1,A4631+1))</f>
        <v>.</v>
      </c>
      <c r="B4632" s="431" t="str">
        <f t="shared" si="72"/>
        <v>Knee Replacement PrimaryProviderCOUNTESS OF CHESTER HOSPITAL NHS FOUNDATION TRUST (RJR)EQ-5D Index</v>
      </c>
      <c r="C4632" t="s">
        <v>249</v>
      </c>
      <c r="D4632" t="s">
        <v>1</v>
      </c>
      <c r="E4632" t="s">
        <v>3781</v>
      </c>
      <c r="F4632" t="s">
        <v>3782</v>
      </c>
      <c r="G4632" t="s">
        <v>52</v>
      </c>
      <c r="H4632">
        <v>84</v>
      </c>
      <c r="I4632">
        <v>0.36799999999999999</v>
      </c>
      <c r="J4632">
        <v>0.64200000000000002</v>
      </c>
      <c r="K4632">
        <v>0.27400000000000002</v>
      </c>
      <c r="L4632">
        <v>63</v>
      </c>
      <c r="M4632">
        <v>8</v>
      </c>
      <c r="N4632">
        <v>13</v>
      </c>
      <c r="O4632">
        <v>0.66600000000000004</v>
      </c>
      <c r="P4632">
        <v>0.24053122499999999</v>
      </c>
      <c r="Q4632">
        <v>0.27400000000000002</v>
      </c>
    </row>
    <row r="4633" spans="1:17" x14ac:dyDescent="0.2">
      <c r="A4633" s="30" t="str">
        <f>IF(C4633&amp;G4633&amp;D4633&lt;&gt;'Funnel setup'!$K$3&amp;'Funnel setup'!$K$4&amp;'Funnel setup'!$K$5,".",IF(A4632=".",1,A4632+1))</f>
        <v>.</v>
      </c>
      <c r="B4633" s="431" t="str">
        <f t="shared" si="72"/>
        <v>Knee Replacement PrimaryProviderCOUNTY DURHAM AND DARLINGTON NHS FOUNDATION TRUST (RXP)EQ-5D Index</v>
      </c>
      <c r="C4633" t="s">
        <v>249</v>
      </c>
      <c r="D4633" t="s">
        <v>1</v>
      </c>
      <c r="E4633" t="s">
        <v>3784</v>
      </c>
      <c r="F4633" t="s">
        <v>3785</v>
      </c>
      <c r="G4633" t="s">
        <v>52</v>
      </c>
      <c r="H4633">
        <v>309</v>
      </c>
      <c r="I4633">
        <v>0.38900000000000001</v>
      </c>
      <c r="J4633">
        <v>0.69899999999999995</v>
      </c>
      <c r="K4633">
        <v>0.31</v>
      </c>
      <c r="L4633">
        <v>245</v>
      </c>
      <c r="M4633">
        <v>32</v>
      </c>
      <c r="N4633">
        <v>32</v>
      </c>
      <c r="O4633">
        <v>0.72499999999999998</v>
      </c>
      <c r="P4633">
        <v>0.30006494299999997</v>
      </c>
      <c r="Q4633">
        <v>0.246</v>
      </c>
    </row>
    <row r="4634" spans="1:17" x14ac:dyDescent="0.2">
      <c r="A4634" s="30" t="str">
        <f>IF(C4634&amp;G4634&amp;D4634&lt;&gt;'Funnel setup'!$K$3&amp;'Funnel setup'!$K$4&amp;'Funnel setup'!$K$5,".",IF(A4633=".",1,A4633+1))</f>
        <v>.</v>
      </c>
      <c r="B4634" s="431" t="str">
        <f t="shared" si="72"/>
        <v>Knee Replacement PrimaryProviderDARTFORD AND GRAVESHAM NHS TRUST (RN7)EQ-5D Index</v>
      </c>
      <c r="C4634" t="s">
        <v>249</v>
      </c>
      <c r="D4634" t="s">
        <v>1</v>
      </c>
      <c r="E4634" t="s">
        <v>3787</v>
      </c>
      <c r="F4634" t="s">
        <v>3788</v>
      </c>
      <c r="G4634" t="s">
        <v>52</v>
      </c>
      <c r="H4634">
        <v>211</v>
      </c>
      <c r="I4634">
        <v>0.377</v>
      </c>
      <c r="J4634">
        <v>0.74</v>
      </c>
      <c r="K4634">
        <v>0.36299999999999999</v>
      </c>
      <c r="L4634">
        <v>174</v>
      </c>
      <c r="M4634">
        <v>24</v>
      </c>
      <c r="N4634">
        <v>13</v>
      </c>
      <c r="O4634">
        <v>0.752</v>
      </c>
      <c r="P4634">
        <v>0.326979352</v>
      </c>
      <c r="Q4634">
        <v>0.214</v>
      </c>
    </row>
    <row r="4635" spans="1:17" x14ac:dyDescent="0.2">
      <c r="A4635" s="30" t="str">
        <f>IF(C4635&amp;G4635&amp;D4635&lt;&gt;'Funnel setup'!$K$3&amp;'Funnel setup'!$K$4&amp;'Funnel setup'!$K$5,".",IF(A4634=".",1,A4634+1))</f>
        <v>.</v>
      </c>
      <c r="B4635" s="431" t="str">
        <f t="shared" si="72"/>
        <v>Knee Replacement PrimaryProviderDERBY TEACHING HOSPITALS NHS FOUNDATION TRUST (RTG)EQ-5D Index</v>
      </c>
      <c r="C4635" t="s">
        <v>249</v>
      </c>
      <c r="D4635" t="s">
        <v>1</v>
      </c>
      <c r="E4635" t="s">
        <v>3790</v>
      </c>
      <c r="F4635" t="s">
        <v>3791</v>
      </c>
      <c r="G4635" t="s">
        <v>52</v>
      </c>
      <c r="H4635">
        <v>397</v>
      </c>
      <c r="I4635">
        <v>0.45800000000000002</v>
      </c>
      <c r="J4635">
        <v>0.74199999999999999</v>
      </c>
      <c r="K4635">
        <v>0.28399999999999997</v>
      </c>
      <c r="L4635">
        <v>310</v>
      </c>
      <c r="M4635">
        <v>38</v>
      </c>
      <c r="N4635">
        <v>49</v>
      </c>
      <c r="O4635">
        <v>0.73899999999999999</v>
      </c>
      <c r="P4635">
        <v>0.31410891800000001</v>
      </c>
      <c r="Q4635">
        <v>0.22</v>
      </c>
    </row>
    <row r="4636" spans="1:17" x14ac:dyDescent="0.2">
      <c r="A4636" s="30" t="str">
        <f>IF(C4636&amp;G4636&amp;D4636&lt;&gt;'Funnel setup'!$K$3&amp;'Funnel setup'!$K$4&amp;'Funnel setup'!$K$5,".",IF(A4635=".",1,A4635+1))</f>
        <v>.</v>
      </c>
      <c r="B4636" s="431" t="str">
        <f t="shared" si="72"/>
        <v>Knee Replacement PrimaryProviderDONCASTER AND BASSETLAW HOSPITALS NHS FOUNDATION TRUST (RP5)EQ-5D Index</v>
      </c>
      <c r="C4636" t="s">
        <v>249</v>
      </c>
      <c r="D4636" t="s">
        <v>1</v>
      </c>
      <c r="E4636" t="s">
        <v>3799</v>
      </c>
      <c r="F4636" t="s">
        <v>3800</v>
      </c>
      <c r="G4636" t="s">
        <v>52</v>
      </c>
      <c r="H4636">
        <v>320</v>
      </c>
      <c r="I4636">
        <v>0.374</v>
      </c>
      <c r="J4636">
        <v>0.70099999999999996</v>
      </c>
      <c r="K4636">
        <v>0.32700000000000001</v>
      </c>
      <c r="L4636">
        <v>255</v>
      </c>
      <c r="M4636">
        <v>36</v>
      </c>
      <c r="N4636">
        <v>29</v>
      </c>
      <c r="O4636">
        <v>0.72799999999999998</v>
      </c>
      <c r="P4636">
        <v>0.30281171800000001</v>
      </c>
      <c r="Q4636">
        <v>0.24199999999999999</v>
      </c>
    </row>
    <row r="4637" spans="1:17" x14ac:dyDescent="0.2">
      <c r="A4637" s="30" t="str">
        <f>IF(C4637&amp;G4637&amp;D4637&lt;&gt;'Funnel setup'!$K$3&amp;'Funnel setup'!$K$4&amp;'Funnel setup'!$K$5,".",IF(A4636=".",1,A4636+1))</f>
        <v>.</v>
      </c>
      <c r="B4637" s="431" t="str">
        <f t="shared" si="72"/>
        <v>Knee Replacement PrimaryProviderDORSET COUNTY HOSPITAL NHS FOUNDATION TRUST (RBD)EQ-5D Index</v>
      </c>
      <c r="C4637" t="s">
        <v>249</v>
      </c>
      <c r="D4637" t="s">
        <v>1</v>
      </c>
      <c r="E4637" t="s">
        <v>3802</v>
      </c>
      <c r="F4637" t="s">
        <v>3803</v>
      </c>
      <c r="G4637" t="s">
        <v>52</v>
      </c>
      <c r="H4637">
        <v>165</v>
      </c>
      <c r="I4637">
        <v>0.47499999999999998</v>
      </c>
      <c r="J4637">
        <v>0.75</v>
      </c>
      <c r="K4637">
        <v>0.27500000000000002</v>
      </c>
      <c r="L4637">
        <v>138</v>
      </c>
      <c r="M4637">
        <v>14</v>
      </c>
      <c r="N4637">
        <v>13</v>
      </c>
      <c r="O4637">
        <v>0.73299999999999998</v>
      </c>
      <c r="P4637">
        <v>0.30801511300000001</v>
      </c>
      <c r="Q4637">
        <v>0.21099999999999999</v>
      </c>
    </row>
    <row r="4638" spans="1:17" x14ac:dyDescent="0.2">
      <c r="A4638" s="30" t="str">
        <f>IF(C4638&amp;G4638&amp;D4638&lt;&gt;'Funnel setup'!$K$3&amp;'Funnel setup'!$K$4&amp;'Funnel setup'!$K$5,".",IF(A4637=".",1,A4637+1))</f>
        <v>.</v>
      </c>
      <c r="B4638" s="431" t="str">
        <f t="shared" si="72"/>
        <v>Knee Replacement PrimaryProviderDUCHY HOSPITAL (NVC04)EQ-5D Index</v>
      </c>
      <c r="C4638" t="s">
        <v>249</v>
      </c>
      <c r="D4638" t="s">
        <v>1</v>
      </c>
      <c r="E4638" t="s">
        <v>4518</v>
      </c>
      <c r="F4638" t="s">
        <v>4519</v>
      </c>
      <c r="G4638" t="s">
        <v>52</v>
      </c>
      <c r="H4638">
        <v>209</v>
      </c>
      <c r="I4638">
        <v>0.51200000000000001</v>
      </c>
      <c r="J4638">
        <v>0.80300000000000005</v>
      </c>
      <c r="K4638">
        <v>0.29099999999999998</v>
      </c>
      <c r="L4638">
        <v>179</v>
      </c>
      <c r="M4638">
        <v>13</v>
      </c>
      <c r="N4638">
        <v>17</v>
      </c>
      <c r="O4638">
        <v>0.77200000000000002</v>
      </c>
      <c r="P4638">
        <v>0.34692236199999998</v>
      </c>
      <c r="Q4638">
        <v>0.19600000000000001</v>
      </c>
    </row>
    <row r="4639" spans="1:17" x14ac:dyDescent="0.2">
      <c r="A4639" s="30" t="str">
        <f>IF(C4639&amp;G4639&amp;D4639&lt;&gt;'Funnel setup'!$K$3&amp;'Funnel setup'!$K$4&amp;'Funnel setup'!$K$5,".",IF(A4638=".",1,A4638+1))</f>
        <v>.</v>
      </c>
      <c r="B4639" s="431" t="str">
        <f t="shared" si="72"/>
        <v>Knee Replacement PrimaryProviderEAST AND NORTH HERTFORDSHIRE NHS TRUST (RWH)EQ-5D Index</v>
      </c>
      <c r="C4639" t="s">
        <v>249</v>
      </c>
      <c r="D4639" t="s">
        <v>1</v>
      </c>
      <c r="E4639" t="s">
        <v>3814</v>
      </c>
      <c r="F4639" t="s">
        <v>3815</v>
      </c>
      <c r="G4639" t="s">
        <v>52</v>
      </c>
      <c r="H4639">
        <v>115</v>
      </c>
      <c r="I4639">
        <v>0.39400000000000002</v>
      </c>
      <c r="J4639">
        <v>0.745</v>
      </c>
      <c r="K4639">
        <v>0.35099999999999998</v>
      </c>
      <c r="L4639">
        <v>95</v>
      </c>
      <c r="M4639">
        <v>13</v>
      </c>
      <c r="N4639">
        <v>7</v>
      </c>
      <c r="O4639">
        <v>0.74399999999999999</v>
      </c>
      <c r="P4639">
        <v>0.319216685</v>
      </c>
      <c r="Q4639">
        <v>0.22800000000000001</v>
      </c>
    </row>
    <row r="4640" spans="1:17" x14ac:dyDescent="0.2">
      <c r="A4640" s="30" t="str">
        <f>IF(C4640&amp;G4640&amp;D4640&lt;&gt;'Funnel setup'!$K$3&amp;'Funnel setup'!$K$4&amp;'Funnel setup'!$K$5,".",IF(A4639=".",1,A4639+1))</f>
        <v>.</v>
      </c>
      <c r="B4640" s="431" t="str">
        <f t="shared" si="72"/>
        <v>Knee Replacement PrimaryProviderEAST CHESHIRE NHS TRUST (RJN)EQ-5D Index</v>
      </c>
      <c r="C4640" t="s">
        <v>249</v>
      </c>
      <c r="D4640" t="s">
        <v>1</v>
      </c>
      <c r="E4640" t="s">
        <v>3817</v>
      </c>
      <c r="F4640" t="s">
        <v>3818</v>
      </c>
      <c r="G4640" t="s">
        <v>52</v>
      </c>
      <c r="H4640">
        <v>79</v>
      </c>
      <c r="I4640">
        <v>0.44500000000000001</v>
      </c>
      <c r="J4640">
        <v>0.80500000000000005</v>
      </c>
      <c r="K4640">
        <v>0.36099999999999999</v>
      </c>
      <c r="L4640">
        <v>70</v>
      </c>
      <c r="M4640">
        <v>4</v>
      </c>
      <c r="N4640">
        <v>5</v>
      </c>
      <c r="O4640">
        <v>0.77100000000000002</v>
      </c>
      <c r="P4640">
        <v>0.345703129</v>
      </c>
      <c r="Q4640">
        <v>0.191</v>
      </c>
    </row>
    <row r="4641" spans="1:17" x14ac:dyDescent="0.2">
      <c r="A4641" s="30" t="str">
        <f>IF(C4641&amp;G4641&amp;D4641&lt;&gt;'Funnel setup'!$K$3&amp;'Funnel setup'!$K$4&amp;'Funnel setup'!$K$5,".",IF(A4640=".",1,A4640+1))</f>
        <v>.</v>
      </c>
      <c r="B4641" s="431" t="str">
        <f t="shared" si="72"/>
        <v>Knee Replacement PrimaryProviderEAST KENT HOSPITALS UNIVERSITY NHS FOUNDATION TRUST (RVV)EQ-5D Index</v>
      </c>
      <c r="C4641" t="s">
        <v>249</v>
      </c>
      <c r="D4641" t="s">
        <v>1</v>
      </c>
      <c r="E4641" t="s">
        <v>3820</v>
      </c>
      <c r="F4641" t="s">
        <v>3821</v>
      </c>
      <c r="G4641" t="s">
        <v>52</v>
      </c>
      <c r="H4641">
        <v>389</v>
      </c>
      <c r="I4641">
        <v>0.44700000000000001</v>
      </c>
      <c r="J4641">
        <v>0.74099999999999999</v>
      </c>
      <c r="K4641">
        <v>0.29499999999999998</v>
      </c>
      <c r="L4641">
        <v>307</v>
      </c>
      <c r="M4641">
        <v>43</v>
      </c>
      <c r="N4641">
        <v>39</v>
      </c>
      <c r="O4641">
        <v>0.74</v>
      </c>
      <c r="P4641">
        <v>0.31484631800000001</v>
      </c>
      <c r="Q4641">
        <v>0.23499999999999999</v>
      </c>
    </row>
    <row r="4642" spans="1:17" x14ac:dyDescent="0.2">
      <c r="A4642" s="30" t="str">
        <f>IF(C4642&amp;G4642&amp;D4642&lt;&gt;'Funnel setup'!$K$3&amp;'Funnel setup'!$K$4&amp;'Funnel setup'!$K$5,".",IF(A4641=".",1,A4641+1))</f>
        <v>.</v>
      </c>
      <c r="B4642" s="431" t="str">
        <f t="shared" si="72"/>
        <v>Knee Replacement PrimaryProviderEAST LANCASHIRE HOSPITALS NHS TRUST (RXR)EQ-5D Index</v>
      </c>
      <c r="C4642" t="s">
        <v>249</v>
      </c>
      <c r="D4642" t="s">
        <v>1</v>
      </c>
      <c r="E4642" t="s">
        <v>3823</v>
      </c>
      <c r="F4642" t="s">
        <v>3824</v>
      </c>
      <c r="G4642" t="s">
        <v>52</v>
      </c>
      <c r="H4642">
        <v>152</v>
      </c>
      <c r="I4642">
        <v>0.33400000000000002</v>
      </c>
      <c r="J4642">
        <v>0.73099999999999998</v>
      </c>
      <c r="K4642">
        <v>0.39700000000000002</v>
      </c>
      <c r="L4642">
        <v>129</v>
      </c>
      <c r="M4642">
        <v>16</v>
      </c>
      <c r="N4642">
        <v>7</v>
      </c>
      <c r="O4642">
        <v>0.77700000000000002</v>
      </c>
      <c r="P4642">
        <v>0.35179856900000001</v>
      </c>
      <c r="Q4642">
        <v>0.23</v>
      </c>
    </row>
    <row r="4643" spans="1:17" x14ac:dyDescent="0.2">
      <c r="A4643" s="30" t="str">
        <f>IF(C4643&amp;G4643&amp;D4643&lt;&gt;'Funnel setup'!$K$3&amp;'Funnel setup'!$K$4&amp;'Funnel setup'!$K$5,".",IF(A4642=".",1,A4642+1))</f>
        <v>.</v>
      </c>
      <c r="B4643" s="431" t="str">
        <f t="shared" si="72"/>
        <v>Knee Replacement PrimaryProviderEAST SUSSEX HEALTHCARE NHS TRUST (RXC)EQ-5D Index</v>
      </c>
      <c r="C4643" t="s">
        <v>249</v>
      </c>
      <c r="D4643" t="s">
        <v>1</v>
      </c>
      <c r="E4643" t="s">
        <v>3826</v>
      </c>
      <c r="F4643" t="s">
        <v>3827</v>
      </c>
      <c r="G4643" t="s">
        <v>52</v>
      </c>
      <c r="H4643">
        <v>294</v>
      </c>
      <c r="I4643">
        <v>0.42899999999999999</v>
      </c>
      <c r="J4643">
        <v>0.73099999999999998</v>
      </c>
      <c r="K4643">
        <v>0.30199999999999999</v>
      </c>
      <c r="L4643">
        <v>243</v>
      </c>
      <c r="M4643">
        <v>20</v>
      </c>
      <c r="N4643">
        <v>31</v>
      </c>
      <c r="O4643">
        <v>0.73699999999999999</v>
      </c>
      <c r="P4643">
        <v>0.31234696899999997</v>
      </c>
      <c r="Q4643">
        <v>0.248</v>
      </c>
    </row>
    <row r="4644" spans="1:17" x14ac:dyDescent="0.2">
      <c r="A4644" s="30" t="str">
        <f>IF(C4644&amp;G4644&amp;D4644&lt;&gt;'Funnel setup'!$K$3&amp;'Funnel setup'!$K$4&amp;'Funnel setup'!$K$5,".",IF(A4643=".",1,A4643+1))</f>
        <v>.</v>
      </c>
      <c r="B4644" s="431" t="str">
        <f t="shared" si="72"/>
        <v>Knee Replacement PrimaryProviderEMERSONS GREEN NHS TREATMENT CENTRE (NTPH2)EQ-5D Index</v>
      </c>
      <c r="C4644" t="s">
        <v>249</v>
      </c>
      <c r="D4644" t="s">
        <v>1</v>
      </c>
      <c r="E4644" t="s">
        <v>3829</v>
      </c>
      <c r="F4644" t="s">
        <v>3830</v>
      </c>
      <c r="G4644" t="s">
        <v>52</v>
      </c>
      <c r="H4644">
        <v>347</v>
      </c>
      <c r="I4644">
        <v>0.48899999999999999</v>
      </c>
      <c r="J4644">
        <v>0.80400000000000005</v>
      </c>
      <c r="K4644">
        <v>0.316</v>
      </c>
      <c r="L4644">
        <v>298</v>
      </c>
      <c r="M4644">
        <v>25</v>
      </c>
      <c r="N4644">
        <v>24</v>
      </c>
      <c r="O4644">
        <v>0.76100000000000001</v>
      </c>
      <c r="P4644">
        <v>0.33561444299999998</v>
      </c>
      <c r="Q4644">
        <v>0.183</v>
      </c>
    </row>
    <row r="4645" spans="1:17" x14ac:dyDescent="0.2">
      <c r="A4645" s="30" t="str">
        <f>IF(C4645&amp;G4645&amp;D4645&lt;&gt;'Funnel setup'!$K$3&amp;'Funnel setup'!$K$4&amp;'Funnel setup'!$K$5,".",IF(A4644=".",1,A4644+1))</f>
        <v>.</v>
      </c>
      <c r="B4645" s="431" t="str">
        <f t="shared" si="72"/>
        <v>Knee Replacement PrimaryProviderEPSOM AND ST HELIER UNIVERSITY HOSPITALS NHS TRUST (RVR)EQ-5D Index</v>
      </c>
      <c r="C4645" t="s">
        <v>249</v>
      </c>
      <c r="D4645" t="s">
        <v>1</v>
      </c>
      <c r="E4645" t="s">
        <v>3849</v>
      </c>
      <c r="F4645" t="s">
        <v>3850</v>
      </c>
      <c r="G4645" t="s">
        <v>52</v>
      </c>
      <c r="H4645">
        <v>432</v>
      </c>
      <c r="I4645">
        <v>0.44400000000000001</v>
      </c>
      <c r="J4645">
        <v>0.71</v>
      </c>
      <c r="K4645">
        <v>0.26700000000000002</v>
      </c>
      <c r="L4645">
        <v>324</v>
      </c>
      <c r="M4645">
        <v>58</v>
      </c>
      <c r="N4645">
        <v>50</v>
      </c>
      <c r="O4645">
        <v>0.69599999999999995</v>
      </c>
      <c r="P4645">
        <v>0.27150422499999999</v>
      </c>
      <c r="Q4645">
        <v>0.22800000000000001</v>
      </c>
    </row>
    <row r="4646" spans="1:17" x14ac:dyDescent="0.2">
      <c r="A4646" s="30" t="str">
        <f>IF(C4646&amp;G4646&amp;D4646&lt;&gt;'Funnel setup'!$K$3&amp;'Funnel setup'!$K$4&amp;'Funnel setup'!$K$5,".",IF(A4645=".",1,A4645+1))</f>
        <v>.</v>
      </c>
      <c r="B4646" s="431" t="str">
        <f t="shared" si="72"/>
        <v>Knee Replacement PrimaryProviderEUXTON HALL HOSPITAL (NVC05)EQ-5D Index</v>
      </c>
      <c r="C4646" t="s">
        <v>249</v>
      </c>
      <c r="D4646" t="s">
        <v>1</v>
      </c>
      <c r="E4646" t="s">
        <v>3852</v>
      </c>
      <c r="F4646" t="s">
        <v>3853</v>
      </c>
      <c r="G4646" t="s">
        <v>52</v>
      </c>
      <c r="H4646">
        <v>88</v>
      </c>
      <c r="I4646">
        <v>0.49099999999999999</v>
      </c>
      <c r="J4646">
        <v>0.76600000000000001</v>
      </c>
      <c r="K4646">
        <v>0.27500000000000002</v>
      </c>
      <c r="L4646">
        <v>68</v>
      </c>
      <c r="M4646">
        <v>10</v>
      </c>
      <c r="N4646">
        <v>10</v>
      </c>
      <c r="O4646">
        <v>0.72299999999999998</v>
      </c>
      <c r="P4646">
        <v>0.298501972</v>
      </c>
      <c r="Q4646">
        <v>0.19600000000000001</v>
      </c>
    </row>
    <row r="4647" spans="1:17" x14ac:dyDescent="0.2">
      <c r="A4647" s="30" t="str">
        <f>IF(C4647&amp;G4647&amp;D4647&lt;&gt;'Funnel setup'!$K$3&amp;'Funnel setup'!$K$4&amp;'Funnel setup'!$K$5,".",IF(A4646=".",1,A4646+1))</f>
        <v>.</v>
      </c>
      <c r="B4647" s="431" t="str">
        <f t="shared" si="72"/>
        <v>Knee Replacement PrimaryProviderFAIRFIELD HOSPITAL (NVG01)EQ-5D Index</v>
      </c>
      <c r="C4647" t="s">
        <v>249</v>
      </c>
      <c r="D4647" t="s">
        <v>1</v>
      </c>
      <c r="E4647" t="s">
        <v>3855</v>
      </c>
      <c r="F4647" t="s">
        <v>3856</v>
      </c>
      <c r="G4647" t="s">
        <v>52</v>
      </c>
      <c r="H4647">
        <v>8</v>
      </c>
      <c r="I4647">
        <v>0.28599999999999998</v>
      </c>
      <c r="J4647">
        <v>0.78900000000000003</v>
      </c>
      <c r="K4647">
        <v>0.504</v>
      </c>
      <c r="L4647">
        <v>7</v>
      </c>
      <c r="M4647">
        <v>1</v>
      </c>
      <c r="N4647">
        <v>0</v>
      </c>
      <c r="O4647" t="s">
        <v>53</v>
      </c>
      <c r="P4647" t="s">
        <v>53</v>
      </c>
      <c r="Q4647" t="s">
        <v>53</v>
      </c>
    </row>
    <row r="4648" spans="1:17" x14ac:dyDescent="0.2">
      <c r="A4648" s="30" t="str">
        <f>IF(C4648&amp;G4648&amp;D4648&lt;&gt;'Funnel setup'!$K$3&amp;'Funnel setup'!$K$4&amp;'Funnel setup'!$K$5,".",IF(A4647=".",1,A4647+1))</f>
        <v>.</v>
      </c>
      <c r="B4648" s="431" t="str">
        <f t="shared" si="72"/>
        <v>Knee Replacement PrimaryProviderFITZWILLIAM HOSPITAL (NVC06)EQ-5D Index</v>
      </c>
      <c r="C4648" t="s">
        <v>249</v>
      </c>
      <c r="D4648" t="s">
        <v>1</v>
      </c>
      <c r="E4648" t="s">
        <v>3858</v>
      </c>
      <c r="F4648" t="s">
        <v>3859</v>
      </c>
      <c r="G4648" t="s">
        <v>52</v>
      </c>
      <c r="H4648">
        <v>132</v>
      </c>
      <c r="I4648">
        <v>0.50700000000000001</v>
      </c>
      <c r="J4648">
        <v>0.75700000000000001</v>
      </c>
      <c r="K4648">
        <v>0.249</v>
      </c>
      <c r="L4648">
        <v>102</v>
      </c>
      <c r="M4648">
        <v>15</v>
      </c>
      <c r="N4648">
        <v>15</v>
      </c>
      <c r="O4648">
        <v>0.72099999999999997</v>
      </c>
      <c r="P4648">
        <v>0.295940916</v>
      </c>
      <c r="Q4648">
        <v>0.222</v>
      </c>
    </row>
    <row r="4649" spans="1:17" x14ac:dyDescent="0.2">
      <c r="A4649" s="30" t="str">
        <f>IF(C4649&amp;G4649&amp;D4649&lt;&gt;'Funnel setup'!$K$3&amp;'Funnel setup'!$K$4&amp;'Funnel setup'!$K$5,".",IF(A4648=".",1,A4648+1))</f>
        <v>.</v>
      </c>
      <c r="B4649" s="431" t="str">
        <f t="shared" si="72"/>
        <v>Knee Replacement PrimaryProviderFOSCOTE COURT (BANBURY) TRUST LTD (AHH)EQ-5D Index</v>
      </c>
      <c r="C4649" t="s">
        <v>249</v>
      </c>
      <c r="D4649" t="s">
        <v>1</v>
      </c>
      <c r="E4649" t="s">
        <v>3900</v>
      </c>
      <c r="F4649" t="s">
        <v>3901</v>
      </c>
      <c r="G4649" t="s">
        <v>52</v>
      </c>
      <c r="H4649" t="s">
        <v>53</v>
      </c>
      <c r="I4649" t="s">
        <v>53</v>
      </c>
      <c r="J4649" t="s">
        <v>53</v>
      </c>
      <c r="K4649" t="s">
        <v>53</v>
      </c>
      <c r="L4649" t="s">
        <v>53</v>
      </c>
      <c r="M4649" t="s">
        <v>53</v>
      </c>
      <c r="N4649" t="s">
        <v>53</v>
      </c>
      <c r="O4649" t="s">
        <v>53</v>
      </c>
      <c r="P4649" t="s">
        <v>53</v>
      </c>
      <c r="Q4649" t="s">
        <v>53</v>
      </c>
    </row>
    <row r="4650" spans="1:17" x14ac:dyDescent="0.2">
      <c r="A4650" s="30" t="str">
        <f>IF(C4650&amp;G4650&amp;D4650&lt;&gt;'Funnel setup'!$K$3&amp;'Funnel setup'!$K$4&amp;'Funnel setup'!$K$5,".",IF(A4649=".",1,A4649+1))</f>
        <v>.</v>
      </c>
      <c r="B4650" s="431" t="str">
        <f t="shared" si="72"/>
        <v>Knee Replacement PrimaryProviderFRIMLEY HEALTH NHS FOUNDATION TRUST (RDU)EQ-5D Index</v>
      </c>
      <c r="C4650" t="s">
        <v>249</v>
      </c>
      <c r="D4650" t="s">
        <v>1</v>
      </c>
      <c r="E4650" t="s">
        <v>3861</v>
      </c>
      <c r="F4650" t="s">
        <v>3862</v>
      </c>
      <c r="G4650" t="s">
        <v>52</v>
      </c>
      <c r="H4650">
        <v>436</v>
      </c>
      <c r="I4650">
        <v>0.48199999999999998</v>
      </c>
      <c r="J4650">
        <v>0.75800000000000001</v>
      </c>
      <c r="K4650">
        <v>0.27600000000000002</v>
      </c>
      <c r="L4650">
        <v>342</v>
      </c>
      <c r="M4650">
        <v>43</v>
      </c>
      <c r="N4650">
        <v>51</v>
      </c>
      <c r="O4650">
        <v>0.72799999999999998</v>
      </c>
      <c r="P4650">
        <v>0.30339722800000002</v>
      </c>
      <c r="Q4650">
        <v>0.20399999999999999</v>
      </c>
    </row>
    <row r="4651" spans="1:17" x14ac:dyDescent="0.2">
      <c r="A4651" s="30" t="str">
        <f>IF(C4651&amp;G4651&amp;D4651&lt;&gt;'Funnel setup'!$K$3&amp;'Funnel setup'!$K$4&amp;'Funnel setup'!$K$5,".",IF(A4650=".",1,A4650+1))</f>
        <v>.</v>
      </c>
      <c r="B4651" s="431" t="str">
        <f t="shared" si="72"/>
        <v>Knee Replacement PrimaryProviderFULWOOD HALL HOSPITAL (NVC07)EQ-5D Index</v>
      </c>
      <c r="C4651" t="s">
        <v>249</v>
      </c>
      <c r="D4651" t="s">
        <v>1</v>
      </c>
      <c r="E4651" t="s">
        <v>3864</v>
      </c>
      <c r="F4651" t="s">
        <v>3865</v>
      </c>
      <c r="G4651" t="s">
        <v>52</v>
      </c>
      <c r="H4651">
        <v>211</v>
      </c>
      <c r="I4651">
        <v>0.49099999999999999</v>
      </c>
      <c r="J4651">
        <v>0.78300000000000003</v>
      </c>
      <c r="K4651">
        <v>0.29199999999999998</v>
      </c>
      <c r="L4651">
        <v>169</v>
      </c>
      <c r="M4651">
        <v>24</v>
      </c>
      <c r="N4651">
        <v>18</v>
      </c>
      <c r="O4651">
        <v>0.753</v>
      </c>
      <c r="P4651">
        <v>0.32822743100000001</v>
      </c>
      <c r="Q4651">
        <v>0.184</v>
      </c>
    </row>
    <row r="4652" spans="1:17" x14ac:dyDescent="0.2">
      <c r="A4652" s="30" t="str">
        <f>IF(C4652&amp;G4652&amp;D4652&lt;&gt;'Funnel setup'!$K$3&amp;'Funnel setup'!$K$4&amp;'Funnel setup'!$K$5,".",IF(A4651=".",1,A4651+1))</f>
        <v>.</v>
      </c>
      <c r="B4652" s="431" t="str">
        <f t="shared" si="72"/>
        <v>Knee Replacement PrimaryProviderGATESHEAD HEALTH NHS FOUNDATION TRUST (RR7)EQ-5D Index</v>
      </c>
      <c r="C4652" t="s">
        <v>249</v>
      </c>
      <c r="D4652" t="s">
        <v>1</v>
      </c>
      <c r="E4652" t="s">
        <v>3867</v>
      </c>
      <c r="F4652" t="s">
        <v>3868</v>
      </c>
      <c r="G4652" t="s">
        <v>52</v>
      </c>
      <c r="H4652">
        <v>266</v>
      </c>
      <c r="I4652">
        <v>0.38700000000000001</v>
      </c>
      <c r="J4652">
        <v>0.71699999999999997</v>
      </c>
      <c r="K4652">
        <v>0.33</v>
      </c>
      <c r="L4652">
        <v>208</v>
      </c>
      <c r="M4652">
        <v>28</v>
      </c>
      <c r="N4652">
        <v>30</v>
      </c>
      <c r="O4652">
        <v>0.73499999999999999</v>
      </c>
      <c r="P4652">
        <v>0.309807791</v>
      </c>
      <c r="Q4652">
        <v>0.221</v>
      </c>
    </row>
    <row r="4653" spans="1:17" x14ac:dyDescent="0.2">
      <c r="A4653" s="30" t="str">
        <f>IF(C4653&amp;G4653&amp;D4653&lt;&gt;'Funnel setup'!$K$3&amp;'Funnel setup'!$K$4&amp;'Funnel setup'!$K$5,".",IF(A4652=".",1,A4652+1))</f>
        <v>.</v>
      </c>
      <c r="B4653" s="431" t="str">
        <f t="shared" si="72"/>
        <v>Knee Replacement PrimaryProviderGEORGE ELIOT HOSPITAL NHS TRUST (RLT)EQ-5D Index</v>
      </c>
      <c r="C4653" t="s">
        <v>249</v>
      </c>
      <c r="D4653" t="s">
        <v>1</v>
      </c>
      <c r="E4653" t="s">
        <v>3870</v>
      </c>
      <c r="F4653" t="s">
        <v>3871</v>
      </c>
      <c r="G4653" t="s">
        <v>52</v>
      </c>
      <c r="H4653">
        <v>49</v>
      </c>
      <c r="I4653">
        <v>0.34100000000000003</v>
      </c>
      <c r="J4653">
        <v>0.70499999999999996</v>
      </c>
      <c r="K4653">
        <v>0.36399999999999999</v>
      </c>
      <c r="L4653">
        <v>42</v>
      </c>
      <c r="M4653">
        <v>4</v>
      </c>
      <c r="N4653">
        <v>3</v>
      </c>
      <c r="O4653">
        <v>0.74399999999999999</v>
      </c>
      <c r="P4653">
        <v>0.31851537200000002</v>
      </c>
      <c r="Q4653">
        <v>0.223</v>
      </c>
    </row>
    <row r="4654" spans="1:17" x14ac:dyDescent="0.2">
      <c r="A4654" s="30" t="str">
        <f>IF(C4654&amp;G4654&amp;D4654&lt;&gt;'Funnel setup'!$K$3&amp;'Funnel setup'!$K$4&amp;'Funnel setup'!$K$5,".",IF(A4653=".",1,A4653+1))</f>
        <v>.</v>
      </c>
      <c r="B4654" s="431" t="str">
        <f t="shared" si="72"/>
        <v>Knee Replacement PrimaryProviderGLOUCESTERSHIRE HOSPITALS NHS FOUNDATION TRUST (RTE)EQ-5D Index</v>
      </c>
      <c r="C4654" t="s">
        <v>249</v>
      </c>
      <c r="D4654" t="s">
        <v>1</v>
      </c>
      <c r="E4654" t="s">
        <v>3873</v>
      </c>
      <c r="F4654" t="s">
        <v>3874</v>
      </c>
      <c r="G4654" t="s">
        <v>52</v>
      </c>
      <c r="H4654">
        <v>312</v>
      </c>
      <c r="I4654">
        <v>0.45800000000000002</v>
      </c>
      <c r="J4654">
        <v>0.77400000000000002</v>
      </c>
      <c r="K4654">
        <v>0.316</v>
      </c>
      <c r="L4654">
        <v>253</v>
      </c>
      <c r="M4654">
        <v>34</v>
      </c>
      <c r="N4654">
        <v>25</v>
      </c>
      <c r="O4654">
        <v>0.747</v>
      </c>
      <c r="P4654">
        <v>0.32203377100000002</v>
      </c>
      <c r="Q4654">
        <v>0.20899999999999999</v>
      </c>
    </row>
    <row r="4655" spans="1:17" x14ac:dyDescent="0.2">
      <c r="A4655" s="30" t="str">
        <f>IF(C4655&amp;G4655&amp;D4655&lt;&gt;'Funnel setup'!$K$3&amp;'Funnel setup'!$K$4&amp;'Funnel setup'!$K$5,".",IF(A4654=".",1,A4654+1))</f>
        <v>.</v>
      </c>
      <c r="B4655" s="431" t="str">
        <f t="shared" si="72"/>
        <v>Knee Replacement PrimaryProviderGREAT WESTERN HOSPITALS NHS FOUNDATION TRUST (RN3)EQ-5D Index</v>
      </c>
      <c r="C4655" t="s">
        <v>249</v>
      </c>
      <c r="D4655" t="s">
        <v>1</v>
      </c>
      <c r="E4655" t="s">
        <v>3876</v>
      </c>
      <c r="F4655" t="s">
        <v>3877</v>
      </c>
      <c r="G4655" t="s">
        <v>52</v>
      </c>
      <c r="H4655">
        <v>203</v>
      </c>
      <c r="I4655">
        <v>0.42099999999999999</v>
      </c>
      <c r="J4655">
        <v>0.75600000000000001</v>
      </c>
      <c r="K4655">
        <v>0.33500000000000002</v>
      </c>
      <c r="L4655">
        <v>166</v>
      </c>
      <c r="M4655">
        <v>16</v>
      </c>
      <c r="N4655">
        <v>21</v>
      </c>
      <c r="O4655">
        <v>0.748</v>
      </c>
      <c r="P4655">
        <v>0.32286626000000002</v>
      </c>
      <c r="Q4655">
        <v>0.24</v>
      </c>
    </row>
    <row r="4656" spans="1:17" x14ac:dyDescent="0.2">
      <c r="A4656" s="30" t="str">
        <f>IF(C4656&amp;G4656&amp;D4656&lt;&gt;'Funnel setup'!$K$3&amp;'Funnel setup'!$K$4&amp;'Funnel setup'!$K$5,".",IF(A4655=".",1,A4655+1))</f>
        <v>.</v>
      </c>
      <c r="B4656" s="431" t="str">
        <f t="shared" si="72"/>
        <v>Knee Replacement PrimaryProviderGUY'S AND ST THOMAS' NHS FOUNDATION TRUST (RJ1)EQ-5D Index</v>
      </c>
      <c r="C4656" t="s">
        <v>249</v>
      </c>
      <c r="D4656" t="s">
        <v>1</v>
      </c>
      <c r="E4656" t="s">
        <v>3879</v>
      </c>
      <c r="F4656" t="s">
        <v>3880</v>
      </c>
      <c r="G4656" t="s">
        <v>52</v>
      </c>
      <c r="H4656">
        <v>102</v>
      </c>
      <c r="I4656">
        <v>0.29099999999999998</v>
      </c>
      <c r="J4656">
        <v>0.63200000000000001</v>
      </c>
      <c r="K4656">
        <v>0.34</v>
      </c>
      <c r="L4656">
        <v>87</v>
      </c>
      <c r="M4656">
        <v>7</v>
      </c>
      <c r="N4656">
        <v>8</v>
      </c>
      <c r="O4656">
        <v>0.69099999999999995</v>
      </c>
      <c r="P4656">
        <v>0.26586160599999997</v>
      </c>
      <c r="Q4656">
        <v>0.26400000000000001</v>
      </c>
    </row>
    <row r="4657" spans="1:17" x14ac:dyDescent="0.2">
      <c r="A4657" s="30" t="str">
        <f>IF(C4657&amp;G4657&amp;D4657&lt;&gt;'Funnel setup'!$K$3&amp;'Funnel setup'!$K$4&amp;'Funnel setup'!$K$5,".",IF(A4656=".",1,A4656+1))</f>
        <v>.</v>
      </c>
      <c r="B4657" s="431" t="str">
        <f t="shared" si="72"/>
        <v>Knee Replacement PrimaryProviderHAMPSHIRE HOSPITALS NHS FOUNDATION TRUST (RN5)EQ-5D Index</v>
      </c>
      <c r="C4657" t="s">
        <v>249</v>
      </c>
      <c r="D4657" t="s">
        <v>1</v>
      </c>
      <c r="E4657" t="s">
        <v>3882</v>
      </c>
      <c r="F4657" t="s">
        <v>3883</v>
      </c>
      <c r="G4657" t="s">
        <v>52</v>
      </c>
      <c r="H4657">
        <v>259</v>
      </c>
      <c r="I4657">
        <v>0.49199999999999999</v>
      </c>
      <c r="J4657">
        <v>0.76900000000000002</v>
      </c>
      <c r="K4657">
        <v>0.27700000000000002</v>
      </c>
      <c r="L4657">
        <v>213</v>
      </c>
      <c r="M4657">
        <v>22</v>
      </c>
      <c r="N4657">
        <v>24</v>
      </c>
      <c r="O4657">
        <v>0.74</v>
      </c>
      <c r="P4657">
        <v>0.31535203699999997</v>
      </c>
      <c r="Q4657">
        <v>0.2</v>
      </c>
    </row>
    <row r="4658" spans="1:17" x14ac:dyDescent="0.2">
      <c r="A4658" s="30" t="str">
        <f>IF(C4658&amp;G4658&amp;D4658&lt;&gt;'Funnel setup'!$K$3&amp;'Funnel setup'!$K$4&amp;'Funnel setup'!$K$5,".",IF(A4657=".",1,A4657+1))</f>
        <v>.</v>
      </c>
      <c r="B4658" s="431" t="str">
        <f t="shared" si="72"/>
        <v>Knee Replacement PrimaryProviderHARROGATE AND DISTRICT NHS FOUNDATION TRUST (RCD)EQ-5D Index</v>
      </c>
      <c r="C4658" t="s">
        <v>249</v>
      </c>
      <c r="D4658" t="s">
        <v>1</v>
      </c>
      <c r="E4658" t="s">
        <v>3885</v>
      </c>
      <c r="F4658" t="s">
        <v>3886</v>
      </c>
      <c r="G4658" t="s">
        <v>52</v>
      </c>
      <c r="H4658">
        <v>208</v>
      </c>
      <c r="I4658">
        <v>0.52400000000000002</v>
      </c>
      <c r="J4658">
        <v>0.77500000000000002</v>
      </c>
      <c r="K4658">
        <v>0.251</v>
      </c>
      <c r="L4658">
        <v>164</v>
      </c>
      <c r="M4658">
        <v>22</v>
      </c>
      <c r="N4658">
        <v>22</v>
      </c>
      <c r="O4658">
        <v>0.72899999999999998</v>
      </c>
      <c r="P4658">
        <v>0.30446725600000002</v>
      </c>
      <c r="Q4658">
        <v>0.21</v>
      </c>
    </row>
    <row r="4659" spans="1:17" x14ac:dyDescent="0.2">
      <c r="A4659" s="30" t="str">
        <f>IF(C4659&amp;G4659&amp;D4659&lt;&gt;'Funnel setup'!$K$3&amp;'Funnel setup'!$K$4&amp;'Funnel setup'!$K$5,".",IF(A4658=".",1,A4658+1))</f>
        <v>.</v>
      </c>
      <c r="B4659" s="431" t="str">
        <f t="shared" si="72"/>
        <v>Knee Replacement PrimaryProviderHEART OF ENGLAND NHS FOUNDATION TRUST (RR1)EQ-5D Index</v>
      </c>
      <c r="C4659" t="s">
        <v>249</v>
      </c>
      <c r="D4659" t="s">
        <v>1</v>
      </c>
      <c r="E4659" t="s">
        <v>3888</v>
      </c>
      <c r="F4659" t="s">
        <v>3889</v>
      </c>
      <c r="G4659" t="s">
        <v>52</v>
      </c>
      <c r="H4659">
        <v>481</v>
      </c>
      <c r="I4659">
        <v>0.38100000000000001</v>
      </c>
      <c r="J4659">
        <v>0.68899999999999995</v>
      </c>
      <c r="K4659">
        <v>0.307</v>
      </c>
      <c r="L4659">
        <v>381</v>
      </c>
      <c r="M4659">
        <v>44</v>
      </c>
      <c r="N4659">
        <v>56</v>
      </c>
      <c r="O4659">
        <v>0.72</v>
      </c>
      <c r="P4659">
        <v>0.29548739699999998</v>
      </c>
      <c r="Q4659">
        <v>0.245</v>
      </c>
    </row>
    <row r="4660" spans="1:17" x14ac:dyDescent="0.2">
      <c r="A4660" s="30" t="str">
        <f>IF(C4660&amp;G4660&amp;D4660&lt;&gt;'Funnel setup'!$K$3&amp;'Funnel setup'!$K$4&amp;'Funnel setup'!$K$5,".",IF(A4659=".",1,A4659+1))</f>
        <v>.</v>
      </c>
      <c r="B4660" s="431" t="str">
        <f t="shared" si="72"/>
        <v>Knee Replacement PrimaryProviderHINCHINGBROOKE HEALTH CARE NHS TRUST (RQQ)EQ-5D Index</v>
      </c>
      <c r="C4660" t="s">
        <v>249</v>
      </c>
      <c r="D4660" t="s">
        <v>1</v>
      </c>
      <c r="E4660" t="s">
        <v>3894</v>
      </c>
      <c r="F4660" t="s">
        <v>3895</v>
      </c>
      <c r="G4660" t="s">
        <v>52</v>
      </c>
      <c r="H4660">
        <v>176</v>
      </c>
      <c r="I4660">
        <v>0.36899999999999999</v>
      </c>
      <c r="J4660">
        <v>0.752</v>
      </c>
      <c r="K4660">
        <v>0.38200000000000001</v>
      </c>
      <c r="L4660">
        <v>154</v>
      </c>
      <c r="M4660">
        <v>12</v>
      </c>
      <c r="N4660">
        <v>10</v>
      </c>
      <c r="O4660">
        <v>0.755</v>
      </c>
      <c r="P4660">
        <v>0.330136553</v>
      </c>
      <c r="Q4660">
        <v>0.21199999999999999</v>
      </c>
    </row>
    <row r="4661" spans="1:17" x14ac:dyDescent="0.2">
      <c r="A4661" s="30" t="str">
        <f>IF(C4661&amp;G4661&amp;D4661&lt;&gt;'Funnel setup'!$K$3&amp;'Funnel setup'!$K$4&amp;'Funnel setup'!$K$5,".",IF(A4660=".",1,A4660+1))</f>
        <v>.</v>
      </c>
      <c r="B4661" s="431" t="str">
        <f t="shared" si="72"/>
        <v>Knee Replacement PrimaryProviderHOMERTON UNIVERSITY HOSPITAL NHS FOUNDATION TRUST (RQX)EQ-5D Index</v>
      </c>
      <c r="C4661" t="s">
        <v>249</v>
      </c>
      <c r="D4661" t="s">
        <v>1</v>
      </c>
      <c r="E4661" t="s">
        <v>3897</v>
      </c>
      <c r="F4661" t="s">
        <v>3898</v>
      </c>
      <c r="G4661" t="s">
        <v>52</v>
      </c>
      <c r="H4661">
        <v>52</v>
      </c>
      <c r="I4661">
        <v>0.34599999999999997</v>
      </c>
      <c r="J4661">
        <v>0.55700000000000005</v>
      </c>
      <c r="K4661">
        <v>0.21099999999999999</v>
      </c>
      <c r="L4661">
        <v>29</v>
      </c>
      <c r="M4661">
        <v>6</v>
      </c>
      <c r="N4661">
        <v>17</v>
      </c>
      <c r="O4661">
        <v>0.65400000000000003</v>
      </c>
      <c r="P4661">
        <v>0.22909823600000001</v>
      </c>
      <c r="Q4661">
        <v>0.28100000000000003</v>
      </c>
    </row>
    <row r="4662" spans="1:17" x14ac:dyDescent="0.2">
      <c r="A4662" s="30" t="str">
        <f>IF(C4662&amp;G4662&amp;D4662&lt;&gt;'Funnel setup'!$K$3&amp;'Funnel setup'!$K$4&amp;'Funnel setup'!$K$5,".",IF(A4661=".",1,A4661+1))</f>
        <v>.</v>
      </c>
      <c r="B4662" s="431" t="str">
        <f t="shared" si="72"/>
        <v>Knee Replacement PrimaryProviderHORTON NHS TREATMENT CENTRE (NVC25)EQ-5D Index</v>
      </c>
      <c r="C4662" t="s">
        <v>249</v>
      </c>
      <c r="D4662" t="s">
        <v>1</v>
      </c>
      <c r="E4662" t="s">
        <v>4553</v>
      </c>
      <c r="F4662" t="s">
        <v>4554</v>
      </c>
      <c r="G4662" t="s">
        <v>52</v>
      </c>
      <c r="H4662">
        <v>148</v>
      </c>
      <c r="I4662">
        <v>0.47699999999999998</v>
      </c>
      <c r="J4662">
        <v>0.81100000000000005</v>
      </c>
      <c r="K4662">
        <v>0.33400000000000002</v>
      </c>
      <c r="L4662">
        <v>124</v>
      </c>
      <c r="M4662">
        <v>11</v>
      </c>
      <c r="N4662">
        <v>13</v>
      </c>
      <c r="O4662">
        <v>0.76500000000000001</v>
      </c>
      <c r="P4662">
        <v>0.33985639200000001</v>
      </c>
      <c r="Q4662">
        <v>0.21299999999999999</v>
      </c>
    </row>
    <row r="4663" spans="1:17" x14ac:dyDescent="0.2">
      <c r="A4663" s="30" t="str">
        <f>IF(C4663&amp;G4663&amp;D4663&lt;&gt;'Funnel setup'!$K$3&amp;'Funnel setup'!$K$4&amp;'Funnel setup'!$K$5,".",IF(A4662=".",1,A4662+1))</f>
        <v>.</v>
      </c>
      <c r="B4663" s="431" t="str">
        <f t="shared" si="72"/>
        <v>Knee Replacement PrimaryProviderHULL AND EAST YORKSHIRE HOSPITALS NHS TRUST (RWA)EQ-5D Index</v>
      </c>
      <c r="C4663" t="s">
        <v>249</v>
      </c>
      <c r="D4663" t="s">
        <v>1</v>
      </c>
      <c r="E4663" t="s">
        <v>3906</v>
      </c>
      <c r="F4663" t="s">
        <v>3907</v>
      </c>
      <c r="G4663" t="s">
        <v>52</v>
      </c>
      <c r="H4663">
        <v>263</v>
      </c>
      <c r="I4663">
        <v>0.40400000000000003</v>
      </c>
      <c r="J4663">
        <v>0.71599999999999997</v>
      </c>
      <c r="K4663">
        <v>0.312</v>
      </c>
      <c r="L4663">
        <v>211</v>
      </c>
      <c r="M4663">
        <v>21</v>
      </c>
      <c r="N4663">
        <v>31</v>
      </c>
      <c r="O4663">
        <v>0.72899999999999998</v>
      </c>
      <c r="P4663">
        <v>0.304232061</v>
      </c>
      <c r="Q4663">
        <v>0.24299999999999999</v>
      </c>
    </row>
    <row r="4664" spans="1:17" x14ac:dyDescent="0.2">
      <c r="A4664" s="30" t="str">
        <f>IF(C4664&amp;G4664&amp;D4664&lt;&gt;'Funnel setup'!$K$3&amp;'Funnel setup'!$K$4&amp;'Funnel setup'!$K$5,".",IF(A4663=".",1,A4663+1))</f>
        <v>.</v>
      </c>
      <c r="B4664" s="431" t="str">
        <f t="shared" si="72"/>
        <v>Knee Replacement PrimaryProviderIMPERIAL COLLEGE HEALTHCARE NHS TRUST (RYJ)EQ-5D Index</v>
      </c>
      <c r="C4664" t="s">
        <v>249</v>
      </c>
      <c r="D4664" t="s">
        <v>1</v>
      </c>
      <c r="E4664" t="s">
        <v>4558</v>
      </c>
      <c r="F4664" t="s">
        <v>4559</v>
      </c>
      <c r="G4664" t="s">
        <v>52</v>
      </c>
      <c r="H4664">
        <v>62</v>
      </c>
      <c r="I4664">
        <v>0.29899999999999999</v>
      </c>
      <c r="J4664">
        <v>0.67400000000000004</v>
      </c>
      <c r="K4664">
        <v>0.375</v>
      </c>
      <c r="L4664">
        <v>51</v>
      </c>
      <c r="M4664">
        <v>3</v>
      </c>
      <c r="N4664">
        <v>8</v>
      </c>
      <c r="O4664">
        <v>0.747</v>
      </c>
      <c r="P4664">
        <v>0.32248068200000002</v>
      </c>
      <c r="Q4664">
        <v>0.255</v>
      </c>
    </row>
    <row r="4665" spans="1:17" x14ac:dyDescent="0.2">
      <c r="A4665" s="30" t="str">
        <f>IF(C4665&amp;G4665&amp;D4665&lt;&gt;'Funnel setup'!$K$3&amp;'Funnel setup'!$K$4&amp;'Funnel setup'!$K$5,".",IF(A4664=".",1,A4664+1))</f>
        <v>.</v>
      </c>
      <c r="B4665" s="431" t="str">
        <f t="shared" si="72"/>
        <v>Knee Replacement PrimaryProviderIPSWICH HOSPITAL NHS TRUST (RGQ)EQ-5D Index</v>
      </c>
      <c r="C4665" t="s">
        <v>249</v>
      </c>
      <c r="D4665" t="s">
        <v>1</v>
      </c>
      <c r="E4665" t="s">
        <v>3909</v>
      </c>
      <c r="F4665" t="s">
        <v>3910</v>
      </c>
      <c r="G4665" t="s">
        <v>52</v>
      </c>
      <c r="H4665">
        <v>107</v>
      </c>
      <c r="I4665">
        <v>0.39900000000000002</v>
      </c>
      <c r="J4665">
        <v>0.79800000000000004</v>
      </c>
      <c r="K4665">
        <v>0.39900000000000002</v>
      </c>
      <c r="L4665">
        <v>96</v>
      </c>
      <c r="M4665">
        <v>6</v>
      </c>
      <c r="N4665">
        <v>5</v>
      </c>
      <c r="O4665">
        <v>0.78900000000000003</v>
      </c>
      <c r="P4665">
        <v>0.36449510000000002</v>
      </c>
      <c r="Q4665">
        <v>0.21</v>
      </c>
    </row>
    <row r="4666" spans="1:17" x14ac:dyDescent="0.2">
      <c r="A4666" s="30" t="str">
        <f>IF(C4666&amp;G4666&amp;D4666&lt;&gt;'Funnel setup'!$K$3&amp;'Funnel setup'!$K$4&amp;'Funnel setup'!$K$5,".",IF(A4665=".",1,A4665+1))</f>
        <v>.</v>
      </c>
      <c r="B4666" s="431" t="str">
        <f t="shared" si="72"/>
        <v>Knee Replacement PrimaryProviderISLE OF WIGHT NHS TRUST (R1F)EQ-5D Index</v>
      </c>
      <c r="C4666" t="s">
        <v>249</v>
      </c>
      <c r="D4666" t="s">
        <v>1</v>
      </c>
      <c r="E4666" t="s">
        <v>3912</v>
      </c>
      <c r="F4666" t="s">
        <v>3913</v>
      </c>
      <c r="G4666" t="s">
        <v>52</v>
      </c>
      <c r="H4666">
        <v>84</v>
      </c>
      <c r="I4666">
        <v>0.45300000000000001</v>
      </c>
      <c r="J4666">
        <v>0.71899999999999997</v>
      </c>
      <c r="K4666">
        <v>0.26600000000000001</v>
      </c>
      <c r="L4666">
        <v>70</v>
      </c>
      <c r="M4666">
        <v>3</v>
      </c>
      <c r="N4666">
        <v>11</v>
      </c>
      <c r="O4666">
        <v>0.72699999999999998</v>
      </c>
      <c r="P4666">
        <v>0.30184301000000002</v>
      </c>
      <c r="Q4666">
        <v>0.248</v>
      </c>
    </row>
    <row r="4667" spans="1:17" x14ac:dyDescent="0.2">
      <c r="A4667" s="30" t="str">
        <f>IF(C4667&amp;G4667&amp;D4667&lt;&gt;'Funnel setup'!$K$3&amp;'Funnel setup'!$K$4&amp;'Funnel setup'!$K$5,".",IF(A4666=".",1,A4666+1))</f>
        <v>.</v>
      </c>
      <c r="B4667" s="431" t="str">
        <f t="shared" si="72"/>
        <v>Knee Replacement PrimaryProviderJAMES PAGET UNIVERSITY HOSPITALS NHS FOUNDATION TRUST (RGP)EQ-5D Index</v>
      </c>
      <c r="C4667" t="s">
        <v>249</v>
      </c>
      <c r="D4667" t="s">
        <v>1</v>
      </c>
      <c r="E4667" t="s">
        <v>3915</v>
      </c>
      <c r="F4667" t="s">
        <v>3916</v>
      </c>
      <c r="G4667" t="s">
        <v>52</v>
      </c>
      <c r="H4667">
        <v>165</v>
      </c>
      <c r="I4667">
        <v>0.42099999999999999</v>
      </c>
      <c r="J4667">
        <v>0.74399999999999999</v>
      </c>
      <c r="K4667">
        <v>0.32300000000000001</v>
      </c>
      <c r="L4667">
        <v>133</v>
      </c>
      <c r="M4667">
        <v>21</v>
      </c>
      <c r="N4667">
        <v>11</v>
      </c>
      <c r="O4667">
        <v>0.752</v>
      </c>
      <c r="P4667">
        <v>0.327413764</v>
      </c>
      <c r="Q4667">
        <v>0.217</v>
      </c>
    </row>
    <row r="4668" spans="1:17" x14ac:dyDescent="0.2">
      <c r="A4668" s="30" t="str">
        <f>IF(C4668&amp;G4668&amp;D4668&lt;&gt;'Funnel setup'!$K$3&amp;'Funnel setup'!$K$4&amp;'Funnel setup'!$K$5,".",IF(A4667=".",1,A4667+1))</f>
        <v>.</v>
      </c>
      <c r="B4668" s="431" t="str">
        <f t="shared" si="72"/>
        <v>Knee Replacement PrimaryProviderKETTERING GENERAL HOSPITAL NHS FOUNDATION TRUST (RNQ)EQ-5D Index</v>
      </c>
      <c r="C4668" t="s">
        <v>249</v>
      </c>
      <c r="D4668" t="s">
        <v>1</v>
      </c>
      <c r="E4668" t="s">
        <v>3918</v>
      </c>
      <c r="F4668" t="s">
        <v>3919</v>
      </c>
      <c r="G4668" t="s">
        <v>52</v>
      </c>
      <c r="H4668">
        <v>92</v>
      </c>
      <c r="I4668">
        <v>0.42899999999999999</v>
      </c>
      <c r="J4668">
        <v>0.745</v>
      </c>
      <c r="K4668">
        <v>0.316</v>
      </c>
      <c r="L4668">
        <v>75</v>
      </c>
      <c r="M4668">
        <v>9</v>
      </c>
      <c r="N4668">
        <v>8</v>
      </c>
      <c r="O4668">
        <v>0.76700000000000002</v>
      </c>
      <c r="P4668">
        <v>0.34180048200000002</v>
      </c>
      <c r="Q4668">
        <v>0.23599999999999999</v>
      </c>
    </row>
    <row r="4669" spans="1:17" x14ac:dyDescent="0.2">
      <c r="A4669" s="30" t="str">
        <f>IF(C4669&amp;G4669&amp;D4669&lt;&gt;'Funnel setup'!$K$3&amp;'Funnel setup'!$K$4&amp;'Funnel setup'!$K$5,".",IF(A4668=".",1,A4668+1))</f>
        <v>.</v>
      </c>
      <c r="B4669" s="431" t="str">
        <f t="shared" si="72"/>
        <v>Knee Replacement PrimaryProviderKING'S COLLEGE HOSPITAL NHS FOUNDATION TRUST (RJZ)EQ-5D Index</v>
      </c>
      <c r="C4669" t="s">
        <v>249</v>
      </c>
      <c r="D4669" t="s">
        <v>1</v>
      </c>
      <c r="E4669" t="s">
        <v>3924</v>
      </c>
      <c r="F4669" t="s">
        <v>3925</v>
      </c>
      <c r="G4669" t="s">
        <v>52</v>
      </c>
      <c r="H4669">
        <v>138</v>
      </c>
      <c r="I4669">
        <v>0.39</v>
      </c>
      <c r="J4669">
        <v>0.70499999999999996</v>
      </c>
      <c r="K4669">
        <v>0.316</v>
      </c>
      <c r="L4669">
        <v>118</v>
      </c>
      <c r="M4669">
        <v>9</v>
      </c>
      <c r="N4669">
        <v>11</v>
      </c>
      <c r="O4669">
        <v>0.71299999999999997</v>
      </c>
      <c r="P4669">
        <v>0.28842910199999999</v>
      </c>
      <c r="Q4669">
        <v>0.22700000000000001</v>
      </c>
    </row>
    <row r="4670" spans="1:17" x14ac:dyDescent="0.2">
      <c r="A4670" s="30" t="str">
        <f>IF(C4670&amp;G4670&amp;D4670&lt;&gt;'Funnel setup'!$K$3&amp;'Funnel setup'!$K$4&amp;'Funnel setup'!$K$5,".",IF(A4669=".",1,A4669+1))</f>
        <v>.</v>
      </c>
      <c r="B4670" s="431" t="str">
        <f t="shared" si="72"/>
        <v>Knee Replacement PrimaryProviderLANCASHIRE TEACHING HOSPITALS NHS FOUNDATION TRUST (RXN)EQ-5D Index</v>
      </c>
      <c r="C4670" t="s">
        <v>249</v>
      </c>
      <c r="D4670" t="s">
        <v>1</v>
      </c>
      <c r="E4670" t="s">
        <v>3567</v>
      </c>
      <c r="F4670" t="s">
        <v>3568</v>
      </c>
      <c r="G4670" t="s">
        <v>52</v>
      </c>
      <c r="H4670">
        <v>216</v>
      </c>
      <c r="I4670">
        <v>0.41099999999999998</v>
      </c>
      <c r="J4670">
        <v>0.73399999999999999</v>
      </c>
      <c r="K4670">
        <v>0.32400000000000001</v>
      </c>
      <c r="L4670">
        <v>180</v>
      </c>
      <c r="M4670">
        <v>12</v>
      </c>
      <c r="N4670">
        <v>24</v>
      </c>
      <c r="O4670">
        <v>0.749</v>
      </c>
      <c r="P4670">
        <v>0.323891969</v>
      </c>
      <c r="Q4670">
        <v>0.23300000000000001</v>
      </c>
    </row>
    <row r="4671" spans="1:17" x14ac:dyDescent="0.2">
      <c r="A4671" s="30" t="str">
        <f>IF(C4671&amp;G4671&amp;D4671&lt;&gt;'Funnel setup'!$K$3&amp;'Funnel setup'!$K$4&amp;'Funnel setup'!$K$5,".",IF(A4670=".",1,A4670+1))</f>
        <v>.</v>
      </c>
      <c r="B4671" s="431" t="str">
        <f t="shared" si="72"/>
        <v>Knee Replacement PrimaryProviderLEEDS TEACHING HOSPITALS NHS TRUST (RR8)EQ-5D Index</v>
      </c>
      <c r="C4671" t="s">
        <v>249</v>
      </c>
      <c r="D4671" t="s">
        <v>1</v>
      </c>
      <c r="E4671" t="s">
        <v>3930</v>
      </c>
      <c r="F4671" t="s">
        <v>344</v>
      </c>
      <c r="G4671" t="s">
        <v>52</v>
      </c>
      <c r="H4671">
        <v>257</v>
      </c>
      <c r="I4671">
        <v>0.39700000000000002</v>
      </c>
      <c r="J4671">
        <v>0.72599999999999998</v>
      </c>
      <c r="K4671">
        <v>0.32900000000000001</v>
      </c>
      <c r="L4671">
        <v>209</v>
      </c>
      <c r="M4671">
        <v>20</v>
      </c>
      <c r="N4671">
        <v>28</v>
      </c>
      <c r="O4671">
        <v>0.747</v>
      </c>
      <c r="P4671">
        <v>0.32151386599999998</v>
      </c>
      <c r="Q4671">
        <v>0.248</v>
      </c>
    </row>
    <row r="4672" spans="1:17" x14ac:dyDescent="0.2">
      <c r="A4672" s="30" t="str">
        <f>IF(C4672&amp;G4672&amp;D4672&lt;&gt;'Funnel setup'!$K$3&amp;'Funnel setup'!$K$4&amp;'Funnel setup'!$K$5,".",IF(A4671=".",1,A4671+1))</f>
        <v>.</v>
      </c>
      <c r="B4672" s="431" t="str">
        <f t="shared" si="72"/>
        <v>Knee Replacement PrimaryProviderLEWISHAM AND GREENWICH NHS TRUST (RJ2)EQ-5D Index</v>
      </c>
      <c r="C4672" t="s">
        <v>249</v>
      </c>
      <c r="D4672" t="s">
        <v>1</v>
      </c>
      <c r="E4672" t="s">
        <v>3522</v>
      </c>
      <c r="F4672" t="s">
        <v>3523</v>
      </c>
      <c r="G4672" t="s">
        <v>52</v>
      </c>
      <c r="H4672">
        <v>84</v>
      </c>
      <c r="I4672">
        <v>0.34699999999999998</v>
      </c>
      <c r="J4672">
        <v>0.67200000000000004</v>
      </c>
      <c r="K4672">
        <v>0.32400000000000001</v>
      </c>
      <c r="L4672">
        <v>70</v>
      </c>
      <c r="M4672">
        <v>4</v>
      </c>
      <c r="N4672">
        <v>10</v>
      </c>
      <c r="O4672">
        <v>0.72199999999999998</v>
      </c>
      <c r="P4672">
        <v>0.29693330600000001</v>
      </c>
      <c r="Q4672">
        <v>0.25900000000000001</v>
      </c>
    </row>
    <row r="4673" spans="1:17" x14ac:dyDescent="0.2">
      <c r="A4673" s="30" t="str">
        <f>IF(C4673&amp;G4673&amp;D4673&lt;&gt;'Funnel setup'!$K$3&amp;'Funnel setup'!$K$4&amp;'Funnel setup'!$K$5,".",IF(A4672=".",1,A4672+1))</f>
        <v>.</v>
      </c>
      <c r="B4673" s="431" t="str">
        <f t="shared" si="72"/>
        <v>Knee Replacement PrimaryProviderLONDON NORTH WEST HEALTHCARE NHS TRUST (R1K)EQ-5D Index</v>
      </c>
      <c r="C4673" t="s">
        <v>249</v>
      </c>
      <c r="D4673" t="s">
        <v>1</v>
      </c>
      <c r="E4673" t="s">
        <v>6515</v>
      </c>
      <c r="F4673" t="s">
        <v>6516</v>
      </c>
      <c r="G4673" t="s">
        <v>52</v>
      </c>
      <c r="H4673">
        <v>167</v>
      </c>
      <c r="I4673">
        <v>0.317</v>
      </c>
      <c r="J4673">
        <v>0.59299999999999997</v>
      </c>
      <c r="K4673">
        <v>0.27600000000000002</v>
      </c>
      <c r="L4673">
        <v>125</v>
      </c>
      <c r="M4673">
        <v>15</v>
      </c>
      <c r="N4673">
        <v>27</v>
      </c>
      <c r="O4673">
        <v>0.65</v>
      </c>
      <c r="P4673">
        <v>0.225053578</v>
      </c>
      <c r="Q4673">
        <v>0.27300000000000002</v>
      </c>
    </row>
    <row r="4674" spans="1:17" x14ac:dyDescent="0.2">
      <c r="A4674" s="30" t="str">
        <f>IF(C4674&amp;G4674&amp;D4674&lt;&gt;'Funnel setup'!$K$3&amp;'Funnel setup'!$K$4&amp;'Funnel setup'!$K$5,".",IF(A4673=".",1,A4673+1))</f>
        <v>.</v>
      </c>
      <c r="B4674" s="431" t="str">
        <f t="shared" si="72"/>
        <v>Knee Replacement PrimaryProviderLUTON AND DUNSTABLE UNIVERSITY HOSPITAL NHS FOUNDATION TRUST (RC9)EQ-5D Index</v>
      </c>
      <c r="C4674" t="s">
        <v>249</v>
      </c>
      <c r="D4674" t="s">
        <v>1</v>
      </c>
      <c r="E4674" t="s">
        <v>3528</v>
      </c>
      <c r="F4674" t="s">
        <v>3529</v>
      </c>
      <c r="G4674" t="s">
        <v>52</v>
      </c>
      <c r="H4674">
        <v>168</v>
      </c>
      <c r="I4674">
        <v>0.34499999999999997</v>
      </c>
      <c r="J4674">
        <v>0.69199999999999995</v>
      </c>
      <c r="K4674">
        <v>0.34699999999999998</v>
      </c>
      <c r="L4674">
        <v>141</v>
      </c>
      <c r="M4674">
        <v>12</v>
      </c>
      <c r="N4674">
        <v>15</v>
      </c>
      <c r="O4674">
        <v>0.72499999999999998</v>
      </c>
      <c r="P4674">
        <v>0.29966932400000001</v>
      </c>
      <c r="Q4674">
        <v>0.23599999999999999</v>
      </c>
    </row>
    <row r="4675" spans="1:17" x14ac:dyDescent="0.2">
      <c r="A4675" s="30" t="str">
        <f>IF(C4675&amp;G4675&amp;D4675&lt;&gt;'Funnel setup'!$K$3&amp;'Funnel setup'!$K$4&amp;'Funnel setup'!$K$5,".",IF(A4674=".",1,A4674+1))</f>
        <v>.</v>
      </c>
      <c r="B4675" s="431" t="str">
        <f t="shared" ref="B4675:B4738" si="73">C4675&amp;D4675&amp;F4675&amp;G4675</f>
        <v>Knee Replacement PrimaryProviderMAIDSTONE AND TUNBRIDGE WELLS NHS TRUST (RWF)EQ-5D Index</v>
      </c>
      <c r="C4675" t="s">
        <v>249</v>
      </c>
      <c r="D4675" t="s">
        <v>1</v>
      </c>
      <c r="E4675" t="s">
        <v>3627</v>
      </c>
      <c r="F4675" t="s">
        <v>3628</v>
      </c>
      <c r="G4675" t="s">
        <v>52</v>
      </c>
      <c r="H4675">
        <v>181</v>
      </c>
      <c r="I4675">
        <v>0.48199999999999998</v>
      </c>
      <c r="J4675">
        <v>0.77900000000000003</v>
      </c>
      <c r="K4675">
        <v>0.29699999999999999</v>
      </c>
      <c r="L4675">
        <v>152</v>
      </c>
      <c r="M4675">
        <v>12</v>
      </c>
      <c r="N4675">
        <v>17</v>
      </c>
      <c r="O4675">
        <v>0.746</v>
      </c>
      <c r="P4675">
        <v>0.32130851700000002</v>
      </c>
      <c r="Q4675">
        <v>0.20799999999999999</v>
      </c>
    </row>
    <row r="4676" spans="1:17" x14ac:dyDescent="0.2">
      <c r="A4676" s="30" t="str">
        <f>IF(C4676&amp;G4676&amp;D4676&lt;&gt;'Funnel setup'!$K$3&amp;'Funnel setup'!$K$4&amp;'Funnel setup'!$K$5,".",IF(A4675=".",1,A4675+1))</f>
        <v>.</v>
      </c>
      <c r="B4676" s="431" t="str">
        <f t="shared" si="73"/>
        <v>Knee Replacement PrimaryProviderMEDWAY NHS FOUNDATION TRUST (RPA)EQ-5D Index</v>
      </c>
      <c r="C4676" t="s">
        <v>249</v>
      </c>
      <c r="D4676" t="s">
        <v>1</v>
      </c>
      <c r="E4676" t="s">
        <v>3630</v>
      </c>
      <c r="F4676" t="s">
        <v>3631</v>
      </c>
      <c r="G4676" t="s">
        <v>52</v>
      </c>
      <c r="H4676">
        <v>129</v>
      </c>
      <c r="I4676">
        <v>0.35299999999999998</v>
      </c>
      <c r="J4676">
        <v>0.71799999999999997</v>
      </c>
      <c r="K4676">
        <v>0.36599999999999999</v>
      </c>
      <c r="L4676">
        <v>109</v>
      </c>
      <c r="M4676">
        <v>6</v>
      </c>
      <c r="N4676">
        <v>14</v>
      </c>
      <c r="O4676">
        <v>0.753</v>
      </c>
      <c r="P4676">
        <v>0.32803203600000003</v>
      </c>
      <c r="Q4676">
        <v>0.23699999999999999</v>
      </c>
    </row>
    <row r="4677" spans="1:17" x14ac:dyDescent="0.2">
      <c r="A4677" s="30" t="str">
        <f>IF(C4677&amp;G4677&amp;D4677&lt;&gt;'Funnel setup'!$K$3&amp;'Funnel setup'!$K$4&amp;'Funnel setup'!$K$5,".",IF(A4676=".",1,A4676+1))</f>
        <v>.</v>
      </c>
      <c r="B4677" s="431" t="str">
        <f t="shared" si="73"/>
        <v>Knee Replacement PrimaryProviderMID CHESHIRE HOSPITALS NHS FOUNDATION TRUST (RBT)EQ-5D Index</v>
      </c>
      <c r="C4677" t="s">
        <v>249</v>
      </c>
      <c r="D4677" t="s">
        <v>1</v>
      </c>
      <c r="E4677" t="s">
        <v>3633</v>
      </c>
      <c r="F4677" t="s">
        <v>342</v>
      </c>
      <c r="G4677" t="s">
        <v>52</v>
      </c>
      <c r="H4677">
        <v>154</v>
      </c>
      <c r="I4677">
        <v>0.55700000000000005</v>
      </c>
      <c r="J4677">
        <v>0.76800000000000002</v>
      </c>
      <c r="K4677">
        <v>0.21099999999999999</v>
      </c>
      <c r="L4677">
        <v>108</v>
      </c>
      <c r="M4677">
        <v>25</v>
      </c>
      <c r="N4677">
        <v>21</v>
      </c>
      <c r="O4677">
        <v>0.70899999999999996</v>
      </c>
      <c r="P4677">
        <v>0.28436397899999999</v>
      </c>
      <c r="Q4677">
        <v>0.19600000000000001</v>
      </c>
    </row>
    <row r="4678" spans="1:17" x14ac:dyDescent="0.2">
      <c r="A4678" s="30" t="str">
        <f>IF(C4678&amp;G4678&amp;D4678&lt;&gt;'Funnel setup'!$K$3&amp;'Funnel setup'!$K$4&amp;'Funnel setup'!$K$5,".",IF(A4677=".",1,A4677+1))</f>
        <v>.</v>
      </c>
      <c r="B4678" s="431" t="str">
        <f t="shared" si="73"/>
        <v>Knee Replacement PrimaryProviderMID ESSEX HOSPITAL SERVICES NHS TRUST (RQ8)EQ-5D Index</v>
      </c>
      <c r="C4678" t="s">
        <v>249</v>
      </c>
      <c r="D4678" t="s">
        <v>1</v>
      </c>
      <c r="E4678" t="s">
        <v>3635</v>
      </c>
      <c r="F4678" t="s">
        <v>3636</v>
      </c>
      <c r="G4678" t="s">
        <v>52</v>
      </c>
      <c r="H4678">
        <v>164</v>
      </c>
      <c r="I4678">
        <v>0.27700000000000002</v>
      </c>
      <c r="J4678">
        <v>0.69499999999999995</v>
      </c>
      <c r="K4678">
        <v>0.41799999999999998</v>
      </c>
      <c r="L4678">
        <v>142</v>
      </c>
      <c r="M4678">
        <v>9</v>
      </c>
      <c r="N4678">
        <v>13</v>
      </c>
      <c r="O4678">
        <v>0.71199999999999997</v>
      </c>
      <c r="P4678">
        <v>0.28653800899999998</v>
      </c>
      <c r="Q4678">
        <v>0.251</v>
      </c>
    </row>
    <row r="4679" spans="1:17" x14ac:dyDescent="0.2">
      <c r="A4679" s="30" t="str">
        <f>IF(C4679&amp;G4679&amp;D4679&lt;&gt;'Funnel setup'!$K$3&amp;'Funnel setup'!$K$4&amp;'Funnel setup'!$K$5,".",IF(A4678=".",1,A4678+1))</f>
        <v>.</v>
      </c>
      <c r="B4679" s="431" t="str">
        <f t="shared" si="73"/>
        <v>Knee Replacement PrimaryProviderMID STAFFORDSHIRE NHS FOUNDATION TRUST (RJD)EQ-5D Index</v>
      </c>
      <c r="C4679" t="s">
        <v>249</v>
      </c>
      <c r="D4679" t="s">
        <v>1</v>
      </c>
      <c r="E4679" t="s">
        <v>3638</v>
      </c>
      <c r="F4679" t="s">
        <v>3639</v>
      </c>
      <c r="G4679" t="s">
        <v>52</v>
      </c>
      <c r="H4679">
        <v>121</v>
      </c>
      <c r="I4679">
        <v>0.42299999999999999</v>
      </c>
      <c r="J4679">
        <v>0.72399999999999998</v>
      </c>
      <c r="K4679">
        <v>0.3</v>
      </c>
      <c r="L4679">
        <v>98</v>
      </c>
      <c r="M4679">
        <v>10</v>
      </c>
      <c r="N4679">
        <v>13</v>
      </c>
      <c r="O4679">
        <v>0.73899999999999999</v>
      </c>
      <c r="P4679">
        <v>0.31379794700000002</v>
      </c>
      <c r="Q4679">
        <v>0.246</v>
      </c>
    </row>
    <row r="4680" spans="1:17" x14ac:dyDescent="0.2">
      <c r="A4680" s="30" t="str">
        <f>IF(C4680&amp;G4680&amp;D4680&lt;&gt;'Funnel setup'!$K$3&amp;'Funnel setup'!$K$4&amp;'Funnel setup'!$K$5,".",IF(A4679=".",1,A4679+1))</f>
        <v>.</v>
      </c>
      <c r="B4680" s="431" t="str">
        <f t="shared" si="73"/>
        <v>Knee Replacement PrimaryProviderMID YORKSHIRE HOSPITALS NHS TRUST (RXF)EQ-5D Index</v>
      </c>
      <c r="C4680" t="s">
        <v>249</v>
      </c>
      <c r="D4680" t="s">
        <v>1</v>
      </c>
      <c r="E4680" t="s">
        <v>3641</v>
      </c>
      <c r="F4680" t="s">
        <v>3642</v>
      </c>
      <c r="G4680" t="s">
        <v>52</v>
      </c>
      <c r="H4680">
        <v>289</v>
      </c>
      <c r="I4680">
        <v>0.40600000000000003</v>
      </c>
      <c r="J4680">
        <v>0.73799999999999999</v>
      </c>
      <c r="K4680">
        <v>0.33200000000000002</v>
      </c>
      <c r="L4680">
        <v>225</v>
      </c>
      <c r="M4680">
        <v>31</v>
      </c>
      <c r="N4680">
        <v>33</v>
      </c>
      <c r="O4680">
        <v>0.76500000000000001</v>
      </c>
      <c r="P4680">
        <v>0.33994382400000001</v>
      </c>
      <c r="Q4680">
        <v>0.217</v>
      </c>
    </row>
    <row r="4681" spans="1:17" x14ac:dyDescent="0.2">
      <c r="A4681" s="30" t="str">
        <f>IF(C4681&amp;G4681&amp;D4681&lt;&gt;'Funnel setup'!$K$3&amp;'Funnel setup'!$K$4&amp;'Funnel setup'!$K$5,".",IF(A4680=".",1,A4680+1))</f>
        <v>.</v>
      </c>
      <c r="B4681" s="431" t="str">
        <f t="shared" si="73"/>
        <v>Knee Replacement PrimaryProviderMILTON KEYNES UNIVERSITY HOSPITAL NHS FOUNDATION TRUST (RD8)EQ-5D Index</v>
      </c>
      <c r="C4681" t="s">
        <v>249</v>
      </c>
      <c r="D4681" t="s">
        <v>1</v>
      </c>
      <c r="E4681" t="s">
        <v>3643</v>
      </c>
      <c r="F4681" t="s">
        <v>6580</v>
      </c>
      <c r="G4681" t="s">
        <v>52</v>
      </c>
      <c r="H4681">
        <v>143</v>
      </c>
      <c r="I4681">
        <v>0.35899999999999999</v>
      </c>
      <c r="J4681">
        <v>0.79500000000000004</v>
      </c>
      <c r="K4681">
        <v>0.436</v>
      </c>
      <c r="L4681">
        <v>124</v>
      </c>
      <c r="M4681">
        <v>11</v>
      </c>
      <c r="N4681">
        <v>8</v>
      </c>
      <c r="O4681">
        <v>0.80600000000000005</v>
      </c>
      <c r="P4681">
        <v>0.38092124399999999</v>
      </c>
      <c r="Q4681">
        <v>0.218</v>
      </c>
    </row>
    <row r="4682" spans="1:17" x14ac:dyDescent="0.2">
      <c r="A4682" s="30" t="str">
        <f>IF(C4682&amp;G4682&amp;D4682&lt;&gt;'Funnel setup'!$K$3&amp;'Funnel setup'!$K$4&amp;'Funnel setup'!$K$5,".",IF(A4681=".",1,A4681+1))</f>
        <v>.</v>
      </c>
      <c r="B4682" s="431" t="str">
        <f t="shared" si="73"/>
        <v>Knee Replacement PrimaryProviderMOUNT STUART HOSPITAL (NVC08)EQ-5D Index</v>
      </c>
      <c r="C4682" t="s">
        <v>249</v>
      </c>
      <c r="D4682" t="s">
        <v>1</v>
      </c>
      <c r="E4682" t="s">
        <v>3645</v>
      </c>
      <c r="F4682" t="s">
        <v>3646</v>
      </c>
      <c r="G4682" t="s">
        <v>52</v>
      </c>
      <c r="H4682">
        <v>79</v>
      </c>
      <c r="I4682">
        <v>0.51900000000000002</v>
      </c>
      <c r="J4682">
        <v>0.83699999999999997</v>
      </c>
      <c r="K4682">
        <v>0.317</v>
      </c>
      <c r="L4682">
        <v>64</v>
      </c>
      <c r="M4682">
        <v>12</v>
      </c>
      <c r="N4682">
        <v>3</v>
      </c>
      <c r="O4682">
        <v>0.80400000000000005</v>
      </c>
      <c r="P4682">
        <v>0.37865119899999999</v>
      </c>
      <c r="Q4682">
        <v>0.16600000000000001</v>
      </c>
    </row>
    <row r="4683" spans="1:17" x14ac:dyDescent="0.2">
      <c r="A4683" s="30" t="str">
        <f>IF(C4683&amp;G4683&amp;D4683&lt;&gt;'Funnel setup'!$K$3&amp;'Funnel setup'!$K$4&amp;'Funnel setup'!$K$5,".",IF(A4682=".",1,A4682+1))</f>
        <v>.</v>
      </c>
      <c r="B4683" s="431" t="str">
        <f t="shared" si="73"/>
        <v>Knee Replacement PrimaryProviderNEW HALL HOSPITAL (NVC09)EQ-5D Index</v>
      </c>
      <c r="C4683" t="s">
        <v>249</v>
      </c>
      <c r="D4683" t="s">
        <v>1</v>
      </c>
      <c r="E4683" t="s">
        <v>3648</v>
      </c>
      <c r="F4683" t="s">
        <v>3649</v>
      </c>
      <c r="G4683" t="s">
        <v>52</v>
      </c>
      <c r="H4683">
        <v>125</v>
      </c>
      <c r="I4683">
        <v>0.52</v>
      </c>
      <c r="J4683">
        <v>0.78200000000000003</v>
      </c>
      <c r="K4683">
        <v>0.26100000000000001</v>
      </c>
      <c r="L4683">
        <v>101</v>
      </c>
      <c r="M4683">
        <v>15</v>
      </c>
      <c r="N4683">
        <v>9</v>
      </c>
      <c r="O4683">
        <v>0.73399999999999999</v>
      </c>
      <c r="P4683">
        <v>0.30886244800000001</v>
      </c>
      <c r="Q4683">
        <v>0.22900000000000001</v>
      </c>
    </row>
    <row r="4684" spans="1:17" x14ac:dyDescent="0.2">
      <c r="A4684" s="30" t="str">
        <f>IF(C4684&amp;G4684&amp;D4684&lt;&gt;'Funnel setup'!$K$3&amp;'Funnel setup'!$K$4&amp;'Funnel setup'!$K$5,".",IF(A4683=".",1,A4683+1))</f>
        <v>.</v>
      </c>
      <c r="B4684" s="431" t="str">
        <f t="shared" si="73"/>
        <v>Knee Replacement PrimaryProviderNORFOLK AND NORWICH UNIVERSITY HOSPITALS NHS FOUNDATION TRUST (RM1)EQ-5D Index</v>
      </c>
      <c r="C4684" t="s">
        <v>249</v>
      </c>
      <c r="D4684" t="s">
        <v>1</v>
      </c>
      <c r="E4684" t="s">
        <v>3651</v>
      </c>
      <c r="F4684" t="s">
        <v>3652</v>
      </c>
      <c r="G4684" t="s">
        <v>52</v>
      </c>
      <c r="H4684">
        <v>208</v>
      </c>
      <c r="I4684">
        <v>0.32100000000000001</v>
      </c>
      <c r="J4684">
        <v>0.67600000000000005</v>
      </c>
      <c r="K4684">
        <v>0.35499999999999998</v>
      </c>
      <c r="L4684">
        <v>159</v>
      </c>
      <c r="M4684">
        <v>27</v>
      </c>
      <c r="N4684">
        <v>22</v>
      </c>
      <c r="O4684">
        <v>0.71099999999999997</v>
      </c>
      <c r="P4684">
        <v>0.285921851</v>
      </c>
      <c r="Q4684">
        <v>0.26800000000000002</v>
      </c>
    </row>
    <row r="4685" spans="1:17" x14ac:dyDescent="0.2">
      <c r="A4685" s="30" t="str">
        <f>IF(C4685&amp;G4685&amp;D4685&lt;&gt;'Funnel setup'!$K$3&amp;'Funnel setup'!$K$4&amp;'Funnel setup'!$K$5,".",IF(A4684=".",1,A4684+1))</f>
        <v>.</v>
      </c>
      <c r="B4685" s="431" t="str">
        <f t="shared" si="73"/>
        <v>Knee Replacement PrimaryProviderNORTH BRISTOL NHS TRUST (RVJ)EQ-5D Index</v>
      </c>
      <c r="C4685" t="s">
        <v>249</v>
      </c>
      <c r="D4685" t="s">
        <v>1</v>
      </c>
      <c r="E4685" t="s">
        <v>3654</v>
      </c>
      <c r="F4685" t="s">
        <v>3655</v>
      </c>
      <c r="G4685" t="s">
        <v>52</v>
      </c>
      <c r="H4685">
        <v>199</v>
      </c>
      <c r="I4685">
        <v>0.41199999999999998</v>
      </c>
      <c r="J4685">
        <v>0.72499999999999998</v>
      </c>
      <c r="K4685">
        <v>0.313</v>
      </c>
      <c r="L4685">
        <v>154</v>
      </c>
      <c r="M4685">
        <v>24</v>
      </c>
      <c r="N4685">
        <v>21</v>
      </c>
      <c r="O4685">
        <v>0.72199999999999998</v>
      </c>
      <c r="P4685">
        <v>0.297012689</v>
      </c>
      <c r="Q4685">
        <v>0.21</v>
      </c>
    </row>
    <row r="4686" spans="1:17" x14ac:dyDescent="0.2">
      <c r="A4686" s="30" t="str">
        <f>IF(C4686&amp;G4686&amp;D4686&lt;&gt;'Funnel setup'!$K$3&amp;'Funnel setup'!$K$4&amp;'Funnel setup'!$K$5,".",IF(A4685=".",1,A4685+1))</f>
        <v>.</v>
      </c>
      <c r="B4686" s="431" t="str">
        <f t="shared" si="73"/>
        <v>Knee Replacement PrimaryProviderNORTH CUMBRIA UNIVERSITY HOSPITALS NHS TRUST (RNL)EQ-5D Index</v>
      </c>
      <c r="C4686" t="s">
        <v>249</v>
      </c>
      <c r="D4686" t="s">
        <v>1</v>
      </c>
      <c r="E4686" t="s">
        <v>3657</v>
      </c>
      <c r="F4686" t="s">
        <v>3658</v>
      </c>
      <c r="G4686" t="s">
        <v>52</v>
      </c>
      <c r="H4686">
        <v>170</v>
      </c>
      <c r="I4686">
        <v>0.38200000000000001</v>
      </c>
      <c r="J4686">
        <v>0.73399999999999999</v>
      </c>
      <c r="K4686">
        <v>0.35199999999999998</v>
      </c>
      <c r="L4686">
        <v>137</v>
      </c>
      <c r="M4686">
        <v>13</v>
      </c>
      <c r="N4686">
        <v>20</v>
      </c>
      <c r="O4686">
        <v>0.75900000000000001</v>
      </c>
      <c r="P4686">
        <v>0.33379485800000003</v>
      </c>
      <c r="Q4686">
        <v>0.24199999999999999</v>
      </c>
    </row>
    <row r="4687" spans="1:17" x14ac:dyDescent="0.2">
      <c r="A4687" s="30" t="str">
        <f>IF(C4687&amp;G4687&amp;D4687&lt;&gt;'Funnel setup'!$K$3&amp;'Funnel setup'!$K$4&amp;'Funnel setup'!$K$5,".",IF(A4686=".",1,A4686+1))</f>
        <v>.</v>
      </c>
      <c r="B4687" s="431" t="str">
        <f t="shared" si="73"/>
        <v>Knee Replacement PrimaryProviderNORTH DOWNS HOSPITAL (NVC11)EQ-5D Index</v>
      </c>
      <c r="C4687" t="s">
        <v>249</v>
      </c>
      <c r="D4687" t="s">
        <v>1</v>
      </c>
      <c r="E4687" t="s">
        <v>3660</v>
      </c>
      <c r="F4687" t="s">
        <v>3661</v>
      </c>
      <c r="G4687" t="s">
        <v>52</v>
      </c>
      <c r="H4687">
        <v>49</v>
      </c>
      <c r="I4687">
        <v>0.52600000000000002</v>
      </c>
      <c r="J4687">
        <v>0.77500000000000002</v>
      </c>
      <c r="K4687">
        <v>0.249</v>
      </c>
      <c r="L4687">
        <v>39</v>
      </c>
      <c r="M4687">
        <v>9</v>
      </c>
      <c r="N4687">
        <v>1</v>
      </c>
      <c r="O4687">
        <v>0.72699999999999998</v>
      </c>
      <c r="P4687">
        <v>0.30228532400000002</v>
      </c>
      <c r="Q4687">
        <v>0.125</v>
      </c>
    </row>
    <row r="4688" spans="1:17" x14ac:dyDescent="0.2">
      <c r="A4688" s="30" t="str">
        <f>IF(C4688&amp;G4688&amp;D4688&lt;&gt;'Funnel setup'!$K$3&amp;'Funnel setup'!$K$4&amp;'Funnel setup'!$K$5,".",IF(A4687=".",1,A4687+1))</f>
        <v>.</v>
      </c>
      <c r="B4688" s="431" t="str">
        <f t="shared" si="73"/>
        <v>Knee Replacement PrimaryProviderNORTH EAST LONDON TREATMENT CENTRE CARE UK (NTP15)EQ-5D Index</v>
      </c>
      <c r="C4688" t="s">
        <v>249</v>
      </c>
      <c r="D4688" t="s">
        <v>1</v>
      </c>
      <c r="E4688" t="s">
        <v>3663</v>
      </c>
      <c r="F4688" t="s">
        <v>3664</v>
      </c>
      <c r="G4688" t="s">
        <v>52</v>
      </c>
      <c r="H4688">
        <v>89</v>
      </c>
      <c r="I4688">
        <v>0.42099999999999999</v>
      </c>
      <c r="J4688">
        <v>0.75800000000000001</v>
      </c>
      <c r="K4688">
        <v>0.33700000000000002</v>
      </c>
      <c r="L4688">
        <v>74</v>
      </c>
      <c r="M4688">
        <v>6</v>
      </c>
      <c r="N4688">
        <v>9</v>
      </c>
      <c r="O4688">
        <v>0.752</v>
      </c>
      <c r="P4688">
        <v>0.32699950900000002</v>
      </c>
      <c r="Q4688">
        <v>0.22500000000000001</v>
      </c>
    </row>
    <row r="4689" spans="1:17" x14ac:dyDescent="0.2">
      <c r="A4689" s="30" t="str">
        <f>IF(C4689&amp;G4689&amp;D4689&lt;&gt;'Funnel setup'!$K$3&amp;'Funnel setup'!$K$4&amp;'Funnel setup'!$K$5,".",IF(A4688=".",1,A4688+1))</f>
        <v>.</v>
      </c>
      <c r="B4689" s="431" t="str">
        <f t="shared" si="73"/>
        <v>Knee Replacement PrimaryProviderNORTH MIDDLESEX UNIVERSITY HOSPITAL NHS TRUST (RAP)EQ-5D Index</v>
      </c>
      <c r="C4689" t="s">
        <v>249</v>
      </c>
      <c r="D4689" t="s">
        <v>1</v>
      </c>
      <c r="E4689" t="s">
        <v>3666</v>
      </c>
      <c r="F4689" t="s">
        <v>3667</v>
      </c>
      <c r="G4689" t="s">
        <v>52</v>
      </c>
      <c r="H4689">
        <v>42</v>
      </c>
      <c r="I4689">
        <v>0.29099999999999998</v>
      </c>
      <c r="J4689">
        <v>0.64100000000000001</v>
      </c>
      <c r="K4689">
        <v>0.35</v>
      </c>
      <c r="L4689">
        <v>34</v>
      </c>
      <c r="M4689">
        <v>3</v>
      </c>
      <c r="N4689">
        <v>5</v>
      </c>
      <c r="O4689">
        <v>0.72499999999999998</v>
      </c>
      <c r="P4689">
        <v>0.300370847</v>
      </c>
      <c r="Q4689">
        <v>0.24099999999999999</v>
      </c>
    </row>
    <row r="4690" spans="1:17" x14ac:dyDescent="0.2">
      <c r="A4690" s="30" t="str">
        <f>IF(C4690&amp;G4690&amp;D4690&lt;&gt;'Funnel setup'!$K$3&amp;'Funnel setup'!$K$4&amp;'Funnel setup'!$K$5,".",IF(A4689=".",1,A4689+1))</f>
        <v>.</v>
      </c>
      <c r="B4690" s="431" t="str">
        <f t="shared" si="73"/>
        <v>Knee Replacement PrimaryProviderNORTH TEES AND HARTLEPOOL NHS FOUNDATION TRUST (RVW)EQ-5D Index</v>
      </c>
      <c r="C4690" t="s">
        <v>249</v>
      </c>
      <c r="D4690" t="s">
        <v>1</v>
      </c>
      <c r="E4690" t="s">
        <v>3669</v>
      </c>
      <c r="F4690" t="s">
        <v>3670</v>
      </c>
      <c r="G4690" t="s">
        <v>52</v>
      </c>
      <c r="H4690">
        <v>253</v>
      </c>
      <c r="I4690">
        <v>0.26</v>
      </c>
      <c r="J4690">
        <v>0.69799999999999995</v>
      </c>
      <c r="K4690">
        <v>0.437</v>
      </c>
      <c r="L4690">
        <v>227</v>
      </c>
      <c r="M4690">
        <v>10</v>
      </c>
      <c r="N4690">
        <v>16</v>
      </c>
      <c r="O4690">
        <v>0.76800000000000002</v>
      </c>
      <c r="P4690">
        <v>0.34326492400000003</v>
      </c>
      <c r="Q4690">
        <v>0.255</v>
      </c>
    </row>
    <row r="4691" spans="1:17" x14ac:dyDescent="0.2">
      <c r="A4691" s="30" t="str">
        <f>IF(C4691&amp;G4691&amp;D4691&lt;&gt;'Funnel setup'!$K$3&amp;'Funnel setup'!$K$4&amp;'Funnel setup'!$K$5,".",IF(A4690=".",1,A4690+1))</f>
        <v>.</v>
      </c>
      <c r="B4691" s="431" t="str">
        <f t="shared" si="73"/>
        <v>Knee Replacement PrimaryProviderNORTHAMPTON GENERAL HOSPITAL NHS TRUST (RNS)EQ-5D Index</v>
      </c>
      <c r="C4691" t="s">
        <v>249</v>
      </c>
      <c r="D4691" t="s">
        <v>1</v>
      </c>
      <c r="E4691" t="s">
        <v>3675</v>
      </c>
      <c r="F4691" t="s">
        <v>3676</v>
      </c>
      <c r="G4691" t="s">
        <v>52</v>
      </c>
      <c r="H4691">
        <v>142</v>
      </c>
      <c r="I4691">
        <v>0.33600000000000002</v>
      </c>
      <c r="J4691">
        <v>0.72599999999999998</v>
      </c>
      <c r="K4691">
        <v>0.39</v>
      </c>
      <c r="L4691">
        <v>126</v>
      </c>
      <c r="M4691">
        <v>8</v>
      </c>
      <c r="N4691">
        <v>8</v>
      </c>
      <c r="O4691">
        <v>0.755</v>
      </c>
      <c r="P4691">
        <v>0.33039193100000003</v>
      </c>
      <c r="Q4691">
        <v>0.248</v>
      </c>
    </row>
    <row r="4692" spans="1:17" x14ac:dyDescent="0.2">
      <c r="A4692" s="30" t="str">
        <f>IF(C4692&amp;G4692&amp;D4692&lt;&gt;'Funnel setup'!$K$3&amp;'Funnel setup'!$K$4&amp;'Funnel setup'!$K$5,".",IF(A4691=".",1,A4691+1))</f>
        <v>.</v>
      </c>
      <c r="B4692" s="431" t="str">
        <f t="shared" si="73"/>
        <v>Knee Replacement PrimaryProviderNORTHERN DEVON HEALTHCARE NHS TRUST (RBZ)EQ-5D Index</v>
      </c>
      <c r="C4692" t="s">
        <v>249</v>
      </c>
      <c r="D4692" t="s">
        <v>1</v>
      </c>
      <c r="E4692" t="s">
        <v>3678</v>
      </c>
      <c r="F4692" t="s">
        <v>3679</v>
      </c>
      <c r="G4692" t="s">
        <v>52</v>
      </c>
      <c r="H4692">
        <v>190</v>
      </c>
      <c r="I4692">
        <v>0.45900000000000002</v>
      </c>
      <c r="J4692">
        <v>0.78900000000000003</v>
      </c>
      <c r="K4692">
        <v>0.33</v>
      </c>
      <c r="L4692">
        <v>156</v>
      </c>
      <c r="M4692">
        <v>25</v>
      </c>
      <c r="N4692">
        <v>9</v>
      </c>
      <c r="O4692">
        <v>0.78100000000000003</v>
      </c>
      <c r="P4692">
        <v>0.35596704699999998</v>
      </c>
      <c r="Q4692">
        <v>0.193</v>
      </c>
    </row>
    <row r="4693" spans="1:17" x14ac:dyDescent="0.2">
      <c r="A4693" s="30" t="str">
        <f>IF(C4693&amp;G4693&amp;D4693&lt;&gt;'Funnel setup'!$K$3&amp;'Funnel setup'!$K$4&amp;'Funnel setup'!$K$5,".",IF(A4692=".",1,A4692+1))</f>
        <v>.</v>
      </c>
      <c r="B4693" s="431" t="str">
        <f t="shared" si="73"/>
        <v>Knee Replacement PrimaryProviderNORTHERN LINCOLNSHIRE AND GOOLE NHS FOUNDATION TRUST (RJL)EQ-5D Index</v>
      </c>
      <c r="C4693" t="s">
        <v>249</v>
      </c>
      <c r="D4693" t="s">
        <v>1</v>
      </c>
      <c r="E4693" t="s">
        <v>3681</v>
      </c>
      <c r="F4693" t="s">
        <v>3682</v>
      </c>
      <c r="G4693" t="s">
        <v>52</v>
      </c>
      <c r="H4693">
        <v>274</v>
      </c>
      <c r="I4693">
        <v>0.40200000000000002</v>
      </c>
      <c r="J4693">
        <v>0.76100000000000001</v>
      </c>
      <c r="K4693">
        <v>0.36</v>
      </c>
      <c r="L4693">
        <v>227</v>
      </c>
      <c r="M4693">
        <v>26</v>
      </c>
      <c r="N4693">
        <v>21</v>
      </c>
      <c r="O4693">
        <v>0.76600000000000001</v>
      </c>
      <c r="P4693">
        <v>0.34084805000000001</v>
      </c>
      <c r="Q4693">
        <v>0.216</v>
      </c>
    </row>
    <row r="4694" spans="1:17" x14ac:dyDescent="0.2">
      <c r="A4694" s="30" t="str">
        <f>IF(C4694&amp;G4694&amp;D4694&lt;&gt;'Funnel setup'!$K$3&amp;'Funnel setup'!$K$4&amp;'Funnel setup'!$K$5,".",IF(A4693=".",1,A4693+1))</f>
        <v>.</v>
      </c>
      <c r="B4694" s="431" t="str">
        <f t="shared" si="73"/>
        <v>Knee Replacement PrimaryProviderNORTHUMBRIA HEALTHCARE NHS FOUNDATION TRUST (RTF)EQ-5D Index</v>
      </c>
      <c r="C4694" t="s">
        <v>249</v>
      </c>
      <c r="D4694" t="s">
        <v>1</v>
      </c>
      <c r="E4694" t="s">
        <v>3684</v>
      </c>
      <c r="F4694" t="s">
        <v>3685</v>
      </c>
      <c r="G4694" t="s">
        <v>52</v>
      </c>
      <c r="H4694">
        <v>768</v>
      </c>
      <c r="I4694">
        <v>0.443</v>
      </c>
      <c r="J4694">
        <v>0.76500000000000001</v>
      </c>
      <c r="K4694">
        <v>0.32100000000000001</v>
      </c>
      <c r="L4694">
        <v>646</v>
      </c>
      <c r="M4694">
        <v>68</v>
      </c>
      <c r="N4694">
        <v>54</v>
      </c>
      <c r="O4694">
        <v>0.76600000000000001</v>
      </c>
      <c r="P4694">
        <v>0.34099362700000002</v>
      </c>
      <c r="Q4694">
        <v>0.20499999999999999</v>
      </c>
    </row>
    <row r="4695" spans="1:17" x14ac:dyDescent="0.2">
      <c r="A4695" s="30" t="str">
        <f>IF(C4695&amp;G4695&amp;D4695&lt;&gt;'Funnel setup'!$K$3&amp;'Funnel setup'!$K$4&amp;'Funnel setup'!$K$5,".",IF(A4694=".",1,A4694+1))</f>
        <v>.</v>
      </c>
      <c r="B4695" s="431" t="str">
        <f t="shared" si="73"/>
        <v>Knee Replacement PrimaryProviderNOTTINGHAM UNIVERSITY HOSPITALS NHS TRUST (RX1)EQ-5D Index</v>
      </c>
      <c r="C4695" t="s">
        <v>249</v>
      </c>
      <c r="D4695" t="s">
        <v>1</v>
      </c>
      <c r="E4695" t="s">
        <v>3687</v>
      </c>
      <c r="F4695" t="s">
        <v>3688</v>
      </c>
      <c r="G4695" t="s">
        <v>52</v>
      </c>
      <c r="H4695">
        <v>441</v>
      </c>
      <c r="I4695">
        <v>0.39900000000000002</v>
      </c>
      <c r="J4695">
        <v>0.70799999999999996</v>
      </c>
      <c r="K4695">
        <v>0.309</v>
      </c>
      <c r="L4695">
        <v>333</v>
      </c>
      <c r="M4695">
        <v>62</v>
      </c>
      <c r="N4695">
        <v>46</v>
      </c>
      <c r="O4695">
        <v>0.72399999999999998</v>
      </c>
      <c r="P4695">
        <v>0.29877306300000001</v>
      </c>
      <c r="Q4695">
        <v>0.23</v>
      </c>
    </row>
    <row r="4696" spans="1:17" x14ac:dyDescent="0.2">
      <c r="A4696" s="30" t="str">
        <f>IF(C4696&amp;G4696&amp;D4696&lt;&gt;'Funnel setup'!$K$3&amp;'Funnel setup'!$K$4&amp;'Funnel setup'!$K$5,".",IF(A4695=".",1,A4695+1))</f>
        <v>.</v>
      </c>
      <c r="B4696" s="431" t="str">
        <f t="shared" si="73"/>
        <v>Knee Replacement PrimaryProviderNUFFIELD HEALTH, BRENTWOOD HOSPITAL (NT204)EQ-5D Index</v>
      </c>
      <c r="C4696" t="s">
        <v>249</v>
      </c>
      <c r="D4696" t="s">
        <v>1</v>
      </c>
      <c r="E4696" t="s">
        <v>3691</v>
      </c>
      <c r="F4696" t="s">
        <v>3692</v>
      </c>
      <c r="G4696" t="s">
        <v>52</v>
      </c>
      <c r="H4696">
        <v>78</v>
      </c>
      <c r="I4696">
        <v>0.41799999999999998</v>
      </c>
      <c r="J4696">
        <v>0.79600000000000004</v>
      </c>
      <c r="K4696">
        <v>0.378</v>
      </c>
      <c r="L4696">
        <v>68</v>
      </c>
      <c r="M4696">
        <v>5</v>
      </c>
      <c r="N4696">
        <v>5</v>
      </c>
      <c r="O4696">
        <v>0.76600000000000001</v>
      </c>
      <c r="P4696">
        <v>0.34150562400000001</v>
      </c>
      <c r="Q4696">
        <v>0.20499999999999999</v>
      </c>
    </row>
    <row r="4697" spans="1:17" x14ac:dyDescent="0.2">
      <c r="A4697" s="30" t="str">
        <f>IF(C4697&amp;G4697&amp;D4697&lt;&gt;'Funnel setup'!$K$3&amp;'Funnel setup'!$K$4&amp;'Funnel setup'!$K$5,".",IF(A4696=".",1,A4696+1))</f>
        <v>.</v>
      </c>
      <c r="B4697" s="431" t="str">
        <f t="shared" si="73"/>
        <v>Knee Replacement PrimaryProviderNUFFIELD HEALTH, BRIGHTON HOSPITAL (NT205)EQ-5D Index</v>
      </c>
      <c r="C4697" t="s">
        <v>249</v>
      </c>
      <c r="D4697" t="s">
        <v>1</v>
      </c>
      <c r="E4697" t="s">
        <v>3697</v>
      </c>
      <c r="F4697" t="s">
        <v>3698</v>
      </c>
      <c r="G4697" t="s">
        <v>52</v>
      </c>
      <c r="H4697" t="s">
        <v>53</v>
      </c>
      <c r="I4697" t="s">
        <v>53</v>
      </c>
      <c r="J4697" t="s">
        <v>53</v>
      </c>
      <c r="K4697" t="s">
        <v>53</v>
      </c>
      <c r="L4697" t="s">
        <v>53</v>
      </c>
      <c r="M4697" t="s">
        <v>53</v>
      </c>
      <c r="N4697" t="s">
        <v>53</v>
      </c>
      <c r="O4697" t="s">
        <v>53</v>
      </c>
      <c r="P4697" t="s">
        <v>53</v>
      </c>
      <c r="Q4697" t="s">
        <v>53</v>
      </c>
    </row>
    <row r="4698" spans="1:17" x14ac:dyDescent="0.2">
      <c r="A4698" s="30" t="str">
        <f>IF(C4698&amp;G4698&amp;D4698&lt;&gt;'Funnel setup'!$K$3&amp;'Funnel setup'!$K$4&amp;'Funnel setup'!$K$5,".",IF(A4697=".",1,A4697+1))</f>
        <v>.</v>
      </c>
      <c r="B4698" s="431" t="str">
        <f t="shared" si="73"/>
        <v>Knee Replacement PrimaryProviderNUFFIELD HEALTH, BRISTOL HOSPITAL (CHESTERFIELD) (NT206)EQ-5D Index</v>
      </c>
      <c r="C4698" t="s">
        <v>249</v>
      </c>
      <c r="D4698" t="s">
        <v>1</v>
      </c>
      <c r="E4698" t="s">
        <v>3700</v>
      </c>
      <c r="F4698" t="s">
        <v>3701</v>
      </c>
      <c r="G4698" t="s">
        <v>52</v>
      </c>
      <c r="H4698">
        <v>12</v>
      </c>
      <c r="I4698">
        <v>0.42399999999999999</v>
      </c>
      <c r="J4698">
        <v>0.80900000000000005</v>
      </c>
      <c r="K4698">
        <v>0.38500000000000001</v>
      </c>
      <c r="L4698">
        <v>10</v>
      </c>
      <c r="M4698">
        <v>1</v>
      </c>
      <c r="N4698">
        <v>1</v>
      </c>
      <c r="O4698" t="s">
        <v>53</v>
      </c>
      <c r="P4698" t="s">
        <v>53</v>
      </c>
      <c r="Q4698" t="s">
        <v>53</v>
      </c>
    </row>
    <row r="4699" spans="1:17" x14ac:dyDescent="0.2">
      <c r="A4699" s="30" t="str">
        <f>IF(C4699&amp;G4699&amp;D4699&lt;&gt;'Funnel setup'!$K$3&amp;'Funnel setup'!$K$4&amp;'Funnel setup'!$K$5,".",IF(A4698=".",1,A4698+1))</f>
        <v>.</v>
      </c>
      <c r="B4699" s="431" t="str">
        <f t="shared" si="73"/>
        <v>Knee Replacement PrimaryProviderNUFFIELD HEALTH, CAMBRIDGE HOSPITAL (NT209)EQ-5D Index</v>
      </c>
      <c r="C4699" t="s">
        <v>249</v>
      </c>
      <c r="D4699" t="s">
        <v>1</v>
      </c>
      <c r="E4699" t="s">
        <v>4477</v>
      </c>
      <c r="F4699" t="s">
        <v>4478</v>
      </c>
      <c r="G4699" t="s">
        <v>52</v>
      </c>
      <c r="H4699">
        <v>33</v>
      </c>
      <c r="I4699">
        <v>0.32400000000000001</v>
      </c>
      <c r="J4699">
        <v>0.84499999999999997</v>
      </c>
      <c r="K4699">
        <v>0.52100000000000002</v>
      </c>
      <c r="L4699">
        <v>31</v>
      </c>
      <c r="M4699">
        <v>2</v>
      </c>
      <c r="N4699">
        <v>0</v>
      </c>
      <c r="O4699">
        <v>0.84499999999999997</v>
      </c>
      <c r="P4699">
        <v>0.42025426700000001</v>
      </c>
      <c r="Q4699">
        <v>0.13700000000000001</v>
      </c>
    </row>
    <row r="4700" spans="1:17" x14ac:dyDescent="0.2">
      <c r="A4700" s="30" t="str">
        <f>IF(C4700&amp;G4700&amp;D4700&lt;&gt;'Funnel setup'!$K$3&amp;'Funnel setup'!$K$4&amp;'Funnel setup'!$K$5,".",IF(A4699=".",1,A4699+1))</f>
        <v>.</v>
      </c>
      <c r="B4700" s="431" t="str">
        <f t="shared" si="73"/>
        <v>Knee Replacement PrimaryProviderNUFFIELD HEALTH, CHELTENHAM HOSPITAL (NT211)EQ-5D Index</v>
      </c>
      <c r="C4700" t="s">
        <v>249</v>
      </c>
      <c r="D4700" t="s">
        <v>1</v>
      </c>
      <c r="E4700" t="s">
        <v>3703</v>
      </c>
      <c r="F4700" t="s">
        <v>3704</v>
      </c>
      <c r="G4700" t="s">
        <v>52</v>
      </c>
      <c r="H4700">
        <v>6</v>
      </c>
      <c r="I4700">
        <v>0.42299999999999999</v>
      </c>
      <c r="J4700">
        <v>0.754</v>
      </c>
      <c r="K4700">
        <v>0.33100000000000002</v>
      </c>
      <c r="L4700">
        <v>5</v>
      </c>
      <c r="M4700">
        <v>0</v>
      </c>
      <c r="N4700">
        <v>1</v>
      </c>
      <c r="O4700" t="s">
        <v>53</v>
      </c>
      <c r="P4700" t="s">
        <v>53</v>
      </c>
      <c r="Q4700" t="s">
        <v>53</v>
      </c>
    </row>
    <row r="4701" spans="1:17" x14ac:dyDescent="0.2">
      <c r="A4701" s="30" t="str">
        <f>IF(C4701&amp;G4701&amp;D4701&lt;&gt;'Funnel setup'!$K$3&amp;'Funnel setup'!$K$4&amp;'Funnel setup'!$K$5,".",IF(A4700=".",1,A4700+1))</f>
        <v>.</v>
      </c>
      <c r="B4701" s="431" t="str">
        <f t="shared" si="73"/>
        <v>Knee Replacement PrimaryProviderNUFFIELD HEALTH, CHICHESTER HOSPITAL (NT212)EQ-5D Index</v>
      </c>
      <c r="C4701" t="s">
        <v>249</v>
      </c>
      <c r="D4701" t="s">
        <v>1</v>
      </c>
      <c r="E4701" t="s">
        <v>4334</v>
      </c>
      <c r="F4701" t="s">
        <v>4335</v>
      </c>
      <c r="G4701" t="s">
        <v>52</v>
      </c>
      <c r="H4701">
        <v>12</v>
      </c>
      <c r="I4701">
        <v>0.44900000000000001</v>
      </c>
      <c r="J4701">
        <v>0.86499999999999999</v>
      </c>
      <c r="K4701">
        <v>0.41599999999999998</v>
      </c>
      <c r="L4701">
        <v>11</v>
      </c>
      <c r="M4701">
        <v>0</v>
      </c>
      <c r="N4701">
        <v>1</v>
      </c>
      <c r="O4701" t="s">
        <v>53</v>
      </c>
      <c r="P4701" t="s">
        <v>53</v>
      </c>
      <c r="Q4701" t="s">
        <v>53</v>
      </c>
    </row>
    <row r="4702" spans="1:17" x14ac:dyDescent="0.2">
      <c r="A4702" s="30" t="str">
        <f>IF(C4702&amp;G4702&amp;D4702&lt;&gt;'Funnel setup'!$K$3&amp;'Funnel setup'!$K$4&amp;'Funnel setup'!$K$5,".",IF(A4701=".",1,A4701+1))</f>
        <v>.</v>
      </c>
      <c r="B4702" s="431" t="str">
        <f t="shared" si="73"/>
        <v>Knee Replacement PrimaryProviderNUFFIELD HEALTH, DERBY HOSPITAL (NT213)EQ-5D Index</v>
      </c>
      <c r="C4702" t="s">
        <v>249</v>
      </c>
      <c r="D4702" t="s">
        <v>1</v>
      </c>
      <c r="E4702" t="s">
        <v>3340</v>
      </c>
      <c r="F4702" t="s">
        <v>3341</v>
      </c>
      <c r="G4702" t="s">
        <v>52</v>
      </c>
      <c r="H4702">
        <v>150</v>
      </c>
      <c r="I4702">
        <v>0.47499999999999998</v>
      </c>
      <c r="J4702">
        <v>0.81399999999999995</v>
      </c>
      <c r="K4702">
        <v>0.34</v>
      </c>
      <c r="L4702">
        <v>131</v>
      </c>
      <c r="M4702">
        <v>9</v>
      </c>
      <c r="N4702">
        <v>10</v>
      </c>
      <c r="O4702">
        <v>0.76800000000000002</v>
      </c>
      <c r="P4702">
        <v>0.34325583700000001</v>
      </c>
      <c r="Q4702">
        <v>0.19</v>
      </c>
    </row>
    <row r="4703" spans="1:17" x14ac:dyDescent="0.2">
      <c r="A4703" s="30" t="str">
        <f>IF(C4703&amp;G4703&amp;D4703&lt;&gt;'Funnel setup'!$K$3&amp;'Funnel setup'!$K$4&amp;'Funnel setup'!$K$5,".",IF(A4702=".",1,A4702+1))</f>
        <v>.</v>
      </c>
      <c r="B4703" s="431" t="str">
        <f t="shared" si="73"/>
        <v>Knee Replacement PrimaryProviderNUFFIELD HEALTH, EXETER HOSPITAL (NT215)EQ-5D Index</v>
      </c>
      <c r="C4703" t="s">
        <v>249</v>
      </c>
      <c r="D4703" t="s">
        <v>1</v>
      </c>
      <c r="E4703" t="s">
        <v>4339</v>
      </c>
      <c r="F4703" t="s">
        <v>4340</v>
      </c>
      <c r="G4703" t="s">
        <v>52</v>
      </c>
      <c r="H4703">
        <v>117</v>
      </c>
      <c r="I4703">
        <v>0.51100000000000001</v>
      </c>
      <c r="J4703">
        <v>0.81</v>
      </c>
      <c r="K4703">
        <v>0.29899999999999999</v>
      </c>
      <c r="L4703">
        <v>104</v>
      </c>
      <c r="M4703">
        <v>3</v>
      </c>
      <c r="N4703">
        <v>10</v>
      </c>
      <c r="O4703">
        <v>0.76</v>
      </c>
      <c r="P4703">
        <v>0.33469991799999999</v>
      </c>
      <c r="Q4703">
        <v>0.21199999999999999</v>
      </c>
    </row>
    <row r="4704" spans="1:17" x14ac:dyDescent="0.2">
      <c r="A4704" s="30" t="str">
        <f>IF(C4704&amp;G4704&amp;D4704&lt;&gt;'Funnel setup'!$K$3&amp;'Funnel setup'!$K$4&amp;'Funnel setup'!$K$5,".",IF(A4703=".",1,A4703+1))</f>
        <v>.</v>
      </c>
      <c r="B4704" s="431" t="str">
        <f t="shared" si="73"/>
        <v>Knee Replacement PrimaryProviderNUFFIELD HEALTH, HAYWARDS HEATH HOSPITAL (NT218)EQ-5D Index</v>
      </c>
      <c r="C4704" t="s">
        <v>249</v>
      </c>
      <c r="D4704" t="s">
        <v>1</v>
      </c>
      <c r="E4704" t="s">
        <v>4342</v>
      </c>
      <c r="F4704" t="s">
        <v>4343</v>
      </c>
      <c r="G4704" t="s">
        <v>52</v>
      </c>
      <c r="H4704">
        <v>18</v>
      </c>
      <c r="I4704">
        <v>0.59699999999999998</v>
      </c>
      <c r="J4704">
        <v>0.77900000000000003</v>
      </c>
      <c r="K4704">
        <v>0.182</v>
      </c>
      <c r="L4704">
        <v>11</v>
      </c>
      <c r="M4704">
        <v>3</v>
      </c>
      <c r="N4704">
        <v>4</v>
      </c>
      <c r="O4704" t="s">
        <v>53</v>
      </c>
      <c r="P4704" t="s">
        <v>53</v>
      </c>
      <c r="Q4704" t="s">
        <v>53</v>
      </c>
    </row>
    <row r="4705" spans="1:17" x14ac:dyDescent="0.2">
      <c r="A4705" s="30" t="str">
        <f>IF(C4705&amp;G4705&amp;D4705&lt;&gt;'Funnel setup'!$K$3&amp;'Funnel setup'!$K$4&amp;'Funnel setup'!$K$5,".",IF(A4704=".",1,A4704+1))</f>
        <v>.</v>
      </c>
      <c r="B4705" s="431" t="str">
        <f t="shared" si="73"/>
        <v>Knee Replacement PrimaryProviderNUFFIELD HEALTH, HEREFORD HOSPITAL (NT219)EQ-5D Index</v>
      </c>
      <c r="C4705" t="s">
        <v>249</v>
      </c>
      <c r="D4705" t="s">
        <v>1</v>
      </c>
      <c r="E4705" t="s">
        <v>3343</v>
      </c>
      <c r="F4705" t="s">
        <v>3344</v>
      </c>
      <c r="G4705" t="s">
        <v>52</v>
      </c>
      <c r="H4705">
        <v>62</v>
      </c>
      <c r="I4705">
        <v>0.51600000000000001</v>
      </c>
      <c r="J4705">
        <v>0.80600000000000005</v>
      </c>
      <c r="K4705">
        <v>0.28999999999999998</v>
      </c>
      <c r="L4705">
        <v>49</v>
      </c>
      <c r="M4705">
        <v>9</v>
      </c>
      <c r="N4705">
        <v>4</v>
      </c>
      <c r="O4705">
        <v>0.78200000000000003</v>
      </c>
      <c r="P4705">
        <v>0.35697125800000001</v>
      </c>
      <c r="Q4705">
        <v>0.23799999999999999</v>
      </c>
    </row>
    <row r="4706" spans="1:17" x14ac:dyDescent="0.2">
      <c r="A4706" s="30" t="str">
        <f>IF(C4706&amp;G4706&amp;D4706&lt;&gt;'Funnel setup'!$K$3&amp;'Funnel setup'!$K$4&amp;'Funnel setup'!$K$5,".",IF(A4705=".",1,A4705+1))</f>
        <v>.</v>
      </c>
      <c r="B4706" s="431" t="str">
        <f t="shared" si="73"/>
        <v>Knee Replacement PrimaryProviderNUFFIELD HEALTH, IPSWICH HOSPITAL (NT222)EQ-5D Index</v>
      </c>
      <c r="C4706" t="s">
        <v>249</v>
      </c>
      <c r="D4706" t="s">
        <v>1</v>
      </c>
      <c r="E4706" t="s">
        <v>3385</v>
      </c>
      <c r="F4706" t="s">
        <v>3386</v>
      </c>
      <c r="G4706" t="s">
        <v>52</v>
      </c>
      <c r="H4706">
        <v>92</v>
      </c>
      <c r="I4706">
        <v>0.38100000000000001</v>
      </c>
      <c r="J4706">
        <v>0.81100000000000005</v>
      </c>
      <c r="K4706">
        <v>0.43</v>
      </c>
      <c r="L4706">
        <v>85</v>
      </c>
      <c r="M4706">
        <v>1</v>
      </c>
      <c r="N4706">
        <v>6</v>
      </c>
      <c r="O4706">
        <v>0.78900000000000003</v>
      </c>
      <c r="P4706">
        <v>0.36447871500000001</v>
      </c>
      <c r="Q4706">
        <v>0.17299999999999999</v>
      </c>
    </row>
    <row r="4707" spans="1:17" x14ac:dyDescent="0.2">
      <c r="A4707" s="30" t="str">
        <f>IF(C4707&amp;G4707&amp;D4707&lt;&gt;'Funnel setup'!$K$3&amp;'Funnel setup'!$K$4&amp;'Funnel setup'!$K$5,".",IF(A4706=".",1,A4706+1))</f>
        <v>.</v>
      </c>
      <c r="B4707" s="431" t="str">
        <f t="shared" si="73"/>
        <v>Knee Replacement PrimaryProviderNUFFIELD HEALTH, LEEDS HOSPITAL (NT225)EQ-5D Index</v>
      </c>
      <c r="C4707" t="s">
        <v>249</v>
      </c>
      <c r="D4707" t="s">
        <v>1</v>
      </c>
      <c r="E4707" t="s">
        <v>3388</v>
      </c>
      <c r="F4707" t="s">
        <v>3389</v>
      </c>
      <c r="G4707" t="s">
        <v>52</v>
      </c>
      <c r="H4707">
        <v>134</v>
      </c>
      <c r="I4707">
        <v>0.437</v>
      </c>
      <c r="J4707">
        <v>0.73899999999999999</v>
      </c>
      <c r="K4707">
        <v>0.30099999999999999</v>
      </c>
      <c r="L4707">
        <v>101</v>
      </c>
      <c r="M4707">
        <v>17</v>
      </c>
      <c r="N4707">
        <v>16</v>
      </c>
      <c r="O4707">
        <v>0.73399999999999999</v>
      </c>
      <c r="P4707">
        <v>0.30920641700000001</v>
      </c>
      <c r="Q4707">
        <v>0.20899999999999999</v>
      </c>
    </row>
    <row r="4708" spans="1:17" x14ac:dyDescent="0.2">
      <c r="A4708" s="30" t="str">
        <f>IF(C4708&amp;G4708&amp;D4708&lt;&gt;'Funnel setup'!$K$3&amp;'Funnel setup'!$K$4&amp;'Funnel setup'!$K$5,".",IF(A4707=".",1,A4707+1))</f>
        <v>.</v>
      </c>
      <c r="B4708" s="431" t="str">
        <f t="shared" si="73"/>
        <v>Knee Replacement PrimaryProviderNUFFIELD HEALTH, LEICESTER HOSPITAL (NT226)EQ-5D Index</v>
      </c>
      <c r="C4708" t="s">
        <v>249</v>
      </c>
      <c r="D4708" t="s">
        <v>1</v>
      </c>
      <c r="E4708" t="s">
        <v>3391</v>
      </c>
      <c r="F4708" t="s">
        <v>3392</v>
      </c>
      <c r="G4708" t="s">
        <v>52</v>
      </c>
      <c r="H4708">
        <v>49</v>
      </c>
      <c r="I4708">
        <v>0.42799999999999999</v>
      </c>
      <c r="J4708">
        <v>0.81799999999999995</v>
      </c>
      <c r="K4708">
        <v>0.39</v>
      </c>
      <c r="L4708">
        <v>42</v>
      </c>
      <c r="M4708">
        <v>4</v>
      </c>
      <c r="N4708">
        <v>3</v>
      </c>
      <c r="O4708">
        <v>0.79300000000000004</v>
      </c>
      <c r="P4708">
        <v>0.36783822399999999</v>
      </c>
      <c r="Q4708">
        <v>0.16900000000000001</v>
      </c>
    </row>
    <row r="4709" spans="1:17" x14ac:dyDescent="0.2">
      <c r="A4709" s="30" t="str">
        <f>IF(C4709&amp;G4709&amp;D4709&lt;&gt;'Funnel setup'!$K$3&amp;'Funnel setup'!$K$4&amp;'Funnel setup'!$K$5,".",IF(A4708=".",1,A4708+1))</f>
        <v>.</v>
      </c>
      <c r="B4709" s="431" t="str">
        <f t="shared" si="73"/>
        <v>Knee Replacement PrimaryProviderNUFFIELD HEALTH, NEWCASTLE UPON TYNE HOSPITAL (NT229)EQ-5D Index</v>
      </c>
      <c r="C4709" t="s">
        <v>249</v>
      </c>
      <c r="D4709" t="s">
        <v>1</v>
      </c>
      <c r="E4709" t="s">
        <v>3394</v>
      </c>
      <c r="F4709" t="s">
        <v>3395</v>
      </c>
      <c r="G4709" t="s">
        <v>52</v>
      </c>
      <c r="H4709">
        <v>38</v>
      </c>
      <c r="I4709">
        <v>0.48899999999999999</v>
      </c>
      <c r="J4709">
        <v>0.71799999999999997</v>
      </c>
      <c r="K4709">
        <v>0.22900000000000001</v>
      </c>
      <c r="L4709">
        <v>27</v>
      </c>
      <c r="M4709">
        <v>3</v>
      </c>
      <c r="N4709">
        <v>8</v>
      </c>
      <c r="O4709">
        <v>0.69</v>
      </c>
      <c r="P4709">
        <v>0.26474633800000003</v>
      </c>
      <c r="Q4709">
        <v>0.249</v>
      </c>
    </row>
    <row r="4710" spans="1:17" x14ac:dyDescent="0.2">
      <c r="A4710" s="30" t="str">
        <f>IF(C4710&amp;G4710&amp;D4710&lt;&gt;'Funnel setup'!$K$3&amp;'Funnel setup'!$K$4&amp;'Funnel setup'!$K$5,".",IF(A4709=".",1,A4709+1))</f>
        <v>.</v>
      </c>
      <c r="B4710" s="431" t="str">
        <f t="shared" si="73"/>
        <v>Knee Replacement PrimaryProviderNUFFIELD HEALTH, NORTH STAFFORDSHIRE HOSPITAL (NT230)EQ-5D Index</v>
      </c>
      <c r="C4710" t="s">
        <v>249</v>
      </c>
      <c r="D4710" t="s">
        <v>1</v>
      </c>
      <c r="E4710" t="s">
        <v>3397</v>
      </c>
      <c r="F4710" t="s">
        <v>3398</v>
      </c>
      <c r="G4710" t="s">
        <v>52</v>
      </c>
      <c r="H4710">
        <v>99</v>
      </c>
      <c r="I4710">
        <v>0.312</v>
      </c>
      <c r="J4710">
        <v>0.67700000000000005</v>
      </c>
      <c r="K4710">
        <v>0.36499999999999999</v>
      </c>
      <c r="L4710">
        <v>75</v>
      </c>
      <c r="M4710">
        <v>14</v>
      </c>
      <c r="N4710">
        <v>10</v>
      </c>
      <c r="O4710">
        <v>0.71</v>
      </c>
      <c r="P4710">
        <v>0.28473105500000001</v>
      </c>
      <c r="Q4710">
        <v>0.252</v>
      </c>
    </row>
    <row r="4711" spans="1:17" x14ac:dyDescent="0.2">
      <c r="A4711" s="30" t="str">
        <f>IF(C4711&amp;G4711&amp;D4711&lt;&gt;'Funnel setup'!$K$3&amp;'Funnel setup'!$K$4&amp;'Funnel setup'!$K$5,".",IF(A4710=".",1,A4710+1))</f>
        <v>.</v>
      </c>
      <c r="B4711" s="431" t="str">
        <f t="shared" si="73"/>
        <v>Knee Replacement PrimaryProviderNUFFIELD HEALTH, PLYMOUTH HOSPITAL (NT233)EQ-5D Index</v>
      </c>
      <c r="C4711" t="s">
        <v>249</v>
      </c>
      <c r="D4711" t="s">
        <v>1</v>
      </c>
      <c r="E4711" t="s">
        <v>3400</v>
      </c>
      <c r="F4711" t="s">
        <v>3401</v>
      </c>
      <c r="G4711" t="s">
        <v>52</v>
      </c>
      <c r="H4711">
        <v>102</v>
      </c>
      <c r="I4711">
        <v>0.50600000000000001</v>
      </c>
      <c r="J4711">
        <v>0.78900000000000003</v>
      </c>
      <c r="K4711">
        <v>0.28299999999999997</v>
      </c>
      <c r="L4711">
        <v>85</v>
      </c>
      <c r="M4711">
        <v>7</v>
      </c>
      <c r="N4711">
        <v>10</v>
      </c>
      <c r="O4711">
        <v>0.76</v>
      </c>
      <c r="P4711">
        <v>0.33507226000000001</v>
      </c>
      <c r="Q4711">
        <v>0.20100000000000001</v>
      </c>
    </row>
    <row r="4712" spans="1:17" x14ac:dyDescent="0.2">
      <c r="A4712" s="30" t="str">
        <f>IF(C4712&amp;G4712&amp;D4712&lt;&gt;'Funnel setup'!$K$3&amp;'Funnel setup'!$K$4&amp;'Funnel setup'!$K$5,".",IF(A4711=".",1,A4711+1))</f>
        <v>.</v>
      </c>
      <c r="B4712" s="431" t="str">
        <f t="shared" si="73"/>
        <v>Knee Replacement PrimaryProviderNUFFIELD HEALTH, SHREWSBURY HOSPITAL (NT235)EQ-5D Index</v>
      </c>
      <c r="C4712" t="s">
        <v>249</v>
      </c>
      <c r="D4712" t="s">
        <v>1</v>
      </c>
      <c r="E4712" t="s">
        <v>3240</v>
      </c>
      <c r="F4712" t="s">
        <v>3241</v>
      </c>
      <c r="G4712" t="s">
        <v>52</v>
      </c>
      <c r="H4712" t="s">
        <v>53</v>
      </c>
      <c r="I4712" t="s">
        <v>53</v>
      </c>
      <c r="J4712" t="s">
        <v>53</v>
      </c>
      <c r="K4712" t="s">
        <v>53</v>
      </c>
      <c r="L4712" t="s">
        <v>53</v>
      </c>
      <c r="M4712" t="s">
        <v>53</v>
      </c>
      <c r="N4712" t="s">
        <v>53</v>
      </c>
      <c r="O4712" t="s">
        <v>53</v>
      </c>
      <c r="P4712" t="s">
        <v>53</v>
      </c>
      <c r="Q4712" t="s">
        <v>53</v>
      </c>
    </row>
    <row r="4713" spans="1:17" x14ac:dyDescent="0.2">
      <c r="A4713" s="30" t="str">
        <f>IF(C4713&amp;G4713&amp;D4713&lt;&gt;'Funnel setup'!$K$3&amp;'Funnel setup'!$K$4&amp;'Funnel setup'!$K$5,".",IF(A4712=".",1,A4712+1))</f>
        <v>.</v>
      </c>
      <c r="B4713" s="431" t="str">
        <f t="shared" si="73"/>
        <v>Knee Replacement PrimaryProviderNUFFIELD HEALTH, TAUNTON HOSPITAL (NT238)EQ-5D Index</v>
      </c>
      <c r="C4713" t="s">
        <v>249</v>
      </c>
      <c r="D4713" t="s">
        <v>1</v>
      </c>
      <c r="E4713" t="s">
        <v>3243</v>
      </c>
      <c r="F4713" t="s">
        <v>3244</v>
      </c>
      <c r="G4713" t="s">
        <v>52</v>
      </c>
      <c r="H4713">
        <v>72</v>
      </c>
      <c r="I4713">
        <v>0.56200000000000006</v>
      </c>
      <c r="J4713">
        <v>0.79100000000000004</v>
      </c>
      <c r="K4713">
        <v>0.22900000000000001</v>
      </c>
      <c r="L4713">
        <v>58</v>
      </c>
      <c r="M4713">
        <v>9</v>
      </c>
      <c r="N4713">
        <v>5</v>
      </c>
      <c r="O4713">
        <v>0.71199999999999997</v>
      </c>
      <c r="P4713">
        <v>0.28727373699999997</v>
      </c>
      <c r="Q4713">
        <v>0.20300000000000001</v>
      </c>
    </row>
    <row r="4714" spans="1:17" x14ac:dyDescent="0.2">
      <c r="A4714" s="30" t="str">
        <f>IF(C4714&amp;G4714&amp;D4714&lt;&gt;'Funnel setup'!$K$3&amp;'Funnel setup'!$K$4&amp;'Funnel setup'!$K$5,".",IF(A4713=".",1,A4713+1))</f>
        <v>.</v>
      </c>
      <c r="B4714" s="431" t="str">
        <f t="shared" si="73"/>
        <v>Knee Replacement PrimaryProviderNUFFIELD HEALTH, TEES HOSPITAL (NT237)EQ-5D Index</v>
      </c>
      <c r="C4714" t="s">
        <v>249</v>
      </c>
      <c r="D4714" t="s">
        <v>1</v>
      </c>
      <c r="E4714" t="s">
        <v>3246</v>
      </c>
      <c r="F4714" t="s">
        <v>3247</v>
      </c>
      <c r="G4714" t="s">
        <v>52</v>
      </c>
      <c r="H4714">
        <v>152</v>
      </c>
      <c r="I4714">
        <v>0.46800000000000003</v>
      </c>
      <c r="J4714">
        <v>0.79100000000000004</v>
      </c>
      <c r="K4714">
        <v>0.32300000000000001</v>
      </c>
      <c r="L4714">
        <v>129</v>
      </c>
      <c r="M4714">
        <v>17</v>
      </c>
      <c r="N4714">
        <v>6</v>
      </c>
      <c r="O4714">
        <v>0.76400000000000001</v>
      </c>
      <c r="P4714">
        <v>0.33942237800000002</v>
      </c>
      <c r="Q4714">
        <v>0.19800000000000001</v>
      </c>
    </row>
    <row r="4715" spans="1:17" x14ac:dyDescent="0.2">
      <c r="A4715" s="30" t="str">
        <f>IF(C4715&amp;G4715&amp;D4715&lt;&gt;'Funnel setup'!$K$3&amp;'Funnel setup'!$K$4&amp;'Funnel setup'!$K$5,".",IF(A4714=".",1,A4714+1))</f>
        <v>.</v>
      </c>
      <c r="B4715" s="431" t="str">
        <f t="shared" si="73"/>
        <v>Knee Replacement PrimaryProviderNUFFIELD HEALTH, THE GROSVENOR HOSPITAL, CHESTER (NT210)EQ-5D Index</v>
      </c>
      <c r="C4715" t="s">
        <v>249</v>
      </c>
      <c r="D4715" t="s">
        <v>1</v>
      </c>
      <c r="E4715" t="s">
        <v>3249</v>
      </c>
      <c r="F4715" t="s">
        <v>3250</v>
      </c>
      <c r="G4715" t="s">
        <v>52</v>
      </c>
      <c r="H4715">
        <v>64</v>
      </c>
      <c r="I4715">
        <v>0.54800000000000004</v>
      </c>
      <c r="J4715">
        <v>0.77800000000000002</v>
      </c>
      <c r="K4715">
        <v>0.23</v>
      </c>
      <c r="L4715">
        <v>53</v>
      </c>
      <c r="M4715">
        <v>6</v>
      </c>
      <c r="N4715">
        <v>5</v>
      </c>
      <c r="O4715">
        <v>0.73799999999999999</v>
      </c>
      <c r="P4715">
        <v>0.31267043300000003</v>
      </c>
      <c r="Q4715">
        <v>0.193</v>
      </c>
    </row>
    <row r="4716" spans="1:17" x14ac:dyDescent="0.2">
      <c r="A4716" s="30" t="str">
        <f>IF(C4716&amp;G4716&amp;D4716&lt;&gt;'Funnel setup'!$K$3&amp;'Funnel setup'!$K$4&amp;'Funnel setup'!$K$5,".",IF(A4715=".",1,A4715+1))</f>
        <v>.</v>
      </c>
      <c r="B4716" s="431" t="str">
        <f t="shared" si="73"/>
        <v>Knee Replacement PrimaryProviderNUFFIELD HEALTH, TUNBRIDGE WELLS HOSPITAL (NT239)EQ-5D Index</v>
      </c>
      <c r="C4716" t="s">
        <v>249</v>
      </c>
      <c r="D4716" t="s">
        <v>1</v>
      </c>
      <c r="E4716" t="s">
        <v>3252</v>
      </c>
      <c r="F4716" t="s">
        <v>3253</v>
      </c>
      <c r="G4716" t="s">
        <v>52</v>
      </c>
      <c r="H4716" t="s">
        <v>53</v>
      </c>
      <c r="I4716" t="s">
        <v>53</v>
      </c>
      <c r="J4716" t="s">
        <v>53</v>
      </c>
      <c r="K4716" t="s">
        <v>53</v>
      </c>
      <c r="L4716" t="s">
        <v>53</v>
      </c>
      <c r="M4716" t="s">
        <v>53</v>
      </c>
      <c r="N4716" t="s">
        <v>53</v>
      </c>
      <c r="O4716" t="s">
        <v>53</v>
      </c>
      <c r="P4716" t="s">
        <v>53</v>
      </c>
      <c r="Q4716" t="s">
        <v>53</v>
      </c>
    </row>
    <row r="4717" spans="1:17" x14ac:dyDescent="0.2">
      <c r="A4717" s="30" t="str">
        <f>IF(C4717&amp;G4717&amp;D4717&lt;&gt;'Funnel setup'!$K$3&amp;'Funnel setup'!$K$4&amp;'Funnel setup'!$K$5,".",IF(A4716=".",1,A4716+1))</f>
        <v>.</v>
      </c>
      <c r="B4717" s="431" t="str">
        <f t="shared" si="73"/>
        <v>Knee Replacement PrimaryProviderNUFFIELD HEALTH, WARWICKSHIRE HOSPITAL (NT224)EQ-5D Index</v>
      </c>
      <c r="C4717" t="s">
        <v>249</v>
      </c>
      <c r="D4717" t="s">
        <v>1</v>
      </c>
      <c r="E4717" t="s">
        <v>3255</v>
      </c>
      <c r="F4717" t="s">
        <v>3256</v>
      </c>
      <c r="G4717" t="s">
        <v>52</v>
      </c>
      <c r="H4717" t="s">
        <v>53</v>
      </c>
      <c r="I4717" t="s">
        <v>53</v>
      </c>
      <c r="J4717" t="s">
        <v>53</v>
      </c>
      <c r="K4717" t="s">
        <v>53</v>
      </c>
      <c r="L4717" t="s">
        <v>53</v>
      </c>
      <c r="M4717" t="s">
        <v>53</v>
      </c>
      <c r="N4717" t="s">
        <v>53</v>
      </c>
      <c r="O4717" t="s">
        <v>53</v>
      </c>
      <c r="P4717" t="s">
        <v>53</v>
      </c>
      <c r="Q4717" t="s">
        <v>53</v>
      </c>
    </row>
    <row r="4718" spans="1:17" x14ac:dyDescent="0.2">
      <c r="A4718" s="30" t="str">
        <f>IF(C4718&amp;G4718&amp;D4718&lt;&gt;'Funnel setup'!$K$3&amp;'Funnel setup'!$K$4&amp;'Funnel setup'!$K$5,".",IF(A4717=".",1,A4717+1))</f>
        <v>.</v>
      </c>
      <c r="B4718" s="431" t="str">
        <f t="shared" si="73"/>
        <v>Knee Replacement PrimaryProviderNUFFIELD HEALTH, WESSEX HOSPITAL (NT214)EQ-5D Index</v>
      </c>
      <c r="C4718" t="s">
        <v>249</v>
      </c>
      <c r="D4718" t="s">
        <v>1</v>
      </c>
      <c r="E4718" t="s">
        <v>3258</v>
      </c>
      <c r="F4718" t="s">
        <v>3259</v>
      </c>
      <c r="G4718" t="s">
        <v>52</v>
      </c>
      <c r="H4718">
        <v>45</v>
      </c>
      <c r="I4718">
        <v>0.49</v>
      </c>
      <c r="J4718">
        <v>0.80200000000000005</v>
      </c>
      <c r="K4718">
        <v>0.312</v>
      </c>
      <c r="L4718">
        <v>39</v>
      </c>
      <c r="M4718">
        <v>3</v>
      </c>
      <c r="N4718">
        <v>3</v>
      </c>
      <c r="O4718">
        <v>0.75</v>
      </c>
      <c r="P4718">
        <v>0.32527206600000003</v>
      </c>
      <c r="Q4718">
        <v>0.17199999999999999</v>
      </c>
    </row>
    <row r="4719" spans="1:17" x14ac:dyDescent="0.2">
      <c r="A4719" s="30" t="str">
        <f>IF(C4719&amp;G4719&amp;D4719&lt;&gt;'Funnel setup'!$K$3&amp;'Funnel setup'!$K$4&amp;'Funnel setup'!$K$5,".",IF(A4718=".",1,A4718+1))</f>
        <v>.</v>
      </c>
      <c r="B4719" s="431" t="str">
        <f t="shared" si="73"/>
        <v>Knee Replacement PrimaryProviderNUFFIELD HEALTH, WOKING HOSPITAL (NT241)EQ-5D Index</v>
      </c>
      <c r="C4719" t="s">
        <v>249</v>
      </c>
      <c r="D4719" t="s">
        <v>1</v>
      </c>
      <c r="E4719" t="s">
        <v>3261</v>
      </c>
      <c r="F4719" t="s">
        <v>3262</v>
      </c>
      <c r="G4719" t="s">
        <v>52</v>
      </c>
      <c r="H4719">
        <v>17</v>
      </c>
      <c r="I4719">
        <v>0.42899999999999999</v>
      </c>
      <c r="J4719">
        <v>0.81</v>
      </c>
      <c r="K4719">
        <v>0.38100000000000001</v>
      </c>
      <c r="L4719">
        <v>14</v>
      </c>
      <c r="M4719">
        <v>1</v>
      </c>
      <c r="N4719">
        <v>2</v>
      </c>
      <c r="O4719" t="s">
        <v>53</v>
      </c>
      <c r="P4719" t="s">
        <v>53</v>
      </c>
      <c r="Q4719" t="s">
        <v>53</v>
      </c>
    </row>
    <row r="4720" spans="1:17" x14ac:dyDescent="0.2">
      <c r="A4720" s="30" t="str">
        <f>IF(C4720&amp;G4720&amp;D4720&lt;&gt;'Funnel setup'!$K$3&amp;'Funnel setup'!$K$4&amp;'Funnel setup'!$K$5,".",IF(A4719=".",1,A4719+1))</f>
        <v>.</v>
      </c>
      <c r="B4720" s="431" t="str">
        <f t="shared" si="73"/>
        <v>Knee Replacement PrimaryProviderNUFFIELD HEALTH, WOLVERHAMPTON HOSPITAL (NT242)EQ-5D Index</v>
      </c>
      <c r="C4720" t="s">
        <v>249</v>
      </c>
      <c r="D4720" t="s">
        <v>1</v>
      </c>
      <c r="E4720" t="s">
        <v>3264</v>
      </c>
      <c r="F4720" t="s">
        <v>3265</v>
      </c>
      <c r="G4720" t="s">
        <v>52</v>
      </c>
      <c r="H4720">
        <v>79</v>
      </c>
      <c r="I4720">
        <v>0.42799999999999999</v>
      </c>
      <c r="J4720">
        <v>0.74199999999999999</v>
      </c>
      <c r="K4720">
        <v>0.314</v>
      </c>
      <c r="L4720">
        <v>70</v>
      </c>
      <c r="M4720">
        <v>5</v>
      </c>
      <c r="N4720">
        <v>4</v>
      </c>
      <c r="O4720">
        <v>0.73799999999999999</v>
      </c>
      <c r="P4720">
        <v>0.31282294799999999</v>
      </c>
      <c r="Q4720">
        <v>0.19400000000000001</v>
      </c>
    </row>
    <row r="4721" spans="1:17" x14ac:dyDescent="0.2">
      <c r="A4721" s="30" t="str">
        <f>IF(C4721&amp;G4721&amp;D4721&lt;&gt;'Funnel setup'!$K$3&amp;'Funnel setup'!$K$4&amp;'Funnel setup'!$K$5,".",IF(A4720=".",1,A4720+1))</f>
        <v>.</v>
      </c>
      <c r="B4721" s="431" t="str">
        <f t="shared" si="73"/>
        <v>Knee Replacement PrimaryProviderNUFFIELD HEALTH, YORK HOSPITAL (NT245)EQ-5D Index</v>
      </c>
      <c r="C4721" t="s">
        <v>249</v>
      </c>
      <c r="D4721" t="s">
        <v>1</v>
      </c>
      <c r="E4721" t="s">
        <v>4299</v>
      </c>
      <c r="F4721" t="s">
        <v>4300</v>
      </c>
      <c r="G4721" t="s">
        <v>52</v>
      </c>
      <c r="H4721">
        <v>133</v>
      </c>
      <c r="I4721">
        <v>0.498</v>
      </c>
      <c r="J4721">
        <v>0.81599999999999995</v>
      </c>
      <c r="K4721">
        <v>0.318</v>
      </c>
      <c r="L4721">
        <v>114</v>
      </c>
      <c r="M4721">
        <v>9</v>
      </c>
      <c r="N4721">
        <v>10</v>
      </c>
      <c r="O4721">
        <v>0.75600000000000001</v>
      </c>
      <c r="P4721">
        <v>0.33110536600000001</v>
      </c>
      <c r="Q4721">
        <v>0.18</v>
      </c>
    </row>
    <row r="4722" spans="1:17" x14ac:dyDescent="0.2">
      <c r="A4722" s="30" t="str">
        <f>IF(C4722&amp;G4722&amp;D4722&lt;&gt;'Funnel setup'!$K$3&amp;'Funnel setup'!$K$4&amp;'Funnel setup'!$K$5,".",IF(A4721=".",1,A4721+1))</f>
        <v>.</v>
      </c>
      <c r="B4722" s="431" t="str">
        <f t="shared" si="73"/>
        <v>Knee Replacement PrimaryProviderNUFFIELD HOSPITAL OXFORD (THE MANOR) (NT244)EQ-5D Index</v>
      </c>
      <c r="C4722" t="s">
        <v>249</v>
      </c>
      <c r="D4722" t="s">
        <v>1</v>
      </c>
      <c r="E4722" t="s">
        <v>4302</v>
      </c>
      <c r="F4722" t="s">
        <v>4303</v>
      </c>
      <c r="G4722" t="s">
        <v>52</v>
      </c>
      <c r="H4722">
        <v>8</v>
      </c>
      <c r="I4722">
        <v>0.47499999999999998</v>
      </c>
      <c r="J4722">
        <v>0.80800000000000005</v>
      </c>
      <c r="K4722">
        <v>0.33300000000000002</v>
      </c>
      <c r="L4722">
        <v>7</v>
      </c>
      <c r="M4722">
        <v>0</v>
      </c>
      <c r="N4722">
        <v>1</v>
      </c>
      <c r="O4722" t="s">
        <v>53</v>
      </c>
      <c r="P4722" t="s">
        <v>53</v>
      </c>
      <c r="Q4722" t="s">
        <v>53</v>
      </c>
    </row>
    <row r="4723" spans="1:17" x14ac:dyDescent="0.2">
      <c r="A4723" s="30" t="str">
        <f>IF(C4723&amp;G4723&amp;D4723&lt;&gt;'Funnel setup'!$K$3&amp;'Funnel setup'!$K$4&amp;'Funnel setup'!$K$5,".",IF(A4722=".",1,A4722+1))</f>
        <v>.</v>
      </c>
      <c r="B4723" s="431" t="str">
        <f t="shared" si="73"/>
        <v>Knee Replacement PrimaryProviderOAKLANDS HOSPITAL (NVC12)EQ-5D Index</v>
      </c>
      <c r="C4723" t="s">
        <v>249</v>
      </c>
      <c r="D4723" t="s">
        <v>1</v>
      </c>
      <c r="E4723" t="s">
        <v>3267</v>
      </c>
      <c r="F4723" t="s">
        <v>3268</v>
      </c>
      <c r="G4723" t="s">
        <v>52</v>
      </c>
      <c r="H4723">
        <v>131</v>
      </c>
      <c r="I4723">
        <v>0.38100000000000001</v>
      </c>
      <c r="J4723">
        <v>0.70199999999999996</v>
      </c>
      <c r="K4723">
        <v>0.32200000000000001</v>
      </c>
      <c r="L4723">
        <v>103</v>
      </c>
      <c r="M4723">
        <v>14</v>
      </c>
      <c r="N4723">
        <v>14</v>
      </c>
      <c r="O4723">
        <v>0.73399999999999999</v>
      </c>
      <c r="P4723">
        <v>0.30908223800000001</v>
      </c>
      <c r="Q4723">
        <v>0.251</v>
      </c>
    </row>
    <row r="4724" spans="1:17" x14ac:dyDescent="0.2">
      <c r="A4724" s="30" t="str">
        <f>IF(C4724&amp;G4724&amp;D4724&lt;&gt;'Funnel setup'!$K$3&amp;'Funnel setup'!$K$4&amp;'Funnel setup'!$K$5,".",IF(A4723=".",1,A4723+1))</f>
        <v>.</v>
      </c>
      <c r="B4724" s="431" t="str">
        <f t="shared" si="73"/>
        <v>Knee Replacement PrimaryProviderOAKS HOSPITAL (NVC13)EQ-5D Index</v>
      </c>
      <c r="C4724" t="s">
        <v>249</v>
      </c>
      <c r="D4724" t="s">
        <v>1</v>
      </c>
      <c r="E4724" t="s">
        <v>3270</v>
      </c>
      <c r="F4724" t="s">
        <v>3271</v>
      </c>
      <c r="G4724" t="s">
        <v>52</v>
      </c>
      <c r="H4724">
        <v>156</v>
      </c>
      <c r="I4724">
        <v>0.502</v>
      </c>
      <c r="J4724">
        <v>0.77300000000000002</v>
      </c>
      <c r="K4724">
        <v>0.27100000000000002</v>
      </c>
      <c r="L4724">
        <v>123</v>
      </c>
      <c r="M4724">
        <v>16</v>
      </c>
      <c r="N4724">
        <v>17</v>
      </c>
      <c r="O4724">
        <v>0.746</v>
      </c>
      <c r="P4724">
        <v>0.32061420800000001</v>
      </c>
      <c r="Q4724">
        <v>0.21299999999999999</v>
      </c>
    </row>
    <row r="4725" spans="1:17" x14ac:dyDescent="0.2">
      <c r="A4725" s="30" t="str">
        <f>IF(C4725&amp;G4725&amp;D4725&lt;&gt;'Funnel setup'!$K$3&amp;'Funnel setup'!$K$4&amp;'Funnel setup'!$K$5,".",IF(A4724=".",1,A4724+1))</f>
        <v>.</v>
      </c>
      <c r="B4725" s="431" t="str">
        <f t="shared" si="73"/>
        <v>Knee Replacement PrimaryProviderONE HEALTH GROUP LTD (NTX01)EQ-5D Index</v>
      </c>
      <c r="C4725" t="s">
        <v>249</v>
      </c>
      <c r="D4725" t="s">
        <v>1</v>
      </c>
      <c r="E4725" t="s">
        <v>6507</v>
      </c>
      <c r="F4725" t="s">
        <v>6508</v>
      </c>
      <c r="G4725" t="s">
        <v>52</v>
      </c>
      <c r="H4725">
        <v>34</v>
      </c>
      <c r="I4725">
        <v>0.435</v>
      </c>
      <c r="J4725">
        <v>0.82299999999999995</v>
      </c>
      <c r="K4725">
        <v>0.38800000000000001</v>
      </c>
      <c r="L4725">
        <v>30</v>
      </c>
      <c r="M4725">
        <v>2</v>
      </c>
      <c r="N4725">
        <v>2</v>
      </c>
      <c r="O4725">
        <v>0.76800000000000002</v>
      </c>
      <c r="P4725">
        <v>0.34288897099999999</v>
      </c>
      <c r="Q4725">
        <v>0.182</v>
      </c>
    </row>
    <row r="4726" spans="1:17" x14ac:dyDescent="0.2">
      <c r="A4726" s="30" t="str">
        <f>IF(C4726&amp;G4726&amp;D4726&lt;&gt;'Funnel setup'!$K$3&amp;'Funnel setup'!$K$4&amp;'Funnel setup'!$K$5,".",IF(A4725=".",1,A4725+1))</f>
        <v>.</v>
      </c>
      <c r="B4726" s="431" t="str">
        <f t="shared" si="73"/>
        <v>Knee Replacement PrimaryProviderOXFORD UNIVERSITY HOSPITALS NHS FOUNDATION TRUST (RTH)EQ-5D Index</v>
      </c>
      <c r="C4726" t="s">
        <v>249</v>
      </c>
      <c r="D4726" t="s">
        <v>1</v>
      </c>
      <c r="E4726" t="s">
        <v>3278</v>
      </c>
      <c r="F4726" t="s">
        <v>6578</v>
      </c>
      <c r="G4726" t="s">
        <v>52</v>
      </c>
      <c r="H4726">
        <v>237</v>
      </c>
      <c r="I4726">
        <v>0.42899999999999999</v>
      </c>
      <c r="J4726">
        <v>0.71599999999999997</v>
      </c>
      <c r="K4726">
        <v>0.28699999999999998</v>
      </c>
      <c r="L4726">
        <v>189</v>
      </c>
      <c r="M4726">
        <v>30</v>
      </c>
      <c r="N4726">
        <v>18</v>
      </c>
      <c r="O4726">
        <v>0.70599999999999996</v>
      </c>
      <c r="P4726">
        <v>0.281232924</v>
      </c>
      <c r="Q4726">
        <v>0.22</v>
      </c>
    </row>
    <row r="4727" spans="1:17" x14ac:dyDescent="0.2">
      <c r="A4727" s="30" t="str">
        <f>IF(C4727&amp;G4727&amp;D4727&lt;&gt;'Funnel setup'!$K$3&amp;'Funnel setup'!$K$4&amp;'Funnel setup'!$K$5,".",IF(A4726=".",1,A4726+1))</f>
        <v>.</v>
      </c>
      <c r="B4727" s="431" t="str">
        <f t="shared" si="73"/>
        <v>Knee Replacement PrimaryProviderPARK HILL HOSPITAL (NVC14)EQ-5D Index</v>
      </c>
      <c r="C4727" t="s">
        <v>249</v>
      </c>
      <c r="D4727" t="s">
        <v>1</v>
      </c>
      <c r="E4727" t="s">
        <v>3280</v>
      </c>
      <c r="F4727" t="s">
        <v>3281</v>
      </c>
      <c r="G4727" t="s">
        <v>52</v>
      </c>
      <c r="H4727">
        <v>32</v>
      </c>
      <c r="I4727">
        <v>0.41199999999999998</v>
      </c>
      <c r="J4727">
        <v>0.72</v>
      </c>
      <c r="K4727">
        <v>0.308</v>
      </c>
      <c r="L4727">
        <v>25</v>
      </c>
      <c r="M4727">
        <v>3</v>
      </c>
      <c r="N4727">
        <v>4</v>
      </c>
      <c r="O4727">
        <v>0.73199999999999998</v>
      </c>
      <c r="P4727">
        <v>0.30690713200000003</v>
      </c>
      <c r="Q4727">
        <v>0.19700000000000001</v>
      </c>
    </row>
    <row r="4728" spans="1:17" x14ac:dyDescent="0.2">
      <c r="A4728" s="30" t="str">
        <f>IF(C4728&amp;G4728&amp;D4728&lt;&gt;'Funnel setup'!$K$3&amp;'Funnel setup'!$K$4&amp;'Funnel setup'!$K$5,".",IF(A4727=".",1,A4727+1))</f>
        <v>.</v>
      </c>
      <c r="B4728" s="431" t="str">
        <f t="shared" si="73"/>
        <v>Knee Replacement PrimaryProviderPENINSULA NHS TREATMENT CENTRE (NTPH5)EQ-5D Index</v>
      </c>
      <c r="C4728" t="s">
        <v>249</v>
      </c>
      <c r="D4728" t="s">
        <v>1</v>
      </c>
      <c r="E4728" t="s">
        <v>4285</v>
      </c>
      <c r="F4728" t="s">
        <v>4286</v>
      </c>
      <c r="G4728" t="s">
        <v>52</v>
      </c>
      <c r="H4728">
        <v>222</v>
      </c>
      <c r="I4728">
        <v>0.54700000000000004</v>
      </c>
      <c r="J4728">
        <v>0.78100000000000003</v>
      </c>
      <c r="K4728">
        <v>0.23400000000000001</v>
      </c>
      <c r="L4728">
        <v>177</v>
      </c>
      <c r="M4728">
        <v>18</v>
      </c>
      <c r="N4728">
        <v>27</v>
      </c>
      <c r="O4728">
        <v>0.72899999999999998</v>
      </c>
      <c r="P4728">
        <v>0.30421102100000003</v>
      </c>
      <c r="Q4728">
        <v>0.19800000000000001</v>
      </c>
    </row>
    <row r="4729" spans="1:17" x14ac:dyDescent="0.2">
      <c r="A4729" s="30" t="str">
        <f>IF(C4729&amp;G4729&amp;D4729&lt;&gt;'Funnel setup'!$K$3&amp;'Funnel setup'!$K$4&amp;'Funnel setup'!$K$5,".",IF(A4728=".",1,A4728+1))</f>
        <v>.</v>
      </c>
      <c r="B4729" s="431" t="str">
        <f t="shared" si="73"/>
        <v>Knee Replacement PrimaryProviderPENNINE ACUTE HOSPITALS NHS TRUST (RW6)EQ-5D Index</v>
      </c>
      <c r="C4729" t="s">
        <v>249</v>
      </c>
      <c r="D4729" t="s">
        <v>1</v>
      </c>
      <c r="E4729" t="s">
        <v>3216</v>
      </c>
      <c r="F4729" t="s">
        <v>3217</v>
      </c>
      <c r="G4729" t="s">
        <v>52</v>
      </c>
      <c r="H4729">
        <v>165</v>
      </c>
      <c r="I4729">
        <v>0.30199999999999999</v>
      </c>
      <c r="J4729">
        <v>0.64300000000000002</v>
      </c>
      <c r="K4729">
        <v>0.34100000000000003</v>
      </c>
      <c r="L4729">
        <v>134</v>
      </c>
      <c r="M4729">
        <v>15</v>
      </c>
      <c r="N4729">
        <v>16</v>
      </c>
      <c r="O4729">
        <v>0.72</v>
      </c>
      <c r="P4729">
        <v>0.29542921799999999</v>
      </c>
      <c r="Q4729">
        <v>0.28799999999999998</v>
      </c>
    </row>
    <row r="4730" spans="1:17" x14ac:dyDescent="0.2">
      <c r="A4730" s="30" t="str">
        <f>IF(C4730&amp;G4730&amp;D4730&lt;&gt;'Funnel setup'!$K$3&amp;'Funnel setup'!$K$4&amp;'Funnel setup'!$K$5,".",IF(A4729=".",1,A4729+1))</f>
        <v>.</v>
      </c>
      <c r="B4730" s="431" t="str">
        <f t="shared" si="73"/>
        <v>Knee Replacement PrimaryProviderPETERBOROUGH AND STAMFORD HOSPITALS NHS FOUNDATION TRUST (RGN)EQ-5D Index</v>
      </c>
      <c r="C4730" t="s">
        <v>249</v>
      </c>
      <c r="D4730" t="s">
        <v>1</v>
      </c>
      <c r="E4730" t="s">
        <v>3219</v>
      </c>
      <c r="F4730" t="s">
        <v>3220</v>
      </c>
      <c r="G4730" t="s">
        <v>52</v>
      </c>
      <c r="H4730">
        <v>229</v>
      </c>
      <c r="I4730">
        <v>0.42599999999999999</v>
      </c>
      <c r="J4730">
        <v>0.74099999999999999</v>
      </c>
      <c r="K4730">
        <v>0.316</v>
      </c>
      <c r="L4730">
        <v>178</v>
      </c>
      <c r="M4730">
        <v>24</v>
      </c>
      <c r="N4730">
        <v>27</v>
      </c>
      <c r="O4730">
        <v>0.73899999999999999</v>
      </c>
      <c r="P4730">
        <v>0.31360979999999999</v>
      </c>
      <c r="Q4730">
        <v>0.215</v>
      </c>
    </row>
    <row r="4731" spans="1:17" x14ac:dyDescent="0.2">
      <c r="A4731" s="30" t="str">
        <f>IF(C4731&amp;G4731&amp;D4731&lt;&gt;'Funnel setup'!$K$3&amp;'Funnel setup'!$K$4&amp;'Funnel setup'!$K$5,".",IF(A4730=".",1,A4730+1))</f>
        <v>.</v>
      </c>
      <c r="B4731" s="431" t="str">
        <f t="shared" si="73"/>
        <v>Knee Replacement PrimaryProviderPINEHILL HOSPITAL (NVC15)EQ-5D Index</v>
      </c>
      <c r="C4731" t="s">
        <v>249</v>
      </c>
      <c r="D4731" t="s">
        <v>1</v>
      </c>
      <c r="E4731" t="s">
        <v>3222</v>
      </c>
      <c r="F4731" t="s">
        <v>3223</v>
      </c>
      <c r="G4731" t="s">
        <v>52</v>
      </c>
      <c r="H4731">
        <v>37</v>
      </c>
      <c r="I4731">
        <v>0.40300000000000002</v>
      </c>
      <c r="J4731">
        <v>0.69099999999999995</v>
      </c>
      <c r="K4731">
        <v>0.28799999999999998</v>
      </c>
      <c r="L4731">
        <v>27</v>
      </c>
      <c r="M4731">
        <v>6</v>
      </c>
      <c r="N4731">
        <v>4</v>
      </c>
      <c r="O4731">
        <v>0.69199999999999995</v>
      </c>
      <c r="P4731">
        <v>0.26732092800000001</v>
      </c>
      <c r="Q4731">
        <v>0.27200000000000002</v>
      </c>
    </row>
    <row r="4732" spans="1:17" x14ac:dyDescent="0.2">
      <c r="A4732" s="30" t="str">
        <f>IF(C4732&amp;G4732&amp;D4732&lt;&gt;'Funnel setup'!$K$3&amp;'Funnel setup'!$K$4&amp;'Funnel setup'!$K$5,".",IF(A4731=".",1,A4731+1))</f>
        <v>.</v>
      </c>
      <c r="B4732" s="431" t="str">
        <f t="shared" si="73"/>
        <v>Knee Replacement PrimaryProviderPLYMOUTH HOSPITALS NHS TRUST (RK9)EQ-5D Index</v>
      </c>
      <c r="C4732" t="s">
        <v>249</v>
      </c>
      <c r="D4732" t="s">
        <v>1</v>
      </c>
      <c r="E4732" t="s">
        <v>3225</v>
      </c>
      <c r="F4732" t="s">
        <v>3226</v>
      </c>
      <c r="G4732" t="s">
        <v>52</v>
      </c>
      <c r="H4732">
        <v>202</v>
      </c>
      <c r="I4732">
        <v>0.38800000000000001</v>
      </c>
      <c r="J4732">
        <v>0.69399999999999995</v>
      </c>
      <c r="K4732">
        <v>0.30599999999999999</v>
      </c>
      <c r="L4732">
        <v>162</v>
      </c>
      <c r="M4732">
        <v>17</v>
      </c>
      <c r="N4732">
        <v>23</v>
      </c>
      <c r="O4732">
        <v>0.71599999999999997</v>
      </c>
      <c r="P4732">
        <v>0.29051891499999999</v>
      </c>
      <c r="Q4732">
        <v>0.25600000000000001</v>
      </c>
    </row>
    <row r="4733" spans="1:17" x14ac:dyDescent="0.2">
      <c r="A4733" s="30" t="str">
        <f>IF(C4733&amp;G4733&amp;D4733&lt;&gt;'Funnel setup'!$K$3&amp;'Funnel setup'!$K$4&amp;'Funnel setup'!$K$5,".",IF(A4732=".",1,A4732+1))</f>
        <v>.</v>
      </c>
      <c r="B4733" s="431" t="str">
        <f t="shared" si="73"/>
        <v>Knee Replacement PrimaryProviderPORTSMOUTH HOSPITALS NHS TRUST (RHU)EQ-5D Index</v>
      </c>
      <c r="C4733" t="s">
        <v>249</v>
      </c>
      <c r="D4733" t="s">
        <v>1</v>
      </c>
      <c r="E4733" t="s">
        <v>3234</v>
      </c>
      <c r="F4733" t="s">
        <v>3235</v>
      </c>
      <c r="G4733" t="s">
        <v>52</v>
      </c>
      <c r="H4733">
        <v>142</v>
      </c>
      <c r="I4733">
        <v>0.40699999999999997</v>
      </c>
      <c r="J4733">
        <v>0.70899999999999996</v>
      </c>
      <c r="K4733">
        <v>0.30199999999999999</v>
      </c>
      <c r="L4733">
        <v>119</v>
      </c>
      <c r="M4733">
        <v>12</v>
      </c>
      <c r="N4733">
        <v>11</v>
      </c>
      <c r="O4733">
        <v>0.70299999999999996</v>
      </c>
      <c r="P4733">
        <v>0.27811000800000002</v>
      </c>
      <c r="Q4733">
        <v>0.23200000000000001</v>
      </c>
    </row>
    <row r="4734" spans="1:17" x14ac:dyDescent="0.2">
      <c r="A4734" s="30" t="str">
        <f>IF(C4734&amp;G4734&amp;D4734&lt;&gt;'Funnel setup'!$K$3&amp;'Funnel setup'!$K$4&amp;'Funnel setup'!$K$5,".",IF(A4733=".",1,A4733+1))</f>
        <v>.</v>
      </c>
      <c r="B4734" s="431" t="str">
        <f t="shared" si="73"/>
        <v>Knee Replacement PrimaryProviderRENACRES HOSPITAL (NVC16)EQ-5D Index</v>
      </c>
      <c r="C4734" t="s">
        <v>249</v>
      </c>
      <c r="D4734" t="s">
        <v>1</v>
      </c>
      <c r="E4734" t="s">
        <v>3237</v>
      </c>
      <c r="F4734" t="s">
        <v>3238</v>
      </c>
      <c r="G4734" t="s">
        <v>52</v>
      </c>
      <c r="H4734">
        <v>56</v>
      </c>
      <c r="I4734">
        <v>0.51200000000000001</v>
      </c>
      <c r="J4734">
        <v>0.74199999999999999</v>
      </c>
      <c r="K4734">
        <v>0.23</v>
      </c>
      <c r="L4734">
        <v>41</v>
      </c>
      <c r="M4734">
        <v>5</v>
      </c>
      <c r="N4734">
        <v>10</v>
      </c>
      <c r="O4734">
        <v>0.70199999999999996</v>
      </c>
      <c r="P4734">
        <v>0.27750441599999998</v>
      </c>
      <c r="Q4734">
        <v>0.21</v>
      </c>
    </row>
    <row r="4735" spans="1:17" x14ac:dyDescent="0.2">
      <c r="A4735" s="30" t="str">
        <f>IF(C4735&amp;G4735&amp;D4735&lt;&gt;'Funnel setup'!$K$3&amp;'Funnel setup'!$K$4&amp;'Funnel setup'!$K$5,".",IF(A4734=".",1,A4734+1))</f>
        <v>.</v>
      </c>
      <c r="B4735" s="431" t="str">
        <f t="shared" si="73"/>
        <v>Knee Replacement PrimaryProviderRIVERS HOSPITAL (NVC19)EQ-5D Index</v>
      </c>
      <c r="C4735" t="s">
        <v>249</v>
      </c>
      <c r="D4735" t="s">
        <v>1</v>
      </c>
      <c r="E4735" t="s">
        <v>3204</v>
      </c>
      <c r="F4735" t="s">
        <v>3205</v>
      </c>
      <c r="G4735" t="s">
        <v>52</v>
      </c>
      <c r="H4735">
        <v>77</v>
      </c>
      <c r="I4735">
        <v>0.42199999999999999</v>
      </c>
      <c r="J4735">
        <v>0.82199999999999995</v>
      </c>
      <c r="K4735">
        <v>0.4</v>
      </c>
      <c r="L4735">
        <v>68</v>
      </c>
      <c r="M4735">
        <v>6</v>
      </c>
      <c r="N4735">
        <v>3</v>
      </c>
      <c r="O4735">
        <v>0.79400000000000004</v>
      </c>
      <c r="P4735">
        <v>0.36917844100000002</v>
      </c>
      <c r="Q4735">
        <v>0.193</v>
      </c>
    </row>
    <row r="4736" spans="1:17" x14ac:dyDescent="0.2">
      <c r="A4736" s="30" t="str">
        <f>IF(C4736&amp;G4736&amp;D4736&lt;&gt;'Funnel setup'!$K$3&amp;'Funnel setup'!$K$4&amp;'Funnel setup'!$K$5,".",IF(A4735=".",1,A4735+1))</f>
        <v>.</v>
      </c>
      <c r="B4736" s="431" t="str">
        <f t="shared" si="73"/>
        <v>Knee Replacement PrimaryProviderROWLEY HALL HOSPITAL (NVC17)EQ-5D Index</v>
      </c>
      <c r="C4736" t="s">
        <v>249</v>
      </c>
      <c r="D4736" t="s">
        <v>1</v>
      </c>
      <c r="E4736" t="s">
        <v>3207</v>
      </c>
      <c r="F4736" t="s">
        <v>3208</v>
      </c>
      <c r="G4736" t="s">
        <v>52</v>
      </c>
      <c r="H4736">
        <v>44</v>
      </c>
      <c r="I4736">
        <v>0.41599999999999998</v>
      </c>
      <c r="J4736">
        <v>0.72599999999999998</v>
      </c>
      <c r="K4736">
        <v>0.31</v>
      </c>
      <c r="L4736">
        <v>35</v>
      </c>
      <c r="M4736">
        <v>5</v>
      </c>
      <c r="N4736">
        <v>4</v>
      </c>
      <c r="O4736">
        <v>0.71299999999999997</v>
      </c>
      <c r="P4736">
        <v>0.28795920400000002</v>
      </c>
      <c r="Q4736">
        <v>0.2</v>
      </c>
    </row>
    <row r="4737" spans="1:17" x14ac:dyDescent="0.2">
      <c r="A4737" s="30" t="str">
        <f>IF(C4737&amp;G4737&amp;D4737&lt;&gt;'Funnel setup'!$K$3&amp;'Funnel setup'!$K$4&amp;'Funnel setup'!$K$5,".",IF(A4736=".",1,A4736+1))</f>
        <v>.</v>
      </c>
      <c r="B4737" s="431" t="str">
        <f t="shared" si="73"/>
        <v>Knee Replacement PrimaryProviderROYAL BERKSHIRE NHS FOUNDATION TRUST (RHW)EQ-5D Index</v>
      </c>
      <c r="C4737" t="s">
        <v>249</v>
      </c>
      <c r="D4737" t="s">
        <v>1</v>
      </c>
      <c r="E4737" t="s">
        <v>3832</v>
      </c>
      <c r="F4737" t="s">
        <v>3833</v>
      </c>
      <c r="G4737" t="s">
        <v>52</v>
      </c>
      <c r="H4737">
        <v>132</v>
      </c>
      <c r="I4737">
        <v>0.46200000000000002</v>
      </c>
      <c r="J4737">
        <v>0.752</v>
      </c>
      <c r="K4737">
        <v>0.28999999999999998</v>
      </c>
      <c r="L4737">
        <v>95</v>
      </c>
      <c r="M4737">
        <v>14</v>
      </c>
      <c r="N4737">
        <v>23</v>
      </c>
      <c r="O4737">
        <v>0.72199999999999998</v>
      </c>
      <c r="P4737">
        <v>0.29673571900000001</v>
      </c>
      <c r="Q4737">
        <v>0.221</v>
      </c>
    </row>
    <row r="4738" spans="1:17" x14ac:dyDescent="0.2">
      <c r="A4738" s="30" t="str">
        <f>IF(C4738&amp;G4738&amp;D4738&lt;&gt;'Funnel setup'!$K$3&amp;'Funnel setup'!$K$4&amp;'Funnel setup'!$K$5,".",IF(A4737=".",1,A4737+1))</f>
        <v>.</v>
      </c>
      <c r="B4738" s="431" t="str">
        <f t="shared" si="73"/>
        <v>Knee Replacement PrimaryProviderROYAL CORNWALL HOSPITALS NHS TRUST (REF)EQ-5D Index</v>
      </c>
      <c r="C4738" t="s">
        <v>249</v>
      </c>
      <c r="D4738" t="s">
        <v>1</v>
      </c>
      <c r="E4738" t="s">
        <v>3745</v>
      </c>
      <c r="F4738" t="s">
        <v>3746</v>
      </c>
      <c r="G4738" t="s">
        <v>52</v>
      </c>
      <c r="H4738">
        <v>217</v>
      </c>
      <c r="I4738">
        <v>0.42</v>
      </c>
      <c r="J4738">
        <v>0.76500000000000001</v>
      </c>
      <c r="K4738">
        <v>0.34499999999999997</v>
      </c>
      <c r="L4738">
        <v>179</v>
      </c>
      <c r="M4738">
        <v>27</v>
      </c>
      <c r="N4738">
        <v>11</v>
      </c>
      <c r="O4738">
        <v>0.77700000000000002</v>
      </c>
      <c r="P4738">
        <v>0.35199292999999998</v>
      </c>
      <c r="Q4738">
        <v>0.223</v>
      </c>
    </row>
    <row r="4739" spans="1:17" x14ac:dyDescent="0.2">
      <c r="A4739" s="30" t="str">
        <f>IF(C4739&amp;G4739&amp;D4739&lt;&gt;'Funnel setup'!$K$3&amp;'Funnel setup'!$K$4&amp;'Funnel setup'!$K$5,".",IF(A4738=".",1,A4738+1))</f>
        <v>.</v>
      </c>
      <c r="B4739" s="431" t="str">
        <f t="shared" ref="B4739:B4802" si="74">C4739&amp;D4739&amp;F4739&amp;G4739</f>
        <v>Knee Replacement PrimaryProviderROYAL DEVON AND EXETER NHS FOUNDATION TRUST (RH8)EQ-5D Index</v>
      </c>
      <c r="C4739" t="s">
        <v>249</v>
      </c>
      <c r="D4739" t="s">
        <v>1</v>
      </c>
      <c r="E4739" t="s">
        <v>3442</v>
      </c>
      <c r="F4739" t="s">
        <v>3443</v>
      </c>
      <c r="G4739" t="s">
        <v>52</v>
      </c>
      <c r="H4739">
        <v>401</v>
      </c>
      <c r="I4739">
        <v>0.45100000000000001</v>
      </c>
      <c r="J4739">
        <v>0.77700000000000002</v>
      </c>
      <c r="K4739">
        <v>0.32600000000000001</v>
      </c>
      <c r="L4739">
        <v>330</v>
      </c>
      <c r="M4739">
        <v>42</v>
      </c>
      <c r="N4739">
        <v>29</v>
      </c>
      <c r="O4739">
        <v>0.76700000000000002</v>
      </c>
      <c r="P4739">
        <v>0.34193828199999998</v>
      </c>
      <c r="Q4739">
        <v>0.20699999999999999</v>
      </c>
    </row>
    <row r="4740" spans="1:17" x14ac:dyDescent="0.2">
      <c r="A4740" s="30" t="str">
        <f>IF(C4740&amp;G4740&amp;D4740&lt;&gt;'Funnel setup'!$K$3&amp;'Funnel setup'!$K$4&amp;'Funnel setup'!$K$5,".",IF(A4739=".",1,A4739+1))</f>
        <v>.</v>
      </c>
      <c r="B4740" s="431" t="str">
        <f t="shared" si="74"/>
        <v>Knee Replacement PrimaryProviderROYAL FREE LONDON NHS FOUNDATION TRUST (RAL)EQ-5D Index</v>
      </c>
      <c r="C4740" t="s">
        <v>249</v>
      </c>
      <c r="D4740" t="s">
        <v>1</v>
      </c>
      <c r="E4740" t="s">
        <v>3445</v>
      </c>
      <c r="F4740" t="s">
        <v>3446</v>
      </c>
      <c r="G4740" t="s">
        <v>52</v>
      </c>
      <c r="H4740">
        <v>156</v>
      </c>
      <c r="I4740">
        <v>0.39500000000000002</v>
      </c>
      <c r="J4740">
        <v>0.67700000000000005</v>
      </c>
      <c r="K4740">
        <v>0.28199999999999997</v>
      </c>
      <c r="L4740">
        <v>123</v>
      </c>
      <c r="M4740">
        <v>13</v>
      </c>
      <c r="N4740">
        <v>20</v>
      </c>
      <c r="O4740">
        <v>0.7</v>
      </c>
      <c r="P4740">
        <v>0.27513005899999998</v>
      </c>
      <c r="Q4740">
        <v>0.245</v>
      </c>
    </row>
    <row r="4741" spans="1:17" x14ac:dyDescent="0.2">
      <c r="A4741" s="30" t="str">
        <f>IF(C4741&amp;G4741&amp;D4741&lt;&gt;'Funnel setup'!$K$3&amp;'Funnel setup'!$K$4&amp;'Funnel setup'!$K$5,".",IF(A4740=".",1,A4740+1))</f>
        <v>.</v>
      </c>
      <c r="B4741" s="431" t="str">
        <f t="shared" si="74"/>
        <v>Knee Replacement PrimaryProviderROYAL LIVERPOOL AND BROADGREEN UNIVERSITY HOSPITALS NHS TRUST (RQ6)EQ-5D Index</v>
      </c>
      <c r="C4741" t="s">
        <v>249</v>
      </c>
      <c r="D4741" t="s">
        <v>1</v>
      </c>
      <c r="E4741" t="s">
        <v>3448</v>
      </c>
      <c r="F4741" t="s">
        <v>3449</v>
      </c>
      <c r="G4741" t="s">
        <v>52</v>
      </c>
      <c r="H4741">
        <v>135</v>
      </c>
      <c r="I4741">
        <v>0.36199999999999999</v>
      </c>
      <c r="J4741">
        <v>0.64800000000000002</v>
      </c>
      <c r="K4741">
        <v>0.28599999999999998</v>
      </c>
      <c r="L4741">
        <v>98</v>
      </c>
      <c r="M4741">
        <v>20</v>
      </c>
      <c r="N4741">
        <v>17</v>
      </c>
      <c r="O4741">
        <v>0.70499999999999996</v>
      </c>
      <c r="P4741">
        <v>0.28017492900000002</v>
      </c>
      <c r="Q4741">
        <v>0.254</v>
      </c>
    </row>
    <row r="4742" spans="1:17" x14ac:dyDescent="0.2">
      <c r="A4742" s="30" t="str">
        <f>IF(C4742&amp;G4742&amp;D4742&lt;&gt;'Funnel setup'!$K$3&amp;'Funnel setup'!$K$4&amp;'Funnel setup'!$K$5,".",IF(A4741=".",1,A4741+1))</f>
        <v>.</v>
      </c>
      <c r="B4742" s="431" t="str">
        <f t="shared" si="74"/>
        <v>Knee Replacement PrimaryProviderROYAL NATIONAL ORTHOPAEDIC HOSPITAL NHS TRUST (RAN)EQ-5D Index</v>
      </c>
      <c r="C4742" t="s">
        <v>249</v>
      </c>
      <c r="D4742" t="s">
        <v>1</v>
      </c>
      <c r="E4742" t="s">
        <v>4378</v>
      </c>
      <c r="F4742" t="s">
        <v>4379</v>
      </c>
      <c r="G4742" t="s">
        <v>52</v>
      </c>
      <c r="H4742">
        <v>98</v>
      </c>
      <c r="I4742">
        <v>0.4</v>
      </c>
      <c r="J4742">
        <v>0.67500000000000004</v>
      </c>
      <c r="K4742">
        <v>0.27500000000000002</v>
      </c>
      <c r="L4742">
        <v>77</v>
      </c>
      <c r="M4742">
        <v>10</v>
      </c>
      <c r="N4742">
        <v>11</v>
      </c>
      <c r="O4742">
        <v>0.70099999999999996</v>
      </c>
      <c r="P4742">
        <v>0.27572568400000003</v>
      </c>
      <c r="Q4742">
        <v>0.24299999999999999</v>
      </c>
    </row>
    <row r="4743" spans="1:17" x14ac:dyDescent="0.2">
      <c r="A4743" s="30" t="str">
        <f>IF(C4743&amp;G4743&amp;D4743&lt;&gt;'Funnel setup'!$K$3&amp;'Funnel setup'!$K$4&amp;'Funnel setup'!$K$5,".",IF(A4742=".",1,A4742+1))</f>
        <v>.</v>
      </c>
      <c r="B4743" s="431" t="str">
        <f t="shared" si="74"/>
        <v>Knee Replacement PrimaryProviderROYAL SURREY COUNTY HOSPITAL NHS FOUNDATION TRUST (RA2)EQ-5D Index</v>
      </c>
      <c r="C4743" t="s">
        <v>249</v>
      </c>
      <c r="D4743" t="s">
        <v>1</v>
      </c>
      <c r="E4743" t="s">
        <v>3451</v>
      </c>
      <c r="F4743" t="s">
        <v>3452</v>
      </c>
      <c r="G4743" t="s">
        <v>52</v>
      </c>
      <c r="H4743">
        <v>106</v>
      </c>
      <c r="I4743">
        <v>0.47299999999999998</v>
      </c>
      <c r="J4743">
        <v>0.82699999999999996</v>
      </c>
      <c r="K4743">
        <v>0.35399999999999998</v>
      </c>
      <c r="L4743">
        <v>94</v>
      </c>
      <c r="M4743">
        <v>7</v>
      </c>
      <c r="N4743">
        <v>5</v>
      </c>
      <c r="O4743">
        <v>0.78700000000000003</v>
      </c>
      <c r="P4743">
        <v>0.36198910699999998</v>
      </c>
      <c r="Q4743">
        <v>0.17399999999999999</v>
      </c>
    </row>
    <row r="4744" spans="1:17" x14ac:dyDescent="0.2">
      <c r="A4744" s="30" t="str">
        <f>IF(C4744&amp;G4744&amp;D4744&lt;&gt;'Funnel setup'!$K$3&amp;'Funnel setup'!$K$4&amp;'Funnel setup'!$K$5,".",IF(A4743=".",1,A4743+1))</f>
        <v>.</v>
      </c>
      <c r="B4744" s="431" t="str">
        <f t="shared" si="74"/>
        <v>Knee Replacement PrimaryProviderROYAL UNITED HOSPITALS BATH NHS FOUNDATION TRUST (RD1)EQ-5D Index</v>
      </c>
      <c r="C4744" t="s">
        <v>249</v>
      </c>
      <c r="D4744" t="s">
        <v>1</v>
      </c>
      <c r="E4744" t="s">
        <v>3454</v>
      </c>
      <c r="F4744" t="s">
        <v>3455</v>
      </c>
      <c r="G4744" t="s">
        <v>52</v>
      </c>
      <c r="H4744">
        <v>166</v>
      </c>
      <c r="I4744">
        <v>0.41599999999999998</v>
      </c>
      <c r="J4744">
        <v>0.71699999999999997</v>
      </c>
      <c r="K4744">
        <v>0.30099999999999999</v>
      </c>
      <c r="L4744">
        <v>134</v>
      </c>
      <c r="M4744">
        <v>19</v>
      </c>
      <c r="N4744">
        <v>13</v>
      </c>
      <c r="O4744">
        <v>0.72699999999999998</v>
      </c>
      <c r="P4744">
        <v>0.302092521</v>
      </c>
      <c r="Q4744">
        <v>0.23599999999999999</v>
      </c>
    </row>
    <row r="4745" spans="1:17" x14ac:dyDescent="0.2">
      <c r="A4745" s="30" t="str">
        <f>IF(C4745&amp;G4745&amp;D4745&lt;&gt;'Funnel setup'!$K$3&amp;'Funnel setup'!$K$4&amp;'Funnel setup'!$K$5,".",IF(A4744=".",1,A4744+1))</f>
        <v>.</v>
      </c>
      <c r="B4745" s="431" t="str">
        <f t="shared" si="74"/>
        <v>Knee Replacement PrimaryProviderSALFORD ROYAL NHS FOUNDATION TRUST (RM3)EQ-5D Index</v>
      </c>
      <c r="C4745" t="s">
        <v>249</v>
      </c>
      <c r="D4745" t="s">
        <v>1</v>
      </c>
      <c r="E4745" t="s">
        <v>3457</v>
      </c>
      <c r="F4745" t="s">
        <v>3458</v>
      </c>
      <c r="G4745" t="s">
        <v>52</v>
      </c>
      <c r="H4745">
        <v>91</v>
      </c>
      <c r="I4745">
        <v>0.32800000000000001</v>
      </c>
      <c r="J4745">
        <v>0.66100000000000003</v>
      </c>
      <c r="K4745">
        <v>0.33300000000000002</v>
      </c>
      <c r="L4745">
        <v>72</v>
      </c>
      <c r="M4745">
        <v>7</v>
      </c>
      <c r="N4745">
        <v>12</v>
      </c>
      <c r="O4745">
        <v>0.72</v>
      </c>
      <c r="P4745">
        <v>0.29495803999999998</v>
      </c>
      <c r="Q4745">
        <v>0.26200000000000001</v>
      </c>
    </row>
    <row r="4746" spans="1:17" x14ac:dyDescent="0.2">
      <c r="A4746" s="30" t="str">
        <f>IF(C4746&amp;G4746&amp;D4746&lt;&gt;'Funnel setup'!$K$3&amp;'Funnel setup'!$K$4&amp;'Funnel setup'!$K$5,".",IF(A4745=".",1,A4745+1))</f>
        <v>.</v>
      </c>
      <c r="B4746" s="431" t="str">
        <f t="shared" si="74"/>
        <v>Knee Replacement PrimaryProviderSALISBURY NHS FOUNDATION TRUST (RNZ)EQ-5D Index</v>
      </c>
      <c r="C4746" t="s">
        <v>249</v>
      </c>
      <c r="D4746" t="s">
        <v>1</v>
      </c>
      <c r="E4746" t="s">
        <v>3460</v>
      </c>
      <c r="F4746" t="s">
        <v>3461</v>
      </c>
      <c r="G4746" t="s">
        <v>52</v>
      </c>
      <c r="H4746">
        <v>182</v>
      </c>
      <c r="I4746">
        <v>0.44600000000000001</v>
      </c>
      <c r="J4746">
        <v>0.74299999999999999</v>
      </c>
      <c r="K4746">
        <v>0.29599999999999999</v>
      </c>
      <c r="L4746">
        <v>142</v>
      </c>
      <c r="M4746">
        <v>20</v>
      </c>
      <c r="N4746">
        <v>20</v>
      </c>
      <c r="O4746">
        <v>0.72799999999999998</v>
      </c>
      <c r="P4746">
        <v>0.30257605199999998</v>
      </c>
      <c r="Q4746">
        <v>0.251</v>
      </c>
    </row>
    <row r="4747" spans="1:17" x14ac:dyDescent="0.2">
      <c r="A4747" s="30" t="str">
        <f>IF(C4747&amp;G4747&amp;D4747&lt;&gt;'Funnel setup'!$K$3&amp;'Funnel setup'!$K$4&amp;'Funnel setup'!$K$5,".",IF(A4746=".",1,A4746+1))</f>
        <v>.</v>
      </c>
      <c r="B4747" s="431" t="str">
        <f t="shared" si="74"/>
        <v>Knee Replacement PrimaryProviderSANDWELL AND WEST BIRMINGHAM HOSPITALS NHS TRUST (RXK)EQ-5D Index</v>
      </c>
      <c r="C4747" t="s">
        <v>249</v>
      </c>
      <c r="D4747" t="s">
        <v>1</v>
      </c>
      <c r="E4747" t="s">
        <v>3463</v>
      </c>
      <c r="F4747" t="s">
        <v>3464</v>
      </c>
      <c r="G4747" t="s">
        <v>52</v>
      </c>
      <c r="H4747">
        <v>185</v>
      </c>
      <c r="I4747">
        <v>0.34599999999999997</v>
      </c>
      <c r="J4747">
        <v>0.64600000000000002</v>
      </c>
      <c r="K4747">
        <v>0.29899999999999999</v>
      </c>
      <c r="L4747">
        <v>143</v>
      </c>
      <c r="M4747">
        <v>27</v>
      </c>
      <c r="N4747">
        <v>15</v>
      </c>
      <c r="O4747">
        <v>0.70799999999999996</v>
      </c>
      <c r="P4747">
        <v>0.28307133600000001</v>
      </c>
      <c r="Q4747">
        <v>0.27400000000000002</v>
      </c>
    </row>
    <row r="4748" spans="1:17" x14ac:dyDescent="0.2">
      <c r="A4748" s="30" t="str">
        <f>IF(C4748&amp;G4748&amp;D4748&lt;&gt;'Funnel setup'!$K$3&amp;'Funnel setup'!$K$4&amp;'Funnel setup'!$K$5,".",IF(A4747=".",1,A4747+1))</f>
        <v>.</v>
      </c>
      <c r="B4748" s="431" t="str">
        <f t="shared" si="74"/>
        <v>Knee Replacement PrimaryProviderSHEFFIELD TEACHING HOSPITALS NHS FOUNDATION TRUST (RHQ)EQ-5D Index</v>
      </c>
      <c r="C4748" t="s">
        <v>249</v>
      </c>
      <c r="D4748" t="s">
        <v>1</v>
      </c>
      <c r="E4748" t="s">
        <v>3466</v>
      </c>
      <c r="F4748" t="s">
        <v>3467</v>
      </c>
      <c r="G4748" t="s">
        <v>52</v>
      </c>
      <c r="H4748">
        <v>477</v>
      </c>
      <c r="I4748">
        <v>0.40899999999999997</v>
      </c>
      <c r="J4748">
        <v>0.73699999999999999</v>
      </c>
      <c r="K4748">
        <v>0.32800000000000001</v>
      </c>
      <c r="L4748">
        <v>377</v>
      </c>
      <c r="M4748">
        <v>54</v>
      </c>
      <c r="N4748">
        <v>46</v>
      </c>
      <c r="O4748">
        <v>0.753</v>
      </c>
      <c r="P4748">
        <v>0.32803998600000001</v>
      </c>
      <c r="Q4748">
        <v>0.22500000000000001</v>
      </c>
    </row>
    <row r="4749" spans="1:17" x14ac:dyDescent="0.2">
      <c r="A4749" s="30" t="str">
        <f>IF(C4749&amp;G4749&amp;D4749&lt;&gt;'Funnel setup'!$K$3&amp;'Funnel setup'!$K$4&amp;'Funnel setup'!$K$5,".",IF(A4748=".",1,A4748+1))</f>
        <v>.</v>
      </c>
      <c r="B4749" s="431" t="str">
        <f t="shared" si="74"/>
        <v>Knee Replacement PrimaryProviderSHEPTON MALLET NHS TREATMENT CENTRE (NTPH1)EQ-5D Index</v>
      </c>
      <c r="C4749" t="s">
        <v>249</v>
      </c>
      <c r="D4749" t="s">
        <v>1</v>
      </c>
      <c r="E4749" t="s">
        <v>3472</v>
      </c>
      <c r="F4749" t="s">
        <v>3473</v>
      </c>
      <c r="G4749" t="s">
        <v>52</v>
      </c>
      <c r="H4749">
        <v>163</v>
      </c>
      <c r="I4749">
        <v>0.44900000000000001</v>
      </c>
      <c r="J4749">
        <v>0.81399999999999995</v>
      </c>
      <c r="K4749">
        <v>0.36499999999999999</v>
      </c>
      <c r="L4749">
        <v>143</v>
      </c>
      <c r="M4749">
        <v>9</v>
      </c>
      <c r="N4749">
        <v>11</v>
      </c>
      <c r="O4749">
        <v>0.78100000000000003</v>
      </c>
      <c r="P4749">
        <v>0.356129639</v>
      </c>
      <c r="Q4749">
        <v>0.222</v>
      </c>
    </row>
    <row r="4750" spans="1:17" x14ac:dyDescent="0.2">
      <c r="A4750" s="30" t="str">
        <f>IF(C4750&amp;G4750&amp;D4750&lt;&gt;'Funnel setup'!$K$3&amp;'Funnel setup'!$K$4&amp;'Funnel setup'!$K$5,".",IF(A4749=".",1,A4749+1))</f>
        <v>.</v>
      </c>
      <c r="B4750" s="431" t="str">
        <f t="shared" si="74"/>
        <v>Knee Replacement PrimaryProviderSHERWOOD FOREST HOSPITALS NHS FOUNDATION TRUST (RK5)EQ-5D Index</v>
      </c>
      <c r="C4750" t="s">
        <v>249</v>
      </c>
      <c r="D4750" t="s">
        <v>1</v>
      </c>
      <c r="E4750" t="s">
        <v>3475</v>
      </c>
      <c r="F4750" t="s">
        <v>3476</v>
      </c>
      <c r="G4750" t="s">
        <v>52</v>
      </c>
      <c r="H4750">
        <v>159</v>
      </c>
      <c r="I4750">
        <v>0.36299999999999999</v>
      </c>
      <c r="J4750">
        <v>0.65700000000000003</v>
      </c>
      <c r="K4750">
        <v>0.29399999999999998</v>
      </c>
      <c r="L4750">
        <v>123</v>
      </c>
      <c r="M4750">
        <v>16</v>
      </c>
      <c r="N4750">
        <v>20</v>
      </c>
      <c r="O4750">
        <v>0.70399999999999996</v>
      </c>
      <c r="P4750">
        <v>0.27907820700000002</v>
      </c>
      <c r="Q4750">
        <v>0.27400000000000002</v>
      </c>
    </row>
    <row r="4751" spans="1:17" x14ac:dyDescent="0.2">
      <c r="A4751" s="30" t="str">
        <f>IF(C4751&amp;G4751&amp;D4751&lt;&gt;'Funnel setup'!$K$3&amp;'Funnel setup'!$K$4&amp;'Funnel setup'!$K$5,".",IF(A4750=".",1,A4750+1))</f>
        <v>.</v>
      </c>
      <c r="B4751" s="431" t="str">
        <f t="shared" si="74"/>
        <v>Knee Replacement PrimaryProviderSHREWSBURY AND TELFORD HOSPITAL NHS TRUST (RXW)EQ-5D Index</v>
      </c>
      <c r="C4751" t="s">
        <v>249</v>
      </c>
      <c r="D4751" t="s">
        <v>1</v>
      </c>
      <c r="E4751" t="s">
        <v>3478</v>
      </c>
      <c r="F4751" t="s">
        <v>3479</v>
      </c>
      <c r="G4751" t="s">
        <v>52</v>
      </c>
      <c r="H4751">
        <v>139</v>
      </c>
      <c r="I4751">
        <v>0.38400000000000001</v>
      </c>
      <c r="J4751">
        <v>0.70099999999999996</v>
      </c>
      <c r="K4751">
        <v>0.317</v>
      </c>
      <c r="L4751">
        <v>112</v>
      </c>
      <c r="M4751">
        <v>9</v>
      </c>
      <c r="N4751">
        <v>18</v>
      </c>
      <c r="O4751">
        <v>0.71399999999999997</v>
      </c>
      <c r="P4751">
        <v>0.28882218900000001</v>
      </c>
      <c r="Q4751">
        <v>0.253</v>
      </c>
    </row>
    <row r="4752" spans="1:17" x14ac:dyDescent="0.2">
      <c r="A4752" s="30" t="str">
        <f>IF(C4752&amp;G4752&amp;D4752&lt;&gt;'Funnel setup'!$K$3&amp;'Funnel setup'!$K$4&amp;'Funnel setup'!$K$5,".",IF(A4751=".",1,A4751+1))</f>
        <v>.</v>
      </c>
      <c r="B4752" s="431" t="str">
        <f t="shared" si="74"/>
        <v>Knee Replacement PrimaryProviderSOUTH TEES HOSPITALS NHS FOUNDATION TRUST (RTR)EQ-5D Index</v>
      </c>
      <c r="C4752" t="s">
        <v>249</v>
      </c>
      <c r="D4752" t="s">
        <v>1</v>
      </c>
      <c r="E4752" t="s">
        <v>3482</v>
      </c>
      <c r="F4752" t="s">
        <v>3483</v>
      </c>
      <c r="G4752" t="s">
        <v>52</v>
      </c>
      <c r="H4752">
        <v>527</v>
      </c>
      <c r="I4752">
        <v>0.41299999999999998</v>
      </c>
      <c r="J4752">
        <v>0.754</v>
      </c>
      <c r="K4752">
        <v>0.34100000000000003</v>
      </c>
      <c r="L4752">
        <v>441</v>
      </c>
      <c r="M4752">
        <v>48</v>
      </c>
      <c r="N4752">
        <v>38</v>
      </c>
      <c r="O4752">
        <v>0.77300000000000002</v>
      </c>
      <c r="P4752">
        <v>0.34796730599999998</v>
      </c>
      <c r="Q4752">
        <v>0.222</v>
      </c>
    </row>
    <row r="4753" spans="1:17" x14ac:dyDescent="0.2">
      <c r="A4753" s="30" t="str">
        <f>IF(C4753&amp;G4753&amp;D4753&lt;&gt;'Funnel setup'!$K$3&amp;'Funnel setup'!$K$4&amp;'Funnel setup'!$K$5,".",IF(A4752=".",1,A4752+1))</f>
        <v>.</v>
      </c>
      <c r="B4753" s="431" t="str">
        <f t="shared" si="74"/>
        <v>Knee Replacement PrimaryProviderSOUTH TYNESIDE NHS FOUNDATION TRUST (RE9)EQ-5D Index</v>
      </c>
      <c r="C4753" t="s">
        <v>249</v>
      </c>
      <c r="D4753" t="s">
        <v>1</v>
      </c>
      <c r="E4753" t="s">
        <v>3485</v>
      </c>
      <c r="F4753" t="s">
        <v>3486</v>
      </c>
      <c r="G4753" t="s">
        <v>52</v>
      </c>
      <c r="H4753">
        <v>67</v>
      </c>
      <c r="I4753">
        <v>0.434</v>
      </c>
      <c r="J4753">
        <v>0.621</v>
      </c>
      <c r="K4753">
        <v>0.186</v>
      </c>
      <c r="L4753">
        <v>42</v>
      </c>
      <c r="M4753">
        <v>12</v>
      </c>
      <c r="N4753">
        <v>13</v>
      </c>
      <c r="O4753">
        <v>0.627</v>
      </c>
      <c r="P4753">
        <v>0.202170303</v>
      </c>
      <c r="Q4753">
        <v>0.28000000000000003</v>
      </c>
    </row>
    <row r="4754" spans="1:17" x14ac:dyDescent="0.2">
      <c r="A4754" s="30" t="str">
        <f>IF(C4754&amp;G4754&amp;D4754&lt;&gt;'Funnel setup'!$K$3&amp;'Funnel setup'!$K$4&amp;'Funnel setup'!$K$5,".",IF(A4753=".",1,A4753+1))</f>
        <v>.</v>
      </c>
      <c r="B4754" s="431" t="str">
        <f t="shared" si="74"/>
        <v>Knee Replacement PrimaryProviderSOUTH WARWICKSHIRE NHS FOUNDATION TRUST (RJC)EQ-5D Index</v>
      </c>
      <c r="C4754" t="s">
        <v>249</v>
      </c>
      <c r="D4754" t="s">
        <v>1</v>
      </c>
      <c r="E4754" t="s">
        <v>3421</v>
      </c>
      <c r="F4754" t="s">
        <v>3422</v>
      </c>
      <c r="G4754" t="s">
        <v>52</v>
      </c>
      <c r="H4754">
        <v>226</v>
      </c>
      <c r="I4754">
        <v>0.44700000000000001</v>
      </c>
      <c r="J4754">
        <v>0.74</v>
      </c>
      <c r="K4754">
        <v>0.29199999999999998</v>
      </c>
      <c r="L4754">
        <v>184</v>
      </c>
      <c r="M4754">
        <v>22</v>
      </c>
      <c r="N4754">
        <v>20</v>
      </c>
      <c r="O4754">
        <v>0.72499999999999998</v>
      </c>
      <c r="P4754">
        <v>0.300063729</v>
      </c>
      <c r="Q4754">
        <v>0.20599999999999999</v>
      </c>
    </row>
    <row r="4755" spans="1:17" x14ac:dyDescent="0.2">
      <c r="A4755" s="30" t="str">
        <f>IF(C4755&amp;G4755&amp;D4755&lt;&gt;'Funnel setup'!$K$3&amp;'Funnel setup'!$K$4&amp;'Funnel setup'!$K$5,".",IF(A4754=".",1,A4754+1))</f>
        <v>.</v>
      </c>
      <c r="B4755" s="431" t="str">
        <f t="shared" si="74"/>
        <v>Knee Replacement PrimaryProviderSOUTHAMPTON NHS TREATMENT CENTRE (NTP11)EQ-5D Index</v>
      </c>
      <c r="C4755" t="s">
        <v>249</v>
      </c>
      <c r="D4755" t="s">
        <v>1</v>
      </c>
      <c r="E4755" t="s">
        <v>3424</v>
      </c>
      <c r="F4755" t="s">
        <v>3425</v>
      </c>
      <c r="G4755" t="s">
        <v>52</v>
      </c>
      <c r="H4755">
        <v>113</v>
      </c>
      <c r="I4755">
        <v>0.40200000000000002</v>
      </c>
      <c r="J4755">
        <v>0.72699999999999998</v>
      </c>
      <c r="K4755">
        <v>0.32400000000000001</v>
      </c>
      <c r="L4755">
        <v>95</v>
      </c>
      <c r="M4755">
        <v>8</v>
      </c>
      <c r="N4755">
        <v>10</v>
      </c>
      <c r="O4755">
        <v>0.72499999999999998</v>
      </c>
      <c r="P4755">
        <v>0.30043590999999997</v>
      </c>
      <c r="Q4755">
        <v>0.224</v>
      </c>
    </row>
    <row r="4756" spans="1:17" x14ac:dyDescent="0.2">
      <c r="A4756" s="30" t="str">
        <f>IF(C4756&amp;G4756&amp;D4756&lt;&gt;'Funnel setup'!$K$3&amp;'Funnel setup'!$K$4&amp;'Funnel setup'!$K$5,".",IF(A4755=".",1,A4755+1))</f>
        <v>.</v>
      </c>
      <c r="B4756" s="431" t="str">
        <f t="shared" si="74"/>
        <v>Knee Replacement PrimaryProviderSOUTHEND UNIVERSITY HOSPITAL NHS FOUNDATION TRUST (RAJ)EQ-5D Index</v>
      </c>
      <c r="C4756" t="s">
        <v>249</v>
      </c>
      <c r="D4756" t="s">
        <v>1</v>
      </c>
      <c r="E4756" t="s">
        <v>3427</v>
      </c>
      <c r="F4756" t="s">
        <v>3428</v>
      </c>
      <c r="G4756" t="s">
        <v>52</v>
      </c>
      <c r="H4756">
        <v>170</v>
      </c>
      <c r="I4756">
        <v>0.41299999999999998</v>
      </c>
      <c r="J4756">
        <v>0.71099999999999997</v>
      </c>
      <c r="K4756">
        <v>0.29799999999999999</v>
      </c>
      <c r="L4756">
        <v>133</v>
      </c>
      <c r="M4756">
        <v>19</v>
      </c>
      <c r="N4756">
        <v>18</v>
      </c>
      <c r="O4756">
        <v>0.71599999999999997</v>
      </c>
      <c r="P4756">
        <v>0.29069484699999998</v>
      </c>
      <c r="Q4756">
        <v>0.221</v>
      </c>
    </row>
    <row r="4757" spans="1:17" x14ac:dyDescent="0.2">
      <c r="A4757" s="30" t="str">
        <f>IF(C4757&amp;G4757&amp;D4757&lt;&gt;'Funnel setup'!$K$3&amp;'Funnel setup'!$K$4&amp;'Funnel setup'!$K$5,".",IF(A4756=".",1,A4756+1))</f>
        <v>.</v>
      </c>
      <c r="B4757" s="431" t="str">
        <f t="shared" si="74"/>
        <v>Knee Replacement PrimaryProviderSOUTHPORT AND ORMSKIRK HOSPITAL NHS TRUST (RVY)EQ-5D Index</v>
      </c>
      <c r="C4757" t="s">
        <v>249</v>
      </c>
      <c r="D4757" t="s">
        <v>1</v>
      </c>
      <c r="E4757" t="s">
        <v>3430</v>
      </c>
      <c r="F4757" t="s">
        <v>3431</v>
      </c>
      <c r="G4757" t="s">
        <v>52</v>
      </c>
      <c r="H4757">
        <v>100</v>
      </c>
      <c r="I4757">
        <v>0.34200000000000003</v>
      </c>
      <c r="J4757">
        <v>0.71499999999999997</v>
      </c>
      <c r="K4757">
        <v>0.374</v>
      </c>
      <c r="L4757">
        <v>81</v>
      </c>
      <c r="M4757">
        <v>8</v>
      </c>
      <c r="N4757">
        <v>11</v>
      </c>
      <c r="O4757">
        <v>0.74</v>
      </c>
      <c r="P4757">
        <v>0.31526203899999999</v>
      </c>
      <c r="Q4757">
        <v>0.255</v>
      </c>
    </row>
    <row r="4758" spans="1:17" x14ac:dyDescent="0.2">
      <c r="A4758" s="30" t="str">
        <f>IF(C4758&amp;G4758&amp;D4758&lt;&gt;'Funnel setup'!$K$3&amp;'Funnel setup'!$K$4&amp;'Funnel setup'!$K$5,".",IF(A4757=".",1,A4757+1))</f>
        <v>.</v>
      </c>
      <c r="B4758" s="431" t="str">
        <f t="shared" si="74"/>
        <v>Knee Replacement PrimaryProviderSPIRE ALEXANDRA HOSPITAL (NT312)EQ-5D Index</v>
      </c>
      <c r="C4758" t="s">
        <v>249</v>
      </c>
      <c r="D4758" t="s">
        <v>1</v>
      </c>
      <c r="E4758" t="s">
        <v>3433</v>
      </c>
      <c r="F4758" t="s">
        <v>3434</v>
      </c>
      <c r="G4758" t="s">
        <v>52</v>
      </c>
      <c r="H4758">
        <v>57</v>
      </c>
      <c r="I4758">
        <v>0.51900000000000002</v>
      </c>
      <c r="J4758">
        <v>0.78300000000000003</v>
      </c>
      <c r="K4758">
        <v>0.26300000000000001</v>
      </c>
      <c r="L4758">
        <v>48</v>
      </c>
      <c r="M4758">
        <v>4</v>
      </c>
      <c r="N4758">
        <v>5</v>
      </c>
      <c r="O4758">
        <v>0.748</v>
      </c>
      <c r="P4758">
        <v>0.32316410600000001</v>
      </c>
      <c r="Q4758">
        <v>0.16500000000000001</v>
      </c>
    </row>
    <row r="4759" spans="1:17" x14ac:dyDescent="0.2">
      <c r="A4759" s="30" t="str">
        <f>IF(C4759&amp;G4759&amp;D4759&lt;&gt;'Funnel setup'!$K$3&amp;'Funnel setup'!$K$4&amp;'Funnel setup'!$K$5,".",IF(A4758=".",1,A4758+1))</f>
        <v>.</v>
      </c>
      <c r="B4759" s="431" t="str">
        <f t="shared" si="74"/>
        <v>Knee Replacement PrimaryProviderSPIRE BRISTOL HOSPITAL (NT302)EQ-5D Index</v>
      </c>
      <c r="C4759" t="s">
        <v>249</v>
      </c>
      <c r="D4759" t="s">
        <v>1</v>
      </c>
      <c r="E4759" t="s">
        <v>4381</v>
      </c>
      <c r="F4759" t="s">
        <v>4382</v>
      </c>
      <c r="G4759" t="s">
        <v>52</v>
      </c>
      <c r="H4759">
        <v>80</v>
      </c>
      <c r="I4759">
        <v>0.50600000000000001</v>
      </c>
      <c r="J4759">
        <v>0.82599999999999996</v>
      </c>
      <c r="K4759">
        <v>0.32</v>
      </c>
      <c r="L4759">
        <v>70</v>
      </c>
      <c r="M4759">
        <v>4</v>
      </c>
      <c r="N4759">
        <v>6</v>
      </c>
      <c r="O4759">
        <v>0.78500000000000003</v>
      </c>
      <c r="P4759">
        <v>0.35953758699999999</v>
      </c>
      <c r="Q4759">
        <v>0.18099999999999999</v>
      </c>
    </row>
    <row r="4760" spans="1:17" x14ac:dyDescent="0.2">
      <c r="A4760" s="30" t="str">
        <f>IF(C4760&amp;G4760&amp;D4760&lt;&gt;'Funnel setup'!$K$3&amp;'Funnel setup'!$K$4&amp;'Funnel setup'!$K$5,".",IF(A4759=".",1,A4759+1))</f>
        <v>.</v>
      </c>
      <c r="B4760" s="431" t="str">
        <f t="shared" si="74"/>
        <v>Knee Replacement PrimaryProviderSPIRE BUSHEY HOSPITAL (NT315)EQ-5D Index</v>
      </c>
      <c r="C4760" t="s">
        <v>249</v>
      </c>
      <c r="D4760" t="s">
        <v>1</v>
      </c>
      <c r="E4760" t="s">
        <v>4364</v>
      </c>
      <c r="F4760" t="s">
        <v>4365</v>
      </c>
      <c r="G4760" t="s">
        <v>52</v>
      </c>
      <c r="H4760">
        <v>20</v>
      </c>
      <c r="I4760">
        <v>0.36</v>
      </c>
      <c r="J4760">
        <v>0.73799999999999999</v>
      </c>
      <c r="K4760">
        <v>0.379</v>
      </c>
      <c r="L4760">
        <v>17</v>
      </c>
      <c r="M4760">
        <v>1</v>
      </c>
      <c r="N4760">
        <v>2</v>
      </c>
      <c r="O4760" t="s">
        <v>53</v>
      </c>
      <c r="P4760" t="s">
        <v>53</v>
      </c>
      <c r="Q4760" t="s">
        <v>53</v>
      </c>
    </row>
    <row r="4761" spans="1:17" x14ac:dyDescent="0.2">
      <c r="A4761" s="30" t="str">
        <f>IF(C4761&amp;G4761&amp;D4761&lt;&gt;'Funnel setup'!$K$3&amp;'Funnel setup'!$K$4&amp;'Funnel setup'!$K$5,".",IF(A4760=".",1,A4760+1))</f>
        <v>.</v>
      </c>
      <c r="B4761" s="431" t="str">
        <f t="shared" si="74"/>
        <v>Knee Replacement PrimaryProviderSPIRE CAMBRIDGE LEA HOSPITAL (NT317)EQ-5D Index</v>
      </c>
      <c r="C4761" t="s">
        <v>249</v>
      </c>
      <c r="D4761" t="s">
        <v>1</v>
      </c>
      <c r="E4761" t="s">
        <v>3436</v>
      </c>
      <c r="F4761" t="s">
        <v>3437</v>
      </c>
      <c r="G4761" t="s">
        <v>52</v>
      </c>
      <c r="H4761">
        <v>61</v>
      </c>
      <c r="I4761">
        <v>0.58299999999999996</v>
      </c>
      <c r="J4761">
        <v>0.83</v>
      </c>
      <c r="K4761">
        <v>0.247</v>
      </c>
      <c r="L4761">
        <v>54</v>
      </c>
      <c r="M4761">
        <v>4</v>
      </c>
      <c r="N4761">
        <v>3</v>
      </c>
      <c r="O4761">
        <v>0.76</v>
      </c>
      <c r="P4761">
        <v>0.33480300000000002</v>
      </c>
      <c r="Q4761">
        <v>0.191</v>
      </c>
    </row>
    <row r="4762" spans="1:17" x14ac:dyDescent="0.2">
      <c r="A4762" s="30" t="str">
        <f>IF(C4762&amp;G4762&amp;D4762&lt;&gt;'Funnel setup'!$K$3&amp;'Funnel setup'!$K$4&amp;'Funnel setup'!$K$5,".",IF(A4761=".",1,A4761+1))</f>
        <v>.</v>
      </c>
      <c r="B4762" s="431" t="str">
        <f t="shared" si="74"/>
        <v>Knee Replacement PrimaryProviderSPIRE CHESHIRE HOSPITAL (NT324)EQ-5D Index</v>
      </c>
      <c r="C4762" t="s">
        <v>249</v>
      </c>
      <c r="D4762" t="s">
        <v>1</v>
      </c>
      <c r="E4762" t="s">
        <v>3439</v>
      </c>
      <c r="F4762" t="s">
        <v>3440</v>
      </c>
      <c r="G4762" t="s">
        <v>52</v>
      </c>
      <c r="H4762">
        <v>77</v>
      </c>
      <c r="I4762">
        <v>0.46800000000000003</v>
      </c>
      <c r="J4762">
        <v>0.76300000000000001</v>
      </c>
      <c r="K4762">
        <v>0.29499999999999998</v>
      </c>
      <c r="L4762">
        <v>64</v>
      </c>
      <c r="M4762">
        <v>9</v>
      </c>
      <c r="N4762">
        <v>4</v>
      </c>
      <c r="O4762">
        <v>0.73899999999999999</v>
      </c>
      <c r="P4762">
        <v>0.31373205500000001</v>
      </c>
      <c r="Q4762">
        <v>0.18099999999999999</v>
      </c>
    </row>
    <row r="4763" spans="1:17" x14ac:dyDescent="0.2">
      <c r="A4763" s="30" t="str">
        <f>IF(C4763&amp;G4763&amp;D4763&lt;&gt;'Funnel setup'!$K$3&amp;'Funnel setup'!$K$4&amp;'Funnel setup'!$K$5,".",IF(A4762=".",1,A4762+1))</f>
        <v>.</v>
      </c>
      <c r="B4763" s="431" t="str">
        <f t="shared" si="74"/>
        <v>Knee Replacement PrimaryProviderSPIRE CLARE PARK HOSPITAL (NT345)EQ-5D Index</v>
      </c>
      <c r="C4763" t="s">
        <v>249</v>
      </c>
      <c r="D4763" t="s">
        <v>1</v>
      </c>
      <c r="E4763" t="s">
        <v>3412</v>
      </c>
      <c r="F4763" t="s">
        <v>3413</v>
      </c>
      <c r="G4763" t="s">
        <v>52</v>
      </c>
      <c r="H4763">
        <v>37</v>
      </c>
      <c r="I4763">
        <v>0.51</v>
      </c>
      <c r="J4763">
        <v>0.84199999999999997</v>
      </c>
      <c r="K4763">
        <v>0.33300000000000002</v>
      </c>
      <c r="L4763">
        <v>35</v>
      </c>
      <c r="M4763">
        <v>0</v>
      </c>
      <c r="N4763">
        <v>2</v>
      </c>
      <c r="O4763">
        <v>0.79100000000000004</v>
      </c>
      <c r="P4763">
        <v>0.36631606100000003</v>
      </c>
      <c r="Q4763">
        <v>0.16700000000000001</v>
      </c>
    </row>
    <row r="4764" spans="1:17" x14ac:dyDescent="0.2">
      <c r="A4764" s="30" t="str">
        <f>IF(C4764&amp;G4764&amp;D4764&lt;&gt;'Funnel setup'!$K$3&amp;'Funnel setup'!$K$4&amp;'Funnel setup'!$K$5,".",IF(A4763=".",1,A4763+1))</f>
        <v>.</v>
      </c>
      <c r="B4764" s="431" t="str">
        <f t="shared" si="74"/>
        <v>Knee Replacement PrimaryProviderSPIRE DUNEDIN HOSPITAL (NT344)EQ-5D Index</v>
      </c>
      <c r="C4764" t="s">
        <v>249</v>
      </c>
      <c r="D4764" t="s">
        <v>1</v>
      </c>
      <c r="E4764" t="s">
        <v>3415</v>
      </c>
      <c r="F4764" t="s">
        <v>3416</v>
      </c>
      <c r="G4764" t="s">
        <v>52</v>
      </c>
      <c r="H4764">
        <v>12</v>
      </c>
      <c r="I4764">
        <v>0.63200000000000001</v>
      </c>
      <c r="J4764">
        <v>0.82099999999999995</v>
      </c>
      <c r="K4764">
        <v>0.189</v>
      </c>
      <c r="L4764">
        <v>8</v>
      </c>
      <c r="M4764">
        <v>4</v>
      </c>
      <c r="N4764">
        <v>0</v>
      </c>
      <c r="O4764" t="s">
        <v>53</v>
      </c>
      <c r="P4764" t="s">
        <v>53</v>
      </c>
      <c r="Q4764" t="s">
        <v>53</v>
      </c>
    </row>
    <row r="4765" spans="1:17" x14ac:dyDescent="0.2">
      <c r="A4765" s="30" t="str">
        <f>IF(C4765&amp;G4765&amp;D4765&lt;&gt;'Funnel setup'!$K$3&amp;'Funnel setup'!$K$4&amp;'Funnel setup'!$K$5,".",IF(A4764=".",1,A4764+1))</f>
        <v>.</v>
      </c>
      <c r="B4765" s="431" t="str">
        <f t="shared" si="74"/>
        <v>Knee Replacement PrimaryProviderSPIRE ELLAND HOSPITAL (NT348)EQ-5D Index</v>
      </c>
      <c r="C4765" t="s">
        <v>249</v>
      </c>
      <c r="D4765" t="s">
        <v>1</v>
      </c>
      <c r="E4765" t="s">
        <v>3418</v>
      </c>
      <c r="F4765" t="s">
        <v>3419</v>
      </c>
      <c r="G4765" t="s">
        <v>52</v>
      </c>
      <c r="H4765">
        <v>61</v>
      </c>
      <c r="I4765">
        <v>0.48499999999999999</v>
      </c>
      <c r="J4765">
        <v>0.83499999999999996</v>
      </c>
      <c r="K4765">
        <v>0.35</v>
      </c>
      <c r="L4765">
        <v>55</v>
      </c>
      <c r="M4765">
        <v>3</v>
      </c>
      <c r="N4765">
        <v>3</v>
      </c>
      <c r="O4765">
        <v>0.81</v>
      </c>
      <c r="P4765">
        <v>0.385026386</v>
      </c>
      <c r="Q4765">
        <v>0.17499999999999999</v>
      </c>
    </row>
    <row r="4766" spans="1:17" x14ac:dyDescent="0.2">
      <c r="A4766" s="30" t="str">
        <f>IF(C4766&amp;G4766&amp;D4766&lt;&gt;'Funnel setup'!$K$3&amp;'Funnel setup'!$K$4&amp;'Funnel setup'!$K$5,".",IF(A4765=".",1,A4765+1))</f>
        <v>.</v>
      </c>
      <c r="B4766" s="431" t="str">
        <f t="shared" si="74"/>
        <v>Knee Replacement PrimaryProviderSPIRE FYLDE COAST HOSPITAL (NT347)EQ-5D Index</v>
      </c>
      <c r="C4766" t="s">
        <v>249</v>
      </c>
      <c r="D4766" t="s">
        <v>1</v>
      </c>
      <c r="E4766" t="s">
        <v>4370</v>
      </c>
      <c r="F4766" t="s">
        <v>4371</v>
      </c>
      <c r="G4766" t="s">
        <v>52</v>
      </c>
      <c r="H4766">
        <v>43</v>
      </c>
      <c r="I4766">
        <v>0.41499999999999998</v>
      </c>
      <c r="J4766">
        <v>0.71799999999999997</v>
      </c>
      <c r="K4766">
        <v>0.30299999999999999</v>
      </c>
      <c r="L4766">
        <v>33</v>
      </c>
      <c r="M4766">
        <v>5</v>
      </c>
      <c r="N4766">
        <v>5</v>
      </c>
      <c r="O4766">
        <v>0.72599999999999998</v>
      </c>
      <c r="P4766">
        <v>0.30120704500000001</v>
      </c>
      <c r="Q4766">
        <v>0.245</v>
      </c>
    </row>
    <row r="4767" spans="1:17" x14ac:dyDescent="0.2">
      <c r="A4767" s="30" t="str">
        <f>IF(C4767&amp;G4767&amp;D4767&lt;&gt;'Funnel setup'!$K$3&amp;'Funnel setup'!$K$4&amp;'Funnel setup'!$K$5,".",IF(A4766=".",1,A4766+1))</f>
        <v>.</v>
      </c>
      <c r="B4767" s="431" t="str">
        <f t="shared" si="74"/>
        <v>Knee Replacement PrimaryProviderSPIRE GATWICK PARK HOSPITAL (NT308)EQ-5D Index</v>
      </c>
      <c r="C4767" t="s">
        <v>249</v>
      </c>
      <c r="D4767" t="s">
        <v>1</v>
      </c>
      <c r="E4767" t="s">
        <v>3409</v>
      </c>
      <c r="F4767" t="s">
        <v>3410</v>
      </c>
      <c r="G4767" t="s">
        <v>52</v>
      </c>
      <c r="H4767">
        <v>57</v>
      </c>
      <c r="I4767">
        <v>0.48399999999999999</v>
      </c>
      <c r="J4767">
        <v>0.80100000000000005</v>
      </c>
      <c r="K4767">
        <v>0.318</v>
      </c>
      <c r="L4767">
        <v>44</v>
      </c>
      <c r="M4767">
        <v>6</v>
      </c>
      <c r="N4767">
        <v>7</v>
      </c>
      <c r="O4767">
        <v>0.76300000000000001</v>
      </c>
      <c r="P4767">
        <v>0.33759493200000001</v>
      </c>
      <c r="Q4767">
        <v>0.17100000000000001</v>
      </c>
    </row>
    <row r="4768" spans="1:17" x14ac:dyDescent="0.2">
      <c r="A4768" s="30" t="str">
        <f>IF(C4768&amp;G4768&amp;D4768&lt;&gt;'Funnel setup'!$K$3&amp;'Funnel setup'!$K$4&amp;'Funnel setup'!$K$5,".",IF(A4767=".",1,A4767+1))</f>
        <v>.</v>
      </c>
      <c r="B4768" s="431" t="str">
        <f t="shared" si="74"/>
        <v>Knee Replacement PrimaryProviderSPIRE HARPENDEN HOSPITAL (NT316)EQ-5D Index</v>
      </c>
      <c r="C4768" t="s">
        <v>249</v>
      </c>
      <c r="D4768" t="s">
        <v>1</v>
      </c>
      <c r="E4768" t="s">
        <v>4267</v>
      </c>
      <c r="F4768" t="s">
        <v>4268</v>
      </c>
      <c r="G4768" t="s">
        <v>52</v>
      </c>
      <c r="H4768">
        <v>45</v>
      </c>
      <c r="I4768">
        <v>0.436</v>
      </c>
      <c r="J4768">
        <v>0.76700000000000002</v>
      </c>
      <c r="K4768">
        <v>0.33100000000000002</v>
      </c>
      <c r="L4768">
        <v>38</v>
      </c>
      <c r="M4768">
        <v>4</v>
      </c>
      <c r="N4768">
        <v>3</v>
      </c>
      <c r="O4768">
        <v>0.73599999999999999</v>
      </c>
      <c r="P4768">
        <v>0.31066068299999999</v>
      </c>
      <c r="Q4768">
        <v>0.20399999999999999</v>
      </c>
    </row>
    <row r="4769" spans="1:17" x14ac:dyDescent="0.2">
      <c r="A4769" s="30" t="str">
        <f>IF(C4769&amp;G4769&amp;D4769&lt;&gt;'Funnel setup'!$K$3&amp;'Funnel setup'!$K$4&amp;'Funnel setup'!$K$5,".",IF(A4768=".",1,A4768+1))</f>
        <v>.</v>
      </c>
      <c r="B4769" s="431" t="str">
        <f t="shared" si="74"/>
        <v>Knee Replacement PrimaryProviderSPIRE HARTSWOOD HOSPITAL (NT319)EQ-5D Index</v>
      </c>
      <c r="C4769" t="s">
        <v>249</v>
      </c>
      <c r="D4769" t="s">
        <v>1</v>
      </c>
      <c r="E4769" t="s">
        <v>3210</v>
      </c>
      <c r="F4769" t="s">
        <v>3211</v>
      </c>
      <c r="G4769" t="s">
        <v>52</v>
      </c>
      <c r="H4769">
        <v>14</v>
      </c>
      <c r="I4769">
        <v>0.52200000000000002</v>
      </c>
      <c r="J4769">
        <v>0.82299999999999995</v>
      </c>
      <c r="K4769">
        <v>0.30199999999999999</v>
      </c>
      <c r="L4769">
        <v>14</v>
      </c>
      <c r="M4769">
        <v>0</v>
      </c>
      <c r="N4769">
        <v>0</v>
      </c>
      <c r="O4769" t="s">
        <v>53</v>
      </c>
      <c r="P4769" t="s">
        <v>53</v>
      </c>
      <c r="Q4769" t="s">
        <v>53</v>
      </c>
    </row>
    <row r="4770" spans="1:17" x14ac:dyDescent="0.2">
      <c r="A4770" s="30" t="str">
        <f>IF(C4770&amp;G4770&amp;D4770&lt;&gt;'Funnel setup'!$K$3&amp;'Funnel setup'!$K$4&amp;'Funnel setup'!$K$5,".",IF(A4769=".",1,A4769+1))</f>
        <v>.</v>
      </c>
      <c r="B4770" s="431" t="str">
        <f t="shared" si="74"/>
        <v>Knee Replacement PrimaryProviderSPIRE HULL AND EAST RIDING HOSPITAL (NT351)EQ-5D Index</v>
      </c>
      <c r="C4770" t="s">
        <v>249</v>
      </c>
      <c r="D4770" t="s">
        <v>1</v>
      </c>
      <c r="E4770" t="s">
        <v>3213</v>
      </c>
      <c r="F4770" t="s">
        <v>3214</v>
      </c>
      <c r="G4770" t="s">
        <v>52</v>
      </c>
      <c r="H4770">
        <v>194</v>
      </c>
      <c r="I4770">
        <v>0.45400000000000001</v>
      </c>
      <c r="J4770">
        <v>0.74099999999999999</v>
      </c>
      <c r="K4770">
        <v>0.28699999999999998</v>
      </c>
      <c r="L4770">
        <v>156</v>
      </c>
      <c r="M4770">
        <v>24</v>
      </c>
      <c r="N4770">
        <v>14</v>
      </c>
      <c r="O4770">
        <v>0.73299999999999998</v>
      </c>
      <c r="P4770">
        <v>0.30774280300000001</v>
      </c>
      <c r="Q4770">
        <v>0.24</v>
      </c>
    </row>
    <row r="4771" spans="1:17" x14ac:dyDescent="0.2">
      <c r="A4771" s="30" t="str">
        <f>IF(C4771&amp;G4771&amp;D4771&lt;&gt;'Funnel setup'!$K$3&amp;'Funnel setup'!$K$4&amp;'Funnel setup'!$K$5,".",IF(A4770=".",1,A4770+1))</f>
        <v>.</v>
      </c>
      <c r="B4771" s="431" t="str">
        <f t="shared" si="74"/>
        <v>Knee Replacement PrimaryProviderSPIRE LEEDS HOSPITAL (NT332)EQ-5D Index</v>
      </c>
      <c r="C4771" t="s">
        <v>249</v>
      </c>
      <c r="D4771" t="s">
        <v>1</v>
      </c>
      <c r="E4771" t="s">
        <v>3198</v>
      </c>
      <c r="F4771" t="s">
        <v>3199</v>
      </c>
      <c r="G4771" t="s">
        <v>52</v>
      </c>
      <c r="H4771">
        <v>93</v>
      </c>
      <c r="I4771">
        <v>0.49299999999999999</v>
      </c>
      <c r="J4771">
        <v>0.76700000000000002</v>
      </c>
      <c r="K4771">
        <v>0.27300000000000002</v>
      </c>
      <c r="L4771">
        <v>74</v>
      </c>
      <c r="M4771">
        <v>11</v>
      </c>
      <c r="N4771">
        <v>8</v>
      </c>
      <c r="O4771">
        <v>0.73799999999999999</v>
      </c>
      <c r="P4771">
        <v>0.31276700099999999</v>
      </c>
      <c r="Q4771">
        <v>0.17899999999999999</v>
      </c>
    </row>
    <row r="4772" spans="1:17" x14ac:dyDescent="0.2">
      <c r="A4772" s="30" t="str">
        <f>IF(C4772&amp;G4772&amp;D4772&lt;&gt;'Funnel setup'!$K$3&amp;'Funnel setup'!$K$4&amp;'Funnel setup'!$K$5,".",IF(A4771=".",1,A4771+1))</f>
        <v>.</v>
      </c>
      <c r="B4772" s="431" t="str">
        <f t="shared" si="74"/>
        <v>Knee Replacement PrimaryProviderSPIRE LEICESTER HOSPITAL (NT322)EQ-5D Index</v>
      </c>
      <c r="C4772" t="s">
        <v>249</v>
      </c>
      <c r="D4772" t="s">
        <v>1</v>
      </c>
      <c r="E4772" t="s">
        <v>3201</v>
      </c>
      <c r="F4772" t="s">
        <v>3202</v>
      </c>
      <c r="G4772" t="s">
        <v>52</v>
      </c>
      <c r="H4772">
        <v>105</v>
      </c>
      <c r="I4772">
        <v>0.45100000000000001</v>
      </c>
      <c r="J4772">
        <v>0.752</v>
      </c>
      <c r="K4772">
        <v>0.30099999999999999</v>
      </c>
      <c r="L4772">
        <v>87</v>
      </c>
      <c r="M4772">
        <v>9</v>
      </c>
      <c r="N4772">
        <v>9</v>
      </c>
      <c r="O4772">
        <v>0.751</v>
      </c>
      <c r="P4772">
        <v>0.32612394099999997</v>
      </c>
      <c r="Q4772">
        <v>0.17599999999999999</v>
      </c>
    </row>
    <row r="4773" spans="1:17" x14ac:dyDescent="0.2">
      <c r="A4773" s="30" t="str">
        <f>IF(C4773&amp;G4773&amp;D4773&lt;&gt;'Funnel setup'!$K$3&amp;'Funnel setup'!$K$4&amp;'Funnel setup'!$K$5,".",IF(A4772=".",1,A4772+1))</f>
        <v>.</v>
      </c>
      <c r="B4773" s="431" t="str">
        <f t="shared" si="74"/>
        <v>Knee Replacement PrimaryProviderSPIRE LITTLE ASTON HOSPITAL (NT321)EQ-5D Index</v>
      </c>
      <c r="C4773" t="s">
        <v>249</v>
      </c>
      <c r="D4773" t="s">
        <v>1</v>
      </c>
      <c r="E4773" t="s">
        <v>3921</v>
      </c>
      <c r="F4773" t="s">
        <v>3922</v>
      </c>
      <c r="G4773" t="s">
        <v>52</v>
      </c>
      <c r="H4773">
        <v>117</v>
      </c>
      <c r="I4773">
        <v>0.42099999999999999</v>
      </c>
      <c r="J4773">
        <v>0.748</v>
      </c>
      <c r="K4773">
        <v>0.32700000000000001</v>
      </c>
      <c r="L4773">
        <v>98</v>
      </c>
      <c r="M4773">
        <v>10</v>
      </c>
      <c r="N4773">
        <v>9</v>
      </c>
      <c r="O4773">
        <v>0.746</v>
      </c>
      <c r="P4773">
        <v>0.32116836999999998</v>
      </c>
      <c r="Q4773">
        <v>0.22800000000000001</v>
      </c>
    </row>
    <row r="4774" spans="1:17" x14ac:dyDescent="0.2">
      <c r="A4774" s="30" t="str">
        <f>IF(C4774&amp;G4774&amp;D4774&lt;&gt;'Funnel setup'!$K$3&amp;'Funnel setup'!$K$4&amp;'Funnel setup'!$K$5,".",IF(A4773=".",1,A4773+1))</f>
        <v>.</v>
      </c>
      <c r="B4774" s="431" t="str">
        <f t="shared" si="74"/>
        <v>Knee Replacement PrimaryProviderSPIRE LIVERPOOL HOSPITAL (NT337)EQ-5D Index</v>
      </c>
      <c r="C4774" t="s">
        <v>249</v>
      </c>
      <c r="D4774" t="s">
        <v>1</v>
      </c>
      <c r="E4774" t="s">
        <v>3927</v>
      </c>
      <c r="F4774" t="s">
        <v>3928</v>
      </c>
      <c r="G4774" t="s">
        <v>52</v>
      </c>
      <c r="H4774">
        <v>119</v>
      </c>
      <c r="I4774">
        <v>0.35299999999999998</v>
      </c>
      <c r="J4774">
        <v>0.70499999999999996</v>
      </c>
      <c r="K4774">
        <v>0.35199999999999998</v>
      </c>
      <c r="L4774">
        <v>99</v>
      </c>
      <c r="M4774">
        <v>12</v>
      </c>
      <c r="N4774">
        <v>8</v>
      </c>
      <c r="O4774">
        <v>0.73199999999999998</v>
      </c>
      <c r="P4774">
        <v>0.30746586999999997</v>
      </c>
      <c r="Q4774">
        <v>0.221</v>
      </c>
    </row>
    <row r="4775" spans="1:17" x14ac:dyDescent="0.2">
      <c r="A4775" s="30" t="str">
        <f>IF(C4775&amp;G4775&amp;D4775&lt;&gt;'Funnel setup'!$K$3&amp;'Funnel setup'!$K$4&amp;'Funnel setup'!$K$5,".",IF(A4774=".",1,A4774+1))</f>
        <v>.</v>
      </c>
      <c r="B4775" s="431" t="str">
        <f t="shared" si="74"/>
        <v>Knee Replacement PrimaryProviderSPIRE MANCHESTER HOSPITAL (NT327)EQ-5D Index</v>
      </c>
      <c r="C4775" t="s">
        <v>249</v>
      </c>
      <c r="D4775" t="s">
        <v>1</v>
      </c>
      <c r="E4775" t="s">
        <v>3154</v>
      </c>
      <c r="F4775" t="s">
        <v>3155</v>
      </c>
      <c r="G4775" t="s">
        <v>52</v>
      </c>
      <c r="H4775">
        <v>44</v>
      </c>
      <c r="I4775">
        <v>0.48099999999999998</v>
      </c>
      <c r="J4775">
        <v>0.75</v>
      </c>
      <c r="K4775">
        <v>0.26900000000000002</v>
      </c>
      <c r="L4775">
        <v>38</v>
      </c>
      <c r="M4775">
        <v>5</v>
      </c>
      <c r="N4775">
        <v>1</v>
      </c>
      <c r="O4775">
        <v>0.745</v>
      </c>
      <c r="P4775">
        <v>0.32016933800000003</v>
      </c>
      <c r="Q4775">
        <v>0.19800000000000001</v>
      </c>
    </row>
    <row r="4776" spans="1:17" x14ac:dyDescent="0.2">
      <c r="A4776" s="30" t="str">
        <f>IF(C4776&amp;G4776&amp;D4776&lt;&gt;'Funnel setup'!$K$3&amp;'Funnel setup'!$K$4&amp;'Funnel setup'!$K$5,".",IF(A4775=".",1,A4775+1))</f>
        <v>.</v>
      </c>
      <c r="B4776" s="431" t="str">
        <f t="shared" si="74"/>
        <v>Knee Replacement PrimaryProviderSPIRE METHLEY PARK HOSPITAL (NT350)EQ-5D Index</v>
      </c>
      <c r="C4776" t="s">
        <v>249</v>
      </c>
      <c r="D4776" t="s">
        <v>1</v>
      </c>
      <c r="E4776" t="s">
        <v>3157</v>
      </c>
      <c r="F4776" t="s">
        <v>3158</v>
      </c>
      <c r="G4776" t="s">
        <v>52</v>
      </c>
      <c r="H4776">
        <v>110</v>
      </c>
      <c r="I4776">
        <v>0.45800000000000002</v>
      </c>
      <c r="J4776">
        <v>0.74199999999999999</v>
      </c>
      <c r="K4776">
        <v>0.28499999999999998</v>
      </c>
      <c r="L4776">
        <v>86</v>
      </c>
      <c r="M4776">
        <v>13</v>
      </c>
      <c r="N4776">
        <v>11</v>
      </c>
      <c r="O4776">
        <v>0.73099999999999998</v>
      </c>
      <c r="P4776">
        <v>0.30577389599999999</v>
      </c>
      <c r="Q4776">
        <v>0.216</v>
      </c>
    </row>
    <row r="4777" spans="1:17" x14ac:dyDescent="0.2">
      <c r="A4777" s="30" t="str">
        <f>IF(C4777&amp;G4777&amp;D4777&lt;&gt;'Funnel setup'!$K$3&amp;'Funnel setup'!$K$4&amp;'Funnel setup'!$K$5,".",IF(A4776=".",1,A4776+1))</f>
        <v>.</v>
      </c>
      <c r="B4777" s="431" t="str">
        <f t="shared" si="74"/>
        <v>Knee Replacement PrimaryProviderSPIRE MONTEFIORE HOSPITAL (NT364)EQ-5D Index</v>
      </c>
      <c r="C4777" t="s">
        <v>249</v>
      </c>
      <c r="D4777" t="s">
        <v>1</v>
      </c>
      <c r="E4777" t="s">
        <v>3160</v>
      </c>
      <c r="F4777" t="s">
        <v>3161</v>
      </c>
      <c r="G4777" t="s">
        <v>52</v>
      </c>
      <c r="H4777">
        <v>38</v>
      </c>
      <c r="I4777">
        <v>0.59699999999999998</v>
      </c>
      <c r="J4777">
        <v>0.82</v>
      </c>
      <c r="K4777">
        <v>0.223</v>
      </c>
      <c r="L4777">
        <v>31</v>
      </c>
      <c r="M4777">
        <v>4</v>
      </c>
      <c r="N4777">
        <v>3</v>
      </c>
      <c r="O4777">
        <v>0.73799999999999999</v>
      </c>
      <c r="P4777">
        <v>0.312664206</v>
      </c>
      <c r="Q4777">
        <v>0.20799999999999999</v>
      </c>
    </row>
    <row r="4778" spans="1:17" x14ac:dyDescent="0.2">
      <c r="A4778" s="30" t="str">
        <f>IF(C4778&amp;G4778&amp;D4778&lt;&gt;'Funnel setup'!$K$3&amp;'Funnel setup'!$K$4&amp;'Funnel setup'!$K$5,".",IF(A4777=".",1,A4777+1))</f>
        <v>.</v>
      </c>
      <c r="B4778" s="431" t="str">
        <f t="shared" si="74"/>
        <v>Knee Replacement PrimaryProviderSPIRE MURRAYFIELD HOSPITAL (NT325)EQ-5D Index</v>
      </c>
      <c r="C4778" t="s">
        <v>249</v>
      </c>
      <c r="D4778" t="s">
        <v>1</v>
      </c>
      <c r="E4778" t="s">
        <v>3163</v>
      </c>
      <c r="F4778" t="s">
        <v>3164</v>
      </c>
      <c r="G4778" t="s">
        <v>52</v>
      </c>
      <c r="H4778">
        <v>85</v>
      </c>
      <c r="I4778">
        <v>0.39300000000000002</v>
      </c>
      <c r="J4778">
        <v>0.74199999999999999</v>
      </c>
      <c r="K4778">
        <v>0.34899999999999998</v>
      </c>
      <c r="L4778">
        <v>72</v>
      </c>
      <c r="M4778">
        <v>3</v>
      </c>
      <c r="N4778">
        <v>10</v>
      </c>
      <c r="O4778">
        <v>0.73499999999999999</v>
      </c>
      <c r="P4778">
        <v>0.31008369000000002</v>
      </c>
      <c r="Q4778">
        <v>0.21</v>
      </c>
    </row>
    <row r="4779" spans="1:17" x14ac:dyDescent="0.2">
      <c r="A4779" s="30" t="str">
        <f>IF(C4779&amp;G4779&amp;D4779&lt;&gt;'Funnel setup'!$K$3&amp;'Funnel setup'!$K$4&amp;'Funnel setup'!$K$5,".",IF(A4778=".",1,A4778+1))</f>
        <v>.</v>
      </c>
      <c r="B4779" s="431" t="str">
        <f t="shared" si="74"/>
        <v>Knee Replacement PrimaryProviderSPIRE NORWICH HOSPITAL (NT318)EQ-5D Index</v>
      </c>
      <c r="C4779" t="s">
        <v>249</v>
      </c>
      <c r="D4779" t="s">
        <v>1</v>
      </c>
      <c r="E4779" t="s">
        <v>4251</v>
      </c>
      <c r="F4779" t="s">
        <v>4252</v>
      </c>
      <c r="G4779" t="s">
        <v>52</v>
      </c>
      <c r="H4779">
        <v>206</v>
      </c>
      <c r="I4779">
        <v>0.52900000000000003</v>
      </c>
      <c r="J4779">
        <v>0.78</v>
      </c>
      <c r="K4779">
        <v>0.251</v>
      </c>
      <c r="L4779">
        <v>167</v>
      </c>
      <c r="M4779">
        <v>21</v>
      </c>
      <c r="N4779">
        <v>18</v>
      </c>
      <c r="O4779">
        <v>0.74</v>
      </c>
      <c r="P4779">
        <v>0.31530355900000001</v>
      </c>
      <c r="Q4779">
        <v>0.19700000000000001</v>
      </c>
    </row>
    <row r="4780" spans="1:17" x14ac:dyDescent="0.2">
      <c r="A4780" s="30" t="str">
        <f>IF(C4780&amp;G4780&amp;D4780&lt;&gt;'Funnel setup'!$K$3&amp;'Funnel setup'!$K$4&amp;'Funnel setup'!$K$5,".",IF(A4779=".",1,A4779+1))</f>
        <v>.</v>
      </c>
      <c r="B4780" s="431" t="str">
        <f t="shared" si="74"/>
        <v>Knee Replacement PrimaryProviderSPIRE PARKWAY HOSPITAL (NT320)EQ-5D Index</v>
      </c>
      <c r="C4780" t="s">
        <v>249</v>
      </c>
      <c r="D4780" t="s">
        <v>1</v>
      </c>
      <c r="E4780" t="s">
        <v>3166</v>
      </c>
      <c r="F4780" t="s">
        <v>3167</v>
      </c>
      <c r="G4780" t="s">
        <v>52</v>
      </c>
      <c r="H4780">
        <v>75</v>
      </c>
      <c r="I4780">
        <v>0.52500000000000002</v>
      </c>
      <c r="J4780">
        <v>0.73199999999999998</v>
      </c>
      <c r="K4780">
        <v>0.20599999999999999</v>
      </c>
      <c r="L4780">
        <v>53</v>
      </c>
      <c r="M4780">
        <v>10</v>
      </c>
      <c r="N4780">
        <v>12</v>
      </c>
      <c r="O4780">
        <v>0.70199999999999996</v>
      </c>
      <c r="P4780">
        <v>0.27708567899999997</v>
      </c>
      <c r="Q4780">
        <v>0.27500000000000002</v>
      </c>
    </row>
    <row r="4781" spans="1:17" x14ac:dyDescent="0.2">
      <c r="A4781" s="30" t="str">
        <f>IF(C4781&amp;G4781&amp;D4781&lt;&gt;'Funnel setup'!$K$3&amp;'Funnel setup'!$K$4&amp;'Funnel setup'!$K$5,".",IF(A4780=".",1,A4780+1))</f>
        <v>.</v>
      </c>
      <c r="B4781" s="431" t="str">
        <f t="shared" si="74"/>
        <v>Knee Replacement PrimaryProviderSPIRE PORTSMOUTH HOSPITAL (NT305)EQ-5D Index</v>
      </c>
      <c r="C4781" t="s">
        <v>249</v>
      </c>
      <c r="D4781" t="s">
        <v>1</v>
      </c>
      <c r="E4781" t="s">
        <v>3169</v>
      </c>
      <c r="F4781" t="s">
        <v>340</v>
      </c>
      <c r="G4781" t="s">
        <v>52</v>
      </c>
      <c r="H4781">
        <v>93</v>
      </c>
      <c r="I4781">
        <v>0.44500000000000001</v>
      </c>
      <c r="J4781">
        <v>0.81</v>
      </c>
      <c r="K4781">
        <v>0.36499999999999999</v>
      </c>
      <c r="L4781">
        <v>81</v>
      </c>
      <c r="M4781">
        <v>9</v>
      </c>
      <c r="N4781">
        <v>3</v>
      </c>
      <c r="O4781">
        <v>0.77900000000000003</v>
      </c>
      <c r="P4781">
        <v>0.35374425700000001</v>
      </c>
      <c r="Q4781">
        <v>0.17499999999999999</v>
      </c>
    </row>
    <row r="4782" spans="1:17" x14ac:dyDescent="0.2">
      <c r="A4782" s="30" t="str">
        <f>IF(C4782&amp;G4782&amp;D4782&lt;&gt;'Funnel setup'!$K$3&amp;'Funnel setup'!$K$4&amp;'Funnel setup'!$K$5,".",IF(A4781=".",1,A4781+1))</f>
        <v>.</v>
      </c>
      <c r="B4782" s="431" t="str">
        <f t="shared" si="74"/>
        <v>Knee Replacement PrimaryProviderSPIRE REGENCY HOSPITAL (NT339)EQ-5D Index</v>
      </c>
      <c r="C4782" t="s">
        <v>249</v>
      </c>
      <c r="D4782" t="s">
        <v>1</v>
      </c>
      <c r="E4782" t="s">
        <v>3171</v>
      </c>
      <c r="F4782" t="s">
        <v>3172</v>
      </c>
      <c r="G4782" t="s">
        <v>52</v>
      </c>
      <c r="H4782">
        <v>46</v>
      </c>
      <c r="I4782">
        <v>0.51200000000000001</v>
      </c>
      <c r="J4782">
        <v>0.77400000000000002</v>
      </c>
      <c r="K4782">
        <v>0.26300000000000001</v>
      </c>
      <c r="L4782">
        <v>33</v>
      </c>
      <c r="M4782">
        <v>7</v>
      </c>
      <c r="N4782">
        <v>6</v>
      </c>
      <c r="O4782">
        <v>0.72399999999999998</v>
      </c>
      <c r="P4782">
        <v>0.299457003</v>
      </c>
      <c r="Q4782">
        <v>0.2</v>
      </c>
    </row>
    <row r="4783" spans="1:17" x14ac:dyDescent="0.2">
      <c r="A4783" s="30" t="str">
        <f>IF(C4783&amp;G4783&amp;D4783&lt;&gt;'Funnel setup'!$K$3&amp;'Funnel setup'!$K$4&amp;'Funnel setup'!$K$5,".",IF(A4782=".",1,A4782+1))</f>
        <v>.</v>
      </c>
      <c r="B4783" s="431" t="str">
        <f t="shared" si="74"/>
        <v>Knee Replacement PrimaryProviderSPIRE RODING HOSPITAL (NT314)EQ-5D Index</v>
      </c>
      <c r="C4783" t="s">
        <v>249</v>
      </c>
      <c r="D4783" t="s">
        <v>1</v>
      </c>
      <c r="E4783" t="s">
        <v>4254</v>
      </c>
      <c r="F4783" t="s">
        <v>4255</v>
      </c>
      <c r="G4783" t="s">
        <v>52</v>
      </c>
      <c r="H4783">
        <v>25</v>
      </c>
      <c r="I4783">
        <v>0.51300000000000001</v>
      </c>
      <c r="J4783">
        <v>0.66900000000000004</v>
      </c>
      <c r="K4783">
        <v>0.157</v>
      </c>
      <c r="L4783">
        <v>13</v>
      </c>
      <c r="M4783">
        <v>6</v>
      </c>
      <c r="N4783">
        <v>6</v>
      </c>
      <c r="O4783" t="s">
        <v>53</v>
      </c>
      <c r="P4783" t="s">
        <v>53</v>
      </c>
      <c r="Q4783" t="s">
        <v>53</v>
      </c>
    </row>
    <row r="4784" spans="1:17" x14ac:dyDescent="0.2">
      <c r="A4784" s="30" t="str">
        <f>IF(C4784&amp;G4784&amp;D4784&lt;&gt;'Funnel setup'!$K$3&amp;'Funnel setup'!$K$4&amp;'Funnel setup'!$K$5,".",IF(A4783=".",1,A4783+1))</f>
        <v>.</v>
      </c>
      <c r="B4784" s="431" t="str">
        <f t="shared" si="74"/>
        <v>Knee Replacement PrimaryProviderSPIRE SOUTH BANK HOSPITAL (NT301)EQ-5D Index</v>
      </c>
      <c r="C4784" t="s">
        <v>249</v>
      </c>
      <c r="D4784" t="s">
        <v>1</v>
      </c>
      <c r="E4784" t="s">
        <v>3174</v>
      </c>
      <c r="F4784" t="s">
        <v>3175</v>
      </c>
      <c r="G4784" t="s">
        <v>52</v>
      </c>
      <c r="H4784">
        <v>43</v>
      </c>
      <c r="I4784">
        <v>0.50700000000000001</v>
      </c>
      <c r="J4784">
        <v>0.78600000000000003</v>
      </c>
      <c r="K4784">
        <v>0.28000000000000003</v>
      </c>
      <c r="L4784">
        <v>34</v>
      </c>
      <c r="M4784">
        <v>5</v>
      </c>
      <c r="N4784">
        <v>4</v>
      </c>
      <c r="O4784">
        <v>0.747</v>
      </c>
      <c r="P4784">
        <v>0.32195770499999998</v>
      </c>
      <c r="Q4784">
        <v>0.25700000000000001</v>
      </c>
    </row>
    <row r="4785" spans="1:17" x14ac:dyDescent="0.2">
      <c r="A4785" s="30" t="str">
        <f>IF(C4785&amp;G4785&amp;D4785&lt;&gt;'Funnel setup'!$K$3&amp;'Funnel setup'!$K$4&amp;'Funnel setup'!$K$5,".",IF(A4784=".",1,A4784+1))</f>
        <v>.</v>
      </c>
      <c r="B4785" s="431" t="str">
        <f t="shared" si="74"/>
        <v>Knee Replacement PrimaryProviderSPIRE ST SAVIOURS HOSPITAL (NT346)EQ-5D Index</v>
      </c>
      <c r="C4785" t="s">
        <v>249</v>
      </c>
      <c r="D4785" t="s">
        <v>1</v>
      </c>
      <c r="E4785" t="s">
        <v>3177</v>
      </c>
      <c r="F4785" t="s">
        <v>3178</v>
      </c>
      <c r="G4785" t="s">
        <v>52</v>
      </c>
      <c r="H4785">
        <v>12</v>
      </c>
      <c r="I4785">
        <v>0.49</v>
      </c>
      <c r="J4785">
        <v>0.83399999999999996</v>
      </c>
      <c r="K4785">
        <v>0.34399999999999997</v>
      </c>
      <c r="L4785">
        <v>11</v>
      </c>
      <c r="M4785">
        <v>0</v>
      </c>
      <c r="N4785">
        <v>1</v>
      </c>
      <c r="O4785" t="s">
        <v>53</v>
      </c>
      <c r="P4785" t="s">
        <v>53</v>
      </c>
      <c r="Q4785" t="s">
        <v>53</v>
      </c>
    </row>
    <row r="4786" spans="1:17" x14ac:dyDescent="0.2">
      <c r="A4786" s="30" t="str">
        <f>IF(C4786&amp;G4786&amp;D4786&lt;&gt;'Funnel setup'!$K$3&amp;'Funnel setup'!$K$4&amp;'Funnel setup'!$K$5,".",IF(A4785=".",1,A4785+1))</f>
        <v>.</v>
      </c>
      <c r="B4786" s="431" t="str">
        <f t="shared" si="74"/>
        <v>Knee Replacement PrimaryProviderSPIRE SUSSEX HOSPITAL (NT309)EQ-5D Index</v>
      </c>
      <c r="C4786" t="s">
        <v>249</v>
      </c>
      <c r="D4786" t="s">
        <v>1</v>
      </c>
      <c r="E4786" t="s">
        <v>3180</v>
      </c>
      <c r="F4786" t="s">
        <v>3181</v>
      </c>
      <c r="G4786" t="s">
        <v>52</v>
      </c>
      <c r="H4786">
        <v>44</v>
      </c>
      <c r="I4786">
        <v>0.495</v>
      </c>
      <c r="J4786">
        <v>0.79300000000000004</v>
      </c>
      <c r="K4786">
        <v>0.29799999999999999</v>
      </c>
      <c r="L4786">
        <v>40</v>
      </c>
      <c r="M4786">
        <v>1</v>
      </c>
      <c r="N4786">
        <v>3</v>
      </c>
      <c r="O4786">
        <v>0.754</v>
      </c>
      <c r="P4786">
        <v>0.32934716200000003</v>
      </c>
      <c r="Q4786">
        <v>0.214</v>
      </c>
    </row>
    <row r="4787" spans="1:17" x14ac:dyDescent="0.2">
      <c r="A4787" s="30" t="str">
        <f>IF(C4787&amp;G4787&amp;D4787&lt;&gt;'Funnel setup'!$K$3&amp;'Funnel setup'!$K$4&amp;'Funnel setup'!$K$5,".",IF(A4786=".",1,A4786+1))</f>
        <v>.</v>
      </c>
      <c r="B4787" s="431" t="str">
        <f t="shared" si="74"/>
        <v>Knee Replacement PrimaryProviderSPIRE THAMES VALLEY HOSPITAL (NT343)EQ-5D Index</v>
      </c>
      <c r="C4787" t="s">
        <v>249</v>
      </c>
      <c r="D4787" t="s">
        <v>1</v>
      </c>
      <c r="E4787" t="s">
        <v>3183</v>
      </c>
      <c r="F4787" t="s">
        <v>3184</v>
      </c>
      <c r="G4787" t="s">
        <v>52</v>
      </c>
      <c r="H4787" t="s">
        <v>53</v>
      </c>
      <c r="I4787" t="s">
        <v>53</v>
      </c>
      <c r="J4787" t="s">
        <v>53</v>
      </c>
      <c r="K4787" t="s">
        <v>53</v>
      </c>
      <c r="L4787" t="s">
        <v>53</v>
      </c>
      <c r="M4787" t="s">
        <v>53</v>
      </c>
      <c r="N4787" t="s">
        <v>53</v>
      </c>
      <c r="O4787" t="s">
        <v>53</v>
      </c>
      <c r="P4787" t="s">
        <v>53</v>
      </c>
      <c r="Q4787" t="s">
        <v>53</v>
      </c>
    </row>
    <row r="4788" spans="1:17" x14ac:dyDescent="0.2">
      <c r="A4788" s="30" t="str">
        <f>IF(C4788&amp;G4788&amp;D4788&lt;&gt;'Funnel setup'!$K$3&amp;'Funnel setup'!$K$4&amp;'Funnel setup'!$K$5,".",IF(A4787=".",1,A4787+1))</f>
        <v>.</v>
      </c>
      <c r="B4788" s="431" t="str">
        <f t="shared" si="74"/>
        <v>Knee Replacement PrimaryProviderSPIRE TUNBRIDGE WELLS HOSPITAL (NT310)EQ-5D Index</v>
      </c>
      <c r="C4788" t="s">
        <v>249</v>
      </c>
      <c r="D4788" t="s">
        <v>1</v>
      </c>
      <c r="E4788" t="s">
        <v>3186</v>
      </c>
      <c r="F4788" t="s">
        <v>3187</v>
      </c>
      <c r="G4788" t="s">
        <v>52</v>
      </c>
      <c r="H4788" t="s">
        <v>53</v>
      </c>
      <c r="I4788" t="s">
        <v>53</v>
      </c>
      <c r="J4788" t="s">
        <v>53</v>
      </c>
      <c r="K4788" t="s">
        <v>53</v>
      </c>
      <c r="L4788" t="s">
        <v>53</v>
      </c>
      <c r="M4788" t="s">
        <v>53</v>
      </c>
      <c r="N4788" t="s">
        <v>53</v>
      </c>
      <c r="O4788" t="s">
        <v>53</v>
      </c>
      <c r="P4788" t="s">
        <v>53</v>
      </c>
      <c r="Q4788" t="s">
        <v>53</v>
      </c>
    </row>
    <row r="4789" spans="1:17" x14ac:dyDescent="0.2">
      <c r="A4789" s="30" t="str">
        <f>IF(C4789&amp;G4789&amp;D4789&lt;&gt;'Funnel setup'!$K$3&amp;'Funnel setup'!$K$4&amp;'Funnel setup'!$K$5,".",IF(A4788=".",1,A4788+1))</f>
        <v>.</v>
      </c>
      <c r="B4789" s="431" t="str">
        <f t="shared" si="74"/>
        <v>Knee Replacement PrimaryProviderSPIRE WASHINGTON HOSPITAL (NT333)EQ-5D Index</v>
      </c>
      <c r="C4789" t="s">
        <v>249</v>
      </c>
      <c r="D4789" t="s">
        <v>1</v>
      </c>
      <c r="E4789" t="s">
        <v>3189</v>
      </c>
      <c r="F4789" t="s">
        <v>3190</v>
      </c>
      <c r="G4789" t="s">
        <v>52</v>
      </c>
      <c r="H4789">
        <v>80</v>
      </c>
      <c r="I4789">
        <v>0.42799999999999999</v>
      </c>
      <c r="J4789">
        <v>0.79</v>
      </c>
      <c r="K4789">
        <v>0.36099999999999999</v>
      </c>
      <c r="L4789">
        <v>66</v>
      </c>
      <c r="M4789">
        <v>6</v>
      </c>
      <c r="N4789">
        <v>8</v>
      </c>
      <c r="O4789">
        <v>0.78500000000000003</v>
      </c>
      <c r="P4789">
        <v>0.35973521200000003</v>
      </c>
      <c r="Q4789">
        <v>0.222</v>
      </c>
    </row>
    <row r="4790" spans="1:17" x14ac:dyDescent="0.2">
      <c r="A4790" s="30" t="str">
        <f>IF(C4790&amp;G4790&amp;D4790&lt;&gt;'Funnel setup'!$K$3&amp;'Funnel setup'!$K$4&amp;'Funnel setup'!$K$5,".",IF(A4789=".",1,A4789+1))</f>
        <v>.</v>
      </c>
      <c r="B4790" s="431" t="str">
        <f t="shared" si="74"/>
        <v>Knee Replacement PrimaryProviderSPIRE WELLESLEY HOSPITAL (NT313)EQ-5D Index</v>
      </c>
      <c r="C4790" t="s">
        <v>249</v>
      </c>
      <c r="D4790" t="s">
        <v>1</v>
      </c>
      <c r="E4790" t="s">
        <v>3192</v>
      </c>
      <c r="F4790" t="s">
        <v>3193</v>
      </c>
      <c r="G4790" t="s">
        <v>52</v>
      </c>
      <c r="H4790">
        <v>103</v>
      </c>
      <c r="I4790">
        <v>0.39300000000000002</v>
      </c>
      <c r="J4790">
        <v>0.76100000000000001</v>
      </c>
      <c r="K4790">
        <v>0.36799999999999999</v>
      </c>
      <c r="L4790">
        <v>90</v>
      </c>
      <c r="M4790">
        <v>7</v>
      </c>
      <c r="N4790">
        <v>6</v>
      </c>
      <c r="O4790">
        <v>0.76400000000000001</v>
      </c>
      <c r="P4790">
        <v>0.33934724500000002</v>
      </c>
      <c r="Q4790">
        <v>0.19400000000000001</v>
      </c>
    </row>
    <row r="4791" spans="1:17" x14ac:dyDescent="0.2">
      <c r="A4791" s="30" t="str">
        <f>IF(C4791&amp;G4791&amp;D4791&lt;&gt;'Funnel setup'!$K$3&amp;'Funnel setup'!$K$4&amp;'Funnel setup'!$K$5,".",IF(A4790=".",1,A4790+1))</f>
        <v>.</v>
      </c>
      <c r="B4791" s="431" t="str">
        <f t="shared" si="74"/>
        <v>Knee Replacement PrimaryProviderSPRINGFIELD HOSPITAL (NVC18)EQ-5D Index</v>
      </c>
      <c r="C4791" t="s">
        <v>249</v>
      </c>
      <c r="D4791" t="s">
        <v>1</v>
      </c>
      <c r="E4791" t="s">
        <v>3195</v>
      </c>
      <c r="F4791" t="s">
        <v>3196</v>
      </c>
      <c r="G4791" t="s">
        <v>52</v>
      </c>
      <c r="H4791">
        <v>118</v>
      </c>
      <c r="I4791">
        <v>0.47199999999999998</v>
      </c>
      <c r="J4791">
        <v>0.76300000000000001</v>
      </c>
      <c r="K4791">
        <v>0.29099999999999998</v>
      </c>
      <c r="L4791">
        <v>96</v>
      </c>
      <c r="M4791">
        <v>8</v>
      </c>
      <c r="N4791">
        <v>14</v>
      </c>
      <c r="O4791">
        <v>0.73199999999999998</v>
      </c>
      <c r="P4791">
        <v>0.306899798</v>
      </c>
      <c r="Q4791">
        <v>0.215</v>
      </c>
    </row>
    <row r="4792" spans="1:17" x14ac:dyDescent="0.2">
      <c r="A4792" s="30" t="str">
        <f>IF(C4792&amp;G4792&amp;D4792&lt;&gt;'Funnel setup'!$K$3&amp;'Funnel setup'!$K$4&amp;'Funnel setup'!$K$5,".",IF(A4791=".",1,A4791+1))</f>
        <v>.</v>
      </c>
      <c r="B4792" s="431" t="str">
        <f t="shared" si="74"/>
        <v>Knee Replacement PrimaryProviderST GEORGE'S UNIVERSITY HOSPITALS NHS FOUNDATION TRUST (RJ7)EQ-5D Index</v>
      </c>
      <c r="C4792" t="s">
        <v>249</v>
      </c>
      <c r="D4792" t="s">
        <v>1</v>
      </c>
      <c r="E4792" t="s">
        <v>3124</v>
      </c>
      <c r="F4792" t="s">
        <v>3125</v>
      </c>
      <c r="G4792" t="s">
        <v>52</v>
      </c>
      <c r="H4792" t="s">
        <v>53</v>
      </c>
      <c r="I4792" t="s">
        <v>53</v>
      </c>
      <c r="J4792" t="s">
        <v>53</v>
      </c>
      <c r="K4792" t="s">
        <v>53</v>
      </c>
      <c r="L4792" t="s">
        <v>53</v>
      </c>
      <c r="M4792" t="s">
        <v>53</v>
      </c>
      <c r="N4792" t="s">
        <v>53</v>
      </c>
      <c r="O4792" t="s">
        <v>53</v>
      </c>
      <c r="P4792" t="s">
        <v>53</v>
      </c>
      <c r="Q4792" t="s">
        <v>53</v>
      </c>
    </row>
    <row r="4793" spans="1:17" x14ac:dyDescent="0.2">
      <c r="A4793" s="30" t="str">
        <f>IF(C4793&amp;G4793&amp;D4793&lt;&gt;'Funnel setup'!$K$3&amp;'Funnel setup'!$K$4&amp;'Funnel setup'!$K$5,".",IF(A4792=".",1,A4792+1))</f>
        <v>.</v>
      </c>
      <c r="B4793" s="431" t="str">
        <f t="shared" si="74"/>
        <v>Knee Replacement PrimaryProviderST HELENS AND KNOWSLEY HOSPITALS NHS TRUST (RBN)EQ-5D Index</v>
      </c>
      <c r="C4793" t="s">
        <v>249</v>
      </c>
      <c r="D4793" t="s">
        <v>1</v>
      </c>
      <c r="E4793" t="s">
        <v>3127</v>
      </c>
      <c r="F4793" t="s">
        <v>3128</v>
      </c>
      <c r="G4793" t="s">
        <v>52</v>
      </c>
      <c r="H4793">
        <v>245</v>
      </c>
      <c r="I4793">
        <v>0.42299999999999999</v>
      </c>
      <c r="J4793">
        <v>0.67900000000000005</v>
      </c>
      <c r="K4793">
        <v>0.25600000000000001</v>
      </c>
      <c r="L4793">
        <v>176</v>
      </c>
      <c r="M4793">
        <v>42</v>
      </c>
      <c r="N4793">
        <v>27</v>
      </c>
      <c r="O4793">
        <v>0.7</v>
      </c>
      <c r="P4793">
        <v>0.27470456399999998</v>
      </c>
      <c r="Q4793">
        <v>0.252</v>
      </c>
    </row>
    <row r="4794" spans="1:17" x14ac:dyDescent="0.2">
      <c r="A4794" s="30" t="str">
        <f>IF(C4794&amp;G4794&amp;D4794&lt;&gt;'Funnel setup'!$K$3&amp;'Funnel setup'!$K$4&amp;'Funnel setup'!$K$5,".",IF(A4793=".",1,A4793+1))</f>
        <v>.</v>
      </c>
      <c r="B4794" s="431" t="str">
        <f t="shared" si="74"/>
        <v>Knee Replacement PrimaryProviderST HUGH'S HOSPITAL (NTE02)EQ-5D Index</v>
      </c>
      <c r="C4794" t="s">
        <v>249</v>
      </c>
      <c r="D4794" t="s">
        <v>1</v>
      </c>
      <c r="E4794" t="s">
        <v>3130</v>
      </c>
      <c r="F4794" t="s">
        <v>3131</v>
      </c>
      <c r="G4794" t="s">
        <v>52</v>
      </c>
      <c r="H4794">
        <v>51</v>
      </c>
      <c r="I4794">
        <v>0.45900000000000002</v>
      </c>
      <c r="J4794">
        <v>0.76500000000000001</v>
      </c>
      <c r="K4794">
        <v>0.30599999999999999</v>
      </c>
      <c r="L4794">
        <v>39</v>
      </c>
      <c r="M4794">
        <v>6</v>
      </c>
      <c r="N4794">
        <v>6</v>
      </c>
      <c r="O4794">
        <v>0.73599999999999999</v>
      </c>
      <c r="P4794">
        <v>0.31080304800000003</v>
      </c>
      <c r="Q4794">
        <v>0.23599999999999999</v>
      </c>
    </row>
    <row r="4795" spans="1:17" x14ac:dyDescent="0.2">
      <c r="A4795" s="30" t="str">
        <f>IF(C4795&amp;G4795&amp;D4795&lt;&gt;'Funnel setup'!$K$3&amp;'Funnel setup'!$K$4&amp;'Funnel setup'!$K$5,".",IF(A4794=".",1,A4794+1))</f>
        <v>.</v>
      </c>
      <c r="B4795" s="431" t="str">
        <f t="shared" si="74"/>
        <v>Knee Replacement PrimaryProviderSTOCKPORT NHS FOUNDATION TRUST (RWJ)EQ-5D Index</v>
      </c>
      <c r="C4795" t="s">
        <v>249</v>
      </c>
      <c r="D4795" t="s">
        <v>1</v>
      </c>
      <c r="E4795" t="s">
        <v>3142</v>
      </c>
      <c r="F4795" t="s">
        <v>3143</v>
      </c>
      <c r="G4795" t="s">
        <v>52</v>
      </c>
      <c r="H4795">
        <v>175</v>
      </c>
      <c r="I4795">
        <v>0.39200000000000002</v>
      </c>
      <c r="J4795">
        <v>0.78700000000000003</v>
      </c>
      <c r="K4795">
        <v>0.39600000000000002</v>
      </c>
      <c r="L4795">
        <v>154</v>
      </c>
      <c r="M4795">
        <v>13</v>
      </c>
      <c r="N4795">
        <v>8</v>
      </c>
      <c r="O4795">
        <v>0.78</v>
      </c>
      <c r="P4795">
        <v>0.35473727799999999</v>
      </c>
      <c r="Q4795">
        <v>0.188</v>
      </c>
    </row>
    <row r="4796" spans="1:17" x14ac:dyDescent="0.2">
      <c r="A4796" s="30" t="str">
        <f>IF(C4796&amp;G4796&amp;D4796&lt;&gt;'Funnel setup'!$K$3&amp;'Funnel setup'!$K$4&amp;'Funnel setup'!$K$5,".",IF(A4795=".",1,A4795+1))</f>
        <v>.</v>
      </c>
      <c r="B4796" s="431" t="str">
        <f t="shared" si="74"/>
        <v>Knee Replacement PrimaryProviderSURREY AND SUSSEX HEALTHCARE NHS TRUST (RTP)EQ-5D Index</v>
      </c>
      <c r="C4796" t="s">
        <v>249</v>
      </c>
      <c r="D4796" t="s">
        <v>1</v>
      </c>
      <c r="E4796" t="s">
        <v>3145</v>
      </c>
      <c r="F4796" t="s">
        <v>3146</v>
      </c>
      <c r="G4796" t="s">
        <v>52</v>
      </c>
      <c r="H4796">
        <v>119</v>
      </c>
      <c r="I4796">
        <v>0.45</v>
      </c>
      <c r="J4796">
        <v>0.69799999999999995</v>
      </c>
      <c r="K4796">
        <v>0.248</v>
      </c>
      <c r="L4796">
        <v>94</v>
      </c>
      <c r="M4796">
        <v>15</v>
      </c>
      <c r="N4796">
        <v>10</v>
      </c>
      <c r="O4796">
        <v>0.69</v>
      </c>
      <c r="P4796">
        <v>0.26545353900000002</v>
      </c>
      <c r="Q4796">
        <v>0.22900000000000001</v>
      </c>
    </row>
    <row r="4797" spans="1:17" x14ac:dyDescent="0.2">
      <c r="A4797" s="30" t="str">
        <f>IF(C4797&amp;G4797&amp;D4797&lt;&gt;'Funnel setup'!$K$3&amp;'Funnel setup'!$K$4&amp;'Funnel setup'!$K$5,".",IF(A4796=".",1,A4796+1))</f>
        <v>.</v>
      </c>
      <c r="B4797" s="431" t="str">
        <f t="shared" si="74"/>
        <v>Knee Replacement PrimaryProviderTAMESIDE HOSPITAL NHS FOUNDATION TRUST (RMP)EQ-5D Index</v>
      </c>
      <c r="C4797" t="s">
        <v>249</v>
      </c>
      <c r="D4797" t="s">
        <v>1</v>
      </c>
      <c r="E4797" t="s">
        <v>3148</v>
      </c>
      <c r="F4797" t="s">
        <v>3149</v>
      </c>
      <c r="G4797" t="s">
        <v>52</v>
      </c>
      <c r="H4797">
        <v>127</v>
      </c>
      <c r="I4797">
        <v>0.36399999999999999</v>
      </c>
      <c r="J4797">
        <v>0.70599999999999996</v>
      </c>
      <c r="K4797">
        <v>0.34100000000000003</v>
      </c>
      <c r="L4797">
        <v>100</v>
      </c>
      <c r="M4797">
        <v>12</v>
      </c>
      <c r="N4797">
        <v>15</v>
      </c>
      <c r="O4797">
        <v>0.749</v>
      </c>
      <c r="P4797">
        <v>0.32368416999999999</v>
      </c>
      <c r="Q4797">
        <v>0.221</v>
      </c>
    </row>
    <row r="4798" spans="1:17" x14ac:dyDescent="0.2">
      <c r="A4798" s="30" t="str">
        <f>IF(C4798&amp;G4798&amp;D4798&lt;&gt;'Funnel setup'!$K$3&amp;'Funnel setup'!$K$4&amp;'Funnel setup'!$K$5,".",IF(A4797=".",1,A4797+1))</f>
        <v>.</v>
      </c>
      <c r="B4798" s="431" t="str">
        <f t="shared" si="74"/>
        <v>Knee Replacement PrimaryProviderTAUNTON AND SOMERSET NHS FOUNDATION TRUST (RBA)EQ-5D Index</v>
      </c>
      <c r="C4798" t="s">
        <v>249</v>
      </c>
      <c r="D4798" t="s">
        <v>1</v>
      </c>
      <c r="E4798" t="s">
        <v>3151</v>
      </c>
      <c r="F4798" t="s">
        <v>3152</v>
      </c>
      <c r="G4798" t="s">
        <v>52</v>
      </c>
      <c r="H4798">
        <v>77</v>
      </c>
      <c r="I4798">
        <v>0.38100000000000001</v>
      </c>
      <c r="J4798">
        <v>0.74299999999999999</v>
      </c>
      <c r="K4798">
        <v>0.36199999999999999</v>
      </c>
      <c r="L4798">
        <v>65</v>
      </c>
      <c r="M4798">
        <v>10</v>
      </c>
      <c r="N4798">
        <v>2</v>
      </c>
      <c r="O4798">
        <v>0.75900000000000001</v>
      </c>
      <c r="P4798">
        <v>0.33448023599999999</v>
      </c>
      <c r="Q4798">
        <v>0.22700000000000001</v>
      </c>
    </row>
    <row r="4799" spans="1:17" x14ac:dyDescent="0.2">
      <c r="A4799" s="30" t="str">
        <f>IF(C4799&amp;G4799&amp;D4799&lt;&gt;'Funnel setup'!$K$3&amp;'Funnel setup'!$K$4&amp;'Funnel setup'!$K$5,".",IF(A4798=".",1,A4798+1))</f>
        <v>.</v>
      </c>
      <c r="B4799" s="431" t="str">
        <f t="shared" si="74"/>
        <v>Knee Replacement PrimaryProviderTHE BERKSHIRE INDEPENDENT HOSPITAL (NVC02)EQ-5D Index</v>
      </c>
      <c r="C4799" t="s">
        <v>249</v>
      </c>
      <c r="D4799" t="s">
        <v>1</v>
      </c>
      <c r="E4799" t="s">
        <v>3118</v>
      </c>
      <c r="F4799" t="s">
        <v>3119</v>
      </c>
      <c r="G4799" t="s">
        <v>52</v>
      </c>
      <c r="H4799">
        <v>43</v>
      </c>
      <c r="I4799">
        <v>0.46700000000000003</v>
      </c>
      <c r="J4799">
        <v>0.80600000000000005</v>
      </c>
      <c r="K4799">
        <v>0.33900000000000002</v>
      </c>
      <c r="L4799">
        <v>36</v>
      </c>
      <c r="M4799">
        <v>5</v>
      </c>
      <c r="N4799">
        <v>2</v>
      </c>
      <c r="O4799">
        <v>0.76300000000000001</v>
      </c>
      <c r="P4799">
        <v>0.33848439600000002</v>
      </c>
      <c r="Q4799">
        <v>0.157</v>
      </c>
    </row>
    <row r="4800" spans="1:17" x14ac:dyDescent="0.2">
      <c r="A4800" s="30" t="str">
        <f>IF(C4800&amp;G4800&amp;D4800&lt;&gt;'Funnel setup'!$K$3&amp;'Funnel setup'!$K$4&amp;'Funnel setup'!$K$5,".",IF(A4799=".",1,A4799+1))</f>
        <v>.</v>
      </c>
      <c r="B4800" s="431" t="str">
        <f t="shared" si="74"/>
        <v>Knee Replacement PrimaryProviderTHE DUDLEY GROUP NHS FOUNDATION TRUST (RNA)EQ-5D Index</v>
      </c>
      <c r="C4800" t="s">
        <v>249</v>
      </c>
      <c r="D4800" t="s">
        <v>1</v>
      </c>
      <c r="E4800" t="s">
        <v>3121</v>
      </c>
      <c r="F4800" t="s">
        <v>3122</v>
      </c>
      <c r="G4800" t="s">
        <v>52</v>
      </c>
      <c r="H4800">
        <v>296</v>
      </c>
      <c r="I4800">
        <v>0.375</v>
      </c>
      <c r="J4800">
        <v>0.72199999999999998</v>
      </c>
      <c r="K4800">
        <v>0.34699999999999998</v>
      </c>
      <c r="L4800">
        <v>244</v>
      </c>
      <c r="M4800">
        <v>22</v>
      </c>
      <c r="N4800">
        <v>30</v>
      </c>
      <c r="O4800">
        <v>0.748</v>
      </c>
      <c r="P4800">
        <v>0.32317228999999997</v>
      </c>
      <c r="Q4800">
        <v>0.23699999999999999</v>
      </c>
    </row>
    <row r="4801" spans="1:17" x14ac:dyDescent="0.2">
      <c r="A4801" s="30" t="str">
        <f>IF(C4801&amp;G4801&amp;D4801&lt;&gt;'Funnel setup'!$K$3&amp;'Funnel setup'!$K$4&amp;'Funnel setup'!$K$5,".",IF(A4800=".",1,A4800+1))</f>
        <v>.</v>
      </c>
      <c r="B4801" s="431" t="str">
        <f t="shared" si="74"/>
        <v>Knee Replacement PrimaryProviderTHE HILLINGDON HOSPITALS NHS FOUNDATION TRUST (RAS)EQ-5D Index</v>
      </c>
      <c r="C4801" t="s">
        <v>249</v>
      </c>
      <c r="D4801" t="s">
        <v>1</v>
      </c>
      <c r="E4801" t="s">
        <v>3115</v>
      </c>
      <c r="F4801" t="s">
        <v>3116</v>
      </c>
      <c r="G4801" t="s">
        <v>52</v>
      </c>
      <c r="H4801">
        <v>158</v>
      </c>
      <c r="I4801">
        <v>0.44600000000000001</v>
      </c>
      <c r="J4801">
        <v>0.67700000000000005</v>
      </c>
      <c r="K4801">
        <v>0.23100000000000001</v>
      </c>
      <c r="L4801">
        <v>116</v>
      </c>
      <c r="M4801">
        <v>21</v>
      </c>
      <c r="N4801">
        <v>21</v>
      </c>
      <c r="O4801">
        <v>0.67800000000000005</v>
      </c>
      <c r="P4801">
        <v>0.25273501999999998</v>
      </c>
      <c r="Q4801">
        <v>0.26400000000000001</v>
      </c>
    </row>
    <row r="4802" spans="1:17" x14ac:dyDescent="0.2">
      <c r="A4802" s="30" t="str">
        <f>IF(C4802&amp;G4802&amp;D4802&lt;&gt;'Funnel setup'!$K$3&amp;'Funnel setup'!$K$4&amp;'Funnel setup'!$K$5,".",IF(A4801=".",1,A4801+1))</f>
        <v>.</v>
      </c>
      <c r="B4802" s="431" t="str">
        <f t="shared" si="74"/>
        <v>Knee Replacement PrimaryProviderTHE HORDER CENTRE - ST JOHNS ROAD (NXM01)EQ-5D Index</v>
      </c>
      <c r="C4802" t="s">
        <v>249</v>
      </c>
      <c r="D4802" t="s">
        <v>1</v>
      </c>
      <c r="E4802" t="s">
        <v>4222</v>
      </c>
      <c r="F4802" t="s">
        <v>4223</v>
      </c>
      <c r="G4802" t="s">
        <v>52</v>
      </c>
      <c r="H4802">
        <v>621</v>
      </c>
      <c r="I4802">
        <v>0.57199999999999995</v>
      </c>
      <c r="J4802">
        <v>0.81299999999999994</v>
      </c>
      <c r="K4802">
        <v>0.24</v>
      </c>
      <c r="L4802">
        <v>492</v>
      </c>
      <c r="M4802">
        <v>76</v>
      </c>
      <c r="N4802">
        <v>53</v>
      </c>
      <c r="O4802">
        <v>0.76100000000000001</v>
      </c>
      <c r="P4802">
        <v>0.33644458100000002</v>
      </c>
      <c r="Q4802">
        <v>0.187</v>
      </c>
    </row>
    <row r="4803" spans="1:17" x14ac:dyDescent="0.2">
      <c r="A4803" s="30" t="str">
        <f>IF(C4803&amp;G4803&amp;D4803&lt;&gt;'Funnel setup'!$K$3&amp;'Funnel setup'!$K$4&amp;'Funnel setup'!$K$5,".",IF(A4802=".",1,A4802+1))</f>
        <v>.</v>
      </c>
      <c r="B4803" s="431" t="str">
        <f t="shared" ref="B4803:B4866" si="75">C4803&amp;D4803&amp;F4803&amp;G4803</f>
        <v>Knee Replacement PrimaryProviderTHE NEWCASTLE UPON TYNE HOSPITALS NHS FOUNDATION TRUST (RTD)EQ-5D Index</v>
      </c>
      <c r="C4803" t="s">
        <v>249</v>
      </c>
      <c r="D4803" t="s">
        <v>1</v>
      </c>
      <c r="E4803" t="s">
        <v>3748</v>
      </c>
      <c r="F4803" t="s">
        <v>3749</v>
      </c>
      <c r="G4803" t="s">
        <v>52</v>
      </c>
      <c r="H4803">
        <v>389</v>
      </c>
      <c r="I4803">
        <v>0.376</v>
      </c>
      <c r="J4803">
        <v>0.72499999999999998</v>
      </c>
      <c r="K4803">
        <v>0.34899999999999998</v>
      </c>
      <c r="L4803">
        <v>326</v>
      </c>
      <c r="M4803">
        <v>33</v>
      </c>
      <c r="N4803">
        <v>30</v>
      </c>
      <c r="O4803">
        <v>0.749</v>
      </c>
      <c r="P4803">
        <v>0.32405556400000002</v>
      </c>
      <c r="Q4803">
        <v>0.216</v>
      </c>
    </row>
    <row r="4804" spans="1:17" x14ac:dyDescent="0.2">
      <c r="A4804" s="30" t="str">
        <f>IF(C4804&amp;G4804&amp;D4804&lt;&gt;'Funnel setup'!$K$3&amp;'Funnel setup'!$K$4&amp;'Funnel setup'!$K$5,".",IF(A4803=".",1,A4803+1))</f>
        <v>.</v>
      </c>
      <c r="B4804" s="431" t="str">
        <f t="shared" si="75"/>
        <v>Knee Replacement PrimaryProviderTHE PRINCESS ALEXANDRA HOSPITAL NHS TRUST (RQW)EQ-5D Index</v>
      </c>
      <c r="C4804" t="s">
        <v>249</v>
      </c>
      <c r="D4804" t="s">
        <v>1</v>
      </c>
      <c r="E4804" t="s">
        <v>3751</v>
      </c>
      <c r="F4804" t="s">
        <v>3752</v>
      </c>
      <c r="G4804" t="s">
        <v>52</v>
      </c>
      <c r="H4804">
        <v>187</v>
      </c>
      <c r="I4804">
        <v>0.44600000000000001</v>
      </c>
      <c r="J4804">
        <v>0.73099999999999998</v>
      </c>
      <c r="K4804">
        <v>0.28499999999999998</v>
      </c>
      <c r="L4804">
        <v>156</v>
      </c>
      <c r="M4804">
        <v>10</v>
      </c>
      <c r="N4804">
        <v>21</v>
      </c>
      <c r="O4804">
        <v>0.73</v>
      </c>
      <c r="P4804">
        <v>0.30532983400000002</v>
      </c>
      <c r="Q4804">
        <v>0.24199999999999999</v>
      </c>
    </row>
    <row r="4805" spans="1:17" x14ac:dyDescent="0.2">
      <c r="A4805" s="30" t="str">
        <f>IF(C4805&amp;G4805&amp;D4805&lt;&gt;'Funnel setup'!$K$3&amp;'Funnel setup'!$K$4&amp;'Funnel setup'!$K$5,".",IF(A4804=".",1,A4804+1))</f>
        <v>.</v>
      </c>
      <c r="B4805" s="431" t="str">
        <f t="shared" si="75"/>
        <v>Knee Replacement PrimaryProviderTHE QUEEN ELIZABETH HOSPITAL, KING'S LYNN, NHS FOUNDATION TRUST (RCX)EQ-5D Index</v>
      </c>
      <c r="C4805" t="s">
        <v>249</v>
      </c>
      <c r="D4805" t="s">
        <v>1</v>
      </c>
      <c r="E4805" t="s">
        <v>3754</v>
      </c>
      <c r="F4805" t="s">
        <v>3755</v>
      </c>
      <c r="G4805" t="s">
        <v>52</v>
      </c>
      <c r="H4805">
        <v>140</v>
      </c>
      <c r="I4805">
        <v>0.42099999999999999</v>
      </c>
      <c r="J4805">
        <v>0.73899999999999999</v>
      </c>
      <c r="K4805">
        <v>0.318</v>
      </c>
      <c r="L4805">
        <v>115</v>
      </c>
      <c r="M4805">
        <v>14</v>
      </c>
      <c r="N4805">
        <v>11</v>
      </c>
      <c r="O4805">
        <v>0.745</v>
      </c>
      <c r="P4805">
        <v>0.31970031999999998</v>
      </c>
      <c r="Q4805">
        <v>0.191</v>
      </c>
    </row>
    <row r="4806" spans="1:17" x14ac:dyDescent="0.2">
      <c r="A4806" s="30" t="str">
        <f>IF(C4806&amp;G4806&amp;D4806&lt;&gt;'Funnel setup'!$K$3&amp;'Funnel setup'!$K$4&amp;'Funnel setup'!$K$5,".",IF(A4805=".",1,A4805+1))</f>
        <v>.</v>
      </c>
      <c r="B4806" s="431" t="str">
        <f t="shared" si="75"/>
        <v>Knee Replacement PrimaryProviderTHE ROBERT JONES AND AGNES HUNT ORTHOPAEDIC HOSPITAL NHS FOUNDATION TRUST (RL1)EQ-5D Index</v>
      </c>
      <c r="C4806" t="s">
        <v>249</v>
      </c>
      <c r="D4806" t="s">
        <v>1</v>
      </c>
      <c r="E4806" t="s">
        <v>4496</v>
      </c>
      <c r="F4806" t="s">
        <v>4497</v>
      </c>
      <c r="G4806" t="s">
        <v>52</v>
      </c>
      <c r="H4806">
        <v>437</v>
      </c>
      <c r="I4806">
        <v>0.35499999999999998</v>
      </c>
      <c r="J4806">
        <v>0.78800000000000003</v>
      </c>
      <c r="K4806">
        <v>0.433</v>
      </c>
      <c r="L4806">
        <v>393</v>
      </c>
      <c r="M4806">
        <v>27</v>
      </c>
      <c r="N4806">
        <v>17</v>
      </c>
      <c r="O4806">
        <v>0.752</v>
      </c>
      <c r="P4806">
        <v>0.32714191999999997</v>
      </c>
      <c r="Q4806">
        <v>0.21199999999999999</v>
      </c>
    </row>
    <row r="4807" spans="1:17" x14ac:dyDescent="0.2">
      <c r="A4807" s="30" t="str">
        <f>IF(C4807&amp;G4807&amp;D4807&lt;&gt;'Funnel setup'!$K$3&amp;'Funnel setup'!$K$4&amp;'Funnel setup'!$K$5,".",IF(A4806=".",1,A4806+1))</f>
        <v>.</v>
      </c>
      <c r="B4807" s="431" t="str">
        <f t="shared" si="75"/>
        <v>Knee Replacement PrimaryProviderTHE ROTHERHAM NHS FOUNDATION TRUST (RFR)EQ-5D Index</v>
      </c>
      <c r="C4807" t="s">
        <v>249</v>
      </c>
      <c r="D4807" t="s">
        <v>1</v>
      </c>
      <c r="E4807" t="s">
        <v>3739</v>
      </c>
      <c r="F4807" t="s">
        <v>3740</v>
      </c>
      <c r="G4807" t="s">
        <v>52</v>
      </c>
      <c r="H4807">
        <v>174</v>
      </c>
      <c r="I4807">
        <v>0.374</v>
      </c>
      <c r="J4807">
        <v>0.72599999999999998</v>
      </c>
      <c r="K4807">
        <v>0.35199999999999998</v>
      </c>
      <c r="L4807">
        <v>144</v>
      </c>
      <c r="M4807">
        <v>15</v>
      </c>
      <c r="N4807">
        <v>15</v>
      </c>
      <c r="O4807">
        <v>0.76</v>
      </c>
      <c r="P4807">
        <v>0.33493874299999998</v>
      </c>
      <c r="Q4807">
        <v>0.23200000000000001</v>
      </c>
    </row>
    <row r="4808" spans="1:17" x14ac:dyDescent="0.2">
      <c r="A4808" s="30" t="str">
        <f>IF(C4808&amp;G4808&amp;D4808&lt;&gt;'Funnel setup'!$K$3&amp;'Funnel setup'!$K$4&amp;'Funnel setup'!$K$5,".",IF(A4807=".",1,A4807+1))</f>
        <v>.</v>
      </c>
      <c r="B4808" s="431" t="str">
        <f t="shared" si="75"/>
        <v>Knee Replacement PrimaryProviderTHE ROYAL BOURNEMOUTH AND CHRISTCHURCH HOSPITALS NHS FOUNDATION TRUST (RDZ)EQ-5D Index</v>
      </c>
      <c r="C4808" t="s">
        <v>249</v>
      </c>
      <c r="D4808" t="s">
        <v>1</v>
      </c>
      <c r="E4808" t="s">
        <v>3742</v>
      </c>
      <c r="F4808" t="s">
        <v>3743</v>
      </c>
      <c r="G4808" t="s">
        <v>52</v>
      </c>
      <c r="H4808">
        <v>379</v>
      </c>
      <c r="I4808">
        <v>0.434</v>
      </c>
      <c r="J4808">
        <v>0.751</v>
      </c>
      <c r="K4808">
        <v>0.316</v>
      </c>
      <c r="L4808">
        <v>302</v>
      </c>
      <c r="M4808">
        <v>39</v>
      </c>
      <c r="N4808">
        <v>38</v>
      </c>
      <c r="O4808">
        <v>0.74199999999999999</v>
      </c>
      <c r="P4808">
        <v>0.31674924599999998</v>
      </c>
      <c r="Q4808">
        <v>0.223</v>
      </c>
    </row>
    <row r="4809" spans="1:17" x14ac:dyDescent="0.2">
      <c r="A4809" s="30" t="str">
        <f>IF(C4809&amp;G4809&amp;D4809&lt;&gt;'Funnel setup'!$K$3&amp;'Funnel setup'!$K$4&amp;'Funnel setup'!$K$5,".",IF(A4808=".",1,A4808+1))</f>
        <v>.</v>
      </c>
      <c r="B4809" s="431" t="str">
        <f t="shared" si="75"/>
        <v>Knee Replacement PrimaryProviderTHE ROYAL ORTHOPAEDIC HOSPITAL NHS FOUNDATION TRUST (RRJ)EQ-5D Index</v>
      </c>
      <c r="C4809" t="s">
        <v>249</v>
      </c>
      <c r="D4809" t="s">
        <v>1</v>
      </c>
      <c r="E4809" t="s">
        <v>4480</v>
      </c>
      <c r="F4809" t="s">
        <v>4481</v>
      </c>
      <c r="G4809" t="s">
        <v>52</v>
      </c>
      <c r="H4809">
        <v>249</v>
      </c>
      <c r="I4809">
        <v>0.41399999999999998</v>
      </c>
      <c r="J4809">
        <v>0.70599999999999996</v>
      </c>
      <c r="K4809">
        <v>0.29199999999999998</v>
      </c>
      <c r="L4809">
        <v>197</v>
      </c>
      <c r="M4809">
        <v>25</v>
      </c>
      <c r="N4809">
        <v>27</v>
      </c>
      <c r="O4809">
        <v>0.72899999999999998</v>
      </c>
      <c r="P4809">
        <v>0.303510789</v>
      </c>
      <c r="Q4809">
        <v>0.245</v>
      </c>
    </row>
    <row r="4810" spans="1:17" x14ac:dyDescent="0.2">
      <c r="A4810" s="30" t="str">
        <f>IF(C4810&amp;G4810&amp;D4810&lt;&gt;'Funnel setup'!$K$3&amp;'Funnel setup'!$K$4&amp;'Funnel setup'!$K$5,".",IF(A4809=".",1,A4809+1))</f>
        <v>.</v>
      </c>
      <c r="B4810" s="431" t="str">
        <f t="shared" si="75"/>
        <v>Knee Replacement PrimaryProviderTHE ROYAL WOLVERHAMPTON NHS TRUST (RL4)EQ-5D Index</v>
      </c>
      <c r="C4810" t="s">
        <v>249</v>
      </c>
      <c r="D4810" t="s">
        <v>1</v>
      </c>
      <c r="E4810" t="s">
        <v>3382</v>
      </c>
      <c r="F4810" t="s">
        <v>3383</v>
      </c>
      <c r="G4810" t="s">
        <v>52</v>
      </c>
      <c r="H4810">
        <v>305</v>
      </c>
      <c r="I4810">
        <v>0.36099999999999999</v>
      </c>
      <c r="J4810">
        <v>0.68600000000000005</v>
      </c>
      <c r="K4810">
        <v>0.32600000000000001</v>
      </c>
      <c r="L4810">
        <v>235</v>
      </c>
      <c r="M4810">
        <v>38</v>
      </c>
      <c r="N4810">
        <v>32</v>
      </c>
      <c r="O4810">
        <v>0.73599999999999999</v>
      </c>
      <c r="P4810">
        <v>0.31072113200000001</v>
      </c>
      <c r="Q4810">
        <v>0.248</v>
      </c>
    </row>
    <row r="4811" spans="1:17" x14ac:dyDescent="0.2">
      <c r="A4811" s="30" t="str">
        <f>IF(C4811&amp;G4811&amp;D4811&lt;&gt;'Funnel setup'!$K$3&amp;'Funnel setup'!$K$4&amp;'Funnel setup'!$K$5,".",IF(A4810=".",1,A4810+1))</f>
        <v>.</v>
      </c>
      <c r="B4811" s="431" t="str">
        <f t="shared" si="75"/>
        <v>Knee Replacement PrimaryProviderTHE SPENCER WING (RAMSGATE ROAD) (NN801)EQ-5D Index</v>
      </c>
      <c r="C4811" t="s">
        <v>249</v>
      </c>
      <c r="D4811" t="s">
        <v>1</v>
      </c>
      <c r="E4811" t="s">
        <v>3757</v>
      </c>
      <c r="F4811" t="s">
        <v>3758</v>
      </c>
      <c r="G4811" t="s">
        <v>52</v>
      </c>
      <c r="H4811">
        <v>24</v>
      </c>
      <c r="I4811">
        <v>0.41799999999999998</v>
      </c>
      <c r="J4811">
        <v>0.80300000000000005</v>
      </c>
      <c r="K4811">
        <v>0.38500000000000001</v>
      </c>
      <c r="L4811">
        <v>20</v>
      </c>
      <c r="M4811">
        <v>2</v>
      </c>
      <c r="N4811">
        <v>2</v>
      </c>
      <c r="O4811" t="s">
        <v>53</v>
      </c>
      <c r="P4811" t="s">
        <v>53</v>
      </c>
      <c r="Q4811" t="s">
        <v>53</v>
      </c>
    </row>
    <row r="4812" spans="1:17" x14ac:dyDescent="0.2">
      <c r="A4812" s="30" t="str">
        <f>IF(C4812&amp;G4812&amp;D4812&lt;&gt;'Funnel setup'!$K$3&amp;'Funnel setup'!$K$4&amp;'Funnel setup'!$K$5,".",IF(A4811=".",1,A4811+1))</f>
        <v>.</v>
      </c>
      <c r="B4812" s="431" t="str">
        <f t="shared" si="75"/>
        <v>Knee Replacement PrimaryProviderTHE YORKSHIRE CLINIC (NVC20)EQ-5D Index</v>
      </c>
      <c r="C4812" t="s">
        <v>249</v>
      </c>
      <c r="D4812" t="s">
        <v>1</v>
      </c>
      <c r="E4812" t="s">
        <v>3760</v>
      </c>
      <c r="F4812" t="s">
        <v>3761</v>
      </c>
      <c r="G4812" t="s">
        <v>52</v>
      </c>
      <c r="H4812">
        <v>51</v>
      </c>
      <c r="I4812">
        <v>0.47799999999999998</v>
      </c>
      <c r="J4812">
        <v>0.79400000000000004</v>
      </c>
      <c r="K4812">
        <v>0.317</v>
      </c>
      <c r="L4812">
        <v>42</v>
      </c>
      <c r="M4812">
        <v>3</v>
      </c>
      <c r="N4812">
        <v>6</v>
      </c>
      <c r="O4812">
        <v>0.745</v>
      </c>
      <c r="P4812">
        <v>0.319944742</v>
      </c>
      <c r="Q4812">
        <v>0.192</v>
      </c>
    </row>
    <row r="4813" spans="1:17" x14ac:dyDescent="0.2">
      <c r="A4813" s="30" t="str">
        <f>IF(C4813&amp;G4813&amp;D4813&lt;&gt;'Funnel setup'!$K$3&amp;'Funnel setup'!$K$4&amp;'Funnel setup'!$K$5,".",IF(A4812=".",1,A4812+1))</f>
        <v>.</v>
      </c>
      <c r="B4813" s="431" t="str">
        <f t="shared" si="75"/>
        <v>Knee Replacement PrimaryProviderTORBAY AND SOUTH DEVON NHS FOUNDATION TRUST (RA9)EQ-5D Index</v>
      </c>
      <c r="C4813" t="s">
        <v>249</v>
      </c>
      <c r="D4813" t="s">
        <v>1</v>
      </c>
      <c r="E4813" t="s">
        <v>3480</v>
      </c>
      <c r="F4813" t="s">
        <v>6584</v>
      </c>
      <c r="G4813" t="s">
        <v>52</v>
      </c>
      <c r="H4813">
        <v>204</v>
      </c>
      <c r="I4813">
        <v>0.433</v>
      </c>
      <c r="J4813">
        <v>0.72199999999999998</v>
      </c>
      <c r="K4813">
        <v>0.28899999999999998</v>
      </c>
      <c r="L4813">
        <v>160</v>
      </c>
      <c r="M4813">
        <v>26</v>
      </c>
      <c r="N4813">
        <v>18</v>
      </c>
      <c r="O4813">
        <v>0.73499999999999999</v>
      </c>
      <c r="P4813">
        <v>0.30976432799999998</v>
      </c>
      <c r="Q4813">
        <v>0.23799999999999999</v>
      </c>
    </row>
    <row r="4814" spans="1:17" x14ac:dyDescent="0.2">
      <c r="A4814" s="30" t="str">
        <f>IF(C4814&amp;G4814&amp;D4814&lt;&gt;'Funnel setup'!$K$3&amp;'Funnel setup'!$K$4&amp;'Funnel setup'!$K$5,".",IF(A4813=".",1,A4813+1))</f>
        <v>.</v>
      </c>
      <c r="B4814" s="431" t="str">
        <f t="shared" si="75"/>
        <v>Knee Replacement PrimaryProviderTYNESIDE SURGICAL SERVICES AT THE NORTH EAST NHS SURGERY CENTRE (NN401)EQ-5D Index</v>
      </c>
      <c r="C4814" t="s">
        <v>249</v>
      </c>
      <c r="D4814" t="s">
        <v>1</v>
      </c>
      <c r="E4814" t="s">
        <v>4506</v>
      </c>
      <c r="F4814" t="s">
        <v>4507</v>
      </c>
      <c r="G4814" t="s">
        <v>52</v>
      </c>
      <c r="H4814">
        <v>7</v>
      </c>
      <c r="I4814">
        <v>0.42399999999999999</v>
      </c>
      <c r="J4814">
        <v>0.80400000000000005</v>
      </c>
      <c r="K4814">
        <v>0.379</v>
      </c>
      <c r="L4814">
        <v>6</v>
      </c>
      <c r="M4814">
        <v>0</v>
      </c>
      <c r="N4814">
        <v>1</v>
      </c>
      <c r="O4814" t="s">
        <v>53</v>
      </c>
      <c r="P4814" t="s">
        <v>53</v>
      </c>
      <c r="Q4814" t="s">
        <v>53</v>
      </c>
    </row>
    <row r="4815" spans="1:17" x14ac:dyDescent="0.2">
      <c r="A4815" s="30" t="str">
        <f>IF(C4815&amp;G4815&amp;D4815&lt;&gt;'Funnel setup'!$K$3&amp;'Funnel setup'!$K$4&amp;'Funnel setup'!$K$5,".",IF(A4814=".",1,A4814+1))</f>
        <v>.</v>
      </c>
      <c r="B4815" s="431" t="str">
        <f t="shared" si="75"/>
        <v>Knee Replacement PrimaryProviderUNITED LINCOLNSHIRE HOSPITALS NHS TRUST (RWD)EQ-5D Index</v>
      </c>
      <c r="C4815" t="s">
        <v>249</v>
      </c>
      <c r="D4815" t="s">
        <v>1</v>
      </c>
      <c r="E4815" t="s">
        <v>3763</v>
      </c>
      <c r="F4815" t="s">
        <v>3764</v>
      </c>
      <c r="G4815" t="s">
        <v>52</v>
      </c>
      <c r="H4815">
        <v>252</v>
      </c>
      <c r="I4815">
        <v>0.42399999999999999</v>
      </c>
      <c r="J4815">
        <v>0.72</v>
      </c>
      <c r="K4815">
        <v>0.29599999999999999</v>
      </c>
      <c r="L4815">
        <v>194</v>
      </c>
      <c r="M4815">
        <v>24</v>
      </c>
      <c r="N4815">
        <v>34</v>
      </c>
      <c r="O4815">
        <v>0.72299999999999998</v>
      </c>
      <c r="P4815">
        <v>0.29800779399999999</v>
      </c>
      <c r="Q4815">
        <v>0.251</v>
      </c>
    </row>
    <row r="4816" spans="1:17" x14ac:dyDescent="0.2">
      <c r="A4816" s="30" t="str">
        <f>IF(C4816&amp;G4816&amp;D4816&lt;&gt;'Funnel setup'!$K$3&amp;'Funnel setup'!$K$4&amp;'Funnel setup'!$K$5,".",IF(A4815=".",1,A4815+1))</f>
        <v>.</v>
      </c>
      <c r="B4816" s="431" t="str">
        <f t="shared" si="75"/>
        <v>Knee Replacement PrimaryProviderUNIVERSITY COLLEGE LONDON HOSPITALS NHS FOUNDATION TRUST (RRV)EQ-5D Index</v>
      </c>
      <c r="C4816" t="s">
        <v>249</v>
      </c>
      <c r="D4816" t="s">
        <v>1</v>
      </c>
      <c r="E4816" t="s">
        <v>3766</v>
      </c>
      <c r="F4816" t="s">
        <v>3767</v>
      </c>
      <c r="G4816" t="s">
        <v>52</v>
      </c>
      <c r="H4816">
        <v>64</v>
      </c>
      <c r="I4816">
        <v>0.47</v>
      </c>
      <c r="J4816">
        <v>0.66400000000000003</v>
      </c>
      <c r="K4816">
        <v>0.19400000000000001</v>
      </c>
      <c r="L4816">
        <v>44</v>
      </c>
      <c r="M4816">
        <v>7</v>
      </c>
      <c r="N4816">
        <v>13</v>
      </c>
      <c r="O4816">
        <v>0.69799999999999995</v>
      </c>
      <c r="P4816">
        <v>0.27258681200000001</v>
      </c>
      <c r="Q4816">
        <v>0.27</v>
      </c>
    </row>
    <row r="4817" spans="1:17" x14ac:dyDescent="0.2">
      <c r="A4817" s="30" t="str">
        <f>IF(C4817&amp;G4817&amp;D4817&lt;&gt;'Funnel setup'!$K$3&amp;'Funnel setup'!$K$4&amp;'Funnel setup'!$K$5,".",IF(A4816=".",1,A4816+1))</f>
        <v>.</v>
      </c>
      <c r="B4817" s="431" t="str">
        <f t="shared" si="75"/>
        <v>Knee Replacement PrimaryProviderUNIVERSITY HOSPITAL OF SOUTH MANCHESTER NHS FOUNDATION TRUST (RM2)EQ-5D Index</v>
      </c>
      <c r="C4817" t="s">
        <v>249</v>
      </c>
      <c r="D4817" t="s">
        <v>1</v>
      </c>
      <c r="E4817" t="s">
        <v>3769</v>
      </c>
      <c r="F4817" t="s">
        <v>3770</v>
      </c>
      <c r="G4817" t="s">
        <v>52</v>
      </c>
      <c r="H4817">
        <v>116</v>
      </c>
      <c r="I4817">
        <v>0.44</v>
      </c>
      <c r="J4817">
        <v>0.68200000000000005</v>
      </c>
      <c r="K4817">
        <v>0.24199999999999999</v>
      </c>
      <c r="L4817">
        <v>87</v>
      </c>
      <c r="M4817">
        <v>15</v>
      </c>
      <c r="N4817">
        <v>14</v>
      </c>
      <c r="O4817">
        <v>0.69799999999999995</v>
      </c>
      <c r="P4817">
        <v>0.27290013200000002</v>
      </c>
      <c r="Q4817">
        <v>0.26500000000000001</v>
      </c>
    </row>
    <row r="4818" spans="1:17" x14ac:dyDescent="0.2">
      <c r="A4818" s="30" t="str">
        <f>IF(C4818&amp;G4818&amp;D4818&lt;&gt;'Funnel setup'!$K$3&amp;'Funnel setup'!$K$4&amp;'Funnel setup'!$K$5,".",IF(A4817=".",1,A4817+1))</f>
        <v>.</v>
      </c>
      <c r="B4818" s="431" t="str">
        <f t="shared" si="75"/>
        <v>Knee Replacement PrimaryProviderUNIVERSITY HOSPITAL SOUTHAMPTON NHS FOUNDATION TRUST (RHM)EQ-5D Index</v>
      </c>
      <c r="C4818" t="s">
        <v>249</v>
      </c>
      <c r="D4818" t="s">
        <v>1</v>
      </c>
      <c r="E4818" t="s">
        <v>3772</v>
      </c>
      <c r="F4818" t="s">
        <v>3773</v>
      </c>
      <c r="G4818" t="s">
        <v>52</v>
      </c>
      <c r="H4818">
        <v>168</v>
      </c>
      <c r="I4818">
        <v>0.40699999999999997</v>
      </c>
      <c r="J4818">
        <v>0.70599999999999996</v>
      </c>
      <c r="K4818">
        <v>0.29899999999999999</v>
      </c>
      <c r="L4818">
        <v>135</v>
      </c>
      <c r="M4818">
        <v>16</v>
      </c>
      <c r="N4818">
        <v>17</v>
      </c>
      <c r="O4818">
        <v>0.72299999999999998</v>
      </c>
      <c r="P4818">
        <v>0.29770906000000003</v>
      </c>
      <c r="Q4818">
        <v>0.24099999999999999</v>
      </c>
    </row>
    <row r="4819" spans="1:17" x14ac:dyDescent="0.2">
      <c r="A4819" s="30" t="str">
        <f>IF(C4819&amp;G4819&amp;D4819&lt;&gt;'Funnel setup'!$K$3&amp;'Funnel setup'!$K$4&amp;'Funnel setup'!$K$5,".",IF(A4818=".",1,A4818+1))</f>
        <v>.</v>
      </c>
      <c r="B4819" s="431" t="str">
        <f t="shared" si="75"/>
        <v>Knee Replacement PrimaryProviderUNIVERSITY HOSPITALS COVENTRY AND WARWICKSHIRE NHS TRUST (RKB)EQ-5D Index</v>
      </c>
      <c r="C4819" t="s">
        <v>249</v>
      </c>
      <c r="D4819" t="s">
        <v>1</v>
      </c>
      <c r="E4819" t="s">
        <v>3715</v>
      </c>
      <c r="F4819" t="s">
        <v>3716</v>
      </c>
      <c r="G4819" t="s">
        <v>52</v>
      </c>
      <c r="H4819">
        <v>290</v>
      </c>
      <c r="I4819">
        <v>0.42599999999999999</v>
      </c>
      <c r="J4819">
        <v>0.73699999999999999</v>
      </c>
      <c r="K4819">
        <v>0.311</v>
      </c>
      <c r="L4819">
        <v>223</v>
      </c>
      <c r="M4819">
        <v>38</v>
      </c>
      <c r="N4819">
        <v>29</v>
      </c>
      <c r="O4819">
        <v>0.74</v>
      </c>
      <c r="P4819">
        <v>0.31471409099999997</v>
      </c>
      <c r="Q4819">
        <v>0.22700000000000001</v>
      </c>
    </row>
    <row r="4820" spans="1:17" x14ac:dyDescent="0.2">
      <c r="A4820" s="30" t="str">
        <f>IF(C4820&amp;G4820&amp;D4820&lt;&gt;'Funnel setup'!$K$3&amp;'Funnel setup'!$K$4&amp;'Funnel setup'!$K$5,".",IF(A4819=".",1,A4819+1))</f>
        <v>.</v>
      </c>
      <c r="B4820" s="431" t="str">
        <f t="shared" si="75"/>
        <v>Knee Replacement PrimaryProviderUNIVERSITY HOSPITALS OF LEICESTER NHS TRUST (RWE)EQ-5D Index</v>
      </c>
      <c r="C4820" t="s">
        <v>249</v>
      </c>
      <c r="D4820" t="s">
        <v>1</v>
      </c>
      <c r="E4820" t="s">
        <v>3718</v>
      </c>
      <c r="F4820" t="s">
        <v>3719</v>
      </c>
      <c r="G4820" t="s">
        <v>52</v>
      </c>
      <c r="H4820">
        <v>566</v>
      </c>
      <c r="I4820">
        <v>0.35299999999999998</v>
      </c>
      <c r="J4820">
        <v>0.72899999999999998</v>
      </c>
      <c r="K4820">
        <v>0.376</v>
      </c>
      <c r="L4820">
        <v>483</v>
      </c>
      <c r="M4820">
        <v>46</v>
      </c>
      <c r="N4820">
        <v>37</v>
      </c>
      <c r="O4820">
        <v>0.753</v>
      </c>
      <c r="P4820">
        <v>0.32754398600000001</v>
      </c>
      <c r="Q4820">
        <v>0.215</v>
      </c>
    </row>
    <row r="4821" spans="1:17" x14ac:dyDescent="0.2">
      <c r="A4821" s="30" t="str">
        <f>IF(C4821&amp;G4821&amp;D4821&lt;&gt;'Funnel setup'!$K$3&amp;'Funnel setup'!$K$4&amp;'Funnel setup'!$K$5,".",IF(A4820=".",1,A4820+1))</f>
        <v>.</v>
      </c>
      <c r="B4821" s="431" t="str">
        <f t="shared" si="75"/>
        <v>Knee Replacement PrimaryProviderUNIVERSITY HOSPITALS OF MORECAMBE BAY NHS FOUNDATION TRUST (RTX)EQ-5D Index</v>
      </c>
      <c r="C4821" t="s">
        <v>249</v>
      </c>
      <c r="D4821" t="s">
        <v>1</v>
      </c>
      <c r="E4821" t="s">
        <v>3721</v>
      </c>
      <c r="F4821" t="s">
        <v>3722</v>
      </c>
      <c r="G4821" t="s">
        <v>52</v>
      </c>
      <c r="H4821">
        <v>329</v>
      </c>
      <c r="I4821">
        <v>0.47699999999999998</v>
      </c>
      <c r="J4821">
        <v>0.745</v>
      </c>
      <c r="K4821">
        <v>0.26800000000000002</v>
      </c>
      <c r="L4821">
        <v>257</v>
      </c>
      <c r="M4821">
        <v>32</v>
      </c>
      <c r="N4821">
        <v>40</v>
      </c>
      <c r="O4821">
        <v>0.73199999999999998</v>
      </c>
      <c r="P4821">
        <v>0.30710246600000002</v>
      </c>
      <c r="Q4821">
        <v>0.20899999999999999</v>
      </c>
    </row>
    <row r="4822" spans="1:17" x14ac:dyDescent="0.2">
      <c r="A4822" s="30" t="str">
        <f>IF(C4822&amp;G4822&amp;D4822&lt;&gt;'Funnel setup'!$K$3&amp;'Funnel setup'!$K$4&amp;'Funnel setup'!$K$5,".",IF(A4821=".",1,A4821+1))</f>
        <v>.</v>
      </c>
      <c r="B4822" s="431" t="str">
        <f t="shared" si="75"/>
        <v>Knee Replacement PrimaryProviderUNIVERSITY HOSPITALS OF NORTH MIDLANDS NHS TRUST (RJE)EQ-5D Index</v>
      </c>
      <c r="C4822" t="s">
        <v>249</v>
      </c>
      <c r="D4822" t="s">
        <v>1</v>
      </c>
      <c r="E4822" t="s">
        <v>3724</v>
      </c>
      <c r="F4822" t="s">
        <v>3725</v>
      </c>
      <c r="G4822" t="s">
        <v>52</v>
      </c>
      <c r="H4822">
        <v>212</v>
      </c>
      <c r="I4822">
        <v>0.28799999999999998</v>
      </c>
      <c r="J4822">
        <v>0.65</v>
      </c>
      <c r="K4822">
        <v>0.36199999999999999</v>
      </c>
      <c r="L4822">
        <v>178</v>
      </c>
      <c r="M4822">
        <v>21</v>
      </c>
      <c r="N4822">
        <v>13</v>
      </c>
      <c r="O4822">
        <v>0.71799999999999997</v>
      </c>
      <c r="P4822">
        <v>0.29277715700000001</v>
      </c>
      <c r="Q4822">
        <v>0.246</v>
      </c>
    </row>
    <row r="4823" spans="1:17" x14ac:dyDescent="0.2">
      <c r="A4823" s="30" t="str">
        <f>IF(C4823&amp;G4823&amp;D4823&lt;&gt;'Funnel setup'!$K$3&amp;'Funnel setup'!$K$4&amp;'Funnel setup'!$K$5,".",IF(A4822=".",1,A4822+1))</f>
        <v>.</v>
      </c>
      <c r="B4823" s="431" t="str">
        <f t="shared" si="75"/>
        <v>Knee Replacement PrimaryProviderWALSALL HEALTHCARE NHS TRUST (RBK)EQ-5D Index</v>
      </c>
      <c r="C4823" t="s">
        <v>249</v>
      </c>
      <c r="D4823" t="s">
        <v>1</v>
      </c>
      <c r="E4823" t="s">
        <v>3727</v>
      </c>
      <c r="F4823" t="s">
        <v>3728</v>
      </c>
      <c r="G4823" t="s">
        <v>52</v>
      </c>
      <c r="H4823">
        <v>112</v>
      </c>
      <c r="I4823">
        <v>0.30399999999999999</v>
      </c>
      <c r="J4823">
        <v>0.64800000000000002</v>
      </c>
      <c r="K4823">
        <v>0.34399999999999997</v>
      </c>
      <c r="L4823">
        <v>96</v>
      </c>
      <c r="M4823">
        <v>5</v>
      </c>
      <c r="N4823">
        <v>11</v>
      </c>
      <c r="O4823">
        <v>0.69699999999999995</v>
      </c>
      <c r="P4823">
        <v>0.27210744199999998</v>
      </c>
      <c r="Q4823">
        <v>0.255</v>
      </c>
    </row>
    <row r="4824" spans="1:17" x14ac:dyDescent="0.2">
      <c r="A4824" s="30" t="str">
        <f>IF(C4824&amp;G4824&amp;D4824&lt;&gt;'Funnel setup'!$K$3&amp;'Funnel setup'!$K$4&amp;'Funnel setup'!$K$5,".",IF(A4823=".",1,A4823+1))</f>
        <v>.</v>
      </c>
      <c r="B4824" s="431" t="str">
        <f t="shared" si="75"/>
        <v>Knee Replacement PrimaryProviderWARRINGTON AND HALTON HOSPITALS NHS FOUNDATION TRUST (RWW)EQ-5D Index</v>
      </c>
      <c r="C4824" t="s">
        <v>249</v>
      </c>
      <c r="D4824" t="s">
        <v>1</v>
      </c>
      <c r="E4824" t="s">
        <v>3730</v>
      </c>
      <c r="F4824" t="s">
        <v>3731</v>
      </c>
      <c r="G4824" t="s">
        <v>52</v>
      </c>
      <c r="H4824">
        <v>241</v>
      </c>
      <c r="I4824">
        <v>0.379</v>
      </c>
      <c r="J4824">
        <v>0.73899999999999999</v>
      </c>
      <c r="K4824">
        <v>0.36</v>
      </c>
      <c r="L4824">
        <v>195</v>
      </c>
      <c r="M4824">
        <v>29</v>
      </c>
      <c r="N4824">
        <v>17</v>
      </c>
      <c r="O4824">
        <v>0.752</v>
      </c>
      <c r="P4824">
        <v>0.32671644100000002</v>
      </c>
      <c r="Q4824">
        <v>0.19</v>
      </c>
    </row>
    <row r="4825" spans="1:17" x14ac:dyDescent="0.2">
      <c r="A4825" s="30" t="str">
        <f>IF(C4825&amp;G4825&amp;D4825&lt;&gt;'Funnel setup'!$K$3&amp;'Funnel setup'!$K$4&amp;'Funnel setup'!$K$5,".",IF(A4824=".",1,A4824+1))</f>
        <v>.</v>
      </c>
      <c r="B4825" s="431" t="str">
        <f t="shared" si="75"/>
        <v>Knee Replacement PrimaryProviderWEST HERTFORDSHIRE HOSPITALS NHS TRUST (RWG)EQ-5D Index</v>
      </c>
      <c r="C4825" t="s">
        <v>249</v>
      </c>
      <c r="D4825" t="s">
        <v>1</v>
      </c>
      <c r="E4825" t="s">
        <v>3733</v>
      </c>
      <c r="F4825" t="s">
        <v>3734</v>
      </c>
      <c r="G4825" t="s">
        <v>52</v>
      </c>
      <c r="H4825">
        <v>232</v>
      </c>
      <c r="I4825">
        <v>0.40899999999999997</v>
      </c>
      <c r="J4825">
        <v>0.73099999999999998</v>
      </c>
      <c r="K4825">
        <v>0.32200000000000001</v>
      </c>
      <c r="L4825">
        <v>183</v>
      </c>
      <c r="M4825">
        <v>26</v>
      </c>
      <c r="N4825">
        <v>23</v>
      </c>
      <c r="O4825">
        <v>0.72899999999999998</v>
      </c>
      <c r="P4825">
        <v>0.30362196600000002</v>
      </c>
      <c r="Q4825">
        <v>0.255</v>
      </c>
    </row>
    <row r="4826" spans="1:17" x14ac:dyDescent="0.2">
      <c r="A4826" s="30" t="str">
        <f>IF(C4826&amp;G4826&amp;D4826&lt;&gt;'Funnel setup'!$K$3&amp;'Funnel setup'!$K$4&amp;'Funnel setup'!$K$5,".",IF(A4825=".",1,A4825+1))</f>
        <v>.</v>
      </c>
      <c r="B4826" s="431" t="str">
        <f t="shared" si="75"/>
        <v>Knee Replacement PrimaryProviderWEST MIDDLESEX UNIVERSITY HOSPITAL NHS TRUST (RFW)EQ-5D Index</v>
      </c>
      <c r="C4826" t="s">
        <v>249</v>
      </c>
      <c r="D4826" t="s">
        <v>1</v>
      </c>
      <c r="E4826" t="s">
        <v>3736</v>
      </c>
      <c r="F4826" t="s">
        <v>3737</v>
      </c>
      <c r="G4826" t="s">
        <v>52</v>
      </c>
      <c r="H4826">
        <v>53</v>
      </c>
      <c r="I4826">
        <v>0.28799999999999998</v>
      </c>
      <c r="J4826">
        <v>0.69199999999999995</v>
      </c>
      <c r="K4826">
        <v>0.40400000000000003</v>
      </c>
      <c r="L4826">
        <v>47</v>
      </c>
      <c r="M4826">
        <v>4</v>
      </c>
      <c r="N4826">
        <v>2</v>
      </c>
      <c r="O4826">
        <v>0.73699999999999999</v>
      </c>
      <c r="P4826">
        <v>0.312341019</v>
      </c>
      <c r="Q4826">
        <v>0.24099999999999999</v>
      </c>
    </row>
    <row r="4827" spans="1:17" x14ac:dyDescent="0.2">
      <c r="A4827" s="30" t="str">
        <f>IF(C4827&amp;G4827&amp;D4827&lt;&gt;'Funnel setup'!$K$3&amp;'Funnel setup'!$K$4&amp;'Funnel setup'!$K$5,".",IF(A4826=".",1,A4826+1))</f>
        <v>.</v>
      </c>
      <c r="B4827" s="431" t="str">
        <f t="shared" si="75"/>
        <v>Knee Replacement PrimaryProviderWEST MIDLANDS HOSPITAL (NVC21)EQ-5D Index</v>
      </c>
      <c r="C4827" t="s">
        <v>249</v>
      </c>
      <c r="D4827" t="s">
        <v>1</v>
      </c>
      <c r="E4827" t="s">
        <v>3709</v>
      </c>
      <c r="F4827" t="s">
        <v>3710</v>
      </c>
      <c r="G4827" t="s">
        <v>52</v>
      </c>
      <c r="H4827">
        <v>59</v>
      </c>
      <c r="I4827">
        <v>0.32800000000000001</v>
      </c>
      <c r="J4827">
        <v>0.78300000000000003</v>
      </c>
      <c r="K4827">
        <v>0.45500000000000002</v>
      </c>
      <c r="L4827">
        <v>57</v>
      </c>
      <c r="M4827">
        <v>2</v>
      </c>
      <c r="N4827">
        <v>0</v>
      </c>
      <c r="O4827">
        <v>0.81200000000000006</v>
      </c>
      <c r="P4827">
        <v>0.38697488800000002</v>
      </c>
      <c r="Q4827">
        <v>0.184</v>
      </c>
    </row>
    <row r="4828" spans="1:17" x14ac:dyDescent="0.2">
      <c r="A4828" s="30" t="str">
        <f>IF(C4828&amp;G4828&amp;D4828&lt;&gt;'Funnel setup'!$K$3&amp;'Funnel setup'!$K$4&amp;'Funnel setup'!$K$5,".",IF(A4827=".",1,A4827+1))</f>
        <v>.</v>
      </c>
      <c r="B4828" s="431" t="str">
        <f t="shared" si="75"/>
        <v>Knee Replacement PrimaryProviderWEST SUFFOLK NHS FOUNDATION TRUST (RGR)EQ-5D Index</v>
      </c>
      <c r="C4828" t="s">
        <v>249</v>
      </c>
      <c r="D4828" t="s">
        <v>1</v>
      </c>
      <c r="E4828" t="s">
        <v>3712</v>
      </c>
      <c r="F4828" t="s">
        <v>3713</v>
      </c>
      <c r="G4828" t="s">
        <v>52</v>
      </c>
      <c r="H4828">
        <v>178</v>
      </c>
      <c r="I4828">
        <v>0.42899999999999999</v>
      </c>
      <c r="J4828">
        <v>0.751</v>
      </c>
      <c r="K4828">
        <v>0.32200000000000001</v>
      </c>
      <c r="L4828">
        <v>142</v>
      </c>
      <c r="M4828">
        <v>19</v>
      </c>
      <c r="N4828">
        <v>17</v>
      </c>
      <c r="O4828">
        <v>0.74</v>
      </c>
      <c r="P4828">
        <v>0.31545174999999998</v>
      </c>
      <c r="Q4828">
        <v>0.24</v>
      </c>
    </row>
    <row r="4829" spans="1:17" x14ac:dyDescent="0.2">
      <c r="A4829" s="30" t="str">
        <f>IF(C4829&amp;G4829&amp;D4829&lt;&gt;'Funnel setup'!$K$3&amp;'Funnel setup'!$K$4&amp;'Funnel setup'!$K$5,".",IF(A4828=".",1,A4828+1))</f>
        <v>.</v>
      </c>
      <c r="B4829" s="431" t="str">
        <f t="shared" si="75"/>
        <v>Knee Replacement PrimaryProviderWESTERN SUSSEX HOSPITALS NHS FOUNDATION TRUST (RYR)EQ-5D Index</v>
      </c>
      <c r="C4829" t="s">
        <v>249</v>
      </c>
      <c r="D4829" t="s">
        <v>1</v>
      </c>
      <c r="E4829" t="s">
        <v>3706</v>
      </c>
      <c r="F4829" t="s">
        <v>3707</v>
      </c>
      <c r="G4829" t="s">
        <v>52</v>
      </c>
      <c r="H4829">
        <v>258</v>
      </c>
      <c r="I4829">
        <v>0.42499999999999999</v>
      </c>
      <c r="J4829">
        <v>0.70899999999999996</v>
      </c>
      <c r="K4829">
        <v>0.28399999999999997</v>
      </c>
      <c r="L4829">
        <v>202</v>
      </c>
      <c r="M4829">
        <v>21</v>
      </c>
      <c r="N4829">
        <v>35</v>
      </c>
      <c r="O4829">
        <v>0.70599999999999996</v>
      </c>
      <c r="P4829">
        <v>0.28138496099999999</v>
      </c>
      <c r="Q4829">
        <v>0.252</v>
      </c>
    </row>
    <row r="4830" spans="1:17" x14ac:dyDescent="0.2">
      <c r="A4830" s="30" t="str">
        <f>IF(C4830&amp;G4830&amp;D4830&lt;&gt;'Funnel setup'!$K$3&amp;'Funnel setup'!$K$4&amp;'Funnel setup'!$K$5,".",IF(A4829=".",1,A4829+1))</f>
        <v>.</v>
      </c>
      <c r="B4830" s="431" t="str">
        <f t="shared" si="75"/>
        <v>Knee Replacement PrimaryProviderWESTON AREA HEALTH NHS TRUST (RA3)EQ-5D Index</v>
      </c>
      <c r="C4830" t="s">
        <v>249</v>
      </c>
      <c r="D4830" t="s">
        <v>1</v>
      </c>
      <c r="E4830" t="s">
        <v>3525</v>
      </c>
      <c r="F4830" t="s">
        <v>3526</v>
      </c>
      <c r="G4830" t="s">
        <v>52</v>
      </c>
      <c r="H4830">
        <v>86</v>
      </c>
      <c r="I4830">
        <v>0.40200000000000002</v>
      </c>
      <c r="J4830">
        <v>0.74</v>
      </c>
      <c r="K4830">
        <v>0.33800000000000002</v>
      </c>
      <c r="L4830">
        <v>68</v>
      </c>
      <c r="M4830">
        <v>10</v>
      </c>
      <c r="N4830">
        <v>8</v>
      </c>
      <c r="O4830">
        <v>0.74299999999999999</v>
      </c>
      <c r="P4830">
        <v>0.31825240599999999</v>
      </c>
      <c r="Q4830">
        <v>0.22900000000000001</v>
      </c>
    </row>
    <row r="4831" spans="1:17" x14ac:dyDescent="0.2">
      <c r="A4831" s="30" t="str">
        <f>IF(C4831&amp;G4831&amp;D4831&lt;&gt;'Funnel setup'!$K$3&amp;'Funnel setup'!$K$4&amp;'Funnel setup'!$K$5,".",IF(A4830=".",1,A4830+1))</f>
        <v>.</v>
      </c>
      <c r="B4831" s="431" t="str">
        <f t="shared" si="75"/>
        <v>Knee Replacement PrimaryProviderWINFIELD HOSPITAL (NVC22)EQ-5D Index</v>
      </c>
      <c r="C4831" t="s">
        <v>249</v>
      </c>
      <c r="D4831" t="s">
        <v>1</v>
      </c>
      <c r="E4831" t="s">
        <v>3534</v>
      </c>
      <c r="F4831" t="s">
        <v>3535</v>
      </c>
      <c r="G4831" t="s">
        <v>52</v>
      </c>
      <c r="H4831">
        <v>44</v>
      </c>
      <c r="I4831">
        <v>0.47799999999999998</v>
      </c>
      <c r="J4831">
        <v>0.81899999999999995</v>
      </c>
      <c r="K4831">
        <v>0.34100000000000003</v>
      </c>
      <c r="L4831">
        <v>35</v>
      </c>
      <c r="M4831">
        <v>6</v>
      </c>
      <c r="N4831">
        <v>3</v>
      </c>
      <c r="O4831">
        <v>0.77600000000000002</v>
      </c>
      <c r="P4831">
        <v>0.35109403700000003</v>
      </c>
      <c r="Q4831">
        <v>0.154</v>
      </c>
    </row>
    <row r="4832" spans="1:17" x14ac:dyDescent="0.2">
      <c r="A4832" s="30" t="str">
        <f>IF(C4832&amp;G4832&amp;D4832&lt;&gt;'Funnel setup'!$K$3&amp;'Funnel setup'!$K$4&amp;'Funnel setup'!$K$5,".",IF(A4831=".",1,A4831+1))</f>
        <v>.</v>
      </c>
      <c r="B4832" s="431" t="str">
        <f t="shared" si="75"/>
        <v>Knee Replacement PrimaryProviderWIRRAL UNIVERSITY TEACHING HOSPITAL NHS FOUNDATION TRUST (RBL)EQ-5D Index</v>
      </c>
      <c r="C4832" t="s">
        <v>249</v>
      </c>
      <c r="D4832" t="s">
        <v>1</v>
      </c>
      <c r="E4832" t="s">
        <v>3537</v>
      </c>
      <c r="F4832" t="s">
        <v>3538</v>
      </c>
      <c r="G4832" t="s">
        <v>52</v>
      </c>
      <c r="H4832">
        <v>268</v>
      </c>
      <c r="I4832">
        <v>0.379</v>
      </c>
      <c r="J4832">
        <v>0.71799999999999997</v>
      </c>
      <c r="K4832">
        <v>0.34</v>
      </c>
      <c r="L4832">
        <v>211</v>
      </c>
      <c r="M4832">
        <v>32</v>
      </c>
      <c r="N4832">
        <v>25</v>
      </c>
      <c r="O4832">
        <v>0.751</v>
      </c>
      <c r="P4832">
        <v>0.32550729099999998</v>
      </c>
      <c r="Q4832">
        <v>0.22700000000000001</v>
      </c>
    </row>
    <row r="4833" spans="1:17" x14ac:dyDescent="0.2">
      <c r="A4833" s="30" t="str">
        <f>IF(C4833&amp;G4833&amp;D4833&lt;&gt;'Funnel setup'!$K$3&amp;'Funnel setup'!$K$4&amp;'Funnel setup'!$K$5,".",IF(A4832=".",1,A4832+1))</f>
        <v>.</v>
      </c>
      <c r="B4833" s="431" t="str">
        <f t="shared" si="75"/>
        <v>Knee Replacement PrimaryProviderWOODLAND HOSPITAL (NVC23)EQ-5D Index</v>
      </c>
      <c r="C4833" t="s">
        <v>249</v>
      </c>
      <c r="D4833" t="s">
        <v>1</v>
      </c>
      <c r="E4833" t="s">
        <v>3540</v>
      </c>
      <c r="F4833" t="s">
        <v>3541</v>
      </c>
      <c r="G4833" t="s">
        <v>52</v>
      </c>
      <c r="H4833">
        <v>140</v>
      </c>
      <c r="I4833">
        <v>0.33200000000000002</v>
      </c>
      <c r="J4833">
        <v>0.75600000000000001</v>
      </c>
      <c r="K4833">
        <v>0.42399999999999999</v>
      </c>
      <c r="L4833">
        <v>122</v>
      </c>
      <c r="M4833">
        <v>10</v>
      </c>
      <c r="N4833">
        <v>8</v>
      </c>
      <c r="O4833">
        <v>0.77200000000000002</v>
      </c>
      <c r="P4833">
        <v>0.347483388</v>
      </c>
      <c r="Q4833">
        <v>0.23300000000000001</v>
      </c>
    </row>
    <row r="4834" spans="1:17" x14ac:dyDescent="0.2">
      <c r="A4834" s="30" t="str">
        <f>IF(C4834&amp;G4834&amp;D4834&lt;&gt;'Funnel setup'!$K$3&amp;'Funnel setup'!$K$4&amp;'Funnel setup'!$K$5,".",IF(A4833=".",1,A4833+1))</f>
        <v>.</v>
      </c>
      <c r="B4834" s="431" t="str">
        <f t="shared" si="75"/>
        <v>Knee Replacement PrimaryProviderWOODTHORPE HOSPITAL (NVC40)EQ-5D Index</v>
      </c>
      <c r="C4834" t="s">
        <v>249</v>
      </c>
      <c r="D4834" t="s">
        <v>1</v>
      </c>
      <c r="E4834" t="s">
        <v>3689</v>
      </c>
      <c r="F4834" t="s">
        <v>6576</v>
      </c>
      <c r="G4834" t="s">
        <v>52</v>
      </c>
      <c r="H4834">
        <v>153</v>
      </c>
      <c r="I4834">
        <v>0.495</v>
      </c>
      <c r="J4834">
        <v>0.77300000000000002</v>
      </c>
      <c r="K4834">
        <v>0.27800000000000002</v>
      </c>
      <c r="L4834">
        <v>121</v>
      </c>
      <c r="M4834">
        <v>19</v>
      </c>
      <c r="N4834">
        <v>13</v>
      </c>
      <c r="O4834">
        <v>0.72699999999999998</v>
      </c>
      <c r="P4834">
        <v>0.30243782600000002</v>
      </c>
      <c r="Q4834">
        <v>0.22500000000000001</v>
      </c>
    </row>
    <row r="4835" spans="1:17" x14ac:dyDescent="0.2">
      <c r="A4835" s="30" t="str">
        <f>IF(C4835&amp;G4835&amp;D4835&lt;&gt;'Funnel setup'!$K$3&amp;'Funnel setup'!$K$4&amp;'Funnel setup'!$K$5,".",IF(A4834=".",1,A4834+1))</f>
        <v>.</v>
      </c>
      <c r="B4835" s="431" t="str">
        <f t="shared" si="75"/>
        <v>Knee Replacement PrimaryProviderWORCESTERSHIRE ACUTE HOSPITALS NHS TRUST (RWP)EQ-5D Index</v>
      </c>
      <c r="C4835" t="s">
        <v>249</v>
      </c>
      <c r="D4835" t="s">
        <v>1</v>
      </c>
      <c r="E4835" t="s">
        <v>3543</v>
      </c>
      <c r="F4835" t="s">
        <v>3544</v>
      </c>
      <c r="G4835" t="s">
        <v>52</v>
      </c>
      <c r="H4835">
        <v>241</v>
      </c>
      <c r="I4835">
        <v>0.44700000000000001</v>
      </c>
      <c r="J4835">
        <v>0.76500000000000001</v>
      </c>
      <c r="K4835">
        <v>0.318</v>
      </c>
      <c r="L4835">
        <v>198</v>
      </c>
      <c r="M4835">
        <v>21</v>
      </c>
      <c r="N4835">
        <v>22</v>
      </c>
      <c r="O4835">
        <v>0.753</v>
      </c>
      <c r="P4835">
        <v>0.32808279699999998</v>
      </c>
      <c r="Q4835">
        <v>0.20699999999999999</v>
      </c>
    </row>
    <row r="4836" spans="1:17" x14ac:dyDescent="0.2">
      <c r="A4836" s="30" t="str">
        <f>IF(C4836&amp;G4836&amp;D4836&lt;&gt;'Funnel setup'!$K$3&amp;'Funnel setup'!$K$4&amp;'Funnel setup'!$K$5,".",IF(A4835=".",1,A4835+1))</f>
        <v>.</v>
      </c>
      <c r="B4836" s="431" t="str">
        <f t="shared" si="75"/>
        <v>Knee Replacement PrimaryProviderWRIGHTINGTON, WIGAN AND LEIGH NHS FOUNDATION TRUST (RRF)EQ-5D Index</v>
      </c>
      <c r="C4836" t="s">
        <v>249</v>
      </c>
      <c r="D4836" t="s">
        <v>1</v>
      </c>
      <c r="E4836" t="s">
        <v>3546</v>
      </c>
      <c r="F4836" t="s">
        <v>3547</v>
      </c>
      <c r="G4836" t="s">
        <v>52</v>
      </c>
      <c r="H4836">
        <v>265</v>
      </c>
      <c r="I4836">
        <v>0.34799999999999998</v>
      </c>
      <c r="J4836">
        <v>0.68200000000000005</v>
      </c>
      <c r="K4836">
        <v>0.33400000000000002</v>
      </c>
      <c r="L4836">
        <v>211</v>
      </c>
      <c r="M4836">
        <v>27</v>
      </c>
      <c r="N4836">
        <v>27</v>
      </c>
      <c r="O4836">
        <v>0.72599999999999998</v>
      </c>
      <c r="P4836">
        <v>0.300929909</v>
      </c>
      <c r="Q4836">
        <v>0.23</v>
      </c>
    </row>
    <row r="4837" spans="1:17" x14ac:dyDescent="0.2">
      <c r="A4837" s="30" t="str">
        <f>IF(C4837&amp;G4837&amp;D4837&lt;&gt;'Funnel setup'!$K$3&amp;'Funnel setup'!$K$4&amp;'Funnel setup'!$K$5,".",IF(A4836=".",1,A4836+1))</f>
        <v>.</v>
      </c>
      <c r="B4837" s="431" t="str">
        <f t="shared" si="75"/>
        <v>Knee Replacement PrimaryProviderWYE VALLEY NHS TRUST (RLQ)EQ-5D Index</v>
      </c>
      <c r="C4837" t="s">
        <v>249</v>
      </c>
      <c r="D4837" t="s">
        <v>1</v>
      </c>
      <c r="E4837" t="s">
        <v>3517</v>
      </c>
      <c r="F4837" t="s">
        <v>3518</v>
      </c>
      <c r="G4837" t="s">
        <v>52</v>
      </c>
      <c r="H4837">
        <v>103</v>
      </c>
      <c r="I4837">
        <v>0.48299999999999998</v>
      </c>
      <c r="J4837">
        <v>0.77600000000000002</v>
      </c>
      <c r="K4837">
        <v>0.29299999999999998</v>
      </c>
      <c r="L4837">
        <v>87</v>
      </c>
      <c r="M4837">
        <v>5</v>
      </c>
      <c r="N4837">
        <v>11</v>
      </c>
      <c r="O4837">
        <v>0.75800000000000001</v>
      </c>
      <c r="P4837">
        <v>0.33321819200000002</v>
      </c>
      <c r="Q4837">
        <v>0.216</v>
      </c>
    </row>
    <row r="4838" spans="1:17" x14ac:dyDescent="0.2">
      <c r="A4838" s="30" t="str">
        <f>IF(C4838&amp;G4838&amp;D4838&lt;&gt;'Funnel setup'!$K$3&amp;'Funnel setup'!$K$4&amp;'Funnel setup'!$K$5,".",IF(A4837=".",1,A4837+1))</f>
        <v>.</v>
      </c>
      <c r="B4838" s="431" t="str">
        <f t="shared" si="75"/>
        <v>Knee Replacement PrimaryProviderYEOVIL DISTRICT HOSPITAL NHS FOUNDATION TRUST (RA4)EQ-5D Index</v>
      </c>
      <c r="C4838" t="s">
        <v>249</v>
      </c>
      <c r="D4838" t="s">
        <v>1</v>
      </c>
      <c r="E4838" t="s">
        <v>3520</v>
      </c>
      <c r="F4838" t="s">
        <v>341</v>
      </c>
      <c r="G4838" t="s">
        <v>52</v>
      </c>
      <c r="H4838">
        <v>61</v>
      </c>
      <c r="I4838">
        <v>0.41199999999999998</v>
      </c>
      <c r="J4838">
        <v>0.752</v>
      </c>
      <c r="K4838">
        <v>0.34</v>
      </c>
      <c r="L4838">
        <v>50</v>
      </c>
      <c r="M4838">
        <v>6</v>
      </c>
      <c r="N4838">
        <v>5</v>
      </c>
      <c r="O4838">
        <v>0.75700000000000001</v>
      </c>
      <c r="P4838">
        <v>0.33220982100000002</v>
      </c>
      <c r="Q4838">
        <v>0.27100000000000002</v>
      </c>
    </row>
    <row r="4839" spans="1:17" x14ac:dyDescent="0.2">
      <c r="A4839" s="30" t="str">
        <f>IF(C4839&amp;G4839&amp;D4839&lt;&gt;'Funnel setup'!$K$3&amp;'Funnel setup'!$K$4&amp;'Funnel setup'!$K$5,".",IF(A4838=".",1,A4838+1))</f>
        <v>.</v>
      </c>
      <c r="B4839" s="431" t="str">
        <f t="shared" si="75"/>
        <v>Knee Replacement PrimaryProviderYORK TEACHING HOSPITAL NHS FOUNDATION TRUST (RCB)EQ-5D Index</v>
      </c>
      <c r="C4839" t="s">
        <v>249</v>
      </c>
      <c r="D4839" t="s">
        <v>1</v>
      </c>
      <c r="E4839" t="s">
        <v>3515</v>
      </c>
      <c r="F4839" t="s">
        <v>343</v>
      </c>
      <c r="G4839" t="s">
        <v>52</v>
      </c>
      <c r="H4839">
        <v>258</v>
      </c>
      <c r="I4839">
        <v>0.43099999999999999</v>
      </c>
      <c r="J4839">
        <v>0.73499999999999999</v>
      </c>
      <c r="K4839">
        <v>0.30399999999999999</v>
      </c>
      <c r="L4839">
        <v>201</v>
      </c>
      <c r="M4839">
        <v>26</v>
      </c>
      <c r="N4839">
        <v>31</v>
      </c>
      <c r="O4839">
        <v>0.73499999999999999</v>
      </c>
      <c r="P4839">
        <v>0.310014185</v>
      </c>
      <c r="Q4839">
        <v>0.218</v>
      </c>
    </row>
    <row r="4840" spans="1:17" x14ac:dyDescent="0.2">
      <c r="A4840" s="30" t="str">
        <f>IF(C4840&amp;G4840&amp;D4840&lt;&gt;'Funnel setup'!$K$3&amp;'Funnel setup'!$K$4&amp;'Funnel setup'!$K$5,".",IF(A4839=".",1,A4839+1))</f>
        <v>.</v>
      </c>
      <c r="B4840" s="431" t="str">
        <f t="shared" si="75"/>
        <v>Knee Replacement PrimaryProviderAINTREE UNIVERSITY HOSPITAL NHS FOUNDATION TRUST (REM)Oxford Knee Score</v>
      </c>
      <c r="C4840" t="s">
        <v>249</v>
      </c>
      <c r="D4840" t="s">
        <v>1</v>
      </c>
      <c r="E4840" t="s">
        <v>3838</v>
      </c>
      <c r="F4840" t="s">
        <v>3839</v>
      </c>
      <c r="G4840" t="s">
        <v>16</v>
      </c>
      <c r="H4840">
        <v>145</v>
      </c>
      <c r="I4840">
        <v>15.282999999999999</v>
      </c>
      <c r="J4840">
        <v>30.186</v>
      </c>
      <c r="K4840">
        <v>14.903</v>
      </c>
      <c r="L4840">
        <v>138</v>
      </c>
      <c r="M4840">
        <v>0</v>
      </c>
      <c r="N4840">
        <v>7</v>
      </c>
      <c r="O4840">
        <v>33.744999999999997</v>
      </c>
      <c r="P4840">
        <v>14.459788700000001</v>
      </c>
      <c r="Q4840">
        <v>8.8219999999999992</v>
      </c>
    </row>
    <row r="4841" spans="1:17" x14ac:dyDescent="0.2">
      <c r="A4841" s="30" t="str">
        <f>IF(C4841&amp;G4841&amp;D4841&lt;&gt;'Funnel setup'!$K$3&amp;'Funnel setup'!$K$4&amp;'Funnel setup'!$K$5,".",IF(A4840=".",1,A4840+1))</f>
        <v>.</v>
      </c>
      <c r="B4841" s="431" t="str">
        <f t="shared" si="75"/>
        <v>Knee Replacement PrimaryProviderAIREDALE NHS FOUNDATION TRUST (RCF)Oxford Knee Score</v>
      </c>
      <c r="C4841" t="s">
        <v>249</v>
      </c>
      <c r="D4841" t="s">
        <v>1</v>
      </c>
      <c r="E4841" t="s">
        <v>3841</v>
      </c>
      <c r="F4841" t="s">
        <v>3842</v>
      </c>
      <c r="G4841" t="s">
        <v>16</v>
      </c>
      <c r="H4841">
        <v>144</v>
      </c>
      <c r="I4841">
        <v>20.792000000000002</v>
      </c>
      <c r="J4841">
        <v>37.048999999999999</v>
      </c>
      <c r="K4841">
        <v>16.257000000000001</v>
      </c>
      <c r="L4841">
        <v>137</v>
      </c>
      <c r="M4841">
        <v>1</v>
      </c>
      <c r="N4841">
        <v>6</v>
      </c>
      <c r="O4841">
        <v>35.749000000000002</v>
      </c>
      <c r="P4841">
        <v>16.463330989999999</v>
      </c>
      <c r="Q4841">
        <v>7.9610000000000003</v>
      </c>
    </row>
    <row r="4842" spans="1:17" x14ac:dyDescent="0.2">
      <c r="A4842" s="30" t="str">
        <f>IF(C4842&amp;G4842&amp;D4842&lt;&gt;'Funnel setup'!$K$3&amp;'Funnel setup'!$K$4&amp;'Funnel setup'!$K$5,".",IF(A4841=".",1,A4841+1))</f>
        <v>.</v>
      </c>
      <c r="B4842" s="431" t="str">
        <f t="shared" si="75"/>
        <v>Knee Replacement PrimaryProviderASHFORD AND ST PETER'S HOSPITALS NHS FOUNDATION TRUST (RTK)Oxford Knee Score</v>
      </c>
      <c r="C4842" t="s">
        <v>249</v>
      </c>
      <c r="D4842" t="s">
        <v>1</v>
      </c>
      <c r="E4842" t="s">
        <v>3844</v>
      </c>
      <c r="F4842" t="s">
        <v>345</v>
      </c>
      <c r="G4842" t="s">
        <v>16</v>
      </c>
      <c r="H4842">
        <v>267</v>
      </c>
      <c r="I4842">
        <v>19.984999999999999</v>
      </c>
      <c r="J4842">
        <v>35.231999999999999</v>
      </c>
      <c r="K4842">
        <v>15.247</v>
      </c>
      <c r="L4842">
        <v>248</v>
      </c>
      <c r="M4842">
        <v>3</v>
      </c>
      <c r="N4842">
        <v>16</v>
      </c>
      <c r="O4842">
        <v>34.68</v>
      </c>
      <c r="P4842">
        <v>15.39494578</v>
      </c>
      <c r="Q4842">
        <v>8.4060000000000006</v>
      </c>
    </row>
    <row r="4843" spans="1:17" x14ac:dyDescent="0.2">
      <c r="A4843" s="30" t="str">
        <f>IF(C4843&amp;G4843&amp;D4843&lt;&gt;'Funnel setup'!$K$3&amp;'Funnel setup'!$K$4&amp;'Funnel setup'!$K$5,".",IF(A4842=".",1,A4842+1))</f>
        <v>.</v>
      </c>
      <c r="B4843" s="431" t="str">
        <f t="shared" si="75"/>
        <v>Knee Replacement PrimaryProviderASHTEAD HOSPITAL (NVC01)Oxford Knee Score</v>
      </c>
      <c r="C4843" t="s">
        <v>249</v>
      </c>
      <c r="D4843" t="s">
        <v>1</v>
      </c>
      <c r="E4843" t="s">
        <v>3846</v>
      </c>
      <c r="F4843" t="s">
        <v>3847</v>
      </c>
      <c r="G4843" t="s">
        <v>16</v>
      </c>
      <c r="H4843">
        <v>56</v>
      </c>
      <c r="I4843">
        <v>21.25</v>
      </c>
      <c r="J4843">
        <v>38.570999999999998</v>
      </c>
      <c r="K4843">
        <v>17.321000000000002</v>
      </c>
      <c r="L4843">
        <v>56</v>
      </c>
      <c r="M4843">
        <v>0</v>
      </c>
      <c r="N4843">
        <v>0</v>
      </c>
      <c r="O4843">
        <v>36.67</v>
      </c>
      <c r="P4843">
        <v>17.384981159999999</v>
      </c>
      <c r="Q4843">
        <v>6.0190000000000001</v>
      </c>
    </row>
    <row r="4844" spans="1:17" x14ac:dyDescent="0.2">
      <c r="A4844" s="30" t="str">
        <f>IF(C4844&amp;G4844&amp;D4844&lt;&gt;'Funnel setup'!$K$3&amp;'Funnel setup'!$K$4&amp;'Funnel setup'!$K$5,".",IF(A4843=".",1,A4843+1))</f>
        <v>.</v>
      </c>
      <c r="B4844" s="431" t="str">
        <f t="shared" si="75"/>
        <v>Knee Replacement PrimaryProviderASPEN - CLAREMONT HOSPITAL (NYW04)Oxford Knee Score</v>
      </c>
      <c r="C4844" t="s">
        <v>249</v>
      </c>
      <c r="D4844" t="s">
        <v>1</v>
      </c>
      <c r="E4844" t="s">
        <v>3500</v>
      </c>
      <c r="F4844" t="s">
        <v>3501</v>
      </c>
      <c r="G4844" t="s">
        <v>16</v>
      </c>
      <c r="H4844">
        <v>76</v>
      </c>
      <c r="I4844">
        <v>20.079000000000001</v>
      </c>
      <c r="J4844">
        <v>37.026000000000003</v>
      </c>
      <c r="K4844">
        <v>16.946999999999999</v>
      </c>
      <c r="L4844">
        <v>71</v>
      </c>
      <c r="M4844">
        <v>0</v>
      </c>
      <c r="N4844">
        <v>5</v>
      </c>
      <c r="O4844">
        <v>36.133000000000003</v>
      </c>
      <c r="P4844">
        <v>16.847792139999999</v>
      </c>
      <c r="Q4844">
        <v>8.0619999999999994</v>
      </c>
    </row>
    <row r="4845" spans="1:17" x14ac:dyDescent="0.2">
      <c r="A4845" s="30" t="str">
        <f>IF(C4845&amp;G4845&amp;D4845&lt;&gt;'Funnel setup'!$K$3&amp;'Funnel setup'!$K$4&amp;'Funnel setup'!$K$5,".",IF(A4844=".",1,A4844+1))</f>
        <v>.</v>
      </c>
      <c r="B4845" s="431" t="str">
        <f t="shared" si="75"/>
        <v>Knee Replacement PrimaryProviderASPEN - HIGHGATE HOSPITAL (NYW03)Oxford Knee Score</v>
      </c>
      <c r="C4845" t="s">
        <v>249</v>
      </c>
      <c r="D4845" t="s">
        <v>1</v>
      </c>
      <c r="E4845" t="s">
        <v>3503</v>
      </c>
      <c r="F4845" t="s">
        <v>3504</v>
      </c>
      <c r="G4845" t="s">
        <v>16</v>
      </c>
      <c r="H4845" t="s">
        <v>53</v>
      </c>
      <c r="I4845" t="s">
        <v>53</v>
      </c>
      <c r="J4845" t="s">
        <v>53</v>
      </c>
      <c r="K4845" t="s">
        <v>53</v>
      </c>
      <c r="L4845" t="s">
        <v>53</v>
      </c>
      <c r="M4845" t="s">
        <v>53</v>
      </c>
      <c r="N4845" t="s">
        <v>53</v>
      </c>
      <c r="O4845" t="s">
        <v>53</v>
      </c>
      <c r="P4845" t="s">
        <v>53</v>
      </c>
      <c r="Q4845" t="s">
        <v>53</v>
      </c>
    </row>
    <row r="4846" spans="1:17" x14ac:dyDescent="0.2">
      <c r="A4846" s="30" t="str">
        <f>IF(C4846&amp;G4846&amp;D4846&lt;&gt;'Funnel setup'!$K$3&amp;'Funnel setup'!$K$4&amp;'Funnel setup'!$K$5,".",IF(A4845=".",1,A4845+1))</f>
        <v>.</v>
      </c>
      <c r="B4846" s="431" t="str">
        <f t="shared" si="75"/>
        <v>Knee Replacement PrimaryProviderASPEN - HOLLY HOUSE HOSPITAL (NYW01)Oxford Knee Score</v>
      </c>
      <c r="C4846" t="s">
        <v>249</v>
      </c>
      <c r="D4846" t="s">
        <v>1</v>
      </c>
      <c r="E4846" t="s">
        <v>3506</v>
      </c>
      <c r="F4846" t="s">
        <v>3507</v>
      </c>
      <c r="G4846" t="s">
        <v>16</v>
      </c>
      <c r="H4846">
        <v>37</v>
      </c>
      <c r="I4846">
        <v>19.459</v>
      </c>
      <c r="J4846">
        <v>32.405000000000001</v>
      </c>
      <c r="K4846">
        <v>12.946</v>
      </c>
      <c r="L4846">
        <v>33</v>
      </c>
      <c r="M4846">
        <v>0</v>
      </c>
      <c r="N4846">
        <v>4</v>
      </c>
      <c r="O4846">
        <v>32.158000000000001</v>
      </c>
      <c r="P4846">
        <v>12.872823159999999</v>
      </c>
      <c r="Q4846">
        <v>8.6769999999999996</v>
      </c>
    </row>
    <row r="4847" spans="1:17" x14ac:dyDescent="0.2">
      <c r="A4847" s="30" t="str">
        <f>IF(C4847&amp;G4847&amp;D4847&lt;&gt;'Funnel setup'!$K$3&amp;'Funnel setup'!$K$4&amp;'Funnel setup'!$K$5,".",IF(A4846=".",1,A4846+1))</f>
        <v>.</v>
      </c>
      <c r="B4847" s="431" t="str">
        <f t="shared" si="75"/>
        <v>Knee Replacement PrimaryProviderBARKING, HAVERING AND REDBRIDGE UNIVERSITY HOSPITALS NHS TRUST (RF4)Oxford Knee Score</v>
      </c>
      <c r="C4847" t="s">
        <v>249</v>
      </c>
      <c r="D4847" t="s">
        <v>1</v>
      </c>
      <c r="E4847" t="s">
        <v>3509</v>
      </c>
      <c r="F4847" t="s">
        <v>3510</v>
      </c>
      <c r="G4847" t="s">
        <v>16</v>
      </c>
      <c r="H4847">
        <v>91</v>
      </c>
      <c r="I4847">
        <v>15.385</v>
      </c>
      <c r="J4847">
        <v>29.527000000000001</v>
      </c>
      <c r="K4847">
        <v>14.143000000000001</v>
      </c>
      <c r="L4847">
        <v>82</v>
      </c>
      <c r="M4847">
        <v>2</v>
      </c>
      <c r="N4847">
        <v>7</v>
      </c>
      <c r="O4847">
        <v>32.299999999999997</v>
      </c>
      <c r="P4847">
        <v>13.01505929</v>
      </c>
      <c r="Q4847">
        <v>9.6750000000000007</v>
      </c>
    </row>
    <row r="4848" spans="1:17" x14ac:dyDescent="0.2">
      <c r="A4848" s="30" t="str">
        <f>IF(C4848&amp;G4848&amp;D4848&lt;&gt;'Funnel setup'!$K$3&amp;'Funnel setup'!$K$4&amp;'Funnel setup'!$K$5,".",IF(A4847=".",1,A4847+1))</f>
        <v>.</v>
      </c>
      <c r="B4848" s="431" t="str">
        <f t="shared" si="75"/>
        <v>Knee Replacement PrimaryProviderBARLBOROUGH NHS TREATMENT CENTRE (NTP13)Oxford Knee Score</v>
      </c>
      <c r="C4848" t="s">
        <v>249</v>
      </c>
      <c r="D4848" t="s">
        <v>1</v>
      </c>
      <c r="E4848" t="s">
        <v>4425</v>
      </c>
      <c r="F4848" t="s">
        <v>4426</v>
      </c>
      <c r="G4848" t="s">
        <v>16</v>
      </c>
      <c r="H4848">
        <v>454</v>
      </c>
      <c r="I4848">
        <v>18.52</v>
      </c>
      <c r="J4848">
        <v>35.817</v>
      </c>
      <c r="K4848">
        <v>17.297000000000001</v>
      </c>
      <c r="L4848">
        <v>432</v>
      </c>
      <c r="M4848">
        <v>2</v>
      </c>
      <c r="N4848">
        <v>20</v>
      </c>
      <c r="O4848">
        <v>35.572000000000003</v>
      </c>
      <c r="P4848">
        <v>16.28681821</v>
      </c>
      <c r="Q4848">
        <v>8.532</v>
      </c>
    </row>
    <row r="4849" spans="1:17" x14ac:dyDescent="0.2">
      <c r="A4849" s="30" t="str">
        <f>IF(C4849&amp;G4849&amp;D4849&lt;&gt;'Funnel setup'!$K$3&amp;'Funnel setup'!$K$4&amp;'Funnel setup'!$K$5,".",IF(A4848=".",1,A4848+1))</f>
        <v>.</v>
      </c>
      <c r="B4849" s="431" t="str">
        <f t="shared" si="75"/>
        <v>Knee Replacement PrimaryProviderBARNSLEY HOSPITAL NHS FOUNDATION TRUST (RFF)Oxford Knee Score</v>
      </c>
      <c r="C4849" t="s">
        <v>249</v>
      </c>
      <c r="D4849" t="s">
        <v>1</v>
      </c>
      <c r="E4849" t="s">
        <v>3549</v>
      </c>
      <c r="F4849" t="s">
        <v>3550</v>
      </c>
      <c r="G4849" t="s">
        <v>16</v>
      </c>
      <c r="H4849">
        <v>203</v>
      </c>
      <c r="I4849">
        <v>18.251000000000001</v>
      </c>
      <c r="J4849">
        <v>31.940999999999999</v>
      </c>
      <c r="K4849">
        <v>13.69</v>
      </c>
      <c r="L4849">
        <v>190</v>
      </c>
      <c r="M4849">
        <v>2</v>
      </c>
      <c r="N4849">
        <v>11</v>
      </c>
      <c r="O4849">
        <v>32.921999999999997</v>
      </c>
      <c r="P4849">
        <v>13.63616012</v>
      </c>
      <c r="Q4849">
        <v>8.5399999999999991</v>
      </c>
    </row>
    <row r="4850" spans="1:17" x14ac:dyDescent="0.2">
      <c r="A4850" s="30" t="str">
        <f>IF(C4850&amp;G4850&amp;D4850&lt;&gt;'Funnel setup'!$K$3&amp;'Funnel setup'!$K$4&amp;'Funnel setup'!$K$5,".",IF(A4849=".",1,A4849+1))</f>
        <v>.</v>
      </c>
      <c r="B4850" s="431" t="str">
        <f t="shared" si="75"/>
        <v>Knee Replacement PrimaryProviderBARTS HEALTH NHS TRUST (R1H)Oxford Knee Score</v>
      </c>
      <c r="C4850" t="s">
        <v>249</v>
      </c>
      <c r="D4850" t="s">
        <v>1</v>
      </c>
      <c r="E4850" t="s">
        <v>3552</v>
      </c>
      <c r="F4850" t="s">
        <v>3553</v>
      </c>
      <c r="G4850" t="s">
        <v>16</v>
      </c>
      <c r="H4850">
        <v>224</v>
      </c>
      <c r="I4850">
        <v>17.664999999999999</v>
      </c>
      <c r="J4850">
        <v>31.451000000000001</v>
      </c>
      <c r="K4850">
        <v>13.786</v>
      </c>
      <c r="L4850">
        <v>205</v>
      </c>
      <c r="M4850">
        <v>1</v>
      </c>
      <c r="N4850">
        <v>18</v>
      </c>
      <c r="O4850">
        <v>34.484999999999999</v>
      </c>
      <c r="P4850">
        <v>15.199988429999999</v>
      </c>
      <c r="Q4850">
        <v>9.26</v>
      </c>
    </row>
    <row r="4851" spans="1:17" x14ac:dyDescent="0.2">
      <c r="A4851" s="30" t="str">
        <f>IF(C4851&amp;G4851&amp;D4851&lt;&gt;'Funnel setup'!$K$3&amp;'Funnel setup'!$K$4&amp;'Funnel setup'!$K$5,".",IF(A4850=".",1,A4850+1))</f>
        <v>.</v>
      </c>
      <c r="B4851" s="431" t="str">
        <f t="shared" si="75"/>
        <v>Knee Replacement PrimaryProviderBASILDON AND THURROCK UNIVERSITY HOSPITALS NHS FOUNDATION TRUST (RDD)Oxford Knee Score</v>
      </c>
      <c r="C4851" t="s">
        <v>249</v>
      </c>
      <c r="D4851" t="s">
        <v>1</v>
      </c>
      <c r="E4851" t="s">
        <v>3555</v>
      </c>
      <c r="F4851" t="s">
        <v>3556</v>
      </c>
      <c r="G4851" t="s">
        <v>16</v>
      </c>
      <c r="H4851">
        <v>151</v>
      </c>
      <c r="I4851">
        <v>17.212</v>
      </c>
      <c r="J4851">
        <v>33.622999999999998</v>
      </c>
      <c r="K4851">
        <v>16.411000000000001</v>
      </c>
      <c r="L4851">
        <v>141</v>
      </c>
      <c r="M4851">
        <v>1</v>
      </c>
      <c r="N4851">
        <v>9</v>
      </c>
      <c r="O4851">
        <v>34.773000000000003</v>
      </c>
      <c r="P4851">
        <v>15.48785591</v>
      </c>
      <c r="Q4851">
        <v>9.2590000000000003</v>
      </c>
    </row>
    <row r="4852" spans="1:17" x14ac:dyDescent="0.2">
      <c r="A4852" s="30" t="str">
        <f>IF(C4852&amp;G4852&amp;D4852&lt;&gt;'Funnel setup'!$K$3&amp;'Funnel setup'!$K$4&amp;'Funnel setup'!$K$5,".",IF(A4851=".",1,A4851+1))</f>
        <v>.</v>
      </c>
      <c r="B4852" s="431" t="str">
        <f t="shared" si="75"/>
        <v>Knee Replacement PrimaryProviderBEDFORD HOSPITAL NHS TRUST (RC1)Oxford Knee Score</v>
      </c>
      <c r="C4852" t="s">
        <v>249</v>
      </c>
      <c r="D4852" t="s">
        <v>1</v>
      </c>
      <c r="E4852" t="s">
        <v>3558</v>
      </c>
      <c r="F4852" t="s">
        <v>3559</v>
      </c>
      <c r="G4852" t="s">
        <v>16</v>
      </c>
      <c r="H4852">
        <v>147</v>
      </c>
      <c r="I4852">
        <v>19.204000000000001</v>
      </c>
      <c r="J4852">
        <v>33.469000000000001</v>
      </c>
      <c r="K4852">
        <v>14.265000000000001</v>
      </c>
      <c r="L4852">
        <v>133</v>
      </c>
      <c r="M4852">
        <v>3</v>
      </c>
      <c r="N4852">
        <v>11</v>
      </c>
      <c r="O4852">
        <v>33.35</v>
      </c>
      <c r="P4852">
        <v>14.064281039999999</v>
      </c>
      <c r="Q4852">
        <v>9.1</v>
      </c>
    </row>
    <row r="4853" spans="1:17" x14ac:dyDescent="0.2">
      <c r="A4853" s="30" t="str">
        <f>IF(C4853&amp;G4853&amp;D4853&lt;&gt;'Funnel setup'!$K$3&amp;'Funnel setup'!$K$4&amp;'Funnel setup'!$K$5,".",IF(A4852=".",1,A4852+1))</f>
        <v>.</v>
      </c>
      <c r="B4853" s="431" t="str">
        <f t="shared" si="75"/>
        <v>Knee Replacement PrimaryProviderBENENDEN HOSPITAL (NWF01)Oxford Knee Score</v>
      </c>
      <c r="C4853" t="s">
        <v>249</v>
      </c>
      <c r="D4853" t="s">
        <v>1</v>
      </c>
      <c r="E4853" t="s">
        <v>4428</v>
      </c>
      <c r="F4853" t="s">
        <v>4429</v>
      </c>
      <c r="G4853" t="s">
        <v>16</v>
      </c>
      <c r="H4853">
        <v>38</v>
      </c>
      <c r="I4853">
        <v>20.632000000000001</v>
      </c>
      <c r="J4853">
        <v>38.920999999999999</v>
      </c>
      <c r="K4853">
        <v>18.289000000000001</v>
      </c>
      <c r="L4853">
        <v>38</v>
      </c>
      <c r="M4853">
        <v>0</v>
      </c>
      <c r="N4853">
        <v>0</v>
      </c>
      <c r="O4853">
        <v>38.32</v>
      </c>
      <c r="P4853">
        <v>19.034335689999999</v>
      </c>
      <c r="Q4853">
        <v>7.0640000000000001</v>
      </c>
    </row>
    <row r="4854" spans="1:17" x14ac:dyDescent="0.2">
      <c r="A4854" s="30" t="str">
        <f>IF(C4854&amp;G4854&amp;D4854&lt;&gt;'Funnel setup'!$K$3&amp;'Funnel setup'!$K$4&amp;'Funnel setup'!$K$5,".",IF(A4853=".",1,A4853+1))</f>
        <v>.</v>
      </c>
      <c r="B4854" s="431" t="str">
        <f t="shared" si="75"/>
        <v>Knee Replacement PrimaryProviderBLACKPOOL TEACHING HOSPITALS NHS FOUNDATION TRUST (RXL)Oxford Knee Score</v>
      </c>
      <c r="C4854" t="s">
        <v>249</v>
      </c>
      <c r="D4854" t="s">
        <v>1</v>
      </c>
      <c r="E4854" t="s">
        <v>3561</v>
      </c>
      <c r="F4854" t="s">
        <v>3562</v>
      </c>
      <c r="G4854" t="s">
        <v>16</v>
      </c>
      <c r="H4854">
        <v>27</v>
      </c>
      <c r="I4854">
        <v>17.888999999999999</v>
      </c>
      <c r="J4854">
        <v>32.518999999999998</v>
      </c>
      <c r="K4854">
        <v>14.63</v>
      </c>
      <c r="L4854">
        <v>23</v>
      </c>
      <c r="M4854">
        <v>1</v>
      </c>
      <c r="N4854">
        <v>3</v>
      </c>
      <c r="O4854" t="s">
        <v>53</v>
      </c>
      <c r="P4854" t="s">
        <v>53</v>
      </c>
      <c r="Q4854" t="s">
        <v>53</v>
      </c>
    </row>
    <row r="4855" spans="1:17" x14ac:dyDescent="0.2">
      <c r="A4855" s="30" t="str">
        <f>IF(C4855&amp;G4855&amp;D4855&lt;&gt;'Funnel setup'!$K$3&amp;'Funnel setup'!$K$4&amp;'Funnel setup'!$K$5,".",IF(A4854=".",1,A4854+1))</f>
        <v>.</v>
      </c>
      <c r="B4855" s="431" t="str">
        <f t="shared" si="75"/>
        <v>Knee Replacement PrimaryProviderBMI - BATH CLINIC (NT402)Oxford Knee Score</v>
      </c>
      <c r="C4855" t="s">
        <v>249</v>
      </c>
      <c r="D4855" t="s">
        <v>1</v>
      </c>
      <c r="E4855" t="s">
        <v>3488</v>
      </c>
      <c r="F4855" t="s">
        <v>3489</v>
      </c>
      <c r="G4855" t="s">
        <v>16</v>
      </c>
      <c r="H4855">
        <v>53</v>
      </c>
      <c r="I4855">
        <v>19.527999999999999</v>
      </c>
      <c r="J4855">
        <v>38.603999999999999</v>
      </c>
      <c r="K4855">
        <v>19.074999999999999</v>
      </c>
      <c r="L4855">
        <v>53</v>
      </c>
      <c r="M4855">
        <v>0</v>
      </c>
      <c r="N4855">
        <v>0</v>
      </c>
      <c r="O4855">
        <v>37.206000000000003</v>
      </c>
      <c r="P4855">
        <v>17.9206386</v>
      </c>
      <c r="Q4855">
        <v>6.609</v>
      </c>
    </row>
    <row r="4856" spans="1:17" x14ac:dyDescent="0.2">
      <c r="A4856" s="30" t="str">
        <f>IF(C4856&amp;G4856&amp;D4856&lt;&gt;'Funnel setup'!$K$3&amp;'Funnel setup'!$K$4&amp;'Funnel setup'!$K$5,".",IF(A4855=".",1,A4855+1))</f>
        <v>.</v>
      </c>
      <c r="B4856" s="431" t="str">
        <f t="shared" si="75"/>
        <v>Knee Replacement PrimaryProviderBMI - BISHOPS WOOD (NT405)Oxford Knee Score</v>
      </c>
      <c r="C4856" t="s">
        <v>249</v>
      </c>
      <c r="D4856" t="s">
        <v>1</v>
      </c>
      <c r="E4856" t="s">
        <v>3491</v>
      </c>
      <c r="F4856" t="s">
        <v>3492</v>
      </c>
      <c r="G4856" t="s">
        <v>16</v>
      </c>
      <c r="H4856">
        <v>18</v>
      </c>
      <c r="I4856">
        <v>23.611000000000001</v>
      </c>
      <c r="J4856">
        <v>38.889000000000003</v>
      </c>
      <c r="K4856">
        <v>15.278</v>
      </c>
      <c r="L4856">
        <v>18</v>
      </c>
      <c r="M4856">
        <v>0</v>
      </c>
      <c r="N4856">
        <v>0</v>
      </c>
      <c r="O4856" t="s">
        <v>53</v>
      </c>
      <c r="P4856" t="s">
        <v>53</v>
      </c>
      <c r="Q4856" t="s">
        <v>53</v>
      </c>
    </row>
    <row r="4857" spans="1:17" x14ac:dyDescent="0.2">
      <c r="A4857" s="30" t="str">
        <f>IF(C4857&amp;G4857&amp;D4857&lt;&gt;'Funnel setup'!$K$3&amp;'Funnel setup'!$K$4&amp;'Funnel setup'!$K$5,".",IF(A4856=".",1,A4856+1))</f>
        <v>.</v>
      </c>
      <c r="B4857" s="431" t="str">
        <f t="shared" si="75"/>
        <v>Knee Replacement PrimaryProviderBMI - CHELSFIELD PARK HOSPITAL (NT409)Oxford Knee Score</v>
      </c>
      <c r="C4857" t="s">
        <v>249</v>
      </c>
      <c r="D4857" t="s">
        <v>1</v>
      </c>
      <c r="E4857" t="s">
        <v>3494</v>
      </c>
      <c r="F4857" t="s">
        <v>3495</v>
      </c>
      <c r="G4857" t="s">
        <v>16</v>
      </c>
      <c r="H4857">
        <v>16</v>
      </c>
      <c r="I4857">
        <v>26.437999999999999</v>
      </c>
      <c r="J4857">
        <v>41.688000000000002</v>
      </c>
      <c r="K4857">
        <v>15.25</v>
      </c>
      <c r="L4857">
        <v>16</v>
      </c>
      <c r="M4857">
        <v>0</v>
      </c>
      <c r="N4857">
        <v>0</v>
      </c>
      <c r="O4857" t="s">
        <v>53</v>
      </c>
      <c r="P4857" t="s">
        <v>53</v>
      </c>
      <c r="Q4857" t="s">
        <v>53</v>
      </c>
    </row>
    <row r="4858" spans="1:17" x14ac:dyDescent="0.2">
      <c r="A4858" s="30" t="str">
        <f>IF(C4858&amp;G4858&amp;D4858&lt;&gt;'Funnel setup'!$K$3&amp;'Funnel setup'!$K$4&amp;'Funnel setup'!$K$5,".",IF(A4857=".",1,A4857+1))</f>
        <v>.</v>
      </c>
      <c r="B4858" s="431" t="str">
        <f t="shared" si="75"/>
        <v>Knee Replacement PrimaryProviderBMI - FAWKHAM MANOR HOSPITAL (NT414)Oxford Knee Score</v>
      </c>
      <c r="C4858" t="s">
        <v>249</v>
      </c>
      <c r="D4858" t="s">
        <v>1</v>
      </c>
      <c r="E4858" t="s">
        <v>3497</v>
      </c>
      <c r="F4858" t="s">
        <v>3498</v>
      </c>
      <c r="G4858" t="s">
        <v>16</v>
      </c>
      <c r="H4858">
        <v>31</v>
      </c>
      <c r="I4858">
        <v>22.806000000000001</v>
      </c>
      <c r="J4858">
        <v>39.323</v>
      </c>
      <c r="K4858">
        <v>16.515999999999998</v>
      </c>
      <c r="L4858">
        <v>30</v>
      </c>
      <c r="M4858">
        <v>0</v>
      </c>
      <c r="N4858">
        <v>1</v>
      </c>
      <c r="O4858">
        <v>36.802999999999997</v>
      </c>
      <c r="P4858">
        <v>17.51746971</v>
      </c>
      <c r="Q4858">
        <v>8.1150000000000002</v>
      </c>
    </row>
    <row r="4859" spans="1:17" x14ac:dyDescent="0.2">
      <c r="A4859" s="30" t="str">
        <f>IF(C4859&amp;G4859&amp;D4859&lt;&gt;'Funnel setup'!$K$3&amp;'Funnel setup'!$K$4&amp;'Funnel setup'!$K$5,".",IF(A4858=".",1,A4858+1))</f>
        <v>.</v>
      </c>
      <c r="B4859" s="431" t="str">
        <f t="shared" si="75"/>
        <v>Knee Replacement PrimaryProviderBMI - GORING HALL HOSPITAL (NT417)Oxford Knee Score</v>
      </c>
      <c r="C4859" t="s">
        <v>249</v>
      </c>
      <c r="D4859" t="s">
        <v>1</v>
      </c>
      <c r="E4859" t="s">
        <v>3403</v>
      </c>
      <c r="F4859" t="s">
        <v>3404</v>
      </c>
      <c r="G4859" t="s">
        <v>16</v>
      </c>
      <c r="H4859">
        <v>101</v>
      </c>
      <c r="I4859">
        <v>20.238</v>
      </c>
      <c r="J4859">
        <v>35.703000000000003</v>
      </c>
      <c r="K4859">
        <v>15.465</v>
      </c>
      <c r="L4859">
        <v>93</v>
      </c>
      <c r="M4859">
        <v>2</v>
      </c>
      <c r="N4859">
        <v>6</v>
      </c>
      <c r="O4859">
        <v>34.271000000000001</v>
      </c>
      <c r="P4859">
        <v>14.985888599999999</v>
      </c>
      <c r="Q4859">
        <v>8.1449999999999996</v>
      </c>
    </row>
    <row r="4860" spans="1:17" x14ac:dyDescent="0.2">
      <c r="A4860" s="30" t="str">
        <f>IF(C4860&amp;G4860&amp;D4860&lt;&gt;'Funnel setup'!$K$3&amp;'Funnel setup'!$K$4&amp;'Funnel setup'!$K$5,".",IF(A4859=".",1,A4859+1))</f>
        <v>.</v>
      </c>
      <c r="B4860" s="431" t="str">
        <f t="shared" si="75"/>
        <v>Knee Replacement PrimaryProviderBMI - HENDON HOSPITAL (NT416)Oxford Knee Score</v>
      </c>
      <c r="C4860" t="s">
        <v>249</v>
      </c>
      <c r="D4860" t="s">
        <v>1</v>
      </c>
      <c r="E4860" t="s">
        <v>3570</v>
      </c>
      <c r="F4860" t="s">
        <v>3571</v>
      </c>
      <c r="G4860" t="s">
        <v>16</v>
      </c>
      <c r="H4860" t="s">
        <v>53</v>
      </c>
      <c r="I4860" t="s">
        <v>53</v>
      </c>
      <c r="J4860" t="s">
        <v>53</v>
      </c>
      <c r="K4860" t="s">
        <v>53</v>
      </c>
      <c r="L4860" t="s">
        <v>53</v>
      </c>
      <c r="M4860" t="s">
        <v>53</v>
      </c>
      <c r="N4860" t="s">
        <v>53</v>
      </c>
      <c r="O4860" t="s">
        <v>53</v>
      </c>
      <c r="P4860" t="s">
        <v>53</v>
      </c>
      <c r="Q4860" t="s">
        <v>53</v>
      </c>
    </row>
    <row r="4861" spans="1:17" x14ac:dyDescent="0.2">
      <c r="A4861" s="30" t="str">
        <f>IF(C4861&amp;G4861&amp;D4861&lt;&gt;'Funnel setup'!$K$3&amp;'Funnel setup'!$K$4&amp;'Funnel setup'!$K$5,".",IF(A4860=".",1,A4860+1))</f>
        <v>.</v>
      </c>
      <c r="B4861" s="431" t="str">
        <f t="shared" si="75"/>
        <v>Knee Replacement PrimaryProviderBMI - SARUM ROAD HOSPITAL (NT433)Oxford Knee Score</v>
      </c>
      <c r="C4861" t="s">
        <v>249</v>
      </c>
      <c r="D4861" t="s">
        <v>1</v>
      </c>
      <c r="E4861" t="s">
        <v>3573</v>
      </c>
      <c r="F4861" t="s">
        <v>3574</v>
      </c>
      <c r="G4861" t="s">
        <v>16</v>
      </c>
      <c r="H4861">
        <v>28</v>
      </c>
      <c r="I4861">
        <v>22.963999999999999</v>
      </c>
      <c r="J4861">
        <v>37.643000000000001</v>
      </c>
      <c r="K4861">
        <v>14.679</v>
      </c>
      <c r="L4861">
        <v>25</v>
      </c>
      <c r="M4861">
        <v>0</v>
      </c>
      <c r="N4861">
        <v>3</v>
      </c>
      <c r="O4861" t="s">
        <v>53</v>
      </c>
      <c r="P4861" t="s">
        <v>53</v>
      </c>
      <c r="Q4861" t="s">
        <v>53</v>
      </c>
    </row>
    <row r="4862" spans="1:17" x14ac:dyDescent="0.2">
      <c r="A4862" s="30" t="str">
        <f>IF(C4862&amp;G4862&amp;D4862&lt;&gt;'Funnel setup'!$K$3&amp;'Funnel setup'!$K$4&amp;'Funnel setup'!$K$5,".",IF(A4861=".",1,A4861+1))</f>
        <v>.</v>
      </c>
      <c r="B4862" s="431" t="str">
        <f t="shared" si="75"/>
        <v>Knee Replacement PrimaryProviderBMI - SHIRLEY OAKS HOSPITAL (NT436)Oxford Knee Score</v>
      </c>
      <c r="C4862" t="s">
        <v>249</v>
      </c>
      <c r="D4862" t="s">
        <v>1</v>
      </c>
      <c r="E4862" t="s">
        <v>3576</v>
      </c>
      <c r="F4862" t="s">
        <v>3577</v>
      </c>
      <c r="G4862" t="s">
        <v>16</v>
      </c>
      <c r="H4862">
        <v>18</v>
      </c>
      <c r="I4862">
        <v>16.611000000000001</v>
      </c>
      <c r="J4862">
        <v>30.5</v>
      </c>
      <c r="K4862">
        <v>13.888999999999999</v>
      </c>
      <c r="L4862">
        <v>18</v>
      </c>
      <c r="M4862">
        <v>0</v>
      </c>
      <c r="N4862">
        <v>0</v>
      </c>
      <c r="O4862" t="s">
        <v>53</v>
      </c>
      <c r="P4862" t="s">
        <v>53</v>
      </c>
      <c r="Q4862" t="s">
        <v>53</v>
      </c>
    </row>
    <row r="4863" spans="1:17" x14ac:dyDescent="0.2">
      <c r="A4863" s="30" t="str">
        <f>IF(C4863&amp;G4863&amp;D4863&lt;&gt;'Funnel setup'!$K$3&amp;'Funnel setup'!$K$4&amp;'Funnel setup'!$K$5,".",IF(A4862=".",1,A4862+1))</f>
        <v>.</v>
      </c>
      <c r="B4863" s="431" t="str">
        <f t="shared" si="75"/>
        <v>Knee Replacement PrimaryProviderBMI - THE ALEXANDRA HOSPITAL (NT401)Oxford Knee Score</v>
      </c>
      <c r="C4863" t="s">
        <v>249</v>
      </c>
      <c r="D4863" t="s">
        <v>1</v>
      </c>
      <c r="E4863" t="s">
        <v>3579</v>
      </c>
      <c r="F4863" t="s">
        <v>3580</v>
      </c>
      <c r="G4863" t="s">
        <v>16</v>
      </c>
      <c r="H4863">
        <v>73</v>
      </c>
      <c r="I4863">
        <v>21.247</v>
      </c>
      <c r="J4863">
        <v>37.932000000000002</v>
      </c>
      <c r="K4863">
        <v>16.684999999999999</v>
      </c>
      <c r="L4863">
        <v>70</v>
      </c>
      <c r="M4863">
        <v>1</v>
      </c>
      <c r="N4863">
        <v>2</v>
      </c>
      <c r="O4863">
        <v>36.639000000000003</v>
      </c>
      <c r="P4863">
        <v>17.354135190000001</v>
      </c>
      <c r="Q4863">
        <v>7.1289999999999996</v>
      </c>
    </row>
    <row r="4864" spans="1:17" x14ac:dyDescent="0.2">
      <c r="A4864" s="30" t="str">
        <f>IF(C4864&amp;G4864&amp;D4864&lt;&gt;'Funnel setup'!$K$3&amp;'Funnel setup'!$K$4&amp;'Funnel setup'!$K$5,".",IF(A4863=".",1,A4863+1))</f>
        <v>.</v>
      </c>
      <c r="B4864" s="431" t="str">
        <f t="shared" si="75"/>
        <v>Knee Replacement PrimaryProviderBMI - THE BEARDWOOD HOSPITAL (NT403)Oxford Knee Score</v>
      </c>
      <c r="C4864" t="s">
        <v>249</v>
      </c>
      <c r="D4864" t="s">
        <v>1</v>
      </c>
      <c r="E4864" t="s">
        <v>3582</v>
      </c>
      <c r="F4864" t="s">
        <v>3583</v>
      </c>
      <c r="G4864" t="s">
        <v>16</v>
      </c>
      <c r="H4864">
        <v>54</v>
      </c>
      <c r="I4864">
        <v>20.463000000000001</v>
      </c>
      <c r="J4864">
        <v>37.093000000000004</v>
      </c>
      <c r="K4864">
        <v>16.63</v>
      </c>
      <c r="L4864">
        <v>53</v>
      </c>
      <c r="M4864">
        <v>0</v>
      </c>
      <c r="N4864">
        <v>1</v>
      </c>
      <c r="O4864">
        <v>36.447000000000003</v>
      </c>
      <c r="P4864">
        <v>17.162086639999998</v>
      </c>
      <c r="Q4864">
        <v>7.27</v>
      </c>
    </row>
    <row r="4865" spans="1:17" x14ac:dyDescent="0.2">
      <c r="A4865" s="30" t="str">
        <f>IF(C4865&amp;G4865&amp;D4865&lt;&gt;'Funnel setup'!$K$3&amp;'Funnel setup'!$K$4&amp;'Funnel setup'!$K$5,".",IF(A4864=".",1,A4864+1))</f>
        <v>.</v>
      </c>
      <c r="B4865" s="431" t="str">
        <f t="shared" si="75"/>
        <v>Knee Replacement PrimaryProviderBMI - THE BEAUMONT HOSPITAL (NT404)Oxford Knee Score</v>
      </c>
      <c r="C4865" t="s">
        <v>249</v>
      </c>
      <c r="D4865" t="s">
        <v>1</v>
      </c>
      <c r="E4865" t="s">
        <v>3585</v>
      </c>
      <c r="F4865" t="s">
        <v>3586</v>
      </c>
      <c r="G4865" t="s">
        <v>16</v>
      </c>
      <c r="H4865">
        <v>39</v>
      </c>
      <c r="I4865">
        <v>19.922999999999998</v>
      </c>
      <c r="J4865">
        <v>36.487000000000002</v>
      </c>
      <c r="K4865">
        <v>16.564</v>
      </c>
      <c r="L4865">
        <v>35</v>
      </c>
      <c r="M4865">
        <v>0</v>
      </c>
      <c r="N4865">
        <v>4</v>
      </c>
      <c r="O4865">
        <v>35.988</v>
      </c>
      <c r="P4865">
        <v>16.702147950000001</v>
      </c>
      <c r="Q4865">
        <v>9.8520000000000003</v>
      </c>
    </row>
    <row r="4866" spans="1:17" x14ac:dyDescent="0.2">
      <c r="A4866" s="30" t="str">
        <f>IF(C4866&amp;G4866&amp;D4866&lt;&gt;'Funnel setup'!$K$3&amp;'Funnel setup'!$K$4&amp;'Funnel setup'!$K$5,".",IF(A4865=".",1,A4865+1))</f>
        <v>.</v>
      </c>
      <c r="B4866" s="431" t="str">
        <f t="shared" si="75"/>
        <v>Knee Replacement PrimaryProviderBMI - THE BLACKHEATH HOSPITAL (NT406)Oxford Knee Score</v>
      </c>
      <c r="C4866" t="s">
        <v>249</v>
      </c>
      <c r="D4866" t="s">
        <v>1</v>
      </c>
      <c r="E4866" t="s">
        <v>3588</v>
      </c>
      <c r="F4866" t="s">
        <v>3589</v>
      </c>
      <c r="G4866" t="s">
        <v>16</v>
      </c>
      <c r="H4866">
        <v>14</v>
      </c>
      <c r="I4866">
        <v>19.356999999999999</v>
      </c>
      <c r="J4866">
        <v>31.428999999999998</v>
      </c>
      <c r="K4866">
        <v>12.071</v>
      </c>
      <c r="L4866">
        <v>12</v>
      </c>
      <c r="M4866">
        <v>0</v>
      </c>
      <c r="N4866">
        <v>2</v>
      </c>
      <c r="O4866" t="s">
        <v>53</v>
      </c>
      <c r="P4866" t="s">
        <v>53</v>
      </c>
      <c r="Q4866" t="s">
        <v>53</v>
      </c>
    </row>
    <row r="4867" spans="1:17" x14ac:dyDescent="0.2">
      <c r="A4867" s="30" t="str">
        <f>IF(C4867&amp;G4867&amp;D4867&lt;&gt;'Funnel setup'!$K$3&amp;'Funnel setup'!$K$4&amp;'Funnel setup'!$K$5,".",IF(A4866=".",1,A4866+1))</f>
        <v>.</v>
      </c>
      <c r="B4867" s="431" t="str">
        <f t="shared" ref="B4867:B4930" si="76">C4867&amp;D4867&amp;F4867&amp;G4867</f>
        <v>Knee Replacement PrimaryProviderBMI - THE CHAUCER HOSPITAL (NT408)Oxford Knee Score</v>
      </c>
      <c r="C4867" t="s">
        <v>249</v>
      </c>
      <c r="D4867" t="s">
        <v>1</v>
      </c>
      <c r="E4867" t="s">
        <v>3591</v>
      </c>
      <c r="F4867" t="s">
        <v>3592</v>
      </c>
      <c r="G4867" t="s">
        <v>16</v>
      </c>
      <c r="H4867">
        <v>10</v>
      </c>
      <c r="I4867">
        <v>18.2</v>
      </c>
      <c r="J4867">
        <v>39</v>
      </c>
      <c r="K4867">
        <v>20.8</v>
      </c>
      <c r="L4867">
        <v>10</v>
      </c>
      <c r="M4867">
        <v>0</v>
      </c>
      <c r="N4867">
        <v>0</v>
      </c>
      <c r="O4867" t="s">
        <v>53</v>
      </c>
      <c r="P4867" t="s">
        <v>53</v>
      </c>
      <c r="Q4867" t="s">
        <v>53</v>
      </c>
    </row>
    <row r="4868" spans="1:17" x14ac:dyDescent="0.2">
      <c r="A4868" s="30" t="str">
        <f>IF(C4868&amp;G4868&amp;D4868&lt;&gt;'Funnel setup'!$K$3&amp;'Funnel setup'!$K$4&amp;'Funnel setup'!$K$5,".",IF(A4867=".",1,A4867+1))</f>
        <v>.</v>
      </c>
      <c r="B4868" s="431" t="str">
        <f t="shared" si="76"/>
        <v>Knee Replacement PrimaryProviderBMI - THE CHILTERN HOSPITAL (NT410)Oxford Knee Score</v>
      </c>
      <c r="C4868" t="s">
        <v>249</v>
      </c>
      <c r="D4868" t="s">
        <v>1</v>
      </c>
      <c r="E4868" t="s">
        <v>3594</v>
      </c>
      <c r="F4868" t="s">
        <v>3595</v>
      </c>
      <c r="G4868" t="s">
        <v>16</v>
      </c>
      <c r="H4868">
        <v>77</v>
      </c>
      <c r="I4868">
        <v>23.234000000000002</v>
      </c>
      <c r="J4868">
        <v>37.987000000000002</v>
      </c>
      <c r="K4868">
        <v>14.753</v>
      </c>
      <c r="L4868">
        <v>75</v>
      </c>
      <c r="M4868">
        <v>1</v>
      </c>
      <c r="N4868">
        <v>1</v>
      </c>
      <c r="O4868">
        <v>35.026000000000003</v>
      </c>
      <c r="P4868">
        <v>15.74036665</v>
      </c>
      <c r="Q4868">
        <v>7.3440000000000003</v>
      </c>
    </row>
    <row r="4869" spans="1:17" x14ac:dyDescent="0.2">
      <c r="A4869" s="30" t="str">
        <f>IF(C4869&amp;G4869&amp;D4869&lt;&gt;'Funnel setup'!$K$3&amp;'Funnel setup'!$K$4&amp;'Funnel setup'!$K$5,".",IF(A4868=".",1,A4868+1))</f>
        <v>.</v>
      </c>
      <c r="B4869" s="431" t="str">
        <f t="shared" si="76"/>
        <v>Knee Replacement PrimaryProviderBMI - THE CLEMENTINE CHURCHILL HOSPITAL (NT411)Oxford Knee Score</v>
      </c>
      <c r="C4869" t="s">
        <v>249</v>
      </c>
      <c r="D4869" t="s">
        <v>1</v>
      </c>
      <c r="E4869" t="s">
        <v>3597</v>
      </c>
      <c r="F4869" t="s">
        <v>3598</v>
      </c>
      <c r="G4869" t="s">
        <v>16</v>
      </c>
      <c r="H4869">
        <v>47</v>
      </c>
      <c r="I4869">
        <v>18.702000000000002</v>
      </c>
      <c r="J4869">
        <v>33.659999999999997</v>
      </c>
      <c r="K4869">
        <v>14.957000000000001</v>
      </c>
      <c r="L4869">
        <v>45</v>
      </c>
      <c r="M4869">
        <v>0</v>
      </c>
      <c r="N4869">
        <v>2</v>
      </c>
      <c r="O4869">
        <v>34.359000000000002</v>
      </c>
      <c r="P4869">
        <v>15.073231740000001</v>
      </c>
      <c r="Q4869">
        <v>8.0890000000000004</v>
      </c>
    </row>
    <row r="4870" spans="1:17" x14ac:dyDescent="0.2">
      <c r="A4870" s="30" t="str">
        <f>IF(C4870&amp;G4870&amp;D4870&lt;&gt;'Funnel setup'!$K$3&amp;'Funnel setup'!$K$4&amp;'Funnel setup'!$K$5,".",IF(A4869=".",1,A4869+1))</f>
        <v>.</v>
      </c>
      <c r="B4870" s="431" t="str">
        <f t="shared" si="76"/>
        <v>Knee Replacement PrimaryProviderBMI - THE DROITWICH SPA HOSPITAL (NT412)Oxford Knee Score</v>
      </c>
      <c r="C4870" t="s">
        <v>249</v>
      </c>
      <c r="D4870" t="s">
        <v>1</v>
      </c>
      <c r="E4870" t="s">
        <v>3600</v>
      </c>
      <c r="F4870" t="s">
        <v>3601</v>
      </c>
      <c r="G4870" t="s">
        <v>16</v>
      </c>
      <c r="H4870">
        <v>92</v>
      </c>
      <c r="I4870">
        <v>21.271999999999998</v>
      </c>
      <c r="J4870">
        <v>37.619999999999997</v>
      </c>
      <c r="K4870">
        <v>16.347999999999999</v>
      </c>
      <c r="L4870">
        <v>90</v>
      </c>
      <c r="M4870">
        <v>1</v>
      </c>
      <c r="N4870">
        <v>1</v>
      </c>
      <c r="O4870">
        <v>36.634</v>
      </c>
      <c r="P4870">
        <v>17.34842518</v>
      </c>
      <c r="Q4870">
        <v>7.5179999999999998</v>
      </c>
    </row>
    <row r="4871" spans="1:17" x14ac:dyDescent="0.2">
      <c r="A4871" s="30" t="str">
        <f>IF(C4871&amp;G4871&amp;D4871&lt;&gt;'Funnel setup'!$K$3&amp;'Funnel setup'!$K$4&amp;'Funnel setup'!$K$5,".",IF(A4870=".",1,A4870+1))</f>
        <v>.</v>
      </c>
      <c r="B4871" s="431" t="str">
        <f t="shared" si="76"/>
        <v>Knee Replacement PrimaryProviderBMI - THE ESPERANCE HOSPITAL (NT413)Oxford Knee Score</v>
      </c>
      <c r="C4871" t="s">
        <v>249</v>
      </c>
      <c r="D4871" t="s">
        <v>1</v>
      </c>
      <c r="E4871" t="s">
        <v>3603</v>
      </c>
      <c r="F4871" t="s">
        <v>3604</v>
      </c>
      <c r="G4871" t="s">
        <v>16</v>
      </c>
      <c r="H4871">
        <v>6</v>
      </c>
      <c r="I4871">
        <v>24.5</v>
      </c>
      <c r="J4871">
        <v>39.832999999999998</v>
      </c>
      <c r="K4871">
        <v>15.333</v>
      </c>
      <c r="L4871">
        <v>6</v>
      </c>
      <c r="M4871">
        <v>0</v>
      </c>
      <c r="N4871">
        <v>0</v>
      </c>
      <c r="O4871" t="s">
        <v>53</v>
      </c>
      <c r="P4871" t="s">
        <v>53</v>
      </c>
      <c r="Q4871" t="s">
        <v>53</v>
      </c>
    </row>
    <row r="4872" spans="1:17" x14ac:dyDescent="0.2">
      <c r="A4872" s="30" t="str">
        <f>IF(C4872&amp;G4872&amp;D4872&lt;&gt;'Funnel setup'!$K$3&amp;'Funnel setup'!$K$4&amp;'Funnel setup'!$K$5,".",IF(A4871=".",1,A4871+1))</f>
        <v>.</v>
      </c>
      <c r="B4872" s="431" t="str">
        <f t="shared" si="76"/>
        <v>Knee Replacement PrimaryProviderBMI - THE HAMPSHIRE CLINIC (NT418)Oxford Knee Score</v>
      </c>
      <c r="C4872" t="s">
        <v>249</v>
      </c>
      <c r="D4872" t="s">
        <v>1</v>
      </c>
      <c r="E4872" t="s">
        <v>3609</v>
      </c>
      <c r="F4872" t="s">
        <v>3610</v>
      </c>
      <c r="G4872" t="s">
        <v>16</v>
      </c>
      <c r="H4872">
        <v>22</v>
      </c>
      <c r="I4872">
        <v>23.635999999999999</v>
      </c>
      <c r="J4872">
        <v>36.863999999999997</v>
      </c>
      <c r="K4872">
        <v>13.227</v>
      </c>
      <c r="L4872">
        <v>20</v>
      </c>
      <c r="M4872">
        <v>0</v>
      </c>
      <c r="N4872">
        <v>2</v>
      </c>
      <c r="O4872" t="s">
        <v>53</v>
      </c>
      <c r="P4872" t="s">
        <v>53</v>
      </c>
      <c r="Q4872" t="s">
        <v>53</v>
      </c>
    </row>
    <row r="4873" spans="1:17" x14ac:dyDescent="0.2">
      <c r="A4873" s="30" t="str">
        <f>IF(C4873&amp;G4873&amp;D4873&lt;&gt;'Funnel setup'!$K$3&amp;'Funnel setup'!$K$4&amp;'Funnel setup'!$K$5,".",IF(A4872=".",1,A4872+1))</f>
        <v>.</v>
      </c>
      <c r="B4873" s="431" t="str">
        <f t="shared" si="76"/>
        <v>Knee Replacement PrimaryProviderBMI - THE HARBOUR HOSPITAL (NT419)Oxford Knee Score</v>
      </c>
      <c r="C4873" t="s">
        <v>249</v>
      </c>
      <c r="D4873" t="s">
        <v>1</v>
      </c>
      <c r="E4873" t="s">
        <v>3612</v>
      </c>
      <c r="F4873" t="s">
        <v>3613</v>
      </c>
      <c r="G4873" t="s">
        <v>16</v>
      </c>
      <c r="H4873">
        <v>18</v>
      </c>
      <c r="I4873">
        <v>20.388999999999999</v>
      </c>
      <c r="J4873">
        <v>34.667000000000002</v>
      </c>
      <c r="K4873">
        <v>14.278</v>
      </c>
      <c r="L4873">
        <v>18</v>
      </c>
      <c r="M4873">
        <v>0</v>
      </c>
      <c r="N4873">
        <v>0</v>
      </c>
      <c r="O4873" t="s">
        <v>53</v>
      </c>
      <c r="P4873" t="s">
        <v>53</v>
      </c>
      <c r="Q4873" t="s">
        <v>53</v>
      </c>
    </row>
    <row r="4874" spans="1:17" x14ac:dyDescent="0.2">
      <c r="A4874" s="30" t="str">
        <f>IF(C4874&amp;G4874&amp;D4874&lt;&gt;'Funnel setup'!$K$3&amp;'Funnel setup'!$K$4&amp;'Funnel setup'!$K$5,".",IF(A4873=".",1,A4873+1))</f>
        <v>.</v>
      </c>
      <c r="B4874" s="431" t="str">
        <f t="shared" si="76"/>
        <v>Knee Replacement PrimaryProviderBMI - THE HIGHFIELD HOSPITAL (NT420)Oxford Knee Score</v>
      </c>
      <c r="C4874" t="s">
        <v>249</v>
      </c>
      <c r="D4874" t="s">
        <v>1</v>
      </c>
      <c r="E4874" t="s">
        <v>3615</v>
      </c>
      <c r="F4874" t="s">
        <v>3616</v>
      </c>
      <c r="G4874" t="s">
        <v>16</v>
      </c>
      <c r="H4874">
        <v>143</v>
      </c>
      <c r="I4874">
        <v>18.754999999999999</v>
      </c>
      <c r="J4874">
        <v>35.014000000000003</v>
      </c>
      <c r="K4874">
        <v>16.259</v>
      </c>
      <c r="L4874">
        <v>132</v>
      </c>
      <c r="M4874">
        <v>1</v>
      </c>
      <c r="N4874">
        <v>10</v>
      </c>
      <c r="O4874">
        <v>35.195</v>
      </c>
      <c r="P4874">
        <v>15.90989841</v>
      </c>
      <c r="Q4874">
        <v>9.6270000000000007</v>
      </c>
    </row>
    <row r="4875" spans="1:17" x14ac:dyDescent="0.2">
      <c r="A4875" s="30" t="str">
        <f>IF(C4875&amp;G4875&amp;D4875&lt;&gt;'Funnel setup'!$K$3&amp;'Funnel setup'!$K$4&amp;'Funnel setup'!$K$5,".",IF(A4874=".",1,A4874+1))</f>
        <v>.</v>
      </c>
      <c r="B4875" s="431" t="str">
        <f t="shared" si="76"/>
        <v>Knee Replacement PrimaryProviderBMI - THE KINGS OAK HOSPITAL (NT421)Oxford Knee Score</v>
      </c>
      <c r="C4875" t="s">
        <v>249</v>
      </c>
      <c r="D4875" t="s">
        <v>1</v>
      </c>
      <c r="E4875" t="s">
        <v>3618</v>
      </c>
      <c r="F4875" t="s">
        <v>3619</v>
      </c>
      <c r="G4875" t="s">
        <v>16</v>
      </c>
      <c r="H4875">
        <v>23</v>
      </c>
      <c r="I4875">
        <v>18.609000000000002</v>
      </c>
      <c r="J4875">
        <v>35.738999999999997</v>
      </c>
      <c r="K4875">
        <v>17.13</v>
      </c>
      <c r="L4875">
        <v>22</v>
      </c>
      <c r="M4875">
        <v>0</v>
      </c>
      <c r="N4875">
        <v>1</v>
      </c>
      <c r="O4875" t="s">
        <v>53</v>
      </c>
      <c r="P4875" t="s">
        <v>53</v>
      </c>
      <c r="Q4875" t="s">
        <v>53</v>
      </c>
    </row>
    <row r="4876" spans="1:17" x14ac:dyDescent="0.2">
      <c r="A4876" s="30" t="str">
        <f>IF(C4876&amp;G4876&amp;D4876&lt;&gt;'Funnel setup'!$K$3&amp;'Funnel setup'!$K$4&amp;'Funnel setup'!$K$5,".",IF(A4875=".",1,A4875+1))</f>
        <v>.</v>
      </c>
      <c r="B4876" s="431" t="str">
        <f t="shared" si="76"/>
        <v>Knee Replacement PrimaryProviderBMI - THE LONDON INDEPENDENT HOSPITAL (NT422)Oxford Knee Score</v>
      </c>
      <c r="C4876" t="s">
        <v>249</v>
      </c>
      <c r="D4876" t="s">
        <v>1</v>
      </c>
      <c r="E4876" t="s">
        <v>3621</v>
      </c>
      <c r="F4876" t="s">
        <v>3622</v>
      </c>
      <c r="G4876" t="s">
        <v>16</v>
      </c>
      <c r="H4876">
        <v>11</v>
      </c>
      <c r="I4876">
        <v>15.090999999999999</v>
      </c>
      <c r="J4876">
        <v>31.273</v>
      </c>
      <c r="K4876">
        <v>16.181999999999999</v>
      </c>
      <c r="L4876">
        <v>11</v>
      </c>
      <c r="M4876">
        <v>0</v>
      </c>
      <c r="N4876">
        <v>0</v>
      </c>
      <c r="O4876" t="s">
        <v>53</v>
      </c>
      <c r="P4876" t="s">
        <v>53</v>
      </c>
      <c r="Q4876" t="s">
        <v>53</v>
      </c>
    </row>
    <row r="4877" spans="1:17" x14ac:dyDescent="0.2">
      <c r="A4877" s="30" t="str">
        <f>IF(C4877&amp;G4877&amp;D4877&lt;&gt;'Funnel setup'!$K$3&amp;'Funnel setup'!$K$4&amp;'Funnel setup'!$K$5,".",IF(A4876=".",1,A4876+1))</f>
        <v>.</v>
      </c>
      <c r="B4877" s="431" t="str">
        <f t="shared" si="76"/>
        <v>Knee Replacement PrimaryProviderBMI - THE MANOR HOSPITAL (NT423)Oxford Knee Score</v>
      </c>
      <c r="C4877" t="s">
        <v>249</v>
      </c>
      <c r="D4877" t="s">
        <v>1</v>
      </c>
      <c r="E4877" t="s">
        <v>3624</v>
      </c>
      <c r="F4877" t="s">
        <v>3625</v>
      </c>
      <c r="G4877" t="s">
        <v>16</v>
      </c>
      <c r="H4877">
        <v>22</v>
      </c>
      <c r="I4877">
        <v>21.364000000000001</v>
      </c>
      <c r="J4877">
        <v>40.226999999999997</v>
      </c>
      <c r="K4877">
        <v>18.864000000000001</v>
      </c>
      <c r="L4877">
        <v>21</v>
      </c>
      <c r="M4877">
        <v>0</v>
      </c>
      <c r="N4877">
        <v>1</v>
      </c>
      <c r="O4877" t="s">
        <v>53</v>
      </c>
      <c r="P4877" t="s">
        <v>53</v>
      </c>
      <c r="Q4877" t="s">
        <v>53</v>
      </c>
    </row>
    <row r="4878" spans="1:17" x14ac:dyDescent="0.2">
      <c r="A4878" s="30" t="str">
        <f>IF(C4878&amp;G4878&amp;D4878&lt;&gt;'Funnel setup'!$K$3&amp;'Funnel setup'!$K$4&amp;'Funnel setup'!$K$5,".",IF(A4877=".",1,A4877+1))</f>
        <v>.</v>
      </c>
      <c r="B4878" s="431" t="str">
        <f t="shared" si="76"/>
        <v>Knee Replacement PrimaryProviderBMI - THE MERIDEN HOSPITAL (NT424)Oxford Knee Score</v>
      </c>
      <c r="C4878" t="s">
        <v>249</v>
      </c>
      <c r="D4878" t="s">
        <v>1</v>
      </c>
      <c r="E4878" t="s">
        <v>3283</v>
      </c>
      <c r="F4878" t="s">
        <v>3284</v>
      </c>
      <c r="G4878" t="s">
        <v>16</v>
      </c>
      <c r="H4878">
        <v>83</v>
      </c>
      <c r="I4878">
        <v>22.036000000000001</v>
      </c>
      <c r="J4878">
        <v>35.892000000000003</v>
      </c>
      <c r="K4878">
        <v>13.855</v>
      </c>
      <c r="L4878">
        <v>76</v>
      </c>
      <c r="M4878">
        <v>0</v>
      </c>
      <c r="N4878">
        <v>7</v>
      </c>
      <c r="O4878">
        <v>34.39</v>
      </c>
      <c r="P4878">
        <v>15.104238329999999</v>
      </c>
      <c r="Q4878">
        <v>8.4369999999999994</v>
      </c>
    </row>
    <row r="4879" spans="1:17" x14ac:dyDescent="0.2">
      <c r="A4879" s="30" t="str">
        <f>IF(C4879&amp;G4879&amp;D4879&lt;&gt;'Funnel setup'!$K$3&amp;'Funnel setup'!$K$4&amp;'Funnel setup'!$K$5,".",IF(A4878=".",1,A4878+1))</f>
        <v>.</v>
      </c>
      <c r="B4879" s="431" t="str">
        <f t="shared" si="76"/>
        <v>Knee Replacement PrimaryProviderBMI - THE PARK HOSPITAL (NT427)Oxford Knee Score</v>
      </c>
      <c r="C4879" t="s">
        <v>249</v>
      </c>
      <c r="D4879" t="s">
        <v>1</v>
      </c>
      <c r="E4879" t="s">
        <v>3286</v>
      </c>
      <c r="F4879" t="s">
        <v>3287</v>
      </c>
      <c r="G4879" t="s">
        <v>16</v>
      </c>
      <c r="H4879">
        <v>37</v>
      </c>
      <c r="I4879">
        <v>20.108000000000001</v>
      </c>
      <c r="J4879">
        <v>38.972999999999999</v>
      </c>
      <c r="K4879">
        <v>18.864999999999998</v>
      </c>
      <c r="L4879">
        <v>36</v>
      </c>
      <c r="M4879">
        <v>0</v>
      </c>
      <c r="N4879">
        <v>1</v>
      </c>
      <c r="O4879">
        <v>38.308</v>
      </c>
      <c r="P4879">
        <v>19.02257723</v>
      </c>
      <c r="Q4879">
        <v>8.4239999999999995</v>
      </c>
    </row>
    <row r="4880" spans="1:17" x14ac:dyDescent="0.2">
      <c r="A4880" s="30" t="str">
        <f>IF(C4880&amp;G4880&amp;D4880&lt;&gt;'Funnel setup'!$K$3&amp;'Funnel setup'!$K$4&amp;'Funnel setup'!$K$5,".",IF(A4879=".",1,A4879+1))</f>
        <v>.</v>
      </c>
      <c r="B4880" s="431" t="str">
        <f t="shared" si="76"/>
        <v>Knee Replacement PrimaryProviderBMI - THE PRINCESS MARGARET HOSPITAL (NT428)Oxford Knee Score</v>
      </c>
      <c r="C4880" t="s">
        <v>249</v>
      </c>
      <c r="D4880" t="s">
        <v>1</v>
      </c>
      <c r="E4880" t="s">
        <v>3289</v>
      </c>
      <c r="F4880" t="s">
        <v>3290</v>
      </c>
      <c r="G4880" t="s">
        <v>16</v>
      </c>
      <c r="H4880">
        <v>17</v>
      </c>
      <c r="I4880">
        <v>19.765000000000001</v>
      </c>
      <c r="J4880">
        <v>37.176000000000002</v>
      </c>
      <c r="K4880">
        <v>17.411999999999999</v>
      </c>
      <c r="L4880">
        <v>17</v>
      </c>
      <c r="M4880">
        <v>0</v>
      </c>
      <c r="N4880">
        <v>0</v>
      </c>
      <c r="O4880" t="s">
        <v>53</v>
      </c>
      <c r="P4880" t="s">
        <v>53</v>
      </c>
      <c r="Q4880" t="s">
        <v>53</v>
      </c>
    </row>
    <row r="4881" spans="1:17" x14ac:dyDescent="0.2">
      <c r="A4881" s="30" t="str">
        <f>IF(C4881&amp;G4881&amp;D4881&lt;&gt;'Funnel setup'!$K$3&amp;'Funnel setup'!$K$4&amp;'Funnel setup'!$K$5,".",IF(A4880=".",1,A4880+1))</f>
        <v>.</v>
      </c>
      <c r="B4881" s="431" t="str">
        <f t="shared" si="76"/>
        <v>Knee Replacement PrimaryProviderBMI - THE PRIORY HOSPITAL (NT429)Oxford Knee Score</v>
      </c>
      <c r="C4881" t="s">
        <v>249</v>
      </c>
      <c r="D4881" t="s">
        <v>1</v>
      </c>
      <c r="E4881" t="s">
        <v>4776</v>
      </c>
      <c r="F4881" t="s">
        <v>4777</v>
      </c>
      <c r="G4881" t="s">
        <v>16</v>
      </c>
      <c r="H4881">
        <v>7</v>
      </c>
      <c r="I4881">
        <v>20.856999999999999</v>
      </c>
      <c r="J4881">
        <v>37.286000000000001</v>
      </c>
      <c r="K4881">
        <v>16.428999999999998</v>
      </c>
      <c r="L4881">
        <v>7</v>
      </c>
      <c r="M4881">
        <v>0</v>
      </c>
      <c r="N4881">
        <v>0</v>
      </c>
      <c r="O4881" t="s">
        <v>53</v>
      </c>
      <c r="P4881" t="s">
        <v>53</v>
      </c>
      <c r="Q4881" t="s">
        <v>53</v>
      </c>
    </row>
    <row r="4882" spans="1:17" x14ac:dyDescent="0.2">
      <c r="A4882" s="30" t="str">
        <f>IF(C4882&amp;G4882&amp;D4882&lt;&gt;'Funnel setup'!$K$3&amp;'Funnel setup'!$K$4&amp;'Funnel setup'!$K$5,".",IF(A4881=".",1,A4881+1))</f>
        <v>.</v>
      </c>
      <c r="B4882" s="431" t="str">
        <f t="shared" si="76"/>
        <v>Knee Replacement PrimaryProviderBMI - THE RIDGEWAY HOSPITAL (NT430)Oxford Knee Score</v>
      </c>
      <c r="C4882" t="s">
        <v>249</v>
      </c>
      <c r="D4882" t="s">
        <v>1</v>
      </c>
      <c r="E4882" t="s">
        <v>3292</v>
      </c>
      <c r="F4882" t="s">
        <v>3293</v>
      </c>
      <c r="G4882" t="s">
        <v>16</v>
      </c>
      <c r="H4882">
        <v>41</v>
      </c>
      <c r="I4882">
        <v>22.829000000000001</v>
      </c>
      <c r="J4882">
        <v>39.341000000000001</v>
      </c>
      <c r="K4882">
        <v>16.512</v>
      </c>
      <c r="L4882">
        <v>40</v>
      </c>
      <c r="M4882">
        <v>0</v>
      </c>
      <c r="N4882">
        <v>1</v>
      </c>
      <c r="O4882">
        <v>36.506999999999998</v>
      </c>
      <c r="P4882">
        <v>17.221188959999999</v>
      </c>
      <c r="Q4882">
        <v>6.9939999999999998</v>
      </c>
    </row>
    <row r="4883" spans="1:17" x14ac:dyDescent="0.2">
      <c r="A4883" s="30" t="str">
        <f>IF(C4883&amp;G4883&amp;D4883&lt;&gt;'Funnel setup'!$K$3&amp;'Funnel setup'!$K$4&amp;'Funnel setup'!$K$5,".",IF(A4882=".",1,A4882+1))</f>
        <v>.</v>
      </c>
      <c r="B4883" s="431" t="str">
        <f t="shared" si="76"/>
        <v>Knee Replacement PrimaryProviderBMI - THE RUNNYMEDE HOSPITAL (NT431)Oxford Knee Score</v>
      </c>
      <c r="C4883" t="s">
        <v>249</v>
      </c>
      <c r="D4883" t="s">
        <v>1</v>
      </c>
      <c r="E4883" t="s">
        <v>3295</v>
      </c>
      <c r="F4883" t="s">
        <v>3296</v>
      </c>
      <c r="G4883" t="s">
        <v>16</v>
      </c>
      <c r="H4883">
        <v>32</v>
      </c>
      <c r="I4883">
        <v>22.5</v>
      </c>
      <c r="J4883">
        <v>35.905999999999999</v>
      </c>
      <c r="K4883">
        <v>13.406000000000001</v>
      </c>
      <c r="L4883">
        <v>29</v>
      </c>
      <c r="M4883">
        <v>0</v>
      </c>
      <c r="N4883">
        <v>3</v>
      </c>
      <c r="O4883">
        <v>33.707000000000001</v>
      </c>
      <c r="P4883">
        <v>14.421265699999999</v>
      </c>
      <c r="Q4883">
        <v>7.585</v>
      </c>
    </row>
    <row r="4884" spans="1:17" x14ac:dyDescent="0.2">
      <c r="A4884" s="30" t="str">
        <f>IF(C4884&amp;G4884&amp;D4884&lt;&gt;'Funnel setup'!$K$3&amp;'Funnel setup'!$K$4&amp;'Funnel setup'!$K$5,".",IF(A4883=".",1,A4883+1))</f>
        <v>.</v>
      </c>
      <c r="B4884" s="431" t="str">
        <f t="shared" si="76"/>
        <v>Knee Replacement PrimaryProviderBMI - THE SANDRINGHAM HOSPITAL (NT432)Oxford Knee Score</v>
      </c>
      <c r="C4884" t="s">
        <v>249</v>
      </c>
      <c r="D4884" t="s">
        <v>1</v>
      </c>
      <c r="E4884" t="s">
        <v>3298</v>
      </c>
      <c r="F4884" t="s">
        <v>3299</v>
      </c>
      <c r="G4884" t="s">
        <v>16</v>
      </c>
      <c r="H4884">
        <v>100</v>
      </c>
      <c r="I4884">
        <v>20.81</v>
      </c>
      <c r="J4884">
        <v>35.56</v>
      </c>
      <c r="K4884">
        <v>14.75</v>
      </c>
      <c r="L4884">
        <v>91</v>
      </c>
      <c r="M4884">
        <v>1</v>
      </c>
      <c r="N4884">
        <v>8</v>
      </c>
      <c r="O4884">
        <v>34.439</v>
      </c>
      <c r="P4884">
        <v>15.153382430000001</v>
      </c>
      <c r="Q4884">
        <v>10.122999999999999</v>
      </c>
    </row>
    <row r="4885" spans="1:17" x14ac:dyDescent="0.2">
      <c r="A4885" s="30" t="str">
        <f>IF(C4885&amp;G4885&amp;D4885&lt;&gt;'Funnel setup'!$K$3&amp;'Funnel setup'!$K$4&amp;'Funnel setup'!$K$5,".",IF(A4884=".",1,A4884+1))</f>
        <v>.</v>
      </c>
      <c r="B4885" s="431" t="str">
        <f t="shared" si="76"/>
        <v>Knee Replacement PrimaryProviderBMI - THE SAXON CLINIC (NT434)Oxford Knee Score</v>
      </c>
      <c r="C4885" t="s">
        <v>249</v>
      </c>
      <c r="D4885" t="s">
        <v>1</v>
      </c>
      <c r="E4885" t="s">
        <v>3301</v>
      </c>
      <c r="F4885" t="s">
        <v>3302</v>
      </c>
      <c r="G4885" t="s">
        <v>16</v>
      </c>
      <c r="H4885">
        <v>35</v>
      </c>
      <c r="I4885">
        <v>20.399999999999999</v>
      </c>
      <c r="J4885">
        <v>37.228999999999999</v>
      </c>
      <c r="K4885">
        <v>16.829000000000001</v>
      </c>
      <c r="L4885">
        <v>33</v>
      </c>
      <c r="M4885">
        <v>1</v>
      </c>
      <c r="N4885">
        <v>1</v>
      </c>
      <c r="O4885">
        <v>35.566000000000003</v>
      </c>
      <c r="P4885">
        <v>16.280576610000001</v>
      </c>
      <c r="Q4885">
        <v>7.7009999999999996</v>
      </c>
    </row>
    <row r="4886" spans="1:17" x14ac:dyDescent="0.2">
      <c r="A4886" s="30" t="str">
        <f>IF(C4886&amp;G4886&amp;D4886&lt;&gt;'Funnel setup'!$K$3&amp;'Funnel setup'!$K$4&amp;'Funnel setup'!$K$5,".",IF(A4885=".",1,A4885+1))</f>
        <v>.</v>
      </c>
      <c r="B4886" s="431" t="str">
        <f t="shared" si="76"/>
        <v>Knee Replacement PrimaryProviderBMI - THE SHELBURNE HOSPITAL (NT435)Oxford Knee Score</v>
      </c>
      <c r="C4886" t="s">
        <v>249</v>
      </c>
      <c r="D4886" t="s">
        <v>1</v>
      </c>
      <c r="E4886" t="s">
        <v>4318</v>
      </c>
      <c r="F4886" t="s">
        <v>4319</v>
      </c>
      <c r="G4886" t="s">
        <v>16</v>
      </c>
      <c r="H4886">
        <v>21</v>
      </c>
      <c r="I4886">
        <v>21.762</v>
      </c>
      <c r="J4886">
        <v>40.429000000000002</v>
      </c>
      <c r="K4886">
        <v>18.667000000000002</v>
      </c>
      <c r="L4886">
        <v>21</v>
      </c>
      <c r="M4886">
        <v>0</v>
      </c>
      <c r="N4886">
        <v>0</v>
      </c>
      <c r="O4886" t="s">
        <v>53</v>
      </c>
      <c r="P4886" t="s">
        <v>53</v>
      </c>
      <c r="Q4886" t="s">
        <v>53</v>
      </c>
    </row>
    <row r="4887" spans="1:17" x14ac:dyDescent="0.2">
      <c r="A4887" s="30" t="str">
        <f>IF(C4887&amp;G4887&amp;D4887&lt;&gt;'Funnel setup'!$K$3&amp;'Funnel setup'!$K$4&amp;'Funnel setup'!$K$5,".",IF(A4886=".",1,A4886+1))</f>
        <v>.</v>
      </c>
      <c r="B4887" s="431" t="str">
        <f t="shared" si="76"/>
        <v>Knee Replacement PrimaryProviderBMI - THE SLOANE HOSPITAL (NT437)Oxford Knee Score</v>
      </c>
      <c r="C4887" t="s">
        <v>249</v>
      </c>
      <c r="D4887" t="s">
        <v>1</v>
      </c>
      <c r="E4887" t="s">
        <v>4327</v>
      </c>
      <c r="F4887" t="s">
        <v>4328</v>
      </c>
      <c r="G4887" t="s">
        <v>16</v>
      </c>
      <c r="H4887">
        <v>10</v>
      </c>
      <c r="I4887">
        <v>24.4</v>
      </c>
      <c r="J4887">
        <v>39.4</v>
      </c>
      <c r="K4887">
        <v>15</v>
      </c>
      <c r="L4887">
        <v>8</v>
      </c>
      <c r="M4887">
        <v>0</v>
      </c>
      <c r="N4887">
        <v>2</v>
      </c>
      <c r="O4887" t="s">
        <v>53</v>
      </c>
      <c r="P4887" t="s">
        <v>53</v>
      </c>
      <c r="Q4887" t="s">
        <v>53</v>
      </c>
    </row>
    <row r="4888" spans="1:17" x14ac:dyDescent="0.2">
      <c r="A4888" s="30" t="str">
        <f>IF(C4888&amp;G4888&amp;D4888&lt;&gt;'Funnel setup'!$K$3&amp;'Funnel setup'!$K$4&amp;'Funnel setup'!$K$5,".",IF(A4887=".",1,A4887+1))</f>
        <v>.</v>
      </c>
      <c r="B4888" s="431" t="str">
        <f t="shared" si="76"/>
        <v>Knee Replacement PrimaryProviderBMI - THE SOMERFIELD HOSPITAL (NT438)Oxford Knee Score</v>
      </c>
      <c r="C4888" t="s">
        <v>249</v>
      </c>
      <c r="D4888" t="s">
        <v>1</v>
      </c>
      <c r="E4888" t="s">
        <v>3304</v>
      </c>
      <c r="F4888" t="s">
        <v>3305</v>
      </c>
      <c r="G4888" t="s">
        <v>16</v>
      </c>
      <c r="H4888">
        <v>30</v>
      </c>
      <c r="I4888">
        <v>20.332999999999998</v>
      </c>
      <c r="J4888">
        <v>40.433</v>
      </c>
      <c r="K4888">
        <v>20.100000000000001</v>
      </c>
      <c r="L4888">
        <v>30</v>
      </c>
      <c r="M4888">
        <v>0</v>
      </c>
      <c r="N4888">
        <v>0</v>
      </c>
      <c r="O4888">
        <v>39.246000000000002</v>
      </c>
      <c r="P4888">
        <v>19.96038124</v>
      </c>
      <c r="Q4888">
        <v>7.7590000000000003</v>
      </c>
    </row>
    <row r="4889" spans="1:17" x14ac:dyDescent="0.2">
      <c r="A4889" s="30" t="str">
        <f>IF(C4889&amp;G4889&amp;D4889&lt;&gt;'Funnel setup'!$K$3&amp;'Funnel setup'!$K$4&amp;'Funnel setup'!$K$5,".",IF(A4888=".",1,A4888+1))</f>
        <v>.</v>
      </c>
      <c r="B4889" s="431" t="str">
        <f t="shared" si="76"/>
        <v>Knee Replacement PrimaryProviderBMI - THE SOUTH CHESHIRE PRIVATE HOSPITAL (NT439)Oxford Knee Score</v>
      </c>
      <c r="C4889" t="s">
        <v>249</v>
      </c>
      <c r="D4889" t="s">
        <v>1</v>
      </c>
      <c r="E4889" t="s">
        <v>3307</v>
      </c>
      <c r="F4889" t="s">
        <v>3308</v>
      </c>
      <c r="G4889" t="s">
        <v>16</v>
      </c>
      <c r="H4889">
        <v>31</v>
      </c>
      <c r="I4889">
        <v>19.193999999999999</v>
      </c>
      <c r="J4889">
        <v>37.128999999999998</v>
      </c>
      <c r="K4889">
        <v>17.934999999999999</v>
      </c>
      <c r="L4889">
        <v>29</v>
      </c>
      <c r="M4889">
        <v>0</v>
      </c>
      <c r="N4889">
        <v>2</v>
      </c>
      <c r="O4889">
        <v>36.408999999999999</v>
      </c>
      <c r="P4889">
        <v>17.123236810000002</v>
      </c>
      <c r="Q4889">
        <v>7.3979999999999997</v>
      </c>
    </row>
    <row r="4890" spans="1:17" x14ac:dyDescent="0.2">
      <c r="A4890" s="30" t="str">
        <f>IF(C4890&amp;G4890&amp;D4890&lt;&gt;'Funnel setup'!$K$3&amp;'Funnel setup'!$K$4&amp;'Funnel setup'!$K$5,".",IF(A4889=".",1,A4889+1))</f>
        <v>.</v>
      </c>
      <c r="B4890" s="431" t="str">
        <f t="shared" si="76"/>
        <v>Knee Replacement PrimaryProviderBMI - THE WINTERBOURNE HOSPITAL (NT443)Oxford Knee Score</v>
      </c>
      <c r="C4890" t="s">
        <v>249</v>
      </c>
      <c r="D4890" t="s">
        <v>1</v>
      </c>
      <c r="E4890" t="s">
        <v>3310</v>
      </c>
      <c r="F4890" t="s">
        <v>3311</v>
      </c>
      <c r="G4890" t="s">
        <v>16</v>
      </c>
      <c r="H4890">
        <v>61</v>
      </c>
      <c r="I4890">
        <v>21.754000000000001</v>
      </c>
      <c r="J4890">
        <v>37.966999999999999</v>
      </c>
      <c r="K4890">
        <v>16.213000000000001</v>
      </c>
      <c r="L4890">
        <v>60</v>
      </c>
      <c r="M4890">
        <v>1</v>
      </c>
      <c r="N4890">
        <v>0</v>
      </c>
      <c r="O4890">
        <v>36.302999999999997</v>
      </c>
      <c r="P4890">
        <v>17.017444609999998</v>
      </c>
      <c r="Q4890">
        <v>5.806</v>
      </c>
    </row>
    <row r="4891" spans="1:17" x14ac:dyDescent="0.2">
      <c r="A4891" s="30" t="str">
        <f>IF(C4891&amp;G4891&amp;D4891&lt;&gt;'Funnel setup'!$K$3&amp;'Funnel setup'!$K$4&amp;'Funnel setup'!$K$5,".",IF(A4890=".",1,A4890+1))</f>
        <v>.</v>
      </c>
      <c r="B4891" s="431" t="str">
        <f t="shared" si="76"/>
        <v>Knee Replacement PrimaryProviderBMI - THORNBURY HOSPITAL (NT440)Oxford Knee Score</v>
      </c>
      <c r="C4891" t="s">
        <v>249</v>
      </c>
      <c r="D4891" t="s">
        <v>1</v>
      </c>
      <c r="E4891" t="s">
        <v>3313</v>
      </c>
      <c r="F4891" t="s">
        <v>3314</v>
      </c>
      <c r="G4891" t="s">
        <v>16</v>
      </c>
      <c r="H4891">
        <v>43</v>
      </c>
      <c r="I4891">
        <v>19.186</v>
      </c>
      <c r="J4891">
        <v>39.302</v>
      </c>
      <c r="K4891">
        <v>20.116</v>
      </c>
      <c r="L4891">
        <v>42</v>
      </c>
      <c r="M4891">
        <v>1</v>
      </c>
      <c r="N4891">
        <v>0</v>
      </c>
      <c r="O4891">
        <v>38.097999999999999</v>
      </c>
      <c r="P4891">
        <v>18.812210100000001</v>
      </c>
      <c r="Q4891">
        <v>6.101</v>
      </c>
    </row>
    <row r="4892" spans="1:17" x14ac:dyDescent="0.2">
      <c r="A4892" s="30" t="str">
        <f>IF(C4892&amp;G4892&amp;D4892&lt;&gt;'Funnel setup'!$K$3&amp;'Funnel setup'!$K$4&amp;'Funnel setup'!$K$5,".",IF(A4891=".",1,A4891+1))</f>
        <v>.</v>
      </c>
      <c r="B4892" s="431" t="str">
        <f t="shared" si="76"/>
        <v>Knee Replacement PrimaryProviderBMI - THREE SHIRES HOSPITAL (NT441)Oxford Knee Score</v>
      </c>
      <c r="C4892" t="s">
        <v>249</v>
      </c>
      <c r="D4892" t="s">
        <v>1</v>
      </c>
      <c r="E4892" t="s">
        <v>3316</v>
      </c>
      <c r="F4892" t="s">
        <v>3317</v>
      </c>
      <c r="G4892" t="s">
        <v>16</v>
      </c>
      <c r="H4892">
        <v>48</v>
      </c>
      <c r="I4892">
        <v>17.542000000000002</v>
      </c>
      <c r="J4892">
        <v>34.853999999999999</v>
      </c>
      <c r="K4892">
        <v>17.312999999999999</v>
      </c>
      <c r="L4892">
        <v>45</v>
      </c>
      <c r="M4892">
        <v>0</v>
      </c>
      <c r="N4892">
        <v>3</v>
      </c>
      <c r="O4892">
        <v>34.994</v>
      </c>
      <c r="P4892">
        <v>15.708394439999999</v>
      </c>
      <c r="Q4892">
        <v>9.5190000000000001</v>
      </c>
    </row>
    <row r="4893" spans="1:17" x14ac:dyDescent="0.2">
      <c r="A4893" s="30" t="str">
        <f>IF(C4893&amp;G4893&amp;D4893&lt;&gt;'Funnel setup'!$K$3&amp;'Funnel setup'!$K$4&amp;'Funnel setup'!$K$5,".",IF(A4892=".",1,A4892+1))</f>
        <v>.</v>
      </c>
      <c r="B4893" s="431" t="str">
        <f t="shared" si="76"/>
        <v>Knee Replacement PrimaryProviderBMI GISBURNE PARK HOSPITAL (NT497)Oxford Knee Score</v>
      </c>
      <c r="C4893" t="s">
        <v>249</v>
      </c>
      <c r="D4893" t="s">
        <v>1</v>
      </c>
      <c r="E4893" t="s">
        <v>3319</v>
      </c>
      <c r="F4893" t="s">
        <v>3320</v>
      </c>
      <c r="G4893" t="s">
        <v>16</v>
      </c>
      <c r="H4893">
        <v>56</v>
      </c>
      <c r="I4893">
        <v>20.536000000000001</v>
      </c>
      <c r="J4893">
        <v>39.070999999999998</v>
      </c>
      <c r="K4893">
        <v>18.536000000000001</v>
      </c>
      <c r="L4893">
        <v>54</v>
      </c>
      <c r="M4893">
        <v>0</v>
      </c>
      <c r="N4893">
        <v>2</v>
      </c>
      <c r="O4893">
        <v>38.698999999999998</v>
      </c>
      <c r="P4893">
        <v>19.413931789999999</v>
      </c>
      <c r="Q4893">
        <v>7.96</v>
      </c>
    </row>
    <row r="4894" spans="1:17" x14ac:dyDescent="0.2">
      <c r="A4894" s="30" t="str">
        <f>IF(C4894&amp;G4894&amp;D4894&lt;&gt;'Funnel setup'!$K$3&amp;'Funnel setup'!$K$4&amp;'Funnel setup'!$K$5,".",IF(A4893=".",1,A4893+1))</f>
        <v>.</v>
      </c>
      <c r="B4894" s="431" t="str">
        <f t="shared" si="76"/>
        <v>Knee Replacement PrimaryProviderBMI ST EDMUNDS HOSPITAL (NT446)Oxford Knee Score</v>
      </c>
      <c r="C4894" t="s">
        <v>249</v>
      </c>
      <c r="D4894" t="s">
        <v>1</v>
      </c>
      <c r="E4894" t="s">
        <v>3328</v>
      </c>
      <c r="F4894" t="s">
        <v>3329</v>
      </c>
      <c r="G4894" t="s">
        <v>16</v>
      </c>
      <c r="H4894">
        <v>72</v>
      </c>
      <c r="I4894">
        <v>21.056000000000001</v>
      </c>
      <c r="J4894">
        <v>35.722000000000001</v>
      </c>
      <c r="K4894">
        <v>14.667</v>
      </c>
      <c r="L4894">
        <v>68</v>
      </c>
      <c r="M4894">
        <v>0</v>
      </c>
      <c r="N4894">
        <v>4</v>
      </c>
      <c r="O4894">
        <v>34.049999999999997</v>
      </c>
      <c r="P4894">
        <v>14.764332100000001</v>
      </c>
      <c r="Q4894">
        <v>8.9760000000000009</v>
      </c>
    </row>
    <row r="4895" spans="1:17" x14ac:dyDescent="0.2">
      <c r="A4895" s="30" t="str">
        <f>IF(C4895&amp;G4895&amp;D4895&lt;&gt;'Funnel setup'!$K$3&amp;'Funnel setup'!$K$4&amp;'Funnel setup'!$K$5,".",IF(A4894=".",1,A4894+1))</f>
        <v>.</v>
      </c>
      <c r="B4895" s="431" t="str">
        <f t="shared" si="76"/>
        <v>Knee Replacement PrimaryProviderBMI THE CAVELL HOSPITAL (NT451)Oxford Knee Score</v>
      </c>
      <c r="C4895" t="s">
        <v>249</v>
      </c>
      <c r="D4895" t="s">
        <v>1</v>
      </c>
      <c r="E4895" t="s">
        <v>3331</v>
      </c>
      <c r="F4895" t="s">
        <v>3332</v>
      </c>
      <c r="G4895" t="s">
        <v>16</v>
      </c>
      <c r="H4895">
        <v>32</v>
      </c>
      <c r="I4895">
        <v>18.625</v>
      </c>
      <c r="J4895">
        <v>33.5</v>
      </c>
      <c r="K4895">
        <v>14.875</v>
      </c>
      <c r="L4895">
        <v>28</v>
      </c>
      <c r="M4895">
        <v>0</v>
      </c>
      <c r="N4895">
        <v>4</v>
      </c>
      <c r="O4895">
        <v>33.332999999999998</v>
      </c>
      <c r="P4895">
        <v>14.04715384</v>
      </c>
      <c r="Q4895">
        <v>9.1210000000000004</v>
      </c>
    </row>
    <row r="4896" spans="1:17" x14ac:dyDescent="0.2">
      <c r="A4896" s="30" t="str">
        <f>IF(C4896&amp;G4896&amp;D4896&lt;&gt;'Funnel setup'!$K$3&amp;'Funnel setup'!$K$4&amp;'Funnel setup'!$K$5,".",IF(A4895=".",1,A4895+1))</f>
        <v>.</v>
      </c>
      <c r="B4896" s="431" t="str">
        <f t="shared" si="76"/>
        <v>Knee Replacement PrimaryProviderBMI THE DUCHY HOSPITAL (NT447)Oxford Knee Score</v>
      </c>
      <c r="C4896" t="s">
        <v>249</v>
      </c>
      <c r="D4896" t="s">
        <v>1</v>
      </c>
      <c r="E4896" t="s">
        <v>3334</v>
      </c>
      <c r="F4896" t="s">
        <v>3335</v>
      </c>
      <c r="G4896" t="s">
        <v>16</v>
      </c>
      <c r="H4896">
        <v>24</v>
      </c>
      <c r="I4896">
        <v>21.625</v>
      </c>
      <c r="J4896">
        <v>40.292000000000002</v>
      </c>
      <c r="K4896">
        <v>18.667000000000002</v>
      </c>
      <c r="L4896">
        <v>23</v>
      </c>
      <c r="M4896">
        <v>0</v>
      </c>
      <c r="N4896">
        <v>1</v>
      </c>
      <c r="O4896" t="s">
        <v>53</v>
      </c>
      <c r="P4896" t="s">
        <v>53</v>
      </c>
      <c r="Q4896" t="s">
        <v>53</v>
      </c>
    </row>
    <row r="4897" spans="1:17" x14ac:dyDescent="0.2">
      <c r="A4897" s="30" t="str">
        <f>IF(C4897&amp;G4897&amp;D4897&lt;&gt;'Funnel setup'!$K$3&amp;'Funnel setup'!$K$4&amp;'Funnel setup'!$K$5,".",IF(A4896=".",1,A4896+1))</f>
        <v>.</v>
      </c>
      <c r="B4897" s="431" t="str">
        <f t="shared" si="76"/>
        <v>Knee Replacement PrimaryProviderBMI THE EDGBASTON HOSPITAL (NT445)Oxford Knee Score</v>
      </c>
      <c r="C4897" t="s">
        <v>249</v>
      </c>
      <c r="D4897" t="s">
        <v>1</v>
      </c>
      <c r="E4897" t="s">
        <v>3337</v>
      </c>
      <c r="F4897" t="s">
        <v>3338</v>
      </c>
      <c r="G4897" t="s">
        <v>16</v>
      </c>
      <c r="H4897">
        <v>46</v>
      </c>
      <c r="I4897">
        <v>19.87</v>
      </c>
      <c r="J4897">
        <v>37.761000000000003</v>
      </c>
      <c r="K4897">
        <v>17.890999999999998</v>
      </c>
      <c r="L4897">
        <v>46</v>
      </c>
      <c r="M4897">
        <v>0</v>
      </c>
      <c r="N4897">
        <v>0</v>
      </c>
      <c r="O4897">
        <v>37.231000000000002</v>
      </c>
      <c r="P4897">
        <v>17.945829809999999</v>
      </c>
      <c r="Q4897">
        <v>5.952</v>
      </c>
    </row>
    <row r="4898" spans="1:17" x14ac:dyDescent="0.2">
      <c r="A4898" s="30" t="str">
        <f>IF(C4898&amp;G4898&amp;D4898&lt;&gt;'Funnel setup'!$K$3&amp;'Funnel setup'!$K$4&amp;'Funnel setup'!$K$5,".",IF(A4897=".",1,A4897+1))</f>
        <v>.</v>
      </c>
      <c r="B4898" s="431" t="str">
        <f t="shared" si="76"/>
        <v>Knee Replacement PrimaryProviderBMI THE HUDDERSFIELD HOSPITAL (NT448)Oxford Knee Score</v>
      </c>
      <c r="C4898" t="s">
        <v>249</v>
      </c>
      <c r="D4898" t="s">
        <v>1</v>
      </c>
      <c r="E4898" t="s">
        <v>3346</v>
      </c>
      <c r="F4898" t="s">
        <v>3347</v>
      </c>
      <c r="G4898" t="s">
        <v>16</v>
      </c>
      <c r="H4898">
        <v>82</v>
      </c>
      <c r="I4898">
        <v>21.988</v>
      </c>
      <c r="J4898">
        <v>36.988</v>
      </c>
      <c r="K4898">
        <v>15</v>
      </c>
      <c r="L4898">
        <v>75</v>
      </c>
      <c r="M4898">
        <v>0</v>
      </c>
      <c r="N4898">
        <v>7</v>
      </c>
      <c r="O4898">
        <v>35.216999999999999</v>
      </c>
      <c r="P4898">
        <v>15.93194201</v>
      </c>
      <c r="Q4898">
        <v>8.4890000000000008</v>
      </c>
    </row>
    <row r="4899" spans="1:17" x14ac:dyDescent="0.2">
      <c r="A4899" s="30" t="str">
        <f>IF(C4899&amp;G4899&amp;D4899&lt;&gt;'Funnel setup'!$K$3&amp;'Funnel setup'!$K$4&amp;'Funnel setup'!$K$5,".",IF(A4898=".",1,A4898+1))</f>
        <v>.</v>
      </c>
      <c r="B4899" s="431" t="str">
        <f t="shared" si="76"/>
        <v>Knee Replacement PrimaryProviderBMI THE LANCASTER HOSPITAL (NT449)Oxford Knee Score</v>
      </c>
      <c r="C4899" t="s">
        <v>249</v>
      </c>
      <c r="D4899" t="s">
        <v>1</v>
      </c>
      <c r="E4899" t="s">
        <v>3349</v>
      </c>
      <c r="F4899" t="s">
        <v>3350</v>
      </c>
      <c r="G4899" t="s">
        <v>16</v>
      </c>
      <c r="H4899">
        <v>60</v>
      </c>
      <c r="I4899">
        <v>22.45</v>
      </c>
      <c r="J4899">
        <v>37.966999999999999</v>
      </c>
      <c r="K4899">
        <v>15.516999999999999</v>
      </c>
      <c r="L4899">
        <v>58</v>
      </c>
      <c r="M4899">
        <v>0</v>
      </c>
      <c r="N4899">
        <v>2</v>
      </c>
      <c r="O4899">
        <v>35.606000000000002</v>
      </c>
      <c r="P4899">
        <v>16.320218839999999</v>
      </c>
      <c r="Q4899">
        <v>6.29</v>
      </c>
    </row>
    <row r="4900" spans="1:17" x14ac:dyDescent="0.2">
      <c r="A4900" s="30" t="str">
        <f>IF(C4900&amp;G4900&amp;D4900&lt;&gt;'Funnel setup'!$K$3&amp;'Funnel setup'!$K$4&amp;'Funnel setup'!$K$5,".",IF(A4899=".",1,A4899+1))</f>
        <v>.</v>
      </c>
      <c r="B4900" s="431" t="str">
        <f t="shared" si="76"/>
        <v>Knee Replacement PrimaryProviderBMI THE LINCOLN HOSPITAL (NT450)Oxford Knee Score</v>
      </c>
      <c r="C4900" t="s">
        <v>249</v>
      </c>
      <c r="D4900" t="s">
        <v>1</v>
      </c>
      <c r="E4900" t="s">
        <v>3352</v>
      </c>
      <c r="F4900" t="s">
        <v>3353</v>
      </c>
      <c r="G4900" t="s">
        <v>16</v>
      </c>
      <c r="H4900">
        <v>95</v>
      </c>
      <c r="I4900">
        <v>22.242000000000001</v>
      </c>
      <c r="J4900">
        <v>37.799999999999997</v>
      </c>
      <c r="K4900">
        <v>15.558</v>
      </c>
      <c r="L4900">
        <v>87</v>
      </c>
      <c r="M4900">
        <v>1</v>
      </c>
      <c r="N4900">
        <v>7</v>
      </c>
      <c r="O4900">
        <v>35.735999999999997</v>
      </c>
      <c r="P4900">
        <v>16.450564239999999</v>
      </c>
      <c r="Q4900">
        <v>7.7240000000000002</v>
      </c>
    </row>
    <row r="4901" spans="1:17" x14ac:dyDescent="0.2">
      <c r="A4901" s="30" t="str">
        <f>IF(C4901&amp;G4901&amp;D4901&lt;&gt;'Funnel setup'!$K$3&amp;'Funnel setup'!$K$4&amp;'Funnel setup'!$K$5,".",IF(A4900=".",1,A4900+1))</f>
        <v>.</v>
      </c>
      <c r="B4901" s="431" t="str">
        <f t="shared" si="76"/>
        <v>Knee Replacement PrimaryProviderBMI WOODLANDS HOSPITAL (NT457)Oxford Knee Score</v>
      </c>
      <c r="C4901" t="s">
        <v>249</v>
      </c>
      <c r="D4901" t="s">
        <v>1</v>
      </c>
      <c r="E4901" t="s">
        <v>3355</v>
      </c>
      <c r="F4901" t="s">
        <v>3356</v>
      </c>
      <c r="G4901" t="s">
        <v>16</v>
      </c>
      <c r="H4901">
        <v>78</v>
      </c>
      <c r="I4901">
        <v>19.295000000000002</v>
      </c>
      <c r="J4901">
        <v>37.5</v>
      </c>
      <c r="K4901">
        <v>18.204999999999998</v>
      </c>
      <c r="L4901">
        <v>78</v>
      </c>
      <c r="M4901">
        <v>0</v>
      </c>
      <c r="N4901">
        <v>0</v>
      </c>
      <c r="O4901">
        <v>37.551000000000002</v>
      </c>
      <c r="P4901">
        <v>18.265179069999999</v>
      </c>
      <c r="Q4901">
        <v>7.7060000000000004</v>
      </c>
    </row>
    <row r="4902" spans="1:17" x14ac:dyDescent="0.2">
      <c r="A4902" s="30" t="str">
        <f>IF(C4902&amp;G4902&amp;D4902&lt;&gt;'Funnel setup'!$K$3&amp;'Funnel setup'!$K$4&amp;'Funnel setup'!$K$5,".",IF(A4901=".",1,A4901+1))</f>
        <v>.</v>
      </c>
      <c r="B4902" s="431" t="str">
        <f t="shared" si="76"/>
        <v>Knee Replacement PrimaryProviderBOLTON NHS FOUNDATION TRUST (RMC)Oxford Knee Score</v>
      </c>
      <c r="C4902" t="s">
        <v>249</v>
      </c>
      <c r="D4902" t="s">
        <v>1</v>
      </c>
      <c r="E4902" t="s">
        <v>3358</v>
      </c>
      <c r="F4902" t="s">
        <v>3359</v>
      </c>
      <c r="G4902" t="s">
        <v>16</v>
      </c>
      <c r="H4902">
        <v>89</v>
      </c>
      <c r="I4902">
        <v>16.045000000000002</v>
      </c>
      <c r="J4902">
        <v>32.853999999999999</v>
      </c>
      <c r="K4902">
        <v>16.809000000000001</v>
      </c>
      <c r="L4902">
        <v>85</v>
      </c>
      <c r="M4902">
        <v>0</v>
      </c>
      <c r="N4902">
        <v>4</v>
      </c>
      <c r="O4902">
        <v>34.988999999999997</v>
      </c>
      <c r="P4902">
        <v>15.7035307</v>
      </c>
      <c r="Q4902">
        <v>9.2059999999999995</v>
      </c>
    </row>
    <row r="4903" spans="1:17" x14ac:dyDescent="0.2">
      <c r="A4903" s="30" t="str">
        <f>IF(C4903&amp;G4903&amp;D4903&lt;&gt;'Funnel setup'!$K$3&amp;'Funnel setup'!$K$4&amp;'Funnel setup'!$K$5,".",IF(A4902=".",1,A4902+1))</f>
        <v>.</v>
      </c>
      <c r="B4903" s="431" t="str">
        <f t="shared" si="76"/>
        <v>Knee Replacement PrimaryProviderBRADFORD TEACHING HOSPITALS NHS FOUNDATION TRUST (RAE)Oxford Knee Score</v>
      </c>
      <c r="C4903" t="s">
        <v>249</v>
      </c>
      <c r="D4903" t="s">
        <v>1</v>
      </c>
      <c r="E4903" t="s">
        <v>3361</v>
      </c>
      <c r="F4903" t="s">
        <v>3362</v>
      </c>
      <c r="G4903" t="s">
        <v>16</v>
      </c>
      <c r="H4903">
        <v>148</v>
      </c>
      <c r="I4903">
        <v>18.358000000000001</v>
      </c>
      <c r="J4903">
        <v>33.459000000000003</v>
      </c>
      <c r="K4903">
        <v>15.101000000000001</v>
      </c>
      <c r="L4903">
        <v>137</v>
      </c>
      <c r="M4903">
        <v>0</v>
      </c>
      <c r="N4903">
        <v>11</v>
      </c>
      <c r="O4903">
        <v>35.634</v>
      </c>
      <c r="P4903">
        <v>16.348613530000002</v>
      </c>
      <c r="Q4903">
        <v>8.8160000000000007</v>
      </c>
    </row>
    <row r="4904" spans="1:17" x14ac:dyDescent="0.2">
      <c r="A4904" s="30" t="str">
        <f>IF(C4904&amp;G4904&amp;D4904&lt;&gt;'Funnel setup'!$K$3&amp;'Funnel setup'!$K$4&amp;'Funnel setup'!$K$5,".",IF(A4903=".",1,A4903+1))</f>
        <v>.</v>
      </c>
      <c r="B4904" s="431" t="str">
        <f t="shared" si="76"/>
        <v>Knee Replacement PrimaryProviderBRIGHTON AND SUSSEX UNIVERSITY HOSPITALS NHS TRUST (RXH)Oxford Knee Score</v>
      </c>
      <c r="C4904" t="s">
        <v>249</v>
      </c>
      <c r="D4904" t="s">
        <v>1</v>
      </c>
      <c r="E4904" t="s">
        <v>3367</v>
      </c>
      <c r="F4904" t="s">
        <v>3368</v>
      </c>
      <c r="G4904" t="s">
        <v>16</v>
      </c>
      <c r="H4904">
        <v>303</v>
      </c>
      <c r="I4904">
        <v>20.934000000000001</v>
      </c>
      <c r="J4904">
        <v>34.223999999999997</v>
      </c>
      <c r="K4904">
        <v>13.29</v>
      </c>
      <c r="L4904">
        <v>267</v>
      </c>
      <c r="M4904">
        <v>5</v>
      </c>
      <c r="N4904">
        <v>31</v>
      </c>
      <c r="O4904">
        <v>33.683</v>
      </c>
      <c r="P4904">
        <v>14.39776283</v>
      </c>
      <c r="Q4904">
        <v>8.968</v>
      </c>
    </row>
    <row r="4905" spans="1:17" x14ac:dyDescent="0.2">
      <c r="A4905" s="30" t="str">
        <f>IF(C4905&amp;G4905&amp;D4905&lt;&gt;'Funnel setup'!$K$3&amp;'Funnel setup'!$K$4&amp;'Funnel setup'!$K$5,".",IF(A4904=".",1,A4904+1))</f>
        <v>.</v>
      </c>
      <c r="B4905" s="431" t="str">
        <f t="shared" si="76"/>
        <v>Knee Replacement PrimaryProviderBUCKINGHAMSHIRE HEALTHCARE NHS TRUST (RXQ)Oxford Knee Score</v>
      </c>
      <c r="C4905" t="s">
        <v>249</v>
      </c>
      <c r="D4905" t="s">
        <v>1</v>
      </c>
      <c r="E4905" t="s">
        <v>3370</v>
      </c>
      <c r="F4905" t="s">
        <v>3371</v>
      </c>
      <c r="G4905" t="s">
        <v>16</v>
      </c>
      <c r="H4905">
        <v>156</v>
      </c>
      <c r="I4905">
        <v>19.353000000000002</v>
      </c>
      <c r="J4905">
        <v>35.776000000000003</v>
      </c>
      <c r="K4905">
        <v>16.422999999999998</v>
      </c>
      <c r="L4905">
        <v>148</v>
      </c>
      <c r="M4905">
        <v>2</v>
      </c>
      <c r="N4905">
        <v>6</v>
      </c>
      <c r="O4905">
        <v>35.600999999999999</v>
      </c>
      <c r="P4905">
        <v>16.315430370000001</v>
      </c>
      <c r="Q4905">
        <v>8.2829999999999995</v>
      </c>
    </row>
    <row r="4906" spans="1:17" x14ac:dyDescent="0.2">
      <c r="A4906" s="30" t="str">
        <f>IF(C4906&amp;G4906&amp;D4906&lt;&gt;'Funnel setup'!$K$3&amp;'Funnel setup'!$K$4&amp;'Funnel setup'!$K$5,".",IF(A4905=".",1,A4905+1))</f>
        <v>.</v>
      </c>
      <c r="B4906" s="431" t="str">
        <f t="shared" si="76"/>
        <v>Knee Replacement PrimaryProviderBURTON HOSPITALS NHS FOUNDATION TRUST (RJF)Oxford Knee Score</v>
      </c>
      <c r="C4906" t="s">
        <v>249</v>
      </c>
      <c r="D4906" t="s">
        <v>1</v>
      </c>
      <c r="E4906" t="s">
        <v>3373</v>
      </c>
      <c r="F4906" t="s">
        <v>3374</v>
      </c>
      <c r="G4906" t="s">
        <v>16</v>
      </c>
      <c r="H4906">
        <v>221</v>
      </c>
      <c r="I4906">
        <v>20.154</v>
      </c>
      <c r="J4906">
        <v>37.131</v>
      </c>
      <c r="K4906">
        <v>16.977</v>
      </c>
      <c r="L4906">
        <v>210</v>
      </c>
      <c r="M4906">
        <v>3</v>
      </c>
      <c r="N4906">
        <v>8</v>
      </c>
      <c r="O4906">
        <v>36.204000000000001</v>
      </c>
      <c r="P4906">
        <v>16.919001569999999</v>
      </c>
      <c r="Q4906">
        <v>7.6769999999999996</v>
      </c>
    </row>
    <row r="4907" spans="1:17" x14ac:dyDescent="0.2">
      <c r="A4907" s="30" t="str">
        <f>IF(C4907&amp;G4907&amp;D4907&lt;&gt;'Funnel setup'!$K$3&amp;'Funnel setup'!$K$4&amp;'Funnel setup'!$K$5,".",IF(A4906=".",1,A4906+1))</f>
        <v>.</v>
      </c>
      <c r="B4907" s="431" t="str">
        <f t="shared" si="76"/>
        <v>Knee Replacement PrimaryProviderCALDERDALE AND HUDDERSFIELD NHS FOUNDATION TRUST (RWY)Oxford Knee Score</v>
      </c>
      <c r="C4907" t="s">
        <v>249</v>
      </c>
      <c r="D4907" t="s">
        <v>1</v>
      </c>
      <c r="E4907" t="s">
        <v>3379</v>
      </c>
      <c r="F4907" t="s">
        <v>3380</v>
      </c>
      <c r="G4907" t="s">
        <v>16</v>
      </c>
      <c r="H4907">
        <v>249</v>
      </c>
      <c r="I4907">
        <v>19.108000000000001</v>
      </c>
      <c r="J4907">
        <v>35.863</v>
      </c>
      <c r="K4907">
        <v>16.754999999999999</v>
      </c>
      <c r="L4907">
        <v>241</v>
      </c>
      <c r="M4907">
        <v>2</v>
      </c>
      <c r="N4907">
        <v>6</v>
      </c>
      <c r="O4907">
        <v>36.238999999999997</v>
      </c>
      <c r="P4907">
        <v>16.954134910000001</v>
      </c>
      <c r="Q4907">
        <v>8.202</v>
      </c>
    </row>
    <row r="4908" spans="1:17" x14ac:dyDescent="0.2">
      <c r="A4908" s="30" t="str">
        <f>IF(C4908&amp;G4908&amp;D4908&lt;&gt;'Funnel setup'!$K$3&amp;'Funnel setup'!$K$4&amp;'Funnel setup'!$K$5,".",IF(A4907=".",1,A4907+1))</f>
        <v>.</v>
      </c>
      <c r="B4908" s="431" t="str">
        <f t="shared" si="76"/>
        <v>Knee Replacement PrimaryProviderCAMBRIDGE UNIVERSITY HOSPITALS NHS FOUNDATION TRUST (RGT)Oxford Knee Score</v>
      </c>
      <c r="C4908" t="s">
        <v>249</v>
      </c>
      <c r="D4908" t="s">
        <v>1</v>
      </c>
      <c r="E4908" t="s">
        <v>3076</v>
      </c>
      <c r="F4908" t="s">
        <v>3077</v>
      </c>
      <c r="G4908" t="s">
        <v>16</v>
      </c>
      <c r="H4908">
        <v>219</v>
      </c>
      <c r="I4908">
        <v>18.748999999999999</v>
      </c>
      <c r="J4908">
        <v>35.256</v>
      </c>
      <c r="K4908">
        <v>16.507000000000001</v>
      </c>
      <c r="L4908">
        <v>207</v>
      </c>
      <c r="M4908">
        <v>2</v>
      </c>
      <c r="N4908">
        <v>10</v>
      </c>
      <c r="O4908">
        <v>35.040999999999997</v>
      </c>
      <c r="P4908">
        <v>15.75555814</v>
      </c>
      <c r="Q4908">
        <v>8.5150000000000006</v>
      </c>
    </row>
    <row r="4909" spans="1:17" x14ac:dyDescent="0.2">
      <c r="A4909" s="30" t="str">
        <f>IF(C4909&amp;G4909&amp;D4909&lt;&gt;'Funnel setup'!$K$3&amp;'Funnel setup'!$K$4&amp;'Funnel setup'!$K$5,".",IF(A4908=".",1,A4908+1))</f>
        <v>.</v>
      </c>
      <c r="B4909" s="431" t="str">
        <f t="shared" si="76"/>
        <v>Knee Replacement PrimaryProviderCENTRAL MANCHESTER UNIVERSITY HOSPITALS NHS FOUNDATION TRUST (RW3)Oxford Knee Score</v>
      </c>
      <c r="C4909" t="s">
        <v>249</v>
      </c>
      <c r="D4909" t="s">
        <v>1</v>
      </c>
      <c r="E4909" t="s">
        <v>3079</v>
      </c>
      <c r="F4909" t="s">
        <v>3080</v>
      </c>
      <c r="G4909" t="s">
        <v>16</v>
      </c>
      <c r="H4909">
        <v>84</v>
      </c>
      <c r="I4909">
        <v>17.178999999999998</v>
      </c>
      <c r="J4909">
        <v>32.881</v>
      </c>
      <c r="K4909">
        <v>15.702</v>
      </c>
      <c r="L4909">
        <v>78</v>
      </c>
      <c r="M4909">
        <v>1</v>
      </c>
      <c r="N4909">
        <v>5</v>
      </c>
      <c r="O4909">
        <v>34.395000000000003</v>
      </c>
      <c r="P4909">
        <v>15.10996175</v>
      </c>
      <c r="Q4909">
        <v>8.9809999999999999</v>
      </c>
    </row>
    <row r="4910" spans="1:17" x14ac:dyDescent="0.2">
      <c r="A4910" s="30" t="str">
        <f>IF(C4910&amp;G4910&amp;D4910&lt;&gt;'Funnel setup'!$K$3&amp;'Funnel setup'!$K$4&amp;'Funnel setup'!$K$5,".",IF(A4909=".",1,A4909+1))</f>
        <v>.</v>
      </c>
      <c r="B4910" s="431" t="str">
        <f t="shared" si="76"/>
        <v>Knee Replacement PrimaryProviderCHELSEA AND WESTMINSTER HOSPITAL NHS FOUNDATION TRUST (RQM)Oxford Knee Score</v>
      </c>
      <c r="C4910" t="s">
        <v>249</v>
      </c>
      <c r="D4910" t="s">
        <v>1</v>
      </c>
      <c r="E4910" t="s">
        <v>3082</v>
      </c>
      <c r="F4910" t="s">
        <v>3083</v>
      </c>
      <c r="G4910" t="s">
        <v>16</v>
      </c>
      <c r="H4910">
        <v>22</v>
      </c>
      <c r="I4910">
        <v>18.591000000000001</v>
      </c>
      <c r="J4910">
        <v>34.226999999999997</v>
      </c>
      <c r="K4910">
        <v>15.635999999999999</v>
      </c>
      <c r="L4910">
        <v>19</v>
      </c>
      <c r="M4910">
        <v>0</v>
      </c>
      <c r="N4910">
        <v>3</v>
      </c>
      <c r="O4910" t="s">
        <v>53</v>
      </c>
      <c r="P4910" t="s">
        <v>53</v>
      </c>
      <c r="Q4910" t="s">
        <v>53</v>
      </c>
    </row>
    <row r="4911" spans="1:17" x14ac:dyDescent="0.2">
      <c r="A4911" s="30" t="str">
        <f>IF(C4911&amp;G4911&amp;D4911&lt;&gt;'Funnel setup'!$K$3&amp;'Funnel setup'!$K$4&amp;'Funnel setup'!$K$5,".",IF(A4910=".",1,A4910+1))</f>
        <v>.</v>
      </c>
      <c r="B4911" s="431" t="str">
        <f t="shared" si="76"/>
        <v>Knee Replacement PrimaryProviderCHESTERFIELD ROYAL HOSPITAL NHS FOUNDATION TRUST (RFS)Oxford Knee Score</v>
      </c>
      <c r="C4911" t="s">
        <v>249</v>
      </c>
      <c r="D4911" t="s">
        <v>1</v>
      </c>
      <c r="E4911" t="s">
        <v>3085</v>
      </c>
      <c r="F4911" t="s">
        <v>3086</v>
      </c>
      <c r="G4911" t="s">
        <v>16</v>
      </c>
      <c r="H4911">
        <v>255</v>
      </c>
      <c r="I4911">
        <v>19.027000000000001</v>
      </c>
      <c r="J4911">
        <v>34.871000000000002</v>
      </c>
      <c r="K4911">
        <v>15.843</v>
      </c>
      <c r="L4911">
        <v>235</v>
      </c>
      <c r="M4911">
        <v>3</v>
      </c>
      <c r="N4911">
        <v>17</v>
      </c>
      <c r="O4911">
        <v>35.351999999999997</v>
      </c>
      <c r="P4911">
        <v>16.06662626</v>
      </c>
      <c r="Q4911">
        <v>9.7200000000000006</v>
      </c>
    </row>
    <row r="4912" spans="1:17" x14ac:dyDescent="0.2">
      <c r="A4912" s="30" t="str">
        <f>IF(C4912&amp;G4912&amp;D4912&lt;&gt;'Funnel setup'!$K$3&amp;'Funnel setup'!$K$4&amp;'Funnel setup'!$K$5,".",IF(A4911=".",1,A4911+1))</f>
        <v>.</v>
      </c>
      <c r="B4912" s="431" t="str">
        <f t="shared" si="76"/>
        <v>Knee Replacement PrimaryProviderCIRCLE - NOTTINGHAM NHS TREATMENT CENTRE (NV313)Oxford Knee Score</v>
      </c>
      <c r="C4912" t="s">
        <v>249</v>
      </c>
      <c r="D4912" t="s">
        <v>1</v>
      </c>
      <c r="E4912" t="s">
        <v>3094</v>
      </c>
      <c r="F4912" t="s">
        <v>3095</v>
      </c>
      <c r="G4912" t="s">
        <v>16</v>
      </c>
      <c r="H4912" t="s">
        <v>53</v>
      </c>
      <c r="I4912" t="s">
        <v>53</v>
      </c>
      <c r="J4912" t="s">
        <v>53</v>
      </c>
      <c r="K4912" t="s">
        <v>53</v>
      </c>
      <c r="L4912" t="s">
        <v>53</v>
      </c>
      <c r="M4912" t="s">
        <v>53</v>
      </c>
      <c r="N4912" t="s">
        <v>53</v>
      </c>
      <c r="O4912" t="s">
        <v>53</v>
      </c>
      <c r="P4912" t="s">
        <v>53</v>
      </c>
      <c r="Q4912" t="s">
        <v>53</v>
      </c>
    </row>
    <row r="4913" spans="1:17" x14ac:dyDescent="0.2">
      <c r="A4913" s="30" t="str">
        <f>IF(C4913&amp;G4913&amp;D4913&lt;&gt;'Funnel setup'!$K$3&amp;'Funnel setup'!$K$4&amp;'Funnel setup'!$K$5,".",IF(A4912=".",1,A4912+1))</f>
        <v>.</v>
      </c>
      <c r="B4913" s="431" t="str">
        <f t="shared" si="76"/>
        <v>Knee Replacement PrimaryProviderCIRCLE BATH HOSPITAL (NV302)Oxford Knee Score</v>
      </c>
      <c r="C4913" t="s">
        <v>249</v>
      </c>
      <c r="D4913" t="s">
        <v>1</v>
      </c>
      <c r="E4913" t="s">
        <v>3097</v>
      </c>
      <c r="F4913" t="s">
        <v>3098</v>
      </c>
      <c r="G4913" t="s">
        <v>16</v>
      </c>
      <c r="H4913">
        <v>153</v>
      </c>
      <c r="I4913">
        <v>20.699000000000002</v>
      </c>
      <c r="J4913">
        <v>38.268000000000001</v>
      </c>
      <c r="K4913">
        <v>17.568999999999999</v>
      </c>
      <c r="L4913">
        <v>143</v>
      </c>
      <c r="M4913">
        <v>2</v>
      </c>
      <c r="N4913">
        <v>8</v>
      </c>
      <c r="O4913">
        <v>36.735999999999997</v>
      </c>
      <c r="P4913">
        <v>17.45110841</v>
      </c>
      <c r="Q4913">
        <v>7.6849999999999996</v>
      </c>
    </row>
    <row r="4914" spans="1:17" x14ac:dyDescent="0.2">
      <c r="A4914" s="30" t="str">
        <f>IF(C4914&amp;G4914&amp;D4914&lt;&gt;'Funnel setup'!$K$3&amp;'Funnel setup'!$K$4&amp;'Funnel setup'!$K$5,".",IF(A4913=".",1,A4913+1))</f>
        <v>.</v>
      </c>
      <c r="B4914" s="431" t="str">
        <f t="shared" si="76"/>
        <v>Knee Replacement PrimaryProviderCIRCLE READING HOSPITAL (NV323)Oxford Knee Score</v>
      </c>
      <c r="C4914" t="s">
        <v>249</v>
      </c>
      <c r="D4914" t="s">
        <v>1</v>
      </c>
      <c r="E4914" t="s">
        <v>3091</v>
      </c>
      <c r="F4914" t="s">
        <v>3092</v>
      </c>
      <c r="G4914" t="s">
        <v>16</v>
      </c>
      <c r="H4914">
        <v>102</v>
      </c>
      <c r="I4914">
        <v>23.911999999999999</v>
      </c>
      <c r="J4914">
        <v>37.872999999999998</v>
      </c>
      <c r="K4914">
        <v>13.961</v>
      </c>
      <c r="L4914">
        <v>97</v>
      </c>
      <c r="M4914">
        <v>1</v>
      </c>
      <c r="N4914">
        <v>4</v>
      </c>
      <c r="O4914">
        <v>34.502000000000002</v>
      </c>
      <c r="P4914">
        <v>15.216649869999999</v>
      </c>
      <c r="Q4914">
        <v>7.2709999999999999</v>
      </c>
    </row>
    <row r="4915" spans="1:17" x14ac:dyDescent="0.2">
      <c r="A4915" s="30" t="str">
        <f>IF(C4915&amp;G4915&amp;D4915&lt;&gt;'Funnel setup'!$K$3&amp;'Funnel setup'!$K$4&amp;'Funnel setup'!$K$5,".",IF(A4914=".",1,A4914+1))</f>
        <v>.</v>
      </c>
      <c r="B4915" s="431" t="str">
        <f t="shared" si="76"/>
        <v>Knee Replacement PrimaryProviderCITY HOSPITALS SUNDERLAND NHS FOUNDATION TRUST (RLN)Oxford Knee Score</v>
      </c>
      <c r="C4915" t="s">
        <v>249</v>
      </c>
      <c r="D4915" t="s">
        <v>1</v>
      </c>
      <c r="E4915" t="s">
        <v>3100</v>
      </c>
      <c r="F4915" t="s">
        <v>3101</v>
      </c>
      <c r="G4915" t="s">
        <v>16</v>
      </c>
      <c r="H4915">
        <v>283</v>
      </c>
      <c r="I4915">
        <v>17.177</v>
      </c>
      <c r="J4915">
        <v>33.052999999999997</v>
      </c>
      <c r="K4915">
        <v>15.875999999999999</v>
      </c>
      <c r="L4915">
        <v>265</v>
      </c>
      <c r="M4915">
        <v>1</v>
      </c>
      <c r="N4915">
        <v>17</v>
      </c>
      <c r="O4915">
        <v>35.511000000000003</v>
      </c>
      <c r="P4915">
        <v>16.22593956</v>
      </c>
      <c r="Q4915">
        <v>8.8179999999999996</v>
      </c>
    </row>
    <row r="4916" spans="1:17" x14ac:dyDescent="0.2">
      <c r="A4916" s="30" t="str">
        <f>IF(C4916&amp;G4916&amp;D4916&lt;&gt;'Funnel setup'!$K$3&amp;'Funnel setup'!$K$4&amp;'Funnel setup'!$K$5,".",IF(A4915=".",1,A4915+1))</f>
        <v>.</v>
      </c>
      <c r="B4916" s="431" t="str">
        <f t="shared" si="76"/>
        <v>Knee Replacement PrimaryProviderCLIFTON PARK HOSPITAL (NVC28)Oxford Knee Score</v>
      </c>
      <c r="C4916" t="s">
        <v>249</v>
      </c>
      <c r="D4916" t="s">
        <v>1</v>
      </c>
      <c r="E4916" t="s">
        <v>4229</v>
      </c>
      <c r="F4916" t="s">
        <v>4230</v>
      </c>
      <c r="G4916" t="s">
        <v>16</v>
      </c>
      <c r="H4916">
        <v>221</v>
      </c>
      <c r="I4916">
        <v>21.385000000000002</v>
      </c>
      <c r="J4916">
        <v>37.258000000000003</v>
      </c>
      <c r="K4916">
        <v>15.872999999999999</v>
      </c>
      <c r="L4916">
        <v>206</v>
      </c>
      <c r="M4916">
        <v>3</v>
      </c>
      <c r="N4916">
        <v>12</v>
      </c>
      <c r="O4916">
        <v>35.383000000000003</v>
      </c>
      <c r="P4916">
        <v>16.097855360000001</v>
      </c>
      <c r="Q4916">
        <v>7.5839999999999996</v>
      </c>
    </row>
    <row r="4917" spans="1:17" x14ac:dyDescent="0.2">
      <c r="A4917" s="30" t="str">
        <f>IF(C4917&amp;G4917&amp;D4917&lt;&gt;'Funnel setup'!$K$3&amp;'Funnel setup'!$K$4&amp;'Funnel setup'!$K$5,".",IF(A4916=".",1,A4916+1))</f>
        <v>.</v>
      </c>
      <c r="B4917" s="431" t="str">
        <f t="shared" si="76"/>
        <v>Knee Replacement PrimaryProviderCOLCHESTER HOSPITAL UNIVERSITY NHS FOUNDATION TRUST (RDE)Oxford Knee Score</v>
      </c>
      <c r="C4917" t="s">
        <v>249</v>
      </c>
      <c r="D4917" t="s">
        <v>1</v>
      </c>
      <c r="E4917" t="s">
        <v>3109</v>
      </c>
      <c r="F4917" t="s">
        <v>3110</v>
      </c>
      <c r="G4917" t="s">
        <v>16</v>
      </c>
      <c r="H4917">
        <v>195</v>
      </c>
      <c r="I4917">
        <v>19.108000000000001</v>
      </c>
      <c r="J4917">
        <v>36.030999999999999</v>
      </c>
      <c r="K4917">
        <v>16.922999999999998</v>
      </c>
      <c r="L4917">
        <v>186</v>
      </c>
      <c r="M4917">
        <v>1</v>
      </c>
      <c r="N4917">
        <v>8</v>
      </c>
      <c r="O4917">
        <v>36.366</v>
      </c>
      <c r="P4917">
        <v>17.08028251</v>
      </c>
      <c r="Q4917">
        <v>8.2959999999999994</v>
      </c>
    </row>
    <row r="4918" spans="1:17" x14ac:dyDescent="0.2">
      <c r="A4918" s="30" t="str">
        <f>IF(C4918&amp;G4918&amp;D4918&lt;&gt;'Funnel setup'!$K$3&amp;'Funnel setup'!$K$4&amp;'Funnel setup'!$K$5,".",IF(A4917=".",1,A4917+1))</f>
        <v>.</v>
      </c>
      <c r="B4918" s="431" t="str">
        <f t="shared" si="76"/>
        <v>Knee Replacement PrimaryProviderCOUNTESS OF CHESTER HOSPITAL NHS FOUNDATION TRUST (RJR)Oxford Knee Score</v>
      </c>
      <c r="C4918" t="s">
        <v>249</v>
      </c>
      <c r="D4918" t="s">
        <v>1</v>
      </c>
      <c r="E4918" t="s">
        <v>3781</v>
      </c>
      <c r="F4918" t="s">
        <v>3782</v>
      </c>
      <c r="G4918" t="s">
        <v>16</v>
      </c>
      <c r="H4918">
        <v>86</v>
      </c>
      <c r="I4918">
        <v>18.57</v>
      </c>
      <c r="J4918">
        <v>33.756</v>
      </c>
      <c r="K4918">
        <v>15.186</v>
      </c>
      <c r="L4918">
        <v>77</v>
      </c>
      <c r="M4918">
        <v>4</v>
      </c>
      <c r="N4918">
        <v>5</v>
      </c>
      <c r="O4918">
        <v>34.290999999999997</v>
      </c>
      <c r="P4918">
        <v>15.006086529999999</v>
      </c>
      <c r="Q4918">
        <v>8.6609999999999996</v>
      </c>
    </row>
    <row r="4919" spans="1:17" x14ac:dyDescent="0.2">
      <c r="A4919" s="30" t="str">
        <f>IF(C4919&amp;G4919&amp;D4919&lt;&gt;'Funnel setup'!$K$3&amp;'Funnel setup'!$K$4&amp;'Funnel setup'!$K$5,".",IF(A4918=".",1,A4918+1))</f>
        <v>.</v>
      </c>
      <c r="B4919" s="431" t="str">
        <f t="shared" si="76"/>
        <v>Knee Replacement PrimaryProviderCOUNTY DURHAM AND DARLINGTON NHS FOUNDATION TRUST (RXP)Oxford Knee Score</v>
      </c>
      <c r="C4919" t="s">
        <v>249</v>
      </c>
      <c r="D4919" t="s">
        <v>1</v>
      </c>
      <c r="E4919" t="s">
        <v>3784</v>
      </c>
      <c r="F4919" t="s">
        <v>3785</v>
      </c>
      <c r="G4919" t="s">
        <v>16</v>
      </c>
      <c r="H4919">
        <v>328</v>
      </c>
      <c r="I4919">
        <v>18.591000000000001</v>
      </c>
      <c r="J4919">
        <v>34.576000000000001</v>
      </c>
      <c r="K4919">
        <v>15.984999999999999</v>
      </c>
      <c r="L4919">
        <v>307</v>
      </c>
      <c r="M4919">
        <v>2</v>
      </c>
      <c r="N4919">
        <v>19</v>
      </c>
      <c r="O4919">
        <v>35.372</v>
      </c>
      <c r="P4919">
        <v>16.086449210000001</v>
      </c>
      <c r="Q4919">
        <v>8.9060000000000006</v>
      </c>
    </row>
    <row r="4920" spans="1:17" x14ac:dyDescent="0.2">
      <c r="A4920" s="30" t="str">
        <f>IF(C4920&amp;G4920&amp;D4920&lt;&gt;'Funnel setup'!$K$3&amp;'Funnel setup'!$K$4&amp;'Funnel setup'!$K$5,".",IF(A4919=".",1,A4919+1))</f>
        <v>.</v>
      </c>
      <c r="B4920" s="431" t="str">
        <f t="shared" si="76"/>
        <v>Knee Replacement PrimaryProviderDARTFORD AND GRAVESHAM NHS TRUST (RN7)Oxford Knee Score</v>
      </c>
      <c r="C4920" t="s">
        <v>249</v>
      </c>
      <c r="D4920" t="s">
        <v>1</v>
      </c>
      <c r="E4920" t="s">
        <v>3787</v>
      </c>
      <c r="F4920" t="s">
        <v>3788</v>
      </c>
      <c r="G4920" t="s">
        <v>16</v>
      </c>
      <c r="H4920">
        <v>221</v>
      </c>
      <c r="I4920">
        <v>17.661000000000001</v>
      </c>
      <c r="J4920">
        <v>35.231000000000002</v>
      </c>
      <c r="K4920">
        <v>17.57</v>
      </c>
      <c r="L4920">
        <v>214</v>
      </c>
      <c r="M4920">
        <v>0</v>
      </c>
      <c r="N4920">
        <v>7</v>
      </c>
      <c r="O4920">
        <v>35.970999999999997</v>
      </c>
      <c r="P4920">
        <v>16.685844710000001</v>
      </c>
      <c r="Q4920">
        <v>8.5980000000000008</v>
      </c>
    </row>
    <row r="4921" spans="1:17" x14ac:dyDescent="0.2">
      <c r="A4921" s="30" t="str">
        <f>IF(C4921&amp;G4921&amp;D4921&lt;&gt;'Funnel setup'!$K$3&amp;'Funnel setup'!$K$4&amp;'Funnel setup'!$K$5,".",IF(A4920=".",1,A4920+1))</f>
        <v>.</v>
      </c>
      <c r="B4921" s="431" t="str">
        <f t="shared" si="76"/>
        <v>Knee Replacement PrimaryProviderDERBY TEACHING HOSPITALS NHS FOUNDATION TRUST (RTG)Oxford Knee Score</v>
      </c>
      <c r="C4921" t="s">
        <v>249</v>
      </c>
      <c r="D4921" t="s">
        <v>1</v>
      </c>
      <c r="E4921" t="s">
        <v>3790</v>
      </c>
      <c r="F4921" t="s">
        <v>3791</v>
      </c>
      <c r="G4921" t="s">
        <v>16</v>
      </c>
      <c r="H4921">
        <v>425</v>
      </c>
      <c r="I4921">
        <v>20.271000000000001</v>
      </c>
      <c r="J4921">
        <v>35.814</v>
      </c>
      <c r="K4921">
        <v>15.544</v>
      </c>
      <c r="L4921">
        <v>405</v>
      </c>
      <c r="M4921">
        <v>4</v>
      </c>
      <c r="N4921">
        <v>16</v>
      </c>
      <c r="O4921">
        <v>35.566000000000003</v>
      </c>
      <c r="P4921">
        <v>16.280260550000001</v>
      </c>
      <c r="Q4921">
        <v>7.9729999999999999</v>
      </c>
    </row>
    <row r="4922" spans="1:17" x14ac:dyDescent="0.2">
      <c r="A4922" s="30" t="str">
        <f>IF(C4922&amp;G4922&amp;D4922&lt;&gt;'Funnel setup'!$K$3&amp;'Funnel setup'!$K$4&amp;'Funnel setup'!$K$5,".",IF(A4921=".",1,A4921+1))</f>
        <v>.</v>
      </c>
      <c r="B4922" s="431" t="str">
        <f t="shared" si="76"/>
        <v>Knee Replacement PrimaryProviderDONCASTER AND BASSETLAW HOSPITALS NHS FOUNDATION TRUST (RP5)Oxford Knee Score</v>
      </c>
      <c r="C4922" t="s">
        <v>249</v>
      </c>
      <c r="D4922" t="s">
        <v>1</v>
      </c>
      <c r="E4922" t="s">
        <v>3799</v>
      </c>
      <c r="F4922" t="s">
        <v>3800</v>
      </c>
      <c r="G4922" t="s">
        <v>16</v>
      </c>
      <c r="H4922">
        <v>347</v>
      </c>
      <c r="I4922">
        <v>18.68</v>
      </c>
      <c r="J4922">
        <v>34.012</v>
      </c>
      <c r="K4922">
        <v>15.331</v>
      </c>
      <c r="L4922">
        <v>326</v>
      </c>
      <c r="M4922">
        <v>2</v>
      </c>
      <c r="N4922">
        <v>19</v>
      </c>
      <c r="O4922">
        <v>34.783999999999999</v>
      </c>
      <c r="P4922">
        <v>15.49867815</v>
      </c>
      <c r="Q4922">
        <v>8.9369999999999994</v>
      </c>
    </row>
    <row r="4923" spans="1:17" x14ac:dyDescent="0.2">
      <c r="A4923" s="30" t="str">
        <f>IF(C4923&amp;G4923&amp;D4923&lt;&gt;'Funnel setup'!$K$3&amp;'Funnel setup'!$K$4&amp;'Funnel setup'!$K$5,".",IF(A4922=".",1,A4922+1))</f>
        <v>.</v>
      </c>
      <c r="B4923" s="431" t="str">
        <f t="shared" si="76"/>
        <v>Knee Replacement PrimaryProviderDORSET COUNTY HOSPITAL NHS FOUNDATION TRUST (RBD)Oxford Knee Score</v>
      </c>
      <c r="C4923" t="s">
        <v>249</v>
      </c>
      <c r="D4923" t="s">
        <v>1</v>
      </c>
      <c r="E4923" t="s">
        <v>3802</v>
      </c>
      <c r="F4923" t="s">
        <v>3803</v>
      </c>
      <c r="G4923" t="s">
        <v>16</v>
      </c>
      <c r="H4923">
        <v>175</v>
      </c>
      <c r="I4923">
        <v>19.977</v>
      </c>
      <c r="J4923">
        <v>35.210999999999999</v>
      </c>
      <c r="K4923">
        <v>15.234</v>
      </c>
      <c r="L4923">
        <v>162</v>
      </c>
      <c r="M4923">
        <v>4</v>
      </c>
      <c r="N4923">
        <v>9</v>
      </c>
      <c r="O4923">
        <v>34.613999999999997</v>
      </c>
      <c r="P4923">
        <v>15.32825544</v>
      </c>
      <c r="Q4923">
        <v>8.7579999999999991</v>
      </c>
    </row>
    <row r="4924" spans="1:17" x14ac:dyDescent="0.2">
      <c r="A4924" s="30" t="str">
        <f>IF(C4924&amp;G4924&amp;D4924&lt;&gt;'Funnel setup'!$K$3&amp;'Funnel setup'!$K$4&amp;'Funnel setup'!$K$5,".",IF(A4923=".",1,A4923+1))</f>
        <v>.</v>
      </c>
      <c r="B4924" s="431" t="str">
        <f t="shared" si="76"/>
        <v>Knee Replacement PrimaryProviderDUCHY HOSPITAL (NVC04)Oxford Knee Score</v>
      </c>
      <c r="C4924" t="s">
        <v>249</v>
      </c>
      <c r="D4924" t="s">
        <v>1</v>
      </c>
      <c r="E4924" t="s">
        <v>4518</v>
      </c>
      <c r="F4924" t="s">
        <v>4519</v>
      </c>
      <c r="G4924" t="s">
        <v>16</v>
      </c>
      <c r="H4924">
        <v>224</v>
      </c>
      <c r="I4924">
        <v>21.768000000000001</v>
      </c>
      <c r="J4924">
        <v>38.972999999999999</v>
      </c>
      <c r="K4924">
        <v>17.204999999999998</v>
      </c>
      <c r="L4924">
        <v>212</v>
      </c>
      <c r="M4924">
        <v>3</v>
      </c>
      <c r="N4924">
        <v>9</v>
      </c>
      <c r="O4924">
        <v>37.654000000000003</v>
      </c>
      <c r="P4924">
        <v>18.368756550000001</v>
      </c>
      <c r="Q4924">
        <v>7.399</v>
      </c>
    </row>
    <row r="4925" spans="1:17" x14ac:dyDescent="0.2">
      <c r="A4925" s="30" t="str">
        <f>IF(C4925&amp;G4925&amp;D4925&lt;&gt;'Funnel setup'!$K$3&amp;'Funnel setup'!$K$4&amp;'Funnel setup'!$K$5,".",IF(A4924=".",1,A4924+1))</f>
        <v>.</v>
      </c>
      <c r="B4925" s="431" t="str">
        <f t="shared" si="76"/>
        <v>Knee Replacement PrimaryProviderEAST AND NORTH HERTFORDSHIRE NHS TRUST (RWH)Oxford Knee Score</v>
      </c>
      <c r="C4925" t="s">
        <v>249</v>
      </c>
      <c r="D4925" t="s">
        <v>1</v>
      </c>
      <c r="E4925" t="s">
        <v>3814</v>
      </c>
      <c r="F4925" t="s">
        <v>3815</v>
      </c>
      <c r="G4925" t="s">
        <v>16</v>
      </c>
      <c r="H4925">
        <v>122</v>
      </c>
      <c r="I4925">
        <v>18.59</v>
      </c>
      <c r="J4925">
        <v>34.991999999999997</v>
      </c>
      <c r="K4925">
        <v>16.402000000000001</v>
      </c>
      <c r="L4925">
        <v>114</v>
      </c>
      <c r="M4925">
        <v>2</v>
      </c>
      <c r="N4925">
        <v>6</v>
      </c>
      <c r="O4925">
        <v>34.799999999999997</v>
      </c>
      <c r="P4925">
        <v>15.514373389999999</v>
      </c>
      <c r="Q4925">
        <v>8.7070000000000007</v>
      </c>
    </row>
    <row r="4926" spans="1:17" x14ac:dyDescent="0.2">
      <c r="A4926" s="30" t="str">
        <f>IF(C4926&amp;G4926&amp;D4926&lt;&gt;'Funnel setup'!$K$3&amp;'Funnel setup'!$K$4&amp;'Funnel setup'!$K$5,".",IF(A4925=".",1,A4925+1))</f>
        <v>.</v>
      </c>
      <c r="B4926" s="431" t="str">
        <f t="shared" si="76"/>
        <v>Knee Replacement PrimaryProviderEAST CHESHIRE NHS TRUST (RJN)Oxford Knee Score</v>
      </c>
      <c r="C4926" t="s">
        <v>249</v>
      </c>
      <c r="D4926" t="s">
        <v>1</v>
      </c>
      <c r="E4926" t="s">
        <v>3817</v>
      </c>
      <c r="F4926" t="s">
        <v>3818</v>
      </c>
      <c r="G4926" t="s">
        <v>16</v>
      </c>
      <c r="H4926">
        <v>87</v>
      </c>
      <c r="I4926">
        <v>19</v>
      </c>
      <c r="J4926">
        <v>38.448</v>
      </c>
      <c r="K4926">
        <v>19.448</v>
      </c>
      <c r="L4926">
        <v>85</v>
      </c>
      <c r="M4926">
        <v>0</v>
      </c>
      <c r="N4926">
        <v>2</v>
      </c>
      <c r="O4926">
        <v>37.645000000000003</v>
      </c>
      <c r="P4926">
        <v>18.359794879999999</v>
      </c>
      <c r="Q4926">
        <v>8.1270000000000007</v>
      </c>
    </row>
    <row r="4927" spans="1:17" x14ac:dyDescent="0.2">
      <c r="A4927" s="30" t="str">
        <f>IF(C4927&amp;G4927&amp;D4927&lt;&gt;'Funnel setup'!$K$3&amp;'Funnel setup'!$K$4&amp;'Funnel setup'!$K$5,".",IF(A4926=".",1,A4926+1))</f>
        <v>.</v>
      </c>
      <c r="B4927" s="431" t="str">
        <f t="shared" si="76"/>
        <v>Knee Replacement PrimaryProviderEAST KENT HOSPITALS UNIVERSITY NHS FOUNDATION TRUST (RVV)Oxford Knee Score</v>
      </c>
      <c r="C4927" t="s">
        <v>249</v>
      </c>
      <c r="D4927" t="s">
        <v>1</v>
      </c>
      <c r="E4927" t="s">
        <v>3820</v>
      </c>
      <c r="F4927" t="s">
        <v>3821</v>
      </c>
      <c r="G4927" t="s">
        <v>16</v>
      </c>
      <c r="H4927">
        <v>426</v>
      </c>
      <c r="I4927">
        <v>20.123999999999999</v>
      </c>
      <c r="J4927">
        <v>35.393999999999998</v>
      </c>
      <c r="K4927">
        <v>15.27</v>
      </c>
      <c r="L4927">
        <v>394</v>
      </c>
      <c r="M4927">
        <v>7</v>
      </c>
      <c r="N4927">
        <v>25</v>
      </c>
      <c r="O4927">
        <v>35.134</v>
      </c>
      <c r="P4927">
        <v>15.848718460000001</v>
      </c>
      <c r="Q4927">
        <v>8.3699999999999992</v>
      </c>
    </row>
    <row r="4928" spans="1:17" x14ac:dyDescent="0.2">
      <c r="A4928" s="30" t="str">
        <f>IF(C4928&amp;G4928&amp;D4928&lt;&gt;'Funnel setup'!$K$3&amp;'Funnel setup'!$K$4&amp;'Funnel setup'!$K$5,".",IF(A4927=".",1,A4927+1))</f>
        <v>.</v>
      </c>
      <c r="B4928" s="431" t="str">
        <f t="shared" si="76"/>
        <v>Knee Replacement PrimaryProviderEAST LANCASHIRE HOSPITALS NHS TRUST (RXR)Oxford Knee Score</v>
      </c>
      <c r="C4928" t="s">
        <v>249</v>
      </c>
      <c r="D4928" t="s">
        <v>1</v>
      </c>
      <c r="E4928" t="s">
        <v>3823</v>
      </c>
      <c r="F4928" t="s">
        <v>3824</v>
      </c>
      <c r="G4928" t="s">
        <v>16</v>
      </c>
      <c r="H4928">
        <v>166</v>
      </c>
      <c r="I4928">
        <v>17.145</v>
      </c>
      <c r="J4928">
        <v>35.03</v>
      </c>
      <c r="K4928">
        <v>17.885999999999999</v>
      </c>
      <c r="L4928">
        <v>160</v>
      </c>
      <c r="M4928">
        <v>1</v>
      </c>
      <c r="N4928">
        <v>5</v>
      </c>
      <c r="O4928">
        <v>36.962000000000003</v>
      </c>
      <c r="P4928">
        <v>17.677065030000001</v>
      </c>
      <c r="Q4928">
        <v>9.218</v>
      </c>
    </row>
    <row r="4929" spans="1:17" x14ac:dyDescent="0.2">
      <c r="A4929" s="30" t="str">
        <f>IF(C4929&amp;G4929&amp;D4929&lt;&gt;'Funnel setup'!$K$3&amp;'Funnel setup'!$K$4&amp;'Funnel setup'!$K$5,".",IF(A4928=".",1,A4928+1))</f>
        <v>.</v>
      </c>
      <c r="B4929" s="431" t="str">
        <f t="shared" si="76"/>
        <v>Knee Replacement PrimaryProviderEAST SUSSEX HEALTHCARE NHS TRUST (RXC)Oxford Knee Score</v>
      </c>
      <c r="C4929" t="s">
        <v>249</v>
      </c>
      <c r="D4929" t="s">
        <v>1</v>
      </c>
      <c r="E4929" t="s">
        <v>3826</v>
      </c>
      <c r="F4929" t="s">
        <v>3827</v>
      </c>
      <c r="G4929" t="s">
        <v>16</v>
      </c>
      <c r="H4929">
        <v>317</v>
      </c>
      <c r="I4929">
        <v>20.167000000000002</v>
      </c>
      <c r="J4929">
        <v>35.886000000000003</v>
      </c>
      <c r="K4929">
        <v>15.718999999999999</v>
      </c>
      <c r="L4929">
        <v>292</v>
      </c>
      <c r="M4929">
        <v>1</v>
      </c>
      <c r="N4929">
        <v>24</v>
      </c>
      <c r="O4929">
        <v>35.628999999999998</v>
      </c>
      <c r="P4929">
        <v>16.343814949999999</v>
      </c>
      <c r="Q4929">
        <v>8.7859999999999996</v>
      </c>
    </row>
    <row r="4930" spans="1:17" x14ac:dyDescent="0.2">
      <c r="A4930" s="30" t="str">
        <f>IF(C4930&amp;G4930&amp;D4930&lt;&gt;'Funnel setup'!$K$3&amp;'Funnel setup'!$K$4&amp;'Funnel setup'!$K$5,".",IF(A4929=".",1,A4929+1))</f>
        <v>.</v>
      </c>
      <c r="B4930" s="431" t="str">
        <f t="shared" si="76"/>
        <v>Knee Replacement PrimaryProviderEMERSONS GREEN NHS TREATMENT CENTRE (NTPH2)Oxford Knee Score</v>
      </c>
      <c r="C4930" t="s">
        <v>249</v>
      </c>
      <c r="D4930" t="s">
        <v>1</v>
      </c>
      <c r="E4930" t="s">
        <v>3829</v>
      </c>
      <c r="F4930" t="s">
        <v>3830</v>
      </c>
      <c r="G4930" t="s">
        <v>16</v>
      </c>
      <c r="H4930">
        <v>373</v>
      </c>
      <c r="I4930">
        <v>20.523</v>
      </c>
      <c r="J4930">
        <v>37.863</v>
      </c>
      <c r="K4930">
        <v>17.34</v>
      </c>
      <c r="L4930">
        <v>363</v>
      </c>
      <c r="M4930">
        <v>4</v>
      </c>
      <c r="N4930">
        <v>6</v>
      </c>
      <c r="O4930">
        <v>36.344999999999999</v>
      </c>
      <c r="P4930">
        <v>17.059800150000001</v>
      </c>
      <c r="Q4930">
        <v>6.9470000000000001</v>
      </c>
    </row>
    <row r="4931" spans="1:17" x14ac:dyDescent="0.2">
      <c r="A4931" s="30" t="str">
        <f>IF(C4931&amp;G4931&amp;D4931&lt;&gt;'Funnel setup'!$K$3&amp;'Funnel setup'!$K$4&amp;'Funnel setup'!$K$5,".",IF(A4930=".",1,A4930+1))</f>
        <v>.</v>
      </c>
      <c r="B4931" s="431" t="str">
        <f t="shared" ref="B4931:B4994" si="77">C4931&amp;D4931&amp;F4931&amp;G4931</f>
        <v>Knee Replacement PrimaryProviderEPSOM AND ST HELIER UNIVERSITY HOSPITALS NHS TRUST (RVR)Oxford Knee Score</v>
      </c>
      <c r="C4931" t="s">
        <v>249</v>
      </c>
      <c r="D4931" t="s">
        <v>1</v>
      </c>
      <c r="E4931" t="s">
        <v>3849</v>
      </c>
      <c r="F4931" t="s">
        <v>3850</v>
      </c>
      <c r="G4931" t="s">
        <v>16</v>
      </c>
      <c r="H4931">
        <v>451</v>
      </c>
      <c r="I4931">
        <v>20.152999999999999</v>
      </c>
      <c r="J4931">
        <v>34.347999999999999</v>
      </c>
      <c r="K4931">
        <v>14.195</v>
      </c>
      <c r="L4931">
        <v>414</v>
      </c>
      <c r="M4931">
        <v>5</v>
      </c>
      <c r="N4931">
        <v>32</v>
      </c>
      <c r="O4931">
        <v>33.935000000000002</v>
      </c>
      <c r="P4931">
        <v>14.649214880000001</v>
      </c>
      <c r="Q4931">
        <v>8.7219999999999995</v>
      </c>
    </row>
    <row r="4932" spans="1:17" x14ac:dyDescent="0.2">
      <c r="A4932" s="30" t="str">
        <f>IF(C4932&amp;G4932&amp;D4932&lt;&gt;'Funnel setup'!$K$3&amp;'Funnel setup'!$K$4&amp;'Funnel setup'!$K$5,".",IF(A4931=".",1,A4931+1))</f>
        <v>.</v>
      </c>
      <c r="B4932" s="431" t="str">
        <f t="shared" si="77"/>
        <v>Knee Replacement PrimaryProviderEUXTON HALL HOSPITAL (NVC05)Oxford Knee Score</v>
      </c>
      <c r="C4932" t="s">
        <v>249</v>
      </c>
      <c r="D4932" t="s">
        <v>1</v>
      </c>
      <c r="E4932" t="s">
        <v>3852</v>
      </c>
      <c r="F4932" t="s">
        <v>3853</v>
      </c>
      <c r="G4932" t="s">
        <v>16</v>
      </c>
      <c r="H4932">
        <v>94</v>
      </c>
      <c r="I4932">
        <v>21.457000000000001</v>
      </c>
      <c r="J4932">
        <v>36.564</v>
      </c>
      <c r="K4932">
        <v>15.106</v>
      </c>
      <c r="L4932">
        <v>85</v>
      </c>
      <c r="M4932">
        <v>1</v>
      </c>
      <c r="N4932">
        <v>8</v>
      </c>
      <c r="O4932">
        <v>34.93</v>
      </c>
      <c r="P4932">
        <v>15.644154410000001</v>
      </c>
      <c r="Q4932">
        <v>8.0559999999999992</v>
      </c>
    </row>
    <row r="4933" spans="1:17" x14ac:dyDescent="0.2">
      <c r="A4933" s="30" t="str">
        <f>IF(C4933&amp;G4933&amp;D4933&lt;&gt;'Funnel setup'!$K$3&amp;'Funnel setup'!$K$4&amp;'Funnel setup'!$K$5,".",IF(A4932=".",1,A4932+1))</f>
        <v>.</v>
      </c>
      <c r="B4933" s="431" t="str">
        <f t="shared" si="77"/>
        <v>Knee Replacement PrimaryProviderFAIRFIELD HOSPITAL (NVG01)Oxford Knee Score</v>
      </c>
      <c r="C4933" t="s">
        <v>249</v>
      </c>
      <c r="D4933" t="s">
        <v>1</v>
      </c>
      <c r="E4933" t="s">
        <v>3855</v>
      </c>
      <c r="F4933" t="s">
        <v>3856</v>
      </c>
      <c r="G4933" t="s">
        <v>16</v>
      </c>
      <c r="H4933">
        <v>9</v>
      </c>
      <c r="I4933">
        <v>18</v>
      </c>
      <c r="J4933">
        <v>35.555999999999997</v>
      </c>
      <c r="K4933">
        <v>17.556000000000001</v>
      </c>
      <c r="L4933">
        <v>9</v>
      </c>
      <c r="M4933">
        <v>0</v>
      </c>
      <c r="N4933">
        <v>0</v>
      </c>
      <c r="O4933" t="s">
        <v>53</v>
      </c>
      <c r="P4933" t="s">
        <v>53</v>
      </c>
      <c r="Q4933" t="s">
        <v>53</v>
      </c>
    </row>
    <row r="4934" spans="1:17" x14ac:dyDescent="0.2">
      <c r="A4934" s="30" t="str">
        <f>IF(C4934&amp;G4934&amp;D4934&lt;&gt;'Funnel setup'!$K$3&amp;'Funnel setup'!$K$4&amp;'Funnel setup'!$K$5,".",IF(A4933=".",1,A4933+1))</f>
        <v>.</v>
      </c>
      <c r="B4934" s="431" t="str">
        <f t="shared" si="77"/>
        <v>Knee Replacement PrimaryProviderFITZWILLIAM HOSPITAL (NVC06)Oxford Knee Score</v>
      </c>
      <c r="C4934" t="s">
        <v>249</v>
      </c>
      <c r="D4934" t="s">
        <v>1</v>
      </c>
      <c r="E4934" t="s">
        <v>3858</v>
      </c>
      <c r="F4934" t="s">
        <v>3859</v>
      </c>
      <c r="G4934" t="s">
        <v>16</v>
      </c>
      <c r="H4934">
        <v>145</v>
      </c>
      <c r="I4934">
        <v>21.669</v>
      </c>
      <c r="J4934">
        <v>36.4</v>
      </c>
      <c r="K4934">
        <v>14.731</v>
      </c>
      <c r="L4934">
        <v>133</v>
      </c>
      <c r="M4934">
        <v>2</v>
      </c>
      <c r="N4934">
        <v>10</v>
      </c>
      <c r="O4934">
        <v>34.9</v>
      </c>
      <c r="P4934">
        <v>15.614903959999999</v>
      </c>
      <c r="Q4934">
        <v>8.5809999999999995</v>
      </c>
    </row>
    <row r="4935" spans="1:17" x14ac:dyDescent="0.2">
      <c r="A4935" s="30" t="str">
        <f>IF(C4935&amp;G4935&amp;D4935&lt;&gt;'Funnel setup'!$K$3&amp;'Funnel setup'!$K$4&amp;'Funnel setup'!$K$5,".",IF(A4934=".",1,A4934+1))</f>
        <v>.</v>
      </c>
      <c r="B4935" s="431" t="str">
        <f t="shared" si="77"/>
        <v>Knee Replacement PrimaryProviderFOSCOTE COURT (BANBURY) TRUST LTD (AHH)Oxford Knee Score</v>
      </c>
      <c r="C4935" t="s">
        <v>249</v>
      </c>
      <c r="D4935" t="s">
        <v>1</v>
      </c>
      <c r="E4935" t="s">
        <v>3900</v>
      </c>
      <c r="F4935" t="s">
        <v>3901</v>
      </c>
      <c r="G4935" t="s">
        <v>16</v>
      </c>
      <c r="H4935" t="s">
        <v>53</v>
      </c>
      <c r="I4935" t="s">
        <v>53</v>
      </c>
      <c r="J4935" t="s">
        <v>53</v>
      </c>
      <c r="K4935" t="s">
        <v>53</v>
      </c>
      <c r="L4935" t="s">
        <v>53</v>
      </c>
      <c r="M4935" t="s">
        <v>53</v>
      </c>
      <c r="N4935" t="s">
        <v>53</v>
      </c>
      <c r="O4935" t="s">
        <v>53</v>
      </c>
      <c r="P4935" t="s">
        <v>53</v>
      </c>
      <c r="Q4935" t="s">
        <v>53</v>
      </c>
    </row>
    <row r="4936" spans="1:17" x14ac:dyDescent="0.2">
      <c r="A4936" s="30" t="str">
        <f>IF(C4936&amp;G4936&amp;D4936&lt;&gt;'Funnel setup'!$K$3&amp;'Funnel setup'!$K$4&amp;'Funnel setup'!$K$5,".",IF(A4935=".",1,A4935+1))</f>
        <v>.</v>
      </c>
      <c r="B4936" s="431" t="str">
        <f t="shared" si="77"/>
        <v>Knee Replacement PrimaryProviderFRIMLEY HEALTH NHS FOUNDATION TRUST (RDU)Oxford Knee Score</v>
      </c>
      <c r="C4936" t="s">
        <v>249</v>
      </c>
      <c r="D4936" t="s">
        <v>1</v>
      </c>
      <c r="E4936" t="s">
        <v>3861</v>
      </c>
      <c r="F4936" t="s">
        <v>3862</v>
      </c>
      <c r="G4936" t="s">
        <v>16</v>
      </c>
      <c r="H4936">
        <v>463</v>
      </c>
      <c r="I4936">
        <v>20.954999999999998</v>
      </c>
      <c r="J4936">
        <v>36.201000000000001</v>
      </c>
      <c r="K4936">
        <v>15.246</v>
      </c>
      <c r="L4936">
        <v>432</v>
      </c>
      <c r="M4936">
        <v>3</v>
      </c>
      <c r="N4936">
        <v>28</v>
      </c>
      <c r="O4936">
        <v>34.976999999999997</v>
      </c>
      <c r="P4936">
        <v>15.69148802</v>
      </c>
      <c r="Q4936">
        <v>8.0660000000000007</v>
      </c>
    </row>
    <row r="4937" spans="1:17" x14ac:dyDescent="0.2">
      <c r="A4937" s="30" t="str">
        <f>IF(C4937&amp;G4937&amp;D4937&lt;&gt;'Funnel setup'!$K$3&amp;'Funnel setup'!$K$4&amp;'Funnel setup'!$K$5,".",IF(A4936=".",1,A4936+1))</f>
        <v>.</v>
      </c>
      <c r="B4937" s="431" t="str">
        <f t="shared" si="77"/>
        <v>Knee Replacement PrimaryProviderFULWOOD HALL HOSPITAL (NVC07)Oxford Knee Score</v>
      </c>
      <c r="C4937" t="s">
        <v>249</v>
      </c>
      <c r="D4937" t="s">
        <v>1</v>
      </c>
      <c r="E4937" t="s">
        <v>3864</v>
      </c>
      <c r="F4937" t="s">
        <v>3865</v>
      </c>
      <c r="G4937" t="s">
        <v>16</v>
      </c>
      <c r="H4937">
        <v>216</v>
      </c>
      <c r="I4937">
        <v>21.481000000000002</v>
      </c>
      <c r="J4937">
        <v>36.435000000000002</v>
      </c>
      <c r="K4937">
        <v>14.954000000000001</v>
      </c>
      <c r="L4937">
        <v>205</v>
      </c>
      <c r="M4937">
        <v>2</v>
      </c>
      <c r="N4937">
        <v>9</v>
      </c>
      <c r="O4937">
        <v>35.271000000000001</v>
      </c>
      <c r="P4937">
        <v>15.98539012</v>
      </c>
      <c r="Q4937">
        <v>7.8339999999999996</v>
      </c>
    </row>
    <row r="4938" spans="1:17" x14ac:dyDescent="0.2">
      <c r="A4938" s="30" t="str">
        <f>IF(C4938&amp;G4938&amp;D4938&lt;&gt;'Funnel setup'!$K$3&amp;'Funnel setup'!$K$4&amp;'Funnel setup'!$K$5,".",IF(A4937=".",1,A4937+1))</f>
        <v>.</v>
      </c>
      <c r="B4938" s="431" t="str">
        <f t="shared" si="77"/>
        <v>Knee Replacement PrimaryProviderGATESHEAD HEALTH NHS FOUNDATION TRUST (RR7)Oxford Knee Score</v>
      </c>
      <c r="C4938" t="s">
        <v>249</v>
      </c>
      <c r="D4938" t="s">
        <v>1</v>
      </c>
      <c r="E4938" t="s">
        <v>3867</v>
      </c>
      <c r="F4938" t="s">
        <v>3868</v>
      </c>
      <c r="G4938" t="s">
        <v>16</v>
      </c>
      <c r="H4938">
        <v>275</v>
      </c>
      <c r="I4938">
        <v>18.309000000000001</v>
      </c>
      <c r="J4938">
        <v>33.615000000000002</v>
      </c>
      <c r="K4938">
        <v>15.305</v>
      </c>
      <c r="L4938">
        <v>255</v>
      </c>
      <c r="M4938">
        <v>5</v>
      </c>
      <c r="N4938">
        <v>15</v>
      </c>
      <c r="O4938">
        <v>34.253</v>
      </c>
      <c r="P4938">
        <v>14.967414</v>
      </c>
      <c r="Q4938">
        <v>8.8520000000000003</v>
      </c>
    </row>
    <row r="4939" spans="1:17" x14ac:dyDescent="0.2">
      <c r="A4939" s="30" t="str">
        <f>IF(C4939&amp;G4939&amp;D4939&lt;&gt;'Funnel setup'!$K$3&amp;'Funnel setup'!$K$4&amp;'Funnel setup'!$K$5,".",IF(A4938=".",1,A4938+1))</f>
        <v>.</v>
      </c>
      <c r="B4939" s="431" t="str">
        <f t="shared" si="77"/>
        <v>Knee Replacement PrimaryProviderGEORGE ELIOT HOSPITAL NHS TRUST (RLT)Oxford Knee Score</v>
      </c>
      <c r="C4939" t="s">
        <v>249</v>
      </c>
      <c r="D4939" t="s">
        <v>1</v>
      </c>
      <c r="E4939" t="s">
        <v>3870</v>
      </c>
      <c r="F4939" t="s">
        <v>3871</v>
      </c>
      <c r="G4939" t="s">
        <v>16</v>
      </c>
      <c r="H4939">
        <v>54</v>
      </c>
      <c r="I4939">
        <v>16.888999999999999</v>
      </c>
      <c r="J4939">
        <v>32.759</v>
      </c>
      <c r="K4939">
        <v>15.87</v>
      </c>
      <c r="L4939">
        <v>52</v>
      </c>
      <c r="M4939">
        <v>1</v>
      </c>
      <c r="N4939">
        <v>1</v>
      </c>
      <c r="O4939">
        <v>34.332999999999998</v>
      </c>
      <c r="P4939">
        <v>15.04719126</v>
      </c>
      <c r="Q4939">
        <v>8.3450000000000006</v>
      </c>
    </row>
    <row r="4940" spans="1:17" x14ac:dyDescent="0.2">
      <c r="A4940" s="30" t="str">
        <f>IF(C4940&amp;G4940&amp;D4940&lt;&gt;'Funnel setup'!$K$3&amp;'Funnel setup'!$K$4&amp;'Funnel setup'!$K$5,".",IF(A4939=".",1,A4939+1))</f>
        <v>.</v>
      </c>
      <c r="B4940" s="431" t="str">
        <f t="shared" si="77"/>
        <v>Knee Replacement PrimaryProviderGLOUCESTERSHIRE HOSPITALS NHS FOUNDATION TRUST (RTE)Oxford Knee Score</v>
      </c>
      <c r="C4940" t="s">
        <v>249</v>
      </c>
      <c r="D4940" t="s">
        <v>1</v>
      </c>
      <c r="E4940" t="s">
        <v>3873</v>
      </c>
      <c r="F4940" t="s">
        <v>3874</v>
      </c>
      <c r="G4940" t="s">
        <v>16</v>
      </c>
      <c r="H4940">
        <v>343</v>
      </c>
      <c r="I4940">
        <v>20.821999999999999</v>
      </c>
      <c r="J4940">
        <v>37.067</v>
      </c>
      <c r="K4940">
        <v>16.245000000000001</v>
      </c>
      <c r="L4940">
        <v>327</v>
      </c>
      <c r="M4940">
        <v>3</v>
      </c>
      <c r="N4940">
        <v>13</v>
      </c>
      <c r="O4940">
        <v>35.695</v>
      </c>
      <c r="P4940">
        <v>16.409150619999998</v>
      </c>
      <c r="Q4940">
        <v>7.5069999999999997</v>
      </c>
    </row>
    <row r="4941" spans="1:17" x14ac:dyDescent="0.2">
      <c r="A4941" s="30" t="str">
        <f>IF(C4941&amp;G4941&amp;D4941&lt;&gt;'Funnel setup'!$K$3&amp;'Funnel setup'!$K$4&amp;'Funnel setup'!$K$5,".",IF(A4940=".",1,A4940+1))</f>
        <v>.</v>
      </c>
      <c r="B4941" s="431" t="str">
        <f t="shared" si="77"/>
        <v>Knee Replacement PrimaryProviderGREAT WESTERN HOSPITALS NHS FOUNDATION TRUST (RN3)Oxford Knee Score</v>
      </c>
      <c r="C4941" t="s">
        <v>249</v>
      </c>
      <c r="D4941" t="s">
        <v>1</v>
      </c>
      <c r="E4941" t="s">
        <v>3876</v>
      </c>
      <c r="F4941" t="s">
        <v>3877</v>
      </c>
      <c r="G4941" t="s">
        <v>16</v>
      </c>
      <c r="H4941">
        <v>216</v>
      </c>
      <c r="I4941">
        <v>18.559999999999999</v>
      </c>
      <c r="J4941">
        <v>36.082999999999998</v>
      </c>
      <c r="K4941">
        <v>17.523</v>
      </c>
      <c r="L4941">
        <v>204</v>
      </c>
      <c r="M4941">
        <v>3</v>
      </c>
      <c r="N4941">
        <v>9</v>
      </c>
      <c r="O4941">
        <v>35.94</v>
      </c>
      <c r="P4941">
        <v>16.654835030000001</v>
      </c>
      <c r="Q4941">
        <v>8.4469999999999992</v>
      </c>
    </row>
    <row r="4942" spans="1:17" x14ac:dyDescent="0.2">
      <c r="A4942" s="30" t="str">
        <f>IF(C4942&amp;G4942&amp;D4942&lt;&gt;'Funnel setup'!$K$3&amp;'Funnel setup'!$K$4&amp;'Funnel setup'!$K$5,".",IF(A4941=".",1,A4941+1))</f>
        <v>.</v>
      </c>
      <c r="B4942" s="431" t="str">
        <f t="shared" si="77"/>
        <v>Knee Replacement PrimaryProviderGUY'S AND ST THOMAS' NHS FOUNDATION TRUST (RJ1)Oxford Knee Score</v>
      </c>
      <c r="C4942" t="s">
        <v>249</v>
      </c>
      <c r="D4942" t="s">
        <v>1</v>
      </c>
      <c r="E4942" t="s">
        <v>3879</v>
      </c>
      <c r="F4942" t="s">
        <v>3880</v>
      </c>
      <c r="G4942" t="s">
        <v>16</v>
      </c>
      <c r="H4942">
        <v>106</v>
      </c>
      <c r="I4942">
        <v>15.991</v>
      </c>
      <c r="J4942">
        <v>31.132000000000001</v>
      </c>
      <c r="K4942">
        <v>15.141999999999999</v>
      </c>
      <c r="L4942">
        <v>97</v>
      </c>
      <c r="M4942">
        <v>1</v>
      </c>
      <c r="N4942">
        <v>8</v>
      </c>
      <c r="O4942">
        <v>33.914999999999999</v>
      </c>
      <c r="P4942">
        <v>14.630013419999999</v>
      </c>
      <c r="Q4942">
        <v>9.5139999999999993</v>
      </c>
    </row>
    <row r="4943" spans="1:17" x14ac:dyDescent="0.2">
      <c r="A4943" s="30" t="str">
        <f>IF(C4943&amp;G4943&amp;D4943&lt;&gt;'Funnel setup'!$K$3&amp;'Funnel setup'!$K$4&amp;'Funnel setup'!$K$5,".",IF(A4942=".",1,A4942+1))</f>
        <v>.</v>
      </c>
      <c r="B4943" s="431" t="str">
        <f t="shared" si="77"/>
        <v>Knee Replacement PrimaryProviderHAMPSHIRE HOSPITALS NHS FOUNDATION TRUST (RN5)Oxford Knee Score</v>
      </c>
      <c r="C4943" t="s">
        <v>249</v>
      </c>
      <c r="D4943" t="s">
        <v>1</v>
      </c>
      <c r="E4943" t="s">
        <v>3882</v>
      </c>
      <c r="F4943" t="s">
        <v>3883</v>
      </c>
      <c r="G4943" t="s">
        <v>16</v>
      </c>
      <c r="H4943">
        <v>282</v>
      </c>
      <c r="I4943">
        <v>20.914999999999999</v>
      </c>
      <c r="J4943">
        <v>36.729999999999997</v>
      </c>
      <c r="K4943">
        <v>15.816000000000001</v>
      </c>
      <c r="L4943">
        <v>266</v>
      </c>
      <c r="M4943">
        <v>1</v>
      </c>
      <c r="N4943">
        <v>15</v>
      </c>
      <c r="O4943">
        <v>35.57</v>
      </c>
      <c r="P4943">
        <v>16.284560840000001</v>
      </c>
      <c r="Q4943">
        <v>7.609</v>
      </c>
    </row>
    <row r="4944" spans="1:17" x14ac:dyDescent="0.2">
      <c r="A4944" s="30" t="str">
        <f>IF(C4944&amp;G4944&amp;D4944&lt;&gt;'Funnel setup'!$K$3&amp;'Funnel setup'!$K$4&amp;'Funnel setup'!$K$5,".",IF(A4943=".",1,A4943+1))</f>
        <v>.</v>
      </c>
      <c r="B4944" s="431" t="str">
        <f t="shared" si="77"/>
        <v>Knee Replacement PrimaryProviderHARROGATE AND DISTRICT NHS FOUNDATION TRUST (RCD)Oxford Knee Score</v>
      </c>
      <c r="C4944" t="s">
        <v>249</v>
      </c>
      <c r="D4944" t="s">
        <v>1</v>
      </c>
      <c r="E4944" t="s">
        <v>3885</v>
      </c>
      <c r="F4944" t="s">
        <v>3886</v>
      </c>
      <c r="G4944" t="s">
        <v>16</v>
      </c>
      <c r="H4944">
        <v>230</v>
      </c>
      <c r="I4944">
        <v>22.338999999999999</v>
      </c>
      <c r="J4944">
        <v>37.412999999999997</v>
      </c>
      <c r="K4944">
        <v>15.074</v>
      </c>
      <c r="L4944">
        <v>215</v>
      </c>
      <c r="M4944">
        <v>3</v>
      </c>
      <c r="N4944">
        <v>12</v>
      </c>
      <c r="O4944">
        <v>35.537999999999997</v>
      </c>
      <c r="P4944">
        <v>16.25245877</v>
      </c>
      <c r="Q4944">
        <v>7.6660000000000004</v>
      </c>
    </row>
    <row r="4945" spans="1:17" x14ac:dyDescent="0.2">
      <c r="A4945" s="30" t="str">
        <f>IF(C4945&amp;G4945&amp;D4945&lt;&gt;'Funnel setup'!$K$3&amp;'Funnel setup'!$K$4&amp;'Funnel setup'!$K$5,".",IF(A4944=".",1,A4944+1))</f>
        <v>.</v>
      </c>
      <c r="B4945" s="431" t="str">
        <f t="shared" si="77"/>
        <v>Knee Replacement PrimaryProviderHEART OF ENGLAND NHS FOUNDATION TRUST (RR1)Oxford Knee Score</v>
      </c>
      <c r="C4945" t="s">
        <v>249</v>
      </c>
      <c r="D4945" t="s">
        <v>1</v>
      </c>
      <c r="E4945" t="s">
        <v>3888</v>
      </c>
      <c r="F4945" t="s">
        <v>3889</v>
      </c>
      <c r="G4945" t="s">
        <v>16</v>
      </c>
      <c r="H4945">
        <v>513</v>
      </c>
      <c r="I4945">
        <v>18.361000000000001</v>
      </c>
      <c r="J4945">
        <v>33.212000000000003</v>
      </c>
      <c r="K4945">
        <v>14.852</v>
      </c>
      <c r="L4945">
        <v>467</v>
      </c>
      <c r="M4945">
        <v>5</v>
      </c>
      <c r="N4945">
        <v>41</v>
      </c>
      <c r="O4945">
        <v>34.360999999999997</v>
      </c>
      <c r="P4945">
        <v>15.07564449</v>
      </c>
      <c r="Q4945">
        <v>9.3230000000000004</v>
      </c>
    </row>
    <row r="4946" spans="1:17" x14ac:dyDescent="0.2">
      <c r="A4946" s="30" t="str">
        <f>IF(C4946&amp;G4946&amp;D4946&lt;&gt;'Funnel setup'!$K$3&amp;'Funnel setup'!$K$4&amp;'Funnel setup'!$K$5,".",IF(A4945=".",1,A4945+1))</f>
        <v>.</v>
      </c>
      <c r="B4946" s="431" t="str">
        <f t="shared" si="77"/>
        <v>Knee Replacement PrimaryProviderHINCHINGBROOKE HEALTH CARE NHS TRUST (RQQ)Oxford Knee Score</v>
      </c>
      <c r="C4946" t="s">
        <v>249</v>
      </c>
      <c r="D4946" t="s">
        <v>1</v>
      </c>
      <c r="E4946" t="s">
        <v>3894</v>
      </c>
      <c r="F4946" t="s">
        <v>3895</v>
      </c>
      <c r="G4946" t="s">
        <v>16</v>
      </c>
      <c r="H4946">
        <v>201</v>
      </c>
      <c r="I4946">
        <v>18.347999999999999</v>
      </c>
      <c r="J4946">
        <v>36.228999999999999</v>
      </c>
      <c r="K4946">
        <v>17.881</v>
      </c>
      <c r="L4946">
        <v>199</v>
      </c>
      <c r="M4946">
        <v>0</v>
      </c>
      <c r="N4946">
        <v>2</v>
      </c>
      <c r="O4946">
        <v>36.18</v>
      </c>
      <c r="P4946">
        <v>16.894539940000001</v>
      </c>
      <c r="Q4946">
        <v>8.1210000000000004</v>
      </c>
    </row>
    <row r="4947" spans="1:17" x14ac:dyDescent="0.2">
      <c r="A4947" s="30" t="str">
        <f>IF(C4947&amp;G4947&amp;D4947&lt;&gt;'Funnel setup'!$K$3&amp;'Funnel setup'!$K$4&amp;'Funnel setup'!$K$5,".",IF(A4946=".",1,A4946+1))</f>
        <v>.</v>
      </c>
      <c r="B4947" s="431" t="str">
        <f t="shared" si="77"/>
        <v>Knee Replacement PrimaryProviderHOMERTON UNIVERSITY HOSPITAL NHS FOUNDATION TRUST (RQX)Oxford Knee Score</v>
      </c>
      <c r="C4947" t="s">
        <v>249</v>
      </c>
      <c r="D4947" t="s">
        <v>1</v>
      </c>
      <c r="E4947" t="s">
        <v>3897</v>
      </c>
      <c r="F4947" t="s">
        <v>3898</v>
      </c>
      <c r="G4947" t="s">
        <v>16</v>
      </c>
      <c r="H4947">
        <v>56</v>
      </c>
      <c r="I4947">
        <v>18.161000000000001</v>
      </c>
      <c r="J4947">
        <v>26.481999999999999</v>
      </c>
      <c r="K4947">
        <v>8.3209999999999997</v>
      </c>
      <c r="L4947">
        <v>44</v>
      </c>
      <c r="M4947">
        <v>0</v>
      </c>
      <c r="N4947">
        <v>12</v>
      </c>
      <c r="O4947">
        <v>30.439</v>
      </c>
      <c r="P4947">
        <v>11.153471639999999</v>
      </c>
      <c r="Q4947">
        <v>7.9269999999999996</v>
      </c>
    </row>
    <row r="4948" spans="1:17" x14ac:dyDescent="0.2">
      <c r="A4948" s="30" t="str">
        <f>IF(C4948&amp;G4948&amp;D4948&lt;&gt;'Funnel setup'!$K$3&amp;'Funnel setup'!$K$4&amp;'Funnel setup'!$K$5,".",IF(A4947=".",1,A4947+1))</f>
        <v>.</v>
      </c>
      <c r="B4948" s="431" t="str">
        <f t="shared" si="77"/>
        <v>Knee Replacement PrimaryProviderHORTON NHS TREATMENT CENTRE (NVC25)Oxford Knee Score</v>
      </c>
      <c r="C4948" t="s">
        <v>249</v>
      </c>
      <c r="D4948" t="s">
        <v>1</v>
      </c>
      <c r="E4948" t="s">
        <v>4553</v>
      </c>
      <c r="F4948" t="s">
        <v>4554</v>
      </c>
      <c r="G4948" t="s">
        <v>16</v>
      </c>
      <c r="H4948">
        <v>158</v>
      </c>
      <c r="I4948">
        <v>20.576000000000001</v>
      </c>
      <c r="J4948">
        <v>37.658000000000001</v>
      </c>
      <c r="K4948">
        <v>17.082000000000001</v>
      </c>
      <c r="L4948">
        <v>150</v>
      </c>
      <c r="M4948">
        <v>4</v>
      </c>
      <c r="N4948">
        <v>4</v>
      </c>
      <c r="O4948">
        <v>35.951999999999998</v>
      </c>
      <c r="P4948">
        <v>16.666644479999999</v>
      </c>
      <c r="Q4948">
        <v>7.8680000000000003</v>
      </c>
    </row>
    <row r="4949" spans="1:17" x14ac:dyDescent="0.2">
      <c r="A4949" s="30" t="str">
        <f>IF(C4949&amp;G4949&amp;D4949&lt;&gt;'Funnel setup'!$K$3&amp;'Funnel setup'!$K$4&amp;'Funnel setup'!$K$5,".",IF(A4948=".",1,A4948+1))</f>
        <v>.</v>
      </c>
      <c r="B4949" s="431" t="str">
        <f t="shared" si="77"/>
        <v>Knee Replacement PrimaryProviderHULL AND EAST YORKSHIRE HOSPITALS NHS TRUST (RWA)Oxford Knee Score</v>
      </c>
      <c r="C4949" t="s">
        <v>249</v>
      </c>
      <c r="D4949" t="s">
        <v>1</v>
      </c>
      <c r="E4949" t="s">
        <v>3906</v>
      </c>
      <c r="F4949" t="s">
        <v>3907</v>
      </c>
      <c r="G4949" t="s">
        <v>16</v>
      </c>
      <c r="H4949">
        <v>299</v>
      </c>
      <c r="I4949">
        <v>18.885999999999999</v>
      </c>
      <c r="J4949">
        <v>34.508000000000003</v>
      </c>
      <c r="K4949">
        <v>15.622</v>
      </c>
      <c r="L4949">
        <v>274</v>
      </c>
      <c r="M4949">
        <v>4</v>
      </c>
      <c r="N4949">
        <v>21</v>
      </c>
      <c r="O4949">
        <v>34.966999999999999</v>
      </c>
      <c r="P4949">
        <v>15.681863460000001</v>
      </c>
      <c r="Q4949">
        <v>8.9</v>
      </c>
    </row>
    <row r="4950" spans="1:17" x14ac:dyDescent="0.2">
      <c r="A4950" s="30" t="str">
        <f>IF(C4950&amp;G4950&amp;D4950&lt;&gt;'Funnel setup'!$K$3&amp;'Funnel setup'!$K$4&amp;'Funnel setup'!$K$5,".",IF(A4949=".",1,A4949+1))</f>
        <v>.</v>
      </c>
      <c r="B4950" s="431" t="str">
        <f t="shared" si="77"/>
        <v>Knee Replacement PrimaryProviderIMPERIAL COLLEGE HEALTHCARE NHS TRUST (RYJ)Oxford Knee Score</v>
      </c>
      <c r="C4950" t="s">
        <v>249</v>
      </c>
      <c r="D4950" t="s">
        <v>1</v>
      </c>
      <c r="E4950" t="s">
        <v>4558</v>
      </c>
      <c r="F4950" t="s">
        <v>4559</v>
      </c>
      <c r="G4950" t="s">
        <v>16</v>
      </c>
      <c r="H4950">
        <v>70</v>
      </c>
      <c r="I4950">
        <v>16.457000000000001</v>
      </c>
      <c r="J4950">
        <v>31.271000000000001</v>
      </c>
      <c r="K4950">
        <v>14.814</v>
      </c>
      <c r="L4950">
        <v>63</v>
      </c>
      <c r="M4950">
        <v>2</v>
      </c>
      <c r="N4950">
        <v>5</v>
      </c>
      <c r="O4950">
        <v>34.466000000000001</v>
      </c>
      <c r="P4950">
        <v>15.180853369999999</v>
      </c>
      <c r="Q4950">
        <v>10.754</v>
      </c>
    </row>
    <row r="4951" spans="1:17" x14ac:dyDescent="0.2">
      <c r="A4951" s="30" t="str">
        <f>IF(C4951&amp;G4951&amp;D4951&lt;&gt;'Funnel setup'!$K$3&amp;'Funnel setup'!$K$4&amp;'Funnel setup'!$K$5,".",IF(A4950=".",1,A4950+1))</f>
        <v>.</v>
      </c>
      <c r="B4951" s="431" t="str">
        <f t="shared" si="77"/>
        <v>Knee Replacement PrimaryProviderIPSWICH HOSPITAL NHS TRUST (RGQ)Oxford Knee Score</v>
      </c>
      <c r="C4951" t="s">
        <v>249</v>
      </c>
      <c r="D4951" t="s">
        <v>1</v>
      </c>
      <c r="E4951" t="s">
        <v>3909</v>
      </c>
      <c r="F4951" t="s">
        <v>3910</v>
      </c>
      <c r="G4951" t="s">
        <v>16</v>
      </c>
      <c r="H4951">
        <v>114</v>
      </c>
      <c r="I4951">
        <v>18.736999999999998</v>
      </c>
      <c r="J4951">
        <v>38.228000000000002</v>
      </c>
      <c r="K4951">
        <v>19.491</v>
      </c>
      <c r="L4951">
        <v>110</v>
      </c>
      <c r="M4951">
        <v>2</v>
      </c>
      <c r="N4951">
        <v>2</v>
      </c>
      <c r="O4951">
        <v>37.652000000000001</v>
      </c>
      <c r="P4951">
        <v>18.3661931</v>
      </c>
      <c r="Q4951">
        <v>7.4669999999999996</v>
      </c>
    </row>
    <row r="4952" spans="1:17" x14ac:dyDescent="0.2">
      <c r="A4952" s="30" t="str">
        <f>IF(C4952&amp;G4952&amp;D4952&lt;&gt;'Funnel setup'!$K$3&amp;'Funnel setup'!$K$4&amp;'Funnel setup'!$K$5,".",IF(A4951=".",1,A4951+1))</f>
        <v>.</v>
      </c>
      <c r="B4952" s="431" t="str">
        <f t="shared" si="77"/>
        <v>Knee Replacement PrimaryProviderISLE OF WIGHT NHS TRUST (R1F)Oxford Knee Score</v>
      </c>
      <c r="C4952" t="s">
        <v>249</v>
      </c>
      <c r="D4952" t="s">
        <v>1</v>
      </c>
      <c r="E4952" t="s">
        <v>3912</v>
      </c>
      <c r="F4952" t="s">
        <v>3913</v>
      </c>
      <c r="G4952" t="s">
        <v>16</v>
      </c>
      <c r="H4952">
        <v>95</v>
      </c>
      <c r="I4952">
        <v>18.673999999999999</v>
      </c>
      <c r="J4952">
        <v>35.031999999999996</v>
      </c>
      <c r="K4952">
        <v>16.358000000000001</v>
      </c>
      <c r="L4952">
        <v>91</v>
      </c>
      <c r="M4952">
        <v>0</v>
      </c>
      <c r="N4952">
        <v>4</v>
      </c>
      <c r="O4952">
        <v>35.472000000000001</v>
      </c>
      <c r="P4952">
        <v>16.186384910000001</v>
      </c>
      <c r="Q4952">
        <v>8.8469999999999995</v>
      </c>
    </row>
    <row r="4953" spans="1:17" x14ac:dyDescent="0.2">
      <c r="A4953" s="30" t="str">
        <f>IF(C4953&amp;G4953&amp;D4953&lt;&gt;'Funnel setup'!$K$3&amp;'Funnel setup'!$K$4&amp;'Funnel setup'!$K$5,".",IF(A4952=".",1,A4952+1))</f>
        <v>.</v>
      </c>
      <c r="B4953" s="431" t="str">
        <f t="shared" si="77"/>
        <v>Knee Replacement PrimaryProviderJAMES PAGET UNIVERSITY HOSPITALS NHS FOUNDATION TRUST (RGP)Oxford Knee Score</v>
      </c>
      <c r="C4953" t="s">
        <v>249</v>
      </c>
      <c r="D4953" t="s">
        <v>1</v>
      </c>
      <c r="E4953" t="s">
        <v>3915</v>
      </c>
      <c r="F4953" t="s">
        <v>3916</v>
      </c>
      <c r="G4953" t="s">
        <v>16</v>
      </c>
      <c r="H4953">
        <v>163</v>
      </c>
      <c r="I4953">
        <v>19.387</v>
      </c>
      <c r="J4953">
        <v>34.840000000000003</v>
      </c>
      <c r="K4953">
        <v>15.454000000000001</v>
      </c>
      <c r="L4953">
        <v>153</v>
      </c>
      <c r="M4953">
        <v>5</v>
      </c>
      <c r="N4953">
        <v>5</v>
      </c>
      <c r="O4953">
        <v>35.097000000000001</v>
      </c>
      <c r="P4953">
        <v>15.81141858</v>
      </c>
      <c r="Q4953">
        <v>8.0839999999999996</v>
      </c>
    </row>
    <row r="4954" spans="1:17" x14ac:dyDescent="0.2">
      <c r="A4954" s="30" t="str">
        <f>IF(C4954&amp;G4954&amp;D4954&lt;&gt;'Funnel setup'!$K$3&amp;'Funnel setup'!$K$4&amp;'Funnel setup'!$K$5,".",IF(A4953=".",1,A4953+1))</f>
        <v>.</v>
      </c>
      <c r="B4954" s="431" t="str">
        <f t="shared" si="77"/>
        <v>Knee Replacement PrimaryProviderKETTERING GENERAL HOSPITAL NHS FOUNDATION TRUST (RNQ)Oxford Knee Score</v>
      </c>
      <c r="C4954" t="s">
        <v>249</v>
      </c>
      <c r="D4954" t="s">
        <v>1</v>
      </c>
      <c r="E4954" t="s">
        <v>3918</v>
      </c>
      <c r="F4954" t="s">
        <v>3919</v>
      </c>
      <c r="G4954" t="s">
        <v>16</v>
      </c>
      <c r="H4954">
        <v>95</v>
      </c>
      <c r="I4954">
        <v>17.968</v>
      </c>
      <c r="J4954">
        <v>35.832000000000001</v>
      </c>
      <c r="K4954">
        <v>17.863</v>
      </c>
      <c r="L4954">
        <v>92</v>
      </c>
      <c r="M4954">
        <v>1</v>
      </c>
      <c r="N4954">
        <v>2</v>
      </c>
      <c r="O4954">
        <v>36.978999999999999</v>
      </c>
      <c r="P4954">
        <v>17.694076819999999</v>
      </c>
      <c r="Q4954">
        <v>8.1999999999999993</v>
      </c>
    </row>
    <row r="4955" spans="1:17" x14ac:dyDescent="0.2">
      <c r="A4955" s="30" t="str">
        <f>IF(C4955&amp;G4955&amp;D4955&lt;&gt;'Funnel setup'!$K$3&amp;'Funnel setup'!$K$4&amp;'Funnel setup'!$K$5,".",IF(A4954=".",1,A4954+1))</f>
        <v>.</v>
      </c>
      <c r="B4955" s="431" t="str">
        <f t="shared" si="77"/>
        <v>Knee Replacement PrimaryProviderKING'S COLLEGE HOSPITAL NHS FOUNDATION TRUST (RJZ)Oxford Knee Score</v>
      </c>
      <c r="C4955" t="s">
        <v>249</v>
      </c>
      <c r="D4955" t="s">
        <v>1</v>
      </c>
      <c r="E4955" t="s">
        <v>3924</v>
      </c>
      <c r="F4955" t="s">
        <v>3925</v>
      </c>
      <c r="G4955" t="s">
        <v>16</v>
      </c>
      <c r="H4955">
        <v>149</v>
      </c>
      <c r="I4955">
        <v>18.120999999999999</v>
      </c>
      <c r="J4955">
        <v>33.771999999999998</v>
      </c>
      <c r="K4955">
        <v>15.651</v>
      </c>
      <c r="L4955">
        <v>142</v>
      </c>
      <c r="M4955">
        <v>1</v>
      </c>
      <c r="N4955">
        <v>6</v>
      </c>
      <c r="O4955">
        <v>34.31</v>
      </c>
      <c r="P4955">
        <v>15.02440867</v>
      </c>
      <c r="Q4955">
        <v>9.0069999999999997</v>
      </c>
    </row>
    <row r="4956" spans="1:17" x14ac:dyDescent="0.2">
      <c r="A4956" s="30" t="str">
        <f>IF(C4956&amp;G4956&amp;D4956&lt;&gt;'Funnel setup'!$K$3&amp;'Funnel setup'!$K$4&amp;'Funnel setup'!$K$5,".",IF(A4955=".",1,A4955+1))</f>
        <v>.</v>
      </c>
      <c r="B4956" s="431" t="str">
        <f t="shared" si="77"/>
        <v>Knee Replacement PrimaryProviderLANCASHIRE TEACHING HOSPITALS NHS FOUNDATION TRUST (RXN)Oxford Knee Score</v>
      </c>
      <c r="C4956" t="s">
        <v>249</v>
      </c>
      <c r="D4956" t="s">
        <v>1</v>
      </c>
      <c r="E4956" t="s">
        <v>3567</v>
      </c>
      <c r="F4956" t="s">
        <v>3568</v>
      </c>
      <c r="G4956" t="s">
        <v>16</v>
      </c>
      <c r="H4956">
        <v>239</v>
      </c>
      <c r="I4956">
        <v>18.059000000000001</v>
      </c>
      <c r="J4956">
        <v>34.569000000000003</v>
      </c>
      <c r="K4956">
        <v>16.510000000000002</v>
      </c>
      <c r="L4956">
        <v>224</v>
      </c>
      <c r="M4956">
        <v>0</v>
      </c>
      <c r="N4956">
        <v>15</v>
      </c>
      <c r="O4956">
        <v>35.42</v>
      </c>
      <c r="P4956">
        <v>16.134973080000002</v>
      </c>
      <c r="Q4956">
        <v>9.1999999999999993</v>
      </c>
    </row>
    <row r="4957" spans="1:17" x14ac:dyDescent="0.2">
      <c r="A4957" s="30" t="str">
        <f>IF(C4957&amp;G4957&amp;D4957&lt;&gt;'Funnel setup'!$K$3&amp;'Funnel setup'!$K$4&amp;'Funnel setup'!$K$5,".",IF(A4956=".",1,A4956+1))</f>
        <v>.</v>
      </c>
      <c r="B4957" s="431" t="str">
        <f t="shared" si="77"/>
        <v>Knee Replacement PrimaryProviderLEEDS TEACHING HOSPITALS NHS TRUST (RR8)Oxford Knee Score</v>
      </c>
      <c r="C4957" t="s">
        <v>249</v>
      </c>
      <c r="D4957" t="s">
        <v>1</v>
      </c>
      <c r="E4957" t="s">
        <v>3930</v>
      </c>
      <c r="F4957" t="s">
        <v>344</v>
      </c>
      <c r="G4957" t="s">
        <v>16</v>
      </c>
      <c r="H4957">
        <v>273</v>
      </c>
      <c r="I4957">
        <v>18.788</v>
      </c>
      <c r="J4957">
        <v>35.56</v>
      </c>
      <c r="K4957">
        <v>16.773</v>
      </c>
      <c r="L4957">
        <v>260</v>
      </c>
      <c r="M4957">
        <v>3</v>
      </c>
      <c r="N4957">
        <v>10</v>
      </c>
      <c r="O4957">
        <v>36.273000000000003</v>
      </c>
      <c r="P4957">
        <v>16.987907329999999</v>
      </c>
      <c r="Q4957">
        <v>8.5090000000000003</v>
      </c>
    </row>
    <row r="4958" spans="1:17" x14ac:dyDescent="0.2">
      <c r="A4958" s="30" t="str">
        <f>IF(C4958&amp;G4958&amp;D4958&lt;&gt;'Funnel setup'!$K$3&amp;'Funnel setup'!$K$4&amp;'Funnel setup'!$K$5,".",IF(A4957=".",1,A4957+1))</f>
        <v>.</v>
      </c>
      <c r="B4958" s="431" t="str">
        <f t="shared" si="77"/>
        <v>Knee Replacement PrimaryProviderLEWISHAM AND GREENWICH NHS TRUST (RJ2)Oxford Knee Score</v>
      </c>
      <c r="C4958" t="s">
        <v>249</v>
      </c>
      <c r="D4958" t="s">
        <v>1</v>
      </c>
      <c r="E4958" t="s">
        <v>3522</v>
      </c>
      <c r="F4958" t="s">
        <v>3523</v>
      </c>
      <c r="G4958" t="s">
        <v>16</v>
      </c>
      <c r="H4958">
        <v>88</v>
      </c>
      <c r="I4958">
        <v>18.648</v>
      </c>
      <c r="J4958">
        <v>32.113999999999997</v>
      </c>
      <c r="K4958">
        <v>13.465999999999999</v>
      </c>
      <c r="L4958">
        <v>75</v>
      </c>
      <c r="M4958">
        <v>0</v>
      </c>
      <c r="N4958">
        <v>13</v>
      </c>
      <c r="O4958">
        <v>34.030999999999999</v>
      </c>
      <c r="P4958">
        <v>14.745252389999999</v>
      </c>
      <c r="Q4958">
        <v>9.4030000000000005</v>
      </c>
    </row>
    <row r="4959" spans="1:17" x14ac:dyDescent="0.2">
      <c r="A4959" s="30" t="str">
        <f>IF(C4959&amp;G4959&amp;D4959&lt;&gt;'Funnel setup'!$K$3&amp;'Funnel setup'!$K$4&amp;'Funnel setup'!$K$5,".",IF(A4958=".",1,A4958+1))</f>
        <v>.</v>
      </c>
      <c r="B4959" s="431" t="str">
        <f t="shared" si="77"/>
        <v>Knee Replacement PrimaryProviderLONDON NORTH WEST HEALTHCARE NHS TRUST (R1K)Oxford Knee Score</v>
      </c>
      <c r="C4959" t="s">
        <v>249</v>
      </c>
      <c r="D4959" t="s">
        <v>1</v>
      </c>
      <c r="E4959" t="s">
        <v>6515</v>
      </c>
      <c r="F4959" t="s">
        <v>6516</v>
      </c>
      <c r="G4959" t="s">
        <v>16</v>
      </c>
      <c r="H4959">
        <v>182</v>
      </c>
      <c r="I4959">
        <v>16.702999999999999</v>
      </c>
      <c r="J4959">
        <v>28.538</v>
      </c>
      <c r="K4959">
        <v>11.835000000000001</v>
      </c>
      <c r="L4959">
        <v>158</v>
      </c>
      <c r="M4959">
        <v>3</v>
      </c>
      <c r="N4959">
        <v>21</v>
      </c>
      <c r="O4959">
        <v>31.657</v>
      </c>
      <c r="P4959">
        <v>12.37137194</v>
      </c>
      <c r="Q4959">
        <v>9.5180000000000007</v>
      </c>
    </row>
    <row r="4960" spans="1:17" x14ac:dyDescent="0.2">
      <c r="A4960" s="30" t="str">
        <f>IF(C4960&amp;G4960&amp;D4960&lt;&gt;'Funnel setup'!$K$3&amp;'Funnel setup'!$K$4&amp;'Funnel setup'!$K$5,".",IF(A4959=".",1,A4959+1))</f>
        <v>.</v>
      </c>
      <c r="B4960" s="431" t="str">
        <f t="shared" si="77"/>
        <v>Knee Replacement PrimaryProviderLUTON AND DUNSTABLE UNIVERSITY HOSPITAL NHS FOUNDATION TRUST (RC9)Oxford Knee Score</v>
      </c>
      <c r="C4960" t="s">
        <v>249</v>
      </c>
      <c r="D4960" t="s">
        <v>1</v>
      </c>
      <c r="E4960" t="s">
        <v>3528</v>
      </c>
      <c r="F4960" t="s">
        <v>3529</v>
      </c>
      <c r="G4960" t="s">
        <v>16</v>
      </c>
      <c r="H4960">
        <v>174</v>
      </c>
      <c r="I4960">
        <v>16.805</v>
      </c>
      <c r="J4960">
        <v>33.655000000000001</v>
      </c>
      <c r="K4960">
        <v>16.850999999999999</v>
      </c>
      <c r="L4960">
        <v>167</v>
      </c>
      <c r="M4960">
        <v>3</v>
      </c>
      <c r="N4960">
        <v>4</v>
      </c>
      <c r="O4960">
        <v>35.274000000000001</v>
      </c>
      <c r="P4960">
        <v>15.989083880000001</v>
      </c>
      <c r="Q4960">
        <v>8.9160000000000004</v>
      </c>
    </row>
    <row r="4961" spans="1:17" x14ac:dyDescent="0.2">
      <c r="A4961" s="30" t="str">
        <f>IF(C4961&amp;G4961&amp;D4961&lt;&gt;'Funnel setup'!$K$3&amp;'Funnel setup'!$K$4&amp;'Funnel setup'!$K$5,".",IF(A4960=".",1,A4960+1))</f>
        <v>.</v>
      </c>
      <c r="B4961" s="431" t="str">
        <f t="shared" si="77"/>
        <v>Knee Replacement PrimaryProviderMAIDSTONE AND TUNBRIDGE WELLS NHS TRUST (RWF)Oxford Knee Score</v>
      </c>
      <c r="C4961" t="s">
        <v>249</v>
      </c>
      <c r="D4961" t="s">
        <v>1</v>
      </c>
      <c r="E4961" t="s">
        <v>3627</v>
      </c>
      <c r="F4961" t="s">
        <v>3628</v>
      </c>
      <c r="G4961" t="s">
        <v>16</v>
      </c>
      <c r="H4961">
        <v>198</v>
      </c>
      <c r="I4961">
        <v>20.731999999999999</v>
      </c>
      <c r="J4961">
        <v>37.167000000000002</v>
      </c>
      <c r="K4961">
        <v>16.434000000000001</v>
      </c>
      <c r="L4961">
        <v>188</v>
      </c>
      <c r="M4961">
        <v>3</v>
      </c>
      <c r="N4961">
        <v>7</v>
      </c>
      <c r="O4961">
        <v>35.850999999999999</v>
      </c>
      <c r="P4961">
        <v>16.565529219999998</v>
      </c>
      <c r="Q4961">
        <v>8.0570000000000004</v>
      </c>
    </row>
    <row r="4962" spans="1:17" x14ac:dyDescent="0.2">
      <c r="A4962" s="30" t="str">
        <f>IF(C4962&amp;G4962&amp;D4962&lt;&gt;'Funnel setup'!$K$3&amp;'Funnel setup'!$K$4&amp;'Funnel setup'!$K$5,".",IF(A4961=".",1,A4961+1))</f>
        <v>.</v>
      </c>
      <c r="B4962" s="431" t="str">
        <f t="shared" si="77"/>
        <v>Knee Replacement PrimaryProviderMEDWAY NHS FOUNDATION TRUST (RPA)Oxford Knee Score</v>
      </c>
      <c r="C4962" t="s">
        <v>249</v>
      </c>
      <c r="D4962" t="s">
        <v>1</v>
      </c>
      <c r="E4962" t="s">
        <v>3630</v>
      </c>
      <c r="F4962" t="s">
        <v>3631</v>
      </c>
      <c r="G4962" t="s">
        <v>16</v>
      </c>
      <c r="H4962">
        <v>140</v>
      </c>
      <c r="I4962">
        <v>16.850000000000001</v>
      </c>
      <c r="J4962">
        <v>33.820999999999998</v>
      </c>
      <c r="K4962">
        <v>16.971</v>
      </c>
      <c r="L4962">
        <v>128</v>
      </c>
      <c r="M4962">
        <v>2</v>
      </c>
      <c r="N4962">
        <v>10</v>
      </c>
      <c r="O4962">
        <v>35.305999999999997</v>
      </c>
      <c r="P4962">
        <v>16.02047872</v>
      </c>
      <c r="Q4962">
        <v>9.4890000000000008</v>
      </c>
    </row>
    <row r="4963" spans="1:17" x14ac:dyDescent="0.2">
      <c r="A4963" s="30" t="str">
        <f>IF(C4963&amp;G4963&amp;D4963&lt;&gt;'Funnel setup'!$K$3&amp;'Funnel setup'!$K$4&amp;'Funnel setup'!$K$5,".",IF(A4962=".",1,A4962+1))</f>
        <v>.</v>
      </c>
      <c r="B4963" s="431" t="str">
        <f t="shared" si="77"/>
        <v>Knee Replacement PrimaryProviderMID CHESHIRE HOSPITALS NHS FOUNDATION TRUST (RBT)Oxford Knee Score</v>
      </c>
      <c r="C4963" t="s">
        <v>249</v>
      </c>
      <c r="D4963" t="s">
        <v>1</v>
      </c>
      <c r="E4963" t="s">
        <v>3633</v>
      </c>
      <c r="F4963" t="s">
        <v>342</v>
      </c>
      <c r="G4963" t="s">
        <v>16</v>
      </c>
      <c r="H4963">
        <v>161</v>
      </c>
      <c r="I4963">
        <v>22.05</v>
      </c>
      <c r="J4963">
        <v>36.075000000000003</v>
      </c>
      <c r="K4963">
        <v>14.025</v>
      </c>
      <c r="L4963">
        <v>141</v>
      </c>
      <c r="M4963">
        <v>2</v>
      </c>
      <c r="N4963">
        <v>18</v>
      </c>
      <c r="O4963">
        <v>34.148000000000003</v>
      </c>
      <c r="P4963">
        <v>14.862264400000001</v>
      </c>
      <c r="Q4963">
        <v>8.3620000000000001</v>
      </c>
    </row>
    <row r="4964" spans="1:17" x14ac:dyDescent="0.2">
      <c r="A4964" s="30" t="str">
        <f>IF(C4964&amp;G4964&amp;D4964&lt;&gt;'Funnel setup'!$K$3&amp;'Funnel setup'!$K$4&amp;'Funnel setup'!$K$5,".",IF(A4963=".",1,A4963+1))</f>
        <v>.</v>
      </c>
      <c r="B4964" s="431" t="str">
        <f t="shared" si="77"/>
        <v>Knee Replacement PrimaryProviderMID ESSEX HOSPITAL SERVICES NHS TRUST (RQ8)Oxford Knee Score</v>
      </c>
      <c r="C4964" t="s">
        <v>249</v>
      </c>
      <c r="D4964" t="s">
        <v>1</v>
      </c>
      <c r="E4964" t="s">
        <v>3635</v>
      </c>
      <c r="F4964" t="s">
        <v>3636</v>
      </c>
      <c r="G4964" t="s">
        <v>16</v>
      </c>
      <c r="H4964">
        <v>179</v>
      </c>
      <c r="I4964">
        <v>15.872</v>
      </c>
      <c r="J4964">
        <v>34.725999999999999</v>
      </c>
      <c r="K4964">
        <v>18.855</v>
      </c>
      <c r="L4964">
        <v>173</v>
      </c>
      <c r="M4964">
        <v>2</v>
      </c>
      <c r="N4964">
        <v>4</v>
      </c>
      <c r="O4964">
        <v>35.555</v>
      </c>
      <c r="P4964">
        <v>16.269553210000002</v>
      </c>
      <c r="Q4964">
        <v>8.7710000000000008</v>
      </c>
    </row>
    <row r="4965" spans="1:17" x14ac:dyDescent="0.2">
      <c r="A4965" s="30" t="str">
        <f>IF(C4965&amp;G4965&amp;D4965&lt;&gt;'Funnel setup'!$K$3&amp;'Funnel setup'!$K$4&amp;'Funnel setup'!$K$5,".",IF(A4964=".",1,A4964+1))</f>
        <v>.</v>
      </c>
      <c r="B4965" s="431" t="str">
        <f t="shared" si="77"/>
        <v>Knee Replacement PrimaryProviderMID STAFFORDSHIRE NHS FOUNDATION TRUST (RJD)Oxford Knee Score</v>
      </c>
      <c r="C4965" t="s">
        <v>249</v>
      </c>
      <c r="D4965" t="s">
        <v>1</v>
      </c>
      <c r="E4965" t="s">
        <v>3638</v>
      </c>
      <c r="F4965" t="s">
        <v>3639</v>
      </c>
      <c r="G4965" t="s">
        <v>16</v>
      </c>
      <c r="H4965">
        <v>134</v>
      </c>
      <c r="I4965">
        <v>18.768999999999998</v>
      </c>
      <c r="J4965">
        <v>34.694000000000003</v>
      </c>
      <c r="K4965">
        <v>15.925000000000001</v>
      </c>
      <c r="L4965">
        <v>121</v>
      </c>
      <c r="M4965">
        <v>1</v>
      </c>
      <c r="N4965">
        <v>12</v>
      </c>
      <c r="O4965">
        <v>35.362000000000002</v>
      </c>
      <c r="P4965">
        <v>16.076921970000001</v>
      </c>
      <c r="Q4965">
        <v>9.4450000000000003</v>
      </c>
    </row>
    <row r="4966" spans="1:17" x14ac:dyDescent="0.2">
      <c r="A4966" s="30" t="str">
        <f>IF(C4966&amp;G4966&amp;D4966&lt;&gt;'Funnel setup'!$K$3&amp;'Funnel setup'!$K$4&amp;'Funnel setup'!$K$5,".",IF(A4965=".",1,A4965+1))</f>
        <v>.</v>
      </c>
      <c r="B4966" s="431" t="str">
        <f t="shared" si="77"/>
        <v>Knee Replacement PrimaryProviderMID YORKSHIRE HOSPITALS NHS TRUST (RXF)Oxford Knee Score</v>
      </c>
      <c r="C4966" t="s">
        <v>249</v>
      </c>
      <c r="D4966" t="s">
        <v>1</v>
      </c>
      <c r="E4966" t="s">
        <v>3641</v>
      </c>
      <c r="F4966" t="s">
        <v>3642</v>
      </c>
      <c r="G4966" t="s">
        <v>16</v>
      </c>
      <c r="H4966">
        <v>318</v>
      </c>
      <c r="I4966">
        <v>18.991</v>
      </c>
      <c r="J4966">
        <v>34.597000000000001</v>
      </c>
      <c r="K4966">
        <v>15.606999999999999</v>
      </c>
      <c r="L4966">
        <v>288</v>
      </c>
      <c r="M4966">
        <v>6</v>
      </c>
      <c r="N4966">
        <v>24</v>
      </c>
      <c r="O4966">
        <v>35.398000000000003</v>
      </c>
      <c r="P4966">
        <v>16.112577810000001</v>
      </c>
      <c r="Q4966">
        <v>8.9510000000000005</v>
      </c>
    </row>
    <row r="4967" spans="1:17" x14ac:dyDescent="0.2">
      <c r="A4967" s="30" t="str">
        <f>IF(C4967&amp;G4967&amp;D4967&lt;&gt;'Funnel setup'!$K$3&amp;'Funnel setup'!$K$4&amp;'Funnel setup'!$K$5,".",IF(A4966=".",1,A4966+1))</f>
        <v>.</v>
      </c>
      <c r="B4967" s="431" t="str">
        <f t="shared" si="77"/>
        <v>Knee Replacement PrimaryProviderMILTON KEYNES UNIVERSITY HOSPITAL NHS FOUNDATION TRUST (RD8)Oxford Knee Score</v>
      </c>
      <c r="C4967" t="s">
        <v>249</v>
      </c>
      <c r="D4967" t="s">
        <v>1</v>
      </c>
      <c r="E4967" t="s">
        <v>3643</v>
      </c>
      <c r="F4967" t="s">
        <v>6580</v>
      </c>
      <c r="G4967" t="s">
        <v>16</v>
      </c>
      <c r="H4967">
        <v>153</v>
      </c>
      <c r="I4967">
        <v>18.242000000000001</v>
      </c>
      <c r="J4967">
        <v>36.914999999999999</v>
      </c>
      <c r="K4967">
        <v>18.672999999999998</v>
      </c>
      <c r="L4967">
        <v>150</v>
      </c>
      <c r="M4967">
        <v>0</v>
      </c>
      <c r="N4967">
        <v>3</v>
      </c>
      <c r="O4967">
        <v>37.125999999999998</v>
      </c>
      <c r="P4967">
        <v>17.840412919999999</v>
      </c>
      <c r="Q4967">
        <v>7.8259999999999996</v>
      </c>
    </row>
    <row r="4968" spans="1:17" x14ac:dyDescent="0.2">
      <c r="A4968" s="30" t="str">
        <f>IF(C4968&amp;G4968&amp;D4968&lt;&gt;'Funnel setup'!$K$3&amp;'Funnel setup'!$K$4&amp;'Funnel setup'!$K$5,".",IF(A4967=".",1,A4967+1))</f>
        <v>.</v>
      </c>
      <c r="B4968" s="431" t="str">
        <f t="shared" si="77"/>
        <v>Knee Replacement PrimaryProviderMOUNT STUART HOSPITAL (NVC08)Oxford Knee Score</v>
      </c>
      <c r="C4968" t="s">
        <v>249</v>
      </c>
      <c r="D4968" t="s">
        <v>1</v>
      </c>
      <c r="E4968" t="s">
        <v>3645</v>
      </c>
      <c r="F4968" t="s">
        <v>3646</v>
      </c>
      <c r="G4968" t="s">
        <v>16</v>
      </c>
      <c r="H4968">
        <v>83</v>
      </c>
      <c r="I4968">
        <v>23.373000000000001</v>
      </c>
      <c r="J4968">
        <v>38.253</v>
      </c>
      <c r="K4968">
        <v>14.88</v>
      </c>
      <c r="L4968">
        <v>75</v>
      </c>
      <c r="M4968">
        <v>2</v>
      </c>
      <c r="N4968">
        <v>6</v>
      </c>
      <c r="O4968">
        <v>36.316000000000003</v>
      </c>
      <c r="P4968">
        <v>17.030892699999999</v>
      </c>
      <c r="Q4968">
        <v>8.1449999999999996</v>
      </c>
    </row>
    <row r="4969" spans="1:17" x14ac:dyDescent="0.2">
      <c r="A4969" s="30" t="str">
        <f>IF(C4969&amp;G4969&amp;D4969&lt;&gt;'Funnel setup'!$K$3&amp;'Funnel setup'!$K$4&amp;'Funnel setup'!$K$5,".",IF(A4968=".",1,A4968+1))</f>
        <v>.</v>
      </c>
      <c r="B4969" s="431" t="str">
        <f t="shared" si="77"/>
        <v>Knee Replacement PrimaryProviderNEW HALL HOSPITAL (NVC09)Oxford Knee Score</v>
      </c>
      <c r="C4969" t="s">
        <v>249</v>
      </c>
      <c r="D4969" t="s">
        <v>1</v>
      </c>
      <c r="E4969" t="s">
        <v>3648</v>
      </c>
      <c r="F4969" t="s">
        <v>3649</v>
      </c>
      <c r="G4969" t="s">
        <v>16</v>
      </c>
      <c r="H4969">
        <v>135</v>
      </c>
      <c r="I4969">
        <v>22.393000000000001</v>
      </c>
      <c r="J4969">
        <v>38.237000000000002</v>
      </c>
      <c r="K4969">
        <v>15.843999999999999</v>
      </c>
      <c r="L4969">
        <v>126</v>
      </c>
      <c r="M4969">
        <v>1</v>
      </c>
      <c r="N4969">
        <v>8</v>
      </c>
      <c r="O4969">
        <v>36.07</v>
      </c>
      <c r="P4969">
        <v>16.78443249</v>
      </c>
      <c r="Q4969">
        <v>7.4829999999999997</v>
      </c>
    </row>
    <row r="4970" spans="1:17" x14ac:dyDescent="0.2">
      <c r="A4970" s="30" t="str">
        <f>IF(C4970&amp;G4970&amp;D4970&lt;&gt;'Funnel setup'!$K$3&amp;'Funnel setup'!$K$4&amp;'Funnel setup'!$K$5,".",IF(A4969=".",1,A4969+1))</f>
        <v>.</v>
      </c>
      <c r="B4970" s="431" t="str">
        <f t="shared" si="77"/>
        <v>Knee Replacement PrimaryProviderNORFOLK AND NORWICH UNIVERSITY HOSPITALS NHS FOUNDATION TRUST (RM1)Oxford Knee Score</v>
      </c>
      <c r="C4970" t="s">
        <v>249</v>
      </c>
      <c r="D4970" t="s">
        <v>1</v>
      </c>
      <c r="E4970" t="s">
        <v>3651</v>
      </c>
      <c r="F4970" t="s">
        <v>3652</v>
      </c>
      <c r="G4970" t="s">
        <v>16</v>
      </c>
      <c r="H4970">
        <v>211</v>
      </c>
      <c r="I4970">
        <v>16.388999999999999</v>
      </c>
      <c r="J4970">
        <v>32.890999999999998</v>
      </c>
      <c r="K4970">
        <v>16.501999999999999</v>
      </c>
      <c r="L4970">
        <v>191</v>
      </c>
      <c r="M4970">
        <v>5</v>
      </c>
      <c r="N4970">
        <v>15</v>
      </c>
      <c r="O4970">
        <v>34.302</v>
      </c>
      <c r="P4970">
        <v>15.01668954</v>
      </c>
      <c r="Q4970">
        <v>10.106</v>
      </c>
    </row>
    <row r="4971" spans="1:17" x14ac:dyDescent="0.2">
      <c r="A4971" s="30" t="str">
        <f>IF(C4971&amp;G4971&amp;D4971&lt;&gt;'Funnel setup'!$K$3&amp;'Funnel setup'!$K$4&amp;'Funnel setup'!$K$5,".",IF(A4970=".",1,A4970+1))</f>
        <v>.</v>
      </c>
      <c r="B4971" s="431" t="str">
        <f t="shared" si="77"/>
        <v>Knee Replacement PrimaryProviderNORTH BRISTOL NHS TRUST (RVJ)Oxford Knee Score</v>
      </c>
      <c r="C4971" t="s">
        <v>249</v>
      </c>
      <c r="D4971" t="s">
        <v>1</v>
      </c>
      <c r="E4971" t="s">
        <v>3654</v>
      </c>
      <c r="F4971" t="s">
        <v>3655</v>
      </c>
      <c r="G4971" t="s">
        <v>16</v>
      </c>
      <c r="H4971">
        <v>218</v>
      </c>
      <c r="I4971">
        <v>18.881</v>
      </c>
      <c r="J4971">
        <v>34.734000000000002</v>
      </c>
      <c r="K4971">
        <v>15.853</v>
      </c>
      <c r="L4971">
        <v>208</v>
      </c>
      <c r="M4971">
        <v>2</v>
      </c>
      <c r="N4971">
        <v>8</v>
      </c>
      <c r="O4971">
        <v>34.582999999999998</v>
      </c>
      <c r="P4971">
        <v>15.29781934</v>
      </c>
      <c r="Q4971">
        <v>8.1850000000000005</v>
      </c>
    </row>
    <row r="4972" spans="1:17" x14ac:dyDescent="0.2">
      <c r="A4972" s="30" t="str">
        <f>IF(C4972&amp;G4972&amp;D4972&lt;&gt;'Funnel setup'!$K$3&amp;'Funnel setup'!$K$4&amp;'Funnel setup'!$K$5,".",IF(A4971=".",1,A4971+1))</f>
        <v>.</v>
      </c>
      <c r="B4972" s="431" t="str">
        <f t="shared" si="77"/>
        <v>Knee Replacement PrimaryProviderNORTH CUMBRIA UNIVERSITY HOSPITALS NHS TRUST (RNL)Oxford Knee Score</v>
      </c>
      <c r="C4972" t="s">
        <v>249</v>
      </c>
      <c r="D4972" t="s">
        <v>1</v>
      </c>
      <c r="E4972" t="s">
        <v>3657</v>
      </c>
      <c r="F4972" t="s">
        <v>3658</v>
      </c>
      <c r="G4972" t="s">
        <v>16</v>
      </c>
      <c r="H4972">
        <v>197</v>
      </c>
      <c r="I4972">
        <v>17.821999999999999</v>
      </c>
      <c r="J4972">
        <v>34.811999999999998</v>
      </c>
      <c r="K4972">
        <v>16.989999999999998</v>
      </c>
      <c r="L4972">
        <v>185</v>
      </c>
      <c r="M4972">
        <v>1</v>
      </c>
      <c r="N4972">
        <v>11</v>
      </c>
      <c r="O4972">
        <v>35.956000000000003</v>
      </c>
      <c r="P4972">
        <v>16.670889720000002</v>
      </c>
      <c r="Q4972">
        <v>8.7010000000000005</v>
      </c>
    </row>
    <row r="4973" spans="1:17" x14ac:dyDescent="0.2">
      <c r="A4973" s="30" t="str">
        <f>IF(C4973&amp;G4973&amp;D4973&lt;&gt;'Funnel setup'!$K$3&amp;'Funnel setup'!$K$4&amp;'Funnel setup'!$K$5,".",IF(A4972=".",1,A4972+1))</f>
        <v>.</v>
      </c>
      <c r="B4973" s="431" t="str">
        <f t="shared" si="77"/>
        <v>Knee Replacement PrimaryProviderNORTH DOWNS HOSPITAL (NVC11)Oxford Knee Score</v>
      </c>
      <c r="C4973" t="s">
        <v>249</v>
      </c>
      <c r="D4973" t="s">
        <v>1</v>
      </c>
      <c r="E4973" t="s">
        <v>3660</v>
      </c>
      <c r="F4973" t="s">
        <v>3661</v>
      </c>
      <c r="G4973" t="s">
        <v>16</v>
      </c>
      <c r="H4973">
        <v>51</v>
      </c>
      <c r="I4973">
        <v>22.077999999999999</v>
      </c>
      <c r="J4973">
        <v>37.156999999999996</v>
      </c>
      <c r="K4973">
        <v>15.077999999999999</v>
      </c>
      <c r="L4973">
        <v>47</v>
      </c>
      <c r="M4973">
        <v>1</v>
      </c>
      <c r="N4973">
        <v>3</v>
      </c>
      <c r="O4973">
        <v>35.271999999999998</v>
      </c>
      <c r="P4973">
        <v>15.986757000000001</v>
      </c>
      <c r="Q4973">
        <v>6.3739999999999997</v>
      </c>
    </row>
    <row r="4974" spans="1:17" x14ac:dyDescent="0.2">
      <c r="A4974" s="30" t="str">
        <f>IF(C4974&amp;G4974&amp;D4974&lt;&gt;'Funnel setup'!$K$3&amp;'Funnel setup'!$K$4&amp;'Funnel setup'!$K$5,".",IF(A4973=".",1,A4973+1))</f>
        <v>.</v>
      </c>
      <c r="B4974" s="431" t="str">
        <f t="shared" si="77"/>
        <v>Knee Replacement PrimaryProviderNORTH EAST LONDON TREATMENT CENTRE CARE UK (NTP15)Oxford Knee Score</v>
      </c>
      <c r="C4974" t="s">
        <v>249</v>
      </c>
      <c r="D4974" t="s">
        <v>1</v>
      </c>
      <c r="E4974" t="s">
        <v>3663</v>
      </c>
      <c r="F4974" t="s">
        <v>3664</v>
      </c>
      <c r="G4974" t="s">
        <v>16</v>
      </c>
      <c r="H4974">
        <v>100</v>
      </c>
      <c r="I4974">
        <v>19.260000000000002</v>
      </c>
      <c r="J4974">
        <v>35.17</v>
      </c>
      <c r="K4974">
        <v>15.91</v>
      </c>
      <c r="L4974">
        <v>92</v>
      </c>
      <c r="M4974">
        <v>2</v>
      </c>
      <c r="N4974">
        <v>6</v>
      </c>
      <c r="O4974">
        <v>35.21</v>
      </c>
      <c r="P4974">
        <v>15.924528049999999</v>
      </c>
      <c r="Q4974">
        <v>8.9009999999999998</v>
      </c>
    </row>
    <row r="4975" spans="1:17" x14ac:dyDescent="0.2">
      <c r="A4975" s="30" t="str">
        <f>IF(C4975&amp;G4975&amp;D4975&lt;&gt;'Funnel setup'!$K$3&amp;'Funnel setup'!$K$4&amp;'Funnel setup'!$K$5,".",IF(A4974=".",1,A4974+1))</f>
        <v>.</v>
      </c>
      <c r="B4975" s="431" t="str">
        <f t="shared" si="77"/>
        <v>Knee Replacement PrimaryProviderNORTH MIDDLESEX UNIVERSITY HOSPITAL NHS TRUST (RAP)Oxford Knee Score</v>
      </c>
      <c r="C4975" t="s">
        <v>249</v>
      </c>
      <c r="D4975" t="s">
        <v>1</v>
      </c>
      <c r="E4975" t="s">
        <v>3666</v>
      </c>
      <c r="F4975" t="s">
        <v>3667</v>
      </c>
      <c r="G4975" t="s">
        <v>16</v>
      </c>
      <c r="H4975">
        <v>46</v>
      </c>
      <c r="I4975">
        <v>15.478</v>
      </c>
      <c r="J4975">
        <v>31.260999999999999</v>
      </c>
      <c r="K4975">
        <v>15.782999999999999</v>
      </c>
      <c r="L4975">
        <v>43</v>
      </c>
      <c r="M4975">
        <v>1</v>
      </c>
      <c r="N4975">
        <v>2</v>
      </c>
      <c r="O4975">
        <v>35.201999999999998</v>
      </c>
      <c r="P4975">
        <v>15.916295359999999</v>
      </c>
      <c r="Q4975">
        <v>10.41</v>
      </c>
    </row>
    <row r="4976" spans="1:17" x14ac:dyDescent="0.2">
      <c r="A4976" s="30" t="str">
        <f>IF(C4976&amp;G4976&amp;D4976&lt;&gt;'Funnel setup'!$K$3&amp;'Funnel setup'!$K$4&amp;'Funnel setup'!$K$5,".",IF(A4975=".",1,A4975+1))</f>
        <v>.</v>
      </c>
      <c r="B4976" s="431" t="str">
        <f t="shared" si="77"/>
        <v>Knee Replacement PrimaryProviderNORTH TEES AND HARTLEPOOL NHS FOUNDATION TRUST (RVW)Oxford Knee Score</v>
      </c>
      <c r="C4976" t="s">
        <v>249</v>
      </c>
      <c r="D4976" t="s">
        <v>1</v>
      </c>
      <c r="E4976" t="s">
        <v>3669</v>
      </c>
      <c r="F4976" t="s">
        <v>3670</v>
      </c>
      <c r="G4976" t="s">
        <v>16</v>
      </c>
      <c r="H4976">
        <v>267</v>
      </c>
      <c r="I4976">
        <v>16.082000000000001</v>
      </c>
      <c r="J4976">
        <v>33.322000000000003</v>
      </c>
      <c r="K4976">
        <v>17.239999999999998</v>
      </c>
      <c r="L4976">
        <v>249</v>
      </c>
      <c r="M4976">
        <v>5</v>
      </c>
      <c r="N4976">
        <v>13</v>
      </c>
      <c r="O4976">
        <v>35.655999999999999</v>
      </c>
      <c r="P4976">
        <v>16.370363730000001</v>
      </c>
      <c r="Q4976">
        <v>10.06</v>
      </c>
    </row>
    <row r="4977" spans="1:17" x14ac:dyDescent="0.2">
      <c r="A4977" s="30" t="str">
        <f>IF(C4977&amp;G4977&amp;D4977&lt;&gt;'Funnel setup'!$K$3&amp;'Funnel setup'!$K$4&amp;'Funnel setup'!$K$5,".",IF(A4976=".",1,A4976+1))</f>
        <v>.</v>
      </c>
      <c r="B4977" s="431" t="str">
        <f t="shared" si="77"/>
        <v>Knee Replacement PrimaryProviderNORTHAMPTON GENERAL HOSPITAL NHS TRUST (RNS)Oxford Knee Score</v>
      </c>
      <c r="C4977" t="s">
        <v>249</v>
      </c>
      <c r="D4977" t="s">
        <v>1</v>
      </c>
      <c r="E4977" t="s">
        <v>3675</v>
      </c>
      <c r="F4977" t="s">
        <v>3676</v>
      </c>
      <c r="G4977" t="s">
        <v>16</v>
      </c>
      <c r="H4977">
        <v>146</v>
      </c>
      <c r="I4977">
        <v>16.829000000000001</v>
      </c>
      <c r="J4977">
        <v>35.924999999999997</v>
      </c>
      <c r="K4977">
        <v>19.096</v>
      </c>
      <c r="L4977">
        <v>141</v>
      </c>
      <c r="M4977">
        <v>2</v>
      </c>
      <c r="N4977">
        <v>3</v>
      </c>
      <c r="O4977">
        <v>36.92</v>
      </c>
      <c r="P4977">
        <v>17.63477366</v>
      </c>
      <c r="Q4977">
        <v>8.0969999999999995</v>
      </c>
    </row>
    <row r="4978" spans="1:17" x14ac:dyDescent="0.2">
      <c r="A4978" s="30" t="str">
        <f>IF(C4978&amp;G4978&amp;D4978&lt;&gt;'Funnel setup'!$K$3&amp;'Funnel setup'!$K$4&amp;'Funnel setup'!$K$5,".",IF(A4977=".",1,A4977+1))</f>
        <v>.</v>
      </c>
      <c r="B4978" s="431" t="str">
        <f t="shared" si="77"/>
        <v>Knee Replacement PrimaryProviderNORTHERN DEVON HEALTHCARE NHS TRUST (RBZ)Oxford Knee Score</v>
      </c>
      <c r="C4978" t="s">
        <v>249</v>
      </c>
      <c r="D4978" t="s">
        <v>1</v>
      </c>
      <c r="E4978" t="s">
        <v>3678</v>
      </c>
      <c r="F4978" t="s">
        <v>3679</v>
      </c>
      <c r="G4978" t="s">
        <v>16</v>
      </c>
      <c r="H4978">
        <v>200</v>
      </c>
      <c r="I4978">
        <v>20.53</v>
      </c>
      <c r="J4978">
        <v>37.92</v>
      </c>
      <c r="K4978">
        <v>17.39</v>
      </c>
      <c r="L4978">
        <v>192</v>
      </c>
      <c r="M4978">
        <v>4</v>
      </c>
      <c r="N4978">
        <v>4</v>
      </c>
      <c r="O4978">
        <v>37.299999999999997</v>
      </c>
      <c r="P4978">
        <v>18.014734449999999</v>
      </c>
      <c r="Q4978">
        <v>7.4580000000000002</v>
      </c>
    </row>
    <row r="4979" spans="1:17" x14ac:dyDescent="0.2">
      <c r="A4979" s="30" t="str">
        <f>IF(C4979&amp;G4979&amp;D4979&lt;&gt;'Funnel setup'!$K$3&amp;'Funnel setup'!$K$4&amp;'Funnel setup'!$K$5,".",IF(A4978=".",1,A4978+1))</f>
        <v>.</v>
      </c>
      <c r="B4979" s="431" t="str">
        <f t="shared" si="77"/>
        <v>Knee Replacement PrimaryProviderNORTHERN LINCOLNSHIRE AND GOOLE NHS FOUNDATION TRUST (RJL)Oxford Knee Score</v>
      </c>
      <c r="C4979" t="s">
        <v>249</v>
      </c>
      <c r="D4979" t="s">
        <v>1</v>
      </c>
      <c r="E4979" t="s">
        <v>3681</v>
      </c>
      <c r="F4979" t="s">
        <v>3682</v>
      </c>
      <c r="G4979" t="s">
        <v>16</v>
      </c>
      <c r="H4979">
        <v>293</v>
      </c>
      <c r="I4979">
        <v>18.628</v>
      </c>
      <c r="J4979">
        <v>36.033999999999999</v>
      </c>
      <c r="K4979">
        <v>17.405999999999999</v>
      </c>
      <c r="L4979">
        <v>276</v>
      </c>
      <c r="M4979">
        <v>3</v>
      </c>
      <c r="N4979">
        <v>14</v>
      </c>
      <c r="O4979">
        <v>36.258000000000003</v>
      </c>
      <c r="P4979">
        <v>16.972937850000001</v>
      </c>
      <c r="Q4979">
        <v>8.5500000000000007</v>
      </c>
    </row>
    <row r="4980" spans="1:17" x14ac:dyDescent="0.2">
      <c r="A4980" s="30" t="str">
        <f>IF(C4980&amp;G4980&amp;D4980&lt;&gt;'Funnel setup'!$K$3&amp;'Funnel setup'!$K$4&amp;'Funnel setup'!$K$5,".",IF(A4979=".",1,A4979+1))</f>
        <v>.</v>
      </c>
      <c r="B4980" s="431" t="str">
        <f t="shared" si="77"/>
        <v>Knee Replacement PrimaryProviderNORTHUMBRIA HEALTHCARE NHS FOUNDATION TRUST (RTF)Oxford Knee Score</v>
      </c>
      <c r="C4980" t="s">
        <v>249</v>
      </c>
      <c r="D4980" t="s">
        <v>1</v>
      </c>
      <c r="E4980" t="s">
        <v>3684</v>
      </c>
      <c r="F4980" t="s">
        <v>3685</v>
      </c>
      <c r="G4980" t="s">
        <v>16</v>
      </c>
      <c r="H4980">
        <v>819</v>
      </c>
      <c r="I4980">
        <v>19.375</v>
      </c>
      <c r="J4980">
        <v>36.378999999999998</v>
      </c>
      <c r="K4980">
        <v>17.004000000000001</v>
      </c>
      <c r="L4980">
        <v>778</v>
      </c>
      <c r="M4980">
        <v>7</v>
      </c>
      <c r="N4980">
        <v>34</v>
      </c>
      <c r="O4980">
        <v>36.417000000000002</v>
      </c>
      <c r="P4980">
        <v>17.13179293</v>
      </c>
      <c r="Q4980">
        <v>8.3659999999999997</v>
      </c>
    </row>
    <row r="4981" spans="1:17" x14ac:dyDescent="0.2">
      <c r="A4981" s="30" t="str">
        <f>IF(C4981&amp;G4981&amp;D4981&lt;&gt;'Funnel setup'!$K$3&amp;'Funnel setup'!$K$4&amp;'Funnel setup'!$K$5,".",IF(A4980=".",1,A4980+1))</f>
        <v>.</v>
      </c>
      <c r="B4981" s="431" t="str">
        <f t="shared" si="77"/>
        <v>Knee Replacement PrimaryProviderNOTTINGHAM UNIVERSITY HOSPITALS NHS TRUST (RX1)Oxford Knee Score</v>
      </c>
      <c r="C4981" t="s">
        <v>249</v>
      </c>
      <c r="D4981" t="s">
        <v>1</v>
      </c>
      <c r="E4981" t="s">
        <v>3687</v>
      </c>
      <c r="F4981" t="s">
        <v>3688</v>
      </c>
      <c r="G4981" t="s">
        <v>16</v>
      </c>
      <c r="H4981">
        <v>473</v>
      </c>
      <c r="I4981">
        <v>18.640999999999998</v>
      </c>
      <c r="J4981">
        <v>34.15</v>
      </c>
      <c r="K4981">
        <v>15.51</v>
      </c>
      <c r="L4981">
        <v>438</v>
      </c>
      <c r="M4981">
        <v>7</v>
      </c>
      <c r="N4981">
        <v>28</v>
      </c>
      <c r="O4981">
        <v>34.704000000000001</v>
      </c>
      <c r="P4981">
        <v>15.41879256</v>
      </c>
      <c r="Q4981">
        <v>8.5120000000000005</v>
      </c>
    </row>
    <row r="4982" spans="1:17" x14ac:dyDescent="0.2">
      <c r="A4982" s="30" t="str">
        <f>IF(C4982&amp;G4982&amp;D4982&lt;&gt;'Funnel setup'!$K$3&amp;'Funnel setup'!$K$4&amp;'Funnel setup'!$K$5,".",IF(A4981=".",1,A4981+1))</f>
        <v>.</v>
      </c>
      <c r="B4982" s="431" t="str">
        <f t="shared" si="77"/>
        <v>Knee Replacement PrimaryProviderNUFFIELD HEALTH, BRENTWOOD HOSPITAL (NT204)Oxford Knee Score</v>
      </c>
      <c r="C4982" t="s">
        <v>249</v>
      </c>
      <c r="D4982" t="s">
        <v>1</v>
      </c>
      <c r="E4982" t="s">
        <v>3691</v>
      </c>
      <c r="F4982" t="s">
        <v>3692</v>
      </c>
      <c r="G4982" t="s">
        <v>16</v>
      </c>
      <c r="H4982">
        <v>80</v>
      </c>
      <c r="I4982">
        <v>20.25</v>
      </c>
      <c r="J4982">
        <v>37.799999999999997</v>
      </c>
      <c r="K4982">
        <v>17.55</v>
      </c>
      <c r="L4982">
        <v>79</v>
      </c>
      <c r="M4982">
        <v>0</v>
      </c>
      <c r="N4982">
        <v>1</v>
      </c>
      <c r="O4982">
        <v>36.213000000000001</v>
      </c>
      <c r="P4982">
        <v>16.927838990000001</v>
      </c>
      <c r="Q4982">
        <v>7.585</v>
      </c>
    </row>
    <row r="4983" spans="1:17" x14ac:dyDescent="0.2">
      <c r="A4983" s="30" t="str">
        <f>IF(C4983&amp;G4983&amp;D4983&lt;&gt;'Funnel setup'!$K$3&amp;'Funnel setup'!$K$4&amp;'Funnel setup'!$K$5,".",IF(A4982=".",1,A4982+1))</f>
        <v>.</v>
      </c>
      <c r="B4983" s="431" t="str">
        <f t="shared" si="77"/>
        <v>Knee Replacement PrimaryProviderNUFFIELD HEALTH, BRIGHTON HOSPITAL (NT205)Oxford Knee Score</v>
      </c>
      <c r="C4983" t="s">
        <v>249</v>
      </c>
      <c r="D4983" t="s">
        <v>1</v>
      </c>
      <c r="E4983" t="s">
        <v>3697</v>
      </c>
      <c r="F4983" t="s">
        <v>3698</v>
      </c>
      <c r="G4983" t="s">
        <v>16</v>
      </c>
      <c r="H4983">
        <v>6</v>
      </c>
      <c r="I4983">
        <v>19.667000000000002</v>
      </c>
      <c r="J4983">
        <v>33.5</v>
      </c>
      <c r="K4983">
        <v>13.833</v>
      </c>
      <c r="L4983">
        <v>4</v>
      </c>
      <c r="M4983">
        <v>0</v>
      </c>
      <c r="N4983">
        <v>2</v>
      </c>
      <c r="O4983" t="s">
        <v>53</v>
      </c>
      <c r="P4983" t="s">
        <v>53</v>
      </c>
      <c r="Q4983" t="s">
        <v>53</v>
      </c>
    </row>
    <row r="4984" spans="1:17" x14ac:dyDescent="0.2">
      <c r="A4984" s="30" t="str">
        <f>IF(C4984&amp;G4984&amp;D4984&lt;&gt;'Funnel setup'!$K$3&amp;'Funnel setup'!$K$4&amp;'Funnel setup'!$K$5,".",IF(A4983=".",1,A4983+1))</f>
        <v>.</v>
      </c>
      <c r="B4984" s="431" t="str">
        <f t="shared" si="77"/>
        <v>Knee Replacement PrimaryProviderNUFFIELD HEALTH, BRISTOL HOSPITAL (CHESTERFIELD) (NT206)Oxford Knee Score</v>
      </c>
      <c r="C4984" t="s">
        <v>249</v>
      </c>
      <c r="D4984" t="s">
        <v>1</v>
      </c>
      <c r="E4984" t="s">
        <v>3700</v>
      </c>
      <c r="F4984" t="s">
        <v>3701</v>
      </c>
      <c r="G4984" t="s">
        <v>16</v>
      </c>
      <c r="H4984">
        <v>13</v>
      </c>
      <c r="I4984">
        <v>18.614999999999998</v>
      </c>
      <c r="J4984">
        <v>38.537999999999997</v>
      </c>
      <c r="K4984">
        <v>19.922999999999998</v>
      </c>
      <c r="L4984">
        <v>13</v>
      </c>
      <c r="M4984">
        <v>0</v>
      </c>
      <c r="N4984">
        <v>0</v>
      </c>
      <c r="O4984" t="s">
        <v>53</v>
      </c>
      <c r="P4984" t="s">
        <v>53</v>
      </c>
      <c r="Q4984" t="s">
        <v>53</v>
      </c>
    </row>
    <row r="4985" spans="1:17" x14ac:dyDescent="0.2">
      <c r="A4985" s="30" t="str">
        <f>IF(C4985&amp;G4985&amp;D4985&lt;&gt;'Funnel setup'!$K$3&amp;'Funnel setup'!$K$4&amp;'Funnel setup'!$K$5,".",IF(A4984=".",1,A4984+1))</f>
        <v>.</v>
      </c>
      <c r="B4985" s="431" t="str">
        <f t="shared" si="77"/>
        <v>Knee Replacement PrimaryProviderNUFFIELD HEALTH, CAMBRIDGE HOSPITAL (NT209)Oxford Knee Score</v>
      </c>
      <c r="C4985" t="s">
        <v>249</v>
      </c>
      <c r="D4985" t="s">
        <v>1</v>
      </c>
      <c r="E4985" t="s">
        <v>4477</v>
      </c>
      <c r="F4985" t="s">
        <v>4478</v>
      </c>
      <c r="G4985" t="s">
        <v>16</v>
      </c>
      <c r="H4985">
        <v>35</v>
      </c>
      <c r="I4985">
        <v>20.085999999999999</v>
      </c>
      <c r="J4985">
        <v>39.771000000000001</v>
      </c>
      <c r="K4985">
        <v>19.686</v>
      </c>
      <c r="L4985">
        <v>35</v>
      </c>
      <c r="M4985">
        <v>0</v>
      </c>
      <c r="N4985">
        <v>0</v>
      </c>
      <c r="O4985">
        <v>38.204000000000001</v>
      </c>
      <c r="P4985">
        <v>18.91867096</v>
      </c>
      <c r="Q4985">
        <v>6.048</v>
      </c>
    </row>
    <row r="4986" spans="1:17" x14ac:dyDescent="0.2">
      <c r="A4986" s="30" t="str">
        <f>IF(C4986&amp;G4986&amp;D4986&lt;&gt;'Funnel setup'!$K$3&amp;'Funnel setup'!$K$4&amp;'Funnel setup'!$K$5,".",IF(A4985=".",1,A4985+1))</f>
        <v>.</v>
      </c>
      <c r="B4986" s="431" t="str">
        <f t="shared" si="77"/>
        <v>Knee Replacement PrimaryProviderNUFFIELD HEALTH, CHELTENHAM HOSPITAL (NT211)Oxford Knee Score</v>
      </c>
      <c r="C4986" t="s">
        <v>249</v>
      </c>
      <c r="D4986" t="s">
        <v>1</v>
      </c>
      <c r="E4986" t="s">
        <v>3703</v>
      </c>
      <c r="F4986" t="s">
        <v>3704</v>
      </c>
      <c r="G4986" t="s">
        <v>16</v>
      </c>
      <c r="H4986">
        <v>6</v>
      </c>
      <c r="I4986">
        <v>23.667000000000002</v>
      </c>
      <c r="J4986">
        <v>36</v>
      </c>
      <c r="K4986">
        <v>12.333</v>
      </c>
      <c r="L4986">
        <v>5</v>
      </c>
      <c r="M4986">
        <v>0</v>
      </c>
      <c r="N4986">
        <v>1</v>
      </c>
      <c r="O4986" t="s">
        <v>53</v>
      </c>
      <c r="P4986" t="s">
        <v>53</v>
      </c>
      <c r="Q4986" t="s">
        <v>53</v>
      </c>
    </row>
    <row r="4987" spans="1:17" x14ac:dyDescent="0.2">
      <c r="A4987" s="30" t="str">
        <f>IF(C4987&amp;G4987&amp;D4987&lt;&gt;'Funnel setup'!$K$3&amp;'Funnel setup'!$K$4&amp;'Funnel setup'!$K$5,".",IF(A4986=".",1,A4986+1))</f>
        <v>.</v>
      </c>
      <c r="B4987" s="431" t="str">
        <f t="shared" si="77"/>
        <v>Knee Replacement PrimaryProviderNUFFIELD HEALTH, CHICHESTER HOSPITAL (NT212)Oxford Knee Score</v>
      </c>
      <c r="C4987" t="s">
        <v>249</v>
      </c>
      <c r="D4987" t="s">
        <v>1</v>
      </c>
      <c r="E4987" t="s">
        <v>4334</v>
      </c>
      <c r="F4987" t="s">
        <v>4335</v>
      </c>
      <c r="G4987" t="s">
        <v>16</v>
      </c>
      <c r="H4987">
        <v>12</v>
      </c>
      <c r="I4987">
        <v>15</v>
      </c>
      <c r="J4987">
        <v>41.582999999999998</v>
      </c>
      <c r="K4987">
        <v>26.582999999999998</v>
      </c>
      <c r="L4987">
        <v>12</v>
      </c>
      <c r="M4987">
        <v>0</v>
      </c>
      <c r="N4987">
        <v>0</v>
      </c>
      <c r="O4987" t="s">
        <v>53</v>
      </c>
      <c r="P4987" t="s">
        <v>53</v>
      </c>
      <c r="Q4987" t="s">
        <v>53</v>
      </c>
    </row>
    <row r="4988" spans="1:17" x14ac:dyDescent="0.2">
      <c r="A4988" s="30" t="str">
        <f>IF(C4988&amp;G4988&amp;D4988&lt;&gt;'Funnel setup'!$K$3&amp;'Funnel setup'!$K$4&amp;'Funnel setup'!$K$5,".",IF(A4987=".",1,A4987+1))</f>
        <v>.</v>
      </c>
      <c r="B4988" s="431" t="str">
        <f t="shared" si="77"/>
        <v>Knee Replacement PrimaryProviderNUFFIELD HEALTH, DERBY HOSPITAL (NT213)Oxford Knee Score</v>
      </c>
      <c r="C4988" t="s">
        <v>249</v>
      </c>
      <c r="D4988" t="s">
        <v>1</v>
      </c>
      <c r="E4988" t="s">
        <v>3340</v>
      </c>
      <c r="F4988" t="s">
        <v>3341</v>
      </c>
      <c r="G4988" t="s">
        <v>16</v>
      </c>
      <c r="H4988">
        <v>164</v>
      </c>
      <c r="I4988">
        <v>21.122</v>
      </c>
      <c r="J4988">
        <v>37.902000000000001</v>
      </c>
      <c r="K4988">
        <v>16.78</v>
      </c>
      <c r="L4988">
        <v>156</v>
      </c>
      <c r="M4988">
        <v>2</v>
      </c>
      <c r="N4988">
        <v>6</v>
      </c>
      <c r="O4988">
        <v>36.036999999999999</v>
      </c>
      <c r="P4988">
        <v>16.75129282</v>
      </c>
      <c r="Q4988">
        <v>7.5860000000000003</v>
      </c>
    </row>
    <row r="4989" spans="1:17" x14ac:dyDescent="0.2">
      <c r="A4989" s="30" t="str">
        <f>IF(C4989&amp;G4989&amp;D4989&lt;&gt;'Funnel setup'!$K$3&amp;'Funnel setup'!$K$4&amp;'Funnel setup'!$K$5,".",IF(A4988=".",1,A4988+1))</f>
        <v>.</v>
      </c>
      <c r="B4989" s="431" t="str">
        <f t="shared" si="77"/>
        <v>Knee Replacement PrimaryProviderNUFFIELD HEALTH, EXETER HOSPITAL (NT215)Oxford Knee Score</v>
      </c>
      <c r="C4989" t="s">
        <v>249</v>
      </c>
      <c r="D4989" t="s">
        <v>1</v>
      </c>
      <c r="E4989" t="s">
        <v>4339</v>
      </c>
      <c r="F4989" t="s">
        <v>4340</v>
      </c>
      <c r="G4989" t="s">
        <v>16</v>
      </c>
      <c r="H4989">
        <v>135</v>
      </c>
      <c r="I4989">
        <v>20.821999999999999</v>
      </c>
      <c r="J4989">
        <v>38.844000000000001</v>
      </c>
      <c r="K4989">
        <v>18.021999999999998</v>
      </c>
      <c r="L4989">
        <v>131</v>
      </c>
      <c r="M4989">
        <v>1</v>
      </c>
      <c r="N4989">
        <v>3</v>
      </c>
      <c r="O4989">
        <v>37.152000000000001</v>
      </c>
      <c r="P4989">
        <v>17.867042090000002</v>
      </c>
      <c r="Q4989">
        <v>7.5709999999999997</v>
      </c>
    </row>
    <row r="4990" spans="1:17" x14ac:dyDescent="0.2">
      <c r="A4990" s="30" t="str">
        <f>IF(C4990&amp;G4990&amp;D4990&lt;&gt;'Funnel setup'!$K$3&amp;'Funnel setup'!$K$4&amp;'Funnel setup'!$K$5,".",IF(A4989=".",1,A4989+1))</f>
        <v>.</v>
      </c>
      <c r="B4990" s="431" t="str">
        <f t="shared" si="77"/>
        <v>Knee Replacement PrimaryProviderNUFFIELD HEALTH, HAYWARDS HEATH HOSPITAL (NT218)Oxford Knee Score</v>
      </c>
      <c r="C4990" t="s">
        <v>249</v>
      </c>
      <c r="D4990" t="s">
        <v>1</v>
      </c>
      <c r="E4990" t="s">
        <v>4342</v>
      </c>
      <c r="F4990" t="s">
        <v>4343</v>
      </c>
      <c r="G4990" t="s">
        <v>16</v>
      </c>
      <c r="H4990">
        <v>18</v>
      </c>
      <c r="I4990">
        <v>22.388999999999999</v>
      </c>
      <c r="J4990">
        <v>36.167000000000002</v>
      </c>
      <c r="K4990">
        <v>13.778</v>
      </c>
      <c r="L4990">
        <v>18</v>
      </c>
      <c r="M4990">
        <v>0</v>
      </c>
      <c r="N4990">
        <v>0</v>
      </c>
      <c r="O4990" t="s">
        <v>53</v>
      </c>
      <c r="P4990" t="s">
        <v>53</v>
      </c>
      <c r="Q4990" t="s">
        <v>53</v>
      </c>
    </row>
    <row r="4991" spans="1:17" x14ac:dyDescent="0.2">
      <c r="A4991" s="30" t="str">
        <f>IF(C4991&amp;G4991&amp;D4991&lt;&gt;'Funnel setup'!$K$3&amp;'Funnel setup'!$K$4&amp;'Funnel setup'!$K$5,".",IF(A4990=".",1,A4990+1))</f>
        <v>.</v>
      </c>
      <c r="B4991" s="431" t="str">
        <f t="shared" si="77"/>
        <v>Knee Replacement PrimaryProviderNUFFIELD HEALTH, HEREFORD HOSPITAL (NT219)Oxford Knee Score</v>
      </c>
      <c r="C4991" t="s">
        <v>249</v>
      </c>
      <c r="D4991" t="s">
        <v>1</v>
      </c>
      <c r="E4991" t="s">
        <v>3343</v>
      </c>
      <c r="F4991" t="s">
        <v>3344</v>
      </c>
      <c r="G4991" t="s">
        <v>16</v>
      </c>
      <c r="H4991">
        <v>65</v>
      </c>
      <c r="I4991">
        <v>21.262</v>
      </c>
      <c r="J4991">
        <v>39.292000000000002</v>
      </c>
      <c r="K4991">
        <v>18.030999999999999</v>
      </c>
      <c r="L4991">
        <v>62</v>
      </c>
      <c r="M4991">
        <v>2</v>
      </c>
      <c r="N4991">
        <v>1</v>
      </c>
      <c r="O4991">
        <v>38.261000000000003</v>
      </c>
      <c r="P4991">
        <v>18.975974579999999</v>
      </c>
      <c r="Q4991">
        <v>7.3090000000000002</v>
      </c>
    </row>
    <row r="4992" spans="1:17" x14ac:dyDescent="0.2">
      <c r="A4992" s="30" t="str">
        <f>IF(C4992&amp;G4992&amp;D4992&lt;&gt;'Funnel setup'!$K$3&amp;'Funnel setup'!$K$4&amp;'Funnel setup'!$K$5,".",IF(A4991=".",1,A4991+1))</f>
        <v>.</v>
      </c>
      <c r="B4992" s="431" t="str">
        <f t="shared" si="77"/>
        <v>Knee Replacement PrimaryProviderNUFFIELD HEALTH, IPSWICH HOSPITAL (NT222)Oxford Knee Score</v>
      </c>
      <c r="C4992" t="s">
        <v>249</v>
      </c>
      <c r="D4992" t="s">
        <v>1</v>
      </c>
      <c r="E4992" t="s">
        <v>3385</v>
      </c>
      <c r="F4992" t="s">
        <v>3386</v>
      </c>
      <c r="G4992" t="s">
        <v>16</v>
      </c>
      <c r="H4992">
        <v>101</v>
      </c>
      <c r="I4992">
        <v>19.03</v>
      </c>
      <c r="J4992">
        <v>38.375999999999998</v>
      </c>
      <c r="K4992">
        <v>19.347000000000001</v>
      </c>
      <c r="L4992">
        <v>101</v>
      </c>
      <c r="M4992">
        <v>0</v>
      </c>
      <c r="N4992">
        <v>0</v>
      </c>
      <c r="O4992">
        <v>36.872999999999998</v>
      </c>
      <c r="P4992">
        <v>17.587533839999999</v>
      </c>
      <c r="Q4992">
        <v>7.149</v>
      </c>
    </row>
    <row r="4993" spans="1:17" x14ac:dyDescent="0.2">
      <c r="A4993" s="30" t="str">
        <f>IF(C4993&amp;G4993&amp;D4993&lt;&gt;'Funnel setup'!$K$3&amp;'Funnel setup'!$K$4&amp;'Funnel setup'!$K$5,".",IF(A4992=".",1,A4992+1))</f>
        <v>.</v>
      </c>
      <c r="B4993" s="431" t="str">
        <f t="shared" si="77"/>
        <v>Knee Replacement PrimaryProviderNUFFIELD HEALTH, LEEDS HOSPITAL (NT225)Oxford Knee Score</v>
      </c>
      <c r="C4993" t="s">
        <v>249</v>
      </c>
      <c r="D4993" t="s">
        <v>1</v>
      </c>
      <c r="E4993" t="s">
        <v>3388</v>
      </c>
      <c r="F4993" t="s">
        <v>3389</v>
      </c>
      <c r="G4993" t="s">
        <v>16</v>
      </c>
      <c r="H4993">
        <v>146</v>
      </c>
      <c r="I4993">
        <v>20.931999999999999</v>
      </c>
      <c r="J4993">
        <v>35.308</v>
      </c>
      <c r="K4993">
        <v>14.377000000000001</v>
      </c>
      <c r="L4993">
        <v>136</v>
      </c>
      <c r="M4993">
        <v>4</v>
      </c>
      <c r="N4993">
        <v>6</v>
      </c>
      <c r="O4993">
        <v>34.762</v>
      </c>
      <c r="P4993">
        <v>15.4770079</v>
      </c>
      <c r="Q4993">
        <v>8.5009999999999994</v>
      </c>
    </row>
    <row r="4994" spans="1:17" x14ac:dyDescent="0.2">
      <c r="A4994" s="30" t="str">
        <f>IF(C4994&amp;G4994&amp;D4994&lt;&gt;'Funnel setup'!$K$3&amp;'Funnel setup'!$K$4&amp;'Funnel setup'!$K$5,".",IF(A4993=".",1,A4993+1))</f>
        <v>.</v>
      </c>
      <c r="B4994" s="431" t="str">
        <f t="shared" si="77"/>
        <v>Knee Replacement PrimaryProviderNUFFIELD HEALTH, LEICESTER HOSPITAL (NT226)Oxford Knee Score</v>
      </c>
      <c r="C4994" t="s">
        <v>249</v>
      </c>
      <c r="D4994" t="s">
        <v>1</v>
      </c>
      <c r="E4994" t="s">
        <v>3391</v>
      </c>
      <c r="F4994" t="s">
        <v>3392</v>
      </c>
      <c r="G4994" t="s">
        <v>16</v>
      </c>
      <c r="H4994">
        <v>54</v>
      </c>
      <c r="I4994">
        <v>17.648</v>
      </c>
      <c r="J4994">
        <v>35.518999999999998</v>
      </c>
      <c r="K4994">
        <v>17.87</v>
      </c>
      <c r="L4994">
        <v>48</v>
      </c>
      <c r="M4994">
        <v>1</v>
      </c>
      <c r="N4994">
        <v>5</v>
      </c>
      <c r="O4994">
        <v>36.061999999999998</v>
      </c>
      <c r="P4994">
        <v>16.77614457</v>
      </c>
      <c r="Q4994">
        <v>9.2850000000000001</v>
      </c>
    </row>
    <row r="4995" spans="1:17" x14ac:dyDescent="0.2">
      <c r="A4995" s="30" t="str">
        <f>IF(C4995&amp;G4995&amp;D4995&lt;&gt;'Funnel setup'!$K$3&amp;'Funnel setup'!$K$4&amp;'Funnel setup'!$K$5,".",IF(A4994=".",1,A4994+1))</f>
        <v>.</v>
      </c>
      <c r="B4995" s="431" t="str">
        <f t="shared" ref="B4995:B5058" si="78">C4995&amp;D4995&amp;F4995&amp;G4995</f>
        <v>Knee Replacement PrimaryProviderNUFFIELD HEALTH, NEWCASTLE UPON TYNE HOSPITAL (NT229)Oxford Knee Score</v>
      </c>
      <c r="C4995" t="s">
        <v>249</v>
      </c>
      <c r="D4995" t="s">
        <v>1</v>
      </c>
      <c r="E4995" t="s">
        <v>3394</v>
      </c>
      <c r="F4995" t="s">
        <v>3395</v>
      </c>
      <c r="G4995" t="s">
        <v>16</v>
      </c>
      <c r="H4995">
        <v>41</v>
      </c>
      <c r="I4995">
        <v>21.683</v>
      </c>
      <c r="J4995">
        <v>35.097999999999999</v>
      </c>
      <c r="K4995">
        <v>13.414999999999999</v>
      </c>
      <c r="L4995">
        <v>37</v>
      </c>
      <c r="M4995">
        <v>0</v>
      </c>
      <c r="N4995">
        <v>4</v>
      </c>
      <c r="O4995">
        <v>33.725000000000001</v>
      </c>
      <c r="P4995">
        <v>14.43976784</v>
      </c>
      <c r="Q4995">
        <v>7.8259999999999996</v>
      </c>
    </row>
    <row r="4996" spans="1:17" x14ac:dyDescent="0.2">
      <c r="A4996" s="30" t="str">
        <f>IF(C4996&amp;G4996&amp;D4996&lt;&gt;'Funnel setup'!$K$3&amp;'Funnel setup'!$K$4&amp;'Funnel setup'!$K$5,".",IF(A4995=".",1,A4995+1))</f>
        <v>.</v>
      </c>
      <c r="B4996" s="431" t="str">
        <f t="shared" si="78"/>
        <v>Knee Replacement PrimaryProviderNUFFIELD HEALTH, NORTH STAFFORDSHIRE HOSPITAL (NT230)Oxford Knee Score</v>
      </c>
      <c r="C4996" t="s">
        <v>249</v>
      </c>
      <c r="D4996" t="s">
        <v>1</v>
      </c>
      <c r="E4996" t="s">
        <v>3397</v>
      </c>
      <c r="F4996" t="s">
        <v>3398</v>
      </c>
      <c r="G4996" t="s">
        <v>16</v>
      </c>
      <c r="H4996">
        <v>103</v>
      </c>
      <c r="I4996">
        <v>17.233000000000001</v>
      </c>
      <c r="J4996">
        <v>32.271999999999998</v>
      </c>
      <c r="K4996">
        <v>15.039</v>
      </c>
      <c r="L4996">
        <v>92</v>
      </c>
      <c r="M4996">
        <v>3</v>
      </c>
      <c r="N4996">
        <v>8</v>
      </c>
      <c r="O4996">
        <v>33.177</v>
      </c>
      <c r="P4996">
        <v>13.89169493</v>
      </c>
      <c r="Q4996">
        <v>9.6140000000000008</v>
      </c>
    </row>
    <row r="4997" spans="1:17" x14ac:dyDescent="0.2">
      <c r="A4997" s="30" t="str">
        <f>IF(C4997&amp;G4997&amp;D4997&lt;&gt;'Funnel setup'!$K$3&amp;'Funnel setup'!$K$4&amp;'Funnel setup'!$K$5,".",IF(A4996=".",1,A4996+1))</f>
        <v>.</v>
      </c>
      <c r="B4997" s="431" t="str">
        <f t="shared" si="78"/>
        <v>Knee Replacement PrimaryProviderNUFFIELD HEALTH, PLYMOUTH HOSPITAL (NT233)Oxford Knee Score</v>
      </c>
      <c r="C4997" t="s">
        <v>249</v>
      </c>
      <c r="D4997" t="s">
        <v>1</v>
      </c>
      <c r="E4997" t="s">
        <v>3400</v>
      </c>
      <c r="F4997" t="s">
        <v>3401</v>
      </c>
      <c r="G4997" t="s">
        <v>16</v>
      </c>
      <c r="H4997">
        <v>113</v>
      </c>
      <c r="I4997">
        <v>21.779</v>
      </c>
      <c r="J4997">
        <v>37.593000000000004</v>
      </c>
      <c r="K4997">
        <v>15.814</v>
      </c>
      <c r="L4997">
        <v>109</v>
      </c>
      <c r="M4997">
        <v>2</v>
      </c>
      <c r="N4997">
        <v>2</v>
      </c>
      <c r="O4997">
        <v>36.381999999999998</v>
      </c>
      <c r="P4997">
        <v>17.09636179</v>
      </c>
      <c r="Q4997">
        <v>7.1769999999999996</v>
      </c>
    </row>
    <row r="4998" spans="1:17" x14ac:dyDescent="0.2">
      <c r="A4998" s="30" t="str">
        <f>IF(C4998&amp;G4998&amp;D4998&lt;&gt;'Funnel setup'!$K$3&amp;'Funnel setup'!$K$4&amp;'Funnel setup'!$K$5,".",IF(A4997=".",1,A4997+1))</f>
        <v>.</v>
      </c>
      <c r="B4998" s="431" t="str">
        <f t="shared" si="78"/>
        <v>Knee Replacement PrimaryProviderNUFFIELD HEALTH, SHREWSBURY HOSPITAL (NT235)Oxford Knee Score</v>
      </c>
      <c r="C4998" t="s">
        <v>249</v>
      </c>
      <c r="D4998" t="s">
        <v>1</v>
      </c>
      <c r="E4998" t="s">
        <v>3240</v>
      </c>
      <c r="F4998" t="s">
        <v>3241</v>
      </c>
      <c r="G4998" t="s">
        <v>16</v>
      </c>
      <c r="H4998" t="s">
        <v>53</v>
      </c>
      <c r="I4998" t="s">
        <v>53</v>
      </c>
      <c r="J4998" t="s">
        <v>53</v>
      </c>
      <c r="K4998" t="s">
        <v>53</v>
      </c>
      <c r="L4998" t="s">
        <v>53</v>
      </c>
      <c r="M4998" t="s">
        <v>53</v>
      </c>
      <c r="N4998" t="s">
        <v>53</v>
      </c>
      <c r="O4998" t="s">
        <v>53</v>
      </c>
      <c r="P4998" t="s">
        <v>53</v>
      </c>
      <c r="Q4998" t="s">
        <v>53</v>
      </c>
    </row>
    <row r="4999" spans="1:17" x14ac:dyDescent="0.2">
      <c r="A4999" s="30" t="str">
        <f>IF(C4999&amp;G4999&amp;D4999&lt;&gt;'Funnel setup'!$K$3&amp;'Funnel setup'!$K$4&amp;'Funnel setup'!$K$5,".",IF(A4998=".",1,A4998+1))</f>
        <v>.</v>
      </c>
      <c r="B4999" s="431" t="str">
        <f t="shared" si="78"/>
        <v>Knee Replacement PrimaryProviderNUFFIELD HEALTH, TAUNTON HOSPITAL (NT238)Oxford Knee Score</v>
      </c>
      <c r="C4999" t="s">
        <v>249</v>
      </c>
      <c r="D4999" t="s">
        <v>1</v>
      </c>
      <c r="E4999" t="s">
        <v>3243</v>
      </c>
      <c r="F4999" t="s">
        <v>3244</v>
      </c>
      <c r="G4999" t="s">
        <v>16</v>
      </c>
      <c r="H4999">
        <v>76</v>
      </c>
      <c r="I4999">
        <v>21.934000000000001</v>
      </c>
      <c r="J4999">
        <v>39.316000000000003</v>
      </c>
      <c r="K4999">
        <v>17.382000000000001</v>
      </c>
      <c r="L4999">
        <v>73</v>
      </c>
      <c r="M4999">
        <v>1</v>
      </c>
      <c r="N4999">
        <v>2</v>
      </c>
      <c r="O4999">
        <v>36.500999999999998</v>
      </c>
      <c r="P4999">
        <v>17.21547404</v>
      </c>
      <c r="Q4999">
        <v>6.8650000000000002</v>
      </c>
    </row>
    <row r="5000" spans="1:17" x14ac:dyDescent="0.2">
      <c r="A5000" s="30" t="str">
        <f>IF(C5000&amp;G5000&amp;D5000&lt;&gt;'Funnel setup'!$K$3&amp;'Funnel setup'!$K$4&amp;'Funnel setup'!$K$5,".",IF(A4999=".",1,A4999+1))</f>
        <v>.</v>
      </c>
      <c r="B5000" s="431" t="str">
        <f t="shared" si="78"/>
        <v>Knee Replacement PrimaryProviderNUFFIELD HEALTH, TEES HOSPITAL (NT237)Oxford Knee Score</v>
      </c>
      <c r="C5000" t="s">
        <v>249</v>
      </c>
      <c r="D5000" t="s">
        <v>1</v>
      </c>
      <c r="E5000" t="s">
        <v>3246</v>
      </c>
      <c r="F5000" t="s">
        <v>3247</v>
      </c>
      <c r="G5000" t="s">
        <v>16</v>
      </c>
      <c r="H5000">
        <v>181</v>
      </c>
      <c r="I5000">
        <v>20.326000000000001</v>
      </c>
      <c r="J5000">
        <v>38.47</v>
      </c>
      <c r="K5000">
        <v>18.143999999999998</v>
      </c>
      <c r="L5000">
        <v>177</v>
      </c>
      <c r="M5000">
        <v>0</v>
      </c>
      <c r="N5000">
        <v>4</v>
      </c>
      <c r="O5000">
        <v>37.328000000000003</v>
      </c>
      <c r="P5000">
        <v>18.04234606</v>
      </c>
      <c r="Q5000">
        <v>7.23</v>
      </c>
    </row>
    <row r="5001" spans="1:17" x14ac:dyDescent="0.2">
      <c r="A5001" s="30" t="str">
        <f>IF(C5001&amp;G5001&amp;D5001&lt;&gt;'Funnel setup'!$K$3&amp;'Funnel setup'!$K$4&amp;'Funnel setup'!$K$5,".",IF(A5000=".",1,A5000+1))</f>
        <v>.</v>
      </c>
      <c r="B5001" s="431" t="str">
        <f t="shared" si="78"/>
        <v>Knee Replacement PrimaryProviderNUFFIELD HEALTH, THE GROSVENOR HOSPITAL, CHESTER (NT210)Oxford Knee Score</v>
      </c>
      <c r="C5001" t="s">
        <v>249</v>
      </c>
      <c r="D5001" t="s">
        <v>1</v>
      </c>
      <c r="E5001" t="s">
        <v>3249</v>
      </c>
      <c r="F5001" t="s">
        <v>3250</v>
      </c>
      <c r="G5001" t="s">
        <v>16</v>
      </c>
      <c r="H5001">
        <v>69</v>
      </c>
      <c r="I5001">
        <v>21.376999999999999</v>
      </c>
      <c r="J5001">
        <v>36.667000000000002</v>
      </c>
      <c r="K5001">
        <v>15.29</v>
      </c>
      <c r="L5001">
        <v>65</v>
      </c>
      <c r="M5001">
        <v>0</v>
      </c>
      <c r="N5001">
        <v>4</v>
      </c>
      <c r="O5001">
        <v>35.286999999999999</v>
      </c>
      <c r="P5001">
        <v>16.00124808</v>
      </c>
      <c r="Q5001">
        <v>7.8479999999999999</v>
      </c>
    </row>
    <row r="5002" spans="1:17" x14ac:dyDescent="0.2">
      <c r="A5002" s="30" t="str">
        <f>IF(C5002&amp;G5002&amp;D5002&lt;&gt;'Funnel setup'!$K$3&amp;'Funnel setup'!$K$4&amp;'Funnel setup'!$K$5,".",IF(A5001=".",1,A5001+1))</f>
        <v>.</v>
      </c>
      <c r="B5002" s="431" t="str">
        <f t="shared" si="78"/>
        <v>Knee Replacement PrimaryProviderNUFFIELD HEALTH, TUNBRIDGE WELLS HOSPITAL (NT239)Oxford Knee Score</v>
      </c>
      <c r="C5002" t="s">
        <v>249</v>
      </c>
      <c r="D5002" t="s">
        <v>1</v>
      </c>
      <c r="E5002" t="s">
        <v>3252</v>
      </c>
      <c r="F5002" t="s">
        <v>3253</v>
      </c>
      <c r="G5002" t="s">
        <v>16</v>
      </c>
      <c r="H5002" t="s">
        <v>53</v>
      </c>
      <c r="I5002" t="s">
        <v>53</v>
      </c>
      <c r="J5002" t="s">
        <v>53</v>
      </c>
      <c r="K5002" t="s">
        <v>53</v>
      </c>
      <c r="L5002" t="s">
        <v>53</v>
      </c>
      <c r="M5002" t="s">
        <v>53</v>
      </c>
      <c r="N5002" t="s">
        <v>53</v>
      </c>
      <c r="O5002" t="s">
        <v>53</v>
      </c>
      <c r="P5002" t="s">
        <v>53</v>
      </c>
      <c r="Q5002" t="s">
        <v>53</v>
      </c>
    </row>
    <row r="5003" spans="1:17" x14ac:dyDescent="0.2">
      <c r="A5003" s="30" t="str">
        <f>IF(C5003&amp;G5003&amp;D5003&lt;&gt;'Funnel setup'!$K$3&amp;'Funnel setup'!$K$4&amp;'Funnel setup'!$K$5,".",IF(A5002=".",1,A5002+1))</f>
        <v>.</v>
      </c>
      <c r="B5003" s="431" t="str">
        <f t="shared" si="78"/>
        <v>Knee Replacement PrimaryProviderNUFFIELD HEALTH, WARWICKSHIRE HOSPITAL (NT224)Oxford Knee Score</v>
      </c>
      <c r="C5003" t="s">
        <v>249</v>
      </c>
      <c r="D5003" t="s">
        <v>1</v>
      </c>
      <c r="E5003" t="s">
        <v>3255</v>
      </c>
      <c r="F5003" t="s">
        <v>3256</v>
      </c>
      <c r="G5003" t="s">
        <v>16</v>
      </c>
      <c r="H5003" t="s">
        <v>53</v>
      </c>
      <c r="I5003" t="s">
        <v>53</v>
      </c>
      <c r="J5003" t="s">
        <v>53</v>
      </c>
      <c r="K5003" t="s">
        <v>53</v>
      </c>
      <c r="L5003" t="s">
        <v>53</v>
      </c>
      <c r="M5003" t="s">
        <v>53</v>
      </c>
      <c r="N5003" t="s">
        <v>53</v>
      </c>
      <c r="O5003" t="s">
        <v>53</v>
      </c>
      <c r="P5003" t="s">
        <v>53</v>
      </c>
      <c r="Q5003" t="s">
        <v>53</v>
      </c>
    </row>
    <row r="5004" spans="1:17" x14ac:dyDescent="0.2">
      <c r="A5004" s="30" t="str">
        <f>IF(C5004&amp;G5004&amp;D5004&lt;&gt;'Funnel setup'!$K$3&amp;'Funnel setup'!$K$4&amp;'Funnel setup'!$K$5,".",IF(A5003=".",1,A5003+1))</f>
        <v>.</v>
      </c>
      <c r="B5004" s="431" t="str">
        <f t="shared" si="78"/>
        <v>Knee Replacement PrimaryProviderNUFFIELD HEALTH, WESSEX HOSPITAL (NT214)Oxford Knee Score</v>
      </c>
      <c r="C5004" t="s">
        <v>249</v>
      </c>
      <c r="D5004" t="s">
        <v>1</v>
      </c>
      <c r="E5004" t="s">
        <v>3258</v>
      </c>
      <c r="F5004" t="s">
        <v>3259</v>
      </c>
      <c r="G5004" t="s">
        <v>16</v>
      </c>
      <c r="H5004">
        <v>49</v>
      </c>
      <c r="I5004">
        <v>19.837</v>
      </c>
      <c r="J5004">
        <v>38.244999999999997</v>
      </c>
      <c r="K5004">
        <v>18.408000000000001</v>
      </c>
      <c r="L5004">
        <v>48</v>
      </c>
      <c r="M5004">
        <v>0</v>
      </c>
      <c r="N5004">
        <v>1</v>
      </c>
      <c r="O5004">
        <v>36.773000000000003</v>
      </c>
      <c r="P5004">
        <v>17.488078900000001</v>
      </c>
      <c r="Q5004">
        <v>7.8049999999999997</v>
      </c>
    </row>
    <row r="5005" spans="1:17" x14ac:dyDescent="0.2">
      <c r="A5005" s="30" t="str">
        <f>IF(C5005&amp;G5005&amp;D5005&lt;&gt;'Funnel setup'!$K$3&amp;'Funnel setup'!$K$4&amp;'Funnel setup'!$K$5,".",IF(A5004=".",1,A5004+1))</f>
        <v>.</v>
      </c>
      <c r="B5005" s="431" t="str">
        <f t="shared" si="78"/>
        <v>Knee Replacement PrimaryProviderNUFFIELD HEALTH, WOKING HOSPITAL (NT241)Oxford Knee Score</v>
      </c>
      <c r="C5005" t="s">
        <v>249</v>
      </c>
      <c r="D5005" t="s">
        <v>1</v>
      </c>
      <c r="E5005" t="s">
        <v>3261</v>
      </c>
      <c r="F5005" t="s">
        <v>3262</v>
      </c>
      <c r="G5005" t="s">
        <v>16</v>
      </c>
      <c r="H5005">
        <v>18</v>
      </c>
      <c r="I5005">
        <v>21.388999999999999</v>
      </c>
      <c r="J5005">
        <v>36.832999999999998</v>
      </c>
      <c r="K5005">
        <v>15.444000000000001</v>
      </c>
      <c r="L5005">
        <v>18</v>
      </c>
      <c r="M5005">
        <v>0</v>
      </c>
      <c r="N5005">
        <v>0</v>
      </c>
      <c r="O5005" t="s">
        <v>53</v>
      </c>
      <c r="P5005" t="s">
        <v>53</v>
      </c>
      <c r="Q5005" t="s">
        <v>53</v>
      </c>
    </row>
    <row r="5006" spans="1:17" x14ac:dyDescent="0.2">
      <c r="A5006" s="30" t="str">
        <f>IF(C5006&amp;G5006&amp;D5006&lt;&gt;'Funnel setup'!$K$3&amp;'Funnel setup'!$K$4&amp;'Funnel setup'!$K$5,".",IF(A5005=".",1,A5005+1))</f>
        <v>.</v>
      </c>
      <c r="B5006" s="431" t="str">
        <f t="shared" si="78"/>
        <v>Knee Replacement PrimaryProviderNUFFIELD HEALTH, WOLVERHAMPTON HOSPITAL (NT242)Oxford Knee Score</v>
      </c>
      <c r="C5006" t="s">
        <v>249</v>
      </c>
      <c r="D5006" t="s">
        <v>1</v>
      </c>
      <c r="E5006" t="s">
        <v>3264</v>
      </c>
      <c r="F5006" t="s">
        <v>3265</v>
      </c>
      <c r="G5006" t="s">
        <v>16</v>
      </c>
      <c r="H5006">
        <v>83</v>
      </c>
      <c r="I5006">
        <v>20.59</v>
      </c>
      <c r="J5006">
        <v>36.241</v>
      </c>
      <c r="K5006">
        <v>15.651</v>
      </c>
      <c r="L5006">
        <v>79</v>
      </c>
      <c r="M5006">
        <v>0</v>
      </c>
      <c r="N5006">
        <v>4</v>
      </c>
      <c r="O5006">
        <v>35.774000000000001</v>
      </c>
      <c r="P5006">
        <v>16.488538250000001</v>
      </c>
      <c r="Q5006">
        <v>7.4509999999999996</v>
      </c>
    </row>
    <row r="5007" spans="1:17" x14ac:dyDescent="0.2">
      <c r="A5007" s="30" t="str">
        <f>IF(C5007&amp;G5007&amp;D5007&lt;&gt;'Funnel setup'!$K$3&amp;'Funnel setup'!$K$4&amp;'Funnel setup'!$K$5,".",IF(A5006=".",1,A5006+1))</f>
        <v>.</v>
      </c>
      <c r="B5007" s="431" t="str">
        <f t="shared" si="78"/>
        <v>Knee Replacement PrimaryProviderNUFFIELD HEALTH, YORK HOSPITAL (NT245)Oxford Knee Score</v>
      </c>
      <c r="C5007" t="s">
        <v>249</v>
      </c>
      <c r="D5007" t="s">
        <v>1</v>
      </c>
      <c r="E5007" t="s">
        <v>4299</v>
      </c>
      <c r="F5007" t="s">
        <v>4300</v>
      </c>
      <c r="G5007" t="s">
        <v>16</v>
      </c>
      <c r="H5007">
        <v>143</v>
      </c>
      <c r="I5007">
        <v>20.895</v>
      </c>
      <c r="J5007">
        <v>37.72</v>
      </c>
      <c r="K5007">
        <v>16.824999999999999</v>
      </c>
      <c r="L5007">
        <v>141</v>
      </c>
      <c r="M5007">
        <v>1</v>
      </c>
      <c r="N5007">
        <v>1</v>
      </c>
      <c r="O5007">
        <v>35.536000000000001</v>
      </c>
      <c r="P5007">
        <v>16.250890829999999</v>
      </c>
      <c r="Q5007">
        <v>7.1520000000000001</v>
      </c>
    </row>
    <row r="5008" spans="1:17" x14ac:dyDescent="0.2">
      <c r="A5008" s="30" t="str">
        <f>IF(C5008&amp;G5008&amp;D5008&lt;&gt;'Funnel setup'!$K$3&amp;'Funnel setup'!$K$4&amp;'Funnel setup'!$K$5,".",IF(A5007=".",1,A5007+1))</f>
        <v>.</v>
      </c>
      <c r="B5008" s="431" t="str">
        <f t="shared" si="78"/>
        <v>Knee Replacement PrimaryProviderNUFFIELD HOSPITAL OXFORD (THE MANOR) (NT244)Oxford Knee Score</v>
      </c>
      <c r="C5008" t="s">
        <v>249</v>
      </c>
      <c r="D5008" t="s">
        <v>1</v>
      </c>
      <c r="E5008" t="s">
        <v>4302</v>
      </c>
      <c r="F5008" t="s">
        <v>4303</v>
      </c>
      <c r="G5008" t="s">
        <v>16</v>
      </c>
      <c r="H5008">
        <v>11</v>
      </c>
      <c r="I5008">
        <v>18.091000000000001</v>
      </c>
      <c r="J5008">
        <v>37.636000000000003</v>
      </c>
      <c r="K5008">
        <v>19.545000000000002</v>
      </c>
      <c r="L5008">
        <v>11</v>
      </c>
      <c r="M5008">
        <v>0</v>
      </c>
      <c r="N5008">
        <v>0</v>
      </c>
      <c r="O5008" t="s">
        <v>53</v>
      </c>
      <c r="P5008" t="s">
        <v>53</v>
      </c>
      <c r="Q5008" t="s">
        <v>53</v>
      </c>
    </row>
    <row r="5009" spans="1:17" x14ac:dyDescent="0.2">
      <c r="A5009" s="30" t="str">
        <f>IF(C5009&amp;G5009&amp;D5009&lt;&gt;'Funnel setup'!$K$3&amp;'Funnel setup'!$K$4&amp;'Funnel setup'!$K$5,".",IF(A5008=".",1,A5008+1))</f>
        <v>.</v>
      </c>
      <c r="B5009" s="431" t="str">
        <f t="shared" si="78"/>
        <v>Knee Replacement PrimaryProviderOAKLANDS HOSPITAL (NVC12)Oxford Knee Score</v>
      </c>
      <c r="C5009" t="s">
        <v>249</v>
      </c>
      <c r="D5009" t="s">
        <v>1</v>
      </c>
      <c r="E5009" t="s">
        <v>3267</v>
      </c>
      <c r="F5009" t="s">
        <v>3268</v>
      </c>
      <c r="G5009" t="s">
        <v>16</v>
      </c>
      <c r="H5009">
        <v>135</v>
      </c>
      <c r="I5009">
        <v>19.311</v>
      </c>
      <c r="J5009">
        <v>32.963000000000001</v>
      </c>
      <c r="K5009">
        <v>13.651999999999999</v>
      </c>
      <c r="L5009">
        <v>115</v>
      </c>
      <c r="M5009">
        <v>3</v>
      </c>
      <c r="N5009">
        <v>17</v>
      </c>
      <c r="O5009">
        <v>33.451000000000001</v>
      </c>
      <c r="P5009">
        <v>14.165441919999999</v>
      </c>
      <c r="Q5009">
        <v>9.6180000000000003</v>
      </c>
    </row>
    <row r="5010" spans="1:17" x14ac:dyDescent="0.2">
      <c r="A5010" s="30" t="str">
        <f>IF(C5010&amp;G5010&amp;D5010&lt;&gt;'Funnel setup'!$K$3&amp;'Funnel setup'!$K$4&amp;'Funnel setup'!$K$5,".",IF(A5009=".",1,A5009+1))</f>
        <v>.</v>
      </c>
      <c r="B5010" s="431" t="str">
        <f t="shared" si="78"/>
        <v>Knee Replacement PrimaryProviderOAKS HOSPITAL (NVC13)Oxford Knee Score</v>
      </c>
      <c r="C5010" t="s">
        <v>249</v>
      </c>
      <c r="D5010" t="s">
        <v>1</v>
      </c>
      <c r="E5010" t="s">
        <v>3270</v>
      </c>
      <c r="F5010" t="s">
        <v>3271</v>
      </c>
      <c r="G5010" t="s">
        <v>16</v>
      </c>
      <c r="H5010">
        <v>163</v>
      </c>
      <c r="I5010">
        <v>21.491</v>
      </c>
      <c r="J5010">
        <v>36.140999999999998</v>
      </c>
      <c r="K5010">
        <v>14.65</v>
      </c>
      <c r="L5010">
        <v>150</v>
      </c>
      <c r="M5010">
        <v>3</v>
      </c>
      <c r="N5010">
        <v>10</v>
      </c>
      <c r="O5010">
        <v>34.869999999999997</v>
      </c>
      <c r="P5010">
        <v>15.58481057</v>
      </c>
      <c r="Q5010">
        <v>7.7880000000000003</v>
      </c>
    </row>
    <row r="5011" spans="1:17" x14ac:dyDescent="0.2">
      <c r="A5011" s="30" t="str">
        <f>IF(C5011&amp;G5011&amp;D5011&lt;&gt;'Funnel setup'!$K$3&amp;'Funnel setup'!$K$4&amp;'Funnel setup'!$K$5,".",IF(A5010=".",1,A5010+1))</f>
        <v>.</v>
      </c>
      <c r="B5011" s="431" t="str">
        <f t="shared" si="78"/>
        <v>Knee Replacement PrimaryProviderONE HEALTH GROUP LTD (NTX01)Oxford Knee Score</v>
      </c>
      <c r="C5011" t="s">
        <v>249</v>
      </c>
      <c r="D5011" t="s">
        <v>1</v>
      </c>
      <c r="E5011" t="s">
        <v>6507</v>
      </c>
      <c r="F5011" t="s">
        <v>6508</v>
      </c>
      <c r="G5011" t="s">
        <v>16</v>
      </c>
      <c r="H5011">
        <v>38</v>
      </c>
      <c r="I5011">
        <v>22.236999999999998</v>
      </c>
      <c r="J5011">
        <v>37.262999999999998</v>
      </c>
      <c r="K5011">
        <v>15.026</v>
      </c>
      <c r="L5011">
        <v>34</v>
      </c>
      <c r="M5011">
        <v>1</v>
      </c>
      <c r="N5011">
        <v>3</v>
      </c>
      <c r="O5011">
        <v>34.668999999999997</v>
      </c>
      <c r="P5011">
        <v>15.38376313</v>
      </c>
      <c r="Q5011">
        <v>8.7059999999999995</v>
      </c>
    </row>
    <row r="5012" spans="1:17" x14ac:dyDescent="0.2">
      <c r="A5012" s="30" t="str">
        <f>IF(C5012&amp;G5012&amp;D5012&lt;&gt;'Funnel setup'!$K$3&amp;'Funnel setup'!$K$4&amp;'Funnel setup'!$K$5,".",IF(A5011=".",1,A5011+1))</f>
        <v>.</v>
      </c>
      <c r="B5012" s="431" t="str">
        <f t="shared" si="78"/>
        <v>Knee Replacement PrimaryProviderOXFORD UNIVERSITY HOSPITALS NHS FOUNDATION TRUST (RTH)Oxford Knee Score</v>
      </c>
      <c r="C5012" t="s">
        <v>249</v>
      </c>
      <c r="D5012" t="s">
        <v>1</v>
      </c>
      <c r="E5012" t="s">
        <v>3278</v>
      </c>
      <c r="F5012" t="s">
        <v>6578</v>
      </c>
      <c r="G5012" t="s">
        <v>16</v>
      </c>
      <c r="H5012">
        <v>265</v>
      </c>
      <c r="I5012">
        <v>18.977</v>
      </c>
      <c r="J5012">
        <v>34.622999999999998</v>
      </c>
      <c r="K5012">
        <v>15.645</v>
      </c>
      <c r="L5012">
        <v>250</v>
      </c>
      <c r="M5012">
        <v>2</v>
      </c>
      <c r="N5012">
        <v>13</v>
      </c>
      <c r="O5012">
        <v>34.226999999999997</v>
      </c>
      <c r="P5012">
        <v>14.941159300000001</v>
      </c>
      <c r="Q5012">
        <v>8.3439999999999994</v>
      </c>
    </row>
    <row r="5013" spans="1:17" x14ac:dyDescent="0.2">
      <c r="A5013" s="30" t="str">
        <f>IF(C5013&amp;G5013&amp;D5013&lt;&gt;'Funnel setup'!$K$3&amp;'Funnel setup'!$K$4&amp;'Funnel setup'!$K$5,".",IF(A5012=".",1,A5012+1))</f>
        <v>.</v>
      </c>
      <c r="B5013" s="431" t="str">
        <f t="shared" si="78"/>
        <v>Knee Replacement PrimaryProviderPARK HILL HOSPITAL (NVC14)Oxford Knee Score</v>
      </c>
      <c r="C5013" t="s">
        <v>249</v>
      </c>
      <c r="D5013" t="s">
        <v>1</v>
      </c>
      <c r="E5013" t="s">
        <v>3280</v>
      </c>
      <c r="F5013" t="s">
        <v>3281</v>
      </c>
      <c r="G5013" t="s">
        <v>16</v>
      </c>
      <c r="H5013">
        <v>32</v>
      </c>
      <c r="I5013">
        <v>17.75</v>
      </c>
      <c r="J5013">
        <v>34</v>
      </c>
      <c r="K5013">
        <v>16.25</v>
      </c>
      <c r="L5013">
        <v>29</v>
      </c>
      <c r="M5013">
        <v>1</v>
      </c>
      <c r="N5013">
        <v>2</v>
      </c>
      <c r="O5013">
        <v>34.829000000000001</v>
      </c>
      <c r="P5013">
        <v>15.54350546</v>
      </c>
      <c r="Q5013">
        <v>9.2759999999999998</v>
      </c>
    </row>
    <row r="5014" spans="1:17" x14ac:dyDescent="0.2">
      <c r="A5014" s="30" t="str">
        <f>IF(C5014&amp;G5014&amp;D5014&lt;&gt;'Funnel setup'!$K$3&amp;'Funnel setup'!$K$4&amp;'Funnel setup'!$K$5,".",IF(A5013=".",1,A5013+1))</f>
        <v>.</v>
      </c>
      <c r="B5014" s="431" t="str">
        <f t="shared" si="78"/>
        <v>Knee Replacement PrimaryProviderPENINSULA NHS TREATMENT CENTRE (NTPH5)Oxford Knee Score</v>
      </c>
      <c r="C5014" t="s">
        <v>249</v>
      </c>
      <c r="D5014" t="s">
        <v>1</v>
      </c>
      <c r="E5014" t="s">
        <v>4285</v>
      </c>
      <c r="F5014" t="s">
        <v>4286</v>
      </c>
      <c r="G5014" t="s">
        <v>16</v>
      </c>
      <c r="H5014">
        <v>245</v>
      </c>
      <c r="I5014">
        <v>22.472999999999999</v>
      </c>
      <c r="J5014">
        <v>37.024000000000001</v>
      </c>
      <c r="K5014">
        <v>14.551</v>
      </c>
      <c r="L5014">
        <v>227</v>
      </c>
      <c r="M5014">
        <v>3</v>
      </c>
      <c r="N5014">
        <v>15</v>
      </c>
      <c r="O5014">
        <v>34.959000000000003</v>
      </c>
      <c r="P5014">
        <v>15.67395716</v>
      </c>
      <c r="Q5014">
        <v>7.9649999999999999</v>
      </c>
    </row>
    <row r="5015" spans="1:17" x14ac:dyDescent="0.2">
      <c r="A5015" s="30" t="str">
        <f>IF(C5015&amp;G5015&amp;D5015&lt;&gt;'Funnel setup'!$K$3&amp;'Funnel setup'!$K$4&amp;'Funnel setup'!$K$5,".",IF(A5014=".",1,A5014+1))</f>
        <v>.</v>
      </c>
      <c r="B5015" s="431" t="str">
        <f t="shared" si="78"/>
        <v>Knee Replacement PrimaryProviderPENNINE ACUTE HOSPITALS NHS TRUST (RW6)Oxford Knee Score</v>
      </c>
      <c r="C5015" t="s">
        <v>249</v>
      </c>
      <c r="D5015" t="s">
        <v>1</v>
      </c>
      <c r="E5015" t="s">
        <v>3216</v>
      </c>
      <c r="F5015" t="s">
        <v>3217</v>
      </c>
      <c r="G5015" t="s">
        <v>16</v>
      </c>
      <c r="H5015">
        <v>183</v>
      </c>
      <c r="I5015">
        <v>15.678000000000001</v>
      </c>
      <c r="J5015">
        <v>31.338999999999999</v>
      </c>
      <c r="K5015">
        <v>15.661</v>
      </c>
      <c r="L5015">
        <v>172</v>
      </c>
      <c r="M5015">
        <v>1</v>
      </c>
      <c r="N5015">
        <v>10</v>
      </c>
      <c r="O5015">
        <v>34.536999999999999</v>
      </c>
      <c r="P5015">
        <v>15.251660429999999</v>
      </c>
      <c r="Q5015">
        <v>10.124000000000001</v>
      </c>
    </row>
    <row r="5016" spans="1:17" x14ac:dyDescent="0.2">
      <c r="A5016" s="30" t="str">
        <f>IF(C5016&amp;G5016&amp;D5016&lt;&gt;'Funnel setup'!$K$3&amp;'Funnel setup'!$K$4&amp;'Funnel setup'!$K$5,".",IF(A5015=".",1,A5015+1))</f>
        <v>.</v>
      </c>
      <c r="B5016" s="431" t="str">
        <f t="shared" si="78"/>
        <v>Knee Replacement PrimaryProviderPETERBOROUGH AND STAMFORD HOSPITALS NHS FOUNDATION TRUST (RGN)Oxford Knee Score</v>
      </c>
      <c r="C5016" t="s">
        <v>249</v>
      </c>
      <c r="D5016" t="s">
        <v>1</v>
      </c>
      <c r="E5016" t="s">
        <v>3219</v>
      </c>
      <c r="F5016" t="s">
        <v>3220</v>
      </c>
      <c r="G5016" t="s">
        <v>16</v>
      </c>
      <c r="H5016">
        <v>242</v>
      </c>
      <c r="I5016">
        <v>19.277000000000001</v>
      </c>
      <c r="J5016">
        <v>35.587000000000003</v>
      </c>
      <c r="K5016">
        <v>16.309999999999999</v>
      </c>
      <c r="L5016">
        <v>219</v>
      </c>
      <c r="M5016">
        <v>1</v>
      </c>
      <c r="N5016">
        <v>22</v>
      </c>
      <c r="O5016">
        <v>35.475000000000001</v>
      </c>
      <c r="P5016">
        <v>16.189677700000001</v>
      </c>
      <c r="Q5016">
        <v>8.843</v>
      </c>
    </row>
    <row r="5017" spans="1:17" x14ac:dyDescent="0.2">
      <c r="A5017" s="30" t="str">
        <f>IF(C5017&amp;G5017&amp;D5017&lt;&gt;'Funnel setup'!$K$3&amp;'Funnel setup'!$K$4&amp;'Funnel setup'!$K$5,".",IF(A5016=".",1,A5016+1))</f>
        <v>.</v>
      </c>
      <c r="B5017" s="431" t="str">
        <f t="shared" si="78"/>
        <v>Knee Replacement PrimaryProviderPINEHILL HOSPITAL (NVC15)Oxford Knee Score</v>
      </c>
      <c r="C5017" t="s">
        <v>249</v>
      </c>
      <c r="D5017" t="s">
        <v>1</v>
      </c>
      <c r="E5017" t="s">
        <v>3222</v>
      </c>
      <c r="F5017" t="s">
        <v>3223</v>
      </c>
      <c r="G5017" t="s">
        <v>16</v>
      </c>
      <c r="H5017">
        <v>40</v>
      </c>
      <c r="I5017">
        <v>20.7</v>
      </c>
      <c r="J5017">
        <v>35.274999999999999</v>
      </c>
      <c r="K5017">
        <v>14.574999999999999</v>
      </c>
      <c r="L5017">
        <v>34</v>
      </c>
      <c r="M5017">
        <v>1</v>
      </c>
      <c r="N5017">
        <v>5</v>
      </c>
      <c r="O5017">
        <v>34.643000000000001</v>
      </c>
      <c r="P5017">
        <v>15.357772819999999</v>
      </c>
      <c r="Q5017">
        <v>8.8109999999999999</v>
      </c>
    </row>
    <row r="5018" spans="1:17" x14ac:dyDescent="0.2">
      <c r="A5018" s="30" t="str">
        <f>IF(C5018&amp;G5018&amp;D5018&lt;&gt;'Funnel setup'!$K$3&amp;'Funnel setup'!$K$4&amp;'Funnel setup'!$K$5,".",IF(A5017=".",1,A5017+1))</f>
        <v>.</v>
      </c>
      <c r="B5018" s="431" t="str">
        <f t="shared" si="78"/>
        <v>Knee Replacement PrimaryProviderPLYMOUTH HOSPITALS NHS TRUST (RK9)Oxford Knee Score</v>
      </c>
      <c r="C5018" t="s">
        <v>249</v>
      </c>
      <c r="D5018" t="s">
        <v>1</v>
      </c>
      <c r="E5018" t="s">
        <v>3225</v>
      </c>
      <c r="F5018" t="s">
        <v>3226</v>
      </c>
      <c r="G5018" t="s">
        <v>16</v>
      </c>
      <c r="H5018">
        <v>213</v>
      </c>
      <c r="I5018">
        <v>18.451000000000001</v>
      </c>
      <c r="J5018">
        <v>34.014000000000003</v>
      </c>
      <c r="K5018">
        <v>15.563000000000001</v>
      </c>
      <c r="L5018">
        <v>200</v>
      </c>
      <c r="M5018">
        <v>3</v>
      </c>
      <c r="N5018">
        <v>10</v>
      </c>
      <c r="O5018">
        <v>34.750999999999998</v>
      </c>
      <c r="P5018">
        <v>15.465937329999999</v>
      </c>
      <c r="Q5018">
        <v>8.6910000000000007</v>
      </c>
    </row>
    <row r="5019" spans="1:17" x14ac:dyDescent="0.2">
      <c r="A5019" s="30" t="str">
        <f>IF(C5019&amp;G5019&amp;D5019&lt;&gt;'Funnel setup'!$K$3&amp;'Funnel setup'!$K$4&amp;'Funnel setup'!$K$5,".",IF(A5018=".",1,A5018+1))</f>
        <v>.</v>
      </c>
      <c r="B5019" s="431" t="str">
        <f t="shared" si="78"/>
        <v>Knee Replacement PrimaryProviderPORTSMOUTH HOSPITALS NHS TRUST (RHU)Oxford Knee Score</v>
      </c>
      <c r="C5019" t="s">
        <v>249</v>
      </c>
      <c r="D5019" t="s">
        <v>1</v>
      </c>
      <c r="E5019" t="s">
        <v>3234</v>
      </c>
      <c r="F5019" t="s">
        <v>3235</v>
      </c>
      <c r="G5019" t="s">
        <v>16</v>
      </c>
      <c r="H5019">
        <v>151</v>
      </c>
      <c r="I5019">
        <v>18.390999999999998</v>
      </c>
      <c r="J5019">
        <v>34.463999999999999</v>
      </c>
      <c r="K5019">
        <v>16.073</v>
      </c>
      <c r="L5019">
        <v>147</v>
      </c>
      <c r="M5019">
        <v>0</v>
      </c>
      <c r="N5019">
        <v>4</v>
      </c>
      <c r="O5019">
        <v>34.351999999999997</v>
      </c>
      <c r="P5019">
        <v>15.066927079999999</v>
      </c>
      <c r="Q5019">
        <v>7.87</v>
      </c>
    </row>
    <row r="5020" spans="1:17" x14ac:dyDescent="0.2">
      <c r="A5020" s="30" t="str">
        <f>IF(C5020&amp;G5020&amp;D5020&lt;&gt;'Funnel setup'!$K$3&amp;'Funnel setup'!$K$4&amp;'Funnel setup'!$K$5,".",IF(A5019=".",1,A5019+1))</f>
        <v>.</v>
      </c>
      <c r="B5020" s="431" t="str">
        <f t="shared" si="78"/>
        <v>Knee Replacement PrimaryProviderRENACRES HOSPITAL (NVC16)Oxford Knee Score</v>
      </c>
      <c r="C5020" t="s">
        <v>249</v>
      </c>
      <c r="D5020" t="s">
        <v>1</v>
      </c>
      <c r="E5020" t="s">
        <v>3237</v>
      </c>
      <c r="F5020" t="s">
        <v>3238</v>
      </c>
      <c r="G5020" t="s">
        <v>16</v>
      </c>
      <c r="H5020">
        <v>58</v>
      </c>
      <c r="I5020">
        <v>21.896999999999998</v>
      </c>
      <c r="J5020">
        <v>36.723999999999997</v>
      </c>
      <c r="K5020">
        <v>14.827999999999999</v>
      </c>
      <c r="L5020">
        <v>53</v>
      </c>
      <c r="M5020">
        <v>1</v>
      </c>
      <c r="N5020">
        <v>4</v>
      </c>
      <c r="O5020">
        <v>34.94</v>
      </c>
      <c r="P5020">
        <v>15.65512262</v>
      </c>
      <c r="Q5020">
        <v>9.1829999999999998</v>
      </c>
    </row>
    <row r="5021" spans="1:17" x14ac:dyDescent="0.2">
      <c r="A5021" s="30" t="str">
        <f>IF(C5021&amp;G5021&amp;D5021&lt;&gt;'Funnel setup'!$K$3&amp;'Funnel setup'!$K$4&amp;'Funnel setup'!$K$5,".",IF(A5020=".",1,A5020+1))</f>
        <v>.</v>
      </c>
      <c r="B5021" s="431" t="str">
        <f t="shared" si="78"/>
        <v>Knee Replacement PrimaryProviderRIVERS HOSPITAL (NVC19)Oxford Knee Score</v>
      </c>
      <c r="C5021" t="s">
        <v>249</v>
      </c>
      <c r="D5021" t="s">
        <v>1</v>
      </c>
      <c r="E5021" t="s">
        <v>3204</v>
      </c>
      <c r="F5021" t="s">
        <v>3205</v>
      </c>
      <c r="G5021" t="s">
        <v>16</v>
      </c>
      <c r="H5021">
        <v>83</v>
      </c>
      <c r="I5021">
        <v>20.434000000000001</v>
      </c>
      <c r="J5021">
        <v>37.951999999999998</v>
      </c>
      <c r="K5021">
        <v>17.518000000000001</v>
      </c>
      <c r="L5021">
        <v>82</v>
      </c>
      <c r="M5021">
        <v>0</v>
      </c>
      <c r="N5021">
        <v>1</v>
      </c>
      <c r="O5021">
        <v>36.692999999999998</v>
      </c>
      <c r="P5021">
        <v>17.40765794</v>
      </c>
      <c r="Q5021">
        <v>7.3730000000000002</v>
      </c>
    </row>
    <row r="5022" spans="1:17" x14ac:dyDescent="0.2">
      <c r="A5022" s="30" t="str">
        <f>IF(C5022&amp;G5022&amp;D5022&lt;&gt;'Funnel setup'!$K$3&amp;'Funnel setup'!$K$4&amp;'Funnel setup'!$K$5,".",IF(A5021=".",1,A5021+1))</f>
        <v>.</v>
      </c>
      <c r="B5022" s="431" t="str">
        <f t="shared" si="78"/>
        <v>Knee Replacement PrimaryProviderROWLEY HALL HOSPITAL (NVC17)Oxford Knee Score</v>
      </c>
      <c r="C5022" t="s">
        <v>249</v>
      </c>
      <c r="D5022" t="s">
        <v>1</v>
      </c>
      <c r="E5022" t="s">
        <v>3207</v>
      </c>
      <c r="F5022" t="s">
        <v>3208</v>
      </c>
      <c r="G5022" t="s">
        <v>16</v>
      </c>
      <c r="H5022">
        <v>50</v>
      </c>
      <c r="I5022">
        <v>19.66</v>
      </c>
      <c r="J5022">
        <v>35.78</v>
      </c>
      <c r="K5022">
        <v>16.12</v>
      </c>
      <c r="L5022">
        <v>47</v>
      </c>
      <c r="M5022">
        <v>1</v>
      </c>
      <c r="N5022">
        <v>2</v>
      </c>
      <c r="O5022">
        <v>34.796999999999997</v>
      </c>
      <c r="P5022">
        <v>15.511582170000001</v>
      </c>
      <c r="Q5022">
        <v>8.3420000000000005</v>
      </c>
    </row>
    <row r="5023" spans="1:17" x14ac:dyDescent="0.2">
      <c r="A5023" s="30" t="str">
        <f>IF(C5023&amp;G5023&amp;D5023&lt;&gt;'Funnel setup'!$K$3&amp;'Funnel setup'!$K$4&amp;'Funnel setup'!$K$5,".",IF(A5022=".",1,A5022+1))</f>
        <v>.</v>
      </c>
      <c r="B5023" s="431" t="str">
        <f t="shared" si="78"/>
        <v>Knee Replacement PrimaryProviderROYAL BERKSHIRE NHS FOUNDATION TRUST (RHW)Oxford Knee Score</v>
      </c>
      <c r="C5023" t="s">
        <v>249</v>
      </c>
      <c r="D5023" t="s">
        <v>1</v>
      </c>
      <c r="E5023" t="s">
        <v>3832</v>
      </c>
      <c r="F5023" t="s">
        <v>3833</v>
      </c>
      <c r="G5023" t="s">
        <v>16</v>
      </c>
      <c r="H5023">
        <v>143</v>
      </c>
      <c r="I5023">
        <v>20.888000000000002</v>
      </c>
      <c r="J5023">
        <v>34.706000000000003</v>
      </c>
      <c r="K5023">
        <v>13.818</v>
      </c>
      <c r="L5023">
        <v>125</v>
      </c>
      <c r="M5023">
        <v>1</v>
      </c>
      <c r="N5023">
        <v>17</v>
      </c>
      <c r="O5023">
        <v>33.253999999999998</v>
      </c>
      <c r="P5023">
        <v>13.96857584</v>
      </c>
      <c r="Q5023">
        <v>8.8420000000000005</v>
      </c>
    </row>
    <row r="5024" spans="1:17" x14ac:dyDescent="0.2">
      <c r="A5024" s="30" t="str">
        <f>IF(C5024&amp;G5024&amp;D5024&lt;&gt;'Funnel setup'!$K$3&amp;'Funnel setup'!$K$4&amp;'Funnel setup'!$K$5,".",IF(A5023=".",1,A5023+1))</f>
        <v>.</v>
      </c>
      <c r="B5024" s="431" t="str">
        <f t="shared" si="78"/>
        <v>Knee Replacement PrimaryProviderROYAL CORNWALL HOSPITALS NHS TRUST (REF)Oxford Knee Score</v>
      </c>
      <c r="C5024" t="s">
        <v>249</v>
      </c>
      <c r="D5024" t="s">
        <v>1</v>
      </c>
      <c r="E5024" t="s">
        <v>3745</v>
      </c>
      <c r="F5024" t="s">
        <v>3746</v>
      </c>
      <c r="G5024" t="s">
        <v>16</v>
      </c>
      <c r="H5024">
        <v>238</v>
      </c>
      <c r="I5024">
        <v>18.844999999999999</v>
      </c>
      <c r="J5024">
        <v>36.286000000000001</v>
      </c>
      <c r="K5024">
        <v>17.440999999999999</v>
      </c>
      <c r="L5024">
        <v>228</v>
      </c>
      <c r="M5024">
        <v>2</v>
      </c>
      <c r="N5024">
        <v>8</v>
      </c>
      <c r="O5024">
        <v>36.811</v>
      </c>
      <c r="P5024">
        <v>17.5251412</v>
      </c>
      <c r="Q5024">
        <v>8.5879999999999992</v>
      </c>
    </row>
    <row r="5025" spans="1:17" x14ac:dyDescent="0.2">
      <c r="A5025" s="30" t="str">
        <f>IF(C5025&amp;G5025&amp;D5025&lt;&gt;'Funnel setup'!$K$3&amp;'Funnel setup'!$K$4&amp;'Funnel setup'!$K$5,".",IF(A5024=".",1,A5024+1))</f>
        <v>.</v>
      </c>
      <c r="B5025" s="431" t="str">
        <f t="shared" si="78"/>
        <v>Knee Replacement PrimaryProviderROYAL DEVON AND EXETER NHS FOUNDATION TRUST (RH8)Oxford Knee Score</v>
      </c>
      <c r="C5025" t="s">
        <v>249</v>
      </c>
      <c r="D5025" t="s">
        <v>1</v>
      </c>
      <c r="E5025" t="s">
        <v>3442</v>
      </c>
      <c r="F5025" t="s">
        <v>3443</v>
      </c>
      <c r="G5025" t="s">
        <v>16</v>
      </c>
      <c r="H5025">
        <v>424</v>
      </c>
      <c r="I5025">
        <v>19.12</v>
      </c>
      <c r="J5025">
        <v>37.192999999999998</v>
      </c>
      <c r="K5025">
        <v>18.073</v>
      </c>
      <c r="L5025">
        <v>411</v>
      </c>
      <c r="M5025">
        <v>2</v>
      </c>
      <c r="N5025">
        <v>11</v>
      </c>
      <c r="O5025">
        <v>37.037999999999997</v>
      </c>
      <c r="P5025">
        <v>17.752798609999999</v>
      </c>
      <c r="Q5025">
        <v>7.8970000000000002</v>
      </c>
    </row>
    <row r="5026" spans="1:17" x14ac:dyDescent="0.2">
      <c r="A5026" s="30" t="str">
        <f>IF(C5026&amp;G5026&amp;D5026&lt;&gt;'Funnel setup'!$K$3&amp;'Funnel setup'!$K$4&amp;'Funnel setup'!$K$5,".",IF(A5025=".",1,A5025+1))</f>
        <v>.</v>
      </c>
      <c r="B5026" s="431" t="str">
        <f t="shared" si="78"/>
        <v>Knee Replacement PrimaryProviderROYAL FREE LONDON NHS FOUNDATION TRUST (RAL)Oxford Knee Score</v>
      </c>
      <c r="C5026" t="s">
        <v>249</v>
      </c>
      <c r="D5026" t="s">
        <v>1</v>
      </c>
      <c r="E5026" t="s">
        <v>3445</v>
      </c>
      <c r="F5026" t="s">
        <v>3446</v>
      </c>
      <c r="G5026" t="s">
        <v>16</v>
      </c>
      <c r="H5026">
        <v>174</v>
      </c>
      <c r="I5026">
        <v>17.690000000000001</v>
      </c>
      <c r="J5026">
        <v>31.42</v>
      </c>
      <c r="K5026">
        <v>13.73</v>
      </c>
      <c r="L5026">
        <v>156</v>
      </c>
      <c r="M5026">
        <v>1</v>
      </c>
      <c r="N5026">
        <v>17</v>
      </c>
      <c r="O5026">
        <v>33.078000000000003</v>
      </c>
      <c r="P5026">
        <v>13.79278072</v>
      </c>
      <c r="Q5026">
        <v>9.3800000000000008</v>
      </c>
    </row>
    <row r="5027" spans="1:17" x14ac:dyDescent="0.2">
      <c r="A5027" s="30" t="str">
        <f>IF(C5027&amp;G5027&amp;D5027&lt;&gt;'Funnel setup'!$K$3&amp;'Funnel setup'!$K$4&amp;'Funnel setup'!$K$5,".",IF(A5026=".",1,A5026+1))</f>
        <v>.</v>
      </c>
      <c r="B5027" s="431" t="str">
        <f t="shared" si="78"/>
        <v>Knee Replacement PrimaryProviderROYAL LIVERPOOL AND BROADGREEN UNIVERSITY HOSPITALS NHS TRUST (RQ6)Oxford Knee Score</v>
      </c>
      <c r="C5027" t="s">
        <v>249</v>
      </c>
      <c r="D5027" t="s">
        <v>1</v>
      </c>
      <c r="E5027" t="s">
        <v>3448</v>
      </c>
      <c r="F5027" t="s">
        <v>3449</v>
      </c>
      <c r="G5027" t="s">
        <v>16</v>
      </c>
      <c r="H5027">
        <v>141</v>
      </c>
      <c r="I5027">
        <v>17.027999999999999</v>
      </c>
      <c r="J5027">
        <v>31.623999999999999</v>
      </c>
      <c r="K5027">
        <v>14.596</v>
      </c>
      <c r="L5027">
        <v>131</v>
      </c>
      <c r="M5027">
        <v>1</v>
      </c>
      <c r="N5027">
        <v>9</v>
      </c>
      <c r="O5027">
        <v>33.856000000000002</v>
      </c>
      <c r="P5027">
        <v>14.570834720000001</v>
      </c>
      <c r="Q5027">
        <v>8.8979999999999997</v>
      </c>
    </row>
    <row r="5028" spans="1:17" x14ac:dyDescent="0.2">
      <c r="A5028" s="30" t="str">
        <f>IF(C5028&amp;G5028&amp;D5028&lt;&gt;'Funnel setup'!$K$3&amp;'Funnel setup'!$K$4&amp;'Funnel setup'!$K$5,".",IF(A5027=".",1,A5027+1))</f>
        <v>.</v>
      </c>
      <c r="B5028" s="431" t="str">
        <f t="shared" si="78"/>
        <v>Knee Replacement PrimaryProviderROYAL NATIONAL ORTHOPAEDIC HOSPITAL NHS TRUST (RAN)Oxford Knee Score</v>
      </c>
      <c r="C5028" t="s">
        <v>249</v>
      </c>
      <c r="D5028" t="s">
        <v>1</v>
      </c>
      <c r="E5028" t="s">
        <v>4378</v>
      </c>
      <c r="F5028" t="s">
        <v>4379</v>
      </c>
      <c r="G5028" t="s">
        <v>16</v>
      </c>
      <c r="H5028">
        <v>104</v>
      </c>
      <c r="I5028">
        <v>19.375</v>
      </c>
      <c r="J5028">
        <v>32.845999999999997</v>
      </c>
      <c r="K5028">
        <v>13.471</v>
      </c>
      <c r="L5028">
        <v>94</v>
      </c>
      <c r="M5028">
        <v>2</v>
      </c>
      <c r="N5028">
        <v>8</v>
      </c>
      <c r="O5028">
        <v>33.555999999999997</v>
      </c>
      <c r="P5028">
        <v>14.270753559999999</v>
      </c>
      <c r="Q5028">
        <v>8.1199999999999992</v>
      </c>
    </row>
    <row r="5029" spans="1:17" x14ac:dyDescent="0.2">
      <c r="A5029" s="30" t="str">
        <f>IF(C5029&amp;G5029&amp;D5029&lt;&gt;'Funnel setup'!$K$3&amp;'Funnel setup'!$K$4&amp;'Funnel setup'!$K$5,".",IF(A5028=".",1,A5028+1))</f>
        <v>.</v>
      </c>
      <c r="B5029" s="431" t="str">
        <f t="shared" si="78"/>
        <v>Knee Replacement PrimaryProviderROYAL SURREY COUNTY HOSPITAL NHS FOUNDATION TRUST (RA2)Oxford Knee Score</v>
      </c>
      <c r="C5029" t="s">
        <v>249</v>
      </c>
      <c r="D5029" t="s">
        <v>1</v>
      </c>
      <c r="E5029" t="s">
        <v>3451</v>
      </c>
      <c r="F5029" t="s">
        <v>3452</v>
      </c>
      <c r="G5029" t="s">
        <v>16</v>
      </c>
      <c r="H5029">
        <v>120</v>
      </c>
      <c r="I5029">
        <v>21.007999999999999</v>
      </c>
      <c r="J5029">
        <v>38.183</v>
      </c>
      <c r="K5029">
        <v>17.175000000000001</v>
      </c>
      <c r="L5029">
        <v>114</v>
      </c>
      <c r="M5029">
        <v>1</v>
      </c>
      <c r="N5029">
        <v>5</v>
      </c>
      <c r="O5029">
        <v>36.408999999999999</v>
      </c>
      <c r="P5029">
        <v>17.123933359999999</v>
      </c>
      <c r="Q5029">
        <v>7.3520000000000003</v>
      </c>
    </row>
    <row r="5030" spans="1:17" x14ac:dyDescent="0.2">
      <c r="A5030" s="30" t="str">
        <f>IF(C5030&amp;G5030&amp;D5030&lt;&gt;'Funnel setup'!$K$3&amp;'Funnel setup'!$K$4&amp;'Funnel setup'!$K$5,".",IF(A5029=".",1,A5029+1))</f>
        <v>.</v>
      </c>
      <c r="B5030" s="431" t="str">
        <f t="shared" si="78"/>
        <v>Knee Replacement PrimaryProviderROYAL UNITED HOSPITALS BATH NHS FOUNDATION TRUST (RD1)Oxford Knee Score</v>
      </c>
      <c r="C5030" t="s">
        <v>249</v>
      </c>
      <c r="D5030" t="s">
        <v>1</v>
      </c>
      <c r="E5030" t="s">
        <v>3454</v>
      </c>
      <c r="F5030" t="s">
        <v>3455</v>
      </c>
      <c r="G5030" t="s">
        <v>16</v>
      </c>
      <c r="H5030">
        <v>176</v>
      </c>
      <c r="I5030">
        <v>19.358000000000001</v>
      </c>
      <c r="J5030">
        <v>36.841000000000001</v>
      </c>
      <c r="K5030">
        <v>17.483000000000001</v>
      </c>
      <c r="L5030">
        <v>167</v>
      </c>
      <c r="M5030">
        <v>1</v>
      </c>
      <c r="N5030">
        <v>8</v>
      </c>
      <c r="O5030">
        <v>36.948</v>
      </c>
      <c r="P5030">
        <v>17.662681469999999</v>
      </c>
      <c r="Q5030">
        <v>8.17</v>
      </c>
    </row>
    <row r="5031" spans="1:17" x14ac:dyDescent="0.2">
      <c r="A5031" s="30" t="str">
        <f>IF(C5031&amp;G5031&amp;D5031&lt;&gt;'Funnel setup'!$K$3&amp;'Funnel setup'!$K$4&amp;'Funnel setup'!$K$5,".",IF(A5030=".",1,A5030+1))</f>
        <v>.</v>
      </c>
      <c r="B5031" s="431" t="str">
        <f t="shared" si="78"/>
        <v>Knee Replacement PrimaryProviderSALFORD ROYAL NHS FOUNDATION TRUST (RM3)Oxford Knee Score</v>
      </c>
      <c r="C5031" t="s">
        <v>249</v>
      </c>
      <c r="D5031" t="s">
        <v>1</v>
      </c>
      <c r="E5031" t="s">
        <v>3457</v>
      </c>
      <c r="F5031" t="s">
        <v>3458</v>
      </c>
      <c r="G5031" t="s">
        <v>16</v>
      </c>
      <c r="H5031">
        <v>99</v>
      </c>
      <c r="I5031">
        <v>18.010000000000002</v>
      </c>
      <c r="J5031">
        <v>32.091000000000001</v>
      </c>
      <c r="K5031">
        <v>14.081</v>
      </c>
      <c r="L5031">
        <v>90</v>
      </c>
      <c r="M5031">
        <v>2</v>
      </c>
      <c r="N5031">
        <v>7</v>
      </c>
      <c r="O5031">
        <v>33.957000000000001</v>
      </c>
      <c r="P5031">
        <v>14.671339189999999</v>
      </c>
      <c r="Q5031">
        <v>10.39</v>
      </c>
    </row>
    <row r="5032" spans="1:17" x14ac:dyDescent="0.2">
      <c r="A5032" s="30" t="str">
        <f>IF(C5032&amp;G5032&amp;D5032&lt;&gt;'Funnel setup'!$K$3&amp;'Funnel setup'!$K$4&amp;'Funnel setup'!$K$5,".",IF(A5031=".",1,A5031+1))</f>
        <v>.</v>
      </c>
      <c r="B5032" s="431" t="str">
        <f t="shared" si="78"/>
        <v>Knee Replacement PrimaryProviderSALISBURY NHS FOUNDATION TRUST (RNZ)Oxford Knee Score</v>
      </c>
      <c r="C5032" t="s">
        <v>249</v>
      </c>
      <c r="D5032" t="s">
        <v>1</v>
      </c>
      <c r="E5032" t="s">
        <v>3460</v>
      </c>
      <c r="F5032" t="s">
        <v>3461</v>
      </c>
      <c r="G5032" t="s">
        <v>16</v>
      </c>
      <c r="H5032">
        <v>202</v>
      </c>
      <c r="I5032">
        <v>19.847000000000001</v>
      </c>
      <c r="J5032">
        <v>35.277000000000001</v>
      </c>
      <c r="K5032">
        <v>15.430999999999999</v>
      </c>
      <c r="L5032">
        <v>181</v>
      </c>
      <c r="M5032">
        <v>4</v>
      </c>
      <c r="N5032">
        <v>17</v>
      </c>
      <c r="O5032">
        <v>34.534999999999997</v>
      </c>
      <c r="P5032">
        <v>15.250108170000001</v>
      </c>
      <c r="Q5032">
        <v>9.5069999999999997</v>
      </c>
    </row>
    <row r="5033" spans="1:17" x14ac:dyDescent="0.2">
      <c r="A5033" s="30" t="str">
        <f>IF(C5033&amp;G5033&amp;D5033&lt;&gt;'Funnel setup'!$K$3&amp;'Funnel setup'!$K$4&amp;'Funnel setup'!$K$5,".",IF(A5032=".",1,A5032+1))</f>
        <v>.</v>
      </c>
      <c r="B5033" s="431" t="str">
        <f t="shared" si="78"/>
        <v>Knee Replacement PrimaryProviderSANDWELL AND WEST BIRMINGHAM HOSPITALS NHS TRUST (RXK)Oxford Knee Score</v>
      </c>
      <c r="C5033" t="s">
        <v>249</v>
      </c>
      <c r="D5033" t="s">
        <v>1</v>
      </c>
      <c r="E5033" t="s">
        <v>3463</v>
      </c>
      <c r="F5033" t="s">
        <v>3464</v>
      </c>
      <c r="G5033" t="s">
        <v>16</v>
      </c>
      <c r="H5033">
        <v>208</v>
      </c>
      <c r="I5033">
        <v>16.038</v>
      </c>
      <c r="J5033">
        <v>32.014000000000003</v>
      </c>
      <c r="K5033">
        <v>15.976000000000001</v>
      </c>
      <c r="L5033">
        <v>192</v>
      </c>
      <c r="M5033">
        <v>3</v>
      </c>
      <c r="N5033">
        <v>13</v>
      </c>
      <c r="O5033">
        <v>35.363</v>
      </c>
      <c r="P5033">
        <v>16.077364339999999</v>
      </c>
      <c r="Q5033">
        <v>9.8219999999999992</v>
      </c>
    </row>
    <row r="5034" spans="1:17" x14ac:dyDescent="0.2">
      <c r="A5034" s="30" t="str">
        <f>IF(C5034&amp;G5034&amp;D5034&lt;&gt;'Funnel setup'!$K$3&amp;'Funnel setup'!$K$4&amp;'Funnel setup'!$K$5,".",IF(A5033=".",1,A5033+1))</f>
        <v>.</v>
      </c>
      <c r="B5034" s="431" t="str">
        <f t="shared" si="78"/>
        <v>Knee Replacement PrimaryProviderSHEFFIELD TEACHING HOSPITALS NHS FOUNDATION TRUST (RHQ)Oxford Knee Score</v>
      </c>
      <c r="C5034" t="s">
        <v>249</v>
      </c>
      <c r="D5034" t="s">
        <v>1</v>
      </c>
      <c r="E5034" t="s">
        <v>3466</v>
      </c>
      <c r="F5034" t="s">
        <v>3467</v>
      </c>
      <c r="G5034" t="s">
        <v>16</v>
      </c>
      <c r="H5034">
        <v>518</v>
      </c>
      <c r="I5034">
        <v>17.617999999999999</v>
      </c>
      <c r="J5034">
        <v>35.276000000000003</v>
      </c>
      <c r="K5034">
        <v>17.658000000000001</v>
      </c>
      <c r="L5034">
        <v>497</v>
      </c>
      <c r="M5034">
        <v>4</v>
      </c>
      <c r="N5034">
        <v>17</v>
      </c>
      <c r="O5034">
        <v>36.264000000000003</v>
      </c>
      <c r="P5034">
        <v>16.97834538</v>
      </c>
      <c r="Q5034">
        <v>8.657</v>
      </c>
    </row>
    <row r="5035" spans="1:17" x14ac:dyDescent="0.2">
      <c r="A5035" s="30" t="str">
        <f>IF(C5035&amp;G5035&amp;D5035&lt;&gt;'Funnel setup'!$K$3&amp;'Funnel setup'!$K$4&amp;'Funnel setup'!$K$5,".",IF(A5034=".",1,A5034+1))</f>
        <v>.</v>
      </c>
      <c r="B5035" s="431" t="str">
        <f t="shared" si="78"/>
        <v>Knee Replacement PrimaryProviderSHEPTON MALLET NHS TREATMENT CENTRE (NTPH1)Oxford Knee Score</v>
      </c>
      <c r="C5035" t="s">
        <v>249</v>
      </c>
      <c r="D5035" t="s">
        <v>1</v>
      </c>
      <c r="E5035" t="s">
        <v>3472</v>
      </c>
      <c r="F5035" t="s">
        <v>3473</v>
      </c>
      <c r="G5035" t="s">
        <v>16</v>
      </c>
      <c r="H5035">
        <v>179</v>
      </c>
      <c r="I5035">
        <v>19.899000000000001</v>
      </c>
      <c r="J5035">
        <v>39.664999999999999</v>
      </c>
      <c r="K5035">
        <v>19.765000000000001</v>
      </c>
      <c r="L5035">
        <v>172</v>
      </c>
      <c r="M5035">
        <v>1</v>
      </c>
      <c r="N5035">
        <v>6</v>
      </c>
      <c r="O5035">
        <v>38.621000000000002</v>
      </c>
      <c r="P5035">
        <v>19.335726579999999</v>
      </c>
      <c r="Q5035">
        <v>7.407</v>
      </c>
    </row>
    <row r="5036" spans="1:17" x14ac:dyDescent="0.2">
      <c r="A5036" s="30" t="str">
        <f>IF(C5036&amp;G5036&amp;D5036&lt;&gt;'Funnel setup'!$K$3&amp;'Funnel setup'!$K$4&amp;'Funnel setup'!$K$5,".",IF(A5035=".",1,A5035+1))</f>
        <v>.</v>
      </c>
      <c r="B5036" s="431" t="str">
        <f t="shared" si="78"/>
        <v>Knee Replacement PrimaryProviderSHERWOOD FOREST HOSPITALS NHS FOUNDATION TRUST (RK5)Oxford Knee Score</v>
      </c>
      <c r="C5036" t="s">
        <v>249</v>
      </c>
      <c r="D5036" t="s">
        <v>1</v>
      </c>
      <c r="E5036" t="s">
        <v>3475</v>
      </c>
      <c r="F5036" t="s">
        <v>3476</v>
      </c>
      <c r="G5036" t="s">
        <v>16</v>
      </c>
      <c r="H5036">
        <v>169</v>
      </c>
      <c r="I5036">
        <v>16.638999999999999</v>
      </c>
      <c r="J5036">
        <v>31.58</v>
      </c>
      <c r="K5036">
        <v>14.941000000000001</v>
      </c>
      <c r="L5036">
        <v>152</v>
      </c>
      <c r="M5036">
        <v>3</v>
      </c>
      <c r="N5036">
        <v>14</v>
      </c>
      <c r="O5036">
        <v>33.414000000000001</v>
      </c>
      <c r="P5036">
        <v>14.12833126</v>
      </c>
      <c r="Q5036">
        <v>9.9280000000000008</v>
      </c>
    </row>
    <row r="5037" spans="1:17" x14ac:dyDescent="0.2">
      <c r="A5037" s="30" t="str">
        <f>IF(C5037&amp;G5037&amp;D5037&lt;&gt;'Funnel setup'!$K$3&amp;'Funnel setup'!$K$4&amp;'Funnel setup'!$K$5,".",IF(A5036=".",1,A5036+1))</f>
        <v>.</v>
      </c>
      <c r="B5037" s="431" t="str">
        <f t="shared" si="78"/>
        <v>Knee Replacement PrimaryProviderSHREWSBURY AND TELFORD HOSPITAL NHS TRUST (RXW)Oxford Knee Score</v>
      </c>
      <c r="C5037" t="s">
        <v>249</v>
      </c>
      <c r="D5037" t="s">
        <v>1</v>
      </c>
      <c r="E5037" t="s">
        <v>3478</v>
      </c>
      <c r="F5037" t="s">
        <v>3479</v>
      </c>
      <c r="G5037" t="s">
        <v>16</v>
      </c>
      <c r="H5037">
        <v>152</v>
      </c>
      <c r="I5037">
        <v>16.591999999999999</v>
      </c>
      <c r="J5037">
        <v>34.454000000000001</v>
      </c>
      <c r="K5037">
        <v>17.861999999999998</v>
      </c>
      <c r="L5037">
        <v>145</v>
      </c>
      <c r="M5037">
        <v>0</v>
      </c>
      <c r="N5037">
        <v>7</v>
      </c>
      <c r="O5037">
        <v>35.825000000000003</v>
      </c>
      <c r="P5037">
        <v>16.53961962</v>
      </c>
      <c r="Q5037">
        <v>8.7859999999999996</v>
      </c>
    </row>
    <row r="5038" spans="1:17" x14ac:dyDescent="0.2">
      <c r="A5038" s="30" t="str">
        <f>IF(C5038&amp;G5038&amp;D5038&lt;&gt;'Funnel setup'!$K$3&amp;'Funnel setup'!$K$4&amp;'Funnel setup'!$K$5,".",IF(A5037=".",1,A5037+1))</f>
        <v>.</v>
      </c>
      <c r="B5038" s="431" t="str">
        <f t="shared" si="78"/>
        <v>Knee Replacement PrimaryProviderSOUTH TEES HOSPITALS NHS FOUNDATION TRUST (RTR)Oxford Knee Score</v>
      </c>
      <c r="C5038" t="s">
        <v>249</v>
      </c>
      <c r="D5038" t="s">
        <v>1</v>
      </c>
      <c r="E5038" t="s">
        <v>3482</v>
      </c>
      <c r="F5038" t="s">
        <v>3483</v>
      </c>
      <c r="G5038" t="s">
        <v>16</v>
      </c>
      <c r="H5038">
        <v>564</v>
      </c>
      <c r="I5038">
        <v>19.436</v>
      </c>
      <c r="J5038">
        <v>36.042999999999999</v>
      </c>
      <c r="K5038">
        <v>16.606000000000002</v>
      </c>
      <c r="L5038">
        <v>536</v>
      </c>
      <c r="M5038">
        <v>8</v>
      </c>
      <c r="N5038">
        <v>20</v>
      </c>
      <c r="O5038">
        <v>36.494</v>
      </c>
      <c r="P5038">
        <v>17.209071940000001</v>
      </c>
      <c r="Q5038">
        <v>8.24</v>
      </c>
    </row>
    <row r="5039" spans="1:17" x14ac:dyDescent="0.2">
      <c r="A5039" s="30" t="str">
        <f>IF(C5039&amp;G5039&amp;D5039&lt;&gt;'Funnel setup'!$K$3&amp;'Funnel setup'!$K$4&amp;'Funnel setup'!$K$5,".",IF(A5038=".",1,A5038+1))</f>
        <v>.</v>
      </c>
      <c r="B5039" s="431" t="str">
        <f t="shared" si="78"/>
        <v>Knee Replacement PrimaryProviderSOUTH TYNESIDE NHS FOUNDATION TRUST (RE9)Oxford Knee Score</v>
      </c>
      <c r="C5039" t="s">
        <v>249</v>
      </c>
      <c r="D5039" t="s">
        <v>1</v>
      </c>
      <c r="E5039" t="s">
        <v>3485</v>
      </c>
      <c r="F5039" t="s">
        <v>3486</v>
      </c>
      <c r="G5039" t="s">
        <v>16</v>
      </c>
      <c r="H5039">
        <v>68</v>
      </c>
      <c r="I5039">
        <v>19.044</v>
      </c>
      <c r="J5039">
        <v>30.221</v>
      </c>
      <c r="K5039">
        <v>11.176</v>
      </c>
      <c r="L5039">
        <v>56</v>
      </c>
      <c r="M5039">
        <v>0</v>
      </c>
      <c r="N5039">
        <v>12</v>
      </c>
      <c r="O5039">
        <v>30.715</v>
      </c>
      <c r="P5039">
        <v>11.429658140000001</v>
      </c>
      <c r="Q5039">
        <v>10.680999999999999</v>
      </c>
    </row>
    <row r="5040" spans="1:17" x14ac:dyDescent="0.2">
      <c r="A5040" s="30" t="str">
        <f>IF(C5040&amp;G5040&amp;D5040&lt;&gt;'Funnel setup'!$K$3&amp;'Funnel setup'!$K$4&amp;'Funnel setup'!$K$5,".",IF(A5039=".",1,A5039+1))</f>
        <v>.</v>
      </c>
      <c r="B5040" s="431" t="str">
        <f t="shared" si="78"/>
        <v>Knee Replacement PrimaryProviderSOUTH WARWICKSHIRE NHS FOUNDATION TRUST (RJC)Oxford Knee Score</v>
      </c>
      <c r="C5040" t="s">
        <v>249</v>
      </c>
      <c r="D5040" t="s">
        <v>1</v>
      </c>
      <c r="E5040" t="s">
        <v>3421</v>
      </c>
      <c r="F5040" t="s">
        <v>3422</v>
      </c>
      <c r="G5040" t="s">
        <v>16</v>
      </c>
      <c r="H5040">
        <v>240</v>
      </c>
      <c r="I5040">
        <v>20.079000000000001</v>
      </c>
      <c r="J5040">
        <v>35.287999999999997</v>
      </c>
      <c r="K5040">
        <v>15.208</v>
      </c>
      <c r="L5040">
        <v>224</v>
      </c>
      <c r="M5040">
        <v>1</v>
      </c>
      <c r="N5040">
        <v>15</v>
      </c>
      <c r="O5040">
        <v>34.637999999999998</v>
      </c>
      <c r="P5040">
        <v>15.35284656</v>
      </c>
      <c r="Q5040">
        <v>8.6739999999999995</v>
      </c>
    </row>
    <row r="5041" spans="1:17" x14ac:dyDescent="0.2">
      <c r="A5041" s="30" t="str">
        <f>IF(C5041&amp;G5041&amp;D5041&lt;&gt;'Funnel setup'!$K$3&amp;'Funnel setup'!$K$4&amp;'Funnel setup'!$K$5,".",IF(A5040=".",1,A5040+1))</f>
        <v>.</v>
      </c>
      <c r="B5041" s="431" t="str">
        <f t="shared" si="78"/>
        <v>Knee Replacement PrimaryProviderSOUTHAMPTON NHS TREATMENT CENTRE (NTP11)Oxford Knee Score</v>
      </c>
      <c r="C5041" t="s">
        <v>249</v>
      </c>
      <c r="D5041" t="s">
        <v>1</v>
      </c>
      <c r="E5041" t="s">
        <v>3424</v>
      </c>
      <c r="F5041" t="s">
        <v>3425</v>
      </c>
      <c r="G5041" t="s">
        <v>16</v>
      </c>
      <c r="H5041">
        <v>126</v>
      </c>
      <c r="I5041">
        <v>19.341000000000001</v>
      </c>
      <c r="J5041">
        <v>35.317</v>
      </c>
      <c r="K5041">
        <v>15.976000000000001</v>
      </c>
      <c r="L5041">
        <v>119</v>
      </c>
      <c r="M5041">
        <v>0</v>
      </c>
      <c r="N5041">
        <v>7</v>
      </c>
      <c r="O5041">
        <v>34.976999999999997</v>
      </c>
      <c r="P5041">
        <v>15.691393489999999</v>
      </c>
      <c r="Q5041">
        <v>8.6460000000000008</v>
      </c>
    </row>
    <row r="5042" spans="1:17" x14ac:dyDescent="0.2">
      <c r="A5042" s="30" t="str">
        <f>IF(C5042&amp;G5042&amp;D5042&lt;&gt;'Funnel setup'!$K$3&amp;'Funnel setup'!$K$4&amp;'Funnel setup'!$K$5,".",IF(A5041=".",1,A5041+1))</f>
        <v>.</v>
      </c>
      <c r="B5042" s="431" t="str">
        <f t="shared" si="78"/>
        <v>Knee Replacement PrimaryProviderSOUTHEND UNIVERSITY HOSPITAL NHS FOUNDATION TRUST (RAJ)Oxford Knee Score</v>
      </c>
      <c r="C5042" t="s">
        <v>249</v>
      </c>
      <c r="D5042" t="s">
        <v>1</v>
      </c>
      <c r="E5042" t="s">
        <v>3427</v>
      </c>
      <c r="F5042" t="s">
        <v>3428</v>
      </c>
      <c r="G5042" t="s">
        <v>16</v>
      </c>
      <c r="H5042">
        <v>172</v>
      </c>
      <c r="I5042">
        <v>18.407</v>
      </c>
      <c r="J5042">
        <v>34.058</v>
      </c>
      <c r="K5042">
        <v>15.651</v>
      </c>
      <c r="L5042">
        <v>157</v>
      </c>
      <c r="M5042">
        <v>2</v>
      </c>
      <c r="N5042">
        <v>13</v>
      </c>
      <c r="O5042">
        <v>34.25</v>
      </c>
      <c r="P5042">
        <v>14.96426479</v>
      </c>
      <c r="Q5042">
        <v>8.4779999999999998</v>
      </c>
    </row>
    <row r="5043" spans="1:17" x14ac:dyDescent="0.2">
      <c r="A5043" s="30" t="str">
        <f>IF(C5043&amp;G5043&amp;D5043&lt;&gt;'Funnel setup'!$K$3&amp;'Funnel setup'!$K$4&amp;'Funnel setup'!$K$5,".",IF(A5042=".",1,A5042+1))</f>
        <v>.</v>
      </c>
      <c r="B5043" s="431" t="str">
        <f t="shared" si="78"/>
        <v>Knee Replacement PrimaryProviderSOUTHPORT AND ORMSKIRK HOSPITAL NHS TRUST (RVY)Oxford Knee Score</v>
      </c>
      <c r="C5043" t="s">
        <v>249</v>
      </c>
      <c r="D5043" t="s">
        <v>1</v>
      </c>
      <c r="E5043" t="s">
        <v>3430</v>
      </c>
      <c r="F5043" t="s">
        <v>3431</v>
      </c>
      <c r="G5043" t="s">
        <v>16</v>
      </c>
      <c r="H5043">
        <v>107</v>
      </c>
      <c r="I5043">
        <v>17.991</v>
      </c>
      <c r="J5043">
        <v>34.363999999999997</v>
      </c>
      <c r="K5043">
        <v>16.373999999999999</v>
      </c>
      <c r="L5043">
        <v>100</v>
      </c>
      <c r="M5043">
        <v>0</v>
      </c>
      <c r="N5043">
        <v>7</v>
      </c>
      <c r="O5043">
        <v>34.991</v>
      </c>
      <c r="P5043">
        <v>15.70587518</v>
      </c>
      <c r="Q5043">
        <v>9.4359999999999999</v>
      </c>
    </row>
    <row r="5044" spans="1:17" x14ac:dyDescent="0.2">
      <c r="A5044" s="30" t="str">
        <f>IF(C5044&amp;G5044&amp;D5044&lt;&gt;'Funnel setup'!$K$3&amp;'Funnel setup'!$K$4&amp;'Funnel setup'!$K$5,".",IF(A5043=".",1,A5043+1))</f>
        <v>.</v>
      </c>
      <c r="B5044" s="431" t="str">
        <f t="shared" si="78"/>
        <v>Knee Replacement PrimaryProviderSPIRE ALEXANDRA HOSPITAL (NT312)Oxford Knee Score</v>
      </c>
      <c r="C5044" t="s">
        <v>249</v>
      </c>
      <c r="D5044" t="s">
        <v>1</v>
      </c>
      <c r="E5044" t="s">
        <v>3433</v>
      </c>
      <c r="F5044" t="s">
        <v>3434</v>
      </c>
      <c r="G5044" t="s">
        <v>16</v>
      </c>
      <c r="H5044">
        <v>61</v>
      </c>
      <c r="I5044">
        <v>22.213000000000001</v>
      </c>
      <c r="J5044">
        <v>35.689</v>
      </c>
      <c r="K5044">
        <v>13.475</v>
      </c>
      <c r="L5044">
        <v>56</v>
      </c>
      <c r="M5044">
        <v>0</v>
      </c>
      <c r="N5044">
        <v>5</v>
      </c>
      <c r="O5044">
        <v>34.180999999999997</v>
      </c>
      <c r="P5044">
        <v>14.89611081</v>
      </c>
      <c r="Q5044">
        <v>7.9889999999999999</v>
      </c>
    </row>
    <row r="5045" spans="1:17" x14ac:dyDescent="0.2">
      <c r="A5045" s="30" t="str">
        <f>IF(C5045&amp;G5045&amp;D5045&lt;&gt;'Funnel setup'!$K$3&amp;'Funnel setup'!$K$4&amp;'Funnel setup'!$K$5,".",IF(A5044=".",1,A5044+1))</f>
        <v>.</v>
      </c>
      <c r="B5045" s="431" t="str">
        <f t="shared" si="78"/>
        <v>Knee Replacement PrimaryProviderSPIRE BRISTOL HOSPITAL (NT302)Oxford Knee Score</v>
      </c>
      <c r="C5045" t="s">
        <v>249</v>
      </c>
      <c r="D5045" t="s">
        <v>1</v>
      </c>
      <c r="E5045" t="s">
        <v>4381</v>
      </c>
      <c r="F5045" t="s">
        <v>4382</v>
      </c>
      <c r="G5045" t="s">
        <v>16</v>
      </c>
      <c r="H5045">
        <v>85</v>
      </c>
      <c r="I5045">
        <v>21.094000000000001</v>
      </c>
      <c r="J5045">
        <v>38.917999999999999</v>
      </c>
      <c r="K5045">
        <v>17.824000000000002</v>
      </c>
      <c r="L5045">
        <v>81</v>
      </c>
      <c r="M5045">
        <v>1</v>
      </c>
      <c r="N5045">
        <v>3</v>
      </c>
      <c r="O5045">
        <v>37.302999999999997</v>
      </c>
      <c r="P5045">
        <v>18.01719799</v>
      </c>
      <c r="Q5045">
        <v>8.3030000000000008</v>
      </c>
    </row>
    <row r="5046" spans="1:17" x14ac:dyDescent="0.2">
      <c r="A5046" s="30" t="str">
        <f>IF(C5046&amp;G5046&amp;D5046&lt;&gt;'Funnel setup'!$K$3&amp;'Funnel setup'!$K$4&amp;'Funnel setup'!$K$5,".",IF(A5045=".",1,A5045+1))</f>
        <v>.</v>
      </c>
      <c r="B5046" s="431" t="str">
        <f t="shared" si="78"/>
        <v>Knee Replacement PrimaryProviderSPIRE BUSHEY HOSPITAL (NT315)Oxford Knee Score</v>
      </c>
      <c r="C5046" t="s">
        <v>249</v>
      </c>
      <c r="D5046" t="s">
        <v>1</v>
      </c>
      <c r="E5046" t="s">
        <v>4364</v>
      </c>
      <c r="F5046" t="s">
        <v>4365</v>
      </c>
      <c r="G5046" t="s">
        <v>16</v>
      </c>
      <c r="H5046">
        <v>19</v>
      </c>
      <c r="I5046">
        <v>19.895</v>
      </c>
      <c r="J5046">
        <v>36.683999999999997</v>
      </c>
      <c r="K5046">
        <v>16.789000000000001</v>
      </c>
      <c r="L5046">
        <v>17</v>
      </c>
      <c r="M5046">
        <v>0</v>
      </c>
      <c r="N5046">
        <v>2</v>
      </c>
      <c r="O5046" t="s">
        <v>53</v>
      </c>
      <c r="P5046" t="s">
        <v>53</v>
      </c>
      <c r="Q5046" t="s">
        <v>53</v>
      </c>
    </row>
    <row r="5047" spans="1:17" x14ac:dyDescent="0.2">
      <c r="A5047" s="30" t="str">
        <f>IF(C5047&amp;G5047&amp;D5047&lt;&gt;'Funnel setup'!$K$3&amp;'Funnel setup'!$K$4&amp;'Funnel setup'!$K$5,".",IF(A5046=".",1,A5046+1))</f>
        <v>.</v>
      </c>
      <c r="B5047" s="431" t="str">
        <f t="shared" si="78"/>
        <v>Knee Replacement PrimaryProviderSPIRE CAMBRIDGE LEA HOSPITAL (NT317)Oxford Knee Score</v>
      </c>
      <c r="C5047" t="s">
        <v>249</v>
      </c>
      <c r="D5047" t="s">
        <v>1</v>
      </c>
      <c r="E5047" t="s">
        <v>3436</v>
      </c>
      <c r="F5047" t="s">
        <v>3437</v>
      </c>
      <c r="G5047" t="s">
        <v>16</v>
      </c>
      <c r="H5047">
        <v>64</v>
      </c>
      <c r="I5047">
        <v>21.625</v>
      </c>
      <c r="J5047">
        <v>38.234000000000002</v>
      </c>
      <c r="K5047">
        <v>16.609000000000002</v>
      </c>
      <c r="L5047">
        <v>63</v>
      </c>
      <c r="M5047">
        <v>0</v>
      </c>
      <c r="N5047">
        <v>1</v>
      </c>
      <c r="O5047">
        <v>36.079000000000001</v>
      </c>
      <c r="P5047">
        <v>16.793918420000001</v>
      </c>
      <c r="Q5047">
        <v>7.34</v>
      </c>
    </row>
    <row r="5048" spans="1:17" x14ac:dyDescent="0.2">
      <c r="A5048" s="30" t="str">
        <f>IF(C5048&amp;G5048&amp;D5048&lt;&gt;'Funnel setup'!$K$3&amp;'Funnel setup'!$K$4&amp;'Funnel setup'!$K$5,".",IF(A5047=".",1,A5047+1))</f>
        <v>.</v>
      </c>
      <c r="B5048" s="431" t="str">
        <f t="shared" si="78"/>
        <v>Knee Replacement PrimaryProviderSPIRE CHESHIRE HOSPITAL (NT324)Oxford Knee Score</v>
      </c>
      <c r="C5048" t="s">
        <v>249</v>
      </c>
      <c r="D5048" t="s">
        <v>1</v>
      </c>
      <c r="E5048" t="s">
        <v>3439</v>
      </c>
      <c r="F5048" t="s">
        <v>3440</v>
      </c>
      <c r="G5048" t="s">
        <v>16</v>
      </c>
      <c r="H5048">
        <v>82</v>
      </c>
      <c r="I5048">
        <v>20.341000000000001</v>
      </c>
      <c r="J5048">
        <v>37.78</v>
      </c>
      <c r="K5048">
        <v>17.439</v>
      </c>
      <c r="L5048">
        <v>80</v>
      </c>
      <c r="M5048">
        <v>1</v>
      </c>
      <c r="N5048">
        <v>1</v>
      </c>
      <c r="O5048">
        <v>36.762</v>
      </c>
      <c r="P5048">
        <v>17.47699806</v>
      </c>
      <c r="Q5048">
        <v>7.2080000000000002</v>
      </c>
    </row>
    <row r="5049" spans="1:17" x14ac:dyDescent="0.2">
      <c r="A5049" s="30" t="str">
        <f>IF(C5049&amp;G5049&amp;D5049&lt;&gt;'Funnel setup'!$K$3&amp;'Funnel setup'!$K$4&amp;'Funnel setup'!$K$5,".",IF(A5048=".",1,A5048+1))</f>
        <v>.</v>
      </c>
      <c r="B5049" s="431" t="str">
        <f t="shared" si="78"/>
        <v>Knee Replacement PrimaryProviderSPIRE CLARE PARK HOSPITAL (NT345)Oxford Knee Score</v>
      </c>
      <c r="C5049" t="s">
        <v>249</v>
      </c>
      <c r="D5049" t="s">
        <v>1</v>
      </c>
      <c r="E5049" t="s">
        <v>3412</v>
      </c>
      <c r="F5049" t="s">
        <v>3413</v>
      </c>
      <c r="G5049" t="s">
        <v>16</v>
      </c>
      <c r="H5049">
        <v>41</v>
      </c>
      <c r="I5049">
        <v>23</v>
      </c>
      <c r="J5049">
        <v>39.073</v>
      </c>
      <c r="K5049">
        <v>16.073</v>
      </c>
      <c r="L5049">
        <v>37</v>
      </c>
      <c r="M5049">
        <v>0</v>
      </c>
      <c r="N5049">
        <v>4</v>
      </c>
      <c r="O5049">
        <v>36.619999999999997</v>
      </c>
      <c r="P5049">
        <v>17.335064710000001</v>
      </c>
      <c r="Q5049">
        <v>8.2959999999999994</v>
      </c>
    </row>
    <row r="5050" spans="1:17" x14ac:dyDescent="0.2">
      <c r="A5050" s="30" t="str">
        <f>IF(C5050&amp;G5050&amp;D5050&lt;&gt;'Funnel setup'!$K$3&amp;'Funnel setup'!$K$4&amp;'Funnel setup'!$K$5,".",IF(A5049=".",1,A5049+1))</f>
        <v>.</v>
      </c>
      <c r="B5050" s="431" t="str">
        <f t="shared" si="78"/>
        <v>Knee Replacement PrimaryProviderSPIRE DUNEDIN HOSPITAL (NT344)Oxford Knee Score</v>
      </c>
      <c r="C5050" t="s">
        <v>249</v>
      </c>
      <c r="D5050" t="s">
        <v>1</v>
      </c>
      <c r="E5050" t="s">
        <v>3415</v>
      </c>
      <c r="F5050" t="s">
        <v>3416</v>
      </c>
      <c r="G5050" t="s">
        <v>16</v>
      </c>
      <c r="H5050">
        <v>12</v>
      </c>
      <c r="I5050">
        <v>25.082999999999998</v>
      </c>
      <c r="J5050">
        <v>33.332999999999998</v>
      </c>
      <c r="K5050">
        <v>8.25</v>
      </c>
      <c r="L5050">
        <v>9</v>
      </c>
      <c r="M5050">
        <v>1</v>
      </c>
      <c r="N5050">
        <v>2</v>
      </c>
      <c r="O5050" t="s">
        <v>53</v>
      </c>
      <c r="P5050" t="s">
        <v>53</v>
      </c>
      <c r="Q5050" t="s">
        <v>53</v>
      </c>
    </row>
    <row r="5051" spans="1:17" x14ac:dyDescent="0.2">
      <c r="A5051" s="30" t="str">
        <f>IF(C5051&amp;G5051&amp;D5051&lt;&gt;'Funnel setup'!$K$3&amp;'Funnel setup'!$K$4&amp;'Funnel setup'!$K$5,".",IF(A5050=".",1,A5050+1))</f>
        <v>.</v>
      </c>
      <c r="B5051" s="431" t="str">
        <f t="shared" si="78"/>
        <v>Knee Replacement PrimaryProviderSPIRE ELLAND HOSPITAL (NT348)Oxford Knee Score</v>
      </c>
      <c r="C5051" t="s">
        <v>249</v>
      </c>
      <c r="D5051" t="s">
        <v>1</v>
      </c>
      <c r="E5051" t="s">
        <v>3418</v>
      </c>
      <c r="F5051" t="s">
        <v>3419</v>
      </c>
      <c r="G5051" t="s">
        <v>16</v>
      </c>
      <c r="H5051">
        <v>60</v>
      </c>
      <c r="I5051">
        <v>20.966999999999999</v>
      </c>
      <c r="J5051">
        <v>39.332999999999998</v>
      </c>
      <c r="K5051">
        <v>18.367000000000001</v>
      </c>
      <c r="L5051">
        <v>59</v>
      </c>
      <c r="M5051">
        <v>0</v>
      </c>
      <c r="N5051">
        <v>1</v>
      </c>
      <c r="O5051">
        <v>38.322000000000003</v>
      </c>
      <c r="P5051">
        <v>19.0362501</v>
      </c>
      <c r="Q5051">
        <v>6.8579999999999997</v>
      </c>
    </row>
    <row r="5052" spans="1:17" x14ac:dyDescent="0.2">
      <c r="A5052" s="30" t="str">
        <f>IF(C5052&amp;G5052&amp;D5052&lt;&gt;'Funnel setup'!$K$3&amp;'Funnel setup'!$K$4&amp;'Funnel setup'!$K$5,".",IF(A5051=".",1,A5051+1))</f>
        <v>.</v>
      </c>
      <c r="B5052" s="431" t="str">
        <f t="shared" si="78"/>
        <v>Knee Replacement PrimaryProviderSPIRE FYLDE COAST HOSPITAL (NT347)Oxford Knee Score</v>
      </c>
      <c r="C5052" t="s">
        <v>249</v>
      </c>
      <c r="D5052" t="s">
        <v>1</v>
      </c>
      <c r="E5052" t="s">
        <v>4370</v>
      </c>
      <c r="F5052" t="s">
        <v>4371</v>
      </c>
      <c r="G5052" t="s">
        <v>16</v>
      </c>
      <c r="H5052">
        <v>45</v>
      </c>
      <c r="I5052">
        <v>19.667000000000002</v>
      </c>
      <c r="J5052">
        <v>34.555999999999997</v>
      </c>
      <c r="K5052">
        <v>14.888999999999999</v>
      </c>
      <c r="L5052">
        <v>43</v>
      </c>
      <c r="M5052">
        <v>0</v>
      </c>
      <c r="N5052">
        <v>2</v>
      </c>
      <c r="O5052">
        <v>34.409999999999997</v>
      </c>
      <c r="P5052">
        <v>15.12490713</v>
      </c>
      <c r="Q5052">
        <v>7.984</v>
      </c>
    </row>
    <row r="5053" spans="1:17" x14ac:dyDescent="0.2">
      <c r="A5053" s="30" t="str">
        <f>IF(C5053&amp;G5053&amp;D5053&lt;&gt;'Funnel setup'!$K$3&amp;'Funnel setup'!$K$4&amp;'Funnel setup'!$K$5,".",IF(A5052=".",1,A5052+1))</f>
        <v>.</v>
      </c>
      <c r="B5053" s="431" t="str">
        <f t="shared" si="78"/>
        <v>Knee Replacement PrimaryProviderSPIRE GATWICK PARK HOSPITAL (NT308)Oxford Knee Score</v>
      </c>
      <c r="C5053" t="s">
        <v>249</v>
      </c>
      <c r="D5053" t="s">
        <v>1</v>
      </c>
      <c r="E5053" t="s">
        <v>3409</v>
      </c>
      <c r="F5053" t="s">
        <v>3410</v>
      </c>
      <c r="G5053" t="s">
        <v>16</v>
      </c>
      <c r="H5053">
        <v>58</v>
      </c>
      <c r="I5053">
        <v>21.585999999999999</v>
      </c>
      <c r="J5053">
        <v>37</v>
      </c>
      <c r="K5053">
        <v>15.414</v>
      </c>
      <c r="L5053">
        <v>58</v>
      </c>
      <c r="M5053">
        <v>0</v>
      </c>
      <c r="N5053">
        <v>0</v>
      </c>
      <c r="O5053">
        <v>35.244</v>
      </c>
      <c r="P5053">
        <v>15.958547380000001</v>
      </c>
      <c r="Q5053">
        <v>7.6449999999999996</v>
      </c>
    </row>
    <row r="5054" spans="1:17" x14ac:dyDescent="0.2">
      <c r="A5054" s="30" t="str">
        <f>IF(C5054&amp;G5054&amp;D5054&lt;&gt;'Funnel setup'!$K$3&amp;'Funnel setup'!$K$4&amp;'Funnel setup'!$K$5,".",IF(A5053=".",1,A5053+1))</f>
        <v>.</v>
      </c>
      <c r="B5054" s="431" t="str">
        <f t="shared" si="78"/>
        <v>Knee Replacement PrimaryProviderSPIRE HARPENDEN HOSPITAL (NT316)Oxford Knee Score</v>
      </c>
      <c r="C5054" t="s">
        <v>249</v>
      </c>
      <c r="D5054" t="s">
        <v>1</v>
      </c>
      <c r="E5054" t="s">
        <v>4267</v>
      </c>
      <c r="F5054" t="s">
        <v>4268</v>
      </c>
      <c r="G5054" t="s">
        <v>16</v>
      </c>
      <c r="H5054">
        <v>48</v>
      </c>
      <c r="I5054">
        <v>20.75</v>
      </c>
      <c r="J5054">
        <v>37.853999999999999</v>
      </c>
      <c r="K5054">
        <v>17.103999999999999</v>
      </c>
      <c r="L5054">
        <v>44</v>
      </c>
      <c r="M5054">
        <v>0</v>
      </c>
      <c r="N5054">
        <v>4</v>
      </c>
      <c r="O5054">
        <v>36.543999999999997</v>
      </c>
      <c r="P5054">
        <v>17.259109930000001</v>
      </c>
      <c r="Q5054">
        <v>8.9009999999999998</v>
      </c>
    </row>
    <row r="5055" spans="1:17" x14ac:dyDescent="0.2">
      <c r="A5055" s="30" t="str">
        <f>IF(C5055&amp;G5055&amp;D5055&lt;&gt;'Funnel setup'!$K$3&amp;'Funnel setup'!$K$4&amp;'Funnel setup'!$K$5,".",IF(A5054=".",1,A5054+1))</f>
        <v>.</v>
      </c>
      <c r="B5055" s="431" t="str">
        <f t="shared" si="78"/>
        <v>Knee Replacement PrimaryProviderSPIRE HARTSWOOD HOSPITAL (NT319)Oxford Knee Score</v>
      </c>
      <c r="C5055" t="s">
        <v>249</v>
      </c>
      <c r="D5055" t="s">
        <v>1</v>
      </c>
      <c r="E5055" t="s">
        <v>3210</v>
      </c>
      <c r="F5055" t="s">
        <v>3211</v>
      </c>
      <c r="G5055" t="s">
        <v>16</v>
      </c>
      <c r="H5055">
        <v>14</v>
      </c>
      <c r="I5055">
        <v>23.071000000000002</v>
      </c>
      <c r="J5055">
        <v>40.713999999999999</v>
      </c>
      <c r="K5055">
        <v>17.643000000000001</v>
      </c>
      <c r="L5055">
        <v>13</v>
      </c>
      <c r="M5055">
        <v>1</v>
      </c>
      <c r="N5055">
        <v>0</v>
      </c>
      <c r="O5055" t="s">
        <v>53</v>
      </c>
      <c r="P5055" t="s">
        <v>53</v>
      </c>
      <c r="Q5055" t="s">
        <v>53</v>
      </c>
    </row>
    <row r="5056" spans="1:17" x14ac:dyDescent="0.2">
      <c r="A5056" s="30" t="str">
        <f>IF(C5056&amp;G5056&amp;D5056&lt;&gt;'Funnel setup'!$K$3&amp;'Funnel setup'!$K$4&amp;'Funnel setup'!$K$5,".",IF(A5055=".",1,A5055+1))</f>
        <v>.</v>
      </c>
      <c r="B5056" s="431" t="str">
        <f t="shared" si="78"/>
        <v>Knee Replacement PrimaryProviderSPIRE HULL AND EAST RIDING HOSPITAL (NT351)Oxford Knee Score</v>
      </c>
      <c r="C5056" t="s">
        <v>249</v>
      </c>
      <c r="D5056" t="s">
        <v>1</v>
      </c>
      <c r="E5056" t="s">
        <v>3213</v>
      </c>
      <c r="F5056" t="s">
        <v>3214</v>
      </c>
      <c r="G5056" t="s">
        <v>16</v>
      </c>
      <c r="H5056">
        <v>207</v>
      </c>
      <c r="I5056">
        <v>20.018999999999998</v>
      </c>
      <c r="J5056">
        <v>35.134999999999998</v>
      </c>
      <c r="K5056">
        <v>15.116</v>
      </c>
      <c r="L5056">
        <v>188</v>
      </c>
      <c r="M5056">
        <v>2</v>
      </c>
      <c r="N5056">
        <v>17</v>
      </c>
      <c r="O5056">
        <v>34.697000000000003</v>
      </c>
      <c r="P5056">
        <v>15.41173663</v>
      </c>
      <c r="Q5056">
        <v>9.0719999999999992</v>
      </c>
    </row>
    <row r="5057" spans="1:17" x14ac:dyDescent="0.2">
      <c r="A5057" s="30" t="str">
        <f>IF(C5057&amp;G5057&amp;D5057&lt;&gt;'Funnel setup'!$K$3&amp;'Funnel setup'!$K$4&amp;'Funnel setup'!$K$5,".",IF(A5056=".",1,A5056+1))</f>
        <v>.</v>
      </c>
      <c r="B5057" s="431" t="str">
        <f t="shared" si="78"/>
        <v>Knee Replacement PrimaryProviderSPIRE LEEDS HOSPITAL (NT332)Oxford Knee Score</v>
      </c>
      <c r="C5057" t="s">
        <v>249</v>
      </c>
      <c r="D5057" t="s">
        <v>1</v>
      </c>
      <c r="E5057" t="s">
        <v>3198</v>
      </c>
      <c r="F5057" t="s">
        <v>3199</v>
      </c>
      <c r="G5057" t="s">
        <v>16</v>
      </c>
      <c r="H5057">
        <v>97</v>
      </c>
      <c r="I5057">
        <v>21.937999999999999</v>
      </c>
      <c r="J5057">
        <v>36.875999999999998</v>
      </c>
      <c r="K5057">
        <v>14.938000000000001</v>
      </c>
      <c r="L5057">
        <v>89</v>
      </c>
      <c r="M5057">
        <v>1</v>
      </c>
      <c r="N5057">
        <v>7</v>
      </c>
      <c r="O5057">
        <v>35.713000000000001</v>
      </c>
      <c r="P5057">
        <v>16.427257829999999</v>
      </c>
      <c r="Q5057">
        <v>8.1470000000000002</v>
      </c>
    </row>
    <row r="5058" spans="1:17" x14ac:dyDescent="0.2">
      <c r="A5058" s="30" t="str">
        <f>IF(C5058&amp;G5058&amp;D5058&lt;&gt;'Funnel setup'!$K$3&amp;'Funnel setup'!$K$4&amp;'Funnel setup'!$K$5,".",IF(A5057=".",1,A5057+1))</f>
        <v>.</v>
      </c>
      <c r="B5058" s="431" t="str">
        <f t="shared" si="78"/>
        <v>Knee Replacement PrimaryProviderSPIRE LEICESTER HOSPITAL (NT322)Oxford Knee Score</v>
      </c>
      <c r="C5058" t="s">
        <v>249</v>
      </c>
      <c r="D5058" t="s">
        <v>1</v>
      </c>
      <c r="E5058" t="s">
        <v>3201</v>
      </c>
      <c r="F5058" t="s">
        <v>3202</v>
      </c>
      <c r="G5058" t="s">
        <v>16</v>
      </c>
      <c r="H5058">
        <v>113</v>
      </c>
      <c r="I5058">
        <v>19.513000000000002</v>
      </c>
      <c r="J5058">
        <v>36.142000000000003</v>
      </c>
      <c r="K5058">
        <v>16.628</v>
      </c>
      <c r="L5058">
        <v>110</v>
      </c>
      <c r="M5058">
        <v>1</v>
      </c>
      <c r="N5058">
        <v>2</v>
      </c>
      <c r="O5058">
        <v>36.334000000000003</v>
      </c>
      <c r="P5058">
        <v>17.048525890000001</v>
      </c>
      <c r="Q5058">
        <v>7.4969999999999999</v>
      </c>
    </row>
    <row r="5059" spans="1:17" x14ac:dyDescent="0.2">
      <c r="A5059" s="30" t="str">
        <f>IF(C5059&amp;G5059&amp;D5059&lt;&gt;'Funnel setup'!$K$3&amp;'Funnel setup'!$K$4&amp;'Funnel setup'!$K$5,".",IF(A5058=".",1,A5058+1))</f>
        <v>.</v>
      </c>
      <c r="B5059" s="431" t="str">
        <f t="shared" ref="B5059:B5122" si="79">C5059&amp;D5059&amp;F5059&amp;G5059</f>
        <v>Knee Replacement PrimaryProviderSPIRE LITTLE ASTON HOSPITAL (NT321)Oxford Knee Score</v>
      </c>
      <c r="C5059" t="s">
        <v>249</v>
      </c>
      <c r="D5059" t="s">
        <v>1</v>
      </c>
      <c r="E5059" t="s">
        <v>3921</v>
      </c>
      <c r="F5059" t="s">
        <v>3922</v>
      </c>
      <c r="G5059" t="s">
        <v>16</v>
      </c>
      <c r="H5059">
        <v>121</v>
      </c>
      <c r="I5059">
        <v>18.594999999999999</v>
      </c>
      <c r="J5059">
        <v>35.868000000000002</v>
      </c>
      <c r="K5059">
        <v>17.273</v>
      </c>
      <c r="L5059">
        <v>113</v>
      </c>
      <c r="M5059">
        <v>1</v>
      </c>
      <c r="N5059">
        <v>7</v>
      </c>
      <c r="O5059">
        <v>35.957999999999998</v>
      </c>
      <c r="P5059">
        <v>16.67256794</v>
      </c>
      <c r="Q5059">
        <v>8.4030000000000005</v>
      </c>
    </row>
    <row r="5060" spans="1:17" x14ac:dyDescent="0.2">
      <c r="A5060" s="30" t="str">
        <f>IF(C5060&amp;G5060&amp;D5060&lt;&gt;'Funnel setup'!$K$3&amp;'Funnel setup'!$K$4&amp;'Funnel setup'!$K$5,".",IF(A5059=".",1,A5059+1))</f>
        <v>.</v>
      </c>
      <c r="B5060" s="431" t="str">
        <f t="shared" si="79"/>
        <v>Knee Replacement PrimaryProviderSPIRE LIVERPOOL HOSPITAL (NT337)Oxford Knee Score</v>
      </c>
      <c r="C5060" t="s">
        <v>249</v>
      </c>
      <c r="D5060" t="s">
        <v>1</v>
      </c>
      <c r="E5060" t="s">
        <v>3927</v>
      </c>
      <c r="F5060" t="s">
        <v>3928</v>
      </c>
      <c r="G5060" t="s">
        <v>16</v>
      </c>
      <c r="H5060">
        <v>130</v>
      </c>
      <c r="I5060">
        <v>17.515000000000001</v>
      </c>
      <c r="J5060">
        <v>34.5</v>
      </c>
      <c r="K5060">
        <v>16.984999999999999</v>
      </c>
      <c r="L5060">
        <v>125</v>
      </c>
      <c r="M5060">
        <v>2</v>
      </c>
      <c r="N5060">
        <v>3</v>
      </c>
      <c r="O5060">
        <v>35.899000000000001</v>
      </c>
      <c r="P5060">
        <v>16.613599969999999</v>
      </c>
      <c r="Q5060">
        <v>8.86</v>
      </c>
    </row>
    <row r="5061" spans="1:17" x14ac:dyDescent="0.2">
      <c r="A5061" s="30" t="str">
        <f>IF(C5061&amp;G5061&amp;D5061&lt;&gt;'Funnel setup'!$K$3&amp;'Funnel setup'!$K$4&amp;'Funnel setup'!$K$5,".",IF(A5060=".",1,A5060+1))</f>
        <v>.</v>
      </c>
      <c r="B5061" s="431" t="str">
        <f t="shared" si="79"/>
        <v>Knee Replacement PrimaryProviderSPIRE MANCHESTER HOSPITAL (NT327)Oxford Knee Score</v>
      </c>
      <c r="C5061" t="s">
        <v>249</v>
      </c>
      <c r="D5061" t="s">
        <v>1</v>
      </c>
      <c r="E5061" t="s">
        <v>3154</v>
      </c>
      <c r="F5061" t="s">
        <v>3155</v>
      </c>
      <c r="G5061" t="s">
        <v>16</v>
      </c>
      <c r="H5061">
        <v>48</v>
      </c>
      <c r="I5061">
        <v>18.896000000000001</v>
      </c>
      <c r="J5061">
        <v>34.978999999999999</v>
      </c>
      <c r="K5061">
        <v>16.082999999999998</v>
      </c>
      <c r="L5061">
        <v>46</v>
      </c>
      <c r="M5061">
        <v>0</v>
      </c>
      <c r="N5061">
        <v>2</v>
      </c>
      <c r="O5061">
        <v>35.628</v>
      </c>
      <c r="P5061">
        <v>16.342164010000001</v>
      </c>
      <c r="Q5061">
        <v>8.2430000000000003</v>
      </c>
    </row>
    <row r="5062" spans="1:17" x14ac:dyDescent="0.2">
      <c r="A5062" s="30" t="str">
        <f>IF(C5062&amp;G5062&amp;D5062&lt;&gt;'Funnel setup'!$K$3&amp;'Funnel setup'!$K$4&amp;'Funnel setup'!$K$5,".",IF(A5061=".",1,A5061+1))</f>
        <v>.</v>
      </c>
      <c r="B5062" s="431" t="str">
        <f t="shared" si="79"/>
        <v>Knee Replacement PrimaryProviderSPIRE METHLEY PARK HOSPITAL (NT350)Oxford Knee Score</v>
      </c>
      <c r="C5062" t="s">
        <v>249</v>
      </c>
      <c r="D5062" t="s">
        <v>1</v>
      </c>
      <c r="E5062" t="s">
        <v>3157</v>
      </c>
      <c r="F5062" t="s">
        <v>3158</v>
      </c>
      <c r="G5062" t="s">
        <v>16</v>
      </c>
      <c r="H5062">
        <v>118</v>
      </c>
      <c r="I5062">
        <v>20.736999999999998</v>
      </c>
      <c r="J5062">
        <v>35.737000000000002</v>
      </c>
      <c r="K5062">
        <v>15</v>
      </c>
      <c r="L5062">
        <v>111</v>
      </c>
      <c r="M5062">
        <v>1</v>
      </c>
      <c r="N5062">
        <v>6</v>
      </c>
      <c r="O5062">
        <v>35.064999999999998</v>
      </c>
      <c r="P5062">
        <v>15.77947313</v>
      </c>
      <c r="Q5062">
        <v>8.5510000000000002</v>
      </c>
    </row>
    <row r="5063" spans="1:17" x14ac:dyDescent="0.2">
      <c r="A5063" s="30" t="str">
        <f>IF(C5063&amp;G5063&amp;D5063&lt;&gt;'Funnel setup'!$K$3&amp;'Funnel setup'!$K$4&amp;'Funnel setup'!$K$5,".",IF(A5062=".",1,A5062+1))</f>
        <v>.</v>
      </c>
      <c r="B5063" s="431" t="str">
        <f t="shared" si="79"/>
        <v>Knee Replacement PrimaryProviderSPIRE MONTEFIORE HOSPITAL (NT364)Oxford Knee Score</v>
      </c>
      <c r="C5063" t="s">
        <v>249</v>
      </c>
      <c r="D5063" t="s">
        <v>1</v>
      </c>
      <c r="E5063" t="s">
        <v>3160</v>
      </c>
      <c r="F5063" t="s">
        <v>3161</v>
      </c>
      <c r="G5063" t="s">
        <v>16</v>
      </c>
      <c r="H5063">
        <v>40</v>
      </c>
      <c r="I5063">
        <v>23.75</v>
      </c>
      <c r="J5063">
        <v>40.4</v>
      </c>
      <c r="K5063">
        <v>16.649999999999999</v>
      </c>
      <c r="L5063">
        <v>39</v>
      </c>
      <c r="M5063">
        <v>0</v>
      </c>
      <c r="N5063">
        <v>1</v>
      </c>
      <c r="O5063">
        <v>37.783999999999999</v>
      </c>
      <c r="P5063">
        <v>18.498881919999999</v>
      </c>
      <c r="Q5063">
        <v>5.8470000000000004</v>
      </c>
    </row>
    <row r="5064" spans="1:17" x14ac:dyDescent="0.2">
      <c r="A5064" s="30" t="str">
        <f>IF(C5064&amp;G5064&amp;D5064&lt;&gt;'Funnel setup'!$K$3&amp;'Funnel setup'!$K$4&amp;'Funnel setup'!$K$5,".",IF(A5063=".",1,A5063+1))</f>
        <v>.</v>
      </c>
      <c r="B5064" s="431" t="str">
        <f t="shared" si="79"/>
        <v>Knee Replacement PrimaryProviderSPIRE MURRAYFIELD HOSPITAL (NT325)Oxford Knee Score</v>
      </c>
      <c r="C5064" t="s">
        <v>249</v>
      </c>
      <c r="D5064" t="s">
        <v>1</v>
      </c>
      <c r="E5064" t="s">
        <v>3163</v>
      </c>
      <c r="F5064" t="s">
        <v>3164</v>
      </c>
      <c r="G5064" t="s">
        <v>16</v>
      </c>
      <c r="H5064">
        <v>92</v>
      </c>
      <c r="I5064">
        <v>19.957000000000001</v>
      </c>
      <c r="J5064">
        <v>35.369999999999997</v>
      </c>
      <c r="K5064">
        <v>15.413</v>
      </c>
      <c r="L5064">
        <v>83</v>
      </c>
      <c r="M5064">
        <v>1</v>
      </c>
      <c r="N5064">
        <v>8</v>
      </c>
      <c r="O5064">
        <v>34.85</v>
      </c>
      <c r="P5064">
        <v>15.56466307</v>
      </c>
      <c r="Q5064">
        <v>9.468</v>
      </c>
    </row>
    <row r="5065" spans="1:17" x14ac:dyDescent="0.2">
      <c r="A5065" s="30" t="str">
        <f>IF(C5065&amp;G5065&amp;D5065&lt;&gt;'Funnel setup'!$K$3&amp;'Funnel setup'!$K$4&amp;'Funnel setup'!$K$5,".",IF(A5064=".",1,A5064+1))</f>
        <v>.</v>
      </c>
      <c r="B5065" s="431" t="str">
        <f t="shared" si="79"/>
        <v>Knee Replacement PrimaryProviderSPIRE NORWICH HOSPITAL (NT318)Oxford Knee Score</v>
      </c>
      <c r="C5065" t="s">
        <v>249</v>
      </c>
      <c r="D5065" t="s">
        <v>1</v>
      </c>
      <c r="E5065" t="s">
        <v>4251</v>
      </c>
      <c r="F5065" t="s">
        <v>4252</v>
      </c>
      <c r="G5065" t="s">
        <v>16</v>
      </c>
      <c r="H5065">
        <v>223</v>
      </c>
      <c r="I5065">
        <v>21.843</v>
      </c>
      <c r="J5065">
        <v>37.090000000000003</v>
      </c>
      <c r="K5065">
        <v>15.247</v>
      </c>
      <c r="L5065">
        <v>205</v>
      </c>
      <c r="M5065">
        <v>6</v>
      </c>
      <c r="N5065">
        <v>12</v>
      </c>
      <c r="O5065">
        <v>35.384999999999998</v>
      </c>
      <c r="P5065">
        <v>16.099207799999999</v>
      </c>
      <c r="Q5065">
        <v>7.3979999999999997</v>
      </c>
    </row>
    <row r="5066" spans="1:17" x14ac:dyDescent="0.2">
      <c r="A5066" s="30" t="str">
        <f>IF(C5066&amp;G5066&amp;D5066&lt;&gt;'Funnel setup'!$K$3&amp;'Funnel setup'!$K$4&amp;'Funnel setup'!$K$5,".",IF(A5065=".",1,A5065+1))</f>
        <v>.</v>
      </c>
      <c r="B5066" s="431" t="str">
        <f t="shared" si="79"/>
        <v>Knee Replacement PrimaryProviderSPIRE PARKWAY HOSPITAL (NT320)Oxford Knee Score</v>
      </c>
      <c r="C5066" t="s">
        <v>249</v>
      </c>
      <c r="D5066" t="s">
        <v>1</v>
      </c>
      <c r="E5066" t="s">
        <v>3166</v>
      </c>
      <c r="F5066" t="s">
        <v>3167</v>
      </c>
      <c r="G5066" t="s">
        <v>16</v>
      </c>
      <c r="H5066">
        <v>77</v>
      </c>
      <c r="I5066">
        <v>21.87</v>
      </c>
      <c r="J5066">
        <v>36.869999999999997</v>
      </c>
      <c r="K5066">
        <v>15</v>
      </c>
      <c r="L5066">
        <v>71</v>
      </c>
      <c r="M5066">
        <v>1</v>
      </c>
      <c r="N5066">
        <v>5</v>
      </c>
      <c r="O5066">
        <v>35.713000000000001</v>
      </c>
      <c r="P5066">
        <v>16.427810470000001</v>
      </c>
      <c r="Q5066">
        <v>8.3179999999999996</v>
      </c>
    </row>
    <row r="5067" spans="1:17" x14ac:dyDescent="0.2">
      <c r="A5067" s="30" t="str">
        <f>IF(C5067&amp;G5067&amp;D5067&lt;&gt;'Funnel setup'!$K$3&amp;'Funnel setup'!$K$4&amp;'Funnel setup'!$K$5,".",IF(A5066=".",1,A5066+1))</f>
        <v>.</v>
      </c>
      <c r="B5067" s="431" t="str">
        <f t="shared" si="79"/>
        <v>Knee Replacement PrimaryProviderSPIRE PORTSMOUTH HOSPITAL (NT305)Oxford Knee Score</v>
      </c>
      <c r="C5067" t="s">
        <v>249</v>
      </c>
      <c r="D5067" t="s">
        <v>1</v>
      </c>
      <c r="E5067" t="s">
        <v>3169</v>
      </c>
      <c r="F5067" t="s">
        <v>340</v>
      </c>
      <c r="G5067" t="s">
        <v>16</v>
      </c>
      <c r="H5067">
        <v>101</v>
      </c>
      <c r="I5067">
        <v>20.614000000000001</v>
      </c>
      <c r="J5067">
        <v>39.505000000000003</v>
      </c>
      <c r="K5067">
        <v>18.890999999999998</v>
      </c>
      <c r="L5067">
        <v>99</v>
      </c>
      <c r="M5067">
        <v>0</v>
      </c>
      <c r="N5067">
        <v>2</v>
      </c>
      <c r="O5067">
        <v>38.024000000000001</v>
      </c>
      <c r="P5067">
        <v>18.73886456</v>
      </c>
      <c r="Q5067">
        <v>6.9189999999999996</v>
      </c>
    </row>
    <row r="5068" spans="1:17" x14ac:dyDescent="0.2">
      <c r="A5068" s="30" t="str">
        <f>IF(C5068&amp;G5068&amp;D5068&lt;&gt;'Funnel setup'!$K$3&amp;'Funnel setup'!$K$4&amp;'Funnel setup'!$K$5,".",IF(A5067=".",1,A5067+1))</f>
        <v>.</v>
      </c>
      <c r="B5068" s="431" t="str">
        <f t="shared" si="79"/>
        <v>Knee Replacement PrimaryProviderSPIRE REGENCY HOSPITAL (NT339)Oxford Knee Score</v>
      </c>
      <c r="C5068" t="s">
        <v>249</v>
      </c>
      <c r="D5068" t="s">
        <v>1</v>
      </c>
      <c r="E5068" t="s">
        <v>3171</v>
      </c>
      <c r="F5068" t="s">
        <v>3172</v>
      </c>
      <c r="G5068" t="s">
        <v>16</v>
      </c>
      <c r="H5068">
        <v>50</v>
      </c>
      <c r="I5068">
        <v>20.68</v>
      </c>
      <c r="J5068">
        <v>37.5</v>
      </c>
      <c r="K5068">
        <v>16.82</v>
      </c>
      <c r="L5068">
        <v>48</v>
      </c>
      <c r="M5068">
        <v>0</v>
      </c>
      <c r="N5068">
        <v>2</v>
      </c>
      <c r="O5068">
        <v>35.728000000000002</v>
      </c>
      <c r="P5068">
        <v>16.443005830000001</v>
      </c>
      <c r="Q5068">
        <v>8.5549999999999997</v>
      </c>
    </row>
    <row r="5069" spans="1:17" x14ac:dyDescent="0.2">
      <c r="A5069" s="30" t="str">
        <f>IF(C5069&amp;G5069&amp;D5069&lt;&gt;'Funnel setup'!$K$3&amp;'Funnel setup'!$K$4&amp;'Funnel setup'!$K$5,".",IF(A5068=".",1,A5068+1))</f>
        <v>.</v>
      </c>
      <c r="B5069" s="431" t="str">
        <f t="shared" si="79"/>
        <v>Knee Replacement PrimaryProviderSPIRE RODING HOSPITAL (NT314)Oxford Knee Score</v>
      </c>
      <c r="C5069" t="s">
        <v>249</v>
      </c>
      <c r="D5069" t="s">
        <v>1</v>
      </c>
      <c r="E5069" t="s">
        <v>4254</v>
      </c>
      <c r="F5069" t="s">
        <v>4255</v>
      </c>
      <c r="G5069" t="s">
        <v>16</v>
      </c>
      <c r="H5069">
        <v>29</v>
      </c>
      <c r="I5069">
        <v>20.448</v>
      </c>
      <c r="J5069">
        <v>32.31</v>
      </c>
      <c r="K5069">
        <v>11.862</v>
      </c>
      <c r="L5069">
        <v>26</v>
      </c>
      <c r="M5069">
        <v>0</v>
      </c>
      <c r="N5069">
        <v>3</v>
      </c>
      <c r="O5069" t="s">
        <v>53</v>
      </c>
      <c r="P5069" t="s">
        <v>53</v>
      </c>
      <c r="Q5069" t="s">
        <v>53</v>
      </c>
    </row>
    <row r="5070" spans="1:17" x14ac:dyDescent="0.2">
      <c r="A5070" s="30" t="str">
        <f>IF(C5070&amp;G5070&amp;D5070&lt;&gt;'Funnel setup'!$K$3&amp;'Funnel setup'!$K$4&amp;'Funnel setup'!$K$5,".",IF(A5069=".",1,A5069+1))</f>
        <v>.</v>
      </c>
      <c r="B5070" s="431" t="str">
        <f t="shared" si="79"/>
        <v>Knee Replacement PrimaryProviderSPIRE SOUTH BANK HOSPITAL (NT301)Oxford Knee Score</v>
      </c>
      <c r="C5070" t="s">
        <v>249</v>
      </c>
      <c r="D5070" t="s">
        <v>1</v>
      </c>
      <c r="E5070" t="s">
        <v>3174</v>
      </c>
      <c r="F5070" t="s">
        <v>3175</v>
      </c>
      <c r="G5070" t="s">
        <v>16</v>
      </c>
      <c r="H5070">
        <v>49</v>
      </c>
      <c r="I5070">
        <v>24.795999999999999</v>
      </c>
      <c r="J5070">
        <v>37.061</v>
      </c>
      <c r="K5070">
        <v>12.265000000000001</v>
      </c>
      <c r="L5070">
        <v>45</v>
      </c>
      <c r="M5070">
        <v>2</v>
      </c>
      <c r="N5070">
        <v>2</v>
      </c>
      <c r="O5070">
        <v>34.244</v>
      </c>
      <c r="P5070">
        <v>14.958298790000001</v>
      </c>
      <c r="Q5070">
        <v>8.3559999999999999</v>
      </c>
    </row>
    <row r="5071" spans="1:17" x14ac:dyDescent="0.2">
      <c r="A5071" s="30" t="str">
        <f>IF(C5071&amp;G5071&amp;D5071&lt;&gt;'Funnel setup'!$K$3&amp;'Funnel setup'!$K$4&amp;'Funnel setup'!$K$5,".",IF(A5070=".",1,A5070+1))</f>
        <v>.</v>
      </c>
      <c r="B5071" s="431" t="str">
        <f t="shared" si="79"/>
        <v>Knee Replacement PrimaryProviderSPIRE ST SAVIOURS HOSPITAL (NT346)Oxford Knee Score</v>
      </c>
      <c r="C5071" t="s">
        <v>249</v>
      </c>
      <c r="D5071" t="s">
        <v>1</v>
      </c>
      <c r="E5071" t="s">
        <v>3177</v>
      </c>
      <c r="F5071" t="s">
        <v>3178</v>
      </c>
      <c r="G5071" t="s">
        <v>16</v>
      </c>
      <c r="H5071">
        <v>12</v>
      </c>
      <c r="I5071">
        <v>23.832999999999998</v>
      </c>
      <c r="J5071">
        <v>40.082999999999998</v>
      </c>
      <c r="K5071">
        <v>16.25</v>
      </c>
      <c r="L5071">
        <v>11</v>
      </c>
      <c r="M5071">
        <v>0</v>
      </c>
      <c r="N5071">
        <v>1</v>
      </c>
      <c r="O5071" t="s">
        <v>53</v>
      </c>
      <c r="P5071" t="s">
        <v>53</v>
      </c>
      <c r="Q5071" t="s">
        <v>53</v>
      </c>
    </row>
    <row r="5072" spans="1:17" x14ac:dyDescent="0.2">
      <c r="A5072" s="30" t="str">
        <f>IF(C5072&amp;G5072&amp;D5072&lt;&gt;'Funnel setup'!$K$3&amp;'Funnel setup'!$K$4&amp;'Funnel setup'!$K$5,".",IF(A5071=".",1,A5071+1))</f>
        <v>.</v>
      </c>
      <c r="B5072" s="431" t="str">
        <f t="shared" si="79"/>
        <v>Knee Replacement PrimaryProviderSPIRE SUSSEX HOSPITAL (NT309)Oxford Knee Score</v>
      </c>
      <c r="C5072" t="s">
        <v>249</v>
      </c>
      <c r="D5072" t="s">
        <v>1</v>
      </c>
      <c r="E5072" t="s">
        <v>3180</v>
      </c>
      <c r="F5072" t="s">
        <v>3181</v>
      </c>
      <c r="G5072" t="s">
        <v>16</v>
      </c>
      <c r="H5072">
        <v>44</v>
      </c>
      <c r="I5072">
        <v>20.704999999999998</v>
      </c>
      <c r="J5072">
        <v>36.886000000000003</v>
      </c>
      <c r="K5072">
        <v>16.181999999999999</v>
      </c>
      <c r="L5072">
        <v>41</v>
      </c>
      <c r="M5072">
        <v>0</v>
      </c>
      <c r="N5072">
        <v>3</v>
      </c>
      <c r="O5072">
        <v>35.625</v>
      </c>
      <c r="P5072">
        <v>16.339543849999998</v>
      </c>
      <c r="Q5072">
        <v>8.2390000000000008</v>
      </c>
    </row>
    <row r="5073" spans="1:17" x14ac:dyDescent="0.2">
      <c r="A5073" s="30" t="str">
        <f>IF(C5073&amp;G5073&amp;D5073&lt;&gt;'Funnel setup'!$K$3&amp;'Funnel setup'!$K$4&amp;'Funnel setup'!$K$5,".",IF(A5072=".",1,A5072+1))</f>
        <v>.</v>
      </c>
      <c r="B5073" s="431" t="str">
        <f t="shared" si="79"/>
        <v>Knee Replacement PrimaryProviderSPIRE THAMES VALLEY HOSPITAL (NT343)Oxford Knee Score</v>
      </c>
      <c r="C5073" t="s">
        <v>249</v>
      </c>
      <c r="D5073" t="s">
        <v>1</v>
      </c>
      <c r="E5073" t="s">
        <v>3183</v>
      </c>
      <c r="F5073" t="s">
        <v>3184</v>
      </c>
      <c r="G5073" t="s">
        <v>16</v>
      </c>
      <c r="H5073" t="s">
        <v>53</v>
      </c>
      <c r="I5073" t="s">
        <v>53</v>
      </c>
      <c r="J5073" t="s">
        <v>53</v>
      </c>
      <c r="K5073" t="s">
        <v>53</v>
      </c>
      <c r="L5073" t="s">
        <v>53</v>
      </c>
      <c r="M5073" t="s">
        <v>53</v>
      </c>
      <c r="N5073" t="s">
        <v>53</v>
      </c>
      <c r="O5073" t="s">
        <v>53</v>
      </c>
      <c r="P5073" t="s">
        <v>53</v>
      </c>
      <c r="Q5073" t="s">
        <v>53</v>
      </c>
    </row>
    <row r="5074" spans="1:17" x14ac:dyDescent="0.2">
      <c r="A5074" s="30" t="str">
        <f>IF(C5074&amp;G5074&amp;D5074&lt;&gt;'Funnel setup'!$K$3&amp;'Funnel setup'!$K$4&amp;'Funnel setup'!$K$5,".",IF(A5073=".",1,A5073+1))</f>
        <v>.</v>
      </c>
      <c r="B5074" s="431" t="str">
        <f t="shared" si="79"/>
        <v>Knee Replacement PrimaryProviderSPIRE TUNBRIDGE WELLS HOSPITAL (NT310)Oxford Knee Score</v>
      </c>
      <c r="C5074" t="s">
        <v>249</v>
      </c>
      <c r="D5074" t="s">
        <v>1</v>
      </c>
      <c r="E5074" t="s">
        <v>3186</v>
      </c>
      <c r="F5074" t="s">
        <v>3187</v>
      </c>
      <c r="G5074" t="s">
        <v>16</v>
      </c>
      <c r="H5074" t="s">
        <v>53</v>
      </c>
      <c r="I5074" t="s">
        <v>53</v>
      </c>
      <c r="J5074" t="s">
        <v>53</v>
      </c>
      <c r="K5074" t="s">
        <v>53</v>
      </c>
      <c r="L5074" t="s">
        <v>53</v>
      </c>
      <c r="M5074" t="s">
        <v>53</v>
      </c>
      <c r="N5074" t="s">
        <v>53</v>
      </c>
      <c r="O5074" t="s">
        <v>53</v>
      </c>
      <c r="P5074" t="s">
        <v>53</v>
      </c>
      <c r="Q5074" t="s">
        <v>53</v>
      </c>
    </row>
    <row r="5075" spans="1:17" x14ac:dyDescent="0.2">
      <c r="A5075" s="30" t="str">
        <f>IF(C5075&amp;G5075&amp;D5075&lt;&gt;'Funnel setup'!$K$3&amp;'Funnel setup'!$K$4&amp;'Funnel setup'!$K$5,".",IF(A5074=".",1,A5074+1))</f>
        <v>.</v>
      </c>
      <c r="B5075" s="431" t="str">
        <f t="shared" si="79"/>
        <v>Knee Replacement PrimaryProviderSPIRE WASHINGTON HOSPITAL (NT333)Oxford Knee Score</v>
      </c>
      <c r="C5075" t="s">
        <v>249</v>
      </c>
      <c r="D5075" t="s">
        <v>1</v>
      </c>
      <c r="E5075" t="s">
        <v>3189</v>
      </c>
      <c r="F5075" t="s">
        <v>3190</v>
      </c>
      <c r="G5075" t="s">
        <v>16</v>
      </c>
      <c r="H5075">
        <v>86</v>
      </c>
      <c r="I5075">
        <v>19.488</v>
      </c>
      <c r="J5075">
        <v>37</v>
      </c>
      <c r="K5075">
        <v>17.512</v>
      </c>
      <c r="L5075">
        <v>82</v>
      </c>
      <c r="M5075">
        <v>2</v>
      </c>
      <c r="N5075">
        <v>2</v>
      </c>
      <c r="O5075">
        <v>36.494999999999997</v>
      </c>
      <c r="P5075">
        <v>17.209614850000001</v>
      </c>
      <c r="Q5075">
        <v>9.0579999999999998</v>
      </c>
    </row>
    <row r="5076" spans="1:17" x14ac:dyDescent="0.2">
      <c r="A5076" s="30" t="str">
        <f>IF(C5076&amp;G5076&amp;D5076&lt;&gt;'Funnel setup'!$K$3&amp;'Funnel setup'!$K$4&amp;'Funnel setup'!$K$5,".",IF(A5075=".",1,A5075+1))</f>
        <v>.</v>
      </c>
      <c r="B5076" s="431" t="str">
        <f t="shared" si="79"/>
        <v>Knee Replacement PrimaryProviderSPIRE WELLESLEY HOSPITAL (NT313)Oxford Knee Score</v>
      </c>
      <c r="C5076" t="s">
        <v>249</v>
      </c>
      <c r="D5076" t="s">
        <v>1</v>
      </c>
      <c r="E5076" t="s">
        <v>3192</v>
      </c>
      <c r="F5076" t="s">
        <v>3193</v>
      </c>
      <c r="G5076" t="s">
        <v>16</v>
      </c>
      <c r="H5076">
        <v>111</v>
      </c>
      <c r="I5076">
        <v>18.405000000000001</v>
      </c>
      <c r="J5076">
        <v>36.865000000000002</v>
      </c>
      <c r="K5076">
        <v>18.459</v>
      </c>
      <c r="L5076">
        <v>106</v>
      </c>
      <c r="M5076">
        <v>1</v>
      </c>
      <c r="N5076">
        <v>4</v>
      </c>
      <c r="O5076">
        <v>36.835000000000001</v>
      </c>
      <c r="P5076">
        <v>17.54963519</v>
      </c>
      <c r="Q5076">
        <v>8.4450000000000003</v>
      </c>
    </row>
    <row r="5077" spans="1:17" x14ac:dyDescent="0.2">
      <c r="A5077" s="30" t="str">
        <f>IF(C5077&amp;G5077&amp;D5077&lt;&gt;'Funnel setup'!$K$3&amp;'Funnel setup'!$K$4&amp;'Funnel setup'!$K$5,".",IF(A5076=".",1,A5076+1))</f>
        <v>.</v>
      </c>
      <c r="B5077" s="431" t="str">
        <f t="shared" si="79"/>
        <v>Knee Replacement PrimaryProviderSPRINGFIELD HOSPITAL (NVC18)Oxford Knee Score</v>
      </c>
      <c r="C5077" t="s">
        <v>249</v>
      </c>
      <c r="D5077" t="s">
        <v>1</v>
      </c>
      <c r="E5077" t="s">
        <v>3195</v>
      </c>
      <c r="F5077" t="s">
        <v>3196</v>
      </c>
      <c r="G5077" t="s">
        <v>16</v>
      </c>
      <c r="H5077">
        <v>129</v>
      </c>
      <c r="I5077">
        <v>19.867999999999999</v>
      </c>
      <c r="J5077">
        <v>36.566000000000003</v>
      </c>
      <c r="K5077">
        <v>16.698</v>
      </c>
      <c r="L5077">
        <v>120</v>
      </c>
      <c r="M5077">
        <v>2</v>
      </c>
      <c r="N5077">
        <v>7</v>
      </c>
      <c r="O5077">
        <v>35.411999999999999</v>
      </c>
      <c r="P5077">
        <v>16.126931849999998</v>
      </c>
      <c r="Q5077">
        <v>7.9580000000000002</v>
      </c>
    </row>
    <row r="5078" spans="1:17" x14ac:dyDescent="0.2">
      <c r="A5078" s="30" t="str">
        <f>IF(C5078&amp;G5078&amp;D5078&lt;&gt;'Funnel setup'!$K$3&amp;'Funnel setup'!$K$4&amp;'Funnel setup'!$K$5,".",IF(A5077=".",1,A5077+1))</f>
        <v>.</v>
      </c>
      <c r="B5078" s="431" t="str">
        <f t="shared" si="79"/>
        <v>Knee Replacement PrimaryProviderST GEORGE'S UNIVERSITY HOSPITALS NHS FOUNDATION TRUST (RJ7)Oxford Knee Score</v>
      </c>
      <c r="C5078" t="s">
        <v>249</v>
      </c>
      <c r="D5078" t="s">
        <v>1</v>
      </c>
      <c r="E5078" t="s">
        <v>3124</v>
      </c>
      <c r="F5078" t="s">
        <v>3125</v>
      </c>
      <c r="G5078" t="s">
        <v>16</v>
      </c>
      <c r="H5078" t="s">
        <v>53</v>
      </c>
      <c r="I5078" t="s">
        <v>53</v>
      </c>
      <c r="J5078" t="s">
        <v>53</v>
      </c>
      <c r="K5078" t="s">
        <v>53</v>
      </c>
      <c r="L5078" t="s">
        <v>53</v>
      </c>
      <c r="M5078" t="s">
        <v>53</v>
      </c>
      <c r="N5078" t="s">
        <v>53</v>
      </c>
      <c r="O5078" t="s">
        <v>53</v>
      </c>
      <c r="P5078" t="s">
        <v>53</v>
      </c>
      <c r="Q5078" t="s">
        <v>53</v>
      </c>
    </row>
    <row r="5079" spans="1:17" x14ac:dyDescent="0.2">
      <c r="A5079" s="30" t="str">
        <f>IF(C5079&amp;G5079&amp;D5079&lt;&gt;'Funnel setup'!$K$3&amp;'Funnel setup'!$K$4&amp;'Funnel setup'!$K$5,".",IF(A5078=".",1,A5078+1))</f>
        <v>.</v>
      </c>
      <c r="B5079" s="431" t="str">
        <f t="shared" si="79"/>
        <v>Knee Replacement PrimaryProviderST HELENS AND KNOWSLEY HOSPITALS NHS TRUST (RBN)Oxford Knee Score</v>
      </c>
      <c r="C5079" t="s">
        <v>249</v>
      </c>
      <c r="D5079" t="s">
        <v>1</v>
      </c>
      <c r="E5079" t="s">
        <v>3127</v>
      </c>
      <c r="F5079" t="s">
        <v>3128</v>
      </c>
      <c r="G5079" t="s">
        <v>16</v>
      </c>
      <c r="H5079">
        <v>275</v>
      </c>
      <c r="I5079">
        <v>19.007000000000001</v>
      </c>
      <c r="J5079">
        <v>32.643999999999998</v>
      </c>
      <c r="K5079">
        <v>13.635999999999999</v>
      </c>
      <c r="L5079">
        <v>244</v>
      </c>
      <c r="M5079">
        <v>2</v>
      </c>
      <c r="N5079">
        <v>29</v>
      </c>
      <c r="O5079">
        <v>33.594000000000001</v>
      </c>
      <c r="P5079">
        <v>14.30818026</v>
      </c>
      <c r="Q5079">
        <v>9.1150000000000002</v>
      </c>
    </row>
    <row r="5080" spans="1:17" x14ac:dyDescent="0.2">
      <c r="A5080" s="30" t="str">
        <f>IF(C5080&amp;G5080&amp;D5080&lt;&gt;'Funnel setup'!$K$3&amp;'Funnel setup'!$K$4&amp;'Funnel setup'!$K$5,".",IF(A5079=".",1,A5079+1))</f>
        <v>.</v>
      </c>
      <c r="B5080" s="431" t="str">
        <f t="shared" si="79"/>
        <v>Knee Replacement PrimaryProviderST HUGH'S HOSPITAL (NTE02)Oxford Knee Score</v>
      </c>
      <c r="C5080" t="s">
        <v>249</v>
      </c>
      <c r="D5080" t="s">
        <v>1</v>
      </c>
      <c r="E5080" t="s">
        <v>3130</v>
      </c>
      <c r="F5080" t="s">
        <v>3131</v>
      </c>
      <c r="G5080" t="s">
        <v>16</v>
      </c>
      <c r="H5080">
        <v>54</v>
      </c>
      <c r="I5080">
        <v>20.574000000000002</v>
      </c>
      <c r="J5080">
        <v>37.332999999999998</v>
      </c>
      <c r="K5080">
        <v>16.759</v>
      </c>
      <c r="L5080">
        <v>52</v>
      </c>
      <c r="M5080">
        <v>1</v>
      </c>
      <c r="N5080">
        <v>1</v>
      </c>
      <c r="O5080">
        <v>36.374000000000002</v>
      </c>
      <c r="P5080">
        <v>17.088848840000001</v>
      </c>
      <c r="Q5080">
        <v>7.7409999999999997</v>
      </c>
    </row>
    <row r="5081" spans="1:17" x14ac:dyDescent="0.2">
      <c r="A5081" s="30" t="str">
        <f>IF(C5081&amp;G5081&amp;D5081&lt;&gt;'Funnel setup'!$K$3&amp;'Funnel setup'!$K$4&amp;'Funnel setup'!$K$5,".",IF(A5080=".",1,A5080+1))</f>
        <v>.</v>
      </c>
      <c r="B5081" s="431" t="str">
        <f t="shared" si="79"/>
        <v>Knee Replacement PrimaryProviderSTOCKPORT NHS FOUNDATION TRUST (RWJ)Oxford Knee Score</v>
      </c>
      <c r="C5081" t="s">
        <v>249</v>
      </c>
      <c r="D5081" t="s">
        <v>1</v>
      </c>
      <c r="E5081" t="s">
        <v>3142</v>
      </c>
      <c r="F5081" t="s">
        <v>3143</v>
      </c>
      <c r="G5081" t="s">
        <v>16</v>
      </c>
      <c r="H5081">
        <v>193</v>
      </c>
      <c r="I5081">
        <v>18.818999999999999</v>
      </c>
      <c r="J5081">
        <v>37.472000000000001</v>
      </c>
      <c r="K5081">
        <v>18.652999999999999</v>
      </c>
      <c r="L5081">
        <v>187</v>
      </c>
      <c r="M5081">
        <v>1</v>
      </c>
      <c r="N5081">
        <v>5</v>
      </c>
      <c r="O5081">
        <v>37.054000000000002</v>
      </c>
      <c r="P5081">
        <v>17.768280690000001</v>
      </c>
      <c r="Q5081">
        <v>7.7229999999999999</v>
      </c>
    </row>
    <row r="5082" spans="1:17" x14ac:dyDescent="0.2">
      <c r="A5082" s="30" t="str">
        <f>IF(C5082&amp;G5082&amp;D5082&lt;&gt;'Funnel setup'!$K$3&amp;'Funnel setup'!$K$4&amp;'Funnel setup'!$K$5,".",IF(A5081=".",1,A5081+1))</f>
        <v>.</v>
      </c>
      <c r="B5082" s="431" t="str">
        <f t="shared" si="79"/>
        <v>Knee Replacement PrimaryProviderSURREY AND SUSSEX HEALTHCARE NHS TRUST (RTP)Oxford Knee Score</v>
      </c>
      <c r="C5082" t="s">
        <v>249</v>
      </c>
      <c r="D5082" t="s">
        <v>1</v>
      </c>
      <c r="E5082" t="s">
        <v>3145</v>
      </c>
      <c r="F5082" t="s">
        <v>3146</v>
      </c>
      <c r="G5082" t="s">
        <v>16</v>
      </c>
      <c r="H5082">
        <v>128</v>
      </c>
      <c r="I5082">
        <v>19.57</v>
      </c>
      <c r="J5082">
        <v>33.25</v>
      </c>
      <c r="K5082">
        <v>13.68</v>
      </c>
      <c r="L5082">
        <v>114</v>
      </c>
      <c r="M5082">
        <v>5</v>
      </c>
      <c r="N5082">
        <v>9</v>
      </c>
      <c r="O5082">
        <v>33.042000000000002</v>
      </c>
      <c r="P5082">
        <v>13.756795370000001</v>
      </c>
      <c r="Q5082">
        <v>8.6310000000000002</v>
      </c>
    </row>
    <row r="5083" spans="1:17" x14ac:dyDescent="0.2">
      <c r="A5083" s="30" t="str">
        <f>IF(C5083&amp;G5083&amp;D5083&lt;&gt;'Funnel setup'!$K$3&amp;'Funnel setup'!$K$4&amp;'Funnel setup'!$K$5,".",IF(A5082=".",1,A5082+1))</f>
        <v>.</v>
      </c>
      <c r="B5083" s="431" t="str">
        <f t="shared" si="79"/>
        <v>Knee Replacement PrimaryProviderTAMESIDE HOSPITAL NHS FOUNDATION TRUST (RMP)Oxford Knee Score</v>
      </c>
      <c r="C5083" t="s">
        <v>249</v>
      </c>
      <c r="D5083" t="s">
        <v>1</v>
      </c>
      <c r="E5083" t="s">
        <v>3148</v>
      </c>
      <c r="F5083" t="s">
        <v>3149</v>
      </c>
      <c r="G5083" t="s">
        <v>16</v>
      </c>
      <c r="H5083">
        <v>138</v>
      </c>
      <c r="I5083">
        <v>17.405999999999999</v>
      </c>
      <c r="J5083">
        <v>33.731999999999999</v>
      </c>
      <c r="K5083">
        <v>16.326000000000001</v>
      </c>
      <c r="L5083">
        <v>129</v>
      </c>
      <c r="M5083">
        <v>3</v>
      </c>
      <c r="N5083">
        <v>6</v>
      </c>
      <c r="O5083">
        <v>35.526000000000003</v>
      </c>
      <c r="P5083">
        <v>16.240489480000001</v>
      </c>
      <c r="Q5083">
        <v>8.5890000000000004</v>
      </c>
    </row>
    <row r="5084" spans="1:17" x14ac:dyDescent="0.2">
      <c r="A5084" s="30" t="str">
        <f>IF(C5084&amp;G5084&amp;D5084&lt;&gt;'Funnel setup'!$K$3&amp;'Funnel setup'!$K$4&amp;'Funnel setup'!$K$5,".",IF(A5083=".",1,A5083+1))</f>
        <v>.</v>
      </c>
      <c r="B5084" s="431" t="str">
        <f t="shared" si="79"/>
        <v>Knee Replacement PrimaryProviderTAUNTON AND SOMERSET NHS FOUNDATION TRUST (RBA)Oxford Knee Score</v>
      </c>
      <c r="C5084" t="s">
        <v>249</v>
      </c>
      <c r="D5084" t="s">
        <v>1</v>
      </c>
      <c r="E5084" t="s">
        <v>3151</v>
      </c>
      <c r="F5084" t="s">
        <v>3152</v>
      </c>
      <c r="G5084" t="s">
        <v>16</v>
      </c>
      <c r="H5084">
        <v>81</v>
      </c>
      <c r="I5084">
        <v>17.84</v>
      </c>
      <c r="J5084">
        <v>35.988</v>
      </c>
      <c r="K5084">
        <v>18.148</v>
      </c>
      <c r="L5084">
        <v>79</v>
      </c>
      <c r="M5084">
        <v>2</v>
      </c>
      <c r="N5084">
        <v>0</v>
      </c>
      <c r="O5084">
        <v>36.643999999999998</v>
      </c>
      <c r="P5084">
        <v>17.358618060000001</v>
      </c>
      <c r="Q5084">
        <v>7.8140000000000001</v>
      </c>
    </row>
    <row r="5085" spans="1:17" x14ac:dyDescent="0.2">
      <c r="A5085" s="30" t="str">
        <f>IF(C5085&amp;G5085&amp;D5085&lt;&gt;'Funnel setup'!$K$3&amp;'Funnel setup'!$K$4&amp;'Funnel setup'!$K$5,".",IF(A5084=".",1,A5084+1))</f>
        <v>.</v>
      </c>
      <c r="B5085" s="431" t="str">
        <f t="shared" si="79"/>
        <v>Knee Replacement PrimaryProviderTHE BERKSHIRE INDEPENDENT HOSPITAL (NVC02)Oxford Knee Score</v>
      </c>
      <c r="C5085" t="s">
        <v>249</v>
      </c>
      <c r="D5085" t="s">
        <v>1</v>
      </c>
      <c r="E5085" t="s">
        <v>3118</v>
      </c>
      <c r="F5085" t="s">
        <v>3119</v>
      </c>
      <c r="G5085" t="s">
        <v>16</v>
      </c>
      <c r="H5085">
        <v>46</v>
      </c>
      <c r="I5085">
        <v>20.152000000000001</v>
      </c>
      <c r="J5085">
        <v>37.261000000000003</v>
      </c>
      <c r="K5085">
        <v>17.109000000000002</v>
      </c>
      <c r="L5085">
        <v>45</v>
      </c>
      <c r="M5085">
        <v>0</v>
      </c>
      <c r="N5085">
        <v>1</v>
      </c>
      <c r="O5085">
        <v>35.841000000000001</v>
      </c>
      <c r="P5085">
        <v>16.555770500000001</v>
      </c>
      <c r="Q5085">
        <v>6.6909999999999998</v>
      </c>
    </row>
    <row r="5086" spans="1:17" x14ac:dyDescent="0.2">
      <c r="A5086" s="30" t="str">
        <f>IF(C5086&amp;G5086&amp;D5086&lt;&gt;'Funnel setup'!$K$3&amp;'Funnel setup'!$K$4&amp;'Funnel setup'!$K$5,".",IF(A5085=".",1,A5085+1))</f>
        <v>.</v>
      </c>
      <c r="B5086" s="431" t="str">
        <f t="shared" si="79"/>
        <v>Knee Replacement PrimaryProviderTHE DUDLEY GROUP NHS FOUNDATION TRUST (RNA)Oxford Knee Score</v>
      </c>
      <c r="C5086" t="s">
        <v>249</v>
      </c>
      <c r="D5086" t="s">
        <v>1</v>
      </c>
      <c r="E5086" t="s">
        <v>3121</v>
      </c>
      <c r="F5086" t="s">
        <v>3122</v>
      </c>
      <c r="G5086" t="s">
        <v>16</v>
      </c>
      <c r="H5086">
        <v>326</v>
      </c>
      <c r="I5086">
        <v>17.067</v>
      </c>
      <c r="J5086">
        <v>34.844000000000001</v>
      </c>
      <c r="K5086">
        <v>17.776</v>
      </c>
      <c r="L5086">
        <v>311</v>
      </c>
      <c r="M5086">
        <v>3</v>
      </c>
      <c r="N5086">
        <v>12</v>
      </c>
      <c r="O5086">
        <v>36.161999999999999</v>
      </c>
      <c r="P5086">
        <v>16.876617939999999</v>
      </c>
      <c r="Q5086">
        <v>8.8239999999999998</v>
      </c>
    </row>
    <row r="5087" spans="1:17" x14ac:dyDescent="0.2">
      <c r="A5087" s="30" t="str">
        <f>IF(C5087&amp;G5087&amp;D5087&lt;&gt;'Funnel setup'!$K$3&amp;'Funnel setup'!$K$4&amp;'Funnel setup'!$K$5,".",IF(A5086=".",1,A5086+1))</f>
        <v>.</v>
      </c>
      <c r="B5087" s="431" t="str">
        <f t="shared" si="79"/>
        <v>Knee Replacement PrimaryProviderTHE HILLINGDON HOSPITALS NHS FOUNDATION TRUST (RAS)Oxford Knee Score</v>
      </c>
      <c r="C5087" t="s">
        <v>249</v>
      </c>
      <c r="D5087" t="s">
        <v>1</v>
      </c>
      <c r="E5087" t="s">
        <v>3115</v>
      </c>
      <c r="F5087" t="s">
        <v>3116</v>
      </c>
      <c r="G5087" t="s">
        <v>16</v>
      </c>
      <c r="H5087">
        <v>183</v>
      </c>
      <c r="I5087">
        <v>20.18</v>
      </c>
      <c r="J5087">
        <v>32.332999999999998</v>
      </c>
      <c r="K5087">
        <v>12.153</v>
      </c>
      <c r="L5087">
        <v>166</v>
      </c>
      <c r="M5087">
        <v>3</v>
      </c>
      <c r="N5087">
        <v>14</v>
      </c>
      <c r="O5087">
        <v>32.466000000000001</v>
      </c>
      <c r="P5087">
        <v>13.18078609</v>
      </c>
      <c r="Q5087">
        <v>8.5540000000000003</v>
      </c>
    </row>
    <row r="5088" spans="1:17" x14ac:dyDescent="0.2">
      <c r="A5088" s="30" t="str">
        <f>IF(C5088&amp;G5088&amp;D5088&lt;&gt;'Funnel setup'!$K$3&amp;'Funnel setup'!$K$4&amp;'Funnel setup'!$K$5,".",IF(A5087=".",1,A5087+1))</f>
        <v>.</v>
      </c>
      <c r="B5088" s="431" t="str">
        <f t="shared" si="79"/>
        <v>Knee Replacement PrimaryProviderTHE HORDER CENTRE - ST JOHNS ROAD (NXM01)Oxford Knee Score</v>
      </c>
      <c r="C5088" t="s">
        <v>249</v>
      </c>
      <c r="D5088" t="s">
        <v>1</v>
      </c>
      <c r="E5088" t="s">
        <v>4222</v>
      </c>
      <c r="F5088" t="s">
        <v>4223</v>
      </c>
      <c r="G5088" t="s">
        <v>16</v>
      </c>
      <c r="H5088">
        <v>655</v>
      </c>
      <c r="I5088">
        <v>23.934000000000001</v>
      </c>
      <c r="J5088">
        <v>38.774000000000001</v>
      </c>
      <c r="K5088">
        <v>14.84</v>
      </c>
      <c r="L5088">
        <v>621</v>
      </c>
      <c r="M5088">
        <v>8</v>
      </c>
      <c r="N5088">
        <v>26</v>
      </c>
      <c r="O5088">
        <v>36.353000000000002</v>
      </c>
      <c r="P5088">
        <v>17.068124950000001</v>
      </c>
      <c r="Q5088">
        <v>7.0570000000000004</v>
      </c>
    </row>
    <row r="5089" spans="1:17" x14ac:dyDescent="0.2">
      <c r="A5089" s="30" t="str">
        <f>IF(C5089&amp;G5089&amp;D5089&lt;&gt;'Funnel setup'!$K$3&amp;'Funnel setup'!$K$4&amp;'Funnel setup'!$K$5,".",IF(A5088=".",1,A5088+1))</f>
        <v>.</v>
      </c>
      <c r="B5089" s="431" t="str">
        <f t="shared" si="79"/>
        <v>Knee Replacement PrimaryProviderTHE NEWCASTLE UPON TYNE HOSPITALS NHS FOUNDATION TRUST (RTD)Oxford Knee Score</v>
      </c>
      <c r="C5089" t="s">
        <v>249</v>
      </c>
      <c r="D5089" t="s">
        <v>1</v>
      </c>
      <c r="E5089" t="s">
        <v>3748</v>
      </c>
      <c r="F5089" t="s">
        <v>3749</v>
      </c>
      <c r="G5089" t="s">
        <v>16</v>
      </c>
      <c r="H5089">
        <v>424</v>
      </c>
      <c r="I5089">
        <v>18.940999999999999</v>
      </c>
      <c r="J5089">
        <v>35.255000000000003</v>
      </c>
      <c r="K5089">
        <v>16.314</v>
      </c>
      <c r="L5089">
        <v>399</v>
      </c>
      <c r="M5089">
        <v>6</v>
      </c>
      <c r="N5089">
        <v>19</v>
      </c>
      <c r="O5089">
        <v>35.875</v>
      </c>
      <c r="P5089">
        <v>16.5892698</v>
      </c>
      <c r="Q5089">
        <v>8.3949999999999996</v>
      </c>
    </row>
    <row r="5090" spans="1:17" x14ac:dyDescent="0.2">
      <c r="A5090" s="30" t="str">
        <f>IF(C5090&amp;G5090&amp;D5090&lt;&gt;'Funnel setup'!$K$3&amp;'Funnel setup'!$K$4&amp;'Funnel setup'!$K$5,".",IF(A5089=".",1,A5089+1))</f>
        <v>.</v>
      </c>
      <c r="B5090" s="431" t="str">
        <f t="shared" si="79"/>
        <v>Knee Replacement PrimaryProviderTHE PRINCESS ALEXANDRA HOSPITAL NHS TRUST (RQW)Oxford Knee Score</v>
      </c>
      <c r="C5090" t="s">
        <v>249</v>
      </c>
      <c r="D5090" t="s">
        <v>1</v>
      </c>
      <c r="E5090" t="s">
        <v>3751</v>
      </c>
      <c r="F5090" t="s">
        <v>3752</v>
      </c>
      <c r="G5090" t="s">
        <v>16</v>
      </c>
      <c r="H5090">
        <v>200</v>
      </c>
      <c r="I5090">
        <v>20.02</v>
      </c>
      <c r="J5090">
        <v>35.645000000000003</v>
      </c>
      <c r="K5090">
        <v>15.625</v>
      </c>
      <c r="L5090">
        <v>187</v>
      </c>
      <c r="M5090">
        <v>2</v>
      </c>
      <c r="N5090">
        <v>11</v>
      </c>
      <c r="O5090">
        <v>35.311999999999998</v>
      </c>
      <c r="P5090">
        <v>16.026973430000002</v>
      </c>
      <c r="Q5090">
        <v>8.6150000000000002</v>
      </c>
    </row>
    <row r="5091" spans="1:17" x14ac:dyDescent="0.2">
      <c r="A5091" s="30" t="str">
        <f>IF(C5091&amp;G5091&amp;D5091&lt;&gt;'Funnel setup'!$K$3&amp;'Funnel setup'!$K$4&amp;'Funnel setup'!$K$5,".",IF(A5090=".",1,A5090+1))</f>
        <v>.</v>
      </c>
      <c r="B5091" s="431" t="str">
        <f t="shared" si="79"/>
        <v>Knee Replacement PrimaryProviderTHE QUEEN ELIZABETH HOSPITAL, KING'S LYNN, NHS FOUNDATION TRUST (RCX)Oxford Knee Score</v>
      </c>
      <c r="C5091" t="s">
        <v>249</v>
      </c>
      <c r="D5091" t="s">
        <v>1</v>
      </c>
      <c r="E5091" t="s">
        <v>3754</v>
      </c>
      <c r="F5091" t="s">
        <v>3755</v>
      </c>
      <c r="G5091" t="s">
        <v>16</v>
      </c>
      <c r="H5091">
        <v>154</v>
      </c>
      <c r="I5091">
        <v>17.981000000000002</v>
      </c>
      <c r="J5091">
        <v>35.161999999999999</v>
      </c>
      <c r="K5091">
        <v>17.181999999999999</v>
      </c>
      <c r="L5091">
        <v>146</v>
      </c>
      <c r="M5091">
        <v>2</v>
      </c>
      <c r="N5091">
        <v>6</v>
      </c>
      <c r="O5091">
        <v>35.868000000000002</v>
      </c>
      <c r="P5091">
        <v>16.583088830000001</v>
      </c>
      <c r="Q5091">
        <v>8.57</v>
      </c>
    </row>
    <row r="5092" spans="1:17" x14ac:dyDescent="0.2">
      <c r="A5092" s="30" t="str">
        <f>IF(C5092&amp;G5092&amp;D5092&lt;&gt;'Funnel setup'!$K$3&amp;'Funnel setup'!$K$4&amp;'Funnel setup'!$K$5,".",IF(A5091=".",1,A5091+1))</f>
        <v>.</v>
      </c>
      <c r="B5092" s="431" t="str">
        <f t="shared" si="79"/>
        <v>Knee Replacement PrimaryProviderTHE ROBERT JONES AND AGNES HUNT ORTHOPAEDIC HOSPITAL NHS FOUNDATION TRUST (RL1)Oxford Knee Score</v>
      </c>
      <c r="C5092" t="s">
        <v>249</v>
      </c>
      <c r="D5092" t="s">
        <v>1</v>
      </c>
      <c r="E5092" t="s">
        <v>4496</v>
      </c>
      <c r="F5092" t="s">
        <v>4497</v>
      </c>
      <c r="G5092" t="s">
        <v>16</v>
      </c>
      <c r="H5092">
        <v>504</v>
      </c>
      <c r="I5092">
        <v>18.213999999999999</v>
      </c>
      <c r="J5092">
        <v>37.582999999999998</v>
      </c>
      <c r="K5092">
        <v>19.369</v>
      </c>
      <c r="L5092">
        <v>492</v>
      </c>
      <c r="M5092">
        <v>0</v>
      </c>
      <c r="N5092">
        <v>12</v>
      </c>
      <c r="O5092">
        <v>36.268000000000001</v>
      </c>
      <c r="P5092">
        <v>16.982747719999999</v>
      </c>
      <c r="Q5092">
        <v>8.0470000000000006</v>
      </c>
    </row>
    <row r="5093" spans="1:17" x14ac:dyDescent="0.2">
      <c r="A5093" s="30" t="str">
        <f>IF(C5093&amp;G5093&amp;D5093&lt;&gt;'Funnel setup'!$K$3&amp;'Funnel setup'!$K$4&amp;'Funnel setup'!$K$5,".",IF(A5092=".",1,A5092+1))</f>
        <v>.</v>
      </c>
      <c r="B5093" s="431" t="str">
        <f t="shared" si="79"/>
        <v>Knee Replacement PrimaryProviderTHE ROTHERHAM NHS FOUNDATION TRUST (RFR)Oxford Knee Score</v>
      </c>
      <c r="C5093" t="s">
        <v>249</v>
      </c>
      <c r="D5093" t="s">
        <v>1</v>
      </c>
      <c r="E5093" t="s">
        <v>3739</v>
      </c>
      <c r="F5093" t="s">
        <v>3740</v>
      </c>
      <c r="G5093" t="s">
        <v>16</v>
      </c>
      <c r="H5093">
        <v>185</v>
      </c>
      <c r="I5093">
        <v>16.47</v>
      </c>
      <c r="J5093">
        <v>34.308</v>
      </c>
      <c r="K5093">
        <v>17.838000000000001</v>
      </c>
      <c r="L5093">
        <v>174</v>
      </c>
      <c r="M5093">
        <v>2</v>
      </c>
      <c r="N5093">
        <v>9</v>
      </c>
      <c r="O5093">
        <v>36.082999999999998</v>
      </c>
      <c r="P5093">
        <v>16.797703850000001</v>
      </c>
      <c r="Q5093">
        <v>8.6509999999999998</v>
      </c>
    </row>
    <row r="5094" spans="1:17" x14ac:dyDescent="0.2">
      <c r="A5094" s="30" t="str">
        <f>IF(C5094&amp;G5094&amp;D5094&lt;&gt;'Funnel setup'!$K$3&amp;'Funnel setup'!$K$4&amp;'Funnel setup'!$K$5,".",IF(A5093=".",1,A5093+1))</f>
        <v>.</v>
      </c>
      <c r="B5094" s="431" t="str">
        <f t="shared" si="79"/>
        <v>Knee Replacement PrimaryProviderTHE ROYAL BOURNEMOUTH AND CHRISTCHURCH HOSPITALS NHS FOUNDATION TRUST (RDZ)Oxford Knee Score</v>
      </c>
      <c r="C5094" t="s">
        <v>249</v>
      </c>
      <c r="D5094" t="s">
        <v>1</v>
      </c>
      <c r="E5094" t="s">
        <v>3742</v>
      </c>
      <c r="F5094" t="s">
        <v>3743</v>
      </c>
      <c r="G5094" t="s">
        <v>16</v>
      </c>
      <c r="H5094">
        <v>400</v>
      </c>
      <c r="I5094">
        <v>19.989999999999998</v>
      </c>
      <c r="J5094">
        <v>35.295000000000002</v>
      </c>
      <c r="K5094">
        <v>15.305</v>
      </c>
      <c r="L5094">
        <v>370</v>
      </c>
      <c r="M5094">
        <v>4</v>
      </c>
      <c r="N5094">
        <v>26</v>
      </c>
      <c r="O5094">
        <v>34.624000000000002</v>
      </c>
      <c r="P5094">
        <v>15.33902234</v>
      </c>
      <c r="Q5094">
        <v>8.7240000000000002</v>
      </c>
    </row>
    <row r="5095" spans="1:17" x14ac:dyDescent="0.2">
      <c r="A5095" s="30" t="str">
        <f>IF(C5095&amp;G5095&amp;D5095&lt;&gt;'Funnel setup'!$K$3&amp;'Funnel setup'!$K$4&amp;'Funnel setup'!$K$5,".",IF(A5094=".",1,A5094+1))</f>
        <v>.</v>
      </c>
      <c r="B5095" s="431" t="str">
        <f t="shared" si="79"/>
        <v>Knee Replacement PrimaryProviderTHE ROYAL ORTHOPAEDIC HOSPITAL NHS FOUNDATION TRUST (RRJ)Oxford Knee Score</v>
      </c>
      <c r="C5095" t="s">
        <v>249</v>
      </c>
      <c r="D5095" t="s">
        <v>1</v>
      </c>
      <c r="E5095" t="s">
        <v>4480</v>
      </c>
      <c r="F5095" t="s">
        <v>4481</v>
      </c>
      <c r="G5095" t="s">
        <v>16</v>
      </c>
      <c r="H5095">
        <v>261</v>
      </c>
      <c r="I5095">
        <v>18.82</v>
      </c>
      <c r="J5095">
        <v>34.298999999999999</v>
      </c>
      <c r="K5095">
        <v>15.478999999999999</v>
      </c>
      <c r="L5095">
        <v>242</v>
      </c>
      <c r="M5095">
        <v>4</v>
      </c>
      <c r="N5095">
        <v>15</v>
      </c>
      <c r="O5095">
        <v>35.445999999999998</v>
      </c>
      <c r="P5095">
        <v>16.160359679999999</v>
      </c>
      <c r="Q5095">
        <v>8.6620000000000008</v>
      </c>
    </row>
    <row r="5096" spans="1:17" x14ac:dyDescent="0.2">
      <c r="A5096" s="30" t="str">
        <f>IF(C5096&amp;G5096&amp;D5096&lt;&gt;'Funnel setup'!$K$3&amp;'Funnel setup'!$K$4&amp;'Funnel setup'!$K$5,".",IF(A5095=".",1,A5095+1))</f>
        <v>.</v>
      </c>
      <c r="B5096" s="431" t="str">
        <f t="shared" si="79"/>
        <v>Knee Replacement PrimaryProviderTHE ROYAL WOLVERHAMPTON NHS TRUST (RL4)Oxford Knee Score</v>
      </c>
      <c r="C5096" t="s">
        <v>249</v>
      </c>
      <c r="D5096" t="s">
        <v>1</v>
      </c>
      <c r="E5096" t="s">
        <v>3382</v>
      </c>
      <c r="F5096" t="s">
        <v>3383</v>
      </c>
      <c r="G5096" t="s">
        <v>16</v>
      </c>
      <c r="H5096">
        <v>319</v>
      </c>
      <c r="I5096">
        <v>17.385999999999999</v>
      </c>
      <c r="J5096">
        <v>33.633000000000003</v>
      </c>
      <c r="K5096">
        <v>16.248000000000001</v>
      </c>
      <c r="L5096">
        <v>301</v>
      </c>
      <c r="M5096">
        <v>4</v>
      </c>
      <c r="N5096">
        <v>14</v>
      </c>
      <c r="O5096">
        <v>35.799999999999997</v>
      </c>
      <c r="P5096">
        <v>16.514192990000002</v>
      </c>
      <c r="Q5096">
        <v>8.7050000000000001</v>
      </c>
    </row>
    <row r="5097" spans="1:17" x14ac:dyDescent="0.2">
      <c r="A5097" s="30" t="str">
        <f>IF(C5097&amp;G5097&amp;D5097&lt;&gt;'Funnel setup'!$K$3&amp;'Funnel setup'!$K$4&amp;'Funnel setup'!$K$5,".",IF(A5096=".",1,A5096+1))</f>
        <v>.</v>
      </c>
      <c r="B5097" s="431" t="str">
        <f t="shared" si="79"/>
        <v>Knee Replacement PrimaryProviderTHE SPENCER WING (RAMSGATE ROAD) (NN801)Oxford Knee Score</v>
      </c>
      <c r="C5097" t="s">
        <v>249</v>
      </c>
      <c r="D5097" t="s">
        <v>1</v>
      </c>
      <c r="E5097" t="s">
        <v>3757</v>
      </c>
      <c r="F5097" t="s">
        <v>3758</v>
      </c>
      <c r="G5097" t="s">
        <v>16</v>
      </c>
      <c r="H5097">
        <v>27</v>
      </c>
      <c r="I5097">
        <v>20.074000000000002</v>
      </c>
      <c r="J5097">
        <v>37.481000000000002</v>
      </c>
      <c r="K5097">
        <v>17.407</v>
      </c>
      <c r="L5097">
        <v>26</v>
      </c>
      <c r="M5097">
        <v>1</v>
      </c>
      <c r="N5097">
        <v>0</v>
      </c>
      <c r="O5097" t="s">
        <v>53</v>
      </c>
      <c r="P5097" t="s">
        <v>53</v>
      </c>
      <c r="Q5097" t="s">
        <v>53</v>
      </c>
    </row>
    <row r="5098" spans="1:17" x14ac:dyDescent="0.2">
      <c r="A5098" s="30" t="str">
        <f>IF(C5098&amp;G5098&amp;D5098&lt;&gt;'Funnel setup'!$K$3&amp;'Funnel setup'!$K$4&amp;'Funnel setup'!$K$5,".",IF(A5097=".",1,A5097+1))</f>
        <v>.</v>
      </c>
      <c r="B5098" s="431" t="str">
        <f t="shared" si="79"/>
        <v>Knee Replacement PrimaryProviderTHE YORKSHIRE CLINIC (NVC20)Oxford Knee Score</v>
      </c>
      <c r="C5098" t="s">
        <v>249</v>
      </c>
      <c r="D5098" t="s">
        <v>1</v>
      </c>
      <c r="E5098" t="s">
        <v>3760</v>
      </c>
      <c r="F5098" t="s">
        <v>3761</v>
      </c>
      <c r="G5098" t="s">
        <v>16</v>
      </c>
      <c r="H5098">
        <v>60</v>
      </c>
      <c r="I5098">
        <v>22.433</v>
      </c>
      <c r="J5098">
        <v>36.383000000000003</v>
      </c>
      <c r="K5098">
        <v>13.95</v>
      </c>
      <c r="L5098">
        <v>52</v>
      </c>
      <c r="M5098">
        <v>1</v>
      </c>
      <c r="N5098">
        <v>7</v>
      </c>
      <c r="O5098">
        <v>34.353999999999999</v>
      </c>
      <c r="P5098">
        <v>15.06841854</v>
      </c>
      <c r="Q5098">
        <v>7.976</v>
      </c>
    </row>
    <row r="5099" spans="1:17" x14ac:dyDescent="0.2">
      <c r="A5099" s="30" t="str">
        <f>IF(C5099&amp;G5099&amp;D5099&lt;&gt;'Funnel setup'!$K$3&amp;'Funnel setup'!$K$4&amp;'Funnel setup'!$K$5,".",IF(A5098=".",1,A5098+1))</f>
        <v>.</v>
      </c>
      <c r="B5099" s="431" t="str">
        <f t="shared" si="79"/>
        <v>Knee Replacement PrimaryProviderTORBAY AND SOUTH DEVON NHS FOUNDATION TRUST (RA9)Oxford Knee Score</v>
      </c>
      <c r="C5099" t="s">
        <v>249</v>
      </c>
      <c r="D5099" t="s">
        <v>1</v>
      </c>
      <c r="E5099" t="s">
        <v>3480</v>
      </c>
      <c r="F5099" t="s">
        <v>6584</v>
      </c>
      <c r="G5099" t="s">
        <v>16</v>
      </c>
      <c r="H5099">
        <v>225</v>
      </c>
      <c r="I5099">
        <v>17.981999999999999</v>
      </c>
      <c r="J5099">
        <v>34.177999999999997</v>
      </c>
      <c r="K5099">
        <v>16.196000000000002</v>
      </c>
      <c r="L5099">
        <v>213</v>
      </c>
      <c r="M5099">
        <v>2</v>
      </c>
      <c r="N5099">
        <v>10</v>
      </c>
      <c r="O5099">
        <v>35.024000000000001</v>
      </c>
      <c r="P5099">
        <v>15.73873509</v>
      </c>
      <c r="Q5099">
        <v>9.14</v>
      </c>
    </row>
    <row r="5100" spans="1:17" x14ac:dyDescent="0.2">
      <c r="A5100" s="30" t="str">
        <f>IF(C5100&amp;G5100&amp;D5100&lt;&gt;'Funnel setup'!$K$3&amp;'Funnel setup'!$K$4&amp;'Funnel setup'!$K$5,".",IF(A5099=".",1,A5099+1))</f>
        <v>.</v>
      </c>
      <c r="B5100" s="431" t="str">
        <f t="shared" si="79"/>
        <v>Knee Replacement PrimaryProviderTYNESIDE SURGICAL SERVICES AT THE NORTH EAST NHS SURGERY CENTRE (NN401)Oxford Knee Score</v>
      </c>
      <c r="C5100" t="s">
        <v>249</v>
      </c>
      <c r="D5100" t="s">
        <v>1</v>
      </c>
      <c r="E5100" t="s">
        <v>4506</v>
      </c>
      <c r="F5100" t="s">
        <v>4507</v>
      </c>
      <c r="G5100" t="s">
        <v>16</v>
      </c>
      <c r="H5100">
        <v>8</v>
      </c>
      <c r="I5100">
        <v>18.75</v>
      </c>
      <c r="J5100">
        <v>34.375</v>
      </c>
      <c r="K5100">
        <v>15.625</v>
      </c>
      <c r="L5100">
        <v>8</v>
      </c>
      <c r="M5100">
        <v>0</v>
      </c>
      <c r="N5100">
        <v>0</v>
      </c>
      <c r="O5100" t="s">
        <v>53</v>
      </c>
      <c r="P5100" t="s">
        <v>53</v>
      </c>
      <c r="Q5100" t="s">
        <v>53</v>
      </c>
    </row>
    <row r="5101" spans="1:17" x14ac:dyDescent="0.2">
      <c r="A5101" s="30" t="str">
        <f>IF(C5101&amp;G5101&amp;D5101&lt;&gt;'Funnel setup'!$K$3&amp;'Funnel setup'!$K$4&amp;'Funnel setup'!$K$5,".",IF(A5100=".",1,A5100+1))</f>
        <v>.</v>
      </c>
      <c r="B5101" s="431" t="str">
        <f t="shared" si="79"/>
        <v>Knee Replacement PrimaryProviderUNITED LINCOLNSHIRE HOSPITALS NHS TRUST (RWD)Oxford Knee Score</v>
      </c>
      <c r="C5101" t="s">
        <v>249</v>
      </c>
      <c r="D5101" t="s">
        <v>1</v>
      </c>
      <c r="E5101" t="s">
        <v>3763</v>
      </c>
      <c r="F5101" t="s">
        <v>3764</v>
      </c>
      <c r="G5101" t="s">
        <v>16</v>
      </c>
      <c r="H5101">
        <v>271</v>
      </c>
      <c r="I5101">
        <v>18.542000000000002</v>
      </c>
      <c r="J5101">
        <v>34.731000000000002</v>
      </c>
      <c r="K5101">
        <v>16.187999999999999</v>
      </c>
      <c r="L5101">
        <v>245</v>
      </c>
      <c r="M5101">
        <v>6</v>
      </c>
      <c r="N5101">
        <v>20</v>
      </c>
      <c r="O5101">
        <v>35.009</v>
      </c>
      <c r="P5101">
        <v>15.72402052</v>
      </c>
      <c r="Q5101">
        <v>9.26</v>
      </c>
    </row>
    <row r="5102" spans="1:17" x14ac:dyDescent="0.2">
      <c r="A5102" s="30" t="str">
        <f>IF(C5102&amp;G5102&amp;D5102&lt;&gt;'Funnel setup'!$K$3&amp;'Funnel setup'!$K$4&amp;'Funnel setup'!$K$5,".",IF(A5101=".",1,A5101+1))</f>
        <v>.</v>
      </c>
      <c r="B5102" s="431" t="str">
        <f t="shared" si="79"/>
        <v>Knee Replacement PrimaryProviderUNIVERSITY COLLEGE LONDON HOSPITALS NHS FOUNDATION TRUST (RRV)Oxford Knee Score</v>
      </c>
      <c r="C5102" t="s">
        <v>249</v>
      </c>
      <c r="D5102" t="s">
        <v>1</v>
      </c>
      <c r="E5102" t="s">
        <v>3766</v>
      </c>
      <c r="F5102" t="s">
        <v>3767</v>
      </c>
      <c r="G5102" t="s">
        <v>16</v>
      </c>
      <c r="H5102">
        <v>67</v>
      </c>
      <c r="I5102">
        <v>20.402999999999999</v>
      </c>
      <c r="J5102">
        <v>32.835999999999999</v>
      </c>
      <c r="K5102">
        <v>12.433</v>
      </c>
      <c r="L5102">
        <v>55</v>
      </c>
      <c r="M5102">
        <v>1</v>
      </c>
      <c r="N5102">
        <v>11</v>
      </c>
      <c r="O5102">
        <v>33.762</v>
      </c>
      <c r="P5102">
        <v>14.476255650000001</v>
      </c>
      <c r="Q5102">
        <v>9.7799999999999994</v>
      </c>
    </row>
    <row r="5103" spans="1:17" x14ac:dyDescent="0.2">
      <c r="A5103" s="30" t="str">
        <f>IF(C5103&amp;G5103&amp;D5103&lt;&gt;'Funnel setup'!$K$3&amp;'Funnel setup'!$K$4&amp;'Funnel setup'!$K$5,".",IF(A5102=".",1,A5102+1))</f>
        <v>.</v>
      </c>
      <c r="B5103" s="431" t="str">
        <f t="shared" si="79"/>
        <v>Knee Replacement PrimaryProviderUNIVERSITY HOSPITAL OF SOUTH MANCHESTER NHS FOUNDATION TRUST (RM2)Oxford Knee Score</v>
      </c>
      <c r="C5103" t="s">
        <v>249</v>
      </c>
      <c r="D5103" t="s">
        <v>1</v>
      </c>
      <c r="E5103" t="s">
        <v>3769</v>
      </c>
      <c r="F5103" t="s">
        <v>3770</v>
      </c>
      <c r="G5103" t="s">
        <v>16</v>
      </c>
      <c r="H5103">
        <v>124</v>
      </c>
      <c r="I5103">
        <v>20.218</v>
      </c>
      <c r="J5103">
        <v>34.024000000000001</v>
      </c>
      <c r="K5103">
        <v>13.805999999999999</v>
      </c>
      <c r="L5103">
        <v>113</v>
      </c>
      <c r="M5103">
        <v>0</v>
      </c>
      <c r="N5103">
        <v>11</v>
      </c>
      <c r="O5103">
        <v>34.360999999999997</v>
      </c>
      <c r="P5103">
        <v>15.07574142</v>
      </c>
      <c r="Q5103">
        <v>8.8879999999999999</v>
      </c>
    </row>
    <row r="5104" spans="1:17" x14ac:dyDescent="0.2">
      <c r="A5104" s="30" t="str">
        <f>IF(C5104&amp;G5104&amp;D5104&lt;&gt;'Funnel setup'!$K$3&amp;'Funnel setup'!$K$4&amp;'Funnel setup'!$K$5,".",IF(A5103=".",1,A5103+1))</f>
        <v>.</v>
      </c>
      <c r="B5104" s="431" t="str">
        <f t="shared" si="79"/>
        <v>Knee Replacement PrimaryProviderUNIVERSITY HOSPITAL SOUTHAMPTON NHS FOUNDATION TRUST (RHM)Oxford Knee Score</v>
      </c>
      <c r="C5104" t="s">
        <v>249</v>
      </c>
      <c r="D5104" t="s">
        <v>1</v>
      </c>
      <c r="E5104" t="s">
        <v>3772</v>
      </c>
      <c r="F5104" t="s">
        <v>3773</v>
      </c>
      <c r="G5104" t="s">
        <v>16</v>
      </c>
      <c r="H5104">
        <v>181</v>
      </c>
      <c r="I5104">
        <v>18.552</v>
      </c>
      <c r="J5104">
        <v>34.402999999999999</v>
      </c>
      <c r="K5104">
        <v>15.851000000000001</v>
      </c>
      <c r="L5104">
        <v>168</v>
      </c>
      <c r="M5104">
        <v>2</v>
      </c>
      <c r="N5104">
        <v>11</v>
      </c>
      <c r="O5104">
        <v>35.002000000000002</v>
      </c>
      <c r="P5104">
        <v>15.716649260000001</v>
      </c>
      <c r="Q5104">
        <v>8.7119999999999997</v>
      </c>
    </row>
    <row r="5105" spans="1:17" x14ac:dyDescent="0.2">
      <c r="A5105" s="30" t="str">
        <f>IF(C5105&amp;G5105&amp;D5105&lt;&gt;'Funnel setup'!$K$3&amp;'Funnel setup'!$K$4&amp;'Funnel setup'!$K$5,".",IF(A5104=".",1,A5104+1))</f>
        <v>.</v>
      </c>
      <c r="B5105" s="431" t="str">
        <f t="shared" si="79"/>
        <v>Knee Replacement PrimaryProviderUNIVERSITY HOSPITALS COVENTRY AND WARWICKSHIRE NHS TRUST (RKB)Oxford Knee Score</v>
      </c>
      <c r="C5105" t="s">
        <v>249</v>
      </c>
      <c r="D5105" t="s">
        <v>1</v>
      </c>
      <c r="E5105" t="s">
        <v>3715</v>
      </c>
      <c r="F5105" t="s">
        <v>3716</v>
      </c>
      <c r="G5105" t="s">
        <v>16</v>
      </c>
      <c r="H5105">
        <v>321</v>
      </c>
      <c r="I5105">
        <v>19.809999999999999</v>
      </c>
      <c r="J5105">
        <v>34.847000000000001</v>
      </c>
      <c r="K5105">
        <v>15.037000000000001</v>
      </c>
      <c r="L5105">
        <v>295</v>
      </c>
      <c r="M5105">
        <v>6</v>
      </c>
      <c r="N5105">
        <v>20</v>
      </c>
      <c r="O5105">
        <v>34.912999999999997</v>
      </c>
      <c r="P5105">
        <v>15.627984939999999</v>
      </c>
      <c r="Q5105">
        <v>8.9629999999999992</v>
      </c>
    </row>
    <row r="5106" spans="1:17" x14ac:dyDescent="0.2">
      <c r="A5106" s="30" t="str">
        <f>IF(C5106&amp;G5106&amp;D5106&lt;&gt;'Funnel setup'!$K$3&amp;'Funnel setup'!$K$4&amp;'Funnel setup'!$K$5,".",IF(A5105=".",1,A5105+1))</f>
        <v>.</v>
      </c>
      <c r="B5106" s="431" t="str">
        <f t="shared" si="79"/>
        <v>Knee Replacement PrimaryProviderUNIVERSITY HOSPITALS OF LEICESTER NHS TRUST (RWE)Oxford Knee Score</v>
      </c>
      <c r="C5106" t="s">
        <v>249</v>
      </c>
      <c r="D5106" t="s">
        <v>1</v>
      </c>
      <c r="E5106" t="s">
        <v>3718</v>
      </c>
      <c r="F5106" t="s">
        <v>3719</v>
      </c>
      <c r="G5106" t="s">
        <v>16</v>
      </c>
      <c r="H5106">
        <v>633</v>
      </c>
      <c r="I5106">
        <v>16.741</v>
      </c>
      <c r="J5106">
        <v>33.902000000000001</v>
      </c>
      <c r="K5106">
        <v>17.161000000000001</v>
      </c>
      <c r="L5106">
        <v>606</v>
      </c>
      <c r="M5106">
        <v>8</v>
      </c>
      <c r="N5106">
        <v>19</v>
      </c>
      <c r="O5106">
        <v>35.317</v>
      </c>
      <c r="P5106">
        <v>16.031276170000002</v>
      </c>
      <c r="Q5106">
        <v>8.4160000000000004</v>
      </c>
    </row>
    <row r="5107" spans="1:17" x14ac:dyDescent="0.2">
      <c r="A5107" s="30" t="str">
        <f>IF(C5107&amp;G5107&amp;D5107&lt;&gt;'Funnel setup'!$K$3&amp;'Funnel setup'!$K$4&amp;'Funnel setup'!$K$5,".",IF(A5106=".",1,A5106+1))</f>
        <v>.</v>
      </c>
      <c r="B5107" s="431" t="str">
        <f t="shared" si="79"/>
        <v>Knee Replacement PrimaryProviderUNIVERSITY HOSPITALS OF MORECAMBE BAY NHS FOUNDATION TRUST (RTX)Oxford Knee Score</v>
      </c>
      <c r="C5107" t="s">
        <v>249</v>
      </c>
      <c r="D5107" t="s">
        <v>1</v>
      </c>
      <c r="E5107" t="s">
        <v>3721</v>
      </c>
      <c r="F5107" t="s">
        <v>3722</v>
      </c>
      <c r="G5107" t="s">
        <v>16</v>
      </c>
      <c r="H5107">
        <v>370</v>
      </c>
      <c r="I5107">
        <v>20.265000000000001</v>
      </c>
      <c r="J5107">
        <v>36.47</v>
      </c>
      <c r="K5107">
        <v>16.204999999999998</v>
      </c>
      <c r="L5107">
        <v>350</v>
      </c>
      <c r="M5107">
        <v>2</v>
      </c>
      <c r="N5107">
        <v>18</v>
      </c>
      <c r="O5107">
        <v>35.857999999999997</v>
      </c>
      <c r="P5107">
        <v>16.572428089999999</v>
      </c>
      <c r="Q5107">
        <v>8.2859999999999996</v>
      </c>
    </row>
    <row r="5108" spans="1:17" x14ac:dyDescent="0.2">
      <c r="A5108" s="30" t="str">
        <f>IF(C5108&amp;G5108&amp;D5108&lt;&gt;'Funnel setup'!$K$3&amp;'Funnel setup'!$K$4&amp;'Funnel setup'!$K$5,".",IF(A5107=".",1,A5107+1))</f>
        <v>.</v>
      </c>
      <c r="B5108" s="431" t="str">
        <f t="shared" si="79"/>
        <v>Knee Replacement PrimaryProviderUNIVERSITY HOSPITALS OF NORTH MIDLANDS NHS TRUST (RJE)Oxford Knee Score</v>
      </c>
      <c r="C5108" t="s">
        <v>249</v>
      </c>
      <c r="D5108" t="s">
        <v>1</v>
      </c>
      <c r="E5108" t="s">
        <v>3724</v>
      </c>
      <c r="F5108" t="s">
        <v>3725</v>
      </c>
      <c r="G5108" t="s">
        <v>16</v>
      </c>
      <c r="H5108">
        <v>227</v>
      </c>
      <c r="I5108">
        <v>14.401</v>
      </c>
      <c r="J5108">
        <v>31.088000000000001</v>
      </c>
      <c r="K5108">
        <v>16.687000000000001</v>
      </c>
      <c r="L5108">
        <v>212</v>
      </c>
      <c r="M5108">
        <v>1</v>
      </c>
      <c r="N5108">
        <v>14</v>
      </c>
      <c r="O5108">
        <v>34.091999999999999</v>
      </c>
      <c r="P5108">
        <v>14.80617792</v>
      </c>
      <c r="Q5108">
        <v>9.1159999999999997</v>
      </c>
    </row>
    <row r="5109" spans="1:17" x14ac:dyDescent="0.2">
      <c r="A5109" s="30" t="str">
        <f>IF(C5109&amp;G5109&amp;D5109&lt;&gt;'Funnel setup'!$K$3&amp;'Funnel setup'!$K$4&amp;'Funnel setup'!$K$5,".",IF(A5108=".",1,A5108+1))</f>
        <v>.</v>
      </c>
      <c r="B5109" s="431" t="str">
        <f t="shared" si="79"/>
        <v>Knee Replacement PrimaryProviderWALSALL HEALTHCARE NHS TRUST (RBK)Oxford Knee Score</v>
      </c>
      <c r="C5109" t="s">
        <v>249</v>
      </c>
      <c r="D5109" t="s">
        <v>1</v>
      </c>
      <c r="E5109" t="s">
        <v>3727</v>
      </c>
      <c r="F5109" t="s">
        <v>3728</v>
      </c>
      <c r="G5109" t="s">
        <v>16</v>
      </c>
      <c r="H5109">
        <v>116</v>
      </c>
      <c r="I5109">
        <v>15.69</v>
      </c>
      <c r="J5109">
        <v>30.844999999999999</v>
      </c>
      <c r="K5109">
        <v>15.154999999999999</v>
      </c>
      <c r="L5109">
        <v>107</v>
      </c>
      <c r="M5109">
        <v>2</v>
      </c>
      <c r="N5109">
        <v>7</v>
      </c>
      <c r="O5109">
        <v>33.493000000000002</v>
      </c>
      <c r="P5109">
        <v>14.20746692</v>
      </c>
      <c r="Q5109">
        <v>9.4239999999999995</v>
      </c>
    </row>
    <row r="5110" spans="1:17" x14ac:dyDescent="0.2">
      <c r="A5110" s="30" t="str">
        <f>IF(C5110&amp;G5110&amp;D5110&lt;&gt;'Funnel setup'!$K$3&amp;'Funnel setup'!$K$4&amp;'Funnel setup'!$K$5,".",IF(A5109=".",1,A5109+1))</f>
        <v>.</v>
      </c>
      <c r="B5110" s="431" t="str">
        <f t="shared" si="79"/>
        <v>Knee Replacement PrimaryProviderWARRINGTON AND HALTON HOSPITALS NHS FOUNDATION TRUST (RWW)Oxford Knee Score</v>
      </c>
      <c r="C5110" t="s">
        <v>249</v>
      </c>
      <c r="D5110" t="s">
        <v>1</v>
      </c>
      <c r="E5110" t="s">
        <v>3730</v>
      </c>
      <c r="F5110" t="s">
        <v>3731</v>
      </c>
      <c r="G5110" t="s">
        <v>16</v>
      </c>
      <c r="H5110">
        <v>246</v>
      </c>
      <c r="I5110">
        <v>16.922999999999998</v>
      </c>
      <c r="J5110">
        <v>35.662999999999997</v>
      </c>
      <c r="K5110">
        <v>18.739999999999998</v>
      </c>
      <c r="L5110">
        <v>234</v>
      </c>
      <c r="M5110">
        <v>5</v>
      </c>
      <c r="N5110">
        <v>7</v>
      </c>
      <c r="O5110">
        <v>36.677</v>
      </c>
      <c r="P5110">
        <v>17.391820790000001</v>
      </c>
      <c r="Q5110">
        <v>8.2360000000000007</v>
      </c>
    </row>
    <row r="5111" spans="1:17" x14ac:dyDescent="0.2">
      <c r="A5111" s="30" t="str">
        <f>IF(C5111&amp;G5111&amp;D5111&lt;&gt;'Funnel setup'!$K$3&amp;'Funnel setup'!$K$4&amp;'Funnel setup'!$K$5,".",IF(A5110=".",1,A5110+1))</f>
        <v>.</v>
      </c>
      <c r="B5111" s="431" t="str">
        <f t="shared" si="79"/>
        <v>Knee Replacement PrimaryProviderWEST HERTFORDSHIRE HOSPITALS NHS TRUST (RWG)Oxford Knee Score</v>
      </c>
      <c r="C5111" t="s">
        <v>249</v>
      </c>
      <c r="D5111" t="s">
        <v>1</v>
      </c>
      <c r="E5111" t="s">
        <v>3733</v>
      </c>
      <c r="F5111" t="s">
        <v>3734</v>
      </c>
      <c r="G5111" t="s">
        <v>16</v>
      </c>
      <c r="H5111">
        <v>246</v>
      </c>
      <c r="I5111">
        <v>18.541</v>
      </c>
      <c r="J5111">
        <v>34.747999999999998</v>
      </c>
      <c r="K5111">
        <v>16.207000000000001</v>
      </c>
      <c r="L5111">
        <v>224</v>
      </c>
      <c r="M5111">
        <v>5</v>
      </c>
      <c r="N5111">
        <v>17</v>
      </c>
      <c r="O5111">
        <v>34.847999999999999</v>
      </c>
      <c r="P5111">
        <v>15.56299724</v>
      </c>
      <c r="Q5111">
        <v>9.1539999999999999</v>
      </c>
    </row>
    <row r="5112" spans="1:17" x14ac:dyDescent="0.2">
      <c r="A5112" s="30" t="str">
        <f>IF(C5112&amp;G5112&amp;D5112&lt;&gt;'Funnel setup'!$K$3&amp;'Funnel setup'!$K$4&amp;'Funnel setup'!$K$5,".",IF(A5111=".",1,A5111+1))</f>
        <v>.</v>
      </c>
      <c r="B5112" s="431" t="str">
        <f t="shared" si="79"/>
        <v>Knee Replacement PrimaryProviderWEST MIDDLESEX UNIVERSITY HOSPITAL NHS TRUST (RFW)Oxford Knee Score</v>
      </c>
      <c r="C5112" t="s">
        <v>249</v>
      </c>
      <c r="D5112" t="s">
        <v>1</v>
      </c>
      <c r="E5112" t="s">
        <v>3736</v>
      </c>
      <c r="F5112" t="s">
        <v>3737</v>
      </c>
      <c r="G5112" t="s">
        <v>16</v>
      </c>
      <c r="H5112">
        <v>63</v>
      </c>
      <c r="I5112">
        <v>17.475999999999999</v>
      </c>
      <c r="J5112">
        <v>33.317</v>
      </c>
      <c r="K5112">
        <v>15.840999999999999</v>
      </c>
      <c r="L5112">
        <v>60</v>
      </c>
      <c r="M5112">
        <v>0</v>
      </c>
      <c r="N5112">
        <v>3</v>
      </c>
      <c r="O5112">
        <v>34.863999999999997</v>
      </c>
      <c r="P5112">
        <v>15.57847482</v>
      </c>
      <c r="Q5112">
        <v>8.7929999999999993</v>
      </c>
    </row>
    <row r="5113" spans="1:17" x14ac:dyDescent="0.2">
      <c r="A5113" s="30" t="str">
        <f>IF(C5113&amp;G5113&amp;D5113&lt;&gt;'Funnel setup'!$K$3&amp;'Funnel setup'!$K$4&amp;'Funnel setup'!$K$5,".",IF(A5112=".",1,A5112+1))</f>
        <v>.</v>
      </c>
      <c r="B5113" s="431" t="str">
        <f t="shared" si="79"/>
        <v>Knee Replacement PrimaryProviderWEST MIDLANDS HOSPITAL (NVC21)Oxford Knee Score</v>
      </c>
      <c r="C5113" t="s">
        <v>249</v>
      </c>
      <c r="D5113" t="s">
        <v>1</v>
      </c>
      <c r="E5113" t="s">
        <v>3709</v>
      </c>
      <c r="F5113" t="s">
        <v>3710</v>
      </c>
      <c r="G5113" t="s">
        <v>16</v>
      </c>
      <c r="H5113">
        <v>64</v>
      </c>
      <c r="I5113">
        <v>18.202999999999999</v>
      </c>
      <c r="J5113">
        <v>35.890999999999998</v>
      </c>
      <c r="K5113">
        <v>17.687999999999999</v>
      </c>
      <c r="L5113">
        <v>62</v>
      </c>
      <c r="M5113">
        <v>2</v>
      </c>
      <c r="N5113">
        <v>0</v>
      </c>
      <c r="O5113">
        <v>36.706000000000003</v>
      </c>
      <c r="P5113">
        <v>17.420830219999999</v>
      </c>
      <c r="Q5113">
        <v>8.0519999999999996</v>
      </c>
    </row>
    <row r="5114" spans="1:17" x14ac:dyDescent="0.2">
      <c r="A5114" s="30" t="str">
        <f>IF(C5114&amp;G5114&amp;D5114&lt;&gt;'Funnel setup'!$K$3&amp;'Funnel setup'!$K$4&amp;'Funnel setup'!$K$5,".",IF(A5113=".",1,A5113+1))</f>
        <v>.</v>
      </c>
      <c r="B5114" s="431" t="str">
        <f t="shared" si="79"/>
        <v>Knee Replacement PrimaryProviderWEST SUFFOLK NHS FOUNDATION TRUST (RGR)Oxford Knee Score</v>
      </c>
      <c r="C5114" t="s">
        <v>249</v>
      </c>
      <c r="D5114" t="s">
        <v>1</v>
      </c>
      <c r="E5114" t="s">
        <v>3712</v>
      </c>
      <c r="F5114" t="s">
        <v>3713</v>
      </c>
      <c r="G5114" t="s">
        <v>16</v>
      </c>
      <c r="H5114">
        <v>193</v>
      </c>
      <c r="I5114">
        <v>19.824000000000002</v>
      </c>
      <c r="J5114">
        <v>34.533999999999999</v>
      </c>
      <c r="K5114">
        <v>14.71</v>
      </c>
      <c r="L5114">
        <v>178</v>
      </c>
      <c r="M5114">
        <v>3</v>
      </c>
      <c r="N5114">
        <v>12</v>
      </c>
      <c r="O5114">
        <v>33.771000000000001</v>
      </c>
      <c r="P5114">
        <v>14.48602311</v>
      </c>
      <c r="Q5114">
        <v>8.4160000000000004</v>
      </c>
    </row>
    <row r="5115" spans="1:17" x14ac:dyDescent="0.2">
      <c r="A5115" s="30" t="str">
        <f>IF(C5115&amp;G5115&amp;D5115&lt;&gt;'Funnel setup'!$K$3&amp;'Funnel setup'!$K$4&amp;'Funnel setup'!$K$5,".",IF(A5114=".",1,A5114+1))</f>
        <v>.</v>
      </c>
      <c r="B5115" s="431" t="str">
        <f t="shared" si="79"/>
        <v>Knee Replacement PrimaryProviderWESTERN SUSSEX HOSPITALS NHS FOUNDATION TRUST (RYR)Oxford Knee Score</v>
      </c>
      <c r="C5115" t="s">
        <v>249</v>
      </c>
      <c r="D5115" t="s">
        <v>1</v>
      </c>
      <c r="E5115" t="s">
        <v>3706</v>
      </c>
      <c r="F5115" t="s">
        <v>3707</v>
      </c>
      <c r="G5115" t="s">
        <v>16</v>
      </c>
      <c r="H5115">
        <v>274</v>
      </c>
      <c r="I5115">
        <v>18.484999999999999</v>
      </c>
      <c r="J5115">
        <v>34.762999999999998</v>
      </c>
      <c r="K5115">
        <v>16.277000000000001</v>
      </c>
      <c r="L5115">
        <v>251</v>
      </c>
      <c r="M5115">
        <v>4</v>
      </c>
      <c r="N5115">
        <v>19</v>
      </c>
      <c r="O5115">
        <v>34.805999999999997</v>
      </c>
      <c r="P5115">
        <v>15.520625069999999</v>
      </c>
      <c r="Q5115">
        <v>9.0609999999999999</v>
      </c>
    </row>
    <row r="5116" spans="1:17" x14ac:dyDescent="0.2">
      <c r="A5116" s="30" t="str">
        <f>IF(C5116&amp;G5116&amp;D5116&lt;&gt;'Funnel setup'!$K$3&amp;'Funnel setup'!$K$4&amp;'Funnel setup'!$K$5,".",IF(A5115=".",1,A5115+1))</f>
        <v>.</v>
      </c>
      <c r="B5116" s="431" t="str">
        <f t="shared" si="79"/>
        <v>Knee Replacement PrimaryProviderWESTON AREA HEALTH NHS TRUST (RA3)Oxford Knee Score</v>
      </c>
      <c r="C5116" t="s">
        <v>249</v>
      </c>
      <c r="D5116" t="s">
        <v>1</v>
      </c>
      <c r="E5116" t="s">
        <v>3525</v>
      </c>
      <c r="F5116" t="s">
        <v>3526</v>
      </c>
      <c r="G5116" t="s">
        <v>16</v>
      </c>
      <c r="H5116">
        <v>95</v>
      </c>
      <c r="I5116">
        <v>18.757999999999999</v>
      </c>
      <c r="J5116">
        <v>36.337000000000003</v>
      </c>
      <c r="K5116">
        <v>17.579000000000001</v>
      </c>
      <c r="L5116">
        <v>92</v>
      </c>
      <c r="M5116">
        <v>0</v>
      </c>
      <c r="N5116">
        <v>3</v>
      </c>
      <c r="O5116">
        <v>36.383000000000003</v>
      </c>
      <c r="P5116">
        <v>17.097754810000001</v>
      </c>
      <c r="Q5116">
        <v>7.9720000000000004</v>
      </c>
    </row>
    <row r="5117" spans="1:17" x14ac:dyDescent="0.2">
      <c r="A5117" s="30" t="str">
        <f>IF(C5117&amp;G5117&amp;D5117&lt;&gt;'Funnel setup'!$K$3&amp;'Funnel setup'!$K$4&amp;'Funnel setup'!$K$5,".",IF(A5116=".",1,A5116+1))</f>
        <v>.</v>
      </c>
      <c r="B5117" s="431" t="str">
        <f t="shared" si="79"/>
        <v>Knee Replacement PrimaryProviderWINFIELD HOSPITAL (NVC22)Oxford Knee Score</v>
      </c>
      <c r="C5117" t="s">
        <v>249</v>
      </c>
      <c r="D5117" t="s">
        <v>1</v>
      </c>
      <c r="E5117" t="s">
        <v>3534</v>
      </c>
      <c r="F5117" t="s">
        <v>3535</v>
      </c>
      <c r="G5117" t="s">
        <v>16</v>
      </c>
      <c r="H5117">
        <v>51</v>
      </c>
      <c r="I5117">
        <v>21.960999999999999</v>
      </c>
      <c r="J5117">
        <v>37.765000000000001</v>
      </c>
      <c r="K5117">
        <v>15.804</v>
      </c>
      <c r="L5117">
        <v>50</v>
      </c>
      <c r="M5117">
        <v>1</v>
      </c>
      <c r="N5117">
        <v>0</v>
      </c>
      <c r="O5117">
        <v>35.542000000000002</v>
      </c>
      <c r="P5117">
        <v>16.256451550000001</v>
      </c>
      <c r="Q5117">
        <v>6.1189999999999998</v>
      </c>
    </row>
    <row r="5118" spans="1:17" x14ac:dyDescent="0.2">
      <c r="A5118" s="30" t="str">
        <f>IF(C5118&amp;G5118&amp;D5118&lt;&gt;'Funnel setup'!$K$3&amp;'Funnel setup'!$K$4&amp;'Funnel setup'!$K$5,".",IF(A5117=".",1,A5117+1))</f>
        <v>.</v>
      </c>
      <c r="B5118" s="431" t="str">
        <f t="shared" si="79"/>
        <v>Knee Replacement PrimaryProviderWIRRAL UNIVERSITY TEACHING HOSPITAL NHS FOUNDATION TRUST (RBL)Oxford Knee Score</v>
      </c>
      <c r="C5118" t="s">
        <v>249</v>
      </c>
      <c r="D5118" t="s">
        <v>1</v>
      </c>
      <c r="E5118" t="s">
        <v>3537</v>
      </c>
      <c r="F5118" t="s">
        <v>3538</v>
      </c>
      <c r="G5118" t="s">
        <v>16</v>
      </c>
      <c r="H5118">
        <v>281</v>
      </c>
      <c r="I5118">
        <v>18.744</v>
      </c>
      <c r="J5118">
        <v>35.106999999999999</v>
      </c>
      <c r="K5118">
        <v>16.363</v>
      </c>
      <c r="L5118">
        <v>267</v>
      </c>
      <c r="M5118">
        <v>1</v>
      </c>
      <c r="N5118">
        <v>13</v>
      </c>
      <c r="O5118">
        <v>35.933</v>
      </c>
      <c r="P5118">
        <v>16.647138550000001</v>
      </c>
      <c r="Q5118">
        <v>8.6620000000000008</v>
      </c>
    </row>
    <row r="5119" spans="1:17" x14ac:dyDescent="0.2">
      <c r="A5119" s="30" t="str">
        <f>IF(C5119&amp;G5119&amp;D5119&lt;&gt;'Funnel setup'!$K$3&amp;'Funnel setup'!$K$4&amp;'Funnel setup'!$K$5,".",IF(A5118=".",1,A5118+1))</f>
        <v>.</v>
      </c>
      <c r="B5119" s="431" t="str">
        <f t="shared" si="79"/>
        <v>Knee Replacement PrimaryProviderWOODLAND HOSPITAL (NVC23)Oxford Knee Score</v>
      </c>
      <c r="C5119" t="s">
        <v>249</v>
      </c>
      <c r="D5119" t="s">
        <v>1</v>
      </c>
      <c r="E5119" t="s">
        <v>3540</v>
      </c>
      <c r="F5119" t="s">
        <v>3541</v>
      </c>
      <c r="G5119" t="s">
        <v>16</v>
      </c>
      <c r="H5119">
        <v>154</v>
      </c>
      <c r="I5119">
        <v>16.539000000000001</v>
      </c>
      <c r="J5119">
        <v>36.031999999999996</v>
      </c>
      <c r="K5119">
        <v>19.494</v>
      </c>
      <c r="L5119">
        <v>147</v>
      </c>
      <c r="M5119">
        <v>2</v>
      </c>
      <c r="N5119">
        <v>5</v>
      </c>
      <c r="O5119">
        <v>36.99</v>
      </c>
      <c r="P5119">
        <v>17.70413624</v>
      </c>
      <c r="Q5119">
        <v>8.9429999999999996</v>
      </c>
    </row>
    <row r="5120" spans="1:17" x14ac:dyDescent="0.2">
      <c r="A5120" s="30" t="str">
        <f>IF(C5120&amp;G5120&amp;D5120&lt;&gt;'Funnel setup'!$K$3&amp;'Funnel setup'!$K$4&amp;'Funnel setup'!$K$5,".",IF(A5119=".",1,A5119+1))</f>
        <v>.</v>
      </c>
      <c r="B5120" s="431" t="str">
        <f t="shared" si="79"/>
        <v>Knee Replacement PrimaryProviderWOODTHORPE HOSPITAL (NVC40)Oxford Knee Score</v>
      </c>
      <c r="C5120" t="s">
        <v>249</v>
      </c>
      <c r="D5120" t="s">
        <v>1</v>
      </c>
      <c r="E5120" t="s">
        <v>3689</v>
      </c>
      <c r="F5120" t="s">
        <v>6576</v>
      </c>
      <c r="G5120" t="s">
        <v>16</v>
      </c>
      <c r="H5120">
        <v>163</v>
      </c>
      <c r="I5120">
        <v>22.012</v>
      </c>
      <c r="J5120">
        <v>37.362000000000002</v>
      </c>
      <c r="K5120">
        <v>15.35</v>
      </c>
      <c r="L5120">
        <v>151</v>
      </c>
      <c r="M5120">
        <v>2</v>
      </c>
      <c r="N5120">
        <v>10</v>
      </c>
      <c r="O5120">
        <v>35.512</v>
      </c>
      <c r="P5120">
        <v>16.22703611</v>
      </c>
      <c r="Q5120">
        <v>8.4529999999999994</v>
      </c>
    </row>
    <row r="5121" spans="1:17" x14ac:dyDescent="0.2">
      <c r="A5121" s="30" t="str">
        <f>IF(C5121&amp;G5121&amp;D5121&lt;&gt;'Funnel setup'!$K$3&amp;'Funnel setup'!$K$4&amp;'Funnel setup'!$K$5,".",IF(A5120=".",1,A5120+1))</f>
        <v>.</v>
      </c>
      <c r="B5121" s="431" t="str">
        <f t="shared" si="79"/>
        <v>Knee Replacement PrimaryProviderWORCESTERSHIRE ACUTE HOSPITALS NHS TRUST (RWP)Oxford Knee Score</v>
      </c>
      <c r="C5121" t="s">
        <v>249</v>
      </c>
      <c r="D5121" t="s">
        <v>1</v>
      </c>
      <c r="E5121" t="s">
        <v>3543</v>
      </c>
      <c r="F5121" t="s">
        <v>3544</v>
      </c>
      <c r="G5121" t="s">
        <v>16</v>
      </c>
      <c r="H5121">
        <v>252</v>
      </c>
      <c r="I5121">
        <v>20.417000000000002</v>
      </c>
      <c r="J5121">
        <v>36.567</v>
      </c>
      <c r="K5121">
        <v>16.151</v>
      </c>
      <c r="L5121">
        <v>237</v>
      </c>
      <c r="M5121">
        <v>4</v>
      </c>
      <c r="N5121">
        <v>11</v>
      </c>
      <c r="O5121">
        <v>35.784999999999997</v>
      </c>
      <c r="P5121">
        <v>16.499455579999999</v>
      </c>
      <c r="Q5121">
        <v>8.1880000000000006</v>
      </c>
    </row>
    <row r="5122" spans="1:17" x14ac:dyDescent="0.2">
      <c r="A5122" s="30" t="str">
        <f>IF(C5122&amp;G5122&amp;D5122&lt;&gt;'Funnel setup'!$K$3&amp;'Funnel setup'!$K$4&amp;'Funnel setup'!$K$5,".",IF(A5121=".",1,A5121+1))</f>
        <v>.</v>
      </c>
      <c r="B5122" s="431" t="str">
        <f t="shared" si="79"/>
        <v>Knee Replacement PrimaryProviderWRIGHTINGTON, WIGAN AND LEIGH NHS FOUNDATION TRUST (RRF)Oxford Knee Score</v>
      </c>
      <c r="C5122" t="s">
        <v>249</v>
      </c>
      <c r="D5122" t="s">
        <v>1</v>
      </c>
      <c r="E5122" t="s">
        <v>3546</v>
      </c>
      <c r="F5122" t="s">
        <v>3547</v>
      </c>
      <c r="G5122" t="s">
        <v>16</v>
      </c>
      <c r="H5122">
        <v>289</v>
      </c>
      <c r="I5122">
        <v>16.920000000000002</v>
      </c>
      <c r="J5122">
        <v>33.869</v>
      </c>
      <c r="K5122">
        <v>16.948</v>
      </c>
      <c r="L5122">
        <v>275</v>
      </c>
      <c r="M5122">
        <v>4</v>
      </c>
      <c r="N5122">
        <v>10</v>
      </c>
      <c r="O5122">
        <v>35.683</v>
      </c>
      <c r="P5122">
        <v>16.397474540000001</v>
      </c>
      <c r="Q5122">
        <v>8.2929999999999993</v>
      </c>
    </row>
    <row r="5123" spans="1:17" x14ac:dyDescent="0.2">
      <c r="A5123" s="30" t="str">
        <f>IF(C5123&amp;G5123&amp;D5123&lt;&gt;'Funnel setup'!$K$3&amp;'Funnel setup'!$K$4&amp;'Funnel setup'!$K$5,".",IF(A5122=".",1,A5122+1))</f>
        <v>.</v>
      </c>
      <c r="B5123" s="431" t="str">
        <f t="shared" ref="B5123:B5186" si="80">C5123&amp;D5123&amp;F5123&amp;G5123</f>
        <v>Knee Replacement PrimaryProviderWYE VALLEY NHS TRUST (RLQ)Oxford Knee Score</v>
      </c>
      <c r="C5123" t="s">
        <v>249</v>
      </c>
      <c r="D5123" t="s">
        <v>1</v>
      </c>
      <c r="E5123" t="s">
        <v>3517</v>
      </c>
      <c r="F5123" t="s">
        <v>3518</v>
      </c>
      <c r="G5123" t="s">
        <v>16</v>
      </c>
      <c r="H5123">
        <v>111</v>
      </c>
      <c r="I5123">
        <v>20.928000000000001</v>
      </c>
      <c r="J5123">
        <v>36.892000000000003</v>
      </c>
      <c r="K5123">
        <v>15.964</v>
      </c>
      <c r="L5123">
        <v>107</v>
      </c>
      <c r="M5123">
        <v>0</v>
      </c>
      <c r="N5123">
        <v>4</v>
      </c>
      <c r="O5123">
        <v>36.023000000000003</v>
      </c>
      <c r="P5123">
        <v>16.737839869999998</v>
      </c>
      <c r="Q5123">
        <v>8.0939999999999994</v>
      </c>
    </row>
    <row r="5124" spans="1:17" x14ac:dyDescent="0.2">
      <c r="A5124" s="30" t="str">
        <f>IF(C5124&amp;G5124&amp;D5124&lt;&gt;'Funnel setup'!$K$3&amp;'Funnel setup'!$K$4&amp;'Funnel setup'!$K$5,".",IF(A5123=".",1,A5123+1))</f>
        <v>.</v>
      </c>
      <c r="B5124" s="431" t="str">
        <f t="shared" si="80"/>
        <v>Knee Replacement PrimaryProviderYEOVIL DISTRICT HOSPITAL NHS FOUNDATION TRUST (RA4)Oxford Knee Score</v>
      </c>
      <c r="C5124" t="s">
        <v>249</v>
      </c>
      <c r="D5124" t="s">
        <v>1</v>
      </c>
      <c r="E5124" t="s">
        <v>3520</v>
      </c>
      <c r="F5124" t="s">
        <v>341</v>
      </c>
      <c r="G5124" t="s">
        <v>16</v>
      </c>
      <c r="H5124">
        <v>71</v>
      </c>
      <c r="I5124">
        <v>19.393999999999998</v>
      </c>
      <c r="J5124">
        <v>36.606000000000002</v>
      </c>
      <c r="K5124">
        <v>17.210999999999999</v>
      </c>
      <c r="L5124">
        <v>67</v>
      </c>
      <c r="M5124">
        <v>1</v>
      </c>
      <c r="N5124">
        <v>3</v>
      </c>
      <c r="O5124">
        <v>36.326999999999998</v>
      </c>
      <c r="P5124">
        <v>17.041447590000001</v>
      </c>
      <c r="Q5124">
        <v>9.0540000000000003</v>
      </c>
    </row>
    <row r="5125" spans="1:17" x14ac:dyDescent="0.2">
      <c r="A5125" s="30" t="str">
        <f>IF(C5125&amp;G5125&amp;D5125&lt;&gt;'Funnel setup'!$K$3&amp;'Funnel setup'!$K$4&amp;'Funnel setup'!$K$5,".",IF(A5124=".",1,A5124+1))</f>
        <v>.</v>
      </c>
      <c r="B5125" s="431" t="str">
        <f t="shared" si="80"/>
        <v>Knee Replacement PrimaryProviderYORK TEACHING HOSPITAL NHS FOUNDATION TRUST (RCB)Oxford Knee Score</v>
      </c>
      <c r="C5125" t="s">
        <v>249</v>
      </c>
      <c r="D5125" t="s">
        <v>1</v>
      </c>
      <c r="E5125" t="s">
        <v>3515</v>
      </c>
      <c r="F5125" t="s">
        <v>343</v>
      </c>
      <c r="G5125" t="s">
        <v>16</v>
      </c>
      <c r="H5125">
        <v>283</v>
      </c>
      <c r="I5125">
        <v>19.12</v>
      </c>
      <c r="J5125">
        <v>35.753</v>
      </c>
      <c r="K5125">
        <v>16.632999999999999</v>
      </c>
      <c r="L5125">
        <v>268</v>
      </c>
      <c r="M5125">
        <v>1</v>
      </c>
      <c r="N5125">
        <v>14</v>
      </c>
      <c r="O5125">
        <v>35.674999999999997</v>
      </c>
      <c r="P5125">
        <v>16.38925678</v>
      </c>
      <c r="Q5125">
        <v>8.4689999999999994</v>
      </c>
    </row>
    <row r="5126" spans="1:17" x14ac:dyDescent="0.2">
      <c r="A5126" s="30" t="str">
        <f>IF(C5126&amp;G5126&amp;D5126&lt;&gt;'Funnel setup'!$K$3&amp;'Funnel setup'!$K$4&amp;'Funnel setup'!$K$5,".",IF(A5125=".",1,A5125+1))</f>
        <v>.</v>
      </c>
      <c r="B5126" s="431" t="str">
        <f t="shared" si="80"/>
        <v>Knee Replacement RevisionCCG of GP PracticeNHS AIREDALE, WHARFEDALE AND CRAVEN CCG (02N)EQ VAS</v>
      </c>
      <c r="C5126" t="s">
        <v>250</v>
      </c>
      <c r="D5126" t="s">
        <v>87</v>
      </c>
      <c r="E5126" t="s">
        <v>566</v>
      </c>
      <c r="F5126" t="s">
        <v>567</v>
      </c>
      <c r="G5126" t="s">
        <v>179</v>
      </c>
      <c r="H5126" t="s">
        <v>53</v>
      </c>
      <c r="I5126" t="s">
        <v>53</v>
      </c>
      <c r="J5126" t="s">
        <v>53</v>
      </c>
      <c r="K5126" t="s">
        <v>53</v>
      </c>
      <c r="L5126" t="s">
        <v>53</v>
      </c>
      <c r="M5126" t="s">
        <v>53</v>
      </c>
      <c r="N5126" t="s">
        <v>53</v>
      </c>
      <c r="O5126" t="s">
        <v>53</v>
      </c>
      <c r="P5126" t="s">
        <v>53</v>
      </c>
      <c r="Q5126" t="s">
        <v>53</v>
      </c>
    </row>
    <row r="5127" spans="1:17" x14ac:dyDescent="0.2">
      <c r="A5127" s="30" t="str">
        <f>IF(C5127&amp;G5127&amp;D5127&lt;&gt;'Funnel setup'!$K$3&amp;'Funnel setup'!$K$4&amp;'Funnel setup'!$K$5,".",IF(A5126=".",1,A5126+1))</f>
        <v>.</v>
      </c>
      <c r="B5127" s="431" t="str">
        <f t="shared" si="80"/>
        <v>Knee Replacement RevisionCCG of GP PracticeNHS ASHFORD CCG (09C)EQ VAS</v>
      </c>
      <c r="C5127" t="s">
        <v>250</v>
      </c>
      <c r="D5127" t="s">
        <v>87</v>
      </c>
      <c r="E5127" t="s">
        <v>569</v>
      </c>
      <c r="F5127" t="s">
        <v>339</v>
      </c>
      <c r="G5127" t="s">
        <v>179</v>
      </c>
      <c r="H5127" t="s">
        <v>53</v>
      </c>
      <c r="I5127" t="s">
        <v>53</v>
      </c>
      <c r="J5127" t="s">
        <v>53</v>
      </c>
      <c r="K5127" t="s">
        <v>53</v>
      </c>
      <c r="L5127" t="s">
        <v>53</v>
      </c>
      <c r="M5127" t="s">
        <v>53</v>
      </c>
      <c r="N5127" t="s">
        <v>53</v>
      </c>
      <c r="O5127" t="s">
        <v>53</v>
      </c>
      <c r="P5127" t="s">
        <v>53</v>
      </c>
      <c r="Q5127" t="s">
        <v>53</v>
      </c>
    </row>
    <row r="5128" spans="1:17" x14ac:dyDescent="0.2">
      <c r="A5128" s="30" t="str">
        <f>IF(C5128&amp;G5128&amp;D5128&lt;&gt;'Funnel setup'!$K$3&amp;'Funnel setup'!$K$4&amp;'Funnel setup'!$K$5,".",IF(A5127=".",1,A5127+1))</f>
        <v>.</v>
      </c>
      <c r="B5128" s="431" t="str">
        <f t="shared" si="80"/>
        <v>Knee Replacement RevisionCCG of GP PracticeNHS AYLESBURY VALE CCG (10Y)EQ VAS</v>
      </c>
      <c r="C5128" t="s">
        <v>250</v>
      </c>
      <c r="D5128" t="s">
        <v>87</v>
      </c>
      <c r="E5128" t="s">
        <v>571</v>
      </c>
      <c r="F5128" t="s">
        <v>572</v>
      </c>
      <c r="G5128" t="s">
        <v>179</v>
      </c>
      <c r="H5128" t="s">
        <v>53</v>
      </c>
      <c r="I5128" t="s">
        <v>53</v>
      </c>
      <c r="J5128" t="s">
        <v>53</v>
      </c>
      <c r="K5128" t="s">
        <v>53</v>
      </c>
      <c r="L5128" t="s">
        <v>53</v>
      </c>
      <c r="M5128" t="s">
        <v>53</v>
      </c>
      <c r="N5128" t="s">
        <v>53</v>
      </c>
      <c r="O5128" t="s">
        <v>53</v>
      </c>
      <c r="P5128" t="s">
        <v>53</v>
      </c>
      <c r="Q5128" t="s">
        <v>53</v>
      </c>
    </row>
    <row r="5129" spans="1:17" x14ac:dyDescent="0.2">
      <c r="A5129" s="30" t="str">
        <f>IF(C5129&amp;G5129&amp;D5129&lt;&gt;'Funnel setup'!$K$3&amp;'Funnel setup'!$K$4&amp;'Funnel setup'!$K$5,".",IF(A5128=".",1,A5128+1))</f>
        <v>.</v>
      </c>
      <c r="B5129" s="431" t="str">
        <f t="shared" si="80"/>
        <v>Knee Replacement RevisionCCG of GP PracticeNHS BARNET CCG (07M)EQ VAS</v>
      </c>
      <c r="C5129" t="s">
        <v>250</v>
      </c>
      <c r="D5129" t="s">
        <v>87</v>
      </c>
      <c r="E5129" t="s">
        <v>577</v>
      </c>
      <c r="F5129" t="s">
        <v>578</v>
      </c>
      <c r="G5129" t="s">
        <v>179</v>
      </c>
      <c r="H5129" t="s">
        <v>53</v>
      </c>
      <c r="I5129" t="s">
        <v>53</v>
      </c>
      <c r="J5129" t="s">
        <v>53</v>
      </c>
      <c r="K5129" t="s">
        <v>53</v>
      </c>
      <c r="L5129" t="s">
        <v>53</v>
      </c>
      <c r="M5129" t="s">
        <v>53</v>
      </c>
      <c r="N5129" t="s">
        <v>53</v>
      </c>
      <c r="O5129" t="s">
        <v>53</v>
      </c>
      <c r="P5129" t="s">
        <v>53</v>
      </c>
      <c r="Q5129" t="s">
        <v>53</v>
      </c>
    </row>
    <row r="5130" spans="1:17" x14ac:dyDescent="0.2">
      <c r="A5130" s="30" t="str">
        <f>IF(C5130&amp;G5130&amp;D5130&lt;&gt;'Funnel setup'!$K$3&amp;'Funnel setup'!$K$4&amp;'Funnel setup'!$K$5,".",IF(A5129=".",1,A5129+1))</f>
        <v>.</v>
      </c>
      <c r="B5130" s="431" t="str">
        <f t="shared" si="80"/>
        <v>Knee Replacement RevisionCCG of GP PracticeNHS BARNSLEY CCG (02P)EQ VAS</v>
      </c>
      <c r="C5130" t="s">
        <v>250</v>
      </c>
      <c r="D5130" t="s">
        <v>87</v>
      </c>
      <c r="E5130" t="s">
        <v>580</v>
      </c>
      <c r="F5130" t="s">
        <v>581</v>
      </c>
      <c r="G5130" t="s">
        <v>179</v>
      </c>
      <c r="H5130">
        <v>17</v>
      </c>
      <c r="I5130">
        <v>61.881999999999998</v>
      </c>
      <c r="J5130">
        <v>65.293999999999997</v>
      </c>
      <c r="K5130">
        <v>3.4119999999999999</v>
      </c>
      <c r="L5130">
        <v>7</v>
      </c>
      <c r="M5130">
        <v>3</v>
      </c>
      <c r="N5130">
        <v>7</v>
      </c>
      <c r="O5130" t="s">
        <v>53</v>
      </c>
      <c r="P5130" t="s">
        <v>53</v>
      </c>
      <c r="Q5130" t="s">
        <v>53</v>
      </c>
    </row>
    <row r="5131" spans="1:17" x14ac:dyDescent="0.2">
      <c r="A5131" s="30" t="str">
        <f>IF(C5131&amp;G5131&amp;D5131&lt;&gt;'Funnel setup'!$K$3&amp;'Funnel setup'!$K$4&amp;'Funnel setup'!$K$5,".",IF(A5130=".",1,A5130+1))</f>
        <v>.</v>
      </c>
      <c r="B5131" s="431" t="str">
        <f t="shared" si="80"/>
        <v>Knee Replacement RevisionCCG of GP PracticeNHS BASILDON AND BRENTWOOD CCG (99E)EQ VAS</v>
      </c>
      <c r="C5131" t="s">
        <v>250</v>
      </c>
      <c r="D5131" t="s">
        <v>87</v>
      </c>
      <c r="E5131" t="s">
        <v>583</v>
      </c>
      <c r="F5131" t="s">
        <v>584</v>
      </c>
      <c r="G5131" t="s">
        <v>179</v>
      </c>
      <c r="H5131">
        <v>10</v>
      </c>
      <c r="I5131">
        <v>73.400000000000006</v>
      </c>
      <c r="J5131">
        <v>65.8</v>
      </c>
      <c r="K5131">
        <v>-7.6</v>
      </c>
      <c r="L5131">
        <v>5</v>
      </c>
      <c r="M5131">
        <v>1</v>
      </c>
      <c r="N5131">
        <v>4</v>
      </c>
      <c r="O5131" t="s">
        <v>53</v>
      </c>
      <c r="P5131" t="s">
        <v>53</v>
      </c>
      <c r="Q5131" t="s">
        <v>53</v>
      </c>
    </row>
    <row r="5132" spans="1:17" x14ac:dyDescent="0.2">
      <c r="A5132" s="30" t="str">
        <f>IF(C5132&amp;G5132&amp;D5132&lt;&gt;'Funnel setup'!$K$3&amp;'Funnel setup'!$K$4&amp;'Funnel setup'!$K$5,".",IF(A5131=".",1,A5131+1))</f>
        <v>.</v>
      </c>
      <c r="B5132" s="431" t="str">
        <f t="shared" si="80"/>
        <v>Knee Replacement RevisionCCG of GP PracticeNHS BASSETLAW CCG (02Q)EQ VAS</v>
      </c>
      <c r="C5132" t="s">
        <v>250</v>
      </c>
      <c r="D5132" t="s">
        <v>87</v>
      </c>
      <c r="E5132" t="s">
        <v>586</v>
      </c>
      <c r="F5132" t="s">
        <v>587</v>
      </c>
      <c r="G5132" t="s">
        <v>179</v>
      </c>
      <c r="H5132" t="s">
        <v>53</v>
      </c>
      <c r="I5132" t="s">
        <v>53</v>
      </c>
      <c r="J5132" t="s">
        <v>53</v>
      </c>
      <c r="K5132" t="s">
        <v>53</v>
      </c>
      <c r="L5132" t="s">
        <v>53</v>
      </c>
      <c r="M5132" t="s">
        <v>53</v>
      </c>
      <c r="N5132" t="s">
        <v>53</v>
      </c>
      <c r="O5132" t="s">
        <v>53</v>
      </c>
      <c r="P5132" t="s">
        <v>53</v>
      </c>
      <c r="Q5132" t="s">
        <v>53</v>
      </c>
    </row>
    <row r="5133" spans="1:17" x14ac:dyDescent="0.2">
      <c r="A5133" s="30" t="str">
        <f>IF(C5133&amp;G5133&amp;D5133&lt;&gt;'Funnel setup'!$K$3&amp;'Funnel setup'!$K$4&amp;'Funnel setup'!$K$5,".",IF(A5132=".",1,A5132+1))</f>
        <v>.</v>
      </c>
      <c r="B5133" s="431" t="str">
        <f t="shared" si="80"/>
        <v>Knee Replacement RevisionCCG of GP PracticeNHS BATH AND NORTH EAST SOMERSET CCG (11E)EQ VAS</v>
      </c>
      <c r="C5133" t="s">
        <v>250</v>
      </c>
      <c r="D5133" t="s">
        <v>87</v>
      </c>
      <c r="E5133" t="s">
        <v>589</v>
      </c>
      <c r="F5133" t="s">
        <v>590</v>
      </c>
      <c r="G5133" t="s">
        <v>179</v>
      </c>
      <c r="H5133" t="s">
        <v>53</v>
      </c>
      <c r="I5133" t="s">
        <v>53</v>
      </c>
      <c r="J5133" t="s">
        <v>53</v>
      </c>
      <c r="K5133" t="s">
        <v>53</v>
      </c>
      <c r="L5133" t="s">
        <v>53</v>
      </c>
      <c r="M5133" t="s">
        <v>53</v>
      </c>
      <c r="N5133" t="s">
        <v>53</v>
      </c>
      <c r="O5133" t="s">
        <v>53</v>
      </c>
      <c r="P5133" t="s">
        <v>53</v>
      </c>
      <c r="Q5133" t="s">
        <v>53</v>
      </c>
    </row>
    <row r="5134" spans="1:17" x14ac:dyDescent="0.2">
      <c r="A5134" s="30" t="str">
        <f>IF(C5134&amp;G5134&amp;D5134&lt;&gt;'Funnel setup'!$K$3&amp;'Funnel setup'!$K$4&amp;'Funnel setup'!$K$5,".",IF(A5133=".",1,A5133+1))</f>
        <v>.</v>
      </c>
      <c r="B5134" s="431" t="str">
        <f t="shared" si="80"/>
        <v>Knee Replacement RevisionCCG of GP PracticeNHS BEDFORDSHIRE CCG (06F)EQ VAS</v>
      </c>
      <c r="C5134" t="s">
        <v>250</v>
      </c>
      <c r="D5134" t="s">
        <v>87</v>
      </c>
      <c r="E5134" t="s">
        <v>592</v>
      </c>
      <c r="F5134" t="s">
        <v>593</v>
      </c>
      <c r="G5134" t="s">
        <v>179</v>
      </c>
      <c r="H5134">
        <v>13</v>
      </c>
      <c r="I5134">
        <v>53</v>
      </c>
      <c r="J5134">
        <v>73.769000000000005</v>
      </c>
      <c r="K5134">
        <v>20.768999999999998</v>
      </c>
      <c r="L5134">
        <v>10</v>
      </c>
      <c r="M5134">
        <v>0</v>
      </c>
      <c r="N5134">
        <v>3</v>
      </c>
      <c r="O5134" t="s">
        <v>53</v>
      </c>
      <c r="P5134" t="s">
        <v>53</v>
      </c>
      <c r="Q5134" t="s">
        <v>53</v>
      </c>
    </row>
    <row r="5135" spans="1:17" x14ac:dyDescent="0.2">
      <c r="A5135" s="30" t="str">
        <f>IF(C5135&amp;G5135&amp;D5135&lt;&gt;'Funnel setup'!$K$3&amp;'Funnel setup'!$K$4&amp;'Funnel setup'!$K$5,".",IF(A5134=".",1,A5134+1))</f>
        <v>.</v>
      </c>
      <c r="B5135" s="431" t="str">
        <f t="shared" si="80"/>
        <v>Knee Replacement RevisionCCG of GP PracticeNHS BEXLEY CCG (07N)EQ VAS</v>
      </c>
      <c r="C5135" t="s">
        <v>250</v>
      </c>
      <c r="D5135" t="s">
        <v>87</v>
      </c>
      <c r="E5135" t="s">
        <v>595</v>
      </c>
      <c r="F5135" t="s">
        <v>596</v>
      </c>
      <c r="G5135" t="s">
        <v>179</v>
      </c>
      <c r="H5135" t="s">
        <v>53</v>
      </c>
      <c r="I5135" t="s">
        <v>53</v>
      </c>
      <c r="J5135" t="s">
        <v>53</v>
      </c>
      <c r="K5135" t="s">
        <v>53</v>
      </c>
      <c r="L5135" t="s">
        <v>53</v>
      </c>
      <c r="M5135" t="s">
        <v>53</v>
      </c>
      <c r="N5135" t="s">
        <v>53</v>
      </c>
      <c r="O5135" t="s">
        <v>53</v>
      </c>
      <c r="P5135" t="s">
        <v>53</v>
      </c>
      <c r="Q5135" t="s">
        <v>53</v>
      </c>
    </row>
    <row r="5136" spans="1:17" x14ac:dyDescent="0.2">
      <c r="A5136" s="30" t="str">
        <f>IF(C5136&amp;G5136&amp;D5136&lt;&gt;'Funnel setup'!$K$3&amp;'Funnel setup'!$K$4&amp;'Funnel setup'!$K$5,".",IF(A5135=".",1,A5135+1))</f>
        <v>.</v>
      </c>
      <c r="B5136" s="431" t="str">
        <f t="shared" si="80"/>
        <v>Knee Replacement RevisionCCG of GP PracticeNHS BIRMINGHAM CROSSCITY CCG (13P)EQ VAS</v>
      </c>
      <c r="C5136" t="s">
        <v>250</v>
      </c>
      <c r="D5136" t="s">
        <v>87</v>
      </c>
      <c r="E5136" t="s">
        <v>598</v>
      </c>
      <c r="F5136" t="s">
        <v>599</v>
      </c>
      <c r="G5136" t="s">
        <v>179</v>
      </c>
      <c r="H5136">
        <v>9</v>
      </c>
      <c r="I5136">
        <v>60.222000000000001</v>
      </c>
      <c r="J5136">
        <v>69.444000000000003</v>
      </c>
      <c r="K5136">
        <v>9.2219999999999995</v>
      </c>
      <c r="L5136">
        <v>6</v>
      </c>
      <c r="M5136">
        <v>0</v>
      </c>
      <c r="N5136">
        <v>3</v>
      </c>
      <c r="O5136" t="s">
        <v>53</v>
      </c>
      <c r="P5136" t="s">
        <v>53</v>
      </c>
      <c r="Q5136" t="s">
        <v>53</v>
      </c>
    </row>
    <row r="5137" spans="1:17" x14ac:dyDescent="0.2">
      <c r="A5137" s="30" t="str">
        <f>IF(C5137&amp;G5137&amp;D5137&lt;&gt;'Funnel setup'!$K$3&amp;'Funnel setup'!$K$4&amp;'Funnel setup'!$K$5,".",IF(A5136=".",1,A5136+1))</f>
        <v>.</v>
      </c>
      <c r="B5137" s="431" t="str">
        <f t="shared" si="80"/>
        <v>Knee Replacement RevisionCCG of GP PracticeNHS BIRMINGHAM SOUTH AND CENTRAL CCG (04X)EQ VAS</v>
      </c>
      <c r="C5137" t="s">
        <v>250</v>
      </c>
      <c r="D5137" t="s">
        <v>87</v>
      </c>
      <c r="E5137" t="s">
        <v>601</v>
      </c>
      <c r="F5137" t="s">
        <v>602</v>
      </c>
      <c r="G5137" t="s">
        <v>179</v>
      </c>
      <c r="H5137" t="s">
        <v>53</v>
      </c>
      <c r="I5137" t="s">
        <v>53</v>
      </c>
      <c r="J5137" t="s">
        <v>53</v>
      </c>
      <c r="K5137" t="s">
        <v>53</v>
      </c>
      <c r="L5137" t="s">
        <v>53</v>
      </c>
      <c r="M5137" t="s">
        <v>53</v>
      </c>
      <c r="N5137" t="s">
        <v>53</v>
      </c>
      <c r="O5137" t="s">
        <v>53</v>
      </c>
      <c r="P5137" t="s">
        <v>53</v>
      </c>
      <c r="Q5137" t="s">
        <v>53</v>
      </c>
    </row>
    <row r="5138" spans="1:17" x14ac:dyDescent="0.2">
      <c r="A5138" s="30" t="str">
        <f>IF(C5138&amp;G5138&amp;D5138&lt;&gt;'Funnel setup'!$K$3&amp;'Funnel setup'!$K$4&amp;'Funnel setup'!$K$5,".",IF(A5137=".",1,A5137+1))</f>
        <v>.</v>
      </c>
      <c r="B5138" s="431" t="str">
        <f t="shared" si="80"/>
        <v>Knee Replacement RevisionCCG of GP PracticeNHS BOLTON CCG (00T)EQ VAS</v>
      </c>
      <c r="C5138" t="s">
        <v>250</v>
      </c>
      <c r="D5138" t="s">
        <v>87</v>
      </c>
      <c r="E5138" t="s">
        <v>683</v>
      </c>
      <c r="F5138" t="s">
        <v>684</v>
      </c>
      <c r="G5138" t="s">
        <v>179</v>
      </c>
      <c r="H5138">
        <v>7</v>
      </c>
      <c r="I5138">
        <v>57.286000000000001</v>
      </c>
      <c r="J5138">
        <v>55.286000000000001</v>
      </c>
      <c r="K5138">
        <v>-2</v>
      </c>
      <c r="L5138">
        <v>3</v>
      </c>
      <c r="M5138">
        <v>1</v>
      </c>
      <c r="N5138">
        <v>3</v>
      </c>
      <c r="O5138" t="s">
        <v>53</v>
      </c>
      <c r="P5138" t="s">
        <v>53</v>
      </c>
      <c r="Q5138" t="s">
        <v>53</v>
      </c>
    </row>
    <row r="5139" spans="1:17" x14ac:dyDescent="0.2">
      <c r="A5139" s="30" t="str">
        <f>IF(C5139&amp;G5139&amp;D5139&lt;&gt;'Funnel setup'!$K$3&amp;'Funnel setup'!$K$4&amp;'Funnel setup'!$K$5,".",IF(A5138=".",1,A5138+1))</f>
        <v>.</v>
      </c>
      <c r="B5139" s="431" t="str">
        <f t="shared" si="80"/>
        <v>Knee Replacement RevisionCCG of GP PracticeNHS BRACKNELL AND ASCOT CCG (10G)EQ VAS</v>
      </c>
      <c r="C5139" t="s">
        <v>250</v>
      </c>
      <c r="D5139" t="s">
        <v>87</v>
      </c>
      <c r="E5139" t="s">
        <v>686</v>
      </c>
      <c r="F5139" t="s">
        <v>687</v>
      </c>
      <c r="G5139" t="s">
        <v>179</v>
      </c>
      <c r="H5139" t="s">
        <v>53</v>
      </c>
      <c r="I5139" t="s">
        <v>53</v>
      </c>
      <c r="J5139" t="s">
        <v>53</v>
      </c>
      <c r="K5139" t="s">
        <v>53</v>
      </c>
      <c r="L5139" t="s">
        <v>53</v>
      </c>
      <c r="M5139" t="s">
        <v>53</v>
      </c>
      <c r="N5139" t="s">
        <v>53</v>
      </c>
      <c r="O5139" t="s">
        <v>53</v>
      </c>
      <c r="P5139" t="s">
        <v>53</v>
      </c>
      <c r="Q5139" t="s">
        <v>53</v>
      </c>
    </row>
    <row r="5140" spans="1:17" x14ac:dyDescent="0.2">
      <c r="A5140" s="30" t="str">
        <f>IF(C5140&amp;G5140&amp;D5140&lt;&gt;'Funnel setup'!$K$3&amp;'Funnel setup'!$K$4&amp;'Funnel setup'!$K$5,".",IF(A5139=".",1,A5139+1))</f>
        <v>.</v>
      </c>
      <c r="B5140" s="431" t="str">
        <f t="shared" si="80"/>
        <v>Knee Replacement RevisionCCG of GP PracticeNHS BRADFORD DISTRICTS CCG (02R)EQ VAS</v>
      </c>
      <c r="C5140" t="s">
        <v>250</v>
      </c>
      <c r="D5140" t="s">
        <v>87</v>
      </c>
      <c r="E5140" t="s">
        <v>692</v>
      </c>
      <c r="F5140" t="s">
        <v>693</v>
      </c>
      <c r="G5140" t="s">
        <v>179</v>
      </c>
      <c r="H5140">
        <v>11</v>
      </c>
      <c r="I5140">
        <v>59.636000000000003</v>
      </c>
      <c r="J5140">
        <v>67.454999999999998</v>
      </c>
      <c r="K5140">
        <v>7.8179999999999996</v>
      </c>
      <c r="L5140">
        <v>6</v>
      </c>
      <c r="M5140">
        <v>1</v>
      </c>
      <c r="N5140">
        <v>4</v>
      </c>
      <c r="O5140" t="s">
        <v>53</v>
      </c>
      <c r="P5140" t="s">
        <v>53</v>
      </c>
      <c r="Q5140" t="s">
        <v>53</v>
      </c>
    </row>
    <row r="5141" spans="1:17" x14ac:dyDescent="0.2">
      <c r="A5141" s="30" t="str">
        <f>IF(C5141&amp;G5141&amp;D5141&lt;&gt;'Funnel setup'!$K$3&amp;'Funnel setup'!$K$4&amp;'Funnel setup'!$K$5,".",IF(A5140=".",1,A5140+1))</f>
        <v>.</v>
      </c>
      <c r="B5141" s="431" t="str">
        <f t="shared" si="80"/>
        <v>Knee Replacement RevisionCCG of GP PracticeNHS BRENT CCG (07P)EQ VAS</v>
      </c>
      <c r="C5141" t="s">
        <v>250</v>
      </c>
      <c r="D5141" t="s">
        <v>87</v>
      </c>
      <c r="E5141" t="s">
        <v>695</v>
      </c>
      <c r="F5141" t="s">
        <v>696</v>
      </c>
      <c r="G5141" t="s">
        <v>179</v>
      </c>
      <c r="H5141" t="s">
        <v>53</v>
      </c>
      <c r="I5141" t="s">
        <v>53</v>
      </c>
      <c r="J5141" t="s">
        <v>53</v>
      </c>
      <c r="K5141" t="s">
        <v>53</v>
      </c>
      <c r="L5141" t="s">
        <v>53</v>
      </c>
      <c r="M5141" t="s">
        <v>53</v>
      </c>
      <c r="N5141" t="s">
        <v>53</v>
      </c>
      <c r="O5141" t="s">
        <v>53</v>
      </c>
      <c r="P5141" t="s">
        <v>53</v>
      </c>
      <c r="Q5141" t="s">
        <v>53</v>
      </c>
    </row>
    <row r="5142" spans="1:17" x14ac:dyDescent="0.2">
      <c r="A5142" s="30" t="str">
        <f>IF(C5142&amp;G5142&amp;D5142&lt;&gt;'Funnel setup'!$K$3&amp;'Funnel setup'!$K$4&amp;'Funnel setup'!$K$5,".",IF(A5141=".",1,A5141+1))</f>
        <v>.</v>
      </c>
      <c r="B5142" s="431" t="str">
        <f t="shared" si="80"/>
        <v>Knee Replacement RevisionCCG of GP PracticeNHS BRIGHTON AND HOVE CCG (09D)EQ VAS</v>
      </c>
      <c r="C5142" t="s">
        <v>250</v>
      </c>
      <c r="D5142" t="s">
        <v>87</v>
      </c>
      <c r="E5142" t="s">
        <v>698</v>
      </c>
      <c r="F5142" t="s">
        <v>699</v>
      </c>
      <c r="G5142" t="s">
        <v>179</v>
      </c>
      <c r="H5142">
        <v>10</v>
      </c>
      <c r="I5142">
        <v>56.5</v>
      </c>
      <c r="J5142">
        <v>42.6</v>
      </c>
      <c r="K5142">
        <v>-13.9</v>
      </c>
      <c r="L5142">
        <v>2</v>
      </c>
      <c r="M5142">
        <v>0</v>
      </c>
      <c r="N5142">
        <v>8</v>
      </c>
      <c r="O5142" t="s">
        <v>53</v>
      </c>
      <c r="P5142" t="s">
        <v>53</v>
      </c>
      <c r="Q5142" t="s">
        <v>53</v>
      </c>
    </row>
    <row r="5143" spans="1:17" x14ac:dyDescent="0.2">
      <c r="A5143" s="30" t="str">
        <f>IF(C5143&amp;G5143&amp;D5143&lt;&gt;'Funnel setup'!$K$3&amp;'Funnel setup'!$K$4&amp;'Funnel setup'!$K$5,".",IF(A5142=".",1,A5142+1))</f>
        <v>.</v>
      </c>
      <c r="B5143" s="431" t="str">
        <f t="shared" si="80"/>
        <v>Knee Replacement RevisionCCG of GP PracticeNHS BRISTOL CCG (11H)EQ VAS</v>
      </c>
      <c r="C5143" t="s">
        <v>250</v>
      </c>
      <c r="D5143" t="s">
        <v>87</v>
      </c>
      <c r="E5143" t="s">
        <v>701</v>
      </c>
      <c r="F5143" t="s">
        <v>702</v>
      </c>
      <c r="G5143" t="s">
        <v>179</v>
      </c>
      <c r="H5143" t="s">
        <v>53</v>
      </c>
      <c r="I5143" t="s">
        <v>53</v>
      </c>
      <c r="J5143" t="s">
        <v>53</v>
      </c>
      <c r="K5143" t="s">
        <v>53</v>
      </c>
      <c r="L5143" t="s">
        <v>53</v>
      </c>
      <c r="M5143" t="s">
        <v>53</v>
      </c>
      <c r="N5143" t="s">
        <v>53</v>
      </c>
      <c r="O5143" t="s">
        <v>53</v>
      </c>
      <c r="P5143" t="s">
        <v>53</v>
      </c>
      <c r="Q5143" t="s">
        <v>53</v>
      </c>
    </row>
    <row r="5144" spans="1:17" x14ac:dyDescent="0.2">
      <c r="A5144" s="30" t="str">
        <f>IF(C5144&amp;G5144&amp;D5144&lt;&gt;'Funnel setup'!$K$3&amp;'Funnel setup'!$K$4&amp;'Funnel setup'!$K$5,".",IF(A5143=".",1,A5143+1))</f>
        <v>.</v>
      </c>
      <c r="B5144" s="431" t="str">
        <f t="shared" si="80"/>
        <v>Knee Replacement RevisionCCG of GP PracticeNHS BROMLEY CCG (07Q)EQ VAS</v>
      </c>
      <c r="C5144" t="s">
        <v>250</v>
      </c>
      <c r="D5144" t="s">
        <v>87</v>
      </c>
      <c r="E5144" t="s">
        <v>704</v>
      </c>
      <c r="F5144" t="s">
        <v>705</v>
      </c>
      <c r="G5144" t="s">
        <v>179</v>
      </c>
      <c r="H5144" t="s">
        <v>53</v>
      </c>
      <c r="I5144" t="s">
        <v>53</v>
      </c>
      <c r="J5144" t="s">
        <v>53</v>
      </c>
      <c r="K5144" t="s">
        <v>53</v>
      </c>
      <c r="L5144" t="s">
        <v>53</v>
      </c>
      <c r="M5144" t="s">
        <v>53</v>
      </c>
      <c r="N5144" t="s">
        <v>53</v>
      </c>
      <c r="O5144" t="s">
        <v>53</v>
      </c>
      <c r="P5144" t="s">
        <v>53</v>
      </c>
      <c r="Q5144" t="s">
        <v>53</v>
      </c>
    </row>
    <row r="5145" spans="1:17" x14ac:dyDescent="0.2">
      <c r="A5145" s="30" t="str">
        <f>IF(C5145&amp;G5145&amp;D5145&lt;&gt;'Funnel setup'!$K$3&amp;'Funnel setup'!$K$4&amp;'Funnel setup'!$K$5,".",IF(A5144=".",1,A5144+1))</f>
        <v>.</v>
      </c>
      <c r="B5145" s="431" t="str">
        <f t="shared" si="80"/>
        <v>Knee Replacement RevisionCCG of GP PracticeNHS BURY CCG (00V)EQ VAS</v>
      </c>
      <c r="C5145" t="s">
        <v>250</v>
      </c>
      <c r="D5145" t="s">
        <v>87</v>
      </c>
      <c r="E5145" t="s">
        <v>707</v>
      </c>
      <c r="F5145" t="s">
        <v>708</v>
      </c>
      <c r="G5145" t="s">
        <v>179</v>
      </c>
      <c r="H5145">
        <v>7</v>
      </c>
      <c r="I5145">
        <v>47.713999999999999</v>
      </c>
      <c r="J5145">
        <v>65.429000000000002</v>
      </c>
      <c r="K5145">
        <v>17.713999999999999</v>
      </c>
      <c r="L5145">
        <v>4</v>
      </c>
      <c r="M5145">
        <v>0</v>
      </c>
      <c r="N5145">
        <v>3</v>
      </c>
      <c r="O5145" t="s">
        <v>53</v>
      </c>
      <c r="P5145" t="s">
        <v>53</v>
      </c>
      <c r="Q5145" t="s">
        <v>53</v>
      </c>
    </row>
    <row r="5146" spans="1:17" x14ac:dyDescent="0.2">
      <c r="A5146" s="30" t="str">
        <f>IF(C5146&amp;G5146&amp;D5146&lt;&gt;'Funnel setup'!$K$3&amp;'Funnel setup'!$K$4&amp;'Funnel setup'!$K$5,".",IF(A5145=".",1,A5145+1))</f>
        <v>.</v>
      </c>
      <c r="B5146" s="431" t="str">
        <f t="shared" si="80"/>
        <v>Knee Replacement RevisionCCG of GP PracticeNHS CALDERDALE CCG (02T)EQ VAS</v>
      </c>
      <c r="C5146" t="s">
        <v>250</v>
      </c>
      <c r="D5146" t="s">
        <v>87</v>
      </c>
      <c r="E5146" t="s">
        <v>710</v>
      </c>
      <c r="F5146" t="s">
        <v>711</v>
      </c>
      <c r="G5146" t="s">
        <v>179</v>
      </c>
      <c r="H5146" t="s">
        <v>53</v>
      </c>
      <c r="I5146" t="s">
        <v>53</v>
      </c>
      <c r="J5146" t="s">
        <v>53</v>
      </c>
      <c r="K5146" t="s">
        <v>53</v>
      </c>
      <c r="L5146" t="s">
        <v>53</v>
      </c>
      <c r="M5146" t="s">
        <v>53</v>
      </c>
      <c r="N5146" t="s">
        <v>53</v>
      </c>
      <c r="O5146" t="s">
        <v>53</v>
      </c>
      <c r="P5146" t="s">
        <v>53</v>
      </c>
      <c r="Q5146" t="s">
        <v>53</v>
      </c>
    </row>
    <row r="5147" spans="1:17" x14ac:dyDescent="0.2">
      <c r="A5147" s="30" t="str">
        <f>IF(C5147&amp;G5147&amp;D5147&lt;&gt;'Funnel setup'!$K$3&amp;'Funnel setup'!$K$4&amp;'Funnel setup'!$K$5,".",IF(A5146=".",1,A5146+1))</f>
        <v>.</v>
      </c>
      <c r="B5147" s="431" t="str">
        <f t="shared" si="80"/>
        <v>Knee Replacement RevisionCCG of GP PracticeNHS CAMBRIDGESHIRE AND PETERBOROUGH CCG (06H)EQ VAS</v>
      </c>
      <c r="C5147" t="s">
        <v>250</v>
      </c>
      <c r="D5147" t="s">
        <v>87</v>
      </c>
      <c r="E5147" t="s">
        <v>713</v>
      </c>
      <c r="F5147" t="s">
        <v>714</v>
      </c>
      <c r="G5147" t="s">
        <v>179</v>
      </c>
      <c r="H5147">
        <v>29</v>
      </c>
      <c r="I5147">
        <v>63.828000000000003</v>
      </c>
      <c r="J5147">
        <v>74.034000000000006</v>
      </c>
      <c r="K5147">
        <v>10.207000000000001</v>
      </c>
      <c r="L5147">
        <v>19</v>
      </c>
      <c r="M5147">
        <v>3</v>
      </c>
      <c r="N5147">
        <v>7</v>
      </c>
      <c r="O5147" t="s">
        <v>53</v>
      </c>
      <c r="P5147" t="s">
        <v>53</v>
      </c>
      <c r="Q5147" t="s">
        <v>53</v>
      </c>
    </row>
    <row r="5148" spans="1:17" x14ac:dyDescent="0.2">
      <c r="A5148" s="30" t="str">
        <f>IF(C5148&amp;G5148&amp;D5148&lt;&gt;'Funnel setup'!$K$3&amp;'Funnel setup'!$K$4&amp;'Funnel setup'!$K$5,".",IF(A5147=".",1,A5147+1))</f>
        <v>.</v>
      </c>
      <c r="B5148" s="431" t="str">
        <f t="shared" si="80"/>
        <v>Knee Replacement RevisionCCG of GP PracticeNHS CAMDEN CCG (07R)EQ VAS</v>
      </c>
      <c r="C5148" t="s">
        <v>250</v>
      </c>
      <c r="D5148" t="s">
        <v>87</v>
      </c>
      <c r="E5148" t="s">
        <v>716</v>
      </c>
      <c r="F5148" t="s">
        <v>717</v>
      </c>
      <c r="G5148" t="s">
        <v>179</v>
      </c>
      <c r="H5148" t="s">
        <v>53</v>
      </c>
      <c r="I5148" t="s">
        <v>53</v>
      </c>
      <c r="J5148" t="s">
        <v>53</v>
      </c>
      <c r="K5148" t="s">
        <v>53</v>
      </c>
      <c r="L5148" t="s">
        <v>53</v>
      </c>
      <c r="M5148" t="s">
        <v>53</v>
      </c>
      <c r="N5148" t="s">
        <v>53</v>
      </c>
      <c r="O5148" t="s">
        <v>53</v>
      </c>
      <c r="P5148" t="s">
        <v>53</v>
      </c>
      <c r="Q5148" t="s">
        <v>53</v>
      </c>
    </row>
    <row r="5149" spans="1:17" x14ac:dyDescent="0.2">
      <c r="A5149" s="30" t="str">
        <f>IF(C5149&amp;G5149&amp;D5149&lt;&gt;'Funnel setup'!$K$3&amp;'Funnel setup'!$K$4&amp;'Funnel setup'!$K$5,".",IF(A5148=".",1,A5148+1))</f>
        <v>.</v>
      </c>
      <c r="B5149" s="431" t="str">
        <f t="shared" si="80"/>
        <v>Knee Replacement RevisionCCG of GP PracticeNHS CANNOCK CHASE CCG (04Y)EQ VAS</v>
      </c>
      <c r="C5149" t="s">
        <v>250</v>
      </c>
      <c r="D5149" t="s">
        <v>87</v>
      </c>
      <c r="E5149" t="s">
        <v>719</v>
      </c>
      <c r="F5149" t="s">
        <v>720</v>
      </c>
      <c r="G5149" t="s">
        <v>179</v>
      </c>
      <c r="H5149">
        <v>7</v>
      </c>
      <c r="I5149">
        <v>63.570999999999998</v>
      </c>
      <c r="J5149">
        <v>48.570999999999998</v>
      </c>
      <c r="K5149">
        <v>-15</v>
      </c>
      <c r="L5149">
        <v>2</v>
      </c>
      <c r="M5149">
        <v>1</v>
      </c>
      <c r="N5149">
        <v>4</v>
      </c>
      <c r="O5149" t="s">
        <v>53</v>
      </c>
      <c r="P5149" t="s">
        <v>53</v>
      </c>
      <c r="Q5149" t="s">
        <v>53</v>
      </c>
    </row>
    <row r="5150" spans="1:17" x14ac:dyDescent="0.2">
      <c r="A5150" s="30" t="str">
        <f>IF(C5150&amp;G5150&amp;D5150&lt;&gt;'Funnel setup'!$K$3&amp;'Funnel setup'!$K$4&amp;'Funnel setup'!$K$5,".",IF(A5149=".",1,A5149+1))</f>
        <v>.</v>
      </c>
      <c r="B5150" s="431" t="str">
        <f t="shared" si="80"/>
        <v>Knee Replacement RevisionCCG of GP PracticeNHS CANTERBURY AND COASTAL CCG (09E)EQ VAS</v>
      </c>
      <c r="C5150" t="s">
        <v>250</v>
      </c>
      <c r="D5150" t="s">
        <v>87</v>
      </c>
      <c r="E5150" t="s">
        <v>722</v>
      </c>
      <c r="F5150" t="s">
        <v>723</v>
      </c>
      <c r="G5150" t="s">
        <v>179</v>
      </c>
      <c r="H5150">
        <v>6</v>
      </c>
      <c r="I5150">
        <v>79.667000000000002</v>
      </c>
      <c r="J5150">
        <v>81.667000000000002</v>
      </c>
      <c r="K5150">
        <v>2</v>
      </c>
      <c r="L5150">
        <v>2</v>
      </c>
      <c r="M5150">
        <v>2</v>
      </c>
      <c r="N5150">
        <v>2</v>
      </c>
      <c r="O5150" t="s">
        <v>53</v>
      </c>
      <c r="P5150" t="s">
        <v>53</v>
      </c>
      <c r="Q5150" t="s">
        <v>53</v>
      </c>
    </row>
    <row r="5151" spans="1:17" x14ac:dyDescent="0.2">
      <c r="A5151" s="30" t="str">
        <f>IF(C5151&amp;G5151&amp;D5151&lt;&gt;'Funnel setup'!$K$3&amp;'Funnel setup'!$K$4&amp;'Funnel setup'!$K$5,".",IF(A5150=".",1,A5150+1))</f>
        <v>.</v>
      </c>
      <c r="B5151" s="431" t="str">
        <f t="shared" si="80"/>
        <v>Knee Replacement RevisionCCG of GP PracticeNHS CASTLE POINT AND ROCHFORD CCG (99F)EQ VAS</v>
      </c>
      <c r="C5151" t="s">
        <v>250</v>
      </c>
      <c r="D5151" t="s">
        <v>87</v>
      </c>
      <c r="E5151" t="s">
        <v>725</v>
      </c>
      <c r="F5151" t="s">
        <v>726</v>
      </c>
      <c r="G5151" t="s">
        <v>179</v>
      </c>
      <c r="H5151" t="s">
        <v>53</v>
      </c>
      <c r="I5151" t="s">
        <v>53</v>
      </c>
      <c r="J5151" t="s">
        <v>53</v>
      </c>
      <c r="K5151" t="s">
        <v>53</v>
      </c>
      <c r="L5151" t="s">
        <v>53</v>
      </c>
      <c r="M5151" t="s">
        <v>53</v>
      </c>
      <c r="N5151" t="s">
        <v>53</v>
      </c>
      <c r="O5151" t="s">
        <v>53</v>
      </c>
      <c r="P5151" t="s">
        <v>53</v>
      </c>
      <c r="Q5151" t="s">
        <v>53</v>
      </c>
    </row>
    <row r="5152" spans="1:17" x14ac:dyDescent="0.2">
      <c r="A5152" s="30" t="str">
        <f>IF(C5152&amp;G5152&amp;D5152&lt;&gt;'Funnel setup'!$K$3&amp;'Funnel setup'!$K$4&amp;'Funnel setup'!$K$5,".",IF(A5151=".",1,A5151+1))</f>
        <v>.</v>
      </c>
      <c r="B5152" s="431" t="str">
        <f t="shared" si="80"/>
        <v>Knee Replacement RevisionCCG of GP PracticeNHS CHILTERN CCG (10H)EQ VAS</v>
      </c>
      <c r="C5152" t="s">
        <v>250</v>
      </c>
      <c r="D5152" t="s">
        <v>87</v>
      </c>
      <c r="E5152" t="s">
        <v>734</v>
      </c>
      <c r="F5152" t="s">
        <v>735</v>
      </c>
      <c r="G5152" t="s">
        <v>179</v>
      </c>
      <c r="H5152">
        <v>7</v>
      </c>
      <c r="I5152">
        <v>69.856999999999999</v>
      </c>
      <c r="J5152">
        <v>68.286000000000001</v>
      </c>
      <c r="K5152">
        <v>-1.571</v>
      </c>
      <c r="L5152">
        <v>3</v>
      </c>
      <c r="M5152">
        <v>2</v>
      </c>
      <c r="N5152">
        <v>2</v>
      </c>
      <c r="O5152" t="s">
        <v>53</v>
      </c>
      <c r="P5152" t="s">
        <v>53</v>
      </c>
      <c r="Q5152" t="s">
        <v>53</v>
      </c>
    </row>
    <row r="5153" spans="1:17" x14ac:dyDescent="0.2">
      <c r="A5153" s="30" t="str">
        <f>IF(C5153&amp;G5153&amp;D5153&lt;&gt;'Funnel setup'!$K$3&amp;'Funnel setup'!$K$4&amp;'Funnel setup'!$K$5,".",IF(A5152=".",1,A5152+1))</f>
        <v>.</v>
      </c>
      <c r="B5153" s="431" t="str">
        <f t="shared" si="80"/>
        <v>Knee Replacement RevisionCCG of GP PracticeNHS CHORLEY AND SOUTH RIBBLE CCG (00X)EQ VAS</v>
      </c>
      <c r="C5153" t="s">
        <v>250</v>
      </c>
      <c r="D5153" t="s">
        <v>87</v>
      </c>
      <c r="E5153" t="s">
        <v>737</v>
      </c>
      <c r="F5153" t="s">
        <v>738</v>
      </c>
      <c r="G5153" t="s">
        <v>179</v>
      </c>
      <c r="H5153" t="s">
        <v>53</v>
      </c>
      <c r="I5153" t="s">
        <v>53</v>
      </c>
      <c r="J5153" t="s">
        <v>53</v>
      </c>
      <c r="K5153" t="s">
        <v>53</v>
      </c>
      <c r="L5153" t="s">
        <v>53</v>
      </c>
      <c r="M5153" t="s">
        <v>53</v>
      </c>
      <c r="N5153" t="s">
        <v>53</v>
      </c>
      <c r="O5153" t="s">
        <v>53</v>
      </c>
      <c r="P5153" t="s">
        <v>53</v>
      </c>
      <c r="Q5153" t="s">
        <v>53</v>
      </c>
    </row>
    <row r="5154" spans="1:17" x14ac:dyDescent="0.2">
      <c r="A5154" s="30" t="str">
        <f>IF(C5154&amp;G5154&amp;D5154&lt;&gt;'Funnel setup'!$K$3&amp;'Funnel setup'!$K$4&amp;'Funnel setup'!$K$5,".",IF(A5153=".",1,A5153+1))</f>
        <v>.</v>
      </c>
      <c r="B5154" s="431" t="str">
        <f t="shared" si="80"/>
        <v>Knee Replacement RevisionCCG of GP PracticeNHS CITY AND HACKNEY CCG (07T)EQ VAS</v>
      </c>
      <c r="C5154" t="s">
        <v>250</v>
      </c>
      <c r="D5154" t="s">
        <v>87</v>
      </c>
      <c r="E5154" t="s">
        <v>740</v>
      </c>
      <c r="F5154" t="s">
        <v>741</v>
      </c>
      <c r="G5154" t="s">
        <v>179</v>
      </c>
      <c r="H5154" t="s">
        <v>53</v>
      </c>
      <c r="I5154" t="s">
        <v>53</v>
      </c>
      <c r="J5154" t="s">
        <v>53</v>
      </c>
      <c r="K5154" t="s">
        <v>53</v>
      </c>
      <c r="L5154" t="s">
        <v>53</v>
      </c>
      <c r="M5154" t="s">
        <v>53</v>
      </c>
      <c r="N5154" t="s">
        <v>53</v>
      </c>
      <c r="O5154" t="s">
        <v>53</v>
      </c>
      <c r="P5154" t="s">
        <v>53</v>
      </c>
      <c r="Q5154" t="s">
        <v>53</v>
      </c>
    </row>
    <row r="5155" spans="1:17" x14ac:dyDescent="0.2">
      <c r="A5155" s="30" t="str">
        <f>IF(C5155&amp;G5155&amp;D5155&lt;&gt;'Funnel setup'!$K$3&amp;'Funnel setup'!$K$4&amp;'Funnel setup'!$K$5,".",IF(A5154=".",1,A5154+1))</f>
        <v>.</v>
      </c>
      <c r="B5155" s="431" t="str">
        <f t="shared" si="80"/>
        <v>Knee Replacement RevisionCCG of GP PracticeNHS COASTAL WEST SUSSEX CCG (09G)EQ VAS</v>
      </c>
      <c r="C5155" t="s">
        <v>250</v>
      </c>
      <c r="D5155" t="s">
        <v>87</v>
      </c>
      <c r="E5155" t="s">
        <v>743</v>
      </c>
      <c r="F5155" t="s">
        <v>744</v>
      </c>
      <c r="G5155" t="s">
        <v>179</v>
      </c>
      <c r="H5155">
        <v>33</v>
      </c>
      <c r="I5155">
        <v>66.364000000000004</v>
      </c>
      <c r="J5155">
        <v>63.908999999999999</v>
      </c>
      <c r="K5155">
        <v>-2.4550000000000001</v>
      </c>
      <c r="L5155">
        <v>13</v>
      </c>
      <c r="M5155">
        <v>5</v>
      </c>
      <c r="N5155">
        <v>15</v>
      </c>
      <c r="O5155">
        <v>62.91</v>
      </c>
      <c r="P5155">
        <v>-1.546101221</v>
      </c>
      <c r="Q5155">
        <v>16.47</v>
      </c>
    </row>
    <row r="5156" spans="1:17" x14ac:dyDescent="0.2">
      <c r="A5156" s="30" t="str">
        <f>IF(C5156&amp;G5156&amp;D5156&lt;&gt;'Funnel setup'!$K$3&amp;'Funnel setup'!$K$4&amp;'Funnel setup'!$K$5,".",IF(A5155=".",1,A5155+1))</f>
        <v>.</v>
      </c>
      <c r="B5156" s="431" t="str">
        <f t="shared" si="80"/>
        <v>Knee Replacement RevisionCCG of GP PracticeNHS CORBY CCG (03V)EQ VAS</v>
      </c>
      <c r="C5156" t="s">
        <v>250</v>
      </c>
      <c r="D5156" t="s">
        <v>87</v>
      </c>
      <c r="E5156" t="s">
        <v>746</v>
      </c>
      <c r="F5156" t="s">
        <v>747</v>
      </c>
      <c r="G5156" t="s">
        <v>179</v>
      </c>
      <c r="H5156" t="s">
        <v>53</v>
      </c>
      <c r="I5156" t="s">
        <v>53</v>
      </c>
      <c r="J5156" t="s">
        <v>53</v>
      </c>
      <c r="K5156" t="s">
        <v>53</v>
      </c>
      <c r="L5156" t="s">
        <v>53</v>
      </c>
      <c r="M5156" t="s">
        <v>53</v>
      </c>
      <c r="N5156" t="s">
        <v>53</v>
      </c>
      <c r="O5156" t="s">
        <v>53</v>
      </c>
      <c r="P5156" t="s">
        <v>53</v>
      </c>
      <c r="Q5156" t="s">
        <v>53</v>
      </c>
    </row>
    <row r="5157" spans="1:17" x14ac:dyDescent="0.2">
      <c r="A5157" s="30" t="str">
        <f>IF(C5157&amp;G5157&amp;D5157&lt;&gt;'Funnel setup'!$K$3&amp;'Funnel setup'!$K$4&amp;'Funnel setup'!$K$5,".",IF(A5156=".",1,A5156+1))</f>
        <v>.</v>
      </c>
      <c r="B5157" s="431" t="str">
        <f t="shared" si="80"/>
        <v>Knee Replacement RevisionCCG of GP PracticeNHS COVENTRY AND RUGBY CCG (05A)EQ VAS</v>
      </c>
      <c r="C5157" t="s">
        <v>250</v>
      </c>
      <c r="D5157" t="s">
        <v>87</v>
      </c>
      <c r="E5157" t="s">
        <v>749</v>
      </c>
      <c r="F5157" t="s">
        <v>750</v>
      </c>
      <c r="G5157" t="s">
        <v>179</v>
      </c>
      <c r="H5157">
        <v>15</v>
      </c>
      <c r="I5157">
        <v>62.133000000000003</v>
      </c>
      <c r="J5157">
        <v>60</v>
      </c>
      <c r="K5157">
        <v>-2.133</v>
      </c>
      <c r="L5157">
        <v>5</v>
      </c>
      <c r="M5157">
        <v>2</v>
      </c>
      <c r="N5157">
        <v>8</v>
      </c>
      <c r="O5157" t="s">
        <v>53</v>
      </c>
      <c r="P5157" t="s">
        <v>53</v>
      </c>
      <c r="Q5157" t="s">
        <v>53</v>
      </c>
    </row>
    <row r="5158" spans="1:17" x14ac:dyDescent="0.2">
      <c r="A5158" s="30" t="str">
        <f>IF(C5158&amp;G5158&amp;D5158&lt;&gt;'Funnel setup'!$K$3&amp;'Funnel setup'!$K$4&amp;'Funnel setup'!$K$5,".",IF(A5157=".",1,A5157+1))</f>
        <v>.</v>
      </c>
      <c r="B5158" s="431" t="str">
        <f t="shared" si="80"/>
        <v>Knee Replacement RevisionCCG of GP PracticeNHS CRAWLEY CCG (09H)EQ VAS</v>
      </c>
      <c r="C5158" t="s">
        <v>250</v>
      </c>
      <c r="D5158" t="s">
        <v>87</v>
      </c>
      <c r="E5158" t="s">
        <v>752</v>
      </c>
      <c r="F5158" t="s">
        <v>753</v>
      </c>
      <c r="G5158" t="s">
        <v>179</v>
      </c>
      <c r="H5158" t="s">
        <v>53</v>
      </c>
      <c r="I5158" t="s">
        <v>53</v>
      </c>
      <c r="J5158" t="s">
        <v>53</v>
      </c>
      <c r="K5158" t="s">
        <v>53</v>
      </c>
      <c r="L5158" t="s">
        <v>53</v>
      </c>
      <c r="M5158" t="s">
        <v>53</v>
      </c>
      <c r="N5158" t="s">
        <v>53</v>
      </c>
      <c r="O5158" t="s">
        <v>53</v>
      </c>
      <c r="P5158" t="s">
        <v>53</v>
      </c>
      <c r="Q5158" t="s">
        <v>53</v>
      </c>
    </row>
    <row r="5159" spans="1:17" x14ac:dyDescent="0.2">
      <c r="A5159" s="30" t="str">
        <f>IF(C5159&amp;G5159&amp;D5159&lt;&gt;'Funnel setup'!$K$3&amp;'Funnel setup'!$K$4&amp;'Funnel setup'!$K$5,".",IF(A5158=".",1,A5158+1))</f>
        <v>.</v>
      </c>
      <c r="B5159" s="431" t="str">
        <f t="shared" si="80"/>
        <v>Knee Replacement RevisionCCG of GP PracticeNHS CROYDON CCG (07V)EQ VAS</v>
      </c>
      <c r="C5159" t="s">
        <v>250</v>
      </c>
      <c r="D5159" t="s">
        <v>87</v>
      </c>
      <c r="E5159" t="s">
        <v>755</v>
      </c>
      <c r="F5159" t="s">
        <v>756</v>
      </c>
      <c r="G5159" t="s">
        <v>179</v>
      </c>
      <c r="H5159" t="s">
        <v>53</v>
      </c>
      <c r="I5159" t="s">
        <v>53</v>
      </c>
      <c r="J5159" t="s">
        <v>53</v>
      </c>
      <c r="K5159" t="s">
        <v>53</v>
      </c>
      <c r="L5159" t="s">
        <v>53</v>
      </c>
      <c r="M5159" t="s">
        <v>53</v>
      </c>
      <c r="N5159" t="s">
        <v>53</v>
      </c>
      <c r="O5159" t="s">
        <v>53</v>
      </c>
      <c r="P5159" t="s">
        <v>53</v>
      </c>
      <c r="Q5159" t="s">
        <v>53</v>
      </c>
    </row>
    <row r="5160" spans="1:17" x14ac:dyDescent="0.2">
      <c r="A5160" s="30" t="str">
        <f>IF(C5160&amp;G5160&amp;D5160&lt;&gt;'Funnel setup'!$K$3&amp;'Funnel setup'!$K$4&amp;'Funnel setup'!$K$5,".",IF(A5159=".",1,A5159+1))</f>
        <v>.</v>
      </c>
      <c r="B5160" s="431" t="str">
        <f t="shared" si="80"/>
        <v>Knee Replacement RevisionCCG of GP PracticeNHS CUMBRIA CCG (01H)EQ VAS</v>
      </c>
      <c r="C5160" t="s">
        <v>250</v>
      </c>
      <c r="D5160" t="s">
        <v>87</v>
      </c>
      <c r="E5160" t="s">
        <v>758</v>
      </c>
      <c r="F5160" t="s">
        <v>759</v>
      </c>
      <c r="G5160" t="s">
        <v>179</v>
      </c>
      <c r="H5160">
        <v>9</v>
      </c>
      <c r="I5160">
        <v>62.110999999999997</v>
      </c>
      <c r="J5160">
        <v>74.778000000000006</v>
      </c>
      <c r="K5160">
        <v>12.667</v>
      </c>
      <c r="L5160">
        <v>6</v>
      </c>
      <c r="M5160">
        <v>1</v>
      </c>
      <c r="N5160">
        <v>2</v>
      </c>
      <c r="O5160" t="s">
        <v>53</v>
      </c>
      <c r="P5160" t="s">
        <v>53</v>
      </c>
      <c r="Q5160" t="s">
        <v>53</v>
      </c>
    </row>
    <row r="5161" spans="1:17" x14ac:dyDescent="0.2">
      <c r="A5161" s="30" t="str">
        <f>IF(C5161&amp;G5161&amp;D5161&lt;&gt;'Funnel setup'!$K$3&amp;'Funnel setup'!$K$4&amp;'Funnel setup'!$K$5,".",IF(A5160=".",1,A5160+1))</f>
        <v>.</v>
      </c>
      <c r="B5161" s="431" t="str">
        <f t="shared" si="80"/>
        <v>Knee Replacement RevisionCCG of GP PracticeNHS DARLINGTON CCG (00C)EQ VAS</v>
      </c>
      <c r="C5161" t="s">
        <v>250</v>
      </c>
      <c r="D5161" t="s">
        <v>87</v>
      </c>
      <c r="E5161" t="s">
        <v>761</v>
      </c>
      <c r="F5161" t="s">
        <v>762</v>
      </c>
      <c r="G5161" t="s">
        <v>179</v>
      </c>
      <c r="H5161" t="s">
        <v>53</v>
      </c>
      <c r="I5161" t="s">
        <v>53</v>
      </c>
      <c r="J5161" t="s">
        <v>53</v>
      </c>
      <c r="K5161" t="s">
        <v>53</v>
      </c>
      <c r="L5161" t="s">
        <v>53</v>
      </c>
      <c r="M5161" t="s">
        <v>53</v>
      </c>
      <c r="N5161" t="s">
        <v>53</v>
      </c>
      <c r="O5161" t="s">
        <v>53</v>
      </c>
      <c r="P5161" t="s">
        <v>53</v>
      </c>
      <c r="Q5161" t="s">
        <v>53</v>
      </c>
    </row>
    <row r="5162" spans="1:17" x14ac:dyDescent="0.2">
      <c r="A5162" s="30" t="str">
        <f>IF(C5162&amp;G5162&amp;D5162&lt;&gt;'Funnel setup'!$K$3&amp;'Funnel setup'!$K$4&amp;'Funnel setup'!$K$5,".",IF(A5161=".",1,A5161+1))</f>
        <v>.</v>
      </c>
      <c r="B5162" s="431" t="str">
        <f t="shared" si="80"/>
        <v>Knee Replacement RevisionCCG of GP PracticeNHS DARTFORD, GRAVESHAM AND SWANLEY CCG (09J)EQ VAS</v>
      </c>
      <c r="C5162" t="s">
        <v>250</v>
      </c>
      <c r="D5162" t="s">
        <v>87</v>
      </c>
      <c r="E5162" t="s">
        <v>764</v>
      </c>
      <c r="F5162" t="s">
        <v>765</v>
      </c>
      <c r="G5162" t="s">
        <v>179</v>
      </c>
      <c r="H5162" t="s">
        <v>53</v>
      </c>
      <c r="I5162" t="s">
        <v>53</v>
      </c>
      <c r="J5162" t="s">
        <v>53</v>
      </c>
      <c r="K5162" t="s">
        <v>53</v>
      </c>
      <c r="L5162" t="s">
        <v>53</v>
      </c>
      <c r="M5162" t="s">
        <v>53</v>
      </c>
      <c r="N5162" t="s">
        <v>53</v>
      </c>
      <c r="O5162" t="s">
        <v>53</v>
      </c>
      <c r="P5162" t="s">
        <v>53</v>
      </c>
      <c r="Q5162" t="s">
        <v>53</v>
      </c>
    </row>
    <row r="5163" spans="1:17" x14ac:dyDescent="0.2">
      <c r="A5163" s="30" t="str">
        <f>IF(C5163&amp;G5163&amp;D5163&lt;&gt;'Funnel setup'!$K$3&amp;'Funnel setup'!$K$4&amp;'Funnel setup'!$K$5,".",IF(A5162=".",1,A5162+1))</f>
        <v>.</v>
      </c>
      <c r="B5163" s="431" t="str">
        <f t="shared" si="80"/>
        <v>Knee Replacement RevisionCCG of GP PracticeNHS DONCASTER CCG (02X)EQ VAS</v>
      </c>
      <c r="C5163" t="s">
        <v>250</v>
      </c>
      <c r="D5163" t="s">
        <v>87</v>
      </c>
      <c r="E5163" t="s">
        <v>767</v>
      </c>
      <c r="F5163" t="s">
        <v>768</v>
      </c>
      <c r="G5163" t="s">
        <v>179</v>
      </c>
      <c r="H5163">
        <v>18</v>
      </c>
      <c r="I5163">
        <v>53.610999999999997</v>
      </c>
      <c r="J5163">
        <v>58.332999999999998</v>
      </c>
      <c r="K5163">
        <v>4.7220000000000004</v>
      </c>
      <c r="L5163">
        <v>9</v>
      </c>
      <c r="M5163">
        <v>3</v>
      </c>
      <c r="N5163">
        <v>6</v>
      </c>
      <c r="O5163" t="s">
        <v>53</v>
      </c>
      <c r="P5163" t="s">
        <v>53</v>
      </c>
      <c r="Q5163" t="s">
        <v>53</v>
      </c>
    </row>
    <row r="5164" spans="1:17" x14ac:dyDescent="0.2">
      <c r="A5164" s="30" t="str">
        <f>IF(C5164&amp;G5164&amp;D5164&lt;&gt;'Funnel setup'!$K$3&amp;'Funnel setup'!$K$4&amp;'Funnel setup'!$K$5,".",IF(A5163=".",1,A5163+1))</f>
        <v>.</v>
      </c>
      <c r="B5164" s="431" t="str">
        <f t="shared" si="80"/>
        <v>Knee Replacement RevisionCCG of GP PracticeNHS DORSET CCG (11J)EQ VAS</v>
      </c>
      <c r="C5164" t="s">
        <v>250</v>
      </c>
      <c r="D5164" t="s">
        <v>87</v>
      </c>
      <c r="E5164" t="s">
        <v>854</v>
      </c>
      <c r="F5164" t="s">
        <v>855</v>
      </c>
      <c r="G5164" t="s">
        <v>179</v>
      </c>
      <c r="H5164">
        <v>10</v>
      </c>
      <c r="I5164">
        <v>76.7</v>
      </c>
      <c r="J5164">
        <v>65.2</v>
      </c>
      <c r="K5164">
        <v>-11.5</v>
      </c>
      <c r="L5164">
        <v>4</v>
      </c>
      <c r="M5164">
        <v>1</v>
      </c>
      <c r="N5164">
        <v>5</v>
      </c>
      <c r="O5164" t="s">
        <v>53</v>
      </c>
      <c r="P5164" t="s">
        <v>53</v>
      </c>
      <c r="Q5164" t="s">
        <v>53</v>
      </c>
    </row>
    <row r="5165" spans="1:17" x14ac:dyDescent="0.2">
      <c r="A5165" s="30" t="str">
        <f>IF(C5165&amp;G5165&amp;D5165&lt;&gt;'Funnel setup'!$K$3&amp;'Funnel setup'!$K$4&amp;'Funnel setup'!$K$5,".",IF(A5164=".",1,A5164+1))</f>
        <v>.</v>
      </c>
      <c r="B5165" s="431" t="str">
        <f t="shared" si="80"/>
        <v>Knee Replacement RevisionCCG of GP PracticeNHS DUDLEY CCG (05C)EQ VAS</v>
      </c>
      <c r="C5165" t="s">
        <v>250</v>
      </c>
      <c r="D5165" t="s">
        <v>87</v>
      </c>
      <c r="E5165" t="s">
        <v>857</v>
      </c>
      <c r="F5165" t="s">
        <v>858</v>
      </c>
      <c r="G5165" t="s">
        <v>179</v>
      </c>
      <c r="H5165">
        <v>9</v>
      </c>
      <c r="I5165">
        <v>65.667000000000002</v>
      </c>
      <c r="J5165">
        <v>62.222000000000001</v>
      </c>
      <c r="K5165">
        <v>-3.444</v>
      </c>
      <c r="L5165">
        <v>5</v>
      </c>
      <c r="M5165">
        <v>0</v>
      </c>
      <c r="N5165">
        <v>4</v>
      </c>
      <c r="O5165" t="s">
        <v>53</v>
      </c>
      <c r="P5165" t="s">
        <v>53</v>
      </c>
      <c r="Q5165" t="s">
        <v>53</v>
      </c>
    </row>
    <row r="5166" spans="1:17" x14ac:dyDescent="0.2">
      <c r="A5166" s="30" t="str">
        <f>IF(C5166&amp;G5166&amp;D5166&lt;&gt;'Funnel setup'!$K$3&amp;'Funnel setup'!$K$4&amp;'Funnel setup'!$K$5,".",IF(A5165=".",1,A5165+1))</f>
        <v>.</v>
      </c>
      <c r="B5166" s="431" t="str">
        <f t="shared" si="80"/>
        <v>Knee Replacement RevisionCCG of GP PracticeNHS DURHAM DALES, EASINGTON AND SEDGEFIELD CCG (00D)EQ VAS</v>
      </c>
      <c r="C5166" t="s">
        <v>250</v>
      </c>
      <c r="D5166" t="s">
        <v>87</v>
      </c>
      <c r="E5166" t="s">
        <v>860</v>
      </c>
      <c r="F5166" t="s">
        <v>861</v>
      </c>
      <c r="G5166" t="s">
        <v>179</v>
      </c>
      <c r="H5166">
        <v>9</v>
      </c>
      <c r="I5166">
        <v>65.667000000000002</v>
      </c>
      <c r="J5166">
        <v>69.111000000000004</v>
      </c>
      <c r="K5166">
        <v>3.444</v>
      </c>
      <c r="L5166">
        <v>4</v>
      </c>
      <c r="M5166">
        <v>2</v>
      </c>
      <c r="N5166">
        <v>3</v>
      </c>
      <c r="O5166" t="s">
        <v>53</v>
      </c>
      <c r="P5166" t="s">
        <v>53</v>
      </c>
      <c r="Q5166" t="s">
        <v>53</v>
      </c>
    </row>
    <row r="5167" spans="1:17" x14ac:dyDescent="0.2">
      <c r="A5167" s="30" t="str">
        <f>IF(C5167&amp;G5167&amp;D5167&lt;&gt;'Funnel setup'!$K$3&amp;'Funnel setup'!$K$4&amp;'Funnel setup'!$K$5,".",IF(A5166=".",1,A5166+1))</f>
        <v>.</v>
      </c>
      <c r="B5167" s="431" t="str">
        <f t="shared" si="80"/>
        <v>Knee Replacement RevisionCCG of GP PracticeNHS EALING CCG (07W)EQ VAS</v>
      </c>
      <c r="C5167" t="s">
        <v>250</v>
      </c>
      <c r="D5167" t="s">
        <v>87</v>
      </c>
      <c r="E5167" t="s">
        <v>863</v>
      </c>
      <c r="F5167" t="s">
        <v>864</v>
      </c>
      <c r="G5167" t="s">
        <v>179</v>
      </c>
      <c r="H5167" t="s">
        <v>53</v>
      </c>
      <c r="I5167" t="s">
        <v>53</v>
      </c>
      <c r="J5167" t="s">
        <v>53</v>
      </c>
      <c r="K5167" t="s">
        <v>53</v>
      </c>
      <c r="L5167" t="s">
        <v>53</v>
      </c>
      <c r="M5167" t="s">
        <v>53</v>
      </c>
      <c r="N5167" t="s">
        <v>53</v>
      </c>
      <c r="O5167" t="s">
        <v>53</v>
      </c>
      <c r="P5167" t="s">
        <v>53</v>
      </c>
      <c r="Q5167" t="s">
        <v>53</v>
      </c>
    </row>
    <row r="5168" spans="1:17" x14ac:dyDescent="0.2">
      <c r="A5168" s="30" t="str">
        <f>IF(C5168&amp;G5168&amp;D5168&lt;&gt;'Funnel setup'!$K$3&amp;'Funnel setup'!$K$4&amp;'Funnel setup'!$K$5,".",IF(A5167=".",1,A5167+1))</f>
        <v>.</v>
      </c>
      <c r="B5168" s="431" t="str">
        <f t="shared" si="80"/>
        <v>Knee Replacement RevisionCCG of GP PracticeNHS EAST AND NORTH HERTFORDSHIRE CCG (06K)EQ VAS</v>
      </c>
      <c r="C5168" t="s">
        <v>250</v>
      </c>
      <c r="D5168" t="s">
        <v>87</v>
      </c>
      <c r="E5168" t="s">
        <v>866</v>
      </c>
      <c r="F5168" t="s">
        <v>867</v>
      </c>
      <c r="G5168" t="s">
        <v>179</v>
      </c>
      <c r="H5168">
        <v>12</v>
      </c>
      <c r="I5168">
        <v>60</v>
      </c>
      <c r="J5168">
        <v>62.75</v>
      </c>
      <c r="K5168">
        <v>2.75</v>
      </c>
      <c r="L5168">
        <v>4</v>
      </c>
      <c r="M5168">
        <v>5</v>
      </c>
      <c r="N5168">
        <v>3</v>
      </c>
      <c r="O5168" t="s">
        <v>53</v>
      </c>
      <c r="P5168" t="s">
        <v>53</v>
      </c>
      <c r="Q5168" t="s">
        <v>53</v>
      </c>
    </row>
    <row r="5169" spans="1:17" x14ac:dyDescent="0.2">
      <c r="A5169" s="30" t="str">
        <f>IF(C5169&amp;G5169&amp;D5169&lt;&gt;'Funnel setup'!$K$3&amp;'Funnel setup'!$K$4&amp;'Funnel setup'!$K$5,".",IF(A5168=".",1,A5168+1))</f>
        <v>.</v>
      </c>
      <c r="B5169" s="431" t="str">
        <f t="shared" si="80"/>
        <v>Knee Replacement RevisionCCG of GP PracticeNHS EAST LANCASHIRE CCG (01A)EQ VAS</v>
      </c>
      <c r="C5169" t="s">
        <v>250</v>
      </c>
      <c r="D5169" t="s">
        <v>87</v>
      </c>
      <c r="E5169" t="s">
        <v>869</v>
      </c>
      <c r="F5169" t="s">
        <v>870</v>
      </c>
      <c r="G5169" t="s">
        <v>179</v>
      </c>
      <c r="H5169">
        <v>8</v>
      </c>
      <c r="I5169">
        <v>63.75</v>
      </c>
      <c r="J5169">
        <v>63.625</v>
      </c>
      <c r="K5169">
        <v>-0.125</v>
      </c>
      <c r="L5169">
        <v>4</v>
      </c>
      <c r="M5169">
        <v>0</v>
      </c>
      <c r="N5169">
        <v>4</v>
      </c>
      <c r="O5169" t="s">
        <v>53</v>
      </c>
      <c r="P5169" t="s">
        <v>53</v>
      </c>
      <c r="Q5169" t="s">
        <v>53</v>
      </c>
    </row>
    <row r="5170" spans="1:17" x14ac:dyDescent="0.2">
      <c r="A5170" s="30" t="str">
        <f>IF(C5170&amp;G5170&amp;D5170&lt;&gt;'Funnel setup'!$K$3&amp;'Funnel setup'!$K$4&amp;'Funnel setup'!$K$5,".",IF(A5169=".",1,A5169+1))</f>
        <v>.</v>
      </c>
      <c r="B5170" s="431" t="str">
        <f t="shared" si="80"/>
        <v>Knee Replacement RevisionCCG of GP PracticeNHS EAST LEICESTERSHIRE AND RUTLAND CCG (03W)EQ VAS</v>
      </c>
      <c r="C5170" t="s">
        <v>250</v>
      </c>
      <c r="D5170" t="s">
        <v>87</v>
      </c>
      <c r="E5170" t="s">
        <v>872</v>
      </c>
      <c r="F5170" t="s">
        <v>873</v>
      </c>
      <c r="G5170" t="s">
        <v>179</v>
      </c>
      <c r="H5170">
        <v>14</v>
      </c>
      <c r="I5170">
        <v>65</v>
      </c>
      <c r="J5170">
        <v>75.5</v>
      </c>
      <c r="K5170">
        <v>10.5</v>
      </c>
      <c r="L5170">
        <v>7</v>
      </c>
      <c r="M5170">
        <v>3</v>
      </c>
      <c r="N5170">
        <v>4</v>
      </c>
      <c r="O5170" t="s">
        <v>53</v>
      </c>
      <c r="P5170" t="s">
        <v>53</v>
      </c>
      <c r="Q5170" t="s">
        <v>53</v>
      </c>
    </row>
    <row r="5171" spans="1:17" x14ac:dyDescent="0.2">
      <c r="A5171" s="30" t="str">
        <f>IF(C5171&amp;G5171&amp;D5171&lt;&gt;'Funnel setup'!$K$3&amp;'Funnel setup'!$K$4&amp;'Funnel setup'!$K$5,".",IF(A5170=".",1,A5170+1))</f>
        <v>.</v>
      </c>
      <c r="B5171" s="431" t="str">
        <f t="shared" si="80"/>
        <v>Knee Replacement RevisionCCG of GP PracticeNHS EAST RIDING OF YORKSHIRE CCG (02Y)EQ VAS</v>
      </c>
      <c r="C5171" t="s">
        <v>250</v>
      </c>
      <c r="D5171" t="s">
        <v>87</v>
      </c>
      <c r="E5171" t="s">
        <v>875</v>
      </c>
      <c r="F5171" t="s">
        <v>876</v>
      </c>
      <c r="G5171" t="s">
        <v>179</v>
      </c>
      <c r="H5171">
        <v>17</v>
      </c>
      <c r="I5171">
        <v>68.293999999999997</v>
      </c>
      <c r="J5171">
        <v>64.293999999999997</v>
      </c>
      <c r="K5171">
        <v>-4</v>
      </c>
      <c r="L5171">
        <v>5</v>
      </c>
      <c r="M5171">
        <v>3</v>
      </c>
      <c r="N5171">
        <v>9</v>
      </c>
      <c r="O5171" t="s">
        <v>53</v>
      </c>
      <c r="P5171" t="s">
        <v>53</v>
      </c>
      <c r="Q5171" t="s">
        <v>53</v>
      </c>
    </row>
    <row r="5172" spans="1:17" x14ac:dyDescent="0.2">
      <c r="A5172" s="30" t="str">
        <f>IF(C5172&amp;G5172&amp;D5172&lt;&gt;'Funnel setup'!$K$3&amp;'Funnel setup'!$K$4&amp;'Funnel setup'!$K$5,".",IF(A5171=".",1,A5171+1))</f>
        <v>.</v>
      </c>
      <c r="B5172" s="431" t="str">
        <f t="shared" si="80"/>
        <v>Knee Replacement RevisionCCG of GP PracticeNHS EAST STAFFORDSHIRE CCG (05D)EQ VAS</v>
      </c>
      <c r="C5172" t="s">
        <v>250</v>
      </c>
      <c r="D5172" t="s">
        <v>87</v>
      </c>
      <c r="E5172" t="s">
        <v>878</v>
      </c>
      <c r="F5172" t="s">
        <v>879</v>
      </c>
      <c r="G5172" t="s">
        <v>179</v>
      </c>
      <c r="H5172" t="s">
        <v>53</v>
      </c>
      <c r="I5172" t="s">
        <v>53</v>
      </c>
      <c r="J5172" t="s">
        <v>53</v>
      </c>
      <c r="K5172" t="s">
        <v>53</v>
      </c>
      <c r="L5172" t="s">
        <v>53</v>
      </c>
      <c r="M5172" t="s">
        <v>53</v>
      </c>
      <c r="N5172" t="s">
        <v>53</v>
      </c>
      <c r="O5172" t="s">
        <v>53</v>
      </c>
      <c r="P5172" t="s">
        <v>53</v>
      </c>
      <c r="Q5172" t="s">
        <v>53</v>
      </c>
    </row>
    <row r="5173" spans="1:17" x14ac:dyDescent="0.2">
      <c r="A5173" s="30" t="str">
        <f>IF(C5173&amp;G5173&amp;D5173&lt;&gt;'Funnel setup'!$K$3&amp;'Funnel setup'!$K$4&amp;'Funnel setup'!$K$5,".",IF(A5172=".",1,A5172+1))</f>
        <v>.</v>
      </c>
      <c r="B5173" s="431" t="str">
        <f t="shared" si="80"/>
        <v>Knee Replacement RevisionCCG of GP PracticeNHS EAST SURREY CCG (09L)EQ VAS</v>
      </c>
      <c r="C5173" t="s">
        <v>250</v>
      </c>
      <c r="D5173" t="s">
        <v>87</v>
      </c>
      <c r="E5173" t="s">
        <v>881</v>
      </c>
      <c r="F5173" t="s">
        <v>882</v>
      </c>
      <c r="G5173" t="s">
        <v>179</v>
      </c>
      <c r="H5173" t="s">
        <v>53</v>
      </c>
      <c r="I5173" t="s">
        <v>53</v>
      </c>
      <c r="J5173" t="s">
        <v>53</v>
      </c>
      <c r="K5173" t="s">
        <v>53</v>
      </c>
      <c r="L5173" t="s">
        <v>53</v>
      </c>
      <c r="M5173" t="s">
        <v>53</v>
      </c>
      <c r="N5173" t="s">
        <v>53</v>
      </c>
      <c r="O5173" t="s">
        <v>53</v>
      </c>
      <c r="P5173" t="s">
        <v>53</v>
      </c>
      <c r="Q5173" t="s">
        <v>53</v>
      </c>
    </row>
    <row r="5174" spans="1:17" x14ac:dyDescent="0.2">
      <c r="A5174" s="30" t="str">
        <f>IF(C5174&amp;G5174&amp;D5174&lt;&gt;'Funnel setup'!$K$3&amp;'Funnel setup'!$K$4&amp;'Funnel setup'!$K$5,".",IF(A5173=".",1,A5173+1))</f>
        <v>.</v>
      </c>
      <c r="B5174" s="431" t="str">
        <f t="shared" si="80"/>
        <v>Knee Replacement RevisionCCG of GP PracticeNHS EASTBOURNE, HAILSHAM AND SEAFORD CCG (09F)EQ VAS</v>
      </c>
      <c r="C5174" t="s">
        <v>250</v>
      </c>
      <c r="D5174" t="s">
        <v>87</v>
      </c>
      <c r="E5174" t="s">
        <v>884</v>
      </c>
      <c r="F5174" t="s">
        <v>885</v>
      </c>
      <c r="G5174" t="s">
        <v>179</v>
      </c>
      <c r="H5174">
        <v>12</v>
      </c>
      <c r="I5174">
        <v>71.75</v>
      </c>
      <c r="J5174">
        <v>67.082999999999998</v>
      </c>
      <c r="K5174">
        <v>-4.6669999999999998</v>
      </c>
      <c r="L5174">
        <v>3</v>
      </c>
      <c r="M5174">
        <v>3</v>
      </c>
      <c r="N5174">
        <v>6</v>
      </c>
      <c r="O5174" t="s">
        <v>53</v>
      </c>
      <c r="P5174" t="s">
        <v>53</v>
      </c>
      <c r="Q5174" t="s">
        <v>53</v>
      </c>
    </row>
    <row r="5175" spans="1:17" x14ac:dyDescent="0.2">
      <c r="A5175" s="30" t="str">
        <f>IF(C5175&amp;G5175&amp;D5175&lt;&gt;'Funnel setup'!$K$3&amp;'Funnel setup'!$K$4&amp;'Funnel setup'!$K$5,".",IF(A5174=".",1,A5174+1))</f>
        <v>.</v>
      </c>
      <c r="B5175" s="431" t="str">
        <f t="shared" si="80"/>
        <v>Knee Replacement RevisionCCG of GP PracticeNHS EASTERN CHESHIRE CCG (01C)EQ VAS</v>
      </c>
      <c r="C5175" t="s">
        <v>250</v>
      </c>
      <c r="D5175" t="s">
        <v>87</v>
      </c>
      <c r="E5175" t="s">
        <v>887</v>
      </c>
      <c r="F5175" t="s">
        <v>888</v>
      </c>
      <c r="G5175" t="s">
        <v>179</v>
      </c>
      <c r="H5175" t="s">
        <v>53</v>
      </c>
      <c r="I5175" t="s">
        <v>53</v>
      </c>
      <c r="J5175" t="s">
        <v>53</v>
      </c>
      <c r="K5175" t="s">
        <v>53</v>
      </c>
      <c r="L5175" t="s">
        <v>53</v>
      </c>
      <c r="M5175" t="s">
        <v>53</v>
      </c>
      <c r="N5175" t="s">
        <v>53</v>
      </c>
      <c r="O5175" t="s">
        <v>53</v>
      </c>
      <c r="P5175" t="s">
        <v>53</v>
      </c>
      <c r="Q5175" t="s">
        <v>53</v>
      </c>
    </row>
    <row r="5176" spans="1:17" x14ac:dyDescent="0.2">
      <c r="A5176" s="30" t="str">
        <f>IF(C5176&amp;G5176&amp;D5176&lt;&gt;'Funnel setup'!$K$3&amp;'Funnel setup'!$K$4&amp;'Funnel setup'!$K$5,".",IF(A5175=".",1,A5175+1))</f>
        <v>.</v>
      </c>
      <c r="B5176" s="431" t="str">
        <f t="shared" si="80"/>
        <v>Knee Replacement RevisionCCG of GP PracticeNHS ENFIELD CCG (07X)EQ VAS</v>
      </c>
      <c r="C5176" t="s">
        <v>250</v>
      </c>
      <c r="D5176" t="s">
        <v>87</v>
      </c>
      <c r="E5176" t="s">
        <v>890</v>
      </c>
      <c r="F5176" t="s">
        <v>891</v>
      </c>
      <c r="G5176" t="s">
        <v>179</v>
      </c>
      <c r="H5176" t="s">
        <v>53</v>
      </c>
      <c r="I5176" t="s">
        <v>53</v>
      </c>
      <c r="J5176" t="s">
        <v>53</v>
      </c>
      <c r="K5176" t="s">
        <v>53</v>
      </c>
      <c r="L5176" t="s">
        <v>53</v>
      </c>
      <c r="M5176" t="s">
        <v>53</v>
      </c>
      <c r="N5176" t="s">
        <v>53</v>
      </c>
      <c r="O5176" t="s">
        <v>53</v>
      </c>
      <c r="P5176" t="s">
        <v>53</v>
      </c>
      <c r="Q5176" t="s">
        <v>53</v>
      </c>
    </row>
    <row r="5177" spans="1:17" x14ac:dyDescent="0.2">
      <c r="A5177" s="30" t="str">
        <f>IF(C5177&amp;G5177&amp;D5177&lt;&gt;'Funnel setup'!$K$3&amp;'Funnel setup'!$K$4&amp;'Funnel setup'!$K$5,".",IF(A5176=".",1,A5176+1))</f>
        <v>.</v>
      </c>
      <c r="B5177" s="431" t="str">
        <f t="shared" si="80"/>
        <v>Knee Replacement RevisionCCG of GP PracticeNHS EREWASH CCG (03X)EQ VAS</v>
      </c>
      <c r="C5177" t="s">
        <v>250</v>
      </c>
      <c r="D5177" t="s">
        <v>87</v>
      </c>
      <c r="E5177" t="s">
        <v>893</v>
      </c>
      <c r="F5177" t="s">
        <v>894</v>
      </c>
      <c r="G5177" t="s">
        <v>179</v>
      </c>
      <c r="H5177" t="s">
        <v>53</v>
      </c>
      <c r="I5177" t="s">
        <v>53</v>
      </c>
      <c r="J5177" t="s">
        <v>53</v>
      </c>
      <c r="K5177" t="s">
        <v>53</v>
      </c>
      <c r="L5177" t="s">
        <v>53</v>
      </c>
      <c r="M5177" t="s">
        <v>53</v>
      </c>
      <c r="N5177" t="s">
        <v>53</v>
      </c>
      <c r="O5177" t="s">
        <v>53</v>
      </c>
      <c r="P5177" t="s">
        <v>53</v>
      </c>
      <c r="Q5177" t="s">
        <v>53</v>
      </c>
    </row>
    <row r="5178" spans="1:17" x14ac:dyDescent="0.2">
      <c r="A5178" s="30" t="str">
        <f>IF(C5178&amp;G5178&amp;D5178&lt;&gt;'Funnel setup'!$K$3&amp;'Funnel setup'!$K$4&amp;'Funnel setup'!$K$5,".",IF(A5177=".",1,A5177+1))</f>
        <v>.</v>
      </c>
      <c r="B5178" s="431" t="str">
        <f t="shared" si="80"/>
        <v>Knee Replacement RevisionCCG of GP PracticeNHS FAREHAM AND GOSPORT CCG (10K)EQ VAS</v>
      </c>
      <c r="C5178" t="s">
        <v>250</v>
      </c>
      <c r="D5178" t="s">
        <v>87</v>
      </c>
      <c r="E5178" t="s">
        <v>896</v>
      </c>
      <c r="F5178" t="s">
        <v>897</v>
      </c>
      <c r="G5178" t="s">
        <v>179</v>
      </c>
      <c r="H5178" t="s">
        <v>53</v>
      </c>
      <c r="I5178" t="s">
        <v>53</v>
      </c>
      <c r="J5178" t="s">
        <v>53</v>
      </c>
      <c r="K5178" t="s">
        <v>53</v>
      </c>
      <c r="L5178" t="s">
        <v>53</v>
      </c>
      <c r="M5178" t="s">
        <v>53</v>
      </c>
      <c r="N5178" t="s">
        <v>53</v>
      </c>
      <c r="O5178" t="s">
        <v>53</v>
      </c>
      <c r="P5178" t="s">
        <v>53</v>
      </c>
      <c r="Q5178" t="s">
        <v>53</v>
      </c>
    </row>
    <row r="5179" spans="1:17" x14ac:dyDescent="0.2">
      <c r="A5179" s="30" t="str">
        <f>IF(C5179&amp;G5179&amp;D5179&lt;&gt;'Funnel setup'!$K$3&amp;'Funnel setup'!$K$4&amp;'Funnel setup'!$K$5,".",IF(A5178=".",1,A5178+1))</f>
        <v>.</v>
      </c>
      <c r="B5179" s="431" t="str">
        <f t="shared" si="80"/>
        <v>Knee Replacement RevisionCCG of GP PracticeNHS FYLDE &amp; WYRE CCG (02M)EQ VAS</v>
      </c>
      <c r="C5179" t="s">
        <v>250</v>
      </c>
      <c r="D5179" t="s">
        <v>87</v>
      </c>
      <c r="E5179" t="s">
        <v>899</v>
      </c>
      <c r="F5179" t="s">
        <v>900</v>
      </c>
      <c r="G5179" t="s">
        <v>179</v>
      </c>
      <c r="H5179" t="s">
        <v>53</v>
      </c>
      <c r="I5179" t="s">
        <v>53</v>
      </c>
      <c r="J5179" t="s">
        <v>53</v>
      </c>
      <c r="K5179" t="s">
        <v>53</v>
      </c>
      <c r="L5179" t="s">
        <v>53</v>
      </c>
      <c r="M5179" t="s">
        <v>53</v>
      </c>
      <c r="N5179" t="s">
        <v>53</v>
      </c>
      <c r="O5179" t="s">
        <v>53</v>
      </c>
      <c r="P5179" t="s">
        <v>53</v>
      </c>
      <c r="Q5179" t="s">
        <v>53</v>
      </c>
    </row>
    <row r="5180" spans="1:17" x14ac:dyDescent="0.2">
      <c r="A5180" s="30" t="str">
        <f>IF(C5180&amp;G5180&amp;D5180&lt;&gt;'Funnel setup'!$K$3&amp;'Funnel setup'!$K$4&amp;'Funnel setup'!$K$5,".",IF(A5179=".",1,A5179+1))</f>
        <v>.</v>
      </c>
      <c r="B5180" s="431" t="str">
        <f t="shared" si="80"/>
        <v>Knee Replacement RevisionCCG of GP PracticeNHS GLOUCESTERSHIRE CCG (11M)EQ VAS</v>
      </c>
      <c r="C5180" t="s">
        <v>250</v>
      </c>
      <c r="D5180" t="s">
        <v>87</v>
      </c>
      <c r="E5180" t="s">
        <v>902</v>
      </c>
      <c r="F5180" t="s">
        <v>903</v>
      </c>
      <c r="G5180" t="s">
        <v>179</v>
      </c>
      <c r="H5180">
        <v>31</v>
      </c>
      <c r="I5180">
        <v>73.129000000000005</v>
      </c>
      <c r="J5180">
        <v>69.516000000000005</v>
      </c>
      <c r="K5180">
        <v>-3.613</v>
      </c>
      <c r="L5180">
        <v>13</v>
      </c>
      <c r="M5180">
        <v>6</v>
      </c>
      <c r="N5180">
        <v>12</v>
      </c>
      <c r="O5180">
        <v>63.948</v>
      </c>
      <c r="P5180">
        <v>-0.50831394200000002</v>
      </c>
      <c r="Q5180">
        <v>25.116</v>
      </c>
    </row>
    <row r="5181" spans="1:17" x14ac:dyDescent="0.2">
      <c r="A5181" s="30" t="str">
        <f>IF(C5181&amp;G5181&amp;D5181&lt;&gt;'Funnel setup'!$K$3&amp;'Funnel setup'!$K$4&amp;'Funnel setup'!$K$5,".",IF(A5180=".",1,A5180+1))</f>
        <v>.</v>
      </c>
      <c r="B5181" s="431" t="str">
        <f t="shared" si="80"/>
        <v>Knee Replacement RevisionCCG of GP PracticeNHS GREAT YARMOUTH AND WAVENEY CCG (06M)EQ VAS</v>
      </c>
      <c r="C5181" t="s">
        <v>250</v>
      </c>
      <c r="D5181" t="s">
        <v>87</v>
      </c>
      <c r="E5181" t="s">
        <v>905</v>
      </c>
      <c r="F5181" t="s">
        <v>906</v>
      </c>
      <c r="G5181" t="s">
        <v>179</v>
      </c>
      <c r="H5181">
        <v>7</v>
      </c>
      <c r="I5181">
        <v>81</v>
      </c>
      <c r="J5181">
        <v>79.286000000000001</v>
      </c>
      <c r="K5181">
        <v>-1.714</v>
      </c>
      <c r="L5181">
        <v>3</v>
      </c>
      <c r="M5181">
        <v>1</v>
      </c>
      <c r="N5181">
        <v>3</v>
      </c>
      <c r="O5181" t="s">
        <v>53</v>
      </c>
      <c r="P5181" t="s">
        <v>53</v>
      </c>
      <c r="Q5181" t="s">
        <v>53</v>
      </c>
    </row>
    <row r="5182" spans="1:17" x14ac:dyDescent="0.2">
      <c r="A5182" s="30" t="str">
        <f>IF(C5182&amp;G5182&amp;D5182&lt;&gt;'Funnel setup'!$K$3&amp;'Funnel setup'!$K$4&amp;'Funnel setup'!$K$5,".",IF(A5181=".",1,A5181+1))</f>
        <v>.</v>
      </c>
      <c r="B5182" s="431" t="str">
        <f t="shared" si="80"/>
        <v>Knee Replacement RevisionCCG of GP PracticeNHS GREATER HUDDERSFIELD CCG (03A)EQ VAS</v>
      </c>
      <c r="C5182" t="s">
        <v>250</v>
      </c>
      <c r="D5182" t="s">
        <v>87</v>
      </c>
      <c r="E5182" t="s">
        <v>908</v>
      </c>
      <c r="F5182" t="s">
        <v>909</v>
      </c>
      <c r="G5182" t="s">
        <v>179</v>
      </c>
      <c r="H5182">
        <v>7</v>
      </c>
      <c r="I5182">
        <v>77</v>
      </c>
      <c r="J5182">
        <v>81.570999999999998</v>
      </c>
      <c r="K5182">
        <v>4.5709999999999997</v>
      </c>
      <c r="L5182">
        <v>4</v>
      </c>
      <c r="M5182">
        <v>1</v>
      </c>
      <c r="N5182">
        <v>2</v>
      </c>
      <c r="O5182" t="s">
        <v>53</v>
      </c>
      <c r="P5182" t="s">
        <v>53</v>
      </c>
      <c r="Q5182" t="s">
        <v>53</v>
      </c>
    </row>
    <row r="5183" spans="1:17" x14ac:dyDescent="0.2">
      <c r="A5183" s="30" t="str">
        <f>IF(C5183&amp;G5183&amp;D5183&lt;&gt;'Funnel setup'!$K$3&amp;'Funnel setup'!$K$4&amp;'Funnel setup'!$K$5,".",IF(A5182=".",1,A5182+1))</f>
        <v>.</v>
      </c>
      <c r="B5183" s="431" t="str">
        <f t="shared" si="80"/>
        <v>Knee Replacement RevisionCCG of GP PracticeNHS GREATER PRESTON CCG (01E)EQ VAS</v>
      </c>
      <c r="C5183" t="s">
        <v>250</v>
      </c>
      <c r="D5183" t="s">
        <v>87</v>
      </c>
      <c r="E5183" t="s">
        <v>486</v>
      </c>
      <c r="F5183" t="s">
        <v>487</v>
      </c>
      <c r="G5183" t="s">
        <v>179</v>
      </c>
      <c r="H5183" t="s">
        <v>53</v>
      </c>
      <c r="I5183" t="s">
        <v>53</v>
      </c>
      <c r="J5183" t="s">
        <v>53</v>
      </c>
      <c r="K5183" t="s">
        <v>53</v>
      </c>
      <c r="L5183" t="s">
        <v>53</v>
      </c>
      <c r="M5183" t="s">
        <v>53</v>
      </c>
      <c r="N5183" t="s">
        <v>53</v>
      </c>
      <c r="O5183" t="s">
        <v>53</v>
      </c>
      <c r="P5183" t="s">
        <v>53</v>
      </c>
      <c r="Q5183" t="s">
        <v>53</v>
      </c>
    </row>
    <row r="5184" spans="1:17" x14ac:dyDescent="0.2">
      <c r="A5184" s="30" t="str">
        <f>IF(C5184&amp;G5184&amp;D5184&lt;&gt;'Funnel setup'!$K$3&amp;'Funnel setup'!$K$4&amp;'Funnel setup'!$K$5,".",IF(A5183=".",1,A5183+1))</f>
        <v>.</v>
      </c>
      <c r="B5184" s="431" t="str">
        <f t="shared" si="80"/>
        <v>Knee Replacement RevisionCCG of GP PracticeNHS GREENWICH CCG (08A)EQ VAS</v>
      </c>
      <c r="C5184" t="s">
        <v>250</v>
      </c>
      <c r="D5184" t="s">
        <v>87</v>
      </c>
      <c r="E5184" t="s">
        <v>489</v>
      </c>
      <c r="F5184" t="s">
        <v>490</v>
      </c>
      <c r="G5184" t="s">
        <v>179</v>
      </c>
      <c r="H5184" t="s">
        <v>53</v>
      </c>
      <c r="I5184" t="s">
        <v>53</v>
      </c>
      <c r="J5184" t="s">
        <v>53</v>
      </c>
      <c r="K5184" t="s">
        <v>53</v>
      </c>
      <c r="L5184" t="s">
        <v>53</v>
      </c>
      <c r="M5184" t="s">
        <v>53</v>
      </c>
      <c r="N5184" t="s">
        <v>53</v>
      </c>
      <c r="O5184" t="s">
        <v>53</v>
      </c>
      <c r="P5184" t="s">
        <v>53</v>
      </c>
      <c r="Q5184" t="s">
        <v>53</v>
      </c>
    </row>
    <row r="5185" spans="1:17" x14ac:dyDescent="0.2">
      <c r="A5185" s="30" t="str">
        <f>IF(C5185&amp;G5185&amp;D5185&lt;&gt;'Funnel setup'!$K$3&amp;'Funnel setup'!$K$4&amp;'Funnel setup'!$K$5,".",IF(A5184=".",1,A5184+1))</f>
        <v>.</v>
      </c>
      <c r="B5185" s="431" t="str">
        <f t="shared" si="80"/>
        <v>Knee Replacement RevisionCCG of GP PracticeNHS GUILDFORD AND WAVERLEY CCG (09N)EQ VAS</v>
      </c>
      <c r="C5185" t="s">
        <v>250</v>
      </c>
      <c r="D5185" t="s">
        <v>87</v>
      </c>
      <c r="E5185" t="s">
        <v>911</v>
      </c>
      <c r="F5185" t="s">
        <v>912</v>
      </c>
      <c r="G5185" t="s">
        <v>179</v>
      </c>
      <c r="H5185" t="s">
        <v>53</v>
      </c>
      <c r="I5185" t="s">
        <v>53</v>
      </c>
      <c r="J5185" t="s">
        <v>53</v>
      </c>
      <c r="K5185" t="s">
        <v>53</v>
      </c>
      <c r="L5185" t="s">
        <v>53</v>
      </c>
      <c r="M5185" t="s">
        <v>53</v>
      </c>
      <c r="N5185" t="s">
        <v>53</v>
      </c>
      <c r="O5185" t="s">
        <v>53</v>
      </c>
      <c r="P5185" t="s">
        <v>53</v>
      </c>
      <c r="Q5185" t="s">
        <v>53</v>
      </c>
    </row>
    <row r="5186" spans="1:17" x14ac:dyDescent="0.2">
      <c r="A5186" s="30" t="str">
        <f>IF(C5186&amp;G5186&amp;D5186&lt;&gt;'Funnel setup'!$K$3&amp;'Funnel setup'!$K$4&amp;'Funnel setup'!$K$5,".",IF(A5185=".",1,A5185+1))</f>
        <v>.</v>
      </c>
      <c r="B5186" s="431" t="str">
        <f t="shared" si="80"/>
        <v>Knee Replacement RevisionCCG of GP PracticeNHS HALTON CCG (01F)EQ VAS</v>
      </c>
      <c r="C5186" t="s">
        <v>250</v>
      </c>
      <c r="D5186" t="s">
        <v>87</v>
      </c>
      <c r="E5186" t="s">
        <v>914</v>
      </c>
      <c r="F5186" t="s">
        <v>915</v>
      </c>
      <c r="G5186" t="s">
        <v>179</v>
      </c>
      <c r="H5186">
        <v>8</v>
      </c>
      <c r="I5186">
        <v>66.75</v>
      </c>
      <c r="J5186">
        <v>70.5</v>
      </c>
      <c r="K5186">
        <v>3.75</v>
      </c>
      <c r="L5186">
        <v>4</v>
      </c>
      <c r="M5186">
        <v>1</v>
      </c>
      <c r="N5186">
        <v>3</v>
      </c>
      <c r="O5186" t="s">
        <v>53</v>
      </c>
      <c r="P5186" t="s">
        <v>53</v>
      </c>
      <c r="Q5186" t="s">
        <v>53</v>
      </c>
    </row>
    <row r="5187" spans="1:17" x14ac:dyDescent="0.2">
      <c r="A5187" s="30" t="str">
        <f>IF(C5187&amp;G5187&amp;D5187&lt;&gt;'Funnel setup'!$K$3&amp;'Funnel setup'!$K$4&amp;'Funnel setup'!$K$5,".",IF(A5186=".",1,A5186+1))</f>
        <v>.</v>
      </c>
      <c r="B5187" s="431" t="str">
        <f t="shared" ref="B5187:B5250" si="81">C5187&amp;D5187&amp;F5187&amp;G5187</f>
        <v>Knee Replacement RevisionCCG of GP PracticeNHS HAMBLETON, RICHMONDSHIRE AND WHITBY CCG (03D)EQ VAS</v>
      </c>
      <c r="C5187" t="s">
        <v>250</v>
      </c>
      <c r="D5187" t="s">
        <v>87</v>
      </c>
      <c r="E5187" t="s">
        <v>917</v>
      </c>
      <c r="F5187" t="s">
        <v>918</v>
      </c>
      <c r="G5187" t="s">
        <v>179</v>
      </c>
      <c r="H5187">
        <v>10</v>
      </c>
      <c r="I5187">
        <v>65.099999999999994</v>
      </c>
      <c r="J5187">
        <v>70.2</v>
      </c>
      <c r="K5187">
        <v>5.0999999999999996</v>
      </c>
      <c r="L5187">
        <v>6</v>
      </c>
      <c r="M5187">
        <v>1</v>
      </c>
      <c r="N5187">
        <v>3</v>
      </c>
      <c r="O5187" t="s">
        <v>53</v>
      </c>
      <c r="P5187" t="s">
        <v>53</v>
      </c>
      <c r="Q5187" t="s">
        <v>53</v>
      </c>
    </row>
    <row r="5188" spans="1:17" x14ac:dyDescent="0.2">
      <c r="A5188" s="30" t="str">
        <f>IF(C5188&amp;G5188&amp;D5188&lt;&gt;'Funnel setup'!$K$3&amp;'Funnel setup'!$K$4&amp;'Funnel setup'!$K$5,".",IF(A5187=".",1,A5187+1))</f>
        <v>.</v>
      </c>
      <c r="B5188" s="431" t="str">
        <f t="shared" si="81"/>
        <v>Knee Replacement RevisionCCG of GP PracticeNHS HARDWICK CCG (03Y)EQ VAS</v>
      </c>
      <c r="C5188" t="s">
        <v>250</v>
      </c>
      <c r="D5188" t="s">
        <v>87</v>
      </c>
      <c r="E5188" t="s">
        <v>923</v>
      </c>
      <c r="F5188" t="s">
        <v>924</v>
      </c>
      <c r="G5188" t="s">
        <v>179</v>
      </c>
      <c r="H5188">
        <v>6</v>
      </c>
      <c r="I5188">
        <v>71</v>
      </c>
      <c r="J5188">
        <v>64</v>
      </c>
      <c r="K5188">
        <v>-7</v>
      </c>
      <c r="L5188">
        <v>3</v>
      </c>
      <c r="M5188">
        <v>1</v>
      </c>
      <c r="N5188">
        <v>2</v>
      </c>
      <c r="O5188" t="s">
        <v>53</v>
      </c>
      <c r="P5188" t="s">
        <v>53</v>
      </c>
      <c r="Q5188" t="s">
        <v>53</v>
      </c>
    </row>
    <row r="5189" spans="1:17" x14ac:dyDescent="0.2">
      <c r="A5189" s="30" t="str">
        <f>IF(C5189&amp;G5189&amp;D5189&lt;&gt;'Funnel setup'!$K$3&amp;'Funnel setup'!$K$4&amp;'Funnel setup'!$K$5,".",IF(A5188=".",1,A5188+1))</f>
        <v>.</v>
      </c>
      <c r="B5189" s="431" t="str">
        <f t="shared" si="81"/>
        <v>Knee Replacement RevisionCCG of GP PracticeNHS HARROGATE AND RURAL DISTRICT CCG (03E)EQ VAS</v>
      </c>
      <c r="C5189" t="s">
        <v>250</v>
      </c>
      <c r="D5189" t="s">
        <v>87</v>
      </c>
      <c r="E5189" t="s">
        <v>929</v>
      </c>
      <c r="F5189" t="s">
        <v>930</v>
      </c>
      <c r="G5189" t="s">
        <v>179</v>
      </c>
      <c r="H5189">
        <v>8</v>
      </c>
      <c r="I5189">
        <v>66</v>
      </c>
      <c r="J5189">
        <v>74.375</v>
      </c>
      <c r="K5189">
        <v>8.375</v>
      </c>
      <c r="L5189">
        <v>3</v>
      </c>
      <c r="M5189">
        <v>4</v>
      </c>
      <c r="N5189">
        <v>1</v>
      </c>
      <c r="O5189" t="s">
        <v>53</v>
      </c>
      <c r="P5189" t="s">
        <v>53</v>
      </c>
      <c r="Q5189" t="s">
        <v>53</v>
      </c>
    </row>
    <row r="5190" spans="1:17" x14ac:dyDescent="0.2">
      <c r="A5190" s="30" t="str">
        <f>IF(C5190&amp;G5190&amp;D5190&lt;&gt;'Funnel setup'!$K$3&amp;'Funnel setup'!$K$4&amp;'Funnel setup'!$K$5,".",IF(A5189=".",1,A5189+1))</f>
        <v>.</v>
      </c>
      <c r="B5190" s="431" t="str">
        <f t="shared" si="81"/>
        <v>Knee Replacement RevisionCCG of GP PracticeNHS HARTLEPOOL AND STOCKTON-ON-TEES CCG (00K)EQ VAS</v>
      </c>
      <c r="C5190" t="s">
        <v>250</v>
      </c>
      <c r="D5190" t="s">
        <v>87</v>
      </c>
      <c r="E5190" t="s">
        <v>495</v>
      </c>
      <c r="F5190" t="s">
        <v>496</v>
      </c>
      <c r="G5190" t="s">
        <v>179</v>
      </c>
      <c r="H5190">
        <v>16</v>
      </c>
      <c r="I5190">
        <v>62.5</v>
      </c>
      <c r="J5190">
        <v>61.063000000000002</v>
      </c>
      <c r="K5190">
        <v>-1.4379999999999999</v>
      </c>
      <c r="L5190">
        <v>8</v>
      </c>
      <c r="M5190">
        <v>2</v>
      </c>
      <c r="N5190">
        <v>6</v>
      </c>
      <c r="O5190" t="s">
        <v>53</v>
      </c>
      <c r="P5190" t="s">
        <v>53</v>
      </c>
      <c r="Q5190" t="s">
        <v>53</v>
      </c>
    </row>
    <row r="5191" spans="1:17" x14ac:dyDescent="0.2">
      <c r="A5191" s="30" t="str">
        <f>IF(C5191&amp;G5191&amp;D5191&lt;&gt;'Funnel setup'!$K$3&amp;'Funnel setup'!$K$4&amp;'Funnel setup'!$K$5,".",IF(A5190=".",1,A5190+1))</f>
        <v>.</v>
      </c>
      <c r="B5191" s="431" t="str">
        <f t="shared" si="81"/>
        <v>Knee Replacement RevisionCCG of GP PracticeNHS HASTINGS AND ROTHER CCG (09P)EQ VAS</v>
      </c>
      <c r="C5191" t="s">
        <v>250</v>
      </c>
      <c r="D5191" t="s">
        <v>87</v>
      </c>
      <c r="E5191" t="s">
        <v>498</v>
      </c>
      <c r="F5191" t="s">
        <v>499</v>
      </c>
      <c r="G5191" t="s">
        <v>179</v>
      </c>
      <c r="H5191">
        <v>18</v>
      </c>
      <c r="I5191">
        <v>72.611000000000004</v>
      </c>
      <c r="J5191">
        <v>71.778000000000006</v>
      </c>
      <c r="K5191">
        <v>-0.83299999999999996</v>
      </c>
      <c r="L5191">
        <v>9</v>
      </c>
      <c r="M5191">
        <v>3</v>
      </c>
      <c r="N5191">
        <v>6</v>
      </c>
      <c r="O5191" t="s">
        <v>53</v>
      </c>
      <c r="P5191" t="s">
        <v>53</v>
      </c>
      <c r="Q5191" t="s">
        <v>53</v>
      </c>
    </row>
    <row r="5192" spans="1:17" x14ac:dyDescent="0.2">
      <c r="A5192" s="30" t="str">
        <f>IF(C5192&amp;G5192&amp;D5192&lt;&gt;'Funnel setup'!$K$3&amp;'Funnel setup'!$K$4&amp;'Funnel setup'!$K$5,".",IF(A5191=".",1,A5191+1))</f>
        <v>.</v>
      </c>
      <c r="B5192" s="431" t="str">
        <f t="shared" si="81"/>
        <v>Knee Replacement RevisionCCG of GP PracticeNHS HAVERING CCG (08F)EQ VAS</v>
      </c>
      <c r="C5192" t="s">
        <v>250</v>
      </c>
      <c r="D5192" t="s">
        <v>87</v>
      </c>
      <c r="E5192" t="s">
        <v>501</v>
      </c>
      <c r="F5192" t="s">
        <v>502</v>
      </c>
      <c r="G5192" t="s">
        <v>179</v>
      </c>
      <c r="H5192" t="s">
        <v>53</v>
      </c>
      <c r="I5192" t="s">
        <v>53</v>
      </c>
      <c r="J5192" t="s">
        <v>53</v>
      </c>
      <c r="K5192" t="s">
        <v>53</v>
      </c>
      <c r="L5192" t="s">
        <v>53</v>
      </c>
      <c r="M5192" t="s">
        <v>53</v>
      </c>
      <c r="N5192" t="s">
        <v>53</v>
      </c>
      <c r="O5192" t="s">
        <v>53</v>
      </c>
      <c r="P5192" t="s">
        <v>53</v>
      </c>
      <c r="Q5192" t="s">
        <v>53</v>
      </c>
    </row>
    <row r="5193" spans="1:17" x14ac:dyDescent="0.2">
      <c r="A5193" s="30" t="str">
        <f>IF(C5193&amp;G5193&amp;D5193&lt;&gt;'Funnel setup'!$K$3&amp;'Funnel setup'!$K$4&amp;'Funnel setup'!$K$5,".",IF(A5192=".",1,A5192+1))</f>
        <v>.</v>
      </c>
      <c r="B5193" s="431" t="str">
        <f t="shared" si="81"/>
        <v>Knee Replacement RevisionCCG of GP PracticeNHS HEREFORDSHIRE CCG (05F)EQ VAS</v>
      </c>
      <c r="C5193" t="s">
        <v>250</v>
      </c>
      <c r="D5193" t="s">
        <v>87</v>
      </c>
      <c r="E5193" t="s">
        <v>504</v>
      </c>
      <c r="F5193" t="s">
        <v>505</v>
      </c>
      <c r="G5193" t="s">
        <v>179</v>
      </c>
      <c r="H5193" t="s">
        <v>53</v>
      </c>
      <c r="I5193" t="s">
        <v>53</v>
      </c>
      <c r="J5193" t="s">
        <v>53</v>
      </c>
      <c r="K5193" t="s">
        <v>53</v>
      </c>
      <c r="L5193" t="s">
        <v>53</v>
      </c>
      <c r="M5193" t="s">
        <v>53</v>
      </c>
      <c r="N5193" t="s">
        <v>53</v>
      </c>
      <c r="O5193" t="s">
        <v>53</v>
      </c>
      <c r="P5193" t="s">
        <v>53</v>
      </c>
      <c r="Q5193" t="s">
        <v>53</v>
      </c>
    </row>
    <row r="5194" spans="1:17" x14ac:dyDescent="0.2">
      <c r="A5194" s="30" t="str">
        <f>IF(C5194&amp;G5194&amp;D5194&lt;&gt;'Funnel setup'!$K$3&amp;'Funnel setup'!$K$4&amp;'Funnel setup'!$K$5,".",IF(A5193=".",1,A5193+1))</f>
        <v>.</v>
      </c>
      <c r="B5194" s="431" t="str">
        <f t="shared" si="81"/>
        <v>Knee Replacement RevisionCCG of GP PracticeNHS HERTS VALLEYS CCG (06N)EQ VAS</v>
      </c>
      <c r="C5194" t="s">
        <v>250</v>
      </c>
      <c r="D5194" t="s">
        <v>87</v>
      </c>
      <c r="E5194" t="s">
        <v>507</v>
      </c>
      <c r="F5194" t="s">
        <v>508</v>
      </c>
      <c r="G5194" t="s">
        <v>179</v>
      </c>
      <c r="H5194">
        <v>12</v>
      </c>
      <c r="I5194">
        <v>69.582999999999998</v>
      </c>
      <c r="J5194">
        <v>67.5</v>
      </c>
      <c r="K5194">
        <v>-2.0830000000000002</v>
      </c>
      <c r="L5194">
        <v>5</v>
      </c>
      <c r="M5194">
        <v>0</v>
      </c>
      <c r="N5194">
        <v>7</v>
      </c>
      <c r="O5194" t="s">
        <v>53</v>
      </c>
      <c r="P5194" t="s">
        <v>53</v>
      </c>
      <c r="Q5194" t="s">
        <v>53</v>
      </c>
    </row>
    <row r="5195" spans="1:17" x14ac:dyDescent="0.2">
      <c r="A5195" s="30" t="str">
        <f>IF(C5195&amp;G5195&amp;D5195&lt;&gt;'Funnel setup'!$K$3&amp;'Funnel setup'!$K$4&amp;'Funnel setup'!$K$5,".",IF(A5194=".",1,A5194+1))</f>
        <v>.</v>
      </c>
      <c r="B5195" s="431" t="str">
        <f t="shared" si="81"/>
        <v>Knee Replacement RevisionCCG of GP PracticeNHS HEYWOOD, MIDDLETON AND ROCHDALE CCG (01D)EQ VAS</v>
      </c>
      <c r="C5195" t="s">
        <v>250</v>
      </c>
      <c r="D5195" t="s">
        <v>87</v>
      </c>
      <c r="E5195" t="s">
        <v>510</v>
      </c>
      <c r="F5195" t="s">
        <v>511</v>
      </c>
      <c r="G5195" t="s">
        <v>179</v>
      </c>
      <c r="H5195" t="s">
        <v>53</v>
      </c>
      <c r="I5195" t="s">
        <v>53</v>
      </c>
      <c r="J5195" t="s">
        <v>53</v>
      </c>
      <c r="K5195" t="s">
        <v>53</v>
      </c>
      <c r="L5195" t="s">
        <v>53</v>
      </c>
      <c r="M5195" t="s">
        <v>53</v>
      </c>
      <c r="N5195" t="s">
        <v>53</v>
      </c>
      <c r="O5195" t="s">
        <v>53</v>
      </c>
      <c r="P5195" t="s">
        <v>53</v>
      </c>
      <c r="Q5195" t="s">
        <v>53</v>
      </c>
    </row>
    <row r="5196" spans="1:17" x14ac:dyDescent="0.2">
      <c r="A5196" s="30" t="str">
        <f>IF(C5196&amp;G5196&amp;D5196&lt;&gt;'Funnel setup'!$K$3&amp;'Funnel setup'!$K$4&amp;'Funnel setup'!$K$5,".",IF(A5195=".",1,A5195+1))</f>
        <v>.</v>
      </c>
      <c r="B5196" s="431" t="str">
        <f t="shared" si="81"/>
        <v>Knee Replacement RevisionCCG of GP PracticeNHS HIGH WEALD LEWES HAVENS CCG (99K)EQ VAS</v>
      </c>
      <c r="C5196" t="s">
        <v>250</v>
      </c>
      <c r="D5196" t="s">
        <v>87</v>
      </c>
      <c r="E5196" t="s">
        <v>513</v>
      </c>
      <c r="F5196" t="s">
        <v>514</v>
      </c>
      <c r="G5196" t="s">
        <v>179</v>
      </c>
      <c r="H5196">
        <v>11</v>
      </c>
      <c r="I5196">
        <v>77</v>
      </c>
      <c r="J5196">
        <v>77.090999999999994</v>
      </c>
      <c r="K5196">
        <v>9.0999999999999998E-2</v>
      </c>
      <c r="L5196">
        <v>4</v>
      </c>
      <c r="M5196">
        <v>1</v>
      </c>
      <c r="N5196">
        <v>6</v>
      </c>
      <c r="O5196" t="s">
        <v>53</v>
      </c>
      <c r="P5196" t="s">
        <v>53</v>
      </c>
      <c r="Q5196" t="s">
        <v>53</v>
      </c>
    </row>
    <row r="5197" spans="1:17" x14ac:dyDescent="0.2">
      <c r="A5197" s="30" t="str">
        <f>IF(C5197&amp;G5197&amp;D5197&lt;&gt;'Funnel setup'!$K$3&amp;'Funnel setup'!$K$4&amp;'Funnel setup'!$K$5,".",IF(A5196=".",1,A5196+1))</f>
        <v>.</v>
      </c>
      <c r="B5197" s="431" t="str">
        <f t="shared" si="81"/>
        <v>Knee Replacement RevisionCCG of GP PracticeNHS HILLINGDON CCG (08G)EQ VAS</v>
      </c>
      <c r="C5197" t="s">
        <v>250</v>
      </c>
      <c r="D5197" t="s">
        <v>87</v>
      </c>
      <c r="E5197" t="s">
        <v>516</v>
      </c>
      <c r="F5197" t="s">
        <v>517</v>
      </c>
      <c r="G5197" t="s">
        <v>179</v>
      </c>
      <c r="H5197" t="s">
        <v>53</v>
      </c>
      <c r="I5197" t="s">
        <v>53</v>
      </c>
      <c r="J5197" t="s">
        <v>53</v>
      </c>
      <c r="K5197" t="s">
        <v>53</v>
      </c>
      <c r="L5197" t="s">
        <v>53</v>
      </c>
      <c r="M5197" t="s">
        <v>53</v>
      </c>
      <c r="N5197" t="s">
        <v>53</v>
      </c>
      <c r="O5197" t="s">
        <v>53</v>
      </c>
      <c r="P5197" t="s">
        <v>53</v>
      </c>
      <c r="Q5197" t="s">
        <v>53</v>
      </c>
    </row>
    <row r="5198" spans="1:17" x14ac:dyDescent="0.2">
      <c r="A5198" s="30" t="str">
        <f>IF(C5198&amp;G5198&amp;D5198&lt;&gt;'Funnel setup'!$K$3&amp;'Funnel setup'!$K$4&amp;'Funnel setup'!$K$5,".",IF(A5197=".",1,A5197+1))</f>
        <v>.</v>
      </c>
      <c r="B5198" s="431" t="str">
        <f t="shared" si="81"/>
        <v>Knee Replacement RevisionCCG of GP PracticeNHS HORSHAM AND MID SUSSEX CCG (09X)EQ VAS</v>
      </c>
      <c r="C5198" t="s">
        <v>250</v>
      </c>
      <c r="D5198" t="s">
        <v>87</v>
      </c>
      <c r="E5198" t="s">
        <v>519</v>
      </c>
      <c r="F5198" t="s">
        <v>520</v>
      </c>
      <c r="G5198" t="s">
        <v>179</v>
      </c>
      <c r="H5198" t="s">
        <v>53</v>
      </c>
      <c r="I5198" t="s">
        <v>53</v>
      </c>
      <c r="J5198" t="s">
        <v>53</v>
      </c>
      <c r="K5198" t="s">
        <v>53</v>
      </c>
      <c r="L5198" t="s">
        <v>53</v>
      </c>
      <c r="M5198" t="s">
        <v>53</v>
      </c>
      <c r="N5198" t="s">
        <v>53</v>
      </c>
      <c r="O5198" t="s">
        <v>53</v>
      </c>
      <c r="P5198" t="s">
        <v>53</v>
      </c>
      <c r="Q5198" t="s">
        <v>53</v>
      </c>
    </row>
    <row r="5199" spans="1:17" x14ac:dyDescent="0.2">
      <c r="A5199" s="30" t="str">
        <f>IF(C5199&amp;G5199&amp;D5199&lt;&gt;'Funnel setup'!$K$3&amp;'Funnel setup'!$K$4&amp;'Funnel setup'!$K$5,".",IF(A5198=".",1,A5198+1))</f>
        <v>.</v>
      </c>
      <c r="B5199" s="431" t="str">
        <f t="shared" si="81"/>
        <v>Knee Replacement RevisionCCG of GP PracticeNHS HOUNSLOW CCG (07Y)EQ VAS</v>
      </c>
      <c r="C5199" t="s">
        <v>250</v>
      </c>
      <c r="D5199" t="s">
        <v>87</v>
      </c>
      <c r="E5199" t="s">
        <v>522</v>
      </c>
      <c r="F5199" t="s">
        <v>523</v>
      </c>
      <c r="G5199" t="s">
        <v>179</v>
      </c>
      <c r="H5199" t="s">
        <v>53</v>
      </c>
      <c r="I5199" t="s">
        <v>53</v>
      </c>
      <c r="J5199" t="s">
        <v>53</v>
      </c>
      <c r="K5199" t="s">
        <v>53</v>
      </c>
      <c r="L5199" t="s">
        <v>53</v>
      </c>
      <c r="M5199" t="s">
        <v>53</v>
      </c>
      <c r="N5199" t="s">
        <v>53</v>
      </c>
      <c r="O5199" t="s">
        <v>53</v>
      </c>
      <c r="P5199" t="s">
        <v>53</v>
      </c>
      <c r="Q5199" t="s">
        <v>53</v>
      </c>
    </row>
    <row r="5200" spans="1:17" x14ac:dyDescent="0.2">
      <c r="A5200" s="30" t="str">
        <f>IF(C5200&amp;G5200&amp;D5200&lt;&gt;'Funnel setup'!$K$3&amp;'Funnel setup'!$K$4&amp;'Funnel setup'!$K$5,".",IF(A5199=".",1,A5199+1))</f>
        <v>.</v>
      </c>
      <c r="B5200" s="431" t="str">
        <f t="shared" si="81"/>
        <v>Knee Replacement RevisionCCG of GP PracticeNHS HULL CCG (03F)EQ VAS</v>
      </c>
      <c r="C5200" t="s">
        <v>250</v>
      </c>
      <c r="D5200" t="s">
        <v>87</v>
      </c>
      <c r="E5200" t="s">
        <v>525</v>
      </c>
      <c r="F5200" t="s">
        <v>526</v>
      </c>
      <c r="G5200" t="s">
        <v>179</v>
      </c>
      <c r="H5200">
        <v>10</v>
      </c>
      <c r="I5200">
        <v>58</v>
      </c>
      <c r="J5200">
        <v>63.6</v>
      </c>
      <c r="K5200">
        <v>5.6</v>
      </c>
      <c r="L5200">
        <v>4</v>
      </c>
      <c r="M5200">
        <v>2</v>
      </c>
      <c r="N5200">
        <v>4</v>
      </c>
      <c r="O5200" t="s">
        <v>53</v>
      </c>
      <c r="P5200" t="s">
        <v>53</v>
      </c>
      <c r="Q5200" t="s">
        <v>53</v>
      </c>
    </row>
    <row r="5201" spans="1:17" x14ac:dyDescent="0.2">
      <c r="A5201" s="30" t="str">
        <f>IF(C5201&amp;G5201&amp;D5201&lt;&gt;'Funnel setup'!$K$3&amp;'Funnel setup'!$K$4&amp;'Funnel setup'!$K$5,".",IF(A5200=".",1,A5200+1))</f>
        <v>.</v>
      </c>
      <c r="B5201" s="431" t="str">
        <f t="shared" si="81"/>
        <v>Knee Replacement RevisionCCG of GP PracticeNHS IPSWICH AND EAST SUFFOLK CCG (06L)EQ VAS</v>
      </c>
      <c r="C5201" t="s">
        <v>250</v>
      </c>
      <c r="D5201" t="s">
        <v>87</v>
      </c>
      <c r="E5201" t="s">
        <v>528</v>
      </c>
      <c r="F5201" t="s">
        <v>529</v>
      </c>
      <c r="G5201" t="s">
        <v>179</v>
      </c>
      <c r="H5201" t="s">
        <v>53</v>
      </c>
      <c r="I5201" t="s">
        <v>53</v>
      </c>
      <c r="J5201" t="s">
        <v>53</v>
      </c>
      <c r="K5201" t="s">
        <v>53</v>
      </c>
      <c r="L5201" t="s">
        <v>53</v>
      </c>
      <c r="M5201" t="s">
        <v>53</v>
      </c>
      <c r="N5201" t="s">
        <v>53</v>
      </c>
      <c r="O5201" t="s">
        <v>53</v>
      </c>
      <c r="P5201" t="s">
        <v>53</v>
      </c>
      <c r="Q5201" t="s">
        <v>53</v>
      </c>
    </row>
    <row r="5202" spans="1:17" x14ac:dyDescent="0.2">
      <c r="A5202" s="30" t="str">
        <f>IF(C5202&amp;G5202&amp;D5202&lt;&gt;'Funnel setup'!$K$3&amp;'Funnel setup'!$K$4&amp;'Funnel setup'!$K$5,".",IF(A5201=".",1,A5201+1))</f>
        <v>.</v>
      </c>
      <c r="B5202" s="431" t="str">
        <f t="shared" si="81"/>
        <v>Knee Replacement RevisionCCG of GP PracticeNHS ISLE OF WIGHT CCG (10L)EQ VAS</v>
      </c>
      <c r="C5202" t="s">
        <v>250</v>
      </c>
      <c r="D5202" t="s">
        <v>87</v>
      </c>
      <c r="E5202" t="s">
        <v>531</v>
      </c>
      <c r="F5202" t="s">
        <v>532</v>
      </c>
      <c r="G5202" t="s">
        <v>179</v>
      </c>
      <c r="H5202" t="s">
        <v>53</v>
      </c>
      <c r="I5202" t="s">
        <v>53</v>
      </c>
      <c r="J5202" t="s">
        <v>53</v>
      </c>
      <c r="K5202" t="s">
        <v>53</v>
      </c>
      <c r="L5202" t="s">
        <v>53</v>
      </c>
      <c r="M5202" t="s">
        <v>53</v>
      </c>
      <c r="N5202" t="s">
        <v>53</v>
      </c>
      <c r="O5202" t="s">
        <v>53</v>
      </c>
      <c r="P5202" t="s">
        <v>53</v>
      </c>
      <c r="Q5202" t="s">
        <v>53</v>
      </c>
    </row>
    <row r="5203" spans="1:17" x14ac:dyDescent="0.2">
      <c r="A5203" s="30" t="str">
        <f>IF(C5203&amp;G5203&amp;D5203&lt;&gt;'Funnel setup'!$K$3&amp;'Funnel setup'!$K$4&amp;'Funnel setup'!$K$5,".",IF(A5202=".",1,A5202+1))</f>
        <v>.</v>
      </c>
      <c r="B5203" s="431" t="str">
        <f t="shared" si="81"/>
        <v>Knee Replacement RevisionCCG of GP PracticeNHS ISLINGTON CCG (08H)EQ VAS</v>
      </c>
      <c r="C5203" t="s">
        <v>250</v>
      </c>
      <c r="D5203" t="s">
        <v>87</v>
      </c>
      <c r="E5203" t="s">
        <v>534</v>
      </c>
      <c r="F5203" t="s">
        <v>535</v>
      </c>
      <c r="G5203" t="s">
        <v>179</v>
      </c>
      <c r="H5203" t="s">
        <v>53</v>
      </c>
      <c r="I5203" t="s">
        <v>53</v>
      </c>
      <c r="J5203" t="s">
        <v>53</v>
      </c>
      <c r="K5203" t="s">
        <v>53</v>
      </c>
      <c r="L5203" t="s">
        <v>53</v>
      </c>
      <c r="M5203" t="s">
        <v>53</v>
      </c>
      <c r="N5203" t="s">
        <v>53</v>
      </c>
      <c r="O5203" t="s">
        <v>53</v>
      </c>
      <c r="P5203" t="s">
        <v>53</v>
      </c>
      <c r="Q5203" t="s">
        <v>53</v>
      </c>
    </row>
    <row r="5204" spans="1:17" x14ac:dyDescent="0.2">
      <c r="A5204" s="30" t="str">
        <f>IF(C5204&amp;G5204&amp;D5204&lt;&gt;'Funnel setup'!$K$3&amp;'Funnel setup'!$K$4&amp;'Funnel setup'!$K$5,".",IF(A5203=".",1,A5203+1))</f>
        <v>.</v>
      </c>
      <c r="B5204" s="431" t="str">
        <f t="shared" si="81"/>
        <v>Knee Replacement RevisionCCG of GP PracticeNHS KERNOW CCG (11N)EQ VAS</v>
      </c>
      <c r="C5204" t="s">
        <v>250</v>
      </c>
      <c r="D5204" t="s">
        <v>87</v>
      </c>
      <c r="E5204" t="s">
        <v>537</v>
      </c>
      <c r="F5204" t="s">
        <v>538</v>
      </c>
      <c r="G5204" t="s">
        <v>179</v>
      </c>
      <c r="H5204">
        <v>37</v>
      </c>
      <c r="I5204">
        <v>63.594999999999999</v>
      </c>
      <c r="J5204">
        <v>71.918999999999997</v>
      </c>
      <c r="K5204">
        <v>8.3239999999999998</v>
      </c>
      <c r="L5204">
        <v>21</v>
      </c>
      <c r="M5204">
        <v>9</v>
      </c>
      <c r="N5204">
        <v>7</v>
      </c>
      <c r="O5204">
        <v>73.09</v>
      </c>
      <c r="P5204">
        <v>8.6340669099999996</v>
      </c>
      <c r="Q5204">
        <v>18.321000000000002</v>
      </c>
    </row>
    <row r="5205" spans="1:17" x14ac:dyDescent="0.2">
      <c r="A5205" s="30" t="str">
        <f>IF(C5205&amp;G5205&amp;D5205&lt;&gt;'Funnel setup'!$K$3&amp;'Funnel setup'!$K$4&amp;'Funnel setup'!$K$5,".",IF(A5204=".",1,A5204+1))</f>
        <v>.</v>
      </c>
      <c r="B5205" s="431" t="str">
        <f t="shared" si="81"/>
        <v>Knee Replacement RevisionCCG of GP PracticeNHS KINGSTON CCG (08J)EQ VAS</v>
      </c>
      <c r="C5205" t="s">
        <v>250</v>
      </c>
      <c r="D5205" t="s">
        <v>87</v>
      </c>
      <c r="E5205" t="s">
        <v>540</v>
      </c>
      <c r="F5205" t="s">
        <v>541</v>
      </c>
      <c r="G5205" t="s">
        <v>179</v>
      </c>
      <c r="H5205" t="s">
        <v>53</v>
      </c>
      <c r="I5205" t="s">
        <v>53</v>
      </c>
      <c r="J5205" t="s">
        <v>53</v>
      </c>
      <c r="K5205" t="s">
        <v>53</v>
      </c>
      <c r="L5205" t="s">
        <v>53</v>
      </c>
      <c r="M5205" t="s">
        <v>53</v>
      </c>
      <c r="N5205" t="s">
        <v>53</v>
      </c>
      <c r="O5205" t="s">
        <v>53</v>
      </c>
      <c r="P5205" t="s">
        <v>53</v>
      </c>
      <c r="Q5205" t="s">
        <v>53</v>
      </c>
    </row>
    <row r="5206" spans="1:17" x14ac:dyDescent="0.2">
      <c r="A5206" s="30" t="str">
        <f>IF(C5206&amp;G5206&amp;D5206&lt;&gt;'Funnel setup'!$K$3&amp;'Funnel setup'!$K$4&amp;'Funnel setup'!$K$5,".",IF(A5205=".",1,A5205+1))</f>
        <v>.</v>
      </c>
      <c r="B5206" s="431" t="str">
        <f t="shared" si="81"/>
        <v>Knee Replacement RevisionCCG of GP PracticeNHS KNOWSLEY CCG (01J)EQ VAS</v>
      </c>
      <c r="C5206" t="s">
        <v>250</v>
      </c>
      <c r="D5206" t="s">
        <v>87</v>
      </c>
      <c r="E5206" t="s">
        <v>543</v>
      </c>
      <c r="F5206" t="s">
        <v>544</v>
      </c>
      <c r="G5206" t="s">
        <v>179</v>
      </c>
      <c r="H5206" t="s">
        <v>53</v>
      </c>
      <c r="I5206" t="s">
        <v>53</v>
      </c>
      <c r="J5206" t="s">
        <v>53</v>
      </c>
      <c r="K5206" t="s">
        <v>53</v>
      </c>
      <c r="L5206" t="s">
        <v>53</v>
      </c>
      <c r="M5206" t="s">
        <v>53</v>
      </c>
      <c r="N5206" t="s">
        <v>53</v>
      </c>
      <c r="O5206" t="s">
        <v>53</v>
      </c>
      <c r="P5206" t="s">
        <v>53</v>
      </c>
      <c r="Q5206" t="s">
        <v>53</v>
      </c>
    </row>
    <row r="5207" spans="1:17" x14ac:dyDescent="0.2">
      <c r="A5207" s="30" t="str">
        <f>IF(C5207&amp;G5207&amp;D5207&lt;&gt;'Funnel setup'!$K$3&amp;'Funnel setup'!$K$4&amp;'Funnel setup'!$K$5,".",IF(A5206=".",1,A5206+1))</f>
        <v>.</v>
      </c>
      <c r="B5207" s="431" t="str">
        <f t="shared" si="81"/>
        <v>Knee Replacement RevisionCCG of GP PracticeNHS LAMBETH CCG (08K)EQ VAS</v>
      </c>
      <c r="C5207" t="s">
        <v>250</v>
      </c>
      <c r="D5207" t="s">
        <v>87</v>
      </c>
      <c r="E5207" t="s">
        <v>546</v>
      </c>
      <c r="F5207" t="s">
        <v>547</v>
      </c>
      <c r="G5207" t="s">
        <v>179</v>
      </c>
      <c r="H5207" t="s">
        <v>53</v>
      </c>
      <c r="I5207" t="s">
        <v>53</v>
      </c>
      <c r="J5207" t="s">
        <v>53</v>
      </c>
      <c r="K5207" t="s">
        <v>53</v>
      </c>
      <c r="L5207" t="s">
        <v>53</v>
      </c>
      <c r="M5207" t="s">
        <v>53</v>
      </c>
      <c r="N5207" t="s">
        <v>53</v>
      </c>
      <c r="O5207" t="s">
        <v>53</v>
      </c>
      <c r="P5207" t="s">
        <v>53</v>
      </c>
      <c r="Q5207" t="s">
        <v>53</v>
      </c>
    </row>
    <row r="5208" spans="1:17" x14ac:dyDescent="0.2">
      <c r="A5208" s="30" t="str">
        <f>IF(C5208&amp;G5208&amp;D5208&lt;&gt;'Funnel setup'!$K$3&amp;'Funnel setup'!$K$4&amp;'Funnel setup'!$K$5,".",IF(A5207=".",1,A5207+1))</f>
        <v>.</v>
      </c>
      <c r="B5208" s="431" t="str">
        <f t="shared" si="81"/>
        <v>Knee Replacement RevisionCCG of GP PracticeNHS LANCASHIRE NORTH CCG (01K)EQ VAS</v>
      </c>
      <c r="C5208" t="s">
        <v>250</v>
      </c>
      <c r="D5208" t="s">
        <v>87</v>
      </c>
      <c r="E5208" t="s">
        <v>549</v>
      </c>
      <c r="F5208" t="s">
        <v>550</v>
      </c>
      <c r="G5208" t="s">
        <v>179</v>
      </c>
      <c r="H5208" t="s">
        <v>53</v>
      </c>
      <c r="I5208" t="s">
        <v>53</v>
      </c>
      <c r="J5208" t="s">
        <v>53</v>
      </c>
      <c r="K5208" t="s">
        <v>53</v>
      </c>
      <c r="L5208" t="s">
        <v>53</v>
      </c>
      <c r="M5208" t="s">
        <v>53</v>
      </c>
      <c r="N5208" t="s">
        <v>53</v>
      </c>
      <c r="O5208" t="s">
        <v>53</v>
      </c>
      <c r="P5208" t="s">
        <v>53</v>
      </c>
      <c r="Q5208" t="s">
        <v>53</v>
      </c>
    </row>
    <row r="5209" spans="1:17" x14ac:dyDescent="0.2">
      <c r="A5209" s="30" t="str">
        <f>IF(C5209&amp;G5209&amp;D5209&lt;&gt;'Funnel setup'!$K$3&amp;'Funnel setup'!$K$4&amp;'Funnel setup'!$K$5,".",IF(A5208=".",1,A5208+1))</f>
        <v>.</v>
      </c>
      <c r="B5209" s="431" t="str">
        <f t="shared" si="81"/>
        <v>Knee Replacement RevisionCCG of GP PracticeNHS LEEDS NORTH CCG (02V)EQ VAS</v>
      </c>
      <c r="C5209" t="s">
        <v>250</v>
      </c>
      <c r="D5209" t="s">
        <v>87</v>
      </c>
      <c r="E5209" t="s">
        <v>552</v>
      </c>
      <c r="F5209" t="s">
        <v>337</v>
      </c>
      <c r="G5209" t="s">
        <v>179</v>
      </c>
      <c r="H5209">
        <v>6</v>
      </c>
      <c r="I5209">
        <v>74.167000000000002</v>
      </c>
      <c r="J5209">
        <v>82.5</v>
      </c>
      <c r="K5209">
        <v>8.3330000000000002</v>
      </c>
      <c r="L5209">
        <v>4</v>
      </c>
      <c r="M5209">
        <v>0</v>
      </c>
      <c r="N5209">
        <v>2</v>
      </c>
      <c r="O5209" t="s">
        <v>53</v>
      </c>
      <c r="P5209" t="s">
        <v>53</v>
      </c>
      <c r="Q5209" t="s">
        <v>53</v>
      </c>
    </row>
    <row r="5210" spans="1:17" x14ac:dyDescent="0.2">
      <c r="A5210" s="30" t="str">
        <f>IF(C5210&amp;G5210&amp;D5210&lt;&gt;'Funnel setup'!$K$3&amp;'Funnel setup'!$K$4&amp;'Funnel setup'!$K$5,".",IF(A5209=".",1,A5209+1))</f>
        <v>.</v>
      </c>
      <c r="B5210" s="431" t="str">
        <f t="shared" si="81"/>
        <v>Knee Replacement RevisionCCG of GP PracticeNHS LEEDS SOUTH AND EAST CCG (03G)EQ VAS</v>
      </c>
      <c r="C5210" t="s">
        <v>250</v>
      </c>
      <c r="D5210" t="s">
        <v>87</v>
      </c>
      <c r="E5210" t="s">
        <v>396</v>
      </c>
      <c r="F5210" t="s">
        <v>397</v>
      </c>
      <c r="G5210" t="s">
        <v>179</v>
      </c>
      <c r="H5210" t="s">
        <v>53</v>
      </c>
      <c r="I5210" t="s">
        <v>53</v>
      </c>
      <c r="J5210" t="s">
        <v>53</v>
      </c>
      <c r="K5210" t="s">
        <v>53</v>
      </c>
      <c r="L5210" t="s">
        <v>53</v>
      </c>
      <c r="M5210" t="s">
        <v>53</v>
      </c>
      <c r="N5210" t="s">
        <v>53</v>
      </c>
      <c r="O5210" t="s">
        <v>53</v>
      </c>
      <c r="P5210" t="s">
        <v>53</v>
      </c>
      <c r="Q5210" t="s">
        <v>53</v>
      </c>
    </row>
    <row r="5211" spans="1:17" x14ac:dyDescent="0.2">
      <c r="A5211" s="30" t="str">
        <f>IF(C5211&amp;G5211&amp;D5211&lt;&gt;'Funnel setup'!$K$3&amp;'Funnel setup'!$K$4&amp;'Funnel setup'!$K$5,".",IF(A5210=".",1,A5210+1))</f>
        <v>.</v>
      </c>
      <c r="B5211" s="431" t="str">
        <f t="shared" si="81"/>
        <v>Knee Replacement RevisionCCG of GP PracticeNHS LEEDS WEST CCG (03C)EQ VAS</v>
      </c>
      <c r="C5211" t="s">
        <v>250</v>
      </c>
      <c r="D5211" t="s">
        <v>87</v>
      </c>
      <c r="E5211" t="s">
        <v>399</v>
      </c>
      <c r="F5211" t="s">
        <v>400</v>
      </c>
      <c r="G5211" t="s">
        <v>179</v>
      </c>
      <c r="H5211">
        <v>10</v>
      </c>
      <c r="I5211">
        <v>64</v>
      </c>
      <c r="J5211">
        <v>70</v>
      </c>
      <c r="K5211">
        <v>6</v>
      </c>
      <c r="L5211">
        <v>5</v>
      </c>
      <c r="M5211">
        <v>0</v>
      </c>
      <c r="N5211">
        <v>5</v>
      </c>
      <c r="O5211" t="s">
        <v>53</v>
      </c>
      <c r="P5211" t="s">
        <v>53</v>
      </c>
      <c r="Q5211" t="s">
        <v>53</v>
      </c>
    </row>
    <row r="5212" spans="1:17" x14ac:dyDescent="0.2">
      <c r="A5212" s="30" t="str">
        <f>IF(C5212&amp;G5212&amp;D5212&lt;&gt;'Funnel setup'!$K$3&amp;'Funnel setup'!$K$4&amp;'Funnel setup'!$K$5,".",IF(A5211=".",1,A5211+1))</f>
        <v>.</v>
      </c>
      <c r="B5212" s="431" t="str">
        <f t="shared" si="81"/>
        <v>Knee Replacement RevisionCCG of GP PracticeNHS LEICESTER CITY CCG (04C)EQ VAS</v>
      </c>
      <c r="C5212" t="s">
        <v>250</v>
      </c>
      <c r="D5212" t="s">
        <v>87</v>
      </c>
      <c r="E5212" t="s">
        <v>554</v>
      </c>
      <c r="F5212" t="s">
        <v>555</v>
      </c>
      <c r="G5212" t="s">
        <v>179</v>
      </c>
      <c r="H5212">
        <v>8</v>
      </c>
      <c r="I5212">
        <v>59</v>
      </c>
      <c r="J5212">
        <v>65.125</v>
      </c>
      <c r="K5212">
        <v>6.125</v>
      </c>
      <c r="L5212">
        <v>5</v>
      </c>
      <c r="M5212">
        <v>0</v>
      </c>
      <c r="N5212">
        <v>3</v>
      </c>
      <c r="O5212" t="s">
        <v>53</v>
      </c>
      <c r="P5212" t="s">
        <v>53</v>
      </c>
      <c r="Q5212" t="s">
        <v>53</v>
      </c>
    </row>
    <row r="5213" spans="1:17" x14ac:dyDescent="0.2">
      <c r="A5213" s="30" t="str">
        <f>IF(C5213&amp;G5213&amp;D5213&lt;&gt;'Funnel setup'!$K$3&amp;'Funnel setup'!$K$4&amp;'Funnel setup'!$K$5,".",IF(A5212=".",1,A5212+1))</f>
        <v>.</v>
      </c>
      <c r="B5213" s="431" t="str">
        <f t="shared" si="81"/>
        <v>Knee Replacement RevisionCCG of GP PracticeNHS LEWISHAM CCG (08L)EQ VAS</v>
      </c>
      <c r="C5213" t="s">
        <v>250</v>
      </c>
      <c r="D5213" t="s">
        <v>87</v>
      </c>
      <c r="E5213" t="s">
        <v>557</v>
      </c>
      <c r="F5213" t="s">
        <v>558</v>
      </c>
      <c r="G5213" t="s">
        <v>179</v>
      </c>
      <c r="H5213" t="s">
        <v>53</v>
      </c>
      <c r="I5213" t="s">
        <v>53</v>
      </c>
      <c r="J5213" t="s">
        <v>53</v>
      </c>
      <c r="K5213" t="s">
        <v>53</v>
      </c>
      <c r="L5213" t="s">
        <v>53</v>
      </c>
      <c r="M5213" t="s">
        <v>53</v>
      </c>
      <c r="N5213" t="s">
        <v>53</v>
      </c>
      <c r="O5213" t="s">
        <v>53</v>
      </c>
      <c r="P5213" t="s">
        <v>53</v>
      </c>
      <c r="Q5213" t="s">
        <v>53</v>
      </c>
    </row>
    <row r="5214" spans="1:17" x14ac:dyDescent="0.2">
      <c r="A5214" s="30" t="str">
        <f>IF(C5214&amp;G5214&amp;D5214&lt;&gt;'Funnel setup'!$K$3&amp;'Funnel setup'!$K$4&amp;'Funnel setup'!$K$5,".",IF(A5213=".",1,A5213+1))</f>
        <v>.</v>
      </c>
      <c r="B5214" s="431" t="str">
        <f t="shared" si="81"/>
        <v>Knee Replacement RevisionCCG of GP PracticeNHS LINCOLNSHIRE EAST CCG (03T)EQ VAS</v>
      </c>
      <c r="C5214" t="s">
        <v>250</v>
      </c>
      <c r="D5214" t="s">
        <v>87</v>
      </c>
      <c r="E5214" t="s">
        <v>560</v>
      </c>
      <c r="F5214" t="s">
        <v>561</v>
      </c>
      <c r="G5214" t="s">
        <v>179</v>
      </c>
      <c r="H5214" t="s">
        <v>53</v>
      </c>
      <c r="I5214" t="s">
        <v>53</v>
      </c>
      <c r="J5214" t="s">
        <v>53</v>
      </c>
      <c r="K5214" t="s">
        <v>53</v>
      </c>
      <c r="L5214" t="s">
        <v>53</v>
      </c>
      <c r="M5214" t="s">
        <v>53</v>
      </c>
      <c r="N5214" t="s">
        <v>53</v>
      </c>
      <c r="O5214" t="s">
        <v>53</v>
      </c>
      <c r="P5214" t="s">
        <v>53</v>
      </c>
      <c r="Q5214" t="s">
        <v>53</v>
      </c>
    </row>
    <row r="5215" spans="1:17" x14ac:dyDescent="0.2">
      <c r="A5215" s="30" t="str">
        <f>IF(C5215&amp;G5215&amp;D5215&lt;&gt;'Funnel setup'!$K$3&amp;'Funnel setup'!$K$4&amp;'Funnel setup'!$K$5,".",IF(A5214=".",1,A5214+1))</f>
        <v>.</v>
      </c>
      <c r="B5215" s="431" t="str">
        <f t="shared" si="81"/>
        <v>Knee Replacement RevisionCCG of GP PracticeNHS LINCOLNSHIRE WEST CCG (04D)EQ VAS</v>
      </c>
      <c r="C5215" t="s">
        <v>250</v>
      </c>
      <c r="D5215" t="s">
        <v>87</v>
      </c>
      <c r="E5215" t="s">
        <v>408</v>
      </c>
      <c r="F5215" t="s">
        <v>409</v>
      </c>
      <c r="G5215" t="s">
        <v>179</v>
      </c>
      <c r="H5215">
        <v>11</v>
      </c>
      <c r="I5215">
        <v>54.091000000000001</v>
      </c>
      <c r="J5215">
        <v>55.182000000000002</v>
      </c>
      <c r="K5215">
        <v>1.091</v>
      </c>
      <c r="L5215">
        <v>3</v>
      </c>
      <c r="M5215">
        <v>3</v>
      </c>
      <c r="N5215">
        <v>5</v>
      </c>
      <c r="O5215" t="s">
        <v>53</v>
      </c>
      <c r="P5215" t="s">
        <v>53</v>
      </c>
      <c r="Q5215" t="s">
        <v>53</v>
      </c>
    </row>
    <row r="5216" spans="1:17" x14ac:dyDescent="0.2">
      <c r="A5216" s="30" t="str">
        <f>IF(C5216&amp;G5216&amp;D5216&lt;&gt;'Funnel setup'!$K$3&amp;'Funnel setup'!$K$4&amp;'Funnel setup'!$K$5,".",IF(A5215=".",1,A5215+1))</f>
        <v>.</v>
      </c>
      <c r="B5216" s="431" t="str">
        <f t="shared" si="81"/>
        <v>Knee Replacement RevisionCCG of GP PracticeNHS LIVERPOOL CCG (99A)EQ VAS</v>
      </c>
      <c r="C5216" t="s">
        <v>250</v>
      </c>
      <c r="D5216" t="s">
        <v>87</v>
      </c>
      <c r="E5216" t="s">
        <v>411</v>
      </c>
      <c r="F5216" t="s">
        <v>412</v>
      </c>
      <c r="G5216" t="s">
        <v>179</v>
      </c>
      <c r="H5216" t="s">
        <v>53</v>
      </c>
      <c r="I5216" t="s">
        <v>53</v>
      </c>
      <c r="J5216" t="s">
        <v>53</v>
      </c>
      <c r="K5216" t="s">
        <v>53</v>
      </c>
      <c r="L5216" t="s">
        <v>53</v>
      </c>
      <c r="M5216" t="s">
        <v>53</v>
      </c>
      <c r="N5216" t="s">
        <v>53</v>
      </c>
      <c r="O5216" t="s">
        <v>53</v>
      </c>
      <c r="P5216" t="s">
        <v>53</v>
      </c>
      <c r="Q5216" t="s">
        <v>53</v>
      </c>
    </row>
    <row r="5217" spans="1:17" x14ac:dyDescent="0.2">
      <c r="A5217" s="30" t="str">
        <f>IF(C5217&amp;G5217&amp;D5217&lt;&gt;'Funnel setup'!$K$3&amp;'Funnel setup'!$K$4&amp;'Funnel setup'!$K$5,".",IF(A5216=".",1,A5216+1))</f>
        <v>.</v>
      </c>
      <c r="B5217" s="431" t="str">
        <f t="shared" si="81"/>
        <v>Knee Replacement RevisionCCG of GP PracticeNHS LUTON CCG (06P)EQ VAS</v>
      </c>
      <c r="C5217" t="s">
        <v>250</v>
      </c>
      <c r="D5217" t="s">
        <v>87</v>
      </c>
      <c r="E5217" t="s">
        <v>414</v>
      </c>
      <c r="F5217" t="s">
        <v>415</v>
      </c>
      <c r="G5217" t="s">
        <v>179</v>
      </c>
      <c r="H5217" t="s">
        <v>53</v>
      </c>
      <c r="I5217" t="s">
        <v>53</v>
      </c>
      <c r="J5217" t="s">
        <v>53</v>
      </c>
      <c r="K5217" t="s">
        <v>53</v>
      </c>
      <c r="L5217" t="s">
        <v>53</v>
      </c>
      <c r="M5217" t="s">
        <v>53</v>
      </c>
      <c r="N5217" t="s">
        <v>53</v>
      </c>
      <c r="O5217" t="s">
        <v>53</v>
      </c>
      <c r="P5217" t="s">
        <v>53</v>
      </c>
      <c r="Q5217" t="s">
        <v>53</v>
      </c>
    </row>
    <row r="5218" spans="1:17" x14ac:dyDescent="0.2">
      <c r="A5218" s="30" t="str">
        <f>IF(C5218&amp;G5218&amp;D5218&lt;&gt;'Funnel setup'!$K$3&amp;'Funnel setup'!$K$4&amp;'Funnel setup'!$K$5,".",IF(A5217=".",1,A5217+1))</f>
        <v>.</v>
      </c>
      <c r="B5218" s="431" t="str">
        <f t="shared" si="81"/>
        <v>Knee Replacement RevisionCCG of GP PracticeNHS MANSFIELD AND ASHFIELD CCG (04E)EQ VAS</v>
      </c>
      <c r="C5218" t="s">
        <v>250</v>
      </c>
      <c r="D5218" t="s">
        <v>87</v>
      </c>
      <c r="E5218" t="s">
        <v>417</v>
      </c>
      <c r="F5218" t="s">
        <v>418</v>
      </c>
      <c r="G5218" t="s">
        <v>179</v>
      </c>
      <c r="H5218">
        <v>10</v>
      </c>
      <c r="I5218">
        <v>58.8</v>
      </c>
      <c r="J5218">
        <v>70</v>
      </c>
      <c r="K5218">
        <v>11.2</v>
      </c>
      <c r="L5218">
        <v>5</v>
      </c>
      <c r="M5218">
        <v>1</v>
      </c>
      <c r="N5218">
        <v>4</v>
      </c>
      <c r="O5218" t="s">
        <v>53</v>
      </c>
      <c r="P5218" t="s">
        <v>53</v>
      </c>
      <c r="Q5218" t="s">
        <v>53</v>
      </c>
    </row>
    <row r="5219" spans="1:17" x14ac:dyDescent="0.2">
      <c r="A5219" s="30" t="str">
        <f>IF(C5219&amp;G5219&amp;D5219&lt;&gt;'Funnel setup'!$K$3&amp;'Funnel setup'!$K$4&amp;'Funnel setup'!$K$5,".",IF(A5218=".",1,A5218+1))</f>
        <v>.</v>
      </c>
      <c r="B5219" s="431" t="str">
        <f t="shared" si="81"/>
        <v>Knee Replacement RevisionCCG of GP PracticeNHS MEDWAY CCG (09W)EQ VAS</v>
      </c>
      <c r="C5219" t="s">
        <v>250</v>
      </c>
      <c r="D5219" t="s">
        <v>87</v>
      </c>
      <c r="E5219" t="s">
        <v>610</v>
      </c>
      <c r="F5219" t="s">
        <v>611</v>
      </c>
      <c r="G5219" t="s">
        <v>179</v>
      </c>
      <c r="H5219" t="s">
        <v>53</v>
      </c>
      <c r="I5219" t="s">
        <v>53</v>
      </c>
      <c r="J5219" t="s">
        <v>53</v>
      </c>
      <c r="K5219" t="s">
        <v>53</v>
      </c>
      <c r="L5219" t="s">
        <v>53</v>
      </c>
      <c r="M5219" t="s">
        <v>53</v>
      </c>
      <c r="N5219" t="s">
        <v>53</v>
      </c>
      <c r="O5219" t="s">
        <v>53</v>
      </c>
      <c r="P5219" t="s">
        <v>53</v>
      </c>
      <c r="Q5219" t="s">
        <v>53</v>
      </c>
    </row>
    <row r="5220" spans="1:17" x14ac:dyDescent="0.2">
      <c r="A5220" s="30" t="str">
        <f>IF(C5220&amp;G5220&amp;D5220&lt;&gt;'Funnel setup'!$K$3&amp;'Funnel setup'!$K$4&amp;'Funnel setup'!$K$5,".",IF(A5219=".",1,A5219+1))</f>
        <v>.</v>
      </c>
      <c r="B5220" s="431" t="str">
        <f t="shared" si="81"/>
        <v>Knee Replacement RevisionCCG of GP PracticeNHS MERTON CCG (08R)EQ VAS</v>
      </c>
      <c r="C5220" t="s">
        <v>250</v>
      </c>
      <c r="D5220" t="s">
        <v>87</v>
      </c>
      <c r="E5220" t="s">
        <v>613</v>
      </c>
      <c r="F5220" t="s">
        <v>614</v>
      </c>
      <c r="G5220" t="s">
        <v>179</v>
      </c>
      <c r="H5220" t="s">
        <v>53</v>
      </c>
      <c r="I5220" t="s">
        <v>53</v>
      </c>
      <c r="J5220" t="s">
        <v>53</v>
      </c>
      <c r="K5220" t="s">
        <v>53</v>
      </c>
      <c r="L5220" t="s">
        <v>53</v>
      </c>
      <c r="M5220" t="s">
        <v>53</v>
      </c>
      <c r="N5220" t="s">
        <v>53</v>
      </c>
      <c r="O5220" t="s">
        <v>53</v>
      </c>
      <c r="P5220" t="s">
        <v>53</v>
      </c>
      <c r="Q5220" t="s">
        <v>53</v>
      </c>
    </row>
    <row r="5221" spans="1:17" x14ac:dyDescent="0.2">
      <c r="A5221" s="30" t="str">
        <f>IF(C5221&amp;G5221&amp;D5221&lt;&gt;'Funnel setup'!$K$3&amp;'Funnel setup'!$K$4&amp;'Funnel setup'!$K$5,".",IF(A5220=".",1,A5220+1))</f>
        <v>.</v>
      </c>
      <c r="B5221" s="431" t="str">
        <f t="shared" si="81"/>
        <v>Knee Replacement RevisionCCG of GP PracticeNHS MID ESSEX CCG (06Q)EQ VAS</v>
      </c>
      <c r="C5221" t="s">
        <v>250</v>
      </c>
      <c r="D5221" t="s">
        <v>87</v>
      </c>
      <c r="E5221" t="s">
        <v>616</v>
      </c>
      <c r="F5221" t="s">
        <v>617</v>
      </c>
      <c r="G5221" t="s">
        <v>179</v>
      </c>
      <c r="H5221">
        <v>9</v>
      </c>
      <c r="I5221">
        <v>72.778000000000006</v>
      </c>
      <c r="J5221">
        <v>59.444000000000003</v>
      </c>
      <c r="K5221">
        <v>-13.333</v>
      </c>
      <c r="L5221">
        <v>3</v>
      </c>
      <c r="M5221">
        <v>0</v>
      </c>
      <c r="N5221">
        <v>6</v>
      </c>
      <c r="O5221" t="s">
        <v>53</v>
      </c>
      <c r="P5221" t="s">
        <v>53</v>
      </c>
      <c r="Q5221" t="s">
        <v>53</v>
      </c>
    </row>
    <row r="5222" spans="1:17" x14ac:dyDescent="0.2">
      <c r="A5222" s="30" t="str">
        <f>IF(C5222&amp;G5222&amp;D5222&lt;&gt;'Funnel setup'!$K$3&amp;'Funnel setup'!$K$4&amp;'Funnel setup'!$K$5,".",IF(A5221=".",1,A5221+1))</f>
        <v>.</v>
      </c>
      <c r="B5222" s="431" t="str">
        <f t="shared" si="81"/>
        <v>Knee Replacement RevisionCCG of GP PracticeNHS MILTON KEYNES CCG (04F)EQ VAS</v>
      </c>
      <c r="C5222" t="s">
        <v>250</v>
      </c>
      <c r="D5222" t="s">
        <v>87</v>
      </c>
      <c r="E5222" t="s">
        <v>619</v>
      </c>
      <c r="F5222" t="s">
        <v>338</v>
      </c>
      <c r="G5222" t="s">
        <v>179</v>
      </c>
      <c r="H5222">
        <v>9</v>
      </c>
      <c r="I5222">
        <v>67.888999999999996</v>
      </c>
      <c r="J5222">
        <v>62.555999999999997</v>
      </c>
      <c r="K5222">
        <v>-5.3330000000000002</v>
      </c>
      <c r="L5222">
        <v>3</v>
      </c>
      <c r="M5222">
        <v>1</v>
      </c>
      <c r="N5222">
        <v>5</v>
      </c>
      <c r="O5222" t="s">
        <v>53</v>
      </c>
      <c r="P5222" t="s">
        <v>53</v>
      </c>
      <c r="Q5222" t="s">
        <v>53</v>
      </c>
    </row>
    <row r="5223" spans="1:17" x14ac:dyDescent="0.2">
      <c r="A5223" s="30" t="str">
        <f>IF(C5223&amp;G5223&amp;D5223&lt;&gt;'Funnel setup'!$K$3&amp;'Funnel setup'!$K$4&amp;'Funnel setup'!$K$5,".",IF(A5222=".",1,A5222+1))</f>
        <v>.</v>
      </c>
      <c r="B5223" s="431" t="str">
        <f t="shared" si="81"/>
        <v>Knee Replacement RevisionCCG of GP PracticeNHS NENE CCG (04G)EQ VAS</v>
      </c>
      <c r="C5223" t="s">
        <v>250</v>
      </c>
      <c r="D5223" t="s">
        <v>87</v>
      </c>
      <c r="E5223" t="s">
        <v>621</v>
      </c>
      <c r="F5223" t="s">
        <v>622</v>
      </c>
      <c r="G5223" t="s">
        <v>179</v>
      </c>
      <c r="H5223">
        <v>26</v>
      </c>
      <c r="I5223">
        <v>66.730999999999995</v>
      </c>
      <c r="J5223">
        <v>70.462000000000003</v>
      </c>
      <c r="K5223">
        <v>3.7309999999999999</v>
      </c>
      <c r="L5223">
        <v>11</v>
      </c>
      <c r="M5223">
        <v>4</v>
      </c>
      <c r="N5223">
        <v>11</v>
      </c>
      <c r="O5223" t="s">
        <v>53</v>
      </c>
      <c r="P5223" t="s">
        <v>53</v>
      </c>
      <c r="Q5223" t="s">
        <v>53</v>
      </c>
    </row>
    <row r="5224" spans="1:17" x14ac:dyDescent="0.2">
      <c r="A5224" s="30" t="str">
        <f>IF(C5224&amp;G5224&amp;D5224&lt;&gt;'Funnel setup'!$K$3&amp;'Funnel setup'!$K$4&amp;'Funnel setup'!$K$5,".",IF(A5223=".",1,A5223+1))</f>
        <v>.</v>
      </c>
      <c r="B5224" s="431" t="str">
        <f t="shared" si="81"/>
        <v>Knee Replacement RevisionCCG of GP PracticeNHS NEWARK &amp; SHERWOOD CCG (04H)EQ VAS</v>
      </c>
      <c r="C5224" t="s">
        <v>250</v>
      </c>
      <c r="D5224" t="s">
        <v>87</v>
      </c>
      <c r="E5224" t="s">
        <v>624</v>
      </c>
      <c r="F5224" t="s">
        <v>625</v>
      </c>
      <c r="G5224" t="s">
        <v>179</v>
      </c>
      <c r="H5224" t="s">
        <v>53</v>
      </c>
      <c r="I5224" t="s">
        <v>53</v>
      </c>
      <c r="J5224" t="s">
        <v>53</v>
      </c>
      <c r="K5224" t="s">
        <v>53</v>
      </c>
      <c r="L5224" t="s">
        <v>53</v>
      </c>
      <c r="M5224" t="s">
        <v>53</v>
      </c>
      <c r="N5224" t="s">
        <v>53</v>
      </c>
      <c r="O5224" t="s">
        <v>53</v>
      </c>
      <c r="P5224" t="s">
        <v>53</v>
      </c>
      <c r="Q5224" t="s">
        <v>53</v>
      </c>
    </row>
    <row r="5225" spans="1:17" x14ac:dyDescent="0.2">
      <c r="A5225" s="30" t="str">
        <f>IF(C5225&amp;G5225&amp;D5225&lt;&gt;'Funnel setup'!$K$3&amp;'Funnel setup'!$K$4&amp;'Funnel setup'!$K$5,".",IF(A5224=".",1,A5224+1))</f>
        <v>.</v>
      </c>
      <c r="B5225" s="431" t="str">
        <f t="shared" si="81"/>
        <v>Knee Replacement RevisionCCG of GP PracticeNHS NEWBURY AND DISTRICT CCG (10M)EQ VAS</v>
      </c>
      <c r="C5225" t="s">
        <v>250</v>
      </c>
      <c r="D5225" t="s">
        <v>87</v>
      </c>
      <c r="E5225" t="s">
        <v>627</v>
      </c>
      <c r="F5225" t="s">
        <v>628</v>
      </c>
      <c r="G5225" t="s">
        <v>179</v>
      </c>
      <c r="H5225" t="s">
        <v>53</v>
      </c>
      <c r="I5225" t="s">
        <v>53</v>
      </c>
      <c r="J5225" t="s">
        <v>53</v>
      </c>
      <c r="K5225" t="s">
        <v>53</v>
      </c>
      <c r="L5225" t="s">
        <v>53</v>
      </c>
      <c r="M5225" t="s">
        <v>53</v>
      </c>
      <c r="N5225" t="s">
        <v>53</v>
      </c>
      <c r="O5225" t="s">
        <v>53</v>
      </c>
      <c r="P5225" t="s">
        <v>53</v>
      </c>
      <c r="Q5225" t="s">
        <v>53</v>
      </c>
    </row>
    <row r="5226" spans="1:17" x14ac:dyDescent="0.2">
      <c r="A5226" s="30" t="str">
        <f>IF(C5226&amp;G5226&amp;D5226&lt;&gt;'Funnel setup'!$K$3&amp;'Funnel setup'!$K$4&amp;'Funnel setup'!$K$5,".",IF(A5225=".",1,A5225+1))</f>
        <v>.</v>
      </c>
      <c r="B5226" s="431" t="str">
        <f t="shared" si="81"/>
        <v>Knee Replacement RevisionCCG of GP PracticeNHS NEWCASTLE GATESHEAD CCG (13T)EQ VAS</v>
      </c>
      <c r="C5226" t="s">
        <v>250</v>
      </c>
      <c r="D5226" t="s">
        <v>87</v>
      </c>
      <c r="E5226" t="s">
        <v>6553</v>
      </c>
      <c r="F5226" t="s">
        <v>6543</v>
      </c>
      <c r="G5226" t="s">
        <v>179</v>
      </c>
      <c r="H5226">
        <v>15</v>
      </c>
      <c r="I5226">
        <v>58.866999999999997</v>
      </c>
      <c r="J5226">
        <v>61.667000000000002</v>
      </c>
      <c r="K5226">
        <v>2.8</v>
      </c>
      <c r="L5226">
        <v>8</v>
      </c>
      <c r="M5226">
        <v>1</v>
      </c>
      <c r="N5226">
        <v>6</v>
      </c>
      <c r="O5226" t="s">
        <v>53</v>
      </c>
      <c r="P5226" t="s">
        <v>53</v>
      </c>
      <c r="Q5226" t="s">
        <v>53</v>
      </c>
    </row>
    <row r="5227" spans="1:17" x14ac:dyDescent="0.2">
      <c r="A5227" s="30" t="str">
        <f>IF(C5227&amp;G5227&amp;D5227&lt;&gt;'Funnel setup'!$K$3&amp;'Funnel setup'!$K$4&amp;'Funnel setup'!$K$5,".",IF(A5226=".",1,A5226+1))</f>
        <v>.</v>
      </c>
      <c r="B5227" s="431" t="str">
        <f t="shared" si="81"/>
        <v>Knee Replacement RevisionCCG of GP PracticeNHS NEWHAM CCG (08M)EQ VAS</v>
      </c>
      <c r="C5227" t="s">
        <v>250</v>
      </c>
      <c r="D5227" t="s">
        <v>87</v>
      </c>
      <c r="E5227" t="s">
        <v>630</v>
      </c>
      <c r="F5227" t="s">
        <v>631</v>
      </c>
      <c r="G5227" t="s">
        <v>179</v>
      </c>
      <c r="H5227" t="s">
        <v>53</v>
      </c>
      <c r="I5227" t="s">
        <v>53</v>
      </c>
      <c r="J5227" t="s">
        <v>53</v>
      </c>
      <c r="K5227" t="s">
        <v>53</v>
      </c>
      <c r="L5227" t="s">
        <v>53</v>
      </c>
      <c r="M5227" t="s">
        <v>53</v>
      </c>
      <c r="N5227" t="s">
        <v>53</v>
      </c>
      <c r="O5227" t="s">
        <v>53</v>
      </c>
      <c r="P5227" t="s">
        <v>53</v>
      </c>
      <c r="Q5227" t="s">
        <v>53</v>
      </c>
    </row>
    <row r="5228" spans="1:17" x14ac:dyDescent="0.2">
      <c r="A5228" s="30" t="str">
        <f>IF(C5228&amp;G5228&amp;D5228&lt;&gt;'Funnel setup'!$K$3&amp;'Funnel setup'!$K$4&amp;'Funnel setup'!$K$5,".",IF(A5227=".",1,A5227+1))</f>
        <v>.</v>
      </c>
      <c r="B5228" s="431" t="str">
        <f t="shared" si="81"/>
        <v>Knee Replacement RevisionCCG of GP PracticeNHS NORTH DERBYSHIRE CCG (04J)EQ VAS</v>
      </c>
      <c r="C5228" t="s">
        <v>250</v>
      </c>
      <c r="D5228" t="s">
        <v>87</v>
      </c>
      <c r="E5228" t="s">
        <v>636</v>
      </c>
      <c r="F5228" t="s">
        <v>637</v>
      </c>
      <c r="G5228" t="s">
        <v>179</v>
      </c>
      <c r="H5228">
        <v>8</v>
      </c>
      <c r="I5228">
        <v>59.125</v>
      </c>
      <c r="J5228">
        <v>61.125</v>
      </c>
      <c r="K5228">
        <v>2</v>
      </c>
      <c r="L5228">
        <v>6</v>
      </c>
      <c r="M5228">
        <v>0</v>
      </c>
      <c r="N5228">
        <v>2</v>
      </c>
      <c r="O5228" t="s">
        <v>53</v>
      </c>
      <c r="P5228" t="s">
        <v>53</v>
      </c>
      <c r="Q5228" t="s">
        <v>53</v>
      </c>
    </row>
    <row r="5229" spans="1:17" x14ac:dyDescent="0.2">
      <c r="A5229" s="30" t="str">
        <f>IF(C5229&amp;G5229&amp;D5229&lt;&gt;'Funnel setup'!$K$3&amp;'Funnel setup'!$K$4&amp;'Funnel setup'!$K$5,".",IF(A5228=".",1,A5228+1))</f>
        <v>.</v>
      </c>
      <c r="B5229" s="431" t="str">
        <f t="shared" si="81"/>
        <v>Knee Replacement RevisionCCG of GP PracticeNHS NORTH DURHAM CCG (00J)EQ VAS</v>
      </c>
      <c r="C5229" t="s">
        <v>250</v>
      </c>
      <c r="D5229" t="s">
        <v>87</v>
      </c>
      <c r="E5229" t="s">
        <v>639</v>
      </c>
      <c r="F5229" t="s">
        <v>640</v>
      </c>
      <c r="G5229" t="s">
        <v>179</v>
      </c>
      <c r="H5229" t="s">
        <v>53</v>
      </c>
      <c r="I5229" t="s">
        <v>53</v>
      </c>
      <c r="J5229" t="s">
        <v>53</v>
      </c>
      <c r="K5229" t="s">
        <v>53</v>
      </c>
      <c r="L5229" t="s">
        <v>53</v>
      </c>
      <c r="M5229" t="s">
        <v>53</v>
      </c>
      <c r="N5229" t="s">
        <v>53</v>
      </c>
      <c r="O5229" t="s">
        <v>53</v>
      </c>
      <c r="P5229" t="s">
        <v>53</v>
      </c>
      <c r="Q5229" t="s">
        <v>53</v>
      </c>
    </row>
    <row r="5230" spans="1:17" x14ac:dyDescent="0.2">
      <c r="A5230" s="30" t="str">
        <f>IF(C5230&amp;G5230&amp;D5230&lt;&gt;'Funnel setup'!$K$3&amp;'Funnel setup'!$K$4&amp;'Funnel setup'!$K$5,".",IF(A5229=".",1,A5229+1))</f>
        <v>.</v>
      </c>
      <c r="B5230" s="431" t="str">
        <f t="shared" si="81"/>
        <v>Knee Replacement RevisionCCG of GP PracticeNHS NORTH EAST ESSEX CCG (06T)EQ VAS</v>
      </c>
      <c r="C5230" t="s">
        <v>250</v>
      </c>
      <c r="D5230" t="s">
        <v>87</v>
      </c>
      <c r="E5230" t="s">
        <v>642</v>
      </c>
      <c r="F5230" t="s">
        <v>643</v>
      </c>
      <c r="G5230" t="s">
        <v>179</v>
      </c>
      <c r="H5230">
        <v>12</v>
      </c>
      <c r="I5230">
        <v>62.667000000000002</v>
      </c>
      <c r="J5230">
        <v>70</v>
      </c>
      <c r="K5230">
        <v>7.3330000000000002</v>
      </c>
      <c r="L5230">
        <v>5</v>
      </c>
      <c r="M5230">
        <v>3</v>
      </c>
      <c r="N5230">
        <v>4</v>
      </c>
      <c r="O5230" t="s">
        <v>53</v>
      </c>
      <c r="P5230" t="s">
        <v>53</v>
      </c>
      <c r="Q5230" t="s">
        <v>53</v>
      </c>
    </row>
    <row r="5231" spans="1:17" x14ac:dyDescent="0.2">
      <c r="A5231" s="30" t="str">
        <f>IF(C5231&amp;G5231&amp;D5231&lt;&gt;'Funnel setup'!$K$3&amp;'Funnel setup'!$K$4&amp;'Funnel setup'!$K$5,".",IF(A5230=".",1,A5230+1))</f>
        <v>.</v>
      </c>
      <c r="B5231" s="431" t="str">
        <f t="shared" si="81"/>
        <v>Knee Replacement RevisionCCG of GP PracticeNHS NORTH EAST HAMPSHIRE AND FARNHAM CCG (99M)EQ VAS</v>
      </c>
      <c r="C5231" t="s">
        <v>250</v>
      </c>
      <c r="D5231" t="s">
        <v>87</v>
      </c>
      <c r="E5231" t="s">
        <v>645</v>
      </c>
      <c r="F5231" t="s">
        <v>646</v>
      </c>
      <c r="G5231" t="s">
        <v>179</v>
      </c>
      <c r="H5231" t="s">
        <v>53</v>
      </c>
      <c r="I5231" t="s">
        <v>53</v>
      </c>
      <c r="J5231" t="s">
        <v>53</v>
      </c>
      <c r="K5231" t="s">
        <v>53</v>
      </c>
      <c r="L5231" t="s">
        <v>53</v>
      </c>
      <c r="M5231" t="s">
        <v>53</v>
      </c>
      <c r="N5231" t="s">
        <v>53</v>
      </c>
      <c r="O5231" t="s">
        <v>53</v>
      </c>
      <c r="P5231" t="s">
        <v>53</v>
      </c>
      <c r="Q5231" t="s">
        <v>53</v>
      </c>
    </row>
    <row r="5232" spans="1:17" x14ac:dyDescent="0.2">
      <c r="A5232" s="30" t="str">
        <f>IF(C5232&amp;G5232&amp;D5232&lt;&gt;'Funnel setup'!$K$3&amp;'Funnel setup'!$K$4&amp;'Funnel setup'!$K$5,".",IF(A5231=".",1,A5231+1))</f>
        <v>.</v>
      </c>
      <c r="B5232" s="431" t="str">
        <f t="shared" si="81"/>
        <v>Knee Replacement RevisionCCG of GP PracticeNHS NORTH EAST LINCOLNSHIRE CCG (03H)EQ VAS</v>
      </c>
      <c r="C5232" t="s">
        <v>250</v>
      </c>
      <c r="D5232" t="s">
        <v>87</v>
      </c>
      <c r="E5232" t="s">
        <v>648</v>
      </c>
      <c r="F5232" t="s">
        <v>649</v>
      </c>
      <c r="G5232" t="s">
        <v>179</v>
      </c>
      <c r="H5232" t="s">
        <v>53</v>
      </c>
      <c r="I5232" t="s">
        <v>53</v>
      </c>
      <c r="J5232" t="s">
        <v>53</v>
      </c>
      <c r="K5232" t="s">
        <v>53</v>
      </c>
      <c r="L5232" t="s">
        <v>53</v>
      </c>
      <c r="M5232" t="s">
        <v>53</v>
      </c>
      <c r="N5232" t="s">
        <v>53</v>
      </c>
      <c r="O5232" t="s">
        <v>53</v>
      </c>
      <c r="P5232" t="s">
        <v>53</v>
      </c>
      <c r="Q5232" t="s">
        <v>53</v>
      </c>
    </row>
    <row r="5233" spans="1:17" x14ac:dyDescent="0.2">
      <c r="A5233" s="30" t="str">
        <f>IF(C5233&amp;G5233&amp;D5233&lt;&gt;'Funnel setup'!$K$3&amp;'Funnel setup'!$K$4&amp;'Funnel setup'!$K$5,".",IF(A5232=".",1,A5232+1))</f>
        <v>.</v>
      </c>
      <c r="B5233" s="431" t="str">
        <f t="shared" si="81"/>
        <v>Knee Replacement RevisionCCG of GP PracticeNHS NORTH HAMPSHIRE CCG (10J)EQ VAS</v>
      </c>
      <c r="C5233" t="s">
        <v>250</v>
      </c>
      <c r="D5233" t="s">
        <v>87</v>
      </c>
      <c r="E5233" t="s">
        <v>651</v>
      </c>
      <c r="F5233" t="s">
        <v>652</v>
      </c>
      <c r="G5233" t="s">
        <v>179</v>
      </c>
      <c r="H5233">
        <v>8</v>
      </c>
      <c r="I5233">
        <v>57.5</v>
      </c>
      <c r="J5233">
        <v>61.25</v>
      </c>
      <c r="K5233">
        <v>3.75</v>
      </c>
      <c r="L5233">
        <v>3</v>
      </c>
      <c r="M5233">
        <v>2</v>
      </c>
      <c r="N5233">
        <v>3</v>
      </c>
      <c r="O5233" t="s">
        <v>53</v>
      </c>
      <c r="P5233" t="s">
        <v>53</v>
      </c>
      <c r="Q5233" t="s">
        <v>53</v>
      </c>
    </row>
    <row r="5234" spans="1:17" x14ac:dyDescent="0.2">
      <c r="A5234" s="30" t="str">
        <f>IF(C5234&amp;G5234&amp;D5234&lt;&gt;'Funnel setup'!$K$3&amp;'Funnel setup'!$K$4&amp;'Funnel setup'!$K$5,".",IF(A5233=".",1,A5233+1))</f>
        <v>.</v>
      </c>
      <c r="B5234" s="431" t="str">
        <f t="shared" si="81"/>
        <v>Knee Replacement RevisionCCG of GP PracticeNHS NORTH KIRKLEES CCG (03J)EQ VAS</v>
      </c>
      <c r="C5234" t="s">
        <v>250</v>
      </c>
      <c r="D5234" t="s">
        <v>87</v>
      </c>
      <c r="E5234" t="s">
        <v>654</v>
      </c>
      <c r="F5234" t="s">
        <v>655</v>
      </c>
      <c r="G5234" t="s">
        <v>179</v>
      </c>
      <c r="H5234">
        <v>7</v>
      </c>
      <c r="I5234">
        <v>68.286000000000001</v>
      </c>
      <c r="J5234">
        <v>70</v>
      </c>
      <c r="K5234">
        <v>1.714</v>
      </c>
      <c r="L5234">
        <v>3</v>
      </c>
      <c r="M5234">
        <v>0</v>
      </c>
      <c r="N5234">
        <v>4</v>
      </c>
      <c r="O5234" t="s">
        <v>53</v>
      </c>
      <c r="P5234" t="s">
        <v>53</v>
      </c>
      <c r="Q5234" t="s">
        <v>53</v>
      </c>
    </row>
    <row r="5235" spans="1:17" x14ac:dyDescent="0.2">
      <c r="A5235" s="30" t="str">
        <f>IF(C5235&amp;G5235&amp;D5235&lt;&gt;'Funnel setup'!$K$3&amp;'Funnel setup'!$K$4&amp;'Funnel setup'!$K$5,".",IF(A5234=".",1,A5234+1))</f>
        <v>.</v>
      </c>
      <c r="B5235" s="431" t="str">
        <f t="shared" si="81"/>
        <v>Knee Replacement RevisionCCG of GP PracticeNHS NORTH LINCOLNSHIRE CCG (03K)EQ VAS</v>
      </c>
      <c r="C5235" t="s">
        <v>250</v>
      </c>
      <c r="D5235" t="s">
        <v>87</v>
      </c>
      <c r="E5235" t="s">
        <v>657</v>
      </c>
      <c r="F5235" t="s">
        <v>658</v>
      </c>
      <c r="G5235" t="s">
        <v>179</v>
      </c>
      <c r="H5235" t="s">
        <v>53</v>
      </c>
      <c r="I5235" t="s">
        <v>53</v>
      </c>
      <c r="J5235" t="s">
        <v>53</v>
      </c>
      <c r="K5235" t="s">
        <v>53</v>
      </c>
      <c r="L5235" t="s">
        <v>53</v>
      </c>
      <c r="M5235" t="s">
        <v>53</v>
      </c>
      <c r="N5235" t="s">
        <v>53</v>
      </c>
      <c r="O5235" t="s">
        <v>53</v>
      </c>
      <c r="P5235" t="s">
        <v>53</v>
      </c>
      <c r="Q5235" t="s">
        <v>53</v>
      </c>
    </row>
    <row r="5236" spans="1:17" x14ac:dyDescent="0.2">
      <c r="A5236" s="30" t="str">
        <f>IF(C5236&amp;G5236&amp;D5236&lt;&gt;'Funnel setup'!$K$3&amp;'Funnel setup'!$K$4&amp;'Funnel setup'!$K$5,".",IF(A5235=".",1,A5235+1))</f>
        <v>.</v>
      </c>
      <c r="B5236" s="431" t="str">
        <f t="shared" si="81"/>
        <v>Knee Replacement RevisionCCG of GP PracticeNHS NORTH MANCHESTER CCG (01M)EQ VAS</v>
      </c>
      <c r="C5236" t="s">
        <v>250</v>
      </c>
      <c r="D5236" t="s">
        <v>87</v>
      </c>
      <c r="E5236" t="s">
        <v>660</v>
      </c>
      <c r="F5236" t="s">
        <v>661</v>
      </c>
      <c r="G5236" t="s">
        <v>179</v>
      </c>
      <c r="H5236" t="s">
        <v>53</v>
      </c>
      <c r="I5236" t="s">
        <v>53</v>
      </c>
      <c r="J5236" t="s">
        <v>53</v>
      </c>
      <c r="K5236" t="s">
        <v>53</v>
      </c>
      <c r="L5236" t="s">
        <v>53</v>
      </c>
      <c r="M5236" t="s">
        <v>53</v>
      </c>
      <c r="N5236" t="s">
        <v>53</v>
      </c>
      <c r="O5236" t="s">
        <v>53</v>
      </c>
      <c r="P5236" t="s">
        <v>53</v>
      </c>
      <c r="Q5236" t="s">
        <v>53</v>
      </c>
    </row>
    <row r="5237" spans="1:17" x14ac:dyDescent="0.2">
      <c r="A5237" s="30" t="str">
        <f>IF(C5237&amp;G5237&amp;D5237&lt;&gt;'Funnel setup'!$K$3&amp;'Funnel setup'!$K$4&amp;'Funnel setup'!$K$5,".",IF(A5236=".",1,A5236+1))</f>
        <v>.</v>
      </c>
      <c r="B5237" s="431" t="str">
        <f t="shared" si="81"/>
        <v>Knee Replacement RevisionCCG of GP PracticeNHS NORTH NORFOLK CCG (06V)EQ VAS</v>
      </c>
      <c r="C5237" t="s">
        <v>250</v>
      </c>
      <c r="D5237" t="s">
        <v>87</v>
      </c>
      <c r="E5237" t="s">
        <v>663</v>
      </c>
      <c r="F5237" t="s">
        <v>664</v>
      </c>
      <c r="G5237" t="s">
        <v>179</v>
      </c>
      <c r="H5237">
        <v>7</v>
      </c>
      <c r="I5237">
        <v>74.286000000000001</v>
      </c>
      <c r="J5237">
        <v>69</v>
      </c>
      <c r="K5237">
        <v>-5.2859999999999996</v>
      </c>
      <c r="L5237">
        <v>4</v>
      </c>
      <c r="M5237">
        <v>0</v>
      </c>
      <c r="N5237">
        <v>3</v>
      </c>
      <c r="O5237" t="s">
        <v>53</v>
      </c>
      <c r="P5237" t="s">
        <v>53</v>
      </c>
      <c r="Q5237" t="s">
        <v>53</v>
      </c>
    </row>
    <row r="5238" spans="1:17" x14ac:dyDescent="0.2">
      <c r="A5238" s="30" t="str">
        <f>IF(C5238&amp;G5238&amp;D5238&lt;&gt;'Funnel setup'!$K$3&amp;'Funnel setup'!$K$4&amp;'Funnel setup'!$K$5,".",IF(A5237=".",1,A5237+1))</f>
        <v>.</v>
      </c>
      <c r="B5238" s="431" t="str">
        <f t="shared" si="81"/>
        <v>Knee Replacement RevisionCCG of GP PracticeNHS NORTH SOMERSET CCG (11T)EQ VAS</v>
      </c>
      <c r="C5238" t="s">
        <v>250</v>
      </c>
      <c r="D5238" t="s">
        <v>87</v>
      </c>
      <c r="E5238" t="s">
        <v>666</v>
      </c>
      <c r="F5238" t="s">
        <v>667</v>
      </c>
      <c r="G5238" t="s">
        <v>179</v>
      </c>
      <c r="H5238">
        <v>10</v>
      </c>
      <c r="I5238">
        <v>63.5</v>
      </c>
      <c r="J5238">
        <v>61.2</v>
      </c>
      <c r="K5238">
        <v>-2.2999999999999998</v>
      </c>
      <c r="L5238">
        <v>3</v>
      </c>
      <c r="M5238">
        <v>0</v>
      </c>
      <c r="N5238">
        <v>7</v>
      </c>
      <c r="O5238" t="s">
        <v>53</v>
      </c>
      <c r="P5238" t="s">
        <v>53</v>
      </c>
      <c r="Q5238" t="s">
        <v>53</v>
      </c>
    </row>
    <row r="5239" spans="1:17" x14ac:dyDescent="0.2">
      <c r="A5239" s="30" t="str">
        <f>IF(C5239&amp;G5239&amp;D5239&lt;&gt;'Funnel setup'!$K$3&amp;'Funnel setup'!$K$4&amp;'Funnel setup'!$K$5,".",IF(A5238=".",1,A5238+1))</f>
        <v>.</v>
      </c>
      <c r="B5239" s="431" t="str">
        <f t="shared" si="81"/>
        <v>Knee Replacement RevisionCCG of GP PracticeNHS NORTH STAFFORDSHIRE CCG (05G)EQ VAS</v>
      </c>
      <c r="C5239" t="s">
        <v>250</v>
      </c>
      <c r="D5239" t="s">
        <v>87</v>
      </c>
      <c r="E5239" t="s">
        <v>669</v>
      </c>
      <c r="F5239" t="s">
        <v>670</v>
      </c>
      <c r="G5239" t="s">
        <v>179</v>
      </c>
      <c r="H5239" t="s">
        <v>53</v>
      </c>
      <c r="I5239" t="s">
        <v>53</v>
      </c>
      <c r="J5239" t="s">
        <v>53</v>
      </c>
      <c r="K5239" t="s">
        <v>53</v>
      </c>
      <c r="L5239" t="s">
        <v>53</v>
      </c>
      <c r="M5239" t="s">
        <v>53</v>
      </c>
      <c r="N5239" t="s">
        <v>53</v>
      </c>
      <c r="O5239" t="s">
        <v>53</v>
      </c>
      <c r="P5239" t="s">
        <v>53</v>
      </c>
      <c r="Q5239" t="s">
        <v>53</v>
      </c>
    </row>
    <row r="5240" spans="1:17" x14ac:dyDescent="0.2">
      <c r="A5240" s="30" t="str">
        <f>IF(C5240&amp;G5240&amp;D5240&lt;&gt;'Funnel setup'!$K$3&amp;'Funnel setup'!$K$4&amp;'Funnel setup'!$K$5,".",IF(A5239=".",1,A5239+1))</f>
        <v>.</v>
      </c>
      <c r="B5240" s="431" t="str">
        <f t="shared" si="81"/>
        <v>Knee Replacement RevisionCCG of GP PracticeNHS NORTH TYNESIDE CCG (99C)EQ VAS</v>
      </c>
      <c r="C5240" t="s">
        <v>250</v>
      </c>
      <c r="D5240" t="s">
        <v>87</v>
      </c>
      <c r="E5240" t="s">
        <v>672</v>
      </c>
      <c r="F5240" t="s">
        <v>673</v>
      </c>
      <c r="G5240" t="s">
        <v>179</v>
      </c>
      <c r="H5240" t="s">
        <v>53</v>
      </c>
      <c r="I5240" t="s">
        <v>53</v>
      </c>
      <c r="J5240" t="s">
        <v>53</v>
      </c>
      <c r="K5240" t="s">
        <v>53</v>
      </c>
      <c r="L5240" t="s">
        <v>53</v>
      </c>
      <c r="M5240" t="s">
        <v>53</v>
      </c>
      <c r="N5240" t="s">
        <v>53</v>
      </c>
      <c r="O5240" t="s">
        <v>53</v>
      </c>
      <c r="P5240" t="s">
        <v>53</v>
      </c>
      <c r="Q5240" t="s">
        <v>53</v>
      </c>
    </row>
    <row r="5241" spans="1:17" x14ac:dyDescent="0.2">
      <c r="A5241" s="30" t="str">
        <f>IF(C5241&amp;G5241&amp;D5241&lt;&gt;'Funnel setup'!$K$3&amp;'Funnel setup'!$K$4&amp;'Funnel setup'!$K$5,".",IF(A5240=".",1,A5240+1))</f>
        <v>.</v>
      </c>
      <c r="B5241" s="431" t="str">
        <f t="shared" si="81"/>
        <v>Knee Replacement RevisionCCG of GP PracticeNHS NORTH WEST SURREY CCG (09Y)EQ VAS</v>
      </c>
      <c r="C5241" t="s">
        <v>250</v>
      </c>
      <c r="D5241" t="s">
        <v>87</v>
      </c>
      <c r="E5241" t="s">
        <v>675</v>
      </c>
      <c r="F5241" t="s">
        <v>676</v>
      </c>
      <c r="G5241" t="s">
        <v>179</v>
      </c>
      <c r="H5241">
        <v>9</v>
      </c>
      <c r="I5241">
        <v>65.888999999999996</v>
      </c>
      <c r="J5241">
        <v>62</v>
      </c>
      <c r="K5241">
        <v>-3.8889999999999998</v>
      </c>
      <c r="L5241">
        <v>4</v>
      </c>
      <c r="M5241">
        <v>1</v>
      </c>
      <c r="N5241">
        <v>4</v>
      </c>
      <c r="O5241" t="s">
        <v>53</v>
      </c>
      <c r="P5241" t="s">
        <v>53</v>
      </c>
      <c r="Q5241" t="s">
        <v>53</v>
      </c>
    </row>
    <row r="5242" spans="1:17" x14ac:dyDescent="0.2">
      <c r="A5242" s="30" t="str">
        <f>IF(C5242&amp;G5242&amp;D5242&lt;&gt;'Funnel setup'!$K$3&amp;'Funnel setup'!$K$4&amp;'Funnel setup'!$K$5,".",IF(A5241=".",1,A5241+1))</f>
        <v>.</v>
      </c>
      <c r="B5242" s="431" t="str">
        <f t="shared" si="81"/>
        <v>Knee Replacement RevisionCCG of GP PracticeNHS NORTHERN, EASTERN AND WESTERN DEVON CCG (99P)EQ VAS</v>
      </c>
      <c r="C5242" t="s">
        <v>250</v>
      </c>
      <c r="D5242" t="s">
        <v>87</v>
      </c>
      <c r="E5242" t="s">
        <v>678</v>
      </c>
      <c r="F5242" t="s">
        <v>679</v>
      </c>
      <c r="G5242" t="s">
        <v>179</v>
      </c>
      <c r="H5242">
        <v>53</v>
      </c>
      <c r="I5242">
        <v>60.942999999999998</v>
      </c>
      <c r="J5242">
        <v>67.83</v>
      </c>
      <c r="K5242">
        <v>6.8869999999999996</v>
      </c>
      <c r="L5242">
        <v>28</v>
      </c>
      <c r="M5242">
        <v>11</v>
      </c>
      <c r="N5242">
        <v>14</v>
      </c>
      <c r="O5242">
        <v>68.236999999999995</v>
      </c>
      <c r="P5242">
        <v>3.7806829020000001</v>
      </c>
      <c r="Q5242">
        <v>15.747</v>
      </c>
    </row>
    <row r="5243" spans="1:17" x14ac:dyDescent="0.2">
      <c r="A5243" s="30" t="str">
        <f>IF(C5243&amp;G5243&amp;D5243&lt;&gt;'Funnel setup'!$K$3&amp;'Funnel setup'!$K$4&amp;'Funnel setup'!$K$5,".",IF(A5242=".",1,A5242+1))</f>
        <v>.</v>
      </c>
      <c r="B5243" s="431" t="str">
        <f t="shared" si="81"/>
        <v>Knee Replacement RevisionCCG of GP PracticeNHS NORTHUMBERLAND CCG (00L)EQ VAS</v>
      </c>
      <c r="C5243" t="s">
        <v>250</v>
      </c>
      <c r="D5243" t="s">
        <v>87</v>
      </c>
      <c r="E5243" t="s">
        <v>681</v>
      </c>
      <c r="F5243" t="s">
        <v>336</v>
      </c>
      <c r="G5243" t="s">
        <v>179</v>
      </c>
      <c r="H5243">
        <v>13</v>
      </c>
      <c r="I5243">
        <v>59.615000000000002</v>
      </c>
      <c r="J5243">
        <v>66.462000000000003</v>
      </c>
      <c r="K5243">
        <v>6.8460000000000001</v>
      </c>
      <c r="L5243">
        <v>8</v>
      </c>
      <c r="M5243">
        <v>1</v>
      </c>
      <c r="N5243">
        <v>4</v>
      </c>
      <c r="O5243" t="s">
        <v>53</v>
      </c>
      <c r="P5243" t="s">
        <v>53</v>
      </c>
      <c r="Q5243" t="s">
        <v>53</v>
      </c>
    </row>
    <row r="5244" spans="1:17" x14ac:dyDescent="0.2">
      <c r="A5244" s="30" t="str">
        <f>IF(C5244&amp;G5244&amp;D5244&lt;&gt;'Funnel setup'!$K$3&amp;'Funnel setup'!$K$4&amp;'Funnel setup'!$K$5,".",IF(A5243=".",1,A5243+1))</f>
        <v>.</v>
      </c>
      <c r="B5244" s="431" t="str">
        <f t="shared" si="81"/>
        <v>Knee Replacement RevisionCCG of GP PracticeNHS NORWICH CCG (06W)EQ VAS</v>
      </c>
      <c r="C5244" t="s">
        <v>250</v>
      </c>
      <c r="D5244" t="s">
        <v>87</v>
      </c>
      <c r="E5244" t="s">
        <v>770</v>
      </c>
      <c r="F5244" t="s">
        <v>771</v>
      </c>
      <c r="G5244" t="s">
        <v>179</v>
      </c>
      <c r="H5244">
        <v>7</v>
      </c>
      <c r="I5244">
        <v>77.286000000000001</v>
      </c>
      <c r="J5244">
        <v>73.286000000000001</v>
      </c>
      <c r="K5244">
        <v>-4</v>
      </c>
      <c r="L5244">
        <v>2</v>
      </c>
      <c r="M5244">
        <v>2</v>
      </c>
      <c r="N5244">
        <v>3</v>
      </c>
      <c r="O5244" t="s">
        <v>53</v>
      </c>
      <c r="P5244" t="s">
        <v>53</v>
      </c>
      <c r="Q5244" t="s">
        <v>53</v>
      </c>
    </row>
    <row r="5245" spans="1:17" x14ac:dyDescent="0.2">
      <c r="A5245" s="30" t="str">
        <f>IF(C5245&amp;G5245&amp;D5245&lt;&gt;'Funnel setup'!$K$3&amp;'Funnel setup'!$K$4&amp;'Funnel setup'!$K$5,".",IF(A5244=".",1,A5244+1))</f>
        <v>.</v>
      </c>
      <c r="B5245" s="431" t="str">
        <f t="shared" si="81"/>
        <v>Knee Replacement RevisionCCG of GP PracticeNHS NOTTINGHAM CITY CCG (04K)EQ VAS</v>
      </c>
      <c r="C5245" t="s">
        <v>250</v>
      </c>
      <c r="D5245" t="s">
        <v>87</v>
      </c>
      <c r="E5245" t="s">
        <v>773</v>
      </c>
      <c r="F5245" t="s">
        <v>774</v>
      </c>
      <c r="G5245" t="s">
        <v>179</v>
      </c>
      <c r="H5245">
        <v>9</v>
      </c>
      <c r="I5245">
        <v>61.555999999999997</v>
      </c>
      <c r="J5245">
        <v>63.555999999999997</v>
      </c>
      <c r="K5245">
        <v>2</v>
      </c>
      <c r="L5245">
        <v>5</v>
      </c>
      <c r="M5245">
        <v>1</v>
      </c>
      <c r="N5245">
        <v>3</v>
      </c>
      <c r="O5245" t="s">
        <v>53</v>
      </c>
      <c r="P5245" t="s">
        <v>53</v>
      </c>
      <c r="Q5245" t="s">
        <v>53</v>
      </c>
    </row>
    <row r="5246" spans="1:17" x14ac:dyDescent="0.2">
      <c r="A5246" s="30" t="str">
        <f>IF(C5246&amp;G5246&amp;D5246&lt;&gt;'Funnel setup'!$K$3&amp;'Funnel setup'!$K$4&amp;'Funnel setup'!$K$5,".",IF(A5245=".",1,A5245+1))</f>
        <v>.</v>
      </c>
      <c r="B5246" s="431" t="str">
        <f t="shared" si="81"/>
        <v>Knee Replacement RevisionCCG of GP PracticeNHS NOTTINGHAM NORTH AND EAST CCG (04L)EQ VAS</v>
      </c>
      <c r="C5246" t="s">
        <v>250</v>
      </c>
      <c r="D5246" t="s">
        <v>87</v>
      </c>
      <c r="E5246" t="s">
        <v>776</v>
      </c>
      <c r="F5246" t="s">
        <v>777</v>
      </c>
      <c r="G5246" t="s">
        <v>179</v>
      </c>
      <c r="H5246" t="s">
        <v>53</v>
      </c>
      <c r="I5246" t="s">
        <v>53</v>
      </c>
      <c r="J5246" t="s">
        <v>53</v>
      </c>
      <c r="K5246" t="s">
        <v>53</v>
      </c>
      <c r="L5246" t="s">
        <v>53</v>
      </c>
      <c r="M5246" t="s">
        <v>53</v>
      </c>
      <c r="N5246" t="s">
        <v>53</v>
      </c>
      <c r="O5246" t="s">
        <v>53</v>
      </c>
      <c r="P5246" t="s">
        <v>53</v>
      </c>
      <c r="Q5246" t="s">
        <v>53</v>
      </c>
    </row>
    <row r="5247" spans="1:17" x14ac:dyDescent="0.2">
      <c r="A5247" s="30" t="str">
        <f>IF(C5247&amp;G5247&amp;D5247&lt;&gt;'Funnel setup'!$K$3&amp;'Funnel setup'!$K$4&amp;'Funnel setup'!$K$5,".",IF(A5246=".",1,A5246+1))</f>
        <v>.</v>
      </c>
      <c r="B5247" s="431" t="str">
        <f t="shared" si="81"/>
        <v>Knee Replacement RevisionCCG of GP PracticeNHS NOTTINGHAM WEST CCG (04M)EQ VAS</v>
      </c>
      <c r="C5247" t="s">
        <v>250</v>
      </c>
      <c r="D5247" t="s">
        <v>87</v>
      </c>
      <c r="E5247" t="s">
        <v>779</v>
      </c>
      <c r="F5247" t="s">
        <v>780</v>
      </c>
      <c r="G5247" t="s">
        <v>179</v>
      </c>
      <c r="H5247" t="s">
        <v>53</v>
      </c>
      <c r="I5247" t="s">
        <v>53</v>
      </c>
      <c r="J5247" t="s">
        <v>53</v>
      </c>
      <c r="K5247" t="s">
        <v>53</v>
      </c>
      <c r="L5247" t="s">
        <v>53</v>
      </c>
      <c r="M5247" t="s">
        <v>53</v>
      </c>
      <c r="N5247" t="s">
        <v>53</v>
      </c>
      <c r="O5247" t="s">
        <v>53</v>
      </c>
      <c r="P5247" t="s">
        <v>53</v>
      </c>
      <c r="Q5247" t="s">
        <v>53</v>
      </c>
    </row>
    <row r="5248" spans="1:17" x14ac:dyDescent="0.2">
      <c r="A5248" s="30" t="str">
        <f>IF(C5248&amp;G5248&amp;D5248&lt;&gt;'Funnel setup'!$K$3&amp;'Funnel setup'!$K$4&amp;'Funnel setup'!$K$5,".",IF(A5247=".",1,A5247+1))</f>
        <v>.</v>
      </c>
      <c r="B5248" s="431" t="str">
        <f t="shared" si="81"/>
        <v>Knee Replacement RevisionCCG of GP PracticeNHS OLDHAM CCG (00Y)EQ VAS</v>
      </c>
      <c r="C5248" t="s">
        <v>250</v>
      </c>
      <c r="D5248" t="s">
        <v>87</v>
      </c>
      <c r="E5248" t="s">
        <v>782</v>
      </c>
      <c r="F5248" t="s">
        <v>783</v>
      </c>
      <c r="G5248" t="s">
        <v>179</v>
      </c>
      <c r="H5248" t="s">
        <v>53</v>
      </c>
      <c r="I5248" t="s">
        <v>53</v>
      </c>
      <c r="J5248" t="s">
        <v>53</v>
      </c>
      <c r="K5248" t="s">
        <v>53</v>
      </c>
      <c r="L5248" t="s">
        <v>53</v>
      </c>
      <c r="M5248" t="s">
        <v>53</v>
      </c>
      <c r="N5248" t="s">
        <v>53</v>
      </c>
      <c r="O5248" t="s">
        <v>53</v>
      </c>
      <c r="P5248" t="s">
        <v>53</v>
      </c>
      <c r="Q5248" t="s">
        <v>53</v>
      </c>
    </row>
    <row r="5249" spans="1:17" x14ac:dyDescent="0.2">
      <c r="A5249" s="30" t="str">
        <f>IF(C5249&amp;G5249&amp;D5249&lt;&gt;'Funnel setup'!$K$3&amp;'Funnel setup'!$K$4&amp;'Funnel setup'!$K$5,".",IF(A5248=".",1,A5248+1))</f>
        <v>.</v>
      </c>
      <c r="B5249" s="431" t="str">
        <f t="shared" si="81"/>
        <v>Knee Replacement RevisionCCG of GP PracticeNHS OXFORDSHIRE CCG (10Q)EQ VAS</v>
      </c>
      <c r="C5249" t="s">
        <v>250</v>
      </c>
      <c r="D5249" t="s">
        <v>87</v>
      </c>
      <c r="E5249" t="s">
        <v>785</v>
      </c>
      <c r="F5249" t="s">
        <v>786</v>
      </c>
      <c r="G5249" t="s">
        <v>179</v>
      </c>
      <c r="H5249">
        <v>23</v>
      </c>
      <c r="I5249">
        <v>66.522000000000006</v>
      </c>
      <c r="J5249">
        <v>64.739000000000004</v>
      </c>
      <c r="K5249">
        <v>-1.7829999999999999</v>
      </c>
      <c r="L5249">
        <v>10</v>
      </c>
      <c r="M5249">
        <v>2</v>
      </c>
      <c r="N5249">
        <v>11</v>
      </c>
      <c r="O5249" t="s">
        <v>53</v>
      </c>
      <c r="P5249" t="s">
        <v>53</v>
      </c>
      <c r="Q5249" t="s">
        <v>53</v>
      </c>
    </row>
    <row r="5250" spans="1:17" x14ac:dyDescent="0.2">
      <c r="A5250" s="30" t="str">
        <f>IF(C5250&amp;G5250&amp;D5250&lt;&gt;'Funnel setup'!$K$3&amp;'Funnel setup'!$K$4&amp;'Funnel setup'!$K$5,".",IF(A5249=".",1,A5249+1))</f>
        <v>.</v>
      </c>
      <c r="B5250" s="431" t="str">
        <f t="shared" si="81"/>
        <v>Knee Replacement RevisionCCG of GP PracticeNHS PORTSMOUTH CCG (10R)EQ VAS</v>
      </c>
      <c r="C5250" t="s">
        <v>250</v>
      </c>
      <c r="D5250" t="s">
        <v>87</v>
      </c>
      <c r="E5250" t="s">
        <v>788</v>
      </c>
      <c r="F5250" t="s">
        <v>789</v>
      </c>
      <c r="G5250" t="s">
        <v>179</v>
      </c>
      <c r="H5250" t="s">
        <v>53</v>
      </c>
      <c r="I5250" t="s">
        <v>53</v>
      </c>
      <c r="J5250" t="s">
        <v>53</v>
      </c>
      <c r="K5250" t="s">
        <v>53</v>
      </c>
      <c r="L5250" t="s">
        <v>53</v>
      </c>
      <c r="M5250" t="s">
        <v>53</v>
      </c>
      <c r="N5250" t="s">
        <v>53</v>
      </c>
      <c r="O5250" t="s">
        <v>53</v>
      </c>
      <c r="P5250" t="s">
        <v>53</v>
      </c>
      <c r="Q5250" t="s">
        <v>53</v>
      </c>
    </row>
    <row r="5251" spans="1:17" x14ac:dyDescent="0.2">
      <c r="A5251" s="30" t="str">
        <f>IF(C5251&amp;G5251&amp;D5251&lt;&gt;'Funnel setup'!$K$3&amp;'Funnel setup'!$K$4&amp;'Funnel setup'!$K$5,".",IF(A5250=".",1,A5250+1))</f>
        <v>.</v>
      </c>
      <c r="B5251" s="431" t="str">
        <f t="shared" ref="B5251:B5314" si="82">C5251&amp;D5251&amp;F5251&amp;G5251</f>
        <v>Knee Replacement RevisionCCG of GP PracticeNHS REDBRIDGE CCG (08N)EQ VAS</v>
      </c>
      <c r="C5251" t="s">
        <v>250</v>
      </c>
      <c r="D5251" t="s">
        <v>87</v>
      </c>
      <c r="E5251" t="s">
        <v>791</v>
      </c>
      <c r="F5251" t="s">
        <v>792</v>
      </c>
      <c r="G5251" t="s">
        <v>179</v>
      </c>
      <c r="H5251" t="s">
        <v>53</v>
      </c>
      <c r="I5251" t="s">
        <v>53</v>
      </c>
      <c r="J5251" t="s">
        <v>53</v>
      </c>
      <c r="K5251" t="s">
        <v>53</v>
      </c>
      <c r="L5251" t="s">
        <v>53</v>
      </c>
      <c r="M5251" t="s">
        <v>53</v>
      </c>
      <c r="N5251" t="s">
        <v>53</v>
      </c>
      <c r="O5251" t="s">
        <v>53</v>
      </c>
      <c r="P5251" t="s">
        <v>53</v>
      </c>
      <c r="Q5251" t="s">
        <v>53</v>
      </c>
    </row>
    <row r="5252" spans="1:17" x14ac:dyDescent="0.2">
      <c r="A5252" s="30" t="str">
        <f>IF(C5252&amp;G5252&amp;D5252&lt;&gt;'Funnel setup'!$K$3&amp;'Funnel setup'!$K$4&amp;'Funnel setup'!$K$5,".",IF(A5251=".",1,A5251+1))</f>
        <v>.</v>
      </c>
      <c r="B5252" s="431" t="str">
        <f t="shared" si="82"/>
        <v>Knee Replacement RevisionCCG of GP PracticeNHS REDDITCH AND BROMSGROVE CCG (05J)EQ VAS</v>
      </c>
      <c r="C5252" t="s">
        <v>250</v>
      </c>
      <c r="D5252" t="s">
        <v>87</v>
      </c>
      <c r="E5252" t="s">
        <v>794</v>
      </c>
      <c r="F5252" t="s">
        <v>795</v>
      </c>
      <c r="G5252" t="s">
        <v>179</v>
      </c>
      <c r="H5252" t="s">
        <v>53</v>
      </c>
      <c r="I5252" t="s">
        <v>53</v>
      </c>
      <c r="J5252" t="s">
        <v>53</v>
      </c>
      <c r="K5252" t="s">
        <v>53</v>
      </c>
      <c r="L5252" t="s">
        <v>53</v>
      </c>
      <c r="M5252" t="s">
        <v>53</v>
      </c>
      <c r="N5252" t="s">
        <v>53</v>
      </c>
      <c r="O5252" t="s">
        <v>53</v>
      </c>
      <c r="P5252" t="s">
        <v>53</v>
      </c>
      <c r="Q5252" t="s">
        <v>53</v>
      </c>
    </row>
    <row r="5253" spans="1:17" x14ac:dyDescent="0.2">
      <c r="A5253" s="30" t="str">
        <f>IF(C5253&amp;G5253&amp;D5253&lt;&gt;'Funnel setup'!$K$3&amp;'Funnel setup'!$K$4&amp;'Funnel setup'!$K$5,".",IF(A5252=".",1,A5252+1))</f>
        <v>.</v>
      </c>
      <c r="B5253" s="431" t="str">
        <f t="shared" si="82"/>
        <v>Knee Replacement RevisionCCG of GP PracticeNHS RICHMOND CCG (08P)EQ VAS</v>
      </c>
      <c r="C5253" t="s">
        <v>250</v>
      </c>
      <c r="D5253" t="s">
        <v>87</v>
      </c>
      <c r="E5253" t="s">
        <v>797</v>
      </c>
      <c r="F5253" t="s">
        <v>798</v>
      </c>
      <c r="G5253" t="s">
        <v>179</v>
      </c>
      <c r="H5253" t="s">
        <v>53</v>
      </c>
      <c r="I5253" t="s">
        <v>53</v>
      </c>
      <c r="J5253" t="s">
        <v>53</v>
      </c>
      <c r="K5253" t="s">
        <v>53</v>
      </c>
      <c r="L5253" t="s">
        <v>53</v>
      </c>
      <c r="M5253" t="s">
        <v>53</v>
      </c>
      <c r="N5253" t="s">
        <v>53</v>
      </c>
      <c r="O5253" t="s">
        <v>53</v>
      </c>
      <c r="P5253" t="s">
        <v>53</v>
      </c>
      <c r="Q5253" t="s">
        <v>53</v>
      </c>
    </row>
    <row r="5254" spans="1:17" x14ac:dyDescent="0.2">
      <c r="A5254" s="30" t="str">
        <f>IF(C5254&amp;G5254&amp;D5254&lt;&gt;'Funnel setup'!$K$3&amp;'Funnel setup'!$K$4&amp;'Funnel setup'!$K$5,".",IF(A5253=".",1,A5253+1))</f>
        <v>.</v>
      </c>
      <c r="B5254" s="431" t="str">
        <f t="shared" si="82"/>
        <v>Knee Replacement RevisionCCG of GP PracticeNHS ROTHERHAM CCG (03L)EQ VAS</v>
      </c>
      <c r="C5254" t="s">
        <v>250</v>
      </c>
      <c r="D5254" t="s">
        <v>87</v>
      </c>
      <c r="E5254" t="s">
        <v>800</v>
      </c>
      <c r="F5254" t="s">
        <v>801</v>
      </c>
      <c r="G5254" t="s">
        <v>179</v>
      </c>
      <c r="H5254">
        <v>9</v>
      </c>
      <c r="I5254">
        <v>71</v>
      </c>
      <c r="J5254">
        <v>70.555999999999997</v>
      </c>
      <c r="K5254">
        <v>-0.44400000000000001</v>
      </c>
      <c r="L5254">
        <v>5</v>
      </c>
      <c r="M5254">
        <v>0</v>
      </c>
      <c r="N5254">
        <v>4</v>
      </c>
      <c r="O5254" t="s">
        <v>53</v>
      </c>
      <c r="P5254" t="s">
        <v>53</v>
      </c>
      <c r="Q5254" t="s">
        <v>53</v>
      </c>
    </row>
    <row r="5255" spans="1:17" x14ac:dyDescent="0.2">
      <c r="A5255" s="30" t="str">
        <f>IF(C5255&amp;G5255&amp;D5255&lt;&gt;'Funnel setup'!$K$3&amp;'Funnel setup'!$K$4&amp;'Funnel setup'!$K$5,".",IF(A5254=".",1,A5254+1))</f>
        <v>.</v>
      </c>
      <c r="B5255" s="431" t="str">
        <f t="shared" si="82"/>
        <v>Knee Replacement RevisionCCG of GP PracticeNHS RUSHCLIFFE CCG (04N)EQ VAS</v>
      </c>
      <c r="C5255" t="s">
        <v>250</v>
      </c>
      <c r="D5255" t="s">
        <v>87</v>
      </c>
      <c r="E5255" t="s">
        <v>803</v>
      </c>
      <c r="F5255" t="s">
        <v>804</v>
      </c>
      <c r="G5255" t="s">
        <v>179</v>
      </c>
      <c r="H5255" t="s">
        <v>53</v>
      </c>
      <c r="I5255" t="s">
        <v>53</v>
      </c>
      <c r="J5255" t="s">
        <v>53</v>
      </c>
      <c r="K5255" t="s">
        <v>53</v>
      </c>
      <c r="L5255" t="s">
        <v>53</v>
      </c>
      <c r="M5255" t="s">
        <v>53</v>
      </c>
      <c r="N5255" t="s">
        <v>53</v>
      </c>
      <c r="O5255" t="s">
        <v>53</v>
      </c>
      <c r="P5255" t="s">
        <v>53</v>
      </c>
      <c r="Q5255" t="s">
        <v>53</v>
      </c>
    </row>
    <row r="5256" spans="1:17" x14ac:dyDescent="0.2">
      <c r="A5256" s="30" t="str">
        <f>IF(C5256&amp;G5256&amp;D5256&lt;&gt;'Funnel setup'!$K$3&amp;'Funnel setup'!$K$4&amp;'Funnel setup'!$K$5,".",IF(A5255=".",1,A5255+1))</f>
        <v>.</v>
      </c>
      <c r="B5256" s="431" t="str">
        <f t="shared" si="82"/>
        <v>Knee Replacement RevisionCCG of GP PracticeNHS SALFORD CCG (01G)EQ VAS</v>
      </c>
      <c r="C5256" t="s">
        <v>250</v>
      </c>
      <c r="D5256" t="s">
        <v>87</v>
      </c>
      <c r="E5256" t="s">
        <v>806</v>
      </c>
      <c r="F5256" t="s">
        <v>807</v>
      </c>
      <c r="G5256" t="s">
        <v>179</v>
      </c>
      <c r="H5256">
        <v>7</v>
      </c>
      <c r="I5256">
        <v>64.713999999999999</v>
      </c>
      <c r="J5256">
        <v>70</v>
      </c>
      <c r="K5256">
        <v>5.2859999999999996</v>
      </c>
      <c r="L5256">
        <v>5</v>
      </c>
      <c r="M5256">
        <v>0</v>
      </c>
      <c r="N5256">
        <v>2</v>
      </c>
      <c r="O5256" t="s">
        <v>53</v>
      </c>
      <c r="P5256" t="s">
        <v>53</v>
      </c>
      <c r="Q5256" t="s">
        <v>53</v>
      </c>
    </row>
    <row r="5257" spans="1:17" x14ac:dyDescent="0.2">
      <c r="A5257" s="30" t="str">
        <f>IF(C5257&amp;G5257&amp;D5257&lt;&gt;'Funnel setup'!$K$3&amp;'Funnel setup'!$K$4&amp;'Funnel setup'!$K$5,".",IF(A5256=".",1,A5256+1))</f>
        <v>.</v>
      </c>
      <c r="B5257" s="431" t="str">
        <f t="shared" si="82"/>
        <v>Knee Replacement RevisionCCG of GP PracticeNHS SANDWELL AND WEST BIRMINGHAM CCG (05L)EQ VAS</v>
      </c>
      <c r="C5257" t="s">
        <v>250</v>
      </c>
      <c r="D5257" t="s">
        <v>87</v>
      </c>
      <c r="E5257" t="s">
        <v>809</v>
      </c>
      <c r="F5257" t="s">
        <v>810</v>
      </c>
      <c r="G5257" t="s">
        <v>179</v>
      </c>
      <c r="H5257" t="s">
        <v>53</v>
      </c>
      <c r="I5257" t="s">
        <v>53</v>
      </c>
      <c r="J5257" t="s">
        <v>53</v>
      </c>
      <c r="K5257" t="s">
        <v>53</v>
      </c>
      <c r="L5257" t="s">
        <v>53</v>
      </c>
      <c r="M5257" t="s">
        <v>53</v>
      </c>
      <c r="N5257" t="s">
        <v>53</v>
      </c>
      <c r="O5257" t="s">
        <v>53</v>
      </c>
      <c r="P5257" t="s">
        <v>53</v>
      </c>
      <c r="Q5257" t="s">
        <v>53</v>
      </c>
    </row>
    <row r="5258" spans="1:17" x14ac:dyDescent="0.2">
      <c r="A5258" s="30" t="str">
        <f>IF(C5258&amp;G5258&amp;D5258&lt;&gt;'Funnel setup'!$K$3&amp;'Funnel setup'!$K$4&amp;'Funnel setup'!$K$5,".",IF(A5257=".",1,A5257+1))</f>
        <v>.</v>
      </c>
      <c r="B5258" s="431" t="str">
        <f t="shared" si="82"/>
        <v>Knee Replacement RevisionCCG of GP PracticeNHS SCARBOROUGH AND RYEDALE CCG (03M)EQ VAS</v>
      </c>
      <c r="C5258" t="s">
        <v>250</v>
      </c>
      <c r="D5258" t="s">
        <v>87</v>
      </c>
      <c r="E5258" t="s">
        <v>812</v>
      </c>
      <c r="F5258" t="s">
        <v>813</v>
      </c>
      <c r="G5258" t="s">
        <v>179</v>
      </c>
      <c r="H5258">
        <v>9</v>
      </c>
      <c r="I5258">
        <v>50.555999999999997</v>
      </c>
      <c r="J5258">
        <v>60.444000000000003</v>
      </c>
      <c r="K5258">
        <v>9.8889999999999993</v>
      </c>
      <c r="L5258">
        <v>6</v>
      </c>
      <c r="M5258">
        <v>0</v>
      </c>
      <c r="N5258">
        <v>3</v>
      </c>
      <c r="O5258" t="s">
        <v>53</v>
      </c>
      <c r="P5258" t="s">
        <v>53</v>
      </c>
      <c r="Q5258" t="s">
        <v>53</v>
      </c>
    </row>
    <row r="5259" spans="1:17" x14ac:dyDescent="0.2">
      <c r="A5259" s="30" t="str">
        <f>IF(C5259&amp;G5259&amp;D5259&lt;&gt;'Funnel setup'!$K$3&amp;'Funnel setup'!$K$4&amp;'Funnel setup'!$K$5,".",IF(A5258=".",1,A5258+1))</f>
        <v>.</v>
      </c>
      <c r="B5259" s="431" t="str">
        <f t="shared" si="82"/>
        <v>Knee Replacement RevisionCCG of GP PracticeNHS SHEFFIELD CCG (03N)EQ VAS</v>
      </c>
      <c r="C5259" t="s">
        <v>250</v>
      </c>
      <c r="D5259" t="s">
        <v>87</v>
      </c>
      <c r="E5259" t="s">
        <v>815</v>
      </c>
      <c r="F5259" t="s">
        <v>816</v>
      </c>
      <c r="G5259" t="s">
        <v>179</v>
      </c>
      <c r="H5259">
        <v>23</v>
      </c>
      <c r="I5259">
        <v>61.304000000000002</v>
      </c>
      <c r="J5259">
        <v>68.564999999999998</v>
      </c>
      <c r="K5259">
        <v>7.2610000000000001</v>
      </c>
      <c r="L5259">
        <v>13</v>
      </c>
      <c r="M5259">
        <v>4</v>
      </c>
      <c r="N5259">
        <v>6</v>
      </c>
      <c r="O5259" t="s">
        <v>53</v>
      </c>
      <c r="P5259" t="s">
        <v>53</v>
      </c>
      <c r="Q5259" t="s">
        <v>53</v>
      </c>
    </row>
    <row r="5260" spans="1:17" x14ac:dyDescent="0.2">
      <c r="A5260" s="30" t="str">
        <f>IF(C5260&amp;G5260&amp;D5260&lt;&gt;'Funnel setup'!$K$3&amp;'Funnel setup'!$K$4&amp;'Funnel setup'!$K$5,".",IF(A5259=".",1,A5259+1))</f>
        <v>.</v>
      </c>
      <c r="B5260" s="431" t="str">
        <f t="shared" si="82"/>
        <v>Knee Replacement RevisionCCG of GP PracticeNHS SHROPSHIRE CCG (05N)EQ VAS</v>
      </c>
      <c r="C5260" t="s">
        <v>250</v>
      </c>
      <c r="D5260" t="s">
        <v>87</v>
      </c>
      <c r="E5260" t="s">
        <v>818</v>
      </c>
      <c r="F5260" t="s">
        <v>819</v>
      </c>
      <c r="G5260" t="s">
        <v>179</v>
      </c>
      <c r="H5260">
        <v>13</v>
      </c>
      <c r="I5260">
        <v>50.768999999999998</v>
      </c>
      <c r="J5260">
        <v>57.308</v>
      </c>
      <c r="K5260">
        <v>6.5380000000000003</v>
      </c>
      <c r="L5260">
        <v>6</v>
      </c>
      <c r="M5260">
        <v>2</v>
      </c>
      <c r="N5260">
        <v>5</v>
      </c>
      <c r="O5260" t="s">
        <v>53</v>
      </c>
      <c r="P5260" t="s">
        <v>53</v>
      </c>
      <c r="Q5260" t="s">
        <v>53</v>
      </c>
    </row>
    <row r="5261" spans="1:17" x14ac:dyDescent="0.2">
      <c r="A5261" s="30" t="str">
        <f>IF(C5261&amp;G5261&amp;D5261&lt;&gt;'Funnel setup'!$K$3&amp;'Funnel setup'!$K$4&amp;'Funnel setup'!$K$5,".",IF(A5260=".",1,A5260+1))</f>
        <v>.</v>
      </c>
      <c r="B5261" s="431" t="str">
        <f t="shared" si="82"/>
        <v>Knee Replacement RevisionCCG of GP PracticeNHS SLOUGH CCG (10T)EQ VAS</v>
      </c>
      <c r="C5261" t="s">
        <v>250</v>
      </c>
      <c r="D5261" t="s">
        <v>87</v>
      </c>
      <c r="E5261" t="s">
        <v>821</v>
      </c>
      <c r="F5261" t="s">
        <v>822</v>
      </c>
      <c r="G5261" t="s">
        <v>179</v>
      </c>
      <c r="H5261" t="s">
        <v>53</v>
      </c>
      <c r="I5261" t="s">
        <v>53</v>
      </c>
      <c r="J5261" t="s">
        <v>53</v>
      </c>
      <c r="K5261" t="s">
        <v>53</v>
      </c>
      <c r="L5261" t="s">
        <v>53</v>
      </c>
      <c r="M5261" t="s">
        <v>53</v>
      </c>
      <c r="N5261" t="s">
        <v>53</v>
      </c>
      <c r="O5261" t="s">
        <v>53</v>
      </c>
      <c r="P5261" t="s">
        <v>53</v>
      </c>
      <c r="Q5261" t="s">
        <v>53</v>
      </c>
    </row>
    <row r="5262" spans="1:17" x14ac:dyDescent="0.2">
      <c r="A5262" s="30" t="str">
        <f>IF(C5262&amp;G5262&amp;D5262&lt;&gt;'Funnel setup'!$K$3&amp;'Funnel setup'!$K$4&amp;'Funnel setup'!$K$5,".",IF(A5261=".",1,A5261+1))</f>
        <v>.</v>
      </c>
      <c r="B5262" s="431" t="str">
        <f t="shared" si="82"/>
        <v>Knee Replacement RevisionCCG of GP PracticeNHS SOLIHULL CCG (05P)EQ VAS</v>
      </c>
      <c r="C5262" t="s">
        <v>250</v>
      </c>
      <c r="D5262" t="s">
        <v>87</v>
      </c>
      <c r="E5262" t="s">
        <v>824</v>
      </c>
      <c r="F5262" t="s">
        <v>825</v>
      </c>
      <c r="G5262" t="s">
        <v>179</v>
      </c>
      <c r="H5262" t="s">
        <v>53</v>
      </c>
      <c r="I5262" t="s">
        <v>53</v>
      </c>
      <c r="J5262" t="s">
        <v>53</v>
      </c>
      <c r="K5262" t="s">
        <v>53</v>
      </c>
      <c r="L5262" t="s">
        <v>53</v>
      </c>
      <c r="M5262" t="s">
        <v>53</v>
      </c>
      <c r="N5262" t="s">
        <v>53</v>
      </c>
      <c r="O5262" t="s">
        <v>53</v>
      </c>
      <c r="P5262" t="s">
        <v>53</v>
      </c>
      <c r="Q5262" t="s">
        <v>53</v>
      </c>
    </row>
    <row r="5263" spans="1:17" x14ac:dyDescent="0.2">
      <c r="A5263" s="30" t="str">
        <f>IF(C5263&amp;G5263&amp;D5263&lt;&gt;'Funnel setup'!$K$3&amp;'Funnel setup'!$K$4&amp;'Funnel setup'!$K$5,".",IF(A5262=".",1,A5262+1))</f>
        <v>.</v>
      </c>
      <c r="B5263" s="431" t="str">
        <f t="shared" si="82"/>
        <v>Knee Replacement RevisionCCG of GP PracticeNHS SOMERSET CCG (11X)EQ VAS</v>
      </c>
      <c r="C5263" t="s">
        <v>250</v>
      </c>
      <c r="D5263" t="s">
        <v>87</v>
      </c>
      <c r="E5263" t="s">
        <v>827</v>
      </c>
      <c r="F5263" t="s">
        <v>828</v>
      </c>
      <c r="G5263" t="s">
        <v>179</v>
      </c>
      <c r="H5263">
        <v>6</v>
      </c>
      <c r="I5263">
        <v>74.167000000000002</v>
      </c>
      <c r="J5263">
        <v>75.832999999999998</v>
      </c>
      <c r="K5263">
        <v>1.667</v>
      </c>
      <c r="L5263">
        <v>4</v>
      </c>
      <c r="M5263">
        <v>1</v>
      </c>
      <c r="N5263">
        <v>1</v>
      </c>
      <c r="O5263" t="s">
        <v>53</v>
      </c>
      <c r="P5263" t="s">
        <v>53</v>
      </c>
      <c r="Q5263" t="s">
        <v>53</v>
      </c>
    </row>
    <row r="5264" spans="1:17" x14ac:dyDescent="0.2">
      <c r="A5264" s="30" t="str">
        <f>IF(C5264&amp;G5264&amp;D5264&lt;&gt;'Funnel setup'!$K$3&amp;'Funnel setup'!$K$4&amp;'Funnel setup'!$K$5,".",IF(A5263=".",1,A5263+1))</f>
        <v>.</v>
      </c>
      <c r="B5264" s="431" t="str">
        <f t="shared" si="82"/>
        <v>Knee Replacement RevisionCCG of GP PracticeNHS SOUTH CHESHIRE CCG (01R)EQ VAS</v>
      </c>
      <c r="C5264" t="s">
        <v>250</v>
      </c>
      <c r="D5264" t="s">
        <v>87</v>
      </c>
      <c r="E5264" t="s">
        <v>830</v>
      </c>
      <c r="F5264" t="s">
        <v>831</v>
      </c>
      <c r="G5264" t="s">
        <v>179</v>
      </c>
      <c r="H5264" t="s">
        <v>53</v>
      </c>
      <c r="I5264" t="s">
        <v>53</v>
      </c>
      <c r="J5264" t="s">
        <v>53</v>
      </c>
      <c r="K5264" t="s">
        <v>53</v>
      </c>
      <c r="L5264" t="s">
        <v>53</v>
      </c>
      <c r="M5264" t="s">
        <v>53</v>
      </c>
      <c r="N5264" t="s">
        <v>53</v>
      </c>
      <c r="O5264" t="s">
        <v>53</v>
      </c>
      <c r="P5264" t="s">
        <v>53</v>
      </c>
      <c r="Q5264" t="s">
        <v>53</v>
      </c>
    </row>
    <row r="5265" spans="1:17" x14ac:dyDescent="0.2">
      <c r="A5265" s="30" t="str">
        <f>IF(C5265&amp;G5265&amp;D5265&lt;&gt;'Funnel setup'!$K$3&amp;'Funnel setup'!$K$4&amp;'Funnel setup'!$K$5,".",IF(A5264=".",1,A5264+1))</f>
        <v>.</v>
      </c>
      <c r="B5265" s="431" t="str">
        <f t="shared" si="82"/>
        <v>Knee Replacement RevisionCCG of GP PracticeNHS SOUTH DEVON AND TORBAY CCG (99Q)EQ VAS</v>
      </c>
      <c r="C5265" t="s">
        <v>250</v>
      </c>
      <c r="D5265" t="s">
        <v>87</v>
      </c>
      <c r="E5265" t="s">
        <v>833</v>
      </c>
      <c r="F5265" t="s">
        <v>834</v>
      </c>
      <c r="G5265" t="s">
        <v>179</v>
      </c>
      <c r="H5265">
        <v>14</v>
      </c>
      <c r="I5265">
        <v>71.713999999999999</v>
      </c>
      <c r="J5265">
        <v>81.213999999999999</v>
      </c>
      <c r="K5265">
        <v>9.5</v>
      </c>
      <c r="L5265">
        <v>8</v>
      </c>
      <c r="M5265">
        <v>2</v>
      </c>
      <c r="N5265">
        <v>4</v>
      </c>
      <c r="O5265" t="s">
        <v>53</v>
      </c>
      <c r="P5265" t="s">
        <v>53</v>
      </c>
      <c r="Q5265" t="s">
        <v>53</v>
      </c>
    </row>
    <row r="5266" spans="1:17" x14ac:dyDescent="0.2">
      <c r="A5266" s="30" t="str">
        <f>IF(C5266&amp;G5266&amp;D5266&lt;&gt;'Funnel setup'!$K$3&amp;'Funnel setup'!$K$4&amp;'Funnel setup'!$K$5,".",IF(A5265=".",1,A5265+1))</f>
        <v>.</v>
      </c>
      <c r="B5266" s="431" t="str">
        <f t="shared" si="82"/>
        <v>Knee Replacement RevisionCCG of GP PracticeNHS SOUTH EAST STAFFORDSHIRE AND SEISDON PENINSULA CCG (05Q)EQ VAS</v>
      </c>
      <c r="C5266" t="s">
        <v>250</v>
      </c>
      <c r="D5266" t="s">
        <v>87</v>
      </c>
      <c r="E5266" t="s">
        <v>836</v>
      </c>
      <c r="F5266" t="s">
        <v>837</v>
      </c>
      <c r="G5266" t="s">
        <v>179</v>
      </c>
      <c r="H5266" t="s">
        <v>53</v>
      </c>
      <c r="I5266" t="s">
        <v>53</v>
      </c>
      <c r="J5266" t="s">
        <v>53</v>
      </c>
      <c r="K5266" t="s">
        <v>53</v>
      </c>
      <c r="L5266" t="s">
        <v>53</v>
      </c>
      <c r="M5266" t="s">
        <v>53</v>
      </c>
      <c r="N5266" t="s">
        <v>53</v>
      </c>
      <c r="O5266" t="s">
        <v>53</v>
      </c>
      <c r="P5266" t="s">
        <v>53</v>
      </c>
      <c r="Q5266" t="s">
        <v>53</v>
      </c>
    </row>
    <row r="5267" spans="1:17" x14ac:dyDescent="0.2">
      <c r="A5267" s="30" t="str">
        <f>IF(C5267&amp;G5267&amp;D5267&lt;&gt;'Funnel setup'!$K$3&amp;'Funnel setup'!$K$4&amp;'Funnel setup'!$K$5,".",IF(A5266=".",1,A5266+1))</f>
        <v>.</v>
      </c>
      <c r="B5267" s="431" t="str">
        <f t="shared" si="82"/>
        <v>Knee Replacement RevisionCCG of GP PracticeNHS SOUTH EASTERN HAMPSHIRE CCG (10V)EQ VAS</v>
      </c>
      <c r="C5267" t="s">
        <v>250</v>
      </c>
      <c r="D5267" t="s">
        <v>87</v>
      </c>
      <c r="E5267" t="s">
        <v>839</v>
      </c>
      <c r="F5267" t="s">
        <v>840</v>
      </c>
      <c r="G5267" t="s">
        <v>179</v>
      </c>
      <c r="H5267" t="s">
        <v>53</v>
      </c>
      <c r="I5267" t="s">
        <v>53</v>
      </c>
      <c r="J5267" t="s">
        <v>53</v>
      </c>
      <c r="K5267" t="s">
        <v>53</v>
      </c>
      <c r="L5267" t="s">
        <v>53</v>
      </c>
      <c r="M5267" t="s">
        <v>53</v>
      </c>
      <c r="N5267" t="s">
        <v>53</v>
      </c>
      <c r="O5267" t="s">
        <v>53</v>
      </c>
      <c r="P5267" t="s">
        <v>53</v>
      </c>
      <c r="Q5267" t="s">
        <v>53</v>
      </c>
    </row>
    <row r="5268" spans="1:17" x14ac:dyDescent="0.2">
      <c r="A5268" s="30" t="str">
        <f>IF(C5268&amp;G5268&amp;D5268&lt;&gt;'Funnel setup'!$K$3&amp;'Funnel setup'!$K$4&amp;'Funnel setup'!$K$5,".",IF(A5267=".",1,A5267+1))</f>
        <v>.</v>
      </c>
      <c r="B5268" s="431" t="str">
        <f t="shared" si="82"/>
        <v>Knee Replacement RevisionCCG of GP PracticeNHS SOUTH GLOUCESTERSHIRE CCG (12A)EQ VAS</v>
      </c>
      <c r="C5268" t="s">
        <v>250</v>
      </c>
      <c r="D5268" t="s">
        <v>87</v>
      </c>
      <c r="E5268" t="s">
        <v>842</v>
      </c>
      <c r="F5268" t="s">
        <v>843</v>
      </c>
      <c r="G5268" t="s">
        <v>179</v>
      </c>
      <c r="H5268" t="s">
        <v>53</v>
      </c>
      <c r="I5268" t="s">
        <v>53</v>
      </c>
      <c r="J5268" t="s">
        <v>53</v>
      </c>
      <c r="K5268" t="s">
        <v>53</v>
      </c>
      <c r="L5268" t="s">
        <v>53</v>
      </c>
      <c r="M5268" t="s">
        <v>53</v>
      </c>
      <c r="N5268" t="s">
        <v>53</v>
      </c>
      <c r="O5268" t="s">
        <v>53</v>
      </c>
      <c r="P5268" t="s">
        <v>53</v>
      </c>
      <c r="Q5268" t="s">
        <v>53</v>
      </c>
    </row>
    <row r="5269" spans="1:17" x14ac:dyDescent="0.2">
      <c r="A5269" s="30" t="str">
        <f>IF(C5269&amp;G5269&amp;D5269&lt;&gt;'Funnel setup'!$K$3&amp;'Funnel setup'!$K$4&amp;'Funnel setup'!$K$5,".",IF(A5268=".",1,A5268+1))</f>
        <v>.</v>
      </c>
      <c r="B5269" s="431" t="str">
        <f t="shared" si="82"/>
        <v>Knee Replacement RevisionCCG of GP PracticeNHS SOUTH KENT COAST CCG (10A)EQ VAS</v>
      </c>
      <c r="C5269" t="s">
        <v>250</v>
      </c>
      <c r="D5269" t="s">
        <v>87</v>
      </c>
      <c r="E5269" t="s">
        <v>845</v>
      </c>
      <c r="F5269" t="s">
        <v>846</v>
      </c>
      <c r="G5269" t="s">
        <v>179</v>
      </c>
      <c r="H5269" t="s">
        <v>53</v>
      </c>
      <c r="I5269" t="s">
        <v>53</v>
      </c>
      <c r="J5269" t="s">
        <v>53</v>
      </c>
      <c r="K5269" t="s">
        <v>53</v>
      </c>
      <c r="L5269" t="s">
        <v>53</v>
      </c>
      <c r="M5269" t="s">
        <v>53</v>
      </c>
      <c r="N5269" t="s">
        <v>53</v>
      </c>
      <c r="O5269" t="s">
        <v>53</v>
      </c>
      <c r="P5269" t="s">
        <v>53</v>
      </c>
      <c r="Q5269" t="s">
        <v>53</v>
      </c>
    </row>
    <row r="5270" spans="1:17" x14ac:dyDescent="0.2">
      <c r="A5270" s="30" t="str">
        <f>IF(C5270&amp;G5270&amp;D5270&lt;&gt;'Funnel setup'!$K$3&amp;'Funnel setup'!$K$4&amp;'Funnel setup'!$K$5,".",IF(A5269=".",1,A5269+1))</f>
        <v>.</v>
      </c>
      <c r="B5270" s="431" t="str">
        <f t="shared" si="82"/>
        <v>Knee Replacement RevisionCCG of GP PracticeNHS SOUTH LINCOLNSHIRE CCG (99D)EQ VAS</v>
      </c>
      <c r="C5270" t="s">
        <v>250</v>
      </c>
      <c r="D5270" t="s">
        <v>87</v>
      </c>
      <c r="E5270" t="s">
        <v>848</v>
      </c>
      <c r="F5270" t="s">
        <v>849</v>
      </c>
      <c r="G5270" t="s">
        <v>179</v>
      </c>
      <c r="H5270">
        <v>7</v>
      </c>
      <c r="I5270">
        <v>53.429000000000002</v>
      </c>
      <c r="J5270">
        <v>49</v>
      </c>
      <c r="K5270">
        <v>-4.4290000000000003</v>
      </c>
      <c r="L5270">
        <v>3</v>
      </c>
      <c r="M5270">
        <v>1</v>
      </c>
      <c r="N5270">
        <v>3</v>
      </c>
      <c r="O5270" t="s">
        <v>53</v>
      </c>
      <c r="P5270" t="s">
        <v>53</v>
      </c>
      <c r="Q5270" t="s">
        <v>53</v>
      </c>
    </row>
    <row r="5271" spans="1:17" x14ac:dyDescent="0.2">
      <c r="A5271" s="30" t="str">
        <f>IF(C5271&amp;G5271&amp;D5271&lt;&gt;'Funnel setup'!$K$3&amp;'Funnel setup'!$K$4&amp;'Funnel setup'!$K$5,".",IF(A5270=".",1,A5270+1))</f>
        <v>.</v>
      </c>
      <c r="B5271" s="431" t="str">
        <f t="shared" si="82"/>
        <v>Knee Replacement RevisionCCG of GP PracticeNHS SOUTH NORFOLK CCG (06Y)EQ VAS</v>
      </c>
      <c r="C5271" t="s">
        <v>250</v>
      </c>
      <c r="D5271" t="s">
        <v>87</v>
      </c>
      <c r="E5271" t="s">
        <v>932</v>
      </c>
      <c r="F5271" t="s">
        <v>933</v>
      </c>
      <c r="G5271" t="s">
        <v>179</v>
      </c>
      <c r="H5271">
        <v>14</v>
      </c>
      <c r="I5271">
        <v>59.713999999999999</v>
      </c>
      <c r="J5271">
        <v>69.856999999999999</v>
      </c>
      <c r="K5271">
        <v>10.143000000000001</v>
      </c>
      <c r="L5271">
        <v>7</v>
      </c>
      <c r="M5271">
        <v>3</v>
      </c>
      <c r="N5271">
        <v>4</v>
      </c>
      <c r="O5271" t="s">
        <v>53</v>
      </c>
      <c r="P5271" t="s">
        <v>53</v>
      </c>
      <c r="Q5271" t="s">
        <v>53</v>
      </c>
    </row>
    <row r="5272" spans="1:17" x14ac:dyDescent="0.2">
      <c r="A5272" s="30" t="str">
        <f>IF(C5272&amp;G5272&amp;D5272&lt;&gt;'Funnel setup'!$K$3&amp;'Funnel setup'!$K$4&amp;'Funnel setup'!$K$5,".",IF(A5271=".",1,A5271+1))</f>
        <v>.</v>
      </c>
      <c r="B5272" s="431" t="str">
        <f t="shared" si="82"/>
        <v>Knee Replacement RevisionCCG of GP PracticeNHS SOUTH READING CCG (10W)EQ VAS</v>
      </c>
      <c r="C5272" t="s">
        <v>250</v>
      </c>
      <c r="D5272" t="s">
        <v>87</v>
      </c>
      <c r="E5272" t="s">
        <v>935</v>
      </c>
      <c r="F5272" t="s">
        <v>936</v>
      </c>
      <c r="G5272" t="s">
        <v>179</v>
      </c>
      <c r="H5272" t="s">
        <v>53</v>
      </c>
      <c r="I5272" t="s">
        <v>53</v>
      </c>
      <c r="J5272" t="s">
        <v>53</v>
      </c>
      <c r="K5272" t="s">
        <v>53</v>
      </c>
      <c r="L5272" t="s">
        <v>53</v>
      </c>
      <c r="M5272" t="s">
        <v>53</v>
      </c>
      <c r="N5272" t="s">
        <v>53</v>
      </c>
      <c r="O5272" t="s">
        <v>53</v>
      </c>
      <c r="P5272" t="s">
        <v>53</v>
      </c>
      <c r="Q5272" t="s">
        <v>53</v>
      </c>
    </row>
    <row r="5273" spans="1:17" x14ac:dyDescent="0.2">
      <c r="A5273" s="30" t="str">
        <f>IF(C5273&amp;G5273&amp;D5273&lt;&gt;'Funnel setup'!$K$3&amp;'Funnel setup'!$K$4&amp;'Funnel setup'!$K$5,".",IF(A5272=".",1,A5272+1))</f>
        <v>.</v>
      </c>
      <c r="B5273" s="431" t="str">
        <f t="shared" si="82"/>
        <v>Knee Replacement RevisionCCG of GP PracticeNHS SOUTH SEFTON CCG (01T)EQ VAS</v>
      </c>
      <c r="C5273" t="s">
        <v>250</v>
      </c>
      <c r="D5273" t="s">
        <v>87</v>
      </c>
      <c r="E5273" t="s">
        <v>938</v>
      </c>
      <c r="F5273" t="s">
        <v>939</v>
      </c>
      <c r="G5273" t="s">
        <v>179</v>
      </c>
      <c r="H5273" t="s">
        <v>53</v>
      </c>
      <c r="I5273" t="s">
        <v>53</v>
      </c>
      <c r="J5273" t="s">
        <v>53</v>
      </c>
      <c r="K5273" t="s">
        <v>53</v>
      </c>
      <c r="L5273" t="s">
        <v>53</v>
      </c>
      <c r="M5273" t="s">
        <v>53</v>
      </c>
      <c r="N5273" t="s">
        <v>53</v>
      </c>
      <c r="O5273" t="s">
        <v>53</v>
      </c>
      <c r="P5273" t="s">
        <v>53</v>
      </c>
      <c r="Q5273" t="s">
        <v>53</v>
      </c>
    </row>
    <row r="5274" spans="1:17" x14ac:dyDescent="0.2">
      <c r="A5274" s="30" t="str">
        <f>IF(C5274&amp;G5274&amp;D5274&lt;&gt;'Funnel setup'!$K$3&amp;'Funnel setup'!$K$4&amp;'Funnel setup'!$K$5,".",IF(A5273=".",1,A5273+1))</f>
        <v>.</v>
      </c>
      <c r="B5274" s="431" t="str">
        <f t="shared" si="82"/>
        <v>Knee Replacement RevisionCCG of GP PracticeNHS SOUTH TEES CCG (00M)EQ VAS</v>
      </c>
      <c r="C5274" t="s">
        <v>250</v>
      </c>
      <c r="D5274" t="s">
        <v>87</v>
      </c>
      <c r="E5274" t="s">
        <v>941</v>
      </c>
      <c r="F5274" t="s">
        <v>942</v>
      </c>
      <c r="G5274" t="s">
        <v>179</v>
      </c>
      <c r="H5274" t="s">
        <v>53</v>
      </c>
      <c r="I5274" t="s">
        <v>53</v>
      </c>
      <c r="J5274" t="s">
        <v>53</v>
      </c>
      <c r="K5274" t="s">
        <v>53</v>
      </c>
      <c r="L5274" t="s">
        <v>53</v>
      </c>
      <c r="M5274" t="s">
        <v>53</v>
      </c>
      <c r="N5274" t="s">
        <v>53</v>
      </c>
      <c r="O5274" t="s">
        <v>53</v>
      </c>
      <c r="P5274" t="s">
        <v>53</v>
      </c>
      <c r="Q5274" t="s">
        <v>53</v>
      </c>
    </row>
    <row r="5275" spans="1:17" x14ac:dyDescent="0.2">
      <c r="A5275" s="30" t="str">
        <f>IF(C5275&amp;G5275&amp;D5275&lt;&gt;'Funnel setup'!$K$3&amp;'Funnel setup'!$K$4&amp;'Funnel setup'!$K$5,".",IF(A5274=".",1,A5274+1))</f>
        <v>.</v>
      </c>
      <c r="B5275" s="431" t="str">
        <f t="shared" si="82"/>
        <v>Knee Replacement RevisionCCG of GP PracticeNHS SOUTH TYNESIDE CCG (00N)EQ VAS</v>
      </c>
      <c r="C5275" t="s">
        <v>250</v>
      </c>
      <c r="D5275" t="s">
        <v>87</v>
      </c>
      <c r="E5275" t="s">
        <v>1016</v>
      </c>
      <c r="F5275" t="s">
        <v>1017</v>
      </c>
      <c r="G5275" t="s">
        <v>179</v>
      </c>
      <c r="H5275" t="s">
        <v>53</v>
      </c>
      <c r="I5275" t="s">
        <v>53</v>
      </c>
      <c r="J5275" t="s">
        <v>53</v>
      </c>
      <c r="K5275" t="s">
        <v>53</v>
      </c>
      <c r="L5275" t="s">
        <v>53</v>
      </c>
      <c r="M5275" t="s">
        <v>53</v>
      </c>
      <c r="N5275" t="s">
        <v>53</v>
      </c>
      <c r="O5275" t="s">
        <v>53</v>
      </c>
      <c r="P5275" t="s">
        <v>53</v>
      </c>
      <c r="Q5275" t="s">
        <v>53</v>
      </c>
    </row>
    <row r="5276" spans="1:17" x14ac:dyDescent="0.2">
      <c r="A5276" s="30" t="str">
        <f>IF(C5276&amp;G5276&amp;D5276&lt;&gt;'Funnel setup'!$K$3&amp;'Funnel setup'!$K$4&amp;'Funnel setup'!$K$5,".",IF(A5275=".",1,A5275+1))</f>
        <v>.</v>
      </c>
      <c r="B5276" s="431" t="str">
        <f t="shared" si="82"/>
        <v>Knee Replacement RevisionCCG of GP PracticeNHS SOUTH WARWICKSHIRE CCG (05R)EQ VAS</v>
      </c>
      <c r="C5276" t="s">
        <v>250</v>
      </c>
      <c r="D5276" t="s">
        <v>87</v>
      </c>
      <c r="E5276" t="s">
        <v>944</v>
      </c>
      <c r="F5276" t="s">
        <v>945</v>
      </c>
      <c r="G5276" t="s">
        <v>179</v>
      </c>
      <c r="H5276">
        <v>13</v>
      </c>
      <c r="I5276">
        <v>65.076999999999998</v>
      </c>
      <c r="J5276">
        <v>66.385000000000005</v>
      </c>
      <c r="K5276">
        <v>1.3080000000000001</v>
      </c>
      <c r="L5276">
        <v>6</v>
      </c>
      <c r="M5276">
        <v>0</v>
      </c>
      <c r="N5276">
        <v>7</v>
      </c>
      <c r="O5276" t="s">
        <v>53</v>
      </c>
      <c r="P5276" t="s">
        <v>53</v>
      </c>
      <c r="Q5276" t="s">
        <v>53</v>
      </c>
    </row>
    <row r="5277" spans="1:17" x14ac:dyDescent="0.2">
      <c r="A5277" s="30" t="str">
        <f>IF(C5277&amp;G5277&amp;D5277&lt;&gt;'Funnel setup'!$K$3&amp;'Funnel setup'!$K$4&amp;'Funnel setup'!$K$5,".",IF(A5276=".",1,A5276+1))</f>
        <v>.</v>
      </c>
      <c r="B5277" s="431" t="str">
        <f t="shared" si="82"/>
        <v>Knee Replacement RevisionCCG of GP PracticeNHS SOUTH WEST LINCOLNSHIRE CCG (04Q)EQ VAS</v>
      </c>
      <c r="C5277" t="s">
        <v>250</v>
      </c>
      <c r="D5277" t="s">
        <v>87</v>
      </c>
      <c r="E5277" t="s">
        <v>947</v>
      </c>
      <c r="F5277" t="s">
        <v>948</v>
      </c>
      <c r="G5277" t="s">
        <v>179</v>
      </c>
      <c r="H5277" t="s">
        <v>53</v>
      </c>
      <c r="I5277" t="s">
        <v>53</v>
      </c>
      <c r="J5277" t="s">
        <v>53</v>
      </c>
      <c r="K5277" t="s">
        <v>53</v>
      </c>
      <c r="L5277" t="s">
        <v>53</v>
      </c>
      <c r="M5277" t="s">
        <v>53</v>
      </c>
      <c r="N5277" t="s">
        <v>53</v>
      </c>
      <c r="O5277" t="s">
        <v>53</v>
      </c>
      <c r="P5277" t="s">
        <v>53</v>
      </c>
      <c r="Q5277" t="s">
        <v>53</v>
      </c>
    </row>
    <row r="5278" spans="1:17" x14ac:dyDescent="0.2">
      <c r="A5278" s="30" t="str">
        <f>IF(C5278&amp;G5278&amp;D5278&lt;&gt;'Funnel setup'!$K$3&amp;'Funnel setup'!$K$4&amp;'Funnel setup'!$K$5,".",IF(A5277=".",1,A5277+1))</f>
        <v>.</v>
      </c>
      <c r="B5278" s="431" t="str">
        <f t="shared" si="82"/>
        <v>Knee Replacement RevisionCCG of GP PracticeNHS SOUTH WORCESTERSHIRE CCG (05T)EQ VAS</v>
      </c>
      <c r="C5278" t="s">
        <v>250</v>
      </c>
      <c r="D5278" t="s">
        <v>87</v>
      </c>
      <c r="E5278" t="s">
        <v>950</v>
      </c>
      <c r="F5278" t="s">
        <v>951</v>
      </c>
      <c r="G5278" t="s">
        <v>179</v>
      </c>
      <c r="H5278">
        <v>9</v>
      </c>
      <c r="I5278">
        <v>59.110999999999997</v>
      </c>
      <c r="J5278">
        <v>78.778000000000006</v>
      </c>
      <c r="K5278">
        <v>19.667000000000002</v>
      </c>
      <c r="L5278">
        <v>7</v>
      </c>
      <c r="M5278">
        <v>0</v>
      </c>
      <c r="N5278">
        <v>2</v>
      </c>
      <c r="O5278" t="s">
        <v>53</v>
      </c>
      <c r="P5278" t="s">
        <v>53</v>
      </c>
      <c r="Q5278" t="s">
        <v>53</v>
      </c>
    </row>
    <row r="5279" spans="1:17" x14ac:dyDescent="0.2">
      <c r="A5279" s="30" t="str">
        <f>IF(C5279&amp;G5279&amp;D5279&lt;&gt;'Funnel setup'!$K$3&amp;'Funnel setup'!$K$4&amp;'Funnel setup'!$K$5,".",IF(A5278=".",1,A5278+1))</f>
        <v>.</v>
      </c>
      <c r="B5279" s="431" t="str">
        <f t="shared" si="82"/>
        <v>Knee Replacement RevisionCCG of GP PracticeNHS SOUTHAMPTON CCG (10X)EQ VAS</v>
      </c>
      <c r="C5279" t="s">
        <v>250</v>
      </c>
      <c r="D5279" t="s">
        <v>87</v>
      </c>
      <c r="E5279" t="s">
        <v>953</v>
      </c>
      <c r="F5279" t="s">
        <v>954</v>
      </c>
      <c r="G5279" t="s">
        <v>179</v>
      </c>
      <c r="H5279">
        <v>14</v>
      </c>
      <c r="I5279">
        <v>71.286000000000001</v>
      </c>
      <c r="J5279">
        <v>68.429000000000002</v>
      </c>
      <c r="K5279">
        <v>-2.8570000000000002</v>
      </c>
      <c r="L5279">
        <v>6</v>
      </c>
      <c r="M5279">
        <v>2</v>
      </c>
      <c r="N5279">
        <v>6</v>
      </c>
      <c r="O5279" t="s">
        <v>53</v>
      </c>
      <c r="P5279" t="s">
        <v>53</v>
      </c>
      <c r="Q5279" t="s">
        <v>53</v>
      </c>
    </row>
    <row r="5280" spans="1:17" x14ac:dyDescent="0.2">
      <c r="A5280" s="30" t="str">
        <f>IF(C5280&amp;G5280&amp;D5280&lt;&gt;'Funnel setup'!$K$3&amp;'Funnel setup'!$K$4&amp;'Funnel setup'!$K$5,".",IF(A5279=".",1,A5279+1))</f>
        <v>.</v>
      </c>
      <c r="B5280" s="431" t="str">
        <f t="shared" si="82"/>
        <v>Knee Replacement RevisionCCG of GP PracticeNHS SOUTHERN DERBYSHIRE CCG (04R)EQ VAS</v>
      </c>
      <c r="C5280" t="s">
        <v>250</v>
      </c>
      <c r="D5280" t="s">
        <v>87</v>
      </c>
      <c r="E5280" t="s">
        <v>959</v>
      </c>
      <c r="F5280" t="s">
        <v>960</v>
      </c>
      <c r="G5280" t="s">
        <v>179</v>
      </c>
      <c r="H5280">
        <v>9</v>
      </c>
      <c r="I5280">
        <v>62.777999999999999</v>
      </c>
      <c r="J5280">
        <v>64.332999999999998</v>
      </c>
      <c r="K5280">
        <v>1.556</v>
      </c>
      <c r="L5280">
        <v>5</v>
      </c>
      <c r="M5280">
        <v>1</v>
      </c>
      <c r="N5280">
        <v>3</v>
      </c>
      <c r="O5280" t="s">
        <v>53</v>
      </c>
      <c r="P5280" t="s">
        <v>53</v>
      </c>
      <c r="Q5280" t="s">
        <v>53</v>
      </c>
    </row>
    <row r="5281" spans="1:17" x14ac:dyDescent="0.2">
      <c r="A5281" s="30" t="str">
        <f>IF(C5281&amp;G5281&amp;D5281&lt;&gt;'Funnel setup'!$K$3&amp;'Funnel setup'!$K$4&amp;'Funnel setup'!$K$5,".",IF(A5280=".",1,A5280+1))</f>
        <v>.</v>
      </c>
      <c r="B5281" s="431" t="str">
        <f t="shared" si="82"/>
        <v>Knee Replacement RevisionCCG of GP PracticeNHS SOUTHPORT AND FORMBY CCG (01V)EQ VAS</v>
      </c>
      <c r="C5281" t="s">
        <v>250</v>
      </c>
      <c r="D5281" t="s">
        <v>87</v>
      </c>
      <c r="E5281" t="s">
        <v>962</v>
      </c>
      <c r="F5281" t="s">
        <v>963</v>
      </c>
      <c r="G5281" t="s">
        <v>179</v>
      </c>
      <c r="H5281">
        <v>7</v>
      </c>
      <c r="I5281">
        <v>70.713999999999999</v>
      </c>
      <c r="J5281">
        <v>69.286000000000001</v>
      </c>
      <c r="K5281">
        <v>-1.429</v>
      </c>
      <c r="L5281">
        <v>2</v>
      </c>
      <c r="M5281">
        <v>1</v>
      </c>
      <c r="N5281">
        <v>4</v>
      </c>
      <c r="O5281" t="s">
        <v>53</v>
      </c>
      <c r="P5281" t="s">
        <v>53</v>
      </c>
      <c r="Q5281" t="s">
        <v>53</v>
      </c>
    </row>
    <row r="5282" spans="1:17" x14ac:dyDescent="0.2">
      <c r="A5282" s="30" t="str">
        <f>IF(C5282&amp;G5282&amp;D5282&lt;&gt;'Funnel setup'!$K$3&amp;'Funnel setup'!$K$4&amp;'Funnel setup'!$K$5,".",IF(A5281=".",1,A5281+1))</f>
        <v>.</v>
      </c>
      <c r="B5282" s="431" t="str">
        <f t="shared" si="82"/>
        <v>Knee Replacement RevisionCCG of GP PracticeNHS SOUTHWARK CCG (08Q)EQ VAS</v>
      </c>
      <c r="C5282" t="s">
        <v>250</v>
      </c>
      <c r="D5282" t="s">
        <v>87</v>
      </c>
      <c r="E5282" t="s">
        <v>965</v>
      </c>
      <c r="F5282" t="s">
        <v>966</v>
      </c>
      <c r="G5282" t="s">
        <v>179</v>
      </c>
      <c r="H5282" t="s">
        <v>53</v>
      </c>
      <c r="I5282" t="s">
        <v>53</v>
      </c>
      <c r="J5282" t="s">
        <v>53</v>
      </c>
      <c r="K5282" t="s">
        <v>53</v>
      </c>
      <c r="L5282" t="s">
        <v>53</v>
      </c>
      <c r="M5282" t="s">
        <v>53</v>
      </c>
      <c r="N5282" t="s">
        <v>53</v>
      </c>
      <c r="O5282" t="s">
        <v>53</v>
      </c>
      <c r="P5282" t="s">
        <v>53</v>
      </c>
      <c r="Q5282" t="s">
        <v>53</v>
      </c>
    </row>
    <row r="5283" spans="1:17" x14ac:dyDescent="0.2">
      <c r="A5283" s="30" t="str">
        <f>IF(C5283&amp;G5283&amp;D5283&lt;&gt;'Funnel setup'!$K$3&amp;'Funnel setup'!$K$4&amp;'Funnel setup'!$K$5,".",IF(A5282=".",1,A5282+1))</f>
        <v>.</v>
      </c>
      <c r="B5283" s="431" t="str">
        <f t="shared" si="82"/>
        <v>Knee Replacement RevisionCCG of GP PracticeNHS ST HELENS CCG (01X)EQ VAS</v>
      </c>
      <c r="C5283" t="s">
        <v>250</v>
      </c>
      <c r="D5283" t="s">
        <v>87</v>
      </c>
      <c r="E5283" t="s">
        <v>968</v>
      </c>
      <c r="F5283" t="s">
        <v>969</v>
      </c>
      <c r="G5283" t="s">
        <v>179</v>
      </c>
      <c r="H5283" t="s">
        <v>53</v>
      </c>
      <c r="I5283" t="s">
        <v>53</v>
      </c>
      <c r="J5283" t="s">
        <v>53</v>
      </c>
      <c r="K5283" t="s">
        <v>53</v>
      </c>
      <c r="L5283" t="s">
        <v>53</v>
      </c>
      <c r="M5283" t="s">
        <v>53</v>
      </c>
      <c r="N5283" t="s">
        <v>53</v>
      </c>
      <c r="O5283" t="s">
        <v>53</v>
      </c>
      <c r="P5283" t="s">
        <v>53</v>
      </c>
      <c r="Q5283" t="s">
        <v>53</v>
      </c>
    </row>
    <row r="5284" spans="1:17" x14ac:dyDescent="0.2">
      <c r="A5284" s="30" t="str">
        <f>IF(C5284&amp;G5284&amp;D5284&lt;&gt;'Funnel setup'!$K$3&amp;'Funnel setup'!$K$4&amp;'Funnel setup'!$K$5,".",IF(A5283=".",1,A5283+1))</f>
        <v>.</v>
      </c>
      <c r="B5284" s="431" t="str">
        <f t="shared" si="82"/>
        <v>Knee Replacement RevisionCCG of GP PracticeNHS STAFFORD AND SURROUNDS CCG (05V)EQ VAS</v>
      </c>
      <c r="C5284" t="s">
        <v>250</v>
      </c>
      <c r="D5284" t="s">
        <v>87</v>
      </c>
      <c r="E5284" t="s">
        <v>971</v>
      </c>
      <c r="F5284" t="s">
        <v>972</v>
      </c>
      <c r="G5284" t="s">
        <v>179</v>
      </c>
      <c r="H5284">
        <v>7</v>
      </c>
      <c r="I5284">
        <v>74</v>
      </c>
      <c r="J5284">
        <v>81</v>
      </c>
      <c r="K5284">
        <v>7</v>
      </c>
      <c r="L5284">
        <v>5</v>
      </c>
      <c r="M5284">
        <v>1</v>
      </c>
      <c r="N5284">
        <v>1</v>
      </c>
      <c r="O5284" t="s">
        <v>53</v>
      </c>
      <c r="P5284" t="s">
        <v>53</v>
      </c>
      <c r="Q5284" t="s">
        <v>53</v>
      </c>
    </row>
    <row r="5285" spans="1:17" x14ac:dyDescent="0.2">
      <c r="A5285" s="30" t="str">
        <f>IF(C5285&amp;G5285&amp;D5285&lt;&gt;'Funnel setup'!$K$3&amp;'Funnel setup'!$K$4&amp;'Funnel setup'!$K$5,".",IF(A5284=".",1,A5284+1))</f>
        <v>.</v>
      </c>
      <c r="B5285" s="431" t="str">
        <f t="shared" si="82"/>
        <v>Knee Replacement RevisionCCG of GP PracticeNHS STOCKPORT CCG (01W)EQ VAS</v>
      </c>
      <c r="C5285" t="s">
        <v>250</v>
      </c>
      <c r="D5285" t="s">
        <v>87</v>
      </c>
      <c r="E5285" t="s">
        <v>974</v>
      </c>
      <c r="F5285" t="s">
        <v>975</v>
      </c>
      <c r="G5285" t="s">
        <v>179</v>
      </c>
      <c r="H5285">
        <v>6</v>
      </c>
      <c r="I5285">
        <v>64.167000000000002</v>
      </c>
      <c r="J5285">
        <v>75</v>
      </c>
      <c r="K5285">
        <v>10.833</v>
      </c>
      <c r="L5285">
        <v>3</v>
      </c>
      <c r="M5285">
        <v>2</v>
      </c>
      <c r="N5285">
        <v>1</v>
      </c>
      <c r="O5285" t="s">
        <v>53</v>
      </c>
      <c r="P5285" t="s">
        <v>53</v>
      </c>
      <c r="Q5285" t="s">
        <v>53</v>
      </c>
    </row>
    <row r="5286" spans="1:17" x14ac:dyDescent="0.2">
      <c r="A5286" s="30" t="str">
        <f>IF(C5286&amp;G5286&amp;D5286&lt;&gt;'Funnel setup'!$K$3&amp;'Funnel setup'!$K$4&amp;'Funnel setup'!$K$5,".",IF(A5285=".",1,A5285+1))</f>
        <v>.</v>
      </c>
      <c r="B5286" s="431" t="str">
        <f t="shared" si="82"/>
        <v>Knee Replacement RevisionCCG of GP PracticeNHS STOKE ON TRENT CCG (05W)EQ VAS</v>
      </c>
      <c r="C5286" t="s">
        <v>250</v>
      </c>
      <c r="D5286" t="s">
        <v>87</v>
      </c>
      <c r="E5286" t="s">
        <v>977</v>
      </c>
      <c r="F5286" t="s">
        <v>978</v>
      </c>
      <c r="G5286" t="s">
        <v>179</v>
      </c>
      <c r="H5286" t="s">
        <v>53</v>
      </c>
      <c r="I5286" t="s">
        <v>53</v>
      </c>
      <c r="J5286" t="s">
        <v>53</v>
      </c>
      <c r="K5286" t="s">
        <v>53</v>
      </c>
      <c r="L5286" t="s">
        <v>53</v>
      </c>
      <c r="M5286" t="s">
        <v>53</v>
      </c>
      <c r="N5286" t="s">
        <v>53</v>
      </c>
      <c r="O5286" t="s">
        <v>53</v>
      </c>
      <c r="P5286" t="s">
        <v>53</v>
      </c>
      <c r="Q5286" t="s">
        <v>53</v>
      </c>
    </row>
    <row r="5287" spans="1:17" x14ac:dyDescent="0.2">
      <c r="A5287" s="30" t="str">
        <f>IF(C5287&amp;G5287&amp;D5287&lt;&gt;'Funnel setup'!$K$3&amp;'Funnel setup'!$K$4&amp;'Funnel setup'!$K$5,".",IF(A5286=".",1,A5286+1))</f>
        <v>.</v>
      </c>
      <c r="B5287" s="431" t="str">
        <f t="shared" si="82"/>
        <v>Knee Replacement RevisionCCG of GP PracticeNHS SUNDERLAND CCG (00P)EQ VAS</v>
      </c>
      <c r="C5287" t="s">
        <v>250</v>
      </c>
      <c r="D5287" t="s">
        <v>87</v>
      </c>
      <c r="E5287" t="s">
        <v>980</v>
      </c>
      <c r="F5287" t="s">
        <v>981</v>
      </c>
      <c r="G5287" t="s">
        <v>179</v>
      </c>
      <c r="H5287">
        <v>7</v>
      </c>
      <c r="I5287">
        <v>65</v>
      </c>
      <c r="J5287">
        <v>64.286000000000001</v>
      </c>
      <c r="K5287">
        <v>-0.71399999999999997</v>
      </c>
      <c r="L5287">
        <v>3</v>
      </c>
      <c r="M5287">
        <v>3</v>
      </c>
      <c r="N5287">
        <v>1</v>
      </c>
      <c r="O5287" t="s">
        <v>53</v>
      </c>
      <c r="P5287" t="s">
        <v>53</v>
      </c>
      <c r="Q5287" t="s">
        <v>53</v>
      </c>
    </row>
    <row r="5288" spans="1:17" x14ac:dyDescent="0.2">
      <c r="A5288" s="30" t="str">
        <f>IF(C5288&amp;G5288&amp;D5288&lt;&gt;'Funnel setup'!$K$3&amp;'Funnel setup'!$K$4&amp;'Funnel setup'!$K$5,".",IF(A5287=".",1,A5287+1))</f>
        <v>.</v>
      </c>
      <c r="B5288" s="431" t="str">
        <f t="shared" si="82"/>
        <v>Knee Replacement RevisionCCG of GP PracticeNHS SURREY DOWNS CCG (99H)EQ VAS</v>
      </c>
      <c r="C5288" t="s">
        <v>250</v>
      </c>
      <c r="D5288" t="s">
        <v>87</v>
      </c>
      <c r="E5288" t="s">
        <v>983</v>
      </c>
      <c r="F5288" t="s">
        <v>984</v>
      </c>
      <c r="G5288" t="s">
        <v>179</v>
      </c>
      <c r="H5288" t="s">
        <v>53</v>
      </c>
      <c r="I5288" t="s">
        <v>53</v>
      </c>
      <c r="J5288" t="s">
        <v>53</v>
      </c>
      <c r="K5288" t="s">
        <v>53</v>
      </c>
      <c r="L5288" t="s">
        <v>53</v>
      </c>
      <c r="M5288" t="s">
        <v>53</v>
      </c>
      <c r="N5288" t="s">
        <v>53</v>
      </c>
      <c r="O5288" t="s">
        <v>53</v>
      </c>
      <c r="P5288" t="s">
        <v>53</v>
      </c>
      <c r="Q5288" t="s">
        <v>53</v>
      </c>
    </row>
    <row r="5289" spans="1:17" x14ac:dyDescent="0.2">
      <c r="A5289" s="30" t="str">
        <f>IF(C5289&amp;G5289&amp;D5289&lt;&gt;'Funnel setup'!$K$3&amp;'Funnel setup'!$K$4&amp;'Funnel setup'!$K$5,".",IF(A5288=".",1,A5288+1))</f>
        <v>.</v>
      </c>
      <c r="B5289" s="431" t="str">
        <f t="shared" si="82"/>
        <v>Knee Replacement RevisionCCG of GP PracticeNHS SURREY HEATH CCG (10C)EQ VAS</v>
      </c>
      <c r="C5289" t="s">
        <v>250</v>
      </c>
      <c r="D5289" t="s">
        <v>87</v>
      </c>
      <c r="E5289" t="s">
        <v>986</v>
      </c>
      <c r="F5289" t="s">
        <v>987</v>
      </c>
      <c r="G5289" t="s">
        <v>179</v>
      </c>
      <c r="H5289" t="s">
        <v>53</v>
      </c>
      <c r="I5289" t="s">
        <v>53</v>
      </c>
      <c r="J5289" t="s">
        <v>53</v>
      </c>
      <c r="K5289" t="s">
        <v>53</v>
      </c>
      <c r="L5289" t="s">
        <v>53</v>
      </c>
      <c r="M5289" t="s">
        <v>53</v>
      </c>
      <c r="N5289" t="s">
        <v>53</v>
      </c>
      <c r="O5289" t="s">
        <v>53</v>
      </c>
      <c r="P5289" t="s">
        <v>53</v>
      </c>
      <c r="Q5289" t="s">
        <v>53</v>
      </c>
    </row>
    <row r="5290" spans="1:17" x14ac:dyDescent="0.2">
      <c r="A5290" s="30" t="str">
        <f>IF(C5290&amp;G5290&amp;D5290&lt;&gt;'Funnel setup'!$K$3&amp;'Funnel setup'!$K$4&amp;'Funnel setup'!$K$5,".",IF(A5289=".",1,A5289+1))</f>
        <v>.</v>
      </c>
      <c r="B5290" s="431" t="str">
        <f t="shared" si="82"/>
        <v>Knee Replacement RevisionCCG of GP PracticeNHS SUTTON CCG (08T)EQ VAS</v>
      </c>
      <c r="C5290" t="s">
        <v>250</v>
      </c>
      <c r="D5290" t="s">
        <v>87</v>
      </c>
      <c r="E5290" t="s">
        <v>989</v>
      </c>
      <c r="F5290" t="s">
        <v>990</v>
      </c>
      <c r="G5290" t="s">
        <v>179</v>
      </c>
      <c r="H5290" t="s">
        <v>53</v>
      </c>
      <c r="I5290" t="s">
        <v>53</v>
      </c>
      <c r="J5290" t="s">
        <v>53</v>
      </c>
      <c r="K5290" t="s">
        <v>53</v>
      </c>
      <c r="L5290" t="s">
        <v>53</v>
      </c>
      <c r="M5290" t="s">
        <v>53</v>
      </c>
      <c r="N5290" t="s">
        <v>53</v>
      </c>
      <c r="O5290" t="s">
        <v>53</v>
      </c>
      <c r="P5290" t="s">
        <v>53</v>
      </c>
      <c r="Q5290" t="s">
        <v>53</v>
      </c>
    </row>
    <row r="5291" spans="1:17" x14ac:dyDescent="0.2">
      <c r="A5291" s="30" t="str">
        <f>IF(C5291&amp;G5291&amp;D5291&lt;&gt;'Funnel setup'!$K$3&amp;'Funnel setup'!$K$4&amp;'Funnel setup'!$K$5,".",IF(A5290=".",1,A5290+1))</f>
        <v>.</v>
      </c>
      <c r="B5291" s="431" t="str">
        <f t="shared" si="82"/>
        <v>Knee Replacement RevisionCCG of GP PracticeNHS SWALE CCG (10D)EQ VAS</v>
      </c>
      <c r="C5291" t="s">
        <v>250</v>
      </c>
      <c r="D5291" t="s">
        <v>87</v>
      </c>
      <c r="E5291" t="s">
        <v>992</v>
      </c>
      <c r="F5291" t="s">
        <v>993</v>
      </c>
      <c r="G5291" t="s">
        <v>179</v>
      </c>
      <c r="H5291" t="s">
        <v>53</v>
      </c>
      <c r="I5291" t="s">
        <v>53</v>
      </c>
      <c r="J5291" t="s">
        <v>53</v>
      </c>
      <c r="K5291" t="s">
        <v>53</v>
      </c>
      <c r="L5291" t="s">
        <v>53</v>
      </c>
      <c r="M5291" t="s">
        <v>53</v>
      </c>
      <c r="N5291" t="s">
        <v>53</v>
      </c>
      <c r="O5291" t="s">
        <v>53</v>
      </c>
      <c r="P5291" t="s">
        <v>53</v>
      </c>
      <c r="Q5291" t="s">
        <v>53</v>
      </c>
    </row>
    <row r="5292" spans="1:17" x14ac:dyDescent="0.2">
      <c r="A5292" s="30" t="str">
        <f>IF(C5292&amp;G5292&amp;D5292&lt;&gt;'Funnel setup'!$K$3&amp;'Funnel setup'!$K$4&amp;'Funnel setup'!$K$5,".",IF(A5291=".",1,A5291+1))</f>
        <v>.</v>
      </c>
      <c r="B5292" s="431" t="str">
        <f t="shared" si="82"/>
        <v>Knee Replacement RevisionCCG of GP PracticeNHS SWINDON CCG (12D)EQ VAS</v>
      </c>
      <c r="C5292" t="s">
        <v>250</v>
      </c>
      <c r="D5292" t="s">
        <v>87</v>
      </c>
      <c r="E5292" t="s">
        <v>995</v>
      </c>
      <c r="F5292" t="s">
        <v>996</v>
      </c>
      <c r="G5292" t="s">
        <v>179</v>
      </c>
      <c r="H5292" t="s">
        <v>53</v>
      </c>
      <c r="I5292" t="s">
        <v>53</v>
      </c>
      <c r="J5292" t="s">
        <v>53</v>
      </c>
      <c r="K5292" t="s">
        <v>53</v>
      </c>
      <c r="L5292" t="s">
        <v>53</v>
      </c>
      <c r="M5292" t="s">
        <v>53</v>
      </c>
      <c r="N5292" t="s">
        <v>53</v>
      </c>
      <c r="O5292" t="s">
        <v>53</v>
      </c>
      <c r="P5292" t="s">
        <v>53</v>
      </c>
      <c r="Q5292" t="s">
        <v>53</v>
      </c>
    </row>
    <row r="5293" spans="1:17" x14ac:dyDescent="0.2">
      <c r="A5293" s="30" t="str">
        <f>IF(C5293&amp;G5293&amp;D5293&lt;&gt;'Funnel setup'!$K$3&amp;'Funnel setup'!$K$4&amp;'Funnel setup'!$K$5,".",IF(A5292=".",1,A5292+1))</f>
        <v>.</v>
      </c>
      <c r="B5293" s="431" t="str">
        <f t="shared" si="82"/>
        <v>Knee Replacement RevisionCCG of GP PracticeNHS TELFORD AND WREKIN CCG (05X)EQ VAS</v>
      </c>
      <c r="C5293" t="s">
        <v>250</v>
      </c>
      <c r="D5293" t="s">
        <v>87</v>
      </c>
      <c r="E5293" t="s">
        <v>1001</v>
      </c>
      <c r="F5293" t="s">
        <v>1002</v>
      </c>
      <c r="G5293" t="s">
        <v>179</v>
      </c>
      <c r="H5293">
        <v>8</v>
      </c>
      <c r="I5293">
        <v>61.25</v>
      </c>
      <c r="J5293">
        <v>65</v>
      </c>
      <c r="K5293">
        <v>3.75</v>
      </c>
      <c r="L5293">
        <v>4</v>
      </c>
      <c r="M5293">
        <v>2</v>
      </c>
      <c r="N5293">
        <v>2</v>
      </c>
      <c r="O5293" t="s">
        <v>53</v>
      </c>
      <c r="P5293" t="s">
        <v>53</v>
      </c>
      <c r="Q5293" t="s">
        <v>53</v>
      </c>
    </row>
    <row r="5294" spans="1:17" x14ac:dyDescent="0.2">
      <c r="A5294" s="30" t="str">
        <f>IF(C5294&amp;G5294&amp;D5294&lt;&gt;'Funnel setup'!$K$3&amp;'Funnel setup'!$K$4&amp;'Funnel setup'!$K$5,".",IF(A5293=".",1,A5293+1))</f>
        <v>.</v>
      </c>
      <c r="B5294" s="431" t="str">
        <f t="shared" si="82"/>
        <v>Knee Replacement RevisionCCG of GP PracticeNHS THANET CCG (10E)EQ VAS</v>
      </c>
      <c r="C5294" t="s">
        <v>250</v>
      </c>
      <c r="D5294" t="s">
        <v>87</v>
      </c>
      <c r="E5294" t="s">
        <v>1004</v>
      </c>
      <c r="F5294" t="s">
        <v>1005</v>
      </c>
      <c r="G5294" t="s">
        <v>179</v>
      </c>
      <c r="H5294" t="s">
        <v>53</v>
      </c>
      <c r="I5294" t="s">
        <v>53</v>
      </c>
      <c r="J5294" t="s">
        <v>53</v>
      </c>
      <c r="K5294" t="s">
        <v>53</v>
      </c>
      <c r="L5294" t="s">
        <v>53</v>
      </c>
      <c r="M5294" t="s">
        <v>53</v>
      </c>
      <c r="N5294" t="s">
        <v>53</v>
      </c>
      <c r="O5294" t="s">
        <v>53</v>
      </c>
      <c r="P5294" t="s">
        <v>53</v>
      </c>
      <c r="Q5294" t="s">
        <v>53</v>
      </c>
    </row>
    <row r="5295" spans="1:17" x14ac:dyDescent="0.2">
      <c r="A5295" s="30" t="str">
        <f>IF(C5295&amp;G5295&amp;D5295&lt;&gt;'Funnel setup'!$K$3&amp;'Funnel setup'!$K$4&amp;'Funnel setup'!$K$5,".",IF(A5294=".",1,A5294+1))</f>
        <v>.</v>
      </c>
      <c r="B5295" s="431" t="str">
        <f t="shared" si="82"/>
        <v>Knee Replacement RevisionCCG of GP PracticeNHS THURROCK CCG (07G)EQ VAS</v>
      </c>
      <c r="C5295" t="s">
        <v>250</v>
      </c>
      <c r="D5295" t="s">
        <v>87</v>
      </c>
      <c r="E5295" t="s">
        <v>1007</v>
      </c>
      <c r="F5295" t="s">
        <v>1008</v>
      </c>
      <c r="G5295" t="s">
        <v>179</v>
      </c>
      <c r="H5295">
        <v>9</v>
      </c>
      <c r="I5295">
        <v>60.444000000000003</v>
      </c>
      <c r="J5295">
        <v>65.221999999999994</v>
      </c>
      <c r="K5295">
        <v>4.7779999999999996</v>
      </c>
      <c r="L5295">
        <v>4</v>
      </c>
      <c r="M5295">
        <v>4</v>
      </c>
      <c r="N5295">
        <v>1</v>
      </c>
      <c r="O5295" t="s">
        <v>53</v>
      </c>
      <c r="P5295" t="s">
        <v>53</v>
      </c>
      <c r="Q5295" t="s">
        <v>53</v>
      </c>
    </row>
    <row r="5296" spans="1:17" x14ac:dyDescent="0.2">
      <c r="A5296" s="30" t="str">
        <f>IF(C5296&amp;G5296&amp;D5296&lt;&gt;'Funnel setup'!$K$3&amp;'Funnel setup'!$K$4&amp;'Funnel setup'!$K$5,".",IF(A5295=".",1,A5295+1))</f>
        <v>.</v>
      </c>
      <c r="B5296" s="431" t="str">
        <f t="shared" si="82"/>
        <v>Knee Replacement RevisionCCG of GP PracticeNHS TRAFFORD CCG (02A)EQ VAS</v>
      </c>
      <c r="C5296" t="s">
        <v>250</v>
      </c>
      <c r="D5296" t="s">
        <v>87</v>
      </c>
      <c r="E5296" t="s">
        <v>1013</v>
      </c>
      <c r="F5296" t="s">
        <v>1014</v>
      </c>
      <c r="G5296" t="s">
        <v>179</v>
      </c>
      <c r="H5296" t="s">
        <v>53</v>
      </c>
      <c r="I5296" t="s">
        <v>53</v>
      </c>
      <c r="J5296" t="s">
        <v>53</v>
      </c>
      <c r="K5296" t="s">
        <v>53</v>
      </c>
      <c r="L5296" t="s">
        <v>53</v>
      </c>
      <c r="M5296" t="s">
        <v>53</v>
      </c>
      <c r="N5296" t="s">
        <v>53</v>
      </c>
      <c r="O5296" t="s">
        <v>53</v>
      </c>
      <c r="P5296" t="s">
        <v>53</v>
      </c>
      <c r="Q5296" t="s">
        <v>53</v>
      </c>
    </row>
    <row r="5297" spans="1:17" x14ac:dyDescent="0.2">
      <c r="A5297" s="30" t="str">
        <f>IF(C5297&amp;G5297&amp;D5297&lt;&gt;'Funnel setup'!$K$3&amp;'Funnel setup'!$K$4&amp;'Funnel setup'!$K$5,".",IF(A5296=".",1,A5296+1))</f>
        <v>.</v>
      </c>
      <c r="B5297" s="431" t="str">
        <f t="shared" si="82"/>
        <v>Knee Replacement RevisionCCG of GP PracticeNHS VALE OF YORK CCG (03Q)EQ VAS</v>
      </c>
      <c r="C5297" t="s">
        <v>250</v>
      </c>
      <c r="D5297" t="s">
        <v>87</v>
      </c>
      <c r="E5297" t="s">
        <v>420</v>
      </c>
      <c r="F5297" t="s">
        <v>421</v>
      </c>
      <c r="G5297" t="s">
        <v>179</v>
      </c>
      <c r="H5297">
        <v>17</v>
      </c>
      <c r="I5297">
        <v>70.823999999999998</v>
      </c>
      <c r="J5297">
        <v>72.293999999999997</v>
      </c>
      <c r="K5297">
        <v>1.4710000000000001</v>
      </c>
      <c r="L5297">
        <v>9</v>
      </c>
      <c r="M5297">
        <v>5</v>
      </c>
      <c r="N5297">
        <v>3</v>
      </c>
      <c r="O5297" t="s">
        <v>53</v>
      </c>
      <c r="P5297" t="s">
        <v>53</v>
      </c>
      <c r="Q5297" t="s">
        <v>53</v>
      </c>
    </row>
    <row r="5298" spans="1:17" x14ac:dyDescent="0.2">
      <c r="A5298" s="30" t="str">
        <f>IF(C5298&amp;G5298&amp;D5298&lt;&gt;'Funnel setup'!$K$3&amp;'Funnel setup'!$K$4&amp;'Funnel setup'!$K$5,".",IF(A5297=".",1,A5297+1))</f>
        <v>.</v>
      </c>
      <c r="B5298" s="431" t="str">
        <f t="shared" si="82"/>
        <v>Knee Replacement RevisionCCG of GP PracticeNHS VALE ROYAL CCG (02D)EQ VAS</v>
      </c>
      <c r="C5298" t="s">
        <v>250</v>
      </c>
      <c r="D5298" t="s">
        <v>87</v>
      </c>
      <c r="E5298" t="s">
        <v>423</v>
      </c>
      <c r="F5298" t="s">
        <v>424</v>
      </c>
      <c r="G5298" t="s">
        <v>179</v>
      </c>
      <c r="H5298" t="s">
        <v>53</v>
      </c>
      <c r="I5298" t="s">
        <v>53</v>
      </c>
      <c r="J5298" t="s">
        <v>53</v>
      </c>
      <c r="K5298" t="s">
        <v>53</v>
      </c>
      <c r="L5298" t="s">
        <v>53</v>
      </c>
      <c r="M5298" t="s">
        <v>53</v>
      </c>
      <c r="N5298" t="s">
        <v>53</v>
      </c>
      <c r="O5298" t="s">
        <v>53</v>
      </c>
      <c r="P5298" t="s">
        <v>53</v>
      </c>
      <c r="Q5298" t="s">
        <v>53</v>
      </c>
    </row>
    <row r="5299" spans="1:17" x14ac:dyDescent="0.2">
      <c r="A5299" s="30" t="str">
        <f>IF(C5299&amp;G5299&amp;D5299&lt;&gt;'Funnel setup'!$K$3&amp;'Funnel setup'!$K$4&amp;'Funnel setup'!$K$5,".",IF(A5298=".",1,A5298+1))</f>
        <v>.</v>
      </c>
      <c r="B5299" s="431" t="str">
        <f t="shared" si="82"/>
        <v>Knee Replacement RevisionCCG of GP PracticeNHS WAKEFIELD CCG (03R)EQ VAS</v>
      </c>
      <c r="C5299" t="s">
        <v>250</v>
      </c>
      <c r="D5299" t="s">
        <v>87</v>
      </c>
      <c r="E5299" t="s">
        <v>426</v>
      </c>
      <c r="F5299" t="s">
        <v>427</v>
      </c>
      <c r="G5299" t="s">
        <v>179</v>
      </c>
      <c r="H5299">
        <v>6</v>
      </c>
      <c r="I5299">
        <v>52.832999999999998</v>
      </c>
      <c r="J5299">
        <v>53.332999999999998</v>
      </c>
      <c r="K5299">
        <v>0.5</v>
      </c>
      <c r="L5299">
        <v>2</v>
      </c>
      <c r="M5299">
        <v>1</v>
      </c>
      <c r="N5299">
        <v>3</v>
      </c>
      <c r="O5299" t="s">
        <v>53</v>
      </c>
      <c r="P5299" t="s">
        <v>53</v>
      </c>
      <c r="Q5299" t="s">
        <v>53</v>
      </c>
    </row>
    <row r="5300" spans="1:17" x14ac:dyDescent="0.2">
      <c r="A5300" s="30" t="str">
        <f>IF(C5300&amp;G5300&amp;D5300&lt;&gt;'Funnel setup'!$K$3&amp;'Funnel setup'!$K$4&amp;'Funnel setup'!$K$5,".",IF(A5299=".",1,A5299+1))</f>
        <v>.</v>
      </c>
      <c r="B5300" s="431" t="str">
        <f t="shared" si="82"/>
        <v>Knee Replacement RevisionCCG of GP PracticeNHS WALSALL CCG (05Y)EQ VAS</v>
      </c>
      <c r="C5300" t="s">
        <v>250</v>
      </c>
      <c r="D5300" t="s">
        <v>87</v>
      </c>
      <c r="E5300" t="s">
        <v>429</v>
      </c>
      <c r="F5300" t="s">
        <v>430</v>
      </c>
      <c r="G5300" t="s">
        <v>179</v>
      </c>
      <c r="H5300" t="s">
        <v>53</v>
      </c>
      <c r="I5300" t="s">
        <v>53</v>
      </c>
      <c r="J5300" t="s">
        <v>53</v>
      </c>
      <c r="K5300" t="s">
        <v>53</v>
      </c>
      <c r="L5300" t="s">
        <v>53</v>
      </c>
      <c r="M5300" t="s">
        <v>53</v>
      </c>
      <c r="N5300" t="s">
        <v>53</v>
      </c>
      <c r="O5300" t="s">
        <v>53</v>
      </c>
      <c r="P5300" t="s">
        <v>53</v>
      </c>
      <c r="Q5300" t="s">
        <v>53</v>
      </c>
    </row>
    <row r="5301" spans="1:17" x14ac:dyDescent="0.2">
      <c r="A5301" s="30" t="str">
        <f>IF(C5301&amp;G5301&amp;D5301&lt;&gt;'Funnel setup'!$K$3&amp;'Funnel setup'!$K$4&amp;'Funnel setup'!$K$5,".",IF(A5300=".",1,A5300+1))</f>
        <v>.</v>
      </c>
      <c r="B5301" s="431" t="str">
        <f t="shared" si="82"/>
        <v>Knee Replacement RevisionCCG of GP PracticeNHS WALTHAM FOREST CCG (08W)EQ VAS</v>
      </c>
      <c r="C5301" t="s">
        <v>250</v>
      </c>
      <c r="D5301" t="s">
        <v>87</v>
      </c>
      <c r="E5301" t="s">
        <v>432</v>
      </c>
      <c r="F5301" t="s">
        <v>433</v>
      </c>
      <c r="G5301" t="s">
        <v>179</v>
      </c>
      <c r="H5301" t="s">
        <v>53</v>
      </c>
      <c r="I5301" t="s">
        <v>53</v>
      </c>
      <c r="J5301" t="s">
        <v>53</v>
      </c>
      <c r="K5301" t="s">
        <v>53</v>
      </c>
      <c r="L5301" t="s">
        <v>53</v>
      </c>
      <c r="M5301" t="s">
        <v>53</v>
      </c>
      <c r="N5301" t="s">
        <v>53</v>
      </c>
      <c r="O5301" t="s">
        <v>53</v>
      </c>
      <c r="P5301" t="s">
        <v>53</v>
      </c>
      <c r="Q5301" t="s">
        <v>53</v>
      </c>
    </row>
    <row r="5302" spans="1:17" x14ac:dyDescent="0.2">
      <c r="A5302" s="30" t="str">
        <f>IF(C5302&amp;G5302&amp;D5302&lt;&gt;'Funnel setup'!$K$3&amp;'Funnel setup'!$K$4&amp;'Funnel setup'!$K$5,".",IF(A5301=".",1,A5301+1))</f>
        <v>.</v>
      </c>
      <c r="B5302" s="431" t="str">
        <f t="shared" si="82"/>
        <v>Knee Replacement RevisionCCG of GP PracticeNHS WANDSWORTH CCG (08X)EQ VAS</v>
      </c>
      <c r="C5302" t="s">
        <v>250</v>
      </c>
      <c r="D5302" t="s">
        <v>87</v>
      </c>
      <c r="E5302" t="s">
        <v>435</v>
      </c>
      <c r="F5302" t="s">
        <v>436</v>
      </c>
      <c r="G5302" t="s">
        <v>179</v>
      </c>
      <c r="H5302" t="s">
        <v>53</v>
      </c>
      <c r="I5302" t="s">
        <v>53</v>
      </c>
      <c r="J5302" t="s">
        <v>53</v>
      </c>
      <c r="K5302" t="s">
        <v>53</v>
      </c>
      <c r="L5302" t="s">
        <v>53</v>
      </c>
      <c r="M5302" t="s">
        <v>53</v>
      </c>
      <c r="N5302" t="s">
        <v>53</v>
      </c>
      <c r="O5302" t="s">
        <v>53</v>
      </c>
      <c r="P5302" t="s">
        <v>53</v>
      </c>
      <c r="Q5302" t="s">
        <v>53</v>
      </c>
    </row>
    <row r="5303" spans="1:17" x14ac:dyDescent="0.2">
      <c r="A5303" s="30" t="str">
        <f>IF(C5303&amp;G5303&amp;D5303&lt;&gt;'Funnel setup'!$K$3&amp;'Funnel setup'!$K$4&amp;'Funnel setup'!$K$5,".",IF(A5302=".",1,A5302+1))</f>
        <v>.</v>
      </c>
      <c r="B5303" s="431" t="str">
        <f t="shared" si="82"/>
        <v>Knee Replacement RevisionCCG of GP PracticeNHS WARRINGTON CCG (02E)EQ VAS</v>
      </c>
      <c r="C5303" t="s">
        <v>250</v>
      </c>
      <c r="D5303" t="s">
        <v>87</v>
      </c>
      <c r="E5303" t="s">
        <v>441</v>
      </c>
      <c r="F5303" t="s">
        <v>442</v>
      </c>
      <c r="G5303" t="s">
        <v>179</v>
      </c>
      <c r="H5303">
        <v>8</v>
      </c>
      <c r="I5303">
        <v>58.125</v>
      </c>
      <c r="J5303">
        <v>68.5</v>
      </c>
      <c r="K5303">
        <v>10.375</v>
      </c>
      <c r="L5303">
        <v>6</v>
      </c>
      <c r="M5303">
        <v>0</v>
      </c>
      <c r="N5303">
        <v>2</v>
      </c>
      <c r="O5303" t="s">
        <v>53</v>
      </c>
      <c r="P5303" t="s">
        <v>53</v>
      </c>
      <c r="Q5303" t="s">
        <v>53</v>
      </c>
    </row>
    <row r="5304" spans="1:17" x14ac:dyDescent="0.2">
      <c r="A5304" s="30" t="str">
        <f>IF(C5304&amp;G5304&amp;D5304&lt;&gt;'Funnel setup'!$K$3&amp;'Funnel setup'!$K$4&amp;'Funnel setup'!$K$5,".",IF(A5303=".",1,A5303+1))</f>
        <v>.</v>
      </c>
      <c r="B5304" s="431" t="str">
        <f t="shared" si="82"/>
        <v>Knee Replacement RevisionCCG of GP PracticeNHS WARWICKSHIRE NORTH CCG (05H)EQ VAS</v>
      </c>
      <c r="C5304" t="s">
        <v>250</v>
      </c>
      <c r="D5304" t="s">
        <v>87</v>
      </c>
      <c r="E5304" t="s">
        <v>438</v>
      </c>
      <c r="F5304" t="s">
        <v>439</v>
      </c>
      <c r="G5304" t="s">
        <v>179</v>
      </c>
      <c r="H5304" t="s">
        <v>53</v>
      </c>
      <c r="I5304" t="s">
        <v>53</v>
      </c>
      <c r="J5304" t="s">
        <v>53</v>
      </c>
      <c r="K5304" t="s">
        <v>53</v>
      </c>
      <c r="L5304" t="s">
        <v>53</v>
      </c>
      <c r="M5304" t="s">
        <v>53</v>
      </c>
      <c r="N5304" t="s">
        <v>53</v>
      </c>
      <c r="O5304" t="s">
        <v>53</v>
      </c>
      <c r="P5304" t="s">
        <v>53</v>
      </c>
      <c r="Q5304" t="s">
        <v>53</v>
      </c>
    </row>
    <row r="5305" spans="1:17" x14ac:dyDescent="0.2">
      <c r="A5305" s="30" t="str">
        <f>IF(C5305&amp;G5305&amp;D5305&lt;&gt;'Funnel setup'!$K$3&amp;'Funnel setup'!$K$4&amp;'Funnel setup'!$K$5,".",IF(A5304=".",1,A5304+1))</f>
        <v>.</v>
      </c>
      <c r="B5305" s="431" t="str">
        <f t="shared" si="82"/>
        <v>Knee Replacement RevisionCCG of GP PracticeNHS WEST CHESHIRE CCG (02F)EQ VAS</v>
      </c>
      <c r="C5305" t="s">
        <v>250</v>
      </c>
      <c r="D5305" t="s">
        <v>87</v>
      </c>
      <c r="E5305" t="s">
        <v>402</v>
      </c>
      <c r="F5305" t="s">
        <v>403</v>
      </c>
      <c r="G5305" t="s">
        <v>179</v>
      </c>
      <c r="H5305">
        <v>8</v>
      </c>
      <c r="I5305">
        <v>61.875</v>
      </c>
      <c r="J5305">
        <v>65</v>
      </c>
      <c r="K5305">
        <v>3.125</v>
      </c>
      <c r="L5305">
        <v>4</v>
      </c>
      <c r="M5305">
        <v>2</v>
      </c>
      <c r="N5305">
        <v>2</v>
      </c>
      <c r="O5305" t="s">
        <v>53</v>
      </c>
      <c r="P5305" t="s">
        <v>53</v>
      </c>
      <c r="Q5305" t="s">
        <v>53</v>
      </c>
    </row>
    <row r="5306" spans="1:17" x14ac:dyDescent="0.2">
      <c r="A5306" s="30" t="str">
        <f>IF(C5306&amp;G5306&amp;D5306&lt;&gt;'Funnel setup'!$K$3&amp;'Funnel setup'!$K$4&amp;'Funnel setup'!$K$5,".",IF(A5305=".",1,A5305+1))</f>
        <v>.</v>
      </c>
      <c r="B5306" s="431" t="str">
        <f t="shared" si="82"/>
        <v>Knee Replacement RevisionCCG of GP PracticeNHS WEST ESSEX CCG (07H)EQ VAS</v>
      </c>
      <c r="C5306" t="s">
        <v>250</v>
      </c>
      <c r="D5306" t="s">
        <v>87</v>
      </c>
      <c r="E5306" t="s">
        <v>405</v>
      </c>
      <c r="F5306" t="s">
        <v>406</v>
      </c>
      <c r="G5306" t="s">
        <v>179</v>
      </c>
      <c r="H5306" t="s">
        <v>53</v>
      </c>
      <c r="I5306" t="s">
        <v>53</v>
      </c>
      <c r="J5306" t="s">
        <v>53</v>
      </c>
      <c r="K5306" t="s">
        <v>53</v>
      </c>
      <c r="L5306" t="s">
        <v>53</v>
      </c>
      <c r="M5306" t="s">
        <v>53</v>
      </c>
      <c r="N5306" t="s">
        <v>53</v>
      </c>
      <c r="O5306" t="s">
        <v>53</v>
      </c>
      <c r="P5306" t="s">
        <v>53</v>
      </c>
      <c r="Q5306" t="s">
        <v>53</v>
      </c>
    </row>
    <row r="5307" spans="1:17" x14ac:dyDescent="0.2">
      <c r="A5307" s="30" t="str">
        <f>IF(C5307&amp;G5307&amp;D5307&lt;&gt;'Funnel setup'!$K$3&amp;'Funnel setup'!$K$4&amp;'Funnel setup'!$K$5,".",IF(A5306=".",1,A5306+1))</f>
        <v>.</v>
      </c>
      <c r="B5307" s="431" t="str">
        <f t="shared" si="82"/>
        <v>Knee Replacement RevisionCCG of GP PracticeNHS WEST HAMPSHIRE CCG (11A)EQ VAS</v>
      </c>
      <c r="C5307" t="s">
        <v>250</v>
      </c>
      <c r="D5307" t="s">
        <v>87</v>
      </c>
      <c r="E5307" t="s">
        <v>444</v>
      </c>
      <c r="F5307" t="s">
        <v>445</v>
      </c>
      <c r="G5307" t="s">
        <v>179</v>
      </c>
      <c r="H5307">
        <v>28</v>
      </c>
      <c r="I5307">
        <v>66.536000000000001</v>
      </c>
      <c r="J5307">
        <v>70.356999999999999</v>
      </c>
      <c r="K5307">
        <v>3.8210000000000002</v>
      </c>
      <c r="L5307">
        <v>15</v>
      </c>
      <c r="M5307">
        <v>5</v>
      </c>
      <c r="N5307">
        <v>8</v>
      </c>
      <c r="O5307" t="s">
        <v>53</v>
      </c>
      <c r="P5307" t="s">
        <v>53</v>
      </c>
      <c r="Q5307" t="s">
        <v>53</v>
      </c>
    </row>
    <row r="5308" spans="1:17" x14ac:dyDescent="0.2">
      <c r="A5308" s="30" t="str">
        <f>IF(C5308&amp;G5308&amp;D5308&lt;&gt;'Funnel setup'!$K$3&amp;'Funnel setup'!$K$4&amp;'Funnel setup'!$K$5,".",IF(A5307=".",1,A5307+1))</f>
        <v>.</v>
      </c>
      <c r="B5308" s="431" t="str">
        <f t="shared" si="82"/>
        <v>Knee Replacement RevisionCCG of GP PracticeNHS WEST KENT CCG (99J)EQ VAS</v>
      </c>
      <c r="C5308" t="s">
        <v>250</v>
      </c>
      <c r="D5308" t="s">
        <v>87</v>
      </c>
      <c r="E5308" t="s">
        <v>447</v>
      </c>
      <c r="F5308" t="s">
        <v>448</v>
      </c>
      <c r="G5308" t="s">
        <v>179</v>
      </c>
      <c r="H5308">
        <v>6</v>
      </c>
      <c r="I5308">
        <v>82.332999999999998</v>
      </c>
      <c r="J5308">
        <v>83.167000000000002</v>
      </c>
      <c r="K5308">
        <v>0.83299999999999996</v>
      </c>
      <c r="L5308">
        <v>2</v>
      </c>
      <c r="M5308">
        <v>1</v>
      </c>
      <c r="N5308">
        <v>3</v>
      </c>
      <c r="O5308" t="s">
        <v>53</v>
      </c>
      <c r="P5308" t="s">
        <v>53</v>
      </c>
      <c r="Q5308" t="s">
        <v>53</v>
      </c>
    </row>
    <row r="5309" spans="1:17" x14ac:dyDescent="0.2">
      <c r="A5309" s="30" t="str">
        <f>IF(C5309&amp;G5309&amp;D5309&lt;&gt;'Funnel setup'!$K$3&amp;'Funnel setup'!$K$4&amp;'Funnel setup'!$K$5,".",IF(A5308=".",1,A5308+1))</f>
        <v>.</v>
      </c>
      <c r="B5309" s="431" t="str">
        <f t="shared" si="82"/>
        <v>Knee Replacement RevisionCCG of GP PracticeNHS WEST LANCASHIRE CCG (02G)EQ VAS</v>
      </c>
      <c r="C5309" t="s">
        <v>250</v>
      </c>
      <c r="D5309" t="s">
        <v>87</v>
      </c>
      <c r="E5309" t="s">
        <v>450</v>
      </c>
      <c r="F5309" t="s">
        <v>451</v>
      </c>
      <c r="G5309" t="s">
        <v>179</v>
      </c>
      <c r="H5309" t="s">
        <v>53</v>
      </c>
      <c r="I5309" t="s">
        <v>53</v>
      </c>
      <c r="J5309" t="s">
        <v>53</v>
      </c>
      <c r="K5309" t="s">
        <v>53</v>
      </c>
      <c r="L5309" t="s">
        <v>53</v>
      </c>
      <c r="M5309" t="s">
        <v>53</v>
      </c>
      <c r="N5309" t="s">
        <v>53</v>
      </c>
      <c r="O5309" t="s">
        <v>53</v>
      </c>
      <c r="P5309" t="s">
        <v>53</v>
      </c>
      <c r="Q5309" t="s">
        <v>53</v>
      </c>
    </row>
    <row r="5310" spans="1:17" x14ac:dyDescent="0.2">
      <c r="A5310" s="30" t="str">
        <f>IF(C5310&amp;G5310&amp;D5310&lt;&gt;'Funnel setup'!$K$3&amp;'Funnel setup'!$K$4&amp;'Funnel setup'!$K$5,".",IF(A5309=".",1,A5309+1))</f>
        <v>.</v>
      </c>
      <c r="B5310" s="431" t="str">
        <f t="shared" si="82"/>
        <v>Knee Replacement RevisionCCG of GP PracticeNHS WEST LEICESTERSHIRE CCG (04V)EQ VAS</v>
      </c>
      <c r="C5310" t="s">
        <v>250</v>
      </c>
      <c r="D5310" t="s">
        <v>87</v>
      </c>
      <c r="E5310" t="s">
        <v>453</v>
      </c>
      <c r="F5310" t="s">
        <v>454</v>
      </c>
      <c r="G5310" t="s">
        <v>179</v>
      </c>
      <c r="H5310">
        <v>10</v>
      </c>
      <c r="I5310">
        <v>62</v>
      </c>
      <c r="J5310">
        <v>66</v>
      </c>
      <c r="K5310">
        <v>4</v>
      </c>
      <c r="L5310">
        <v>5</v>
      </c>
      <c r="M5310">
        <v>2</v>
      </c>
      <c r="N5310">
        <v>3</v>
      </c>
      <c r="O5310" t="s">
        <v>53</v>
      </c>
      <c r="P5310" t="s">
        <v>53</v>
      </c>
      <c r="Q5310" t="s">
        <v>53</v>
      </c>
    </row>
    <row r="5311" spans="1:17" x14ac:dyDescent="0.2">
      <c r="A5311" s="30" t="str">
        <f>IF(C5311&amp;G5311&amp;D5311&lt;&gt;'Funnel setup'!$K$3&amp;'Funnel setup'!$K$4&amp;'Funnel setup'!$K$5,".",IF(A5310=".",1,A5310+1))</f>
        <v>.</v>
      </c>
      <c r="B5311" s="431" t="str">
        <f t="shared" si="82"/>
        <v>Knee Replacement RevisionCCG of GP PracticeNHS WEST LONDON CCG (08Y)EQ VAS</v>
      </c>
      <c r="C5311" t="s">
        <v>250</v>
      </c>
      <c r="D5311" t="s">
        <v>87</v>
      </c>
      <c r="E5311" t="s">
        <v>456</v>
      </c>
      <c r="F5311" t="s">
        <v>457</v>
      </c>
      <c r="G5311" t="s">
        <v>179</v>
      </c>
      <c r="H5311" t="s">
        <v>53</v>
      </c>
      <c r="I5311" t="s">
        <v>53</v>
      </c>
      <c r="J5311" t="s">
        <v>53</v>
      </c>
      <c r="K5311" t="s">
        <v>53</v>
      </c>
      <c r="L5311" t="s">
        <v>53</v>
      </c>
      <c r="M5311" t="s">
        <v>53</v>
      </c>
      <c r="N5311" t="s">
        <v>53</v>
      </c>
      <c r="O5311" t="s">
        <v>53</v>
      </c>
      <c r="P5311" t="s">
        <v>53</v>
      </c>
      <c r="Q5311" t="s">
        <v>53</v>
      </c>
    </row>
    <row r="5312" spans="1:17" x14ac:dyDescent="0.2">
      <c r="A5312" s="30" t="str">
        <f>IF(C5312&amp;G5312&amp;D5312&lt;&gt;'Funnel setup'!$K$3&amp;'Funnel setup'!$K$4&amp;'Funnel setup'!$K$5,".",IF(A5311=".",1,A5311+1))</f>
        <v>.</v>
      </c>
      <c r="B5312" s="431" t="str">
        <f t="shared" si="82"/>
        <v>Knee Replacement RevisionCCG of GP PracticeNHS WEST NORFOLK CCG (07J)EQ VAS</v>
      </c>
      <c r="C5312" t="s">
        <v>250</v>
      </c>
      <c r="D5312" t="s">
        <v>87</v>
      </c>
      <c r="E5312" t="s">
        <v>459</v>
      </c>
      <c r="F5312" t="s">
        <v>460</v>
      </c>
      <c r="G5312" t="s">
        <v>179</v>
      </c>
      <c r="H5312">
        <v>13</v>
      </c>
      <c r="I5312">
        <v>69.923000000000002</v>
      </c>
      <c r="J5312">
        <v>60</v>
      </c>
      <c r="K5312">
        <v>-9.923</v>
      </c>
      <c r="L5312">
        <v>4</v>
      </c>
      <c r="M5312">
        <v>1</v>
      </c>
      <c r="N5312">
        <v>8</v>
      </c>
      <c r="O5312" t="s">
        <v>53</v>
      </c>
      <c r="P5312" t="s">
        <v>53</v>
      </c>
      <c r="Q5312" t="s">
        <v>53</v>
      </c>
    </row>
    <row r="5313" spans="1:17" x14ac:dyDescent="0.2">
      <c r="A5313" s="30" t="str">
        <f>IF(C5313&amp;G5313&amp;D5313&lt;&gt;'Funnel setup'!$K$3&amp;'Funnel setup'!$K$4&amp;'Funnel setup'!$K$5,".",IF(A5312=".",1,A5312+1))</f>
        <v>.</v>
      </c>
      <c r="B5313" s="431" t="str">
        <f t="shared" si="82"/>
        <v>Knee Replacement RevisionCCG of GP PracticeNHS WEST SUFFOLK CCG (07K)EQ VAS</v>
      </c>
      <c r="C5313" t="s">
        <v>250</v>
      </c>
      <c r="D5313" t="s">
        <v>87</v>
      </c>
      <c r="E5313" t="s">
        <v>462</v>
      </c>
      <c r="F5313" t="s">
        <v>463</v>
      </c>
      <c r="G5313" t="s">
        <v>179</v>
      </c>
      <c r="H5313">
        <v>6</v>
      </c>
      <c r="I5313">
        <v>60</v>
      </c>
      <c r="J5313">
        <v>43.332999999999998</v>
      </c>
      <c r="K5313">
        <v>-16.667000000000002</v>
      </c>
      <c r="L5313">
        <v>2</v>
      </c>
      <c r="M5313">
        <v>0</v>
      </c>
      <c r="N5313">
        <v>4</v>
      </c>
      <c r="O5313" t="s">
        <v>53</v>
      </c>
      <c r="P5313" t="s">
        <v>53</v>
      </c>
      <c r="Q5313" t="s">
        <v>53</v>
      </c>
    </row>
    <row r="5314" spans="1:17" x14ac:dyDescent="0.2">
      <c r="A5314" s="30" t="str">
        <f>IF(C5314&amp;G5314&amp;D5314&lt;&gt;'Funnel setup'!$K$3&amp;'Funnel setup'!$K$4&amp;'Funnel setup'!$K$5,".",IF(A5313=".",1,A5313+1))</f>
        <v>.</v>
      </c>
      <c r="B5314" s="431" t="str">
        <f t="shared" si="82"/>
        <v>Knee Replacement RevisionCCG of GP PracticeNHS WIGAN BOROUGH CCG (02H)EQ VAS</v>
      </c>
      <c r="C5314" t="s">
        <v>250</v>
      </c>
      <c r="D5314" t="s">
        <v>87</v>
      </c>
      <c r="E5314" t="s">
        <v>465</v>
      </c>
      <c r="F5314" t="s">
        <v>466</v>
      </c>
      <c r="G5314" t="s">
        <v>179</v>
      </c>
      <c r="H5314">
        <v>6</v>
      </c>
      <c r="I5314">
        <v>80.832999999999998</v>
      </c>
      <c r="J5314">
        <v>81.832999999999998</v>
      </c>
      <c r="K5314">
        <v>1</v>
      </c>
      <c r="L5314">
        <v>3</v>
      </c>
      <c r="M5314">
        <v>1</v>
      </c>
      <c r="N5314">
        <v>2</v>
      </c>
      <c r="O5314" t="s">
        <v>53</v>
      </c>
      <c r="P5314" t="s">
        <v>53</v>
      </c>
      <c r="Q5314" t="s">
        <v>53</v>
      </c>
    </row>
    <row r="5315" spans="1:17" x14ac:dyDescent="0.2">
      <c r="A5315" s="30" t="str">
        <f>IF(C5315&amp;G5315&amp;D5315&lt;&gt;'Funnel setup'!$K$3&amp;'Funnel setup'!$K$4&amp;'Funnel setup'!$K$5,".",IF(A5314=".",1,A5314+1))</f>
        <v>.</v>
      </c>
      <c r="B5315" s="431" t="str">
        <f t="shared" ref="B5315:B5378" si="83">C5315&amp;D5315&amp;F5315&amp;G5315</f>
        <v>Knee Replacement RevisionCCG of GP PracticeNHS WILTSHIRE CCG (99N)EQ VAS</v>
      </c>
      <c r="C5315" t="s">
        <v>250</v>
      </c>
      <c r="D5315" t="s">
        <v>87</v>
      </c>
      <c r="E5315" t="s">
        <v>468</v>
      </c>
      <c r="F5315" t="s">
        <v>469</v>
      </c>
      <c r="G5315" t="s">
        <v>179</v>
      </c>
      <c r="H5315">
        <v>31</v>
      </c>
      <c r="I5315">
        <v>63.258000000000003</v>
      </c>
      <c r="J5315">
        <v>62.871000000000002</v>
      </c>
      <c r="K5315">
        <v>-0.38700000000000001</v>
      </c>
      <c r="L5315">
        <v>15</v>
      </c>
      <c r="M5315">
        <v>2</v>
      </c>
      <c r="N5315">
        <v>14</v>
      </c>
      <c r="O5315">
        <v>63.738</v>
      </c>
      <c r="P5315">
        <v>-0.718435767</v>
      </c>
      <c r="Q5315">
        <v>21.056000000000001</v>
      </c>
    </row>
    <row r="5316" spans="1:17" x14ac:dyDescent="0.2">
      <c r="A5316" s="30" t="str">
        <f>IF(C5316&amp;G5316&amp;D5316&lt;&gt;'Funnel setup'!$K$3&amp;'Funnel setup'!$K$4&amp;'Funnel setup'!$K$5,".",IF(A5315=".",1,A5315+1))</f>
        <v>.</v>
      </c>
      <c r="B5316" s="431" t="str">
        <f t="shared" si="83"/>
        <v>Knee Replacement RevisionCCG of GP PracticeNHS WINDSOR, ASCOT AND MAIDENHEAD CCG (11C)EQ VAS</v>
      </c>
      <c r="C5316" t="s">
        <v>250</v>
      </c>
      <c r="D5316" t="s">
        <v>87</v>
      </c>
      <c r="E5316" t="s">
        <v>471</v>
      </c>
      <c r="F5316" t="s">
        <v>472</v>
      </c>
      <c r="G5316" t="s">
        <v>179</v>
      </c>
      <c r="H5316" t="s">
        <v>53</v>
      </c>
      <c r="I5316" t="s">
        <v>53</v>
      </c>
      <c r="J5316" t="s">
        <v>53</v>
      </c>
      <c r="K5316" t="s">
        <v>53</v>
      </c>
      <c r="L5316" t="s">
        <v>53</v>
      </c>
      <c r="M5316" t="s">
        <v>53</v>
      </c>
      <c r="N5316" t="s">
        <v>53</v>
      </c>
      <c r="O5316" t="s">
        <v>53</v>
      </c>
      <c r="P5316" t="s">
        <v>53</v>
      </c>
      <c r="Q5316" t="s">
        <v>53</v>
      </c>
    </row>
    <row r="5317" spans="1:17" x14ac:dyDescent="0.2">
      <c r="A5317" s="30" t="str">
        <f>IF(C5317&amp;G5317&amp;D5317&lt;&gt;'Funnel setup'!$K$3&amp;'Funnel setup'!$K$4&amp;'Funnel setup'!$K$5,".",IF(A5316=".",1,A5316+1))</f>
        <v>.</v>
      </c>
      <c r="B5317" s="431" t="str">
        <f t="shared" si="83"/>
        <v>Knee Replacement RevisionCCG of GP PracticeNHS WIRRAL CCG (12F)EQ VAS</v>
      </c>
      <c r="C5317" t="s">
        <v>250</v>
      </c>
      <c r="D5317" t="s">
        <v>87</v>
      </c>
      <c r="E5317" t="s">
        <v>474</v>
      </c>
      <c r="F5317" t="s">
        <v>475</v>
      </c>
      <c r="G5317" t="s">
        <v>179</v>
      </c>
      <c r="H5317" t="s">
        <v>53</v>
      </c>
      <c r="I5317" t="s">
        <v>53</v>
      </c>
      <c r="J5317" t="s">
        <v>53</v>
      </c>
      <c r="K5317" t="s">
        <v>53</v>
      </c>
      <c r="L5317" t="s">
        <v>53</v>
      </c>
      <c r="M5317" t="s">
        <v>53</v>
      </c>
      <c r="N5317" t="s">
        <v>53</v>
      </c>
      <c r="O5317" t="s">
        <v>53</v>
      </c>
      <c r="P5317" t="s">
        <v>53</v>
      </c>
      <c r="Q5317" t="s">
        <v>53</v>
      </c>
    </row>
    <row r="5318" spans="1:17" x14ac:dyDescent="0.2">
      <c r="A5318" s="30" t="str">
        <f>IF(C5318&amp;G5318&amp;D5318&lt;&gt;'Funnel setup'!$K$3&amp;'Funnel setup'!$K$4&amp;'Funnel setup'!$K$5,".",IF(A5317=".",1,A5317+1))</f>
        <v>.</v>
      </c>
      <c r="B5318" s="431" t="str">
        <f t="shared" si="83"/>
        <v>Knee Replacement RevisionCCG of GP PracticeNHS WOKINGHAM CCG (11D)EQ VAS</v>
      </c>
      <c r="C5318" t="s">
        <v>250</v>
      </c>
      <c r="D5318" t="s">
        <v>87</v>
      </c>
      <c r="E5318" t="s">
        <v>477</v>
      </c>
      <c r="F5318" t="s">
        <v>478</v>
      </c>
      <c r="G5318" t="s">
        <v>179</v>
      </c>
      <c r="H5318" t="s">
        <v>53</v>
      </c>
      <c r="I5318" t="s">
        <v>53</v>
      </c>
      <c r="J5318" t="s">
        <v>53</v>
      </c>
      <c r="K5318" t="s">
        <v>53</v>
      </c>
      <c r="L5318" t="s">
        <v>53</v>
      </c>
      <c r="M5318" t="s">
        <v>53</v>
      </c>
      <c r="N5318" t="s">
        <v>53</v>
      </c>
      <c r="O5318" t="s">
        <v>53</v>
      </c>
      <c r="P5318" t="s">
        <v>53</v>
      </c>
      <c r="Q5318" t="s">
        <v>53</v>
      </c>
    </row>
    <row r="5319" spans="1:17" x14ac:dyDescent="0.2">
      <c r="A5319" s="30" t="str">
        <f>IF(C5319&amp;G5319&amp;D5319&lt;&gt;'Funnel setup'!$K$3&amp;'Funnel setup'!$K$4&amp;'Funnel setup'!$K$5,".",IF(A5318=".",1,A5318+1))</f>
        <v>.</v>
      </c>
      <c r="B5319" s="431" t="str">
        <f t="shared" si="83"/>
        <v>Knee Replacement RevisionCCG of GP PracticeNHS WOLVERHAMPTON CCG (06A)EQ VAS</v>
      </c>
      <c r="C5319" t="s">
        <v>250</v>
      </c>
      <c r="D5319" t="s">
        <v>87</v>
      </c>
      <c r="E5319" t="s">
        <v>480</v>
      </c>
      <c r="F5319" t="s">
        <v>481</v>
      </c>
      <c r="G5319" t="s">
        <v>179</v>
      </c>
      <c r="H5319">
        <v>6</v>
      </c>
      <c r="I5319">
        <v>64.167000000000002</v>
      </c>
      <c r="J5319">
        <v>64.667000000000002</v>
      </c>
      <c r="K5319">
        <v>0.5</v>
      </c>
      <c r="L5319">
        <v>2</v>
      </c>
      <c r="M5319">
        <v>1</v>
      </c>
      <c r="N5319">
        <v>3</v>
      </c>
      <c r="O5319" t="s">
        <v>53</v>
      </c>
      <c r="P5319" t="s">
        <v>53</v>
      </c>
      <c r="Q5319" t="s">
        <v>53</v>
      </c>
    </row>
    <row r="5320" spans="1:17" x14ac:dyDescent="0.2">
      <c r="A5320" s="30" t="str">
        <f>IF(C5320&amp;G5320&amp;D5320&lt;&gt;'Funnel setup'!$K$3&amp;'Funnel setup'!$K$4&amp;'Funnel setup'!$K$5,".",IF(A5319=".",1,A5319+1))</f>
        <v>.</v>
      </c>
      <c r="B5320" s="431" t="str">
        <f t="shared" si="83"/>
        <v>Knee Replacement RevisionCCG of GP PracticeNHS WYRE FOREST CCG (06D)EQ VAS</v>
      </c>
      <c r="C5320" t="s">
        <v>250</v>
      </c>
      <c r="D5320" t="s">
        <v>87</v>
      </c>
      <c r="E5320" t="s">
        <v>483</v>
      </c>
      <c r="F5320" t="s">
        <v>484</v>
      </c>
      <c r="G5320" t="s">
        <v>179</v>
      </c>
      <c r="H5320" t="s">
        <v>53</v>
      </c>
      <c r="I5320" t="s">
        <v>53</v>
      </c>
      <c r="J5320" t="s">
        <v>53</v>
      </c>
      <c r="K5320" t="s">
        <v>53</v>
      </c>
      <c r="L5320" t="s">
        <v>53</v>
      </c>
      <c r="M5320" t="s">
        <v>53</v>
      </c>
      <c r="N5320" t="s">
        <v>53</v>
      </c>
      <c r="O5320" t="s">
        <v>53</v>
      </c>
      <c r="P5320" t="s">
        <v>53</v>
      </c>
      <c r="Q5320" t="s">
        <v>53</v>
      </c>
    </row>
    <row r="5321" spans="1:17" x14ac:dyDescent="0.2">
      <c r="A5321" s="30" t="str">
        <f>IF(C5321&amp;G5321&amp;D5321&lt;&gt;'Funnel setup'!$K$3&amp;'Funnel setup'!$K$4&amp;'Funnel setup'!$K$5,".",IF(A5320=".",1,A5320+1))</f>
        <v>.</v>
      </c>
      <c r="B5321" s="431" t="str">
        <f t="shared" si="83"/>
        <v>Knee Replacement RevisionCCG of GP PracticeNHS AIREDALE, WHARFEDALE AND CRAVEN CCG (02N)EQ-5D Index</v>
      </c>
      <c r="C5321" t="s">
        <v>250</v>
      </c>
      <c r="D5321" t="s">
        <v>87</v>
      </c>
      <c r="E5321" t="s">
        <v>566</v>
      </c>
      <c r="F5321" t="s">
        <v>567</v>
      </c>
      <c r="G5321" t="s">
        <v>52</v>
      </c>
      <c r="H5321" t="s">
        <v>53</v>
      </c>
      <c r="I5321" t="s">
        <v>53</v>
      </c>
      <c r="J5321" t="s">
        <v>53</v>
      </c>
      <c r="K5321" t="s">
        <v>53</v>
      </c>
      <c r="L5321" t="s">
        <v>53</v>
      </c>
      <c r="M5321" t="s">
        <v>53</v>
      </c>
      <c r="N5321" t="s">
        <v>53</v>
      </c>
      <c r="O5321" t="s">
        <v>53</v>
      </c>
      <c r="P5321" t="s">
        <v>53</v>
      </c>
      <c r="Q5321" t="s">
        <v>53</v>
      </c>
    </row>
    <row r="5322" spans="1:17" x14ac:dyDescent="0.2">
      <c r="A5322" s="30" t="str">
        <f>IF(C5322&amp;G5322&amp;D5322&lt;&gt;'Funnel setup'!$K$3&amp;'Funnel setup'!$K$4&amp;'Funnel setup'!$K$5,".",IF(A5321=".",1,A5321+1))</f>
        <v>.</v>
      </c>
      <c r="B5322" s="431" t="str">
        <f t="shared" si="83"/>
        <v>Knee Replacement RevisionCCG of GP PracticeNHS ASHFORD CCG (09C)EQ-5D Index</v>
      </c>
      <c r="C5322" t="s">
        <v>250</v>
      </c>
      <c r="D5322" t="s">
        <v>87</v>
      </c>
      <c r="E5322" t="s">
        <v>569</v>
      </c>
      <c r="F5322" t="s">
        <v>339</v>
      </c>
      <c r="G5322" t="s">
        <v>52</v>
      </c>
      <c r="H5322" t="s">
        <v>53</v>
      </c>
      <c r="I5322" t="s">
        <v>53</v>
      </c>
      <c r="J5322" t="s">
        <v>53</v>
      </c>
      <c r="K5322" t="s">
        <v>53</v>
      </c>
      <c r="L5322" t="s">
        <v>53</v>
      </c>
      <c r="M5322" t="s">
        <v>53</v>
      </c>
      <c r="N5322" t="s">
        <v>53</v>
      </c>
      <c r="O5322" t="s">
        <v>53</v>
      </c>
      <c r="P5322" t="s">
        <v>53</v>
      </c>
      <c r="Q5322" t="s">
        <v>53</v>
      </c>
    </row>
    <row r="5323" spans="1:17" x14ac:dyDescent="0.2">
      <c r="A5323" s="30" t="str">
        <f>IF(C5323&amp;G5323&amp;D5323&lt;&gt;'Funnel setup'!$K$3&amp;'Funnel setup'!$K$4&amp;'Funnel setup'!$K$5,".",IF(A5322=".",1,A5322+1))</f>
        <v>.</v>
      </c>
      <c r="B5323" s="431" t="str">
        <f t="shared" si="83"/>
        <v>Knee Replacement RevisionCCG of GP PracticeNHS AYLESBURY VALE CCG (10Y)EQ-5D Index</v>
      </c>
      <c r="C5323" t="s">
        <v>250</v>
      </c>
      <c r="D5323" t="s">
        <v>87</v>
      </c>
      <c r="E5323" t="s">
        <v>571</v>
      </c>
      <c r="F5323" t="s">
        <v>572</v>
      </c>
      <c r="G5323" t="s">
        <v>52</v>
      </c>
      <c r="H5323" t="s">
        <v>53</v>
      </c>
      <c r="I5323" t="s">
        <v>53</v>
      </c>
      <c r="J5323" t="s">
        <v>53</v>
      </c>
      <c r="K5323" t="s">
        <v>53</v>
      </c>
      <c r="L5323" t="s">
        <v>53</v>
      </c>
      <c r="M5323" t="s">
        <v>53</v>
      </c>
      <c r="N5323" t="s">
        <v>53</v>
      </c>
      <c r="O5323" t="s">
        <v>53</v>
      </c>
      <c r="P5323" t="s">
        <v>53</v>
      </c>
      <c r="Q5323" t="s">
        <v>53</v>
      </c>
    </row>
    <row r="5324" spans="1:17" x14ac:dyDescent="0.2">
      <c r="A5324" s="30" t="str">
        <f>IF(C5324&amp;G5324&amp;D5324&lt;&gt;'Funnel setup'!$K$3&amp;'Funnel setup'!$K$4&amp;'Funnel setup'!$K$5,".",IF(A5323=".",1,A5323+1))</f>
        <v>.</v>
      </c>
      <c r="B5324" s="431" t="str">
        <f t="shared" si="83"/>
        <v>Knee Replacement RevisionCCG of GP PracticeNHS BARNET CCG (07M)EQ-5D Index</v>
      </c>
      <c r="C5324" t="s">
        <v>250</v>
      </c>
      <c r="D5324" t="s">
        <v>87</v>
      </c>
      <c r="E5324" t="s">
        <v>577</v>
      </c>
      <c r="F5324" t="s">
        <v>578</v>
      </c>
      <c r="G5324" t="s">
        <v>52</v>
      </c>
      <c r="H5324" t="s">
        <v>53</v>
      </c>
      <c r="I5324" t="s">
        <v>53</v>
      </c>
      <c r="J5324" t="s">
        <v>53</v>
      </c>
      <c r="K5324" t="s">
        <v>53</v>
      </c>
      <c r="L5324" t="s">
        <v>53</v>
      </c>
      <c r="M5324" t="s">
        <v>53</v>
      </c>
      <c r="N5324" t="s">
        <v>53</v>
      </c>
      <c r="O5324" t="s">
        <v>53</v>
      </c>
      <c r="P5324" t="s">
        <v>53</v>
      </c>
      <c r="Q5324" t="s">
        <v>53</v>
      </c>
    </row>
    <row r="5325" spans="1:17" x14ac:dyDescent="0.2">
      <c r="A5325" s="30" t="str">
        <f>IF(C5325&amp;G5325&amp;D5325&lt;&gt;'Funnel setup'!$K$3&amp;'Funnel setup'!$K$4&amp;'Funnel setup'!$K$5,".",IF(A5324=".",1,A5324+1))</f>
        <v>.</v>
      </c>
      <c r="B5325" s="431" t="str">
        <f t="shared" si="83"/>
        <v>Knee Replacement RevisionCCG of GP PracticeNHS BARNSLEY CCG (02P)EQ-5D Index</v>
      </c>
      <c r="C5325" t="s">
        <v>250</v>
      </c>
      <c r="D5325" t="s">
        <v>87</v>
      </c>
      <c r="E5325" t="s">
        <v>580</v>
      </c>
      <c r="F5325" t="s">
        <v>581</v>
      </c>
      <c r="G5325" t="s">
        <v>52</v>
      </c>
      <c r="H5325">
        <v>17</v>
      </c>
      <c r="I5325">
        <v>0.3</v>
      </c>
      <c r="J5325">
        <v>0.63</v>
      </c>
      <c r="K5325">
        <v>0.33</v>
      </c>
      <c r="L5325">
        <v>14</v>
      </c>
      <c r="M5325">
        <v>1</v>
      </c>
      <c r="N5325">
        <v>2</v>
      </c>
      <c r="O5325" t="s">
        <v>53</v>
      </c>
      <c r="P5325" t="s">
        <v>53</v>
      </c>
      <c r="Q5325" t="s">
        <v>53</v>
      </c>
    </row>
    <row r="5326" spans="1:17" x14ac:dyDescent="0.2">
      <c r="A5326" s="30" t="str">
        <f>IF(C5326&amp;G5326&amp;D5326&lt;&gt;'Funnel setup'!$K$3&amp;'Funnel setup'!$K$4&amp;'Funnel setup'!$K$5,".",IF(A5325=".",1,A5325+1))</f>
        <v>.</v>
      </c>
      <c r="B5326" s="431" t="str">
        <f t="shared" si="83"/>
        <v>Knee Replacement RevisionCCG of GP PracticeNHS BASILDON AND BRENTWOOD CCG (99E)EQ-5D Index</v>
      </c>
      <c r="C5326" t="s">
        <v>250</v>
      </c>
      <c r="D5326" t="s">
        <v>87</v>
      </c>
      <c r="E5326" t="s">
        <v>583</v>
      </c>
      <c r="F5326" t="s">
        <v>584</v>
      </c>
      <c r="G5326" t="s">
        <v>52</v>
      </c>
      <c r="H5326">
        <v>11</v>
      </c>
      <c r="I5326">
        <v>0.35799999999999998</v>
      </c>
      <c r="J5326">
        <v>0.59599999999999997</v>
      </c>
      <c r="K5326">
        <v>0.23799999999999999</v>
      </c>
      <c r="L5326">
        <v>8</v>
      </c>
      <c r="M5326">
        <v>1</v>
      </c>
      <c r="N5326">
        <v>2</v>
      </c>
      <c r="O5326" t="s">
        <v>53</v>
      </c>
      <c r="P5326" t="s">
        <v>53</v>
      </c>
      <c r="Q5326" t="s">
        <v>53</v>
      </c>
    </row>
    <row r="5327" spans="1:17" x14ac:dyDescent="0.2">
      <c r="A5327" s="30" t="str">
        <f>IF(C5327&amp;G5327&amp;D5327&lt;&gt;'Funnel setup'!$K$3&amp;'Funnel setup'!$K$4&amp;'Funnel setup'!$K$5,".",IF(A5326=".",1,A5326+1))</f>
        <v>.</v>
      </c>
      <c r="B5327" s="431" t="str">
        <f t="shared" si="83"/>
        <v>Knee Replacement RevisionCCG of GP PracticeNHS BASSETLAW CCG (02Q)EQ-5D Index</v>
      </c>
      <c r="C5327" t="s">
        <v>250</v>
      </c>
      <c r="D5327" t="s">
        <v>87</v>
      </c>
      <c r="E5327" t="s">
        <v>586</v>
      </c>
      <c r="F5327" t="s">
        <v>587</v>
      </c>
      <c r="G5327" t="s">
        <v>52</v>
      </c>
      <c r="H5327">
        <v>6</v>
      </c>
      <c r="I5327">
        <v>0.28999999999999998</v>
      </c>
      <c r="J5327">
        <v>0.313</v>
      </c>
      <c r="K5327">
        <v>2.3E-2</v>
      </c>
      <c r="L5327">
        <v>4</v>
      </c>
      <c r="M5327">
        <v>0</v>
      </c>
      <c r="N5327">
        <v>2</v>
      </c>
      <c r="O5327" t="s">
        <v>53</v>
      </c>
      <c r="P5327" t="s">
        <v>53</v>
      </c>
      <c r="Q5327" t="s">
        <v>53</v>
      </c>
    </row>
    <row r="5328" spans="1:17" x14ac:dyDescent="0.2">
      <c r="A5328" s="30" t="str">
        <f>IF(C5328&amp;G5328&amp;D5328&lt;&gt;'Funnel setup'!$K$3&amp;'Funnel setup'!$K$4&amp;'Funnel setup'!$K$5,".",IF(A5327=".",1,A5327+1))</f>
        <v>.</v>
      </c>
      <c r="B5328" s="431" t="str">
        <f t="shared" si="83"/>
        <v>Knee Replacement RevisionCCG of GP PracticeNHS BATH AND NORTH EAST SOMERSET CCG (11E)EQ-5D Index</v>
      </c>
      <c r="C5328" t="s">
        <v>250</v>
      </c>
      <c r="D5328" t="s">
        <v>87</v>
      </c>
      <c r="E5328" t="s">
        <v>589</v>
      </c>
      <c r="F5328" t="s">
        <v>590</v>
      </c>
      <c r="G5328" t="s">
        <v>52</v>
      </c>
      <c r="H5328">
        <v>6</v>
      </c>
      <c r="I5328">
        <v>0.32200000000000001</v>
      </c>
      <c r="J5328">
        <v>0.73399999999999999</v>
      </c>
      <c r="K5328">
        <v>0.41099999999999998</v>
      </c>
      <c r="L5328">
        <v>5</v>
      </c>
      <c r="M5328">
        <v>1</v>
      </c>
      <c r="N5328">
        <v>0</v>
      </c>
      <c r="O5328" t="s">
        <v>53</v>
      </c>
      <c r="P5328" t="s">
        <v>53</v>
      </c>
      <c r="Q5328" t="s">
        <v>53</v>
      </c>
    </row>
    <row r="5329" spans="1:17" x14ac:dyDescent="0.2">
      <c r="A5329" s="30" t="str">
        <f>IF(C5329&amp;G5329&amp;D5329&lt;&gt;'Funnel setup'!$K$3&amp;'Funnel setup'!$K$4&amp;'Funnel setup'!$K$5,".",IF(A5328=".",1,A5328+1))</f>
        <v>.</v>
      </c>
      <c r="B5329" s="431" t="str">
        <f t="shared" si="83"/>
        <v>Knee Replacement RevisionCCG of GP PracticeNHS BEDFORDSHIRE CCG (06F)EQ-5D Index</v>
      </c>
      <c r="C5329" t="s">
        <v>250</v>
      </c>
      <c r="D5329" t="s">
        <v>87</v>
      </c>
      <c r="E5329" t="s">
        <v>592</v>
      </c>
      <c r="F5329" t="s">
        <v>593</v>
      </c>
      <c r="G5329" t="s">
        <v>52</v>
      </c>
      <c r="H5329">
        <v>12</v>
      </c>
      <c r="I5329">
        <v>0.40400000000000003</v>
      </c>
      <c r="J5329">
        <v>0.71699999999999997</v>
      </c>
      <c r="K5329">
        <v>0.313</v>
      </c>
      <c r="L5329">
        <v>11</v>
      </c>
      <c r="M5329">
        <v>1</v>
      </c>
      <c r="N5329">
        <v>0</v>
      </c>
      <c r="O5329" t="s">
        <v>53</v>
      </c>
      <c r="P5329" t="s">
        <v>53</v>
      </c>
      <c r="Q5329" t="s">
        <v>53</v>
      </c>
    </row>
    <row r="5330" spans="1:17" x14ac:dyDescent="0.2">
      <c r="A5330" s="30" t="str">
        <f>IF(C5330&amp;G5330&amp;D5330&lt;&gt;'Funnel setup'!$K$3&amp;'Funnel setup'!$K$4&amp;'Funnel setup'!$K$5,".",IF(A5329=".",1,A5329+1))</f>
        <v>.</v>
      </c>
      <c r="B5330" s="431" t="str">
        <f t="shared" si="83"/>
        <v>Knee Replacement RevisionCCG of GP PracticeNHS BEXLEY CCG (07N)EQ-5D Index</v>
      </c>
      <c r="C5330" t="s">
        <v>250</v>
      </c>
      <c r="D5330" t="s">
        <v>87</v>
      </c>
      <c r="E5330" t="s">
        <v>595</v>
      </c>
      <c r="F5330" t="s">
        <v>596</v>
      </c>
      <c r="G5330" t="s">
        <v>52</v>
      </c>
      <c r="H5330" t="s">
        <v>53</v>
      </c>
      <c r="I5330" t="s">
        <v>53</v>
      </c>
      <c r="J5330" t="s">
        <v>53</v>
      </c>
      <c r="K5330" t="s">
        <v>53</v>
      </c>
      <c r="L5330" t="s">
        <v>53</v>
      </c>
      <c r="M5330" t="s">
        <v>53</v>
      </c>
      <c r="N5330" t="s">
        <v>53</v>
      </c>
      <c r="O5330" t="s">
        <v>53</v>
      </c>
      <c r="P5330" t="s">
        <v>53</v>
      </c>
      <c r="Q5330" t="s">
        <v>53</v>
      </c>
    </row>
    <row r="5331" spans="1:17" x14ac:dyDescent="0.2">
      <c r="A5331" s="30" t="str">
        <f>IF(C5331&amp;G5331&amp;D5331&lt;&gt;'Funnel setup'!$K$3&amp;'Funnel setup'!$K$4&amp;'Funnel setup'!$K$5,".",IF(A5330=".",1,A5330+1))</f>
        <v>.</v>
      </c>
      <c r="B5331" s="431" t="str">
        <f t="shared" si="83"/>
        <v>Knee Replacement RevisionCCG of GP PracticeNHS BIRMINGHAM CROSSCITY CCG (13P)EQ-5D Index</v>
      </c>
      <c r="C5331" t="s">
        <v>250</v>
      </c>
      <c r="D5331" t="s">
        <v>87</v>
      </c>
      <c r="E5331" t="s">
        <v>598</v>
      </c>
      <c r="F5331" t="s">
        <v>599</v>
      </c>
      <c r="G5331" t="s">
        <v>52</v>
      </c>
      <c r="H5331">
        <v>9</v>
      </c>
      <c r="I5331">
        <v>0.16200000000000001</v>
      </c>
      <c r="J5331">
        <v>0.48299999999999998</v>
      </c>
      <c r="K5331">
        <v>0.32100000000000001</v>
      </c>
      <c r="L5331">
        <v>7</v>
      </c>
      <c r="M5331">
        <v>0</v>
      </c>
      <c r="N5331">
        <v>2</v>
      </c>
      <c r="O5331" t="s">
        <v>53</v>
      </c>
      <c r="P5331" t="s">
        <v>53</v>
      </c>
      <c r="Q5331" t="s">
        <v>53</v>
      </c>
    </row>
    <row r="5332" spans="1:17" x14ac:dyDescent="0.2">
      <c r="A5332" s="30" t="str">
        <f>IF(C5332&amp;G5332&amp;D5332&lt;&gt;'Funnel setup'!$K$3&amp;'Funnel setup'!$K$4&amp;'Funnel setup'!$K$5,".",IF(A5331=".",1,A5331+1))</f>
        <v>.</v>
      </c>
      <c r="B5332" s="431" t="str">
        <f t="shared" si="83"/>
        <v>Knee Replacement RevisionCCG of GP PracticeNHS BIRMINGHAM SOUTH AND CENTRAL CCG (04X)EQ-5D Index</v>
      </c>
      <c r="C5332" t="s">
        <v>250</v>
      </c>
      <c r="D5332" t="s">
        <v>87</v>
      </c>
      <c r="E5332" t="s">
        <v>601</v>
      </c>
      <c r="F5332" t="s">
        <v>602</v>
      </c>
      <c r="G5332" t="s">
        <v>52</v>
      </c>
      <c r="H5332" t="s">
        <v>53</v>
      </c>
      <c r="I5332" t="s">
        <v>53</v>
      </c>
      <c r="J5332" t="s">
        <v>53</v>
      </c>
      <c r="K5332" t="s">
        <v>53</v>
      </c>
      <c r="L5332" t="s">
        <v>53</v>
      </c>
      <c r="M5332" t="s">
        <v>53</v>
      </c>
      <c r="N5332" t="s">
        <v>53</v>
      </c>
      <c r="O5332" t="s">
        <v>53</v>
      </c>
      <c r="P5332" t="s">
        <v>53</v>
      </c>
      <c r="Q5332" t="s">
        <v>53</v>
      </c>
    </row>
    <row r="5333" spans="1:17" x14ac:dyDescent="0.2">
      <c r="A5333" s="30" t="str">
        <f>IF(C5333&amp;G5333&amp;D5333&lt;&gt;'Funnel setup'!$K$3&amp;'Funnel setup'!$K$4&amp;'Funnel setup'!$K$5,".",IF(A5332=".",1,A5332+1))</f>
        <v>.</v>
      </c>
      <c r="B5333" s="431" t="str">
        <f t="shared" si="83"/>
        <v>Knee Replacement RevisionCCG of GP PracticeNHS BOLTON CCG (00T)EQ-5D Index</v>
      </c>
      <c r="C5333" t="s">
        <v>250</v>
      </c>
      <c r="D5333" t="s">
        <v>87</v>
      </c>
      <c r="E5333" t="s">
        <v>683</v>
      </c>
      <c r="F5333" t="s">
        <v>684</v>
      </c>
      <c r="G5333" t="s">
        <v>52</v>
      </c>
      <c r="H5333">
        <v>9</v>
      </c>
      <c r="I5333">
        <v>7.1999999999999995E-2</v>
      </c>
      <c r="J5333">
        <v>0.33900000000000002</v>
      </c>
      <c r="K5333">
        <v>0.26700000000000002</v>
      </c>
      <c r="L5333">
        <v>7</v>
      </c>
      <c r="M5333">
        <v>1</v>
      </c>
      <c r="N5333">
        <v>1</v>
      </c>
      <c r="O5333" t="s">
        <v>53</v>
      </c>
      <c r="P5333" t="s">
        <v>53</v>
      </c>
      <c r="Q5333" t="s">
        <v>53</v>
      </c>
    </row>
    <row r="5334" spans="1:17" x14ac:dyDescent="0.2">
      <c r="A5334" s="30" t="str">
        <f>IF(C5334&amp;G5334&amp;D5334&lt;&gt;'Funnel setup'!$K$3&amp;'Funnel setup'!$K$4&amp;'Funnel setup'!$K$5,".",IF(A5333=".",1,A5333+1))</f>
        <v>.</v>
      </c>
      <c r="B5334" s="431" t="str">
        <f t="shared" si="83"/>
        <v>Knee Replacement RevisionCCG of GP PracticeNHS BRACKNELL AND ASCOT CCG (10G)EQ-5D Index</v>
      </c>
      <c r="C5334" t="s">
        <v>250</v>
      </c>
      <c r="D5334" t="s">
        <v>87</v>
      </c>
      <c r="E5334" t="s">
        <v>686</v>
      </c>
      <c r="F5334" t="s">
        <v>687</v>
      </c>
      <c r="G5334" t="s">
        <v>52</v>
      </c>
      <c r="H5334" t="s">
        <v>53</v>
      </c>
      <c r="I5334" t="s">
        <v>53</v>
      </c>
      <c r="J5334" t="s">
        <v>53</v>
      </c>
      <c r="K5334" t="s">
        <v>53</v>
      </c>
      <c r="L5334" t="s">
        <v>53</v>
      </c>
      <c r="M5334" t="s">
        <v>53</v>
      </c>
      <c r="N5334" t="s">
        <v>53</v>
      </c>
      <c r="O5334" t="s">
        <v>53</v>
      </c>
      <c r="P5334" t="s">
        <v>53</v>
      </c>
      <c r="Q5334" t="s">
        <v>53</v>
      </c>
    </row>
    <row r="5335" spans="1:17" x14ac:dyDescent="0.2">
      <c r="A5335" s="30" t="str">
        <f>IF(C5335&amp;G5335&amp;D5335&lt;&gt;'Funnel setup'!$K$3&amp;'Funnel setup'!$K$4&amp;'Funnel setup'!$K$5,".",IF(A5334=".",1,A5334+1))</f>
        <v>.</v>
      </c>
      <c r="B5335" s="431" t="str">
        <f t="shared" si="83"/>
        <v>Knee Replacement RevisionCCG of GP PracticeNHS BRADFORD CITY CCG (02W)EQ-5D Index</v>
      </c>
      <c r="C5335" t="s">
        <v>250</v>
      </c>
      <c r="D5335" t="s">
        <v>87</v>
      </c>
      <c r="E5335" t="s">
        <v>689</v>
      </c>
      <c r="F5335" t="s">
        <v>690</v>
      </c>
      <c r="G5335" t="s">
        <v>52</v>
      </c>
      <c r="H5335" t="s">
        <v>53</v>
      </c>
      <c r="I5335" t="s">
        <v>53</v>
      </c>
      <c r="J5335" t="s">
        <v>53</v>
      </c>
      <c r="K5335" t="s">
        <v>53</v>
      </c>
      <c r="L5335" t="s">
        <v>53</v>
      </c>
      <c r="M5335" t="s">
        <v>53</v>
      </c>
      <c r="N5335" t="s">
        <v>53</v>
      </c>
      <c r="O5335" t="s">
        <v>53</v>
      </c>
      <c r="P5335" t="s">
        <v>53</v>
      </c>
      <c r="Q5335" t="s">
        <v>53</v>
      </c>
    </row>
    <row r="5336" spans="1:17" x14ac:dyDescent="0.2">
      <c r="A5336" s="30" t="str">
        <f>IF(C5336&amp;G5336&amp;D5336&lt;&gt;'Funnel setup'!$K$3&amp;'Funnel setup'!$K$4&amp;'Funnel setup'!$K$5,".",IF(A5335=".",1,A5335+1))</f>
        <v>.</v>
      </c>
      <c r="B5336" s="431" t="str">
        <f t="shared" si="83"/>
        <v>Knee Replacement RevisionCCG of GP PracticeNHS BRADFORD DISTRICTS CCG (02R)EQ-5D Index</v>
      </c>
      <c r="C5336" t="s">
        <v>250</v>
      </c>
      <c r="D5336" t="s">
        <v>87</v>
      </c>
      <c r="E5336" t="s">
        <v>692</v>
      </c>
      <c r="F5336" t="s">
        <v>693</v>
      </c>
      <c r="G5336" t="s">
        <v>52</v>
      </c>
      <c r="H5336">
        <v>11</v>
      </c>
      <c r="I5336">
        <v>0.45700000000000002</v>
      </c>
      <c r="J5336">
        <v>0.63100000000000001</v>
      </c>
      <c r="K5336">
        <v>0.17299999999999999</v>
      </c>
      <c r="L5336">
        <v>7</v>
      </c>
      <c r="M5336">
        <v>2</v>
      </c>
      <c r="N5336">
        <v>2</v>
      </c>
      <c r="O5336" t="s">
        <v>53</v>
      </c>
      <c r="P5336" t="s">
        <v>53</v>
      </c>
      <c r="Q5336" t="s">
        <v>53</v>
      </c>
    </row>
    <row r="5337" spans="1:17" x14ac:dyDescent="0.2">
      <c r="A5337" s="30" t="str">
        <f>IF(C5337&amp;G5337&amp;D5337&lt;&gt;'Funnel setup'!$K$3&amp;'Funnel setup'!$K$4&amp;'Funnel setup'!$K$5,".",IF(A5336=".",1,A5336+1))</f>
        <v>.</v>
      </c>
      <c r="B5337" s="431" t="str">
        <f t="shared" si="83"/>
        <v>Knee Replacement RevisionCCG of GP PracticeNHS BRENT CCG (07P)EQ-5D Index</v>
      </c>
      <c r="C5337" t="s">
        <v>250</v>
      </c>
      <c r="D5337" t="s">
        <v>87</v>
      </c>
      <c r="E5337" t="s">
        <v>695</v>
      </c>
      <c r="F5337" t="s">
        <v>696</v>
      </c>
      <c r="G5337" t="s">
        <v>52</v>
      </c>
      <c r="H5337">
        <v>6</v>
      </c>
      <c r="I5337">
        <v>0.39</v>
      </c>
      <c r="J5337">
        <v>0.51100000000000001</v>
      </c>
      <c r="K5337">
        <v>0.122</v>
      </c>
      <c r="L5337">
        <v>5</v>
      </c>
      <c r="M5337">
        <v>0</v>
      </c>
      <c r="N5337">
        <v>1</v>
      </c>
      <c r="O5337" t="s">
        <v>53</v>
      </c>
      <c r="P5337" t="s">
        <v>53</v>
      </c>
      <c r="Q5337" t="s">
        <v>53</v>
      </c>
    </row>
    <row r="5338" spans="1:17" x14ac:dyDescent="0.2">
      <c r="A5338" s="30" t="str">
        <f>IF(C5338&amp;G5338&amp;D5338&lt;&gt;'Funnel setup'!$K$3&amp;'Funnel setup'!$K$4&amp;'Funnel setup'!$K$5,".",IF(A5337=".",1,A5337+1))</f>
        <v>.</v>
      </c>
      <c r="B5338" s="431" t="str">
        <f t="shared" si="83"/>
        <v>Knee Replacement RevisionCCG of GP PracticeNHS BRIGHTON AND HOVE CCG (09D)EQ-5D Index</v>
      </c>
      <c r="C5338" t="s">
        <v>250</v>
      </c>
      <c r="D5338" t="s">
        <v>87</v>
      </c>
      <c r="E5338" t="s">
        <v>698</v>
      </c>
      <c r="F5338" t="s">
        <v>699</v>
      </c>
      <c r="G5338" t="s">
        <v>52</v>
      </c>
      <c r="H5338">
        <v>10</v>
      </c>
      <c r="I5338">
        <v>6.3E-2</v>
      </c>
      <c r="J5338">
        <v>0.253</v>
      </c>
      <c r="K5338">
        <v>0.19</v>
      </c>
      <c r="L5338">
        <v>6</v>
      </c>
      <c r="M5338">
        <v>2</v>
      </c>
      <c r="N5338">
        <v>2</v>
      </c>
      <c r="O5338" t="s">
        <v>53</v>
      </c>
      <c r="P5338" t="s">
        <v>53</v>
      </c>
      <c r="Q5338" t="s">
        <v>53</v>
      </c>
    </row>
    <row r="5339" spans="1:17" x14ac:dyDescent="0.2">
      <c r="A5339" s="30" t="str">
        <f>IF(C5339&amp;G5339&amp;D5339&lt;&gt;'Funnel setup'!$K$3&amp;'Funnel setup'!$K$4&amp;'Funnel setup'!$K$5,".",IF(A5338=".",1,A5338+1))</f>
        <v>.</v>
      </c>
      <c r="B5339" s="431" t="str">
        <f t="shared" si="83"/>
        <v>Knee Replacement RevisionCCG of GP PracticeNHS BRISTOL CCG (11H)EQ-5D Index</v>
      </c>
      <c r="C5339" t="s">
        <v>250</v>
      </c>
      <c r="D5339" t="s">
        <v>87</v>
      </c>
      <c r="E5339" t="s">
        <v>701</v>
      </c>
      <c r="F5339" t="s">
        <v>702</v>
      </c>
      <c r="G5339" t="s">
        <v>52</v>
      </c>
      <c r="H5339" t="s">
        <v>53</v>
      </c>
      <c r="I5339" t="s">
        <v>53</v>
      </c>
      <c r="J5339" t="s">
        <v>53</v>
      </c>
      <c r="K5339" t="s">
        <v>53</v>
      </c>
      <c r="L5339" t="s">
        <v>53</v>
      </c>
      <c r="M5339" t="s">
        <v>53</v>
      </c>
      <c r="N5339" t="s">
        <v>53</v>
      </c>
      <c r="O5339" t="s">
        <v>53</v>
      </c>
      <c r="P5339" t="s">
        <v>53</v>
      </c>
      <c r="Q5339" t="s">
        <v>53</v>
      </c>
    </row>
    <row r="5340" spans="1:17" x14ac:dyDescent="0.2">
      <c r="A5340" s="30" t="str">
        <f>IF(C5340&amp;G5340&amp;D5340&lt;&gt;'Funnel setup'!$K$3&amp;'Funnel setup'!$K$4&amp;'Funnel setup'!$K$5,".",IF(A5339=".",1,A5339+1))</f>
        <v>.</v>
      </c>
      <c r="B5340" s="431" t="str">
        <f t="shared" si="83"/>
        <v>Knee Replacement RevisionCCG of GP PracticeNHS BROMLEY CCG (07Q)EQ-5D Index</v>
      </c>
      <c r="C5340" t="s">
        <v>250</v>
      </c>
      <c r="D5340" t="s">
        <v>87</v>
      </c>
      <c r="E5340" t="s">
        <v>704</v>
      </c>
      <c r="F5340" t="s">
        <v>705</v>
      </c>
      <c r="G5340" t="s">
        <v>52</v>
      </c>
      <c r="H5340" t="s">
        <v>53</v>
      </c>
      <c r="I5340" t="s">
        <v>53</v>
      </c>
      <c r="J5340" t="s">
        <v>53</v>
      </c>
      <c r="K5340" t="s">
        <v>53</v>
      </c>
      <c r="L5340" t="s">
        <v>53</v>
      </c>
      <c r="M5340" t="s">
        <v>53</v>
      </c>
      <c r="N5340" t="s">
        <v>53</v>
      </c>
      <c r="O5340" t="s">
        <v>53</v>
      </c>
      <c r="P5340" t="s">
        <v>53</v>
      </c>
      <c r="Q5340" t="s">
        <v>53</v>
      </c>
    </row>
    <row r="5341" spans="1:17" x14ac:dyDescent="0.2">
      <c r="A5341" s="30" t="str">
        <f>IF(C5341&amp;G5341&amp;D5341&lt;&gt;'Funnel setup'!$K$3&amp;'Funnel setup'!$K$4&amp;'Funnel setup'!$K$5,".",IF(A5340=".",1,A5340+1))</f>
        <v>.</v>
      </c>
      <c r="B5341" s="431" t="str">
        <f t="shared" si="83"/>
        <v>Knee Replacement RevisionCCG of GP PracticeNHS BURY CCG (00V)EQ-5D Index</v>
      </c>
      <c r="C5341" t="s">
        <v>250</v>
      </c>
      <c r="D5341" t="s">
        <v>87</v>
      </c>
      <c r="E5341" t="s">
        <v>707</v>
      </c>
      <c r="F5341" t="s">
        <v>708</v>
      </c>
      <c r="G5341" t="s">
        <v>52</v>
      </c>
      <c r="H5341">
        <v>7</v>
      </c>
      <c r="I5341">
        <v>3.2000000000000001E-2</v>
      </c>
      <c r="J5341">
        <v>0.375</v>
      </c>
      <c r="K5341">
        <v>0.34300000000000003</v>
      </c>
      <c r="L5341">
        <v>5</v>
      </c>
      <c r="M5341">
        <v>0</v>
      </c>
      <c r="N5341">
        <v>2</v>
      </c>
      <c r="O5341" t="s">
        <v>53</v>
      </c>
      <c r="P5341" t="s">
        <v>53</v>
      </c>
      <c r="Q5341" t="s">
        <v>53</v>
      </c>
    </row>
    <row r="5342" spans="1:17" x14ac:dyDescent="0.2">
      <c r="A5342" s="30" t="str">
        <f>IF(C5342&amp;G5342&amp;D5342&lt;&gt;'Funnel setup'!$K$3&amp;'Funnel setup'!$K$4&amp;'Funnel setup'!$K$5,".",IF(A5341=".",1,A5341+1))</f>
        <v>.</v>
      </c>
      <c r="B5342" s="431" t="str">
        <f t="shared" si="83"/>
        <v>Knee Replacement RevisionCCG of GP PracticeNHS CALDERDALE CCG (02T)EQ-5D Index</v>
      </c>
      <c r="C5342" t="s">
        <v>250</v>
      </c>
      <c r="D5342" t="s">
        <v>87</v>
      </c>
      <c r="E5342" t="s">
        <v>710</v>
      </c>
      <c r="F5342" t="s">
        <v>711</v>
      </c>
      <c r="G5342" t="s">
        <v>52</v>
      </c>
      <c r="H5342" t="s">
        <v>53</v>
      </c>
      <c r="I5342" t="s">
        <v>53</v>
      </c>
      <c r="J5342" t="s">
        <v>53</v>
      </c>
      <c r="K5342" t="s">
        <v>53</v>
      </c>
      <c r="L5342" t="s">
        <v>53</v>
      </c>
      <c r="M5342" t="s">
        <v>53</v>
      </c>
      <c r="N5342" t="s">
        <v>53</v>
      </c>
      <c r="O5342" t="s">
        <v>53</v>
      </c>
      <c r="P5342" t="s">
        <v>53</v>
      </c>
      <c r="Q5342" t="s">
        <v>53</v>
      </c>
    </row>
    <row r="5343" spans="1:17" x14ac:dyDescent="0.2">
      <c r="A5343" s="30" t="str">
        <f>IF(C5343&amp;G5343&amp;D5343&lt;&gt;'Funnel setup'!$K$3&amp;'Funnel setup'!$K$4&amp;'Funnel setup'!$K$5,".",IF(A5342=".",1,A5342+1))</f>
        <v>.</v>
      </c>
      <c r="B5343" s="431" t="str">
        <f t="shared" si="83"/>
        <v>Knee Replacement RevisionCCG of GP PracticeNHS CAMBRIDGESHIRE AND PETERBOROUGH CCG (06H)EQ-5D Index</v>
      </c>
      <c r="C5343" t="s">
        <v>250</v>
      </c>
      <c r="D5343" t="s">
        <v>87</v>
      </c>
      <c r="E5343" t="s">
        <v>713</v>
      </c>
      <c r="F5343" t="s">
        <v>714</v>
      </c>
      <c r="G5343" t="s">
        <v>52</v>
      </c>
      <c r="H5343">
        <v>29</v>
      </c>
      <c r="I5343">
        <v>0.33</v>
      </c>
      <c r="J5343">
        <v>0.69</v>
      </c>
      <c r="K5343">
        <v>0.36</v>
      </c>
      <c r="L5343">
        <v>23</v>
      </c>
      <c r="M5343">
        <v>5</v>
      </c>
      <c r="N5343">
        <v>1</v>
      </c>
      <c r="O5343" t="s">
        <v>53</v>
      </c>
      <c r="P5343" t="s">
        <v>53</v>
      </c>
      <c r="Q5343" t="s">
        <v>53</v>
      </c>
    </row>
    <row r="5344" spans="1:17" x14ac:dyDescent="0.2">
      <c r="A5344" s="30" t="str">
        <f>IF(C5344&amp;G5344&amp;D5344&lt;&gt;'Funnel setup'!$K$3&amp;'Funnel setup'!$K$4&amp;'Funnel setup'!$K$5,".",IF(A5343=".",1,A5343+1))</f>
        <v>.</v>
      </c>
      <c r="B5344" s="431" t="str">
        <f t="shared" si="83"/>
        <v>Knee Replacement RevisionCCG of GP PracticeNHS CAMDEN CCG (07R)EQ-5D Index</v>
      </c>
      <c r="C5344" t="s">
        <v>250</v>
      </c>
      <c r="D5344" t="s">
        <v>87</v>
      </c>
      <c r="E5344" t="s">
        <v>716</v>
      </c>
      <c r="F5344" t="s">
        <v>717</v>
      </c>
      <c r="G5344" t="s">
        <v>52</v>
      </c>
      <c r="H5344" t="s">
        <v>53</v>
      </c>
      <c r="I5344" t="s">
        <v>53</v>
      </c>
      <c r="J5344" t="s">
        <v>53</v>
      </c>
      <c r="K5344" t="s">
        <v>53</v>
      </c>
      <c r="L5344" t="s">
        <v>53</v>
      </c>
      <c r="M5344" t="s">
        <v>53</v>
      </c>
      <c r="N5344" t="s">
        <v>53</v>
      </c>
      <c r="O5344" t="s">
        <v>53</v>
      </c>
      <c r="P5344" t="s">
        <v>53</v>
      </c>
      <c r="Q5344" t="s">
        <v>53</v>
      </c>
    </row>
    <row r="5345" spans="1:17" x14ac:dyDescent="0.2">
      <c r="A5345" s="30" t="str">
        <f>IF(C5345&amp;G5345&amp;D5345&lt;&gt;'Funnel setup'!$K$3&amp;'Funnel setup'!$K$4&amp;'Funnel setup'!$K$5,".",IF(A5344=".",1,A5344+1))</f>
        <v>.</v>
      </c>
      <c r="B5345" s="431" t="str">
        <f t="shared" si="83"/>
        <v>Knee Replacement RevisionCCG of GP PracticeNHS CANNOCK CHASE CCG (04Y)EQ-5D Index</v>
      </c>
      <c r="C5345" t="s">
        <v>250</v>
      </c>
      <c r="D5345" t="s">
        <v>87</v>
      </c>
      <c r="E5345" t="s">
        <v>719</v>
      </c>
      <c r="F5345" t="s">
        <v>720</v>
      </c>
      <c r="G5345" t="s">
        <v>52</v>
      </c>
      <c r="H5345">
        <v>8</v>
      </c>
      <c r="I5345">
        <v>8.9999999999999993E-3</v>
      </c>
      <c r="J5345">
        <v>0.42</v>
      </c>
      <c r="K5345">
        <v>0.41199999999999998</v>
      </c>
      <c r="L5345">
        <v>7</v>
      </c>
      <c r="M5345">
        <v>0</v>
      </c>
      <c r="N5345">
        <v>1</v>
      </c>
      <c r="O5345" t="s">
        <v>53</v>
      </c>
      <c r="P5345" t="s">
        <v>53</v>
      </c>
      <c r="Q5345" t="s">
        <v>53</v>
      </c>
    </row>
    <row r="5346" spans="1:17" x14ac:dyDescent="0.2">
      <c r="A5346" s="30" t="str">
        <f>IF(C5346&amp;G5346&amp;D5346&lt;&gt;'Funnel setup'!$K$3&amp;'Funnel setup'!$K$4&amp;'Funnel setup'!$K$5,".",IF(A5345=".",1,A5345+1))</f>
        <v>.</v>
      </c>
      <c r="B5346" s="431" t="str">
        <f t="shared" si="83"/>
        <v>Knee Replacement RevisionCCG of GP PracticeNHS CANTERBURY AND COASTAL CCG (09E)EQ-5D Index</v>
      </c>
      <c r="C5346" t="s">
        <v>250</v>
      </c>
      <c r="D5346" t="s">
        <v>87</v>
      </c>
      <c r="E5346" t="s">
        <v>722</v>
      </c>
      <c r="F5346" t="s">
        <v>723</v>
      </c>
      <c r="G5346" t="s">
        <v>52</v>
      </c>
      <c r="H5346">
        <v>7</v>
      </c>
      <c r="I5346">
        <v>0.249</v>
      </c>
      <c r="J5346">
        <v>0.622</v>
      </c>
      <c r="K5346">
        <v>0.374</v>
      </c>
      <c r="L5346">
        <v>6</v>
      </c>
      <c r="M5346">
        <v>0</v>
      </c>
      <c r="N5346">
        <v>1</v>
      </c>
      <c r="O5346" t="s">
        <v>53</v>
      </c>
      <c r="P5346" t="s">
        <v>53</v>
      </c>
      <c r="Q5346" t="s">
        <v>53</v>
      </c>
    </row>
    <row r="5347" spans="1:17" x14ac:dyDescent="0.2">
      <c r="A5347" s="30" t="str">
        <f>IF(C5347&amp;G5347&amp;D5347&lt;&gt;'Funnel setup'!$K$3&amp;'Funnel setup'!$K$4&amp;'Funnel setup'!$K$5,".",IF(A5346=".",1,A5346+1))</f>
        <v>.</v>
      </c>
      <c r="B5347" s="431" t="str">
        <f t="shared" si="83"/>
        <v>Knee Replacement RevisionCCG of GP PracticeNHS CASTLE POINT AND ROCHFORD CCG (99F)EQ-5D Index</v>
      </c>
      <c r="C5347" t="s">
        <v>250</v>
      </c>
      <c r="D5347" t="s">
        <v>87</v>
      </c>
      <c r="E5347" t="s">
        <v>725</v>
      </c>
      <c r="F5347" t="s">
        <v>726</v>
      </c>
      <c r="G5347" t="s">
        <v>52</v>
      </c>
      <c r="H5347" t="s">
        <v>53</v>
      </c>
      <c r="I5347" t="s">
        <v>53</v>
      </c>
      <c r="J5347" t="s">
        <v>53</v>
      </c>
      <c r="K5347" t="s">
        <v>53</v>
      </c>
      <c r="L5347" t="s">
        <v>53</v>
      </c>
      <c r="M5347" t="s">
        <v>53</v>
      </c>
      <c r="N5347" t="s">
        <v>53</v>
      </c>
      <c r="O5347" t="s">
        <v>53</v>
      </c>
      <c r="P5347" t="s">
        <v>53</v>
      </c>
      <c r="Q5347" t="s">
        <v>53</v>
      </c>
    </row>
    <row r="5348" spans="1:17" x14ac:dyDescent="0.2">
      <c r="A5348" s="30" t="str">
        <f>IF(C5348&amp;G5348&amp;D5348&lt;&gt;'Funnel setup'!$K$3&amp;'Funnel setup'!$K$4&amp;'Funnel setup'!$K$5,".",IF(A5347=".",1,A5347+1))</f>
        <v>.</v>
      </c>
      <c r="B5348" s="431" t="str">
        <f t="shared" si="83"/>
        <v>Knee Replacement RevisionCCG of GP PracticeNHS CENTRAL MANCHESTER CCG (00W)EQ-5D Index</v>
      </c>
      <c r="C5348" t="s">
        <v>250</v>
      </c>
      <c r="D5348" t="s">
        <v>87</v>
      </c>
      <c r="E5348" t="s">
        <v>731</v>
      </c>
      <c r="F5348" t="s">
        <v>732</v>
      </c>
      <c r="G5348" t="s">
        <v>52</v>
      </c>
      <c r="H5348" t="s">
        <v>53</v>
      </c>
      <c r="I5348" t="s">
        <v>53</v>
      </c>
      <c r="J5348" t="s">
        <v>53</v>
      </c>
      <c r="K5348" t="s">
        <v>53</v>
      </c>
      <c r="L5348" t="s">
        <v>53</v>
      </c>
      <c r="M5348" t="s">
        <v>53</v>
      </c>
      <c r="N5348" t="s">
        <v>53</v>
      </c>
      <c r="O5348" t="s">
        <v>53</v>
      </c>
      <c r="P5348" t="s">
        <v>53</v>
      </c>
      <c r="Q5348" t="s">
        <v>53</v>
      </c>
    </row>
    <row r="5349" spans="1:17" x14ac:dyDescent="0.2">
      <c r="A5349" s="30" t="str">
        <f>IF(C5349&amp;G5349&amp;D5349&lt;&gt;'Funnel setup'!$K$3&amp;'Funnel setup'!$K$4&amp;'Funnel setup'!$K$5,".",IF(A5348=".",1,A5348+1))</f>
        <v>.</v>
      </c>
      <c r="B5349" s="431" t="str">
        <f t="shared" si="83"/>
        <v>Knee Replacement RevisionCCG of GP PracticeNHS CHILTERN CCG (10H)EQ-5D Index</v>
      </c>
      <c r="C5349" t="s">
        <v>250</v>
      </c>
      <c r="D5349" t="s">
        <v>87</v>
      </c>
      <c r="E5349" t="s">
        <v>734</v>
      </c>
      <c r="F5349" t="s">
        <v>735</v>
      </c>
      <c r="G5349" t="s">
        <v>52</v>
      </c>
      <c r="H5349">
        <v>7</v>
      </c>
      <c r="I5349">
        <v>0.437</v>
      </c>
      <c r="J5349">
        <v>0.63400000000000001</v>
      </c>
      <c r="K5349">
        <v>0.19700000000000001</v>
      </c>
      <c r="L5349">
        <v>4</v>
      </c>
      <c r="M5349">
        <v>1</v>
      </c>
      <c r="N5349">
        <v>2</v>
      </c>
      <c r="O5349" t="s">
        <v>53</v>
      </c>
      <c r="P5349" t="s">
        <v>53</v>
      </c>
      <c r="Q5349" t="s">
        <v>53</v>
      </c>
    </row>
    <row r="5350" spans="1:17" x14ac:dyDescent="0.2">
      <c r="A5350" s="30" t="str">
        <f>IF(C5350&amp;G5350&amp;D5350&lt;&gt;'Funnel setup'!$K$3&amp;'Funnel setup'!$K$4&amp;'Funnel setup'!$K$5,".",IF(A5349=".",1,A5349+1))</f>
        <v>.</v>
      </c>
      <c r="B5350" s="431" t="str">
        <f t="shared" si="83"/>
        <v>Knee Replacement RevisionCCG of GP PracticeNHS CHORLEY AND SOUTH RIBBLE CCG (00X)EQ-5D Index</v>
      </c>
      <c r="C5350" t="s">
        <v>250</v>
      </c>
      <c r="D5350" t="s">
        <v>87</v>
      </c>
      <c r="E5350" t="s">
        <v>737</v>
      </c>
      <c r="F5350" t="s">
        <v>738</v>
      </c>
      <c r="G5350" t="s">
        <v>52</v>
      </c>
      <c r="H5350" t="s">
        <v>53</v>
      </c>
      <c r="I5350" t="s">
        <v>53</v>
      </c>
      <c r="J5350" t="s">
        <v>53</v>
      </c>
      <c r="K5350" t="s">
        <v>53</v>
      </c>
      <c r="L5350" t="s">
        <v>53</v>
      </c>
      <c r="M5350" t="s">
        <v>53</v>
      </c>
      <c r="N5350" t="s">
        <v>53</v>
      </c>
      <c r="O5350" t="s">
        <v>53</v>
      </c>
      <c r="P5350" t="s">
        <v>53</v>
      </c>
      <c r="Q5350" t="s">
        <v>53</v>
      </c>
    </row>
    <row r="5351" spans="1:17" x14ac:dyDescent="0.2">
      <c r="A5351" s="30" t="str">
        <f>IF(C5351&amp;G5351&amp;D5351&lt;&gt;'Funnel setup'!$K$3&amp;'Funnel setup'!$K$4&amp;'Funnel setup'!$K$5,".",IF(A5350=".",1,A5350+1))</f>
        <v>.</v>
      </c>
      <c r="B5351" s="431" t="str">
        <f t="shared" si="83"/>
        <v>Knee Replacement RevisionCCG of GP PracticeNHS CITY AND HACKNEY CCG (07T)EQ-5D Index</v>
      </c>
      <c r="C5351" t="s">
        <v>250</v>
      </c>
      <c r="D5351" t="s">
        <v>87</v>
      </c>
      <c r="E5351" t="s">
        <v>740</v>
      </c>
      <c r="F5351" t="s">
        <v>741</v>
      </c>
      <c r="G5351" t="s">
        <v>52</v>
      </c>
      <c r="H5351" t="s">
        <v>53</v>
      </c>
      <c r="I5351" t="s">
        <v>53</v>
      </c>
      <c r="J5351" t="s">
        <v>53</v>
      </c>
      <c r="K5351" t="s">
        <v>53</v>
      </c>
      <c r="L5351" t="s">
        <v>53</v>
      </c>
      <c r="M5351" t="s">
        <v>53</v>
      </c>
      <c r="N5351" t="s">
        <v>53</v>
      </c>
      <c r="O5351" t="s">
        <v>53</v>
      </c>
      <c r="P5351" t="s">
        <v>53</v>
      </c>
      <c r="Q5351" t="s">
        <v>53</v>
      </c>
    </row>
    <row r="5352" spans="1:17" x14ac:dyDescent="0.2">
      <c r="A5352" s="30" t="str">
        <f>IF(C5352&amp;G5352&amp;D5352&lt;&gt;'Funnel setup'!$K$3&amp;'Funnel setup'!$K$4&amp;'Funnel setup'!$K$5,".",IF(A5351=".",1,A5351+1))</f>
        <v>.</v>
      </c>
      <c r="B5352" s="431" t="str">
        <f t="shared" si="83"/>
        <v>Knee Replacement RevisionCCG of GP PracticeNHS COASTAL WEST SUSSEX CCG (09G)EQ-5D Index</v>
      </c>
      <c r="C5352" t="s">
        <v>250</v>
      </c>
      <c r="D5352" t="s">
        <v>87</v>
      </c>
      <c r="E5352" t="s">
        <v>743</v>
      </c>
      <c r="F5352" t="s">
        <v>744</v>
      </c>
      <c r="G5352" t="s">
        <v>52</v>
      </c>
      <c r="H5352">
        <v>31</v>
      </c>
      <c r="I5352">
        <v>0.30199999999999999</v>
      </c>
      <c r="J5352">
        <v>0.61299999999999999</v>
      </c>
      <c r="K5352">
        <v>0.311</v>
      </c>
      <c r="L5352">
        <v>21</v>
      </c>
      <c r="M5352">
        <v>7</v>
      </c>
      <c r="N5352">
        <v>3</v>
      </c>
      <c r="O5352">
        <v>0.59899999999999998</v>
      </c>
      <c r="P5352">
        <v>0.26661442499999999</v>
      </c>
      <c r="Q5352">
        <v>0.247</v>
      </c>
    </row>
    <row r="5353" spans="1:17" x14ac:dyDescent="0.2">
      <c r="A5353" s="30" t="str">
        <f>IF(C5353&amp;G5353&amp;D5353&lt;&gt;'Funnel setup'!$K$3&amp;'Funnel setup'!$K$4&amp;'Funnel setup'!$K$5,".",IF(A5352=".",1,A5352+1))</f>
        <v>.</v>
      </c>
      <c r="B5353" s="431" t="str">
        <f t="shared" si="83"/>
        <v>Knee Replacement RevisionCCG of GP PracticeNHS CORBY CCG (03V)EQ-5D Index</v>
      </c>
      <c r="C5353" t="s">
        <v>250</v>
      </c>
      <c r="D5353" t="s">
        <v>87</v>
      </c>
      <c r="E5353" t="s">
        <v>746</v>
      </c>
      <c r="F5353" t="s">
        <v>747</v>
      </c>
      <c r="G5353" t="s">
        <v>52</v>
      </c>
      <c r="H5353" t="s">
        <v>53</v>
      </c>
      <c r="I5353" t="s">
        <v>53</v>
      </c>
      <c r="J5353" t="s">
        <v>53</v>
      </c>
      <c r="K5353" t="s">
        <v>53</v>
      </c>
      <c r="L5353" t="s">
        <v>53</v>
      </c>
      <c r="M5353" t="s">
        <v>53</v>
      </c>
      <c r="N5353" t="s">
        <v>53</v>
      </c>
      <c r="O5353" t="s">
        <v>53</v>
      </c>
      <c r="P5353" t="s">
        <v>53</v>
      </c>
      <c r="Q5353" t="s">
        <v>53</v>
      </c>
    </row>
    <row r="5354" spans="1:17" x14ac:dyDescent="0.2">
      <c r="A5354" s="30" t="str">
        <f>IF(C5354&amp;G5354&amp;D5354&lt;&gt;'Funnel setup'!$K$3&amp;'Funnel setup'!$K$4&amp;'Funnel setup'!$K$5,".",IF(A5353=".",1,A5353+1))</f>
        <v>.</v>
      </c>
      <c r="B5354" s="431" t="str">
        <f t="shared" si="83"/>
        <v>Knee Replacement RevisionCCG of GP PracticeNHS COVENTRY AND RUGBY CCG (05A)EQ-5D Index</v>
      </c>
      <c r="C5354" t="s">
        <v>250</v>
      </c>
      <c r="D5354" t="s">
        <v>87</v>
      </c>
      <c r="E5354" t="s">
        <v>749</v>
      </c>
      <c r="F5354" t="s">
        <v>750</v>
      </c>
      <c r="G5354" t="s">
        <v>52</v>
      </c>
      <c r="H5354">
        <v>15</v>
      </c>
      <c r="I5354">
        <v>0.41099999999999998</v>
      </c>
      <c r="J5354">
        <v>0.61099999999999999</v>
      </c>
      <c r="K5354">
        <v>0.2</v>
      </c>
      <c r="L5354">
        <v>12</v>
      </c>
      <c r="M5354">
        <v>0</v>
      </c>
      <c r="N5354">
        <v>3</v>
      </c>
      <c r="O5354" t="s">
        <v>53</v>
      </c>
      <c r="P5354" t="s">
        <v>53</v>
      </c>
      <c r="Q5354" t="s">
        <v>53</v>
      </c>
    </row>
    <row r="5355" spans="1:17" x14ac:dyDescent="0.2">
      <c r="A5355" s="30" t="str">
        <f>IF(C5355&amp;G5355&amp;D5355&lt;&gt;'Funnel setup'!$K$3&amp;'Funnel setup'!$K$4&amp;'Funnel setup'!$K$5,".",IF(A5354=".",1,A5354+1))</f>
        <v>.</v>
      </c>
      <c r="B5355" s="431" t="str">
        <f t="shared" si="83"/>
        <v>Knee Replacement RevisionCCG of GP PracticeNHS CRAWLEY CCG (09H)EQ-5D Index</v>
      </c>
      <c r="C5355" t="s">
        <v>250</v>
      </c>
      <c r="D5355" t="s">
        <v>87</v>
      </c>
      <c r="E5355" t="s">
        <v>752</v>
      </c>
      <c r="F5355" t="s">
        <v>753</v>
      </c>
      <c r="G5355" t="s">
        <v>52</v>
      </c>
      <c r="H5355" t="s">
        <v>53</v>
      </c>
      <c r="I5355" t="s">
        <v>53</v>
      </c>
      <c r="J5355" t="s">
        <v>53</v>
      </c>
      <c r="K5355" t="s">
        <v>53</v>
      </c>
      <c r="L5355" t="s">
        <v>53</v>
      </c>
      <c r="M5355" t="s">
        <v>53</v>
      </c>
      <c r="N5355" t="s">
        <v>53</v>
      </c>
      <c r="O5355" t="s">
        <v>53</v>
      </c>
      <c r="P5355" t="s">
        <v>53</v>
      </c>
      <c r="Q5355" t="s">
        <v>53</v>
      </c>
    </row>
    <row r="5356" spans="1:17" x14ac:dyDescent="0.2">
      <c r="A5356" s="30" t="str">
        <f>IF(C5356&amp;G5356&amp;D5356&lt;&gt;'Funnel setup'!$K$3&amp;'Funnel setup'!$K$4&amp;'Funnel setup'!$K$5,".",IF(A5355=".",1,A5355+1))</f>
        <v>.</v>
      </c>
      <c r="B5356" s="431" t="str">
        <f t="shared" si="83"/>
        <v>Knee Replacement RevisionCCG of GP PracticeNHS CROYDON CCG (07V)EQ-5D Index</v>
      </c>
      <c r="C5356" t="s">
        <v>250</v>
      </c>
      <c r="D5356" t="s">
        <v>87</v>
      </c>
      <c r="E5356" t="s">
        <v>755</v>
      </c>
      <c r="F5356" t="s">
        <v>756</v>
      </c>
      <c r="G5356" t="s">
        <v>52</v>
      </c>
      <c r="H5356" t="s">
        <v>53</v>
      </c>
      <c r="I5356" t="s">
        <v>53</v>
      </c>
      <c r="J5356" t="s">
        <v>53</v>
      </c>
      <c r="K5356" t="s">
        <v>53</v>
      </c>
      <c r="L5356" t="s">
        <v>53</v>
      </c>
      <c r="M5356" t="s">
        <v>53</v>
      </c>
      <c r="N5356" t="s">
        <v>53</v>
      </c>
      <c r="O5356" t="s">
        <v>53</v>
      </c>
      <c r="P5356" t="s">
        <v>53</v>
      </c>
      <c r="Q5356" t="s">
        <v>53</v>
      </c>
    </row>
    <row r="5357" spans="1:17" x14ac:dyDescent="0.2">
      <c r="A5357" s="30" t="str">
        <f>IF(C5357&amp;G5357&amp;D5357&lt;&gt;'Funnel setup'!$K$3&amp;'Funnel setup'!$K$4&amp;'Funnel setup'!$K$5,".",IF(A5356=".",1,A5356+1))</f>
        <v>.</v>
      </c>
      <c r="B5357" s="431" t="str">
        <f t="shared" si="83"/>
        <v>Knee Replacement RevisionCCG of GP PracticeNHS CUMBRIA CCG (01H)EQ-5D Index</v>
      </c>
      <c r="C5357" t="s">
        <v>250</v>
      </c>
      <c r="D5357" t="s">
        <v>87</v>
      </c>
      <c r="E5357" t="s">
        <v>758</v>
      </c>
      <c r="F5357" t="s">
        <v>759</v>
      </c>
      <c r="G5357" t="s">
        <v>52</v>
      </c>
      <c r="H5357">
        <v>11</v>
      </c>
      <c r="I5357">
        <v>0.13300000000000001</v>
      </c>
      <c r="J5357">
        <v>0.66800000000000004</v>
      </c>
      <c r="K5357">
        <v>0.53500000000000003</v>
      </c>
      <c r="L5357">
        <v>10</v>
      </c>
      <c r="M5357">
        <v>0</v>
      </c>
      <c r="N5357">
        <v>1</v>
      </c>
      <c r="O5357" t="s">
        <v>53</v>
      </c>
      <c r="P5357" t="s">
        <v>53</v>
      </c>
      <c r="Q5357" t="s">
        <v>53</v>
      </c>
    </row>
    <row r="5358" spans="1:17" x14ac:dyDescent="0.2">
      <c r="A5358" s="30" t="str">
        <f>IF(C5358&amp;G5358&amp;D5358&lt;&gt;'Funnel setup'!$K$3&amp;'Funnel setup'!$K$4&amp;'Funnel setup'!$K$5,".",IF(A5357=".",1,A5357+1))</f>
        <v>.</v>
      </c>
      <c r="B5358" s="431" t="str">
        <f t="shared" si="83"/>
        <v>Knee Replacement RevisionCCG of GP PracticeNHS DARLINGTON CCG (00C)EQ-5D Index</v>
      </c>
      <c r="C5358" t="s">
        <v>250</v>
      </c>
      <c r="D5358" t="s">
        <v>87</v>
      </c>
      <c r="E5358" t="s">
        <v>761</v>
      </c>
      <c r="F5358" t="s">
        <v>762</v>
      </c>
      <c r="G5358" t="s">
        <v>52</v>
      </c>
      <c r="H5358" t="s">
        <v>53</v>
      </c>
      <c r="I5358" t="s">
        <v>53</v>
      </c>
      <c r="J5358" t="s">
        <v>53</v>
      </c>
      <c r="K5358" t="s">
        <v>53</v>
      </c>
      <c r="L5358" t="s">
        <v>53</v>
      </c>
      <c r="M5358" t="s">
        <v>53</v>
      </c>
      <c r="N5358" t="s">
        <v>53</v>
      </c>
      <c r="O5358" t="s">
        <v>53</v>
      </c>
      <c r="P5358" t="s">
        <v>53</v>
      </c>
      <c r="Q5358" t="s">
        <v>53</v>
      </c>
    </row>
    <row r="5359" spans="1:17" x14ac:dyDescent="0.2">
      <c r="A5359" s="30" t="str">
        <f>IF(C5359&amp;G5359&amp;D5359&lt;&gt;'Funnel setup'!$K$3&amp;'Funnel setup'!$K$4&amp;'Funnel setup'!$K$5,".",IF(A5358=".",1,A5358+1))</f>
        <v>.</v>
      </c>
      <c r="B5359" s="431" t="str">
        <f t="shared" si="83"/>
        <v>Knee Replacement RevisionCCG of GP PracticeNHS DARTFORD, GRAVESHAM AND SWANLEY CCG (09J)EQ-5D Index</v>
      </c>
      <c r="C5359" t="s">
        <v>250</v>
      </c>
      <c r="D5359" t="s">
        <v>87</v>
      </c>
      <c r="E5359" t="s">
        <v>764</v>
      </c>
      <c r="F5359" t="s">
        <v>765</v>
      </c>
      <c r="G5359" t="s">
        <v>52</v>
      </c>
      <c r="H5359" t="s">
        <v>53</v>
      </c>
      <c r="I5359" t="s">
        <v>53</v>
      </c>
      <c r="J5359" t="s">
        <v>53</v>
      </c>
      <c r="K5359" t="s">
        <v>53</v>
      </c>
      <c r="L5359" t="s">
        <v>53</v>
      </c>
      <c r="M5359" t="s">
        <v>53</v>
      </c>
      <c r="N5359" t="s">
        <v>53</v>
      </c>
      <c r="O5359" t="s">
        <v>53</v>
      </c>
      <c r="P5359" t="s">
        <v>53</v>
      </c>
      <c r="Q5359" t="s">
        <v>53</v>
      </c>
    </row>
    <row r="5360" spans="1:17" x14ac:dyDescent="0.2">
      <c r="A5360" s="30" t="str">
        <f>IF(C5360&amp;G5360&amp;D5360&lt;&gt;'Funnel setup'!$K$3&amp;'Funnel setup'!$K$4&amp;'Funnel setup'!$K$5,".",IF(A5359=".",1,A5359+1))</f>
        <v>.</v>
      </c>
      <c r="B5360" s="431" t="str">
        <f t="shared" si="83"/>
        <v>Knee Replacement RevisionCCG of GP PracticeNHS DONCASTER CCG (02X)EQ-5D Index</v>
      </c>
      <c r="C5360" t="s">
        <v>250</v>
      </c>
      <c r="D5360" t="s">
        <v>87</v>
      </c>
      <c r="E5360" t="s">
        <v>767</v>
      </c>
      <c r="F5360" t="s">
        <v>768</v>
      </c>
      <c r="G5360" t="s">
        <v>52</v>
      </c>
      <c r="H5360">
        <v>19</v>
      </c>
      <c r="I5360">
        <v>0.22</v>
      </c>
      <c r="J5360">
        <v>0.442</v>
      </c>
      <c r="K5360">
        <v>0.222</v>
      </c>
      <c r="L5360">
        <v>12</v>
      </c>
      <c r="M5360">
        <v>2</v>
      </c>
      <c r="N5360">
        <v>5</v>
      </c>
      <c r="O5360" t="s">
        <v>53</v>
      </c>
      <c r="P5360" t="s">
        <v>53</v>
      </c>
      <c r="Q5360" t="s">
        <v>53</v>
      </c>
    </row>
    <row r="5361" spans="1:17" x14ac:dyDescent="0.2">
      <c r="A5361" s="30" t="str">
        <f>IF(C5361&amp;G5361&amp;D5361&lt;&gt;'Funnel setup'!$K$3&amp;'Funnel setup'!$K$4&amp;'Funnel setup'!$K$5,".",IF(A5360=".",1,A5360+1))</f>
        <v>.</v>
      </c>
      <c r="B5361" s="431" t="str">
        <f t="shared" si="83"/>
        <v>Knee Replacement RevisionCCG of GP PracticeNHS DORSET CCG (11J)EQ-5D Index</v>
      </c>
      <c r="C5361" t="s">
        <v>250</v>
      </c>
      <c r="D5361" t="s">
        <v>87</v>
      </c>
      <c r="E5361" t="s">
        <v>854</v>
      </c>
      <c r="F5361" t="s">
        <v>855</v>
      </c>
      <c r="G5361" t="s">
        <v>52</v>
      </c>
      <c r="H5361">
        <v>11</v>
      </c>
      <c r="I5361">
        <v>0.25700000000000001</v>
      </c>
      <c r="J5361">
        <v>0.52600000000000002</v>
      </c>
      <c r="K5361">
        <v>0.26900000000000002</v>
      </c>
      <c r="L5361">
        <v>10</v>
      </c>
      <c r="M5361">
        <v>0</v>
      </c>
      <c r="N5361">
        <v>1</v>
      </c>
      <c r="O5361" t="s">
        <v>53</v>
      </c>
      <c r="P5361" t="s">
        <v>53</v>
      </c>
      <c r="Q5361" t="s">
        <v>53</v>
      </c>
    </row>
    <row r="5362" spans="1:17" x14ac:dyDescent="0.2">
      <c r="A5362" s="30" t="str">
        <f>IF(C5362&amp;G5362&amp;D5362&lt;&gt;'Funnel setup'!$K$3&amp;'Funnel setup'!$K$4&amp;'Funnel setup'!$K$5,".",IF(A5361=".",1,A5361+1))</f>
        <v>.</v>
      </c>
      <c r="B5362" s="431" t="str">
        <f t="shared" si="83"/>
        <v>Knee Replacement RevisionCCG of GP PracticeNHS DUDLEY CCG (05C)EQ-5D Index</v>
      </c>
      <c r="C5362" t="s">
        <v>250</v>
      </c>
      <c r="D5362" t="s">
        <v>87</v>
      </c>
      <c r="E5362" t="s">
        <v>857</v>
      </c>
      <c r="F5362" t="s">
        <v>858</v>
      </c>
      <c r="G5362" t="s">
        <v>52</v>
      </c>
      <c r="H5362">
        <v>7</v>
      </c>
      <c r="I5362">
        <v>0.17599999999999999</v>
      </c>
      <c r="J5362">
        <v>0.45100000000000001</v>
      </c>
      <c r="K5362">
        <v>0.27500000000000002</v>
      </c>
      <c r="L5362">
        <v>6</v>
      </c>
      <c r="M5362">
        <v>0</v>
      </c>
      <c r="N5362">
        <v>1</v>
      </c>
      <c r="O5362" t="s">
        <v>53</v>
      </c>
      <c r="P5362" t="s">
        <v>53</v>
      </c>
      <c r="Q5362" t="s">
        <v>53</v>
      </c>
    </row>
    <row r="5363" spans="1:17" x14ac:dyDescent="0.2">
      <c r="A5363" s="30" t="str">
        <f>IF(C5363&amp;G5363&amp;D5363&lt;&gt;'Funnel setup'!$K$3&amp;'Funnel setup'!$K$4&amp;'Funnel setup'!$K$5,".",IF(A5362=".",1,A5362+1))</f>
        <v>.</v>
      </c>
      <c r="B5363" s="431" t="str">
        <f t="shared" si="83"/>
        <v>Knee Replacement RevisionCCG of GP PracticeNHS DURHAM DALES, EASINGTON AND SEDGEFIELD CCG (00D)EQ-5D Index</v>
      </c>
      <c r="C5363" t="s">
        <v>250</v>
      </c>
      <c r="D5363" t="s">
        <v>87</v>
      </c>
      <c r="E5363" t="s">
        <v>860</v>
      </c>
      <c r="F5363" t="s">
        <v>861</v>
      </c>
      <c r="G5363" t="s">
        <v>52</v>
      </c>
      <c r="H5363">
        <v>11</v>
      </c>
      <c r="I5363">
        <v>0.214</v>
      </c>
      <c r="J5363">
        <v>0.67800000000000005</v>
      </c>
      <c r="K5363">
        <v>0.46400000000000002</v>
      </c>
      <c r="L5363">
        <v>11</v>
      </c>
      <c r="M5363">
        <v>0</v>
      </c>
      <c r="N5363">
        <v>0</v>
      </c>
      <c r="O5363" t="s">
        <v>53</v>
      </c>
      <c r="P5363" t="s">
        <v>53</v>
      </c>
      <c r="Q5363" t="s">
        <v>53</v>
      </c>
    </row>
    <row r="5364" spans="1:17" x14ac:dyDescent="0.2">
      <c r="A5364" s="30" t="str">
        <f>IF(C5364&amp;G5364&amp;D5364&lt;&gt;'Funnel setup'!$K$3&amp;'Funnel setup'!$K$4&amp;'Funnel setup'!$K$5,".",IF(A5363=".",1,A5363+1))</f>
        <v>.</v>
      </c>
      <c r="B5364" s="431" t="str">
        <f t="shared" si="83"/>
        <v>Knee Replacement RevisionCCG of GP PracticeNHS EALING CCG (07W)EQ-5D Index</v>
      </c>
      <c r="C5364" t="s">
        <v>250</v>
      </c>
      <c r="D5364" t="s">
        <v>87</v>
      </c>
      <c r="E5364" t="s">
        <v>863</v>
      </c>
      <c r="F5364" t="s">
        <v>864</v>
      </c>
      <c r="G5364" t="s">
        <v>52</v>
      </c>
      <c r="H5364">
        <v>6</v>
      </c>
      <c r="I5364">
        <v>0.47899999999999998</v>
      </c>
      <c r="J5364">
        <v>0.47</v>
      </c>
      <c r="K5364">
        <v>-8.0000000000000002E-3</v>
      </c>
      <c r="L5364">
        <v>3</v>
      </c>
      <c r="M5364">
        <v>0</v>
      </c>
      <c r="N5364">
        <v>3</v>
      </c>
      <c r="O5364" t="s">
        <v>53</v>
      </c>
      <c r="P5364" t="s">
        <v>53</v>
      </c>
      <c r="Q5364" t="s">
        <v>53</v>
      </c>
    </row>
    <row r="5365" spans="1:17" x14ac:dyDescent="0.2">
      <c r="A5365" s="30" t="str">
        <f>IF(C5365&amp;G5365&amp;D5365&lt;&gt;'Funnel setup'!$K$3&amp;'Funnel setup'!$K$4&amp;'Funnel setup'!$K$5,".",IF(A5364=".",1,A5364+1))</f>
        <v>.</v>
      </c>
      <c r="B5365" s="431" t="str">
        <f t="shared" si="83"/>
        <v>Knee Replacement RevisionCCG of GP PracticeNHS EAST AND NORTH HERTFORDSHIRE CCG (06K)EQ-5D Index</v>
      </c>
      <c r="C5365" t="s">
        <v>250</v>
      </c>
      <c r="D5365" t="s">
        <v>87</v>
      </c>
      <c r="E5365" t="s">
        <v>866</v>
      </c>
      <c r="F5365" t="s">
        <v>867</v>
      </c>
      <c r="G5365" t="s">
        <v>52</v>
      </c>
      <c r="H5365">
        <v>12</v>
      </c>
      <c r="I5365">
        <v>0.28399999999999997</v>
      </c>
      <c r="J5365">
        <v>0.58899999999999997</v>
      </c>
      <c r="K5365">
        <v>0.30499999999999999</v>
      </c>
      <c r="L5365">
        <v>7</v>
      </c>
      <c r="M5365">
        <v>3</v>
      </c>
      <c r="N5365">
        <v>2</v>
      </c>
      <c r="O5365" t="s">
        <v>53</v>
      </c>
      <c r="P5365" t="s">
        <v>53</v>
      </c>
      <c r="Q5365" t="s">
        <v>53</v>
      </c>
    </row>
    <row r="5366" spans="1:17" x14ac:dyDescent="0.2">
      <c r="A5366" s="30" t="str">
        <f>IF(C5366&amp;G5366&amp;D5366&lt;&gt;'Funnel setup'!$K$3&amp;'Funnel setup'!$K$4&amp;'Funnel setup'!$K$5,".",IF(A5365=".",1,A5365+1))</f>
        <v>.</v>
      </c>
      <c r="B5366" s="431" t="str">
        <f t="shared" si="83"/>
        <v>Knee Replacement RevisionCCG of GP PracticeNHS EAST LANCASHIRE CCG (01A)EQ-5D Index</v>
      </c>
      <c r="C5366" t="s">
        <v>250</v>
      </c>
      <c r="D5366" t="s">
        <v>87</v>
      </c>
      <c r="E5366" t="s">
        <v>869</v>
      </c>
      <c r="F5366" t="s">
        <v>870</v>
      </c>
      <c r="G5366" t="s">
        <v>52</v>
      </c>
      <c r="H5366">
        <v>7</v>
      </c>
      <c r="I5366">
        <v>0.40799999999999997</v>
      </c>
      <c r="J5366">
        <v>0.44400000000000001</v>
      </c>
      <c r="K5366">
        <v>3.6999999999999998E-2</v>
      </c>
      <c r="L5366">
        <v>3</v>
      </c>
      <c r="M5366">
        <v>3</v>
      </c>
      <c r="N5366">
        <v>1</v>
      </c>
      <c r="O5366" t="s">
        <v>53</v>
      </c>
      <c r="P5366" t="s">
        <v>53</v>
      </c>
      <c r="Q5366" t="s">
        <v>53</v>
      </c>
    </row>
    <row r="5367" spans="1:17" x14ac:dyDescent="0.2">
      <c r="A5367" s="30" t="str">
        <f>IF(C5367&amp;G5367&amp;D5367&lt;&gt;'Funnel setup'!$K$3&amp;'Funnel setup'!$K$4&amp;'Funnel setup'!$K$5,".",IF(A5366=".",1,A5366+1))</f>
        <v>.</v>
      </c>
      <c r="B5367" s="431" t="str">
        <f t="shared" si="83"/>
        <v>Knee Replacement RevisionCCG of GP PracticeNHS EAST LEICESTERSHIRE AND RUTLAND CCG (03W)EQ-5D Index</v>
      </c>
      <c r="C5367" t="s">
        <v>250</v>
      </c>
      <c r="D5367" t="s">
        <v>87</v>
      </c>
      <c r="E5367" t="s">
        <v>872</v>
      </c>
      <c r="F5367" t="s">
        <v>873</v>
      </c>
      <c r="G5367" t="s">
        <v>52</v>
      </c>
      <c r="H5367">
        <v>14</v>
      </c>
      <c r="I5367">
        <v>0.23599999999999999</v>
      </c>
      <c r="J5367">
        <v>0.56299999999999994</v>
      </c>
      <c r="K5367">
        <v>0.32700000000000001</v>
      </c>
      <c r="L5367">
        <v>11</v>
      </c>
      <c r="M5367">
        <v>1</v>
      </c>
      <c r="N5367">
        <v>2</v>
      </c>
      <c r="O5367" t="s">
        <v>53</v>
      </c>
      <c r="P5367" t="s">
        <v>53</v>
      </c>
      <c r="Q5367" t="s">
        <v>53</v>
      </c>
    </row>
    <row r="5368" spans="1:17" x14ac:dyDescent="0.2">
      <c r="A5368" s="30" t="str">
        <f>IF(C5368&amp;G5368&amp;D5368&lt;&gt;'Funnel setup'!$K$3&amp;'Funnel setup'!$K$4&amp;'Funnel setup'!$K$5,".",IF(A5367=".",1,A5367+1))</f>
        <v>.</v>
      </c>
      <c r="B5368" s="431" t="str">
        <f t="shared" si="83"/>
        <v>Knee Replacement RevisionCCG of GP PracticeNHS EAST RIDING OF YORKSHIRE CCG (02Y)EQ-5D Index</v>
      </c>
      <c r="C5368" t="s">
        <v>250</v>
      </c>
      <c r="D5368" t="s">
        <v>87</v>
      </c>
      <c r="E5368" t="s">
        <v>875</v>
      </c>
      <c r="F5368" t="s">
        <v>876</v>
      </c>
      <c r="G5368" t="s">
        <v>52</v>
      </c>
      <c r="H5368">
        <v>17</v>
      </c>
      <c r="I5368">
        <v>0.374</v>
      </c>
      <c r="J5368">
        <v>0.59799999999999998</v>
      </c>
      <c r="K5368">
        <v>0.22500000000000001</v>
      </c>
      <c r="L5368">
        <v>10</v>
      </c>
      <c r="M5368">
        <v>3</v>
      </c>
      <c r="N5368">
        <v>4</v>
      </c>
      <c r="O5368" t="s">
        <v>53</v>
      </c>
      <c r="P5368" t="s">
        <v>53</v>
      </c>
      <c r="Q5368" t="s">
        <v>53</v>
      </c>
    </row>
    <row r="5369" spans="1:17" x14ac:dyDescent="0.2">
      <c r="A5369" s="30" t="str">
        <f>IF(C5369&amp;G5369&amp;D5369&lt;&gt;'Funnel setup'!$K$3&amp;'Funnel setup'!$K$4&amp;'Funnel setup'!$K$5,".",IF(A5368=".",1,A5368+1))</f>
        <v>.</v>
      </c>
      <c r="B5369" s="431" t="str">
        <f t="shared" si="83"/>
        <v>Knee Replacement RevisionCCG of GP PracticeNHS EAST STAFFORDSHIRE CCG (05D)EQ-5D Index</v>
      </c>
      <c r="C5369" t="s">
        <v>250</v>
      </c>
      <c r="D5369" t="s">
        <v>87</v>
      </c>
      <c r="E5369" t="s">
        <v>878</v>
      </c>
      <c r="F5369" t="s">
        <v>879</v>
      </c>
      <c r="G5369" t="s">
        <v>52</v>
      </c>
      <c r="H5369" t="s">
        <v>53</v>
      </c>
      <c r="I5369" t="s">
        <v>53</v>
      </c>
      <c r="J5369" t="s">
        <v>53</v>
      </c>
      <c r="K5369" t="s">
        <v>53</v>
      </c>
      <c r="L5369" t="s">
        <v>53</v>
      </c>
      <c r="M5369" t="s">
        <v>53</v>
      </c>
      <c r="N5369" t="s">
        <v>53</v>
      </c>
      <c r="O5369" t="s">
        <v>53</v>
      </c>
      <c r="P5369" t="s">
        <v>53</v>
      </c>
      <c r="Q5369" t="s">
        <v>53</v>
      </c>
    </row>
    <row r="5370" spans="1:17" x14ac:dyDescent="0.2">
      <c r="A5370" s="30" t="str">
        <f>IF(C5370&amp;G5370&amp;D5370&lt;&gt;'Funnel setup'!$K$3&amp;'Funnel setup'!$K$4&amp;'Funnel setup'!$K$5,".",IF(A5369=".",1,A5369+1))</f>
        <v>.</v>
      </c>
      <c r="B5370" s="431" t="str">
        <f t="shared" si="83"/>
        <v>Knee Replacement RevisionCCG of GP PracticeNHS EAST SURREY CCG (09L)EQ-5D Index</v>
      </c>
      <c r="C5370" t="s">
        <v>250</v>
      </c>
      <c r="D5370" t="s">
        <v>87</v>
      </c>
      <c r="E5370" t="s">
        <v>881</v>
      </c>
      <c r="F5370" t="s">
        <v>882</v>
      </c>
      <c r="G5370" t="s">
        <v>52</v>
      </c>
      <c r="H5370" t="s">
        <v>53</v>
      </c>
      <c r="I5370" t="s">
        <v>53</v>
      </c>
      <c r="J5370" t="s">
        <v>53</v>
      </c>
      <c r="K5370" t="s">
        <v>53</v>
      </c>
      <c r="L5370" t="s">
        <v>53</v>
      </c>
      <c r="M5370" t="s">
        <v>53</v>
      </c>
      <c r="N5370" t="s">
        <v>53</v>
      </c>
      <c r="O5370" t="s">
        <v>53</v>
      </c>
      <c r="P5370" t="s">
        <v>53</v>
      </c>
      <c r="Q5370" t="s">
        <v>53</v>
      </c>
    </row>
    <row r="5371" spans="1:17" x14ac:dyDescent="0.2">
      <c r="A5371" s="30" t="str">
        <f>IF(C5371&amp;G5371&amp;D5371&lt;&gt;'Funnel setup'!$K$3&amp;'Funnel setup'!$K$4&amp;'Funnel setup'!$K$5,".",IF(A5370=".",1,A5370+1))</f>
        <v>.</v>
      </c>
      <c r="B5371" s="431" t="str">
        <f t="shared" si="83"/>
        <v>Knee Replacement RevisionCCG of GP PracticeNHS EASTBOURNE, HAILSHAM AND SEAFORD CCG (09F)EQ-5D Index</v>
      </c>
      <c r="C5371" t="s">
        <v>250</v>
      </c>
      <c r="D5371" t="s">
        <v>87</v>
      </c>
      <c r="E5371" t="s">
        <v>884</v>
      </c>
      <c r="F5371" t="s">
        <v>885</v>
      </c>
      <c r="G5371" t="s">
        <v>52</v>
      </c>
      <c r="H5371">
        <v>15</v>
      </c>
      <c r="I5371">
        <v>0.51200000000000001</v>
      </c>
      <c r="J5371">
        <v>0.68</v>
      </c>
      <c r="K5371">
        <v>0.16800000000000001</v>
      </c>
      <c r="L5371">
        <v>10</v>
      </c>
      <c r="M5371">
        <v>3</v>
      </c>
      <c r="N5371">
        <v>2</v>
      </c>
      <c r="O5371" t="s">
        <v>53</v>
      </c>
      <c r="P5371" t="s">
        <v>53</v>
      </c>
      <c r="Q5371" t="s">
        <v>53</v>
      </c>
    </row>
    <row r="5372" spans="1:17" x14ac:dyDescent="0.2">
      <c r="A5372" s="30" t="str">
        <f>IF(C5372&amp;G5372&amp;D5372&lt;&gt;'Funnel setup'!$K$3&amp;'Funnel setup'!$K$4&amp;'Funnel setup'!$K$5,".",IF(A5371=".",1,A5371+1))</f>
        <v>.</v>
      </c>
      <c r="B5372" s="431" t="str">
        <f t="shared" si="83"/>
        <v>Knee Replacement RevisionCCG of GP PracticeNHS EASTERN CHESHIRE CCG (01C)EQ-5D Index</v>
      </c>
      <c r="C5372" t="s">
        <v>250</v>
      </c>
      <c r="D5372" t="s">
        <v>87</v>
      </c>
      <c r="E5372" t="s">
        <v>887</v>
      </c>
      <c r="F5372" t="s">
        <v>888</v>
      </c>
      <c r="G5372" t="s">
        <v>52</v>
      </c>
      <c r="H5372" t="s">
        <v>53</v>
      </c>
      <c r="I5372" t="s">
        <v>53</v>
      </c>
      <c r="J5372" t="s">
        <v>53</v>
      </c>
      <c r="K5372" t="s">
        <v>53</v>
      </c>
      <c r="L5372" t="s">
        <v>53</v>
      </c>
      <c r="M5372" t="s">
        <v>53</v>
      </c>
      <c r="N5372" t="s">
        <v>53</v>
      </c>
      <c r="O5372" t="s">
        <v>53</v>
      </c>
      <c r="P5372" t="s">
        <v>53</v>
      </c>
      <c r="Q5372" t="s">
        <v>53</v>
      </c>
    </row>
    <row r="5373" spans="1:17" x14ac:dyDescent="0.2">
      <c r="A5373" s="30" t="str">
        <f>IF(C5373&amp;G5373&amp;D5373&lt;&gt;'Funnel setup'!$K$3&amp;'Funnel setup'!$K$4&amp;'Funnel setup'!$K$5,".",IF(A5372=".",1,A5372+1))</f>
        <v>.</v>
      </c>
      <c r="B5373" s="431" t="str">
        <f t="shared" si="83"/>
        <v>Knee Replacement RevisionCCG of GP PracticeNHS ENFIELD CCG (07X)EQ-5D Index</v>
      </c>
      <c r="C5373" t="s">
        <v>250</v>
      </c>
      <c r="D5373" t="s">
        <v>87</v>
      </c>
      <c r="E5373" t="s">
        <v>890</v>
      </c>
      <c r="F5373" t="s">
        <v>891</v>
      </c>
      <c r="G5373" t="s">
        <v>52</v>
      </c>
      <c r="H5373" t="s">
        <v>53</v>
      </c>
      <c r="I5373" t="s">
        <v>53</v>
      </c>
      <c r="J5373" t="s">
        <v>53</v>
      </c>
      <c r="K5373" t="s">
        <v>53</v>
      </c>
      <c r="L5373" t="s">
        <v>53</v>
      </c>
      <c r="M5373" t="s">
        <v>53</v>
      </c>
      <c r="N5373" t="s">
        <v>53</v>
      </c>
      <c r="O5373" t="s">
        <v>53</v>
      </c>
      <c r="P5373" t="s">
        <v>53</v>
      </c>
      <c r="Q5373" t="s">
        <v>53</v>
      </c>
    </row>
    <row r="5374" spans="1:17" x14ac:dyDescent="0.2">
      <c r="A5374" s="30" t="str">
        <f>IF(C5374&amp;G5374&amp;D5374&lt;&gt;'Funnel setup'!$K$3&amp;'Funnel setup'!$K$4&amp;'Funnel setup'!$K$5,".",IF(A5373=".",1,A5373+1))</f>
        <v>.</v>
      </c>
      <c r="B5374" s="431" t="str">
        <f t="shared" si="83"/>
        <v>Knee Replacement RevisionCCG of GP PracticeNHS EREWASH CCG (03X)EQ-5D Index</v>
      </c>
      <c r="C5374" t="s">
        <v>250</v>
      </c>
      <c r="D5374" t="s">
        <v>87</v>
      </c>
      <c r="E5374" t="s">
        <v>893</v>
      </c>
      <c r="F5374" t="s">
        <v>894</v>
      </c>
      <c r="G5374" t="s">
        <v>52</v>
      </c>
      <c r="H5374" t="s">
        <v>53</v>
      </c>
      <c r="I5374" t="s">
        <v>53</v>
      </c>
      <c r="J5374" t="s">
        <v>53</v>
      </c>
      <c r="K5374" t="s">
        <v>53</v>
      </c>
      <c r="L5374" t="s">
        <v>53</v>
      </c>
      <c r="M5374" t="s">
        <v>53</v>
      </c>
      <c r="N5374" t="s">
        <v>53</v>
      </c>
      <c r="O5374" t="s">
        <v>53</v>
      </c>
      <c r="P5374" t="s">
        <v>53</v>
      </c>
      <c r="Q5374" t="s">
        <v>53</v>
      </c>
    </row>
    <row r="5375" spans="1:17" x14ac:dyDescent="0.2">
      <c r="A5375" s="30" t="str">
        <f>IF(C5375&amp;G5375&amp;D5375&lt;&gt;'Funnel setup'!$K$3&amp;'Funnel setup'!$K$4&amp;'Funnel setup'!$K$5,".",IF(A5374=".",1,A5374+1))</f>
        <v>.</v>
      </c>
      <c r="B5375" s="431" t="str">
        <f t="shared" si="83"/>
        <v>Knee Replacement RevisionCCG of GP PracticeNHS FAREHAM AND GOSPORT CCG (10K)EQ-5D Index</v>
      </c>
      <c r="C5375" t="s">
        <v>250</v>
      </c>
      <c r="D5375" t="s">
        <v>87</v>
      </c>
      <c r="E5375" t="s">
        <v>896</v>
      </c>
      <c r="F5375" t="s">
        <v>897</v>
      </c>
      <c r="G5375" t="s">
        <v>52</v>
      </c>
      <c r="H5375" t="s">
        <v>53</v>
      </c>
      <c r="I5375" t="s">
        <v>53</v>
      </c>
      <c r="J5375" t="s">
        <v>53</v>
      </c>
      <c r="K5375" t="s">
        <v>53</v>
      </c>
      <c r="L5375" t="s">
        <v>53</v>
      </c>
      <c r="M5375" t="s">
        <v>53</v>
      </c>
      <c r="N5375" t="s">
        <v>53</v>
      </c>
      <c r="O5375" t="s">
        <v>53</v>
      </c>
      <c r="P5375" t="s">
        <v>53</v>
      </c>
      <c r="Q5375" t="s">
        <v>53</v>
      </c>
    </row>
    <row r="5376" spans="1:17" x14ac:dyDescent="0.2">
      <c r="A5376" s="30" t="str">
        <f>IF(C5376&amp;G5376&amp;D5376&lt;&gt;'Funnel setup'!$K$3&amp;'Funnel setup'!$K$4&amp;'Funnel setup'!$K$5,".",IF(A5375=".",1,A5375+1))</f>
        <v>.</v>
      </c>
      <c r="B5376" s="431" t="str">
        <f t="shared" si="83"/>
        <v>Knee Replacement RevisionCCG of GP PracticeNHS FYLDE &amp; WYRE CCG (02M)EQ-5D Index</v>
      </c>
      <c r="C5376" t="s">
        <v>250</v>
      </c>
      <c r="D5376" t="s">
        <v>87</v>
      </c>
      <c r="E5376" t="s">
        <v>899</v>
      </c>
      <c r="F5376" t="s">
        <v>900</v>
      </c>
      <c r="G5376" t="s">
        <v>52</v>
      </c>
      <c r="H5376" t="s">
        <v>53</v>
      </c>
      <c r="I5376" t="s">
        <v>53</v>
      </c>
      <c r="J5376" t="s">
        <v>53</v>
      </c>
      <c r="K5376" t="s">
        <v>53</v>
      </c>
      <c r="L5376" t="s">
        <v>53</v>
      </c>
      <c r="M5376" t="s">
        <v>53</v>
      </c>
      <c r="N5376" t="s">
        <v>53</v>
      </c>
      <c r="O5376" t="s">
        <v>53</v>
      </c>
      <c r="P5376" t="s">
        <v>53</v>
      </c>
      <c r="Q5376" t="s">
        <v>53</v>
      </c>
    </row>
    <row r="5377" spans="1:17" x14ac:dyDescent="0.2">
      <c r="A5377" s="30" t="str">
        <f>IF(C5377&amp;G5377&amp;D5377&lt;&gt;'Funnel setup'!$K$3&amp;'Funnel setup'!$K$4&amp;'Funnel setup'!$K$5,".",IF(A5376=".",1,A5376+1))</f>
        <v>.</v>
      </c>
      <c r="B5377" s="431" t="str">
        <f t="shared" si="83"/>
        <v>Knee Replacement RevisionCCG of GP PracticeNHS GLOUCESTERSHIRE CCG (11M)EQ-5D Index</v>
      </c>
      <c r="C5377" t="s">
        <v>250</v>
      </c>
      <c r="D5377" t="s">
        <v>87</v>
      </c>
      <c r="E5377" t="s">
        <v>902</v>
      </c>
      <c r="F5377" t="s">
        <v>903</v>
      </c>
      <c r="G5377" t="s">
        <v>52</v>
      </c>
      <c r="H5377">
        <v>33</v>
      </c>
      <c r="I5377">
        <v>0.46899999999999997</v>
      </c>
      <c r="J5377">
        <v>0.64800000000000002</v>
      </c>
      <c r="K5377">
        <v>0.17899999999999999</v>
      </c>
      <c r="L5377">
        <v>20</v>
      </c>
      <c r="M5377">
        <v>3</v>
      </c>
      <c r="N5377">
        <v>10</v>
      </c>
      <c r="O5377">
        <v>0.55100000000000005</v>
      </c>
      <c r="P5377">
        <v>0.21875086399999999</v>
      </c>
      <c r="Q5377">
        <v>0.32200000000000001</v>
      </c>
    </row>
    <row r="5378" spans="1:17" x14ac:dyDescent="0.2">
      <c r="A5378" s="30" t="str">
        <f>IF(C5378&amp;G5378&amp;D5378&lt;&gt;'Funnel setup'!$K$3&amp;'Funnel setup'!$K$4&amp;'Funnel setup'!$K$5,".",IF(A5377=".",1,A5377+1))</f>
        <v>.</v>
      </c>
      <c r="B5378" s="431" t="str">
        <f t="shared" si="83"/>
        <v>Knee Replacement RevisionCCG of GP PracticeNHS GREAT YARMOUTH AND WAVENEY CCG (06M)EQ-5D Index</v>
      </c>
      <c r="C5378" t="s">
        <v>250</v>
      </c>
      <c r="D5378" t="s">
        <v>87</v>
      </c>
      <c r="E5378" t="s">
        <v>905</v>
      </c>
      <c r="F5378" t="s">
        <v>906</v>
      </c>
      <c r="G5378" t="s">
        <v>52</v>
      </c>
      <c r="H5378">
        <v>8</v>
      </c>
      <c r="I5378">
        <v>0.27800000000000002</v>
      </c>
      <c r="J5378">
        <v>0.625</v>
      </c>
      <c r="K5378">
        <v>0.34799999999999998</v>
      </c>
      <c r="L5378">
        <v>5</v>
      </c>
      <c r="M5378">
        <v>1</v>
      </c>
      <c r="N5378">
        <v>2</v>
      </c>
      <c r="O5378" t="s">
        <v>53</v>
      </c>
      <c r="P5378" t="s">
        <v>53</v>
      </c>
      <c r="Q5378" t="s">
        <v>53</v>
      </c>
    </row>
    <row r="5379" spans="1:17" x14ac:dyDescent="0.2">
      <c r="A5379" s="30" t="str">
        <f>IF(C5379&amp;G5379&amp;D5379&lt;&gt;'Funnel setup'!$K$3&amp;'Funnel setup'!$K$4&amp;'Funnel setup'!$K$5,".",IF(A5378=".",1,A5378+1))</f>
        <v>.</v>
      </c>
      <c r="B5379" s="431" t="str">
        <f t="shared" ref="B5379:B5442" si="84">C5379&amp;D5379&amp;F5379&amp;G5379</f>
        <v>Knee Replacement RevisionCCG of GP PracticeNHS GREATER HUDDERSFIELD CCG (03A)EQ-5D Index</v>
      </c>
      <c r="C5379" t="s">
        <v>250</v>
      </c>
      <c r="D5379" t="s">
        <v>87</v>
      </c>
      <c r="E5379" t="s">
        <v>908</v>
      </c>
      <c r="F5379" t="s">
        <v>909</v>
      </c>
      <c r="G5379" t="s">
        <v>52</v>
      </c>
      <c r="H5379">
        <v>7</v>
      </c>
      <c r="I5379">
        <v>0.46899999999999997</v>
      </c>
      <c r="J5379">
        <v>0.81200000000000006</v>
      </c>
      <c r="K5379">
        <v>0.34300000000000003</v>
      </c>
      <c r="L5379">
        <v>6</v>
      </c>
      <c r="M5379">
        <v>0</v>
      </c>
      <c r="N5379">
        <v>1</v>
      </c>
      <c r="O5379" t="s">
        <v>53</v>
      </c>
      <c r="P5379" t="s">
        <v>53</v>
      </c>
      <c r="Q5379" t="s">
        <v>53</v>
      </c>
    </row>
    <row r="5380" spans="1:17" x14ac:dyDescent="0.2">
      <c r="A5380" s="30" t="str">
        <f>IF(C5380&amp;G5380&amp;D5380&lt;&gt;'Funnel setup'!$K$3&amp;'Funnel setup'!$K$4&amp;'Funnel setup'!$K$5,".",IF(A5379=".",1,A5379+1))</f>
        <v>.</v>
      </c>
      <c r="B5380" s="431" t="str">
        <f t="shared" si="84"/>
        <v>Knee Replacement RevisionCCG of GP PracticeNHS GREATER PRESTON CCG (01E)EQ-5D Index</v>
      </c>
      <c r="C5380" t="s">
        <v>250</v>
      </c>
      <c r="D5380" t="s">
        <v>87</v>
      </c>
      <c r="E5380" t="s">
        <v>486</v>
      </c>
      <c r="F5380" t="s">
        <v>487</v>
      </c>
      <c r="G5380" t="s">
        <v>52</v>
      </c>
      <c r="H5380" t="s">
        <v>53</v>
      </c>
      <c r="I5380" t="s">
        <v>53</v>
      </c>
      <c r="J5380" t="s">
        <v>53</v>
      </c>
      <c r="K5380" t="s">
        <v>53</v>
      </c>
      <c r="L5380" t="s">
        <v>53</v>
      </c>
      <c r="M5380" t="s">
        <v>53</v>
      </c>
      <c r="N5380" t="s">
        <v>53</v>
      </c>
      <c r="O5380" t="s">
        <v>53</v>
      </c>
      <c r="P5380" t="s">
        <v>53</v>
      </c>
      <c r="Q5380" t="s">
        <v>53</v>
      </c>
    </row>
    <row r="5381" spans="1:17" x14ac:dyDescent="0.2">
      <c r="A5381" s="30" t="str">
        <f>IF(C5381&amp;G5381&amp;D5381&lt;&gt;'Funnel setup'!$K$3&amp;'Funnel setup'!$K$4&amp;'Funnel setup'!$K$5,".",IF(A5380=".",1,A5380+1))</f>
        <v>.</v>
      </c>
      <c r="B5381" s="431" t="str">
        <f t="shared" si="84"/>
        <v>Knee Replacement RevisionCCG of GP PracticeNHS GREENWICH CCG (08A)EQ-5D Index</v>
      </c>
      <c r="C5381" t="s">
        <v>250</v>
      </c>
      <c r="D5381" t="s">
        <v>87</v>
      </c>
      <c r="E5381" t="s">
        <v>489</v>
      </c>
      <c r="F5381" t="s">
        <v>490</v>
      </c>
      <c r="G5381" t="s">
        <v>52</v>
      </c>
      <c r="H5381" t="s">
        <v>53</v>
      </c>
      <c r="I5381" t="s">
        <v>53</v>
      </c>
      <c r="J5381" t="s">
        <v>53</v>
      </c>
      <c r="K5381" t="s">
        <v>53</v>
      </c>
      <c r="L5381" t="s">
        <v>53</v>
      </c>
      <c r="M5381" t="s">
        <v>53</v>
      </c>
      <c r="N5381" t="s">
        <v>53</v>
      </c>
      <c r="O5381" t="s">
        <v>53</v>
      </c>
      <c r="P5381" t="s">
        <v>53</v>
      </c>
      <c r="Q5381" t="s">
        <v>53</v>
      </c>
    </row>
    <row r="5382" spans="1:17" x14ac:dyDescent="0.2">
      <c r="A5382" s="30" t="str">
        <f>IF(C5382&amp;G5382&amp;D5382&lt;&gt;'Funnel setup'!$K$3&amp;'Funnel setup'!$K$4&amp;'Funnel setup'!$K$5,".",IF(A5381=".",1,A5381+1))</f>
        <v>.</v>
      </c>
      <c r="B5382" s="431" t="str">
        <f t="shared" si="84"/>
        <v>Knee Replacement RevisionCCG of GP PracticeNHS GUILDFORD AND WAVERLEY CCG (09N)EQ-5D Index</v>
      </c>
      <c r="C5382" t="s">
        <v>250</v>
      </c>
      <c r="D5382" t="s">
        <v>87</v>
      </c>
      <c r="E5382" t="s">
        <v>911</v>
      </c>
      <c r="F5382" t="s">
        <v>912</v>
      </c>
      <c r="G5382" t="s">
        <v>52</v>
      </c>
      <c r="H5382" t="s">
        <v>53</v>
      </c>
      <c r="I5382" t="s">
        <v>53</v>
      </c>
      <c r="J5382" t="s">
        <v>53</v>
      </c>
      <c r="K5382" t="s">
        <v>53</v>
      </c>
      <c r="L5382" t="s">
        <v>53</v>
      </c>
      <c r="M5382" t="s">
        <v>53</v>
      </c>
      <c r="N5382" t="s">
        <v>53</v>
      </c>
      <c r="O5382" t="s">
        <v>53</v>
      </c>
      <c r="P5382" t="s">
        <v>53</v>
      </c>
      <c r="Q5382" t="s">
        <v>53</v>
      </c>
    </row>
    <row r="5383" spans="1:17" x14ac:dyDescent="0.2">
      <c r="A5383" s="30" t="str">
        <f>IF(C5383&amp;G5383&amp;D5383&lt;&gt;'Funnel setup'!$K$3&amp;'Funnel setup'!$K$4&amp;'Funnel setup'!$K$5,".",IF(A5382=".",1,A5382+1))</f>
        <v>.</v>
      </c>
      <c r="B5383" s="431" t="str">
        <f t="shared" si="84"/>
        <v>Knee Replacement RevisionCCG of GP PracticeNHS HALTON CCG (01F)EQ-5D Index</v>
      </c>
      <c r="C5383" t="s">
        <v>250</v>
      </c>
      <c r="D5383" t="s">
        <v>87</v>
      </c>
      <c r="E5383" t="s">
        <v>914</v>
      </c>
      <c r="F5383" t="s">
        <v>915</v>
      </c>
      <c r="G5383" t="s">
        <v>52</v>
      </c>
      <c r="H5383">
        <v>8</v>
      </c>
      <c r="I5383">
        <v>0.379</v>
      </c>
      <c r="J5383">
        <v>0.60699999999999998</v>
      </c>
      <c r="K5383">
        <v>0.22800000000000001</v>
      </c>
      <c r="L5383">
        <v>7</v>
      </c>
      <c r="M5383">
        <v>0</v>
      </c>
      <c r="N5383">
        <v>1</v>
      </c>
      <c r="O5383" t="s">
        <v>53</v>
      </c>
      <c r="P5383" t="s">
        <v>53</v>
      </c>
      <c r="Q5383" t="s">
        <v>53</v>
      </c>
    </row>
    <row r="5384" spans="1:17" x14ac:dyDescent="0.2">
      <c r="A5384" s="30" t="str">
        <f>IF(C5384&amp;G5384&amp;D5384&lt;&gt;'Funnel setup'!$K$3&amp;'Funnel setup'!$K$4&amp;'Funnel setup'!$K$5,".",IF(A5383=".",1,A5383+1))</f>
        <v>.</v>
      </c>
      <c r="B5384" s="431" t="str">
        <f t="shared" si="84"/>
        <v>Knee Replacement RevisionCCG of GP PracticeNHS HAMBLETON, RICHMONDSHIRE AND WHITBY CCG (03D)EQ-5D Index</v>
      </c>
      <c r="C5384" t="s">
        <v>250</v>
      </c>
      <c r="D5384" t="s">
        <v>87</v>
      </c>
      <c r="E5384" t="s">
        <v>917</v>
      </c>
      <c r="F5384" t="s">
        <v>918</v>
      </c>
      <c r="G5384" t="s">
        <v>52</v>
      </c>
      <c r="H5384">
        <v>10</v>
      </c>
      <c r="I5384">
        <v>0.441</v>
      </c>
      <c r="J5384">
        <v>0.56100000000000005</v>
      </c>
      <c r="K5384">
        <v>0.12</v>
      </c>
      <c r="L5384">
        <v>5</v>
      </c>
      <c r="M5384">
        <v>3</v>
      </c>
      <c r="N5384">
        <v>2</v>
      </c>
      <c r="O5384" t="s">
        <v>53</v>
      </c>
      <c r="P5384" t="s">
        <v>53</v>
      </c>
      <c r="Q5384" t="s">
        <v>53</v>
      </c>
    </row>
    <row r="5385" spans="1:17" x14ac:dyDescent="0.2">
      <c r="A5385" s="30" t="str">
        <f>IF(C5385&amp;G5385&amp;D5385&lt;&gt;'Funnel setup'!$K$3&amp;'Funnel setup'!$K$4&amp;'Funnel setup'!$K$5,".",IF(A5384=".",1,A5384+1))</f>
        <v>.</v>
      </c>
      <c r="B5385" s="431" t="str">
        <f t="shared" si="84"/>
        <v>Knee Replacement RevisionCCG of GP PracticeNHS HARDWICK CCG (03Y)EQ-5D Index</v>
      </c>
      <c r="C5385" t="s">
        <v>250</v>
      </c>
      <c r="D5385" t="s">
        <v>87</v>
      </c>
      <c r="E5385" t="s">
        <v>923</v>
      </c>
      <c r="F5385" t="s">
        <v>924</v>
      </c>
      <c r="G5385" t="s">
        <v>52</v>
      </c>
      <c r="H5385">
        <v>6</v>
      </c>
      <c r="I5385">
        <v>0.28399999999999997</v>
      </c>
      <c r="J5385">
        <v>0.46899999999999997</v>
      </c>
      <c r="K5385">
        <v>0.185</v>
      </c>
      <c r="L5385">
        <v>3</v>
      </c>
      <c r="M5385">
        <v>1</v>
      </c>
      <c r="N5385">
        <v>2</v>
      </c>
      <c r="O5385" t="s">
        <v>53</v>
      </c>
      <c r="P5385" t="s">
        <v>53</v>
      </c>
      <c r="Q5385" t="s">
        <v>53</v>
      </c>
    </row>
    <row r="5386" spans="1:17" x14ac:dyDescent="0.2">
      <c r="A5386" s="30" t="str">
        <f>IF(C5386&amp;G5386&amp;D5386&lt;&gt;'Funnel setup'!$K$3&amp;'Funnel setup'!$K$4&amp;'Funnel setup'!$K$5,".",IF(A5385=".",1,A5385+1))</f>
        <v>.</v>
      </c>
      <c r="B5386" s="431" t="str">
        <f t="shared" si="84"/>
        <v>Knee Replacement RevisionCCG of GP PracticeNHS HARROGATE AND RURAL DISTRICT CCG (03E)EQ-5D Index</v>
      </c>
      <c r="C5386" t="s">
        <v>250</v>
      </c>
      <c r="D5386" t="s">
        <v>87</v>
      </c>
      <c r="E5386" t="s">
        <v>929</v>
      </c>
      <c r="F5386" t="s">
        <v>930</v>
      </c>
      <c r="G5386" t="s">
        <v>52</v>
      </c>
      <c r="H5386">
        <v>10</v>
      </c>
      <c r="I5386">
        <v>0.30399999999999999</v>
      </c>
      <c r="J5386">
        <v>0.66</v>
      </c>
      <c r="K5386">
        <v>0.35599999999999998</v>
      </c>
      <c r="L5386">
        <v>8</v>
      </c>
      <c r="M5386">
        <v>2</v>
      </c>
      <c r="N5386">
        <v>0</v>
      </c>
      <c r="O5386" t="s">
        <v>53</v>
      </c>
      <c r="P5386" t="s">
        <v>53</v>
      </c>
      <c r="Q5386" t="s">
        <v>53</v>
      </c>
    </row>
    <row r="5387" spans="1:17" x14ac:dyDescent="0.2">
      <c r="A5387" s="30" t="str">
        <f>IF(C5387&amp;G5387&amp;D5387&lt;&gt;'Funnel setup'!$K$3&amp;'Funnel setup'!$K$4&amp;'Funnel setup'!$K$5,".",IF(A5386=".",1,A5386+1))</f>
        <v>.</v>
      </c>
      <c r="B5387" s="431" t="str">
        <f t="shared" si="84"/>
        <v>Knee Replacement RevisionCCG of GP PracticeNHS HARTLEPOOL AND STOCKTON-ON-TEES CCG (00K)EQ-5D Index</v>
      </c>
      <c r="C5387" t="s">
        <v>250</v>
      </c>
      <c r="D5387" t="s">
        <v>87</v>
      </c>
      <c r="E5387" t="s">
        <v>495</v>
      </c>
      <c r="F5387" t="s">
        <v>496</v>
      </c>
      <c r="G5387" t="s">
        <v>52</v>
      </c>
      <c r="H5387">
        <v>15</v>
      </c>
      <c r="I5387">
        <v>0.17100000000000001</v>
      </c>
      <c r="J5387">
        <v>0.55500000000000005</v>
      </c>
      <c r="K5387">
        <v>0.38400000000000001</v>
      </c>
      <c r="L5387">
        <v>12</v>
      </c>
      <c r="M5387">
        <v>3</v>
      </c>
      <c r="N5387">
        <v>0</v>
      </c>
      <c r="O5387" t="s">
        <v>53</v>
      </c>
      <c r="P5387" t="s">
        <v>53</v>
      </c>
      <c r="Q5387" t="s">
        <v>53</v>
      </c>
    </row>
    <row r="5388" spans="1:17" x14ac:dyDescent="0.2">
      <c r="A5388" s="30" t="str">
        <f>IF(C5388&amp;G5388&amp;D5388&lt;&gt;'Funnel setup'!$K$3&amp;'Funnel setup'!$K$4&amp;'Funnel setup'!$K$5,".",IF(A5387=".",1,A5387+1))</f>
        <v>.</v>
      </c>
      <c r="B5388" s="431" t="str">
        <f t="shared" si="84"/>
        <v>Knee Replacement RevisionCCG of GP PracticeNHS HASTINGS AND ROTHER CCG (09P)EQ-5D Index</v>
      </c>
      <c r="C5388" t="s">
        <v>250</v>
      </c>
      <c r="D5388" t="s">
        <v>87</v>
      </c>
      <c r="E5388" t="s">
        <v>498</v>
      </c>
      <c r="F5388" t="s">
        <v>499</v>
      </c>
      <c r="G5388" t="s">
        <v>52</v>
      </c>
      <c r="H5388">
        <v>19</v>
      </c>
      <c r="I5388">
        <v>0.44600000000000001</v>
      </c>
      <c r="J5388">
        <v>0.64400000000000002</v>
      </c>
      <c r="K5388">
        <v>0.19800000000000001</v>
      </c>
      <c r="L5388">
        <v>15</v>
      </c>
      <c r="M5388">
        <v>1</v>
      </c>
      <c r="N5388">
        <v>3</v>
      </c>
      <c r="O5388" t="s">
        <v>53</v>
      </c>
      <c r="P5388" t="s">
        <v>53</v>
      </c>
      <c r="Q5388" t="s">
        <v>53</v>
      </c>
    </row>
    <row r="5389" spans="1:17" x14ac:dyDescent="0.2">
      <c r="A5389" s="30" t="str">
        <f>IF(C5389&amp;G5389&amp;D5389&lt;&gt;'Funnel setup'!$K$3&amp;'Funnel setup'!$K$4&amp;'Funnel setup'!$K$5,".",IF(A5388=".",1,A5388+1))</f>
        <v>.</v>
      </c>
      <c r="B5389" s="431" t="str">
        <f t="shared" si="84"/>
        <v>Knee Replacement RevisionCCG of GP PracticeNHS HAVERING CCG (08F)EQ-5D Index</v>
      </c>
      <c r="C5389" t="s">
        <v>250</v>
      </c>
      <c r="D5389" t="s">
        <v>87</v>
      </c>
      <c r="E5389" t="s">
        <v>501</v>
      </c>
      <c r="F5389" t="s">
        <v>502</v>
      </c>
      <c r="G5389" t="s">
        <v>52</v>
      </c>
      <c r="H5389" t="s">
        <v>53</v>
      </c>
      <c r="I5389" t="s">
        <v>53</v>
      </c>
      <c r="J5389" t="s">
        <v>53</v>
      </c>
      <c r="K5389" t="s">
        <v>53</v>
      </c>
      <c r="L5389" t="s">
        <v>53</v>
      </c>
      <c r="M5389" t="s">
        <v>53</v>
      </c>
      <c r="N5389" t="s">
        <v>53</v>
      </c>
      <c r="O5389" t="s">
        <v>53</v>
      </c>
      <c r="P5389" t="s">
        <v>53</v>
      </c>
      <c r="Q5389" t="s">
        <v>53</v>
      </c>
    </row>
    <row r="5390" spans="1:17" x14ac:dyDescent="0.2">
      <c r="A5390" s="30" t="str">
        <f>IF(C5390&amp;G5390&amp;D5390&lt;&gt;'Funnel setup'!$K$3&amp;'Funnel setup'!$K$4&amp;'Funnel setup'!$K$5,".",IF(A5389=".",1,A5389+1))</f>
        <v>.</v>
      </c>
      <c r="B5390" s="431" t="str">
        <f t="shared" si="84"/>
        <v>Knee Replacement RevisionCCG of GP PracticeNHS HEREFORDSHIRE CCG (05F)EQ-5D Index</v>
      </c>
      <c r="C5390" t="s">
        <v>250</v>
      </c>
      <c r="D5390" t="s">
        <v>87</v>
      </c>
      <c r="E5390" t="s">
        <v>504</v>
      </c>
      <c r="F5390" t="s">
        <v>505</v>
      </c>
      <c r="G5390" t="s">
        <v>52</v>
      </c>
      <c r="H5390" t="s">
        <v>53</v>
      </c>
      <c r="I5390" t="s">
        <v>53</v>
      </c>
      <c r="J5390" t="s">
        <v>53</v>
      </c>
      <c r="K5390" t="s">
        <v>53</v>
      </c>
      <c r="L5390" t="s">
        <v>53</v>
      </c>
      <c r="M5390" t="s">
        <v>53</v>
      </c>
      <c r="N5390" t="s">
        <v>53</v>
      </c>
      <c r="O5390" t="s">
        <v>53</v>
      </c>
      <c r="P5390" t="s">
        <v>53</v>
      </c>
      <c r="Q5390" t="s">
        <v>53</v>
      </c>
    </row>
    <row r="5391" spans="1:17" x14ac:dyDescent="0.2">
      <c r="A5391" s="30" t="str">
        <f>IF(C5391&amp;G5391&amp;D5391&lt;&gt;'Funnel setup'!$K$3&amp;'Funnel setup'!$K$4&amp;'Funnel setup'!$K$5,".",IF(A5390=".",1,A5390+1))</f>
        <v>.</v>
      </c>
      <c r="B5391" s="431" t="str">
        <f t="shared" si="84"/>
        <v>Knee Replacement RevisionCCG of GP PracticeNHS HERTS VALLEYS CCG (06N)EQ-5D Index</v>
      </c>
      <c r="C5391" t="s">
        <v>250</v>
      </c>
      <c r="D5391" t="s">
        <v>87</v>
      </c>
      <c r="E5391" t="s">
        <v>507</v>
      </c>
      <c r="F5391" t="s">
        <v>508</v>
      </c>
      <c r="G5391" t="s">
        <v>52</v>
      </c>
      <c r="H5391">
        <v>14</v>
      </c>
      <c r="I5391">
        <v>0.10299999999999999</v>
      </c>
      <c r="J5391">
        <v>0.46100000000000002</v>
      </c>
      <c r="K5391">
        <v>0.35699999999999998</v>
      </c>
      <c r="L5391">
        <v>12</v>
      </c>
      <c r="M5391">
        <v>2</v>
      </c>
      <c r="N5391">
        <v>0</v>
      </c>
      <c r="O5391" t="s">
        <v>53</v>
      </c>
      <c r="P5391" t="s">
        <v>53</v>
      </c>
      <c r="Q5391" t="s">
        <v>53</v>
      </c>
    </row>
    <row r="5392" spans="1:17" x14ac:dyDescent="0.2">
      <c r="A5392" s="30" t="str">
        <f>IF(C5392&amp;G5392&amp;D5392&lt;&gt;'Funnel setup'!$K$3&amp;'Funnel setup'!$K$4&amp;'Funnel setup'!$K$5,".",IF(A5391=".",1,A5391+1))</f>
        <v>.</v>
      </c>
      <c r="B5392" s="431" t="str">
        <f t="shared" si="84"/>
        <v>Knee Replacement RevisionCCG of GP PracticeNHS HEYWOOD, MIDDLETON AND ROCHDALE CCG (01D)EQ-5D Index</v>
      </c>
      <c r="C5392" t="s">
        <v>250</v>
      </c>
      <c r="D5392" t="s">
        <v>87</v>
      </c>
      <c r="E5392" t="s">
        <v>510</v>
      </c>
      <c r="F5392" t="s">
        <v>511</v>
      </c>
      <c r="G5392" t="s">
        <v>52</v>
      </c>
      <c r="H5392" t="s">
        <v>53</v>
      </c>
      <c r="I5392" t="s">
        <v>53</v>
      </c>
      <c r="J5392" t="s">
        <v>53</v>
      </c>
      <c r="K5392" t="s">
        <v>53</v>
      </c>
      <c r="L5392" t="s">
        <v>53</v>
      </c>
      <c r="M5392" t="s">
        <v>53</v>
      </c>
      <c r="N5392" t="s">
        <v>53</v>
      </c>
      <c r="O5392" t="s">
        <v>53</v>
      </c>
      <c r="P5392" t="s">
        <v>53</v>
      </c>
      <c r="Q5392" t="s">
        <v>53</v>
      </c>
    </row>
    <row r="5393" spans="1:17" x14ac:dyDescent="0.2">
      <c r="A5393" s="30" t="str">
        <f>IF(C5393&amp;G5393&amp;D5393&lt;&gt;'Funnel setup'!$K$3&amp;'Funnel setup'!$K$4&amp;'Funnel setup'!$K$5,".",IF(A5392=".",1,A5392+1))</f>
        <v>.</v>
      </c>
      <c r="B5393" s="431" t="str">
        <f t="shared" si="84"/>
        <v>Knee Replacement RevisionCCG of GP PracticeNHS HIGH WEALD LEWES HAVENS CCG (99K)EQ-5D Index</v>
      </c>
      <c r="C5393" t="s">
        <v>250</v>
      </c>
      <c r="D5393" t="s">
        <v>87</v>
      </c>
      <c r="E5393" t="s">
        <v>513</v>
      </c>
      <c r="F5393" t="s">
        <v>514</v>
      </c>
      <c r="G5393" t="s">
        <v>52</v>
      </c>
      <c r="H5393">
        <v>12</v>
      </c>
      <c r="I5393">
        <v>0.47699999999999998</v>
      </c>
      <c r="J5393">
        <v>0.71699999999999997</v>
      </c>
      <c r="K5393">
        <v>0.24</v>
      </c>
      <c r="L5393">
        <v>10</v>
      </c>
      <c r="M5393">
        <v>1</v>
      </c>
      <c r="N5393">
        <v>1</v>
      </c>
      <c r="O5393" t="s">
        <v>53</v>
      </c>
      <c r="P5393" t="s">
        <v>53</v>
      </c>
      <c r="Q5393" t="s">
        <v>53</v>
      </c>
    </row>
    <row r="5394" spans="1:17" x14ac:dyDescent="0.2">
      <c r="A5394" s="30" t="str">
        <f>IF(C5394&amp;G5394&amp;D5394&lt;&gt;'Funnel setup'!$K$3&amp;'Funnel setup'!$K$4&amp;'Funnel setup'!$K$5,".",IF(A5393=".",1,A5393+1))</f>
        <v>.</v>
      </c>
      <c r="B5394" s="431" t="str">
        <f t="shared" si="84"/>
        <v>Knee Replacement RevisionCCG of GP PracticeNHS HILLINGDON CCG (08G)EQ-5D Index</v>
      </c>
      <c r="C5394" t="s">
        <v>250</v>
      </c>
      <c r="D5394" t="s">
        <v>87</v>
      </c>
      <c r="E5394" t="s">
        <v>516</v>
      </c>
      <c r="F5394" t="s">
        <v>517</v>
      </c>
      <c r="G5394" t="s">
        <v>52</v>
      </c>
      <c r="H5394" t="s">
        <v>53</v>
      </c>
      <c r="I5394" t="s">
        <v>53</v>
      </c>
      <c r="J5394" t="s">
        <v>53</v>
      </c>
      <c r="K5394" t="s">
        <v>53</v>
      </c>
      <c r="L5394" t="s">
        <v>53</v>
      </c>
      <c r="M5394" t="s">
        <v>53</v>
      </c>
      <c r="N5394" t="s">
        <v>53</v>
      </c>
      <c r="O5394" t="s">
        <v>53</v>
      </c>
      <c r="P5394" t="s">
        <v>53</v>
      </c>
      <c r="Q5394" t="s">
        <v>53</v>
      </c>
    </row>
    <row r="5395" spans="1:17" x14ac:dyDescent="0.2">
      <c r="A5395" s="30" t="str">
        <f>IF(C5395&amp;G5395&amp;D5395&lt;&gt;'Funnel setup'!$K$3&amp;'Funnel setup'!$K$4&amp;'Funnel setup'!$K$5,".",IF(A5394=".",1,A5394+1))</f>
        <v>.</v>
      </c>
      <c r="B5395" s="431" t="str">
        <f t="shared" si="84"/>
        <v>Knee Replacement RevisionCCG of GP PracticeNHS HORSHAM AND MID SUSSEX CCG (09X)EQ-5D Index</v>
      </c>
      <c r="C5395" t="s">
        <v>250</v>
      </c>
      <c r="D5395" t="s">
        <v>87</v>
      </c>
      <c r="E5395" t="s">
        <v>519</v>
      </c>
      <c r="F5395" t="s">
        <v>520</v>
      </c>
      <c r="G5395" t="s">
        <v>52</v>
      </c>
      <c r="H5395" t="s">
        <v>53</v>
      </c>
      <c r="I5395" t="s">
        <v>53</v>
      </c>
      <c r="J5395" t="s">
        <v>53</v>
      </c>
      <c r="K5395" t="s">
        <v>53</v>
      </c>
      <c r="L5395" t="s">
        <v>53</v>
      </c>
      <c r="M5395" t="s">
        <v>53</v>
      </c>
      <c r="N5395" t="s">
        <v>53</v>
      </c>
      <c r="O5395" t="s">
        <v>53</v>
      </c>
      <c r="P5395" t="s">
        <v>53</v>
      </c>
      <c r="Q5395" t="s">
        <v>53</v>
      </c>
    </row>
    <row r="5396" spans="1:17" x14ac:dyDescent="0.2">
      <c r="A5396" s="30" t="str">
        <f>IF(C5396&amp;G5396&amp;D5396&lt;&gt;'Funnel setup'!$K$3&amp;'Funnel setup'!$K$4&amp;'Funnel setup'!$K$5,".",IF(A5395=".",1,A5395+1))</f>
        <v>.</v>
      </c>
      <c r="B5396" s="431" t="str">
        <f t="shared" si="84"/>
        <v>Knee Replacement RevisionCCG of GP PracticeNHS HOUNSLOW CCG (07Y)EQ-5D Index</v>
      </c>
      <c r="C5396" t="s">
        <v>250</v>
      </c>
      <c r="D5396" t="s">
        <v>87</v>
      </c>
      <c r="E5396" t="s">
        <v>522</v>
      </c>
      <c r="F5396" t="s">
        <v>523</v>
      </c>
      <c r="G5396" t="s">
        <v>52</v>
      </c>
      <c r="H5396" t="s">
        <v>53</v>
      </c>
      <c r="I5396" t="s">
        <v>53</v>
      </c>
      <c r="J5396" t="s">
        <v>53</v>
      </c>
      <c r="K5396" t="s">
        <v>53</v>
      </c>
      <c r="L5396" t="s">
        <v>53</v>
      </c>
      <c r="M5396" t="s">
        <v>53</v>
      </c>
      <c r="N5396" t="s">
        <v>53</v>
      </c>
      <c r="O5396" t="s">
        <v>53</v>
      </c>
      <c r="P5396" t="s">
        <v>53</v>
      </c>
      <c r="Q5396" t="s">
        <v>53</v>
      </c>
    </row>
    <row r="5397" spans="1:17" x14ac:dyDescent="0.2">
      <c r="A5397" s="30" t="str">
        <f>IF(C5397&amp;G5397&amp;D5397&lt;&gt;'Funnel setup'!$K$3&amp;'Funnel setup'!$K$4&amp;'Funnel setup'!$K$5,".",IF(A5396=".",1,A5396+1))</f>
        <v>.</v>
      </c>
      <c r="B5397" s="431" t="str">
        <f t="shared" si="84"/>
        <v>Knee Replacement RevisionCCG of GP PracticeNHS HULL CCG (03F)EQ-5D Index</v>
      </c>
      <c r="C5397" t="s">
        <v>250</v>
      </c>
      <c r="D5397" t="s">
        <v>87</v>
      </c>
      <c r="E5397" t="s">
        <v>525</v>
      </c>
      <c r="F5397" t="s">
        <v>526</v>
      </c>
      <c r="G5397" t="s">
        <v>52</v>
      </c>
      <c r="H5397">
        <v>11</v>
      </c>
      <c r="I5397">
        <v>0.33200000000000002</v>
      </c>
      <c r="J5397">
        <v>0.44700000000000001</v>
      </c>
      <c r="K5397">
        <v>0.114</v>
      </c>
      <c r="L5397">
        <v>6</v>
      </c>
      <c r="M5397">
        <v>1</v>
      </c>
      <c r="N5397">
        <v>4</v>
      </c>
      <c r="O5397" t="s">
        <v>53</v>
      </c>
      <c r="P5397" t="s">
        <v>53</v>
      </c>
      <c r="Q5397" t="s">
        <v>53</v>
      </c>
    </row>
    <row r="5398" spans="1:17" x14ac:dyDescent="0.2">
      <c r="A5398" s="30" t="str">
        <f>IF(C5398&amp;G5398&amp;D5398&lt;&gt;'Funnel setup'!$K$3&amp;'Funnel setup'!$K$4&amp;'Funnel setup'!$K$5,".",IF(A5397=".",1,A5397+1))</f>
        <v>.</v>
      </c>
      <c r="B5398" s="431" t="str">
        <f t="shared" si="84"/>
        <v>Knee Replacement RevisionCCG of GP PracticeNHS IPSWICH AND EAST SUFFOLK CCG (06L)EQ-5D Index</v>
      </c>
      <c r="C5398" t="s">
        <v>250</v>
      </c>
      <c r="D5398" t="s">
        <v>87</v>
      </c>
      <c r="E5398" t="s">
        <v>528</v>
      </c>
      <c r="F5398" t="s">
        <v>529</v>
      </c>
      <c r="G5398" t="s">
        <v>52</v>
      </c>
      <c r="H5398" t="s">
        <v>53</v>
      </c>
      <c r="I5398" t="s">
        <v>53</v>
      </c>
      <c r="J5398" t="s">
        <v>53</v>
      </c>
      <c r="K5398" t="s">
        <v>53</v>
      </c>
      <c r="L5398" t="s">
        <v>53</v>
      </c>
      <c r="M5398" t="s">
        <v>53</v>
      </c>
      <c r="N5398" t="s">
        <v>53</v>
      </c>
      <c r="O5398" t="s">
        <v>53</v>
      </c>
      <c r="P5398" t="s">
        <v>53</v>
      </c>
      <c r="Q5398" t="s">
        <v>53</v>
      </c>
    </row>
    <row r="5399" spans="1:17" x14ac:dyDescent="0.2">
      <c r="A5399" s="30" t="str">
        <f>IF(C5399&amp;G5399&amp;D5399&lt;&gt;'Funnel setup'!$K$3&amp;'Funnel setup'!$K$4&amp;'Funnel setup'!$K$5,".",IF(A5398=".",1,A5398+1))</f>
        <v>.</v>
      </c>
      <c r="B5399" s="431" t="str">
        <f t="shared" si="84"/>
        <v>Knee Replacement RevisionCCG of GP PracticeNHS ISLE OF WIGHT CCG (10L)EQ-5D Index</v>
      </c>
      <c r="C5399" t="s">
        <v>250</v>
      </c>
      <c r="D5399" t="s">
        <v>87</v>
      </c>
      <c r="E5399" t="s">
        <v>531</v>
      </c>
      <c r="F5399" t="s">
        <v>532</v>
      </c>
      <c r="G5399" t="s">
        <v>52</v>
      </c>
      <c r="H5399" t="s">
        <v>53</v>
      </c>
      <c r="I5399" t="s">
        <v>53</v>
      </c>
      <c r="J5399" t="s">
        <v>53</v>
      </c>
      <c r="K5399" t="s">
        <v>53</v>
      </c>
      <c r="L5399" t="s">
        <v>53</v>
      </c>
      <c r="M5399" t="s">
        <v>53</v>
      </c>
      <c r="N5399" t="s">
        <v>53</v>
      </c>
      <c r="O5399" t="s">
        <v>53</v>
      </c>
      <c r="P5399" t="s">
        <v>53</v>
      </c>
      <c r="Q5399" t="s">
        <v>53</v>
      </c>
    </row>
    <row r="5400" spans="1:17" x14ac:dyDescent="0.2">
      <c r="A5400" s="30" t="str">
        <f>IF(C5400&amp;G5400&amp;D5400&lt;&gt;'Funnel setup'!$K$3&amp;'Funnel setup'!$K$4&amp;'Funnel setup'!$K$5,".",IF(A5399=".",1,A5399+1))</f>
        <v>.</v>
      </c>
      <c r="B5400" s="431" t="str">
        <f t="shared" si="84"/>
        <v>Knee Replacement RevisionCCG of GP PracticeNHS ISLINGTON CCG (08H)EQ-5D Index</v>
      </c>
      <c r="C5400" t="s">
        <v>250</v>
      </c>
      <c r="D5400" t="s">
        <v>87</v>
      </c>
      <c r="E5400" t="s">
        <v>534</v>
      </c>
      <c r="F5400" t="s">
        <v>535</v>
      </c>
      <c r="G5400" t="s">
        <v>52</v>
      </c>
      <c r="H5400" t="s">
        <v>53</v>
      </c>
      <c r="I5400" t="s">
        <v>53</v>
      </c>
      <c r="J5400" t="s">
        <v>53</v>
      </c>
      <c r="K5400" t="s">
        <v>53</v>
      </c>
      <c r="L5400" t="s">
        <v>53</v>
      </c>
      <c r="M5400" t="s">
        <v>53</v>
      </c>
      <c r="N5400" t="s">
        <v>53</v>
      </c>
      <c r="O5400" t="s">
        <v>53</v>
      </c>
      <c r="P5400" t="s">
        <v>53</v>
      </c>
      <c r="Q5400" t="s">
        <v>53</v>
      </c>
    </row>
    <row r="5401" spans="1:17" x14ac:dyDescent="0.2">
      <c r="A5401" s="30" t="str">
        <f>IF(C5401&amp;G5401&amp;D5401&lt;&gt;'Funnel setup'!$K$3&amp;'Funnel setup'!$K$4&amp;'Funnel setup'!$K$5,".",IF(A5400=".",1,A5400+1))</f>
        <v>.</v>
      </c>
      <c r="B5401" s="431" t="str">
        <f t="shared" si="84"/>
        <v>Knee Replacement RevisionCCG of GP PracticeNHS KERNOW CCG (11N)EQ-5D Index</v>
      </c>
      <c r="C5401" t="s">
        <v>250</v>
      </c>
      <c r="D5401" t="s">
        <v>87</v>
      </c>
      <c r="E5401" t="s">
        <v>537</v>
      </c>
      <c r="F5401" t="s">
        <v>538</v>
      </c>
      <c r="G5401" t="s">
        <v>52</v>
      </c>
      <c r="H5401">
        <v>36</v>
      </c>
      <c r="I5401">
        <v>0.41699999999999998</v>
      </c>
      <c r="J5401">
        <v>0.63</v>
      </c>
      <c r="K5401">
        <v>0.21199999999999999</v>
      </c>
      <c r="L5401">
        <v>20</v>
      </c>
      <c r="M5401">
        <v>10</v>
      </c>
      <c r="N5401">
        <v>6</v>
      </c>
      <c r="O5401">
        <v>0.622</v>
      </c>
      <c r="P5401">
        <v>0.29030041699999998</v>
      </c>
      <c r="Q5401">
        <v>0.23799999999999999</v>
      </c>
    </row>
    <row r="5402" spans="1:17" x14ac:dyDescent="0.2">
      <c r="A5402" s="30" t="str">
        <f>IF(C5402&amp;G5402&amp;D5402&lt;&gt;'Funnel setup'!$K$3&amp;'Funnel setup'!$K$4&amp;'Funnel setup'!$K$5,".",IF(A5401=".",1,A5401+1))</f>
        <v>.</v>
      </c>
      <c r="B5402" s="431" t="str">
        <f t="shared" si="84"/>
        <v>Knee Replacement RevisionCCG of GP PracticeNHS KINGSTON CCG (08J)EQ-5D Index</v>
      </c>
      <c r="C5402" t="s">
        <v>250</v>
      </c>
      <c r="D5402" t="s">
        <v>87</v>
      </c>
      <c r="E5402" t="s">
        <v>540</v>
      </c>
      <c r="F5402" t="s">
        <v>541</v>
      </c>
      <c r="G5402" t="s">
        <v>52</v>
      </c>
      <c r="H5402" t="s">
        <v>53</v>
      </c>
      <c r="I5402" t="s">
        <v>53</v>
      </c>
      <c r="J5402" t="s">
        <v>53</v>
      </c>
      <c r="K5402" t="s">
        <v>53</v>
      </c>
      <c r="L5402" t="s">
        <v>53</v>
      </c>
      <c r="M5402" t="s">
        <v>53</v>
      </c>
      <c r="N5402" t="s">
        <v>53</v>
      </c>
      <c r="O5402" t="s">
        <v>53</v>
      </c>
      <c r="P5402" t="s">
        <v>53</v>
      </c>
      <c r="Q5402" t="s">
        <v>53</v>
      </c>
    </row>
    <row r="5403" spans="1:17" x14ac:dyDescent="0.2">
      <c r="A5403" s="30" t="str">
        <f>IF(C5403&amp;G5403&amp;D5403&lt;&gt;'Funnel setup'!$K$3&amp;'Funnel setup'!$K$4&amp;'Funnel setup'!$K$5,".",IF(A5402=".",1,A5402+1))</f>
        <v>.</v>
      </c>
      <c r="B5403" s="431" t="str">
        <f t="shared" si="84"/>
        <v>Knee Replacement RevisionCCG of GP PracticeNHS KNOWSLEY CCG (01J)EQ-5D Index</v>
      </c>
      <c r="C5403" t="s">
        <v>250</v>
      </c>
      <c r="D5403" t="s">
        <v>87</v>
      </c>
      <c r="E5403" t="s">
        <v>543</v>
      </c>
      <c r="F5403" t="s">
        <v>544</v>
      </c>
      <c r="G5403" t="s">
        <v>52</v>
      </c>
      <c r="H5403" t="s">
        <v>53</v>
      </c>
      <c r="I5403" t="s">
        <v>53</v>
      </c>
      <c r="J5403" t="s">
        <v>53</v>
      </c>
      <c r="K5403" t="s">
        <v>53</v>
      </c>
      <c r="L5403" t="s">
        <v>53</v>
      </c>
      <c r="M5403" t="s">
        <v>53</v>
      </c>
      <c r="N5403" t="s">
        <v>53</v>
      </c>
      <c r="O5403" t="s">
        <v>53</v>
      </c>
      <c r="P5403" t="s">
        <v>53</v>
      </c>
      <c r="Q5403" t="s">
        <v>53</v>
      </c>
    </row>
    <row r="5404" spans="1:17" x14ac:dyDescent="0.2">
      <c r="A5404" s="30" t="str">
        <f>IF(C5404&amp;G5404&amp;D5404&lt;&gt;'Funnel setup'!$K$3&amp;'Funnel setup'!$K$4&amp;'Funnel setup'!$K$5,".",IF(A5403=".",1,A5403+1))</f>
        <v>.</v>
      </c>
      <c r="B5404" s="431" t="str">
        <f t="shared" si="84"/>
        <v>Knee Replacement RevisionCCG of GP PracticeNHS LAMBETH CCG (08K)EQ-5D Index</v>
      </c>
      <c r="C5404" t="s">
        <v>250</v>
      </c>
      <c r="D5404" t="s">
        <v>87</v>
      </c>
      <c r="E5404" t="s">
        <v>546</v>
      </c>
      <c r="F5404" t="s">
        <v>547</v>
      </c>
      <c r="G5404" t="s">
        <v>52</v>
      </c>
      <c r="H5404" t="s">
        <v>53</v>
      </c>
      <c r="I5404" t="s">
        <v>53</v>
      </c>
      <c r="J5404" t="s">
        <v>53</v>
      </c>
      <c r="K5404" t="s">
        <v>53</v>
      </c>
      <c r="L5404" t="s">
        <v>53</v>
      </c>
      <c r="M5404" t="s">
        <v>53</v>
      </c>
      <c r="N5404" t="s">
        <v>53</v>
      </c>
      <c r="O5404" t="s">
        <v>53</v>
      </c>
      <c r="P5404" t="s">
        <v>53</v>
      </c>
      <c r="Q5404" t="s">
        <v>53</v>
      </c>
    </row>
    <row r="5405" spans="1:17" x14ac:dyDescent="0.2">
      <c r="A5405" s="30" t="str">
        <f>IF(C5405&amp;G5405&amp;D5405&lt;&gt;'Funnel setup'!$K$3&amp;'Funnel setup'!$K$4&amp;'Funnel setup'!$K$5,".",IF(A5404=".",1,A5404+1))</f>
        <v>.</v>
      </c>
      <c r="B5405" s="431" t="str">
        <f t="shared" si="84"/>
        <v>Knee Replacement RevisionCCG of GP PracticeNHS LANCASHIRE NORTH CCG (01K)EQ-5D Index</v>
      </c>
      <c r="C5405" t="s">
        <v>250</v>
      </c>
      <c r="D5405" t="s">
        <v>87</v>
      </c>
      <c r="E5405" t="s">
        <v>549</v>
      </c>
      <c r="F5405" t="s">
        <v>550</v>
      </c>
      <c r="G5405" t="s">
        <v>52</v>
      </c>
      <c r="H5405" t="s">
        <v>53</v>
      </c>
      <c r="I5405" t="s">
        <v>53</v>
      </c>
      <c r="J5405" t="s">
        <v>53</v>
      </c>
      <c r="K5405" t="s">
        <v>53</v>
      </c>
      <c r="L5405" t="s">
        <v>53</v>
      </c>
      <c r="M5405" t="s">
        <v>53</v>
      </c>
      <c r="N5405" t="s">
        <v>53</v>
      </c>
      <c r="O5405" t="s">
        <v>53</v>
      </c>
      <c r="P5405" t="s">
        <v>53</v>
      </c>
      <c r="Q5405" t="s">
        <v>53</v>
      </c>
    </row>
    <row r="5406" spans="1:17" x14ac:dyDescent="0.2">
      <c r="A5406" s="30" t="str">
        <f>IF(C5406&amp;G5406&amp;D5406&lt;&gt;'Funnel setup'!$K$3&amp;'Funnel setup'!$K$4&amp;'Funnel setup'!$K$5,".",IF(A5405=".",1,A5405+1))</f>
        <v>.</v>
      </c>
      <c r="B5406" s="431" t="str">
        <f t="shared" si="84"/>
        <v>Knee Replacement RevisionCCG of GP PracticeNHS LEEDS NORTH CCG (02V)EQ-5D Index</v>
      </c>
      <c r="C5406" t="s">
        <v>250</v>
      </c>
      <c r="D5406" t="s">
        <v>87</v>
      </c>
      <c r="E5406" t="s">
        <v>552</v>
      </c>
      <c r="F5406" t="s">
        <v>337</v>
      </c>
      <c r="G5406" t="s">
        <v>52</v>
      </c>
      <c r="H5406">
        <v>6</v>
      </c>
      <c r="I5406">
        <v>0.56200000000000006</v>
      </c>
      <c r="J5406">
        <v>0.79800000000000004</v>
      </c>
      <c r="K5406">
        <v>0.23699999999999999</v>
      </c>
      <c r="L5406">
        <v>6</v>
      </c>
      <c r="M5406">
        <v>0</v>
      </c>
      <c r="N5406">
        <v>0</v>
      </c>
      <c r="O5406" t="s">
        <v>53</v>
      </c>
      <c r="P5406" t="s">
        <v>53</v>
      </c>
      <c r="Q5406" t="s">
        <v>53</v>
      </c>
    </row>
    <row r="5407" spans="1:17" x14ac:dyDescent="0.2">
      <c r="A5407" s="30" t="str">
        <f>IF(C5407&amp;G5407&amp;D5407&lt;&gt;'Funnel setup'!$K$3&amp;'Funnel setup'!$K$4&amp;'Funnel setup'!$K$5,".",IF(A5406=".",1,A5406+1))</f>
        <v>.</v>
      </c>
      <c r="B5407" s="431" t="str">
        <f t="shared" si="84"/>
        <v>Knee Replacement RevisionCCG of GP PracticeNHS LEEDS SOUTH AND EAST CCG (03G)EQ-5D Index</v>
      </c>
      <c r="C5407" t="s">
        <v>250</v>
      </c>
      <c r="D5407" t="s">
        <v>87</v>
      </c>
      <c r="E5407" t="s">
        <v>396</v>
      </c>
      <c r="F5407" t="s">
        <v>397</v>
      </c>
      <c r="G5407" t="s">
        <v>52</v>
      </c>
      <c r="H5407" t="s">
        <v>53</v>
      </c>
      <c r="I5407" t="s">
        <v>53</v>
      </c>
      <c r="J5407" t="s">
        <v>53</v>
      </c>
      <c r="K5407" t="s">
        <v>53</v>
      </c>
      <c r="L5407" t="s">
        <v>53</v>
      </c>
      <c r="M5407" t="s">
        <v>53</v>
      </c>
      <c r="N5407" t="s">
        <v>53</v>
      </c>
      <c r="O5407" t="s">
        <v>53</v>
      </c>
      <c r="P5407" t="s">
        <v>53</v>
      </c>
      <c r="Q5407" t="s">
        <v>53</v>
      </c>
    </row>
    <row r="5408" spans="1:17" x14ac:dyDescent="0.2">
      <c r="A5408" s="30" t="str">
        <f>IF(C5408&amp;G5408&amp;D5408&lt;&gt;'Funnel setup'!$K$3&amp;'Funnel setup'!$K$4&amp;'Funnel setup'!$K$5,".",IF(A5407=".",1,A5407+1))</f>
        <v>.</v>
      </c>
      <c r="B5408" s="431" t="str">
        <f t="shared" si="84"/>
        <v>Knee Replacement RevisionCCG of GP PracticeNHS LEEDS WEST CCG (03C)EQ-5D Index</v>
      </c>
      <c r="C5408" t="s">
        <v>250</v>
      </c>
      <c r="D5408" t="s">
        <v>87</v>
      </c>
      <c r="E5408" t="s">
        <v>399</v>
      </c>
      <c r="F5408" t="s">
        <v>400</v>
      </c>
      <c r="G5408" t="s">
        <v>52</v>
      </c>
      <c r="H5408">
        <v>10</v>
      </c>
      <c r="I5408">
        <v>0.29499999999999998</v>
      </c>
      <c r="J5408">
        <v>0.67500000000000004</v>
      </c>
      <c r="K5408">
        <v>0.38</v>
      </c>
      <c r="L5408">
        <v>8</v>
      </c>
      <c r="M5408">
        <v>1</v>
      </c>
      <c r="N5408">
        <v>1</v>
      </c>
      <c r="O5408" t="s">
        <v>53</v>
      </c>
      <c r="P5408" t="s">
        <v>53</v>
      </c>
      <c r="Q5408" t="s">
        <v>53</v>
      </c>
    </row>
    <row r="5409" spans="1:17" x14ac:dyDescent="0.2">
      <c r="A5409" s="30" t="str">
        <f>IF(C5409&amp;G5409&amp;D5409&lt;&gt;'Funnel setup'!$K$3&amp;'Funnel setup'!$K$4&amp;'Funnel setup'!$K$5,".",IF(A5408=".",1,A5408+1))</f>
        <v>.</v>
      </c>
      <c r="B5409" s="431" t="str">
        <f t="shared" si="84"/>
        <v>Knee Replacement RevisionCCG of GP PracticeNHS LEICESTER CITY CCG (04C)EQ-5D Index</v>
      </c>
      <c r="C5409" t="s">
        <v>250</v>
      </c>
      <c r="D5409" t="s">
        <v>87</v>
      </c>
      <c r="E5409" t="s">
        <v>554</v>
      </c>
      <c r="F5409" t="s">
        <v>555</v>
      </c>
      <c r="G5409" t="s">
        <v>52</v>
      </c>
      <c r="H5409">
        <v>8</v>
      </c>
      <c r="I5409">
        <v>0.17499999999999999</v>
      </c>
      <c r="J5409">
        <v>0.52200000000000002</v>
      </c>
      <c r="K5409">
        <v>0.34699999999999998</v>
      </c>
      <c r="L5409">
        <v>5</v>
      </c>
      <c r="M5409">
        <v>1</v>
      </c>
      <c r="N5409">
        <v>2</v>
      </c>
      <c r="O5409" t="s">
        <v>53</v>
      </c>
      <c r="P5409" t="s">
        <v>53</v>
      </c>
      <c r="Q5409" t="s">
        <v>53</v>
      </c>
    </row>
    <row r="5410" spans="1:17" x14ac:dyDescent="0.2">
      <c r="A5410" s="30" t="str">
        <f>IF(C5410&amp;G5410&amp;D5410&lt;&gt;'Funnel setup'!$K$3&amp;'Funnel setup'!$K$4&amp;'Funnel setup'!$K$5,".",IF(A5409=".",1,A5409+1))</f>
        <v>.</v>
      </c>
      <c r="B5410" s="431" t="str">
        <f t="shared" si="84"/>
        <v>Knee Replacement RevisionCCG of GP PracticeNHS LEWISHAM CCG (08L)EQ-5D Index</v>
      </c>
      <c r="C5410" t="s">
        <v>250</v>
      </c>
      <c r="D5410" t="s">
        <v>87</v>
      </c>
      <c r="E5410" t="s">
        <v>557</v>
      </c>
      <c r="F5410" t="s">
        <v>558</v>
      </c>
      <c r="G5410" t="s">
        <v>52</v>
      </c>
      <c r="H5410" t="s">
        <v>53</v>
      </c>
      <c r="I5410" t="s">
        <v>53</v>
      </c>
      <c r="J5410" t="s">
        <v>53</v>
      </c>
      <c r="K5410" t="s">
        <v>53</v>
      </c>
      <c r="L5410" t="s">
        <v>53</v>
      </c>
      <c r="M5410" t="s">
        <v>53</v>
      </c>
      <c r="N5410" t="s">
        <v>53</v>
      </c>
      <c r="O5410" t="s">
        <v>53</v>
      </c>
      <c r="P5410" t="s">
        <v>53</v>
      </c>
      <c r="Q5410" t="s">
        <v>53</v>
      </c>
    </row>
    <row r="5411" spans="1:17" x14ac:dyDescent="0.2">
      <c r="A5411" s="30" t="str">
        <f>IF(C5411&amp;G5411&amp;D5411&lt;&gt;'Funnel setup'!$K$3&amp;'Funnel setup'!$K$4&amp;'Funnel setup'!$K$5,".",IF(A5410=".",1,A5410+1))</f>
        <v>.</v>
      </c>
      <c r="B5411" s="431" t="str">
        <f t="shared" si="84"/>
        <v>Knee Replacement RevisionCCG of GP PracticeNHS LINCOLNSHIRE EAST CCG (03T)EQ-5D Index</v>
      </c>
      <c r="C5411" t="s">
        <v>250</v>
      </c>
      <c r="D5411" t="s">
        <v>87</v>
      </c>
      <c r="E5411" t="s">
        <v>560</v>
      </c>
      <c r="F5411" t="s">
        <v>561</v>
      </c>
      <c r="G5411" t="s">
        <v>52</v>
      </c>
      <c r="H5411" t="s">
        <v>53</v>
      </c>
      <c r="I5411" t="s">
        <v>53</v>
      </c>
      <c r="J5411" t="s">
        <v>53</v>
      </c>
      <c r="K5411" t="s">
        <v>53</v>
      </c>
      <c r="L5411" t="s">
        <v>53</v>
      </c>
      <c r="M5411" t="s">
        <v>53</v>
      </c>
      <c r="N5411" t="s">
        <v>53</v>
      </c>
      <c r="O5411" t="s">
        <v>53</v>
      </c>
      <c r="P5411" t="s">
        <v>53</v>
      </c>
      <c r="Q5411" t="s">
        <v>53</v>
      </c>
    </row>
    <row r="5412" spans="1:17" x14ac:dyDescent="0.2">
      <c r="A5412" s="30" t="str">
        <f>IF(C5412&amp;G5412&amp;D5412&lt;&gt;'Funnel setup'!$K$3&amp;'Funnel setup'!$K$4&amp;'Funnel setup'!$K$5,".",IF(A5411=".",1,A5411+1))</f>
        <v>.</v>
      </c>
      <c r="B5412" s="431" t="str">
        <f t="shared" si="84"/>
        <v>Knee Replacement RevisionCCG of GP PracticeNHS LINCOLNSHIRE WEST CCG (04D)EQ-5D Index</v>
      </c>
      <c r="C5412" t="s">
        <v>250</v>
      </c>
      <c r="D5412" t="s">
        <v>87</v>
      </c>
      <c r="E5412" t="s">
        <v>408</v>
      </c>
      <c r="F5412" t="s">
        <v>409</v>
      </c>
      <c r="G5412" t="s">
        <v>52</v>
      </c>
      <c r="H5412">
        <v>13</v>
      </c>
      <c r="I5412">
        <v>0.30099999999999999</v>
      </c>
      <c r="J5412">
        <v>0.52100000000000002</v>
      </c>
      <c r="K5412">
        <v>0.22</v>
      </c>
      <c r="L5412">
        <v>9</v>
      </c>
      <c r="M5412">
        <v>1</v>
      </c>
      <c r="N5412">
        <v>3</v>
      </c>
      <c r="O5412" t="s">
        <v>53</v>
      </c>
      <c r="P5412" t="s">
        <v>53</v>
      </c>
      <c r="Q5412" t="s">
        <v>53</v>
      </c>
    </row>
    <row r="5413" spans="1:17" x14ac:dyDescent="0.2">
      <c r="A5413" s="30" t="str">
        <f>IF(C5413&amp;G5413&amp;D5413&lt;&gt;'Funnel setup'!$K$3&amp;'Funnel setup'!$K$4&amp;'Funnel setup'!$K$5,".",IF(A5412=".",1,A5412+1))</f>
        <v>.</v>
      </c>
      <c r="B5413" s="431" t="str">
        <f t="shared" si="84"/>
        <v>Knee Replacement RevisionCCG of GP PracticeNHS LIVERPOOL CCG (99A)EQ-5D Index</v>
      </c>
      <c r="C5413" t="s">
        <v>250</v>
      </c>
      <c r="D5413" t="s">
        <v>87</v>
      </c>
      <c r="E5413" t="s">
        <v>411</v>
      </c>
      <c r="F5413" t="s">
        <v>412</v>
      </c>
      <c r="G5413" t="s">
        <v>52</v>
      </c>
      <c r="H5413" t="s">
        <v>53</v>
      </c>
      <c r="I5413" t="s">
        <v>53</v>
      </c>
      <c r="J5413" t="s">
        <v>53</v>
      </c>
      <c r="K5413" t="s">
        <v>53</v>
      </c>
      <c r="L5413" t="s">
        <v>53</v>
      </c>
      <c r="M5413" t="s">
        <v>53</v>
      </c>
      <c r="N5413" t="s">
        <v>53</v>
      </c>
      <c r="O5413" t="s">
        <v>53</v>
      </c>
      <c r="P5413" t="s">
        <v>53</v>
      </c>
      <c r="Q5413" t="s">
        <v>53</v>
      </c>
    </row>
    <row r="5414" spans="1:17" x14ac:dyDescent="0.2">
      <c r="A5414" s="30" t="str">
        <f>IF(C5414&amp;G5414&amp;D5414&lt;&gt;'Funnel setup'!$K$3&amp;'Funnel setup'!$K$4&amp;'Funnel setup'!$K$5,".",IF(A5413=".",1,A5413+1))</f>
        <v>.</v>
      </c>
      <c r="B5414" s="431" t="str">
        <f t="shared" si="84"/>
        <v>Knee Replacement RevisionCCG of GP PracticeNHS LUTON CCG (06P)EQ-5D Index</v>
      </c>
      <c r="C5414" t="s">
        <v>250</v>
      </c>
      <c r="D5414" t="s">
        <v>87</v>
      </c>
      <c r="E5414" t="s">
        <v>414</v>
      </c>
      <c r="F5414" t="s">
        <v>415</v>
      </c>
      <c r="G5414" t="s">
        <v>52</v>
      </c>
      <c r="H5414" t="s">
        <v>53</v>
      </c>
      <c r="I5414" t="s">
        <v>53</v>
      </c>
      <c r="J5414" t="s">
        <v>53</v>
      </c>
      <c r="K5414" t="s">
        <v>53</v>
      </c>
      <c r="L5414" t="s">
        <v>53</v>
      </c>
      <c r="M5414" t="s">
        <v>53</v>
      </c>
      <c r="N5414" t="s">
        <v>53</v>
      </c>
      <c r="O5414" t="s">
        <v>53</v>
      </c>
      <c r="P5414" t="s">
        <v>53</v>
      </c>
      <c r="Q5414" t="s">
        <v>53</v>
      </c>
    </row>
    <row r="5415" spans="1:17" x14ac:dyDescent="0.2">
      <c r="A5415" s="30" t="str">
        <f>IF(C5415&amp;G5415&amp;D5415&lt;&gt;'Funnel setup'!$K$3&amp;'Funnel setup'!$K$4&amp;'Funnel setup'!$K$5,".",IF(A5414=".",1,A5414+1))</f>
        <v>.</v>
      </c>
      <c r="B5415" s="431" t="str">
        <f t="shared" si="84"/>
        <v>Knee Replacement RevisionCCG of GP PracticeNHS MANSFIELD AND ASHFIELD CCG (04E)EQ-5D Index</v>
      </c>
      <c r="C5415" t="s">
        <v>250</v>
      </c>
      <c r="D5415" t="s">
        <v>87</v>
      </c>
      <c r="E5415" t="s">
        <v>417</v>
      </c>
      <c r="F5415" t="s">
        <v>418</v>
      </c>
      <c r="G5415" t="s">
        <v>52</v>
      </c>
      <c r="H5415">
        <v>11</v>
      </c>
      <c r="I5415">
        <v>0.14799999999999999</v>
      </c>
      <c r="J5415">
        <v>0.69099999999999995</v>
      </c>
      <c r="K5415">
        <v>0.54200000000000004</v>
      </c>
      <c r="L5415">
        <v>11</v>
      </c>
      <c r="M5415">
        <v>0</v>
      </c>
      <c r="N5415">
        <v>0</v>
      </c>
      <c r="O5415" t="s">
        <v>53</v>
      </c>
      <c r="P5415" t="s">
        <v>53</v>
      </c>
      <c r="Q5415" t="s">
        <v>53</v>
      </c>
    </row>
    <row r="5416" spans="1:17" x14ac:dyDescent="0.2">
      <c r="A5416" s="30" t="str">
        <f>IF(C5416&amp;G5416&amp;D5416&lt;&gt;'Funnel setup'!$K$3&amp;'Funnel setup'!$K$4&amp;'Funnel setup'!$K$5,".",IF(A5415=".",1,A5415+1))</f>
        <v>.</v>
      </c>
      <c r="B5416" s="431" t="str">
        <f t="shared" si="84"/>
        <v>Knee Replacement RevisionCCG of GP PracticeNHS MEDWAY CCG (09W)EQ-5D Index</v>
      </c>
      <c r="C5416" t="s">
        <v>250</v>
      </c>
      <c r="D5416" t="s">
        <v>87</v>
      </c>
      <c r="E5416" t="s">
        <v>610</v>
      </c>
      <c r="F5416" t="s">
        <v>611</v>
      </c>
      <c r="G5416" t="s">
        <v>52</v>
      </c>
      <c r="H5416" t="s">
        <v>53</v>
      </c>
      <c r="I5416" t="s">
        <v>53</v>
      </c>
      <c r="J5416" t="s">
        <v>53</v>
      </c>
      <c r="K5416" t="s">
        <v>53</v>
      </c>
      <c r="L5416" t="s">
        <v>53</v>
      </c>
      <c r="M5416" t="s">
        <v>53</v>
      </c>
      <c r="N5416" t="s">
        <v>53</v>
      </c>
      <c r="O5416" t="s">
        <v>53</v>
      </c>
      <c r="P5416" t="s">
        <v>53</v>
      </c>
      <c r="Q5416" t="s">
        <v>53</v>
      </c>
    </row>
    <row r="5417" spans="1:17" x14ac:dyDescent="0.2">
      <c r="A5417" s="30" t="str">
        <f>IF(C5417&amp;G5417&amp;D5417&lt;&gt;'Funnel setup'!$K$3&amp;'Funnel setup'!$K$4&amp;'Funnel setup'!$K$5,".",IF(A5416=".",1,A5416+1))</f>
        <v>.</v>
      </c>
      <c r="B5417" s="431" t="str">
        <f t="shared" si="84"/>
        <v>Knee Replacement RevisionCCG of GP PracticeNHS MERTON CCG (08R)EQ-5D Index</v>
      </c>
      <c r="C5417" t="s">
        <v>250</v>
      </c>
      <c r="D5417" t="s">
        <v>87</v>
      </c>
      <c r="E5417" t="s">
        <v>613</v>
      </c>
      <c r="F5417" t="s">
        <v>614</v>
      </c>
      <c r="G5417" t="s">
        <v>52</v>
      </c>
      <c r="H5417" t="s">
        <v>53</v>
      </c>
      <c r="I5417" t="s">
        <v>53</v>
      </c>
      <c r="J5417" t="s">
        <v>53</v>
      </c>
      <c r="K5417" t="s">
        <v>53</v>
      </c>
      <c r="L5417" t="s">
        <v>53</v>
      </c>
      <c r="M5417" t="s">
        <v>53</v>
      </c>
      <c r="N5417" t="s">
        <v>53</v>
      </c>
      <c r="O5417" t="s">
        <v>53</v>
      </c>
      <c r="P5417" t="s">
        <v>53</v>
      </c>
      <c r="Q5417" t="s">
        <v>53</v>
      </c>
    </row>
    <row r="5418" spans="1:17" x14ac:dyDescent="0.2">
      <c r="A5418" s="30" t="str">
        <f>IF(C5418&amp;G5418&amp;D5418&lt;&gt;'Funnel setup'!$K$3&amp;'Funnel setup'!$K$4&amp;'Funnel setup'!$K$5,".",IF(A5417=".",1,A5417+1))</f>
        <v>.</v>
      </c>
      <c r="B5418" s="431" t="str">
        <f t="shared" si="84"/>
        <v>Knee Replacement RevisionCCG of GP PracticeNHS MID ESSEX CCG (06Q)EQ-5D Index</v>
      </c>
      <c r="C5418" t="s">
        <v>250</v>
      </c>
      <c r="D5418" t="s">
        <v>87</v>
      </c>
      <c r="E5418" t="s">
        <v>616</v>
      </c>
      <c r="F5418" t="s">
        <v>617</v>
      </c>
      <c r="G5418" t="s">
        <v>52</v>
      </c>
      <c r="H5418">
        <v>8</v>
      </c>
      <c r="I5418">
        <v>0.27200000000000002</v>
      </c>
      <c r="J5418">
        <v>0.28299999999999997</v>
      </c>
      <c r="K5418">
        <v>1.0999999999999999E-2</v>
      </c>
      <c r="L5418">
        <v>5</v>
      </c>
      <c r="M5418">
        <v>1</v>
      </c>
      <c r="N5418">
        <v>2</v>
      </c>
      <c r="O5418" t="s">
        <v>53</v>
      </c>
      <c r="P5418" t="s">
        <v>53</v>
      </c>
      <c r="Q5418" t="s">
        <v>53</v>
      </c>
    </row>
    <row r="5419" spans="1:17" x14ac:dyDescent="0.2">
      <c r="A5419" s="30" t="str">
        <f>IF(C5419&amp;G5419&amp;D5419&lt;&gt;'Funnel setup'!$K$3&amp;'Funnel setup'!$K$4&amp;'Funnel setup'!$K$5,".",IF(A5418=".",1,A5418+1))</f>
        <v>.</v>
      </c>
      <c r="B5419" s="431" t="str">
        <f t="shared" si="84"/>
        <v>Knee Replacement RevisionCCG of GP PracticeNHS MILTON KEYNES CCG (04F)EQ-5D Index</v>
      </c>
      <c r="C5419" t="s">
        <v>250</v>
      </c>
      <c r="D5419" t="s">
        <v>87</v>
      </c>
      <c r="E5419" t="s">
        <v>619</v>
      </c>
      <c r="F5419" t="s">
        <v>338</v>
      </c>
      <c r="G5419" t="s">
        <v>52</v>
      </c>
      <c r="H5419">
        <v>11</v>
      </c>
      <c r="I5419">
        <v>0.184</v>
      </c>
      <c r="J5419">
        <v>0.60699999999999998</v>
      </c>
      <c r="K5419">
        <v>0.42299999999999999</v>
      </c>
      <c r="L5419">
        <v>8</v>
      </c>
      <c r="M5419">
        <v>0</v>
      </c>
      <c r="N5419">
        <v>3</v>
      </c>
      <c r="O5419" t="s">
        <v>53</v>
      </c>
      <c r="P5419" t="s">
        <v>53</v>
      </c>
      <c r="Q5419" t="s">
        <v>53</v>
      </c>
    </row>
    <row r="5420" spans="1:17" x14ac:dyDescent="0.2">
      <c r="A5420" s="30" t="str">
        <f>IF(C5420&amp;G5420&amp;D5420&lt;&gt;'Funnel setup'!$K$3&amp;'Funnel setup'!$K$4&amp;'Funnel setup'!$K$5,".",IF(A5419=".",1,A5419+1))</f>
        <v>.</v>
      </c>
      <c r="B5420" s="431" t="str">
        <f t="shared" si="84"/>
        <v>Knee Replacement RevisionCCG of GP PracticeNHS NENE CCG (04G)EQ-5D Index</v>
      </c>
      <c r="C5420" t="s">
        <v>250</v>
      </c>
      <c r="D5420" t="s">
        <v>87</v>
      </c>
      <c r="E5420" t="s">
        <v>621</v>
      </c>
      <c r="F5420" t="s">
        <v>622</v>
      </c>
      <c r="G5420" t="s">
        <v>52</v>
      </c>
      <c r="H5420">
        <v>27</v>
      </c>
      <c r="I5420">
        <v>0.32900000000000001</v>
      </c>
      <c r="J5420">
        <v>0.58899999999999997</v>
      </c>
      <c r="K5420">
        <v>0.25900000000000001</v>
      </c>
      <c r="L5420">
        <v>21</v>
      </c>
      <c r="M5420">
        <v>6</v>
      </c>
      <c r="N5420">
        <v>0</v>
      </c>
      <c r="O5420" t="s">
        <v>53</v>
      </c>
      <c r="P5420" t="s">
        <v>53</v>
      </c>
      <c r="Q5420" t="s">
        <v>53</v>
      </c>
    </row>
    <row r="5421" spans="1:17" x14ac:dyDescent="0.2">
      <c r="A5421" s="30" t="str">
        <f>IF(C5421&amp;G5421&amp;D5421&lt;&gt;'Funnel setup'!$K$3&amp;'Funnel setup'!$K$4&amp;'Funnel setup'!$K$5,".",IF(A5420=".",1,A5420+1))</f>
        <v>.</v>
      </c>
      <c r="B5421" s="431" t="str">
        <f t="shared" si="84"/>
        <v>Knee Replacement RevisionCCG of GP PracticeNHS NEWARK &amp; SHERWOOD CCG (04H)EQ-5D Index</v>
      </c>
      <c r="C5421" t="s">
        <v>250</v>
      </c>
      <c r="D5421" t="s">
        <v>87</v>
      </c>
      <c r="E5421" t="s">
        <v>624</v>
      </c>
      <c r="F5421" t="s">
        <v>625</v>
      </c>
      <c r="G5421" t="s">
        <v>52</v>
      </c>
      <c r="H5421" t="s">
        <v>53</v>
      </c>
      <c r="I5421" t="s">
        <v>53</v>
      </c>
      <c r="J5421" t="s">
        <v>53</v>
      </c>
      <c r="K5421" t="s">
        <v>53</v>
      </c>
      <c r="L5421" t="s">
        <v>53</v>
      </c>
      <c r="M5421" t="s">
        <v>53</v>
      </c>
      <c r="N5421" t="s">
        <v>53</v>
      </c>
      <c r="O5421" t="s">
        <v>53</v>
      </c>
      <c r="P5421" t="s">
        <v>53</v>
      </c>
      <c r="Q5421" t="s">
        <v>53</v>
      </c>
    </row>
    <row r="5422" spans="1:17" x14ac:dyDescent="0.2">
      <c r="A5422" s="30" t="str">
        <f>IF(C5422&amp;G5422&amp;D5422&lt;&gt;'Funnel setup'!$K$3&amp;'Funnel setup'!$K$4&amp;'Funnel setup'!$K$5,".",IF(A5421=".",1,A5421+1))</f>
        <v>.</v>
      </c>
      <c r="B5422" s="431" t="str">
        <f t="shared" si="84"/>
        <v>Knee Replacement RevisionCCG of GP PracticeNHS NEWBURY AND DISTRICT CCG (10M)EQ-5D Index</v>
      </c>
      <c r="C5422" t="s">
        <v>250</v>
      </c>
      <c r="D5422" t="s">
        <v>87</v>
      </c>
      <c r="E5422" t="s">
        <v>627</v>
      </c>
      <c r="F5422" t="s">
        <v>628</v>
      </c>
      <c r="G5422" t="s">
        <v>52</v>
      </c>
      <c r="H5422" t="s">
        <v>53</v>
      </c>
      <c r="I5422" t="s">
        <v>53</v>
      </c>
      <c r="J5422" t="s">
        <v>53</v>
      </c>
      <c r="K5422" t="s">
        <v>53</v>
      </c>
      <c r="L5422" t="s">
        <v>53</v>
      </c>
      <c r="M5422" t="s">
        <v>53</v>
      </c>
      <c r="N5422" t="s">
        <v>53</v>
      </c>
      <c r="O5422" t="s">
        <v>53</v>
      </c>
      <c r="P5422" t="s">
        <v>53</v>
      </c>
      <c r="Q5422" t="s">
        <v>53</v>
      </c>
    </row>
    <row r="5423" spans="1:17" x14ac:dyDescent="0.2">
      <c r="A5423" s="30" t="str">
        <f>IF(C5423&amp;G5423&amp;D5423&lt;&gt;'Funnel setup'!$K$3&amp;'Funnel setup'!$K$4&amp;'Funnel setup'!$K$5,".",IF(A5422=".",1,A5422+1))</f>
        <v>.</v>
      </c>
      <c r="B5423" s="431" t="str">
        <f t="shared" si="84"/>
        <v>Knee Replacement RevisionCCG of GP PracticeNHS NEWCASTLE GATESHEAD CCG (13T)EQ-5D Index</v>
      </c>
      <c r="C5423" t="s">
        <v>250</v>
      </c>
      <c r="D5423" t="s">
        <v>87</v>
      </c>
      <c r="E5423" t="s">
        <v>6553</v>
      </c>
      <c r="F5423" t="s">
        <v>6543</v>
      </c>
      <c r="G5423" t="s">
        <v>52</v>
      </c>
      <c r="H5423">
        <v>15</v>
      </c>
      <c r="I5423">
        <v>0.34899999999999998</v>
      </c>
      <c r="J5423">
        <v>0.60499999999999998</v>
      </c>
      <c r="K5423">
        <v>0.25600000000000001</v>
      </c>
      <c r="L5423">
        <v>9</v>
      </c>
      <c r="M5423">
        <v>2</v>
      </c>
      <c r="N5423">
        <v>4</v>
      </c>
      <c r="O5423" t="s">
        <v>53</v>
      </c>
      <c r="P5423" t="s">
        <v>53</v>
      </c>
      <c r="Q5423" t="s">
        <v>53</v>
      </c>
    </row>
    <row r="5424" spans="1:17" x14ac:dyDescent="0.2">
      <c r="A5424" s="30" t="str">
        <f>IF(C5424&amp;G5424&amp;D5424&lt;&gt;'Funnel setup'!$K$3&amp;'Funnel setup'!$K$4&amp;'Funnel setup'!$K$5,".",IF(A5423=".",1,A5423+1))</f>
        <v>.</v>
      </c>
      <c r="B5424" s="431" t="str">
        <f t="shared" si="84"/>
        <v>Knee Replacement RevisionCCG of GP PracticeNHS NEWHAM CCG (08M)EQ-5D Index</v>
      </c>
      <c r="C5424" t="s">
        <v>250</v>
      </c>
      <c r="D5424" t="s">
        <v>87</v>
      </c>
      <c r="E5424" t="s">
        <v>630</v>
      </c>
      <c r="F5424" t="s">
        <v>631</v>
      </c>
      <c r="G5424" t="s">
        <v>52</v>
      </c>
      <c r="H5424" t="s">
        <v>53</v>
      </c>
      <c r="I5424" t="s">
        <v>53</v>
      </c>
      <c r="J5424" t="s">
        <v>53</v>
      </c>
      <c r="K5424" t="s">
        <v>53</v>
      </c>
      <c r="L5424" t="s">
        <v>53</v>
      </c>
      <c r="M5424" t="s">
        <v>53</v>
      </c>
      <c r="N5424" t="s">
        <v>53</v>
      </c>
      <c r="O5424" t="s">
        <v>53</v>
      </c>
      <c r="P5424" t="s">
        <v>53</v>
      </c>
      <c r="Q5424" t="s">
        <v>53</v>
      </c>
    </row>
    <row r="5425" spans="1:17" x14ac:dyDescent="0.2">
      <c r="A5425" s="30" t="str">
        <f>IF(C5425&amp;G5425&amp;D5425&lt;&gt;'Funnel setup'!$K$3&amp;'Funnel setup'!$K$4&amp;'Funnel setup'!$K$5,".",IF(A5424=".",1,A5424+1))</f>
        <v>.</v>
      </c>
      <c r="B5425" s="431" t="str">
        <f t="shared" si="84"/>
        <v>Knee Replacement RevisionCCG of GP PracticeNHS NORTH DERBYSHIRE CCG (04J)EQ-5D Index</v>
      </c>
      <c r="C5425" t="s">
        <v>250</v>
      </c>
      <c r="D5425" t="s">
        <v>87</v>
      </c>
      <c r="E5425" t="s">
        <v>636</v>
      </c>
      <c r="F5425" t="s">
        <v>637</v>
      </c>
      <c r="G5425" t="s">
        <v>52</v>
      </c>
      <c r="H5425">
        <v>6</v>
      </c>
      <c r="I5425">
        <v>0.32400000000000001</v>
      </c>
      <c r="J5425">
        <v>0.69899999999999995</v>
      </c>
      <c r="K5425">
        <v>0.375</v>
      </c>
      <c r="L5425">
        <v>6</v>
      </c>
      <c r="M5425">
        <v>0</v>
      </c>
      <c r="N5425">
        <v>0</v>
      </c>
      <c r="O5425" t="s">
        <v>53</v>
      </c>
      <c r="P5425" t="s">
        <v>53</v>
      </c>
      <c r="Q5425" t="s">
        <v>53</v>
      </c>
    </row>
    <row r="5426" spans="1:17" x14ac:dyDescent="0.2">
      <c r="A5426" s="30" t="str">
        <f>IF(C5426&amp;G5426&amp;D5426&lt;&gt;'Funnel setup'!$K$3&amp;'Funnel setup'!$K$4&amp;'Funnel setup'!$K$5,".",IF(A5425=".",1,A5425+1))</f>
        <v>.</v>
      </c>
      <c r="B5426" s="431" t="str">
        <f t="shared" si="84"/>
        <v>Knee Replacement RevisionCCG of GP PracticeNHS NORTH DURHAM CCG (00J)EQ-5D Index</v>
      </c>
      <c r="C5426" t="s">
        <v>250</v>
      </c>
      <c r="D5426" t="s">
        <v>87</v>
      </c>
      <c r="E5426" t="s">
        <v>639</v>
      </c>
      <c r="F5426" t="s">
        <v>640</v>
      </c>
      <c r="G5426" t="s">
        <v>52</v>
      </c>
      <c r="H5426" t="s">
        <v>53</v>
      </c>
      <c r="I5426" t="s">
        <v>53</v>
      </c>
      <c r="J5426" t="s">
        <v>53</v>
      </c>
      <c r="K5426" t="s">
        <v>53</v>
      </c>
      <c r="L5426" t="s">
        <v>53</v>
      </c>
      <c r="M5426" t="s">
        <v>53</v>
      </c>
      <c r="N5426" t="s">
        <v>53</v>
      </c>
      <c r="O5426" t="s">
        <v>53</v>
      </c>
      <c r="P5426" t="s">
        <v>53</v>
      </c>
      <c r="Q5426" t="s">
        <v>53</v>
      </c>
    </row>
    <row r="5427" spans="1:17" x14ac:dyDescent="0.2">
      <c r="A5427" s="30" t="str">
        <f>IF(C5427&amp;G5427&amp;D5427&lt;&gt;'Funnel setup'!$K$3&amp;'Funnel setup'!$K$4&amp;'Funnel setup'!$K$5,".",IF(A5426=".",1,A5426+1))</f>
        <v>.</v>
      </c>
      <c r="B5427" s="431" t="str">
        <f t="shared" si="84"/>
        <v>Knee Replacement RevisionCCG of GP PracticeNHS NORTH EAST ESSEX CCG (06T)EQ-5D Index</v>
      </c>
      <c r="C5427" t="s">
        <v>250</v>
      </c>
      <c r="D5427" t="s">
        <v>87</v>
      </c>
      <c r="E5427" t="s">
        <v>642</v>
      </c>
      <c r="F5427" t="s">
        <v>643</v>
      </c>
      <c r="G5427" t="s">
        <v>52</v>
      </c>
      <c r="H5427">
        <v>10</v>
      </c>
      <c r="I5427">
        <v>0.36099999999999999</v>
      </c>
      <c r="J5427">
        <v>0.56599999999999995</v>
      </c>
      <c r="K5427">
        <v>0.20499999999999999</v>
      </c>
      <c r="L5427">
        <v>7</v>
      </c>
      <c r="M5427">
        <v>1</v>
      </c>
      <c r="N5427">
        <v>2</v>
      </c>
      <c r="O5427" t="s">
        <v>53</v>
      </c>
      <c r="P5427" t="s">
        <v>53</v>
      </c>
      <c r="Q5427" t="s">
        <v>53</v>
      </c>
    </row>
    <row r="5428" spans="1:17" x14ac:dyDescent="0.2">
      <c r="A5428" s="30" t="str">
        <f>IF(C5428&amp;G5428&amp;D5428&lt;&gt;'Funnel setup'!$K$3&amp;'Funnel setup'!$K$4&amp;'Funnel setup'!$K$5,".",IF(A5427=".",1,A5427+1))</f>
        <v>.</v>
      </c>
      <c r="B5428" s="431" t="str">
        <f t="shared" si="84"/>
        <v>Knee Replacement RevisionCCG of GP PracticeNHS NORTH EAST HAMPSHIRE AND FARNHAM CCG (99M)EQ-5D Index</v>
      </c>
      <c r="C5428" t="s">
        <v>250</v>
      </c>
      <c r="D5428" t="s">
        <v>87</v>
      </c>
      <c r="E5428" t="s">
        <v>645</v>
      </c>
      <c r="F5428" t="s">
        <v>646</v>
      </c>
      <c r="G5428" t="s">
        <v>52</v>
      </c>
      <c r="H5428" t="s">
        <v>53</v>
      </c>
      <c r="I5428" t="s">
        <v>53</v>
      </c>
      <c r="J5428" t="s">
        <v>53</v>
      </c>
      <c r="K5428" t="s">
        <v>53</v>
      </c>
      <c r="L5428" t="s">
        <v>53</v>
      </c>
      <c r="M5428" t="s">
        <v>53</v>
      </c>
      <c r="N5428" t="s">
        <v>53</v>
      </c>
      <c r="O5428" t="s">
        <v>53</v>
      </c>
      <c r="P5428" t="s">
        <v>53</v>
      </c>
      <c r="Q5428" t="s">
        <v>53</v>
      </c>
    </row>
    <row r="5429" spans="1:17" x14ac:dyDescent="0.2">
      <c r="A5429" s="30" t="str">
        <f>IF(C5429&amp;G5429&amp;D5429&lt;&gt;'Funnel setup'!$K$3&amp;'Funnel setup'!$K$4&amp;'Funnel setup'!$K$5,".",IF(A5428=".",1,A5428+1))</f>
        <v>.</v>
      </c>
      <c r="B5429" s="431" t="str">
        <f t="shared" si="84"/>
        <v>Knee Replacement RevisionCCG of GP PracticeNHS NORTH EAST LINCOLNSHIRE CCG (03H)EQ-5D Index</v>
      </c>
      <c r="C5429" t="s">
        <v>250</v>
      </c>
      <c r="D5429" t="s">
        <v>87</v>
      </c>
      <c r="E5429" t="s">
        <v>648</v>
      </c>
      <c r="F5429" t="s">
        <v>649</v>
      </c>
      <c r="G5429" t="s">
        <v>52</v>
      </c>
      <c r="H5429" t="s">
        <v>53</v>
      </c>
      <c r="I5429" t="s">
        <v>53</v>
      </c>
      <c r="J5429" t="s">
        <v>53</v>
      </c>
      <c r="K5429" t="s">
        <v>53</v>
      </c>
      <c r="L5429" t="s">
        <v>53</v>
      </c>
      <c r="M5429" t="s">
        <v>53</v>
      </c>
      <c r="N5429" t="s">
        <v>53</v>
      </c>
      <c r="O5429" t="s">
        <v>53</v>
      </c>
      <c r="P5429" t="s">
        <v>53</v>
      </c>
      <c r="Q5429" t="s">
        <v>53</v>
      </c>
    </row>
    <row r="5430" spans="1:17" x14ac:dyDescent="0.2">
      <c r="A5430" s="30" t="str">
        <f>IF(C5430&amp;G5430&amp;D5430&lt;&gt;'Funnel setup'!$K$3&amp;'Funnel setup'!$K$4&amp;'Funnel setup'!$K$5,".",IF(A5429=".",1,A5429+1))</f>
        <v>.</v>
      </c>
      <c r="B5430" s="431" t="str">
        <f t="shared" si="84"/>
        <v>Knee Replacement RevisionCCG of GP PracticeNHS NORTH HAMPSHIRE CCG (10J)EQ-5D Index</v>
      </c>
      <c r="C5430" t="s">
        <v>250</v>
      </c>
      <c r="D5430" t="s">
        <v>87</v>
      </c>
      <c r="E5430" t="s">
        <v>651</v>
      </c>
      <c r="F5430" t="s">
        <v>652</v>
      </c>
      <c r="G5430" t="s">
        <v>52</v>
      </c>
      <c r="H5430">
        <v>8</v>
      </c>
      <c r="I5430">
        <v>0.254</v>
      </c>
      <c r="J5430">
        <v>0.44400000000000001</v>
      </c>
      <c r="K5430">
        <v>0.19</v>
      </c>
      <c r="L5430">
        <v>6</v>
      </c>
      <c r="M5430">
        <v>1</v>
      </c>
      <c r="N5430">
        <v>1</v>
      </c>
      <c r="O5430" t="s">
        <v>53</v>
      </c>
      <c r="P5430" t="s">
        <v>53</v>
      </c>
      <c r="Q5430" t="s">
        <v>53</v>
      </c>
    </row>
    <row r="5431" spans="1:17" x14ac:dyDescent="0.2">
      <c r="A5431" s="30" t="str">
        <f>IF(C5431&amp;G5431&amp;D5431&lt;&gt;'Funnel setup'!$K$3&amp;'Funnel setup'!$K$4&amp;'Funnel setup'!$K$5,".",IF(A5430=".",1,A5430+1))</f>
        <v>.</v>
      </c>
      <c r="B5431" s="431" t="str">
        <f t="shared" si="84"/>
        <v>Knee Replacement RevisionCCG of GP PracticeNHS NORTH KIRKLEES CCG (03J)EQ-5D Index</v>
      </c>
      <c r="C5431" t="s">
        <v>250</v>
      </c>
      <c r="D5431" t="s">
        <v>87</v>
      </c>
      <c r="E5431" t="s">
        <v>654</v>
      </c>
      <c r="F5431" t="s">
        <v>655</v>
      </c>
      <c r="G5431" t="s">
        <v>52</v>
      </c>
      <c r="H5431">
        <v>7</v>
      </c>
      <c r="I5431">
        <v>0.24099999999999999</v>
      </c>
      <c r="J5431">
        <v>0.51300000000000001</v>
      </c>
      <c r="K5431">
        <v>0.27100000000000002</v>
      </c>
      <c r="L5431">
        <v>4</v>
      </c>
      <c r="M5431">
        <v>3</v>
      </c>
      <c r="N5431">
        <v>0</v>
      </c>
      <c r="O5431" t="s">
        <v>53</v>
      </c>
      <c r="P5431" t="s">
        <v>53</v>
      </c>
      <c r="Q5431" t="s">
        <v>53</v>
      </c>
    </row>
    <row r="5432" spans="1:17" x14ac:dyDescent="0.2">
      <c r="A5432" s="30" t="str">
        <f>IF(C5432&amp;G5432&amp;D5432&lt;&gt;'Funnel setup'!$K$3&amp;'Funnel setup'!$K$4&amp;'Funnel setup'!$K$5,".",IF(A5431=".",1,A5431+1))</f>
        <v>.</v>
      </c>
      <c r="B5432" s="431" t="str">
        <f t="shared" si="84"/>
        <v>Knee Replacement RevisionCCG of GP PracticeNHS NORTH LINCOLNSHIRE CCG (03K)EQ-5D Index</v>
      </c>
      <c r="C5432" t="s">
        <v>250</v>
      </c>
      <c r="D5432" t="s">
        <v>87</v>
      </c>
      <c r="E5432" t="s">
        <v>657</v>
      </c>
      <c r="F5432" t="s">
        <v>658</v>
      </c>
      <c r="G5432" t="s">
        <v>52</v>
      </c>
      <c r="H5432" t="s">
        <v>53</v>
      </c>
      <c r="I5432" t="s">
        <v>53</v>
      </c>
      <c r="J5432" t="s">
        <v>53</v>
      </c>
      <c r="K5432" t="s">
        <v>53</v>
      </c>
      <c r="L5432" t="s">
        <v>53</v>
      </c>
      <c r="M5432" t="s">
        <v>53</v>
      </c>
      <c r="N5432" t="s">
        <v>53</v>
      </c>
      <c r="O5432" t="s">
        <v>53</v>
      </c>
      <c r="P5432" t="s">
        <v>53</v>
      </c>
      <c r="Q5432" t="s">
        <v>53</v>
      </c>
    </row>
    <row r="5433" spans="1:17" x14ac:dyDescent="0.2">
      <c r="A5433" s="30" t="str">
        <f>IF(C5433&amp;G5433&amp;D5433&lt;&gt;'Funnel setup'!$K$3&amp;'Funnel setup'!$K$4&amp;'Funnel setup'!$K$5,".",IF(A5432=".",1,A5432+1))</f>
        <v>.</v>
      </c>
      <c r="B5433" s="431" t="str">
        <f t="shared" si="84"/>
        <v>Knee Replacement RevisionCCG of GP PracticeNHS NORTH MANCHESTER CCG (01M)EQ-5D Index</v>
      </c>
      <c r="C5433" t="s">
        <v>250</v>
      </c>
      <c r="D5433" t="s">
        <v>87</v>
      </c>
      <c r="E5433" t="s">
        <v>660</v>
      </c>
      <c r="F5433" t="s">
        <v>661</v>
      </c>
      <c r="G5433" t="s">
        <v>52</v>
      </c>
      <c r="H5433" t="s">
        <v>53</v>
      </c>
      <c r="I5433" t="s">
        <v>53</v>
      </c>
      <c r="J5433" t="s">
        <v>53</v>
      </c>
      <c r="K5433" t="s">
        <v>53</v>
      </c>
      <c r="L5433" t="s">
        <v>53</v>
      </c>
      <c r="M5433" t="s">
        <v>53</v>
      </c>
      <c r="N5433" t="s">
        <v>53</v>
      </c>
      <c r="O5433" t="s">
        <v>53</v>
      </c>
      <c r="P5433" t="s">
        <v>53</v>
      </c>
      <c r="Q5433" t="s">
        <v>53</v>
      </c>
    </row>
    <row r="5434" spans="1:17" x14ac:dyDescent="0.2">
      <c r="A5434" s="30" t="str">
        <f>IF(C5434&amp;G5434&amp;D5434&lt;&gt;'Funnel setup'!$K$3&amp;'Funnel setup'!$K$4&amp;'Funnel setup'!$K$5,".",IF(A5433=".",1,A5433+1))</f>
        <v>.</v>
      </c>
      <c r="B5434" s="431" t="str">
        <f t="shared" si="84"/>
        <v>Knee Replacement RevisionCCG of GP PracticeNHS NORTH NORFOLK CCG (06V)EQ-5D Index</v>
      </c>
      <c r="C5434" t="s">
        <v>250</v>
      </c>
      <c r="D5434" t="s">
        <v>87</v>
      </c>
      <c r="E5434" t="s">
        <v>663</v>
      </c>
      <c r="F5434" t="s">
        <v>664</v>
      </c>
      <c r="G5434" t="s">
        <v>52</v>
      </c>
      <c r="H5434">
        <v>8</v>
      </c>
      <c r="I5434">
        <v>0.37</v>
      </c>
      <c r="J5434">
        <v>0.52500000000000002</v>
      </c>
      <c r="K5434">
        <v>0.156</v>
      </c>
      <c r="L5434">
        <v>3</v>
      </c>
      <c r="M5434">
        <v>2</v>
      </c>
      <c r="N5434">
        <v>3</v>
      </c>
      <c r="O5434" t="s">
        <v>53</v>
      </c>
      <c r="P5434" t="s">
        <v>53</v>
      </c>
      <c r="Q5434" t="s">
        <v>53</v>
      </c>
    </row>
    <row r="5435" spans="1:17" x14ac:dyDescent="0.2">
      <c r="A5435" s="30" t="str">
        <f>IF(C5435&amp;G5435&amp;D5435&lt;&gt;'Funnel setup'!$K$3&amp;'Funnel setup'!$K$4&amp;'Funnel setup'!$K$5,".",IF(A5434=".",1,A5434+1))</f>
        <v>.</v>
      </c>
      <c r="B5435" s="431" t="str">
        <f t="shared" si="84"/>
        <v>Knee Replacement RevisionCCG of GP PracticeNHS NORTH SOMERSET CCG (11T)EQ-5D Index</v>
      </c>
      <c r="C5435" t="s">
        <v>250</v>
      </c>
      <c r="D5435" t="s">
        <v>87</v>
      </c>
      <c r="E5435" t="s">
        <v>666</v>
      </c>
      <c r="F5435" t="s">
        <v>667</v>
      </c>
      <c r="G5435" t="s">
        <v>52</v>
      </c>
      <c r="H5435">
        <v>10</v>
      </c>
      <c r="I5435">
        <v>0.28499999999999998</v>
      </c>
      <c r="J5435">
        <v>0.52</v>
      </c>
      <c r="K5435">
        <v>0.23400000000000001</v>
      </c>
      <c r="L5435">
        <v>7</v>
      </c>
      <c r="M5435">
        <v>0</v>
      </c>
      <c r="N5435">
        <v>3</v>
      </c>
      <c r="O5435" t="s">
        <v>53</v>
      </c>
      <c r="P5435" t="s">
        <v>53</v>
      </c>
      <c r="Q5435" t="s">
        <v>53</v>
      </c>
    </row>
    <row r="5436" spans="1:17" x14ac:dyDescent="0.2">
      <c r="A5436" s="30" t="str">
        <f>IF(C5436&amp;G5436&amp;D5436&lt;&gt;'Funnel setup'!$K$3&amp;'Funnel setup'!$K$4&amp;'Funnel setup'!$K$5,".",IF(A5435=".",1,A5435+1))</f>
        <v>.</v>
      </c>
      <c r="B5436" s="431" t="str">
        <f t="shared" si="84"/>
        <v>Knee Replacement RevisionCCG of GP PracticeNHS NORTH STAFFORDSHIRE CCG (05G)EQ-5D Index</v>
      </c>
      <c r="C5436" t="s">
        <v>250</v>
      </c>
      <c r="D5436" t="s">
        <v>87</v>
      </c>
      <c r="E5436" t="s">
        <v>669</v>
      </c>
      <c r="F5436" t="s">
        <v>670</v>
      </c>
      <c r="G5436" t="s">
        <v>52</v>
      </c>
      <c r="H5436" t="s">
        <v>53</v>
      </c>
      <c r="I5436" t="s">
        <v>53</v>
      </c>
      <c r="J5436" t="s">
        <v>53</v>
      </c>
      <c r="K5436" t="s">
        <v>53</v>
      </c>
      <c r="L5436" t="s">
        <v>53</v>
      </c>
      <c r="M5436" t="s">
        <v>53</v>
      </c>
      <c r="N5436" t="s">
        <v>53</v>
      </c>
      <c r="O5436" t="s">
        <v>53</v>
      </c>
      <c r="P5436" t="s">
        <v>53</v>
      </c>
      <c r="Q5436" t="s">
        <v>53</v>
      </c>
    </row>
    <row r="5437" spans="1:17" x14ac:dyDescent="0.2">
      <c r="A5437" s="30" t="str">
        <f>IF(C5437&amp;G5437&amp;D5437&lt;&gt;'Funnel setup'!$K$3&amp;'Funnel setup'!$K$4&amp;'Funnel setup'!$K$5,".",IF(A5436=".",1,A5436+1))</f>
        <v>.</v>
      </c>
      <c r="B5437" s="431" t="str">
        <f t="shared" si="84"/>
        <v>Knee Replacement RevisionCCG of GP PracticeNHS NORTH TYNESIDE CCG (99C)EQ-5D Index</v>
      </c>
      <c r="C5437" t="s">
        <v>250</v>
      </c>
      <c r="D5437" t="s">
        <v>87</v>
      </c>
      <c r="E5437" t="s">
        <v>672</v>
      </c>
      <c r="F5437" t="s">
        <v>673</v>
      </c>
      <c r="G5437" t="s">
        <v>52</v>
      </c>
      <c r="H5437" t="s">
        <v>53</v>
      </c>
      <c r="I5437" t="s">
        <v>53</v>
      </c>
      <c r="J5437" t="s">
        <v>53</v>
      </c>
      <c r="K5437" t="s">
        <v>53</v>
      </c>
      <c r="L5437" t="s">
        <v>53</v>
      </c>
      <c r="M5437" t="s">
        <v>53</v>
      </c>
      <c r="N5437" t="s">
        <v>53</v>
      </c>
      <c r="O5437" t="s">
        <v>53</v>
      </c>
      <c r="P5437" t="s">
        <v>53</v>
      </c>
      <c r="Q5437" t="s">
        <v>53</v>
      </c>
    </row>
    <row r="5438" spans="1:17" x14ac:dyDescent="0.2">
      <c r="A5438" s="30" t="str">
        <f>IF(C5438&amp;G5438&amp;D5438&lt;&gt;'Funnel setup'!$K$3&amp;'Funnel setup'!$K$4&amp;'Funnel setup'!$K$5,".",IF(A5437=".",1,A5437+1))</f>
        <v>.</v>
      </c>
      <c r="B5438" s="431" t="str">
        <f t="shared" si="84"/>
        <v>Knee Replacement RevisionCCG of GP PracticeNHS NORTH WEST SURREY CCG (09Y)EQ-5D Index</v>
      </c>
      <c r="C5438" t="s">
        <v>250</v>
      </c>
      <c r="D5438" t="s">
        <v>87</v>
      </c>
      <c r="E5438" t="s">
        <v>675</v>
      </c>
      <c r="F5438" t="s">
        <v>676</v>
      </c>
      <c r="G5438" t="s">
        <v>52</v>
      </c>
      <c r="H5438">
        <v>7</v>
      </c>
      <c r="I5438">
        <v>0.438</v>
      </c>
      <c r="J5438">
        <v>0.55800000000000005</v>
      </c>
      <c r="K5438">
        <v>0.12</v>
      </c>
      <c r="L5438">
        <v>5</v>
      </c>
      <c r="M5438">
        <v>0</v>
      </c>
      <c r="N5438">
        <v>2</v>
      </c>
      <c r="O5438" t="s">
        <v>53</v>
      </c>
      <c r="P5438" t="s">
        <v>53</v>
      </c>
      <c r="Q5438" t="s">
        <v>53</v>
      </c>
    </row>
    <row r="5439" spans="1:17" x14ac:dyDescent="0.2">
      <c r="A5439" s="30" t="str">
        <f>IF(C5439&amp;G5439&amp;D5439&lt;&gt;'Funnel setup'!$K$3&amp;'Funnel setup'!$K$4&amp;'Funnel setup'!$K$5,".",IF(A5438=".",1,A5438+1))</f>
        <v>.</v>
      </c>
      <c r="B5439" s="431" t="str">
        <f t="shared" si="84"/>
        <v>Knee Replacement RevisionCCG of GP PracticeNHS NORTHERN, EASTERN AND WESTERN DEVON CCG (99P)EQ-5D Index</v>
      </c>
      <c r="C5439" t="s">
        <v>250</v>
      </c>
      <c r="D5439" t="s">
        <v>87</v>
      </c>
      <c r="E5439" t="s">
        <v>678</v>
      </c>
      <c r="F5439" t="s">
        <v>679</v>
      </c>
      <c r="G5439" t="s">
        <v>52</v>
      </c>
      <c r="H5439">
        <v>51</v>
      </c>
      <c r="I5439">
        <v>0.36399999999999999</v>
      </c>
      <c r="J5439">
        <v>0.67900000000000005</v>
      </c>
      <c r="K5439">
        <v>0.316</v>
      </c>
      <c r="L5439">
        <v>41</v>
      </c>
      <c r="M5439">
        <v>5</v>
      </c>
      <c r="N5439">
        <v>5</v>
      </c>
      <c r="O5439">
        <v>0.67</v>
      </c>
      <c r="P5439">
        <v>0.33773636699999998</v>
      </c>
      <c r="Q5439">
        <v>0.247</v>
      </c>
    </row>
    <row r="5440" spans="1:17" x14ac:dyDescent="0.2">
      <c r="A5440" s="30" t="str">
        <f>IF(C5440&amp;G5440&amp;D5440&lt;&gt;'Funnel setup'!$K$3&amp;'Funnel setup'!$K$4&amp;'Funnel setup'!$K$5,".",IF(A5439=".",1,A5439+1))</f>
        <v>.</v>
      </c>
      <c r="B5440" s="431" t="str">
        <f t="shared" si="84"/>
        <v>Knee Replacement RevisionCCG of GP PracticeNHS NORTHUMBERLAND CCG (00L)EQ-5D Index</v>
      </c>
      <c r="C5440" t="s">
        <v>250</v>
      </c>
      <c r="D5440" t="s">
        <v>87</v>
      </c>
      <c r="E5440" t="s">
        <v>681</v>
      </c>
      <c r="F5440" t="s">
        <v>336</v>
      </c>
      <c r="G5440" t="s">
        <v>52</v>
      </c>
      <c r="H5440">
        <v>12</v>
      </c>
      <c r="I5440">
        <v>0.251</v>
      </c>
      <c r="J5440">
        <v>0.69499999999999995</v>
      </c>
      <c r="K5440">
        <v>0.44400000000000001</v>
      </c>
      <c r="L5440">
        <v>11</v>
      </c>
      <c r="M5440">
        <v>1</v>
      </c>
      <c r="N5440">
        <v>0</v>
      </c>
      <c r="O5440" t="s">
        <v>53</v>
      </c>
      <c r="P5440" t="s">
        <v>53</v>
      </c>
      <c r="Q5440" t="s">
        <v>53</v>
      </c>
    </row>
    <row r="5441" spans="1:17" x14ac:dyDescent="0.2">
      <c r="A5441" s="30" t="str">
        <f>IF(C5441&amp;G5441&amp;D5441&lt;&gt;'Funnel setup'!$K$3&amp;'Funnel setup'!$K$4&amp;'Funnel setup'!$K$5,".",IF(A5440=".",1,A5440+1))</f>
        <v>.</v>
      </c>
      <c r="B5441" s="431" t="str">
        <f t="shared" si="84"/>
        <v>Knee Replacement RevisionCCG of GP PracticeNHS NORWICH CCG (06W)EQ-5D Index</v>
      </c>
      <c r="C5441" t="s">
        <v>250</v>
      </c>
      <c r="D5441" t="s">
        <v>87</v>
      </c>
      <c r="E5441" t="s">
        <v>770</v>
      </c>
      <c r="F5441" t="s">
        <v>771</v>
      </c>
      <c r="G5441" t="s">
        <v>52</v>
      </c>
      <c r="H5441">
        <v>7</v>
      </c>
      <c r="I5441">
        <v>0.502</v>
      </c>
      <c r="J5441">
        <v>0.73499999999999999</v>
      </c>
      <c r="K5441">
        <v>0.23300000000000001</v>
      </c>
      <c r="L5441">
        <v>6</v>
      </c>
      <c r="M5441">
        <v>0</v>
      </c>
      <c r="N5441">
        <v>1</v>
      </c>
      <c r="O5441" t="s">
        <v>53</v>
      </c>
      <c r="P5441" t="s">
        <v>53</v>
      </c>
      <c r="Q5441" t="s">
        <v>53</v>
      </c>
    </row>
    <row r="5442" spans="1:17" x14ac:dyDescent="0.2">
      <c r="A5442" s="30" t="str">
        <f>IF(C5442&amp;G5442&amp;D5442&lt;&gt;'Funnel setup'!$K$3&amp;'Funnel setup'!$K$4&amp;'Funnel setup'!$K$5,".",IF(A5441=".",1,A5441+1))</f>
        <v>.</v>
      </c>
      <c r="B5442" s="431" t="str">
        <f t="shared" si="84"/>
        <v>Knee Replacement RevisionCCG of GP PracticeNHS NOTTINGHAM CITY CCG (04K)EQ-5D Index</v>
      </c>
      <c r="C5442" t="s">
        <v>250</v>
      </c>
      <c r="D5442" t="s">
        <v>87</v>
      </c>
      <c r="E5442" t="s">
        <v>773</v>
      </c>
      <c r="F5442" t="s">
        <v>774</v>
      </c>
      <c r="G5442" t="s">
        <v>52</v>
      </c>
      <c r="H5442">
        <v>9</v>
      </c>
      <c r="I5442">
        <v>0.46100000000000002</v>
      </c>
      <c r="J5442">
        <v>0.56000000000000005</v>
      </c>
      <c r="K5442">
        <v>0.1</v>
      </c>
      <c r="L5442">
        <v>6</v>
      </c>
      <c r="M5442">
        <v>1</v>
      </c>
      <c r="N5442">
        <v>2</v>
      </c>
      <c r="O5442" t="s">
        <v>53</v>
      </c>
      <c r="P5442" t="s">
        <v>53</v>
      </c>
      <c r="Q5442" t="s">
        <v>53</v>
      </c>
    </row>
    <row r="5443" spans="1:17" x14ac:dyDescent="0.2">
      <c r="A5443" s="30" t="str">
        <f>IF(C5443&amp;G5443&amp;D5443&lt;&gt;'Funnel setup'!$K$3&amp;'Funnel setup'!$K$4&amp;'Funnel setup'!$K$5,".",IF(A5442=".",1,A5442+1))</f>
        <v>.</v>
      </c>
      <c r="B5443" s="431" t="str">
        <f t="shared" ref="B5443:B5506" si="85">C5443&amp;D5443&amp;F5443&amp;G5443</f>
        <v>Knee Replacement RevisionCCG of GP PracticeNHS NOTTINGHAM NORTH AND EAST CCG (04L)EQ-5D Index</v>
      </c>
      <c r="C5443" t="s">
        <v>250</v>
      </c>
      <c r="D5443" t="s">
        <v>87</v>
      </c>
      <c r="E5443" t="s">
        <v>776</v>
      </c>
      <c r="F5443" t="s">
        <v>777</v>
      </c>
      <c r="G5443" t="s">
        <v>52</v>
      </c>
      <c r="H5443">
        <v>6</v>
      </c>
      <c r="I5443">
        <v>0.502</v>
      </c>
      <c r="J5443">
        <v>0.81200000000000006</v>
      </c>
      <c r="K5443">
        <v>0.309</v>
      </c>
      <c r="L5443">
        <v>5</v>
      </c>
      <c r="M5443">
        <v>1</v>
      </c>
      <c r="N5443">
        <v>0</v>
      </c>
      <c r="O5443" t="s">
        <v>53</v>
      </c>
      <c r="P5443" t="s">
        <v>53</v>
      </c>
      <c r="Q5443" t="s">
        <v>53</v>
      </c>
    </row>
    <row r="5444" spans="1:17" x14ac:dyDescent="0.2">
      <c r="A5444" s="30" t="str">
        <f>IF(C5444&amp;G5444&amp;D5444&lt;&gt;'Funnel setup'!$K$3&amp;'Funnel setup'!$K$4&amp;'Funnel setup'!$K$5,".",IF(A5443=".",1,A5443+1))</f>
        <v>.</v>
      </c>
      <c r="B5444" s="431" t="str">
        <f t="shared" si="85"/>
        <v>Knee Replacement RevisionCCG of GP PracticeNHS NOTTINGHAM WEST CCG (04M)EQ-5D Index</v>
      </c>
      <c r="C5444" t="s">
        <v>250</v>
      </c>
      <c r="D5444" t="s">
        <v>87</v>
      </c>
      <c r="E5444" t="s">
        <v>779</v>
      </c>
      <c r="F5444" t="s">
        <v>780</v>
      </c>
      <c r="G5444" t="s">
        <v>52</v>
      </c>
      <c r="H5444" t="s">
        <v>53</v>
      </c>
      <c r="I5444" t="s">
        <v>53</v>
      </c>
      <c r="J5444" t="s">
        <v>53</v>
      </c>
      <c r="K5444" t="s">
        <v>53</v>
      </c>
      <c r="L5444" t="s">
        <v>53</v>
      </c>
      <c r="M5444" t="s">
        <v>53</v>
      </c>
      <c r="N5444" t="s">
        <v>53</v>
      </c>
      <c r="O5444" t="s">
        <v>53</v>
      </c>
      <c r="P5444" t="s">
        <v>53</v>
      </c>
      <c r="Q5444" t="s">
        <v>53</v>
      </c>
    </row>
    <row r="5445" spans="1:17" x14ac:dyDescent="0.2">
      <c r="A5445" s="30" t="str">
        <f>IF(C5445&amp;G5445&amp;D5445&lt;&gt;'Funnel setup'!$K$3&amp;'Funnel setup'!$K$4&amp;'Funnel setup'!$K$5,".",IF(A5444=".",1,A5444+1))</f>
        <v>.</v>
      </c>
      <c r="B5445" s="431" t="str">
        <f t="shared" si="85"/>
        <v>Knee Replacement RevisionCCG of GP PracticeNHS OLDHAM CCG (00Y)EQ-5D Index</v>
      </c>
      <c r="C5445" t="s">
        <v>250</v>
      </c>
      <c r="D5445" t="s">
        <v>87</v>
      </c>
      <c r="E5445" t="s">
        <v>782</v>
      </c>
      <c r="F5445" t="s">
        <v>783</v>
      </c>
      <c r="G5445" t="s">
        <v>52</v>
      </c>
      <c r="H5445" t="s">
        <v>53</v>
      </c>
      <c r="I5445" t="s">
        <v>53</v>
      </c>
      <c r="J5445" t="s">
        <v>53</v>
      </c>
      <c r="K5445" t="s">
        <v>53</v>
      </c>
      <c r="L5445" t="s">
        <v>53</v>
      </c>
      <c r="M5445" t="s">
        <v>53</v>
      </c>
      <c r="N5445" t="s">
        <v>53</v>
      </c>
      <c r="O5445" t="s">
        <v>53</v>
      </c>
      <c r="P5445" t="s">
        <v>53</v>
      </c>
      <c r="Q5445" t="s">
        <v>53</v>
      </c>
    </row>
    <row r="5446" spans="1:17" x14ac:dyDescent="0.2">
      <c r="A5446" s="30" t="str">
        <f>IF(C5446&amp;G5446&amp;D5446&lt;&gt;'Funnel setup'!$K$3&amp;'Funnel setup'!$K$4&amp;'Funnel setup'!$K$5,".",IF(A5445=".",1,A5445+1))</f>
        <v>.</v>
      </c>
      <c r="B5446" s="431" t="str">
        <f t="shared" si="85"/>
        <v>Knee Replacement RevisionCCG of GP PracticeNHS OXFORDSHIRE CCG (10Q)EQ-5D Index</v>
      </c>
      <c r="C5446" t="s">
        <v>250</v>
      </c>
      <c r="D5446" t="s">
        <v>87</v>
      </c>
      <c r="E5446" t="s">
        <v>785</v>
      </c>
      <c r="F5446" t="s">
        <v>786</v>
      </c>
      <c r="G5446" t="s">
        <v>52</v>
      </c>
      <c r="H5446">
        <v>28</v>
      </c>
      <c r="I5446">
        <v>0.38300000000000001</v>
      </c>
      <c r="J5446">
        <v>0.58499999999999996</v>
      </c>
      <c r="K5446">
        <v>0.20200000000000001</v>
      </c>
      <c r="L5446">
        <v>15</v>
      </c>
      <c r="M5446">
        <v>6</v>
      </c>
      <c r="N5446">
        <v>7</v>
      </c>
      <c r="O5446" t="s">
        <v>53</v>
      </c>
      <c r="P5446" t="s">
        <v>53</v>
      </c>
      <c r="Q5446" t="s">
        <v>53</v>
      </c>
    </row>
    <row r="5447" spans="1:17" x14ac:dyDescent="0.2">
      <c r="A5447" s="30" t="str">
        <f>IF(C5447&amp;G5447&amp;D5447&lt;&gt;'Funnel setup'!$K$3&amp;'Funnel setup'!$K$4&amp;'Funnel setup'!$K$5,".",IF(A5446=".",1,A5446+1))</f>
        <v>.</v>
      </c>
      <c r="B5447" s="431" t="str">
        <f t="shared" si="85"/>
        <v>Knee Replacement RevisionCCG of GP PracticeNHS PORTSMOUTH CCG (10R)EQ-5D Index</v>
      </c>
      <c r="C5447" t="s">
        <v>250</v>
      </c>
      <c r="D5447" t="s">
        <v>87</v>
      </c>
      <c r="E5447" t="s">
        <v>788</v>
      </c>
      <c r="F5447" t="s">
        <v>789</v>
      </c>
      <c r="G5447" t="s">
        <v>52</v>
      </c>
      <c r="H5447" t="s">
        <v>53</v>
      </c>
      <c r="I5447" t="s">
        <v>53</v>
      </c>
      <c r="J5447" t="s">
        <v>53</v>
      </c>
      <c r="K5447" t="s">
        <v>53</v>
      </c>
      <c r="L5447" t="s">
        <v>53</v>
      </c>
      <c r="M5447" t="s">
        <v>53</v>
      </c>
      <c r="N5447" t="s">
        <v>53</v>
      </c>
      <c r="O5447" t="s">
        <v>53</v>
      </c>
      <c r="P5447" t="s">
        <v>53</v>
      </c>
      <c r="Q5447" t="s">
        <v>53</v>
      </c>
    </row>
    <row r="5448" spans="1:17" x14ac:dyDescent="0.2">
      <c r="A5448" s="30" t="str">
        <f>IF(C5448&amp;G5448&amp;D5448&lt;&gt;'Funnel setup'!$K$3&amp;'Funnel setup'!$K$4&amp;'Funnel setup'!$K$5,".",IF(A5447=".",1,A5447+1))</f>
        <v>.</v>
      </c>
      <c r="B5448" s="431" t="str">
        <f t="shared" si="85"/>
        <v>Knee Replacement RevisionCCG of GP PracticeNHS REDBRIDGE CCG (08N)EQ-5D Index</v>
      </c>
      <c r="C5448" t="s">
        <v>250</v>
      </c>
      <c r="D5448" t="s">
        <v>87</v>
      </c>
      <c r="E5448" t="s">
        <v>791</v>
      </c>
      <c r="F5448" t="s">
        <v>792</v>
      </c>
      <c r="G5448" t="s">
        <v>52</v>
      </c>
      <c r="H5448" t="s">
        <v>53</v>
      </c>
      <c r="I5448" t="s">
        <v>53</v>
      </c>
      <c r="J5448" t="s">
        <v>53</v>
      </c>
      <c r="K5448" t="s">
        <v>53</v>
      </c>
      <c r="L5448" t="s">
        <v>53</v>
      </c>
      <c r="M5448" t="s">
        <v>53</v>
      </c>
      <c r="N5448" t="s">
        <v>53</v>
      </c>
      <c r="O5448" t="s">
        <v>53</v>
      </c>
      <c r="P5448" t="s">
        <v>53</v>
      </c>
      <c r="Q5448" t="s">
        <v>53</v>
      </c>
    </row>
    <row r="5449" spans="1:17" x14ac:dyDescent="0.2">
      <c r="A5449" s="30" t="str">
        <f>IF(C5449&amp;G5449&amp;D5449&lt;&gt;'Funnel setup'!$K$3&amp;'Funnel setup'!$K$4&amp;'Funnel setup'!$K$5,".",IF(A5448=".",1,A5448+1))</f>
        <v>.</v>
      </c>
      <c r="B5449" s="431" t="str">
        <f t="shared" si="85"/>
        <v>Knee Replacement RevisionCCG of GP PracticeNHS REDDITCH AND BROMSGROVE CCG (05J)EQ-5D Index</v>
      </c>
      <c r="C5449" t="s">
        <v>250</v>
      </c>
      <c r="D5449" t="s">
        <v>87</v>
      </c>
      <c r="E5449" t="s">
        <v>794</v>
      </c>
      <c r="F5449" t="s">
        <v>795</v>
      </c>
      <c r="G5449" t="s">
        <v>52</v>
      </c>
      <c r="H5449">
        <v>6</v>
      </c>
      <c r="I5449">
        <v>0.20499999999999999</v>
      </c>
      <c r="J5449">
        <v>0.61799999999999999</v>
      </c>
      <c r="K5449">
        <v>0.41399999999999998</v>
      </c>
      <c r="L5449">
        <v>6</v>
      </c>
      <c r="M5449">
        <v>0</v>
      </c>
      <c r="N5449">
        <v>0</v>
      </c>
      <c r="O5449" t="s">
        <v>53</v>
      </c>
      <c r="P5449" t="s">
        <v>53</v>
      </c>
      <c r="Q5449" t="s">
        <v>53</v>
      </c>
    </row>
    <row r="5450" spans="1:17" x14ac:dyDescent="0.2">
      <c r="A5450" s="30" t="str">
        <f>IF(C5450&amp;G5450&amp;D5450&lt;&gt;'Funnel setup'!$K$3&amp;'Funnel setup'!$K$4&amp;'Funnel setup'!$K$5,".",IF(A5449=".",1,A5449+1))</f>
        <v>.</v>
      </c>
      <c r="B5450" s="431" t="str">
        <f t="shared" si="85"/>
        <v>Knee Replacement RevisionCCG of GP PracticeNHS RICHMOND CCG (08P)EQ-5D Index</v>
      </c>
      <c r="C5450" t="s">
        <v>250</v>
      </c>
      <c r="D5450" t="s">
        <v>87</v>
      </c>
      <c r="E5450" t="s">
        <v>797</v>
      </c>
      <c r="F5450" t="s">
        <v>798</v>
      </c>
      <c r="G5450" t="s">
        <v>52</v>
      </c>
      <c r="H5450" t="s">
        <v>53</v>
      </c>
      <c r="I5450" t="s">
        <v>53</v>
      </c>
      <c r="J5450" t="s">
        <v>53</v>
      </c>
      <c r="K5450" t="s">
        <v>53</v>
      </c>
      <c r="L5450" t="s">
        <v>53</v>
      </c>
      <c r="M5450" t="s">
        <v>53</v>
      </c>
      <c r="N5450" t="s">
        <v>53</v>
      </c>
      <c r="O5450" t="s">
        <v>53</v>
      </c>
      <c r="P5450" t="s">
        <v>53</v>
      </c>
      <c r="Q5450" t="s">
        <v>53</v>
      </c>
    </row>
    <row r="5451" spans="1:17" x14ac:dyDescent="0.2">
      <c r="A5451" s="30" t="str">
        <f>IF(C5451&amp;G5451&amp;D5451&lt;&gt;'Funnel setup'!$K$3&amp;'Funnel setup'!$K$4&amp;'Funnel setup'!$K$5,".",IF(A5450=".",1,A5450+1))</f>
        <v>.</v>
      </c>
      <c r="B5451" s="431" t="str">
        <f t="shared" si="85"/>
        <v>Knee Replacement RevisionCCG of GP PracticeNHS ROTHERHAM CCG (03L)EQ-5D Index</v>
      </c>
      <c r="C5451" t="s">
        <v>250</v>
      </c>
      <c r="D5451" t="s">
        <v>87</v>
      </c>
      <c r="E5451" t="s">
        <v>800</v>
      </c>
      <c r="F5451" t="s">
        <v>801</v>
      </c>
      <c r="G5451" t="s">
        <v>52</v>
      </c>
      <c r="H5451">
        <v>9</v>
      </c>
      <c r="I5451">
        <v>0.27100000000000002</v>
      </c>
      <c r="J5451">
        <v>0.6</v>
      </c>
      <c r="K5451">
        <v>0.32900000000000001</v>
      </c>
      <c r="L5451">
        <v>6</v>
      </c>
      <c r="M5451">
        <v>1</v>
      </c>
      <c r="N5451">
        <v>2</v>
      </c>
      <c r="O5451" t="s">
        <v>53</v>
      </c>
      <c r="P5451" t="s">
        <v>53</v>
      </c>
      <c r="Q5451" t="s">
        <v>53</v>
      </c>
    </row>
    <row r="5452" spans="1:17" x14ac:dyDescent="0.2">
      <c r="A5452" s="30" t="str">
        <f>IF(C5452&amp;G5452&amp;D5452&lt;&gt;'Funnel setup'!$K$3&amp;'Funnel setup'!$K$4&amp;'Funnel setup'!$K$5,".",IF(A5451=".",1,A5451+1))</f>
        <v>.</v>
      </c>
      <c r="B5452" s="431" t="str">
        <f t="shared" si="85"/>
        <v>Knee Replacement RevisionCCG of GP PracticeNHS RUSHCLIFFE CCG (04N)EQ-5D Index</v>
      </c>
      <c r="C5452" t="s">
        <v>250</v>
      </c>
      <c r="D5452" t="s">
        <v>87</v>
      </c>
      <c r="E5452" t="s">
        <v>803</v>
      </c>
      <c r="F5452" t="s">
        <v>804</v>
      </c>
      <c r="G5452" t="s">
        <v>52</v>
      </c>
      <c r="H5452" t="s">
        <v>53</v>
      </c>
      <c r="I5452" t="s">
        <v>53</v>
      </c>
      <c r="J5452" t="s">
        <v>53</v>
      </c>
      <c r="K5452" t="s">
        <v>53</v>
      </c>
      <c r="L5452" t="s">
        <v>53</v>
      </c>
      <c r="M5452" t="s">
        <v>53</v>
      </c>
      <c r="N5452" t="s">
        <v>53</v>
      </c>
      <c r="O5452" t="s">
        <v>53</v>
      </c>
      <c r="P5452" t="s">
        <v>53</v>
      </c>
      <c r="Q5452" t="s">
        <v>53</v>
      </c>
    </row>
    <row r="5453" spans="1:17" x14ac:dyDescent="0.2">
      <c r="A5453" s="30" t="str">
        <f>IF(C5453&amp;G5453&amp;D5453&lt;&gt;'Funnel setup'!$K$3&amp;'Funnel setup'!$K$4&amp;'Funnel setup'!$K$5,".",IF(A5452=".",1,A5452+1))</f>
        <v>.</v>
      </c>
      <c r="B5453" s="431" t="str">
        <f t="shared" si="85"/>
        <v>Knee Replacement RevisionCCG of GP PracticeNHS SALFORD CCG (01G)EQ-5D Index</v>
      </c>
      <c r="C5453" t="s">
        <v>250</v>
      </c>
      <c r="D5453" t="s">
        <v>87</v>
      </c>
      <c r="E5453" t="s">
        <v>806</v>
      </c>
      <c r="F5453" t="s">
        <v>807</v>
      </c>
      <c r="G5453" t="s">
        <v>52</v>
      </c>
      <c r="H5453">
        <v>9</v>
      </c>
      <c r="I5453">
        <v>0.14899999999999999</v>
      </c>
      <c r="J5453">
        <v>0.38400000000000001</v>
      </c>
      <c r="K5453">
        <v>0.23499999999999999</v>
      </c>
      <c r="L5453">
        <v>6</v>
      </c>
      <c r="M5453">
        <v>0</v>
      </c>
      <c r="N5453">
        <v>3</v>
      </c>
      <c r="O5453" t="s">
        <v>53</v>
      </c>
      <c r="P5453" t="s">
        <v>53</v>
      </c>
      <c r="Q5453" t="s">
        <v>53</v>
      </c>
    </row>
    <row r="5454" spans="1:17" x14ac:dyDescent="0.2">
      <c r="A5454" s="30" t="str">
        <f>IF(C5454&amp;G5454&amp;D5454&lt;&gt;'Funnel setup'!$K$3&amp;'Funnel setup'!$K$4&amp;'Funnel setup'!$K$5,".",IF(A5453=".",1,A5453+1))</f>
        <v>.</v>
      </c>
      <c r="B5454" s="431" t="str">
        <f t="shared" si="85"/>
        <v>Knee Replacement RevisionCCG of GP PracticeNHS SANDWELL AND WEST BIRMINGHAM CCG (05L)EQ-5D Index</v>
      </c>
      <c r="C5454" t="s">
        <v>250</v>
      </c>
      <c r="D5454" t="s">
        <v>87</v>
      </c>
      <c r="E5454" t="s">
        <v>809</v>
      </c>
      <c r="F5454" t="s">
        <v>810</v>
      </c>
      <c r="G5454" t="s">
        <v>52</v>
      </c>
      <c r="H5454" t="s">
        <v>53</v>
      </c>
      <c r="I5454" t="s">
        <v>53</v>
      </c>
      <c r="J5454" t="s">
        <v>53</v>
      </c>
      <c r="K5454" t="s">
        <v>53</v>
      </c>
      <c r="L5454" t="s">
        <v>53</v>
      </c>
      <c r="M5454" t="s">
        <v>53</v>
      </c>
      <c r="N5454" t="s">
        <v>53</v>
      </c>
      <c r="O5454" t="s">
        <v>53</v>
      </c>
      <c r="P5454" t="s">
        <v>53</v>
      </c>
      <c r="Q5454" t="s">
        <v>53</v>
      </c>
    </row>
    <row r="5455" spans="1:17" x14ac:dyDescent="0.2">
      <c r="A5455" s="30" t="str">
        <f>IF(C5455&amp;G5455&amp;D5455&lt;&gt;'Funnel setup'!$K$3&amp;'Funnel setup'!$K$4&amp;'Funnel setup'!$K$5,".",IF(A5454=".",1,A5454+1))</f>
        <v>.</v>
      </c>
      <c r="B5455" s="431" t="str">
        <f t="shared" si="85"/>
        <v>Knee Replacement RevisionCCG of GP PracticeNHS SCARBOROUGH AND RYEDALE CCG (03M)EQ-5D Index</v>
      </c>
      <c r="C5455" t="s">
        <v>250</v>
      </c>
      <c r="D5455" t="s">
        <v>87</v>
      </c>
      <c r="E5455" t="s">
        <v>812</v>
      </c>
      <c r="F5455" t="s">
        <v>813</v>
      </c>
      <c r="G5455" t="s">
        <v>52</v>
      </c>
      <c r="H5455">
        <v>6</v>
      </c>
      <c r="I5455">
        <v>0.35399999999999998</v>
      </c>
      <c r="J5455">
        <v>0.58399999999999996</v>
      </c>
      <c r="K5455">
        <v>0.23</v>
      </c>
      <c r="L5455">
        <v>3</v>
      </c>
      <c r="M5455">
        <v>2</v>
      </c>
      <c r="N5455">
        <v>1</v>
      </c>
      <c r="O5455" t="s">
        <v>53</v>
      </c>
      <c r="P5455" t="s">
        <v>53</v>
      </c>
      <c r="Q5455" t="s">
        <v>53</v>
      </c>
    </row>
    <row r="5456" spans="1:17" x14ac:dyDescent="0.2">
      <c r="A5456" s="30" t="str">
        <f>IF(C5456&amp;G5456&amp;D5456&lt;&gt;'Funnel setup'!$K$3&amp;'Funnel setup'!$K$4&amp;'Funnel setup'!$K$5,".",IF(A5455=".",1,A5455+1))</f>
        <v>.</v>
      </c>
      <c r="B5456" s="431" t="str">
        <f t="shared" si="85"/>
        <v>Knee Replacement RevisionCCG of GP PracticeNHS SHEFFIELD CCG (03N)EQ-5D Index</v>
      </c>
      <c r="C5456" t="s">
        <v>250</v>
      </c>
      <c r="D5456" t="s">
        <v>87</v>
      </c>
      <c r="E5456" t="s">
        <v>815</v>
      </c>
      <c r="F5456" t="s">
        <v>816</v>
      </c>
      <c r="G5456" t="s">
        <v>52</v>
      </c>
      <c r="H5456">
        <v>24</v>
      </c>
      <c r="I5456">
        <v>0.33200000000000002</v>
      </c>
      <c r="J5456">
        <v>0.51700000000000002</v>
      </c>
      <c r="K5456">
        <v>0.185</v>
      </c>
      <c r="L5456">
        <v>15</v>
      </c>
      <c r="M5456">
        <v>4</v>
      </c>
      <c r="N5456">
        <v>5</v>
      </c>
      <c r="O5456" t="s">
        <v>53</v>
      </c>
      <c r="P5456" t="s">
        <v>53</v>
      </c>
      <c r="Q5456" t="s">
        <v>53</v>
      </c>
    </row>
    <row r="5457" spans="1:17" x14ac:dyDescent="0.2">
      <c r="A5457" s="30" t="str">
        <f>IF(C5457&amp;G5457&amp;D5457&lt;&gt;'Funnel setup'!$K$3&amp;'Funnel setup'!$K$4&amp;'Funnel setup'!$K$5,".",IF(A5456=".",1,A5456+1))</f>
        <v>.</v>
      </c>
      <c r="B5457" s="431" t="str">
        <f t="shared" si="85"/>
        <v>Knee Replacement RevisionCCG of GP PracticeNHS SHROPSHIRE CCG (05N)EQ-5D Index</v>
      </c>
      <c r="C5457" t="s">
        <v>250</v>
      </c>
      <c r="D5457" t="s">
        <v>87</v>
      </c>
      <c r="E5457" t="s">
        <v>818</v>
      </c>
      <c r="F5457" t="s">
        <v>819</v>
      </c>
      <c r="G5457" t="s">
        <v>52</v>
      </c>
      <c r="H5457">
        <v>16</v>
      </c>
      <c r="I5457">
        <v>0.24199999999999999</v>
      </c>
      <c r="J5457">
        <v>0.55200000000000005</v>
      </c>
      <c r="K5457">
        <v>0.31</v>
      </c>
      <c r="L5457">
        <v>13</v>
      </c>
      <c r="M5457">
        <v>0</v>
      </c>
      <c r="N5457">
        <v>3</v>
      </c>
      <c r="O5457" t="s">
        <v>53</v>
      </c>
      <c r="P5457" t="s">
        <v>53</v>
      </c>
      <c r="Q5457" t="s">
        <v>53</v>
      </c>
    </row>
    <row r="5458" spans="1:17" x14ac:dyDescent="0.2">
      <c r="A5458" s="30" t="str">
        <f>IF(C5458&amp;G5458&amp;D5458&lt;&gt;'Funnel setup'!$K$3&amp;'Funnel setup'!$K$4&amp;'Funnel setup'!$K$5,".",IF(A5457=".",1,A5457+1))</f>
        <v>.</v>
      </c>
      <c r="B5458" s="431" t="str">
        <f t="shared" si="85"/>
        <v>Knee Replacement RevisionCCG of GP PracticeNHS SLOUGH CCG (10T)EQ-5D Index</v>
      </c>
      <c r="C5458" t="s">
        <v>250</v>
      </c>
      <c r="D5458" t="s">
        <v>87</v>
      </c>
      <c r="E5458" t="s">
        <v>821</v>
      </c>
      <c r="F5458" t="s">
        <v>822</v>
      </c>
      <c r="G5458" t="s">
        <v>52</v>
      </c>
      <c r="H5458" t="s">
        <v>53</v>
      </c>
      <c r="I5458" t="s">
        <v>53</v>
      </c>
      <c r="J5458" t="s">
        <v>53</v>
      </c>
      <c r="K5458" t="s">
        <v>53</v>
      </c>
      <c r="L5458" t="s">
        <v>53</v>
      </c>
      <c r="M5458" t="s">
        <v>53</v>
      </c>
      <c r="N5458" t="s">
        <v>53</v>
      </c>
      <c r="O5458" t="s">
        <v>53</v>
      </c>
      <c r="P5458" t="s">
        <v>53</v>
      </c>
      <c r="Q5458" t="s">
        <v>53</v>
      </c>
    </row>
    <row r="5459" spans="1:17" x14ac:dyDescent="0.2">
      <c r="A5459" s="30" t="str">
        <f>IF(C5459&amp;G5459&amp;D5459&lt;&gt;'Funnel setup'!$K$3&amp;'Funnel setup'!$K$4&amp;'Funnel setup'!$K$5,".",IF(A5458=".",1,A5458+1))</f>
        <v>.</v>
      </c>
      <c r="B5459" s="431" t="str">
        <f t="shared" si="85"/>
        <v>Knee Replacement RevisionCCG of GP PracticeNHS SOLIHULL CCG (05P)EQ-5D Index</v>
      </c>
      <c r="C5459" t="s">
        <v>250</v>
      </c>
      <c r="D5459" t="s">
        <v>87</v>
      </c>
      <c r="E5459" t="s">
        <v>824</v>
      </c>
      <c r="F5459" t="s">
        <v>825</v>
      </c>
      <c r="G5459" t="s">
        <v>52</v>
      </c>
      <c r="H5459">
        <v>7</v>
      </c>
      <c r="I5459">
        <v>0.251</v>
      </c>
      <c r="J5459">
        <v>0.432</v>
      </c>
      <c r="K5459">
        <v>0.182</v>
      </c>
      <c r="L5459">
        <v>5</v>
      </c>
      <c r="M5459">
        <v>1</v>
      </c>
      <c r="N5459">
        <v>1</v>
      </c>
      <c r="O5459" t="s">
        <v>53</v>
      </c>
      <c r="P5459" t="s">
        <v>53</v>
      </c>
      <c r="Q5459" t="s">
        <v>53</v>
      </c>
    </row>
    <row r="5460" spans="1:17" x14ac:dyDescent="0.2">
      <c r="A5460" s="30" t="str">
        <f>IF(C5460&amp;G5460&amp;D5460&lt;&gt;'Funnel setup'!$K$3&amp;'Funnel setup'!$K$4&amp;'Funnel setup'!$K$5,".",IF(A5459=".",1,A5459+1))</f>
        <v>.</v>
      </c>
      <c r="B5460" s="431" t="str">
        <f t="shared" si="85"/>
        <v>Knee Replacement RevisionCCG of GP PracticeNHS SOMERSET CCG (11X)EQ-5D Index</v>
      </c>
      <c r="C5460" t="s">
        <v>250</v>
      </c>
      <c r="D5460" t="s">
        <v>87</v>
      </c>
      <c r="E5460" t="s">
        <v>827</v>
      </c>
      <c r="F5460" t="s">
        <v>828</v>
      </c>
      <c r="G5460" t="s">
        <v>52</v>
      </c>
      <c r="H5460">
        <v>6</v>
      </c>
      <c r="I5460">
        <v>0.318</v>
      </c>
      <c r="J5460">
        <v>0.55300000000000005</v>
      </c>
      <c r="K5460">
        <v>0.23499999999999999</v>
      </c>
      <c r="L5460">
        <v>4</v>
      </c>
      <c r="M5460">
        <v>1</v>
      </c>
      <c r="N5460">
        <v>1</v>
      </c>
      <c r="O5460" t="s">
        <v>53</v>
      </c>
      <c r="P5460" t="s">
        <v>53</v>
      </c>
      <c r="Q5460" t="s">
        <v>53</v>
      </c>
    </row>
    <row r="5461" spans="1:17" x14ac:dyDescent="0.2">
      <c r="A5461" s="30" t="str">
        <f>IF(C5461&amp;G5461&amp;D5461&lt;&gt;'Funnel setup'!$K$3&amp;'Funnel setup'!$K$4&amp;'Funnel setup'!$K$5,".",IF(A5460=".",1,A5460+1))</f>
        <v>.</v>
      </c>
      <c r="B5461" s="431" t="str">
        <f t="shared" si="85"/>
        <v>Knee Replacement RevisionCCG of GP PracticeNHS SOUTH CHESHIRE CCG (01R)EQ-5D Index</v>
      </c>
      <c r="C5461" t="s">
        <v>250</v>
      </c>
      <c r="D5461" t="s">
        <v>87</v>
      </c>
      <c r="E5461" t="s">
        <v>830</v>
      </c>
      <c r="F5461" t="s">
        <v>831</v>
      </c>
      <c r="G5461" t="s">
        <v>52</v>
      </c>
      <c r="H5461">
        <v>6</v>
      </c>
      <c r="I5461">
        <v>0.316</v>
      </c>
      <c r="J5461">
        <v>0.65700000000000003</v>
      </c>
      <c r="K5461">
        <v>0.34100000000000003</v>
      </c>
      <c r="L5461">
        <v>5</v>
      </c>
      <c r="M5461">
        <v>0</v>
      </c>
      <c r="N5461">
        <v>1</v>
      </c>
      <c r="O5461" t="s">
        <v>53</v>
      </c>
      <c r="P5461" t="s">
        <v>53</v>
      </c>
      <c r="Q5461" t="s">
        <v>53</v>
      </c>
    </row>
    <row r="5462" spans="1:17" x14ac:dyDescent="0.2">
      <c r="A5462" s="30" t="str">
        <f>IF(C5462&amp;G5462&amp;D5462&lt;&gt;'Funnel setup'!$K$3&amp;'Funnel setup'!$K$4&amp;'Funnel setup'!$K$5,".",IF(A5461=".",1,A5461+1))</f>
        <v>.</v>
      </c>
      <c r="B5462" s="431" t="str">
        <f t="shared" si="85"/>
        <v>Knee Replacement RevisionCCG of GP PracticeNHS SOUTH DEVON AND TORBAY CCG (99Q)EQ-5D Index</v>
      </c>
      <c r="C5462" t="s">
        <v>250</v>
      </c>
      <c r="D5462" t="s">
        <v>87</v>
      </c>
      <c r="E5462" t="s">
        <v>833</v>
      </c>
      <c r="F5462" t="s">
        <v>834</v>
      </c>
      <c r="G5462" t="s">
        <v>52</v>
      </c>
      <c r="H5462">
        <v>14</v>
      </c>
      <c r="I5462">
        <v>0.374</v>
      </c>
      <c r="J5462">
        <v>0.76400000000000001</v>
      </c>
      <c r="K5462">
        <v>0.39100000000000001</v>
      </c>
      <c r="L5462">
        <v>12</v>
      </c>
      <c r="M5462">
        <v>1</v>
      </c>
      <c r="N5462">
        <v>1</v>
      </c>
      <c r="O5462" t="s">
        <v>53</v>
      </c>
      <c r="P5462" t="s">
        <v>53</v>
      </c>
      <c r="Q5462" t="s">
        <v>53</v>
      </c>
    </row>
    <row r="5463" spans="1:17" x14ac:dyDescent="0.2">
      <c r="A5463" s="30" t="str">
        <f>IF(C5463&amp;G5463&amp;D5463&lt;&gt;'Funnel setup'!$K$3&amp;'Funnel setup'!$K$4&amp;'Funnel setup'!$K$5,".",IF(A5462=".",1,A5462+1))</f>
        <v>.</v>
      </c>
      <c r="B5463" s="431" t="str">
        <f t="shared" si="85"/>
        <v>Knee Replacement RevisionCCG of GP PracticeNHS SOUTH EAST STAFFORDSHIRE AND SEISDON PENINSULA CCG (05Q)EQ-5D Index</v>
      </c>
      <c r="C5463" t="s">
        <v>250</v>
      </c>
      <c r="D5463" t="s">
        <v>87</v>
      </c>
      <c r="E5463" t="s">
        <v>836</v>
      </c>
      <c r="F5463" t="s">
        <v>837</v>
      </c>
      <c r="G5463" t="s">
        <v>52</v>
      </c>
      <c r="H5463">
        <v>7</v>
      </c>
      <c r="I5463">
        <v>0.57499999999999996</v>
      </c>
      <c r="J5463">
        <v>0.52800000000000002</v>
      </c>
      <c r="K5463">
        <v>-4.7E-2</v>
      </c>
      <c r="L5463">
        <v>3</v>
      </c>
      <c r="M5463">
        <v>1</v>
      </c>
      <c r="N5463">
        <v>3</v>
      </c>
      <c r="O5463" t="s">
        <v>53</v>
      </c>
      <c r="P5463" t="s">
        <v>53</v>
      </c>
      <c r="Q5463" t="s">
        <v>53</v>
      </c>
    </row>
    <row r="5464" spans="1:17" x14ac:dyDescent="0.2">
      <c r="A5464" s="30" t="str">
        <f>IF(C5464&amp;G5464&amp;D5464&lt;&gt;'Funnel setup'!$K$3&amp;'Funnel setup'!$K$4&amp;'Funnel setup'!$K$5,".",IF(A5463=".",1,A5463+1))</f>
        <v>.</v>
      </c>
      <c r="B5464" s="431" t="str">
        <f t="shared" si="85"/>
        <v>Knee Replacement RevisionCCG of GP PracticeNHS SOUTH EASTERN HAMPSHIRE CCG (10V)EQ-5D Index</v>
      </c>
      <c r="C5464" t="s">
        <v>250</v>
      </c>
      <c r="D5464" t="s">
        <v>87</v>
      </c>
      <c r="E5464" t="s">
        <v>839</v>
      </c>
      <c r="F5464" t="s">
        <v>840</v>
      </c>
      <c r="G5464" t="s">
        <v>52</v>
      </c>
      <c r="H5464" t="s">
        <v>53</v>
      </c>
      <c r="I5464" t="s">
        <v>53</v>
      </c>
      <c r="J5464" t="s">
        <v>53</v>
      </c>
      <c r="K5464" t="s">
        <v>53</v>
      </c>
      <c r="L5464" t="s">
        <v>53</v>
      </c>
      <c r="M5464" t="s">
        <v>53</v>
      </c>
      <c r="N5464" t="s">
        <v>53</v>
      </c>
      <c r="O5464" t="s">
        <v>53</v>
      </c>
      <c r="P5464" t="s">
        <v>53</v>
      </c>
      <c r="Q5464" t="s">
        <v>53</v>
      </c>
    </row>
    <row r="5465" spans="1:17" x14ac:dyDescent="0.2">
      <c r="A5465" s="30" t="str">
        <f>IF(C5465&amp;G5465&amp;D5465&lt;&gt;'Funnel setup'!$K$3&amp;'Funnel setup'!$K$4&amp;'Funnel setup'!$K$5,".",IF(A5464=".",1,A5464+1))</f>
        <v>.</v>
      </c>
      <c r="B5465" s="431" t="str">
        <f t="shared" si="85"/>
        <v>Knee Replacement RevisionCCG of GP PracticeNHS SOUTH GLOUCESTERSHIRE CCG (12A)EQ-5D Index</v>
      </c>
      <c r="C5465" t="s">
        <v>250</v>
      </c>
      <c r="D5465" t="s">
        <v>87</v>
      </c>
      <c r="E5465" t="s">
        <v>842</v>
      </c>
      <c r="F5465" t="s">
        <v>843</v>
      </c>
      <c r="G5465" t="s">
        <v>52</v>
      </c>
      <c r="H5465">
        <v>6</v>
      </c>
      <c r="I5465">
        <v>0.26300000000000001</v>
      </c>
      <c r="J5465">
        <v>0.65700000000000003</v>
      </c>
      <c r="K5465">
        <v>0.39400000000000002</v>
      </c>
      <c r="L5465">
        <v>6</v>
      </c>
      <c r="M5465">
        <v>0</v>
      </c>
      <c r="N5465">
        <v>0</v>
      </c>
      <c r="O5465" t="s">
        <v>53</v>
      </c>
      <c r="P5465" t="s">
        <v>53</v>
      </c>
      <c r="Q5465" t="s">
        <v>53</v>
      </c>
    </row>
    <row r="5466" spans="1:17" x14ac:dyDescent="0.2">
      <c r="A5466" s="30" t="str">
        <f>IF(C5466&amp;G5466&amp;D5466&lt;&gt;'Funnel setup'!$K$3&amp;'Funnel setup'!$K$4&amp;'Funnel setup'!$K$5,".",IF(A5465=".",1,A5465+1))</f>
        <v>.</v>
      </c>
      <c r="B5466" s="431" t="str">
        <f t="shared" si="85"/>
        <v>Knee Replacement RevisionCCG of GP PracticeNHS SOUTH KENT COAST CCG (10A)EQ-5D Index</v>
      </c>
      <c r="C5466" t="s">
        <v>250</v>
      </c>
      <c r="D5466" t="s">
        <v>87</v>
      </c>
      <c r="E5466" t="s">
        <v>845</v>
      </c>
      <c r="F5466" t="s">
        <v>846</v>
      </c>
      <c r="G5466" t="s">
        <v>52</v>
      </c>
      <c r="H5466" t="s">
        <v>53</v>
      </c>
      <c r="I5466" t="s">
        <v>53</v>
      </c>
      <c r="J5466" t="s">
        <v>53</v>
      </c>
      <c r="K5466" t="s">
        <v>53</v>
      </c>
      <c r="L5466" t="s">
        <v>53</v>
      </c>
      <c r="M5466" t="s">
        <v>53</v>
      </c>
      <c r="N5466" t="s">
        <v>53</v>
      </c>
      <c r="O5466" t="s">
        <v>53</v>
      </c>
      <c r="P5466" t="s">
        <v>53</v>
      </c>
      <c r="Q5466" t="s">
        <v>53</v>
      </c>
    </row>
    <row r="5467" spans="1:17" x14ac:dyDescent="0.2">
      <c r="A5467" s="30" t="str">
        <f>IF(C5467&amp;G5467&amp;D5467&lt;&gt;'Funnel setup'!$K$3&amp;'Funnel setup'!$K$4&amp;'Funnel setup'!$K$5,".",IF(A5466=".",1,A5466+1))</f>
        <v>.</v>
      </c>
      <c r="B5467" s="431" t="str">
        <f t="shared" si="85"/>
        <v>Knee Replacement RevisionCCG of GP PracticeNHS SOUTH LINCOLNSHIRE CCG (99D)EQ-5D Index</v>
      </c>
      <c r="C5467" t="s">
        <v>250</v>
      </c>
      <c r="D5467" t="s">
        <v>87</v>
      </c>
      <c r="E5467" t="s">
        <v>848</v>
      </c>
      <c r="F5467" t="s">
        <v>849</v>
      </c>
      <c r="G5467" t="s">
        <v>52</v>
      </c>
      <c r="H5467">
        <v>7</v>
      </c>
      <c r="I5467">
        <v>0.39900000000000002</v>
      </c>
      <c r="J5467">
        <v>0.54</v>
      </c>
      <c r="K5467">
        <v>0.14199999999999999</v>
      </c>
      <c r="L5467">
        <v>5</v>
      </c>
      <c r="M5467">
        <v>1</v>
      </c>
      <c r="N5467">
        <v>1</v>
      </c>
      <c r="O5467" t="s">
        <v>53</v>
      </c>
      <c r="P5467" t="s">
        <v>53</v>
      </c>
      <c r="Q5467" t="s">
        <v>53</v>
      </c>
    </row>
    <row r="5468" spans="1:17" x14ac:dyDescent="0.2">
      <c r="A5468" s="30" t="str">
        <f>IF(C5468&amp;G5468&amp;D5468&lt;&gt;'Funnel setup'!$K$3&amp;'Funnel setup'!$K$4&amp;'Funnel setup'!$K$5,".",IF(A5467=".",1,A5467+1))</f>
        <v>.</v>
      </c>
      <c r="B5468" s="431" t="str">
        <f t="shared" si="85"/>
        <v>Knee Replacement RevisionCCG of GP PracticeNHS SOUTH MANCHESTER CCG (01N)EQ-5D Index</v>
      </c>
      <c r="C5468" t="s">
        <v>250</v>
      </c>
      <c r="D5468" t="s">
        <v>87</v>
      </c>
      <c r="E5468" t="s">
        <v>851</v>
      </c>
      <c r="F5468" t="s">
        <v>852</v>
      </c>
      <c r="G5468" t="s">
        <v>52</v>
      </c>
      <c r="H5468" t="s">
        <v>53</v>
      </c>
      <c r="I5468" t="s">
        <v>53</v>
      </c>
      <c r="J5468" t="s">
        <v>53</v>
      </c>
      <c r="K5468" t="s">
        <v>53</v>
      </c>
      <c r="L5468" t="s">
        <v>53</v>
      </c>
      <c r="M5468" t="s">
        <v>53</v>
      </c>
      <c r="N5468" t="s">
        <v>53</v>
      </c>
      <c r="O5468" t="s">
        <v>53</v>
      </c>
      <c r="P5468" t="s">
        <v>53</v>
      </c>
      <c r="Q5468" t="s">
        <v>53</v>
      </c>
    </row>
    <row r="5469" spans="1:17" x14ac:dyDescent="0.2">
      <c r="A5469" s="30" t="str">
        <f>IF(C5469&amp;G5469&amp;D5469&lt;&gt;'Funnel setup'!$K$3&amp;'Funnel setup'!$K$4&amp;'Funnel setup'!$K$5,".",IF(A5468=".",1,A5468+1))</f>
        <v>.</v>
      </c>
      <c r="B5469" s="431" t="str">
        <f t="shared" si="85"/>
        <v>Knee Replacement RevisionCCG of GP PracticeNHS SOUTH NORFOLK CCG (06Y)EQ-5D Index</v>
      </c>
      <c r="C5469" t="s">
        <v>250</v>
      </c>
      <c r="D5469" t="s">
        <v>87</v>
      </c>
      <c r="E5469" t="s">
        <v>932</v>
      </c>
      <c r="F5469" t="s">
        <v>933</v>
      </c>
      <c r="G5469" t="s">
        <v>52</v>
      </c>
      <c r="H5469">
        <v>15</v>
      </c>
      <c r="I5469">
        <v>0.33200000000000002</v>
      </c>
      <c r="J5469">
        <v>0.64900000000000002</v>
      </c>
      <c r="K5469">
        <v>0.317</v>
      </c>
      <c r="L5469">
        <v>13</v>
      </c>
      <c r="M5469">
        <v>1</v>
      </c>
      <c r="N5469">
        <v>1</v>
      </c>
      <c r="O5469" t="s">
        <v>53</v>
      </c>
      <c r="P5469" t="s">
        <v>53</v>
      </c>
      <c r="Q5469" t="s">
        <v>53</v>
      </c>
    </row>
    <row r="5470" spans="1:17" x14ac:dyDescent="0.2">
      <c r="A5470" s="30" t="str">
        <f>IF(C5470&amp;G5470&amp;D5470&lt;&gt;'Funnel setup'!$K$3&amp;'Funnel setup'!$K$4&amp;'Funnel setup'!$K$5,".",IF(A5469=".",1,A5469+1))</f>
        <v>.</v>
      </c>
      <c r="B5470" s="431" t="str">
        <f t="shared" si="85"/>
        <v>Knee Replacement RevisionCCG of GP PracticeNHS SOUTH READING CCG (10W)EQ-5D Index</v>
      </c>
      <c r="C5470" t="s">
        <v>250</v>
      </c>
      <c r="D5470" t="s">
        <v>87</v>
      </c>
      <c r="E5470" t="s">
        <v>935</v>
      </c>
      <c r="F5470" t="s">
        <v>936</v>
      </c>
      <c r="G5470" t="s">
        <v>52</v>
      </c>
      <c r="H5470" t="s">
        <v>53</v>
      </c>
      <c r="I5470" t="s">
        <v>53</v>
      </c>
      <c r="J5470" t="s">
        <v>53</v>
      </c>
      <c r="K5470" t="s">
        <v>53</v>
      </c>
      <c r="L5470" t="s">
        <v>53</v>
      </c>
      <c r="M5470" t="s">
        <v>53</v>
      </c>
      <c r="N5470" t="s">
        <v>53</v>
      </c>
      <c r="O5470" t="s">
        <v>53</v>
      </c>
      <c r="P5470" t="s">
        <v>53</v>
      </c>
      <c r="Q5470" t="s">
        <v>53</v>
      </c>
    </row>
    <row r="5471" spans="1:17" x14ac:dyDescent="0.2">
      <c r="A5471" s="30" t="str">
        <f>IF(C5471&amp;G5471&amp;D5471&lt;&gt;'Funnel setup'!$K$3&amp;'Funnel setup'!$K$4&amp;'Funnel setup'!$K$5,".",IF(A5470=".",1,A5470+1))</f>
        <v>.</v>
      </c>
      <c r="B5471" s="431" t="str">
        <f t="shared" si="85"/>
        <v>Knee Replacement RevisionCCG of GP PracticeNHS SOUTH SEFTON CCG (01T)EQ-5D Index</v>
      </c>
      <c r="C5471" t="s">
        <v>250</v>
      </c>
      <c r="D5471" t="s">
        <v>87</v>
      </c>
      <c r="E5471" t="s">
        <v>938</v>
      </c>
      <c r="F5471" t="s">
        <v>939</v>
      </c>
      <c r="G5471" t="s">
        <v>52</v>
      </c>
      <c r="H5471" t="s">
        <v>53</v>
      </c>
      <c r="I5471" t="s">
        <v>53</v>
      </c>
      <c r="J5471" t="s">
        <v>53</v>
      </c>
      <c r="K5471" t="s">
        <v>53</v>
      </c>
      <c r="L5471" t="s">
        <v>53</v>
      </c>
      <c r="M5471" t="s">
        <v>53</v>
      </c>
      <c r="N5471" t="s">
        <v>53</v>
      </c>
      <c r="O5471" t="s">
        <v>53</v>
      </c>
      <c r="P5471" t="s">
        <v>53</v>
      </c>
      <c r="Q5471" t="s">
        <v>53</v>
      </c>
    </row>
    <row r="5472" spans="1:17" x14ac:dyDescent="0.2">
      <c r="A5472" s="30" t="str">
        <f>IF(C5472&amp;G5472&amp;D5472&lt;&gt;'Funnel setup'!$K$3&amp;'Funnel setup'!$K$4&amp;'Funnel setup'!$K$5,".",IF(A5471=".",1,A5471+1))</f>
        <v>.</v>
      </c>
      <c r="B5472" s="431" t="str">
        <f t="shared" si="85"/>
        <v>Knee Replacement RevisionCCG of GP PracticeNHS SOUTH TEES CCG (00M)EQ-5D Index</v>
      </c>
      <c r="C5472" t="s">
        <v>250</v>
      </c>
      <c r="D5472" t="s">
        <v>87</v>
      </c>
      <c r="E5472" t="s">
        <v>941</v>
      </c>
      <c r="F5472" t="s">
        <v>942</v>
      </c>
      <c r="G5472" t="s">
        <v>52</v>
      </c>
      <c r="H5472">
        <v>7</v>
      </c>
      <c r="I5472">
        <v>0.33600000000000002</v>
      </c>
      <c r="J5472">
        <v>0.49</v>
      </c>
      <c r="K5472">
        <v>0.154</v>
      </c>
      <c r="L5472">
        <v>5</v>
      </c>
      <c r="M5472">
        <v>0</v>
      </c>
      <c r="N5472">
        <v>2</v>
      </c>
      <c r="O5472" t="s">
        <v>53</v>
      </c>
      <c r="P5472" t="s">
        <v>53</v>
      </c>
      <c r="Q5472" t="s">
        <v>53</v>
      </c>
    </row>
    <row r="5473" spans="1:17" x14ac:dyDescent="0.2">
      <c r="A5473" s="30" t="str">
        <f>IF(C5473&amp;G5473&amp;D5473&lt;&gt;'Funnel setup'!$K$3&amp;'Funnel setup'!$K$4&amp;'Funnel setup'!$K$5,".",IF(A5472=".",1,A5472+1))</f>
        <v>.</v>
      </c>
      <c r="B5473" s="431" t="str">
        <f t="shared" si="85"/>
        <v>Knee Replacement RevisionCCG of GP PracticeNHS SOUTH TYNESIDE CCG (00N)EQ-5D Index</v>
      </c>
      <c r="C5473" t="s">
        <v>250</v>
      </c>
      <c r="D5473" t="s">
        <v>87</v>
      </c>
      <c r="E5473" t="s">
        <v>1016</v>
      </c>
      <c r="F5473" t="s">
        <v>1017</v>
      </c>
      <c r="G5473" t="s">
        <v>52</v>
      </c>
      <c r="H5473" t="s">
        <v>53</v>
      </c>
      <c r="I5473" t="s">
        <v>53</v>
      </c>
      <c r="J5473" t="s">
        <v>53</v>
      </c>
      <c r="K5473" t="s">
        <v>53</v>
      </c>
      <c r="L5473" t="s">
        <v>53</v>
      </c>
      <c r="M5473" t="s">
        <v>53</v>
      </c>
      <c r="N5473" t="s">
        <v>53</v>
      </c>
      <c r="O5473" t="s">
        <v>53</v>
      </c>
      <c r="P5473" t="s">
        <v>53</v>
      </c>
      <c r="Q5473" t="s">
        <v>53</v>
      </c>
    </row>
    <row r="5474" spans="1:17" x14ac:dyDescent="0.2">
      <c r="A5474" s="30" t="str">
        <f>IF(C5474&amp;G5474&amp;D5474&lt;&gt;'Funnel setup'!$K$3&amp;'Funnel setup'!$K$4&amp;'Funnel setup'!$K$5,".",IF(A5473=".",1,A5473+1))</f>
        <v>.</v>
      </c>
      <c r="B5474" s="431" t="str">
        <f t="shared" si="85"/>
        <v>Knee Replacement RevisionCCG of GP PracticeNHS SOUTH WARWICKSHIRE CCG (05R)EQ-5D Index</v>
      </c>
      <c r="C5474" t="s">
        <v>250</v>
      </c>
      <c r="D5474" t="s">
        <v>87</v>
      </c>
      <c r="E5474" t="s">
        <v>944</v>
      </c>
      <c r="F5474" t="s">
        <v>945</v>
      </c>
      <c r="G5474" t="s">
        <v>52</v>
      </c>
      <c r="H5474">
        <v>13</v>
      </c>
      <c r="I5474">
        <v>0.56799999999999995</v>
      </c>
      <c r="J5474">
        <v>0.72499999999999998</v>
      </c>
      <c r="K5474">
        <v>0.156</v>
      </c>
      <c r="L5474">
        <v>8</v>
      </c>
      <c r="M5474">
        <v>4</v>
      </c>
      <c r="N5474">
        <v>1</v>
      </c>
      <c r="O5474" t="s">
        <v>53</v>
      </c>
      <c r="P5474" t="s">
        <v>53</v>
      </c>
      <c r="Q5474" t="s">
        <v>53</v>
      </c>
    </row>
    <row r="5475" spans="1:17" x14ac:dyDescent="0.2">
      <c r="A5475" s="30" t="str">
        <f>IF(C5475&amp;G5475&amp;D5475&lt;&gt;'Funnel setup'!$K$3&amp;'Funnel setup'!$K$4&amp;'Funnel setup'!$K$5,".",IF(A5474=".",1,A5474+1))</f>
        <v>.</v>
      </c>
      <c r="B5475" s="431" t="str">
        <f t="shared" si="85"/>
        <v>Knee Replacement RevisionCCG of GP PracticeNHS SOUTH WEST LINCOLNSHIRE CCG (04Q)EQ-5D Index</v>
      </c>
      <c r="C5475" t="s">
        <v>250</v>
      </c>
      <c r="D5475" t="s">
        <v>87</v>
      </c>
      <c r="E5475" t="s">
        <v>947</v>
      </c>
      <c r="F5475" t="s">
        <v>948</v>
      </c>
      <c r="G5475" t="s">
        <v>52</v>
      </c>
      <c r="H5475" t="s">
        <v>53</v>
      </c>
      <c r="I5475" t="s">
        <v>53</v>
      </c>
      <c r="J5475" t="s">
        <v>53</v>
      </c>
      <c r="K5475" t="s">
        <v>53</v>
      </c>
      <c r="L5475" t="s">
        <v>53</v>
      </c>
      <c r="M5475" t="s">
        <v>53</v>
      </c>
      <c r="N5475" t="s">
        <v>53</v>
      </c>
      <c r="O5475" t="s">
        <v>53</v>
      </c>
      <c r="P5475" t="s">
        <v>53</v>
      </c>
      <c r="Q5475" t="s">
        <v>53</v>
      </c>
    </row>
    <row r="5476" spans="1:17" x14ac:dyDescent="0.2">
      <c r="A5476" s="30" t="str">
        <f>IF(C5476&amp;G5476&amp;D5476&lt;&gt;'Funnel setup'!$K$3&amp;'Funnel setup'!$K$4&amp;'Funnel setup'!$K$5,".",IF(A5475=".",1,A5475+1))</f>
        <v>.</v>
      </c>
      <c r="B5476" s="431" t="str">
        <f t="shared" si="85"/>
        <v>Knee Replacement RevisionCCG of GP PracticeNHS SOUTH WORCESTERSHIRE CCG (05T)EQ-5D Index</v>
      </c>
      <c r="C5476" t="s">
        <v>250</v>
      </c>
      <c r="D5476" t="s">
        <v>87</v>
      </c>
      <c r="E5476" t="s">
        <v>950</v>
      </c>
      <c r="F5476" t="s">
        <v>951</v>
      </c>
      <c r="G5476" t="s">
        <v>52</v>
      </c>
      <c r="H5476">
        <v>9</v>
      </c>
      <c r="I5476">
        <v>0.36699999999999999</v>
      </c>
      <c r="J5476">
        <v>0.69499999999999995</v>
      </c>
      <c r="K5476">
        <v>0.32800000000000001</v>
      </c>
      <c r="L5476">
        <v>8</v>
      </c>
      <c r="M5476">
        <v>0</v>
      </c>
      <c r="N5476">
        <v>1</v>
      </c>
      <c r="O5476" t="s">
        <v>53</v>
      </c>
      <c r="P5476" t="s">
        <v>53</v>
      </c>
      <c r="Q5476" t="s">
        <v>53</v>
      </c>
    </row>
    <row r="5477" spans="1:17" x14ac:dyDescent="0.2">
      <c r="A5477" s="30" t="str">
        <f>IF(C5477&amp;G5477&amp;D5477&lt;&gt;'Funnel setup'!$K$3&amp;'Funnel setup'!$K$4&amp;'Funnel setup'!$K$5,".",IF(A5476=".",1,A5476+1))</f>
        <v>.</v>
      </c>
      <c r="B5477" s="431" t="str">
        <f t="shared" si="85"/>
        <v>Knee Replacement RevisionCCG of GP PracticeNHS SOUTHAMPTON CCG (10X)EQ-5D Index</v>
      </c>
      <c r="C5477" t="s">
        <v>250</v>
      </c>
      <c r="D5477" t="s">
        <v>87</v>
      </c>
      <c r="E5477" t="s">
        <v>953</v>
      </c>
      <c r="F5477" t="s">
        <v>954</v>
      </c>
      <c r="G5477" t="s">
        <v>52</v>
      </c>
      <c r="H5477">
        <v>16</v>
      </c>
      <c r="I5477">
        <v>0.34699999999999998</v>
      </c>
      <c r="J5477">
        <v>0.624</v>
      </c>
      <c r="K5477">
        <v>0.27700000000000002</v>
      </c>
      <c r="L5477">
        <v>12</v>
      </c>
      <c r="M5477">
        <v>2</v>
      </c>
      <c r="N5477">
        <v>2</v>
      </c>
      <c r="O5477" t="s">
        <v>53</v>
      </c>
      <c r="P5477" t="s">
        <v>53</v>
      </c>
      <c r="Q5477" t="s">
        <v>53</v>
      </c>
    </row>
    <row r="5478" spans="1:17" x14ac:dyDescent="0.2">
      <c r="A5478" s="30" t="str">
        <f>IF(C5478&amp;G5478&amp;D5478&lt;&gt;'Funnel setup'!$K$3&amp;'Funnel setup'!$K$4&amp;'Funnel setup'!$K$5,".",IF(A5477=".",1,A5477+1))</f>
        <v>.</v>
      </c>
      <c r="B5478" s="431" t="str">
        <f t="shared" si="85"/>
        <v>Knee Replacement RevisionCCG of GP PracticeNHS SOUTHERN DERBYSHIRE CCG (04R)EQ-5D Index</v>
      </c>
      <c r="C5478" t="s">
        <v>250</v>
      </c>
      <c r="D5478" t="s">
        <v>87</v>
      </c>
      <c r="E5478" t="s">
        <v>959</v>
      </c>
      <c r="F5478" t="s">
        <v>960</v>
      </c>
      <c r="G5478" t="s">
        <v>52</v>
      </c>
      <c r="H5478">
        <v>11</v>
      </c>
      <c r="I5478">
        <v>0.28100000000000003</v>
      </c>
      <c r="J5478">
        <v>0.45400000000000001</v>
      </c>
      <c r="K5478">
        <v>0.17399999999999999</v>
      </c>
      <c r="L5478">
        <v>5</v>
      </c>
      <c r="M5478">
        <v>3</v>
      </c>
      <c r="N5478">
        <v>3</v>
      </c>
      <c r="O5478" t="s">
        <v>53</v>
      </c>
      <c r="P5478" t="s">
        <v>53</v>
      </c>
      <c r="Q5478" t="s">
        <v>53</v>
      </c>
    </row>
    <row r="5479" spans="1:17" x14ac:dyDescent="0.2">
      <c r="A5479" s="30" t="str">
        <f>IF(C5479&amp;G5479&amp;D5479&lt;&gt;'Funnel setup'!$K$3&amp;'Funnel setup'!$K$4&amp;'Funnel setup'!$K$5,".",IF(A5478=".",1,A5478+1))</f>
        <v>.</v>
      </c>
      <c r="B5479" s="431" t="str">
        <f t="shared" si="85"/>
        <v>Knee Replacement RevisionCCG of GP PracticeNHS SOUTHPORT AND FORMBY CCG (01V)EQ-5D Index</v>
      </c>
      <c r="C5479" t="s">
        <v>250</v>
      </c>
      <c r="D5479" t="s">
        <v>87</v>
      </c>
      <c r="E5479" t="s">
        <v>962</v>
      </c>
      <c r="F5479" t="s">
        <v>963</v>
      </c>
      <c r="G5479" t="s">
        <v>52</v>
      </c>
      <c r="H5479">
        <v>7</v>
      </c>
      <c r="I5479">
        <v>0.27700000000000002</v>
      </c>
      <c r="J5479">
        <v>0.73</v>
      </c>
      <c r="K5479">
        <v>0.45300000000000001</v>
      </c>
      <c r="L5479">
        <v>6</v>
      </c>
      <c r="M5479">
        <v>1</v>
      </c>
      <c r="N5479">
        <v>0</v>
      </c>
      <c r="O5479" t="s">
        <v>53</v>
      </c>
      <c r="P5479" t="s">
        <v>53</v>
      </c>
      <c r="Q5479" t="s">
        <v>53</v>
      </c>
    </row>
    <row r="5480" spans="1:17" x14ac:dyDescent="0.2">
      <c r="A5480" s="30" t="str">
        <f>IF(C5480&amp;G5480&amp;D5480&lt;&gt;'Funnel setup'!$K$3&amp;'Funnel setup'!$K$4&amp;'Funnel setup'!$K$5,".",IF(A5479=".",1,A5479+1))</f>
        <v>.</v>
      </c>
      <c r="B5480" s="431" t="str">
        <f t="shared" si="85"/>
        <v>Knee Replacement RevisionCCG of GP PracticeNHS SOUTHWARK CCG (08Q)EQ-5D Index</v>
      </c>
      <c r="C5480" t="s">
        <v>250</v>
      </c>
      <c r="D5480" t="s">
        <v>87</v>
      </c>
      <c r="E5480" t="s">
        <v>965</v>
      </c>
      <c r="F5480" t="s">
        <v>966</v>
      </c>
      <c r="G5480" t="s">
        <v>52</v>
      </c>
      <c r="H5480" t="s">
        <v>53</v>
      </c>
      <c r="I5480" t="s">
        <v>53</v>
      </c>
      <c r="J5480" t="s">
        <v>53</v>
      </c>
      <c r="K5480" t="s">
        <v>53</v>
      </c>
      <c r="L5480" t="s">
        <v>53</v>
      </c>
      <c r="M5480" t="s">
        <v>53</v>
      </c>
      <c r="N5480" t="s">
        <v>53</v>
      </c>
      <c r="O5480" t="s">
        <v>53</v>
      </c>
      <c r="P5480" t="s">
        <v>53</v>
      </c>
      <c r="Q5480" t="s">
        <v>53</v>
      </c>
    </row>
    <row r="5481" spans="1:17" x14ac:dyDescent="0.2">
      <c r="A5481" s="30" t="str">
        <f>IF(C5481&amp;G5481&amp;D5481&lt;&gt;'Funnel setup'!$K$3&amp;'Funnel setup'!$K$4&amp;'Funnel setup'!$K$5,".",IF(A5480=".",1,A5480+1))</f>
        <v>.</v>
      </c>
      <c r="B5481" s="431" t="str">
        <f t="shared" si="85"/>
        <v>Knee Replacement RevisionCCG of GP PracticeNHS ST HELENS CCG (01X)EQ-5D Index</v>
      </c>
      <c r="C5481" t="s">
        <v>250</v>
      </c>
      <c r="D5481" t="s">
        <v>87</v>
      </c>
      <c r="E5481" t="s">
        <v>968</v>
      </c>
      <c r="F5481" t="s">
        <v>969</v>
      </c>
      <c r="G5481" t="s">
        <v>52</v>
      </c>
      <c r="H5481">
        <v>6</v>
      </c>
      <c r="I5481">
        <v>0.45</v>
      </c>
      <c r="J5481">
        <v>0.56699999999999995</v>
      </c>
      <c r="K5481">
        <v>0.11700000000000001</v>
      </c>
      <c r="L5481">
        <v>4</v>
      </c>
      <c r="M5481">
        <v>1</v>
      </c>
      <c r="N5481">
        <v>1</v>
      </c>
      <c r="O5481" t="s">
        <v>53</v>
      </c>
      <c r="P5481" t="s">
        <v>53</v>
      </c>
      <c r="Q5481" t="s">
        <v>53</v>
      </c>
    </row>
    <row r="5482" spans="1:17" x14ac:dyDescent="0.2">
      <c r="A5482" s="30" t="str">
        <f>IF(C5482&amp;G5482&amp;D5482&lt;&gt;'Funnel setup'!$K$3&amp;'Funnel setup'!$K$4&amp;'Funnel setup'!$K$5,".",IF(A5481=".",1,A5481+1))</f>
        <v>.</v>
      </c>
      <c r="B5482" s="431" t="str">
        <f t="shared" si="85"/>
        <v>Knee Replacement RevisionCCG of GP PracticeNHS STAFFORD AND SURROUNDS CCG (05V)EQ-5D Index</v>
      </c>
      <c r="C5482" t="s">
        <v>250</v>
      </c>
      <c r="D5482" t="s">
        <v>87</v>
      </c>
      <c r="E5482" t="s">
        <v>971</v>
      </c>
      <c r="F5482" t="s">
        <v>972</v>
      </c>
      <c r="G5482" t="s">
        <v>52</v>
      </c>
      <c r="H5482">
        <v>8</v>
      </c>
      <c r="I5482">
        <v>0.49099999999999999</v>
      </c>
      <c r="J5482">
        <v>0.72099999999999997</v>
      </c>
      <c r="K5482">
        <v>0.23</v>
      </c>
      <c r="L5482">
        <v>6</v>
      </c>
      <c r="M5482">
        <v>1</v>
      </c>
      <c r="N5482">
        <v>1</v>
      </c>
      <c r="O5482" t="s">
        <v>53</v>
      </c>
      <c r="P5482" t="s">
        <v>53</v>
      </c>
      <c r="Q5482" t="s">
        <v>53</v>
      </c>
    </row>
    <row r="5483" spans="1:17" x14ac:dyDescent="0.2">
      <c r="A5483" s="30" t="str">
        <f>IF(C5483&amp;G5483&amp;D5483&lt;&gt;'Funnel setup'!$K$3&amp;'Funnel setup'!$K$4&amp;'Funnel setup'!$K$5,".",IF(A5482=".",1,A5482+1))</f>
        <v>.</v>
      </c>
      <c r="B5483" s="431" t="str">
        <f t="shared" si="85"/>
        <v>Knee Replacement RevisionCCG of GP PracticeNHS STOCKPORT CCG (01W)EQ-5D Index</v>
      </c>
      <c r="C5483" t="s">
        <v>250</v>
      </c>
      <c r="D5483" t="s">
        <v>87</v>
      </c>
      <c r="E5483" t="s">
        <v>974</v>
      </c>
      <c r="F5483" t="s">
        <v>975</v>
      </c>
      <c r="G5483" t="s">
        <v>52</v>
      </c>
      <c r="H5483">
        <v>6</v>
      </c>
      <c r="I5483">
        <v>0.35199999999999998</v>
      </c>
      <c r="J5483">
        <v>0.74</v>
      </c>
      <c r="K5483">
        <v>0.38800000000000001</v>
      </c>
      <c r="L5483">
        <v>4</v>
      </c>
      <c r="M5483">
        <v>1</v>
      </c>
      <c r="N5483">
        <v>1</v>
      </c>
      <c r="O5483" t="s">
        <v>53</v>
      </c>
      <c r="P5483" t="s">
        <v>53</v>
      </c>
      <c r="Q5483" t="s">
        <v>53</v>
      </c>
    </row>
    <row r="5484" spans="1:17" x14ac:dyDescent="0.2">
      <c r="A5484" s="30" t="str">
        <f>IF(C5484&amp;G5484&amp;D5484&lt;&gt;'Funnel setup'!$K$3&amp;'Funnel setup'!$K$4&amp;'Funnel setup'!$K$5,".",IF(A5483=".",1,A5483+1))</f>
        <v>.</v>
      </c>
      <c r="B5484" s="431" t="str">
        <f t="shared" si="85"/>
        <v>Knee Replacement RevisionCCG of GP PracticeNHS STOKE ON TRENT CCG (05W)EQ-5D Index</v>
      </c>
      <c r="C5484" t="s">
        <v>250</v>
      </c>
      <c r="D5484" t="s">
        <v>87</v>
      </c>
      <c r="E5484" t="s">
        <v>977</v>
      </c>
      <c r="F5484" t="s">
        <v>978</v>
      </c>
      <c r="G5484" t="s">
        <v>52</v>
      </c>
      <c r="H5484" t="s">
        <v>53</v>
      </c>
      <c r="I5484" t="s">
        <v>53</v>
      </c>
      <c r="J5484" t="s">
        <v>53</v>
      </c>
      <c r="K5484" t="s">
        <v>53</v>
      </c>
      <c r="L5484" t="s">
        <v>53</v>
      </c>
      <c r="M5484" t="s">
        <v>53</v>
      </c>
      <c r="N5484" t="s">
        <v>53</v>
      </c>
      <c r="O5484" t="s">
        <v>53</v>
      </c>
      <c r="P5484" t="s">
        <v>53</v>
      </c>
      <c r="Q5484" t="s">
        <v>53</v>
      </c>
    </row>
    <row r="5485" spans="1:17" x14ac:dyDescent="0.2">
      <c r="A5485" s="30" t="str">
        <f>IF(C5485&amp;G5485&amp;D5485&lt;&gt;'Funnel setup'!$K$3&amp;'Funnel setup'!$K$4&amp;'Funnel setup'!$K$5,".",IF(A5484=".",1,A5484+1))</f>
        <v>.</v>
      </c>
      <c r="B5485" s="431" t="str">
        <f t="shared" si="85"/>
        <v>Knee Replacement RevisionCCG of GP PracticeNHS SUNDERLAND CCG (00P)EQ-5D Index</v>
      </c>
      <c r="C5485" t="s">
        <v>250</v>
      </c>
      <c r="D5485" t="s">
        <v>87</v>
      </c>
      <c r="E5485" t="s">
        <v>980</v>
      </c>
      <c r="F5485" t="s">
        <v>981</v>
      </c>
      <c r="G5485" t="s">
        <v>52</v>
      </c>
      <c r="H5485">
        <v>7</v>
      </c>
      <c r="I5485">
        <v>0.40500000000000003</v>
      </c>
      <c r="J5485">
        <v>0.53700000000000003</v>
      </c>
      <c r="K5485">
        <v>0.13200000000000001</v>
      </c>
      <c r="L5485">
        <v>4</v>
      </c>
      <c r="M5485">
        <v>0</v>
      </c>
      <c r="N5485">
        <v>3</v>
      </c>
      <c r="O5485" t="s">
        <v>53</v>
      </c>
      <c r="P5485" t="s">
        <v>53</v>
      </c>
      <c r="Q5485" t="s">
        <v>53</v>
      </c>
    </row>
    <row r="5486" spans="1:17" x14ac:dyDescent="0.2">
      <c r="A5486" s="30" t="str">
        <f>IF(C5486&amp;G5486&amp;D5486&lt;&gt;'Funnel setup'!$K$3&amp;'Funnel setup'!$K$4&amp;'Funnel setup'!$K$5,".",IF(A5485=".",1,A5485+1))</f>
        <v>.</v>
      </c>
      <c r="B5486" s="431" t="str">
        <f t="shared" si="85"/>
        <v>Knee Replacement RevisionCCG of GP PracticeNHS SURREY DOWNS CCG (99H)EQ-5D Index</v>
      </c>
      <c r="C5486" t="s">
        <v>250</v>
      </c>
      <c r="D5486" t="s">
        <v>87</v>
      </c>
      <c r="E5486" t="s">
        <v>983</v>
      </c>
      <c r="F5486" t="s">
        <v>984</v>
      </c>
      <c r="G5486" t="s">
        <v>52</v>
      </c>
      <c r="H5486">
        <v>6</v>
      </c>
      <c r="I5486">
        <v>0.41399999999999998</v>
      </c>
      <c r="J5486">
        <v>0.76300000000000001</v>
      </c>
      <c r="K5486">
        <v>0.34899999999999998</v>
      </c>
      <c r="L5486">
        <v>5</v>
      </c>
      <c r="M5486">
        <v>1</v>
      </c>
      <c r="N5486">
        <v>0</v>
      </c>
      <c r="O5486" t="s">
        <v>53</v>
      </c>
      <c r="P5486" t="s">
        <v>53</v>
      </c>
      <c r="Q5486" t="s">
        <v>53</v>
      </c>
    </row>
    <row r="5487" spans="1:17" x14ac:dyDescent="0.2">
      <c r="A5487" s="30" t="str">
        <f>IF(C5487&amp;G5487&amp;D5487&lt;&gt;'Funnel setup'!$K$3&amp;'Funnel setup'!$K$4&amp;'Funnel setup'!$K$5,".",IF(A5486=".",1,A5486+1))</f>
        <v>.</v>
      </c>
      <c r="B5487" s="431" t="str">
        <f t="shared" si="85"/>
        <v>Knee Replacement RevisionCCG of GP PracticeNHS SURREY HEATH CCG (10C)EQ-5D Index</v>
      </c>
      <c r="C5487" t="s">
        <v>250</v>
      </c>
      <c r="D5487" t="s">
        <v>87</v>
      </c>
      <c r="E5487" t="s">
        <v>986</v>
      </c>
      <c r="F5487" t="s">
        <v>987</v>
      </c>
      <c r="G5487" t="s">
        <v>52</v>
      </c>
      <c r="H5487" t="s">
        <v>53</v>
      </c>
      <c r="I5487" t="s">
        <v>53</v>
      </c>
      <c r="J5487" t="s">
        <v>53</v>
      </c>
      <c r="K5487" t="s">
        <v>53</v>
      </c>
      <c r="L5487" t="s">
        <v>53</v>
      </c>
      <c r="M5487" t="s">
        <v>53</v>
      </c>
      <c r="N5487" t="s">
        <v>53</v>
      </c>
      <c r="O5487" t="s">
        <v>53</v>
      </c>
      <c r="P5487" t="s">
        <v>53</v>
      </c>
      <c r="Q5487" t="s">
        <v>53</v>
      </c>
    </row>
    <row r="5488" spans="1:17" x14ac:dyDescent="0.2">
      <c r="A5488" s="30" t="str">
        <f>IF(C5488&amp;G5488&amp;D5488&lt;&gt;'Funnel setup'!$K$3&amp;'Funnel setup'!$K$4&amp;'Funnel setup'!$K$5,".",IF(A5487=".",1,A5487+1))</f>
        <v>.</v>
      </c>
      <c r="B5488" s="431" t="str">
        <f t="shared" si="85"/>
        <v>Knee Replacement RevisionCCG of GP PracticeNHS SUTTON CCG (08T)EQ-5D Index</v>
      </c>
      <c r="C5488" t="s">
        <v>250</v>
      </c>
      <c r="D5488" t="s">
        <v>87</v>
      </c>
      <c r="E5488" t="s">
        <v>989</v>
      </c>
      <c r="F5488" t="s">
        <v>990</v>
      </c>
      <c r="G5488" t="s">
        <v>52</v>
      </c>
      <c r="H5488" t="s">
        <v>53</v>
      </c>
      <c r="I5488" t="s">
        <v>53</v>
      </c>
      <c r="J5488" t="s">
        <v>53</v>
      </c>
      <c r="K5488" t="s">
        <v>53</v>
      </c>
      <c r="L5488" t="s">
        <v>53</v>
      </c>
      <c r="M5488" t="s">
        <v>53</v>
      </c>
      <c r="N5488" t="s">
        <v>53</v>
      </c>
      <c r="O5488" t="s">
        <v>53</v>
      </c>
      <c r="P5488" t="s">
        <v>53</v>
      </c>
      <c r="Q5488" t="s">
        <v>53</v>
      </c>
    </row>
    <row r="5489" spans="1:17" x14ac:dyDescent="0.2">
      <c r="A5489" s="30" t="str">
        <f>IF(C5489&amp;G5489&amp;D5489&lt;&gt;'Funnel setup'!$K$3&amp;'Funnel setup'!$K$4&amp;'Funnel setup'!$K$5,".",IF(A5488=".",1,A5488+1))</f>
        <v>.</v>
      </c>
      <c r="B5489" s="431" t="str">
        <f t="shared" si="85"/>
        <v>Knee Replacement RevisionCCG of GP PracticeNHS SWALE CCG (10D)EQ-5D Index</v>
      </c>
      <c r="C5489" t="s">
        <v>250</v>
      </c>
      <c r="D5489" t="s">
        <v>87</v>
      </c>
      <c r="E5489" t="s">
        <v>992</v>
      </c>
      <c r="F5489" t="s">
        <v>993</v>
      </c>
      <c r="G5489" t="s">
        <v>52</v>
      </c>
      <c r="H5489" t="s">
        <v>53</v>
      </c>
      <c r="I5489" t="s">
        <v>53</v>
      </c>
      <c r="J5489" t="s">
        <v>53</v>
      </c>
      <c r="K5489" t="s">
        <v>53</v>
      </c>
      <c r="L5489" t="s">
        <v>53</v>
      </c>
      <c r="M5489" t="s">
        <v>53</v>
      </c>
      <c r="N5489" t="s">
        <v>53</v>
      </c>
      <c r="O5489" t="s">
        <v>53</v>
      </c>
      <c r="P5489" t="s">
        <v>53</v>
      </c>
      <c r="Q5489" t="s">
        <v>53</v>
      </c>
    </row>
    <row r="5490" spans="1:17" x14ac:dyDescent="0.2">
      <c r="A5490" s="30" t="str">
        <f>IF(C5490&amp;G5490&amp;D5490&lt;&gt;'Funnel setup'!$K$3&amp;'Funnel setup'!$K$4&amp;'Funnel setup'!$K$5,".",IF(A5489=".",1,A5489+1))</f>
        <v>.</v>
      </c>
      <c r="B5490" s="431" t="str">
        <f t="shared" si="85"/>
        <v>Knee Replacement RevisionCCG of GP PracticeNHS SWINDON CCG (12D)EQ-5D Index</v>
      </c>
      <c r="C5490" t="s">
        <v>250</v>
      </c>
      <c r="D5490" t="s">
        <v>87</v>
      </c>
      <c r="E5490" t="s">
        <v>995</v>
      </c>
      <c r="F5490" t="s">
        <v>996</v>
      </c>
      <c r="G5490" t="s">
        <v>52</v>
      </c>
      <c r="H5490">
        <v>7</v>
      </c>
      <c r="I5490">
        <v>0.28000000000000003</v>
      </c>
      <c r="J5490">
        <v>0.48199999999999998</v>
      </c>
      <c r="K5490">
        <v>0.20200000000000001</v>
      </c>
      <c r="L5490">
        <v>5</v>
      </c>
      <c r="M5490">
        <v>1</v>
      </c>
      <c r="N5490">
        <v>1</v>
      </c>
      <c r="O5490" t="s">
        <v>53</v>
      </c>
      <c r="P5490" t="s">
        <v>53</v>
      </c>
      <c r="Q5490" t="s">
        <v>53</v>
      </c>
    </row>
    <row r="5491" spans="1:17" x14ac:dyDescent="0.2">
      <c r="A5491" s="30" t="str">
        <f>IF(C5491&amp;G5491&amp;D5491&lt;&gt;'Funnel setup'!$K$3&amp;'Funnel setup'!$K$4&amp;'Funnel setup'!$K$5,".",IF(A5490=".",1,A5490+1))</f>
        <v>.</v>
      </c>
      <c r="B5491" s="431" t="str">
        <f t="shared" si="85"/>
        <v>Knee Replacement RevisionCCG of GP PracticeNHS TELFORD AND WREKIN CCG (05X)EQ-5D Index</v>
      </c>
      <c r="C5491" t="s">
        <v>250</v>
      </c>
      <c r="D5491" t="s">
        <v>87</v>
      </c>
      <c r="E5491" t="s">
        <v>1001</v>
      </c>
      <c r="F5491" t="s">
        <v>1002</v>
      </c>
      <c r="G5491" t="s">
        <v>52</v>
      </c>
      <c r="H5491">
        <v>9</v>
      </c>
      <c r="I5491">
        <v>0.23599999999999999</v>
      </c>
      <c r="J5491">
        <v>0.54800000000000004</v>
      </c>
      <c r="K5491">
        <v>0.312</v>
      </c>
      <c r="L5491">
        <v>6</v>
      </c>
      <c r="M5491">
        <v>2</v>
      </c>
      <c r="N5491">
        <v>1</v>
      </c>
      <c r="O5491" t="s">
        <v>53</v>
      </c>
      <c r="P5491" t="s">
        <v>53</v>
      </c>
      <c r="Q5491" t="s">
        <v>53</v>
      </c>
    </row>
    <row r="5492" spans="1:17" x14ac:dyDescent="0.2">
      <c r="A5492" s="30" t="str">
        <f>IF(C5492&amp;G5492&amp;D5492&lt;&gt;'Funnel setup'!$K$3&amp;'Funnel setup'!$K$4&amp;'Funnel setup'!$K$5,".",IF(A5491=".",1,A5491+1))</f>
        <v>.</v>
      </c>
      <c r="B5492" s="431" t="str">
        <f t="shared" si="85"/>
        <v>Knee Replacement RevisionCCG of GP PracticeNHS THANET CCG (10E)EQ-5D Index</v>
      </c>
      <c r="C5492" t="s">
        <v>250</v>
      </c>
      <c r="D5492" t="s">
        <v>87</v>
      </c>
      <c r="E5492" t="s">
        <v>1004</v>
      </c>
      <c r="F5492" t="s">
        <v>1005</v>
      </c>
      <c r="G5492" t="s">
        <v>52</v>
      </c>
      <c r="H5492" t="s">
        <v>53</v>
      </c>
      <c r="I5492" t="s">
        <v>53</v>
      </c>
      <c r="J5492" t="s">
        <v>53</v>
      </c>
      <c r="K5492" t="s">
        <v>53</v>
      </c>
      <c r="L5492" t="s">
        <v>53</v>
      </c>
      <c r="M5492" t="s">
        <v>53</v>
      </c>
      <c r="N5492" t="s">
        <v>53</v>
      </c>
      <c r="O5492" t="s">
        <v>53</v>
      </c>
      <c r="P5492" t="s">
        <v>53</v>
      </c>
      <c r="Q5492" t="s">
        <v>53</v>
      </c>
    </row>
    <row r="5493" spans="1:17" x14ac:dyDescent="0.2">
      <c r="A5493" s="30" t="str">
        <f>IF(C5493&amp;G5493&amp;D5493&lt;&gt;'Funnel setup'!$K$3&amp;'Funnel setup'!$K$4&amp;'Funnel setup'!$K$5,".",IF(A5492=".",1,A5492+1))</f>
        <v>.</v>
      </c>
      <c r="B5493" s="431" t="str">
        <f t="shared" si="85"/>
        <v>Knee Replacement RevisionCCG of GP PracticeNHS THURROCK CCG (07G)EQ-5D Index</v>
      </c>
      <c r="C5493" t="s">
        <v>250</v>
      </c>
      <c r="D5493" t="s">
        <v>87</v>
      </c>
      <c r="E5493" t="s">
        <v>1007</v>
      </c>
      <c r="F5493" t="s">
        <v>1008</v>
      </c>
      <c r="G5493" t="s">
        <v>52</v>
      </c>
      <c r="H5493">
        <v>11</v>
      </c>
      <c r="I5493">
        <v>0.32</v>
      </c>
      <c r="J5493">
        <v>0.57399999999999995</v>
      </c>
      <c r="K5493">
        <v>0.255</v>
      </c>
      <c r="L5493">
        <v>9</v>
      </c>
      <c r="M5493">
        <v>2</v>
      </c>
      <c r="N5493">
        <v>0</v>
      </c>
      <c r="O5493" t="s">
        <v>53</v>
      </c>
      <c r="P5493" t="s">
        <v>53</v>
      </c>
      <c r="Q5493" t="s">
        <v>53</v>
      </c>
    </row>
    <row r="5494" spans="1:17" x14ac:dyDescent="0.2">
      <c r="A5494" s="30" t="str">
        <f>IF(C5494&amp;G5494&amp;D5494&lt;&gt;'Funnel setup'!$K$3&amp;'Funnel setup'!$K$4&amp;'Funnel setup'!$K$5,".",IF(A5493=".",1,A5493+1))</f>
        <v>.</v>
      </c>
      <c r="B5494" s="431" t="str">
        <f t="shared" si="85"/>
        <v>Knee Replacement RevisionCCG of GP PracticeNHS TRAFFORD CCG (02A)EQ-5D Index</v>
      </c>
      <c r="C5494" t="s">
        <v>250</v>
      </c>
      <c r="D5494" t="s">
        <v>87</v>
      </c>
      <c r="E5494" t="s">
        <v>1013</v>
      </c>
      <c r="F5494" t="s">
        <v>1014</v>
      </c>
      <c r="G5494" t="s">
        <v>52</v>
      </c>
      <c r="H5494" t="s">
        <v>53</v>
      </c>
      <c r="I5494" t="s">
        <v>53</v>
      </c>
      <c r="J5494" t="s">
        <v>53</v>
      </c>
      <c r="K5494" t="s">
        <v>53</v>
      </c>
      <c r="L5494" t="s">
        <v>53</v>
      </c>
      <c r="M5494" t="s">
        <v>53</v>
      </c>
      <c r="N5494" t="s">
        <v>53</v>
      </c>
      <c r="O5494" t="s">
        <v>53</v>
      </c>
      <c r="P5494" t="s">
        <v>53</v>
      </c>
      <c r="Q5494" t="s">
        <v>53</v>
      </c>
    </row>
    <row r="5495" spans="1:17" x14ac:dyDescent="0.2">
      <c r="A5495" s="30" t="str">
        <f>IF(C5495&amp;G5495&amp;D5495&lt;&gt;'Funnel setup'!$K$3&amp;'Funnel setup'!$K$4&amp;'Funnel setup'!$K$5,".",IF(A5494=".",1,A5494+1))</f>
        <v>.</v>
      </c>
      <c r="B5495" s="431" t="str">
        <f t="shared" si="85"/>
        <v>Knee Replacement RevisionCCG of GP PracticeNHS VALE OF YORK CCG (03Q)EQ-5D Index</v>
      </c>
      <c r="C5495" t="s">
        <v>250</v>
      </c>
      <c r="D5495" t="s">
        <v>87</v>
      </c>
      <c r="E5495" t="s">
        <v>420</v>
      </c>
      <c r="F5495" t="s">
        <v>421</v>
      </c>
      <c r="G5495" t="s">
        <v>52</v>
      </c>
      <c r="H5495">
        <v>17</v>
      </c>
      <c r="I5495">
        <v>0.46</v>
      </c>
      <c r="J5495">
        <v>0.66</v>
      </c>
      <c r="K5495">
        <v>0.2</v>
      </c>
      <c r="L5495">
        <v>11</v>
      </c>
      <c r="M5495">
        <v>2</v>
      </c>
      <c r="N5495">
        <v>4</v>
      </c>
      <c r="O5495" t="s">
        <v>53</v>
      </c>
      <c r="P5495" t="s">
        <v>53</v>
      </c>
      <c r="Q5495" t="s">
        <v>53</v>
      </c>
    </row>
    <row r="5496" spans="1:17" x14ac:dyDescent="0.2">
      <c r="A5496" s="30" t="str">
        <f>IF(C5496&amp;G5496&amp;D5496&lt;&gt;'Funnel setup'!$K$3&amp;'Funnel setup'!$K$4&amp;'Funnel setup'!$K$5,".",IF(A5495=".",1,A5495+1))</f>
        <v>.</v>
      </c>
      <c r="B5496" s="431" t="str">
        <f t="shared" si="85"/>
        <v>Knee Replacement RevisionCCG of GP PracticeNHS VALE ROYAL CCG (02D)EQ-5D Index</v>
      </c>
      <c r="C5496" t="s">
        <v>250</v>
      </c>
      <c r="D5496" t="s">
        <v>87</v>
      </c>
      <c r="E5496" t="s">
        <v>423</v>
      </c>
      <c r="F5496" t="s">
        <v>424</v>
      </c>
      <c r="G5496" t="s">
        <v>52</v>
      </c>
      <c r="H5496">
        <v>6</v>
      </c>
      <c r="I5496">
        <v>0.246</v>
      </c>
      <c r="J5496">
        <v>0.625</v>
      </c>
      <c r="K5496">
        <v>0.378</v>
      </c>
      <c r="L5496">
        <v>5</v>
      </c>
      <c r="M5496">
        <v>0</v>
      </c>
      <c r="N5496">
        <v>1</v>
      </c>
      <c r="O5496" t="s">
        <v>53</v>
      </c>
      <c r="P5496" t="s">
        <v>53</v>
      </c>
      <c r="Q5496" t="s">
        <v>53</v>
      </c>
    </row>
    <row r="5497" spans="1:17" x14ac:dyDescent="0.2">
      <c r="A5497" s="30" t="str">
        <f>IF(C5497&amp;G5497&amp;D5497&lt;&gt;'Funnel setup'!$K$3&amp;'Funnel setup'!$K$4&amp;'Funnel setup'!$K$5,".",IF(A5496=".",1,A5496+1))</f>
        <v>.</v>
      </c>
      <c r="B5497" s="431" t="str">
        <f t="shared" si="85"/>
        <v>Knee Replacement RevisionCCG of GP PracticeNHS WAKEFIELD CCG (03R)EQ-5D Index</v>
      </c>
      <c r="C5497" t="s">
        <v>250</v>
      </c>
      <c r="D5497" t="s">
        <v>87</v>
      </c>
      <c r="E5497" t="s">
        <v>426</v>
      </c>
      <c r="F5497" t="s">
        <v>427</v>
      </c>
      <c r="G5497" t="s">
        <v>52</v>
      </c>
      <c r="H5497">
        <v>6</v>
      </c>
      <c r="I5497">
        <v>0.13</v>
      </c>
      <c r="J5497">
        <v>0.308</v>
      </c>
      <c r="K5497">
        <v>0.17699999999999999</v>
      </c>
      <c r="L5497">
        <v>4</v>
      </c>
      <c r="M5497">
        <v>1</v>
      </c>
      <c r="N5497">
        <v>1</v>
      </c>
      <c r="O5497" t="s">
        <v>53</v>
      </c>
      <c r="P5497" t="s">
        <v>53</v>
      </c>
      <c r="Q5497" t="s">
        <v>53</v>
      </c>
    </row>
    <row r="5498" spans="1:17" x14ac:dyDescent="0.2">
      <c r="A5498" s="30" t="str">
        <f>IF(C5498&amp;G5498&amp;D5498&lt;&gt;'Funnel setup'!$K$3&amp;'Funnel setup'!$K$4&amp;'Funnel setup'!$K$5,".",IF(A5497=".",1,A5497+1))</f>
        <v>.</v>
      </c>
      <c r="B5498" s="431" t="str">
        <f t="shared" si="85"/>
        <v>Knee Replacement RevisionCCG of GP PracticeNHS WALSALL CCG (05Y)EQ-5D Index</v>
      </c>
      <c r="C5498" t="s">
        <v>250</v>
      </c>
      <c r="D5498" t="s">
        <v>87</v>
      </c>
      <c r="E5498" t="s">
        <v>429</v>
      </c>
      <c r="F5498" t="s">
        <v>430</v>
      </c>
      <c r="G5498" t="s">
        <v>52</v>
      </c>
      <c r="H5498" t="s">
        <v>53</v>
      </c>
      <c r="I5498" t="s">
        <v>53</v>
      </c>
      <c r="J5498" t="s">
        <v>53</v>
      </c>
      <c r="K5498" t="s">
        <v>53</v>
      </c>
      <c r="L5498" t="s">
        <v>53</v>
      </c>
      <c r="M5498" t="s">
        <v>53</v>
      </c>
      <c r="N5498" t="s">
        <v>53</v>
      </c>
      <c r="O5498" t="s">
        <v>53</v>
      </c>
      <c r="P5498" t="s">
        <v>53</v>
      </c>
      <c r="Q5498" t="s">
        <v>53</v>
      </c>
    </row>
    <row r="5499" spans="1:17" x14ac:dyDescent="0.2">
      <c r="A5499" s="30" t="str">
        <f>IF(C5499&amp;G5499&amp;D5499&lt;&gt;'Funnel setup'!$K$3&amp;'Funnel setup'!$K$4&amp;'Funnel setup'!$K$5,".",IF(A5498=".",1,A5498+1))</f>
        <v>.</v>
      </c>
      <c r="B5499" s="431" t="str">
        <f t="shared" si="85"/>
        <v>Knee Replacement RevisionCCG of GP PracticeNHS WANDSWORTH CCG (08X)EQ-5D Index</v>
      </c>
      <c r="C5499" t="s">
        <v>250</v>
      </c>
      <c r="D5499" t="s">
        <v>87</v>
      </c>
      <c r="E5499" t="s">
        <v>435</v>
      </c>
      <c r="F5499" t="s">
        <v>436</v>
      </c>
      <c r="G5499" t="s">
        <v>52</v>
      </c>
      <c r="H5499" t="s">
        <v>53</v>
      </c>
      <c r="I5499" t="s">
        <v>53</v>
      </c>
      <c r="J5499" t="s">
        <v>53</v>
      </c>
      <c r="K5499" t="s">
        <v>53</v>
      </c>
      <c r="L5499" t="s">
        <v>53</v>
      </c>
      <c r="M5499" t="s">
        <v>53</v>
      </c>
      <c r="N5499" t="s">
        <v>53</v>
      </c>
      <c r="O5499" t="s">
        <v>53</v>
      </c>
      <c r="P5499" t="s">
        <v>53</v>
      </c>
      <c r="Q5499" t="s">
        <v>53</v>
      </c>
    </row>
    <row r="5500" spans="1:17" x14ac:dyDescent="0.2">
      <c r="A5500" s="30" t="str">
        <f>IF(C5500&amp;G5500&amp;D5500&lt;&gt;'Funnel setup'!$K$3&amp;'Funnel setup'!$K$4&amp;'Funnel setup'!$K$5,".",IF(A5499=".",1,A5499+1))</f>
        <v>.</v>
      </c>
      <c r="B5500" s="431" t="str">
        <f t="shared" si="85"/>
        <v>Knee Replacement RevisionCCG of GP PracticeNHS WARRINGTON CCG (02E)EQ-5D Index</v>
      </c>
      <c r="C5500" t="s">
        <v>250</v>
      </c>
      <c r="D5500" t="s">
        <v>87</v>
      </c>
      <c r="E5500" t="s">
        <v>441</v>
      </c>
      <c r="F5500" t="s">
        <v>442</v>
      </c>
      <c r="G5500" t="s">
        <v>52</v>
      </c>
      <c r="H5500">
        <v>7</v>
      </c>
      <c r="I5500">
        <v>0.434</v>
      </c>
      <c r="J5500">
        <v>0.72</v>
      </c>
      <c r="K5500">
        <v>0.28599999999999998</v>
      </c>
      <c r="L5500">
        <v>4</v>
      </c>
      <c r="M5500">
        <v>2</v>
      </c>
      <c r="N5500">
        <v>1</v>
      </c>
      <c r="O5500" t="s">
        <v>53</v>
      </c>
      <c r="P5500" t="s">
        <v>53</v>
      </c>
      <c r="Q5500" t="s">
        <v>53</v>
      </c>
    </row>
    <row r="5501" spans="1:17" x14ac:dyDescent="0.2">
      <c r="A5501" s="30" t="str">
        <f>IF(C5501&amp;G5501&amp;D5501&lt;&gt;'Funnel setup'!$K$3&amp;'Funnel setup'!$K$4&amp;'Funnel setup'!$K$5,".",IF(A5500=".",1,A5500+1))</f>
        <v>.</v>
      </c>
      <c r="B5501" s="431" t="str">
        <f t="shared" si="85"/>
        <v>Knee Replacement RevisionCCG of GP PracticeNHS WARWICKSHIRE NORTH CCG (05H)EQ-5D Index</v>
      </c>
      <c r="C5501" t="s">
        <v>250</v>
      </c>
      <c r="D5501" t="s">
        <v>87</v>
      </c>
      <c r="E5501" t="s">
        <v>438</v>
      </c>
      <c r="F5501" t="s">
        <v>439</v>
      </c>
      <c r="G5501" t="s">
        <v>52</v>
      </c>
      <c r="H5501">
        <v>6</v>
      </c>
      <c r="I5501">
        <v>-8.7999999999999995E-2</v>
      </c>
      <c r="J5501">
        <v>0.128</v>
      </c>
      <c r="K5501">
        <v>0.216</v>
      </c>
      <c r="L5501">
        <v>4</v>
      </c>
      <c r="M5501">
        <v>2</v>
      </c>
      <c r="N5501">
        <v>0</v>
      </c>
      <c r="O5501" t="s">
        <v>53</v>
      </c>
      <c r="P5501" t="s">
        <v>53</v>
      </c>
      <c r="Q5501" t="s">
        <v>53</v>
      </c>
    </row>
    <row r="5502" spans="1:17" x14ac:dyDescent="0.2">
      <c r="A5502" s="30" t="str">
        <f>IF(C5502&amp;G5502&amp;D5502&lt;&gt;'Funnel setup'!$K$3&amp;'Funnel setup'!$K$4&amp;'Funnel setup'!$K$5,".",IF(A5501=".",1,A5501+1))</f>
        <v>.</v>
      </c>
      <c r="B5502" s="431" t="str">
        <f t="shared" si="85"/>
        <v>Knee Replacement RevisionCCG of GP PracticeNHS WEST CHESHIRE CCG (02F)EQ-5D Index</v>
      </c>
      <c r="C5502" t="s">
        <v>250</v>
      </c>
      <c r="D5502" t="s">
        <v>87</v>
      </c>
      <c r="E5502" t="s">
        <v>402</v>
      </c>
      <c r="F5502" t="s">
        <v>403</v>
      </c>
      <c r="G5502" t="s">
        <v>52</v>
      </c>
      <c r="H5502">
        <v>8</v>
      </c>
      <c r="I5502">
        <v>0.36799999999999999</v>
      </c>
      <c r="J5502">
        <v>0.53200000000000003</v>
      </c>
      <c r="K5502">
        <v>0.16400000000000001</v>
      </c>
      <c r="L5502">
        <v>6</v>
      </c>
      <c r="M5502">
        <v>1</v>
      </c>
      <c r="N5502">
        <v>1</v>
      </c>
      <c r="O5502" t="s">
        <v>53</v>
      </c>
      <c r="P5502" t="s">
        <v>53</v>
      </c>
      <c r="Q5502" t="s">
        <v>53</v>
      </c>
    </row>
    <row r="5503" spans="1:17" x14ac:dyDescent="0.2">
      <c r="A5503" s="30" t="str">
        <f>IF(C5503&amp;G5503&amp;D5503&lt;&gt;'Funnel setup'!$K$3&amp;'Funnel setup'!$K$4&amp;'Funnel setup'!$K$5,".",IF(A5502=".",1,A5502+1))</f>
        <v>.</v>
      </c>
      <c r="B5503" s="431" t="str">
        <f t="shared" si="85"/>
        <v>Knee Replacement RevisionCCG of GP PracticeNHS WEST ESSEX CCG (07H)EQ-5D Index</v>
      </c>
      <c r="C5503" t="s">
        <v>250</v>
      </c>
      <c r="D5503" t="s">
        <v>87</v>
      </c>
      <c r="E5503" t="s">
        <v>405</v>
      </c>
      <c r="F5503" t="s">
        <v>406</v>
      </c>
      <c r="G5503" t="s">
        <v>52</v>
      </c>
      <c r="H5503" t="s">
        <v>53</v>
      </c>
      <c r="I5503" t="s">
        <v>53</v>
      </c>
      <c r="J5503" t="s">
        <v>53</v>
      </c>
      <c r="K5503" t="s">
        <v>53</v>
      </c>
      <c r="L5503" t="s">
        <v>53</v>
      </c>
      <c r="M5503" t="s">
        <v>53</v>
      </c>
      <c r="N5503" t="s">
        <v>53</v>
      </c>
      <c r="O5503" t="s">
        <v>53</v>
      </c>
      <c r="P5503" t="s">
        <v>53</v>
      </c>
      <c r="Q5503" t="s">
        <v>53</v>
      </c>
    </row>
    <row r="5504" spans="1:17" x14ac:dyDescent="0.2">
      <c r="A5504" s="30" t="str">
        <f>IF(C5504&amp;G5504&amp;D5504&lt;&gt;'Funnel setup'!$K$3&amp;'Funnel setup'!$K$4&amp;'Funnel setup'!$K$5,".",IF(A5503=".",1,A5503+1))</f>
        <v>.</v>
      </c>
      <c r="B5504" s="431" t="str">
        <f t="shared" si="85"/>
        <v>Knee Replacement RevisionCCG of GP PracticeNHS WEST HAMPSHIRE CCG (11A)EQ-5D Index</v>
      </c>
      <c r="C5504" t="s">
        <v>250</v>
      </c>
      <c r="D5504" t="s">
        <v>87</v>
      </c>
      <c r="E5504" t="s">
        <v>444</v>
      </c>
      <c r="F5504" t="s">
        <v>445</v>
      </c>
      <c r="G5504" t="s">
        <v>52</v>
      </c>
      <c r="H5504">
        <v>25</v>
      </c>
      <c r="I5504">
        <v>0.35399999999999998</v>
      </c>
      <c r="J5504">
        <v>0.61299999999999999</v>
      </c>
      <c r="K5504">
        <v>0.25900000000000001</v>
      </c>
      <c r="L5504">
        <v>20</v>
      </c>
      <c r="M5504">
        <v>3</v>
      </c>
      <c r="N5504">
        <v>2</v>
      </c>
      <c r="O5504" t="s">
        <v>53</v>
      </c>
      <c r="P5504" t="s">
        <v>53</v>
      </c>
      <c r="Q5504" t="s">
        <v>53</v>
      </c>
    </row>
    <row r="5505" spans="1:17" x14ac:dyDescent="0.2">
      <c r="A5505" s="30" t="str">
        <f>IF(C5505&amp;G5505&amp;D5505&lt;&gt;'Funnel setup'!$K$3&amp;'Funnel setup'!$K$4&amp;'Funnel setup'!$K$5,".",IF(A5504=".",1,A5504+1))</f>
        <v>.</v>
      </c>
      <c r="B5505" s="431" t="str">
        <f t="shared" si="85"/>
        <v>Knee Replacement RevisionCCG of GP PracticeNHS WEST KENT CCG (99J)EQ-5D Index</v>
      </c>
      <c r="C5505" t="s">
        <v>250</v>
      </c>
      <c r="D5505" t="s">
        <v>87</v>
      </c>
      <c r="E5505" t="s">
        <v>447</v>
      </c>
      <c r="F5505" t="s">
        <v>448</v>
      </c>
      <c r="G5505" t="s">
        <v>52</v>
      </c>
      <c r="H5505">
        <v>7</v>
      </c>
      <c r="I5505">
        <v>0.55800000000000005</v>
      </c>
      <c r="J5505">
        <v>0.85099999999999998</v>
      </c>
      <c r="K5505">
        <v>0.29299999999999998</v>
      </c>
      <c r="L5505">
        <v>6</v>
      </c>
      <c r="M5505">
        <v>0</v>
      </c>
      <c r="N5505">
        <v>1</v>
      </c>
      <c r="O5505" t="s">
        <v>53</v>
      </c>
      <c r="P5505" t="s">
        <v>53</v>
      </c>
      <c r="Q5505" t="s">
        <v>53</v>
      </c>
    </row>
    <row r="5506" spans="1:17" x14ac:dyDescent="0.2">
      <c r="A5506" s="30" t="str">
        <f>IF(C5506&amp;G5506&amp;D5506&lt;&gt;'Funnel setup'!$K$3&amp;'Funnel setup'!$K$4&amp;'Funnel setup'!$K$5,".",IF(A5505=".",1,A5505+1))</f>
        <v>.</v>
      </c>
      <c r="B5506" s="431" t="str">
        <f t="shared" si="85"/>
        <v>Knee Replacement RevisionCCG of GP PracticeNHS WEST LANCASHIRE CCG (02G)EQ-5D Index</v>
      </c>
      <c r="C5506" t="s">
        <v>250</v>
      </c>
      <c r="D5506" t="s">
        <v>87</v>
      </c>
      <c r="E5506" t="s">
        <v>450</v>
      </c>
      <c r="F5506" t="s">
        <v>451</v>
      </c>
      <c r="G5506" t="s">
        <v>52</v>
      </c>
      <c r="H5506" t="s">
        <v>53</v>
      </c>
      <c r="I5506" t="s">
        <v>53</v>
      </c>
      <c r="J5506" t="s">
        <v>53</v>
      </c>
      <c r="K5506" t="s">
        <v>53</v>
      </c>
      <c r="L5506" t="s">
        <v>53</v>
      </c>
      <c r="M5506" t="s">
        <v>53</v>
      </c>
      <c r="N5506" t="s">
        <v>53</v>
      </c>
      <c r="O5506" t="s">
        <v>53</v>
      </c>
      <c r="P5506" t="s">
        <v>53</v>
      </c>
      <c r="Q5506" t="s">
        <v>53</v>
      </c>
    </row>
    <row r="5507" spans="1:17" x14ac:dyDescent="0.2">
      <c r="A5507" s="30" t="str">
        <f>IF(C5507&amp;G5507&amp;D5507&lt;&gt;'Funnel setup'!$K$3&amp;'Funnel setup'!$K$4&amp;'Funnel setup'!$K$5,".",IF(A5506=".",1,A5506+1))</f>
        <v>.</v>
      </c>
      <c r="B5507" s="431" t="str">
        <f t="shared" ref="B5507:B5570" si="86">C5507&amp;D5507&amp;F5507&amp;G5507</f>
        <v>Knee Replacement RevisionCCG of GP PracticeNHS WEST LEICESTERSHIRE CCG (04V)EQ-5D Index</v>
      </c>
      <c r="C5507" t="s">
        <v>250</v>
      </c>
      <c r="D5507" t="s">
        <v>87</v>
      </c>
      <c r="E5507" t="s">
        <v>453</v>
      </c>
      <c r="F5507" t="s">
        <v>454</v>
      </c>
      <c r="G5507" t="s">
        <v>52</v>
      </c>
      <c r="H5507">
        <v>11</v>
      </c>
      <c r="I5507">
        <v>0.28000000000000003</v>
      </c>
      <c r="J5507">
        <v>0.60899999999999999</v>
      </c>
      <c r="K5507">
        <v>0.32900000000000001</v>
      </c>
      <c r="L5507">
        <v>6</v>
      </c>
      <c r="M5507">
        <v>1</v>
      </c>
      <c r="N5507">
        <v>4</v>
      </c>
      <c r="O5507" t="s">
        <v>53</v>
      </c>
      <c r="P5507" t="s">
        <v>53</v>
      </c>
      <c r="Q5507" t="s">
        <v>53</v>
      </c>
    </row>
    <row r="5508" spans="1:17" x14ac:dyDescent="0.2">
      <c r="A5508" s="30" t="str">
        <f>IF(C5508&amp;G5508&amp;D5508&lt;&gt;'Funnel setup'!$K$3&amp;'Funnel setup'!$K$4&amp;'Funnel setup'!$K$5,".",IF(A5507=".",1,A5507+1))</f>
        <v>.</v>
      </c>
      <c r="B5508" s="431" t="str">
        <f t="shared" si="86"/>
        <v>Knee Replacement RevisionCCG of GP PracticeNHS WEST LONDON CCG (08Y)EQ-5D Index</v>
      </c>
      <c r="C5508" t="s">
        <v>250</v>
      </c>
      <c r="D5508" t="s">
        <v>87</v>
      </c>
      <c r="E5508" t="s">
        <v>456</v>
      </c>
      <c r="F5508" t="s">
        <v>457</v>
      </c>
      <c r="G5508" t="s">
        <v>52</v>
      </c>
      <c r="H5508" t="s">
        <v>53</v>
      </c>
      <c r="I5508" t="s">
        <v>53</v>
      </c>
      <c r="J5508" t="s">
        <v>53</v>
      </c>
      <c r="K5508" t="s">
        <v>53</v>
      </c>
      <c r="L5508" t="s">
        <v>53</v>
      </c>
      <c r="M5508" t="s">
        <v>53</v>
      </c>
      <c r="N5508" t="s">
        <v>53</v>
      </c>
      <c r="O5508" t="s">
        <v>53</v>
      </c>
      <c r="P5508" t="s">
        <v>53</v>
      </c>
      <c r="Q5508" t="s">
        <v>53</v>
      </c>
    </row>
    <row r="5509" spans="1:17" x14ac:dyDescent="0.2">
      <c r="A5509" s="30" t="str">
        <f>IF(C5509&amp;G5509&amp;D5509&lt;&gt;'Funnel setup'!$K$3&amp;'Funnel setup'!$K$4&amp;'Funnel setup'!$K$5,".",IF(A5508=".",1,A5508+1))</f>
        <v>.</v>
      </c>
      <c r="B5509" s="431" t="str">
        <f t="shared" si="86"/>
        <v>Knee Replacement RevisionCCG of GP PracticeNHS WEST NORFOLK CCG (07J)EQ-5D Index</v>
      </c>
      <c r="C5509" t="s">
        <v>250</v>
      </c>
      <c r="D5509" t="s">
        <v>87</v>
      </c>
      <c r="E5509" t="s">
        <v>459</v>
      </c>
      <c r="F5509" t="s">
        <v>460</v>
      </c>
      <c r="G5509" t="s">
        <v>52</v>
      </c>
      <c r="H5509">
        <v>13</v>
      </c>
      <c r="I5509">
        <v>0.40500000000000003</v>
      </c>
      <c r="J5509">
        <v>0.56899999999999995</v>
      </c>
      <c r="K5509">
        <v>0.16500000000000001</v>
      </c>
      <c r="L5509">
        <v>8</v>
      </c>
      <c r="M5509">
        <v>2</v>
      </c>
      <c r="N5509">
        <v>3</v>
      </c>
      <c r="O5509" t="s">
        <v>53</v>
      </c>
      <c r="P5509" t="s">
        <v>53</v>
      </c>
      <c r="Q5509" t="s">
        <v>53</v>
      </c>
    </row>
    <row r="5510" spans="1:17" x14ac:dyDescent="0.2">
      <c r="A5510" s="30" t="str">
        <f>IF(C5510&amp;G5510&amp;D5510&lt;&gt;'Funnel setup'!$K$3&amp;'Funnel setup'!$K$4&amp;'Funnel setup'!$K$5,".",IF(A5509=".",1,A5509+1))</f>
        <v>.</v>
      </c>
      <c r="B5510" s="431" t="str">
        <f t="shared" si="86"/>
        <v>Knee Replacement RevisionCCG of GP PracticeNHS WEST SUFFOLK CCG (07K)EQ-5D Index</v>
      </c>
      <c r="C5510" t="s">
        <v>250</v>
      </c>
      <c r="D5510" t="s">
        <v>87</v>
      </c>
      <c r="E5510" t="s">
        <v>462</v>
      </c>
      <c r="F5510" t="s">
        <v>463</v>
      </c>
      <c r="G5510" t="s">
        <v>52</v>
      </c>
      <c r="H5510" t="s">
        <v>53</v>
      </c>
      <c r="I5510" t="s">
        <v>53</v>
      </c>
      <c r="J5510" t="s">
        <v>53</v>
      </c>
      <c r="K5510" t="s">
        <v>53</v>
      </c>
      <c r="L5510" t="s">
        <v>53</v>
      </c>
      <c r="M5510" t="s">
        <v>53</v>
      </c>
      <c r="N5510" t="s">
        <v>53</v>
      </c>
      <c r="O5510" t="s">
        <v>53</v>
      </c>
      <c r="P5510" t="s">
        <v>53</v>
      </c>
      <c r="Q5510" t="s">
        <v>53</v>
      </c>
    </row>
    <row r="5511" spans="1:17" x14ac:dyDescent="0.2">
      <c r="A5511" s="30" t="str">
        <f>IF(C5511&amp;G5511&amp;D5511&lt;&gt;'Funnel setup'!$K$3&amp;'Funnel setup'!$K$4&amp;'Funnel setup'!$K$5,".",IF(A5510=".",1,A5510+1))</f>
        <v>.</v>
      </c>
      <c r="B5511" s="431" t="str">
        <f t="shared" si="86"/>
        <v>Knee Replacement RevisionCCG of GP PracticeNHS WIGAN BOROUGH CCG (02H)EQ-5D Index</v>
      </c>
      <c r="C5511" t="s">
        <v>250</v>
      </c>
      <c r="D5511" t="s">
        <v>87</v>
      </c>
      <c r="E5511" t="s">
        <v>465</v>
      </c>
      <c r="F5511" t="s">
        <v>466</v>
      </c>
      <c r="G5511" t="s">
        <v>52</v>
      </c>
      <c r="H5511">
        <v>6</v>
      </c>
      <c r="I5511">
        <v>0.60699999999999998</v>
      </c>
      <c r="J5511">
        <v>0.68500000000000005</v>
      </c>
      <c r="K5511">
        <v>7.8E-2</v>
      </c>
      <c r="L5511">
        <v>2</v>
      </c>
      <c r="M5511">
        <v>4</v>
      </c>
      <c r="N5511">
        <v>0</v>
      </c>
      <c r="O5511" t="s">
        <v>53</v>
      </c>
      <c r="P5511" t="s">
        <v>53</v>
      </c>
      <c r="Q5511" t="s">
        <v>53</v>
      </c>
    </row>
    <row r="5512" spans="1:17" x14ac:dyDescent="0.2">
      <c r="A5512" s="30" t="str">
        <f>IF(C5512&amp;G5512&amp;D5512&lt;&gt;'Funnel setup'!$K$3&amp;'Funnel setup'!$K$4&amp;'Funnel setup'!$K$5,".",IF(A5511=".",1,A5511+1))</f>
        <v>.</v>
      </c>
      <c r="B5512" s="431" t="str">
        <f t="shared" si="86"/>
        <v>Knee Replacement RevisionCCG of GP PracticeNHS WILTSHIRE CCG (99N)EQ-5D Index</v>
      </c>
      <c r="C5512" t="s">
        <v>250</v>
      </c>
      <c r="D5512" t="s">
        <v>87</v>
      </c>
      <c r="E5512" t="s">
        <v>468</v>
      </c>
      <c r="F5512" t="s">
        <v>469</v>
      </c>
      <c r="G5512" t="s">
        <v>52</v>
      </c>
      <c r="H5512">
        <v>32</v>
      </c>
      <c r="I5512">
        <v>0.35299999999999998</v>
      </c>
      <c r="J5512">
        <v>0.54</v>
      </c>
      <c r="K5512">
        <v>0.187</v>
      </c>
      <c r="L5512">
        <v>18</v>
      </c>
      <c r="M5512">
        <v>8</v>
      </c>
      <c r="N5512">
        <v>6</v>
      </c>
      <c r="O5512">
        <v>0.54800000000000004</v>
      </c>
      <c r="P5512">
        <v>0.21650074799999999</v>
      </c>
      <c r="Q5512">
        <v>0.28699999999999998</v>
      </c>
    </row>
    <row r="5513" spans="1:17" x14ac:dyDescent="0.2">
      <c r="A5513" s="30" t="str">
        <f>IF(C5513&amp;G5513&amp;D5513&lt;&gt;'Funnel setup'!$K$3&amp;'Funnel setup'!$K$4&amp;'Funnel setup'!$K$5,".",IF(A5512=".",1,A5512+1))</f>
        <v>.</v>
      </c>
      <c r="B5513" s="431" t="str">
        <f t="shared" si="86"/>
        <v>Knee Replacement RevisionCCG of GP PracticeNHS WINDSOR, ASCOT AND MAIDENHEAD CCG (11C)EQ-5D Index</v>
      </c>
      <c r="C5513" t="s">
        <v>250</v>
      </c>
      <c r="D5513" t="s">
        <v>87</v>
      </c>
      <c r="E5513" t="s">
        <v>471</v>
      </c>
      <c r="F5513" t="s">
        <v>472</v>
      </c>
      <c r="G5513" t="s">
        <v>52</v>
      </c>
      <c r="H5513" t="s">
        <v>53</v>
      </c>
      <c r="I5513" t="s">
        <v>53</v>
      </c>
      <c r="J5513" t="s">
        <v>53</v>
      </c>
      <c r="K5513" t="s">
        <v>53</v>
      </c>
      <c r="L5513" t="s">
        <v>53</v>
      </c>
      <c r="M5513" t="s">
        <v>53</v>
      </c>
      <c r="N5513" t="s">
        <v>53</v>
      </c>
      <c r="O5513" t="s">
        <v>53</v>
      </c>
      <c r="P5513" t="s">
        <v>53</v>
      </c>
      <c r="Q5513" t="s">
        <v>53</v>
      </c>
    </row>
    <row r="5514" spans="1:17" x14ac:dyDescent="0.2">
      <c r="A5514" s="30" t="str">
        <f>IF(C5514&amp;G5514&amp;D5514&lt;&gt;'Funnel setup'!$K$3&amp;'Funnel setup'!$K$4&amp;'Funnel setup'!$K$5,".",IF(A5513=".",1,A5513+1))</f>
        <v>.</v>
      </c>
      <c r="B5514" s="431" t="str">
        <f t="shared" si="86"/>
        <v>Knee Replacement RevisionCCG of GP PracticeNHS WIRRAL CCG (12F)EQ-5D Index</v>
      </c>
      <c r="C5514" t="s">
        <v>250</v>
      </c>
      <c r="D5514" t="s">
        <v>87</v>
      </c>
      <c r="E5514" t="s">
        <v>474</v>
      </c>
      <c r="F5514" t="s">
        <v>475</v>
      </c>
      <c r="G5514" t="s">
        <v>52</v>
      </c>
      <c r="H5514" t="s">
        <v>53</v>
      </c>
      <c r="I5514" t="s">
        <v>53</v>
      </c>
      <c r="J5514" t="s">
        <v>53</v>
      </c>
      <c r="K5514" t="s">
        <v>53</v>
      </c>
      <c r="L5514" t="s">
        <v>53</v>
      </c>
      <c r="M5514" t="s">
        <v>53</v>
      </c>
      <c r="N5514" t="s">
        <v>53</v>
      </c>
      <c r="O5514" t="s">
        <v>53</v>
      </c>
      <c r="P5514" t="s">
        <v>53</v>
      </c>
      <c r="Q5514" t="s">
        <v>53</v>
      </c>
    </row>
    <row r="5515" spans="1:17" x14ac:dyDescent="0.2">
      <c r="A5515" s="30" t="str">
        <f>IF(C5515&amp;G5515&amp;D5515&lt;&gt;'Funnel setup'!$K$3&amp;'Funnel setup'!$K$4&amp;'Funnel setup'!$K$5,".",IF(A5514=".",1,A5514+1))</f>
        <v>.</v>
      </c>
      <c r="B5515" s="431" t="str">
        <f t="shared" si="86"/>
        <v>Knee Replacement RevisionCCG of GP PracticeNHS WOKINGHAM CCG (11D)EQ-5D Index</v>
      </c>
      <c r="C5515" t="s">
        <v>250</v>
      </c>
      <c r="D5515" t="s">
        <v>87</v>
      </c>
      <c r="E5515" t="s">
        <v>477</v>
      </c>
      <c r="F5515" t="s">
        <v>478</v>
      </c>
      <c r="G5515" t="s">
        <v>52</v>
      </c>
      <c r="H5515" t="s">
        <v>53</v>
      </c>
      <c r="I5515" t="s">
        <v>53</v>
      </c>
      <c r="J5515" t="s">
        <v>53</v>
      </c>
      <c r="K5515" t="s">
        <v>53</v>
      </c>
      <c r="L5515" t="s">
        <v>53</v>
      </c>
      <c r="M5515" t="s">
        <v>53</v>
      </c>
      <c r="N5515" t="s">
        <v>53</v>
      </c>
      <c r="O5515" t="s">
        <v>53</v>
      </c>
      <c r="P5515" t="s">
        <v>53</v>
      </c>
      <c r="Q5515" t="s">
        <v>53</v>
      </c>
    </row>
    <row r="5516" spans="1:17" x14ac:dyDescent="0.2">
      <c r="A5516" s="30" t="str">
        <f>IF(C5516&amp;G5516&amp;D5516&lt;&gt;'Funnel setup'!$K$3&amp;'Funnel setup'!$K$4&amp;'Funnel setup'!$K$5,".",IF(A5515=".",1,A5515+1))</f>
        <v>.</v>
      </c>
      <c r="B5516" s="431" t="str">
        <f t="shared" si="86"/>
        <v>Knee Replacement RevisionCCG of GP PracticeNHS WOLVERHAMPTON CCG (06A)EQ-5D Index</v>
      </c>
      <c r="C5516" t="s">
        <v>250</v>
      </c>
      <c r="D5516" t="s">
        <v>87</v>
      </c>
      <c r="E5516" t="s">
        <v>480</v>
      </c>
      <c r="F5516" t="s">
        <v>481</v>
      </c>
      <c r="G5516" t="s">
        <v>52</v>
      </c>
      <c r="H5516" t="s">
        <v>53</v>
      </c>
      <c r="I5516" t="s">
        <v>53</v>
      </c>
      <c r="J5516" t="s">
        <v>53</v>
      </c>
      <c r="K5516" t="s">
        <v>53</v>
      </c>
      <c r="L5516" t="s">
        <v>53</v>
      </c>
      <c r="M5516" t="s">
        <v>53</v>
      </c>
      <c r="N5516" t="s">
        <v>53</v>
      </c>
      <c r="O5516" t="s">
        <v>53</v>
      </c>
      <c r="P5516" t="s">
        <v>53</v>
      </c>
      <c r="Q5516" t="s">
        <v>53</v>
      </c>
    </row>
    <row r="5517" spans="1:17" x14ac:dyDescent="0.2">
      <c r="A5517" s="30" t="str">
        <f>IF(C5517&amp;G5517&amp;D5517&lt;&gt;'Funnel setup'!$K$3&amp;'Funnel setup'!$K$4&amp;'Funnel setup'!$K$5,".",IF(A5516=".",1,A5516+1))</f>
        <v>.</v>
      </c>
      <c r="B5517" s="431" t="str">
        <f t="shared" si="86"/>
        <v>Knee Replacement RevisionCCG of GP PracticeNHS WYRE FOREST CCG (06D)EQ-5D Index</v>
      </c>
      <c r="C5517" t="s">
        <v>250</v>
      </c>
      <c r="D5517" t="s">
        <v>87</v>
      </c>
      <c r="E5517" t="s">
        <v>483</v>
      </c>
      <c r="F5517" t="s">
        <v>484</v>
      </c>
      <c r="G5517" t="s">
        <v>52</v>
      </c>
      <c r="H5517" t="s">
        <v>53</v>
      </c>
      <c r="I5517" t="s">
        <v>53</v>
      </c>
      <c r="J5517" t="s">
        <v>53</v>
      </c>
      <c r="K5517" t="s">
        <v>53</v>
      </c>
      <c r="L5517" t="s">
        <v>53</v>
      </c>
      <c r="M5517" t="s">
        <v>53</v>
      </c>
      <c r="N5517" t="s">
        <v>53</v>
      </c>
      <c r="O5517" t="s">
        <v>53</v>
      </c>
      <c r="P5517" t="s">
        <v>53</v>
      </c>
      <c r="Q5517" t="s">
        <v>53</v>
      </c>
    </row>
    <row r="5518" spans="1:17" x14ac:dyDescent="0.2">
      <c r="A5518" s="30" t="str">
        <f>IF(C5518&amp;G5518&amp;D5518&lt;&gt;'Funnel setup'!$K$3&amp;'Funnel setup'!$K$4&amp;'Funnel setup'!$K$5,".",IF(A5517=".",1,A5517+1))</f>
        <v>.</v>
      </c>
      <c r="B5518" s="431" t="str">
        <f t="shared" si="86"/>
        <v>Knee Replacement RevisionCCG of GP PracticeNHS AIREDALE, WHARFEDALE AND CRAVEN CCG (02N)Oxford Knee Score</v>
      </c>
      <c r="C5518" t="s">
        <v>250</v>
      </c>
      <c r="D5518" t="s">
        <v>87</v>
      </c>
      <c r="E5518" t="s">
        <v>566</v>
      </c>
      <c r="F5518" t="s">
        <v>567</v>
      </c>
      <c r="G5518" t="s">
        <v>16</v>
      </c>
      <c r="H5518" t="s">
        <v>53</v>
      </c>
      <c r="I5518" t="s">
        <v>53</v>
      </c>
      <c r="J5518" t="s">
        <v>53</v>
      </c>
      <c r="K5518" t="s">
        <v>53</v>
      </c>
      <c r="L5518" t="s">
        <v>53</v>
      </c>
      <c r="M5518" t="s">
        <v>53</v>
      </c>
      <c r="N5518" t="s">
        <v>53</v>
      </c>
      <c r="O5518" t="s">
        <v>53</v>
      </c>
      <c r="P5518" t="s">
        <v>53</v>
      </c>
      <c r="Q5518" t="s">
        <v>53</v>
      </c>
    </row>
    <row r="5519" spans="1:17" x14ac:dyDescent="0.2">
      <c r="A5519" s="30" t="str">
        <f>IF(C5519&amp;G5519&amp;D5519&lt;&gt;'Funnel setup'!$K$3&amp;'Funnel setup'!$K$4&amp;'Funnel setup'!$K$5,".",IF(A5518=".",1,A5518+1))</f>
        <v>.</v>
      </c>
      <c r="B5519" s="431" t="str">
        <f t="shared" si="86"/>
        <v>Knee Replacement RevisionCCG of GP PracticeNHS ASHFORD CCG (09C)Oxford Knee Score</v>
      </c>
      <c r="C5519" t="s">
        <v>250</v>
      </c>
      <c r="D5519" t="s">
        <v>87</v>
      </c>
      <c r="E5519" t="s">
        <v>569</v>
      </c>
      <c r="F5519" t="s">
        <v>339</v>
      </c>
      <c r="G5519" t="s">
        <v>16</v>
      </c>
      <c r="H5519" t="s">
        <v>53</v>
      </c>
      <c r="I5519" t="s">
        <v>53</v>
      </c>
      <c r="J5519" t="s">
        <v>53</v>
      </c>
      <c r="K5519" t="s">
        <v>53</v>
      </c>
      <c r="L5519" t="s">
        <v>53</v>
      </c>
      <c r="M5519" t="s">
        <v>53</v>
      </c>
      <c r="N5519" t="s">
        <v>53</v>
      </c>
      <c r="O5519" t="s">
        <v>53</v>
      </c>
      <c r="P5519" t="s">
        <v>53</v>
      </c>
      <c r="Q5519" t="s">
        <v>53</v>
      </c>
    </row>
    <row r="5520" spans="1:17" x14ac:dyDescent="0.2">
      <c r="A5520" s="30" t="str">
        <f>IF(C5520&amp;G5520&amp;D5520&lt;&gt;'Funnel setup'!$K$3&amp;'Funnel setup'!$K$4&amp;'Funnel setup'!$K$5,".",IF(A5519=".",1,A5519+1))</f>
        <v>.</v>
      </c>
      <c r="B5520" s="431" t="str">
        <f t="shared" si="86"/>
        <v>Knee Replacement RevisionCCG of GP PracticeNHS AYLESBURY VALE CCG (10Y)Oxford Knee Score</v>
      </c>
      <c r="C5520" t="s">
        <v>250</v>
      </c>
      <c r="D5520" t="s">
        <v>87</v>
      </c>
      <c r="E5520" t="s">
        <v>571</v>
      </c>
      <c r="F5520" t="s">
        <v>572</v>
      </c>
      <c r="G5520" t="s">
        <v>16</v>
      </c>
      <c r="H5520" t="s">
        <v>53</v>
      </c>
      <c r="I5520" t="s">
        <v>53</v>
      </c>
      <c r="J5520" t="s">
        <v>53</v>
      </c>
      <c r="K5520" t="s">
        <v>53</v>
      </c>
      <c r="L5520" t="s">
        <v>53</v>
      </c>
      <c r="M5520" t="s">
        <v>53</v>
      </c>
      <c r="N5520" t="s">
        <v>53</v>
      </c>
      <c r="O5520" t="s">
        <v>53</v>
      </c>
      <c r="P5520" t="s">
        <v>53</v>
      </c>
      <c r="Q5520" t="s">
        <v>53</v>
      </c>
    </row>
    <row r="5521" spans="1:17" x14ac:dyDescent="0.2">
      <c r="A5521" s="30" t="str">
        <f>IF(C5521&amp;G5521&amp;D5521&lt;&gt;'Funnel setup'!$K$3&amp;'Funnel setup'!$K$4&amp;'Funnel setup'!$K$5,".",IF(A5520=".",1,A5520+1))</f>
        <v>.</v>
      </c>
      <c r="B5521" s="431" t="str">
        <f t="shared" si="86"/>
        <v>Knee Replacement RevisionCCG of GP PracticeNHS BARNET CCG (07M)Oxford Knee Score</v>
      </c>
      <c r="C5521" t="s">
        <v>250</v>
      </c>
      <c r="D5521" t="s">
        <v>87</v>
      </c>
      <c r="E5521" t="s">
        <v>577</v>
      </c>
      <c r="F5521" t="s">
        <v>578</v>
      </c>
      <c r="G5521" t="s">
        <v>16</v>
      </c>
      <c r="H5521" t="s">
        <v>53</v>
      </c>
      <c r="I5521" t="s">
        <v>53</v>
      </c>
      <c r="J5521" t="s">
        <v>53</v>
      </c>
      <c r="K5521" t="s">
        <v>53</v>
      </c>
      <c r="L5521" t="s">
        <v>53</v>
      </c>
      <c r="M5521" t="s">
        <v>53</v>
      </c>
      <c r="N5521" t="s">
        <v>53</v>
      </c>
      <c r="O5521" t="s">
        <v>53</v>
      </c>
      <c r="P5521" t="s">
        <v>53</v>
      </c>
      <c r="Q5521" t="s">
        <v>53</v>
      </c>
    </row>
    <row r="5522" spans="1:17" x14ac:dyDescent="0.2">
      <c r="A5522" s="30" t="str">
        <f>IF(C5522&amp;G5522&amp;D5522&lt;&gt;'Funnel setup'!$K$3&amp;'Funnel setup'!$K$4&amp;'Funnel setup'!$K$5,".",IF(A5521=".",1,A5521+1))</f>
        <v>.</v>
      </c>
      <c r="B5522" s="431" t="str">
        <f t="shared" si="86"/>
        <v>Knee Replacement RevisionCCG of GP PracticeNHS BARNSLEY CCG (02P)Oxford Knee Score</v>
      </c>
      <c r="C5522" t="s">
        <v>250</v>
      </c>
      <c r="D5522" t="s">
        <v>87</v>
      </c>
      <c r="E5522" t="s">
        <v>580</v>
      </c>
      <c r="F5522" t="s">
        <v>581</v>
      </c>
      <c r="G5522" t="s">
        <v>16</v>
      </c>
      <c r="H5522">
        <v>21</v>
      </c>
      <c r="I5522">
        <v>13.476000000000001</v>
      </c>
      <c r="J5522">
        <v>30.428999999999998</v>
      </c>
      <c r="K5522">
        <v>16.952000000000002</v>
      </c>
      <c r="L5522">
        <v>19</v>
      </c>
      <c r="M5522">
        <v>0</v>
      </c>
      <c r="N5522">
        <v>2</v>
      </c>
      <c r="O5522" t="s">
        <v>53</v>
      </c>
      <c r="P5522" t="s">
        <v>53</v>
      </c>
      <c r="Q5522" t="s">
        <v>53</v>
      </c>
    </row>
    <row r="5523" spans="1:17" x14ac:dyDescent="0.2">
      <c r="A5523" s="30" t="str">
        <f>IF(C5523&amp;G5523&amp;D5523&lt;&gt;'Funnel setup'!$K$3&amp;'Funnel setup'!$K$4&amp;'Funnel setup'!$K$5,".",IF(A5522=".",1,A5522+1))</f>
        <v>.</v>
      </c>
      <c r="B5523" s="431" t="str">
        <f t="shared" si="86"/>
        <v>Knee Replacement RevisionCCG of GP PracticeNHS BASILDON AND BRENTWOOD CCG (99E)Oxford Knee Score</v>
      </c>
      <c r="C5523" t="s">
        <v>250</v>
      </c>
      <c r="D5523" t="s">
        <v>87</v>
      </c>
      <c r="E5523" t="s">
        <v>583</v>
      </c>
      <c r="F5523" t="s">
        <v>584</v>
      </c>
      <c r="G5523" t="s">
        <v>16</v>
      </c>
      <c r="H5523">
        <v>11</v>
      </c>
      <c r="I5523">
        <v>16.908999999999999</v>
      </c>
      <c r="J5523">
        <v>29.727</v>
      </c>
      <c r="K5523">
        <v>12.818</v>
      </c>
      <c r="L5523">
        <v>7</v>
      </c>
      <c r="M5523">
        <v>1</v>
      </c>
      <c r="N5523">
        <v>3</v>
      </c>
      <c r="O5523" t="s">
        <v>53</v>
      </c>
      <c r="P5523" t="s">
        <v>53</v>
      </c>
      <c r="Q5523" t="s">
        <v>53</v>
      </c>
    </row>
    <row r="5524" spans="1:17" x14ac:dyDescent="0.2">
      <c r="A5524" s="30" t="str">
        <f>IF(C5524&amp;G5524&amp;D5524&lt;&gt;'Funnel setup'!$K$3&amp;'Funnel setup'!$K$4&amp;'Funnel setup'!$K$5,".",IF(A5523=".",1,A5523+1))</f>
        <v>.</v>
      </c>
      <c r="B5524" s="431" t="str">
        <f t="shared" si="86"/>
        <v>Knee Replacement RevisionCCG of GP PracticeNHS BASSETLAW CCG (02Q)Oxford Knee Score</v>
      </c>
      <c r="C5524" t="s">
        <v>250</v>
      </c>
      <c r="D5524" t="s">
        <v>87</v>
      </c>
      <c r="E5524" t="s">
        <v>586</v>
      </c>
      <c r="F5524" t="s">
        <v>587</v>
      </c>
      <c r="G5524" t="s">
        <v>16</v>
      </c>
      <c r="H5524">
        <v>8</v>
      </c>
      <c r="I5524">
        <v>16.125</v>
      </c>
      <c r="J5524">
        <v>23.875</v>
      </c>
      <c r="K5524">
        <v>7.75</v>
      </c>
      <c r="L5524">
        <v>5</v>
      </c>
      <c r="M5524">
        <v>1</v>
      </c>
      <c r="N5524">
        <v>2</v>
      </c>
      <c r="O5524" t="s">
        <v>53</v>
      </c>
      <c r="P5524" t="s">
        <v>53</v>
      </c>
      <c r="Q5524" t="s">
        <v>53</v>
      </c>
    </row>
    <row r="5525" spans="1:17" x14ac:dyDescent="0.2">
      <c r="A5525" s="30" t="str">
        <f>IF(C5525&amp;G5525&amp;D5525&lt;&gt;'Funnel setup'!$K$3&amp;'Funnel setup'!$K$4&amp;'Funnel setup'!$K$5,".",IF(A5524=".",1,A5524+1))</f>
        <v>.</v>
      </c>
      <c r="B5525" s="431" t="str">
        <f t="shared" si="86"/>
        <v>Knee Replacement RevisionCCG of GP PracticeNHS BATH AND NORTH EAST SOMERSET CCG (11E)Oxford Knee Score</v>
      </c>
      <c r="C5525" t="s">
        <v>250</v>
      </c>
      <c r="D5525" t="s">
        <v>87</v>
      </c>
      <c r="E5525" t="s">
        <v>589</v>
      </c>
      <c r="F5525" t="s">
        <v>590</v>
      </c>
      <c r="G5525" t="s">
        <v>16</v>
      </c>
      <c r="H5525">
        <v>6</v>
      </c>
      <c r="I5525">
        <v>18.167000000000002</v>
      </c>
      <c r="J5525">
        <v>30.667000000000002</v>
      </c>
      <c r="K5525">
        <v>12.5</v>
      </c>
      <c r="L5525">
        <v>6</v>
      </c>
      <c r="M5525">
        <v>0</v>
      </c>
      <c r="N5525">
        <v>0</v>
      </c>
      <c r="O5525" t="s">
        <v>53</v>
      </c>
      <c r="P5525" t="s">
        <v>53</v>
      </c>
      <c r="Q5525" t="s">
        <v>53</v>
      </c>
    </row>
    <row r="5526" spans="1:17" x14ac:dyDescent="0.2">
      <c r="A5526" s="30" t="str">
        <f>IF(C5526&amp;G5526&amp;D5526&lt;&gt;'Funnel setup'!$K$3&amp;'Funnel setup'!$K$4&amp;'Funnel setup'!$K$5,".",IF(A5525=".",1,A5525+1))</f>
        <v>.</v>
      </c>
      <c r="B5526" s="431" t="str">
        <f t="shared" si="86"/>
        <v>Knee Replacement RevisionCCG of GP PracticeNHS BEDFORDSHIRE CCG (06F)Oxford Knee Score</v>
      </c>
      <c r="C5526" t="s">
        <v>250</v>
      </c>
      <c r="D5526" t="s">
        <v>87</v>
      </c>
      <c r="E5526" t="s">
        <v>592</v>
      </c>
      <c r="F5526" t="s">
        <v>593</v>
      </c>
      <c r="G5526" t="s">
        <v>16</v>
      </c>
      <c r="H5526">
        <v>13</v>
      </c>
      <c r="I5526">
        <v>17.308</v>
      </c>
      <c r="J5526">
        <v>30.614999999999998</v>
      </c>
      <c r="K5526">
        <v>13.308</v>
      </c>
      <c r="L5526">
        <v>13</v>
      </c>
      <c r="M5526">
        <v>0</v>
      </c>
      <c r="N5526">
        <v>0</v>
      </c>
      <c r="O5526" t="s">
        <v>53</v>
      </c>
      <c r="P5526" t="s">
        <v>53</v>
      </c>
      <c r="Q5526" t="s">
        <v>53</v>
      </c>
    </row>
    <row r="5527" spans="1:17" x14ac:dyDescent="0.2">
      <c r="A5527" s="30" t="str">
        <f>IF(C5527&amp;G5527&amp;D5527&lt;&gt;'Funnel setup'!$K$3&amp;'Funnel setup'!$K$4&amp;'Funnel setup'!$K$5,".",IF(A5526=".",1,A5526+1))</f>
        <v>.</v>
      </c>
      <c r="B5527" s="431" t="str">
        <f t="shared" si="86"/>
        <v>Knee Replacement RevisionCCG of GP PracticeNHS BEXLEY CCG (07N)Oxford Knee Score</v>
      </c>
      <c r="C5527" t="s">
        <v>250</v>
      </c>
      <c r="D5527" t="s">
        <v>87</v>
      </c>
      <c r="E5527" t="s">
        <v>595</v>
      </c>
      <c r="F5527" t="s">
        <v>596</v>
      </c>
      <c r="G5527" t="s">
        <v>16</v>
      </c>
      <c r="H5527" t="s">
        <v>53</v>
      </c>
      <c r="I5527" t="s">
        <v>53</v>
      </c>
      <c r="J5527" t="s">
        <v>53</v>
      </c>
      <c r="K5527" t="s">
        <v>53</v>
      </c>
      <c r="L5527" t="s">
        <v>53</v>
      </c>
      <c r="M5527" t="s">
        <v>53</v>
      </c>
      <c r="N5527" t="s">
        <v>53</v>
      </c>
      <c r="O5527" t="s">
        <v>53</v>
      </c>
      <c r="P5527" t="s">
        <v>53</v>
      </c>
      <c r="Q5527" t="s">
        <v>53</v>
      </c>
    </row>
    <row r="5528" spans="1:17" x14ac:dyDescent="0.2">
      <c r="A5528" s="30" t="str">
        <f>IF(C5528&amp;G5528&amp;D5528&lt;&gt;'Funnel setup'!$K$3&amp;'Funnel setup'!$K$4&amp;'Funnel setup'!$K$5,".",IF(A5527=".",1,A5527+1))</f>
        <v>.</v>
      </c>
      <c r="B5528" s="431" t="str">
        <f t="shared" si="86"/>
        <v>Knee Replacement RevisionCCG of GP PracticeNHS BIRMINGHAM CROSSCITY CCG (13P)Oxford Knee Score</v>
      </c>
      <c r="C5528" t="s">
        <v>250</v>
      </c>
      <c r="D5528" t="s">
        <v>87</v>
      </c>
      <c r="E5528" t="s">
        <v>598</v>
      </c>
      <c r="F5528" t="s">
        <v>599</v>
      </c>
      <c r="G5528" t="s">
        <v>16</v>
      </c>
      <c r="H5528">
        <v>11</v>
      </c>
      <c r="I5528">
        <v>13.273</v>
      </c>
      <c r="J5528">
        <v>25.181999999999999</v>
      </c>
      <c r="K5528">
        <v>11.909000000000001</v>
      </c>
      <c r="L5528">
        <v>9</v>
      </c>
      <c r="M5528">
        <v>0</v>
      </c>
      <c r="N5528">
        <v>2</v>
      </c>
      <c r="O5528" t="s">
        <v>53</v>
      </c>
      <c r="P5528" t="s">
        <v>53</v>
      </c>
      <c r="Q5528" t="s">
        <v>53</v>
      </c>
    </row>
    <row r="5529" spans="1:17" x14ac:dyDescent="0.2">
      <c r="A5529" s="30" t="str">
        <f>IF(C5529&amp;G5529&amp;D5529&lt;&gt;'Funnel setup'!$K$3&amp;'Funnel setup'!$K$4&amp;'Funnel setup'!$K$5,".",IF(A5528=".",1,A5528+1))</f>
        <v>.</v>
      </c>
      <c r="B5529" s="431" t="str">
        <f t="shared" si="86"/>
        <v>Knee Replacement RevisionCCG of GP PracticeNHS BIRMINGHAM SOUTH AND CENTRAL CCG (04X)Oxford Knee Score</v>
      </c>
      <c r="C5529" t="s">
        <v>250</v>
      </c>
      <c r="D5529" t="s">
        <v>87</v>
      </c>
      <c r="E5529" t="s">
        <v>601</v>
      </c>
      <c r="F5529" t="s">
        <v>602</v>
      </c>
      <c r="G5529" t="s">
        <v>16</v>
      </c>
      <c r="H5529" t="s">
        <v>53</v>
      </c>
      <c r="I5529" t="s">
        <v>53</v>
      </c>
      <c r="J5529" t="s">
        <v>53</v>
      </c>
      <c r="K5529" t="s">
        <v>53</v>
      </c>
      <c r="L5529" t="s">
        <v>53</v>
      </c>
      <c r="M5529" t="s">
        <v>53</v>
      </c>
      <c r="N5529" t="s">
        <v>53</v>
      </c>
      <c r="O5529" t="s">
        <v>53</v>
      </c>
      <c r="P5529" t="s">
        <v>53</v>
      </c>
      <c r="Q5529" t="s">
        <v>53</v>
      </c>
    </row>
    <row r="5530" spans="1:17" x14ac:dyDescent="0.2">
      <c r="A5530" s="30" t="str">
        <f>IF(C5530&amp;G5530&amp;D5530&lt;&gt;'Funnel setup'!$K$3&amp;'Funnel setup'!$K$4&amp;'Funnel setup'!$K$5,".",IF(A5529=".",1,A5529+1))</f>
        <v>.</v>
      </c>
      <c r="B5530" s="431" t="str">
        <f t="shared" si="86"/>
        <v>Knee Replacement RevisionCCG of GP PracticeNHS BOLTON CCG (00T)Oxford Knee Score</v>
      </c>
      <c r="C5530" t="s">
        <v>250</v>
      </c>
      <c r="D5530" t="s">
        <v>87</v>
      </c>
      <c r="E5530" t="s">
        <v>683</v>
      </c>
      <c r="F5530" t="s">
        <v>684</v>
      </c>
      <c r="G5530" t="s">
        <v>16</v>
      </c>
      <c r="H5530">
        <v>9</v>
      </c>
      <c r="I5530">
        <v>10.555999999999999</v>
      </c>
      <c r="J5530">
        <v>24.111000000000001</v>
      </c>
      <c r="K5530">
        <v>13.555999999999999</v>
      </c>
      <c r="L5530">
        <v>7</v>
      </c>
      <c r="M5530">
        <v>2</v>
      </c>
      <c r="N5530">
        <v>0</v>
      </c>
      <c r="O5530" t="s">
        <v>53</v>
      </c>
      <c r="P5530" t="s">
        <v>53</v>
      </c>
      <c r="Q5530" t="s">
        <v>53</v>
      </c>
    </row>
    <row r="5531" spans="1:17" x14ac:dyDescent="0.2">
      <c r="A5531" s="30" t="str">
        <f>IF(C5531&amp;G5531&amp;D5531&lt;&gt;'Funnel setup'!$K$3&amp;'Funnel setup'!$K$4&amp;'Funnel setup'!$K$5,".",IF(A5530=".",1,A5530+1))</f>
        <v>.</v>
      </c>
      <c r="B5531" s="431" t="str">
        <f t="shared" si="86"/>
        <v>Knee Replacement RevisionCCG of GP PracticeNHS BRACKNELL AND ASCOT CCG (10G)Oxford Knee Score</v>
      </c>
      <c r="C5531" t="s">
        <v>250</v>
      </c>
      <c r="D5531" t="s">
        <v>87</v>
      </c>
      <c r="E5531" t="s">
        <v>686</v>
      </c>
      <c r="F5531" t="s">
        <v>687</v>
      </c>
      <c r="G5531" t="s">
        <v>16</v>
      </c>
      <c r="H5531" t="s">
        <v>53</v>
      </c>
      <c r="I5531" t="s">
        <v>53</v>
      </c>
      <c r="J5531" t="s">
        <v>53</v>
      </c>
      <c r="K5531" t="s">
        <v>53</v>
      </c>
      <c r="L5531" t="s">
        <v>53</v>
      </c>
      <c r="M5531" t="s">
        <v>53</v>
      </c>
      <c r="N5531" t="s">
        <v>53</v>
      </c>
      <c r="O5531" t="s">
        <v>53</v>
      </c>
      <c r="P5531" t="s">
        <v>53</v>
      </c>
      <c r="Q5531" t="s">
        <v>53</v>
      </c>
    </row>
    <row r="5532" spans="1:17" x14ac:dyDescent="0.2">
      <c r="A5532" s="30" t="str">
        <f>IF(C5532&amp;G5532&amp;D5532&lt;&gt;'Funnel setup'!$K$3&amp;'Funnel setup'!$K$4&amp;'Funnel setup'!$K$5,".",IF(A5531=".",1,A5531+1))</f>
        <v>.</v>
      </c>
      <c r="B5532" s="431" t="str">
        <f t="shared" si="86"/>
        <v>Knee Replacement RevisionCCG of GP PracticeNHS BRADFORD CITY CCG (02W)Oxford Knee Score</v>
      </c>
      <c r="C5532" t="s">
        <v>250</v>
      </c>
      <c r="D5532" t="s">
        <v>87</v>
      </c>
      <c r="E5532" t="s">
        <v>689</v>
      </c>
      <c r="F5532" t="s">
        <v>690</v>
      </c>
      <c r="G5532" t="s">
        <v>16</v>
      </c>
      <c r="H5532" t="s">
        <v>53</v>
      </c>
      <c r="I5532" t="s">
        <v>53</v>
      </c>
      <c r="J5532" t="s">
        <v>53</v>
      </c>
      <c r="K5532" t="s">
        <v>53</v>
      </c>
      <c r="L5532" t="s">
        <v>53</v>
      </c>
      <c r="M5532" t="s">
        <v>53</v>
      </c>
      <c r="N5532" t="s">
        <v>53</v>
      </c>
      <c r="O5532" t="s">
        <v>53</v>
      </c>
      <c r="P5532" t="s">
        <v>53</v>
      </c>
      <c r="Q5532" t="s">
        <v>53</v>
      </c>
    </row>
    <row r="5533" spans="1:17" x14ac:dyDescent="0.2">
      <c r="A5533" s="30" t="str">
        <f>IF(C5533&amp;G5533&amp;D5533&lt;&gt;'Funnel setup'!$K$3&amp;'Funnel setup'!$K$4&amp;'Funnel setup'!$K$5,".",IF(A5532=".",1,A5532+1))</f>
        <v>.</v>
      </c>
      <c r="B5533" s="431" t="str">
        <f t="shared" si="86"/>
        <v>Knee Replacement RevisionCCG of GP PracticeNHS BRADFORD DISTRICTS CCG (02R)Oxford Knee Score</v>
      </c>
      <c r="C5533" t="s">
        <v>250</v>
      </c>
      <c r="D5533" t="s">
        <v>87</v>
      </c>
      <c r="E5533" t="s">
        <v>692</v>
      </c>
      <c r="F5533" t="s">
        <v>693</v>
      </c>
      <c r="G5533" t="s">
        <v>16</v>
      </c>
      <c r="H5533">
        <v>14</v>
      </c>
      <c r="I5533">
        <v>13.929</v>
      </c>
      <c r="J5533">
        <v>24.713999999999999</v>
      </c>
      <c r="K5533">
        <v>10.786</v>
      </c>
      <c r="L5533">
        <v>12</v>
      </c>
      <c r="M5533">
        <v>0</v>
      </c>
      <c r="N5533">
        <v>2</v>
      </c>
      <c r="O5533" t="s">
        <v>53</v>
      </c>
      <c r="P5533" t="s">
        <v>53</v>
      </c>
      <c r="Q5533" t="s">
        <v>53</v>
      </c>
    </row>
    <row r="5534" spans="1:17" x14ac:dyDescent="0.2">
      <c r="A5534" s="30" t="str">
        <f>IF(C5534&amp;G5534&amp;D5534&lt;&gt;'Funnel setup'!$K$3&amp;'Funnel setup'!$K$4&amp;'Funnel setup'!$K$5,".",IF(A5533=".",1,A5533+1))</f>
        <v>.</v>
      </c>
      <c r="B5534" s="431" t="str">
        <f t="shared" si="86"/>
        <v>Knee Replacement RevisionCCG of GP PracticeNHS BRENT CCG (07P)Oxford Knee Score</v>
      </c>
      <c r="C5534" t="s">
        <v>250</v>
      </c>
      <c r="D5534" t="s">
        <v>87</v>
      </c>
      <c r="E5534" t="s">
        <v>695</v>
      </c>
      <c r="F5534" t="s">
        <v>696</v>
      </c>
      <c r="G5534" t="s">
        <v>16</v>
      </c>
      <c r="H5534">
        <v>6</v>
      </c>
      <c r="I5534">
        <v>16.167000000000002</v>
      </c>
      <c r="J5534">
        <v>22.167000000000002</v>
      </c>
      <c r="K5534">
        <v>6</v>
      </c>
      <c r="L5534">
        <v>3</v>
      </c>
      <c r="M5534">
        <v>0</v>
      </c>
      <c r="N5534">
        <v>3</v>
      </c>
      <c r="O5534" t="s">
        <v>53</v>
      </c>
      <c r="P5534" t="s">
        <v>53</v>
      </c>
      <c r="Q5534" t="s">
        <v>53</v>
      </c>
    </row>
    <row r="5535" spans="1:17" x14ac:dyDescent="0.2">
      <c r="A5535" s="30" t="str">
        <f>IF(C5535&amp;G5535&amp;D5535&lt;&gt;'Funnel setup'!$K$3&amp;'Funnel setup'!$K$4&amp;'Funnel setup'!$K$5,".",IF(A5534=".",1,A5534+1))</f>
        <v>.</v>
      </c>
      <c r="B5535" s="431" t="str">
        <f t="shared" si="86"/>
        <v>Knee Replacement RevisionCCG of GP PracticeNHS BRIGHTON AND HOVE CCG (09D)Oxford Knee Score</v>
      </c>
      <c r="C5535" t="s">
        <v>250</v>
      </c>
      <c r="D5535" t="s">
        <v>87</v>
      </c>
      <c r="E5535" t="s">
        <v>698</v>
      </c>
      <c r="F5535" t="s">
        <v>699</v>
      </c>
      <c r="G5535" t="s">
        <v>16</v>
      </c>
      <c r="H5535">
        <v>9</v>
      </c>
      <c r="I5535">
        <v>11</v>
      </c>
      <c r="J5535">
        <v>16.111000000000001</v>
      </c>
      <c r="K5535">
        <v>5.1109999999999998</v>
      </c>
      <c r="L5535">
        <v>7</v>
      </c>
      <c r="M5535">
        <v>1</v>
      </c>
      <c r="N5535">
        <v>1</v>
      </c>
      <c r="O5535" t="s">
        <v>53</v>
      </c>
      <c r="P5535" t="s">
        <v>53</v>
      </c>
      <c r="Q5535" t="s">
        <v>53</v>
      </c>
    </row>
    <row r="5536" spans="1:17" x14ac:dyDescent="0.2">
      <c r="A5536" s="30" t="str">
        <f>IF(C5536&amp;G5536&amp;D5536&lt;&gt;'Funnel setup'!$K$3&amp;'Funnel setup'!$K$4&amp;'Funnel setup'!$K$5,".",IF(A5535=".",1,A5535+1))</f>
        <v>.</v>
      </c>
      <c r="B5536" s="431" t="str">
        <f t="shared" si="86"/>
        <v>Knee Replacement RevisionCCG of GP PracticeNHS BRISTOL CCG (11H)Oxford Knee Score</v>
      </c>
      <c r="C5536" t="s">
        <v>250</v>
      </c>
      <c r="D5536" t="s">
        <v>87</v>
      </c>
      <c r="E5536" t="s">
        <v>701</v>
      </c>
      <c r="F5536" t="s">
        <v>702</v>
      </c>
      <c r="G5536" t="s">
        <v>16</v>
      </c>
      <c r="H5536" t="s">
        <v>53</v>
      </c>
      <c r="I5536" t="s">
        <v>53</v>
      </c>
      <c r="J5536" t="s">
        <v>53</v>
      </c>
      <c r="K5536" t="s">
        <v>53</v>
      </c>
      <c r="L5536" t="s">
        <v>53</v>
      </c>
      <c r="M5536" t="s">
        <v>53</v>
      </c>
      <c r="N5536" t="s">
        <v>53</v>
      </c>
      <c r="O5536" t="s">
        <v>53</v>
      </c>
      <c r="P5536" t="s">
        <v>53</v>
      </c>
      <c r="Q5536" t="s">
        <v>53</v>
      </c>
    </row>
    <row r="5537" spans="1:17" x14ac:dyDescent="0.2">
      <c r="A5537" s="30" t="str">
        <f>IF(C5537&amp;G5537&amp;D5537&lt;&gt;'Funnel setup'!$K$3&amp;'Funnel setup'!$K$4&amp;'Funnel setup'!$K$5,".",IF(A5536=".",1,A5536+1))</f>
        <v>.</v>
      </c>
      <c r="B5537" s="431" t="str">
        <f t="shared" si="86"/>
        <v>Knee Replacement RevisionCCG of GP PracticeNHS BROMLEY CCG (07Q)Oxford Knee Score</v>
      </c>
      <c r="C5537" t="s">
        <v>250</v>
      </c>
      <c r="D5537" t="s">
        <v>87</v>
      </c>
      <c r="E5537" t="s">
        <v>704</v>
      </c>
      <c r="F5537" t="s">
        <v>705</v>
      </c>
      <c r="G5537" t="s">
        <v>16</v>
      </c>
      <c r="H5537">
        <v>6</v>
      </c>
      <c r="I5537">
        <v>20.5</v>
      </c>
      <c r="J5537">
        <v>27.5</v>
      </c>
      <c r="K5537">
        <v>7</v>
      </c>
      <c r="L5537">
        <v>4</v>
      </c>
      <c r="M5537">
        <v>0</v>
      </c>
      <c r="N5537">
        <v>2</v>
      </c>
      <c r="O5537" t="s">
        <v>53</v>
      </c>
      <c r="P5537" t="s">
        <v>53</v>
      </c>
      <c r="Q5537" t="s">
        <v>53</v>
      </c>
    </row>
    <row r="5538" spans="1:17" x14ac:dyDescent="0.2">
      <c r="A5538" s="30" t="str">
        <f>IF(C5538&amp;G5538&amp;D5538&lt;&gt;'Funnel setup'!$K$3&amp;'Funnel setup'!$K$4&amp;'Funnel setup'!$K$5,".",IF(A5537=".",1,A5537+1))</f>
        <v>.</v>
      </c>
      <c r="B5538" s="431" t="str">
        <f t="shared" si="86"/>
        <v>Knee Replacement RevisionCCG of GP PracticeNHS BURY CCG (00V)Oxford Knee Score</v>
      </c>
      <c r="C5538" t="s">
        <v>250</v>
      </c>
      <c r="D5538" t="s">
        <v>87</v>
      </c>
      <c r="E5538" t="s">
        <v>707</v>
      </c>
      <c r="F5538" t="s">
        <v>708</v>
      </c>
      <c r="G5538" t="s">
        <v>16</v>
      </c>
      <c r="H5538">
        <v>6</v>
      </c>
      <c r="I5538">
        <v>10.333</v>
      </c>
      <c r="J5538">
        <v>23.667000000000002</v>
      </c>
      <c r="K5538">
        <v>13.333</v>
      </c>
      <c r="L5538">
        <v>6</v>
      </c>
      <c r="M5538">
        <v>0</v>
      </c>
      <c r="N5538">
        <v>0</v>
      </c>
      <c r="O5538" t="s">
        <v>53</v>
      </c>
      <c r="P5538" t="s">
        <v>53</v>
      </c>
      <c r="Q5538" t="s">
        <v>53</v>
      </c>
    </row>
    <row r="5539" spans="1:17" x14ac:dyDescent="0.2">
      <c r="A5539" s="30" t="str">
        <f>IF(C5539&amp;G5539&amp;D5539&lt;&gt;'Funnel setup'!$K$3&amp;'Funnel setup'!$K$4&amp;'Funnel setup'!$K$5,".",IF(A5538=".",1,A5538+1))</f>
        <v>.</v>
      </c>
      <c r="B5539" s="431" t="str">
        <f t="shared" si="86"/>
        <v>Knee Replacement RevisionCCG of GP PracticeNHS CALDERDALE CCG (02T)Oxford Knee Score</v>
      </c>
      <c r="C5539" t="s">
        <v>250</v>
      </c>
      <c r="D5539" t="s">
        <v>87</v>
      </c>
      <c r="E5539" t="s">
        <v>710</v>
      </c>
      <c r="F5539" t="s">
        <v>711</v>
      </c>
      <c r="G5539" t="s">
        <v>16</v>
      </c>
      <c r="H5539" t="s">
        <v>53</v>
      </c>
      <c r="I5539" t="s">
        <v>53</v>
      </c>
      <c r="J5539" t="s">
        <v>53</v>
      </c>
      <c r="K5539" t="s">
        <v>53</v>
      </c>
      <c r="L5539" t="s">
        <v>53</v>
      </c>
      <c r="M5539" t="s">
        <v>53</v>
      </c>
      <c r="N5539" t="s">
        <v>53</v>
      </c>
      <c r="O5539" t="s">
        <v>53</v>
      </c>
      <c r="P5539" t="s">
        <v>53</v>
      </c>
      <c r="Q5539" t="s">
        <v>53</v>
      </c>
    </row>
    <row r="5540" spans="1:17" x14ac:dyDescent="0.2">
      <c r="A5540" s="30" t="str">
        <f>IF(C5540&amp;G5540&amp;D5540&lt;&gt;'Funnel setup'!$K$3&amp;'Funnel setup'!$K$4&amp;'Funnel setup'!$K$5,".",IF(A5539=".",1,A5539+1))</f>
        <v>.</v>
      </c>
      <c r="B5540" s="431" t="str">
        <f t="shared" si="86"/>
        <v>Knee Replacement RevisionCCG of GP PracticeNHS CAMBRIDGESHIRE AND PETERBOROUGH CCG (06H)Oxford Knee Score</v>
      </c>
      <c r="C5540" t="s">
        <v>250</v>
      </c>
      <c r="D5540" t="s">
        <v>87</v>
      </c>
      <c r="E5540" t="s">
        <v>713</v>
      </c>
      <c r="F5540" t="s">
        <v>714</v>
      </c>
      <c r="G5540" t="s">
        <v>16</v>
      </c>
      <c r="H5540">
        <v>31</v>
      </c>
      <c r="I5540">
        <v>16.065000000000001</v>
      </c>
      <c r="J5540">
        <v>30.323</v>
      </c>
      <c r="K5540">
        <v>14.257999999999999</v>
      </c>
      <c r="L5540">
        <v>29</v>
      </c>
      <c r="M5540">
        <v>0</v>
      </c>
      <c r="N5540">
        <v>2</v>
      </c>
      <c r="O5540">
        <v>28.901</v>
      </c>
      <c r="P5540">
        <v>12.395123</v>
      </c>
      <c r="Q5540">
        <v>10.473000000000001</v>
      </c>
    </row>
    <row r="5541" spans="1:17" x14ac:dyDescent="0.2">
      <c r="A5541" s="30" t="str">
        <f>IF(C5541&amp;G5541&amp;D5541&lt;&gt;'Funnel setup'!$K$3&amp;'Funnel setup'!$K$4&amp;'Funnel setup'!$K$5,".",IF(A5540=".",1,A5540+1))</f>
        <v>.</v>
      </c>
      <c r="B5541" s="431" t="str">
        <f t="shared" si="86"/>
        <v>Knee Replacement RevisionCCG of GP PracticeNHS CAMDEN CCG (07R)Oxford Knee Score</v>
      </c>
      <c r="C5541" t="s">
        <v>250</v>
      </c>
      <c r="D5541" t="s">
        <v>87</v>
      </c>
      <c r="E5541" t="s">
        <v>716</v>
      </c>
      <c r="F5541" t="s">
        <v>717</v>
      </c>
      <c r="G5541" t="s">
        <v>16</v>
      </c>
      <c r="H5541" t="s">
        <v>53</v>
      </c>
      <c r="I5541" t="s">
        <v>53</v>
      </c>
      <c r="J5541" t="s">
        <v>53</v>
      </c>
      <c r="K5541" t="s">
        <v>53</v>
      </c>
      <c r="L5541" t="s">
        <v>53</v>
      </c>
      <c r="M5541" t="s">
        <v>53</v>
      </c>
      <c r="N5541" t="s">
        <v>53</v>
      </c>
      <c r="O5541" t="s">
        <v>53</v>
      </c>
      <c r="P5541" t="s">
        <v>53</v>
      </c>
      <c r="Q5541" t="s">
        <v>53</v>
      </c>
    </row>
    <row r="5542" spans="1:17" x14ac:dyDescent="0.2">
      <c r="A5542" s="30" t="str">
        <f>IF(C5542&amp;G5542&amp;D5542&lt;&gt;'Funnel setup'!$K$3&amp;'Funnel setup'!$K$4&amp;'Funnel setup'!$K$5,".",IF(A5541=".",1,A5541+1))</f>
        <v>.</v>
      </c>
      <c r="B5542" s="431" t="str">
        <f t="shared" si="86"/>
        <v>Knee Replacement RevisionCCG of GP PracticeNHS CANNOCK CHASE CCG (04Y)Oxford Knee Score</v>
      </c>
      <c r="C5542" t="s">
        <v>250</v>
      </c>
      <c r="D5542" t="s">
        <v>87</v>
      </c>
      <c r="E5542" t="s">
        <v>719</v>
      </c>
      <c r="F5542" t="s">
        <v>720</v>
      </c>
      <c r="G5542" t="s">
        <v>16</v>
      </c>
      <c r="H5542">
        <v>8</v>
      </c>
      <c r="I5542">
        <v>9.5</v>
      </c>
      <c r="J5542">
        <v>23.75</v>
      </c>
      <c r="K5542">
        <v>14.25</v>
      </c>
      <c r="L5542">
        <v>8</v>
      </c>
      <c r="M5542">
        <v>0</v>
      </c>
      <c r="N5542">
        <v>0</v>
      </c>
      <c r="O5542" t="s">
        <v>53</v>
      </c>
      <c r="P5542" t="s">
        <v>53</v>
      </c>
      <c r="Q5542" t="s">
        <v>53</v>
      </c>
    </row>
    <row r="5543" spans="1:17" x14ac:dyDescent="0.2">
      <c r="A5543" s="30" t="str">
        <f>IF(C5543&amp;G5543&amp;D5543&lt;&gt;'Funnel setup'!$K$3&amp;'Funnel setup'!$K$4&amp;'Funnel setup'!$K$5,".",IF(A5542=".",1,A5542+1))</f>
        <v>.</v>
      </c>
      <c r="B5543" s="431" t="str">
        <f t="shared" si="86"/>
        <v>Knee Replacement RevisionCCG of GP PracticeNHS CANTERBURY AND COASTAL CCG (09E)Oxford Knee Score</v>
      </c>
      <c r="C5543" t="s">
        <v>250</v>
      </c>
      <c r="D5543" t="s">
        <v>87</v>
      </c>
      <c r="E5543" t="s">
        <v>722</v>
      </c>
      <c r="F5543" t="s">
        <v>723</v>
      </c>
      <c r="G5543" t="s">
        <v>16</v>
      </c>
      <c r="H5543">
        <v>8</v>
      </c>
      <c r="I5543">
        <v>18.875</v>
      </c>
      <c r="J5543">
        <v>33.375</v>
      </c>
      <c r="K5543">
        <v>14.5</v>
      </c>
      <c r="L5543">
        <v>7</v>
      </c>
      <c r="M5543">
        <v>0</v>
      </c>
      <c r="N5543">
        <v>1</v>
      </c>
      <c r="O5543" t="s">
        <v>53</v>
      </c>
      <c r="P5543" t="s">
        <v>53</v>
      </c>
      <c r="Q5543" t="s">
        <v>53</v>
      </c>
    </row>
    <row r="5544" spans="1:17" x14ac:dyDescent="0.2">
      <c r="A5544" s="30" t="str">
        <f>IF(C5544&amp;G5544&amp;D5544&lt;&gt;'Funnel setup'!$K$3&amp;'Funnel setup'!$K$4&amp;'Funnel setup'!$K$5,".",IF(A5543=".",1,A5543+1))</f>
        <v>.</v>
      </c>
      <c r="B5544" s="431" t="str">
        <f t="shared" si="86"/>
        <v>Knee Replacement RevisionCCG of GP PracticeNHS CASTLE POINT AND ROCHFORD CCG (99F)Oxford Knee Score</v>
      </c>
      <c r="C5544" t="s">
        <v>250</v>
      </c>
      <c r="D5544" t="s">
        <v>87</v>
      </c>
      <c r="E5544" t="s">
        <v>725</v>
      </c>
      <c r="F5544" t="s">
        <v>726</v>
      </c>
      <c r="G5544" t="s">
        <v>16</v>
      </c>
      <c r="H5544" t="s">
        <v>53</v>
      </c>
      <c r="I5544" t="s">
        <v>53</v>
      </c>
      <c r="J5544" t="s">
        <v>53</v>
      </c>
      <c r="K5544" t="s">
        <v>53</v>
      </c>
      <c r="L5544" t="s">
        <v>53</v>
      </c>
      <c r="M5544" t="s">
        <v>53</v>
      </c>
      <c r="N5544" t="s">
        <v>53</v>
      </c>
      <c r="O5544" t="s">
        <v>53</v>
      </c>
      <c r="P5544" t="s">
        <v>53</v>
      </c>
      <c r="Q5544" t="s">
        <v>53</v>
      </c>
    </row>
    <row r="5545" spans="1:17" x14ac:dyDescent="0.2">
      <c r="A5545" s="30" t="str">
        <f>IF(C5545&amp;G5545&amp;D5545&lt;&gt;'Funnel setup'!$K$3&amp;'Funnel setup'!$K$4&amp;'Funnel setup'!$K$5,".",IF(A5544=".",1,A5544+1))</f>
        <v>.</v>
      </c>
      <c r="B5545" s="431" t="str">
        <f t="shared" si="86"/>
        <v>Knee Replacement RevisionCCG of GP PracticeNHS CENTRAL MANCHESTER CCG (00W)Oxford Knee Score</v>
      </c>
      <c r="C5545" t="s">
        <v>250</v>
      </c>
      <c r="D5545" t="s">
        <v>87</v>
      </c>
      <c r="E5545" t="s">
        <v>731</v>
      </c>
      <c r="F5545" t="s">
        <v>732</v>
      </c>
      <c r="G5545" t="s">
        <v>16</v>
      </c>
      <c r="H5545" t="s">
        <v>53</v>
      </c>
      <c r="I5545" t="s">
        <v>53</v>
      </c>
      <c r="J5545" t="s">
        <v>53</v>
      </c>
      <c r="K5545" t="s">
        <v>53</v>
      </c>
      <c r="L5545" t="s">
        <v>53</v>
      </c>
      <c r="M5545" t="s">
        <v>53</v>
      </c>
      <c r="N5545" t="s">
        <v>53</v>
      </c>
      <c r="O5545" t="s">
        <v>53</v>
      </c>
      <c r="P5545" t="s">
        <v>53</v>
      </c>
      <c r="Q5545" t="s">
        <v>53</v>
      </c>
    </row>
    <row r="5546" spans="1:17" x14ac:dyDescent="0.2">
      <c r="A5546" s="30" t="str">
        <f>IF(C5546&amp;G5546&amp;D5546&lt;&gt;'Funnel setup'!$K$3&amp;'Funnel setup'!$K$4&amp;'Funnel setup'!$K$5,".",IF(A5545=".",1,A5545+1))</f>
        <v>.</v>
      </c>
      <c r="B5546" s="431" t="str">
        <f t="shared" si="86"/>
        <v>Knee Replacement RevisionCCG of GP PracticeNHS CHILTERN CCG (10H)Oxford Knee Score</v>
      </c>
      <c r="C5546" t="s">
        <v>250</v>
      </c>
      <c r="D5546" t="s">
        <v>87</v>
      </c>
      <c r="E5546" t="s">
        <v>734</v>
      </c>
      <c r="F5546" t="s">
        <v>735</v>
      </c>
      <c r="G5546" t="s">
        <v>16</v>
      </c>
      <c r="H5546">
        <v>7</v>
      </c>
      <c r="I5546">
        <v>19.571000000000002</v>
      </c>
      <c r="J5546">
        <v>33</v>
      </c>
      <c r="K5546">
        <v>13.429</v>
      </c>
      <c r="L5546">
        <v>6</v>
      </c>
      <c r="M5546">
        <v>0</v>
      </c>
      <c r="N5546">
        <v>1</v>
      </c>
      <c r="O5546" t="s">
        <v>53</v>
      </c>
      <c r="P5546" t="s">
        <v>53</v>
      </c>
      <c r="Q5546" t="s">
        <v>53</v>
      </c>
    </row>
    <row r="5547" spans="1:17" x14ac:dyDescent="0.2">
      <c r="A5547" s="30" t="str">
        <f>IF(C5547&amp;G5547&amp;D5547&lt;&gt;'Funnel setup'!$K$3&amp;'Funnel setup'!$K$4&amp;'Funnel setup'!$K$5,".",IF(A5546=".",1,A5546+1))</f>
        <v>.</v>
      </c>
      <c r="B5547" s="431" t="str">
        <f t="shared" si="86"/>
        <v>Knee Replacement RevisionCCG of GP PracticeNHS CHORLEY AND SOUTH RIBBLE CCG (00X)Oxford Knee Score</v>
      </c>
      <c r="C5547" t="s">
        <v>250</v>
      </c>
      <c r="D5547" t="s">
        <v>87</v>
      </c>
      <c r="E5547" t="s">
        <v>737</v>
      </c>
      <c r="F5547" t="s">
        <v>738</v>
      </c>
      <c r="G5547" t="s">
        <v>16</v>
      </c>
      <c r="H5547" t="s">
        <v>53</v>
      </c>
      <c r="I5547" t="s">
        <v>53</v>
      </c>
      <c r="J5547" t="s">
        <v>53</v>
      </c>
      <c r="K5547" t="s">
        <v>53</v>
      </c>
      <c r="L5547" t="s">
        <v>53</v>
      </c>
      <c r="M5547" t="s">
        <v>53</v>
      </c>
      <c r="N5547" t="s">
        <v>53</v>
      </c>
      <c r="O5547" t="s">
        <v>53</v>
      </c>
      <c r="P5547" t="s">
        <v>53</v>
      </c>
      <c r="Q5547" t="s">
        <v>53</v>
      </c>
    </row>
    <row r="5548" spans="1:17" x14ac:dyDescent="0.2">
      <c r="A5548" s="30" t="str">
        <f>IF(C5548&amp;G5548&amp;D5548&lt;&gt;'Funnel setup'!$K$3&amp;'Funnel setup'!$K$4&amp;'Funnel setup'!$K$5,".",IF(A5547=".",1,A5547+1))</f>
        <v>.</v>
      </c>
      <c r="B5548" s="431" t="str">
        <f t="shared" si="86"/>
        <v>Knee Replacement RevisionCCG of GP PracticeNHS CITY AND HACKNEY CCG (07T)Oxford Knee Score</v>
      </c>
      <c r="C5548" t="s">
        <v>250</v>
      </c>
      <c r="D5548" t="s">
        <v>87</v>
      </c>
      <c r="E5548" t="s">
        <v>740</v>
      </c>
      <c r="F5548" t="s">
        <v>741</v>
      </c>
      <c r="G5548" t="s">
        <v>16</v>
      </c>
      <c r="H5548" t="s">
        <v>53</v>
      </c>
      <c r="I5548" t="s">
        <v>53</v>
      </c>
      <c r="J5548" t="s">
        <v>53</v>
      </c>
      <c r="K5548" t="s">
        <v>53</v>
      </c>
      <c r="L5548" t="s">
        <v>53</v>
      </c>
      <c r="M5548" t="s">
        <v>53</v>
      </c>
      <c r="N5548" t="s">
        <v>53</v>
      </c>
      <c r="O5548" t="s">
        <v>53</v>
      </c>
      <c r="P5548" t="s">
        <v>53</v>
      </c>
      <c r="Q5548" t="s">
        <v>53</v>
      </c>
    </row>
    <row r="5549" spans="1:17" x14ac:dyDescent="0.2">
      <c r="A5549" s="30" t="str">
        <f>IF(C5549&amp;G5549&amp;D5549&lt;&gt;'Funnel setup'!$K$3&amp;'Funnel setup'!$K$4&amp;'Funnel setup'!$K$5,".",IF(A5548=".",1,A5548+1))</f>
        <v>.</v>
      </c>
      <c r="B5549" s="431" t="str">
        <f t="shared" si="86"/>
        <v>Knee Replacement RevisionCCG of GP PracticeNHS COASTAL WEST SUSSEX CCG (09G)Oxford Knee Score</v>
      </c>
      <c r="C5549" t="s">
        <v>250</v>
      </c>
      <c r="D5549" t="s">
        <v>87</v>
      </c>
      <c r="E5549" t="s">
        <v>743</v>
      </c>
      <c r="F5549" t="s">
        <v>744</v>
      </c>
      <c r="G5549" t="s">
        <v>16</v>
      </c>
      <c r="H5549">
        <v>34</v>
      </c>
      <c r="I5549">
        <v>17.411999999999999</v>
      </c>
      <c r="J5549">
        <v>27.471</v>
      </c>
      <c r="K5549">
        <v>10.058999999999999</v>
      </c>
      <c r="L5549">
        <v>27</v>
      </c>
      <c r="M5549">
        <v>0</v>
      </c>
      <c r="N5549">
        <v>7</v>
      </c>
      <c r="O5549">
        <v>26.259</v>
      </c>
      <c r="P5549">
        <v>9.7535984409999994</v>
      </c>
      <c r="Q5549">
        <v>8.8079999999999998</v>
      </c>
    </row>
    <row r="5550" spans="1:17" x14ac:dyDescent="0.2">
      <c r="A5550" s="30" t="str">
        <f>IF(C5550&amp;G5550&amp;D5550&lt;&gt;'Funnel setup'!$K$3&amp;'Funnel setup'!$K$4&amp;'Funnel setup'!$K$5,".",IF(A5549=".",1,A5549+1))</f>
        <v>.</v>
      </c>
      <c r="B5550" s="431" t="str">
        <f t="shared" si="86"/>
        <v>Knee Replacement RevisionCCG of GP PracticeNHS CORBY CCG (03V)Oxford Knee Score</v>
      </c>
      <c r="C5550" t="s">
        <v>250</v>
      </c>
      <c r="D5550" t="s">
        <v>87</v>
      </c>
      <c r="E5550" t="s">
        <v>746</v>
      </c>
      <c r="F5550" t="s">
        <v>747</v>
      </c>
      <c r="G5550" t="s">
        <v>16</v>
      </c>
      <c r="H5550" t="s">
        <v>53</v>
      </c>
      <c r="I5550" t="s">
        <v>53</v>
      </c>
      <c r="J5550" t="s">
        <v>53</v>
      </c>
      <c r="K5550" t="s">
        <v>53</v>
      </c>
      <c r="L5550" t="s">
        <v>53</v>
      </c>
      <c r="M5550" t="s">
        <v>53</v>
      </c>
      <c r="N5550" t="s">
        <v>53</v>
      </c>
      <c r="O5550" t="s">
        <v>53</v>
      </c>
      <c r="P5550" t="s">
        <v>53</v>
      </c>
      <c r="Q5550" t="s">
        <v>53</v>
      </c>
    </row>
    <row r="5551" spans="1:17" x14ac:dyDescent="0.2">
      <c r="A5551" s="30" t="str">
        <f>IF(C5551&amp;G5551&amp;D5551&lt;&gt;'Funnel setup'!$K$3&amp;'Funnel setup'!$K$4&amp;'Funnel setup'!$K$5,".",IF(A5550=".",1,A5550+1))</f>
        <v>.</v>
      </c>
      <c r="B5551" s="431" t="str">
        <f t="shared" si="86"/>
        <v>Knee Replacement RevisionCCG of GP PracticeNHS COVENTRY AND RUGBY CCG (05A)Oxford Knee Score</v>
      </c>
      <c r="C5551" t="s">
        <v>250</v>
      </c>
      <c r="D5551" t="s">
        <v>87</v>
      </c>
      <c r="E5551" t="s">
        <v>749</v>
      </c>
      <c r="F5551" t="s">
        <v>750</v>
      </c>
      <c r="G5551" t="s">
        <v>16</v>
      </c>
      <c r="H5551">
        <v>15</v>
      </c>
      <c r="I5551">
        <v>16.067</v>
      </c>
      <c r="J5551">
        <v>24.266999999999999</v>
      </c>
      <c r="K5551">
        <v>8.1999999999999993</v>
      </c>
      <c r="L5551">
        <v>12</v>
      </c>
      <c r="M5551">
        <v>1</v>
      </c>
      <c r="N5551">
        <v>2</v>
      </c>
      <c r="O5551" t="s">
        <v>53</v>
      </c>
      <c r="P5551" t="s">
        <v>53</v>
      </c>
      <c r="Q5551" t="s">
        <v>53</v>
      </c>
    </row>
    <row r="5552" spans="1:17" x14ac:dyDescent="0.2">
      <c r="A5552" s="30" t="str">
        <f>IF(C5552&amp;G5552&amp;D5552&lt;&gt;'Funnel setup'!$K$3&amp;'Funnel setup'!$K$4&amp;'Funnel setup'!$K$5,".",IF(A5551=".",1,A5551+1))</f>
        <v>.</v>
      </c>
      <c r="B5552" s="431" t="str">
        <f t="shared" si="86"/>
        <v>Knee Replacement RevisionCCG of GP PracticeNHS CRAWLEY CCG (09H)Oxford Knee Score</v>
      </c>
      <c r="C5552" t="s">
        <v>250</v>
      </c>
      <c r="D5552" t="s">
        <v>87</v>
      </c>
      <c r="E5552" t="s">
        <v>752</v>
      </c>
      <c r="F5552" t="s">
        <v>753</v>
      </c>
      <c r="G5552" t="s">
        <v>16</v>
      </c>
      <c r="H5552" t="s">
        <v>53</v>
      </c>
      <c r="I5552" t="s">
        <v>53</v>
      </c>
      <c r="J5552" t="s">
        <v>53</v>
      </c>
      <c r="K5552" t="s">
        <v>53</v>
      </c>
      <c r="L5552" t="s">
        <v>53</v>
      </c>
      <c r="M5552" t="s">
        <v>53</v>
      </c>
      <c r="N5552" t="s">
        <v>53</v>
      </c>
      <c r="O5552" t="s">
        <v>53</v>
      </c>
      <c r="P5552" t="s">
        <v>53</v>
      </c>
      <c r="Q5552" t="s">
        <v>53</v>
      </c>
    </row>
    <row r="5553" spans="1:17" x14ac:dyDescent="0.2">
      <c r="A5553" s="30" t="str">
        <f>IF(C5553&amp;G5553&amp;D5553&lt;&gt;'Funnel setup'!$K$3&amp;'Funnel setup'!$K$4&amp;'Funnel setup'!$K$5,".",IF(A5552=".",1,A5552+1))</f>
        <v>.</v>
      </c>
      <c r="B5553" s="431" t="str">
        <f t="shared" si="86"/>
        <v>Knee Replacement RevisionCCG of GP PracticeNHS CROYDON CCG (07V)Oxford Knee Score</v>
      </c>
      <c r="C5553" t="s">
        <v>250</v>
      </c>
      <c r="D5553" t="s">
        <v>87</v>
      </c>
      <c r="E5553" t="s">
        <v>755</v>
      </c>
      <c r="F5553" t="s">
        <v>756</v>
      </c>
      <c r="G5553" t="s">
        <v>16</v>
      </c>
      <c r="H5553" t="s">
        <v>53</v>
      </c>
      <c r="I5553" t="s">
        <v>53</v>
      </c>
      <c r="J5553" t="s">
        <v>53</v>
      </c>
      <c r="K5553" t="s">
        <v>53</v>
      </c>
      <c r="L5553" t="s">
        <v>53</v>
      </c>
      <c r="M5553" t="s">
        <v>53</v>
      </c>
      <c r="N5553" t="s">
        <v>53</v>
      </c>
      <c r="O5553" t="s">
        <v>53</v>
      </c>
      <c r="P5553" t="s">
        <v>53</v>
      </c>
      <c r="Q5553" t="s">
        <v>53</v>
      </c>
    </row>
    <row r="5554" spans="1:17" x14ac:dyDescent="0.2">
      <c r="A5554" s="30" t="str">
        <f>IF(C5554&amp;G5554&amp;D5554&lt;&gt;'Funnel setup'!$K$3&amp;'Funnel setup'!$K$4&amp;'Funnel setup'!$K$5,".",IF(A5553=".",1,A5553+1))</f>
        <v>.</v>
      </c>
      <c r="B5554" s="431" t="str">
        <f t="shared" si="86"/>
        <v>Knee Replacement RevisionCCG of GP PracticeNHS CUMBRIA CCG (01H)Oxford Knee Score</v>
      </c>
      <c r="C5554" t="s">
        <v>250</v>
      </c>
      <c r="D5554" t="s">
        <v>87</v>
      </c>
      <c r="E5554" t="s">
        <v>758</v>
      </c>
      <c r="F5554" t="s">
        <v>759</v>
      </c>
      <c r="G5554" t="s">
        <v>16</v>
      </c>
      <c r="H5554">
        <v>12</v>
      </c>
      <c r="I5554">
        <v>13.667</v>
      </c>
      <c r="J5554">
        <v>31.417000000000002</v>
      </c>
      <c r="K5554">
        <v>17.75</v>
      </c>
      <c r="L5554">
        <v>12</v>
      </c>
      <c r="M5554">
        <v>0</v>
      </c>
      <c r="N5554">
        <v>0</v>
      </c>
      <c r="O5554" t="s">
        <v>53</v>
      </c>
      <c r="P5554" t="s">
        <v>53</v>
      </c>
      <c r="Q5554" t="s">
        <v>53</v>
      </c>
    </row>
    <row r="5555" spans="1:17" x14ac:dyDescent="0.2">
      <c r="A5555" s="30" t="str">
        <f>IF(C5555&amp;G5555&amp;D5555&lt;&gt;'Funnel setup'!$K$3&amp;'Funnel setup'!$K$4&amp;'Funnel setup'!$K$5,".",IF(A5554=".",1,A5554+1))</f>
        <v>.</v>
      </c>
      <c r="B5555" s="431" t="str">
        <f t="shared" si="86"/>
        <v>Knee Replacement RevisionCCG of GP PracticeNHS DARLINGTON CCG (00C)Oxford Knee Score</v>
      </c>
      <c r="C5555" t="s">
        <v>250</v>
      </c>
      <c r="D5555" t="s">
        <v>87</v>
      </c>
      <c r="E5555" t="s">
        <v>761</v>
      </c>
      <c r="F5555" t="s">
        <v>762</v>
      </c>
      <c r="G5555" t="s">
        <v>16</v>
      </c>
      <c r="H5555" t="s">
        <v>53</v>
      </c>
      <c r="I5555" t="s">
        <v>53</v>
      </c>
      <c r="J5555" t="s">
        <v>53</v>
      </c>
      <c r="K5555" t="s">
        <v>53</v>
      </c>
      <c r="L5555" t="s">
        <v>53</v>
      </c>
      <c r="M5555" t="s">
        <v>53</v>
      </c>
      <c r="N5555" t="s">
        <v>53</v>
      </c>
      <c r="O5555" t="s">
        <v>53</v>
      </c>
      <c r="P5555" t="s">
        <v>53</v>
      </c>
      <c r="Q5555" t="s">
        <v>53</v>
      </c>
    </row>
    <row r="5556" spans="1:17" x14ac:dyDescent="0.2">
      <c r="A5556" s="30" t="str">
        <f>IF(C5556&amp;G5556&amp;D5556&lt;&gt;'Funnel setup'!$K$3&amp;'Funnel setup'!$K$4&amp;'Funnel setup'!$K$5,".",IF(A5555=".",1,A5555+1))</f>
        <v>.</v>
      </c>
      <c r="B5556" s="431" t="str">
        <f t="shared" si="86"/>
        <v>Knee Replacement RevisionCCG of GP PracticeNHS DARTFORD, GRAVESHAM AND SWANLEY CCG (09J)Oxford Knee Score</v>
      </c>
      <c r="C5556" t="s">
        <v>250</v>
      </c>
      <c r="D5556" t="s">
        <v>87</v>
      </c>
      <c r="E5556" t="s">
        <v>764</v>
      </c>
      <c r="F5556" t="s">
        <v>765</v>
      </c>
      <c r="G5556" t="s">
        <v>16</v>
      </c>
      <c r="H5556" t="s">
        <v>53</v>
      </c>
      <c r="I5556" t="s">
        <v>53</v>
      </c>
      <c r="J5556" t="s">
        <v>53</v>
      </c>
      <c r="K5556" t="s">
        <v>53</v>
      </c>
      <c r="L5556" t="s">
        <v>53</v>
      </c>
      <c r="M5556" t="s">
        <v>53</v>
      </c>
      <c r="N5556" t="s">
        <v>53</v>
      </c>
      <c r="O5556" t="s">
        <v>53</v>
      </c>
      <c r="P5556" t="s">
        <v>53</v>
      </c>
      <c r="Q5556" t="s">
        <v>53</v>
      </c>
    </row>
    <row r="5557" spans="1:17" x14ac:dyDescent="0.2">
      <c r="A5557" s="30" t="str">
        <f>IF(C5557&amp;G5557&amp;D5557&lt;&gt;'Funnel setup'!$K$3&amp;'Funnel setup'!$K$4&amp;'Funnel setup'!$K$5,".",IF(A5556=".",1,A5556+1))</f>
        <v>.</v>
      </c>
      <c r="B5557" s="431" t="str">
        <f t="shared" si="86"/>
        <v>Knee Replacement RevisionCCG of GP PracticeNHS DONCASTER CCG (02X)Oxford Knee Score</v>
      </c>
      <c r="C5557" t="s">
        <v>250</v>
      </c>
      <c r="D5557" t="s">
        <v>87</v>
      </c>
      <c r="E5557" t="s">
        <v>767</v>
      </c>
      <c r="F5557" t="s">
        <v>768</v>
      </c>
      <c r="G5557" t="s">
        <v>16</v>
      </c>
      <c r="H5557">
        <v>20</v>
      </c>
      <c r="I5557">
        <v>13.15</v>
      </c>
      <c r="J5557">
        <v>22.65</v>
      </c>
      <c r="K5557">
        <v>9.5</v>
      </c>
      <c r="L5557">
        <v>15</v>
      </c>
      <c r="M5557">
        <v>1</v>
      </c>
      <c r="N5557">
        <v>4</v>
      </c>
      <c r="O5557" t="s">
        <v>53</v>
      </c>
      <c r="P5557" t="s">
        <v>53</v>
      </c>
      <c r="Q5557" t="s">
        <v>53</v>
      </c>
    </row>
    <row r="5558" spans="1:17" x14ac:dyDescent="0.2">
      <c r="A5558" s="30" t="str">
        <f>IF(C5558&amp;G5558&amp;D5558&lt;&gt;'Funnel setup'!$K$3&amp;'Funnel setup'!$K$4&amp;'Funnel setup'!$K$5,".",IF(A5557=".",1,A5557+1))</f>
        <v>.</v>
      </c>
      <c r="B5558" s="431" t="str">
        <f t="shared" si="86"/>
        <v>Knee Replacement RevisionCCG of GP PracticeNHS DORSET CCG (11J)Oxford Knee Score</v>
      </c>
      <c r="C5558" t="s">
        <v>250</v>
      </c>
      <c r="D5558" t="s">
        <v>87</v>
      </c>
      <c r="E5558" t="s">
        <v>854</v>
      </c>
      <c r="F5558" t="s">
        <v>855</v>
      </c>
      <c r="G5558" t="s">
        <v>16</v>
      </c>
      <c r="H5558">
        <v>14</v>
      </c>
      <c r="I5558">
        <v>15.286</v>
      </c>
      <c r="J5558">
        <v>27.143000000000001</v>
      </c>
      <c r="K5558">
        <v>11.856999999999999</v>
      </c>
      <c r="L5558">
        <v>11</v>
      </c>
      <c r="M5558">
        <v>0</v>
      </c>
      <c r="N5558">
        <v>3</v>
      </c>
      <c r="O5558" t="s">
        <v>53</v>
      </c>
      <c r="P5558" t="s">
        <v>53</v>
      </c>
      <c r="Q5558" t="s">
        <v>53</v>
      </c>
    </row>
    <row r="5559" spans="1:17" x14ac:dyDescent="0.2">
      <c r="A5559" s="30" t="str">
        <f>IF(C5559&amp;G5559&amp;D5559&lt;&gt;'Funnel setup'!$K$3&amp;'Funnel setup'!$K$4&amp;'Funnel setup'!$K$5,".",IF(A5558=".",1,A5558+1))</f>
        <v>.</v>
      </c>
      <c r="B5559" s="431" t="str">
        <f t="shared" si="86"/>
        <v>Knee Replacement RevisionCCG of GP PracticeNHS DUDLEY CCG (05C)Oxford Knee Score</v>
      </c>
      <c r="C5559" t="s">
        <v>250</v>
      </c>
      <c r="D5559" t="s">
        <v>87</v>
      </c>
      <c r="E5559" t="s">
        <v>857</v>
      </c>
      <c r="F5559" t="s">
        <v>858</v>
      </c>
      <c r="G5559" t="s">
        <v>16</v>
      </c>
      <c r="H5559">
        <v>9</v>
      </c>
      <c r="I5559">
        <v>13.888999999999999</v>
      </c>
      <c r="J5559">
        <v>27.222000000000001</v>
      </c>
      <c r="K5559">
        <v>13.333</v>
      </c>
      <c r="L5559">
        <v>9</v>
      </c>
      <c r="M5559">
        <v>0</v>
      </c>
      <c r="N5559">
        <v>0</v>
      </c>
      <c r="O5559" t="s">
        <v>53</v>
      </c>
      <c r="P5559" t="s">
        <v>53</v>
      </c>
      <c r="Q5559" t="s">
        <v>53</v>
      </c>
    </row>
    <row r="5560" spans="1:17" x14ac:dyDescent="0.2">
      <c r="A5560" s="30" t="str">
        <f>IF(C5560&amp;G5560&amp;D5560&lt;&gt;'Funnel setup'!$K$3&amp;'Funnel setup'!$K$4&amp;'Funnel setup'!$K$5,".",IF(A5559=".",1,A5559+1))</f>
        <v>.</v>
      </c>
      <c r="B5560" s="431" t="str">
        <f t="shared" si="86"/>
        <v>Knee Replacement RevisionCCG of GP PracticeNHS DURHAM DALES, EASINGTON AND SEDGEFIELD CCG (00D)Oxford Knee Score</v>
      </c>
      <c r="C5560" t="s">
        <v>250</v>
      </c>
      <c r="D5560" t="s">
        <v>87</v>
      </c>
      <c r="E5560" t="s">
        <v>860</v>
      </c>
      <c r="F5560" t="s">
        <v>861</v>
      </c>
      <c r="G5560" t="s">
        <v>16</v>
      </c>
      <c r="H5560">
        <v>11</v>
      </c>
      <c r="I5560">
        <v>13.909000000000001</v>
      </c>
      <c r="J5560">
        <v>30.545000000000002</v>
      </c>
      <c r="K5560">
        <v>16.635999999999999</v>
      </c>
      <c r="L5560">
        <v>11</v>
      </c>
      <c r="M5560">
        <v>0</v>
      </c>
      <c r="N5560">
        <v>0</v>
      </c>
      <c r="O5560" t="s">
        <v>53</v>
      </c>
      <c r="P5560" t="s">
        <v>53</v>
      </c>
      <c r="Q5560" t="s">
        <v>53</v>
      </c>
    </row>
    <row r="5561" spans="1:17" x14ac:dyDescent="0.2">
      <c r="A5561" s="30" t="str">
        <f>IF(C5561&amp;G5561&amp;D5561&lt;&gt;'Funnel setup'!$K$3&amp;'Funnel setup'!$K$4&amp;'Funnel setup'!$K$5,".",IF(A5560=".",1,A5560+1))</f>
        <v>.</v>
      </c>
      <c r="B5561" s="431" t="str">
        <f t="shared" si="86"/>
        <v>Knee Replacement RevisionCCG of GP PracticeNHS EALING CCG (07W)Oxford Knee Score</v>
      </c>
      <c r="C5561" t="s">
        <v>250</v>
      </c>
      <c r="D5561" t="s">
        <v>87</v>
      </c>
      <c r="E5561" t="s">
        <v>863</v>
      </c>
      <c r="F5561" t="s">
        <v>864</v>
      </c>
      <c r="G5561" t="s">
        <v>16</v>
      </c>
      <c r="H5561">
        <v>6</v>
      </c>
      <c r="I5561">
        <v>18.832999999999998</v>
      </c>
      <c r="J5561">
        <v>30.667000000000002</v>
      </c>
      <c r="K5561">
        <v>11.833</v>
      </c>
      <c r="L5561">
        <v>5</v>
      </c>
      <c r="M5561">
        <v>0</v>
      </c>
      <c r="N5561">
        <v>1</v>
      </c>
      <c r="O5561" t="s">
        <v>53</v>
      </c>
      <c r="P5561" t="s">
        <v>53</v>
      </c>
      <c r="Q5561" t="s">
        <v>53</v>
      </c>
    </row>
    <row r="5562" spans="1:17" x14ac:dyDescent="0.2">
      <c r="A5562" s="30" t="str">
        <f>IF(C5562&amp;G5562&amp;D5562&lt;&gt;'Funnel setup'!$K$3&amp;'Funnel setup'!$K$4&amp;'Funnel setup'!$K$5,".",IF(A5561=".",1,A5561+1))</f>
        <v>.</v>
      </c>
      <c r="B5562" s="431" t="str">
        <f t="shared" si="86"/>
        <v>Knee Replacement RevisionCCG of GP PracticeNHS EAST AND NORTH HERTFORDSHIRE CCG (06K)Oxford Knee Score</v>
      </c>
      <c r="C5562" t="s">
        <v>250</v>
      </c>
      <c r="D5562" t="s">
        <v>87</v>
      </c>
      <c r="E5562" t="s">
        <v>866</v>
      </c>
      <c r="F5562" t="s">
        <v>867</v>
      </c>
      <c r="G5562" t="s">
        <v>16</v>
      </c>
      <c r="H5562">
        <v>13</v>
      </c>
      <c r="I5562">
        <v>14.923</v>
      </c>
      <c r="J5562">
        <v>29</v>
      </c>
      <c r="K5562">
        <v>14.077</v>
      </c>
      <c r="L5562">
        <v>12</v>
      </c>
      <c r="M5562">
        <v>0</v>
      </c>
      <c r="N5562">
        <v>1</v>
      </c>
      <c r="O5562" t="s">
        <v>53</v>
      </c>
      <c r="P5562" t="s">
        <v>53</v>
      </c>
      <c r="Q5562" t="s">
        <v>53</v>
      </c>
    </row>
    <row r="5563" spans="1:17" x14ac:dyDescent="0.2">
      <c r="A5563" s="30" t="str">
        <f>IF(C5563&amp;G5563&amp;D5563&lt;&gt;'Funnel setup'!$K$3&amp;'Funnel setup'!$K$4&amp;'Funnel setup'!$K$5,".",IF(A5562=".",1,A5562+1))</f>
        <v>.</v>
      </c>
      <c r="B5563" s="431" t="str">
        <f t="shared" si="86"/>
        <v>Knee Replacement RevisionCCG of GP PracticeNHS EAST LANCASHIRE CCG (01A)Oxford Knee Score</v>
      </c>
      <c r="C5563" t="s">
        <v>250</v>
      </c>
      <c r="D5563" t="s">
        <v>87</v>
      </c>
      <c r="E5563" t="s">
        <v>869</v>
      </c>
      <c r="F5563" t="s">
        <v>870</v>
      </c>
      <c r="G5563" t="s">
        <v>16</v>
      </c>
      <c r="H5563">
        <v>9</v>
      </c>
      <c r="I5563">
        <v>17.111000000000001</v>
      </c>
      <c r="J5563">
        <v>28.222000000000001</v>
      </c>
      <c r="K5563">
        <v>11.111000000000001</v>
      </c>
      <c r="L5563">
        <v>7</v>
      </c>
      <c r="M5563">
        <v>0</v>
      </c>
      <c r="N5563">
        <v>2</v>
      </c>
      <c r="O5563" t="s">
        <v>53</v>
      </c>
      <c r="P5563" t="s">
        <v>53</v>
      </c>
      <c r="Q5563" t="s">
        <v>53</v>
      </c>
    </row>
    <row r="5564" spans="1:17" x14ac:dyDescent="0.2">
      <c r="A5564" s="30" t="str">
        <f>IF(C5564&amp;G5564&amp;D5564&lt;&gt;'Funnel setup'!$K$3&amp;'Funnel setup'!$K$4&amp;'Funnel setup'!$K$5,".",IF(A5563=".",1,A5563+1))</f>
        <v>.</v>
      </c>
      <c r="B5564" s="431" t="str">
        <f t="shared" si="86"/>
        <v>Knee Replacement RevisionCCG of GP PracticeNHS EAST LEICESTERSHIRE AND RUTLAND CCG (03W)Oxford Knee Score</v>
      </c>
      <c r="C5564" t="s">
        <v>250</v>
      </c>
      <c r="D5564" t="s">
        <v>87</v>
      </c>
      <c r="E5564" t="s">
        <v>872</v>
      </c>
      <c r="F5564" t="s">
        <v>873</v>
      </c>
      <c r="G5564" t="s">
        <v>16</v>
      </c>
      <c r="H5564">
        <v>15</v>
      </c>
      <c r="I5564">
        <v>16</v>
      </c>
      <c r="J5564">
        <v>30.933</v>
      </c>
      <c r="K5564">
        <v>14.933</v>
      </c>
      <c r="L5564">
        <v>13</v>
      </c>
      <c r="M5564">
        <v>0</v>
      </c>
      <c r="N5564">
        <v>2</v>
      </c>
      <c r="O5564" t="s">
        <v>53</v>
      </c>
      <c r="P5564" t="s">
        <v>53</v>
      </c>
      <c r="Q5564" t="s">
        <v>53</v>
      </c>
    </row>
    <row r="5565" spans="1:17" x14ac:dyDescent="0.2">
      <c r="A5565" s="30" t="str">
        <f>IF(C5565&amp;G5565&amp;D5565&lt;&gt;'Funnel setup'!$K$3&amp;'Funnel setup'!$K$4&amp;'Funnel setup'!$K$5,".",IF(A5564=".",1,A5564+1))</f>
        <v>.</v>
      </c>
      <c r="B5565" s="431" t="str">
        <f t="shared" si="86"/>
        <v>Knee Replacement RevisionCCG of GP PracticeNHS EAST RIDING OF YORKSHIRE CCG (02Y)Oxford Knee Score</v>
      </c>
      <c r="C5565" t="s">
        <v>250</v>
      </c>
      <c r="D5565" t="s">
        <v>87</v>
      </c>
      <c r="E5565" t="s">
        <v>875</v>
      </c>
      <c r="F5565" t="s">
        <v>876</v>
      </c>
      <c r="G5565" t="s">
        <v>16</v>
      </c>
      <c r="H5565">
        <v>19</v>
      </c>
      <c r="I5565">
        <v>18.105</v>
      </c>
      <c r="J5565">
        <v>26.367999999999999</v>
      </c>
      <c r="K5565">
        <v>8.2629999999999999</v>
      </c>
      <c r="L5565">
        <v>11</v>
      </c>
      <c r="M5565">
        <v>2</v>
      </c>
      <c r="N5565">
        <v>6</v>
      </c>
      <c r="O5565" t="s">
        <v>53</v>
      </c>
      <c r="P5565" t="s">
        <v>53</v>
      </c>
      <c r="Q5565" t="s">
        <v>53</v>
      </c>
    </row>
    <row r="5566" spans="1:17" x14ac:dyDescent="0.2">
      <c r="A5566" s="30" t="str">
        <f>IF(C5566&amp;G5566&amp;D5566&lt;&gt;'Funnel setup'!$K$3&amp;'Funnel setup'!$K$4&amp;'Funnel setup'!$K$5,".",IF(A5565=".",1,A5565+1))</f>
        <v>.</v>
      </c>
      <c r="B5566" s="431" t="str">
        <f t="shared" si="86"/>
        <v>Knee Replacement RevisionCCG of GP PracticeNHS EAST STAFFORDSHIRE CCG (05D)Oxford Knee Score</v>
      </c>
      <c r="C5566" t="s">
        <v>250</v>
      </c>
      <c r="D5566" t="s">
        <v>87</v>
      </c>
      <c r="E5566" t="s">
        <v>878</v>
      </c>
      <c r="F5566" t="s">
        <v>879</v>
      </c>
      <c r="G5566" t="s">
        <v>16</v>
      </c>
      <c r="H5566" t="s">
        <v>53</v>
      </c>
      <c r="I5566" t="s">
        <v>53</v>
      </c>
      <c r="J5566" t="s">
        <v>53</v>
      </c>
      <c r="K5566" t="s">
        <v>53</v>
      </c>
      <c r="L5566" t="s">
        <v>53</v>
      </c>
      <c r="M5566" t="s">
        <v>53</v>
      </c>
      <c r="N5566" t="s">
        <v>53</v>
      </c>
      <c r="O5566" t="s">
        <v>53</v>
      </c>
      <c r="P5566" t="s">
        <v>53</v>
      </c>
      <c r="Q5566" t="s">
        <v>53</v>
      </c>
    </row>
    <row r="5567" spans="1:17" x14ac:dyDescent="0.2">
      <c r="A5567" s="30" t="str">
        <f>IF(C5567&amp;G5567&amp;D5567&lt;&gt;'Funnel setup'!$K$3&amp;'Funnel setup'!$K$4&amp;'Funnel setup'!$K$5,".",IF(A5566=".",1,A5566+1))</f>
        <v>.</v>
      </c>
      <c r="B5567" s="431" t="str">
        <f t="shared" si="86"/>
        <v>Knee Replacement RevisionCCG of GP PracticeNHS EAST SURREY CCG (09L)Oxford Knee Score</v>
      </c>
      <c r="C5567" t="s">
        <v>250</v>
      </c>
      <c r="D5567" t="s">
        <v>87</v>
      </c>
      <c r="E5567" t="s">
        <v>881</v>
      </c>
      <c r="F5567" t="s">
        <v>882</v>
      </c>
      <c r="G5567" t="s">
        <v>16</v>
      </c>
      <c r="H5567" t="s">
        <v>53</v>
      </c>
      <c r="I5567" t="s">
        <v>53</v>
      </c>
      <c r="J5567" t="s">
        <v>53</v>
      </c>
      <c r="K5567" t="s">
        <v>53</v>
      </c>
      <c r="L5567" t="s">
        <v>53</v>
      </c>
      <c r="M5567" t="s">
        <v>53</v>
      </c>
      <c r="N5567" t="s">
        <v>53</v>
      </c>
      <c r="O5567" t="s">
        <v>53</v>
      </c>
      <c r="P5567" t="s">
        <v>53</v>
      </c>
      <c r="Q5567" t="s">
        <v>53</v>
      </c>
    </row>
    <row r="5568" spans="1:17" x14ac:dyDescent="0.2">
      <c r="A5568" s="30" t="str">
        <f>IF(C5568&amp;G5568&amp;D5568&lt;&gt;'Funnel setup'!$K$3&amp;'Funnel setup'!$K$4&amp;'Funnel setup'!$K$5,".",IF(A5567=".",1,A5567+1))</f>
        <v>.</v>
      </c>
      <c r="B5568" s="431" t="str">
        <f t="shared" si="86"/>
        <v>Knee Replacement RevisionCCG of GP PracticeNHS EASTBOURNE, HAILSHAM AND SEAFORD CCG (09F)Oxford Knee Score</v>
      </c>
      <c r="C5568" t="s">
        <v>250</v>
      </c>
      <c r="D5568" t="s">
        <v>87</v>
      </c>
      <c r="E5568" t="s">
        <v>884</v>
      </c>
      <c r="F5568" t="s">
        <v>885</v>
      </c>
      <c r="G5568" t="s">
        <v>16</v>
      </c>
      <c r="H5568">
        <v>18</v>
      </c>
      <c r="I5568">
        <v>20.667000000000002</v>
      </c>
      <c r="J5568">
        <v>34.5</v>
      </c>
      <c r="K5568">
        <v>13.833</v>
      </c>
      <c r="L5568">
        <v>17</v>
      </c>
      <c r="M5568">
        <v>0</v>
      </c>
      <c r="N5568">
        <v>1</v>
      </c>
      <c r="O5568" t="s">
        <v>53</v>
      </c>
      <c r="P5568" t="s">
        <v>53</v>
      </c>
      <c r="Q5568" t="s">
        <v>53</v>
      </c>
    </row>
    <row r="5569" spans="1:17" x14ac:dyDescent="0.2">
      <c r="A5569" s="30" t="str">
        <f>IF(C5569&amp;G5569&amp;D5569&lt;&gt;'Funnel setup'!$K$3&amp;'Funnel setup'!$K$4&amp;'Funnel setup'!$K$5,".",IF(A5568=".",1,A5568+1))</f>
        <v>.</v>
      </c>
      <c r="B5569" s="431" t="str">
        <f t="shared" si="86"/>
        <v>Knee Replacement RevisionCCG of GP PracticeNHS EASTERN CHESHIRE CCG (01C)Oxford Knee Score</v>
      </c>
      <c r="C5569" t="s">
        <v>250</v>
      </c>
      <c r="D5569" t="s">
        <v>87</v>
      </c>
      <c r="E5569" t="s">
        <v>887</v>
      </c>
      <c r="F5569" t="s">
        <v>888</v>
      </c>
      <c r="G5569" t="s">
        <v>16</v>
      </c>
      <c r="H5569" t="s">
        <v>53</v>
      </c>
      <c r="I5569" t="s">
        <v>53</v>
      </c>
      <c r="J5569" t="s">
        <v>53</v>
      </c>
      <c r="K5569" t="s">
        <v>53</v>
      </c>
      <c r="L5569" t="s">
        <v>53</v>
      </c>
      <c r="M5569" t="s">
        <v>53</v>
      </c>
      <c r="N5569" t="s">
        <v>53</v>
      </c>
      <c r="O5569" t="s">
        <v>53</v>
      </c>
      <c r="P5569" t="s">
        <v>53</v>
      </c>
      <c r="Q5569" t="s">
        <v>53</v>
      </c>
    </row>
    <row r="5570" spans="1:17" x14ac:dyDescent="0.2">
      <c r="A5570" s="30" t="str">
        <f>IF(C5570&amp;G5570&amp;D5570&lt;&gt;'Funnel setup'!$K$3&amp;'Funnel setup'!$K$4&amp;'Funnel setup'!$K$5,".",IF(A5569=".",1,A5569+1))</f>
        <v>.</v>
      </c>
      <c r="B5570" s="431" t="str">
        <f t="shared" si="86"/>
        <v>Knee Replacement RevisionCCG of GP PracticeNHS ENFIELD CCG (07X)Oxford Knee Score</v>
      </c>
      <c r="C5570" t="s">
        <v>250</v>
      </c>
      <c r="D5570" t="s">
        <v>87</v>
      </c>
      <c r="E5570" t="s">
        <v>890</v>
      </c>
      <c r="F5570" t="s">
        <v>891</v>
      </c>
      <c r="G5570" t="s">
        <v>16</v>
      </c>
      <c r="H5570" t="s">
        <v>53</v>
      </c>
      <c r="I5570" t="s">
        <v>53</v>
      </c>
      <c r="J5570" t="s">
        <v>53</v>
      </c>
      <c r="K5570" t="s">
        <v>53</v>
      </c>
      <c r="L5570" t="s">
        <v>53</v>
      </c>
      <c r="M5570" t="s">
        <v>53</v>
      </c>
      <c r="N5570" t="s">
        <v>53</v>
      </c>
      <c r="O5570" t="s">
        <v>53</v>
      </c>
      <c r="P5570" t="s">
        <v>53</v>
      </c>
      <c r="Q5570" t="s">
        <v>53</v>
      </c>
    </row>
    <row r="5571" spans="1:17" x14ac:dyDescent="0.2">
      <c r="A5571" s="30" t="str">
        <f>IF(C5571&amp;G5571&amp;D5571&lt;&gt;'Funnel setup'!$K$3&amp;'Funnel setup'!$K$4&amp;'Funnel setup'!$K$5,".",IF(A5570=".",1,A5570+1))</f>
        <v>.</v>
      </c>
      <c r="B5571" s="431" t="str">
        <f t="shared" ref="B5571:B5634" si="87">C5571&amp;D5571&amp;F5571&amp;G5571</f>
        <v>Knee Replacement RevisionCCG of GP PracticeNHS EREWASH CCG (03X)Oxford Knee Score</v>
      </c>
      <c r="C5571" t="s">
        <v>250</v>
      </c>
      <c r="D5571" t="s">
        <v>87</v>
      </c>
      <c r="E5571" t="s">
        <v>893</v>
      </c>
      <c r="F5571" t="s">
        <v>894</v>
      </c>
      <c r="G5571" t="s">
        <v>16</v>
      </c>
      <c r="H5571" t="s">
        <v>53</v>
      </c>
      <c r="I5571" t="s">
        <v>53</v>
      </c>
      <c r="J5571" t="s">
        <v>53</v>
      </c>
      <c r="K5571" t="s">
        <v>53</v>
      </c>
      <c r="L5571" t="s">
        <v>53</v>
      </c>
      <c r="M5571" t="s">
        <v>53</v>
      </c>
      <c r="N5571" t="s">
        <v>53</v>
      </c>
      <c r="O5571" t="s">
        <v>53</v>
      </c>
      <c r="P5571" t="s">
        <v>53</v>
      </c>
      <c r="Q5571" t="s">
        <v>53</v>
      </c>
    </row>
    <row r="5572" spans="1:17" x14ac:dyDescent="0.2">
      <c r="A5572" s="30" t="str">
        <f>IF(C5572&amp;G5572&amp;D5572&lt;&gt;'Funnel setup'!$K$3&amp;'Funnel setup'!$K$4&amp;'Funnel setup'!$K$5,".",IF(A5571=".",1,A5571+1))</f>
        <v>.</v>
      </c>
      <c r="B5572" s="431" t="str">
        <f t="shared" si="87"/>
        <v>Knee Replacement RevisionCCG of GP PracticeNHS FAREHAM AND GOSPORT CCG (10K)Oxford Knee Score</v>
      </c>
      <c r="C5572" t="s">
        <v>250</v>
      </c>
      <c r="D5572" t="s">
        <v>87</v>
      </c>
      <c r="E5572" t="s">
        <v>896</v>
      </c>
      <c r="F5572" t="s">
        <v>897</v>
      </c>
      <c r="G5572" t="s">
        <v>16</v>
      </c>
      <c r="H5572" t="s">
        <v>53</v>
      </c>
      <c r="I5572" t="s">
        <v>53</v>
      </c>
      <c r="J5572" t="s">
        <v>53</v>
      </c>
      <c r="K5572" t="s">
        <v>53</v>
      </c>
      <c r="L5572" t="s">
        <v>53</v>
      </c>
      <c r="M5572" t="s">
        <v>53</v>
      </c>
      <c r="N5572" t="s">
        <v>53</v>
      </c>
      <c r="O5572" t="s">
        <v>53</v>
      </c>
      <c r="P5572" t="s">
        <v>53</v>
      </c>
      <c r="Q5572" t="s">
        <v>53</v>
      </c>
    </row>
    <row r="5573" spans="1:17" x14ac:dyDescent="0.2">
      <c r="A5573" s="30" t="str">
        <f>IF(C5573&amp;G5573&amp;D5573&lt;&gt;'Funnel setup'!$K$3&amp;'Funnel setup'!$K$4&amp;'Funnel setup'!$K$5,".",IF(A5572=".",1,A5572+1))</f>
        <v>.</v>
      </c>
      <c r="B5573" s="431" t="str">
        <f t="shared" si="87"/>
        <v>Knee Replacement RevisionCCG of GP PracticeNHS FYLDE &amp; WYRE CCG (02M)Oxford Knee Score</v>
      </c>
      <c r="C5573" t="s">
        <v>250</v>
      </c>
      <c r="D5573" t="s">
        <v>87</v>
      </c>
      <c r="E5573" t="s">
        <v>899</v>
      </c>
      <c r="F5573" t="s">
        <v>900</v>
      </c>
      <c r="G5573" t="s">
        <v>16</v>
      </c>
      <c r="H5573" t="s">
        <v>53</v>
      </c>
      <c r="I5573" t="s">
        <v>53</v>
      </c>
      <c r="J5573" t="s">
        <v>53</v>
      </c>
      <c r="K5573" t="s">
        <v>53</v>
      </c>
      <c r="L5573" t="s">
        <v>53</v>
      </c>
      <c r="M5573" t="s">
        <v>53</v>
      </c>
      <c r="N5573" t="s">
        <v>53</v>
      </c>
      <c r="O5573" t="s">
        <v>53</v>
      </c>
      <c r="P5573" t="s">
        <v>53</v>
      </c>
      <c r="Q5573" t="s">
        <v>53</v>
      </c>
    </row>
    <row r="5574" spans="1:17" x14ac:dyDescent="0.2">
      <c r="A5574" s="30" t="str">
        <f>IF(C5574&amp;G5574&amp;D5574&lt;&gt;'Funnel setup'!$K$3&amp;'Funnel setup'!$K$4&amp;'Funnel setup'!$K$5,".",IF(A5573=".",1,A5573+1))</f>
        <v>.</v>
      </c>
      <c r="B5574" s="431" t="str">
        <f t="shared" si="87"/>
        <v>Knee Replacement RevisionCCG of GP PracticeNHS GLOUCESTERSHIRE CCG (11M)Oxford Knee Score</v>
      </c>
      <c r="C5574" t="s">
        <v>250</v>
      </c>
      <c r="D5574" t="s">
        <v>87</v>
      </c>
      <c r="E5574" t="s">
        <v>902</v>
      </c>
      <c r="F5574" t="s">
        <v>903</v>
      </c>
      <c r="G5574" t="s">
        <v>16</v>
      </c>
      <c r="H5574">
        <v>35</v>
      </c>
      <c r="I5574">
        <v>21</v>
      </c>
      <c r="J5574">
        <v>30.114000000000001</v>
      </c>
      <c r="K5574">
        <v>9.1140000000000008</v>
      </c>
      <c r="L5574">
        <v>25</v>
      </c>
      <c r="M5574">
        <v>0</v>
      </c>
      <c r="N5574">
        <v>10</v>
      </c>
      <c r="O5574">
        <v>25.427</v>
      </c>
      <c r="P5574">
        <v>8.9207126429999999</v>
      </c>
      <c r="Q5574">
        <v>11.744</v>
      </c>
    </row>
    <row r="5575" spans="1:17" x14ac:dyDescent="0.2">
      <c r="A5575" s="30" t="str">
        <f>IF(C5575&amp;G5575&amp;D5575&lt;&gt;'Funnel setup'!$K$3&amp;'Funnel setup'!$K$4&amp;'Funnel setup'!$K$5,".",IF(A5574=".",1,A5574+1))</f>
        <v>.</v>
      </c>
      <c r="B5575" s="431" t="str">
        <f t="shared" si="87"/>
        <v>Knee Replacement RevisionCCG of GP PracticeNHS GREAT YARMOUTH AND WAVENEY CCG (06M)Oxford Knee Score</v>
      </c>
      <c r="C5575" t="s">
        <v>250</v>
      </c>
      <c r="D5575" t="s">
        <v>87</v>
      </c>
      <c r="E5575" t="s">
        <v>905</v>
      </c>
      <c r="F5575" t="s">
        <v>906</v>
      </c>
      <c r="G5575" t="s">
        <v>16</v>
      </c>
      <c r="H5575">
        <v>7</v>
      </c>
      <c r="I5575">
        <v>18.428999999999998</v>
      </c>
      <c r="J5575">
        <v>33.429000000000002</v>
      </c>
      <c r="K5575">
        <v>15</v>
      </c>
      <c r="L5575">
        <v>7</v>
      </c>
      <c r="M5575">
        <v>0</v>
      </c>
      <c r="N5575">
        <v>0</v>
      </c>
      <c r="O5575" t="s">
        <v>53</v>
      </c>
      <c r="P5575" t="s">
        <v>53</v>
      </c>
      <c r="Q5575" t="s">
        <v>53</v>
      </c>
    </row>
    <row r="5576" spans="1:17" x14ac:dyDescent="0.2">
      <c r="A5576" s="30" t="str">
        <f>IF(C5576&amp;G5576&amp;D5576&lt;&gt;'Funnel setup'!$K$3&amp;'Funnel setup'!$K$4&amp;'Funnel setup'!$K$5,".",IF(A5575=".",1,A5575+1))</f>
        <v>.</v>
      </c>
      <c r="B5576" s="431" t="str">
        <f t="shared" si="87"/>
        <v>Knee Replacement RevisionCCG of GP PracticeNHS GREATER HUDDERSFIELD CCG (03A)Oxford Knee Score</v>
      </c>
      <c r="C5576" t="s">
        <v>250</v>
      </c>
      <c r="D5576" t="s">
        <v>87</v>
      </c>
      <c r="E5576" t="s">
        <v>908</v>
      </c>
      <c r="F5576" t="s">
        <v>909</v>
      </c>
      <c r="G5576" t="s">
        <v>16</v>
      </c>
      <c r="H5576">
        <v>8</v>
      </c>
      <c r="I5576">
        <v>22.125</v>
      </c>
      <c r="J5576">
        <v>36.625</v>
      </c>
      <c r="K5576">
        <v>14.5</v>
      </c>
      <c r="L5576">
        <v>7</v>
      </c>
      <c r="M5576">
        <v>0</v>
      </c>
      <c r="N5576">
        <v>1</v>
      </c>
      <c r="O5576" t="s">
        <v>53</v>
      </c>
      <c r="P5576" t="s">
        <v>53</v>
      </c>
      <c r="Q5576" t="s">
        <v>53</v>
      </c>
    </row>
    <row r="5577" spans="1:17" x14ac:dyDescent="0.2">
      <c r="A5577" s="30" t="str">
        <f>IF(C5577&amp;G5577&amp;D5577&lt;&gt;'Funnel setup'!$K$3&amp;'Funnel setup'!$K$4&amp;'Funnel setup'!$K$5,".",IF(A5576=".",1,A5576+1))</f>
        <v>.</v>
      </c>
      <c r="B5577" s="431" t="str">
        <f t="shared" si="87"/>
        <v>Knee Replacement RevisionCCG of GP PracticeNHS GREATER PRESTON CCG (01E)Oxford Knee Score</v>
      </c>
      <c r="C5577" t="s">
        <v>250</v>
      </c>
      <c r="D5577" t="s">
        <v>87</v>
      </c>
      <c r="E5577" t="s">
        <v>486</v>
      </c>
      <c r="F5577" t="s">
        <v>487</v>
      </c>
      <c r="G5577" t="s">
        <v>16</v>
      </c>
      <c r="H5577">
        <v>6</v>
      </c>
      <c r="I5577">
        <v>14.5</v>
      </c>
      <c r="J5577">
        <v>29.832999999999998</v>
      </c>
      <c r="K5577">
        <v>15.333</v>
      </c>
      <c r="L5577">
        <v>6</v>
      </c>
      <c r="M5577">
        <v>0</v>
      </c>
      <c r="N5577">
        <v>0</v>
      </c>
      <c r="O5577" t="s">
        <v>53</v>
      </c>
      <c r="P5577" t="s">
        <v>53</v>
      </c>
      <c r="Q5577" t="s">
        <v>53</v>
      </c>
    </row>
    <row r="5578" spans="1:17" x14ac:dyDescent="0.2">
      <c r="A5578" s="30" t="str">
        <f>IF(C5578&amp;G5578&amp;D5578&lt;&gt;'Funnel setup'!$K$3&amp;'Funnel setup'!$K$4&amp;'Funnel setup'!$K$5,".",IF(A5577=".",1,A5577+1))</f>
        <v>.</v>
      </c>
      <c r="B5578" s="431" t="str">
        <f t="shared" si="87"/>
        <v>Knee Replacement RevisionCCG of GP PracticeNHS GREENWICH CCG (08A)Oxford Knee Score</v>
      </c>
      <c r="C5578" t="s">
        <v>250</v>
      </c>
      <c r="D5578" t="s">
        <v>87</v>
      </c>
      <c r="E5578" t="s">
        <v>489</v>
      </c>
      <c r="F5578" t="s">
        <v>490</v>
      </c>
      <c r="G5578" t="s">
        <v>16</v>
      </c>
      <c r="H5578" t="s">
        <v>53</v>
      </c>
      <c r="I5578" t="s">
        <v>53</v>
      </c>
      <c r="J5578" t="s">
        <v>53</v>
      </c>
      <c r="K5578" t="s">
        <v>53</v>
      </c>
      <c r="L5578" t="s">
        <v>53</v>
      </c>
      <c r="M5578" t="s">
        <v>53</v>
      </c>
      <c r="N5578" t="s">
        <v>53</v>
      </c>
      <c r="O5578" t="s">
        <v>53</v>
      </c>
      <c r="P5578" t="s">
        <v>53</v>
      </c>
      <c r="Q5578" t="s">
        <v>53</v>
      </c>
    </row>
    <row r="5579" spans="1:17" x14ac:dyDescent="0.2">
      <c r="A5579" s="30" t="str">
        <f>IF(C5579&amp;G5579&amp;D5579&lt;&gt;'Funnel setup'!$K$3&amp;'Funnel setup'!$K$4&amp;'Funnel setup'!$K$5,".",IF(A5578=".",1,A5578+1))</f>
        <v>.</v>
      </c>
      <c r="B5579" s="431" t="str">
        <f t="shared" si="87"/>
        <v>Knee Replacement RevisionCCG of GP PracticeNHS GUILDFORD AND WAVERLEY CCG (09N)Oxford Knee Score</v>
      </c>
      <c r="C5579" t="s">
        <v>250</v>
      </c>
      <c r="D5579" t="s">
        <v>87</v>
      </c>
      <c r="E5579" t="s">
        <v>911</v>
      </c>
      <c r="F5579" t="s">
        <v>912</v>
      </c>
      <c r="G5579" t="s">
        <v>16</v>
      </c>
      <c r="H5579" t="s">
        <v>53</v>
      </c>
      <c r="I5579" t="s">
        <v>53</v>
      </c>
      <c r="J5579" t="s">
        <v>53</v>
      </c>
      <c r="K5579" t="s">
        <v>53</v>
      </c>
      <c r="L5579" t="s">
        <v>53</v>
      </c>
      <c r="M5579" t="s">
        <v>53</v>
      </c>
      <c r="N5579" t="s">
        <v>53</v>
      </c>
      <c r="O5579" t="s">
        <v>53</v>
      </c>
      <c r="P5579" t="s">
        <v>53</v>
      </c>
      <c r="Q5579" t="s">
        <v>53</v>
      </c>
    </row>
    <row r="5580" spans="1:17" x14ac:dyDescent="0.2">
      <c r="A5580" s="30" t="str">
        <f>IF(C5580&amp;G5580&amp;D5580&lt;&gt;'Funnel setup'!$K$3&amp;'Funnel setup'!$K$4&amp;'Funnel setup'!$K$5,".",IF(A5579=".",1,A5579+1))</f>
        <v>.</v>
      </c>
      <c r="B5580" s="431" t="str">
        <f t="shared" si="87"/>
        <v>Knee Replacement RevisionCCG of GP PracticeNHS HALTON CCG (01F)Oxford Knee Score</v>
      </c>
      <c r="C5580" t="s">
        <v>250</v>
      </c>
      <c r="D5580" t="s">
        <v>87</v>
      </c>
      <c r="E5580" t="s">
        <v>914</v>
      </c>
      <c r="F5580" t="s">
        <v>915</v>
      </c>
      <c r="G5580" t="s">
        <v>16</v>
      </c>
      <c r="H5580">
        <v>9</v>
      </c>
      <c r="I5580">
        <v>15.222</v>
      </c>
      <c r="J5580">
        <v>30.443999999999999</v>
      </c>
      <c r="K5580">
        <v>15.222</v>
      </c>
      <c r="L5580">
        <v>8</v>
      </c>
      <c r="M5580">
        <v>0</v>
      </c>
      <c r="N5580">
        <v>1</v>
      </c>
      <c r="O5580" t="s">
        <v>53</v>
      </c>
      <c r="P5580" t="s">
        <v>53</v>
      </c>
      <c r="Q5580" t="s">
        <v>53</v>
      </c>
    </row>
    <row r="5581" spans="1:17" x14ac:dyDescent="0.2">
      <c r="A5581" s="30" t="str">
        <f>IF(C5581&amp;G5581&amp;D5581&lt;&gt;'Funnel setup'!$K$3&amp;'Funnel setup'!$K$4&amp;'Funnel setup'!$K$5,".",IF(A5580=".",1,A5580+1))</f>
        <v>.</v>
      </c>
      <c r="B5581" s="431" t="str">
        <f t="shared" si="87"/>
        <v>Knee Replacement RevisionCCG of GP PracticeNHS HAMBLETON, RICHMONDSHIRE AND WHITBY CCG (03D)Oxford Knee Score</v>
      </c>
      <c r="C5581" t="s">
        <v>250</v>
      </c>
      <c r="D5581" t="s">
        <v>87</v>
      </c>
      <c r="E5581" t="s">
        <v>917</v>
      </c>
      <c r="F5581" t="s">
        <v>918</v>
      </c>
      <c r="G5581" t="s">
        <v>16</v>
      </c>
      <c r="H5581">
        <v>10</v>
      </c>
      <c r="I5581">
        <v>20.3</v>
      </c>
      <c r="J5581">
        <v>26.3</v>
      </c>
      <c r="K5581">
        <v>6</v>
      </c>
      <c r="L5581">
        <v>8</v>
      </c>
      <c r="M5581">
        <v>0</v>
      </c>
      <c r="N5581">
        <v>2</v>
      </c>
      <c r="O5581" t="s">
        <v>53</v>
      </c>
      <c r="P5581" t="s">
        <v>53</v>
      </c>
      <c r="Q5581" t="s">
        <v>53</v>
      </c>
    </row>
    <row r="5582" spans="1:17" x14ac:dyDescent="0.2">
      <c r="A5582" s="30" t="str">
        <f>IF(C5582&amp;G5582&amp;D5582&lt;&gt;'Funnel setup'!$K$3&amp;'Funnel setup'!$K$4&amp;'Funnel setup'!$K$5,".",IF(A5581=".",1,A5581+1))</f>
        <v>.</v>
      </c>
      <c r="B5582" s="431" t="str">
        <f t="shared" si="87"/>
        <v>Knee Replacement RevisionCCG of GP PracticeNHS HARDWICK CCG (03Y)Oxford Knee Score</v>
      </c>
      <c r="C5582" t="s">
        <v>250</v>
      </c>
      <c r="D5582" t="s">
        <v>87</v>
      </c>
      <c r="E5582" t="s">
        <v>923</v>
      </c>
      <c r="F5582" t="s">
        <v>924</v>
      </c>
      <c r="G5582" t="s">
        <v>16</v>
      </c>
      <c r="H5582">
        <v>6</v>
      </c>
      <c r="I5582">
        <v>12.667</v>
      </c>
      <c r="J5582">
        <v>22.5</v>
      </c>
      <c r="K5582">
        <v>9.8330000000000002</v>
      </c>
      <c r="L5582">
        <v>5</v>
      </c>
      <c r="M5582">
        <v>0</v>
      </c>
      <c r="N5582">
        <v>1</v>
      </c>
      <c r="O5582" t="s">
        <v>53</v>
      </c>
      <c r="P5582" t="s">
        <v>53</v>
      </c>
      <c r="Q5582" t="s">
        <v>53</v>
      </c>
    </row>
    <row r="5583" spans="1:17" x14ac:dyDescent="0.2">
      <c r="A5583" s="30" t="str">
        <f>IF(C5583&amp;G5583&amp;D5583&lt;&gt;'Funnel setup'!$K$3&amp;'Funnel setup'!$K$4&amp;'Funnel setup'!$K$5,".",IF(A5582=".",1,A5582+1))</f>
        <v>.</v>
      </c>
      <c r="B5583" s="431" t="str">
        <f t="shared" si="87"/>
        <v>Knee Replacement RevisionCCG of GP PracticeNHS HARROGATE AND RURAL DISTRICT CCG (03E)Oxford Knee Score</v>
      </c>
      <c r="C5583" t="s">
        <v>250</v>
      </c>
      <c r="D5583" t="s">
        <v>87</v>
      </c>
      <c r="E5583" t="s">
        <v>929</v>
      </c>
      <c r="F5583" t="s">
        <v>930</v>
      </c>
      <c r="G5583" t="s">
        <v>16</v>
      </c>
      <c r="H5583">
        <v>10</v>
      </c>
      <c r="I5583">
        <v>18.5</v>
      </c>
      <c r="J5583">
        <v>38.299999999999997</v>
      </c>
      <c r="K5583">
        <v>19.8</v>
      </c>
      <c r="L5583">
        <v>10</v>
      </c>
      <c r="M5583">
        <v>0</v>
      </c>
      <c r="N5583">
        <v>0</v>
      </c>
      <c r="O5583" t="s">
        <v>53</v>
      </c>
      <c r="P5583" t="s">
        <v>53</v>
      </c>
      <c r="Q5583" t="s">
        <v>53</v>
      </c>
    </row>
    <row r="5584" spans="1:17" x14ac:dyDescent="0.2">
      <c r="A5584" s="30" t="str">
        <f>IF(C5584&amp;G5584&amp;D5584&lt;&gt;'Funnel setup'!$K$3&amp;'Funnel setup'!$K$4&amp;'Funnel setup'!$K$5,".",IF(A5583=".",1,A5583+1))</f>
        <v>.</v>
      </c>
      <c r="B5584" s="431" t="str">
        <f t="shared" si="87"/>
        <v>Knee Replacement RevisionCCG of GP PracticeNHS HARROW CCG (08E)Oxford Knee Score</v>
      </c>
      <c r="C5584" t="s">
        <v>250</v>
      </c>
      <c r="D5584" t="s">
        <v>87</v>
      </c>
      <c r="E5584" t="s">
        <v>492</v>
      </c>
      <c r="F5584" t="s">
        <v>493</v>
      </c>
      <c r="G5584" t="s">
        <v>16</v>
      </c>
      <c r="H5584" t="s">
        <v>53</v>
      </c>
      <c r="I5584" t="s">
        <v>53</v>
      </c>
      <c r="J5584" t="s">
        <v>53</v>
      </c>
      <c r="K5584" t="s">
        <v>53</v>
      </c>
      <c r="L5584" t="s">
        <v>53</v>
      </c>
      <c r="M5584" t="s">
        <v>53</v>
      </c>
      <c r="N5584" t="s">
        <v>53</v>
      </c>
      <c r="O5584" t="s">
        <v>53</v>
      </c>
      <c r="P5584" t="s">
        <v>53</v>
      </c>
      <c r="Q5584" t="s">
        <v>53</v>
      </c>
    </row>
    <row r="5585" spans="1:17" x14ac:dyDescent="0.2">
      <c r="A5585" s="30" t="str">
        <f>IF(C5585&amp;G5585&amp;D5585&lt;&gt;'Funnel setup'!$K$3&amp;'Funnel setup'!$K$4&amp;'Funnel setup'!$K$5,".",IF(A5584=".",1,A5584+1))</f>
        <v>.</v>
      </c>
      <c r="B5585" s="431" t="str">
        <f t="shared" si="87"/>
        <v>Knee Replacement RevisionCCG of GP PracticeNHS HARTLEPOOL AND STOCKTON-ON-TEES CCG (00K)Oxford Knee Score</v>
      </c>
      <c r="C5585" t="s">
        <v>250</v>
      </c>
      <c r="D5585" t="s">
        <v>87</v>
      </c>
      <c r="E5585" t="s">
        <v>495</v>
      </c>
      <c r="F5585" t="s">
        <v>496</v>
      </c>
      <c r="G5585" t="s">
        <v>16</v>
      </c>
      <c r="H5585">
        <v>15</v>
      </c>
      <c r="I5585">
        <v>12.467000000000001</v>
      </c>
      <c r="J5585">
        <v>26.733000000000001</v>
      </c>
      <c r="K5585">
        <v>14.266999999999999</v>
      </c>
      <c r="L5585">
        <v>14</v>
      </c>
      <c r="M5585">
        <v>0</v>
      </c>
      <c r="N5585">
        <v>1</v>
      </c>
      <c r="O5585" t="s">
        <v>53</v>
      </c>
      <c r="P5585" t="s">
        <v>53</v>
      </c>
      <c r="Q5585" t="s">
        <v>53</v>
      </c>
    </row>
    <row r="5586" spans="1:17" x14ac:dyDescent="0.2">
      <c r="A5586" s="30" t="str">
        <f>IF(C5586&amp;G5586&amp;D5586&lt;&gt;'Funnel setup'!$K$3&amp;'Funnel setup'!$K$4&amp;'Funnel setup'!$K$5,".",IF(A5585=".",1,A5585+1))</f>
        <v>.</v>
      </c>
      <c r="B5586" s="431" t="str">
        <f t="shared" si="87"/>
        <v>Knee Replacement RevisionCCG of GP PracticeNHS HASTINGS AND ROTHER CCG (09P)Oxford Knee Score</v>
      </c>
      <c r="C5586" t="s">
        <v>250</v>
      </c>
      <c r="D5586" t="s">
        <v>87</v>
      </c>
      <c r="E5586" t="s">
        <v>498</v>
      </c>
      <c r="F5586" t="s">
        <v>499</v>
      </c>
      <c r="G5586" t="s">
        <v>16</v>
      </c>
      <c r="H5586">
        <v>20</v>
      </c>
      <c r="I5586">
        <v>19.05</v>
      </c>
      <c r="J5586">
        <v>31.05</v>
      </c>
      <c r="K5586">
        <v>12</v>
      </c>
      <c r="L5586">
        <v>17</v>
      </c>
      <c r="M5586">
        <v>0</v>
      </c>
      <c r="N5586">
        <v>3</v>
      </c>
      <c r="O5586" t="s">
        <v>53</v>
      </c>
      <c r="P5586" t="s">
        <v>53</v>
      </c>
      <c r="Q5586" t="s">
        <v>53</v>
      </c>
    </row>
    <row r="5587" spans="1:17" x14ac:dyDescent="0.2">
      <c r="A5587" s="30" t="str">
        <f>IF(C5587&amp;G5587&amp;D5587&lt;&gt;'Funnel setup'!$K$3&amp;'Funnel setup'!$K$4&amp;'Funnel setup'!$K$5,".",IF(A5586=".",1,A5586+1))</f>
        <v>.</v>
      </c>
      <c r="B5587" s="431" t="str">
        <f t="shared" si="87"/>
        <v>Knee Replacement RevisionCCG of GP PracticeNHS HAVERING CCG (08F)Oxford Knee Score</v>
      </c>
      <c r="C5587" t="s">
        <v>250</v>
      </c>
      <c r="D5587" t="s">
        <v>87</v>
      </c>
      <c r="E5587" t="s">
        <v>501</v>
      </c>
      <c r="F5587" t="s">
        <v>502</v>
      </c>
      <c r="G5587" t="s">
        <v>16</v>
      </c>
      <c r="H5587" t="s">
        <v>53</v>
      </c>
      <c r="I5587" t="s">
        <v>53</v>
      </c>
      <c r="J5587" t="s">
        <v>53</v>
      </c>
      <c r="K5587" t="s">
        <v>53</v>
      </c>
      <c r="L5587" t="s">
        <v>53</v>
      </c>
      <c r="M5587" t="s">
        <v>53</v>
      </c>
      <c r="N5587" t="s">
        <v>53</v>
      </c>
      <c r="O5587" t="s">
        <v>53</v>
      </c>
      <c r="P5587" t="s">
        <v>53</v>
      </c>
      <c r="Q5587" t="s">
        <v>53</v>
      </c>
    </row>
    <row r="5588" spans="1:17" x14ac:dyDescent="0.2">
      <c r="A5588" s="30" t="str">
        <f>IF(C5588&amp;G5588&amp;D5588&lt;&gt;'Funnel setup'!$K$3&amp;'Funnel setup'!$K$4&amp;'Funnel setup'!$K$5,".",IF(A5587=".",1,A5587+1))</f>
        <v>.</v>
      </c>
      <c r="B5588" s="431" t="str">
        <f t="shared" si="87"/>
        <v>Knee Replacement RevisionCCG of GP PracticeNHS HEREFORDSHIRE CCG (05F)Oxford Knee Score</v>
      </c>
      <c r="C5588" t="s">
        <v>250</v>
      </c>
      <c r="D5588" t="s">
        <v>87</v>
      </c>
      <c r="E5588" t="s">
        <v>504</v>
      </c>
      <c r="F5588" t="s">
        <v>505</v>
      </c>
      <c r="G5588" t="s">
        <v>16</v>
      </c>
      <c r="H5588" t="s">
        <v>53</v>
      </c>
      <c r="I5588" t="s">
        <v>53</v>
      </c>
      <c r="J5588" t="s">
        <v>53</v>
      </c>
      <c r="K5588" t="s">
        <v>53</v>
      </c>
      <c r="L5588" t="s">
        <v>53</v>
      </c>
      <c r="M5588" t="s">
        <v>53</v>
      </c>
      <c r="N5588" t="s">
        <v>53</v>
      </c>
      <c r="O5588" t="s">
        <v>53</v>
      </c>
      <c r="P5588" t="s">
        <v>53</v>
      </c>
      <c r="Q5588" t="s">
        <v>53</v>
      </c>
    </row>
    <row r="5589" spans="1:17" x14ac:dyDescent="0.2">
      <c r="A5589" s="30" t="str">
        <f>IF(C5589&amp;G5589&amp;D5589&lt;&gt;'Funnel setup'!$K$3&amp;'Funnel setup'!$K$4&amp;'Funnel setup'!$K$5,".",IF(A5588=".",1,A5588+1))</f>
        <v>.</v>
      </c>
      <c r="B5589" s="431" t="str">
        <f t="shared" si="87"/>
        <v>Knee Replacement RevisionCCG of GP PracticeNHS HERTS VALLEYS CCG (06N)Oxford Knee Score</v>
      </c>
      <c r="C5589" t="s">
        <v>250</v>
      </c>
      <c r="D5589" t="s">
        <v>87</v>
      </c>
      <c r="E5589" t="s">
        <v>507</v>
      </c>
      <c r="F5589" t="s">
        <v>508</v>
      </c>
      <c r="G5589" t="s">
        <v>16</v>
      </c>
      <c r="H5589">
        <v>13</v>
      </c>
      <c r="I5589">
        <v>11.846</v>
      </c>
      <c r="J5589">
        <v>26</v>
      </c>
      <c r="K5589">
        <v>14.154</v>
      </c>
      <c r="L5589">
        <v>11</v>
      </c>
      <c r="M5589">
        <v>2</v>
      </c>
      <c r="N5589">
        <v>0</v>
      </c>
      <c r="O5589" t="s">
        <v>53</v>
      </c>
      <c r="P5589" t="s">
        <v>53</v>
      </c>
      <c r="Q5589" t="s">
        <v>53</v>
      </c>
    </row>
    <row r="5590" spans="1:17" x14ac:dyDescent="0.2">
      <c r="A5590" s="30" t="str">
        <f>IF(C5590&amp;G5590&amp;D5590&lt;&gt;'Funnel setup'!$K$3&amp;'Funnel setup'!$K$4&amp;'Funnel setup'!$K$5,".",IF(A5589=".",1,A5589+1))</f>
        <v>.</v>
      </c>
      <c r="B5590" s="431" t="str">
        <f t="shared" si="87"/>
        <v>Knee Replacement RevisionCCG of GP PracticeNHS HEYWOOD, MIDDLETON AND ROCHDALE CCG (01D)Oxford Knee Score</v>
      </c>
      <c r="C5590" t="s">
        <v>250</v>
      </c>
      <c r="D5590" t="s">
        <v>87</v>
      </c>
      <c r="E5590" t="s">
        <v>510</v>
      </c>
      <c r="F5590" t="s">
        <v>511</v>
      </c>
      <c r="G5590" t="s">
        <v>16</v>
      </c>
      <c r="H5590" t="s">
        <v>53</v>
      </c>
      <c r="I5590" t="s">
        <v>53</v>
      </c>
      <c r="J5590" t="s">
        <v>53</v>
      </c>
      <c r="K5590" t="s">
        <v>53</v>
      </c>
      <c r="L5590" t="s">
        <v>53</v>
      </c>
      <c r="M5590" t="s">
        <v>53</v>
      </c>
      <c r="N5590" t="s">
        <v>53</v>
      </c>
      <c r="O5590" t="s">
        <v>53</v>
      </c>
      <c r="P5590" t="s">
        <v>53</v>
      </c>
      <c r="Q5590" t="s">
        <v>53</v>
      </c>
    </row>
    <row r="5591" spans="1:17" x14ac:dyDescent="0.2">
      <c r="A5591" s="30" t="str">
        <f>IF(C5591&amp;G5591&amp;D5591&lt;&gt;'Funnel setup'!$K$3&amp;'Funnel setup'!$K$4&amp;'Funnel setup'!$K$5,".",IF(A5590=".",1,A5590+1))</f>
        <v>.</v>
      </c>
      <c r="B5591" s="431" t="str">
        <f t="shared" si="87"/>
        <v>Knee Replacement RevisionCCG of GP PracticeNHS HIGH WEALD LEWES HAVENS CCG (99K)Oxford Knee Score</v>
      </c>
      <c r="C5591" t="s">
        <v>250</v>
      </c>
      <c r="D5591" t="s">
        <v>87</v>
      </c>
      <c r="E5591" t="s">
        <v>513</v>
      </c>
      <c r="F5591" t="s">
        <v>514</v>
      </c>
      <c r="G5591" t="s">
        <v>16</v>
      </c>
      <c r="H5591">
        <v>13</v>
      </c>
      <c r="I5591">
        <v>21.692</v>
      </c>
      <c r="J5591">
        <v>32.768999999999998</v>
      </c>
      <c r="K5591">
        <v>11.077</v>
      </c>
      <c r="L5591">
        <v>12</v>
      </c>
      <c r="M5591">
        <v>0</v>
      </c>
      <c r="N5591">
        <v>1</v>
      </c>
      <c r="O5591" t="s">
        <v>53</v>
      </c>
      <c r="P5591" t="s">
        <v>53</v>
      </c>
      <c r="Q5591" t="s">
        <v>53</v>
      </c>
    </row>
    <row r="5592" spans="1:17" x14ac:dyDescent="0.2">
      <c r="A5592" s="30" t="str">
        <f>IF(C5592&amp;G5592&amp;D5592&lt;&gt;'Funnel setup'!$K$3&amp;'Funnel setup'!$K$4&amp;'Funnel setup'!$K$5,".",IF(A5591=".",1,A5591+1))</f>
        <v>.</v>
      </c>
      <c r="B5592" s="431" t="str">
        <f t="shared" si="87"/>
        <v>Knee Replacement RevisionCCG of GP PracticeNHS HILLINGDON CCG (08G)Oxford Knee Score</v>
      </c>
      <c r="C5592" t="s">
        <v>250</v>
      </c>
      <c r="D5592" t="s">
        <v>87</v>
      </c>
      <c r="E5592" t="s">
        <v>516</v>
      </c>
      <c r="F5592" t="s">
        <v>517</v>
      </c>
      <c r="G5592" t="s">
        <v>16</v>
      </c>
      <c r="H5592" t="s">
        <v>53</v>
      </c>
      <c r="I5592" t="s">
        <v>53</v>
      </c>
      <c r="J5592" t="s">
        <v>53</v>
      </c>
      <c r="K5592" t="s">
        <v>53</v>
      </c>
      <c r="L5592" t="s">
        <v>53</v>
      </c>
      <c r="M5592" t="s">
        <v>53</v>
      </c>
      <c r="N5592" t="s">
        <v>53</v>
      </c>
      <c r="O5592" t="s">
        <v>53</v>
      </c>
      <c r="P5592" t="s">
        <v>53</v>
      </c>
      <c r="Q5592" t="s">
        <v>53</v>
      </c>
    </row>
    <row r="5593" spans="1:17" x14ac:dyDescent="0.2">
      <c r="A5593" s="30" t="str">
        <f>IF(C5593&amp;G5593&amp;D5593&lt;&gt;'Funnel setup'!$K$3&amp;'Funnel setup'!$K$4&amp;'Funnel setup'!$K$5,".",IF(A5592=".",1,A5592+1))</f>
        <v>.</v>
      </c>
      <c r="B5593" s="431" t="str">
        <f t="shared" si="87"/>
        <v>Knee Replacement RevisionCCG of GP PracticeNHS HORSHAM AND MID SUSSEX CCG (09X)Oxford Knee Score</v>
      </c>
      <c r="C5593" t="s">
        <v>250</v>
      </c>
      <c r="D5593" t="s">
        <v>87</v>
      </c>
      <c r="E5593" t="s">
        <v>519</v>
      </c>
      <c r="F5593" t="s">
        <v>520</v>
      </c>
      <c r="G5593" t="s">
        <v>16</v>
      </c>
      <c r="H5593" t="s">
        <v>53</v>
      </c>
      <c r="I5593" t="s">
        <v>53</v>
      </c>
      <c r="J5593" t="s">
        <v>53</v>
      </c>
      <c r="K5593" t="s">
        <v>53</v>
      </c>
      <c r="L5593" t="s">
        <v>53</v>
      </c>
      <c r="M5593" t="s">
        <v>53</v>
      </c>
      <c r="N5593" t="s">
        <v>53</v>
      </c>
      <c r="O5593" t="s">
        <v>53</v>
      </c>
      <c r="P5593" t="s">
        <v>53</v>
      </c>
      <c r="Q5593" t="s">
        <v>53</v>
      </c>
    </row>
    <row r="5594" spans="1:17" x14ac:dyDescent="0.2">
      <c r="A5594" s="30" t="str">
        <f>IF(C5594&amp;G5594&amp;D5594&lt;&gt;'Funnel setup'!$K$3&amp;'Funnel setup'!$K$4&amp;'Funnel setup'!$K$5,".",IF(A5593=".",1,A5593+1))</f>
        <v>.</v>
      </c>
      <c r="B5594" s="431" t="str">
        <f t="shared" si="87"/>
        <v>Knee Replacement RevisionCCG of GP PracticeNHS HOUNSLOW CCG (07Y)Oxford Knee Score</v>
      </c>
      <c r="C5594" t="s">
        <v>250</v>
      </c>
      <c r="D5594" t="s">
        <v>87</v>
      </c>
      <c r="E5594" t="s">
        <v>522</v>
      </c>
      <c r="F5594" t="s">
        <v>523</v>
      </c>
      <c r="G5594" t="s">
        <v>16</v>
      </c>
      <c r="H5594" t="s">
        <v>53</v>
      </c>
      <c r="I5594" t="s">
        <v>53</v>
      </c>
      <c r="J5594" t="s">
        <v>53</v>
      </c>
      <c r="K5594" t="s">
        <v>53</v>
      </c>
      <c r="L5594" t="s">
        <v>53</v>
      </c>
      <c r="M5594" t="s">
        <v>53</v>
      </c>
      <c r="N5594" t="s">
        <v>53</v>
      </c>
      <c r="O5594" t="s">
        <v>53</v>
      </c>
      <c r="P5594" t="s">
        <v>53</v>
      </c>
      <c r="Q5594" t="s">
        <v>53</v>
      </c>
    </row>
    <row r="5595" spans="1:17" x14ac:dyDescent="0.2">
      <c r="A5595" s="30" t="str">
        <f>IF(C5595&amp;G5595&amp;D5595&lt;&gt;'Funnel setup'!$K$3&amp;'Funnel setup'!$K$4&amp;'Funnel setup'!$K$5,".",IF(A5594=".",1,A5594+1))</f>
        <v>.</v>
      </c>
      <c r="B5595" s="431" t="str">
        <f t="shared" si="87"/>
        <v>Knee Replacement RevisionCCG of GP PracticeNHS HULL CCG (03F)Oxford Knee Score</v>
      </c>
      <c r="C5595" t="s">
        <v>250</v>
      </c>
      <c r="D5595" t="s">
        <v>87</v>
      </c>
      <c r="E5595" t="s">
        <v>525</v>
      </c>
      <c r="F5595" t="s">
        <v>526</v>
      </c>
      <c r="G5595" t="s">
        <v>16</v>
      </c>
      <c r="H5595">
        <v>11</v>
      </c>
      <c r="I5595">
        <v>17.727</v>
      </c>
      <c r="J5595">
        <v>27.454999999999998</v>
      </c>
      <c r="K5595">
        <v>9.7270000000000003</v>
      </c>
      <c r="L5595">
        <v>9</v>
      </c>
      <c r="M5595">
        <v>1</v>
      </c>
      <c r="N5595">
        <v>1</v>
      </c>
      <c r="O5595" t="s">
        <v>53</v>
      </c>
      <c r="P5595" t="s">
        <v>53</v>
      </c>
      <c r="Q5595" t="s">
        <v>53</v>
      </c>
    </row>
    <row r="5596" spans="1:17" x14ac:dyDescent="0.2">
      <c r="A5596" s="30" t="str">
        <f>IF(C5596&amp;G5596&amp;D5596&lt;&gt;'Funnel setup'!$K$3&amp;'Funnel setup'!$K$4&amp;'Funnel setup'!$K$5,".",IF(A5595=".",1,A5595+1))</f>
        <v>.</v>
      </c>
      <c r="B5596" s="431" t="str">
        <f t="shared" si="87"/>
        <v>Knee Replacement RevisionCCG of GP PracticeNHS IPSWICH AND EAST SUFFOLK CCG (06L)Oxford Knee Score</v>
      </c>
      <c r="C5596" t="s">
        <v>250</v>
      </c>
      <c r="D5596" t="s">
        <v>87</v>
      </c>
      <c r="E5596" t="s">
        <v>528</v>
      </c>
      <c r="F5596" t="s">
        <v>529</v>
      </c>
      <c r="G5596" t="s">
        <v>16</v>
      </c>
      <c r="H5596" t="s">
        <v>53</v>
      </c>
      <c r="I5596" t="s">
        <v>53</v>
      </c>
      <c r="J5596" t="s">
        <v>53</v>
      </c>
      <c r="K5596" t="s">
        <v>53</v>
      </c>
      <c r="L5596" t="s">
        <v>53</v>
      </c>
      <c r="M5596" t="s">
        <v>53</v>
      </c>
      <c r="N5596" t="s">
        <v>53</v>
      </c>
      <c r="O5596" t="s">
        <v>53</v>
      </c>
      <c r="P5596" t="s">
        <v>53</v>
      </c>
      <c r="Q5596" t="s">
        <v>53</v>
      </c>
    </row>
    <row r="5597" spans="1:17" x14ac:dyDescent="0.2">
      <c r="A5597" s="30" t="str">
        <f>IF(C5597&amp;G5597&amp;D5597&lt;&gt;'Funnel setup'!$K$3&amp;'Funnel setup'!$K$4&amp;'Funnel setup'!$K$5,".",IF(A5596=".",1,A5596+1))</f>
        <v>.</v>
      </c>
      <c r="B5597" s="431" t="str">
        <f t="shared" si="87"/>
        <v>Knee Replacement RevisionCCG of GP PracticeNHS ISLE OF WIGHT CCG (10L)Oxford Knee Score</v>
      </c>
      <c r="C5597" t="s">
        <v>250</v>
      </c>
      <c r="D5597" t="s">
        <v>87</v>
      </c>
      <c r="E5597" t="s">
        <v>531</v>
      </c>
      <c r="F5597" t="s">
        <v>532</v>
      </c>
      <c r="G5597" t="s">
        <v>16</v>
      </c>
      <c r="H5597" t="s">
        <v>53</v>
      </c>
      <c r="I5597" t="s">
        <v>53</v>
      </c>
      <c r="J5597" t="s">
        <v>53</v>
      </c>
      <c r="K5597" t="s">
        <v>53</v>
      </c>
      <c r="L5597" t="s">
        <v>53</v>
      </c>
      <c r="M5597" t="s">
        <v>53</v>
      </c>
      <c r="N5597" t="s">
        <v>53</v>
      </c>
      <c r="O5597" t="s">
        <v>53</v>
      </c>
      <c r="P5597" t="s">
        <v>53</v>
      </c>
      <c r="Q5597" t="s">
        <v>53</v>
      </c>
    </row>
    <row r="5598" spans="1:17" x14ac:dyDescent="0.2">
      <c r="A5598" s="30" t="str">
        <f>IF(C5598&amp;G5598&amp;D5598&lt;&gt;'Funnel setup'!$K$3&amp;'Funnel setup'!$K$4&amp;'Funnel setup'!$K$5,".",IF(A5597=".",1,A5597+1))</f>
        <v>.</v>
      </c>
      <c r="B5598" s="431" t="str">
        <f t="shared" si="87"/>
        <v>Knee Replacement RevisionCCG of GP PracticeNHS ISLINGTON CCG (08H)Oxford Knee Score</v>
      </c>
      <c r="C5598" t="s">
        <v>250</v>
      </c>
      <c r="D5598" t="s">
        <v>87</v>
      </c>
      <c r="E5598" t="s">
        <v>534</v>
      </c>
      <c r="F5598" t="s">
        <v>535</v>
      </c>
      <c r="G5598" t="s">
        <v>16</v>
      </c>
      <c r="H5598" t="s">
        <v>53</v>
      </c>
      <c r="I5598" t="s">
        <v>53</v>
      </c>
      <c r="J5598" t="s">
        <v>53</v>
      </c>
      <c r="K5598" t="s">
        <v>53</v>
      </c>
      <c r="L5598" t="s">
        <v>53</v>
      </c>
      <c r="M5598" t="s">
        <v>53</v>
      </c>
      <c r="N5598" t="s">
        <v>53</v>
      </c>
      <c r="O5598" t="s">
        <v>53</v>
      </c>
      <c r="P5598" t="s">
        <v>53</v>
      </c>
      <c r="Q5598" t="s">
        <v>53</v>
      </c>
    </row>
    <row r="5599" spans="1:17" x14ac:dyDescent="0.2">
      <c r="A5599" s="30" t="str">
        <f>IF(C5599&amp;G5599&amp;D5599&lt;&gt;'Funnel setup'!$K$3&amp;'Funnel setup'!$K$4&amp;'Funnel setup'!$K$5,".",IF(A5598=".",1,A5598+1))</f>
        <v>.</v>
      </c>
      <c r="B5599" s="431" t="str">
        <f t="shared" si="87"/>
        <v>Knee Replacement RevisionCCG of GP PracticeNHS KERNOW CCG (11N)Oxford Knee Score</v>
      </c>
      <c r="C5599" t="s">
        <v>250</v>
      </c>
      <c r="D5599" t="s">
        <v>87</v>
      </c>
      <c r="E5599" t="s">
        <v>537</v>
      </c>
      <c r="F5599" t="s">
        <v>538</v>
      </c>
      <c r="G5599" t="s">
        <v>16</v>
      </c>
      <c r="H5599">
        <v>37</v>
      </c>
      <c r="I5599">
        <v>18.675999999999998</v>
      </c>
      <c r="J5599">
        <v>32.350999999999999</v>
      </c>
      <c r="K5599">
        <v>13.676</v>
      </c>
      <c r="L5599">
        <v>34</v>
      </c>
      <c r="M5599">
        <v>1</v>
      </c>
      <c r="N5599">
        <v>2</v>
      </c>
      <c r="O5599">
        <v>31.457999999999998</v>
      </c>
      <c r="P5599">
        <v>14.95226164</v>
      </c>
      <c r="Q5599">
        <v>8.1329999999999991</v>
      </c>
    </row>
    <row r="5600" spans="1:17" x14ac:dyDescent="0.2">
      <c r="A5600" s="30" t="str">
        <f>IF(C5600&amp;G5600&amp;D5600&lt;&gt;'Funnel setup'!$K$3&amp;'Funnel setup'!$K$4&amp;'Funnel setup'!$K$5,".",IF(A5599=".",1,A5599+1))</f>
        <v>.</v>
      </c>
      <c r="B5600" s="431" t="str">
        <f t="shared" si="87"/>
        <v>Knee Replacement RevisionCCG of GP PracticeNHS KINGSTON CCG (08J)Oxford Knee Score</v>
      </c>
      <c r="C5600" t="s">
        <v>250</v>
      </c>
      <c r="D5600" t="s">
        <v>87</v>
      </c>
      <c r="E5600" t="s">
        <v>540</v>
      </c>
      <c r="F5600" t="s">
        <v>541</v>
      </c>
      <c r="G5600" t="s">
        <v>16</v>
      </c>
      <c r="H5600" t="s">
        <v>53</v>
      </c>
      <c r="I5600" t="s">
        <v>53</v>
      </c>
      <c r="J5600" t="s">
        <v>53</v>
      </c>
      <c r="K5600" t="s">
        <v>53</v>
      </c>
      <c r="L5600" t="s">
        <v>53</v>
      </c>
      <c r="M5600" t="s">
        <v>53</v>
      </c>
      <c r="N5600" t="s">
        <v>53</v>
      </c>
      <c r="O5600" t="s">
        <v>53</v>
      </c>
      <c r="P5600" t="s">
        <v>53</v>
      </c>
      <c r="Q5600" t="s">
        <v>53</v>
      </c>
    </row>
    <row r="5601" spans="1:17" x14ac:dyDescent="0.2">
      <c r="A5601" s="30" t="str">
        <f>IF(C5601&amp;G5601&amp;D5601&lt;&gt;'Funnel setup'!$K$3&amp;'Funnel setup'!$K$4&amp;'Funnel setup'!$K$5,".",IF(A5600=".",1,A5600+1))</f>
        <v>.</v>
      </c>
      <c r="B5601" s="431" t="str">
        <f t="shared" si="87"/>
        <v>Knee Replacement RevisionCCG of GP PracticeNHS KNOWSLEY CCG (01J)Oxford Knee Score</v>
      </c>
      <c r="C5601" t="s">
        <v>250</v>
      </c>
      <c r="D5601" t="s">
        <v>87</v>
      </c>
      <c r="E5601" t="s">
        <v>543</v>
      </c>
      <c r="F5601" t="s">
        <v>544</v>
      </c>
      <c r="G5601" t="s">
        <v>16</v>
      </c>
      <c r="H5601" t="s">
        <v>53</v>
      </c>
      <c r="I5601" t="s">
        <v>53</v>
      </c>
      <c r="J5601" t="s">
        <v>53</v>
      </c>
      <c r="K5601" t="s">
        <v>53</v>
      </c>
      <c r="L5601" t="s">
        <v>53</v>
      </c>
      <c r="M5601" t="s">
        <v>53</v>
      </c>
      <c r="N5601" t="s">
        <v>53</v>
      </c>
      <c r="O5601" t="s">
        <v>53</v>
      </c>
      <c r="P5601" t="s">
        <v>53</v>
      </c>
      <c r="Q5601" t="s">
        <v>53</v>
      </c>
    </row>
    <row r="5602" spans="1:17" x14ac:dyDescent="0.2">
      <c r="A5602" s="30" t="str">
        <f>IF(C5602&amp;G5602&amp;D5602&lt;&gt;'Funnel setup'!$K$3&amp;'Funnel setup'!$K$4&amp;'Funnel setup'!$K$5,".",IF(A5601=".",1,A5601+1))</f>
        <v>.</v>
      </c>
      <c r="B5602" s="431" t="str">
        <f t="shared" si="87"/>
        <v>Knee Replacement RevisionCCG of GP PracticeNHS LAMBETH CCG (08K)Oxford Knee Score</v>
      </c>
      <c r="C5602" t="s">
        <v>250</v>
      </c>
      <c r="D5602" t="s">
        <v>87</v>
      </c>
      <c r="E5602" t="s">
        <v>546</v>
      </c>
      <c r="F5602" t="s">
        <v>547</v>
      </c>
      <c r="G5602" t="s">
        <v>16</v>
      </c>
      <c r="H5602" t="s">
        <v>53</v>
      </c>
      <c r="I5602" t="s">
        <v>53</v>
      </c>
      <c r="J5602" t="s">
        <v>53</v>
      </c>
      <c r="K5602" t="s">
        <v>53</v>
      </c>
      <c r="L5602" t="s">
        <v>53</v>
      </c>
      <c r="M5602" t="s">
        <v>53</v>
      </c>
      <c r="N5602" t="s">
        <v>53</v>
      </c>
      <c r="O5602" t="s">
        <v>53</v>
      </c>
      <c r="P5602" t="s">
        <v>53</v>
      </c>
      <c r="Q5602" t="s">
        <v>53</v>
      </c>
    </row>
    <row r="5603" spans="1:17" x14ac:dyDescent="0.2">
      <c r="A5603" s="30" t="str">
        <f>IF(C5603&amp;G5603&amp;D5603&lt;&gt;'Funnel setup'!$K$3&amp;'Funnel setup'!$K$4&amp;'Funnel setup'!$K$5,".",IF(A5602=".",1,A5602+1))</f>
        <v>.</v>
      </c>
      <c r="B5603" s="431" t="str">
        <f t="shared" si="87"/>
        <v>Knee Replacement RevisionCCG of GP PracticeNHS LANCASHIRE NORTH CCG (01K)Oxford Knee Score</v>
      </c>
      <c r="C5603" t="s">
        <v>250</v>
      </c>
      <c r="D5603" t="s">
        <v>87</v>
      </c>
      <c r="E5603" t="s">
        <v>549</v>
      </c>
      <c r="F5603" t="s">
        <v>550</v>
      </c>
      <c r="G5603" t="s">
        <v>16</v>
      </c>
      <c r="H5603" t="s">
        <v>53</v>
      </c>
      <c r="I5603" t="s">
        <v>53</v>
      </c>
      <c r="J5603" t="s">
        <v>53</v>
      </c>
      <c r="K5603" t="s">
        <v>53</v>
      </c>
      <c r="L5603" t="s">
        <v>53</v>
      </c>
      <c r="M5603" t="s">
        <v>53</v>
      </c>
      <c r="N5603" t="s">
        <v>53</v>
      </c>
      <c r="O5603" t="s">
        <v>53</v>
      </c>
      <c r="P5603" t="s">
        <v>53</v>
      </c>
      <c r="Q5603" t="s">
        <v>53</v>
      </c>
    </row>
    <row r="5604" spans="1:17" x14ac:dyDescent="0.2">
      <c r="A5604" s="30" t="str">
        <f>IF(C5604&amp;G5604&amp;D5604&lt;&gt;'Funnel setup'!$K$3&amp;'Funnel setup'!$K$4&amp;'Funnel setup'!$K$5,".",IF(A5603=".",1,A5603+1))</f>
        <v>.</v>
      </c>
      <c r="B5604" s="431" t="str">
        <f t="shared" si="87"/>
        <v>Knee Replacement RevisionCCG of GP PracticeNHS LEEDS NORTH CCG (02V)Oxford Knee Score</v>
      </c>
      <c r="C5604" t="s">
        <v>250</v>
      </c>
      <c r="D5604" t="s">
        <v>87</v>
      </c>
      <c r="E5604" t="s">
        <v>552</v>
      </c>
      <c r="F5604" t="s">
        <v>337</v>
      </c>
      <c r="G5604" t="s">
        <v>16</v>
      </c>
      <c r="H5604">
        <v>6</v>
      </c>
      <c r="I5604">
        <v>20</v>
      </c>
      <c r="J5604">
        <v>39.667000000000002</v>
      </c>
      <c r="K5604">
        <v>19.667000000000002</v>
      </c>
      <c r="L5604">
        <v>6</v>
      </c>
      <c r="M5604">
        <v>0</v>
      </c>
      <c r="N5604">
        <v>0</v>
      </c>
      <c r="O5604" t="s">
        <v>53</v>
      </c>
      <c r="P5604" t="s">
        <v>53</v>
      </c>
      <c r="Q5604" t="s">
        <v>53</v>
      </c>
    </row>
    <row r="5605" spans="1:17" x14ac:dyDescent="0.2">
      <c r="A5605" s="30" t="str">
        <f>IF(C5605&amp;G5605&amp;D5605&lt;&gt;'Funnel setup'!$K$3&amp;'Funnel setup'!$K$4&amp;'Funnel setup'!$K$5,".",IF(A5604=".",1,A5604+1))</f>
        <v>.</v>
      </c>
      <c r="B5605" s="431" t="str">
        <f t="shared" si="87"/>
        <v>Knee Replacement RevisionCCG of GP PracticeNHS LEEDS SOUTH AND EAST CCG (03G)Oxford Knee Score</v>
      </c>
      <c r="C5605" t="s">
        <v>250</v>
      </c>
      <c r="D5605" t="s">
        <v>87</v>
      </c>
      <c r="E5605" t="s">
        <v>396</v>
      </c>
      <c r="F5605" t="s">
        <v>397</v>
      </c>
      <c r="G5605" t="s">
        <v>16</v>
      </c>
      <c r="H5605" t="s">
        <v>53</v>
      </c>
      <c r="I5605" t="s">
        <v>53</v>
      </c>
      <c r="J5605" t="s">
        <v>53</v>
      </c>
      <c r="K5605" t="s">
        <v>53</v>
      </c>
      <c r="L5605" t="s">
        <v>53</v>
      </c>
      <c r="M5605" t="s">
        <v>53</v>
      </c>
      <c r="N5605" t="s">
        <v>53</v>
      </c>
      <c r="O5605" t="s">
        <v>53</v>
      </c>
      <c r="P5605" t="s">
        <v>53</v>
      </c>
      <c r="Q5605" t="s">
        <v>53</v>
      </c>
    </row>
    <row r="5606" spans="1:17" x14ac:dyDescent="0.2">
      <c r="A5606" s="30" t="str">
        <f>IF(C5606&amp;G5606&amp;D5606&lt;&gt;'Funnel setup'!$K$3&amp;'Funnel setup'!$K$4&amp;'Funnel setup'!$K$5,".",IF(A5605=".",1,A5605+1))</f>
        <v>.</v>
      </c>
      <c r="B5606" s="431" t="str">
        <f t="shared" si="87"/>
        <v>Knee Replacement RevisionCCG of GP PracticeNHS LEEDS WEST CCG (03C)Oxford Knee Score</v>
      </c>
      <c r="C5606" t="s">
        <v>250</v>
      </c>
      <c r="D5606" t="s">
        <v>87</v>
      </c>
      <c r="E5606" t="s">
        <v>399</v>
      </c>
      <c r="F5606" t="s">
        <v>400</v>
      </c>
      <c r="G5606" t="s">
        <v>16</v>
      </c>
      <c r="H5606">
        <v>12</v>
      </c>
      <c r="I5606">
        <v>16.417000000000002</v>
      </c>
      <c r="J5606">
        <v>30.5</v>
      </c>
      <c r="K5606">
        <v>14.083</v>
      </c>
      <c r="L5606">
        <v>10</v>
      </c>
      <c r="M5606">
        <v>0</v>
      </c>
      <c r="N5606">
        <v>2</v>
      </c>
      <c r="O5606" t="s">
        <v>53</v>
      </c>
      <c r="P5606" t="s">
        <v>53</v>
      </c>
      <c r="Q5606" t="s">
        <v>53</v>
      </c>
    </row>
    <row r="5607" spans="1:17" x14ac:dyDescent="0.2">
      <c r="A5607" s="30" t="str">
        <f>IF(C5607&amp;G5607&amp;D5607&lt;&gt;'Funnel setup'!$K$3&amp;'Funnel setup'!$K$4&amp;'Funnel setup'!$K$5,".",IF(A5606=".",1,A5606+1))</f>
        <v>.</v>
      </c>
      <c r="B5607" s="431" t="str">
        <f t="shared" si="87"/>
        <v>Knee Replacement RevisionCCG of GP PracticeNHS LEICESTER CITY CCG (04C)Oxford Knee Score</v>
      </c>
      <c r="C5607" t="s">
        <v>250</v>
      </c>
      <c r="D5607" t="s">
        <v>87</v>
      </c>
      <c r="E5607" t="s">
        <v>554</v>
      </c>
      <c r="F5607" t="s">
        <v>555</v>
      </c>
      <c r="G5607" t="s">
        <v>16</v>
      </c>
      <c r="H5607">
        <v>9</v>
      </c>
      <c r="I5607">
        <v>15.555999999999999</v>
      </c>
      <c r="J5607">
        <v>29.667000000000002</v>
      </c>
      <c r="K5607">
        <v>14.111000000000001</v>
      </c>
      <c r="L5607">
        <v>9</v>
      </c>
      <c r="M5607">
        <v>0</v>
      </c>
      <c r="N5607">
        <v>0</v>
      </c>
      <c r="O5607" t="s">
        <v>53</v>
      </c>
      <c r="P5607" t="s">
        <v>53</v>
      </c>
      <c r="Q5607" t="s">
        <v>53</v>
      </c>
    </row>
    <row r="5608" spans="1:17" x14ac:dyDescent="0.2">
      <c r="A5608" s="30" t="str">
        <f>IF(C5608&amp;G5608&amp;D5608&lt;&gt;'Funnel setup'!$K$3&amp;'Funnel setup'!$K$4&amp;'Funnel setup'!$K$5,".",IF(A5607=".",1,A5607+1))</f>
        <v>.</v>
      </c>
      <c r="B5608" s="431" t="str">
        <f t="shared" si="87"/>
        <v>Knee Replacement RevisionCCG of GP PracticeNHS LEWISHAM CCG (08L)Oxford Knee Score</v>
      </c>
      <c r="C5608" t="s">
        <v>250</v>
      </c>
      <c r="D5608" t="s">
        <v>87</v>
      </c>
      <c r="E5608" t="s">
        <v>557</v>
      </c>
      <c r="F5608" t="s">
        <v>558</v>
      </c>
      <c r="G5608" t="s">
        <v>16</v>
      </c>
      <c r="H5608" t="s">
        <v>53</v>
      </c>
      <c r="I5608" t="s">
        <v>53</v>
      </c>
      <c r="J5608" t="s">
        <v>53</v>
      </c>
      <c r="K5608" t="s">
        <v>53</v>
      </c>
      <c r="L5608" t="s">
        <v>53</v>
      </c>
      <c r="M5608" t="s">
        <v>53</v>
      </c>
      <c r="N5608" t="s">
        <v>53</v>
      </c>
      <c r="O5608" t="s">
        <v>53</v>
      </c>
      <c r="P5608" t="s">
        <v>53</v>
      </c>
      <c r="Q5608" t="s">
        <v>53</v>
      </c>
    </row>
    <row r="5609" spans="1:17" x14ac:dyDescent="0.2">
      <c r="A5609" s="30" t="str">
        <f>IF(C5609&amp;G5609&amp;D5609&lt;&gt;'Funnel setup'!$K$3&amp;'Funnel setup'!$K$4&amp;'Funnel setup'!$K$5,".",IF(A5608=".",1,A5608+1))</f>
        <v>.</v>
      </c>
      <c r="B5609" s="431" t="str">
        <f t="shared" si="87"/>
        <v>Knee Replacement RevisionCCG of GP PracticeNHS LINCOLNSHIRE EAST CCG (03T)Oxford Knee Score</v>
      </c>
      <c r="C5609" t="s">
        <v>250</v>
      </c>
      <c r="D5609" t="s">
        <v>87</v>
      </c>
      <c r="E5609" t="s">
        <v>560</v>
      </c>
      <c r="F5609" t="s">
        <v>561</v>
      </c>
      <c r="G5609" t="s">
        <v>16</v>
      </c>
      <c r="H5609" t="s">
        <v>53</v>
      </c>
      <c r="I5609" t="s">
        <v>53</v>
      </c>
      <c r="J5609" t="s">
        <v>53</v>
      </c>
      <c r="K5609" t="s">
        <v>53</v>
      </c>
      <c r="L5609" t="s">
        <v>53</v>
      </c>
      <c r="M5609" t="s">
        <v>53</v>
      </c>
      <c r="N5609" t="s">
        <v>53</v>
      </c>
      <c r="O5609" t="s">
        <v>53</v>
      </c>
      <c r="P5609" t="s">
        <v>53</v>
      </c>
      <c r="Q5609" t="s">
        <v>53</v>
      </c>
    </row>
    <row r="5610" spans="1:17" x14ac:dyDescent="0.2">
      <c r="A5610" s="30" t="str">
        <f>IF(C5610&amp;G5610&amp;D5610&lt;&gt;'Funnel setup'!$K$3&amp;'Funnel setup'!$K$4&amp;'Funnel setup'!$K$5,".",IF(A5609=".",1,A5609+1))</f>
        <v>.</v>
      </c>
      <c r="B5610" s="431" t="str">
        <f t="shared" si="87"/>
        <v>Knee Replacement RevisionCCG of GP PracticeNHS LINCOLNSHIRE WEST CCG (04D)Oxford Knee Score</v>
      </c>
      <c r="C5610" t="s">
        <v>250</v>
      </c>
      <c r="D5610" t="s">
        <v>87</v>
      </c>
      <c r="E5610" t="s">
        <v>408</v>
      </c>
      <c r="F5610" t="s">
        <v>409</v>
      </c>
      <c r="G5610" t="s">
        <v>16</v>
      </c>
      <c r="H5610">
        <v>14</v>
      </c>
      <c r="I5610">
        <v>14.5</v>
      </c>
      <c r="J5610">
        <v>26.071000000000002</v>
      </c>
      <c r="K5610">
        <v>11.571</v>
      </c>
      <c r="L5610">
        <v>12</v>
      </c>
      <c r="M5610">
        <v>0</v>
      </c>
      <c r="N5610">
        <v>2</v>
      </c>
      <c r="O5610" t="s">
        <v>53</v>
      </c>
      <c r="P5610" t="s">
        <v>53</v>
      </c>
      <c r="Q5610" t="s">
        <v>53</v>
      </c>
    </row>
    <row r="5611" spans="1:17" x14ac:dyDescent="0.2">
      <c r="A5611" s="30" t="str">
        <f>IF(C5611&amp;G5611&amp;D5611&lt;&gt;'Funnel setup'!$K$3&amp;'Funnel setup'!$K$4&amp;'Funnel setup'!$K$5,".",IF(A5610=".",1,A5610+1))</f>
        <v>.</v>
      </c>
      <c r="B5611" s="431" t="str">
        <f t="shared" si="87"/>
        <v>Knee Replacement RevisionCCG of GP PracticeNHS LIVERPOOL CCG (99A)Oxford Knee Score</v>
      </c>
      <c r="C5611" t="s">
        <v>250</v>
      </c>
      <c r="D5611" t="s">
        <v>87</v>
      </c>
      <c r="E5611" t="s">
        <v>411</v>
      </c>
      <c r="F5611" t="s">
        <v>412</v>
      </c>
      <c r="G5611" t="s">
        <v>16</v>
      </c>
      <c r="H5611">
        <v>6</v>
      </c>
      <c r="I5611">
        <v>13.333</v>
      </c>
      <c r="J5611">
        <v>26</v>
      </c>
      <c r="K5611">
        <v>12.667</v>
      </c>
      <c r="L5611">
        <v>5</v>
      </c>
      <c r="M5611">
        <v>0</v>
      </c>
      <c r="N5611">
        <v>1</v>
      </c>
      <c r="O5611" t="s">
        <v>53</v>
      </c>
      <c r="P5611" t="s">
        <v>53</v>
      </c>
      <c r="Q5611" t="s">
        <v>53</v>
      </c>
    </row>
    <row r="5612" spans="1:17" x14ac:dyDescent="0.2">
      <c r="A5612" s="30" t="str">
        <f>IF(C5612&amp;G5612&amp;D5612&lt;&gt;'Funnel setup'!$K$3&amp;'Funnel setup'!$K$4&amp;'Funnel setup'!$K$5,".",IF(A5611=".",1,A5611+1))</f>
        <v>.</v>
      </c>
      <c r="B5612" s="431" t="str">
        <f t="shared" si="87"/>
        <v>Knee Replacement RevisionCCG of GP PracticeNHS LUTON CCG (06P)Oxford Knee Score</v>
      </c>
      <c r="C5612" t="s">
        <v>250</v>
      </c>
      <c r="D5612" t="s">
        <v>87</v>
      </c>
      <c r="E5612" t="s">
        <v>414</v>
      </c>
      <c r="F5612" t="s">
        <v>415</v>
      </c>
      <c r="G5612" t="s">
        <v>16</v>
      </c>
      <c r="H5612" t="s">
        <v>53</v>
      </c>
      <c r="I5612" t="s">
        <v>53</v>
      </c>
      <c r="J5612" t="s">
        <v>53</v>
      </c>
      <c r="K5612" t="s">
        <v>53</v>
      </c>
      <c r="L5612" t="s">
        <v>53</v>
      </c>
      <c r="M5612" t="s">
        <v>53</v>
      </c>
      <c r="N5612" t="s">
        <v>53</v>
      </c>
      <c r="O5612" t="s">
        <v>53</v>
      </c>
      <c r="P5612" t="s">
        <v>53</v>
      </c>
      <c r="Q5612" t="s">
        <v>53</v>
      </c>
    </row>
    <row r="5613" spans="1:17" x14ac:dyDescent="0.2">
      <c r="A5613" s="30" t="str">
        <f>IF(C5613&amp;G5613&amp;D5613&lt;&gt;'Funnel setup'!$K$3&amp;'Funnel setup'!$K$4&amp;'Funnel setup'!$K$5,".",IF(A5612=".",1,A5612+1))</f>
        <v>.</v>
      </c>
      <c r="B5613" s="431" t="str">
        <f t="shared" si="87"/>
        <v>Knee Replacement RevisionCCG of GP PracticeNHS MANSFIELD AND ASHFIELD CCG (04E)Oxford Knee Score</v>
      </c>
      <c r="C5613" t="s">
        <v>250</v>
      </c>
      <c r="D5613" t="s">
        <v>87</v>
      </c>
      <c r="E5613" t="s">
        <v>417</v>
      </c>
      <c r="F5613" t="s">
        <v>418</v>
      </c>
      <c r="G5613" t="s">
        <v>16</v>
      </c>
      <c r="H5613">
        <v>12</v>
      </c>
      <c r="I5613">
        <v>11.333</v>
      </c>
      <c r="J5613">
        <v>27.75</v>
      </c>
      <c r="K5613">
        <v>16.417000000000002</v>
      </c>
      <c r="L5613">
        <v>12</v>
      </c>
      <c r="M5613">
        <v>0</v>
      </c>
      <c r="N5613">
        <v>0</v>
      </c>
      <c r="O5613" t="s">
        <v>53</v>
      </c>
      <c r="P5613" t="s">
        <v>53</v>
      </c>
      <c r="Q5613" t="s">
        <v>53</v>
      </c>
    </row>
    <row r="5614" spans="1:17" x14ac:dyDescent="0.2">
      <c r="A5614" s="30" t="str">
        <f>IF(C5614&amp;G5614&amp;D5614&lt;&gt;'Funnel setup'!$K$3&amp;'Funnel setup'!$K$4&amp;'Funnel setup'!$K$5,".",IF(A5613=".",1,A5613+1))</f>
        <v>.</v>
      </c>
      <c r="B5614" s="431" t="str">
        <f t="shared" si="87"/>
        <v>Knee Replacement RevisionCCG of GP PracticeNHS MEDWAY CCG (09W)Oxford Knee Score</v>
      </c>
      <c r="C5614" t="s">
        <v>250</v>
      </c>
      <c r="D5614" t="s">
        <v>87</v>
      </c>
      <c r="E5614" t="s">
        <v>610</v>
      </c>
      <c r="F5614" t="s">
        <v>611</v>
      </c>
      <c r="G5614" t="s">
        <v>16</v>
      </c>
      <c r="H5614" t="s">
        <v>53</v>
      </c>
      <c r="I5614" t="s">
        <v>53</v>
      </c>
      <c r="J5614" t="s">
        <v>53</v>
      </c>
      <c r="K5614" t="s">
        <v>53</v>
      </c>
      <c r="L5614" t="s">
        <v>53</v>
      </c>
      <c r="M5614" t="s">
        <v>53</v>
      </c>
      <c r="N5614" t="s">
        <v>53</v>
      </c>
      <c r="O5614" t="s">
        <v>53</v>
      </c>
      <c r="P5614" t="s">
        <v>53</v>
      </c>
      <c r="Q5614" t="s">
        <v>53</v>
      </c>
    </row>
    <row r="5615" spans="1:17" x14ac:dyDescent="0.2">
      <c r="A5615" s="30" t="str">
        <f>IF(C5615&amp;G5615&amp;D5615&lt;&gt;'Funnel setup'!$K$3&amp;'Funnel setup'!$K$4&amp;'Funnel setup'!$K$5,".",IF(A5614=".",1,A5614+1))</f>
        <v>.</v>
      </c>
      <c r="B5615" s="431" t="str">
        <f t="shared" si="87"/>
        <v>Knee Replacement RevisionCCG of GP PracticeNHS MERTON CCG (08R)Oxford Knee Score</v>
      </c>
      <c r="C5615" t="s">
        <v>250</v>
      </c>
      <c r="D5615" t="s">
        <v>87</v>
      </c>
      <c r="E5615" t="s">
        <v>613</v>
      </c>
      <c r="F5615" t="s">
        <v>614</v>
      </c>
      <c r="G5615" t="s">
        <v>16</v>
      </c>
      <c r="H5615" t="s">
        <v>53</v>
      </c>
      <c r="I5615" t="s">
        <v>53</v>
      </c>
      <c r="J5615" t="s">
        <v>53</v>
      </c>
      <c r="K5615" t="s">
        <v>53</v>
      </c>
      <c r="L5615" t="s">
        <v>53</v>
      </c>
      <c r="M5615" t="s">
        <v>53</v>
      </c>
      <c r="N5615" t="s">
        <v>53</v>
      </c>
      <c r="O5615" t="s">
        <v>53</v>
      </c>
      <c r="P5615" t="s">
        <v>53</v>
      </c>
      <c r="Q5615" t="s">
        <v>53</v>
      </c>
    </row>
    <row r="5616" spans="1:17" x14ac:dyDescent="0.2">
      <c r="A5616" s="30" t="str">
        <f>IF(C5616&amp;G5616&amp;D5616&lt;&gt;'Funnel setup'!$K$3&amp;'Funnel setup'!$K$4&amp;'Funnel setup'!$K$5,".",IF(A5615=".",1,A5615+1))</f>
        <v>.</v>
      </c>
      <c r="B5616" s="431" t="str">
        <f t="shared" si="87"/>
        <v>Knee Replacement RevisionCCG of GP PracticeNHS MID ESSEX CCG (06Q)Oxford Knee Score</v>
      </c>
      <c r="C5616" t="s">
        <v>250</v>
      </c>
      <c r="D5616" t="s">
        <v>87</v>
      </c>
      <c r="E5616" t="s">
        <v>616</v>
      </c>
      <c r="F5616" t="s">
        <v>617</v>
      </c>
      <c r="G5616" t="s">
        <v>16</v>
      </c>
      <c r="H5616">
        <v>9</v>
      </c>
      <c r="I5616">
        <v>13.111000000000001</v>
      </c>
      <c r="J5616">
        <v>18.777999999999999</v>
      </c>
      <c r="K5616">
        <v>5.6669999999999998</v>
      </c>
      <c r="L5616">
        <v>5</v>
      </c>
      <c r="M5616">
        <v>0</v>
      </c>
      <c r="N5616">
        <v>4</v>
      </c>
      <c r="O5616" t="s">
        <v>53</v>
      </c>
      <c r="P5616" t="s">
        <v>53</v>
      </c>
      <c r="Q5616" t="s">
        <v>53</v>
      </c>
    </row>
    <row r="5617" spans="1:17" x14ac:dyDescent="0.2">
      <c r="A5617" s="30" t="str">
        <f>IF(C5617&amp;G5617&amp;D5617&lt;&gt;'Funnel setup'!$K$3&amp;'Funnel setup'!$K$4&amp;'Funnel setup'!$K$5,".",IF(A5616=".",1,A5616+1))</f>
        <v>.</v>
      </c>
      <c r="B5617" s="431" t="str">
        <f t="shared" si="87"/>
        <v>Knee Replacement RevisionCCG of GP PracticeNHS MILTON KEYNES CCG (04F)Oxford Knee Score</v>
      </c>
      <c r="C5617" t="s">
        <v>250</v>
      </c>
      <c r="D5617" t="s">
        <v>87</v>
      </c>
      <c r="E5617" t="s">
        <v>619</v>
      </c>
      <c r="F5617" t="s">
        <v>338</v>
      </c>
      <c r="G5617" t="s">
        <v>16</v>
      </c>
      <c r="H5617">
        <v>12</v>
      </c>
      <c r="I5617">
        <v>12</v>
      </c>
      <c r="J5617">
        <v>27</v>
      </c>
      <c r="K5617">
        <v>15</v>
      </c>
      <c r="L5617">
        <v>11</v>
      </c>
      <c r="M5617">
        <v>1</v>
      </c>
      <c r="N5617">
        <v>0</v>
      </c>
      <c r="O5617" t="s">
        <v>53</v>
      </c>
      <c r="P5617" t="s">
        <v>53</v>
      </c>
      <c r="Q5617" t="s">
        <v>53</v>
      </c>
    </row>
    <row r="5618" spans="1:17" x14ac:dyDescent="0.2">
      <c r="A5618" s="30" t="str">
        <f>IF(C5618&amp;G5618&amp;D5618&lt;&gt;'Funnel setup'!$K$3&amp;'Funnel setup'!$K$4&amp;'Funnel setup'!$K$5,".",IF(A5617=".",1,A5617+1))</f>
        <v>.</v>
      </c>
      <c r="B5618" s="431" t="str">
        <f t="shared" si="87"/>
        <v>Knee Replacement RevisionCCG of GP PracticeNHS NENE CCG (04G)Oxford Knee Score</v>
      </c>
      <c r="C5618" t="s">
        <v>250</v>
      </c>
      <c r="D5618" t="s">
        <v>87</v>
      </c>
      <c r="E5618" t="s">
        <v>621</v>
      </c>
      <c r="F5618" t="s">
        <v>622</v>
      </c>
      <c r="G5618" t="s">
        <v>16</v>
      </c>
      <c r="H5618">
        <v>28</v>
      </c>
      <c r="I5618">
        <v>15.321</v>
      </c>
      <c r="J5618">
        <v>33.25</v>
      </c>
      <c r="K5618">
        <v>17.928999999999998</v>
      </c>
      <c r="L5618">
        <v>27</v>
      </c>
      <c r="M5618">
        <v>0</v>
      </c>
      <c r="N5618">
        <v>1</v>
      </c>
      <c r="O5618" t="s">
        <v>53</v>
      </c>
      <c r="P5618" t="s">
        <v>53</v>
      </c>
      <c r="Q5618" t="s">
        <v>53</v>
      </c>
    </row>
    <row r="5619" spans="1:17" x14ac:dyDescent="0.2">
      <c r="A5619" s="30" t="str">
        <f>IF(C5619&amp;G5619&amp;D5619&lt;&gt;'Funnel setup'!$K$3&amp;'Funnel setup'!$K$4&amp;'Funnel setup'!$K$5,".",IF(A5618=".",1,A5618+1))</f>
        <v>.</v>
      </c>
      <c r="B5619" s="431" t="str">
        <f t="shared" si="87"/>
        <v>Knee Replacement RevisionCCG of GP PracticeNHS NEWARK &amp; SHERWOOD CCG (04H)Oxford Knee Score</v>
      </c>
      <c r="C5619" t="s">
        <v>250</v>
      </c>
      <c r="D5619" t="s">
        <v>87</v>
      </c>
      <c r="E5619" t="s">
        <v>624</v>
      </c>
      <c r="F5619" t="s">
        <v>625</v>
      </c>
      <c r="G5619" t="s">
        <v>16</v>
      </c>
      <c r="H5619" t="s">
        <v>53</v>
      </c>
      <c r="I5619" t="s">
        <v>53</v>
      </c>
      <c r="J5619" t="s">
        <v>53</v>
      </c>
      <c r="K5619" t="s">
        <v>53</v>
      </c>
      <c r="L5619" t="s">
        <v>53</v>
      </c>
      <c r="M5619" t="s">
        <v>53</v>
      </c>
      <c r="N5619" t="s">
        <v>53</v>
      </c>
      <c r="O5619" t="s">
        <v>53</v>
      </c>
      <c r="P5619" t="s">
        <v>53</v>
      </c>
      <c r="Q5619" t="s">
        <v>53</v>
      </c>
    </row>
    <row r="5620" spans="1:17" x14ac:dyDescent="0.2">
      <c r="A5620" s="30" t="str">
        <f>IF(C5620&amp;G5620&amp;D5620&lt;&gt;'Funnel setup'!$K$3&amp;'Funnel setup'!$K$4&amp;'Funnel setup'!$K$5,".",IF(A5619=".",1,A5619+1))</f>
        <v>.</v>
      </c>
      <c r="B5620" s="431" t="str">
        <f t="shared" si="87"/>
        <v>Knee Replacement RevisionCCG of GP PracticeNHS NEWBURY AND DISTRICT CCG (10M)Oxford Knee Score</v>
      </c>
      <c r="C5620" t="s">
        <v>250</v>
      </c>
      <c r="D5620" t="s">
        <v>87</v>
      </c>
      <c r="E5620" t="s">
        <v>627</v>
      </c>
      <c r="F5620" t="s">
        <v>628</v>
      </c>
      <c r="G5620" t="s">
        <v>16</v>
      </c>
      <c r="H5620" t="s">
        <v>53</v>
      </c>
      <c r="I5620" t="s">
        <v>53</v>
      </c>
      <c r="J5620" t="s">
        <v>53</v>
      </c>
      <c r="K5620" t="s">
        <v>53</v>
      </c>
      <c r="L5620" t="s">
        <v>53</v>
      </c>
      <c r="M5620" t="s">
        <v>53</v>
      </c>
      <c r="N5620" t="s">
        <v>53</v>
      </c>
      <c r="O5620" t="s">
        <v>53</v>
      </c>
      <c r="P5620" t="s">
        <v>53</v>
      </c>
      <c r="Q5620" t="s">
        <v>53</v>
      </c>
    </row>
    <row r="5621" spans="1:17" x14ac:dyDescent="0.2">
      <c r="A5621" s="30" t="str">
        <f>IF(C5621&amp;G5621&amp;D5621&lt;&gt;'Funnel setup'!$K$3&amp;'Funnel setup'!$K$4&amp;'Funnel setup'!$K$5,".",IF(A5620=".",1,A5620+1))</f>
        <v>.</v>
      </c>
      <c r="B5621" s="431" t="str">
        <f t="shared" si="87"/>
        <v>Knee Replacement RevisionCCG of GP PracticeNHS NEWCASTLE GATESHEAD CCG (13T)Oxford Knee Score</v>
      </c>
      <c r="C5621" t="s">
        <v>250</v>
      </c>
      <c r="D5621" t="s">
        <v>87</v>
      </c>
      <c r="E5621" t="s">
        <v>6553</v>
      </c>
      <c r="F5621" t="s">
        <v>6543</v>
      </c>
      <c r="G5621" t="s">
        <v>16</v>
      </c>
      <c r="H5621">
        <v>20</v>
      </c>
      <c r="I5621">
        <v>15.95</v>
      </c>
      <c r="J5621">
        <v>27.3</v>
      </c>
      <c r="K5621">
        <v>11.35</v>
      </c>
      <c r="L5621">
        <v>15</v>
      </c>
      <c r="M5621">
        <v>1</v>
      </c>
      <c r="N5621">
        <v>4</v>
      </c>
      <c r="O5621" t="s">
        <v>53</v>
      </c>
      <c r="P5621" t="s">
        <v>53</v>
      </c>
      <c r="Q5621" t="s">
        <v>53</v>
      </c>
    </row>
    <row r="5622" spans="1:17" x14ac:dyDescent="0.2">
      <c r="A5622" s="30" t="str">
        <f>IF(C5622&amp;G5622&amp;D5622&lt;&gt;'Funnel setup'!$K$3&amp;'Funnel setup'!$K$4&amp;'Funnel setup'!$K$5,".",IF(A5621=".",1,A5621+1))</f>
        <v>.</v>
      </c>
      <c r="B5622" s="431" t="str">
        <f t="shared" si="87"/>
        <v>Knee Replacement RevisionCCG of GP PracticeNHS NEWHAM CCG (08M)Oxford Knee Score</v>
      </c>
      <c r="C5622" t="s">
        <v>250</v>
      </c>
      <c r="D5622" t="s">
        <v>87</v>
      </c>
      <c r="E5622" t="s">
        <v>630</v>
      </c>
      <c r="F5622" t="s">
        <v>631</v>
      </c>
      <c r="G5622" t="s">
        <v>16</v>
      </c>
      <c r="H5622" t="s">
        <v>53</v>
      </c>
      <c r="I5622" t="s">
        <v>53</v>
      </c>
      <c r="J5622" t="s">
        <v>53</v>
      </c>
      <c r="K5622" t="s">
        <v>53</v>
      </c>
      <c r="L5622" t="s">
        <v>53</v>
      </c>
      <c r="M5622" t="s">
        <v>53</v>
      </c>
      <c r="N5622" t="s">
        <v>53</v>
      </c>
      <c r="O5622" t="s">
        <v>53</v>
      </c>
      <c r="P5622" t="s">
        <v>53</v>
      </c>
      <c r="Q5622" t="s">
        <v>53</v>
      </c>
    </row>
    <row r="5623" spans="1:17" x14ac:dyDescent="0.2">
      <c r="A5623" s="30" t="str">
        <f>IF(C5623&amp;G5623&amp;D5623&lt;&gt;'Funnel setup'!$K$3&amp;'Funnel setup'!$K$4&amp;'Funnel setup'!$K$5,".",IF(A5622=".",1,A5622+1))</f>
        <v>.</v>
      </c>
      <c r="B5623" s="431" t="str">
        <f t="shared" si="87"/>
        <v>Knee Replacement RevisionCCG of GP PracticeNHS NORTH DERBYSHIRE CCG (04J)Oxford Knee Score</v>
      </c>
      <c r="C5623" t="s">
        <v>250</v>
      </c>
      <c r="D5623" t="s">
        <v>87</v>
      </c>
      <c r="E5623" t="s">
        <v>636</v>
      </c>
      <c r="F5623" t="s">
        <v>637</v>
      </c>
      <c r="G5623" t="s">
        <v>16</v>
      </c>
      <c r="H5623">
        <v>7</v>
      </c>
      <c r="I5623">
        <v>16.856999999999999</v>
      </c>
      <c r="J5623">
        <v>32</v>
      </c>
      <c r="K5623">
        <v>15.143000000000001</v>
      </c>
      <c r="L5623">
        <v>7</v>
      </c>
      <c r="M5623">
        <v>0</v>
      </c>
      <c r="N5623">
        <v>0</v>
      </c>
      <c r="O5623" t="s">
        <v>53</v>
      </c>
      <c r="P5623" t="s">
        <v>53</v>
      </c>
      <c r="Q5623" t="s">
        <v>53</v>
      </c>
    </row>
    <row r="5624" spans="1:17" x14ac:dyDescent="0.2">
      <c r="A5624" s="30" t="str">
        <f>IF(C5624&amp;G5624&amp;D5624&lt;&gt;'Funnel setup'!$K$3&amp;'Funnel setup'!$K$4&amp;'Funnel setup'!$K$5,".",IF(A5623=".",1,A5623+1))</f>
        <v>.</v>
      </c>
      <c r="B5624" s="431" t="str">
        <f t="shared" si="87"/>
        <v>Knee Replacement RevisionCCG of GP PracticeNHS NORTH DURHAM CCG (00J)Oxford Knee Score</v>
      </c>
      <c r="C5624" t="s">
        <v>250</v>
      </c>
      <c r="D5624" t="s">
        <v>87</v>
      </c>
      <c r="E5624" t="s">
        <v>639</v>
      </c>
      <c r="F5624" t="s">
        <v>640</v>
      </c>
      <c r="G5624" t="s">
        <v>16</v>
      </c>
      <c r="H5624">
        <v>7</v>
      </c>
      <c r="I5624">
        <v>15.429</v>
      </c>
      <c r="J5624">
        <v>26.856999999999999</v>
      </c>
      <c r="K5624">
        <v>11.429</v>
      </c>
      <c r="L5624">
        <v>6</v>
      </c>
      <c r="M5624">
        <v>0</v>
      </c>
      <c r="N5624">
        <v>1</v>
      </c>
      <c r="O5624" t="s">
        <v>53</v>
      </c>
      <c r="P5624" t="s">
        <v>53</v>
      </c>
      <c r="Q5624" t="s">
        <v>53</v>
      </c>
    </row>
    <row r="5625" spans="1:17" x14ac:dyDescent="0.2">
      <c r="A5625" s="30" t="str">
        <f>IF(C5625&amp;G5625&amp;D5625&lt;&gt;'Funnel setup'!$K$3&amp;'Funnel setup'!$K$4&amp;'Funnel setup'!$K$5,".",IF(A5624=".",1,A5624+1))</f>
        <v>.</v>
      </c>
      <c r="B5625" s="431" t="str">
        <f t="shared" si="87"/>
        <v>Knee Replacement RevisionCCG of GP PracticeNHS NORTH EAST ESSEX CCG (06T)Oxford Knee Score</v>
      </c>
      <c r="C5625" t="s">
        <v>250</v>
      </c>
      <c r="D5625" t="s">
        <v>87</v>
      </c>
      <c r="E5625" t="s">
        <v>642</v>
      </c>
      <c r="F5625" t="s">
        <v>643</v>
      </c>
      <c r="G5625" t="s">
        <v>16</v>
      </c>
      <c r="H5625">
        <v>13</v>
      </c>
      <c r="I5625">
        <v>18.077000000000002</v>
      </c>
      <c r="J5625">
        <v>31</v>
      </c>
      <c r="K5625">
        <v>12.923</v>
      </c>
      <c r="L5625">
        <v>12</v>
      </c>
      <c r="M5625">
        <v>0</v>
      </c>
      <c r="N5625">
        <v>1</v>
      </c>
      <c r="O5625" t="s">
        <v>53</v>
      </c>
      <c r="P5625" t="s">
        <v>53</v>
      </c>
      <c r="Q5625" t="s">
        <v>53</v>
      </c>
    </row>
    <row r="5626" spans="1:17" x14ac:dyDescent="0.2">
      <c r="A5626" s="30" t="str">
        <f>IF(C5626&amp;G5626&amp;D5626&lt;&gt;'Funnel setup'!$K$3&amp;'Funnel setup'!$K$4&amp;'Funnel setup'!$K$5,".",IF(A5625=".",1,A5625+1))</f>
        <v>.</v>
      </c>
      <c r="B5626" s="431" t="str">
        <f t="shared" si="87"/>
        <v>Knee Replacement RevisionCCG of GP PracticeNHS NORTH EAST HAMPSHIRE AND FARNHAM CCG (99M)Oxford Knee Score</v>
      </c>
      <c r="C5626" t="s">
        <v>250</v>
      </c>
      <c r="D5626" t="s">
        <v>87</v>
      </c>
      <c r="E5626" t="s">
        <v>645</v>
      </c>
      <c r="F5626" t="s">
        <v>646</v>
      </c>
      <c r="G5626" t="s">
        <v>16</v>
      </c>
      <c r="H5626" t="s">
        <v>53</v>
      </c>
      <c r="I5626" t="s">
        <v>53</v>
      </c>
      <c r="J5626" t="s">
        <v>53</v>
      </c>
      <c r="K5626" t="s">
        <v>53</v>
      </c>
      <c r="L5626" t="s">
        <v>53</v>
      </c>
      <c r="M5626" t="s">
        <v>53</v>
      </c>
      <c r="N5626" t="s">
        <v>53</v>
      </c>
      <c r="O5626" t="s">
        <v>53</v>
      </c>
      <c r="P5626" t="s">
        <v>53</v>
      </c>
      <c r="Q5626" t="s">
        <v>53</v>
      </c>
    </row>
    <row r="5627" spans="1:17" x14ac:dyDescent="0.2">
      <c r="A5627" s="30" t="str">
        <f>IF(C5627&amp;G5627&amp;D5627&lt;&gt;'Funnel setup'!$K$3&amp;'Funnel setup'!$K$4&amp;'Funnel setup'!$K$5,".",IF(A5626=".",1,A5626+1))</f>
        <v>.</v>
      </c>
      <c r="B5627" s="431" t="str">
        <f t="shared" si="87"/>
        <v>Knee Replacement RevisionCCG of GP PracticeNHS NORTH EAST LINCOLNSHIRE CCG (03H)Oxford Knee Score</v>
      </c>
      <c r="C5627" t="s">
        <v>250</v>
      </c>
      <c r="D5627" t="s">
        <v>87</v>
      </c>
      <c r="E5627" t="s">
        <v>648</v>
      </c>
      <c r="F5627" t="s">
        <v>649</v>
      </c>
      <c r="G5627" t="s">
        <v>16</v>
      </c>
      <c r="H5627" t="s">
        <v>53</v>
      </c>
      <c r="I5627" t="s">
        <v>53</v>
      </c>
      <c r="J5627" t="s">
        <v>53</v>
      </c>
      <c r="K5627" t="s">
        <v>53</v>
      </c>
      <c r="L5627" t="s">
        <v>53</v>
      </c>
      <c r="M5627" t="s">
        <v>53</v>
      </c>
      <c r="N5627" t="s">
        <v>53</v>
      </c>
      <c r="O5627" t="s">
        <v>53</v>
      </c>
      <c r="P5627" t="s">
        <v>53</v>
      </c>
      <c r="Q5627" t="s">
        <v>53</v>
      </c>
    </row>
    <row r="5628" spans="1:17" x14ac:dyDescent="0.2">
      <c r="A5628" s="30" t="str">
        <f>IF(C5628&amp;G5628&amp;D5628&lt;&gt;'Funnel setup'!$K$3&amp;'Funnel setup'!$K$4&amp;'Funnel setup'!$K$5,".",IF(A5627=".",1,A5627+1))</f>
        <v>.</v>
      </c>
      <c r="B5628" s="431" t="str">
        <f t="shared" si="87"/>
        <v>Knee Replacement RevisionCCG of GP PracticeNHS NORTH HAMPSHIRE CCG (10J)Oxford Knee Score</v>
      </c>
      <c r="C5628" t="s">
        <v>250</v>
      </c>
      <c r="D5628" t="s">
        <v>87</v>
      </c>
      <c r="E5628" t="s">
        <v>651</v>
      </c>
      <c r="F5628" t="s">
        <v>652</v>
      </c>
      <c r="G5628" t="s">
        <v>16</v>
      </c>
      <c r="H5628">
        <v>9</v>
      </c>
      <c r="I5628">
        <v>13.222</v>
      </c>
      <c r="J5628">
        <v>26.888999999999999</v>
      </c>
      <c r="K5628">
        <v>13.667</v>
      </c>
      <c r="L5628">
        <v>8</v>
      </c>
      <c r="M5628">
        <v>0</v>
      </c>
      <c r="N5628">
        <v>1</v>
      </c>
      <c r="O5628" t="s">
        <v>53</v>
      </c>
      <c r="P5628" t="s">
        <v>53</v>
      </c>
      <c r="Q5628" t="s">
        <v>53</v>
      </c>
    </row>
    <row r="5629" spans="1:17" x14ac:dyDescent="0.2">
      <c r="A5629" s="30" t="str">
        <f>IF(C5629&amp;G5629&amp;D5629&lt;&gt;'Funnel setup'!$K$3&amp;'Funnel setup'!$K$4&amp;'Funnel setup'!$K$5,".",IF(A5628=".",1,A5628+1))</f>
        <v>.</v>
      </c>
      <c r="B5629" s="431" t="str">
        <f t="shared" si="87"/>
        <v>Knee Replacement RevisionCCG of GP PracticeNHS NORTH KIRKLEES CCG (03J)Oxford Knee Score</v>
      </c>
      <c r="C5629" t="s">
        <v>250</v>
      </c>
      <c r="D5629" t="s">
        <v>87</v>
      </c>
      <c r="E5629" t="s">
        <v>654</v>
      </c>
      <c r="F5629" t="s">
        <v>655</v>
      </c>
      <c r="G5629" t="s">
        <v>16</v>
      </c>
      <c r="H5629">
        <v>7</v>
      </c>
      <c r="I5629">
        <v>17.143000000000001</v>
      </c>
      <c r="J5629">
        <v>25.143000000000001</v>
      </c>
      <c r="K5629">
        <v>8</v>
      </c>
      <c r="L5629">
        <v>7</v>
      </c>
      <c r="M5629">
        <v>0</v>
      </c>
      <c r="N5629">
        <v>0</v>
      </c>
      <c r="O5629" t="s">
        <v>53</v>
      </c>
      <c r="P5629" t="s">
        <v>53</v>
      </c>
      <c r="Q5629" t="s">
        <v>53</v>
      </c>
    </row>
    <row r="5630" spans="1:17" x14ac:dyDescent="0.2">
      <c r="A5630" s="30" t="str">
        <f>IF(C5630&amp;G5630&amp;D5630&lt;&gt;'Funnel setup'!$K$3&amp;'Funnel setup'!$K$4&amp;'Funnel setup'!$K$5,".",IF(A5629=".",1,A5629+1))</f>
        <v>.</v>
      </c>
      <c r="B5630" s="431" t="str">
        <f t="shared" si="87"/>
        <v>Knee Replacement RevisionCCG of GP PracticeNHS NORTH LINCOLNSHIRE CCG (03K)Oxford Knee Score</v>
      </c>
      <c r="C5630" t="s">
        <v>250</v>
      </c>
      <c r="D5630" t="s">
        <v>87</v>
      </c>
      <c r="E5630" t="s">
        <v>657</v>
      </c>
      <c r="F5630" t="s">
        <v>658</v>
      </c>
      <c r="G5630" t="s">
        <v>16</v>
      </c>
      <c r="H5630" t="s">
        <v>53</v>
      </c>
      <c r="I5630" t="s">
        <v>53</v>
      </c>
      <c r="J5630" t="s">
        <v>53</v>
      </c>
      <c r="K5630" t="s">
        <v>53</v>
      </c>
      <c r="L5630" t="s">
        <v>53</v>
      </c>
      <c r="M5630" t="s">
        <v>53</v>
      </c>
      <c r="N5630" t="s">
        <v>53</v>
      </c>
      <c r="O5630" t="s">
        <v>53</v>
      </c>
      <c r="P5630" t="s">
        <v>53</v>
      </c>
      <c r="Q5630" t="s">
        <v>53</v>
      </c>
    </row>
    <row r="5631" spans="1:17" x14ac:dyDescent="0.2">
      <c r="A5631" s="30" t="str">
        <f>IF(C5631&amp;G5631&amp;D5631&lt;&gt;'Funnel setup'!$K$3&amp;'Funnel setup'!$K$4&amp;'Funnel setup'!$K$5,".",IF(A5630=".",1,A5630+1))</f>
        <v>.</v>
      </c>
      <c r="B5631" s="431" t="str">
        <f t="shared" si="87"/>
        <v>Knee Replacement RevisionCCG of GP PracticeNHS NORTH MANCHESTER CCG (01M)Oxford Knee Score</v>
      </c>
      <c r="C5631" t="s">
        <v>250</v>
      </c>
      <c r="D5631" t="s">
        <v>87</v>
      </c>
      <c r="E5631" t="s">
        <v>660</v>
      </c>
      <c r="F5631" t="s">
        <v>661</v>
      </c>
      <c r="G5631" t="s">
        <v>16</v>
      </c>
      <c r="H5631" t="s">
        <v>53</v>
      </c>
      <c r="I5631" t="s">
        <v>53</v>
      </c>
      <c r="J5631" t="s">
        <v>53</v>
      </c>
      <c r="K5631" t="s">
        <v>53</v>
      </c>
      <c r="L5631" t="s">
        <v>53</v>
      </c>
      <c r="M5631" t="s">
        <v>53</v>
      </c>
      <c r="N5631" t="s">
        <v>53</v>
      </c>
      <c r="O5631" t="s">
        <v>53</v>
      </c>
      <c r="P5631" t="s">
        <v>53</v>
      </c>
      <c r="Q5631" t="s">
        <v>53</v>
      </c>
    </row>
    <row r="5632" spans="1:17" x14ac:dyDescent="0.2">
      <c r="A5632" s="30" t="str">
        <f>IF(C5632&amp;G5632&amp;D5632&lt;&gt;'Funnel setup'!$K$3&amp;'Funnel setup'!$K$4&amp;'Funnel setup'!$K$5,".",IF(A5631=".",1,A5631+1))</f>
        <v>.</v>
      </c>
      <c r="B5632" s="431" t="str">
        <f t="shared" si="87"/>
        <v>Knee Replacement RevisionCCG of GP PracticeNHS NORTH NORFOLK CCG (06V)Oxford Knee Score</v>
      </c>
      <c r="C5632" t="s">
        <v>250</v>
      </c>
      <c r="D5632" t="s">
        <v>87</v>
      </c>
      <c r="E5632" t="s">
        <v>663</v>
      </c>
      <c r="F5632" t="s">
        <v>664</v>
      </c>
      <c r="G5632" t="s">
        <v>16</v>
      </c>
      <c r="H5632">
        <v>8</v>
      </c>
      <c r="I5632">
        <v>19.625</v>
      </c>
      <c r="J5632">
        <v>30.75</v>
      </c>
      <c r="K5632">
        <v>11.125</v>
      </c>
      <c r="L5632">
        <v>6</v>
      </c>
      <c r="M5632">
        <v>0</v>
      </c>
      <c r="N5632">
        <v>2</v>
      </c>
      <c r="O5632" t="s">
        <v>53</v>
      </c>
      <c r="P5632" t="s">
        <v>53</v>
      </c>
      <c r="Q5632" t="s">
        <v>53</v>
      </c>
    </row>
    <row r="5633" spans="1:17" x14ac:dyDescent="0.2">
      <c r="A5633" s="30" t="str">
        <f>IF(C5633&amp;G5633&amp;D5633&lt;&gt;'Funnel setup'!$K$3&amp;'Funnel setup'!$K$4&amp;'Funnel setup'!$K$5,".",IF(A5632=".",1,A5632+1))</f>
        <v>.</v>
      </c>
      <c r="B5633" s="431" t="str">
        <f t="shared" si="87"/>
        <v>Knee Replacement RevisionCCG of GP PracticeNHS NORTH SOMERSET CCG (11T)Oxford Knee Score</v>
      </c>
      <c r="C5633" t="s">
        <v>250</v>
      </c>
      <c r="D5633" t="s">
        <v>87</v>
      </c>
      <c r="E5633" t="s">
        <v>666</v>
      </c>
      <c r="F5633" t="s">
        <v>667</v>
      </c>
      <c r="G5633" t="s">
        <v>16</v>
      </c>
      <c r="H5633">
        <v>12</v>
      </c>
      <c r="I5633">
        <v>16.082999999999998</v>
      </c>
      <c r="J5633">
        <v>28</v>
      </c>
      <c r="K5633">
        <v>11.917</v>
      </c>
      <c r="L5633">
        <v>10</v>
      </c>
      <c r="M5633">
        <v>1</v>
      </c>
      <c r="N5633">
        <v>1</v>
      </c>
      <c r="O5633" t="s">
        <v>53</v>
      </c>
      <c r="P5633" t="s">
        <v>53</v>
      </c>
      <c r="Q5633" t="s">
        <v>53</v>
      </c>
    </row>
    <row r="5634" spans="1:17" x14ac:dyDescent="0.2">
      <c r="A5634" s="30" t="str">
        <f>IF(C5634&amp;G5634&amp;D5634&lt;&gt;'Funnel setup'!$K$3&amp;'Funnel setup'!$K$4&amp;'Funnel setup'!$K$5,".",IF(A5633=".",1,A5633+1))</f>
        <v>.</v>
      </c>
      <c r="B5634" s="431" t="str">
        <f t="shared" si="87"/>
        <v>Knee Replacement RevisionCCG of GP PracticeNHS NORTH STAFFORDSHIRE CCG (05G)Oxford Knee Score</v>
      </c>
      <c r="C5634" t="s">
        <v>250</v>
      </c>
      <c r="D5634" t="s">
        <v>87</v>
      </c>
      <c r="E5634" t="s">
        <v>669</v>
      </c>
      <c r="F5634" t="s">
        <v>670</v>
      </c>
      <c r="G5634" t="s">
        <v>16</v>
      </c>
      <c r="H5634" t="s">
        <v>53</v>
      </c>
      <c r="I5634" t="s">
        <v>53</v>
      </c>
      <c r="J5634" t="s">
        <v>53</v>
      </c>
      <c r="K5634" t="s">
        <v>53</v>
      </c>
      <c r="L5634" t="s">
        <v>53</v>
      </c>
      <c r="M5634" t="s">
        <v>53</v>
      </c>
      <c r="N5634" t="s">
        <v>53</v>
      </c>
      <c r="O5634" t="s">
        <v>53</v>
      </c>
      <c r="P5634" t="s">
        <v>53</v>
      </c>
      <c r="Q5634" t="s">
        <v>53</v>
      </c>
    </row>
    <row r="5635" spans="1:17" x14ac:dyDescent="0.2">
      <c r="A5635" s="30" t="str">
        <f>IF(C5635&amp;G5635&amp;D5635&lt;&gt;'Funnel setup'!$K$3&amp;'Funnel setup'!$K$4&amp;'Funnel setup'!$K$5,".",IF(A5634=".",1,A5634+1))</f>
        <v>.</v>
      </c>
      <c r="B5635" s="431" t="str">
        <f t="shared" ref="B5635:B5698" si="88">C5635&amp;D5635&amp;F5635&amp;G5635</f>
        <v>Knee Replacement RevisionCCG of GP PracticeNHS NORTH TYNESIDE CCG (99C)Oxford Knee Score</v>
      </c>
      <c r="C5635" t="s">
        <v>250</v>
      </c>
      <c r="D5635" t="s">
        <v>87</v>
      </c>
      <c r="E5635" t="s">
        <v>672</v>
      </c>
      <c r="F5635" t="s">
        <v>673</v>
      </c>
      <c r="G5635" t="s">
        <v>16</v>
      </c>
      <c r="H5635" t="s">
        <v>53</v>
      </c>
      <c r="I5635" t="s">
        <v>53</v>
      </c>
      <c r="J5635" t="s">
        <v>53</v>
      </c>
      <c r="K5635" t="s">
        <v>53</v>
      </c>
      <c r="L5635" t="s">
        <v>53</v>
      </c>
      <c r="M5635" t="s">
        <v>53</v>
      </c>
      <c r="N5635" t="s">
        <v>53</v>
      </c>
      <c r="O5635" t="s">
        <v>53</v>
      </c>
      <c r="P5635" t="s">
        <v>53</v>
      </c>
      <c r="Q5635" t="s">
        <v>53</v>
      </c>
    </row>
    <row r="5636" spans="1:17" x14ac:dyDescent="0.2">
      <c r="A5636" s="30" t="str">
        <f>IF(C5636&amp;G5636&amp;D5636&lt;&gt;'Funnel setup'!$K$3&amp;'Funnel setup'!$K$4&amp;'Funnel setup'!$K$5,".",IF(A5635=".",1,A5635+1))</f>
        <v>.</v>
      </c>
      <c r="B5636" s="431" t="str">
        <f t="shared" si="88"/>
        <v>Knee Replacement RevisionCCG of GP PracticeNHS NORTH WEST SURREY CCG (09Y)Oxford Knee Score</v>
      </c>
      <c r="C5636" t="s">
        <v>250</v>
      </c>
      <c r="D5636" t="s">
        <v>87</v>
      </c>
      <c r="E5636" t="s">
        <v>675</v>
      </c>
      <c r="F5636" t="s">
        <v>676</v>
      </c>
      <c r="G5636" t="s">
        <v>16</v>
      </c>
      <c r="H5636">
        <v>10</v>
      </c>
      <c r="I5636">
        <v>17.7</v>
      </c>
      <c r="J5636">
        <v>28.3</v>
      </c>
      <c r="K5636">
        <v>10.6</v>
      </c>
      <c r="L5636">
        <v>8</v>
      </c>
      <c r="M5636">
        <v>0</v>
      </c>
      <c r="N5636">
        <v>2</v>
      </c>
      <c r="O5636" t="s">
        <v>53</v>
      </c>
      <c r="P5636" t="s">
        <v>53</v>
      </c>
      <c r="Q5636" t="s">
        <v>53</v>
      </c>
    </row>
    <row r="5637" spans="1:17" x14ac:dyDescent="0.2">
      <c r="A5637" s="30" t="str">
        <f>IF(C5637&amp;G5637&amp;D5637&lt;&gt;'Funnel setup'!$K$3&amp;'Funnel setup'!$K$4&amp;'Funnel setup'!$K$5,".",IF(A5636=".",1,A5636+1))</f>
        <v>.</v>
      </c>
      <c r="B5637" s="431" t="str">
        <f t="shared" si="88"/>
        <v>Knee Replacement RevisionCCG of GP PracticeNHS NORTHERN, EASTERN AND WESTERN DEVON CCG (99P)Oxford Knee Score</v>
      </c>
      <c r="C5637" t="s">
        <v>250</v>
      </c>
      <c r="D5637" t="s">
        <v>87</v>
      </c>
      <c r="E5637" t="s">
        <v>678</v>
      </c>
      <c r="F5637" t="s">
        <v>679</v>
      </c>
      <c r="G5637" t="s">
        <v>16</v>
      </c>
      <c r="H5637">
        <v>53</v>
      </c>
      <c r="I5637">
        <v>17.716999999999999</v>
      </c>
      <c r="J5637">
        <v>31.245000000000001</v>
      </c>
      <c r="K5637">
        <v>13.528</v>
      </c>
      <c r="L5637">
        <v>49</v>
      </c>
      <c r="M5637">
        <v>1</v>
      </c>
      <c r="N5637">
        <v>3</v>
      </c>
      <c r="O5637">
        <v>30.234999999999999</v>
      </c>
      <c r="P5637">
        <v>13.72894365</v>
      </c>
      <c r="Q5637">
        <v>8.7279999999999998</v>
      </c>
    </row>
    <row r="5638" spans="1:17" x14ac:dyDescent="0.2">
      <c r="A5638" s="30" t="str">
        <f>IF(C5638&amp;G5638&amp;D5638&lt;&gt;'Funnel setup'!$K$3&amp;'Funnel setup'!$K$4&amp;'Funnel setup'!$K$5,".",IF(A5637=".",1,A5637+1))</f>
        <v>.</v>
      </c>
      <c r="B5638" s="431" t="str">
        <f t="shared" si="88"/>
        <v>Knee Replacement RevisionCCG of GP PracticeNHS NORTHUMBERLAND CCG (00L)Oxford Knee Score</v>
      </c>
      <c r="C5638" t="s">
        <v>250</v>
      </c>
      <c r="D5638" t="s">
        <v>87</v>
      </c>
      <c r="E5638" t="s">
        <v>681</v>
      </c>
      <c r="F5638" t="s">
        <v>336</v>
      </c>
      <c r="G5638" t="s">
        <v>16</v>
      </c>
      <c r="H5638">
        <v>14</v>
      </c>
      <c r="I5638">
        <v>15.286</v>
      </c>
      <c r="J5638">
        <v>31</v>
      </c>
      <c r="K5638">
        <v>15.714</v>
      </c>
      <c r="L5638">
        <v>14</v>
      </c>
      <c r="M5638">
        <v>0</v>
      </c>
      <c r="N5638">
        <v>0</v>
      </c>
      <c r="O5638" t="s">
        <v>53</v>
      </c>
      <c r="P5638" t="s">
        <v>53</v>
      </c>
      <c r="Q5638" t="s">
        <v>53</v>
      </c>
    </row>
    <row r="5639" spans="1:17" x14ac:dyDescent="0.2">
      <c r="A5639" s="30" t="str">
        <f>IF(C5639&amp;G5639&amp;D5639&lt;&gt;'Funnel setup'!$K$3&amp;'Funnel setup'!$K$4&amp;'Funnel setup'!$K$5,".",IF(A5638=".",1,A5638+1))</f>
        <v>.</v>
      </c>
      <c r="B5639" s="431" t="str">
        <f t="shared" si="88"/>
        <v>Knee Replacement RevisionCCG of GP PracticeNHS NORWICH CCG (06W)Oxford Knee Score</v>
      </c>
      <c r="C5639" t="s">
        <v>250</v>
      </c>
      <c r="D5639" t="s">
        <v>87</v>
      </c>
      <c r="E5639" t="s">
        <v>770</v>
      </c>
      <c r="F5639" t="s">
        <v>771</v>
      </c>
      <c r="G5639" t="s">
        <v>16</v>
      </c>
      <c r="H5639">
        <v>8</v>
      </c>
      <c r="I5639">
        <v>20</v>
      </c>
      <c r="J5639">
        <v>32.625</v>
      </c>
      <c r="K5639">
        <v>12.625</v>
      </c>
      <c r="L5639">
        <v>8</v>
      </c>
      <c r="M5639">
        <v>0</v>
      </c>
      <c r="N5639">
        <v>0</v>
      </c>
      <c r="O5639" t="s">
        <v>53</v>
      </c>
      <c r="P5639" t="s">
        <v>53</v>
      </c>
      <c r="Q5639" t="s">
        <v>53</v>
      </c>
    </row>
    <row r="5640" spans="1:17" x14ac:dyDescent="0.2">
      <c r="A5640" s="30" t="str">
        <f>IF(C5640&amp;G5640&amp;D5640&lt;&gt;'Funnel setup'!$K$3&amp;'Funnel setup'!$K$4&amp;'Funnel setup'!$K$5,".",IF(A5639=".",1,A5639+1))</f>
        <v>.</v>
      </c>
      <c r="B5640" s="431" t="str">
        <f t="shared" si="88"/>
        <v>Knee Replacement RevisionCCG of GP PracticeNHS NOTTINGHAM CITY CCG (04K)Oxford Knee Score</v>
      </c>
      <c r="C5640" t="s">
        <v>250</v>
      </c>
      <c r="D5640" t="s">
        <v>87</v>
      </c>
      <c r="E5640" t="s">
        <v>773</v>
      </c>
      <c r="F5640" t="s">
        <v>774</v>
      </c>
      <c r="G5640" t="s">
        <v>16</v>
      </c>
      <c r="H5640">
        <v>10</v>
      </c>
      <c r="I5640">
        <v>21.7</v>
      </c>
      <c r="J5640">
        <v>29.2</v>
      </c>
      <c r="K5640">
        <v>7.5</v>
      </c>
      <c r="L5640">
        <v>8</v>
      </c>
      <c r="M5640">
        <v>2</v>
      </c>
      <c r="N5640">
        <v>0</v>
      </c>
      <c r="O5640" t="s">
        <v>53</v>
      </c>
      <c r="P5640" t="s">
        <v>53</v>
      </c>
      <c r="Q5640" t="s">
        <v>53</v>
      </c>
    </row>
    <row r="5641" spans="1:17" x14ac:dyDescent="0.2">
      <c r="A5641" s="30" t="str">
        <f>IF(C5641&amp;G5641&amp;D5641&lt;&gt;'Funnel setup'!$K$3&amp;'Funnel setup'!$K$4&amp;'Funnel setup'!$K$5,".",IF(A5640=".",1,A5640+1))</f>
        <v>.</v>
      </c>
      <c r="B5641" s="431" t="str">
        <f t="shared" si="88"/>
        <v>Knee Replacement RevisionCCG of GP PracticeNHS NOTTINGHAM NORTH AND EAST CCG (04L)Oxford Knee Score</v>
      </c>
      <c r="C5641" t="s">
        <v>250</v>
      </c>
      <c r="D5641" t="s">
        <v>87</v>
      </c>
      <c r="E5641" t="s">
        <v>776</v>
      </c>
      <c r="F5641" t="s">
        <v>777</v>
      </c>
      <c r="G5641" t="s">
        <v>16</v>
      </c>
      <c r="H5641">
        <v>6</v>
      </c>
      <c r="I5641">
        <v>19.667000000000002</v>
      </c>
      <c r="J5641">
        <v>37.5</v>
      </c>
      <c r="K5641">
        <v>17.832999999999998</v>
      </c>
      <c r="L5641">
        <v>6</v>
      </c>
      <c r="M5641">
        <v>0</v>
      </c>
      <c r="N5641">
        <v>0</v>
      </c>
      <c r="O5641" t="s">
        <v>53</v>
      </c>
      <c r="P5641" t="s">
        <v>53</v>
      </c>
      <c r="Q5641" t="s">
        <v>53</v>
      </c>
    </row>
    <row r="5642" spans="1:17" x14ac:dyDescent="0.2">
      <c r="A5642" s="30" t="str">
        <f>IF(C5642&amp;G5642&amp;D5642&lt;&gt;'Funnel setup'!$K$3&amp;'Funnel setup'!$K$4&amp;'Funnel setup'!$K$5,".",IF(A5641=".",1,A5641+1))</f>
        <v>.</v>
      </c>
      <c r="B5642" s="431" t="str">
        <f t="shared" si="88"/>
        <v>Knee Replacement RevisionCCG of GP PracticeNHS NOTTINGHAM WEST CCG (04M)Oxford Knee Score</v>
      </c>
      <c r="C5642" t="s">
        <v>250</v>
      </c>
      <c r="D5642" t="s">
        <v>87</v>
      </c>
      <c r="E5642" t="s">
        <v>779</v>
      </c>
      <c r="F5642" t="s">
        <v>780</v>
      </c>
      <c r="G5642" t="s">
        <v>16</v>
      </c>
      <c r="H5642">
        <v>6</v>
      </c>
      <c r="I5642">
        <v>13</v>
      </c>
      <c r="J5642">
        <v>34</v>
      </c>
      <c r="K5642">
        <v>21</v>
      </c>
      <c r="L5642">
        <v>6</v>
      </c>
      <c r="M5642">
        <v>0</v>
      </c>
      <c r="N5642">
        <v>0</v>
      </c>
      <c r="O5642" t="s">
        <v>53</v>
      </c>
      <c r="P5642" t="s">
        <v>53</v>
      </c>
      <c r="Q5642" t="s">
        <v>53</v>
      </c>
    </row>
    <row r="5643" spans="1:17" x14ac:dyDescent="0.2">
      <c r="A5643" s="30" t="str">
        <f>IF(C5643&amp;G5643&amp;D5643&lt;&gt;'Funnel setup'!$K$3&amp;'Funnel setup'!$K$4&amp;'Funnel setup'!$K$5,".",IF(A5642=".",1,A5642+1))</f>
        <v>.</v>
      </c>
      <c r="B5643" s="431" t="str">
        <f t="shared" si="88"/>
        <v>Knee Replacement RevisionCCG of GP PracticeNHS OLDHAM CCG (00Y)Oxford Knee Score</v>
      </c>
      <c r="C5643" t="s">
        <v>250</v>
      </c>
      <c r="D5643" t="s">
        <v>87</v>
      </c>
      <c r="E5643" t="s">
        <v>782</v>
      </c>
      <c r="F5643" t="s">
        <v>783</v>
      </c>
      <c r="G5643" t="s">
        <v>16</v>
      </c>
      <c r="H5643" t="s">
        <v>53</v>
      </c>
      <c r="I5643" t="s">
        <v>53</v>
      </c>
      <c r="J5643" t="s">
        <v>53</v>
      </c>
      <c r="K5643" t="s">
        <v>53</v>
      </c>
      <c r="L5643" t="s">
        <v>53</v>
      </c>
      <c r="M5643" t="s">
        <v>53</v>
      </c>
      <c r="N5643" t="s">
        <v>53</v>
      </c>
      <c r="O5643" t="s">
        <v>53</v>
      </c>
      <c r="P5643" t="s">
        <v>53</v>
      </c>
      <c r="Q5643" t="s">
        <v>53</v>
      </c>
    </row>
    <row r="5644" spans="1:17" x14ac:dyDescent="0.2">
      <c r="A5644" s="30" t="str">
        <f>IF(C5644&amp;G5644&amp;D5644&lt;&gt;'Funnel setup'!$K$3&amp;'Funnel setup'!$K$4&amp;'Funnel setup'!$K$5,".",IF(A5643=".",1,A5643+1))</f>
        <v>.</v>
      </c>
      <c r="B5644" s="431" t="str">
        <f t="shared" si="88"/>
        <v>Knee Replacement RevisionCCG of GP PracticeNHS OXFORDSHIRE CCG (10Q)Oxford Knee Score</v>
      </c>
      <c r="C5644" t="s">
        <v>250</v>
      </c>
      <c r="D5644" t="s">
        <v>87</v>
      </c>
      <c r="E5644" t="s">
        <v>785</v>
      </c>
      <c r="F5644" t="s">
        <v>786</v>
      </c>
      <c r="G5644" t="s">
        <v>16</v>
      </c>
      <c r="H5644">
        <v>31</v>
      </c>
      <c r="I5644">
        <v>15.677</v>
      </c>
      <c r="J5644">
        <v>29.870999999999999</v>
      </c>
      <c r="K5644">
        <v>14.194000000000001</v>
      </c>
      <c r="L5644">
        <v>26</v>
      </c>
      <c r="M5644">
        <v>1</v>
      </c>
      <c r="N5644">
        <v>4</v>
      </c>
      <c r="O5644">
        <v>30.640999999999998</v>
      </c>
      <c r="P5644">
        <v>14.134898529999999</v>
      </c>
      <c r="Q5644">
        <v>11.952999999999999</v>
      </c>
    </row>
    <row r="5645" spans="1:17" x14ac:dyDescent="0.2">
      <c r="A5645" s="30" t="str">
        <f>IF(C5645&amp;G5645&amp;D5645&lt;&gt;'Funnel setup'!$K$3&amp;'Funnel setup'!$K$4&amp;'Funnel setup'!$K$5,".",IF(A5644=".",1,A5644+1))</f>
        <v>.</v>
      </c>
      <c r="B5645" s="431" t="str">
        <f t="shared" si="88"/>
        <v>Knee Replacement RevisionCCG of GP PracticeNHS PORTSMOUTH CCG (10R)Oxford Knee Score</v>
      </c>
      <c r="C5645" t="s">
        <v>250</v>
      </c>
      <c r="D5645" t="s">
        <v>87</v>
      </c>
      <c r="E5645" t="s">
        <v>788</v>
      </c>
      <c r="F5645" t="s">
        <v>789</v>
      </c>
      <c r="G5645" t="s">
        <v>16</v>
      </c>
      <c r="H5645" t="s">
        <v>53</v>
      </c>
      <c r="I5645" t="s">
        <v>53</v>
      </c>
      <c r="J5645" t="s">
        <v>53</v>
      </c>
      <c r="K5645" t="s">
        <v>53</v>
      </c>
      <c r="L5645" t="s">
        <v>53</v>
      </c>
      <c r="M5645" t="s">
        <v>53</v>
      </c>
      <c r="N5645" t="s">
        <v>53</v>
      </c>
      <c r="O5645" t="s">
        <v>53</v>
      </c>
      <c r="P5645" t="s">
        <v>53</v>
      </c>
      <c r="Q5645" t="s">
        <v>53</v>
      </c>
    </row>
    <row r="5646" spans="1:17" x14ac:dyDescent="0.2">
      <c r="A5646" s="30" t="str">
        <f>IF(C5646&amp;G5646&amp;D5646&lt;&gt;'Funnel setup'!$K$3&amp;'Funnel setup'!$K$4&amp;'Funnel setup'!$K$5,".",IF(A5645=".",1,A5645+1))</f>
        <v>.</v>
      </c>
      <c r="B5646" s="431" t="str">
        <f t="shared" si="88"/>
        <v>Knee Replacement RevisionCCG of GP PracticeNHS REDBRIDGE CCG (08N)Oxford Knee Score</v>
      </c>
      <c r="C5646" t="s">
        <v>250</v>
      </c>
      <c r="D5646" t="s">
        <v>87</v>
      </c>
      <c r="E5646" t="s">
        <v>791</v>
      </c>
      <c r="F5646" t="s">
        <v>792</v>
      </c>
      <c r="G5646" t="s">
        <v>16</v>
      </c>
      <c r="H5646" t="s">
        <v>53</v>
      </c>
      <c r="I5646" t="s">
        <v>53</v>
      </c>
      <c r="J5646" t="s">
        <v>53</v>
      </c>
      <c r="K5646" t="s">
        <v>53</v>
      </c>
      <c r="L5646" t="s">
        <v>53</v>
      </c>
      <c r="M5646" t="s">
        <v>53</v>
      </c>
      <c r="N5646" t="s">
        <v>53</v>
      </c>
      <c r="O5646" t="s">
        <v>53</v>
      </c>
      <c r="P5646" t="s">
        <v>53</v>
      </c>
      <c r="Q5646" t="s">
        <v>53</v>
      </c>
    </row>
    <row r="5647" spans="1:17" x14ac:dyDescent="0.2">
      <c r="A5647" s="30" t="str">
        <f>IF(C5647&amp;G5647&amp;D5647&lt;&gt;'Funnel setup'!$K$3&amp;'Funnel setup'!$K$4&amp;'Funnel setup'!$K$5,".",IF(A5646=".",1,A5646+1))</f>
        <v>.</v>
      </c>
      <c r="B5647" s="431" t="str">
        <f t="shared" si="88"/>
        <v>Knee Replacement RevisionCCG of GP PracticeNHS REDDITCH AND BROMSGROVE CCG (05J)Oxford Knee Score</v>
      </c>
      <c r="C5647" t="s">
        <v>250</v>
      </c>
      <c r="D5647" t="s">
        <v>87</v>
      </c>
      <c r="E5647" t="s">
        <v>794</v>
      </c>
      <c r="F5647" t="s">
        <v>795</v>
      </c>
      <c r="G5647" t="s">
        <v>16</v>
      </c>
      <c r="H5647">
        <v>6</v>
      </c>
      <c r="I5647">
        <v>13.167</v>
      </c>
      <c r="J5647">
        <v>25</v>
      </c>
      <c r="K5647">
        <v>11.833</v>
      </c>
      <c r="L5647">
        <v>5</v>
      </c>
      <c r="M5647">
        <v>1</v>
      </c>
      <c r="N5647">
        <v>0</v>
      </c>
      <c r="O5647" t="s">
        <v>53</v>
      </c>
      <c r="P5647" t="s">
        <v>53</v>
      </c>
      <c r="Q5647" t="s">
        <v>53</v>
      </c>
    </row>
    <row r="5648" spans="1:17" x14ac:dyDescent="0.2">
      <c r="A5648" s="30" t="str">
        <f>IF(C5648&amp;G5648&amp;D5648&lt;&gt;'Funnel setup'!$K$3&amp;'Funnel setup'!$K$4&amp;'Funnel setup'!$K$5,".",IF(A5647=".",1,A5647+1))</f>
        <v>.</v>
      </c>
      <c r="B5648" s="431" t="str">
        <f t="shared" si="88"/>
        <v>Knee Replacement RevisionCCG of GP PracticeNHS RICHMOND CCG (08P)Oxford Knee Score</v>
      </c>
      <c r="C5648" t="s">
        <v>250</v>
      </c>
      <c r="D5648" t="s">
        <v>87</v>
      </c>
      <c r="E5648" t="s">
        <v>797</v>
      </c>
      <c r="F5648" t="s">
        <v>798</v>
      </c>
      <c r="G5648" t="s">
        <v>16</v>
      </c>
      <c r="H5648" t="s">
        <v>53</v>
      </c>
      <c r="I5648" t="s">
        <v>53</v>
      </c>
      <c r="J5648" t="s">
        <v>53</v>
      </c>
      <c r="K5648" t="s">
        <v>53</v>
      </c>
      <c r="L5648" t="s">
        <v>53</v>
      </c>
      <c r="M5648" t="s">
        <v>53</v>
      </c>
      <c r="N5648" t="s">
        <v>53</v>
      </c>
      <c r="O5648" t="s">
        <v>53</v>
      </c>
      <c r="P5648" t="s">
        <v>53</v>
      </c>
      <c r="Q5648" t="s">
        <v>53</v>
      </c>
    </row>
    <row r="5649" spans="1:17" x14ac:dyDescent="0.2">
      <c r="A5649" s="30" t="str">
        <f>IF(C5649&amp;G5649&amp;D5649&lt;&gt;'Funnel setup'!$K$3&amp;'Funnel setup'!$K$4&amp;'Funnel setup'!$K$5,".",IF(A5648=".",1,A5648+1))</f>
        <v>.</v>
      </c>
      <c r="B5649" s="431" t="str">
        <f t="shared" si="88"/>
        <v>Knee Replacement RevisionCCG of GP PracticeNHS ROTHERHAM CCG (03L)Oxford Knee Score</v>
      </c>
      <c r="C5649" t="s">
        <v>250</v>
      </c>
      <c r="D5649" t="s">
        <v>87</v>
      </c>
      <c r="E5649" t="s">
        <v>800</v>
      </c>
      <c r="F5649" t="s">
        <v>801</v>
      </c>
      <c r="G5649" t="s">
        <v>16</v>
      </c>
      <c r="H5649">
        <v>9</v>
      </c>
      <c r="I5649">
        <v>13.222</v>
      </c>
      <c r="J5649">
        <v>29</v>
      </c>
      <c r="K5649">
        <v>15.778</v>
      </c>
      <c r="L5649">
        <v>8</v>
      </c>
      <c r="M5649">
        <v>0</v>
      </c>
      <c r="N5649">
        <v>1</v>
      </c>
      <c r="O5649" t="s">
        <v>53</v>
      </c>
      <c r="P5649" t="s">
        <v>53</v>
      </c>
      <c r="Q5649" t="s">
        <v>53</v>
      </c>
    </row>
    <row r="5650" spans="1:17" x14ac:dyDescent="0.2">
      <c r="A5650" s="30" t="str">
        <f>IF(C5650&amp;G5650&amp;D5650&lt;&gt;'Funnel setup'!$K$3&amp;'Funnel setup'!$K$4&amp;'Funnel setup'!$K$5,".",IF(A5649=".",1,A5649+1))</f>
        <v>.</v>
      </c>
      <c r="B5650" s="431" t="str">
        <f t="shared" si="88"/>
        <v>Knee Replacement RevisionCCG of GP PracticeNHS RUSHCLIFFE CCG (04N)Oxford Knee Score</v>
      </c>
      <c r="C5650" t="s">
        <v>250</v>
      </c>
      <c r="D5650" t="s">
        <v>87</v>
      </c>
      <c r="E5650" t="s">
        <v>803</v>
      </c>
      <c r="F5650" t="s">
        <v>804</v>
      </c>
      <c r="G5650" t="s">
        <v>16</v>
      </c>
      <c r="H5650" t="s">
        <v>53</v>
      </c>
      <c r="I5650" t="s">
        <v>53</v>
      </c>
      <c r="J5650" t="s">
        <v>53</v>
      </c>
      <c r="K5650" t="s">
        <v>53</v>
      </c>
      <c r="L5650" t="s">
        <v>53</v>
      </c>
      <c r="M5650" t="s">
        <v>53</v>
      </c>
      <c r="N5650" t="s">
        <v>53</v>
      </c>
      <c r="O5650" t="s">
        <v>53</v>
      </c>
      <c r="P5650" t="s">
        <v>53</v>
      </c>
      <c r="Q5650" t="s">
        <v>53</v>
      </c>
    </row>
    <row r="5651" spans="1:17" x14ac:dyDescent="0.2">
      <c r="A5651" s="30" t="str">
        <f>IF(C5651&amp;G5651&amp;D5651&lt;&gt;'Funnel setup'!$K$3&amp;'Funnel setup'!$K$4&amp;'Funnel setup'!$K$5,".",IF(A5650=".",1,A5650+1))</f>
        <v>.</v>
      </c>
      <c r="B5651" s="431" t="str">
        <f t="shared" si="88"/>
        <v>Knee Replacement RevisionCCG of GP PracticeNHS SALFORD CCG (01G)Oxford Knee Score</v>
      </c>
      <c r="C5651" t="s">
        <v>250</v>
      </c>
      <c r="D5651" t="s">
        <v>87</v>
      </c>
      <c r="E5651" t="s">
        <v>806</v>
      </c>
      <c r="F5651" t="s">
        <v>807</v>
      </c>
      <c r="G5651" t="s">
        <v>16</v>
      </c>
      <c r="H5651">
        <v>8</v>
      </c>
      <c r="I5651">
        <v>13</v>
      </c>
      <c r="J5651">
        <v>23.875</v>
      </c>
      <c r="K5651">
        <v>10.875</v>
      </c>
      <c r="L5651">
        <v>6</v>
      </c>
      <c r="M5651">
        <v>0</v>
      </c>
      <c r="N5651">
        <v>2</v>
      </c>
      <c r="O5651" t="s">
        <v>53</v>
      </c>
      <c r="P5651" t="s">
        <v>53</v>
      </c>
      <c r="Q5651" t="s">
        <v>53</v>
      </c>
    </row>
    <row r="5652" spans="1:17" x14ac:dyDescent="0.2">
      <c r="A5652" s="30" t="str">
        <f>IF(C5652&amp;G5652&amp;D5652&lt;&gt;'Funnel setup'!$K$3&amp;'Funnel setup'!$K$4&amp;'Funnel setup'!$K$5,".",IF(A5651=".",1,A5651+1))</f>
        <v>.</v>
      </c>
      <c r="B5652" s="431" t="str">
        <f t="shared" si="88"/>
        <v>Knee Replacement RevisionCCG of GP PracticeNHS SANDWELL AND WEST BIRMINGHAM CCG (05L)Oxford Knee Score</v>
      </c>
      <c r="C5652" t="s">
        <v>250</v>
      </c>
      <c r="D5652" t="s">
        <v>87</v>
      </c>
      <c r="E5652" t="s">
        <v>809</v>
      </c>
      <c r="F5652" t="s">
        <v>810</v>
      </c>
      <c r="G5652" t="s">
        <v>16</v>
      </c>
      <c r="H5652" t="s">
        <v>53</v>
      </c>
      <c r="I5652" t="s">
        <v>53</v>
      </c>
      <c r="J5652" t="s">
        <v>53</v>
      </c>
      <c r="K5652" t="s">
        <v>53</v>
      </c>
      <c r="L5652" t="s">
        <v>53</v>
      </c>
      <c r="M5652" t="s">
        <v>53</v>
      </c>
      <c r="N5652" t="s">
        <v>53</v>
      </c>
      <c r="O5652" t="s">
        <v>53</v>
      </c>
      <c r="P5652" t="s">
        <v>53</v>
      </c>
      <c r="Q5652" t="s">
        <v>53</v>
      </c>
    </row>
    <row r="5653" spans="1:17" x14ac:dyDescent="0.2">
      <c r="A5653" s="30" t="str">
        <f>IF(C5653&amp;G5653&amp;D5653&lt;&gt;'Funnel setup'!$K$3&amp;'Funnel setup'!$K$4&amp;'Funnel setup'!$K$5,".",IF(A5652=".",1,A5652+1))</f>
        <v>.</v>
      </c>
      <c r="B5653" s="431" t="str">
        <f t="shared" si="88"/>
        <v>Knee Replacement RevisionCCG of GP PracticeNHS SCARBOROUGH AND RYEDALE CCG (03M)Oxford Knee Score</v>
      </c>
      <c r="C5653" t="s">
        <v>250</v>
      </c>
      <c r="D5653" t="s">
        <v>87</v>
      </c>
      <c r="E5653" t="s">
        <v>812</v>
      </c>
      <c r="F5653" t="s">
        <v>813</v>
      </c>
      <c r="G5653" t="s">
        <v>16</v>
      </c>
      <c r="H5653">
        <v>9</v>
      </c>
      <c r="I5653">
        <v>13.888999999999999</v>
      </c>
      <c r="J5653">
        <v>28.777999999999999</v>
      </c>
      <c r="K5653">
        <v>14.888999999999999</v>
      </c>
      <c r="L5653">
        <v>8</v>
      </c>
      <c r="M5653">
        <v>0</v>
      </c>
      <c r="N5653">
        <v>1</v>
      </c>
      <c r="O5653" t="s">
        <v>53</v>
      </c>
      <c r="P5653" t="s">
        <v>53</v>
      </c>
      <c r="Q5653" t="s">
        <v>53</v>
      </c>
    </row>
    <row r="5654" spans="1:17" x14ac:dyDescent="0.2">
      <c r="A5654" s="30" t="str">
        <f>IF(C5654&amp;G5654&amp;D5654&lt;&gt;'Funnel setup'!$K$3&amp;'Funnel setup'!$K$4&amp;'Funnel setup'!$K$5,".",IF(A5653=".",1,A5653+1))</f>
        <v>.</v>
      </c>
      <c r="B5654" s="431" t="str">
        <f t="shared" si="88"/>
        <v>Knee Replacement RevisionCCG of GP PracticeNHS SHEFFIELD CCG (03N)Oxford Knee Score</v>
      </c>
      <c r="C5654" t="s">
        <v>250</v>
      </c>
      <c r="D5654" t="s">
        <v>87</v>
      </c>
      <c r="E5654" t="s">
        <v>815</v>
      </c>
      <c r="F5654" t="s">
        <v>816</v>
      </c>
      <c r="G5654" t="s">
        <v>16</v>
      </c>
      <c r="H5654">
        <v>24</v>
      </c>
      <c r="I5654">
        <v>16.957999999999998</v>
      </c>
      <c r="J5654">
        <v>27.667000000000002</v>
      </c>
      <c r="K5654">
        <v>10.708</v>
      </c>
      <c r="L5654">
        <v>22</v>
      </c>
      <c r="M5654">
        <v>0</v>
      </c>
      <c r="N5654">
        <v>2</v>
      </c>
      <c r="O5654" t="s">
        <v>53</v>
      </c>
      <c r="P5654" t="s">
        <v>53</v>
      </c>
      <c r="Q5654" t="s">
        <v>53</v>
      </c>
    </row>
    <row r="5655" spans="1:17" x14ac:dyDescent="0.2">
      <c r="A5655" s="30" t="str">
        <f>IF(C5655&amp;G5655&amp;D5655&lt;&gt;'Funnel setup'!$K$3&amp;'Funnel setup'!$K$4&amp;'Funnel setup'!$K$5,".",IF(A5654=".",1,A5654+1))</f>
        <v>.</v>
      </c>
      <c r="B5655" s="431" t="str">
        <f t="shared" si="88"/>
        <v>Knee Replacement RevisionCCG of GP PracticeNHS SHROPSHIRE CCG (05N)Oxford Knee Score</v>
      </c>
      <c r="C5655" t="s">
        <v>250</v>
      </c>
      <c r="D5655" t="s">
        <v>87</v>
      </c>
      <c r="E5655" t="s">
        <v>818</v>
      </c>
      <c r="F5655" t="s">
        <v>819</v>
      </c>
      <c r="G5655" t="s">
        <v>16</v>
      </c>
      <c r="H5655">
        <v>15</v>
      </c>
      <c r="I5655">
        <v>14.6</v>
      </c>
      <c r="J5655">
        <v>29.2</v>
      </c>
      <c r="K5655">
        <v>14.6</v>
      </c>
      <c r="L5655">
        <v>14</v>
      </c>
      <c r="M5655">
        <v>0</v>
      </c>
      <c r="N5655">
        <v>1</v>
      </c>
      <c r="O5655" t="s">
        <v>53</v>
      </c>
      <c r="P5655" t="s">
        <v>53</v>
      </c>
      <c r="Q5655" t="s">
        <v>53</v>
      </c>
    </row>
    <row r="5656" spans="1:17" x14ac:dyDescent="0.2">
      <c r="A5656" s="30" t="str">
        <f>IF(C5656&amp;G5656&amp;D5656&lt;&gt;'Funnel setup'!$K$3&amp;'Funnel setup'!$K$4&amp;'Funnel setup'!$K$5,".",IF(A5655=".",1,A5655+1))</f>
        <v>.</v>
      </c>
      <c r="B5656" s="431" t="str">
        <f t="shared" si="88"/>
        <v>Knee Replacement RevisionCCG of GP PracticeNHS SLOUGH CCG (10T)Oxford Knee Score</v>
      </c>
      <c r="C5656" t="s">
        <v>250</v>
      </c>
      <c r="D5656" t="s">
        <v>87</v>
      </c>
      <c r="E5656" t="s">
        <v>821</v>
      </c>
      <c r="F5656" t="s">
        <v>822</v>
      </c>
      <c r="G5656" t="s">
        <v>16</v>
      </c>
      <c r="H5656" t="s">
        <v>53</v>
      </c>
      <c r="I5656" t="s">
        <v>53</v>
      </c>
      <c r="J5656" t="s">
        <v>53</v>
      </c>
      <c r="K5656" t="s">
        <v>53</v>
      </c>
      <c r="L5656" t="s">
        <v>53</v>
      </c>
      <c r="M5656" t="s">
        <v>53</v>
      </c>
      <c r="N5656" t="s">
        <v>53</v>
      </c>
      <c r="O5656" t="s">
        <v>53</v>
      </c>
      <c r="P5656" t="s">
        <v>53</v>
      </c>
      <c r="Q5656" t="s">
        <v>53</v>
      </c>
    </row>
    <row r="5657" spans="1:17" x14ac:dyDescent="0.2">
      <c r="A5657" s="30" t="str">
        <f>IF(C5657&amp;G5657&amp;D5657&lt;&gt;'Funnel setup'!$K$3&amp;'Funnel setup'!$K$4&amp;'Funnel setup'!$K$5,".",IF(A5656=".",1,A5656+1))</f>
        <v>.</v>
      </c>
      <c r="B5657" s="431" t="str">
        <f t="shared" si="88"/>
        <v>Knee Replacement RevisionCCG of GP PracticeNHS SOLIHULL CCG (05P)Oxford Knee Score</v>
      </c>
      <c r="C5657" t="s">
        <v>250</v>
      </c>
      <c r="D5657" t="s">
        <v>87</v>
      </c>
      <c r="E5657" t="s">
        <v>824</v>
      </c>
      <c r="F5657" t="s">
        <v>825</v>
      </c>
      <c r="G5657" t="s">
        <v>16</v>
      </c>
      <c r="H5657">
        <v>7</v>
      </c>
      <c r="I5657">
        <v>15.571</v>
      </c>
      <c r="J5657">
        <v>25.286000000000001</v>
      </c>
      <c r="K5657">
        <v>9.7140000000000004</v>
      </c>
      <c r="L5657">
        <v>6</v>
      </c>
      <c r="M5657">
        <v>0</v>
      </c>
      <c r="N5657">
        <v>1</v>
      </c>
      <c r="O5657" t="s">
        <v>53</v>
      </c>
      <c r="P5657" t="s">
        <v>53</v>
      </c>
      <c r="Q5657" t="s">
        <v>53</v>
      </c>
    </row>
    <row r="5658" spans="1:17" x14ac:dyDescent="0.2">
      <c r="A5658" s="30" t="str">
        <f>IF(C5658&amp;G5658&amp;D5658&lt;&gt;'Funnel setup'!$K$3&amp;'Funnel setup'!$K$4&amp;'Funnel setup'!$K$5,".",IF(A5657=".",1,A5657+1))</f>
        <v>.</v>
      </c>
      <c r="B5658" s="431" t="str">
        <f t="shared" si="88"/>
        <v>Knee Replacement RevisionCCG of GP PracticeNHS SOMERSET CCG (11X)Oxford Knee Score</v>
      </c>
      <c r="C5658" t="s">
        <v>250</v>
      </c>
      <c r="D5658" t="s">
        <v>87</v>
      </c>
      <c r="E5658" t="s">
        <v>827</v>
      </c>
      <c r="F5658" t="s">
        <v>828</v>
      </c>
      <c r="G5658" t="s">
        <v>16</v>
      </c>
      <c r="H5658">
        <v>8</v>
      </c>
      <c r="I5658">
        <v>18.25</v>
      </c>
      <c r="J5658">
        <v>31.25</v>
      </c>
      <c r="K5658">
        <v>13</v>
      </c>
      <c r="L5658">
        <v>7</v>
      </c>
      <c r="M5658">
        <v>0</v>
      </c>
      <c r="N5658">
        <v>1</v>
      </c>
      <c r="O5658" t="s">
        <v>53</v>
      </c>
      <c r="P5658" t="s">
        <v>53</v>
      </c>
      <c r="Q5658" t="s">
        <v>53</v>
      </c>
    </row>
    <row r="5659" spans="1:17" x14ac:dyDescent="0.2">
      <c r="A5659" s="30" t="str">
        <f>IF(C5659&amp;G5659&amp;D5659&lt;&gt;'Funnel setup'!$K$3&amp;'Funnel setup'!$K$4&amp;'Funnel setup'!$K$5,".",IF(A5658=".",1,A5658+1))</f>
        <v>.</v>
      </c>
      <c r="B5659" s="431" t="str">
        <f t="shared" si="88"/>
        <v>Knee Replacement RevisionCCG of GP PracticeNHS SOUTH CHESHIRE CCG (01R)Oxford Knee Score</v>
      </c>
      <c r="C5659" t="s">
        <v>250</v>
      </c>
      <c r="D5659" t="s">
        <v>87</v>
      </c>
      <c r="E5659" t="s">
        <v>830</v>
      </c>
      <c r="F5659" t="s">
        <v>831</v>
      </c>
      <c r="G5659" t="s">
        <v>16</v>
      </c>
      <c r="H5659">
        <v>7</v>
      </c>
      <c r="I5659">
        <v>16.286000000000001</v>
      </c>
      <c r="J5659">
        <v>35.286000000000001</v>
      </c>
      <c r="K5659">
        <v>19</v>
      </c>
      <c r="L5659">
        <v>7</v>
      </c>
      <c r="M5659">
        <v>0</v>
      </c>
      <c r="N5659">
        <v>0</v>
      </c>
      <c r="O5659" t="s">
        <v>53</v>
      </c>
      <c r="P5659" t="s">
        <v>53</v>
      </c>
      <c r="Q5659" t="s">
        <v>53</v>
      </c>
    </row>
    <row r="5660" spans="1:17" x14ac:dyDescent="0.2">
      <c r="A5660" s="30" t="str">
        <f>IF(C5660&amp;G5660&amp;D5660&lt;&gt;'Funnel setup'!$K$3&amp;'Funnel setup'!$K$4&amp;'Funnel setup'!$K$5,".",IF(A5659=".",1,A5659+1))</f>
        <v>.</v>
      </c>
      <c r="B5660" s="431" t="str">
        <f t="shared" si="88"/>
        <v>Knee Replacement RevisionCCG of GP PracticeNHS SOUTH DEVON AND TORBAY CCG (99Q)Oxford Knee Score</v>
      </c>
      <c r="C5660" t="s">
        <v>250</v>
      </c>
      <c r="D5660" t="s">
        <v>87</v>
      </c>
      <c r="E5660" t="s">
        <v>833</v>
      </c>
      <c r="F5660" t="s">
        <v>834</v>
      </c>
      <c r="G5660" t="s">
        <v>16</v>
      </c>
      <c r="H5660">
        <v>14</v>
      </c>
      <c r="I5660">
        <v>20</v>
      </c>
      <c r="J5660">
        <v>36.786000000000001</v>
      </c>
      <c r="K5660">
        <v>16.786000000000001</v>
      </c>
      <c r="L5660">
        <v>13</v>
      </c>
      <c r="M5660">
        <v>0</v>
      </c>
      <c r="N5660">
        <v>1</v>
      </c>
      <c r="O5660" t="s">
        <v>53</v>
      </c>
      <c r="P5660" t="s">
        <v>53</v>
      </c>
      <c r="Q5660" t="s">
        <v>53</v>
      </c>
    </row>
    <row r="5661" spans="1:17" x14ac:dyDescent="0.2">
      <c r="A5661" s="30" t="str">
        <f>IF(C5661&amp;G5661&amp;D5661&lt;&gt;'Funnel setup'!$K$3&amp;'Funnel setup'!$K$4&amp;'Funnel setup'!$K$5,".",IF(A5660=".",1,A5660+1))</f>
        <v>.</v>
      </c>
      <c r="B5661" s="431" t="str">
        <f t="shared" si="88"/>
        <v>Knee Replacement RevisionCCG of GP PracticeNHS SOUTH EAST STAFFORDSHIRE AND SEISDON PENINSULA CCG (05Q)Oxford Knee Score</v>
      </c>
      <c r="C5661" t="s">
        <v>250</v>
      </c>
      <c r="D5661" t="s">
        <v>87</v>
      </c>
      <c r="E5661" t="s">
        <v>836</v>
      </c>
      <c r="F5661" t="s">
        <v>837</v>
      </c>
      <c r="G5661" t="s">
        <v>16</v>
      </c>
      <c r="H5661">
        <v>7</v>
      </c>
      <c r="I5661">
        <v>17.713999999999999</v>
      </c>
      <c r="J5661">
        <v>29.143000000000001</v>
      </c>
      <c r="K5661">
        <v>11.429</v>
      </c>
      <c r="L5661">
        <v>7</v>
      </c>
      <c r="M5661">
        <v>0</v>
      </c>
      <c r="N5661">
        <v>0</v>
      </c>
      <c r="O5661" t="s">
        <v>53</v>
      </c>
      <c r="P5661" t="s">
        <v>53</v>
      </c>
      <c r="Q5661" t="s">
        <v>53</v>
      </c>
    </row>
    <row r="5662" spans="1:17" x14ac:dyDescent="0.2">
      <c r="A5662" s="30" t="str">
        <f>IF(C5662&amp;G5662&amp;D5662&lt;&gt;'Funnel setup'!$K$3&amp;'Funnel setup'!$K$4&amp;'Funnel setup'!$K$5,".",IF(A5661=".",1,A5661+1))</f>
        <v>.</v>
      </c>
      <c r="B5662" s="431" t="str">
        <f t="shared" si="88"/>
        <v>Knee Replacement RevisionCCG of GP PracticeNHS SOUTH EASTERN HAMPSHIRE CCG (10V)Oxford Knee Score</v>
      </c>
      <c r="C5662" t="s">
        <v>250</v>
      </c>
      <c r="D5662" t="s">
        <v>87</v>
      </c>
      <c r="E5662" t="s">
        <v>839</v>
      </c>
      <c r="F5662" t="s">
        <v>840</v>
      </c>
      <c r="G5662" t="s">
        <v>16</v>
      </c>
      <c r="H5662" t="s">
        <v>53</v>
      </c>
      <c r="I5662" t="s">
        <v>53</v>
      </c>
      <c r="J5662" t="s">
        <v>53</v>
      </c>
      <c r="K5662" t="s">
        <v>53</v>
      </c>
      <c r="L5662" t="s">
        <v>53</v>
      </c>
      <c r="M5662" t="s">
        <v>53</v>
      </c>
      <c r="N5662" t="s">
        <v>53</v>
      </c>
      <c r="O5662" t="s">
        <v>53</v>
      </c>
      <c r="P5662" t="s">
        <v>53</v>
      </c>
      <c r="Q5662" t="s">
        <v>53</v>
      </c>
    </row>
    <row r="5663" spans="1:17" x14ac:dyDescent="0.2">
      <c r="A5663" s="30" t="str">
        <f>IF(C5663&amp;G5663&amp;D5663&lt;&gt;'Funnel setup'!$K$3&amp;'Funnel setup'!$K$4&amp;'Funnel setup'!$K$5,".",IF(A5662=".",1,A5662+1))</f>
        <v>.</v>
      </c>
      <c r="B5663" s="431" t="str">
        <f t="shared" si="88"/>
        <v>Knee Replacement RevisionCCG of GP PracticeNHS SOUTH GLOUCESTERSHIRE CCG (12A)Oxford Knee Score</v>
      </c>
      <c r="C5663" t="s">
        <v>250</v>
      </c>
      <c r="D5663" t="s">
        <v>87</v>
      </c>
      <c r="E5663" t="s">
        <v>842</v>
      </c>
      <c r="F5663" t="s">
        <v>843</v>
      </c>
      <c r="G5663" t="s">
        <v>16</v>
      </c>
      <c r="H5663">
        <v>6</v>
      </c>
      <c r="I5663">
        <v>14.333</v>
      </c>
      <c r="J5663">
        <v>30.5</v>
      </c>
      <c r="K5663">
        <v>16.167000000000002</v>
      </c>
      <c r="L5663">
        <v>6</v>
      </c>
      <c r="M5663">
        <v>0</v>
      </c>
      <c r="N5663">
        <v>0</v>
      </c>
      <c r="O5663" t="s">
        <v>53</v>
      </c>
      <c r="P5663" t="s">
        <v>53</v>
      </c>
      <c r="Q5663" t="s">
        <v>53</v>
      </c>
    </row>
    <row r="5664" spans="1:17" x14ac:dyDescent="0.2">
      <c r="A5664" s="30" t="str">
        <f>IF(C5664&amp;G5664&amp;D5664&lt;&gt;'Funnel setup'!$K$3&amp;'Funnel setup'!$K$4&amp;'Funnel setup'!$K$5,".",IF(A5663=".",1,A5663+1))</f>
        <v>.</v>
      </c>
      <c r="B5664" s="431" t="str">
        <f t="shared" si="88"/>
        <v>Knee Replacement RevisionCCG of GP PracticeNHS SOUTH KENT COAST CCG (10A)Oxford Knee Score</v>
      </c>
      <c r="C5664" t="s">
        <v>250</v>
      </c>
      <c r="D5664" t="s">
        <v>87</v>
      </c>
      <c r="E5664" t="s">
        <v>845</v>
      </c>
      <c r="F5664" t="s">
        <v>846</v>
      </c>
      <c r="G5664" t="s">
        <v>16</v>
      </c>
      <c r="H5664" t="s">
        <v>53</v>
      </c>
      <c r="I5664" t="s">
        <v>53</v>
      </c>
      <c r="J5664" t="s">
        <v>53</v>
      </c>
      <c r="K5664" t="s">
        <v>53</v>
      </c>
      <c r="L5664" t="s">
        <v>53</v>
      </c>
      <c r="M5664" t="s">
        <v>53</v>
      </c>
      <c r="N5664" t="s">
        <v>53</v>
      </c>
      <c r="O5664" t="s">
        <v>53</v>
      </c>
      <c r="P5664" t="s">
        <v>53</v>
      </c>
      <c r="Q5664" t="s">
        <v>53</v>
      </c>
    </row>
    <row r="5665" spans="1:17" x14ac:dyDescent="0.2">
      <c r="A5665" s="30" t="str">
        <f>IF(C5665&amp;G5665&amp;D5665&lt;&gt;'Funnel setup'!$K$3&amp;'Funnel setup'!$K$4&amp;'Funnel setup'!$K$5,".",IF(A5664=".",1,A5664+1))</f>
        <v>.</v>
      </c>
      <c r="B5665" s="431" t="str">
        <f t="shared" si="88"/>
        <v>Knee Replacement RevisionCCG of GP PracticeNHS SOUTH LINCOLNSHIRE CCG (99D)Oxford Knee Score</v>
      </c>
      <c r="C5665" t="s">
        <v>250</v>
      </c>
      <c r="D5665" t="s">
        <v>87</v>
      </c>
      <c r="E5665" t="s">
        <v>848</v>
      </c>
      <c r="F5665" t="s">
        <v>849</v>
      </c>
      <c r="G5665" t="s">
        <v>16</v>
      </c>
      <c r="H5665">
        <v>8</v>
      </c>
      <c r="I5665">
        <v>14.875</v>
      </c>
      <c r="J5665">
        <v>21.375</v>
      </c>
      <c r="K5665">
        <v>6.5</v>
      </c>
      <c r="L5665">
        <v>6</v>
      </c>
      <c r="M5665">
        <v>2</v>
      </c>
      <c r="N5665">
        <v>0</v>
      </c>
      <c r="O5665" t="s">
        <v>53</v>
      </c>
      <c r="P5665" t="s">
        <v>53</v>
      </c>
      <c r="Q5665" t="s">
        <v>53</v>
      </c>
    </row>
    <row r="5666" spans="1:17" x14ac:dyDescent="0.2">
      <c r="A5666" s="30" t="str">
        <f>IF(C5666&amp;G5666&amp;D5666&lt;&gt;'Funnel setup'!$K$3&amp;'Funnel setup'!$K$4&amp;'Funnel setup'!$K$5,".",IF(A5665=".",1,A5665+1))</f>
        <v>.</v>
      </c>
      <c r="B5666" s="431" t="str">
        <f t="shared" si="88"/>
        <v>Knee Replacement RevisionCCG of GP PracticeNHS SOUTH MANCHESTER CCG (01N)Oxford Knee Score</v>
      </c>
      <c r="C5666" t="s">
        <v>250</v>
      </c>
      <c r="D5666" t="s">
        <v>87</v>
      </c>
      <c r="E5666" t="s">
        <v>851</v>
      </c>
      <c r="F5666" t="s">
        <v>852</v>
      </c>
      <c r="G5666" t="s">
        <v>16</v>
      </c>
      <c r="H5666" t="s">
        <v>53</v>
      </c>
      <c r="I5666" t="s">
        <v>53</v>
      </c>
      <c r="J5666" t="s">
        <v>53</v>
      </c>
      <c r="K5666" t="s">
        <v>53</v>
      </c>
      <c r="L5666" t="s">
        <v>53</v>
      </c>
      <c r="M5666" t="s">
        <v>53</v>
      </c>
      <c r="N5666" t="s">
        <v>53</v>
      </c>
      <c r="O5666" t="s">
        <v>53</v>
      </c>
      <c r="P5666" t="s">
        <v>53</v>
      </c>
      <c r="Q5666" t="s">
        <v>53</v>
      </c>
    </row>
    <row r="5667" spans="1:17" x14ac:dyDescent="0.2">
      <c r="A5667" s="30" t="str">
        <f>IF(C5667&amp;G5667&amp;D5667&lt;&gt;'Funnel setup'!$K$3&amp;'Funnel setup'!$K$4&amp;'Funnel setup'!$K$5,".",IF(A5666=".",1,A5666+1))</f>
        <v>.</v>
      </c>
      <c r="B5667" s="431" t="str">
        <f t="shared" si="88"/>
        <v>Knee Replacement RevisionCCG of GP PracticeNHS SOUTH NORFOLK CCG (06Y)Oxford Knee Score</v>
      </c>
      <c r="C5667" t="s">
        <v>250</v>
      </c>
      <c r="D5667" t="s">
        <v>87</v>
      </c>
      <c r="E5667" t="s">
        <v>932</v>
      </c>
      <c r="F5667" t="s">
        <v>933</v>
      </c>
      <c r="G5667" t="s">
        <v>16</v>
      </c>
      <c r="H5667">
        <v>16</v>
      </c>
      <c r="I5667">
        <v>15.625</v>
      </c>
      <c r="J5667">
        <v>33.313000000000002</v>
      </c>
      <c r="K5667">
        <v>17.687999999999999</v>
      </c>
      <c r="L5667">
        <v>14</v>
      </c>
      <c r="M5667">
        <v>0</v>
      </c>
      <c r="N5667">
        <v>2</v>
      </c>
      <c r="O5667" t="s">
        <v>53</v>
      </c>
      <c r="P5667" t="s">
        <v>53</v>
      </c>
      <c r="Q5667" t="s">
        <v>53</v>
      </c>
    </row>
    <row r="5668" spans="1:17" x14ac:dyDescent="0.2">
      <c r="A5668" s="30" t="str">
        <f>IF(C5668&amp;G5668&amp;D5668&lt;&gt;'Funnel setup'!$K$3&amp;'Funnel setup'!$K$4&amp;'Funnel setup'!$K$5,".",IF(A5667=".",1,A5667+1))</f>
        <v>.</v>
      </c>
      <c r="B5668" s="431" t="str">
        <f t="shared" si="88"/>
        <v>Knee Replacement RevisionCCG of GP PracticeNHS SOUTH READING CCG (10W)Oxford Knee Score</v>
      </c>
      <c r="C5668" t="s">
        <v>250</v>
      </c>
      <c r="D5668" t="s">
        <v>87</v>
      </c>
      <c r="E5668" t="s">
        <v>935</v>
      </c>
      <c r="F5668" t="s">
        <v>936</v>
      </c>
      <c r="G5668" t="s">
        <v>16</v>
      </c>
      <c r="H5668" t="s">
        <v>53</v>
      </c>
      <c r="I5668" t="s">
        <v>53</v>
      </c>
      <c r="J5668" t="s">
        <v>53</v>
      </c>
      <c r="K5668" t="s">
        <v>53</v>
      </c>
      <c r="L5668" t="s">
        <v>53</v>
      </c>
      <c r="M5668" t="s">
        <v>53</v>
      </c>
      <c r="N5668" t="s">
        <v>53</v>
      </c>
      <c r="O5668" t="s">
        <v>53</v>
      </c>
      <c r="P5668" t="s">
        <v>53</v>
      </c>
      <c r="Q5668" t="s">
        <v>53</v>
      </c>
    </row>
    <row r="5669" spans="1:17" x14ac:dyDescent="0.2">
      <c r="A5669" s="30" t="str">
        <f>IF(C5669&amp;G5669&amp;D5669&lt;&gt;'Funnel setup'!$K$3&amp;'Funnel setup'!$K$4&amp;'Funnel setup'!$K$5,".",IF(A5668=".",1,A5668+1))</f>
        <v>.</v>
      </c>
      <c r="B5669" s="431" t="str">
        <f t="shared" si="88"/>
        <v>Knee Replacement RevisionCCG of GP PracticeNHS SOUTH SEFTON CCG (01T)Oxford Knee Score</v>
      </c>
      <c r="C5669" t="s">
        <v>250</v>
      </c>
      <c r="D5669" t="s">
        <v>87</v>
      </c>
      <c r="E5669" t="s">
        <v>938</v>
      </c>
      <c r="F5669" t="s">
        <v>939</v>
      </c>
      <c r="G5669" t="s">
        <v>16</v>
      </c>
      <c r="H5669" t="s">
        <v>53</v>
      </c>
      <c r="I5669" t="s">
        <v>53</v>
      </c>
      <c r="J5669" t="s">
        <v>53</v>
      </c>
      <c r="K5669" t="s">
        <v>53</v>
      </c>
      <c r="L5669" t="s">
        <v>53</v>
      </c>
      <c r="M5669" t="s">
        <v>53</v>
      </c>
      <c r="N5669" t="s">
        <v>53</v>
      </c>
      <c r="O5669" t="s">
        <v>53</v>
      </c>
      <c r="P5669" t="s">
        <v>53</v>
      </c>
      <c r="Q5669" t="s">
        <v>53</v>
      </c>
    </row>
    <row r="5670" spans="1:17" x14ac:dyDescent="0.2">
      <c r="A5670" s="30" t="str">
        <f>IF(C5670&amp;G5670&amp;D5670&lt;&gt;'Funnel setup'!$K$3&amp;'Funnel setup'!$K$4&amp;'Funnel setup'!$K$5,".",IF(A5669=".",1,A5669+1))</f>
        <v>.</v>
      </c>
      <c r="B5670" s="431" t="str">
        <f t="shared" si="88"/>
        <v>Knee Replacement RevisionCCG of GP PracticeNHS SOUTH TEES CCG (00M)Oxford Knee Score</v>
      </c>
      <c r="C5670" t="s">
        <v>250</v>
      </c>
      <c r="D5670" t="s">
        <v>87</v>
      </c>
      <c r="E5670" t="s">
        <v>941</v>
      </c>
      <c r="F5670" t="s">
        <v>942</v>
      </c>
      <c r="G5670" t="s">
        <v>16</v>
      </c>
      <c r="H5670">
        <v>7</v>
      </c>
      <c r="I5670">
        <v>15.286</v>
      </c>
      <c r="J5670">
        <v>25</v>
      </c>
      <c r="K5670">
        <v>9.7140000000000004</v>
      </c>
      <c r="L5670">
        <v>7</v>
      </c>
      <c r="M5670">
        <v>0</v>
      </c>
      <c r="N5670">
        <v>0</v>
      </c>
      <c r="O5670" t="s">
        <v>53</v>
      </c>
      <c r="P5670" t="s">
        <v>53</v>
      </c>
      <c r="Q5670" t="s">
        <v>53</v>
      </c>
    </row>
    <row r="5671" spans="1:17" x14ac:dyDescent="0.2">
      <c r="A5671" s="30" t="str">
        <f>IF(C5671&amp;G5671&amp;D5671&lt;&gt;'Funnel setup'!$K$3&amp;'Funnel setup'!$K$4&amp;'Funnel setup'!$K$5,".",IF(A5670=".",1,A5670+1))</f>
        <v>.</v>
      </c>
      <c r="B5671" s="431" t="str">
        <f t="shared" si="88"/>
        <v>Knee Replacement RevisionCCG of GP PracticeNHS SOUTH TYNESIDE CCG (00N)Oxford Knee Score</v>
      </c>
      <c r="C5671" t="s">
        <v>250</v>
      </c>
      <c r="D5671" t="s">
        <v>87</v>
      </c>
      <c r="E5671" t="s">
        <v>1016</v>
      </c>
      <c r="F5671" t="s">
        <v>1017</v>
      </c>
      <c r="G5671" t="s">
        <v>16</v>
      </c>
      <c r="H5671" t="s">
        <v>53</v>
      </c>
      <c r="I5671" t="s">
        <v>53</v>
      </c>
      <c r="J5671" t="s">
        <v>53</v>
      </c>
      <c r="K5671" t="s">
        <v>53</v>
      </c>
      <c r="L5671" t="s">
        <v>53</v>
      </c>
      <c r="M5671" t="s">
        <v>53</v>
      </c>
      <c r="N5671" t="s">
        <v>53</v>
      </c>
      <c r="O5671" t="s">
        <v>53</v>
      </c>
      <c r="P5671" t="s">
        <v>53</v>
      </c>
      <c r="Q5671" t="s">
        <v>53</v>
      </c>
    </row>
    <row r="5672" spans="1:17" x14ac:dyDescent="0.2">
      <c r="A5672" s="30" t="str">
        <f>IF(C5672&amp;G5672&amp;D5672&lt;&gt;'Funnel setup'!$K$3&amp;'Funnel setup'!$K$4&amp;'Funnel setup'!$K$5,".",IF(A5671=".",1,A5671+1))</f>
        <v>.</v>
      </c>
      <c r="B5672" s="431" t="str">
        <f t="shared" si="88"/>
        <v>Knee Replacement RevisionCCG of GP PracticeNHS SOUTH WARWICKSHIRE CCG (05R)Oxford Knee Score</v>
      </c>
      <c r="C5672" t="s">
        <v>250</v>
      </c>
      <c r="D5672" t="s">
        <v>87</v>
      </c>
      <c r="E5672" t="s">
        <v>944</v>
      </c>
      <c r="F5672" t="s">
        <v>945</v>
      </c>
      <c r="G5672" t="s">
        <v>16</v>
      </c>
      <c r="H5672">
        <v>14</v>
      </c>
      <c r="I5672">
        <v>20.786000000000001</v>
      </c>
      <c r="J5672">
        <v>33.213999999999999</v>
      </c>
      <c r="K5672">
        <v>12.429</v>
      </c>
      <c r="L5672">
        <v>13</v>
      </c>
      <c r="M5672">
        <v>0</v>
      </c>
      <c r="N5672">
        <v>1</v>
      </c>
      <c r="O5672" t="s">
        <v>53</v>
      </c>
      <c r="P5672" t="s">
        <v>53</v>
      </c>
      <c r="Q5672" t="s">
        <v>53</v>
      </c>
    </row>
    <row r="5673" spans="1:17" x14ac:dyDescent="0.2">
      <c r="A5673" s="30" t="str">
        <f>IF(C5673&amp;G5673&amp;D5673&lt;&gt;'Funnel setup'!$K$3&amp;'Funnel setup'!$K$4&amp;'Funnel setup'!$K$5,".",IF(A5672=".",1,A5672+1))</f>
        <v>.</v>
      </c>
      <c r="B5673" s="431" t="str">
        <f t="shared" si="88"/>
        <v>Knee Replacement RevisionCCG of GP PracticeNHS SOUTH WEST LINCOLNSHIRE CCG (04Q)Oxford Knee Score</v>
      </c>
      <c r="C5673" t="s">
        <v>250</v>
      </c>
      <c r="D5673" t="s">
        <v>87</v>
      </c>
      <c r="E5673" t="s">
        <v>947</v>
      </c>
      <c r="F5673" t="s">
        <v>948</v>
      </c>
      <c r="G5673" t="s">
        <v>16</v>
      </c>
      <c r="H5673" t="s">
        <v>53</v>
      </c>
      <c r="I5673" t="s">
        <v>53</v>
      </c>
      <c r="J5673" t="s">
        <v>53</v>
      </c>
      <c r="K5673" t="s">
        <v>53</v>
      </c>
      <c r="L5673" t="s">
        <v>53</v>
      </c>
      <c r="M5673" t="s">
        <v>53</v>
      </c>
      <c r="N5673" t="s">
        <v>53</v>
      </c>
      <c r="O5673" t="s">
        <v>53</v>
      </c>
      <c r="P5673" t="s">
        <v>53</v>
      </c>
      <c r="Q5673" t="s">
        <v>53</v>
      </c>
    </row>
    <row r="5674" spans="1:17" x14ac:dyDescent="0.2">
      <c r="A5674" s="30" t="str">
        <f>IF(C5674&amp;G5674&amp;D5674&lt;&gt;'Funnel setup'!$K$3&amp;'Funnel setup'!$K$4&amp;'Funnel setup'!$K$5,".",IF(A5673=".",1,A5673+1))</f>
        <v>.</v>
      </c>
      <c r="B5674" s="431" t="str">
        <f t="shared" si="88"/>
        <v>Knee Replacement RevisionCCG of GP PracticeNHS SOUTH WORCESTERSHIRE CCG (05T)Oxford Knee Score</v>
      </c>
      <c r="C5674" t="s">
        <v>250</v>
      </c>
      <c r="D5674" t="s">
        <v>87</v>
      </c>
      <c r="E5674" t="s">
        <v>950</v>
      </c>
      <c r="F5674" t="s">
        <v>951</v>
      </c>
      <c r="G5674" t="s">
        <v>16</v>
      </c>
      <c r="H5674">
        <v>10</v>
      </c>
      <c r="I5674">
        <v>18.2</v>
      </c>
      <c r="J5674">
        <v>34.700000000000003</v>
      </c>
      <c r="K5674">
        <v>16.5</v>
      </c>
      <c r="L5674">
        <v>10</v>
      </c>
      <c r="M5674">
        <v>0</v>
      </c>
      <c r="N5674">
        <v>0</v>
      </c>
      <c r="O5674" t="s">
        <v>53</v>
      </c>
      <c r="P5674" t="s">
        <v>53</v>
      </c>
      <c r="Q5674" t="s">
        <v>53</v>
      </c>
    </row>
    <row r="5675" spans="1:17" x14ac:dyDescent="0.2">
      <c r="A5675" s="30" t="str">
        <f>IF(C5675&amp;G5675&amp;D5675&lt;&gt;'Funnel setup'!$K$3&amp;'Funnel setup'!$K$4&amp;'Funnel setup'!$K$5,".",IF(A5674=".",1,A5674+1))</f>
        <v>.</v>
      </c>
      <c r="B5675" s="431" t="str">
        <f t="shared" si="88"/>
        <v>Knee Replacement RevisionCCG of GP PracticeNHS SOUTHAMPTON CCG (10X)Oxford Knee Score</v>
      </c>
      <c r="C5675" t="s">
        <v>250</v>
      </c>
      <c r="D5675" t="s">
        <v>87</v>
      </c>
      <c r="E5675" t="s">
        <v>953</v>
      </c>
      <c r="F5675" t="s">
        <v>954</v>
      </c>
      <c r="G5675" t="s">
        <v>16</v>
      </c>
      <c r="H5675">
        <v>18</v>
      </c>
      <c r="I5675">
        <v>16.777999999999999</v>
      </c>
      <c r="J5675">
        <v>29.443999999999999</v>
      </c>
      <c r="K5675">
        <v>12.667</v>
      </c>
      <c r="L5675">
        <v>16</v>
      </c>
      <c r="M5675">
        <v>0</v>
      </c>
      <c r="N5675">
        <v>2</v>
      </c>
      <c r="O5675" t="s">
        <v>53</v>
      </c>
      <c r="P5675" t="s">
        <v>53</v>
      </c>
      <c r="Q5675" t="s">
        <v>53</v>
      </c>
    </row>
    <row r="5676" spans="1:17" x14ac:dyDescent="0.2">
      <c r="A5676" s="30" t="str">
        <f>IF(C5676&amp;G5676&amp;D5676&lt;&gt;'Funnel setup'!$K$3&amp;'Funnel setup'!$K$4&amp;'Funnel setup'!$K$5,".",IF(A5675=".",1,A5675+1))</f>
        <v>.</v>
      </c>
      <c r="B5676" s="431" t="str">
        <f t="shared" si="88"/>
        <v>Knee Replacement RevisionCCG of GP PracticeNHS SOUTHERN DERBYSHIRE CCG (04R)Oxford Knee Score</v>
      </c>
      <c r="C5676" t="s">
        <v>250</v>
      </c>
      <c r="D5676" t="s">
        <v>87</v>
      </c>
      <c r="E5676" t="s">
        <v>959</v>
      </c>
      <c r="F5676" t="s">
        <v>960</v>
      </c>
      <c r="G5676" t="s">
        <v>16</v>
      </c>
      <c r="H5676">
        <v>14</v>
      </c>
      <c r="I5676">
        <v>17.713999999999999</v>
      </c>
      <c r="J5676">
        <v>26.213999999999999</v>
      </c>
      <c r="K5676">
        <v>8.5</v>
      </c>
      <c r="L5676">
        <v>11</v>
      </c>
      <c r="M5676">
        <v>0</v>
      </c>
      <c r="N5676">
        <v>3</v>
      </c>
      <c r="O5676" t="s">
        <v>53</v>
      </c>
      <c r="P5676" t="s">
        <v>53</v>
      </c>
      <c r="Q5676" t="s">
        <v>53</v>
      </c>
    </row>
    <row r="5677" spans="1:17" x14ac:dyDescent="0.2">
      <c r="A5677" s="30" t="str">
        <f>IF(C5677&amp;G5677&amp;D5677&lt;&gt;'Funnel setup'!$K$3&amp;'Funnel setup'!$K$4&amp;'Funnel setup'!$K$5,".",IF(A5676=".",1,A5676+1))</f>
        <v>.</v>
      </c>
      <c r="B5677" s="431" t="str">
        <f t="shared" si="88"/>
        <v>Knee Replacement RevisionCCG of GP PracticeNHS SOUTHPORT AND FORMBY CCG (01V)Oxford Knee Score</v>
      </c>
      <c r="C5677" t="s">
        <v>250</v>
      </c>
      <c r="D5677" t="s">
        <v>87</v>
      </c>
      <c r="E5677" t="s">
        <v>962</v>
      </c>
      <c r="F5677" t="s">
        <v>963</v>
      </c>
      <c r="G5677" t="s">
        <v>16</v>
      </c>
      <c r="H5677">
        <v>7</v>
      </c>
      <c r="I5677">
        <v>15</v>
      </c>
      <c r="J5677">
        <v>31.286000000000001</v>
      </c>
      <c r="K5677">
        <v>16.286000000000001</v>
      </c>
      <c r="L5677">
        <v>7</v>
      </c>
      <c r="M5677">
        <v>0</v>
      </c>
      <c r="N5677">
        <v>0</v>
      </c>
      <c r="O5677" t="s">
        <v>53</v>
      </c>
      <c r="P5677" t="s">
        <v>53</v>
      </c>
      <c r="Q5677" t="s">
        <v>53</v>
      </c>
    </row>
    <row r="5678" spans="1:17" x14ac:dyDescent="0.2">
      <c r="A5678" s="30" t="str">
        <f>IF(C5678&amp;G5678&amp;D5678&lt;&gt;'Funnel setup'!$K$3&amp;'Funnel setup'!$K$4&amp;'Funnel setup'!$K$5,".",IF(A5677=".",1,A5677+1))</f>
        <v>.</v>
      </c>
      <c r="B5678" s="431" t="str">
        <f t="shared" si="88"/>
        <v>Knee Replacement RevisionCCG of GP PracticeNHS SOUTHWARK CCG (08Q)Oxford Knee Score</v>
      </c>
      <c r="C5678" t="s">
        <v>250</v>
      </c>
      <c r="D5678" t="s">
        <v>87</v>
      </c>
      <c r="E5678" t="s">
        <v>965</v>
      </c>
      <c r="F5678" t="s">
        <v>966</v>
      </c>
      <c r="G5678" t="s">
        <v>16</v>
      </c>
      <c r="H5678" t="s">
        <v>53</v>
      </c>
      <c r="I5678" t="s">
        <v>53</v>
      </c>
      <c r="J5678" t="s">
        <v>53</v>
      </c>
      <c r="K5678" t="s">
        <v>53</v>
      </c>
      <c r="L5678" t="s">
        <v>53</v>
      </c>
      <c r="M5678" t="s">
        <v>53</v>
      </c>
      <c r="N5678" t="s">
        <v>53</v>
      </c>
      <c r="O5678" t="s">
        <v>53</v>
      </c>
      <c r="P5678" t="s">
        <v>53</v>
      </c>
      <c r="Q5678" t="s">
        <v>53</v>
      </c>
    </row>
    <row r="5679" spans="1:17" x14ac:dyDescent="0.2">
      <c r="A5679" s="30" t="str">
        <f>IF(C5679&amp;G5679&amp;D5679&lt;&gt;'Funnel setup'!$K$3&amp;'Funnel setup'!$K$4&amp;'Funnel setup'!$K$5,".",IF(A5678=".",1,A5678+1))</f>
        <v>.</v>
      </c>
      <c r="B5679" s="431" t="str">
        <f t="shared" si="88"/>
        <v>Knee Replacement RevisionCCG of GP PracticeNHS ST HELENS CCG (01X)Oxford Knee Score</v>
      </c>
      <c r="C5679" t="s">
        <v>250</v>
      </c>
      <c r="D5679" t="s">
        <v>87</v>
      </c>
      <c r="E5679" t="s">
        <v>968</v>
      </c>
      <c r="F5679" t="s">
        <v>969</v>
      </c>
      <c r="G5679" t="s">
        <v>16</v>
      </c>
      <c r="H5679">
        <v>6</v>
      </c>
      <c r="I5679">
        <v>18.5</v>
      </c>
      <c r="J5679">
        <v>26</v>
      </c>
      <c r="K5679">
        <v>7.5</v>
      </c>
      <c r="L5679">
        <v>5</v>
      </c>
      <c r="M5679">
        <v>0</v>
      </c>
      <c r="N5679">
        <v>1</v>
      </c>
      <c r="O5679" t="s">
        <v>53</v>
      </c>
      <c r="P5679" t="s">
        <v>53</v>
      </c>
      <c r="Q5679" t="s">
        <v>53</v>
      </c>
    </row>
    <row r="5680" spans="1:17" x14ac:dyDescent="0.2">
      <c r="A5680" s="30" t="str">
        <f>IF(C5680&amp;G5680&amp;D5680&lt;&gt;'Funnel setup'!$K$3&amp;'Funnel setup'!$K$4&amp;'Funnel setup'!$K$5,".",IF(A5679=".",1,A5679+1))</f>
        <v>.</v>
      </c>
      <c r="B5680" s="431" t="str">
        <f t="shared" si="88"/>
        <v>Knee Replacement RevisionCCG of GP PracticeNHS STAFFORD AND SURROUNDS CCG (05V)Oxford Knee Score</v>
      </c>
      <c r="C5680" t="s">
        <v>250</v>
      </c>
      <c r="D5680" t="s">
        <v>87</v>
      </c>
      <c r="E5680" t="s">
        <v>971</v>
      </c>
      <c r="F5680" t="s">
        <v>972</v>
      </c>
      <c r="G5680" t="s">
        <v>16</v>
      </c>
      <c r="H5680">
        <v>9</v>
      </c>
      <c r="I5680">
        <v>15.333</v>
      </c>
      <c r="J5680">
        <v>28.111000000000001</v>
      </c>
      <c r="K5680">
        <v>12.778</v>
      </c>
      <c r="L5680">
        <v>9</v>
      </c>
      <c r="M5680">
        <v>0</v>
      </c>
      <c r="N5680">
        <v>0</v>
      </c>
      <c r="O5680" t="s">
        <v>53</v>
      </c>
      <c r="P5680" t="s">
        <v>53</v>
      </c>
      <c r="Q5680" t="s">
        <v>53</v>
      </c>
    </row>
    <row r="5681" spans="1:17" x14ac:dyDescent="0.2">
      <c r="A5681" s="30" t="str">
        <f>IF(C5681&amp;G5681&amp;D5681&lt;&gt;'Funnel setup'!$K$3&amp;'Funnel setup'!$K$4&amp;'Funnel setup'!$K$5,".",IF(A5680=".",1,A5680+1))</f>
        <v>.</v>
      </c>
      <c r="B5681" s="431" t="str">
        <f t="shared" si="88"/>
        <v>Knee Replacement RevisionCCG of GP PracticeNHS STOCKPORT CCG (01W)Oxford Knee Score</v>
      </c>
      <c r="C5681" t="s">
        <v>250</v>
      </c>
      <c r="D5681" t="s">
        <v>87</v>
      </c>
      <c r="E5681" t="s">
        <v>974</v>
      </c>
      <c r="F5681" t="s">
        <v>975</v>
      </c>
      <c r="G5681" t="s">
        <v>16</v>
      </c>
      <c r="H5681">
        <v>6</v>
      </c>
      <c r="I5681">
        <v>17.5</v>
      </c>
      <c r="J5681">
        <v>30.832999999999998</v>
      </c>
      <c r="K5681">
        <v>13.333</v>
      </c>
      <c r="L5681">
        <v>5</v>
      </c>
      <c r="M5681">
        <v>1</v>
      </c>
      <c r="N5681">
        <v>0</v>
      </c>
      <c r="O5681" t="s">
        <v>53</v>
      </c>
      <c r="P5681" t="s">
        <v>53</v>
      </c>
      <c r="Q5681" t="s">
        <v>53</v>
      </c>
    </row>
    <row r="5682" spans="1:17" x14ac:dyDescent="0.2">
      <c r="A5682" s="30" t="str">
        <f>IF(C5682&amp;G5682&amp;D5682&lt;&gt;'Funnel setup'!$K$3&amp;'Funnel setup'!$K$4&amp;'Funnel setup'!$K$5,".",IF(A5681=".",1,A5681+1))</f>
        <v>.</v>
      </c>
      <c r="B5682" s="431" t="str">
        <f t="shared" si="88"/>
        <v>Knee Replacement RevisionCCG of GP PracticeNHS STOKE ON TRENT CCG (05W)Oxford Knee Score</v>
      </c>
      <c r="C5682" t="s">
        <v>250</v>
      </c>
      <c r="D5682" t="s">
        <v>87</v>
      </c>
      <c r="E5682" t="s">
        <v>977</v>
      </c>
      <c r="F5682" t="s">
        <v>978</v>
      </c>
      <c r="G5682" t="s">
        <v>16</v>
      </c>
      <c r="H5682" t="s">
        <v>53</v>
      </c>
      <c r="I5682" t="s">
        <v>53</v>
      </c>
      <c r="J5682" t="s">
        <v>53</v>
      </c>
      <c r="K5682" t="s">
        <v>53</v>
      </c>
      <c r="L5682" t="s">
        <v>53</v>
      </c>
      <c r="M5682" t="s">
        <v>53</v>
      </c>
      <c r="N5682" t="s">
        <v>53</v>
      </c>
      <c r="O5682" t="s">
        <v>53</v>
      </c>
      <c r="P5682" t="s">
        <v>53</v>
      </c>
      <c r="Q5682" t="s">
        <v>53</v>
      </c>
    </row>
    <row r="5683" spans="1:17" x14ac:dyDescent="0.2">
      <c r="A5683" s="30" t="str">
        <f>IF(C5683&amp;G5683&amp;D5683&lt;&gt;'Funnel setup'!$K$3&amp;'Funnel setup'!$K$4&amp;'Funnel setup'!$K$5,".",IF(A5682=".",1,A5682+1))</f>
        <v>.</v>
      </c>
      <c r="B5683" s="431" t="str">
        <f t="shared" si="88"/>
        <v>Knee Replacement RevisionCCG of GP PracticeNHS SUNDERLAND CCG (00P)Oxford Knee Score</v>
      </c>
      <c r="C5683" t="s">
        <v>250</v>
      </c>
      <c r="D5683" t="s">
        <v>87</v>
      </c>
      <c r="E5683" t="s">
        <v>980</v>
      </c>
      <c r="F5683" t="s">
        <v>981</v>
      </c>
      <c r="G5683" t="s">
        <v>16</v>
      </c>
      <c r="H5683">
        <v>8</v>
      </c>
      <c r="I5683">
        <v>15.25</v>
      </c>
      <c r="J5683">
        <v>28</v>
      </c>
      <c r="K5683">
        <v>12.75</v>
      </c>
      <c r="L5683">
        <v>6</v>
      </c>
      <c r="M5683">
        <v>0</v>
      </c>
      <c r="N5683">
        <v>2</v>
      </c>
      <c r="O5683" t="s">
        <v>53</v>
      </c>
      <c r="P5683" t="s">
        <v>53</v>
      </c>
      <c r="Q5683" t="s">
        <v>53</v>
      </c>
    </row>
    <row r="5684" spans="1:17" x14ac:dyDescent="0.2">
      <c r="A5684" s="30" t="str">
        <f>IF(C5684&amp;G5684&amp;D5684&lt;&gt;'Funnel setup'!$K$3&amp;'Funnel setup'!$K$4&amp;'Funnel setup'!$K$5,".",IF(A5683=".",1,A5683+1))</f>
        <v>.</v>
      </c>
      <c r="B5684" s="431" t="str">
        <f t="shared" si="88"/>
        <v>Knee Replacement RevisionCCG of GP PracticeNHS SURREY DOWNS CCG (99H)Oxford Knee Score</v>
      </c>
      <c r="C5684" t="s">
        <v>250</v>
      </c>
      <c r="D5684" t="s">
        <v>87</v>
      </c>
      <c r="E5684" t="s">
        <v>983</v>
      </c>
      <c r="F5684" t="s">
        <v>984</v>
      </c>
      <c r="G5684" t="s">
        <v>16</v>
      </c>
      <c r="H5684">
        <v>6</v>
      </c>
      <c r="I5684">
        <v>18.5</v>
      </c>
      <c r="J5684">
        <v>35.5</v>
      </c>
      <c r="K5684">
        <v>17</v>
      </c>
      <c r="L5684">
        <v>6</v>
      </c>
      <c r="M5684">
        <v>0</v>
      </c>
      <c r="N5684">
        <v>0</v>
      </c>
      <c r="O5684" t="s">
        <v>53</v>
      </c>
      <c r="P5684" t="s">
        <v>53</v>
      </c>
      <c r="Q5684" t="s">
        <v>53</v>
      </c>
    </row>
    <row r="5685" spans="1:17" x14ac:dyDescent="0.2">
      <c r="A5685" s="30" t="str">
        <f>IF(C5685&amp;G5685&amp;D5685&lt;&gt;'Funnel setup'!$K$3&amp;'Funnel setup'!$K$4&amp;'Funnel setup'!$K$5,".",IF(A5684=".",1,A5684+1))</f>
        <v>.</v>
      </c>
      <c r="B5685" s="431" t="str">
        <f t="shared" si="88"/>
        <v>Knee Replacement RevisionCCG of GP PracticeNHS SURREY HEATH CCG (10C)Oxford Knee Score</v>
      </c>
      <c r="C5685" t="s">
        <v>250</v>
      </c>
      <c r="D5685" t="s">
        <v>87</v>
      </c>
      <c r="E5685" t="s">
        <v>986</v>
      </c>
      <c r="F5685" t="s">
        <v>987</v>
      </c>
      <c r="G5685" t="s">
        <v>16</v>
      </c>
      <c r="H5685" t="s">
        <v>53</v>
      </c>
      <c r="I5685" t="s">
        <v>53</v>
      </c>
      <c r="J5685" t="s">
        <v>53</v>
      </c>
      <c r="K5685" t="s">
        <v>53</v>
      </c>
      <c r="L5685" t="s">
        <v>53</v>
      </c>
      <c r="M5685" t="s">
        <v>53</v>
      </c>
      <c r="N5685" t="s">
        <v>53</v>
      </c>
      <c r="O5685" t="s">
        <v>53</v>
      </c>
      <c r="P5685" t="s">
        <v>53</v>
      </c>
      <c r="Q5685" t="s">
        <v>53</v>
      </c>
    </row>
    <row r="5686" spans="1:17" x14ac:dyDescent="0.2">
      <c r="A5686" s="30" t="str">
        <f>IF(C5686&amp;G5686&amp;D5686&lt;&gt;'Funnel setup'!$K$3&amp;'Funnel setup'!$K$4&amp;'Funnel setup'!$K$5,".",IF(A5685=".",1,A5685+1))</f>
        <v>.</v>
      </c>
      <c r="B5686" s="431" t="str">
        <f t="shared" si="88"/>
        <v>Knee Replacement RevisionCCG of GP PracticeNHS SUTTON CCG (08T)Oxford Knee Score</v>
      </c>
      <c r="C5686" t="s">
        <v>250</v>
      </c>
      <c r="D5686" t="s">
        <v>87</v>
      </c>
      <c r="E5686" t="s">
        <v>989</v>
      </c>
      <c r="F5686" t="s">
        <v>990</v>
      </c>
      <c r="G5686" t="s">
        <v>16</v>
      </c>
      <c r="H5686" t="s">
        <v>53</v>
      </c>
      <c r="I5686" t="s">
        <v>53</v>
      </c>
      <c r="J5686" t="s">
        <v>53</v>
      </c>
      <c r="K5686" t="s">
        <v>53</v>
      </c>
      <c r="L5686" t="s">
        <v>53</v>
      </c>
      <c r="M5686" t="s">
        <v>53</v>
      </c>
      <c r="N5686" t="s">
        <v>53</v>
      </c>
      <c r="O5686" t="s">
        <v>53</v>
      </c>
      <c r="P5686" t="s">
        <v>53</v>
      </c>
      <c r="Q5686" t="s">
        <v>53</v>
      </c>
    </row>
    <row r="5687" spans="1:17" x14ac:dyDescent="0.2">
      <c r="A5687" s="30" t="str">
        <f>IF(C5687&amp;G5687&amp;D5687&lt;&gt;'Funnel setup'!$K$3&amp;'Funnel setup'!$K$4&amp;'Funnel setup'!$K$5,".",IF(A5686=".",1,A5686+1))</f>
        <v>.</v>
      </c>
      <c r="B5687" s="431" t="str">
        <f t="shared" si="88"/>
        <v>Knee Replacement RevisionCCG of GP PracticeNHS SWALE CCG (10D)Oxford Knee Score</v>
      </c>
      <c r="C5687" t="s">
        <v>250</v>
      </c>
      <c r="D5687" t="s">
        <v>87</v>
      </c>
      <c r="E5687" t="s">
        <v>992</v>
      </c>
      <c r="F5687" t="s">
        <v>993</v>
      </c>
      <c r="G5687" t="s">
        <v>16</v>
      </c>
      <c r="H5687" t="s">
        <v>53</v>
      </c>
      <c r="I5687" t="s">
        <v>53</v>
      </c>
      <c r="J5687" t="s">
        <v>53</v>
      </c>
      <c r="K5687" t="s">
        <v>53</v>
      </c>
      <c r="L5687" t="s">
        <v>53</v>
      </c>
      <c r="M5687" t="s">
        <v>53</v>
      </c>
      <c r="N5687" t="s">
        <v>53</v>
      </c>
      <c r="O5687" t="s">
        <v>53</v>
      </c>
      <c r="P5687" t="s">
        <v>53</v>
      </c>
      <c r="Q5687" t="s">
        <v>53</v>
      </c>
    </row>
    <row r="5688" spans="1:17" x14ac:dyDescent="0.2">
      <c r="A5688" s="30" t="str">
        <f>IF(C5688&amp;G5688&amp;D5688&lt;&gt;'Funnel setup'!$K$3&amp;'Funnel setup'!$K$4&amp;'Funnel setup'!$K$5,".",IF(A5687=".",1,A5687+1))</f>
        <v>.</v>
      </c>
      <c r="B5688" s="431" t="str">
        <f t="shared" si="88"/>
        <v>Knee Replacement RevisionCCG of GP PracticeNHS SWINDON CCG (12D)Oxford Knee Score</v>
      </c>
      <c r="C5688" t="s">
        <v>250</v>
      </c>
      <c r="D5688" t="s">
        <v>87</v>
      </c>
      <c r="E5688" t="s">
        <v>995</v>
      </c>
      <c r="F5688" t="s">
        <v>996</v>
      </c>
      <c r="G5688" t="s">
        <v>16</v>
      </c>
      <c r="H5688">
        <v>8</v>
      </c>
      <c r="I5688">
        <v>17.75</v>
      </c>
      <c r="J5688">
        <v>26</v>
      </c>
      <c r="K5688">
        <v>8.25</v>
      </c>
      <c r="L5688">
        <v>7</v>
      </c>
      <c r="M5688">
        <v>0</v>
      </c>
      <c r="N5688">
        <v>1</v>
      </c>
      <c r="O5688" t="s">
        <v>53</v>
      </c>
      <c r="P5688" t="s">
        <v>53</v>
      </c>
      <c r="Q5688" t="s">
        <v>53</v>
      </c>
    </row>
    <row r="5689" spans="1:17" x14ac:dyDescent="0.2">
      <c r="A5689" s="30" t="str">
        <f>IF(C5689&amp;G5689&amp;D5689&lt;&gt;'Funnel setup'!$K$3&amp;'Funnel setup'!$K$4&amp;'Funnel setup'!$K$5,".",IF(A5688=".",1,A5688+1))</f>
        <v>.</v>
      </c>
      <c r="B5689" s="431" t="str">
        <f t="shared" si="88"/>
        <v>Knee Replacement RevisionCCG of GP PracticeNHS TAMESIDE AND GLOSSOP CCG (01Y)Oxford Knee Score</v>
      </c>
      <c r="C5689" t="s">
        <v>250</v>
      </c>
      <c r="D5689" t="s">
        <v>87</v>
      </c>
      <c r="E5689" t="s">
        <v>998</v>
      </c>
      <c r="F5689" t="s">
        <v>999</v>
      </c>
      <c r="G5689" t="s">
        <v>16</v>
      </c>
      <c r="H5689" t="s">
        <v>53</v>
      </c>
      <c r="I5689" t="s">
        <v>53</v>
      </c>
      <c r="J5689" t="s">
        <v>53</v>
      </c>
      <c r="K5689" t="s">
        <v>53</v>
      </c>
      <c r="L5689" t="s">
        <v>53</v>
      </c>
      <c r="M5689" t="s">
        <v>53</v>
      </c>
      <c r="N5689" t="s">
        <v>53</v>
      </c>
      <c r="O5689" t="s">
        <v>53</v>
      </c>
      <c r="P5689" t="s">
        <v>53</v>
      </c>
      <c r="Q5689" t="s">
        <v>53</v>
      </c>
    </row>
    <row r="5690" spans="1:17" x14ac:dyDescent="0.2">
      <c r="A5690" s="30" t="str">
        <f>IF(C5690&amp;G5690&amp;D5690&lt;&gt;'Funnel setup'!$K$3&amp;'Funnel setup'!$K$4&amp;'Funnel setup'!$K$5,".",IF(A5689=".",1,A5689+1))</f>
        <v>.</v>
      </c>
      <c r="B5690" s="431" t="str">
        <f t="shared" si="88"/>
        <v>Knee Replacement RevisionCCG of GP PracticeNHS TELFORD AND WREKIN CCG (05X)Oxford Knee Score</v>
      </c>
      <c r="C5690" t="s">
        <v>250</v>
      </c>
      <c r="D5690" t="s">
        <v>87</v>
      </c>
      <c r="E5690" t="s">
        <v>1001</v>
      </c>
      <c r="F5690" t="s">
        <v>1002</v>
      </c>
      <c r="G5690" t="s">
        <v>16</v>
      </c>
      <c r="H5690">
        <v>9</v>
      </c>
      <c r="I5690">
        <v>17</v>
      </c>
      <c r="J5690">
        <v>25.777999999999999</v>
      </c>
      <c r="K5690">
        <v>8.7780000000000005</v>
      </c>
      <c r="L5690">
        <v>6</v>
      </c>
      <c r="M5690">
        <v>1</v>
      </c>
      <c r="N5690">
        <v>2</v>
      </c>
      <c r="O5690" t="s">
        <v>53</v>
      </c>
      <c r="P5690" t="s">
        <v>53</v>
      </c>
      <c r="Q5690" t="s">
        <v>53</v>
      </c>
    </row>
    <row r="5691" spans="1:17" x14ac:dyDescent="0.2">
      <c r="A5691" s="30" t="str">
        <f>IF(C5691&amp;G5691&amp;D5691&lt;&gt;'Funnel setup'!$K$3&amp;'Funnel setup'!$K$4&amp;'Funnel setup'!$K$5,".",IF(A5690=".",1,A5690+1))</f>
        <v>.</v>
      </c>
      <c r="B5691" s="431" t="str">
        <f t="shared" si="88"/>
        <v>Knee Replacement RevisionCCG of GP PracticeNHS THANET CCG (10E)Oxford Knee Score</v>
      </c>
      <c r="C5691" t="s">
        <v>250</v>
      </c>
      <c r="D5691" t="s">
        <v>87</v>
      </c>
      <c r="E5691" t="s">
        <v>1004</v>
      </c>
      <c r="F5691" t="s">
        <v>1005</v>
      </c>
      <c r="G5691" t="s">
        <v>16</v>
      </c>
      <c r="H5691" t="s">
        <v>53</v>
      </c>
      <c r="I5691" t="s">
        <v>53</v>
      </c>
      <c r="J5691" t="s">
        <v>53</v>
      </c>
      <c r="K5691" t="s">
        <v>53</v>
      </c>
      <c r="L5691" t="s">
        <v>53</v>
      </c>
      <c r="M5691" t="s">
        <v>53</v>
      </c>
      <c r="N5691" t="s">
        <v>53</v>
      </c>
      <c r="O5691" t="s">
        <v>53</v>
      </c>
      <c r="P5691" t="s">
        <v>53</v>
      </c>
      <c r="Q5691" t="s">
        <v>53</v>
      </c>
    </row>
    <row r="5692" spans="1:17" x14ac:dyDescent="0.2">
      <c r="A5692" s="30" t="str">
        <f>IF(C5692&amp;G5692&amp;D5692&lt;&gt;'Funnel setup'!$K$3&amp;'Funnel setup'!$K$4&amp;'Funnel setup'!$K$5,".",IF(A5691=".",1,A5691+1))</f>
        <v>.</v>
      </c>
      <c r="B5692" s="431" t="str">
        <f t="shared" si="88"/>
        <v>Knee Replacement RevisionCCG of GP PracticeNHS THURROCK CCG (07G)Oxford Knee Score</v>
      </c>
      <c r="C5692" t="s">
        <v>250</v>
      </c>
      <c r="D5692" t="s">
        <v>87</v>
      </c>
      <c r="E5692" t="s">
        <v>1007</v>
      </c>
      <c r="F5692" t="s">
        <v>1008</v>
      </c>
      <c r="G5692" t="s">
        <v>16</v>
      </c>
      <c r="H5692">
        <v>10</v>
      </c>
      <c r="I5692">
        <v>14</v>
      </c>
      <c r="J5692">
        <v>27.3</v>
      </c>
      <c r="K5692">
        <v>13.3</v>
      </c>
      <c r="L5692">
        <v>9</v>
      </c>
      <c r="M5692">
        <v>1</v>
      </c>
      <c r="N5692">
        <v>0</v>
      </c>
      <c r="O5692" t="s">
        <v>53</v>
      </c>
      <c r="P5692" t="s">
        <v>53</v>
      </c>
      <c r="Q5692" t="s">
        <v>53</v>
      </c>
    </row>
    <row r="5693" spans="1:17" x14ac:dyDescent="0.2">
      <c r="A5693" s="30" t="str">
        <f>IF(C5693&amp;G5693&amp;D5693&lt;&gt;'Funnel setup'!$K$3&amp;'Funnel setup'!$K$4&amp;'Funnel setup'!$K$5,".",IF(A5692=".",1,A5692+1))</f>
        <v>.</v>
      </c>
      <c r="B5693" s="431" t="str">
        <f t="shared" si="88"/>
        <v>Knee Replacement RevisionCCG of GP PracticeNHS TRAFFORD CCG (02A)Oxford Knee Score</v>
      </c>
      <c r="C5693" t="s">
        <v>250</v>
      </c>
      <c r="D5693" t="s">
        <v>87</v>
      </c>
      <c r="E5693" t="s">
        <v>1013</v>
      </c>
      <c r="F5693" t="s">
        <v>1014</v>
      </c>
      <c r="G5693" t="s">
        <v>16</v>
      </c>
      <c r="H5693" t="s">
        <v>53</v>
      </c>
      <c r="I5693" t="s">
        <v>53</v>
      </c>
      <c r="J5693" t="s">
        <v>53</v>
      </c>
      <c r="K5693" t="s">
        <v>53</v>
      </c>
      <c r="L5693" t="s">
        <v>53</v>
      </c>
      <c r="M5693" t="s">
        <v>53</v>
      </c>
      <c r="N5693" t="s">
        <v>53</v>
      </c>
      <c r="O5693" t="s">
        <v>53</v>
      </c>
      <c r="P5693" t="s">
        <v>53</v>
      </c>
      <c r="Q5693" t="s">
        <v>53</v>
      </c>
    </row>
    <row r="5694" spans="1:17" x14ac:dyDescent="0.2">
      <c r="A5694" s="30" t="str">
        <f>IF(C5694&amp;G5694&amp;D5694&lt;&gt;'Funnel setup'!$K$3&amp;'Funnel setup'!$K$4&amp;'Funnel setup'!$K$5,".",IF(A5693=".",1,A5693+1))</f>
        <v>.</v>
      </c>
      <c r="B5694" s="431" t="str">
        <f t="shared" si="88"/>
        <v>Knee Replacement RevisionCCG of GP PracticeNHS VALE OF YORK CCG (03Q)Oxford Knee Score</v>
      </c>
      <c r="C5694" t="s">
        <v>250</v>
      </c>
      <c r="D5694" t="s">
        <v>87</v>
      </c>
      <c r="E5694" t="s">
        <v>420</v>
      </c>
      <c r="F5694" t="s">
        <v>421</v>
      </c>
      <c r="G5694" t="s">
        <v>16</v>
      </c>
      <c r="H5694">
        <v>19</v>
      </c>
      <c r="I5694">
        <v>20.736999999999998</v>
      </c>
      <c r="J5694">
        <v>31.210999999999999</v>
      </c>
      <c r="K5694">
        <v>10.474</v>
      </c>
      <c r="L5694">
        <v>16</v>
      </c>
      <c r="M5694">
        <v>0</v>
      </c>
      <c r="N5694">
        <v>3</v>
      </c>
      <c r="O5694" t="s">
        <v>53</v>
      </c>
      <c r="P5694" t="s">
        <v>53</v>
      </c>
      <c r="Q5694" t="s">
        <v>53</v>
      </c>
    </row>
    <row r="5695" spans="1:17" x14ac:dyDescent="0.2">
      <c r="A5695" s="30" t="str">
        <f>IF(C5695&amp;G5695&amp;D5695&lt;&gt;'Funnel setup'!$K$3&amp;'Funnel setup'!$K$4&amp;'Funnel setup'!$K$5,".",IF(A5694=".",1,A5694+1))</f>
        <v>.</v>
      </c>
      <c r="B5695" s="431" t="str">
        <f t="shared" si="88"/>
        <v>Knee Replacement RevisionCCG of GP PracticeNHS VALE ROYAL CCG (02D)Oxford Knee Score</v>
      </c>
      <c r="C5695" t="s">
        <v>250</v>
      </c>
      <c r="D5695" t="s">
        <v>87</v>
      </c>
      <c r="E5695" t="s">
        <v>423</v>
      </c>
      <c r="F5695" t="s">
        <v>424</v>
      </c>
      <c r="G5695" t="s">
        <v>16</v>
      </c>
      <c r="H5695">
        <v>7</v>
      </c>
      <c r="I5695">
        <v>18.143000000000001</v>
      </c>
      <c r="J5695">
        <v>29</v>
      </c>
      <c r="K5695">
        <v>10.856999999999999</v>
      </c>
      <c r="L5695">
        <v>5</v>
      </c>
      <c r="M5695">
        <v>0</v>
      </c>
      <c r="N5695">
        <v>2</v>
      </c>
      <c r="O5695" t="s">
        <v>53</v>
      </c>
      <c r="P5695" t="s">
        <v>53</v>
      </c>
      <c r="Q5695" t="s">
        <v>53</v>
      </c>
    </row>
    <row r="5696" spans="1:17" x14ac:dyDescent="0.2">
      <c r="A5696" s="30" t="str">
        <f>IF(C5696&amp;G5696&amp;D5696&lt;&gt;'Funnel setup'!$K$3&amp;'Funnel setup'!$K$4&amp;'Funnel setup'!$K$5,".",IF(A5695=".",1,A5695+1))</f>
        <v>.</v>
      </c>
      <c r="B5696" s="431" t="str">
        <f t="shared" si="88"/>
        <v>Knee Replacement RevisionCCG of GP PracticeNHS WAKEFIELD CCG (03R)Oxford Knee Score</v>
      </c>
      <c r="C5696" t="s">
        <v>250</v>
      </c>
      <c r="D5696" t="s">
        <v>87</v>
      </c>
      <c r="E5696" t="s">
        <v>426</v>
      </c>
      <c r="F5696" t="s">
        <v>427</v>
      </c>
      <c r="G5696" t="s">
        <v>16</v>
      </c>
      <c r="H5696">
        <v>6</v>
      </c>
      <c r="I5696">
        <v>12</v>
      </c>
      <c r="J5696">
        <v>22.5</v>
      </c>
      <c r="K5696">
        <v>10.5</v>
      </c>
      <c r="L5696">
        <v>4</v>
      </c>
      <c r="M5696">
        <v>0</v>
      </c>
      <c r="N5696">
        <v>2</v>
      </c>
      <c r="O5696" t="s">
        <v>53</v>
      </c>
      <c r="P5696" t="s">
        <v>53</v>
      </c>
      <c r="Q5696" t="s">
        <v>53</v>
      </c>
    </row>
    <row r="5697" spans="1:17" x14ac:dyDescent="0.2">
      <c r="A5697" s="30" t="str">
        <f>IF(C5697&amp;G5697&amp;D5697&lt;&gt;'Funnel setup'!$K$3&amp;'Funnel setup'!$K$4&amp;'Funnel setup'!$K$5,".",IF(A5696=".",1,A5696+1))</f>
        <v>.</v>
      </c>
      <c r="B5697" s="431" t="str">
        <f t="shared" si="88"/>
        <v>Knee Replacement RevisionCCG of GP PracticeNHS WALSALL CCG (05Y)Oxford Knee Score</v>
      </c>
      <c r="C5697" t="s">
        <v>250</v>
      </c>
      <c r="D5697" t="s">
        <v>87</v>
      </c>
      <c r="E5697" t="s">
        <v>429</v>
      </c>
      <c r="F5697" t="s">
        <v>430</v>
      </c>
      <c r="G5697" t="s">
        <v>16</v>
      </c>
      <c r="H5697" t="s">
        <v>53</v>
      </c>
      <c r="I5697" t="s">
        <v>53</v>
      </c>
      <c r="J5697" t="s">
        <v>53</v>
      </c>
      <c r="K5697" t="s">
        <v>53</v>
      </c>
      <c r="L5697" t="s">
        <v>53</v>
      </c>
      <c r="M5697" t="s">
        <v>53</v>
      </c>
      <c r="N5697" t="s">
        <v>53</v>
      </c>
      <c r="O5697" t="s">
        <v>53</v>
      </c>
      <c r="P5697" t="s">
        <v>53</v>
      </c>
      <c r="Q5697" t="s">
        <v>53</v>
      </c>
    </row>
    <row r="5698" spans="1:17" x14ac:dyDescent="0.2">
      <c r="A5698" s="30" t="str">
        <f>IF(C5698&amp;G5698&amp;D5698&lt;&gt;'Funnel setup'!$K$3&amp;'Funnel setup'!$K$4&amp;'Funnel setup'!$K$5,".",IF(A5697=".",1,A5697+1))</f>
        <v>.</v>
      </c>
      <c r="B5698" s="431" t="str">
        <f t="shared" si="88"/>
        <v>Knee Replacement RevisionCCG of GP PracticeNHS WALTHAM FOREST CCG (08W)Oxford Knee Score</v>
      </c>
      <c r="C5698" t="s">
        <v>250</v>
      </c>
      <c r="D5698" t="s">
        <v>87</v>
      </c>
      <c r="E5698" t="s">
        <v>432</v>
      </c>
      <c r="F5698" t="s">
        <v>433</v>
      </c>
      <c r="G5698" t="s">
        <v>16</v>
      </c>
      <c r="H5698" t="s">
        <v>53</v>
      </c>
      <c r="I5698" t="s">
        <v>53</v>
      </c>
      <c r="J5698" t="s">
        <v>53</v>
      </c>
      <c r="K5698" t="s">
        <v>53</v>
      </c>
      <c r="L5698" t="s">
        <v>53</v>
      </c>
      <c r="M5698" t="s">
        <v>53</v>
      </c>
      <c r="N5698" t="s">
        <v>53</v>
      </c>
      <c r="O5698" t="s">
        <v>53</v>
      </c>
      <c r="P5698" t="s">
        <v>53</v>
      </c>
      <c r="Q5698" t="s">
        <v>53</v>
      </c>
    </row>
    <row r="5699" spans="1:17" x14ac:dyDescent="0.2">
      <c r="A5699" s="30" t="str">
        <f>IF(C5699&amp;G5699&amp;D5699&lt;&gt;'Funnel setup'!$K$3&amp;'Funnel setup'!$K$4&amp;'Funnel setup'!$K$5,".",IF(A5698=".",1,A5698+1))</f>
        <v>.</v>
      </c>
      <c r="B5699" s="431" t="str">
        <f t="shared" ref="B5699:B5762" si="89">C5699&amp;D5699&amp;F5699&amp;G5699</f>
        <v>Knee Replacement RevisionCCG of GP PracticeNHS WANDSWORTH CCG (08X)Oxford Knee Score</v>
      </c>
      <c r="C5699" t="s">
        <v>250</v>
      </c>
      <c r="D5699" t="s">
        <v>87</v>
      </c>
      <c r="E5699" t="s">
        <v>435</v>
      </c>
      <c r="F5699" t="s">
        <v>436</v>
      </c>
      <c r="G5699" t="s">
        <v>16</v>
      </c>
      <c r="H5699" t="s">
        <v>53</v>
      </c>
      <c r="I5699" t="s">
        <v>53</v>
      </c>
      <c r="J5699" t="s">
        <v>53</v>
      </c>
      <c r="K5699" t="s">
        <v>53</v>
      </c>
      <c r="L5699" t="s">
        <v>53</v>
      </c>
      <c r="M5699" t="s">
        <v>53</v>
      </c>
      <c r="N5699" t="s">
        <v>53</v>
      </c>
      <c r="O5699" t="s">
        <v>53</v>
      </c>
      <c r="P5699" t="s">
        <v>53</v>
      </c>
      <c r="Q5699" t="s">
        <v>53</v>
      </c>
    </row>
    <row r="5700" spans="1:17" x14ac:dyDescent="0.2">
      <c r="A5700" s="30" t="str">
        <f>IF(C5700&amp;G5700&amp;D5700&lt;&gt;'Funnel setup'!$K$3&amp;'Funnel setup'!$K$4&amp;'Funnel setup'!$K$5,".",IF(A5699=".",1,A5699+1))</f>
        <v>.</v>
      </c>
      <c r="B5700" s="431" t="str">
        <f t="shared" si="89"/>
        <v>Knee Replacement RevisionCCG of GP PracticeNHS WARRINGTON CCG (02E)Oxford Knee Score</v>
      </c>
      <c r="C5700" t="s">
        <v>250</v>
      </c>
      <c r="D5700" t="s">
        <v>87</v>
      </c>
      <c r="E5700" t="s">
        <v>441</v>
      </c>
      <c r="F5700" t="s">
        <v>442</v>
      </c>
      <c r="G5700" t="s">
        <v>16</v>
      </c>
      <c r="H5700">
        <v>9</v>
      </c>
      <c r="I5700">
        <v>15.444000000000001</v>
      </c>
      <c r="J5700">
        <v>26.888999999999999</v>
      </c>
      <c r="K5700">
        <v>11.444000000000001</v>
      </c>
      <c r="L5700">
        <v>7</v>
      </c>
      <c r="M5700">
        <v>1</v>
      </c>
      <c r="N5700">
        <v>1</v>
      </c>
      <c r="O5700" t="s">
        <v>53</v>
      </c>
      <c r="P5700" t="s">
        <v>53</v>
      </c>
      <c r="Q5700" t="s">
        <v>53</v>
      </c>
    </row>
    <row r="5701" spans="1:17" x14ac:dyDescent="0.2">
      <c r="A5701" s="30" t="str">
        <f>IF(C5701&amp;G5701&amp;D5701&lt;&gt;'Funnel setup'!$K$3&amp;'Funnel setup'!$K$4&amp;'Funnel setup'!$K$5,".",IF(A5700=".",1,A5700+1))</f>
        <v>.</v>
      </c>
      <c r="B5701" s="431" t="str">
        <f t="shared" si="89"/>
        <v>Knee Replacement RevisionCCG of GP PracticeNHS WARWICKSHIRE NORTH CCG (05H)Oxford Knee Score</v>
      </c>
      <c r="C5701" t="s">
        <v>250</v>
      </c>
      <c r="D5701" t="s">
        <v>87</v>
      </c>
      <c r="E5701" t="s">
        <v>438</v>
      </c>
      <c r="F5701" t="s">
        <v>439</v>
      </c>
      <c r="G5701" t="s">
        <v>16</v>
      </c>
      <c r="H5701">
        <v>6</v>
      </c>
      <c r="I5701">
        <v>11.333</v>
      </c>
      <c r="J5701">
        <v>13</v>
      </c>
      <c r="K5701">
        <v>1.667</v>
      </c>
      <c r="L5701">
        <v>4</v>
      </c>
      <c r="M5701">
        <v>0</v>
      </c>
      <c r="N5701">
        <v>2</v>
      </c>
      <c r="O5701" t="s">
        <v>53</v>
      </c>
      <c r="P5701" t="s">
        <v>53</v>
      </c>
      <c r="Q5701" t="s">
        <v>53</v>
      </c>
    </row>
    <row r="5702" spans="1:17" x14ac:dyDescent="0.2">
      <c r="A5702" s="30" t="str">
        <f>IF(C5702&amp;G5702&amp;D5702&lt;&gt;'Funnel setup'!$K$3&amp;'Funnel setup'!$K$4&amp;'Funnel setup'!$K$5,".",IF(A5701=".",1,A5701+1))</f>
        <v>.</v>
      </c>
      <c r="B5702" s="431" t="str">
        <f t="shared" si="89"/>
        <v>Knee Replacement RevisionCCG of GP PracticeNHS WEST CHESHIRE CCG (02F)Oxford Knee Score</v>
      </c>
      <c r="C5702" t="s">
        <v>250</v>
      </c>
      <c r="D5702" t="s">
        <v>87</v>
      </c>
      <c r="E5702" t="s">
        <v>402</v>
      </c>
      <c r="F5702" t="s">
        <v>403</v>
      </c>
      <c r="G5702" t="s">
        <v>16</v>
      </c>
      <c r="H5702">
        <v>12</v>
      </c>
      <c r="I5702">
        <v>16.167000000000002</v>
      </c>
      <c r="J5702">
        <v>26.082999999999998</v>
      </c>
      <c r="K5702">
        <v>9.9169999999999998</v>
      </c>
      <c r="L5702">
        <v>11</v>
      </c>
      <c r="M5702">
        <v>0</v>
      </c>
      <c r="N5702">
        <v>1</v>
      </c>
      <c r="O5702" t="s">
        <v>53</v>
      </c>
      <c r="P5702" t="s">
        <v>53</v>
      </c>
      <c r="Q5702" t="s">
        <v>53</v>
      </c>
    </row>
    <row r="5703" spans="1:17" x14ac:dyDescent="0.2">
      <c r="A5703" s="30" t="str">
        <f>IF(C5703&amp;G5703&amp;D5703&lt;&gt;'Funnel setup'!$K$3&amp;'Funnel setup'!$K$4&amp;'Funnel setup'!$K$5,".",IF(A5702=".",1,A5702+1))</f>
        <v>.</v>
      </c>
      <c r="B5703" s="431" t="str">
        <f t="shared" si="89"/>
        <v>Knee Replacement RevisionCCG of GP PracticeNHS WEST ESSEX CCG (07H)Oxford Knee Score</v>
      </c>
      <c r="C5703" t="s">
        <v>250</v>
      </c>
      <c r="D5703" t="s">
        <v>87</v>
      </c>
      <c r="E5703" t="s">
        <v>405</v>
      </c>
      <c r="F5703" t="s">
        <v>406</v>
      </c>
      <c r="G5703" t="s">
        <v>16</v>
      </c>
      <c r="H5703" t="s">
        <v>53</v>
      </c>
      <c r="I5703" t="s">
        <v>53</v>
      </c>
      <c r="J5703" t="s">
        <v>53</v>
      </c>
      <c r="K5703" t="s">
        <v>53</v>
      </c>
      <c r="L5703" t="s">
        <v>53</v>
      </c>
      <c r="M5703" t="s">
        <v>53</v>
      </c>
      <c r="N5703" t="s">
        <v>53</v>
      </c>
      <c r="O5703" t="s">
        <v>53</v>
      </c>
      <c r="P5703" t="s">
        <v>53</v>
      </c>
      <c r="Q5703" t="s">
        <v>53</v>
      </c>
    </row>
    <row r="5704" spans="1:17" x14ac:dyDescent="0.2">
      <c r="A5704" s="30" t="str">
        <f>IF(C5704&amp;G5704&amp;D5704&lt;&gt;'Funnel setup'!$K$3&amp;'Funnel setup'!$K$4&amp;'Funnel setup'!$K$5,".",IF(A5703=".",1,A5703+1))</f>
        <v>.</v>
      </c>
      <c r="B5704" s="431" t="str">
        <f t="shared" si="89"/>
        <v>Knee Replacement RevisionCCG of GP PracticeNHS WEST HAMPSHIRE CCG (11A)Oxford Knee Score</v>
      </c>
      <c r="C5704" t="s">
        <v>250</v>
      </c>
      <c r="D5704" t="s">
        <v>87</v>
      </c>
      <c r="E5704" t="s">
        <v>444</v>
      </c>
      <c r="F5704" t="s">
        <v>445</v>
      </c>
      <c r="G5704" t="s">
        <v>16</v>
      </c>
      <c r="H5704">
        <v>31</v>
      </c>
      <c r="I5704">
        <v>16.838999999999999</v>
      </c>
      <c r="J5704">
        <v>31.065000000000001</v>
      </c>
      <c r="K5704">
        <v>14.226000000000001</v>
      </c>
      <c r="L5704">
        <v>27</v>
      </c>
      <c r="M5704">
        <v>0</v>
      </c>
      <c r="N5704">
        <v>4</v>
      </c>
      <c r="O5704">
        <v>29.626999999999999</v>
      </c>
      <c r="P5704">
        <v>13.12114892</v>
      </c>
      <c r="Q5704">
        <v>8.3179999999999996</v>
      </c>
    </row>
    <row r="5705" spans="1:17" x14ac:dyDescent="0.2">
      <c r="A5705" s="30" t="str">
        <f>IF(C5705&amp;G5705&amp;D5705&lt;&gt;'Funnel setup'!$K$3&amp;'Funnel setup'!$K$4&amp;'Funnel setup'!$K$5,".",IF(A5704=".",1,A5704+1))</f>
        <v>.</v>
      </c>
      <c r="B5705" s="431" t="str">
        <f t="shared" si="89"/>
        <v>Knee Replacement RevisionCCG of GP PracticeNHS WEST KENT CCG (99J)Oxford Knee Score</v>
      </c>
      <c r="C5705" t="s">
        <v>250</v>
      </c>
      <c r="D5705" t="s">
        <v>87</v>
      </c>
      <c r="E5705" t="s">
        <v>447</v>
      </c>
      <c r="F5705" t="s">
        <v>448</v>
      </c>
      <c r="G5705" t="s">
        <v>16</v>
      </c>
      <c r="H5705">
        <v>8</v>
      </c>
      <c r="I5705">
        <v>22.75</v>
      </c>
      <c r="J5705">
        <v>37.375</v>
      </c>
      <c r="K5705">
        <v>14.625</v>
      </c>
      <c r="L5705">
        <v>8</v>
      </c>
      <c r="M5705">
        <v>0</v>
      </c>
      <c r="N5705">
        <v>0</v>
      </c>
      <c r="O5705" t="s">
        <v>53</v>
      </c>
      <c r="P5705" t="s">
        <v>53</v>
      </c>
      <c r="Q5705" t="s">
        <v>53</v>
      </c>
    </row>
    <row r="5706" spans="1:17" x14ac:dyDescent="0.2">
      <c r="A5706" s="30" t="str">
        <f>IF(C5706&amp;G5706&amp;D5706&lt;&gt;'Funnel setup'!$K$3&amp;'Funnel setup'!$K$4&amp;'Funnel setup'!$K$5,".",IF(A5705=".",1,A5705+1))</f>
        <v>.</v>
      </c>
      <c r="B5706" s="431" t="str">
        <f t="shared" si="89"/>
        <v>Knee Replacement RevisionCCG of GP PracticeNHS WEST LANCASHIRE CCG (02G)Oxford Knee Score</v>
      </c>
      <c r="C5706" t="s">
        <v>250</v>
      </c>
      <c r="D5706" t="s">
        <v>87</v>
      </c>
      <c r="E5706" t="s">
        <v>450</v>
      </c>
      <c r="F5706" t="s">
        <v>451</v>
      </c>
      <c r="G5706" t="s">
        <v>16</v>
      </c>
      <c r="H5706" t="s">
        <v>53</v>
      </c>
      <c r="I5706" t="s">
        <v>53</v>
      </c>
      <c r="J5706" t="s">
        <v>53</v>
      </c>
      <c r="K5706" t="s">
        <v>53</v>
      </c>
      <c r="L5706" t="s">
        <v>53</v>
      </c>
      <c r="M5706" t="s">
        <v>53</v>
      </c>
      <c r="N5706" t="s">
        <v>53</v>
      </c>
      <c r="O5706" t="s">
        <v>53</v>
      </c>
      <c r="P5706" t="s">
        <v>53</v>
      </c>
      <c r="Q5706" t="s">
        <v>53</v>
      </c>
    </row>
    <row r="5707" spans="1:17" x14ac:dyDescent="0.2">
      <c r="A5707" s="30" t="str">
        <f>IF(C5707&amp;G5707&amp;D5707&lt;&gt;'Funnel setup'!$K$3&amp;'Funnel setup'!$K$4&amp;'Funnel setup'!$K$5,".",IF(A5706=".",1,A5706+1))</f>
        <v>.</v>
      </c>
      <c r="B5707" s="431" t="str">
        <f t="shared" si="89"/>
        <v>Knee Replacement RevisionCCG of GP PracticeNHS WEST LEICESTERSHIRE CCG (04V)Oxford Knee Score</v>
      </c>
      <c r="C5707" t="s">
        <v>250</v>
      </c>
      <c r="D5707" t="s">
        <v>87</v>
      </c>
      <c r="E5707" t="s">
        <v>453</v>
      </c>
      <c r="F5707" t="s">
        <v>454</v>
      </c>
      <c r="G5707" t="s">
        <v>16</v>
      </c>
      <c r="H5707">
        <v>10</v>
      </c>
      <c r="I5707">
        <v>15.8</v>
      </c>
      <c r="J5707">
        <v>33</v>
      </c>
      <c r="K5707">
        <v>17.2</v>
      </c>
      <c r="L5707">
        <v>8</v>
      </c>
      <c r="M5707">
        <v>0</v>
      </c>
      <c r="N5707">
        <v>2</v>
      </c>
      <c r="O5707" t="s">
        <v>53</v>
      </c>
      <c r="P5707" t="s">
        <v>53</v>
      </c>
      <c r="Q5707" t="s">
        <v>53</v>
      </c>
    </row>
    <row r="5708" spans="1:17" x14ac:dyDescent="0.2">
      <c r="A5708" s="30" t="str">
        <f>IF(C5708&amp;G5708&amp;D5708&lt;&gt;'Funnel setup'!$K$3&amp;'Funnel setup'!$K$4&amp;'Funnel setup'!$K$5,".",IF(A5707=".",1,A5707+1))</f>
        <v>.</v>
      </c>
      <c r="B5708" s="431" t="str">
        <f t="shared" si="89"/>
        <v>Knee Replacement RevisionCCG of GP PracticeNHS WEST LONDON CCG (08Y)Oxford Knee Score</v>
      </c>
      <c r="C5708" t="s">
        <v>250</v>
      </c>
      <c r="D5708" t="s">
        <v>87</v>
      </c>
      <c r="E5708" t="s">
        <v>456</v>
      </c>
      <c r="F5708" t="s">
        <v>457</v>
      </c>
      <c r="G5708" t="s">
        <v>16</v>
      </c>
      <c r="H5708" t="s">
        <v>53</v>
      </c>
      <c r="I5708" t="s">
        <v>53</v>
      </c>
      <c r="J5708" t="s">
        <v>53</v>
      </c>
      <c r="K5708" t="s">
        <v>53</v>
      </c>
      <c r="L5708" t="s">
        <v>53</v>
      </c>
      <c r="M5708" t="s">
        <v>53</v>
      </c>
      <c r="N5708" t="s">
        <v>53</v>
      </c>
      <c r="O5708" t="s">
        <v>53</v>
      </c>
      <c r="P5708" t="s">
        <v>53</v>
      </c>
      <c r="Q5708" t="s">
        <v>53</v>
      </c>
    </row>
    <row r="5709" spans="1:17" x14ac:dyDescent="0.2">
      <c r="A5709" s="30" t="str">
        <f>IF(C5709&amp;G5709&amp;D5709&lt;&gt;'Funnel setup'!$K$3&amp;'Funnel setup'!$K$4&amp;'Funnel setup'!$K$5,".",IF(A5708=".",1,A5708+1))</f>
        <v>.</v>
      </c>
      <c r="B5709" s="431" t="str">
        <f t="shared" si="89"/>
        <v>Knee Replacement RevisionCCG of GP PracticeNHS WEST NORFOLK CCG (07J)Oxford Knee Score</v>
      </c>
      <c r="C5709" t="s">
        <v>250</v>
      </c>
      <c r="D5709" t="s">
        <v>87</v>
      </c>
      <c r="E5709" t="s">
        <v>459</v>
      </c>
      <c r="F5709" t="s">
        <v>460</v>
      </c>
      <c r="G5709" t="s">
        <v>16</v>
      </c>
      <c r="H5709">
        <v>13</v>
      </c>
      <c r="I5709">
        <v>17.308</v>
      </c>
      <c r="J5709">
        <v>28.768999999999998</v>
      </c>
      <c r="K5709">
        <v>11.462</v>
      </c>
      <c r="L5709">
        <v>11</v>
      </c>
      <c r="M5709">
        <v>0</v>
      </c>
      <c r="N5709">
        <v>2</v>
      </c>
      <c r="O5709" t="s">
        <v>53</v>
      </c>
      <c r="P5709" t="s">
        <v>53</v>
      </c>
      <c r="Q5709" t="s">
        <v>53</v>
      </c>
    </row>
    <row r="5710" spans="1:17" x14ac:dyDescent="0.2">
      <c r="A5710" s="30" t="str">
        <f>IF(C5710&amp;G5710&amp;D5710&lt;&gt;'Funnel setup'!$K$3&amp;'Funnel setup'!$K$4&amp;'Funnel setup'!$K$5,".",IF(A5709=".",1,A5709+1))</f>
        <v>.</v>
      </c>
      <c r="B5710" s="431" t="str">
        <f t="shared" si="89"/>
        <v>Knee Replacement RevisionCCG of GP PracticeNHS WEST SUFFOLK CCG (07K)Oxford Knee Score</v>
      </c>
      <c r="C5710" t="s">
        <v>250</v>
      </c>
      <c r="D5710" t="s">
        <v>87</v>
      </c>
      <c r="E5710" t="s">
        <v>462</v>
      </c>
      <c r="F5710" t="s">
        <v>463</v>
      </c>
      <c r="G5710" t="s">
        <v>16</v>
      </c>
      <c r="H5710">
        <v>6</v>
      </c>
      <c r="I5710">
        <v>16</v>
      </c>
      <c r="J5710">
        <v>23.332999999999998</v>
      </c>
      <c r="K5710">
        <v>7.3330000000000002</v>
      </c>
      <c r="L5710">
        <v>4</v>
      </c>
      <c r="M5710">
        <v>0</v>
      </c>
      <c r="N5710">
        <v>2</v>
      </c>
      <c r="O5710" t="s">
        <v>53</v>
      </c>
      <c r="P5710" t="s">
        <v>53</v>
      </c>
      <c r="Q5710" t="s">
        <v>53</v>
      </c>
    </row>
    <row r="5711" spans="1:17" x14ac:dyDescent="0.2">
      <c r="A5711" s="30" t="str">
        <f>IF(C5711&amp;G5711&amp;D5711&lt;&gt;'Funnel setup'!$K$3&amp;'Funnel setup'!$K$4&amp;'Funnel setup'!$K$5,".",IF(A5710=".",1,A5710+1))</f>
        <v>.</v>
      </c>
      <c r="B5711" s="431" t="str">
        <f t="shared" si="89"/>
        <v>Knee Replacement RevisionCCG of GP PracticeNHS WIGAN BOROUGH CCG (02H)Oxford Knee Score</v>
      </c>
      <c r="C5711" t="s">
        <v>250</v>
      </c>
      <c r="D5711" t="s">
        <v>87</v>
      </c>
      <c r="E5711" t="s">
        <v>465</v>
      </c>
      <c r="F5711" t="s">
        <v>466</v>
      </c>
      <c r="G5711" t="s">
        <v>16</v>
      </c>
      <c r="H5711">
        <v>8</v>
      </c>
      <c r="I5711">
        <v>23.625</v>
      </c>
      <c r="J5711">
        <v>25.125</v>
      </c>
      <c r="K5711">
        <v>1.5</v>
      </c>
      <c r="L5711">
        <v>5</v>
      </c>
      <c r="M5711">
        <v>0</v>
      </c>
      <c r="N5711">
        <v>3</v>
      </c>
      <c r="O5711" t="s">
        <v>53</v>
      </c>
      <c r="P5711" t="s">
        <v>53</v>
      </c>
      <c r="Q5711" t="s">
        <v>53</v>
      </c>
    </row>
    <row r="5712" spans="1:17" x14ac:dyDescent="0.2">
      <c r="A5712" s="30" t="str">
        <f>IF(C5712&amp;G5712&amp;D5712&lt;&gt;'Funnel setup'!$K$3&amp;'Funnel setup'!$K$4&amp;'Funnel setup'!$K$5,".",IF(A5711=".",1,A5711+1))</f>
        <v>.</v>
      </c>
      <c r="B5712" s="431" t="str">
        <f t="shared" si="89"/>
        <v>Knee Replacement RevisionCCG of GP PracticeNHS WILTSHIRE CCG (99N)Oxford Knee Score</v>
      </c>
      <c r="C5712" t="s">
        <v>250</v>
      </c>
      <c r="D5712" t="s">
        <v>87</v>
      </c>
      <c r="E5712" t="s">
        <v>468</v>
      </c>
      <c r="F5712" t="s">
        <v>469</v>
      </c>
      <c r="G5712" t="s">
        <v>16</v>
      </c>
      <c r="H5712">
        <v>35</v>
      </c>
      <c r="I5712">
        <v>16.286000000000001</v>
      </c>
      <c r="J5712">
        <v>24.571000000000002</v>
      </c>
      <c r="K5712">
        <v>8.2859999999999996</v>
      </c>
      <c r="L5712">
        <v>26</v>
      </c>
      <c r="M5712">
        <v>1</v>
      </c>
      <c r="N5712">
        <v>8</v>
      </c>
      <c r="O5712">
        <v>24.902999999999999</v>
      </c>
      <c r="P5712">
        <v>8.3974013799999998</v>
      </c>
      <c r="Q5712">
        <v>8.4770000000000003</v>
      </c>
    </row>
    <row r="5713" spans="1:17" x14ac:dyDescent="0.2">
      <c r="A5713" s="30" t="str">
        <f>IF(C5713&amp;G5713&amp;D5713&lt;&gt;'Funnel setup'!$K$3&amp;'Funnel setup'!$K$4&amp;'Funnel setup'!$K$5,".",IF(A5712=".",1,A5712+1))</f>
        <v>.</v>
      </c>
      <c r="B5713" s="431" t="str">
        <f t="shared" si="89"/>
        <v>Knee Replacement RevisionCCG of GP PracticeNHS WINDSOR, ASCOT AND MAIDENHEAD CCG (11C)Oxford Knee Score</v>
      </c>
      <c r="C5713" t="s">
        <v>250</v>
      </c>
      <c r="D5713" t="s">
        <v>87</v>
      </c>
      <c r="E5713" t="s">
        <v>471</v>
      </c>
      <c r="F5713" t="s">
        <v>472</v>
      </c>
      <c r="G5713" t="s">
        <v>16</v>
      </c>
      <c r="H5713">
        <v>6</v>
      </c>
      <c r="I5713">
        <v>10.667</v>
      </c>
      <c r="J5713">
        <v>21</v>
      </c>
      <c r="K5713">
        <v>10.333</v>
      </c>
      <c r="L5713">
        <v>6</v>
      </c>
      <c r="M5713">
        <v>0</v>
      </c>
      <c r="N5713">
        <v>0</v>
      </c>
      <c r="O5713" t="s">
        <v>53</v>
      </c>
      <c r="P5713" t="s">
        <v>53</v>
      </c>
      <c r="Q5713" t="s">
        <v>53</v>
      </c>
    </row>
    <row r="5714" spans="1:17" x14ac:dyDescent="0.2">
      <c r="A5714" s="30" t="str">
        <f>IF(C5714&amp;G5714&amp;D5714&lt;&gt;'Funnel setup'!$K$3&amp;'Funnel setup'!$K$4&amp;'Funnel setup'!$K$5,".",IF(A5713=".",1,A5713+1))</f>
        <v>.</v>
      </c>
      <c r="B5714" s="431" t="str">
        <f t="shared" si="89"/>
        <v>Knee Replacement RevisionCCG of GP PracticeNHS WIRRAL CCG (12F)Oxford Knee Score</v>
      </c>
      <c r="C5714" t="s">
        <v>250</v>
      </c>
      <c r="D5714" t="s">
        <v>87</v>
      </c>
      <c r="E5714" t="s">
        <v>474</v>
      </c>
      <c r="F5714" t="s">
        <v>475</v>
      </c>
      <c r="G5714" t="s">
        <v>16</v>
      </c>
      <c r="H5714" t="s">
        <v>53</v>
      </c>
      <c r="I5714" t="s">
        <v>53</v>
      </c>
      <c r="J5714" t="s">
        <v>53</v>
      </c>
      <c r="K5714" t="s">
        <v>53</v>
      </c>
      <c r="L5714" t="s">
        <v>53</v>
      </c>
      <c r="M5714" t="s">
        <v>53</v>
      </c>
      <c r="N5714" t="s">
        <v>53</v>
      </c>
      <c r="O5714" t="s">
        <v>53</v>
      </c>
      <c r="P5714" t="s">
        <v>53</v>
      </c>
      <c r="Q5714" t="s">
        <v>53</v>
      </c>
    </row>
    <row r="5715" spans="1:17" x14ac:dyDescent="0.2">
      <c r="A5715" s="30" t="str">
        <f>IF(C5715&amp;G5715&amp;D5715&lt;&gt;'Funnel setup'!$K$3&amp;'Funnel setup'!$K$4&amp;'Funnel setup'!$K$5,".",IF(A5714=".",1,A5714+1))</f>
        <v>.</v>
      </c>
      <c r="B5715" s="431" t="str">
        <f t="shared" si="89"/>
        <v>Knee Replacement RevisionCCG of GP PracticeNHS WOKINGHAM CCG (11D)Oxford Knee Score</v>
      </c>
      <c r="C5715" t="s">
        <v>250</v>
      </c>
      <c r="D5715" t="s">
        <v>87</v>
      </c>
      <c r="E5715" t="s">
        <v>477</v>
      </c>
      <c r="F5715" t="s">
        <v>478</v>
      </c>
      <c r="G5715" t="s">
        <v>16</v>
      </c>
      <c r="H5715" t="s">
        <v>53</v>
      </c>
      <c r="I5715" t="s">
        <v>53</v>
      </c>
      <c r="J5715" t="s">
        <v>53</v>
      </c>
      <c r="K5715" t="s">
        <v>53</v>
      </c>
      <c r="L5715" t="s">
        <v>53</v>
      </c>
      <c r="M5715" t="s">
        <v>53</v>
      </c>
      <c r="N5715" t="s">
        <v>53</v>
      </c>
      <c r="O5715" t="s">
        <v>53</v>
      </c>
      <c r="P5715" t="s">
        <v>53</v>
      </c>
      <c r="Q5715" t="s">
        <v>53</v>
      </c>
    </row>
    <row r="5716" spans="1:17" x14ac:dyDescent="0.2">
      <c r="A5716" s="30" t="str">
        <f>IF(C5716&amp;G5716&amp;D5716&lt;&gt;'Funnel setup'!$K$3&amp;'Funnel setup'!$K$4&amp;'Funnel setup'!$K$5,".",IF(A5715=".",1,A5715+1))</f>
        <v>.</v>
      </c>
      <c r="B5716" s="431" t="str">
        <f t="shared" si="89"/>
        <v>Knee Replacement RevisionCCG of GP PracticeNHS WOLVERHAMPTON CCG (06A)Oxford Knee Score</v>
      </c>
      <c r="C5716" t="s">
        <v>250</v>
      </c>
      <c r="D5716" t="s">
        <v>87</v>
      </c>
      <c r="E5716" t="s">
        <v>480</v>
      </c>
      <c r="F5716" t="s">
        <v>481</v>
      </c>
      <c r="G5716" t="s">
        <v>16</v>
      </c>
      <c r="H5716" t="s">
        <v>53</v>
      </c>
      <c r="I5716" t="s">
        <v>53</v>
      </c>
      <c r="J5716" t="s">
        <v>53</v>
      </c>
      <c r="K5716" t="s">
        <v>53</v>
      </c>
      <c r="L5716" t="s">
        <v>53</v>
      </c>
      <c r="M5716" t="s">
        <v>53</v>
      </c>
      <c r="N5716" t="s">
        <v>53</v>
      </c>
      <c r="O5716" t="s">
        <v>53</v>
      </c>
      <c r="P5716" t="s">
        <v>53</v>
      </c>
      <c r="Q5716" t="s">
        <v>53</v>
      </c>
    </row>
    <row r="5717" spans="1:17" x14ac:dyDescent="0.2">
      <c r="A5717" s="30" t="str">
        <f>IF(C5717&amp;G5717&amp;D5717&lt;&gt;'Funnel setup'!$K$3&amp;'Funnel setup'!$K$4&amp;'Funnel setup'!$K$5,".",IF(A5716=".",1,A5716+1))</f>
        <v>.</v>
      </c>
      <c r="B5717" s="431" t="str">
        <f t="shared" si="89"/>
        <v>Knee Replacement RevisionCCG of GP PracticeNHS WYRE FOREST CCG (06D)Oxford Knee Score</v>
      </c>
      <c r="C5717" t="s">
        <v>250</v>
      </c>
      <c r="D5717" t="s">
        <v>87</v>
      </c>
      <c r="E5717" t="s">
        <v>483</v>
      </c>
      <c r="F5717" t="s">
        <v>484</v>
      </c>
      <c r="G5717" t="s">
        <v>16</v>
      </c>
      <c r="H5717" t="s">
        <v>53</v>
      </c>
      <c r="I5717" t="s">
        <v>53</v>
      </c>
      <c r="J5717" t="s">
        <v>53</v>
      </c>
      <c r="K5717" t="s">
        <v>53</v>
      </c>
      <c r="L5717" t="s">
        <v>53</v>
      </c>
      <c r="M5717" t="s">
        <v>53</v>
      </c>
      <c r="N5717" t="s">
        <v>53</v>
      </c>
      <c r="O5717" t="s">
        <v>53</v>
      </c>
      <c r="P5717" t="s">
        <v>53</v>
      </c>
      <c r="Q5717" t="s">
        <v>53</v>
      </c>
    </row>
    <row r="5718" spans="1:17" x14ac:dyDescent="0.2">
      <c r="A5718" s="30" t="str">
        <f>IF(C5718&amp;G5718&amp;D5718&lt;&gt;'Funnel setup'!$K$3&amp;'Funnel setup'!$K$4&amp;'Funnel setup'!$K$5,".",IF(A5717=".",1,A5717+1))</f>
        <v>.</v>
      </c>
      <c r="B5718" s="431" t="str">
        <f t="shared" si="89"/>
        <v>Knee Replacement RevisionEnglandEnglandEQ VAS</v>
      </c>
      <c r="C5718" t="s">
        <v>250</v>
      </c>
      <c r="D5718" t="s">
        <v>163</v>
      </c>
      <c r="E5718" t="s">
        <v>163</v>
      </c>
      <c r="F5718" t="s">
        <v>163</v>
      </c>
      <c r="G5718" t="s">
        <v>179</v>
      </c>
      <c r="H5718">
        <v>1445</v>
      </c>
      <c r="I5718">
        <v>64.456000000000003</v>
      </c>
      <c r="J5718">
        <v>66.516000000000005</v>
      </c>
      <c r="K5718">
        <v>2.06</v>
      </c>
      <c r="L5718">
        <v>689</v>
      </c>
      <c r="M5718">
        <v>200</v>
      </c>
      <c r="N5718">
        <v>556</v>
      </c>
      <c r="O5718">
        <v>66.516000000000005</v>
      </c>
      <c r="P5718">
        <v>2.0595155709999999</v>
      </c>
      <c r="Q5718">
        <v>19.189</v>
      </c>
    </row>
    <row r="5719" spans="1:17" x14ac:dyDescent="0.2">
      <c r="A5719" s="30" t="str">
        <f>IF(C5719&amp;G5719&amp;D5719&lt;&gt;'Funnel setup'!$K$3&amp;'Funnel setup'!$K$4&amp;'Funnel setup'!$K$5,".",IF(A5718=".",1,A5718+1))</f>
        <v>.</v>
      </c>
      <c r="B5719" s="431" t="str">
        <f t="shared" si="89"/>
        <v>Knee Replacement RevisionEnglandEnglandEQ-5D Index</v>
      </c>
      <c r="C5719" t="s">
        <v>250</v>
      </c>
      <c r="D5719" t="s">
        <v>163</v>
      </c>
      <c r="E5719" t="s">
        <v>163</v>
      </c>
      <c r="F5719" t="s">
        <v>163</v>
      </c>
      <c r="G5719" t="s">
        <v>52</v>
      </c>
      <c r="H5719">
        <v>1505</v>
      </c>
      <c r="I5719">
        <v>0.33200000000000002</v>
      </c>
      <c r="J5719">
        <v>0.59</v>
      </c>
      <c r="K5719">
        <v>0.25800000000000001</v>
      </c>
      <c r="L5719">
        <v>1071</v>
      </c>
      <c r="M5719">
        <v>201</v>
      </c>
      <c r="N5719">
        <v>233</v>
      </c>
      <c r="O5719">
        <v>0.59</v>
      </c>
      <c r="P5719">
        <v>0.25834352199999999</v>
      </c>
      <c r="Q5719">
        <v>0.27200000000000002</v>
      </c>
    </row>
    <row r="5720" spans="1:17" x14ac:dyDescent="0.2">
      <c r="A5720" s="30" t="str">
        <f>IF(C5720&amp;G5720&amp;D5720&lt;&gt;'Funnel setup'!$K$3&amp;'Funnel setup'!$K$4&amp;'Funnel setup'!$K$5,".",IF(A5719=".",1,A5719+1))</f>
        <v>.</v>
      </c>
      <c r="B5720" s="431" t="str">
        <f t="shared" si="89"/>
        <v>Knee Replacement RevisionEnglandEnglandOxford Knee Score</v>
      </c>
      <c r="C5720" t="s">
        <v>250</v>
      </c>
      <c r="D5720" t="s">
        <v>163</v>
      </c>
      <c r="E5720" t="s">
        <v>163</v>
      </c>
      <c r="F5720" t="s">
        <v>163</v>
      </c>
      <c r="G5720" t="s">
        <v>16</v>
      </c>
      <c r="H5720">
        <v>1637</v>
      </c>
      <c r="I5720">
        <v>16.506</v>
      </c>
      <c r="J5720">
        <v>28.844000000000001</v>
      </c>
      <c r="K5720">
        <v>12.337999999999999</v>
      </c>
      <c r="L5720">
        <v>1408</v>
      </c>
      <c r="M5720">
        <v>40</v>
      </c>
      <c r="N5720">
        <v>189</v>
      </c>
      <c r="O5720">
        <v>28.844000000000001</v>
      </c>
      <c r="P5720">
        <v>12.337813069999999</v>
      </c>
      <c r="Q5720">
        <v>9.7889999999999997</v>
      </c>
    </row>
    <row r="5721" spans="1:17" x14ac:dyDescent="0.2">
      <c r="A5721" s="30" t="str">
        <f>IF(C5721&amp;G5721&amp;D5721&lt;&gt;'Funnel setup'!$K$3&amp;'Funnel setup'!$K$4&amp;'Funnel setup'!$K$5,".",IF(A5720=".",1,A5720+1))</f>
        <v>.</v>
      </c>
      <c r="B5721" s="431" t="str">
        <f t="shared" si="89"/>
        <v>Knee Replacement RevisionProviderAINTREE UNIVERSITY HOSPITAL NHS FOUNDATION TRUST (REM)EQ VAS</v>
      </c>
      <c r="C5721" t="s">
        <v>250</v>
      </c>
      <c r="D5721" t="s">
        <v>1</v>
      </c>
      <c r="E5721" t="s">
        <v>3838</v>
      </c>
      <c r="F5721" t="s">
        <v>3839</v>
      </c>
      <c r="G5721" t="s">
        <v>179</v>
      </c>
      <c r="H5721" t="s">
        <v>53</v>
      </c>
      <c r="I5721" t="s">
        <v>53</v>
      </c>
      <c r="J5721" t="s">
        <v>53</v>
      </c>
      <c r="K5721" t="s">
        <v>53</v>
      </c>
      <c r="L5721" t="s">
        <v>53</v>
      </c>
      <c r="M5721" t="s">
        <v>53</v>
      </c>
      <c r="N5721" t="s">
        <v>53</v>
      </c>
      <c r="O5721" t="s">
        <v>53</v>
      </c>
      <c r="P5721" t="s">
        <v>53</v>
      </c>
      <c r="Q5721" t="s">
        <v>53</v>
      </c>
    </row>
    <row r="5722" spans="1:17" x14ac:dyDescent="0.2">
      <c r="A5722" s="30" t="str">
        <f>IF(C5722&amp;G5722&amp;D5722&lt;&gt;'Funnel setup'!$K$3&amp;'Funnel setup'!$K$4&amp;'Funnel setup'!$K$5,".",IF(A5721=".",1,A5721+1))</f>
        <v>.</v>
      </c>
      <c r="B5722" s="431" t="str">
        <f t="shared" si="89"/>
        <v>Knee Replacement RevisionProviderAIREDALE NHS FOUNDATION TRUST (RCF)EQ VAS</v>
      </c>
      <c r="C5722" t="s">
        <v>250</v>
      </c>
      <c r="D5722" t="s">
        <v>1</v>
      </c>
      <c r="E5722" t="s">
        <v>3841</v>
      </c>
      <c r="F5722" t="s">
        <v>3842</v>
      </c>
      <c r="G5722" t="s">
        <v>179</v>
      </c>
      <c r="H5722" t="s">
        <v>53</v>
      </c>
      <c r="I5722" t="s">
        <v>53</v>
      </c>
      <c r="J5722" t="s">
        <v>53</v>
      </c>
      <c r="K5722" t="s">
        <v>53</v>
      </c>
      <c r="L5722" t="s">
        <v>53</v>
      </c>
      <c r="M5722" t="s">
        <v>53</v>
      </c>
      <c r="N5722" t="s">
        <v>53</v>
      </c>
      <c r="O5722" t="s">
        <v>53</v>
      </c>
      <c r="P5722" t="s">
        <v>53</v>
      </c>
      <c r="Q5722" t="s">
        <v>53</v>
      </c>
    </row>
    <row r="5723" spans="1:17" x14ac:dyDescent="0.2">
      <c r="A5723" s="30" t="str">
        <f>IF(C5723&amp;G5723&amp;D5723&lt;&gt;'Funnel setup'!$K$3&amp;'Funnel setup'!$K$4&amp;'Funnel setup'!$K$5,".",IF(A5722=".",1,A5722+1))</f>
        <v>.</v>
      </c>
      <c r="B5723" s="431" t="str">
        <f t="shared" si="89"/>
        <v>Knee Replacement RevisionProviderASHFORD AND ST PETER'S HOSPITALS NHS FOUNDATION TRUST (RTK)EQ VAS</v>
      </c>
      <c r="C5723" t="s">
        <v>250</v>
      </c>
      <c r="D5723" t="s">
        <v>1</v>
      </c>
      <c r="E5723" t="s">
        <v>3844</v>
      </c>
      <c r="F5723" t="s">
        <v>345</v>
      </c>
      <c r="G5723" t="s">
        <v>179</v>
      </c>
      <c r="H5723">
        <v>8</v>
      </c>
      <c r="I5723">
        <v>67.875</v>
      </c>
      <c r="J5723">
        <v>60.375</v>
      </c>
      <c r="K5723">
        <v>-7.5</v>
      </c>
      <c r="L5723">
        <v>5</v>
      </c>
      <c r="M5723">
        <v>0</v>
      </c>
      <c r="N5723">
        <v>3</v>
      </c>
      <c r="O5723" t="s">
        <v>53</v>
      </c>
      <c r="P5723" t="s">
        <v>53</v>
      </c>
      <c r="Q5723" t="s">
        <v>53</v>
      </c>
    </row>
    <row r="5724" spans="1:17" x14ac:dyDescent="0.2">
      <c r="A5724" s="30" t="str">
        <f>IF(C5724&amp;G5724&amp;D5724&lt;&gt;'Funnel setup'!$K$3&amp;'Funnel setup'!$K$4&amp;'Funnel setup'!$K$5,".",IF(A5723=".",1,A5723+1))</f>
        <v>.</v>
      </c>
      <c r="B5724" s="431" t="str">
        <f t="shared" si="89"/>
        <v>Knee Replacement RevisionProviderASHTEAD HOSPITAL (NVC01)EQ VAS</v>
      </c>
      <c r="C5724" t="s">
        <v>250</v>
      </c>
      <c r="D5724" t="s">
        <v>1</v>
      </c>
      <c r="E5724" t="s">
        <v>3846</v>
      </c>
      <c r="F5724" t="s">
        <v>3847</v>
      </c>
      <c r="G5724" t="s">
        <v>179</v>
      </c>
      <c r="H5724" t="s">
        <v>53</v>
      </c>
      <c r="I5724" t="s">
        <v>53</v>
      </c>
      <c r="J5724" t="s">
        <v>53</v>
      </c>
      <c r="K5724" t="s">
        <v>53</v>
      </c>
      <c r="L5724" t="s">
        <v>53</v>
      </c>
      <c r="M5724" t="s">
        <v>53</v>
      </c>
      <c r="N5724" t="s">
        <v>53</v>
      </c>
      <c r="O5724" t="s">
        <v>53</v>
      </c>
      <c r="P5724" t="s">
        <v>53</v>
      </c>
      <c r="Q5724" t="s">
        <v>53</v>
      </c>
    </row>
    <row r="5725" spans="1:17" x14ac:dyDescent="0.2">
      <c r="A5725" s="30" t="str">
        <f>IF(C5725&amp;G5725&amp;D5725&lt;&gt;'Funnel setup'!$K$3&amp;'Funnel setup'!$K$4&amp;'Funnel setup'!$K$5,".",IF(A5724=".",1,A5724+1))</f>
        <v>.</v>
      </c>
      <c r="B5725" s="431" t="str">
        <f t="shared" si="89"/>
        <v>Knee Replacement RevisionProviderBARKING, HAVERING AND REDBRIDGE UNIVERSITY HOSPITALS NHS TRUST (RF4)EQ VAS</v>
      </c>
      <c r="C5725" t="s">
        <v>250</v>
      </c>
      <c r="D5725" t="s">
        <v>1</v>
      </c>
      <c r="E5725" t="s">
        <v>3509</v>
      </c>
      <c r="F5725" t="s">
        <v>3510</v>
      </c>
      <c r="G5725" t="s">
        <v>179</v>
      </c>
      <c r="H5725" t="s">
        <v>53</v>
      </c>
      <c r="I5725" t="s">
        <v>53</v>
      </c>
      <c r="J5725" t="s">
        <v>53</v>
      </c>
      <c r="K5725" t="s">
        <v>53</v>
      </c>
      <c r="L5725" t="s">
        <v>53</v>
      </c>
      <c r="M5725" t="s">
        <v>53</v>
      </c>
      <c r="N5725" t="s">
        <v>53</v>
      </c>
      <c r="O5725" t="s">
        <v>53</v>
      </c>
      <c r="P5725" t="s">
        <v>53</v>
      </c>
      <c r="Q5725" t="s">
        <v>53</v>
      </c>
    </row>
    <row r="5726" spans="1:17" x14ac:dyDescent="0.2">
      <c r="A5726" s="30" t="str">
        <f>IF(C5726&amp;G5726&amp;D5726&lt;&gt;'Funnel setup'!$K$3&amp;'Funnel setup'!$K$4&amp;'Funnel setup'!$K$5,".",IF(A5725=".",1,A5725+1))</f>
        <v>.</v>
      </c>
      <c r="B5726" s="431" t="str">
        <f t="shared" si="89"/>
        <v>Knee Replacement RevisionProviderBARLBOROUGH NHS TREATMENT CENTRE (NTP13)EQ VAS</v>
      </c>
      <c r="C5726" t="s">
        <v>250</v>
      </c>
      <c r="D5726" t="s">
        <v>1</v>
      </c>
      <c r="E5726" t="s">
        <v>4425</v>
      </c>
      <c r="F5726" t="s">
        <v>4426</v>
      </c>
      <c r="G5726" t="s">
        <v>179</v>
      </c>
      <c r="H5726">
        <v>7</v>
      </c>
      <c r="I5726">
        <v>72.286000000000001</v>
      </c>
      <c r="J5726">
        <v>65</v>
      </c>
      <c r="K5726">
        <v>-7.2859999999999996</v>
      </c>
      <c r="L5726">
        <v>1</v>
      </c>
      <c r="M5726">
        <v>1</v>
      </c>
      <c r="N5726">
        <v>5</v>
      </c>
      <c r="O5726" t="s">
        <v>53</v>
      </c>
      <c r="P5726" t="s">
        <v>53</v>
      </c>
      <c r="Q5726" t="s">
        <v>53</v>
      </c>
    </row>
    <row r="5727" spans="1:17" x14ac:dyDescent="0.2">
      <c r="A5727" s="30" t="str">
        <f>IF(C5727&amp;G5727&amp;D5727&lt;&gt;'Funnel setup'!$K$3&amp;'Funnel setup'!$K$4&amp;'Funnel setup'!$K$5,".",IF(A5726=".",1,A5726+1))</f>
        <v>.</v>
      </c>
      <c r="B5727" s="431" t="str">
        <f t="shared" si="89"/>
        <v>Knee Replacement RevisionProviderBARNSLEY HOSPITAL NHS FOUNDATION TRUST (RFF)EQ VAS</v>
      </c>
      <c r="C5727" t="s">
        <v>250</v>
      </c>
      <c r="D5727" t="s">
        <v>1</v>
      </c>
      <c r="E5727" t="s">
        <v>3549</v>
      </c>
      <c r="F5727" t="s">
        <v>3550</v>
      </c>
      <c r="G5727" t="s">
        <v>179</v>
      </c>
      <c r="H5727">
        <v>7</v>
      </c>
      <c r="I5727">
        <v>65</v>
      </c>
      <c r="J5727">
        <v>62.143000000000001</v>
      </c>
      <c r="K5727">
        <v>-2.8570000000000002</v>
      </c>
      <c r="L5727">
        <v>3</v>
      </c>
      <c r="M5727">
        <v>1</v>
      </c>
      <c r="N5727">
        <v>3</v>
      </c>
      <c r="O5727" t="s">
        <v>53</v>
      </c>
      <c r="P5727" t="s">
        <v>53</v>
      </c>
      <c r="Q5727" t="s">
        <v>53</v>
      </c>
    </row>
    <row r="5728" spans="1:17" x14ac:dyDescent="0.2">
      <c r="A5728" s="30" t="str">
        <f>IF(C5728&amp;G5728&amp;D5728&lt;&gt;'Funnel setup'!$K$3&amp;'Funnel setup'!$K$4&amp;'Funnel setup'!$K$5,".",IF(A5727=".",1,A5727+1))</f>
        <v>.</v>
      </c>
      <c r="B5728" s="431" t="str">
        <f t="shared" si="89"/>
        <v>Knee Replacement RevisionProviderBARTS HEALTH NHS TRUST (R1H)EQ VAS</v>
      </c>
      <c r="C5728" t="s">
        <v>250</v>
      </c>
      <c r="D5728" t="s">
        <v>1</v>
      </c>
      <c r="E5728" t="s">
        <v>3552</v>
      </c>
      <c r="F5728" t="s">
        <v>3553</v>
      </c>
      <c r="G5728" t="s">
        <v>179</v>
      </c>
      <c r="H5728" t="s">
        <v>53</v>
      </c>
      <c r="I5728" t="s">
        <v>53</v>
      </c>
      <c r="J5728" t="s">
        <v>53</v>
      </c>
      <c r="K5728" t="s">
        <v>53</v>
      </c>
      <c r="L5728" t="s">
        <v>53</v>
      </c>
      <c r="M5728" t="s">
        <v>53</v>
      </c>
      <c r="N5728" t="s">
        <v>53</v>
      </c>
      <c r="O5728" t="s">
        <v>53</v>
      </c>
      <c r="P5728" t="s">
        <v>53</v>
      </c>
      <c r="Q5728" t="s">
        <v>53</v>
      </c>
    </row>
    <row r="5729" spans="1:17" x14ac:dyDescent="0.2">
      <c r="A5729" s="30" t="str">
        <f>IF(C5729&amp;G5729&amp;D5729&lt;&gt;'Funnel setup'!$K$3&amp;'Funnel setup'!$K$4&amp;'Funnel setup'!$K$5,".",IF(A5728=".",1,A5728+1))</f>
        <v>.</v>
      </c>
      <c r="B5729" s="431" t="str">
        <f t="shared" si="89"/>
        <v>Knee Replacement RevisionProviderBASILDON AND THURROCK UNIVERSITY HOSPITALS NHS FOUNDATION TRUST (RDD)EQ VAS</v>
      </c>
      <c r="C5729" t="s">
        <v>250</v>
      </c>
      <c r="D5729" t="s">
        <v>1</v>
      </c>
      <c r="E5729" t="s">
        <v>3555</v>
      </c>
      <c r="F5729" t="s">
        <v>3556</v>
      </c>
      <c r="G5729" t="s">
        <v>179</v>
      </c>
      <c r="H5729">
        <v>15</v>
      </c>
      <c r="I5729">
        <v>65.8</v>
      </c>
      <c r="J5729">
        <v>64.2</v>
      </c>
      <c r="K5729">
        <v>-1.6</v>
      </c>
      <c r="L5729">
        <v>6</v>
      </c>
      <c r="M5729">
        <v>5</v>
      </c>
      <c r="N5729">
        <v>4</v>
      </c>
      <c r="O5729" t="s">
        <v>53</v>
      </c>
      <c r="P5729" t="s">
        <v>53</v>
      </c>
      <c r="Q5729" t="s">
        <v>53</v>
      </c>
    </row>
    <row r="5730" spans="1:17" x14ac:dyDescent="0.2">
      <c r="A5730" s="30" t="str">
        <f>IF(C5730&amp;G5730&amp;D5730&lt;&gt;'Funnel setup'!$K$3&amp;'Funnel setup'!$K$4&amp;'Funnel setup'!$K$5,".",IF(A5729=".",1,A5729+1))</f>
        <v>.</v>
      </c>
      <c r="B5730" s="431" t="str">
        <f t="shared" si="89"/>
        <v>Knee Replacement RevisionProviderBEDFORD HOSPITAL NHS TRUST (RC1)EQ VAS</v>
      </c>
      <c r="C5730" t="s">
        <v>250</v>
      </c>
      <c r="D5730" t="s">
        <v>1</v>
      </c>
      <c r="E5730" t="s">
        <v>3558</v>
      </c>
      <c r="F5730" t="s">
        <v>3559</v>
      </c>
      <c r="G5730" t="s">
        <v>179</v>
      </c>
      <c r="H5730" t="s">
        <v>53</v>
      </c>
      <c r="I5730" t="s">
        <v>53</v>
      </c>
      <c r="J5730" t="s">
        <v>53</v>
      </c>
      <c r="K5730" t="s">
        <v>53</v>
      </c>
      <c r="L5730" t="s">
        <v>53</v>
      </c>
      <c r="M5730" t="s">
        <v>53</v>
      </c>
      <c r="N5730" t="s">
        <v>53</v>
      </c>
      <c r="O5730" t="s">
        <v>53</v>
      </c>
      <c r="P5730" t="s">
        <v>53</v>
      </c>
      <c r="Q5730" t="s">
        <v>53</v>
      </c>
    </row>
    <row r="5731" spans="1:17" x14ac:dyDescent="0.2">
      <c r="A5731" s="30" t="str">
        <f>IF(C5731&amp;G5731&amp;D5731&lt;&gt;'Funnel setup'!$K$3&amp;'Funnel setup'!$K$4&amp;'Funnel setup'!$K$5,".",IF(A5730=".",1,A5730+1))</f>
        <v>.</v>
      </c>
      <c r="B5731" s="431" t="str">
        <f t="shared" si="89"/>
        <v>Knee Replacement RevisionProviderBMI - BATH CLINIC (NT402)EQ VAS</v>
      </c>
      <c r="C5731" t="s">
        <v>250</v>
      </c>
      <c r="D5731" t="s">
        <v>1</v>
      </c>
      <c r="E5731" t="s">
        <v>3488</v>
      </c>
      <c r="F5731" t="s">
        <v>3489</v>
      </c>
      <c r="G5731" t="s">
        <v>179</v>
      </c>
      <c r="H5731" t="s">
        <v>53</v>
      </c>
      <c r="I5731" t="s">
        <v>53</v>
      </c>
      <c r="J5731" t="s">
        <v>53</v>
      </c>
      <c r="K5731" t="s">
        <v>53</v>
      </c>
      <c r="L5731" t="s">
        <v>53</v>
      </c>
      <c r="M5731" t="s">
        <v>53</v>
      </c>
      <c r="N5731" t="s">
        <v>53</v>
      </c>
      <c r="O5731" t="s">
        <v>53</v>
      </c>
      <c r="P5731" t="s">
        <v>53</v>
      </c>
      <c r="Q5731" t="s">
        <v>53</v>
      </c>
    </row>
    <row r="5732" spans="1:17" x14ac:dyDescent="0.2">
      <c r="A5732" s="30" t="str">
        <f>IF(C5732&amp;G5732&amp;D5732&lt;&gt;'Funnel setup'!$K$3&amp;'Funnel setup'!$K$4&amp;'Funnel setup'!$K$5,".",IF(A5731=".",1,A5731+1))</f>
        <v>.</v>
      </c>
      <c r="B5732" s="431" t="str">
        <f t="shared" si="89"/>
        <v>Knee Replacement RevisionProviderBMI - BISHOPS WOOD (NT405)EQ VAS</v>
      </c>
      <c r="C5732" t="s">
        <v>250</v>
      </c>
      <c r="D5732" t="s">
        <v>1</v>
      </c>
      <c r="E5732" t="s">
        <v>3491</v>
      </c>
      <c r="F5732" t="s">
        <v>3492</v>
      </c>
      <c r="G5732" t="s">
        <v>179</v>
      </c>
      <c r="H5732" t="s">
        <v>53</v>
      </c>
      <c r="I5732" t="s">
        <v>53</v>
      </c>
      <c r="J5732" t="s">
        <v>53</v>
      </c>
      <c r="K5732" t="s">
        <v>53</v>
      </c>
      <c r="L5732" t="s">
        <v>53</v>
      </c>
      <c r="M5732" t="s">
        <v>53</v>
      </c>
      <c r="N5732" t="s">
        <v>53</v>
      </c>
      <c r="O5732" t="s">
        <v>53</v>
      </c>
      <c r="P5732" t="s">
        <v>53</v>
      </c>
      <c r="Q5732" t="s">
        <v>53</v>
      </c>
    </row>
    <row r="5733" spans="1:17" x14ac:dyDescent="0.2">
      <c r="A5733" s="30" t="str">
        <f>IF(C5733&amp;G5733&amp;D5733&lt;&gt;'Funnel setup'!$K$3&amp;'Funnel setup'!$K$4&amp;'Funnel setup'!$K$5,".",IF(A5732=".",1,A5732+1))</f>
        <v>.</v>
      </c>
      <c r="B5733" s="431" t="str">
        <f t="shared" si="89"/>
        <v>Knee Replacement RevisionProviderBMI - GORING HALL HOSPITAL (NT417)EQ VAS</v>
      </c>
      <c r="C5733" t="s">
        <v>250</v>
      </c>
      <c r="D5733" t="s">
        <v>1</v>
      </c>
      <c r="E5733" t="s">
        <v>3403</v>
      </c>
      <c r="F5733" t="s">
        <v>3404</v>
      </c>
      <c r="G5733" t="s">
        <v>179</v>
      </c>
      <c r="H5733">
        <v>7</v>
      </c>
      <c r="I5733">
        <v>62.713999999999999</v>
      </c>
      <c r="J5733">
        <v>68.570999999999998</v>
      </c>
      <c r="K5733">
        <v>5.8570000000000002</v>
      </c>
      <c r="L5733">
        <v>4</v>
      </c>
      <c r="M5733">
        <v>1</v>
      </c>
      <c r="N5733">
        <v>2</v>
      </c>
      <c r="O5733" t="s">
        <v>53</v>
      </c>
      <c r="P5733" t="s">
        <v>53</v>
      </c>
      <c r="Q5733" t="s">
        <v>53</v>
      </c>
    </row>
    <row r="5734" spans="1:17" x14ac:dyDescent="0.2">
      <c r="A5734" s="30" t="str">
        <f>IF(C5734&amp;G5734&amp;D5734&lt;&gt;'Funnel setup'!$K$3&amp;'Funnel setup'!$K$4&amp;'Funnel setup'!$K$5,".",IF(A5733=".",1,A5733+1))</f>
        <v>.</v>
      </c>
      <c r="B5734" s="431" t="str">
        <f t="shared" si="89"/>
        <v>Knee Replacement RevisionProviderBMI - THE CHILTERN HOSPITAL (NT410)EQ VAS</v>
      </c>
      <c r="C5734" t="s">
        <v>250</v>
      </c>
      <c r="D5734" t="s">
        <v>1</v>
      </c>
      <c r="E5734" t="s">
        <v>3594</v>
      </c>
      <c r="F5734" t="s">
        <v>3595</v>
      </c>
      <c r="G5734" t="s">
        <v>179</v>
      </c>
      <c r="H5734" t="s">
        <v>53</v>
      </c>
      <c r="I5734" t="s">
        <v>53</v>
      </c>
      <c r="J5734" t="s">
        <v>53</v>
      </c>
      <c r="K5734" t="s">
        <v>53</v>
      </c>
      <c r="L5734" t="s">
        <v>53</v>
      </c>
      <c r="M5734" t="s">
        <v>53</v>
      </c>
      <c r="N5734" t="s">
        <v>53</v>
      </c>
      <c r="O5734" t="s">
        <v>53</v>
      </c>
      <c r="P5734" t="s">
        <v>53</v>
      </c>
      <c r="Q5734" t="s">
        <v>53</v>
      </c>
    </row>
    <row r="5735" spans="1:17" x14ac:dyDescent="0.2">
      <c r="A5735" s="30" t="str">
        <f>IF(C5735&amp;G5735&amp;D5735&lt;&gt;'Funnel setup'!$K$3&amp;'Funnel setup'!$K$4&amp;'Funnel setup'!$K$5,".",IF(A5734=".",1,A5734+1))</f>
        <v>.</v>
      </c>
      <c r="B5735" s="431" t="str">
        <f t="shared" si="89"/>
        <v>Knee Replacement RevisionProviderBMI - THE DROITWICH SPA HOSPITAL (NT412)EQ VAS</v>
      </c>
      <c r="C5735" t="s">
        <v>250</v>
      </c>
      <c r="D5735" t="s">
        <v>1</v>
      </c>
      <c r="E5735" t="s">
        <v>3600</v>
      </c>
      <c r="F5735" t="s">
        <v>3601</v>
      </c>
      <c r="G5735" t="s">
        <v>179</v>
      </c>
      <c r="H5735" t="s">
        <v>53</v>
      </c>
      <c r="I5735" t="s">
        <v>53</v>
      </c>
      <c r="J5735" t="s">
        <v>53</v>
      </c>
      <c r="K5735" t="s">
        <v>53</v>
      </c>
      <c r="L5735" t="s">
        <v>53</v>
      </c>
      <c r="M5735" t="s">
        <v>53</v>
      </c>
      <c r="N5735" t="s">
        <v>53</v>
      </c>
      <c r="O5735" t="s">
        <v>53</v>
      </c>
      <c r="P5735" t="s">
        <v>53</v>
      </c>
      <c r="Q5735" t="s">
        <v>53</v>
      </c>
    </row>
    <row r="5736" spans="1:17" x14ac:dyDescent="0.2">
      <c r="A5736" s="30" t="str">
        <f>IF(C5736&amp;G5736&amp;D5736&lt;&gt;'Funnel setup'!$K$3&amp;'Funnel setup'!$K$4&amp;'Funnel setup'!$K$5,".",IF(A5735=".",1,A5735+1))</f>
        <v>.</v>
      </c>
      <c r="B5736" s="431" t="str">
        <f t="shared" si="89"/>
        <v>Knee Replacement RevisionProviderBMI - THE KINGS OAK HOSPITAL (NT421)EQ VAS</v>
      </c>
      <c r="C5736" t="s">
        <v>250</v>
      </c>
      <c r="D5736" t="s">
        <v>1</v>
      </c>
      <c r="E5736" t="s">
        <v>3618</v>
      </c>
      <c r="F5736" t="s">
        <v>3619</v>
      </c>
      <c r="G5736" t="s">
        <v>179</v>
      </c>
      <c r="H5736" t="s">
        <v>53</v>
      </c>
      <c r="I5736" t="s">
        <v>53</v>
      </c>
      <c r="J5736" t="s">
        <v>53</v>
      </c>
      <c r="K5736" t="s">
        <v>53</v>
      </c>
      <c r="L5736" t="s">
        <v>53</v>
      </c>
      <c r="M5736" t="s">
        <v>53</v>
      </c>
      <c r="N5736" t="s">
        <v>53</v>
      </c>
      <c r="O5736" t="s">
        <v>53</v>
      </c>
      <c r="P5736" t="s">
        <v>53</v>
      </c>
      <c r="Q5736" t="s">
        <v>53</v>
      </c>
    </row>
    <row r="5737" spans="1:17" x14ac:dyDescent="0.2">
      <c r="A5737" s="30" t="str">
        <f>IF(C5737&amp;G5737&amp;D5737&lt;&gt;'Funnel setup'!$K$3&amp;'Funnel setup'!$K$4&amp;'Funnel setup'!$K$5,".",IF(A5736=".",1,A5736+1))</f>
        <v>.</v>
      </c>
      <c r="B5737" s="431" t="str">
        <f t="shared" si="89"/>
        <v>Knee Replacement RevisionProviderBMI - THE MERIDEN HOSPITAL (NT424)EQ VAS</v>
      </c>
      <c r="C5737" t="s">
        <v>250</v>
      </c>
      <c r="D5737" t="s">
        <v>1</v>
      </c>
      <c r="E5737" t="s">
        <v>3283</v>
      </c>
      <c r="F5737" t="s">
        <v>3284</v>
      </c>
      <c r="G5737" t="s">
        <v>179</v>
      </c>
      <c r="H5737" t="s">
        <v>53</v>
      </c>
      <c r="I5737" t="s">
        <v>53</v>
      </c>
      <c r="J5737" t="s">
        <v>53</v>
      </c>
      <c r="K5737" t="s">
        <v>53</v>
      </c>
      <c r="L5737" t="s">
        <v>53</v>
      </c>
      <c r="M5737" t="s">
        <v>53</v>
      </c>
      <c r="N5737" t="s">
        <v>53</v>
      </c>
      <c r="O5737" t="s">
        <v>53</v>
      </c>
      <c r="P5737" t="s">
        <v>53</v>
      </c>
      <c r="Q5737" t="s">
        <v>53</v>
      </c>
    </row>
    <row r="5738" spans="1:17" x14ac:dyDescent="0.2">
      <c r="A5738" s="30" t="str">
        <f>IF(C5738&amp;G5738&amp;D5738&lt;&gt;'Funnel setup'!$K$3&amp;'Funnel setup'!$K$4&amp;'Funnel setup'!$K$5,".",IF(A5737=".",1,A5737+1))</f>
        <v>.</v>
      </c>
      <c r="B5738" s="431" t="str">
        <f t="shared" si="89"/>
        <v>Knee Replacement RevisionProviderBMI - THE RIDGEWAY HOSPITAL (NT430)EQ VAS</v>
      </c>
      <c r="C5738" t="s">
        <v>250</v>
      </c>
      <c r="D5738" t="s">
        <v>1</v>
      </c>
      <c r="E5738" t="s">
        <v>3292</v>
      </c>
      <c r="F5738" t="s">
        <v>3293</v>
      </c>
      <c r="G5738" t="s">
        <v>179</v>
      </c>
      <c r="H5738" t="s">
        <v>53</v>
      </c>
      <c r="I5738" t="s">
        <v>53</v>
      </c>
      <c r="J5738" t="s">
        <v>53</v>
      </c>
      <c r="K5738" t="s">
        <v>53</v>
      </c>
      <c r="L5738" t="s">
        <v>53</v>
      </c>
      <c r="M5738" t="s">
        <v>53</v>
      </c>
      <c r="N5738" t="s">
        <v>53</v>
      </c>
      <c r="O5738" t="s">
        <v>53</v>
      </c>
      <c r="P5738" t="s">
        <v>53</v>
      </c>
      <c r="Q5738" t="s">
        <v>53</v>
      </c>
    </row>
    <row r="5739" spans="1:17" x14ac:dyDescent="0.2">
      <c r="A5739" s="30" t="str">
        <f>IF(C5739&amp;G5739&amp;D5739&lt;&gt;'Funnel setup'!$K$3&amp;'Funnel setup'!$K$4&amp;'Funnel setup'!$K$5,".",IF(A5738=".",1,A5738+1))</f>
        <v>.</v>
      </c>
      <c r="B5739" s="431" t="str">
        <f t="shared" si="89"/>
        <v>Knee Replacement RevisionProviderBMI - THE RUNNYMEDE HOSPITAL (NT431)EQ VAS</v>
      </c>
      <c r="C5739" t="s">
        <v>250</v>
      </c>
      <c r="D5739" t="s">
        <v>1</v>
      </c>
      <c r="E5739" t="s">
        <v>3295</v>
      </c>
      <c r="F5739" t="s">
        <v>3296</v>
      </c>
      <c r="G5739" t="s">
        <v>179</v>
      </c>
      <c r="H5739" t="s">
        <v>53</v>
      </c>
      <c r="I5739" t="s">
        <v>53</v>
      </c>
      <c r="J5739" t="s">
        <v>53</v>
      </c>
      <c r="K5739" t="s">
        <v>53</v>
      </c>
      <c r="L5739" t="s">
        <v>53</v>
      </c>
      <c r="M5739" t="s">
        <v>53</v>
      </c>
      <c r="N5739" t="s">
        <v>53</v>
      </c>
      <c r="O5739" t="s">
        <v>53</v>
      </c>
      <c r="P5739" t="s">
        <v>53</v>
      </c>
      <c r="Q5739" t="s">
        <v>53</v>
      </c>
    </row>
    <row r="5740" spans="1:17" x14ac:dyDescent="0.2">
      <c r="A5740" s="30" t="str">
        <f>IF(C5740&amp;G5740&amp;D5740&lt;&gt;'Funnel setup'!$K$3&amp;'Funnel setup'!$K$4&amp;'Funnel setup'!$K$5,".",IF(A5739=".",1,A5739+1))</f>
        <v>.</v>
      </c>
      <c r="B5740" s="431" t="str">
        <f t="shared" si="89"/>
        <v>Knee Replacement RevisionProviderBMI - THE SOMERFIELD HOSPITAL (NT438)EQ VAS</v>
      </c>
      <c r="C5740" t="s">
        <v>250</v>
      </c>
      <c r="D5740" t="s">
        <v>1</v>
      </c>
      <c r="E5740" t="s">
        <v>3304</v>
      </c>
      <c r="F5740" t="s">
        <v>3305</v>
      </c>
      <c r="G5740" t="s">
        <v>179</v>
      </c>
      <c r="H5740" t="s">
        <v>53</v>
      </c>
      <c r="I5740" t="s">
        <v>53</v>
      </c>
      <c r="J5740" t="s">
        <v>53</v>
      </c>
      <c r="K5740" t="s">
        <v>53</v>
      </c>
      <c r="L5740" t="s">
        <v>53</v>
      </c>
      <c r="M5740" t="s">
        <v>53</v>
      </c>
      <c r="N5740" t="s">
        <v>53</v>
      </c>
      <c r="O5740" t="s">
        <v>53</v>
      </c>
      <c r="P5740" t="s">
        <v>53</v>
      </c>
      <c r="Q5740" t="s">
        <v>53</v>
      </c>
    </row>
    <row r="5741" spans="1:17" x14ac:dyDescent="0.2">
      <c r="A5741" s="30" t="str">
        <f>IF(C5741&amp;G5741&amp;D5741&lt;&gt;'Funnel setup'!$K$3&amp;'Funnel setup'!$K$4&amp;'Funnel setup'!$K$5,".",IF(A5740=".",1,A5740+1))</f>
        <v>.</v>
      </c>
      <c r="B5741" s="431" t="str">
        <f t="shared" si="89"/>
        <v>Knee Replacement RevisionProviderBMI - THREE SHIRES HOSPITAL (NT441)EQ VAS</v>
      </c>
      <c r="C5741" t="s">
        <v>250</v>
      </c>
      <c r="D5741" t="s">
        <v>1</v>
      </c>
      <c r="E5741" t="s">
        <v>3316</v>
      </c>
      <c r="F5741" t="s">
        <v>3317</v>
      </c>
      <c r="G5741" t="s">
        <v>179</v>
      </c>
      <c r="H5741" t="s">
        <v>53</v>
      </c>
      <c r="I5741" t="s">
        <v>53</v>
      </c>
      <c r="J5741" t="s">
        <v>53</v>
      </c>
      <c r="K5741" t="s">
        <v>53</v>
      </c>
      <c r="L5741" t="s">
        <v>53</v>
      </c>
      <c r="M5741" t="s">
        <v>53</v>
      </c>
      <c r="N5741" t="s">
        <v>53</v>
      </c>
      <c r="O5741" t="s">
        <v>53</v>
      </c>
      <c r="P5741" t="s">
        <v>53</v>
      </c>
      <c r="Q5741" t="s">
        <v>53</v>
      </c>
    </row>
    <row r="5742" spans="1:17" x14ac:dyDescent="0.2">
      <c r="A5742" s="30" t="str">
        <f>IF(C5742&amp;G5742&amp;D5742&lt;&gt;'Funnel setup'!$K$3&amp;'Funnel setup'!$K$4&amp;'Funnel setup'!$K$5,".",IF(A5741=".",1,A5741+1))</f>
        <v>.</v>
      </c>
      <c r="B5742" s="431" t="str">
        <f t="shared" si="89"/>
        <v>Knee Replacement RevisionProviderBMI GISBURNE PARK HOSPITAL (NT497)EQ VAS</v>
      </c>
      <c r="C5742" t="s">
        <v>250</v>
      </c>
      <c r="D5742" t="s">
        <v>1</v>
      </c>
      <c r="E5742" t="s">
        <v>3319</v>
      </c>
      <c r="F5742" t="s">
        <v>3320</v>
      </c>
      <c r="G5742" t="s">
        <v>179</v>
      </c>
      <c r="H5742" t="s">
        <v>53</v>
      </c>
      <c r="I5742" t="s">
        <v>53</v>
      </c>
      <c r="J5742" t="s">
        <v>53</v>
      </c>
      <c r="K5742" t="s">
        <v>53</v>
      </c>
      <c r="L5742" t="s">
        <v>53</v>
      </c>
      <c r="M5742" t="s">
        <v>53</v>
      </c>
      <c r="N5742" t="s">
        <v>53</v>
      </c>
      <c r="O5742" t="s">
        <v>53</v>
      </c>
      <c r="P5742" t="s">
        <v>53</v>
      </c>
      <c r="Q5742" t="s">
        <v>53</v>
      </c>
    </row>
    <row r="5743" spans="1:17" x14ac:dyDescent="0.2">
      <c r="A5743" s="30" t="str">
        <f>IF(C5743&amp;G5743&amp;D5743&lt;&gt;'Funnel setup'!$K$3&amp;'Funnel setup'!$K$4&amp;'Funnel setup'!$K$5,".",IF(A5742=".",1,A5742+1))</f>
        <v>.</v>
      </c>
      <c r="B5743" s="431" t="str">
        <f t="shared" si="89"/>
        <v>Knee Replacement RevisionProviderBMI THE EDGBASTON HOSPITAL (NT445)EQ VAS</v>
      </c>
      <c r="C5743" t="s">
        <v>250</v>
      </c>
      <c r="D5743" t="s">
        <v>1</v>
      </c>
      <c r="E5743" t="s">
        <v>3337</v>
      </c>
      <c r="F5743" t="s">
        <v>3338</v>
      </c>
      <c r="G5743" t="s">
        <v>179</v>
      </c>
      <c r="H5743" t="s">
        <v>53</v>
      </c>
      <c r="I5743" t="s">
        <v>53</v>
      </c>
      <c r="J5743" t="s">
        <v>53</v>
      </c>
      <c r="K5743" t="s">
        <v>53</v>
      </c>
      <c r="L5743" t="s">
        <v>53</v>
      </c>
      <c r="M5743" t="s">
        <v>53</v>
      </c>
      <c r="N5743" t="s">
        <v>53</v>
      </c>
      <c r="O5743" t="s">
        <v>53</v>
      </c>
      <c r="P5743" t="s">
        <v>53</v>
      </c>
      <c r="Q5743" t="s">
        <v>53</v>
      </c>
    </row>
    <row r="5744" spans="1:17" x14ac:dyDescent="0.2">
      <c r="A5744" s="30" t="str">
        <f>IF(C5744&amp;G5744&amp;D5744&lt;&gt;'Funnel setup'!$K$3&amp;'Funnel setup'!$K$4&amp;'Funnel setup'!$K$5,".",IF(A5743=".",1,A5743+1))</f>
        <v>.</v>
      </c>
      <c r="B5744" s="431" t="str">
        <f t="shared" si="89"/>
        <v>Knee Replacement RevisionProviderBMI THE LINCOLN HOSPITAL (NT450)EQ VAS</v>
      </c>
      <c r="C5744" t="s">
        <v>250</v>
      </c>
      <c r="D5744" t="s">
        <v>1</v>
      </c>
      <c r="E5744" t="s">
        <v>3352</v>
      </c>
      <c r="F5744" t="s">
        <v>3353</v>
      </c>
      <c r="G5744" t="s">
        <v>179</v>
      </c>
      <c r="H5744" t="s">
        <v>53</v>
      </c>
      <c r="I5744" t="s">
        <v>53</v>
      </c>
      <c r="J5744" t="s">
        <v>53</v>
      </c>
      <c r="K5744" t="s">
        <v>53</v>
      </c>
      <c r="L5744" t="s">
        <v>53</v>
      </c>
      <c r="M5744" t="s">
        <v>53</v>
      </c>
      <c r="N5744" t="s">
        <v>53</v>
      </c>
      <c r="O5744" t="s">
        <v>53</v>
      </c>
      <c r="P5744" t="s">
        <v>53</v>
      </c>
      <c r="Q5744" t="s">
        <v>53</v>
      </c>
    </row>
    <row r="5745" spans="1:17" x14ac:dyDescent="0.2">
      <c r="A5745" s="30" t="str">
        <f>IF(C5745&amp;G5745&amp;D5745&lt;&gt;'Funnel setup'!$K$3&amp;'Funnel setup'!$K$4&amp;'Funnel setup'!$K$5,".",IF(A5744=".",1,A5744+1))</f>
        <v>.</v>
      </c>
      <c r="B5745" s="431" t="str">
        <f t="shared" si="89"/>
        <v>Knee Replacement RevisionProviderBMI WOODLANDS HOSPITAL (NT457)EQ VAS</v>
      </c>
      <c r="C5745" t="s">
        <v>250</v>
      </c>
      <c r="D5745" t="s">
        <v>1</v>
      </c>
      <c r="E5745" t="s">
        <v>3355</v>
      </c>
      <c r="F5745" t="s">
        <v>3356</v>
      </c>
      <c r="G5745" t="s">
        <v>179</v>
      </c>
      <c r="H5745" t="s">
        <v>53</v>
      </c>
      <c r="I5745" t="s">
        <v>53</v>
      </c>
      <c r="J5745" t="s">
        <v>53</v>
      </c>
      <c r="K5745" t="s">
        <v>53</v>
      </c>
      <c r="L5745" t="s">
        <v>53</v>
      </c>
      <c r="M5745" t="s">
        <v>53</v>
      </c>
      <c r="N5745" t="s">
        <v>53</v>
      </c>
      <c r="O5745" t="s">
        <v>53</v>
      </c>
      <c r="P5745" t="s">
        <v>53</v>
      </c>
      <c r="Q5745" t="s">
        <v>53</v>
      </c>
    </row>
    <row r="5746" spans="1:17" x14ac:dyDescent="0.2">
      <c r="A5746" s="30" t="str">
        <f>IF(C5746&amp;G5746&amp;D5746&lt;&gt;'Funnel setup'!$K$3&amp;'Funnel setup'!$K$4&amp;'Funnel setup'!$K$5,".",IF(A5745=".",1,A5745+1))</f>
        <v>.</v>
      </c>
      <c r="B5746" s="431" t="str">
        <f t="shared" si="89"/>
        <v>Knee Replacement RevisionProviderBOLTON NHS FOUNDATION TRUST (RMC)EQ VAS</v>
      </c>
      <c r="C5746" t="s">
        <v>250</v>
      </c>
      <c r="D5746" t="s">
        <v>1</v>
      </c>
      <c r="E5746" t="s">
        <v>3358</v>
      </c>
      <c r="F5746" t="s">
        <v>3359</v>
      </c>
      <c r="G5746" t="s">
        <v>179</v>
      </c>
      <c r="H5746">
        <v>7</v>
      </c>
      <c r="I5746">
        <v>60.143000000000001</v>
      </c>
      <c r="J5746">
        <v>58.856999999999999</v>
      </c>
      <c r="K5746">
        <v>-1.286</v>
      </c>
      <c r="L5746">
        <v>4</v>
      </c>
      <c r="M5746">
        <v>0</v>
      </c>
      <c r="N5746">
        <v>3</v>
      </c>
      <c r="O5746" t="s">
        <v>53</v>
      </c>
      <c r="P5746" t="s">
        <v>53</v>
      </c>
      <c r="Q5746" t="s">
        <v>53</v>
      </c>
    </row>
    <row r="5747" spans="1:17" x14ac:dyDescent="0.2">
      <c r="A5747" s="30" t="str">
        <f>IF(C5747&amp;G5747&amp;D5747&lt;&gt;'Funnel setup'!$K$3&amp;'Funnel setup'!$K$4&amp;'Funnel setup'!$K$5,".",IF(A5746=".",1,A5746+1))</f>
        <v>.</v>
      </c>
      <c r="B5747" s="431" t="str">
        <f t="shared" si="89"/>
        <v>Knee Replacement RevisionProviderBRADFORD TEACHING HOSPITALS NHS FOUNDATION TRUST (RAE)EQ VAS</v>
      </c>
      <c r="C5747" t="s">
        <v>250</v>
      </c>
      <c r="D5747" t="s">
        <v>1</v>
      </c>
      <c r="E5747" t="s">
        <v>3361</v>
      </c>
      <c r="F5747" t="s">
        <v>3362</v>
      </c>
      <c r="G5747" t="s">
        <v>179</v>
      </c>
      <c r="H5747">
        <v>9</v>
      </c>
      <c r="I5747">
        <v>57.332999999999998</v>
      </c>
      <c r="J5747">
        <v>73.221999999999994</v>
      </c>
      <c r="K5747">
        <v>15.888999999999999</v>
      </c>
      <c r="L5747">
        <v>6</v>
      </c>
      <c r="M5747">
        <v>1</v>
      </c>
      <c r="N5747">
        <v>2</v>
      </c>
      <c r="O5747" t="s">
        <v>53</v>
      </c>
      <c r="P5747" t="s">
        <v>53</v>
      </c>
      <c r="Q5747" t="s">
        <v>53</v>
      </c>
    </row>
    <row r="5748" spans="1:17" x14ac:dyDescent="0.2">
      <c r="A5748" s="30" t="str">
        <f>IF(C5748&amp;G5748&amp;D5748&lt;&gt;'Funnel setup'!$K$3&amp;'Funnel setup'!$K$4&amp;'Funnel setup'!$K$5,".",IF(A5747=".",1,A5747+1))</f>
        <v>.</v>
      </c>
      <c r="B5748" s="431" t="str">
        <f t="shared" si="89"/>
        <v>Knee Replacement RevisionProviderBRIGHTON AND SUSSEX UNIVERSITY HOSPITALS NHS TRUST (RXH)EQ VAS</v>
      </c>
      <c r="C5748" t="s">
        <v>250</v>
      </c>
      <c r="D5748" t="s">
        <v>1</v>
      </c>
      <c r="E5748" t="s">
        <v>3367</v>
      </c>
      <c r="F5748" t="s">
        <v>3368</v>
      </c>
      <c r="G5748" t="s">
        <v>179</v>
      </c>
      <c r="H5748">
        <v>18</v>
      </c>
      <c r="I5748">
        <v>49.222000000000001</v>
      </c>
      <c r="J5748">
        <v>45.389000000000003</v>
      </c>
      <c r="K5748">
        <v>-3.8330000000000002</v>
      </c>
      <c r="L5748">
        <v>6</v>
      </c>
      <c r="M5748">
        <v>0</v>
      </c>
      <c r="N5748">
        <v>12</v>
      </c>
      <c r="O5748" t="s">
        <v>53</v>
      </c>
      <c r="P5748" t="s">
        <v>53</v>
      </c>
      <c r="Q5748" t="s">
        <v>53</v>
      </c>
    </row>
    <row r="5749" spans="1:17" x14ac:dyDescent="0.2">
      <c r="A5749" s="30" t="str">
        <f>IF(C5749&amp;G5749&amp;D5749&lt;&gt;'Funnel setup'!$K$3&amp;'Funnel setup'!$K$4&amp;'Funnel setup'!$K$5,".",IF(A5748=".",1,A5748+1))</f>
        <v>.</v>
      </c>
      <c r="B5749" s="431" t="str">
        <f t="shared" si="89"/>
        <v>Knee Replacement RevisionProviderBUCKINGHAMSHIRE HEALTHCARE NHS TRUST (RXQ)EQ VAS</v>
      </c>
      <c r="C5749" t="s">
        <v>250</v>
      </c>
      <c r="D5749" t="s">
        <v>1</v>
      </c>
      <c r="E5749" t="s">
        <v>3370</v>
      </c>
      <c r="F5749" t="s">
        <v>3371</v>
      </c>
      <c r="G5749" t="s">
        <v>179</v>
      </c>
      <c r="H5749" t="s">
        <v>53</v>
      </c>
      <c r="I5749" t="s">
        <v>53</v>
      </c>
      <c r="J5749" t="s">
        <v>53</v>
      </c>
      <c r="K5749" t="s">
        <v>53</v>
      </c>
      <c r="L5749" t="s">
        <v>53</v>
      </c>
      <c r="M5749" t="s">
        <v>53</v>
      </c>
      <c r="N5749" t="s">
        <v>53</v>
      </c>
      <c r="O5749" t="s">
        <v>53</v>
      </c>
      <c r="P5749" t="s">
        <v>53</v>
      </c>
      <c r="Q5749" t="s">
        <v>53</v>
      </c>
    </row>
    <row r="5750" spans="1:17" x14ac:dyDescent="0.2">
      <c r="A5750" s="30" t="str">
        <f>IF(C5750&amp;G5750&amp;D5750&lt;&gt;'Funnel setup'!$K$3&amp;'Funnel setup'!$K$4&amp;'Funnel setup'!$K$5,".",IF(A5749=".",1,A5749+1))</f>
        <v>.</v>
      </c>
      <c r="B5750" s="431" t="str">
        <f t="shared" si="89"/>
        <v>Knee Replacement RevisionProviderBURTON HOSPITALS NHS FOUNDATION TRUST (RJF)EQ VAS</v>
      </c>
      <c r="C5750" t="s">
        <v>250</v>
      </c>
      <c r="D5750" t="s">
        <v>1</v>
      </c>
      <c r="E5750" t="s">
        <v>3373</v>
      </c>
      <c r="F5750" t="s">
        <v>3374</v>
      </c>
      <c r="G5750" t="s">
        <v>179</v>
      </c>
      <c r="H5750" t="s">
        <v>53</v>
      </c>
      <c r="I5750" t="s">
        <v>53</v>
      </c>
      <c r="J5750" t="s">
        <v>53</v>
      </c>
      <c r="K5750" t="s">
        <v>53</v>
      </c>
      <c r="L5750" t="s">
        <v>53</v>
      </c>
      <c r="M5750" t="s">
        <v>53</v>
      </c>
      <c r="N5750" t="s">
        <v>53</v>
      </c>
      <c r="O5750" t="s">
        <v>53</v>
      </c>
      <c r="P5750" t="s">
        <v>53</v>
      </c>
      <c r="Q5750" t="s">
        <v>53</v>
      </c>
    </row>
    <row r="5751" spans="1:17" x14ac:dyDescent="0.2">
      <c r="A5751" s="30" t="str">
        <f>IF(C5751&amp;G5751&amp;D5751&lt;&gt;'Funnel setup'!$K$3&amp;'Funnel setup'!$K$4&amp;'Funnel setup'!$K$5,".",IF(A5750=".",1,A5750+1))</f>
        <v>.</v>
      </c>
      <c r="B5751" s="431" t="str">
        <f t="shared" si="89"/>
        <v>Knee Replacement RevisionProviderCALDERDALE AND HUDDERSFIELD NHS FOUNDATION TRUST (RWY)EQ VAS</v>
      </c>
      <c r="C5751" t="s">
        <v>250</v>
      </c>
      <c r="D5751" t="s">
        <v>1</v>
      </c>
      <c r="E5751" t="s">
        <v>3379</v>
      </c>
      <c r="F5751" t="s">
        <v>3380</v>
      </c>
      <c r="G5751" t="s">
        <v>179</v>
      </c>
      <c r="H5751">
        <v>11</v>
      </c>
      <c r="I5751">
        <v>72.272999999999996</v>
      </c>
      <c r="J5751">
        <v>73.364000000000004</v>
      </c>
      <c r="K5751">
        <v>1.091</v>
      </c>
      <c r="L5751">
        <v>5</v>
      </c>
      <c r="M5751">
        <v>0</v>
      </c>
      <c r="N5751">
        <v>6</v>
      </c>
      <c r="O5751" t="s">
        <v>53</v>
      </c>
      <c r="P5751" t="s">
        <v>53</v>
      </c>
      <c r="Q5751" t="s">
        <v>53</v>
      </c>
    </row>
    <row r="5752" spans="1:17" x14ac:dyDescent="0.2">
      <c r="A5752" s="30" t="str">
        <f>IF(C5752&amp;G5752&amp;D5752&lt;&gt;'Funnel setup'!$K$3&amp;'Funnel setup'!$K$4&amp;'Funnel setup'!$K$5,".",IF(A5751=".",1,A5751+1))</f>
        <v>.</v>
      </c>
      <c r="B5752" s="431" t="str">
        <f t="shared" si="89"/>
        <v>Knee Replacement RevisionProviderCAMBRIDGE UNIVERSITY HOSPITALS NHS FOUNDATION TRUST (RGT)EQ VAS</v>
      </c>
      <c r="C5752" t="s">
        <v>250</v>
      </c>
      <c r="D5752" t="s">
        <v>1</v>
      </c>
      <c r="E5752" t="s">
        <v>3076</v>
      </c>
      <c r="F5752" t="s">
        <v>3077</v>
      </c>
      <c r="G5752" t="s">
        <v>179</v>
      </c>
      <c r="H5752">
        <v>19</v>
      </c>
      <c r="I5752">
        <v>57.789000000000001</v>
      </c>
      <c r="J5752">
        <v>73.578999999999994</v>
      </c>
      <c r="K5752">
        <v>15.789</v>
      </c>
      <c r="L5752">
        <v>16</v>
      </c>
      <c r="M5752">
        <v>1</v>
      </c>
      <c r="N5752">
        <v>2</v>
      </c>
      <c r="O5752" t="s">
        <v>53</v>
      </c>
      <c r="P5752" t="s">
        <v>53</v>
      </c>
      <c r="Q5752" t="s">
        <v>53</v>
      </c>
    </row>
    <row r="5753" spans="1:17" x14ac:dyDescent="0.2">
      <c r="A5753" s="30" t="str">
        <f>IF(C5753&amp;G5753&amp;D5753&lt;&gt;'Funnel setup'!$K$3&amp;'Funnel setup'!$K$4&amp;'Funnel setup'!$K$5,".",IF(A5752=".",1,A5752+1))</f>
        <v>.</v>
      </c>
      <c r="B5753" s="431" t="str">
        <f t="shared" si="89"/>
        <v>Knee Replacement RevisionProviderCHESTERFIELD ROYAL HOSPITAL NHS FOUNDATION TRUST (RFS)EQ VAS</v>
      </c>
      <c r="C5753" t="s">
        <v>250</v>
      </c>
      <c r="D5753" t="s">
        <v>1</v>
      </c>
      <c r="E5753" t="s">
        <v>3085</v>
      </c>
      <c r="F5753" t="s">
        <v>3086</v>
      </c>
      <c r="G5753" t="s">
        <v>179</v>
      </c>
      <c r="H5753">
        <v>8</v>
      </c>
      <c r="I5753">
        <v>63.125</v>
      </c>
      <c r="J5753">
        <v>48.625</v>
      </c>
      <c r="K5753">
        <v>-14.5</v>
      </c>
      <c r="L5753">
        <v>3</v>
      </c>
      <c r="M5753">
        <v>1</v>
      </c>
      <c r="N5753">
        <v>4</v>
      </c>
      <c r="O5753" t="s">
        <v>53</v>
      </c>
      <c r="P5753" t="s">
        <v>53</v>
      </c>
      <c r="Q5753" t="s">
        <v>53</v>
      </c>
    </row>
    <row r="5754" spans="1:17" x14ac:dyDescent="0.2">
      <c r="A5754" s="30" t="str">
        <f>IF(C5754&amp;G5754&amp;D5754&lt;&gt;'Funnel setup'!$K$3&amp;'Funnel setup'!$K$4&amp;'Funnel setup'!$K$5,".",IF(A5753=".",1,A5753+1))</f>
        <v>.</v>
      </c>
      <c r="B5754" s="431" t="str">
        <f t="shared" si="89"/>
        <v>Knee Replacement RevisionProviderCIRCLE BATH HOSPITAL (NV302)EQ VAS</v>
      </c>
      <c r="C5754" t="s">
        <v>250</v>
      </c>
      <c r="D5754" t="s">
        <v>1</v>
      </c>
      <c r="E5754" t="s">
        <v>3097</v>
      </c>
      <c r="F5754" t="s">
        <v>3098</v>
      </c>
      <c r="G5754" t="s">
        <v>179</v>
      </c>
      <c r="H5754" t="s">
        <v>53</v>
      </c>
      <c r="I5754" t="s">
        <v>53</v>
      </c>
      <c r="J5754" t="s">
        <v>53</v>
      </c>
      <c r="K5754" t="s">
        <v>53</v>
      </c>
      <c r="L5754" t="s">
        <v>53</v>
      </c>
      <c r="M5754" t="s">
        <v>53</v>
      </c>
      <c r="N5754" t="s">
        <v>53</v>
      </c>
      <c r="O5754" t="s">
        <v>53</v>
      </c>
      <c r="P5754" t="s">
        <v>53</v>
      </c>
      <c r="Q5754" t="s">
        <v>53</v>
      </c>
    </row>
    <row r="5755" spans="1:17" x14ac:dyDescent="0.2">
      <c r="A5755" s="30" t="str">
        <f>IF(C5755&amp;G5755&amp;D5755&lt;&gt;'Funnel setup'!$K$3&amp;'Funnel setup'!$K$4&amp;'Funnel setup'!$K$5,".",IF(A5754=".",1,A5754+1))</f>
        <v>.</v>
      </c>
      <c r="B5755" s="431" t="str">
        <f t="shared" si="89"/>
        <v>Knee Replacement RevisionProviderCITY HOSPITALS SUNDERLAND NHS FOUNDATION TRUST (RLN)EQ VAS</v>
      </c>
      <c r="C5755" t="s">
        <v>250</v>
      </c>
      <c r="D5755" t="s">
        <v>1</v>
      </c>
      <c r="E5755" t="s">
        <v>3100</v>
      </c>
      <c r="F5755" t="s">
        <v>3101</v>
      </c>
      <c r="G5755" t="s">
        <v>179</v>
      </c>
      <c r="H5755">
        <v>8</v>
      </c>
      <c r="I5755">
        <v>58</v>
      </c>
      <c r="J5755">
        <v>64.375</v>
      </c>
      <c r="K5755">
        <v>6.375</v>
      </c>
      <c r="L5755">
        <v>5</v>
      </c>
      <c r="M5755">
        <v>3</v>
      </c>
      <c r="N5755">
        <v>0</v>
      </c>
      <c r="O5755" t="s">
        <v>53</v>
      </c>
      <c r="P5755" t="s">
        <v>53</v>
      </c>
      <c r="Q5755" t="s">
        <v>53</v>
      </c>
    </row>
    <row r="5756" spans="1:17" x14ac:dyDescent="0.2">
      <c r="A5756" s="30" t="str">
        <f>IF(C5756&amp;G5756&amp;D5756&lt;&gt;'Funnel setup'!$K$3&amp;'Funnel setup'!$K$4&amp;'Funnel setup'!$K$5,".",IF(A5755=".",1,A5755+1))</f>
        <v>.</v>
      </c>
      <c r="B5756" s="431" t="str">
        <f t="shared" si="89"/>
        <v>Knee Replacement RevisionProviderCLIFTON PARK HOSPITAL (NVC28)EQ VAS</v>
      </c>
      <c r="C5756" t="s">
        <v>250</v>
      </c>
      <c r="D5756" t="s">
        <v>1</v>
      </c>
      <c r="E5756" t="s">
        <v>4229</v>
      </c>
      <c r="F5756" t="s">
        <v>4230</v>
      </c>
      <c r="G5756" t="s">
        <v>179</v>
      </c>
      <c r="H5756">
        <v>9</v>
      </c>
      <c r="I5756">
        <v>73.221999999999994</v>
      </c>
      <c r="J5756">
        <v>66.778000000000006</v>
      </c>
      <c r="K5756">
        <v>-6.444</v>
      </c>
      <c r="L5756">
        <v>4</v>
      </c>
      <c r="M5756">
        <v>2</v>
      </c>
      <c r="N5756">
        <v>3</v>
      </c>
      <c r="O5756" t="s">
        <v>53</v>
      </c>
      <c r="P5756" t="s">
        <v>53</v>
      </c>
      <c r="Q5756" t="s">
        <v>53</v>
      </c>
    </row>
    <row r="5757" spans="1:17" x14ac:dyDescent="0.2">
      <c r="A5757" s="30" t="str">
        <f>IF(C5757&amp;G5757&amp;D5757&lt;&gt;'Funnel setup'!$K$3&amp;'Funnel setup'!$K$4&amp;'Funnel setup'!$K$5,".",IF(A5756=".",1,A5756+1))</f>
        <v>.</v>
      </c>
      <c r="B5757" s="431" t="str">
        <f t="shared" si="89"/>
        <v>Knee Replacement RevisionProviderCOLCHESTER HOSPITAL UNIVERSITY NHS FOUNDATION TRUST (RDE)EQ VAS</v>
      </c>
      <c r="C5757" t="s">
        <v>250</v>
      </c>
      <c r="D5757" t="s">
        <v>1</v>
      </c>
      <c r="E5757" t="s">
        <v>3109</v>
      </c>
      <c r="F5757" t="s">
        <v>3110</v>
      </c>
      <c r="G5757" t="s">
        <v>179</v>
      </c>
      <c r="H5757">
        <v>9</v>
      </c>
      <c r="I5757">
        <v>68.555999999999997</v>
      </c>
      <c r="J5757">
        <v>63.332999999999998</v>
      </c>
      <c r="K5757">
        <v>-5.2220000000000004</v>
      </c>
      <c r="L5757">
        <v>2</v>
      </c>
      <c r="M5757">
        <v>3</v>
      </c>
      <c r="N5757">
        <v>4</v>
      </c>
      <c r="O5757" t="s">
        <v>53</v>
      </c>
      <c r="P5757" t="s">
        <v>53</v>
      </c>
      <c r="Q5757" t="s">
        <v>53</v>
      </c>
    </row>
    <row r="5758" spans="1:17" x14ac:dyDescent="0.2">
      <c r="A5758" s="30" t="str">
        <f>IF(C5758&amp;G5758&amp;D5758&lt;&gt;'Funnel setup'!$K$3&amp;'Funnel setup'!$K$4&amp;'Funnel setup'!$K$5,".",IF(A5757=".",1,A5757+1))</f>
        <v>.</v>
      </c>
      <c r="B5758" s="431" t="str">
        <f t="shared" si="89"/>
        <v>Knee Replacement RevisionProviderCOUNTESS OF CHESTER HOSPITAL NHS FOUNDATION TRUST (RJR)EQ VAS</v>
      </c>
      <c r="C5758" t="s">
        <v>250</v>
      </c>
      <c r="D5758" t="s">
        <v>1</v>
      </c>
      <c r="E5758" t="s">
        <v>3781</v>
      </c>
      <c r="F5758" t="s">
        <v>3782</v>
      </c>
      <c r="G5758" t="s">
        <v>179</v>
      </c>
      <c r="H5758" t="s">
        <v>53</v>
      </c>
      <c r="I5758" t="s">
        <v>53</v>
      </c>
      <c r="J5758" t="s">
        <v>53</v>
      </c>
      <c r="K5758" t="s">
        <v>53</v>
      </c>
      <c r="L5758" t="s">
        <v>53</v>
      </c>
      <c r="M5758" t="s">
        <v>53</v>
      </c>
      <c r="N5758" t="s">
        <v>53</v>
      </c>
      <c r="O5758" t="s">
        <v>53</v>
      </c>
      <c r="P5758" t="s">
        <v>53</v>
      </c>
      <c r="Q5758" t="s">
        <v>53</v>
      </c>
    </row>
    <row r="5759" spans="1:17" x14ac:dyDescent="0.2">
      <c r="A5759" s="30" t="str">
        <f>IF(C5759&amp;G5759&amp;D5759&lt;&gt;'Funnel setup'!$K$3&amp;'Funnel setup'!$K$4&amp;'Funnel setup'!$K$5,".",IF(A5758=".",1,A5758+1))</f>
        <v>.</v>
      </c>
      <c r="B5759" s="431" t="str">
        <f t="shared" si="89"/>
        <v>Knee Replacement RevisionProviderCOUNTY DURHAM AND DARLINGTON NHS FOUNDATION TRUST (RXP)EQ VAS</v>
      </c>
      <c r="C5759" t="s">
        <v>250</v>
      </c>
      <c r="D5759" t="s">
        <v>1</v>
      </c>
      <c r="E5759" t="s">
        <v>3784</v>
      </c>
      <c r="F5759" t="s">
        <v>3785</v>
      </c>
      <c r="G5759" t="s">
        <v>179</v>
      </c>
      <c r="H5759">
        <v>6</v>
      </c>
      <c r="I5759">
        <v>53.332999999999998</v>
      </c>
      <c r="J5759">
        <v>69.167000000000002</v>
      </c>
      <c r="K5759">
        <v>15.833</v>
      </c>
      <c r="L5759">
        <v>4</v>
      </c>
      <c r="M5759">
        <v>1</v>
      </c>
      <c r="N5759">
        <v>1</v>
      </c>
      <c r="O5759" t="s">
        <v>53</v>
      </c>
      <c r="P5759" t="s">
        <v>53</v>
      </c>
      <c r="Q5759" t="s">
        <v>53</v>
      </c>
    </row>
    <row r="5760" spans="1:17" x14ac:dyDescent="0.2">
      <c r="A5760" s="30" t="str">
        <f>IF(C5760&amp;G5760&amp;D5760&lt;&gt;'Funnel setup'!$K$3&amp;'Funnel setup'!$K$4&amp;'Funnel setup'!$K$5,".",IF(A5759=".",1,A5759+1))</f>
        <v>.</v>
      </c>
      <c r="B5760" s="431" t="str">
        <f t="shared" si="89"/>
        <v>Knee Replacement RevisionProviderDARTFORD AND GRAVESHAM NHS TRUST (RN7)EQ VAS</v>
      </c>
      <c r="C5760" t="s">
        <v>250</v>
      </c>
      <c r="D5760" t="s">
        <v>1</v>
      </c>
      <c r="E5760" t="s">
        <v>3787</v>
      </c>
      <c r="F5760" t="s">
        <v>3788</v>
      </c>
      <c r="G5760" t="s">
        <v>179</v>
      </c>
      <c r="H5760" t="s">
        <v>53</v>
      </c>
      <c r="I5760" t="s">
        <v>53</v>
      </c>
      <c r="J5760" t="s">
        <v>53</v>
      </c>
      <c r="K5760" t="s">
        <v>53</v>
      </c>
      <c r="L5760" t="s">
        <v>53</v>
      </c>
      <c r="M5760" t="s">
        <v>53</v>
      </c>
      <c r="N5760" t="s">
        <v>53</v>
      </c>
      <c r="O5760" t="s">
        <v>53</v>
      </c>
      <c r="P5760" t="s">
        <v>53</v>
      </c>
      <c r="Q5760" t="s">
        <v>53</v>
      </c>
    </row>
    <row r="5761" spans="1:17" x14ac:dyDescent="0.2">
      <c r="A5761" s="30" t="str">
        <f>IF(C5761&amp;G5761&amp;D5761&lt;&gt;'Funnel setup'!$K$3&amp;'Funnel setup'!$K$4&amp;'Funnel setup'!$K$5,".",IF(A5760=".",1,A5760+1))</f>
        <v>.</v>
      </c>
      <c r="B5761" s="431" t="str">
        <f t="shared" si="89"/>
        <v>Knee Replacement RevisionProviderDERBY TEACHING HOSPITALS NHS FOUNDATION TRUST (RTG)EQ VAS</v>
      </c>
      <c r="C5761" t="s">
        <v>250</v>
      </c>
      <c r="D5761" t="s">
        <v>1</v>
      </c>
      <c r="E5761" t="s">
        <v>3790</v>
      </c>
      <c r="F5761" t="s">
        <v>3791</v>
      </c>
      <c r="G5761" t="s">
        <v>179</v>
      </c>
      <c r="H5761">
        <v>10</v>
      </c>
      <c r="I5761">
        <v>80.5</v>
      </c>
      <c r="J5761">
        <v>71.900000000000006</v>
      </c>
      <c r="K5761">
        <v>-8.6</v>
      </c>
      <c r="L5761">
        <v>2</v>
      </c>
      <c r="M5761">
        <v>1</v>
      </c>
      <c r="N5761">
        <v>7</v>
      </c>
      <c r="O5761" t="s">
        <v>53</v>
      </c>
      <c r="P5761" t="s">
        <v>53</v>
      </c>
      <c r="Q5761" t="s">
        <v>53</v>
      </c>
    </row>
    <row r="5762" spans="1:17" x14ac:dyDescent="0.2">
      <c r="A5762" s="30" t="str">
        <f>IF(C5762&amp;G5762&amp;D5762&lt;&gt;'Funnel setup'!$K$3&amp;'Funnel setup'!$K$4&amp;'Funnel setup'!$K$5,".",IF(A5761=".",1,A5761+1))</f>
        <v>.</v>
      </c>
      <c r="B5762" s="431" t="str">
        <f t="shared" si="89"/>
        <v>Knee Replacement RevisionProviderDONCASTER AND BASSETLAW HOSPITALS NHS FOUNDATION TRUST (RP5)EQ VAS</v>
      </c>
      <c r="C5762" t="s">
        <v>250</v>
      </c>
      <c r="D5762" t="s">
        <v>1</v>
      </c>
      <c r="E5762" t="s">
        <v>3799</v>
      </c>
      <c r="F5762" t="s">
        <v>3800</v>
      </c>
      <c r="G5762" t="s">
        <v>179</v>
      </c>
      <c r="H5762">
        <v>19</v>
      </c>
      <c r="I5762">
        <v>55.262999999999998</v>
      </c>
      <c r="J5762">
        <v>54.737000000000002</v>
      </c>
      <c r="K5762">
        <v>-0.52600000000000002</v>
      </c>
      <c r="L5762">
        <v>7</v>
      </c>
      <c r="M5762">
        <v>2</v>
      </c>
      <c r="N5762">
        <v>10</v>
      </c>
      <c r="O5762" t="s">
        <v>53</v>
      </c>
      <c r="P5762" t="s">
        <v>53</v>
      </c>
      <c r="Q5762" t="s">
        <v>53</v>
      </c>
    </row>
    <row r="5763" spans="1:17" x14ac:dyDescent="0.2">
      <c r="A5763" s="30" t="str">
        <f>IF(C5763&amp;G5763&amp;D5763&lt;&gt;'Funnel setup'!$K$3&amp;'Funnel setup'!$K$4&amp;'Funnel setup'!$K$5,".",IF(A5762=".",1,A5762+1))</f>
        <v>.</v>
      </c>
      <c r="B5763" s="431" t="str">
        <f t="shared" ref="B5763:B5826" si="90">C5763&amp;D5763&amp;F5763&amp;G5763</f>
        <v>Knee Replacement RevisionProviderDORSET COUNTY HOSPITAL NHS FOUNDATION TRUST (RBD)EQ VAS</v>
      </c>
      <c r="C5763" t="s">
        <v>250</v>
      </c>
      <c r="D5763" t="s">
        <v>1</v>
      </c>
      <c r="E5763" t="s">
        <v>3802</v>
      </c>
      <c r="F5763" t="s">
        <v>3803</v>
      </c>
      <c r="G5763" t="s">
        <v>179</v>
      </c>
      <c r="H5763" t="s">
        <v>53</v>
      </c>
      <c r="I5763" t="s">
        <v>53</v>
      </c>
      <c r="J5763" t="s">
        <v>53</v>
      </c>
      <c r="K5763" t="s">
        <v>53</v>
      </c>
      <c r="L5763" t="s">
        <v>53</v>
      </c>
      <c r="M5763" t="s">
        <v>53</v>
      </c>
      <c r="N5763" t="s">
        <v>53</v>
      </c>
      <c r="O5763" t="s">
        <v>53</v>
      </c>
      <c r="P5763" t="s">
        <v>53</v>
      </c>
      <c r="Q5763" t="s">
        <v>53</v>
      </c>
    </row>
    <row r="5764" spans="1:17" x14ac:dyDescent="0.2">
      <c r="A5764" s="30" t="str">
        <f>IF(C5764&amp;G5764&amp;D5764&lt;&gt;'Funnel setup'!$K$3&amp;'Funnel setup'!$K$4&amp;'Funnel setup'!$K$5,".",IF(A5763=".",1,A5763+1))</f>
        <v>.</v>
      </c>
      <c r="B5764" s="431" t="str">
        <f t="shared" si="90"/>
        <v>Knee Replacement RevisionProviderDUCHY HOSPITAL (NVC04)EQ VAS</v>
      </c>
      <c r="C5764" t="s">
        <v>250</v>
      </c>
      <c r="D5764" t="s">
        <v>1</v>
      </c>
      <c r="E5764" t="s">
        <v>4518</v>
      </c>
      <c r="F5764" t="s">
        <v>4519</v>
      </c>
      <c r="G5764" t="s">
        <v>179</v>
      </c>
      <c r="H5764">
        <v>10</v>
      </c>
      <c r="I5764">
        <v>64.599999999999994</v>
      </c>
      <c r="J5764">
        <v>74.900000000000006</v>
      </c>
      <c r="K5764">
        <v>10.3</v>
      </c>
      <c r="L5764">
        <v>7</v>
      </c>
      <c r="M5764">
        <v>2</v>
      </c>
      <c r="N5764">
        <v>1</v>
      </c>
      <c r="O5764" t="s">
        <v>53</v>
      </c>
      <c r="P5764" t="s">
        <v>53</v>
      </c>
      <c r="Q5764" t="s">
        <v>53</v>
      </c>
    </row>
    <row r="5765" spans="1:17" x14ac:dyDescent="0.2">
      <c r="A5765" s="30" t="str">
        <f>IF(C5765&amp;G5765&amp;D5765&lt;&gt;'Funnel setup'!$K$3&amp;'Funnel setup'!$K$4&amp;'Funnel setup'!$K$5,".",IF(A5764=".",1,A5764+1))</f>
        <v>.</v>
      </c>
      <c r="B5765" s="431" t="str">
        <f t="shared" si="90"/>
        <v>Knee Replacement RevisionProviderEAST AND NORTH HERTFORDSHIRE NHS TRUST (RWH)EQ VAS</v>
      </c>
      <c r="C5765" t="s">
        <v>250</v>
      </c>
      <c r="D5765" t="s">
        <v>1</v>
      </c>
      <c r="E5765" t="s">
        <v>3814</v>
      </c>
      <c r="F5765" t="s">
        <v>3815</v>
      </c>
      <c r="G5765" t="s">
        <v>179</v>
      </c>
      <c r="H5765">
        <v>9</v>
      </c>
      <c r="I5765">
        <v>62.667000000000002</v>
      </c>
      <c r="J5765">
        <v>67.444000000000003</v>
      </c>
      <c r="K5765">
        <v>4.7779999999999996</v>
      </c>
      <c r="L5765">
        <v>4</v>
      </c>
      <c r="M5765">
        <v>3</v>
      </c>
      <c r="N5765">
        <v>2</v>
      </c>
      <c r="O5765" t="s">
        <v>53</v>
      </c>
      <c r="P5765" t="s">
        <v>53</v>
      </c>
      <c r="Q5765" t="s">
        <v>53</v>
      </c>
    </row>
    <row r="5766" spans="1:17" x14ac:dyDescent="0.2">
      <c r="A5766" s="30" t="str">
        <f>IF(C5766&amp;G5766&amp;D5766&lt;&gt;'Funnel setup'!$K$3&amp;'Funnel setup'!$K$4&amp;'Funnel setup'!$K$5,".",IF(A5765=".",1,A5765+1))</f>
        <v>.</v>
      </c>
      <c r="B5766" s="431" t="str">
        <f t="shared" si="90"/>
        <v>Knee Replacement RevisionProviderEAST CHESHIRE NHS TRUST (RJN)EQ VAS</v>
      </c>
      <c r="C5766" t="s">
        <v>250</v>
      </c>
      <c r="D5766" t="s">
        <v>1</v>
      </c>
      <c r="E5766" t="s">
        <v>3817</v>
      </c>
      <c r="F5766" t="s">
        <v>3818</v>
      </c>
      <c r="G5766" t="s">
        <v>179</v>
      </c>
      <c r="H5766" t="s">
        <v>53</v>
      </c>
      <c r="I5766" t="s">
        <v>53</v>
      </c>
      <c r="J5766" t="s">
        <v>53</v>
      </c>
      <c r="K5766" t="s">
        <v>53</v>
      </c>
      <c r="L5766" t="s">
        <v>53</v>
      </c>
      <c r="M5766" t="s">
        <v>53</v>
      </c>
      <c r="N5766" t="s">
        <v>53</v>
      </c>
      <c r="O5766" t="s">
        <v>53</v>
      </c>
      <c r="P5766" t="s">
        <v>53</v>
      </c>
      <c r="Q5766" t="s">
        <v>53</v>
      </c>
    </row>
    <row r="5767" spans="1:17" x14ac:dyDescent="0.2">
      <c r="A5767" s="30" t="str">
        <f>IF(C5767&amp;G5767&amp;D5767&lt;&gt;'Funnel setup'!$K$3&amp;'Funnel setup'!$K$4&amp;'Funnel setup'!$K$5,".",IF(A5766=".",1,A5766+1))</f>
        <v>.</v>
      </c>
      <c r="B5767" s="431" t="str">
        <f t="shared" si="90"/>
        <v>Knee Replacement RevisionProviderEAST KENT HOSPITALS UNIVERSITY NHS FOUNDATION TRUST (RVV)EQ VAS</v>
      </c>
      <c r="C5767" t="s">
        <v>250</v>
      </c>
      <c r="D5767" t="s">
        <v>1</v>
      </c>
      <c r="E5767" t="s">
        <v>3820</v>
      </c>
      <c r="F5767" t="s">
        <v>3821</v>
      </c>
      <c r="G5767" t="s">
        <v>179</v>
      </c>
      <c r="H5767">
        <v>22</v>
      </c>
      <c r="I5767">
        <v>71.045000000000002</v>
      </c>
      <c r="J5767">
        <v>71.682000000000002</v>
      </c>
      <c r="K5767">
        <v>0.63600000000000001</v>
      </c>
      <c r="L5767">
        <v>9</v>
      </c>
      <c r="M5767">
        <v>4</v>
      </c>
      <c r="N5767">
        <v>9</v>
      </c>
      <c r="O5767" t="s">
        <v>53</v>
      </c>
      <c r="P5767" t="s">
        <v>53</v>
      </c>
      <c r="Q5767" t="s">
        <v>53</v>
      </c>
    </row>
    <row r="5768" spans="1:17" x14ac:dyDescent="0.2">
      <c r="A5768" s="30" t="str">
        <f>IF(C5768&amp;G5768&amp;D5768&lt;&gt;'Funnel setup'!$K$3&amp;'Funnel setup'!$K$4&amp;'Funnel setup'!$K$5,".",IF(A5767=".",1,A5767+1))</f>
        <v>.</v>
      </c>
      <c r="B5768" s="431" t="str">
        <f t="shared" si="90"/>
        <v>Knee Replacement RevisionProviderEAST LANCASHIRE HOSPITALS NHS TRUST (RXR)EQ VAS</v>
      </c>
      <c r="C5768" t="s">
        <v>250</v>
      </c>
      <c r="D5768" t="s">
        <v>1</v>
      </c>
      <c r="E5768" t="s">
        <v>3823</v>
      </c>
      <c r="F5768" t="s">
        <v>3824</v>
      </c>
      <c r="G5768" t="s">
        <v>179</v>
      </c>
      <c r="H5768" t="s">
        <v>53</v>
      </c>
      <c r="I5768" t="s">
        <v>53</v>
      </c>
      <c r="J5768" t="s">
        <v>53</v>
      </c>
      <c r="K5768" t="s">
        <v>53</v>
      </c>
      <c r="L5768" t="s">
        <v>53</v>
      </c>
      <c r="M5768" t="s">
        <v>53</v>
      </c>
      <c r="N5768" t="s">
        <v>53</v>
      </c>
      <c r="O5768" t="s">
        <v>53</v>
      </c>
      <c r="P5768" t="s">
        <v>53</v>
      </c>
      <c r="Q5768" t="s">
        <v>53</v>
      </c>
    </row>
    <row r="5769" spans="1:17" x14ac:dyDescent="0.2">
      <c r="A5769" s="30" t="str">
        <f>IF(C5769&amp;G5769&amp;D5769&lt;&gt;'Funnel setup'!$K$3&amp;'Funnel setup'!$K$4&amp;'Funnel setup'!$K$5,".",IF(A5768=".",1,A5768+1))</f>
        <v>.</v>
      </c>
      <c r="B5769" s="431" t="str">
        <f t="shared" si="90"/>
        <v>Knee Replacement RevisionProviderEAST SUSSEX HEALTHCARE NHS TRUST (RXC)EQ VAS</v>
      </c>
      <c r="C5769" t="s">
        <v>250</v>
      </c>
      <c r="D5769" t="s">
        <v>1</v>
      </c>
      <c r="E5769" t="s">
        <v>3826</v>
      </c>
      <c r="F5769" t="s">
        <v>3827</v>
      </c>
      <c r="G5769" t="s">
        <v>179</v>
      </c>
      <c r="H5769">
        <v>19</v>
      </c>
      <c r="I5769">
        <v>67.525999999999996</v>
      </c>
      <c r="J5769">
        <v>66.421000000000006</v>
      </c>
      <c r="K5769">
        <v>-1.105</v>
      </c>
      <c r="L5769">
        <v>9</v>
      </c>
      <c r="M5769">
        <v>3</v>
      </c>
      <c r="N5769">
        <v>7</v>
      </c>
      <c r="O5769" t="s">
        <v>53</v>
      </c>
      <c r="P5769" t="s">
        <v>53</v>
      </c>
      <c r="Q5769" t="s">
        <v>53</v>
      </c>
    </row>
    <row r="5770" spans="1:17" x14ac:dyDescent="0.2">
      <c r="A5770" s="30" t="str">
        <f>IF(C5770&amp;G5770&amp;D5770&lt;&gt;'Funnel setup'!$K$3&amp;'Funnel setup'!$K$4&amp;'Funnel setup'!$K$5,".",IF(A5769=".",1,A5769+1))</f>
        <v>.</v>
      </c>
      <c r="B5770" s="431" t="str">
        <f t="shared" si="90"/>
        <v>Knee Replacement RevisionProviderEMERSONS GREEN NHS TREATMENT CENTRE (NTPH2)EQ VAS</v>
      </c>
      <c r="C5770" t="s">
        <v>250</v>
      </c>
      <c r="D5770" t="s">
        <v>1</v>
      </c>
      <c r="E5770" t="s">
        <v>3829</v>
      </c>
      <c r="F5770" t="s">
        <v>3830</v>
      </c>
      <c r="G5770" t="s">
        <v>179</v>
      </c>
      <c r="H5770">
        <v>6</v>
      </c>
      <c r="I5770">
        <v>51.667000000000002</v>
      </c>
      <c r="J5770">
        <v>55</v>
      </c>
      <c r="K5770">
        <v>3.3330000000000002</v>
      </c>
      <c r="L5770">
        <v>3</v>
      </c>
      <c r="M5770">
        <v>1</v>
      </c>
      <c r="N5770">
        <v>2</v>
      </c>
      <c r="O5770" t="s">
        <v>53</v>
      </c>
      <c r="P5770" t="s">
        <v>53</v>
      </c>
      <c r="Q5770" t="s">
        <v>53</v>
      </c>
    </row>
    <row r="5771" spans="1:17" x14ac:dyDescent="0.2">
      <c r="A5771" s="30" t="str">
        <f>IF(C5771&amp;G5771&amp;D5771&lt;&gt;'Funnel setup'!$K$3&amp;'Funnel setup'!$K$4&amp;'Funnel setup'!$K$5,".",IF(A5770=".",1,A5770+1))</f>
        <v>.</v>
      </c>
      <c r="B5771" s="431" t="str">
        <f t="shared" si="90"/>
        <v>Knee Replacement RevisionProviderEPSOM AND ST HELIER UNIVERSITY HOSPITALS NHS TRUST (RVR)EQ VAS</v>
      </c>
      <c r="C5771" t="s">
        <v>250</v>
      </c>
      <c r="D5771" t="s">
        <v>1</v>
      </c>
      <c r="E5771" t="s">
        <v>3849</v>
      </c>
      <c r="F5771" t="s">
        <v>3850</v>
      </c>
      <c r="G5771" t="s">
        <v>179</v>
      </c>
      <c r="H5771">
        <v>10</v>
      </c>
      <c r="I5771">
        <v>65.2</v>
      </c>
      <c r="J5771">
        <v>66</v>
      </c>
      <c r="K5771">
        <v>0.8</v>
      </c>
      <c r="L5771">
        <v>3</v>
      </c>
      <c r="M5771">
        <v>2</v>
      </c>
      <c r="N5771">
        <v>5</v>
      </c>
      <c r="O5771" t="s">
        <v>53</v>
      </c>
      <c r="P5771" t="s">
        <v>53</v>
      </c>
      <c r="Q5771" t="s">
        <v>53</v>
      </c>
    </row>
    <row r="5772" spans="1:17" x14ac:dyDescent="0.2">
      <c r="A5772" s="30" t="str">
        <f>IF(C5772&amp;G5772&amp;D5772&lt;&gt;'Funnel setup'!$K$3&amp;'Funnel setup'!$K$4&amp;'Funnel setup'!$K$5,".",IF(A5771=".",1,A5771+1))</f>
        <v>.</v>
      </c>
      <c r="B5772" s="431" t="str">
        <f t="shared" si="90"/>
        <v>Knee Replacement RevisionProviderEUXTON HALL HOSPITAL (NVC05)EQ VAS</v>
      </c>
      <c r="C5772" t="s">
        <v>250</v>
      </c>
      <c r="D5772" t="s">
        <v>1</v>
      </c>
      <c r="E5772" t="s">
        <v>3852</v>
      </c>
      <c r="F5772" t="s">
        <v>3853</v>
      </c>
      <c r="G5772" t="s">
        <v>179</v>
      </c>
      <c r="H5772" t="s">
        <v>53</v>
      </c>
      <c r="I5772" t="s">
        <v>53</v>
      </c>
      <c r="J5772" t="s">
        <v>53</v>
      </c>
      <c r="K5772" t="s">
        <v>53</v>
      </c>
      <c r="L5772" t="s">
        <v>53</v>
      </c>
      <c r="M5772" t="s">
        <v>53</v>
      </c>
      <c r="N5772" t="s">
        <v>53</v>
      </c>
      <c r="O5772" t="s">
        <v>53</v>
      </c>
      <c r="P5772" t="s">
        <v>53</v>
      </c>
      <c r="Q5772" t="s">
        <v>53</v>
      </c>
    </row>
    <row r="5773" spans="1:17" x14ac:dyDescent="0.2">
      <c r="A5773" s="30" t="str">
        <f>IF(C5773&amp;G5773&amp;D5773&lt;&gt;'Funnel setup'!$K$3&amp;'Funnel setup'!$K$4&amp;'Funnel setup'!$K$5,".",IF(A5772=".",1,A5772+1))</f>
        <v>.</v>
      </c>
      <c r="B5773" s="431" t="str">
        <f t="shared" si="90"/>
        <v>Knee Replacement RevisionProviderFITZWILLIAM HOSPITAL (NVC06)EQ VAS</v>
      </c>
      <c r="C5773" t="s">
        <v>250</v>
      </c>
      <c r="D5773" t="s">
        <v>1</v>
      </c>
      <c r="E5773" t="s">
        <v>3858</v>
      </c>
      <c r="F5773" t="s">
        <v>3859</v>
      </c>
      <c r="G5773" t="s">
        <v>179</v>
      </c>
      <c r="H5773" t="s">
        <v>53</v>
      </c>
      <c r="I5773" t="s">
        <v>53</v>
      </c>
      <c r="J5773" t="s">
        <v>53</v>
      </c>
      <c r="K5773" t="s">
        <v>53</v>
      </c>
      <c r="L5773" t="s">
        <v>53</v>
      </c>
      <c r="M5773" t="s">
        <v>53</v>
      </c>
      <c r="N5773" t="s">
        <v>53</v>
      </c>
      <c r="O5773" t="s">
        <v>53</v>
      </c>
      <c r="P5773" t="s">
        <v>53</v>
      </c>
      <c r="Q5773" t="s">
        <v>53</v>
      </c>
    </row>
    <row r="5774" spans="1:17" x14ac:dyDescent="0.2">
      <c r="A5774" s="30" t="str">
        <f>IF(C5774&amp;G5774&amp;D5774&lt;&gt;'Funnel setup'!$K$3&amp;'Funnel setup'!$K$4&amp;'Funnel setup'!$K$5,".",IF(A5773=".",1,A5773+1))</f>
        <v>.</v>
      </c>
      <c r="B5774" s="431" t="str">
        <f t="shared" si="90"/>
        <v>Knee Replacement RevisionProviderFRIMLEY HEALTH NHS FOUNDATION TRUST (RDU)EQ VAS</v>
      </c>
      <c r="C5774" t="s">
        <v>250</v>
      </c>
      <c r="D5774" t="s">
        <v>1</v>
      </c>
      <c r="E5774" t="s">
        <v>3861</v>
      </c>
      <c r="F5774" t="s">
        <v>3862</v>
      </c>
      <c r="G5774" t="s">
        <v>179</v>
      </c>
      <c r="H5774">
        <v>21</v>
      </c>
      <c r="I5774">
        <v>68.762</v>
      </c>
      <c r="J5774">
        <v>66.332999999999998</v>
      </c>
      <c r="K5774">
        <v>-2.4289999999999998</v>
      </c>
      <c r="L5774">
        <v>8</v>
      </c>
      <c r="M5774">
        <v>3</v>
      </c>
      <c r="N5774">
        <v>10</v>
      </c>
      <c r="O5774" t="s">
        <v>53</v>
      </c>
      <c r="P5774" t="s">
        <v>53</v>
      </c>
      <c r="Q5774" t="s">
        <v>53</v>
      </c>
    </row>
    <row r="5775" spans="1:17" x14ac:dyDescent="0.2">
      <c r="A5775" s="30" t="str">
        <f>IF(C5775&amp;G5775&amp;D5775&lt;&gt;'Funnel setup'!$K$3&amp;'Funnel setup'!$K$4&amp;'Funnel setup'!$K$5,".",IF(A5774=".",1,A5774+1))</f>
        <v>.</v>
      </c>
      <c r="B5775" s="431" t="str">
        <f t="shared" si="90"/>
        <v>Knee Replacement RevisionProviderFULWOOD HALL HOSPITAL (NVC07)EQ VAS</v>
      </c>
      <c r="C5775" t="s">
        <v>250</v>
      </c>
      <c r="D5775" t="s">
        <v>1</v>
      </c>
      <c r="E5775" t="s">
        <v>3864</v>
      </c>
      <c r="F5775" t="s">
        <v>3865</v>
      </c>
      <c r="G5775" t="s">
        <v>179</v>
      </c>
      <c r="H5775" t="s">
        <v>53</v>
      </c>
      <c r="I5775" t="s">
        <v>53</v>
      </c>
      <c r="J5775" t="s">
        <v>53</v>
      </c>
      <c r="K5775" t="s">
        <v>53</v>
      </c>
      <c r="L5775" t="s">
        <v>53</v>
      </c>
      <c r="M5775" t="s">
        <v>53</v>
      </c>
      <c r="N5775" t="s">
        <v>53</v>
      </c>
      <c r="O5775" t="s">
        <v>53</v>
      </c>
      <c r="P5775" t="s">
        <v>53</v>
      </c>
      <c r="Q5775" t="s">
        <v>53</v>
      </c>
    </row>
    <row r="5776" spans="1:17" x14ac:dyDescent="0.2">
      <c r="A5776" s="30" t="str">
        <f>IF(C5776&amp;G5776&amp;D5776&lt;&gt;'Funnel setup'!$K$3&amp;'Funnel setup'!$K$4&amp;'Funnel setup'!$K$5,".",IF(A5775=".",1,A5775+1))</f>
        <v>.</v>
      </c>
      <c r="B5776" s="431" t="str">
        <f t="shared" si="90"/>
        <v>Knee Replacement RevisionProviderGATESHEAD HEALTH NHS FOUNDATION TRUST (RR7)EQ VAS</v>
      </c>
      <c r="C5776" t="s">
        <v>250</v>
      </c>
      <c r="D5776" t="s">
        <v>1</v>
      </c>
      <c r="E5776" t="s">
        <v>3867</v>
      </c>
      <c r="F5776" t="s">
        <v>3868</v>
      </c>
      <c r="G5776" t="s">
        <v>179</v>
      </c>
      <c r="H5776">
        <v>8</v>
      </c>
      <c r="I5776">
        <v>64.875</v>
      </c>
      <c r="J5776">
        <v>63.75</v>
      </c>
      <c r="K5776">
        <v>-1.125</v>
      </c>
      <c r="L5776">
        <v>4</v>
      </c>
      <c r="M5776">
        <v>0</v>
      </c>
      <c r="N5776">
        <v>4</v>
      </c>
      <c r="O5776" t="s">
        <v>53</v>
      </c>
      <c r="P5776" t="s">
        <v>53</v>
      </c>
      <c r="Q5776" t="s">
        <v>53</v>
      </c>
    </row>
    <row r="5777" spans="1:17" x14ac:dyDescent="0.2">
      <c r="A5777" s="30" t="str">
        <f>IF(C5777&amp;G5777&amp;D5777&lt;&gt;'Funnel setup'!$K$3&amp;'Funnel setup'!$K$4&amp;'Funnel setup'!$K$5,".",IF(A5776=".",1,A5776+1))</f>
        <v>.</v>
      </c>
      <c r="B5777" s="431" t="str">
        <f t="shared" si="90"/>
        <v>Knee Replacement RevisionProviderGEORGE ELIOT HOSPITAL NHS TRUST (RLT)EQ VAS</v>
      </c>
      <c r="C5777" t="s">
        <v>250</v>
      </c>
      <c r="D5777" t="s">
        <v>1</v>
      </c>
      <c r="E5777" t="s">
        <v>3870</v>
      </c>
      <c r="F5777" t="s">
        <v>3871</v>
      </c>
      <c r="G5777" t="s">
        <v>179</v>
      </c>
      <c r="H5777" t="s">
        <v>53</v>
      </c>
      <c r="I5777" t="s">
        <v>53</v>
      </c>
      <c r="J5777" t="s">
        <v>53</v>
      </c>
      <c r="K5777" t="s">
        <v>53</v>
      </c>
      <c r="L5777" t="s">
        <v>53</v>
      </c>
      <c r="M5777" t="s">
        <v>53</v>
      </c>
      <c r="N5777" t="s">
        <v>53</v>
      </c>
      <c r="O5777" t="s">
        <v>53</v>
      </c>
      <c r="P5777" t="s">
        <v>53</v>
      </c>
      <c r="Q5777" t="s">
        <v>53</v>
      </c>
    </row>
    <row r="5778" spans="1:17" x14ac:dyDescent="0.2">
      <c r="A5778" s="30" t="str">
        <f>IF(C5778&amp;G5778&amp;D5778&lt;&gt;'Funnel setup'!$K$3&amp;'Funnel setup'!$K$4&amp;'Funnel setup'!$K$5,".",IF(A5777=".",1,A5777+1))</f>
        <v>.</v>
      </c>
      <c r="B5778" s="431" t="str">
        <f t="shared" si="90"/>
        <v>Knee Replacement RevisionProviderGLOUCESTERSHIRE HOSPITALS NHS FOUNDATION TRUST (RTE)EQ VAS</v>
      </c>
      <c r="C5778" t="s">
        <v>250</v>
      </c>
      <c r="D5778" t="s">
        <v>1</v>
      </c>
      <c r="E5778" t="s">
        <v>3873</v>
      </c>
      <c r="F5778" t="s">
        <v>3874</v>
      </c>
      <c r="G5778" t="s">
        <v>179</v>
      </c>
      <c r="H5778">
        <v>25</v>
      </c>
      <c r="I5778">
        <v>70.319999999999993</v>
      </c>
      <c r="J5778">
        <v>70.2</v>
      </c>
      <c r="K5778">
        <v>-0.12</v>
      </c>
      <c r="L5778">
        <v>14</v>
      </c>
      <c r="M5778">
        <v>4</v>
      </c>
      <c r="N5778">
        <v>7</v>
      </c>
      <c r="O5778" t="s">
        <v>53</v>
      </c>
      <c r="P5778" t="s">
        <v>53</v>
      </c>
      <c r="Q5778" t="s">
        <v>53</v>
      </c>
    </row>
    <row r="5779" spans="1:17" x14ac:dyDescent="0.2">
      <c r="A5779" s="30" t="str">
        <f>IF(C5779&amp;G5779&amp;D5779&lt;&gt;'Funnel setup'!$K$3&amp;'Funnel setup'!$K$4&amp;'Funnel setup'!$K$5,".",IF(A5778=".",1,A5778+1))</f>
        <v>.</v>
      </c>
      <c r="B5779" s="431" t="str">
        <f t="shared" si="90"/>
        <v>Knee Replacement RevisionProviderGREAT WESTERN HOSPITALS NHS FOUNDATION TRUST (RN3)EQ VAS</v>
      </c>
      <c r="C5779" t="s">
        <v>250</v>
      </c>
      <c r="D5779" t="s">
        <v>1</v>
      </c>
      <c r="E5779" t="s">
        <v>3876</v>
      </c>
      <c r="F5779" t="s">
        <v>3877</v>
      </c>
      <c r="G5779" t="s">
        <v>179</v>
      </c>
      <c r="H5779">
        <v>13</v>
      </c>
      <c r="I5779">
        <v>70.462000000000003</v>
      </c>
      <c r="J5779">
        <v>60.768999999999998</v>
      </c>
      <c r="K5779">
        <v>-9.6920000000000002</v>
      </c>
      <c r="L5779">
        <v>4</v>
      </c>
      <c r="M5779">
        <v>1</v>
      </c>
      <c r="N5779">
        <v>8</v>
      </c>
      <c r="O5779" t="s">
        <v>53</v>
      </c>
      <c r="P5779" t="s">
        <v>53</v>
      </c>
      <c r="Q5779" t="s">
        <v>53</v>
      </c>
    </row>
    <row r="5780" spans="1:17" x14ac:dyDescent="0.2">
      <c r="A5780" s="30" t="str">
        <f>IF(C5780&amp;G5780&amp;D5780&lt;&gt;'Funnel setup'!$K$3&amp;'Funnel setup'!$K$4&amp;'Funnel setup'!$K$5,".",IF(A5779=".",1,A5779+1))</f>
        <v>.</v>
      </c>
      <c r="B5780" s="431" t="str">
        <f t="shared" si="90"/>
        <v>Knee Replacement RevisionProviderGUY'S AND ST THOMAS' NHS FOUNDATION TRUST (RJ1)EQ VAS</v>
      </c>
      <c r="C5780" t="s">
        <v>250</v>
      </c>
      <c r="D5780" t="s">
        <v>1</v>
      </c>
      <c r="E5780" t="s">
        <v>3879</v>
      </c>
      <c r="F5780" t="s">
        <v>3880</v>
      </c>
      <c r="G5780" t="s">
        <v>179</v>
      </c>
      <c r="H5780" t="s">
        <v>53</v>
      </c>
      <c r="I5780" t="s">
        <v>53</v>
      </c>
      <c r="J5780" t="s">
        <v>53</v>
      </c>
      <c r="K5780" t="s">
        <v>53</v>
      </c>
      <c r="L5780" t="s">
        <v>53</v>
      </c>
      <c r="M5780" t="s">
        <v>53</v>
      </c>
      <c r="N5780" t="s">
        <v>53</v>
      </c>
      <c r="O5780" t="s">
        <v>53</v>
      </c>
      <c r="P5780" t="s">
        <v>53</v>
      </c>
      <c r="Q5780" t="s">
        <v>53</v>
      </c>
    </row>
    <row r="5781" spans="1:17" x14ac:dyDescent="0.2">
      <c r="A5781" s="30" t="str">
        <f>IF(C5781&amp;G5781&amp;D5781&lt;&gt;'Funnel setup'!$K$3&amp;'Funnel setup'!$K$4&amp;'Funnel setup'!$K$5,".",IF(A5780=".",1,A5780+1))</f>
        <v>.</v>
      </c>
      <c r="B5781" s="431" t="str">
        <f t="shared" si="90"/>
        <v>Knee Replacement RevisionProviderHAMPSHIRE HOSPITALS NHS FOUNDATION TRUST (RN5)EQ VAS</v>
      </c>
      <c r="C5781" t="s">
        <v>250</v>
      </c>
      <c r="D5781" t="s">
        <v>1</v>
      </c>
      <c r="E5781" t="s">
        <v>3882</v>
      </c>
      <c r="F5781" t="s">
        <v>3883</v>
      </c>
      <c r="G5781" t="s">
        <v>179</v>
      </c>
      <c r="H5781">
        <v>20</v>
      </c>
      <c r="I5781">
        <v>66.650000000000006</v>
      </c>
      <c r="J5781">
        <v>68.25</v>
      </c>
      <c r="K5781">
        <v>1.6</v>
      </c>
      <c r="L5781">
        <v>9</v>
      </c>
      <c r="M5781">
        <v>4</v>
      </c>
      <c r="N5781">
        <v>7</v>
      </c>
      <c r="O5781" t="s">
        <v>53</v>
      </c>
      <c r="P5781" t="s">
        <v>53</v>
      </c>
      <c r="Q5781" t="s">
        <v>53</v>
      </c>
    </row>
    <row r="5782" spans="1:17" x14ac:dyDescent="0.2">
      <c r="A5782" s="30" t="str">
        <f>IF(C5782&amp;G5782&amp;D5782&lt;&gt;'Funnel setup'!$K$3&amp;'Funnel setup'!$K$4&amp;'Funnel setup'!$K$5,".",IF(A5781=".",1,A5781+1))</f>
        <v>.</v>
      </c>
      <c r="B5782" s="431" t="str">
        <f t="shared" si="90"/>
        <v>Knee Replacement RevisionProviderHARROGATE AND DISTRICT NHS FOUNDATION TRUST (RCD)EQ VAS</v>
      </c>
      <c r="C5782" t="s">
        <v>250</v>
      </c>
      <c r="D5782" t="s">
        <v>1</v>
      </c>
      <c r="E5782" t="s">
        <v>3885</v>
      </c>
      <c r="F5782" t="s">
        <v>3886</v>
      </c>
      <c r="G5782" t="s">
        <v>179</v>
      </c>
      <c r="H5782">
        <v>15</v>
      </c>
      <c r="I5782">
        <v>69.533000000000001</v>
      </c>
      <c r="J5782">
        <v>76.332999999999998</v>
      </c>
      <c r="K5782">
        <v>6.8</v>
      </c>
      <c r="L5782">
        <v>7</v>
      </c>
      <c r="M5782">
        <v>4</v>
      </c>
      <c r="N5782">
        <v>4</v>
      </c>
      <c r="O5782" t="s">
        <v>53</v>
      </c>
      <c r="P5782" t="s">
        <v>53</v>
      </c>
      <c r="Q5782" t="s">
        <v>53</v>
      </c>
    </row>
    <row r="5783" spans="1:17" x14ac:dyDescent="0.2">
      <c r="A5783" s="30" t="str">
        <f>IF(C5783&amp;G5783&amp;D5783&lt;&gt;'Funnel setup'!$K$3&amp;'Funnel setup'!$K$4&amp;'Funnel setup'!$K$5,".",IF(A5782=".",1,A5782+1))</f>
        <v>.</v>
      </c>
      <c r="B5783" s="431" t="str">
        <f t="shared" si="90"/>
        <v>Knee Replacement RevisionProviderHEART OF ENGLAND NHS FOUNDATION TRUST (RR1)EQ VAS</v>
      </c>
      <c r="C5783" t="s">
        <v>250</v>
      </c>
      <c r="D5783" t="s">
        <v>1</v>
      </c>
      <c r="E5783" t="s">
        <v>3888</v>
      </c>
      <c r="F5783" t="s">
        <v>3889</v>
      </c>
      <c r="G5783" t="s">
        <v>179</v>
      </c>
      <c r="H5783">
        <v>11</v>
      </c>
      <c r="I5783">
        <v>67.545000000000002</v>
      </c>
      <c r="J5783">
        <v>67.090999999999994</v>
      </c>
      <c r="K5783">
        <v>-0.45500000000000002</v>
      </c>
      <c r="L5783">
        <v>4</v>
      </c>
      <c r="M5783">
        <v>1</v>
      </c>
      <c r="N5783">
        <v>6</v>
      </c>
      <c r="O5783" t="s">
        <v>53</v>
      </c>
      <c r="P5783" t="s">
        <v>53</v>
      </c>
      <c r="Q5783" t="s">
        <v>53</v>
      </c>
    </row>
    <row r="5784" spans="1:17" x14ac:dyDescent="0.2">
      <c r="A5784" s="30" t="str">
        <f>IF(C5784&amp;G5784&amp;D5784&lt;&gt;'Funnel setup'!$K$3&amp;'Funnel setup'!$K$4&amp;'Funnel setup'!$K$5,".",IF(A5783=".",1,A5783+1))</f>
        <v>.</v>
      </c>
      <c r="B5784" s="431" t="str">
        <f t="shared" si="90"/>
        <v>Knee Replacement RevisionProviderHINCHINGBROOKE HEALTH CARE NHS TRUST (RQQ)EQ VAS</v>
      </c>
      <c r="C5784" t="s">
        <v>250</v>
      </c>
      <c r="D5784" t="s">
        <v>1</v>
      </c>
      <c r="E5784" t="s">
        <v>3894</v>
      </c>
      <c r="F5784" t="s">
        <v>3895</v>
      </c>
      <c r="G5784" t="s">
        <v>179</v>
      </c>
      <c r="H5784">
        <v>12</v>
      </c>
      <c r="I5784">
        <v>64.582999999999998</v>
      </c>
      <c r="J5784">
        <v>64.167000000000002</v>
      </c>
      <c r="K5784">
        <v>-0.41699999999999998</v>
      </c>
      <c r="L5784">
        <v>4</v>
      </c>
      <c r="M5784">
        <v>1</v>
      </c>
      <c r="N5784">
        <v>7</v>
      </c>
      <c r="O5784" t="s">
        <v>53</v>
      </c>
      <c r="P5784" t="s">
        <v>53</v>
      </c>
      <c r="Q5784" t="s">
        <v>53</v>
      </c>
    </row>
    <row r="5785" spans="1:17" x14ac:dyDescent="0.2">
      <c r="A5785" s="30" t="str">
        <f>IF(C5785&amp;G5785&amp;D5785&lt;&gt;'Funnel setup'!$K$3&amp;'Funnel setup'!$K$4&amp;'Funnel setup'!$K$5,".",IF(A5784=".",1,A5784+1))</f>
        <v>.</v>
      </c>
      <c r="B5785" s="431" t="str">
        <f t="shared" si="90"/>
        <v>Knee Replacement RevisionProviderHOMERTON UNIVERSITY HOSPITAL NHS FOUNDATION TRUST (RQX)EQ VAS</v>
      </c>
      <c r="C5785" t="s">
        <v>250</v>
      </c>
      <c r="D5785" t="s">
        <v>1</v>
      </c>
      <c r="E5785" t="s">
        <v>3897</v>
      </c>
      <c r="F5785" t="s">
        <v>3898</v>
      </c>
      <c r="G5785" t="s">
        <v>179</v>
      </c>
      <c r="H5785" t="s">
        <v>53</v>
      </c>
      <c r="I5785" t="s">
        <v>53</v>
      </c>
      <c r="J5785" t="s">
        <v>53</v>
      </c>
      <c r="K5785" t="s">
        <v>53</v>
      </c>
      <c r="L5785" t="s">
        <v>53</v>
      </c>
      <c r="M5785" t="s">
        <v>53</v>
      </c>
      <c r="N5785" t="s">
        <v>53</v>
      </c>
      <c r="O5785" t="s">
        <v>53</v>
      </c>
      <c r="P5785" t="s">
        <v>53</v>
      </c>
      <c r="Q5785" t="s">
        <v>53</v>
      </c>
    </row>
    <row r="5786" spans="1:17" x14ac:dyDescent="0.2">
      <c r="A5786" s="30" t="str">
        <f>IF(C5786&amp;G5786&amp;D5786&lt;&gt;'Funnel setup'!$K$3&amp;'Funnel setup'!$K$4&amp;'Funnel setup'!$K$5,".",IF(A5785=".",1,A5785+1))</f>
        <v>.</v>
      </c>
      <c r="B5786" s="431" t="str">
        <f t="shared" si="90"/>
        <v>Knee Replacement RevisionProviderHORTON NHS TREATMENT CENTRE (NVC25)EQ VAS</v>
      </c>
      <c r="C5786" t="s">
        <v>250</v>
      </c>
      <c r="D5786" t="s">
        <v>1</v>
      </c>
      <c r="E5786" t="s">
        <v>4553</v>
      </c>
      <c r="F5786" t="s">
        <v>4554</v>
      </c>
      <c r="G5786" t="s">
        <v>179</v>
      </c>
      <c r="H5786">
        <v>13</v>
      </c>
      <c r="I5786">
        <v>75</v>
      </c>
      <c r="J5786">
        <v>78.308000000000007</v>
      </c>
      <c r="K5786">
        <v>3.3079999999999998</v>
      </c>
      <c r="L5786">
        <v>6</v>
      </c>
      <c r="M5786">
        <v>1</v>
      </c>
      <c r="N5786">
        <v>6</v>
      </c>
      <c r="O5786" t="s">
        <v>53</v>
      </c>
      <c r="P5786" t="s">
        <v>53</v>
      </c>
      <c r="Q5786" t="s">
        <v>53</v>
      </c>
    </row>
    <row r="5787" spans="1:17" x14ac:dyDescent="0.2">
      <c r="A5787" s="30" t="str">
        <f>IF(C5787&amp;G5787&amp;D5787&lt;&gt;'Funnel setup'!$K$3&amp;'Funnel setup'!$K$4&amp;'Funnel setup'!$K$5,".",IF(A5786=".",1,A5786+1))</f>
        <v>.</v>
      </c>
      <c r="B5787" s="431" t="str">
        <f t="shared" si="90"/>
        <v>Knee Replacement RevisionProviderHULL AND EAST YORKSHIRE HOSPITALS NHS TRUST (RWA)EQ VAS</v>
      </c>
      <c r="C5787" t="s">
        <v>250</v>
      </c>
      <c r="D5787" t="s">
        <v>1</v>
      </c>
      <c r="E5787" t="s">
        <v>3906</v>
      </c>
      <c r="F5787" t="s">
        <v>3907</v>
      </c>
      <c r="G5787" t="s">
        <v>179</v>
      </c>
      <c r="H5787">
        <v>18</v>
      </c>
      <c r="I5787">
        <v>62.222000000000001</v>
      </c>
      <c r="J5787">
        <v>62.055999999999997</v>
      </c>
      <c r="K5787">
        <v>-0.16700000000000001</v>
      </c>
      <c r="L5787">
        <v>7</v>
      </c>
      <c r="M5787">
        <v>2</v>
      </c>
      <c r="N5787">
        <v>9</v>
      </c>
      <c r="O5787" t="s">
        <v>53</v>
      </c>
      <c r="P5787" t="s">
        <v>53</v>
      </c>
      <c r="Q5787" t="s">
        <v>53</v>
      </c>
    </row>
    <row r="5788" spans="1:17" x14ac:dyDescent="0.2">
      <c r="A5788" s="30" t="str">
        <f>IF(C5788&amp;G5788&amp;D5788&lt;&gt;'Funnel setup'!$K$3&amp;'Funnel setup'!$K$4&amp;'Funnel setup'!$K$5,".",IF(A5787=".",1,A5787+1))</f>
        <v>.</v>
      </c>
      <c r="B5788" s="431" t="str">
        <f t="shared" si="90"/>
        <v>Knee Replacement RevisionProviderIMPERIAL COLLEGE HEALTHCARE NHS TRUST (RYJ)EQ VAS</v>
      </c>
      <c r="C5788" t="s">
        <v>250</v>
      </c>
      <c r="D5788" t="s">
        <v>1</v>
      </c>
      <c r="E5788" t="s">
        <v>4558</v>
      </c>
      <c r="F5788" t="s">
        <v>4559</v>
      </c>
      <c r="G5788" t="s">
        <v>179</v>
      </c>
      <c r="H5788" t="s">
        <v>53</v>
      </c>
      <c r="I5788" t="s">
        <v>53</v>
      </c>
      <c r="J5788" t="s">
        <v>53</v>
      </c>
      <c r="K5788" t="s">
        <v>53</v>
      </c>
      <c r="L5788" t="s">
        <v>53</v>
      </c>
      <c r="M5788" t="s">
        <v>53</v>
      </c>
      <c r="N5788" t="s">
        <v>53</v>
      </c>
      <c r="O5788" t="s">
        <v>53</v>
      </c>
      <c r="P5788" t="s">
        <v>53</v>
      </c>
      <c r="Q5788" t="s">
        <v>53</v>
      </c>
    </row>
    <row r="5789" spans="1:17" x14ac:dyDescent="0.2">
      <c r="A5789" s="30" t="str">
        <f>IF(C5789&amp;G5789&amp;D5789&lt;&gt;'Funnel setup'!$K$3&amp;'Funnel setup'!$K$4&amp;'Funnel setup'!$K$5,".",IF(A5788=".",1,A5788+1))</f>
        <v>.</v>
      </c>
      <c r="B5789" s="431" t="str">
        <f t="shared" si="90"/>
        <v>Knee Replacement RevisionProviderIPSWICH HOSPITAL NHS TRUST (RGQ)EQ VAS</v>
      </c>
      <c r="C5789" t="s">
        <v>250</v>
      </c>
      <c r="D5789" t="s">
        <v>1</v>
      </c>
      <c r="E5789" t="s">
        <v>3909</v>
      </c>
      <c r="F5789" t="s">
        <v>3910</v>
      </c>
      <c r="G5789" t="s">
        <v>179</v>
      </c>
      <c r="H5789" t="s">
        <v>53</v>
      </c>
      <c r="I5789" t="s">
        <v>53</v>
      </c>
      <c r="J5789" t="s">
        <v>53</v>
      </c>
      <c r="K5789" t="s">
        <v>53</v>
      </c>
      <c r="L5789" t="s">
        <v>53</v>
      </c>
      <c r="M5789" t="s">
        <v>53</v>
      </c>
      <c r="N5789" t="s">
        <v>53</v>
      </c>
      <c r="O5789" t="s">
        <v>53</v>
      </c>
      <c r="P5789" t="s">
        <v>53</v>
      </c>
      <c r="Q5789" t="s">
        <v>53</v>
      </c>
    </row>
    <row r="5790" spans="1:17" x14ac:dyDescent="0.2">
      <c r="A5790" s="30" t="str">
        <f>IF(C5790&amp;G5790&amp;D5790&lt;&gt;'Funnel setup'!$K$3&amp;'Funnel setup'!$K$4&amp;'Funnel setup'!$K$5,".",IF(A5789=".",1,A5789+1))</f>
        <v>.</v>
      </c>
      <c r="B5790" s="431" t="str">
        <f t="shared" si="90"/>
        <v>Knee Replacement RevisionProviderISLE OF WIGHT NHS TRUST (R1F)EQ VAS</v>
      </c>
      <c r="C5790" t="s">
        <v>250</v>
      </c>
      <c r="D5790" t="s">
        <v>1</v>
      </c>
      <c r="E5790" t="s">
        <v>3912</v>
      </c>
      <c r="F5790" t="s">
        <v>3913</v>
      </c>
      <c r="G5790" t="s">
        <v>179</v>
      </c>
      <c r="H5790" t="s">
        <v>53</v>
      </c>
      <c r="I5790" t="s">
        <v>53</v>
      </c>
      <c r="J5790" t="s">
        <v>53</v>
      </c>
      <c r="K5790" t="s">
        <v>53</v>
      </c>
      <c r="L5790" t="s">
        <v>53</v>
      </c>
      <c r="M5790" t="s">
        <v>53</v>
      </c>
      <c r="N5790" t="s">
        <v>53</v>
      </c>
      <c r="O5790" t="s">
        <v>53</v>
      </c>
      <c r="P5790" t="s">
        <v>53</v>
      </c>
      <c r="Q5790" t="s">
        <v>53</v>
      </c>
    </row>
    <row r="5791" spans="1:17" x14ac:dyDescent="0.2">
      <c r="A5791" s="30" t="str">
        <f>IF(C5791&amp;G5791&amp;D5791&lt;&gt;'Funnel setup'!$K$3&amp;'Funnel setup'!$K$4&amp;'Funnel setup'!$K$5,".",IF(A5790=".",1,A5790+1))</f>
        <v>.</v>
      </c>
      <c r="B5791" s="431" t="str">
        <f t="shared" si="90"/>
        <v>Knee Replacement RevisionProviderJAMES PAGET UNIVERSITY HOSPITALS NHS FOUNDATION TRUST (RGP)EQ VAS</v>
      </c>
      <c r="C5791" t="s">
        <v>250</v>
      </c>
      <c r="D5791" t="s">
        <v>1</v>
      </c>
      <c r="E5791" t="s">
        <v>3915</v>
      </c>
      <c r="F5791" t="s">
        <v>3916</v>
      </c>
      <c r="G5791" t="s">
        <v>179</v>
      </c>
      <c r="H5791">
        <v>7</v>
      </c>
      <c r="I5791">
        <v>76.713999999999999</v>
      </c>
      <c r="J5791">
        <v>74.286000000000001</v>
      </c>
      <c r="K5791">
        <v>-2.4289999999999998</v>
      </c>
      <c r="L5791">
        <v>2</v>
      </c>
      <c r="M5791">
        <v>2</v>
      </c>
      <c r="N5791">
        <v>3</v>
      </c>
      <c r="O5791" t="s">
        <v>53</v>
      </c>
      <c r="P5791" t="s">
        <v>53</v>
      </c>
      <c r="Q5791" t="s">
        <v>53</v>
      </c>
    </row>
    <row r="5792" spans="1:17" x14ac:dyDescent="0.2">
      <c r="A5792" s="30" t="str">
        <f>IF(C5792&amp;G5792&amp;D5792&lt;&gt;'Funnel setup'!$K$3&amp;'Funnel setup'!$K$4&amp;'Funnel setup'!$K$5,".",IF(A5791=".",1,A5791+1))</f>
        <v>.</v>
      </c>
      <c r="B5792" s="431" t="str">
        <f t="shared" si="90"/>
        <v>Knee Replacement RevisionProviderKETTERING GENERAL HOSPITAL NHS FOUNDATION TRUST (RNQ)EQ VAS</v>
      </c>
      <c r="C5792" t="s">
        <v>250</v>
      </c>
      <c r="D5792" t="s">
        <v>1</v>
      </c>
      <c r="E5792" t="s">
        <v>3918</v>
      </c>
      <c r="F5792" t="s">
        <v>3919</v>
      </c>
      <c r="G5792" t="s">
        <v>179</v>
      </c>
      <c r="H5792" t="s">
        <v>53</v>
      </c>
      <c r="I5792" t="s">
        <v>53</v>
      </c>
      <c r="J5792" t="s">
        <v>53</v>
      </c>
      <c r="K5792" t="s">
        <v>53</v>
      </c>
      <c r="L5792" t="s">
        <v>53</v>
      </c>
      <c r="M5792" t="s">
        <v>53</v>
      </c>
      <c r="N5792" t="s">
        <v>53</v>
      </c>
      <c r="O5792" t="s">
        <v>53</v>
      </c>
      <c r="P5792" t="s">
        <v>53</v>
      </c>
      <c r="Q5792" t="s">
        <v>53</v>
      </c>
    </row>
    <row r="5793" spans="1:17" x14ac:dyDescent="0.2">
      <c r="A5793" s="30" t="str">
        <f>IF(C5793&amp;G5793&amp;D5793&lt;&gt;'Funnel setup'!$K$3&amp;'Funnel setup'!$K$4&amp;'Funnel setup'!$K$5,".",IF(A5792=".",1,A5792+1))</f>
        <v>.</v>
      </c>
      <c r="B5793" s="431" t="str">
        <f t="shared" si="90"/>
        <v>Knee Replacement RevisionProviderKING'S COLLEGE HOSPITAL NHS FOUNDATION TRUST (RJZ)EQ VAS</v>
      </c>
      <c r="C5793" t="s">
        <v>250</v>
      </c>
      <c r="D5793" t="s">
        <v>1</v>
      </c>
      <c r="E5793" t="s">
        <v>3924</v>
      </c>
      <c r="F5793" t="s">
        <v>3925</v>
      </c>
      <c r="G5793" t="s">
        <v>179</v>
      </c>
      <c r="H5793">
        <v>6</v>
      </c>
      <c r="I5793">
        <v>56.667000000000002</v>
      </c>
      <c r="J5793">
        <v>63.332999999999998</v>
      </c>
      <c r="K5793">
        <v>6.6669999999999998</v>
      </c>
      <c r="L5793">
        <v>3</v>
      </c>
      <c r="M5793">
        <v>0</v>
      </c>
      <c r="N5793">
        <v>3</v>
      </c>
      <c r="O5793" t="s">
        <v>53</v>
      </c>
      <c r="P5793" t="s">
        <v>53</v>
      </c>
      <c r="Q5793" t="s">
        <v>53</v>
      </c>
    </row>
    <row r="5794" spans="1:17" x14ac:dyDescent="0.2">
      <c r="A5794" s="30" t="str">
        <f>IF(C5794&amp;G5794&amp;D5794&lt;&gt;'Funnel setup'!$K$3&amp;'Funnel setup'!$K$4&amp;'Funnel setup'!$K$5,".",IF(A5793=".",1,A5793+1))</f>
        <v>.</v>
      </c>
      <c r="B5794" s="431" t="str">
        <f t="shared" si="90"/>
        <v>Knee Replacement RevisionProviderLANCASHIRE TEACHING HOSPITALS NHS FOUNDATION TRUST (RXN)EQ VAS</v>
      </c>
      <c r="C5794" t="s">
        <v>250</v>
      </c>
      <c r="D5794" t="s">
        <v>1</v>
      </c>
      <c r="E5794" t="s">
        <v>3567</v>
      </c>
      <c r="F5794" t="s">
        <v>3568</v>
      </c>
      <c r="G5794" t="s">
        <v>179</v>
      </c>
      <c r="H5794">
        <v>11</v>
      </c>
      <c r="I5794">
        <v>75.182000000000002</v>
      </c>
      <c r="J5794">
        <v>70.545000000000002</v>
      </c>
      <c r="K5794">
        <v>-4.6360000000000001</v>
      </c>
      <c r="L5794">
        <v>4</v>
      </c>
      <c r="M5794">
        <v>2</v>
      </c>
      <c r="N5794">
        <v>5</v>
      </c>
      <c r="O5794" t="s">
        <v>53</v>
      </c>
      <c r="P5794" t="s">
        <v>53</v>
      </c>
      <c r="Q5794" t="s">
        <v>53</v>
      </c>
    </row>
    <row r="5795" spans="1:17" x14ac:dyDescent="0.2">
      <c r="A5795" s="30" t="str">
        <f>IF(C5795&amp;G5795&amp;D5795&lt;&gt;'Funnel setup'!$K$3&amp;'Funnel setup'!$K$4&amp;'Funnel setup'!$K$5,".",IF(A5794=".",1,A5794+1))</f>
        <v>.</v>
      </c>
      <c r="B5795" s="431" t="str">
        <f t="shared" si="90"/>
        <v>Knee Replacement RevisionProviderLEEDS TEACHING HOSPITALS NHS TRUST (RR8)EQ VAS</v>
      </c>
      <c r="C5795" t="s">
        <v>250</v>
      </c>
      <c r="D5795" t="s">
        <v>1</v>
      </c>
      <c r="E5795" t="s">
        <v>3930</v>
      </c>
      <c r="F5795" t="s">
        <v>344</v>
      </c>
      <c r="G5795" t="s">
        <v>179</v>
      </c>
      <c r="H5795">
        <v>10</v>
      </c>
      <c r="I5795">
        <v>75</v>
      </c>
      <c r="J5795">
        <v>73</v>
      </c>
      <c r="K5795">
        <v>-2</v>
      </c>
      <c r="L5795">
        <v>2</v>
      </c>
      <c r="M5795">
        <v>1</v>
      </c>
      <c r="N5795">
        <v>7</v>
      </c>
      <c r="O5795" t="s">
        <v>53</v>
      </c>
      <c r="P5795" t="s">
        <v>53</v>
      </c>
      <c r="Q5795" t="s">
        <v>53</v>
      </c>
    </row>
    <row r="5796" spans="1:17" x14ac:dyDescent="0.2">
      <c r="A5796" s="30" t="str">
        <f>IF(C5796&amp;G5796&amp;D5796&lt;&gt;'Funnel setup'!$K$3&amp;'Funnel setup'!$K$4&amp;'Funnel setup'!$K$5,".",IF(A5795=".",1,A5795+1))</f>
        <v>.</v>
      </c>
      <c r="B5796" s="431" t="str">
        <f t="shared" si="90"/>
        <v>Knee Replacement RevisionProviderLEWISHAM AND GREENWICH NHS TRUST (RJ2)EQ VAS</v>
      </c>
      <c r="C5796" t="s">
        <v>250</v>
      </c>
      <c r="D5796" t="s">
        <v>1</v>
      </c>
      <c r="E5796" t="s">
        <v>3522</v>
      </c>
      <c r="F5796" t="s">
        <v>3523</v>
      </c>
      <c r="G5796" t="s">
        <v>179</v>
      </c>
      <c r="H5796" t="s">
        <v>53</v>
      </c>
      <c r="I5796" t="s">
        <v>53</v>
      </c>
      <c r="J5796" t="s">
        <v>53</v>
      </c>
      <c r="K5796" t="s">
        <v>53</v>
      </c>
      <c r="L5796" t="s">
        <v>53</v>
      </c>
      <c r="M5796" t="s">
        <v>53</v>
      </c>
      <c r="N5796" t="s">
        <v>53</v>
      </c>
      <c r="O5796" t="s">
        <v>53</v>
      </c>
      <c r="P5796" t="s">
        <v>53</v>
      </c>
      <c r="Q5796" t="s">
        <v>53</v>
      </c>
    </row>
    <row r="5797" spans="1:17" x14ac:dyDescent="0.2">
      <c r="A5797" s="30" t="str">
        <f>IF(C5797&amp;G5797&amp;D5797&lt;&gt;'Funnel setup'!$K$3&amp;'Funnel setup'!$K$4&amp;'Funnel setup'!$K$5,".",IF(A5796=".",1,A5796+1))</f>
        <v>.</v>
      </c>
      <c r="B5797" s="431" t="str">
        <f t="shared" si="90"/>
        <v>Knee Replacement RevisionProviderLONDON NORTH WEST HEALTHCARE NHS TRUST (R1K)EQ VAS</v>
      </c>
      <c r="C5797" t="s">
        <v>250</v>
      </c>
      <c r="D5797" t="s">
        <v>1</v>
      </c>
      <c r="E5797" t="s">
        <v>6515</v>
      </c>
      <c r="F5797" t="s">
        <v>6516</v>
      </c>
      <c r="G5797" t="s">
        <v>179</v>
      </c>
      <c r="H5797">
        <v>6</v>
      </c>
      <c r="I5797">
        <v>60</v>
      </c>
      <c r="J5797">
        <v>61.167000000000002</v>
      </c>
      <c r="K5797">
        <v>1.167</v>
      </c>
      <c r="L5797">
        <v>2</v>
      </c>
      <c r="M5797">
        <v>1</v>
      </c>
      <c r="N5797">
        <v>3</v>
      </c>
      <c r="O5797" t="s">
        <v>53</v>
      </c>
      <c r="P5797" t="s">
        <v>53</v>
      </c>
      <c r="Q5797" t="s">
        <v>53</v>
      </c>
    </row>
    <row r="5798" spans="1:17" x14ac:dyDescent="0.2">
      <c r="A5798" s="30" t="str">
        <f>IF(C5798&amp;G5798&amp;D5798&lt;&gt;'Funnel setup'!$K$3&amp;'Funnel setup'!$K$4&amp;'Funnel setup'!$K$5,".",IF(A5797=".",1,A5797+1))</f>
        <v>.</v>
      </c>
      <c r="B5798" s="431" t="str">
        <f t="shared" si="90"/>
        <v>Knee Replacement RevisionProviderLUTON AND DUNSTABLE UNIVERSITY HOSPITAL NHS FOUNDATION TRUST (RC9)EQ VAS</v>
      </c>
      <c r="C5798" t="s">
        <v>250</v>
      </c>
      <c r="D5798" t="s">
        <v>1</v>
      </c>
      <c r="E5798" t="s">
        <v>3528</v>
      </c>
      <c r="F5798" t="s">
        <v>3529</v>
      </c>
      <c r="G5798" t="s">
        <v>179</v>
      </c>
      <c r="H5798" t="s">
        <v>53</v>
      </c>
      <c r="I5798" t="s">
        <v>53</v>
      </c>
      <c r="J5798" t="s">
        <v>53</v>
      </c>
      <c r="K5798" t="s">
        <v>53</v>
      </c>
      <c r="L5798" t="s">
        <v>53</v>
      </c>
      <c r="M5798" t="s">
        <v>53</v>
      </c>
      <c r="N5798" t="s">
        <v>53</v>
      </c>
      <c r="O5798" t="s">
        <v>53</v>
      </c>
      <c r="P5798" t="s">
        <v>53</v>
      </c>
      <c r="Q5798" t="s">
        <v>53</v>
      </c>
    </row>
    <row r="5799" spans="1:17" x14ac:dyDescent="0.2">
      <c r="A5799" s="30" t="str">
        <f>IF(C5799&amp;G5799&amp;D5799&lt;&gt;'Funnel setup'!$K$3&amp;'Funnel setup'!$K$4&amp;'Funnel setup'!$K$5,".",IF(A5798=".",1,A5798+1))</f>
        <v>.</v>
      </c>
      <c r="B5799" s="431" t="str">
        <f t="shared" si="90"/>
        <v>Knee Replacement RevisionProviderMEDWAY NHS FOUNDATION TRUST (RPA)EQ VAS</v>
      </c>
      <c r="C5799" t="s">
        <v>250</v>
      </c>
      <c r="D5799" t="s">
        <v>1</v>
      </c>
      <c r="E5799" t="s">
        <v>3630</v>
      </c>
      <c r="F5799" t="s">
        <v>3631</v>
      </c>
      <c r="G5799" t="s">
        <v>179</v>
      </c>
      <c r="H5799" t="s">
        <v>53</v>
      </c>
      <c r="I5799" t="s">
        <v>53</v>
      </c>
      <c r="J5799" t="s">
        <v>53</v>
      </c>
      <c r="K5799" t="s">
        <v>53</v>
      </c>
      <c r="L5799" t="s">
        <v>53</v>
      </c>
      <c r="M5799" t="s">
        <v>53</v>
      </c>
      <c r="N5799" t="s">
        <v>53</v>
      </c>
      <c r="O5799" t="s">
        <v>53</v>
      </c>
      <c r="P5799" t="s">
        <v>53</v>
      </c>
      <c r="Q5799" t="s">
        <v>53</v>
      </c>
    </row>
    <row r="5800" spans="1:17" x14ac:dyDescent="0.2">
      <c r="A5800" s="30" t="str">
        <f>IF(C5800&amp;G5800&amp;D5800&lt;&gt;'Funnel setup'!$K$3&amp;'Funnel setup'!$K$4&amp;'Funnel setup'!$K$5,".",IF(A5799=".",1,A5799+1))</f>
        <v>.</v>
      </c>
      <c r="B5800" s="431" t="str">
        <f t="shared" si="90"/>
        <v>Knee Replacement RevisionProviderMID CHESHIRE HOSPITALS NHS FOUNDATION TRUST (RBT)EQ VAS</v>
      </c>
      <c r="C5800" t="s">
        <v>250</v>
      </c>
      <c r="D5800" t="s">
        <v>1</v>
      </c>
      <c r="E5800" t="s">
        <v>3633</v>
      </c>
      <c r="F5800" t="s">
        <v>342</v>
      </c>
      <c r="G5800" t="s">
        <v>179</v>
      </c>
      <c r="H5800" t="s">
        <v>53</v>
      </c>
      <c r="I5800" t="s">
        <v>53</v>
      </c>
      <c r="J5800" t="s">
        <v>53</v>
      </c>
      <c r="K5800" t="s">
        <v>53</v>
      </c>
      <c r="L5800" t="s">
        <v>53</v>
      </c>
      <c r="M5800" t="s">
        <v>53</v>
      </c>
      <c r="N5800" t="s">
        <v>53</v>
      </c>
      <c r="O5800" t="s">
        <v>53</v>
      </c>
      <c r="P5800" t="s">
        <v>53</v>
      </c>
      <c r="Q5800" t="s">
        <v>53</v>
      </c>
    </row>
    <row r="5801" spans="1:17" x14ac:dyDescent="0.2">
      <c r="A5801" s="30" t="str">
        <f>IF(C5801&amp;G5801&amp;D5801&lt;&gt;'Funnel setup'!$K$3&amp;'Funnel setup'!$K$4&amp;'Funnel setup'!$K$5,".",IF(A5800=".",1,A5800+1))</f>
        <v>.</v>
      </c>
      <c r="B5801" s="431" t="str">
        <f t="shared" si="90"/>
        <v>Knee Replacement RevisionProviderMID ESSEX HOSPITAL SERVICES NHS TRUST (RQ8)EQ VAS</v>
      </c>
      <c r="C5801" t="s">
        <v>250</v>
      </c>
      <c r="D5801" t="s">
        <v>1</v>
      </c>
      <c r="E5801" t="s">
        <v>3635</v>
      </c>
      <c r="F5801" t="s">
        <v>3636</v>
      </c>
      <c r="G5801" t="s">
        <v>179</v>
      </c>
      <c r="H5801">
        <v>10</v>
      </c>
      <c r="I5801">
        <v>73</v>
      </c>
      <c r="J5801">
        <v>61.5</v>
      </c>
      <c r="K5801">
        <v>-11.5</v>
      </c>
      <c r="L5801">
        <v>4</v>
      </c>
      <c r="M5801">
        <v>0</v>
      </c>
      <c r="N5801">
        <v>6</v>
      </c>
      <c r="O5801" t="s">
        <v>53</v>
      </c>
      <c r="P5801" t="s">
        <v>53</v>
      </c>
      <c r="Q5801" t="s">
        <v>53</v>
      </c>
    </row>
    <row r="5802" spans="1:17" x14ac:dyDescent="0.2">
      <c r="A5802" s="30" t="str">
        <f>IF(C5802&amp;G5802&amp;D5802&lt;&gt;'Funnel setup'!$K$3&amp;'Funnel setup'!$K$4&amp;'Funnel setup'!$K$5,".",IF(A5801=".",1,A5801+1))</f>
        <v>.</v>
      </c>
      <c r="B5802" s="431" t="str">
        <f t="shared" si="90"/>
        <v>Knee Replacement RevisionProviderMID STAFFORDSHIRE NHS FOUNDATION TRUST (RJD)EQ VAS</v>
      </c>
      <c r="C5802" t="s">
        <v>250</v>
      </c>
      <c r="D5802" t="s">
        <v>1</v>
      </c>
      <c r="E5802" t="s">
        <v>3638</v>
      </c>
      <c r="F5802" t="s">
        <v>3639</v>
      </c>
      <c r="G5802" t="s">
        <v>179</v>
      </c>
      <c r="H5802" t="s">
        <v>53</v>
      </c>
      <c r="I5802" t="s">
        <v>53</v>
      </c>
      <c r="J5802" t="s">
        <v>53</v>
      </c>
      <c r="K5802" t="s">
        <v>53</v>
      </c>
      <c r="L5802" t="s">
        <v>53</v>
      </c>
      <c r="M5802" t="s">
        <v>53</v>
      </c>
      <c r="N5802" t="s">
        <v>53</v>
      </c>
      <c r="O5802" t="s">
        <v>53</v>
      </c>
      <c r="P5802" t="s">
        <v>53</v>
      </c>
      <c r="Q5802" t="s">
        <v>53</v>
      </c>
    </row>
    <row r="5803" spans="1:17" x14ac:dyDescent="0.2">
      <c r="A5803" s="30" t="str">
        <f>IF(C5803&amp;G5803&amp;D5803&lt;&gt;'Funnel setup'!$K$3&amp;'Funnel setup'!$K$4&amp;'Funnel setup'!$K$5,".",IF(A5802=".",1,A5802+1))</f>
        <v>.</v>
      </c>
      <c r="B5803" s="431" t="str">
        <f t="shared" si="90"/>
        <v>Knee Replacement RevisionProviderMID YORKSHIRE HOSPITALS NHS TRUST (RXF)EQ VAS</v>
      </c>
      <c r="C5803" t="s">
        <v>250</v>
      </c>
      <c r="D5803" t="s">
        <v>1</v>
      </c>
      <c r="E5803" t="s">
        <v>3641</v>
      </c>
      <c r="F5803" t="s">
        <v>3642</v>
      </c>
      <c r="G5803" t="s">
        <v>179</v>
      </c>
      <c r="H5803">
        <v>10</v>
      </c>
      <c r="I5803">
        <v>54</v>
      </c>
      <c r="J5803">
        <v>56.5</v>
      </c>
      <c r="K5803">
        <v>2.5</v>
      </c>
      <c r="L5803">
        <v>5</v>
      </c>
      <c r="M5803">
        <v>0</v>
      </c>
      <c r="N5803">
        <v>5</v>
      </c>
      <c r="O5803" t="s">
        <v>53</v>
      </c>
      <c r="P5803" t="s">
        <v>53</v>
      </c>
      <c r="Q5803" t="s">
        <v>53</v>
      </c>
    </row>
    <row r="5804" spans="1:17" x14ac:dyDescent="0.2">
      <c r="A5804" s="30" t="str">
        <f>IF(C5804&amp;G5804&amp;D5804&lt;&gt;'Funnel setup'!$K$3&amp;'Funnel setup'!$K$4&amp;'Funnel setup'!$K$5,".",IF(A5803=".",1,A5803+1))</f>
        <v>.</v>
      </c>
      <c r="B5804" s="431" t="str">
        <f t="shared" si="90"/>
        <v>Knee Replacement RevisionProviderMILTON KEYNES UNIVERSITY HOSPITAL NHS FOUNDATION TRUST (RD8)EQ VAS</v>
      </c>
      <c r="C5804" t="s">
        <v>250</v>
      </c>
      <c r="D5804" t="s">
        <v>1</v>
      </c>
      <c r="E5804" t="s">
        <v>3643</v>
      </c>
      <c r="F5804" t="s">
        <v>6580</v>
      </c>
      <c r="G5804" t="s">
        <v>179</v>
      </c>
      <c r="H5804">
        <v>8</v>
      </c>
      <c r="I5804">
        <v>64</v>
      </c>
      <c r="J5804">
        <v>64.125</v>
      </c>
      <c r="K5804">
        <v>0.125</v>
      </c>
      <c r="L5804">
        <v>3</v>
      </c>
      <c r="M5804">
        <v>1</v>
      </c>
      <c r="N5804">
        <v>4</v>
      </c>
      <c r="O5804" t="s">
        <v>53</v>
      </c>
      <c r="P5804" t="s">
        <v>53</v>
      </c>
      <c r="Q5804" t="s">
        <v>53</v>
      </c>
    </row>
    <row r="5805" spans="1:17" x14ac:dyDescent="0.2">
      <c r="A5805" s="30" t="str">
        <f>IF(C5805&amp;G5805&amp;D5805&lt;&gt;'Funnel setup'!$K$3&amp;'Funnel setup'!$K$4&amp;'Funnel setup'!$K$5,".",IF(A5804=".",1,A5804+1))</f>
        <v>.</v>
      </c>
      <c r="B5805" s="431" t="str">
        <f t="shared" si="90"/>
        <v>Knee Replacement RevisionProviderNEW HALL HOSPITAL (NVC09)EQ VAS</v>
      </c>
      <c r="C5805" t="s">
        <v>250</v>
      </c>
      <c r="D5805" t="s">
        <v>1</v>
      </c>
      <c r="E5805" t="s">
        <v>3648</v>
      </c>
      <c r="F5805" t="s">
        <v>3649</v>
      </c>
      <c r="G5805" t="s">
        <v>179</v>
      </c>
      <c r="H5805">
        <v>6</v>
      </c>
      <c r="I5805">
        <v>68.332999999999998</v>
      </c>
      <c r="J5805">
        <v>60.5</v>
      </c>
      <c r="K5805">
        <v>-7.8330000000000002</v>
      </c>
      <c r="L5805">
        <v>2</v>
      </c>
      <c r="M5805">
        <v>1</v>
      </c>
      <c r="N5805">
        <v>3</v>
      </c>
      <c r="O5805" t="s">
        <v>53</v>
      </c>
      <c r="P5805" t="s">
        <v>53</v>
      </c>
      <c r="Q5805" t="s">
        <v>53</v>
      </c>
    </row>
    <row r="5806" spans="1:17" x14ac:dyDescent="0.2">
      <c r="A5806" s="30" t="str">
        <f>IF(C5806&amp;G5806&amp;D5806&lt;&gt;'Funnel setup'!$K$3&amp;'Funnel setup'!$K$4&amp;'Funnel setup'!$K$5,".",IF(A5805=".",1,A5805+1))</f>
        <v>.</v>
      </c>
      <c r="B5806" s="431" t="str">
        <f t="shared" si="90"/>
        <v>Knee Replacement RevisionProviderNORFOLK AND NORWICH UNIVERSITY HOSPITALS NHS FOUNDATION TRUST (RM1)EQ VAS</v>
      </c>
      <c r="C5806" t="s">
        <v>250</v>
      </c>
      <c r="D5806" t="s">
        <v>1</v>
      </c>
      <c r="E5806" t="s">
        <v>3651</v>
      </c>
      <c r="F5806" t="s">
        <v>3652</v>
      </c>
      <c r="G5806" t="s">
        <v>179</v>
      </c>
      <c r="H5806">
        <v>26</v>
      </c>
      <c r="I5806">
        <v>67.923000000000002</v>
      </c>
      <c r="J5806">
        <v>71.691999999999993</v>
      </c>
      <c r="K5806">
        <v>3.7690000000000001</v>
      </c>
      <c r="L5806">
        <v>14</v>
      </c>
      <c r="M5806">
        <v>3</v>
      </c>
      <c r="N5806">
        <v>9</v>
      </c>
      <c r="O5806" t="s">
        <v>53</v>
      </c>
      <c r="P5806" t="s">
        <v>53</v>
      </c>
      <c r="Q5806" t="s">
        <v>53</v>
      </c>
    </row>
    <row r="5807" spans="1:17" x14ac:dyDescent="0.2">
      <c r="A5807" s="30" t="str">
        <f>IF(C5807&amp;G5807&amp;D5807&lt;&gt;'Funnel setup'!$K$3&amp;'Funnel setup'!$K$4&amp;'Funnel setup'!$K$5,".",IF(A5806=".",1,A5806+1))</f>
        <v>.</v>
      </c>
      <c r="B5807" s="431" t="str">
        <f t="shared" si="90"/>
        <v>Knee Replacement RevisionProviderNORTH BRISTOL NHS TRUST (RVJ)EQ VAS</v>
      </c>
      <c r="C5807" t="s">
        <v>250</v>
      </c>
      <c r="D5807" t="s">
        <v>1</v>
      </c>
      <c r="E5807" t="s">
        <v>3654</v>
      </c>
      <c r="F5807" t="s">
        <v>3655</v>
      </c>
      <c r="G5807" t="s">
        <v>179</v>
      </c>
      <c r="H5807">
        <v>17</v>
      </c>
      <c r="I5807">
        <v>65.176000000000002</v>
      </c>
      <c r="J5807">
        <v>71.882000000000005</v>
      </c>
      <c r="K5807">
        <v>6.7060000000000004</v>
      </c>
      <c r="L5807">
        <v>6</v>
      </c>
      <c r="M5807">
        <v>4</v>
      </c>
      <c r="N5807">
        <v>7</v>
      </c>
      <c r="O5807" t="s">
        <v>53</v>
      </c>
      <c r="P5807" t="s">
        <v>53</v>
      </c>
      <c r="Q5807" t="s">
        <v>53</v>
      </c>
    </row>
    <row r="5808" spans="1:17" x14ac:dyDescent="0.2">
      <c r="A5808" s="30" t="str">
        <f>IF(C5808&amp;G5808&amp;D5808&lt;&gt;'Funnel setup'!$K$3&amp;'Funnel setup'!$K$4&amp;'Funnel setup'!$K$5,".",IF(A5807=".",1,A5807+1))</f>
        <v>.</v>
      </c>
      <c r="B5808" s="431" t="str">
        <f t="shared" si="90"/>
        <v>Knee Replacement RevisionProviderNORTH CUMBRIA UNIVERSITY HOSPITALS NHS TRUST (RNL)EQ VAS</v>
      </c>
      <c r="C5808" t="s">
        <v>250</v>
      </c>
      <c r="D5808" t="s">
        <v>1</v>
      </c>
      <c r="E5808" t="s">
        <v>3657</v>
      </c>
      <c r="F5808" t="s">
        <v>3658</v>
      </c>
      <c r="G5808" t="s">
        <v>179</v>
      </c>
      <c r="H5808" t="s">
        <v>53</v>
      </c>
      <c r="I5808" t="s">
        <v>53</v>
      </c>
      <c r="J5808" t="s">
        <v>53</v>
      </c>
      <c r="K5808" t="s">
        <v>53</v>
      </c>
      <c r="L5808" t="s">
        <v>53</v>
      </c>
      <c r="M5808" t="s">
        <v>53</v>
      </c>
      <c r="N5808" t="s">
        <v>53</v>
      </c>
      <c r="O5808" t="s">
        <v>53</v>
      </c>
      <c r="P5808" t="s">
        <v>53</v>
      </c>
      <c r="Q5808" t="s">
        <v>53</v>
      </c>
    </row>
    <row r="5809" spans="1:17" x14ac:dyDescent="0.2">
      <c r="A5809" s="30" t="str">
        <f>IF(C5809&amp;G5809&amp;D5809&lt;&gt;'Funnel setup'!$K$3&amp;'Funnel setup'!$K$4&amp;'Funnel setup'!$K$5,".",IF(A5808=".",1,A5808+1))</f>
        <v>.</v>
      </c>
      <c r="B5809" s="431" t="str">
        <f t="shared" si="90"/>
        <v>Knee Replacement RevisionProviderNORTH DOWNS HOSPITAL (NVC11)EQ VAS</v>
      </c>
      <c r="C5809" t="s">
        <v>250</v>
      </c>
      <c r="D5809" t="s">
        <v>1</v>
      </c>
      <c r="E5809" t="s">
        <v>3660</v>
      </c>
      <c r="F5809" t="s">
        <v>3661</v>
      </c>
      <c r="G5809" t="s">
        <v>179</v>
      </c>
      <c r="H5809" t="s">
        <v>53</v>
      </c>
      <c r="I5809" t="s">
        <v>53</v>
      </c>
      <c r="J5809" t="s">
        <v>53</v>
      </c>
      <c r="K5809" t="s">
        <v>53</v>
      </c>
      <c r="L5809" t="s">
        <v>53</v>
      </c>
      <c r="M5809" t="s">
        <v>53</v>
      </c>
      <c r="N5809" t="s">
        <v>53</v>
      </c>
      <c r="O5809" t="s">
        <v>53</v>
      </c>
      <c r="P5809" t="s">
        <v>53</v>
      </c>
      <c r="Q5809" t="s">
        <v>53</v>
      </c>
    </row>
    <row r="5810" spans="1:17" x14ac:dyDescent="0.2">
      <c r="A5810" s="30" t="str">
        <f>IF(C5810&amp;G5810&amp;D5810&lt;&gt;'Funnel setup'!$K$3&amp;'Funnel setup'!$K$4&amp;'Funnel setup'!$K$5,".",IF(A5809=".",1,A5809+1))</f>
        <v>.</v>
      </c>
      <c r="B5810" s="431" t="str">
        <f t="shared" si="90"/>
        <v>Knee Replacement RevisionProviderNORTH EAST LONDON TREATMENT CENTRE CARE UK (NTP15)EQ VAS</v>
      </c>
      <c r="C5810" t="s">
        <v>250</v>
      </c>
      <c r="D5810" t="s">
        <v>1</v>
      </c>
      <c r="E5810" t="s">
        <v>3663</v>
      </c>
      <c r="F5810" t="s">
        <v>3664</v>
      </c>
      <c r="G5810" t="s">
        <v>179</v>
      </c>
      <c r="H5810" t="s">
        <v>53</v>
      </c>
      <c r="I5810" t="s">
        <v>53</v>
      </c>
      <c r="J5810" t="s">
        <v>53</v>
      </c>
      <c r="K5810" t="s">
        <v>53</v>
      </c>
      <c r="L5810" t="s">
        <v>53</v>
      </c>
      <c r="M5810" t="s">
        <v>53</v>
      </c>
      <c r="N5810" t="s">
        <v>53</v>
      </c>
      <c r="O5810" t="s">
        <v>53</v>
      </c>
      <c r="P5810" t="s">
        <v>53</v>
      </c>
      <c r="Q5810" t="s">
        <v>53</v>
      </c>
    </row>
    <row r="5811" spans="1:17" x14ac:dyDescent="0.2">
      <c r="A5811" s="30" t="str">
        <f>IF(C5811&amp;G5811&amp;D5811&lt;&gt;'Funnel setup'!$K$3&amp;'Funnel setup'!$K$4&amp;'Funnel setup'!$K$5,".",IF(A5810=".",1,A5810+1))</f>
        <v>.</v>
      </c>
      <c r="B5811" s="431" t="str">
        <f t="shared" si="90"/>
        <v>Knee Replacement RevisionProviderNORTH MIDDLESEX UNIVERSITY HOSPITAL NHS TRUST (RAP)EQ VAS</v>
      </c>
      <c r="C5811" t="s">
        <v>250</v>
      </c>
      <c r="D5811" t="s">
        <v>1</v>
      </c>
      <c r="E5811" t="s">
        <v>3666</v>
      </c>
      <c r="F5811" t="s">
        <v>3667</v>
      </c>
      <c r="G5811" t="s">
        <v>179</v>
      </c>
      <c r="H5811" t="s">
        <v>53</v>
      </c>
      <c r="I5811" t="s">
        <v>53</v>
      </c>
      <c r="J5811" t="s">
        <v>53</v>
      </c>
      <c r="K5811" t="s">
        <v>53</v>
      </c>
      <c r="L5811" t="s">
        <v>53</v>
      </c>
      <c r="M5811" t="s">
        <v>53</v>
      </c>
      <c r="N5811" t="s">
        <v>53</v>
      </c>
      <c r="O5811" t="s">
        <v>53</v>
      </c>
      <c r="P5811" t="s">
        <v>53</v>
      </c>
      <c r="Q5811" t="s">
        <v>53</v>
      </c>
    </row>
    <row r="5812" spans="1:17" x14ac:dyDescent="0.2">
      <c r="A5812" s="30" t="str">
        <f>IF(C5812&amp;G5812&amp;D5812&lt;&gt;'Funnel setup'!$K$3&amp;'Funnel setup'!$K$4&amp;'Funnel setup'!$K$5,".",IF(A5811=".",1,A5811+1))</f>
        <v>.</v>
      </c>
      <c r="B5812" s="431" t="str">
        <f t="shared" si="90"/>
        <v>Knee Replacement RevisionProviderNORTH TEES AND HARTLEPOOL NHS FOUNDATION TRUST (RVW)EQ VAS</v>
      </c>
      <c r="C5812" t="s">
        <v>250</v>
      </c>
      <c r="D5812" t="s">
        <v>1</v>
      </c>
      <c r="E5812" t="s">
        <v>3669</v>
      </c>
      <c r="F5812" t="s">
        <v>3670</v>
      </c>
      <c r="G5812" t="s">
        <v>179</v>
      </c>
      <c r="H5812">
        <v>14</v>
      </c>
      <c r="I5812">
        <v>60</v>
      </c>
      <c r="J5812">
        <v>58.5</v>
      </c>
      <c r="K5812">
        <v>-1.5</v>
      </c>
      <c r="L5812">
        <v>7</v>
      </c>
      <c r="M5812">
        <v>1</v>
      </c>
      <c r="N5812">
        <v>6</v>
      </c>
      <c r="O5812" t="s">
        <v>53</v>
      </c>
      <c r="P5812" t="s">
        <v>53</v>
      </c>
      <c r="Q5812" t="s">
        <v>53</v>
      </c>
    </row>
    <row r="5813" spans="1:17" x14ac:dyDescent="0.2">
      <c r="A5813" s="30" t="str">
        <f>IF(C5813&amp;G5813&amp;D5813&lt;&gt;'Funnel setup'!$K$3&amp;'Funnel setup'!$K$4&amp;'Funnel setup'!$K$5,".",IF(A5812=".",1,A5812+1))</f>
        <v>.</v>
      </c>
      <c r="B5813" s="431" t="str">
        <f t="shared" si="90"/>
        <v>Knee Replacement RevisionProviderNORTHAMPTON GENERAL HOSPITAL NHS TRUST (RNS)EQ VAS</v>
      </c>
      <c r="C5813" t="s">
        <v>250</v>
      </c>
      <c r="D5813" t="s">
        <v>1</v>
      </c>
      <c r="E5813" t="s">
        <v>3675</v>
      </c>
      <c r="F5813" t="s">
        <v>3676</v>
      </c>
      <c r="G5813" t="s">
        <v>179</v>
      </c>
      <c r="H5813">
        <v>6</v>
      </c>
      <c r="I5813">
        <v>62.332999999999998</v>
      </c>
      <c r="J5813">
        <v>55.5</v>
      </c>
      <c r="K5813">
        <v>-6.8330000000000002</v>
      </c>
      <c r="L5813">
        <v>2</v>
      </c>
      <c r="M5813">
        <v>1</v>
      </c>
      <c r="N5813">
        <v>3</v>
      </c>
      <c r="O5813" t="s">
        <v>53</v>
      </c>
      <c r="P5813" t="s">
        <v>53</v>
      </c>
      <c r="Q5813" t="s">
        <v>53</v>
      </c>
    </row>
    <row r="5814" spans="1:17" x14ac:dyDescent="0.2">
      <c r="A5814" s="30" t="str">
        <f>IF(C5814&amp;G5814&amp;D5814&lt;&gt;'Funnel setup'!$K$3&amp;'Funnel setup'!$K$4&amp;'Funnel setup'!$K$5,".",IF(A5813=".",1,A5813+1))</f>
        <v>.</v>
      </c>
      <c r="B5814" s="431" t="str">
        <f t="shared" si="90"/>
        <v>Knee Replacement RevisionProviderNORTHERN DEVON HEALTHCARE NHS TRUST (RBZ)EQ VAS</v>
      </c>
      <c r="C5814" t="s">
        <v>250</v>
      </c>
      <c r="D5814" t="s">
        <v>1</v>
      </c>
      <c r="E5814" t="s">
        <v>3678</v>
      </c>
      <c r="F5814" t="s">
        <v>3679</v>
      </c>
      <c r="G5814" t="s">
        <v>179</v>
      </c>
      <c r="H5814">
        <v>6</v>
      </c>
      <c r="I5814">
        <v>55.832999999999998</v>
      </c>
      <c r="J5814">
        <v>70.667000000000002</v>
      </c>
      <c r="K5814">
        <v>14.833</v>
      </c>
      <c r="L5814">
        <v>4</v>
      </c>
      <c r="M5814">
        <v>0</v>
      </c>
      <c r="N5814">
        <v>2</v>
      </c>
      <c r="O5814" t="s">
        <v>53</v>
      </c>
      <c r="P5814" t="s">
        <v>53</v>
      </c>
      <c r="Q5814" t="s">
        <v>53</v>
      </c>
    </row>
    <row r="5815" spans="1:17" x14ac:dyDescent="0.2">
      <c r="A5815" s="30" t="str">
        <f>IF(C5815&amp;G5815&amp;D5815&lt;&gt;'Funnel setup'!$K$3&amp;'Funnel setup'!$K$4&amp;'Funnel setup'!$K$5,".",IF(A5814=".",1,A5814+1))</f>
        <v>.</v>
      </c>
      <c r="B5815" s="431" t="str">
        <f t="shared" si="90"/>
        <v>Knee Replacement RevisionProviderNORTHERN LINCOLNSHIRE AND GOOLE NHS FOUNDATION TRUST (RJL)EQ VAS</v>
      </c>
      <c r="C5815" t="s">
        <v>250</v>
      </c>
      <c r="D5815" t="s">
        <v>1</v>
      </c>
      <c r="E5815" t="s">
        <v>3681</v>
      </c>
      <c r="F5815" t="s">
        <v>3682</v>
      </c>
      <c r="G5815" t="s">
        <v>179</v>
      </c>
      <c r="H5815">
        <v>13</v>
      </c>
      <c r="I5815">
        <v>78</v>
      </c>
      <c r="J5815">
        <v>66.462000000000003</v>
      </c>
      <c r="K5815">
        <v>-11.538</v>
      </c>
      <c r="L5815">
        <v>4</v>
      </c>
      <c r="M5815">
        <v>0</v>
      </c>
      <c r="N5815">
        <v>9</v>
      </c>
      <c r="O5815" t="s">
        <v>53</v>
      </c>
      <c r="P5815" t="s">
        <v>53</v>
      </c>
      <c r="Q5815" t="s">
        <v>53</v>
      </c>
    </row>
    <row r="5816" spans="1:17" x14ac:dyDescent="0.2">
      <c r="A5816" s="30" t="str">
        <f>IF(C5816&amp;G5816&amp;D5816&lt;&gt;'Funnel setup'!$K$3&amp;'Funnel setup'!$K$4&amp;'Funnel setup'!$K$5,".",IF(A5815=".",1,A5815+1))</f>
        <v>.</v>
      </c>
      <c r="B5816" s="431" t="str">
        <f t="shared" si="90"/>
        <v>Knee Replacement RevisionProviderNORTHUMBRIA HEALTHCARE NHS FOUNDATION TRUST (RTF)EQ VAS</v>
      </c>
      <c r="C5816" t="s">
        <v>250</v>
      </c>
      <c r="D5816" t="s">
        <v>1</v>
      </c>
      <c r="E5816" t="s">
        <v>3684</v>
      </c>
      <c r="F5816" t="s">
        <v>3685</v>
      </c>
      <c r="G5816" t="s">
        <v>179</v>
      </c>
      <c r="H5816">
        <v>15</v>
      </c>
      <c r="I5816">
        <v>59</v>
      </c>
      <c r="J5816">
        <v>67.466999999999999</v>
      </c>
      <c r="K5816">
        <v>8.4670000000000005</v>
      </c>
      <c r="L5816">
        <v>10</v>
      </c>
      <c r="M5816">
        <v>1</v>
      </c>
      <c r="N5816">
        <v>4</v>
      </c>
      <c r="O5816" t="s">
        <v>53</v>
      </c>
      <c r="P5816" t="s">
        <v>53</v>
      </c>
      <c r="Q5816" t="s">
        <v>53</v>
      </c>
    </row>
    <row r="5817" spans="1:17" x14ac:dyDescent="0.2">
      <c r="A5817" s="30" t="str">
        <f>IF(C5817&amp;G5817&amp;D5817&lt;&gt;'Funnel setup'!$K$3&amp;'Funnel setup'!$K$4&amp;'Funnel setup'!$K$5,".",IF(A5816=".",1,A5816+1))</f>
        <v>.</v>
      </c>
      <c r="B5817" s="431" t="str">
        <f t="shared" si="90"/>
        <v>Knee Replacement RevisionProviderNOTTINGHAM UNIVERSITY HOSPITALS NHS TRUST (RX1)EQ VAS</v>
      </c>
      <c r="C5817" t="s">
        <v>250</v>
      </c>
      <c r="D5817" t="s">
        <v>1</v>
      </c>
      <c r="E5817" t="s">
        <v>3687</v>
      </c>
      <c r="F5817" t="s">
        <v>3688</v>
      </c>
      <c r="G5817" t="s">
        <v>179</v>
      </c>
      <c r="H5817">
        <v>29</v>
      </c>
      <c r="I5817">
        <v>59.414000000000001</v>
      </c>
      <c r="J5817">
        <v>67.171999999999997</v>
      </c>
      <c r="K5817">
        <v>7.7590000000000003</v>
      </c>
      <c r="L5817">
        <v>21</v>
      </c>
      <c r="M5817">
        <v>3</v>
      </c>
      <c r="N5817">
        <v>5</v>
      </c>
      <c r="O5817" t="s">
        <v>53</v>
      </c>
      <c r="P5817" t="s">
        <v>53</v>
      </c>
      <c r="Q5817" t="s">
        <v>53</v>
      </c>
    </row>
    <row r="5818" spans="1:17" x14ac:dyDescent="0.2">
      <c r="A5818" s="30" t="str">
        <f>IF(C5818&amp;G5818&amp;D5818&lt;&gt;'Funnel setup'!$K$3&amp;'Funnel setup'!$K$4&amp;'Funnel setup'!$K$5,".",IF(A5817=".",1,A5817+1))</f>
        <v>.</v>
      </c>
      <c r="B5818" s="431" t="str">
        <f t="shared" si="90"/>
        <v>Knee Replacement RevisionProviderNUFFIELD HEALTH, BRISTOL HOSPITAL (CHESTERFIELD) (NT206)EQ VAS</v>
      </c>
      <c r="C5818" t="s">
        <v>250</v>
      </c>
      <c r="D5818" t="s">
        <v>1</v>
      </c>
      <c r="E5818" t="s">
        <v>3700</v>
      </c>
      <c r="F5818" t="s">
        <v>3701</v>
      </c>
      <c r="G5818" t="s">
        <v>179</v>
      </c>
      <c r="H5818" t="s">
        <v>53</v>
      </c>
      <c r="I5818" t="s">
        <v>53</v>
      </c>
      <c r="J5818" t="s">
        <v>53</v>
      </c>
      <c r="K5818" t="s">
        <v>53</v>
      </c>
      <c r="L5818" t="s">
        <v>53</v>
      </c>
      <c r="M5818" t="s">
        <v>53</v>
      </c>
      <c r="N5818" t="s">
        <v>53</v>
      </c>
      <c r="O5818" t="s">
        <v>53</v>
      </c>
      <c r="P5818" t="s">
        <v>53</v>
      </c>
      <c r="Q5818" t="s">
        <v>53</v>
      </c>
    </row>
    <row r="5819" spans="1:17" x14ac:dyDescent="0.2">
      <c r="A5819" s="30" t="str">
        <f>IF(C5819&amp;G5819&amp;D5819&lt;&gt;'Funnel setup'!$K$3&amp;'Funnel setup'!$K$4&amp;'Funnel setup'!$K$5,".",IF(A5818=".",1,A5818+1))</f>
        <v>.</v>
      </c>
      <c r="B5819" s="431" t="str">
        <f t="shared" si="90"/>
        <v>Knee Replacement RevisionProviderNUFFIELD HEALTH, DERBY HOSPITAL (NT213)EQ VAS</v>
      </c>
      <c r="C5819" t="s">
        <v>250</v>
      </c>
      <c r="D5819" t="s">
        <v>1</v>
      </c>
      <c r="E5819" t="s">
        <v>3340</v>
      </c>
      <c r="F5819" t="s">
        <v>3341</v>
      </c>
      <c r="G5819" t="s">
        <v>179</v>
      </c>
      <c r="H5819" t="s">
        <v>53</v>
      </c>
      <c r="I5819" t="s">
        <v>53</v>
      </c>
      <c r="J5819" t="s">
        <v>53</v>
      </c>
      <c r="K5819" t="s">
        <v>53</v>
      </c>
      <c r="L5819" t="s">
        <v>53</v>
      </c>
      <c r="M5819" t="s">
        <v>53</v>
      </c>
      <c r="N5819" t="s">
        <v>53</v>
      </c>
      <c r="O5819" t="s">
        <v>53</v>
      </c>
      <c r="P5819" t="s">
        <v>53</v>
      </c>
      <c r="Q5819" t="s">
        <v>53</v>
      </c>
    </row>
    <row r="5820" spans="1:17" x14ac:dyDescent="0.2">
      <c r="A5820" s="30" t="str">
        <f>IF(C5820&amp;G5820&amp;D5820&lt;&gt;'Funnel setup'!$K$3&amp;'Funnel setup'!$K$4&amp;'Funnel setup'!$K$5,".",IF(A5819=".",1,A5819+1))</f>
        <v>.</v>
      </c>
      <c r="B5820" s="431" t="str">
        <f t="shared" si="90"/>
        <v>Knee Replacement RevisionProviderNUFFIELD HEALTH, EXETER HOSPITAL (NT215)EQ VAS</v>
      </c>
      <c r="C5820" t="s">
        <v>250</v>
      </c>
      <c r="D5820" t="s">
        <v>1</v>
      </c>
      <c r="E5820" t="s">
        <v>4339</v>
      </c>
      <c r="F5820" t="s">
        <v>4340</v>
      </c>
      <c r="G5820" t="s">
        <v>179</v>
      </c>
      <c r="H5820" t="s">
        <v>53</v>
      </c>
      <c r="I5820" t="s">
        <v>53</v>
      </c>
      <c r="J5820" t="s">
        <v>53</v>
      </c>
      <c r="K5820" t="s">
        <v>53</v>
      </c>
      <c r="L5820" t="s">
        <v>53</v>
      </c>
      <c r="M5820" t="s">
        <v>53</v>
      </c>
      <c r="N5820" t="s">
        <v>53</v>
      </c>
      <c r="O5820" t="s">
        <v>53</v>
      </c>
      <c r="P5820" t="s">
        <v>53</v>
      </c>
      <c r="Q5820" t="s">
        <v>53</v>
      </c>
    </row>
    <row r="5821" spans="1:17" x14ac:dyDescent="0.2">
      <c r="A5821" s="30" t="str">
        <f>IF(C5821&amp;G5821&amp;D5821&lt;&gt;'Funnel setup'!$K$3&amp;'Funnel setup'!$K$4&amp;'Funnel setup'!$K$5,".",IF(A5820=".",1,A5820+1))</f>
        <v>.</v>
      </c>
      <c r="B5821" s="431" t="str">
        <f t="shared" si="90"/>
        <v>Knee Replacement RevisionProviderNUFFIELD HEALTH, LEEDS HOSPITAL (NT225)EQ VAS</v>
      </c>
      <c r="C5821" t="s">
        <v>250</v>
      </c>
      <c r="D5821" t="s">
        <v>1</v>
      </c>
      <c r="E5821" t="s">
        <v>3388</v>
      </c>
      <c r="F5821" t="s">
        <v>3389</v>
      </c>
      <c r="G5821" t="s">
        <v>179</v>
      </c>
      <c r="H5821" t="s">
        <v>53</v>
      </c>
      <c r="I5821" t="s">
        <v>53</v>
      </c>
      <c r="J5821" t="s">
        <v>53</v>
      </c>
      <c r="K5821" t="s">
        <v>53</v>
      </c>
      <c r="L5821" t="s">
        <v>53</v>
      </c>
      <c r="M5821" t="s">
        <v>53</v>
      </c>
      <c r="N5821" t="s">
        <v>53</v>
      </c>
      <c r="O5821" t="s">
        <v>53</v>
      </c>
      <c r="P5821" t="s">
        <v>53</v>
      </c>
      <c r="Q5821" t="s">
        <v>53</v>
      </c>
    </row>
    <row r="5822" spans="1:17" x14ac:dyDescent="0.2">
      <c r="A5822" s="30" t="str">
        <f>IF(C5822&amp;G5822&amp;D5822&lt;&gt;'Funnel setup'!$K$3&amp;'Funnel setup'!$K$4&amp;'Funnel setup'!$K$5,".",IF(A5821=".",1,A5821+1))</f>
        <v>.</v>
      </c>
      <c r="B5822" s="431" t="str">
        <f t="shared" si="90"/>
        <v>Knee Replacement RevisionProviderNUFFIELD HEALTH, TEES HOSPITAL (NT237)EQ VAS</v>
      </c>
      <c r="C5822" t="s">
        <v>250</v>
      </c>
      <c r="D5822" t="s">
        <v>1</v>
      </c>
      <c r="E5822" t="s">
        <v>3246</v>
      </c>
      <c r="F5822" t="s">
        <v>3247</v>
      </c>
      <c r="G5822" t="s">
        <v>179</v>
      </c>
      <c r="H5822" t="s">
        <v>53</v>
      </c>
      <c r="I5822" t="s">
        <v>53</v>
      </c>
      <c r="J5822" t="s">
        <v>53</v>
      </c>
      <c r="K5822" t="s">
        <v>53</v>
      </c>
      <c r="L5822" t="s">
        <v>53</v>
      </c>
      <c r="M5822" t="s">
        <v>53</v>
      </c>
      <c r="N5822" t="s">
        <v>53</v>
      </c>
      <c r="O5822" t="s">
        <v>53</v>
      </c>
      <c r="P5822" t="s">
        <v>53</v>
      </c>
      <c r="Q5822" t="s">
        <v>53</v>
      </c>
    </row>
    <row r="5823" spans="1:17" x14ac:dyDescent="0.2">
      <c r="A5823" s="30" t="str">
        <f>IF(C5823&amp;G5823&amp;D5823&lt;&gt;'Funnel setup'!$K$3&amp;'Funnel setup'!$K$4&amp;'Funnel setup'!$K$5,".",IF(A5822=".",1,A5822+1))</f>
        <v>.</v>
      </c>
      <c r="B5823" s="431" t="str">
        <f t="shared" si="90"/>
        <v>Knee Replacement RevisionProviderNUFFIELD HEALTH, YORK HOSPITAL (NT245)EQ VAS</v>
      </c>
      <c r="C5823" t="s">
        <v>250</v>
      </c>
      <c r="D5823" t="s">
        <v>1</v>
      </c>
      <c r="E5823" t="s">
        <v>4299</v>
      </c>
      <c r="F5823" t="s">
        <v>4300</v>
      </c>
      <c r="G5823" t="s">
        <v>179</v>
      </c>
      <c r="H5823" t="s">
        <v>53</v>
      </c>
      <c r="I5823" t="s">
        <v>53</v>
      </c>
      <c r="J5823" t="s">
        <v>53</v>
      </c>
      <c r="K5823" t="s">
        <v>53</v>
      </c>
      <c r="L5823" t="s">
        <v>53</v>
      </c>
      <c r="M5823" t="s">
        <v>53</v>
      </c>
      <c r="N5823" t="s">
        <v>53</v>
      </c>
      <c r="O5823" t="s">
        <v>53</v>
      </c>
      <c r="P5823" t="s">
        <v>53</v>
      </c>
      <c r="Q5823" t="s">
        <v>53</v>
      </c>
    </row>
    <row r="5824" spans="1:17" x14ac:dyDescent="0.2">
      <c r="A5824" s="30" t="str">
        <f>IF(C5824&amp;G5824&amp;D5824&lt;&gt;'Funnel setup'!$K$3&amp;'Funnel setup'!$K$4&amp;'Funnel setup'!$K$5,".",IF(A5823=".",1,A5823+1))</f>
        <v>.</v>
      </c>
      <c r="B5824" s="431" t="str">
        <f t="shared" si="90"/>
        <v>Knee Replacement RevisionProviderOAKS HOSPITAL (NVC13)EQ VAS</v>
      </c>
      <c r="C5824" t="s">
        <v>250</v>
      </c>
      <c r="D5824" t="s">
        <v>1</v>
      </c>
      <c r="E5824" t="s">
        <v>3270</v>
      </c>
      <c r="F5824" t="s">
        <v>3271</v>
      </c>
      <c r="G5824" t="s">
        <v>179</v>
      </c>
      <c r="H5824" t="s">
        <v>53</v>
      </c>
      <c r="I5824" t="s">
        <v>53</v>
      </c>
      <c r="J5824" t="s">
        <v>53</v>
      </c>
      <c r="K5824" t="s">
        <v>53</v>
      </c>
      <c r="L5824" t="s">
        <v>53</v>
      </c>
      <c r="M5824" t="s">
        <v>53</v>
      </c>
      <c r="N5824" t="s">
        <v>53</v>
      </c>
      <c r="O5824" t="s">
        <v>53</v>
      </c>
      <c r="P5824" t="s">
        <v>53</v>
      </c>
      <c r="Q5824" t="s">
        <v>53</v>
      </c>
    </row>
    <row r="5825" spans="1:17" x14ac:dyDescent="0.2">
      <c r="A5825" s="30" t="str">
        <f>IF(C5825&amp;G5825&amp;D5825&lt;&gt;'Funnel setup'!$K$3&amp;'Funnel setup'!$K$4&amp;'Funnel setup'!$K$5,".",IF(A5824=".",1,A5824+1))</f>
        <v>.</v>
      </c>
      <c r="B5825" s="431" t="str">
        <f t="shared" si="90"/>
        <v>Knee Replacement RevisionProviderOXFORD UNIVERSITY HOSPITALS NHS FOUNDATION TRUST (RTH)EQ VAS</v>
      </c>
      <c r="C5825" t="s">
        <v>250</v>
      </c>
      <c r="D5825" t="s">
        <v>1</v>
      </c>
      <c r="E5825" t="s">
        <v>3278</v>
      </c>
      <c r="F5825" t="s">
        <v>6578</v>
      </c>
      <c r="G5825" t="s">
        <v>179</v>
      </c>
      <c r="H5825">
        <v>35</v>
      </c>
      <c r="I5825">
        <v>67.456999999999994</v>
      </c>
      <c r="J5825">
        <v>63.771000000000001</v>
      </c>
      <c r="K5825">
        <v>-3.6859999999999999</v>
      </c>
      <c r="L5825">
        <v>16</v>
      </c>
      <c r="M5825">
        <v>4</v>
      </c>
      <c r="N5825">
        <v>15</v>
      </c>
      <c r="O5825">
        <v>65.061999999999998</v>
      </c>
      <c r="P5825">
        <v>0.60636833000000001</v>
      </c>
      <c r="Q5825">
        <v>16.66</v>
      </c>
    </row>
    <row r="5826" spans="1:17" x14ac:dyDescent="0.2">
      <c r="A5826" s="30" t="str">
        <f>IF(C5826&amp;G5826&amp;D5826&lt;&gt;'Funnel setup'!$K$3&amp;'Funnel setup'!$K$4&amp;'Funnel setup'!$K$5,".",IF(A5825=".",1,A5825+1))</f>
        <v>.</v>
      </c>
      <c r="B5826" s="431" t="str">
        <f t="shared" si="90"/>
        <v>Knee Replacement RevisionProviderPENINSULA NHS TREATMENT CENTRE (NTPH5)EQ VAS</v>
      </c>
      <c r="C5826" t="s">
        <v>250</v>
      </c>
      <c r="D5826" t="s">
        <v>1</v>
      </c>
      <c r="E5826" t="s">
        <v>4285</v>
      </c>
      <c r="F5826" t="s">
        <v>4286</v>
      </c>
      <c r="G5826" t="s">
        <v>179</v>
      </c>
      <c r="H5826">
        <v>9</v>
      </c>
      <c r="I5826">
        <v>76.221999999999994</v>
      </c>
      <c r="J5826">
        <v>76.332999999999998</v>
      </c>
      <c r="K5826">
        <v>0.111</v>
      </c>
      <c r="L5826">
        <v>4</v>
      </c>
      <c r="M5826">
        <v>3</v>
      </c>
      <c r="N5826">
        <v>2</v>
      </c>
      <c r="O5826" t="s">
        <v>53</v>
      </c>
      <c r="P5826" t="s">
        <v>53</v>
      </c>
      <c r="Q5826" t="s">
        <v>53</v>
      </c>
    </row>
    <row r="5827" spans="1:17" x14ac:dyDescent="0.2">
      <c r="A5827" s="30" t="str">
        <f>IF(C5827&amp;G5827&amp;D5827&lt;&gt;'Funnel setup'!$K$3&amp;'Funnel setup'!$K$4&amp;'Funnel setup'!$K$5,".",IF(A5826=".",1,A5826+1))</f>
        <v>.</v>
      </c>
      <c r="B5827" s="431" t="str">
        <f t="shared" ref="B5827:B5890" si="91">C5827&amp;D5827&amp;F5827&amp;G5827</f>
        <v>Knee Replacement RevisionProviderPENNINE ACUTE HOSPITALS NHS TRUST (RW6)EQ VAS</v>
      </c>
      <c r="C5827" t="s">
        <v>250</v>
      </c>
      <c r="D5827" t="s">
        <v>1</v>
      </c>
      <c r="E5827" t="s">
        <v>3216</v>
      </c>
      <c r="F5827" t="s">
        <v>3217</v>
      </c>
      <c r="G5827" t="s">
        <v>179</v>
      </c>
      <c r="H5827">
        <v>15</v>
      </c>
      <c r="I5827">
        <v>50.933</v>
      </c>
      <c r="J5827">
        <v>57.933</v>
      </c>
      <c r="K5827">
        <v>7</v>
      </c>
      <c r="L5827">
        <v>8</v>
      </c>
      <c r="M5827">
        <v>2</v>
      </c>
      <c r="N5827">
        <v>5</v>
      </c>
      <c r="O5827" t="s">
        <v>53</v>
      </c>
      <c r="P5827" t="s">
        <v>53</v>
      </c>
      <c r="Q5827" t="s">
        <v>53</v>
      </c>
    </row>
    <row r="5828" spans="1:17" x14ac:dyDescent="0.2">
      <c r="A5828" s="30" t="str">
        <f>IF(C5828&amp;G5828&amp;D5828&lt;&gt;'Funnel setup'!$K$3&amp;'Funnel setup'!$K$4&amp;'Funnel setup'!$K$5,".",IF(A5827=".",1,A5827+1))</f>
        <v>.</v>
      </c>
      <c r="B5828" s="431" t="str">
        <f t="shared" si="91"/>
        <v>Knee Replacement RevisionProviderPETERBOROUGH AND STAMFORD HOSPITALS NHS FOUNDATION TRUST (RGN)EQ VAS</v>
      </c>
      <c r="C5828" t="s">
        <v>250</v>
      </c>
      <c r="D5828" t="s">
        <v>1</v>
      </c>
      <c r="E5828" t="s">
        <v>3219</v>
      </c>
      <c r="F5828" t="s">
        <v>3220</v>
      </c>
      <c r="G5828" t="s">
        <v>179</v>
      </c>
      <c r="H5828" t="s">
        <v>53</v>
      </c>
      <c r="I5828" t="s">
        <v>53</v>
      </c>
      <c r="J5828" t="s">
        <v>53</v>
      </c>
      <c r="K5828" t="s">
        <v>53</v>
      </c>
      <c r="L5828" t="s">
        <v>53</v>
      </c>
      <c r="M5828" t="s">
        <v>53</v>
      </c>
      <c r="N5828" t="s">
        <v>53</v>
      </c>
      <c r="O5828" t="s">
        <v>53</v>
      </c>
      <c r="P5828" t="s">
        <v>53</v>
      </c>
      <c r="Q5828" t="s">
        <v>53</v>
      </c>
    </row>
    <row r="5829" spans="1:17" x14ac:dyDescent="0.2">
      <c r="A5829" s="30" t="str">
        <f>IF(C5829&amp;G5829&amp;D5829&lt;&gt;'Funnel setup'!$K$3&amp;'Funnel setup'!$K$4&amp;'Funnel setup'!$K$5,".",IF(A5828=".",1,A5828+1))</f>
        <v>.</v>
      </c>
      <c r="B5829" s="431" t="str">
        <f t="shared" si="91"/>
        <v>Knee Replacement RevisionProviderPINEHILL HOSPITAL (NVC15)EQ VAS</v>
      </c>
      <c r="C5829" t="s">
        <v>250</v>
      </c>
      <c r="D5829" t="s">
        <v>1</v>
      </c>
      <c r="E5829" t="s">
        <v>3222</v>
      </c>
      <c r="F5829" t="s">
        <v>3223</v>
      </c>
      <c r="G5829" t="s">
        <v>179</v>
      </c>
      <c r="H5829" t="s">
        <v>53</v>
      </c>
      <c r="I5829" t="s">
        <v>53</v>
      </c>
      <c r="J5829" t="s">
        <v>53</v>
      </c>
      <c r="K5829" t="s">
        <v>53</v>
      </c>
      <c r="L5829" t="s">
        <v>53</v>
      </c>
      <c r="M5829" t="s">
        <v>53</v>
      </c>
      <c r="N5829" t="s">
        <v>53</v>
      </c>
      <c r="O5829" t="s">
        <v>53</v>
      </c>
      <c r="P5829" t="s">
        <v>53</v>
      </c>
      <c r="Q5829" t="s">
        <v>53</v>
      </c>
    </row>
    <row r="5830" spans="1:17" x14ac:dyDescent="0.2">
      <c r="A5830" s="30" t="str">
        <f>IF(C5830&amp;G5830&amp;D5830&lt;&gt;'Funnel setup'!$K$3&amp;'Funnel setup'!$K$4&amp;'Funnel setup'!$K$5,".",IF(A5829=".",1,A5829+1))</f>
        <v>.</v>
      </c>
      <c r="B5830" s="431" t="str">
        <f t="shared" si="91"/>
        <v>Knee Replacement RevisionProviderPLYMOUTH HOSPITALS NHS TRUST (RK9)EQ VAS</v>
      </c>
      <c r="C5830" t="s">
        <v>250</v>
      </c>
      <c r="D5830" t="s">
        <v>1</v>
      </c>
      <c r="E5830" t="s">
        <v>3225</v>
      </c>
      <c r="F5830" t="s">
        <v>3226</v>
      </c>
      <c r="G5830" t="s">
        <v>179</v>
      </c>
      <c r="H5830">
        <v>9</v>
      </c>
      <c r="I5830">
        <v>53.555999999999997</v>
      </c>
      <c r="J5830">
        <v>51.110999999999997</v>
      </c>
      <c r="K5830">
        <v>-2.444</v>
      </c>
      <c r="L5830">
        <v>3</v>
      </c>
      <c r="M5830">
        <v>3</v>
      </c>
      <c r="N5830">
        <v>3</v>
      </c>
      <c r="O5830" t="s">
        <v>53</v>
      </c>
      <c r="P5830" t="s">
        <v>53</v>
      </c>
      <c r="Q5830" t="s">
        <v>53</v>
      </c>
    </row>
    <row r="5831" spans="1:17" x14ac:dyDescent="0.2">
      <c r="A5831" s="30" t="str">
        <f>IF(C5831&amp;G5831&amp;D5831&lt;&gt;'Funnel setup'!$K$3&amp;'Funnel setup'!$K$4&amp;'Funnel setup'!$K$5,".",IF(A5830=".",1,A5830+1))</f>
        <v>.</v>
      </c>
      <c r="B5831" s="431" t="str">
        <f t="shared" si="91"/>
        <v>Knee Replacement RevisionProviderPORTSMOUTH HOSPITALS NHS TRUST (RHU)EQ VAS</v>
      </c>
      <c r="C5831" t="s">
        <v>250</v>
      </c>
      <c r="D5831" t="s">
        <v>1</v>
      </c>
      <c r="E5831" t="s">
        <v>3234</v>
      </c>
      <c r="F5831" t="s">
        <v>3235</v>
      </c>
      <c r="G5831" t="s">
        <v>179</v>
      </c>
      <c r="H5831">
        <v>6</v>
      </c>
      <c r="I5831">
        <v>52.5</v>
      </c>
      <c r="J5831">
        <v>69.167000000000002</v>
      </c>
      <c r="K5831">
        <v>16.667000000000002</v>
      </c>
      <c r="L5831">
        <v>5</v>
      </c>
      <c r="M5831">
        <v>1</v>
      </c>
      <c r="N5831">
        <v>0</v>
      </c>
      <c r="O5831" t="s">
        <v>53</v>
      </c>
      <c r="P5831" t="s">
        <v>53</v>
      </c>
      <c r="Q5831" t="s">
        <v>53</v>
      </c>
    </row>
    <row r="5832" spans="1:17" x14ac:dyDescent="0.2">
      <c r="A5832" s="30" t="str">
        <f>IF(C5832&amp;G5832&amp;D5832&lt;&gt;'Funnel setup'!$K$3&amp;'Funnel setup'!$K$4&amp;'Funnel setup'!$K$5,".",IF(A5831=".",1,A5831+1))</f>
        <v>.</v>
      </c>
      <c r="B5832" s="431" t="str">
        <f t="shared" si="91"/>
        <v>Knee Replacement RevisionProviderRENACRES HOSPITAL (NVC16)EQ VAS</v>
      </c>
      <c r="C5832" t="s">
        <v>250</v>
      </c>
      <c r="D5832" t="s">
        <v>1</v>
      </c>
      <c r="E5832" t="s">
        <v>3237</v>
      </c>
      <c r="F5832" t="s">
        <v>3238</v>
      </c>
      <c r="G5832" t="s">
        <v>179</v>
      </c>
      <c r="H5832" t="s">
        <v>53</v>
      </c>
      <c r="I5832" t="s">
        <v>53</v>
      </c>
      <c r="J5832" t="s">
        <v>53</v>
      </c>
      <c r="K5832" t="s">
        <v>53</v>
      </c>
      <c r="L5832" t="s">
        <v>53</v>
      </c>
      <c r="M5832" t="s">
        <v>53</v>
      </c>
      <c r="N5832" t="s">
        <v>53</v>
      </c>
      <c r="O5832" t="s">
        <v>53</v>
      </c>
      <c r="P5832" t="s">
        <v>53</v>
      </c>
      <c r="Q5832" t="s">
        <v>53</v>
      </c>
    </row>
    <row r="5833" spans="1:17" x14ac:dyDescent="0.2">
      <c r="A5833" s="30" t="str">
        <f>IF(C5833&amp;G5833&amp;D5833&lt;&gt;'Funnel setup'!$K$3&amp;'Funnel setup'!$K$4&amp;'Funnel setup'!$K$5,".",IF(A5832=".",1,A5832+1))</f>
        <v>.</v>
      </c>
      <c r="B5833" s="431" t="str">
        <f t="shared" si="91"/>
        <v>Knee Replacement RevisionProviderROYAL BERKSHIRE NHS FOUNDATION TRUST (RHW)EQ VAS</v>
      </c>
      <c r="C5833" t="s">
        <v>250</v>
      </c>
      <c r="D5833" t="s">
        <v>1</v>
      </c>
      <c r="E5833" t="s">
        <v>3832</v>
      </c>
      <c r="F5833" t="s">
        <v>3833</v>
      </c>
      <c r="G5833" t="s">
        <v>179</v>
      </c>
      <c r="H5833" t="s">
        <v>53</v>
      </c>
      <c r="I5833" t="s">
        <v>53</v>
      </c>
      <c r="J5833" t="s">
        <v>53</v>
      </c>
      <c r="K5833" t="s">
        <v>53</v>
      </c>
      <c r="L5833" t="s">
        <v>53</v>
      </c>
      <c r="M5833" t="s">
        <v>53</v>
      </c>
      <c r="N5833" t="s">
        <v>53</v>
      </c>
      <c r="O5833" t="s">
        <v>53</v>
      </c>
      <c r="P5833" t="s">
        <v>53</v>
      </c>
      <c r="Q5833" t="s">
        <v>53</v>
      </c>
    </row>
    <row r="5834" spans="1:17" x14ac:dyDescent="0.2">
      <c r="A5834" s="30" t="str">
        <f>IF(C5834&amp;G5834&amp;D5834&lt;&gt;'Funnel setup'!$K$3&amp;'Funnel setup'!$K$4&amp;'Funnel setup'!$K$5,".",IF(A5833=".",1,A5833+1))</f>
        <v>.</v>
      </c>
      <c r="B5834" s="431" t="str">
        <f t="shared" si="91"/>
        <v>Knee Replacement RevisionProviderROYAL CORNWALL HOSPITALS NHS TRUST (REF)EQ VAS</v>
      </c>
      <c r="C5834" t="s">
        <v>250</v>
      </c>
      <c r="D5834" t="s">
        <v>1</v>
      </c>
      <c r="E5834" t="s">
        <v>3745</v>
      </c>
      <c r="F5834" t="s">
        <v>3746</v>
      </c>
      <c r="G5834" t="s">
        <v>179</v>
      </c>
      <c r="H5834">
        <v>19</v>
      </c>
      <c r="I5834">
        <v>60.789000000000001</v>
      </c>
      <c r="J5834">
        <v>72.210999999999999</v>
      </c>
      <c r="K5834">
        <v>11.420999999999999</v>
      </c>
      <c r="L5834">
        <v>11</v>
      </c>
      <c r="M5834">
        <v>5</v>
      </c>
      <c r="N5834">
        <v>3</v>
      </c>
      <c r="O5834" t="s">
        <v>53</v>
      </c>
      <c r="P5834" t="s">
        <v>53</v>
      </c>
      <c r="Q5834" t="s">
        <v>53</v>
      </c>
    </row>
    <row r="5835" spans="1:17" x14ac:dyDescent="0.2">
      <c r="A5835" s="30" t="str">
        <f>IF(C5835&amp;G5835&amp;D5835&lt;&gt;'Funnel setup'!$K$3&amp;'Funnel setup'!$K$4&amp;'Funnel setup'!$K$5,".",IF(A5834=".",1,A5834+1))</f>
        <v>.</v>
      </c>
      <c r="B5835" s="431" t="str">
        <f t="shared" si="91"/>
        <v>Knee Replacement RevisionProviderROYAL DEVON AND EXETER NHS FOUNDATION TRUST (RH8)EQ VAS</v>
      </c>
      <c r="C5835" t="s">
        <v>250</v>
      </c>
      <c r="D5835" t="s">
        <v>1</v>
      </c>
      <c r="E5835" t="s">
        <v>3442</v>
      </c>
      <c r="F5835" t="s">
        <v>3443</v>
      </c>
      <c r="G5835" t="s">
        <v>179</v>
      </c>
      <c r="H5835">
        <v>38</v>
      </c>
      <c r="I5835">
        <v>61.131999999999998</v>
      </c>
      <c r="J5835">
        <v>70.578999999999994</v>
      </c>
      <c r="K5835">
        <v>9.4469999999999992</v>
      </c>
      <c r="L5835">
        <v>23</v>
      </c>
      <c r="M5835">
        <v>5</v>
      </c>
      <c r="N5835">
        <v>10</v>
      </c>
      <c r="O5835">
        <v>70.486000000000004</v>
      </c>
      <c r="P5835">
        <v>6.0295376909999998</v>
      </c>
      <c r="Q5835">
        <v>12.055999999999999</v>
      </c>
    </row>
    <row r="5836" spans="1:17" x14ac:dyDescent="0.2">
      <c r="A5836" s="30" t="str">
        <f>IF(C5836&amp;G5836&amp;D5836&lt;&gt;'Funnel setup'!$K$3&amp;'Funnel setup'!$K$4&amp;'Funnel setup'!$K$5,".",IF(A5835=".",1,A5835+1))</f>
        <v>.</v>
      </c>
      <c r="B5836" s="431" t="str">
        <f t="shared" si="91"/>
        <v>Knee Replacement RevisionProviderROYAL FREE LONDON NHS FOUNDATION TRUST (RAL)EQ VAS</v>
      </c>
      <c r="C5836" t="s">
        <v>250</v>
      </c>
      <c r="D5836" t="s">
        <v>1</v>
      </c>
      <c r="E5836" t="s">
        <v>3445</v>
      </c>
      <c r="F5836" t="s">
        <v>3446</v>
      </c>
      <c r="G5836" t="s">
        <v>179</v>
      </c>
      <c r="H5836" t="s">
        <v>53</v>
      </c>
      <c r="I5836" t="s">
        <v>53</v>
      </c>
      <c r="J5836" t="s">
        <v>53</v>
      </c>
      <c r="K5836" t="s">
        <v>53</v>
      </c>
      <c r="L5836" t="s">
        <v>53</v>
      </c>
      <c r="M5836" t="s">
        <v>53</v>
      </c>
      <c r="N5836" t="s">
        <v>53</v>
      </c>
      <c r="O5836" t="s">
        <v>53</v>
      </c>
      <c r="P5836" t="s">
        <v>53</v>
      </c>
      <c r="Q5836" t="s">
        <v>53</v>
      </c>
    </row>
    <row r="5837" spans="1:17" x14ac:dyDescent="0.2">
      <c r="A5837" s="30" t="str">
        <f>IF(C5837&amp;G5837&amp;D5837&lt;&gt;'Funnel setup'!$K$3&amp;'Funnel setup'!$K$4&amp;'Funnel setup'!$K$5,".",IF(A5836=".",1,A5836+1))</f>
        <v>.</v>
      </c>
      <c r="B5837" s="431" t="str">
        <f t="shared" si="91"/>
        <v>Knee Replacement RevisionProviderROYAL LIVERPOOL AND BROADGREEN UNIVERSITY HOSPITALS NHS TRUST (RQ6)EQ VAS</v>
      </c>
      <c r="C5837" t="s">
        <v>250</v>
      </c>
      <c r="D5837" t="s">
        <v>1</v>
      </c>
      <c r="E5837" t="s">
        <v>3448</v>
      </c>
      <c r="F5837" t="s">
        <v>3449</v>
      </c>
      <c r="G5837" t="s">
        <v>179</v>
      </c>
      <c r="H5837">
        <v>6</v>
      </c>
      <c r="I5837">
        <v>50</v>
      </c>
      <c r="J5837">
        <v>60</v>
      </c>
      <c r="K5837">
        <v>10</v>
      </c>
      <c r="L5837">
        <v>3</v>
      </c>
      <c r="M5837">
        <v>1</v>
      </c>
      <c r="N5837">
        <v>2</v>
      </c>
      <c r="O5837" t="s">
        <v>53</v>
      </c>
      <c r="P5837" t="s">
        <v>53</v>
      </c>
      <c r="Q5837" t="s">
        <v>53</v>
      </c>
    </row>
    <row r="5838" spans="1:17" x14ac:dyDescent="0.2">
      <c r="A5838" s="30" t="str">
        <f>IF(C5838&amp;G5838&amp;D5838&lt;&gt;'Funnel setup'!$K$3&amp;'Funnel setup'!$K$4&amp;'Funnel setup'!$K$5,".",IF(A5837=".",1,A5837+1))</f>
        <v>.</v>
      </c>
      <c r="B5838" s="431" t="str">
        <f t="shared" si="91"/>
        <v>Knee Replacement RevisionProviderROYAL NATIONAL ORTHOPAEDIC HOSPITAL NHS TRUST (RAN)EQ VAS</v>
      </c>
      <c r="C5838" t="s">
        <v>250</v>
      </c>
      <c r="D5838" t="s">
        <v>1</v>
      </c>
      <c r="E5838" t="s">
        <v>4378</v>
      </c>
      <c r="F5838" t="s">
        <v>4379</v>
      </c>
      <c r="G5838" t="s">
        <v>179</v>
      </c>
      <c r="H5838">
        <v>22</v>
      </c>
      <c r="I5838">
        <v>62.773000000000003</v>
      </c>
      <c r="J5838">
        <v>63.363999999999997</v>
      </c>
      <c r="K5838">
        <v>0.59099999999999997</v>
      </c>
      <c r="L5838">
        <v>11</v>
      </c>
      <c r="M5838">
        <v>2</v>
      </c>
      <c r="N5838">
        <v>9</v>
      </c>
      <c r="O5838" t="s">
        <v>53</v>
      </c>
      <c r="P5838" t="s">
        <v>53</v>
      </c>
      <c r="Q5838" t="s">
        <v>53</v>
      </c>
    </row>
    <row r="5839" spans="1:17" x14ac:dyDescent="0.2">
      <c r="A5839" s="30" t="str">
        <f>IF(C5839&amp;G5839&amp;D5839&lt;&gt;'Funnel setup'!$K$3&amp;'Funnel setup'!$K$4&amp;'Funnel setup'!$K$5,".",IF(A5838=".",1,A5838+1))</f>
        <v>.</v>
      </c>
      <c r="B5839" s="431" t="str">
        <f t="shared" si="91"/>
        <v>Knee Replacement RevisionProviderROYAL SURREY COUNTY HOSPITAL NHS FOUNDATION TRUST (RA2)EQ VAS</v>
      </c>
      <c r="C5839" t="s">
        <v>250</v>
      </c>
      <c r="D5839" t="s">
        <v>1</v>
      </c>
      <c r="E5839" t="s">
        <v>3451</v>
      </c>
      <c r="F5839" t="s">
        <v>3452</v>
      </c>
      <c r="G5839" t="s">
        <v>179</v>
      </c>
      <c r="H5839">
        <v>6</v>
      </c>
      <c r="I5839">
        <v>67.5</v>
      </c>
      <c r="J5839">
        <v>68.332999999999998</v>
      </c>
      <c r="K5839">
        <v>0.83299999999999996</v>
      </c>
      <c r="L5839">
        <v>4</v>
      </c>
      <c r="M5839">
        <v>0</v>
      </c>
      <c r="N5839">
        <v>2</v>
      </c>
      <c r="O5839" t="s">
        <v>53</v>
      </c>
      <c r="P5839" t="s">
        <v>53</v>
      </c>
      <c r="Q5839" t="s">
        <v>53</v>
      </c>
    </row>
    <row r="5840" spans="1:17" x14ac:dyDescent="0.2">
      <c r="A5840" s="30" t="str">
        <f>IF(C5840&amp;G5840&amp;D5840&lt;&gt;'Funnel setup'!$K$3&amp;'Funnel setup'!$K$4&amp;'Funnel setup'!$K$5,".",IF(A5839=".",1,A5839+1))</f>
        <v>.</v>
      </c>
      <c r="B5840" s="431" t="str">
        <f t="shared" si="91"/>
        <v>Knee Replacement RevisionProviderROYAL UNITED HOSPITALS BATH NHS FOUNDATION TRUST (RD1)EQ VAS</v>
      </c>
      <c r="C5840" t="s">
        <v>250</v>
      </c>
      <c r="D5840" t="s">
        <v>1</v>
      </c>
      <c r="E5840" t="s">
        <v>3454</v>
      </c>
      <c r="F5840" t="s">
        <v>3455</v>
      </c>
      <c r="G5840" t="s">
        <v>179</v>
      </c>
      <c r="H5840">
        <v>9</v>
      </c>
      <c r="I5840">
        <v>61.332999999999998</v>
      </c>
      <c r="J5840">
        <v>66.111000000000004</v>
      </c>
      <c r="K5840">
        <v>4.7779999999999996</v>
      </c>
      <c r="L5840">
        <v>5</v>
      </c>
      <c r="M5840">
        <v>1</v>
      </c>
      <c r="N5840">
        <v>3</v>
      </c>
      <c r="O5840" t="s">
        <v>53</v>
      </c>
      <c r="P5840" t="s">
        <v>53</v>
      </c>
      <c r="Q5840" t="s">
        <v>53</v>
      </c>
    </row>
    <row r="5841" spans="1:17" x14ac:dyDescent="0.2">
      <c r="A5841" s="30" t="str">
        <f>IF(C5841&amp;G5841&amp;D5841&lt;&gt;'Funnel setup'!$K$3&amp;'Funnel setup'!$K$4&amp;'Funnel setup'!$K$5,".",IF(A5840=".",1,A5840+1))</f>
        <v>.</v>
      </c>
      <c r="B5841" s="431" t="str">
        <f t="shared" si="91"/>
        <v>Knee Replacement RevisionProviderSALFORD ROYAL NHS FOUNDATION TRUST (RM3)EQ VAS</v>
      </c>
      <c r="C5841" t="s">
        <v>250</v>
      </c>
      <c r="D5841" t="s">
        <v>1</v>
      </c>
      <c r="E5841" t="s">
        <v>3457</v>
      </c>
      <c r="F5841" t="s">
        <v>3458</v>
      </c>
      <c r="G5841" t="s">
        <v>179</v>
      </c>
      <c r="H5841">
        <v>7</v>
      </c>
      <c r="I5841">
        <v>60.429000000000002</v>
      </c>
      <c r="J5841">
        <v>76.429000000000002</v>
      </c>
      <c r="K5841">
        <v>16</v>
      </c>
      <c r="L5841">
        <v>5</v>
      </c>
      <c r="M5841">
        <v>0</v>
      </c>
      <c r="N5841">
        <v>2</v>
      </c>
      <c r="O5841" t="s">
        <v>53</v>
      </c>
      <c r="P5841" t="s">
        <v>53</v>
      </c>
      <c r="Q5841" t="s">
        <v>53</v>
      </c>
    </row>
    <row r="5842" spans="1:17" x14ac:dyDescent="0.2">
      <c r="A5842" s="30" t="str">
        <f>IF(C5842&amp;G5842&amp;D5842&lt;&gt;'Funnel setup'!$K$3&amp;'Funnel setup'!$K$4&amp;'Funnel setup'!$K$5,".",IF(A5841=".",1,A5841+1))</f>
        <v>.</v>
      </c>
      <c r="B5842" s="431" t="str">
        <f t="shared" si="91"/>
        <v>Knee Replacement RevisionProviderSALISBURY NHS FOUNDATION TRUST (RNZ)EQ VAS</v>
      </c>
      <c r="C5842" t="s">
        <v>250</v>
      </c>
      <c r="D5842" t="s">
        <v>1</v>
      </c>
      <c r="E5842" t="s">
        <v>3460</v>
      </c>
      <c r="F5842" t="s">
        <v>3461</v>
      </c>
      <c r="G5842" t="s">
        <v>179</v>
      </c>
      <c r="H5842" t="s">
        <v>53</v>
      </c>
      <c r="I5842" t="s">
        <v>53</v>
      </c>
      <c r="J5842" t="s">
        <v>53</v>
      </c>
      <c r="K5842" t="s">
        <v>53</v>
      </c>
      <c r="L5842" t="s">
        <v>53</v>
      </c>
      <c r="M5842" t="s">
        <v>53</v>
      </c>
      <c r="N5842" t="s">
        <v>53</v>
      </c>
      <c r="O5842" t="s">
        <v>53</v>
      </c>
      <c r="P5842" t="s">
        <v>53</v>
      </c>
      <c r="Q5842" t="s">
        <v>53</v>
      </c>
    </row>
    <row r="5843" spans="1:17" x14ac:dyDescent="0.2">
      <c r="A5843" s="30" t="str">
        <f>IF(C5843&amp;G5843&amp;D5843&lt;&gt;'Funnel setup'!$K$3&amp;'Funnel setup'!$K$4&amp;'Funnel setup'!$K$5,".",IF(A5842=".",1,A5842+1))</f>
        <v>.</v>
      </c>
      <c r="B5843" s="431" t="str">
        <f t="shared" si="91"/>
        <v>Knee Replacement RevisionProviderSANDWELL AND WEST BIRMINGHAM HOSPITALS NHS TRUST (RXK)EQ VAS</v>
      </c>
      <c r="C5843" t="s">
        <v>250</v>
      </c>
      <c r="D5843" t="s">
        <v>1</v>
      </c>
      <c r="E5843" t="s">
        <v>3463</v>
      </c>
      <c r="F5843" t="s">
        <v>3464</v>
      </c>
      <c r="G5843" t="s">
        <v>179</v>
      </c>
      <c r="H5843" t="s">
        <v>53</v>
      </c>
      <c r="I5843" t="s">
        <v>53</v>
      </c>
      <c r="J5843" t="s">
        <v>53</v>
      </c>
      <c r="K5843" t="s">
        <v>53</v>
      </c>
      <c r="L5843" t="s">
        <v>53</v>
      </c>
      <c r="M5843" t="s">
        <v>53</v>
      </c>
      <c r="N5843" t="s">
        <v>53</v>
      </c>
      <c r="O5843" t="s">
        <v>53</v>
      </c>
      <c r="P5843" t="s">
        <v>53</v>
      </c>
      <c r="Q5843" t="s">
        <v>53</v>
      </c>
    </row>
    <row r="5844" spans="1:17" x14ac:dyDescent="0.2">
      <c r="A5844" s="30" t="str">
        <f>IF(C5844&amp;G5844&amp;D5844&lt;&gt;'Funnel setup'!$K$3&amp;'Funnel setup'!$K$4&amp;'Funnel setup'!$K$5,".",IF(A5843=".",1,A5843+1))</f>
        <v>.</v>
      </c>
      <c r="B5844" s="431" t="str">
        <f t="shared" si="91"/>
        <v>Knee Replacement RevisionProviderSHEFFIELD TEACHING HOSPITALS NHS FOUNDATION TRUST (RHQ)EQ VAS</v>
      </c>
      <c r="C5844" t="s">
        <v>250</v>
      </c>
      <c r="D5844" t="s">
        <v>1</v>
      </c>
      <c r="E5844" t="s">
        <v>3466</v>
      </c>
      <c r="F5844" t="s">
        <v>3467</v>
      </c>
      <c r="G5844" t="s">
        <v>179</v>
      </c>
      <c r="H5844">
        <v>49</v>
      </c>
      <c r="I5844">
        <v>62.122</v>
      </c>
      <c r="J5844">
        <v>71.531000000000006</v>
      </c>
      <c r="K5844">
        <v>9.4079999999999995</v>
      </c>
      <c r="L5844">
        <v>30</v>
      </c>
      <c r="M5844">
        <v>10</v>
      </c>
      <c r="N5844">
        <v>9</v>
      </c>
      <c r="O5844">
        <v>72.290000000000006</v>
      </c>
      <c r="P5844">
        <v>7.8338055390000001</v>
      </c>
      <c r="Q5844">
        <v>17.206</v>
      </c>
    </row>
    <row r="5845" spans="1:17" x14ac:dyDescent="0.2">
      <c r="A5845" s="30" t="str">
        <f>IF(C5845&amp;G5845&amp;D5845&lt;&gt;'Funnel setup'!$K$3&amp;'Funnel setup'!$K$4&amp;'Funnel setup'!$K$5,".",IF(A5844=".",1,A5844+1))</f>
        <v>.</v>
      </c>
      <c r="B5845" s="431" t="str">
        <f t="shared" si="91"/>
        <v>Knee Replacement RevisionProviderSHERWOOD FOREST HOSPITALS NHS FOUNDATION TRUST (RK5)EQ VAS</v>
      </c>
      <c r="C5845" t="s">
        <v>250</v>
      </c>
      <c r="D5845" t="s">
        <v>1</v>
      </c>
      <c r="E5845" t="s">
        <v>3475</v>
      </c>
      <c r="F5845" t="s">
        <v>3476</v>
      </c>
      <c r="G5845" t="s">
        <v>179</v>
      </c>
      <c r="H5845">
        <v>11</v>
      </c>
      <c r="I5845">
        <v>62.817999999999998</v>
      </c>
      <c r="J5845">
        <v>71</v>
      </c>
      <c r="K5845">
        <v>8.1820000000000004</v>
      </c>
      <c r="L5845">
        <v>7</v>
      </c>
      <c r="M5845">
        <v>1</v>
      </c>
      <c r="N5845">
        <v>3</v>
      </c>
      <c r="O5845" t="s">
        <v>53</v>
      </c>
      <c r="P5845" t="s">
        <v>53</v>
      </c>
      <c r="Q5845" t="s">
        <v>53</v>
      </c>
    </row>
    <row r="5846" spans="1:17" x14ac:dyDescent="0.2">
      <c r="A5846" s="30" t="str">
        <f>IF(C5846&amp;G5846&amp;D5846&lt;&gt;'Funnel setup'!$K$3&amp;'Funnel setup'!$K$4&amp;'Funnel setup'!$K$5,".",IF(A5845=".",1,A5845+1))</f>
        <v>.</v>
      </c>
      <c r="B5846" s="431" t="str">
        <f t="shared" si="91"/>
        <v>Knee Replacement RevisionProviderSHREWSBURY AND TELFORD HOSPITAL NHS TRUST (RXW)EQ VAS</v>
      </c>
      <c r="C5846" t="s">
        <v>250</v>
      </c>
      <c r="D5846" t="s">
        <v>1</v>
      </c>
      <c r="E5846" t="s">
        <v>3478</v>
      </c>
      <c r="F5846" t="s">
        <v>3479</v>
      </c>
      <c r="G5846" t="s">
        <v>179</v>
      </c>
      <c r="H5846" t="s">
        <v>53</v>
      </c>
      <c r="I5846" t="s">
        <v>53</v>
      </c>
      <c r="J5846" t="s">
        <v>53</v>
      </c>
      <c r="K5846" t="s">
        <v>53</v>
      </c>
      <c r="L5846" t="s">
        <v>53</v>
      </c>
      <c r="M5846" t="s">
        <v>53</v>
      </c>
      <c r="N5846" t="s">
        <v>53</v>
      </c>
      <c r="O5846" t="s">
        <v>53</v>
      </c>
      <c r="P5846" t="s">
        <v>53</v>
      </c>
      <c r="Q5846" t="s">
        <v>53</v>
      </c>
    </row>
    <row r="5847" spans="1:17" x14ac:dyDescent="0.2">
      <c r="A5847" s="30" t="str">
        <f>IF(C5847&amp;G5847&amp;D5847&lt;&gt;'Funnel setup'!$K$3&amp;'Funnel setup'!$K$4&amp;'Funnel setup'!$K$5,".",IF(A5846=".",1,A5846+1))</f>
        <v>.</v>
      </c>
      <c r="B5847" s="431" t="str">
        <f t="shared" si="91"/>
        <v>Knee Replacement RevisionProviderSOUTH TEES HOSPITALS NHS FOUNDATION TRUST (RTR)EQ VAS</v>
      </c>
      <c r="C5847" t="s">
        <v>250</v>
      </c>
      <c r="D5847" t="s">
        <v>1</v>
      </c>
      <c r="E5847" t="s">
        <v>3482</v>
      </c>
      <c r="F5847" t="s">
        <v>3483</v>
      </c>
      <c r="G5847" t="s">
        <v>179</v>
      </c>
      <c r="H5847">
        <v>14</v>
      </c>
      <c r="I5847">
        <v>64.856999999999999</v>
      </c>
      <c r="J5847">
        <v>67.143000000000001</v>
      </c>
      <c r="K5847">
        <v>2.286</v>
      </c>
      <c r="L5847">
        <v>5</v>
      </c>
      <c r="M5847">
        <v>5</v>
      </c>
      <c r="N5847">
        <v>4</v>
      </c>
      <c r="O5847" t="s">
        <v>53</v>
      </c>
      <c r="P5847" t="s">
        <v>53</v>
      </c>
      <c r="Q5847" t="s">
        <v>53</v>
      </c>
    </row>
    <row r="5848" spans="1:17" x14ac:dyDescent="0.2">
      <c r="A5848" s="30" t="str">
        <f>IF(C5848&amp;G5848&amp;D5848&lt;&gt;'Funnel setup'!$K$3&amp;'Funnel setup'!$K$4&amp;'Funnel setup'!$K$5,".",IF(A5847=".",1,A5847+1))</f>
        <v>.</v>
      </c>
      <c r="B5848" s="431" t="str">
        <f t="shared" si="91"/>
        <v>Knee Replacement RevisionProviderSOUTH TYNESIDE NHS FOUNDATION TRUST (RE9)EQ VAS</v>
      </c>
      <c r="C5848" t="s">
        <v>250</v>
      </c>
      <c r="D5848" t="s">
        <v>1</v>
      </c>
      <c r="E5848" t="s">
        <v>3485</v>
      </c>
      <c r="F5848" t="s">
        <v>3486</v>
      </c>
      <c r="G5848" t="s">
        <v>179</v>
      </c>
      <c r="H5848" t="s">
        <v>53</v>
      </c>
      <c r="I5848" t="s">
        <v>53</v>
      </c>
      <c r="J5848" t="s">
        <v>53</v>
      </c>
      <c r="K5848" t="s">
        <v>53</v>
      </c>
      <c r="L5848" t="s">
        <v>53</v>
      </c>
      <c r="M5848" t="s">
        <v>53</v>
      </c>
      <c r="N5848" t="s">
        <v>53</v>
      </c>
      <c r="O5848" t="s">
        <v>53</v>
      </c>
      <c r="P5848" t="s">
        <v>53</v>
      </c>
      <c r="Q5848" t="s">
        <v>53</v>
      </c>
    </row>
    <row r="5849" spans="1:17" x14ac:dyDescent="0.2">
      <c r="A5849" s="30" t="str">
        <f>IF(C5849&amp;G5849&amp;D5849&lt;&gt;'Funnel setup'!$K$3&amp;'Funnel setup'!$K$4&amp;'Funnel setup'!$K$5,".",IF(A5848=".",1,A5848+1))</f>
        <v>.</v>
      </c>
      <c r="B5849" s="431" t="str">
        <f t="shared" si="91"/>
        <v>Knee Replacement RevisionProviderSOUTH WARWICKSHIRE NHS FOUNDATION TRUST (RJC)EQ VAS</v>
      </c>
      <c r="C5849" t="s">
        <v>250</v>
      </c>
      <c r="D5849" t="s">
        <v>1</v>
      </c>
      <c r="E5849" t="s">
        <v>3421</v>
      </c>
      <c r="F5849" t="s">
        <v>3422</v>
      </c>
      <c r="G5849" t="s">
        <v>179</v>
      </c>
      <c r="H5849">
        <v>9</v>
      </c>
      <c r="I5849">
        <v>63.444000000000003</v>
      </c>
      <c r="J5849">
        <v>63.777999999999999</v>
      </c>
      <c r="K5849">
        <v>0.33300000000000002</v>
      </c>
      <c r="L5849">
        <v>3</v>
      </c>
      <c r="M5849">
        <v>0</v>
      </c>
      <c r="N5849">
        <v>6</v>
      </c>
      <c r="O5849" t="s">
        <v>53</v>
      </c>
      <c r="P5849" t="s">
        <v>53</v>
      </c>
      <c r="Q5849" t="s">
        <v>53</v>
      </c>
    </row>
    <row r="5850" spans="1:17" x14ac:dyDescent="0.2">
      <c r="A5850" s="30" t="str">
        <f>IF(C5850&amp;G5850&amp;D5850&lt;&gt;'Funnel setup'!$K$3&amp;'Funnel setup'!$K$4&amp;'Funnel setup'!$K$5,".",IF(A5849=".",1,A5849+1))</f>
        <v>.</v>
      </c>
      <c r="B5850" s="431" t="str">
        <f t="shared" si="91"/>
        <v>Knee Replacement RevisionProviderSOUTHAMPTON NHS TREATMENT CENTRE (NTP11)EQ VAS</v>
      </c>
      <c r="C5850" t="s">
        <v>250</v>
      </c>
      <c r="D5850" t="s">
        <v>1</v>
      </c>
      <c r="E5850" t="s">
        <v>3424</v>
      </c>
      <c r="F5850" t="s">
        <v>3425</v>
      </c>
      <c r="G5850" t="s">
        <v>179</v>
      </c>
      <c r="H5850" t="s">
        <v>53</v>
      </c>
      <c r="I5850" t="s">
        <v>53</v>
      </c>
      <c r="J5850" t="s">
        <v>53</v>
      </c>
      <c r="K5850" t="s">
        <v>53</v>
      </c>
      <c r="L5850" t="s">
        <v>53</v>
      </c>
      <c r="M5850" t="s">
        <v>53</v>
      </c>
      <c r="N5850" t="s">
        <v>53</v>
      </c>
      <c r="O5850" t="s">
        <v>53</v>
      </c>
      <c r="P5850" t="s">
        <v>53</v>
      </c>
      <c r="Q5850" t="s">
        <v>53</v>
      </c>
    </row>
    <row r="5851" spans="1:17" x14ac:dyDescent="0.2">
      <c r="A5851" s="30" t="str">
        <f>IF(C5851&amp;G5851&amp;D5851&lt;&gt;'Funnel setup'!$K$3&amp;'Funnel setup'!$K$4&amp;'Funnel setup'!$K$5,".",IF(A5850=".",1,A5850+1))</f>
        <v>.</v>
      </c>
      <c r="B5851" s="431" t="str">
        <f t="shared" si="91"/>
        <v>Knee Replacement RevisionProviderSOUTHEND UNIVERSITY HOSPITAL NHS FOUNDATION TRUST (RAJ)EQ VAS</v>
      </c>
      <c r="C5851" t="s">
        <v>250</v>
      </c>
      <c r="D5851" t="s">
        <v>1</v>
      </c>
      <c r="E5851" t="s">
        <v>3427</v>
      </c>
      <c r="F5851" t="s">
        <v>3428</v>
      </c>
      <c r="G5851" t="s">
        <v>179</v>
      </c>
      <c r="H5851" t="s">
        <v>53</v>
      </c>
      <c r="I5851" t="s">
        <v>53</v>
      </c>
      <c r="J5851" t="s">
        <v>53</v>
      </c>
      <c r="K5851" t="s">
        <v>53</v>
      </c>
      <c r="L5851" t="s">
        <v>53</v>
      </c>
      <c r="M5851" t="s">
        <v>53</v>
      </c>
      <c r="N5851" t="s">
        <v>53</v>
      </c>
      <c r="O5851" t="s">
        <v>53</v>
      </c>
      <c r="P5851" t="s">
        <v>53</v>
      </c>
      <c r="Q5851" t="s">
        <v>53</v>
      </c>
    </row>
    <row r="5852" spans="1:17" x14ac:dyDescent="0.2">
      <c r="A5852" s="30" t="str">
        <f>IF(C5852&amp;G5852&amp;D5852&lt;&gt;'Funnel setup'!$K$3&amp;'Funnel setup'!$K$4&amp;'Funnel setup'!$K$5,".",IF(A5851=".",1,A5851+1))</f>
        <v>.</v>
      </c>
      <c r="B5852" s="431" t="str">
        <f t="shared" si="91"/>
        <v>Knee Replacement RevisionProviderSOUTHPORT AND ORMSKIRK HOSPITAL NHS TRUST (RVY)EQ VAS</v>
      </c>
      <c r="C5852" t="s">
        <v>250</v>
      </c>
      <c r="D5852" t="s">
        <v>1</v>
      </c>
      <c r="E5852" t="s">
        <v>3430</v>
      </c>
      <c r="F5852" t="s">
        <v>3431</v>
      </c>
      <c r="G5852" t="s">
        <v>179</v>
      </c>
      <c r="H5852" t="s">
        <v>53</v>
      </c>
      <c r="I5852" t="s">
        <v>53</v>
      </c>
      <c r="J5852" t="s">
        <v>53</v>
      </c>
      <c r="K5852" t="s">
        <v>53</v>
      </c>
      <c r="L5852" t="s">
        <v>53</v>
      </c>
      <c r="M5852" t="s">
        <v>53</v>
      </c>
      <c r="N5852" t="s">
        <v>53</v>
      </c>
      <c r="O5852" t="s">
        <v>53</v>
      </c>
      <c r="P5852" t="s">
        <v>53</v>
      </c>
      <c r="Q5852" t="s">
        <v>53</v>
      </c>
    </row>
    <row r="5853" spans="1:17" x14ac:dyDescent="0.2">
      <c r="A5853" s="30" t="str">
        <f>IF(C5853&amp;G5853&amp;D5853&lt;&gt;'Funnel setup'!$K$3&amp;'Funnel setup'!$K$4&amp;'Funnel setup'!$K$5,".",IF(A5852=".",1,A5852+1))</f>
        <v>.</v>
      </c>
      <c r="B5853" s="431" t="str">
        <f t="shared" si="91"/>
        <v>Knee Replacement RevisionProviderSPIRE ALEXANDRA HOSPITAL (NT312)EQ VAS</v>
      </c>
      <c r="C5853" t="s">
        <v>250</v>
      </c>
      <c r="D5853" t="s">
        <v>1</v>
      </c>
      <c r="E5853" t="s">
        <v>3433</v>
      </c>
      <c r="F5853" t="s">
        <v>3434</v>
      </c>
      <c r="G5853" t="s">
        <v>179</v>
      </c>
      <c r="H5853" t="s">
        <v>53</v>
      </c>
      <c r="I5853" t="s">
        <v>53</v>
      </c>
      <c r="J5853" t="s">
        <v>53</v>
      </c>
      <c r="K5853" t="s">
        <v>53</v>
      </c>
      <c r="L5853" t="s">
        <v>53</v>
      </c>
      <c r="M5853" t="s">
        <v>53</v>
      </c>
      <c r="N5853" t="s">
        <v>53</v>
      </c>
      <c r="O5853" t="s">
        <v>53</v>
      </c>
      <c r="P5853" t="s">
        <v>53</v>
      </c>
      <c r="Q5853" t="s">
        <v>53</v>
      </c>
    </row>
    <row r="5854" spans="1:17" x14ac:dyDescent="0.2">
      <c r="A5854" s="30" t="str">
        <f>IF(C5854&amp;G5854&amp;D5854&lt;&gt;'Funnel setup'!$K$3&amp;'Funnel setup'!$K$4&amp;'Funnel setup'!$K$5,".",IF(A5853=".",1,A5853+1))</f>
        <v>.</v>
      </c>
      <c r="B5854" s="431" t="str">
        <f t="shared" si="91"/>
        <v>Knee Replacement RevisionProviderSPIRE ELLAND HOSPITAL (NT348)EQ VAS</v>
      </c>
      <c r="C5854" t="s">
        <v>250</v>
      </c>
      <c r="D5854" t="s">
        <v>1</v>
      </c>
      <c r="E5854" t="s">
        <v>3418</v>
      </c>
      <c r="F5854" t="s">
        <v>3419</v>
      </c>
      <c r="G5854" t="s">
        <v>179</v>
      </c>
      <c r="H5854" t="s">
        <v>53</v>
      </c>
      <c r="I5854" t="s">
        <v>53</v>
      </c>
      <c r="J5854" t="s">
        <v>53</v>
      </c>
      <c r="K5854" t="s">
        <v>53</v>
      </c>
      <c r="L5854" t="s">
        <v>53</v>
      </c>
      <c r="M5854" t="s">
        <v>53</v>
      </c>
      <c r="N5854" t="s">
        <v>53</v>
      </c>
      <c r="O5854" t="s">
        <v>53</v>
      </c>
      <c r="P5854" t="s">
        <v>53</v>
      </c>
      <c r="Q5854" t="s">
        <v>53</v>
      </c>
    </row>
    <row r="5855" spans="1:17" x14ac:dyDescent="0.2">
      <c r="A5855" s="30" t="str">
        <f>IF(C5855&amp;G5855&amp;D5855&lt;&gt;'Funnel setup'!$K$3&amp;'Funnel setup'!$K$4&amp;'Funnel setup'!$K$5,".",IF(A5854=".",1,A5854+1))</f>
        <v>.</v>
      </c>
      <c r="B5855" s="431" t="str">
        <f t="shared" si="91"/>
        <v>Knee Replacement RevisionProviderSPIRE FYLDE COAST HOSPITAL (NT347)EQ VAS</v>
      </c>
      <c r="C5855" t="s">
        <v>250</v>
      </c>
      <c r="D5855" t="s">
        <v>1</v>
      </c>
      <c r="E5855" t="s">
        <v>4370</v>
      </c>
      <c r="F5855" t="s">
        <v>4371</v>
      </c>
      <c r="G5855" t="s">
        <v>179</v>
      </c>
      <c r="H5855" t="s">
        <v>53</v>
      </c>
      <c r="I5855" t="s">
        <v>53</v>
      </c>
      <c r="J5855" t="s">
        <v>53</v>
      </c>
      <c r="K5855" t="s">
        <v>53</v>
      </c>
      <c r="L5855" t="s">
        <v>53</v>
      </c>
      <c r="M5855" t="s">
        <v>53</v>
      </c>
      <c r="N5855" t="s">
        <v>53</v>
      </c>
      <c r="O5855" t="s">
        <v>53</v>
      </c>
      <c r="P5855" t="s">
        <v>53</v>
      </c>
      <c r="Q5855" t="s">
        <v>53</v>
      </c>
    </row>
    <row r="5856" spans="1:17" x14ac:dyDescent="0.2">
      <c r="A5856" s="30" t="str">
        <f>IF(C5856&amp;G5856&amp;D5856&lt;&gt;'Funnel setup'!$K$3&amp;'Funnel setup'!$K$4&amp;'Funnel setup'!$K$5,".",IF(A5855=".",1,A5855+1))</f>
        <v>.</v>
      </c>
      <c r="B5856" s="431" t="str">
        <f t="shared" si="91"/>
        <v>Knee Replacement RevisionProviderSPIRE HARPENDEN HOSPITAL (NT316)EQ VAS</v>
      </c>
      <c r="C5856" t="s">
        <v>250</v>
      </c>
      <c r="D5856" t="s">
        <v>1</v>
      </c>
      <c r="E5856" t="s">
        <v>4267</v>
      </c>
      <c r="F5856" t="s">
        <v>4268</v>
      </c>
      <c r="G5856" t="s">
        <v>179</v>
      </c>
      <c r="H5856" t="s">
        <v>53</v>
      </c>
      <c r="I5856" t="s">
        <v>53</v>
      </c>
      <c r="J5856" t="s">
        <v>53</v>
      </c>
      <c r="K5856" t="s">
        <v>53</v>
      </c>
      <c r="L5856" t="s">
        <v>53</v>
      </c>
      <c r="M5856" t="s">
        <v>53</v>
      </c>
      <c r="N5856" t="s">
        <v>53</v>
      </c>
      <c r="O5856" t="s">
        <v>53</v>
      </c>
      <c r="P5856" t="s">
        <v>53</v>
      </c>
      <c r="Q5856" t="s">
        <v>53</v>
      </c>
    </row>
    <row r="5857" spans="1:17" x14ac:dyDescent="0.2">
      <c r="A5857" s="30" t="str">
        <f>IF(C5857&amp;G5857&amp;D5857&lt;&gt;'Funnel setup'!$K$3&amp;'Funnel setup'!$K$4&amp;'Funnel setup'!$K$5,".",IF(A5856=".",1,A5856+1))</f>
        <v>.</v>
      </c>
      <c r="B5857" s="431" t="str">
        <f t="shared" si="91"/>
        <v>Knee Replacement RevisionProviderSPIRE HULL AND EAST RIDING HOSPITAL (NT351)EQ VAS</v>
      </c>
      <c r="C5857" t="s">
        <v>250</v>
      </c>
      <c r="D5857" t="s">
        <v>1</v>
      </c>
      <c r="E5857" t="s">
        <v>3213</v>
      </c>
      <c r="F5857" t="s">
        <v>3214</v>
      </c>
      <c r="G5857" t="s">
        <v>179</v>
      </c>
      <c r="H5857" t="s">
        <v>53</v>
      </c>
      <c r="I5857" t="s">
        <v>53</v>
      </c>
      <c r="J5857" t="s">
        <v>53</v>
      </c>
      <c r="K5857" t="s">
        <v>53</v>
      </c>
      <c r="L5857" t="s">
        <v>53</v>
      </c>
      <c r="M5857" t="s">
        <v>53</v>
      </c>
      <c r="N5857" t="s">
        <v>53</v>
      </c>
      <c r="O5857" t="s">
        <v>53</v>
      </c>
      <c r="P5857" t="s">
        <v>53</v>
      </c>
      <c r="Q5857" t="s">
        <v>53</v>
      </c>
    </row>
    <row r="5858" spans="1:17" x14ac:dyDescent="0.2">
      <c r="A5858" s="30" t="str">
        <f>IF(C5858&amp;G5858&amp;D5858&lt;&gt;'Funnel setup'!$K$3&amp;'Funnel setup'!$K$4&amp;'Funnel setup'!$K$5,".",IF(A5857=".",1,A5857+1))</f>
        <v>.</v>
      </c>
      <c r="B5858" s="431" t="str">
        <f t="shared" si="91"/>
        <v>Knee Replacement RevisionProviderSPIRE LEEDS HOSPITAL (NT332)EQ VAS</v>
      </c>
      <c r="C5858" t="s">
        <v>250</v>
      </c>
      <c r="D5858" t="s">
        <v>1</v>
      </c>
      <c r="E5858" t="s">
        <v>3198</v>
      </c>
      <c r="F5858" t="s">
        <v>3199</v>
      </c>
      <c r="G5858" t="s">
        <v>179</v>
      </c>
      <c r="H5858" t="s">
        <v>53</v>
      </c>
      <c r="I5858" t="s">
        <v>53</v>
      </c>
      <c r="J5858" t="s">
        <v>53</v>
      </c>
      <c r="K5858" t="s">
        <v>53</v>
      </c>
      <c r="L5858" t="s">
        <v>53</v>
      </c>
      <c r="M5858" t="s">
        <v>53</v>
      </c>
      <c r="N5858" t="s">
        <v>53</v>
      </c>
      <c r="O5858" t="s">
        <v>53</v>
      </c>
      <c r="P5858" t="s">
        <v>53</v>
      </c>
      <c r="Q5858" t="s">
        <v>53</v>
      </c>
    </row>
    <row r="5859" spans="1:17" x14ac:dyDescent="0.2">
      <c r="A5859" s="30" t="str">
        <f>IF(C5859&amp;G5859&amp;D5859&lt;&gt;'Funnel setup'!$K$3&amp;'Funnel setup'!$K$4&amp;'Funnel setup'!$K$5,".",IF(A5858=".",1,A5858+1))</f>
        <v>.</v>
      </c>
      <c r="B5859" s="431" t="str">
        <f t="shared" si="91"/>
        <v>Knee Replacement RevisionProviderSPIRE MONTEFIORE HOSPITAL (NT364)EQ VAS</v>
      </c>
      <c r="C5859" t="s">
        <v>250</v>
      </c>
      <c r="D5859" t="s">
        <v>1</v>
      </c>
      <c r="E5859" t="s">
        <v>3160</v>
      </c>
      <c r="F5859" t="s">
        <v>3161</v>
      </c>
      <c r="G5859" t="s">
        <v>179</v>
      </c>
      <c r="H5859" t="s">
        <v>53</v>
      </c>
      <c r="I5859" t="s">
        <v>53</v>
      </c>
      <c r="J5859" t="s">
        <v>53</v>
      </c>
      <c r="K5859" t="s">
        <v>53</v>
      </c>
      <c r="L5859" t="s">
        <v>53</v>
      </c>
      <c r="M5859" t="s">
        <v>53</v>
      </c>
      <c r="N5859" t="s">
        <v>53</v>
      </c>
      <c r="O5859" t="s">
        <v>53</v>
      </c>
      <c r="P5859" t="s">
        <v>53</v>
      </c>
      <c r="Q5859" t="s">
        <v>53</v>
      </c>
    </row>
    <row r="5860" spans="1:17" x14ac:dyDescent="0.2">
      <c r="A5860" s="30" t="str">
        <f>IF(C5860&amp;G5860&amp;D5860&lt;&gt;'Funnel setup'!$K$3&amp;'Funnel setup'!$K$4&amp;'Funnel setup'!$K$5,".",IF(A5859=".",1,A5859+1))</f>
        <v>.</v>
      </c>
      <c r="B5860" s="431" t="str">
        <f t="shared" si="91"/>
        <v>Knee Replacement RevisionProviderSPIRE NORWICH HOSPITAL (NT318)EQ VAS</v>
      </c>
      <c r="C5860" t="s">
        <v>250</v>
      </c>
      <c r="D5860" t="s">
        <v>1</v>
      </c>
      <c r="E5860" t="s">
        <v>4251</v>
      </c>
      <c r="F5860" t="s">
        <v>4252</v>
      </c>
      <c r="G5860" t="s">
        <v>179</v>
      </c>
      <c r="H5860" t="s">
        <v>53</v>
      </c>
      <c r="I5860" t="s">
        <v>53</v>
      </c>
      <c r="J5860" t="s">
        <v>53</v>
      </c>
      <c r="K5860" t="s">
        <v>53</v>
      </c>
      <c r="L5860" t="s">
        <v>53</v>
      </c>
      <c r="M5860" t="s">
        <v>53</v>
      </c>
      <c r="N5860" t="s">
        <v>53</v>
      </c>
      <c r="O5860" t="s">
        <v>53</v>
      </c>
      <c r="P5860" t="s">
        <v>53</v>
      </c>
      <c r="Q5860" t="s">
        <v>53</v>
      </c>
    </row>
    <row r="5861" spans="1:17" x14ac:dyDescent="0.2">
      <c r="A5861" s="30" t="str">
        <f>IF(C5861&amp;G5861&amp;D5861&lt;&gt;'Funnel setup'!$K$3&amp;'Funnel setup'!$K$4&amp;'Funnel setup'!$K$5,".",IF(A5860=".",1,A5860+1))</f>
        <v>.</v>
      </c>
      <c r="B5861" s="431" t="str">
        <f t="shared" si="91"/>
        <v>Knee Replacement RevisionProviderSPIRE SOUTH BANK HOSPITAL (NT301)EQ VAS</v>
      </c>
      <c r="C5861" t="s">
        <v>250</v>
      </c>
      <c r="D5861" t="s">
        <v>1</v>
      </c>
      <c r="E5861" t="s">
        <v>3174</v>
      </c>
      <c r="F5861" t="s">
        <v>3175</v>
      </c>
      <c r="G5861" t="s">
        <v>179</v>
      </c>
      <c r="H5861" t="s">
        <v>53</v>
      </c>
      <c r="I5861" t="s">
        <v>53</v>
      </c>
      <c r="J5861" t="s">
        <v>53</v>
      </c>
      <c r="K5861" t="s">
        <v>53</v>
      </c>
      <c r="L5861" t="s">
        <v>53</v>
      </c>
      <c r="M5861" t="s">
        <v>53</v>
      </c>
      <c r="N5861" t="s">
        <v>53</v>
      </c>
      <c r="O5861" t="s">
        <v>53</v>
      </c>
      <c r="P5861" t="s">
        <v>53</v>
      </c>
      <c r="Q5861" t="s">
        <v>53</v>
      </c>
    </row>
    <row r="5862" spans="1:17" x14ac:dyDescent="0.2">
      <c r="A5862" s="30" t="str">
        <f>IF(C5862&amp;G5862&amp;D5862&lt;&gt;'Funnel setup'!$K$3&amp;'Funnel setup'!$K$4&amp;'Funnel setup'!$K$5,".",IF(A5861=".",1,A5861+1))</f>
        <v>.</v>
      </c>
      <c r="B5862" s="431" t="str">
        <f t="shared" si="91"/>
        <v>Knee Replacement RevisionProviderSPIRE SUSSEX HOSPITAL (NT309)EQ VAS</v>
      </c>
      <c r="C5862" t="s">
        <v>250</v>
      </c>
      <c r="D5862" t="s">
        <v>1</v>
      </c>
      <c r="E5862" t="s">
        <v>3180</v>
      </c>
      <c r="F5862" t="s">
        <v>3181</v>
      </c>
      <c r="G5862" t="s">
        <v>179</v>
      </c>
      <c r="H5862" t="s">
        <v>53</v>
      </c>
      <c r="I5862" t="s">
        <v>53</v>
      </c>
      <c r="J5862" t="s">
        <v>53</v>
      </c>
      <c r="K5862" t="s">
        <v>53</v>
      </c>
      <c r="L5862" t="s">
        <v>53</v>
      </c>
      <c r="M5862" t="s">
        <v>53</v>
      </c>
      <c r="N5862" t="s">
        <v>53</v>
      </c>
      <c r="O5862" t="s">
        <v>53</v>
      </c>
      <c r="P5862" t="s">
        <v>53</v>
      </c>
      <c r="Q5862" t="s">
        <v>53</v>
      </c>
    </row>
    <row r="5863" spans="1:17" x14ac:dyDescent="0.2">
      <c r="A5863" s="30" t="str">
        <f>IF(C5863&amp;G5863&amp;D5863&lt;&gt;'Funnel setup'!$K$3&amp;'Funnel setup'!$K$4&amp;'Funnel setup'!$K$5,".",IF(A5862=".",1,A5862+1))</f>
        <v>.</v>
      </c>
      <c r="B5863" s="431" t="str">
        <f t="shared" si="91"/>
        <v>Knee Replacement RevisionProviderSPIRE WELLESLEY HOSPITAL (NT313)EQ VAS</v>
      </c>
      <c r="C5863" t="s">
        <v>250</v>
      </c>
      <c r="D5863" t="s">
        <v>1</v>
      </c>
      <c r="E5863" t="s">
        <v>3192</v>
      </c>
      <c r="F5863" t="s">
        <v>3193</v>
      </c>
      <c r="G5863" t="s">
        <v>179</v>
      </c>
      <c r="H5863" t="s">
        <v>53</v>
      </c>
      <c r="I5863" t="s">
        <v>53</v>
      </c>
      <c r="J5863" t="s">
        <v>53</v>
      </c>
      <c r="K5863" t="s">
        <v>53</v>
      </c>
      <c r="L5863" t="s">
        <v>53</v>
      </c>
      <c r="M5863" t="s">
        <v>53</v>
      </c>
      <c r="N5863" t="s">
        <v>53</v>
      </c>
      <c r="O5863" t="s">
        <v>53</v>
      </c>
      <c r="P5863" t="s">
        <v>53</v>
      </c>
      <c r="Q5863" t="s">
        <v>53</v>
      </c>
    </row>
    <row r="5864" spans="1:17" x14ac:dyDescent="0.2">
      <c r="A5864" s="30" t="str">
        <f>IF(C5864&amp;G5864&amp;D5864&lt;&gt;'Funnel setup'!$K$3&amp;'Funnel setup'!$K$4&amp;'Funnel setup'!$K$5,".",IF(A5863=".",1,A5863+1))</f>
        <v>.</v>
      </c>
      <c r="B5864" s="431" t="str">
        <f t="shared" si="91"/>
        <v>Knee Replacement RevisionProviderST GEORGE'S UNIVERSITY HOSPITALS NHS FOUNDATION TRUST (RJ7)EQ VAS</v>
      </c>
      <c r="C5864" t="s">
        <v>250</v>
      </c>
      <c r="D5864" t="s">
        <v>1</v>
      </c>
      <c r="E5864" t="s">
        <v>3124</v>
      </c>
      <c r="F5864" t="s">
        <v>3125</v>
      </c>
      <c r="G5864" t="s">
        <v>179</v>
      </c>
      <c r="H5864" t="s">
        <v>53</v>
      </c>
      <c r="I5864" t="s">
        <v>53</v>
      </c>
      <c r="J5864" t="s">
        <v>53</v>
      </c>
      <c r="K5864" t="s">
        <v>53</v>
      </c>
      <c r="L5864" t="s">
        <v>53</v>
      </c>
      <c r="M5864" t="s">
        <v>53</v>
      </c>
      <c r="N5864" t="s">
        <v>53</v>
      </c>
      <c r="O5864" t="s">
        <v>53</v>
      </c>
      <c r="P5864" t="s">
        <v>53</v>
      </c>
      <c r="Q5864" t="s">
        <v>53</v>
      </c>
    </row>
    <row r="5865" spans="1:17" x14ac:dyDescent="0.2">
      <c r="A5865" s="30" t="str">
        <f>IF(C5865&amp;G5865&amp;D5865&lt;&gt;'Funnel setup'!$K$3&amp;'Funnel setup'!$K$4&amp;'Funnel setup'!$K$5,".",IF(A5864=".",1,A5864+1))</f>
        <v>.</v>
      </c>
      <c r="B5865" s="431" t="str">
        <f t="shared" si="91"/>
        <v>Knee Replacement RevisionProviderST HELENS AND KNOWSLEY HOSPITALS NHS TRUST (RBN)EQ VAS</v>
      </c>
      <c r="C5865" t="s">
        <v>250</v>
      </c>
      <c r="D5865" t="s">
        <v>1</v>
      </c>
      <c r="E5865" t="s">
        <v>3127</v>
      </c>
      <c r="F5865" t="s">
        <v>3128</v>
      </c>
      <c r="G5865" t="s">
        <v>179</v>
      </c>
      <c r="H5865">
        <v>9</v>
      </c>
      <c r="I5865">
        <v>62.667000000000002</v>
      </c>
      <c r="J5865">
        <v>65.111000000000004</v>
      </c>
      <c r="K5865">
        <v>2.444</v>
      </c>
      <c r="L5865">
        <v>3</v>
      </c>
      <c r="M5865">
        <v>2</v>
      </c>
      <c r="N5865">
        <v>4</v>
      </c>
      <c r="O5865" t="s">
        <v>53</v>
      </c>
      <c r="P5865" t="s">
        <v>53</v>
      </c>
      <c r="Q5865" t="s">
        <v>53</v>
      </c>
    </row>
    <row r="5866" spans="1:17" x14ac:dyDescent="0.2">
      <c r="A5866" s="30" t="str">
        <f>IF(C5866&amp;G5866&amp;D5866&lt;&gt;'Funnel setup'!$K$3&amp;'Funnel setup'!$K$4&amp;'Funnel setup'!$K$5,".",IF(A5865=".",1,A5865+1))</f>
        <v>.</v>
      </c>
      <c r="B5866" s="431" t="str">
        <f t="shared" si="91"/>
        <v>Knee Replacement RevisionProviderST HUGH'S HOSPITAL (NTE02)EQ VAS</v>
      </c>
      <c r="C5866" t="s">
        <v>250</v>
      </c>
      <c r="D5866" t="s">
        <v>1</v>
      </c>
      <c r="E5866" t="s">
        <v>3130</v>
      </c>
      <c r="F5866" t="s">
        <v>3131</v>
      </c>
      <c r="G5866" t="s">
        <v>179</v>
      </c>
      <c r="H5866" t="s">
        <v>53</v>
      </c>
      <c r="I5866" t="s">
        <v>53</v>
      </c>
      <c r="J5866" t="s">
        <v>53</v>
      </c>
      <c r="K5866" t="s">
        <v>53</v>
      </c>
      <c r="L5866" t="s">
        <v>53</v>
      </c>
      <c r="M5866" t="s">
        <v>53</v>
      </c>
      <c r="N5866" t="s">
        <v>53</v>
      </c>
      <c r="O5866" t="s">
        <v>53</v>
      </c>
      <c r="P5866" t="s">
        <v>53</v>
      </c>
      <c r="Q5866" t="s">
        <v>53</v>
      </c>
    </row>
    <row r="5867" spans="1:17" x14ac:dyDescent="0.2">
      <c r="A5867" s="30" t="str">
        <f>IF(C5867&amp;G5867&amp;D5867&lt;&gt;'Funnel setup'!$K$3&amp;'Funnel setup'!$K$4&amp;'Funnel setup'!$K$5,".",IF(A5866=".",1,A5866+1))</f>
        <v>.</v>
      </c>
      <c r="B5867" s="431" t="str">
        <f t="shared" si="91"/>
        <v>Knee Replacement RevisionProviderSTOCKPORT NHS FOUNDATION TRUST (RWJ)EQ VAS</v>
      </c>
      <c r="C5867" t="s">
        <v>250</v>
      </c>
      <c r="D5867" t="s">
        <v>1</v>
      </c>
      <c r="E5867" t="s">
        <v>3142</v>
      </c>
      <c r="F5867" t="s">
        <v>3143</v>
      </c>
      <c r="G5867" t="s">
        <v>179</v>
      </c>
      <c r="H5867">
        <v>10</v>
      </c>
      <c r="I5867">
        <v>59.9</v>
      </c>
      <c r="J5867">
        <v>71</v>
      </c>
      <c r="K5867">
        <v>11.1</v>
      </c>
      <c r="L5867">
        <v>5</v>
      </c>
      <c r="M5867">
        <v>3</v>
      </c>
      <c r="N5867">
        <v>2</v>
      </c>
      <c r="O5867" t="s">
        <v>53</v>
      </c>
      <c r="P5867" t="s">
        <v>53</v>
      </c>
      <c r="Q5867" t="s">
        <v>53</v>
      </c>
    </row>
    <row r="5868" spans="1:17" x14ac:dyDescent="0.2">
      <c r="A5868" s="30" t="str">
        <f>IF(C5868&amp;G5868&amp;D5868&lt;&gt;'Funnel setup'!$K$3&amp;'Funnel setup'!$K$4&amp;'Funnel setup'!$K$5,".",IF(A5867=".",1,A5867+1))</f>
        <v>.</v>
      </c>
      <c r="B5868" s="431" t="str">
        <f t="shared" si="91"/>
        <v>Knee Replacement RevisionProviderSURREY AND SUSSEX HEALTHCARE NHS TRUST (RTP)EQ VAS</v>
      </c>
      <c r="C5868" t="s">
        <v>250</v>
      </c>
      <c r="D5868" t="s">
        <v>1</v>
      </c>
      <c r="E5868" t="s">
        <v>3145</v>
      </c>
      <c r="F5868" t="s">
        <v>3146</v>
      </c>
      <c r="G5868" t="s">
        <v>179</v>
      </c>
      <c r="H5868" t="s">
        <v>53</v>
      </c>
      <c r="I5868" t="s">
        <v>53</v>
      </c>
      <c r="J5868" t="s">
        <v>53</v>
      </c>
      <c r="K5868" t="s">
        <v>53</v>
      </c>
      <c r="L5868" t="s">
        <v>53</v>
      </c>
      <c r="M5868" t="s">
        <v>53</v>
      </c>
      <c r="N5868" t="s">
        <v>53</v>
      </c>
      <c r="O5868" t="s">
        <v>53</v>
      </c>
      <c r="P5868" t="s">
        <v>53</v>
      </c>
      <c r="Q5868" t="s">
        <v>53</v>
      </c>
    </row>
    <row r="5869" spans="1:17" x14ac:dyDescent="0.2">
      <c r="A5869" s="30" t="str">
        <f>IF(C5869&amp;G5869&amp;D5869&lt;&gt;'Funnel setup'!$K$3&amp;'Funnel setup'!$K$4&amp;'Funnel setup'!$K$5,".",IF(A5868=".",1,A5868+1))</f>
        <v>.</v>
      </c>
      <c r="B5869" s="431" t="str">
        <f t="shared" si="91"/>
        <v>Knee Replacement RevisionProviderTAMESIDE HOSPITAL NHS FOUNDATION TRUST (RMP)EQ VAS</v>
      </c>
      <c r="C5869" t="s">
        <v>250</v>
      </c>
      <c r="D5869" t="s">
        <v>1</v>
      </c>
      <c r="E5869" t="s">
        <v>3148</v>
      </c>
      <c r="F5869" t="s">
        <v>3149</v>
      </c>
      <c r="G5869" t="s">
        <v>179</v>
      </c>
      <c r="H5869" t="s">
        <v>53</v>
      </c>
      <c r="I5869" t="s">
        <v>53</v>
      </c>
      <c r="J5869" t="s">
        <v>53</v>
      </c>
      <c r="K5869" t="s">
        <v>53</v>
      </c>
      <c r="L5869" t="s">
        <v>53</v>
      </c>
      <c r="M5869" t="s">
        <v>53</v>
      </c>
      <c r="N5869" t="s">
        <v>53</v>
      </c>
      <c r="O5869" t="s">
        <v>53</v>
      </c>
      <c r="P5869" t="s">
        <v>53</v>
      </c>
      <c r="Q5869" t="s">
        <v>53</v>
      </c>
    </row>
    <row r="5870" spans="1:17" x14ac:dyDescent="0.2">
      <c r="A5870" s="30" t="str">
        <f>IF(C5870&amp;G5870&amp;D5870&lt;&gt;'Funnel setup'!$K$3&amp;'Funnel setup'!$K$4&amp;'Funnel setup'!$K$5,".",IF(A5869=".",1,A5869+1))</f>
        <v>.</v>
      </c>
      <c r="B5870" s="431" t="str">
        <f t="shared" si="91"/>
        <v>Knee Replacement RevisionProviderTHE DUDLEY GROUP NHS FOUNDATION TRUST (RNA)EQ VAS</v>
      </c>
      <c r="C5870" t="s">
        <v>250</v>
      </c>
      <c r="D5870" t="s">
        <v>1</v>
      </c>
      <c r="E5870" t="s">
        <v>3121</v>
      </c>
      <c r="F5870" t="s">
        <v>3122</v>
      </c>
      <c r="G5870" t="s">
        <v>179</v>
      </c>
      <c r="H5870" t="s">
        <v>53</v>
      </c>
      <c r="I5870" t="s">
        <v>53</v>
      </c>
      <c r="J5870" t="s">
        <v>53</v>
      </c>
      <c r="K5870" t="s">
        <v>53</v>
      </c>
      <c r="L5870" t="s">
        <v>53</v>
      </c>
      <c r="M5870" t="s">
        <v>53</v>
      </c>
      <c r="N5870" t="s">
        <v>53</v>
      </c>
      <c r="O5870" t="s">
        <v>53</v>
      </c>
      <c r="P5870" t="s">
        <v>53</v>
      </c>
      <c r="Q5870" t="s">
        <v>53</v>
      </c>
    </row>
    <row r="5871" spans="1:17" x14ac:dyDescent="0.2">
      <c r="A5871" s="30" t="str">
        <f>IF(C5871&amp;G5871&amp;D5871&lt;&gt;'Funnel setup'!$K$3&amp;'Funnel setup'!$K$4&amp;'Funnel setup'!$K$5,".",IF(A5870=".",1,A5870+1))</f>
        <v>.</v>
      </c>
      <c r="B5871" s="431" t="str">
        <f t="shared" si="91"/>
        <v>Knee Replacement RevisionProviderTHE HILLINGDON HOSPITALS NHS FOUNDATION TRUST (RAS)EQ VAS</v>
      </c>
      <c r="C5871" t="s">
        <v>250</v>
      </c>
      <c r="D5871" t="s">
        <v>1</v>
      </c>
      <c r="E5871" t="s">
        <v>3115</v>
      </c>
      <c r="F5871" t="s">
        <v>3116</v>
      </c>
      <c r="G5871" t="s">
        <v>179</v>
      </c>
      <c r="H5871">
        <v>6</v>
      </c>
      <c r="I5871">
        <v>71.667000000000002</v>
      </c>
      <c r="J5871">
        <v>69</v>
      </c>
      <c r="K5871">
        <v>-2.6669999999999998</v>
      </c>
      <c r="L5871">
        <v>2</v>
      </c>
      <c r="M5871">
        <v>0</v>
      </c>
      <c r="N5871">
        <v>4</v>
      </c>
      <c r="O5871" t="s">
        <v>53</v>
      </c>
      <c r="P5871" t="s">
        <v>53</v>
      </c>
      <c r="Q5871" t="s">
        <v>53</v>
      </c>
    </row>
    <row r="5872" spans="1:17" x14ac:dyDescent="0.2">
      <c r="A5872" s="30" t="str">
        <f>IF(C5872&amp;G5872&amp;D5872&lt;&gt;'Funnel setup'!$K$3&amp;'Funnel setup'!$K$4&amp;'Funnel setup'!$K$5,".",IF(A5871=".",1,A5871+1))</f>
        <v>.</v>
      </c>
      <c r="B5872" s="431" t="str">
        <f t="shared" si="91"/>
        <v>Knee Replacement RevisionProviderTHE HORDER CENTRE - ST JOHNS ROAD (NXM01)EQ VAS</v>
      </c>
      <c r="C5872" t="s">
        <v>250</v>
      </c>
      <c r="D5872" t="s">
        <v>1</v>
      </c>
      <c r="E5872" t="s">
        <v>4222</v>
      </c>
      <c r="F5872" t="s">
        <v>4223</v>
      </c>
      <c r="G5872" t="s">
        <v>179</v>
      </c>
      <c r="H5872">
        <v>20</v>
      </c>
      <c r="I5872">
        <v>78.05</v>
      </c>
      <c r="J5872">
        <v>77.150000000000006</v>
      </c>
      <c r="K5872">
        <v>-0.9</v>
      </c>
      <c r="L5872">
        <v>6</v>
      </c>
      <c r="M5872">
        <v>2</v>
      </c>
      <c r="N5872">
        <v>12</v>
      </c>
      <c r="O5872" t="s">
        <v>53</v>
      </c>
      <c r="P5872" t="s">
        <v>53</v>
      </c>
      <c r="Q5872" t="s">
        <v>53</v>
      </c>
    </row>
    <row r="5873" spans="1:17" x14ac:dyDescent="0.2">
      <c r="A5873" s="30" t="str">
        <f>IF(C5873&amp;G5873&amp;D5873&lt;&gt;'Funnel setup'!$K$3&amp;'Funnel setup'!$K$4&amp;'Funnel setup'!$K$5,".",IF(A5872=".",1,A5872+1))</f>
        <v>.</v>
      </c>
      <c r="B5873" s="431" t="str">
        <f t="shared" si="91"/>
        <v>Knee Replacement RevisionProviderTHE NEWCASTLE UPON TYNE HOSPITALS NHS FOUNDATION TRUST (RTD)EQ VAS</v>
      </c>
      <c r="C5873" t="s">
        <v>250</v>
      </c>
      <c r="D5873" t="s">
        <v>1</v>
      </c>
      <c r="E5873" t="s">
        <v>3748</v>
      </c>
      <c r="F5873" t="s">
        <v>3749</v>
      </c>
      <c r="G5873" t="s">
        <v>179</v>
      </c>
      <c r="H5873">
        <v>17</v>
      </c>
      <c r="I5873">
        <v>63.588000000000001</v>
      </c>
      <c r="J5873">
        <v>65.587999999999994</v>
      </c>
      <c r="K5873">
        <v>2</v>
      </c>
      <c r="L5873">
        <v>9</v>
      </c>
      <c r="M5873">
        <v>2</v>
      </c>
      <c r="N5873">
        <v>6</v>
      </c>
      <c r="O5873" t="s">
        <v>53</v>
      </c>
      <c r="P5873" t="s">
        <v>53</v>
      </c>
      <c r="Q5873" t="s">
        <v>53</v>
      </c>
    </row>
    <row r="5874" spans="1:17" x14ac:dyDescent="0.2">
      <c r="A5874" s="30" t="str">
        <f>IF(C5874&amp;G5874&amp;D5874&lt;&gt;'Funnel setup'!$K$3&amp;'Funnel setup'!$K$4&amp;'Funnel setup'!$K$5,".",IF(A5873=".",1,A5873+1))</f>
        <v>.</v>
      </c>
      <c r="B5874" s="431" t="str">
        <f t="shared" si="91"/>
        <v>Knee Replacement RevisionProviderTHE PRINCESS ALEXANDRA HOSPITAL NHS TRUST (RQW)EQ VAS</v>
      </c>
      <c r="C5874" t="s">
        <v>250</v>
      </c>
      <c r="D5874" t="s">
        <v>1</v>
      </c>
      <c r="E5874" t="s">
        <v>3751</v>
      </c>
      <c r="F5874" t="s">
        <v>3752</v>
      </c>
      <c r="G5874" t="s">
        <v>179</v>
      </c>
      <c r="H5874" t="s">
        <v>53</v>
      </c>
      <c r="I5874" t="s">
        <v>53</v>
      </c>
      <c r="J5874" t="s">
        <v>53</v>
      </c>
      <c r="K5874" t="s">
        <v>53</v>
      </c>
      <c r="L5874" t="s">
        <v>53</v>
      </c>
      <c r="M5874" t="s">
        <v>53</v>
      </c>
      <c r="N5874" t="s">
        <v>53</v>
      </c>
      <c r="O5874" t="s">
        <v>53</v>
      </c>
      <c r="P5874" t="s">
        <v>53</v>
      </c>
      <c r="Q5874" t="s">
        <v>53</v>
      </c>
    </row>
    <row r="5875" spans="1:17" x14ac:dyDescent="0.2">
      <c r="A5875" s="30" t="str">
        <f>IF(C5875&amp;G5875&amp;D5875&lt;&gt;'Funnel setup'!$K$3&amp;'Funnel setup'!$K$4&amp;'Funnel setup'!$K$5,".",IF(A5874=".",1,A5874+1))</f>
        <v>.</v>
      </c>
      <c r="B5875" s="431" t="str">
        <f t="shared" si="91"/>
        <v>Knee Replacement RevisionProviderTHE QUEEN ELIZABETH HOSPITAL, KING'S LYNN, NHS FOUNDATION TRUST (RCX)EQ VAS</v>
      </c>
      <c r="C5875" t="s">
        <v>250</v>
      </c>
      <c r="D5875" t="s">
        <v>1</v>
      </c>
      <c r="E5875" t="s">
        <v>3754</v>
      </c>
      <c r="F5875" t="s">
        <v>3755</v>
      </c>
      <c r="G5875" t="s">
        <v>179</v>
      </c>
      <c r="H5875">
        <v>15</v>
      </c>
      <c r="I5875">
        <v>71</v>
      </c>
      <c r="J5875">
        <v>61.332999999999998</v>
      </c>
      <c r="K5875">
        <v>-9.6669999999999998</v>
      </c>
      <c r="L5875">
        <v>3</v>
      </c>
      <c r="M5875">
        <v>2</v>
      </c>
      <c r="N5875">
        <v>10</v>
      </c>
      <c r="O5875" t="s">
        <v>53</v>
      </c>
      <c r="P5875" t="s">
        <v>53</v>
      </c>
      <c r="Q5875" t="s">
        <v>53</v>
      </c>
    </row>
    <row r="5876" spans="1:17" x14ac:dyDescent="0.2">
      <c r="A5876" s="30" t="str">
        <f>IF(C5876&amp;G5876&amp;D5876&lt;&gt;'Funnel setup'!$K$3&amp;'Funnel setup'!$K$4&amp;'Funnel setup'!$K$5,".",IF(A5875=".",1,A5875+1))</f>
        <v>.</v>
      </c>
      <c r="B5876" s="431" t="str">
        <f t="shared" si="91"/>
        <v>Knee Replacement RevisionProviderTHE ROBERT JONES AND AGNES HUNT ORTHOPAEDIC HOSPITAL NHS FOUNDATION TRUST (RL1)EQ VAS</v>
      </c>
      <c r="C5876" t="s">
        <v>250</v>
      </c>
      <c r="D5876" t="s">
        <v>1</v>
      </c>
      <c r="E5876" t="s">
        <v>4496</v>
      </c>
      <c r="F5876" t="s">
        <v>4497</v>
      </c>
      <c r="G5876" t="s">
        <v>179</v>
      </c>
      <c r="H5876">
        <v>35</v>
      </c>
      <c r="I5876">
        <v>58.656999999999996</v>
      </c>
      <c r="J5876">
        <v>64.771000000000001</v>
      </c>
      <c r="K5876">
        <v>6.1139999999999999</v>
      </c>
      <c r="L5876">
        <v>17</v>
      </c>
      <c r="M5876">
        <v>5</v>
      </c>
      <c r="N5876">
        <v>13</v>
      </c>
      <c r="O5876">
        <v>59.645000000000003</v>
      </c>
      <c r="P5876">
        <v>-4.810675743</v>
      </c>
      <c r="Q5876">
        <v>24.814</v>
      </c>
    </row>
    <row r="5877" spans="1:17" x14ac:dyDescent="0.2">
      <c r="A5877" s="30" t="str">
        <f>IF(C5877&amp;G5877&amp;D5877&lt;&gt;'Funnel setup'!$K$3&amp;'Funnel setup'!$K$4&amp;'Funnel setup'!$K$5,".",IF(A5876=".",1,A5876+1))</f>
        <v>.</v>
      </c>
      <c r="B5877" s="431" t="str">
        <f t="shared" si="91"/>
        <v>Knee Replacement RevisionProviderTHE ROTHERHAM NHS FOUNDATION TRUST (RFR)EQ VAS</v>
      </c>
      <c r="C5877" t="s">
        <v>250</v>
      </c>
      <c r="D5877" t="s">
        <v>1</v>
      </c>
      <c r="E5877" t="s">
        <v>3739</v>
      </c>
      <c r="F5877" t="s">
        <v>3740</v>
      </c>
      <c r="G5877" t="s">
        <v>179</v>
      </c>
      <c r="H5877" t="s">
        <v>53</v>
      </c>
      <c r="I5877" t="s">
        <v>53</v>
      </c>
      <c r="J5877" t="s">
        <v>53</v>
      </c>
      <c r="K5877" t="s">
        <v>53</v>
      </c>
      <c r="L5877" t="s">
        <v>53</v>
      </c>
      <c r="M5877" t="s">
        <v>53</v>
      </c>
      <c r="N5877" t="s">
        <v>53</v>
      </c>
      <c r="O5877" t="s">
        <v>53</v>
      </c>
      <c r="P5877" t="s">
        <v>53</v>
      </c>
      <c r="Q5877" t="s">
        <v>53</v>
      </c>
    </row>
    <row r="5878" spans="1:17" x14ac:dyDescent="0.2">
      <c r="A5878" s="30" t="str">
        <f>IF(C5878&amp;G5878&amp;D5878&lt;&gt;'Funnel setup'!$K$3&amp;'Funnel setup'!$K$4&amp;'Funnel setup'!$K$5,".",IF(A5877=".",1,A5877+1))</f>
        <v>.</v>
      </c>
      <c r="B5878" s="431" t="str">
        <f t="shared" si="91"/>
        <v>Knee Replacement RevisionProviderTHE ROYAL ORTHOPAEDIC HOSPITAL NHS FOUNDATION TRUST (RRJ)EQ VAS</v>
      </c>
      <c r="C5878" t="s">
        <v>250</v>
      </c>
      <c r="D5878" t="s">
        <v>1</v>
      </c>
      <c r="E5878" t="s">
        <v>4480</v>
      </c>
      <c r="F5878" t="s">
        <v>4481</v>
      </c>
      <c r="G5878" t="s">
        <v>179</v>
      </c>
      <c r="H5878">
        <v>16</v>
      </c>
      <c r="I5878">
        <v>59.563000000000002</v>
      </c>
      <c r="J5878">
        <v>68</v>
      </c>
      <c r="K5878">
        <v>8.4380000000000006</v>
      </c>
      <c r="L5878">
        <v>11</v>
      </c>
      <c r="M5878">
        <v>0</v>
      </c>
      <c r="N5878">
        <v>5</v>
      </c>
      <c r="O5878" t="s">
        <v>53</v>
      </c>
      <c r="P5878" t="s">
        <v>53</v>
      </c>
      <c r="Q5878" t="s">
        <v>53</v>
      </c>
    </row>
    <row r="5879" spans="1:17" x14ac:dyDescent="0.2">
      <c r="A5879" s="30" t="str">
        <f>IF(C5879&amp;G5879&amp;D5879&lt;&gt;'Funnel setup'!$K$3&amp;'Funnel setup'!$K$4&amp;'Funnel setup'!$K$5,".",IF(A5878=".",1,A5878+1))</f>
        <v>.</v>
      </c>
      <c r="B5879" s="431" t="str">
        <f t="shared" si="91"/>
        <v>Knee Replacement RevisionProviderTHE ROYAL WOLVERHAMPTON NHS TRUST (RL4)EQ VAS</v>
      </c>
      <c r="C5879" t="s">
        <v>250</v>
      </c>
      <c r="D5879" t="s">
        <v>1</v>
      </c>
      <c r="E5879" t="s">
        <v>3382</v>
      </c>
      <c r="F5879" t="s">
        <v>3383</v>
      </c>
      <c r="G5879" t="s">
        <v>179</v>
      </c>
      <c r="H5879">
        <v>13</v>
      </c>
      <c r="I5879">
        <v>79.614999999999995</v>
      </c>
      <c r="J5879">
        <v>65</v>
      </c>
      <c r="K5879">
        <v>-14.615</v>
      </c>
      <c r="L5879">
        <v>2</v>
      </c>
      <c r="M5879">
        <v>3</v>
      </c>
      <c r="N5879">
        <v>8</v>
      </c>
      <c r="O5879" t="s">
        <v>53</v>
      </c>
      <c r="P5879" t="s">
        <v>53</v>
      </c>
      <c r="Q5879" t="s">
        <v>53</v>
      </c>
    </row>
    <row r="5880" spans="1:17" x14ac:dyDescent="0.2">
      <c r="A5880" s="30" t="str">
        <f>IF(C5880&amp;G5880&amp;D5880&lt;&gt;'Funnel setup'!$K$3&amp;'Funnel setup'!$K$4&amp;'Funnel setup'!$K$5,".",IF(A5879=".",1,A5879+1))</f>
        <v>.</v>
      </c>
      <c r="B5880" s="431" t="str">
        <f t="shared" si="91"/>
        <v>Knee Replacement RevisionProviderTHE YORKSHIRE CLINIC (NVC20)EQ VAS</v>
      </c>
      <c r="C5880" t="s">
        <v>250</v>
      </c>
      <c r="D5880" t="s">
        <v>1</v>
      </c>
      <c r="E5880" t="s">
        <v>3760</v>
      </c>
      <c r="F5880" t="s">
        <v>3761</v>
      </c>
      <c r="G5880" t="s">
        <v>179</v>
      </c>
      <c r="H5880" t="s">
        <v>53</v>
      </c>
      <c r="I5880" t="s">
        <v>53</v>
      </c>
      <c r="J5880" t="s">
        <v>53</v>
      </c>
      <c r="K5880" t="s">
        <v>53</v>
      </c>
      <c r="L5880" t="s">
        <v>53</v>
      </c>
      <c r="M5880" t="s">
        <v>53</v>
      </c>
      <c r="N5880" t="s">
        <v>53</v>
      </c>
      <c r="O5880" t="s">
        <v>53</v>
      </c>
      <c r="P5880" t="s">
        <v>53</v>
      </c>
      <c r="Q5880" t="s">
        <v>53</v>
      </c>
    </row>
    <row r="5881" spans="1:17" x14ac:dyDescent="0.2">
      <c r="A5881" s="30" t="str">
        <f>IF(C5881&amp;G5881&amp;D5881&lt;&gt;'Funnel setup'!$K$3&amp;'Funnel setup'!$K$4&amp;'Funnel setup'!$K$5,".",IF(A5880=".",1,A5880+1))</f>
        <v>.</v>
      </c>
      <c r="B5881" s="431" t="str">
        <f t="shared" si="91"/>
        <v>Knee Replacement RevisionProviderTORBAY AND SOUTH DEVON NHS FOUNDATION TRUST (RA9)EQ VAS</v>
      </c>
      <c r="C5881" t="s">
        <v>250</v>
      </c>
      <c r="D5881" t="s">
        <v>1</v>
      </c>
      <c r="E5881" t="s">
        <v>3480</v>
      </c>
      <c r="F5881" t="s">
        <v>6584</v>
      </c>
      <c r="G5881" t="s">
        <v>179</v>
      </c>
      <c r="H5881">
        <v>13</v>
      </c>
      <c r="I5881">
        <v>73.846000000000004</v>
      </c>
      <c r="J5881">
        <v>77.846000000000004</v>
      </c>
      <c r="K5881">
        <v>4</v>
      </c>
      <c r="L5881">
        <v>6</v>
      </c>
      <c r="M5881">
        <v>3</v>
      </c>
      <c r="N5881">
        <v>4</v>
      </c>
      <c r="O5881" t="s">
        <v>53</v>
      </c>
      <c r="P5881" t="s">
        <v>53</v>
      </c>
      <c r="Q5881" t="s">
        <v>53</v>
      </c>
    </row>
    <row r="5882" spans="1:17" x14ac:dyDescent="0.2">
      <c r="A5882" s="30" t="str">
        <f>IF(C5882&amp;G5882&amp;D5882&lt;&gt;'Funnel setup'!$K$3&amp;'Funnel setup'!$K$4&amp;'Funnel setup'!$K$5,".",IF(A5881=".",1,A5881+1))</f>
        <v>.</v>
      </c>
      <c r="B5882" s="431" t="str">
        <f t="shared" si="91"/>
        <v>Knee Replacement RevisionProviderUNITED LINCOLNSHIRE HOSPITALS NHS TRUST (RWD)EQ VAS</v>
      </c>
      <c r="C5882" t="s">
        <v>250</v>
      </c>
      <c r="D5882" t="s">
        <v>1</v>
      </c>
      <c r="E5882" t="s">
        <v>3763</v>
      </c>
      <c r="F5882" t="s">
        <v>3764</v>
      </c>
      <c r="G5882" t="s">
        <v>179</v>
      </c>
      <c r="H5882" t="s">
        <v>53</v>
      </c>
      <c r="I5882" t="s">
        <v>53</v>
      </c>
      <c r="J5882" t="s">
        <v>53</v>
      </c>
      <c r="K5882" t="s">
        <v>53</v>
      </c>
      <c r="L5882" t="s">
        <v>53</v>
      </c>
      <c r="M5882" t="s">
        <v>53</v>
      </c>
      <c r="N5882" t="s">
        <v>53</v>
      </c>
      <c r="O5882" t="s">
        <v>53</v>
      </c>
      <c r="P5882" t="s">
        <v>53</v>
      </c>
      <c r="Q5882" t="s">
        <v>53</v>
      </c>
    </row>
    <row r="5883" spans="1:17" x14ac:dyDescent="0.2">
      <c r="A5883" s="30" t="str">
        <f>IF(C5883&amp;G5883&amp;D5883&lt;&gt;'Funnel setup'!$K$3&amp;'Funnel setup'!$K$4&amp;'Funnel setup'!$K$5,".",IF(A5882=".",1,A5882+1))</f>
        <v>.</v>
      </c>
      <c r="B5883" s="431" t="str">
        <f t="shared" si="91"/>
        <v>Knee Replacement RevisionProviderUNIVERSITY COLLEGE LONDON HOSPITALS NHS FOUNDATION TRUST (RRV)EQ VAS</v>
      </c>
      <c r="C5883" t="s">
        <v>250</v>
      </c>
      <c r="D5883" t="s">
        <v>1</v>
      </c>
      <c r="E5883" t="s">
        <v>3766</v>
      </c>
      <c r="F5883" t="s">
        <v>3767</v>
      </c>
      <c r="G5883" t="s">
        <v>179</v>
      </c>
      <c r="H5883">
        <v>7</v>
      </c>
      <c r="I5883">
        <v>57.856999999999999</v>
      </c>
      <c r="J5883">
        <v>59</v>
      </c>
      <c r="K5883">
        <v>1.143</v>
      </c>
      <c r="L5883">
        <v>4</v>
      </c>
      <c r="M5883">
        <v>0</v>
      </c>
      <c r="N5883">
        <v>3</v>
      </c>
      <c r="O5883" t="s">
        <v>53</v>
      </c>
      <c r="P5883" t="s">
        <v>53</v>
      </c>
      <c r="Q5883" t="s">
        <v>53</v>
      </c>
    </row>
    <row r="5884" spans="1:17" x14ac:dyDescent="0.2">
      <c r="A5884" s="30" t="str">
        <f>IF(C5884&amp;G5884&amp;D5884&lt;&gt;'Funnel setup'!$K$3&amp;'Funnel setup'!$K$4&amp;'Funnel setup'!$K$5,".",IF(A5883=".",1,A5883+1))</f>
        <v>.</v>
      </c>
      <c r="B5884" s="431" t="str">
        <f t="shared" si="91"/>
        <v>Knee Replacement RevisionProviderUNIVERSITY HOSPITAL OF SOUTH MANCHESTER NHS FOUNDATION TRUST (RM2)EQ VAS</v>
      </c>
      <c r="C5884" t="s">
        <v>250</v>
      </c>
      <c r="D5884" t="s">
        <v>1</v>
      </c>
      <c r="E5884" t="s">
        <v>3769</v>
      </c>
      <c r="F5884" t="s">
        <v>3770</v>
      </c>
      <c r="G5884" t="s">
        <v>179</v>
      </c>
      <c r="H5884" t="s">
        <v>53</v>
      </c>
      <c r="I5884" t="s">
        <v>53</v>
      </c>
      <c r="J5884" t="s">
        <v>53</v>
      </c>
      <c r="K5884" t="s">
        <v>53</v>
      </c>
      <c r="L5884" t="s">
        <v>53</v>
      </c>
      <c r="M5884" t="s">
        <v>53</v>
      </c>
      <c r="N5884" t="s">
        <v>53</v>
      </c>
      <c r="O5884" t="s">
        <v>53</v>
      </c>
      <c r="P5884" t="s">
        <v>53</v>
      </c>
      <c r="Q5884" t="s">
        <v>53</v>
      </c>
    </row>
    <row r="5885" spans="1:17" x14ac:dyDescent="0.2">
      <c r="A5885" s="30" t="str">
        <f>IF(C5885&amp;G5885&amp;D5885&lt;&gt;'Funnel setup'!$K$3&amp;'Funnel setup'!$K$4&amp;'Funnel setup'!$K$5,".",IF(A5884=".",1,A5884+1))</f>
        <v>.</v>
      </c>
      <c r="B5885" s="431" t="str">
        <f t="shared" si="91"/>
        <v>Knee Replacement RevisionProviderUNIVERSITY HOSPITAL SOUTHAMPTON NHS FOUNDATION TRUST (RHM)EQ VAS</v>
      </c>
      <c r="C5885" t="s">
        <v>250</v>
      </c>
      <c r="D5885" t="s">
        <v>1</v>
      </c>
      <c r="E5885" t="s">
        <v>3772</v>
      </c>
      <c r="F5885" t="s">
        <v>3773</v>
      </c>
      <c r="G5885" t="s">
        <v>179</v>
      </c>
      <c r="H5885">
        <v>37</v>
      </c>
      <c r="I5885">
        <v>66.73</v>
      </c>
      <c r="J5885">
        <v>65.350999999999999</v>
      </c>
      <c r="K5885">
        <v>-1.3779999999999999</v>
      </c>
      <c r="L5885">
        <v>17</v>
      </c>
      <c r="M5885">
        <v>5</v>
      </c>
      <c r="N5885">
        <v>15</v>
      </c>
      <c r="O5885">
        <v>66.247</v>
      </c>
      <c r="P5885">
        <v>1.7911238270000001</v>
      </c>
      <c r="Q5885">
        <v>14.848000000000001</v>
      </c>
    </row>
    <row r="5886" spans="1:17" x14ac:dyDescent="0.2">
      <c r="A5886" s="30" t="str">
        <f>IF(C5886&amp;G5886&amp;D5886&lt;&gt;'Funnel setup'!$K$3&amp;'Funnel setup'!$K$4&amp;'Funnel setup'!$K$5,".",IF(A5885=".",1,A5885+1))</f>
        <v>.</v>
      </c>
      <c r="B5886" s="431" t="str">
        <f t="shared" si="91"/>
        <v>Knee Replacement RevisionProviderUNIVERSITY HOSPITALS COVENTRY AND WARWICKSHIRE NHS TRUST (RKB)EQ VAS</v>
      </c>
      <c r="C5886" t="s">
        <v>250</v>
      </c>
      <c r="D5886" t="s">
        <v>1</v>
      </c>
      <c r="E5886" t="s">
        <v>3715</v>
      </c>
      <c r="F5886" t="s">
        <v>3716</v>
      </c>
      <c r="G5886" t="s">
        <v>179</v>
      </c>
      <c r="H5886">
        <v>16</v>
      </c>
      <c r="I5886">
        <v>62.25</v>
      </c>
      <c r="J5886">
        <v>63.5</v>
      </c>
      <c r="K5886">
        <v>1.25</v>
      </c>
      <c r="L5886">
        <v>8</v>
      </c>
      <c r="M5886">
        <v>2</v>
      </c>
      <c r="N5886">
        <v>6</v>
      </c>
      <c r="O5886" t="s">
        <v>53</v>
      </c>
      <c r="P5886" t="s">
        <v>53</v>
      </c>
      <c r="Q5886" t="s">
        <v>53</v>
      </c>
    </row>
    <row r="5887" spans="1:17" x14ac:dyDescent="0.2">
      <c r="A5887" s="30" t="str">
        <f>IF(C5887&amp;G5887&amp;D5887&lt;&gt;'Funnel setup'!$K$3&amp;'Funnel setup'!$K$4&amp;'Funnel setup'!$K$5,".",IF(A5886=".",1,A5886+1))</f>
        <v>.</v>
      </c>
      <c r="B5887" s="431" t="str">
        <f t="shared" si="91"/>
        <v>Knee Replacement RevisionProviderUNIVERSITY HOSPITALS OF LEICESTER NHS TRUST (RWE)EQ VAS</v>
      </c>
      <c r="C5887" t="s">
        <v>250</v>
      </c>
      <c r="D5887" t="s">
        <v>1</v>
      </c>
      <c r="E5887" t="s">
        <v>3718</v>
      </c>
      <c r="F5887" t="s">
        <v>3719</v>
      </c>
      <c r="G5887" t="s">
        <v>179</v>
      </c>
      <c r="H5887">
        <v>33</v>
      </c>
      <c r="I5887">
        <v>59.273000000000003</v>
      </c>
      <c r="J5887">
        <v>69.061000000000007</v>
      </c>
      <c r="K5887">
        <v>9.7880000000000003</v>
      </c>
      <c r="L5887">
        <v>18</v>
      </c>
      <c r="M5887">
        <v>5</v>
      </c>
      <c r="N5887">
        <v>10</v>
      </c>
      <c r="O5887">
        <v>72.051000000000002</v>
      </c>
      <c r="P5887">
        <v>7.5947170430000002</v>
      </c>
      <c r="Q5887">
        <v>18.957999999999998</v>
      </c>
    </row>
    <row r="5888" spans="1:17" x14ac:dyDescent="0.2">
      <c r="A5888" s="30" t="str">
        <f>IF(C5888&amp;G5888&amp;D5888&lt;&gt;'Funnel setup'!$K$3&amp;'Funnel setup'!$K$4&amp;'Funnel setup'!$K$5,".",IF(A5887=".",1,A5887+1))</f>
        <v>.</v>
      </c>
      <c r="B5888" s="431" t="str">
        <f t="shared" si="91"/>
        <v>Knee Replacement RevisionProviderUNIVERSITY HOSPITALS OF MORECAMBE BAY NHS FOUNDATION TRUST (RTX)EQ VAS</v>
      </c>
      <c r="C5888" t="s">
        <v>250</v>
      </c>
      <c r="D5888" t="s">
        <v>1</v>
      </c>
      <c r="E5888" t="s">
        <v>3721</v>
      </c>
      <c r="F5888" t="s">
        <v>3722</v>
      </c>
      <c r="G5888" t="s">
        <v>179</v>
      </c>
      <c r="H5888" t="s">
        <v>53</v>
      </c>
      <c r="I5888" t="s">
        <v>53</v>
      </c>
      <c r="J5888" t="s">
        <v>53</v>
      </c>
      <c r="K5888" t="s">
        <v>53</v>
      </c>
      <c r="L5888" t="s">
        <v>53</v>
      </c>
      <c r="M5888" t="s">
        <v>53</v>
      </c>
      <c r="N5888" t="s">
        <v>53</v>
      </c>
      <c r="O5888" t="s">
        <v>53</v>
      </c>
      <c r="P5888" t="s">
        <v>53</v>
      </c>
      <c r="Q5888" t="s">
        <v>53</v>
      </c>
    </row>
    <row r="5889" spans="1:17" x14ac:dyDescent="0.2">
      <c r="A5889" s="30" t="str">
        <f>IF(C5889&amp;G5889&amp;D5889&lt;&gt;'Funnel setup'!$K$3&amp;'Funnel setup'!$K$4&amp;'Funnel setup'!$K$5,".",IF(A5888=".",1,A5888+1))</f>
        <v>.</v>
      </c>
      <c r="B5889" s="431" t="str">
        <f t="shared" si="91"/>
        <v>Knee Replacement RevisionProviderUNIVERSITY HOSPITALS OF NORTH MIDLANDS NHS TRUST (RJE)EQ VAS</v>
      </c>
      <c r="C5889" t="s">
        <v>250</v>
      </c>
      <c r="D5889" t="s">
        <v>1</v>
      </c>
      <c r="E5889" t="s">
        <v>3724</v>
      </c>
      <c r="F5889" t="s">
        <v>3725</v>
      </c>
      <c r="G5889" t="s">
        <v>179</v>
      </c>
      <c r="H5889">
        <v>7</v>
      </c>
      <c r="I5889">
        <v>67.856999999999999</v>
      </c>
      <c r="J5889">
        <v>50</v>
      </c>
      <c r="K5889">
        <v>-17.856999999999999</v>
      </c>
      <c r="L5889">
        <v>1</v>
      </c>
      <c r="M5889">
        <v>2</v>
      </c>
      <c r="N5889">
        <v>4</v>
      </c>
      <c r="O5889" t="s">
        <v>53</v>
      </c>
      <c r="P5889" t="s">
        <v>53</v>
      </c>
      <c r="Q5889" t="s">
        <v>53</v>
      </c>
    </row>
    <row r="5890" spans="1:17" x14ac:dyDescent="0.2">
      <c r="A5890" s="30" t="str">
        <f>IF(C5890&amp;G5890&amp;D5890&lt;&gt;'Funnel setup'!$K$3&amp;'Funnel setup'!$K$4&amp;'Funnel setup'!$K$5,".",IF(A5889=".",1,A5889+1))</f>
        <v>.</v>
      </c>
      <c r="B5890" s="431" t="str">
        <f t="shared" si="91"/>
        <v>Knee Replacement RevisionProviderWALSALL HEALTHCARE NHS TRUST (RBK)EQ VAS</v>
      </c>
      <c r="C5890" t="s">
        <v>250</v>
      </c>
      <c r="D5890" t="s">
        <v>1</v>
      </c>
      <c r="E5890" t="s">
        <v>3727</v>
      </c>
      <c r="F5890" t="s">
        <v>3728</v>
      </c>
      <c r="G5890" t="s">
        <v>179</v>
      </c>
      <c r="H5890" t="s">
        <v>53</v>
      </c>
      <c r="I5890" t="s">
        <v>53</v>
      </c>
      <c r="J5890" t="s">
        <v>53</v>
      </c>
      <c r="K5890" t="s">
        <v>53</v>
      </c>
      <c r="L5890" t="s">
        <v>53</v>
      </c>
      <c r="M5890" t="s">
        <v>53</v>
      </c>
      <c r="N5890" t="s">
        <v>53</v>
      </c>
      <c r="O5890" t="s">
        <v>53</v>
      </c>
      <c r="P5890" t="s">
        <v>53</v>
      </c>
      <c r="Q5890" t="s">
        <v>53</v>
      </c>
    </row>
    <row r="5891" spans="1:17" x14ac:dyDescent="0.2">
      <c r="A5891" s="30" t="str">
        <f>IF(C5891&amp;G5891&amp;D5891&lt;&gt;'Funnel setup'!$K$3&amp;'Funnel setup'!$K$4&amp;'Funnel setup'!$K$5,".",IF(A5890=".",1,A5890+1))</f>
        <v>.</v>
      </c>
      <c r="B5891" s="431" t="str">
        <f t="shared" ref="B5891:B5954" si="92">C5891&amp;D5891&amp;F5891&amp;G5891</f>
        <v>Knee Replacement RevisionProviderWARRINGTON AND HALTON HOSPITALS NHS FOUNDATION TRUST (RWW)EQ VAS</v>
      </c>
      <c r="C5891" t="s">
        <v>250</v>
      </c>
      <c r="D5891" t="s">
        <v>1</v>
      </c>
      <c r="E5891" t="s">
        <v>3730</v>
      </c>
      <c r="F5891" t="s">
        <v>3731</v>
      </c>
      <c r="G5891" t="s">
        <v>179</v>
      </c>
      <c r="H5891">
        <v>15</v>
      </c>
      <c r="I5891">
        <v>62.332999999999998</v>
      </c>
      <c r="J5891">
        <v>66.8</v>
      </c>
      <c r="K5891">
        <v>4.4669999999999996</v>
      </c>
      <c r="L5891">
        <v>10</v>
      </c>
      <c r="M5891">
        <v>0</v>
      </c>
      <c r="N5891">
        <v>5</v>
      </c>
      <c r="O5891" t="s">
        <v>53</v>
      </c>
      <c r="P5891" t="s">
        <v>53</v>
      </c>
      <c r="Q5891" t="s">
        <v>53</v>
      </c>
    </row>
    <row r="5892" spans="1:17" x14ac:dyDescent="0.2">
      <c r="A5892" s="30" t="str">
        <f>IF(C5892&amp;G5892&amp;D5892&lt;&gt;'Funnel setup'!$K$3&amp;'Funnel setup'!$K$4&amp;'Funnel setup'!$K$5,".",IF(A5891=".",1,A5891+1))</f>
        <v>.</v>
      </c>
      <c r="B5892" s="431" t="str">
        <f t="shared" si="92"/>
        <v>Knee Replacement RevisionProviderWEST HERTFORDSHIRE HOSPITALS NHS TRUST (RWG)EQ VAS</v>
      </c>
      <c r="C5892" t="s">
        <v>250</v>
      </c>
      <c r="D5892" t="s">
        <v>1</v>
      </c>
      <c r="E5892" t="s">
        <v>3733</v>
      </c>
      <c r="F5892" t="s">
        <v>3734</v>
      </c>
      <c r="G5892" t="s">
        <v>179</v>
      </c>
      <c r="H5892">
        <v>8</v>
      </c>
      <c r="I5892">
        <v>63.75</v>
      </c>
      <c r="J5892">
        <v>64.375</v>
      </c>
      <c r="K5892">
        <v>0.625</v>
      </c>
      <c r="L5892">
        <v>4</v>
      </c>
      <c r="M5892">
        <v>0</v>
      </c>
      <c r="N5892">
        <v>4</v>
      </c>
      <c r="O5892" t="s">
        <v>53</v>
      </c>
      <c r="P5892" t="s">
        <v>53</v>
      </c>
      <c r="Q5892" t="s">
        <v>53</v>
      </c>
    </row>
    <row r="5893" spans="1:17" x14ac:dyDescent="0.2">
      <c r="A5893" s="30" t="str">
        <f>IF(C5893&amp;G5893&amp;D5893&lt;&gt;'Funnel setup'!$K$3&amp;'Funnel setup'!$K$4&amp;'Funnel setup'!$K$5,".",IF(A5892=".",1,A5892+1))</f>
        <v>.</v>
      </c>
      <c r="B5893" s="431" t="str">
        <f t="shared" si="92"/>
        <v>Knee Replacement RevisionProviderWEST MIDDLESEX UNIVERSITY HOSPITAL NHS TRUST (RFW)EQ VAS</v>
      </c>
      <c r="C5893" t="s">
        <v>250</v>
      </c>
      <c r="D5893" t="s">
        <v>1</v>
      </c>
      <c r="E5893" t="s">
        <v>3736</v>
      </c>
      <c r="F5893" t="s">
        <v>3737</v>
      </c>
      <c r="G5893" t="s">
        <v>179</v>
      </c>
      <c r="H5893" t="s">
        <v>53</v>
      </c>
      <c r="I5893" t="s">
        <v>53</v>
      </c>
      <c r="J5893" t="s">
        <v>53</v>
      </c>
      <c r="K5893" t="s">
        <v>53</v>
      </c>
      <c r="L5893" t="s">
        <v>53</v>
      </c>
      <c r="M5893" t="s">
        <v>53</v>
      </c>
      <c r="N5893" t="s">
        <v>53</v>
      </c>
      <c r="O5893" t="s">
        <v>53</v>
      </c>
      <c r="P5893" t="s">
        <v>53</v>
      </c>
      <c r="Q5893" t="s">
        <v>53</v>
      </c>
    </row>
    <row r="5894" spans="1:17" x14ac:dyDescent="0.2">
      <c r="A5894" s="30" t="str">
        <f>IF(C5894&amp;G5894&amp;D5894&lt;&gt;'Funnel setup'!$K$3&amp;'Funnel setup'!$K$4&amp;'Funnel setup'!$K$5,".",IF(A5893=".",1,A5893+1))</f>
        <v>.</v>
      </c>
      <c r="B5894" s="431" t="str">
        <f t="shared" si="92"/>
        <v>Knee Replacement RevisionProviderWEST MIDLANDS HOSPITAL (NVC21)EQ VAS</v>
      </c>
      <c r="C5894" t="s">
        <v>250</v>
      </c>
      <c r="D5894" t="s">
        <v>1</v>
      </c>
      <c r="E5894" t="s">
        <v>3709</v>
      </c>
      <c r="F5894" t="s">
        <v>3710</v>
      </c>
      <c r="G5894" t="s">
        <v>179</v>
      </c>
      <c r="H5894" t="s">
        <v>53</v>
      </c>
      <c r="I5894" t="s">
        <v>53</v>
      </c>
      <c r="J5894" t="s">
        <v>53</v>
      </c>
      <c r="K5894" t="s">
        <v>53</v>
      </c>
      <c r="L5894" t="s">
        <v>53</v>
      </c>
      <c r="M5894" t="s">
        <v>53</v>
      </c>
      <c r="N5894" t="s">
        <v>53</v>
      </c>
      <c r="O5894" t="s">
        <v>53</v>
      </c>
      <c r="P5894" t="s">
        <v>53</v>
      </c>
      <c r="Q5894" t="s">
        <v>53</v>
      </c>
    </row>
    <row r="5895" spans="1:17" x14ac:dyDescent="0.2">
      <c r="A5895" s="30" t="str">
        <f>IF(C5895&amp;G5895&amp;D5895&lt;&gt;'Funnel setup'!$K$3&amp;'Funnel setup'!$K$4&amp;'Funnel setup'!$K$5,".",IF(A5894=".",1,A5894+1))</f>
        <v>.</v>
      </c>
      <c r="B5895" s="431" t="str">
        <f t="shared" si="92"/>
        <v>Knee Replacement RevisionProviderWEST SUFFOLK NHS FOUNDATION TRUST (RGR)EQ VAS</v>
      </c>
      <c r="C5895" t="s">
        <v>250</v>
      </c>
      <c r="D5895" t="s">
        <v>1</v>
      </c>
      <c r="E5895" t="s">
        <v>3712</v>
      </c>
      <c r="F5895" t="s">
        <v>3713</v>
      </c>
      <c r="G5895" t="s">
        <v>179</v>
      </c>
      <c r="H5895" t="s">
        <v>53</v>
      </c>
      <c r="I5895" t="s">
        <v>53</v>
      </c>
      <c r="J5895" t="s">
        <v>53</v>
      </c>
      <c r="K5895" t="s">
        <v>53</v>
      </c>
      <c r="L5895" t="s">
        <v>53</v>
      </c>
      <c r="M5895" t="s">
        <v>53</v>
      </c>
      <c r="N5895" t="s">
        <v>53</v>
      </c>
      <c r="O5895" t="s">
        <v>53</v>
      </c>
      <c r="P5895" t="s">
        <v>53</v>
      </c>
      <c r="Q5895" t="s">
        <v>53</v>
      </c>
    </row>
    <row r="5896" spans="1:17" x14ac:dyDescent="0.2">
      <c r="A5896" s="30" t="str">
        <f>IF(C5896&amp;G5896&amp;D5896&lt;&gt;'Funnel setup'!$K$3&amp;'Funnel setup'!$K$4&amp;'Funnel setup'!$K$5,".",IF(A5895=".",1,A5895+1))</f>
        <v>.</v>
      </c>
      <c r="B5896" s="431" t="str">
        <f t="shared" si="92"/>
        <v>Knee Replacement RevisionProviderWESTERN SUSSEX HOSPITALS NHS FOUNDATION TRUST (RYR)EQ VAS</v>
      </c>
      <c r="C5896" t="s">
        <v>250</v>
      </c>
      <c r="D5896" t="s">
        <v>1</v>
      </c>
      <c r="E5896" t="s">
        <v>3706</v>
      </c>
      <c r="F5896" t="s">
        <v>3707</v>
      </c>
      <c r="G5896" t="s">
        <v>179</v>
      </c>
      <c r="H5896">
        <v>22</v>
      </c>
      <c r="I5896">
        <v>66.545000000000002</v>
      </c>
      <c r="J5896">
        <v>67</v>
      </c>
      <c r="K5896">
        <v>0.45500000000000002</v>
      </c>
      <c r="L5896">
        <v>9</v>
      </c>
      <c r="M5896">
        <v>5</v>
      </c>
      <c r="N5896">
        <v>8</v>
      </c>
      <c r="O5896" t="s">
        <v>53</v>
      </c>
      <c r="P5896" t="s">
        <v>53</v>
      </c>
      <c r="Q5896" t="s">
        <v>53</v>
      </c>
    </row>
    <row r="5897" spans="1:17" x14ac:dyDescent="0.2">
      <c r="A5897" s="30" t="str">
        <f>IF(C5897&amp;G5897&amp;D5897&lt;&gt;'Funnel setup'!$K$3&amp;'Funnel setup'!$K$4&amp;'Funnel setup'!$K$5,".",IF(A5896=".",1,A5896+1))</f>
        <v>.</v>
      </c>
      <c r="B5897" s="431" t="str">
        <f t="shared" si="92"/>
        <v>Knee Replacement RevisionProviderWESTON AREA HEALTH NHS TRUST (RA3)EQ VAS</v>
      </c>
      <c r="C5897" t="s">
        <v>250</v>
      </c>
      <c r="D5897" t="s">
        <v>1</v>
      </c>
      <c r="E5897" t="s">
        <v>3525</v>
      </c>
      <c r="F5897" t="s">
        <v>3526</v>
      </c>
      <c r="G5897" t="s">
        <v>179</v>
      </c>
      <c r="H5897" t="s">
        <v>53</v>
      </c>
      <c r="I5897" t="s">
        <v>53</v>
      </c>
      <c r="J5897" t="s">
        <v>53</v>
      </c>
      <c r="K5897" t="s">
        <v>53</v>
      </c>
      <c r="L5897" t="s">
        <v>53</v>
      </c>
      <c r="M5897" t="s">
        <v>53</v>
      </c>
      <c r="N5897" t="s">
        <v>53</v>
      </c>
      <c r="O5897" t="s">
        <v>53</v>
      </c>
      <c r="P5897" t="s">
        <v>53</v>
      </c>
      <c r="Q5897" t="s">
        <v>53</v>
      </c>
    </row>
    <row r="5898" spans="1:17" x14ac:dyDescent="0.2">
      <c r="A5898" s="30" t="str">
        <f>IF(C5898&amp;G5898&amp;D5898&lt;&gt;'Funnel setup'!$K$3&amp;'Funnel setup'!$K$4&amp;'Funnel setup'!$K$5,".",IF(A5897=".",1,A5897+1))</f>
        <v>.</v>
      </c>
      <c r="B5898" s="431" t="str">
        <f t="shared" si="92"/>
        <v>Knee Replacement RevisionProviderWINFIELD HOSPITAL (NVC22)EQ VAS</v>
      </c>
      <c r="C5898" t="s">
        <v>250</v>
      </c>
      <c r="D5898" t="s">
        <v>1</v>
      </c>
      <c r="E5898" t="s">
        <v>3534</v>
      </c>
      <c r="F5898" t="s">
        <v>3535</v>
      </c>
      <c r="G5898" t="s">
        <v>179</v>
      </c>
      <c r="H5898" t="s">
        <v>53</v>
      </c>
      <c r="I5898" t="s">
        <v>53</v>
      </c>
      <c r="J5898" t="s">
        <v>53</v>
      </c>
      <c r="K5898" t="s">
        <v>53</v>
      </c>
      <c r="L5898" t="s">
        <v>53</v>
      </c>
      <c r="M5898" t="s">
        <v>53</v>
      </c>
      <c r="N5898" t="s">
        <v>53</v>
      </c>
      <c r="O5898" t="s">
        <v>53</v>
      </c>
      <c r="P5898" t="s">
        <v>53</v>
      </c>
      <c r="Q5898" t="s">
        <v>53</v>
      </c>
    </row>
    <row r="5899" spans="1:17" x14ac:dyDescent="0.2">
      <c r="A5899" s="30" t="str">
        <f>IF(C5899&amp;G5899&amp;D5899&lt;&gt;'Funnel setup'!$K$3&amp;'Funnel setup'!$K$4&amp;'Funnel setup'!$K$5,".",IF(A5898=".",1,A5898+1))</f>
        <v>.</v>
      </c>
      <c r="B5899" s="431" t="str">
        <f t="shared" si="92"/>
        <v>Knee Replacement RevisionProviderWIRRAL UNIVERSITY TEACHING HOSPITAL NHS FOUNDATION TRUST (RBL)EQ VAS</v>
      </c>
      <c r="C5899" t="s">
        <v>250</v>
      </c>
      <c r="D5899" t="s">
        <v>1</v>
      </c>
      <c r="E5899" t="s">
        <v>3537</v>
      </c>
      <c r="F5899" t="s">
        <v>3538</v>
      </c>
      <c r="G5899" t="s">
        <v>179</v>
      </c>
      <c r="H5899" t="s">
        <v>53</v>
      </c>
      <c r="I5899" t="s">
        <v>53</v>
      </c>
      <c r="J5899" t="s">
        <v>53</v>
      </c>
      <c r="K5899" t="s">
        <v>53</v>
      </c>
      <c r="L5899" t="s">
        <v>53</v>
      </c>
      <c r="M5899" t="s">
        <v>53</v>
      </c>
      <c r="N5899" t="s">
        <v>53</v>
      </c>
      <c r="O5899" t="s">
        <v>53</v>
      </c>
      <c r="P5899" t="s">
        <v>53</v>
      </c>
      <c r="Q5899" t="s">
        <v>53</v>
      </c>
    </row>
    <row r="5900" spans="1:17" x14ac:dyDescent="0.2">
      <c r="A5900" s="30" t="str">
        <f>IF(C5900&amp;G5900&amp;D5900&lt;&gt;'Funnel setup'!$K$3&amp;'Funnel setup'!$K$4&amp;'Funnel setup'!$K$5,".",IF(A5899=".",1,A5899+1))</f>
        <v>.</v>
      </c>
      <c r="B5900" s="431" t="str">
        <f t="shared" si="92"/>
        <v>Knee Replacement RevisionProviderWOODLAND HOSPITAL (NVC23)EQ VAS</v>
      </c>
      <c r="C5900" t="s">
        <v>250</v>
      </c>
      <c r="D5900" t="s">
        <v>1</v>
      </c>
      <c r="E5900" t="s">
        <v>3540</v>
      </c>
      <c r="F5900" t="s">
        <v>3541</v>
      </c>
      <c r="G5900" t="s">
        <v>179</v>
      </c>
      <c r="H5900" t="s">
        <v>53</v>
      </c>
      <c r="I5900" t="s">
        <v>53</v>
      </c>
      <c r="J5900" t="s">
        <v>53</v>
      </c>
      <c r="K5900" t="s">
        <v>53</v>
      </c>
      <c r="L5900" t="s">
        <v>53</v>
      </c>
      <c r="M5900" t="s">
        <v>53</v>
      </c>
      <c r="N5900" t="s">
        <v>53</v>
      </c>
      <c r="O5900" t="s">
        <v>53</v>
      </c>
      <c r="P5900" t="s">
        <v>53</v>
      </c>
      <c r="Q5900" t="s">
        <v>53</v>
      </c>
    </row>
    <row r="5901" spans="1:17" x14ac:dyDescent="0.2">
      <c r="A5901" s="30" t="str">
        <f>IF(C5901&amp;G5901&amp;D5901&lt;&gt;'Funnel setup'!$K$3&amp;'Funnel setup'!$K$4&amp;'Funnel setup'!$K$5,".",IF(A5900=".",1,A5900+1))</f>
        <v>.</v>
      </c>
      <c r="B5901" s="431" t="str">
        <f t="shared" si="92"/>
        <v>Knee Replacement RevisionProviderWOODTHORPE HOSPITAL (NVC40)EQ VAS</v>
      </c>
      <c r="C5901" t="s">
        <v>250</v>
      </c>
      <c r="D5901" t="s">
        <v>1</v>
      </c>
      <c r="E5901" t="s">
        <v>3689</v>
      </c>
      <c r="F5901" t="s">
        <v>6576</v>
      </c>
      <c r="G5901" t="s">
        <v>179</v>
      </c>
      <c r="H5901" t="s">
        <v>53</v>
      </c>
      <c r="I5901" t="s">
        <v>53</v>
      </c>
      <c r="J5901" t="s">
        <v>53</v>
      </c>
      <c r="K5901" t="s">
        <v>53</v>
      </c>
      <c r="L5901" t="s">
        <v>53</v>
      </c>
      <c r="M5901" t="s">
        <v>53</v>
      </c>
      <c r="N5901" t="s">
        <v>53</v>
      </c>
      <c r="O5901" t="s">
        <v>53</v>
      </c>
      <c r="P5901" t="s">
        <v>53</v>
      </c>
      <c r="Q5901" t="s">
        <v>53</v>
      </c>
    </row>
    <row r="5902" spans="1:17" x14ac:dyDescent="0.2">
      <c r="A5902" s="30" t="str">
        <f>IF(C5902&amp;G5902&amp;D5902&lt;&gt;'Funnel setup'!$K$3&amp;'Funnel setup'!$K$4&amp;'Funnel setup'!$K$5,".",IF(A5901=".",1,A5901+1))</f>
        <v>.</v>
      </c>
      <c r="B5902" s="431" t="str">
        <f t="shared" si="92"/>
        <v>Knee Replacement RevisionProviderWORCESTERSHIRE ACUTE HOSPITALS NHS TRUST (RWP)EQ VAS</v>
      </c>
      <c r="C5902" t="s">
        <v>250</v>
      </c>
      <c r="D5902" t="s">
        <v>1</v>
      </c>
      <c r="E5902" t="s">
        <v>3543</v>
      </c>
      <c r="F5902" t="s">
        <v>3544</v>
      </c>
      <c r="G5902" t="s">
        <v>179</v>
      </c>
      <c r="H5902">
        <v>7</v>
      </c>
      <c r="I5902">
        <v>65.143000000000001</v>
      </c>
      <c r="J5902">
        <v>67.713999999999999</v>
      </c>
      <c r="K5902">
        <v>2.5710000000000002</v>
      </c>
      <c r="L5902">
        <v>4</v>
      </c>
      <c r="M5902">
        <v>0</v>
      </c>
      <c r="N5902">
        <v>3</v>
      </c>
      <c r="O5902" t="s">
        <v>53</v>
      </c>
      <c r="P5902" t="s">
        <v>53</v>
      </c>
      <c r="Q5902" t="s">
        <v>53</v>
      </c>
    </row>
    <row r="5903" spans="1:17" x14ac:dyDescent="0.2">
      <c r="A5903" s="30" t="str">
        <f>IF(C5903&amp;G5903&amp;D5903&lt;&gt;'Funnel setup'!$K$3&amp;'Funnel setup'!$K$4&amp;'Funnel setup'!$K$5,".",IF(A5902=".",1,A5902+1))</f>
        <v>.</v>
      </c>
      <c r="B5903" s="431" t="str">
        <f t="shared" si="92"/>
        <v>Knee Replacement RevisionProviderWRIGHTINGTON, WIGAN AND LEIGH NHS FOUNDATION TRUST (RRF)EQ VAS</v>
      </c>
      <c r="C5903" t="s">
        <v>250</v>
      </c>
      <c r="D5903" t="s">
        <v>1</v>
      </c>
      <c r="E5903" t="s">
        <v>3546</v>
      </c>
      <c r="F5903" t="s">
        <v>3547</v>
      </c>
      <c r="G5903" t="s">
        <v>179</v>
      </c>
      <c r="H5903">
        <v>7</v>
      </c>
      <c r="I5903">
        <v>64.286000000000001</v>
      </c>
      <c r="J5903">
        <v>64.570999999999998</v>
      </c>
      <c r="K5903">
        <v>0.28599999999999998</v>
      </c>
      <c r="L5903">
        <v>3</v>
      </c>
      <c r="M5903">
        <v>1</v>
      </c>
      <c r="N5903">
        <v>3</v>
      </c>
      <c r="O5903" t="s">
        <v>53</v>
      </c>
      <c r="P5903" t="s">
        <v>53</v>
      </c>
      <c r="Q5903" t="s">
        <v>53</v>
      </c>
    </row>
    <row r="5904" spans="1:17" x14ac:dyDescent="0.2">
      <c r="A5904" s="30" t="str">
        <f>IF(C5904&amp;G5904&amp;D5904&lt;&gt;'Funnel setup'!$K$3&amp;'Funnel setup'!$K$4&amp;'Funnel setup'!$K$5,".",IF(A5903=".",1,A5903+1))</f>
        <v>.</v>
      </c>
      <c r="B5904" s="431" t="str">
        <f t="shared" si="92"/>
        <v>Knee Replacement RevisionProviderWYE VALLEY NHS TRUST (RLQ)EQ VAS</v>
      </c>
      <c r="C5904" t="s">
        <v>250</v>
      </c>
      <c r="D5904" t="s">
        <v>1</v>
      </c>
      <c r="E5904" t="s">
        <v>3517</v>
      </c>
      <c r="F5904" t="s">
        <v>3518</v>
      </c>
      <c r="G5904" t="s">
        <v>179</v>
      </c>
      <c r="H5904" t="s">
        <v>53</v>
      </c>
      <c r="I5904" t="s">
        <v>53</v>
      </c>
      <c r="J5904" t="s">
        <v>53</v>
      </c>
      <c r="K5904" t="s">
        <v>53</v>
      </c>
      <c r="L5904" t="s">
        <v>53</v>
      </c>
      <c r="M5904" t="s">
        <v>53</v>
      </c>
      <c r="N5904" t="s">
        <v>53</v>
      </c>
      <c r="O5904" t="s">
        <v>53</v>
      </c>
      <c r="P5904" t="s">
        <v>53</v>
      </c>
      <c r="Q5904" t="s">
        <v>53</v>
      </c>
    </row>
    <row r="5905" spans="1:17" x14ac:dyDescent="0.2">
      <c r="A5905" s="30" t="str">
        <f>IF(C5905&amp;G5905&amp;D5905&lt;&gt;'Funnel setup'!$K$3&amp;'Funnel setup'!$K$4&amp;'Funnel setup'!$K$5,".",IF(A5904=".",1,A5904+1))</f>
        <v>.</v>
      </c>
      <c r="B5905" s="431" t="str">
        <f t="shared" si="92"/>
        <v>Knee Replacement RevisionProviderYEOVIL DISTRICT HOSPITAL NHS FOUNDATION TRUST (RA4)EQ VAS</v>
      </c>
      <c r="C5905" t="s">
        <v>250</v>
      </c>
      <c r="D5905" t="s">
        <v>1</v>
      </c>
      <c r="E5905" t="s">
        <v>3520</v>
      </c>
      <c r="F5905" t="s">
        <v>341</v>
      </c>
      <c r="G5905" t="s">
        <v>179</v>
      </c>
      <c r="H5905" t="s">
        <v>53</v>
      </c>
      <c r="I5905" t="s">
        <v>53</v>
      </c>
      <c r="J5905" t="s">
        <v>53</v>
      </c>
      <c r="K5905" t="s">
        <v>53</v>
      </c>
      <c r="L5905" t="s">
        <v>53</v>
      </c>
      <c r="M5905" t="s">
        <v>53</v>
      </c>
      <c r="N5905" t="s">
        <v>53</v>
      </c>
      <c r="O5905" t="s">
        <v>53</v>
      </c>
      <c r="P5905" t="s">
        <v>53</v>
      </c>
      <c r="Q5905" t="s">
        <v>53</v>
      </c>
    </row>
    <row r="5906" spans="1:17" x14ac:dyDescent="0.2">
      <c r="A5906" s="30" t="str">
        <f>IF(C5906&amp;G5906&amp;D5906&lt;&gt;'Funnel setup'!$K$3&amp;'Funnel setup'!$K$4&amp;'Funnel setup'!$K$5,".",IF(A5905=".",1,A5905+1))</f>
        <v>.</v>
      </c>
      <c r="B5906" s="431" t="str">
        <f t="shared" si="92"/>
        <v>Knee Replacement RevisionProviderYORK TEACHING HOSPITAL NHS FOUNDATION TRUST (RCB)EQ VAS</v>
      </c>
      <c r="C5906" t="s">
        <v>250</v>
      </c>
      <c r="D5906" t="s">
        <v>1</v>
      </c>
      <c r="E5906" t="s">
        <v>3515</v>
      </c>
      <c r="F5906" t="s">
        <v>343</v>
      </c>
      <c r="G5906" t="s">
        <v>179</v>
      </c>
      <c r="H5906">
        <v>17</v>
      </c>
      <c r="I5906">
        <v>55</v>
      </c>
      <c r="J5906">
        <v>63.470999999999997</v>
      </c>
      <c r="K5906">
        <v>8.4710000000000001</v>
      </c>
      <c r="L5906">
        <v>9</v>
      </c>
      <c r="M5906">
        <v>4</v>
      </c>
      <c r="N5906">
        <v>4</v>
      </c>
      <c r="O5906" t="s">
        <v>53</v>
      </c>
      <c r="P5906" t="s">
        <v>53</v>
      </c>
      <c r="Q5906" t="s">
        <v>53</v>
      </c>
    </row>
    <row r="5907" spans="1:17" x14ac:dyDescent="0.2">
      <c r="A5907" s="30" t="str">
        <f>IF(C5907&amp;G5907&amp;D5907&lt;&gt;'Funnel setup'!$K$3&amp;'Funnel setup'!$K$4&amp;'Funnel setup'!$K$5,".",IF(A5906=".",1,A5906+1))</f>
        <v>.</v>
      </c>
      <c r="B5907" s="431" t="str">
        <f t="shared" si="92"/>
        <v>Knee Replacement RevisionProviderAINTREE UNIVERSITY HOSPITAL NHS FOUNDATION TRUST (REM)EQ-5D Index</v>
      </c>
      <c r="C5907" t="s">
        <v>250</v>
      </c>
      <c r="D5907" t="s">
        <v>1</v>
      </c>
      <c r="E5907" t="s">
        <v>3838</v>
      </c>
      <c r="F5907" t="s">
        <v>3839</v>
      </c>
      <c r="G5907" t="s">
        <v>52</v>
      </c>
      <c r="H5907" t="s">
        <v>53</v>
      </c>
      <c r="I5907" t="s">
        <v>53</v>
      </c>
      <c r="J5907" t="s">
        <v>53</v>
      </c>
      <c r="K5907" t="s">
        <v>53</v>
      </c>
      <c r="L5907" t="s">
        <v>53</v>
      </c>
      <c r="M5907" t="s">
        <v>53</v>
      </c>
      <c r="N5907" t="s">
        <v>53</v>
      </c>
      <c r="O5907" t="s">
        <v>53</v>
      </c>
      <c r="P5907" t="s">
        <v>53</v>
      </c>
      <c r="Q5907" t="s">
        <v>53</v>
      </c>
    </row>
    <row r="5908" spans="1:17" x14ac:dyDescent="0.2">
      <c r="A5908" s="30" t="str">
        <f>IF(C5908&amp;G5908&amp;D5908&lt;&gt;'Funnel setup'!$K$3&amp;'Funnel setup'!$K$4&amp;'Funnel setup'!$K$5,".",IF(A5907=".",1,A5907+1))</f>
        <v>.</v>
      </c>
      <c r="B5908" s="431" t="str">
        <f t="shared" si="92"/>
        <v>Knee Replacement RevisionProviderAIREDALE NHS FOUNDATION TRUST (RCF)EQ-5D Index</v>
      </c>
      <c r="C5908" t="s">
        <v>250</v>
      </c>
      <c r="D5908" t="s">
        <v>1</v>
      </c>
      <c r="E5908" t="s">
        <v>3841</v>
      </c>
      <c r="F5908" t="s">
        <v>3842</v>
      </c>
      <c r="G5908" t="s">
        <v>52</v>
      </c>
      <c r="H5908" t="s">
        <v>53</v>
      </c>
      <c r="I5908" t="s">
        <v>53</v>
      </c>
      <c r="J5908" t="s">
        <v>53</v>
      </c>
      <c r="K5908" t="s">
        <v>53</v>
      </c>
      <c r="L5908" t="s">
        <v>53</v>
      </c>
      <c r="M5908" t="s">
        <v>53</v>
      </c>
      <c r="N5908" t="s">
        <v>53</v>
      </c>
      <c r="O5908" t="s">
        <v>53</v>
      </c>
      <c r="P5908" t="s">
        <v>53</v>
      </c>
      <c r="Q5908" t="s">
        <v>53</v>
      </c>
    </row>
    <row r="5909" spans="1:17" x14ac:dyDescent="0.2">
      <c r="A5909" s="30" t="str">
        <f>IF(C5909&amp;G5909&amp;D5909&lt;&gt;'Funnel setup'!$K$3&amp;'Funnel setup'!$K$4&amp;'Funnel setup'!$K$5,".",IF(A5908=".",1,A5908+1))</f>
        <v>.</v>
      </c>
      <c r="B5909" s="431" t="str">
        <f t="shared" si="92"/>
        <v>Knee Replacement RevisionProviderASHFORD AND ST PETER'S HOSPITALS NHS FOUNDATION TRUST (RTK)EQ-5D Index</v>
      </c>
      <c r="C5909" t="s">
        <v>250</v>
      </c>
      <c r="D5909" t="s">
        <v>1</v>
      </c>
      <c r="E5909" t="s">
        <v>3844</v>
      </c>
      <c r="F5909" t="s">
        <v>345</v>
      </c>
      <c r="G5909" t="s">
        <v>52</v>
      </c>
      <c r="H5909">
        <v>6</v>
      </c>
      <c r="I5909">
        <v>0.33100000000000002</v>
      </c>
      <c r="J5909">
        <v>0.54</v>
      </c>
      <c r="K5909">
        <v>0.20899999999999999</v>
      </c>
      <c r="L5909">
        <v>5</v>
      </c>
      <c r="M5909">
        <v>0</v>
      </c>
      <c r="N5909">
        <v>1</v>
      </c>
      <c r="O5909" t="s">
        <v>53</v>
      </c>
      <c r="P5909" t="s">
        <v>53</v>
      </c>
      <c r="Q5909" t="s">
        <v>53</v>
      </c>
    </row>
    <row r="5910" spans="1:17" x14ac:dyDescent="0.2">
      <c r="A5910" s="30" t="str">
        <f>IF(C5910&amp;G5910&amp;D5910&lt;&gt;'Funnel setup'!$K$3&amp;'Funnel setup'!$K$4&amp;'Funnel setup'!$K$5,".",IF(A5909=".",1,A5909+1))</f>
        <v>.</v>
      </c>
      <c r="B5910" s="431" t="str">
        <f t="shared" si="92"/>
        <v>Knee Replacement RevisionProviderASHTEAD HOSPITAL (NVC01)EQ-5D Index</v>
      </c>
      <c r="C5910" t="s">
        <v>250</v>
      </c>
      <c r="D5910" t="s">
        <v>1</v>
      </c>
      <c r="E5910" t="s">
        <v>3846</v>
      </c>
      <c r="F5910" t="s">
        <v>3847</v>
      </c>
      <c r="G5910" t="s">
        <v>52</v>
      </c>
      <c r="H5910" t="s">
        <v>53</v>
      </c>
      <c r="I5910" t="s">
        <v>53</v>
      </c>
      <c r="J5910" t="s">
        <v>53</v>
      </c>
      <c r="K5910" t="s">
        <v>53</v>
      </c>
      <c r="L5910" t="s">
        <v>53</v>
      </c>
      <c r="M5910" t="s">
        <v>53</v>
      </c>
      <c r="N5910" t="s">
        <v>53</v>
      </c>
      <c r="O5910" t="s">
        <v>53</v>
      </c>
      <c r="P5910" t="s">
        <v>53</v>
      </c>
      <c r="Q5910" t="s">
        <v>53</v>
      </c>
    </row>
    <row r="5911" spans="1:17" x14ac:dyDescent="0.2">
      <c r="A5911" s="30" t="str">
        <f>IF(C5911&amp;G5911&amp;D5911&lt;&gt;'Funnel setup'!$K$3&amp;'Funnel setup'!$K$4&amp;'Funnel setup'!$K$5,".",IF(A5910=".",1,A5910+1))</f>
        <v>.</v>
      </c>
      <c r="B5911" s="431" t="str">
        <f t="shared" si="92"/>
        <v>Knee Replacement RevisionProviderBARKING, HAVERING AND REDBRIDGE UNIVERSITY HOSPITALS NHS TRUST (RF4)EQ-5D Index</v>
      </c>
      <c r="C5911" t="s">
        <v>250</v>
      </c>
      <c r="D5911" t="s">
        <v>1</v>
      </c>
      <c r="E5911" t="s">
        <v>3509</v>
      </c>
      <c r="F5911" t="s">
        <v>3510</v>
      </c>
      <c r="G5911" t="s">
        <v>52</v>
      </c>
      <c r="H5911" t="s">
        <v>53</v>
      </c>
      <c r="I5911" t="s">
        <v>53</v>
      </c>
      <c r="J5911" t="s">
        <v>53</v>
      </c>
      <c r="K5911" t="s">
        <v>53</v>
      </c>
      <c r="L5911" t="s">
        <v>53</v>
      </c>
      <c r="M5911" t="s">
        <v>53</v>
      </c>
      <c r="N5911" t="s">
        <v>53</v>
      </c>
      <c r="O5911" t="s">
        <v>53</v>
      </c>
      <c r="P5911" t="s">
        <v>53</v>
      </c>
      <c r="Q5911" t="s">
        <v>53</v>
      </c>
    </row>
    <row r="5912" spans="1:17" x14ac:dyDescent="0.2">
      <c r="A5912" s="30" t="str">
        <f>IF(C5912&amp;G5912&amp;D5912&lt;&gt;'Funnel setup'!$K$3&amp;'Funnel setup'!$K$4&amp;'Funnel setup'!$K$5,".",IF(A5911=".",1,A5911+1))</f>
        <v>.</v>
      </c>
      <c r="B5912" s="431" t="str">
        <f t="shared" si="92"/>
        <v>Knee Replacement RevisionProviderBARLBOROUGH NHS TREATMENT CENTRE (NTP13)EQ-5D Index</v>
      </c>
      <c r="C5912" t="s">
        <v>250</v>
      </c>
      <c r="D5912" t="s">
        <v>1</v>
      </c>
      <c r="E5912" t="s">
        <v>4425</v>
      </c>
      <c r="F5912" t="s">
        <v>4426</v>
      </c>
      <c r="G5912" t="s">
        <v>52</v>
      </c>
      <c r="H5912">
        <v>10</v>
      </c>
      <c r="I5912">
        <v>0.44800000000000001</v>
      </c>
      <c r="J5912">
        <v>0.59699999999999998</v>
      </c>
      <c r="K5912">
        <v>0.14899999999999999</v>
      </c>
      <c r="L5912">
        <v>7</v>
      </c>
      <c r="M5912">
        <v>1</v>
      </c>
      <c r="N5912">
        <v>2</v>
      </c>
      <c r="O5912" t="s">
        <v>53</v>
      </c>
      <c r="P5912" t="s">
        <v>53</v>
      </c>
      <c r="Q5912" t="s">
        <v>53</v>
      </c>
    </row>
    <row r="5913" spans="1:17" x14ac:dyDescent="0.2">
      <c r="A5913" s="30" t="str">
        <f>IF(C5913&amp;G5913&amp;D5913&lt;&gt;'Funnel setup'!$K$3&amp;'Funnel setup'!$K$4&amp;'Funnel setup'!$K$5,".",IF(A5912=".",1,A5912+1))</f>
        <v>.</v>
      </c>
      <c r="B5913" s="431" t="str">
        <f t="shared" si="92"/>
        <v>Knee Replacement RevisionProviderBARNSLEY HOSPITAL NHS FOUNDATION TRUST (RFF)EQ-5D Index</v>
      </c>
      <c r="C5913" t="s">
        <v>250</v>
      </c>
      <c r="D5913" t="s">
        <v>1</v>
      </c>
      <c r="E5913" t="s">
        <v>3549</v>
      </c>
      <c r="F5913" t="s">
        <v>3550</v>
      </c>
      <c r="G5913" t="s">
        <v>52</v>
      </c>
      <c r="H5913">
        <v>6</v>
      </c>
      <c r="I5913">
        <v>0.33600000000000002</v>
      </c>
      <c r="J5913">
        <v>0.59299999999999997</v>
      </c>
      <c r="K5913">
        <v>0.25800000000000001</v>
      </c>
      <c r="L5913">
        <v>6</v>
      </c>
      <c r="M5913">
        <v>0</v>
      </c>
      <c r="N5913">
        <v>0</v>
      </c>
      <c r="O5913" t="s">
        <v>53</v>
      </c>
      <c r="P5913" t="s">
        <v>53</v>
      </c>
      <c r="Q5913" t="s">
        <v>53</v>
      </c>
    </row>
    <row r="5914" spans="1:17" x14ac:dyDescent="0.2">
      <c r="A5914" s="30" t="str">
        <f>IF(C5914&amp;G5914&amp;D5914&lt;&gt;'Funnel setup'!$K$3&amp;'Funnel setup'!$K$4&amp;'Funnel setup'!$K$5,".",IF(A5913=".",1,A5913+1))</f>
        <v>.</v>
      </c>
      <c r="B5914" s="431" t="str">
        <f t="shared" si="92"/>
        <v>Knee Replacement RevisionProviderBARTS HEALTH NHS TRUST (R1H)EQ-5D Index</v>
      </c>
      <c r="C5914" t="s">
        <v>250</v>
      </c>
      <c r="D5914" t="s">
        <v>1</v>
      </c>
      <c r="E5914" t="s">
        <v>3552</v>
      </c>
      <c r="F5914" t="s">
        <v>3553</v>
      </c>
      <c r="G5914" t="s">
        <v>52</v>
      </c>
      <c r="H5914" t="s">
        <v>53</v>
      </c>
      <c r="I5914" t="s">
        <v>53</v>
      </c>
      <c r="J5914" t="s">
        <v>53</v>
      </c>
      <c r="K5914" t="s">
        <v>53</v>
      </c>
      <c r="L5914" t="s">
        <v>53</v>
      </c>
      <c r="M5914" t="s">
        <v>53</v>
      </c>
      <c r="N5914" t="s">
        <v>53</v>
      </c>
      <c r="O5914" t="s">
        <v>53</v>
      </c>
      <c r="P5914" t="s">
        <v>53</v>
      </c>
      <c r="Q5914" t="s">
        <v>53</v>
      </c>
    </row>
    <row r="5915" spans="1:17" x14ac:dyDescent="0.2">
      <c r="A5915" s="30" t="str">
        <f>IF(C5915&amp;G5915&amp;D5915&lt;&gt;'Funnel setup'!$K$3&amp;'Funnel setup'!$K$4&amp;'Funnel setup'!$K$5,".",IF(A5914=".",1,A5914+1))</f>
        <v>.</v>
      </c>
      <c r="B5915" s="431" t="str">
        <f t="shared" si="92"/>
        <v>Knee Replacement RevisionProviderBASILDON AND THURROCK UNIVERSITY HOSPITALS NHS FOUNDATION TRUST (RDD)EQ-5D Index</v>
      </c>
      <c r="C5915" t="s">
        <v>250</v>
      </c>
      <c r="D5915" t="s">
        <v>1</v>
      </c>
      <c r="E5915" t="s">
        <v>3555</v>
      </c>
      <c r="F5915" t="s">
        <v>3556</v>
      </c>
      <c r="G5915" t="s">
        <v>52</v>
      </c>
      <c r="H5915">
        <v>17</v>
      </c>
      <c r="I5915">
        <v>0.34100000000000003</v>
      </c>
      <c r="J5915">
        <v>0.61299999999999999</v>
      </c>
      <c r="K5915">
        <v>0.27300000000000002</v>
      </c>
      <c r="L5915">
        <v>14</v>
      </c>
      <c r="M5915">
        <v>2</v>
      </c>
      <c r="N5915">
        <v>1</v>
      </c>
      <c r="O5915" t="s">
        <v>53</v>
      </c>
      <c r="P5915" t="s">
        <v>53</v>
      </c>
      <c r="Q5915" t="s">
        <v>53</v>
      </c>
    </row>
    <row r="5916" spans="1:17" x14ac:dyDescent="0.2">
      <c r="A5916" s="30" t="str">
        <f>IF(C5916&amp;G5916&amp;D5916&lt;&gt;'Funnel setup'!$K$3&amp;'Funnel setup'!$K$4&amp;'Funnel setup'!$K$5,".",IF(A5915=".",1,A5915+1))</f>
        <v>.</v>
      </c>
      <c r="B5916" s="431" t="str">
        <f t="shared" si="92"/>
        <v>Knee Replacement RevisionProviderBEDFORD HOSPITAL NHS TRUST (RC1)EQ-5D Index</v>
      </c>
      <c r="C5916" t="s">
        <v>250</v>
      </c>
      <c r="D5916" t="s">
        <v>1</v>
      </c>
      <c r="E5916" t="s">
        <v>3558</v>
      </c>
      <c r="F5916" t="s">
        <v>3559</v>
      </c>
      <c r="G5916" t="s">
        <v>52</v>
      </c>
      <c r="H5916" t="s">
        <v>53</v>
      </c>
      <c r="I5916" t="s">
        <v>53</v>
      </c>
      <c r="J5916" t="s">
        <v>53</v>
      </c>
      <c r="K5916" t="s">
        <v>53</v>
      </c>
      <c r="L5916" t="s">
        <v>53</v>
      </c>
      <c r="M5916" t="s">
        <v>53</v>
      </c>
      <c r="N5916" t="s">
        <v>53</v>
      </c>
      <c r="O5916" t="s">
        <v>53</v>
      </c>
      <c r="P5916" t="s">
        <v>53</v>
      </c>
      <c r="Q5916" t="s">
        <v>53</v>
      </c>
    </row>
    <row r="5917" spans="1:17" x14ac:dyDescent="0.2">
      <c r="A5917" s="30" t="str">
        <f>IF(C5917&amp;G5917&amp;D5917&lt;&gt;'Funnel setup'!$K$3&amp;'Funnel setup'!$K$4&amp;'Funnel setup'!$K$5,".",IF(A5916=".",1,A5916+1))</f>
        <v>.</v>
      </c>
      <c r="B5917" s="431" t="str">
        <f t="shared" si="92"/>
        <v>Knee Replacement RevisionProviderBMI - BATH CLINIC (NT402)EQ-5D Index</v>
      </c>
      <c r="C5917" t="s">
        <v>250</v>
      </c>
      <c r="D5917" t="s">
        <v>1</v>
      </c>
      <c r="E5917" t="s">
        <v>3488</v>
      </c>
      <c r="F5917" t="s">
        <v>3489</v>
      </c>
      <c r="G5917" t="s">
        <v>52</v>
      </c>
      <c r="H5917" t="s">
        <v>53</v>
      </c>
      <c r="I5917" t="s">
        <v>53</v>
      </c>
      <c r="J5917" t="s">
        <v>53</v>
      </c>
      <c r="K5917" t="s">
        <v>53</v>
      </c>
      <c r="L5917" t="s">
        <v>53</v>
      </c>
      <c r="M5917" t="s">
        <v>53</v>
      </c>
      <c r="N5917" t="s">
        <v>53</v>
      </c>
      <c r="O5917" t="s">
        <v>53</v>
      </c>
      <c r="P5917" t="s">
        <v>53</v>
      </c>
      <c r="Q5917" t="s">
        <v>53</v>
      </c>
    </row>
    <row r="5918" spans="1:17" x14ac:dyDescent="0.2">
      <c r="A5918" s="30" t="str">
        <f>IF(C5918&amp;G5918&amp;D5918&lt;&gt;'Funnel setup'!$K$3&amp;'Funnel setup'!$K$4&amp;'Funnel setup'!$K$5,".",IF(A5917=".",1,A5917+1))</f>
        <v>.</v>
      </c>
      <c r="B5918" s="431" t="str">
        <f t="shared" si="92"/>
        <v>Knee Replacement RevisionProviderBMI - BISHOPS WOOD (NT405)EQ-5D Index</v>
      </c>
      <c r="C5918" t="s">
        <v>250</v>
      </c>
      <c r="D5918" t="s">
        <v>1</v>
      </c>
      <c r="E5918" t="s">
        <v>3491</v>
      </c>
      <c r="F5918" t="s">
        <v>3492</v>
      </c>
      <c r="G5918" t="s">
        <v>52</v>
      </c>
      <c r="H5918" t="s">
        <v>53</v>
      </c>
      <c r="I5918" t="s">
        <v>53</v>
      </c>
      <c r="J5918" t="s">
        <v>53</v>
      </c>
      <c r="K5918" t="s">
        <v>53</v>
      </c>
      <c r="L5918" t="s">
        <v>53</v>
      </c>
      <c r="M5918" t="s">
        <v>53</v>
      </c>
      <c r="N5918" t="s">
        <v>53</v>
      </c>
      <c r="O5918" t="s">
        <v>53</v>
      </c>
      <c r="P5918" t="s">
        <v>53</v>
      </c>
      <c r="Q5918" t="s">
        <v>53</v>
      </c>
    </row>
    <row r="5919" spans="1:17" x14ac:dyDescent="0.2">
      <c r="A5919" s="30" t="str">
        <f>IF(C5919&amp;G5919&amp;D5919&lt;&gt;'Funnel setup'!$K$3&amp;'Funnel setup'!$K$4&amp;'Funnel setup'!$K$5,".",IF(A5918=".",1,A5918+1))</f>
        <v>.</v>
      </c>
      <c r="B5919" s="431" t="str">
        <f t="shared" si="92"/>
        <v>Knee Replacement RevisionProviderBMI - GORING HALL HOSPITAL (NT417)EQ-5D Index</v>
      </c>
      <c r="C5919" t="s">
        <v>250</v>
      </c>
      <c r="D5919" t="s">
        <v>1</v>
      </c>
      <c r="E5919" t="s">
        <v>3403</v>
      </c>
      <c r="F5919" t="s">
        <v>3404</v>
      </c>
      <c r="G5919" t="s">
        <v>52</v>
      </c>
      <c r="H5919">
        <v>6</v>
      </c>
      <c r="I5919">
        <v>0.32400000000000001</v>
      </c>
      <c r="J5919">
        <v>0.77800000000000002</v>
      </c>
      <c r="K5919">
        <v>0.45400000000000001</v>
      </c>
      <c r="L5919">
        <v>5</v>
      </c>
      <c r="M5919">
        <v>1</v>
      </c>
      <c r="N5919">
        <v>0</v>
      </c>
      <c r="O5919" t="s">
        <v>53</v>
      </c>
      <c r="P5919" t="s">
        <v>53</v>
      </c>
      <c r="Q5919" t="s">
        <v>53</v>
      </c>
    </row>
    <row r="5920" spans="1:17" x14ac:dyDescent="0.2">
      <c r="A5920" s="30" t="str">
        <f>IF(C5920&amp;G5920&amp;D5920&lt;&gt;'Funnel setup'!$K$3&amp;'Funnel setup'!$K$4&amp;'Funnel setup'!$K$5,".",IF(A5919=".",1,A5919+1))</f>
        <v>.</v>
      </c>
      <c r="B5920" s="431" t="str">
        <f t="shared" si="92"/>
        <v>Knee Replacement RevisionProviderBMI - THE CHILTERN HOSPITAL (NT410)EQ-5D Index</v>
      </c>
      <c r="C5920" t="s">
        <v>250</v>
      </c>
      <c r="D5920" t="s">
        <v>1</v>
      </c>
      <c r="E5920" t="s">
        <v>3594</v>
      </c>
      <c r="F5920" t="s">
        <v>3595</v>
      </c>
      <c r="G5920" t="s">
        <v>52</v>
      </c>
      <c r="H5920" t="s">
        <v>53</v>
      </c>
      <c r="I5920" t="s">
        <v>53</v>
      </c>
      <c r="J5920" t="s">
        <v>53</v>
      </c>
      <c r="K5920" t="s">
        <v>53</v>
      </c>
      <c r="L5920" t="s">
        <v>53</v>
      </c>
      <c r="M5920" t="s">
        <v>53</v>
      </c>
      <c r="N5920" t="s">
        <v>53</v>
      </c>
      <c r="O5920" t="s">
        <v>53</v>
      </c>
      <c r="P5920" t="s">
        <v>53</v>
      </c>
      <c r="Q5920" t="s">
        <v>53</v>
      </c>
    </row>
    <row r="5921" spans="1:17" x14ac:dyDescent="0.2">
      <c r="A5921" s="30" t="str">
        <f>IF(C5921&amp;G5921&amp;D5921&lt;&gt;'Funnel setup'!$K$3&amp;'Funnel setup'!$K$4&amp;'Funnel setup'!$K$5,".",IF(A5920=".",1,A5920+1))</f>
        <v>.</v>
      </c>
      <c r="B5921" s="431" t="str">
        <f t="shared" si="92"/>
        <v>Knee Replacement RevisionProviderBMI - THE DROITWICH SPA HOSPITAL (NT412)EQ-5D Index</v>
      </c>
      <c r="C5921" t="s">
        <v>250</v>
      </c>
      <c r="D5921" t="s">
        <v>1</v>
      </c>
      <c r="E5921" t="s">
        <v>3600</v>
      </c>
      <c r="F5921" t="s">
        <v>3601</v>
      </c>
      <c r="G5921" t="s">
        <v>52</v>
      </c>
      <c r="H5921" t="s">
        <v>53</v>
      </c>
      <c r="I5921" t="s">
        <v>53</v>
      </c>
      <c r="J5921" t="s">
        <v>53</v>
      </c>
      <c r="K5921" t="s">
        <v>53</v>
      </c>
      <c r="L5921" t="s">
        <v>53</v>
      </c>
      <c r="M5921" t="s">
        <v>53</v>
      </c>
      <c r="N5921" t="s">
        <v>53</v>
      </c>
      <c r="O5921" t="s">
        <v>53</v>
      </c>
      <c r="P5921" t="s">
        <v>53</v>
      </c>
      <c r="Q5921" t="s">
        <v>53</v>
      </c>
    </row>
    <row r="5922" spans="1:17" x14ac:dyDescent="0.2">
      <c r="A5922" s="30" t="str">
        <f>IF(C5922&amp;G5922&amp;D5922&lt;&gt;'Funnel setup'!$K$3&amp;'Funnel setup'!$K$4&amp;'Funnel setup'!$K$5,".",IF(A5921=".",1,A5921+1))</f>
        <v>.</v>
      </c>
      <c r="B5922" s="431" t="str">
        <f t="shared" si="92"/>
        <v>Knee Replacement RevisionProviderBMI - THE KINGS OAK HOSPITAL (NT421)EQ-5D Index</v>
      </c>
      <c r="C5922" t="s">
        <v>250</v>
      </c>
      <c r="D5922" t="s">
        <v>1</v>
      </c>
      <c r="E5922" t="s">
        <v>3618</v>
      </c>
      <c r="F5922" t="s">
        <v>3619</v>
      </c>
      <c r="G5922" t="s">
        <v>52</v>
      </c>
      <c r="H5922" t="s">
        <v>53</v>
      </c>
      <c r="I5922" t="s">
        <v>53</v>
      </c>
      <c r="J5922" t="s">
        <v>53</v>
      </c>
      <c r="K5922" t="s">
        <v>53</v>
      </c>
      <c r="L5922" t="s">
        <v>53</v>
      </c>
      <c r="M5922" t="s">
        <v>53</v>
      </c>
      <c r="N5922" t="s">
        <v>53</v>
      </c>
      <c r="O5922" t="s">
        <v>53</v>
      </c>
      <c r="P5922" t="s">
        <v>53</v>
      </c>
      <c r="Q5922" t="s">
        <v>53</v>
      </c>
    </row>
    <row r="5923" spans="1:17" x14ac:dyDescent="0.2">
      <c r="A5923" s="30" t="str">
        <f>IF(C5923&amp;G5923&amp;D5923&lt;&gt;'Funnel setup'!$K$3&amp;'Funnel setup'!$K$4&amp;'Funnel setup'!$K$5,".",IF(A5922=".",1,A5922+1))</f>
        <v>.</v>
      </c>
      <c r="B5923" s="431" t="str">
        <f t="shared" si="92"/>
        <v>Knee Replacement RevisionProviderBMI - THE MERIDEN HOSPITAL (NT424)EQ-5D Index</v>
      </c>
      <c r="C5923" t="s">
        <v>250</v>
      </c>
      <c r="D5923" t="s">
        <v>1</v>
      </c>
      <c r="E5923" t="s">
        <v>3283</v>
      </c>
      <c r="F5923" t="s">
        <v>3284</v>
      </c>
      <c r="G5923" t="s">
        <v>52</v>
      </c>
      <c r="H5923" t="s">
        <v>53</v>
      </c>
      <c r="I5923" t="s">
        <v>53</v>
      </c>
      <c r="J5923" t="s">
        <v>53</v>
      </c>
      <c r="K5923" t="s">
        <v>53</v>
      </c>
      <c r="L5923" t="s">
        <v>53</v>
      </c>
      <c r="M5923" t="s">
        <v>53</v>
      </c>
      <c r="N5923" t="s">
        <v>53</v>
      </c>
      <c r="O5923" t="s">
        <v>53</v>
      </c>
      <c r="P5923" t="s">
        <v>53</v>
      </c>
      <c r="Q5923" t="s">
        <v>53</v>
      </c>
    </row>
    <row r="5924" spans="1:17" x14ac:dyDescent="0.2">
      <c r="A5924" s="30" t="str">
        <f>IF(C5924&amp;G5924&amp;D5924&lt;&gt;'Funnel setup'!$K$3&amp;'Funnel setup'!$K$4&amp;'Funnel setup'!$K$5,".",IF(A5923=".",1,A5923+1))</f>
        <v>.</v>
      </c>
      <c r="B5924" s="431" t="str">
        <f t="shared" si="92"/>
        <v>Knee Replacement RevisionProviderBMI - THE RIDGEWAY HOSPITAL (NT430)EQ-5D Index</v>
      </c>
      <c r="C5924" t="s">
        <v>250</v>
      </c>
      <c r="D5924" t="s">
        <v>1</v>
      </c>
      <c r="E5924" t="s">
        <v>3292</v>
      </c>
      <c r="F5924" t="s">
        <v>3293</v>
      </c>
      <c r="G5924" t="s">
        <v>52</v>
      </c>
      <c r="H5924" t="s">
        <v>53</v>
      </c>
      <c r="I5924" t="s">
        <v>53</v>
      </c>
      <c r="J5924" t="s">
        <v>53</v>
      </c>
      <c r="K5924" t="s">
        <v>53</v>
      </c>
      <c r="L5924" t="s">
        <v>53</v>
      </c>
      <c r="M5924" t="s">
        <v>53</v>
      </c>
      <c r="N5924" t="s">
        <v>53</v>
      </c>
      <c r="O5924" t="s">
        <v>53</v>
      </c>
      <c r="P5924" t="s">
        <v>53</v>
      </c>
      <c r="Q5924" t="s">
        <v>53</v>
      </c>
    </row>
    <row r="5925" spans="1:17" x14ac:dyDescent="0.2">
      <c r="A5925" s="30" t="str">
        <f>IF(C5925&amp;G5925&amp;D5925&lt;&gt;'Funnel setup'!$K$3&amp;'Funnel setup'!$K$4&amp;'Funnel setup'!$K$5,".",IF(A5924=".",1,A5924+1))</f>
        <v>.</v>
      </c>
      <c r="B5925" s="431" t="str">
        <f t="shared" si="92"/>
        <v>Knee Replacement RevisionProviderBMI - THE RUNNYMEDE HOSPITAL (NT431)EQ-5D Index</v>
      </c>
      <c r="C5925" t="s">
        <v>250</v>
      </c>
      <c r="D5925" t="s">
        <v>1</v>
      </c>
      <c r="E5925" t="s">
        <v>3295</v>
      </c>
      <c r="F5925" t="s">
        <v>3296</v>
      </c>
      <c r="G5925" t="s">
        <v>52</v>
      </c>
      <c r="H5925" t="s">
        <v>53</v>
      </c>
      <c r="I5925" t="s">
        <v>53</v>
      </c>
      <c r="J5925" t="s">
        <v>53</v>
      </c>
      <c r="K5925" t="s">
        <v>53</v>
      </c>
      <c r="L5925" t="s">
        <v>53</v>
      </c>
      <c r="M5925" t="s">
        <v>53</v>
      </c>
      <c r="N5925" t="s">
        <v>53</v>
      </c>
      <c r="O5925" t="s">
        <v>53</v>
      </c>
      <c r="P5925" t="s">
        <v>53</v>
      </c>
      <c r="Q5925" t="s">
        <v>53</v>
      </c>
    </row>
    <row r="5926" spans="1:17" x14ac:dyDescent="0.2">
      <c r="A5926" s="30" t="str">
        <f>IF(C5926&amp;G5926&amp;D5926&lt;&gt;'Funnel setup'!$K$3&amp;'Funnel setup'!$K$4&amp;'Funnel setup'!$K$5,".",IF(A5925=".",1,A5925+1))</f>
        <v>.</v>
      </c>
      <c r="B5926" s="431" t="str">
        <f t="shared" si="92"/>
        <v>Knee Replacement RevisionProviderBMI - THE SOMERFIELD HOSPITAL (NT438)EQ-5D Index</v>
      </c>
      <c r="C5926" t="s">
        <v>250</v>
      </c>
      <c r="D5926" t="s">
        <v>1</v>
      </c>
      <c r="E5926" t="s">
        <v>3304</v>
      </c>
      <c r="F5926" t="s">
        <v>3305</v>
      </c>
      <c r="G5926" t="s">
        <v>52</v>
      </c>
      <c r="H5926" t="s">
        <v>53</v>
      </c>
      <c r="I5926" t="s">
        <v>53</v>
      </c>
      <c r="J5926" t="s">
        <v>53</v>
      </c>
      <c r="K5926" t="s">
        <v>53</v>
      </c>
      <c r="L5926" t="s">
        <v>53</v>
      </c>
      <c r="M5926" t="s">
        <v>53</v>
      </c>
      <c r="N5926" t="s">
        <v>53</v>
      </c>
      <c r="O5926" t="s">
        <v>53</v>
      </c>
      <c r="P5926" t="s">
        <v>53</v>
      </c>
      <c r="Q5926" t="s">
        <v>53</v>
      </c>
    </row>
    <row r="5927" spans="1:17" x14ac:dyDescent="0.2">
      <c r="A5927" s="30" t="str">
        <f>IF(C5927&amp;G5927&amp;D5927&lt;&gt;'Funnel setup'!$K$3&amp;'Funnel setup'!$K$4&amp;'Funnel setup'!$K$5,".",IF(A5926=".",1,A5926+1))</f>
        <v>.</v>
      </c>
      <c r="B5927" s="431" t="str">
        <f t="shared" si="92"/>
        <v>Knee Replacement RevisionProviderBMI - THREE SHIRES HOSPITAL (NT441)EQ-5D Index</v>
      </c>
      <c r="C5927" t="s">
        <v>250</v>
      </c>
      <c r="D5927" t="s">
        <v>1</v>
      </c>
      <c r="E5927" t="s">
        <v>3316</v>
      </c>
      <c r="F5927" t="s">
        <v>3317</v>
      </c>
      <c r="G5927" t="s">
        <v>52</v>
      </c>
      <c r="H5927" t="s">
        <v>53</v>
      </c>
      <c r="I5927" t="s">
        <v>53</v>
      </c>
      <c r="J5927" t="s">
        <v>53</v>
      </c>
      <c r="K5927" t="s">
        <v>53</v>
      </c>
      <c r="L5927" t="s">
        <v>53</v>
      </c>
      <c r="M5927" t="s">
        <v>53</v>
      </c>
      <c r="N5927" t="s">
        <v>53</v>
      </c>
      <c r="O5927" t="s">
        <v>53</v>
      </c>
      <c r="P5927" t="s">
        <v>53</v>
      </c>
      <c r="Q5927" t="s">
        <v>53</v>
      </c>
    </row>
    <row r="5928" spans="1:17" x14ac:dyDescent="0.2">
      <c r="A5928" s="30" t="str">
        <f>IF(C5928&amp;G5928&amp;D5928&lt;&gt;'Funnel setup'!$K$3&amp;'Funnel setup'!$K$4&amp;'Funnel setup'!$K$5,".",IF(A5927=".",1,A5927+1))</f>
        <v>.</v>
      </c>
      <c r="B5928" s="431" t="str">
        <f t="shared" si="92"/>
        <v>Knee Replacement RevisionProviderBMI GISBURNE PARK HOSPITAL (NT497)EQ-5D Index</v>
      </c>
      <c r="C5928" t="s">
        <v>250</v>
      </c>
      <c r="D5928" t="s">
        <v>1</v>
      </c>
      <c r="E5928" t="s">
        <v>3319</v>
      </c>
      <c r="F5928" t="s">
        <v>3320</v>
      </c>
      <c r="G5928" t="s">
        <v>52</v>
      </c>
      <c r="H5928" t="s">
        <v>53</v>
      </c>
      <c r="I5928" t="s">
        <v>53</v>
      </c>
      <c r="J5928" t="s">
        <v>53</v>
      </c>
      <c r="K5928" t="s">
        <v>53</v>
      </c>
      <c r="L5928" t="s">
        <v>53</v>
      </c>
      <c r="M5928" t="s">
        <v>53</v>
      </c>
      <c r="N5928" t="s">
        <v>53</v>
      </c>
      <c r="O5928" t="s">
        <v>53</v>
      </c>
      <c r="P5928" t="s">
        <v>53</v>
      </c>
      <c r="Q5928" t="s">
        <v>53</v>
      </c>
    </row>
    <row r="5929" spans="1:17" x14ac:dyDescent="0.2">
      <c r="A5929" s="30" t="str">
        <f>IF(C5929&amp;G5929&amp;D5929&lt;&gt;'Funnel setup'!$K$3&amp;'Funnel setup'!$K$4&amp;'Funnel setup'!$K$5,".",IF(A5928=".",1,A5928+1))</f>
        <v>.</v>
      </c>
      <c r="B5929" s="431" t="str">
        <f t="shared" si="92"/>
        <v>Knee Replacement RevisionProviderBMI THE EDGBASTON HOSPITAL (NT445)EQ-5D Index</v>
      </c>
      <c r="C5929" t="s">
        <v>250</v>
      </c>
      <c r="D5929" t="s">
        <v>1</v>
      </c>
      <c r="E5929" t="s">
        <v>3337</v>
      </c>
      <c r="F5929" t="s">
        <v>3338</v>
      </c>
      <c r="G5929" t="s">
        <v>52</v>
      </c>
      <c r="H5929" t="s">
        <v>53</v>
      </c>
      <c r="I5929" t="s">
        <v>53</v>
      </c>
      <c r="J5929" t="s">
        <v>53</v>
      </c>
      <c r="K5929" t="s">
        <v>53</v>
      </c>
      <c r="L5929" t="s">
        <v>53</v>
      </c>
      <c r="M5929" t="s">
        <v>53</v>
      </c>
      <c r="N5929" t="s">
        <v>53</v>
      </c>
      <c r="O5929" t="s">
        <v>53</v>
      </c>
      <c r="P5929" t="s">
        <v>53</v>
      </c>
      <c r="Q5929" t="s">
        <v>53</v>
      </c>
    </row>
    <row r="5930" spans="1:17" x14ac:dyDescent="0.2">
      <c r="A5930" s="30" t="str">
        <f>IF(C5930&amp;G5930&amp;D5930&lt;&gt;'Funnel setup'!$K$3&amp;'Funnel setup'!$K$4&amp;'Funnel setup'!$K$5,".",IF(A5929=".",1,A5929+1))</f>
        <v>.</v>
      </c>
      <c r="B5930" s="431" t="str">
        <f t="shared" si="92"/>
        <v>Knee Replacement RevisionProviderBMI THE LINCOLN HOSPITAL (NT450)EQ-5D Index</v>
      </c>
      <c r="C5930" t="s">
        <v>250</v>
      </c>
      <c r="D5930" t="s">
        <v>1</v>
      </c>
      <c r="E5930" t="s">
        <v>3352</v>
      </c>
      <c r="F5930" t="s">
        <v>3353</v>
      </c>
      <c r="G5930" t="s">
        <v>52</v>
      </c>
      <c r="H5930" t="s">
        <v>53</v>
      </c>
      <c r="I5930" t="s">
        <v>53</v>
      </c>
      <c r="J5930" t="s">
        <v>53</v>
      </c>
      <c r="K5930" t="s">
        <v>53</v>
      </c>
      <c r="L5930" t="s">
        <v>53</v>
      </c>
      <c r="M5930" t="s">
        <v>53</v>
      </c>
      <c r="N5930" t="s">
        <v>53</v>
      </c>
      <c r="O5930" t="s">
        <v>53</v>
      </c>
      <c r="P5930" t="s">
        <v>53</v>
      </c>
      <c r="Q5930" t="s">
        <v>53</v>
      </c>
    </row>
    <row r="5931" spans="1:17" x14ac:dyDescent="0.2">
      <c r="A5931" s="30" t="str">
        <f>IF(C5931&amp;G5931&amp;D5931&lt;&gt;'Funnel setup'!$K$3&amp;'Funnel setup'!$K$4&amp;'Funnel setup'!$K$5,".",IF(A5930=".",1,A5930+1))</f>
        <v>.</v>
      </c>
      <c r="B5931" s="431" t="str">
        <f t="shared" si="92"/>
        <v>Knee Replacement RevisionProviderBMI WOODLANDS HOSPITAL (NT457)EQ-5D Index</v>
      </c>
      <c r="C5931" t="s">
        <v>250</v>
      </c>
      <c r="D5931" t="s">
        <v>1</v>
      </c>
      <c r="E5931" t="s">
        <v>3355</v>
      </c>
      <c r="F5931" t="s">
        <v>3356</v>
      </c>
      <c r="G5931" t="s">
        <v>52</v>
      </c>
      <c r="H5931" t="s">
        <v>53</v>
      </c>
      <c r="I5931" t="s">
        <v>53</v>
      </c>
      <c r="J5931" t="s">
        <v>53</v>
      </c>
      <c r="K5931" t="s">
        <v>53</v>
      </c>
      <c r="L5931" t="s">
        <v>53</v>
      </c>
      <c r="M5931" t="s">
        <v>53</v>
      </c>
      <c r="N5931" t="s">
        <v>53</v>
      </c>
      <c r="O5931" t="s">
        <v>53</v>
      </c>
      <c r="P5931" t="s">
        <v>53</v>
      </c>
      <c r="Q5931" t="s">
        <v>53</v>
      </c>
    </row>
    <row r="5932" spans="1:17" x14ac:dyDescent="0.2">
      <c r="A5932" s="30" t="str">
        <f>IF(C5932&amp;G5932&amp;D5932&lt;&gt;'Funnel setup'!$K$3&amp;'Funnel setup'!$K$4&amp;'Funnel setup'!$K$5,".",IF(A5931=".",1,A5931+1))</f>
        <v>.</v>
      </c>
      <c r="B5932" s="431" t="str">
        <f t="shared" si="92"/>
        <v>Knee Replacement RevisionProviderBOLTON NHS FOUNDATION TRUST (RMC)EQ-5D Index</v>
      </c>
      <c r="C5932" t="s">
        <v>250</v>
      </c>
      <c r="D5932" t="s">
        <v>1</v>
      </c>
      <c r="E5932" t="s">
        <v>3358</v>
      </c>
      <c r="F5932" t="s">
        <v>3359</v>
      </c>
      <c r="G5932" t="s">
        <v>52</v>
      </c>
      <c r="H5932">
        <v>9</v>
      </c>
      <c r="I5932">
        <v>0.13800000000000001</v>
      </c>
      <c r="J5932">
        <v>0.36699999999999999</v>
      </c>
      <c r="K5932">
        <v>0.23</v>
      </c>
      <c r="L5932">
        <v>6</v>
      </c>
      <c r="M5932">
        <v>2</v>
      </c>
      <c r="N5932">
        <v>1</v>
      </c>
      <c r="O5932" t="s">
        <v>53</v>
      </c>
      <c r="P5932" t="s">
        <v>53</v>
      </c>
      <c r="Q5932" t="s">
        <v>53</v>
      </c>
    </row>
    <row r="5933" spans="1:17" x14ac:dyDescent="0.2">
      <c r="A5933" s="30" t="str">
        <f>IF(C5933&amp;G5933&amp;D5933&lt;&gt;'Funnel setup'!$K$3&amp;'Funnel setup'!$K$4&amp;'Funnel setup'!$K$5,".",IF(A5932=".",1,A5932+1))</f>
        <v>.</v>
      </c>
      <c r="B5933" s="431" t="str">
        <f t="shared" si="92"/>
        <v>Knee Replacement RevisionProviderBRADFORD TEACHING HOSPITALS NHS FOUNDATION TRUST (RAE)EQ-5D Index</v>
      </c>
      <c r="C5933" t="s">
        <v>250</v>
      </c>
      <c r="D5933" t="s">
        <v>1</v>
      </c>
      <c r="E5933" t="s">
        <v>3361</v>
      </c>
      <c r="F5933" t="s">
        <v>3362</v>
      </c>
      <c r="G5933" t="s">
        <v>52</v>
      </c>
      <c r="H5933">
        <v>10</v>
      </c>
      <c r="I5933">
        <v>0.36399999999999999</v>
      </c>
      <c r="J5933">
        <v>0.59099999999999997</v>
      </c>
      <c r="K5933">
        <v>0.22600000000000001</v>
      </c>
      <c r="L5933">
        <v>7</v>
      </c>
      <c r="M5933">
        <v>1</v>
      </c>
      <c r="N5933">
        <v>2</v>
      </c>
      <c r="O5933" t="s">
        <v>53</v>
      </c>
      <c r="P5933" t="s">
        <v>53</v>
      </c>
      <c r="Q5933" t="s">
        <v>53</v>
      </c>
    </row>
    <row r="5934" spans="1:17" x14ac:dyDescent="0.2">
      <c r="A5934" s="30" t="str">
        <f>IF(C5934&amp;G5934&amp;D5934&lt;&gt;'Funnel setup'!$K$3&amp;'Funnel setup'!$K$4&amp;'Funnel setup'!$K$5,".",IF(A5933=".",1,A5933+1))</f>
        <v>.</v>
      </c>
      <c r="B5934" s="431" t="str">
        <f t="shared" si="92"/>
        <v>Knee Replacement RevisionProviderBRIGHTON AND SUSSEX UNIVERSITY HOSPITALS NHS TRUST (RXH)EQ-5D Index</v>
      </c>
      <c r="C5934" t="s">
        <v>250</v>
      </c>
      <c r="D5934" t="s">
        <v>1</v>
      </c>
      <c r="E5934" t="s">
        <v>3367</v>
      </c>
      <c r="F5934" t="s">
        <v>3368</v>
      </c>
      <c r="G5934" t="s">
        <v>52</v>
      </c>
      <c r="H5934">
        <v>20</v>
      </c>
      <c r="I5934">
        <v>0.223</v>
      </c>
      <c r="J5934">
        <v>0.49</v>
      </c>
      <c r="K5934">
        <v>0.26700000000000002</v>
      </c>
      <c r="L5934">
        <v>15</v>
      </c>
      <c r="M5934">
        <v>4</v>
      </c>
      <c r="N5934">
        <v>1</v>
      </c>
      <c r="O5934" t="s">
        <v>53</v>
      </c>
      <c r="P5934" t="s">
        <v>53</v>
      </c>
      <c r="Q5934" t="s">
        <v>53</v>
      </c>
    </row>
    <row r="5935" spans="1:17" x14ac:dyDescent="0.2">
      <c r="A5935" s="30" t="str">
        <f>IF(C5935&amp;G5935&amp;D5935&lt;&gt;'Funnel setup'!$K$3&amp;'Funnel setup'!$K$4&amp;'Funnel setup'!$K$5,".",IF(A5934=".",1,A5934+1))</f>
        <v>.</v>
      </c>
      <c r="B5935" s="431" t="str">
        <f t="shared" si="92"/>
        <v>Knee Replacement RevisionProviderBUCKINGHAMSHIRE HEALTHCARE NHS TRUST (RXQ)EQ-5D Index</v>
      </c>
      <c r="C5935" t="s">
        <v>250</v>
      </c>
      <c r="D5935" t="s">
        <v>1</v>
      </c>
      <c r="E5935" t="s">
        <v>3370</v>
      </c>
      <c r="F5935" t="s">
        <v>3371</v>
      </c>
      <c r="G5935" t="s">
        <v>52</v>
      </c>
      <c r="H5935" t="s">
        <v>53</v>
      </c>
      <c r="I5935" t="s">
        <v>53</v>
      </c>
      <c r="J5935" t="s">
        <v>53</v>
      </c>
      <c r="K5935" t="s">
        <v>53</v>
      </c>
      <c r="L5935" t="s">
        <v>53</v>
      </c>
      <c r="M5935" t="s">
        <v>53</v>
      </c>
      <c r="N5935" t="s">
        <v>53</v>
      </c>
      <c r="O5935" t="s">
        <v>53</v>
      </c>
      <c r="P5935" t="s">
        <v>53</v>
      </c>
      <c r="Q5935" t="s">
        <v>53</v>
      </c>
    </row>
    <row r="5936" spans="1:17" x14ac:dyDescent="0.2">
      <c r="A5936" s="30" t="str">
        <f>IF(C5936&amp;G5936&amp;D5936&lt;&gt;'Funnel setup'!$K$3&amp;'Funnel setup'!$K$4&amp;'Funnel setup'!$K$5,".",IF(A5935=".",1,A5935+1))</f>
        <v>.</v>
      </c>
      <c r="B5936" s="431" t="str">
        <f t="shared" si="92"/>
        <v>Knee Replacement RevisionProviderBURTON HOSPITALS NHS FOUNDATION TRUST (RJF)EQ-5D Index</v>
      </c>
      <c r="C5936" t="s">
        <v>250</v>
      </c>
      <c r="D5936" t="s">
        <v>1</v>
      </c>
      <c r="E5936" t="s">
        <v>3373</v>
      </c>
      <c r="F5936" t="s">
        <v>3374</v>
      </c>
      <c r="G5936" t="s">
        <v>52</v>
      </c>
      <c r="H5936" t="s">
        <v>53</v>
      </c>
      <c r="I5936" t="s">
        <v>53</v>
      </c>
      <c r="J5936" t="s">
        <v>53</v>
      </c>
      <c r="K5936" t="s">
        <v>53</v>
      </c>
      <c r="L5936" t="s">
        <v>53</v>
      </c>
      <c r="M5936" t="s">
        <v>53</v>
      </c>
      <c r="N5936" t="s">
        <v>53</v>
      </c>
      <c r="O5936" t="s">
        <v>53</v>
      </c>
      <c r="P5936" t="s">
        <v>53</v>
      </c>
      <c r="Q5936" t="s">
        <v>53</v>
      </c>
    </row>
    <row r="5937" spans="1:17" x14ac:dyDescent="0.2">
      <c r="A5937" s="30" t="str">
        <f>IF(C5937&amp;G5937&amp;D5937&lt;&gt;'Funnel setup'!$K$3&amp;'Funnel setup'!$K$4&amp;'Funnel setup'!$K$5,".",IF(A5936=".",1,A5936+1))</f>
        <v>.</v>
      </c>
      <c r="B5937" s="431" t="str">
        <f t="shared" si="92"/>
        <v>Knee Replacement RevisionProviderCALDERDALE AND HUDDERSFIELD NHS FOUNDATION TRUST (RWY)EQ-5D Index</v>
      </c>
      <c r="C5937" t="s">
        <v>250</v>
      </c>
      <c r="D5937" t="s">
        <v>1</v>
      </c>
      <c r="E5937" t="s">
        <v>3379</v>
      </c>
      <c r="F5937" t="s">
        <v>3380</v>
      </c>
      <c r="G5937" t="s">
        <v>52</v>
      </c>
      <c r="H5937">
        <v>11</v>
      </c>
      <c r="I5937">
        <v>0.42699999999999999</v>
      </c>
      <c r="J5937">
        <v>0.69499999999999995</v>
      </c>
      <c r="K5937">
        <v>0.26800000000000002</v>
      </c>
      <c r="L5937">
        <v>7</v>
      </c>
      <c r="M5937">
        <v>2</v>
      </c>
      <c r="N5937">
        <v>2</v>
      </c>
      <c r="O5937" t="s">
        <v>53</v>
      </c>
      <c r="P5937" t="s">
        <v>53</v>
      </c>
      <c r="Q5937" t="s">
        <v>53</v>
      </c>
    </row>
    <row r="5938" spans="1:17" x14ac:dyDescent="0.2">
      <c r="A5938" s="30" t="str">
        <f>IF(C5938&amp;G5938&amp;D5938&lt;&gt;'Funnel setup'!$K$3&amp;'Funnel setup'!$K$4&amp;'Funnel setup'!$K$5,".",IF(A5937=".",1,A5937+1))</f>
        <v>.</v>
      </c>
      <c r="B5938" s="431" t="str">
        <f t="shared" si="92"/>
        <v>Knee Replacement RevisionProviderCAMBRIDGE UNIVERSITY HOSPITALS NHS FOUNDATION TRUST (RGT)EQ-5D Index</v>
      </c>
      <c r="C5938" t="s">
        <v>250</v>
      </c>
      <c r="D5938" t="s">
        <v>1</v>
      </c>
      <c r="E5938" t="s">
        <v>3076</v>
      </c>
      <c r="F5938" t="s">
        <v>3077</v>
      </c>
      <c r="G5938" t="s">
        <v>52</v>
      </c>
      <c r="H5938">
        <v>20</v>
      </c>
      <c r="I5938">
        <v>0.38700000000000001</v>
      </c>
      <c r="J5938">
        <v>0.68300000000000005</v>
      </c>
      <c r="K5938">
        <v>0.29599999999999999</v>
      </c>
      <c r="L5938">
        <v>13</v>
      </c>
      <c r="M5938">
        <v>5</v>
      </c>
      <c r="N5938">
        <v>2</v>
      </c>
      <c r="O5938" t="s">
        <v>53</v>
      </c>
      <c r="P5938" t="s">
        <v>53</v>
      </c>
      <c r="Q5938" t="s">
        <v>53</v>
      </c>
    </row>
    <row r="5939" spans="1:17" x14ac:dyDescent="0.2">
      <c r="A5939" s="30" t="str">
        <f>IF(C5939&amp;G5939&amp;D5939&lt;&gt;'Funnel setup'!$K$3&amp;'Funnel setup'!$K$4&amp;'Funnel setup'!$K$5,".",IF(A5938=".",1,A5938+1))</f>
        <v>.</v>
      </c>
      <c r="B5939" s="431" t="str">
        <f t="shared" si="92"/>
        <v>Knee Replacement RevisionProviderCENTRAL MANCHESTER UNIVERSITY HOSPITALS NHS FOUNDATION TRUST (RW3)EQ-5D Index</v>
      </c>
      <c r="C5939" t="s">
        <v>250</v>
      </c>
      <c r="D5939" t="s">
        <v>1</v>
      </c>
      <c r="E5939" t="s">
        <v>3079</v>
      </c>
      <c r="F5939" t="s">
        <v>3080</v>
      </c>
      <c r="G5939" t="s">
        <v>52</v>
      </c>
      <c r="H5939" t="s">
        <v>53</v>
      </c>
      <c r="I5939" t="s">
        <v>53</v>
      </c>
      <c r="J5939" t="s">
        <v>53</v>
      </c>
      <c r="K5939" t="s">
        <v>53</v>
      </c>
      <c r="L5939" t="s">
        <v>53</v>
      </c>
      <c r="M5939" t="s">
        <v>53</v>
      </c>
      <c r="N5939" t="s">
        <v>53</v>
      </c>
      <c r="O5939" t="s">
        <v>53</v>
      </c>
      <c r="P5939" t="s">
        <v>53</v>
      </c>
      <c r="Q5939" t="s">
        <v>53</v>
      </c>
    </row>
    <row r="5940" spans="1:17" x14ac:dyDescent="0.2">
      <c r="A5940" s="30" t="str">
        <f>IF(C5940&amp;G5940&amp;D5940&lt;&gt;'Funnel setup'!$K$3&amp;'Funnel setup'!$K$4&amp;'Funnel setup'!$K$5,".",IF(A5939=".",1,A5939+1))</f>
        <v>.</v>
      </c>
      <c r="B5940" s="431" t="str">
        <f t="shared" si="92"/>
        <v>Knee Replacement RevisionProviderCHESTERFIELD ROYAL HOSPITAL NHS FOUNDATION TRUST (RFS)EQ-5D Index</v>
      </c>
      <c r="C5940" t="s">
        <v>250</v>
      </c>
      <c r="D5940" t="s">
        <v>1</v>
      </c>
      <c r="E5940" t="s">
        <v>3085</v>
      </c>
      <c r="F5940" t="s">
        <v>3086</v>
      </c>
      <c r="G5940" t="s">
        <v>52</v>
      </c>
      <c r="H5940">
        <v>6</v>
      </c>
      <c r="I5940">
        <v>0.35099999999999998</v>
      </c>
      <c r="J5940">
        <v>0.48499999999999999</v>
      </c>
      <c r="K5940">
        <v>0.13500000000000001</v>
      </c>
      <c r="L5940">
        <v>3</v>
      </c>
      <c r="M5940">
        <v>1</v>
      </c>
      <c r="N5940">
        <v>2</v>
      </c>
      <c r="O5940" t="s">
        <v>53</v>
      </c>
      <c r="P5940" t="s">
        <v>53</v>
      </c>
      <c r="Q5940" t="s">
        <v>53</v>
      </c>
    </row>
    <row r="5941" spans="1:17" x14ac:dyDescent="0.2">
      <c r="A5941" s="30" t="str">
        <f>IF(C5941&amp;G5941&amp;D5941&lt;&gt;'Funnel setup'!$K$3&amp;'Funnel setup'!$K$4&amp;'Funnel setup'!$K$5,".",IF(A5940=".",1,A5940+1))</f>
        <v>.</v>
      </c>
      <c r="B5941" s="431" t="str">
        <f t="shared" si="92"/>
        <v>Knee Replacement RevisionProviderCIRCLE BATH HOSPITAL (NV302)EQ-5D Index</v>
      </c>
      <c r="C5941" t="s">
        <v>250</v>
      </c>
      <c r="D5941" t="s">
        <v>1</v>
      </c>
      <c r="E5941" t="s">
        <v>3097</v>
      </c>
      <c r="F5941" t="s">
        <v>3098</v>
      </c>
      <c r="G5941" t="s">
        <v>52</v>
      </c>
      <c r="H5941" t="s">
        <v>53</v>
      </c>
      <c r="I5941" t="s">
        <v>53</v>
      </c>
      <c r="J5941" t="s">
        <v>53</v>
      </c>
      <c r="K5941" t="s">
        <v>53</v>
      </c>
      <c r="L5941" t="s">
        <v>53</v>
      </c>
      <c r="M5941" t="s">
        <v>53</v>
      </c>
      <c r="N5941" t="s">
        <v>53</v>
      </c>
      <c r="O5941" t="s">
        <v>53</v>
      </c>
      <c r="P5941" t="s">
        <v>53</v>
      </c>
      <c r="Q5941" t="s">
        <v>53</v>
      </c>
    </row>
    <row r="5942" spans="1:17" x14ac:dyDescent="0.2">
      <c r="A5942" s="30" t="str">
        <f>IF(C5942&amp;G5942&amp;D5942&lt;&gt;'Funnel setup'!$K$3&amp;'Funnel setup'!$K$4&amp;'Funnel setup'!$K$5,".",IF(A5941=".",1,A5941+1))</f>
        <v>.</v>
      </c>
      <c r="B5942" s="431" t="str">
        <f t="shared" si="92"/>
        <v>Knee Replacement RevisionProviderCITY HOSPITALS SUNDERLAND NHS FOUNDATION TRUST (RLN)EQ-5D Index</v>
      </c>
      <c r="C5942" t="s">
        <v>250</v>
      </c>
      <c r="D5942" t="s">
        <v>1</v>
      </c>
      <c r="E5942" t="s">
        <v>3100</v>
      </c>
      <c r="F5942" t="s">
        <v>3101</v>
      </c>
      <c r="G5942" t="s">
        <v>52</v>
      </c>
      <c r="H5942">
        <v>8</v>
      </c>
      <c r="I5942">
        <v>0.33600000000000002</v>
      </c>
      <c r="J5942">
        <v>0.59299999999999997</v>
      </c>
      <c r="K5942">
        <v>0.25800000000000001</v>
      </c>
      <c r="L5942">
        <v>6</v>
      </c>
      <c r="M5942">
        <v>0</v>
      </c>
      <c r="N5942">
        <v>2</v>
      </c>
      <c r="O5942" t="s">
        <v>53</v>
      </c>
      <c r="P5942" t="s">
        <v>53</v>
      </c>
      <c r="Q5942" t="s">
        <v>53</v>
      </c>
    </row>
    <row r="5943" spans="1:17" x14ac:dyDescent="0.2">
      <c r="A5943" s="30" t="str">
        <f>IF(C5943&amp;G5943&amp;D5943&lt;&gt;'Funnel setup'!$K$3&amp;'Funnel setup'!$K$4&amp;'Funnel setup'!$K$5,".",IF(A5942=".",1,A5942+1))</f>
        <v>.</v>
      </c>
      <c r="B5943" s="431" t="str">
        <f t="shared" si="92"/>
        <v>Knee Replacement RevisionProviderCLIFTON PARK HOSPITAL (NVC28)EQ-5D Index</v>
      </c>
      <c r="C5943" t="s">
        <v>250</v>
      </c>
      <c r="D5943" t="s">
        <v>1</v>
      </c>
      <c r="E5943" t="s">
        <v>4229</v>
      </c>
      <c r="F5943" t="s">
        <v>4230</v>
      </c>
      <c r="G5943" t="s">
        <v>52</v>
      </c>
      <c r="H5943">
        <v>9</v>
      </c>
      <c r="I5943">
        <v>0.437</v>
      </c>
      <c r="J5943">
        <v>0.63700000000000001</v>
      </c>
      <c r="K5943">
        <v>0.2</v>
      </c>
      <c r="L5943">
        <v>6</v>
      </c>
      <c r="M5943">
        <v>1</v>
      </c>
      <c r="N5943">
        <v>2</v>
      </c>
      <c r="O5943" t="s">
        <v>53</v>
      </c>
      <c r="P5943" t="s">
        <v>53</v>
      </c>
      <c r="Q5943" t="s">
        <v>53</v>
      </c>
    </row>
    <row r="5944" spans="1:17" x14ac:dyDescent="0.2">
      <c r="A5944" s="30" t="str">
        <f>IF(C5944&amp;G5944&amp;D5944&lt;&gt;'Funnel setup'!$K$3&amp;'Funnel setup'!$K$4&amp;'Funnel setup'!$K$5,".",IF(A5943=".",1,A5943+1))</f>
        <v>.</v>
      </c>
      <c r="B5944" s="431" t="str">
        <f t="shared" si="92"/>
        <v>Knee Replacement RevisionProviderCOLCHESTER HOSPITAL UNIVERSITY NHS FOUNDATION TRUST (RDE)EQ-5D Index</v>
      </c>
      <c r="C5944" t="s">
        <v>250</v>
      </c>
      <c r="D5944" t="s">
        <v>1</v>
      </c>
      <c r="E5944" t="s">
        <v>3109</v>
      </c>
      <c r="F5944" t="s">
        <v>3110</v>
      </c>
      <c r="G5944" t="s">
        <v>52</v>
      </c>
      <c r="H5944">
        <v>8</v>
      </c>
      <c r="I5944">
        <v>0.318</v>
      </c>
      <c r="J5944">
        <v>0.45900000000000002</v>
      </c>
      <c r="K5944">
        <v>0.14000000000000001</v>
      </c>
      <c r="L5944">
        <v>5</v>
      </c>
      <c r="M5944">
        <v>0</v>
      </c>
      <c r="N5944">
        <v>3</v>
      </c>
      <c r="O5944" t="s">
        <v>53</v>
      </c>
      <c r="P5944" t="s">
        <v>53</v>
      </c>
      <c r="Q5944" t="s">
        <v>53</v>
      </c>
    </row>
    <row r="5945" spans="1:17" x14ac:dyDescent="0.2">
      <c r="A5945" s="30" t="str">
        <f>IF(C5945&amp;G5945&amp;D5945&lt;&gt;'Funnel setup'!$K$3&amp;'Funnel setup'!$K$4&amp;'Funnel setup'!$K$5,".",IF(A5944=".",1,A5944+1))</f>
        <v>.</v>
      </c>
      <c r="B5945" s="431" t="str">
        <f t="shared" si="92"/>
        <v>Knee Replacement RevisionProviderCOUNTESS OF CHESTER HOSPITAL NHS FOUNDATION TRUST (RJR)EQ-5D Index</v>
      </c>
      <c r="C5945" t="s">
        <v>250</v>
      </c>
      <c r="D5945" t="s">
        <v>1</v>
      </c>
      <c r="E5945" t="s">
        <v>3781</v>
      </c>
      <c r="F5945" t="s">
        <v>3782</v>
      </c>
      <c r="G5945" t="s">
        <v>52</v>
      </c>
      <c r="H5945" t="s">
        <v>53</v>
      </c>
      <c r="I5945" t="s">
        <v>53</v>
      </c>
      <c r="J5945" t="s">
        <v>53</v>
      </c>
      <c r="K5945" t="s">
        <v>53</v>
      </c>
      <c r="L5945" t="s">
        <v>53</v>
      </c>
      <c r="M5945" t="s">
        <v>53</v>
      </c>
      <c r="N5945" t="s">
        <v>53</v>
      </c>
      <c r="O5945" t="s">
        <v>53</v>
      </c>
      <c r="P5945" t="s">
        <v>53</v>
      </c>
      <c r="Q5945" t="s">
        <v>53</v>
      </c>
    </row>
    <row r="5946" spans="1:17" x14ac:dyDescent="0.2">
      <c r="A5946" s="30" t="str">
        <f>IF(C5946&amp;G5946&amp;D5946&lt;&gt;'Funnel setup'!$K$3&amp;'Funnel setup'!$K$4&amp;'Funnel setup'!$K$5,".",IF(A5945=".",1,A5945+1))</f>
        <v>.</v>
      </c>
      <c r="B5946" s="431" t="str">
        <f t="shared" si="92"/>
        <v>Knee Replacement RevisionProviderCOUNTY DURHAM AND DARLINGTON NHS FOUNDATION TRUST (RXP)EQ-5D Index</v>
      </c>
      <c r="C5946" t="s">
        <v>250</v>
      </c>
      <c r="D5946" t="s">
        <v>1</v>
      </c>
      <c r="E5946" t="s">
        <v>3784</v>
      </c>
      <c r="F5946" t="s">
        <v>3785</v>
      </c>
      <c r="G5946" t="s">
        <v>52</v>
      </c>
      <c r="H5946" t="s">
        <v>53</v>
      </c>
      <c r="I5946" t="s">
        <v>53</v>
      </c>
      <c r="J5946" t="s">
        <v>53</v>
      </c>
      <c r="K5946" t="s">
        <v>53</v>
      </c>
      <c r="L5946" t="s">
        <v>53</v>
      </c>
      <c r="M5946" t="s">
        <v>53</v>
      </c>
      <c r="N5946" t="s">
        <v>53</v>
      </c>
      <c r="O5946" t="s">
        <v>53</v>
      </c>
      <c r="P5946" t="s">
        <v>53</v>
      </c>
      <c r="Q5946" t="s">
        <v>53</v>
      </c>
    </row>
    <row r="5947" spans="1:17" x14ac:dyDescent="0.2">
      <c r="A5947" s="30" t="str">
        <f>IF(C5947&amp;G5947&amp;D5947&lt;&gt;'Funnel setup'!$K$3&amp;'Funnel setup'!$K$4&amp;'Funnel setup'!$K$5,".",IF(A5946=".",1,A5946+1))</f>
        <v>.</v>
      </c>
      <c r="B5947" s="431" t="str">
        <f t="shared" si="92"/>
        <v>Knee Replacement RevisionProviderDARTFORD AND GRAVESHAM NHS TRUST (RN7)EQ-5D Index</v>
      </c>
      <c r="C5947" t="s">
        <v>250</v>
      </c>
      <c r="D5947" t="s">
        <v>1</v>
      </c>
      <c r="E5947" t="s">
        <v>3787</v>
      </c>
      <c r="F5947" t="s">
        <v>3788</v>
      </c>
      <c r="G5947" t="s">
        <v>52</v>
      </c>
      <c r="H5947" t="s">
        <v>53</v>
      </c>
      <c r="I5947" t="s">
        <v>53</v>
      </c>
      <c r="J5947" t="s">
        <v>53</v>
      </c>
      <c r="K5947" t="s">
        <v>53</v>
      </c>
      <c r="L5947" t="s">
        <v>53</v>
      </c>
      <c r="M5947" t="s">
        <v>53</v>
      </c>
      <c r="N5947" t="s">
        <v>53</v>
      </c>
      <c r="O5947" t="s">
        <v>53</v>
      </c>
      <c r="P5947" t="s">
        <v>53</v>
      </c>
      <c r="Q5947" t="s">
        <v>53</v>
      </c>
    </row>
    <row r="5948" spans="1:17" x14ac:dyDescent="0.2">
      <c r="A5948" s="30" t="str">
        <f>IF(C5948&amp;G5948&amp;D5948&lt;&gt;'Funnel setup'!$K$3&amp;'Funnel setup'!$K$4&amp;'Funnel setup'!$K$5,".",IF(A5947=".",1,A5947+1))</f>
        <v>.</v>
      </c>
      <c r="B5948" s="431" t="str">
        <f t="shared" si="92"/>
        <v>Knee Replacement RevisionProviderDERBY TEACHING HOSPITALS NHS FOUNDATION TRUST (RTG)EQ-5D Index</v>
      </c>
      <c r="C5948" t="s">
        <v>250</v>
      </c>
      <c r="D5948" t="s">
        <v>1</v>
      </c>
      <c r="E5948" t="s">
        <v>3790</v>
      </c>
      <c r="F5948" t="s">
        <v>3791</v>
      </c>
      <c r="G5948" t="s">
        <v>52</v>
      </c>
      <c r="H5948">
        <v>13</v>
      </c>
      <c r="I5948">
        <v>0.39600000000000002</v>
      </c>
      <c r="J5948">
        <v>0.54300000000000004</v>
      </c>
      <c r="K5948">
        <v>0.14699999999999999</v>
      </c>
      <c r="L5948">
        <v>7</v>
      </c>
      <c r="M5948">
        <v>2</v>
      </c>
      <c r="N5948">
        <v>4</v>
      </c>
      <c r="O5948" t="s">
        <v>53</v>
      </c>
      <c r="P5948" t="s">
        <v>53</v>
      </c>
      <c r="Q5948" t="s">
        <v>53</v>
      </c>
    </row>
    <row r="5949" spans="1:17" x14ac:dyDescent="0.2">
      <c r="A5949" s="30" t="str">
        <f>IF(C5949&amp;G5949&amp;D5949&lt;&gt;'Funnel setup'!$K$3&amp;'Funnel setup'!$K$4&amp;'Funnel setup'!$K$5,".",IF(A5948=".",1,A5948+1))</f>
        <v>.</v>
      </c>
      <c r="B5949" s="431" t="str">
        <f t="shared" si="92"/>
        <v>Knee Replacement RevisionProviderDONCASTER AND BASSETLAW HOSPITALS NHS FOUNDATION TRUST (RP5)EQ-5D Index</v>
      </c>
      <c r="C5949" t="s">
        <v>250</v>
      </c>
      <c r="D5949" t="s">
        <v>1</v>
      </c>
      <c r="E5949" t="s">
        <v>3799</v>
      </c>
      <c r="F5949" t="s">
        <v>3800</v>
      </c>
      <c r="G5949" t="s">
        <v>52</v>
      </c>
      <c r="H5949">
        <v>23</v>
      </c>
      <c r="I5949">
        <v>0.22500000000000001</v>
      </c>
      <c r="J5949">
        <v>0.38</v>
      </c>
      <c r="K5949">
        <v>0.154</v>
      </c>
      <c r="L5949">
        <v>13</v>
      </c>
      <c r="M5949">
        <v>3</v>
      </c>
      <c r="N5949">
        <v>7</v>
      </c>
      <c r="O5949" t="s">
        <v>53</v>
      </c>
      <c r="P5949" t="s">
        <v>53</v>
      </c>
      <c r="Q5949" t="s">
        <v>53</v>
      </c>
    </row>
    <row r="5950" spans="1:17" x14ac:dyDescent="0.2">
      <c r="A5950" s="30" t="str">
        <f>IF(C5950&amp;G5950&amp;D5950&lt;&gt;'Funnel setup'!$K$3&amp;'Funnel setup'!$K$4&amp;'Funnel setup'!$K$5,".",IF(A5949=".",1,A5949+1))</f>
        <v>.</v>
      </c>
      <c r="B5950" s="431" t="str">
        <f t="shared" si="92"/>
        <v>Knee Replacement RevisionProviderDORSET COUNTY HOSPITAL NHS FOUNDATION TRUST (RBD)EQ-5D Index</v>
      </c>
      <c r="C5950" t="s">
        <v>250</v>
      </c>
      <c r="D5950" t="s">
        <v>1</v>
      </c>
      <c r="E5950" t="s">
        <v>3802</v>
      </c>
      <c r="F5950" t="s">
        <v>3803</v>
      </c>
      <c r="G5950" t="s">
        <v>52</v>
      </c>
      <c r="H5950">
        <v>6</v>
      </c>
      <c r="I5950">
        <v>0.10199999999999999</v>
      </c>
      <c r="J5950">
        <v>0.53600000000000003</v>
      </c>
      <c r="K5950">
        <v>0.433</v>
      </c>
      <c r="L5950">
        <v>6</v>
      </c>
      <c r="M5950">
        <v>0</v>
      </c>
      <c r="N5950">
        <v>0</v>
      </c>
      <c r="O5950" t="s">
        <v>53</v>
      </c>
      <c r="P5950" t="s">
        <v>53</v>
      </c>
      <c r="Q5950" t="s">
        <v>53</v>
      </c>
    </row>
    <row r="5951" spans="1:17" x14ac:dyDescent="0.2">
      <c r="A5951" s="30" t="str">
        <f>IF(C5951&amp;G5951&amp;D5951&lt;&gt;'Funnel setup'!$K$3&amp;'Funnel setup'!$K$4&amp;'Funnel setup'!$K$5,".",IF(A5950=".",1,A5950+1))</f>
        <v>.</v>
      </c>
      <c r="B5951" s="431" t="str">
        <f t="shared" si="92"/>
        <v>Knee Replacement RevisionProviderDUCHY HOSPITAL (NVC04)EQ-5D Index</v>
      </c>
      <c r="C5951" t="s">
        <v>250</v>
      </c>
      <c r="D5951" t="s">
        <v>1</v>
      </c>
      <c r="E5951" t="s">
        <v>4518</v>
      </c>
      <c r="F5951" t="s">
        <v>4519</v>
      </c>
      <c r="G5951" t="s">
        <v>52</v>
      </c>
      <c r="H5951">
        <v>10</v>
      </c>
      <c r="I5951">
        <v>0.40699999999999997</v>
      </c>
      <c r="J5951">
        <v>0.62</v>
      </c>
      <c r="K5951">
        <v>0.21299999999999999</v>
      </c>
      <c r="L5951">
        <v>4</v>
      </c>
      <c r="M5951">
        <v>4</v>
      </c>
      <c r="N5951">
        <v>2</v>
      </c>
      <c r="O5951" t="s">
        <v>53</v>
      </c>
      <c r="P5951" t="s">
        <v>53</v>
      </c>
      <c r="Q5951" t="s">
        <v>53</v>
      </c>
    </row>
    <row r="5952" spans="1:17" x14ac:dyDescent="0.2">
      <c r="A5952" s="30" t="str">
        <f>IF(C5952&amp;G5952&amp;D5952&lt;&gt;'Funnel setup'!$K$3&amp;'Funnel setup'!$K$4&amp;'Funnel setup'!$K$5,".",IF(A5951=".",1,A5951+1))</f>
        <v>.</v>
      </c>
      <c r="B5952" s="431" t="str">
        <f t="shared" si="92"/>
        <v>Knee Replacement RevisionProviderEAST AND NORTH HERTFORDSHIRE NHS TRUST (RWH)EQ-5D Index</v>
      </c>
      <c r="C5952" t="s">
        <v>250</v>
      </c>
      <c r="D5952" t="s">
        <v>1</v>
      </c>
      <c r="E5952" t="s">
        <v>3814</v>
      </c>
      <c r="F5952" t="s">
        <v>3815</v>
      </c>
      <c r="G5952" t="s">
        <v>52</v>
      </c>
      <c r="H5952">
        <v>9</v>
      </c>
      <c r="I5952">
        <v>0.32800000000000001</v>
      </c>
      <c r="J5952">
        <v>0.71499999999999997</v>
      </c>
      <c r="K5952">
        <v>0.38700000000000001</v>
      </c>
      <c r="L5952">
        <v>8</v>
      </c>
      <c r="M5952">
        <v>1</v>
      </c>
      <c r="N5952">
        <v>0</v>
      </c>
      <c r="O5952" t="s">
        <v>53</v>
      </c>
      <c r="P5952" t="s">
        <v>53</v>
      </c>
      <c r="Q5952" t="s">
        <v>53</v>
      </c>
    </row>
    <row r="5953" spans="1:17" x14ac:dyDescent="0.2">
      <c r="A5953" s="30" t="str">
        <f>IF(C5953&amp;G5953&amp;D5953&lt;&gt;'Funnel setup'!$K$3&amp;'Funnel setup'!$K$4&amp;'Funnel setup'!$K$5,".",IF(A5952=".",1,A5952+1))</f>
        <v>.</v>
      </c>
      <c r="B5953" s="431" t="str">
        <f t="shared" si="92"/>
        <v>Knee Replacement RevisionProviderEAST CHESHIRE NHS TRUST (RJN)EQ-5D Index</v>
      </c>
      <c r="C5953" t="s">
        <v>250</v>
      </c>
      <c r="D5953" t="s">
        <v>1</v>
      </c>
      <c r="E5953" t="s">
        <v>3817</v>
      </c>
      <c r="F5953" t="s">
        <v>3818</v>
      </c>
      <c r="G5953" t="s">
        <v>52</v>
      </c>
      <c r="H5953" t="s">
        <v>53</v>
      </c>
      <c r="I5953" t="s">
        <v>53</v>
      </c>
      <c r="J5953" t="s">
        <v>53</v>
      </c>
      <c r="K5953" t="s">
        <v>53</v>
      </c>
      <c r="L5953" t="s">
        <v>53</v>
      </c>
      <c r="M5953" t="s">
        <v>53</v>
      </c>
      <c r="N5953" t="s">
        <v>53</v>
      </c>
      <c r="O5953" t="s">
        <v>53</v>
      </c>
      <c r="P5953" t="s">
        <v>53</v>
      </c>
      <c r="Q5953" t="s">
        <v>53</v>
      </c>
    </row>
    <row r="5954" spans="1:17" x14ac:dyDescent="0.2">
      <c r="A5954" s="30" t="str">
        <f>IF(C5954&amp;G5954&amp;D5954&lt;&gt;'Funnel setup'!$K$3&amp;'Funnel setup'!$K$4&amp;'Funnel setup'!$K$5,".",IF(A5953=".",1,A5953+1))</f>
        <v>.</v>
      </c>
      <c r="B5954" s="431" t="str">
        <f t="shared" si="92"/>
        <v>Knee Replacement RevisionProviderEAST KENT HOSPITALS UNIVERSITY NHS FOUNDATION TRUST (RVV)EQ-5D Index</v>
      </c>
      <c r="C5954" t="s">
        <v>250</v>
      </c>
      <c r="D5954" t="s">
        <v>1</v>
      </c>
      <c r="E5954" t="s">
        <v>3820</v>
      </c>
      <c r="F5954" t="s">
        <v>3821</v>
      </c>
      <c r="G5954" t="s">
        <v>52</v>
      </c>
      <c r="H5954">
        <v>23</v>
      </c>
      <c r="I5954">
        <v>0.309</v>
      </c>
      <c r="J5954">
        <v>0.67600000000000005</v>
      </c>
      <c r="K5954">
        <v>0.36799999999999999</v>
      </c>
      <c r="L5954">
        <v>20</v>
      </c>
      <c r="M5954">
        <v>1</v>
      </c>
      <c r="N5954">
        <v>2</v>
      </c>
      <c r="O5954" t="s">
        <v>53</v>
      </c>
      <c r="P5954" t="s">
        <v>53</v>
      </c>
      <c r="Q5954" t="s">
        <v>53</v>
      </c>
    </row>
    <row r="5955" spans="1:17" x14ac:dyDescent="0.2">
      <c r="A5955" s="30" t="str">
        <f>IF(C5955&amp;G5955&amp;D5955&lt;&gt;'Funnel setup'!$K$3&amp;'Funnel setup'!$K$4&amp;'Funnel setup'!$K$5,".",IF(A5954=".",1,A5954+1))</f>
        <v>.</v>
      </c>
      <c r="B5955" s="431" t="str">
        <f t="shared" ref="B5955:B6018" si="93">C5955&amp;D5955&amp;F5955&amp;G5955</f>
        <v>Knee Replacement RevisionProviderEAST LANCASHIRE HOSPITALS NHS TRUST (RXR)EQ-5D Index</v>
      </c>
      <c r="C5955" t="s">
        <v>250</v>
      </c>
      <c r="D5955" t="s">
        <v>1</v>
      </c>
      <c r="E5955" t="s">
        <v>3823</v>
      </c>
      <c r="F5955" t="s">
        <v>3824</v>
      </c>
      <c r="G5955" t="s">
        <v>52</v>
      </c>
      <c r="H5955" t="s">
        <v>53</v>
      </c>
      <c r="I5955" t="s">
        <v>53</v>
      </c>
      <c r="J5955" t="s">
        <v>53</v>
      </c>
      <c r="K5955" t="s">
        <v>53</v>
      </c>
      <c r="L5955" t="s">
        <v>53</v>
      </c>
      <c r="M5955" t="s">
        <v>53</v>
      </c>
      <c r="N5955" t="s">
        <v>53</v>
      </c>
      <c r="O5955" t="s">
        <v>53</v>
      </c>
      <c r="P5955" t="s">
        <v>53</v>
      </c>
      <c r="Q5955" t="s">
        <v>53</v>
      </c>
    </row>
    <row r="5956" spans="1:17" x14ac:dyDescent="0.2">
      <c r="A5956" s="30" t="str">
        <f>IF(C5956&amp;G5956&amp;D5956&lt;&gt;'Funnel setup'!$K$3&amp;'Funnel setup'!$K$4&amp;'Funnel setup'!$K$5,".",IF(A5955=".",1,A5955+1))</f>
        <v>.</v>
      </c>
      <c r="B5956" s="431" t="str">
        <f t="shared" si="93"/>
        <v>Knee Replacement RevisionProviderEAST SUSSEX HEALTHCARE NHS TRUST (RXC)EQ-5D Index</v>
      </c>
      <c r="C5956" t="s">
        <v>250</v>
      </c>
      <c r="D5956" t="s">
        <v>1</v>
      </c>
      <c r="E5956" t="s">
        <v>3826</v>
      </c>
      <c r="F5956" t="s">
        <v>3827</v>
      </c>
      <c r="G5956" t="s">
        <v>52</v>
      </c>
      <c r="H5956">
        <v>22</v>
      </c>
      <c r="I5956">
        <v>0.34799999999999998</v>
      </c>
      <c r="J5956">
        <v>0.59</v>
      </c>
      <c r="K5956">
        <v>0.24199999999999999</v>
      </c>
      <c r="L5956">
        <v>17</v>
      </c>
      <c r="M5956">
        <v>2</v>
      </c>
      <c r="N5956">
        <v>3</v>
      </c>
      <c r="O5956" t="s">
        <v>53</v>
      </c>
      <c r="P5956" t="s">
        <v>53</v>
      </c>
      <c r="Q5956" t="s">
        <v>53</v>
      </c>
    </row>
    <row r="5957" spans="1:17" x14ac:dyDescent="0.2">
      <c r="A5957" s="30" t="str">
        <f>IF(C5957&amp;G5957&amp;D5957&lt;&gt;'Funnel setup'!$K$3&amp;'Funnel setup'!$K$4&amp;'Funnel setup'!$K$5,".",IF(A5956=".",1,A5956+1))</f>
        <v>.</v>
      </c>
      <c r="B5957" s="431" t="str">
        <f t="shared" si="93"/>
        <v>Knee Replacement RevisionProviderEMERSONS GREEN NHS TREATMENT CENTRE (NTPH2)EQ-5D Index</v>
      </c>
      <c r="C5957" t="s">
        <v>250</v>
      </c>
      <c r="D5957" t="s">
        <v>1</v>
      </c>
      <c r="E5957" t="s">
        <v>3829</v>
      </c>
      <c r="F5957" t="s">
        <v>3830</v>
      </c>
      <c r="G5957" t="s">
        <v>52</v>
      </c>
      <c r="H5957">
        <v>6</v>
      </c>
      <c r="I5957">
        <v>0.38900000000000001</v>
      </c>
      <c r="J5957">
        <v>0.54900000000000004</v>
      </c>
      <c r="K5957">
        <v>0.159</v>
      </c>
      <c r="L5957">
        <v>3</v>
      </c>
      <c r="M5957">
        <v>1</v>
      </c>
      <c r="N5957">
        <v>2</v>
      </c>
      <c r="O5957" t="s">
        <v>53</v>
      </c>
      <c r="P5957" t="s">
        <v>53</v>
      </c>
      <c r="Q5957" t="s">
        <v>53</v>
      </c>
    </row>
    <row r="5958" spans="1:17" x14ac:dyDescent="0.2">
      <c r="A5958" s="30" t="str">
        <f>IF(C5958&amp;G5958&amp;D5958&lt;&gt;'Funnel setup'!$K$3&amp;'Funnel setup'!$K$4&amp;'Funnel setup'!$K$5,".",IF(A5957=".",1,A5957+1))</f>
        <v>.</v>
      </c>
      <c r="B5958" s="431" t="str">
        <f t="shared" si="93"/>
        <v>Knee Replacement RevisionProviderEPSOM AND ST HELIER UNIVERSITY HOSPITALS NHS TRUST (RVR)EQ-5D Index</v>
      </c>
      <c r="C5958" t="s">
        <v>250</v>
      </c>
      <c r="D5958" t="s">
        <v>1</v>
      </c>
      <c r="E5958" t="s">
        <v>3849</v>
      </c>
      <c r="F5958" t="s">
        <v>3850</v>
      </c>
      <c r="G5958" t="s">
        <v>52</v>
      </c>
      <c r="H5958">
        <v>11</v>
      </c>
      <c r="I5958">
        <v>0.29899999999999999</v>
      </c>
      <c r="J5958">
        <v>0.67</v>
      </c>
      <c r="K5958">
        <v>0.371</v>
      </c>
      <c r="L5958">
        <v>9</v>
      </c>
      <c r="M5958">
        <v>1</v>
      </c>
      <c r="N5958">
        <v>1</v>
      </c>
      <c r="O5958" t="s">
        <v>53</v>
      </c>
      <c r="P5958" t="s">
        <v>53</v>
      </c>
      <c r="Q5958" t="s">
        <v>53</v>
      </c>
    </row>
    <row r="5959" spans="1:17" x14ac:dyDescent="0.2">
      <c r="A5959" s="30" t="str">
        <f>IF(C5959&amp;G5959&amp;D5959&lt;&gt;'Funnel setup'!$K$3&amp;'Funnel setup'!$K$4&amp;'Funnel setup'!$K$5,".",IF(A5958=".",1,A5958+1))</f>
        <v>.</v>
      </c>
      <c r="B5959" s="431" t="str">
        <f t="shared" si="93"/>
        <v>Knee Replacement RevisionProviderEUXTON HALL HOSPITAL (NVC05)EQ-5D Index</v>
      </c>
      <c r="C5959" t="s">
        <v>250</v>
      </c>
      <c r="D5959" t="s">
        <v>1</v>
      </c>
      <c r="E5959" t="s">
        <v>3852</v>
      </c>
      <c r="F5959" t="s">
        <v>3853</v>
      </c>
      <c r="G5959" t="s">
        <v>52</v>
      </c>
      <c r="H5959" t="s">
        <v>53</v>
      </c>
      <c r="I5959" t="s">
        <v>53</v>
      </c>
      <c r="J5959" t="s">
        <v>53</v>
      </c>
      <c r="K5959" t="s">
        <v>53</v>
      </c>
      <c r="L5959" t="s">
        <v>53</v>
      </c>
      <c r="M5959" t="s">
        <v>53</v>
      </c>
      <c r="N5959" t="s">
        <v>53</v>
      </c>
      <c r="O5959" t="s">
        <v>53</v>
      </c>
      <c r="P5959" t="s">
        <v>53</v>
      </c>
      <c r="Q5959" t="s">
        <v>53</v>
      </c>
    </row>
    <row r="5960" spans="1:17" x14ac:dyDescent="0.2">
      <c r="A5960" s="30" t="str">
        <f>IF(C5960&amp;G5960&amp;D5960&lt;&gt;'Funnel setup'!$K$3&amp;'Funnel setup'!$K$4&amp;'Funnel setup'!$K$5,".",IF(A5959=".",1,A5959+1))</f>
        <v>.</v>
      </c>
      <c r="B5960" s="431" t="str">
        <f t="shared" si="93"/>
        <v>Knee Replacement RevisionProviderFITZWILLIAM HOSPITAL (NVC06)EQ-5D Index</v>
      </c>
      <c r="C5960" t="s">
        <v>250</v>
      </c>
      <c r="D5960" t="s">
        <v>1</v>
      </c>
      <c r="E5960" t="s">
        <v>3858</v>
      </c>
      <c r="F5960" t="s">
        <v>3859</v>
      </c>
      <c r="G5960" t="s">
        <v>52</v>
      </c>
      <c r="H5960" t="s">
        <v>53</v>
      </c>
      <c r="I5960" t="s">
        <v>53</v>
      </c>
      <c r="J5960" t="s">
        <v>53</v>
      </c>
      <c r="K5960" t="s">
        <v>53</v>
      </c>
      <c r="L5960" t="s">
        <v>53</v>
      </c>
      <c r="M5960" t="s">
        <v>53</v>
      </c>
      <c r="N5960" t="s">
        <v>53</v>
      </c>
      <c r="O5960" t="s">
        <v>53</v>
      </c>
      <c r="P5960" t="s">
        <v>53</v>
      </c>
      <c r="Q5960" t="s">
        <v>53</v>
      </c>
    </row>
    <row r="5961" spans="1:17" x14ac:dyDescent="0.2">
      <c r="A5961" s="30" t="str">
        <f>IF(C5961&amp;G5961&amp;D5961&lt;&gt;'Funnel setup'!$K$3&amp;'Funnel setup'!$K$4&amp;'Funnel setup'!$K$5,".",IF(A5960=".",1,A5960+1))</f>
        <v>.</v>
      </c>
      <c r="B5961" s="431" t="str">
        <f t="shared" si="93"/>
        <v>Knee Replacement RevisionProviderFRIMLEY HEALTH NHS FOUNDATION TRUST (RDU)EQ-5D Index</v>
      </c>
      <c r="C5961" t="s">
        <v>250</v>
      </c>
      <c r="D5961" t="s">
        <v>1</v>
      </c>
      <c r="E5961" t="s">
        <v>3861</v>
      </c>
      <c r="F5961" t="s">
        <v>3862</v>
      </c>
      <c r="G5961" t="s">
        <v>52</v>
      </c>
      <c r="H5961">
        <v>19</v>
      </c>
      <c r="I5961">
        <v>0.40500000000000003</v>
      </c>
      <c r="J5961">
        <v>0.7</v>
      </c>
      <c r="K5961">
        <v>0.29599999999999999</v>
      </c>
      <c r="L5961">
        <v>11</v>
      </c>
      <c r="M5961">
        <v>5</v>
      </c>
      <c r="N5961">
        <v>3</v>
      </c>
      <c r="O5961" t="s">
        <v>53</v>
      </c>
      <c r="P5961" t="s">
        <v>53</v>
      </c>
      <c r="Q5961" t="s">
        <v>53</v>
      </c>
    </row>
    <row r="5962" spans="1:17" x14ac:dyDescent="0.2">
      <c r="A5962" s="30" t="str">
        <f>IF(C5962&amp;G5962&amp;D5962&lt;&gt;'Funnel setup'!$K$3&amp;'Funnel setup'!$K$4&amp;'Funnel setup'!$K$5,".",IF(A5961=".",1,A5961+1))</f>
        <v>.</v>
      </c>
      <c r="B5962" s="431" t="str">
        <f t="shared" si="93"/>
        <v>Knee Replacement RevisionProviderFULWOOD HALL HOSPITAL (NVC07)EQ-5D Index</v>
      </c>
      <c r="C5962" t="s">
        <v>250</v>
      </c>
      <c r="D5962" t="s">
        <v>1</v>
      </c>
      <c r="E5962" t="s">
        <v>3864</v>
      </c>
      <c r="F5962" t="s">
        <v>3865</v>
      </c>
      <c r="G5962" t="s">
        <v>52</v>
      </c>
      <c r="H5962" t="s">
        <v>53</v>
      </c>
      <c r="I5962" t="s">
        <v>53</v>
      </c>
      <c r="J5962" t="s">
        <v>53</v>
      </c>
      <c r="K5962" t="s">
        <v>53</v>
      </c>
      <c r="L5962" t="s">
        <v>53</v>
      </c>
      <c r="M5962" t="s">
        <v>53</v>
      </c>
      <c r="N5962" t="s">
        <v>53</v>
      </c>
      <c r="O5962" t="s">
        <v>53</v>
      </c>
      <c r="P5962" t="s">
        <v>53</v>
      </c>
      <c r="Q5962" t="s">
        <v>53</v>
      </c>
    </row>
    <row r="5963" spans="1:17" x14ac:dyDescent="0.2">
      <c r="A5963" s="30" t="str">
        <f>IF(C5963&amp;G5963&amp;D5963&lt;&gt;'Funnel setup'!$K$3&amp;'Funnel setup'!$K$4&amp;'Funnel setup'!$K$5,".",IF(A5962=".",1,A5962+1))</f>
        <v>.</v>
      </c>
      <c r="B5963" s="431" t="str">
        <f t="shared" si="93"/>
        <v>Knee Replacement RevisionProviderGATESHEAD HEALTH NHS FOUNDATION TRUST (RR7)EQ-5D Index</v>
      </c>
      <c r="C5963" t="s">
        <v>250</v>
      </c>
      <c r="D5963" t="s">
        <v>1</v>
      </c>
      <c r="E5963" t="s">
        <v>3867</v>
      </c>
      <c r="F5963" t="s">
        <v>3868</v>
      </c>
      <c r="G5963" t="s">
        <v>52</v>
      </c>
      <c r="H5963">
        <v>11</v>
      </c>
      <c r="I5963">
        <v>0.25900000000000001</v>
      </c>
      <c r="J5963">
        <v>0.54600000000000004</v>
      </c>
      <c r="K5963">
        <v>0.28699999999999998</v>
      </c>
      <c r="L5963">
        <v>7</v>
      </c>
      <c r="M5963">
        <v>0</v>
      </c>
      <c r="N5963">
        <v>4</v>
      </c>
      <c r="O5963" t="s">
        <v>53</v>
      </c>
      <c r="P5963" t="s">
        <v>53</v>
      </c>
      <c r="Q5963" t="s">
        <v>53</v>
      </c>
    </row>
    <row r="5964" spans="1:17" x14ac:dyDescent="0.2">
      <c r="A5964" s="30" t="str">
        <f>IF(C5964&amp;G5964&amp;D5964&lt;&gt;'Funnel setup'!$K$3&amp;'Funnel setup'!$K$4&amp;'Funnel setup'!$K$5,".",IF(A5963=".",1,A5963+1))</f>
        <v>.</v>
      </c>
      <c r="B5964" s="431" t="str">
        <f t="shared" si="93"/>
        <v>Knee Replacement RevisionProviderGEORGE ELIOT HOSPITAL NHS TRUST (RLT)EQ-5D Index</v>
      </c>
      <c r="C5964" t="s">
        <v>250</v>
      </c>
      <c r="D5964" t="s">
        <v>1</v>
      </c>
      <c r="E5964" t="s">
        <v>3870</v>
      </c>
      <c r="F5964" t="s">
        <v>3871</v>
      </c>
      <c r="G5964" t="s">
        <v>52</v>
      </c>
      <c r="H5964" t="s">
        <v>53</v>
      </c>
      <c r="I5964" t="s">
        <v>53</v>
      </c>
      <c r="J5964" t="s">
        <v>53</v>
      </c>
      <c r="K5964" t="s">
        <v>53</v>
      </c>
      <c r="L5964" t="s">
        <v>53</v>
      </c>
      <c r="M5964" t="s">
        <v>53</v>
      </c>
      <c r="N5964" t="s">
        <v>53</v>
      </c>
      <c r="O5964" t="s">
        <v>53</v>
      </c>
      <c r="P5964" t="s">
        <v>53</v>
      </c>
      <c r="Q5964" t="s">
        <v>53</v>
      </c>
    </row>
    <row r="5965" spans="1:17" x14ac:dyDescent="0.2">
      <c r="A5965" s="30" t="str">
        <f>IF(C5965&amp;G5965&amp;D5965&lt;&gt;'Funnel setup'!$K$3&amp;'Funnel setup'!$K$4&amp;'Funnel setup'!$K$5,".",IF(A5964=".",1,A5964+1))</f>
        <v>.</v>
      </c>
      <c r="B5965" s="431" t="str">
        <f t="shared" si="93"/>
        <v>Knee Replacement RevisionProviderGLOUCESTERSHIRE HOSPITALS NHS FOUNDATION TRUST (RTE)EQ-5D Index</v>
      </c>
      <c r="C5965" t="s">
        <v>250</v>
      </c>
      <c r="D5965" t="s">
        <v>1</v>
      </c>
      <c r="E5965" t="s">
        <v>3873</v>
      </c>
      <c r="F5965" t="s">
        <v>3874</v>
      </c>
      <c r="G5965" t="s">
        <v>52</v>
      </c>
      <c r="H5965">
        <v>25</v>
      </c>
      <c r="I5965">
        <v>0.47799999999999998</v>
      </c>
      <c r="J5965">
        <v>0.64800000000000002</v>
      </c>
      <c r="K5965">
        <v>0.17</v>
      </c>
      <c r="L5965">
        <v>15</v>
      </c>
      <c r="M5965">
        <v>3</v>
      </c>
      <c r="N5965">
        <v>7</v>
      </c>
      <c r="O5965" t="s">
        <v>53</v>
      </c>
      <c r="P5965" t="s">
        <v>53</v>
      </c>
      <c r="Q5965" t="s">
        <v>53</v>
      </c>
    </row>
    <row r="5966" spans="1:17" x14ac:dyDescent="0.2">
      <c r="A5966" s="30" t="str">
        <f>IF(C5966&amp;G5966&amp;D5966&lt;&gt;'Funnel setup'!$K$3&amp;'Funnel setup'!$K$4&amp;'Funnel setup'!$K$5,".",IF(A5965=".",1,A5965+1))</f>
        <v>.</v>
      </c>
      <c r="B5966" s="431" t="str">
        <f t="shared" si="93"/>
        <v>Knee Replacement RevisionProviderGREAT WESTERN HOSPITALS NHS FOUNDATION TRUST (RN3)EQ-5D Index</v>
      </c>
      <c r="C5966" t="s">
        <v>250</v>
      </c>
      <c r="D5966" t="s">
        <v>1</v>
      </c>
      <c r="E5966" t="s">
        <v>3876</v>
      </c>
      <c r="F5966" t="s">
        <v>3877</v>
      </c>
      <c r="G5966" t="s">
        <v>52</v>
      </c>
      <c r="H5966">
        <v>16</v>
      </c>
      <c r="I5966">
        <v>0.313</v>
      </c>
      <c r="J5966">
        <v>0.50800000000000001</v>
      </c>
      <c r="K5966">
        <v>0.19500000000000001</v>
      </c>
      <c r="L5966">
        <v>11</v>
      </c>
      <c r="M5966">
        <v>2</v>
      </c>
      <c r="N5966">
        <v>3</v>
      </c>
      <c r="O5966" t="s">
        <v>53</v>
      </c>
      <c r="P5966" t="s">
        <v>53</v>
      </c>
      <c r="Q5966" t="s">
        <v>53</v>
      </c>
    </row>
    <row r="5967" spans="1:17" x14ac:dyDescent="0.2">
      <c r="A5967" s="30" t="str">
        <f>IF(C5967&amp;G5967&amp;D5967&lt;&gt;'Funnel setup'!$K$3&amp;'Funnel setup'!$K$4&amp;'Funnel setup'!$K$5,".",IF(A5966=".",1,A5966+1))</f>
        <v>.</v>
      </c>
      <c r="B5967" s="431" t="str">
        <f t="shared" si="93"/>
        <v>Knee Replacement RevisionProviderGUY'S AND ST THOMAS' NHS FOUNDATION TRUST (RJ1)EQ-5D Index</v>
      </c>
      <c r="C5967" t="s">
        <v>250</v>
      </c>
      <c r="D5967" t="s">
        <v>1</v>
      </c>
      <c r="E5967" t="s">
        <v>3879</v>
      </c>
      <c r="F5967" t="s">
        <v>3880</v>
      </c>
      <c r="G5967" t="s">
        <v>52</v>
      </c>
      <c r="H5967" t="s">
        <v>53</v>
      </c>
      <c r="I5967" t="s">
        <v>53</v>
      </c>
      <c r="J5967" t="s">
        <v>53</v>
      </c>
      <c r="K5967" t="s">
        <v>53</v>
      </c>
      <c r="L5967" t="s">
        <v>53</v>
      </c>
      <c r="M5967" t="s">
        <v>53</v>
      </c>
      <c r="N5967" t="s">
        <v>53</v>
      </c>
      <c r="O5967" t="s">
        <v>53</v>
      </c>
      <c r="P5967" t="s">
        <v>53</v>
      </c>
      <c r="Q5967" t="s">
        <v>53</v>
      </c>
    </row>
    <row r="5968" spans="1:17" x14ac:dyDescent="0.2">
      <c r="A5968" s="30" t="str">
        <f>IF(C5968&amp;G5968&amp;D5968&lt;&gt;'Funnel setup'!$K$3&amp;'Funnel setup'!$K$4&amp;'Funnel setup'!$K$5,".",IF(A5967=".",1,A5967+1))</f>
        <v>.</v>
      </c>
      <c r="B5968" s="431" t="str">
        <f t="shared" si="93"/>
        <v>Knee Replacement RevisionProviderHAMPSHIRE HOSPITALS NHS FOUNDATION TRUST (RN5)EQ-5D Index</v>
      </c>
      <c r="C5968" t="s">
        <v>250</v>
      </c>
      <c r="D5968" t="s">
        <v>1</v>
      </c>
      <c r="E5968" t="s">
        <v>3882</v>
      </c>
      <c r="F5968" t="s">
        <v>3883</v>
      </c>
      <c r="G5968" t="s">
        <v>52</v>
      </c>
      <c r="H5968">
        <v>20</v>
      </c>
      <c r="I5968">
        <v>0.34</v>
      </c>
      <c r="J5968">
        <v>0.59299999999999997</v>
      </c>
      <c r="K5968">
        <v>0.253</v>
      </c>
      <c r="L5968">
        <v>15</v>
      </c>
      <c r="M5968">
        <v>2</v>
      </c>
      <c r="N5968">
        <v>3</v>
      </c>
      <c r="O5968" t="s">
        <v>53</v>
      </c>
      <c r="P5968" t="s">
        <v>53</v>
      </c>
      <c r="Q5968" t="s">
        <v>53</v>
      </c>
    </row>
    <row r="5969" spans="1:17" x14ac:dyDescent="0.2">
      <c r="A5969" s="30" t="str">
        <f>IF(C5969&amp;G5969&amp;D5969&lt;&gt;'Funnel setup'!$K$3&amp;'Funnel setup'!$K$4&amp;'Funnel setup'!$K$5,".",IF(A5968=".",1,A5968+1))</f>
        <v>.</v>
      </c>
      <c r="B5969" s="431" t="str">
        <f t="shared" si="93"/>
        <v>Knee Replacement RevisionProviderHARROGATE AND DISTRICT NHS FOUNDATION TRUST (RCD)EQ-5D Index</v>
      </c>
      <c r="C5969" t="s">
        <v>250</v>
      </c>
      <c r="D5969" t="s">
        <v>1</v>
      </c>
      <c r="E5969" t="s">
        <v>3885</v>
      </c>
      <c r="F5969" t="s">
        <v>3886</v>
      </c>
      <c r="G5969" t="s">
        <v>52</v>
      </c>
      <c r="H5969">
        <v>17</v>
      </c>
      <c r="I5969">
        <v>0.42699999999999999</v>
      </c>
      <c r="J5969">
        <v>0.67900000000000005</v>
      </c>
      <c r="K5969">
        <v>0.251</v>
      </c>
      <c r="L5969">
        <v>14</v>
      </c>
      <c r="M5969">
        <v>3</v>
      </c>
      <c r="N5969">
        <v>0</v>
      </c>
      <c r="O5969" t="s">
        <v>53</v>
      </c>
      <c r="P5969" t="s">
        <v>53</v>
      </c>
      <c r="Q5969" t="s">
        <v>53</v>
      </c>
    </row>
    <row r="5970" spans="1:17" x14ac:dyDescent="0.2">
      <c r="A5970" s="30" t="str">
        <f>IF(C5970&amp;G5970&amp;D5970&lt;&gt;'Funnel setup'!$K$3&amp;'Funnel setup'!$K$4&amp;'Funnel setup'!$K$5,".",IF(A5969=".",1,A5969+1))</f>
        <v>.</v>
      </c>
      <c r="B5970" s="431" t="str">
        <f t="shared" si="93"/>
        <v>Knee Replacement RevisionProviderHEART OF ENGLAND NHS FOUNDATION TRUST (RR1)EQ-5D Index</v>
      </c>
      <c r="C5970" t="s">
        <v>250</v>
      </c>
      <c r="D5970" t="s">
        <v>1</v>
      </c>
      <c r="E5970" t="s">
        <v>3888</v>
      </c>
      <c r="F5970" t="s">
        <v>3889</v>
      </c>
      <c r="G5970" t="s">
        <v>52</v>
      </c>
      <c r="H5970">
        <v>12</v>
      </c>
      <c r="I5970">
        <v>0.221</v>
      </c>
      <c r="J5970">
        <v>0.50800000000000001</v>
      </c>
      <c r="K5970">
        <v>0.28699999999999998</v>
      </c>
      <c r="L5970">
        <v>10</v>
      </c>
      <c r="M5970">
        <v>1</v>
      </c>
      <c r="N5970">
        <v>1</v>
      </c>
      <c r="O5970" t="s">
        <v>53</v>
      </c>
      <c r="P5970" t="s">
        <v>53</v>
      </c>
      <c r="Q5970" t="s">
        <v>53</v>
      </c>
    </row>
    <row r="5971" spans="1:17" x14ac:dyDescent="0.2">
      <c r="A5971" s="30" t="str">
        <f>IF(C5971&amp;G5971&amp;D5971&lt;&gt;'Funnel setup'!$K$3&amp;'Funnel setup'!$K$4&amp;'Funnel setup'!$K$5,".",IF(A5970=".",1,A5970+1))</f>
        <v>.</v>
      </c>
      <c r="B5971" s="431" t="str">
        <f t="shared" si="93"/>
        <v>Knee Replacement RevisionProviderHINCHINGBROOKE HEALTH CARE NHS TRUST (RQQ)EQ-5D Index</v>
      </c>
      <c r="C5971" t="s">
        <v>250</v>
      </c>
      <c r="D5971" t="s">
        <v>1</v>
      </c>
      <c r="E5971" t="s">
        <v>3894</v>
      </c>
      <c r="F5971" t="s">
        <v>3895</v>
      </c>
      <c r="G5971" t="s">
        <v>52</v>
      </c>
      <c r="H5971">
        <v>12</v>
      </c>
      <c r="I5971">
        <v>0.28799999999999998</v>
      </c>
      <c r="J5971">
        <v>0.60699999999999998</v>
      </c>
      <c r="K5971">
        <v>0.318</v>
      </c>
      <c r="L5971">
        <v>9</v>
      </c>
      <c r="M5971">
        <v>2</v>
      </c>
      <c r="N5971">
        <v>1</v>
      </c>
      <c r="O5971" t="s">
        <v>53</v>
      </c>
      <c r="P5971" t="s">
        <v>53</v>
      </c>
      <c r="Q5971" t="s">
        <v>53</v>
      </c>
    </row>
    <row r="5972" spans="1:17" x14ac:dyDescent="0.2">
      <c r="A5972" s="30" t="str">
        <f>IF(C5972&amp;G5972&amp;D5972&lt;&gt;'Funnel setup'!$K$3&amp;'Funnel setup'!$K$4&amp;'Funnel setup'!$K$5,".",IF(A5971=".",1,A5971+1))</f>
        <v>.</v>
      </c>
      <c r="B5972" s="431" t="str">
        <f t="shared" si="93"/>
        <v>Knee Replacement RevisionProviderHOMERTON UNIVERSITY HOSPITAL NHS FOUNDATION TRUST (RQX)EQ-5D Index</v>
      </c>
      <c r="C5972" t="s">
        <v>250</v>
      </c>
      <c r="D5972" t="s">
        <v>1</v>
      </c>
      <c r="E5972" t="s">
        <v>3897</v>
      </c>
      <c r="F5972" t="s">
        <v>3898</v>
      </c>
      <c r="G5972" t="s">
        <v>52</v>
      </c>
      <c r="H5972" t="s">
        <v>53</v>
      </c>
      <c r="I5972" t="s">
        <v>53</v>
      </c>
      <c r="J5972" t="s">
        <v>53</v>
      </c>
      <c r="K5972" t="s">
        <v>53</v>
      </c>
      <c r="L5972" t="s">
        <v>53</v>
      </c>
      <c r="M5972" t="s">
        <v>53</v>
      </c>
      <c r="N5972" t="s">
        <v>53</v>
      </c>
      <c r="O5972" t="s">
        <v>53</v>
      </c>
      <c r="P5972" t="s">
        <v>53</v>
      </c>
      <c r="Q5972" t="s">
        <v>53</v>
      </c>
    </row>
    <row r="5973" spans="1:17" x14ac:dyDescent="0.2">
      <c r="A5973" s="30" t="str">
        <f>IF(C5973&amp;G5973&amp;D5973&lt;&gt;'Funnel setup'!$K$3&amp;'Funnel setup'!$K$4&amp;'Funnel setup'!$K$5,".",IF(A5972=".",1,A5972+1))</f>
        <v>.</v>
      </c>
      <c r="B5973" s="431" t="str">
        <f t="shared" si="93"/>
        <v>Knee Replacement RevisionProviderHORTON NHS TREATMENT CENTRE (NVC25)EQ-5D Index</v>
      </c>
      <c r="C5973" t="s">
        <v>250</v>
      </c>
      <c r="D5973" t="s">
        <v>1</v>
      </c>
      <c r="E5973" t="s">
        <v>4553</v>
      </c>
      <c r="F5973" t="s">
        <v>4554</v>
      </c>
      <c r="G5973" t="s">
        <v>52</v>
      </c>
      <c r="H5973">
        <v>15</v>
      </c>
      <c r="I5973">
        <v>0.433</v>
      </c>
      <c r="J5973">
        <v>0.76400000000000001</v>
      </c>
      <c r="K5973">
        <v>0.33100000000000002</v>
      </c>
      <c r="L5973">
        <v>11</v>
      </c>
      <c r="M5973">
        <v>4</v>
      </c>
      <c r="N5973">
        <v>0</v>
      </c>
      <c r="O5973" t="s">
        <v>53</v>
      </c>
      <c r="P5973" t="s">
        <v>53</v>
      </c>
      <c r="Q5973" t="s">
        <v>53</v>
      </c>
    </row>
    <row r="5974" spans="1:17" x14ac:dyDescent="0.2">
      <c r="A5974" s="30" t="str">
        <f>IF(C5974&amp;G5974&amp;D5974&lt;&gt;'Funnel setup'!$K$3&amp;'Funnel setup'!$K$4&amp;'Funnel setup'!$K$5,".",IF(A5973=".",1,A5973+1))</f>
        <v>.</v>
      </c>
      <c r="B5974" s="431" t="str">
        <f t="shared" si="93"/>
        <v>Knee Replacement RevisionProviderHULL AND EAST YORKSHIRE HOSPITALS NHS TRUST (RWA)EQ-5D Index</v>
      </c>
      <c r="C5974" t="s">
        <v>250</v>
      </c>
      <c r="D5974" t="s">
        <v>1</v>
      </c>
      <c r="E5974" t="s">
        <v>3906</v>
      </c>
      <c r="F5974" t="s">
        <v>3907</v>
      </c>
      <c r="G5974" t="s">
        <v>52</v>
      </c>
      <c r="H5974">
        <v>19</v>
      </c>
      <c r="I5974">
        <v>0.316</v>
      </c>
      <c r="J5974">
        <v>0.53</v>
      </c>
      <c r="K5974">
        <v>0.214</v>
      </c>
      <c r="L5974">
        <v>12</v>
      </c>
      <c r="M5974">
        <v>2</v>
      </c>
      <c r="N5974">
        <v>5</v>
      </c>
      <c r="O5974" t="s">
        <v>53</v>
      </c>
      <c r="P5974" t="s">
        <v>53</v>
      </c>
      <c r="Q5974" t="s">
        <v>53</v>
      </c>
    </row>
    <row r="5975" spans="1:17" x14ac:dyDescent="0.2">
      <c r="A5975" s="30" t="str">
        <f>IF(C5975&amp;G5975&amp;D5975&lt;&gt;'Funnel setup'!$K$3&amp;'Funnel setup'!$K$4&amp;'Funnel setup'!$K$5,".",IF(A5974=".",1,A5974+1))</f>
        <v>.</v>
      </c>
      <c r="B5975" s="431" t="str">
        <f t="shared" si="93"/>
        <v>Knee Replacement RevisionProviderIMPERIAL COLLEGE HEALTHCARE NHS TRUST (RYJ)EQ-5D Index</v>
      </c>
      <c r="C5975" t="s">
        <v>250</v>
      </c>
      <c r="D5975" t="s">
        <v>1</v>
      </c>
      <c r="E5975" t="s">
        <v>4558</v>
      </c>
      <c r="F5975" t="s">
        <v>4559</v>
      </c>
      <c r="G5975" t="s">
        <v>52</v>
      </c>
      <c r="H5975" t="s">
        <v>53</v>
      </c>
      <c r="I5975" t="s">
        <v>53</v>
      </c>
      <c r="J5975" t="s">
        <v>53</v>
      </c>
      <c r="K5975" t="s">
        <v>53</v>
      </c>
      <c r="L5975" t="s">
        <v>53</v>
      </c>
      <c r="M5975" t="s">
        <v>53</v>
      </c>
      <c r="N5975" t="s">
        <v>53</v>
      </c>
      <c r="O5975" t="s">
        <v>53</v>
      </c>
      <c r="P5975" t="s">
        <v>53</v>
      </c>
      <c r="Q5975" t="s">
        <v>53</v>
      </c>
    </row>
    <row r="5976" spans="1:17" x14ac:dyDescent="0.2">
      <c r="A5976" s="30" t="str">
        <f>IF(C5976&amp;G5976&amp;D5976&lt;&gt;'Funnel setup'!$K$3&amp;'Funnel setup'!$K$4&amp;'Funnel setup'!$K$5,".",IF(A5975=".",1,A5975+1))</f>
        <v>.</v>
      </c>
      <c r="B5976" s="431" t="str">
        <f t="shared" si="93"/>
        <v>Knee Replacement RevisionProviderIPSWICH HOSPITAL NHS TRUST (RGQ)EQ-5D Index</v>
      </c>
      <c r="C5976" t="s">
        <v>250</v>
      </c>
      <c r="D5976" t="s">
        <v>1</v>
      </c>
      <c r="E5976" t="s">
        <v>3909</v>
      </c>
      <c r="F5976" t="s">
        <v>3910</v>
      </c>
      <c r="G5976" t="s">
        <v>52</v>
      </c>
      <c r="H5976" t="s">
        <v>53</v>
      </c>
      <c r="I5976" t="s">
        <v>53</v>
      </c>
      <c r="J5976" t="s">
        <v>53</v>
      </c>
      <c r="K5976" t="s">
        <v>53</v>
      </c>
      <c r="L5976" t="s">
        <v>53</v>
      </c>
      <c r="M5976" t="s">
        <v>53</v>
      </c>
      <c r="N5976" t="s">
        <v>53</v>
      </c>
      <c r="O5976" t="s">
        <v>53</v>
      </c>
      <c r="P5976" t="s">
        <v>53</v>
      </c>
      <c r="Q5976" t="s">
        <v>53</v>
      </c>
    </row>
    <row r="5977" spans="1:17" x14ac:dyDescent="0.2">
      <c r="A5977" s="30" t="str">
        <f>IF(C5977&amp;G5977&amp;D5977&lt;&gt;'Funnel setup'!$K$3&amp;'Funnel setup'!$K$4&amp;'Funnel setup'!$K$5,".",IF(A5976=".",1,A5976+1))</f>
        <v>.</v>
      </c>
      <c r="B5977" s="431" t="str">
        <f t="shared" si="93"/>
        <v>Knee Replacement RevisionProviderISLE OF WIGHT NHS TRUST (R1F)EQ-5D Index</v>
      </c>
      <c r="C5977" t="s">
        <v>250</v>
      </c>
      <c r="D5977" t="s">
        <v>1</v>
      </c>
      <c r="E5977" t="s">
        <v>3912</v>
      </c>
      <c r="F5977" t="s">
        <v>3913</v>
      </c>
      <c r="G5977" t="s">
        <v>52</v>
      </c>
      <c r="H5977" t="s">
        <v>53</v>
      </c>
      <c r="I5977" t="s">
        <v>53</v>
      </c>
      <c r="J5977" t="s">
        <v>53</v>
      </c>
      <c r="K5977" t="s">
        <v>53</v>
      </c>
      <c r="L5977" t="s">
        <v>53</v>
      </c>
      <c r="M5977" t="s">
        <v>53</v>
      </c>
      <c r="N5977" t="s">
        <v>53</v>
      </c>
      <c r="O5977" t="s">
        <v>53</v>
      </c>
      <c r="P5977" t="s">
        <v>53</v>
      </c>
      <c r="Q5977" t="s">
        <v>53</v>
      </c>
    </row>
    <row r="5978" spans="1:17" x14ac:dyDescent="0.2">
      <c r="A5978" s="30" t="str">
        <f>IF(C5978&amp;G5978&amp;D5978&lt;&gt;'Funnel setup'!$K$3&amp;'Funnel setup'!$K$4&amp;'Funnel setup'!$K$5,".",IF(A5977=".",1,A5977+1))</f>
        <v>.</v>
      </c>
      <c r="B5978" s="431" t="str">
        <f t="shared" si="93"/>
        <v>Knee Replacement RevisionProviderJAMES PAGET UNIVERSITY HOSPITALS NHS FOUNDATION TRUST (RGP)EQ-5D Index</v>
      </c>
      <c r="C5978" t="s">
        <v>250</v>
      </c>
      <c r="D5978" t="s">
        <v>1</v>
      </c>
      <c r="E5978" t="s">
        <v>3915</v>
      </c>
      <c r="F5978" t="s">
        <v>3916</v>
      </c>
      <c r="G5978" t="s">
        <v>52</v>
      </c>
      <c r="H5978">
        <v>8</v>
      </c>
      <c r="I5978">
        <v>0.36599999999999999</v>
      </c>
      <c r="J5978">
        <v>0.60599999999999998</v>
      </c>
      <c r="K5978">
        <v>0.24</v>
      </c>
      <c r="L5978">
        <v>5</v>
      </c>
      <c r="M5978">
        <v>1</v>
      </c>
      <c r="N5978">
        <v>2</v>
      </c>
      <c r="O5978" t="s">
        <v>53</v>
      </c>
      <c r="P5978" t="s">
        <v>53</v>
      </c>
      <c r="Q5978" t="s">
        <v>53</v>
      </c>
    </row>
    <row r="5979" spans="1:17" x14ac:dyDescent="0.2">
      <c r="A5979" s="30" t="str">
        <f>IF(C5979&amp;G5979&amp;D5979&lt;&gt;'Funnel setup'!$K$3&amp;'Funnel setup'!$K$4&amp;'Funnel setup'!$K$5,".",IF(A5978=".",1,A5978+1))</f>
        <v>.</v>
      </c>
      <c r="B5979" s="431" t="str">
        <f t="shared" si="93"/>
        <v>Knee Replacement RevisionProviderKETTERING GENERAL HOSPITAL NHS FOUNDATION TRUST (RNQ)EQ-5D Index</v>
      </c>
      <c r="C5979" t="s">
        <v>250</v>
      </c>
      <c r="D5979" t="s">
        <v>1</v>
      </c>
      <c r="E5979" t="s">
        <v>3918</v>
      </c>
      <c r="F5979" t="s">
        <v>3919</v>
      </c>
      <c r="G5979" t="s">
        <v>52</v>
      </c>
      <c r="H5979" t="s">
        <v>53</v>
      </c>
      <c r="I5979" t="s">
        <v>53</v>
      </c>
      <c r="J5979" t="s">
        <v>53</v>
      </c>
      <c r="K5979" t="s">
        <v>53</v>
      </c>
      <c r="L5979" t="s">
        <v>53</v>
      </c>
      <c r="M5979" t="s">
        <v>53</v>
      </c>
      <c r="N5979" t="s">
        <v>53</v>
      </c>
      <c r="O5979" t="s">
        <v>53</v>
      </c>
      <c r="P5979" t="s">
        <v>53</v>
      </c>
      <c r="Q5979" t="s">
        <v>53</v>
      </c>
    </row>
    <row r="5980" spans="1:17" x14ac:dyDescent="0.2">
      <c r="A5980" s="30" t="str">
        <f>IF(C5980&amp;G5980&amp;D5980&lt;&gt;'Funnel setup'!$K$3&amp;'Funnel setup'!$K$4&amp;'Funnel setup'!$K$5,".",IF(A5979=".",1,A5979+1))</f>
        <v>.</v>
      </c>
      <c r="B5980" s="431" t="str">
        <f t="shared" si="93"/>
        <v>Knee Replacement RevisionProviderKING'S COLLEGE HOSPITAL NHS FOUNDATION TRUST (RJZ)EQ-5D Index</v>
      </c>
      <c r="C5980" t="s">
        <v>250</v>
      </c>
      <c r="D5980" t="s">
        <v>1</v>
      </c>
      <c r="E5980" t="s">
        <v>3924</v>
      </c>
      <c r="F5980" t="s">
        <v>3925</v>
      </c>
      <c r="G5980" t="s">
        <v>52</v>
      </c>
      <c r="H5980">
        <v>6</v>
      </c>
      <c r="I5980">
        <v>0.24</v>
      </c>
      <c r="J5980">
        <v>0.42199999999999999</v>
      </c>
      <c r="K5980">
        <v>0.182</v>
      </c>
      <c r="L5980">
        <v>4</v>
      </c>
      <c r="M5980">
        <v>0</v>
      </c>
      <c r="N5980">
        <v>2</v>
      </c>
      <c r="O5980" t="s">
        <v>53</v>
      </c>
      <c r="P5980" t="s">
        <v>53</v>
      </c>
      <c r="Q5980" t="s">
        <v>53</v>
      </c>
    </row>
    <row r="5981" spans="1:17" x14ac:dyDescent="0.2">
      <c r="A5981" s="30" t="str">
        <f>IF(C5981&amp;G5981&amp;D5981&lt;&gt;'Funnel setup'!$K$3&amp;'Funnel setup'!$K$4&amp;'Funnel setup'!$K$5,".",IF(A5980=".",1,A5980+1))</f>
        <v>.</v>
      </c>
      <c r="B5981" s="431" t="str">
        <f t="shared" si="93"/>
        <v>Knee Replacement RevisionProviderLANCASHIRE TEACHING HOSPITALS NHS FOUNDATION TRUST (RXN)EQ-5D Index</v>
      </c>
      <c r="C5981" t="s">
        <v>250</v>
      </c>
      <c r="D5981" t="s">
        <v>1</v>
      </c>
      <c r="E5981" t="s">
        <v>3567</v>
      </c>
      <c r="F5981" t="s">
        <v>3568</v>
      </c>
      <c r="G5981" t="s">
        <v>52</v>
      </c>
      <c r="H5981">
        <v>10</v>
      </c>
      <c r="I5981">
        <v>0.51100000000000001</v>
      </c>
      <c r="J5981">
        <v>0.45500000000000002</v>
      </c>
      <c r="K5981">
        <v>-5.7000000000000002E-2</v>
      </c>
      <c r="L5981">
        <v>1</v>
      </c>
      <c r="M5981">
        <v>6</v>
      </c>
      <c r="N5981">
        <v>3</v>
      </c>
      <c r="O5981" t="s">
        <v>53</v>
      </c>
      <c r="P5981" t="s">
        <v>53</v>
      </c>
      <c r="Q5981" t="s">
        <v>53</v>
      </c>
    </row>
    <row r="5982" spans="1:17" x14ac:dyDescent="0.2">
      <c r="A5982" s="30" t="str">
        <f>IF(C5982&amp;G5982&amp;D5982&lt;&gt;'Funnel setup'!$K$3&amp;'Funnel setup'!$K$4&amp;'Funnel setup'!$K$5,".",IF(A5981=".",1,A5981+1))</f>
        <v>.</v>
      </c>
      <c r="B5982" s="431" t="str">
        <f t="shared" si="93"/>
        <v>Knee Replacement RevisionProviderLEEDS TEACHING HOSPITALS NHS TRUST (RR8)EQ-5D Index</v>
      </c>
      <c r="C5982" t="s">
        <v>250</v>
      </c>
      <c r="D5982" t="s">
        <v>1</v>
      </c>
      <c r="E5982" t="s">
        <v>3930</v>
      </c>
      <c r="F5982" t="s">
        <v>344</v>
      </c>
      <c r="G5982" t="s">
        <v>52</v>
      </c>
      <c r="H5982">
        <v>10</v>
      </c>
      <c r="I5982">
        <v>0.34399999999999997</v>
      </c>
      <c r="J5982">
        <v>0.64300000000000002</v>
      </c>
      <c r="K5982">
        <v>0.29799999999999999</v>
      </c>
      <c r="L5982">
        <v>7</v>
      </c>
      <c r="M5982">
        <v>2</v>
      </c>
      <c r="N5982">
        <v>1</v>
      </c>
      <c r="O5982" t="s">
        <v>53</v>
      </c>
      <c r="P5982" t="s">
        <v>53</v>
      </c>
      <c r="Q5982" t="s">
        <v>53</v>
      </c>
    </row>
    <row r="5983" spans="1:17" x14ac:dyDescent="0.2">
      <c r="A5983" s="30" t="str">
        <f>IF(C5983&amp;G5983&amp;D5983&lt;&gt;'Funnel setup'!$K$3&amp;'Funnel setup'!$K$4&amp;'Funnel setup'!$K$5,".",IF(A5982=".",1,A5982+1))</f>
        <v>.</v>
      </c>
      <c r="B5983" s="431" t="str">
        <f t="shared" si="93"/>
        <v>Knee Replacement RevisionProviderLEWISHAM AND GREENWICH NHS TRUST (RJ2)EQ-5D Index</v>
      </c>
      <c r="C5983" t="s">
        <v>250</v>
      </c>
      <c r="D5983" t="s">
        <v>1</v>
      </c>
      <c r="E5983" t="s">
        <v>3522</v>
      </c>
      <c r="F5983" t="s">
        <v>3523</v>
      </c>
      <c r="G5983" t="s">
        <v>52</v>
      </c>
      <c r="H5983" t="s">
        <v>53</v>
      </c>
      <c r="I5983" t="s">
        <v>53</v>
      </c>
      <c r="J5983" t="s">
        <v>53</v>
      </c>
      <c r="K5983" t="s">
        <v>53</v>
      </c>
      <c r="L5983" t="s">
        <v>53</v>
      </c>
      <c r="M5983" t="s">
        <v>53</v>
      </c>
      <c r="N5983" t="s">
        <v>53</v>
      </c>
      <c r="O5983" t="s">
        <v>53</v>
      </c>
      <c r="P5983" t="s">
        <v>53</v>
      </c>
      <c r="Q5983" t="s">
        <v>53</v>
      </c>
    </row>
    <row r="5984" spans="1:17" x14ac:dyDescent="0.2">
      <c r="A5984" s="30" t="str">
        <f>IF(C5984&amp;G5984&amp;D5984&lt;&gt;'Funnel setup'!$K$3&amp;'Funnel setup'!$K$4&amp;'Funnel setup'!$K$5,".",IF(A5983=".",1,A5983+1))</f>
        <v>.</v>
      </c>
      <c r="B5984" s="431" t="str">
        <f t="shared" si="93"/>
        <v>Knee Replacement RevisionProviderLONDON NORTH WEST HEALTHCARE NHS TRUST (R1K)EQ-5D Index</v>
      </c>
      <c r="C5984" t="s">
        <v>250</v>
      </c>
      <c r="D5984" t="s">
        <v>1</v>
      </c>
      <c r="E5984" t="s">
        <v>6515</v>
      </c>
      <c r="F5984" t="s">
        <v>6516</v>
      </c>
      <c r="G5984" t="s">
        <v>52</v>
      </c>
      <c r="H5984">
        <v>8</v>
      </c>
      <c r="I5984">
        <v>0.434</v>
      </c>
      <c r="J5984">
        <v>0.61399999999999999</v>
      </c>
      <c r="K5984">
        <v>0.18</v>
      </c>
      <c r="L5984">
        <v>6</v>
      </c>
      <c r="M5984">
        <v>0</v>
      </c>
      <c r="N5984">
        <v>2</v>
      </c>
      <c r="O5984" t="s">
        <v>53</v>
      </c>
      <c r="P5984" t="s">
        <v>53</v>
      </c>
      <c r="Q5984" t="s">
        <v>53</v>
      </c>
    </row>
    <row r="5985" spans="1:17" x14ac:dyDescent="0.2">
      <c r="A5985" s="30" t="str">
        <f>IF(C5985&amp;G5985&amp;D5985&lt;&gt;'Funnel setup'!$K$3&amp;'Funnel setup'!$K$4&amp;'Funnel setup'!$K$5,".",IF(A5984=".",1,A5984+1))</f>
        <v>.</v>
      </c>
      <c r="B5985" s="431" t="str">
        <f t="shared" si="93"/>
        <v>Knee Replacement RevisionProviderLUTON AND DUNSTABLE UNIVERSITY HOSPITAL NHS FOUNDATION TRUST (RC9)EQ-5D Index</v>
      </c>
      <c r="C5985" t="s">
        <v>250</v>
      </c>
      <c r="D5985" t="s">
        <v>1</v>
      </c>
      <c r="E5985" t="s">
        <v>3528</v>
      </c>
      <c r="F5985" t="s">
        <v>3529</v>
      </c>
      <c r="G5985" t="s">
        <v>52</v>
      </c>
      <c r="H5985" t="s">
        <v>53</v>
      </c>
      <c r="I5985" t="s">
        <v>53</v>
      </c>
      <c r="J5985" t="s">
        <v>53</v>
      </c>
      <c r="K5985" t="s">
        <v>53</v>
      </c>
      <c r="L5985" t="s">
        <v>53</v>
      </c>
      <c r="M5985" t="s">
        <v>53</v>
      </c>
      <c r="N5985" t="s">
        <v>53</v>
      </c>
      <c r="O5985" t="s">
        <v>53</v>
      </c>
      <c r="P5985" t="s">
        <v>53</v>
      </c>
      <c r="Q5985" t="s">
        <v>53</v>
      </c>
    </row>
    <row r="5986" spans="1:17" x14ac:dyDescent="0.2">
      <c r="A5986" s="30" t="str">
        <f>IF(C5986&amp;G5986&amp;D5986&lt;&gt;'Funnel setup'!$K$3&amp;'Funnel setup'!$K$4&amp;'Funnel setup'!$K$5,".",IF(A5985=".",1,A5985+1))</f>
        <v>.</v>
      </c>
      <c r="B5986" s="431" t="str">
        <f t="shared" si="93"/>
        <v>Knee Replacement RevisionProviderMEDWAY NHS FOUNDATION TRUST (RPA)EQ-5D Index</v>
      </c>
      <c r="C5986" t="s">
        <v>250</v>
      </c>
      <c r="D5986" t="s">
        <v>1</v>
      </c>
      <c r="E5986" t="s">
        <v>3630</v>
      </c>
      <c r="F5986" t="s">
        <v>3631</v>
      </c>
      <c r="G5986" t="s">
        <v>52</v>
      </c>
      <c r="H5986" t="s">
        <v>53</v>
      </c>
      <c r="I5986" t="s">
        <v>53</v>
      </c>
      <c r="J5986" t="s">
        <v>53</v>
      </c>
      <c r="K5986" t="s">
        <v>53</v>
      </c>
      <c r="L5986" t="s">
        <v>53</v>
      </c>
      <c r="M5986" t="s">
        <v>53</v>
      </c>
      <c r="N5986" t="s">
        <v>53</v>
      </c>
      <c r="O5986" t="s">
        <v>53</v>
      </c>
      <c r="P5986" t="s">
        <v>53</v>
      </c>
      <c r="Q5986" t="s">
        <v>53</v>
      </c>
    </row>
    <row r="5987" spans="1:17" x14ac:dyDescent="0.2">
      <c r="A5987" s="30" t="str">
        <f>IF(C5987&amp;G5987&amp;D5987&lt;&gt;'Funnel setup'!$K$3&amp;'Funnel setup'!$K$4&amp;'Funnel setup'!$K$5,".",IF(A5986=".",1,A5986+1))</f>
        <v>.</v>
      </c>
      <c r="B5987" s="431" t="str">
        <f t="shared" si="93"/>
        <v>Knee Replacement RevisionProviderMID CHESHIRE HOSPITALS NHS FOUNDATION TRUST (RBT)EQ-5D Index</v>
      </c>
      <c r="C5987" t="s">
        <v>250</v>
      </c>
      <c r="D5987" t="s">
        <v>1</v>
      </c>
      <c r="E5987" t="s">
        <v>3633</v>
      </c>
      <c r="F5987" t="s">
        <v>342</v>
      </c>
      <c r="G5987" t="s">
        <v>52</v>
      </c>
      <c r="H5987" t="s">
        <v>53</v>
      </c>
      <c r="I5987" t="s">
        <v>53</v>
      </c>
      <c r="J5987" t="s">
        <v>53</v>
      </c>
      <c r="K5987" t="s">
        <v>53</v>
      </c>
      <c r="L5987" t="s">
        <v>53</v>
      </c>
      <c r="M5987" t="s">
        <v>53</v>
      </c>
      <c r="N5987" t="s">
        <v>53</v>
      </c>
      <c r="O5987" t="s">
        <v>53</v>
      </c>
      <c r="P5987" t="s">
        <v>53</v>
      </c>
      <c r="Q5987" t="s">
        <v>53</v>
      </c>
    </row>
    <row r="5988" spans="1:17" x14ac:dyDescent="0.2">
      <c r="A5988" s="30" t="str">
        <f>IF(C5988&amp;G5988&amp;D5988&lt;&gt;'Funnel setup'!$K$3&amp;'Funnel setup'!$K$4&amp;'Funnel setup'!$K$5,".",IF(A5987=".",1,A5987+1))</f>
        <v>.</v>
      </c>
      <c r="B5988" s="431" t="str">
        <f t="shared" si="93"/>
        <v>Knee Replacement RevisionProviderMID ESSEX HOSPITAL SERVICES NHS TRUST (RQ8)EQ-5D Index</v>
      </c>
      <c r="C5988" t="s">
        <v>250</v>
      </c>
      <c r="D5988" t="s">
        <v>1</v>
      </c>
      <c r="E5988" t="s">
        <v>3635</v>
      </c>
      <c r="F5988" t="s">
        <v>3636</v>
      </c>
      <c r="G5988" t="s">
        <v>52</v>
      </c>
      <c r="H5988">
        <v>9</v>
      </c>
      <c r="I5988">
        <v>0.24099999999999999</v>
      </c>
      <c r="J5988">
        <v>0.32</v>
      </c>
      <c r="K5988">
        <v>7.9000000000000001E-2</v>
      </c>
      <c r="L5988">
        <v>6</v>
      </c>
      <c r="M5988">
        <v>1</v>
      </c>
      <c r="N5988">
        <v>2</v>
      </c>
      <c r="O5988" t="s">
        <v>53</v>
      </c>
      <c r="P5988" t="s">
        <v>53</v>
      </c>
      <c r="Q5988" t="s">
        <v>53</v>
      </c>
    </row>
    <row r="5989" spans="1:17" x14ac:dyDescent="0.2">
      <c r="A5989" s="30" t="str">
        <f>IF(C5989&amp;G5989&amp;D5989&lt;&gt;'Funnel setup'!$K$3&amp;'Funnel setup'!$K$4&amp;'Funnel setup'!$K$5,".",IF(A5988=".",1,A5988+1))</f>
        <v>.</v>
      </c>
      <c r="B5989" s="431" t="str">
        <f t="shared" si="93"/>
        <v>Knee Replacement RevisionProviderMID STAFFORDSHIRE NHS FOUNDATION TRUST (RJD)EQ-5D Index</v>
      </c>
      <c r="C5989" t="s">
        <v>250</v>
      </c>
      <c r="D5989" t="s">
        <v>1</v>
      </c>
      <c r="E5989" t="s">
        <v>3638</v>
      </c>
      <c r="F5989" t="s">
        <v>3639</v>
      </c>
      <c r="G5989" t="s">
        <v>52</v>
      </c>
      <c r="H5989" t="s">
        <v>53</v>
      </c>
      <c r="I5989" t="s">
        <v>53</v>
      </c>
      <c r="J5989" t="s">
        <v>53</v>
      </c>
      <c r="K5989" t="s">
        <v>53</v>
      </c>
      <c r="L5989" t="s">
        <v>53</v>
      </c>
      <c r="M5989" t="s">
        <v>53</v>
      </c>
      <c r="N5989" t="s">
        <v>53</v>
      </c>
      <c r="O5989" t="s">
        <v>53</v>
      </c>
      <c r="P5989" t="s">
        <v>53</v>
      </c>
      <c r="Q5989" t="s">
        <v>53</v>
      </c>
    </row>
    <row r="5990" spans="1:17" x14ac:dyDescent="0.2">
      <c r="A5990" s="30" t="str">
        <f>IF(C5990&amp;G5990&amp;D5990&lt;&gt;'Funnel setup'!$K$3&amp;'Funnel setup'!$K$4&amp;'Funnel setup'!$K$5,".",IF(A5989=".",1,A5989+1))</f>
        <v>.</v>
      </c>
      <c r="B5990" s="431" t="str">
        <f t="shared" si="93"/>
        <v>Knee Replacement RevisionProviderMID YORKSHIRE HOSPITALS NHS TRUST (RXF)EQ-5D Index</v>
      </c>
      <c r="C5990" t="s">
        <v>250</v>
      </c>
      <c r="D5990" t="s">
        <v>1</v>
      </c>
      <c r="E5990" t="s">
        <v>3641</v>
      </c>
      <c r="F5990" t="s">
        <v>3642</v>
      </c>
      <c r="G5990" t="s">
        <v>52</v>
      </c>
      <c r="H5990">
        <v>10</v>
      </c>
      <c r="I5990">
        <v>0.24099999999999999</v>
      </c>
      <c r="J5990">
        <v>0.45300000000000001</v>
      </c>
      <c r="K5990">
        <v>0.21299999999999999</v>
      </c>
      <c r="L5990">
        <v>6</v>
      </c>
      <c r="M5990">
        <v>2</v>
      </c>
      <c r="N5990">
        <v>2</v>
      </c>
      <c r="O5990" t="s">
        <v>53</v>
      </c>
      <c r="P5990" t="s">
        <v>53</v>
      </c>
      <c r="Q5990" t="s">
        <v>53</v>
      </c>
    </row>
    <row r="5991" spans="1:17" x14ac:dyDescent="0.2">
      <c r="A5991" s="30" t="str">
        <f>IF(C5991&amp;G5991&amp;D5991&lt;&gt;'Funnel setup'!$K$3&amp;'Funnel setup'!$K$4&amp;'Funnel setup'!$K$5,".",IF(A5990=".",1,A5990+1))</f>
        <v>.</v>
      </c>
      <c r="B5991" s="431" t="str">
        <f t="shared" si="93"/>
        <v>Knee Replacement RevisionProviderMILTON KEYNES UNIVERSITY HOSPITAL NHS FOUNDATION TRUST (RD8)EQ-5D Index</v>
      </c>
      <c r="C5991" t="s">
        <v>250</v>
      </c>
      <c r="D5991" t="s">
        <v>1</v>
      </c>
      <c r="E5991" t="s">
        <v>3643</v>
      </c>
      <c r="F5991" t="s">
        <v>6580</v>
      </c>
      <c r="G5991" t="s">
        <v>52</v>
      </c>
      <c r="H5991">
        <v>10</v>
      </c>
      <c r="I5991">
        <v>0.156</v>
      </c>
      <c r="J5991">
        <v>0.63</v>
      </c>
      <c r="K5991">
        <v>0.47399999999999998</v>
      </c>
      <c r="L5991">
        <v>8</v>
      </c>
      <c r="M5991">
        <v>0</v>
      </c>
      <c r="N5991">
        <v>2</v>
      </c>
      <c r="O5991" t="s">
        <v>53</v>
      </c>
      <c r="P5991" t="s">
        <v>53</v>
      </c>
      <c r="Q5991" t="s">
        <v>53</v>
      </c>
    </row>
    <row r="5992" spans="1:17" x14ac:dyDescent="0.2">
      <c r="A5992" s="30" t="str">
        <f>IF(C5992&amp;G5992&amp;D5992&lt;&gt;'Funnel setup'!$K$3&amp;'Funnel setup'!$K$4&amp;'Funnel setup'!$K$5,".",IF(A5991=".",1,A5991+1))</f>
        <v>.</v>
      </c>
      <c r="B5992" s="431" t="str">
        <f t="shared" si="93"/>
        <v>Knee Replacement RevisionProviderNEW HALL HOSPITAL (NVC09)EQ-5D Index</v>
      </c>
      <c r="C5992" t="s">
        <v>250</v>
      </c>
      <c r="D5992" t="s">
        <v>1</v>
      </c>
      <c r="E5992" t="s">
        <v>3648</v>
      </c>
      <c r="F5992" t="s">
        <v>3649</v>
      </c>
      <c r="G5992" t="s">
        <v>52</v>
      </c>
      <c r="H5992">
        <v>7</v>
      </c>
      <c r="I5992">
        <v>0.50900000000000001</v>
      </c>
      <c r="J5992">
        <v>0.56499999999999995</v>
      </c>
      <c r="K5992">
        <v>5.6000000000000001E-2</v>
      </c>
      <c r="L5992">
        <v>4</v>
      </c>
      <c r="M5992">
        <v>2</v>
      </c>
      <c r="N5992">
        <v>1</v>
      </c>
      <c r="O5992" t="s">
        <v>53</v>
      </c>
      <c r="P5992" t="s">
        <v>53</v>
      </c>
      <c r="Q5992" t="s">
        <v>53</v>
      </c>
    </row>
    <row r="5993" spans="1:17" x14ac:dyDescent="0.2">
      <c r="A5993" s="30" t="str">
        <f>IF(C5993&amp;G5993&amp;D5993&lt;&gt;'Funnel setup'!$K$3&amp;'Funnel setup'!$K$4&amp;'Funnel setup'!$K$5,".",IF(A5992=".",1,A5992+1))</f>
        <v>.</v>
      </c>
      <c r="B5993" s="431" t="str">
        <f t="shared" si="93"/>
        <v>Knee Replacement RevisionProviderNORFOLK AND NORWICH UNIVERSITY HOSPITALS NHS FOUNDATION TRUST (RM1)EQ-5D Index</v>
      </c>
      <c r="C5993" t="s">
        <v>250</v>
      </c>
      <c r="D5993" t="s">
        <v>1</v>
      </c>
      <c r="E5993" t="s">
        <v>3651</v>
      </c>
      <c r="F5993" t="s">
        <v>3652</v>
      </c>
      <c r="G5993" t="s">
        <v>52</v>
      </c>
      <c r="H5993">
        <v>28</v>
      </c>
      <c r="I5993">
        <v>0.39800000000000002</v>
      </c>
      <c r="J5993">
        <v>0.64600000000000002</v>
      </c>
      <c r="K5993">
        <v>0.248</v>
      </c>
      <c r="L5993">
        <v>19</v>
      </c>
      <c r="M5993">
        <v>4</v>
      </c>
      <c r="N5993">
        <v>5</v>
      </c>
      <c r="O5993" t="s">
        <v>53</v>
      </c>
      <c r="P5993" t="s">
        <v>53</v>
      </c>
      <c r="Q5993" t="s">
        <v>53</v>
      </c>
    </row>
    <row r="5994" spans="1:17" x14ac:dyDescent="0.2">
      <c r="A5994" s="30" t="str">
        <f>IF(C5994&amp;G5994&amp;D5994&lt;&gt;'Funnel setup'!$K$3&amp;'Funnel setup'!$K$4&amp;'Funnel setup'!$K$5,".",IF(A5993=".",1,A5993+1))</f>
        <v>.</v>
      </c>
      <c r="B5994" s="431" t="str">
        <f t="shared" si="93"/>
        <v>Knee Replacement RevisionProviderNORTH BRISTOL NHS TRUST (RVJ)EQ-5D Index</v>
      </c>
      <c r="C5994" t="s">
        <v>250</v>
      </c>
      <c r="D5994" t="s">
        <v>1</v>
      </c>
      <c r="E5994" t="s">
        <v>3654</v>
      </c>
      <c r="F5994" t="s">
        <v>3655</v>
      </c>
      <c r="G5994" t="s">
        <v>52</v>
      </c>
      <c r="H5994">
        <v>19</v>
      </c>
      <c r="I5994">
        <v>0.28999999999999998</v>
      </c>
      <c r="J5994">
        <v>0.6</v>
      </c>
      <c r="K5994">
        <v>0.31</v>
      </c>
      <c r="L5994">
        <v>16</v>
      </c>
      <c r="M5994">
        <v>2</v>
      </c>
      <c r="N5994">
        <v>1</v>
      </c>
      <c r="O5994" t="s">
        <v>53</v>
      </c>
      <c r="P5994" t="s">
        <v>53</v>
      </c>
      <c r="Q5994" t="s">
        <v>53</v>
      </c>
    </row>
    <row r="5995" spans="1:17" x14ac:dyDescent="0.2">
      <c r="A5995" s="30" t="str">
        <f>IF(C5995&amp;G5995&amp;D5995&lt;&gt;'Funnel setup'!$K$3&amp;'Funnel setup'!$K$4&amp;'Funnel setup'!$K$5,".",IF(A5994=".",1,A5994+1))</f>
        <v>.</v>
      </c>
      <c r="B5995" s="431" t="str">
        <f t="shared" si="93"/>
        <v>Knee Replacement RevisionProviderNORTH CUMBRIA UNIVERSITY HOSPITALS NHS TRUST (RNL)EQ-5D Index</v>
      </c>
      <c r="C5995" t="s">
        <v>250</v>
      </c>
      <c r="D5995" t="s">
        <v>1</v>
      </c>
      <c r="E5995" t="s">
        <v>3657</v>
      </c>
      <c r="F5995" t="s">
        <v>3658</v>
      </c>
      <c r="G5995" t="s">
        <v>52</v>
      </c>
      <c r="H5995" t="s">
        <v>53</v>
      </c>
      <c r="I5995" t="s">
        <v>53</v>
      </c>
      <c r="J5995" t="s">
        <v>53</v>
      </c>
      <c r="K5995" t="s">
        <v>53</v>
      </c>
      <c r="L5995" t="s">
        <v>53</v>
      </c>
      <c r="M5995" t="s">
        <v>53</v>
      </c>
      <c r="N5995" t="s">
        <v>53</v>
      </c>
      <c r="O5995" t="s">
        <v>53</v>
      </c>
      <c r="P5995" t="s">
        <v>53</v>
      </c>
      <c r="Q5995" t="s">
        <v>53</v>
      </c>
    </row>
    <row r="5996" spans="1:17" x14ac:dyDescent="0.2">
      <c r="A5996" s="30" t="str">
        <f>IF(C5996&amp;G5996&amp;D5996&lt;&gt;'Funnel setup'!$K$3&amp;'Funnel setup'!$K$4&amp;'Funnel setup'!$K$5,".",IF(A5995=".",1,A5995+1))</f>
        <v>.</v>
      </c>
      <c r="B5996" s="431" t="str">
        <f t="shared" si="93"/>
        <v>Knee Replacement RevisionProviderNORTH DOWNS HOSPITAL (NVC11)EQ-5D Index</v>
      </c>
      <c r="C5996" t="s">
        <v>250</v>
      </c>
      <c r="D5996" t="s">
        <v>1</v>
      </c>
      <c r="E5996" t="s">
        <v>3660</v>
      </c>
      <c r="F5996" t="s">
        <v>3661</v>
      </c>
      <c r="G5996" t="s">
        <v>52</v>
      </c>
      <c r="H5996" t="s">
        <v>53</v>
      </c>
      <c r="I5996" t="s">
        <v>53</v>
      </c>
      <c r="J5996" t="s">
        <v>53</v>
      </c>
      <c r="K5996" t="s">
        <v>53</v>
      </c>
      <c r="L5996" t="s">
        <v>53</v>
      </c>
      <c r="M5996" t="s">
        <v>53</v>
      </c>
      <c r="N5996" t="s">
        <v>53</v>
      </c>
      <c r="O5996" t="s">
        <v>53</v>
      </c>
      <c r="P5996" t="s">
        <v>53</v>
      </c>
      <c r="Q5996" t="s">
        <v>53</v>
      </c>
    </row>
    <row r="5997" spans="1:17" x14ac:dyDescent="0.2">
      <c r="A5997" s="30" t="str">
        <f>IF(C5997&amp;G5997&amp;D5997&lt;&gt;'Funnel setup'!$K$3&amp;'Funnel setup'!$K$4&amp;'Funnel setup'!$K$5,".",IF(A5996=".",1,A5996+1))</f>
        <v>.</v>
      </c>
      <c r="B5997" s="431" t="str">
        <f t="shared" si="93"/>
        <v>Knee Replacement RevisionProviderNORTH EAST LONDON TREATMENT CENTRE CARE UK (NTP15)EQ-5D Index</v>
      </c>
      <c r="C5997" t="s">
        <v>250</v>
      </c>
      <c r="D5997" t="s">
        <v>1</v>
      </c>
      <c r="E5997" t="s">
        <v>3663</v>
      </c>
      <c r="F5997" t="s">
        <v>3664</v>
      </c>
      <c r="G5997" t="s">
        <v>52</v>
      </c>
      <c r="H5997" t="s">
        <v>53</v>
      </c>
      <c r="I5997" t="s">
        <v>53</v>
      </c>
      <c r="J5997" t="s">
        <v>53</v>
      </c>
      <c r="K5997" t="s">
        <v>53</v>
      </c>
      <c r="L5997" t="s">
        <v>53</v>
      </c>
      <c r="M5997" t="s">
        <v>53</v>
      </c>
      <c r="N5997" t="s">
        <v>53</v>
      </c>
      <c r="O5997" t="s">
        <v>53</v>
      </c>
      <c r="P5997" t="s">
        <v>53</v>
      </c>
      <c r="Q5997" t="s">
        <v>53</v>
      </c>
    </row>
    <row r="5998" spans="1:17" x14ac:dyDescent="0.2">
      <c r="A5998" s="30" t="str">
        <f>IF(C5998&amp;G5998&amp;D5998&lt;&gt;'Funnel setup'!$K$3&amp;'Funnel setup'!$K$4&amp;'Funnel setup'!$K$5,".",IF(A5997=".",1,A5997+1))</f>
        <v>.</v>
      </c>
      <c r="B5998" s="431" t="str">
        <f t="shared" si="93"/>
        <v>Knee Replacement RevisionProviderNORTH MIDDLESEX UNIVERSITY HOSPITAL NHS TRUST (RAP)EQ-5D Index</v>
      </c>
      <c r="C5998" t="s">
        <v>250</v>
      </c>
      <c r="D5998" t="s">
        <v>1</v>
      </c>
      <c r="E5998" t="s">
        <v>3666</v>
      </c>
      <c r="F5998" t="s">
        <v>3667</v>
      </c>
      <c r="G5998" t="s">
        <v>52</v>
      </c>
      <c r="H5998" t="s">
        <v>53</v>
      </c>
      <c r="I5998" t="s">
        <v>53</v>
      </c>
      <c r="J5998" t="s">
        <v>53</v>
      </c>
      <c r="K5998" t="s">
        <v>53</v>
      </c>
      <c r="L5998" t="s">
        <v>53</v>
      </c>
      <c r="M5998" t="s">
        <v>53</v>
      </c>
      <c r="N5998" t="s">
        <v>53</v>
      </c>
      <c r="O5998" t="s">
        <v>53</v>
      </c>
      <c r="P5998" t="s">
        <v>53</v>
      </c>
      <c r="Q5998" t="s">
        <v>53</v>
      </c>
    </row>
    <row r="5999" spans="1:17" x14ac:dyDescent="0.2">
      <c r="A5999" s="30" t="str">
        <f>IF(C5999&amp;G5999&amp;D5999&lt;&gt;'Funnel setup'!$K$3&amp;'Funnel setup'!$K$4&amp;'Funnel setup'!$K$5,".",IF(A5998=".",1,A5998+1))</f>
        <v>.</v>
      </c>
      <c r="B5999" s="431" t="str">
        <f t="shared" si="93"/>
        <v>Knee Replacement RevisionProviderNORTH TEES AND HARTLEPOOL NHS FOUNDATION TRUST (RVW)EQ-5D Index</v>
      </c>
      <c r="C5999" t="s">
        <v>250</v>
      </c>
      <c r="D5999" t="s">
        <v>1</v>
      </c>
      <c r="E5999" t="s">
        <v>3669</v>
      </c>
      <c r="F5999" t="s">
        <v>3670</v>
      </c>
      <c r="G5999" t="s">
        <v>52</v>
      </c>
      <c r="H5999">
        <v>13</v>
      </c>
      <c r="I5999">
        <v>-8.9999999999999993E-3</v>
      </c>
      <c r="J5999">
        <v>0.48499999999999999</v>
      </c>
      <c r="K5999">
        <v>0.49399999999999999</v>
      </c>
      <c r="L5999">
        <v>12</v>
      </c>
      <c r="M5999">
        <v>1</v>
      </c>
      <c r="N5999">
        <v>0</v>
      </c>
      <c r="O5999" t="s">
        <v>53</v>
      </c>
      <c r="P5999" t="s">
        <v>53</v>
      </c>
      <c r="Q5999" t="s">
        <v>53</v>
      </c>
    </row>
    <row r="6000" spans="1:17" x14ac:dyDescent="0.2">
      <c r="A6000" s="30" t="str">
        <f>IF(C6000&amp;G6000&amp;D6000&lt;&gt;'Funnel setup'!$K$3&amp;'Funnel setup'!$K$4&amp;'Funnel setup'!$K$5,".",IF(A5999=".",1,A5999+1))</f>
        <v>.</v>
      </c>
      <c r="B6000" s="431" t="str">
        <f t="shared" si="93"/>
        <v>Knee Replacement RevisionProviderNORTHAMPTON GENERAL HOSPITAL NHS TRUST (RNS)EQ-5D Index</v>
      </c>
      <c r="C6000" t="s">
        <v>250</v>
      </c>
      <c r="D6000" t="s">
        <v>1</v>
      </c>
      <c r="E6000" t="s">
        <v>3675</v>
      </c>
      <c r="F6000" t="s">
        <v>3676</v>
      </c>
      <c r="G6000" t="s">
        <v>52</v>
      </c>
      <c r="H6000">
        <v>8</v>
      </c>
      <c r="I6000">
        <v>6.5000000000000002E-2</v>
      </c>
      <c r="J6000">
        <v>0.33600000000000002</v>
      </c>
      <c r="K6000">
        <v>0.27100000000000002</v>
      </c>
      <c r="L6000">
        <v>7</v>
      </c>
      <c r="M6000">
        <v>1</v>
      </c>
      <c r="N6000">
        <v>0</v>
      </c>
      <c r="O6000" t="s">
        <v>53</v>
      </c>
      <c r="P6000" t="s">
        <v>53</v>
      </c>
      <c r="Q6000" t="s">
        <v>53</v>
      </c>
    </row>
    <row r="6001" spans="1:17" x14ac:dyDescent="0.2">
      <c r="A6001" s="30" t="str">
        <f>IF(C6001&amp;G6001&amp;D6001&lt;&gt;'Funnel setup'!$K$3&amp;'Funnel setup'!$K$4&amp;'Funnel setup'!$K$5,".",IF(A6000=".",1,A6000+1))</f>
        <v>.</v>
      </c>
      <c r="B6001" s="431" t="str">
        <f t="shared" si="93"/>
        <v>Knee Replacement RevisionProviderNORTHERN DEVON HEALTHCARE NHS TRUST (RBZ)EQ-5D Index</v>
      </c>
      <c r="C6001" t="s">
        <v>250</v>
      </c>
      <c r="D6001" t="s">
        <v>1</v>
      </c>
      <c r="E6001" t="s">
        <v>3678</v>
      </c>
      <c r="F6001" t="s">
        <v>3679</v>
      </c>
      <c r="G6001" t="s">
        <v>52</v>
      </c>
      <c r="H6001">
        <v>7</v>
      </c>
      <c r="I6001">
        <v>0.39100000000000001</v>
      </c>
      <c r="J6001">
        <v>0.76500000000000001</v>
      </c>
      <c r="K6001">
        <v>0.374</v>
      </c>
      <c r="L6001">
        <v>6</v>
      </c>
      <c r="M6001">
        <v>1</v>
      </c>
      <c r="N6001">
        <v>0</v>
      </c>
      <c r="O6001" t="s">
        <v>53</v>
      </c>
      <c r="P6001" t="s">
        <v>53</v>
      </c>
      <c r="Q6001" t="s">
        <v>53</v>
      </c>
    </row>
    <row r="6002" spans="1:17" x14ac:dyDescent="0.2">
      <c r="A6002" s="30" t="str">
        <f>IF(C6002&amp;G6002&amp;D6002&lt;&gt;'Funnel setup'!$K$3&amp;'Funnel setup'!$K$4&amp;'Funnel setup'!$K$5,".",IF(A6001=".",1,A6001+1))</f>
        <v>.</v>
      </c>
      <c r="B6002" s="431" t="str">
        <f t="shared" si="93"/>
        <v>Knee Replacement RevisionProviderNORTHERN LINCOLNSHIRE AND GOOLE NHS FOUNDATION TRUST (RJL)EQ-5D Index</v>
      </c>
      <c r="C6002" t="s">
        <v>250</v>
      </c>
      <c r="D6002" t="s">
        <v>1</v>
      </c>
      <c r="E6002" t="s">
        <v>3681</v>
      </c>
      <c r="F6002" t="s">
        <v>3682</v>
      </c>
      <c r="G6002" t="s">
        <v>52</v>
      </c>
      <c r="H6002">
        <v>14</v>
      </c>
      <c r="I6002">
        <v>0.436</v>
      </c>
      <c r="J6002">
        <v>0.61399999999999999</v>
      </c>
      <c r="K6002">
        <v>0.17799999999999999</v>
      </c>
      <c r="L6002">
        <v>8</v>
      </c>
      <c r="M6002">
        <v>3</v>
      </c>
      <c r="N6002">
        <v>3</v>
      </c>
      <c r="O6002" t="s">
        <v>53</v>
      </c>
      <c r="P6002" t="s">
        <v>53</v>
      </c>
      <c r="Q6002" t="s">
        <v>53</v>
      </c>
    </row>
    <row r="6003" spans="1:17" x14ac:dyDescent="0.2">
      <c r="A6003" s="30" t="str">
        <f>IF(C6003&amp;G6003&amp;D6003&lt;&gt;'Funnel setup'!$K$3&amp;'Funnel setup'!$K$4&amp;'Funnel setup'!$K$5,".",IF(A6002=".",1,A6002+1))</f>
        <v>.</v>
      </c>
      <c r="B6003" s="431" t="str">
        <f t="shared" si="93"/>
        <v>Knee Replacement RevisionProviderNORTHUMBRIA HEALTHCARE NHS FOUNDATION TRUST (RTF)EQ-5D Index</v>
      </c>
      <c r="C6003" t="s">
        <v>250</v>
      </c>
      <c r="D6003" t="s">
        <v>1</v>
      </c>
      <c r="E6003" t="s">
        <v>3684</v>
      </c>
      <c r="F6003" t="s">
        <v>3685</v>
      </c>
      <c r="G6003" t="s">
        <v>52</v>
      </c>
      <c r="H6003">
        <v>16</v>
      </c>
      <c r="I6003">
        <v>0.34499999999999997</v>
      </c>
      <c r="J6003">
        <v>0.68200000000000005</v>
      </c>
      <c r="K6003">
        <v>0.33700000000000002</v>
      </c>
      <c r="L6003">
        <v>14</v>
      </c>
      <c r="M6003">
        <v>0</v>
      </c>
      <c r="N6003">
        <v>2</v>
      </c>
      <c r="O6003" t="s">
        <v>53</v>
      </c>
      <c r="P6003" t="s">
        <v>53</v>
      </c>
      <c r="Q6003" t="s">
        <v>53</v>
      </c>
    </row>
    <row r="6004" spans="1:17" x14ac:dyDescent="0.2">
      <c r="A6004" s="30" t="str">
        <f>IF(C6004&amp;G6004&amp;D6004&lt;&gt;'Funnel setup'!$K$3&amp;'Funnel setup'!$K$4&amp;'Funnel setup'!$K$5,".",IF(A6003=".",1,A6003+1))</f>
        <v>.</v>
      </c>
      <c r="B6004" s="431" t="str">
        <f t="shared" si="93"/>
        <v>Knee Replacement RevisionProviderNOTTINGHAM UNIVERSITY HOSPITALS NHS TRUST (RX1)EQ-5D Index</v>
      </c>
      <c r="C6004" t="s">
        <v>250</v>
      </c>
      <c r="D6004" t="s">
        <v>1</v>
      </c>
      <c r="E6004" t="s">
        <v>3687</v>
      </c>
      <c r="F6004" t="s">
        <v>3688</v>
      </c>
      <c r="G6004" t="s">
        <v>52</v>
      </c>
      <c r="H6004">
        <v>30</v>
      </c>
      <c r="I6004">
        <v>0.379</v>
      </c>
      <c r="J6004">
        <v>0.66500000000000004</v>
      </c>
      <c r="K6004">
        <v>0.28599999999999998</v>
      </c>
      <c r="L6004">
        <v>24</v>
      </c>
      <c r="M6004">
        <v>4</v>
      </c>
      <c r="N6004">
        <v>2</v>
      </c>
      <c r="O6004">
        <v>0.63600000000000001</v>
      </c>
      <c r="P6004">
        <v>0.30404990399999998</v>
      </c>
      <c r="Q6004">
        <v>0.19700000000000001</v>
      </c>
    </row>
    <row r="6005" spans="1:17" x14ac:dyDescent="0.2">
      <c r="A6005" s="30" t="str">
        <f>IF(C6005&amp;G6005&amp;D6005&lt;&gt;'Funnel setup'!$K$3&amp;'Funnel setup'!$K$4&amp;'Funnel setup'!$K$5,".",IF(A6004=".",1,A6004+1))</f>
        <v>.</v>
      </c>
      <c r="B6005" s="431" t="str">
        <f t="shared" si="93"/>
        <v>Knee Replacement RevisionProviderNUFFIELD HEALTH, DERBY HOSPITAL (NT213)EQ-5D Index</v>
      </c>
      <c r="C6005" t="s">
        <v>250</v>
      </c>
      <c r="D6005" t="s">
        <v>1</v>
      </c>
      <c r="E6005" t="s">
        <v>3340</v>
      </c>
      <c r="F6005" t="s">
        <v>3341</v>
      </c>
      <c r="G6005" t="s">
        <v>52</v>
      </c>
      <c r="H6005" t="s">
        <v>53</v>
      </c>
      <c r="I6005" t="s">
        <v>53</v>
      </c>
      <c r="J6005" t="s">
        <v>53</v>
      </c>
      <c r="K6005" t="s">
        <v>53</v>
      </c>
      <c r="L6005" t="s">
        <v>53</v>
      </c>
      <c r="M6005" t="s">
        <v>53</v>
      </c>
      <c r="N6005" t="s">
        <v>53</v>
      </c>
      <c r="O6005" t="s">
        <v>53</v>
      </c>
      <c r="P6005" t="s">
        <v>53</v>
      </c>
      <c r="Q6005" t="s">
        <v>53</v>
      </c>
    </row>
    <row r="6006" spans="1:17" x14ac:dyDescent="0.2">
      <c r="A6006" s="30" t="str">
        <f>IF(C6006&amp;G6006&amp;D6006&lt;&gt;'Funnel setup'!$K$3&amp;'Funnel setup'!$K$4&amp;'Funnel setup'!$K$5,".",IF(A6005=".",1,A6005+1))</f>
        <v>.</v>
      </c>
      <c r="B6006" s="431" t="str">
        <f t="shared" si="93"/>
        <v>Knee Replacement RevisionProviderNUFFIELD HEALTH, EXETER HOSPITAL (NT215)EQ-5D Index</v>
      </c>
      <c r="C6006" t="s">
        <v>250</v>
      </c>
      <c r="D6006" t="s">
        <v>1</v>
      </c>
      <c r="E6006" t="s">
        <v>4339</v>
      </c>
      <c r="F6006" t="s">
        <v>4340</v>
      </c>
      <c r="G6006" t="s">
        <v>52</v>
      </c>
      <c r="H6006" t="s">
        <v>53</v>
      </c>
      <c r="I6006" t="s">
        <v>53</v>
      </c>
      <c r="J6006" t="s">
        <v>53</v>
      </c>
      <c r="K6006" t="s">
        <v>53</v>
      </c>
      <c r="L6006" t="s">
        <v>53</v>
      </c>
      <c r="M6006" t="s">
        <v>53</v>
      </c>
      <c r="N6006" t="s">
        <v>53</v>
      </c>
      <c r="O6006" t="s">
        <v>53</v>
      </c>
      <c r="P6006" t="s">
        <v>53</v>
      </c>
      <c r="Q6006" t="s">
        <v>53</v>
      </c>
    </row>
    <row r="6007" spans="1:17" x14ac:dyDescent="0.2">
      <c r="A6007" s="30" t="str">
        <f>IF(C6007&amp;G6007&amp;D6007&lt;&gt;'Funnel setup'!$K$3&amp;'Funnel setup'!$K$4&amp;'Funnel setup'!$K$5,".",IF(A6006=".",1,A6006+1))</f>
        <v>.</v>
      </c>
      <c r="B6007" s="431" t="str">
        <f t="shared" si="93"/>
        <v>Knee Replacement RevisionProviderNUFFIELD HEALTH, LEEDS HOSPITAL (NT225)EQ-5D Index</v>
      </c>
      <c r="C6007" t="s">
        <v>250</v>
      </c>
      <c r="D6007" t="s">
        <v>1</v>
      </c>
      <c r="E6007" t="s">
        <v>3388</v>
      </c>
      <c r="F6007" t="s">
        <v>3389</v>
      </c>
      <c r="G6007" t="s">
        <v>52</v>
      </c>
      <c r="H6007" t="s">
        <v>53</v>
      </c>
      <c r="I6007" t="s">
        <v>53</v>
      </c>
      <c r="J6007" t="s">
        <v>53</v>
      </c>
      <c r="K6007" t="s">
        <v>53</v>
      </c>
      <c r="L6007" t="s">
        <v>53</v>
      </c>
      <c r="M6007" t="s">
        <v>53</v>
      </c>
      <c r="N6007" t="s">
        <v>53</v>
      </c>
      <c r="O6007" t="s">
        <v>53</v>
      </c>
      <c r="P6007" t="s">
        <v>53</v>
      </c>
      <c r="Q6007" t="s">
        <v>53</v>
      </c>
    </row>
    <row r="6008" spans="1:17" x14ac:dyDescent="0.2">
      <c r="A6008" s="30" t="str">
        <f>IF(C6008&amp;G6008&amp;D6008&lt;&gt;'Funnel setup'!$K$3&amp;'Funnel setup'!$K$4&amp;'Funnel setup'!$K$5,".",IF(A6007=".",1,A6007+1))</f>
        <v>.</v>
      </c>
      <c r="B6008" s="431" t="str">
        <f t="shared" si="93"/>
        <v>Knee Replacement RevisionProviderNUFFIELD HEALTH, TEES HOSPITAL (NT237)EQ-5D Index</v>
      </c>
      <c r="C6008" t="s">
        <v>250</v>
      </c>
      <c r="D6008" t="s">
        <v>1</v>
      </c>
      <c r="E6008" t="s">
        <v>3246</v>
      </c>
      <c r="F6008" t="s">
        <v>3247</v>
      </c>
      <c r="G6008" t="s">
        <v>52</v>
      </c>
      <c r="H6008" t="s">
        <v>53</v>
      </c>
      <c r="I6008" t="s">
        <v>53</v>
      </c>
      <c r="J6008" t="s">
        <v>53</v>
      </c>
      <c r="K6008" t="s">
        <v>53</v>
      </c>
      <c r="L6008" t="s">
        <v>53</v>
      </c>
      <c r="M6008" t="s">
        <v>53</v>
      </c>
      <c r="N6008" t="s">
        <v>53</v>
      </c>
      <c r="O6008" t="s">
        <v>53</v>
      </c>
      <c r="P6008" t="s">
        <v>53</v>
      </c>
      <c r="Q6008" t="s">
        <v>53</v>
      </c>
    </row>
    <row r="6009" spans="1:17" x14ac:dyDescent="0.2">
      <c r="A6009" s="30" t="str">
        <f>IF(C6009&amp;G6009&amp;D6009&lt;&gt;'Funnel setup'!$K$3&amp;'Funnel setup'!$K$4&amp;'Funnel setup'!$K$5,".",IF(A6008=".",1,A6008+1))</f>
        <v>.</v>
      </c>
      <c r="B6009" s="431" t="str">
        <f t="shared" si="93"/>
        <v>Knee Replacement RevisionProviderNUFFIELD HEALTH, YORK HOSPITAL (NT245)EQ-5D Index</v>
      </c>
      <c r="C6009" t="s">
        <v>250</v>
      </c>
      <c r="D6009" t="s">
        <v>1</v>
      </c>
      <c r="E6009" t="s">
        <v>4299</v>
      </c>
      <c r="F6009" t="s">
        <v>4300</v>
      </c>
      <c r="G6009" t="s">
        <v>52</v>
      </c>
      <c r="H6009" t="s">
        <v>53</v>
      </c>
      <c r="I6009" t="s">
        <v>53</v>
      </c>
      <c r="J6009" t="s">
        <v>53</v>
      </c>
      <c r="K6009" t="s">
        <v>53</v>
      </c>
      <c r="L6009" t="s">
        <v>53</v>
      </c>
      <c r="M6009" t="s">
        <v>53</v>
      </c>
      <c r="N6009" t="s">
        <v>53</v>
      </c>
      <c r="O6009" t="s">
        <v>53</v>
      </c>
      <c r="P6009" t="s">
        <v>53</v>
      </c>
      <c r="Q6009" t="s">
        <v>53</v>
      </c>
    </row>
    <row r="6010" spans="1:17" x14ac:dyDescent="0.2">
      <c r="A6010" s="30" t="str">
        <f>IF(C6010&amp;G6010&amp;D6010&lt;&gt;'Funnel setup'!$K$3&amp;'Funnel setup'!$K$4&amp;'Funnel setup'!$K$5,".",IF(A6009=".",1,A6009+1))</f>
        <v>.</v>
      </c>
      <c r="B6010" s="431" t="str">
        <f t="shared" si="93"/>
        <v>Knee Replacement RevisionProviderOAKS HOSPITAL (NVC13)EQ-5D Index</v>
      </c>
      <c r="C6010" t="s">
        <v>250</v>
      </c>
      <c r="D6010" t="s">
        <v>1</v>
      </c>
      <c r="E6010" t="s">
        <v>3270</v>
      </c>
      <c r="F6010" t="s">
        <v>3271</v>
      </c>
      <c r="G6010" t="s">
        <v>52</v>
      </c>
      <c r="H6010" t="s">
        <v>53</v>
      </c>
      <c r="I6010" t="s">
        <v>53</v>
      </c>
      <c r="J6010" t="s">
        <v>53</v>
      </c>
      <c r="K6010" t="s">
        <v>53</v>
      </c>
      <c r="L6010" t="s">
        <v>53</v>
      </c>
      <c r="M6010" t="s">
        <v>53</v>
      </c>
      <c r="N6010" t="s">
        <v>53</v>
      </c>
      <c r="O6010" t="s">
        <v>53</v>
      </c>
      <c r="P6010" t="s">
        <v>53</v>
      </c>
      <c r="Q6010" t="s">
        <v>53</v>
      </c>
    </row>
    <row r="6011" spans="1:17" x14ac:dyDescent="0.2">
      <c r="A6011" s="30" t="str">
        <f>IF(C6011&amp;G6011&amp;D6011&lt;&gt;'Funnel setup'!$K$3&amp;'Funnel setup'!$K$4&amp;'Funnel setup'!$K$5,".",IF(A6010=".",1,A6010+1))</f>
        <v>.</v>
      </c>
      <c r="B6011" s="431" t="str">
        <f t="shared" si="93"/>
        <v>Knee Replacement RevisionProviderOXFORD UNIVERSITY HOSPITALS NHS FOUNDATION TRUST (RTH)EQ-5D Index</v>
      </c>
      <c r="C6011" t="s">
        <v>250</v>
      </c>
      <c r="D6011" t="s">
        <v>1</v>
      </c>
      <c r="E6011" t="s">
        <v>3278</v>
      </c>
      <c r="F6011" t="s">
        <v>6578</v>
      </c>
      <c r="G6011" t="s">
        <v>52</v>
      </c>
      <c r="H6011">
        <v>41</v>
      </c>
      <c r="I6011">
        <v>0.36299999999999999</v>
      </c>
      <c r="J6011">
        <v>0.57399999999999995</v>
      </c>
      <c r="K6011">
        <v>0.21099999999999999</v>
      </c>
      <c r="L6011">
        <v>26</v>
      </c>
      <c r="M6011">
        <v>5</v>
      </c>
      <c r="N6011">
        <v>10</v>
      </c>
      <c r="O6011">
        <v>0.59099999999999997</v>
      </c>
      <c r="P6011">
        <v>0.25931119499999999</v>
      </c>
      <c r="Q6011">
        <v>0.316</v>
      </c>
    </row>
    <row r="6012" spans="1:17" x14ac:dyDescent="0.2">
      <c r="A6012" s="30" t="str">
        <f>IF(C6012&amp;G6012&amp;D6012&lt;&gt;'Funnel setup'!$K$3&amp;'Funnel setup'!$K$4&amp;'Funnel setup'!$K$5,".",IF(A6011=".",1,A6011+1))</f>
        <v>.</v>
      </c>
      <c r="B6012" s="431" t="str">
        <f t="shared" si="93"/>
        <v>Knee Replacement RevisionProviderPENINSULA NHS TREATMENT CENTRE (NTPH5)EQ-5D Index</v>
      </c>
      <c r="C6012" t="s">
        <v>250</v>
      </c>
      <c r="D6012" t="s">
        <v>1</v>
      </c>
      <c r="E6012" t="s">
        <v>4285</v>
      </c>
      <c r="F6012" t="s">
        <v>4286</v>
      </c>
      <c r="G6012" t="s">
        <v>52</v>
      </c>
      <c r="H6012">
        <v>8</v>
      </c>
      <c r="I6012">
        <v>0.61599999999999999</v>
      </c>
      <c r="J6012">
        <v>0.86599999999999999</v>
      </c>
      <c r="K6012">
        <v>0.25</v>
      </c>
      <c r="L6012">
        <v>7</v>
      </c>
      <c r="M6012">
        <v>0</v>
      </c>
      <c r="N6012">
        <v>1</v>
      </c>
      <c r="O6012" t="s">
        <v>53</v>
      </c>
      <c r="P6012" t="s">
        <v>53</v>
      </c>
      <c r="Q6012" t="s">
        <v>53</v>
      </c>
    </row>
    <row r="6013" spans="1:17" x14ac:dyDescent="0.2">
      <c r="A6013" s="30" t="str">
        <f>IF(C6013&amp;G6013&amp;D6013&lt;&gt;'Funnel setup'!$K$3&amp;'Funnel setup'!$K$4&amp;'Funnel setup'!$K$5,".",IF(A6012=".",1,A6012+1))</f>
        <v>.</v>
      </c>
      <c r="B6013" s="431" t="str">
        <f t="shared" si="93"/>
        <v>Knee Replacement RevisionProviderPENNINE ACUTE HOSPITALS NHS TRUST (RW6)EQ-5D Index</v>
      </c>
      <c r="C6013" t="s">
        <v>250</v>
      </c>
      <c r="D6013" t="s">
        <v>1</v>
      </c>
      <c r="E6013" t="s">
        <v>3216</v>
      </c>
      <c r="F6013" t="s">
        <v>3217</v>
      </c>
      <c r="G6013" t="s">
        <v>52</v>
      </c>
      <c r="H6013">
        <v>16</v>
      </c>
      <c r="I6013">
        <v>0.108</v>
      </c>
      <c r="J6013">
        <v>0.39</v>
      </c>
      <c r="K6013">
        <v>0.28299999999999997</v>
      </c>
      <c r="L6013">
        <v>11</v>
      </c>
      <c r="M6013">
        <v>2</v>
      </c>
      <c r="N6013">
        <v>3</v>
      </c>
      <c r="O6013" t="s">
        <v>53</v>
      </c>
      <c r="P6013" t="s">
        <v>53</v>
      </c>
      <c r="Q6013" t="s">
        <v>53</v>
      </c>
    </row>
    <row r="6014" spans="1:17" x14ac:dyDescent="0.2">
      <c r="A6014" s="30" t="str">
        <f>IF(C6014&amp;G6014&amp;D6014&lt;&gt;'Funnel setup'!$K$3&amp;'Funnel setup'!$K$4&amp;'Funnel setup'!$K$5,".",IF(A6013=".",1,A6013+1))</f>
        <v>.</v>
      </c>
      <c r="B6014" s="431" t="str">
        <f t="shared" si="93"/>
        <v>Knee Replacement RevisionProviderPETERBOROUGH AND STAMFORD HOSPITALS NHS FOUNDATION TRUST (RGN)EQ-5D Index</v>
      </c>
      <c r="C6014" t="s">
        <v>250</v>
      </c>
      <c r="D6014" t="s">
        <v>1</v>
      </c>
      <c r="E6014" t="s">
        <v>3219</v>
      </c>
      <c r="F6014" t="s">
        <v>3220</v>
      </c>
      <c r="G6014" t="s">
        <v>52</v>
      </c>
      <c r="H6014" t="s">
        <v>53</v>
      </c>
      <c r="I6014" t="s">
        <v>53</v>
      </c>
      <c r="J6014" t="s">
        <v>53</v>
      </c>
      <c r="K6014" t="s">
        <v>53</v>
      </c>
      <c r="L6014" t="s">
        <v>53</v>
      </c>
      <c r="M6014" t="s">
        <v>53</v>
      </c>
      <c r="N6014" t="s">
        <v>53</v>
      </c>
      <c r="O6014" t="s">
        <v>53</v>
      </c>
      <c r="P6014" t="s">
        <v>53</v>
      </c>
      <c r="Q6014" t="s">
        <v>53</v>
      </c>
    </row>
    <row r="6015" spans="1:17" x14ac:dyDescent="0.2">
      <c r="A6015" s="30" t="str">
        <f>IF(C6015&amp;G6015&amp;D6015&lt;&gt;'Funnel setup'!$K$3&amp;'Funnel setup'!$K$4&amp;'Funnel setup'!$K$5,".",IF(A6014=".",1,A6014+1))</f>
        <v>.</v>
      </c>
      <c r="B6015" s="431" t="str">
        <f t="shared" si="93"/>
        <v>Knee Replacement RevisionProviderPINEHILL HOSPITAL (NVC15)EQ-5D Index</v>
      </c>
      <c r="C6015" t="s">
        <v>250</v>
      </c>
      <c r="D6015" t="s">
        <v>1</v>
      </c>
      <c r="E6015" t="s">
        <v>3222</v>
      </c>
      <c r="F6015" t="s">
        <v>3223</v>
      </c>
      <c r="G6015" t="s">
        <v>52</v>
      </c>
      <c r="H6015" t="s">
        <v>53</v>
      </c>
      <c r="I6015" t="s">
        <v>53</v>
      </c>
      <c r="J6015" t="s">
        <v>53</v>
      </c>
      <c r="K6015" t="s">
        <v>53</v>
      </c>
      <c r="L6015" t="s">
        <v>53</v>
      </c>
      <c r="M6015" t="s">
        <v>53</v>
      </c>
      <c r="N6015" t="s">
        <v>53</v>
      </c>
      <c r="O6015" t="s">
        <v>53</v>
      </c>
      <c r="P6015" t="s">
        <v>53</v>
      </c>
      <c r="Q6015" t="s">
        <v>53</v>
      </c>
    </row>
    <row r="6016" spans="1:17" x14ac:dyDescent="0.2">
      <c r="A6016" s="30" t="str">
        <f>IF(C6016&amp;G6016&amp;D6016&lt;&gt;'Funnel setup'!$K$3&amp;'Funnel setup'!$K$4&amp;'Funnel setup'!$K$5,".",IF(A6015=".",1,A6015+1))</f>
        <v>.</v>
      </c>
      <c r="B6016" s="431" t="str">
        <f t="shared" si="93"/>
        <v>Knee Replacement RevisionProviderPLYMOUTH HOSPITALS NHS TRUST (RK9)EQ-5D Index</v>
      </c>
      <c r="C6016" t="s">
        <v>250</v>
      </c>
      <c r="D6016" t="s">
        <v>1</v>
      </c>
      <c r="E6016" t="s">
        <v>3225</v>
      </c>
      <c r="F6016" t="s">
        <v>3226</v>
      </c>
      <c r="G6016" t="s">
        <v>52</v>
      </c>
      <c r="H6016">
        <v>9</v>
      </c>
      <c r="I6016">
        <v>0.255</v>
      </c>
      <c r="J6016">
        <v>0.45900000000000002</v>
      </c>
      <c r="K6016">
        <v>0.20399999999999999</v>
      </c>
      <c r="L6016">
        <v>7</v>
      </c>
      <c r="M6016">
        <v>0</v>
      </c>
      <c r="N6016">
        <v>2</v>
      </c>
      <c r="O6016" t="s">
        <v>53</v>
      </c>
      <c r="P6016" t="s">
        <v>53</v>
      </c>
      <c r="Q6016" t="s">
        <v>53</v>
      </c>
    </row>
    <row r="6017" spans="1:17" x14ac:dyDescent="0.2">
      <c r="A6017" s="30" t="str">
        <f>IF(C6017&amp;G6017&amp;D6017&lt;&gt;'Funnel setup'!$K$3&amp;'Funnel setup'!$K$4&amp;'Funnel setup'!$K$5,".",IF(A6016=".",1,A6016+1))</f>
        <v>.</v>
      </c>
      <c r="B6017" s="431" t="str">
        <f t="shared" si="93"/>
        <v>Knee Replacement RevisionProviderPORTSMOUTH HOSPITALS NHS TRUST (RHU)EQ-5D Index</v>
      </c>
      <c r="C6017" t="s">
        <v>250</v>
      </c>
      <c r="D6017" t="s">
        <v>1</v>
      </c>
      <c r="E6017" t="s">
        <v>3234</v>
      </c>
      <c r="F6017" t="s">
        <v>3235</v>
      </c>
      <c r="G6017" t="s">
        <v>52</v>
      </c>
      <c r="H6017">
        <v>6</v>
      </c>
      <c r="I6017">
        <v>0.39500000000000002</v>
      </c>
      <c r="J6017">
        <v>0.65600000000000003</v>
      </c>
      <c r="K6017">
        <v>0.26100000000000001</v>
      </c>
      <c r="L6017">
        <v>4</v>
      </c>
      <c r="M6017">
        <v>2</v>
      </c>
      <c r="N6017">
        <v>0</v>
      </c>
      <c r="O6017" t="s">
        <v>53</v>
      </c>
      <c r="P6017" t="s">
        <v>53</v>
      </c>
      <c r="Q6017" t="s">
        <v>53</v>
      </c>
    </row>
    <row r="6018" spans="1:17" x14ac:dyDescent="0.2">
      <c r="A6018" s="30" t="str">
        <f>IF(C6018&amp;G6018&amp;D6018&lt;&gt;'Funnel setup'!$K$3&amp;'Funnel setup'!$K$4&amp;'Funnel setup'!$K$5,".",IF(A6017=".",1,A6017+1))</f>
        <v>.</v>
      </c>
      <c r="B6018" s="431" t="str">
        <f t="shared" si="93"/>
        <v>Knee Replacement RevisionProviderRENACRES HOSPITAL (NVC16)EQ-5D Index</v>
      </c>
      <c r="C6018" t="s">
        <v>250</v>
      </c>
      <c r="D6018" t="s">
        <v>1</v>
      </c>
      <c r="E6018" t="s">
        <v>3237</v>
      </c>
      <c r="F6018" t="s">
        <v>3238</v>
      </c>
      <c r="G6018" t="s">
        <v>52</v>
      </c>
      <c r="H6018" t="s">
        <v>53</v>
      </c>
      <c r="I6018" t="s">
        <v>53</v>
      </c>
      <c r="J6018" t="s">
        <v>53</v>
      </c>
      <c r="K6018" t="s">
        <v>53</v>
      </c>
      <c r="L6018" t="s">
        <v>53</v>
      </c>
      <c r="M6018" t="s">
        <v>53</v>
      </c>
      <c r="N6018" t="s">
        <v>53</v>
      </c>
      <c r="O6018" t="s">
        <v>53</v>
      </c>
      <c r="P6018" t="s">
        <v>53</v>
      </c>
      <c r="Q6018" t="s">
        <v>53</v>
      </c>
    </row>
    <row r="6019" spans="1:17" x14ac:dyDescent="0.2">
      <c r="A6019" s="30" t="str">
        <f>IF(C6019&amp;G6019&amp;D6019&lt;&gt;'Funnel setup'!$K$3&amp;'Funnel setup'!$K$4&amp;'Funnel setup'!$K$5,".",IF(A6018=".",1,A6018+1))</f>
        <v>.</v>
      </c>
      <c r="B6019" s="431" t="str">
        <f t="shared" ref="B6019:B6082" si="94">C6019&amp;D6019&amp;F6019&amp;G6019</f>
        <v>Knee Replacement RevisionProviderROYAL BERKSHIRE NHS FOUNDATION TRUST (RHW)EQ-5D Index</v>
      </c>
      <c r="C6019" t="s">
        <v>250</v>
      </c>
      <c r="D6019" t="s">
        <v>1</v>
      </c>
      <c r="E6019" t="s">
        <v>3832</v>
      </c>
      <c r="F6019" t="s">
        <v>3833</v>
      </c>
      <c r="G6019" t="s">
        <v>52</v>
      </c>
      <c r="H6019" t="s">
        <v>53</v>
      </c>
      <c r="I6019" t="s">
        <v>53</v>
      </c>
      <c r="J6019" t="s">
        <v>53</v>
      </c>
      <c r="K6019" t="s">
        <v>53</v>
      </c>
      <c r="L6019" t="s">
        <v>53</v>
      </c>
      <c r="M6019" t="s">
        <v>53</v>
      </c>
      <c r="N6019" t="s">
        <v>53</v>
      </c>
      <c r="O6019" t="s">
        <v>53</v>
      </c>
      <c r="P6019" t="s">
        <v>53</v>
      </c>
      <c r="Q6019" t="s">
        <v>53</v>
      </c>
    </row>
    <row r="6020" spans="1:17" x14ac:dyDescent="0.2">
      <c r="A6020" s="30" t="str">
        <f>IF(C6020&amp;G6020&amp;D6020&lt;&gt;'Funnel setup'!$K$3&amp;'Funnel setup'!$K$4&amp;'Funnel setup'!$K$5,".",IF(A6019=".",1,A6019+1))</f>
        <v>.</v>
      </c>
      <c r="B6020" s="431" t="str">
        <f t="shared" si="94"/>
        <v>Knee Replacement RevisionProviderROYAL CORNWALL HOSPITALS NHS TRUST (REF)EQ-5D Index</v>
      </c>
      <c r="C6020" t="s">
        <v>250</v>
      </c>
      <c r="D6020" t="s">
        <v>1</v>
      </c>
      <c r="E6020" t="s">
        <v>3745</v>
      </c>
      <c r="F6020" t="s">
        <v>3746</v>
      </c>
      <c r="G6020" t="s">
        <v>52</v>
      </c>
      <c r="H6020">
        <v>18</v>
      </c>
      <c r="I6020">
        <v>0.372</v>
      </c>
      <c r="J6020">
        <v>0.59399999999999997</v>
      </c>
      <c r="K6020">
        <v>0.222</v>
      </c>
      <c r="L6020">
        <v>11</v>
      </c>
      <c r="M6020">
        <v>6</v>
      </c>
      <c r="N6020">
        <v>1</v>
      </c>
      <c r="O6020" t="s">
        <v>53</v>
      </c>
      <c r="P6020" t="s">
        <v>53</v>
      </c>
      <c r="Q6020" t="s">
        <v>53</v>
      </c>
    </row>
    <row r="6021" spans="1:17" x14ac:dyDescent="0.2">
      <c r="A6021" s="30" t="str">
        <f>IF(C6021&amp;G6021&amp;D6021&lt;&gt;'Funnel setup'!$K$3&amp;'Funnel setup'!$K$4&amp;'Funnel setup'!$K$5,".",IF(A6020=".",1,A6020+1))</f>
        <v>.</v>
      </c>
      <c r="B6021" s="431" t="str">
        <f t="shared" si="94"/>
        <v>Knee Replacement RevisionProviderROYAL DEVON AND EXETER NHS FOUNDATION TRUST (RH8)EQ-5D Index</v>
      </c>
      <c r="C6021" t="s">
        <v>250</v>
      </c>
      <c r="D6021" t="s">
        <v>1</v>
      </c>
      <c r="E6021" t="s">
        <v>3442</v>
      </c>
      <c r="F6021" t="s">
        <v>3443</v>
      </c>
      <c r="G6021" t="s">
        <v>52</v>
      </c>
      <c r="H6021">
        <v>36</v>
      </c>
      <c r="I6021">
        <v>0.33900000000000002</v>
      </c>
      <c r="J6021">
        <v>0.68400000000000005</v>
      </c>
      <c r="K6021">
        <v>0.34499999999999997</v>
      </c>
      <c r="L6021">
        <v>28</v>
      </c>
      <c r="M6021">
        <v>3</v>
      </c>
      <c r="N6021">
        <v>5</v>
      </c>
      <c r="O6021">
        <v>0.66200000000000003</v>
      </c>
      <c r="P6021">
        <v>0.330438328</v>
      </c>
      <c r="Q6021">
        <v>0.23499999999999999</v>
      </c>
    </row>
    <row r="6022" spans="1:17" x14ac:dyDescent="0.2">
      <c r="A6022" s="30" t="str">
        <f>IF(C6022&amp;G6022&amp;D6022&lt;&gt;'Funnel setup'!$K$3&amp;'Funnel setup'!$K$4&amp;'Funnel setup'!$K$5,".",IF(A6021=".",1,A6021+1))</f>
        <v>.</v>
      </c>
      <c r="B6022" s="431" t="str">
        <f t="shared" si="94"/>
        <v>Knee Replacement RevisionProviderROYAL FREE LONDON NHS FOUNDATION TRUST (RAL)EQ-5D Index</v>
      </c>
      <c r="C6022" t="s">
        <v>250</v>
      </c>
      <c r="D6022" t="s">
        <v>1</v>
      </c>
      <c r="E6022" t="s">
        <v>3445</v>
      </c>
      <c r="F6022" t="s">
        <v>3446</v>
      </c>
      <c r="G6022" t="s">
        <v>52</v>
      </c>
      <c r="H6022" t="s">
        <v>53</v>
      </c>
      <c r="I6022" t="s">
        <v>53</v>
      </c>
      <c r="J6022" t="s">
        <v>53</v>
      </c>
      <c r="K6022" t="s">
        <v>53</v>
      </c>
      <c r="L6022" t="s">
        <v>53</v>
      </c>
      <c r="M6022" t="s">
        <v>53</v>
      </c>
      <c r="N6022" t="s">
        <v>53</v>
      </c>
      <c r="O6022" t="s">
        <v>53</v>
      </c>
      <c r="P6022" t="s">
        <v>53</v>
      </c>
      <c r="Q6022" t="s">
        <v>53</v>
      </c>
    </row>
    <row r="6023" spans="1:17" x14ac:dyDescent="0.2">
      <c r="A6023" s="30" t="str">
        <f>IF(C6023&amp;G6023&amp;D6023&lt;&gt;'Funnel setup'!$K$3&amp;'Funnel setup'!$K$4&amp;'Funnel setup'!$K$5,".",IF(A6022=".",1,A6022+1))</f>
        <v>.</v>
      </c>
      <c r="B6023" s="431" t="str">
        <f t="shared" si="94"/>
        <v>Knee Replacement RevisionProviderROYAL LIVERPOOL AND BROADGREEN UNIVERSITY HOSPITALS NHS TRUST (RQ6)EQ-5D Index</v>
      </c>
      <c r="C6023" t="s">
        <v>250</v>
      </c>
      <c r="D6023" t="s">
        <v>1</v>
      </c>
      <c r="E6023" t="s">
        <v>3448</v>
      </c>
      <c r="F6023" t="s">
        <v>3449</v>
      </c>
      <c r="G6023" t="s">
        <v>52</v>
      </c>
      <c r="H6023" t="s">
        <v>53</v>
      </c>
      <c r="I6023" t="s">
        <v>53</v>
      </c>
      <c r="J6023" t="s">
        <v>53</v>
      </c>
      <c r="K6023" t="s">
        <v>53</v>
      </c>
      <c r="L6023" t="s">
        <v>53</v>
      </c>
      <c r="M6023" t="s">
        <v>53</v>
      </c>
      <c r="N6023" t="s">
        <v>53</v>
      </c>
      <c r="O6023" t="s">
        <v>53</v>
      </c>
      <c r="P6023" t="s">
        <v>53</v>
      </c>
      <c r="Q6023" t="s">
        <v>53</v>
      </c>
    </row>
    <row r="6024" spans="1:17" x14ac:dyDescent="0.2">
      <c r="A6024" s="30" t="str">
        <f>IF(C6024&amp;G6024&amp;D6024&lt;&gt;'Funnel setup'!$K$3&amp;'Funnel setup'!$K$4&amp;'Funnel setup'!$K$5,".",IF(A6023=".",1,A6023+1))</f>
        <v>.</v>
      </c>
      <c r="B6024" s="431" t="str">
        <f t="shared" si="94"/>
        <v>Knee Replacement RevisionProviderROYAL NATIONAL ORTHOPAEDIC HOSPITAL NHS TRUST (RAN)EQ-5D Index</v>
      </c>
      <c r="C6024" t="s">
        <v>250</v>
      </c>
      <c r="D6024" t="s">
        <v>1</v>
      </c>
      <c r="E6024" t="s">
        <v>4378</v>
      </c>
      <c r="F6024" t="s">
        <v>4379</v>
      </c>
      <c r="G6024" t="s">
        <v>52</v>
      </c>
      <c r="H6024">
        <v>23</v>
      </c>
      <c r="I6024">
        <v>0.20499999999999999</v>
      </c>
      <c r="J6024">
        <v>0.49299999999999999</v>
      </c>
      <c r="K6024">
        <v>0.28799999999999998</v>
      </c>
      <c r="L6024">
        <v>19</v>
      </c>
      <c r="M6024">
        <v>2</v>
      </c>
      <c r="N6024">
        <v>2</v>
      </c>
      <c r="O6024" t="s">
        <v>53</v>
      </c>
      <c r="P6024" t="s">
        <v>53</v>
      </c>
      <c r="Q6024" t="s">
        <v>53</v>
      </c>
    </row>
    <row r="6025" spans="1:17" x14ac:dyDescent="0.2">
      <c r="A6025" s="30" t="str">
        <f>IF(C6025&amp;G6025&amp;D6025&lt;&gt;'Funnel setup'!$K$3&amp;'Funnel setup'!$K$4&amp;'Funnel setup'!$K$5,".",IF(A6024=".",1,A6024+1))</f>
        <v>.</v>
      </c>
      <c r="B6025" s="431" t="str">
        <f t="shared" si="94"/>
        <v>Knee Replacement RevisionProviderROYAL SURREY COUNTY HOSPITAL NHS FOUNDATION TRUST (RA2)EQ-5D Index</v>
      </c>
      <c r="C6025" t="s">
        <v>250</v>
      </c>
      <c r="D6025" t="s">
        <v>1</v>
      </c>
      <c r="E6025" t="s">
        <v>3451</v>
      </c>
      <c r="F6025" t="s">
        <v>3452</v>
      </c>
      <c r="G6025" t="s">
        <v>52</v>
      </c>
      <c r="H6025">
        <v>6</v>
      </c>
      <c r="I6025">
        <v>0.33700000000000002</v>
      </c>
      <c r="J6025">
        <v>0.77500000000000002</v>
      </c>
      <c r="K6025">
        <v>0.438</v>
      </c>
      <c r="L6025">
        <v>6</v>
      </c>
      <c r="M6025">
        <v>0</v>
      </c>
      <c r="N6025">
        <v>0</v>
      </c>
      <c r="O6025" t="s">
        <v>53</v>
      </c>
      <c r="P6025" t="s">
        <v>53</v>
      </c>
      <c r="Q6025" t="s">
        <v>53</v>
      </c>
    </row>
    <row r="6026" spans="1:17" x14ac:dyDescent="0.2">
      <c r="A6026" s="30" t="str">
        <f>IF(C6026&amp;G6026&amp;D6026&lt;&gt;'Funnel setup'!$K$3&amp;'Funnel setup'!$K$4&amp;'Funnel setup'!$K$5,".",IF(A6025=".",1,A6025+1))</f>
        <v>.</v>
      </c>
      <c r="B6026" s="431" t="str">
        <f t="shared" si="94"/>
        <v>Knee Replacement RevisionProviderROYAL UNITED HOSPITALS BATH NHS FOUNDATION TRUST (RD1)EQ-5D Index</v>
      </c>
      <c r="C6026" t="s">
        <v>250</v>
      </c>
      <c r="D6026" t="s">
        <v>1</v>
      </c>
      <c r="E6026" t="s">
        <v>3454</v>
      </c>
      <c r="F6026" t="s">
        <v>3455</v>
      </c>
      <c r="G6026" t="s">
        <v>52</v>
      </c>
      <c r="H6026">
        <v>9</v>
      </c>
      <c r="I6026">
        <v>0.48099999999999998</v>
      </c>
      <c r="J6026">
        <v>0.72299999999999998</v>
      </c>
      <c r="K6026">
        <v>0.24299999999999999</v>
      </c>
      <c r="L6026">
        <v>7</v>
      </c>
      <c r="M6026">
        <v>2</v>
      </c>
      <c r="N6026">
        <v>0</v>
      </c>
      <c r="O6026" t="s">
        <v>53</v>
      </c>
      <c r="P6026" t="s">
        <v>53</v>
      </c>
      <c r="Q6026" t="s">
        <v>53</v>
      </c>
    </row>
    <row r="6027" spans="1:17" x14ac:dyDescent="0.2">
      <c r="A6027" s="30" t="str">
        <f>IF(C6027&amp;G6027&amp;D6027&lt;&gt;'Funnel setup'!$K$3&amp;'Funnel setup'!$K$4&amp;'Funnel setup'!$K$5,".",IF(A6026=".",1,A6026+1))</f>
        <v>.</v>
      </c>
      <c r="B6027" s="431" t="str">
        <f t="shared" si="94"/>
        <v>Knee Replacement RevisionProviderSALFORD ROYAL NHS FOUNDATION TRUST (RM3)EQ-5D Index</v>
      </c>
      <c r="C6027" t="s">
        <v>250</v>
      </c>
      <c r="D6027" t="s">
        <v>1</v>
      </c>
      <c r="E6027" t="s">
        <v>3457</v>
      </c>
      <c r="F6027" t="s">
        <v>3458</v>
      </c>
      <c r="G6027" t="s">
        <v>52</v>
      </c>
      <c r="H6027">
        <v>9</v>
      </c>
      <c r="I6027">
        <v>0.13700000000000001</v>
      </c>
      <c r="J6027">
        <v>0.35899999999999999</v>
      </c>
      <c r="K6027">
        <v>0.223</v>
      </c>
      <c r="L6027">
        <v>5</v>
      </c>
      <c r="M6027">
        <v>0</v>
      </c>
      <c r="N6027">
        <v>4</v>
      </c>
      <c r="O6027" t="s">
        <v>53</v>
      </c>
      <c r="P6027" t="s">
        <v>53</v>
      </c>
      <c r="Q6027" t="s">
        <v>53</v>
      </c>
    </row>
    <row r="6028" spans="1:17" x14ac:dyDescent="0.2">
      <c r="A6028" s="30" t="str">
        <f>IF(C6028&amp;G6028&amp;D6028&lt;&gt;'Funnel setup'!$K$3&amp;'Funnel setup'!$K$4&amp;'Funnel setup'!$K$5,".",IF(A6027=".",1,A6027+1))</f>
        <v>.</v>
      </c>
      <c r="B6028" s="431" t="str">
        <f t="shared" si="94"/>
        <v>Knee Replacement RevisionProviderSALISBURY NHS FOUNDATION TRUST (RNZ)EQ-5D Index</v>
      </c>
      <c r="C6028" t="s">
        <v>250</v>
      </c>
      <c r="D6028" t="s">
        <v>1</v>
      </c>
      <c r="E6028" t="s">
        <v>3460</v>
      </c>
      <c r="F6028" t="s">
        <v>3461</v>
      </c>
      <c r="G6028" t="s">
        <v>52</v>
      </c>
      <c r="H6028" t="s">
        <v>53</v>
      </c>
      <c r="I6028" t="s">
        <v>53</v>
      </c>
      <c r="J6028" t="s">
        <v>53</v>
      </c>
      <c r="K6028" t="s">
        <v>53</v>
      </c>
      <c r="L6028" t="s">
        <v>53</v>
      </c>
      <c r="M6028" t="s">
        <v>53</v>
      </c>
      <c r="N6028" t="s">
        <v>53</v>
      </c>
      <c r="O6028" t="s">
        <v>53</v>
      </c>
      <c r="P6028" t="s">
        <v>53</v>
      </c>
      <c r="Q6028" t="s">
        <v>53</v>
      </c>
    </row>
    <row r="6029" spans="1:17" x14ac:dyDescent="0.2">
      <c r="A6029" s="30" t="str">
        <f>IF(C6029&amp;G6029&amp;D6029&lt;&gt;'Funnel setup'!$K$3&amp;'Funnel setup'!$K$4&amp;'Funnel setup'!$K$5,".",IF(A6028=".",1,A6028+1))</f>
        <v>.</v>
      </c>
      <c r="B6029" s="431" t="str">
        <f t="shared" si="94"/>
        <v>Knee Replacement RevisionProviderSANDWELL AND WEST BIRMINGHAM HOSPITALS NHS TRUST (RXK)EQ-5D Index</v>
      </c>
      <c r="C6029" t="s">
        <v>250</v>
      </c>
      <c r="D6029" t="s">
        <v>1</v>
      </c>
      <c r="E6029" t="s">
        <v>3463</v>
      </c>
      <c r="F6029" t="s">
        <v>3464</v>
      </c>
      <c r="G6029" t="s">
        <v>52</v>
      </c>
      <c r="H6029" t="s">
        <v>53</v>
      </c>
      <c r="I6029" t="s">
        <v>53</v>
      </c>
      <c r="J6029" t="s">
        <v>53</v>
      </c>
      <c r="K6029" t="s">
        <v>53</v>
      </c>
      <c r="L6029" t="s">
        <v>53</v>
      </c>
      <c r="M6029" t="s">
        <v>53</v>
      </c>
      <c r="N6029" t="s">
        <v>53</v>
      </c>
      <c r="O6029" t="s">
        <v>53</v>
      </c>
      <c r="P6029" t="s">
        <v>53</v>
      </c>
      <c r="Q6029" t="s">
        <v>53</v>
      </c>
    </row>
    <row r="6030" spans="1:17" x14ac:dyDescent="0.2">
      <c r="A6030" s="30" t="str">
        <f>IF(C6030&amp;G6030&amp;D6030&lt;&gt;'Funnel setup'!$K$3&amp;'Funnel setup'!$K$4&amp;'Funnel setup'!$K$5,".",IF(A6029=".",1,A6029+1))</f>
        <v>.</v>
      </c>
      <c r="B6030" s="431" t="str">
        <f t="shared" si="94"/>
        <v>Knee Replacement RevisionProviderSHEFFIELD TEACHING HOSPITALS NHS FOUNDATION TRUST (RHQ)EQ-5D Index</v>
      </c>
      <c r="C6030" t="s">
        <v>250</v>
      </c>
      <c r="D6030" t="s">
        <v>1</v>
      </c>
      <c r="E6030" t="s">
        <v>3466</v>
      </c>
      <c r="F6030" t="s">
        <v>3467</v>
      </c>
      <c r="G6030" t="s">
        <v>52</v>
      </c>
      <c r="H6030">
        <v>50</v>
      </c>
      <c r="I6030">
        <v>0.29799999999999999</v>
      </c>
      <c r="J6030">
        <v>0.56899999999999995</v>
      </c>
      <c r="K6030">
        <v>0.27100000000000002</v>
      </c>
      <c r="L6030">
        <v>36</v>
      </c>
      <c r="M6030">
        <v>7</v>
      </c>
      <c r="N6030">
        <v>7</v>
      </c>
      <c r="O6030">
        <v>0.58599999999999997</v>
      </c>
      <c r="P6030">
        <v>0.25442940200000003</v>
      </c>
      <c r="Q6030">
        <v>0.26600000000000001</v>
      </c>
    </row>
    <row r="6031" spans="1:17" x14ac:dyDescent="0.2">
      <c r="A6031" s="30" t="str">
        <f>IF(C6031&amp;G6031&amp;D6031&lt;&gt;'Funnel setup'!$K$3&amp;'Funnel setup'!$K$4&amp;'Funnel setup'!$K$5,".",IF(A6030=".",1,A6030+1))</f>
        <v>.</v>
      </c>
      <c r="B6031" s="431" t="str">
        <f t="shared" si="94"/>
        <v>Knee Replacement RevisionProviderSHERWOOD FOREST HOSPITALS NHS FOUNDATION TRUST (RK5)EQ-5D Index</v>
      </c>
      <c r="C6031" t="s">
        <v>250</v>
      </c>
      <c r="D6031" t="s">
        <v>1</v>
      </c>
      <c r="E6031" t="s">
        <v>3475</v>
      </c>
      <c r="F6031" t="s">
        <v>3476</v>
      </c>
      <c r="G6031" t="s">
        <v>52</v>
      </c>
      <c r="H6031">
        <v>12</v>
      </c>
      <c r="I6031">
        <v>0.27800000000000002</v>
      </c>
      <c r="J6031">
        <v>0.69499999999999995</v>
      </c>
      <c r="K6031">
        <v>0.41699999999999998</v>
      </c>
      <c r="L6031">
        <v>11</v>
      </c>
      <c r="M6031">
        <v>0</v>
      </c>
      <c r="N6031">
        <v>1</v>
      </c>
      <c r="O6031" t="s">
        <v>53</v>
      </c>
      <c r="P6031" t="s">
        <v>53</v>
      </c>
      <c r="Q6031" t="s">
        <v>53</v>
      </c>
    </row>
    <row r="6032" spans="1:17" x14ac:dyDescent="0.2">
      <c r="A6032" s="30" t="str">
        <f>IF(C6032&amp;G6032&amp;D6032&lt;&gt;'Funnel setup'!$K$3&amp;'Funnel setup'!$K$4&amp;'Funnel setup'!$K$5,".",IF(A6031=".",1,A6031+1))</f>
        <v>.</v>
      </c>
      <c r="B6032" s="431" t="str">
        <f t="shared" si="94"/>
        <v>Knee Replacement RevisionProviderSHREWSBURY AND TELFORD HOSPITAL NHS TRUST (RXW)EQ-5D Index</v>
      </c>
      <c r="C6032" t="s">
        <v>250</v>
      </c>
      <c r="D6032" t="s">
        <v>1</v>
      </c>
      <c r="E6032" t="s">
        <v>3478</v>
      </c>
      <c r="F6032" t="s">
        <v>3479</v>
      </c>
      <c r="G6032" t="s">
        <v>52</v>
      </c>
      <c r="H6032">
        <v>7</v>
      </c>
      <c r="I6032">
        <v>0.34300000000000003</v>
      </c>
      <c r="J6032">
        <v>0.68500000000000005</v>
      </c>
      <c r="K6032">
        <v>0.34200000000000003</v>
      </c>
      <c r="L6032">
        <v>6</v>
      </c>
      <c r="M6032">
        <v>1</v>
      </c>
      <c r="N6032">
        <v>0</v>
      </c>
      <c r="O6032" t="s">
        <v>53</v>
      </c>
      <c r="P6032" t="s">
        <v>53</v>
      </c>
      <c r="Q6032" t="s">
        <v>53</v>
      </c>
    </row>
    <row r="6033" spans="1:17" x14ac:dyDescent="0.2">
      <c r="A6033" s="30" t="str">
        <f>IF(C6033&amp;G6033&amp;D6033&lt;&gt;'Funnel setup'!$K$3&amp;'Funnel setup'!$K$4&amp;'Funnel setup'!$K$5,".",IF(A6032=".",1,A6032+1))</f>
        <v>.</v>
      </c>
      <c r="B6033" s="431" t="str">
        <f t="shared" si="94"/>
        <v>Knee Replacement RevisionProviderSOUTH TEES HOSPITALS NHS FOUNDATION TRUST (RTR)EQ-5D Index</v>
      </c>
      <c r="C6033" t="s">
        <v>250</v>
      </c>
      <c r="D6033" t="s">
        <v>1</v>
      </c>
      <c r="E6033" t="s">
        <v>3482</v>
      </c>
      <c r="F6033" t="s">
        <v>3483</v>
      </c>
      <c r="G6033" t="s">
        <v>52</v>
      </c>
      <c r="H6033">
        <v>19</v>
      </c>
      <c r="I6033">
        <v>0.35699999999999998</v>
      </c>
      <c r="J6033">
        <v>0.55700000000000005</v>
      </c>
      <c r="K6033">
        <v>0.2</v>
      </c>
      <c r="L6033">
        <v>12</v>
      </c>
      <c r="M6033">
        <v>4</v>
      </c>
      <c r="N6033">
        <v>3</v>
      </c>
      <c r="O6033" t="s">
        <v>53</v>
      </c>
      <c r="P6033" t="s">
        <v>53</v>
      </c>
      <c r="Q6033" t="s">
        <v>53</v>
      </c>
    </row>
    <row r="6034" spans="1:17" x14ac:dyDescent="0.2">
      <c r="A6034" s="30" t="str">
        <f>IF(C6034&amp;G6034&amp;D6034&lt;&gt;'Funnel setup'!$K$3&amp;'Funnel setup'!$K$4&amp;'Funnel setup'!$K$5,".",IF(A6033=".",1,A6033+1))</f>
        <v>.</v>
      </c>
      <c r="B6034" s="431" t="str">
        <f t="shared" si="94"/>
        <v>Knee Replacement RevisionProviderSOUTH TYNESIDE NHS FOUNDATION TRUST (RE9)EQ-5D Index</v>
      </c>
      <c r="C6034" t="s">
        <v>250</v>
      </c>
      <c r="D6034" t="s">
        <v>1</v>
      </c>
      <c r="E6034" t="s">
        <v>3485</v>
      </c>
      <c r="F6034" t="s">
        <v>3486</v>
      </c>
      <c r="G6034" t="s">
        <v>52</v>
      </c>
      <c r="H6034" t="s">
        <v>53</v>
      </c>
      <c r="I6034" t="s">
        <v>53</v>
      </c>
      <c r="J6034" t="s">
        <v>53</v>
      </c>
      <c r="K6034" t="s">
        <v>53</v>
      </c>
      <c r="L6034" t="s">
        <v>53</v>
      </c>
      <c r="M6034" t="s">
        <v>53</v>
      </c>
      <c r="N6034" t="s">
        <v>53</v>
      </c>
      <c r="O6034" t="s">
        <v>53</v>
      </c>
      <c r="P6034" t="s">
        <v>53</v>
      </c>
      <c r="Q6034" t="s">
        <v>53</v>
      </c>
    </row>
    <row r="6035" spans="1:17" x14ac:dyDescent="0.2">
      <c r="A6035" s="30" t="str">
        <f>IF(C6035&amp;G6035&amp;D6035&lt;&gt;'Funnel setup'!$K$3&amp;'Funnel setup'!$K$4&amp;'Funnel setup'!$K$5,".",IF(A6034=".",1,A6034+1))</f>
        <v>.</v>
      </c>
      <c r="B6035" s="431" t="str">
        <f t="shared" si="94"/>
        <v>Knee Replacement RevisionProviderSOUTH WARWICKSHIRE NHS FOUNDATION TRUST (RJC)EQ-5D Index</v>
      </c>
      <c r="C6035" t="s">
        <v>250</v>
      </c>
      <c r="D6035" t="s">
        <v>1</v>
      </c>
      <c r="E6035" t="s">
        <v>3421</v>
      </c>
      <c r="F6035" t="s">
        <v>3422</v>
      </c>
      <c r="G6035" t="s">
        <v>52</v>
      </c>
      <c r="H6035">
        <v>9</v>
      </c>
      <c r="I6035">
        <v>0.48599999999999999</v>
      </c>
      <c r="J6035">
        <v>0.69799999999999995</v>
      </c>
      <c r="K6035">
        <v>0.21199999999999999</v>
      </c>
      <c r="L6035">
        <v>6</v>
      </c>
      <c r="M6035">
        <v>2</v>
      </c>
      <c r="N6035">
        <v>1</v>
      </c>
      <c r="O6035" t="s">
        <v>53</v>
      </c>
      <c r="P6035" t="s">
        <v>53</v>
      </c>
      <c r="Q6035" t="s">
        <v>53</v>
      </c>
    </row>
    <row r="6036" spans="1:17" x14ac:dyDescent="0.2">
      <c r="A6036" s="30" t="str">
        <f>IF(C6036&amp;G6036&amp;D6036&lt;&gt;'Funnel setup'!$K$3&amp;'Funnel setup'!$K$4&amp;'Funnel setup'!$K$5,".",IF(A6035=".",1,A6035+1))</f>
        <v>.</v>
      </c>
      <c r="B6036" s="431" t="str">
        <f t="shared" si="94"/>
        <v>Knee Replacement RevisionProviderSOUTHAMPTON NHS TREATMENT CENTRE (NTP11)EQ-5D Index</v>
      </c>
      <c r="C6036" t="s">
        <v>250</v>
      </c>
      <c r="D6036" t="s">
        <v>1</v>
      </c>
      <c r="E6036" t="s">
        <v>3424</v>
      </c>
      <c r="F6036" t="s">
        <v>3425</v>
      </c>
      <c r="G6036" t="s">
        <v>52</v>
      </c>
      <c r="H6036" t="s">
        <v>53</v>
      </c>
      <c r="I6036" t="s">
        <v>53</v>
      </c>
      <c r="J6036" t="s">
        <v>53</v>
      </c>
      <c r="K6036" t="s">
        <v>53</v>
      </c>
      <c r="L6036" t="s">
        <v>53</v>
      </c>
      <c r="M6036" t="s">
        <v>53</v>
      </c>
      <c r="N6036" t="s">
        <v>53</v>
      </c>
      <c r="O6036" t="s">
        <v>53</v>
      </c>
      <c r="P6036" t="s">
        <v>53</v>
      </c>
      <c r="Q6036" t="s">
        <v>53</v>
      </c>
    </row>
    <row r="6037" spans="1:17" x14ac:dyDescent="0.2">
      <c r="A6037" s="30" t="str">
        <f>IF(C6037&amp;G6037&amp;D6037&lt;&gt;'Funnel setup'!$K$3&amp;'Funnel setup'!$K$4&amp;'Funnel setup'!$K$5,".",IF(A6036=".",1,A6036+1))</f>
        <v>.</v>
      </c>
      <c r="B6037" s="431" t="str">
        <f t="shared" si="94"/>
        <v>Knee Replacement RevisionProviderSOUTHEND UNIVERSITY HOSPITAL NHS FOUNDATION TRUST (RAJ)EQ-5D Index</v>
      </c>
      <c r="C6037" t="s">
        <v>250</v>
      </c>
      <c r="D6037" t="s">
        <v>1</v>
      </c>
      <c r="E6037" t="s">
        <v>3427</v>
      </c>
      <c r="F6037" t="s">
        <v>3428</v>
      </c>
      <c r="G6037" t="s">
        <v>52</v>
      </c>
      <c r="H6037" t="s">
        <v>53</v>
      </c>
      <c r="I6037" t="s">
        <v>53</v>
      </c>
      <c r="J6037" t="s">
        <v>53</v>
      </c>
      <c r="K6037" t="s">
        <v>53</v>
      </c>
      <c r="L6037" t="s">
        <v>53</v>
      </c>
      <c r="M6037" t="s">
        <v>53</v>
      </c>
      <c r="N6037" t="s">
        <v>53</v>
      </c>
      <c r="O6037" t="s">
        <v>53</v>
      </c>
      <c r="P6037" t="s">
        <v>53</v>
      </c>
      <c r="Q6037" t="s">
        <v>53</v>
      </c>
    </row>
    <row r="6038" spans="1:17" x14ac:dyDescent="0.2">
      <c r="A6038" s="30" t="str">
        <f>IF(C6038&amp;G6038&amp;D6038&lt;&gt;'Funnel setup'!$K$3&amp;'Funnel setup'!$K$4&amp;'Funnel setup'!$K$5,".",IF(A6037=".",1,A6037+1))</f>
        <v>.</v>
      </c>
      <c r="B6038" s="431" t="str">
        <f t="shared" si="94"/>
        <v>Knee Replacement RevisionProviderSOUTHPORT AND ORMSKIRK HOSPITAL NHS TRUST (RVY)EQ-5D Index</v>
      </c>
      <c r="C6038" t="s">
        <v>250</v>
      </c>
      <c r="D6038" t="s">
        <v>1</v>
      </c>
      <c r="E6038" t="s">
        <v>3430</v>
      </c>
      <c r="F6038" t="s">
        <v>3431</v>
      </c>
      <c r="G6038" t="s">
        <v>52</v>
      </c>
      <c r="H6038" t="s">
        <v>53</v>
      </c>
      <c r="I6038" t="s">
        <v>53</v>
      </c>
      <c r="J6038" t="s">
        <v>53</v>
      </c>
      <c r="K6038" t="s">
        <v>53</v>
      </c>
      <c r="L6038" t="s">
        <v>53</v>
      </c>
      <c r="M6038" t="s">
        <v>53</v>
      </c>
      <c r="N6038" t="s">
        <v>53</v>
      </c>
      <c r="O6038" t="s">
        <v>53</v>
      </c>
      <c r="P6038" t="s">
        <v>53</v>
      </c>
      <c r="Q6038" t="s">
        <v>53</v>
      </c>
    </row>
    <row r="6039" spans="1:17" x14ac:dyDescent="0.2">
      <c r="A6039" s="30" t="str">
        <f>IF(C6039&amp;G6039&amp;D6039&lt;&gt;'Funnel setup'!$K$3&amp;'Funnel setup'!$K$4&amp;'Funnel setup'!$K$5,".",IF(A6038=".",1,A6038+1))</f>
        <v>.</v>
      </c>
      <c r="B6039" s="431" t="str">
        <f t="shared" si="94"/>
        <v>Knee Replacement RevisionProviderSPIRE ALEXANDRA HOSPITAL (NT312)EQ-5D Index</v>
      </c>
      <c r="C6039" t="s">
        <v>250</v>
      </c>
      <c r="D6039" t="s">
        <v>1</v>
      </c>
      <c r="E6039" t="s">
        <v>3433</v>
      </c>
      <c r="F6039" t="s">
        <v>3434</v>
      </c>
      <c r="G6039" t="s">
        <v>52</v>
      </c>
      <c r="H6039" t="s">
        <v>53</v>
      </c>
      <c r="I6039" t="s">
        <v>53</v>
      </c>
      <c r="J6039" t="s">
        <v>53</v>
      </c>
      <c r="K6039" t="s">
        <v>53</v>
      </c>
      <c r="L6039" t="s">
        <v>53</v>
      </c>
      <c r="M6039" t="s">
        <v>53</v>
      </c>
      <c r="N6039" t="s">
        <v>53</v>
      </c>
      <c r="O6039" t="s">
        <v>53</v>
      </c>
      <c r="P6039" t="s">
        <v>53</v>
      </c>
      <c r="Q6039" t="s">
        <v>53</v>
      </c>
    </row>
    <row r="6040" spans="1:17" x14ac:dyDescent="0.2">
      <c r="A6040" s="30" t="str">
        <f>IF(C6040&amp;G6040&amp;D6040&lt;&gt;'Funnel setup'!$K$3&amp;'Funnel setup'!$K$4&amp;'Funnel setup'!$K$5,".",IF(A6039=".",1,A6039+1))</f>
        <v>.</v>
      </c>
      <c r="B6040" s="431" t="str">
        <f t="shared" si="94"/>
        <v>Knee Replacement RevisionProviderSPIRE ELLAND HOSPITAL (NT348)EQ-5D Index</v>
      </c>
      <c r="C6040" t="s">
        <v>250</v>
      </c>
      <c r="D6040" t="s">
        <v>1</v>
      </c>
      <c r="E6040" t="s">
        <v>3418</v>
      </c>
      <c r="F6040" t="s">
        <v>3419</v>
      </c>
      <c r="G6040" t="s">
        <v>52</v>
      </c>
      <c r="H6040" t="s">
        <v>53</v>
      </c>
      <c r="I6040" t="s">
        <v>53</v>
      </c>
      <c r="J6040" t="s">
        <v>53</v>
      </c>
      <c r="K6040" t="s">
        <v>53</v>
      </c>
      <c r="L6040" t="s">
        <v>53</v>
      </c>
      <c r="M6040" t="s">
        <v>53</v>
      </c>
      <c r="N6040" t="s">
        <v>53</v>
      </c>
      <c r="O6040" t="s">
        <v>53</v>
      </c>
      <c r="P6040" t="s">
        <v>53</v>
      </c>
      <c r="Q6040" t="s">
        <v>53</v>
      </c>
    </row>
    <row r="6041" spans="1:17" x14ac:dyDescent="0.2">
      <c r="A6041" s="30" t="str">
        <f>IF(C6041&amp;G6041&amp;D6041&lt;&gt;'Funnel setup'!$K$3&amp;'Funnel setup'!$K$4&amp;'Funnel setup'!$K$5,".",IF(A6040=".",1,A6040+1))</f>
        <v>.</v>
      </c>
      <c r="B6041" s="431" t="str">
        <f t="shared" si="94"/>
        <v>Knee Replacement RevisionProviderSPIRE FYLDE COAST HOSPITAL (NT347)EQ-5D Index</v>
      </c>
      <c r="C6041" t="s">
        <v>250</v>
      </c>
      <c r="D6041" t="s">
        <v>1</v>
      </c>
      <c r="E6041" t="s">
        <v>4370</v>
      </c>
      <c r="F6041" t="s">
        <v>4371</v>
      </c>
      <c r="G6041" t="s">
        <v>52</v>
      </c>
      <c r="H6041" t="s">
        <v>53</v>
      </c>
      <c r="I6041" t="s">
        <v>53</v>
      </c>
      <c r="J6041" t="s">
        <v>53</v>
      </c>
      <c r="K6041" t="s">
        <v>53</v>
      </c>
      <c r="L6041" t="s">
        <v>53</v>
      </c>
      <c r="M6041" t="s">
        <v>53</v>
      </c>
      <c r="N6041" t="s">
        <v>53</v>
      </c>
      <c r="O6041" t="s">
        <v>53</v>
      </c>
      <c r="P6041" t="s">
        <v>53</v>
      </c>
      <c r="Q6041" t="s">
        <v>53</v>
      </c>
    </row>
    <row r="6042" spans="1:17" x14ac:dyDescent="0.2">
      <c r="A6042" s="30" t="str">
        <f>IF(C6042&amp;G6042&amp;D6042&lt;&gt;'Funnel setup'!$K$3&amp;'Funnel setup'!$K$4&amp;'Funnel setup'!$K$5,".",IF(A6041=".",1,A6041+1))</f>
        <v>.</v>
      </c>
      <c r="B6042" s="431" t="str">
        <f t="shared" si="94"/>
        <v>Knee Replacement RevisionProviderSPIRE HARPENDEN HOSPITAL (NT316)EQ-5D Index</v>
      </c>
      <c r="C6042" t="s">
        <v>250</v>
      </c>
      <c r="D6042" t="s">
        <v>1</v>
      </c>
      <c r="E6042" t="s">
        <v>4267</v>
      </c>
      <c r="F6042" t="s">
        <v>4268</v>
      </c>
      <c r="G6042" t="s">
        <v>52</v>
      </c>
      <c r="H6042" t="s">
        <v>53</v>
      </c>
      <c r="I6042" t="s">
        <v>53</v>
      </c>
      <c r="J6042" t="s">
        <v>53</v>
      </c>
      <c r="K6042" t="s">
        <v>53</v>
      </c>
      <c r="L6042" t="s">
        <v>53</v>
      </c>
      <c r="M6042" t="s">
        <v>53</v>
      </c>
      <c r="N6042" t="s">
        <v>53</v>
      </c>
      <c r="O6042" t="s">
        <v>53</v>
      </c>
      <c r="P6042" t="s">
        <v>53</v>
      </c>
      <c r="Q6042" t="s">
        <v>53</v>
      </c>
    </row>
    <row r="6043" spans="1:17" x14ac:dyDescent="0.2">
      <c r="A6043" s="30" t="str">
        <f>IF(C6043&amp;G6043&amp;D6043&lt;&gt;'Funnel setup'!$K$3&amp;'Funnel setup'!$K$4&amp;'Funnel setup'!$K$5,".",IF(A6042=".",1,A6042+1))</f>
        <v>.</v>
      </c>
      <c r="B6043" s="431" t="str">
        <f t="shared" si="94"/>
        <v>Knee Replacement RevisionProviderSPIRE HULL AND EAST RIDING HOSPITAL (NT351)EQ-5D Index</v>
      </c>
      <c r="C6043" t="s">
        <v>250</v>
      </c>
      <c r="D6043" t="s">
        <v>1</v>
      </c>
      <c r="E6043" t="s">
        <v>3213</v>
      </c>
      <c r="F6043" t="s">
        <v>3214</v>
      </c>
      <c r="G6043" t="s">
        <v>52</v>
      </c>
      <c r="H6043" t="s">
        <v>53</v>
      </c>
      <c r="I6043" t="s">
        <v>53</v>
      </c>
      <c r="J6043" t="s">
        <v>53</v>
      </c>
      <c r="K6043" t="s">
        <v>53</v>
      </c>
      <c r="L6043" t="s">
        <v>53</v>
      </c>
      <c r="M6043" t="s">
        <v>53</v>
      </c>
      <c r="N6043" t="s">
        <v>53</v>
      </c>
      <c r="O6043" t="s">
        <v>53</v>
      </c>
      <c r="P6043" t="s">
        <v>53</v>
      </c>
      <c r="Q6043" t="s">
        <v>53</v>
      </c>
    </row>
    <row r="6044" spans="1:17" x14ac:dyDescent="0.2">
      <c r="A6044" s="30" t="str">
        <f>IF(C6044&amp;G6044&amp;D6044&lt;&gt;'Funnel setup'!$K$3&amp;'Funnel setup'!$K$4&amp;'Funnel setup'!$K$5,".",IF(A6043=".",1,A6043+1))</f>
        <v>.</v>
      </c>
      <c r="B6044" s="431" t="str">
        <f t="shared" si="94"/>
        <v>Knee Replacement RevisionProviderSPIRE LEEDS HOSPITAL (NT332)EQ-5D Index</v>
      </c>
      <c r="C6044" t="s">
        <v>250</v>
      </c>
      <c r="D6044" t="s">
        <v>1</v>
      </c>
      <c r="E6044" t="s">
        <v>3198</v>
      </c>
      <c r="F6044" t="s">
        <v>3199</v>
      </c>
      <c r="G6044" t="s">
        <v>52</v>
      </c>
      <c r="H6044" t="s">
        <v>53</v>
      </c>
      <c r="I6044" t="s">
        <v>53</v>
      </c>
      <c r="J6044" t="s">
        <v>53</v>
      </c>
      <c r="K6044" t="s">
        <v>53</v>
      </c>
      <c r="L6044" t="s">
        <v>53</v>
      </c>
      <c r="M6044" t="s">
        <v>53</v>
      </c>
      <c r="N6044" t="s">
        <v>53</v>
      </c>
      <c r="O6044" t="s">
        <v>53</v>
      </c>
      <c r="P6044" t="s">
        <v>53</v>
      </c>
      <c r="Q6044" t="s">
        <v>53</v>
      </c>
    </row>
    <row r="6045" spans="1:17" x14ac:dyDescent="0.2">
      <c r="A6045" s="30" t="str">
        <f>IF(C6045&amp;G6045&amp;D6045&lt;&gt;'Funnel setup'!$K$3&amp;'Funnel setup'!$K$4&amp;'Funnel setup'!$K$5,".",IF(A6044=".",1,A6044+1))</f>
        <v>.</v>
      </c>
      <c r="B6045" s="431" t="str">
        <f t="shared" si="94"/>
        <v>Knee Replacement RevisionProviderSPIRE MONTEFIORE HOSPITAL (NT364)EQ-5D Index</v>
      </c>
      <c r="C6045" t="s">
        <v>250</v>
      </c>
      <c r="D6045" t="s">
        <v>1</v>
      </c>
      <c r="E6045" t="s">
        <v>3160</v>
      </c>
      <c r="F6045" t="s">
        <v>3161</v>
      </c>
      <c r="G6045" t="s">
        <v>52</v>
      </c>
      <c r="H6045" t="s">
        <v>53</v>
      </c>
      <c r="I6045" t="s">
        <v>53</v>
      </c>
      <c r="J6045" t="s">
        <v>53</v>
      </c>
      <c r="K6045" t="s">
        <v>53</v>
      </c>
      <c r="L6045" t="s">
        <v>53</v>
      </c>
      <c r="M6045" t="s">
        <v>53</v>
      </c>
      <c r="N6045" t="s">
        <v>53</v>
      </c>
      <c r="O6045" t="s">
        <v>53</v>
      </c>
      <c r="P6045" t="s">
        <v>53</v>
      </c>
      <c r="Q6045" t="s">
        <v>53</v>
      </c>
    </row>
    <row r="6046" spans="1:17" x14ac:dyDescent="0.2">
      <c r="A6046" s="30" t="str">
        <f>IF(C6046&amp;G6046&amp;D6046&lt;&gt;'Funnel setup'!$K$3&amp;'Funnel setup'!$K$4&amp;'Funnel setup'!$K$5,".",IF(A6045=".",1,A6045+1))</f>
        <v>.</v>
      </c>
      <c r="B6046" s="431" t="str">
        <f t="shared" si="94"/>
        <v>Knee Replacement RevisionProviderSPIRE NORWICH HOSPITAL (NT318)EQ-5D Index</v>
      </c>
      <c r="C6046" t="s">
        <v>250</v>
      </c>
      <c r="D6046" t="s">
        <v>1</v>
      </c>
      <c r="E6046" t="s">
        <v>4251</v>
      </c>
      <c r="F6046" t="s">
        <v>4252</v>
      </c>
      <c r="G6046" t="s">
        <v>52</v>
      </c>
      <c r="H6046" t="s">
        <v>53</v>
      </c>
      <c r="I6046" t="s">
        <v>53</v>
      </c>
      <c r="J6046" t="s">
        <v>53</v>
      </c>
      <c r="K6046" t="s">
        <v>53</v>
      </c>
      <c r="L6046" t="s">
        <v>53</v>
      </c>
      <c r="M6046" t="s">
        <v>53</v>
      </c>
      <c r="N6046" t="s">
        <v>53</v>
      </c>
      <c r="O6046" t="s">
        <v>53</v>
      </c>
      <c r="P6046" t="s">
        <v>53</v>
      </c>
      <c r="Q6046" t="s">
        <v>53</v>
      </c>
    </row>
    <row r="6047" spans="1:17" x14ac:dyDescent="0.2">
      <c r="A6047" s="30" t="str">
        <f>IF(C6047&amp;G6047&amp;D6047&lt;&gt;'Funnel setup'!$K$3&amp;'Funnel setup'!$K$4&amp;'Funnel setup'!$K$5,".",IF(A6046=".",1,A6046+1))</f>
        <v>.</v>
      </c>
      <c r="B6047" s="431" t="str">
        <f t="shared" si="94"/>
        <v>Knee Replacement RevisionProviderSPIRE SOUTH BANK HOSPITAL (NT301)EQ-5D Index</v>
      </c>
      <c r="C6047" t="s">
        <v>250</v>
      </c>
      <c r="D6047" t="s">
        <v>1</v>
      </c>
      <c r="E6047" t="s">
        <v>3174</v>
      </c>
      <c r="F6047" t="s">
        <v>3175</v>
      </c>
      <c r="G6047" t="s">
        <v>52</v>
      </c>
      <c r="H6047" t="s">
        <v>53</v>
      </c>
      <c r="I6047" t="s">
        <v>53</v>
      </c>
      <c r="J6047" t="s">
        <v>53</v>
      </c>
      <c r="K6047" t="s">
        <v>53</v>
      </c>
      <c r="L6047" t="s">
        <v>53</v>
      </c>
      <c r="M6047" t="s">
        <v>53</v>
      </c>
      <c r="N6047" t="s">
        <v>53</v>
      </c>
      <c r="O6047" t="s">
        <v>53</v>
      </c>
      <c r="P6047" t="s">
        <v>53</v>
      </c>
      <c r="Q6047" t="s">
        <v>53</v>
      </c>
    </row>
    <row r="6048" spans="1:17" x14ac:dyDescent="0.2">
      <c r="A6048" s="30" t="str">
        <f>IF(C6048&amp;G6048&amp;D6048&lt;&gt;'Funnel setup'!$K$3&amp;'Funnel setup'!$K$4&amp;'Funnel setup'!$K$5,".",IF(A6047=".",1,A6047+1))</f>
        <v>.</v>
      </c>
      <c r="B6048" s="431" t="str">
        <f t="shared" si="94"/>
        <v>Knee Replacement RevisionProviderSPIRE SUSSEX HOSPITAL (NT309)EQ-5D Index</v>
      </c>
      <c r="C6048" t="s">
        <v>250</v>
      </c>
      <c r="D6048" t="s">
        <v>1</v>
      </c>
      <c r="E6048" t="s">
        <v>3180</v>
      </c>
      <c r="F6048" t="s">
        <v>3181</v>
      </c>
      <c r="G6048" t="s">
        <v>52</v>
      </c>
      <c r="H6048" t="s">
        <v>53</v>
      </c>
      <c r="I6048" t="s">
        <v>53</v>
      </c>
      <c r="J6048" t="s">
        <v>53</v>
      </c>
      <c r="K6048" t="s">
        <v>53</v>
      </c>
      <c r="L6048" t="s">
        <v>53</v>
      </c>
      <c r="M6048" t="s">
        <v>53</v>
      </c>
      <c r="N6048" t="s">
        <v>53</v>
      </c>
      <c r="O6048" t="s">
        <v>53</v>
      </c>
      <c r="P6048" t="s">
        <v>53</v>
      </c>
      <c r="Q6048" t="s">
        <v>53</v>
      </c>
    </row>
    <row r="6049" spans="1:17" x14ac:dyDescent="0.2">
      <c r="A6049" s="30" t="str">
        <f>IF(C6049&amp;G6049&amp;D6049&lt;&gt;'Funnel setup'!$K$3&amp;'Funnel setup'!$K$4&amp;'Funnel setup'!$K$5,".",IF(A6048=".",1,A6048+1))</f>
        <v>.</v>
      </c>
      <c r="B6049" s="431" t="str">
        <f t="shared" si="94"/>
        <v>Knee Replacement RevisionProviderSPIRE WELLESLEY HOSPITAL (NT313)EQ-5D Index</v>
      </c>
      <c r="C6049" t="s">
        <v>250</v>
      </c>
      <c r="D6049" t="s">
        <v>1</v>
      </c>
      <c r="E6049" t="s">
        <v>3192</v>
      </c>
      <c r="F6049" t="s">
        <v>3193</v>
      </c>
      <c r="G6049" t="s">
        <v>52</v>
      </c>
      <c r="H6049" t="s">
        <v>53</v>
      </c>
      <c r="I6049" t="s">
        <v>53</v>
      </c>
      <c r="J6049" t="s">
        <v>53</v>
      </c>
      <c r="K6049" t="s">
        <v>53</v>
      </c>
      <c r="L6049" t="s">
        <v>53</v>
      </c>
      <c r="M6049" t="s">
        <v>53</v>
      </c>
      <c r="N6049" t="s">
        <v>53</v>
      </c>
      <c r="O6049" t="s">
        <v>53</v>
      </c>
      <c r="P6049" t="s">
        <v>53</v>
      </c>
      <c r="Q6049" t="s">
        <v>53</v>
      </c>
    </row>
    <row r="6050" spans="1:17" x14ac:dyDescent="0.2">
      <c r="A6050" s="30" t="str">
        <f>IF(C6050&amp;G6050&amp;D6050&lt;&gt;'Funnel setup'!$K$3&amp;'Funnel setup'!$K$4&amp;'Funnel setup'!$K$5,".",IF(A6049=".",1,A6049+1))</f>
        <v>.</v>
      </c>
      <c r="B6050" s="431" t="str">
        <f t="shared" si="94"/>
        <v>Knee Replacement RevisionProviderSPRINGFIELD HOSPITAL (NVC18)EQ-5D Index</v>
      </c>
      <c r="C6050" t="s">
        <v>250</v>
      </c>
      <c r="D6050" t="s">
        <v>1</v>
      </c>
      <c r="E6050" t="s">
        <v>3195</v>
      </c>
      <c r="F6050" t="s">
        <v>3196</v>
      </c>
      <c r="G6050" t="s">
        <v>52</v>
      </c>
      <c r="H6050" t="s">
        <v>53</v>
      </c>
      <c r="I6050" t="s">
        <v>53</v>
      </c>
      <c r="J6050" t="s">
        <v>53</v>
      </c>
      <c r="K6050" t="s">
        <v>53</v>
      </c>
      <c r="L6050" t="s">
        <v>53</v>
      </c>
      <c r="M6050" t="s">
        <v>53</v>
      </c>
      <c r="N6050" t="s">
        <v>53</v>
      </c>
      <c r="O6050" t="s">
        <v>53</v>
      </c>
      <c r="P6050" t="s">
        <v>53</v>
      </c>
      <c r="Q6050" t="s">
        <v>53</v>
      </c>
    </row>
    <row r="6051" spans="1:17" x14ac:dyDescent="0.2">
      <c r="A6051" s="30" t="str">
        <f>IF(C6051&amp;G6051&amp;D6051&lt;&gt;'Funnel setup'!$K$3&amp;'Funnel setup'!$K$4&amp;'Funnel setup'!$K$5,".",IF(A6050=".",1,A6050+1))</f>
        <v>.</v>
      </c>
      <c r="B6051" s="431" t="str">
        <f t="shared" si="94"/>
        <v>Knee Replacement RevisionProviderST GEORGE'S UNIVERSITY HOSPITALS NHS FOUNDATION TRUST (RJ7)EQ-5D Index</v>
      </c>
      <c r="C6051" t="s">
        <v>250</v>
      </c>
      <c r="D6051" t="s">
        <v>1</v>
      </c>
      <c r="E6051" t="s">
        <v>3124</v>
      </c>
      <c r="F6051" t="s">
        <v>3125</v>
      </c>
      <c r="G6051" t="s">
        <v>52</v>
      </c>
      <c r="H6051" t="s">
        <v>53</v>
      </c>
      <c r="I6051" t="s">
        <v>53</v>
      </c>
      <c r="J6051" t="s">
        <v>53</v>
      </c>
      <c r="K6051" t="s">
        <v>53</v>
      </c>
      <c r="L6051" t="s">
        <v>53</v>
      </c>
      <c r="M6051" t="s">
        <v>53</v>
      </c>
      <c r="N6051" t="s">
        <v>53</v>
      </c>
      <c r="O6051" t="s">
        <v>53</v>
      </c>
      <c r="P6051" t="s">
        <v>53</v>
      </c>
      <c r="Q6051" t="s">
        <v>53</v>
      </c>
    </row>
    <row r="6052" spans="1:17" x14ac:dyDescent="0.2">
      <c r="A6052" s="30" t="str">
        <f>IF(C6052&amp;G6052&amp;D6052&lt;&gt;'Funnel setup'!$K$3&amp;'Funnel setup'!$K$4&amp;'Funnel setup'!$K$5,".",IF(A6051=".",1,A6051+1))</f>
        <v>.</v>
      </c>
      <c r="B6052" s="431" t="str">
        <f t="shared" si="94"/>
        <v>Knee Replacement RevisionProviderST HELENS AND KNOWSLEY HOSPITALS NHS TRUST (RBN)EQ-5D Index</v>
      </c>
      <c r="C6052" t="s">
        <v>250</v>
      </c>
      <c r="D6052" t="s">
        <v>1</v>
      </c>
      <c r="E6052" t="s">
        <v>3127</v>
      </c>
      <c r="F6052" t="s">
        <v>3128</v>
      </c>
      <c r="G6052" t="s">
        <v>52</v>
      </c>
      <c r="H6052">
        <v>12</v>
      </c>
      <c r="I6052">
        <v>0.36899999999999999</v>
      </c>
      <c r="J6052">
        <v>0.505</v>
      </c>
      <c r="K6052">
        <v>0.13600000000000001</v>
      </c>
      <c r="L6052">
        <v>9</v>
      </c>
      <c r="M6052">
        <v>0</v>
      </c>
      <c r="N6052">
        <v>3</v>
      </c>
      <c r="O6052" t="s">
        <v>53</v>
      </c>
      <c r="P6052" t="s">
        <v>53</v>
      </c>
      <c r="Q6052" t="s">
        <v>53</v>
      </c>
    </row>
    <row r="6053" spans="1:17" x14ac:dyDescent="0.2">
      <c r="A6053" s="30" t="str">
        <f>IF(C6053&amp;G6053&amp;D6053&lt;&gt;'Funnel setup'!$K$3&amp;'Funnel setup'!$K$4&amp;'Funnel setup'!$K$5,".",IF(A6052=".",1,A6052+1))</f>
        <v>.</v>
      </c>
      <c r="B6053" s="431" t="str">
        <f t="shared" si="94"/>
        <v>Knee Replacement RevisionProviderST HUGH'S HOSPITAL (NTE02)EQ-5D Index</v>
      </c>
      <c r="C6053" t="s">
        <v>250</v>
      </c>
      <c r="D6053" t="s">
        <v>1</v>
      </c>
      <c r="E6053" t="s">
        <v>3130</v>
      </c>
      <c r="F6053" t="s">
        <v>3131</v>
      </c>
      <c r="G6053" t="s">
        <v>52</v>
      </c>
      <c r="H6053" t="s">
        <v>53</v>
      </c>
      <c r="I6053" t="s">
        <v>53</v>
      </c>
      <c r="J6053" t="s">
        <v>53</v>
      </c>
      <c r="K6053" t="s">
        <v>53</v>
      </c>
      <c r="L6053" t="s">
        <v>53</v>
      </c>
      <c r="M6053" t="s">
        <v>53</v>
      </c>
      <c r="N6053" t="s">
        <v>53</v>
      </c>
      <c r="O6053" t="s">
        <v>53</v>
      </c>
      <c r="P6053" t="s">
        <v>53</v>
      </c>
      <c r="Q6053" t="s">
        <v>53</v>
      </c>
    </row>
    <row r="6054" spans="1:17" x14ac:dyDescent="0.2">
      <c r="A6054" s="30" t="str">
        <f>IF(C6054&amp;G6054&amp;D6054&lt;&gt;'Funnel setup'!$K$3&amp;'Funnel setup'!$K$4&amp;'Funnel setup'!$K$5,".",IF(A6053=".",1,A6053+1))</f>
        <v>.</v>
      </c>
      <c r="B6054" s="431" t="str">
        <f t="shared" si="94"/>
        <v>Knee Replacement RevisionProviderSTOCKPORT NHS FOUNDATION TRUST (RWJ)EQ-5D Index</v>
      </c>
      <c r="C6054" t="s">
        <v>250</v>
      </c>
      <c r="D6054" t="s">
        <v>1</v>
      </c>
      <c r="E6054" t="s">
        <v>3142</v>
      </c>
      <c r="F6054" t="s">
        <v>3143</v>
      </c>
      <c r="G6054" t="s">
        <v>52</v>
      </c>
      <c r="H6054">
        <v>10</v>
      </c>
      <c r="I6054">
        <v>0.35399999999999998</v>
      </c>
      <c r="J6054">
        <v>0.69599999999999995</v>
      </c>
      <c r="K6054">
        <v>0.34100000000000003</v>
      </c>
      <c r="L6054">
        <v>6</v>
      </c>
      <c r="M6054">
        <v>1</v>
      </c>
      <c r="N6054">
        <v>3</v>
      </c>
      <c r="O6054" t="s">
        <v>53</v>
      </c>
      <c r="P6054" t="s">
        <v>53</v>
      </c>
      <c r="Q6054" t="s">
        <v>53</v>
      </c>
    </row>
    <row r="6055" spans="1:17" x14ac:dyDescent="0.2">
      <c r="A6055" s="30" t="str">
        <f>IF(C6055&amp;G6055&amp;D6055&lt;&gt;'Funnel setup'!$K$3&amp;'Funnel setup'!$K$4&amp;'Funnel setup'!$K$5,".",IF(A6054=".",1,A6054+1))</f>
        <v>.</v>
      </c>
      <c r="B6055" s="431" t="str">
        <f t="shared" si="94"/>
        <v>Knee Replacement RevisionProviderSURREY AND SUSSEX HEALTHCARE NHS TRUST (RTP)EQ-5D Index</v>
      </c>
      <c r="C6055" t="s">
        <v>250</v>
      </c>
      <c r="D6055" t="s">
        <v>1</v>
      </c>
      <c r="E6055" t="s">
        <v>3145</v>
      </c>
      <c r="F6055" t="s">
        <v>3146</v>
      </c>
      <c r="G6055" t="s">
        <v>52</v>
      </c>
      <c r="H6055" t="s">
        <v>53</v>
      </c>
      <c r="I6055" t="s">
        <v>53</v>
      </c>
      <c r="J6055" t="s">
        <v>53</v>
      </c>
      <c r="K6055" t="s">
        <v>53</v>
      </c>
      <c r="L6055" t="s">
        <v>53</v>
      </c>
      <c r="M6055" t="s">
        <v>53</v>
      </c>
      <c r="N6055" t="s">
        <v>53</v>
      </c>
      <c r="O6055" t="s">
        <v>53</v>
      </c>
      <c r="P6055" t="s">
        <v>53</v>
      </c>
      <c r="Q6055" t="s">
        <v>53</v>
      </c>
    </row>
    <row r="6056" spans="1:17" x14ac:dyDescent="0.2">
      <c r="A6056" s="30" t="str">
        <f>IF(C6056&amp;G6056&amp;D6056&lt;&gt;'Funnel setup'!$K$3&amp;'Funnel setup'!$K$4&amp;'Funnel setup'!$K$5,".",IF(A6055=".",1,A6055+1))</f>
        <v>.</v>
      </c>
      <c r="B6056" s="431" t="str">
        <f t="shared" si="94"/>
        <v>Knee Replacement RevisionProviderTAMESIDE HOSPITAL NHS FOUNDATION TRUST (RMP)EQ-5D Index</v>
      </c>
      <c r="C6056" t="s">
        <v>250</v>
      </c>
      <c r="D6056" t="s">
        <v>1</v>
      </c>
      <c r="E6056" t="s">
        <v>3148</v>
      </c>
      <c r="F6056" t="s">
        <v>3149</v>
      </c>
      <c r="G6056" t="s">
        <v>52</v>
      </c>
      <c r="H6056" t="s">
        <v>53</v>
      </c>
      <c r="I6056" t="s">
        <v>53</v>
      </c>
      <c r="J6056" t="s">
        <v>53</v>
      </c>
      <c r="K6056" t="s">
        <v>53</v>
      </c>
      <c r="L6056" t="s">
        <v>53</v>
      </c>
      <c r="M6056" t="s">
        <v>53</v>
      </c>
      <c r="N6056" t="s">
        <v>53</v>
      </c>
      <c r="O6056" t="s">
        <v>53</v>
      </c>
      <c r="P6056" t="s">
        <v>53</v>
      </c>
      <c r="Q6056" t="s">
        <v>53</v>
      </c>
    </row>
    <row r="6057" spans="1:17" x14ac:dyDescent="0.2">
      <c r="A6057" s="30" t="str">
        <f>IF(C6057&amp;G6057&amp;D6057&lt;&gt;'Funnel setup'!$K$3&amp;'Funnel setup'!$K$4&amp;'Funnel setup'!$K$5,".",IF(A6056=".",1,A6056+1))</f>
        <v>.</v>
      </c>
      <c r="B6057" s="431" t="str">
        <f t="shared" si="94"/>
        <v>Knee Replacement RevisionProviderTHE DUDLEY GROUP NHS FOUNDATION TRUST (RNA)EQ-5D Index</v>
      </c>
      <c r="C6057" t="s">
        <v>250</v>
      </c>
      <c r="D6057" t="s">
        <v>1</v>
      </c>
      <c r="E6057" t="s">
        <v>3121</v>
      </c>
      <c r="F6057" t="s">
        <v>3122</v>
      </c>
      <c r="G6057" t="s">
        <v>52</v>
      </c>
      <c r="H6057" t="s">
        <v>53</v>
      </c>
      <c r="I6057" t="s">
        <v>53</v>
      </c>
      <c r="J6057" t="s">
        <v>53</v>
      </c>
      <c r="K6057" t="s">
        <v>53</v>
      </c>
      <c r="L6057" t="s">
        <v>53</v>
      </c>
      <c r="M6057" t="s">
        <v>53</v>
      </c>
      <c r="N6057" t="s">
        <v>53</v>
      </c>
      <c r="O6057" t="s">
        <v>53</v>
      </c>
      <c r="P6057" t="s">
        <v>53</v>
      </c>
      <c r="Q6057" t="s">
        <v>53</v>
      </c>
    </row>
    <row r="6058" spans="1:17" x14ac:dyDescent="0.2">
      <c r="A6058" s="30" t="str">
        <f>IF(C6058&amp;G6058&amp;D6058&lt;&gt;'Funnel setup'!$K$3&amp;'Funnel setup'!$K$4&amp;'Funnel setup'!$K$5,".",IF(A6057=".",1,A6057+1))</f>
        <v>.</v>
      </c>
      <c r="B6058" s="431" t="str">
        <f t="shared" si="94"/>
        <v>Knee Replacement RevisionProviderTHE HILLINGDON HOSPITALS NHS FOUNDATION TRUST (RAS)EQ-5D Index</v>
      </c>
      <c r="C6058" t="s">
        <v>250</v>
      </c>
      <c r="D6058" t="s">
        <v>1</v>
      </c>
      <c r="E6058" t="s">
        <v>3115</v>
      </c>
      <c r="F6058" t="s">
        <v>3116</v>
      </c>
      <c r="G6058" t="s">
        <v>52</v>
      </c>
      <c r="H6058">
        <v>6</v>
      </c>
      <c r="I6058">
        <v>0.38400000000000001</v>
      </c>
      <c r="J6058">
        <v>0.60199999999999998</v>
      </c>
      <c r="K6058">
        <v>0.218</v>
      </c>
      <c r="L6058">
        <v>3</v>
      </c>
      <c r="M6058">
        <v>2</v>
      </c>
      <c r="N6058">
        <v>1</v>
      </c>
      <c r="O6058" t="s">
        <v>53</v>
      </c>
      <c r="P6058" t="s">
        <v>53</v>
      </c>
      <c r="Q6058" t="s">
        <v>53</v>
      </c>
    </row>
    <row r="6059" spans="1:17" x14ac:dyDescent="0.2">
      <c r="A6059" s="30" t="str">
        <f>IF(C6059&amp;G6059&amp;D6059&lt;&gt;'Funnel setup'!$K$3&amp;'Funnel setup'!$K$4&amp;'Funnel setup'!$K$5,".",IF(A6058=".",1,A6058+1))</f>
        <v>.</v>
      </c>
      <c r="B6059" s="431" t="str">
        <f t="shared" si="94"/>
        <v>Knee Replacement RevisionProviderTHE HORDER CENTRE - ST JOHNS ROAD (NXM01)EQ-5D Index</v>
      </c>
      <c r="C6059" t="s">
        <v>250</v>
      </c>
      <c r="D6059" t="s">
        <v>1</v>
      </c>
      <c r="E6059" t="s">
        <v>4222</v>
      </c>
      <c r="F6059" t="s">
        <v>4223</v>
      </c>
      <c r="G6059" t="s">
        <v>52</v>
      </c>
      <c r="H6059">
        <v>19</v>
      </c>
      <c r="I6059">
        <v>0.61</v>
      </c>
      <c r="J6059">
        <v>0.82699999999999996</v>
      </c>
      <c r="K6059">
        <v>0.217</v>
      </c>
      <c r="L6059">
        <v>14</v>
      </c>
      <c r="M6059">
        <v>3</v>
      </c>
      <c r="N6059">
        <v>2</v>
      </c>
      <c r="O6059" t="s">
        <v>53</v>
      </c>
      <c r="P6059" t="s">
        <v>53</v>
      </c>
      <c r="Q6059" t="s">
        <v>53</v>
      </c>
    </row>
    <row r="6060" spans="1:17" x14ac:dyDescent="0.2">
      <c r="A6060" s="30" t="str">
        <f>IF(C6060&amp;G6060&amp;D6060&lt;&gt;'Funnel setup'!$K$3&amp;'Funnel setup'!$K$4&amp;'Funnel setup'!$K$5,".",IF(A6059=".",1,A6059+1))</f>
        <v>.</v>
      </c>
      <c r="B6060" s="431" t="str">
        <f t="shared" si="94"/>
        <v>Knee Replacement RevisionProviderTHE NEWCASTLE UPON TYNE HOSPITALS NHS FOUNDATION TRUST (RTD)EQ-5D Index</v>
      </c>
      <c r="C6060" t="s">
        <v>250</v>
      </c>
      <c r="D6060" t="s">
        <v>1</v>
      </c>
      <c r="E6060" t="s">
        <v>3748</v>
      </c>
      <c r="F6060" t="s">
        <v>3749</v>
      </c>
      <c r="G6060" t="s">
        <v>52</v>
      </c>
      <c r="H6060">
        <v>15</v>
      </c>
      <c r="I6060">
        <v>0.33300000000000002</v>
      </c>
      <c r="J6060">
        <v>0.65600000000000003</v>
      </c>
      <c r="K6060">
        <v>0.32300000000000001</v>
      </c>
      <c r="L6060">
        <v>10</v>
      </c>
      <c r="M6060">
        <v>3</v>
      </c>
      <c r="N6060">
        <v>2</v>
      </c>
      <c r="O6060" t="s">
        <v>53</v>
      </c>
      <c r="P6060" t="s">
        <v>53</v>
      </c>
      <c r="Q6060" t="s">
        <v>53</v>
      </c>
    </row>
    <row r="6061" spans="1:17" x14ac:dyDescent="0.2">
      <c r="A6061" s="30" t="str">
        <f>IF(C6061&amp;G6061&amp;D6061&lt;&gt;'Funnel setup'!$K$3&amp;'Funnel setup'!$K$4&amp;'Funnel setup'!$K$5,".",IF(A6060=".",1,A6060+1))</f>
        <v>.</v>
      </c>
      <c r="B6061" s="431" t="str">
        <f t="shared" si="94"/>
        <v>Knee Replacement RevisionProviderTHE PRINCESS ALEXANDRA HOSPITAL NHS TRUST (RQW)EQ-5D Index</v>
      </c>
      <c r="C6061" t="s">
        <v>250</v>
      </c>
      <c r="D6061" t="s">
        <v>1</v>
      </c>
      <c r="E6061" t="s">
        <v>3751</v>
      </c>
      <c r="F6061" t="s">
        <v>3752</v>
      </c>
      <c r="G6061" t="s">
        <v>52</v>
      </c>
      <c r="H6061" t="s">
        <v>53</v>
      </c>
      <c r="I6061" t="s">
        <v>53</v>
      </c>
      <c r="J6061" t="s">
        <v>53</v>
      </c>
      <c r="K6061" t="s">
        <v>53</v>
      </c>
      <c r="L6061" t="s">
        <v>53</v>
      </c>
      <c r="M6061" t="s">
        <v>53</v>
      </c>
      <c r="N6061" t="s">
        <v>53</v>
      </c>
      <c r="O6061" t="s">
        <v>53</v>
      </c>
      <c r="P6061" t="s">
        <v>53</v>
      </c>
      <c r="Q6061" t="s">
        <v>53</v>
      </c>
    </row>
    <row r="6062" spans="1:17" x14ac:dyDescent="0.2">
      <c r="A6062" s="30" t="str">
        <f>IF(C6062&amp;G6062&amp;D6062&lt;&gt;'Funnel setup'!$K$3&amp;'Funnel setup'!$K$4&amp;'Funnel setup'!$K$5,".",IF(A6061=".",1,A6061+1))</f>
        <v>.</v>
      </c>
      <c r="B6062" s="431" t="str">
        <f t="shared" si="94"/>
        <v>Knee Replacement RevisionProviderTHE QUEEN ELIZABETH HOSPITAL, KING'S LYNN, NHS FOUNDATION TRUST (RCX)EQ-5D Index</v>
      </c>
      <c r="C6062" t="s">
        <v>250</v>
      </c>
      <c r="D6062" t="s">
        <v>1</v>
      </c>
      <c r="E6062" t="s">
        <v>3754</v>
      </c>
      <c r="F6062" t="s">
        <v>3755</v>
      </c>
      <c r="G6062" t="s">
        <v>52</v>
      </c>
      <c r="H6062">
        <v>15</v>
      </c>
      <c r="I6062">
        <v>0.40200000000000002</v>
      </c>
      <c r="J6062">
        <v>0.65200000000000002</v>
      </c>
      <c r="K6062">
        <v>0.251</v>
      </c>
      <c r="L6062">
        <v>10</v>
      </c>
      <c r="M6062">
        <v>2</v>
      </c>
      <c r="N6062">
        <v>3</v>
      </c>
      <c r="O6062" t="s">
        <v>53</v>
      </c>
      <c r="P6062" t="s">
        <v>53</v>
      </c>
      <c r="Q6062" t="s">
        <v>53</v>
      </c>
    </row>
    <row r="6063" spans="1:17" x14ac:dyDescent="0.2">
      <c r="A6063" s="30" t="str">
        <f>IF(C6063&amp;G6063&amp;D6063&lt;&gt;'Funnel setup'!$K$3&amp;'Funnel setup'!$K$4&amp;'Funnel setup'!$K$5,".",IF(A6062=".",1,A6062+1))</f>
        <v>.</v>
      </c>
      <c r="B6063" s="431" t="str">
        <f t="shared" si="94"/>
        <v>Knee Replacement RevisionProviderTHE ROBERT JONES AND AGNES HUNT ORTHOPAEDIC HOSPITAL NHS FOUNDATION TRUST (RL1)EQ-5D Index</v>
      </c>
      <c r="C6063" t="s">
        <v>250</v>
      </c>
      <c r="D6063" t="s">
        <v>1</v>
      </c>
      <c r="E6063" t="s">
        <v>4496</v>
      </c>
      <c r="F6063" t="s">
        <v>4497</v>
      </c>
      <c r="G6063" t="s">
        <v>52</v>
      </c>
      <c r="H6063">
        <v>38</v>
      </c>
      <c r="I6063">
        <v>0.29199999999999998</v>
      </c>
      <c r="J6063">
        <v>0.55400000000000005</v>
      </c>
      <c r="K6063">
        <v>0.26100000000000001</v>
      </c>
      <c r="L6063">
        <v>27</v>
      </c>
      <c r="M6063">
        <v>4</v>
      </c>
      <c r="N6063">
        <v>7</v>
      </c>
      <c r="O6063">
        <v>0.50800000000000001</v>
      </c>
      <c r="P6063">
        <v>0.176355605</v>
      </c>
      <c r="Q6063">
        <v>0.34100000000000003</v>
      </c>
    </row>
    <row r="6064" spans="1:17" x14ac:dyDescent="0.2">
      <c r="A6064" s="30" t="str">
        <f>IF(C6064&amp;G6064&amp;D6064&lt;&gt;'Funnel setup'!$K$3&amp;'Funnel setup'!$K$4&amp;'Funnel setup'!$K$5,".",IF(A6063=".",1,A6063+1))</f>
        <v>.</v>
      </c>
      <c r="B6064" s="431" t="str">
        <f t="shared" si="94"/>
        <v>Knee Replacement RevisionProviderTHE ROTHERHAM NHS FOUNDATION TRUST (RFR)EQ-5D Index</v>
      </c>
      <c r="C6064" t="s">
        <v>250</v>
      </c>
      <c r="D6064" t="s">
        <v>1</v>
      </c>
      <c r="E6064" t="s">
        <v>3739</v>
      </c>
      <c r="F6064" t="s">
        <v>3740</v>
      </c>
      <c r="G6064" t="s">
        <v>52</v>
      </c>
      <c r="H6064">
        <v>7</v>
      </c>
      <c r="I6064">
        <v>0.27700000000000002</v>
      </c>
      <c r="J6064">
        <v>0.65200000000000002</v>
      </c>
      <c r="K6064">
        <v>0.375</v>
      </c>
      <c r="L6064">
        <v>5</v>
      </c>
      <c r="M6064">
        <v>0</v>
      </c>
      <c r="N6064">
        <v>2</v>
      </c>
      <c r="O6064" t="s">
        <v>53</v>
      </c>
      <c r="P6064" t="s">
        <v>53</v>
      </c>
      <c r="Q6064" t="s">
        <v>53</v>
      </c>
    </row>
    <row r="6065" spans="1:17" x14ac:dyDescent="0.2">
      <c r="A6065" s="30" t="str">
        <f>IF(C6065&amp;G6065&amp;D6065&lt;&gt;'Funnel setup'!$K$3&amp;'Funnel setup'!$K$4&amp;'Funnel setup'!$K$5,".",IF(A6064=".",1,A6064+1))</f>
        <v>.</v>
      </c>
      <c r="B6065" s="431" t="str">
        <f t="shared" si="94"/>
        <v>Knee Replacement RevisionProviderTHE ROYAL ORTHOPAEDIC HOSPITAL NHS FOUNDATION TRUST (RRJ)EQ-5D Index</v>
      </c>
      <c r="C6065" t="s">
        <v>250</v>
      </c>
      <c r="D6065" t="s">
        <v>1</v>
      </c>
      <c r="E6065" t="s">
        <v>4480</v>
      </c>
      <c r="F6065" t="s">
        <v>4481</v>
      </c>
      <c r="G6065" t="s">
        <v>52</v>
      </c>
      <c r="H6065">
        <v>20</v>
      </c>
      <c r="I6065">
        <v>0.20699999999999999</v>
      </c>
      <c r="J6065">
        <v>0.45700000000000002</v>
      </c>
      <c r="K6065">
        <v>0.25</v>
      </c>
      <c r="L6065">
        <v>15</v>
      </c>
      <c r="M6065">
        <v>2</v>
      </c>
      <c r="N6065">
        <v>3</v>
      </c>
      <c r="O6065" t="s">
        <v>53</v>
      </c>
      <c r="P6065" t="s">
        <v>53</v>
      </c>
      <c r="Q6065" t="s">
        <v>53</v>
      </c>
    </row>
    <row r="6066" spans="1:17" x14ac:dyDescent="0.2">
      <c r="A6066" s="30" t="str">
        <f>IF(C6066&amp;G6066&amp;D6066&lt;&gt;'Funnel setup'!$K$3&amp;'Funnel setup'!$K$4&amp;'Funnel setup'!$K$5,".",IF(A6065=".",1,A6065+1))</f>
        <v>.</v>
      </c>
      <c r="B6066" s="431" t="str">
        <f t="shared" si="94"/>
        <v>Knee Replacement RevisionProviderTHE ROYAL WOLVERHAMPTON NHS TRUST (RL4)EQ-5D Index</v>
      </c>
      <c r="C6066" t="s">
        <v>250</v>
      </c>
      <c r="D6066" t="s">
        <v>1</v>
      </c>
      <c r="E6066" t="s">
        <v>3382</v>
      </c>
      <c r="F6066" t="s">
        <v>3383</v>
      </c>
      <c r="G6066" t="s">
        <v>52</v>
      </c>
      <c r="H6066">
        <v>12</v>
      </c>
      <c r="I6066">
        <v>0.35899999999999999</v>
      </c>
      <c r="J6066">
        <v>0.51500000000000001</v>
      </c>
      <c r="K6066">
        <v>0.155</v>
      </c>
      <c r="L6066">
        <v>8</v>
      </c>
      <c r="M6066">
        <v>2</v>
      </c>
      <c r="N6066">
        <v>2</v>
      </c>
      <c r="O6066" t="s">
        <v>53</v>
      </c>
      <c r="P6066" t="s">
        <v>53</v>
      </c>
      <c r="Q6066" t="s">
        <v>53</v>
      </c>
    </row>
    <row r="6067" spans="1:17" x14ac:dyDescent="0.2">
      <c r="A6067" s="30" t="str">
        <f>IF(C6067&amp;G6067&amp;D6067&lt;&gt;'Funnel setup'!$K$3&amp;'Funnel setup'!$K$4&amp;'Funnel setup'!$K$5,".",IF(A6066=".",1,A6066+1))</f>
        <v>.</v>
      </c>
      <c r="B6067" s="431" t="str">
        <f t="shared" si="94"/>
        <v>Knee Replacement RevisionProviderTHE YORKSHIRE CLINIC (NVC20)EQ-5D Index</v>
      </c>
      <c r="C6067" t="s">
        <v>250</v>
      </c>
      <c r="D6067" t="s">
        <v>1</v>
      </c>
      <c r="E6067" t="s">
        <v>3760</v>
      </c>
      <c r="F6067" t="s">
        <v>3761</v>
      </c>
      <c r="G6067" t="s">
        <v>52</v>
      </c>
      <c r="H6067" t="s">
        <v>53</v>
      </c>
      <c r="I6067" t="s">
        <v>53</v>
      </c>
      <c r="J6067" t="s">
        <v>53</v>
      </c>
      <c r="K6067" t="s">
        <v>53</v>
      </c>
      <c r="L6067" t="s">
        <v>53</v>
      </c>
      <c r="M6067" t="s">
        <v>53</v>
      </c>
      <c r="N6067" t="s">
        <v>53</v>
      </c>
      <c r="O6067" t="s">
        <v>53</v>
      </c>
      <c r="P6067" t="s">
        <v>53</v>
      </c>
      <c r="Q6067" t="s">
        <v>53</v>
      </c>
    </row>
    <row r="6068" spans="1:17" x14ac:dyDescent="0.2">
      <c r="A6068" s="30" t="str">
        <f>IF(C6068&amp;G6068&amp;D6068&lt;&gt;'Funnel setup'!$K$3&amp;'Funnel setup'!$K$4&amp;'Funnel setup'!$K$5,".",IF(A6067=".",1,A6067+1))</f>
        <v>.</v>
      </c>
      <c r="B6068" s="431" t="str">
        <f t="shared" si="94"/>
        <v>Knee Replacement RevisionProviderTORBAY AND SOUTH DEVON NHS FOUNDATION TRUST (RA9)EQ-5D Index</v>
      </c>
      <c r="C6068" t="s">
        <v>250</v>
      </c>
      <c r="D6068" t="s">
        <v>1</v>
      </c>
      <c r="E6068" t="s">
        <v>3480</v>
      </c>
      <c r="F6068" t="s">
        <v>6584</v>
      </c>
      <c r="G6068" t="s">
        <v>52</v>
      </c>
      <c r="H6068">
        <v>13</v>
      </c>
      <c r="I6068">
        <v>0.41699999999999998</v>
      </c>
      <c r="J6068">
        <v>0.77</v>
      </c>
      <c r="K6068">
        <v>0.35299999999999998</v>
      </c>
      <c r="L6068">
        <v>10</v>
      </c>
      <c r="M6068">
        <v>2</v>
      </c>
      <c r="N6068">
        <v>1</v>
      </c>
      <c r="O6068" t="s">
        <v>53</v>
      </c>
      <c r="P6068" t="s">
        <v>53</v>
      </c>
      <c r="Q6068" t="s">
        <v>53</v>
      </c>
    </row>
    <row r="6069" spans="1:17" x14ac:dyDescent="0.2">
      <c r="A6069" s="30" t="str">
        <f>IF(C6069&amp;G6069&amp;D6069&lt;&gt;'Funnel setup'!$K$3&amp;'Funnel setup'!$K$4&amp;'Funnel setup'!$K$5,".",IF(A6068=".",1,A6068+1))</f>
        <v>.</v>
      </c>
      <c r="B6069" s="431" t="str">
        <f t="shared" si="94"/>
        <v>Knee Replacement RevisionProviderUNITED LINCOLNSHIRE HOSPITALS NHS TRUST (RWD)EQ-5D Index</v>
      </c>
      <c r="C6069" t="s">
        <v>250</v>
      </c>
      <c r="D6069" t="s">
        <v>1</v>
      </c>
      <c r="E6069" t="s">
        <v>3763</v>
      </c>
      <c r="F6069" t="s">
        <v>3764</v>
      </c>
      <c r="G6069" t="s">
        <v>52</v>
      </c>
      <c r="H6069" t="s">
        <v>53</v>
      </c>
      <c r="I6069" t="s">
        <v>53</v>
      </c>
      <c r="J6069" t="s">
        <v>53</v>
      </c>
      <c r="K6069" t="s">
        <v>53</v>
      </c>
      <c r="L6069" t="s">
        <v>53</v>
      </c>
      <c r="M6069" t="s">
        <v>53</v>
      </c>
      <c r="N6069" t="s">
        <v>53</v>
      </c>
      <c r="O6069" t="s">
        <v>53</v>
      </c>
      <c r="P6069" t="s">
        <v>53</v>
      </c>
      <c r="Q6069" t="s">
        <v>53</v>
      </c>
    </row>
    <row r="6070" spans="1:17" x14ac:dyDescent="0.2">
      <c r="A6070" s="30" t="str">
        <f>IF(C6070&amp;G6070&amp;D6070&lt;&gt;'Funnel setup'!$K$3&amp;'Funnel setup'!$K$4&amp;'Funnel setup'!$K$5,".",IF(A6069=".",1,A6069+1))</f>
        <v>.</v>
      </c>
      <c r="B6070" s="431" t="str">
        <f t="shared" si="94"/>
        <v>Knee Replacement RevisionProviderUNIVERSITY COLLEGE LONDON HOSPITALS NHS FOUNDATION TRUST (RRV)EQ-5D Index</v>
      </c>
      <c r="C6070" t="s">
        <v>250</v>
      </c>
      <c r="D6070" t="s">
        <v>1</v>
      </c>
      <c r="E6070" t="s">
        <v>3766</v>
      </c>
      <c r="F6070" t="s">
        <v>3767</v>
      </c>
      <c r="G6070" t="s">
        <v>52</v>
      </c>
      <c r="H6070">
        <v>6</v>
      </c>
      <c r="I6070">
        <v>0.39900000000000002</v>
      </c>
      <c r="J6070">
        <v>0.65</v>
      </c>
      <c r="K6070">
        <v>0.252</v>
      </c>
      <c r="L6070">
        <v>4</v>
      </c>
      <c r="M6070">
        <v>2</v>
      </c>
      <c r="N6070">
        <v>0</v>
      </c>
      <c r="O6070" t="s">
        <v>53</v>
      </c>
      <c r="P6070" t="s">
        <v>53</v>
      </c>
      <c r="Q6070" t="s">
        <v>53</v>
      </c>
    </row>
    <row r="6071" spans="1:17" x14ac:dyDescent="0.2">
      <c r="A6071" s="30" t="str">
        <f>IF(C6071&amp;G6071&amp;D6071&lt;&gt;'Funnel setup'!$K$3&amp;'Funnel setup'!$K$4&amp;'Funnel setup'!$K$5,".",IF(A6070=".",1,A6070+1))</f>
        <v>.</v>
      </c>
      <c r="B6071" s="431" t="str">
        <f t="shared" si="94"/>
        <v>Knee Replacement RevisionProviderUNIVERSITY HOSPITAL OF SOUTH MANCHESTER NHS FOUNDATION TRUST (RM2)EQ-5D Index</v>
      </c>
      <c r="C6071" t="s">
        <v>250</v>
      </c>
      <c r="D6071" t="s">
        <v>1</v>
      </c>
      <c r="E6071" t="s">
        <v>3769</v>
      </c>
      <c r="F6071" t="s">
        <v>3770</v>
      </c>
      <c r="G6071" t="s">
        <v>52</v>
      </c>
      <c r="H6071" t="s">
        <v>53</v>
      </c>
      <c r="I6071" t="s">
        <v>53</v>
      </c>
      <c r="J6071" t="s">
        <v>53</v>
      </c>
      <c r="K6071" t="s">
        <v>53</v>
      </c>
      <c r="L6071" t="s">
        <v>53</v>
      </c>
      <c r="M6071" t="s">
        <v>53</v>
      </c>
      <c r="N6071" t="s">
        <v>53</v>
      </c>
      <c r="O6071" t="s">
        <v>53</v>
      </c>
      <c r="P6071" t="s">
        <v>53</v>
      </c>
      <c r="Q6071" t="s">
        <v>53</v>
      </c>
    </row>
    <row r="6072" spans="1:17" x14ac:dyDescent="0.2">
      <c r="A6072" s="30" t="str">
        <f>IF(C6072&amp;G6072&amp;D6072&lt;&gt;'Funnel setup'!$K$3&amp;'Funnel setup'!$K$4&amp;'Funnel setup'!$K$5,".",IF(A6071=".",1,A6071+1))</f>
        <v>.</v>
      </c>
      <c r="B6072" s="431" t="str">
        <f t="shared" si="94"/>
        <v>Knee Replacement RevisionProviderUNIVERSITY HOSPITAL SOUTHAMPTON NHS FOUNDATION TRUST (RHM)EQ-5D Index</v>
      </c>
      <c r="C6072" t="s">
        <v>250</v>
      </c>
      <c r="D6072" t="s">
        <v>1</v>
      </c>
      <c r="E6072" t="s">
        <v>3772</v>
      </c>
      <c r="F6072" t="s">
        <v>3773</v>
      </c>
      <c r="G6072" t="s">
        <v>52</v>
      </c>
      <c r="H6072">
        <v>35</v>
      </c>
      <c r="I6072">
        <v>0.28799999999999998</v>
      </c>
      <c r="J6072">
        <v>0.52200000000000002</v>
      </c>
      <c r="K6072">
        <v>0.23400000000000001</v>
      </c>
      <c r="L6072">
        <v>27</v>
      </c>
      <c r="M6072">
        <v>3</v>
      </c>
      <c r="N6072">
        <v>5</v>
      </c>
      <c r="O6072">
        <v>0.55600000000000005</v>
      </c>
      <c r="P6072">
        <v>0.22396028700000001</v>
      </c>
      <c r="Q6072">
        <v>0.29399999999999998</v>
      </c>
    </row>
    <row r="6073" spans="1:17" x14ac:dyDescent="0.2">
      <c r="A6073" s="30" t="str">
        <f>IF(C6073&amp;G6073&amp;D6073&lt;&gt;'Funnel setup'!$K$3&amp;'Funnel setup'!$K$4&amp;'Funnel setup'!$K$5,".",IF(A6072=".",1,A6072+1))</f>
        <v>.</v>
      </c>
      <c r="B6073" s="431" t="str">
        <f t="shared" si="94"/>
        <v>Knee Replacement RevisionProviderUNIVERSITY HOSPITALS COVENTRY AND WARWICKSHIRE NHS TRUST (RKB)EQ-5D Index</v>
      </c>
      <c r="C6073" t="s">
        <v>250</v>
      </c>
      <c r="D6073" t="s">
        <v>1</v>
      </c>
      <c r="E6073" t="s">
        <v>3715</v>
      </c>
      <c r="F6073" t="s">
        <v>3716</v>
      </c>
      <c r="G6073" t="s">
        <v>52</v>
      </c>
      <c r="H6073">
        <v>17</v>
      </c>
      <c r="I6073">
        <v>0.32600000000000001</v>
      </c>
      <c r="J6073">
        <v>0.51</v>
      </c>
      <c r="K6073">
        <v>0.184</v>
      </c>
      <c r="L6073">
        <v>12</v>
      </c>
      <c r="M6073">
        <v>2</v>
      </c>
      <c r="N6073">
        <v>3</v>
      </c>
      <c r="O6073" t="s">
        <v>53</v>
      </c>
      <c r="P6073" t="s">
        <v>53</v>
      </c>
      <c r="Q6073" t="s">
        <v>53</v>
      </c>
    </row>
    <row r="6074" spans="1:17" x14ac:dyDescent="0.2">
      <c r="A6074" s="30" t="str">
        <f>IF(C6074&amp;G6074&amp;D6074&lt;&gt;'Funnel setup'!$K$3&amp;'Funnel setup'!$K$4&amp;'Funnel setup'!$K$5,".",IF(A6073=".",1,A6073+1))</f>
        <v>.</v>
      </c>
      <c r="B6074" s="431" t="str">
        <f t="shared" si="94"/>
        <v>Knee Replacement RevisionProviderUNIVERSITY HOSPITALS OF LEICESTER NHS TRUST (RWE)EQ-5D Index</v>
      </c>
      <c r="C6074" t="s">
        <v>250</v>
      </c>
      <c r="D6074" t="s">
        <v>1</v>
      </c>
      <c r="E6074" t="s">
        <v>3718</v>
      </c>
      <c r="F6074" t="s">
        <v>3719</v>
      </c>
      <c r="G6074" t="s">
        <v>52</v>
      </c>
      <c r="H6074">
        <v>34</v>
      </c>
      <c r="I6074">
        <v>0.19600000000000001</v>
      </c>
      <c r="J6074">
        <v>0.57699999999999996</v>
      </c>
      <c r="K6074">
        <v>0.38100000000000001</v>
      </c>
      <c r="L6074">
        <v>25</v>
      </c>
      <c r="M6074">
        <v>2</v>
      </c>
      <c r="N6074">
        <v>7</v>
      </c>
      <c r="O6074">
        <v>0.63500000000000001</v>
      </c>
      <c r="P6074">
        <v>0.30273498199999999</v>
      </c>
      <c r="Q6074">
        <v>0.32400000000000001</v>
      </c>
    </row>
    <row r="6075" spans="1:17" x14ac:dyDescent="0.2">
      <c r="A6075" s="30" t="str">
        <f>IF(C6075&amp;G6075&amp;D6075&lt;&gt;'Funnel setup'!$K$3&amp;'Funnel setup'!$K$4&amp;'Funnel setup'!$K$5,".",IF(A6074=".",1,A6074+1))</f>
        <v>.</v>
      </c>
      <c r="B6075" s="431" t="str">
        <f t="shared" si="94"/>
        <v>Knee Replacement RevisionProviderUNIVERSITY HOSPITALS OF MORECAMBE BAY NHS FOUNDATION TRUST (RTX)EQ-5D Index</v>
      </c>
      <c r="C6075" t="s">
        <v>250</v>
      </c>
      <c r="D6075" t="s">
        <v>1</v>
      </c>
      <c r="E6075" t="s">
        <v>3721</v>
      </c>
      <c r="F6075" t="s">
        <v>3722</v>
      </c>
      <c r="G6075" t="s">
        <v>52</v>
      </c>
      <c r="H6075" t="s">
        <v>53</v>
      </c>
      <c r="I6075" t="s">
        <v>53</v>
      </c>
      <c r="J6075" t="s">
        <v>53</v>
      </c>
      <c r="K6075" t="s">
        <v>53</v>
      </c>
      <c r="L6075" t="s">
        <v>53</v>
      </c>
      <c r="M6075" t="s">
        <v>53</v>
      </c>
      <c r="N6075" t="s">
        <v>53</v>
      </c>
      <c r="O6075" t="s">
        <v>53</v>
      </c>
      <c r="P6075" t="s">
        <v>53</v>
      </c>
      <c r="Q6075" t="s">
        <v>53</v>
      </c>
    </row>
    <row r="6076" spans="1:17" x14ac:dyDescent="0.2">
      <c r="A6076" s="30" t="str">
        <f>IF(C6076&amp;G6076&amp;D6076&lt;&gt;'Funnel setup'!$K$3&amp;'Funnel setup'!$K$4&amp;'Funnel setup'!$K$5,".",IF(A6075=".",1,A6075+1))</f>
        <v>.</v>
      </c>
      <c r="B6076" s="431" t="str">
        <f t="shared" si="94"/>
        <v>Knee Replacement RevisionProviderUNIVERSITY HOSPITALS OF NORTH MIDLANDS NHS TRUST (RJE)EQ-5D Index</v>
      </c>
      <c r="C6076" t="s">
        <v>250</v>
      </c>
      <c r="D6076" t="s">
        <v>1</v>
      </c>
      <c r="E6076" t="s">
        <v>3724</v>
      </c>
      <c r="F6076" t="s">
        <v>3725</v>
      </c>
      <c r="G6076" t="s">
        <v>52</v>
      </c>
      <c r="H6076">
        <v>7</v>
      </c>
      <c r="I6076">
        <v>9.5000000000000001E-2</v>
      </c>
      <c r="J6076">
        <v>0.39200000000000002</v>
      </c>
      <c r="K6076">
        <v>0.29699999999999999</v>
      </c>
      <c r="L6076">
        <v>5</v>
      </c>
      <c r="M6076">
        <v>0</v>
      </c>
      <c r="N6076">
        <v>2</v>
      </c>
      <c r="O6076" t="s">
        <v>53</v>
      </c>
      <c r="P6076" t="s">
        <v>53</v>
      </c>
      <c r="Q6076" t="s">
        <v>53</v>
      </c>
    </row>
    <row r="6077" spans="1:17" x14ac:dyDescent="0.2">
      <c r="A6077" s="30" t="str">
        <f>IF(C6077&amp;G6077&amp;D6077&lt;&gt;'Funnel setup'!$K$3&amp;'Funnel setup'!$K$4&amp;'Funnel setup'!$K$5,".",IF(A6076=".",1,A6076+1))</f>
        <v>.</v>
      </c>
      <c r="B6077" s="431" t="str">
        <f t="shared" si="94"/>
        <v>Knee Replacement RevisionProviderWALSALL HEALTHCARE NHS TRUST (RBK)EQ-5D Index</v>
      </c>
      <c r="C6077" t="s">
        <v>250</v>
      </c>
      <c r="D6077" t="s">
        <v>1</v>
      </c>
      <c r="E6077" t="s">
        <v>3727</v>
      </c>
      <c r="F6077" t="s">
        <v>3728</v>
      </c>
      <c r="G6077" t="s">
        <v>52</v>
      </c>
      <c r="H6077" t="s">
        <v>53</v>
      </c>
      <c r="I6077" t="s">
        <v>53</v>
      </c>
      <c r="J6077" t="s">
        <v>53</v>
      </c>
      <c r="K6077" t="s">
        <v>53</v>
      </c>
      <c r="L6077" t="s">
        <v>53</v>
      </c>
      <c r="M6077" t="s">
        <v>53</v>
      </c>
      <c r="N6077" t="s">
        <v>53</v>
      </c>
      <c r="O6077" t="s">
        <v>53</v>
      </c>
      <c r="P6077" t="s">
        <v>53</v>
      </c>
      <c r="Q6077" t="s">
        <v>53</v>
      </c>
    </row>
    <row r="6078" spans="1:17" x14ac:dyDescent="0.2">
      <c r="A6078" s="30" t="str">
        <f>IF(C6078&amp;G6078&amp;D6078&lt;&gt;'Funnel setup'!$K$3&amp;'Funnel setup'!$K$4&amp;'Funnel setup'!$K$5,".",IF(A6077=".",1,A6077+1))</f>
        <v>.</v>
      </c>
      <c r="B6078" s="431" t="str">
        <f t="shared" si="94"/>
        <v>Knee Replacement RevisionProviderWARRINGTON AND HALTON HOSPITALS NHS FOUNDATION TRUST (RWW)EQ-5D Index</v>
      </c>
      <c r="C6078" t="s">
        <v>250</v>
      </c>
      <c r="D6078" t="s">
        <v>1</v>
      </c>
      <c r="E6078" t="s">
        <v>3730</v>
      </c>
      <c r="F6078" t="s">
        <v>3731</v>
      </c>
      <c r="G6078" t="s">
        <v>52</v>
      </c>
      <c r="H6078">
        <v>14</v>
      </c>
      <c r="I6078">
        <v>0.49</v>
      </c>
      <c r="J6078">
        <v>0.72899999999999998</v>
      </c>
      <c r="K6078">
        <v>0.23899999999999999</v>
      </c>
      <c r="L6078">
        <v>9</v>
      </c>
      <c r="M6078">
        <v>4</v>
      </c>
      <c r="N6078">
        <v>1</v>
      </c>
      <c r="O6078" t="s">
        <v>53</v>
      </c>
      <c r="P6078" t="s">
        <v>53</v>
      </c>
      <c r="Q6078" t="s">
        <v>53</v>
      </c>
    </row>
    <row r="6079" spans="1:17" x14ac:dyDescent="0.2">
      <c r="A6079" s="30" t="str">
        <f>IF(C6079&amp;G6079&amp;D6079&lt;&gt;'Funnel setup'!$K$3&amp;'Funnel setup'!$K$4&amp;'Funnel setup'!$K$5,".",IF(A6078=".",1,A6078+1))</f>
        <v>.</v>
      </c>
      <c r="B6079" s="431" t="str">
        <f t="shared" si="94"/>
        <v>Knee Replacement RevisionProviderWEST HERTFORDSHIRE HOSPITALS NHS TRUST (RWG)EQ-5D Index</v>
      </c>
      <c r="C6079" t="s">
        <v>250</v>
      </c>
      <c r="D6079" t="s">
        <v>1</v>
      </c>
      <c r="E6079" t="s">
        <v>3733</v>
      </c>
      <c r="F6079" t="s">
        <v>3734</v>
      </c>
      <c r="G6079" t="s">
        <v>52</v>
      </c>
      <c r="H6079">
        <v>9</v>
      </c>
      <c r="I6079">
        <v>7.0000000000000001E-3</v>
      </c>
      <c r="J6079">
        <v>0.42</v>
      </c>
      <c r="K6079">
        <v>0.41299999999999998</v>
      </c>
      <c r="L6079">
        <v>8</v>
      </c>
      <c r="M6079">
        <v>1</v>
      </c>
      <c r="N6079">
        <v>0</v>
      </c>
      <c r="O6079" t="s">
        <v>53</v>
      </c>
      <c r="P6079" t="s">
        <v>53</v>
      </c>
      <c r="Q6079" t="s">
        <v>53</v>
      </c>
    </row>
    <row r="6080" spans="1:17" x14ac:dyDescent="0.2">
      <c r="A6080" s="30" t="str">
        <f>IF(C6080&amp;G6080&amp;D6080&lt;&gt;'Funnel setup'!$K$3&amp;'Funnel setup'!$K$4&amp;'Funnel setup'!$K$5,".",IF(A6079=".",1,A6079+1))</f>
        <v>.</v>
      </c>
      <c r="B6080" s="431" t="str">
        <f t="shared" si="94"/>
        <v>Knee Replacement RevisionProviderWEST MIDDLESEX UNIVERSITY HOSPITAL NHS TRUST (RFW)EQ-5D Index</v>
      </c>
      <c r="C6080" t="s">
        <v>250</v>
      </c>
      <c r="D6080" t="s">
        <v>1</v>
      </c>
      <c r="E6080" t="s">
        <v>3736</v>
      </c>
      <c r="F6080" t="s">
        <v>3737</v>
      </c>
      <c r="G6080" t="s">
        <v>52</v>
      </c>
      <c r="H6080" t="s">
        <v>53</v>
      </c>
      <c r="I6080" t="s">
        <v>53</v>
      </c>
      <c r="J6080" t="s">
        <v>53</v>
      </c>
      <c r="K6080" t="s">
        <v>53</v>
      </c>
      <c r="L6080" t="s">
        <v>53</v>
      </c>
      <c r="M6080" t="s">
        <v>53</v>
      </c>
      <c r="N6080" t="s">
        <v>53</v>
      </c>
      <c r="O6080" t="s">
        <v>53</v>
      </c>
      <c r="P6080" t="s">
        <v>53</v>
      </c>
      <c r="Q6080" t="s">
        <v>53</v>
      </c>
    </row>
    <row r="6081" spans="1:17" x14ac:dyDescent="0.2">
      <c r="A6081" s="30" t="str">
        <f>IF(C6081&amp;G6081&amp;D6081&lt;&gt;'Funnel setup'!$K$3&amp;'Funnel setup'!$K$4&amp;'Funnel setup'!$K$5,".",IF(A6080=".",1,A6080+1))</f>
        <v>.</v>
      </c>
      <c r="B6081" s="431" t="str">
        <f t="shared" si="94"/>
        <v>Knee Replacement RevisionProviderWEST MIDLANDS HOSPITAL (NVC21)EQ-5D Index</v>
      </c>
      <c r="C6081" t="s">
        <v>250</v>
      </c>
      <c r="D6081" t="s">
        <v>1</v>
      </c>
      <c r="E6081" t="s">
        <v>3709</v>
      </c>
      <c r="F6081" t="s">
        <v>3710</v>
      </c>
      <c r="G6081" t="s">
        <v>52</v>
      </c>
      <c r="H6081" t="s">
        <v>53</v>
      </c>
      <c r="I6081" t="s">
        <v>53</v>
      </c>
      <c r="J6081" t="s">
        <v>53</v>
      </c>
      <c r="K6081" t="s">
        <v>53</v>
      </c>
      <c r="L6081" t="s">
        <v>53</v>
      </c>
      <c r="M6081" t="s">
        <v>53</v>
      </c>
      <c r="N6081" t="s">
        <v>53</v>
      </c>
      <c r="O6081" t="s">
        <v>53</v>
      </c>
      <c r="P6081" t="s">
        <v>53</v>
      </c>
      <c r="Q6081" t="s">
        <v>53</v>
      </c>
    </row>
    <row r="6082" spans="1:17" x14ac:dyDescent="0.2">
      <c r="A6082" s="30" t="str">
        <f>IF(C6082&amp;G6082&amp;D6082&lt;&gt;'Funnel setup'!$K$3&amp;'Funnel setup'!$K$4&amp;'Funnel setup'!$K$5,".",IF(A6081=".",1,A6081+1))</f>
        <v>.</v>
      </c>
      <c r="B6082" s="431" t="str">
        <f t="shared" si="94"/>
        <v>Knee Replacement RevisionProviderWEST SUFFOLK NHS FOUNDATION TRUST (RGR)EQ-5D Index</v>
      </c>
      <c r="C6082" t="s">
        <v>250</v>
      </c>
      <c r="D6082" t="s">
        <v>1</v>
      </c>
      <c r="E6082" t="s">
        <v>3712</v>
      </c>
      <c r="F6082" t="s">
        <v>3713</v>
      </c>
      <c r="G6082" t="s">
        <v>52</v>
      </c>
      <c r="H6082" t="s">
        <v>53</v>
      </c>
      <c r="I6082" t="s">
        <v>53</v>
      </c>
      <c r="J6082" t="s">
        <v>53</v>
      </c>
      <c r="K6082" t="s">
        <v>53</v>
      </c>
      <c r="L6082" t="s">
        <v>53</v>
      </c>
      <c r="M6082" t="s">
        <v>53</v>
      </c>
      <c r="N6082" t="s">
        <v>53</v>
      </c>
      <c r="O6082" t="s">
        <v>53</v>
      </c>
      <c r="P6082" t="s">
        <v>53</v>
      </c>
      <c r="Q6082" t="s">
        <v>53</v>
      </c>
    </row>
    <row r="6083" spans="1:17" x14ac:dyDescent="0.2">
      <c r="A6083" s="30" t="str">
        <f>IF(C6083&amp;G6083&amp;D6083&lt;&gt;'Funnel setup'!$K$3&amp;'Funnel setup'!$K$4&amp;'Funnel setup'!$K$5,".",IF(A6082=".",1,A6082+1))</f>
        <v>.</v>
      </c>
      <c r="B6083" s="431" t="str">
        <f t="shared" ref="B6083:B6146" si="95">C6083&amp;D6083&amp;F6083&amp;G6083</f>
        <v>Knee Replacement RevisionProviderWESTERN SUSSEX HOSPITALS NHS FOUNDATION TRUST (RYR)EQ-5D Index</v>
      </c>
      <c r="C6083" t="s">
        <v>250</v>
      </c>
      <c r="D6083" t="s">
        <v>1</v>
      </c>
      <c r="E6083" t="s">
        <v>3706</v>
      </c>
      <c r="F6083" t="s">
        <v>3707</v>
      </c>
      <c r="G6083" t="s">
        <v>52</v>
      </c>
      <c r="H6083">
        <v>21</v>
      </c>
      <c r="I6083">
        <v>0.27100000000000002</v>
      </c>
      <c r="J6083">
        <v>0.58799999999999997</v>
      </c>
      <c r="K6083">
        <v>0.317</v>
      </c>
      <c r="L6083">
        <v>15</v>
      </c>
      <c r="M6083">
        <v>3</v>
      </c>
      <c r="N6083">
        <v>3</v>
      </c>
      <c r="O6083" t="s">
        <v>53</v>
      </c>
      <c r="P6083" t="s">
        <v>53</v>
      </c>
      <c r="Q6083" t="s">
        <v>53</v>
      </c>
    </row>
    <row r="6084" spans="1:17" x14ac:dyDescent="0.2">
      <c r="A6084" s="30" t="str">
        <f>IF(C6084&amp;G6084&amp;D6084&lt;&gt;'Funnel setup'!$K$3&amp;'Funnel setup'!$K$4&amp;'Funnel setup'!$K$5,".",IF(A6083=".",1,A6083+1))</f>
        <v>.</v>
      </c>
      <c r="B6084" s="431" t="str">
        <f t="shared" si="95"/>
        <v>Knee Replacement RevisionProviderWESTON AREA HEALTH NHS TRUST (RA3)EQ-5D Index</v>
      </c>
      <c r="C6084" t="s">
        <v>250</v>
      </c>
      <c r="D6084" t="s">
        <v>1</v>
      </c>
      <c r="E6084" t="s">
        <v>3525</v>
      </c>
      <c r="F6084" t="s">
        <v>3526</v>
      </c>
      <c r="G6084" t="s">
        <v>52</v>
      </c>
      <c r="H6084" t="s">
        <v>53</v>
      </c>
      <c r="I6084" t="s">
        <v>53</v>
      </c>
      <c r="J6084" t="s">
        <v>53</v>
      </c>
      <c r="K6084" t="s">
        <v>53</v>
      </c>
      <c r="L6084" t="s">
        <v>53</v>
      </c>
      <c r="M6084" t="s">
        <v>53</v>
      </c>
      <c r="N6084" t="s">
        <v>53</v>
      </c>
      <c r="O6084" t="s">
        <v>53</v>
      </c>
      <c r="P6084" t="s">
        <v>53</v>
      </c>
      <c r="Q6084" t="s">
        <v>53</v>
      </c>
    </row>
    <row r="6085" spans="1:17" x14ac:dyDescent="0.2">
      <c r="A6085" s="30" t="str">
        <f>IF(C6085&amp;G6085&amp;D6085&lt;&gt;'Funnel setup'!$K$3&amp;'Funnel setup'!$K$4&amp;'Funnel setup'!$K$5,".",IF(A6084=".",1,A6084+1))</f>
        <v>.</v>
      </c>
      <c r="B6085" s="431" t="str">
        <f t="shared" si="95"/>
        <v>Knee Replacement RevisionProviderWINFIELD HOSPITAL (NVC22)EQ-5D Index</v>
      </c>
      <c r="C6085" t="s">
        <v>250</v>
      </c>
      <c r="D6085" t="s">
        <v>1</v>
      </c>
      <c r="E6085" t="s">
        <v>3534</v>
      </c>
      <c r="F6085" t="s">
        <v>3535</v>
      </c>
      <c r="G6085" t="s">
        <v>52</v>
      </c>
      <c r="H6085" t="s">
        <v>53</v>
      </c>
      <c r="I6085" t="s">
        <v>53</v>
      </c>
      <c r="J6085" t="s">
        <v>53</v>
      </c>
      <c r="K6085" t="s">
        <v>53</v>
      </c>
      <c r="L6085" t="s">
        <v>53</v>
      </c>
      <c r="M6085" t="s">
        <v>53</v>
      </c>
      <c r="N6085" t="s">
        <v>53</v>
      </c>
      <c r="O6085" t="s">
        <v>53</v>
      </c>
      <c r="P6085" t="s">
        <v>53</v>
      </c>
      <c r="Q6085" t="s">
        <v>53</v>
      </c>
    </row>
    <row r="6086" spans="1:17" x14ac:dyDescent="0.2">
      <c r="A6086" s="30" t="str">
        <f>IF(C6086&amp;G6086&amp;D6086&lt;&gt;'Funnel setup'!$K$3&amp;'Funnel setup'!$K$4&amp;'Funnel setup'!$K$5,".",IF(A6085=".",1,A6085+1))</f>
        <v>.</v>
      </c>
      <c r="B6086" s="431" t="str">
        <f t="shared" si="95"/>
        <v>Knee Replacement RevisionProviderWIRRAL UNIVERSITY TEACHING HOSPITAL NHS FOUNDATION TRUST (RBL)EQ-5D Index</v>
      </c>
      <c r="C6086" t="s">
        <v>250</v>
      </c>
      <c r="D6086" t="s">
        <v>1</v>
      </c>
      <c r="E6086" t="s">
        <v>3537</v>
      </c>
      <c r="F6086" t="s">
        <v>3538</v>
      </c>
      <c r="G6086" t="s">
        <v>52</v>
      </c>
      <c r="H6086" t="s">
        <v>53</v>
      </c>
      <c r="I6086" t="s">
        <v>53</v>
      </c>
      <c r="J6086" t="s">
        <v>53</v>
      </c>
      <c r="K6086" t="s">
        <v>53</v>
      </c>
      <c r="L6086" t="s">
        <v>53</v>
      </c>
      <c r="M6086" t="s">
        <v>53</v>
      </c>
      <c r="N6086" t="s">
        <v>53</v>
      </c>
      <c r="O6086" t="s">
        <v>53</v>
      </c>
      <c r="P6086" t="s">
        <v>53</v>
      </c>
      <c r="Q6086" t="s">
        <v>53</v>
      </c>
    </row>
    <row r="6087" spans="1:17" x14ac:dyDescent="0.2">
      <c r="A6087" s="30" t="str">
        <f>IF(C6087&amp;G6087&amp;D6087&lt;&gt;'Funnel setup'!$K$3&amp;'Funnel setup'!$K$4&amp;'Funnel setup'!$K$5,".",IF(A6086=".",1,A6086+1))</f>
        <v>.</v>
      </c>
      <c r="B6087" s="431" t="str">
        <f t="shared" si="95"/>
        <v>Knee Replacement RevisionProviderWOODLAND HOSPITAL (NVC23)EQ-5D Index</v>
      </c>
      <c r="C6087" t="s">
        <v>250</v>
      </c>
      <c r="D6087" t="s">
        <v>1</v>
      </c>
      <c r="E6087" t="s">
        <v>3540</v>
      </c>
      <c r="F6087" t="s">
        <v>3541</v>
      </c>
      <c r="G6087" t="s">
        <v>52</v>
      </c>
      <c r="H6087" t="s">
        <v>53</v>
      </c>
      <c r="I6087" t="s">
        <v>53</v>
      </c>
      <c r="J6087" t="s">
        <v>53</v>
      </c>
      <c r="K6087" t="s">
        <v>53</v>
      </c>
      <c r="L6087" t="s">
        <v>53</v>
      </c>
      <c r="M6087" t="s">
        <v>53</v>
      </c>
      <c r="N6087" t="s">
        <v>53</v>
      </c>
      <c r="O6087" t="s">
        <v>53</v>
      </c>
      <c r="P6087" t="s">
        <v>53</v>
      </c>
      <c r="Q6087" t="s">
        <v>53</v>
      </c>
    </row>
    <row r="6088" spans="1:17" x14ac:dyDescent="0.2">
      <c r="A6088" s="30" t="str">
        <f>IF(C6088&amp;G6088&amp;D6088&lt;&gt;'Funnel setup'!$K$3&amp;'Funnel setup'!$K$4&amp;'Funnel setup'!$K$5,".",IF(A6087=".",1,A6087+1))</f>
        <v>.</v>
      </c>
      <c r="B6088" s="431" t="str">
        <f t="shared" si="95"/>
        <v>Knee Replacement RevisionProviderWOODTHORPE HOSPITAL (NVC40)EQ-5D Index</v>
      </c>
      <c r="C6088" t="s">
        <v>250</v>
      </c>
      <c r="D6088" t="s">
        <v>1</v>
      </c>
      <c r="E6088" t="s">
        <v>3689</v>
      </c>
      <c r="F6088" t="s">
        <v>6576</v>
      </c>
      <c r="G6088" t="s">
        <v>52</v>
      </c>
      <c r="H6088" t="s">
        <v>53</v>
      </c>
      <c r="I6088" t="s">
        <v>53</v>
      </c>
      <c r="J6088" t="s">
        <v>53</v>
      </c>
      <c r="K6088" t="s">
        <v>53</v>
      </c>
      <c r="L6088" t="s">
        <v>53</v>
      </c>
      <c r="M6088" t="s">
        <v>53</v>
      </c>
      <c r="N6088" t="s">
        <v>53</v>
      </c>
      <c r="O6088" t="s">
        <v>53</v>
      </c>
      <c r="P6088" t="s">
        <v>53</v>
      </c>
      <c r="Q6088" t="s">
        <v>53</v>
      </c>
    </row>
    <row r="6089" spans="1:17" x14ac:dyDescent="0.2">
      <c r="A6089" s="30" t="str">
        <f>IF(C6089&amp;G6089&amp;D6089&lt;&gt;'Funnel setup'!$K$3&amp;'Funnel setup'!$K$4&amp;'Funnel setup'!$K$5,".",IF(A6088=".",1,A6088+1))</f>
        <v>.</v>
      </c>
      <c r="B6089" s="431" t="str">
        <f t="shared" si="95"/>
        <v>Knee Replacement RevisionProviderWORCESTERSHIRE ACUTE HOSPITALS NHS TRUST (RWP)EQ-5D Index</v>
      </c>
      <c r="C6089" t="s">
        <v>250</v>
      </c>
      <c r="D6089" t="s">
        <v>1</v>
      </c>
      <c r="E6089" t="s">
        <v>3543</v>
      </c>
      <c r="F6089" t="s">
        <v>3544</v>
      </c>
      <c r="G6089" t="s">
        <v>52</v>
      </c>
      <c r="H6089">
        <v>8</v>
      </c>
      <c r="I6089">
        <v>0.218</v>
      </c>
      <c r="J6089">
        <v>0.70299999999999996</v>
      </c>
      <c r="K6089">
        <v>0.48599999999999999</v>
      </c>
      <c r="L6089">
        <v>8</v>
      </c>
      <c r="M6089">
        <v>0</v>
      </c>
      <c r="N6089">
        <v>0</v>
      </c>
      <c r="O6089" t="s">
        <v>53</v>
      </c>
      <c r="P6089" t="s">
        <v>53</v>
      </c>
      <c r="Q6089" t="s">
        <v>53</v>
      </c>
    </row>
    <row r="6090" spans="1:17" x14ac:dyDescent="0.2">
      <c r="A6090" s="30" t="str">
        <f>IF(C6090&amp;G6090&amp;D6090&lt;&gt;'Funnel setup'!$K$3&amp;'Funnel setup'!$K$4&amp;'Funnel setup'!$K$5,".",IF(A6089=".",1,A6089+1))</f>
        <v>.</v>
      </c>
      <c r="B6090" s="431" t="str">
        <f t="shared" si="95"/>
        <v>Knee Replacement RevisionProviderWRIGHTINGTON, WIGAN AND LEIGH NHS FOUNDATION TRUST (RRF)EQ-5D Index</v>
      </c>
      <c r="C6090" t="s">
        <v>250</v>
      </c>
      <c r="D6090" t="s">
        <v>1</v>
      </c>
      <c r="E6090" t="s">
        <v>3546</v>
      </c>
      <c r="F6090" t="s">
        <v>3547</v>
      </c>
      <c r="G6090" t="s">
        <v>52</v>
      </c>
      <c r="H6090">
        <v>9</v>
      </c>
      <c r="I6090">
        <v>0.33200000000000002</v>
      </c>
      <c r="J6090">
        <v>0.498</v>
      </c>
      <c r="K6090">
        <v>0.16600000000000001</v>
      </c>
      <c r="L6090">
        <v>5</v>
      </c>
      <c r="M6090">
        <v>2</v>
      </c>
      <c r="N6090">
        <v>2</v>
      </c>
      <c r="O6090" t="s">
        <v>53</v>
      </c>
      <c r="P6090" t="s">
        <v>53</v>
      </c>
      <c r="Q6090" t="s">
        <v>53</v>
      </c>
    </row>
    <row r="6091" spans="1:17" x14ac:dyDescent="0.2">
      <c r="A6091" s="30" t="str">
        <f>IF(C6091&amp;G6091&amp;D6091&lt;&gt;'Funnel setup'!$K$3&amp;'Funnel setup'!$K$4&amp;'Funnel setup'!$K$5,".",IF(A6090=".",1,A6090+1))</f>
        <v>.</v>
      </c>
      <c r="B6091" s="431" t="str">
        <f t="shared" si="95"/>
        <v>Knee Replacement RevisionProviderWYE VALLEY NHS TRUST (RLQ)EQ-5D Index</v>
      </c>
      <c r="C6091" t="s">
        <v>250</v>
      </c>
      <c r="D6091" t="s">
        <v>1</v>
      </c>
      <c r="E6091" t="s">
        <v>3517</v>
      </c>
      <c r="F6091" t="s">
        <v>3518</v>
      </c>
      <c r="G6091" t="s">
        <v>52</v>
      </c>
      <c r="H6091" t="s">
        <v>53</v>
      </c>
      <c r="I6091" t="s">
        <v>53</v>
      </c>
      <c r="J6091" t="s">
        <v>53</v>
      </c>
      <c r="K6091" t="s">
        <v>53</v>
      </c>
      <c r="L6091" t="s">
        <v>53</v>
      </c>
      <c r="M6091" t="s">
        <v>53</v>
      </c>
      <c r="N6091" t="s">
        <v>53</v>
      </c>
      <c r="O6091" t="s">
        <v>53</v>
      </c>
      <c r="P6091" t="s">
        <v>53</v>
      </c>
      <c r="Q6091" t="s">
        <v>53</v>
      </c>
    </row>
    <row r="6092" spans="1:17" x14ac:dyDescent="0.2">
      <c r="A6092" s="30" t="str">
        <f>IF(C6092&amp;G6092&amp;D6092&lt;&gt;'Funnel setup'!$K$3&amp;'Funnel setup'!$K$4&amp;'Funnel setup'!$K$5,".",IF(A6091=".",1,A6091+1))</f>
        <v>.</v>
      </c>
      <c r="B6092" s="431" t="str">
        <f t="shared" si="95"/>
        <v>Knee Replacement RevisionProviderYEOVIL DISTRICT HOSPITAL NHS FOUNDATION TRUST (RA4)EQ-5D Index</v>
      </c>
      <c r="C6092" t="s">
        <v>250</v>
      </c>
      <c r="D6092" t="s">
        <v>1</v>
      </c>
      <c r="E6092" t="s">
        <v>3520</v>
      </c>
      <c r="F6092" t="s">
        <v>341</v>
      </c>
      <c r="G6092" t="s">
        <v>52</v>
      </c>
      <c r="H6092" t="s">
        <v>53</v>
      </c>
      <c r="I6092" t="s">
        <v>53</v>
      </c>
      <c r="J6092" t="s">
        <v>53</v>
      </c>
      <c r="K6092" t="s">
        <v>53</v>
      </c>
      <c r="L6092" t="s">
        <v>53</v>
      </c>
      <c r="M6092" t="s">
        <v>53</v>
      </c>
      <c r="N6092" t="s">
        <v>53</v>
      </c>
      <c r="O6092" t="s">
        <v>53</v>
      </c>
      <c r="P6092" t="s">
        <v>53</v>
      </c>
      <c r="Q6092" t="s">
        <v>53</v>
      </c>
    </row>
    <row r="6093" spans="1:17" x14ac:dyDescent="0.2">
      <c r="A6093" s="30" t="str">
        <f>IF(C6093&amp;G6093&amp;D6093&lt;&gt;'Funnel setup'!$K$3&amp;'Funnel setup'!$K$4&amp;'Funnel setup'!$K$5,".",IF(A6092=".",1,A6092+1))</f>
        <v>.</v>
      </c>
      <c r="B6093" s="431" t="str">
        <f t="shared" si="95"/>
        <v>Knee Replacement RevisionProviderYORK TEACHING HOSPITAL NHS FOUNDATION TRUST (RCB)EQ-5D Index</v>
      </c>
      <c r="C6093" t="s">
        <v>250</v>
      </c>
      <c r="D6093" t="s">
        <v>1</v>
      </c>
      <c r="E6093" t="s">
        <v>3515</v>
      </c>
      <c r="F6093" t="s">
        <v>343</v>
      </c>
      <c r="G6093" t="s">
        <v>52</v>
      </c>
      <c r="H6093">
        <v>13</v>
      </c>
      <c r="I6093">
        <v>0.36599999999999999</v>
      </c>
      <c r="J6093">
        <v>0.60399999999999998</v>
      </c>
      <c r="K6093">
        <v>0.23699999999999999</v>
      </c>
      <c r="L6093">
        <v>7</v>
      </c>
      <c r="M6093">
        <v>4</v>
      </c>
      <c r="N6093">
        <v>2</v>
      </c>
      <c r="O6093" t="s">
        <v>53</v>
      </c>
      <c r="P6093" t="s">
        <v>53</v>
      </c>
      <c r="Q6093" t="s">
        <v>53</v>
      </c>
    </row>
    <row r="6094" spans="1:17" x14ac:dyDescent="0.2">
      <c r="A6094" s="30" t="str">
        <f>IF(C6094&amp;G6094&amp;D6094&lt;&gt;'Funnel setup'!$K$3&amp;'Funnel setup'!$K$4&amp;'Funnel setup'!$K$5,".",IF(A6093=".",1,A6093+1))</f>
        <v>.</v>
      </c>
      <c r="B6094" s="431" t="str">
        <f t="shared" si="95"/>
        <v>Knee Replacement RevisionProviderAINTREE UNIVERSITY HOSPITAL NHS FOUNDATION TRUST (REM)Oxford Knee Score</v>
      </c>
      <c r="C6094" t="s">
        <v>250</v>
      </c>
      <c r="D6094" t="s">
        <v>1</v>
      </c>
      <c r="E6094" t="s">
        <v>3838</v>
      </c>
      <c r="F6094" t="s">
        <v>3839</v>
      </c>
      <c r="G6094" t="s">
        <v>16</v>
      </c>
      <c r="H6094">
        <v>8</v>
      </c>
      <c r="I6094">
        <v>9.75</v>
      </c>
      <c r="J6094">
        <v>17</v>
      </c>
      <c r="K6094">
        <v>7.25</v>
      </c>
      <c r="L6094">
        <v>6</v>
      </c>
      <c r="M6094">
        <v>0</v>
      </c>
      <c r="N6094">
        <v>2</v>
      </c>
      <c r="O6094" t="s">
        <v>53</v>
      </c>
      <c r="P6094" t="s">
        <v>53</v>
      </c>
      <c r="Q6094" t="s">
        <v>53</v>
      </c>
    </row>
    <row r="6095" spans="1:17" x14ac:dyDescent="0.2">
      <c r="A6095" s="30" t="str">
        <f>IF(C6095&amp;G6095&amp;D6095&lt;&gt;'Funnel setup'!$K$3&amp;'Funnel setup'!$K$4&amp;'Funnel setup'!$K$5,".",IF(A6094=".",1,A6094+1))</f>
        <v>.</v>
      </c>
      <c r="B6095" s="431" t="str">
        <f t="shared" si="95"/>
        <v>Knee Replacement RevisionProviderAIREDALE NHS FOUNDATION TRUST (RCF)Oxford Knee Score</v>
      </c>
      <c r="C6095" t="s">
        <v>250</v>
      </c>
      <c r="D6095" t="s">
        <v>1</v>
      </c>
      <c r="E6095" t="s">
        <v>3841</v>
      </c>
      <c r="F6095" t="s">
        <v>3842</v>
      </c>
      <c r="G6095" t="s">
        <v>16</v>
      </c>
      <c r="H6095">
        <v>6</v>
      </c>
      <c r="I6095">
        <v>16.332999999999998</v>
      </c>
      <c r="J6095">
        <v>37.832999999999998</v>
      </c>
      <c r="K6095">
        <v>21.5</v>
      </c>
      <c r="L6095">
        <v>6</v>
      </c>
      <c r="M6095">
        <v>0</v>
      </c>
      <c r="N6095">
        <v>0</v>
      </c>
      <c r="O6095" t="s">
        <v>53</v>
      </c>
      <c r="P6095" t="s">
        <v>53</v>
      </c>
      <c r="Q6095" t="s">
        <v>53</v>
      </c>
    </row>
    <row r="6096" spans="1:17" x14ac:dyDescent="0.2">
      <c r="A6096" s="30" t="str">
        <f>IF(C6096&amp;G6096&amp;D6096&lt;&gt;'Funnel setup'!$K$3&amp;'Funnel setup'!$K$4&amp;'Funnel setup'!$K$5,".",IF(A6095=".",1,A6095+1))</f>
        <v>.</v>
      </c>
      <c r="B6096" s="431" t="str">
        <f t="shared" si="95"/>
        <v>Knee Replacement RevisionProviderASHFORD AND ST PETER'S HOSPITALS NHS FOUNDATION TRUST (RTK)Oxford Knee Score</v>
      </c>
      <c r="C6096" t="s">
        <v>250</v>
      </c>
      <c r="D6096" t="s">
        <v>1</v>
      </c>
      <c r="E6096" t="s">
        <v>3844</v>
      </c>
      <c r="F6096" t="s">
        <v>345</v>
      </c>
      <c r="G6096" t="s">
        <v>16</v>
      </c>
      <c r="H6096">
        <v>9</v>
      </c>
      <c r="I6096">
        <v>17.111000000000001</v>
      </c>
      <c r="J6096">
        <v>25.443999999999999</v>
      </c>
      <c r="K6096">
        <v>8.3330000000000002</v>
      </c>
      <c r="L6096">
        <v>7</v>
      </c>
      <c r="M6096">
        <v>0</v>
      </c>
      <c r="N6096">
        <v>2</v>
      </c>
      <c r="O6096" t="s">
        <v>53</v>
      </c>
      <c r="P6096" t="s">
        <v>53</v>
      </c>
      <c r="Q6096" t="s">
        <v>53</v>
      </c>
    </row>
    <row r="6097" spans="1:17" x14ac:dyDescent="0.2">
      <c r="A6097" s="30" t="str">
        <f>IF(C6097&amp;G6097&amp;D6097&lt;&gt;'Funnel setup'!$K$3&amp;'Funnel setup'!$K$4&amp;'Funnel setup'!$K$5,".",IF(A6096=".",1,A6096+1))</f>
        <v>.</v>
      </c>
      <c r="B6097" s="431" t="str">
        <f t="shared" si="95"/>
        <v>Knee Replacement RevisionProviderASHTEAD HOSPITAL (NVC01)Oxford Knee Score</v>
      </c>
      <c r="C6097" t="s">
        <v>250</v>
      </c>
      <c r="D6097" t="s">
        <v>1</v>
      </c>
      <c r="E6097" t="s">
        <v>3846</v>
      </c>
      <c r="F6097" t="s">
        <v>3847</v>
      </c>
      <c r="G6097" t="s">
        <v>16</v>
      </c>
      <c r="H6097" t="s">
        <v>53</v>
      </c>
      <c r="I6097" t="s">
        <v>53</v>
      </c>
      <c r="J6097" t="s">
        <v>53</v>
      </c>
      <c r="K6097" t="s">
        <v>53</v>
      </c>
      <c r="L6097" t="s">
        <v>53</v>
      </c>
      <c r="M6097" t="s">
        <v>53</v>
      </c>
      <c r="N6097" t="s">
        <v>53</v>
      </c>
      <c r="O6097" t="s">
        <v>53</v>
      </c>
      <c r="P6097" t="s">
        <v>53</v>
      </c>
      <c r="Q6097" t="s">
        <v>53</v>
      </c>
    </row>
    <row r="6098" spans="1:17" x14ac:dyDescent="0.2">
      <c r="A6098" s="30" t="str">
        <f>IF(C6098&amp;G6098&amp;D6098&lt;&gt;'Funnel setup'!$K$3&amp;'Funnel setup'!$K$4&amp;'Funnel setup'!$K$5,".",IF(A6097=".",1,A6097+1))</f>
        <v>.</v>
      </c>
      <c r="B6098" s="431" t="str">
        <f t="shared" si="95"/>
        <v>Knee Replacement RevisionProviderBARLBOROUGH NHS TREATMENT CENTRE (NTP13)Oxford Knee Score</v>
      </c>
      <c r="C6098" t="s">
        <v>250</v>
      </c>
      <c r="D6098" t="s">
        <v>1</v>
      </c>
      <c r="E6098" t="s">
        <v>4425</v>
      </c>
      <c r="F6098" t="s">
        <v>4426</v>
      </c>
      <c r="G6098" t="s">
        <v>16</v>
      </c>
      <c r="H6098">
        <v>8</v>
      </c>
      <c r="I6098">
        <v>17.75</v>
      </c>
      <c r="J6098">
        <v>25.625</v>
      </c>
      <c r="K6098">
        <v>7.875</v>
      </c>
      <c r="L6098">
        <v>7</v>
      </c>
      <c r="M6098">
        <v>0</v>
      </c>
      <c r="N6098">
        <v>1</v>
      </c>
      <c r="O6098" t="s">
        <v>53</v>
      </c>
      <c r="P6098" t="s">
        <v>53</v>
      </c>
      <c r="Q6098" t="s">
        <v>53</v>
      </c>
    </row>
    <row r="6099" spans="1:17" x14ac:dyDescent="0.2">
      <c r="A6099" s="30" t="str">
        <f>IF(C6099&amp;G6099&amp;D6099&lt;&gt;'Funnel setup'!$K$3&amp;'Funnel setup'!$K$4&amp;'Funnel setup'!$K$5,".",IF(A6098=".",1,A6098+1))</f>
        <v>.</v>
      </c>
      <c r="B6099" s="431" t="str">
        <f t="shared" si="95"/>
        <v>Knee Replacement RevisionProviderBARNSLEY HOSPITAL NHS FOUNDATION TRUST (RFF)Oxford Knee Score</v>
      </c>
      <c r="C6099" t="s">
        <v>250</v>
      </c>
      <c r="D6099" t="s">
        <v>1</v>
      </c>
      <c r="E6099" t="s">
        <v>3549</v>
      </c>
      <c r="F6099" t="s">
        <v>3550</v>
      </c>
      <c r="G6099" t="s">
        <v>16</v>
      </c>
      <c r="H6099">
        <v>7</v>
      </c>
      <c r="I6099">
        <v>17.856999999999999</v>
      </c>
      <c r="J6099">
        <v>34.286000000000001</v>
      </c>
      <c r="K6099">
        <v>16.428999999999998</v>
      </c>
      <c r="L6099">
        <v>6</v>
      </c>
      <c r="M6099">
        <v>0</v>
      </c>
      <c r="N6099">
        <v>1</v>
      </c>
      <c r="O6099" t="s">
        <v>53</v>
      </c>
      <c r="P6099" t="s">
        <v>53</v>
      </c>
      <c r="Q6099" t="s">
        <v>53</v>
      </c>
    </row>
    <row r="6100" spans="1:17" x14ac:dyDescent="0.2">
      <c r="A6100" s="30" t="str">
        <f>IF(C6100&amp;G6100&amp;D6100&lt;&gt;'Funnel setup'!$K$3&amp;'Funnel setup'!$K$4&amp;'Funnel setup'!$K$5,".",IF(A6099=".",1,A6099+1))</f>
        <v>.</v>
      </c>
      <c r="B6100" s="431" t="str">
        <f t="shared" si="95"/>
        <v>Knee Replacement RevisionProviderBARTS HEALTH NHS TRUST (R1H)Oxford Knee Score</v>
      </c>
      <c r="C6100" t="s">
        <v>250</v>
      </c>
      <c r="D6100" t="s">
        <v>1</v>
      </c>
      <c r="E6100" t="s">
        <v>3552</v>
      </c>
      <c r="F6100" t="s">
        <v>3553</v>
      </c>
      <c r="G6100" t="s">
        <v>16</v>
      </c>
      <c r="H6100" t="s">
        <v>53</v>
      </c>
      <c r="I6100" t="s">
        <v>53</v>
      </c>
      <c r="J6100" t="s">
        <v>53</v>
      </c>
      <c r="K6100" t="s">
        <v>53</v>
      </c>
      <c r="L6100" t="s">
        <v>53</v>
      </c>
      <c r="M6100" t="s">
        <v>53</v>
      </c>
      <c r="N6100" t="s">
        <v>53</v>
      </c>
      <c r="O6100" t="s">
        <v>53</v>
      </c>
      <c r="P6100" t="s">
        <v>53</v>
      </c>
      <c r="Q6100" t="s">
        <v>53</v>
      </c>
    </row>
    <row r="6101" spans="1:17" x14ac:dyDescent="0.2">
      <c r="A6101" s="30" t="str">
        <f>IF(C6101&amp;G6101&amp;D6101&lt;&gt;'Funnel setup'!$K$3&amp;'Funnel setup'!$K$4&amp;'Funnel setup'!$K$5,".",IF(A6100=".",1,A6100+1))</f>
        <v>.</v>
      </c>
      <c r="B6101" s="431" t="str">
        <f t="shared" si="95"/>
        <v>Knee Replacement RevisionProviderBASILDON AND THURROCK UNIVERSITY HOSPITALS NHS FOUNDATION TRUST (RDD)Oxford Knee Score</v>
      </c>
      <c r="C6101" t="s">
        <v>250</v>
      </c>
      <c r="D6101" t="s">
        <v>1</v>
      </c>
      <c r="E6101" t="s">
        <v>3555</v>
      </c>
      <c r="F6101" t="s">
        <v>3556</v>
      </c>
      <c r="G6101" t="s">
        <v>16</v>
      </c>
      <c r="H6101">
        <v>16</v>
      </c>
      <c r="I6101">
        <v>16.375</v>
      </c>
      <c r="J6101">
        <v>31</v>
      </c>
      <c r="K6101">
        <v>14.625</v>
      </c>
      <c r="L6101">
        <v>13</v>
      </c>
      <c r="M6101">
        <v>2</v>
      </c>
      <c r="N6101">
        <v>1</v>
      </c>
      <c r="O6101" t="s">
        <v>53</v>
      </c>
      <c r="P6101" t="s">
        <v>53</v>
      </c>
      <c r="Q6101" t="s">
        <v>53</v>
      </c>
    </row>
    <row r="6102" spans="1:17" x14ac:dyDescent="0.2">
      <c r="A6102" s="30" t="str">
        <f>IF(C6102&amp;G6102&amp;D6102&lt;&gt;'Funnel setup'!$K$3&amp;'Funnel setup'!$K$4&amp;'Funnel setup'!$K$5,".",IF(A6101=".",1,A6101+1))</f>
        <v>.</v>
      </c>
      <c r="B6102" s="431" t="str">
        <f t="shared" si="95"/>
        <v>Knee Replacement RevisionProviderBEDFORD HOSPITAL NHS TRUST (RC1)Oxford Knee Score</v>
      </c>
      <c r="C6102" t="s">
        <v>250</v>
      </c>
      <c r="D6102" t="s">
        <v>1</v>
      </c>
      <c r="E6102" t="s">
        <v>3558</v>
      </c>
      <c r="F6102" t="s">
        <v>3559</v>
      </c>
      <c r="G6102" t="s">
        <v>16</v>
      </c>
      <c r="H6102" t="s">
        <v>53</v>
      </c>
      <c r="I6102" t="s">
        <v>53</v>
      </c>
      <c r="J6102" t="s">
        <v>53</v>
      </c>
      <c r="K6102" t="s">
        <v>53</v>
      </c>
      <c r="L6102" t="s">
        <v>53</v>
      </c>
      <c r="M6102" t="s">
        <v>53</v>
      </c>
      <c r="N6102" t="s">
        <v>53</v>
      </c>
      <c r="O6102" t="s">
        <v>53</v>
      </c>
      <c r="P6102" t="s">
        <v>53</v>
      </c>
      <c r="Q6102" t="s">
        <v>53</v>
      </c>
    </row>
    <row r="6103" spans="1:17" x14ac:dyDescent="0.2">
      <c r="A6103" s="30" t="str">
        <f>IF(C6103&amp;G6103&amp;D6103&lt;&gt;'Funnel setup'!$K$3&amp;'Funnel setup'!$K$4&amp;'Funnel setup'!$K$5,".",IF(A6102=".",1,A6102+1))</f>
        <v>.</v>
      </c>
      <c r="B6103" s="431" t="str">
        <f t="shared" si="95"/>
        <v>Knee Replacement RevisionProviderBMI - BATH CLINIC (NT402)Oxford Knee Score</v>
      </c>
      <c r="C6103" t="s">
        <v>250</v>
      </c>
      <c r="D6103" t="s">
        <v>1</v>
      </c>
      <c r="E6103" t="s">
        <v>3488</v>
      </c>
      <c r="F6103" t="s">
        <v>3489</v>
      </c>
      <c r="G6103" t="s">
        <v>16</v>
      </c>
      <c r="H6103" t="s">
        <v>53</v>
      </c>
      <c r="I6103" t="s">
        <v>53</v>
      </c>
      <c r="J6103" t="s">
        <v>53</v>
      </c>
      <c r="K6103" t="s">
        <v>53</v>
      </c>
      <c r="L6103" t="s">
        <v>53</v>
      </c>
      <c r="M6103" t="s">
        <v>53</v>
      </c>
      <c r="N6103" t="s">
        <v>53</v>
      </c>
      <c r="O6103" t="s">
        <v>53</v>
      </c>
      <c r="P6103" t="s">
        <v>53</v>
      </c>
      <c r="Q6103" t="s">
        <v>53</v>
      </c>
    </row>
    <row r="6104" spans="1:17" x14ac:dyDescent="0.2">
      <c r="A6104" s="30" t="str">
        <f>IF(C6104&amp;G6104&amp;D6104&lt;&gt;'Funnel setup'!$K$3&amp;'Funnel setup'!$K$4&amp;'Funnel setup'!$K$5,".",IF(A6103=".",1,A6103+1))</f>
        <v>.</v>
      </c>
      <c r="B6104" s="431" t="str">
        <f t="shared" si="95"/>
        <v>Knee Replacement RevisionProviderBMI - BISHOPS WOOD (NT405)Oxford Knee Score</v>
      </c>
      <c r="C6104" t="s">
        <v>250</v>
      </c>
      <c r="D6104" t="s">
        <v>1</v>
      </c>
      <c r="E6104" t="s">
        <v>3491</v>
      </c>
      <c r="F6104" t="s">
        <v>3492</v>
      </c>
      <c r="G6104" t="s">
        <v>16</v>
      </c>
      <c r="H6104" t="s">
        <v>53</v>
      </c>
      <c r="I6104" t="s">
        <v>53</v>
      </c>
      <c r="J6104" t="s">
        <v>53</v>
      </c>
      <c r="K6104" t="s">
        <v>53</v>
      </c>
      <c r="L6104" t="s">
        <v>53</v>
      </c>
      <c r="M6104" t="s">
        <v>53</v>
      </c>
      <c r="N6104" t="s">
        <v>53</v>
      </c>
      <c r="O6104" t="s">
        <v>53</v>
      </c>
      <c r="P6104" t="s">
        <v>53</v>
      </c>
      <c r="Q6104" t="s">
        <v>53</v>
      </c>
    </row>
    <row r="6105" spans="1:17" x14ac:dyDescent="0.2">
      <c r="A6105" s="30" t="str">
        <f>IF(C6105&amp;G6105&amp;D6105&lt;&gt;'Funnel setup'!$K$3&amp;'Funnel setup'!$K$4&amp;'Funnel setup'!$K$5,".",IF(A6104=".",1,A6104+1))</f>
        <v>.</v>
      </c>
      <c r="B6105" s="431" t="str">
        <f t="shared" si="95"/>
        <v>Knee Replacement RevisionProviderBMI - GORING HALL HOSPITAL (NT417)Oxford Knee Score</v>
      </c>
      <c r="C6105" t="s">
        <v>250</v>
      </c>
      <c r="D6105" t="s">
        <v>1</v>
      </c>
      <c r="E6105" t="s">
        <v>3403</v>
      </c>
      <c r="F6105" t="s">
        <v>3404</v>
      </c>
      <c r="G6105" t="s">
        <v>16</v>
      </c>
      <c r="H6105">
        <v>7</v>
      </c>
      <c r="I6105">
        <v>17.571000000000002</v>
      </c>
      <c r="J6105">
        <v>25.143000000000001</v>
      </c>
      <c r="K6105">
        <v>7.5709999999999997</v>
      </c>
      <c r="L6105">
        <v>4</v>
      </c>
      <c r="M6105">
        <v>0</v>
      </c>
      <c r="N6105">
        <v>3</v>
      </c>
      <c r="O6105" t="s">
        <v>53</v>
      </c>
      <c r="P6105" t="s">
        <v>53</v>
      </c>
      <c r="Q6105" t="s">
        <v>53</v>
      </c>
    </row>
    <row r="6106" spans="1:17" x14ac:dyDescent="0.2">
      <c r="A6106" s="30" t="str">
        <f>IF(C6106&amp;G6106&amp;D6106&lt;&gt;'Funnel setup'!$K$3&amp;'Funnel setup'!$K$4&amp;'Funnel setup'!$K$5,".",IF(A6105=".",1,A6105+1))</f>
        <v>.</v>
      </c>
      <c r="B6106" s="431" t="str">
        <f t="shared" si="95"/>
        <v>Knee Replacement RevisionProviderBMI - THE CHILTERN HOSPITAL (NT410)Oxford Knee Score</v>
      </c>
      <c r="C6106" t="s">
        <v>250</v>
      </c>
      <c r="D6106" t="s">
        <v>1</v>
      </c>
      <c r="E6106" t="s">
        <v>3594</v>
      </c>
      <c r="F6106" t="s">
        <v>3595</v>
      </c>
      <c r="G6106" t="s">
        <v>16</v>
      </c>
      <c r="H6106" t="s">
        <v>53</v>
      </c>
      <c r="I6106" t="s">
        <v>53</v>
      </c>
      <c r="J6106" t="s">
        <v>53</v>
      </c>
      <c r="K6106" t="s">
        <v>53</v>
      </c>
      <c r="L6106" t="s">
        <v>53</v>
      </c>
      <c r="M6106" t="s">
        <v>53</v>
      </c>
      <c r="N6106" t="s">
        <v>53</v>
      </c>
      <c r="O6106" t="s">
        <v>53</v>
      </c>
      <c r="P6106" t="s">
        <v>53</v>
      </c>
      <c r="Q6106" t="s">
        <v>53</v>
      </c>
    </row>
    <row r="6107" spans="1:17" x14ac:dyDescent="0.2">
      <c r="A6107" s="30" t="str">
        <f>IF(C6107&amp;G6107&amp;D6107&lt;&gt;'Funnel setup'!$K$3&amp;'Funnel setup'!$K$4&amp;'Funnel setup'!$K$5,".",IF(A6106=".",1,A6106+1))</f>
        <v>.</v>
      </c>
      <c r="B6107" s="431" t="str">
        <f t="shared" si="95"/>
        <v>Knee Replacement RevisionProviderBMI - THE DROITWICH SPA HOSPITAL (NT412)Oxford Knee Score</v>
      </c>
      <c r="C6107" t="s">
        <v>250</v>
      </c>
      <c r="D6107" t="s">
        <v>1</v>
      </c>
      <c r="E6107" t="s">
        <v>3600</v>
      </c>
      <c r="F6107" t="s">
        <v>3601</v>
      </c>
      <c r="G6107" t="s">
        <v>16</v>
      </c>
      <c r="H6107" t="s">
        <v>53</v>
      </c>
      <c r="I6107" t="s">
        <v>53</v>
      </c>
      <c r="J6107" t="s">
        <v>53</v>
      </c>
      <c r="K6107" t="s">
        <v>53</v>
      </c>
      <c r="L6107" t="s">
        <v>53</v>
      </c>
      <c r="M6107" t="s">
        <v>53</v>
      </c>
      <c r="N6107" t="s">
        <v>53</v>
      </c>
      <c r="O6107" t="s">
        <v>53</v>
      </c>
      <c r="P6107" t="s">
        <v>53</v>
      </c>
      <c r="Q6107" t="s">
        <v>53</v>
      </c>
    </row>
    <row r="6108" spans="1:17" x14ac:dyDescent="0.2">
      <c r="A6108" s="30" t="str">
        <f>IF(C6108&amp;G6108&amp;D6108&lt;&gt;'Funnel setup'!$K$3&amp;'Funnel setup'!$K$4&amp;'Funnel setup'!$K$5,".",IF(A6107=".",1,A6107+1))</f>
        <v>.</v>
      </c>
      <c r="B6108" s="431" t="str">
        <f t="shared" si="95"/>
        <v>Knee Replacement RevisionProviderBMI - THE KINGS OAK HOSPITAL (NT421)Oxford Knee Score</v>
      </c>
      <c r="C6108" t="s">
        <v>250</v>
      </c>
      <c r="D6108" t="s">
        <v>1</v>
      </c>
      <c r="E6108" t="s">
        <v>3618</v>
      </c>
      <c r="F6108" t="s">
        <v>3619</v>
      </c>
      <c r="G6108" t="s">
        <v>16</v>
      </c>
      <c r="H6108" t="s">
        <v>53</v>
      </c>
      <c r="I6108" t="s">
        <v>53</v>
      </c>
      <c r="J6108" t="s">
        <v>53</v>
      </c>
      <c r="K6108" t="s">
        <v>53</v>
      </c>
      <c r="L6108" t="s">
        <v>53</v>
      </c>
      <c r="M6108" t="s">
        <v>53</v>
      </c>
      <c r="N6108" t="s">
        <v>53</v>
      </c>
      <c r="O6108" t="s">
        <v>53</v>
      </c>
      <c r="P6108" t="s">
        <v>53</v>
      </c>
      <c r="Q6108" t="s">
        <v>53</v>
      </c>
    </row>
    <row r="6109" spans="1:17" x14ac:dyDescent="0.2">
      <c r="A6109" s="30" t="str">
        <f>IF(C6109&amp;G6109&amp;D6109&lt;&gt;'Funnel setup'!$K$3&amp;'Funnel setup'!$K$4&amp;'Funnel setup'!$K$5,".",IF(A6108=".",1,A6108+1))</f>
        <v>.</v>
      </c>
      <c r="B6109" s="431" t="str">
        <f t="shared" si="95"/>
        <v>Knee Replacement RevisionProviderBMI - THE MERIDEN HOSPITAL (NT424)Oxford Knee Score</v>
      </c>
      <c r="C6109" t="s">
        <v>250</v>
      </c>
      <c r="D6109" t="s">
        <v>1</v>
      </c>
      <c r="E6109" t="s">
        <v>3283</v>
      </c>
      <c r="F6109" t="s">
        <v>3284</v>
      </c>
      <c r="G6109" t="s">
        <v>16</v>
      </c>
      <c r="H6109" t="s">
        <v>53</v>
      </c>
      <c r="I6109" t="s">
        <v>53</v>
      </c>
      <c r="J6109" t="s">
        <v>53</v>
      </c>
      <c r="K6109" t="s">
        <v>53</v>
      </c>
      <c r="L6109" t="s">
        <v>53</v>
      </c>
      <c r="M6109" t="s">
        <v>53</v>
      </c>
      <c r="N6109" t="s">
        <v>53</v>
      </c>
      <c r="O6109" t="s">
        <v>53</v>
      </c>
      <c r="P6109" t="s">
        <v>53</v>
      </c>
      <c r="Q6109" t="s">
        <v>53</v>
      </c>
    </row>
    <row r="6110" spans="1:17" x14ac:dyDescent="0.2">
      <c r="A6110" s="30" t="str">
        <f>IF(C6110&amp;G6110&amp;D6110&lt;&gt;'Funnel setup'!$K$3&amp;'Funnel setup'!$K$4&amp;'Funnel setup'!$K$5,".",IF(A6109=".",1,A6109+1))</f>
        <v>.</v>
      </c>
      <c r="B6110" s="431" t="str">
        <f t="shared" si="95"/>
        <v>Knee Replacement RevisionProviderBMI - THE RIDGEWAY HOSPITAL (NT430)Oxford Knee Score</v>
      </c>
      <c r="C6110" t="s">
        <v>250</v>
      </c>
      <c r="D6110" t="s">
        <v>1</v>
      </c>
      <c r="E6110" t="s">
        <v>3292</v>
      </c>
      <c r="F6110" t="s">
        <v>3293</v>
      </c>
      <c r="G6110" t="s">
        <v>16</v>
      </c>
      <c r="H6110" t="s">
        <v>53</v>
      </c>
      <c r="I6110" t="s">
        <v>53</v>
      </c>
      <c r="J6110" t="s">
        <v>53</v>
      </c>
      <c r="K6110" t="s">
        <v>53</v>
      </c>
      <c r="L6110" t="s">
        <v>53</v>
      </c>
      <c r="M6110" t="s">
        <v>53</v>
      </c>
      <c r="N6110" t="s">
        <v>53</v>
      </c>
      <c r="O6110" t="s">
        <v>53</v>
      </c>
      <c r="P6110" t="s">
        <v>53</v>
      </c>
      <c r="Q6110" t="s">
        <v>53</v>
      </c>
    </row>
    <row r="6111" spans="1:17" x14ac:dyDescent="0.2">
      <c r="A6111" s="30" t="str">
        <f>IF(C6111&amp;G6111&amp;D6111&lt;&gt;'Funnel setup'!$K$3&amp;'Funnel setup'!$K$4&amp;'Funnel setup'!$K$5,".",IF(A6110=".",1,A6110+1))</f>
        <v>.</v>
      </c>
      <c r="B6111" s="431" t="str">
        <f t="shared" si="95"/>
        <v>Knee Replacement RevisionProviderBMI - THE RUNNYMEDE HOSPITAL (NT431)Oxford Knee Score</v>
      </c>
      <c r="C6111" t="s">
        <v>250</v>
      </c>
      <c r="D6111" t="s">
        <v>1</v>
      </c>
      <c r="E6111" t="s">
        <v>3295</v>
      </c>
      <c r="F6111" t="s">
        <v>3296</v>
      </c>
      <c r="G6111" t="s">
        <v>16</v>
      </c>
      <c r="H6111" t="s">
        <v>53</v>
      </c>
      <c r="I6111" t="s">
        <v>53</v>
      </c>
      <c r="J6111" t="s">
        <v>53</v>
      </c>
      <c r="K6111" t="s">
        <v>53</v>
      </c>
      <c r="L6111" t="s">
        <v>53</v>
      </c>
      <c r="M6111" t="s">
        <v>53</v>
      </c>
      <c r="N6111" t="s">
        <v>53</v>
      </c>
      <c r="O6111" t="s">
        <v>53</v>
      </c>
      <c r="P6111" t="s">
        <v>53</v>
      </c>
      <c r="Q6111" t="s">
        <v>53</v>
      </c>
    </row>
    <row r="6112" spans="1:17" x14ac:dyDescent="0.2">
      <c r="A6112" s="30" t="str">
        <f>IF(C6112&amp;G6112&amp;D6112&lt;&gt;'Funnel setup'!$K$3&amp;'Funnel setup'!$K$4&amp;'Funnel setup'!$K$5,".",IF(A6111=".",1,A6111+1))</f>
        <v>.</v>
      </c>
      <c r="B6112" s="431" t="str">
        <f t="shared" si="95"/>
        <v>Knee Replacement RevisionProviderBMI - THE SOMERFIELD HOSPITAL (NT438)Oxford Knee Score</v>
      </c>
      <c r="C6112" t="s">
        <v>250</v>
      </c>
      <c r="D6112" t="s">
        <v>1</v>
      </c>
      <c r="E6112" t="s">
        <v>3304</v>
      </c>
      <c r="F6112" t="s">
        <v>3305</v>
      </c>
      <c r="G6112" t="s">
        <v>16</v>
      </c>
      <c r="H6112" t="s">
        <v>53</v>
      </c>
      <c r="I6112" t="s">
        <v>53</v>
      </c>
      <c r="J6112" t="s">
        <v>53</v>
      </c>
      <c r="K6112" t="s">
        <v>53</v>
      </c>
      <c r="L6112" t="s">
        <v>53</v>
      </c>
      <c r="M6112" t="s">
        <v>53</v>
      </c>
      <c r="N6112" t="s">
        <v>53</v>
      </c>
      <c r="O6112" t="s">
        <v>53</v>
      </c>
      <c r="P6112" t="s">
        <v>53</v>
      </c>
      <c r="Q6112" t="s">
        <v>53</v>
      </c>
    </row>
    <row r="6113" spans="1:17" x14ac:dyDescent="0.2">
      <c r="A6113" s="30" t="str">
        <f>IF(C6113&amp;G6113&amp;D6113&lt;&gt;'Funnel setup'!$K$3&amp;'Funnel setup'!$K$4&amp;'Funnel setup'!$K$5,".",IF(A6112=".",1,A6112+1))</f>
        <v>.</v>
      </c>
      <c r="B6113" s="431" t="str">
        <f t="shared" si="95"/>
        <v>Knee Replacement RevisionProviderBMI - THREE SHIRES HOSPITAL (NT441)Oxford Knee Score</v>
      </c>
      <c r="C6113" t="s">
        <v>250</v>
      </c>
      <c r="D6113" t="s">
        <v>1</v>
      </c>
      <c r="E6113" t="s">
        <v>3316</v>
      </c>
      <c r="F6113" t="s">
        <v>3317</v>
      </c>
      <c r="G6113" t="s">
        <v>16</v>
      </c>
      <c r="H6113" t="s">
        <v>53</v>
      </c>
      <c r="I6113" t="s">
        <v>53</v>
      </c>
      <c r="J6113" t="s">
        <v>53</v>
      </c>
      <c r="K6113" t="s">
        <v>53</v>
      </c>
      <c r="L6113" t="s">
        <v>53</v>
      </c>
      <c r="M6113" t="s">
        <v>53</v>
      </c>
      <c r="N6113" t="s">
        <v>53</v>
      </c>
      <c r="O6113" t="s">
        <v>53</v>
      </c>
      <c r="P6113" t="s">
        <v>53</v>
      </c>
      <c r="Q6113" t="s">
        <v>53</v>
      </c>
    </row>
    <row r="6114" spans="1:17" x14ac:dyDescent="0.2">
      <c r="A6114" s="30" t="str">
        <f>IF(C6114&amp;G6114&amp;D6114&lt;&gt;'Funnel setup'!$K$3&amp;'Funnel setup'!$K$4&amp;'Funnel setup'!$K$5,".",IF(A6113=".",1,A6113+1))</f>
        <v>.</v>
      </c>
      <c r="B6114" s="431" t="str">
        <f t="shared" si="95"/>
        <v>Knee Replacement RevisionProviderBMI GISBURNE PARK HOSPITAL (NT497)Oxford Knee Score</v>
      </c>
      <c r="C6114" t="s">
        <v>250</v>
      </c>
      <c r="D6114" t="s">
        <v>1</v>
      </c>
      <c r="E6114" t="s">
        <v>3319</v>
      </c>
      <c r="F6114" t="s">
        <v>3320</v>
      </c>
      <c r="G6114" t="s">
        <v>16</v>
      </c>
      <c r="H6114" t="s">
        <v>53</v>
      </c>
      <c r="I6114" t="s">
        <v>53</v>
      </c>
      <c r="J6114" t="s">
        <v>53</v>
      </c>
      <c r="K6114" t="s">
        <v>53</v>
      </c>
      <c r="L6114" t="s">
        <v>53</v>
      </c>
      <c r="M6114" t="s">
        <v>53</v>
      </c>
      <c r="N6114" t="s">
        <v>53</v>
      </c>
      <c r="O6114" t="s">
        <v>53</v>
      </c>
      <c r="P6114" t="s">
        <v>53</v>
      </c>
      <c r="Q6114" t="s">
        <v>53</v>
      </c>
    </row>
    <row r="6115" spans="1:17" x14ac:dyDescent="0.2">
      <c r="A6115" s="30" t="str">
        <f>IF(C6115&amp;G6115&amp;D6115&lt;&gt;'Funnel setup'!$K$3&amp;'Funnel setup'!$K$4&amp;'Funnel setup'!$K$5,".",IF(A6114=".",1,A6114+1))</f>
        <v>.</v>
      </c>
      <c r="B6115" s="431" t="str">
        <f t="shared" si="95"/>
        <v>Knee Replacement RevisionProviderBMI THE EDGBASTON HOSPITAL (NT445)Oxford Knee Score</v>
      </c>
      <c r="C6115" t="s">
        <v>250</v>
      </c>
      <c r="D6115" t="s">
        <v>1</v>
      </c>
      <c r="E6115" t="s">
        <v>3337</v>
      </c>
      <c r="F6115" t="s">
        <v>3338</v>
      </c>
      <c r="G6115" t="s">
        <v>16</v>
      </c>
      <c r="H6115" t="s">
        <v>53</v>
      </c>
      <c r="I6115" t="s">
        <v>53</v>
      </c>
      <c r="J6115" t="s">
        <v>53</v>
      </c>
      <c r="K6115" t="s">
        <v>53</v>
      </c>
      <c r="L6115" t="s">
        <v>53</v>
      </c>
      <c r="M6115" t="s">
        <v>53</v>
      </c>
      <c r="N6115" t="s">
        <v>53</v>
      </c>
      <c r="O6115" t="s">
        <v>53</v>
      </c>
      <c r="P6115" t="s">
        <v>53</v>
      </c>
      <c r="Q6115" t="s">
        <v>53</v>
      </c>
    </row>
    <row r="6116" spans="1:17" x14ac:dyDescent="0.2">
      <c r="A6116" s="30" t="str">
        <f>IF(C6116&amp;G6116&amp;D6116&lt;&gt;'Funnel setup'!$K$3&amp;'Funnel setup'!$K$4&amp;'Funnel setup'!$K$5,".",IF(A6115=".",1,A6115+1))</f>
        <v>.</v>
      </c>
      <c r="B6116" s="431" t="str">
        <f t="shared" si="95"/>
        <v>Knee Replacement RevisionProviderBMI THE LINCOLN HOSPITAL (NT450)Oxford Knee Score</v>
      </c>
      <c r="C6116" t="s">
        <v>250</v>
      </c>
      <c r="D6116" t="s">
        <v>1</v>
      </c>
      <c r="E6116" t="s">
        <v>3352</v>
      </c>
      <c r="F6116" t="s">
        <v>3353</v>
      </c>
      <c r="G6116" t="s">
        <v>16</v>
      </c>
      <c r="H6116" t="s">
        <v>53</v>
      </c>
      <c r="I6116" t="s">
        <v>53</v>
      </c>
      <c r="J6116" t="s">
        <v>53</v>
      </c>
      <c r="K6116" t="s">
        <v>53</v>
      </c>
      <c r="L6116" t="s">
        <v>53</v>
      </c>
      <c r="M6116" t="s">
        <v>53</v>
      </c>
      <c r="N6116" t="s">
        <v>53</v>
      </c>
      <c r="O6116" t="s">
        <v>53</v>
      </c>
      <c r="P6116" t="s">
        <v>53</v>
      </c>
      <c r="Q6116" t="s">
        <v>53</v>
      </c>
    </row>
    <row r="6117" spans="1:17" x14ac:dyDescent="0.2">
      <c r="A6117" s="30" t="str">
        <f>IF(C6117&amp;G6117&amp;D6117&lt;&gt;'Funnel setup'!$K$3&amp;'Funnel setup'!$K$4&amp;'Funnel setup'!$K$5,".",IF(A6116=".",1,A6116+1))</f>
        <v>.</v>
      </c>
      <c r="B6117" s="431" t="str">
        <f t="shared" si="95"/>
        <v>Knee Replacement RevisionProviderBMI WOODLANDS HOSPITAL (NT457)Oxford Knee Score</v>
      </c>
      <c r="C6117" t="s">
        <v>250</v>
      </c>
      <c r="D6117" t="s">
        <v>1</v>
      </c>
      <c r="E6117" t="s">
        <v>3355</v>
      </c>
      <c r="F6117" t="s">
        <v>3356</v>
      </c>
      <c r="G6117" t="s">
        <v>16</v>
      </c>
      <c r="H6117" t="s">
        <v>53</v>
      </c>
      <c r="I6117" t="s">
        <v>53</v>
      </c>
      <c r="J6117" t="s">
        <v>53</v>
      </c>
      <c r="K6117" t="s">
        <v>53</v>
      </c>
      <c r="L6117" t="s">
        <v>53</v>
      </c>
      <c r="M6117" t="s">
        <v>53</v>
      </c>
      <c r="N6117" t="s">
        <v>53</v>
      </c>
      <c r="O6117" t="s">
        <v>53</v>
      </c>
      <c r="P6117" t="s">
        <v>53</v>
      </c>
      <c r="Q6117" t="s">
        <v>53</v>
      </c>
    </row>
    <row r="6118" spans="1:17" x14ac:dyDescent="0.2">
      <c r="A6118" s="30" t="str">
        <f>IF(C6118&amp;G6118&amp;D6118&lt;&gt;'Funnel setup'!$K$3&amp;'Funnel setup'!$K$4&amp;'Funnel setup'!$K$5,".",IF(A6117=".",1,A6117+1))</f>
        <v>.</v>
      </c>
      <c r="B6118" s="431" t="str">
        <f t="shared" si="95"/>
        <v>Knee Replacement RevisionProviderBOLTON NHS FOUNDATION TRUST (RMC)Oxford Knee Score</v>
      </c>
      <c r="C6118" t="s">
        <v>250</v>
      </c>
      <c r="D6118" t="s">
        <v>1</v>
      </c>
      <c r="E6118" t="s">
        <v>3358</v>
      </c>
      <c r="F6118" t="s">
        <v>3359</v>
      </c>
      <c r="G6118" t="s">
        <v>16</v>
      </c>
      <c r="H6118">
        <v>9</v>
      </c>
      <c r="I6118">
        <v>12.333</v>
      </c>
      <c r="J6118">
        <v>24.222000000000001</v>
      </c>
      <c r="K6118">
        <v>11.888999999999999</v>
      </c>
      <c r="L6118">
        <v>6</v>
      </c>
      <c r="M6118">
        <v>2</v>
      </c>
      <c r="N6118">
        <v>1</v>
      </c>
      <c r="O6118" t="s">
        <v>53</v>
      </c>
      <c r="P6118" t="s">
        <v>53</v>
      </c>
      <c r="Q6118" t="s">
        <v>53</v>
      </c>
    </row>
    <row r="6119" spans="1:17" x14ac:dyDescent="0.2">
      <c r="A6119" s="30" t="str">
        <f>IF(C6119&amp;G6119&amp;D6119&lt;&gt;'Funnel setup'!$K$3&amp;'Funnel setup'!$K$4&amp;'Funnel setup'!$K$5,".",IF(A6118=".",1,A6118+1))</f>
        <v>.</v>
      </c>
      <c r="B6119" s="431" t="str">
        <f t="shared" si="95"/>
        <v>Knee Replacement RevisionProviderBRADFORD TEACHING HOSPITALS NHS FOUNDATION TRUST (RAE)Oxford Knee Score</v>
      </c>
      <c r="C6119" t="s">
        <v>250</v>
      </c>
      <c r="D6119" t="s">
        <v>1</v>
      </c>
      <c r="E6119" t="s">
        <v>3361</v>
      </c>
      <c r="F6119" t="s">
        <v>3362</v>
      </c>
      <c r="G6119" t="s">
        <v>16</v>
      </c>
      <c r="H6119">
        <v>12</v>
      </c>
      <c r="I6119">
        <v>13.417</v>
      </c>
      <c r="J6119">
        <v>22.25</v>
      </c>
      <c r="K6119">
        <v>8.8330000000000002</v>
      </c>
      <c r="L6119">
        <v>9</v>
      </c>
      <c r="M6119">
        <v>0</v>
      </c>
      <c r="N6119">
        <v>3</v>
      </c>
      <c r="O6119" t="s">
        <v>53</v>
      </c>
      <c r="P6119" t="s">
        <v>53</v>
      </c>
      <c r="Q6119" t="s">
        <v>53</v>
      </c>
    </row>
    <row r="6120" spans="1:17" x14ac:dyDescent="0.2">
      <c r="A6120" s="30" t="str">
        <f>IF(C6120&amp;G6120&amp;D6120&lt;&gt;'Funnel setup'!$K$3&amp;'Funnel setup'!$K$4&amp;'Funnel setup'!$K$5,".",IF(A6119=".",1,A6119+1))</f>
        <v>.</v>
      </c>
      <c r="B6120" s="431" t="str">
        <f t="shared" si="95"/>
        <v>Knee Replacement RevisionProviderBRIGHTON AND SUSSEX UNIVERSITY HOSPITALS NHS TRUST (RXH)Oxford Knee Score</v>
      </c>
      <c r="C6120" t="s">
        <v>250</v>
      </c>
      <c r="D6120" t="s">
        <v>1</v>
      </c>
      <c r="E6120" t="s">
        <v>3367</v>
      </c>
      <c r="F6120" t="s">
        <v>3368</v>
      </c>
      <c r="G6120" t="s">
        <v>16</v>
      </c>
      <c r="H6120">
        <v>19</v>
      </c>
      <c r="I6120">
        <v>15.420999999999999</v>
      </c>
      <c r="J6120">
        <v>21.946999999999999</v>
      </c>
      <c r="K6120">
        <v>6.5259999999999998</v>
      </c>
      <c r="L6120">
        <v>16</v>
      </c>
      <c r="M6120">
        <v>1</v>
      </c>
      <c r="N6120">
        <v>2</v>
      </c>
      <c r="O6120" t="s">
        <v>53</v>
      </c>
      <c r="P6120" t="s">
        <v>53</v>
      </c>
      <c r="Q6120" t="s">
        <v>53</v>
      </c>
    </row>
    <row r="6121" spans="1:17" x14ac:dyDescent="0.2">
      <c r="A6121" s="30" t="str">
        <f>IF(C6121&amp;G6121&amp;D6121&lt;&gt;'Funnel setup'!$K$3&amp;'Funnel setup'!$K$4&amp;'Funnel setup'!$K$5,".",IF(A6120=".",1,A6120+1))</f>
        <v>.</v>
      </c>
      <c r="B6121" s="431" t="str">
        <f t="shared" si="95"/>
        <v>Knee Replacement RevisionProviderBUCKINGHAMSHIRE HEALTHCARE NHS TRUST (RXQ)Oxford Knee Score</v>
      </c>
      <c r="C6121" t="s">
        <v>250</v>
      </c>
      <c r="D6121" t="s">
        <v>1</v>
      </c>
      <c r="E6121" t="s">
        <v>3370</v>
      </c>
      <c r="F6121" t="s">
        <v>3371</v>
      </c>
      <c r="G6121" t="s">
        <v>16</v>
      </c>
      <c r="H6121" t="s">
        <v>53</v>
      </c>
      <c r="I6121" t="s">
        <v>53</v>
      </c>
      <c r="J6121" t="s">
        <v>53</v>
      </c>
      <c r="K6121" t="s">
        <v>53</v>
      </c>
      <c r="L6121" t="s">
        <v>53</v>
      </c>
      <c r="M6121" t="s">
        <v>53</v>
      </c>
      <c r="N6121" t="s">
        <v>53</v>
      </c>
      <c r="O6121" t="s">
        <v>53</v>
      </c>
      <c r="P6121" t="s">
        <v>53</v>
      </c>
      <c r="Q6121" t="s">
        <v>53</v>
      </c>
    </row>
    <row r="6122" spans="1:17" x14ac:dyDescent="0.2">
      <c r="A6122" s="30" t="str">
        <f>IF(C6122&amp;G6122&amp;D6122&lt;&gt;'Funnel setup'!$K$3&amp;'Funnel setup'!$K$4&amp;'Funnel setup'!$K$5,".",IF(A6121=".",1,A6121+1))</f>
        <v>.</v>
      </c>
      <c r="B6122" s="431" t="str">
        <f t="shared" si="95"/>
        <v>Knee Replacement RevisionProviderBURTON HOSPITALS NHS FOUNDATION TRUST (RJF)Oxford Knee Score</v>
      </c>
      <c r="C6122" t="s">
        <v>250</v>
      </c>
      <c r="D6122" t="s">
        <v>1</v>
      </c>
      <c r="E6122" t="s">
        <v>3373</v>
      </c>
      <c r="F6122" t="s">
        <v>3374</v>
      </c>
      <c r="G6122" t="s">
        <v>16</v>
      </c>
      <c r="H6122" t="s">
        <v>53</v>
      </c>
      <c r="I6122" t="s">
        <v>53</v>
      </c>
      <c r="J6122" t="s">
        <v>53</v>
      </c>
      <c r="K6122" t="s">
        <v>53</v>
      </c>
      <c r="L6122" t="s">
        <v>53</v>
      </c>
      <c r="M6122" t="s">
        <v>53</v>
      </c>
      <c r="N6122" t="s">
        <v>53</v>
      </c>
      <c r="O6122" t="s">
        <v>53</v>
      </c>
      <c r="P6122" t="s">
        <v>53</v>
      </c>
      <c r="Q6122" t="s">
        <v>53</v>
      </c>
    </row>
    <row r="6123" spans="1:17" x14ac:dyDescent="0.2">
      <c r="A6123" s="30" t="str">
        <f>IF(C6123&amp;G6123&amp;D6123&lt;&gt;'Funnel setup'!$K$3&amp;'Funnel setup'!$K$4&amp;'Funnel setup'!$K$5,".",IF(A6122=".",1,A6122+1))</f>
        <v>.</v>
      </c>
      <c r="B6123" s="431" t="str">
        <f t="shared" si="95"/>
        <v>Knee Replacement RevisionProviderCALDERDALE AND HUDDERSFIELD NHS FOUNDATION TRUST (RWY)Oxford Knee Score</v>
      </c>
      <c r="C6123" t="s">
        <v>250</v>
      </c>
      <c r="D6123" t="s">
        <v>1</v>
      </c>
      <c r="E6123" t="s">
        <v>3379</v>
      </c>
      <c r="F6123" t="s">
        <v>3380</v>
      </c>
      <c r="G6123" t="s">
        <v>16</v>
      </c>
      <c r="H6123">
        <v>12</v>
      </c>
      <c r="I6123">
        <v>19</v>
      </c>
      <c r="J6123">
        <v>31.582999999999998</v>
      </c>
      <c r="K6123">
        <v>12.583</v>
      </c>
      <c r="L6123">
        <v>10</v>
      </c>
      <c r="M6123">
        <v>0</v>
      </c>
      <c r="N6123">
        <v>2</v>
      </c>
      <c r="O6123" t="s">
        <v>53</v>
      </c>
      <c r="P6123" t="s">
        <v>53</v>
      </c>
      <c r="Q6123" t="s">
        <v>53</v>
      </c>
    </row>
    <row r="6124" spans="1:17" x14ac:dyDescent="0.2">
      <c r="A6124" s="30" t="str">
        <f>IF(C6124&amp;G6124&amp;D6124&lt;&gt;'Funnel setup'!$K$3&amp;'Funnel setup'!$K$4&amp;'Funnel setup'!$K$5,".",IF(A6123=".",1,A6123+1))</f>
        <v>.</v>
      </c>
      <c r="B6124" s="431" t="str">
        <f t="shared" si="95"/>
        <v>Knee Replacement RevisionProviderCAMBRIDGE UNIVERSITY HOSPITALS NHS FOUNDATION TRUST (RGT)Oxford Knee Score</v>
      </c>
      <c r="C6124" t="s">
        <v>250</v>
      </c>
      <c r="D6124" t="s">
        <v>1</v>
      </c>
      <c r="E6124" t="s">
        <v>3076</v>
      </c>
      <c r="F6124" t="s">
        <v>3077</v>
      </c>
      <c r="G6124" t="s">
        <v>16</v>
      </c>
      <c r="H6124">
        <v>21</v>
      </c>
      <c r="I6124">
        <v>16.094999999999999</v>
      </c>
      <c r="J6124">
        <v>32</v>
      </c>
      <c r="K6124">
        <v>15.904999999999999</v>
      </c>
      <c r="L6124">
        <v>20</v>
      </c>
      <c r="M6124">
        <v>0</v>
      </c>
      <c r="N6124">
        <v>1</v>
      </c>
      <c r="O6124" t="s">
        <v>53</v>
      </c>
      <c r="P6124" t="s">
        <v>53</v>
      </c>
      <c r="Q6124" t="s">
        <v>53</v>
      </c>
    </row>
    <row r="6125" spans="1:17" x14ac:dyDescent="0.2">
      <c r="A6125" s="30" t="str">
        <f>IF(C6125&amp;G6125&amp;D6125&lt;&gt;'Funnel setup'!$K$3&amp;'Funnel setup'!$K$4&amp;'Funnel setup'!$K$5,".",IF(A6124=".",1,A6124+1))</f>
        <v>.</v>
      </c>
      <c r="B6125" s="431" t="str">
        <f t="shared" si="95"/>
        <v>Knee Replacement RevisionProviderCENTRAL MANCHESTER UNIVERSITY HOSPITALS NHS FOUNDATION TRUST (RW3)Oxford Knee Score</v>
      </c>
      <c r="C6125" t="s">
        <v>250</v>
      </c>
      <c r="D6125" t="s">
        <v>1</v>
      </c>
      <c r="E6125" t="s">
        <v>3079</v>
      </c>
      <c r="F6125" t="s">
        <v>3080</v>
      </c>
      <c r="G6125" t="s">
        <v>16</v>
      </c>
      <c r="H6125" t="s">
        <v>53</v>
      </c>
      <c r="I6125" t="s">
        <v>53</v>
      </c>
      <c r="J6125" t="s">
        <v>53</v>
      </c>
      <c r="K6125" t="s">
        <v>53</v>
      </c>
      <c r="L6125" t="s">
        <v>53</v>
      </c>
      <c r="M6125" t="s">
        <v>53</v>
      </c>
      <c r="N6125" t="s">
        <v>53</v>
      </c>
      <c r="O6125" t="s">
        <v>53</v>
      </c>
      <c r="P6125" t="s">
        <v>53</v>
      </c>
      <c r="Q6125" t="s">
        <v>53</v>
      </c>
    </row>
    <row r="6126" spans="1:17" x14ac:dyDescent="0.2">
      <c r="A6126" s="30" t="str">
        <f>IF(C6126&amp;G6126&amp;D6126&lt;&gt;'Funnel setup'!$K$3&amp;'Funnel setup'!$K$4&amp;'Funnel setup'!$K$5,".",IF(A6125=".",1,A6125+1))</f>
        <v>.</v>
      </c>
      <c r="B6126" s="431" t="str">
        <f t="shared" si="95"/>
        <v>Knee Replacement RevisionProviderCHESTERFIELD ROYAL HOSPITAL NHS FOUNDATION TRUST (RFS)Oxford Knee Score</v>
      </c>
      <c r="C6126" t="s">
        <v>250</v>
      </c>
      <c r="D6126" t="s">
        <v>1</v>
      </c>
      <c r="E6126" t="s">
        <v>3085</v>
      </c>
      <c r="F6126" t="s">
        <v>3086</v>
      </c>
      <c r="G6126" t="s">
        <v>16</v>
      </c>
      <c r="H6126">
        <v>7</v>
      </c>
      <c r="I6126">
        <v>13.714</v>
      </c>
      <c r="J6126">
        <v>24.286000000000001</v>
      </c>
      <c r="K6126">
        <v>10.571</v>
      </c>
      <c r="L6126">
        <v>6</v>
      </c>
      <c r="M6126">
        <v>0</v>
      </c>
      <c r="N6126">
        <v>1</v>
      </c>
      <c r="O6126" t="s">
        <v>53</v>
      </c>
      <c r="P6126" t="s">
        <v>53</v>
      </c>
      <c r="Q6126" t="s">
        <v>53</v>
      </c>
    </row>
    <row r="6127" spans="1:17" x14ac:dyDescent="0.2">
      <c r="A6127" s="30" t="str">
        <f>IF(C6127&amp;G6127&amp;D6127&lt;&gt;'Funnel setup'!$K$3&amp;'Funnel setup'!$K$4&amp;'Funnel setup'!$K$5,".",IF(A6126=".",1,A6126+1))</f>
        <v>.</v>
      </c>
      <c r="B6127" s="431" t="str">
        <f t="shared" si="95"/>
        <v>Knee Replacement RevisionProviderCIRCLE BATH HOSPITAL (NV302)Oxford Knee Score</v>
      </c>
      <c r="C6127" t="s">
        <v>250</v>
      </c>
      <c r="D6127" t="s">
        <v>1</v>
      </c>
      <c r="E6127" t="s">
        <v>3097</v>
      </c>
      <c r="F6127" t="s">
        <v>3098</v>
      </c>
      <c r="G6127" t="s">
        <v>16</v>
      </c>
      <c r="H6127" t="s">
        <v>53</v>
      </c>
      <c r="I6127" t="s">
        <v>53</v>
      </c>
      <c r="J6127" t="s">
        <v>53</v>
      </c>
      <c r="K6127" t="s">
        <v>53</v>
      </c>
      <c r="L6127" t="s">
        <v>53</v>
      </c>
      <c r="M6127" t="s">
        <v>53</v>
      </c>
      <c r="N6127" t="s">
        <v>53</v>
      </c>
      <c r="O6127" t="s">
        <v>53</v>
      </c>
      <c r="P6127" t="s">
        <v>53</v>
      </c>
      <c r="Q6127" t="s">
        <v>53</v>
      </c>
    </row>
    <row r="6128" spans="1:17" x14ac:dyDescent="0.2">
      <c r="A6128" s="30" t="str">
        <f>IF(C6128&amp;G6128&amp;D6128&lt;&gt;'Funnel setup'!$K$3&amp;'Funnel setup'!$K$4&amp;'Funnel setup'!$K$5,".",IF(A6127=".",1,A6127+1))</f>
        <v>.</v>
      </c>
      <c r="B6128" s="431" t="str">
        <f t="shared" si="95"/>
        <v>Knee Replacement RevisionProviderCITY HOSPITALS SUNDERLAND NHS FOUNDATION TRUST (RLN)Oxford Knee Score</v>
      </c>
      <c r="C6128" t="s">
        <v>250</v>
      </c>
      <c r="D6128" t="s">
        <v>1</v>
      </c>
      <c r="E6128" t="s">
        <v>3100</v>
      </c>
      <c r="F6128" t="s">
        <v>3101</v>
      </c>
      <c r="G6128" t="s">
        <v>16</v>
      </c>
      <c r="H6128">
        <v>9</v>
      </c>
      <c r="I6128">
        <v>13.444000000000001</v>
      </c>
      <c r="J6128">
        <v>29.222000000000001</v>
      </c>
      <c r="K6128">
        <v>15.778</v>
      </c>
      <c r="L6128">
        <v>8</v>
      </c>
      <c r="M6128">
        <v>0</v>
      </c>
      <c r="N6128">
        <v>1</v>
      </c>
      <c r="O6128" t="s">
        <v>53</v>
      </c>
      <c r="P6128" t="s">
        <v>53</v>
      </c>
      <c r="Q6128" t="s">
        <v>53</v>
      </c>
    </row>
    <row r="6129" spans="1:17" x14ac:dyDescent="0.2">
      <c r="A6129" s="30" t="str">
        <f>IF(C6129&amp;G6129&amp;D6129&lt;&gt;'Funnel setup'!$K$3&amp;'Funnel setup'!$K$4&amp;'Funnel setup'!$K$5,".",IF(A6128=".",1,A6128+1))</f>
        <v>.</v>
      </c>
      <c r="B6129" s="431" t="str">
        <f t="shared" si="95"/>
        <v>Knee Replacement RevisionProviderCLIFTON PARK HOSPITAL (NVC28)Oxford Knee Score</v>
      </c>
      <c r="C6129" t="s">
        <v>250</v>
      </c>
      <c r="D6129" t="s">
        <v>1</v>
      </c>
      <c r="E6129" t="s">
        <v>4229</v>
      </c>
      <c r="F6129" t="s">
        <v>4230</v>
      </c>
      <c r="G6129" t="s">
        <v>16</v>
      </c>
      <c r="H6129">
        <v>10</v>
      </c>
      <c r="I6129">
        <v>19.5</v>
      </c>
      <c r="J6129">
        <v>30.2</v>
      </c>
      <c r="K6129">
        <v>10.7</v>
      </c>
      <c r="L6129">
        <v>8</v>
      </c>
      <c r="M6129">
        <v>0</v>
      </c>
      <c r="N6129">
        <v>2</v>
      </c>
      <c r="O6129" t="s">
        <v>53</v>
      </c>
      <c r="P6129" t="s">
        <v>53</v>
      </c>
      <c r="Q6129" t="s">
        <v>53</v>
      </c>
    </row>
    <row r="6130" spans="1:17" x14ac:dyDescent="0.2">
      <c r="A6130" s="30" t="str">
        <f>IF(C6130&amp;G6130&amp;D6130&lt;&gt;'Funnel setup'!$K$3&amp;'Funnel setup'!$K$4&amp;'Funnel setup'!$K$5,".",IF(A6129=".",1,A6129+1))</f>
        <v>.</v>
      </c>
      <c r="B6130" s="431" t="str">
        <f t="shared" si="95"/>
        <v>Knee Replacement RevisionProviderCOLCHESTER HOSPITAL UNIVERSITY NHS FOUNDATION TRUST (RDE)Oxford Knee Score</v>
      </c>
      <c r="C6130" t="s">
        <v>250</v>
      </c>
      <c r="D6130" t="s">
        <v>1</v>
      </c>
      <c r="E6130" t="s">
        <v>3109</v>
      </c>
      <c r="F6130" t="s">
        <v>3110</v>
      </c>
      <c r="G6130" t="s">
        <v>16</v>
      </c>
      <c r="H6130">
        <v>9</v>
      </c>
      <c r="I6130">
        <v>18.111000000000001</v>
      </c>
      <c r="J6130">
        <v>27.556000000000001</v>
      </c>
      <c r="K6130">
        <v>9.4440000000000008</v>
      </c>
      <c r="L6130">
        <v>7</v>
      </c>
      <c r="M6130">
        <v>0</v>
      </c>
      <c r="N6130">
        <v>2</v>
      </c>
      <c r="O6130" t="s">
        <v>53</v>
      </c>
      <c r="P6130" t="s">
        <v>53</v>
      </c>
      <c r="Q6130" t="s">
        <v>53</v>
      </c>
    </row>
    <row r="6131" spans="1:17" x14ac:dyDescent="0.2">
      <c r="A6131" s="30" t="str">
        <f>IF(C6131&amp;G6131&amp;D6131&lt;&gt;'Funnel setup'!$K$3&amp;'Funnel setup'!$K$4&amp;'Funnel setup'!$K$5,".",IF(A6130=".",1,A6130+1))</f>
        <v>.</v>
      </c>
      <c r="B6131" s="431" t="str">
        <f t="shared" si="95"/>
        <v>Knee Replacement RevisionProviderCOUNTESS OF CHESTER HOSPITAL NHS FOUNDATION TRUST (RJR)Oxford Knee Score</v>
      </c>
      <c r="C6131" t="s">
        <v>250</v>
      </c>
      <c r="D6131" t="s">
        <v>1</v>
      </c>
      <c r="E6131" t="s">
        <v>3781</v>
      </c>
      <c r="F6131" t="s">
        <v>3782</v>
      </c>
      <c r="G6131" t="s">
        <v>16</v>
      </c>
      <c r="H6131" t="s">
        <v>53</v>
      </c>
      <c r="I6131" t="s">
        <v>53</v>
      </c>
      <c r="J6131" t="s">
        <v>53</v>
      </c>
      <c r="K6131" t="s">
        <v>53</v>
      </c>
      <c r="L6131" t="s">
        <v>53</v>
      </c>
      <c r="M6131" t="s">
        <v>53</v>
      </c>
      <c r="N6131" t="s">
        <v>53</v>
      </c>
      <c r="O6131" t="s">
        <v>53</v>
      </c>
      <c r="P6131" t="s">
        <v>53</v>
      </c>
      <c r="Q6131" t="s">
        <v>53</v>
      </c>
    </row>
    <row r="6132" spans="1:17" x14ac:dyDescent="0.2">
      <c r="A6132" s="30" t="str">
        <f>IF(C6132&amp;G6132&amp;D6132&lt;&gt;'Funnel setup'!$K$3&amp;'Funnel setup'!$K$4&amp;'Funnel setup'!$K$5,".",IF(A6131=".",1,A6131+1))</f>
        <v>.</v>
      </c>
      <c r="B6132" s="431" t="str">
        <f t="shared" si="95"/>
        <v>Knee Replacement RevisionProviderCOUNTY DURHAM AND DARLINGTON NHS FOUNDATION TRUST (RXP)Oxford Knee Score</v>
      </c>
      <c r="C6132" t="s">
        <v>250</v>
      </c>
      <c r="D6132" t="s">
        <v>1</v>
      </c>
      <c r="E6132" t="s">
        <v>3784</v>
      </c>
      <c r="F6132" t="s">
        <v>3785</v>
      </c>
      <c r="G6132" t="s">
        <v>16</v>
      </c>
      <c r="H6132">
        <v>8</v>
      </c>
      <c r="I6132">
        <v>15.625</v>
      </c>
      <c r="J6132">
        <v>29.25</v>
      </c>
      <c r="K6132">
        <v>13.625</v>
      </c>
      <c r="L6132">
        <v>7</v>
      </c>
      <c r="M6132">
        <v>0</v>
      </c>
      <c r="N6132">
        <v>1</v>
      </c>
      <c r="O6132" t="s">
        <v>53</v>
      </c>
      <c r="P6132" t="s">
        <v>53</v>
      </c>
      <c r="Q6132" t="s">
        <v>53</v>
      </c>
    </row>
    <row r="6133" spans="1:17" x14ac:dyDescent="0.2">
      <c r="A6133" s="30" t="str">
        <f>IF(C6133&amp;G6133&amp;D6133&lt;&gt;'Funnel setup'!$K$3&amp;'Funnel setup'!$K$4&amp;'Funnel setup'!$K$5,".",IF(A6132=".",1,A6132+1))</f>
        <v>.</v>
      </c>
      <c r="B6133" s="431" t="str">
        <f t="shared" si="95"/>
        <v>Knee Replacement RevisionProviderDARTFORD AND GRAVESHAM NHS TRUST (RN7)Oxford Knee Score</v>
      </c>
      <c r="C6133" t="s">
        <v>250</v>
      </c>
      <c r="D6133" t="s">
        <v>1</v>
      </c>
      <c r="E6133" t="s">
        <v>3787</v>
      </c>
      <c r="F6133" t="s">
        <v>3788</v>
      </c>
      <c r="G6133" t="s">
        <v>16</v>
      </c>
      <c r="H6133" t="s">
        <v>53</v>
      </c>
      <c r="I6133" t="s">
        <v>53</v>
      </c>
      <c r="J6133" t="s">
        <v>53</v>
      </c>
      <c r="K6133" t="s">
        <v>53</v>
      </c>
      <c r="L6133" t="s">
        <v>53</v>
      </c>
      <c r="M6133" t="s">
        <v>53</v>
      </c>
      <c r="N6133" t="s">
        <v>53</v>
      </c>
      <c r="O6133" t="s">
        <v>53</v>
      </c>
      <c r="P6133" t="s">
        <v>53</v>
      </c>
      <c r="Q6133" t="s">
        <v>53</v>
      </c>
    </row>
    <row r="6134" spans="1:17" x14ac:dyDescent="0.2">
      <c r="A6134" s="30" t="str">
        <f>IF(C6134&amp;G6134&amp;D6134&lt;&gt;'Funnel setup'!$K$3&amp;'Funnel setup'!$K$4&amp;'Funnel setup'!$K$5,".",IF(A6133=".",1,A6133+1))</f>
        <v>.</v>
      </c>
      <c r="B6134" s="431" t="str">
        <f t="shared" si="95"/>
        <v>Knee Replacement RevisionProviderDERBY TEACHING HOSPITALS NHS FOUNDATION TRUST (RTG)Oxford Knee Score</v>
      </c>
      <c r="C6134" t="s">
        <v>250</v>
      </c>
      <c r="D6134" t="s">
        <v>1</v>
      </c>
      <c r="E6134" t="s">
        <v>3790</v>
      </c>
      <c r="F6134" t="s">
        <v>3791</v>
      </c>
      <c r="G6134" t="s">
        <v>16</v>
      </c>
      <c r="H6134">
        <v>15</v>
      </c>
      <c r="I6134">
        <v>18.266999999999999</v>
      </c>
      <c r="J6134">
        <v>26.6</v>
      </c>
      <c r="K6134">
        <v>8.3330000000000002</v>
      </c>
      <c r="L6134">
        <v>11</v>
      </c>
      <c r="M6134">
        <v>0</v>
      </c>
      <c r="N6134">
        <v>4</v>
      </c>
      <c r="O6134" t="s">
        <v>53</v>
      </c>
      <c r="P6134" t="s">
        <v>53</v>
      </c>
      <c r="Q6134" t="s">
        <v>53</v>
      </c>
    </row>
    <row r="6135" spans="1:17" x14ac:dyDescent="0.2">
      <c r="A6135" s="30" t="str">
        <f>IF(C6135&amp;G6135&amp;D6135&lt;&gt;'Funnel setup'!$K$3&amp;'Funnel setup'!$K$4&amp;'Funnel setup'!$K$5,".",IF(A6134=".",1,A6134+1))</f>
        <v>.</v>
      </c>
      <c r="B6135" s="431" t="str">
        <f t="shared" si="95"/>
        <v>Knee Replacement RevisionProviderDONCASTER AND BASSETLAW HOSPITALS NHS FOUNDATION TRUST (RP5)Oxford Knee Score</v>
      </c>
      <c r="C6135" t="s">
        <v>250</v>
      </c>
      <c r="D6135" t="s">
        <v>1</v>
      </c>
      <c r="E6135" t="s">
        <v>3799</v>
      </c>
      <c r="F6135" t="s">
        <v>3800</v>
      </c>
      <c r="G6135" t="s">
        <v>16</v>
      </c>
      <c r="H6135">
        <v>26</v>
      </c>
      <c r="I6135">
        <v>13.154</v>
      </c>
      <c r="J6135">
        <v>23.385000000000002</v>
      </c>
      <c r="K6135">
        <v>10.231</v>
      </c>
      <c r="L6135">
        <v>21</v>
      </c>
      <c r="M6135">
        <v>1</v>
      </c>
      <c r="N6135">
        <v>4</v>
      </c>
      <c r="O6135" t="s">
        <v>53</v>
      </c>
      <c r="P6135" t="s">
        <v>53</v>
      </c>
      <c r="Q6135" t="s">
        <v>53</v>
      </c>
    </row>
    <row r="6136" spans="1:17" x14ac:dyDescent="0.2">
      <c r="A6136" s="30" t="str">
        <f>IF(C6136&amp;G6136&amp;D6136&lt;&gt;'Funnel setup'!$K$3&amp;'Funnel setup'!$K$4&amp;'Funnel setup'!$K$5,".",IF(A6135=".",1,A6135+1))</f>
        <v>.</v>
      </c>
      <c r="B6136" s="431" t="str">
        <f t="shared" si="95"/>
        <v>Knee Replacement RevisionProviderDORSET COUNTY HOSPITAL NHS FOUNDATION TRUST (RBD)Oxford Knee Score</v>
      </c>
      <c r="C6136" t="s">
        <v>250</v>
      </c>
      <c r="D6136" t="s">
        <v>1</v>
      </c>
      <c r="E6136" t="s">
        <v>3802</v>
      </c>
      <c r="F6136" t="s">
        <v>3803</v>
      </c>
      <c r="G6136" t="s">
        <v>16</v>
      </c>
      <c r="H6136">
        <v>8</v>
      </c>
      <c r="I6136">
        <v>11.875</v>
      </c>
      <c r="J6136">
        <v>26.5</v>
      </c>
      <c r="K6136">
        <v>14.625</v>
      </c>
      <c r="L6136">
        <v>7</v>
      </c>
      <c r="M6136">
        <v>0</v>
      </c>
      <c r="N6136">
        <v>1</v>
      </c>
      <c r="O6136" t="s">
        <v>53</v>
      </c>
      <c r="P6136" t="s">
        <v>53</v>
      </c>
      <c r="Q6136" t="s">
        <v>53</v>
      </c>
    </row>
    <row r="6137" spans="1:17" x14ac:dyDescent="0.2">
      <c r="A6137" s="30" t="str">
        <f>IF(C6137&amp;G6137&amp;D6137&lt;&gt;'Funnel setup'!$K$3&amp;'Funnel setup'!$K$4&amp;'Funnel setup'!$K$5,".",IF(A6136=".",1,A6136+1))</f>
        <v>.</v>
      </c>
      <c r="B6137" s="431" t="str">
        <f t="shared" si="95"/>
        <v>Knee Replacement RevisionProviderDUCHY HOSPITAL (NVC04)Oxford Knee Score</v>
      </c>
      <c r="C6137" t="s">
        <v>250</v>
      </c>
      <c r="D6137" t="s">
        <v>1</v>
      </c>
      <c r="E6137" t="s">
        <v>4518</v>
      </c>
      <c r="F6137" t="s">
        <v>4519</v>
      </c>
      <c r="G6137" t="s">
        <v>16</v>
      </c>
      <c r="H6137">
        <v>9</v>
      </c>
      <c r="I6137">
        <v>20.888999999999999</v>
      </c>
      <c r="J6137">
        <v>33.444000000000003</v>
      </c>
      <c r="K6137">
        <v>12.555999999999999</v>
      </c>
      <c r="L6137">
        <v>8</v>
      </c>
      <c r="M6137">
        <v>0</v>
      </c>
      <c r="N6137">
        <v>1</v>
      </c>
      <c r="O6137" t="s">
        <v>53</v>
      </c>
      <c r="P6137" t="s">
        <v>53</v>
      </c>
      <c r="Q6137" t="s">
        <v>53</v>
      </c>
    </row>
    <row r="6138" spans="1:17" x14ac:dyDescent="0.2">
      <c r="A6138" s="30" t="str">
        <f>IF(C6138&amp;G6138&amp;D6138&lt;&gt;'Funnel setup'!$K$3&amp;'Funnel setup'!$K$4&amp;'Funnel setup'!$K$5,".",IF(A6137=".",1,A6137+1))</f>
        <v>.</v>
      </c>
      <c r="B6138" s="431" t="str">
        <f t="shared" si="95"/>
        <v>Knee Replacement RevisionProviderEAST AND NORTH HERTFORDSHIRE NHS TRUST (RWH)Oxford Knee Score</v>
      </c>
      <c r="C6138" t="s">
        <v>250</v>
      </c>
      <c r="D6138" t="s">
        <v>1</v>
      </c>
      <c r="E6138" t="s">
        <v>3814</v>
      </c>
      <c r="F6138" t="s">
        <v>3815</v>
      </c>
      <c r="G6138" t="s">
        <v>16</v>
      </c>
      <c r="H6138">
        <v>10</v>
      </c>
      <c r="I6138">
        <v>17.3</v>
      </c>
      <c r="J6138">
        <v>31.9</v>
      </c>
      <c r="K6138">
        <v>14.6</v>
      </c>
      <c r="L6138">
        <v>10</v>
      </c>
      <c r="M6138">
        <v>0</v>
      </c>
      <c r="N6138">
        <v>0</v>
      </c>
      <c r="O6138" t="s">
        <v>53</v>
      </c>
      <c r="P6138" t="s">
        <v>53</v>
      </c>
      <c r="Q6138" t="s">
        <v>53</v>
      </c>
    </row>
    <row r="6139" spans="1:17" x14ac:dyDescent="0.2">
      <c r="A6139" s="30" t="str">
        <f>IF(C6139&amp;G6139&amp;D6139&lt;&gt;'Funnel setup'!$K$3&amp;'Funnel setup'!$K$4&amp;'Funnel setup'!$K$5,".",IF(A6138=".",1,A6138+1))</f>
        <v>.</v>
      </c>
      <c r="B6139" s="431" t="str">
        <f t="shared" si="95"/>
        <v>Knee Replacement RevisionProviderEAST CHESHIRE NHS TRUST (RJN)Oxford Knee Score</v>
      </c>
      <c r="C6139" t="s">
        <v>250</v>
      </c>
      <c r="D6139" t="s">
        <v>1</v>
      </c>
      <c r="E6139" t="s">
        <v>3817</v>
      </c>
      <c r="F6139" t="s">
        <v>3818</v>
      </c>
      <c r="G6139" t="s">
        <v>16</v>
      </c>
      <c r="H6139" t="s">
        <v>53</v>
      </c>
      <c r="I6139" t="s">
        <v>53</v>
      </c>
      <c r="J6139" t="s">
        <v>53</v>
      </c>
      <c r="K6139" t="s">
        <v>53</v>
      </c>
      <c r="L6139" t="s">
        <v>53</v>
      </c>
      <c r="M6139" t="s">
        <v>53</v>
      </c>
      <c r="N6139" t="s">
        <v>53</v>
      </c>
      <c r="O6139" t="s">
        <v>53</v>
      </c>
      <c r="P6139" t="s">
        <v>53</v>
      </c>
      <c r="Q6139" t="s">
        <v>53</v>
      </c>
    </row>
    <row r="6140" spans="1:17" x14ac:dyDescent="0.2">
      <c r="A6140" s="30" t="str">
        <f>IF(C6140&amp;G6140&amp;D6140&lt;&gt;'Funnel setup'!$K$3&amp;'Funnel setup'!$K$4&amp;'Funnel setup'!$K$5,".",IF(A6139=".",1,A6139+1))</f>
        <v>.</v>
      </c>
      <c r="B6140" s="431" t="str">
        <f t="shared" si="95"/>
        <v>Knee Replacement RevisionProviderEAST KENT HOSPITALS UNIVERSITY NHS FOUNDATION TRUST (RVV)Oxford Knee Score</v>
      </c>
      <c r="C6140" t="s">
        <v>250</v>
      </c>
      <c r="D6140" t="s">
        <v>1</v>
      </c>
      <c r="E6140" t="s">
        <v>3820</v>
      </c>
      <c r="F6140" t="s">
        <v>3821</v>
      </c>
      <c r="G6140" t="s">
        <v>16</v>
      </c>
      <c r="H6140">
        <v>24</v>
      </c>
      <c r="I6140">
        <v>16.832999999999998</v>
      </c>
      <c r="J6140">
        <v>31.792000000000002</v>
      </c>
      <c r="K6140">
        <v>14.958</v>
      </c>
      <c r="L6140">
        <v>21</v>
      </c>
      <c r="M6140">
        <v>1</v>
      </c>
      <c r="N6140">
        <v>2</v>
      </c>
      <c r="O6140" t="s">
        <v>53</v>
      </c>
      <c r="P6140" t="s">
        <v>53</v>
      </c>
      <c r="Q6140" t="s">
        <v>53</v>
      </c>
    </row>
    <row r="6141" spans="1:17" x14ac:dyDescent="0.2">
      <c r="A6141" s="30" t="str">
        <f>IF(C6141&amp;G6141&amp;D6141&lt;&gt;'Funnel setup'!$K$3&amp;'Funnel setup'!$K$4&amp;'Funnel setup'!$K$5,".",IF(A6140=".",1,A6140+1))</f>
        <v>.</v>
      </c>
      <c r="B6141" s="431" t="str">
        <f t="shared" si="95"/>
        <v>Knee Replacement RevisionProviderEAST LANCASHIRE HOSPITALS NHS TRUST (RXR)Oxford Knee Score</v>
      </c>
      <c r="C6141" t="s">
        <v>250</v>
      </c>
      <c r="D6141" t="s">
        <v>1</v>
      </c>
      <c r="E6141" t="s">
        <v>3823</v>
      </c>
      <c r="F6141" t="s">
        <v>3824</v>
      </c>
      <c r="G6141" t="s">
        <v>16</v>
      </c>
      <c r="H6141" t="s">
        <v>53</v>
      </c>
      <c r="I6141" t="s">
        <v>53</v>
      </c>
      <c r="J6141" t="s">
        <v>53</v>
      </c>
      <c r="K6141" t="s">
        <v>53</v>
      </c>
      <c r="L6141" t="s">
        <v>53</v>
      </c>
      <c r="M6141" t="s">
        <v>53</v>
      </c>
      <c r="N6141" t="s">
        <v>53</v>
      </c>
      <c r="O6141" t="s">
        <v>53</v>
      </c>
      <c r="P6141" t="s">
        <v>53</v>
      </c>
      <c r="Q6141" t="s">
        <v>53</v>
      </c>
    </row>
    <row r="6142" spans="1:17" x14ac:dyDescent="0.2">
      <c r="A6142" s="30" t="str">
        <f>IF(C6142&amp;G6142&amp;D6142&lt;&gt;'Funnel setup'!$K$3&amp;'Funnel setup'!$K$4&amp;'Funnel setup'!$K$5,".",IF(A6141=".",1,A6141+1))</f>
        <v>.</v>
      </c>
      <c r="B6142" s="431" t="str">
        <f t="shared" si="95"/>
        <v>Knee Replacement RevisionProviderEAST SUSSEX HEALTHCARE NHS TRUST (RXC)Oxford Knee Score</v>
      </c>
      <c r="C6142" t="s">
        <v>250</v>
      </c>
      <c r="D6142" t="s">
        <v>1</v>
      </c>
      <c r="E6142" t="s">
        <v>3826</v>
      </c>
      <c r="F6142" t="s">
        <v>3827</v>
      </c>
      <c r="G6142" t="s">
        <v>16</v>
      </c>
      <c r="H6142">
        <v>25</v>
      </c>
      <c r="I6142">
        <v>17</v>
      </c>
      <c r="J6142">
        <v>30.76</v>
      </c>
      <c r="K6142">
        <v>13.76</v>
      </c>
      <c r="L6142">
        <v>23</v>
      </c>
      <c r="M6142">
        <v>0</v>
      </c>
      <c r="N6142">
        <v>2</v>
      </c>
      <c r="O6142" t="s">
        <v>53</v>
      </c>
      <c r="P6142" t="s">
        <v>53</v>
      </c>
      <c r="Q6142" t="s">
        <v>53</v>
      </c>
    </row>
    <row r="6143" spans="1:17" x14ac:dyDescent="0.2">
      <c r="A6143" s="30" t="str">
        <f>IF(C6143&amp;G6143&amp;D6143&lt;&gt;'Funnel setup'!$K$3&amp;'Funnel setup'!$K$4&amp;'Funnel setup'!$K$5,".",IF(A6142=".",1,A6142+1))</f>
        <v>.</v>
      </c>
      <c r="B6143" s="431" t="str">
        <f t="shared" si="95"/>
        <v>Knee Replacement RevisionProviderEMERSONS GREEN NHS TREATMENT CENTRE (NTPH2)Oxford Knee Score</v>
      </c>
      <c r="C6143" t="s">
        <v>250</v>
      </c>
      <c r="D6143" t="s">
        <v>1</v>
      </c>
      <c r="E6143" t="s">
        <v>3829</v>
      </c>
      <c r="F6143" t="s">
        <v>3830</v>
      </c>
      <c r="G6143" t="s">
        <v>16</v>
      </c>
      <c r="H6143">
        <v>6</v>
      </c>
      <c r="I6143">
        <v>17</v>
      </c>
      <c r="J6143">
        <v>20.832999999999998</v>
      </c>
      <c r="K6143">
        <v>3.8330000000000002</v>
      </c>
      <c r="L6143">
        <v>4</v>
      </c>
      <c r="M6143">
        <v>0</v>
      </c>
      <c r="N6143">
        <v>2</v>
      </c>
      <c r="O6143" t="s">
        <v>53</v>
      </c>
      <c r="P6143" t="s">
        <v>53</v>
      </c>
      <c r="Q6143" t="s">
        <v>53</v>
      </c>
    </row>
    <row r="6144" spans="1:17" x14ac:dyDescent="0.2">
      <c r="A6144" s="30" t="str">
        <f>IF(C6144&amp;G6144&amp;D6144&lt;&gt;'Funnel setup'!$K$3&amp;'Funnel setup'!$K$4&amp;'Funnel setup'!$K$5,".",IF(A6143=".",1,A6143+1))</f>
        <v>.</v>
      </c>
      <c r="B6144" s="431" t="str">
        <f t="shared" si="95"/>
        <v>Knee Replacement RevisionProviderEPSOM AND ST HELIER UNIVERSITY HOSPITALS NHS TRUST (RVR)Oxford Knee Score</v>
      </c>
      <c r="C6144" t="s">
        <v>250</v>
      </c>
      <c r="D6144" t="s">
        <v>1</v>
      </c>
      <c r="E6144" t="s">
        <v>3849</v>
      </c>
      <c r="F6144" t="s">
        <v>3850</v>
      </c>
      <c r="G6144" t="s">
        <v>16</v>
      </c>
      <c r="H6144">
        <v>12</v>
      </c>
      <c r="I6144">
        <v>17.917000000000002</v>
      </c>
      <c r="J6144">
        <v>33.332999999999998</v>
      </c>
      <c r="K6144">
        <v>15.417</v>
      </c>
      <c r="L6144">
        <v>12</v>
      </c>
      <c r="M6144">
        <v>0</v>
      </c>
      <c r="N6144">
        <v>0</v>
      </c>
      <c r="O6144" t="s">
        <v>53</v>
      </c>
      <c r="P6144" t="s">
        <v>53</v>
      </c>
      <c r="Q6144" t="s">
        <v>53</v>
      </c>
    </row>
    <row r="6145" spans="1:17" x14ac:dyDescent="0.2">
      <c r="A6145" s="30" t="str">
        <f>IF(C6145&amp;G6145&amp;D6145&lt;&gt;'Funnel setup'!$K$3&amp;'Funnel setup'!$K$4&amp;'Funnel setup'!$K$5,".",IF(A6144=".",1,A6144+1))</f>
        <v>.</v>
      </c>
      <c r="B6145" s="431" t="str">
        <f t="shared" si="95"/>
        <v>Knee Replacement RevisionProviderEUXTON HALL HOSPITAL (NVC05)Oxford Knee Score</v>
      </c>
      <c r="C6145" t="s">
        <v>250</v>
      </c>
      <c r="D6145" t="s">
        <v>1</v>
      </c>
      <c r="E6145" t="s">
        <v>3852</v>
      </c>
      <c r="F6145" t="s">
        <v>3853</v>
      </c>
      <c r="G6145" t="s">
        <v>16</v>
      </c>
      <c r="H6145" t="s">
        <v>53</v>
      </c>
      <c r="I6145" t="s">
        <v>53</v>
      </c>
      <c r="J6145" t="s">
        <v>53</v>
      </c>
      <c r="K6145" t="s">
        <v>53</v>
      </c>
      <c r="L6145" t="s">
        <v>53</v>
      </c>
      <c r="M6145" t="s">
        <v>53</v>
      </c>
      <c r="N6145" t="s">
        <v>53</v>
      </c>
      <c r="O6145" t="s">
        <v>53</v>
      </c>
      <c r="P6145" t="s">
        <v>53</v>
      </c>
      <c r="Q6145" t="s">
        <v>53</v>
      </c>
    </row>
    <row r="6146" spans="1:17" x14ac:dyDescent="0.2">
      <c r="A6146" s="30" t="str">
        <f>IF(C6146&amp;G6146&amp;D6146&lt;&gt;'Funnel setup'!$K$3&amp;'Funnel setup'!$K$4&amp;'Funnel setup'!$K$5,".",IF(A6145=".",1,A6145+1))</f>
        <v>.</v>
      </c>
      <c r="B6146" s="431" t="str">
        <f t="shared" si="95"/>
        <v>Knee Replacement RevisionProviderFITZWILLIAM HOSPITAL (NVC06)Oxford Knee Score</v>
      </c>
      <c r="C6146" t="s">
        <v>250</v>
      </c>
      <c r="D6146" t="s">
        <v>1</v>
      </c>
      <c r="E6146" t="s">
        <v>3858</v>
      </c>
      <c r="F6146" t="s">
        <v>3859</v>
      </c>
      <c r="G6146" t="s">
        <v>16</v>
      </c>
      <c r="H6146" t="s">
        <v>53</v>
      </c>
      <c r="I6146" t="s">
        <v>53</v>
      </c>
      <c r="J6146" t="s">
        <v>53</v>
      </c>
      <c r="K6146" t="s">
        <v>53</v>
      </c>
      <c r="L6146" t="s">
        <v>53</v>
      </c>
      <c r="M6146" t="s">
        <v>53</v>
      </c>
      <c r="N6146" t="s">
        <v>53</v>
      </c>
      <c r="O6146" t="s">
        <v>53</v>
      </c>
      <c r="P6146" t="s">
        <v>53</v>
      </c>
      <c r="Q6146" t="s">
        <v>53</v>
      </c>
    </row>
    <row r="6147" spans="1:17" x14ac:dyDescent="0.2">
      <c r="A6147" s="30" t="str">
        <f>IF(C6147&amp;G6147&amp;D6147&lt;&gt;'Funnel setup'!$K$3&amp;'Funnel setup'!$K$4&amp;'Funnel setup'!$K$5,".",IF(A6146=".",1,A6146+1))</f>
        <v>.</v>
      </c>
      <c r="B6147" s="431" t="str">
        <f t="shared" ref="B6147:B6210" si="96">C6147&amp;D6147&amp;F6147&amp;G6147</f>
        <v>Knee Replacement RevisionProviderFRIMLEY HEALTH NHS FOUNDATION TRUST (RDU)Oxford Knee Score</v>
      </c>
      <c r="C6147" t="s">
        <v>250</v>
      </c>
      <c r="D6147" t="s">
        <v>1</v>
      </c>
      <c r="E6147" t="s">
        <v>3861</v>
      </c>
      <c r="F6147" t="s">
        <v>3862</v>
      </c>
      <c r="G6147" t="s">
        <v>16</v>
      </c>
      <c r="H6147">
        <v>24</v>
      </c>
      <c r="I6147">
        <v>17.082999999999998</v>
      </c>
      <c r="J6147">
        <v>29.75</v>
      </c>
      <c r="K6147">
        <v>12.667</v>
      </c>
      <c r="L6147">
        <v>23</v>
      </c>
      <c r="M6147">
        <v>0</v>
      </c>
      <c r="N6147">
        <v>1</v>
      </c>
      <c r="O6147" t="s">
        <v>53</v>
      </c>
      <c r="P6147" t="s">
        <v>53</v>
      </c>
      <c r="Q6147" t="s">
        <v>53</v>
      </c>
    </row>
    <row r="6148" spans="1:17" x14ac:dyDescent="0.2">
      <c r="A6148" s="30" t="str">
        <f>IF(C6148&amp;G6148&amp;D6148&lt;&gt;'Funnel setup'!$K$3&amp;'Funnel setup'!$K$4&amp;'Funnel setup'!$K$5,".",IF(A6147=".",1,A6147+1))</f>
        <v>.</v>
      </c>
      <c r="B6148" s="431" t="str">
        <f t="shared" si="96"/>
        <v>Knee Replacement RevisionProviderFULWOOD HALL HOSPITAL (NVC07)Oxford Knee Score</v>
      </c>
      <c r="C6148" t="s">
        <v>250</v>
      </c>
      <c r="D6148" t="s">
        <v>1</v>
      </c>
      <c r="E6148" t="s">
        <v>3864</v>
      </c>
      <c r="F6148" t="s">
        <v>3865</v>
      </c>
      <c r="G6148" t="s">
        <v>16</v>
      </c>
      <c r="H6148" t="s">
        <v>53</v>
      </c>
      <c r="I6148" t="s">
        <v>53</v>
      </c>
      <c r="J6148" t="s">
        <v>53</v>
      </c>
      <c r="K6148" t="s">
        <v>53</v>
      </c>
      <c r="L6148" t="s">
        <v>53</v>
      </c>
      <c r="M6148" t="s">
        <v>53</v>
      </c>
      <c r="N6148" t="s">
        <v>53</v>
      </c>
      <c r="O6148" t="s">
        <v>53</v>
      </c>
      <c r="P6148" t="s">
        <v>53</v>
      </c>
      <c r="Q6148" t="s">
        <v>53</v>
      </c>
    </row>
    <row r="6149" spans="1:17" x14ac:dyDescent="0.2">
      <c r="A6149" s="30" t="str">
        <f>IF(C6149&amp;G6149&amp;D6149&lt;&gt;'Funnel setup'!$K$3&amp;'Funnel setup'!$K$4&amp;'Funnel setup'!$K$5,".",IF(A6148=".",1,A6148+1))</f>
        <v>.</v>
      </c>
      <c r="B6149" s="431" t="str">
        <f t="shared" si="96"/>
        <v>Knee Replacement RevisionProviderGATESHEAD HEALTH NHS FOUNDATION TRUST (RR7)Oxford Knee Score</v>
      </c>
      <c r="C6149" t="s">
        <v>250</v>
      </c>
      <c r="D6149" t="s">
        <v>1</v>
      </c>
      <c r="E6149" t="s">
        <v>3867</v>
      </c>
      <c r="F6149" t="s">
        <v>3868</v>
      </c>
      <c r="G6149" t="s">
        <v>16</v>
      </c>
      <c r="H6149">
        <v>12</v>
      </c>
      <c r="I6149">
        <v>14.083</v>
      </c>
      <c r="J6149">
        <v>24.667000000000002</v>
      </c>
      <c r="K6149">
        <v>10.583</v>
      </c>
      <c r="L6149">
        <v>9</v>
      </c>
      <c r="M6149">
        <v>0</v>
      </c>
      <c r="N6149">
        <v>3</v>
      </c>
      <c r="O6149" t="s">
        <v>53</v>
      </c>
      <c r="P6149" t="s">
        <v>53</v>
      </c>
      <c r="Q6149" t="s">
        <v>53</v>
      </c>
    </row>
    <row r="6150" spans="1:17" x14ac:dyDescent="0.2">
      <c r="A6150" s="30" t="str">
        <f>IF(C6150&amp;G6150&amp;D6150&lt;&gt;'Funnel setup'!$K$3&amp;'Funnel setup'!$K$4&amp;'Funnel setup'!$K$5,".",IF(A6149=".",1,A6149+1))</f>
        <v>.</v>
      </c>
      <c r="B6150" s="431" t="str">
        <f t="shared" si="96"/>
        <v>Knee Replacement RevisionProviderGEORGE ELIOT HOSPITAL NHS TRUST (RLT)Oxford Knee Score</v>
      </c>
      <c r="C6150" t="s">
        <v>250</v>
      </c>
      <c r="D6150" t="s">
        <v>1</v>
      </c>
      <c r="E6150" t="s">
        <v>3870</v>
      </c>
      <c r="F6150" t="s">
        <v>3871</v>
      </c>
      <c r="G6150" t="s">
        <v>16</v>
      </c>
      <c r="H6150" t="s">
        <v>53</v>
      </c>
      <c r="I6150" t="s">
        <v>53</v>
      </c>
      <c r="J6150" t="s">
        <v>53</v>
      </c>
      <c r="K6150" t="s">
        <v>53</v>
      </c>
      <c r="L6150" t="s">
        <v>53</v>
      </c>
      <c r="M6150" t="s">
        <v>53</v>
      </c>
      <c r="N6150" t="s">
        <v>53</v>
      </c>
      <c r="O6150" t="s">
        <v>53</v>
      </c>
      <c r="P6150" t="s">
        <v>53</v>
      </c>
      <c r="Q6150" t="s">
        <v>53</v>
      </c>
    </row>
    <row r="6151" spans="1:17" x14ac:dyDescent="0.2">
      <c r="A6151" s="30" t="str">
        <f>IF(C6151&amp;G6151&amp;D6151&lt;&gt;'Funnel setup'!$K$3&amp;'Funnel setup'!$K$4&amp;'Funnel setup'!$K$5,".",IF(A6150=".",1,A6150+1))</f>
        <v>.</v>
      </c>
      <c r="B6151" s="431" t="str">
        <f t="shared" si="96"/>
        <v>Knee Replacement RevisionProviderGLOUCESTERSHIRE HOSPITALS NHS FOUNDATION TRUST (RTE)Oxford Knee Score</v>
      </c>
      <c r="C6151" t="s">
        <v>250</v>
      </c>
      <c r="D6151" t="s">
        <v>1</v>
      </c>
      <c r="E6151" t="s">
        <v>3873</v>
      </c>
      <c r="F6151" t="s">
        <v>3874</v>
      </c>
      <c r="G6151" t="s">
        <v>16</v>
      </c>
      <c r="H6151">
        <v>26</v>
      </c>
      <c r="I6151">
        <v>20.692</v>
      </c>
      <c r="J6151">
        <v>30.385000000000002</v>
      </c>
      <c r="K6151">
        <v>9.6920000000000002</v>
      </c>
      <c r="L6151">
        <v>20</v>
      </c>
      <c r="M6151">
        <v>0</v>
      </c>
      <c r="N6151">
        <v>6</v>
      </c>
      <c r="O6151" t="s">
        <v>53</v>
      </c>
      <c r="P6151" t="s">
        <v>53</v>
      </c>
      <c r="Q6151" t="s">
        <v>53</v>
      </c>
    </row>
    <row r="6152" spans="1:17" x14ac:dyDescent="0.2">
      <c r="A6152" s="30" t="str">
        <f>IF(C6152&amp;G6152&amp;D6152&lt;&gt;'Funnel setup'!$K$3&amp;'Funnel setup'!$K$4&amp;'Funnel setup'!$K$5,".",IF(A6151=".",1,A6151+1))</f>
        <v>.</v>
      </c>
      <c r="B6152" s="431" t="str">
        <f t="shared" si="96"/>
        <v>Knee Replacement RevisionProviderGREAT WESTERN HOSPITALS NHS FOUNDATION TRUST (RN3)Oxford Knee Score</v>
      </c>
      <c r="C6152" t="s">
        <v>250</v>
      </c>
      <c r="D6152" t="s">
        <v>1</v>
      </c>
      <c r="E6152" t="s">
        <v>3876</v>
      </c>
      <c r="F6152" t="s">
        <v>3877</v>
      </c>
      <c r="G6152" t="s">
        <v>16</v>
      </c>
      <c r="H6152">
        <v>17</v>
      </c>
      <c r="I6152">
        <v>16.117999999999999</v>
      </c>
      <c r="J6152">
        <v>25.706</v>
      </c>
      <c r="K6152">
        <v>9.5879999999999992</v>
      </c>
      <c r="L6152">
        <v>14</v>
      </c>
      <c r="M6152">
        <v>0</v>
      </c>
      <c r="N6152">
        <v>3</v>
      </c>
      <c r="O6152" t="s">
        <v>53</v>
      </c>
      <c r="P6152" t="s">
        <v>53</v>
      </c>
      <c r="Q6152" t="s">
        <v>53</v>
      </c>
    </row>
    <row r="6153" spans="1:17" x14ac:dyDescent="0.2">
      <c r="A6153" s="30" t="str">
        <f>IF(C6153&amp;G6153&amp;D6153&lt;&gt;'Funnel setup'!$K$3&amp;'Funnel setup'!$K$4&amp;'Funnel setup'!$K$5,".",IF(A6152=".",1,A6152+1))</f>
        <v>.</v>
      </c>
      <c r="B6153" s="431" t="str">
        <f t="shared" si="96"/>
        <v>Knee Replacement RevisionProviderGUY'S AND ST THOMAS' NHS FOUNDATION TRUST (RJ1)Oxford Knee Score</v>
      </c>
      <c r="C6153" t="s">
        <v>250</v>
      </c>
      <c r="D6153" t="s">
        <v>1</v>
      </c>
      <c r="E6153" t="s">
        <v>3879</v>
      </c>
      <c r="F6153" t="s">
        <v>3880</v>
      </c>
      <c r="G6153" t="s">
        <v>16</v>
      </c>
      <c r="H6153" t="s">
        <v>53</v>
      </c>
      <c r="I6153" t="s">
        <v>53</v>
      </c>
      <c r="J6153" t="s">
        <v>53</v>
      </c>
      <c r="K6153" t="s">
        <v>53</v>
      </c>
      <c r="L6153" t="s">
        <v>53</v>
      </c>
      <c r="M6153" t="s">
        <v>53</v>
      </c>
      <c r="N6153" t="s">
        <v>53</v>
      </c>
      <c r="O6153" t="s">
        <v>53</v>
      </c>
      <c r="P6153" t="s">
        <v>53</v>
      </c>
      <c r="Q6153" t="s">
        <v>53</v>
      </c>
    </row>
    <row r="6154" spans="1:17" x14ac:dyDescent="0.2">
      <c r="A6154" s="30" t="str">
        <f>IF(C6154&amp;G6154&amp;D6154&lt;&gt;'Funnel setup'!$K$3&amp;'Funnel setup'!$K$4&amp;'Funnel setup'!$K$5,".",IF(A6153=".",1,A6153+1))</f>
        <v>.</v>
      </c>
      <c r="B6154" s="431" t="str">
        <f t="shared" si="96"/>
        <v>Knee Replacement RevisionProviderHAMPSHIRE HOSPITALS NHS FOUNDATION TRUST (RN5)Oxford Knee Score</v>
      </c>
      <c r="C6154" t="s">
        <v>250</v>
      </c>
      <c r="D6154" t="s">
        <v>1</v>
      </c>
      <c r="E6154" t="s">
        <v>3882</v>
      </c>
      <c r="F6154" t="s">
        <v>3883</v>
      </c>
      <c r="G6154" t="s">
        <v>16</v>
      </c>
      <c r="H6154">
        <v>20</v>
      </c>
      <c r="I6154">
        <v>15.6</v>
      </c>
      <c r="J6154">
        <v>28.75</v>
      </c>
      <c r="K6154">
        <v>13.15</v>
      </c>
      <c r="L6154">
        <v>18</v>
      </c>
      <c r="M6154">
        <v>0</v>
      </c>
      <c r="N6154">
        <v>2</v>
      </c>
      <c r="O6154" t="s">
        <v>53</v>
      </c>
      <c r="P6154" t="s">
        <v>53</v>
      </c>
      <c r="Q6154" t="s">
        <v>53</v>
      </c>
    </row>
    <row r="6155" spans="1:17" x14ac:dyDescent="0.2">
      <c r="A6155" s="30" t="str">
        <f>IF(C6155&amp;G6155&amp;D6155&lt;&gt;'Funnel setup'!$K$3&amp;'Funnel setup'!$K$4&amp;'Funnel setup'!$K$5,".",IF(A6154=".",1,A6154+1))</f>
        <v>.</v>
      </c>
      <c r="B6155" s="431" t="str">
        <f t="shared" si="96"/>
        <v>Knee Replacement RevisionProviderHARROGATE AND DISTRICT NHS FOUNDATION TRUST (RCD)Oxford Knee Score</v>
      </c>
      <c r="C6155" t="s">
        <v>250</v>
      </c>
      <c r="D6155" t="s">
        <v>1</v>
      </c>
      <c r="E6155" t="s">
        <v>3885</v>
      </c>
      <c r="F6155" t="s">
        <v>3886</v>
      </c>
      <c r="G6155" t="s">
        <v>16</v>
      </c>
      <c r="H6155">
        <v>18</v>
      </c>
      <c r="I6155">
        <v>19.167000000000002</v>
      </c>
      <c r="J6155">
        <v>36.610999999999997</v>
      </c>
      <c r="K6155">
        <v>17.443999999999999</v>
      </c>
      <c r="L6155">
        <v>17</v>
      </c>
      <c r="M6155">
        <v>0</v>
      </c>
      <c r="N6155">
        <v>1</v>
      </c>
      <c r="O6155" t="s">
        <v>53</v>
      </c>
      <c r="P6155" t="s">
        <v>53</v>
      </c>
      <c r="Q6155" t="s">
        <v>53</v>
      </c>
    </row>
    <row r="6156" spans="1:17" x14ac:dyDescent="0.2">
      <c r="A6156" s="30" t="str">
        <f>IF(C6156&amp;G6156&amp;D6156&lt;&gt;'Funnel setup'!$K$3&amp;'Funnel setup'!$K$4&amp;'Funnel setup'!$K$5,".",IF(A6155=".",1,A6155+1))</f>
        <v>.</v>
      </c>
      <c r="B6156" s="431" t="str">
        <f t="shared" si="96"/>
        <v>Knee Replacement RevisionProviderHEART OF ENGLAND NHS FOUNDATION TRUST (RR1)Oxford Knee Score</v>
      </c>
      <c r="C6156" t="s">
        <v>250</v>
      </c>
      <c r="D6156" t="s">
        <v>1</v>
      </c>
      <c r="E6156" t="s">
        <v>3888</v>
      </c>
      <c r="F6156" t="s">
        <v>3889</v>
      </c>
      <c r="G6156" t="s">
        <v>16</v>
      </c>
      <c r="H6156">
        <v>11</v>
      </c>
      <c r="I6156">
        <v>15.909000000000001</v>
      </c>
      <c r="J6156">
        <v>25.181999999999999</v>
      </c>
      <c r="K6156">
        <v>9.2729999999999997</v>
      </c>
      <c r="L6156">
        <v>10</v>
      </c>
      <c r="M6156">
        <v>1</v>
      </c>
      <c r="N6156">
        <v>0</v>
      </c>
      <c r="O6156" t="s">
        <v>53</v>
      </c>
      <c r="P6156" t="s">
        <v>53</v>
      </c>
      <c r="Q6156" t="s">
        <v>53</v>
      </c>
    </row>
    <row r="6157" spans="1:17" x14ac:dyDescent="0.2">
      <c r="A6157" s="30" t="str">
        <f>IF(C6157&amp;G6157&amp;D6157&lt;&gt;'Funnel setup'!$K$3&amp;'Funnel setup'!$K$4&amp;'Funnel setup'!$K$5,".",IF(A6156=".",1,A6156+1))</f>
        <v>.</v>
      </c>
      <c r="B6157" s="431" t="str">
        <f t="shared" si="96"/>
        <v>Knee Replacement RevisionProviderHINCHINGBROOKE HEALTH CARE NHS TRUST (RQQ)Oxford Knee Score</v>
      </c>
      <c r="C6157" t="s">
        <v>250</v>
      </c>
      <c r="D6157" t="s">
        <v>1</v>
      </c>
      <c r="E6157" t="s">
        <v>3894</v>
      </c>
      <c r="F6157" t="s">
        <v>3895</v>
      </c>
      <c r="G6157" t="s">
        <v>16</v>
      </c>
      <c r="H6157">
        <v>14</v>
      </c>
      <c r="I6157">
        <v>16.713999999999999</v>
      </c>
      <c r="J6157">
        <v>24.571000000000002</v>
      </c>
      <c r="K6157">
        <v>7.8570000000000002</v>
      </c>
      <c r="L6157">
        <v>11</v>
      </c>
      <c r="M6157">
        <v>0</v>
      </c>
      <c r="N6157">
        <v>3</v>
      </c>
      <c r="O6157" t="s">
        <v>53</v>
      </c>
      <c r="P6157" t="s">
        <v>53</v>
      </c>
      <c r="Q6157" t="s">
        <v>53</v>
      </c>
    </row>
    <row r="6158" spans="1:17" x14ac:dyDescent="0.2">
      <c r="A6158" s="30" t="str">
        <f>IF(C6158&amp;G6158&amp;D6158&lt;&gt;'Funnel setup'!$K$3&amp;'Funnel setup'!$K$4&amp;'Funnel setup'!$K$5,".",IF(A6157=".",1,A6157+1))</f>
        <v>.</v>
      </c>
      <c r="B6158" s="431" t="str">
        <f t="shared" si="96"/>
        <v>Knee Replacement RevisionProviderHOMERTON UNIVERSITY HOSPITAL NHS FOUNDATION TRUST (RQX)Oxford Knee Score</v>
      </c>
      <c r="C6158" t="s">
        <v>250</v>
      </c>
      <c r="D6158" t="s">
        <v>1</v>
      </c>
      <c r="E6158" t="s">
        <v>3897</v>
      </c>
      <c r="F6158" t="s">
        <v>3898</v>
      </c>
      <c r="G6158" t="s">
        <v>16</v>
      </c>
      <c r="H6158" t="s">
        <v>53</v>
      </c>
      <c r="I6158" t="s">
        <v>53</v>
      </c>
      <c r="J6158" t="s">
        <v>53</v>
      </c>
      <c r="K6158" t="s">
        <v>53</v>
      </c>
      <c r="L6158" t="s">
        <v>53</v>
      </c>
      <c r="M6158" t="s">
        <v>53</v>
      </c>
      <c r="N6158" t="s">
        <v>53</v>
      </c>
      <c r="O6158" t="s">
        <v>53</v>
      </c>
      <c r="P6158" t="s">
        <v>53</v>
      </c>
      <c r="Q6158" t="s">
        <v>53</v>
      </c>
    </row>
    <row r="6159" spans="1:17" x14ac:dyDescent="0.2">
      <c r="A6159" s="30" t="str">
        <f>IF(C6159&amp;G6159&amp;D6159&lt;&gt;'Funnel setup'!$K$3&amp;'Funnel setup'!$K$4&amp;'Funnel setup'!$K$5,".",IF(A6158=".",1,A6158+1))</f>
        <v>.</v>
      </c>
      <c r="B6159" s="431" t="str">
        <f t="shared" si="96"/>
        <v>Knee Replacement RevisionProviderHORTON NHS TREATMENT CENTRE (NVC25)Oxford Knee Score</v>
      </c>
      <c r="C6159" t="s">
        <v>250</v>
      </c>
      <c r="D6159" t="s">
        <v>1</v>
      </c>
      <c r="E6159" t="s">
        <v>4553</v>
      </c>
      <c r="F6159" t="s">
        <v>4554</v>
      </c>
      <c r="G6159" t="s">
        <v>16</v>
      </c>
      <c r="H6159">
        <v>16</v>
      </c>
      <c r="I6159">
        <v>16.25</v>
      </c>
      <c r="J6159">
        <v>34.75</v>
      </c>
      <c r="K6159">
        <v>18.5</v>
      </c>
      <c r="L6159">
        <v>15</v>
      </c>
      <c r="M6159">
        <v>0</v>
      </c>
      <c r="N6159">
        <v>1</v>
      </c>
      <c r="O6159" t="s">
        <v>53</v>
      </c>
      <c r="P6159" t="s">
        <v>53</v>
      </c>
      <c r="Q6159" t="s">
        <v>53</v>
      </c>
    </row>
    <row r="6160" spans="1:17" x14ac:dyDescent="0.2">
      <c r="A6160" s="30" t="str">
        <f>IF(C6160&amp;G6160&amp;D6160&lt;&gt;'Funnel setup'!$K$3&amp;'Funnel setup'!$K$4&amp;'Funnel setup'!$K$5,".",IF(A6159=".",1,A6159+1))</f>
        <v>.</v>
      </c>
      <c r="B6160" s="431" t="str">
        <f t="shared" si="96"/>
        <v>Knee Replacement RevisionProviderHULL AND EAST YORKSHIRE HOSPITALS NHS TRUST (RWA)Oxford Knee Score</v>
      </c>
      <c r="C6160" t="s">
        <v>250</v>
      </c>
      <c r="D6160" t="s">
        <v>1</v>
      </c>
      <c r="E6160" t="s">
        <v>3906</v>
      </c>
      <c r="F6160" t="s">
        <v>3907</v>
      </c>
      <c r="G6160" t="s">
        <v>16</v>
      </c>
      <c r="H6160">
        <v>21</v>
      </c>
      <c r="I6160">
        <v>16.047999999999998</v>
      </c>
      <c r="J6160">
        <v>26.332999999999998</v>
      </c>
      <c r="K6160">
        <v>10.286</v>
      </c>
      <c r="L6160">
        <v>17</v>
      </c>
      <c r="M6160">
        <v>1</v>
      </c>
      <c r="N6160">
        <v>3</v>
      </c>
      <c r="O6160" t="s">
        <v>53</v>
      </c>
      <c r="P6160" t="s">
        <v>53</v>
      </c>
      <c r="Q6160" t="s">
        <v>53</v>
      </c>
    </row>
    <row r="6161" spans="1:17" x14ac:dyDescent="0.2">
      <c r="A6161" s="30" t="str">
        <f>IF(C6161&amp;G6161&amp;D6161&lt;&gt;'Funnel setup'!$K$3&amp;'Funnel setup'!$K$4&amp;'Funnel setup'!$K$5,".",IF(A6160=".",1,A6160+1))</f>
        <v>.</v>
      </c>
      <c r="B6161" s="431" t="str">
        <f t="shared" si="96"/>
        <v>Knee Replacement RevisionProviderIMPERIAL COLLEGE HEALTHCARE NHS TRUST (RYJ)Oxford Knee Score</v>
      </c>
      <c r="C6161" t="s">
        <v>250</v>
      </c>
      <c r="D6161" t="s">
        <v>1</v>
      </c>
      <c r="E6161" t="s">
        <v>4558</v>
      </c>
      <c r="F6161" t="s">
        <v>4559</v>
      </c>
      <c r="G6161" t="s">
        <v>16</v>
      </c>
      <c r="H6161" t="s">
        <v>53</v>
      </c>
      <c r="I6161" t="s">
        <v>53</v>
      </c>
      <c r="J6161" t="s">
        <v>53</v>
      </c>
      <c r="K6161" t="s">
        <v>53</v>
      </c>
      <c r="L6161" t="s">
        <v>53</v>
      </c>
      <c r="M6161" t="s">
        <v>53</v>
      </c>
      <c r="N6161" t="s">
        <v>53</v>
      </c>
      <c r="O6161" t="s">
        <v>53</v>
      </c>
      <c r="P6161" t="s">
        <v>53</v>
      </c>
      <c r="Q6161" t="s">
        <v>53</v>
      </c>
    </row>
    <row r="6162" spans="1:17" x14ac:dyDescent="0.2">
      <c r="A6162" s="30" t="str">
        <f>IF(C6162&amp;G6162&amp;D6162&lt;&gt;'Funnel setup'!$K$3&amp;'Funnel setup'!$K$4&amp;'Funnel setup'!$K$5,".",IF(A6161=".",1,A6161+1))</f>
        <v>.</v>
      </c>
      <c r="B6162" s="431" t="str">
        <f t="shared" si="96"/>
        <v>Knee Replacement RevisionProviderIPSWICH HOSPITAL NHS TRUST (RGQ)Oxford Knee Score</v>
      </c>
      <c r="C6162" t="s">
        <v>250</v>
      </c>
      <c r="D6162" t="s">
        <v>1</v>
      </c>
      <c r="E6162" t="s">
        <v>3909</v>
      </c>
      <c r="F6162" t="s">
        <v>3910</v>
      </c>
      <c r="G6162" t="s">
        <v>16</v>
      </c>
      <c r="H6162" t="s">
        <v>53</v>
      </c>
      <c r="I6162" t="s">
        <v>53</v>
      </c>
      <c r="J6162" t="s">
        <v>53</v>
      </c>
      <c r="K6162" t="s">
        <v>53</v>
      </c>
      <c r="L6162" t="s">
        <v>53</v>
      </c>
      <c r="M6162" t="s">
        <v>53</v>
      </c>
      <c r="N6162" t="s">
        <v>53</v>
      </c>
      <c r="O6162" t="s">
        <v>53</v>
      </c>
      <c r="P6162" t="s">
        <v>53</v>
      </c>
      <c r="Q6162" t="s">
        <v>53</v>
      </c>
    </row>
    <row r="6163" spans="1:17" x14ac:dyDescent="0.2">
      <c r="A6163" s="30" t="str">
        <f>IF(C6163&amp;G6163&amp;D6163&lt;&gt;'Funnel setup'!$K$3&amp;'Funnel setup'!$K$4&amp;'Funnel setup'!$K$5,".",IF(A6162=".",1,A6162+1))</f>
        <v>.</v>
      </c>
      <c r="B6163" s="431" t="str">
        <f t="shared" si="96"/>
        <v>Knee Replacement RevisionProviderISLE OF WIGHT NHS TRUST (R1F)Oxford Knee Score</v>
      </c>
      <c r="C6163" t="s">
        <v>250</v>
      </c>
      <c r="D6163" t="s">
        <v>1</v>
      </c>
      <c r="E6163" t="s">
        <v>3912</v>
      </c>
      <c r="F6163" t="s">
        <v>3913</v>
      </c>
      <c r="G6163" t="s">
        <v>16</v>
      </c>
      <c r="H6163" t="s">
        <v>53</v>
      </c>
      <c r="I6163" t="s">
        <v>53</v>
      </c>
      <c r="J6163" t="s">
        <v>53</v>
      </c>
      <c r="K6163" t="s">
        <v>53</v>
      </c>
      <c r="L6163" t="s">
        <v>53</v>
      </c>
      <c r="M6163" t="s">
        <v>53</v>
      </c>
      <c r="N6163" t="s">
        <v>53</v>
      </c>
      <c r="O6163" t="s">
        <v>53</v>
      </c>
      <c r="P6163" t="s">
        <v>53</v>
      </c>
      <c r="Q6163" t="s">
        <v>53</v>
      </c>
    </row>
    <row r="6164" spans="1:17" x14ac:dyDescent="0.2">
      <c r="A6164" s="30" t="str">
        <f>IF(C6164&amp;G6164&amp;D6164&lt;&gt;'Funnel setup'!$K$3&amp;'Funnel setup'!$K$4&amp;'Funnel setup'!$K$5,".",IF(A6163=".",1,A6163+1))</f>
        <v>.</v>
      </c>
      <c r="B6164" s="431" t="str">
        <f t="shared" si="96"/>
        <v>Knee Replacement RevisionProviderJAMES PAGET UNIVERSITY HOSPITALS NHS FOUNDATION TRUST (RGP)Oxford Knee Score</v>
      </c>
      <c r="C6164" t="s">
        <v>250</v>
      </c>
      <c r="D6164" t="s">
        <v>1</v>
      </c>
      <c r="E6164" t="s">
        <v>3915</v>
      </c>
      <c r="F6164" t="s">
        <v>3916</v>
      </c>
      <c r="G6164" t="s">
        <v>16</v>
      </c>
      <c r="H6164">
        <v>7</v>
      </c>
      <c r="I6164">
        <v>19.713999999999999</v>
      </c>
      <c r="J6164">
        <v>33.856999999999999</v>
      </c>
      <c r="K6164">
        <v>14.143000000000001</v>
      </c>
      <c r="L6164">
        <v>7</v>
      </c>
      <c r="M6164">
        <v>0</v>
      </c>
      <c r="N6164">
        <v>0</v>
      </c>
      <c r="O6164" t="s">
        <v>53</v>
      </c>
      <c r="P6164" t="s">
        <v>53</v>
      </c>
      <c r="Q6164" t="s">
        <v>53</v>
      </c>
    </row>
    <row r="6165" spans="1:17" x14ac:dyDescent="0.2">
      <c r="A6165" s="30" t="str">
        <f>IF(C6165&amp;G6165&amp;D6165&lt;&gt;'Funnel setup'!$K$3&amp;'Funnel setup'!$K$4&amp;'Funnel setup'!$K$5,".",IF(A6164=".",1,A6164+1))</f>
        <v>.</v>
      </c>
      <c r="B6165" s="431" t="str">
        <f t="shared" si="96"/>
        <v>Knee Replacement RevisionProviderKETTERING GENERAL HOSPITAL NHS FOUNDATION TRUST (RNQ)Oxford Knee Score</v>
      </c>
      <c r="C6165" t="s">
        <v>250</v>
      </c>
      <c r="D6165" t="s">
        <v>1</v>
      </c>
      <c r="E6165" t="s">
        <v>3918</v>
      </c>
      <c r="F6165" t="s">
        <v>3919</v>
      </c>
      <c r="G6165" t="s">
        <v>16</v>
      </c>
      <c r="H6165" t="s">
        <v>53</v>
      </c>
      <c r="I6165" t="s">
        <v>53</v>
      </c>
      <c r="J6165" t="s">
        <v>53</v>
      </c>
      <c r="K6165" t="s">
        <v>53</v>
      </c>
      <c r="L6165" t="s">
        <v>53</v>
      </c>
      <c r="M6165" t="s">
        <v>53</v>
      </c>
      <c r="N6165" t="s">
        <v>53</v>
      </c>
      <c r="O6165" t="s">
        <v>53</v>
      </c>
      <c r="P6165" t="s">
        <v>53</v>
      </c>
      <c r="Q6165" t="s">
        <v>53</v>
      </c>
    </row>
    <row r="6166" spans="1:17" x14ac:dyDescent="0.2">
      <c r="A6166" s="30" t="str">
        <f>IF(C6166&amp;G6166&amp;D6166&lt;&gt;'Funnel setup'!$K$3&amp;'Funnel setup'!$K$4&amp;'Funnel setup'!$K$5,".",IF(A6165=".",1,A6165+1))</f>
        <v>.</v>
      </c>
      <c r="B6166" s="431" t="str">
        <f t="shared" si="96"/>
        <v>Knee Replacement RevisionProviderKING'S COLLEGE HOSPITAL NHS FOUNDATION TRUST (RJZ)Oxford Knee Score</v>
      </c>
      <c r="C6166" t="s">
        <v>250</v>
      </c>
      <c r="D6166" t="s">
        <v>1</v>
      </c>
      <c r="E6166" t="s">
        <v>3924</v>
      </c>
      <c r="F6166" t="s">
        <v>3925</v>
      </c>
      <c r="G6166" t="s">
        <v>16</v>
      </c>
      <c r="H6166">
        <v>7</v>
      </c>
      <c r="I6166">
        <v>18.856999999999999</v>
      </c>
      <c r="J6166">
        <v>27</v>
      </c>
      <c r="K6166">
        <v>8.1430000000000007</v>
      </c>
      <c r="L6166">
        <v>5</v>
      </c>
      <c r="M6166">
        <v>0</v>
      </c>
      <c r="N6166">
        <v>2</v>
      </c>
      <c r="O6166" t="s">
        <v>53</v>
      </c>
      <c r="P6166" t="s">
        <v>53</v>
      </c>
      <c r="Q6166" t="s">
        <v>53</v>
      </c>
    </row>
    <row r="6167" spans="1:17" x14ac:dyDescent="0.2">
      <c r="A6167" s="30" t="str">
        <f>IF(C6167&amp;G6167&amp;D6167&lt;&gt;'Funnel setup'!$K$3&amp;'Funnel setup'!$K$4&amp;'Funnel setup'!$K$5,".",IF(A6166=".",1,A6166+1))</f>
        <v>.</v>
      </c>
      <c r="B6167" s="431" t="str">
        <f t="shared" si="96"/>
        <v>Knee Replacement RevisionProviderLANCASHIRE TEACHING HOSPITALS NHS FOUNDATION TRUST (RXN)Oxford Knee Score</v>
      </c>
      <c r="C6167" t="s">
        <v>250</v>
      </c>
      <c r="D6167" t="s">
        <v>1</v>
      </c>
      <c r="E6167" t="s">
        <v>3567</v>
      </c>
      <c r="F6167" t="s">
        <v>3568</v>
      </c>
      <c r="G6167" t="s">
        <v>16</v>
      </c>
      <c r="H6167">
        <v>11</v>
      </c>
      <c r="I6167">
        <v>16.908999999999999</v>
      </c>
      <c r="J6167">
        <v>24.545000000000002</v>
      </c>
      <c r="K6167">
        <v>7.6360000000000001</v>
      </c>
      <c r="L6167">
        <v>9</v>
      </c>
      <c r="M6167">
        <v>0</v>
      </c>
      <c r="N6167">
        <v>2</v>
      </c>
      <c r="O6167" t="s">
        <v>53</v>
      </c>
      <c r="P6167" t="s">
        <v>53</v>
      </c>
      <c r="Q6167" t="s">
        <v>53</v>
      </c>
    </row>
    <row r="6168" spans="1:17" x14ac:dyDescent="0.2">
      <c r="A6168" s="30" t="str">
        <f>IF(C6168&amp;G6168&amp;D6168&lt;&gt;'Funnel setup'!$K$3&amp;'Funnel setup'!$K$4&amp;'Funnel setup'!$K$5,".",IF(A6167=".",1,A6167+1))</f>
        <v>.</v>
      </c>
      <c r="B6168" s="431" t="str">
        <f t="shared" si="96"/>
        <v>Knee Replacement RevisionProviderLEEDS TEACHING HOSPITALS NHS TRUST (RR8)Oxford Knee Score</v>
      </c>
      <c r="C6168" t="s">
        <v>250</v>
      </c>
      <c r="D6168" t="s">
        <v>1</v>
      </c>
      <c r="E6168" t="s">
        <v>3930</v>
      </c>
      <c r="F6168" t="s">
        <v>344</v>
      </c>
      <c r="G6168" t="s">
        <v>16</v>
      </c>
      <c r="H6168">
        <v>10</v>
      </c>
      <c r="I6168">
        <v>15.7</v>
      </c>
      <c r="J6168">
        <v>31.4</v>
      </c>
      <c r="K6168">
        <v>15.7</v>
      </c>
      <c r="L6168">
        <v>10</v>
      </c>
      <c r="M6168">
        <v>0</v>
      </c>
      <c r="N6168">
        <v>0</v>
      </c>
      <c r="O6168" t="s">
        <v>53</v>
      </c>
      <c r="P6168" t="s">
        <v>53</v>
      </c>
      <c r="Q6168" t="s">
        <v>53</v>
      </c>
    </row>
    <row r="6169" spans="1:17" x14ac:dyDescent="0.2">
      <c r="A6169" s="30" t="str">
        <f>IF(C6169&amp;G6169&amp;D6169&lt;&gt;'Funnel setup'!$K$3&amp;'Funnel setup'!$K$4&amp;'Funnel setup'!$K$5,".",IF(A6168=".",1,A6168+1))</f>
        <v>.</v>
      </c>
      <c r="B6169" s="431" t="str">
        <f t="shared" si="96"/>
        <v>Knee Replacement RevisionProviderLEWISHAM AND GREENWICH NHS TRUST (RJ2)Oxford Knee Score</v>
      </c>
      <c r="C6169" t="s">
        <v>250</v>
      </c>
      <c r="D6169" t="s">
        <v>1</v>
      </c>
      <c r="E6169" t="s">
        <v>3522</v>
      </c>
      <c r="F6169" t="s">
        <v>3523</v>
      </c>
      <c r="G6169" t="s">
        <v>16</v>
      </c>
      <c r="H6169">
        <v>6</v>
      </c>
      <c r="I6169">
        <v>10.833</v>
      </c>
      <c r="J6169">
        <v>21</v>
      </c>
      <c r="K6169">
        <v>10.167</v>
      </c>
      <c r="L6169">
        <v>5</v>
      </c>
      <c r="M6169">
        <v>0</v>
      </c>
      <c r="N6169">
        <v>1</v>
      </c>
      <c r="O6169" t="s">
        <v>53</v>
      </c>
      <c r="P6169" t="s">
        <v>53</v>
      </c>
      <c r="Q6169" t="s">
        <v>53</v>
      </c>
    </row>
    <row r="6170" spans="1:17" x14ac:dyDescent="0.2">
      <c r="A6170" s="30" t="str">
        <f>IF(C6170&amp;G6170&amp;D6170&lt;&gt;'Funnel setup'!$K$3&amp;'Funnel setup'!$K$4&amp;'Funnel setup'!$K$5,".",IF(A6169=".",1,A6169+1))</f>
        <v>.</v>
      </c>
      <c r="B6170" s="431" t="str">
        <f t="shared" si="96"/>
        <v>Knee Replacement RevisionProviderLONDON NORTH WEST HEALTHCARE NHS TRUST (R1K)Oxford Knee Score</v>
      </c>
      <c r="C6170" t="s">
        <v>250</v>
      </c>
      <c r="D6170" t="s">
        <v>1</v>
      </c>
      <c r="E6170" t="s">
        <v>6515</v>
      </c>
      <c r="F6170" t="s">
        <v>6516</v>
      </c>
      <c r="G6170" t="s">
        <v>16</v>
      </c>
      <c r="H6170">
        <v>9</v>
      </c>
      <c r="I6170">
        <v>17.443999999999999</v>
      </c>
      <c r="J6170">
        <v>29.222000000000001</v>
      </c>
      <c r="K6170">
        <v>11.778</v>
      </c>
      <c r="L6170">
        <v>6</v>
      </c>
      <c r="M6170">
        <v>0</v>
      </c>
      <c r="N6170">
        <v>3</v>
      </c>
      <c r="O6170" t="s">
        <v>53</v>
      </c>
      <c r="P6170" t="s">
        <v>53</v>
      </c>
      <c r="Q6170" t="s">
        <v>53</v>
      </c>
    </row>
    <row r="6171" spans="1:17" x14ac:dyDescent="0.2">
      <c r="A6171" s="30" t="str">
        <f>IF(C6171&amp;G6171&amp;D6171&lt;&gt;'Funnel setup'!$K$3&amp;'Funnel setup'!$K$4&amp;'Funnel setup'!$K$5,".",IF(A6170=".",1,A6170+1))</f>
        <v>.</v>
      </c>
      <c r="B6171" s="431" t="str">
        <f t="shared" si="96"/>
        <v>Knee Replacement RevisionProviderLUTON AND DUNSTABLE UNIVERSITY HOSPITAL NHS FOUNDATION TRUST (RC9)Oxford Knee Score</v>
      </c>
      <c r="C6171" t="s">
        <v>250</v>
      </c>
      <c r="D6171" t="s">
        <v>1</v>
      </c>
      <c r="E6171" t="s">
        <v>3528</v>
      </c>
      <c r="F6171" t="s">
        <v>3529</v>
      </c>
      <c r="G6171" t="s">
        <v>16</v>
      </c>
      <c r="H6171" t="s">
        <v>53</v>
      </c>
      <c r="I6171" t="s">
        <v>53</v>
      </c>
      <c r="J6171" t="s">
        <v>53</v>
      </c>
      <c r="K6171" t="s">
        <v>53</v>
      </c>
      <c r="L6171" t="s">
        <v>53</v>
      </c>
      <c r="M6171" t="s">
        <v>53</v>
      </c>
      <c r="N6171" t="s">
        <v>53</v>
      </c>
      <c r="O6171" t="s">
        <v>53</v>
      </c>
      <c r="P6171" t="s">
        <v>53</v>
      </c>
      <c r="Q6171" t="s">
        <v>53</v>
      </c>
    </row>
    <row r="6172" spans="1:17" x14ac:dyDescent="0.2">
      <c r="A6172" s="30" t="str">
        <f>IF(C6172&amp;G6172&amp;D6172&lt;&gt;'Funnel setup'!$K$3&amp;'Funnel setup'!$K$4&amp;'Funnel setup'!$K$5,".",IF(A6171=".",1,A6171+1))</f>
        <v>.</v>
      </c>
      <c r="B6172" s="431" t="str">
        <f t="shared" si="96"/>
        <v>Knee Replacement RevisionProviderMAIDSTONE AND TUNBRIDGE WELLS NHS TRUST (RWF)Oxford Knee Score</v>
      </c>
      <c r="C6172" t="s">
        <v>250</v>
      </c>
      <c r="D6172" t="s">
        <v>1</v>
      </c>
      <c r="E6172" t="s">
        <v>3627</v>
      </c>
      <c r="F6172" t="s">
        <v>3628</v>
      </c>
      <c r="G6172" t="s">
        <v>16</v>
      </c>
      <c r="H6172" t="s">
        <v>53</v>
      </c>
      <c r="I6172" t="s">
        <v>53</v>
      </c>
      <c r="J6172" t="s">
        <v>53</v>
      </c>
      <c r="K6172" t="s">
        <v>53</v>
      </c>
      <c r="L6172" t="s">
        <v>53</v>
      </c>
      <c r="M6172" t="s">
        <v>53</v>
      </c>
      <c r="N6172" t="s">
        <v>53</v>
      </c>
      <c r="O6172" t="s">
        <v>53</v>
      </c>
      <c r="P6172" t="s">
        <v>53</v>
      </c>
      <c r="Q6172" t="s">
        <v>53</v>
      </c>
    </row>
    <row r="6173" spans="1:17" x14ac:dyDescent="0.2">
      <c r="A6173" s="30" t="str">
        <f>IF(C6173&amp;G6173&amp;D6173&lt;&gt;'Funnel setup'!$K$3&amp;'Funnel setup'!$K$4&amp;'Funnel setup'!$K$5,".",IF(A6172=".",1,A6172+1))</f>
        <v>.</v>
      </c>
      <c r="B6173" s="431" t="str">
        <f t="shared" si="96"/>
        <v>Knee Replacement RevisionProviderMEDWAY NHS FOUNDATION TRUST (RPA)Oxford Knee Score</v>
      </c>
      <c r="C6173" t="s">
        <v>250</v>
      </c>
      <c r="D6173" t="s">
        <v>1</v>
      </c>
      <c r="E6173" t="s">
        <v>3630</v>
      </c>
      <c r="F6173" t="s">
        <v>3631</v>
      </c>
      <c r="G6173" t="s">
        <v>16</v>
      </c>
      <c r="H6173" t="s">
        <v>53</v>
      </c>
      <c r="I6173" t="s">
        <v>53</v>
      </c>
      <c r="J6173" t="s">
        <v>53</v>
      </c>
      <c r="K6173" t="s">
        <v>53</v>
      </c>
      <c r="L6173" t="s">
        <v>53</v>
      </c>
      <c r="M6173" t="s">
        <v>53</v>
      </c>
      <c r="N6173" t="s">
        <v>53</v>
      </c>
      <c r="O6173" t="s">
        <v>53</v>
      </c>
      <c r="P6173" t="s">
        <v>53</v>
      </c>
      <c r="Q6173" t="s">
        <v>53</v>
      </c>
    </row>
    <row r="6174" spans="1:17" x14ac:dyDescent="0.2">
      <c r="A6174" s="30" t="str">
        <f>IF(C6174&amp;G6174&amp;D6174&lt;&gt;'Funnel setup'!$K$3&amp;'Funnel setup'!$K$4&amp;'Funnel setup'!$K$5,".",IF(A6173=".",1,A6173+1))</f>
        <v>.</v>
      </c>
      <c r="B6174" s="431" t="str">
        <f t="shared" si="96"/>
        <v>Knee Replacement RevisionProviderMID CHESHIRE HOSPITALS NHS FOUNDATION TRUST (RBT)Oxford Knee Score</v>
      </c>
      <c r="C6174" t="s">
        <v>250</v>
      </c>
      <c r="D6174" t="s">
        <v>1</v>
      </c>
      <c r="E6174" t="s">
        <v>3633</v>
      </c>
      <c r="F6174" t="s">
        <v>342</v>
      </c>
      <c r="G6174" t="s">
        <v>16</v>
      </c>
      <c r="H6174">
        <v>6</v>
      </c>
      <c r="I6174">
        <v>19.167000000000002</v>
      </c>
      <c r="J6174">
        <v>29.5</v>
      </c>
      <c r="K6174">
        <v>10.333</v>
      </c>
      <c r="L6174">
        <v>5</v>
      </c>
      <c r="M6174">
        <v>0</v>
      </c>
      <c r="N6174">
        <v>1</v>
      </c>
      <c r="O6174" t="s">
        <v>53</v>
      </c>
      <c r="P6174" t="s">
        <v>53</v>
      </c>
      <c r="Q6174" t="s">
        <v>53</v>
      </c>
    </row>
    <row r="6175" spans="1:17" x14ac:dyDescent="0.2">
      <c r="A6175" s="30" t="str">
        <f>IF(C6175&amp;G6175&amp;D6175&lt;&gt;'Funnel setup'!$K$3&amp;'Funnel setup'!$K$4&amp;'Funnel setup'!$K$5,".",IF(A6174=".",1,A6174+1))</f>
        <v>.</v>
      </c>
      <c r="B6175" s="431" t="str">
        <f t="shared" si="96"/>
        <v>Knee Replacement RevisionProviderMID ESSEX HOSPITAL SERVICES NHS TRUST (RQ8)Oxford Knee Score</v>
      </c>
      <c r="C6175" t="s">
        <v>250</v>
      </c>
      <c r="D6175" t="s">
        <v>1</v>
      </c>
      <c r="E6175" t="s">
        <v>3635</v>
      </c>
      <c r="F6175" t="s">
        <v>3636</v>
      </c>
      <c r="G6175" t="s">
        <v>16</v>
      </c>
      <c r="H6175">
        <v>10</v>
      </c>
      <c r="I6175">
        <v>13</v>
      </c>
      <c r="J6175">
        <v>18.7</v>
      </c>
      <c r="K6175">
        <v>5.7</v>
      </c>
      <c r="L6175">
        <v>6</v>
      </c>
      <c r="M6175">
        <v>0</v>
      </c>
      <c r="N6175">
        <v>4</v>
      </c>
      <c r="O6175" t="s">
        <v>53</v>
      </c>
      <c r="P6175" t="s">
        <v>53</v>
      </c>
      <c r="Q6175" t="s">
        <v>53</v>
      </c>
    </row>
    <row r="6176" spans="1:17" x14ac:dyDescent="0.2">
      <c r="A6176" s="30" t="str">
        <f>IF(C6176&amp;G6176&amp;D6176&lt;&gt;'Funnel setup'!$K$3&amp;'Funnel setup'!$K$4&amp;'Funnel setup'!$K$5,".",IF(A6175=".",1,A6175+1))</f>
        <v>.</v>
      </c>
      <c r="B6176" s="431" t="str">
        <f t="shared" si="96"/>
        <v>Knee Replacement RevisionProviderMID STAFFORDSHIRE NHS FOUNDATION TRUST (RJD)Oxford Knee Score</v>
      </c>
      <c r="C6176" t="s">
        <v>250</v>
      </c>
      <c r="D6176" t="s">
        <v>1</v>
      </c>
      <c r="E6176" t="s">
        <v>3638</v>
      </c>
      <c r="F6176" t="s">
        <v>3639</v>
      </c>
      <c r="G6176" t="s">
        <v>16</v>
      </c>
      <c r="H6176" t="s">
        <v>53</v>
      </c>
      <c r="I6176" t="s">
        <v>53</v>
      </c>
      <c r="J6176" t="s">
        <v>53</v>
      </c>
      <c r="K6176" t="s">
        <v>53</v>
      </c>
      <c r="L6176" t="s">
        <v>53</v>
      </c>
      <c r="M6176" t="s">
        <v>53</v>
      </c>
      <c r="N6176" t="s">
        <v>53</v>
      </c>
      <c r="O6176" t="s">
        <v>53</v>
      </c>
      <c r="P6176" t="s">
        <v>53</v>
      </c>
      <c r="Q6176" t="s">
        <v>53</v>
      </c>
    </row>
    <row r="6177" spans="1:17" x14ac:dyDescent="0.2">
      <c r="A6177" s="30" t="str">
        <f>IF(C6177&amp;G6177&amp;D6177&lt;&gt;'Funnel setup'!$K$3&amp;'Funnel setup'!$K$4&amp;'Funnel setup'!$K$5,".",IF(A6176=".",1,A6176+1))</f>
        <v>.</v>
      </c>
      <c r="B6177" s="431" t="str">
        <f t="shared" si="96"/>
        <v>Knee Replacement RevisionProviderMID YORKSHIRE HOSPITALS NHS TRUST (RXF)Oxford Knee Score</v>
      </c>
      <c r="C6177" t="s">
        <v>250</v>
      </c>
      <c r="D6177" t="s">
        <v>1</v>
      </c>
      <c r="E6177" t="s">
        <v>3641</v>
      </c>
      <c r="F6177" t="s">
        <v>3642</v>
      </c>
      <c r="G6177" t="s">
        <v>16</v>
      </c>
      <c r="H6177">
        <v>10</v>
      </c>
      <c r="I6177">
        <v>16.3</v>
      </c>
      <c r="J6177">
        <v>24.4</v>
      </c>
      <c r="K6177">
        <v>8.1</v>
      </c>
      <c r="L6177">
        <v>8</v>
      </c>
      <c r="M6177">
        <v>0</v>
      </c>
      <c r="N6177">
        <v>2</v>
      </c>
      <c r="O6177" t="s">
        <v>53</v>
      </c>
      <c r="P6177" t="s">
        <v>53</v>
      </c>
      <c r="Q6177" t="s">
        <v>53</v>
      </c>
    </row>
    <row r="6178" spans="1:17" x14ac:dyDescent="0.2">
      <c r="A6178" s="30" t="str">
        <f>IF(C6178&amp;G6178&amp;D6178&lt;&gt;'Funnel setup'!$K$3&amp;'Funnel setup'!$K$4&amp;'Funnel setup'!$K$5,".",IF(A6177=".",1,A6177+1))</f>
        <v>.</v>
      </c>
      <c r="B6178" s="431" t="str">
        <f t="shared" si="96"/>
        <v>Knee Replacement RevisionProviderMILTON KEYNES UNIVERSITY HOSPITAL NHS FOUNDATION TRUST (RD8)Oxford Knee Score</v>
      </c>
      <c r="C6178" t="s">
        <v>250</v>
      </c>
      <c r="D6178" t="s">
        <v>1</v>
      </c>
      <c r="E6178" t="s">
        <v>3643</v>
      </c>
      <c r="F6178" t="s">
        <v>6580</v>
      </c>
      <c r="G6178" t="s">
        <v>16</v>
      </c>
      <c r="H6178">
        <v>10</v>
      </c>
      <c r="I6178">
        <v>10.9</v>
      </c>
      <c r="J6178">
        <v>29</v>
      </c>
      <c r="K6178">
        <v>18.100000000000001</v>
      </c>
      <c r="L6178">
        <v>10</v>
      </c>
      <c r="M6178">
        <v>0</v>
      </c>
      <c r="N6178">
        <v>0</v>
      </c>
      <c r="O6178" t="s">
        <v>53</v>
      </c>
      <c r="P6178" t="s">
        <v>53</v>
      </c>
      <c r="Q6178" t="s">
        <v>53</v>
      </c>
    </row>
    <row r="6179" spans="1:17" x14ac:dyDescent="0.2">
      <c r="A6179" s="30" t="str">
        <f>IF(C6179&amp;G6179&amp;D6179&lt;&gt;'Funnel setup'!$K$3&amp;'Funnel setup'!$K$4&amp;'Funnel setup'!$K$5,".",IF(A6178=".",1,A6178+1))</f>
        <v>.</v>
      </c>
      <c r="B6179" s="431" t="str">
        <f t="shared" si="96"/>
        <v>Knee Replacement RevisionProviderNEW HALL HOSPITAL (NVC09)Oxford Knee Score</v>
      </c>
      <c r="C6179" t="s">
        <v>250</v>
      </c>
      <c r="D6179" t="s">
        <v>1</v>
      </c>
      <c r="E6179" t="s">
        <v>3648</v>
      </c>
      <c r="F6179" t="s">
        <v>3649</v>
      </c>
      <c r="G6179" t="s">
        <v>16</v>
      </c>
      <c r="H6179">
        <v>10</v>
      </c>
      <c r="I6179">
        <v>19.5</v>
      </c>
      <c r="J6179">
        <v>26</v>
      </c>
      <c r="K6179">
        <v>6.5</v>
      </c>
      <c r="L6179">
        <v>8</v>
      </c>
      <c r="M6179">
        <v>0</v>
      </c>
      <c r="N6179">
        <v>2</v>
      </c>
      <c r="O6179" t="s">
        <v>53</v>
      </c>
      <c r="P6179" t="s">
        <v>53</v>
      </c>
      <c r="Q6179" t="s">
        <v>53</v>
      </c>
    </row>
    <row r="6180" spans="1:17" x14ac:dyDescent="0.2">
      <c r="A6180" s="30" t="str">
        <f>IF(C6180&amp;G6180&amp;D6180&lt;&gt;'Funnel setup'!$K$3&amp;'Funnel setup'!$K$4&amp;'Funnel setup'!$K$5,".",IF(A6179=".",1,A6179+1))</f>
        <v>.</v>
      </c>
      <c r="B6180" s="431" t="str">
        <f t="shared" si="96"/>
        <v>Knee Replacement RevisionProviderNORFOLK AND NORWICH UNIVERSITY HOSPITALS NHS FOUNDATION TRUST (RM1)Oxford Knee Score</v>
      </c>
      <c r="C6180" t="s">
        <v>250</v>
      </c>
      <c r="D6180" t="s">
        <v>1</v>
      </c>
      <c r="E6180" t="s">
        <v>3651</v>
      </c>
      <c r="F6180" t="s">
        <v>3652</v>
      </c>
      <c r="G6180" t="s">
        <v>16</v>
      </c>
      <c r="H6180">
        <v>31</v>
      </c>
      <c r="I6180">
        <v>17.742000000000001</v>
      </c>
      <c r="J6180">
        <v>30.968</v>
      </c>
      <c r="K6180">
        <v>13.226000000000001</v>
      </c>
      <c r="L6180">
        <v>26</v>
      </c>
      <c r="M6180">
        <v>0</v>
      </c>
      <c r="N6180">
        <v>5</v>
      </c>
      <c r="O6180">
        <v>30.236000000000001</v>
      </c>
      <c r="P6180">
        <v>13.729754140000001</v>
      </c>
      <c r="Q6180">
        <v>10.885999999999999</v>
      </c>
    </row>
    <row r="6181" spans="1:17" x14ac:dyDescent="0.2">
      <c r="A6181" s="30" t="str">
        <f>IF(C6181&amp;G6181&amp;D6181&lt;&gt;'Funnel setup'!$K$3&amp;'Funnel setup'!$K$4&amp;'Funnel setup'!$K$5,".",IF(A6180=".",1,A6180+1))</f>
        <v>.</v>
      </c>
      <c r="B6181" s="431" t="str">
        <f t="shared" si="96"/>
        <v>Knee Replacement RevisionProviderNORTH BRISTOL NHS TRUST (RVJ)Oxford Knee Score</v>
      </c>
      <c r="C6181" t="s">
        <v>250</v>
      </c>
      <c r="D6181" t="s">
        <v>1</v>
      </c>
      <c r="E6181" t="s">
        <v>3654</v>
      </c>
      <c r="F6181" t="s">
        <v>3655</v>
      </c>
      <c r="G6181" t="s">
        <v>16</v>
      </c>
      <c r="H6181">
        <v>19</v>
      </c>
      <c r="I6181">
        <v>16.367999999999999</v>
      </c>
      <c r="J6181">
        <v>31.895</v>
      </c>
      <c r="K6181">
        <v>15.526</v>
      </c>
      <c r="L6181">
        <v>18</v>
      </c>
      <c r="M6181">
        <v>1</v>
      </c>
      <c r="N6181">
        <v>0</v>
      </c>
      <c r="O6181" t="s">
        <v>53</v>
      </c>
      <c r="P6181" t="s">
        <v>53</v>
      </c>
      <c r="Q6181" t="s">
        <v>53</v>
      </c>
    </row>
    <row r="6182" spans="1:17" x14ac:dyDescent="0.2">
      <c r="A6182" s="30" t="str">
        <f>IF(C6182&amp;G6182&amp;D6182&lt;&gt;'Funnel setup'!$K$3&amp;'Funnel setup'!$K$4&amp;'Funnel setup'!$K$5,".",IF(A6181=".",1,A6181+1))</f>
        <v>.</v>
      </c>
      <c r="B6182" s="431" t="str">
        <f t="shared" si="96"/>
        <v>Knee Replacement RevisionProviderNORTH CUMBRIA UNIVERSITY HOSPITALS NHS TRUST (RNL)Oxford Knee Score</v>
      </c>
      <c r="C6182" t="s">
        <v>250</v>
      </c>
      <c r="D6182" t="s">
        <v>1</v>
      </c>
      <c r="E6182" t="s">
        <v>3657</v>
      </c>
      <c r="F6182" t="s">
        <v>3658</v>
      </c>
      <c r="G6182" t="s">
        <v>16</v>
      </c>
      <c r="H6182" t="s">
        <v>53</v>
      </c>
      <c r="I6182" t="s">
        <v>53</v>
      </c>
      <c r="J6182" t="s">
        <v>53</v>
      </c>
      <c r="K6182" t="s">
        <v>53</v>
      </c>
      <c r="L6182" t="s">
        <v>53</v>
      </c>
      <c r="M6182" t="s">
        <v>53</v>
      </c>
      <c r="N6182" t="s">
        <v>53</v>
      </c>
      <c r="O6182" t="s">
        <v>53</v>
      </c>
      <c r="P6182" t="s">
        <v>53</v>
      </c>
      <c r="Q6182" t="s">
        <v>53</v>
      </c>
    </row>
    <row r="6183" spans="1:17" x14ac:dyDescent="0.2">
      <c r="A6183" s="30" t="str">
        <f>IF(C6183&amp;G6183&amp;D6183&lt;&gt;'Funnel setup'!$K$3&amp;'Funnel setup'!$K$4&amp;'Funnel setup'!$K$5,".",IF(A6182=".",1,A6182+1))</f>
        <v>.</v>
      </c>
      <c r="B6183" s="431" t="str">
        <f t="shared" si="96"/>
        <v>Knee Replacement RevisionProviderNORTH DOWNS HOSPITAL (NVC11)Oxford Knee Score</v>
      </c>
      <c r="C6183" t="s">
        <v>250</v>
      </c>
      <c r="D6183" t="s">
        <v>1</v>
      </c>
      <c r="E6183" t="s">
        <v>3660</v>
      </c>
      <c r="F6183" t="s">
        <v>3661</v>
      </c>
      <c r="G6183" t="s">
        <v>16</v>
      </c>
      <c r="H6183" t="s">
        <v>53</v>
      </c>
      <c r="I6183" t="s">
        <v>53</v>
      </c>
      <c r="J6183" t="s">
        <v>53</v>
      </c>
      <c r="K6183" t="s">
        <v>53</v>
      </c>
      <c r="L6183" t="s">
        <v>53</v>
      </c>
      <c r="M6183" t="s">
        <v>53</v>
      </c>
      <c r="N6183" t="s">
        <v>53</v>
      </c>
      <c r="O6183" t="s">
        <v>53</v>
      </c>
      <c r="P6183" t="s">
        <v>53</v>
      </c>
      <c r="Q6183" t="s">
        <v>53</v>
      </c>
    </row>
    <row r="6184" spans="1:17" x14ac:dyDescent="0.2">
      <c r="A6184" s="30" t="str">
        <f>IF(C6184&amp;G6184&amp;D6184&lt;&gt;'Funnel setup'!$K$3&amp;'Funnel setup'!$K$4&amp;'Funnel setup'!$K$5,".",IF(A6183=".",1,A6183+1))</f>
        <v>.</v>
      </c>
      <c r="B6184" s="431" t="str">
        <f t="shared" si="96"/>
        <v>Knee Replacement RevisionProviderNORTH EAST LONDON TREATMENT CENTRE CARE UK (NTP15)Oxford Knee Score</v>
      </c>
      <c r="C6184" t="s">
        <v>250</v>
      </c>
      <c r="D6184" t="s">
        <v>1</v>
      </c>
      <c r="E6184" t="s">
        <v>3663</v>
      </c>
      <c r="F6184" t="s">
        <v>3664</v>
      </c>
      <c r="G6184" t="s">
        <v>16</v>
      </c>
      <c r="H6184" t="s">
        <v>53</v>
      </c>
      <c r="I6184" t="s">
        <v>53</v>
      </c>
      <c r="J6184" t="s">
        <v>53</v>
      </c>
      <c r="K6184" t="s">
        <v>53</v>
      </c>
      <c r="L6184" t="s">
        <v>53</v>
      </c>
      <c r="M6184" t="s">
        <v>53</v>
      </c>
      <c r="N6184" t="s">
        <v>53</v>
      </c>
      <c r="O6184" t="s">
        <v>53</v>
      </c>
      <c r="P6184" t="s">
        <v>53</v>
      </c>
      <c r="Q6184" t="s">
        <v>53</v>
      </c>
    </row>
    <row r="6185" spans="1:17" x14ac:dyDescent="0.2">
      <c r="A6185" s="30" t="str">
        <f>IF(C6185&amp;G6185&amp;D6185&lt;&gt;'Funnel setup'!$K$3&amp;'Funnel setup'!$K$4&amp;'Funnel setup'!$K$5,".",IF(A6184=".",1,A6184+1))</f>
        <v>.</v>
      </c>
      <c r="B6185" s="431" t="str">
        <f t="shared" si="96"/>
        <v>Knee Replacement RevisionProviderNORTH MIDDLESEX UNIVERSITY HOSPITAL NHS TRUST (RAP)Oxford Knee Score</v>
      </c>
      <c r="C6185" t="s">
        <v>250</v>
      </c>
      <c r="D6185" t="s">
        <v>1</v>
      </c>
      <c r="E6185" t="s">
        <v>3666</v>
      </c>
      <c r="F6185" t="s">
        <v>3667</v>
      </c>
      <c r="G6185" t="s">
        <v>16</v>
      </c>
      <c r="H6185" t="s">
        <v>53</v>
      </c>
      <c r="I6185" t="s">
        <v>53</v>
      </c>
      <c r="J6185" t="s">
        <v>53</v>
      </c>
      <c r="K6185" t="s">
        <v>53</v>
      </c>
      <c r="L6185" t="s">
        <v>53</v>
      </c>
      <c r="M6185" t="s">
        <v>53</v>
      </c>
      <c r="N6185" t="s">
        <v>53</v>
      </c>
      <c r="O6185" t="s">
        <v>53</v>
      </c>
      <c r="P6185" t="s">
        <v>53</v>
      </c>
      <c r="Q6185" t="s">
        <v>53</v>
      </c>
    </row>
    <row r="6186" spans="1:17" x14ac:dyDescent="0.2">
      <c r="A6186" s="30" t="str">
        <f>IF(C6186&amp;G6186&amp;D6186&lt;&gt;'Funnel setup'!$K$3&amp;'Funnel setup'!$K$4&amp;'Funnel setup'!$K$5,".",IF(A6185=".",1,A6185+1))</f>
        <v>.</v>
      </c>
      <c r="B6186" s="431" t="str">
        <f t="shared" si="96"/>
        <v>Knee Replacement RevisionProviderNORTH TEES AND HARTLEPOOL NHS FOUNDATION TRUST (RVW)Oxford Knee Score</v>
      </c>
      <c r="C6186" t="s">
        <v>250</v>
      </c>
      <c r="D6186" t="s">
        <v>1</v>
      </c>
      <c r="E6186" t="s">
        <v>3669</v>
      </c>
      <c r="F6186" t="s">
        <v>3670</v>
      </c>
      <c r="G6186" t="s">
        <v>16</v>
      </c>
      <c r="H6186">
        <v>14</v>
      </c>
      <c r="I6186">
        <v>10.214</v>
      </c>
      <c r="J6186">
        <v>23.5</v>
      </c>
      <c r="K6186">
        <v>13.286</v>
      </c>
      <c r="L6186">
        <v>13</v>
      </c>
      <c r="M6186">
        <v>0</v>
      </c>
      <c r="N6186">
        <v>1</v>
      </c>
      <c r="O6186" t="s">
        <v>53</v>
      </c>
      <c r="P6186" t="s">
        <v>53</v>
      </c>
      <c r="Q6186" t="s">
        <v>53</v>
      </c>
    </row>
    <row r="6187" spans="1:17" x14ac:dyDescent="0.2">
      <c r="A6187" s="30" t="str">
        <f>IF(C6187&amp;G6187&amp;D6187&lt;&gt;'Funnel setup'!$K$3&amp;'Funnel setup'!$K$4&amp;'Funnel setup'!$K$5,".",IF(A6186=".",1,A6186+1))</f>
        <v>.</v>
      </c>
      <c r="B6187" s="431" t="str">
        <f t="shared" si="96"/>
        <v>Knee Replacement RevisionProviderNORTHAMPTON GENERAL HOSPITAL NHS TRUST (RNS)Oxford Knee Score</v>
      </c>
      <c r="C6187" t="s">
        <v>250</v>
      </c>
      <c r="D6187" t="s">
        <v>1</v>
      </c>
      <c r="E6187" t="s">
        <v>3675</v>
      </c>
      <c r="F6187" t="s">
        <v>3676</v>
      </c>
      <c r="G6187" t="s">
        <v>16</v>
      </c>
      <c r="H6187">
        <v>8</v>
      </c>
      <c r="I6187">
        <v>12.375</v>
      </c>
      <c r="J6187">
        <v>27.875</v>
      </c>
      <c r="K6187">
        <v>15.5</v>
      </c>
      <c r="L6187">
        <v>8</v>
      </c>
      <c r="M6187">
        <v>0</v>
      </c>
      <c r="N6187">
        <v>0</v>
      </c>
      <c r="O6187" t="s">
        <v>53</v>
      </c>
      <c r="P6187" t="s">
        <v>53</v>
      </c>
      <c r="Q6187" t="s">
        <v>53</v>
      </c>
    </row>
    <row r="6188" spans="1:17" x14ac:dyDescent="0.2">
      <c r="A6188" s="30" t="str">
        <f>IF(C6188&amp;G6188&amp;D6188&lt;&gt;'Funnel setup'!$K$3&amp;'Funnel setup'!$K$4&amp;'Funnel setup'!$K$5,".",IF(A6187=".",1,A6187+1))</f>
        <v>.</v>
      </c>
      <c r="B6188" s="431" t="str">
        <f t="shared" si="96"/>
        <v>Knee Replacement RevisionProviderNORTHERN DEVON HEALTHCARE NHS TRUST (RBZ)Oxford Knee Score</v>
      </c>
      <c r="C6188" t="s">
        <v>250</v>
      </c>
      <c r="D6188" t="s">
        <v>1</v>
      </c>
      <c r="E6188" t="s">
        <v>3678</v>
      </c>
      <c r="F6188" t="s">
        <v>3679</v>
      </c>
      <c r="G6188" t="s">
        <v>16</v>
      </c>
      <c r="H6188">
        <v>7</v>
      </c>
      <c r="I6188">
        <v>17.856999999999999</v>
      </c>
      <c r="J6188">
        <v>38.429000000000002</v>
      </c>
      <c r="K6188">
        <v>20.571000000000002</v>
      </c>
      <c r="L6188">
        <v>7</v>
      </c>
      <c r="M6188">
        <v>0</v>
      </c>
      <c r="N6188">
        <v>0</v>
      </c>
      <c r="O6188" t="s">
        <v>53</v>
      </c>
      <c r="P6188" t="s">
        <v>53</v>
      </c>
      <c r="Q6188" t="s">
        <v>53</v>
      </c>
    </row>
    <row r="6189" spans="1:17" x14ac:dyDescent="0.2">
      <c r="A6189" s="30" t="str">
        <f>IF(C6189&amp;G6189&amp;D6189&lt;&gt;'Funnel setup'!$K$3&amp;'Funnel setup'!$K$4&amp;'Funnel setup'!$K$5,".",IF(A6188=".",1,A6188+1))</f>
        <v>.</v>
      </c>
      <c r="B6189" s="431" t="str">
        <f t="shared" si="96"/>
        <v>Knee Replacement RevisionProviderNORTHERN LINCOLNSHIRE AND GOOLE NHS FOUNDATION TRUST (RJL)Oxford Knee Score</v>
      </c>
      <c r="C6189" t="s">
        <v>250</v>
      </c>
      <c r="D6189" t="s">
        <v>1</v>
      </c>
      <c r="E6189" t="s">
        <v>3681</v>
      </c>
      <c r="F6189" t="s">
        <v>3682</v>
      </c>
      <c r="G6189" t="s">
        <v>16</v>
      </c>
      <c r="H6189">
        <v>15</v>
      </c>
      <c r="I6189">
        <v>19.266999999999999</v>
      </c>
      <c r="J6189">
        <v>29.733000000000001</v>
      </c>
      <c r="K6189">
        <v>10.467000000000001</v>
      </c>
      <c r="L6189">
        <v>10</v>
      </c>
      <c r="M6189">
        <v>1</v>
      </c>
      <c r="N6189">
        <v>4</v>
      </c>
      <c r="O6189" t="s">
        <v>53</v>
      </c>
      <c r="P6189" t="s">
        <v>53</v>
      </c>
      <c r="Q6189" t="s">
        <v>53</v>
      </c>
    </row>
    <row r="6190" spans="1:17" x14ac:dyDescent="0.2">
      <c r="A6190" s="30" t="str">
        <f>IF(C6190&amp;G6190&amp;D6190&lt;&gt;'Funnel setup'!$K$3&amp;'Funnel setup'!$K$4&amp;'Funnel setup'!$K$5,".",IF(A6189=".",1,A6189+1))</f>
        <v>.</v>
      </c>
      <c r="B6190" s="431" t="str">
        <f t="shared" si="96"/>
        <v>Knee Replacement RevisionProviderNORTHUMBRIA HEALTHCARE NHS FOUNDATION TRUST (RTF)Oxford Knee Score</v>
      </c>
      <c r="C6190" t="s">
        <v>250</v>
      </c>
      <c r="D6190" t="s">
        <v>1</v>
      </c>
      <c r="E6190" t="s">
        <v>3684</v>
      </c>
      <c r="F6190" t="s">
        <v>3685</v>
      </c>
      <c r="G6190" t="s">
        <v>16</v>
      </c>
      <c r="H6190">
        <v>18</v>
      </c>
      <c r="I6190">
        <v>17</v>
      </c>
      <c r="J6190">
        <v>32.610999999999997</v>
      </c>
      <c r="K6190">
        <v>15.611000000000001</v>
      </c>
      <c r="L6190">
        <v>18</v>
      </c>
      <c r="M6190">
        <v>0</v>
      </c>
      <c r="N6190">
        <v>0</v>
      </c>
      <c r="O6190" t="s">
        <v>53</v>
      </c>
      <c r="P6190" t="s">
        <v>53</v>
      </c>
      <c r="Q6190" t="s">
        <v>53</v>
      </c>
    </row>
    <row r="6191" spans="1:17" x14ac:dyDescent="0.2">
      <c r="A6191" s="30" t="str">
        <f>IF(C6191&amp;G6191&amp;D6191&lt;&gt;'Funnel setup'!$K$3&amp;'Funnel setup'!$K$4&amp;'Funnel setup'!$K$5,".",IF(A6190=".",1,A6190+1))</f>
        <v>.</v>
      </c>
      <c r="B6191" s="431" t="str">
        <f t="shared" si="96"/>
        <v>Knee Replacement RevisionProviderNOTTINGHAM UNIVERSITY HOSPITALS NHS TRUST (RX1)Oxford Knee Score</v>
      </c>
      <c r="C6191" t="s">
        <v>250</v>
      </c>
      <c r="D6191" t="s">
        <v>1</v>
      </c>
      <c r="E6191" t="s">
        <v>3687</v>
      </c>
      <c r="F6191" t="s">
        <v>3688</v>
      </c>
      <c r="G6191" t="s">
        <v>16</v>
      </c>
      <c r="H6191">
        <v>33</v>
      </c>
      <c r="I6191">
        <v>18.242000000000001</v>
      </c>
      <c r="J6191">
        <v>32.515000000000001</v>
      </c>
      <c r="K6191">
        <v>14.273</v>
      </c>
      <c r="L6191">
        <v>31</v>
      </c>
      <c r="M6191">
        <v>2</v>
      </c>
      <c r="N6191">
        <v>0</v>
      </c>
      <c r="O6191">
        <v>31.431999999999999</v>
      </c>
      <c r="P6191">
        <v>14.925880380000001</v>
      </c>
      <c r="Q6191">
        <v>8.0039999999999996</v>
      </c>
    </row>
    <row r="6192" spans="1:17" x14ac:dyDescent="0.2">
      <c r="A6192" s="30" t="str">
        <f>IF(C6192&amp;G6192&amp;D6192&lt;&gt;'Funnel setup'!$K$3&amp;'Funnel setup'!$K$4&amp;'Funnel setup'!$K$5,".",IF(A6191=".",1,A6191+1))</f>
        <v>.</v>
      </c>
      <c r="B6192" s="431" t="str">
        <f t="shared" si="96"/>
        <v>Knee Replacement RevisionProviderNUFFIELD HEALTH, DERBY HOSPITAL (NT213)Oxford Knee Score</v>
      </c>
      <c r="C6192" t="s">
        <v>250</v>
      </c>
      <c r="D6192" t="s">
        <v>1</v>
      </c>
      <c r="E6192" t="s">
        <v>3340</v>
      </c>
      <c r="F6192" t="s">
        <v>3341</v>
      </c>
      <c r="G6192" t="s">
        <v>16</v>
      </c>
      <c r="H6192" t="s">
        <v>53</v>
      </c>
      <c r="I6192" t="s">
        <v>53</v>
      </c>
      <c r="J6192" t="s">
        <v>53</v>
      </c>
      <c r="K6192" t="s">
        <v>53</v>
      </c>
      <c r="L6192" t="s">
        <v>53</v>
      </c>
      <c r="M6192" t="s">
        <v>53</v>
      </c>
      <c r="N6192" t="s">
        <v>53</v>
      </c>
      <c r="O6192" t="s">
        <v>53</v>
      </c>
      <c r="P6192" t="s">
        <v>53</v>
      </c>
      <c r="Q6192" t="s">
        <v>53</v>
      </c>
    </row>
    <row r="6193" spans="1:17" x14ac:dyDescent="0.2">
      <c r="A6193" s="30" t="str">
        <f>IF(C6193&amp;G6193&amp;D6193&lt;&gt;'Funnel setup'!$K$3&amp;'Funnel setup'!$K$4&amp;'Funnel setup'!$K$5,".",IF(A6192=".",1,A6192+1))</f>
        <v>.</v>
      </c>
      <c r="B6193" s="431" t="str">
        <f t="shared" si="96"/>
        <v>Knee Replacement RevisionProviderNUFFIELD HEALTH, EXETER HOSPITAL (NT215)Oxford Knee Score</v>
      </c>
      <c r="C6193" t="s">
        <v>250</v>
      </c>
      <c r="D6193" t="s">
        <v>1</v>
      </c>
      <c r="E6193" t="s">
        <v>4339</v>
      </c>
      <c r="F6193" t="s">
        <v>4340</v>
      </c>
      <c r="G6193" t="s">
        <v>16</v>
      </c>
      <c r="H6193" t="s">
        <v>53</v>
      </c>
      <c r="I6193" t="s">
        <v>53</v>
      </c>
      <c r="J6193" t="s">
        <v>53</v>
      </c>
      <c r="K6193" t="s">
        <v>53</v>
      </c>
      <c r="L6193" t="s">
        <v>53</v>
      </c>
      <c r="M6193" t="s">
        <v>53</v>
      </c>
      <c r="N6193" t="s">
        <v>53</v>
      </c>
      <c r="O6193" t="s">
        <v>53</v>
      </c>
      <c r="P6193" t="s">
        <v>53</v>
      </c>
      <c r="Q6193" t="s">
        <v>53</v>
      </c>
    </row>
    <row r="6194" spans="1:17" x14ac:dyDescent="0.2">
      <c r="A6194" s="30" t="str">
        <f>IF(C6194&amp;G6194&amp;D6194&lt;&gt;'Funnel setup'!$K$3&amp;'Funnel setup'!$K$4&amp;'Funnel setup'!$K$5,".",IF(A6193=".",1,A6193+1))</f>
        <v>.</v>
      </c>
      <c r="B6194" s="431" t="str">
        <f t="shared" si="96"/>
        <v>Knee Replacement RevisionProviderNUFFIELD HEALTH, LEEDS HOSPITAL (NT225)Oxford Knee Score</v>
      </c>
      <c r="C6194" t="s">
        <v>250</v>
      </c>
      <c r="D6194" t="s">
        <v>1</v>
      </c>
      <c r="E6194" t="s">
        <v>3388</v>
      </c>
      <c r="F6194" t="s">
        <v>3389</v>
      </c>
      <c r="G6194" t="s">
        <v>16</v>
      </c>
      <c r="H6194" t="s">
        <v>53</v>
      </c>
      <c r="I6194" t="s">
        <v>53</v>
      </c>
      <c r="J6194" t="s">
        <v>53</v>
      </c>
      <c r="K6194" t="s">
        <v>53</v>
      </c>
      <c r="L6194" t="s">
        <v>53</v>
      </c>
      <c r="M6194" t="s">
        <v>53</v>
      </c>
      <c r="N6194" t="s">
        <v>53</v>
      </c>
      <c r="O6194" t="s">
        <v>53</v>
      </c>
      <c r="P6194" t="s">
        <v>53</v>
      </c>
      <c r="Q6194" t="s">
        <v>53</v>
      </c>
    </row>
    <row r="6195" spans="1:17" x14ac:dyDescent="0.2">
      <c r="A6195" s="30" t="str">
        <f>IF(C6195&amp;G6195&amp;D6195&lt;&gt;'Funnel setup'!$K$3&amp;'Funnel setup'!$K$4&amp;'Funnel setup'!$K$5,".",IF(A6194=".",1,A6194+1))</f>
        <v>.</v>
      </c>
      <c r="B6195" s="431" t="str">
        <f t="shared" si="96"/>
        <v>Knee Replacement RevisionProviderNUFFIELD HEALTH, TEES HOSPITAL (NT237)Oxford Knee Score</v>
      </c>
      <c r="C6195" t="s">
        <v>250</v>
      </c>
      <c r="D6195" t="s">
        <v>1</v>
      </c>
      <c r="E6195" t="s">
        <v>3246</v>
      </c>
      <c r="F6195" t="s">
        <v>3247</v>
      </c>
      <c r="G6195" t="s">
        <v>16</v>
      </c>
      <c r="H6195" t="s">
        <v>53</v>
      </c>
      <c r="I6195" t="s">
        <v>53</v>
      </c>
      <c r="J6195" t="s">
        <v>53</v>
      </c>
      <c r="K6195" t="s">
        <v>53</v>
      </c>
      <c r="L6195" t="s">
        <v>53</v>
      </c>
      <c r="M6195" t="s">
        <v>53</v>
      </c>
      <c r="N6195" t="s">
        <v>53</v>
      </c>
      <c r="O6195" t="s">
        <v>53</v>
      </c>
      <c r="P6195" t="s">
        <v>53</v>
      </c>
      <c r="Q6195" t="s">
        <v>53</v>
      </c>
    </row>
    <row r="6196" spans="1:17" x14ac:dyDescent="0.2">
      <c r="A6196" s="30" t="str">
        <f>IF(C6196&amp;G6196&amp;D6196&lt;&gt;'Funnel setup'!$K$3&amp;'Funnel setup'!$K$4&amp;'Funnel setup'!$K$5,".",IF(A6195=".",1,A6195+1))</f>
        <v>.</v>
      </c>
      <c r="B6196" s="431" t="str">
        <f t="shared" si="96"/>
        <v>Knee Replacement RevisionProviderNUFFIELD HEALTH, YORK HOSPITAL (NT245)Oxford Knee Score</v>
      </c>
      <c r="C6196" t="s">
        <v>250</v>
      </c>
      <c r="D6196" t="s">
        <v>1</v>
      </c>
      <c r="E6196" t="s">
        <v>4299</v>
      </c>
      <c r="F6196" t="s">
        <v>4300</v>
      </c>
      <c r="G6196" t="s">
        <v>16</v>
      </c>
      <c r="H6196" t="s">
        <v>53</v>
      </c>
      <c r="I6196" t="s">
        <v>53</v>
      </c>
      <c r="J6196" t="s">
        <v>53</v>
      </c>
      <c r="K6196" t="s">
        <v>53</v>
      </c>
      <c r="L6196" t="s">
        <v>53</v>
      </c>
      <c r="M6196" t="s">
        <v>53</v>
      </c>
      <c r="N6196" t="s">
        <v>53</v>
      </c>
      <c r="O6196" t="s">
        <v>53</v>
      </c>
      <c r="P6196" t="s">
        <v>53</v>
      </c>
      <c r="Q6196" t="s">
        <v>53</v>
      </c>
    </row>
    <row r="6197" spans="1:17" x14ac:dyDescent="0.2">
      <c r="A6197" s="30" t="str">
        <f>IF(C6197&amp;G6197&amp;D6197&lt;&gt;'Funnel setup'!$K$3&amp;'Funnel setup'!$K$4&amp;'Funnel setup'!$K$5,".",IF(A6196=".",1,A6196+1))</f>
        <v>.</v>
      </c>
      <c r="B6197" s="431" t="str">
        <f t="shared" si="96"/>
        <v>Knee Replacement RevisionProviderOAKS HOSPITAL (NVC13)Oxford Knee Score</v>
      </c>
      <c r="C6197" t="s">
        <v>250</v>
      </c>
      <c r="D6197" t="s">
        <v>1</v>
      </c>
      <c r="E6197" t="s">
        <v>3270</v>
      </c>
      <c r="F6197" t="s">
        <v>3271</v>
      </c>
      <c r="G6197" t="s">
        <v>16</v>
      </c>
      <c r="H6197" t="s">
        <v>53</v>
      </c>
      <c r="I6197" t="s">
        <v>53</v>
      </c>
      <c r="J6197" t="s">
        <v>53</v>
      </c>
      <c r="K6197" t="s">
        <v>53</v>
      </c>
      <c r="L6197" t="s">
        <v>53</v>
      </c>
      <c r="M6197" t="s">
        <v>53</v>
      </c>
      <c r="N6197" t="s">
        <v>53</v>
      </c>
      <c r="O6197" t="s">
        <v>53</v>
      </c>
      <c r="P6197" t="s">
        <v>53</v>
      </c>
      <c r="Q6197" t="s">
        <v>53</v>
      </c>
    </row>
    <row r="6198" spans="1:17" x14ac:dyDescent="0.2">
      <c r="A6198" s="30" t="str">
        <f>IF(C6198&amp;G6198&amp;D6198&lt;&gt;'Funnel setup'!$K$3&amp;'Funnel setup'!$K$4&amp;'Funnel setup'!$K$5,".",IF(A6197=".",1,A6197+1))</f>
        <v>.</v>
      </c>
      <c r="B6198" s="431" t="str">
        <f t="shared" si="96"/>
        <v>Knee Replacement RevisionProviderOXFORD UNIVERSITY HOSPITALS NHS FOUNDATION TRUST (RTH)Oxford Knee Score</v>
      </c>
      <c r="C6198" t="s">
        <v>250</v>
      </c>
      <c r="D6198" t="s">
        <v>1</v>
      </c>
      <c r="E6198" t="s">
        <v>3278</v>
      </c>
      <c r="F6198" t="s">
        <v>6578</v>
      </c>
      <c r="G6198" t="s">
        <v>16</v>
      </c>
      <c r="H6198">
        <v>46</v>
      </c>
      <c r="I6198">
        <v>15.717000000000001</v>
      </c>
      <c r="J6198">
        <v>27.565000000000001</v>
      </c>
      <c r="K6198">
        <v>11.848000000000001</v>
      </c>
      <c r="L6198">
        <v>36</v>
      </c>
      <c r="M6198">
        <v>3</v>
      </c>
      <c r="N6198">
        <v>7</v>
      </c>
      <c r="O6198">
        <v>28.876999999999999</v>
      </c>
      <c r="P6198">
        <v>12.371694359999999</v>
      </c>
      <c r="Q6198">
        <v>9.9580000000000002</v>
      </c>
    </row>
    <row r="6199" spans="1:17" x14ac:dyDescent="0.2">
      <c r="A6199" s="30" t="str">
        <f>IF(C6199&amp;G6199&amp;D6199&lt;&gt;'Funnel setup'!$K$3&amp;'Funnel setup'!$K$4&amp;'Funnel setup'!$K$5,".",IF(A6198=".",1,A6198+1))</f>
        <v>.</v>
      </c>
      <c r="B6199" s="431" t="str">
        <f t="shared" si="96"/>
        <v>Knee Replacement RevisionProviderPENINSULA NHS TREATMENT CENTRE (NTPH5)Oxford Knee Score</v>
      </c>
      <c r="C6199" t="s">
        <v>250</v>
      </c>
      <c r="D6199" t="s">
        <v>1</v>
      </c>
      <c r="E6199" t="s">
        <v>4285</v>
      </c>
      <c r="F6199" t="s">
        <v>4286</v>
      </c>
      <c r="G6199" t="s">
        <v>16</v>
      </c>
      <c r="H6199">
        <v>9</v>
      </c>
      <c r="I6199">
        <v>28.556000000000001</v>
      </c>
      <c r="J6199">
        <v>39.110999999999997</v>
      </c>
      <c r="K6199">
        <v>10.555999999999999</v>
      </c>
      <c r="L6199">
        <v>8</v>
      </c>
      <c r="M6199">
        <v>0</v>
      </c>
      <c r="N6199">
        <v>1</v>
      </c>
      <c r="O6199" t="s">
        <v>53</v>
      </c>
      <c r="P6199" t="s">
        <v>53</v>
      </c>
      <c r="Q6199" t="s">
        <v>53</v>
      </c>
    </row>
    <row r="6200" spans="1:17" x14ac:dyDescent="0.2">
      <c r="A6200" s="30" t="str">
        <f>IF(C6200&amp;G6200&amp;D6200&lt;&gt;'Funnel setup'!$K$3&amp;'Funnel setup'!$K$4&amp;'Funnel setup'!$K$5,".",IF(A6199=".",1,A6199+1))</f>
        <v>.</v>
      </c>
      <c r="B6200" s="431" t="str">
        <f t="shared" si="96"/>
        <v>Knee Replacement RevisionProviderPENNINE ACUTE HOSPITALS NHS TRUST (RW6)Oxford Knee Score</v>
      </c>
      <c r="C6200" t="s">
        <v>250</v>
      </c>
      <c r="D6200" t="s">
        <v>1</v>
      </c>
      <c r="E6200" t="s">
        <v>3216</v>
      </c>
      <c r="F6200" t="s">
        <v>3217</v>
      </c>
      <c r="G6200" t="s">
        <v>16</v>
      </c>
      <c r="H6200">
        <v>16</v>
      </c>
      <c r="I6200">
        <v>13.125</v>
      </c>
      <c r="J6200">
        <v>22.812999999999999</v>
      </c>
      <c r="K6200">
        <v>9.6880000000000006</v>
      </c>
      <c r="L6200">
        <v>13</v>
      </c>
      <c r="M6200">
        <v>0</v>
      </c>
      <c r="N6200">
        <v>3</v>
      </c>
      <c r="O6200" t="s">
        <v>53</v>
      </c>
      <c r="P6200" t="s">
        <v>53</v>
      </c>
      <c r="Q6200" t="s">
        <v>53</v>
      </c>
    </row>
    <row r="6201" spans="1:17" x14ac:dyDescent="0.2">
      <c r="A6201" s="30" t="str">
        <f>IF(C6201&amp;G6201&amp;D6201&lt;&gt;'Funnel setup'!$K$3&amp;'Funnel setup'!$K$4&amp;'Funnel setup'!$K$5,".",IF(A6200=".",1,A6200+1))</f>
        <v>.</v>
      </c>
      <c r="B6201" s="431" t="str">
        <f t="shared" si="96"/>
        <v>Knee Replacement RevisionProviderPETERBOROUGH AND STAMFORD HOSPITALS NHS FOUNDATION TRUST (RGN)Oxford Knee Score</v>
      </c>
      <c r="C6201" t="s">
        <v>250</v>
      </c>
      <c r="D6201" t="s">
        <v>1</v>
      </c>
      <c r="E6201" t="s">
        <v>3219</v>
      </c>
      <c r="F6201" t="s">
        <v>3220</v>
      </c>
      <c r="G6201" t="s">
        <v>16</v>
      </c>
      <c r="H6201" t="s">
        <v>53</v>
      </c>
      <c r="I6201" t="s">
        <v>53</v>
      </c>
      <c r="J6201" t="s">
        <v>53</v>
      </c>
      <c r="K6201" t="s">
        <v>53</v>
      </c>
      <c r="L6201" t="s">
        <v>53</v>
      </c>
      <c r="M6201" t="s">
        <v>53</v>
      </c>
      <c r="N6201" t="s">
        <v>53</v>
      </c>
      <c r="O6201" t="s">
        <v>53</v>
      </c>
      <c r="P6201" t="s">
        <v>53</v>
      </c>
      <c r="Q6201" t="s">
        <v>53</v>
      </c>
    </row>
    <row r="6202" spans="1:17" x14ac:dyDescent="0.2">
      <c r="A6202" s="30" t="str">
        <f>IF(C6202&amp;G6202&amp;D6202&lt;&gt;'Funnel setup'!$K$3&amp;'Funnel setup'!$K$4&amp;'Funnel setup'!$K$5,".",IF(A6201=".",1,A6201+1))</f>
        <v>.</v>
      </c>
      <c r="B6202" s="431" t="str">
        <f t="shared" si="96"/>
        <v>Knee Replacement RevisionProviderPINEHILL HOSPITAL (NVC15)Oxford Knee Score</v>
      </c>
      <c r="C6202" t="s">
        <v>250</v>
      </c>
      <c r="D6202" t="s">
        <v>1</v>
      </c>
      <c r="E6202" t="s">
        <v>3222</v>
      </c>
      <c r="F6202" t="s">
        <v>3223</v>
      </c>
      <c r="G6202" t="s">
        <v>16</v>
      </c>
      <c r="H6202" t="s">
        <v>53</v>
      </c>
      <c r="I6202" t="s">
        <v>53</v>
      </c>
      <c r="J6202" t="s">
        <v>53</v>
      </c>
      <c r="K6202" t="s">
        <v>53</v>
      </c>
      <c r="L6202" t="s">
        <v>53</v>
      </c>
      <c r="M6202" t="s">
        <v>53</v>
      </c>
      <c r="N6202" t="s">
        <v>53</v>
      </c>
      <c r="O6202" t="s">
        <v>53</v>
      </c>
      <c r="P6202" t="s">
        <v>53</v>
      </c>
      <c r="Q6202" t="s">
        <v>53</v>
      </c>
    </row>
    <row r="6203" spans="1:17" x14ac:dyDescent="0.2">
      <c r="A6203" s="30" t="str">
        <f>IF(C6203&amp;G6203&amp;D6203&lt;&gt;'Funnel setup'!$K$3&amp;'Funnel setup'!$K$4&amp;'Funnel setup'!$K$5,".",IF(A6202=".",1,A6202+1))</f>
        <v>.</v>
      </c>
      <c r="B6203" s="431" t="str">
        <f t="shared" si="96"/>
        <v>Knee Replacement RevisionProviderPLYMOUTH HOSPITALS NHS TRUST (RK9)Oxford Knee Score</v>
      </c>
      <c r="C6203" t="s">
        <v>250</v>
      </c>
      <c r="D6203" t="s">
        <v>1</v>
      </c>
      <c r="E6203" t="s">
        <v>3225</v>
      </c>
      <c r="F6203" t="s">
        <v>3226</v>
      </c>
      <c r="G6203" t="s">
        <v>16</v>
      </c>
      <c r="H6203">
        <v>9</v>
      </c>
      <c r="I6203">
        <v>12.555999999999999</v>
      </c>
      <c r="J6203">
        <v>24.111000000000001</v>
      </c>
      <c r="K6203">
        <v>11.555999999999999</v>
      </c>
      <c r="L6203">
        <v>7</v>
      </c>
      <c r="M6203">
        <v>1</v>
      </c>
      <c r="N6203">
        <v>1</v>
      </c>
      <c r="O6203" t="s">
        <v>53</v>
      </c>
      <c r="P6203" t="s">
        <v>53</v>
      </c>
      <c r="Q6203" t="s">
        <v>53</v>
      </c>
    </row>
    <row r="6204" spans="1:17" x14ac:dyDescent="0.2">
      <c r="A6204" s="30" t="str">
        <f>IF(C6204&amp;G6204&amp;D6204&lt;&gt;'Funnel setup'!$K$3&amp;'Funnel setup'!$K$4&amp;'Funnel setup'!$K$5,".",IF(A6203=".",1,A6203+1))</f>
        <v>.</v>
      </c>
      <c r="B6204" s="431" t="str">
        <f t="shared" si="96"/>
        <v>Knee Replacement RevisionProviderPORTSMOUTH HOSPITALS NHS TRUST (RHU)Oxford Knee Score</v>
      </c>
      <c r="C6204" t="s">
        <v>250</v>
      </c>
      <c r="D6204" t="s">
        <v>1</v>
      </c>
      <c r="E6204" t="s">
        <v>3234</v>
      </c>
      <c r="F6204" t="s">
        <v>3235</v>
      </c>
      <c r="G6204" t="s">
        <v>16</v>
      </c>
      <c r="H6204">
        <v>6</v>
      </c>
      <c r="I6204">
        <v>17.667000000000002</v>
      </c>
      <c r="J6204">
        <v>31.667000000000002</v>
      </c>
      <c r="K6204">
        <v>14</v>
      </c>
      <c r="L6204">
        <v>6</v>
      </c>
      <c r="M6204">
        <v>0</v>
      </c>
      <c r="N6204">
        <v>0</v>
      </c>
      <c r="O6204" t="s">
        <v>53</v>
      </c>
      <c r="P6204" t="s">
        <v>53</v>
      </c>
      <c r="Q6204" t="s">
        <v>53</v>
      </c>
    </row>
    <row r="6205" spans="1:17" x14ac:dyDescent="0.2">
      <c r="A6205" s="30" t="str">
        <f>IF(C6205&amp;G6205&amp;D6205&lt;&gt;'Funnel setup'!$K$3&amp;'Funnel setup'!$K$4&amp;'Funnel setup'!$K$5,".",IF(A6204=".",1,A6204+1))</f>
        <v>.</v>
      </c>
      <c r="B6205" s="431" t="str">
        <f t="shared" si="96"/>
        <v>Knee Replacement RevisionProviderRENACRES HOSPITAL (NVC16)Oxford Knee Score</v>
      </c>
      <c r="C6205" t="s">
        <v>250</v>
      </c>
      <c r="D6205" t="s">
        <v>1</v>
      </c>
      <c r="E6205" t="s">
        <v>3237</v>
      </c>
      <c r="F6205" t="s">
        <v>3238</v>
      </c>
      <c r="G6205" t="s">
        <v>16</v>
      </c>
      <c r="H6205" t="s">
        <v>53</v>
      </c>
      <c r="I6205" t="s">
        <v>53</v>
      </c>
      <c r="J6205" t="s">
        <v>53</v>
      </c>
      <c r="K6205" t="s">
        <v>53</v>
      </c>
      <c r="L6205" t="s">
        <v>53</v>
      </c>
      <c r="M6205" t="s">
        <v>53</v>
      </c>
      <c r="N6205" t="s">
        <v>53</v>
      </c>
      <c r="O6205" t="s">
        <v>53</v>
      </c>
      <c r="P6205" t="s">
        <v>53</v>
      </c>
      <c r="Q6205" t="s">
        <v>53</v>
      </c>
    </row>
    <row r="6206" spans="1:17" x14ac:dyDescent="0.2">
      <c r="A6206" s="30" t="str">
        <f>IF(C6206&amp;G6206&amp;D6206&lt;&gt;'Funnel setup'!$K$3&amp;'Funnel setup'!$K$4&amp;'Funnel setup'!$K$5,".",IF(A6205=".",1,A6205+1))</f>
        <v>.</v>
      </c>
      <c r="B6206" s="431" t="str">
        <f t="shared" si="96"/>
        <v>Knee Replacement RevisionProviderROYAL BERKSHIRE NHS FOUNDATION TRUST (RHW)Oxford Knee Score</v>
      </c>
      <c r="C6206" t="s">
        <v>250</v>
      </c>
      <c r="D6206" t="s">
        <v>1</v>
      </c>
      <c r="E6206" t="s">
        <v>3832</v>
      </c>
      <c r="F6206" t="s">
        <v>3833</v>
      </c>
      <c r="G6206" t="s">
        <v>16</v>
      </c>
      <c r="H6206" t="s">
        <v>53</v>
      </c>
      <c r="I6206" t="s">
        <v>53</v>
      </c>
      <c r="J6206" t="s">
        <v>53</v>
      </c>
      <c r="K6206" t="s">
        <v>53</v>
      </c>
      <c r="L6206" t="s">
        <v>53</v>
      </c>
      <c r="M6206" t="s">
        <v>53</v>
      </c>
      <c r="N6206" t="s">
        <v>53</v>
      </c>
      <c r="O6206" t="s">
        <v>53</v>
      </c>
      <c r="P6206" t="s">
        <v>53</v>
      </c>
      <c r="Q6206" t="s">
        <v>53</v>
      </c>
    </row>
    <row r="6207" spans="1:17" x14ac:dyDescent="0.2">
      <c r="A6207" s="30" t="str">
        <f>IF(C6207&amp;G6207&amp;D6207&lt;&gt;'Funnel setup'!$K$3&amp;'Funnel setup'!$K$4&amp;'Funnel setup'!$K$5,".",IF(A6206=".",1,A6206+1))</f>
        <v>.</v>
      </c>
      <c r="B6207" s="431" t="str">
        <f t="shared" si="96"/>
        <v>Knee Replacement RevisionProviderROYAL CORNWALL HOSPITALS NHS TRUST (REF)Oxford Knee Score</v>
      </c>
      <c r="C6207" t="s">
        <v>250</v>
      </c>
      <c r="D6207" t="s">
        <v>1</v>
      </c>
      <c r="E6207" t="s">
        <v>3745</v>
      </c>
      <c r="F6207" t="s">
        <v>3746</v>
      </c>
      <c r="G6207" t="s">
        <v>16</v>
      </c>
      <c r="H6207">
        <v>20</v>
      </c>
      <c r="I6207">
        <v>16.600000000000001</v>
      </c>
      <c r="J6207">
        <v>30.5</v>
      </c>
      <c r="K6207">
        <v>13.9</v>
      </c>
      <c r="L6207">
        <v>19</v>
      </c>
      <c r="M6207">
        <v>0</v>
      </c>
      <c r="N6207">
        <v>1</v>
      </c>
      <c r="O6207" t="s">
        <v>53</v>
      </c>
      <c r="P6207" t="s">
        <v>53</v>
      </c>
      <c r="Q6207" t="s">
        <v>53</v>
      </c>
    </row>
    <row r="6208" spans="1:17" x14ac:dyDescent="0.2">
      <c r="A6208" s="30" t="str">
        <f>IF(C6208&amp;G6208&amp;D6208&lt;&gt;'Funnel setup'!$K$3&amp;'Funnel setup'!$K$4&amp;'Funnel setup'!$K$5,".",IF(A6207=".",1,A6207+1))</f>
        <v>.</v>
      </c>
      <c r="B6208" s="431" t="str">
        <f t="shared" si="96"/>
        <v>Knee Replacement RevisionProviderROYAL DEVON AND EXETER NHS FOUNDATION TRUST (RH8)Oxford Knee Score</v>
      </c>
      <c r="C6208" t="s">
        <v>250</v>
      </c>
      <c r="D6208" t="s">
        <v>1</v>
      </c>
      <c r="E6208" t="s">
        <v>3442</v>
      </c>
      <c r="F6208" t="s">
        <v>3443</v>
      </c>
      <c r="G6208" t="s">
        <v>16</v>
      </c>
      <c r="H6208">
        <v>37</v>
      </c>
      <c r="I6208">
        <v>17.161999999999999</v>
      </c>
      <c r="J6208">
        <v>31.161999999999999</v>
      </c>
      <c r="K6208">
        <v>14</v>
      </c>
      <c r="L6208">
        <v>34</v>
      </c>
      <c r="M6208">
        <v>1</v>
      </c>
      <c r="N6208">
        <v>2</v>
      </c>
      <c r="O6208">
        <v>29.588999999999999</v>
      </c>
      <c r="P6208">
        <v>13.08334095</v>
      </c>
      <c r="Q6208">
        <v>8.5350000000000001</v>
      </c>
    </row>
    <row r="6209" spans="1:17" x14ac:dyDescent="0.2">
      <c r="A6209" s="30" t="str">
        <f>IF(C6209&amp;G6209&amp;D6209&lt;&gt;'Funnel setup'!$K$3&amp;'Funnel setup'!$K$4&amp;'Funnel setup'!$K$5,".",IF(A6208=".",1,A6208+1))</f>
        <v>.</v>
      </c>
      <c r="B6209" s="431" t="str">
        <f t="shared" si="96"/>
        <v>Knee Replacement RevisionProviderROYAL FREE LONDON NHS FOUNDATION TRUST (RAL)Oxford Knee Score</v>
      </c>
      <c r="C6209" t="s">
        <v>250</v>
      </c>
      <c r="D6209" t="s">
        <v>1</v>
      </c>
      <c r="E6209" t="s">
        <v>3445</v>
      </c>
      <c r="F6209" t="s">
        <v>3446</v>
      </c>
      <c r="G6209" t="s">
        <v>16</v>
      </c>
      <c r="H6209" t="s">
        <v>53</v>
      </c>
      <c r="I6209" t="s">
        <v>53</v>
      </c>
      <c r="J6209" t="s">
        <v>53</v>
      </c>
      <c r="K6209" t="s">
        <v>53</v>
      </c>
      <c r="L6209" t="s">
        <v>53</v>
      </c>
      <c r="M6209" t="s">
        <v>53</v>
      </c>
      <c r="N6209" t="s">
        <v>53</v>
      </c>
      <c r="O6209" t="s">
        <v>53</v>
      </c>
      <c r="P6209" t="s">
        <v>53</v>
      </c>
      <c r="Q6209" t="s">
        <v>53</v>
      </c>
    </row>
    <row r="6210" spans="1:17" x14ac:dyDescent="0.2">
      <c r="A6210" s="30" t="str">
        <f>IF(C6210&amp;G6210&amp;D6210&lt;&gt;'Funnel setup'!$K$3&amp;'Funnel setup'!$K$4&amp;'Funnel setup'!$K$5,".",IF(A6209=".",1,A6209+1))</f>
        <v>.</v>
      </c>
      <c r="B6210" s="431" t="str">
        <f t="shared" si="96"/>
        <v>Knee Replacement RevisionProviderROYAL LIVERPOOL AND BROADGREEN UNIVERSITY HOSPITALS NHS TRUST (RQ6)Oxford Knee Score</v>
      </c>
      <c r="C6210" t="s">
        <v>250</v>
      </c>
      <c r="D6210" t="s">
        <v>1</v>
      </c>
      <c r="E6210" t="s">
        <v>3448</v>
      </c>
      <c r="F6210" t="s">
        <v>3449</v>
      </c>
      <c r="G6210" t="s">
        <v>16</v>
      </c>
      <c r="H6210">
        <v>6</v>
      </c>
      <c r="I6210">
        <v>13.5</v>
      </c>
      <c r="J6210">
        <v>26.832999999999998</v>
      </c>
      <c r="K6210">
        <v>13.333</v>
      </c>
      <c r="L6210">
        <v>5</v>
      </c>
      <c r="M6210">
        <v>0</v>
      </c>
      <c r="N6210">
        <v>1</v>
      </c>
      <c r="O6210" t="s">
        <v>53</v>
      </c>
      <c r="P6210" t="s">
        <v>53</v>
      </c>
      <c r="Q6210" t="s">
        <v>53</v>
      </c>
    </row>
    <row r="6211" spans="1:17" x14ac:dyDescent="0.2">
      <c r="A6211" s="30" t="str">
        <f>IF(C6211&amp;G6211&amp;D6211&lt;&gt;'Funnel setup'!$K$3&amp;'Funnel setup'!$K$4&amp;'Funnel setup'!$K$5,".",IF(A6210=".",1,A6210+1))</f>
        <v>.</v>
      </c>
      <c r="B6211" s="431" t="str">
        <f t="shared" ref="B6211:B6274" si="97">C6211&amp;D6211&amp;F6211&amp;G6211</f>
        <v>Knee Replacement RevisionProviderROYAL NATIONAL ORTHOPAEDIC HOSPITAL NHS TRUST (RAN)Oxford Knee Score</v>
      </c>
      <c r="C6211" t="s">
        <v>250</v>
      </c>
      <c r="D6211" t="s">
        <v>1</v>
      </c>
      <c r="E6211" t="s">
        <v>4378</v>
      </c>
      <c r="F6211" t="s">
        <v>4379</v>
      </c>
      <c r="G6211" t="s">
        <v>16</v>
      </c>
      <c r="H6211">
        <v>25</v>
      </c>
      <c r="I6211">
        <v>12.96</v>
      </c>
      <c r="J6211">
        <v>24.2</v>
      </c>
      <c r="K6211">
        <v>11.24</v>
      </c>
      <c r="L6211">
        <v>23</v>
      </c>
      <c r="M6211">
        <v>1</v>
      </c>
      <c r="N6211">
        <v>1</v>
      </c>
      <c r="O6211" t="s">
        <v>53</v>
      </c>
      <c r="P6211" t="s">
        <v>53</v>
      </c>
      <c r="Q6211" t="s">
        <v>53</v>
      </c>
    </row>
    <row r="6212" spans="1:17" x14ac:dyDescent="0.2">
      <c r="A6212" s="30" t="str">
        <f>IF(C6212&amp;G6212&amp;D6212&lt;&gt;'Funnel setup'!$K$3&amp;'Funnel setup'!$K$4&amp;'Funnel setup'!$K$5,".",IF(A6211=".",1,A6211+1))</f>
        <v>.</v>
      </c>
      <c r="B6212" s="431" t="str">
        <f t="shared" si="97"/>
        <v>Knee Replacement RevisionProviderROYAL SURREY COUNTY HOSPITAL NHS FOUNDATION TRUST (RA2)Oxford Knee Score</v>
      </c>
      <c r="C6212" t="s">
        <v>250</v>
      </c>
      <c r="D6212" t="s">
        <v>1</v>
      </c>
      <c r="E6212" t="s">
        <v>3451</v>
      </c>
      <c r="F6212" t="s">
        <v>3452</v>
      </c>
      <c r="G6212" t="s">
        <v>16</v>
      </c>
      <c r="H6212">
        <v>6</v>
      </c>
      <c r="I6212">
        <v>19.5</v>
      </c>
      <c r="J6212">
        <v>36</v>
      </c>
      <c r="K6212">
        <v>16.5</v>
      </c>
      <c r="L6212">
        <v>5</v>
      </c>
      <c r="M6212">
        <v>1</v>
      </c>
      <c r="N6212">
        <v>0</v>
      </c>
      <c r="O6212" t="s">
        <v>53</v>
      </c>
      <c r="P6212" t="s">
        <v>53</v>
      </c>
      <c r="Q6212" t="s">
        <v>53</v>
      </c>
    </row>
    <row r="6213" spans="1:17" x14ac:dyDescent="0.2">
      <c r="A6213" s="30" t="str">
        <f>IF(C6213&amp;G6213&amp;D6213&lt;&gt;'Funnel setup'!$K$3&amp;'Funnel setup'!$K$4&amp;'Funnel setup'!$K$5,".",IF(A6212=".",1,A6212+1))</f>
        <v>.</v>
      </c>
      <c r="B6213" s="431" t="str">
        <f t="shared" si="97"/>
        <v>Knee Replacement RevisionProviderROYAL UNITED HOSPITALS BATH NHS FOUNDATION TRUST (RD1)Oxford Knee Score</v>
      </c>
      <c r="C6213" t="s">
        <v>250</v>
      </c>
      <c r="D6213" t="s">
        <v>1</v>
      </c>
      <c r="E6213" t="s">
        <v>3454</v>
      </c>
      <c r="F6213" t="s">
        <v>3455</v>
      </c>
      <c r="G6213" t="s">
        <v>16</v>
      </c>
      <c r="H6213">
        <v>9</v>
      </c>
      <c r="I6213">
        <v>19.777999999999999</v>
      </c>
      <c r="J6213">
        <v>30.667000000000002</v>
      </c>
      <c r="K6213">
        <v>10.888999999999999</v>
      </c>
      <c r="L6213">
        <v>8</v>
      </c>
      <c r="M6213">
        <v>0</v>
      </c>
      <c r="N6213">
        <v>1</v>
      </c>
      <c r="O6213" t="s">
        <v>53</v>
      </c>
      <c r="P6213" t="s">
        <v>53</v>
      </c>
      <c r="Q6213" t="s">
        <v>53</v>
      </c>
    </row>
    <row r="6214" spans="1:17" x14ac:dyDescent="0.2">
      <c r="A6214" s="30" t="str">
        <f>IF(C6214&amp;G6214&amp;D6214&lt;&gt;'Funnel setup'!$K$3&amp;'Funnel setup'!$K$4&amp;'Funnel setup'!$K$5,".",IF(A6213=".",1,A6213+1))</f>
        <v>.</v>
      </c>
      <c r="B6214" s="431" t="str">
        <f t="shared" si="97"/>
        <v>Knee Replacement RevisionProviderSALFORD ROYAL NHS FOUNDATION TRUST (RM3)Oxford Knee Score</v>
      </c>
      <c r="C6214" t="s">
        <v>250</v>
      </c>
      <c r="D6214" t="s">
        <v>1</v>
      </c>
      <c r="E6214" t="s">
        <v>3457</v>
      </c>
      <c r="F6214" t="s">
        <v>3458</v>
      </c>
      <c r="G6214" t="s">
        <v>16</v>
      </c>
      <c r="H6214">
        <v>7</v>
      </c>
      <c r="I6214">
        <v>14.286</v>
      </c>
      <c r="J6214">
        <v>26.856999999999999</v>
      </c>
      <c r="K6214">
        <v>12.571</v>
      </c>
      <c r="L6214">
        <v>6</v>
      </c>
      <c r="M6214">
        <v>0</v>
      </c>
      <c r="N6214">
        <v>1</v>
      </c>
      <c r="O6214" t="s">
        <v>53</v>
      </c>
      <c r="P6214" t="s">
        <v>53</v>
      </c>
      <c r="Q6214" t="s">
        <v>53</v>
      </c>
    </row>
    <row r="6215" spans="1:17" x14ac:dyDescent="0.2">
      <c r="A6215" s="30" t="str">
        <f>IF(C6215&amp;G6215&amp;D6215&lt;&gt;'Funnel setup'!$K$3&amp;'Funnel setup'!$K$4&amp;'Funnel setup'!$K$5,".",IF(A6214=".",1,A6214+1))</f>
        <v>.</v>
      </c>
      <c r="B6215" s="431" t="str">
        <f t="shared" si="97"/>
        <v>Knee Replacement RevisionProviderSALISBURY NHS FOUNDATION TRUST (RNZ)Oxford Knee Score</v>
      </c>
      <c r="C6215" t="s">
        <v>250</v>
      </c>
      <c r="D6215" t="s">
        <v>1</v>
      </c>
      <c r="E6215" t="s">
        <v>3460</v>
      </c>
      <c r="F6215" t="s">
        <v>3461</v>
      </c>
      <c r="G6215" t="s">
        <v>16</v>
      </c>
      <c r="H6215" t="s">
        <v>53</v>
      </c>
      <c r="I6215" t="s">
        <v>53</v>
      </c>
      <c r="J6215" t="s">
        <v>53</v>
      </c>
      <c r="K6215" t="s">
        <v>53</v>
      </c>
      <c r="L6215" t="s">
        <v>53</v>
      </c>
      <c r="M6215" t="s">
        <v>53</v>
      </c>
      <c r="N6215" t="s">
        <v>53</v>
      </c>
      <c r="O6215" t="s">
        <v>53</v>
      </c>
      <c r="P6215" t="s">
        <v>53</v>
      </c>
      <c r="Q6215" t="s">
        <v>53</v>
      </c>
    </row>
    <row r="6216" spans="1:17" x14ac:dyDescent="0.2">
      <c r="A6216" s="30" t="str">
        <f>IF(C6216&amp;G6216&amp;D6216&lt;&gt;'Funnel setup'!$K$3&amp;'Funnel setup'!$K$4&amp;'Funnel setup'!$K$5,".",IF(A6215=".",1,A6215+1))</f>
        <v>.</v>
      </c>
      <c r="B6216" s="431" t="str">
        <f t="shared" si="97"/>
        <v>Knee Replacement RevisionProviderSANDWELL AND WEST BIRMINGHAM HOSPITALS NHS TRUST (RXK)Oxford Knee Score</v>
      </c>
      <c r="C6216" t="s">
        <v>250</v>
      </c>
      <c r="D6216" t="s">
        <v>1</v>
      </c>
      <c r="E6216" t="s">
        <v>3463</v>
      </c>
      <c r="F6216" t="s">
        <v>3464</v>
      </c>
      <c r="G6216" t="s">
        <v>16</v>
      </c>
      <c r="H6216" t="s">
        <v>53</v>
      </c>
      <c r="I6216" t="s">
        <v>53</v>
      </c>
      <c r="J6216" t="s">
        <v>53</v>
      </c>
      <c r="K6216" t="s">
        <v>53</v>
      </c>
      <c r="L6216" t="s">
        <v>53</v>
      </c>
      <c r="M6216" t="s">
        <v>53</v>
      </c>
      <c r="N6216" t="s">
        <v>53</v>
      </c>
      <c r="O6216" t="s">
        <v>53</v>
      </c>
      <c r="P6216" t="s">
        <v>53</v>
      </c>
      <c r="Q6216" t="s">
        <v>53</v>
      </c>
    </row>
    <row r="6217" spans="1:17" x14ac:dyDescent="0.2">
      <c r="A6217" s="30" t="str">
        <f>IF(C6217&amp;G6217&amp;D6217&lt;&gt;'Funnel setup'!$K$3&amp;'Funnel setup'!$K$4&amp;'Funnel setup'!$K$5,".",IF(A6216=".",1,A6216+1))</f>
        <v>.</v>
      </c>
      <c r="B6217" s="431" t="str">
        <f t="shared" si="97"/>
        <v>Knee Replacement RevisionProviderSHEFFIELD TEACHING HOSPITALS NHS FOUNDATION TRUST (RHQ)Oxford Knee Score</v>
      </c>
      <c r="C6217" t="s">
        <v>250</v>
      </c>
      <c r="D6217" t="s">
        <v>1</v>
      </c>
      <c r="E6217" t="s">
        <v>3466</v>
      </c>
      <c r="F6217" t="s">
        <v>3467</v>
      </c>
      <c r="G6217" t="s">
        <v>16</v>
      </c>
      <c r="H6217">
        <v>53</v>
      </c>
      <c r="I6217">
        <v>15.019</v>
      </c>
      <c r="J6217">
        <v>27.849</v>
      </c>
      <c r="K6217">
        <v>12.83</v>
      </c>
      <c r="L6217">
        <v>48</v>
      </c>
      <c r="M6217">
        <v>1</v>
      </c>
      <c r="N6217">
        <v>4</v>
      </c>
      <c r="O6217">
        <v>28.597000000000001</v>
      </c>
      <c r="P6217">
        <v>12.090764350000001</v>
      </c>
      <c r="Q6217">
        <v>9.3140000000000001</v>
      </c>
    </row>
    <row r="6218" spans="1:17" x14ac:dyDescent="0.2">
      <c r="A6218" s="30" t="str">
        <f>IF(C6218&amp;G6218&amp;D6218&lt;&gt;'Funnel setup'!$K$3&amp;'Funnel setup'!$K$4&amp;'Funnel setup'!$K$5,".",IF(A6217=".",1,A6217+1))</f>
        <v>.</v>
      </c>
      <c r="B6218" s="431" t="str">
        <f t="shared" si="97"/>
        <v>Knee Replacement RevisionProviderSHEPTON MALLET NHS TREATMENT CENTRE (NTPH1)Oxford Knee Score</v>
      </c>
      <c r="C6218" t="s">
        <v>250</v>
      </c>
      <c r="D6218" t="s">
        <v>1</v>
      </c>
      <c r="E6218" t="s">
        <v>3472</v>
      </c>
      <c r="F6218" t="s">
        <v>3473</v>
      </c>
      <c r="G6218" t="s">
        <v>16</v>
      </c>
      <c r="H6218" t="s">
        <v>53</v>
      </c>
      <c r="I6218" t="s">
        <v>53</v>
      </c>
      <c r="J6218" t="s">
        <v>53</v>
      </c>
      <c r="K6218" t="s">
        <v>53</v>
      </c>
      <c r="L6218" t="s">
        <v>53</v>
      </c>
      <c r="M6218" t="s">
        <v>53</v>
      </c>
      <c r="N6218" t="s">
        <v>53</v>
      </c>
      <c r="O6218" t="s">
        <v>53</v>
      </c>
      <c r="P6218" t="s">
        <v>53</v>
      </c>
      <c r="Q6218" t="s">
        <v>53</v>
      </c>
    </row>
    <row r="6219" spans="1:17" x14ac:dyDescent="0.2">
      <c r="A6219" s="30" t="str">
        <f>IF(C6219&amp;G6219&amp;D6219&lt;&gt;'Funnel setup'!$K$3&amp;'Funnel setup'!$K$4&amp;'Funnel setup'!$K$5,".",IF(A6218=".",1,A6218+1))</f>
        <v>.</v>
      </c>
      <c r="B6219" s="431" t="str">
        <f t="shared" si="97"/>
        <v>Knee Replacement RevisionProviderSHERWOOD FOREST HOSPITALS NHS FOUNDATION TRUST (RK5)Oxford Knee Score</v>
      </c>
      <c r="C6219" t="s">
        <v>250</v>
      </c>
      <c r="D6219" t="s">
        <v>1</v>
      </c>
      <c r="E6219" t="s">
        <v>3475</v>
      </c>
      <c r="F6219" t="s">
        <v>3476</v>
      </c>
      <c r="G6219" t="s">
        <v>16</v>
      </c>
      <c r="H6219">
        <v>13</v>
      </c>
      <c r="I6219">
        <v>14.692</v>
      </c>
      <c r="J6219">
        <v>28.692</v>
      </c>
      <c r="K6219">
        <v>14</v>
      </c>
      <c r="L6219">
        <v>12</v>
      </c>
      <c r="M6219">
        <v>0</v>
      </c>
      <c r="N6219">
        <v>1</v>
      </c>
      <c r="O6219" t="s">
        <v>53</v>
      </c>
      <c r="P6219" t="s">
        <v>53</v>
      </c>
      <c r="Q6219" t="s">
        <v>53</v>
      </c>
    </row>
    <row r="6220" spans="1:17" x14ac:dyDescent="0.2">
      <c r="A6220" s="30" t="str">
        <f>IF(C6220&amp;G6220&amp;D6220&lt;&gt;'Funnel setup'!$K$3&amp;'Funnel setup'!$K$4&amp;'Funnel setup'!$K$5,".",IF(A6219=".",1,A6219+1))</f>
        <v>.</v>
      </c>
      <c r="B6220" s="431" t="str">
        <f t="shared" si="97"/>
        <v>Knee Replacement RevisionProviderSHREWSBURY AND TELFORD HOSPITAL NHS TRUST (RXW)Oxford Knee Score</v>
      </c>
      <c r="C6220" t="s">
        <v>250</v>
      </c>
      <c r="D6220" t="s">
        <v>1</v>
      </c>
      <c r="E6220" t="s">
        <v>3478</v>
      </c>
      <c r="F6220" t="s">
        <v>3479</v>
      </c>
      <c r="G6220" t="s">
        <v>16</v>
      </c>
      <c r="H6220">
        <v>7</v>
      </c>
      <c r="I6220">
        <v>17.143000000000001</v>
      </c>
      <c r="J6220">
        <v>31.286000000000001</v>
      </c>
      <c r="K6220">
        <v>14.143000000000001</v>
      </c>
      <c r="L6220">
        <v>6</v>
      </c>
      <c r="M6220">
        <v>1</v>
      </c>
      <c r="N6220">
        <v>0</v>
      </c>
      <c r="O6220" t="s">
        <v>53</v>
      </c>
      <c r="P6220" t="s">
        <v>53</v>
      </c>
      <c r="Q6220" t="s">
        <v>53</v>
      </c>
    </row>
    <row r="6221" spans="1:17" x14ac:dyDescent="0.2">
      <c r="A6221" s="30" t="str">
        <f>IF(C6221&amp;G6221&amp;D6221&lt;&gt;'Funnel setup'!$K$3&amp;'Funnel setup'!$K$4&amp;'Funnel setup'!$K$5,".",IF(A6220=".",1,A6220+1))</f>
        <v>.</v>
      </c>
      <c r="B6221" s="431" t="str">
        <f t="shared" si="97"/>
        <v>Knee Replacement RevisionProviderSOUTH TEES HOSPITALS NHS FOUNDATION TRUST (RTR)Oxford Knee Score</v>
      </c>
      <c r="C6221" t="s">
        <v>250</v>
      </c>
      <c r="D6221" t="s">
        <v>1</v>
      </c>
      <c r="E6221" t="s">
        <v>3482</v>
      </c>
      <c r="F6221" t="s">
        <v>3483</v>
      </c>
      <c r="G6221" t="s">
        <v>16</v>
      </c>
      <c r="H6221">
        <v>19</v>
      </c>
      <c r="I6221">
        <v>15.789</v>
      </c>
      <c r="J6221">
        <v>27.841999999999999</v>
      </c>
      <c r="K6221">
        <v>12.053000000000001</v>
      </c>
      <c r="L6221">
        <v>18</v>
      </c>
      <c r="M6221">
        <v>0</v>
      </c>
      <c r="N6221">
        <v>1</v>
      </c>
      <c r="O6221" t="s">
        <v>53</v>
      </c>
      <c r="P6221" t="s">
        <v>53</v>
      </c>
      <c r="Q6221" t="s">
        <v>53</v>
      </c>
    </row>
    <row r="6222" spans="1:17" x14ac:dyDescent="0.2">
      <c r="A6222" s="30" t="str">
        <f>IF(C6222&amp;G6222&amp;D6222&lt;&gt;'Funnel setup'!$K$3&amp;'Funnel setup'!$K$4&amp;'Funnel setup'!$K$5,".",IF(A6221=".",1,A6221+1))</f>
        <v>.</v>
      </c>
      <c r="B6222" s="431" t="str">
        <f t="shared" si="97"/>
        <v>Knee Replacement RevisionProviderSOUTH TYNESIDE NHS FOUNDATION TRUST (RE9)Oxford Knee Score</v>
      </c>
      <c r="C6222" t="s">
        <v>250</v>
      </c>
      <c r="D6222" t="s">
        <v>1</v>
      </c>
      <c r="E6222" t="s">
        <v>3485</v>
      </c>
      <c r="F6222" t="s">
        <v>3486</v>
      </c>
      <c r="G6222" t="s">
        <v>16</v>
      </c>
      <c r="H6222" t="s">
        <v>53</v>
      </c>
      <c r="I6222" t="s">
        <v>53</v>
      </c>
      <c r="J6222" t="s">
        <v>53</v>
      </c>
      <c r="K6222" t="s">
        <v>53</v>
      </c>
      <c r="L6222" t="s">
        <v>53</v>
      </c>
      <c r="M6222" t="s">
        <v>53</v>
      </c>
      <c r="N6222" t="s">
        <v>53</v>
      </c>
      <c r="O6222" t="s">
        <v>53</v>
      </c>
      <c r="P6222" t="s">
        <v>53</v>
      </c>
      <c r="Q6222" t="s">
        <v>53</v>
      </c>
    </row>
    <row r="6223" spans="1:17" x14ac:dyDescent="0.2">
      <c r="A6223" s="30" t="str">
        <f>IF(C6223&amp;G6223&amp;D6223&lt;&gt;'Funnel setup'!$K$3&amp;'Funnel setup'!$K$4&amp;'Funnel setup'!$K$5,".",IF(A6222=".",1,A6222+1))</f>
        <v>.</v>
      </c>
      <c r="B6223" s="431" t="str">
        <f t="shared" si="97"/>
        <v>Knee Replacement RevisionProviderSOUTH WARWICKSHIRE NHS FOUNDATION TRUST (RJC)Oxford Knee Score</v>
      </c>
      <c r="C6223" t="s">
        <v>250</v>
      </c>
      <c r="D6223" t="s">
        <v>1</v>
      </c>
      <c r="E6223" t="s">
        <v>3421</v>
      </c>
      <c r="F6223" t="s">
        <v>3422</v>
      </c>
      <c r="G6223" t="s">
        <v>16</v>
      </c>
      <c r="H6223">
        <v>9</v>
      </c>
      <c r="I6223">
        <v>20.556000000000001</v>
      </c>
      <c r="J6223">
        <v>33.444000000000003</v>
      </c>
      <c r="K6223">
        <v>12.888999999999999</v>
      </c>
      <c r="L6223">
        <v>9</v>
      </c>
      <c r="M6223">
        <v>0</v>
      </c>
      <c r="N6223">
        <v>0</v>
      </c>
      <c r="O6223" t="s">
        <v>53</v>
      </c>
      <c r="P6223" t="s">
        <v>53</v>
      </c>
      <c r="Q6223" t="s">
        <v>53</v>
      </c>
    </row>
    <row r="6224" spans="1:17" x14ac:dyDescent="0.2">
      <c r="A6224" s="30" t="str">
        <f>IF(C6224&amp;G6224&amp;D6224&lt;&gt;'Funnel setup'!$K$3&amp;'Funnel setup'!$K$4&amp;'Funnel setup'!$K$5,".",IF(A6223=".",1,A6223+1))</f>
        <v>.</v>
      </c>
      <c r="B6224" s="431" t="str">
        <f t="shared" si="97"/>
        <v>Knee Replacement RevisionProviderSOUTHAMPTON NHS TREATMENT CENTRE (NTP11)Oxford Knee Score</v>
      </c>
      <c r="C6224" t="s">
        <v>250</v>
      </c>
      <c r="D6224" t="s">
        <v>1</v>
      </c>
      <c r="E6224" t="s">
        <v>3424</v>
      </c>
      <c r="F6224" t="s">
        <v>3425</v>
      </c>
      <c r="G6224" t="s">
        <v>16</v>
      </c>
      <c r="H6224" t="s">
        <v>53</v>
      </c>
      <c r="I6224" t="s">
        <v>53</v>
      </c>
      <c r="J6224" t="s">
        <v>53</v>
      </c>
      <c r="K6224" t="s">
        <v>53</v>
      </c>
      <c r="L6224" t="s">
        <v>53</v>
      </c>
      <c r="M6224" t="s">
        <v>53</v>
      </c>
      <c r="N6224" t="s">
        <v>53</v>
      </c>
      <c r="O6224" t="s">
        <v>53</v>
      </c>
      <c r="P6224" t="s">
        <v>53</v>
      </c>
      <c r="Q6224" t="s">
        <v>53</v>
      </c>
    </row>
    <row r="6225" spans="1:17" x14ac:dyDescent="0.2">
      <c r="A6225" s="30" t="str">
        <f>IF(C6225&amp;G6225&amp;D6225&lt;&gt;'Funnel setup'!$K$3&amp;'Funnel setup'!$K$4&amp;'Funnel setup'!$K$5,".",IF(A6224=".",1,A6224+1))</f>
        <v>.</v>
      </c>
      <c r="B6225" s="431" t="str">
        <f t="shared" si="97"/>
        <v>Knee Replacement RevisionProviderSOUTHEND UNIVERSITY HOSPITAL NHS FOUNDATION TRUST (RAJ)Oxford Knee Score</v>
      </c>
      <c r="C6225" t="s">
        <v>250</v>
      </c>
      <c r="D6225" t="s">
        <v>1</v>
      </c>
      <c r="E6225" t="s">
        <v>3427</v>
      </c>
      <c r="F6225" t="s">
        <v>3428</v>
      </c>
      <c r="G6225" t="s">
        <v>16</v>
      </c>
      <c r="H6225" t="s">
        <v>53</v>
      </c>
      <c r="I6225" t="s">
        <v>53</v>
      </c>
      <c r="J6225" t="s">
        <v>53</v>
      </c>
      <c r="K6225" t="s">
        <v>53</v>
      </c>
      <c r="L6225" t="s">
        <v>53</v>
      </c>
      <c r="M6225" t="s">
        <v>53</v>
      </c>
      <c r="N6225" t="s">
        <v>53</v>
      </c>
      <c r="O6225" t="s">
        <v>53</v>
      </c>
      <c r="P6225" t="s">
        <v>53</v>
      </c>
      <c r="Q6225" t="s">
        <v>53</v>
      </c>
    </row>
    <row r="6226" spans="1:17" x14ac:dyDescent="0.2">
      <c r="A6226" s="30" t="str">
        <f>IF(C6226&amp;G6226&amp;D6226&lt;&gt;'Funnel setup'!$K$3&amp;'Funnel setup'!$K$4&amp;'Funnel setup'!$K$5,".",IF(A6225=".",1,A6225+1))</f>
        <v>.</v>
      </c>
      <c r="B6226" s="431" t="str">
        <f t="shared" si="97"/>
        <v>Knee Replacement RevisionProviderSOUTHPORT AND ORMSKIRK HOSPITAL NHS TRUST (RVY)Oxford Knee Score</v>
      </c>
      <c r="C6226" t="s">
        <v>250</v>
      </c>
      <c r="D6226" t="s">
        <v>1</v>
      </c>
      <c r="E6226" t="s">
        <v>3430</v>
      </c>
      <c r="F6226" t="s">
        <v>3431</v>
      </c>
      <c r="G6226" t="s">
        <v>16</v>
      </c>
      <c r="H6226" t="s">
        <v>53</v>
      </c>
      <c r="I6226" t="s">
        <v>53</v>
      </c>
      <c r="J6226" t="s">
        <v>53</v>
      </c>
      <c r="K6226" t="s">
        <v>53</v>
      </c>
      <c r="L6226" t="s">
        <v>53</v>
      </c>
      <c r="M6226" t="s">
        <v>53</v>
      </c>
      <c r="N6226" t="s">
        <v>53</v>
      </c>
      <c r="O6226" t="s">
        <v>53</v>
      </c>
      <c r="P6226" t="s">
        <v>53</v>
      </c>
      <c r="Q6226" t="s">
        <v>53</v>
      </c>
    </row>
    <row r="6227" spans="1:17" x14ac:dyDescent="0.2">
      <c r="A6227" s="30" t="str">
        <f>IF(C6227&amp;G6227&amp;D6227&lt;&gt;'Funnel setup'!$K$3&amp;'Funnel setup'!$K$4&amp;'Funnel setup'!$K$5,".",IF(A6226=".",1,A6226+1))</f>
        <v>.</v>
      </c>
      <c r="B6227" s="431" t="str">
        <f t="shared" si="97"/>
        <v>Knee Replacement RevisionProviderSPIRE ALEXANDRA HOSPITAL (NT312)Oxford Knee Score</v>
      </c>
      <c r="C6227" t="s">
        <v>250</v>
      </c>
      <c r="D6227" t="s">
        <v>1</v>
      </c>
      <c r="E6227" t="s">
        <v>3433</v>
      </c>
      <c r="F6227" t="s">
        <v>3434</v>
      </c>
      <c r="G6227" t="s">
        <v>16</v>
      </c>
      <c r="H6227" t="s">
        <v>53</v>
      </c>
      <c r="I6227" t="s">
        <v>53</v>
      </c>
      <c r="J6227" t="s">
        <v>53</v>
      </c>
      <c r="K6227" t="s">
        <v>53</v>
      </c>
      <c r="L6227" t="s">
        <v>53</v>
      </c>
      <c r="M6227" t="s">
        <v>53</v>
      </c>
      <c r="N6227" t="s">
        <v>53</v>
      </c>
      <c r="O6227" t="s">
        <v>53</v>
      </c>
      <c r="P6227" t="s">
        <v>53</v>
      </c>
      <c r="Q6227" t="s">
        <v>53</v>
      </c>
    </row>
    <row r="6228" spans="1:17" x14ac:dyDescent="0.2">
      <c r="A6228" s="30" t="str">
        <f>IF(C6228&amp;G6228&amp;D6228&lt;&gt;'Funnel setup'!$K$3&amp;'Funnel setup'!$K$4&amp;'Funnel setup'!$K$5,".",IF(A6227=".",1,A6227+1))</f>
        <v>.</v>
      </c>
      <c r="B6228" s="431" t="str">
        <f t="shared" si="97"/>
        <v>Knee Replacement RevisionProviderSPIRE ELLAND HOSPITAL (NT348)Oxford Knee Score</v>
      </c>
      <c r="C6228" t="s">
        <v>250</v>
      </c>
      <c r="D6228" t="s">
        <v>1</v>
      </c>
      <c r="E6228" t="s">
        <v>3418</v>
      </c>
      <c r="F6228" t="s">
        <v>3419</v>
      </c>
      <c r="G6228" t="s">
        <v>16</v>
      </c>
      <c r="H6228" t="s">
        <v>53</v>
      </c>
      <c r="I6228" t="s">
        <v>53</v>
      </c>
      <c r="J6228" t="s">
        <v>53</v>
      </c>
      <c r="K6228" t="s">
        <v>53</v>
      </c>
      <c r="L6228" t="s">
        <v>53</v>
      </c>
      <c r="M6228" t="s">
        <v>53</v>
      </c>
      <c r="N6228" t="s">
        <v>53</v>
      </c>
      <c r="O6228" t="s">
        <v>53</v>
      </c>
      <c r="P6228" t="s">
        <v>53</v>
      </c>
      <c r="Q6228" t="s">
        <v>53</v>
      </c>
    </row>
    <row r="6229" spans="1:17" x14ac:dyDescent="0.2">
      <c r="A6229" s="30" t="str">
        <f>IF(C6229&amp;G6229&amp;D6229&lt;&gt;'Funnel setup'!$K$3&amp;'Funnel setup'!$K$4&amp;'Funnel setup'!$K$5,".",IF(A6228=".",1,A6228+1))</f>
        <v>.</v>
      </c>
      <c r="B6229" s="431" t="str">
        <f t="shared" si="97"/>
        <v>Knee Replacement RevisionProviderSPIRE FYLDE COAST HOSPITAL (NT347)Oxford Knee Score</v>
      </c>
      <c r="C6229" t="s">
        <v>250</v>
      </c>
      <c r="D6229" t="s">
        <v>1</v>
      </c>
      <c r="E6229" t="s">
        <v>4370</v>
      </c>
      <c r="F6229" t="s">
        <v>4371</v>
      </c>
      <c r="G6229" t="s">
        <v>16</v>
      </c>
      <c r="H6229" t="s">
        <v>53</v>
      </c>
      <c r="I6229" t="s">
        <v>53</v>
      </c>
      <c r="J6229" t="s">
        <v>53</v>
      </c>
      <c r="K6229" t="s">
        <v>53</v>
      </c>
      <c r="L6229" t="s">
        <v>53</v>
      </c>
      <c r="M6229" t="s">
        <v>53</v>
      </c>
      <c r="N6229" t="s">
        <v>53</v>
      </c>
      <c r="O6229" t="s">
        <v>53</v>
      </c>
      <c r="P6229" t="s">
        <v>53</v>
      </c>
      <c r="Q6229" t="s">
        <v>53</v>
      </c>
    </row>
    <row r="6230" spans="1:17" x14ac:dyDescent="0.2">
      <c r="A6230" s="30" t="str">
        <f>IF(C6230&amp;G6230&amp;D6230&lt;&gt;'Funnel setup'!$K$3&amp;'Funnel setup'!$K$4&amp;'Funnel setup'!$K$5,".",IF(A6229=".",1,A6229+1))</f>
        <v>.</v>
      </c>
      <c r="B6230" s="431" t="str">
        <f t="shared" si="97"/>
        <v>Knee Replacement RevisionProviderSPIRE HARPENDEN HOSPITAL (NT316)Oxford Knee Score</v>
      </c>
      <c r="C6230" t="s">
        <v>250</v>
      </c>
      <c r="D6230" t="s">
        <v>1</v>
      </c>
      <c r="E6230" t="s">
        <v>4267</v>
      </c>
      <c r="F6230" t="s">
        <v>4268</v>
      </c>
      <c r="G6230" t="s">
        <v>16</v>
      </c>
      <c r="H6230" t="s">
        <v>53</v>
      </c>
      <c r="I6230" t="s">
        <v>53</v>
      </c>
      <c r="J6230" t="s">
        <v>53</v>
      </c>
      <c r="K6230" t="s">
        <v>53</v>
      </c>
      <c r="L6230" t="s">
        <v>53</v>
      </c>
      <c r="M6230" t="s">
        <v>53</v>
      </c>
      <c r="N6230" t="s">
        <v>53</v>
      </c>
      <c r="O6230" t="s">
        <v>53</v>
      </c>
      <c r="P6230" t="s">
        <v>53</v>
      </c>
      <c r="Q6230" t="s">
        <v>53</v>
      </c>
    </row>
    <row r="6231" spans="1:17" x14ac:dyDescent="0.2">
      <c r="A6231" s="30" t="str">
        <f>IF(C6231&amp;G6231&amp;D6231&lt;&gt;'Funnel setup'!$K$3&amp;'Funnel setup'!$K$4&amp;'Funnel setup'!$K$5,".",IF(A6230=".",1,A6230+1))</f>
        <v>.</v>
      </c>
      <c r="B6231" s="431" t="str">
        <f t="shared" si="97"/>
        <v>Knee Replacement RevisionProviderSPIRE HULL AND EAST RIDING HOSPITAL (NT351)Oxford Knee Score</v>
      </c>
      <c r="C6231" t="s">
        <v>250</v>
      </c>
      <c r="D6231" t="s">
        <v>1</v>
      </c>
      <c r="E6231" t="s">
        <v>3213</v>
      </c>
      <c r="F6231" t="s">
        <v>3214</v>
      </c>
      <c r="G6231" t="s">
        <v>16</v>
      </c>
      <c r="H6231" t="s">
        <v>53</v>
      </c>
      <c r="I6231" t="s">
        <v>53</v>
      </c>
      <c r="J6231" t="s">
        <v>53</v>
      </c>
      <c r="K6231" t="s">
        <v>53</v>
      </c>
      <c r="L6231" t="s">
        <v>53</v>
      </c>
      <c r="M6231" t="s">
        <v>53</v>
      </c>
      <c r="N6231" t="s">
        <v>53</v>
      </c>
      <c r="O6231" t="s">
        <v>53</v>
      </c>
      <c r="P6231" t="s">
        <v>53</v>
      </c>
      <c r="Q6231" t="s">
        <v>53</v>
      </c>
    </row>
    <row r="6232" spans="1:17" x14ac:dyDescent="0.2">
      <c r="A6232" s="30" t="str">
        <f>IF(C6232&amp;G6232&amp;D6232&lt;&gt;'Funnel setup'!$K$3&amp;'Funnel setup'!$K$4&amp;'Funnel setup'!$K$5,".",IF(A6231=".",1,A6231+1))</f>
        <v>.</v>
      </c>
      <c r="B6232" s="431" t="str">
        <f t="shared" si="97"/>
        <v>Knee Replacement RevisionProviderSPIRE LEEDS HOSPITAL (NT332)Oxford Knee Score</v>
      </c>
      <c r="C6232" t="s">
        <v>250</v>
      </c>
      <c r="D6232" t="s">
        <v>1</v>
      </c>
      <c r="E6232" t="s">
        <v>3198</v>
      </c>
      <c r="F6232" t="s">
        <v>3199</v>
      </c>
      <c r="G6232" t="s">
        <v>16</v>
      </c>
      <c r="H6232" t="s">
        <v>53</v>
      </c>
      <c r="I6232" t="s">
        <v>53</v>
      </c>
      <c r="J6232" t="s">
        <v>53</v>
      </c>
      <c r="K6232" t="s">
        <v>53</v>
      </c>
      <c r="L6232" t="s">
        <v>53</v>
      </c>
      <c r="M6232" t="s">
        <v>53</v>
      </c>
      <c r="N6232" t="s">
        <v>53</v>
      </c>
      <c r="O6232" t="s">
        <v>53</v>
      </c>
      <c r="P6232" t="s">
        <v>53</v>
      </c>
      <c r="Q6232" t="s">
        <v>53</v>
      </c>
    </row>
    <row r="6233" spans="1:17" x14ac:dyDescent="0.2">
      <c r="A6233" s="30" t="str">
        <f>IF(C6233&amp;G6233&amp;D6233&lt;&gt;'Funnel setup'!$K$3&amp;'Funnel setup'!$K$4&amp;'Funnel setup'!$K$5,".",IF(A6232=".",1,A6232+1))</f>
        <v>.</v>
      </c>
      <c r="B6233" s="431" t="str">
        <f t="shared" si="97"/>
        <v>Knee Replacement RevisionProviderSPIRE MONTEFIORE HOSPITAL (NT364)Oxford Knee Score</v>
      </c>
      <c r="C6233" t="s">
        <v>250</v>
      </c>
      <c r="D6233" t="s">
        <v>1</v>
      </c>
      <c r="E6233" t="s">
        <v>3160</v>
      </c>
      <c r="F6233" t="s">
        <v>3161</v>
      </c>
      <c r="G6233" t="s">
        <v>16</v>
      </c>
      <c r="H6233" t="s">
        <v>53</v>
      </c>
      <c r="I6233" t="s">
        <v>53</v>
      </c>
      <c r="J6233" t="s">
        <v>53</v>
      </c>
      <c r="K6233" t="s">
        <v>53</v>
      </c>
      <c r="L6233" t="s">
        <v>53</v>
      </c>
      <c r="M6233" t="s">
        <v>53</v>
      </c>
      <c r="N6233" t="s">
        <v>53</v>
      </c>
      <c r="O6233" t="s">
        <v>53</v>
      </c>
      <c r="P6233" t="s">
        <v>53</v>
      </c>
      <c r="Q6233" t="s">
        <v>53</v>
      </c>
    </row>
    <row r="6234" spans="1:17" x14ac:dyDescent="0.2">
      <c r="A6234" s="30" t="str">
        <f>IF(C6234&amp;G6234&amp;D6234&lt;&gt;'Funnel setup'!$K$3&amp;'Funnel setup'!$K$4&amp;'Funnel setup'!$K$5,".",IF(A6233=".",1,A6233+1))</f>
        <v>.</v>
      </c>
      <c r="B6234" s="431" t="str">
        <f t="shared" si="97"/>
        <v>Knee Replacement RevisionProviderSPIRE NORWICH HOSPITAL (NT318)Oxford Knee Score</v>
      </c>
      <c r="C6234" t="s">
        <v>250</v>
      </c>
      <c r="D6234" t="s">
        <v>1</v>
      </c>
      <c r="E6234" t="s">
        <v>4251</v>
      </c>
      <c r="F6234" t="s">
        <v>4252</v>
      </c>
      <c r="G6234" t="s">
        <v>16</v>
      </c>
      <c r="H6234" t="s">
        <v>53</v>
      </c>
      <c r="I6234" t="s">
        <v>53</v>
      </c>
      <c r="J6234" t="s">
        <v>53</v>
      </c>
      <c r="K6234" t="s">
        <v>53</v>
      </c>
      <c r="L6234" t="s">
        <v>53</v>
      </c>
      <c r="M6234" t="s">
        <v>53</v>
      </c>
      <c r="N6234" t="s">
        <v>53</v>
      </c>
      <c r="O6234" t="s">
        <v>53</v>
      </c>
      <c r="P6234" t="s">
        <v>53</v>
      </c>
      <c r="Q6234" t="s">
        <v>53</v>
      </c>
    </row>
    <row r="6235" spans="1:17" x14ac:dyDescent="0.2">
      <c r="A6235" s="30" t="str">
        <f>IF(C6235&amp;G6235&amp;D6235&lt;&gt;'Funnel setup'!$K$3&amp;'Funnel setup'!$K$4&amp;'Funnel setup'!$K$5,".",IF(A6234=".",1,A6234+1))</f>
        <v>.</v>
      </c>
      <c r="B6235" s="431" t="str">
        <f t="shared" si="97"/>
        <v>Knee Replacement RevisionProviderSPIRE SOUTH BANK HOSPITAL (NT301)Oxford Knee Score</v>
      </c>
      <c r="C6235" t="s">
        <v>250</v>
      </c>
      <c r="D6235" t="s">
        <v>1</v>
      </c>
      <c r="E6235" t="s">
        <v>3174</v>
      </c>
      <c r="F6235" t="s">
        <v>3175</v>
      </c>
      <c r="G6235" t="s">
        <v>16</v>
      </c>
      <c r="H6235" t="s">
        <v>53</v>
      </c>
      <c r="I6235" t="s">
        <v>53</v>
      </c>
      <c r="J6235" t="s">
        <v>53</v>
      </c>
      <c r="K6235" t="s">
        <v>53</v>
      </c>
      <c r="L6235" t="s">
        <v>53</v>
      </c>
      <c r="M6235" t="s">
        <v>53</v>
      </c>
      <c r="N6235" t="s">
        <v>53</v>
      </c>
      <c r="O6235" t="s">
        <v>53</v>
      </c>
      <c r="P6235" t="s">
        <v>53</v>
      </c>
      <c r="Q6235" t="s">
        <v>53</v>
      </c>
    </row>
    <row r="6236" spans="1:17" x14ac:dyDescent="0.2">
      <c r="A6236" s="30" t="str">
        <f>IF(C6236&amp;G6236&amp;D6236&lt;&gt;'Funnel setup'!$K$3&amp;'Funnel setup'!$K$4&amp;'Funnel setup'!$K$5,".",IF(A6235=".",1,A6235+1))</f>
        <v>.</v>
      </c>
      <c r="B6236" s="431" t="str">
        <f t="shared" si="97"/>
        <v>Knee Replacement RevisionProviderSPIRE SUSSEX HOSPITAL (NT309)Oxford Knee Score</v>
      </c>
      <c r="C6236" t="s">
        <v>250</v>
      </c>
      <c r="D6236" t="s">
        <v>1</v>
      </c>
      <c r="E6236" t="s">
        <v>3180</v>
      </c>
      <c r="F6236" t="s">
        <v>3181</v>
      </c>
      <c r="G6236" t="s">
        <v>16</v>
      </c>
      <c r="H6236">
        <v>6</v>
      </c>
      <c r="I6236">
        <v>21.167000000000002</v>
      </c>
      <c r="J6236">
        <v>34.667000000000002</v>
      </c>
      <c r="K6236">
        <v>13.5</v>
      </c>
      <c r="L6236">
        <v>6</v>
      </c>
      <c r="M6236">
        <v>0</v>
      </c>
      <c r="N6236">
        <v>0</v>
      </c>
      <c r="O6236" t="s">
        <v>53</v>
      </c>
      <c r="P6236" t="s">
        <v>53</v>
      </c>
      <c r="Q6236" t="s">
        <v>53</v>
      </c>
    </row>
    <row r="6237" spans="1:17" x14ac:dyDescent="0.2">
      <c r="A6237" s="30" t="str">
        <f>IF(C6237&amp;G6237&amp;D6237&lt;&gt;'Funnel setup'!$K$3&amp;'Funnel setup'!$K$4&amp;'Funnel setup'!$K$5,".",IF(A6236=".",1,A6236+1))</f>
        <v>.</v>
      </c>
      <c r="B6237" s="431" t="str">
        <f t="shared" si="97"/>
        <v>Knee Replacement RevisionProviderSPIRE WELLESLEY HOSPITAL (NT313)Oxford Knee Score</v>
      </c>
      <c r="C6237" t="s">
        <v>250</v>
      </c>
      <c r="D6237" t="s">
        <v>1</v>
      </c>
      <c r="E6237" t="s">
        <v>3192</v>
      </c>
      <c r="F6237" t="s">
        <v>3193</v>
      </c>
      <c r="G6237" t="s">
        <v>16</v>
      </c>
      <c r="H6237" t="s">
        <v>53</v>
      </c>
      <c r="I6237" t="s">
        <v>53</v>
      </c>
      <c r="J6237" t="s">
        <v>53</v>
      </c>
      <c r="K6237" t="s">
        <v>53</v>
      </c>
      <c r="L6237" t="s">
        <v>53</v>
      </c>
      <c r="M6237" t="s">
        <v>53</v>
      </c>
      <c r="N6237" t="s">
        <v>53</v>
      </c>
      <c r="O6237" t="s">
        <v>53</v>
      </c>
      <c r="P6237" t="s">
        <v>53</v>
      </c>
      <c r="Q6237" t="s">
        <v>53</v>
      </c>
    </row>
    <row r="6238" spans="1:17" x14ac:dyDescent="0.2">
      <c r="A6238" s="30" t="str">
        <f>IF(C6238&amp;G6238&amp;D6238&lt;&gt;'Funnel setup'!$K$3&amp;'Funnel setup'!$K$4&amp;'Funnel setup'!$K$5,".",IF(A6237=".",1,A6237+1))</f>
        <v>.</v>
      </c>
      <c r="B6238" s="431" t="str">
        <f t="shared" si="97"/>
        <v>Knee Replacement RevisionProviderSPRINGFIELD HOSPITAL (NVC18)Oxford Knee Score</v>
      </c>
      <c r="C6238" t="s">
        <v>250</v>
      </c>
      <c r="D6238" t="s">
        <v>1</v>
      </c>
      <c r="E6238" t="s">
        <v>3195</v>
      </c>
      <c r="F6238" t="s">
        <v>3196</v>
      </c>
      <c r="G6238" t="s">
        <v>16</v>
      </c>
      <c r="H6238" t="s">
        <v>53</v>
      </c>
      <c r="I6238" t="s">
        <v>53</v>
      </c>
      <c r="J6238" t="s">
        <v>53</v>
      </c>
      <c r="K6238" t="s">
        <v>53</v>
      </c>
      <c r="L6238" t="s">
        <v>53</v>
      </c>
      <c r="M6238" t="s">
        <v>53</v>
      </c>
      <c r="N6238" t="s">
        <v>53</v>
      </c>
      <c r="O6238" t="s">
        <v>53</v>
      </c>
      <c r="P6238" t="s">
        <v>53</v>
      </c>
      <c r="Q6238" t="s">
        <v>53</v>
      </c>
    </row>
    <row r="6239" spans="1:17" x14ac:dyDescent="0.2">
      <c r="A6239" s="30" t="str">
        <f>IF(C6239&amp;G6239&amp;D6239&lt;&gt;'Funnel setup'!$K$3&amp;'Funnel setup'!$K$4&amp;'Funnel setup'!$K$5,".",IF(A6238=".",1,A6238+1))</f>
        <v>.</v>
      </c>
      <c r="B6239" s="431" t="str">
        <f t="shared" si="97"/>
        <v>Knee Replacement RevisionProviderST GEORGE'S UNIVERSITY HOSPITALS NHS FOUNDATION TRUST (RJ7)Oxford Knee Score</v>
      </c>
      <c r="C6239" t="s">
        <v>250</v>
      </c>
      <c r="D6239" t="s">
        <v>1</v>
      </c>
      <c r="E6239" t="s">
        <v>3124</v>
      </c>
      <c r="F6239" t="s">
        <v>3125</v>
      </c>
      <c r="G6239" t="s">
        <v>16</v>
      </c>
      <c r="H6239" t="s">
        <v>53</v>
      </c>
      <c r="I6239" t="s">
        <v>53</v>
      </c>
      <c r="J6239" t="s">
        <v>53</v>
      </c>
      <c r="K6239" t="s">
        <v>53</v>
      </c>
      <c r="L6239" t="s">
        <v>53</v>
      </c>
      <c r="M6239" t="s">
        <v>53</v>
      </c>
      <c r="N6239" t="s">
        <v>53</v>
      </c>
      <c r="O6239" t="s">
        <v>53</v>
      </c>
      <c r="P6239" t="s">
        <v>53</v>
      </c>
      <c r="Q6239" t="s">
        <v>53</v>
      </c>
    </row>
    <row r="6240" spans="1:17" x14ac:dyDescent="0.2">
      <c r="A6240" s="30" t="str">
        <f>IF(C6240&amp;G6240&amp;D6240&lt;&gt;'Funnel setup'!$K$3&amp;'Funnel setup'!$K$4&amp;'Funnel setup'!$K$5,".",IF(A6239=".",1,A6239+1))</f>
        <v>.</v>
      </c>
      <c r="B6240" s="431" t="str">
        <f t="shared" si="97"/>
        <v>Knee Replacement RevisionProviderST HELENS AND KNOWSLEY HOSPITALS NHS TRUST (RBN)Oxford Knee Score</v>
      </c>
      <c r="C6240" t="s">
        <v>250</v>
      </c>
      <c r="D6240" t="s">
        <v>1</v>
      </c>
      <c r="E6240" t="s">
        <v>3127</v>
      </c>
      <c r="F6240" t="s">
        <v>3128</v>
      </c>
      <c r="G6240" t="s">
        <v>16</v>
      </c>
      <c r="H6240">
        <v>12</v>
      </c>
      <c r="I6240">
        <v>16.75</v>
      </c>
      <c r="J6240">
        <v>25.75</v>
      </c>
      <c r="K6240">
        <v>9</v>
      </c>
      <c r="L6240">
        <v>9</v>
      </c>
      <c r="M6240">
        <v>0</v>
      </c>
      <c r="N6240">
        <v>3</v>
      </c>
      <c r="O6240" t="s">
        <v>53</v>
      </c>
      <c r="P6240" t="s">
        <v>53</v>
      </c>
      <c r="Q6240" t="s">
        <v>53</v>
      </c>
    </row>
    <row r="6241" spans="1:17" x14ac:dyDescent="0.2">
      <c r="A6241" s="30" t="str">
        <f>IF(C6241&amp;G6241&amp;D6241&lt;&gt;'Funnel setup'!$K$3&amp;'Funnel setup'!$K$4&amp;'Funnel setup'!$K$5,".",IF(A6240=".",1,A6240+1))</f>
        <v>.</v>
      </c>
      <c r="B6241" s="431" t="str">
        <f t="shared" si="97"/>
        <v>Knee Replacement RevisionProviderST HUGH'S HOSPITAL (NTE02)Oxford Knee Score</v>
      </c>
      <c r="C6241" t="s">
        <v>250</v>
      </c>
      <c r="D6241" t="s">
        <v>1</v>
      </c>
      <c r="E6241" t="s">
        <v>3130</v>
      </c>
      <c r="F6241" t="s">
        <v>3131</v>
      </c>
      <c r="G6241" t="s">
        <v>16</v>
      </c>
      <c r="H6241" t="s">
        <v>53</v>
      </c>
      <c r="I6241" t="s">
        <v>53</v>
      </c>
      <c r="J6241" t="s">
        <v>53</v>
      </c>
      <c r="K6241" t="s">
        <v>53</v>
      </c>
      <c r="L6241" t="s">
        <v>53</v>
      </c>
      <c r="M6241" t="s">
        <v>53</v>
      </c>
      <c r="N6241" t="s">
        <v>53</v>
      </c>
      <c r="O6241" t="s">
        <v>53</v>
      </c>
      <c r="P6241" t="s">
        <v>53</v>
      </c>
      <c r="Q6241" t="s">
        <v>53</v>
      </c>
    </row>
    <row r="6242" spans="1:17" x14ac:dyDescent="0.2">
      <c r="A6242" s="30" t="str">
        <f>IF(C6242&amp;G6242&amp;D6242&lt;&gt;'Funnel setup'!$K$3&amp;'Funnel setup'!$K$4&amp;'Funnel setup'!$K$5,".",IF(A6241=".",1,A6241+1))</f>
        <v>.</v>
      </c>
      <c r="B6242" s="431" t="str">
        <f t="shared" si="97"/>
        <v>Knee Replacement RevisionProviderSTOCKPORT NHS FOUNDATION TRUST (RWJ)Oxford Knee Score</v>
      </c>
      <c r="C6242" t="s">
        <v>250</v>
      </c>
      <c r="D6242" t="s">
        <v>1</v>
      </c>
      <c r="E6242" t="s">
        <v>3142</v>
      </c>
      <c r="F6242" t="s">
        <v>3143</v>
      </c>
      <c r="G6242" t="s">
        <v>16</v>
      </c>
      <c r="H6242">
        <v>10</v>
      </c>
      <c r="I6242">
        <v>15.2</v>
      </c>
      <c r="J6242">
        <v>27.4</v>
      </c>
      <c r="K6242">
        <v>12.2</v>
      </c>
      <c r="L6242">
        <v>8</v>
      </c>
      <c r="M6242">
        <v>1</v>
      </c>
      <c r="N6242">
        <v>1</v>
      </c>
      <c r="O6242" t="s">
        <v>53</v>
      </c>
      <c r="P6242" t="s">
        <v>53</v>
      </c>
      <c r="Q6242" t="s">
        <v>53</v>
      </c>
    </row>
    <row r="6243" spans="1:17" x14ac:dyDescent="0.2">
      <c r="A6243" s="30" t="str">
        <f>IF(C6243&amp;G6243&amp;D6243&lt;&gt;'Funnel setup'!$K$3&amp;'Funnel setup'!$K$4&amp;'Funnel setup'!$K$5,".",IF(A6242=".",1,A6242+1))</f>
        <v>.</v>
      </c>
      <c r="B6243" s="431" t="str">
        <f t="shared" si="97"/>
        <v>Knee Replacement RevisionProviderSURREY AND SUSSEX HEALTHCARE NHS TRUST (RTP)Oxford Knee Score</v>
      </c>
      <c r="C6243" t="s">
        <v>250</v>
      </c>
      <c r="D6243" t="s">
        <v>1</v>
      </c>
      <c r="E6243" t="s">
        <v>3145</v>
      </c>
      <c r="F6243" t="s">
        <v>3146</v>
      </c>
      <c r="G6243" t="s">
        <v>16</v>
      </c>
      <c r="H6243" t="s">
        <v>53</v>
      </c>
      <c r="I6243" t="s">
        <v>53</v>
      </c>
      <c r="J6243" t="s">
        <v>53</v>
      </c>
      <c r="K6243" t="s">
        <v>53</v>
      </c>
      <c r="L6243" t="s">
        <v>53</v>
      </c>
      <c r="M6243" t="s">
        <v>53</v>
      </c>
      <c r="N6243" t="s">
        <v>53</v>
      </c>
      <c r="O6243" t="s">
        <v>53</v>
      </c>
      <c r="P6243" t="s">
        <v>53</v>
      </c>
      <c r="Q6243" t="s">
        <v>53</v>
      </c>
    </row>
    <row r="6244" spans="1:17" x14ac:dyDescent="0.2">
      <c r="A6244" s="30" t="str">
        <f>IF(C6244&amp;G6244&amp;D6244&lt;&gt;'Funnel setup'!$K$3&amp;'Funnel setup'!$K$4&amp;'Funnel setup'!$K$5,".",IF(A6243=".",1,A6243+1))</f>
        <v>.</v>
      </c>
      <c r="B6244" s="431" t="str">
        <f t="shared" si="97"/>
        <v>Knee Replacement RevisionProviderTAMESIDE HOSPITAL NHS FOUNDATION TRUST (RMP)Oxford Knee Score</v>
      </c>
      <c r="C6244" t="s">
        <v>250</v>
      </c>
      <c r="D6244" t="s">
        <v>1</v>
      </c>
      <c r="E6244" t="s">
        <v>3148</v>
      </c>
      <c r="F6244" t="s">
        <v>3149</v>
      </c>
      <c r="G6244" t="s">
        <v>16</v>
      </c>
      <c r="H6244" t="s">
        <v>53</v>
      </c>
      <c r="I6244" t="s">
        <v>53</v>
      </c>
      <c r="J6244" t="s">
        <v>53</v>
      </c>
      <c r="K6244" t="s">
        <v>53</v>
      </c>
      <c r="L6244" t="s">
        <v>53</v>
      </c>
      <c r="M6244" t="s">
        <v>53</v>
      </c>
      <c r="N6244" t="s">
        <v>53</v>
      </c>
      <c r="O6244" t="s">
        <v>53</v>
      </c>
      <c r="P6244" t="s">
        <v>53</v>
      </c>
      <c r="Q6244" t="s">
        <v>53</v>
      </c>
    </row>
    <row r="6245" spans="1:17" x14ac:dyDescent="0.2">
      <c r="A6245" s="30" t="str">
        <f>IF(C6245&amp;G6245&amp;D6245&lt;&gt;'Funnel setup'!$K$3&amp;'Funnel setup'!$K$4&amp;'Funnel setup'!$K$5,".",IF(A6244=".",1,A6244+1))</f>
        <v>.</v>
      </c>
      <c r="B6245" s="431" t="str">
        <f t="shared" si="97"/>
        <v>Knee Replacement RevisionProviderTAUNTON AND SOMERSET NHS FOUNDATION TRUST (RBA)Oxford Knee Score</v>
      </c>
      <c r="C6245" t="s">
        <v>250</v>
      </c>
      <c r="D6245" t="s">
        <v>1</v>
      </c>
      <c r="E6245" t="s">
        <v>3151</v>
      </c>
      <c r="F6245" t="s">
        <v>3152</v>
      </c>
      <c r="G6245" t="s">
        <v>16</v>
      </c>
      <c r="H6245" t="s">
        <v>53</v>
      </c>
      <c r="I6245" t="s">
        <v>53</v>
      </c>
      <c r="J6245" t="s">
        <v>53</v>
      </c>
      <c r="K6245" t="s">
        <v>53</v>
      </c>
      <c r="L6245" t="s">
        <v>53</v>
      </c>
      <c r="M6245" t="s">
        <v>53</v>
      </c>
      <c r="N6245" t="s">
        <v>53</v>
      </c>
      <c r="O6245" t="s">
        <v>53</v>
      </c>
      <c r="P6245" t="s">
        <v>53</v>
      </c>
      <c r="Q6245" t="s">
        <v>53</v>
      </c>
    </row>
    <row r="6246" spans="1:17" x14ac:dyDescent="0.2">
      <c r="A6246" s="30" t="str">
        <f>IF(C6246&amp;G6246&amp;D6246&lt;&gt;'Funnel setup'!$K$3&amp;'Funnel setup'!$K$4&amp;'Funnel setup'!$K$5,".",IF(A6245=".",1,A6245+1))</f>
        <v>.</v>
      </c>
      <c r="B6246" s="431" t="str">
        <f t="shared" si="97"/>
        <v>Knee Replacement RevisionProviderTHE DUDLEY GROUP NHS FOUNDATION TRUST (RNA)Oxford Knee Score</v>
      </c>
      <c r="C6246" t="s">
        <v>250</v>
      </c>
      <c r="D6246" t="s">
        <v>1</v>
      </c>
      <c r="E6246" t="s">
        <v>3121</v>
      </c>
      <c r="F6246" t="s">
        <v>3122</v>
      </c>
      <c r="G6246" t="s">
        <v>16</v>
      </c>
      <c r="H6246" t="s">
        <v>53</v>
      </c>
      <c r="I6246" t="s">
        <v>53</v>
      </c>
      <c r="J6246" t="s">
        <v>53</v>
      </c>
      <c r="K6246" t="s">
        <v>53</v>
      </c>
      <c r="L6246" t="s">
        <v>53</v>
      </c>
      <c r="M6246" t="s">
        <v>53</v>
      </c>
      <c r="N6246" t="s">
        <v>53</v>
      </c>
      <c r="O6246" t="s">
        <v>53</v>
      </c>
      <c r="P6246" t="s">
        <v>53</v>
      </c>
      <c r="Q6246" t="s">
        <v>53</v>
      </c>
    </row>
    <row r="6247" spans="1:17" x14ac:dyDescent="0.2">
      <c r="A6247" s="30" t="str">
        <f>IF(C6247&amp;G6247&amp;D6247&lt;&gt;'Funnel setup'!$K$3&amp;'Funnel setup'!$K$4&amp;'Funnel setup'!$K$5,".",IF(A6246=".",1,A6246+1))</f>
        <v>.</v>
      </c>
      <c r="B6247" s="431" t="str">
        <f t="shared" si="97"/>
        <v>Knee Replacement RevisionProviderTHE HILLINGDON HOSPITALS NHS FOUNDATION TRUST (RAS)Oxford Knee Score</v>
      </c>
      <c r="C6247" t="s">
        <v>250</v>
      </c>
      <c r="D6247" t="s">
        <v>1</v>
      </c>
      <c r="E6247" t="s">
        <v>3115</v>
      </c>
      <c r="F6247" t="s">
        <v>3116</v>
      </c>
      <c r="G6247" t="s">
        <v>16</v>
      </c>
      <c r="H6247" t="s">
        <v>53</v>
      </c>
      <c r="I6247" t="s">
        <v>53</v>
      </c>
      <c r="J6247" t="s">
        <v>53</v>
      </c>
      <c r="K6247" t="s">
        <v>53</v>
      </c>
      <c r="L6247" t="s">
        <v>53</v>
      </c>
      <c r="M6247" t="s">
        <v>53</v>
      </c>
      <c r="N6247" t="s">
        <v>53</v>
      </c>
      <c r="O6247" t="s">
        <v>53</v>
      </c>
      <c r="P6247" t="s">
        <v>53</v>
      </c>
      <c r="Q6247" t="s">
        <v>53</v>
      </c>
    </row>
    <row r="6248" spans="1:17" x14ac:dyDescent="0.2">
      <c r="A6248" s="30" t="str">
        <f>IF(C6248&amp;G6248&amp;D6248&lt;&gt;'Funnel setup'!$K$3&amp;'Funnel setup'!$K$4&amp;'Funnel setup'!$K$5,".",IF(A6247=".",1,A6247+1))</f>
        <v>.</v>
      </c>
      <c r="B6248" s="431" t="str">
        <f t="shared" si="97"/>
        <v>Knee Replacement RevisionProviderTHE HORDER CENTRE - ST JOHNS ROAD (NXM01)Oxford Knee Score</v>
      </c>
      <c r="C6248" t="s">
        <v>250</v>
      </c>
      <c r="D6248" t="s">
        <v>1</v>
      </c>
      <c r="E6248" t="s">
        <v>4222</v>
      </c>
      <c r="F6248" t="s">
        <v>4223</v>
      </c>
      <c r="G6248" t="s">
        <v>16</v>
      </c>
      <c r="H6248">
        <v>21</v>
      </c>
      <c r="I6248">
        <v>24.094999999999999</v>
      </c>
      <c r="J6248">
        <v>38.286000000000001</v>
      </c>
      <c r="K6248">
        <v>14.19</v>
      </c>
      <c r="L6248">
        <v>20</v>
      </c>
      <c r="M6248">
        <v>0</v>
      </c>
      <c r="N6248">
        <v>1</v>
      </c>
      <c r="O6248" t="s">
        <v>53</v>
      </c>
      <c r="P6248" t="s">
        <v>53</v>
      </c>
      <c r="Q6248" t="s">
        <v>53</v>
      </c>
    </row>
    <row r="6249" spans="1:17" x14ac:dyDescent="0.2">
      <c r="A6249" s="30" t="str">
        <f>IF(C6249&amp;G6249&amp;D6249&lt;&gt;'Funnel setup'!$K$3&amp;'Funnel setup'!$K$4&amp;'Funnel setup'!$K$5,".",IF(A6248=".",1,A6248+1))</f>
        <v>.</v>
      </c>
      <c r="B6249" s="431" t="str">
        <f t="shared" si="97"/>
        <v>Knee Replacement RevisionProviderTHE NEWCASTLE UPON TYNE HOSPITALS NHS FOUNDATION TRUST (RTD)Oxford Knee Score</v>
      </c>
      <c r="C6249" t="s">
        <v>250</v>
      </c>
      <c r="D6249" t="s">
        <v>1</v>
      </c>
      <c r="E6249" t="s">
        <v>3748</v>
      </c>
      <c r="F6249" t="s">
        <v>3749</v>
      </c>
      <c r="G6249" t="s">
        <v>16</v>
      </c>
      <c r="H6249">
        <v>19</v>
      </c>
      <c r="I6249">
        <v>17.367999999999999</v>
      </c>
      <c r="J6249">
        <v>28.684000000000001</v>
      </c>
      <c r="K6249">
        <v>11.316000000000001</v>
      </c>
      <c r="L6249">
        <v>15</v>
      </c>
      <c r="M6249">
        <v>1</v>
      </c>
      <c r="N6249">
        <v>3</v>
      </c>
      <c r="O6249" t="s">
        <v>53</v>
      </c>
      <c r="P6249" t="s">
        <v>53</v>
      </c>
      <c r="Q6249" t="s">
        <v>53</v>
      </c>
    </row>
    <row r="6250" spans="1:17" x14ac:dyDescent="0.2">
      <c r="A6250" s="30" t="str">
        <f>IF(C6250&amp;G6250&amp;D6250&lt;&gt;'Funnel setup'!$K$3&amp;'Funnel setup'!$K$4&amp;'Funnel setup'!$K$5,".",IF(A6249=".",1,A6249+1))</f>
        <v>.</v>
      </c>
      <c r="B6250" s="431" t="str">
        <f t="shared" si="97"/>
        <v>Knee Replacement RevisionProviderTHE PRINCESS ALEXANDRA HOSPITAL NHS TRUST (RQW)Oxford Knee Score</v>
      </c>
      <c r="C6250" t="s">
        <v>250</v>
      </c>
      <c r="D6250" t="s">
        <v>1</v>
      </c>
      <c r="E6250" t="s">
        <v>3751</v>
      </c>
      <c r="F6250" t="s">
        <v>3752</v>
      </c>
      <c r="G6250" t="s">
        <v>16</v>
      </c>
      <c r="H6250" t="s">
        <v>53</v>
      </c>
      <c r="I6250" t="s">
        <v>53</v>
      </c>
      <c r="J6250" t="s">
        <v>53</v>
      </c>
      <c r="K6250" t="s">
        <v>53</v>
      </c>
      <c r="L6250" t="s">
        <v>53</v>
      </c>
      <c r="M6250" t="s">
        <v>53</v>
      </c>
      <c r="N6250" t="s">
        <v>53</v>
      </c>
      <c r="O6250" t="s">
        <v>53</v>
      </c>
      <c r="P6250" t="s">
        <v>53</v>
      </c>
      <c r="Q6250" t="s">
        <v>53</v>
      </c>
    </row>
    <row r="6251" spans="1:17" x14ac:dyDescent="0.2">
      <c r="A6251" s="30" t="str">
        <f>IF(C6251&amp;G6251&amp;D6251&lt;&gt;'Funnel setup'!$K$3&amp;'Funnel setup'!$K$4&amp;'Funnel setup'!$K$5,".",IF(A6250=".",1,A6250+1))</f>
        <v>.</v>
      </c>
      <c r="B6251" s="431" t="str">
        <f t="shared" si="97"/>
        <v>Knee Replacement RevisionProviderTHE QUEEN ELIZABETH HOSPITAL, KING'S LYNN, NHS FOUNDATION TRUST (RCX)Oxford Knee Score</v>
      </c>
      <c r="C6251" t="s">
        <v>250</v>
      </c>
      <c r="D6251" t="s">
        <v>1</v>
      </c>
      <c r="E6251" t="s">
        <v>3754</v>
      </c>
      <c r="F6251" t="s">
        <v>3755</v>
      </c>
      <c r="G6251" t="s">
        <v>16</v>
      </c>
      <c r="H6251">
        <v>15</v>
      </c>
      <c r="I6251">
        <v>18.332999999999998</v>
      </c>
      <c r="J6251">
        <v>31.6</v>
      </c>
      <c r="K6251">
        <v>13.266999999999999</v>
      </c>
      <c r="L6251">
        <v>14</v>
      </c>
      <c r="M6251">
        <v>0</v>
      </c>
      <c r="N6251">
        <v>1</v>
      </c>
      <c r="O6251" t="s">
        <v>53</v>
      </c>
      <c r="P6251" t="s">
        <v>53</v>
      </c>
      <c r="Q6251" t="s">
        <v>53</v>
      </c>
    </row>
    <row r="6252" spans="1:17" x14ac:dyDescent="0.2">
      <c r="A6252" s="30" t="str">
        <f>IF(C6252&amp;G6252&amp;D6252&lt;&gt;'Funnel setup'!$K$3&amp;'Funnel setup'!$K$4&amp;'Funnel setup'!$K$5,".",IF(A6251=".",1,A6251+1))</f>
        <v>.</v>
      </c>
      <c r="B6252" s="431" t="str">
        <f t="shared" si="97"/>
        <v>Knee Replacement RevisionProviderTHE ROBERT JONES AND AGNES HUNT ORTHOPAEDIC HOSPITAL NHS FOUNDATION TRUST (RL1)Oxford Knee Score</v>
      </c>
      <c r="C6252" t="s">
        <v>250</v>
      </c>
      <c r="D6252" t="s">
        <v>1</v>
      </c>
      <c r="E6252" t="s">
        <v>4496</v>
      </c>
      <c r="F6252" t="s">
        <v>4497</v>
      </c>
      <c r="G6252" t="s">
        <v>16</v>
      </c>
      <c r="H6252">
        <v>43</v>
      </c>
      <c r="I6252">
        <v>15.628</v>
      </c>
      <c r="J6252">
        <v>27.512</v>
      </c>
      <c r="K6252">
        <v>11.884</v>
      </c>
      <c r="L6252">
        <v>37</v>
      </c>
      <c r="M6252">
        <v>2</v>
      </c>
      <c r="N6252">
        <v>4</v>
      </c>
      <c r="O6252">
        <v>25.100999999999999</v>
      </c>
      <c r="P6252">
        <v>8.5953846929999997</v>
      </c>
      <c r="Q6252">
        <v>11.47</v>
      </c>
    </row>
    <row r="6253" spans="1:17" x14ac:dyDescent="0.2">
      <c r="A6253" s="30" t="str">
        <f>IF(C6253&amp;G6253&amp;D6253&lt;&gt;'Funnel setup'!$K$3&amp;'Funnel setup'!$K$4&amp;'Funnel setup'!$K$5,".",IF(A6252=".",1,A6252+1))</f>
        <v>.</v>
      </c>
      <c r="B6253" s="431" t="str">
        <f t="shared" si="97"/>
        <v>Knee Replacement RevisionProviderTHE ROTHERHAM NHS FOUNDATION TRUST (RFR)Oxford Knee Score</v>
      </c>
      <c r="C6253" t="s">
        <v>250</v>
      </c>
      <c r="D6253" t="s">
        <v>1</v>
      </c>
      <c r="E6253" t="s">
        <v>3739</v>
      </c>
      <c r="F6253" t="s">
        <v>3740</v>
      </c>
      <c r="G6253" t="s">
        <v>16</v>
      </c>
      <c r="H6253">
        <v>7</v>
      </c>
      <c r="I6253">
        <v>14.286</v>
      </c>
      <c r="J6253">
        <v>29</v>
      </c>
      <c r="K6253">
        <v>14.714</v>
      </c>
      <c r="L6253">
        <v>5</v>
      </c>
      <c r="M6253">
        <v>0</v>
      </c>
      <c r="N6253">
        <v>2</v>
      </c>
      <c r="O6253" t="s">
        <v>53</v>
      </c>
      <c r="P6253" t="s">
        <v>53</v>
      </c>
      <c r="Q6253" t="s">
        <v>53</v>
      </c>
    </row>
    <row r="6254" spans="1:17" x14ac:dyDescent="0.2">
      <c r="A6254" s="30" t="str">
        <f>IF(C6254&amp;G6254&amp;D6254&lt;&gt;'Funnel setup'!$K$3&amp;'Funnel setup'!$K$4&amp;'Funnel setup'!$K$5,".",IF(A6253=".",1,A6253+1))</f>
        <v>.</v>
      </c>
      <c r="B6254" s="431" t="str">
        <f t="shared" si="97"/>
        <v>Knee Replacement RevisionProviderTHE ROYAL ORTHOPAEDIC HOSPITAL NHS FOUNDATION TRUST (RRJ)Oxford Knee Score</v>
      </c>
      <c r="C6254" t="s">
        <v>250</v>
      </c>
      <c r="D6254" t="s">
        <v>1</v>
      </c>
      <c r="E6254" t="s">
        <v>4480</v>
      </c>
      <c r="F6254" t="s">
        <v>4481</v>
      </c>
      <c r="G6254" t="s">
        <v>16</v>
      </c>
      <c r="H6254">
        <v>24</v>
      </c>
      <c r="I6254">
        <v>12.75</v>
      </c>
      <c r="J6254">
        <v>24.707999999999998</v>
      </c>
      <c r="K6254">
        <v>11.958</v>
      </c>
      <c r="L6254">
        <v>21</v>
      </c>
      <c r="M6254">
        <v>0</v>
      </c>
      <c r="N6254">
        <v>3</v>
      </c>
      <c r="O6254" t="s">
        <v>53</v>
      </c>
      <c r="P6254" t="s">
        <v>53</v>
      </c>
      <c r="Q6254" t="s">
        <v>53</v>
      </c>
    </row>
    <row r="6255" spans="1:17" x14ac:dyDescent="0.2">
      <c r="A6255" s="30" t="str">
        <f>IF(C6255&amp;G6255&amp;D6255&lt;&gt;'Funnel setup'!$K$3&amp;'Funnel setup'!$K$4&amp;'Funnel setup'!$K$5,".",IF(A6254=".",1,A6254+1))</f>
        <v>.</v>
      </c>
      <c r="B6255" s="431" t="str">
        <f t="shared" si="97"/>
        <v>Knee Replacement RevisionProviderTHE ROYAL WOLVERHAMPTON NHS TRUST (RL4)Oxford Knee Score</v>
      </c>
      <c r="C6255" t="s">
        <v>250</v>
      </c>
      <c r="D6255" t="s">
        <v>1</v>
      </c>
      <c r="E6255" t="s">
        <v>3382</v>
      </c>
      <c r="F6255" t="s">
        <v>3383</v>
      </c>
      <c r="G6255" t="s">
        <v>16</v>
      </c>
      <c r="H6255">
        <v>12</v>
      </c>
      <c r="I6255">
        <v>14.667</v>
      </c>
      <c r="J6255">
        <v>28.25</v>
      </c>
      <c r="K6255">
        <v>13.583</v>
      </c>
      <c r="L6255">
        <v>10</v>
      </c>
      <c r="M6255">
        <v>1</v>
      </c>
      <c r="N6255">
        <v>1</v>
      </c>
      <c r="O6255" t="s">
        <v>53</v>
      </c>
      <c r="P6255" t="s">
        <v>53</v>
      </c>
      <c r="Q6255" t="s">
        <v>53</v>
      </c>
    </row>
    <row r="6256" spans="1:17" x14ac:dyDescent="0.2">
      <c r="A6256" s="30" t="str">
        <f>IF(C6256&amp;G6256&amp;D6256&lt;&gt;'Funnel setup'!$K$3&amp;'Funnel setup'!$K$4&amp;'Funnel setup'!$K$5,".",IF(A6255=".",1,A6255+1))</f>
        <v>.</v>
      </c>
      <c r="B6256" s="431" t="str">
        <f t="shared" si="97"/>
        <v>Knee Replacement RevisionProviderTHE YORKSHIRE CLINIC (NVC20)Oxford Knee Score</v>
      </c>
      <c r="C6256" t="s">
        <v>250</v>
      </c>
      <c r="D6256" t="s">
        <v>1</v>
      </c>
      <c r="E6256" t="s">
        <v>3760</v>
      </c>
      <c r="F6256" t="s">
        <v>3761</v>
      </c>
      <c r="G6256" t="s">
        <v>16</v>
      </c>
      <c r="H6256" t="s">
        <v>53</v>
      </c>
      <c r="I6256" t="s">
        <v>53</v>
      </c>
      <c r="J6256" t="s">
        <v>53</v>
      </c>
      <c r="K6256" t="s">
        <v>53</v>
      </c>
      <c r="L6256" t="s">
        <v>53</v>
      </c>
      <c r="M6256" t="s">
        <v>53</v>
      </c>
      <c r="N6256" t="s">
        <v>53</v>
      </c>
      <c r="O6256" t="s">
        <v>53</v>
      </c>
      <c r="P6256" t="s">
        <v>53</v>
      </c>
      <c r="Q6256" t="s">
        <v>53</v>
      </c>
    </row>
    <row r="6257" spans="1:17" x14ac:dyDescent="0.2">
      <c r="A6257" s="30" t="str">
        <f>IF(C6257&amp;G6257&amp;D6257&lt;&gt;'Funnel setup'!$K$3&amp;'Funnel setup'!$K$4&amp;'Funnel setup'!$K$5,".",IF(A6256=".",1,A6256+1))</f>
        <v>.</v>
      </c>
      <c r="B6257" s="431" t="str">
        <f t="shared" si="97"/>
        <v>Knee Replacement RevisionProviderTORBAY AND SOUTH DEVON NHS FOUNDATION TRUST (RA9)Oxford Knee Score</v>
      </c>
      <c r="C6257" t="s">
        <v>250</v>
      </c>
      <c r="D6257" t="s">
        <v>1</v>
      </c>
      <c r="E6257" t="s">
        <v>3480</v>
      </c>
      <c r="F6257" t="s">
        <v>6584</v>
      </c>
      <c r="G6257" t="s">
        <v>16</v>
      </c>
      <c r="H6257">
        <v>13</v>
      </c>
      <c r="I6257">
        <v>19.768999999999998</v>
      </c>
      <c r="J6257">
        <v>35.384999999999998</v>
      </c>
      <c r="K6257">
        <v>15.615</v>
      </c>
      <c r="L6257">
        <v>12</v>
      </c>
      <c r="M6257">
        <v>0</v>
      </c>
      <c r="N6257">
        <v>1</v>
      </c>
      <c r="O6257" t="s">
        <v>53</v>
      </c>
      <c r="P6257" t="s">
        <v>53</v>
      </c>
      <c r="Q6257" t="s">
        <v>53</v>
      </c>
    </row>
    <row r="6258" spans="1:17" x14ac:dyDescent="0.2">
      <c r="A6258" s="30" t="str">
        <f>IF(C6258&amp;G6258&amp;D6258&lt;&gt;'Funnel setup'!$K$3&amp;'Funnel setup'!$K$4&amp;'Funnel setup'!$K$5,".",IF(A6257=".",1,A6257+1))</f>
        <v>.</v>
      </c>
      <c r="B6258" s="431" t="str">
        <f t="shared" si="97"/>
        <v>Knee Replacement RevisionProviderUNITED LINCOLNSHIRE HOSPITALS NHS TRUST (RWD)Oxford Knee Score</v>
      </c>
      <c r="C6258" t="s">
        <v>250</v>
      </c>
      <c r="D6258" t="s">
        <v>1</v>
      </c>
      <c r="E6258" t="s">
        <v>3763</v>
      </c>
      <c r="F6258" t="s">
        <v>3764</v>
      </c>
      <c r="G6258" t="s">
        <v>16</v>
      </c>
      <c r="H6258" t="s">
        <v>53</v>
      </c>
      <c r="I6258" t="s">
        <v>53</v>
      </c>
      <c r="J6258" t="s">
        <v>53</v>
      </c>
      <c r="K6258" t="s">
        <v>53</v>
      </c>
      <c r="L6258" t="s">
        <v>53</v>
      </c>
      <c r="M6258" t="s">
        <v>53</v>
      </c>
      <c r="N6258" t="s">
        <v>53</v>
      </c>
      <c r="O6258" t="s">
        <v>53</v>
      </c>
      <c r="P6258" t="s">
        <v>53</v>
      </c>
      <c r="Q6258" t="s">
        <v>53</v>
      </c>
    </row>
    <row r="6259" spans="1:17" x14ac:dyDescent="0.2">
      <c r="A6259" s="30" t="str">
        <f>IF(C6259&amp;G6259&amp;D6259&lt;&gt;'Funnel setup'!$K$3&amp;'Funnel setup'!$K$4&amp;'Funnel setup'!$K$5,".",IF(A6258=".",1,A6258+1))</f>
        <v>.</v>
      </c>
      <c r="B6259" s="431" t="str">
        <f t="shared" si="97"/>
        <v>Knee Replacement RevisionProviderUNIVERSITY COLLEGE LONDON HOSPITALS NHS FOUNDATION TRUST (RRV)Oxford Knee Score</v>
      </c>
      <c r="C6259" t="s">
        <v>250</v>
      </c>
      <c r="D6259" t="s">
        <v>1</v>
      </c>
      <c r="E6259" t="s">
        <v>3766</v>
      </c>
      <c r="F6259" t="s">
        <v>3767</v>
      </c>
      <c r="G6259" t="s">
        <v>16</v>
      </c>
      <c r="H6259">
        <v>6</v>
      </c>
      <c r="I6259">
        <v>17.332999999999998</v>
      </c>
      <c r="J6259">
        <v>28.5</v>
      </c>
      <c r="K6259">
        <v>11.167</v>
      </c>
      <c r="L6259">
        <v>5</v>
      </c>
      <c r="M6259">
        <v>0</v>
      </c>
      <c r="N6259">
        <v>1</v>
      </c>
      <c r="O6259" t="s">
        <v>53</v>
      </c>
      <c r="P6259" t="s">
        <v>53</v>
      </c>
      <c r="Q6259" t="s">
        <v>53</v>
      </c>
    </row>
    <row r="6260" spans="1:17" x14ac:dyDescent="0.2">
      <c r="A6260" s="30" t="str">
        <f>IF(C6260&amp;G6260&amp;D6260&lt;&gt;'Funnel setup'!$K$3&amp;'Funnel setup'!$K$4&amp;'Funnel setup'!$K$5,".",IF(A6259=".",1,A6259+1))</f>
        <v>.</v>
      </c>
      <c r="B6260" s="431" t="str">
        <f t="shared" si="97"/>
        <v>Knee Replacement RevisionProviderUNIVERSITY HOSPITAL OF SOUTH MANCHESTER NHS FOUNDATION TRUST (RM2)Oxford Knee Score</v>
      </c>
      <c r="C6260" t="s">
        <v>250</v>
      </c>
      <c r="D6260" t="s">
        <v>1</v>
      </c>
      <c r="E6260" t="s">
        <v>3769</v>
      </c>
      <c r="F6260" t="s">
        <v>3770</v>
      </c>
      <c r="G6260" t="s">
        <v>16</v>
      </c>
      <c r="H6260" t="s">
        <v>53</v>
      </c>
      <c r="I6260" t="s">
        <v>53</v>
      </c>
      <c r="J6260" t="s">
        <v>53</v>
      </c>
      <c r="K6260" t="s">
        <v>53</v>
      </c>
      <c r="L6260" t="s">
        <v>53</v>
      </c>
      <c r="M6260" t="s">
        <v>53</v>
      </c>
      <c r="N6260" t="s">
        <v>53</v>
      </c>
      <c r="O6260" t="s">
        <v>53</v>
      </c>
      <c r="P6260" t="s">
        <v>53</v>
      </c>
      <c r="Q6260" t="s">
        <v>53</v>
      </c>
    </row>
    <row r="6261" spans="1:17" x14ac:dyDescent="0.2">
      <c r="A6261" s="30" t="str">
        <f>IF(C6261&amp;G6261&amp;D6261&lt;&gt;'Funnel setup'!$K$3&amp;'Funnel setup'!$K$4&amp;'Funnel setup'!$K$5,".",IF(A6260=".",1,A6260+1))</f>
        <v>.</v>
      </c>
      <c r="B6261" s="431" t="str">
        <f t="shared" si="97"/>
        <v>Knee Replacement RevisionProviderUNIVERSITY HOSPITAL SOUTHAMPTON NHS FOUNDATION TRUST (RHM)Oxford Knee Score</v>
      </c>
      <c r="C6261" t="s">
        <v>250</v>
      </c>
      <c r="D6261" t="s">
        <v>1</v>
      </c>
      <c r="E6261" t="s">
        <v>3772</v>
      </c>
      <c r="F6261" t="s">
        <v>3773</v>
      </c>
      <c r="G6261" t="s">
        <v>16</v>
      </c>
      <c r="H6261">
        <v>43</v>
      </c>
      <c r="I6261">
        <v>15.814</v>
      </c>
      <c r="J6261">
        <v>27.952999999999999</v>
      </c>
      <c r="K6261">
        <v>12.14</v>
      </c>
      <c r="L6261">
        <v>35</v>
      </c>
      <c r="M6261">
        <v>1</v>
      </c>
      <c r="N6261">
        <v>7</v>
      </c>
      <c r="O6261">
        <v>28.21</v>
      </c>
      <c r="P6261">
        <v>11.70387268</v>
      </c>
      <c r="Q6261">
        <v>8.5340000000000007</v>
      </c>
    </row>
    <row r="6262" spans="1:17" x14ac:dyDescent="0.2">
      <c r="A6262" s="30" t="str">
        <f>IF(C6262&amp;G6262&amp;D6262&lt;&gt;'Funnel setup'!$K$3&amp;'Funnel setup'!$K$4&amp;'Funnel setup'!$K$5,".",IF(A6261=".",1,A6261+1))</f>
        <v>.</v>
      </c>
      <c r="B6262" s="431" t="str">
        <f t="shared" si="97"/>
        <v>Knee Replacement RevisionProviderUNIVERSITY HOSPITALS COVENTRY AND WARWICKSHIRE NHS TRUST (RKB)Oxford Knee Score</v>
      </c>
      <c r="C6262" t="s">
        <v>250</v>
      </c>
      <c r="D6262" t="s">
        <v>1</v>
      </c>
      <c r="E6262" t="s">
        <v>3715</v>
      </c>
      <c r="F6262" t="s">
        <v>3716</v>
      </c>
      <c r="G6262" t="s">
        <v>16</v>
      </c>
      <c r="H6262">
        <v>17</v>
      </c>
      <c r="I6262">
        <v>15.353</v>
      </c>
      <c r="J6262">
        <v>23.529</v>
      </c>
      <c r="K6262">
        <v>8.1760000000000002</v>
      </c>
      <c r="L6262">
        <v>14</v>
      </c>
      <c r="M6262">
        <v>1</v>
      </c>
      <c r="N6262">
        <v>2</v>
      </c>
      <c r="O6262" t="s">
        <v>53</v>
      </c>
      <c r="P6262" t="s">
        <v>53</v>
      </c>
      <c r="Q6262" t="s">
        <v>53</v>
      </c>
    </row>
    <row r="6263" spans="1:17" x14ac:dyDescent="0.2">
      <c r="A6263" s="30" t="str">
        <f>IF(C6263&amp;G6263&amp;D6263&lt;&gt;'Funnel setup'!$K$3&amp;'Funnel setup'!$K$4&amp;'Funnel setup'!$K$5,".",IF(A6262=".",1,A6262+1))</f>
        <v>.</v>
      </c>
      <c r="B6263" s="431" t="str">
        <f t="shared" si="97"/>
        <v>Knee Replacement RevisionProviderUNIVERSITY HOSPITALS OF LEICESTER NHS TRUST (RWE)Oxford Knee Score</v>
      </c>
      <c r="C6263" t="s">
        <v>250</v>
      </c>
      <c r="D6263" t="s">
        <v>1</v>
      </c>
      <c r="E6263" t="s">
        <v>3718</v>
      </c>
      <c r="F6263" t="s">
        <v>3719</v>
      </c>
      <c r="G6263" t="s">
        <v>16</v>
      </c>
      <c r="H6263">
        <v>35</v>
      </c>
      <c r="I6263">
        <v>15.4</v>
      </c>
      <c r="J6263">
        <v>31.286000000000001</v>
      </c>
      <c r="K6263">
        <v>15.885999999999999</v>
      </c>
      <c r="L6263">
        <v>32</v>
      </c>
      <c r="M6263">
        <v>0</v>
      </c>
      <c r="N6263">
        <v>3</v>
      </c>
      <c r="O6263">
        <v>33.728000000000002</v>
      </c>
      <c r="P6263">
        <v>17.222101739999999</v>
      </c>
      <c r="Q6263">
        <v>10.901</v>
      </c>
    </row>
    <row r="6264" spans="1:17" x14ac:dyDescent="0.2">
      <c r="A6264" s="30" t="str">
        <f>IF(C6264&amp;G6264&amp;D6264&lt;&gt;'Funnel setup'!$K$3&amp;'Funnel setup'!$K$4&amp;'Funnel setup'!$K$5,".",IF(A6263=".",1,A6263+1))</f>
        <v>.</v>
      </c>
      <c r="B6264" s="431" t="str">
        <f t="shared" si="97"/>
        <v>Knee Replacement RevisionProviderUNIVERSITY HOSPITALS OF MORECAMBE BAY NHS FOUNDATION TRUST (RTX)Oxford Knee Score</v>
      </c>
      <c r="C6264" t="s">
        <v>250</v>
      </c>
      <c r="D6264" t="s">
        <v>1</v>
      </c>
      <c r="E6264" t="s">
        <v>3721</v>
      </c>
      <c r="F6264" t="s">
        <v>3722</v>
      </c>
      <c r="G6264" t="s">
        <v>16</v>
      </c>
      <c r="H6264" t="s">
        <v>53</v>
      </c>
      <c r="I6264" t="s">
        <v>53</v>
      </c>
      <c r="J6264" t="s">
        <v>53</v>
      </c>
      <c r="K6264" t="s">
        <v>53</v>
      </c>
      <c r="L6264" t="s">
        <v>53</v>
      </c>
      <c r="M6264" t="s">
        <v>53</v>
      </c>
      <c r="N6264" t="s">
        <v>53</v>
      </c>
      <c r="O6264" t="s">
        <v>53</v>
      </c>
      <c r="P6264" t="s">
        <v>53</v>
      </c>
      <c r="Q6264" t="s">
        <v>53</v>
      </c>
    </row>
    <row r="6265" spans="1:17" x14ac:dyDescent="0.2">
      <c r="A6265" s="30" t="str">
        <f>IF(C6265&amp;G6265&amp;D6265&lt;&gt;'Funnel setup'!$K$3&amp;'Funnel setup'!$K$4&amp;'Funnel setup'!$K$5,".",IF(A6264=".",1,A6264+1))</f>
        <v>.</v>
      </c>
      <c r="B6265" s="431" t="str">
        <f t="shared" si="97"/>
        <v>Knee Replacement RevisionProviderUNIVERSITY HOSPITALS OF NORTH MIDLANDS NHS TRUST (RJE)Oxford Knee Score</v>
      </c>
      <c r="C6265" t="s">
        <v>250</v>
      </c>
      <c r="D6265" t="s">
        <v>1</v>
      </c>
      <c r="E6265" t="s">
        <v>3724</v>
      </c>
      <c r="F6265" t="s">
        <v>3725</v>
      </c>
      <c r="G6265" t="s">
        <v>16</v>
      </c>
      <c r="H6265">
        <v>6</v>
      </c>
      <c r="I6265">
        <v>7.5</v>
      </c>
      <c r="J6265">
        <v>15.333</v>
      </c>
      <c r="K6265">
        <v>7.8330000000000002</v>
      </c>
      <c r="L6265">
        <v>5</v>
      </c>
      <c r="M6265">
        <v>0</v>
      </c>
      <c r="N6265">
        <v>1</v>
      </c>
      <c r="O6265" t="s">
        <v>53</v>
      </c>
      <c r="P6265" t="s">
        <v>53</v>
      </c>
      <c r="Q6265" t="s">
        <v>53</v>
      </c>
    </row>
    <row r="6266" spans="1:17" x14ac:dyDescent="0.2">
      <c r="A6266" s="30" t="str">
        <f>IF(C6266&amp;G6266&amp;D6266&lt;&gt;'Funnel setup'!$K$3&amp;'Funnel setup'!$K$4&amp;'Funnel setup'!$K$5,".",IF(A6265=".",1,A6265+1))</f>
        <v>.</v>
      </c>
      <c r="B6266" s="431" t="str">
        <f t="shared" si="97"/>
        <v>Knee Replacement RevisionProviderWALSALL HEALTHCARE NHS TRUST (RBK)Oxford Knee Score</v>
      </c>
      <c r="C6266" t="s">
        <v>250</v>
      </c>
      <c r="D6266" t="s">
        <v>1</v>
      </c>
      <c r="E6266" t="s">
        <v>3727</v>
      </c>
      <c r="F6266" t="s">
        <v>3728</v>
      </c>
      <c r="G6266" t="s">
        <v>16</v>
      </c>
      <c r="H6266" t="s">
        <v>53</v>
      </c>
      <c r="I6266" t="s">
        <v>53</v>
      </c>
      <c r="J6266" t="s">
        <v>53</v>
      </c>
      <c r="K6266" t="s">
        <v>53</v>
      </c>
      <c r="L6266" t="s">
        <v>53</v>
      </c>
      <c r="M6266" t="s">
        <v>53</v>
      </c>
      <c r="N6266" t="s">
        <v>53</v>
      </c>
      <c r="O6266" t="s">
        <v>53</v>
      </c>
      <c r="P6266" t="s">
        <v>53</v>
      </c>
      <c r="Q6266" t="s">
        <v>53</v>
      </c>
    </row>
    <row r="6267" spans="1:17" x14ac:dyDescent="0.2">
      <c r="A6267" s="30" t="str">
        <f>IF(C6267&amp;G6267&amp;D6267&lt;&gt;'Funnel setup'!$K$3&amp;'Funnel setup'!$K$4&amp;'Funnel setup'!$K$5,".",IF(A6266=".",1,A6266+1))</f>
        <v>.</v>
      </c>
      <c r="B6267" s="431" t="str">
        <f t="shared" si="97"/>
        <v>Knee Replacement RevisionProviderWARRINGTON AND HALTON HOSPITALS NHS FOUNDATION TRUST (RWW)Oxford Knee Score</v>
      </c>
      <c r="C6267" t="s">
        <v>250</v>
      </c>
      <c r="D6267" t="s">
        <v>1</v>
      </c>
      <c r="E6267" t="s">
        <v>3730</v>
      </c>
      <c r="F6267" t="s">
        <v>3731</v>
      </c>
      <c r="G6267" t="s">
        <v>16</v>
      </c>
      <c r="H6267">
        <v>16</v>
      </c>
      <c r="I6267">
        <v>16</v>
      </c>
      <c r="J6267">
        <v>30.187999999999999</v>
      </c>
      <c r="K6267">
        <v>14.188000000000001</v>
      </c>
      <c r="L6267">
        <v>14</v>
      </c>
      <c r="M6267">
        <v>1</v>
      </c>
      <c r="N6267">
        <v>1</v>
      </c>
      <c r="O6267" t="s">
        <v>53</v>
      </c>
      <c r="P6267" t="s">
        <v>53</v>
      </c>
      <c r="Q6267" t="s">
        <v>53</v>
      </c>
    </row>
    <row r="6268" spans="1:17" x14ac:dyDescent="0.2">
      <c r="A6268" s="30" t="str">
        <f>IF(C6268&amp;G6268&amp;D6268&lt;&gt;'Funnel setup'!$K$3&amp;'Funnel setup'!$K$4&amp;'Funnel setup'!$K$5,".",IF(A6267=".",1,A6267+1))</f>
        <v>.</v>
      </c>
      <c r="B6268" s="431" t="str">
        <f t="shared" si="97"/>
        <v>Knee Replacement RevisionProviderWEST HERTFORDSHIRE HOSPITALS NHS TRUST (RWG)Oxford Knee Score</v>
      </c>
      <c r="C6268" t="s">
        <v>250</v>
      </c>
      <c r="D6268" t="s">
        <v>1</v>
      </c>
      <c r="E6268" t="s">
        <v>3733</v>
      </c>
      <c r="F6268" t="s">
        <v>3734</v>
      </c>
      <c r="G6268" t="s">
        <v>16</v>
      </c>
      <c r="H6268">
        <v>9</v>
      </c>
      <c r="I6268">
        <v>10.333</v>
      </c>
      <c r="J6268">
        <v>26.222000000000001</v>
      </c>
      <c r="K6268">
        <v>15.888999999999999</v>
      </c>
      <c r="L6268">
        <v>7</v>
      </c>
      <c r="M6268">
        <v>2</v>
      </c>
      <c r="N6268">
        <v>0</v>
      </c>
      <c r="O6268" t="s">
        <v>53</v>
      </c>
      <c r="P6268" t="s">
        <v>53</v>
      </c>
      <c r="Q6268" t="s">
        <v>53</v>
      </c>
    </row>
    <row r="6269" spans="1:17" x14ac:dyDescent="0.2">
      <c r="A6269" s="30" t="str">
        <f>IF(C6269&amp;G6269&amp;D6269&lt;&gt;'Funnel setup'!$K$3&amp;'Funnel setup'!$K$4&amp;'Funnel setup'!$K$5,".",IF(A6268=".",1,A6268+1))</f>
        <v>.</v>
      </c>
      <c r="B6269" s="431" t="str">
        <f t="shared" si="97"/>
        <v>Knee Replacement RevisionProviderWEST MIDDLESEX UNIVERSITY HOSPITAL NHS TRUST (RFW)Oxford Knee Score</v>
      </c>
      <c r="C6269" t="s">
        <v>250</v>
      </c>
      <c r="D6269" t="s">
        <v>1</v>
      </c>
      <c r="E6269" t="s">
        <v>3736</v>
      </c>
      <c r="F6269" t="s">
        <v>3737</v>
      </c>
      <c r="G6269" t="s">
        <v>16</v>
      </c>
      <c r="H6269" t="s">
        <v>53</v>
      </c>
      <c r="I6269" t="s">
        <v>53</v>
      </c>
      <c r="J6269" t="s">
        <v>53</v>
      </c>
      <c r="K6269" t="s">
        <v>53</v>
      </c>
      <c r="L6269" t="s">
        <v>53</v>
      </c>
      <c r="M6269" t="s">
        <v>53</v>
      </c>
      <c r="N6269" t="s">
        <v>53</v>
      </c>
      <c r="O6269" t="s">
        <v>53</v>
      </c>
      <c r="P6269" t="s">
        <v>53</v>
      </c>
      <c r="Q6269" t="s">
        <v>53</v>
      </c>
    </row>
    <row r="6270" spans="1:17" x14ac:dyDescent="0.2">
      <c r="A6270" s="30" t="str">
        <f>IF(C6270&amp;G6270&amp;D6270&lt;&gt;'Funnel setup'!$K$3&amp;'Funnel setup'!$K$4&amp;'Funnel setup'!$K$5,".",IF(A6269=".",1,A6269+1))</f>
        <v>.</v>
      </c>
      <c r="B6270" s="431" t="str">
        <f t="shared" si="97"/>
        <v>Knee Replacement RevisionProviderWEST MIDLANDS HOSPITAL (NVC21)Oxford Knee Score</v>
      </c>
      <c r="C6270" t="s">
        <v>250</v>
      </c>
      <c r="D6270" t="s">
        <v>1</v>
      </c>
      <c r="E6270" t="s">
        <v>3709</v>
      </c>
      <c r="F6270" t="s">
        <v>3710</v>
      </c>
      <c r="G6270" t="s">
        <v>16</v>
      </c>
      <c r="H6270" t="s">
        <v>53</v>
      </c>
      <c r="I6270" t="s">
        <v>53</v>
      </c>
      <c r="J6270" t="s">
        <v>53</v>
      </c>
      <c r="K6270" t="s">
        <v>53</v>
      </c>
      <c r="L6270" t="s">
        <v>53</v>
      </c>
      <c r="M6270" t="s">
        <v>53</v>
      </c>
      <c r="N6270" t="s">
        <v>53</v>
      </c>
      <c r="O6270" t="s">
        <v>53</v>
      </c>
      <c r="P6270" t="s">
        <v>53</v>
      </c>
      <c r="Q6270" t="s">
        <v>53</v>
      </c>
    </row>
    <row r="6271" spans="1:17" x14ac:dyDescent="0.2">
      <c r="A6271" s="30" t="str">
        <f>IF(C6271&amp;G6271&amp;D6271&lt;&gt;'Funnel setup'!$K$3&amp;'Funnel setup'!$K$4&amp;'Funnel setup'!$K$5,".",IF(A6270=".",1,A6270+1))</f>
        <v>.</v>
      </c>
      <c r="B6271" s="431" t="str">
        <f t="shared" si="97"/>
        <v>Knee Replacement RevisionProviderWEST SUFFOLK NHS FOUNDATION TRUST (RGR)Oxford Knee Score</v>
      </c>
      <c r="C6271" t="s">
        <v>250</v>
      </c>
      <c r="D6271" t="s">
        <v>1</v>
      </c>
      <c r="E6271" t="s">
        <v>3712</v>
      </c>
      <c r="F6271" t="s">
        <v>3713</v>
      </c>
      <c r="G6271" t="s">
        <v>16</v>
      </c>
      <c r="H6271" t="s">
        <v>53</v>
      </c>
      <c r="I6271" t="s">
        <v>53</v>
      </c>
      <c r="J6271" t="s">
        <v>53</v>
      </c>
      <c r="K6271" t="s">
        <v>53</v>
      </c>
      <c r="L6271" t="s">
        <v>53</v>
      </c>
      <c r="M6271" t="s">
        <v>53</v>
      </c>
      <c r="N6271" t="s">
        <v>53</v>
      </c>
      <c r="O6271" t="s">
        <v>53</v>
      </c>
      <c r="P6271" t="s">
        <v>53</v>
      </c>
      <c r="Q6271" t="s">
        <v>53</v>
      </c>
    </row>
    <row r="6272" spans="1:17" x14ac:dyDescent="0.2">
      <c r="A6272" s="30" t="str">
        <f>IF(C6272&amp;G6272&amp;D6272&lt;&gt;'Funnel setup'!$K$3&amp;'Funnel setup'!$K$4&amp;'Funnel setup'!$K$5,".",IF(A6271=".",1,A6271+1))</f>
        <v>.</v>
      </c>
      <c r="B6272" s="431" t="str">
        <f t="shared" si="97"/>
        <v>Knee Replacement RevisionProviderWESTERN SUSSEX HOSPITALS NHS FOUNDATION TRUST (RYR)Oxford Knee Score</v>
      </c>
      <c r="C6272" t="s">
        <v>250</v>
      </c>
      <c r="D6272" t="s">
        <v>1</v>
      </c>
      <c r="E6272" t="s">
        <v>3706</v>
      </c>
      <c r="F6272" t="s">
        <v>3707</v>
      </c>
      <c r="G6272" t="s">
        <v>16</v>
      </c>
      <c r="H6272">
        <v>22</v>
      </c>
      <c r="I6272">
        <v>16.681999999999999</v>
      </c>
      <c r="J6272">
        <v>28.864000000000001</v>
      </c>
      <c r="K6272">
        <v>12.182</v>
      </c>
      <c r="L6272">
        <v>19</v>
      </c>
      <c r="M6272">
        <v>0</v>
      </c>
      <c r="N6272">
        <v>3</v>
      </c>
      <c r="O6272" t="s">
        <v>53</v>
      </c>
      <c r="P6272" t="s">
        <v>53</v>
      </c>
      <c r="Q6272" t="s">
        <v>53</v>
      </c>
    </row>
    <row r="6273" spans="1:17" x14ac:dyDescent="0.2">
      <c r="A6273" s="30" t="str">
        <f>IF(C6273&amp;G6273&amp;D6273&lt;&gt;'Funnel setup'!$K$3&amp;'Funnel setup'!$K$4&amp;'Funnel setup'!$K$5,".",IF(A6272=".",1,A6272+1))</f>
        <v>.</v>
      </c>
      <c r="B6273" s="431" t="str">
        <f t="shared" si="97"/>
        <v>Knee Replacement RevisionProviderWESTON AREA HEALTH NHS TRUST (RA3)Oxford Knee Score</v>
      </c>
      <c r="C6273" t="s">
        <v>250</v>
      </c>
      <c r="D6273" t="s">
        <v>1</v>
      </c>
      <c r="E6273" t="s">
        <v>3525</v>
      </c>
      <c r="F6273" t="s">
        <v>3526</v>
      </c>
      <c r="G6273" t="s">
        <v>16</v>
      </c>
      <c r="H6273" t="s">
        <v>53</v>
      </c>
      <c r="I6273" t="s">
        <v>53</v>
      </c>
      <c r="J6273" t="s">
        <v>53</v>
      </c>
      <c r="K6273" t="s">
        <v>53</v>
      </c>
      <c r="L6273" t="s">
        <v>53</v>
      </c>
      <c r="M6273" t="s">
        <v>53</v>
      </c>
      <c r="N6273" t="s">
        <v>53</v>
      </c>
      <c r="O6273" t="s">
        <v>53</v>
      </c>
      <c r="P6273" t="s">
        <v>53</v>
      </c>
      <c r="Q6273" t="s">
        <v>53</v>
      </c>
    </row>
    <row r="6274" spans="1:17" x14ac:dyDescent="0.2">
      <c r="A6274" s="30" t="str">
        <f>IF(C6274&amp;G6274&amp;D6274&lt;&gt;'Funnel setup'!$K$3&amp;'Funnel setup'!$K$4&amp;'Funnel setup'!$K$5,".",IF(A6273=".",1,A6273+1))</f>
        <v>.</v>
      </c>
      <c r="B6274" s="431" t="str">
        <f t="shared" si="97"/>
        <v>Knee Replacement RevisionProviderWINFIELD HOSPITAL (NVC22)Oxford Knee Score</v>
      </c>
      <c r="C6274" t="s">
        <v>250</v>
      </c>
      <c r="D6274" t="s">
        <v>1</v>
      </c>
      <c r="E6274" t="s">
        <v>3534</v>
      </c>
      <c r="F6274" t="s">
        <v>3535</v>
      </c>
      <c r="G6274" t="s">
        <v>16</v>
      </c>
      <c r="H6274" t="s">
        <v>53</v>
      </c>
      <c r="I6274" t="s">
        <v>53</v>
      </c>
      <c r="J6274" t="s">
        <v>53</v>
      </c>
      <c r="K6274" t="s">
        <v>53</v>
      </c>
      <c r="L6274" t="s">
        <v>53</v>
      </c>
      <c r="M6274" t="s">
        <v>53</v>
      </c>
      <c r="N6274" t="s">
        <v>53</v>
      </c>
      <c r="O6274" t="s">
        <v>53</v>
      </c>
      <c r="P6274" t="s">
        <v>53</v>
      </c>
      <c r="Q6274" t="s">
        <v>53</v>
      </c>
    </row>
    <row r="6275" spans="1:17" x14ac:dyDescent="0.2">
      <c r="A6275" s="30" t="str">
        <f>IF(C6275&amp;G6275&amp;D6275&lt;&gt;'Funnel setup'!$K$3&amp;'Funnel setup'!$K$4&amp;'Funnel setup'!$K$5,".",IF(A6274=".",1,A6274+1))</f>
        <v>.</v>
      </c>
      <c r="B6275" s="431" t="str">
        <f t="shared" ref="B6275:B6338" si="98">C6275&amp;D6275&amp;F6275&amp;G6275</f>
        <v>Knee Replacement RevisionProviderWIRRAL UNIVERSITY TEACHING HOSPITAL NHS FOUNDATION TRUST (RBL)Oxford Knee Score</v>
      </c>
      <c r="C6275" t="s">
        <v>250</v>
      </c>
      <c r="D6275" t="s">
        <v>1</v>
      </c>
      <c r="E6275" t="s">
        <v>3537</v>
      </c>
      <c r="F6275" t="s">
        <v>3538</v>
      </c>
      <c r="G6275" t="s">
        <v>16</v>
      </c>
      <c r="H6275" t="s">
        <v>53</v>
      </c>
      <c r="I6275" t="s">
        <v>53</v>
      </c>
      <c r="J6275" t="s">
        <v>53</v>
      </c>
      <c r="K6275" t="s">
        <v>53</v>
      </c>
      <c r="L6275" t="s">
        <v>53</v>
      </c>
      <c r="M6275" t="s">
        <v>53</v>
      </c>
      <c r="N6275" t="s">
        <v>53</v>
      </c>
      <c r="O6275" t="s">
        <v>53</v>
      </c>
      <c r="P6275" t="s">
        <v>53</v>
      </c>
      <c r="Q6275" t="s">
        <v>53</v>
      </c>
    </row>
    <row r="6276" spans="1:17" x14ac:dyDescent="0.2">
      <c r="A6276" s="30" t="str">
        <f>IF(C6276&amp;G6276&amp;D6276&lt;&gt;'Funnel setup'!$K$3&amp;'Funnel setup'!$K$4&amp;'Funnel setup'!$K$5,".",IF(A6275=".",1,A6275+1))</f>
        <v>.</v>
      </c>
      <c r="B6276" s="431" t="str">
        <f t="shared" si="98"/>
        <v>Knee Replacement RevisionProviderWOODLAND HOSPITAL (NVC23)Oxford Knee Score</v>
      </c>
      <c r="C6276" t="s">
        <v>250</v>
      </c>
      <c r="D6276" t="s">
        <v>1</v>
      </c>
      <c r="E6276" t="s">
        <v>3540</v>
      </c>
      <c r="F6276" t="s">
        <v>3541</v>
      </c>
      <c r="G6276" t="s">
        <v>16</v>
      </c>
      <c r="H6276" t="s">
        <v>53</v>
      </c>
      <c r="I6276" t="s">
        <v>53</v>
      </c>
      <c r="J6276" t="s">
        <v>53</v>
      </c>
      <c r="K6276" t="s">
        <v>53</v>
      </c>
      <c r="L6276" t="s">
        <v>53</v>
      </c>
      <c r="M6276" t="s">
        <v>53</v>
      </c>
      <c r="N6276" t="s">
        <v>53</v>
      </c>
      <c r="O6276" t="s">
        <v>53</v>
      </c>
      <c r="P6276" t="s">
        <v>53</v>
      </c>
      <c r="Q6276" t="s">
        <v>53</v>
      </c>
    </row>
    <row r="6277" spans="1:17" x14ac:dyDescent="0.2">
      <c r="A6277" s="30" t="str">
        <f>IF(C6277&amp;G6277&amp;D6277&lt;&gt;'Funnel setup'!$K$3&amp;'Funnel setup'!$K$4&amp;'Funnel setup'!$K$5,".",IF(A6276=".",1,A6276+1))</f>
        <v>.</v>
      </c>
      <c r="B6277" s="431" t="str">
        <f t="shared" si="98"/>
        <v>Knee Replacement RevisionProviderWOODTHORPE HOSPITAL (NVC40)Oxford Knee Score</v>
      </c>
      <c r="C6277" t="s">
        <v>250</v>
      </c>
      <c r="D6277" t="s">
        <v>1</v>
      </c>
      <c r="E6277" t="s">
        <v>3689</v>
      </c>
      <c r="F6277" t="s">
        <v>6576</v>
      </c>
      <c r="G6277" t="s">
        <v>16</v>
      </c>
      <c r="H6277" t="s">
        <v>53</v>
      </c>
      <c r="I6277" t="s">
        <v>53</v>
      </c>
      <c r="J6277" t="s">
        <v>53</v>
      </c>
      <c r="K6277" t="s">
        <v>53</v>
      </c>
      <c r="L6277" t="s">
        <v>53</v>
      </c>
      <c r="M6277" t="s">
        <v>53</v>
      </c>
      <c r="N6277" t="s">
        <v>53</v>
      </c>
      <c r="O6277" t="s">
        <v>53</v>
      </c>
      <c r="P6277" t="s">
        <v>53</v>
      </c>
      <c r="Q6277" t="s">
        <v>53</v>
      </c>
    </row>
    <row r="6278" spans="1:17" x14ac:dyDescent="0.2">
      <c r="A6278" s="30" t="str">
        <f>IF(C6278&amp;G6278&amp;D6278&lt;&gt;'Funnel setup'!$K$3&amp;'Funnel setup'!$K$4&amp;'Funnel setup'!$K$5,".",IF(A6277=".",1,A6277+1))</f>
        <v>.</v>
      </c>
      <c r="B6278" s="431" t="str">
        <f t="shared" si="98"/>
        <v>Knee Replacement RevisionProviderWORCESTERSHIRE ACUTE HOSPITALS NHS TRUST (RWP)Oxford Knee Score</v>
      </c>
      <c r="C6278" t="s">
        <v>250</v>
      </c>
      <c r="D6278" t="s">
        <v>1</v>
      </c>
      <c r="E6278" t="s">
        <v>3543</v>
      </c>
      <c r="F6278" t="s">
        <v>3544</v>
      </c>
      <c r="G6278" t="s">
        <v>16</v>
      </c>
      <c r="H6278">
        <v>8</v>
      </c>
      <c r="I6278">
        <v>16.75</v>
      </c>
      <c r="J6278">
        <v>29.625</v>
      </c>
      <c r="K6278">
        <v>12.875</v>
      </c>
      <c r="L6278">
        <v>7</v>
      </c>
      <c r="M6278">
        <v>1</v>
      </c>
      <c r="N6278">
        <v>0</v>
      </c>
      <c r="O6278" t="s">
        <v>53</v>
      </c>
      <c r="P6278" t="s">
        <v>53</v>
      </c>
      <c r="Q6278" t="s">
        <v>53</v>
      </c>
    </row>
    <row r="6279" spans="1:17" x14ac:dyDescent="0.2">
      <c r="A6279" s="30" t="str">
        <f>IF(C6279&amp;G6279&amp;D6279&lt;&gt;'Funnel setup'!$K$3&amp;'Funnel setup'!$K$4&amp;'Funnel setup'!$K$5,".",IF(A6278=".",1,A6278+1))</f>
        <v>.</v>
      </c>
      <c r="B6279" s="431" t="str">
        <f t="shared" si="98"/>
        <v>Knee Replacement RevisionProviderWRIGHTINGTON, WIGAN AND LEIGH NHS FOUNDATION TRUST (RRF)Oxford Knee Score</v>
      </c>
      <c r="C6279" t="s">
        <v>250</v>
      </c>
      <c r="D6279" t="s">
        <v>1</v>
      </c>
      <c r="E6279" t="s">
        <v>3546</v>
      </c>
      <c r="F6279" t="s">
        <v>3547</v>
      </c>
      <c r="G6279" t="s">
        <v>16</v>
      </c>
      <c r="H6279">
        <v>11</v>
      </c>
      <c r="I6279">
        <v>17.454999999999998</v>
      </c>
      <c r="J6279">
        <v>26.908999999999999</v>
      </c>
      <c r="K6279">
        <v>9.4550000000000001</v>
      </c>
      <c r="L6279">
        <v>9</v>
      </c>
      <c r="M6279">
        <v>0</v>
      </c>
      <c r="N6279">
        <v>2</v>
      </c>
      <c r="O6279" t="s">
        <v>53</v>
      </c>
      <c r="P6279" t="s">
        <v>53</v>
      </c>
      <c r="Q6279" t="s">
        <v>53</v>
      </c>
    </row>
    <row r="6280" spans="1:17" x14ac:dyDescent="0.2">
      <c r="A6280" s="30" t="str">
        <f>IF(C6280&amp;G6280&amp;D6280&lt;&gt;'Funnel setup'!$K$3&amp;'Funnel setup'!$K$4&amp;'Funnel setup'!$K$5,".",IF(A6279=".",1,A6279+1))</f>
        <v>.</v>
      </c>
      <c r="B6280" s="431" t="str">
        <f t="shared" si="98"/>
        <v>Knee Replacement RevisionProviderWYE VALLEY NHS TRUST (RLQ)Oxford Knee Score</v>
      </c>
      <c r="C6280" t="s">
        <v>250</v>
      </c>
      <c r="D6280" t="s">
        <v>1</v>
      </c>
      <c r="E6280" t="s">
        <v>3517</v>
      </c>
      <c r="F6280" t="s">
        <v>3518</v>
      </c>
      <c r="G6280" t="s">
        <v>16</v>
      </c>
      <c r="H6280" t="s">
        <v>53</v>
      </c>
      <c r="I6280" t="s">
        <v>53</v>
      </c>
      <c r="J6280" t="s">
        <v>53</v>
      </c>
      <c r="K6280" t="s">
        <v>53</v>
      </c>
      <c r="L6280" t="s">
        <v>53</v>
      </c>
      <c r="M6280" t="s">
        <v>53</v>
      </c>
      <c r="N6280" t="s">
        <v>53</v>
      </c>
      <c r="O6280" t="s">
        <v>53</v>
      </c>
      <c r="P6280" t="s">
        <v>53</v>
      </c>
      <c r="Q6280" t="s">
        <v>53</v>
      </c>
    </row>
    <row r="6281" spans="1:17" x14ac:dyDescent="0.2">
      <c r="A6281" s="30" t="str">
        <f>IF(C6281&amp;G6281&amp;D6281&lt;&gt;'Funnel setup'!$K$3&amp;'Funnel setup'!$K$4&amp;'Funnel setup'!$K$5,".",IF(A6280=".",1,A6280+1))</f>
        <v>.</v>
      </c>
      <c r="B6281" s="431" t="str">
        <f t="shared" si="98"/>
        <v>Knee Replacement RevisionProviderYEOVIL DISTRICT HOSPITAL NHS FOUNDATION TRUST (RA4)Oxford Knee Score</v>
      </c>
      <c r="C6281" t="s">
        <v>250</v>
      </c>
      <c r="D6281" t="s">
        <v>1</v>
      </c>
      <c r="E6281" t="s">
        <v>3520</v>
      </c>
      <c r="F6281" t="s">
        <v>341</v>
      </c>
      <c r="G6281" t="s">
        <v>16</v>
      </c>
      <c r="H6281" t="s">
        <v>53</v>
      </c>
      <c r="I6281" t="s">
        <v>53</v>
      </c>
      <c r="J6281" t="s">
        <v>53</v>
      </c>
      <c r="K6281" t="s">
        <v>53</v>
      </c>
      <c r="L6281" t="s">
        <v>53</v>
      </c>
      <c r="M6281" t="s">
        <v>53</v>
      </c>
      <c r="N6281" t="s">
        <v>53</v>
      </c>
      <c r="O6281" t="s">
        <v>53</v>
      </c>
      <c r="P6281" t="s">
        <v>53</v>
      </c>
      <c r="Q6281" t="s">
        <v>53</v>
      </c>
    </row>
    <row r="6282" spans="1:17" x14ac:dyDescent="0.2">
      <c r="A6282" s="30" t="str">
        <f>IF(C6282&amp;G6282&amp;D6282&lt;&gt;'Funnel setup'!$K$3&amp;'Funnel setup'!$K$4&amp;'Funnel setup'!$K$5,".",IF(A6281=".",1,A6281+1))</f>
        <v>.</v>
      </c>
      <c r="B6282" s="431" t="str">
        <f t="shared" si="98"/>
        <v>Knee Replacement RevisionProviderYORK TEACHING HOSPITAL NHS FOUNDATION TRUST (RCB)Oxford Knee Score</v>
      </c>
      <c r="C6282" t="s">
        <v>250</v>
      </c>
      <c r="D6282" t="s">
        <v>1</v>
      </c>
      <c r="E6282" t="s">
        <v>3515</v>
      </c>
      <c r="F6282" t="s">
        <v>343</v>
      </c>
      <c r="G6282" t="s">
        <v>16</v>
      </c>
      <c r="H6282">
        <v>17</v>
      </c>
      <c r="I6282">
        <v>17.175999999999998</v>
      </c>
      <c r="J6282">
        <v>27.824000000000002</v>
      </c>
      <c r="K6282">
        <v>10.647</v>
      </c>
      <c r="L6282">
        <v>14</v>
      </c>
      <c r="M6282">
        <v>0</v>
      </c>
      <c r="N6282">
        <v>3</v>
      </c>
      <c r="O6282" t="s">
        <v>53</v>
      </c>
      <c r="P6282" t="s">
        <v>53</v>
      </c>
      <c r="Q6282" t="s">
        <v>53</v>
      </c>
    </row>
    <row r="6283" spans="1:17" x14ac:dyDescent="0.2">
      <c r="A6283" s="30" t="str">
        <f>IF(C6283&amp;G6283&amp;D6283&lt;&gt;'Funnel setup'!$K$3&amp;'Funnel setup'!$K$4&amp;'Funnel setup'!$K$5,".",IF(A6282=".",1,A6282+1))</f>
        <v>.</v>
      </c>
      <c r="B6283" s="431" t="str">
        <f t="shared" si="98"/>
        <v>Varicose VeinCCG of GP PracticeNATIONAL COMMISSIONING HUB 1 (13Q)Aberdeen Varicose Vein Questionnaire</v>
      </c>
      <c r="C6283" t="s">
        <v>17</v>
      </c>
      <c r="D6283" t="s">
        <v>87</v>
      </c>
      <c r="E6283" t="s">
        <v>563</v>
      </c>
      <c r="F6283" t="s">
        <v>564</v>
      </c>
      <c r="G6283" t="s">
        <v>0</v>
      </c>
      <c r="H6283">
        <v>12</v>
      </c>
      <c r="I6283">
        <v>12.815</v>
      </c>
      <c r="J6283">
        <v>8.5169999999999995</v>
      </c>
      <c r="K6283">
        <v>-4.298</v>
      </c>
      <c r="L6283">
        <v>10</v>
      </c>
      <c r="M6283">
        <v>0</v>
      </c>
      <c r="N6283">
        <v>2</v>
      </c>
      <c r="O6283" t="s">
        <v>53</v>
      </c>
      <c r="P6283" t="s">
        <v>53</v>
      </c>
      <c r="Q6283" t="s">
        <v>53</v>
      </c>
    </row>
    <row r="6284" spans="1:17" x14ac:dyDescent="0.2">
      <c r="A6284" s="30" t="str">
        <f>IF(C6284&amp;G6284&amp;D6284&lt;&gt;'Funnel setup'!$K$3&amp;'Funnel setup'!$K$4&amp;'Funnel setup'!$K$5,".",IF(A6283=".",1,A6283+1))</f>
        <v>.</v>
      </c>
      <c r="B6284" s="431" t="str">
        <f t="shared" si="98"/>
        <v>Varicose VeinCCG of GP PracticeNHS AIREDALE, WHARFEDALE AND CRAVEN CCG (02N)Aberdeen Varicose Vein Questionnaire</v>
      </c>
      <c r="C6284" t="s">
        <v>17</v>
      </c>
      <c r="D6284" t="s">
        <v>87</v>
      </c>
      <c r="E6284" t="s">
        <v>566</v>
      </c>
      <c r="F6284" t="s">
        <v>567</v>
      </c>
      <c r="G6284" t="s">
        <v>0</v>
      </c>
      <c r="H6284">
        <v>50</v>
      </c>
      <c r="I6284">
        <v>17.513000000000002</v>
      </c>
      <c r="J6284">
        <v>9.7690000000000001</v>
      </c>
      <c r="K6284">
        <v>-7.7439999999999998</v>
      </c>
      <c r="L6284">
        <v>42</v>
      </c>
      <c r="M6284">
        <v>0</v>
      </c>
      <c r="N6284">
        <v>8</v>
      </c>
      <c r="O6284">
        <v>7.585</v>
      </c>
      <c r="P6284">
        <v>-13.33756047</v>
      </c>
      <c r="Q6284">
        <v>14.667</v>
      </c>
    </row>
    <row r="6285" spans="1:17" x14ac:dyDescent="0.2">
      <c r="A6285" s="30" t="str">
        <f>IF(C6285&amp;G6285&amp;D6285&lt;&gt;'Funnel setup'!$K$3&amp;'Funnel setup'!$K$4&amp;'Funnel setup'!$K$5,".",IF(A6284=".",1,A6284+1))</f>
        <v>.</v>
      </c>
      <c r="B6285" s="431" t="str">
        <f t="shared" si="98"/>
        <v>Varicose VeinCCG of GP PracticeNHS ASHFORD CCG (09C)Aberdeen Varicose Vein Questionnaire</v>
      </c>
      <c r="C6285" t="s">
        <v>17</v>
      </c>
      <c r="D6285" t="s">
        <v>87</v>
      </c>
      <c r="E6285" t="s">
        <v>569</v>
      </c>
      <c r="F6285" t="s">
        <v>339</v>
      </c>
      <c r="G6285" t="s">
        <v>0</v>
      </c>
      <c r="H6285" t="s">
        <v>53</v>
      </c>
      <c r="I6285" t="s">
        <v>53</v>
      </c>
      <c r="J6285" t="s">
        <v>53</v>
      </c>
      <c r="K6285" t="s">
        <v>53</v>
      </c>
      <c r="L6285" t="s">
        <v>53</v>
      </c>
      <c r="M6285" t="s">
        <v>53</v>
      </c>
      <c r="N6285" t="s">
        <v>53</v>
      </c>
      <c r="O6285" t="s">
        <v>53</v>
      </c>
      <c r="P6285" t="s">
        <v>53</v>
      </c>
      <c r="Q6285" t="s">
        <v>53</v>
      </c>
    </row>
    <row r="6286" spans="1:17" x14ac:dyDescent="0.2">
      <c r="A6286" s="30" t="str">
        <f>IF(C6286&amp;G6286&amp;D6286&lt;&gt;'Funnel setup'!$K$3&amp;'Funnel setup'!$K$4&amp;'Funnel setup'!$K$5,".",IF(A6285=".",1,A6285+1))</f>
        <v>.</v>
      </c>
      <c r="B6286" s="431" t="str">
        <f t="shared" si="98"/>
        <v>Varicose VeinCCG of GP PracticeNHS AYLESBURY VALE CCG (10Y)Aberdeen Varicose Vein Questionnaire</v>
      </c>
      <c r="C6286" t="s">
        <v>17</v>
      </c>
      <c r="D6286" t="s">
        <v>87</v>
      </c>
      <c r="E6286" t="s">
        <v>571</v>
      </c>
      <c r="F6286" t="s">
        <v>572</v>
      </c>
      <c r="G6286" t="s">
        <v>0</v>
      </c>
      <c r="H6286">
        <v>12</v>
      </c>
      <c r="I6286">
        <v>28.542999999999999</v>
      </c>
      <c r="J6286">
        <v>16.170000000000002</v>
      </c>
      <c r="K6286">
        <v>-12.372999999999999</v>
      </c>
      <c r="L6286">
        <v>11</v>
      </c>
      <c r="M6286">
        <v>0</v>
      </c>
      <c r="N6286">
        <v>1</v>
      </c>
      <c r="O6286" t="s">
        <v>53</v>
      </c>
      <c r="P6286" t="s">
        <v>53</v>
      </c>
      <c r="Q6286" t="s">
        <v>53</v>
      </c>
    </row>
    <row r="6287" spans="1:17" x14ac:dyDescent="0.2">
      <c r="A6287" s="30" t="str">
        <f>IF(C6287&amp;G6287&amp;D6287&lt;&gt;'Funnel setup'!$K$3&amp;'Funnel setup'!$K$4&amp;'Funnel setup'!$K$5,".",IF(A6286=".",1,A6286+1))</f>
        <v>.</v>
      </c>
      <c r="B6287" s="431" t="str">
        <f t="shared" si="98"/>
        <v>Varicose VeinCCG of GP PracticeNHS BARKING AND DAGENHAM CCG (07L)Aberdeen Varicose Vein Questionnaire</v>
      </c>
      <c r="C6287" t="s">
        <v>17</v>
      </c>
      <c r="D6287" t="s">
        <v>87</v>
      </c>
      <c r="E6287" t="s">
        <v>574</v>
      </c>
      <c r="F6287" t="s">
        <v>575</v>
      </c>
      <c r="G6287" t="s">
        <v>0</v>
      </c>
      <c r="H6287">
        <v>19</v>
      </c>
      <c r="I6287">
        <v>23.73</v>
      </c>
      <c r="J6287">
        <v>17.082999999999998</v>
      </c>
      <c r="K6287">
        <v>-6.6470000000000002</v>
      </c>
      <c r="L6287">
        <v>14</v>
      </c>
      <c r="M6287">
        <v>0</v>
      </c>
      <c r="N6287">
        <v>5</v>
      </c>
      <c r="O6287" t="s">
        <v>53</v>
      </c>
      <c r="P6287" t="s">
        <v>53</v>
      </c>
      <c r="Q6287" t="s">
        <v>53</v>
      </c>
    </row>
    <row r="6288" spans="1:17" x14ac:dyDescent="0.2">
      <c r="A6288" s="30" t="str">
        <f>IF(C6288&amp;G6288&amp;D6288&lt;&gt;'Funnel setup'!$K$3&amp;'Funnel setup'!$K$4&amp;'Funnel setup'!$K$5,".",IF(A6287=".",1,A6287+1))</f>
        <v>.</v>
      </c>
      <c r="B6288" s="431" t="str">
        <f t="shared" si="98"/>
        <v>Varicose VeinCCG of GP PracticeNHS BARNET CCG (07M)Aberdeen Varicose Vein Questionnaire</v>
      </c>
      <c r="C6288" t="s">
        <v>17</v>
      </c>
      <c r="D6288" t="s">
        <v>87</v>
      </c>
      <c r="E6288" t="s">
        <v>577</v>
      </c>
      <c r="F6288" t="s">
        <v>578</v>
      </c>
      <c r="G6288" t="s">
        <v>0</v>
      </c>
      <c r="H6288">
        <v>12</v>
      </c>
      <c r="I6288">
        <v>19.977</v>
      </c>
      <c r="J6288">
        <v>13.045</v>
      </c>
      <c r="K6288">
        <v>-6.9320000000000004</v>
      </c>
      <c r="L6288">
        <v>10</v>
      </c>
      <c r="M6288">
        <v>0</v>
      </c>
      <c r="N6288">
        <v>2</v>
      </c>
      <c r="O6288" t="s">
        <v>53</v>
      </c>
      <c r="P6288" t="s">
        <v>53</v>
      </c>
      <c r="Q6288" t="s">
        <v>53</v>
      </c>
    </row>
    <row r="6289" spans="1:17" x14ac:dyDescent="0.2">
      <c r="A6289" s="30" t="str">
        <f>IF(C6289&amp;G6289&amp;D6289&lt;&gt;'Funnel setup'!$K$3&amp;'Funnel setup'!$K$4&amp;'Funnel setup'!$K$5,".",IF(A6288=".",1,A6288+1))</f>
        <v>.</v>
      </c>
      <c r="B6289" s="431" t="str">
        <f t="shared" si="98"/>
        <v>Varicose VeinCCG of GP PracticeNHS BARNSLEY CCG (02P)Aberdeen Varicose Vein Questionnaire</v>
      </c>
      <c r="C6289" t="s">
        <v>17</v>
      </c>
      <c r="D6289" t="s">
        <v>87</v>
      </c>
      <c r="E6289" t="s">
        <v>580</v>
      </c>
      <c r="F6289" t="s">
        <v>581</v>
      </c>
      <c r="G6289" t="s">
        <v>0</v>
      </c>
      <c r="H6289">
        <v>40</v>
      </c>
      <c r="I6289">
        <v>17.989000000000001</v>
      </c>
      <c r="J6289">
        <v>14.02</v>
      </c>
      <c r="K6289">
        <v>-3.9689999999999999</v>
      </c>
      <c r="L6289">
        <v>26</v>
      </c>
      <c r="M6289">
        <v>0</v>
      </c>
      <c r="N6289">
        <v>14</v>
      </c>
      <c r="O6289">
        <v>12.805999999999999</v>
      </c>
      <c r="P6289">
        <v>-8.1163518939999992</v>
      </c>
      <c r="Q6289">
        <v>12.66</v>
      </c>
    </row>
    <row r="6290" spans="1:17" x14ac:dyDescent="0.2">
      <c r="A6290" s="30" t="str">
        <f>IF(C6290&amp;G6290&amp;D6290&lt;&gt;'Funnel setup'!$K$3&amp;'Funnel setup'!$K$4&amp;'Funnel setup'!$K$5,".",IF(A6289=".",1,A6289+1))</f>
        <v>.</v>
      </c>
      <c r="B6290" s="431" t="str">
        <f t="shared" si="98"/>
        <v>Varicose VeinCCG of GP PracticeNHS BASILDON AND BRENTWOOD CCG (99E)Aberdeen Varicose Vein Questionnaire</v>
      </c>
      <c r="C6290" t="s">
        <v>17</v>
      </c>
      <c r="D6290" t="s">
        <v>87</v>
      </c>
      <c r="E6290" t="s">
        <v>583</v>
      </c>
      <c r="F6290" t="s">
        <v>584</v>
      </c>
      <c r="G6290" t="s">
        <v>0</v>
      </c>
      <c r="H6290">
        <v>9</v>
      </c>
      <c r="I6290">
        <v>23.68</v>
      </c>
      <c r="J6290">
        <v>13.429</v>
      </c>
      <c r="K6290">
        <v>-10.252000000000001</v>
      </c>
      <c r="L6290">
        <v>7</v>
      </c>
      <c r="M6290">
        <v>0</v>
      </c>
      <c r="N6290">
        <v>2</v>
      </c>
      <c r="O6290" t="s">
        <v>53</v>
      </c>
      <c r="P6290" t="s">
        <v>53</v>
      </c>
      <c r="Q6290" t="s">
        <v>53</v>
      </c>
    </row>
    <row r="6291" spans="1:17" x14ac:dyDescent="0.2">
      <c r="A6291" s="30" t="str">
        <f>IF(C6291&amp;G6291&amp;D6291&lt;&gt;'Funnel setup'!$K$3&amp;'Funnel setup'!$K$4&amp;'Funnel setup'!$K$5,".",IF(A6290=".",1,A6290+1))</f>
        <v>.</v>
      </c>
      <c r="B6291" s="431" t="str">
        <f t="shared" si="98"/>
        <v>Varicose VeinCCG of GP PracticeNHS BASSETLAW CCG (02Q)Aberdeen Varicose Vein Questionnaire</v>
      </c>
      <c r="C6291" t="s">
        <v>17</v>
      </c>
      <c r="D6291" t="s">
        <v>87</v>
      </c>
      <c r="E6291" t="s">
        <v>586</v>
      </c>
      <c r="F6291" t="s">
        <v>587</v>
      </c>
      <c r="G6291" t="s">
        <v>0</v>
      </c>
      <c r="H6291">
        <v>8</v>
      </c>
      <c r="I6291">
        <v>17.771999999999998</v>
      </c>
      <c r="J6291">
        <v>13.18</v>
      </c>
      <c r="K6291">
        <v>-4.5919999999999996</v>
      </c>
      <c r="L6291">
        <v>6</v>
      </c>
      <c r="M6291">
        <v>0</v>
      </c>
      <c r="N6291">
        <v>2</v>
      </c>
      <c r="O6291" t="s">
        <v>53</v>
      </c>
      <c r="P6291" t="s">
        <v>53</v>
      </c>
      <c r="Q6291" t="s">
        <v>53</v>
      </c>
    </row>
    <row r="6292" spans="1:17" x14ac:dyDescent="0.2">
      <c r="A6292" s="30" t="str">
        <f>IF(C6292&amp;G6292&amp;D6292&lt;&gt;'Funnel setup'!$K$3&amp;'Funnel setup'!$K$4&amp;'Funnel setup'!$K$5,".",IF(A6291=".",1,A6291+1))</f>
        <v>.</v>
      </c>
      <c r="B6292" s="431" t="str">
        <f t="shared" si="98"/>
        <v>Varicose VeinCCG of GP PracticeNHS BATH AND NORTH EAST SOMERSET CCG (11E)Aberdeen Varicose Vein Questionnaire</v>
      </c>
      <c r="C6292" t="s">
        <v>17</v>
      </c>
      <c r="D6292" t="s">
        <v>87</v>
      </c>
      <c r="E6292" t="s">
        <v>589</v>
      </c>
      <c r="F6292" t="s">
        <v>590</v>
      </c>
      <c r="G6292" t="s">
        <v>0</v>
      </c>
      <c r="H6292">
        <v>36</v>
      </c>
      <c r="I6292">
        <v>17.350000000000001</v>
      </c>
      <c r="J6292">
        <v>9.1869999999999994</v>
      </c>
      <c r="K6292">
        <v>-8.1630000000000003</v>
      </c>
      <c r="L6292">
        <v>32</v>
      </c>
      <c r="M6292">
        <v>0</v>
      </c>
      <c r="N6292">
        <v>4</v>
      </c>
      <c r="O6292">
        <v>6.5309999999999997</v>
      </c>
      <c r="P6292">
        <v>-14.391203000000001</v>
      </c>
      <c r="Q6292">
        <v>11.019</v>
      </c>
    </row>
    <row r="6293" spans="1:17" x14ac:dyDescent="0.2">
      <c r="A6293" s="30" t="str">
        <f>IF(C6293&amp;G6293&amp;D6293&lt;&gt;'Funnel setup'!$K$3&amp;'Funnel setup'!$K$4&amp;'Funnel setup'!$K$5,".",IF(A6292=".",1,A6292+1))</f>
        <v>.</v>
      </c>
      <c r="B6293" s="431" t="str">
        <f t="shared" si="98"/>
        <v>Varicose VeinCCG of GP PracticeNHS BEDFORDSHIRE CCG (06F)Aberdeen Varicose Vein Questionnaire</v>
      </c>
      <c r="C6293" t="s">
        <v>17</v>
      </c>
      <c r="D6293" t="s">
        <v>87</v>
      </c>
      <c r="E6293" t="s">
        <v>592</v>
      </c>
      <c r="F6293" t="s">
        <v>593</v>
      </c>
      <c r="G6293" t="s">
        <v>0</v>
      </c>
      <c r="H6293">
        <v>36</v>
      </c>
      <c r="I6293">
        <v>23.62</v>
      </c>
      <c r="J6293">
        <v>14.081</v>
      </c>
      <c r="K6293">
        <v>-9.5389999999999997</v>
      </c>
      <c r="L6293">
        <v>32</v>
      </c>
      <c r="M6293">
        <v>0</v>
      </c>
      <c r="N6293">
        <v>4</v>
      </c>
      <c r="O6293">
        <v>15.412000000000001</v>
      </c>
      <c r="P6293">
        <v>-5.5102370289999998</v>
      </c>
      <c r="Q6293">
        <v>17.992999999999999</v>
      </c>
    </row>
    <row r="6294" spans="1:17" x14ac:dyDescent="0.2">
      <c r="A6294" s="30" t="str">
        <f>IF(C6294&amp;G6294&amp;D6294&lt;&gt;'Funnel setup'!$K$3&amp;'Funnel setup'!$K$4&amp;'Funnel setup'!$K$5,".",IF(A6293=".",1,A6293+1))</f>
        <v>.</v>
      </c>
      <c r="B6294" s="431" t="str">
        <f t="shared" si="98"/>
        <v>Varicose VeinCCG of GP PracticeNHS BEXLEY CCG (07N)Aberdeen Varicose Vein Questionnaire</v>
      </c>
      <c r="C6294" t="s">
        <v>17</v>
      </c>
      <c r="D6294" t="s">
        <v>87</v>
      </c>
      <c r="E6294" t="s">
        <v>595</v>
      </c>
      <c r="F6294" t="s">
        <v>596</v>
      </c>
      <c r="G6294" t="s">
        <v>0</v>
      </c>
      <c r="H6294">
        <v>14</v>
      </c>
      <c r="I6294">
        <v>17.54</v>
      </c>
      <c r="J6294">
        <v>10.651</v>
      </c>
      <c r="K6294">
        <v>-6.8890000000000002</v>
      </c>
      <c r="L6294">
        <v>10</v>
      </c>
      <c r="M6294">
        <v>0</v>
      </c>
      <c r="N6294">
        <v>4</v>
      </c>
      <c r="O6294" t="s">
        <v>53</v>
      </c>
      <c r="P6294" t="s">
        <v>53</v>
      </c>
      <c r="Q6294" t="s">
        <v>53</v>
      </c>
    </row>
    <row r="6295" spans="1:17" x14ac:dyDescent="0.2">
      <c r="A6295" s="30" t="str">
        <f>IF(C6295&amp;G6295&amp;D6295&lt;&gt;'Funnel setup'!$K$3&amp;'Funnel setup'!$K$4&amp;'Funnel setup'!$K$5,".",IF(A6294=".",1,A6294+1))</f>
        <v>.</v>
      </c>
      <c r="B6295" s="431" t="str">
        <f t="shared" si="98"/>
        <v>Varicose VeinCCG of GP PracticeNHS BIRMINGHAM CROSSCITY CCG (13P)Aberdeen Varicose Vein Questionnaire</v>
      </c>
      <c r="C6295" t="s">
        <v>17</v>
      </c>
      <c r="D6295" t="s">
        <v>87</v>
      </c>
      <c r="E6295" t="s">
        <v>598</v>
      </c>
      <c r="F6295" t="s">
        <v>599</v>
      </c>
      <c r="G6295" t="s">
        <v>0</v>
      </c>
      <c r="H6295">
        <v>91</v>
      </c>
      <c r="I6295">
        <v>22.741</v>
      </c>
      <c r="J6295">
        <v>13.138999999999999</v>
      </c>
      <c r="K6295">
        <v>-9.6020000000000003</v>
      </c>
      <c r="L6295">
        <v>75</v>
      </c>
      <c r="M6295">
        <v>0</v>
      </c>
      <c r="N6295">
        <v>16</v>
      </c>
      <c r="O6295">
        <v>14.256</v>
      </c>
      <c r="P6295">
        <v>-6.666436418</v>
      </c>
      <c r="Q6295">
        <v>16.916</v>
      </c>
    </row>
    <row r="6296" spans="1:17" x14ac:dyDescent="0.2">
      <c r="A6296" s="30" t="str">
        <f>IF(C6296&amp;G6296&amp;D6296&lt;&gt;'Funnel setup'!$K$3&amp;'Funnel setup'!$K$4&amp;'Funnel setup'!$K$5,".",IF(A6295=".",1,A6295+1))</f>
        <v>.</v>
      </c>
      <c r="B6296" s="431" t="str">
        <f t="shared" si="98"/>
        <v>Varicose VeinCCG of GP PracticeNHS BIRMINGHAM SOUTH AND CENTRAL CCG (04X)Aberdeen Varicose Vein Questionnaire</v>
      </c>
      <c r="C6296" t="s">
        <v>17</v>
      </c>
      <c r="D6296" t="s">
        <v>87</v>
      </c>
      <c r="E6296" t="s">
        <v>601</v>
      </c>
      <c r="F6296" t="s">
        <v>602</v>
      </c>
      <c r="G6296" t="s">
        <v>0</v>
      </c>
      <c r="H6296">
        <v>9</v>
      </c>
      <c r="I6296">
        <v>24.175999999999998</v>
      </c>
      <c r="J6296">
        <v>12.506</v>
      </c>
      <c r="K6296">
        <v>-11.670999999999999</v>
      </c>
      <c r="L6296">
        <v>8</v>
      </c>
      <c r="M6296">
        <v>0</v>
      </c>
      <c r="N6296">
        <v>1</v>
      </c>
      <c r="O6296" t="s">
        <v>53</v>
      </c>
      <c r="P6296" t="s">
        <v>53</v>
      </c>
      <c r="Q6296" t="s">
        <v>53</v>
      </c>
    </row>
    <row r="6297" spans="1:17" x14ac:dyDescent="0.2">
      <c r="A6297" s="30" t="str">
        <f>IF(C6297&amp;G6297&amp;D6297&lt;&gt;'Funnel setup'!$K$3&amp;'Funnel setup'!$K$4&amp;'Funnel setup'!$K$5,".",IF(A6296=".",1,A6296+1))</f>
        <v>.</v>
      </c>
      <c r="B6297" s="431" t="str">
        <f t="shared" si="98"/>
        <v>Varicose VeinCCG of GP PracticeNHS BLACKBURN WITH DARWEN CCG (00Q)Aberdeen Varicose Vein Questionnaire</v>
      </c>
      <c r="C6297" t="s">
        <v>17</v>
      </c>
      <c r="D6297" t="s">
        <v>87</v>
      </c>
      <c r="E6297" t="s">
        <v>604</v>
      </c>
      <c r="F6297" t="s">
        <v>605</v>
      </c>
      <c r="G6297" t="s">
        <v>0</v>
      </c>
      <c r="H6297">
        <v>28</v>
      </c>
      <c r="I6297">
        <v>17.666</v>
      </c>
      <c r="J6297">
        <v>9.4969999999999999</v>
      </c>
      <c r="K6297">
        <v>-8.1690000000000005</v>
      </c>
      <c r="L6297">
        <v>26</v>
      </c>
      <c r="M6297">
        <v>0</v>
      </c>
      <c r="N6297">
        <v>2</v>
      </c>
      <c r="O6297" t="s">
        <v>53</v>
      </c>
      <c r="P6297" t="s">
        <v>53</v>
      </c>
      <c r="Q6297" t="s">
        <v>53</v>
      </c>
    </row>
    <row r="6298" spans="1:17" x14ac:dyDescent="0.2">
      <c r="A6298" s="30" t="str">
        <f>IF(C6298&amp;G6298&amp;D6298&lt;&gt;'Funnel setup'!$K$3&amp;'Funnel setup'!$K$4&amp;'Funnel setup'!$K$5,".",IF(A6297=".",1,A6297+1))</f>
        <v>.</v>
      </c>
      <c r="B6298" s="431" t="str">
        <f t="shared" si="98"/>
        <v>Varicose VeinCCG of GP PracticeNHS BLACKPOOL CCG (00R)Aberdeen Varicose Vein Questionnaire</v>
      </c>
      <c r="C6298" t="s">
        <v>17</v>
      </c>
      <c r="D6298" t="s">
        <v>87</v>
      </c>
      <c r="E6298" t="s">
        <v>607</v>
      </c>
      <c r="F6298" t="s">
        <v>608</v>
      </c>
      <c r="G6298" t="s">
        <v>0</v>
      </c>
      <c r="H6298">
        <v>8</v>
      </c>
      <c r="I6298">
        <v>26.577000000000002</v>
      </c>
      <c r="J6298">
        <v>16.381</v>
      </c>
      <c r="K6298">
        <v>-10.196</v>
      </c>
      <c r="L6298">
        <v>7</v>
      </c>
      <c r="M6298">
        <v>0</v>
      </c>
      <c r="N6298">
        <v>1</v>
      </c>
      <c r="O6298" t="s">
        <v>53</v>
      </c>
      <c r="P6298" t="s">
        <v>53</v>
      </c>
      <c r="Q6298" t="s">
        <v>53</v>
      </c>
    </row>
    <row r="6299" spans="1:17" x14ac:dyDescent="0.2">
      <c r="A6299" s="30" t="str">
        <f>IF(C6299&amp;G6299&amp;D6299&lt;&gt;'Funnel setup'!$K$3&amp;'Funnel setup'!$K$4&amp;'Funnel setup'!$K$5,".",IF(A6298=".",1,A6298+1))</f>
        <v>.</v>
      </c>
      <c r="B6299" s="431" t="str">
        <f t="shared" si="98"/>
        <v>Varicose VeinCCG of GP PracticeNHS BOLTON CCG (00T)Aberdeen Varicose Vein Questionnaire</v>
      </c>
      <c r="C6299" t="s">
        <v>17</v>
      </c>
      <c r="D6299" t="s">
        <v>87</v>
      </c>
      <c r="E6299" t="s">
        <v>683</v>
      </c>
      <c r="F6299" t="s">
        <v>684</v>
      </c>
      <c r="G6299" t="s">
        <v>0</v>
      </c>
      <c r="H6299">
        <v>38</v>
      </c>
      <c r="I6299">
        <v>18.146999999999998</v>
      </c>
      <c r="J6299">
        <v>12.119</v>
      </c>
      <c r="K6299">
        <v>-6.0279999999999996</v>
      </c>
      <c r="L6299">
        <v>31</v>
      </c>
      <c r="M6299">
        <v>0</v>
      </c>
      <c r="N6299">
        <v>7</v>
      </c>
      <c r="O6299">
        <v>10.752000000000001</v>
      </c>
      <c r="P6299">
        <v>-10.17013057</v>
      </c>
      <c r="Q6299">
        <v>12.263</v>
      </c>
    </row>
    <row r="6300" spans="1:17" x14ac:dyDescent="0.2">
      <c r="A6300" s="30" t="str">
        <f>IF(C6300&amp;G6300&amp;D6300&lt;&gt;'Funnel setup'!$K$3&amp;'Funnel setup'!$K$4&amp;'Funnel setup'!$K$5,".",IF(A6299=".",1,A6299+1))</f>
        <v>.</v>
      </c>
      <c r="B6300" s="431" t="str">
        <f t="shared" si="98"/>
        <v>Varicose VeinCCG of GP PracticeNHS BRADFORD CITY CCG (02W)Aberdeen Varicose Vein Questionnaire</v>
      </c>
      <c r="C6300" t="s">
        <v>17</v>
      </c>
      <c r="D6300" t="s">
        <v>87</v>
      </c>
      <c r="E6300" t="s">
        <v>689</v>
      </c>
      <c r="F6300" t="s">
        <v>690</v>
      </c>
      <c r="G6300" t="s">
        <v>0</v>
      </c>
      <c r="H6300">
        <v>7</v>
      </c>
      <c r="I6300">
        <v>34.853000000000002</v>
      </c>
      <c r="J6300">
        <v>29.940999999999999</v>
      </c>
      <c r="K6300">
        <v>-4.9119999999999999</v>
      </c>
      <c r="L6300">
        <v>5</v>
      </c>
      <c r="M6300">
        <v>0</v>
      </c>
      <c r="N6300">
        <v>2</v>
      </c>
      <c r="O6300" t="s">
        <v>53</v>
      </c>
      <c r="P6300" t="s">
        <v>53</v>
      </c>
      <c r="Q6300" t="s">
        <v>53</v>
      </c>
    </row>
    <row r="6301" spans="1:17" x14ac:dyDescent="0.2">
      <c r="A6301" s="30" t="str">
        <f>IF(C6301&amp;G6301&amp;D6301&lt;&gt;'Funnel setup'!$K$3&amp;'Funnel setup'!$K$4&amp;'Funnel setup'!$K$5,".",IF(A6300=".",1,A6300+1))</f>
        <v>.</v>
      </c>
      <c r="B6301" s="431" t="str">
        <f t="shared" si="98"/>
        <v>Varicose VeinCCG of GP PracticeNHS BRADFORD DISTRICTS CCG (02R)Aberdeen Varicose Vein Questionnaire</v>
      </c>
      <c r="C6301" t="s">
        <v>17</v>
      </c>
      <c r="D6301" t="s">
        <v>87</v>
      </c>
      <c r="E6301" t="s">
        <v>692</v>
      </c>
      <c r="F6301" t="s">
        <v>693</v>
      </c>
      <c r="G6301" t="s">
        <v>0</v>
      </c>
      <c r="H6301">
        <v>46</v>
      </c>
      <c r="I6301">
        <v>18.120999999999999</v>
      </c>
      <c r="J6301">
        <v>11.618</v>
      </c>
      <c r="K6301">
        <v>-6.5030000000000001</v>
      </c>
      <c r="L6301">
        <v>37</v>
      </c>
      <c r="M6301">
        <v>0</v>
      </c>
      <c r="N6301">
        <v>9</v>
      </c>
      <c r="O6301">
        <v>10.429</v>
      </c>
      <c r="P6301">
        <v>-10.493747089999999</v>
      </c>
      <c r="Q6301">
        <v>14.897</v>
      </c>
    </row>
    <row r="6302" spans="1:17" x14ac:dyDescent="0.2">
      <c r="A6302" s="30" t="str">
        <f>IF(C6302&amp;G6302&amp;D6302&lt;&gt;'Funnel setup'!$K$3&amp;'Funnel setup'!$K$4&amp;'Funnel setup'!$K$5,".",IF(A6301=".",1,A6301+1))</f>
        <v>.</v>
      </c>
      <c r="B6302" s="431" t="str">
        <f t="shared" si="98"/>
        <v>Varicose VeinCCG of GP PracticeNHS BRENT CCG (07P)Aberdeen Varicose Vein Questionnaire</v>
      </c>
      <c r="C6302" t="s">
        <v>17</v>
      </c>
      <c r="D6302" t="s">
        <v>87</v>
      </c>
      <c r="E6302" t="s">
        <v>695</v>
      </c>
      <c r="F6302" t="s">
        <v>696</v>
      </c>
      <c r="G6302" t="s">
        <v>0</v>
      </c>
      <c r="H6302">
        <v>37</v>
      </c>
      <c r="I6302">
        <v>25.143999999999998</v>
      </c>
      <c r="J6302">
        <v>21.242000000000001</v>
      </c>
      <c r="K6302">
        <v>-3.9020000000000001</v>
      </c>
      <c r="L6302">
        <v>25</v>
      </c>
      <c r="M6302">
        <v>0</v>
      </c>
      <c r="N6302">
        <v>12</v>
      </c>
      <c r="O6302">
        <v>25.356000000000002</v>
      </c>
      <c r="P6302">
        <v>4.4333878379999998</v>
      </c>
      <c r="Q6302">
        <v>23.192</v>
      </c>
    </row>
    <row r="6303" spans="1:17" x14ac:dyDescent="0.2">
      <c r="A6303" s="30" t="str">
        <f>IF(C6303&amp;G6303&amp;D6303&lt;&gt;'Funnel setup'!$K$3&amp;'Funnel setup'!$K$4&amp;'Funnel setup'!$K$5,".",IF(A6302=".",1,A6302+1))</f>
        <v>.</v>
      </c>
      <c r="B6303" s="431" t="str">
        <f t="shared" si="98"/>
        <v>Varicose VeinCCG of GP PracticeNHS BRIGHTON AND HOVE CCG (09D)Aberdeen Varicose Vein Questionnaire</v>
      </c>
      <c r="C6303" t="s">
        <v>17</v>
      </c>
      <c r="D6303" t="s">
        <v>87</v>
      </c>
      <c r="E6303" t="s">
        <v>698</v>
      </c>
      <c r="F6303" t="s">
        <v>699</v>
      </c>
      <c r="G6303" t="s">
        <v>0</v>
      </c>
      <c r="H6303">
        <v>23</v>
      </c>
      <c r="I6303">
        <v>23.844000000000001</v>
      </c>
      <c r="J6303">
        <v>14.13</v>
      </c>
      <c r="K6303">
        <v>-9.7140000000000004</v>
      </c>
      <c r="L6303">
        <v>19</v>
      </c>
      <c r="M6303">
        <v>0</v>
      </c>
      <c r="N6303">
        <v>4</v>
      </c>
      <c r="O6303" t="s">
        <v>53</v>
      </c>
      <c r="P6303" t="s">
        <v>53</v>
      </c>
      <c r="Q6303" t="s">
        <v>53</v>
      </c>
    </row>
    <row r="6304" spans="1:17" x14ac:dyDescent="0.2">
      <c r="A6304" s="30" t="str">
        <f>IF(C6304&amp;G6304&amp;D6304&lt;&gt;'Funnel setup'!$K$3&amp;'Funnel setup'!$K$4&amp;'Funnel setup'!$K$5,".",IF(A6303=".",1,A6303+1))</f>
        <v>.</v>
      </c>
      <c r="B6304" s="431" t="str">
        <f t="shared" si="98"/>
        <v>Varicose VeinCCG of GP PracticeNHS BRISTOL CCG (11H)Aberdeen Varicose Vein Questionnaire</v>
      </c>
      <c r="C6304" t="s">
        <v>17</v>
      </c>
      <c r="D6304" t="s">
        <v>87</v>
      </c>
      <c r="E6304" t="s">
        <v>701</v>
      </c>
      <c r="F6304" t="s">
        <v>702</v>
      </c>
      <c r="G6304" t="s">
        <v>0</v>
      </c>
      <c r="H6304">
        <v>6</v>
      </c>
      <c r="I6304">
        <v>27.213999999999999</v>
      </c>
      <c r="J6304">
        <v>20.75</v>
      </c>
      <c r="K6304">
        <v>-6.4640000000000004</v>
      </c>
      <c r="L6304">
        <v>4</v>
      </c>
      <c r="M6304">
        <v>0</v>
      </c>
      <c r="N6304">
        <v>2</v>
      </c>
      <c r="O6304" t="s">
        <v>53</v>
      </c>
      <c r="P6304" t="s">
        <v>53</v>
      </c>
      <c r="Q6304" t="s">
        <v>53</v>
      </c>
    </row>
    <row r="6305" spans="1:17" x14ac:dyDescent="0.2">
      <c r="A6305" s="30" t="str">
        <f>IF(C6305&amp;G6305&amp;D6305&lt;&gt;'Funnel setup'!$K$3&amp;'Funnel setup'!$K$4&amp;'Funnel setup'!$K$5,".",IF(A6304=".",1,A6304+1))</f>
        <v>.</v>
      </c>
      <c r="B6305" s="431" t="str">
        <f t="shared" si="98"/>
        <v>Varicose VeinCCG of GP PracticeNHS BROMLEY CCG (07Q)Aberdeen Varicose Vein Questionnaire</v>
      </c>
      <c r="C6305" t="s">
        <v>17</v>
      </c>
      <c r="D6305" t="s">
        <v>87</v>
      </c>
      <c r="E6305" t="s">
        <v>704</v>
      </c>
      <c r="F6305" t="s">
        <v>705</v>
      </c>
      <c r="G6305" t="s">
        <v>0</v>
      </c>
      <c r="H6305">
        <v>44</v>
      </c>
      <c r="I6305">
        <v>20.693000000000001</v>
      </c>
      <c r="J6305">
        <v>13.776</v>
      </c>
      <c r="K6305">
        <v>-6.9180000000000001</v>
      </c>
      <c r="L6305">
        <v>35</v>
      </c>
      <c r="M6305">
        <v>0</v>
      </c>
      <c r="N6305">
        <v>9</v>
      </c>
      <c r="O6305">
        <v>14.169</v>
      </c>
      <c r="P6305">
        <v>-6.7534582250000001</v>
      </c>
      <c r="Q6305">
        <v>16.419</v>
      </c>
    </row>
    <row r="6306" spans="1:17" x14ac:dyDescent="0.2">
      <c r="A6306" s="30" t="str">
        <f>IF(C6306&amp;G6306&amp;D6306&lt;&gt;'Funnel setup'!$K$3&amp;'Funnel setup'!$K$4&amp;'Funnel setup'!$K$5,".",IF(A6305=".",1,A6305+1))</f>
        <v>.</v>
      </c>
      <c r="B6306" s="431" t="str">
        <f t="shared" si="98"/>
        <v>Varicose VeinCCG of GP PracticeNHS BURY CCG (00V)Aberdeen Varicose Vein Questionnaire</v>
      </c>
      <c r="C6306" t="s">
        <v>17</v>
      </c>
      <c r="D6306" t="s">
        <v>87</v>
      </c>
      <c r="E6306" t="s">
        <v>707</v>
      </c>
      <c r="F6306" t="s">
        <v>708</v>
      </c>
      <c r="G6306" t="s">
        <v>0</v>
      </c>
      <c r="H6306" t="s">
        <v>53</v>
      </c>
      <c r="I6306" t="s">
        <v>53</v>
      </c>
      <c r="J6306" t="s">
        <v>53</v>
      </c>
      <c r="K6306" t="s">
        <v>53</v>
      </c>
      <c r="L6306" t="s">
        <v>53</v>
      </c>
      <c r="M6306" t="s">
        <v>53</v>
      </c>
      <c r="N6306" t="s">
        <v>53</v>
      </c>
      <c r="O6306" t="s">
        <v>53</v>
      </c>
      <c r="P6306" t="s">
        <v>53</v>
      </c>
      <c r="Q6306" t="s">
        <v>53</v>
      </c>
    </row>
    <row r="6307" spans="1:17" x14ac:dyDescent="0.2">
      <c r="A6307" s="30" t="str">
        <f>IF(C6307&amp;G6307&amp;D6307&lt;&gt;'Funnel setup'!$K$3&amp;'Funnel setup'!$K$4&amp;'Funnel setup'!$K$5,".",IF(A6306=".",1,A6306+1))</f>
        <v>.</v>
      </c>
      <c r="B6307" s="431" t="str">
        <f t="shared" si="98"/>
        <v>Varicose VeinCCG of GP PracticeNHS CALDERDALE CCG (02T)Aberdeen Varicose Vein Questionnaire</v>
      </c>
      <c r="C6307" t="s">
        <v>17</v>
      </c>
      <c r="D6307" t="s">
        <v>87</v>
      </c>
      <c r="E6307" t="s">
        <v>710</v>
      </c>
      <c r="F6307" t="s">
        <v>711</v>
      </c>
      <c r="G6307" t="s">
        <v>0</v>
      </c>
      <c r="H6307">
        <v>37</v>
      </c>
      <c r="I6307">
        <v>19.809000000000001</v>
      </c>
      <c r="J6307">
        <v>10.4</v>
      </c>
      <c r="K6307">
        <v>-9.41</v>
      </c>
      <c r="L6307">
        <v>32</v>
      </c>
      <c r="M6307">
        <v>0</v>
      </c>
      <c r="N6307">
        <v>5</v>
      </c>
      <c r="O6307">
        <v>9.5939999999999994</v>
      </c>
      <c r="P6307">
        <v>-11.32868942</v>
      </c>
      <c r="Q6307">
        <v>14.108000000000001</v>
      </c>
    </row>
    <row r="6308" spans="1:17" x14ac:dyDescent="0.2">
      <c r="A6308" s="30" t="str">
        <f>IF(C6308&amp;G6308&amp;D6308&lt;&gt;'Funnel setup'!$K$3&amp;'Funnel setup'!$K$4&amp;'Funnel setup'!$K$5,".",IF(A6307=".",1,A6307+1))</f>
        <v>.</v>
      </c>
      <c r="B6308" s="431" t="str">
        <f t="shared" si="98"/>
        <v>Varicose VeinCCG of GP PracticeNHS CAMBRIDGESHIRE AND PETERBOROUGH CCG (06H)Aberdeen Varicose Vein Questionnaire</v>
      </c>
      <c r="C6308" t="s">
        <v>17</v>
      </c>
      <c r="D6308" t="s">
        <v>87</v>
      </c>
      <c r="E6308" t="s">
        <v>713</v>
      </c>
      <c r="F6308" t="s">
        <v>714</v>
      </c>
      <c r="G6308" t="s">
        <v>0</v>
      </c>
      <c r="H6308">
        <v>33</v>
      </c>
      <c r="I6308">
        <v>22.411000000000001</v>
      </c>
      <c r="J6308">
        <v>10.234</v>
      </c>
      <c r="K6308">
        <v>-12.177</v>
      </c>
      <c r="L6308">
        <v>32</v>
      </c>
      <c r="M6308">
        <v>0</v>
      </c>
      <c r="N6308">
        <v>1</v>
      </c>
      <c r="O6308">
        <v>11.193</v>
      </c>
      <c r="P6308">
        <v>-9.7295699720000002</v>
      </c>
      <c r="Q6308">
        <v>14.742000000000001</v>
      </c>
    </row>
    <row r="6309" spans="1:17" x14ac:dyDescent="0.2">
      <c r="A6309" s="30" t="str">
        <f>IF(C6309&amp;G6309&amp;D6309&lt;&gt;'Funnel setup'!$K$3&amp;'Funnel setup'!$K$4&amp;'Funnel setup'!$K$5,".",IF(A6308=".",1,A6308+1))</f>
        <v>.</v>
      </c>
      <c r="B6309" s="431" t="str">
        <f t="shared" si="98"/>
        <v>Varicose VeinCCG of GP PracticeNHS CAMDEN CCG (07R)Aberdeen Varicose Vein Questionnaire</v>
      </c>
      <c r="C6309" t="s">
        <v>17</v>
      </c>
      <c r="D6309" t="s">
        <v>87</v>
      </c>
      <c r="E6309" t="s">
        <v>716</v>
      </c>
      <c r="F6309" t="s">
        <v>717</v>
      </c>
      <c r="G6309" t="s">
        <v>0</v>
      </c>
      <c r="H6309">
        <v>26</v>
      </c>
      <c r="I6309">
        <v>20.436</v>
      </c>
      <c r="J6309">
        <v>12.422000000000001</v>
      </c>
      <c r="K6309">
        <v>-8.0150000000000006</v>
      </c>
      <c r="L6309">
        <v>21</v>
      </c>
      <c r="M6309">
        <v>0</v>
      </c>
      <c r="N6309">
        <v>5</v>
      </c>
      <c r="O6309" t="s">
        <v>53</v>
      </c>
      <c r="P6309" t="s">
        <v>53</v>
      </c>
      <c r="Q6309" t="s">
        <v>53</v>
      </c>
    </row>
    <row r="6310" spans="1:17" x14ac:dyDescent="0.2">
      <c r="A6310" s="30" t="str">
        <f>IF(C6310&amp;G6310&amp;D6310&lt;&gt;'Funnel setup'!$K$3&amp;'Funnel setup'!$K$4&amp;'Funnel setup'!$K$5,".",IF(A6309=".",1,A6309+1))</f>
        <v>.</v>
      </c>
      <c r="B6310" s="431" t="str">
        <f t="shared" si="98"/>
        <v>Varicose VeinCCG of GP PracticeNHS CANNOCK CHASE CCG (04Y)Aberdeen Varicose Vein Questionnaire</v>
      </c>
      <c r="C6310" t="s">
        <v>17</v>
      </c>
      <c r="D6310" t="s">
        <v>87</v>
      </c>
      <c r="E6310" t="s">
        <v>719</v>
      </c>
      <c r="F6310" t="s">
        <v>720</v>
      </c>
      <c r="G6310" t="s">
        <v>0</v>
      </c>
      <c r="H6310">
        <v>19</v>
      </c>
      <c r="I6310">
        <v>19.279</v>
      </c>
      <c r="J6310">
        <v>9.0389999999999997</v>
      </c>
      <c r="K6310">
        <v>-10.24</v>
      </c>
      <c r="L6310">
        <v>16</v>
      </c>
      <c r="M6310">
        <v>0</v>
      </c>
      <c r="N6310">
        <v>3</v>
      </c>
      <c r="O6310" t="s">
        <v>53</v>
      </c>
      <c r="P6310" t="s">
        <v>53</v>
      </c>
      <c r="Q6310" t="s">
        <v>53</v>
      </c>
    </row>
    <row r="6311" spans="1:17" x14ac:dyDescent="0.2">
      <c r="A6311" s="30" t="str">
        <f>IF(C6311&amp;G6311&amp;D6311&lt;&gt;'Funnel setup'!$K$3&amp;'Funnel setup'!$K$4&amp;'Funnel setup'!$K$5,".",IF(A6310=".",1,A6310+1))</f>
        <v>.</v>
      </c>
      <c r="B6311" s="431" t="str">
        <f t="shared" si="98"/>
        <v>Varicose VeinCCG of GP PracticeNHS CASTLE POINT AND ROCHFORD CCG (99F)Aberdeen Varicose Vein Questionnaire</v>
      </c>
      <c r="C6311" t="s">
        <v>17</v>
      </c>
      <c r="D6311" t="s">
        <v>87</v>
      </c>
      <c r="E6311" t="s">
        <v>725</v>
      </c>
      <c r="F6311" t="s">
        <v>726</v>
      </c>
      <c r="G6311" t="s">
        <v>0</v>
      </c>
      <c r="H6311" t="s">
        <v>53</v>
      </c>
      <c r="I6311" t="s">
        <v>53</v>
      </c>
      <c r="J6311" t="s">
        <v>53</v>
      </c>
      <c r="K6311" t="s">
        <v>53</v>
      </c>
      <c r="L6311" t="s">
        <v>53</v>
      </c>
      <c r="M6311" t="s">
        <v>53</v>
      </c>
      <c r="N6311" t="s">
        <v>53</v>
      </c>
      <c r="O6311" t="s">
        <v>53</v>
      </c>
      <c r="P6311" t="s">
        <v>53</v>
      </c>
      <c r="Q6311" t="s">
        <v>53</v>
      </c>
    </row>
    <row r="6312" spans="1:17" x14ac:dyDescent="0.2">
      <c r="A6312" s="30" t="str">
        <f>IF(C6312&amp;G6312&amp;D6312&lt;&gt;'Funnel setup'!$K$3&amp;'Funnel setup'!$K$4&amp;'Funnel setup'!$K$5,".",IF(A6311=".",1,A6311+1))</f>
        <v>.</v>
      </c>
      <c r="B6312" s="431" t="str">
        <f t="shared" si="98"/>
        <v>Varicose VeinCCG of GP PracticeNHS CENTRAL LONDON (WESTMINSTER) CCG (09A)Aberdeen Varicose Vein Questionnaire</v>
      </c>
      <c r="C6312" t="s">
        <v>17</v>
      </c>
      <c r="D6312" t="s">
        <v>87</v>
      </c>
      <c r="E6312" t="s">
        <v>728</v>
      </c>
      <c r="F6312" t="s">
        <v>729</v>
      </c>
      <c r="G6312" t="s">
        <v>0</v>
      </c>
      <c r="H6312">
        <v>21</v>
      </c>
      <c r="I6312">
        <v>22.620999999999999</v>
      </c>
      <c r="J6312">
        <v>13.715999999999999</v>
      </c>
      <c r="K6312">
        <v>-8.9049999999999994</v>
      </c>
      <c r="L6312">
        <v>19</v>
      </c>
      <c r="M6312">
        <v>0</v>
      </c>
      <c r="N6312">
        <v>2</v>
      </c>
      <c r="O6312" t="s">
        <v>53</v>
      </c>
      <c r="P6312" t="s">
        <v>53</v>
      </c>
      <c r="Q6312" t="s">
        <v>53</v>
      </c>
    </row>
    <row r="6313" spans="1:17" x14ac:dyDescent="0.2">
      <c r="A6313" s="30" t="str">
        <f>IF(C6313&amp;G6313&amp;D6313&lt;&gt;'Funnel setup'!$K$3&amp;'Funnel setup'!$K$4&amp;'Funnel setup'!$K$5,".",IF(A6312=".",1,A6312+1))</f>
        <v>.</v>
      </c>
      <c r="B6313" s="431" t="str">
        <f t="shared" si="98"/>
        <v>Varicose VeinCCG of GP PracticeNHS CENTRAL MANCHESTER CCG (00W)Aberdeen Varicose Vein Questionnaire</v>
      </c>
      <c r="C6313" t="s">
        <v>17</v>
      </c>
      <c r="D6313" t="s">
        <v>87</v>
      </c>
      <c r="E6313" t="s">
        <v>731</v>
      </c>
      <c r="F6313" t="s">
        <v>732</v>
      </c>
      <c r="G6313" t="s">
        <v>0</v>
      </c>
      <c r="H6313" t="s">
        <v>53</v>
      </c>
      <c r="I6313" t="s">
        <v>53</v>
      </c>
      <c r="J6313" t="s">
        <v>53</v>
      </c>
      <c r="K6313" t="s">
        <v>53</v>
      </c>
      <c r="L6313" t="s">
        <v>53</v>
      </c>
      <c r="M6313" t="s">
        <v>53</v>
      </c>
      <c r="N6313" t="s">
        <v>53</v>
      </c>
      <c r="O6313" t="s">
        <v>53</v>
      </c>
      <c r="P6313" t="s">
        <v>53</v>
      </c>
      <c r="Q6313" t="s">
        <v>53</v>
      </c>
    </row>
    <row r="6314" spans="1:17" x14ac:dyDescent="0.2">
      <c r="A6314" s="30" t="str">
        <f>IF(C6314&amp;G6314&amp;D6314&lt;&gt;'Funnel setup'!$K$3&amp;'Funnel setup'!$K$4&amp;'Funnel setup'!$K$5,".",IF(A6313=".",1,A6313+1))</f>
        <v>.</v>
      </c>
      <c r="B6314" s="431" t="str">
        <f t="shared" si="98"/>
        <v>Varicose VeinCCG of GP PracticeNHS CHILTERN CCG (10H)Aberdeen Varicose Vein Questionnaire</v>
      </c>
      <c r="C6314" t="s">
        <v>17</v>
      </c>
      <c r="D6314" t="s">
        <v>87</v>
      </c>
      <c r="E6314" t="s">
        <v>734</v>
      </c>
      <c r="F6314" t="s">
        <v>735</v>
      </c>
      <c r="G6314" t="s">
        <v>0</v>
      </c>
      <c r="H6314">
        <v>25</v>
      </c>
      <c r="I6314">
        <v>19.579999999999998</v>
      </c>
      <c r="J6314">
        <v>12.156000000000001</v>
      </c>
      <c r="K6314">
        <v>-7.4240000000000004</v>
      </c>
      <c r="L6314">
        <v>20</v>
      </c>
      <c r="M6314">
        <v>0</v>
      </c>
      <c r="N6314">
        <v>5</v>
      </c>
      <c r="O6314" t="s">
        <v>53</v>
      </c>
      <c r="P6314" t="s">
        <v>53</v>
      </c>
      <c r="Q6314" t="s">
        <v>53</v>
      </c>
    </row>
    <row r="6315" spans="1:17" x14ac:dyDescent="0.2">
      <c r="A6315" s="30" t="str">
        <f>IF(C6315&amp;G6315&amp;D6315&lt;&gt;'Funnel setup'!$K$3&amp;'Funnel setup'!$K$4&amp;'Funnel setup'!$K$5,".",IF(A6314=".",1,A6314+1))</f>
        <v>.</v>
      </c>
      <c r="B6315" s="431" t="str">
        <f t="shared" si="98"/>
        <v>Varicose VeinCCG of GP PracticeNHS CHORLEY AND SOUTH RIBBLE CCG (00X)Aberdeen Varicose Vein Questionnaire</v>
      </c>
      <c r="C6315" t="s">
        <v>17</v>
      </c>
      <c r="D6315" t="s">
        <v>87</v>
      </c>
      <c r="E6315" t="s">
        <v>737</v>
      </c>
      <c r="F6315" t="s">
        <v>738</v>
      </c>
      <c r="G6315" t="s">
        <v>0</v>
      </c>
      <c r="H6315">
        <v>20</v>
      </c>
      <c r="I6315">
        <v>16.791</v>
      </c>
      <c r="J6315">
        <v>9.6579999999999995</v>
      </c>
      <c r="K6315">
        <v>-7.133</v>
      </c>
      <c r="L6315">
        <v>18</v>
      </c>
      <c r="M6315">
        <v>0</v>
      </c>
      <c r="N6315">
        <v>2</v>
      </c>
      <c r="O6315" t="s">
        <v>53</v>
      </c>
      <c r="P6315" t="s">
        <v>53</v>
      </c>
      <c r="Q6315" t="s">
        <v>53</v>
      </c>
    </row>
    <row r="6316" spans="1:17" x14ac:dyDescent="0.2">
      <c r="A6316" s="30" t="str">
        <f>IF(C6316&amp;G6316&amp;D6316&lt;&gt;'Funnel setup'!$K$3&amp;'Funnel setup'!$K$4&amp;'Funnel setup'!$K$5,".",IF(A6315=".",1,A6315+1))</f>
        <v>.</v>
      </c>
      <c r="B6316" s="431" t="str">
        <f t="shared" si="98"/>
        <v>Varicose VeinCCG of GP PracticeNHS CITY AND HACKNEY CCG (07T)Aberdeen Varicose Vein Questionnaire</v>
      </c>
      <c r="C6316" t="s">
        <v>17</v>
      </c>
      <c r="D6316" t="s">
        <v>87</v>
      </c>
      <c r="E6316" t="s">
        <v>740</v>
      </c>
      <c r="F6316" t="s">
        <v>741</v>
      </c>
      <c r="G6316" t="s">
        <v>0</v>
      </c>
      <c r="H6316">
        <v>14</v>
      </c>
      <c r="I6316">
        <v>20.954000000000001</v>
      </c>
      <c r="J6316">
        <v>13.824999999999999</v>
      </c>
      <c r="K6316">
        <v>-7.13</v>
      </c>
      <c r="L6316">
        <v>10</v>
      </c>
      <c r="M6316">
        <v>0</v>
      </c>
      <c r="N6316">
        <v>4</v>
      </c>
      <c r="O6316" t="s">
        <v>53</v>
      </c>
      <c r="P6316" t="s">
        <v>53</v>
      </c>
      <c r="Q6316" t="s">
        <v>53</v>
      </c>
    </row>
    <row r="6317" spans="1:17" x14ac:dyDescent="0.2">
      <c r="A6317" s="30" t="str">
        <f>IF(C6317&amp;G6317&amp;D6317&lt;&gt;'Funnel setup'!$K$3&amp;'Funnel setup'!$K$4&amp;'Funnel setup'!$K$5,".",IF(A6316=".",1,A6316+1))</f>
        <v>.</v>
      </c>
      <c r="B6317" s="431" t="str">
        <f t="shared" si="98"/>
        <v>Varicose VeinCCG of GP PracticeNHS COASTAL WEST SUSSEX CCG (09G)Aberdeen Varicose Vein Questionnaire</v>
      </c>
      <c r="C6317" t="s">
        <v>17</v>
      </c>
      <c r="D6317" t="s">
        <v>87</v>
      </c>
      <c r="E6317" t="s">
        <v>743</v>
      </c>
      <c r="F6317" t="s">
        <v>744</v>
      </c>
      <c r="G6317" t="s">
        <v>0</v>
      </c>
      <c r="H6317">
        <v>18</v>
      </c>
      <c r="I6317">
        <v>22.239000000000001</v>
      </c>
      <c r="J6317">
        <v>13.506</v>
      </c>
      <c r="K6317">
        <v>-8.7330000000000005</v>
      </c>
      <c r="L6317">
        <v>15</v>
      </c>
      <c r="M6317">
        <v>0</v>
      </c>
      <c r="N6317">
        <v>3</v>
      </c>
      <c r="O6317" t="s">
        <v>53</v>
      </c>
      <c r="P6317" t="s">
        <v>53</v>
      </c>
      <c r="Q6317" t="s">
        <v>53</v>
      </c>
    </row>
    <row r="6318" spans="1:17" x14ac:dyDescent="0.2">
      <c r="A6318" s="30" t="str">
        <f>IF(C6318&amp;G6318&amp;D6318&lt;&gt;'Funnel setup'!$K$3&amp;'Funnel setup'!$K$4&amp;'Funnel setup'!$K$5,".",IF(A6317=".",1,A6317+1))</f>
        <v>.</v>
      </c>
      <c r="B6318" s="431" t="str">
        <f t="shared" si="98"/>
        <v>Varicose VeinCCG of GP PracticeNHS COVENTRY AND RUGBY CCG (05A)Aberdeen Varicose Vein Questionnaire</v>
      </c>
      <c r="C6318" t="s">
        <v>17</v>
      </c>
      <c r="D6318" t="s">
        <v>87</v>
      </c>
      <c r="E6318" t="s">
        <v>749</v>
      </c>
      <c r="F6318" t="s">
        <v>750</v>
      </c>
      <c r="G6318" t="s">
        <v>0</v>
      </c>
      <c r="H6318">
        <v>15</v>
      </c>
      <c r="I6318">
        <v>21.395</v>
      </c>
      <c r="J6318">
        <v>14.51</v>
      </c>
      <c r="K6318">
        <v>-6.8849999999999998</v>
      </c>
      <c r="L6318">
        <v>13</v>
      </c>
      <c r="M6318">
        <v>0</v>
      </c>
      <c r="N6318">
        <v>2</v>
      </c>
      <c r="O6318" t="s">
        <v>53</v>
      </c>
      <c r="P6318" t="s">
        <v>53</v>
      </c>
      <c r="Q6318" t="s">
        <v>53</v>
      </c>
    </row>
    <row r="6319" spans="1:17" x14ac:dyDescent="0.2">
      <c r="A6319" s="30" t="str">
        <f>IF(C6319&amp;G6319&amp;D6319&lt;&gt;'Funnel setup'!$K$3&amp;'Funnel setup'!$K$4&amp;'Funnel setup'!$K$5,".",IF(A6318=".",1,A6318+1))</f>
        <v>.</v>
      </c>
      <c r="B6319" s="431" t="str">
        <f t="shared" si="98"/>
        <v>Varicose VeinCCG of GP PracticeNHS CRAWLEY CCG (09H)Aberdeen Varicose Vein Questionnaire</v>
      </c>
      <c r="C6319" t="s">
        <v>17</v>
      </c>
      <c r="D6319" t="s">
        <v>87</v>
      </c>
      <c r="E6319" t="s">
        <v>752</v>
      </c>
      <c r="F6319" t="s">
        <v>753</v>
      </c>
      <c r="G6319" t="s">
        <v>0</v>
      </c>
      <c r="H6319">
        <v>19</v>
      </c>
      <c r="I6319">
        <v>26.151</v>
      </c>
      <c r="J6319">
        <v>14.62</v>
      </c>
      <c r="K6319">
        <v>-11.531000000000001</v>
      </c>
      <c r="L6319">
        <v>15</v>
      </c>
      <c r="M6319">
        <v>0</v>
      </c>
      <c r="N6319">
        <v>4</v>
      </c>
      <c r="O6319" t="s">
        <v>53</v>
      </c>
      <c r="P6319" t="s">
        <v>53</v>
      </c>
      <c r="Q6319" t="s">
        <v>53</v>
      </c>
    </row>
    <row r="6320" spans="1:17" x14ac:dyDescent="0.2">
      <c r="A6320" s="30" t="str">
        <f>IF(C6320&amp;G6320&amp;D6320&lt;&gt;'Funnel setup'!$K$3&amp;'Funnel setup'!$K$4&amp;'Funnel setup'!$K$5,".",IF(A6319=".",1,A6319+1))</f>
        <v>.</v>
      </c>
      <c r="B6320" s="431" t="str">
        <f t="shared" si="98"/>
        <v>Varicose VeinCCG of GP PracticeNHS CROYDON CCG (07V)Aberdeen Varicose Vein Questionnaire</v>
      </c>
      <c r="C6320" t="s">
        <v>17</v>
      </c>
      <c r="D6320" t="s">
        <v>87</v>
      </c>
      <c r="E6320" t="s">
        <v>755</v>
      </c>
      <c r="F6320" t="s">
        <v>756</v>
      </c>
      <c r="G6320" t="s">
        <v>0</v>
      </c>
      <c r="H6320" t="s">
        <v>53</v>
      </c>
      <c r="I6320" t="s">
        <v>53</v>
      </c>
      <c r="J6320" t="s">
        <v>53</v>
      </c>
      <c r="K6320" t="s">
        <v>53</v>
      </c>
      <c r="L6320" t="s">
        <v>53</v>
      </c>
      <c r="M6320" t="s">
        <v>53</v>
      </c>
      <c r="N6320" t="s">
        <v>53</v>
      </c>
      <c r="O6320" t="s">
        <v>53</v>
      </c>
      <c r="P6320" t="s">
        <v>53</v>
      </c>
      <c r="Q6320" t="s">
        <v>53</v>
      </c>
    </row>
    <row r="6321" spans="1:17" x14ac:dyDescent="0.2">
      <c r="A6321" s="30" t="str">
        <f>IF(C6321&amp;G6321&amp;D6321&lt;&gt;'Funnel setup'!$K$3&amp;'Funnel setup'!$K$4&amp;'Funnel setup'!$K$5,".",IF(A6320=".",1,A6320+1))</f>
        <v>.</v>
      </c>
      <c r="B6321" s="431" t="str">
        <f t="shared" si="98"/>
        <v>Varicose VeinCCG of GP PracticeNHS CUMBRIA CCG (01H)Aberdeen Varicose Vein Questionnaire</v>
      </c>
      <c r="C6321" t="s">
        <v>17</v>
      </c>
      <c r="D6321" t="s">
        <v>87</v>
      </c>
      <c r="E6321" t="s">
        <v>758</v>
      </c>
      <c r="F6321" t="s">
        <v>759</v>
      </c>
      <c r="G6321" t="s">
        <v>0</v>
      </c>
      <c r="H6321">
        <v>59</v>
      </c>
      <c r="I6321">
        <v>20.667999999999999</v>
      </c>
      <c r="J6321">
        <v>9.6479999999999997</v>
      </c>
      <c r="K6321">
        <v>-11.02</v>
      </c>
      <c r="L6321">
        <v>56</v>
      </c>
      <c r="M6321">
        <v>0</v>
      </c>
      <c r="N6321">
        <v>3</v>
      </c>
      <c r="O6321">
        <v>8.7769999999999992</v>
      </c>
      <c r="P6321">
        <v>-12.145177739999999</v>
      </c>
      <c r="Q6321">
        <v>12.18</v>
      </c>
    </row>
    <row r="6322" spans="1:17" x14ac:dyDescent="0.2">
      <c r="A6322" s="30" t="str">
        <f>IF(C6322&amp;G6322&amp;D6322&lt;&gt;'Funnel setup'!$K$3&amp;'Funnel setup'!$K$4&amp;'Funnel setup'!$K$5,".",IF(A6321=".",1,A6321+1))</f>
        <v>.</v>
      </c>
      <c r="B6322" s="431" t="str">
        <f t="shared" si="98"/>
        <v>Varicose VeinCCG of GP PracticeNHS DARLINGTON CCG (00C)Aberdeen Varicose Vein Questionnaire</v>
      </c>
      <c r="C6322" t="s">
        <v>17</v>
      </c>
      <c r="D6322" t="s">
        <v>87</v>
      </c>
      <c r="E6322" t="s">
        <v>761</v>
      </c>
      <c r="F6322" t="s">
        <v>762</v>
      </c>
      <c r="G6322" t="s">
        <v>0</v>
      </c>
      <c r="H6322">
        <v>6</v>
      </c>
      <c r="I6322">
        <v>15.669</v>
      </c>
      <c r="J6322">
        <v>8.0510000000000002</v>
      </c>
      <c r="K6322">
        <v>-7.6180000000000003</v>
      </c>
      <c r="L6322">
        <v>5</v>
      </c>
      <c r="M6322">
        <v>0</v>
      </c>
      <c r="N6322">
        <v>1</v>
      </c>
      <c r="O6322" t="s">
        <v>53</v>
      </c>
      <c r="P6322" t="s">
        <v>53</v>
      </c>
      <c r="Q6322" t="s">
        <v>53</v>
      </c>
    </row>
    <row r="6323" spans="1:17" x14ac:dyDescent="0.2">
      <c r="A6323" s="30" t="str">
        <f>IF(C6323&amp;G6323&amp;D6323&lt;&gt;'Funnel setup'!$K$3&amp;'Funnel setup'!$K$4&amp;'Funnel setup'!$K$5,".",IF(A6322=".",1,A6322+1))</f>
        <v>.</v>
      </c>
      <c r="B6323" s="431" t="str">
        <f t="shared" si="98"/>
        <v>Varicose VeinCCG of GP PracticeNHS DARTFORD, GRAVESHAM AND SWANLEY CCG (09J)Aberdeen Varicose Vein Questionnaire</v>
      </c>
      <c r="C6323" t="s">
        <v>17</v>
      </c>
      <c r="D6323" t="s">
        <v>87</v>
      </c>
      <c r="E6323" t="s">
        <v>764</v>
      </c>
      <c r="F6323" t="s">
        <v>765</v>
      </c>
      <c r="G6323" t="s">
        <v>0</v>
      </c>
      <c r="H6323" t="s">
        <v>53</v>
      </c>
      <c r="I6323" t="s">
        <v>53</v>
      </c>
      <c r="J6323" t="s">
        <v>53</v>
      </c>
      <c r="K6323" t="s">
        <v>53</v>
      </c>
      <c r="L6323" t="s">
        <v>53</v>
      </c>
      <c r="M6323" t="s">
        <v>53</v>
      </c>
      <c r="N6323" t="s">
        <v>53</v>
      </c>
      <c r="O6323" t="s">
        <v>53</v>
      </c>
      <c r="P6323" t="s">
        <v>53</v>
      </c>
      <c r="Q6323" t="s">
        <v>53</v>
      </c>
    </row>
    <row r="6324" spans="1:17" x14ac:dyDescent="0.2">
      <c r="A6324" s="30" t="str">
        <f>IF(C6324&amp;G6324&amp;D6324&lt;&gt;'Funnel setup'!$K$3&amp;'Funnel setup'!$K$4&amp;'Funnel setup'!$K$5,".",IF(A6323=".",1,A6323+1))</f>
        <v>.</v>
      </c>
      <c r="B6324" s="431" t="str">
        <f t="shared" si="98"/>
        <v>Varicose VeinCCG of GP PracticeNHS DONCASTER CCG (02X)Aberdeen Varicose Vein Questionnaire</v>
      </c>
      <c r="C6324" t="s">
        <v>17</v>
      </c>
      <c r="D6324" t="s">
        <v>87</v>
      </c>
      <c r="E6324" t="s">
        <v>767</v>
      </c>
      <c r="F6324" t="s">
        <v>768</v>
      </c>
      <c r="G6324" t="s">
        <v>0</v>
      </c>
      <c r="H6324">
        <v>18</v>
      </c>
      <c r="I6324">
        <v>21.623999999999999</v>
      </c>
      <c r="J6324">
        <v>11.327</v>
      </c>
      <c r="K6324">
        <v>-10.297000000000001</v>
      </c>
      <c r="L6324">
        <v>16</v>
      </c>
      <c r="M6324">
        <v>0</v>
      </c>
      <c r="N6324">
        <v>2</v>
      </c>
      <c r="O6324" t="s">
        <v>53</v>
      </c>
      <c r="P6324" t="s">
        <v>53</v>
      </c>
      <c r="Q6324" t="s">
        <v>53</v>
      </c>
    </row>
    <row r="6325" spans="1:17" x14ac:dyDescent="0.2">
      <c r="A6325" s="30" t="str">
        <f>IF(C6325&amp;G6325&amp;D6325&lt;&gt;'Funnel setup'!$K$3&amp;'Funnel setup'!$K$4&amp;'Funnel setup'!$K$5,".",IF(A6324=".",1,A6324+1))</f>
        <v>.</v>
      </c>
      <c r="B6325" s="431" t="str">
        <f t="shared" si="98"/>
        <v>Varicose VeinCCG of GP PracticeNHS DORSET CCG (11J)Aberdeen Varicose Vein Questionnaire</v>
      </c>
      <c r="C6325" t="s">
        <v>17</v>
      </c>
      <c r="D6325" t="s">
        <v>87</v>
      </c>
      <c r="E6325" t="s">
        <v>854</v>
      </c>
      <c r="F6325" t="s">
        <v>855</v>
      </c>
      <c r="G6325" t="s">
        <v>0</v>
      </c>
      <c r="H6325">
        <v>53</v>
      </c>
      <c r="I6325">
        <v>21.276</v>
      </c>
      <c r="J6325">
        <v>12.055</v>
      </c>
      <c r="K6325">
        <v>-9.2210000000000001</v>
      </c>
      <c r="L6325">
        <v>41</v>
      </c>
      <c r="M6325">
        <v>0</v>
      </c>
      <c r="N6325">
        <v>12</v>
      </c>
      <c r="O6325">
        <v>12.215</v>
      </c>
      <c r="P6325">
        <v>-8.7079528820000007</v>
      </c>
      <c r="Q6325">
        <v>17.247</v>
      </c>
    </row>
    <row r="6326" spans="1:17" x14ac:dyDescent="0.2">
      <c r="A6326" s="30" t="str">
        <f>IF(C6326&amp;G6326&amp;D6326&lt;&gt;'Funnel setup'!$K$3&amp;'Funnel setup'!$K$4&amp;'Funnel setup'!$K$5,".",IF(A6325=".",1,A6325+1))</f>
        <v>.</v>
      </c>
      <c r="B6326" s="431" t="str">
        <f t="shared" si="98"/>
        <v>Varicose VeinCCG of GP PracticeNHS DUDLEY CCG (05C)Aberdeen Varicose Vein Questionnaire</v>
      </c>
      <c r="C6326" t="s">
        <v>17</v>
      </c>
      <c r="D6326" t="s">
        <v>87</v>
      </c>
      <c r="E6326" t="s">
        <v>857</v>
      </c>
      <c r="F6326" t="s">
        <v>858</v>
      </c>
      <c r="G6326" t="s">
        <v>0</v>
      </c>
      <c r="H6326">
        <v>104</v>
      </c>
      <c r="I6326">
        <v>20.004000000000001</v>
      </c>
      <c r="J6326">
        <v>12.635</v>
      </c>
      <c r="K6326">
        <v>-7.3680000000000003</v>
      </c>
      <c r="L6326">
        <v>86</v>
      </c>
      <c r="M6326">
        <v>0</v>
      </c>
      <c r="N6326">
        <v>18</v>
      </c>
      <c r="O6326">
        <v>12.308999999999999</v>
      </c>
      <c r="P6326">
        <v>-8.6137311990000001</v>
      </c>
      <c r="Q6326">
        <v>16.277000000000001</v>
      </c>
    </row>
    <row r="6327" spans="1:17" x14ac:dyDescent="0.2">
      <c r="A6327" s="30" t="str">
        <f>IF(C6327&amp;G6327&amp;D6327&lt;&gt;'Funnel setup'!$K$3&amp;'Funnel setup'!$K$4&amp;'Funnel setup'!$K$5,".",IF(A6326=".",1,A6326+1))</f>
        <v>.</v>
      </c>
      <c r="B6327" s="431" t="str">
        <f t="shared" si="98"/>
        <v>Varicose VeinCCG of GP PracticeNHS DURHAM DALES, EASINGTON AND SEDGEFIELD CCG (00D)Aberdeen Varicose Vein Questionnaire</v>
      </c>
      <c r="C6327" t="s">
        <v>17</v>
      </c>
      <c r="D6327" t="s">
        <v>87</v>
      </c>
      <c r="E6327" t="s">
        <v>860</v>
      </c>
      <c r="F6327" t="s">
        <v>861</v>
      </c>
      <c r="G6327" t="s">
        <v>0</v>
      </c>
      <c r="H6327">
        <v>39</v>
      </c>
      <c r="I6327">
        <v>18.291</v>
      </c>
      <c r="J6327">
        <v>9.5280000000000005</v>
      </c>
      <c r="K6327">
        <v>-8.7629999999999999</v>
      </c>
      <c r="L6327">
        <v>35</v>
      </c>
      <c r="M6327">
        <v>0</v>
      </c>
      <c r="N6327">
        <v>4</v>
      </c>
      <c r="O6327">
        <v>8.32</v>
      </c>
      <c r="P6327">
        <v>-12.602884169999999</v>
      </c>
      <c r="Q6327">
        <v>13.061</v>
      </c>
    </row>
    <row r="6328" spans="1:17" x14ac:dyDescent="0.2">
      <c r="A6328" s="30" t="str">
        <f>IF(C6328&amp;G6328&amp;D6328&lt;&gt;'Funnel setup'!$K$3&amp;'Funnel setup'!$K$4&amp;'Funnel setup'!$K$5,".",IF(A6327=".",1,A6327+1))</f>
        <v>.</v>
      </c>
      <c r="B6328" s="431" t="str">
        <f t="shared" si="98"/>
        <v>Varicose VeinCCG of GP PracticeNHS EALING CCG (07W)Aberdeen Varicose Vein Questionnaire</v>
      </c>
      <c r="C6328" t="s">
        <v>17</v>
      </c>
      <c r="D6328" t="s">
        <v>87</v>
      </c>
      <c r="E6328" t="s">
        <v>863</v>
      </c>
      <c r="F6328" t="s">
        <v>864</v>
      </c>
      <c r="G6328" t="s">
        <v>0</v>
      </c>
      <c r="H6328">
        <v>28</v>
      </c>
      <c r="I6328">
        <v>25.76</v>
      </c>
      <c r="J6328">
        <v>21.044</v>
      </c>
      <c r="K6328">
        <v>-4.7160000000000002</v>
      </c>
      <c r="L6328">
        <v>20</v>
      </c>
      <c r="M6328">
        <v>0</v>
      </c>
      <c r="N6328">
        <v>8</v>
      </c>
      <c r="O6328" t="s">
        <v>53</v>
      </c>
      <c r="P6328" t="s">
        <v>53</v>
      </c>
      <c r="Q6328" t="s">
        <v>53</v>
      </c>
    </row>
    <row r="6329" spans="1:17" x14ac:dyDescent="0.2">
      <c r="A6329" s="30" t="str">
        <f>IF(C6329&amp;G6329&amp;D6329&lt;&gt;'Funnel setup'!$K$3&amp;'Funnel setup'!$K$4&amp;'Funnel setup'!$K$5,".",IF(A6328=".",1,A6328+1))</f>
        <v>.</v>
      </c>
      <c r="B6329" s="431" t="str">
        <f t="shared" si="98"/>
        <v>Varicose VeinCCG of GP PracticeNHS EAST AND NORTH HERTFORDSHIRE CCG (06K)Aberdeen Varicose Vein Questionnaire</v>
      </c>
      <c r="C6329" t="s">
        <v>17</v>
      </c>
      <c r="D6329" t="s">
        <v>87</v>
      </c>
      <c r="E6329" t="s">
        <v>866</v>
      </c>
      <c r="F6329" t="s">
        <v>867</v>
      </c>
      <c r="G6329" t="s">
        <v>0</v>
      </c>
      <c r="H6329">
        <v>31</v>
      </c>
      <c r="I6329">
        <v>22.678000000000001</v>
      </c>
      <c r="J6329">
        <v>12.941000000000001</v>
      </c>
      <c r="K6329">
        <v>-9.7370000000000001</v>
      </c>
      <c r="L6329">
        <v>27</v>
      </c>
      <c r="M6329">
        <v>0</v>
      </c>
      <c r="N6329">
        <v>4</v>
      </c>
      <c r="O6329">
        <v>14.064</v>
      </c>
      <c r="P6329">
        <v>-6.85801806</v>
      </c>
      <c r="Q6329">
        <v>12.465</v>
      </c>
    </row>
    <row r="6330" spans="1:17" x14ac:dyDescent="0.2">
      <c r="A6330" s="30" t="str">
        <f>IF(C6330&amp;G6330&amp;D6330&lt;&gt;'Funnel setup'!$K$3&amp;'Funnel setup'!$K$4&amp;'Funnel setup'!$K$5,".",IF(A6329=".",1,A6329+1))</f>
        <v>.</v>
      </c>
      <c r="B6330" s="431" t="str">
        <f t="shared" si="98"/>
        <v>Varicose VeinCCG of GP PracticeNHS EAST LANCASHIRE CCG (01A)Aberdeen Varicose Vein Questionnaire</v>
      </c>
      <c r="C6330" t="s">
        <v>17</v>
      </c>
      <c r="D6330" t="s">
        <v>87</v>
      </c>
      <c r="E6330" t="s">
        <v>869</v>
      </c>
      <c r="F6330" t="s">
        <v>870</v>
      </c>
      <c r="G6330" t="s">
        <v>0</v>
      </c>
      <c r="H6330">
        <v>97</v>
      </c>
      <c r="I6330">
        <v>18.928000000000001</v>
      </c>
      <c r="J6330">
        <v>10.686</v>
      </c>
      <c r="K6330">
        <v>-8.2420000000000009</v>
      </c>
      <c r="L6330">
        <v>84</v>
      </c>
      <c r="M6330">
        <v>1</v>
      </c>
      <c r="N6330">
        <v>12</v>
      </c>
      <c r="O6330">
        <v>9.8770000000000007</v>
      </c>
      <c r="P6330">
        <v>-11.04506398</v>
      </c>
      <c r="Q6330">
        <v>13.814</v>
      </c>
    </row>
    <row r="6331" spans="1:17" x14ac:dyDescent="0.2">
      <c r="A6331" s="30" t="str">
        <f>IF(C6331&amp;G6331&amp;D6331&lt;&gt;'Funnel setup'!$K$3&amp;'Funnel setup'!$K$4&amp;'Funnel setup'!$K$5,".",IF(A6330=".",1,A6330+1))</f>
        <v>.</v>
      </c>
      <c r="B6331" s="431" t="str">
        <f t="shared" si="98"/>
        <v>Varicose VeinCCG of GP PracticeNHS EAST LEICESTERSHIRE AND RUTLAND CCG (03W)Aberdeen Varicose Vein Questionnaire</v>
      </c>
      <c r="C6331" t="s">
        <v>17</v>
      </c>
      <c r="D6331" t="s">
        <v>87</v>
      </c>
      <c r="E6331" t="s">
        <v>872</v>
      </c>
      <c r="F6331" t="s">
        <v>873</v>
      </c>
      <c r="G6331" t="s">
        <v>0</v>
      </c>
      <c r="H6331">
        <v>22</v>
      </c>
      <c r="I6331">
        <v>19.875</v>
      </c>
      <c r="J6331">
        <v>10.88</v>
      </c>
      <c r="K6331">
        <v>-8.9939999999999998</v>
      </c>
      <c r="L6331">
        <v>19</v>
      </c>
      <c r="M6331">
        <v>0</v>
      </c>
      <c r="N6331">
        <v>3</v>
      </c>
      <c r="O6331" t="s">
        <v>53</v>
      </c>
      <c r="P6331" t="s">
        <v>53</v>
      </c>
      <c r="Q6331" t="s">
        <v>53</v>
      </c>
    </row>
    <row r="6332" spans="1:17" x14ac:dyDescent="0.2">
      <c r="A6332" s="30" t="str">
        <f>IF(C6332&amp;G6332&amp;D6332&lt;&gt;'Funnel setup'!$K$3&amp;'Funnel setup'!$K$4&amp;'Funnel setup'!$K$5,".",IF(A6331=".",1,A6331+1))</f>
        <v>.</v>
      </c>
      <c r="B6332" s="431" t="str">
        <f t="shared" si="98"/>
        <v>Varicose VeinCCG of GP PracticeNHS EAST RIDING OF YORKSHIRE CCG (02Y)Aberdeen Varicose Vein Questionnaire</v>
      </c>
      <c r="C6332" t="s">
        <v>17</v>
      </c>
      <c r="D6332" t="s">
        <v>87</v>
      </c>
      <c r="E6332" t="s">
        <v>875</v>
      </c>
      <c r="F6332" t="s">
        <v>876</v>
      </c>
      <c r="G6332" t="s">
        <v>0</v>
      </c>
      <c r="H6332">
        <v>60</v>
      </c>
      <c r="I6332">
        <v>20.257000000000001</v>
      </c>
      <c r="J6332">
        <v>8.7330000000000005</v>
      </c>
      <c r="K6332">
        <v>-11.523999999999999</v>
      </c>
      <c r="L6332">
        <v>53</v>
      </c>
      <c r="M6332">
        <v>0</v>
      </c>
      <c r="N6332">
        <v>7</v>
      </c>
      <c r="O6332">
        <v>8.2050000000000001</v>
      </c>
      <c r="P6332">
        <v>-12.717445619999999</v>
      </c>
      <c r="Q6332">
        <v>12.656000000000001</v>
      </c>
    </row>
    <row r="6333" spans="1:17" x14ac:dyDescent="0.2">
      <c r="A6333" s="30" t="str">
        <f>IF(C6333&amp;G6333&amp;D6333&lt;&gt;'Funnel setup'!$K$3&amp;'Funnel setup'!$K$4&amp;'Funnel setup'!$K$5,".",IF(A6332=".",1,A6332+1))</f>
        <v>.</v>
      </c>
      <c r="B6333" s="431" t="str">
        <f t="shared" si="98"/>
        <v>Varicose VeinCCG of GP PracticeNHS EAST STAFFORDSHIRE CCG (05D)Aberdeen Varicose Vein Questionnaire</v>
      </c>
      <c r="C6333" t="s">
        <v>17</v>
      </c>
      <c r="D6333" t="s">
        <v>87</v>
      </c>
      <c r="E6333" t="s">
        <v>878</v>
      </c>
      <c r="F6333" t="s">
        <v>879</v>
      </c>
      <c r="G6333" t="s">
        <v>0</v>
      </c>
      <c r="H6333">
        <v>8</v>
      </c>
      <c r="I6333">
        <v>14.144</v>
      </c>
      <c r="J6333">
        <v>8.3759999999999994</v>
      </c>
      <c r="K6333">
        <v>-5.7679999999999998</v>
      </c>
      <c r="L6333">
        <v>6</v>
      </c>
      <c r="M6333">
        <v>0</v>
      </c>
      <c r="N6333">
        <v>2</v>
      </c>
      <c r="O6333" t="s">
        <v>53</v>
      </c>
      <c r="P6333" t="s">
        <v>53</v>
      </c>
      <c r="Q6333" t="s">
        <v>53</v>
      </c>
    </row>
    <row r="6334" spans="1:17" x14ac:dyDescent="0.2">
      <c r="A6334" s="30" t="str">
        <f>IF(C6334&amp;G6334&amp;D6334&lt;&gt;'Funnel setup'!$K$3&amp;'Funnel setup'!$K$4&amp;'Funnel setup'!$K$5,".",IF(A6333=".",1,A6333+1))</f>
        <v>.</v>
      </c>
      <c r="B6334" s="431" t="str">
        <f t="shared" si="98"/>
        <v>Varicose VeinCCG of GP PracticeNHS EAST SURREY CCG (09L)Aberdeen Varicose Vein Questionnaire</v>
      </c>
      <c r="C6334" t="s">
        <v>17</v>
      </c>
      <c r="D6334" t="s">
        <v>87</v>
      </c>
      <c r="E6334" t="s">
        <v>881</v>
      </c>
      <c r="F6334" t="s">
        <v>882</v>
      </c>
      <c r="G6334" t="s">
        <v>0</v>
      </c>
      <c r="H6334">
        <v>16</v>
      </c>
      <c r="I6334">
        <v>21.690999999999999</v>
      </c>
      <c r="J6334">
        <v>15.816000000000001</v>
      </c>
      <c r="K6334">
        <v>-5.875</v>
      </c>
      <c r="L6334">
        <v>10</v>
      </c>
      <c r="M6334">
        <v>0</v>
      </c>
      <c r="N6334">
        <v>6</v>
      </c>
      <c r="O6334" t="s">
        <v>53</v>
      </c>
      <c r="P6334" t="s">
        <v>53</v>
      </c>
      <c r="Q6334" t="s">
        <v>53</v>
      </c>
    </row>
    <row r="6335" spans="1:17" x14ac:dyDescent="0.2">
      <c r="A6335" s="30" t="str">
        <f>IF(C6335&amp;G6335&amp;D6335&lt;&gt;'Funnel setup'!$K$3&amp;'Funnel setup'!$K$4&amp;'Funnel setup'!$K$5,".",IF(A6334=".",1,A6334+1))</f>
        <v>.</v>
      </c>
      <c r="B6335" s="431" t="str">
        <f t="shared" si="98"/>
        <v>Varicose VeinCCG of GP PracticeNHS EASTBOURNE, HAILSHAM AND SEAFORD CCG (09F)Aberdeen Varicose Vein Questionnaire</v>
      </c>
      <c r="C6335" t="s">
        <v>17</v>
      </c>
      <c r="D6335" t="s">
        <v>87</v>
      </c>
      <c r="E6335" t="s">
        <v>884</v>
      </c>
      <c r="F6335" t="s">
        <v>885</v>
      </c>
      <c r="G6335" t="s">
        <v>0</v>
      </c>
      <c r="H6335">
        <v>11</v>
      </c>
      <c r="I6335">
        <v>16.786000000000001</v>
      </c>
      <c r="J6335">
        <v>10.461</v>
      </c>
      <c r="K6335">
        <v>-6.3250000000000002</v>
      </c>
      <c r="L6335">
        <v>9</v>
      </c>
      <c r="M6335">
        <v>0</v>
      </c>
      <c r="N6335">
        <v>2</v>
      </c>
      <c r="O6335" t="s">
        <v>53</v>
      </c>
      <c r="P6335" t="s">
        <v>53</v>
      </c>
      <c r="Q6335" t="s">
        <v>53</v>
      </c>
    </row>
    <row r="6336" spans="1:17" x14ac:dyDescent="0.2">
      <c r="A6336" s="30" t="str">
        <f>IF(C6336&amp;G6336&amp;D6336&lt;&gt;'Funnel setup'!$K$3&amp;'Funnel setup'!$K$4&amp;'Funnel setup'!$K$5,".",IF(A6335=".",1,A6335+1))</f>
        <v>.</v>
      </c>
      <c r="B6336" s="431" t="str">
        <f t="shared" si="98"/>
        <v>Varicose VeinCCG of GP PracticeNHS EASTERN CHESHIRE CCG (01C)Aberdeen Varicose Vein Questionnaire</v>
      </c>
      <c r="C6336" t="s">
        <v>17</v>
      </c>
      <c r="D6336" t="s">
        <v>87</v>
      </c>
      <c r="E6336" t="s">
        <v>887</v>
      </c>
      <c r="F6336" t="s">
        <v>888</v>
      </c>
      <c r="G6336" t="s">
        <v>0</v>
      </c>
      <c r="H6336">
        <v>34</v>
      </c>
      <c r="I6336">
        <v>19.713000000000001</v>
      </c>
      <c r="J6336">
        <v>13.666</v>
      </c>
      <c r="K6336">
        <v>-6.0469999999999997</v>
      </c>
      <c r="L6336">
        <v>30</v>
      </c>
      <c r="M6336">
        <v>0</v>
      </c>
      <c r="N6336">
        <v>4</v>
      </c>
      <c r="O6336">
        <v>13.048999999999999</v>
      </c>
      <c r="P6336">
        <v>-7.873258163</v>
      </c>
      <c r="Q6336">
        <v>16.548999999999999</v>
      </c>
    </row>
    <row r="6337" spans="1:17" x14ac:dyDescent="0.2">
      <c r="A6337" s="30" t="str">
        <f>IF(C6337&amp;G6337&amp;D6337&lt;&gt;'Funnel setup'!$K$3&amp;'Funnel setup'!$K$4&amp;'Funnel setup'!$K$5,".",IF(A6336=".",1,A6336+1))</f>
        <v>.</v>
      </c>
      <c r="B6337" s="431" t="str">
        <f t="shared" si="98"/>
        <v>Varicose VeinCCG of GP PracticeNHS ENFIELD CCG (07X)Aberdeen Varicose Vein Questionnaire</v>
      </c>
      <c r="C6337" t="s">
        <v>17</v>
      </c>
      <c r="D6337" t="s">
        <v>87</v>
      </c>
      <c r="E6337" t="s">
        <v>890</v>
      </c>
      <c r="F6337" t="s">
        <v>891</v>
      </c>
      <c r="G6337" t="s">
        <v>0</v>
      </c>
      <c r="H6337">
        <v>13</v>
      </c>
      <c r="I6337">
        <v>21.937000000000001</v>
      </c>
      <c r="J6337">
        <v>14.071</v>
      </c>
      <c r="K6337">
        <v>-7.8659999999999997</v>
      </c>
      <c r="L6337">
        <v>9</v>
      </c>
      <c r="M6337">
        <v>0</v>
      </c>
      <c r="N6337">
        <v>4</v>
      </c>
      <c r="O6337" t="s">
        <v>53</v>
      </c>
      <c r="P6337" t="s">
        <v>53</v>
      </c>
      <c r="Q6337" t="s">
        <v>53</v>
      </c>
    </row>
    <row r="6338" spans="1:17" x14ac:dyDescent="0.2">
      <c r="A6338" s="30" t="str">
        <f>IF(C6338&amp;G6338&amp;D6338&lt;&gt;'Funnel setup'!$K$3&amp;'Funnel setup'!$K$4&amp;'Funnel setup'!$K$5,".",IF(A6337=".",1,A6337+1))</f>
        <v>.</v>
      </c>
      <c r="B6338" s="431" t="str">
        <f t="shared" si="98"/>
        <v>Varicose VeinCCG of GP PracticeNHS EREWASH CCG (03X)Aberdeen Varicose Vein Questionnaire</v>
      </c>
      <c r="C6338" t="s">
        <v>17</v>
      </c>
      <c r="D6338" t="s">
        <v>87</v>
      </c>
      <c r="E6338" t="s">
        <v>893</v>
      </c>
      <c r="F6338" t="s">
        <v>894</v>
      </c>
      <c r="G6338" t="s">
        <v>0</v>
      </c>
      <c r="H6338">
        <v>13</v>
      </c>
      <c r="I6338">
        <v>29.483000000000001</v>
      </c>
      <c r="J6338">
        <v>23.631</v>
      </c>
      <c r="K6338">
        <v>-5.8520000000000003</v>
      </c>
      <c r="L6338">
        <v>9</v>
      </c>
      <c r="M6338">
        <v>0</v>
      </c>
      <c r="N6338">
        <v>4</v>
      </c>
      <c r="O6338" t="s">
        <v>53</v>
      </c>
      <c r="P6338" t="s">
        <v>53</v>
      </c>
      <c r="Q6338" t="s">
        <v>53</v>
      </c>
    </row>
    <row r="6339" spans="1:17" x14ac:dyDescent="0.2">
      <c r="A6339" s="30" t="str">
        <f>IF(C6339&amp;G6339&amp;D6339&lt;&gt;'Funnel setup'!$K$3&amp;'Funnel setup'!$K$4&amp;'Funnel setup'!$K$5,".",IF(A6338=".",1,A6338+1))</f>
        <v>.</v>
      </c>
      <c r="B6339" s="431" t="str">
        <f t="shared" ref="B6339:B6402" si="99">C6339&amp;D6339&amp;F6339&amp;G6339</f>
        <v>Varicose VeinCCG of GP PracticeNHS FAREHAM AND GOSPORT CCG (10K)Aberdeen Varicose Vein Questionnaire</v>
      </c>
      <c r="C6339" t="s">
        <v>17</v>
      </c>
      <c r="D6339" t="s">
        <v>87</v>
      </c>
      <c r="E6339" t="s">
        <v>896</v>
      </c>
      <c r="F6339" t="s">
        <v>897</v>
      </c>
      <c r="G6339" t="s">
        <v>0</v>
      </c>
      <c r="H6339" t="s">
        <v>53</v>
      </c>
      <c r="I6339" t="s">
        <v>53</v>
      </c>
      <c r="J6339" t="s">
        <v>53</v>
      </c>
      <c r="K6339" t="s">
        <v>53</v>
      </c>
      <c r="L6339" t="s">
        <v>53</v>
      </c>
      <c r="M6339" t="s">
        <v>53</v>
      </c>
      <c r="N6339" t="s">
        <v>53</v>
      </c>
      <c r="O6339" t="s">
        <v>53</v>
      </c>
      <c r="P6339" t="s">
        <v>53</v>
      </c>
      <c r="Q6339" t="s">
        <v>53</v>
      </c>
    </row>
    <row r="6340" spans="1:17" x14ac:dyDescent="0.2">
      <c r="A6340" s="30" t="str">
        <f>IF(C6340&amp;G6340&amp;D6340&lt;&gt;'Funnel setup'!$K$3&amp;'Funnel setup'!$K$4&amp;'Funnel setup'!$K$5,".",IF(A6339=".",1,A6339+1))</f>
        <v>.</v>
      </c>
      <c r="B6340" s="431" t="str">
        <f t="shared" si="99"/>
        <v>Varicose VeinCCG of GP PracticeNHS FYLDE &amp; WYRE CCG (02M)Aberdeen Varicose Vein Questionnaire</v>
      </c>
      <c r="C6340" t="s">
        <v>17</v>
      </c>
      <c r="D6340" t="s">
        <v>87</v>
      </c>
      <c r="E6340" t="s">
        <v>899</v>
      </c>
      <c r="F6340" t="s">
        <v>900</v>
      </c>
      <c r="G6340" t="s">
        <v>0</v>
      </c>
      <c r="H6340">
        <v>10</v>
      </c>
      <c r="I6340">
        <v>16.850000000000001</v>
      </c>
      <c r="J6340">
        <v>8.35</v>
      </c>
      <c r="K6340">
        <v>-8.5</v>
      </c>
      <c r="L6340">
        <v>10</v>
      </c>
      <c r="M6340">
        <v>0</v>
      </c>
      <c r="N6340">
        <v>0</v>
      </c>
      <c r="O6340" t="s">
        <v>53</v>
      </c>
      <c r="P6340" t="s">
        <v>53</v>
      </c>
      <c r="Q6340" t="s">
        <v>53</v>
      </c>
    </row>
    <row r="6341" spans="1:17" x14ac:dyDescent="0.2">
      <c r="A6341" s="30" t="str">
        <f>IF(C6341&amp;G6341&amp;D6341&lt;&gt;'Funnel setup'!$K$3&amp;'Funnel setup'!$K$4&amp;'Funnel setup'!$K$5,".",IF(A6340=".",1,A6340+1))</f>
        <v>.</v>
      </c>
      <c r="B6341" s="431" t="str">
        <f t="shared" si="99"/>
        <v>Varicose VeinCCG of GP PracticeNHS GLOUCESTERSHIRE CCG (11M)Aberdeen Varicose Vein Questionnaire</v>
      </c>
      <c r="C6341" t="s">
        <v>17</v>
      </c>
      <c r="D6341" t="s">
        <v>87</v>
      </c>
      <c r="E6341" t="s">
        <v>902</v>
      </c>
      <c r="F6341" t="s">
        <v>903</v>
      </c>
      <c r="G6341" t="s">
        <v>0</v>
      </c>
      <c r="H6341">
        <v>81</v>
      </c>
      <c r="I6341">
        <v>17.978999999999999</v>
      </c>
      <c r="J6341">
        <v>8.7710000000000008</v>
      </c>
      <c r="K6341">
        <v>-9.2080000000000002</v>
      </c>
      <c r="L6341">
        <v>70</v>
      </c>
      <c r="M6341">
        <v>0</v>
      </c>
      <c r="N6341">
        <v>11</v>
      </c>
      <c r="O6341">
        <v>6.5119999999999996</v>
      </c>
      <c r="P6341">
        <v>-14.41079012</v>
      </c>
      <c r="Q6341">
        <v>12.111000000000001</v>
      </c>
    </row>
    <row r="6342" spans="1:17" x14ac:dyDescent="0.2">
      <c r="A6342" s="30" t="str">
        <f>IF(C6342&amp;G6342&amp;D6342&lt;&gt;'Funnel setup'!$K$3&amp;'Funnel setup'!$K$4&amp;'Funnel setup'!$K$5,".",IF(A6341=".",1,A6341+1))</f>
        <v>.</v>
      </c>
      <c r="B6342" s="431" t="str">
        <f t="shared" si="99"/>
        <v>Varicose VeinCCG of GP PracticeNHS GREAT YARMOUTH AND WAVENEY CCG (06M)Aberdeen Varicose Vein Questionnaire</v>
      </c>
      <c r="C6342" t="s">
        <v>17</v>
      </c>
      <c r="D6342" t="s">
        <v>87</v>
      </c>
      <c r="E6342" t="s">
        <v>905</v>
      </c>
      <c r="F6342" t="s">
        <v>906</v>
      </c>
      <c r="G6342" t="s">
        <v>0</v>
      </c>
      <c r="H6342">
        <v>45</v>
      </c>
      <c r="I6342">
        <v>17.373999999999999</v>
      </c>
      <c r="J6342">
        <v>6.4550000000000001</v>
      </c>
      <c r="K6342">
        <v>-10.919</v>
      </c>
      <c r="L6342">
        <v>40</v>
      </c>
      <c r="M6342">
        <v>0</v>
      </c>
      <c r="N6342">
        <v>5</v>
      </c>
      <c r="O6342">
        <v>4.3840000000000003</v>
      </c>
      <c r="P6342">
        <v>-16.538062669999999</v>
      </c>
      <c r="Q6342">
        <v>12.169</v>
      </c>
    </row>
    <row r="6343" spans="1:17" x14ac:dyDescent="0.2">
      <c r="A6343" s="30" t="str">
        <f>IF(C6343&amp;G6343&amp;D6343&lt;&gt;'Funnel setup'!$K$3&amp;'Funnel setup'!$K$4&amp;'Funnel setup'!$K$5,".",IF(A6342=".",1,A6342+1))</f>
        <v>.</v>
      </c>
      <c r="B6343" s="431" t="str">
        <f t="shared" si="99"/>
        <v>Varicose VeinCCG of GP PracticeNHS GREATER HUDDERSFIELD CCG (03A)Aberdeen Varicose Vein Questionnaire</v>
      </c>
      <c r="C6343" t="s">
        <v>17</v>
      </c>
      <c r="D6343" t="s">
        <v>87</v>
      </c>
      <c r="E6343" t="s">
        <v>908</v>
      </c>
      <c r="F6343" t="s">
        <v>909</v>
      </c>
      <c r="G6343" t="s">
        <v>0</v>
      </c>
      <c r="H6343">
        <v>72</v>
      </c>
      <c r="I6343">
        <v>19.399000000000001</v>
      </c>
      <c r="J6343">
        <v>9.5190000000000001</v>
      </c>
      <c r="K6343">
        <v>-9.8800000000000008</v>
      </c>
      <c r="L6343">
        <v>66</v>
      </c>
      <c r="M6343">
        <v>0</v>
      </c>
      <c r="N6343">
        <v>6</v>
      </c>
      <c r="O6343">
        <v>8.8320000000000007</v>
      </c>
      <c r="P6343">
        <v>-12.090931149999999</v>
      </c>
      <c r="Q6343">
        <v>13.308999999999999</v>
      </c>
    </row>
    <row r="6344" spans="1:17" x14ac:dyDescent="0.2">
      <c r="A6344" s="30" t="str">
        <f>IF(C6344&amp;G6344&amp;D6344&lt;&gt;'Funnel setup'!$K$3&amp;'Funnel setup'!$K$4&amp;'Funnel setup'!$K$5,".",IF(A6343=".",1,A6343+1))</f>
        <v>.</v>
      </c>
      <c r="B6344" s="431" t="str">
        <f t="shared" si="99"/>
        <v>Varicose VeinCCG of GP PracticeNHS GREATER PRESTON CCG (01E)Aberdeen Varicose Vein Questionnaire</v>
      </c>
      <c r="C6344" t="s">
        <v>17</v>
      </c>
      <c r="D6344" t="s">
        <v>87</v>
      </c>
      <c r="E6344" t="s">
        <v>486</v>
      </c>
      <c r="F6344" t="s">
        <v>487</v>
      </c>
      <c r="G6344" t="s">
        <v>0</v>
      </c>
      <c r="H6344">
        <v>40</v>
      </c>
      <c r="I6344">
        <v>16.814</v>
      </c>
      <c r="J6344">
        <v>10.586</v>
      </c>
      <c r="K6344">
        <v>-6.2279999999999998</v>
      </c>
      <c r="L6344">
        <v>32</v>
      </c>
      <c r="M6344">
        <v>0</v>
      </c>
      <c r="N6344">
        <v>8</v>
      </c>
      <c r="O6344">
        <v>8.5549999999999997</v>
      </c>
      <c r="P6344">
        <v>-12.36764822</v>
      </c>
      <c r="Q6344">
        <v>10.724</v>
      </c>
    </row>
    <row r="6345" spans="1:17" x14ac:dyDescent="0.2">
      <c r="A6345" s="30" t="str">
        <f>IF(C6345&amp;G6345&amp;D6345&lt;&gt;'Funnel setup'!$K$3&amp;'Funnel setup'!$K$4&amp;'Funnel setup'!$K$5,".",IF(A6344=".",1,A6344+1))</f>
        <v>.</v>
      </c>
      <c r="B6345" s="431" t="str">
        <f t="shared" si="99"/>
        <v>Varicose VeinCCG of GP PracticeNHS GREENWICH CCG (08A)Aberdeen Varicose Vein Questionnaire</v>
      </c>
      <c r="C6345" t="s">
        <v>17</v>
      </c>
      <c r="D6345" t="s">
        <v>87</v>
      </c>
      <c r="E6345" t="s">
        <v>489</v>
      </c>
      <c r="F6345" t="s">
        <v>490</v>
      </c>
      <c r="G6345" t="s">
        <v>0</v>
      </c>
      <c r="H6345">
        <v>31</v>
      </c>
      <c r="I6345">
        <v>23.771000000000001</v>
      </c>
      <c r="J6345">
        <v>18.286000000000001</v>
      </c>
      <c r="K6345">
        <v>-5.4850000000000003</v>
      </c>
      <c r="L6345">
        <v>23</v>
      </c>
      <c r="M6345">
        <v>0</v>
      </c>
      <c r="N6345">
        <v>8</v>
      </c>
      <c r="O6345">
        <v>20.274000000000001</v>
      </c>
      <c r="P6345">
        <v>-0.64892421199999994</v>
      </c>
      <c r="Q6345">
        <v>17.225999999999999</v>
      </c>
    </row>
    <row r="6346" spans="1:17" x14ac:dyDescent="0.2">
      <c r="A6346" s="30" t="str">
        <f>IF(C6346&amp;G6346&amp;D6346&lt;&gt;'Funnel setup'!$K$3&amp;'Funnel setup'!$K$4&amp;'Funnel setup'!$K$5,".",IF(A6345=".",1,A6345+1))</f>
        <v>.</v>
      </c>
      <c r="B6346" s="431" t="str">
        <f t="shared" si="99"/>
        <v>Varicose VeinCCG of GP PracticeNHS GUILDFORD AND WAVERLEY CCG (09N)Aberdeen Varicose Vein Questionnaire</v>
      </c>
      <c r="C6346" t="s">
        <v>17</v>
      </c>
      <c r="D6346" t="s">
        <v>87</v>
      </c>
      <c r="E6346" t="s">
        <v>911</v>
      </c>
      <c r="F6346" t="s">
        <v>912</v>
      </c>
      <c r="G6346" t="s">
        <v>0</v>
      </c>
      <c r="H6346">
        <v>11</v>
      </c>
      <c r="I6346">
        <v>17.465</v>
      </c>
      <c r="J6346">
        <v>7.2910000000000004</v>
      </c>
      <c r="K6346">
        <v>-10.173999999999999</v>
      </c>
      <c r="L6346">
        <v>11</v>
      </c>
      <c r="M6346">
        <v>0</v>
      </c>
      <c r="N6346">
        <v>0</v>
      </c>
      <c r="O6346" t="s">
        <v>53</v>
      </c>
      <c r="P6346" t="s">
        <v>53</v>
      </c>
      <c r="Q6346" t="s">
        <v>53</v>
      </c>
    </row>
    <row r="6347" spans="1:17" x14ac:dyDescent="0.2">
      <c r="A6347" s="30" t="str">
        <f>IF(C6347&amp;G6347&amp;D6347&lt;&gt;'Funnel setup'!$K$3&amp;'Funnel setup'!$K$4&amp;'Funnel setup'!$K$5,".",IF(A6346=".",1,A6346+1))</f>
        <v>.</v>
      </c>
      <c r="B6347" s="431" t="str">
        <f t="shared" si="99"/>
        <v>Varicose VeinCCG of GP PracticeNHS HALTON CCG (01F)Aberdeen Varicose Vein Questionnaire</v>
      </c>
      <c r="C6347" t="s">
        <v>17</v>
      </c>
      <c r="D6347" t="s">
        <v>87</v>
      </c>
      <c r="E6347" t="s">
        <v>914</v>
      </c>
      <c r="F6347" t="s">
        <v>915</v>
      </c>
      <c r="G6347" t="s">
        <v>0</v>
      </c>
      <c r="H6347">
        <v>12</v>
      </c>
      <c r="I6347">
        <v>16.75</v>
      </c>
      <c r="J6347">
        <v>12.199</v>
      </c>
      <c r="K6347">
        <v>-4.5519999999999996</v>
      </c>
      <c r="L6347">
        <v>9</v>
      </c>
      <c r="M6347">
        <v>0</v>
      </c>
      <c r="N6347">
        <v>3</v>
      </c>
      <c r="O6347" t="s">
        <v>53</v>
      </c>
      <c r="P6347" t="s">
        <v>53</v>
      </c>
      <c r="Q6347" t="s">
        <v>53</v>
      </c>
    </row>
    <row r="6348" spans="1:17" x14ac:dyDescent="0.2">
      <c r="A6348" s="30" t="str">
        <f>IF(C6348&amp;G6348&amp;D6348&lt;&gt;'Funnel setup'!$K$3&amp;'Funnel setup'!$K$4&amp;'Funnel setup'!$K$5,".",IF(A6347=".",1,A6347+1))</f>
        <v>.</v>
      </c>
      <c r="B6348" s="431" t="str">
        <f t="shared" si="99"/>
        <v>Varicose VeinCCG of GP PracticeNHS HAMBLETON, RICHMONDSHIRE AND WHITBY CCG (03D)Aberdeen Varicose Vein Questionnaire</v>
      </c>
      <c r="C6348" t="s">
        <v>17</v>
      </c>
      <c r="D6348" t="s">
        <v>87</v>
      </c>
      <c r="E6348" t="s">
        <v>917</v>
      </c>
      <c r="F6348" t="s">
        <v>918</v>
      </c>
      <c r="G6348" t="s">
        <v>0</v>
      </c>
      <c r="H6348">
        <v>17</v>
      </c>
      <c r="I6348">
        <v>21.68</v>
      </c>
      <c r="J6348">
        <v>11.125</v>
      </c>
      <c r="K6348">
        <v>-10.555999999999999</v>
      </c>
      <c r="L6348">
        <v>16</v>
      </c>
      <c r="M6348">
        <v>0</v>
      </c>
      <c r="N6348">
        <v>1</v>
      </c>
      <c r="O6348" t="s">
        <v>53</v>
      </c>
      <c r="P6348" t="s">
        <v>53</v>
      </c>
      <c r="Q6348" t="s">
        <v>53</v>
      </c>
    </row>
    <row r="6349" spans="1:17" x14ac:dyDescent="0.2">
      <c r="A6349" s="30" t="str">
        <f>IF(C6349&amp;G6349&amp;D6349&lt;&gt;'Funnel setup'!$K$3&amp;'Funnel setup'!$K$4&amp;'Funnel setup'!$K$5,".",IF(A6348=".",1,A6348+1))</f>
        <v>.</v>
      </c>
      <c r="B6349" s="431" t="str">
        <f t="shared" si="99"/>
        <v>Varicose VeinCCG of GP PracticeNHS HAMMERSMITH AND FULHAM CCG (08C)Aberdeen Varicose Vein Questionnaire</v>
      </c>
      <c r="C6349" t="s">
        <v>17</v>
      </c>
      <c r="D6349" t="s">
        <v>87</v>
      </c>
      <c r="E6349" t="s">
        <v>920</v>
      </c>
      <c r="F6349" t="s">
        <v>921</v>
      </c>
      <c r="G6349" t="s">
        <v>0</v>
      </c>
      <c r="H6349">
        <v>32</v>
      </c>
      <c r="I6349">
        <v>22.937999999999999</v>
      </c>
      <c r="J6349">
        <v>16.344999999999999</v>
      </c>
      <c r="K6349">
        <v>-6.593</v>
      </c>
      <c r="L6349">
        <v>21</v>
      </c>
      <c r="M6349">
        <v>0</v>
      </c>
      <c r="N6349">
        <v>11</v>
      </c>
      <c r="O6349">
        <v>18.745999999999999</v>
      </c>
      <c r="P6349">
        <v>-2.1768386369999999</v>
      </c>
      <c r="Q6349">
        <v>16.600000000000001</v>
      </c>
    </row>
    <row r="6350" spans="1:17" x14ac:dyDescent="0.2">
      <c r="A6350" s="30" t="str">
        <f>IF(C6350&amp;G6350&amp;D6350&lt;&gt;'Funnel setup'!$K$3&amp;'Funnel setup'!$K$4&amp;'Funnel setup'!$K$5,".",IF(A6349=".",1,A6349+1))</f>
        <v>.</v>
      </c>
      <c r="B6350" s="431" t="str">
        <f t="shared" si="99"/>
        <v>Varicose VeinCCG of GP PracticeNHS HARDWICK CCG (03Y)Aberdeen Varicose Vein Questionnaire</v>
      </c>
      <c r="C6350" t="s">
        <v>17</v>
      </c>
      <c r="D6350" t="s">
        <v>87</v>
      </c>
      <c r="E6350" t="s">
        <v>923</v>
      </c>
      <c r="F6350" t="s">
        <v>924</v>
      </c>
      <c r="G6350" t="s">
        <v>0</v>
      </c>
      <c r="H6350">
        <v>15</v>
      </c>
      <c r="I6350">
        <v>23.535</v>
      </c>
      <c r="J6350">
        <v>13.656000000000001</v>
      </c>
      <c r="K6350">
        <v>-9.8789999999999996</v>
      </c>
      <c r="L6350">
        <v>13</v>
      </c>
      <c r="M6350">
        <v>0</v>
      </c>
      <c r="N6350">
        <v>2</v>
      </c>
      <c r="O6350" t="s">
        <v>53</v>
      </c>
      <c r="P6350" t="s">
        <v>53</v>
      </c>
      <c r="Q6350" t="s">
        <v>53</v>
      </c>
    </row>
    <row r="6351" spans="1:17" x14ac:dyDescent="0.2">
      <c r="A6351" s="30" t="str">
        <f>IF(C6351&amp;G6351&amp;D6351&lt;&gt;'Funnel setup'!$K$3&amp;'Funnel setup'!$K$4&amp;'Funnel setup'!$K$5,".",IF(A6350=".",1,A6350+1))</f>
        <v>.</v>
      </c>
      <c r="B6351" s="431" t="str">
        <f t="shared" si="99"/>
        <v>Varicose VeinCCG of GP PracticeNHS HARINGEY CCG (08D)Aberdeen Varicose Vein Questionnaire</v>
      </c>
      <c r="C6351" t="s">
        <v>17</v>
      </c>
      <c r="D6351" t="s">
        <v>87</v>
      </c>
      <c r="E6351" t="s">
        <v>926</v>
      </c>
      <c r="F6351" t="s">
        <v>927</v>
      </c>
      <c r="G6351" t="s">
        <v>0</v>
      </c>
      <c r="H6351">
        <v>6</v>
      </c>
      <c r="I6351">
        <v>26.658999999999999</v>
      </c>
      <c r="J6351">
        <v>17.937000000000001</v>
      </c>
      <c r="K6351">
        <v>-8.7219999999999995</v>
      </c>
      <c r="L6351">
        <v>5</v>
      </c>
      <c r="M6351">
        <v>0</v>
      </c>
      <c r="N6351">
        <v>1</v>
      </c>
      <c r="O6351" t="s">
        <v>53</v>
      </c>
      <c r="P6351" t="s">
        <v>53</v>
      </c>
      <c r="Q6351" t="s">
        <v>53</v>
      </c>
    </row>
    <row r="6352" spans="1:17" x14ac:dyDescent="0.2">
      <c r="A6352" s="30" t="str">
        <f>IF(C6352&amp;G6352&amp;D6352&lt;&gt;'Funnel setup'!$K$3&amp;'Funnel setup'!$K$4&amp;'Funnel setup'!$K$5,".",IF(A6351=".",1,A6351+1))</f>
        <v>.</v>
      </c>
      <c r="B6352" s="431" t="str">
        <f t="shared" si="99"/>
        <v>Varicose VeinCCG of GP PracticeNHS HARROGATE AND RURAL DISTRICT CCG (03E)Aberdeen Varicose Vein Questionnaire</v>
      </c>
      <c r="C6352" t="s">
        <v>17</v>
      </c>
      <c r="D6352" t="s">
        <v>87</v>
      </c>
      <c r="E6352" t="s">
        <v>929</v>
      </c>
      <c r="F6352" t="s">
        <v>930</v>
      </c>
      <c r="G6352" t="s">
        <v>0</v>
      </c>
      <c r="H6352">
        <v>19</v>
      </c>
      <c r="I6352">
        <v>22.195</v>
      </c>
      <c r="J6352">
        <v>13.031000000000001</v>
      </c>
      <c r="K6352">
        <v>-9.1630000000000003</v>
      </c>
      <c r="L6352">
        <v>16</v>
      </c>
      <c r="M6352">
        <v>0</v>
      </c>
      <c r="N6352">
        <v>3</v>
      </c>
      <c r="O6352" t="s">
        <v>53</v>
      </c>
      <c r="P6352" t="s">
        <v>53</v>
      </c>
      <c r="Q6352" t="s">
        <v>53</v>
      </c>
    </row>
    <row r="6353" spans="1:17" x14ac:dyDescent="0.2">
      <c r="A6353" s="30" t="str">
        <f>IF(C6353&amp;G6353&amp;D6353&lt;&gt;'Funnel setup'!$K$3&amp;'Funnel setup'!$K$4&amp;'Funnel setup'!$K$5,".",IF(A6352=".",1,A6352+1))</f>
        <v>.</v>
      </c>
      <c r="B6353" s="431" t="str">
        <f t="shared" si="99"/>
        <v>Varicose VeinCCG of GP PracticeNHS HARROW CCG (08E)Aberdeen Varicose Vein Questionnaire</v>
      </c>
      <c r="C6353" t="s">
        <v>17</v>
      </c>
      <c r="D6353" t="s">
        <v>87</v>
      </c>
      <c r="E6353" t="s">
        <v>492</v>
      </c>
      <c r="F6353" t="s">
        <v>493</v>
      </c>
      <c r="G6353" t="s">
        <v>0</v>
      </c>
      <c r="H6353">
        <v>19</v>
      </c>
      <c r="I6353">
        <v>25.997</v>
      </c>
      <c r="J6353">
        <v>20.782</v>
      </c>
      <c r="K6353">
        <v>-5.2160000000000002</v>
      </c>
      <c r="L6353">
        <v>13</v>
      </c>
      <c r="M6353">
        <v>0</v>
      </c>
      <c r="N6353">
        <v>6</v>
      </c>
      <c r="O6353" t="s">
        <v>53</v>
      </c>
      <c r="P6353" t="s">
        <v>53</v>
      </c>
      <c r="Q6353" t="s">
        <v>53</v>
      </c>
    </row>
    <row r="6354" spans="1:17" x14ac:dyDescent="0.2">
      <c r="A6354" s="30" t="str">
        <f>IF(C6354&amp;G6354&amp;D6354&lt;&gt;'Funnel setup'!$K$3&amp;'Funnel setup'!$K$4&amp;'Funnel setup'!$K$5,".",IF(A6353=".",1,A6353+1))</f>
        <v>.</v>
      </c>
      <c r="B6354" s="431" t="str">
        <f t="shared" si="99"/>
        <v>Varicose VeinCCG of GP PracticeNHS HARTLEPOOL AND STOCKTON-ON-TEES CCG (00K)Aberdeen Varicose Vein Questionnaire</v>
      </c>
      <c r="C6354" t="s">
        <v>17</v>
      </c>
      <c r="D6354" t="s">
        <v>87</v>
      </c>
      <c r="E6354" t="s">
        <v>495</v>
      </c>
      <c r="F6354" t="s">
        <v>496</v>
      </c>
      <c r="G6354" t="s">
        <v>0</v>
      </c>
      <c r="H6354">
        <v>45</v>
      </c>
      <c r="I6354">
        <v>23.434000000000001</v>
      </c>
      <c r="J6354">
        <v>13.224</v>
      </c>
      <c r="K6354">
        <v>-10.210000000000001</v>
      </c>
      <c r="L6354">
        <v>35</v>
      </c>
      <c r="M6354">
        <v>0</v>
      </c>
      <c r="N6354">
        <v>10</v>
      </c>
      <c r="O6354">
        <v>14.409000000000001</v>
      </c>
      <c r="P6354">
        <v>-6.5130261379999999</v>
      </c>
      <c r="Q6354">
        <v>15.93</v>
      </c>
    </row>
    <row r="6355" spans="1:17" x14ac:dyDescent="0.2">
      <c r="A6355" s="30" t="str">
        <f>IF(C6355&amp;G6355&amp;D6355&lt;&gt;'Funnel setup'!$K$3&amp;'Funnel setup'!$K$4&amp;'Funnel setup'!$K$5,".",IF(A6354=".",1,A6354+1))</f>
        <v>.</v>
      </c>
      <c r="B6355" s="431" t="str">
        <f t="shared" si="99"/>
        <v>Varicose VeinCCG of GP PracticeNHS HASTINGS AND ROTHER CCG (09P)Aberdeen Varicose Vein Questionnaire</v>
      </c>
      <c r="C6355" t="s">
        <v>17</v>
      </c>
      <c r="D6355" t="s">
        <v>87</v>
      </c>
      <c r="E6355" t="s">
        <v>498</v>
      </c>
      <c r="F6355" t="s">
        <v>499</v>
      </c>
      <c r="G6355" t="s">
        <v>0</v>
      </c>
      <c r="H6355" t="s">
        <v>53</v>
      </c>
      <c r="I6355" t="s">
        <v>53</v>
      </c>
      <c r="J6355" t="s">
        <v>53</v>
      </c>
      <c r="K6355" t="s">
        <v>53</v>
      </c>
      <c r="L6355" t="s">
        <v>53</v>
      </c>
      <c r="M6355" t="s">
        <v>53</v>
      </c>
      <c r="N6355" t="s">
        <v>53</v>
      </c>
      <c r="O6355" t="s">
        <v>53</v>
      </c>
      <c r="P6355" t="s">
        <v>53</v>
      </c>
      <c r="Q6355" t="s">
        <v>53</v>
      </c>
    </row>
    <row r="6356" spans="1:17" x14ac:dyDescent="0.2">
      <c r="A6356" s="30" t="str">
        <f>IF(C6356&amp;G6356&amp;D6356&lt;&gt;'Funnel setup'!$K$3&amp;'Funnel setup'!$K$4&amp;'Funnel setup'!$K$5,".",IF(A6355=".",1,A6355+1))</f>
        <v>.</v>
      </c>
      <c r="B6356" s="431" t="str">
        <f t="shared" si="99"/>
        <v>Varicose VeinCCG of GP PracticeNHS HAVERING CCG (08F)Aberdeen Varicose Vein Questionnaire</v>
      </c>
      <c r="C6356" t="s">
        <v>17</v>
      </c>
      <c r="D6356" t="s">
        <v>87</v>
      </c>
      <c r="E6356" t="s">
        <v>501</v>
      </c>
      <c r="F6356" t="s">
        <v>502</v>
      </c>
      <c r="G6356" t="s">
        <v>0</v>
      </c>
      <c r="H6356">
        <v>25</v>
      </c>
      <c r="I6356">
        <v>21.617999999999999</v>
      </c>
      <c r="J6356">
        <v>13.638</v>
      </c>
      <c r="K6356">
        <v>-7.98</v>
      </c>
      <c r="L6356">
        <v>19</v>
      </c>
      <c r="M6356">
        <v>0</v>
      </c>
      <c r="N6356">
        <v>6</v>
      </c>
      <c r="O6356" t="s">
        <v>53</v>
      </c>
      <c r="P6356" t="s">
        <v>53</v>
      </c>
      <c r="Q6356" t="s">
        <v>53</v>
      </c>
    </row>
    <row r="6357" spans="1:17" x14ac:dyDescent="0.2">
      <c r="A6357" s="30" t="str">
        <f>IF(C6357&amp;G6357&amp;D6357&lt;&gt;'Funnel setup'!$K$3&amp;'Funnel setup'!$K$4&amp;'Funnel setup'!$K$5,".",IF(A6356=".",1,A6356+1))</f>
        <v>.</v>
      </c>
      <c r="B6357" s="431" t="str">
        <f t="shared" si="99"/>
        <v>Varicose VeinCCG of GP PracticeNHS HEREFORDSHIRE CCG (05F)Aberdeen Varicose Vein Questionnaire</v>
      </c>
      <c r="C6357" t="s">
        <v>17</v>
      </c>
      <c r="D6357" t="s">
        <v>87</v>
      </c>
      <c r="E6357" t="s">
        <v>504</v>
      </c>
      <c r="F6357" t="s">
        <v>505</v>
      </c>
      <c r="G6357" t="s">
        <v>0</v>
      </c>
      <c r="H6357">
        <v>41</v>
      </c>
      <c r="I6357">
        <v>19.606000000000002</v>
      </c>
      <c r="J6357">
        <v>9.125</v>
      </c>
      <c r="K6357">
        <v>-10.481</v>
      </c>
      <c r="L6357">
        <v>37</v>
      </c>
      <c r="M6357">
        <v>0</v>
      </c>
      <c r="N6357">
        <v>4</v>
      </c>
      <c r="O6357">
        <v>7.8849999999999998</v>
      </c>
      <c r="P6357">
        <v>-13.03741501</v>
      </c>
      <c r="Q6357">
        <v>14.996</v>
      </c>
    </row>
    <row r="6358" spans="1:17" x14ac:dyDescent="0.2">
      <c r="A6358" s="30" t="str">
        <f>IF(C6358&amp;G6358&amp;D6358&lt;&gt;'Funnel setup'!$K$3&amp;'Funnel setup'!$K$4&amp;'Funnel setup'!$K$5,".",IF(A6357=".",1,A6357+1))</f>
        <v>.</v>
      </c>
      <c r="B6358" s="431" t="str">
        <f t="shared" si="99"/>
        <v>Varicose VeinCCG of GP PracticeNHS HERTS VALLEYS CCG (06N)Aberdeen Varicose Vein Questionnaire</v>
      </c>
      <c r="C6358" t="s">
        <v>17</v>
      </c>
      <c r="D6358" t="s">
        <v>87</v>
      </c>
      <c r="E6358" t="s">
        <v>507</v>
      </c>
      <c r="F6358" t="s">
        <v>508</v>
      </c>
      <c r="G6358" t="s">
        <v>0</v>
      </c>
      <c r="H6358">
        <v>97</v>
      </c>
      <c r="I6358">
        <v>20.533999999999999</v>
      </c>
      <c r="J6358">
        <v>10.925000000000001</v>
      </c>
      <c r="K6358">
        <v>-9.61</v>
      </c>
      <c r="L6358">
        <v>81</v>
      </c>
      <c r="M6358">
        <v>0</v>
      </c>
      <c r="N6358">
        <v>16</v>
      </c>
      <c r="O6358">
        <v>10.271000000000001</v>
      </c>
      <c r="P6358">
        <v>-10.65184732</v>
      </c>
      <c r="Q6358">
        <v>14.734</v>
      </c>
    </row>
    <row r="6359" spans="1:17" x14ac:dyDescent="0.2">
      <c r="A6359" s="30" t="str">
        <f>IF(C6359&amp;G6359&amp;D6359&lt;&gt;'Funnel setup'!$K$3&amp;'Funnel setup'!$K$4&amp;'Funnel setup'!$K$5,".",IF(A6358=".",1,A6358+1))</f>
        <v>.</v>
      </c>
      <c r="B6359" s="431" t="str">
        <f t="shared" si="99"/>
        <v>Varicose VeinCCG of GP PracticeNHS HEYWOOD, MIDDLETON AND ROCHDALE CCG (01D)Aberdeen Varicose Vein Questionnaire</v>
      </c>
      <c r="C6359" t="s">
        <v>17</v>
      </c>
      <c r="D6359" t="s">
        <v>87</v>
      </c>
      <c r="E6359" t="s">
        <v>510</v>
      </c>
      <c r="F6359" t="s">
        <v>511</v>
      </c>
      <c r="G6359" t="s">
        <v>0</v>
      </c>
      <c r="H6359" t="s">
        <v>53</v>
      </c>
      <c r="I6359" t="s">
        <v>53</v>
      </c>
      <c r="J6359" t="s">
        <v>53</v>
      </c>
      <c r="K6359" t="s">
        <v>53</v>
      </c>
      <c r="L6359" t="s">
        <v>53</v>
      </c>
      <c r="M6359" t="s">
        <v>53</v>
      </c>
      <c r="N6359" t="s">
        <v>53</v>
      </c>
      <c r="O6359" t="s">
        <v>53</v>
      </c>
      <c r="P6359" t="s">
        <v>53</v>
      </c>
      <c r="Q6359" t="s">
        <v>53</v>
      </c>
    </row>
    <row r="6360" spans="1:17" x14ac:dyDescent="0.2">
      <c r="A6360" s="30" t="str">
        <f>IF(C6360&amp;G6360&amp;D6360&lt;&gt;'Funnel setup'!$K$3&amp;'Funnel setup'!$K$4&amp;'Funnel setup'!$K$5,".",IF(A6359=".",1,A6359+1))</f>
        <v>.</v>
      </c>
      <c r="B6360" s="431" t="str">
        <f t="shared" si="99"/>
        <v>Varicose VeinCCG of GP PracticeNHS HIGH WEALD LEWES HAVENS CCG (99K)Aberdeen Varicose Vein Questionnaire</v>
      </c>
      <c r="C6360" t="s">
        <v>17</v>
      </c>
      <c r="D6360" t="s">
        <v>87</v>
      </c>
      <c r="E6360" t="s">
        <v>513</v>
      </c>
      <c r="F6360" t="s">
        <v>514</v>
      </c>
      <c r="G6360" t="s">
        <v>0</v>
      </c>
      <c r="H6360">
        <v>15</v>
      </c>
      <c r="I6360">
        <v>24.277999999999999</v>
      </c>
      <c r="J6360">
        <v>13.593999999999999</v>
      </c>
      <c r="K6360">
        <v>-10.683</v>
      </c>
      <c r="L6360">
        <v>12</v>
      </c>
      <c r="M6360">
        <v>0</v>
      </c>
      <c r="N6360">
        <v>3</v>
      </c>
      <c r="O6360" t="s">
        <v>53</v>
      </c>
      <c r="P6360" t="s">
        <v>53</v>
      </c>
      <c r="Q6360" t="s">
        <v>53</v>
      </c>
    </row>
    <row r="6361" spans="1:17" x14ac:dyDescent="0.2">
      <c r="A6361" s="30" t="str">
        <f>IF(C6361&amp;G6361&amp;D6361&lt;&gt;'Funnel setup'!$K$3&amp;'Funnel setup'!$K$4&amp;'Funnel setup'!$K$5,".",IF(A6360=".",1,A6360+1))</f>
        <v>.</v>
      </c>
      <c r="B6361" s="431" t="str">
        <f t="shared" si="99"/>
        <v>Varicose VeinCCG of GP PracticeNHS HILLINGDON CCG (08G)Aberdeen Varicose Vein Questionnaire</v>
      </c>
      <c r="C6361" t="s">
        <v>17</v>
      </c>
      <c r="D6361" t="s">
        <v>87</v>
      </c>
      <c r="E6361" t="s">
        <v>516</v>
      </c>
      <c r="F6361" t="s">
        <v>517</v>
      </c>
      <c r="G6361" t="s">
        <v>0</v>
      </c>
      <c r="H6361">
        <v>13</v>
      </c>
      <c r="I6361">
        <v>24.338000000000001</v>
      </c>
      <c r="J6361">
        <v>14.597</v>
      </c>
      <c r="K6361">
        <v>-9.7409999999999997</v>
      </c>
      <c r="L6361">
        <v>11</v>
      </c>
      <c r="M6361">
        <v>0</v>
      </c>
      <c r="N6361">
        <v>2</v>
      </c>
      <c r="O6361" t="s">
        <v>53</v>
      </c>
      <c r="P6361" t="s">
        <v>53</v>
      </c>
      <c r="Q6361" t="s">
        <v>53</v>
      </c>
    </row>
    <row r="6362" spans="1:17" x14ac:dyDescent="0.2">
      <c r="A6362" s="30" t="str">
        <f>IF(C6362&amp;G6362&amp;D6362&lt;&gt;'Funnel setup'!$K$3&amp;'Funnel setup'!$K$4&amp;'Funnel setup'!$K$5,".",IF(A6361=".",1,A6361+1))</f>
        <v>.</v>
      </c>
      <c r="B6362" s="431" t="str">
        <f t="shared" si="99"/>
        <v>Varicose VeinCCG of GP PracticeNHS HORSHAM AND MID SUSSEX CCG (09X)Aberdeen Varicose Vein Questionnaire</v>
      </c>
      <c r="C6362" t="s">
        <v>17</v>
      </c>
      <c r="D6362" t="s">
        <v>87</v>
      </c>
      <c r="E6362" t="s">
        <v>519</v>
      </c>
      <c r="F6362" t="s">
        <v>520</v>
      </c>
      <c r="G6362" t="s">
        <v>0</v>
      </c>
      <c r="H6362">
        <v>16</v>
      </c>
      <c r="I6362">
        <v>28.853000000000002</v>
      </c>
      <c r="J6362">
        <v>16.524000000000001</v>
      </c>
      <c r="K6362">
        <v>-12.329000000000001</v>
      </c>
      <c r="L6362">
        <v>15</v>
      </c>
      <c r="M6362">
        <v>0</v>
      </c>
      <c r="N6362">
        <v>1</v>
      </c>
      <c r="O6362" t="s">
        <v>53</v>
      </c>
      <c r="P6362" t="s">
        <v>53</v>
      </c>
      <c r="Q6362" t="s">
        <v>53</v>
      </c>
    </row>
    <row r="6363" spans="1:17" x14ac:dyDescent="0.2">
      <c r="A6363" s="30" t="str">
        <f>IF(C6363&amp;G6363&amp;D6363&lt;&gt;'Funnel setup'!$K$3&amp;'Funnel setup'!$K$4&amp;'Funnel setup'!$K$5,".",IF(A6362=".",1,A6362+1))</f>
        <v>.</v>
      </c>
      <c r="B6363" s="431" t="str">
        <f t="shared" si="99"/>
        <v>Varicose VeinCCG of GP PracticeNHS HOUNSLOW CCG (07Y)Aberdeen Varicose Vein Questionnaire</v>
      </c>
      <c r="C6363" t="s">
        <v>17</v>
      </c>
      <c r="D6363" t="s">
        <v>87</v>
      </c>
      <c r="E6363" t="s">
        <v>522</v>
      </c>
      <c r="F6363" t="s">
        <v>523</v>
      </c>
      <c r="G6363" t="s">
        <v>0</v>
      </c>
      <c r="H6363">
        <v>42</v>
      </c>
      <c r="I6363">
        <v>21.088999999999999</v>
      </c>
      <c r="J6363">
        <v>19.021999999999998</v>
      </c>
      <c r="K6363">
        <v>-2.0680000000000001</v>
      </c>
      <c r="L6363">
        <v>23</v>
      </c>
      <c r="M6363">
        <v>0</v>
      </c>
      <c r="N6363">
        <v>19</v>
      </c>
      <c r="O6363">
        <v>19.446000000000002</v>
      </c>
      <c r="P6363">
        <v>-1.4766234060000001</v>
      </c>
      <c r="Q6363">
        <v>18.359000000000002</v>
      </c>
    </row>
    <row r="6364" spans="1:17" x14ac:dyDescent="0.2">
      <c r="A6364" s="30" t="str">
        <f>IF(C6364&amp;G6364&amp;D6364&lt;&gt;'Funnel setup'!$K$3&amp;'Funnel setup'!$K$4&amp;'Funnel setup'!$K$5,".",IF(A6363=".",1,A6363+1))</f>
        <v>.</v>
      </c>
      <c r="B6364" s="431" t="str">
        <f t="shared" si="99"/>
        <v>Varicose VeinCCG of GP PracticeNHS HULL CCG (03F)Aberdeen Varicose Vein Questionnaire</v>
      </c>
      <c r="C6364" t="s">
        <v>17</v>
      </c>
      <c r="D6364" t="s">
        <v>87</v>
      </c>
      <c r="E6364" t="s">
        <v>525</v>
      </c>
      <c r="F6364" t="s">
        <v>526</v>
      </c>
      <c r="G6364" t="s">
        <v>0</v>
      </c>
      <c r="H6364">
        <v>44</v>
      </c>
      <c r="I6364">
        <v>19.076000000000001</v>
      </c>
      <c r="J6364">
        <v>8.9979999999999993</v>
      </c>
      <c r="K6364">
        <v>-10.077</v>
      </c>
      <c r="L6364">
        <v>38</v>
      </c>
      <c r="M6364">
        <v>0</v>
      </c>
      <c r="N6364">
        <v>6</v>
      </c>
      <c r="O6364">
        <v>8.1760000000000002</v>
      </c>
      <c r="P6364">
        <v>-12.746933240000001</v>
      </c>
      <c r="Q6364">
        <v>12.173</v>
      </c>
    </row>
    <row r="6365" spans="1:17" x14ac:dyDescent="0.2">
      <c r="A6365" s="30" t="str">
        <f>IF(C6365&amp;G6365&amp;D6365&lt;&gt;'Funnel setup'!$K$3&amp;'Funnel setup'!$K$4&amp;'Funnel setup'!$K$5,".",IF(A6364=".",1,A6364+1))</f>
        <v>.</v>
      </c>
      <c r="B6365" s="431" t="str">
        <f t="shared" si="99"/>
        <v>Varicose VeinCCG of GP PracticeNHS IPSWICH AND EAST SUFFOLK CCG (06L)Aberdeen Varicose Vein Questionnaire</v>
      </c>
      <c r="C6365" t="s">
        <v>17</v>
      </c>
      <c r="D6365" t="s">
        <v>87</v>
      </c>
      <c r="E6365" t="s">
        <v>528</v>
      </c>
      <c r="F6365" t="s">
        <v>529</v>
      </c>
      <c r="G6365" t="s">
        <v>0</v>
      </c>
      <c r="H6365">
        <v>108</v>
      </c>
      <c r="I6365">
        <v>19.756</v>
      </c>
      <c r="J6365">
        <v>11.335000000000001</v>
      </c>
      <c r="K6365">
        <v>-8.4209999999999994</v>
      </c>
      <c r="L6365">
        <v>91</v>
      </c>
      <c r="M6365">
        <v>0</v>
      </c>
      <c r="N6365">
        <v>17</v>
      </c>
      <c r="O6365">
        <v>10.497</v>
      </c>
      <c r="P6365">
        <v>-10.42503445</v>
      </c>
      <c r="Q6365">
        <v>12.993</v>
      </c>
    </row>
    <row r="6366" spans="1:17" x14ac:dyDescent="0.2">
      <c r="A6366" s="30" t="str">
        <f>IF(C6366&amp;G6366&amp;D6366&lt;&gt;'Funnel setup'!$K$3&amp;'Funnel setup'!$K$4&amp;'Funnel setup'!$K$5,".",IF(A6365=".",1,A6365+1))</f>
        <v>.</v>
      </c>
      <c r="B6366" s="431" t="str">
        <f t="shared" si="99"/>
        <v>Varicose VeinCCG of GP PracticeNHS ISLINGTON CCG (08H)Aberdeen Varicose Vein Questionnaire</v>
      </c>
      <c r="C6366" t="s">
        <v>17</v>
      </c>
      <c r="D6366" t="s">
        <v>87</v>
      </c>
      <c r="E6366" t="s">
        <v>534</v>
      </c>
      <c r="F6366" t="s">
        <v>535</v>
      </c>
      <c r="G6366" t="s">
        <v>0</v>
      </c>
      <c r="H6366">
        <v>28</v>
      </c>
      <c r="I6366">
        <v>21.658999999999999</v>
      </c>
      <c r="J6366">
        <v>14.163</v>
      </c>
      <c r="K6366">
        <v>-7.4960000000000004</v>
      </c>
      <c r="L6366">
        <v>25</v>
      </c>
      <c r="M6366">
        <v>0</v>
      </c>
      <c r="N6366">
        <v>3</v>
      </c>
      <c r="O6366" t="s">
        <v>53</v>
      </c>
      <c r="P6366" t="s">
        <v>53</v>
      </c>
      <c r="Q6366" t="s">
        <v>53</v>
      </c>
    </row>
    <row r="6367" spans="1:17" x14ac:dyDescent="0.2">
      <c r="A6367" s="30" t="str">
        <f>IF(C6367&amp;G6367&amp;D6367&lt;&gt;'Funnel setup'!$K$3&amp;'Funnel setup'!$K$4&amp;'Funnel setup'!$K$5,".",IF(A6366=".",1,A6366+1))</f>
        <v>.</v>
      </c>
      <c r="B6367" s="431" t="str">
        <f t="shared" si="99"/>
        <v>Varicose VeinCCG of GP PracticeNHS KERNOW CCG (11N)Aberdeen Varicose Vein Questionnaire</v>
      </c>
      <c r="C6367" t="s">
        <v>17</v>
      </c>
      <c r="D6367" t="s">
        <v>87</v>
      </c>
      <c r="E6367" t="s">
        <v>537</v>
      </c>
      <c r="F6367" t="s">
        <v>538</v>
      </c>
      <c r="G6367" t="s">
        <v>0</v>
      </c>
      <c r="H6367">
        <v>107</v>
      </c>
      <c r="I6367">
        <v>22.257999999999999</v>
      </c>
      <c r="J6367">
        <v>13.247999999999999</v>
      </c>
      <c r="K6367">
        <v>-9.0090000000000003</v>
      </c>
      <c r="L6367">
        <v>90</v>
      </c>
      <c r="M6367">
        <v>0</v>
      </c>
      <c r="N6367">
        <v>17</v>
      </c>
      <c r="O6367">
        <v>14.141999999999999</v>
      </c>
      <c r="P6367">
        <v>-6.7802741329999998</v>
      </c>
      <c r="Q6367">
        <v>17.893000000000001</v>
      </c>
    </row>
    <row r="6368" spans="1:17" x14ac:dyDescent="0.2">
      <c r="A6368" s="30" t="str">
        <f>IF(C6368&amp;G6368&amp;D6368&lt;&gt;'Funnel setup'!$K$3&amp;'Funnel setup'!$K$4&amp;'Funnel setup'!$K$5,".",IF(A6367=".",1,A6367+1))</f>
        <v>.</v>
      </c>
      <c r="B6368" s="431" t="str">
        <f t="shared" si="99"/>
        <v>Varicose VeinCCG of GP PracticeNHS KINGSTON CCG (08J)Aberdeen Varicose Vein Questionnaire</v>
      </c>
      <c r="C6368" t="s">
        <v>17</v>
      </c>
      <c r="D6368" t="s">
        <v>87</v>
      </c>
      <c r="E6368" t="s">
        <v>540</v>
      </c>
      <c r="F6368" t="s">
        <v>541</v>
      </c>
      <c r="G6368" t="s">
        <v>0</v>
      </c>
      <c r="H6368" t="s">
        <v>53</v>
      </c>
      <c r="I6368" t="s">
        <v>53</v>
      </c>
      <c r="J6368" t="s">
        <v>53</v>
      </c>
      <c r="K6368" t="s">
        <v>53</v>
      </c>
      <c r="L6368" t="s">
        <v>53</v>
      </c>
      <c r="M6368" t="s">
        <v>53</v>
      </c>
      <c r="N6368" t="s">
        <v>53</v>
      </c>
      <c r="O6368" t="s">
        <v>53</v>
      </c>
      <c r="P6368" t="s">
        <v>53</v>
      </c>
      <c r="Q6368" t="s">
        <v>53</v>
      </c>
    </row>
    <row r="6369" spans="1:17" x14ac:dyDescent="0.2">
      <c r="A6369" s="30" t="str">
        <f>IF(C6369&amp;G6369&amp;D6369&lt;&gt;'Funnel setup'!$K$3&amp;'Funnel setup'!$K$4&amp;'Funnel setup'!$K$5,".",IF(A6368=".",1,A6368+1))</f>
        <v>.</v>
      </c>
      <c r="B6369" s="431" t="str">
        <f t="shared" si="99"/>
        <v>Varicose VeinCCG of GP PracticeNHS KNOWSLEY CCG (01J)Aberdeen Varicose Vein Questionnaire</v>
      </c>
      <c r="C6369" t="s">
        <v>17</v>
      </c>
      <c r="D6369" t="s">
        <v>87</v>
      </c>
      <c r="E6369" t="s">
        <v>543</v>
      </c>
      <c r="F6369" t="s">
        <v>544</v>
      </c>
      <c r="G6369" t="s">
        <v>0</v>
      </c>
      <c r="H6369" t="s">
        <v>53</v>
      </c>
      <c r="I6369" t="s">
        <v>53</v>
      </c>
      <c r="J6369" t="s">
        <v>53</v>
      </c>
      <c r="K6369" t="s">
        <v>53</v>
      </c>
      <c r="L6369" t="s">
        <v>53</v>
      </c>
      <c r="M6369" t="s">
        <v>53</v>
      </c>
      <c r="N6369" t="s">
        <v>53</v>
      </c>
      <c r="O6369" t="s">
        <v>53</v>
      </c>
      <c r="P6369" t="s">
        <v>53</v>
      </c>
      <c r="Q6369" t="s">
        <v>53</v>
      </c>
    </row>
    <row r="6370" spans="1:17" x14ac:dyDescent="0.2">
      <c r="A6370" s="30" t="str">
        <f>IF(C6370&amp;G6370&amp;D6370&lt;&gt;'Funnel setup'!$K$3&amp;'Funnel setup'!$K$4&amp;'Funnel setup'!$K$5,".",IF(A6369=".",1,A6369+1))</f>
        <v>.</v>
      </c>
      <c r="B6370" s="431" t="str">
        <f t="shared" si="99"/>
        <v>Varicose VeinCCG of GP PracticeNHS LAMBETH CCG (08K)Aberdeen Varicose Vein Questionnaire</v>
      </c>
      <c r="C6370" t="s">
        <v>17</v>
      </c>
      <c r="D6370" t="s">
        <v>87</v>
      </c>
      <c r="E6370" t="s">
        <v>546</v>
      </c>
      <c r="F6370" t="s">
        <v>547</v>
      </c>
      <c r="G6370" t="s">
        <v>0</v>
      </c>
      <c r="H6370">
        <v>22</v>
      </c>
      <c r="I6370">
        <v>24.56</v>
      </c>
      <c r="J6370">
        <v>15.634</v>
      </c>
      <c r="K6370">
        <v>-8.9260000000000002</v>
      </c>
      <c r="L6370">
        <v>18</v>
      </c>
      <c r="M6370">
        <v>0</v>
      </c>
      <c r="N6370">
        <v>4</v>
      </c>
      <c r="O6370" t="s">
        <v>53</v>
      </c>
      <c r="P6370" t="s">
        <v>53</v>
      </c>
      <c r="Q6370" t="s">
        <v>53</v>
      </c>
    </row>
    <row r="6371" spans="1:17" x14ac:dyDescent="0.2">
      <c r="A6371" s="30" t="str">
        <f>IF(C6371&amp;G6371&amp;D6371&lt;&gt;'Funnel setup'!$K$3&amp;'Funnel setup'!$K$4&amp;'Funnel setup'!$K$5,".",IF(A6370=".",1,A6370+1))</f>
        <v>.</v>
      </c>
      <c r="B6371" s="431" t="str">
        <f t="shared" si="99"/>
        <v>Varicose VeinCCG of GP PracticeNHS LANCASHIRE NORTH CCG (01K)Aberdeen Varicose Vein Questionnaire</v>
      </c>
      <c r="C6371" t="s">
        <v>17</v>
      </c>
      <c r="D6371" t="s">
        <v>87</v>
      </c>
      <c r="E6371" t="s">
        <v>549</v>
      </c>
      <c r="F6371" t="s">
        <v>550</v>
      </c>
      <c r="G6371" t="s">
        <v>0</v>
      </c>
      <c r="H6371">
        <v>13</v>
      </c>
      <c r="I6371">
        <v>17.635000000000002</v>
      </c>
      <c r="J6371">
        <v>11.502000000000001</v>
      </c>
      <c r="K6371">
        <v>-6.133</v>
      </c>
      <c r="L6371">
        <v>11</v>
      </c>
      <c r="M6371">
        <v>0</v>
      </c>
      <c r="N6371">
        <v>2</v>
      </c>
      <c r="O6371" t="s">
        <v>53</v>
      </c>
      <c r="P6371" t="s">
        <v>53</v>
      </c>
      <c r="Q6371" t="s">
        <v>53</v>
      </c>
    </row>
    <row r="6372" spans="1:17" x14ac:dyDescent="0.2">
      <c r="A6372" s="30" t="str">
        <f>IF(C6372&amp;G6372&amp;D6372&lt;&gt;'Funnel setup'!$K$3&amp;'Funnel setup'!$K$4&amp;'Funnel setup'!$K$5,".",IF(A6371=".",1,A6371+1))</f>
        <v>.</v>
      </c>
      <c r="B6372" s="431" t="str">
        <f t="shared" si="99"/>
        <v>Varicose VeinCCG of GP PracticeNHS LEEDS NORTH CCG (02V)Aberdeen Varicose Vein Questionnaire</v>
      </c>
      <c r="C6372" t="s">
        <v>17</v>
      </c>
      <c r="D6372" t="s">
        <v>87</v>
      </c>
      <c r="E6372" t="s">
        <v>552</v>
      </c>
      <c r="F6372" t="s">
        <v>337</v>
      </c>
      <c r="G6372" t="s">
        <v>0</v>
      </c>
      <c r="H6372">
        <v>50</v>
      </c>
      <c r="I6372">
        <v>18.465</v>
      </c>
      <c r="J6372">
        <v>11.696999999999999</v>
      </c>
      <c r="K6372">
        <v>-6.7679999999999998</v>
      </c>
      <c r="L6372">
        <v>39</v>
      </c>
      <c r="M6372">
        <v>0</v>
      </c>
      <c r="N6372">
        <v>11</v>
      </c>
      <c r="O6372">
        <v>10.047000000000001</v>
      </c>
      <c r="P6372">
        <v>-10.875060449999999</v>
      </c>
      <c r="Q6372">
        <v>13.414999999999999</v>
      </c>
    </row>
    <row r="6373" spans="1:17" x14ac:dyDescent="0.2">
      <c r="A6373" s="30" t="str">
        <f>IF(C6373&amp;G6373&amp;D6373&lt;&gt;'Funnel setup'!$K$3&amp;'Funnel setup'!$K$4&amp;'Funnel setup'!$K$5,".",IF(A6372=".",1,A6372+1))</f>
        <v>.</v>
      </c>
      <c r="B6373" s="431" t="str">
        <f t="shared" si="99"/>
        <v>Varicose VeinCCG of GP PracticeNHS LEEDS SOUTH AND EAST CCG (03G)Aberdeen Varicose Vein Questionnaire</v>
      </c>
      <c r="C6373" t="s">
        <v>17</v>
      </c>
      <c r="D6373" t="s">
        <v>87</v>
      </c>
      <c r="E6373" t="s">
        <v>396</v>
      </c>
      <c r="F6373" t="s">
        <v>397</v>
      </c>
      <c r="G6373" t="s">
        <v>0</v>
      </c>
      <c r="H6373">
        <v>90</v>
      </c>
      <c r="I6373">
        <v>19.635999999999999</v>
      </c>
      <c r="J6373">
        <v>11.914</v>
      </c>
      <c r="K6373">
        <v>-7.7220000000000004</v>
      </c>
      <c r="L6373">
        <v>78</v>
      </c>
      <c r="M6373">
        <v>0</v>
      </c>
      <c r="N6373">
        <v>12</v>
      </c>
      <c r="O6373">
        <v>11.404</v>
      </c>
      <c r="P6373">
        <v>-9.5188340950000008</v>
      </c>
      <c r="Q6373">
        <v>14.84</v>
      </c>
    </row>
    <row r="6374" spans="1:17" x14ac:dyDescent="0.2">
      <c r="A6374" s="30" t="str">
        <f>IF(C6374&amp;G6374&amp;D6374&lt;&gt;'Funnel setup'!$K$3&amp;'Funnel setup'!$K$4&amp;'Funnel setup'!$K$5,".",IF(A6373=".",1,A6373+1))</f>
        <v>.</v>
      </c>
      <c r="B6374" s="431" t="str">
        <f t="shared" si="99"/>
        <v>Varicose VeinCCG of GP PracticeNHS LEEDS WEST CCG (03C)Aberdeen Varicose Vein Questionnaire</v>
      </c>
      <c r="C6374" t="s">
        <v>17</v>
      </c>
      <c r="D6374" t="s">
        <v>87</v>
      </c>
      <c r="E6374" t="s">
        <v>399</v>
      </c>
      <c r="F6374" t="s">
        <v>400</v>
      </c>
      <c r="G6374" t="s">
        <v>0</v>
      </c>
      <c r="H6374">
        <v>97</v>
      </c>
      <c r="I6374">
        <v>18.009</v>
      </c>
      <c r="J6374">
        <v>10.721</v>
      </c>
      <c r="K6374">
        <v>-7.2880000000000003</v>
      </c>
      <c r="L6374">
        <v>83</v>
      </c>
      <c r="M6374">
        <v>0</v>
      </c>
      <c r="N6374">
        <v>14</v>
      </c>
      <c r="O6374">
        <v>9.0269999999999992</v>
      </c>
      <c r="P6374">
        <v>-11.895083830000001</v>
      </c>
      <c r="Q6374">
        <v>15.545</v>
      </c>
    </row>
    <row r="6375" spans="1:17" x14ac:dyDescent="0.2">
      <c r="A6375" s="30" t="str">
        <f>IF(C6375&amp;G6375&amp;D6375&lt;&gt;'Funnel setup'!$K$3&amp;'Funnel setup'!$K$4&amp;'Funnel setup'!$K$5,".",IF(A6374=".",1,A6374+1))</f>
        <v>.</v>
      </c>
      <c r="B6375" s="431" t="str">
        <f t="shared" si="99"/>
        <v>Varicose VeinCCG of GP PracticeNHS LEICESTER CITY CCG (04C)Aberdeen Varicose Vein Questionnaire</v>
      </c>
      <c r="C6375" t="s">
        <v>17</v>
      </c>
      <c r="D6375" t="s">
        <v>87</v>
      </c>
      <c r="E6375" t="s">
        <v>554</v>
      </c>
      <c r="F6375" t="s">
        <v>555</v>
      </c>
      <c r="G6375" t="s">
        <v>0</v>
      </c>
      <c r="H6375">
        <v>13</v>
      </c>
      <c r="I6375">
        <v>23.068000000000001</v>
      </c>
      <c r="J6375">
        <v>11.375</v>
      </c>
      <c r="K6375">
        <v>-11.693</v>
      </c>
      <c r="L6375">
        <v>10</v>
      </c>
      <c r="M6375">
        <v>0</v>
      </c>
      <c r="N6375">
        <v>3</v>
      </c>
      <c r="O6375" t="s">
        <v>53</v>
      </c>
      <c r="P6375" t="s">
        <v>53</v>
      </c>
      <c r="Q6375" t="s">
        <v>53</v>
      </c>
    </row>
    <row r="6376" spans="1:17" x14ac:dyDescent="0.2">
      <c r="A6376" s="30" t="str">
        <f>IF(C6376&amp;G6376&amp;D6376&lt;&gt;'Funnel setup'!$K$3&amp;'Funnel setup'!$K$4&amp;'Funnel setup'!$K$5,".",IF(A6375=".",1,A6375+1))</f>
        <v>.</v>
      </c>
      <c r="B6376" s="431" t="str">
        <f t="shared" si="99"/>
        <v>Varicose VeinCCG of GP PracticeNHS LEWISHAM CCG (08L)Aberdeen Varicose Vein Questionnaire</v>
      </c>
      <c r="C6376" t="s">
        <v>17</v>
      </c>
      <c r="D6376" t="s">
        <v>87</v>
      </c>
      <c r="E6376" t="s">
        <v>557</v>
      </c>
      <c r="F6376" t="s">
        <v>558</v>
      </c>
      <c r="G6376" t="s">
        <v>0</v>
      </c>
      <c r="H6376">
        <v>38</v>
      </c>
      <c r="I6376">
        <v>20.451000000000001</v>
      </c>
      <c r="J6376">
        <v>18.288</v>
      </c>
      <c r="K6376">
        <v>-2.1629999999999998</v>
      </c>
      <c r="L6376">
        <v>23</v>
      </c>
      <c r="M6376">
        <v>0</v>
      </c>
      <c r="N6376">
        <v>15</v>
      </c>
      <c r="O6376">
        <v>19.055</v>
      </c>
      <c r="P6376">
        <v>-1.867714004</v>
      </c>
      <c r="Q6376">
        <v>20.225999999999999</v>
      </c>
    </row>
    <row r="6377" spans="1:17" x14ac:dyDescent="0.2">
      <c r="A6377" s="30" t="str">
        <f>IF(C6377&amp;G6377&amp;D6377&lt;&gt;'Funnel setup'!$K$3&amp;'Funnel setup'!$K$4&amp;'Funnel setup'!$K$5,".",IF(A6376=".",1,A6376+1))</f>
        <v>.</v>
      </c>
      <c r="B6377" s="431" t="str">
        <f t="shared" si="99"/>
        <v>Varicose VeinCCG of GP PracticeNHS LINCOLNSHIRE EAST CCG (03T)Aberdeen Varicose Vein Questionnaire</v>
      </c>
      <c r="C6377" t="s">
        <v>17</v>
      </c>
      <c r="D6377" t="s">
        <v>87</v>
      </c>
      <c r="E6377" t="s">
        <v>560</v>
      </c>
      <c r="F6377" t="s">
        <v>561</v>
      </c>
      <c r="G6377" t="s">
        <v>0</v>
      </c>
      <c r="H6377">
        <v>29</v>
      </c>
      <c r="I6377">
        <v>22.41</v>
      </c>
      <c r="J6377">
        <v>10.692</v>
      </c>
      <c r="K6377">
        <v>-11.718</v>
      </c>
      <c r="L6377">
        <v>25</v>
      </c>
      <c r="M6377">
        <v>0</v>
      </c>
      <c r="N6377">
        <v>4</v>
      </c>
      <c r="O6377" t="s">
        <v>53</v>
      </c>
      <c r="P6377" t="s">
        <v>53</v>
      </c>
      <c r="Q6377" t="s">
        <v>53</v>
      </c>
    </row>
    <row r="6378" spans="1:17" x14ac:dyDescent="0.2">
      <c r="A6378" s="30" t="str">
        <f>IF(C6378&amp;G6378&amp;D6378&lt;&gt;'Funnel setup'!$K$3&amp;'Funnel setup'!$K$4&amp;'Funnel setup'!$K$5,".",IF(A6377=".",1,A6377+1))</f>
        <v>.</v>
      </c>
      <c r="B6378" s="431" t="str">
        <f t="shared" si="99"/>
        <v>Varicose VeinCCG of GP PracticeNHS LINCOLNSHIRE WEST CCG (04D)Aberdeen Varicose Vein Questionnaire</v>
      </c>
      <c r="C6378" t="s">
        <v>17</v>
      </c>
      <c r="D6378" t="s">
        <v>87</v>
      </c>
      <c r="E6378" t="s">
        <v>408</v>
      </c>
      <c r="F6378" t="s">
        <v>409</v>
      </c>
      <c r="G6378" t="s">
        <v>0</v>
      </c>
      <c r="H6378">
        <v>15</v>
      </c>
      <c r="I6378">
        <v>26.15</v>
      </c>
      <c r="J6378">
        <v>15.956</v>
      </c>
      <c r="K6378">
        <v>-10.193</v>
      </c>
      <c r="L6378">
        <v>12</v>
      </c>
      <c r="M6378">
        <v>0</v>
      </c>
      <c r="N6378">
        <v>3</v>
      </c>
      <c r="O6378" t="s">
        <v>53</v>
      </c>
      <c r="P6378" t="s">
        <v>53</v>
      </c>
      <c r="Q6378" t="s">
        <v>53</v>
      </c>
    </row>
    <row r="6379" spans="1:17" x14ac:dyDescent="0.2">
      <c r="A6379" s="30" t="str">
        <f>IF(C6379&amp;G6379&amp;D6379&lt;&gt;'Funnel setup'!$K$3&amp;'Funnel setup'!$K$4&amp;'Funnel setup'!$K$5,".",IF(A6378=".",1,A6378+1))</f>
        <v>.</v>
      </c>
      <c r="B6379" s="431" t="str">
        <f t="shared" si="99"/>
        <v>Varicose VeinCCG of GP PracticeNHS LIVERPOOL CCG (99A)Aberdeen Varicose Vein Questionnaire</v>
      </c>
      <c r="C6379" t="s">
        <v>17</v>
      </c>
      <c r="D6379" t="s">
        <v>87</v>
      </c>
      <c r="E6379" t="s">
        <v>411</v>
      </c>
      <c r="F6379" t="s">
        <v>412</v>
      </c>
      <c r="G6379" t="s">
        <v>0</v>
      </c>
      <c r="H6379">
        <v>26</v>
      </c>
      <c r="I6379">
        <v>25.391999999999999</v>
      </c>
      <c r="J6379">
        <v>17.608000000000001</v>
      </c>
      <c r="K6379">
        <v>-7.7839999999999998</v>
      </c>
      <c r="L6379">
        <v>21</v>
      </c>
      <c r="M6379">
        <v>0</v>
      </c>
      <c r="N6379">
        <v>5</v>
      </c>
      <c r="O6379" t="s">
        <v>53</v>
      </c>
      <c r="P6379" t="s">
        <v>53</v>
      </c>
      <c r="Q6379" t="s">
        <v>53</v>
      </c>
    </row>
    <row r="6380" spans="1:17" x14ac:dyDescent="0.2">
      <c r="A6380" s="30" t="str">
        <f>IF(C6380&amp;G6380&amp;D6380&lt;&gt;'Funnel setup'!$K$3&amp;'Funnel setup'!$K$4&amp;'Funnel setup'!$K$5,".",IF(A6379=".",1,A6379+1))</f>
        <v>.</v>
      </c>
      <c r="B6380" s="431" t="str">
        <f t="shared" si="99"/>
        <v>Varicose VeinCCG of GP PracticeNHS LUTON CCG (06P)Aberdeen Varicose Vein Questionnaire</v>
      </c>
      <c r="C6380" t="s">
        <v>17</v>
      </c>
      <c r="D6380" t="s">
        <v>87</v>
      </c>
      <c r="E6380" t="s">
        <v>414</v>
      </c>
      <c r="F6380" t="s">
        <v>415</v>
      </c>
      <c r="G6380" t="s">
        <v>0</v>
      </c>
      <c r="H6380">
        <v>20</v>
      </c>
      <c r="I6380">
        <v>23.332999999999998</v>
      </c>
      <c r="J6380">
        <v>15.67</v>
      </c>
      <c r="K6380">
        <v>-7.6630000000000003</v>
      </c>
      <c r="L6380">
        <v>17</v>
      </c>
      <c r="M6380">
        <v>0</v>
      </c>
      <c r="N6380">
        <v>3</v>
      </c>
      <c r="O6380" t="s">
        <v>53</v>
      </c>
      <c r="P6380" t="s">
        <v>53</v>
      </c>
      <c r="Q6380" t="s">
        <v>53</v>
      </c>
    </row>
    <row r="6381" spans="1:17" x14ac:dyDescent="0.2">
      <c r="A6381" s="30" t="str">
        <f>IF(C6381&amp;G6381&amp;D6381&lt;&gt;'Funnel setup'!$K$3&amp;'Funnel setup'!$K$4&amp;'Funnel setup'!$K$5,".",IF(A6380=".",1,A6380+1))</f>
        <v>.</v>
      </c>
      <c r="B6381" s="431" t="str">
        <f t="shared" si="99"/>
        <v>Varicose VeinCCG of GP PracticeNHS MANSFIELD AND ASHFIELD CCG (04E)Aberdeen Varicose Vein Questionnaire</v>
      </c>
      <c r="C6381" t="s">
        <v>17</v>
      </c>
      <c r="D6381" t="s">
        <v>87</v>
      </c>
      <c r="E6381" t="s">
        <v>417</v>
      </c>
      <c r="F6381" t="s">
        <v>418</v>
      </c>
      <c r="G6381" t="s">
        <v>0</v>
      </c>
      <c r="H6381">
        <v>59</v>
      </c>
      <c r="I6381">
        <v>23.038</v>
      </c>
      <c r="J6381">
        <v>14.465999999999999</v>
      </c>
      <c r="K6381">
        <v>-8.5719999999999992</v>
      </c>
      <c r="L6381">
        <v>50</v>
      </c>
      <c r="M6381">
        <v>0</v>
      </c>
      <c r="N6381">
        <v>9</v>
      </c>
      <c r="O6381">
        <v>15.667999999999999</v>
      </c>
      <c r="P6381">
        <v>-5.2541603859999997</v>
      </c>
      <c r="Q6381">
        <v>16.841000000000001</v>
      </c>
    </row>
    <row r="6382" spans="1:17" x14ac:dyDescent="0.2">
      <c r="A6382" s="30" t="str">
        <f>IF(C6382&amp;G6382&amp;D6382&lt;&gt;'Funnel setup'!$K$3&amp;'Funnel setup'!$K$4&amp;'Funnel setup'!$K$5,".",IF(A6381=".",1,A6381+1))</f>
        <v>.</v>
      </c>
      <c r="B6382" s="431" t="str">
        <f t="shared" si="99"/>
        <v>Varicose VeinCCG of GP PracticeNHS MEDWAY CCG (09W)Aberdeen Varicose Vein Questionnaire</v>
      </c>
      <c r="C6382" t="s">
        <v>17</v>
      </c>
      <c r="D6382" t="s">
        <v>87</v>
      </c>
      <c r="E6382" t="s">
        <v>610</v>
      </c>
      <c r="F6382" t="s">
        <v>611</v>
      </c>
      <c r="G6382" t="s">
        <v>0</v>
      </c>
      <c r="H6382">
        <v>15</v>
      </c>
      <c r="I6382">
        <v>18.536000000000001</v>
      </c>
      <c r="J6382">
        <v>12.8</v>
      </c>
      <c r="K6382">
        <v>-5.7359999999999998</v>
      </c>
      <c r="L6382">
        <v>10</v>
      </c>
      <c r="M6382">
        <v>0</v>
      </c>
      <c r="N6382">
        <v>5</v>
      </c>
      <c r="O6382" t="s">
        <v>53</v>
      </c>
      <c r="P6382" t="s">
        <v>53</v>
      </c>
      <c r="Q6382" t="s">
        <v>53</v>
      </c>
    </row>
    <row r="6383" spans="1:17" x14ac:dyDescent="0.2">
      <c r="A6383" s="30" t="str">
        <f>IF(C6383&amp;G6383&amp;D6383&lt;&gt;'Funnel setup'!$K$3&amp;'Funnel setup'!$K$4&amp;'Funnel setup'!$K$5,".",IF(A6382=".",1,A6382+1))</f>
        <v>.</v>
      </c>
      <c r="B6383" s="431" t="str">
        <f t="shared" si="99"/>
        <v>Varicose VeinCCG of GP PracticeNHS MERTON CCG (08R)Aberdeen Varicose Vein Questionnaire</v>
      </c>
      <c r="C6383" t="s">
        <v>17</v>
      </c>
      <c r="D6383" t="s">
        <v>87</v>
      </c>
      <c r="E6383" t="s">
        <v>613</v>
      </c>
      <c r="F6383" t="s">
        <v>614</v>
      </c>
      <c r="G6383" t="s">
        <v>0</v>
      </c>
      <c r="H6383">
        <v>12</v>
      </c>
      <c r="I6383">
        <v>22.722000000000001</v>
      </c>
      <c r="J6383">
        <v>20.623999999999999</v>
      </c>
      <c r="K6383">
        <v>-2.0979999999999999</v>
      </c>
      <c r="L6383">
        <v>7</v>
      </c>
      <c r="M6383">
        <v>0</v>
      </c>
      <c r="N6383">
        <v>5</v>
      </c>
      <c r="O6383" t="s">
        <v>53</v>
      </c>
      <c r="P6383" t="s">
        <v>53</v>
      </c>
      <c r="Q6383" t="s">
        <v>53</v>
      </c>
    </row>
    <row r="6384" spans="1:17" x14ac:dyDescent="0.2">
      <c r="A6384" s="30" t="str">
        <f>IF(C6384&amp;G6384&amp;D6384&lt;&gt;'Funnel setup'!$K$3&amp;'Funnel setup'!$K$4&amp;'Funnel setup'!$K$5,".",IF(A6383=".",1,A6383+1))</f>
        <v>.</v>
      </c>
      <c r="B6384" s="431" t="str">
        <f t="shared" si="99"/>
        <v>Varicose VeinCCG of GP PracticeNHS MID ESSEX CCG (06Q)Aberdeen Varicose Vein Questionnaire</v>
      </c>
      <c r="C6384" t="s">
        <v>17</v>
      </c>
      <c r="D6384" t="s">
        <v>87</v>
      </c>
      <c r="E6384" t="s">
        <v>616</v>
      </c>
      <c r="F6384" t="s">
        <v>617</v>
      </c>
      <c r="G6384" t="s">
        <v>0</v>
      </c>
      <c r="H6384">
        <v>21</v>
      </c>
      <c r="I6384">
        <v>24.372</v>
      </c>
      <c r="J6384">
        <v>15.336</v>
      </c>
      <c r="K6384">
        <v>-9.0359999999999996</v>
      </c>
      <c r="L6384">
        <v>19</v>
      </c>
      <c r="M6384">
        <v>0</v>
      </c>
      <c r="N6384">
        <v>2</v>
      </c>
      <c r="O6384" t="s">
        <v>53</v>
      </c>
      <c r="P6384" t="s">
        <v>53</v>
      </c>
      <c r="Q6384" t="s">
        <v>53</v>
      </c>
    </row>
    <row r="6385" spans="1:17" x14ac:dyDescent="0.2">
      <c r="A6385" s="30" t="str">
        <f>IF(C6385&amp;G6385&amp;D6385&lt;&gt;'Funnel setup'!$K$3&amp;'Funnel setup'!$K$4&amp;'Funnel setup'!$K$5,".",IF(A6384=".",1,A6384+1))</f>
        <v>.</v>
      </c>
      <c r="B6385" s="431" t="str">
        <f t="shared" si="99"/>
        <v>Varicose VeinCCG of GP PracticeNHS MILTON KEYNES CCG (04F)Aberdeen Varicose Vein Questionnaire</v>
      </c>
      <c r="C6385" t="s">
        <v>17</v>
      </c>
      <c r="D6385" t="s">
        <v>87</v>
      </c>
      <c r="E6385" t="s">
        <v>619</v>
      </c>
      <c r="F6385" t="s">
        <v>338</v>
      </c>
      <c r="G6385" t="s">
        <v>0</v>
      </c>
      <c r="H6385">
        <v>19</v>
      </c>
      <c r="I6385">
        <v>26.004999999999999</v>
      </c>
      <c r="J6385">
        <v>18.135000000000002</v>
      </c>
      <c r="K6385">
        <v>-7.87</v>
      </c>
      <c r="L6385">
        <v>16</v>
      </c>
      <c r="M6385">
        <v>0</v>
      </c>
      <c r="N6385">
        <v>3</v>
      </c>
      <c r="O6385" t="s">
        <v>53</v>
      </c>
      <c r="P6385" t="s">
        <v>53</v>
      </c>
      <c r="Q6385" t="s">
        <v>53</v>
      </c>
    </row>
    <row r="6386" spans="1:17" x14ac:dyDescent="0.2">
      <c r="A6386" s="30" t="str">
        <f>IF(C6386&amp;G6386&amp;D6386&lt;&gt;'Funnel setup'!$K$3&amp;'Funnel setup'!$K$4&amp;'Funnel setup'!$K$5,".",IF(A6385=".",1,A6385+1))</f>
        <v>.</v>
      </c>
      <c r="B6386" s="431" t="str">
        <f t="shared" si="99"/>
        <v>Varicose VeinCCG of GP PracticeNHS NENE CCG (04G)Aberdeen Varicose Vein Questionnaire</v>
      </c>
      <c r="C6386" t="s">
        <v>17</v>
      </c>
      <c r="D6386" t="s">
        <v>87</v>
      </c>
      <c r="E6386" t="s">
        <v>621</v>
      </c>
      <c r="F6386" t="s">
        <v>622</v>
      </c>
      <c r="G6386" t="s">
        <v>0</v>
      </c>
      <c r="H6386">
        <v>33</v>
      </c>
      <c r="I6386">
        <v>25.106000000000002</v>
      </c>
      <c r="J6386">
        <v>14.839</v>
      </c>
      <c r="K6386">
        <v>-10.266999999999999</v>
      </c>
      <c r="L6386">
        <v>27</v>
      </c>
      <c r="M6386">
        <v>0</v>
      </c>
      <c r="N6386">
        <v>6</v>
      </c>
      <c r="O6386">
        <v>17.64</v>
      </c>
      <c r="P6386">
        <v>-3.2826408140000001</v>
      </c>
      <c r="Q6386">
        <v>21.300999999999998</v>
      </c>
    </row>
    <row r="6387" spans="1:17" x14ac:dyDescent="0.2">
      <c r="A6387" s="30" t="str">
        <f>IF(C6387&amp;G6387&amp;D6387&lt;&gt;'Funnel setup'!$K$3&amp;'Funnel setup'!$K$4&amp;'Funnel setup'!$K$5,".",IF(A6386=".",1,A6386+1))</f>
        <v>.</v>
      </c>
      <c r="B6387" s="431" t="str">
        <f t="shared" si="99"/>
        <v>Varicose VeinCCG of GP PracticeNHS NEWARK &amp; SHERWOOD CCG (04H)Aberdeen Varicose Vein Questionnaire</v>
      </c>
      <c r="C6387" t="s">
        <v>17</v>
      </c>
      <c r="D6387" t="s">
        <v>87</v>
      </c>
      <c r="E6387" t="s">
        <v>624</v>
      </c>
      <c r="F6387" t="s">
        <v>625</v>
      </c>
      <c r="G6387" t="s">
        <v>0</v>
      </c>
      <c r="H6387">
        <v>31</v>
      </c>
      <c r="I6387">
        <v>22.741</v>
      </c>
      <c r="J6387">
        <v>13.061999999999999</v>
      </c>
      <c r="K6387">
        <v>-9.6790000000000003</v>
      </c>
      <c r="L6387">
        <v>26</v>
      </c>
      <c r="M6387">
        <v>0</v>
      </c>
      <c r="N6387">
        <v>5</v>
      </c>
      <c r="O6387">
        <v>13.833</v>
      </c>
      <c r="P6387">
        <v>-7.0897722119999997</v>
      </c>
      <c r="Q6387">
        <v>15.225</v>
      </c>
    </row>
    <row r="6388" spans="1:17" x14ac:dyDescent="0.2">
      <c r="A6388" s="30" t="str">
        <f>IF(C6388&amp;G6388&amp;D6388&lt;&gt;'Funnel setup'!$K$3&amp;'Funnel setup'!$K$4&amp;'Funnel setup'!$K$5,".",IF(A6387=".",1,A6387+1))</f>
        <v>.</v>
      </c>
      <c r="B6388" s="431" t="str">
        <f t="shared" si="99"/>
        <v>Varicose VeinCCG of GP PracticeNHS NEWCASTLE GATESHEAD CCG (13T)Aberdeen Varicose Vein Questionnaire</v>
      </c>
      <c r="C6388" t="s">
        <v>17</v>
      </c>
      <c r="D6388" t="s">
        <v>87</v>
      </c>
      <c r="E6388" t="s">
        <v>6553</v>
      </c>
      <c r="F6388" t="s">
        <v>6543</v>
      </c>
      <c r="G6388" t="s">
        <v>0</v>
      </c>
      <c r="H6388">
        <v>137</v>
      </c>
      <c r="I6388">
        <v>17.111000000000001</v>
      </c>
      <c r="J6388">
        <v>10.494999999999999</v>
      </c>
      <c r="K6388">
        <v>-6.6159999999999997</v>
      </c>
      <c r="L6388">
        <v>113</v>
      </c>
      <c r="M6388">
        <v>0</v>
      </c>
      <c r="N6388">
        <v>24</v>
      </c>
      <c r="O6388">
        <v>8.4250000000000007</v>
      </c>
      <c r="P6388">
        <v>-12.497883659999999</v>
      </c>
      <c r="Q6388">
        <v>12.242000000000001</v>
      </c>
    </row>
    <row r="6389" spans="1:17" x14ac:dyDescent="0.2">
      <c r="A6389" s="30" t="str">
        <f>IF(C6389&amp;G6389&amp;D6389&lt;&gt;'Funnel setup'!$K$3&amp;'Funnel setup'!$K$4&amp;'Funnel setup'!$K$5,".",IF(A6388=".",1,A6388+1))</f>
        <v>.</v>
      </c>
      <c r="B6389" s="431" t="str">
        <f t="shared" si="99"/>
        <v>Varicose VeinCCG of GP PracticeNHS NEWHAM CCG (08M)Aberdeen Varicose Vein Questionnaire</v>
      </c>
      <c r="C6389" t="s">
        <v>17</v>
      </c>
      <c r="D6389" t="s">
        <v>87</v>
      </c>
      <c r="E6389" t="s">
        <v>630</v>
      </c>
      <c r="F6389" t="s">
        <v>631</v>
      </c>
      <c r="G6389" t="s">
        <v>0</v>
      </c>
      <c r="H6389">
        <v>21</v>
      </c>
      <c r="I6389">
        <v>26.152999999999999</v>
      </c>
      <c r="J6389">
        <v>22.710999999999999</v>
      </c>
      <c r="K6389">
        <v>-3.4420000000000002</v>
      </c>
      <c r="L6389">
        <v>14</v>
      </c>
      <c r="M6389">
        <v>0</v>
      </c>
      <c r="N6389">
        <v>7</v>
      </c>
      <c r="O6389" t="s">
        <v>53</v>
      </c>
      <c r="P6389" t="s">
        <v>53</v>
      </c>
      <c r="Q6389" t="s">
        <v>53</v>
      </c>
    </row>
    <row r="6390" spans="1:17" x14ac:dyDescent="0.2">
      <c r="A6390" s="30" t="str">
        <f>IF(C6390&amp;G6390&amp;D6390&lt;&gt;'Funnel setup'!$K$3&amp;'Funnel setup'!$K$4&amp;'Funnel setup'!$K$5,".",IF(A6389=".",1,A6389+1))</f>
        <v>.</v>
      </c>
      <c r="B6390" s="431" t="str">
        <f t="shared" si="99"/>
        <v>Varicose VeinCCG of GP PracticeNHS NORTH &amp; WEST READING CCG (10N)Aberdeen Varicose Vein Questionnaire</v>
      </c>
      <c r="C6390" t="s">
        <v>17</v>
      </c>
      <c r="D6390" t="s">
        <v>87</v>
      </c>
      <c r="E6390" t="s">
        <v>633</v>
      </c>
      <c r="F6390" t="s">
        <v>634</v>
      </c>
      <c r="G6390" t="s">
        <v>0</v>
      </c>
      <c r="H6390" t="s">
        <v>53</v>
      </c>
      <c r="I6390" t="s">
        <v>53</v>
      </c>
      <c r="J6390" t="s">
        <v>53</v>
      </c>
      <c r="K6390" t="s">
        <v>53</v>
      </c>
      <c r="L6390" t="s">
        <v>53</v>
      </c>
      <c r="M6390" t="s">
        <v>53</v>
      </c>
      <c r="N6390" t="s">
        <v>53</v>
      </c>
      <c r="O6390" t="s">
        <v>53</v>
      </c>
      <c r="P6390" t="s">
        <v>53</v>
      </c>
      <c r="Q6390" t="s">
        <v>53</v>
      </c>
    </row>
    <row r="6391" spans="1:17" x14ac:dyDescent="0.2">
      <c r="A6391" s="30" t="str">
        <f>IF(C6391&amp;G6391&amp;D6391&lt;&gt;'Funnel setup'!$K$3&amp;'Funnel setup'!$K$4&amp;'Funnel setup'!$K$5,".",IF(A6390=".",1,A6390+1))</f>
        <v>.</v>
      </c>
      <c r="B6391" s="431" t="str">
        <f t="shared" si="99"/>
        <v>Varicose VeinCCG of GP PracticeNHS NORTH DERBYSHIRE CCG (04J)Aberdeen Varicose Vein Questionnaire</v>
      </c>
      <c r="C6391" t="s">
        <v>17</v>
      </c>
      <c r="D6391" t="s">
        <v>87</v>
      </c>
      <c r="E6391" t="s">
        <v>636</v>
      </c>
      <c r="F6391" t="s">
        <v>637</v>
      </c>
      <c r="G6391" t="s">
        <v>0</v>
      </c>
      <c r="H6391">
        <v>39</v>
      </c>
      <c r="I6391">
        <v>19.992000000000001</v>
      </c>
      <c r="J6391">
        <v>14.289</v>
      </c>
      <c r="K6391">
        <v>-5.702</v>
      </c>
      <c r="L6391">
        <v>32</v>
      </c>
      <c r="M6391">
        <v>0</v>
      </c>
      <c r="N6391">
        <v>7</v>
      </c>
      <c r="O6391">
        <v>13.201000000000001</v>
      </c>
      <c r="P6391">
        <v>-7.7217567740000002</v>
      </c>
      <c r="Q6391">
        <v>15.608000000000001</v>
      </c>
    </row>
    <row r="6392" spans="1:17" x14ac:dyDescent="0.2">
      <c r="A6392" s="30" t="str">
        <f>IF(C6392&amp;G6392&amp;D6392&lt;&gt;'Funnel setup'!$K$3&amp;'Funnel setup'!$K$4&amp;'Funnel setup'!$K$5,".",IF(A6391=".",1,A6391+1))</f>
        <v>.</v>
      </c>
      <c r="B6392" s="431" t="str">
        <f t="shared" si="99"/>
        <v>Varicose VeinCCG of GP PracticeNHS NORTH DURHAM CCG (00J)Aberdeen Varicose Vein Questionnaire</v>
      </c>
      <c r="C6392" t="s">
        <v>17</v>
      </c>
      <c r="D6392" t="s">
        <v>87</v>
      </c>
      <c r="E6392" t="s">
        <v>639</v>
      </c>
      <c r="F6392" t="s">
        <v>640</v>
      </c>
      <c r="G6392" t="s">
        <v>0</v>
      </c>
      <c r="H6392">
        <v>27</v>
      </c>
      <c r="I6392">
        <v>21.263999999999999</v>
      </c>
      <c r="J6392">
        <v>10.68</v>
      </c>
      <c r="K6392">
        <v>-10.584</v>
      </c>
      <c r="L6392">
        <v>24</v>
      </c>
      <c r="M6392">
        <v>0</v>
      </c>
      <c r="N6392">
        <v>3</v>
      </c>
      <c r="O6392" t="s">
        <v>53</v>
      </c>
      <c r="P6392" t="s">
        <v>53</v>
      </c>
      <c r="Q6392" t="s">
        <v>53</v>
      </c>
    </row>
    <row r="6393" spans="1:17" x14ac:dyDescent="0.2">
      <c r="A6393" s="30" t="str">
        <f>IF(C6393&amp;G6393&amp;D6393&lt;&gt;'Funnel setup'!$K$3&amp;'Funnel setup'!$K$4&amp;'Funnel setup'!$K$5,".",IF(A6392=".",1,A6392+1))</f>
        <v>.</v>
      </c>
      <c r="B6393" s="431" t="str">
        <f t="shared" si="99"/>
        <v>Varicose VeinCCG of GP PracticeNHS NORTH EAST ESSEX CCG (06T)Aberdeen Varicose Vein Questionnaire</v>
      </c>
      <c r="C6393" t="s">
        <v>17</v>
      </c>
      <c r="D6393" t="s">
        <v>87</v>
      </c>
      <c r="E6393" t="s">
        <v>642</v>
      </c>
      <c r="F6393" t="s">
        <v>643</v>
      </c>
      <c r="G6393" t="s">
        <v>0</v>
      </c>
      <c r="H6393">
        <v>20</v>
      </c>
      <c r="I6393">
        <v>23.521000000000001</v>
      </c>
      <c r="J6393">
        <v>16.695</v>
      </c>
      <c r="K6393">
        <v>-6.8259999999999996</v>
      </c>
      <c r="L6393">
        <v>16</v>
      </c>
      <c r="M6393">
        <v>0</v>
      </c>
      <c r="N6393">
        <v>4</v>
      </c>
      <c r="O6393" t="s">
        <v>53</v>
      </c>
      <c r="P6393" t="s">
        <v>53</v>
      </c>
      <c r="Q6393" t="s">
        <v>53</v>
      </c>
    </row>
    <row r="6394" spans="1:17" x14ac:dyDescent="0.2">
      <c r="A6394" s="30" t="str">
        <f>IF(C6394&amp;G6394&amp;D6394&lt;&gt;'Funnel setup'!$K$3&amp;'Funnel setup'!$K$4&amp;'Funnel setup'!$K$5,".",IF(A6393=".",1,A6393+1))</f>
        <v>.</v>
      </c>
      <c r="B6394" s="431" t="str">
        <f t="shared" si="99"/>
        <v>Varicose VeinCCG of GP PracticeNHS NORTH EAST HAMPSHIRE AND FARNHAM CCG (99M)Aberdeen Varicose Vein Questionnaire</v>
      </c>
      <c r="C6394" t="s">
        <v>17</v>
      </c>
      <c r="D6394" t="s">
        <v>87</v>
      </c>
      <c r="E6394" t="s">
        <v>645</v>
      </c>
      <c r="F6394" t="s">
        <v>646</v>
      </c>
      <c r="G6394" t="s">
        <v>0</v>
      </c>
      <c r="H6394">
        <v>9</v>
      </c>
      <c r="I6394">
        <v>21.204999999999998</v>
      </c>
      <c r="J6394">
        <v>16.518999999999998</v>
      </c>
      <c r="K6394">
        <v>-4.6859999999999999</v>
      </c>
      <c r="L6394">
        <v>7</v>
      </c>
      <c r="M6394">
        <v>0</v>
      </c>
      <c r="N6394">
        <v>2</v>
      </c>
      <c r="O6394" t="s">
        <v>53</v>
      </c>
      <c r="P6394" t="s">
        <v>53</v>
      </c>
      <c r="Q6394" t="s">
        <v>53</v>
      </c>
    </row>
    <row r="6395" spans="1:17" x14ac:dyDescent="0.2">
      <c r="A6395" s="30" t="str">
        <f>IF(C6395&amp;G6395&amp;D6395&lt;&gt;'Funnel setup'!$K$3&amp;'Funnel setup'!$K$4&amp;'Funnel setup'!$K$5,".",IF(A6394=".",1,A6394+1))</f>
        <v>.</v>
      </c>
      <c r="B6395" s="431" t="str">
        <f t="shared" si="99"/>
        <v>Varicose VeinCCG of GP PracticeNHS NORTH EAST LINCOLNSHIRE CCG (03H)Aberdeen Varicose Vein Questionnaire</v>
      </c>
      <c r="C6395" t="s">
        <v>17</v>
      </c>
      <c r="D6395" t="s">
        <v>87</v>
      </c>
      <c r="E6395" t="s">
        <v>648</v>
      </c>
      <c r="F6395" t="s">
        <v>649</v>
      </c>
      <c r="G6395" t="s">
        <v>0</v>
      </c>
      <c r="H6395" t="s">
        <v>53</v>
      </c>
      <c r="I6395" t="s">
        <v>53</v>
      </c>
      <c r="J6395" t="s">
        <v>53</v>
      </c>
      <c r="K6395" t="s">
        <v>53</v>
      </c>
      <c r="L6395" t="s">
        <v>53</v>
      </c>
      <c r="M6395" t="s">
        <v>53</v>
      </c>
      <c r="N6395" t="s">
        <v>53</v>
      </c>
      <c r="O6395" t="s">
        <v>53</v>
      </c>
      <c r="P6395" t="s">
        <v>53</v>
      </c>
      <c r="Q6395" t="s">
        <v>53</v>
      </c>
    </row>
    <row r="6396" spans="1:17" x14ac:dyDescent="0.2">
      <c r="A6396" s="30" t="str">
        <f>IF(C6396&amp;G6396&amp;D6396&lt;&gt;'Funnel setup'!$K$3&amp;'Funnel setup'!$K$4&amp;'Funnel setup'!$K$5,".",IF(A6395=".",1,A6395+1))</f>
        <v>.</v>
      </c>
      <c r="B6396" s="431" t="str">
        <f t="shared" si="99"/>
        <v>Varicose VeinCCG of GP PracticeNHS NORTH KIRKLEES CCG (03J)Aberdeen Varicose Vein Questionnaire</v>
      </c>
      <c r="C6396" t="s">
        <v>17</v>
      </c>
      <c r="D6396" t="s">
        <v>87</v>
      </c>
      <c r="E6396" t="s">
        <v>654</v>
      </c>
      <c r="F6396" t="s">
        <v>655</v>
      </c>
      <c r="G6396" t="s">
        <v>0</v>
      </c>
      <c r="H6396">
        <v>19</v>
      </c>
      <c r="I6396">
        <v>18.100999999999999</v>
      </c>
      <c r="J6396">
        <v>8.6310000000000002</v>
      </c>
      <c r="K6396">
        <v>-9.4700000000000006</v>
      </c>
      <c r="L6396">
        <v>18</v>
      </c>
      <c r="M6396">
        <v>0</v>
      </c>
      <c r="N6396">
        <v>1</v>
      </c>
      <c r="O6396" t="s">
        <v>53</v>
      </c>
      <c r="P6396" t="s">
        <v>53</v>
      </c>
      <c r="Q6396" t="s">
        <v>53</v>
      </c>
    </row>
    <row r="6397" spans="1:17" x14ac:dyDescent="0.2">
      <c r="A6397" s="30" t="str">
        <f>IF(C6397&amp;G6397&amp;D6397&lt;&gt;'Funnel setup'!$K$3&amp;'Funnel setup'!$K$4&amp;'Funnel setup'!$K$5,".",IF(A6396=".",1,A6396+1))</f>
        <v>.</v>
      </c>
      <c r="B6397" s="431" t="str">
        <f t="shared" si="99"/>
        <v>Varicose VeinCCG of GP PracticeNHS NORTH LINCOLNSHIRE CCG (03K)Aberdeen Varicose Vein Questionnaire</v>
      </c>
      <c r="C6397" t="s">
        <v>17</v>
      </c>
      <c r="D6397" t="s">
        <v>87</v>
      </c>
      <c r="E6397" t="s">
        <v>657</v>
      </c>
      <c r="F6397" t="s">
        <v>658</v>
      </c>
      <c r="G6397" t="s">
        <v>0</v>
      </c>
      <c r="H6397">
        <v>9</v>
      </c>
      <c r="I6397">
        <v>20.751000000000001</v>
      </c>
      <c r="J6397">
        <v>7.9290000000000003</v>
      </c>
      <c r="K6397">
        <v>-12.821999999999999</v>
      </c>
      <c r="L6397">
        <v>9</v>
      </c>
      <c r="M6397">
        <v>0</v>
      </c>
      <c r="N6397">
        <v>0</v>
      </c>
      <c r="O6397" t="s">
        <v>53</v>
      </c>
      <c r="P6397" t="s">
        <v>53</v>
      </c>
      <c r="Q6397" t="s">
        <v>53</v>
      </c>
    </row>
    <row r="6398" spans="1:17" x14ac:dyDescent="0.2">
      <c r="A6398" s="30" t="str">
        <f>IF(C6398&amp;G6398&amp;D6398&lt;&gt;'Funnel setup'!$K$3&amp;'Funnel setup'!$K$4&amp;'Funnel setup'!$K$5,".",IF(A6397=".",1,A6397+1))</f>
        <v>.</v>
      </c>
      <c r="B6398" s="431" t="str">
        <f t="shared" si="99"/>
        <v>Varicose VeinCCG of GP PracticeNHS NORTH MANCHESTER CCG (01M)Aberdeen Varicose Vein Questionnaire</v>
      </c>
      <c r="C6398" t="s">
        <v>17</v>
      </c>
      <c r="D6398" t="s">
        <v>87</v>
      </c>
      <c r="E6398" t="s">
        <v>660</v>
      </c>
      <c r="F6398" t="s">
        <v>661</v>
      </c>
      <c r="G6398" t="s">
        <v>0</v>
      </c>
      <c r="H6398" t="s">
        <v>53</v>
      </c>
      <c r="I6398" t="s">
        <v>53</v>
      </c>
      <c r="J6398" t="s">
        <v>53</v>
      </c>
      <c r="K6398" t="s">
        <v>53</v>
      </c>
      <c r="L6398" t="s">
        <v>53</v>
      </c>
      <c r="M6398" t="s">
        <v>53</v>
      </c>
      <c r="N6398" t="s">
        <v>53</v>
      </c>
      <c r="O6398" t="s">
        <v>53</v>
      </c>
      <c r="P6398" t="s">
        <v>53</v>
      </c>
      <c r="Q6398" t="s">
        <v>53</v>
      </c>
    </row>
    <row r="6399" spans="1:17" x14ac:dyDescent="0.2">
      <c r="A6399" s="30" t="str">
        <f>IF(C6399&amp;G6399&amp;D6399&lt;&gt;'Funnel setup'!$K$3&amp;'Funnel setup'!$K$4&amp;'Funnel setup'!$K$5,".",IF(A6398=".",1,A6398+1))</f>
        <v>.</v>
      </c>
      <c r="B6399" s="431" t="str">
        <f t="shared" si="99"/>
        <v>Varicose VeinCCG of GP PracticeNHS NORTH NORFOLK CCG (06V)Aberdeen Varicose Vein Questionnaire</v>
      </c>
      <c r="C6399" t="s">
        <v>17</v>
      </c>
      <c r="D6399" t="s">
        <v>87</v>
      </c>
      <c r="E6399" t="s">
        <v>663</v>
      </c>
      <c r="F6399" t="s">
        <v>664</v>
      </c>
      <c r="G6399" t="s">
        <v>0</v>
      </c>
      <c r="H6399">
        <v>61</v>
      </c>
      <c r="I6399">
        <v>20.09</v>
      </c>
      <c r="J6399">
        <v>9.3239999999999998</v>
      </c>
      <c r="K6399">
        <v>-10.766</v>
      </c>
      <c r="L6399">
        <v>54</v>
      </c>
      <c r="M6399">
        <v>0</v>
      </c>
      <c r="N6399">
        <v>7</v>
      </c>
      <c r="O6399">
        <v>8.5419999999999998</v>
      </c>
      <c r="P6399">
        <v>-12.38077698</v>
      </c>
      <c r="Q6399">
        <v>12.041</v>
      </c>
    </row>
    <row r="6400" spans="1:17" x14ac:dyDescent="0.2">
      <c r="A6400" s="30" t="str">
        <f>IF(C6400&amp;G6400&amp;D6400&lt;&gt;'Funnel setup'!$K$3&amp;'Funnel setup'!$K$4&amp;'Funnel setup'!$K$5,".",IF(A6399=".",1,A6399+1))</f>
        <v>.</v>
      </c>
      <c r="B6400" s="431" t="str">
        <f t="shared" si="99"/>
        <v>Varicose VeinCCG of GP PracticeNHS NORTH SOMERSET CCG (11T)Aberdeen Varicose Vein Questionnaire</v>
      </c>
      <c r="C6400" t="s">
        <v>17</v>
      </c>
      <c r="D6400" t="s">
        <v>87</v>
      </c>
      <c r="E6400" t="s">
        <v>666</v>
      </c>
      <c r="F6400" t="s">
        <v>667</v>
      </c>
      <c r="G6400" t="s">
        <v>0</v>
      </c>
      <c r="H6400">
        <v>6</v>
      </c>
      <c r="I6400">
        <v>14.151</v>
      </c>
      <c r="J6400">
        <v>7.8369999999999997</v>
      </c>
      <c r="K6400">
        <v>-6.3140000000000001</v>
      </c>
      <c r="L6400">
        <v>4</v>
      </c>
      <c r="M6400">
        <v>1</v>
      </c>
      <c r="N6400">
        <v>1</v>
      </c>
      <c r="O6400" t="s">
        <v>53</v>
      </c>
      <c r="P6400" t="s">
        <v>53</v>
      </c>
      <c r="Q6400" t="s">
        <v>53</v>
      </c>
    </row>
    <row r="6401" spans="1:17" x14ac:dyDescent="0.2">
      <c r="A6401" s="30" t="str">
        <f>IF(C6401&amp;G6401&amp;D6401&lt;&gt;'Funnel setup'!$K$3&amp;'Funnel setup'!$K$4&amp;'Funnel setup'!$K$5,".",IF(A6400=".",1,A6400+1))</f>
        <v>.</v>
      </c>
      <c r="B6401" s="431" t="str">
        <f t="shared" si="99"/>
        <v>Varicose VeinCCG of GP PracticeNHS NORTH STAFFORDSHIRE CCG (05G)Aberdeen Varicose Vein Questionnaire</v>
      </c>
      <c r="C6401" t="s">
        <v>17</v>
      </c>
      <c r="D6401" t="s">
        <v>87</v>
      </c>
      <c r="E6401" t="s">
        <v>669</v>
      </c>
      <c r="F6401" t="s">
        <v>670</v>
      </c>
      <c r="G6401" t="s">
        <v>0</v>
      </c>
      <c r="H6401">
        <v>8</v>
      </c>
      <c r="I6401">
        <v>18.486000000000001</v>
      </c>
      <c r="J6401">
        <v>10.420999999999999</v>
      </c>
      <c r="K6401">
        <v>-8.0649999999999995</v>
      </c>
      <c r="L6401">
        <v>7</v>
      </c>
      <c r="M6401">
        <v>0</v>
      </c>
      <c r="N6401">
        <v>1</v>
      </c>
      <c r="O6401" t="s">
        <v>53</v>
      </c>
      <c r="P6401" t="s">
        <v>53</v>
      </c>
      <c r="Q6401" t="s">
        <v>53</v>
      </c>
    </row>
    <row r="6402" spans="1:17" x14ac:dyDescent="0.2">
      <c r="A6402" s="30" t="str">
        <f>IF(C6402&amp;G6402&amp;D6402&lt;&gt;'Funnel setup'!$K$3&amp;'Funnel setup'!$K$4&amp;'Funnel setup'!$K$5,".",IF(A6401=".",1,A6401+1))</f>
        <v>.</v>
      </c>
      <c r="B6402" s="431" t="str">
        <f t="shared" si="99"/>
        <v>Varicose VeinCCG of GP PracticeNHS NORTH TYNESIDE CCG (99C)Aberdeen Varicose Vein Questionnaire</v>
      </c>
      <c r="C6402" t="s">
        <v>17</v>
      </c>
      <c r="D6402" t="s">
        <v>87</v>
      </c>
      <c r="E6402" t="s">
        <v>672</v>
      </c>
      <c r="F6402" t="s">
        <v>673</v>
      </c>
      <c r="G6402" t="s">
        <v>0</v>
      </c>
      <c r="H6402">
        <v>47</v>
      </c>
      <c r="I6402">
        <v>19.155999999999999</v>
      </c>
      <c r="J6402">
        <v>11.861000000000001</v>
      </c>
      <c r="K6402">
        <v>-7.2949999999999999</v>
      </c>
      <c r="L6402">
        <v>35</v>
      </c>
      <c r="M6402">
        <v>0</v>
      </c>
      <c r="N6402">
        <v>12</v>
      </c>
      <c r="O6402">
        <v>10.637</v>
      </c>
      <c r="P6402">
        <v>-10.285444549999999</v>
      </c>
      <c r="Q6402">
        <v>20.2</v>
      </c>
    </row>
    <row r="6403" spans="1:17" x14ac:dyDescent="0.2">
      <c r="A6403" s="30" t="str">
        <f>IF(C6403&amp;G6403&amp;D6403&lt;&gt;'Funnel setup'!$K$3&amp;'Funnel setup'!$K$4&amp;'Funnel setup'!$K$5,".",IF(A6402=".",1,A6402+1))</f>
        <v>.</v>
      </c>
      <c r="B6403" s="431" t="str">
        <f t="shared" ref="B6403:B6466" si="100">C6403&amp;D6403&amp;F6403&amp;G6403</f>
        <v>Varicose VeinCCG of GP PracticeNHS NORTH WEST SURREY CCG (09Y)Aberdeen Varicose Vein Questionnaire</v>
      </c>
      <c r="C6403" t="s">
        <v>17</v>
      </c>
      <c r="D6403" t="s">
        <v>87</v>
      </c>
      <c r="E6403" t="s">
        <v>675</v>
      </c>
      <c r="F6403" t="s">
        <v>676</v>
      </c>
      <c r="G6403" t="s">
        <v>0</v>
      </c>
      <c r="H6403">
        <v>18</v>
      </c>
      <c r="I6403">
        <v>20.393999999999998</v>
      </c>
      <c r="J6403">
        <v>14.499000000000001</v>
      </c>
      <c r="K6403">
        <v>-5.8949999999999996</v>
      </c>
      <c r="L6403">
        <v>13</v>
      </c>
      <c r="M6403">
        <v>0</v>
      </c>
      <c r="N6403">
        <v>5</v>
      </c>
      <c r="O6403" t="s">
        <v>53</v>
      </c>
      <c r="P6403" t="s">
        <v>53</v>
      </c>
      <c r="Q6403" t="s">
        <v>53</v>
      </c>
    </row>
    <row r="6404" spans="1:17" x14ac:dyDescent="0.2">
      <c r="A6404" s="30" t="str">
        <f>IF(C6404&amp;G6404&amp;D6404&lt;&gt;'Funnel setup'!$K$3&amp;'Funnel setup'!$K$4&amp;'Funnel setup'!$K$5,".",IF(A6403=".",1,A6403+1))</f>
        <v>.</v>
      </c>
      <c r="B6404" s="431" t="str">
        <f t="shared" si="100"/>
        <v>Varicose VeinCCG of GP PracticeNHS NORTHERN, EASTERN AND WESTERN DEVON CCG (99P)Aberdeen Varicose Vein Questionnaire</v>
      </c>
      <c r="C6404" t="s">
        <v>17</v>
      </c>
      <c r="D6404" t="s">
        <v>87</v>
      </c>
      <c r="E6404" t="s">
        <v>678</v>
      </c>
      <c r="F6404" t="s">
        <v>679</v>
      </c>
      <c r="G6404" t="s">
        <v>0</v>
      </c>
      <c r="H6404">
        <v>98</v>
      </c>
      <c r="I6404">
        <v>24.67</v>
      </c>
      <c r="J6404">
        <v>15.295999999999999</v>
      </c>
      <c r="K6404">
        <v>-9.3740000000000006</v>
      </c>
      <c r="L6404">
        <v>85</v>
      </c>
      <c r="M6404">
        <v>0</v>
      </c>
      <c r="N6404">
        <v>13</v>
      </c>
      <c r="O6404">
        <v>17.300999999999998</v>
      </c>
      <c r="P6404">
        <v>-3.6213661730000002</v>
      </c>
      <c r="Q6404">
        <v>17.350999999999999</v>
      </c>
    </row>
    <row r="6405" spans="1:17" x14ac:dyDescent="0.2">
      <c r="A6405" s="30" t="str">
        <f>IF(C6405&amp;G6405&amp;D6405&lt;&gt;'Funnel setup'!$K$3&amp;'Funnel setup'!$K$4&amp;'Funnel setup'!$K$5,".",IF(A6404=".",1,A6404+1))</f>
        <v>.</v>
      </c>
      <c r="B6405" s="431" t="str">
        <f t="shared" si="100"/>
        <v>Varicose VeinCCG of GP PracticeNHS NORTHUMBERLAND CCG (00L)Aberdeen Varicose Vein Questionnaire</v>
      </c>
      <c r="C6405" t="s">
        <v>17</v>
      </c>
      <c r="D6405" t="s">
        <v>87</v>
      </c>
      <c r="E6405" t="s">
        <v>681</v>
      </c>
      <c r="F6405" t="s">
        <v>336</v>
      </c>
      <c r="G6405" t="s">
        <v>0</v>
      </c>
      <c r="H6405">
        <v>59</v>
      </c>
      <c r="I6405">
        <v>19.047000000000001</v>
      </c>
      <c r="J6405">
        <v>11.718</v>
      </c>
      <c r="K6405">
        <v>-7.3289999999999997</v>
      </c>
      <c r="L6405">
        <v>49</v>
      </c>
      <c r="M6405">
        <v>0</v>
      </c>
      <c r="N6405">
        <v>10</v>
      </c>
      <c r="O6405">
        <v>10.021000000000001</v>
      </c>
      <c r="P6405">
        <v>-10.90111317</v>
      </c>
      <c r="Q6405">
        <v>14.125999999999999</v>
      </c>
    </row>
    <row r="6406" spans="1:17" x14ac:dyDescent="0.2">
      <c r="A6406" s="30" t="str">
        <f>IF(C6406&amp;G6406&amp;D6406&lt;&gt;'Funnel setup'!$K$3&amp;'Funnel setup'!$K$4&amp;'Funnel setup'!$K$5,".",IF(A6405=".",1,A6405+1))</f>
        <v>.</v>
      </c>
      <c r="B6406" s="431" t="str">
        <f t="shared" si="100"/>
        <v>Varicose VeinCCG of GP PracticeNHS NORWICH CCG (06W)Aberdeen Varicose Vein Questionnaire</v>
      </c>
      <c r="C6406" t="s">
        <v>17</v>
      </c>
      <c r="D6406" t="s">
        <v>87</v>
      </c>
      <c r="E6406" t="s">
        <v>770</v>
      </c>
      <c r="F6406" t="s">
        <v>771</v>
      </c>
      <c r="G6406" t="s">
        <v>0</v>
      </c>
      <c r="H6406">
        <v>43</v>
      </c>
      <c r="I6406">
        <v>17.709</v>
      </c>
      <c r="J6406">
        <v>9.5960000000000001</v>
      </c>
      <c r="K6406">
        <v>-8.1129999999999995</v>
      </c>
      <c r="L6406">
        <v>40</v>
      </c>
      <c r="M6406">
        <v>0</v>
      </c>
      <c r="N6406">
        <v>3</v>
      </c>
      <c r="O6406">
        <v>7.468</v>
      </c>
      <c r="P6406">
        <v>-13.45424497</v>
      </c>
      <c r="Q6406">
        <v>13.951000000000001</v>
      </c>
    </row>
    <row r="6407" spans="1:17" x14ac:dyDescent="0.2">
      <c r="A6407" s="30" t="str">
        <f>IF(C6407&amp;G6407&amp;D6407&lt;&gt;'Funnel setup'!$K$3&amp;'Funnel setup'!$K$4&amp;'Funnel setup'!$K$5,".",IF(A6406=".",1,A6406+1))</f>
        <v>.</v>
      </c>
      <c r="B6407" s="431" t="str">
        <f t="shared" si="100"/>
        <v>Varicose VeinCCG of GP PracticeNHS NOTTINGHAM CITY CCG (04K)Aberdeen Varicose Vein Questionnaire</v>
      </c>
      <c r="C6407" t="s">
        <v>17</v>
      </c>
      <c r="D6407" t="s">
        <v>87</v>
      </c>
      <c r="E6407" t="s">
        <v>773</v>
      </c>
      <c r="F6407" t="s">
        <v>774</v>
      </c>
      <c r="G6407" t="s">
        <v>0</v>
      </c>
      <c r="H6407">
        <v>45</v>
      </c>
      <c r="I6407">
        <v>24.161999999999999</v>
      </c>
      <c r="J6407">
        <v>18.97</v>
      </c>
      <c r="K6407">
        <v>-5.1920000000000002</v>
      </c>
      <c r="L6407">
        <v>32</v>
      </c>
      <c r="M6407">
        <v>0</v>
      </c>
      <c r="N6407">
        <v>13</v>
      </c>
      <c r="O6407">
        <v>20.978999999999999</v>
      </c>
      <c r="P6407">
        <v>5.6755132999999999E-2</v>
      </c>
      <c r="Q6407">
        <v>23.271999999999998</v>
      </c>
    </row>
    <row r="6408" spans="1:17" x14ac:dyDescent="0.2">
      <c r="A6408" s="30" t="str">
        <f>IF(C6408&amp;G6408&amp;D6408&lt;&gt;'Funnel setup'!$K$3&amp;'Funnel setup'!$K$4&amp;'Funnel setup'!$K$5,".",IF(A6407=".",1,A6407+1))</f>
        <v>.</v>
      </c>
      <c r="B6408" s="431" t="str">
        <f t="shared" si="100"/>
        <v>Varicose VeinCCG of GP PracticeNHS NOTTINGHAM NORTH AND EAST CCG (04L)Aberdeen Varicose Vein Questionnaire</v>
      </c>
      <c r="C6408" t="s">
        <v>17</v>
      </c>
      <c r="D6408" t="s">
        <v>87</v>
      </c>
      <c r="E6408" t="s">
        <v>776</v>
      </c>
      <c r="F6408" t="s">
        <v>777</v>
      </c>
      <c r="G6408" t="s">
        <v>0</v>
      </c>
      <c r="H6408">
        <v>25</v>
      </c>
      <c r="I6408">
        <v>21.158000000000001</v>
      </c>
      <c r="J6408">
        <v>13.009</v>
      </c>
      <c r="K6408">
        <v>-8.1489999999999991</v>
      </c>
      <c r="L6408">
        <v>20</v>
      </c>
      <c r="M6408">
        <v>0</v>
      </c>
      <c r="N6408">
        <v>5</v>
      </c>
      <c r="O6408" t="s">
        <v>53</v>
      </c>
      <c r="P6408" t="s">
        <v>53</v>
      </c>
      <c r="Q6408" t="s">
        <v>53</v>
      </c>
    </row>
    <row r="6409" spans="1:17" x14ac:dyDescent="0.2">
      <c r="A6409" s="30" t="str">
        <f>IF(C6409&amp;G6409&amp;D6409&lt;&gt;'Funnel setup'!$K$3&amp;'Funnel setup'!$K$4&amp;'Funnel setup'!$K$5,".",IF(A6408=".",1,A6408+1))</f>
        <v>.</v>
      </c>
      <c r="B6409" s="431" t="str">
        <f t="shared" si="100"/>
        <v>Varicose VeinCCG of GP PracticeNHS NOTTINGHAM WEST CCG (04M)Aberdeen Varicose Vein Questionnaire</v>
      </c>
      <c r="C6409" t="s">
        <v>17</v>
      </c>
      <c r="D6409" t="s">
        <v>87</v>
      </c>
      <c r="E6409" t="s">
        <v>779</v>
      </c>
      <c r="F6409" t="s">
        <v>780</v>
      </c>
      <c r="G6409" t="s">
        <v>0</v>
      </c>
      <c r="H6409">
        <v>18</v>
      </c>
      <c r="I6409">
        <v>21.154</v>
      </c>
      <c r="J6409">
        <v>10.851000000000001</v>
      </c>
      <c r="K6409">
        <v>-10.303000000000001</v>
      </c>
      <c r="L6409">
        <v>16</v>
      </c>
      <c r="M6409">
        <v>0</v>
      </c>
      <c r="N6409">
        <v>2</v>
      </c>
      <c r="O6409" t="s">
        <v>53</v>
      </c>
      <c r="P6409" t="s">
        <v>53</v>
      </c>
      <c r="Q6409" t="s">
        <v>53</v>
      </c>
    </row>
    <row r="6410" spans="1:17" x14ac:dyDescent="0.2">
      <c r="A6410" s="30" t="str">
        <f>IF(C6410&amp;G6410&amp;D6410&lt;&gt;'Funnel setup'!$K$3&amp;'Funnel setup'!$K$4&amp;'Funnel setup'!$K$5,".",IF(A6409=".",1,A6409+1))</f>
        <v>.</v>
      </c>
      <c r="B6410" s="431" t="str">
        <f t="shared" si="100"/>
        <v>Varicose VeinCCG of GP PracticeNHS OLDHAM CCG (00Y)Aberdeen Varicose Vein Questionnaire</v>
      </c>
      <c r="C6410" t="s">
        <v>17</v>
      </c>
      <c r="D6410" t="s">
        <v>87</v>
      </c>
      <c r="E6410" t="s">
        <v>782</v>
      </c>
      <c r="F6410" t="s">
        <v>783</v>
      </c>
      <c r="G6410" t="s">
        <v>0</v>
      </c>
      <c r="H6410" t="s">
        <v>53</v>
      </c>
      <c r="I6410" t="s">
        <v>53</v>
      </c>
      <c r="J6410" t="s">
        <v>53</v>
      </c>
      <c r="K6410" t="s">
        <v>53</v>
      </c>
      <c r="L6410" t="s">
        <v>53</v>
      </c>
      <c r="M6410" t="s">
        <v>53</v>
      </c>
      <c r="N6410" t="s">
        <v>53</v>
      </c>
      <c r="O6410" t="s">
        <v>53</v>
      </c>
      <c r="P6410" t="s">
        <v>53</v>
      </c>
      <c r="Q6410" t="s">
        <v>53</v>
      </c>
    </row>
    <row r="6411" spans="1:17" x14ac:dyDescent="0.2">
      <c r="A6411" s="30" t="str">
        <f>IF(C6411&amp;G6411&amp;D6411&lt;&gt;'Funnel setup'!$K$3&amp;'Funnel setup'!$K$4&amp;'Funnel setup'!$K$5,".",IF(A6410=".",1,A6410+1))</f>
        <v>.</v>
      </c>
      <c r="B6411" s="431" t="str">
        <f t="shared" si="100"/>
        <v>Varicose VeinCCG of GP PracticeNHS OXFORDSHIRE CCG (10Q)Aberdeen Varicose Vein Questionnaire</v>
      </c>
      <c r="C6411" t="s">
        <v>17</v>
      </c>
      <c r="D6411" t="s">
        <v>87</v>
      </c>
      <c r="E6411" t="s">
        <v>785</v>
      </c>
      <c r="F6411" t="s">
        <v>786</v>
      </c>
      <c r="G6411" t="s">
        <v>0</v>
      </c>
      <c r="H6411">
        <v>31</v>
      </c>
      <c r="I6411">
        <v>25.452000000000002</v>
      </c>
      <c r="J6411">
        <v>13.010999999999999</v>
      </c>
      <c r="K6411">
        <v>-12.441000000000001</v>
      </c>
      <c r="L6411">
        <v>26</v>
      </c>
      <c r="M6411">
        <v>0</v>
      </c>
      <c r="N6411">
        <v>5</v>
      </c>
      <c r="O6411">
        <v>15.054</v>
      </c>
      <c r="P6411">
        <v>-5.8680436970000001</v>
      </c>
      <c r="Q6411">
        <v>20.483000000000001</v>
      </c>
    </row>
    <row r="6412" spans="1:17" x14ac:dyDescent="0.2">
      <c r="A6412" s="30" t="str">
        <f>IF(C6412&amp;G6412&amp;D6412&lt;&gt;'Funnel setup'!$K$3&amp;'Funnel setup'!$K$4&amp;'Funnel setup'!$K$5,".",IF(A6411=".",1,A6411+1))</f>
        <v>.</v>
      </c>
      <c r="B6412" s="431" t="str">
        <f t="shared" si="100"/>
        <v>Varicose VeinCCG of GP PracticeNHS PORTSMOUTH CCG (10R)Aberdeen Varicose Vein Questionnaire</v>
      </c>
      <c r="C6412" t="s">
        <v>17</v>
      </c>
      <c r="D6412" t="s">
        <v>87</v>
      </c>
      <c r="E6412" t="s">
        <v>788</v>
      </c>
      <c r="F6412" t="s">
        <v>789</v>
      </c>
      <c r="G6412" t="s">
        <v>0</v>
      </c>
      <c r="H6412" t="s">
        <v>53</v>
      </c>
      <c r="I6412" t="s">
        <v>53</v>
      </c>
      <c r="J6412" t="s">
        <v>53</v>
      </c>
      <c r="K6412" t="s">
        <v>53</v>
      </c>
      <c r="L6412" t="s">
        <v>53</v>
      </c>
      <c r="M6412" t="s">
        <v>53</v>
      </c>
      <c r="N6412" t="s">
        <v>53</v>
      </c>
      <c r="O6412" t="s">
        <v>53</v>
      </c>
      <c r="P6412" t="s">
        <v>53</v>
      </c>
      <c r="Q6412" t="s">
        <v>53</v>
      </c>
    </row>
    <row r="6413" spans="1:17" x14ac:dyDescent="0.2">
      <c r="A6413" s="30" t="str">
        <f>IF(C6413&amp;G6413&amp;D6413&lt;&gt;'Funnel setup'!$K$3&amp;'Funnel setup'!$K$4&amp;'Funnel setup'!$K$5,".",IF(A6412=".",1,A6412+1))</f>
        <v>.</v>
      </c>
      <c r="B6413" s="431" t="str">
        <f t="shared" si="100"/>
        <v>Varicose VeinCCG of GP PracticeNHS REDBRIDGE CCG (08N)Aberdeen Varicose Vein Questionnaire</v>
      </c>
      <c r="C6413" t="s">
        <v>17</v>
      </c>
      <c r="D6413" t="s">
        <v>87</v>
      </c>
      <c r="E6413" t="s">
        <v>791</v>
      </c>
      <c r="F6413" t="s">
        <v>792</v>
      </c>
      <c r="G6413" t="s">
        <v>0</v>
      </c>
      <c r="H6413">
        <v>16</v>
      </c>
      <c r="I6413">
        <v>20.178000000000001</v>
      </c>
      <c r="J6413">
        <v>15.885</v>
      </c>
      <c r="K6413">
        <v>-4.2930000000000001</v>
      </c>
      <c r="L6413">
        <v>12</v>
      </c>
      <c r="M6413">
        <v>0</v>
      </c>
      <c r="N6413">
        <v>4</v>
      </c>
      <c r="O6413" t="s">
        <v>53</v>
      </c>
      <c r="P6413" t="s">
        <v>53</v>
      </c>
      <c r="Q6413" t="s">
        <v>53</v>
      </c>
    </row>
    <row r="6414" spans="1:17" x14ac:dyDescent="0.2">
      <c r="A6414" s="30" t="str">
        <f>IF(C6414&amp;G6414&amp;D6414&lt;&gt;'Funnel setup'!$K$3&amp;'Funnel setup'!$K$4&amp;'Funnel setup'!$K$5,".",IF(A6413=".",1,A6413+1))</f>
        <v>.</v>
      </c>
      <c r="B6414" s="431" t="str">
        <f t="shared" si="100"/>
        <v>Varicose VeinCCG of GP PracticeNHS REDDITCH AND BROMSGROVE CCG (05J)Aberdeen Varicose Vein Questionnaire</v>
      </c>
      <c r="C6414" t="s">
        <v>17</v>
      </c>
      <c r="D6414" t="s">
        <v>87</v>
      </c>
      <c r="E6414" t="s">
        <v>794</v>
      </c>
      <c r="F6414" t="s">
        <v>795</v>
      </c>
      <c r="G6414" t="s">
        <v>0</v>
      </c>
      <c r="H6414">
        <v>8</v>
      </c>
      <c r="I6414">
        <v>15.944000000000001</v>
      </c>
      <c r="J6414">
        <v>12.073</v>
      </c>
      <c r="K6414">
        <v>-3.871</v>
      </c>
      <c r="L6414">
        <v>5</v>
      </c>
      <c r="M6414">
        <v>0</v>
      </c>
      <c r="N6414">
        <v>3</v>
      </c>
      <c r="O6414" t="s">
        <v>53</v>
      </c>
      <c r="P6414" t="s">
        <v>53</v>
      </c>
      <c r="Q6414" t="s">
        <v>53</v>
      </c>
    </row>
    <row r="6415" spans="1:17" x14ac:dyDescent="0.2">
      <c r="A6415" s="30" t="str">
        <f>IF(C6415&amp;G6415&amp;D6415&lt;&gt;'Funnel setup'!$K$3&amp;'Funnel setup'!$K$4&amp;'Funnel setup'!$K$5,".",IF(A6414=".",1,A6414+1))</f>
        <v>.</v>
      </c>
      <c r="B6415" s="431" t="str">
        <f t="shared" si="100"/>
        <v>Varicose VeinCCG of GP PracticeNHS RICHMOND CCG (08P)Aberdeen Varicose Vein Questionnaire</v>
      </c>
      <c r="C6415" t="s">
        <v>17</v>
      </c>
      <c r="D6415" t="s">
        <v>87</v>
      </c>
      <c r="E6415" t="s">
        <v>797</v>
      </c>
      <c r="F6415" t="s">
        <v>798</v>
      </c>
      <c r="G6415" t="s">
        <v>0</v>
      </c>
      <c r="H6415">
        <v>13</v>
      </c>
      <c r="I6415">
        <v>20.829000000000001</v>
      </c>
      <c r="J6415">
        <v>19.402999999999999</v>
      </c>
      <c r="K6415">
        <v>-1.4259999999999999</v>
      </c>
      <c r="L6415">
        <v>8</v>
      </c>
      <c r="M6415">
        <v>0</v>
      </c>
      <c r="N6415">
        <v>5</v>
      </c>
      <c r="O6415" t="s">
        <v>53</v>
      </c>
      <c r="P6415" t="s">
        <v>53</v>
      </c>
      <c r="Q6415" t="s">
        <v>53</v>
      </c>
    </row>
    <row r="6416" spans="1:17" x14ac:dyDescent="0.2">
      <c r="A6416" s="30" t="str">
        <f>IF(C6416&amp;G6416&amp;D6416&lt;&gt;'Funnel setup'!$K$3&amp;'Funnel setup'!$K$4&amp;'Funnel setup'!$K$5,".",IF(A6415=".",1,A6415+1))</f>
        <v>.</v>
      </c>
      <c r="B6416" s="431" t="str">
        <f t="shared" si="100"/>
        <v>Varicose VeinCCG of GP PracticeNHS ROTHERHAM CCG (03L)Aberdeen Varicose Vein Questionnaire</v>
      </c>
      <c r="C6416" t="s">
        <v>17</v>
      </c>
      <c r="D6416" t="s">
        <v>87</v>
      </c>
      <c r="E6416" t="s">
        <v>800</v>
      </c>
      <c r="F6416" t="s">
        <v>801</v>
      </c>
      <c r="G6416" t="s">
        <v>0</v>
      </c>
      <c r="H6416">
        <v>54</v>
      </c>
      <c r="I6416">
        <v>18.686</v>
      </c>
      <c r="J6416">
        <v>12.714</v>
      </c>
      <c r="K6416">
        <v>-5.9720000000000004</v>
      </c>
      <c r="L6416">
        <v>40</v>
      </c>
      <c r="M6416">
        <v>0</v>
      </c>
      <c r="N6416">
        <v>14</v>
      </c>
      <c r="O6416">
        <v>11.89</v>
      </c>
      <c r="P6416">
        <v>-9.032338674</v>
      </c>
      <c r="Q6416">
        <v>17.434000000000001</v>
      </c>
    </row>
    <row r="6417" spans="1:17" x14ac:dyDescent="0.2">
      <c r="A6417" s="30" t="str">
        <f>IF(C6417&amp;G6417&amp;D6417&lt;&gt;'Funnel setup'!$K$3&amp;'Funnel setup'!$K$4&amp;'Funnel setup'!$K$5,".",IF(A6416=".",1,A6416+1))</f>
        <v>.</v>
      </c>
      <c r="B6417" s="431" t="str">
        <f t="shared" si="100"/>
        <v>Varicose VeinCCG of GP PracticeNHS RUSHCLIFFE CCG (04N)Aberdeen Varicose Vein Questionnaire</v>
      </c>
      <c r="C6417" t="s">
        <v>17</v>
      </c>
      <c r="D6417" t="s">
        <v>87</v>
      </c>
      <c r="E6417" t="s">
        <v>803</v>
      </c>
      <c r="F6417" t="s">
        <v>804</v>
      </c>
      <c r="G6417" t="s">
        <v>0</v>
      </c>
      <c r="H6417">
        <v>29</v>
      </c>
      <c r="I6417">
        <v>23.1</v>
      </c>
      <c r="J6417">
        <v>12.193</v>
      </c>
      <c r="K6417">
        <v>-10.907</v>
      </c>
      <c r="L6417">
        <v>24</v>
      </c>
      <c r="M6417">
        <v>0</v>
      </c>
      <c r="N6417">
        <v>5</v>
      </c>
      <c r="O6417" t="s">
        <v>53</v>
      </c>
      <c r="P6417" t="s">
        <v>53</v>
      </c>
      <c r="Q6417" t="s">
        <v>53</v>
      </c>
    </row>
    <row r="6418" spans="1:17" x14ac:dyDescent="0.2">
      <c r="A6418" s="30" t="str">
        <f>IF(C6418&amp;G6418&amp;D6418&lt;&gt;'Funnel setup'!$K$3&amp;'Funnel setup'!$K$4&amp;'Funnel setup'!$K$5,".",IF(A6417=".",1,A6417+1))</f>
        <v>.</v>
      </c>
      <c r="B6418" s="431" t="str">
        <f t="shared" si="100"/>
        <v>Varicose VeinCCG of GP PracticeNHS SALFORD CCG (01G)Aberdeen Varicose Vein Questionnaire</v>
      </c>
      <c r="C6418" t="s">
        <v>17</v>
      </c>
      <c r="D6418" t="s">
        <v>87</v>
      </c>
      <c r="E6418" t="s">
        <v>806</v>
      </c>
      <c r="F6418" t="s">
        <v>807</v>
      </c>
      <c r="G6418" t="s">
        <v>0</v>
      </c>
      <c r="H6418">
        <v>8</v>
      </c>
      <c r="I6418">
        <v>37.875999999999998</v>
      </c>
      <c r="J6418">
        <v>26.585999999999999</v>
      </c>
      <c r="K6418">
        <v>-11.29</v>
      </c>
      <c r="L6418">
        <v>8</v>
      </c>
      <c r="M6418">
        <v>0</v>
      </c>
      <c r="N6418">
        <v>0</v>
      </c>
      <c r="O6418" t="s">
        <v>53</v>
      </c>
      <c r="P6418" t="s">
        <v>53</v>
      </c>
      <c r="Q6418" t="s">
        <v>53</v>
      </c>
    </row>
    <row r="6419" spans="1:17" x14ac:dyDescent="0.2">
      <c r="A6419" s="30" t="str">
        <f>IF(C6419&amp;G6419&amp;D6419&lt;&gt;'Funnel setup'!$K$3&amp;'Funnel setup'!$K$4&amp;'Funnel setup'!$K$5,".",IF(A6418=".",1,A6418+1))</f>
        <v>.</v>
      </c>
      <c r="B6419" s="431" t="str">
        <f t="shared" si="100"/>
        <v>Varicose VeinCCG of GP PracticeNHS SANDWELL AND WEST BIRMINGHAM CCG (05L)Aberdeen Varicose Vein Questionnaire</v>
      </c>
      <c r="C6419" t="s">
        <v>17</v>
      </c>
      <c r="D6419" t="s">
        <v>87</v>
      </c>
      <c r="E6419" t="s">
        <v>809</v>
      </c>
      <c r="F6419" t="s">
        <v>810</v>
      </c>
      <c r="G6419" t="s">
        <v>0</v>
      </c>
      <c r="H6419">
        <v>120</v>
      </c>
      <c r="I6419">
        <v>20.573</v>
      </c>
      <c r="J6419">
        <v>12.925000000000001</v>
      </c>
      <c r="K6419">
        <v>-7.6479999999999997</v>
      </c>
      <c r="L6419">
        <v>92</v>
      </c>
      <c r="M6419">
        <v>0</v>
      </c>
      <c r="N6419">
        <v>28</v>
      </c>
      <c r="O6419">
        <v>13.141999999999999</v>
      </c>
      <c r="P6419">
        <v>-7.7801974840000003</v>
      </c>
      <c r="Q6419">
        <v>15.83</v>
      </c>
    </row>
    <row r="6420" spans="1:17" x14ac:dyDescent="0.2">
      <c r="A6420" s="30" t="str">
        <f>IF(C6420&amp;G6420&amp;D6420&lt;&gt;'Funnel setup'!$K$3&amp;'Funnel setup'!$K$4&amp;'Funnel setup'!$K$5,".",IF(A6419=".",1,A6419+1))</f>
        <v>.</v>
      </c>
      <c r="B6420" s="431" t="str">
        <f t="shared" si="100"/>
        <v>Varicose VeinCCG of GP PracticeNHS SCARBOROUGH AND RYEDALE CCG (03M)Aberdeen Varicose Vein Questionnaire</v>
      </c>
      <c r="C6420" t="s">
        <v>17</v>
      </c>
      <c r="D6420" t="s">
        <v>87</v>
      </c>
      <c r="E6420" t="s">
        <v>812</v>
      </c>
      <c r="F6420" t="s">
        <v>813</v>
      </c>
      <c r="G6420" t="s">
        <v>0</v>
      </c>
      <c r="H6420">
        <v>26</v>
      </c>
      <c r="I6420">
        <v>20.373000000000001</v>
      </c>
      <c r="J6420">
        <v>9.7219999999999995</v>
      </c>
      <c r="K6420">
        <v>-10.651999999999999</v>
      </c>
      <c r="L6420">
        <v>23</v>
      </c>
      <c r="M6420">
        <v>0</v>
      </c>
      <c r="N6420">
        <v>3</v>
      </c>
      <c r="O6420" t="s">
        <v>53</v>
      </c>
      <c r="P6420" t="s">
        <v>53</v>
      </c>
      <c r="Q6420" t="s">
        <v>53</v>
      </c>
    </row>
    <row r="6421" spans="1:17" x14ac:dyDescent="0.2">
      <c r="A6421" s="30" t="str">
        <f>IF(C6421&amp;G6421&amp;D6421&lt;&gt;'Funnel setup'!$K$3&amp;'Funnel setup'!$K$4&amp;'Funnel setup'!$K$5,".",IF(A6420=".",1,A6420+1))</f>
        <v>.</v>
      </c>
      <c r="B6421" s="431" t="str">
        <f t="shared" si="100"/>
        <v>Varicose VeinCCG of GP PracticeNHS SHEFFIELD CCG (03N)Aberdeen Varicose Vein Questionnaire</v>
      </c>
      <c r="C6421" t="s">
        <v>17</v>
      </c>
      <c r="D6421" t="s">
        <v>87</v>
      </c>
      <c r="E6421" t="s">
        <v>815</v>
      </c>
      <c r="F6421" t="s">
        <v>816</v>
      </c>
      <c r="G6421" t="s">
        <v>0</v>
      </c>
      <c r="H6421">
        <v>74</v>
      </c>
      <c r="I6421">
        <v>22.986999999999998</v>
      </c>
      <c r="J6421">
        <v>13.553000000000001</v>
      </c>
      <c r="K6421">
        <v>-9.4339999999999993</v>
      </c>
      <c r="L6421">
        <v>62</v>
      </c>
      <c r="M6421">
        <v>0</v>
      </c>
      <c r="N6421">
        <v>12</v>
      </c>
      <c r="O6421">
        <v>14.526</v>
      </c>
      <c r="P6421">
        <v>-6.396379724</v>
      </c>
      <c r="Q6421">
        <v>16.988</v>
      </c>
    </row>
    <row r="6422" spans="1:17" x14ac:dyDescent="0.2">
      <c r="A6422" s="30" t="str">
        <f>IF(C6422&amp;G6422&amp;D6422&lt;&gt;'Funnel setup'!$K$3&amp;'Funnel setup'!$K$4&amp;'Funnel setup'!$K$5,".",IF(A6421=".",1,A6421+1))</f>
        <v>.</v>
      </c>
      <c r="B6422" s="431" t="str">
        <f t="shared" si="100"/>
        <v>Varicose VeinCCG of GP PracticeNHS SHROPSHIRE CCG (05N)Aberdeen Varicose Vein Questionnaire</v>
      </c>
      <c r="C6422" t="s">
        <v>17</v>
      </c>
      <c r="D6422" t="s">
        <v>87</v>
      </c>
      <c r="E6422" t="s">
        <v>818</v>
      </c>
      <c r="F6422" t="s">
        <v>819</v>
      </c>
      <c r="G6422" t="s">
        <v>0</v>
      </c>
      <c r="H6422">
        <v>27</v>
      </c>
      <c r="I6422">
        <v>23.908999999999999</v>
      </c>
      <c r="J6422">
        <v>11.975</v>
      </c>
      <c r="K6422">
        <v>-11.933999999999999</v>
      </c>
      <c r="L6422">
        <v>24</v>
      </c>
      <c r="M6422">
        <v>0</v>
      </c>
      <c r="N6422">
        <v>3</v>
      </c>
      <c r="O6422" t="s">
        <v>53</v>
      </c>
      <c r="P6422" t="s">
        <v>53</v>
      </c>
      <c r="Q6422" t="s">
        <v>53</v>
      </c>
    </row>
    <row r="6423" spans="1:17" x14ac:dyDescent="0.2">
      <c r="A6423" s="30" t="str">
        <f>IF(C6423&amp;G6423&amp;D6423&lt;&gt;'Funnel setup'!$K$3&amp;'Funnel setup'!$K$4&amp;'Funnel setup'!$K$5,".",IF(A6422=".",1,A6422+1))</f>
        <v>.</v>
      </c>
      <c r="B6423" s="431" t="str">
        <f t="shared" si="100"/>
        <v>Varicose VeinCCG of GP PracticeNHS SOLIHULL CCG (05P)Aberdeen Varicose Vein Questionnaire</v>
      </c>
      <c r="C6423" t="s">
        <v>17</v>
      </c>
      <c r="D6423" t="s">
        <v>87</v>
      </c>
      <c r="E6423" t="s">
        <v>824</v>
      </c>
      <c r="F6423" t="s">
        <v>825</v>
      </c>
      <c r="G6423" t="s">
        <v>0</v>
      </c>
      <c r="H6423">
        <v>52</v>
      </c>
      <c r="I6423">
        <v>19.001999999999999</v>
      </c>
      <c r="J6423">
        <v>9.3870000000000005</v>
      </c>
      <c r="K6423">
        <v>-9.6140000000000008</v>
      </c>
      <c r="L6423">
        <v>45</v>
      </c>
      <c r="M6423">
        <v>0</v>
      </c>
      <c r="N6423">
        <v>7</v>
      </c>
      <c r="O6423">
        <v>7.9269999999999996</v>
      </c>
      <c r="P6423">
        <v>-12.99504503</v>
      </c>
      <c r="Q6423">
        <v>10.756</v>
      </c>
    </row>
    <row r="6424" spans="1:17" x14ac:dyDescent="0.2">
      <c r="A6424" s="30" t="str">
        <f>IF(C6424&amp;G6424&amp;D6424&lt;&gt;'Funnel setup'!$K$3&amp;'Funnel setup'!$K$4&amp;'Funnel setup'!$K$5,".",IF(A6423=".",1,A6423+1))</f>
        <v>.</v>
      </c>
      <c r="B6424" s="431" t="str">
        <f t="shared" si="100"/>
        <v>Varicose VeinCCG of GP PracticeNHS SOMERSET CCG (11X)Aberdeen Varicose Vein Questionnaire</v>
      </c>
      <c r="C6424" t="s">
        <v>17</v>
      </c>
      <c r="D6424" t="s">
        <v>87</v>
      </c>
      <c r="E6424" t="s">
        <v>827</v>
      </c>
      <c r="F6424" t="s">
        <v>828</v>
      </c>
      <c r="G6424" t="s">
        <v>0</v>
      </c>
      <c r="H6424">
        <v>80</v>
      </c>
      <c r="I6424">
        <v>21.777999999999999</v>
      </c>
      <c r="J6424">
        <v>11.247999999999999</v>
      </c>
      <c r="K6424">
        <v>-10.53</v>
      </c>
      <c r="L6424">
        <v>67</v>
      </c>
      <c r="M6424">
        <v>1</v>
      </c>
      <c r="N6424">
        <v>12</v>
      </c>
      <c r="O6424">
        <v>11.581</v>
      </c>
      <c r="P6424">
        <v>-9.3411023520000001</v>
      </c>
      <c r="Q6424">
        <v>15.87</v>
      </c>
    </row>
    <row r="6425" spans="1:17" x14ac:dyDescent="0.2">
      <c r="A6425" s="30" t="str">
        <f>IF(C6425&amp;G6425&amp;D6425&lt;&gt;'Funnel setup'!$K$3&amp;'Funnel setup'!$K$4&amp;'Funnel setup'!$K$5,".",IF(A6424=".",1,A6424+1))</f>
        <v>.</v>
      </c>
      <c r="B6425" s="431" t="str">
        <f t="shared" si="100"/>
        <v>Varicose VeinCCG of GP PracticeNHS SOUTH CHESHIRE CCG (01R)Aberdeen Varicose Vein Questionnaire</v>
      </c>
      <c r="C6425" t="s">
        <v>17</v>
      </c>
      <c r="D6425" t="s">
        <v>87</v>
      </c>
      <c r="E6425" t="s">
        <v>830</v>
      </c>
      <c r="F6425" t="s">
        <v>831</v>
      </c>
      <c r="G6425" t="s">
        <v>0</v>
      </c>
      <c r="H6425">
        <v>8</v>
      </c>
      <c r="I6425">
        <v>20.984999999999999</v>
      </c>
      <c r="J6425">
        <v>9.9990000000000006</v>
      </c>
      <c r="K6425">
        <v>-10.986000000000001</v>
      </c>
      <c r="L6425">
        <v>8</v>
      </c>
      <c r="M6425">
        <v>0</v>
      </c>
      <c r="N6425">
        <v>0</v>
      </c>
      <c r="O6425" t="s">
        <v>53</v>
      </c>
      <c r="P6425" t="s">
        <v>53</v>
      </c>
      <c r="Q6425" t="s">
        <v>53</v>
      </c>
    </row>
    <row r="6426" spans="1:17" x14ac:dyDescent="0.2">
      <c r="A6426" s="30" t="str">
        <f>IF(C6426&amp;G6426&amp;D6426&lt;&gt;'Funnel setup'!$K$3&amp;'Funnel setup'!$K$4&amp;'Funnel setup'!$K$5,".",IF(A6425=".",1,A6425+1))</f>
        <v>.</v>
      </c>
      <c r="B6426" s="431" t="str">
        <f t="shared" si="100"/>
        <v>Varicose VeinCCG of GP PracticeNHS SOUTH DEVON AND TORBAY CCG (99Q)Aberdeen Varicose Vein Questionnaire</v>
      </c>
      <c r="C6426" t="s">
        <v>17</v>
      </c>
      <c r="D6426" t="s">
        <v>87</v>
      </c>
      <c r="E6426" t="s">
        <v>833</v>
      </c>
      <c r="F6426" t="s">
        <v>834</v>
      </c>
      <c r="G6426" t="s">
        <v>0</v>
      </c>
      <c r="H6426">
        <v>7</v>
      </c>
      <c r="I6426">
        <v>22.997</v>
      </c>
      <c r="J6426">
        <v>12.17</v>
      </c>
      <c r="K6426">
        <v>-10.827</v>
      </c>
      <c r="L6426">
        <v>7</v>
      </c>
      <c r="M6426">
        <v>0</v>
      </c>
      <c r="N6426">
        <v>0</v>
      </c>
      <c r="O6426" t="s">
        <v>53</v>
      </c>
      <c r="P6426" t="s">
        <v>53</v>
      </c>
      <c r="Q6426" t="s">
        <v>53</v>
      </c>
    </row>
    <row r="6427" spans="1:17" x14ac:dyDescent="0.2">
      <c r="A6427" s="30" t="str">
        <f>IF(C6427&amp;G6427&amp;D6427&lt;&gt;'Funnel setup'!$K$3&amp;'Funnel setup'!$K$4&amp;'Funnel setup'!$K$5,".",IF(A6426=".",1,A6426+1))</f>
        <v>.</v>
      </c>
      <c r="B6427" s="431" t="str">
        <f t="shared" si="100"/>
        <v>Varicose VeinCCG of GP PracticeNHS SOUTH EAST STAFFORDSHIRE AND SEISDON PENINSULA CCG (05Q)Aberdeen Varicose Vein Questionnaire</v>
      </c>
      <c r="C6427" t="s">
        <v>17</v>
      </c>
      <c r="D6427" t="s">
        <v>87</v>
      </c>
      <c r="E6427" t="s">
        <v>836</v>
      </c>
      <c r="F6427" t="s">
        <v>837</v>
      </c>
      <c r="G6427" t="s">
        <v>0</v>
      </c>
      <c r="H6427">
        <v>36</v>
      </c>
      <c r="I6427">
        <v>21.588999999999999</v>
      </c>
      <c r="J6427">
        <v>13.516</v>
      </c>
      <c r="K6427">
        <v>-8.0730000000000004</v>
      </c>
      <c r="L6427">
        <v>29</v>
      </c>
      <c r="M6427">
        <v>0</v>
      </c>
      <c r="N6427">
        <v>7</v>
      </c>
      <c r="O6427">
        <v>13.771000000000001</v>
      </c>
      <c r="P6427">
        <v>-7.151951285</v>
      </c>
      <c r="Q6427">
        <v>15.702</v>
      </c>
    </row>
    <row r="6428" spans="1:17" x14ac:dyDescent="0.2">
      <c r="A6428" s="30" t="str">
        <f>IF(C6428&amp;G6428&amp;D6428&lt;&gt;'Funnel setup'!$K$3&amp;'Funnel setup'!$K$4&amp;'Funnel setup'!$K$5,".",IF(A6427=".",1,A6427+1))</f>
        <v>.</v>
      </c>
      <c r="B6428" s="431" t="str">
        <f t="shared" si="100"/>
        <v>Varicose VeinCCG of GP PracticeNHS SOUTH EASTERN HAMPSHIRE CCG (10V)Aberdeen Varicose Vein Questionnaire</v>
      </c>
      <c r="C6428" t="s">
        <v>17</v>
      </c>
      <c r="D6428" t="s">
        <v>87</v>
      </c>
      <c r="E6428" t="s">
        <v>839</v>
      </c>
      <c r="F6428" t="s">
        <v>840</v>
      </c>
      <c r="G6428" t="s">
        <v>0</v>
      </c>
      <c r="H6428" t="s">
        <v>53</v>
      </c>
      <c r="I6428" t="s">
        <v>53</v>
      </c>
      <c r="J6428" t="s">
        <v>53</v>
      </c>
      <c r="K6428" t="s">
        <v>53</v>
      </c>
      <c r="L6428" t="s">
        <v>53</v>
      </c>
      <c r="M6428" t="s">
        <v>53</v>
      </c>
      <c r="N6428" t="s">
        <v>53</v>
      </c>
      <c r="O6428" t="s">
        <v>53</v>
      </c>
      <c r="P6428" t="s">
        <v>53</v>
      </c>
      <c r="Q6428" t="s">
        <v>53</v>
      </c>
    </row>
    <row r="6429" spans="1:17" x14ac:dyDescent="0.2">
      <c r="A6429" s="30" t="str">
        <f>IF(C6429&amp;G6429&amp;D6429&lt;&gt;'Funnel setup'!$K$3&amp;'Funnel setup'!$K$4&amp;'Funnel setup'!$K$5,".",IF(A6428=".",1,A6428+1))</f>
        <v>.</v>
      </c>
      <c r="B6429" s="431" t="str">
        <f t="shared" si="100"/>
        <v>Varicose VeinCCG of GP PracticeNHS SOUTH GLOUCESTERSHIRE CCG (12A)Aberdeen Varicose Vein Questionnaire</v>
      </c>
      <c r="C6429" t="s">
        <v>17</v>
      </c>
      <c r="D6429" t="s">
        <v>87</v>
      </c>
      <c r="E6429" t="s">
        <v>842</v>
      </c>
      <c r="F6429" t="s">
        <v>843</v>
      </c>
      <c r="G6429" t="s">
        <v>0</v>
      </c>
      <c r="H6429">
        <v>16</v>
      </c>
      <c r="I6429">
        <v>19.425999999999998</v>
      </c>
      <c r="J6429">
        <v>10.516</v>
      </c>
      <c r="K6429">
        <v>-8.91</v>
      </c>
      <c r="L6429">
        <v>13</v>
      </c>
      <c r="M6429">
        <v>0</v>
      </c>
      <c r="N6429">
        <v>3</v>
      </c>
      <c r="O6429" t="s">
        <v>53</v>
      </c>
      <c r="P6429" t="s">
        <v>53</v>
      </c>
      <c r="Q6429" t="s">
        <v>53</v>
      </c>
    </row>
    <row r="6430" spans="1:17" x14ac:dyDescent="0.2">
      <c r="A6430" s="30" t="str">
        <f>IF(C6430&amp;G6430&amp;D6430&lt;&gt;'Funnel setup'!$K$3&amp;'Funnel setup'!$K$4&amp;'Funnel setup'!$K$5,".",IF(A6429=".",1,A6429+1))</f>
        <v>.</v>
      </c>
      <c r="B6430" s="431" t="str">
        <f t="shared" si="100"/>
        <v>Varicose VeinCCG of GP PracticeNHS SOUTH LINCOLNSHIRE CCG (99D)Aberdeen Varicose Vein Questionnaire</v>
      </c>
      <c r="C6430" t="s">
        <v>17</v>
      </c>
      <c r="D6430" t="s">
        <v>87</v>
      </c>
      <c r="E6430" t="s">
        <v>848</v>
      </c>
      <c r="F6430" t="s">
        <v>849</v>
      </c>
      <c r="G6430" t="s">
        <v>0</v>
      </c>
      <c r="H6430">
        <v>13</v>
      </c>
      <c r="I6430">
        <v>22.797999999999998</v>
      </c>
      <c r="J6430">
        <v>8.8580000000000005</v>
      </c>
      <c r="K6430">
        <v>-13.94</v>
      </c>
      <c r="L6430">
        <v>12</v>
      </c>
      <c r="M6430">
        <v>0</v>
      </c>
      <c r="N6430">
        <v>1</v>
      </c>
      <c r="O6430" t="s">
        <v>53</v>
      </c>
      <c r="P6430" t="s">
        <v>53</v>
      </c>
      <c r="Q6430" t="s">
        <v>53</v>
      </c>
    </row>
    <row r="6431" spans="1:17" x14ac:dyDescent="0.2">
      <c r="A6431" s="30" t="str">
        <f>IF(C6431&amp;G6431&amp;D6431&lt;&gt;'Funnel setup'!$K$3&amp;'Funnel setup'!$K$4&amp;'Funnel setup'!$K$5,".",IF(A6430=".",1,A6430+1))</f>
        <v>.</v>
      </c>
      <c r="B6431" s="431" t="str">
        <f t="shared" si="100"/>
        <v>Varicose VeinCCG of GP PracticeNHS SOUTH MANCHESTER CCG (01N)Aberdeen Varicose Vein Questionnaire</v>
      </c>
      <c r="C6431" t="s">
        <v>17</v>
      </c>
      <c r="D6431" t="s">
        <v>87</v>
      </c>
      <c r="E6431" t="s">
        <v>851</v>
      </c>
      <c r="F6431" t="s">
        <v>852</v>
      </c>
      <c r="G6431" t="s">
        <v>0</v>
      </c>
      <c r="H6431">
        <v>14</v>
      </c>
      <c r="I6431">
        <v>21.603999999999999</v>
      </c>
      <c r="J6431">
        <v>11.731999999999999</v>
      </c>
      <c r="K6431">
        <v>-9.8719999999999999</v>
      </c>
      <c r="L6431">
        <v>13</v>
      </c>
      <c r="M6431">
        <v>0</v>
      </c>
      <c r="N6431">
        <v>1</v>
      </c>
      <c r="O6431" t="s">
        <v>53</v>
      </c>
      <c r="P6431" t="s">
        <v>53</v>
      </c>
      <c r="Q6431" t="s">
        <v>53</v>
      </c>
    </row>
    <row r="6432" spans="1:17" x14ac:dyDescent="0.2">
      <c r="A6432" s="30" t="str">
        <f>IF(C6432&amp;G6432&amp;D6432&lt;&gt;'Funnel setup'!$K$3&amp;'Funnel setup'!$K$4&amp;'Funnel setup'!$K$5,".",IF(A6431=".",1,A6431+1))</f>
        <v>.</v>
      </c>
      <c r="B6432" s="431" t="str">
        <f t="shared" si="100"/>
        <v>Varicose VeinCCG of GP PracticeNHS SOUTH NORFOLK CCG (06Y)Aberdeen Varicose Vein Questionnaire</v>
      </c>
      <c r="C6432" t="s">
        <v>17</v>
      </c>
      <c r="D6432" t="s">
        <v>87</v>
      </c>
      <c r="E6432" t="s">
        <v>932</v>
      </c>
      <c r="F6432" t="s">
        <v>933</v>
      </c>
      <c r="G6432" t="s">
        <v>0</v>
      </c>
      <c r="H6432">
        <v>40</v>
      </c>
      <c r="I6432">
        <v>17.948</v>
      </c>
      <c r="J6432">
        <v>11.529</v>
      </c>
      <c r="K6432">
        <v>-6.4189999999999996</v>
      </c>
      <c r="L6432">
        <v>32</v>
      </c>
      <c r="M6432">
        <v>0</v>
      </c>
      <c r="N6432">
        <v>8</v>
      </c>
      <c r="O6432">
        <v>9.3849999999999998</v>
      </c>
      <c r="P6432">
        <v>-11.537115139999999</v>
      </c>
      <c r="Q6432">
        <v>12.178000000000001</v>
      </c>
    </row>
    <row r="6433" spans="1:17" x14ac:dyDescent="0.2">
      <c r="A6433" s="30" t="str">
        <f>IF(C6433&amp;G6433&amp;D6433&lt;&gt;'Funnel setup'!$K$3&amp;'Funnel setup'!$K$4&amp;'Funnel setup'!$K$5,".",IF(A6432=".",1,A6432+1))</f>
        <v>.</v>
      </c>
      <c r="B6433" s="431" t="str">
        <f t="shared" si="100"/>
        <v>Varicose VeinCCG of GP PracticeNHS SOUTH READING CCG (10W)Aberdeen Varicose Vein Questionnaire</v>
      </c>
      <c r="C6433" t="s">
        <v>17</v>
      </c>
      <c r="D6433" t="s">
        <v>87</v>
      </c>
      <c r="E6433" t="s">
        <v>935</v>
      </c>
      <c r="F6433" t="s">
        <v>936</v>
      </c>
      <c r="G6433" t="s">
        <v>0</v>
      </c>
      <c r="H6433" t="s">
        <v>53</v>
      </c>
      <c r="I6433" t="s">
        <v>53</v>
      </c>
      <c r="J6433" t="s">
        <v>53</v>
      </c>
      <c r="K6433" t="s">
        <v>53</v>
      </c>
      <c r="L6433" t="s">
        <v>53</v>
      </c>
      <c r="M6433" t="s">
        <v>53</v>
      </c>
      <c r="N6433" t="s">
        <v>53</v>
      </c>
      <c r="O6433" t="s">
        <v>53</v>
      </c>
      <c r="P6433" t="s">
        <v>53</v>
      </c>
      <c r="Q6433" t="s">
        <v>53</v>
      </c>
    </row>
    <row r="6434" spans="1:17" x14ac:dyDescent="0.2">
      <c r="A6434" s="30" t="str">
        <f>IF(C6434&amp;G6434&amp;D6434&lt;&gt;'Funnel setup'!$K$3&amp;'Funnel setup'!$K$4&amp;'Funnel setup'!$K$5,".",IF(A6433=".",1,A6433+1))</f>
        <v>.</v>
      </c>
      <c r="B6434" s="431" t="str">
        <f t="shared" si="100"/>
        <v>Varicose VeinCCG of GP PracticeNHS SOUTH SEFTON CCG (01T)Aberdeen Varicose Vein Questionnaire</v>
      </c>
      <c r="C6434" t="s">
        <v>17</v>
      </c>
      <c r="D6434" t="s">
        <v>87</v>
      </c>
      <c r="E6434" t="s">
        <v>938</v>
      </c>
      <c r="F6434" t="s">
        <v>939</v>
      </c>
      <c r="G6434" t="s">
        <v>0</v>
      </c>
      <c r="H6434">
        <v>12</v>
      </c>
      <c r="I6434">
        <v>22.329000000000001</v>
      </c>
      <c r="J6434">
        <v>11.746</v>
      </c>
      <c r="K6434">
        <v>-10.583</v>
      </c>
      <c r="L6434">
        <v>11</v>
      </c>
      <c r="M6434">
        <v>0</v>
      </c>
      <c r="N6434">
        <v>1</v>
      </c>
      <c r="O6434" t="s">
        <v>53</v>
      </c>
      <c r="P6434" t="s">
        <v>53</v>
      </c>
      <c r="Q6434" t="s">
        <v>53</v>
      </c>
    </row>
    <row r="6435" spans="1:17" x14ac:dyDescent="0.2">
      <c r="A6435" s="30" t="str">
        <f>IF(C6435&amp;G6435&amp;D6435&lt;&gt;'Funnel setup'!$K$3&amp;'Funnel setup'!$K$4&amp;'Funnel setup'!$K$5,".",IF(A6434=".",1,A6434+1))</f>
        <v>.</v>
      </c>
      <c r="B6435" s="431" t="str">
        <f t="shared" si="100"/>
        <v>Varicose VeinCCG of GP PracticeNHS SOUTH TEES CCG (00M)Aberdeen Varicose Vein Questionnaire</v>
      </c>
      <c r="C6435" t="s">
        <v>17</v>
      </c>
      <c r="D6435" t="s">
        <v>87</v>
      </c>
      <c r="E6435" t="s">
        <v>941</v>
      </c>
      <c r="F6435" t="s">
        <v>942</v>
      </c>
      <c r="G6435" t="s">
        <v>0</v>
      </c>
      <c r="H6435">
        <v>25</v>
      </c>
      <c r="I6435">
        <v>20.847999999999999</v>
      </c>
      <c r="J6435">
        <v>12.211</v>
      </c>
      <c r="K6435">
        <v>-8.6370000000000005</v>
      </c>
      <c r="L6435">
        <v>22</v>
      </c>
      <c r="M6435">
        <v>0</v>
      </c>
      <c r="N6435">
        <v>3</v>
      </c>
      <c r="O6435" t="s">
        <v>53</v>
      </c>
      <c r="P6435" t="s">
        <v>53</v>
      </c>
      <c r="Q6435" t="s">
        <v>53</v>
      </c>
    </row>
    <row r="6436" spans="1:17" x14ac:dyDescent="0.2">
      <c r="A6436" s="30" t="str">
        <f>IF(C6436&amp;G6436&amp;D6436&lt;&gt;'Funnel setup'!$K$3&amp;'Funnel setup'!$K$4&amp;'Funnel setup'!$K$5,".",IF(A6435=".",1,A6435+1))</f>
        <v>.</v>
      </c>
      <c r="B6436" s="431" t="str">
        <f t="shared" si="100"/>
        <v>Varicose VeinCCG of GP PracticeNHS SOUTH TYNESIDE CCG (00N)Aberdeen Varicose Vein Questionnaire</v>
      </c>
      <c r="C6436" t="s">
        <v>17</v>
      </c>
      <c r="D6436" t="s">
        <v>87</v>
      </c>
      <c r="E6436" t="s">
        <v>1016</v>
      </c>
      <c r="F6436" t="s">
        <v>1017</v>
      </c>
      <c r="G6436" t="s">
        <v>0</v>
      </c>
      <c r="H6436">
        <v>112</v>
      </c>
      <c r="I6436">
        <v>19.242999999999999</v>
      </c>
      <c r="J6436">
        <v>12.93</v>
      </c>
      <c r="K6436">
        <v>-6.3140000000000001</v>
      </c>
      <c r="L6436">
        <v>93</v>
      </c>
      <c r="M6436">
        <v>0</v>
      </c>
      <c r="N6436">
        <v>19</v>
      </c>
      <c r="O6436">
        <v>12.093</v>
      </c>
      <c r="P6436">
        <v>-8.8293953770000009</v>
      </c>
      <c r="Q6436">
        <v>15.119</v>
      </c>
    </row>
    <row r="6437" spans="1:17" x14ac:dyDescent="0.2">
      <c r="A6437" s="30" t="str">
        <f>IF(C6437&amp;G6437&amp;D6437&lt;&gt;'Funnel setup'!$K$3&amp;'Funnel setup'!$K$4&amp;'Funnel setup'!$K$5,".",IF(A6436=".",1,A6436+1))</f>
        <v>.</v>
      </c>
      <c r="B6437" s="431" t="str">
        <f t="shared" si="100"/>
        <v>Varicose VeinCCG of GP PracticeNHS SOUTH WARWICKSHIRE CCG (05R)Aberdeen Varicose Vein Questionnaire</v>
      </c>
      <c r="C6437" t="s">
        <v>17</v>
      </c>
      <c r="D6437" t="s">
        <v>87</v>
      </c>
      <c r="E6437" t="s">
        <v>944</v>
      </c>
      <c r="F6437" t="s">
        <v>945</v>
      </c>
      <c r="G6437" t="s">
        <v>0</v>
      </c>
      <c r="H6437">
        <v>32</v>
      </c>
      <c r="I6437">
        <v>21.074000000000002</v>
      </c>
      <c r="J6437">
        <v>14.797000000000001</v>
      </c>
      <c r="K6437">
        <v>-6.2770000000000001</v>
      </c>
      <c r="L6437">
        <v>27</v>
      </c>
      <c r="M6437">
        <v>0</v>
      </c>
      <c r="N6437">
        <v>5</v>
      </c>
      <c r="O6437">
        <v>15.159000000000001</v>
      </c>
      <c r="P6437">
        <v>-5.7638949239999997</v>
      </c>
      <c r="Q6437">
        <v>19.193999999999999</v>
      </c>
    </row>
    <row r="6438" spans="1:17" x14ac:dyDescent="0.2">
      <c r="A6438" s="30" t="str">
        <f>IF(C6438&amp;G6438&amp;D6438&lt;&gt;'Funnel setup'!$K$3&amp;'Funnel setup'!$K$4&amp;'Funnel setup'!$K$5,".",IF(A6437=".",1,A6437+1))</f>
        <v>.</v>
      </c>
      <c r="B6438" s="431" t="str">
        <f t="shared" si="100"/>
        <v>Varicose VeinCCG of GP PracticeNHS SOUTH WEST LINCOLNSHIRE CCG (04Q)Aberdeen Varicose Vein Questionnaire</v>
      </c>
      <c r="C6438" t="s">
        <v>17</v>
      </c>
      <c r="D6438" t="s">
        <v>87</v>
      </c>
      <c r="E6438" t="s">
        <v>947</v>
      </c>
      <c r="F6438" t="s">
        <v>948</v>
      </c>
      <c r="G6438" t="s">
        <v>0</v>
      </c>
      <c r="H6438">
        <v>16</v>
      </c>
      <c r="I6438">
        <v>20.922000000000001</v>
      </c>
      <c r="J6438">
        <v>12.14</v>
      </c>
      <c r="K6438">
        <v>-8.782</v>
      </c>
      <c r="L6438">
        <v>15</v>
      </c>
      <c r="M6438">
        <v>0</v>
      </c>
      <c r="N6438">
        <v>1</v>
      </c>
      <c r="O6438" t="s">
        <v>53</v>
      </c>
      <c r="P6438" t="s">
        <v>53</v>
      </c>
      <c r="Q6438" t="s">
        <v>53</v>
      </c>
    </row>
    <row r="6439" spans="1:17" x14ac:dyDescent="0.2">
      <c r="A6439" s="30" t="str">
        <f>IF(C6439&amp;G6439&amp;D6439&lt;&gt;'Funnel setup'!$K$3&amp;'Funnel setup'!$K$4&amp;'Funnel setup'!$K$5,".",IF(A6438=".",1,A6438+1))</f>
        <v>.</v>
      </c>
      <c r="B6439" s="431" t="str">
        <f t="shared" si="100"/>
        <v>Varicose VeinCCG of GP PracticeNHS SOUTH WORCESTERSHIRE CCG (05T)Aberdeen Varicose Vein Questionnaire</v>
      </c>
      <c r="C6439" t="s">
        <v>17</v>
      </c>
      <c r="D6439" t="s">
        <v>87</v>
      </c>
      <c r="E6439" t="s">
        <v>950</v>
      </c>
      <c r="F6439" t="s">
        <v>951</v>
      </c>
      <c r="G6439" t="s">
        <v>0</v>
      </c>
      <c r="H6439">
        <v>11</v>
      </c>
      <c r="I6439">
        <v>17.163</v>
      </c>
      <c r="J6439">
        <v>14.289</v>
      </c>
      <c r="K6439">
        <v>-2.8730000000000002</v>
      </c>
      <c r="L6439">
        <v>8</v>
      </c>
      <c r="M6439">
        <v>0</v>
      </c>
      <c r="N6439">
        <v>3</v>
      </c>
      <c r="O6439" t="s">
        <v>53</v>
      </c>
      <c r="P6439" t="s">
        <v>53</v>
      </c>
      <c r="Q6439" t="s">
        <v>53</v>
      </c>
    </row>
    <row r="6440" spans="1:17" x14ac:dyDescent="0.2">
      <c r="A6440" s="30" t="str">
        <f>IF(C6440&amp;G6440&amp;D6440&lt;&gt;'Funnel setup'!$K$3&amp;'Funnel setup'!$K$4&amp;'Funnel setup'!$K$5,".",IF(A6439=".",1,A6439+1))</f>
        <v>.</v>
      </c>
      <c r="B6440" s="431" t="str">
        <f t="shared" si="100"/>
        <v>Varicose VeinCCG of GP PracticeNHS SOUTHAMPTON CCG (10X)Aberdeen Varicose Vein Questionnaire</v>
      </c>
      <c r="C6440" t="s">
        <v>17</v>
      </c>
      <c r="D6440" t="s">
        <v>87</v>
      </c>
      <c r="E6440" t="s">
        <v>953</v>
      </c>
      <c r="F6440" t="s">
        <v>954</v>
      </c>
      <c r="G6440" t="s">
        <v>0</v>
      </c>
      <c r="H6440">
        <v>7</v>
      </c>
      <c r="I6440">
        <v>18.716999999999999</v>
      </c>
      <c r="J6440">
        <v>7.5810000000000004</v>
      </c>
      <c r="K6440">
        <v>-11.135999999999999</v>
      </c>
      <c r="L6440">
        <v>5</v>
      </c>
      <c r="M6440">
        <v>0</v>
      </c>
      <c r="N6440">
        <v>2</v>
      </c>
      <c r="O6440" t="s">
        <v>53</v>
      </c>
      <c r="P6440" t="s">
        <v>53</v>
      </c>
      <c r="Q6440" t="s">
        <v>53</v>
      </c>
    </row>
    <row r="6441" spans="1:17" x14ac:dyDescent="0.2">
      <c r="A6441" s="30" t="str">
        <f>IF(C6441&amp;G6441&amp;D6441&lt;&gt;'Funnel setup'!$K$3&amp;'Funnel setup'!$K$4&amp;'Funnel setup'!$K$5,".",IF(A6440=".",1,A6440+1))</f>
        <v>.</v>
      </c>
      <c r="B6441" s="431" t="str">
        <f t="shared" si="100"/>
        <v>Varicose VeinCCG of GP PracticeNHS SOUTHEND CCG (99G)Aberdeen Varicose Vein Questionnaire</v>
      </c>
      <c r="C6441" t="s">
        <v>17</v>
      </c>
      <c r="D6441" t="s">
        <v>87</v>
      </c>
      <c r="E6441" t="s">
        <v>956</v>
      </c>
      <c r="F6441" t="s">
        <v>957</v>
      </c>
      <c r="G6441" t="s">
        <v>0</v>
      </c>
      <c r="H6441" t="s">
        <v>53</v>
      </c>
      <c r="I6441" t="s">
        <v>53</v>
      </c>
      <c r="J6441" t="s">
        <v>53</v>
      </c>
      <c r="K6441" t="s">
        <v>53</v>
      </c>
      <c r="L6441" t="s">
        <v>53</v>
      </c>
      <c r="M6441" t="s">
        <v>53</v>
      </c>
      <c r="N6441" t="s">
        <v>53</v>
      </c>
      <c r="O6441" t="s">
        <v>53</v>
      </c>
      <c r="P6441" t="s">
        <v>53</v>
      </c>
      <c r="Q6441" t="s">
        <v>53</v>
      </c>
    </row>
    <row r="6442" spans="1:17" x14ac:dyDescent="0.2">
      <c r="A6442" s="30" t="str">
        <f>IF(C6442&amp;G6442&amp;D6442&lt;&gt;'Funnel setup'!$K$3&amp;'Funnel setup'!$K$4&amp;'Funnel setup'!$K$5,".",IF(A6441=".",1,A6441+1))</f>
        <v>.</v>
      </c>
      <c r="B6442" s="431" t="str">
        <f t="shared" si="100"/>
        <v>Varicose VeinCCG of GP PracticeNHS SOUTHERN DERBYSHIRE CCG (04R)Aberdeen Varicose Vein Questionnaire</v>
      </c>
      <c r="C6442" t="s">
        <v>17</v>
      </c>
      <c r="D6442" t="s">
        <v>87</v>
      </c>
      <c r="E6442" t="s">
        <v>959</v>
      </c>
      <c r="F6442" t="s">
        <v>960</v>
      </c>
      <c r="G6442" t="s">
        <v>0</v>
      </c>
      <c r="H6442">
        <v>23</v>
      </c>
      <c r="I6442">
        <v>20.802</v>
      </c>
      <c r="J6442">
        <v>12.785</v>
      </c>
      <c r="K6442">
        <v>-8.0169999999999995</v>
      </c>
      <c r="L6442">
        <v>21</v>
      </c>
      <c r="M6442">
        <v>0</v>
      </c>
      <c r="N6442">
        <v>2</v>
      </c>
      <c r="O6442" t="s">
        <v>53</v>
      </c>
      <c r="P6442" t="s">
        <v>53</v>
      </c>
      <c r="Q6442" t="s">
        <v>53</v>
      </c>
    </row>
    <row r="6443" spans="1:17" x14ac:dyDescent="0.2">
      <c r="A6443" s="30" t="str">
        <f>IF(C6443&amp;G6443&amp;D6443&lt;&gt;'Funnel setup'!$K$3&amp;'Funnel setup'!$K$4&amp;'Funnel setup'!$K$5,".",IF(A6442=".",1,A6442+1))</f>
        <v>.</v>
      </c>
      <c r="B6443" s="431" t="str">
        <f t="shared" si="100"/>
        <v>Varicose VeinCCG of GP PracticeNHS SOUTHPORT AND FORMBY CCG (01V)Aberdeen Varicose Vein Questionnaire</v>
      </c>
      <c r="C6443" t="s">
        <v>17</v>
      </c>
      <c r="D6443" t="s">
        <v>87</v>
      </c>
      <c r="E6443" t="s">
        <v>962</v>
      </c>
      <c r="F6443" t="s">
        <v>963</v>
      </c>
      <c r="G6443" t="s">
        <v>0</v>
      </c>
      <c r="H6443">
        <v>36</v>
      </c>
      <c r="I6443">
        <v>24.61</v>
      </c>
      <c r="J6443">
        <v>15.439</v>
      </c>
      <c r="K6443">
        <v>-9.1709999999999994</v>
      </c>
      <c r="L6443">
        <v>30</v>
      </c>
      <c r="M6443">
        <v>0</v>
      </c>
      <c r="N6443">
        <v>6</v>
      </c>
      <c r="O6443">
        <v>17.417000000000002</v>
      </c>
      <c r="P6443">
        <v>-3.5058400600000001</v>
      </c>
      <c r="Q6443">
        <v>22.641999999999999</v>
      </c>
    </row>
    <row r="6444" spans="1:17" x14ac:dyDescent="0.2">
      <c r="A6444" s="30" t="str">
        <f>IF(C6444&amp;G6444&amp;D6444&lt;&gt;'Funnel setup'!$K$3&amp;'Funnel setup'!$K$4&amp;'Funnel setup'!$K$5,".",IF(A6443=".",1,A6443+1))</f>
        <v>.</v>
      </c>
      <c r="B6444" s="431" t="str">
        <f t="shared" si="100"/>
        <v>Varicose VeinCCG of GP PracticeNHS SOUTHWARK CCG (08Q)Aberdeen Varicose Vein Questionnaire</v>
      </c>
      <c r="C6444" t="s">
        <v>17</v>
      </c>
      <c r="D6444" t="s">
        <v>87</v>
      </c>
      <c r="E6444" t="s">
        <v>965</v>
      </c>
      <c r="F6444" t="s">
        <v>966</v>
      </c>
      <c r="G6444" t="s">
        <v>0</v>
      </c>
      <c r="H6444">
        <v>32</v>
      </c>
      <c r="I6444">
        <v>20.565999999999999</v>
      </c>
      <c r="J6444">
        <v>15.563000000000001</v>
      </c>
      <c r="K6444">
        <v>-5.0030000000000001</v>
      </c>
      <c r="L6444">
        <v>22</v>
      </c>
      <c r="M6444">
        <v>0</v>
      </c>
      <c r="N6444">
        <v>10</v>
      </c>
      <c r="O6444">
        <v>15.773999999999999</v>
      </c>
      <c r="P6444">
        <v>-5.1483959510000004</v>
      </c>
      <c r="Q6444">
        <v>21.558</v>
      </c>
    </row>
    <row r="6445" spans="1:17" x14ac:dyDescent="0.2">
      <c r="A6445" s="30" t="str">
        <f>IF(C6445&amp;G6445&amp;D6445&lt;&gt;'Funnel setup'!$K$3&amp;'Funnel setup'!$K$4&amp;'Funnel setup'!$K$5,".",IF(A6444=".",1,A6444+1))</f>
        <v>.</v>
      </c>
      <c r="B6445" s="431" t="str">
        <f t="shared" si="100"/>
        <v>Varicose VeinCCG of GP PracticeNHS ST HELENS CCG (01X)Aberdeen Varicose Vein Questionnaire</v>
      </c>
      <c r="C6445" t="s">
        <v>17</v>
      </c>
      <c r="D6445" t="s">
        <v>87</v>
      </c>
      <c r="E6445" t="s">
        <v>968</v>
      </c>
      <c r="F6445" t="s">
        <v>969</v>
      </c>
      <c r="G6445" t="s">
        <v>0</v>
      </c>
      <c r="H6445">
        <v>19</v>
      </c>
      <c r="I6445">
        <v>20.826000000000001</v>
      </c>
      <c r="J6445">
        <v>17.655000000000001</v>
      </c>
      <c r="K6445">
        <v>-3.1709999999999998</v>
      </c>
      <c r="L6445">
        <v>12</v>
      </c>
      <c r="M6445">
        <v>0</v>
      </c>
      <c r="N6445">
        <v>7</v>
      </c>
      <c r="O6445" t="s">
        <v>53</v>
      </c>
      <c r="P6445" t="s">
        <v>53</v>
      </c>
      <c r="Q6445" t="s">
        <v>53</v>
      </c>
    </row>
    <row r="6446" spans="1:17" x14ac:dyDescent="0.2">
      <c r="A6446" s="30" t="str">
        <f>IF(C6446&amp;G6446&amp;D6446&lt;&gt;'Funnel setup'!$K$3&amp;'Funnel setup'!$K$4&amp;'Funnel setup'!$K$5,".",IF(A6445=".",1,A6445+1))</f>
        <v>.</v>
      </c>
      <c r="B6446" s="431" t="str">
        <f t="shared" si="100"/>
        <v>Varicose VeinCCG of GP PracticeNHS STAFFORD AND SURROUNDS CCG (05V)Aberdeen Varicose Vein Questionnaire</v>
      </c>
      <c r="C6446" t="s">
        <v>17</v>
      </c>
      <c r="D6446" t="s">
        <v>87</v>
      </c>
      <c r="E6446" t="s">
        <v>971</v>
      </c>
      <c r="F6446" t="s">
        <v>972</v>
      </c>
      <c r="G6446" t="s">
        <v>0</v>
      </c>
      <c r="H6446">
        <v>12</v>
      </c>
      <c r="I6446">
        <v>25.359000000000002</v>
      </c>
      <c r="J6446">
        <v>9.9350000000000005</v>
      </c>
      <c r="K6446">
        <v>-15.423999999999999</v>
      </c>
      <c r="L6446">
        <v>11</v>
      </c>
      <c r="M6446">
        <v>0</v>
      </c>
      <c r="N6446">
        <v>1</v>
      </c>
      <c r="O6446" t="s">
        <v>53</v>
      </c>
      <c r="P6446" t="s">
        <v>53</v>
      </c>
      <c r="Q6446" t="s">
        <v>53</v>
      </c>
    </row>
    <row r="6447" spans="1:17" x14ac:dyDescent="0.2">
      <c r="A6447" s="30" t="str">
        <f>IF(C6447&amp;G6447&amp;D6447&lt;&gt;'Funnel setup'!$K$3&amp;'Funnel setup'!$K$4&amp;'Funnel setup'!$K$5,".",IF(A6446=".",1,A6446+1))</f>
        <v>.</v>
      </c>
      <c r="B6447" s="431" t="str">
        <f t="shared" si="100"/>
        <v>Varicose VeinCCG of GP PracticeNHS STOCKPORT CCG (01W)Aberdeen Varicose Vein Questionnaire</v>
      </c>
      <c r="C6447" t="s">
        <v>17</v>
      </c>
      <c r="D6447" t="s">
        <v>87</v>
      </c>
      <c r="E6447" t="s">
        <v>974</v>
      </c>
      <c r="F6447" t="s">
        <v>975</v>
      </c>
      <c r="G6447" t="s">
        <v>0</v>
      </c>
      <c r="H6447">
        <v>19</v>
      </c>
      <c r="I6447">
        <v>23.117999999999999</v>
      </c>
      <c r="J6447">
        <v>11.518000000000001</v>
      </c>
      <c r="K6447">
        <v>-11.6</v>
      </c>
      <c r="L6447">
        <v>16</v>
      </c>
      <c r="M6447">
        <v>0</v>
      </c>
      <c r="N6447">
        <v>3</v>
      </c>
      <c r="O6447" t="s">
        <v>53</v>
      </c>
      <c r="P6447" t="s">
        <v>53</v>
      </c>
      <c r="Q6447" t="s">
        <v>53</v>
      </c>
    </row>
    <row r="6448" spans="1:17" x14ac:dyDescent="0.2">
      <c r="A6448" s="30" t="str">
        <f>IF(C6448&amp;G6448&amp;D6448&lt;&gt;'Funnel setup'!$K$3&amp;'Funnel setup'!$K$4&amp;'Funnel setup'!$K$5,".",IF(A6447=".",1,A6447+1))</f>
        <v>.</v>
      </c>
      <c r="B6448" s="431" t="str">
        <f t="shared" si="100"/>
        <v>Varicose VeinCCG of GP PracticeNHS STOKE ON TRENT CCG (05W)Aberdeen Varicose Vein Questionnaire</v>
      </c>
      <c r="C6448" t="s">
        <v>17</v>
      </c>
      <c r="D6448" t="s">
        <v>87</v>
      </c>
      <c r="E6448" t="s">
        <v>977</v>
      </c>
      <c r="F6448" t="s">
        <v>978</v>
      </c>
      <c r="G6448" t="s">
        <v>0</v>
      </c>
      <c r="H6448" t="s">
        <v>53</v>
      </c>
      <c r="I6448" t="s">
        <v>53</v>
      </c>
      <c r="J6448" t="s">
        <v>53</v>
      </c>
      <c r="K6448" t="s">
        <v>53</v>
      </c>
      <c r="L6448" t="s">
        <v>53</v>
      </c>
      <c r="M6448" t="s">
        <v>53</v>
      </c>
      <c r="N6448" t="s">
        <v>53</v>
      </c>
      <c r="O6448" t="s">
        <v>53</v>
      </c>
      <c r="P6448" t="s">
        <v>53</v>
      </c>
      <c r="Q6448" t="s">
        <v>53</v>
      </c>
    </row>
    <row r="6449" spans="1:17" x14ac:dyDescent="0.2">
      <c r="A6449" s="30" t="str">
        <f>IF(C6449&amp;G6449&amp;D6449&lt;&gt;'Funnel setup'!$K$3&amp;'Funnel setup'!$K$4&amp;'Funnel setup'!$K$5,".",IF(A6448=".",1,A6448+1))</f>
        <v>.</v>
      </c>
      <c r="B6449" s="431" t="str">
        <f t="shared" si="100"/>
        <v>Varicose VeinCCG of GP PracticeNHS SUNDERLAND CCG (00P)Aberdeen Varicose Vein Questionnaire</v>
      </c>
      <c r="C6449" t="s">
        <v>17</v>
      </c>
      <c r="D6449" t="s">
        <v>87</v>
      </c>
      <c r="E6449" t="s">
        <v>980</v>
      </c>
      <c r="F6449" t="s">
        <v>981</v>
      </c>
      <c r="G6449" t="s">
        <v>0</v>
      </c>
      <c r="H6449">
        <v>144</v>
      </c>
      <c r="I6449">
        <v>17.635000000000002</v>
      </c>
      <c r="J6449">
        <v>12.202</v>
      </c>
      <c r="K6449">
        <v>-5.4329999999999998</v>
      </c>
      <c r="L6449">
        <v>109</v>
      </c>
      <c r="M6449">
        <v>1</v>
      </c>
      <c r="N6449">
        <v>34</v>
      </c>
      <c r="O6449">
        <v>10.518000000000001</v>
      </c>
      <c r="P6449">
        <v>-10.4041937</v>
      </c>
      <c r="Q6449">
        <v>13.166</v>
      </c>
    </row>
    <row r="6450" spans="1:17" x14ac:dyDescent="0.2">
      <c r="A6450" s="30" t="str">
        <f>IF(C6450&amp;G6450&amp;D6450&lt;&gt;'Funnel setup'!$K$3&amp;'Funnel setup'!$K$4&amp;'Funnel setup'!$K$5,".",IF(A6449=".",1,A6449+1))</f>
        <v>.</v>
      </c>
      <c r="B6450" s="431" t="str">
        <f t="shared" si="100"/>
        <v>Varicose VeinCCG of GP PracticeNHS SURREY DOWNS CCG (99H)Aberdeen Varicose Vein Questionnaire</v>
      </c>
      <c r="C6450" t="s">
        <v>17</v>
      </c>
      <c r="D6450" t="s">
        <v>87</v>
      </c>
      <c r="E6450" t="s">
        <v>983</v>
      </c>
      <c r="F6450" t="s">
        <v>984</v>
      </c>
      <c r="G6450" t="s">
        <v>0</v>
      </c>
      <c r="H6450">
        <v>33</v>
      </c>
      <c r="I6450">
        <v>25.917000000000002</v>
      </c>
      <c r="J6450">
        <v>13.734999999999999</v>
      </c>
      <c r="K6450">
        <v>-12.182</v>
      </c>
      <c r="L6450">
        <v>31</v>
      </c>
      <c r="M6450">
        <v>0</v>
      </c>
      <c r="N6450">
        <v>2</v>
      </c>
      <c r="O6450">
        <v>16.420000000000002</v>
      </c>
      <c r="P6450">
        <v>-4.5020335720000002</v>
      </c>
      <c r="Q6450">
        <v>17.594999999999999</v>
      </c>
    </row>
    <row r="6451" spans="1:17" x14ac:dyDescent="0.2">
      <c r="A6451" s="30" t="str">
        <f>IF(C6451&amp;G6451&amp;D6451&lt;&gt;'Funnel setup'!$K$3&amp;'Funnel setup'!$K$4&amp;'Funnel setup'!$K$5,".",IF(A6450=".",1,A6450+1))</f>
        <v>.</v>
      </c>
      <c r="B6451" s="431" t="str">
        <f t="shared" si="100"/>
        <v>Varicose VeinCCG of GP PracticeNHS SURREY HEATH CCG (10C)Aberdeen Varicose Vein Questionnaire</v>
      </c>
      <c r="C6451" t="s">
        <v>17</v>
      </c>
      <c r="D6451" t="s">
        <v>87</v>
      </c>
      <c r="E6451" t="s">
        <v>986</v>
      </c>
      <c r="F6451" t="s">
        <v>987</v>
      </c>
      <c r="G6451" t="s">
        <v>0</v>
      </c>
      <c r="H6451" t="s">
        <v>53</v>
      </c>
      <c r="I6451" t="s">
        <v>53</v>
      </c>
      <c r="J6451" t="s">
        <v>53</v>
      </c>
      <c r="K6451" t="s">
        <v>53</v>
      </c>
      <c r="L6451" t="s">
        <v>53</v>
      </c>
      <c r="M6451" t="s">
        <v>53</v>
      </c>
      <c r="N6451" t="s">
        <v>53</v>
      </c>
      <c r="O6451" t="s">
        <v>53</v>
      </c>
      <c r="P6451" t="s">
        <v>53</v>
      </c>
      <c r="Q6451" t="s">
        <v>53</v>
      </c>
    </row>
    <row r="6452" spans="1:17" x14ac:dyDescent="0.2">
      <c r="A6452" s="30" t="str">
        <f>IF(C6452&amp;G6452&amp;D6452&lt;&gt;'Funnel setup'!$K$3&amp;'Funnel setup'!$K$4&amp;'Funnel setup'!$K$5,".",IF(A6451=".",1,A6451+1))</f>
        <v>.</v>
      </c>
      <c r="B6452" s="431" t="str">
        <f t="shared" si="100"/>
        <v>Varicose VeinCCG of GP PracticeNHS SUTTON CCG (08T)Aberdeen Varicose Vein Questionnaire</v>
      </c>
      <c r="C6452" t="s">
        <v>17</v>
      </c>
      <c r="D6452" t="s">
        <v>87</v>
      </c>
      <c r="E6452" t="s">
        <v>989</v>
      </c>
      <c r="F6452" t="s">
        <v>990</v>
      </c>
      <c r="G6452" t="s">
        <v>0</v>
      </c>
      <c r="H6452">
        <v>16</v>
      </c>
      <c r="I6452">
        <v>26.561</v>
      </c>
      <c r="J6452">
        <v>13.478999999999999</v>
      </c>
      <c r="K6452">
        <v>-13.082000000000001</v>
      </c>
      <c r="L6452">
        <v>14</v>
      </c>
      <c r="M6452">
        <v>0</v>
      </c>
      <c r="N6452">
        <v>2</v>
      </c>
      <c r="O6452" t="s">
        <v>53</v>
      </c>
      <c r="P6452" t="s">
        <v>53</v>
      </c>
      <c r="Q6452" t="s">
        <v>53</v>
      </c>
    </row>
    <row r="6453" spans="1:17" x14ac:dyDescent="0.2">
      <c r="A6453" s="30" t="str">
        <f>IF(C6453&amp;G6453&amp;D6453&lt;&gt;'Funnel setup'!$K$3&amp;'Funnel setup'!$K$4&amp;'Funnel setup'!$K$5,".",IF(A6452=".",1,A6452+1))</f>
        <v>.</v>
      </c>
      <c r="B6453" s="431" t="str">
        <f t="shared" si="100"/>
        <v>Varicose VeinCCG of GP PracticeNHS SWALE CCG (10D)Aberdeen Varicose Vein Questionnaire</v>
      </c>
      <c r="C6453" t="s">
        <v>17</v>
      </c>
      <c r="D6453" t="s">
        <v>87</v>
      </c>
      <c r="E6453" t="s">
        <v>992</v>
      </c>
      <c r="F6453" t="s">
        <v>993</v>
      </c>
      <c r="G6453" t="s">
        <v>0</v>
      </c>
      <c r="H6453" t="s">
        <v>53</v>
      </c>
      <c r="I6453" t="s">
        <v>53</v>
      </c>
      <c r="J6453" t="s">
        <v>53</v>
      </c>
      <c r="K6453" t="s">
        <v>53</v>
      </c>
      <c r="L6453" t="s">
        <v>53</v>
      </c>
      <c r="M6453" t="s">
        <v>53</v>
      </c>
      <c r="N6453" t="s">
        <v>53</v>
      </c>
      <c r="O6453" t="s">
        <v>53</v>
      </c>
      <c r="P6453" t="s">
        <v>53</v>
      </c>
      <c r="Q6453" t="s">
        <v>53</v>
      </c>
    </row>
    <row r="6454" spans="1:17" x14ac:dyDescent="0.2">
      <c r="A6454" s="30" t="str">
        <f>IF(C6454&amp;G6454&amp;D6454&lt;&gt;'Funnel setup'!$K$3&amp;'Funnel setup'!$K$4&amp;'Funnel setup'!$K$5,".",IF(A6453=".",1,A6453+1))</f>
        <v>.</v>
      </c>
      <c r="B6454" s="431" t="str">
        <f t="shared" si="100"/>
        <v>Varicose VeinCCG of GP PracticeNHS SWINDON CCG (12D)Aberdeen Varicose Vein Questionnaire</v>
      </c>
      <c r="C6454" t="s">
        <v>17</v>
      </c>
      <c r="D6454" t="s">
        <v>87</v>
      </c>
      <c r="E6454" t="s">
        <v>995</v>
      </c>
      <c r="F6454" t="s">
        <v>996</v>
      </c>
      <c r="G6454" t="s">
        <v>0</v>
      </c>
      <c r="H6454">
        <v>40</v>
      </c>
      <c r="I6454">
        <v>22.843</v>
      </c>
      <c r="J6454">
        <v>15.173</v>
      </c>
      <c r="K6454">
        <v>-7.67</v>
      </c>
      <c r="L6454">
        <v>34</v>
      </c>
      <c r="M6454">
        <v>0</v>
      </c>
      <c r="N6454">
        <v>6</v>
      </c>
      <c r="O6454">
        <v>15.95</v>
      </c>
      <c r="P6454">
        <v>-4.9728219410000003</v>
      </c>
      <c r="Q6454">
        <v>22.231000000000002</v>
      </c>
    </row>
    <row r="6455" spans="1:17" x14ac:dyDescent="0.2">
      <c r="A6455" s="30" t="str">
        <f>IF(C6455&amp;G6455&amp;D6455&lt;&gt;'Funnel setup'!$K$3&amp;'Funnel setup'!$K$4&amp;'Funnel setup'!$K$5,".",IF(A6454=".",1,A6454+1))</f>
        <v>.</v>
      </c>
      <c r="B6455" s="431" t="str">
        <f t="shared" si="100"/>
        <v>Varicose VeinCCG of GP PracticeNHS TAMESIDE AND GLOSSOP CCG (01Y)Aberdeen Varicose Vein Questionnaire</v>
      </c>
      <c r="C6455" t="s">
        <v>17</v>
      </c>
      <c r="D6455" t="s">
        <v>87</v>
      </c>
      <c r="E6455" t="s">
        <v>998</v>
      </c>
      <c r="F6455" t="s">
        <v>999</v>
      </c>
      <c r="G6455" t="s">
        <v>0</v>
      </c>
      <c r="H6455">
        <v>30</v>
      </c>
      <c r="I6455">
        <v>20.164999999999999</v>
      </c>
      <c r="J6455">
        <v>16.23</v>
      </c>
      <c r="K6455">
        <v>-3.9350000000000001</v>
      </c>
      <c r="L6455">
        <v>19</v>
      </c>
      <c r="M6455">
        <v>1</v>
      </c>
      <c r="N6455">
        <v>10</v>
      </c>
      <c r="O6455">
        <v>16.472999999999999</v>
      </c>
      <c r="P6455">
        <v>-4.4494301299999997</v>
      </c>
      <c r="Q6455">
        <v>18.399999999999999</v>
      </c>
    </row>
    <row r="6456" spans="1:17" x14ac:dyDescent="0.2">
      <c r="A6456" s="30" t="str">
        <f>IF(C6456&amp;G6456&amp;D6456&lt;&gt;'Funnel setup'!$K$3&amp;'Funnel setup'!$K$4&amp;'Funnel setup'!$K$5,".",IF(A6455=".",1,A6455+1))</f>
        <v>.</v>
      </c>
      <c r="B6456" s="431" t="str">
        <f t="shared" si="100"/>
        <v>Varicose VeinCCG of GP PracticeNHS TELFORD AND WREKIN CCG (05X)Aberdeen Varicose Vein Questionnaire</v>
      </c>
      <c r="C6456" t="s">
        <v>17</v>
      </c>
      <c r="D6456" t="s">
        <v>87</v>
      </c>
      <c r="E6456" t="s">
        <v>1001</v>
      </c>
      <c r="F6456" t="s">
        <v>1002</v>
      </c>
      <c r="G6456" t="s">
        <v>0</v>
      </c>
      <c r="H6456">
        <v>8</v>
      </c>
      <c r="I6456">
        <v>29.504000000000001</v>
      </c>
      <c r="J6456">
        <v>11.206</v>
      </c>
      <c r="K6456">
        <v>-18.297999999999998</v>
      </c>
      <c r="L6456">
        <v>8</v>
      </c>
      <c r="M6456">
        <v>0</v>
      </c>
      <c r="N6456">
        <v>0</v>
      </c>
      <c r="O6456" t="s">
        <v>53</v>
      </c>
      <c r="P6456" t="s">
        <v>53</v>
      </c>
      <c r="Q6456" t="s">
        <v>53</v>
      </c>
    </row>
    <row r="6457" spans="1:17" x14ac:dyDescent="0.2">
      <c r="A6457" s="30" t="str">
        <f>IF(C6457&amp;G6457&amp;D6457&lt;&gt;'Funnel setup'!$K$3&amp;'Funnel setup'!$K$4&amp;'Funnel setup'!$K$5,".",IF(A6456=".",1,A6456+1))</f>
        <v>.</v>
      </c>
      <c r="B6457" s="431" t="str">
        <f t="shared" si="100"/>
        <v>Varicose VeinCCG of GP PracticeNHS THURROCK CCG (07G)Aberdeen Varicose Vein Questionnaire</v>
      </c>
      <c r="C6457" t="s">
        <v>17</v>
      </c>
      <c r="D6457" t="s">
        <v>87</v>
      </c>
      <c r="E6457" t="s">
        <v>1007</v>
      </c>
      <c r="F6457" t="s">
        <v>1008</v>
      </c>
      <c r="G6457" t="s">
        <v>0</v>
      </c>
      <c r="H6457" t="s">
        <v>53</v>
      </c>
      <c r="I6457" t="s">
        <v>53</v>
      </c>
      <c r="J6457" t="s">
        <v>53</v>
      </c>
      <c r="K6457" t="s">
        <v>53</v>
      </c>
      <c r="L6457" t="s">
        <v>53</v>
      </c>
      <c r="M6457" t="s">
        <v>53</v>
      </c>
      <c r="N6457" t="s">
        <v>53</v>
      </c>
      <c r="O6457" t="s">
        <v>53</v>
      </c>
      <c r="P6457" t="s">
        <v>53</v>
      </c>
      <c r="Q6457" t="s">
        <v>53</v>
      </c>
    </row>
    <row r="6458" spans="1:17" x14ac:dyDescent="0.2">
      <c r="A6458" s="30" t="str">
        <f>IF(C6458&amp;G6458&amp;D6458&lt;&gt;'Funnel setup'!$K$3&amp;'Funnel setup'!$K$4&amp;'Funnel setup'!$K$5,".",IF(A6457=".",1,A6457+1))</f>
        <v>.</v>
      </c>
      <c r="B6458" s="431" t="str">
        <f t="shared" si="100"/>
        <v>Varicose VeinCCG of GP PracticeNHS TOWER HAMLETS CCG (08V)Aberdeen Varicose Vein Questionnaire</v>
      </c>
      <c r="C6458" t="s">
        <v>17</v>
      </c>
      <c r="D6458" t="s">
        <v>87</v>
      </c>
      <c r="E6458" t="s">
        <v>1010</v>
      </c>
      <c r="F6458" t="s">
        <v>1011</v>
      </c>
      <c r="G6458" t="s">
        <v>0</v>
      </c>
      <c r="H6458">
        <v>7</v>
      </c>
      <c r="I6458">
        <v>18.669</v>
      </c>
      <c r="J6458">
        <v>9.6839999999999993</v>
      </c>
      <c r="K6458">
        <v>-8.9849999999999994</v>
      </c>
      <c r="L6458">
        <v>6</v>
      </c>
      <c r="M6458">
        <v>0</v>
      </c>
      <c r="N6458">
        <v>1</v>
      </c>
      <c r="O6458" t="s">
        <v>53</v>
      </c>
      <c r="P6458" t="s">
        <v>53</v>
      </c>
      <c r="Q6458" t="s">
        <v>53</v>
      </c>
    </row>
    <row r="6459" spans="1:17" x14ac:dyDescent="0.2">
      <c r="A6459" s="30" t="str">
        <f>IF(C6459&amp;G6459&amp;D6459&lt;&gt;'Funnel setup'!$K$3&amp;'Funnel setup'!$K$4&amp;'Funnel setup'!$K$5,".",IF(A6458=".",1,A6458+1))</f>
        <v>.</v>
      </c>
      <c r="B6459" s="431" t="str">
        <f t="shared" si="100"/>
        <v>Varicose VeinCCG of GP PracticeNHS TRAFFORD CCG (02A)Aberdeen Varicose Vein Questionnaire</v>
      </c>
      <c r="C6459" t="s">
        <v>17</v>
      </c>
      <c r="D6459" t="s">
        <v>87</v>
      </c>
      <c r="E6459" t="s">
        <v>1013</v>
      </c>
      <c r="F6459" t="s">
        <v>1014</v>
      </c>
      <c r="G6459" t="s">
        <v>0</v>
      </c>
      <c r="H6459">
        <v>34</v>
      </c>
      <c r="I6459">
        <v>16.541</v>
      </c>
      <c r="J6459">
        <v>8.0109999999999992</v>
      </c>
      <c r="K6459">
        <v>-8.5299999999999994</v>
      </c>
      <c r="L6459">
        <v>30</v>
      </c>
      <c r="M6459">
        <v>0</v>
      </c>
      <c r="N6459">
        <v>4</v>
      </c>
      <c r="O6459">
        <v>5.1029999999999998</v>
      </c>
      <c r="P6459">
        <v>-15.819059620000001</v>
      </c>
      <c r="Q6459">
        <v>10.109</v>
      </c>
    </row>
    <row r="6460" spans="1:17" x14ac:dyDescent="0.2">
      <c r="A6460" s="30" t="str">
        <f>IF(C6460&amp;G6460&amp;D6460&lt;&gt;'Funnel setup'!$K$3&amp;'Funnel setup'!$K$4&amp;'Funnel setup'!$K$5,".",IF(A6459=".",1,A6459+1))</f>
        <v>.</v>
      </c>
      <c r="B6460" s="431" t="str">
        <f t="shared" si="100"/>
        <v>Varicose VeinCCG of GP PracticeNHS VALE OF YORK CCG (03Q)Aberdeen Varicose Vein Questionnaire</v>
      </c>
      <c r="C6460" t="s">
        <v>17</v>
      </c>
      <c r="D6460" t="s">
        <v>87</v>
      </c>
      <c r="E6460" t="s">
        <v>420</v>
      </c>
      <c r="F6460" t="s">
        <v>421</v>
      </c>
      <c r="G6460" t="s">
        <v>0</v>
      </c>
      <c r="H6460">
        <v>33</v>
      </c>
      <c r="I6460">
        <v>23.556999999999999</v>
      </c>
      <c r="J6460">
        <v>8.8510000000000009</v>
      </c>
      <c r="K6460">
        <v>-14.706</v>
      </c>
      <c r="L6460">
        <v>31</v>
      </c>
      <c r="M6460">
        <v>0</v>
      </c>
      <c r="N6460">
        <v>2</v>
      </c>
      <c r="O6460">
        <v>9.7569999999999997</v>
      </c>
      <c r="P6460">
        <v>-11.165431099999999</v>
      </c>
      <c r="Q6460">
        <v>16.984000000000002</v>
      </c>
    </row>
    <row r="6461" spans="1:17" x14ac:dyDescent="0.2">
      <c r="A6461" s="30" t="str">
        <f>IF(C6461&amp;G6461&amp;D6461&lt;&gt;'Funnel setup'!$K$3&amp;'Funnel setup'!$K$4&amp;'Funnel setup'!$K$5,".",IF(A6460=".",1,A6460+1))</f>
        <v>.</v>
      </c>
      <c r="B6461" s="431" t="str">
        <f t="shared" si="100"/>
        <v>Varicose VeinCCG of GP PracticeNHS VALE ROYAL CCG (02D)Aberdeen Varicose Vein Questionnaire</v>
      </c>
      <c r="C6461" t="s">
        <v>17</v>
      </c>
      <c r="D6461" t="s">
        <v>87</v>
      </c>
      <c r="E6461" t="s">
        <v>423</v>
      </c>
      <c r="F6461" t="s">
        <v>424</v>
      </c>
      <c r="G6461" t="s">
        <v>0</v>
      </c>
      <c r="H6461" t="s">
        <v>53</v>
      </c>
      <c r="I6461" t="s">
        <v>53</v>
      </c>
      <c r="J6461" t="s">
        <v>53</v>
      </c>
      <c r="K6461" t="s">
        <v>53</v>
      </c>
      <c r="L6461" t="s">
        <v>53</v>
      </c>
      <c r="M6461" t="s">
        <v>53</v>
      </c>
      <c r="N6461" t="s">
        <v>53</v>
      </c>
      <c r="O6461" t="s">
        <v>53</v>
      </c>
      <c r="P6461" t="s">
        <v>53</v>
      </c>
      <c r="Q6461" t="s">
        <v>53</v>
      </c>
    </row>
    <row r="6462" spans="1:17" x14ac:dyDescent="0.2">
      <c r="A6462" s="30" t="str">
        <f>IF(C6462&amp;G6462&amp;D6462&lt;&gt;'Funnel setup'!$K$3&amp;'Funnel setup'!$K$4&amp;'Funnel setup'!$K$5,".",IF(A6461=".",1,A6461+1))</f>
        <v>.</v>
      </c>
      <c r="B6462" s="431" t="str">
        <f t="shared" si="100"/>
        <v>Varicose VeinCCG of GP PracticeNHS WAKEFIELD CCG (03R)Aberdeen Varicose Vein Questionnaire</v>
      </c>
      <c r="C6462" t="s">
        <v>17</v>
      </c>
      <c r="D6462" t="s">
        <v>87</v>
      </c>
      <c r="E6462" t="s">
        <v>426</v>
      </c>
      <c r="F6462" t="s">
        <v>427</v>
      </c>
      <c r="G6462" t="s">
        <v>0</v>
      </c>
      <c r="H6462">
        <v>81</v>
      </c>
      <c r="I6462">
        <v>18.716999999999999</v>
      </c>
      <c r="J6462">
        <v>10.461</v>
      </c>
      <c r="K6462">
        <v>-8.2569999999999997</v>
      </c>
      <c r="L6462">
        <v>66</v>
      </c>
      <c r="M6462">
        <v>0</v>
      </c>
      <c r="N6462">
        <v>15</v>
      </c>
      <c r="O6462">
        <v>9.1069999999999993</v>
      </c>
      <c r="P6462">
        <v>-11.81565668</v>
      </c>
      <c r="Q6462">
        <v>14.23</v>
      </c>
    </row>
    <row r="6463" spans="1:17" x14ac:dyDescent="0.2">
      <c r="A6463" s="30" t="str">
        <f>IF(C6463&amp;G6463&amp;D6463&lt;&gt;'Funnel setup'!$K$3&amp;'Funnel setup'!$K$4&amp;'Funnel setup'!$K$5,".",IF(A6462=".",1,A6462+1))</f>
        <v>.</v>
      </c>
      <c r="B6463" s="431" t="str">
        <f t="shared" si="100"/>
        <v>Varicose VeinCCG of GP PracticeNHS WALSALL CCG (05Y)Aberdeen Varicose Vein Questionnaire</v>
      </c>
      <c r="C6463" t="s">
        <v>17</v>
      </c>
      <c r="D6463" t="s">
        <v>87</v>
      </c>
      <c r="E6463" t="s">
        <v>429</v>
      </c>
      <c r="F6463" t="s">
        <v>430</v>
      </c>
      <c r="G6463" t="s">
        <v>0</v>
      </c>
      <c r="H6463">
        <v>29</v>
      </c>
      <c r="I6463">
        <v>22.776</v>
      </c>
      <c r="J6463">
        <v>14.433</v>
      </c>
      <c r="K6463">
        <v>-8.3420000000000005</v>
      </c>
      <c r="L6463">
        <v>25</v>
      </c>
      <c r="M6463">
        <v>0</v>
      </c>
      <c r="N6463">
        <v>4</v>
      </c>
      <c r="O6463" t="s">
        <v>53</v>
      </c>
      <c r="P6463" t="s">
        <v>53</v>
      </c>
      <c r="Q6463" t="s">
        <v>53</v>
      </c>
    </row>
    <row r="6464" spans="1:17" x14ac:dyDescent="0.2">
      <c r="A6464" s="30" t="str">
        <f>IF(C6464&amp;G6464&amp;D6464&lt;&gt;'Funnel setup'!$K$3&amp;'Funnel setup'!$K$4&amp;'Funnel setup'!$K$5,".",IF(A6463=".",1,A6463+1))</f>
        <v>.</v>
      </c>
      <c r="B6464" s="431" t="str">
        <f t="shared" si="100"/>
        <v>Varicose VeinCCG of GP PracticeNHS WALTHAM FOREST CCG (08W)Aberdeen Varicose Vein Questionnaire</v>
      </c>
      <c r="C6464" t="s">
        <v>17</v>
      </c>
      <c r="D6464" t="s">
        <v>87</v>
      </c>
      <c r="E6464" t="s">
        <v>432</v>
      </c>
      <c r="F6464" t="s">
        <v>433</v>
      </c>
      <c r="G6464" t="s">
        <v>0</v>
      </c>
      <c r="H6464">
        <v>16</v>
      </c>
      <c r="I6464">
        <v>23.986999999999998</v>
      </c>
      <c r="J6464">
        <v>17.626999999999999</v>
      </c>
      <c r="K6464">
        <v>-6.36</v>
      </c>
      <c r="L6464">
        <v>13</v>
      </c>
      <c r="M6464">
        <v>0</v>
      </c>
      <c r="N6464">
        <v>3</v>
      </c>
      <c r="O6464" t="s">
        <v>53</v>
      </c>
      <c r="P6464" t="s">
        <v>53</v>
      </c>
      <c r="Q6464" t="s">
        <v>53</v>
      </c>
    </row>
    <row r="6465" spans="1:17" x14ac:dyDescent="0.2">
      <c r="A6465" s="30" t="str">
        <f>IF(C6465&amp;G6465&amp;D6465&lt;&gt;'Funnel setup'!$K$3&amp;'Funnel setup'!$K$4&amp;'Funnel setup'!$K$5,".",IF(A6464=".",1,A6464+1))</f>
        <v>.</v>
      </c>
      <c r="B6465" s="431" t="str">
        <f t="shared" si="100"/>
        <v>Varicose VeinCCG of GP PracticeNHS WANDSWORTH CCG (08X)Aberdeen Varicose Vein Questionnaire</v>
      </c>
      <c r="C6465" t="s">
        <v>17</v>
      </c>
      <c r="D6465" t="s">
        <v>87</v>
      </c>
      <c r="E6465" t="s">
        <v>435</v>
      </c>
      <c r="F6465" t="s">
        <v>436</v>
      </c>
      <c r="G6465" t="s">
        <v>0</v>
      </c>
      <c r="H6465">
        <v>29</v>
      </c>
      <c r="I6465">
        <v>20.724</v>
      </c>
      <c r="J6465">
        <v>16.172000000000001</v>
      </c>
      <c r="K6465">
        <v>-4.5519999999999996</v>
      </c>
      <c r="L6465">
        <v>21</v>
      </c>
      <c r="M6465">
        <v>0</v>
      </c>
      <c r="N6465">
        <v>8</v>
      </c>
      <c r="O6465" t="s">
        <v>53</v>
      </c>
      <c r="P6465" t="s">
        <v>53</v>
      </c>
      <c r="Q6465" t="s">
        <v>53</v>
      </c>
    </row>
    <row r="6466" spans="1:17" x14ac:dyDescent="0.2">
      <c r="A6466" s="30" t="str">
        <f>IF(C6466&amp;G6466&amp;D6466&lt;&gt;'Funnel setup'!$K$3&amp;'Funnel setup'!$K$4&amp;'Funnel setup'!$K$5,".",IF(A6465=".",1,A6465+1))</f>
        <v>.</v>
      </c>
      <c r="B6466" s="431" t="str">
        <f t="shared" si="100"/>
        <v>Varicose VeinCCG of GP PracticeNHS WARRINGTON CCG (02E)Aberdeen Varicose Vein Questionnaire</v>
      </c>
      <c r="C6466" t="s">
        <v>17</v>
      </c>
      <c r="D6466" t="s">
        <v>87</v>
      </c>
      <c r="E6466" t="s">
        <v>441</v>
      </c>
      <c r="F6466" t="s">
        <v>442</v>
      </c>
      <c r="G6466" t="s">
        <v>0</v>
      </c>
      <c r="H6466">
        <v>6</v>
      </c>
      <c r="I6466">
        <v>21.175999999999998</v>
      </c>
      <c r="J6466">
        <v>16.187999999999999</v>
      </c>
      <c r="K6466">
        <v>-4.9870000000000001</v>
      </c>
      <c r="L6466">
        <v>4</v>
      </c>
      <c r="M6466">
        <v>0</v>
      </c>
      <c r="N6466">
        <v>2</v>
      </c>
      <c r="O6466" t="s">
        <v>53</v>
      </c>
      <c r="P6466" t="s">
        <v>53</v>
      </c>
      <c r="Q6466" t="s">
        <v>53</v>
      </c>
    </row>
    <row r="6467" spans="1:17" x14ac:dyDescent="0.2">
      <c r="A6467" s="30" t="str">
        <f>IF(C6467&amp;G6467&amp;D6467&lt;&gt;'Funnel setup'!$K$3&amp;'Funnel setup'!$K$4&amp;'Funnel setup'!$K$5,".",IF(A6466=".",1,A6466+1))</f>
        <v>.</v>
      </c>
      <c r="B6467" s="431" t="str">
        <f t="shared" ref="B6467:B6530" si="101">C6467&amp;D6467&amp;F6467&amp;G6467</f>
        <v>Varicose VeinCCG of GP PracticeNHS WARWICKSHIRE NORTH CCG (05H)Aberdeen Varicose Vein Questionnaire</v>
      </c>
      <c r="C6467" t="s">
        <v>17</v>
      </c>
      <c r="D6467" t="s">
        <v>87</v>
      </c>
      <c r="E6467" t="s">
        <v>438</v>
      </c>
      <c r="F6467" t="s">
        <v>439</v>
      </c>
      <c r="G6467" t="s">
        <v>0</v>
      </c>
      <c r="H6467">
        <v>8</v>
      </c>
      <c r="I6467">
        <v>21.45</v>
      </c>
      <c r="J6467">
        <v>12.646000000000001</v>
      </c>
      <c r="K6467">
        <v>-8.8040000000000003</v>
      </c>
      <c r="L6467">
        <v>8</v>
      </c>
      <c r="M6467">
        <v>0</v>
      </c>
      <c r="N6467">
        <v>0</v>
      </c>
      <c r="O6467" t="s">
        <v>53</v>
      </c>
      <c r="P6467" t="s">
        <v>53</v>
      </c>
      <c r="Q6467" t="s">
        <v>53</v>
      </c>
    </row>
    <row r="6468" spans="1:17" x14ac:dyDescent="0.2">
      <c r="A6468" s="30" t="str">
        <f>IF(C6468&amp;G6468&amp;D6468&lt;&gt;'Funnel setup'!$K$3&amp;'Funnel setup'!$K$4&amp;'Funnel setup'!$K$5,".",IF(A6467=".",1,A6467+1))</f>
        <v>.</v>
      </c>
      <c r="B6468" s="431" t="str">
        <f t="shared" si="101"/>
        <v>Varicose VeinCCG of GP PracticeNHS WEST CHESHIRE CCG (02F)Aberdeen Varicose Vein Questionnaire</v>
      </c>
      <c r="C6468" t="s">
        <v>17</v>
      </c>
      <c r="D6468" t="s">
        <v>87</v>
      </c>
      <c r="E6468" t="s">
        <v>402</v>
      </c>
      <c r="F6468" t="s">
        <v>403</v>
      </c>
      <c r="G6468" t="s">
        <v>0</v>
      </c>
      <c r="H6468">
        <v>28</v>
      </c>
      <c r="I6468">
        <v>21.593</v>
      </c>
      <c r="J6468">
        <v>12.662000000000001</v>
      </c>
      <c r="K6468">
        <v>-8.9309999999999992</v>
      </c>
      <c r="L6468">
        <v>27</v>
      </c>
      <c r="M6468">
        <v>0</v>
      </c>
      <c r="N6468">
        <v>1</v>
      </c>
      <c r="O6468" t="s">
        <v>53</v>
      </c>
      <c r="P6468" t="s">
        <v>53</v>
      </c>
      <c r="Q6468" t="s">
        <v>53</v>
      </c>
    </row>
    <row r="6469" spans="1:17" x14ac:dyDescent="0.2">
      <c r="A6469" s="30" t="str">
        <f>IF(C6469&amp;G6469&amp;D6469&lt;&gt;'Funnel setup'!$K$3&amp;'Funnel setup'!$K$4&amp;'Funnel setup'!$K$5,".",IF(A6468=".",1,A6468+1))</f>
        <v>.</v>
      </c>
      <c r="B6469" s="431" t="str">
        <f t="shared" si="101"/>
        <v>Varicose VeinCCG of GP PracticeNHS WEST ESSEX CCG (07H)Aberdeen Varicose Vein Questionnaire</v>
      </c>
      <c r="C6469" t="s">
        <v>17</v>
      </c>
      <c r="D6469" t="s">
        <v>87</v>
      </c>
      <c r="E6469" t="s">
        <v>405</v>
      </c>
      <c r="F6469" t="s">
        <v>406</v>
      </c>
      <c r="G6469" t="s">
        <v>0</v>
      </c>
      <c r="H6469">
        <v>14</v>
      </c>
      <c r="I6469">
        <v>27.42</v>
      </c>
      <c r="J6469">
        <v>14.353999999999999</v>
      </c>
      <c r="K6469">
        <v>-13.067</v>
      </c>
      <c r="L6469">
        <v>14</v>
      </c>
      <c r="M6469">
        <v>0</v>
      </c>
      <c r="N6469">
        <v>0</v>
      </c>
      <c r="O6469" t="s">
        <v>53</v>
      </c>
      <c r="P6469" t="s">
        <v>53</v>
      </c>
      <c r="Q6469" t="s">
        <v>53</v>
      </c>
    </row>
    <row r="6470" spans="1:17" x14ac:dyDescent="0.2">
      <c r="A6470" s="30" t="str">
        <f>IF(C6470&amp;G6470&amp;D6470&lt;&gt;'Funnel setup'!$K$3&amp;'Funnel setup'!$K$4&amp;'Funnel setup'!$K$5,".",IF(A6469=".",1,A6469+1))</f>
        <v>.</v>
      </c>
      <c r="B6470" s="431" t="str">
        <f t="shared" si="101"/>
        <v>Varicose VeinCCG of GP PracticeNHS WEST HAMPSHIRE CCG (11A)Aberdeen Varicose Vein Questionnaire</v>
      </c>
      <c r="C6470" t="s">
        <v>17</v>
      </c>
      <c r="D6470" t="s">
        <v>87</v>
      </c>
      <c r="E6470" t="s">
        <v>444</v>
      </c>
      <c r="F6470" t="s">
        <v>445</v>
      </c>
      <c r="G6470" t="s">
        <v>0</v>
      </c>
      <c r="H6470">
        <v>12</v>
      </c>
      <c r="I6470">
        <v>28.515000000000001</v>
      </c>
      <c r="J6470">
        <v>16.786999999999999</v>
      </c>
      <c r="K6470">
        <v>-11.728</v>
      </c>
      <c r="L6470">
        <v>9</v>
      </c>
      <c r="M6470">
        <v>0</v>
      </c>
      <c r="N6470">
        <v>3</v>
      </c>
      <c r="O6470" t="s">
        <v>53</v>
      </c>
      <c r="P6470" t="s">
        <v>53</v>
      </c>
      <c r="Q6470" t="s">
        <v>53</v>
      </c>
    </row>
    <row r="6471" spans="1:17" x14ac:dyDescent="0.2">
      <c r="A6471" s="30" t="str">
        <f>IF(C6471&amp;G6471&amp;D6471&lt;&gt;'Funnel setup'!$K$3&amp;'Funnel setup'!$K$4&amp;'Funnel setup'!$K$5,".",IF(A6470=".",1,A6470+1))</f>
        <v>.</v>
      </c>
      <c r="B6471" s="431" t="str">
        <f t="shared" si="101"/>
        <v>Varicose VeinCCG of GP PracticeNHS WEST KENT CCG (99J)Aberdeen Varicose Vein Questionnaire</v>
      </c>
      <c r="C6471" t="s">
        <v>17</v>
      </c>
      <c r="D6471" t="s">
        <v>87</v>
      </c>
      <c r="E6471" t="s">
        <v>447</v>
      </c>
      <c r="F6471" t="s">
        <v>448</v>
      </c>
      <c r="G6471" t="s">
        <v>0</v>
      </c>
      <c r="H6471" t="s">
        <v>53</v>
      </c>
      <c r="I6471" t="s">
        <v>53</v>
      </c>
      <c r="J6471" t="s">
        <v>53</v>
      </c>
      <c r="K6471" t="s">
        <v>53</v>
      </c>
      <c r="L6471" t="s">
        <v>53</v>
      </c>
      <c r="M6471" t="s">
        <v>53</v>
      </c>
      <c r="N6471" t="s">
        <v>53</v>
      </c>
      <c r="O6471" t="s">
        <v>53</v>
      </c>
      <c r="P6471" t="s">
        <v>53</v>
      </c>
      <c r="Q6471" t="s">
        <v>53</v>
      </c>
    </row>
    <row r="6472" spans="1:17" x14ac:dyDescent="0.2">
      <c r="A6472" s="30" t="str">
        <f>IF(C6472&amp;G6472&amp;D6472&lt;&gt;'Funnel setup'!$K$3&amp;'Funnel setup'!$K$4&amp;'Funnel setup'!$K$5,".",IF(A6471=".",1,A6471+1))</f>
        <v>.</v>
      </c>
      <c r="B6472" s="431" t="str">
        <f t="shared" si="101"/>
        <v>Varicose VeinCCG of GP PracticeNHS WEST LANCASHIRE CCG (02G)Aberdeen Varicose Vein Questionnaire</v>
      </c>
      <c r="C6472" t="s">
        <v>17</v>
      </c>
      <c r="D6472" t="s">
        <v>87</v>
      </c>
      <c r="E6472" t="s">
        <v>450</v>
      </c>
      <c r="F6472" t="s">
        <v>451</v>
      </c>
      <c r="G6472" t="s">
        <v>0</v>
      </c>
      <c r="H6472">
        <v>22</v>
      </c>
      <c r="I6472">
        <v>22.376000000000001</v>
      </c>
      <c r="J6472">
        <v>13.629</v>
      </c>
      <c r="K6472">
        <v>-8.7479999999999993</v>
      </c>
      <c r="L6472">
        <v>18</v>
      </c>
      <c r="M6472">
        <v>0</v>
      </c>
      <c r="N6472">
        <v>4</v>
      </c>
      <c r="O6472" t="s">
        <v>53</v>
      </c>
      <c r="P6472" t="s">
        <v>53</v>
      </c>
      <c r="Q6472" t="s">
        <v>53</v>
      </c>
    </row>
    <row r="6473" spans="1:17" x14ac:dyDescent="0.2">
      <c r="A6473" s="30" t="str">
        <f>IF(C6473&amp;G6473&amp;D6473&lt;&gt;'Funnel setup'!$K$3&amp;'Funnel setup'!$K$4&amp;'Funnel setup'!$K$5,".",IF(A6472=".",1,A6472+1))</f>
        <v>.</v>
      </c>
      <c r="B6473" s="431" t="str">
        <f t="shared" si="101"/>
        <v>Varicose VeinCCG of GP PracticeNHS WEST LEICESTERSHIRE CCG (04V)Aberdeen Varicose Vein Questionnaire</v>
      </c>
      <c r="C6473" t="s">
        <v>17</v>
      </c>
      <c r="D6473" t="s">
        <v>87</v>
      </c>
      <c r="E6473" t="s">
        <v>453</v>
      </c>
      <c r="F6473" t="s">
        <v>454</v>
      </c>
      <c r="G6473" t="s">
        <v>0</v>
      </c>
      <c r="H6473">
        <v>23</v>
      </c>
      <c r="I6473">
        <v>22.913</v>
      </c>
      <c r="J6473">
        <v>14.154999999999999</v>
      </c>
      <c r="K6473">
        <v>-8.7579999999999991</v>
      </c>
      <c r="L6473">
        <v>18</v>
      </c>
      <c r="M6473">
        <v>0</v>
      </c>
      <c r="N6473">
        <v>5</v>
      </c>
      <c r="O6473" t="s">
        <v>53</v>
      </c>
      <c r="P6473" t="s">
        <v>53</v>
      </c>
      <c r="Q6473" t="s">
        <v>53</v>
      </c>
    </row>
    <row r="6474" spans="1:17" x14ac:dyDescent="0.2">
      <c r="A6474" s="30" t="str">
        <f>IF(C6474&amp;G6474&amp;D6474&lt;&gt;'Funnel setup'!$K$3&amp;'Funnel setup'!$K$4&amp;'Funnel setup'!$K$5,".",IF(A6473=".",1,A6473+1))</f>
        <v>.</v>
      </c>
      <c r="B6474" s="431" t="str">
        <f t="shared" si="101"/>
        <v>Varicose VeinCCG of GP PracticeNHS WEST LONDON CCG (08Y)Aberdeen Varicose Vein Questionnaire</v>
      </c>
      <c r="C6474" t="s">
        <v>17</v>
      </c>
      <c r="D6474" t="s">
        <v>87</v>
      </c>
      <c r="E6474" t="s">
        <v>456</v>
      </c>
      <c r="F6474" t="s">
        <v>457</v>
      </c>
      <c r="G6474" t="s">
        <v>0</v>
      </c>
      <c r="H6474">
        <v>18</v>
      </c>
      <c r="I6474">
        <v>22.466999999999999</v>
      </c>
      <c r="J6474">
        <v>11.536</v>
      </c>
      <c r="K6474">
        <v>-10.930999999999999</v>
      </c>
      <c r="L6474">
        <v>16</v>
      </c>
      <c r="M6474">
        <v>0</v>
      </c>
      <c r="N6474">
        <v>2</v>
      </c>
      <c r="O6474" t="s">
        <v>53</v>
      </c>
      <c r="P6474" t="s">
        <v>53</v>
      </c>
      <c r="Q6474" t="s">
        <v>53</v>
      </c>
    </row>
    <row r="6475" spans="1:17" x14ac:dyDescent="0.2">
      <c r="A6475" s="30" t="str">
        <f>IF(C6475&amp;G6475&amp;D6475&lt;&gt;'Funnel setup'!$K$3&amp;'Funnel setup'!$K$4&amp;'Funnel setup'!$K$5,".",IF(A6474=".",1,A6474+1))</f>
        <v>.</v>
      </c>
      <c r="B6475" s="431" t="str">
        <f t="shared" si="101"/>
        <v>Varicose VeinCCG of GP PracticeNHS WEST NORFOLK CCG (07J)Aberdeen Varicose Vein Questionnaire</v>
      </c>
      <c r="C6475" t="s">
        <v>17</v>
      </c>
      <c r="D6475" t="s">
        <v>87</v>
      </c>
      <c r="E6475" t="s">
        <v>459</v>
      </c>
      <c r="F6475" t="s">
        <v>460</v>
      </c>
      <c r="G6475" t="s">
        <v>0</v>
      </c>
      <c r="H6475">
        <v>19</v>
      </c>
      <c r="I6475">
        <v>16.446000000000002</v>
      </c>
      <c r="J6475">
        <v>10.856999999999999</v>
      </c>
      <c r="K6475">
        <v>-5.5890000000000004</v>
      </c>
      <c r="L6475">
        <v>13</v>
      </c>
      <c r="M6475">
        <v>0</v>
      </c>
      <c r="N6475">
        <v>6</v>
      </c>
      <c r="O6475" t="s">
        <v>53</v>
      </c>
      <c r="P6475" t="s">
        <v>53</v>
      </c>
      <c r="Q6475" t="s">
        <v>53</v>
      </c>
    </row>
    <row r="6476" spans="1:17" x14ac:dyDescent="0.2">
      <c r="A6476" s="30" t="str">
        <f>IF(C6476&amp;G6476&amp;D6476&lt;&gt;'Funnel setup'!$K$3&amp;'Funnel setup'!$K$4&amp;'Funnel setup'!$K$5,".",IF(A6475=".",1,A6475+1))</f>
        <v>.</v>
      </c>
      <c r="B6476" s="431" t="str">
        <f t="shared" si="101"/>
        <v>Varicose VeinCCG of GP PracticeNHS WEST SUFFOLK CCG (07K)Aberdeen Varicose Vein Questionnaire</v>
      </c>
      <c r="C6476" t="s">
        <v>17</v>
      </c>
      <c r="D6476" t="s">
        <v>87</v>
      </c>
      <c r="E6476" t="s">
        <v>462</v>
      </c>
      <c r="F6476" t="s">
        <v>463</v>
      </c>
      <c r="G6476" t="s">
        <v>0</v>
      </c>
      <c r="H6476">
        <v>28</v>
      </c>
      <c r="I6476">
        <v>19.788</v>
      </c>
      <c r="J6476">
        <v>11.516</v>
      </c>
      <c r="K6476">
        <v>-8.2729999999999997</v>
      </c>
      <c r="L6476">
        <v>25</v>
      </c>
      <c r="M6476">
        <v>0</v>
      </c>
      <c r="N6476">
        <v>3</v>
      </c>
      <c r="O6476" t="s">
        <v>53</v>
      </c>
      <c r="P6476" t="s">
        <v>53</v>
      </c>
      <c r="Q6476" t="s">
        <v>53</v>
      </c>
    </row>
    <row r="6477" spans="1:17" x14ac:dyDescent="0.2">
      <c r="A6477" s="30" t="str">
        <f>IF(C6477&amp;G6477&amp;D6477&lt;&gt;'Funnel setup'!$K$3&amp;'Funnel setup'!$K$4&amp;'Funnel setup'!$K$5,".",IF(A6476=".",1,A6476+1))</f>
        <v>.</v>
      </c>
      <c r="B6477" s="431" t="str">
        <f t="shared" si="101"/>
        <v>Varicose VeinCCG of GP PracticeNHS WIGAN BOROUGH CCG (02H)Aberdeen Varicose Vein Questionnaire</v>
      </c>
      <c r="C6477" t="s">
        <v>17</v>
      </c>
      <c r="D6477" t="s">
        <v>87</v>
      </c>
      <c r="E6477" t="s">
        <v>465</v>
      </c>
      <c r="F6477" t="s">
        <v>466</v>
      </c>
      <c r="G6477" t="s">
        <v>0</v>
      </c>
      <c r="H6477">
        <v>14</v>
      </c>
      <c r="I6477">
        <v>23.613</v>
      </c>
      <c r="J6477">
        <v>14.992000000000001</v>
      </c>
      <c r="K6477">
        <v>-8.6219999999999999</v>
      </c>
      <c r="L6477">
        <v>13</v>
      </c>
      <c r="M6477">
        <v>0</v>
      </c>
      <c r="N6477">
        <v>1</v>
      </c>
      <c r="O6477" t="s">
        <v>53</v>
      </c>
      <c r="P6477" t="s">
        <v>53</v>
      </c>
      <c r="Q6477" t="s">
        <v>53</v>
      </c>
    </row>
    <row r="6478" spans="1:17" x14ac:dyDescent="0.2">
      <c r="A6478" s="30" t="str">
        <f>IF(C6478&amp;G6478&amp;D6478&lt;&gt;'Funnel setup'!$K$3&amp;'Funnel setup'!$K$4&amp;'Funnel setup'!$K$5,".",IF(A6477=".",1,A6477+1))</f>
        <v>.</v>
      </c>
      <c r="B6478" s="431" t="str">
        <f t="shared" si="101"/>
        <v>Varicose VeinCCG of GP PracticeNHS WILTSHIRE CCG (99N)Aberdeen Varicose Vein Questionnaire</v>
      </c>
      <c r="C6478" t="s">
        <v>17</v>
      </c>
      <c r="D6478" t="s">
        <v>87</v>
      </c>
      <c r="E6478" t="s">
        <v>468</v>
      </c>
      <c r="F6478" t="s">
        <v>469</v>
      </c>
      <c r="G6478" t="s">
        <v>0</v>
      </c>
      <c r="H6478">
        <v>51</v>
      </c>
      <c r="I6478">
        <v>23.696000000000002</v>
      </c>
      <c r="J6478">
        <v>13.705</v>
      </c>
      <c r="K6478">
        <v>-9.99</v>
      </c>
      <c r="L6478">
        <v>44</v>
      </c>
      <c r="M6478">
        <v>0</v>
      </c>
      <c r="N6478">
        <v>7</v>
      </c>
      <c r="O6478">
        <v>14.804</v>
      </c>
      <c r="P6478">
        <v>-6.1183604970000003</v>
      </c>
      <c r="Q6478">
        <v>16.791</v>
      </c>
    </row>
    <row r="6479" spans="1:17" x14ac:dyDescent="0.2">
      <c r="A6479" s="30" t="str">
        <f>IF(C6479&amp;G6479&amp;D6479&lt;&gt;'Funnel setup'!$K$3&amp;'Funnel setup'!$K$4&amp;'Funnel setup'!$K$5,".",IF(A6478=".",1,A6478+1))</f>
        <v>.</v>
      </c>
      <c r="B6479" s="431" t="str">
        <f t="shared" si="101"/>
        <v>Varicose VeinCCG of GP PracticeNHS WIRRAL CCG (12F)Aberdeen Varicose Vein Questionnaire</v>
      </c>
      <c r="C6479" t="s">
        <v>17</v>
      </c>
      <c r="D6479" t="s">
        <v>87</v>
      </c>
      <c r="E6479" t="s">
        <v>474</v>
      </c>
      <c r="F6479" t="s">
        <v>475</v>
      </c>
      <c r="G6479" t="s">
        <v>0</v>
      </c>
      <c r="H6479">
        <v>51</v>
      </c>
      <c r="I6479">
        <v>21.843</v>
      </c>
      <c r="J6479">
        <v>11.069000000000001</v>
      </c>
      <c r="K6479">
        <v>-10.773999999999999</v>
      </c>
      <c r="L6479">
        <v>47</v>
      </c>
      <c r="M6479">
        <v>0</v>
      </c>
      <c r="N6479">
        <v>4</v>
      </c>
      <c r="O6479">
        <v>11.692</v>
      </c>
      <c r="P6479">
        <v>-9.2308041840000001</v>
      </c>
      <c r="Q6479">
        <v>14.429</v>
      </c>
    </row>
    <row r="6480" spans="1:17" x14ac:dyDescent="0.2">
      <c r="A6480" s="30" t="str">
        <f>IF(C6480&amp;G6480&amp;D6480&lt;&gt;'Funnel setup'!$K$3&amp;'Funnel setup'!$K$4&amp;'Funnel setup'!$K$5,".",IF(A6479=".",1,A6479+1))</f>
        <v>.</v>
      </c>
      <c r="B6480" s="431" t="str">
        <f t="shared" si="101"/>
        <v>Varicose VeinCCG of GP PracticeNHS WOKINGHAM CCG (11D)Aberdeen Varicose Vein Questionnaire</v>
      </c>
      <c r="C6480" t="s">
        <v>17</v>
      </c>
      <c r="D6480" t="s">
        <v>87</v>
      </c>
      <c r="E6480" t="s">
        <v>477</v>
      </c>
      <c r="F6480" t="s">
        <v>478</v>
      </c>
      <c r="G6480" t="s">
        <v>0</v>
      </c>
      <c r="H6480" t="s">
        <v>53</v>
      </c>
      <c r="I6480" t="s">
        <v>53</v>
      </c>
      <c r="J6480" t="s">
        <v>53</v>
      </c>
      <c r="K6480" t="s">
        <v>53</v>
      </c>
      <c r="L6480" t="s">
        <v>53</v>
      </c>
      <c r="M6480" t="s">
        <v>53</v>
      </c>
      <c r="N6480" t="s">
        <v>53</v>
      </c>
      <c r="O6480" t="s">
        <v>53</v>
      </c>
      <c r="P6480" t="s">
        <v>53</v>
      </c>
      <c r="Q6480" t="s">
        <v>53</v>
      </c>
    </row>
    <row r="6481" spans="1:17" x14ac:dyDescent="0.2">
      <c r="A6481" s="30" t="str">
        <f>IF(C6481&amp;G6481&amp;D6481&lt;&gt;'Funnel setup'!$K$3&amp;'Funnel setup'!$K$4&amp;'Funnel setup'!$K$5,".",IF(A6480=".",1,A6480+1))</f>
        <v>.</v>
      </c>
      <c r="B6481" s="431" t="str">
        <f t="shared" si="101"/>
        <v>Varicose VeinCCG of GP PracticeNHS WOLVERHAMPTON CCG (06A)Aberdeen Varicose Vein Questionnaire</v>
      </c>
      <c r="C6481" t="s">
        <v>17</v>
      </c>
      <c r="D6481" t="s">
        <v>87</v>
      </c>
      <c r="E6481" t="s">
        <v>480</v>
      </c>
      <c r="F6481" t="s">
        <v>481</v>
      </c>
      <c r="G6481" t="s">
        <v>0</v>
      </c>
      <c r="H6481">
        <v>40</v>
      </c>
      <c r="I6481">
        <v>20.63</v>
      </c>
      <c r="J6481">
        <v>11.965999999999999</v>
      </c>
      <c r="K6481">
        <v>-8.6639999999999997</v>
      </c>
      <c r="L6481">
        <v>31</v>
      </c>
      <c r="M6481">
        <v>0</v>
      </c>
      <c r="N6481">
        <v>9</v>
      </c>
      <c r="O6481">
        <v>12.29</v>
      </c>
      <c r="P6481">
        <v>-8.6326893229999992</v>
      </c>
      <c r="Q6481">
        <v>11.689</v>
      </c>
    </row>
    <row r="6482" spans="1:17" x14ac:dyDescent="0.2">
      <c r="A6482" s="30" t="str">
        <f>IF(C6482&amp;G6482&amp;D6482&lt;&gt;'Funnel setup'!$K$3&amp;'Funnel setup'!$K$4&amp;'Funnel setup'!$K$5,".",IF(A6481=".",1,A6481+1))</f>
        <v>.</v>
      </c>
      <c r="B6482" s="431" t="str">
        <f t="shared" si="101"/>
        <v>Varicose VeinCCG of GP PracticeNHS WYRE FOREST CCG (06D)Aberdeen Varicose Vein Questionnaire</v>
      </c>
      <c r="C6482" t="s">
        <v>17</v>
      </c>
      <c r="D6482" t="s">
        <v>87</v>
      </c>
      <c r="E6482" t="s">
        <v>483</v>
      </c>
      <c r="F6482" t="s">
        <v>484</v>
      </c>
      <c r="G6482" t="s">
        <v>0</v>
      </c>
      <c r="H6482" t="s">
        <v>53</v>
      </c>
      <c r="I6482" t="s">
        <v>53</v>
      </c>
      <c r="J6482" t="s">
        <v>53</v>
      </c>
      <c r="K6482" t="s">
        <v>53</v>
      </c>
      <c r="L6482" t="s">
        <v>53</v>
      </c>
      <c r="M6482" t="s">
        <v>53</v>
      </c>
      <c r="N6482" t="s">
        <v>53</v>
      </c>
      <c r="O6482" t="s">
        <v>53</v>
      </c>
      <c r="P6482" t="s">
        <v>53</v>
      </c>
      <c r="Q6482" t="s">
        <v>53</v>
      </c>
    </row>
    <row r="6483" spans="1:17" x14ac:dyDescent="0.2">
      <c r="A6483" s="30" t="str">
        <f>IF(C6483&amp;G6483&amp;D6483&lt;&gt;'Funnel setup'!$K$3&amp;'Funnel setup'!$K$4&amp;'Funnel setup'!$K$5,".",IF(A6482=".",1,A6482+1))</f>
        <v>.</v>
      </c>
      <c r="B6483" s="431" t="str">
        <f t="shared" si="101"/>
        <v>Varicose VeinCCG of GP PracticeNATIONAL COMMISSIONING HUB 1 (13Q)EQ VAS</v>
      </c>
      <c r="C6483" t="s">
        <v>17</v>
      </c>
      <c r="D6483" t="s">
        <v>87</v>
      </c>
      <c r="E6483" t="s">
        <v>563</v>
      </c>
      <c r="F6483" t="s">
        <v>564</v>
      </c>
      <c r="G6483" t="s">
        <v>179</v>
      </c>
      <c r="H6483">
        <v>13</v>
      </c>
      <c r="I6483">
        <v>85.769000000000005</v>
      </c>
      <c r="J6483">
        <v>86.691999999999993</v>
      </c>
      <c r="K6483">
        <v>0.92300000000000004</v>
      </c>
      <c r="L6483">
        <v>7</v>
      </c>
      <c r="M6483">
        <v>2</v>
      </c>
      <c r="N6483">
        <v>4</v>
      </c>
      <c r="O6483" t="s">
        <v>53</v>
      </c>
      <c r="P6483" t="s">
        <v>53</v>
      </c>
      <c r="Q6483" t="s">
        <v>53</v>
      </c>
    </row>
    <row r="6484" spans="1:17" x14ac:dyDescent="0.2">
      <c r="A6484" s="30" t="str">
        <f>IF(C6484&amp;G6484&amp;D6484&lt;&gt;'Funnel setup'!$K$3&amp;'Funnel setup'!$K$4&amp;'Funnel setup'!$K$5,".",IF(A6483=".",1,A6483+1))</f>
        <v>.</v>
      </c>
      <c r="B6484" s="431" t="str">
        <f t="shared" si="101"/>
        <v>Varicose VeinCCG of GP PracticeNHS AIREDALE, WHARFEDALE AND CRAVEN CCG (02N)EQ VAS</v>
      </c>
      <c r="C6484" t="s">
        <v>17</v>
      </c>
      <c r="D6484" t="s">
        <v>87</v>
      </c>
      <c r="E6484" t="s">
        <v>566</v>
      </c>
      <c r="F6484" t="s">
        <v>567</v>
      </c>
      <c r="G6484" t="s">
        <v>179</v>
      </c>
      <c r="H6484">
        <v>48</v>
      </c>
      <c r="I6484">
        <v>80.521000000000001</v>
      </c>
      <c r="J6484">
        <v>80</v>
      </c>
      <c r="K6484">
        <v>-0.52100000000000002</v>
      </c>
      <c r="L6484">
        <v>17</v>
      </c>
      <c r="M6484">
        <v>9</v>
      </c>
      <c r="N6484">
        <v>22</v>
      </c>
      <c r="O6484">
        <v>78.337999999999994</v>
      </c>
      <c r="P6484">
        <v>-0.625752529</v>
      </c>
      <c r="Q6484">
        <v>13.321999999999999</v>
      </c>
    </row>
    <row r="6485" spans="1:17" x14ac:dyDescent="0.2">
      <c r="A6485" s="30" t="str">
        <f>IF(C6485&amp;G6485&amp;D6485&lt;&gt;'Funnel setup'!$K$3&amp;'Funnel setup'!$K$4&amp;'Funnel setup'!$K$5,".",IF(A6484=".",1,A6484+1))</f>
        <v>.</v>
      </c>
      <c r="B6485" s="431" t="str">
        <f t="shared" si="101"/>
        <v>Varicose VeinCCG of GP PracticeNHS ASHFORD CCG (09C)EQ VAS</v>
      </c>
      <c r="C6485" t="s">
        <v>17</v>
      </c>
      <c r="D6485" t="s">
        <v>87</v>
      </c>
      <c r="E6485" t="s">
        <v>569</v>
      </c>
      <c r="F6485" t="s">
        <v>339</v>
      </c>
      <c r="G6485" t="s">
        <v>179</v>
      </c>
      <c r="H6485" t="s">
        <v>53</v>
      </c>
      <c r="I6485" t="s">
        <v>53</v>
      </c>
      <c r="J6485" t="s">
        <v>53</v>
      </c>
      <c r="K6485" t="s">
        <v>53</v>
      </c>
      <c r="L6485" t="s">
        <v>53</v>
      </c>
      <c r="M6485" t="s">
        <v>53</v>
      </c>
      <c r="N6485" t="s">
        <v>53</v>
      </c>
      <c r="O6485" t="s">
        <v>53</v>
      </c>
      <c r="P6485" t="s">
        <v>53</v>
      </c>
      <c r="Q6485" t="s">
        <v>53</v>
      </c>
    </row>
    <row r="6486" spans="1:17" x14ac:dyDescent="0.2">
      <c r="A6486" s="30" t="str">
        <f>IF(C6486&amp;G6486&amp;D6486&lt;&gt;'Funnel setup'!$K$3&amp;'Funnel setup'!$K$4&amp;'Funnel setup'!$K$5,".",IF(A6485=".",1,A6485+1))</f>
        <v>.</v>
      </c>
      <c r="B6486" s="431" t="str">
        <f t="shared" si="101"/>
        <v>Varicose VeinCCG of GP PracticeNHS AYLESBURY VALE CCG (10Y)EQ VAS</v>
      </c>
      <c r="C6486" t="s">
        <v>17</v>
      </c>
      <c r="D6486" t="s">
        <v>87</v>
      </c>
      <c r="E6486" t="s">
        <v>571</v>
      </c>
      <c r="F6486" t="s">
        <v>572</v>
      </c>
      <c r="G6486" t="s">
        <v>179</v>
      </c>
      <c r="H6486">
        <v>13</v>
      </c>
      <c r="I6486">
        <v>76</v>
      </c>
      <c r="J6486">
        <v>81.230999999999995</v>
      </c>
      <c r="K6486">
        <v>5.2309999999999999</v>
      </c>
      <c r="L6486">
        <v>10</v>
      </c>
      <c r="M6486">
        <v>0</v>
      </c>
      <c r="N6486">
        <v>3</v>
      </c>
      <c r="O6486" t="s">
        <v>53</v>
      </c>
      <c r="P6486" t="s">
        <v>53</v>
      </c>
      <c r="Q6486" t="s">
        <v>53</v>
      </c>
    </row>
    <row r="6487" spans="1:17" x14ac:dyDescent="0.2">
      <c r="A6487" s="30" t="str">
        <f>IF(C6487&amp;G6487&amp;D6487&lt;&gt;'Funnel setup'!$K$3&amp;'Funnel setup'!$K$4&amp;'Funnel setup'!$K$5,".",IF(A6486=".",1,A6486+1))</f>
        <v>.</v>
      </c>
      <c r="B6487" s="431" t="str">
        <f t="shared" si="101"/>
        <v>Varicose VeinCCG of GP PracticeNHS BARKING AND DAGENHAM CCG (07L)EQ VAS</v>
      </c>
      <c r="C6487" t="s">
        <v>17</v>
      </c>
      <c r="D6487" t="s">
        <v>87</v>
      </c>
      <c r="E6487" t="s">
        <v>574</v>
      </c>
      <c r="F6487" t="s">
        <v>575</v>
      </c>
      <c r="G6487" t="s">
        <v>179</v>
      </c>
      <c r="H6487">
        <v>19</v>
      </c>
      <c r="I6487">
        <v>76.578999999999994</v>
      </c>
      <c r="J6487">
        <v>73.578999999999994</v>
      </c>
      <c r="K6487">
        <v>-3</v>
      </c>
      <c r="L6487">
        <v>7</v>
      </c>
      <c r="M6487">
        <v>4</v>
      </c>
      <c r="N6487">
        <v>8</v>
      </c>
      <c r="O6487" t="s">
        <v>53</v>
      </c>
      <c r="P6487" t="s">
        <v>53</v>
      </c>
      <c r="Q6487" t="s">
        <v>53</v>
      </c>
    </row>
    <row r="6488" spans="1:17" x14ac:dyDescent="0.2">
      <c r="A6488" s="30" t="str">
        <f>IF(C6488&amp;G6488&amp;D6488&lt;&gt;'Funnel setup'!$K$3&amp;'Funnel setup'!$K$4&amp;'Funnel setup'!$K$5,".",IF(A6487=".",1,A6487+1))</f>
        <v>.</v>
      </c>
      <c r="B6488" s="431" t="str">
        <f t="shared" si="101"/>
        <v>Varicose VeinCCG of GP PracticeNHS BARNET CCG (07M)EQ VAS</v>
      </c>
      <c r="C6488" t="s">
        <v>17</v>
      </c>
      <c r="D6488" t="s">
        <v>87</v>
      </c>
      <c r="E6488" t="s">
        <v>577</v>
      </c>
      <c r="F6488" t="s">
        <v>578</v>
      </c>
      <c r="G6488" t="s">
        <v>179</v>
      </c>
      <c r="H6488">
        <v>12</v>
      </c>
      <c r="I6488">
        <v>74.167000000000002</v>
      </c>
      <c r="J6488">
        <v>72.5</v>
      </c>
      <c r="K6488">
        <v>-1.667</v>
      </c>
      <c r="L6488">
        <v>4</v>
      </c>
      <c r="M6488">
        <v>1</v>
      </c>
      <c r="N6488">
        <v>7</v>
      </c>
      <c r="O6488" t="s">
        <v>53</v>
      </c>
      <c r="P6488" t="s">
        <v>53</v>
      </c>
      <c r="Q6488" t="s">
        <v>53</v>
      </c>
    </row>
    <row r="6489" spans="1:17" x14ac:dyDescent="0.2">
      <c r="A6489" s="30" t="str">
        <f>IF(C6489&amp;G6489&amp;D6489&lt;&gt;'Funnel setup'!$K$3&amp;'Funnel setup'!$K$4&amp;'Funnel setup'!$K$5,".",IF(A6488=".",1,A6488+1))</f>
        <v>.</v>
      </c>
      <c r="B6489" s="431" t="str">
        <f t="shared" si="101"/>
        <v>Varicose VeinCCG of GP PracticeNHS BARNSLEY CCG (02P)EQ VAS</v>
      </c>
      <c r="C6489" t="s">
        <v>17</v>
      </c>
      <c r="D6489" t="s">
        <v>87</v>
      </c>
      <c r="E6489" t="s">
        <v>580</v>
      </c>
      <c r="F6489" t="s">
        <v>581</v>
      </c>
      <c r="G6489" t="s">
        <v>179</v>
      </c>
      <c r="H6489">
        <v>41</v>
      </c>
      <c r="I6489">
        <v>80.659000000000006</v>
      </c>
      <c r="J6489">
        <v>75.902000000000001</v>
      </c>
      <c r="K6489">
        <v>-4.7560000000000002</v>
      </c>
      <c r="L6489">
        <v>14</v>
      </c>
      <c r="M6489">
        <v>9</v>
      </c>
      <c r="N6489">
        <v>18</v>
      </c>
      <c r="O6489">
        <v>74.590999999999994</v>
      </c>
      <c r="P6489">
        <v>-4.3732710819999996</v>
      </c>
      <c r="Q6489">
        <v>18.709</v>
      </c>
    </row>
    <row r="6490" spans="1:17" x14ac:dyDescent="0.2">
      <c r="A6490" s="30" t="str">
        <f>IF(C6490&amp;G6490&amp;D6490&lt;&gt;'Funnel setup'!$K$3&amp;'Funnel setup'!$K$4&amp;'Funnel setup'!$K$5,".",IF(A6489=".",1,A6489+1))</f>
        <v>.</v>
      </c>
      <c r="B6490" s="431" t="str">
        <f t="shared" si="101"/>
        <v>Varicose VeinCCG of GP PracticeNHS BASILDON AND BRENTWOOD CCG (99E)EQ VAS</v>
      </c>
      <c r="C6490" t="s">
        <v>17</v>
      </c>
      <c r="D6490" t="s">
        <v>87</v>
      </c>
      <c r="E6490" t="s">
        <v>583</v>
      </c>
      <c r="F6490" t="s">
        <v>584</v>
      </c>
      <c r="G6490" t="s">
        <v>179</v>
      </c>
      <c r="H6490">
        <v>9</v>
      </c>
      <c r="I6490">
        <v>75.111000000000004</v>
      </c>
      <c r="J6490">
        <v>80.667000000000002</v>
      </c>
      <c r="K6490">
        <v>5.556</v>
      </c>
      <c r="L6490">
        <v>5</v>
      </c>
      <c r="M6490">
        <v>0</v>
      </c>
      <c r="N6490">
        <v>4</v>
      </c>
      <c r="O6490" t="s">
        <v>53</v>
      </c>
      <c r="P6490" t="s">
        <v>53</v>
      </c>
      <c r="Q6490" t="s">
        <v>53</v>
      </c>
    </row>
    <row r="6491" spans="1:17" x14ac:dyDescent="0.2">
      <c r="A6491" s="30" t="str">
        <f>IF(C6491&amp;G6491&amp;D6491&lt;&gt;'Funnel setup'!$K$3&amp;'Funnel setup'!$K$4&amp;'Funnel setup'!$K$5,".",IF(A6490=".",1,A6490+1))</f>
        <v>.</v>
      </c>
      <c r="B6491" s="431" t="str">
        <f t="shared" si="101"/>
        <v>Varicose VeinCCG of GP PracticeNHS BASSETLAW CCG (02Q)EQ VAS</v>
      </c>
      <c r="C6491" t="s">
        <v>17</v>
      </c>
      <c r="D6491" t="s">
        <v>87</v>
      </c>
      <c r="E6491" t="s">
        <v>586</v>
      </c>
      <c r="F6491" t="s">
        <v>587</v>
      </c>
      <c r="G6491" t="s">
        <v>179</v>
      </c>
      <c r="H6491">
        <v>8</v>
      </c>
      <c r="I6491">
        <v>73.5</v>
      </c>
      <c r="J6491">
        <v>70.625</v>
      </c>
      <c r="K6491">
        <v>-2.875</v>
      </c>
      <c r="L6491">
        <v>2</v>
      </c>
      <c r="M6491">
        <v>3</v>
      </c>
      <c r="N6491">
        <v>3</v>
      </c>
      <c r="O6491" t="s">
        <v>53</v>
      </c>
      <c r="P6491" t="s">
        <v>53</v>
      </c>
      <c r="Q6491" t="s">
        <v>53</v>
      </c>
    </row>
    <row r="6492" spans="1:17" x14ac:dyDescent="0.2">
      <c r="A6492" s="30" t="str">
        <f>IF(C6492&amp;G6492&amp;D6492&lt;&gt;'Funnel setup'!$K$3&amp;'Funnel setup'!$K$4&amp;'Funnel setup'!$K$5,".",IF(A6491=".",1,A6491+1))</f>
        <v>.</v>
      </c>
      <c r="B6492" s="431" t="str">
        <f t="shared" si="101"/>
        <v>Varicose VeinCCG of GP PracticeNHS BATH AND NORTH EAST SOMERSET CCG (11E)EQ VAS</v>
      </c>
      <c r="C6492" t="s">
        <v>17</v>
      </c>
      <c r="D6492" t="s">
        <v>87</v>
      </c>
      <c r="E6492" t="s">
        <v>589</v>
      </c>
      <c r="F6492" t="s">
        <v>590</v>
      </c>
      <c r="G6492" t="s">
        <v>179</v>
      </c>
      <c r="H6492">
        <v>36</v>
      </c>
      <c r="I6492">
        <v>87.75</v>
      </c>
      <c r="J6492">
        <v>86.111000000000004</v>
      </c>
      <c r="K6492">
        <v>-1.639</v>
      </c>
      <c r="L6492">
        <v>9</v>
      </c>
      <c r="M6492">
        <v>10</v>
      </c>
      <c r="N6492">
        <v>17</v>
      </c>
      <c r="O6492">
        <v>79.444000000000003</v>
      </c>
      <c r="P6492">
        <v>0.48017637299999999</v>
      </c>
      <c r="Q6492">
        <v>9.5519999999999996</v>
      </c>
    </row>
    <row r="6493" spans="1:17" x14ac:dyDescent="0.2">
      <c r="A6493" s="30" t="str">
        <f>IF(C6493&amp;G6493&amp;D6493&lt;&gt;'Funnel setup'!$K$3&amp;'Funnel setup'!$K$4&amp;'Funnel setup'!$K$5,".",IF(A6492=".",1,A6492+1))</f>
        <v>.</v>
      </c>
      <c r="B6493" s="431" t="str">
        <f t="shared" si="101"/>
        <v>Varicose VeinCCG of GP PracticeNHS BEDFORDSHIRE CCG (06F)EQ VAS</v>
      </c>
      <c r="C6493" t="s">
        <v>17</v>
      </c>
      <c r="D6493" t="s">
        <v>87</v>
      </c>
      <c r="E6493" t="s">
        <v>592</v>
      </c>
      <c r="F6493" t="s">
        <v>593</v>
      </c>
      <c r="G6493" t="s">
        <v>179</v>
      </c>
      <c r="H6493">
        <v>32</v>
      </c>
      <c r="I6493">
        <v>75.125</v>
      </c>
      <c r="J6493">
        <v>76.281000000000006</v>
      </c>
      <c r="K6493">
        <v>1.1559999999999999</v>
      </c>
      <c r="L6493">
        <v>17</v>
      </c>
      <c r="M6493">
        <v>4</v>
      </c>
      <c r="N6493">
        <v>11</v>
      </c>
      <c r="O6493">
        <v>77.843999999999994</v>
      </c>
      <c r="P6493">
        <v>-1.1201070440000001</v>
      </c>
      <c r="Q6493">
        <v>14.346</v>
      </c>
    </row>
    <row r="6494" spans="1:17" x14ac:dyDescent="0.2">
      <c r="A6494" s="30" t="str">
        <f>IF(C6494&amp;G6494&amp;D6494&lt;&gt;'Funnel setup'!$K$3&amp;'Funnel setup'!$K$4&amp;'Funnel setup'!$K$5,".",IF(A6493=".",1,A6493+1))</f>
        <v>.</v>
      </c>
      <c r="B6494" s="431" t="str">
        <f t="shared" si="101"/>
        <v>Varicose VeinCCG of GP PracticeNHS BEXLEY CCG (07N)EQ VAS</v>
      </c>
      <c r="C6494" t="s">
        <v>17</v>
      </c>
      <c r="D6494" t="s">
        <v>87</v>
      </c>
      <c r="E6494" t="s">
        <v>595</v>
      </c>
      <c r="F6494" t="s">
        <v>596</v>
      </c>
      <c r="G6494" t="s">
        <v>179</v>
      </c>
      <c r="H6494">
        <v>12</v>
      </c>
      <c r="I6494">
        <v>74.582999999999998</v>
      </c>
      <c r="J6494">
        <v>77.917000000000002</v>
      </c>
      <c r="K6494">
        <v>3.3330000000000002</v>
      </c>
      <c r="L6494">
        <v>5</v>
      </c>
      <c r="M6494">
        <v>3</v>
      </c>
      <c r="N6494">
        <v>4</v>
      </c>
      <c r="O6494" t="s">
        <v>53</v>
      </c>
      <c r="P6494" t="s">
        <v>53</v>
      </c>
      <c r="Q6494" t="s">
        <v>53</v>
      </c>
    </row>
    <row r="6495" spans="1:17" x14ac:dyDescent="0.2">
      <c r="A6495" s="30" t="str">
        <f>IF(C6495&amp;G6495&amp;D6495&lt;&gt;'Funnel setup'!$K$3&amp;'Funnel setup'!$K$4&amp;'Funnel setup'!$K$5,".",IF(A6494=".",1,A6494+1))</f>
        <v>.</v>
      </c>
      <c r="B6495" s="431" t="str">
        <f t="shared" si="101"/>
        <v>Varicose VeinCCG of GP PracticeNHS BIRMINGHAM CROSSCITY CCG (13P)EQ VAS</v>
      </c>
      <c r="C6495" t="s">
        <v>17</v>
      </c>
      <c r="D6495" t="s">
        <v>87</v>
      </c>
      <c r="E6495" t="s">
        <v>598</v>
      </c>
      <c r="F6495" t="s">
        <v>599</v>
      </c>
      <c r="G6495" t="s">
        <v>179</v>
      </c>
      <c r="H6495">
        <v>82</v>
      </c>
      <c r="I6495">
        <v>73.950999999999993</v>
      </c>
      <c r="J6495">
        <v>76.488</v>
      </c>
      <c r="K6495">
        <v>2.5369999999999999</v>
      </c>
      <c r="L6495">
        <v>38</v>
      </c>
      <c r="M6495">
        <v>12</v>
      </c>
      <c r="N6495">
        <v>32</v>
      </c>
      <c r="O6495">
        <v>79.356999999999999</v>
      </c>
      <c r="P6495">
        <v>0.39248763399999997</v>
      </c>
      <c r="Q6495">
        <v>18.63</v>
      </c>
    </row>
    <row r="6496" spans="1:17" x14ac:dyDescent="0.2">
      <c r="A6496" s="30" t="str">
        <f>IF(C6496&amp;G6496&amp;D6496&lt;&gt;'Funnel setup'!$K$3&amp;'Funnel setup'!$K$4&amp;'Funnel setup'!$K$5,".",IF(A6495=".",1,A6495+1))</f>
        <v>.</v>
      </c>
      <c r="B6496" s="431" t="str">
        <f t="shared" si="101"/>
        <v>Varicose VeinCCG of GP PracticeNHS BIRMINGHAM SOUTH AND CENTRAL CCG (04X)EQ VAS</v>
      </c>
      <c r="C6496" t="s">
        <v>17</v>
      </c>
      <c r="D6496" t="s">
        <v>87</v>
      </c>
      <c r="E6496" t="s">
        <v>601</v>
      </c>
      <c r="F6496" t="s">
        <v>602</v>
      </c>
      <c r="G6496" t="s">
        <v>179</v>
      </c>
      <c r="H6496">
        <v>10</v>
      </c>
      <c r="I6496">
        <v>78.5</v>
      </c>
      <c r="J6496">
        <v>82</v>
      </c>
      <c r="K6496">
        <v>3.5</v>
      </c>
      <c r="L6496">
        <v>7</v>
      </c>
      <c r="M6496">
        <v>0</v>
      </c>
      <c r="N6496">
        <v>3</v>
      </c>
      <c r="O6496" t="s">
        <v>53</v>
      </c>
      <c r="P6496" t="s">
        <v>53</v>
      </c>
      <c r="Q6496" t="s">
        <v>53</v>
      </c>
    </row>
    <row r="6497" spans="1:17" x14ac:dyDescent="0.2">
      <c r="A6497" s="30" t="str">
        <f>IF(C6497&amp;G6497&amp;D6497&lt;&gt;'Funnel setup'!$K$3&amp;'Funnel setup'!$K$4&amp;'Funnel setup'!$K$5,".",IF(A6496=".",1,A6496+1))</f>
        <v>.</v>
      </c>
      <c r="B6497" s="431" t="str">
        <f t="shared" si="101"/>
        <v>Varicose VeinCCG of GP PracticeNHS BLACKBURN WITH DARWEN CCG (00Q)EQ VAS</v>
      </c>
      <c r="C6497" t="s">
        <v>17</v>
      </c>
      <c r="D6497" t="s">
        <v>87</v>
      </c>
      <c r="E6497" t="s">
        <v>604</v>
      </c>
      <c r="F6497" t="s">
        <v>605</v>
      </c>
      <c r="G6497" t="s">
        <v>179</v>
      </c>
      <c r="H6497">
        <v>27</v>
      </c>
      <c r="I6497">
        <v>82.63</v>
      </c>
      <c r="J6497">
        <v>79.703999999999994</v>
      </c>
      <c r="K6497">
        <v>-2.9260000000000002</v>
      </c>
      <c r="L6497">
        <v>9</v>
      </c>
      <c r="M6497">
        <v>7</v>
      </c>
      <c r="N6497">
        <v>11</v>
      </c>
      <c r="O6497" t="s">
        <v>53</v>
      </c>
      <c r="P6497" t="s">
        <v>53</v>
      </c>
      <c r="Q6497" t="s">
        <v>53</v>
      </c>
    </row>
    <row r="6498" spans="1:17" x14ac:dyDescent="0.2">
      <c r="A6498" s="30" t="str">
        <f>IF(C6498&amp;G6498&amp;D6498&lt;&gt;'Funnel setup'!$K$3&amp;'Funnel setup'!$K$4&amp;'Funnel setup'!$K$5,".",IF(A6497=".",1,A6497+1))</f>
        <v>.</v>
      </c>
      <c r="B6498" s="431" t="str">
        <f t="shared" si="101"/>
        <v>Varicose VeinCCG of GP PracticeNHS BLACKPOOL CCG (00R)EQ VAS</v>
      </c>
      <c r="C6498" t="s">
        <v>17</v>
      </c>
      <c r="D6498" t="s">
        <v>87</v>
      </c>
      <c r="E6498" t="s">
        <v>607</v>
      </c>
      <c r="F6498" t="s">
        <v>608</v>
      </c>
      <c r="G6498" t="s">
        <v>179</v>
      </c>
      <c r="H6498">
        <v>6</v>
      </c>
      <c r="I6498">
        <v>59.832999999999998</v>
      </c>
      <c r="J6498">
        <v>67.832999999999998</v>
      </c>
      <c r="K6498">
        <v>8</v>
      </c>
      <c r="L6498">
        <v>4</v>
      </c>
      <c r="M6498">
        <v>0</v>
      </c>
      <c r="N6498">
        <v>2</v>
      </c>
      <c r="O6498" t="s">
        <v>53</v>
      </c>
      <c r="P6498" t="s">
        <v>53</v>
      </c>
      <c r="Q6498" t="s">
        <v>53</v>
      </c>
    </row>
    <row r="6499" spans="1:17" x14ac:dyDescent="0.2">
      <c r="A6499" s="30" t="str">
        <f>IF(C6499&amp;G6499&amp;D6499&lt;&gt;'Funnel setup'!$K$3&amp;'Funnel setup'!$K$4&amp;'Funnel setup'!$K$5,".",IF(A6498=".",1,A6498+1))</f>
        <v>.</v>
      </c>
      <c r="B6499" s="431" t="str">
        <f t="shared" si="101"/>
        <v>Varicose VeinCCG of GP PracticeNHS BOLTON CCG (00T)EQ VAS</v>
      </c>
      <c r="C6499" t="s">
        <v>17</v>
      </c>
      <c r="D6499" t="s">
        <v>87</v>
      </c>
      <c r="E6499" t="s">
        <v>683</v>
      </c>
      <c r="F6499" t="s">
        <v>684</v>
      </c>
      <c r="G6499" t="s">
        <v>179</v>
      </c>
      <c r="H6499">
        <v>39</v>
      </c>
      <c r="I6499">
        <v>82.076999999999998</v>
      </c>
      <c r="J6499">
        <v>80.051000000000002</v>
      </c>
      <c r="K6499">
        <v>-2.0259999999999998</v>
      </c>
      <c r="L6499">
        <v>13</v>
      </c>
      <c r="M6499">
        <v>14</v>
      </c>
      <c r="N6499">
        <v>12</v>
      </c>
      <c r="O6499">
        <v>78.091999999999999</v>
      </c>
      <c r="P6499">
        <v>-0.87180599199999997</v>
      </c>
      <c r="Q6499">
        <v>17.916</v>
      </c>
    </row>
    <row r="6500" spans="1:17" x14ac:dyDescent="0.2">
      <c r="A6500" s="30" t="str">
        <f>IF(C6500&amp;G6500&amp;D6500&lt;&gt;'Funnel setup'!$K$3&amp;'Funnel setup'!$K$4&amp;'Funnel setup'!$K$5,".",IF(A6499=".",1,A6499+1))</f>
        <v>.</v>
      </c>
      <c r="B6500" s="431" t="str">
        <f t="shared" si="101"/>
        <v>Varicose VeinCCG of GP PracticeNHS BRADFORD CITY CCG (02W)EQ VAS</v>
      </c>
      <c r="C6500" t="s">
        <v>17</v>
      </c>
      <c r="D6500" t="s">
        <v>87</v>
      </c>
      <c r="E6500" t="s">
        <v>689</v>
      </c>
      <c r="F6500" t="s">
        <v>690</v>
      </c>
      <c r="G6500" t="s">
        <v>179</v>
      </c>
      <c r="H6500">
        <v>6</v>
      </c>
      <c r="I6500">
        <v>67.167000000000002</v>
      </c>
      <c r="J6500">
        <v>50.667000000000002</v>
      </c>
      <c r="K6500">
        <v>-16.5</v>
      </c>
      <c r="L6500">
        <v>1</v>
      </c>
      <c r="M6500">
        <v>0</v>
      </c>
      <c r="N6500">
        <v>5</v>
      </c>
      <c r="O6500" t="s">
        <v>53</v>
      </c>
      <c r="P6500" t="s">
        <v>53</v>
      </c>
      <c r="Q6500" t="s">
        <v>53</v>
      </c>
    </row>
    <row r="6501" spans="1:17" x14ac:dyDescent="0.2">
      <c r="A6501" s="30" t="str">
        <f>IF(C6501&amp;G6501&amp;D6501&lt;&gt;'Funnel setup'!$K$3&amp;'Funnel setup'!$K$4&amp;'Funnel setup'!$K$5,".",IF(A6500=".",1,A6500+1))</f>
        <v>.</v>
      </c>
      <c r="B6501" s="431" t="str">
        <f t="shared" si="101"/>
        <v>Varicose VeinCCG of GP PracticeNHS BRADFORD DISTRICTS CCG (02R)EQ VAS</v>
      </c>
      <c r="C6501" t="s">
        <v>17</v>
      </c>
      <c r="D6501" t="s">
        <v>87</v>
      </c>
      <c r="E6501" t="s">
        <v>692</v>
      </c>
      <c r="F6501" t="s">
        <v>693</v>
      </c>
      <c r="G6501" t="s">
        <v>179</v>
      </c>
      <c r="H6501">
        <v>43</v>
      </c>
      <c r="I6501">
        <v>80.441999999999993</v>
      </c>
      <c r="J6501">
        <v>77.256</v>
      </c>
      <c r="K6501">
        <v>-3.1859999999999999</v>
      </c>
      <c r="L6501">
        <v>15</v>
      </c>
      <c r="M6501">
        <v>8</v>
      </c>
      <c r="N6501">
        <v>20</v>
      </c>
      <c r="O6501">
        <v>76.650000000000006</v>
      </c>
      <c r="P6501">
        <v>-2.3136681139999999</v>
      </c>
      <c r="Q6501">
        <v>14.032999999999999</v>
      </c>
    </row>
    <row r="6502" spans="1:17" x14ac:dyDescent="0.2">
      <c r="A6502" s="30" t="str">
        <f>IF(C6502&amp;G6502&amp;D6502&lt;&gt;'Funnel setup'!$K$3&amp;'Funnel setup'!$K$4&amp;'Funnel setup'!$K$5,".",IF(A6501=".",1,A6501+1))</f>
        <v>.</v>
      </c>
      <c r="B6502" s="431" t="str">
        <f t="shared" si="101"/>
        <v>Varicose VeinCCG of GP PracticeNHS BRENT CCG (07P)EQ VAS</v>
      </c>
      <c r="C6502" t="s">
        <v>17</v>
      </c>
      <c r="D6502" t="s">
        <v>87</v>
      </c>
      <c r="E6502" t="s">
        <v>695</v>
      </c>
      <c r="F6502" t="s">
        <v>696</v>
      </c>
      <c r="G6502" t="s">
        <v>179</v>
      </c>
      <c r="H6502">
        <v>34</v>
      </c>
      <c r="I6502">
        <v>74.352999999999994</v>
      </c>
      <c r="J6502">
        <v>70.412000000000006</v>
      </c>
      <c r="K6502">
        <v>-3.9409999999999998</v>
      </c>
      <c r="L6502">
        <v>11</v>
      </c>
      <c r="M6502">
        <v>9</v>
      </c>
      <c r="N6502">
        <v>14</v>
      </c>
      <c r="O6502">
        <v>75.236000000000004</v>
      </c>
      <c r="P6502">
        <v>-3.7276894290000002</v>
      </c>
      <c r="Q6502">
        <v>15.634</v>
      </c>
    </row>
    <row r="6503" spans="1:17" x14ac:dyDescent="0.2">
      <c r="A6503" s="30" t="str">
        <f>IF(C6503&amp;G6503&amp;D6503&lt;&gt;'Funnel setup'!$K$3&amp;'Funnel setup'!$K$4&amp;'Funnel setup'!$K$5,".",IF(A6502=".",1,A6502+1))</f>
        <v>.</v>
      </c>
      <c r="B6503" s="431" t="str">
        <f t="shared" si="101"/>
        <v>Varicose VeinCCG of GP PracticeNHS BRIGHTON AND HOVE CCG (09D)EQ VAS</v>
      </c>
      <c r="C6503" t="s">
        <v>17</v>
      </c>
      <c r="D6503" t="s">
        <v>87</v>
      </c>
      <c r="E6503" t="s">
        <v>698</v>
      </c>
      <c r="F6503" t="s">
        <v>699</v>
      </c>
      <c r="G6503" t="s">
        <v>179</v>
      </c>
      <c r="H6503">
        <v>22</v>
      </c>
      <c r="I6503">
        <v>76.454999999999998</v>
      </c>
      <c r="J6503">
        <v>75</v>
      </c>
      <c r="K6503">
        <v>-1.4550000000000001</v>
      </c>
      <c r="L6503">
        <v>9</v>
      </c>
      <c r="M6503">
        <v>3</v>
      </c>
      <c r="N6503">
        <v>10</v>
      </c>
      <c r="O6503" t="s">
        <v>53</v>
      </c>
      <c r="P6503" t="s">
        <v>53</v>
      </c>
      <c r="Q6503" t="s">
        <v>53</v>
      </c>
    </row>
    <row r="6504" spans="1:17" x14ac:dyDescent="0.2">
      <c r="A6504" s="30" t="str">
        <f>IF(C6504&amp;G6504&amp;D6504&lt;&gt;'Funnel setup'!$K$3&amp;'Funnel setup'!$K$4&amp;'Funnel setup'!$K$5,".",IF(A6503=".",1,A6503+1))</f>
        <v>.</v>
      </c>
      <c r="B6504" s="431" t="str">
        <f t="shared" si="101"/>
        <v>Varicose VeinCCG of GP PracticeNHS BRISTOL CCG (11H)EQ VAS</v>
      </c>
      <c r="C6504" t="s">
        <v>17</v>
      </c>
      <c r="D6504" t="s">
        <v>87</v>
      </c>
      <c r="E6504" t="s">
        <v>701</v>
      </c>
      <c r="F6504" t="s">
        <v>702</v>
      </c>
      <c r="G6504" t="s">
        <v>179</v>
      </c>
      <c r="H6504" t="s">
        <v>53</v>
      </c>
      <c r="I6504" t="s">
        <v>53</v>
      </c>
      <c r="J6504" t="s">
        <v>53</v>
      </c>
      <c r="K6504" t="s">
        <v>53</v>
      </c>
      <c r="L6504" t="s">
        <v>53</v>
      </c>
      <c r="M6504" t="s">
        <v>53</v>
      </c>
      <c r="N6504" t="s">
        <v>53</v>
      </c>
      <c r="O6504" t="s">
        <v>53</v>
      </c>
      <c r="P6504" t="s">
        <v>53</v>
      </c>
      <c r="Q6504" t="s">
        <v>53</v>
      </c>
    </row>
    <row r="6505" spans="1:17" x14ac:dyDescent="0.2">
      <c r="A6505" s="30" t="str">
        <f>IF(C6505&amp;G6505&amp;D6505&lt;&gt;'Funnel setup'!$K$3&amp;'Funnel setup'!$K$4&amp;'Funnel setup'!$K$5,".",IF(A6504=".",1,A6504+1))</f>
        <v>.</v>
      </c>
      <c r="B6505" s="431" t="str">
        <f t="shared" si="101"/>
        <v>Varicose VeinCCG of GP PracticeNHS BROMLEY CCG (07Q)EQ VAS</v>
      </c>
      <c r="C6505" t="s">
        <v>17</v>
      </c>
      <c r="D6505" t="s">
        <v>87</v>
      </c>
      <c r="E6505" t="s">
        <v>704</v>
      </c>
      <c r="F6505" t="s">
        <v>705</v>
      </c>
      <c r="G6505" t="s">
        <v>179</v>
      </c>
      <c r="H6505">
        <v>45</v>
      </c>
      <c r="I6505">
        <v>83.043999999999997</v>
      </c>
      <c r="J6505">
        <v>80.644000000000005</v>
      </c>
      <c r="K6505">
        <v>-2.4</v>
      </c>
      <c r="L6505">
        <v>16</v>
      </c>
      <c r="M6505">
        <v>10</v>
      </c>
      <c r="N6505">
        <v>19</v>
      </c>
      <c r="O6505">
        <v>79.918000000000006</v>
      </c>
      <c r="P6505">
        <v>0.95358619499999997</v>
      </c>
      <c r="Q6505">
        <v>10.381</v>
      </c>
    </row>
    <row r="6506" spans="1:17" x14ac:dyDescent="0.2">
      <c r="A6506" s="30" t="str">
        <f>IF(C6506&amp;G6506&amp;D6506&lt;&gt;'Funnel setup'!$K$3&amp;'Funnel setup'!$K$4&amp;'Funnel setup'!$K$5,".",IF(A6505=".",1,A6505+1))</f>
        <v>.</v>
      </c>
      <c r="B6506" s="431" t="str">
        <f t="shared" si="101"/>
        <v>Varicose VeinCCG of GP PracticeNHS BURY CCG (00V)EQ VAS</v>
      </c>
      <c r="C6506" t="s">
        <v>17</v>
      </c>
      <c r="D6506" t="s">
        <v>87</v>
      </c>
      <c r="E6506" t="s">
        <v>707</v>
      </c>
      <c r="F6506" t="s">
        <v>708</v>
      </c>
      <c r="G6506" t="s">
        <v>179</v>
      </c>
      <c r="H6506" t="s">
        <v>53</v>
      </c>
      <c r="I6506" t="s">
        <v>53</v>
      </c>
      <c r="J6506" t="s">
        <v>53</v>
      </c>
      <c r="K6506" t="s">
        <v>53</v>
      </c>
      <c r="L6506" t="s">
        <v>53</v>
      </c>
      <c r="M6506" t="s">
        <v>53</v>
      </c>
      <c r="N6506" t="s">
        <v>53</v>
      </c>
      <c r="O6506" t="s">
        <v>53</v>
      </c>
      <c r="P6506" t="s">
        <v>53</v>
      </c>
      <c r="Q6506" t="s">
        <v>53</v>
      </c>
    </row>
    <row r="6507" spans="1:17" x14ac:dyDescent="0.2">
      <c r="A6507" s="30" t="str">
        <f>IF(C6507&amp;G6507&amp;D6507&lt;&gt;'Funnel setup'!$K$3&amp;'Funnel setup'!$K$4&amp;'Funnel setup'!$K$5,".",IF(A6506=".",1,A6506+1))</f>
        <v>.</v>
      </c>
      <c r="B6507" s="431" t="str">
        <f t="shared" si="101"/>
        <v>Varicose VeinCCG of GP PracticeNHS CALDERDALE CCG (02T)EQ VAS</v>
      </c>
      <c r="C6507" t="s">
        <v>17</v>
      </c>
      <c r="D6507" t="s">
        <v>87</v>
      </c>
      <c r="E6507" t="s">
        <v>710</v>
      </c>
      <c r="F6507" t="s">
        <v>711</v>
      </c>
      <c r="G6507" t="s">
        <v>179</v>
      </c>
      <c r="H6507">
        <v>36</v>
      </c>
      <c r="I6507">
        <v>78.805999999999997</v>
      </c>
      <c r="J6507">
        <v>79.861000000000004</v>
      </c>
      <c r="K6507">
        <v>1.056</v>
      </c>
      <c r="L6507">
        <v>14</v>
      </c>
      <c r="M6507">
        <v>6</v>
      </c>
      <c r="N6507">
        <v>16</v>
      </c>
      <c r="O6507">
        <v>79.430999999999997</v>
      </c>
      <c r="P6507">
        <v>0.46694327000000002</v>
      </c>
      <c r="Q6507">
        <v>11.388</v>
      </c>
    </row>
    <row r="6508" spans="1:17" x14ac:dyDescent="0.2">
      <c r="A6508" s="30" t="str">
        <f>IF(C6508&amp;G6508&amp;D6508&lt;&gt;'Funnel setup'!$K$3&amp;'Funnel setup'!$K$4&amp;'Funnel setup'!$K$5,".",IF(A6507=".",1,A6507+1))</f>
        <v>.</v>
      </c>
      <c r="B6508" s="431" t="str">
        <f t="shared" si="101"/>
        <v>Varicose VeinCCG of GP PracticeNHS CAMBRIDGESHIRE AND PETERBOROUGH CCG (06H)EQ VAS</v>
      </c>
      <c r="C6508" t="s">
        <v>17</v>
      </c>
      <c r="D6508" t="s">
        <v>87</v>
      </c>
      <c r="E6508" t="s">
        <v>713</v>
      </c>
      <c r="F6508" t="s">
        <v>714</v>
      </c>
      <c r="G6508" t="s">
        <v>179</v>
      </c>
      <c r="H6508">
        <v>33</v>
      </c>
      <c r="I6508">
        <v>77.090999999999994</v>
      </c>
      <c r="J6508">
        <v>80.515000000000001</v>
      </c>
      <c r="K6508">
        <v>3.4239999999999999</v>
      </c>
      <c r="L6508">
        <v>16</v>
      </c>
      <c r="M6508">
        <v>5</v>
      </c>
      <c r="N6508">
        <v>12</v>
      </c>
      <c r="O6508">
        <v>81.19</v>
      </c>
      <c r="P6508">
        <v>2.2257328790000002</v>
      </c>
      <c r="Q6508">
        <v>15.093999999999999</v>
      </c>
    </row>
    <row r="6509" spans="1:17" x14ac:dyDescent="0.2">
      <c r="A6509" s="30" t="str">
        <f>IF(C6509&amp;G6509&amp;D6509&lt;&gt;'Funnel setup'!$K$3&amp;'Funnel setup'!$K$4&amp;'Funnel setup'!$K$5,".",IF(A6508=".",1,A6508+1))</f>
        <v>.</v>
      </c>
      <c r="B6509" s="431" t="str">
        <f t="shared" si="101"/>
        <v>Varicose VeinCCG of GP PracticeNHS CAMDEN CCG (07R)EQ VAS</v>
      </c>
      <c r="C6509" t="s">
        <v>17</v>
      </c>
      <c r="D6509" t="s">
        <v>87</v>
      </c>
      <c r="E6509" t="s">
        <v>716</v>
      </c>
      <c r="F6509" t="s">
        <v>717</v>
      </c>
      <c r="G6509" t="s">
        <v>179</v>
      </c>
      <c r="H6509">
        <v>24</v>
      </c>
      <c r="I6509">
        <v>81.125</v>
      </c>
      <c r="J6509">
        <v>77.167000000000002</v>
      </c>
      <c r="K6509">
        <v>-3.9580000000000002</v>
      </c>
      <c r="L6509">
        <v>8</v>
      </c>
      <c r="M6509">
        <v>3</v>
      </c>
      <c r="N6509">
        <v>13</v>
      </c>
      <c r="O6509" t="s">
        <v>53</v>
      </c>
      <c r="P6509" t="s">
        <v>53</v>
      </c>
      <c r="Q6509" t="s">
        <v>53</v>
      </c>
    </row>
    <row r="6510" spans="1:17" x14ac:dyDescent="0.2">
      <c r="A6510" s="30" t="str">
        <f>IF(C6510&amp;G6510&amp;D6510&lt;&gt;'Funnel setup'!$K$3&amp;'Funnel setup'!$K$4&amp;'Funnel setup'!$K$5,".",IF(A6509=".",1,A6509+1))</f>
        <v>.</v>
      </c>
      <c r="B6510" s="431" t="str">
        <f t="shared" si="101"/>
        <v>Varicose VeinCCG of GP PracticeNHS CANNOCK CHASE CCG (04Y)EQ VAS</v>
      </c>
      <c r="C6510" t="s">
        <v>17</v>
      </c>
      <c r="D6510" t="s">
        <v>87</v>
      </c>
      <c r="E6510" t="s">
        <v>719</v>
      </c>
      <c r="F6510" t="s">
        <v>720</v>
      </c>
      <c r="G6510" t="s">
        <v>179</v>
      </c>
      <c r="H6510">
        <v>19</v>
      </c>
      <c r="I6510">
        <v>75.683999999999997</v>
      </c>
      <c r="J6510">
        <v>76.841999999999999</v>
      </c>
      <c r="K6510">
        <v>1.1579999999999999</v>
      </c>
      <c r="L6510">
        <v>11</v>
      </c>
      <c r="M6510">
        <v>3</v>
      </c>
      <c r="N6510">
        <v>5</v>
      </c>
      <c r="O6510" t="s">
        <v>53</v>
      </c>
      <c r="P6510" t="s">
        <v>53</v>
      </c>
      <c r="Q6510" t="s">
        <v>53</v>
      </c>
    </row>
    <row r="6511" spans="1:17" x14ac:dyDescent="0.2">
      <c r="A6511" s="30" t="str">
        <f>IF(C6511&amp;G6511&amp;D6511&lt;&gt;'Funnel setup'!$K$3&amp;'Funnel setup'!$K$4&amp;'Funnel setup'!$K$5,".",IF(A6510=".",1,A6510+1))</f>
        <v>.</v>
      </c>
      <c r="B6511" s="431" t="str">
        <f t="shared" si="101"/>
        <v>Varicose VeinCCG of GP PracticeNHS CASTLE POINT AND ROCHFORD CCG (99F)EQ VAS</v>
      </c>
      <c r="C6511" t="s">
        <v>17</v>
      </c>
      <c r="D6511" t="s">
        <v>87</v>
      </c>
      <c r="E6511" t="s">
        <v>725</v>
      </c>
      <c r="F6511" t="s">
        <v>726</v>
      </c>
      <c r="G6511" t="s">
        <v>179</v>
      </c>
      <c r="H6511" t="s">
        <v>53</v>
      </c>
      <c r="I6511" t="s">
        <v>53</v>
      </c>
      <c r="J6511" t="s">
        <v>53</v>
      </c>
      <c r="K6511" t="s">
        <v>53</v>
      </c>
      <c r="L6511" t="s">
        <v>53</v>
      </c>
      <c r="M6511" t="s">
        <v>53</v>
      </c>
      <c r="N6511" t="s">
        <v>53</v>
      </c>
      <c r="O6511" t="s">
        <v>53</v>
      </c>
      <c r="P6511" t="s">
        <v>53</v>
      </c>
      <c r="Q6511" t="s">
        <v>53</v>
      </c>
    </row>
    <row r="6512" spans="1:17" x14ac:dyDescent="0.2">
      <c r="A6512" s="30" t="str">
        <f>IF(C6512&amp;G6512&amp;D6512&lt;&gt;'Funnel setup'!$K$3&amp;'Funnel setup'!$K$4&amp;'Funnel setup'!$K$5,".",IF(A6511=".",1,A6511+1))</f>
        <v>.</v>
      </c>
      <c r="B6512" s="431" t="str">
        <f t="shared" si="101"/>
        <v>Varicose VeinCCG of GP PracticeNHS CENTRAL LONDON (WESTMINSTER) CCG (09A)EQ VAS</v>
      </c>
      <c r="C6512" t="s">
        <v>17</v>
      </c>
      <c r="D6512" t="s">
        <v>87</v>
      </c>
      <c r="E6512" t="s">
        <v>728</v>
      </c>
      <c r="F6512" t="s">
        <v>729</v>
      </c>
      <c r="G6512" t="s">
        <v>179</v>
      </c>
      <c r="H6512">
        <v>24</v>
      </c>
      <c r="I6512">
        <v>75.957999999999998</v>
      </c>
      <c r="J6512">
        <v>78</v>
      </c>
      <c r="K6512">
        <v>2.0419999999999998</v>
      </c>
      <c r="L6512">
        <v>13</v>
      </c>
      <c r="M6512">
        <v>4</v>
      </c>
      <c r="N6512">
        <v>7</v>
      </c>
      <c r="O6512" t="s">
        <v>53</v>
      </c>
      <c r="P6512" t="s">
        <v>53</v>
      </c>
      <c r="Q6512" t="s">
        <v>53</v>
      </c>
    </row>
    <row r="6513" spans="1:17" x14ac:dyDescent="0.2">
      <c r="A6513" s="30" t="str">
        <f>IF(C6513&amp;G6513&amp;D6513&lt;&gt;'Funnel setup'!$K$3&amp;'Funnel setup'!$K$4&amp;'Funnel setup'!$K$5,".",IF(A6512=".",1,A6512+1))</f>
        <v>.</v>
      </c>
      <c r="B6513" s="431" t="str">
        <f t="shared" si="101"/>
        <v>Varicose VeinCCG of GP PracticeNHS CENTRAL MANCHESTER CCG (00W)EQ VAS</v>
      </c>
      <c r="C6513" t="s">
        <v>17</v>
      </c>
      <c r="D6513" t="s">
        <v>87</v>
      </c>
      <c r="E6513" t="s">
        <v>731</v>
      </c>
      <c r="F6513" t="s">
        <v>732</v>
      </c>
      <c r="G6513" t="s">
        <v>179</v>
      </c>
      <c r="H6513" t="s">
        <v>53</v>
      </c>
      <c r="I6513" t="s">
        <v>53</v>
      </c>
      <c r="J6513" t="s">
        <v>53</v>
      </c>
      <c r="K6513" t="s">
        <v>53</v>
      </c>
      <c r="L6513" t="s">
        <v>53</v>
      </c>
      <c r="M6513" t="s">
        <v>53</v>
      </c>
      <c r="N6513" t="s">
        <v>53</v>
      </c>
      <c r="O6513" t="s">
        <v>53</v>
      </c>
      <c r="P6513" t="s">
        <v>53</v>
      </c>
      <c r="Q6513" t="s">
        <v>53</v>
      </c>
    </row>
    <row r="6514" spans="1:17" x14ac:dyDescent="0.2">
      <c r="A6514" s="30" t="str">
        <f>IF(C6514&amp;G6514&amp;D6514&lt;&gt;'Funnel setup'!$K$3&amp;'Funnel setup'!$K$4&amp;'Funnel setup'!$K$5,".",IF(A6513=".",1,A6513+1))</f>
        <v>.</v>
      </c>
      <c r="B6514" s="431" t="str">
        <f t="shared" si="101"/>
        <v>Varicose VeinCCG of GP PracticeNHS CHILTERN CCG (10H)EQ VAS</v>
      </c>
      <c r="C6514" t="s">
        <v>17</v>
      </c>
      <c r="D6514" t="s">
        <v>87</v>
      </c>
      <c r="E6514" t="s">
        <v>734</v>
      </c>
      <c r="F6514" t="s">
        <v>735</v>
      </c>
      <c r="G6514" t="s">
        <v>179</v>
      </c>
      <c r="H6514">
        <v>25</v>
      </c>
      <c r="I6514">
        <v>78.239999999999995</v>
      </c>
      <c r="J6514">
        <v>76.12</v>
      </c>
      <c r="K6514">
        <v>-2.12</v>
      </c>
      <c r="L6514">
        <v>9</v>
      </c>
      <c r="M6514">
        <v>6</v>
      </c>
      <c r="N6514">
        <v>10</v>
      </c>
      <c r="O6514" t="s">
        <v>53</v>
      </c>
      <c r="P6514" t="s">
        <v>53</v>
      </c>
      <c r="Q6514" t="s">
        <v>53</v>
      </c>
    </row>
    <row r="6515" spans="1:17" x14ac:dyDescent="0.2">
      <c r="A6515" s="30" t="str">
        <f>IF(C6515&amp;G6515&amp;D6515&lt;&gt;'Funnel setup'!$K$3&amp;'Funnel setup'!$K$4&amp;'Funnel setup'!$K$5,".",IF(A6514=".",1,A6514+1))</f>
        <v>.</v>
      </c>
      <c r="B6515" s="431" t="str">
        <f t="shared" si="101"/>
        <v>Varicose VeinCCG of GP PracticeNHS CHORLEY AND SOUTH RIBBLE CCG (00X)EQ VAS</v>
      </c>
      <c r="C6515" t="s">
        <v>17</v>
      </c>
      <c r="D6515" t="s">
        <v>87</v>
      </c>
      <c r="E6515" t="s">
        <v>737</v>
      </c>
      <c r="F6515" t="s">
        <v>738</v>
      </c>
      <c r="G6515" t="s">
        <v>179</v>
      </c>
      <c r="H6515">
        <v>18</v>
      </c>
      <c r="I6515">
        <v>80.444000000000003</v>
      </c>
      <c r="J6515">
        <v>76.221999999999994</v>
      </c>
      <c r="K6515">
        <v>-4.2220000000000004</v>
      </c>
      <c r="L6515">
        <v>7</v>
      </c>
      <c r="M6515">
        <v>3</v>
      </c>
      <c r="N6515">
        <v>8</v>
      </c>
      <c r="O6515" t="s">
        <v>53</v>
      </c>
      <c r="P6515" t="s">
        <v>53</v>
      </c>
      <c r="Q6515" t="s">
        <v>53</v>
      </c>
    </row>
    <row r="6516" spans="1:17" x14ac:dyDescent="0.2">
      <c r="A6516" s="30" t="str">
        <f>IF(C6516&amp;G6516&amp;D6516&lt;&gt;'Funnel setup'!$K$3&amp;'Funnel setup'!$K$4&amp;'Funnel setup'!$K$5,".",IF(A6515=".",1,A6515+1))</f>
        <v>.</v>
      </c>
      <c r="B6516" s="431" t="str">
        <f t="shared" si="101"/>
        <v>Varicose VeinCCG of GP PracticeNHS CITY AND HACKNEY CCG (07T)EQ VAS</v>
      </c>
      <c r="C6516" t="s">
        <v>17</v>
      </c>
      <c r="D6516" t="s">
        <v>87</v>
      </c>
      <c r="E6516" t="s">
        <v>740</v>
      </c>
      <c r="F6516" t="s">
        <v>741</v>
      </c>
      <c r="G6516" t="s">
        <v>179</v>
      </c>
      <c r="H6516">
        <v>13</v>
      </c>
      <c r="I6516">
        <v>81.691999999999993</v>
      </c>
      <c r="J6516">
        <v>78.076999999999998</v>
      </c>
      <c r="K6516">
        <v>-3.6150000000000002</v>
      </c>
      <c r="L6516">
        <v>6</v>
      </c>
      <c r="M6516">
        <v>3</v>
      </c>
      <c r="N6516">
        <v>4</v>
      </c>
      <c r="O6516" t="s">
        <v>53</v>
      </c>
      <c r="P6516" t="s">
        <v>53</v>
      </c>
      <c r="Q6516" t="s">
        <v>53</v>
      </c>
    </row>
    <row r="6517" spans="1:17" x14ac:dyDescent="0.2">
      <c r="A6517" s="30" t="str">
        <f>IF(C6517&amp;G6517&amp;D6517&lt;&gt;'Funnel setup'!$K$3&amp;'Funnel setup'!$K$4&amp;'Funnel setup'!$K$5,".",IF(A6516=".",1,A6516+1))</f>
        <v>.</v>
      </c>
      <c r="B6517" s="431" t="str">
        <f t="shared" si="101"/>
        <v>Varicose VeinCCG of GP PracticeNHS COASTAL WEST SUSSEX CCG (09G)EQ VAS</v>
      </c>
      <c r="C6517" t="s">
        <v>17</v>
      </c>
      <c r="D6517" t="s">
        <v>87</v>
      </c>
      <c r="E6517" t="s">
        <v>743</v>
      </c>
      <c r="F6517" t="s">
        <v>744</v>
      </c>
      <c r="G6517" t="s">
        <v>179</v>
      </c>
      <c r="H6517">
        <v>16</v>
      </c>
      <c r="I6517">
        <v>69.875</v>
      </c>
      <c r="J6517">
        <v>75.875</v>
      </c>
      <c r="K6517">
        <v>6</v>
      </c>
      <c r="L6517">
        <v>8</v>
      </c>
      <c r="M6517">
        <v>2</v>
      </c>
      <c r="N6517">
        <v>6</v>
      </c>
      <c r="O6517" t="s">
        <v>53</v>
      </c>
      <c r="P6517" t="s">
        <v>53</v>
      </c>
      <c r="Q6517" t="s">
        <v>53</v>
      </c>
    </row>
    <row r="6518" spans="1:17" x14ac:dyDescent="0.2">
      <c r="A6518" s="30" t="str">
        <f>IF(C6518&amp;G6518&amp;D6518&lt;&gt;'Funnel setup'!$K$3&amp;'Funnel setup'!$K$4&amp;'Funnel setup'!$K$5,".",IF(A6517=".",1,A6517+1))</f>
        <v>.</v>
      </c>
      <c r="B6518" s="431" t="str">
        <f t="shared" si="101"/>
        <v>Varicose VeinCCG of GP PracticeNHS COVENTRY AND RUGBY CCG (05A)EQ VAS</v>
      </c>
      <c r="C6518" t="s">
        <v>17</v>
      </c>
      <c r="D6518" t="s">
        <v>87</v>
      </c>
      <c r="E6518" t="s">
        <v>749</v>
      </c>
      <c r="F6518" t="s">
        <v>750</v>
      </c>
      <c r="G6518" t="s">
        <v>179</v>
      </c>
      <c r="H6518">
        <v>11</v>
      </c>
      <c r="I6518">
        <v>86.090999999999994</v>
      </c>
      <c r="J6518">
        <v>81.817999999999998</v>
      </c>
      <c r="K6518">
        <v>-4.2729999999999997</v>
      </c>
      <c r="L6518">
        <v>1</v>
      </c>
      <c r="M6518">
        <v>3</v>
      </c>
      <c r="N6518">
        <v>7</v>
      </c>
      <c r="O6518" t="s">
        <v>53</v>
      </c>
      <c r="P6518" t="s">
        <v>53</v>
      </c>
      <c r="Q6518" t="s">
        <v>53</v>
      </c>
    </row>
    <row r="6519" spans="1:17" x14ac:dyDescent="0.2">
      <c r="A6519" s="30" t="str">
        <f>IF(C6519&amp;G6519&amp;D6519&lt;&gt;'Funnel setup'!$K$3&amp;'Funnel setup'!$K$4&amp;'Funnel setup'!$K$5,".",IF(A6518=".",1,A6518+1))</f>
        <v>.</v>
      </c>
      <c r="B6519" s="431" t="str">
        <f t="shared" si="101"/>
        <v>Varicose VeinCCG of GP PracticeNHS CRAWLEY CCG (09H)EQ VAS</v>
      </c>
      <c r="C6519" t="s">
        <v>17</v>
      </c>
      <c r="D6519" t="s">
        <v>87</v>
      </c>
      <c r="E6519" t="s">
        <v>752</v>
      </c>
      <c r="F6519" t="s">
        <v>753</v>
      </c>
      <c r="G6519" t="s">
        <v>179</v>
      </c>
      <c r="H6519">
        <v>17</v>
      </c>
      <c r="I6519">
        <v>72.941000000000003</v>
      </c>
      <c r="J6519">
        <v>76.647000000000006</v>
      </c>
      <c r="K6519">
        <v>3.706</v>
      </c>
      <c r="L6519">
        <v>9</v>
      </c>
      <c r="M6519">
        <v>3</v>
      </c>
      <c r="N6519">
        <v>5</v>
      </c>
      <c r="O6519" t="s">
        <v>53</v>
      </c>
      <c r="P6519" t="s">
        <v>53</v>
      </c>
      <c r="Q6519" t="s">
        <v>53</v>
      </c>
    </row>
    <row r="6520" spans="1:17" x14ac:dyDescent="0.2">
      <c r="A6520" s="30" t="str">
        <f>IF(C6520&amp;G6520&amp;D6520&lt;&gt;'Funnel setup'!$K$3&amp;'Funnel setup'!$K$4&amp;'Funnel setup'!$K$5,".",IF(A6519=".",1,A6519+1))</f>
        <v>.</v>
      </c>
      <c r="B6520" s="431" t="str">
        <f t="shared" si="101"/>
        <v>Varicose VeinCCG of GP PracticeNHS CROYDON CCG (07V)EQ VAS</v>
      </c>
      <c r="C6520" t="s">
        <v>17</v>
      </c>
      <c r="D6520" t="s">
        <v>87</v>
      </c>
      <c r="E6520" t="s">
        <v>755</v>
      </c>
      <c r="F6520" t="s">
        <v>756</v>
      </c>
      <c r="G6520" t="s">
        <v>179</v>
      </c>
      <c r="H6520" t="s">
        <v>53</v>
      </c>
      <c r="I6520" t="s">
        <v>53</v>
      </c>
      <c r="J6520" t="s">
        <v>53</v>
      </c>
      <c r="K6520" t="s">
        <v>53</v>
      </c>
      <c r="L6520" t="s">
        <v>53</v>
      </c>
      <c r="M6520" t="s">
        <v>53</v>
      </c>
      <c r="N6520" t="s">
        <v>53</v>
      </c>
      <c r="O6520" t="s">
        <v>53</v>
      </c>
      <c r="P6520" t="s">
        <v>53</v>
      </c>
      <c r="Q6520" t="s">
        <v>53</v>
      </c>
    </row>
    <row r="6521" spans="1:17" x14ac:dyDescent="0.2">
      <c r="A6521" s="30" t="str">
        <f>IF(C6521&amp;G6521&amp;D6521&lt;&gt;'Funnel setup'!$K$3&amp;'Funnel setup'!$K$4&amp;'Funnel setup'!$K$5,".",IF(A6520=".",1,A6520+1))</f>
        <v>.</v>
      </c>
      <c r="B6521" s="431" t="str">
        <f t="shared" si="101"/>
        <v>Varicose VeinCCG of GP PracticeNHS CUMBRIA CCG (01H)EQ VAS</v>
      </c>
      <c r="C6521" t="s">
        <v>17</v>
      </c>
      <c r="D6521" t="s">
        <v>87</v>
      </c>
      <c r="E6521" t="s">
        <v>758</v>
      </c>
      <c r="F6521" t="s">
        <v>759</v>
      </c>
      <c r="G6521" t="s">
        <v>179</v>
      </c>
      <c r="H6521">
        <v>57</v>
      </c>
      <c r="I6521">
        <v>82.350999999999999</v>
      </c>
      <c r="J6521">
        <v>82.438999999999993</v>
      </c>
      <c r="K6521">
        <v>8.7999999999999995E-2</v>
      </c>
      <c r="L6521">
        <v>23</v>
      </c>
      <c r="M6521">
        <v>14</v>
      </c>
      <c r="N6521">
        <v>20</v>
      </c>
      <c r="O6521">
        <v>79.852999999999994</v>
      </c>
      <c r="P6521">
        <v>0.88857850400000005</v>
      </c>
      <c r="Q6521">
        <v>8.4130000000000003</v>
      </c>
    </row>
    <row r="6522" spans="1:17" x14ac:dyDescent="0.2">
      <c r="A6522" s="30" t="str">
        <f>IF(C6522&amp;G6522&amp;D6522&lt;&gt;'Funnel setup'!$K$3&amp;'Funnel setup'!$K$4&amp;'Funnel setup'!$K$5,".",IF(A6521=".",1,A6521+1))</f>
        <v>.</v>
      </c>
      <c r="B6522" s="431" t="str">
        <f t="shared" si="101"/>
        <v>Varicose VeinCCG of GP PracticeNHS DARLINGTON CCG (00C)EQ VAS</v>
      </c>
      <c r="C6522" t="s">
        <v>17</v>
      </c>
      <c r="D6522" t="s">
        <v>87</v>
      </c>
      <c r="E6522" t="s">
        <v>761</v>
      </c>
      <c r="F6522" t="s">
        <v>762</v>
      </c>
      <c r="G6522" t="s">
        <v>179</v>
      </c>
      <c r="H6522">
        <v>7</v>
      </c>
      <c r="I6522">
        <v>79.286000000000001</v>
      </c>
      <c r="J6522">
        <v>82.713999999999999</v>
      </c>
      <c r="K6522">
        <v>3.4289999999999998</v>
      </c>
      <c r="L6522">
        <v>4</v>
      </c>
      <c r="M6522">
        <v>1</v>
      </c>
      <c r="N6522">
        <v>2</v>
      </c>
      <c r="O6522" t="s">
        <v>53</v>
      </c>
      <c r="P6522" t="s">
        <v>53</v>
      </c>
      <c r="Q6522" t="s">
        <v>53</v>
      </c>
    </row>
    <row r="6523" spans="1:17" x14ac:dyDescent="0.2">
      <c r="A6523" s="30" t="str">
        <f>IF(C6523&amp;G6523&amp;D6523&lt;&gt;'Funnel setup'!$K$3&amp;'Funnel setup'!$K$4&amp;'Funnel setup'!$K$5,".",IF(A6522=".",1,A6522+1))</f>
        <v>.</v>
      </c>
      <c r="B6523" s="431" t="str">
        <f t="shared" si="101"/>
        <v>Varicose VeinCCG of GP PracticeNHS DARTFORD, GRAVESHAM AND SWANLEY CCG (09J)EQ VAS</v>
      </c>
      <c r="C6523" t="s">
        <v>17</v>
      </c>
      <c r="D6523" t="s">
        <v>87</v>
      </c>
      <c r="E6523" t="s">
        <v>764</v>
      </c>
      <c r="F6523" t="s">
        <v>765</v>
      </c>
      <c r="G6523" t="s">
        <v>179</v>
      </c>
      <c r="H6523" t="s">
        <v>53</v>
      </c>
      <c r="I6523" t="s">
        <v>53</v>
      </c>
      <c r="J6523" t="s">
        <v>53</v>
      </c>
      <c r="K6523" t="s">
        <v>53</v>
      </c>
      <c r="L6523" t="s">
        <v>53</v>
      </c>
      <c r="M6523" t="s">
        <v>53</v>
      </c>
      <c r="N6523" t="s">
        <v>53</v>
      </c>
      <c r="O6523" t="s">
        <v>53</v>
      </c>
      <c r="P6523" t="s">
        <v>53</v>
      </c>
      <c r="Q6523" t="s">
        <v>53</v>
      </c>
    </row>
    <row r="6524" spans="1:17" x14ac:dyDescent="0.2">
      <c r="A6524" s="30" t="str">
        <f>IF(C6524&amp;G6524&amp;D6524&lt;&gt;'Funnel setup'!$K$3&amp;'Funnel setup'!$K$4&amp;'Funnel setup'!$K$5,".",IF(A6523=".",1,A6523+1))</f>
        <v>.</v>
      </c>
      <c r="B6524" s="431" t="str">
        <f t="shared" si="101"/>
        <v>Varicose VeinCCG of GP PracticeNHS DONCASTER CCG (02X)EQ VAS</v>
      </c>
      <c r="C6524" t="s">
        <v>17</v>
      </c>
      <c r="D6524" t="s">
        <v>87</v>
      </c>
      <c r="E6524" t="s">
        <v>767</v>
      </c>
      <c r="F6524" t="s">
        <v>768</v>
      </c>
      <c r="G6524" t="s">
        <v>179</v>
      </c>
      <c r="H6524">
        <v>17</v>
      </c>
      <c r="I6524">
        <v>83.765000000000001</v>
      </c>
      <c r="J6524">
        <v>86.882000000000005</v>
      </c>
      <c r="K6524">
        <v>3.1179999999999999</v>
      </c>
      <c r="L6524">
        <v>6</v>
      </c>
      <c r="M6524">
        <v>5</v>
      </c>
      <c r="N6524">
        <v>6</v>
      </c>
      <c r="O6524" t="s">
        <v>53</v>
      </c>
      <c r="P6524" t="s">
        <v>53</v>
      </c>
      <c r="Q6524" t="s">
        <v>53</v>
      </c>
    </row>
    <row r="6525" spans="1:17" x14ac:dyDescent="0.2">
      <c r="A6525" s="30" t="str">
        <f>IF(C6525&amp;G6525&amp;D6525&lt;&gt;'Funnel setup'!$K$3&amp;'Funnel setup'!$K$4&amp;'Funnel setup'!$K$5,".",IF(A6524=".",1,A6524+1))</f>
        <v>.</v>
      </c>
      <c r="B6525" s="431" t="str">
        <f t="shared" si="101"/>
        <v>Varicose VeinCCG of GP PracticeNHS DORSET CCG (11J)EQ VAS</v>
      </c>
      <c r="C6525" t="s">
        <v>17</v>
      </c>
      <c r="D6525" t="s">
        <v>87</v>
      </c>
      <c r="E6525" t="s">
        <v>854</v>
      </c>
      <c r="F6525" t="s">
        <v>855</v>
      </c>
      <c r="G6525" t="s">
        <v>179</v>
      </c>
      <c r="H6525">
        <v>54</v>
      </c>
      <c r="I6525">
        <v>76.721999999999994</v>
      </c>
      <c r="J6525">
        <v>74.019000000000005</v>
      </c>
      <c r="K6525">
        <v>-2.7040000000000002</v>
      </c>
      <c r="L6525">
        <v>21</v>
      </c>
      <c r="M6525">
        <v>8</v>
      </c>
      <c r="N6525">
        <v>25</v>
      </c>
      <c r="O6525">
        <v>76.61</v>
      </c>
      <c r="P6525">
        <v>-2.3541772230000002</v>
      </c>
      <c r="Q6525">
        <v>14.651</v>
      </c>
    </row>
    <row r="6526" spans="1:17" x14ac:dyDescent="0.2">
      <c r="A6526" s="30" t="str">
        <f>IF(C6526&amp;G6526&amp;D6526&lt;&gt;'Funnel setup'!$K$3&amp;'Funnel setup'!$K$4&amp;'Funnel setup'!$K$5,".",IF(A6525=".",1,A6525+1))</f>
        <v>.</v>
      </c>
      <c r="B6526" s="431" t="str">
        <f t="shared" si="101"/>
        <v>Varicose VeinCCG of GP PracticeNHS DUDLEY CCG (05C)EQ VAS</v>
      </c>
      <c r="C6526" t="s">
        <v>17</v>
      </c>
      <c r="D6526" t="s">
        <v>87</v>
      </c>
      <c r="E6526" t="s">
        <v>857</v>
      </c>
      <c r="F6526" t="s">
        <v>858</v>
      </c>
      <c r="G6526" t="s">
        <v>179</v>
      </c>
      <c r="H6526">
        <v>104</v>
      </c>
      <c r="I6526">
        <v>79.183000000000007</v>
      </c>
      <c r="J6526">
        <v>76.423000000000002</v>
      </c>
      <c r="K6526">
        <v>-2.76</v>
      </c>
      <c r="L6526">
        <v>32</v>
      </c>
      <c r="M6526">
        <v>20</v>
      </c>
      <c r="N6526">
        <v>52</v>
      </c>
      <c r="O6526">
        <v>76.789000000000001</v>
      </c>
      <c r="P6526">
        <v>-2.1754261650000002</v>
      </c>
      <c r="Q6526">
        <v>12.585000000000001</v>
      </c>
    </row>
    <row r="6527" spans="1:17" x14ac:dyDescent="0.2">
      <c r="A6527" s="30" t="str">
        <f>IF(C6527&amp;G6527&amp;D6527&lt;&gt;'Funnel setup'!$K$3&amp;'Funnel setup'!$K$4&amp;'Funnel setup'!$K$5,".",IF(A6526=".",1,A6526+1))</f>
        <v>.</v>
      </c>
      <c r="B6527" s="431" t="str">
        <f t="shared" si="101"/>
        <v>Varicose VeinCCG of GP PracticeNHS DURHAM DALES, EASINGTON AND SEDGEFIELD CCG (00D)EQ VAS</v>
      </c>
      <c r="C6527" t="s">
        <v>17</v>
      </c>
      <c r="D6527" t="s">
        <v>87</v>
      </c>
      <c r="E6527" t="s">
        <v>860</v>
      </c>
      <c r="F6527" t="s">
        <v>861</v>
      </c>
      <c r="G6527" t="s">
        <v>179</v>
      </c>
      <c r="H6527">
        <v>34</v>
      </c>
      <c r="I6527">
        <v>83.823999999999998</v>
      </c>
      <c r="J6527">
        <v>78.352999999999994</v>
      </c>
      <c r="K6527">
        <v>-5.4710000000000001</v>
      </c>
      <c r="L6527">
        <v>5</v>
      </c>
      <c r="M6527">
        <v>9</v>
      </c>
      <c r="N6527">
        <v>20</v>
      </c>
      <c r="O6527">
        <v>77.304000000000002</v>
      </c>
      <c r="P6527">
        <v>-1.659853201</v>
      </c>
      <c r="Q6527">
        <v>9.6359999999999992</v>
      </c>
    </row>
    <row r="6528" spans="1:17" x14ac:dyDescent="0.2">
      <c r="A6528" s="30" t="str">
        <f>IF(C6528&amp;G6528&amp;D6528&lt;&gt;'Funnel setup'!$K$3&amp;'Funnel setup'!$K$4&amp;'Funnel setup'!$K$5,".",IF(A6527=".",1,A6527+1))</f>
        <v>.</v>
      </c>
      <c r="B6528" s="431" t="str">
        <f t="shared" si="101"/>
        <v>Varicose VeinCCG of GP PracticeNHS EALING CCG (07W)EQ VAS</v>
      </c>
      <c r="C6528" t="s">
        <v>17</v>
      </c>
      <c r="D6528" t="s">
        <v>87</v>
      </c>
      <c r="E6528" t="s">
        <v>863</v>
      </c>
      <c r="F6528" t="s">
        <v>864</v>
      </c>
      <c r="G6528" t="s">
        <v>179</v>
      </c>
      <c r="H6528">
        <v>25</v>
      </c>
      <c r="I6528">
        <v>73.72</v>
      </c>
      <c r="J6528">
        <v>67.64</v>
      </c>
      <c r="K6528">
        <v>-6.08</v>
      </c>
      <c r="L6528">
        <v>8</v>
      </c>
      <c r="M6528">
        <v>4</v>
      </c>
      <c r="N6528">
        <v>13</v>
      </c>
      <c r="O6528" t="s">
        <v>53</v>
      </c>
      <c r="P6528" t="s">
        <v>53</v>
      </c>
      <c r="Q6528" t="s">
        <v>53</v>
      </c>
    </row>
    <row r="6529" spans="1:17" x14ac:dyDescent="0.2">
      <c r="A6529" s="30" t="str">
        <f>IF(C6529&amp;G6529&amp;D6529&lt;&gt;'Funnel setup'!$K$3&amp;'Funnel setup'!$K$4&amp;'Funnel setup'!$K$5,".",IF(A6528=".",1,A6528+1))</f>
        <v>.</v>
      </c>
      <c r="B6529" s="431" t="str">
        <f t="shared" si="101"/>
        <v>Varicose VeinCCG of GP PracticeNHS EAST AND NORTH HERTFORDSHIRE CCG (06K)EQ VAS</v>
      </c>
      <c r="C6529" t="s">
        <v>17</v>
      </c>
      <c r="D6529" t="s">
        <v>87</v>
      </c>
      <c r="E6529" t="s">
        <v>866</v>
      </c>
      <c r="F6529" t="s">
        <v>867</v>
      </c>
      <c r="G6529" t="s">
        <v>179</v>
      </c>
      <c r="H6529">
        <v>28</v>
      </c>
      <c r="I6529">
        <v>75.963999999999999</v>
      </c>
      <c r="J6529">
        <v>71</v>
      </c>
      <c r="K6529">
        <v>-4.9640000000000004</v>
      </c>
      <c r="L6529">
        <v>11</v>
      </c>
      <c r="M6529">
        <v>3</v>
      </c>
      <c r="N6529">
        <v>14</v>
      </c>
      <c r="O6529" t="s">
        <v>53</v>
      </c>
      <c r="P6529" t="s">
        <v>53</v>
      </c>
      <c r="Q6529" t="s">
        <v>53</v>
      </c>
    </row>
    <row r="6530" spans="1:17" x14ac:dyDescent="0.2">
      <c r="A6530" s="30" t="str">
        <f>IF(C6530&amp;G6530&amp;D6530&lt;&gt;'Funnel setup'!$K$3&amp;'Funnel setup'!$K$4&amp;'Funnel setup'!$K$5,".",IF(A6529=".",1,A6529+1))</f>
        <v>.</v>
      </c>
      <c r="B6530" s="431" t="str">
        <f t="shared" si="101"/>
        <v>Varicose VeinCCG of GP PracticeNHS EAST LANCASHIRE CCG (01A)EQ VAS</v>
      </c>
      <c r="C6530" t="s">
        <v>17</v>
      </c>
      <c r="D6530" t="s">
        <v>87</v>
      </c>
      <c r="E6530" t="s">
        <v>869</v>
      </c>
      <c r="F6530" t="s">
        <v>870</v>
      </c>
      <c r="G6530" t="s">
        <v>179</v>
      </c>
      <c r="H6530">
        <v>101</v>
      </c>
      <c r="I6530">
        <v>77.722999999999999</v>
      </c>
      <c r="J6530">
        <v>77.831999999999994</v>
      </c>
      <c r="K6530">
        <v>0.109</v>
      </c>
      <c r="L6530">
        <v>38</v>
      </c>
      <c r="M6530">
        <v>25</v>
      </c>
      <c r="N6530">
        <v>38</v>
      </c>
      <c r="O6530">
        <v>77.8</v>
      </c>
      <c r="P6530">
        <v>-1.164061547</v>
      </c>
      <c r="Q6530">
        <v>12.913</v>
      </c>
    </row>
    <row r="6531" spans="1:17" x14ac:dyDescent="0.2">
      <c r="A6531" s="30" t="str">
        <f>IF(C6531&amp;G6531&amp;D6531&lt;&gt;'Funnel setup'!$K$3&amp;'Funnel setup'!$K$4&amp;'Funnel setup'!$K$5,".",IF(A6530=".",1,A6530+1))</f>
        <v>.</v>
      </c>
      <c r="B6531" s="431" t="str">
        <f t="shared" ref="B6531:B6594" si="102">C6531&amp;D6531&amp;F6531&amp;G6531</f>
        <v>Varicose VeinCCG of GP PracticeNHS EAST LEICESTERSHIRE AND RUTLAND CCG (03W)EQ VAS</v>
      </c>
      <c r="C6531" t="s">
        <v>17</v>
      </c>
      <c r="D6531" t="s">
        <v>87</v>
      </c>
      <c r="E6531" t="s">
        <v>872</v>
      </c>
      <c r="F6531" t="s">
        <v>873</v>
      </c>
      <c r="G6531" t="s">
        <v>179</v>
      </c>
      <c r="H6531">
        <v>21</v>
      </c>
      <c r="I6531">
        <v>76.094999999999999</v>
      </c>
      <c r="J6531">
        <v>79.429000000000002</v>
      </c>
      <c r="K6531">
        <v>3.3330000000000002</v>
      </c>
      <c r="L6531">
        <v>12</v>
      </c>
      <c r="M6531">
        <v>6</v>
      </c>
      <c r="N6531">
        <v>3</v>
      </c>
      <c r="O6531" t="s">
        <v>53</v>
      </c>
      <c r="P6531" t="s">
        <v>53</v>
      </c>
      <c r="Q6531" t="s">
        <v>53</v>
      </c>
    </row>
    <row r="6532" spans="1:17" x14ac:dyDescent="0.2">
      <c r="A6532" s="30" t="str">
        <f>IF(C6532&amp;G6532&amp;D6532&lt;&gt;'Funnel setup'!$K$3&amp;'Funnel setup'!$K$4&amp;'Funnel setup'!$K$5,".",IF(A6531=".",1,A6531+1))</f>
        <v>.</v>
      </c>
      <c r="B6532" s="431" t="str">
        <f t="shared" si="102"/>
        <v>Varicose VeinCCG of GP PracticeNHS EAST RIDING OF YORKSHIRE CCG (02Y)EQ VAS</v>
      </c>
      <c r="C6532" t="s">
        <v>17</v>
      </c>
      <c r="D6532" t="s">
        <v>87</v>
      </c>
      <c r="E6532" t="s">
        <v>875</v>
      </c>
      <c r="F6532" t="s">
        <v>876</v>
      </c>
      <c r="G6532" t="s">
        <v>179</v>
      </c>
      <c r="H6532">
        <v>58</v>
      </c>
      <c r="I6532">
        <v>81.638000000000005</v>
      </c>
      <c r="J6532">
        <v>81.19</v>
      </c>
      <c r="K6532">
        <v>-0.44800000000000001</v>
      </c>
      <c r="L6532">
        <v>23</v>
      </c>
      <c r="M6532">
        <v>10</v>
      </c>
      <c r="N6532">
        <v>25</v>
      </c>
      <c r="O6532">
        <v>79.662000000000006</v>
      </c>
      <c r="P6532">
        <v>0.69782387000000001</v>
      </c>
      <c r="Q6532">
        <v>15.907</v>
      </c>
    </row>
    <row r="6533" spans="1:17" x14ac:dyDescent="0.2">
      <c r="A6533" s="30" t="str">
        <f>IF(C6533&amp;G6533&amp;D6533&lt;&gt;'Funnel setup'!$K$3&amp;'Funnel setup'!$K$4&amp;'Funnel setup'!$K$5,".",IF(A6532=".",1,A6532+1))</f>
        <v>.</v>
      </c>
      <c r="B6533" s="431" t="str">
        <f t="shared" si="102"/>
        <v>Varicose VeinCCG of GP PracticeNHS EAST STAFFORDSHIRE CCG (05D)EQ VAS</v>
      </c>
      <c r="C6533" t="s">
        <v>17</v>
      </c>
      <c r="D6533" t="s">
        <v>87</v>
      </c>
      <c r="E6533" t="s">
        <v>878</v>
      </c>
      <c r="F6533" t="s">
        <v>879</v>
      </c>
      <c r="G6533" t="s">
        <v>179</v>
      </c>
      <c r="H6533">
        <v>9</v>
      </c>
      <c r="I6533">
        <v>83.555999999999997</v>
      </c>
      <c r="J6533">
        <v>82</v>
      </c>
      <c r="K6533">
        <v>-1.556</v>
      </c>
      <c r="L6533">
        <v>3</v>
      </c>
      <c r="M6533">
        <v>1</v>
      </c>
      <c r="N6533">
        <v>5</v>
      </c>
      <c r="O6533" t="s">
        <v>53</v>
      </c>
      <c r="P6533" t="s">
        <v>53</v>
      </c>
      <c r="Q6533" t="s">
        <v>53</v>
      </c>
    </row>
    <row r="6534" spans="1:17" x14ac:dyDescent="0.2">
      <c r="A6534" s="30" t="str">
        <f>IF(C6534&amp;G6534&amp;D6534&lt;&gt;'Funnel setup'!$K$3&amp;'Funnel setup'!$K$4&amp;'Funnel setup'!$K$5,".",IF(A6533=".",1,A6533+1))</f>
        <v>.</v>
      </c>
      <c r="B6534" s="431" t="str">
        <f t="shared" si="102"/>
        <v>Varicose VeinCCG of GP PracticeNHS EAST SURREY CCG (09L)EQ VAS</v>
      </c>
      <c r="C6534" t="s">
        <v>17</v>
      </c>
      <c r="D6534" t="s">
        <v>87</v>
      </c>
      <c r="E6534" t="s">
        <v>881</v>
      </c>
      <c r="F6534" t="s">
        <v>882</v>
      </c>
      <c r="G6534" t="s">
        <v>179</v>
      </c>
      <c r="H6534">
        <v>16</v>
      </c>
      <c r="I6534">
        <v>78.5</v>
      </c>
      <c r="J6534">
        <v>77.938000000000002</v>
      </c>
      <c r="K6534">
        <v>-0.56299999999999994</v>
      </c>
      <c r="L6534">
        <v>8</v>
      </c>
      <c r="M6534">
        <v>3</v>
      </c>
      <c r="N6534">
        <v>5</v>
      </c>
      <c r="O6534" t="s">
        <v>53</v>
      </c>
      <c r="P6534" t="s">
        <v>53</v>
      </c>
      <c r="Q6534" t="s">
        <v>53</v>
      </c>
    </row>
    <row r="6535" spans="1:17" x14ac:dyDescent="0.2">
      <c r="A6535" s="30" t="str">
        <f>IF(C6535&amp;G6535&amp;D6535&lt;&gt;'Funnel setup'!$K$3&amp;'Funnel setup'!$K$4&amp;'Funnel setup'!$K$5,".",IF(A6534=".",1,A6534+1))</f>
        <v>.</v>
      </c>
      <c r="B6535" s="431" t="str">
        <f t="shared" si="102"/>
        <v>Varicose VeinCCG of GP PracticeNHS EASTBOURNE, HAILSHAM AND SEAFORD CCG (09F)EQ VAS</v>
      </c>
      <c r="C6535" t="s">
        <v>17</v>
      </c>
      <c r="D6535" t="s">
        <v>87</v>
      </c>
      <c r="E6535" t="s">
        <v>884</v>
      </c>
      <c r="F6535" t="s">
        <v>885</v>
      </c>
      <c r="G6535" t="s">
        <v>179</v>
      </c>
      <c r="H6535">
        <v>11</v>
      </c>
      <c r="I6535">
        <v>80.272999999999996</v>
      </c>
      <c r="J6535">
        <v>77.364000000000004</v>
      </c>
      <c r="K6535">
        <v>-2.9089999999999998</v>
      </c>
      <c r="L6535">
        <v>6</v>
      </c>
      <c r="M6535">
        <v>1</v>
      </c>
      <c r="N6535">
        <v>4</v>
      </c>
      <c r="O6535" t="s">
        <v>53</v>
      </c>
      <c r="P6535" t="s">
        <v>53</v>
      </c>
      <c r="Q6535" t="s">
        <v>53</v>
      </c>
    </row>
    <row r="6536" spans="1:17" x14ac:dyDescent="0.2">
      <c r="A6536" s="30" t="str">
        <f>IF(C6536&amp;G6536&amp;D6536&lt;&gt;'Funnel setup'!$K$3&amp;'Funnel setup'!$K$4&amp;'Funnel setup'!$K$5,".",IF(A6535=".",1,A6535+1))</f>
        <v>.</v>
      </c>
      <c r="B6536" s="431" t="str">
        <f t="shared" si="102"/>
        <v>Varicose VeinCCG of GP PracticeNHS EASTERN CHESHIRE CCG (01C)EQ VAS</v>
      </c>
      <c r="C6536" t="s">
        <v>17</v>
      </c>
      <c r="D6536" t="s">
        <v>87</v>
      </c>
      <c r="E6536" t="s">
        <v>887</v>
      </c>
      <c r="F6536" t="s">
        <v>888</v>
      </c>
      <c r="G6536" t="s">
        <v>179</v>
      </c>
      <c r="H6536">
        <v>34</v>
      </c>
      <c r="I6536">
        <v>82.647000000000006</v>
      </c>
      <c r="J6536">
        <v>85.412000000000006</v>
      </c>
      <c r="K6536">
        <v>2.7650000000000001</v>
      </c>
      <c r="L6536">
        <v>20</v>
      </c>
      <c r="M6536">
        <v>5</v>
      </c>
      <c r="N6536">
        <v>9</v>
      </c>
      <c r="O6536">
        <v>82.459000000000003</v>
      </c>
      <c r="P6536">
        <v>3.4952283020000001</v>
      </c>
      <c r="Q6536">
        <v>7.87</v>
      </c>
    </row>
    <row r="6537" spans="1:17" x14ac:dyDescent="0.2">
      <c r="A6537" s="30" t="str">
        <f>IF(C6537&amp;G6537&amp;D6537&lt;&gt;'Funnel setup'!$K$3&amp;'Funnel setup'!$K$4&amp;'Funnel setup'!$K$5,".",IF(A6536=".",1,A6536+1))</f>
        <v>.</v>
      </c>
      <c r="B6537" s="431" t="str">
        <f t="shared" si="102"/>
        <v>Varicose VeinCCG of GP PracticeNHS ENFIELD CCG (07X)EQ VAS</v>
      </c>
      <c r="C6537" t="s">
        <v>17</v>
      </c>
      <c r="D6537" t="s">
        <v>87</v>
      </c>
      <c r="E6537" t="s">
        <v>890</v>
      </c>
      <c r="F6537" t="s">
        <v>891</v>
      </c>
      <c r="G6537" t="s">
        <v>179</v>
      </c>
      <c r="H6537">
        <v>12</v>
      </c>
      <c r="I6537">
        <v>75.5</v>
      </c>
      <c r="J6537">
        <v>72.75</v>
      </c>
      <c r="K6537">
        <v>-2.75</v>
      </c>
      <c r="L6537">
        <v>4</v>
      </c>
      <c r="M6537">
        <v>3</v>
      </c>
      <c r="N6537">
        <v>5</v>
      </c>
      <c r="O6537" t="s">
        <v>53</v>
      </c>
      <c r="P6537" t="s">
        <v>53</v>
      </c>
      <c r="Q6537" t="s">
        <v>53</v>
      </c>
    </row>
    <row r="6538" spans="1:17" x14ac:dyDescent="0.2">
      <c r="A6538" s="30" t="str">
        <f>IF(C6538&amp;G6538&amp;D6538&lt;&gt;'Funnel setup'!$K$3&amp;'Funnel setup'!$K$4&amp;'Funnel setup'!$K$5,".",IF(A6537=".",1,A6537+1))</f>
        <v>.</v>
      </c>
      <c r="B6538" s="431" t="str">
        <f t="shared" si="102"/>
        <v>Varicose VeinCCG of GP PracticeNHS EREWASH CCG (03X)EQ VAS</v>
      </c>
      <c r="C6538" t="s">
        <v>17</v>
      </c>
      <c r="D6538" t="s">
        <v>87</v>
      </c>
      <c r="E6538" t="s">
        <v>893</v>
      </c>
      <c r="F6538" t="s">
        <v>894</v>
      </c>
      <c r="G6538" t="s">
        <v>179</v>
      </c>
      <c r="H6538">
        <v>13</v>
      </c>
      <c r="I6538">
        <v>66.846000000000004</v>
      </c>
      <c r="J6538">
        <v>66.923000000000002</v>
      </c>
      <c r="K6538">
        <v>7.6999999999999999E-2</v>
      </c>
      <c r="L6538">
        <v>6</v>
      </c>
      <c r="M6538">
        <v>2</v>
      </c>
      <c r="N6538">
        <v>5</v>
      </c>
      <c r="O6538" t="s">
        <v>53</v>
      </c>
      <c r="P6538" t="s">
        <v>53</v>
      </c>
      <c r="Q6538" t="s">
        <v>53</v>
      </c>
    </row>
    <row r="6539" spans="1:17" x14ac:dyDescent="0.2">
      <c r="A6539" s="30" t="str">
        <f>IF(C6539&amp;G6539&amp;D6539&lt;&gt;'Funnel setup'!$K$3&amp;'Funnel setup'!$K$4&amp;'Funnel setup'!$K$5,".",IF(A6538=".",1,A6538+1))</f>
        <v>.</v>
      </c>
      <c r="B6539" s="431" t="str">
        <f t="shared" si="102"/>
        <v>Varicose VeinCCG of GP PracticeNHS FAREHAM AND GOSPORT CCG (10K)EQ VAS</v>
      </c>
      <c r="C6539" t="s">
        <v>17</v>
      </c>
      <c r="D6539" t="s">
        <v>87</v>
      </c>
      <c r="E6539" t="s">
        <v>896</v>
      </c>
      <c r="F6539" t="s">
        <v>897</v>
      </c>
      <c r="G6539" t="s">
        <v>179</v>
      </c>
      <c r="H6539" t="s">
        <v>53</v>
      </c>
      <c r="I6539" t="s">
        <v>53</v>
      </c>
      <c r="J6539" t="s">
        <v>53</v>
      </c>
      <c r="K6539" t="s">
        <v>53</v>
      </c>
      <c r="L6539" t="s">
        <v>53</v>
      </c>
      <c r="M6539" t="s">
        <v>53</v>
      </c>
      <c r="N6539" t="s">
        <v>53</v>
      </c>
      <c r="O6539" t="s">
        <v>53</v>
      </c>
      <c r="P6539" t="s">
        <v>53</v>
      </c>
      <c r="Q6539" t="s">
        <v>53</v>
      </c>
    </row>
    <row r="6540" spans="1:17" x14ac:dyDescent="0.2">
      <c r="A6540" s="30" t="str">
        <f>IF(C6540&amp;G6540&amp;D6540&lt;&gt;'Funnel setup'!$K$3&amp;'Funnel setup'!$K$4&amp;'Funnel setup'!$K$5,".",IF(A6539=".",1,A6539+1))</f>
        <v>.</v>
      </c>
      <c r="B6540" s="431" t="str">
        <f t="shared" si="102"/>
        <v>Varicose VeinCCG of GP PracticeNHS FYLDE &amp; WYRE CCG (02M)EQ VAS</v>
      </c>
      <c r="C6540" t="s">
        <v>17</v>
      </c>
      <c r="D6540" t="s">
        <v>87</v>
      </c>
      <c r="E6540" t="s">
        <v>899</v>
      </c>
      <c r="F6540" t="s">
        <v>900</v>
      </c>
      <c r="G6540" t="s">
        <v>179</v>
      </c>
      <c r="H6540">
        <v>10</v>
      </c>
      <c r="I6540">
        <v>86.1</v>
      </c>
      <c r="J6540">
        <v>82.3</v>
      </c>
      <c r="K6540">
        <v>-3.8</v>
      </c>
      <c r="L6540">
        <v>1</v>
      </c>
      <c r="M6540">
        <v>3</v>
      </c>
      <c r="N6540">
        <v>6</v>
      </c>
      <c r="O6540" t="s">
        <v>53</v>
      </c>
      <c r="P6540" t="s">
        <v>53</v>
      </c>
      <c r="Q6540" t="s">
        <v>53</v>
      </c>
    </row>
    <row r="6541" spans="1:17" x14ac:dyDescent="0.2">
      <c r="A6541" s="30" t="str">
        <f>IF(C6541&amp;G6541&amp;D6541&lt;&gt;'Funnel setup'!$K$3&amp;'Funnel setup'!$K$4&amp;'Funnel setup'!$K$5,".",IF(A6540=".",1,A6540+1))</f>
        <v>.</v>
      </c>
      <c r="B6541" s="431" t="str">
        <f t="shared" si="102"/>
        <v>Varicose VeinCCG of GP PracticeNHS GLOUCESTERSHIRE CCG (11M)EQ VAS</v>
      </c>
      <c r="C6541" t="s">
        <v>17</v>
      </c>
      <c r="D6541" t="s">
        <v>87</v>
      </c>
      <c r="E6541" t="s">
        <v>902</v>
      </c>
      <c r="F6541" t="s">
        <v>903</v>
      </c>
      <c r="G6541" t="s">
        <v>179</v>
      </c>
      <c r="H6541">
        <v>78</v>
      </c>
      <c r="I6541">
        <v>83.41</v>
      </c>
      <c r="J6541">
        <v>84.795000000000002</v>
      </c>
      <c r="K6541">
        <v>1.385</v>
      </c>
      <c r="L6541">
        <v>30</v>
      </c>
      <c r="M6541">
        <v>23</v>
      </c>
      <c r="N6541">
        <v>25</v>
      </c>
      <c r="O6541">
        <v>80.525999999999996</v>
      </c>
      <c r="P6541">
        <v>1.5622840929999999</v>
      </c>
      <c r="Q6541">
        <v>11.087999999999999</v>
      </c>
    </row>
    <row r="6542" spans="1:17" x14ac:dyDescent="0.2">
      <c r="A6542" s="30" t="str">
        <f>IF(C6542&amp;G6542&amp;D6542&lt;&gt;'Funnel setup'!$K$3&amp;'Funnel setup'!$K$4&amp;'Funnel setup'!$K$5,".",IF(A6541=".",1,A6541+1))</f>
        <v>.</v>
      </c>
      <c r="B6542" s="431" t="str">
        <f t="shared" si="102"/>
        <v>Varicose VeinCCG of GP PracticeNHS GREAT YARMOUTH AND WAVENEY CCG (06M)EQ VAS</v>
      </c>
      <c r="C6542" t="s">
        <v>17</v>
      </c>
      <c r="D6542" t="s">
        <v>87</v>
      </c>
      <c r="E6542" t="s">
        <v>905</v>
      </c>
      <c r="F6542" t="s">
        <v>906</v>
      </c>
      <c r="G6542" t="s">
        <v>179</v>
      </c>
      <c r="H6542">
        <v>44</v>
      </c>
      <c r="I6542">
        <v>82.75</v>
      </c>
      <c r="J6542">
        <v>83.159000000000006</v>
      </c>
      <c r="K6542">
        <v>0.40899999999999997</v>
      </c>
      <c r="L6542">
        <v>21</v>
      </c>
      <c r="M6542">
        <v>11</v>
      </c>
      <c r="N6542">
        <v>12</v>
      </c>
      <c r="O6542">
        <v>80.433999999999997</v>
      </c>
      <c r="P6542">
        <v>1.470455509</v>
      </c>
      <c r="Q6542">
        <v>10.999000000000001</v>
      </c>
    </row>
    <row r="6543" spans="1:17" x14ac:dyDescent="0.2">
      <c r="A6543" s="30" t="str">
        <f>IF(C6543&amp;G6543&amp;D6543&lt;&gt;'Funnel setup'!$K$3&amp;'Funnel setup'!$K$4&amp;'Funnel setup'!$K$5,".",IF(A6542=".",1,A6542+1))</f>
        <v>.</v>
      </c>
      <c r="B6543" s="431" t="str">
        <f t="shared" si="102"/>
        <v>Varicose VeinCCG of GP PracticeNHS GREATER HUDDERSFIELD CCG (03A)EQ VAS</v>
      </c>
      <c r="C6543" t="s">
        <v>17</v>
      </c>
      <c r="D6543" t="s">
        <v>87</v>
      </c>
      <c r="E6543" t="s">
        <v>908</v>
      </c>
      <c r="F6543" t="s">
        <v>909</v>
      </c>
      <c r="G6543" t="s">
        <v>179</v>
      </c>
      <c r="H6543">
        <v>63</v>
      </c>
      <c r="I6543">
        <v>84.429000000000002</v>
      </c>
      <c r="J6543">
        <v>80.650999999999996</v>
      </c>
      <c r="K6543">
        <v>-3.778</v>
      </c>
      <c r="L6543">
        <v>18</v>
      </c>
      <c r="M6543">
        <v>18</v>
      </c>
      <c r="N6543">
        <v>27</v>
      </c>
      <c r="O6543">
        <v>77.933999999999997</v>
      </c>
      <c r="P6543">
        <v>-1.029787526</v>
      </c>
      <c r="Q6543">
        <v>11.167</v>
      </c>
    </row>
    <row r="6544" spans="1:17" x14ac:dyDescent="0.2">
      <c r="A6544" s="30" t="str">
        <f>IF(C6544&amp;G6544&amp;D6544&lt;&gt;'Funnel setup'!$K$3&amp;'Funnel setup'!$K$4&amp;'Funnel setup'!$K$5,".",IF(A6543=".",1,A6543+1))</f>
        <v>.</v>
      </c>
      <c r="B6544" s="431" t="str">
        <f t="shared" si="102"/>
        <v>Varicose VeinCCG of GP PracticeNHS GREATER PRESTON CCG (01E)EQ VAS</v>
      </c>
      <c r="C6544" t="s">
        <v>17</v>
      </c>
      <c r="D6544" t="s">
        <v>87</v>
      </c>
      <c r="E6544" t="s">
        <v>486</v>
      </c>
      <c r="F6544" t="s">
        <v>487</v>
      </c>
      <c r="G6544" t="s">
        <v>179</v>
      </c>
      <c r="H6544">
        <v>39</v>
      </c>
      <c r="I6544">
        <v>86.462000000000003</v>
      </c>
      <c r="J6544">
        <v>82.718000000000004</v>
      </c>
      <c r="K6544">
        <v>-3.7440000000000002</v>
      </c>
      <c r="L6544">
        <v>11</v>
      </c>
      <c r="M6544">
        <v>11</v>
      </c>
      <c r="N6544">
        <v>17</v>
      </c>
      <c r="O6544">
        <v>77.123000000000005</v>
      </c>
      <c r="P6544">
        <v>-1.8410518810000001</v>
      </c>
      <c r="Q6544">
        <v>14.141</v>
      </c>
    </row>
    <row r="6545" spans="1:17" x14ac:dyDescent="0.2">
      <c r="A6545" s="30" t="str">
        <f>IF(C6545&amp;G6545&amp;D6545&lt;&gt;'Funnel setup'!$K$3&amp;'Funnel setup'!$K$4&amp;'Funnel setup'!$K$5,".",IF(A6544=".",1,A6544+1))</f>
        <v>.</v>
      </c>
      <c r="B6545" s="431" t="str">
        <f t="shared" si="102"/>
        <v>Varicose VeinCCG of GP PracticeNHS GREENWICH CCG (08A)EQ VAS</v>
      </c>
      <c r="C6545" t="s">
        <v>17</v>
      </c>
      <c r="D6545" t="s">
        <v>87</v>
      </c>
      <c r="E6545" t="s">
        <v>489</v>
      </c>
      <c r="F6545" t="s">
        <v>490</v>
      </c>
      <c r="G6545" t="s">
        <v>179</v>
      </c>
      <c r="H6545">
        <v>31</v>
      </c>
      <c r="I6545">
        <v>74.194000000000003</v>
      </c>
      <c r="J6545">
        <v>74.064999999999998</v>
      </c>
      <c r="K6545">
        <v>-0.129</v>
      </c>
      <c r="L6545">
        <v>10</v>
      </c>
      <c r="M6545">
        <v>11</v>
      </c>
      <c r="N6545">
        <v>10</v>
      </c>
      <c r="O6545">
        <v>77.662000000000006</v>
      </c>
      <c r="P6545">
        <v>-1.3022165370000001</v>
      </c>
      <c r="Q6545">
        <v>13.557</v>
      </c>
    </row>
    <row r="6546" spans="1:17" x14ac:dyDescent="0.2">
      <c r="A6546" s="30" t="str">
        <f>IF(C6546&amp;G6546&amp;D6546&lt;&gt;'Funnel setup'!$K$3&amp;'Funnel setup'!$K$4&amp;'Funnel setup'!$K$5,".",IF(A6545=".",1,A6545+1))</f>
        <v>.</v>
      </c>
      <c r="B6546" s="431" t="str">
        <f t="shared" si="102"/>
        <v>Varicose VeinCCG of GP PracticeNHS GUILDFORD AND WAVERLEY CCG (09N)EQ VAS</v>
      </c>
      <c r="C6546" t="s">
        <v>17</v>
      </c>
      <c r="D6546" t="s">
        <v>87</v>
      </c>
      <c r="E6546" t="s">
        <v>911</v>
      </c>
      <c r="F6546" t="s">
        <v>912</v>
      </c>
      <c r="G6546" t="s">
        <v>179</v>
      </c>
      <c r="H6546">
        <v>11</v>
      </c>
      <c r="I6546">
        <v>81.364000000000004</v>
      </c>
      <c r="J6546">
        <v>80.909000000000006</v>
      </c>
      <c r="K6546">
        <v>-0.45500000000000002</v>
      </c>
      <c r="L6546">
        <v>5</v>
      </c>
      <c r="M6546">
        <v>2</v>
      </c>
      <c r="N6546">
        <v>4</v>
      </c>
      <c r="O6546" t="s">
        <v>53</v>
      </c>
      <c r="P6546" t="s">
        <v>53</v>
      </c>
      <c r="Q6546" t="s">
        <v>53</v>
      </c>
    </row>
    <row r="6547" spans="1:17" x14ac:dyDescent="0.2">
      <c r="A6547" s="30" t="str">
        <f>IF(C6547&amp;G6547&amp;D6547&lt;&gt;'Funnel setup'!$K$3&amp;'Funnel setup'!$K$4&amp;'Funnel setup'!$K$5,".",IF(A6546=".",1,A6546+1))</f>
        <v>.</v>
      </c>
      <c r="B6547" s="431" t="str">
        <f t="shared" si="102"/>
        <v>Varicose VeinCCG of GP PracticeNHS HALTON CCG (01F)EQ VAS</v>
      </c>
      <c r="C6547" t="s">
        <v>17</v>
      </c>
      <c r="D6547" t="s">
        <v>87</v>
      </c>
      <c r="E6547" t="s">
        <v>914</v>
      </c>
      <c r="F6547" t="s">
        <v>915</v>
      </c>
      <c r="G6547" t="s">
        <v>179</v>
      </c>
      <c r="H6547">
        <v>10</v>
      </c>
      <c r="I6547">
        <v>74.400000000000006</v>
      </c>
      <c r="J6547">
        <v>80.3</v>
      </c>
      <c r="K6547">
        <v>5.9</v>
      </c>
      <c r="L6547">
        <v>6</v>
      </c>
      <c r="M6547">
        <v>0</v>
      </c>
      <c r="N6547">
        <v>4</v>
      </c>
      <c r="O6547" t="s">
        <v>53</v>
      </c>
      <c r="P6547" t="s">
        <v>53</v>
      </c>
      <c r="Q6547" t="s">
        <v>53</v>
      </c>
    </row>
    <row r="6548" spans="1:17" x14ac:dyDescent="0.2">
      <c r="A6548" s="30" t="str">
        <f>IF(C6548&amp;G6548&amp;D6548&lt;&gt;'Funnel setup'!$K$3&amp;'Funnel setup'!$K$4&amp;'Funnel setup'!$K$5,".",IF(A6547=".",1,A6547+1))</f>
        <v>.</v>
      </c>
      <c r="B6548" s="431" t="str">
        <f t="shared" si="102"/>
        <v>Varicose VeinCCG of GP PracticeNHS HAMBLETON, RICHMONDSHIRE AND WHITBY CCG (03D)EQ VAS</v>
      </c>
      <c r="C6548" t="s">
        <v>17</v>
      </c>
      <c r="D6548" t="s">
        <v>87</v>
      </c>
      <c r="E6548" t="s">
        <v>917</v>
      </c>
      <c r="F6548" t="s">
        <v>918</v>
      </c>
      <c r="G6548" t="s">
        <v>179</v>
      </c>
      <c r="H6548">
        <v>16</v>
      </c>
      <c r="I6548">
        <v>76.188000000000002</v>
      </c>
      <c r="J6548">
        <v>75.75</v>
      </c>
      <c r="K6548">
        <v>-0.438</v>
      </c>
      <c r="L6548">
        <v>6</v>
      </c>
      <c r="M6548">
        <v>2</v>
      </c>
      <c r="N6548">
        <v>8</v>
      </c>
      <c r="O6548" t="s">
        <v>53</v>
      </c>
      <c r="P6548" t="s">
        <v>53</v>
      </c>
      <c r="Q6548" t="s">
        <v>53</v>
      </c>
    </row>
    <row r="6549" spans="1:17" x14ac:dyDescent="0.2">
      <c r="A6549" s="30" t="str">
        <f>IF(C6549&amp;G6549&amp;D6549&lt;&gt;'Funnel setup'!$K$3&amp;'Funnel setup'!$K$4&amp;'Funnel setup'!$K$5,".",IF(A6548=".",1,A6548+1))</f>
        <v>.</v>
      </c>
      <c r="B6549" s="431" t="str">
        <f t="shared" si="102"/>
        <v>Varicose VeinCCG of GP PracticeNHS HAMMERSMITH AND FULHAM CCG (08C)EQ VAS</v>
      </c>
      <c r="C6549" t="s">
        <v>17</v>
      </c>
      <c r="D6549" t="s">
        <v>87</v>
      </c>
      <c r="E6549" t="s">
        <v>920</v>
      </c>
      <c r="F6549" t="s">
        <v>921</v>
      </c>
      <c r="G6549" t="s">
        <v>179</v>
      </c>
      <c r="H6549">
        <v>27</v>
      </c>
      <c r="I6549">
        <v>74.814999999999998</v>
      </c>
      <c r="J6549">
        <v>77.962999999999994</v>
      </c>
      <c r="K6549">
        <v>3.1480000000000001</v>
      </c>
      <c r="L6549">
        <v>12</v>
      </c>
      <c r="M6549">
        <v>8</v>
      </c>
      <c r="N6549">
        <v>7</v>
      </c>
      <c r="O6549" t="s">
        <v>53</v>
      </c>
      <c r="P6549" t="s">
        <v>53</v>
      </c>
      <c r="Q6549" t="s">
        <v>53</v>
      </c>
    </row>
    <row r="6550" spans="1:17" x14ac:dyDescent="0.2">
      <c r="A6550" s="30" t="str">
        <f>IF(C6550&amp;G6550&amp;D6550&lt;&gt;'Funnel setup'!$K$3&amp;'Funnel setup'!$K$4&amp;'Funnel setup'!$K$5,".",IF(A6549=".",1,A6549+1))</f>
        <v>.</v>
      </c>
      <c r="B6550" s="431" t="str">
        <f t="shared" si="102"/>
        <v>Varicose VeinCCG of GP PracticeNHS HARDWICK CCG (03Y)EQ VAS</v>
      </c>
      <c r="C6550" t="s">
        <v>17</v>
      </c>
      <c r="D6550" t="s">
        <v>87</v>
      </c>
      <c r="E6550" t="s">
        <v>923</v>
      </c>
      <c r="F6550" t="s">
        <v>924</v>
      </c>
      <c r="G6550" t="s">
        <v>179</v>
      </c>
      <c r="H6550">
        <v>15</v>
      </c>
      <c r="I6550">
        <v>72.599999999999994</v>
      </c>
      <c r="J6550">
        <v>75.066999999999993</v>
      </c>
      <c r="K6550">
        <v>2.4670000000000001</v>
      </c>
      <c r="L6550">
        <v>7</v>
      </c>
      <c r="M6550">
        <v>0</v>
      </c>
      <c r="N6550">
        <v>8</v>
      </c>
      <c r="O6550" t="s">
        <v>53</v>
      </c>
      <c r="P6550" t="s">
        <v>53</v>
      </c>
      <c r="Q6550" t="s">
        <v>53</v>
      </c>
    </row>
    <row r="6551" spans="1:17" x14ac:dyDescent="0.2">
      <c r="A6551" s="30" t="str">
        <f>IF(C6551&amp;G6551&amp;D6551&lt;&gt;'Funnel setup'!$K$3&amp;'Funnel setup'!$K$4&amp;'Funnel setup'!$K$5,".",IF(A6550=".",1,A6550+1))</f>
        <v>.</v>
      </c>
      <c r="B6551" s="431" t="str">
        <f t="shared" si="102"/>
        <v>Varicose VeinCCG of GP PracticeNHS HARINGEY CCG (08D)EQ VAS</v>
      </c>
      <c r="C6551" t="s">
        <v>17</v>
      </c>
      <c r="D6551" t="s">
        <v>87</v>
      </c>
      <c r="E6551" t="s">
        <v>926</v>
      </c>
      <c r="F6551" t="s">
        <v>927</v>
      </c>
      <c r="G6551" t="s">
        <v>179</v>
      </c>
      <c r="H6551">
        <v>6</v>
      </c>
      <c r="I6551">
        <v>76.667000000000002</v>
      </c>
      <c r="J6551">
        <v>70.5</v>
      </c>
      <c r="K6551">
        <v>-6.1669999999999998</v>
      </c>
      <c r="L6551">
        <v>2</v>
      </c>
      <c r="M6551">
        <v>0</v>
      </c>
      <c r="N6551">
        <v>4</v>
      </c>
      <c r="O6551" t="s">
        <v>53</v>
      </c>
      <c r="P6551" t="s">
        <v>53</v>
      </c>
      <c r="Q6551" t="s">
        <v>53</v>
      </c>
    </row>
    <row r="6552" spans="1:17" x14ac:dyDescent="0.2">
      <c r="A6552" s="30" t="str">
        <f>IF(C6552&amp;G6552&amp;D6552&lt;&gt;'Funnel setup'!$K$3&amp;'Funnel setup'!$K$4&amp;'Funnel setup'!$K$5,".",IF(A6551=".",1,A6551+1))</f>
        <v>.</v>
      </c>
      <c r="B6552" s="431" t="str">
        <f t="shared" si="102"/>
        <v>Varicose VeinCCG of GP PracticeNHS HARROGATE AND RURAL DISTRICT CCG (03E)EQ VAS</v>
      </c>
      <c r="C6552" t="s">
        <v>17</v>
      </c>
      <c r="D6552" t="s">
        <v>87</v>
      </c>
      <c r="E6552" t="s">
        <v>929</v>
      </c>
      <c r="F6552" t="s">
        <v>930</v>
      </c>
      <c r="G6552" t="s">
        <v>179</v>
      </c>
      <c r="H6552">
        <v>19</v>
      </c>
      <c r="I6552">
        <v>73</v>
      </c>
      <c r="J6552">
        <v>78.052999999999997</v>
      </c>
      <c r="K6552">
        <v>5.0529999999999999</v>
      </c>
      <c r="L6552">
        <v>8</v>
      </c>
      <c r="M6552">
        <v>4</v>
      </c>
      <c r="N6552">
        <v>7</v>
      </c>
      <c r="O6552" t="s">
        <v>53</v>
      </c>
      <c r="P6552" t="s">
        <v>53</v>
      </c>
      <c r="Q6552" t="s">
        <v>53</v>
      </c>
    </row>
    <row r="6553" spans="1:17" x14ac:dyDescent="0.2">
      <c r="A6553" s="30" t="str">
        <f>IF(C6553&amp;G6553&amp;D6553&lt;&gt;'Funnel setup'!$K$3&amp;'Funnel setup'!$K$4&amp;'Funnel setup'!$K$5,".",IF(A6552=".",1,A6552+1))</f>
        <v>.</v>
      </c>
      <c r="B6553" s="431" t="str">
        <f t="shared" si="102"/>
        <v>Varicose VeinCCG of GP PracticeNHS HARROW CCG (08E)EQ VAS</v>
      </c>
      <c r="C6553" t="s">
        <v>17</v>
      </c>
      <c r="D6553" t="s">
        <v>87</v>
      </c>
      <c r="E6553" t="s">
        <v>492</v>
      </c>
      <c r="F6553" t="s">
        <v>493</v>
      </c>
      <c r="G6553" t="s">
        <v>179</v>
      </c>
      <c r="H6553">
        <v>18</v>
      </c>
      <c r="I6553">
        <v>73.555999999999997</v>
      </c>
      <c r="J6553">
        <v>72.444000000000003</v>
      </c>
      <c r="K6553">
        <v>-1.111</v>
      </c>
      <c r="L6553">
        <v>11</v>
      </c>
      <c r="M6553">
        <v>1</v>
      </c>
      <c r="N6553">
        <v>6</v>
      </c>
      <c r="O6553" t="s">
        <v>53</v>
      </c>
      <c r="P6553" t="s">
        <v>53</v>
      </c>
      <c r="Q6553" t="s">
        <v>53</v>
      </c>
    </row>
    <row r="6554" spans="1:17" x14ac:dyDescent="0.2">
      <c r="A6554" s="30" t="str">
        <f>IF(C6554&amp;G6554&amp;D6554&lt;&gt;'Funnel setup'!$K$3&amp;'Funnel setup'!$K$4&amp;'Funnel setup'!$K$5,".",IF(A6553=".",1,A6553+1))</f>
        <v>.</v>
      </c>
      <c r="B6554" s="431" t="str">
        <f t="shared" si="102"/>
        <v>Varicose VeinCCG of GP PracticeNHS HARTLEPOOL AND STOCKTON-ON-TEES CCG (00K)EQ VAS</v>
      </c>
      <c r="C6554" t="s">
        <v>17</v>
      </c>
      <c r="D6554" t="s">
        <v>87</v>
      </c>
      <c r="E6554" t="s">
        <v>495</v>
      </c>
      <c r="F6554" t="s">
        <v>496</v>
      </c>
      <c r="G6554" t="s">
        <v>179</v>
      </c>
      <c r="H6554">
        <v>44</v>
      </c>
      <c r="I6554">
        <v>72.682000000000002</v>
      </c>
      <c r="J6554">
        <v>76.295000000000002</v>
      </c>
      <c r="K6554">
        <v>3.6139999999999999</v>
      </c>
      <c r="L6554">
        <v>22</v>
      </c>
      <c r="M6554">
        <v>7</v>
      </c>
      <c r="N6554">
        <v>15</v>
      </c>
      <c r="O6554">
        <v>80.646000000000001</v>
      </c>
      <c r="P6554">
        <v>1.6820818989999999</v>
      </c>
      <c r="Q6554">
        <v>12.522</v>
      </c>
    </row>
    <row r="6555" spans="1:17" x14ac:dyDescent="0.2">
      <c r="A6555" s="30" t="str">
        <f>IF(C6555&amp;G6555&amp;D6555&lt;&gt;'Funnel setup'!$K$3&amp;'Funnel setup'!$K$4&amp;'Funnel setup'!$K$5,".",IF(A6554=".",1,A6554+1))</f>
        <v>.</v>
      </c>
      <c r="B6555" s="431" t="str">
        <f t="shared" si="102"/>
        <v>Varicose VeinCCG of GP PracticeNHS HASTINGS AND ROTHER CCG (09P)EQ VAS</v>
      </c>
      <c r="C6555" t="s">
        <v>17</v>
      </c>
      <c r="D6555" t="s">
        <v>87</v>
      </c>
      <c r="E6555" t="s">
        <v>498</v>
      </c>
      <c r="F6555" t="s">
        <v>499</v>
      </c>
      <c r="G6555" t="s">
        <v>179</v>
      </c>
      <c r="H6555" t="s">
        <v>53</v>
      </c>
      <c r="I6555" t="s">
        <v>53</v>
      </c>
      <c r="J6555" t="s">
        <v>53</v>
      </c>
      <c r="K6555" t="s">
        <v>53</v>
      </c>
      <c r="L6555" t="s">
        <v>53</v>
      </c>
      <c r="M6555" t="s">
        <v>53</v>
      </c>
      <c r="N6555" t="s">
        <v>53</v>
      </c>
      <c r="O6555" t="s">
        <v>53</v>
      </c>
      <c r="P6555" t="s">
        <v>53</v>
      </c>
      <c r="Q6555" t="s">
        <v>53</v>
      </c>
    </row>
    <row r="6556" spans="1:17" x14ac:dyDescent="0.2">
      <c r="A6556" s="30" t="str">
        <f>IF(C6556&amp;G6556&amp;D6556&lt;&gt;'Funnel setup'!$K$3&amp;'Funnel setup'!$K$4&amp;'Funnel setup'!$K$5,".",IF(A6555=".",1,A6555+1))</f>
        <v>.</v>
      </c>
      <c r="B6556" s="431" t="str">
        <f t="shared" si="102"/>
        <v>Varicose VeinCCG of GP PracticeNHS HAVERING CCG (08F)EQ VAS</v>
      </c>
      <c r="C6556" t="s">
        <v>17</v>
      </c>
      <c r="D6556" t="s">
        <v>87</v>
      </c>
      <c r="E6556" t="s">
        <v>501</v>
      </c>
      <c r="F6556" t="s">
        <v>502</v>
      </c>
      <c r="G6556" t="s">
        <v>179</v>
      </c>
      <c r="H6556">
        <v>24</v>
      </c>
      <c r="I6556">
        <v>75</v>
      </c>
      <c r="J6556">
        <v>76.042000000000002</v>
      </c>
      <c r="K6556">
        <v>1.042</v>
      </c>
      <c r="L6556">
        <v>11</v>
      </c>
      <c r="M6556">
        <v>5</v>
      </c>
      <c r="N6556">
        <v>8</v>
      </c>
      <c r="O6556" t="s">
        <v>53</v>
      </c>
      <c r="P6556" t="s">
        <v>53</v>
      </c>
      <c r="Q6556" t="s">
        <v>53</v>
      </c>
    </row>
    <row r="6557" spans="1:17" x14ac:dyDescent="0.2">
      <c r="A6557" s="30" t="str">
        <f>IF(C6557&amp;G6557&amp;D6557&lt;&gt;'Funnel setup'!$K$3&amp;'Funnel setup'!$K$4&amp;'Funnel setup'!$K$5,".",IF(A6556=".",1,A6556+1))</f>
        <v>.</v>
      </c>
      <c r="B6557" s="431" t="str">
        <f t="shared" si="102"/>
        <v>Varicose VeinCCG of GP PracticeNHS HEREFORDSHIRE CCG (05F)EQ VAS</v>
      </c>
      <c r="C6557" t="s">
        <v>17</v>
      </c>
      <c r="D6557" t="s">
        <v>87</v>
      </c>
      <c r="E6557" t="s">
        <v>504</v>
      </c>
      <c r="F6557" t="s">
        <v>505</v>
      </c>
      <c r="G6557" t="s">
        <v>179</v>
      </c>
      <c r="H6557">
        <v>37</v>
      </c>
      <c r="I6557">
        <v>86.135000000000005</v>
      </c>
      <c r="J6557">
        <v>81.703000000000003</v>
      </c>
      <c r="K6557">
        <v>-4.4320000000000004</v>
      </c>
      <c r="L6557">
        <v>17</v>
      </c>
      <c r="M6557">
        <v>6</v>
      </c>
      <c r="N6557">
        <v>14</v>
      </c>
      <c r="O6557">
        <v>78.152000000000001</v>
      </c>
      <c r="P6557">
        <v>-0.81241990799999997</v>
      </c>
      <c r="Q6557">
        <v>18.553000000000001</v>
      </c>
    </row>
    <row r="6558" spans="1:17" x14ac:dyDescent="0.2">
      <c r="A6558" s="30" t="str">
        <f>IF(C6558&amp;G6558&amp;D6558&lt;&gt;'Funnel setup'!$K$3&amp;'Funnel setup'!$K$4&amp;'Funnel setup'!$K$5,".",IF(A6557=".",1,A6557+1))</f>
        <v>.</v>
      </c>
      <c r="B6558" s="431" t="str">
        <f t="shared" si="102"/>
        <v>Varicose VeinCCG of GP PracticeNHS HERTS VALLEYS CCG (06N)EQ VAS</v>
      </c>
      <c r="C6558" t="s">
        <v>17</v>
      </c>
      <c r="D6558" t="s">
        <v>87</v>
      </c>
      <c r="E6558" t="s">
        <v>507</v>
      </c>
      <c r="F6558" t="s">
        <v>508</v>
      </c>
      <c r="G6558" t="s">
        <v>179</v>
      </c>
      <c r="H6558">
        <v>92</v>
      </c>
      <c r="I6558">
        <v>76.87</v>
      </c>
      <c r="J6558">
        <v>77.87</v>
      </c>
      <c r="K6558">
        <v>1</v>
      </c>
      <c r="L6558">
        <v>44</v>
      </c>
      <c r="M6558">
        <v>16</v>
      </c>
      <c r="N6558">
        <v>32</v>
      </c>
      <c r="O6558">
        <v>77.894000000000005</v>
      </c>
      <c r="P6558">
        <v>-1.0702456499999999</v>
      </c>
      <c r="Q6558">
        <v>14.645</v>
      </c>
    </row>
    <row r="6559" spans="1:17" x14ac:dyDescent="0.2">
      <c r="A6559" s="30" t="str">
        <f>IF(C6559&amp;G6559&amp;D6559&lt;&gt;'Funnel setup'!$K$3&amp;'Funnel setup'!$K$4&amp;'Funnel setup'!$K$5,".",IF(A6558=".",1,A6558+1))</f>
        <v>.</v>
      </c>
      <c r="B6559" s="431" t="str">
        <f t="shared" si="102"/>
        <v>Varicose VeinCCG of GP PracticeNHS HEYWOOD, MIDDLETON AND ROCHDALE CCG (01D)EQ VAS</v>
      </c>
      <c r="C6559" t="s">
        <v>17</v>
      </c>
      <c r="D6559" t="s">
        <v>87</v>
      </c>
      <c r="E6559" t="s">
        <v>510</v>
      </c>
      <c r="F6559" t="s">
        <v>511</v>
      </c>
      <c r="G6559" t="s">
        <v>179</v>
      </c>
      <c r="H6559" t="s">
        <v>53</v>
      </c>
      <c r="I6559" t="s">
        <v>53</v>
      </c>
      <c r="J6559" t="s">
        <v>53</v>
      </c>
      <c r="K6559" t="s">
        <v>53</v>
      </c>
      <c r="L6559" t="s">
        <v>53</v>
      </c>
      <c r="M6559" t="s">
        <v>53</v>
      </c>
      <c r="N6559" t="s">
        <v>53</v>
      </c>
      <c r="O6559" t="s">
        <v>53</v>
      </c>
      <c r="P6559" t="s">
        <v>53</v>
      </c>
      <c r="Q6559" t="s">
        <v>53</v>
      </c>
    </row>
    <row r="6560" spans="1:17" x14ac:dyDescent="0.2">
      <c r="A6560" s="30" t="str">
        <f>IF(C6560&amp;G6560&amp;D6560&lt;&gt;'Funnel setup'!$K$3&amp;'Funnel setup'!$K$4&amp;'Funnel setup'!$K$5,".",IF(A6559=".",1,A6559+1))</f>
        <v>.</v>
      </c>
      <c r="B6560" s="431" t="str">
        <f t="shared" si="102"/>
        <v>Varicose VeinCCG of GP PracticeNHS HIGH WEALD LEWES HAVENS CCG (99K)EQ VAS</v>
      </c>
      <c r="C6560" t="s">
        <v>17</v>
      </c>
      <c r="D6560" t="s">
        <v>87</v>
      </c>
      <c r="E6560" t="s">
        <v>513</v>
      </c>
      <c r="F6560" t="s">
        <v>514</v>
      </c>
      <c r="G6560" t="s">
        <v>179</v>
      </c>
      <c r="H6560">
        <v>16</v>
      </c>
      <c r="I6560">
        <v>77.5</v>
      </c>
      <c r="J6560">
        <v>81</v>
      </c>
      <c r="K6560">
        <v>3.5</v>
      </c>
      <c r="L6560">
        <v>8</v>
      </c>
      <c r="M6560">
        <v>3</v>
      </c>
      <c r="N6560">
        <v>5</v>
      </c>
      <c r="O6560" t="s">
        <v>53</v>
      </c>
      <c r="P6560" t="s">
        <v>53</v>
      </c>
      <c r="Q6560" t="s">
        <v>53</v>
      </c>
    </row>
    <row r="6561" spans="1:17" x14ac:dyDescent="0.2">
      <c r="A6561" s="30" t="str">
        <f>IF(C6561&amp;G6561&amp;D6561&lt;&gt;'Funnel setup'!$K$3&amp;'Funnel setup'!$K$4&amp;'Funnel setup'!$K$5,".",IF(A6560=".",1,A6560+1))</f>
        <v>.</v>
      </c>
      <c r="B6561" s="431" t="str">
        <f t="shared" si="102"/>
        <v>Varicose VeinCCG of GP PracticeNHS HILLINGDON CCG (08G)EQ VAS</v>
      </c>
      <c r="C6561" t="s">
        <v>17</v>
      </c>
      <c r="D6561" t="s">
        <v>87</v>
      </c>
      <c r="E6561" t="s">
        <v>516</v>
      </c>
      <c r="F6561" t="s">
        <v>517</v>
      </c>
      <c r="G6561" t="s">
        <v>179</v>
      </c>
      <c r="H6561">
        <v>13</v>
      </c>
      <c r="I6561">
        <v>75.769000000000005</v>
      </c>
      <c r="J6561">
        <v>81.462000000000003</v>
      </c>
      <c r="K6561">
        <v>5.6920000000000002</v>
      </c>
      <c r="L6561">
        <v>8</v>
      </c>
      <c r="M6561">
        <v>2</v>
      </c>
      <c r="N6561">
        <v>3</v>
      </c>
      <c r="O6561" t="s">
        <v>53</v>
      </c>
      <c r="P6561" t="s">
        <v>53</v>
      </c>
      <c r="Q6561" t="s">
        <v>53</v>
      </c>
    </row>
    <row r="6562" spans="1:17" x14ac:dyDescent="0.2">
      <c r="A6562" s="30" t="str">
        <f>IF(C6562&amp;G6562&amp;D6562&lt;&gt;'Funnel setup'!$K$3&amp;'Funnel setup'!$K$4&amp;'Funnel setup'!$K$5,".",IF(A6561=".",1,A6561+1))</f>
        <v>.</v>
      </c>
      <c r="B6562" s="431" t="str">
        <f t="shared" si="102"/>
        <v>Varicose VeinCCG of GP PracticeNHS HORSHAM AND MID SUSSEX CCG (09X)EQ VAS</v>
      </c>
      <c r="C6562" t="s">
        <v>17</v>
      </c>
      <c r="D6562" t="s">
        <v>87</v>
      </c>
      <c r="E6562" t="s">
        <v>519</v>
      </c>
      <c r="F6562" t="s">
        <v>520</v>
      </c>
      <c r="G6562" t="s">
        <v>179</v>
      </c>
      <c r="H6562">
        <v>15</v>
      </c>
      <c r="I6562">
        <v>80.466999999999999</v>
      </c>
      <c r="J6562">
        <v>82.533000000000001</v>
      </c>
      <c r="K6562">
        <v>2.0670000000000002</v>
      </c>
      <c r="L6562">
        <v>7</v>
      </c>
      <c r="M6562">
        <v>3</v>
      </c>
      <c r="N6562">
        <v>5</v>
      </c>
      <c r="O6562" t="s">
        <v>53</v>
      </c>
      <c r="P6562" t="s">
        <v>53</v>
      </c>
      <c r="Q6562" t="s">
        <v>53</v>
      </c>
    </row>
    <row r="6563" spans="1:17" x14ac:dyDescent="0.2">
      <c r="A6563" s="30" t="str">
        <f>IF(C6563&amp;G6563&amp;D6563&lt;&gt;'Funnel setup'!$K$3&amp;'Funnel setup'!$K$4&amp;'Funnel setup'!$K$5,".",IF(A6562=".",1,A6562+1))</f>
        <v>.</v>
      </c>
      <c r="B6563" s="431" t="str">
        <f t="shared" si="102"/>
        <v>Varicose VeinCCG of GP PracticeNHS HOUNSLOW CCG (07Y)EQ VAS</v>
      </c>
      <c r="C6563" t="s">
        <v>17</v>
      </c>
      <c r="D6563" t="s">
        <v>87</v>
      </c>
      <c r="E6563" t="s">
        <v>522</v>
      </c>
      <c r="F6563" t="s">
        <v>523</v>
      </c>
      <c r="G6563" t="s">
        <v>179</v>
      </c>
      <c r="H6563">
        <v>42</v>
      </c>
      <c r="I6563">
        <v>76.5</v>
      </c>
      <c r="J6563">
        <v>73.094999999999999</v>
      </c>
      <c r="K6563">
        <v>-3.4049999999999998</v>
      </c>
      <c r="L6563">
        <v>10</v>
      </c>
      <c r="M6563">
        <v>8</v>
      </c>
      <c r="N6563">
        <v>24</v>
      </c>
      <c r="O6563">
        <v>75.156999999999996</v>
      </c>
      <c r="P6563">
        <v>-3.8073368689999998</v>
      </c>
      <c r="Q6563">
        <v>13.068</v>
      </c>
    </row>
    <row r="6564" spans="1:17" x14ac:dyDescent="0.2">
      <c r="A6564" s="30" t="str">
        <f>IF(C6564&amp;G6564&amp;D6564&lt;&gt;'Funnel setup'!$K$3&amp;'Funnel setup'!$K$4&amp;'Funnel setup'!$K$5,".",IF(A6563=".",1,A6563+1))</f>
        <v>.</v>
      </c>
      <c r="B6564" s="431" t="str">
        <f t="shared" si="102"/>
        <v>Varicose VeinCCG of GP PracticeNHS HULL CCG (03F)EQ VAS</v>
      </c>
      <c r="C6564" t="s">
        <v>17</v>
      </c>
      <c r="D6564" t="s">
        <v>87</v>
      </c>
      <c r="E6564" t="s">
        <v>525</v>
      </c>
      <c r="F6564" t="s">
        <v>526</v>
      </c>
      <c r="G6564" t="s">
        <v>179</v>
      </c>
      <c r="H6564">
        <v>42</v>
      </c>
      <c r="I6564">
        <v>76.667000000000002</v>
      </c>
      <c r="J6564">
        <v>82.31</v>
      </c>
      <c r="K6564">
        <v>5.6429999999999998</v>
      </c>
      <c r="L6564">
        <v>20</v>
      </c>
      <c r="M6564">
        <v>9</v>
      </c>
      <c r="N6564">
        <v>13</v>
      </c>
      <c r="O6564">
        <v>82.662999999999997</v>
      </c>
      <c r="P6564">
        <v>3.6987189090000001</v>
      </c>
      <c r="Q6564">
        <v>17.155000000000001</v>
      </c>
    </row>
    <row r="6565" spans="1:17" x14ac:dyDescent="0.2">
      <c r="A6565" s="30" t="str">
        <f>IF(C6565&amp;G6565&amp;D6565&lt;&gt;'Funnel setup'!$K$3&amp;'Funnel setup'!$K$4&amp;'Funnel setup'!$K$5,".",IF(A6564=".",1,A6564+1))</f>
        <v>.</v>
      </c>
      <c r="B6565" s="431" t="str">
        <f t="shared" si="102"/>
        <v>Varicose VeinCCG of GP PracticeNHS IPSWICH AND EAST SUFFOLK CCG (06L)EQ VAS</v>
      </c>
      <c r="C6565" t="s">
        <v>17</v>
      </c>
      <c r="D6565" t="s">
        <v>87</v>
      </c>
      <c r="E6565" t="s">
        <v>528</v>
      </c>
      <c r="F6565" t="s">
        <v>529</v>
      </c>
      <c r="G6565" t="s">
        <v>179</v>
      </c>
      <c r="H6565">
        <v>106</v>
      </c>
      <c r="I6565">
        <v>80.263999999999996</v>
      </c>
      <c r="J6565">
        <v>79.528000000000006</v>
      </c>
      <c r="K6565">
        <v>-0.73599999999999999</v>
      </c>
      <c r="L6565">
        <v>41</v>
      </c>
      <c r="M6565">
        <v>19</v>
      </c>
      <c r="N6565">
        <v>46</v>
      </c>
      <c r="O6565">
        <v>77.944000000000003</v>
      </c>
      <c r="P6565">
        <v>-1.019671979</v>
      </c>
      <c r="Q6565">
        <v>14.387</v>
      </c>
    </row>
    <row r="6566" spans="1:17" x14ac:dyDescent="0.2">
      <c r="A6566" s="30" t="str">
        <f>IF(C6566&amp;G6566&amp;D6566&lt;&gt;'Funnel setup'!$K$3&amp;'Funnel setup'!$K$4&amp;'Funnel setup'!$K$5,".",IF(A6565=".",1,A6565+1))</f>
        <v>.</v>
      </c>
      <c r="B6566" s="431" t="str">
        <f t="shared" si="102"/>
        <v>Varicose VeinCCG of GP PracticeNHS ISLINGTON CCG (08H)EQ VAS</v>
      </c>
      <c r="C6566" t="s">
        <v>17</v>
      </c>
      <c r="D6566" t="s">
        <v>87</v>
      </c>
      <c r="E6566" t="s">
        <v>534</v>
      </c>
      <c r="F6566" t="s">
        <v>535</v>
      </c>
      <c r="G6566" t="s">
        <v>179</v>
      </c>
      <c r="H6566">
        <v>23</v>
      </c>
      <c r="I6566">
        <v>79.695999999999998</v>
      </c>
      <c r="J6566">
        <v>75.825999999999993</v>
      </c>
      <c r="K6566">
        <v>-3.87</v>
      </c>
      <c r="L6566">
        <v>9</v>
      </c>
      <c r="M6566">
        <v>6</v>
      </c>
      <c r="N6566">
        <v>8</v>
      </c>
      <c r="O6566" t="s">
        <v>53</v>
      </c>
      <c r="P6566" t="s">
        <v>53</v>
      </c>
      <c r="Q6566" t="s">
        <v>53</v>
      </c>
    </row>
    <row r="6567" spans="1:17" x14ac:dyDescent="0.2">
      <c r="A6567" s="30" t="str">
        <f>IF(C6567&amp;G6567&amp;D6567&lt;&gt;'Funnel setup'!$K$3&amp;'Funnel setup'!$K$4&amp;'Funnel setup'!$K$5,".",IF(A6566=".",1,A6566+1))</f>
        <v>.</v>
      </c>
      <c r="B6567" s="431" t="str">
        <f t="shared" si="102"/>
        <v>Varicose VeinCCG of GP PracticeNHS KERNOW CCG (11N)EQ VAS</v>
      </c>
      <c r="C6567" t="s">
        <v>17</v>
      </c>
      <c r="D6567" t="s">
        <v>87</v>
      </c>
      <c r="E6567" t="s">
        <v>537</v>
      </c>
      <c r="F6567" t="s">
        <v>538</v>
      </c>
      <c r="G6567" t="s">
        <v>179</v>
      </c>
      <c r="H6567">
        <v>103</v>
      </c>
      <c r="I6567">
        <v>76.349999999999994</v>
      </c>
      <c r="J6567">
        <v>76.067999999999998</v>
      </c>
      <c r="K6567">
        <v>-0.28199999999999997</v>
      </c>
      <c r="L6567">
        <v>38</v>
      </c>
      <c r="M6567">
        <v>17</v>
      </c>
      <c r="N6567">
        <v>48</v>
      </c>
      <c r="O6567">
        <v>77.849999999999994</v>
      </c>
      <c r="P6567">
        <v>-1.114400592</v>
      </c>
      <c r="Q6567">
        <v>13.102</v>
      </c>
    </row>
    <row r="6568" spans="1:17" x14ac:dyDescent="0.2">
      <c r="A6568" s="30" t="str">
        <f>IF(C6568&amp;G6568&amp;D6568&lt;&gt;'Funnel setup'!$K$3&amp;'Funnel setup'!$K$4&amp;'Funnel setup'!$K$5,".",IF(A6567=".",1,A6567+1))</f>
        <v>.</v>
      </c>
      <c r="B6568" s="431" t="str">
        <f t="shared" si="102"/>
        <v>Varicose VeinCCG of GP PracticeNHS KINGSTON CCG (08J)EQ VAS</v>
      </c>
      <c r="C6568" t="s">
        <v>17</v>
      </c>
      <c r="D6568" t="s">
        <v>87</v>
      </c>
      <c r="E6568" t="s">
        <v>540</v>
      </c>
      <c r="F6568" t="s">
        <v>541</v>
      </c>
      <c r="G6568" t="s">
        <v>179</v>
      </c>
      <c r="H6568" t="s">
        <v>53</v>
      </c>
      <c r="I6568" t="s">
        <v>53</v>
      </c>
      <c r="J6568" t="s">
        <v>53</v>
      </c>
      <c r="K6568" t="s">
        <v>53</v>
      </c>
      <c r="L6568" t="s">
        <v>53</v>
      </c>
      <c r="M6568" t="s">
        <v>53</v>
      </c>
      <c r="N6568" t="s">
        <v>53</v>
      </c>
      <c r="O6568" t="s">
        <v>53</v>
      </c>
      <c r="P6568" t="s">
        <v>53</v>
      </c>
      <c r="Q6568" t="s">
        <v>53</v>
      </c>
    </row>
    <row r="6569" spans="1:17" x14ac:dyDescent="0.2">
      <c r="A6569" s="30" t="str">
        <f>IF(C6569&amp;G6569&amp;D6569&lt;&gt;'Funnel setup'!$K$3&amp;'Funnel setup'!$K$4&amp;'Funnel setup'!$K$5,".",IF(A6568=".",1,A6568+1))</f>
        <v>.</v>
      </c>
      <c r="B6569" s="431" t="str">
        <f t="shared" si="102"/>
        <v>Varicose VeinCCG of GP PracticeNHS KNOWSLEY CCG (01J)EQ VAS</v>
      </c>
      <c r="C6569" t="s">
        <v>17</v>
      </c>
      <c r="D6569" t="s">
        <v>87</v>
      </c>
      <c r="E6569" t="s">
        <v>543</v>
      </c>
      <c r="F6569" t="s">
        <v>544</v>
      </c>
      <c r="G6569" t="s">
        <v>179</v>
      </c>
      <c r="H6569">
        <v>6</v>
      </c>
      <c r="I6569">
        <v>77.5</v>
      </c>
      <c r="J6569">
        <v>73.832999999999998</v>
      </c>
      <c r="K6569">
        <v>-3.6669999999999998</v>
      </c>
      <c r="L6569">
        <v>0</v>
      </c>
      <c r="M6569">
        <v>3</v>
      </c>
      <c r="N6569">
        <v>3</v>
      </c>
      <c r="O6569" t="s">
        <v>53</v>
      </c>
      <c r="P6569" t="s">
        <v>53</v>
      </c>
      <c r="Q6569" t="s">
        <v>53</v>
      </c>
    </row>
    <row r="6570" spans="1:17" x14ac:dyDescent="0.2">
      <c r="A6570" s="30" t="str">
        <f>IF(C6570&amp;G6570&amp;D6570&lt;&gt;'Funnel setup'!$K$3&amp;'Funnel setup'!$K$4&amp;'Funnel setup'!$K$5,".",IF(A6569=".",1,A6569+1))</f>
        <v>.</v>
      </c>
      <c r="B6570" s="431" t="str">
        <f t="shared" si="102"/>
        <v>Varicose VeinCCG of GP PracticeNHS LAMBETH CCG (08K)EQ VAS</v>
      </c>
      <c r="C6570" t="s">
        <v>17</v>
      </c>
      <c r="D6570" t="s">
        <v>87</v>
      </c>
      <c r="E6570" t="s">
        <v>546</v>
      </c>
      <c r="F6570" t="s">
        <v>547</v>
      </c>
      <c r="G6570" t="s">
        <v>179</v>
      </c>
      <c r="H6570">
        <v>23</v>
      </c>
      <c r="I6570">
        <v>79.695999999999998</v>
      </c>
      <c r="J6570">
        <v>79.825999999999993</v>
      </c>
      <c r="K6570">
        <v>0.13</v>
      </c>
      <c r="L6570">
        <v>7</v>
      </c>
      <c r="M6570">
        <v>3</v>
      </c>
      <c r="N6570">
        <v>13</v>
      </c>
      <c r="O6570" t="s">
        <v>53</v>
      </c>
      <c r="P6570" t="s">
        <v>53</v>
      </c>
      <c r="Q6570" t="s">
        <v>53</v>
      </c>
    </row>
    <row r="6571" spans="1:17" x14ac:dyDescent="0.2">
      <c r="A6571" s="30" t="str">
        <f>IF(C6571&amp;G6571&amp;D6571&lt;&gt;'Funnel setup'!$K$3&amp;'Funnel setup'!$K$4&amp;'Funnel setup'!$K$5,".",IF(A6570=".",1,A6570+1))</f>
        <v>.</v>
      </c>
      <c r="B6571" s="431" t="str">
        <f t="shared" si="102"/>
        <v>Varicose VeinCCG of GP PracticeNHS LANCASHIRE NORTH CCG (01K)EQ VAS</v>
      </c>
      <c r="C6571" t="s">
        <v>17</v>
      </c>
      <c r="D6571" t="s">
        <v>87</v>
      </c>
      <c r="E6571" t="s">
        <v>549</v>
      </c>
      <c r="F6571" t="s">
        <v>550</v>
      </c>
      <c r="G6571" t="s">
        <v>179</v>
      </c>
      <c r="H6571">
        <v>10</v>
      </c>
      <c r="I6571">
        <v>84.4</v>
      </c>
      <c r="J6571">
        <v>82.5</v>
      </c>
      <c r="K6571">
        <v>-1.9</v>
      </c>
      <c r="L6571">
        <v>4</v>
      </c>
      <c r="M6571">
        <v>1</v>
      </c>
      <c r="N6571">
        <v>5</v>
      </c>
      <c r="O6571" t="s">
        <v>53</v>
      </c>
      <c r="P6571" t="s">
        <v>53</v>
      </c>
      <c r="Q6571" t="s">
        <v>53</v>
      </c>
    </row>
    <row r="6572" spans="1:17" x14ac:dyDescent="0.2">
      <c r="A6572" s="30" t="str">
        <f>IF(C6572&amp;G6572&amp;D6572&lt;&gt;'Funnel setup'!$K$3&amp;'Funnel setup'!$K$4&amp;'Funnel setup'!$K$5,".",IF(A6571=".",1,A6571+1))</f>
        <v>.</v>
      </c>
      <c r="B6572" s="431" t="str">
        <f t="shared" si="102"/>
        <v>Varicose VeinCCG of GP PracticeNHS LEEDS NORTH CCG (02V)EQ VAS</v>
      </c>
      <c r="C6572" t="s">
        <v>17</v>
      </c>
      <c r="D6572" t="s">
        <v>87</v>
      </c>
      <c r="E6572" t="s">
        <v>552</v>
      </c>
      <c r="F6572" t="s">
        <v>337</v>
      </c>
      <c r="G6572" t="s">
        <v>179</v>
      </c>
      <c r="H6572">
        <v>47</v>
      </c>
      <c r="I6572">
        <v>82.319000000000003</v>
      </c>
      <c r="J6572">
        <v>80.063999999999993</v>
      </c>
      <c r="K6572">
        <v>-2.2549999999999999</v>
      </c>
      <c r="L6572">
        <v>16</v>
      </c>
      <c r="M6572">
        <v>8</v>
      </c>
      <c r="N6572">
        <v>23</v>
      </c>
      <c r="O6572">
        <v>78.483000000000004</v>
      </c>
      <c r="P6572">
        <v>-0.48086338000000001</v>
      </c>
      <c r="Q6572">
        <v>13.574</v>
      </c>
    </row>
    <row r="6573" spans="1:17" x14ac:dyDescent="0.2">
      <c r="A6573" s="30" t="str">
        <f>IF(C6573&amp;G6573&amp;D6573&lt;&gt;'Funnel setup'!$K$3&amp;'Funnel setup'!$K$4&amp;'Funnel setup'!$K$5,".",IF(A6572=".",1,A6572+1))</f>
        <v>.</v>
      </c>
      <c r="B6573" s="431" t="str">
        <f t="shared" si="102"/>
        <v>Varicose VeinCCG of GP PracticeNHS LEEDS SOUTH AND EAST CCG (03G)EQ VAS</v>
      </c>
      <c r="C6573" t="s">
        <v>17</v>
      </c>
      <c r="D6573" t="s">
        <v>87</v>
      </c>
      <c r="E6573" t="s">
        <v>396</v>
      </c>
      <c r="F6573" t="s">
        <v>397</v>
      </c>
      <c r="G6573" t="s">
        <v>179</v>
      </c>
      <c r="H6573">
        <v>83</v>
      </c>
      <c r="I6573">
        <v>81.024000000000001</v>
      </c>
      <c r="J6573">
        <v>84.036000000000001</v>
      </c>
      <c r="K6573">
        <v>3.012</v>
      </c>
      <c r="L6573">
        <v>35</v>
      </c>
      <c r="M6573">
        <v>15</v>
      </c>
      <c r="N6573">
        <v>33</v>
      </c>
      <c r="O6573">
        <v>81.811999999999998</v>
      </c>
      <c r="P6573">
        <v>2.8477106980000002</v>
      </c>
      <c r="Q6573">
        <v>11.186999999999999</v>
      </c>
    </row>
    <row r="6574" spans="1:17" x14ac:dyDescent="0.2">
      <c r="A6574" s="30" t="str">
        <f>IF(C6574&amp;G6574&amp;D6574&lt;&gt;'Funnel setup'!$K$3&amp;'Funnel setup'!$K$4&amp;'Funnel setup'!$K$5,".",IF(A6573=".",1,A6573+1))</f>
        <v>.</v>
      </c>
      <c r="B6574" s="431" t="str">
        <f t="shared" si="102"/>
        <v>Varicose VeinCCG of GP PracticeNHS LEEDS WEST CCG (03C)EQ VAS</v>
      </c>
      <c r="C6574" t="s">
        <v>17</v>
      </c>
      <c r="D6574" t="s">
        <v>87</v>
      </c>
      <c r="E6574" t="s">
        <v>399</v>
      </c>
      <c r="F6574" t="s">
        <v>400</v>
      </c>
      <c r="G6574" t="s">
        <v>179</v>
      </c>
      <c r="H6574">
        <v>93</v>
      </c>
      <c r="I6574">
        <v>82.634</v>
      </c>
      <c r="J6574">
        <v>82.483999999999995</v>
      </c>
      <c r="K6574">
        <v>-0.151</v>
      </c>
      <c r="L6574">
        <v>31</v>
      </c>
      <c r="M6574">
        <v>20</v>
      </c>
      <c r="N6574">
        <v>42</v>
      </c>
      <c r="O6574">
        <v>79.823999999999998</v>
      </c>
      <c r="P6574">
        <v>0.86021177800000004</v>
      </c>
      <c r="Q6574">
        <v>10.923999999999999</v>
      </c>
    </row>
    <row r="6575" spans="1:17" x14ac:dyDescent="0.2">
      <c r="A6575" s="30" t="str">
        <f>IF(C6575&amp;G6575&amp;D6575&lt;&gt;'Funnel setup'!$K$3&amp;'Funnel setup'!$K$4&amp;'Funnel setup'!$K$5,".",IF(A6574=".",1,A6574+1))</f>
        <v>.</v>
      </c>
      <c r="B6575" s="431" t="str">
        <f t="shared" si="102"/>
        <v>Varicose VeinCCG of GP PracticeNHS LEICESTER CITY CCG (04C)EQ VAS</v>
      </c>
      <c r="C6575" t="s">
        <v>17</v>
      </c>
      <c r="D6575" t="s">
        <v>87</v>
      </c>
      <c r="E6575" t="s">
        <v>554</v>
      </c>
      <c r="F6575" t="s">
        <v>555</v>
      </c>
      <c r="G6575" t="s">
        <v>179</v>
      </c>
      <c r="H6575">
        <v>13</v>
      </c>
      <c r="I6575">
        <v>75.385000000000005</v>
      </c>
      <c r="J6575">
        <v>80.537999999999997</v>
      </c>
      <c r="K6575">
        <v>5.1539999999999999</v>
      </c>
      <c r="L6575">
        <v>6</v>
      </c>
      <c r="M6575">
        <v>4</v>
      </c>
      <c r="N6575">
        <v>3</v>
      </c>
      <c r="O6575" t="s">
        <v>53</v>
      </c>
      <c r="P6575" t="s">
        <v>53</v>
      </c>
      <c r="Q6575" t="s">
        <v>53</v>
      </c>
    </row>
    <row r="6576" spans="1:17" x14ac:dyDescent="0.2">
      <c r="A6576" s="30" t="str">
        <f>IF(C6576&amp;G6576&amp;D6576&lt;&gt;'Funnel setup'!$K$3&amp;'Funnel setup'!$K$4&amp;'Funnel setup'!$K$5,".",IF(A6575=".",1,A6575+1))</f>
        <v>.</v>
      </c>
      <c r="B6576" s="431" t="str">
        <f t="shared" si="102"/>
        <v>Varicose VeinCCG of GP PracticeNHS LEWISHAM CCG (08L)EQ VAS</v>
      </c>
      <c r="C6576" t="s">
        <v>17</v>
      </c>
      <c r="D6576" t="s">
        <v>87</v>
      </c>
      <c r="E6576" t="s">
        <v>557</v>
      </c>
      <c r="F6576" t="s">
        <v>558</v>
      </c>
      <c r="G6576" t="s">
        <v>179</v>
      </c>
      <c r="H6576">
        <v>36</v>
      </c>
      <c r="I6576">
        <v>75.028000000000006</v>
      </c>
      <c r="J6576">
        <v>74.417000000000002</v>
      </c>
      <c r="K6576">
        <v>-0.61099999999999999</v>
      </c>
      <c r="L6576">
        <v>16</v>
      </c>
      <c r="M6576">
        <v>6</v>
      </c>
      <c r="N6576">
        <v>14</v>
      </c>
      <c r="O6576">
        <v>79.183000000000007</v>
      </c>
      <c r="P6576">
        <v>0.218997262</v>
      </c>
      <c r="Q6576">
        <v>14.000999999999999</v>
      </c>
    </row>
    <row r="6577" spans="1:17" x14ac:dyDescent="0.2">
      <c r="A6577" s="30" t="str">
        <f>IF(C6577&amp;G6577&amp;D6577&lt;&gt;'Funnel setup'!$K$3&amp;'Funnel setup'!$K$4&amp;'Funnel setup'!$K$5,".",IF(A6576=".",1,A6576+1))</f>
        <v>.</v>
      </c>
      <c r="B6577" s="431" t="str">
        <f t="shared" si="102"/>
        <v>Varicose VeinCCG of GP PracticeNHS LINCOLNSHIRE EAST CCG (03T)EQ VAS</v>
      </c>
      <c r="C6577" t="s">
        <v>17</v>
      </c>
      <c r="D6577" t="s">
        <v>87</v>
      </c>
      <c r="E6577" t="s">
        <v>560</v>
      </c>
      <c r="F6577" t="s">
        <v>561</v>
      </c>
      <c r="G6577" t="s">
        <v>179</v>
      </c>
      <c r="H6577">
        <v>25</v>
      </c>
      <c r="I6577">
        <v>80.680000000000007</v>
      </c>
      <c r="J6577">
        <v>81.400000000000006</v>
      </c>
      <c r="K6577">
        <v>0.72</v>
      </c>
      <c r="L6577">
        <v>12</v>
      </c>
      <c r="M6577">
        <v>4</v>
      </c>
      <c r="N6577">
        <v>9</v>
      </c>
      <c r="O6577" t="s">
        <v>53</v>
      </c>
      <c r="P6577" t="s">
        <v>53</v>
      </c>
      <c r="Q6577" t="s">
        <v>53</v>
      </c>
    </row>
    <row r="6578" spans="1:17" x14ac:dyDescent="0.2">
      <c r="A6578" s="30" t="str">
        <f>IF(C6578&amp;G6578&amp;D6578&lt;&gt;'Funnel setup'!$K$3&amp;'Funnel setup'!$K$4&amp;'Funnel setup'!$K$5,".",IF(A6577=".",1,A6577+1))</f>
        <v>.</v>
      </c>
      <c r="B6578" s="431" t="str">
        <f t="shared" si="102"/>
        <v>Varicose VeinCCG of GP PracticeNHS LINCOLNSHIRE WEST CCG (04D)EQ VAS</v>
      </c>
      <c r="C6578" t="s">
        <v>17</v>
      </c>
      <c r="D6578" t="s">
        <v>87</v>
      </c>
      <c r="E6578" t="s">
        <v>408</v>
      </c>
      <c r="F6578" t="s">
        <v>409</v>
      </c>
      <c r="G6578" t="s">
        <v>179</v>
      </c>
      <c r="H6578">
        <v>15</v>
      </c>
      <c r="I6578">
        <v>72.132999999999996</v>
      </c>
      <c r="J6578">
        <v>71.132999999999996</v>
      </c>
      <c r="K6578">
        <v>-1</v>
      </c>
      <c r="L6578">
        <v>8</v>
      </c>
      <c r="M6578">
        <v>2</v>
      </c>
      <c r="N6578">
        <v>5</v>
      </c>
      <c r="O6578" t="s">
        <v>53</v>
      </c>
      <c r="P6578" t="s">
        <v>53</v>
      </c>
      <c r="Q6578" t="s">
        <v>53</v>
      </c>
    </row>
    <row r="6579" spans="1:17" x14ac:dyDescent="0.2">
      <c r="A6579" s="30" t="str">
        <f>IF(C6579&amp;G6579&amp;D6579&lt;&gt;'Funnel setup'!$K$3&amp;'Funnel setup'!$K$4&amp;'Funnel setup'!$K$5,".",IF(A6578=".",1,A6578+1))</f>
        <v>.</v>
      </c>
      <c r="B6579" s="431" t="str">
        <f t="shared" si="102"/>
        <v>Varicose VeinCCG of GP PracticeNHS LIVERPOOL CCG (99A)EQ VAS</v>
      </c>
      <c r="C6579" t="s">
        <v>17</v>
      </c>
      <c r="D6579" t="s">
        <v>87</v>
      </c>
      <c r="E6579" t="s">
        <v>411</v>
      </c>
      <c r="F6579" t="s">
        <v>412</v>
      </c>
      <c r="G6579" t="s">
        <v>179</v>
      </c>
      <c r="H6579">
        <v>26</v>
      </c>
      <c r="I6579">
        <v>71.191999999999993</v>
      </c>
      <c r="J6579">
        <v>67.191999999999993</v>
      </c>
      <c r="K6579">
        <v>-4</v>
      </c>
      <c r="L6579">
        <v>10</v>
      </c>
      <c r="M6579">
        <v>3</v>
      </c>
      <c r="N6579">
        <v>13</v>
      </c>
      <c r="O6579" t="s">
        <v>53</v>
      </c>
      <c r="P6579" t="s">
        <v>53</v>
      </c>
      <c r="Q6579" t="s">
        <v>53</v>
      </c>
    </row>
    <row r="6580" spans="1:17" x14ac:dyDescent="0.2">
      <c r="A6580" s="30" t="str">
        <f>IF(C6580&amp;G6580&amp;D6580&lt;&gt;'Funnel setup'!$K$3&amp;'Funnel setup'!$K$4&amp;'Funnel setup'!$K$5,".",IF(A6579=".",1,A6579+1))</f>
        <v>.</v>
      </c>
      <c r="B6580" s="431" t="str">
        <f t="shared" si="102"/>
        <v>Varicose VeinCCG of GP PracticeNHS LUTON CCG (06P)EQ VAS</v>
      </c>
      <c r="C6580" t="s">
        <v>17</v>
      </c>
      <c r="D6580" t="s">
        <v>87</v>
      </c>
      <c r="E6580" t="s">
        <v>414</v>
      </c>
      <c r="F6580" t="s">
        <v>415</v>
      </c>
      <c r="G6580" t="s">
        <v>179</v>
      </c>
      <c r="H6580">
        <v>17</v>
      </c>
      <c r="I6580">
        <v>71.352999999999994</v>
      </c>
      <c r="J6580">
        <v>72.647000000000006</v>
      </c>
      <c r="K6580">
        <v>1.294</v>
      </c>
      <c r="L6580">
        <v>7</v>
      </c>
      <c r="M6580">
        <v>3</v>
      </c>
      <c r="N6580">
        <v>7</v>
      </c>
      <c r="O6580" t="s">
        <v>53</v>
      </c>
      <c r="P6580" t="s">
        <v>53</v>
      </c>
      <c r="Q6580" t="s">
        <v>53</v>
      </c>
    </row>
    <row r="6581" spans="1:17" x14ac:dyDescent="0.2">
      <c r="A6581" s="30" t="str">
        <f>IF(C6581&amp;G6581&amp;D6581&lt;&gt;'Funnel setup'!$K$3&amp;'Funnel setup'!$K$4&amp;'Funnel setup'!$K$5,".",IF(A6580=".",1,A6580+1))</f>
        <v>.</v>
      </c>
      <c r="B6581" s="431" t="str">
        <f t="shared" si="102"/>
        <v>Varicose VeinCCG of GP PracticeNHS MANSFIELD AND ASHFIELD CCG (04E)EQ VAS</v>
      </c>
      <c r="C6581" t="s">
        <v>17</v>
      </c>
      <c r="D6581" t="s">
        <v>87</v>
      </c>
      <c r="E6581" t="s">
        <v>417</v>
      </c>
      <c r="F6581" t="s">
        <v>418</v>
      </c>
      <c r="G6581" t="s">
        <v>179</v>
      </c>
      <c r="H6581">
        <v>55</v>
      </c>
      <c r="I6581">
        <v>75.509</v>
      </c>
      <c r="J6581">
        <v>75.763999999999996</v>
      </c>
      <c r="K6581">
        <v>0.255</v>
      </c>
      <c r="L6581">
        <v>23</v>
      </c>
      <c r="M6581">
        <v>12</v>
      </c>
      <c r="N6581">
        <v>20</v>
      </c>
      <c r="O6581">
        <v>77.941999999999993</v>
      </c>
      <c r="P6581">
        <v>-1.0220819910000001</v>
      </c>
      <c r="Q6581">
        <v>19.187000000000001</v>
      </c>
    </row>
    <row r="6582" spans="1:17" x14ac:dyDescent="0.2">
      <c r="A6582" s="30" t="str">
        <f>IF(C6582&amp;G6582&amp;D6582&lt;&gt;'Funnel setup'!$K$3&amp;'Funnel setup'!$K$4&amp;'Funnel setup'!$K$5,".",IF(A6581=".",1,A6581+1))</f>
        <v>.</v>
      </c>
      <c r="B6582" s="431" t="str">
        <f t="shared" si="102"/>
        <v>Varicose VeinCCG of GP PracticeNHS MEDWAY CCG (09W)EQ VAS</v>
      </c>
      <c r="C6582" t="s">
        <v>17</v>
      </c>
      <c r="D6582" t="s">
        <v>87</v>
      </c>
      <c r="E6582" t="s">
        <v>610</v>
      </c>
      <c r="F6582" t="s">
        <v>611</v>
      </c>
      <c r="G6582" t="s">
        <v>179</v>
      </c>
      <c r="H6582">
        <v>14</v>
      </c>
      <c r="I6582">
        <v>82.143000000000001</v>
      </c>
      <c r="J6582">
        <v>79.429000000000002</v>
      </c>
      <c r="K6582">
        <v>-2.714</v>
      </c>
      <c r="L6582">
        <v>3</v>
      </c>
      <c r="M6582">
        <v>2</v>
      </c>
      <c r="N6582">
        <v>9</v>
      </c>
      <c r="O6582" t="s">
        <v>53</v>
      </c>
      <c r="P6582" t="s">
        <v>53</v>
      </c>
      <c r="Q6582" t="s">
        <v>53</v>
      </c>
    </row>
    <row r="6583" spans="1:17" x14ac:dyDescent="0.2">
      <c r="A6583" s="30" t="str">
        <f>IF(C6583&amp;G6583&amp;D6583&lt;&gt;'Funnel setup'!$K$3&amp;'Funnel setup'!$K$4&amp;'Funnel setup'!$K$5,".",IF(A6582=".",1,A6582+1))</f>
        <v>.</v>
      </c>
      <c r="B6583" s="431" t="str">
        <f t="shared" si="102"/>
        <v>Varicose VeinCCG of GP PracticeNHS MERTON CCG (08R)EQ VAS</v>
      </c>
      <c r="C6583" t="s">
        <v>17</v>
      </c>
      <c r="D6583" t="s">
        <v>87</v>
      </c>
      <c r="E6583" t="s">
        <v>613</v>
      </c>
      <c r="F6583" t="s">
        <v>614</v>
      </c>
      <c r="G6583" t="s">
        <v>179</v>
      </c>
      <c r="H6583">
        <v>14</v>
      </c>
      <c r="I6583">
        <v>73.070999999999998</v>
      </c>
      <c r="J6583">
        <v>70.786000000000001</v>
      </c>
      <c r="K6583">
        <v>-2.286</v>
      </c>
      <c r="L6583">
        <v>3</v>
      </c>
      <c r="M6583">
        <v>3</v>
      </c>
      <c r="N6583">
        <v>8</v>
      </c>
      <c r="O6583" t="s">
        <v>53</v>
      </c>
      <c r="P6583" t="s">
        <v>53</v>
      </c>
      <c r="Q6583" t="s">
        <v>53</v>
      </c>
    </row>
    <row r="6584" spans="1:17" x14ac:dyDescent="0.2">
      <c r="A6584" s="30" t="str">
        <f>IF(C6584&amp;G6584&amp;D6584&lt;&gt;'Funnel setup'!$K$3&amp;'Funnel setup'!$K$4&amp;'Funnel setup'!$K$5,".",IF(A6583=".",1,A6583+1))</f>
        <v>.</v>
      </c>
      <c r="B6584" s="431" t="str">
        <f t="shared" si="102"/>
        <v>Varicose VeinCCG of GP PracticeNHS MID ESSEX CCG (06Q)EQ VAS</v>
      </c>
      <c r="C6584" t="s">
        <v>17</v>
      </c>
      <c r="D6584" t="s">
        <v>87</v>
      </c>
      <c r="E6584" t="s">
        <v>616</v>
      </c>
      <c r="F6584" t="s">
        <v>617</v>
      </c>
      <c r="G6584" t="s">
        <v>179</v>
      </c>
      <c r="H6584">
        <v>22</v>
      </c>
      <c r="I6584">
        <v>67.727000000000004</v>
      </c>
      <c r="J6584">
        <v>73.590999999999994</v>
      </c>
      <c r="K6584">
        <v>5.8639999999999999</v>
      </c>
      <c r="L6584">
        <v>10</v>
      </c>
      <c r="M6584">
        <v>3</v>
      </c>
      <c r="N6584">
        <v>9</v>
      </c>
      <c r="O6584" t="s">
        <v>53</v>
      </c>
      <c r="P6584" t="s">
        <v>53</v>
      </c>
      <c r="Q6584" t="s">
        <v>53</v>
      </c>
    </row>
    <row r="6585" spans="1:17" x14ac:dyDescent="0.2">
      <c r="A6585" s="30" t="str">
        <f>IF(C6585&amp;G6585&amp;D6585&lt;&gt;'Funnel setup'!$K$3&amp;'Funnel setup'!$K$4&amp;'Funnel setup'!$K$5,".",IF(A6584=".",1,A6584+1))</f>
        <v>.</v>
      </c>
      <c r="B6585" s="431" t="str">
        <f t="shared" si="102"/>
        <v>Varicose VeinCCG of GP PracticeNHS MILTON KEYNES CCG (04F)EQ VAS</v>
      </c>
      <c r="C6585" t="s">
        <v>17</v>
      </c>
      <c r="D6585" t="s">
        <v>87</v>
      </c>
      <c r="E6585" t="s">
        <v>619</v>
      </c>
      <c r="F6585" t="s">
        <v>338</v>
      </c>
      <c r="G6585" t="s">
        <v>179</v>
      </c>
      <c r="H6585">
        <v>20</v>
      </c>
      <c r="I6585">
        <v>78</v>
      </c>
      <c r="J6585">
        <v>75.849999999999994</v>
      </c>
      <c r="K6585">
        <v>-2.15</v>
      </c>
      <c r="L6585">
        <v>10</v>
      </c>
      <c r="M6585">
        <v>4</v>
      </c>
      <c r="N6585">
        <v>6</v>
      </c>
      <c r="O6585" t="s">
        <v>53</v>
      </c>
      <c r="P6585" t="s">
        <v>53</v>
      </c>
      <c r="Q6585" t="s">
        <v>53</v>
      </c>
    </row>
    <row r="6586" spans="1:17" x14ac:dyDescent="0.2">
      <c r="A6586" s="30" t="str">
        <f>IF(C6586&amp;G6586&amp;D6586&lt;&gt;'Funnel setup'!$K$3&amp;'Funnel setup'!$K$4&amp;'Funnel setup'!$K$5,".",IF(A6585=".",1,A6585+1))</f>
        <v>.</v>
      </c>
      <c r="B6586" s="431" t="str">
        <f t="shared" si="102"/>
        <v>Varicose VeinCCG of GP PracticeNHS NENE CCG (04G)EQ VAS</v>
      </c>
      <c r="C6586" t="s">
        <v>17</v>
      </c>
      <c r="D6586" t="s">
        <v>87</v>
      </c>
      <c r="E6586" t="s">
        <v>621</v>
      </c>
      <c r="F6586" t="s">
        <v>622</v>
      </c>
      <c r="G6586" t="s">
        <v>179</v>
      </c>
      <c r="H6586">
        <v>30</v>
      </c>
      <c r="I6586">
        <v>80.066999999999993</v>
      </c>
      <c r="J6586">
        <v>78.933000000000007</v>
      </c>
      <c r="K6586">
        <v>-1.133</v>
      </c>
      <c r="L6586">
        <v>10</v>
      </c>
      <c r="M6586">
        <v>8</v>
      </c>
      <c r="N6586">
        <v>12</v>
      </c>
      <c r="O6586">
        <v>79.728999999999999</v>
      </c>
      <c r="P6586">
        <v>0.76458842599999999</v>
      </c>
      <c r="Q6586">
        <v>11.712</v>
      </c>
    </row>
    <row r="6587" spans="1:17" x14ac:dyDescent="0.2">
      <c r="A6587" s="30" t="str">
        <f>IF(C6587&amp;G6587&amp;D6587&lt;&gt;'Funnel setup'!$K$3&amp;'Funnel setup'!$K$4&amp;'Funnel setup'!$K$5,".",IF(A6586=".",1,A6586+1))</f>
        <v>.</v>
      </c>
      <c r="B6587" s="431" t="str">
        <f t="shared" si="102"/>
        <v>Varicose VeinCCG of GP PracticeNHS NEWARK &amp; SHERWOOD CCG (04H)EQ VAS</v>
      </c>
      <c r="C6587" t="s">
        <v>17</v>
      </c>
      <c r="D6587" t="s">
        <v>87</v>
      </c>
      <c r="E6587" t="s">
        <v>624</v>
      </c>
      <c r="F6587" t="s">
        <v>625</v>
      </c>
      <c r="G6587" t="s">
        <v>179</v>
      </c>
      <c r="H6587">
        <v>30</v>
      </c>
      <c r="I6587">
        <v>83.7</v>
      </c>
      <c r="J6587">
        <v>82.867000000000004</v>
      </c>
      <c r="K6587">
        <v>-0.83299999999999996</v>
      </c>
      <c r="L6587">
        <v>11</v>
      </c>
      <c r="M6587">
        <v>7</v>
      </c>
      <c r="N6587">
        <v>12</v>
      </c>
      <c r="O6587">
        <v>80.23</v>
      </c>
      <c r="P6587">
        <v>1.2657585200000001</v>
      </c>
      <c r="Q6587">
        <v>9.6419999999999995</v>
      </c>
    </row>
    <row r="6588" spans="1:17" x14ac:dyDescent="0.2">
      <c r="A6588" s="30" t="str">
        <f>IF(C6588&amp;G6588&amp;D6588&lt;&gt;'Funnel setup'!$K$3&amp;'Funnel setup'!$K$4&amp;'Funnel setup'!$K$5,".",IF(A6587=".",1,A6587+1))</f>
        <v>.</v>
      </c>
      <c r="B6588" s="431" t="str">
        <f t="shared" si="102"/>
        <v>Varicose VeinCCG of GP PracticeNHS NEWCASTLE GATESHEAD CCG (13T)EQ VAS</v>
      </c>
      <c r="C6588" t="s">
        <v>17</v>
      </c>
      <c r="D6588" t="s">
        <v>87</v>
      </c>
      <c r="E6588" t="s">
        <v>6553</v>
      </c>
      <c r="F6588" t="s">
        <v>6543</v>
      </c>
      <c r="G6588" t="s">
        <v>179</v>
      </c>
      <c r="H6588">
        <v>128</v>
      </c>
      <c r="I6588">
        <v>81.352000000000004</v>
      </c>
      <c r="J6588">
        <v>77.977000000000004</v>
      </c>
      <c r="K6588">
        <v>-3.375</v>
      </c>
      <c r="L6588">
        <v>41</v>
      </c>
      <c r="M6588">
        <v>23</v>
      </c>
      <c r="N6588">
        <v>64</v>
      </c>
      <c r="O6588">
        <v>76.616</v>
      </c>
      <c r="P6588">
        <v>-2.347668165</v>
      </c>
      <c r="Q6588">
        <v>14.72</v>
      </c>
    </row>
    <row r="6589" spans="1:17" x14ac:dyDescent="0.2">
      <c r="A6589" s="30" t="str">
        <f>IF(C6589&amp;G6589&amp;D6589&lt;&gt;'Funnel setup'!$K$3&amp;'Funnel setup'!$K$4&amp;'Funnel setup'!$K$5,".",IF(A6588=".",1,A6588+1))</f>
        <v>.</v>
      </c>
      <c r="B6589" s="431" t="str">
        <f t="shared" si="102"/>
        <v>Varicose VeinCCG of GP PracticeNHS NEWHAM CCG (08M)EQ VAS</v>
      </c>
      <c r="C6589" t="s">
        <v>17</v>
      </c>
      <c r="D6589" t="s">
        <v>87</v>
      </c>
      <c r="E6589" t="s">
        <v>630</v>
      </c>
      <c r="F6589" t="s">
        <v>631</v>
      </c>
      <c r="G6589" t="s">
        <v>179</v>
      </c>
      <c r="H6589">
        <v>19</v>
      </c>
      <c r="I6589">
        <v>72.578999999999994</v>
      </c>
      <c r="J6589">
        <v>73.525999999999996</v>
      </c>
      <c r="K6589">
        <v>0.94699999999999995</v>
      </c>
      <c r="L6589">
        <v>9</v>
      </c>
      <c r="M6589">
        <v>4</v>
      </c>
      <c r="N6589">
        <v>6</v>
      </c>
      <c r="O6589" t="s">
        <v>53</v>
      </c>
      <c r="P6589" t="s">
        <v>53</v>
      </c>
      <c r="Q6589" t="s">
        <v>53</v>
      </c>
    </row>
    <row r="6590" spans="1:17" x14ac:dyDescent="0.2">
      <c r="A6590" s="30" t="str">
        <f>IF(C6590&amp;G6590&amp;D6590&lt;&gt;'Funnel setup'!$K$3&amp;'Funnel setup'!$K$4&amp;'Funnel setup'!$K$5,".",IF(A6589=".",1,A6589+1))</f>
        <v>.</v>
      </c>
      <c r="B6590" s="431" t="str">
        <f t="shared" si="102"/>
        <v>Varicose VeinCCG of GP PracticeNHS NORTH &amp; WEST READING CCG (10N)EQ VAS</v>
      </c>
      <c r="C6590" t="s">
        <v>17</v>
      </c>
      <c r="D6590" t="s">
        <v>87</v>
      </c>
      <c r="E6590" t="s">
        <v>633</v>
      </c>
      <c r="F6590" t="s">
        <v>634</v>
      </c>
      <c r="G6590" t="s">
        <v>179</v>
      </c>
      <c r="H6590" t="s">
        <v>53</v>
      </c>
      <c r="I6590" t="s">
        <v>53</v>
      </c>
      <c r="J6590" t="s">
        <v>53</v>
      </c>
      <c r="K6590" t="s">
        <v>53</v>
      </c>
      <c r="L6590" t="s">
        <v>53</v>
      </c>
      <c r="M6590" t="s">
        <v>53</v>
      </c>
      <c r="N6590" t="s">
        <v>53</v>
      </c>
      <c r="O6590" t="s">
        <v>53</v>
      </c>
      <c r="P6590" t="s">
        <v>53</v>
      </c>
      <c r="Q6590" t="s">
        <v>53</v>
      </c>
    </row>
    <row r="6591" spans="1:17" x14ac:dyDescent="0.2">
      <c r="A6591" s="30" t="str">
        <f>IF(C6591&amp;G6591&amp;D6591&lt;&gt;'Funnel setup'!$K$3&amp;'Funnel setup'!$K$4&amp;'Funnel setup'!$K$5,".",IF(A6590=".",1,A6590+1))</f>
        <v>.</v>
      </c>
      <c r="B6591" s="431" t="str">
        <f t="shared" si="102"/>
        <v>Varicose VeinCCG of GP PracticeNHS NORTH DERBYSHIRE CCG (04J)EQ VAS</v>
      </c>
      <c r="C6591" t="s">
        <v>17</v>
      </c>
      <c r="D6591" t="s">
        <v>87</v>
      </c>
      <c r="E6591" t="s">
        <v>636</v>
      </c>
      <c r="F6591" t="s">
        <v>637</v>
      </c>
      <c r="G6591" t="s">
        <v>179</v>
      </c>
      <c r="H6591">
        <v>36</v>
      </c>
      <c r="I6591">
        <v>84.778000000000006</v>
      </c>
      <c r="J6591">
        <v>84.361000000000004</v>
      </c>
      <c r="K6591">
        <v>-0.41699999999999998</v>
      </c>
      <c r="L6591">
        <v>12</v>
      </c>
      <c r="M6591">
        <v>10</v>
      </c>
      <c r="N6591">
        <v>14</v>
      </c>
      <c r="O6591">
        <v>79.822000000000003</v>
      </c>
      <c r="P6591">
        <v>0.85799723299999997</v>
      </c>
      <c r="Q6591">
        <v>11.356999999999999</v>
      </c>
    </row>
    <row r="6592" spans="1:17" x14ac:dyDescent="0.2">
      <c r="A6592" s="30" t="str">
        <f>IF(C6592&amp;G6592&amp;D6592&lt;&gt;'Funnel setup'!$K$3&amp;'Funnel setup'!$K$4&amp;'Funnel setup'!$K$5,".",IF(A6591=".",1,A6591+1))</f>
        <v>.</v>
      </c>
      <c r="B6592" s="431" t="str">
        <f t="shared" si="102"/>
        <v>Varicose VeinCCG of GP PracticeNHS NORTH DURHAM CCG (00J)EQ VAS</v>
      </c>
      <c r="C6592" t="s">
        <v>17</v>
      </c>
      <c r="D6592" t="s">
        <v>87</v>
      </c>
      <c r="E6592" t="s">
        <v>639</v>
      </c>
      <c r="F6592" t="s">
        <v>640</v>
      </c>
      <c r="G6592" t="s">
        <v>179</v>
      </c>
      <c r="H6592">
        <v>24</v>
      </c>
      <c r="I6592">
        <v>77.875</v>
      </c>
      <c r="J6592">
        <v>78.792000000000002</v>
      </c>
      <c r="K6592">
        <v>0.91700000000000004</v>
      </c>
      <c r="L6592">
        <v>11</v>
      </c>
      <c r="M6592">
        <v>3</v>
      </c>
      <c r="N6592">
        <v>10</v>
      </c>
      <c r="O6592" t="s">
        <v>53</v>
      </c>
      <c r="P6592" t="s">
        <v>53</v>
      </c>
      <c r="Q6592" t="s">
        <v>53</v>
      </c>
    </row>
    <row r="6593" spans="1:17" x14ac:dyDescent="0.2">
      <c r="A6593" s="30" t="str">
        <f>IF(C6593&amp;G6593&amp;D6593&lt;&gt;'Funnel setup'!$K$3&amp;'Funnel setup'!$K$4&amp;'Funnel setup'!$K$5,".",IF(A6592=".",1,A6592+1))</f>
        <v>.</v>
      </c>
      <c r="B6593" s="431" t="str">
        <f t="shared" si="102"/>
        <v>Varicose VeinCCG of GP PracticeNHS NORTH EAST ESSEX CCG (06T)EQ VAS</v>
      </c>
      <c r="C6593" t="s">
        <v>17</v>
      </c>
      <c r="D6593" t="s">
        <v>87</v>
      </c>
      <c r="E6593" t="s">
        <v>642</v>
      </c>
      <c r="F6593" t="s">
        <v>643</v>
      </c>
      <c r="G6593" t="s">
        <v>179</v>
      </c>
      <c r="H6593">
        <v>17</v>
      </c>
      <c r="I6593">
        <v>75.117999999999995</v>
      </c>
      <c r="J6593">
        <v>66.941000000000003</v>
      </c>
      <c r="K6593">
        <v>-8.1760000000000002</v>
      </c>
      <c r="L6593">
        <v>5</v>
      </c>
      <c r="M6593">
        <v>2</v>
      </c>
      <c r="N6593">
        <v>10</v>
      </c>
      <c r="O6593" t="s">
        <v>53</v>
      </c>
      <c r="P6593" t="s">
        <v>53</v>
      </c>
      <c r="Q6593" t="s">
        <v>53</v>
      </c>
    </row>
    <row r="6594" spans="1:17" x14ac:dyDescent="0.2">
      <c r="A6594" s="30" t="str">
        <f>IF(C6594&amp;G6594&amp;D6594&lt;&gt;'Funnel setup'!$K$3&amp;'Funnel setup'!$K$4&amp;'Funnel setup'!$K$5,".",IF(A6593=".",1,A6593+1))</f>
        <v>.</v>
      </c>
      <c r="B6594" s="431" t="str">
        <f t="shared" si="102"/>
        <v>Varicose VeinCCG of GP PracticeNHS NORTH EAST HAMPSHIRE AND FARNHAM CCG (99M)EQ VAS</v>
      </c>
      <c r="C6594" t="s">
        <v>17</v>
      </c>
      <c r="D6594" t="s">
        <v>87</v>
      </c>
      <c r="E6594" t="s">
        <v>645</v>
      </c>
      <c r="F6594" t="s">
        <v>646</v>
      </c>
      <c r="G6594" t="s">
        <v>179</v>
      </c>
      <c r="H6594">
        <v>8</v>
      </c>
      <c r="I6594">
        <v>84.375</v>
      </c>
      <c r="J6594">
        <v>83.625</v>
      </c>
      <c r="K6594">
        <v>-0.75</v>
      </c>
      <c r="L6594">
        <v>4</v>
      </c>
      <c r="M6594">
        <v>1</v>
      </c>
      <c r="N6594">
        <v>3</v>
      </c>
      <c r="O6594" t="s">
        <v>53</v>
      </c>
      <c r="P6594" t="s">
        <v>53</v>
      </c>
      <c r="Q6594" t="s">
        <v>53</v>
      </c>
    </row>
    <row r="6595" spans="1:17" x14ac:dyDescent="0.2">
      <c r="A6595" s="30" t="str">
        <f>IF(C6595&amp;G6595&amp;D6595&lt;&gt;'Funnel setup'!$K$3&amp;'Funnel setup'!$K$4&amp;'Funnel setup'!$K$5,".",IF(A6594=".",1,A6594+1))</f>
        <v>.</v>
      </c>
      <c r="B6595" s="431" t="str">
        <f t="shared" ref="B6595:B6658" si="103">C6595&amp;D6595&amp;F6595&amp;G6595</f>
        <v>Varicose VeinCCG of GP PracticeNHS NORTH EAST LINCOLNSHIRE CCG (03H)EQ VAS</v>
      </c>
      <c r="C6595" t="s">
        <v>17</v>
      </c>
      <c r="D6595" t="s">
        <v>87</v>
      </c>
      <c r="E6595" t="s">
        <v>648</v>
      </c>
      <c r="F6595" t="s">
        <v>649</v>
      </c>
      <c r="G6595" t="s">
        <v>179</v>
      </c>
      <c r="H6595" t="s">
        <v>53</v>
      </c>
      <c r="I6595" t="s">
        <v>53</v>
      </c>
      <c r="J6595" t="s">
        <v>53</v>
      </c>
      <c r="K6595" t="s">
        <v>53</v>
      </c>
      <c r="L6595" t="s">
        <v>53</v>
      </c>
      <c r="M6595" t="s">
        <v>53</v>
      </c>
      <c r="N6595" t="s">
        <v>53</v>
      </c>
      <c r="O6595" t="s">
        <v>53</v>
      </c>
      <c r="P6595" t="s">
        <v>53</v>
      </c>
      <c r="Q6595" t="s">
        <v>53</v>
      </c>
    </row>
    <row r="6596" spans="1:17" x14ac:dyDescent="0.2">
      <c r="A6596" s="30" t="str">
        <f>IF(C6596&amp;G6596&amp;D6596&lt;&gt;'Funnel setup'!$K$3&amp;'Funnel setup'!$K$4&amp;'Funnel setup'!$K$5,".",IF(A6595=".",1,A6595+1))</f>
        <v>.</v>
      </c>
      <c r="B6596" s="431" t="str">
        <f t="shared" si="103"/>
        <v>Varicose VeinCCG of GP PracticeNHS NORTH KIRKLEES CCG (03J)EQ VAS</v>
      </c>
      <c r="C6596" t="s">
        <v>17</v>
      </c>
      <c r="D6596" t="s">
        <v>87</v>
      </c>
      <c r="E6596" t="s">
        <v>654</v>
      </c>
      <c r="F6596" t="s">
        <v>655</v>
      </c>
      <c r="G6596" t="s">
        <v>179</v>
      </c>
      <c r="H6596">
        <v>18</v>
      </c>
      <c r="I6596">
        <v>83.555999999999997</v>
      </c>
      <c r="J6596">
        <v>78.332999999999998</v>
      </c>
      <c r="K6596">
        <v>-5.2220000000000004</v>
      </c>
      <c r="L6596">
        <v>5</v>
      </c>
      <c r="M6596">
        <v>5</v>
      </c>
      <c r="N6596">
        <v>8</v>
      </c>
      <c r="O6596" t="s">
        <v>53</v>
      </c>
      <c r="P6596" t="s">
        <v>53</v>
      </c>
      <c r="Q6596" t="s">
        <v>53</v>
      </c>
    </row>
    <row r="6597" spans="1:17" x14ac:dyDescent="0.2">
      <c r="A6597" s="30" t="str">
        <f>IF(C6597&amp;G6597&amp;D6597&lt;&gt;'Funnel setup'!$K$3&amp;'Funnel setup'!$K$4&amp;'Funnel setup'!$K$5,".",IF(A6596=".",1,A6596+1))</f>
        <v>.</v>
      </c>
      <c r="B6597" s="431" t="str">
        <f t="shared" si="103"/>
        <v>Varicose VeinCCG of GP PracticeNHS NORTH LINCOLNSHIRE CCG (03K)EQ VAS</v>
      </c>
      <c r="C6597" t="s">
        <v>17</v>
      </c>
      <c r="D6597" t="s">
        <v>87</v>
      </c>
      <c r="E6597" t="s">
        <v>657</v>
      </c>
      <c r="F6597" t="s">
        <v>658</v>
      </c>
      <c r="G6597" t="s">
        <v>179</v>
      </c>
      <c r="H6597">
        <v>9</v>
      </c>
      <c r="I6597">
        <v>87.111000000000004</v>
      </c>
      <c r="J6597">
        <v>85.111000000000004</v>
      </c>
      <c r="K6597">
        <v>-2</v>
      </c>
      <c r="L6597">
        <v>2</v>
      </c>
      <c r="M6597">
        <v>2</v>
      </c>
      <c r="N6597">
        <v>5</v>
      </c>
      <c r="O6597" t="s">
        <v>53</v>
      </c>
      <c r="P6597" t="s">
        <v>53</v>
      </c>
      <c r="Q6597" t="s">
        <v>53</v>
      </c>
    </row>
    <row r="6598" spans="1:17" x14ac:dyDescent="0.2">
      <c r="A6598" s="30" t="str">
        <f>IF(C6598&amp;G6598&amp;D6598&lt;&gt;'Funnel setup'!$K$3&amp;'Funnel setup'!$K$4&amp;'Funnel setup'!$K$5,".",IF(A6597=".",1,A6597+1))</f>
        <v>.</v>
      </c>
      <c r="B6598" s="431" t="str">
        <f t="shared" si="103"/>
        <v>Varicose VeinCCG of GP PracticeNHS NORTH MANCHESTER CCG (01M)EQ VAS</v>
      </c>
      <c r="C6598" t="s">
        <v>17</v>
      </c>
      <c r="D6598" t="s">
        <v>87</v>
      </c>
      <c r="E6598" t="s">
        <v>660</v>
      </c>
      <c r="F6598" t="s">
        <v>661</v>
      </c>
      <c r="G6598" t="s">
        <v>179</v>
      </c>
      <c r="H6598" t="s">
        <v>53</v>
      </c>
      <c r="I6598" t="s">
        <v>53</v>
      </c>
      <c r="J6598" t="s">
        <v>53</v>
      </c>
      <c r="K6598" t="s">
        <v>53</v>
      </c>
      <c r="L6598" t="s">
        <v>53</v>
      </c>
      <c r="M6598" t="s">
        <v>53</v>
      </c>
      <c r="N6598" t="s">
        <v>53</v>
      </c>
      <c r="O6598" t="s">
        <v>53</v>
      </c>
      <c r="P6598" t="s">
        <v>53</v>
      </c>
      <c r="Q6598" t="s">
        <v>53</v>
      </c>
    </row>
    <row r="6599" spans="1:17" x14ac:dyDescent="0.2">
      <c r="A6599" s="30" t="str">
        <f>IF(C6599&amp;G6599&amp;D6599&lt;&gt;'Funnel setup'!$K$3&amp;'Funnel setup'!$K$4&amp;'Funnel setup'!$K$5,".",IF(A6598=".",1,A6598+1))</f>
        <v>.</v>
      </c>
      <c r="B6599" s="431" t="str">
        <f t="shared" si="103"/>
        <v>Varicose VeinCCG of GP PracticeNHS NORTH NORFOLK CCG (06V)EQ VAS</v>
      </c>
      <c r="C6599" t="s">
        <v>17</v>
      </c>
      <c r="D6599" t="s">
        <v>87</v>
      </c>
      <c r="E6599" t="s">
        <v>663</v>
      </c>
      <c r="F6599" t="s">
        <v>664</v>
      </c>
      <c r="G6599" t="s">
        <v>179</v>
      </c>
      <c r="H6599">
        <v>56</v>
      </c>
      <c r="I6599">
        <v>82.018000000000001</v>
      </c>
      <c r="J6599">
        <v>83.463999999999999</v>
      </c>
      <c r="K6599">
        <v>1.446</v>
      </c>
      <c r="L6599">
        <v>24</v>
      </c>
      <c r="M6599">
        <v>10</v>
      </c>
      <c r="N6599">
        <v>22</v>
      </c>
      <c r="O6599">
        <v>82.536000000000001</v>
      </c>
      <c r="P6599">
        <v>3.5717003709999999</v>
      </c>
      <c r="Q6599">
        <v>8.1140000000000008</v>
      </c>
    </row>
    <row r="6600" spans="1:17" x14ac:dyDescent="0.2">
      <c r="A6600" s="30" t="str">
        <f>IF(C6600&amp;G6600&amp;D6600&lt;&gt;'Funnel setup'!$K$3&amp;'Funnel setup'!$K$4&amp;'Funnel setup'!$K$5,".",IF(A6599=".",1,A6599+1))</f>
        <v>.</v>
      </c>
      <c r="B6600" s="431" t="str">
        <f t="shared" si="103"/>
        <v>Varicose VeinCCG of GP PracticeNHS NORTH SOMERSET CCG (11T)EQ VAS</v>
      </c>
      <c r="C6600" t="s">
        <v>17</v>
      </c>
      <c r="D6600" t="s">
        <v>87</v>
      </c>
      <c r="E6600" t="s">
        <v>666</v>
      </c>
      <c r="F6600" t="s">
        <v>667</v>
      </c>
      <c r="G6600" t="s">
        <v>179</v>
      </c>
      <c r="H6600">
        <v>6</v>
      </c>
      <c r="I6600">
        <v>91.667000000000002</v>
      </c>
      <c r="J6600">
        <v>84.832999999999998</v>
      </c>
      <c r="K6600">
        <v>-6.8330000000000002</v>
      </c>
      <c r="L6600">
        <v>0</v>
      </c>
      <c r="M6600">
        <v>1</v>
      </c>
      <c r="N6600">
        <v>5</v>
      </c>
      <c r="O6600" t="s">
        <v>53</v>
      </c>
      <c r="P6600" t="s">
        <v>53</v>
      </c>
      <c r="Q6600" t="s">
        <v>53</v>
      </c>
    </row>
    <row r="6601" spans="1:17" x14ac:dyDescent="0.2">
      <c r="A6601" s="30" t="str">
        <f>IF(C6601&amp;G6601&amp;D6601&lt;&gt;'Funnel setup'!$K$3&amp;'Funnel setup'!$K$4&amp;'Funnel setup'!$K$5,".",IF(A6600=".",1,A6600+1))</f>
        <v>.</v>
      </c>
      <c r="B6601" s="431" t="str">
        <f t="shared" si="103"/>
        <v>Varicose VeinCCG of GP PracticeNHS NORTH STAFFORDSHIRE CCG (05G)EQ VAS</v>
      </c>
      <c r="C6601" t="s">
        <v>17</v>
      </c>
      <c r="D6601" t="s">
        <v>87</v>
      </c>
      <c r="E6601" t="s">
        <v>669</v>
      </c>
      <c r="F6601" t="s">
        <v>670</v>
      </c>
      <c r="G6601" t="s">
        <v>179</v>
      </c>
      <c r="H6601">
        <v>8</v>
      </c>
      <c r="I6601">
        <v>88.375</v>
      </c>
      <c r="J6601">
        <v>87.75</v>
      </c>
      <c r="K6601">
        <v>-0.625</v>
      </c>
      <c r="L6601">
        <v>3</v>
      </c>
      <c r="M6601">
        <v>1</v>
      </c>
      <c r="N6601">
        <v>4</v>
      </c>
      <c r="O6601" t="s">
        <v>53</v>
      </c>
      <c r="P6601" t="s">
        <v>53</v>
      </c>
      <c r="Q6601" t="s">
        <v>53</v>
      </c>
    </row>
    <row r="6602" spans="1:17" x14ac:dyDescent="0.2">
      <c r="A6602" s="30" t="str">
        <f>IF(C6602&amp;G6602&amp;D6602&lt;&gt;'Funnel setup'!$K$3&amp;'Funnel setup'!$K$4&amp;'Funnel setup'!$K$5,".",IF(A6601=".",1,A6601+1))</f>
        <v>.</v>
      </c>
      <c r="B6602" s="431" t="str">
        <f t="shared" si="103"/>
        <v>Varicose VeinCCG of GP PracticeNHS NORTH TYNESIDE CCG (99C)EQ VAS</v>
      </c>
      <c r="C6602" t="s">
        <v>17</v>
      </c>
      <c r="D6602" t="s">
        <v>87</v>
      </c>
      <c r="E6602" t="s">
        <v>672</v>
      </c>
      <c r="F6602" t="s">
        <v>673</v>
      </c>
      <c r="G6602" t="s">
        <v>179</v>
      </c>
      <c r="H6602">
        <v>46</v>
      </c>
      <c r="I6602">
        <v>79.522000000000006</v>
      </c>
      <c r="J6602">
        <v>78.587000000000003</v>
      </c>
      <c r="K6602">
        <v>-0.93500000000000005</v>
      </c>
      <c r="L6602">
        <v>16</v>
      </c>
      <c r="M6602">
        <v>12</v>
      </c>
      <c r="N6602">
        <v>18</v>
      </c>
      <c r="O6602">
        <v>77.903999999999996</v>
      </c>
      <c r="P6602">
        <v>-1.0604773270000001</v>
      </c>
      <c r="Q6602">
        <v>15.855</v>
      </c>
    </row>
    <row r="6603" spans="1:17" x14ac:dyDescent="0.2">
      <c r="A6603" s="30" t="str">
        <f>IF(C6603&amp;G6603&amp;D6603&lt;&gt;'Funnel setup'!$K$3&amp;'Funnel setup'!$K$4&amp;'Funnel setup'!$K$5,".",IF(A6602=".",1,A6602+1))</f>
        <v>.</v>
      </c>
      <c r="B6603" s="431" t="str">
        <f t="shared" si="103"/>
        <v>Varicose VeinCCG of GP PracticeNHS NORTH WEST SURREY CCG (09Y)EQ VAS</v>
      </c>
      <c r="C6603" t="s">
        <v>17</v>
      </c>
      <c r="D6603" t="s">
        <v>87</v>
      </c>
      <c r="E6603" t="s">
        <v>675</v>
      </c>
      <c r="F6603" t="s">
        <v>676</v>
      </c>
      <c r="G6603" t="s">
        <v>179</v>
      </c>
      <c r="H6603">
        <v>18</v>
      </c>
      <c r="I6603">
        <v>79</v>
      </c>
      <c r="J6603">
        <v>79.332999999999998</v>
      </c>
      <c r="K6603">
        <v>0.33300000000000002</v>
      </c>
      <c r="L6603">
        <v>8</v>
      </c>
      <c r="M6603">
        <v>3</v>
      </c>
      <c r="N6603">
        <v>7</v>
      </c>
      <c r="O6603" t="s">
        <v>53</v>
      </c>
      <c r="P6603" t="s">
        <v>53</v>
      </c>
      <c r="Q6603" t="s">
        <v>53</v>
      </c>
    </row>
    <row r="6604" spans="1:17" x14ac:dyDescent="0.2">
      <c r="A6604" s="30" t="str">
        <f>IF(C6604&amp;G6604&amp;D6604&lt;&gt;'Funnel setup'!$K$3&amp;'Funnel setup'!$K$4&amp;'Funnel setup'!$K$5,".",IF(A6603=".",1,A6603+1))</f>
        <v>.</v>
      </c>
      <c r="B6604" s="431" t="str">
        <f t="shared" si="103"/>
        <v>Varicose VeinCCG of GP PracticeNHS NORTHERN, EASTERN AND WESTERN DEVON CCG (99P)EQ VAS</v>
      </c>
      <c r="C6604" t="s">
        <v>17</v>
      </c>
      <c r="D6604" t="s">
        <v>87</v>
      </c>
      <c r="E6604" t="s">
        <v>678</v>
      </c>
      <c r="F6604" t="s">
        <v>679</v>
      </c>
      <c r="G6604" t="s">
        <v>179</v>
      </c>
      <c r="H6604">
        <v>99</v>
      </c>
      <c r="I6604">
        <v>77.736999999999995</v>
      </c>
      <c r="J6604">
        <v>75.798000000000002</v>
      </c>
      <c r="K6604">
        <v>-1.9390000000000001</v>
      </c>
      <c r="L6604">
        <v>35</v>
      </c>
      <c r="M6604">
        <v>15</v>
      </c>
      <c r="N6604">
        <v>49</v>
      </c>
      <c r="O6604">
        <v>76.921000000000006</v>
      </c>
      <c r="P6604">
        <v>-2.0432588730000001</v>
      </c>
      <c r="Q6604">
        <v>13.916</v>
      </c>
    </row>
    <row r="6605" spans="1:17" x14ac:dyDescent="0.2">
      <c r="A6605" s="30" t="str">
        <f>IF(C6605&amp;G6605&amp;D6605&lt;&gt;'Funnel setup'!$K$3&amp;'Funnel setup'!$K$4&amp;'Funnel setup'!$K$5,".",IF(A6604=".",1,A6604+1))</f>
        <v>.</v>
      </c>
      <c r="B6605" s="431" t="str">
        <f t="shared" si="103"/>
        <v>Varicose VeinCCG of GP PracticeNHS NORTHUMBERLAND CCG (00L)EQ VAS</v>
      </c>
      <c r="C6605" t="s">
        <v>17</v>
      </c>
      <c r="D6605" t="s">
        <v>87</v>
      </c>
      <c r="E6605" t="s">
        <v>681</v>
      </c>
      <c r="F6605" t="s">
        <v>336</v>
      </c>
      <c r="G6605" t="s">
        <v>179</v>
      </c>
      <c r="H6605">
        <v>59</v>
      </c>
      <c r="I6605">
        <v>79.236999999999995</v>
      </c>
      <c r="J6605">
        <v>76.338999999999999</v>
      </c>
      <c r="K6605">
        <v>-2.8980000000000001</v>
      </c>
      <c r="L6605">
        <v>20</v>
      </c>
      <c r="M6605">
        <v>12</v>
      </c>
      <c r="N6605">
        <v>27</v>
      </c>
      <c r="O6605">
        <v>75.715999999999994</v>
      </c>
      <c r="P6605">
        <v>-3.2477055699999999</v>
      </c>
      <c r="Q6605">
        <v>13.869</v>
      </c>
    </row>
    <row r="6606" spans="1:17" x14ac:dyDescent="0.2">
      <c r="A6606" s="30" t="str">
        <f>IF(C6606&amp;G6606&amp;D6606&lt;&gt;'Funnel setup'!$K$3&amp;'Funnel setup'!$K$4&amp;'Funnel setup'!$K$5,".",IF(A6605=".",1,A6605+1))</f>
        <v>.</v>
      </c>
      <c r="B6606" s="431" t="str">
        <f t="shared" si="103"/>
        <v>Varicose VeinCCG of GP PracticeNHS NORWICH CCG (06W)EQ VAS</v>
      </c>
      <c r="C6606" t="s">
        <v>17</v>
      </c>
      <c r="D6606" t="s">
        <v>87</v>
      </c>
      <c r="E6606" t="s">
        <v>770</v>
      </c>
      <c r="F6606" t="s">
        <v>771</v>
      </c>
      <c r="G6606" t="s">
        <v>179</v>
      </c>
      <c r="H6606">
        <v>41</v>
      </c>
      <c r="I6606">
        <v>81.975999999999999</v>
      </c>
      <c r="J6606">
        <v>82.072999999999993</v>
      </c>
      <c r="K6606">
        <v>9.8000000000000004E-2</v>
      </c>
      <c r="L6606">
        <v>15</v>
      </c>
      <c r="M6606">
        <v>10</v>
      </c>
      <c r="N6606">
        <v>16</v>
      </c>
      <c r="O6606">
        <v>79.682000000000002</v>
      </c>
      <c r="P6606">
        <v>0.71816665999999996</v>
      </c>
      <c r="Q6606">
        <v>7.9640000000000004</v>
      </c>
    </row>
    <row r="6607" spans="1:17" x14ac:dyDescent="0.2">
      <c r="A6607" s="30" t="str">
        <f>IF(C6607&amp;G6607&amp;D6607&lt;&gt;'Funnel setup'!$K$3&amp;'Funnel setup'!$K$4&amp;'Funnel setup'!$K$5,".",IF(A6606=".",1,A6606+1))</f>
        <v>.</v>
      </c>
      <c r="B6607" s="431" t="str">
        <f t="shared" si="103"/>
        <v>Varicose VeinCCG of GP PracticeNHS NOTTINGHAM CITY CCG (04K)EQ VAS</v>
      </c>
      <c r="C6607" t="s">
        <v>17</v>
      </c>
      <c r="D6607" t="s">
        <v>87</v>
      </c>
      <c r="E6607" t="s">
        <v>773</v>
      </c>
      <c r="F6607" t="s">
        <v>774</v>
      </c>
      <c r="G6607" t="s">
        <v>179</v>
      </c>
      <c r="H6607">
        <v>41</v>
      </c>
      <c r="I6607">
        <v>74.634</v>
      </c>
      <c r="J6607">
        <v>74.39</v>
      </c>
      <c r="K6607">
        <v>-0.24399999999999999</v>
      </c>
      <c r="L6607">
        <v>16</v>
      </c>
      <c r="M6607">
        <v>8</v>
      </c>
      <c r="N6607">
        <v>17</v>
      </c>
      <c r="O6607">
        <v>77.117000000000004</v>
      </c>
      <c r="P6607">
        <v>-1.8472219489999999</v>
      </c>
      <c r="Q6607">
        <v>11.673999999999999</v>
      </c>
    </row>
    <row r="6608" spans="1:17" x14ac:dyDescent="0.2">
      <c r="A6608" s="30" t="str">
        <f>IF(C6608&amp;G6608&amp;D6608&lt;&gt;'Funnel setup'!$K$3&amp;'Funnel setup'!$K$4&amp;'Funnel setup'!$K$5,".",IF(A6607=".",1,A6607+1))</f>
        <v>.</v>
      </c>
      <c r="B6608" s="431" t="str">
        <f t="shared" si="103"/>
        <v>Varicose VeinCCG of GP PracticeNHS NOTTINGHAM NORTH AND EAST CCG (04L)EQ VAS</v>
      </c>
      <c r="C6608" t="s">
        <v>17</v>
      </c>
      <c r="D6608" t="s">
        <v>87</v>
      </c>
      <c r="E6608" t="s">
        <v>776</v>
      </c>
      <c r="F6608" t="s">
        <v>777</v>
      </c>
      <c r="G6608" t="s">
        <v>179</v>
      </c>
      <c r="H6608">
        <v>25</v>
      </c>
      <c r="I6608">
        <v>80.239999999999995</v>
      </c>
      <c r="J6608">
        <v>82.32</v>
      </c>
      <c r="K6608">
        <v>2.08</v>
      </c>
      <c r="L6608">
        <v>11</v>
      </c>
      <c r="M6608">
        <v>7</v>
      </c>
      <c r="N6608">
        <v>7</v>
      </c>
      <c r="O6608" t="s">
        <v>53</v>
      </c>
      <c r="P6608" t="s">
        <v>53</v>
      </c>
      <c r="Q6608" t="s">
        <v>53</v>
      </c>
    </row>
    <row r="6609" spans="1:17" x14ac:dyDescent="0.2">
      <c r="A6609" s="30" t="str">
        <f>IF(C6609&amp;G6609&amp;D6609&lt;&gt;'Funnel setup'!$K$3&amp;'Funnel setup'!$K$4&amp;'Funnel setup'!$K$5,".",IF(A6608=".",1,A6608+1))</f>
        <v>.</v>
      </c>
      <c r="B6609" s="431" t="str">
        <f t="shared" si="103"/>
        <v>Varicose VeinCCG of GP PracticeNHS NOTTINGHAM WEST CCG (04M)EQ VAS</v>
      </c>
      <c r="C6609" t="s">
        <v>17</v>
      </c>
      <c r="D6609" t="s">
        <v>87</v>
      </c>
      <c r="E6609" t="s">
        <v>779</v>
      </c>
      <c r="F6609" t="s">
        <v>780</v>
      </c>
      <c r="G6609" t="s">
        <v>179</v>
      </c>
      <c r="H6609">
        <v>16</v>
      </c>
      <c r="I6609">
        <v>77.188000000000002</v>
      </c>
      <c r="J6609">
        <v>75.125</v>
      </c>
      <c r="K6609">
        <v>-2.0630000000000002</v>
      </c>
      <c r="L6609">
        <v>6</v>
      </c>
      <c r="M6609">
        <v>2</v>
      </c>
      <c r="N6609">
        <v>8</v>
      </c>
      <c r="O6609" t="s">
        <v>53</v>
      </c>
      <c r="P6609" t="s">
        <v>53</v>
      </c>
      <c r="Q6609" t="s">
        <v>53</v>
      </c>
    </row>
    <row r="6610" spans="1:17" x14ac:dyDescent="0.2">
      <c r="A6610" s="30" t="str">
        <f>IF(C6610&amp;G6610&amp;D6610&lt;&gt;'Funnel setup'!$K$3&amp;'Funnel setup'!$K$4&amp;'Funnel setup'!$K$5,".",IF(A6609=".",1,A6609+1))</f>
        <v>.</v>
      </c>
      <c r="B6610" s="431" t="str">
        <f t="shared" si="103"/>
        <v>Varicose VeinCCG of GP PracticeNHS OLDHAM CCG (00Y)EQ VAS</v>
      </c>
      <c r="C6610" t="s">
        <v>17</v>
      </c>
      <c r="D6610" t="s">
        <v>87</v>
      </c>
      <c r="E6610" t="s">
        <v>782</v>
      </c>
      <c r="F6610" t="s">
        <v>783</v>
      </c>
      <c r="G6610" t="s">
        <v>179</v>
      </c>
      <c r="H6610" t="s">
        <v>53</v>
      </c>
      <c r="I6610" t="s">
        <v>53</v>
      </c>
      <c r="J6610" t="s">
        <v>53</v>
      </c>
      <c r="K6610" t="s">
        <v>53</v>
      </c>
      <c r="L6610" t="s">
        <v>53</v>
      </c>
      <c r="M6610" t="s">
        <v>53</v>
      </c>
      <c r="N6610" t="s">
        <v>53</v>
      </c>
      <c r="O6610" t="s">
        <v>53</v>
      </c>
      <c r="P6610" t="s">
        <v>53</v>
      </c>
      <c r="Q6610" t="s">
        <v>53</v>
      </c>
    </row>
    <row r="6611" spans="1:17" x14ac:dyDescent="0.2">
      <c r="A6611" s="30" t="str">
        <f>IF(C6611&amp;G6611&amp;D6611&lt;&gt;'Funnel setup'!$K$3&amp;'Funnel setup'!$K$4&amp;'Funnel setup'!$K$5,".",IF(A6610=".",1,A6610+1))</f>
        <v>.</v>
      </c>
      <c r="B6611" s="431" t="str">
        <f t="shared" si="103"/>
        <v>Varicose VeinCCG of GP PracticeNHS OXFORDSHIRE CCG (10Q)EQ VAS</v>
      </c>
      <c r="C6611" t="s">
        <v>17</v>
      </c>
      <c r="D6611" t="s">
        <v>87</v>
      </c>
      <c r="E6611" t="s">
        <v>785</v>
      </c>
      <c r="F6611" t="s">
        <v>786</v>
      </c>
      <c r="G6611" t="s">
        <v>179</v>
      </c>
      <c r="H6611">
        <v>31</v>
      </c>
      <c r="I6611">
        <v>78.194000000000003</v>
      </c>
      <c r="J6611">
        <v>79.644999999999996</v>
      </c>
      <c r="K6611">
        <v>1.452</v>
      </c>
      <c r="L6611">
        <v>12</v>
      </c>
      <c r="M6611">
        <v>9</v>
      </c>
      <c r="N6611">
        <v>10</v>
      </c>
      <c r="O6611">
        <v>79.566000000000003</v>
      </c>
      <c r="P6611">
        <v>0.60230365200000002</v>
      </c>
      <c r="Q6611">
        <v>11.15</v>
      </c>
    </row>
    <row r="6612" spans="1:17" x14ac:dyDescent="0.2">
      <c r="A6612" s="30" t="str">
        <f>IF(C6612&amp;G6612&amp;D6612&lt;&gt;'Funnel setup'!$K$3&amp;'Funnel setup'!$K$4&amp;'Funnel setup'!$K$5,".",IF(A6611=".",1,A6611+1))</f>
        <v>.</v>
      </c>
      <c r="B6612" s="431" t="str">
        <f t="shared" si="103"/>
        <v>Varicose VeinCCG of GP PracticeNHS PORTSMOUTH CCG (10R)EQ VAS</v>
      </c>
      <c r="C6612" t="s">
        <v>17</v>
      </c>
      <c r="D6612" t="s">
        <v>87</v>
      </c>
      <c r="E6612" t="s">
        <v>788</v>
      </c>
      <c r="F6612" t="s">
        <v>789</v>
      </c>
      <c r="G6612" t="s">
        <v>179</v>
      </c>
      <c r="H6612" t="s">
        <v>53</v>
      </c>
      <c r="I6612" t="s">
        <v>53</v>
      </c>
      <c r="J6612" t="s">
        <v>53</v>
      </c>
      <c r="K6612" t="s">
        <v>53</v>
      </c>
      <c r="L6612" t="s">
        <v>53</v>
      </c>
      <c r="M6612" t="s">
        <v>53</v>
      </c>
      <c r="N6612" t="s">
        <v>53</v>
      </c>
      <c r="O6612" t="s">
        <v>53</v>
      </c>
      <c r="P6612" t="s">
        <v>53</v>
      </c>
      <c r="Q6612" t="s">
        <v>53</v>
      </c>
    </row>
    <row r="6613" spans="1:17" x14ac:dyDescent="0.2">
      <c r="A6613" s="30" t="str">
        <f>IF(C6613&amp;G6613&amp;D6613&lt;&gt;'Funnel setup'!$K$3&amp;'Funnel setup'!$K$4&amp;'Funnel setup'!$K$5,".",IF(A6612=".",1,A6612+1))</f>
        <v>.</v>
      </c>
      <c r="B6613" s="431" t="str">
        <f t="shared" si="103"/>
        <v>Varicose VeinCCG of GP PracticeNHS REDBRIDGE CCG (08N)EQ VAS</v>
      </c>
      <c r="C6613" t="s">
        <v>17</v>
      </c>
      <c r="D6613" t="s">
        <v>87</v>
      </c>
      <c r="E6613" t="s">
        <v>791</v>
      </c>
      <c r="F6613" t="s">
        <v>792</v>
      </c>
      <c r="G6613" t="s">
        <v>179</v>
      </c>
      <c r="H6613">
        <v>15</v>
      </c>
      <c r="I6613">
        <v>81</v>
      </c>
      <c r="J6613">
        <v>79.667000000000002</v>
      </c>
      <c r="K6613">
        <v>-1.333</v>
      </c>
      <c r="L6613">
        <v>5</v>
      </c>
      <c r="M6613">
        <v>5</v>
      </c>
      <c r="N6613">
        <v>5</v>
      </c>
      <c r="O6613" t="s">
        <v>53</v>
      </c>
      <c r="P6613" t="s">
        <v>53</v>
      </c>
      <c r="Q6613" t="s">
        <v>53</v>
      </c>
    </row>
    <row r="6614" spans="1:17" x14ac:dyDescent="0.2">
      <c r="A6614" s="30" t="str">
        <f>IF(C6614&amp;G6614&amp;D6614&lt;&gt;'Funnel setup'!$K$3&amp;'Funnel setup'!$K$4&amp;'Funnel setup'!$K$5,".",IF(A6613=".",1,A6613+1))</f>
        <v>.</v>
      </c>
      <c r="B6614" s="431" t="str">
        <f t="shared" si="103"/>
        <v>Varicose VeinCCG of GP PracticeNHS REDDITCH AND BROMSGROVE CCG (05J)EQ VAS</v>
      </c>
      <c r="C6614" t="s">
        <v>17</v>
      </c>
      <c r="D6614" t="s">
        <v>87</v>
      </c>
      <c r="E6614" t="s">
        <v>794</v>
      </c>
      <c r="F6614" t="s">
        <v>795</v>
      </c>
      <c r="G6614" t="s">
        <v>179</v>
      </c>
      <c r="H6614">
        <v>8</v>
      </c>
      <c r="I6614">
        <v>86.5</v>
      </c>
      <c r="J6614">
        <v>87.5</v>
      </c>
      <c r="K6614">
        <v>1</v>
      </c>
      <c r="L6614">
        <v>3</v>
      </c>
      <c r="M6614">
        <v>2</v>
      </c>
      <c r="N6614">
        <v>3</v>
      </c>
      <c r="O6614" t="s">
        <v>53</v>
      </c>
      <c r="P6614" t="s">
        <v>53</v>
      </c>
      <c r="Q6614" t="s">
        <v>53</v>
      </c>
    </row>
    <row r="6615" spans="1:17" x14ac:dyDescent="0.2">
      <c r="A6615" s="30" t="str">
        <f>IF(C6615&amp;G6615&amp;D6615&lt;&gt;'Funnel setup'!$K$3&amp;'Funnel setup'!$K$4&amp;'Funnel setup'!$K$5,".",IF(A6614=".",1,A6614+1))</f>
        <v>.</v>
      </c>
      <c r="B6615" s="431" t="str">
        <f t="shared" si="103"/>
        <v>Varicose VeinCCG of GP PracticeNHS RICHMOND CCG (08P)EQ VAS</v>
      </c>
      <c r="C6615" t="s">
        <v>17</v>
      </c>
      <c r="D6615" t="s">
        <v>87</v>
      </c>
      <c r="E6615" t="s">
        <v>797</v>
      </c>
      <c r="F6615" t="s">
        <v>798</v>
      </c>
      <c r="G6615" t="s">
        <v>179</v>
      </c>
      <c r="H6615">
        <v>14</v>
      </c>
      <c r="I6615">
        <v>74.786000000000001</v>
      </c>
      <c r="J6615">
        <v>73.713999999999999</v>
      </c>
      <c r="K6615">
        <v>-1.071</v>
      </c>
      <c r="L6615">
        <v>7</v>
      </c>
      <c r="M6615">
        <v>0</v>
      </c>
      <c r="N6615">
        <v>7</v>
      </c>
      <c r="O6615" t="s">
        <v>53</v>
      </c>
      <c r="P6615" t="s">
        <v>53</v>
      </c>
      <c r="Q6615" t="s">
        <v>53</v>
      </c>
    </row>
    <row r="6616" spans="1:17" x14ac:dyDescent="0.2">
      <c r="A6616" s="30" t="str">
        <f>IF(C6616&amp;G6616&amp;D6616&lt;&gt;'Funnel setup'!$K$3&amp;'Funnel setup'!$K$4&amp;'Funnel setup'!$K$5,".",IF(A6615=".",1,A6615+1))</f>
        <v>.</v>
      </c>
      <c r="B6616" s="431" t="str">
        <f t="shared" si="103"/>
        <v>Varicose VeinCCG of GP PracticeNHS ROTHERHAM CCG (03L)EQ VAS</v>
      </c>
      <c r="C6616" t="s">
        <v>17</v>
      </c>
      <c r="D6616" t="s">
        <v>87</v>
      </c>
      <c r="E6616" t="s">
        <v>800</v>
      </c>
      <c r="F6616" t="s">
        <v>801</v>
      </c>
      <c r="G6616" t="s">
        <v>179</v>
      </c>
      <c r="H6616">
        <v>52</v>
      </c>
      <c r="I6616">
        <v>82.519000000000005</v>
      </c>
      <c r="J6616">
        <v>81.5</v>
      </c>
      <c r="K6616">
        <v>-1.0189999999999999</v>
      </c>
      <c r="L6616">
        <v>17</v>
      </c>
      <c r="M6616">
        <v>15</v>
      </c>
      <c r="N6616">
        <v>20</v>
      </c>
      <c r="O6616">
        <v>79.849000000000004</v>
      </c>
      <c r="P6616">
        <v>0.88479155300000001</v>
      </c>
      <c r="Q6616">
        <v>12.891</v>
      </c>
    </row>
    <row r="6617" spans="1:17" x14ac:dyDescent="0.2">
      <c r="A6617" s="30" t="str">
        <f>IF(C6617&amp;G6617&amp;D6617&lt;&gt;'Funnel setup'!$K$3&amp;'Funnel setup'!$K$4&amp;'Funnel setup'!$K$5,".",IF(A6616=".",1,A6616+1))</f>
        <v>.</v>
      </c>
      <c r="B6617" s="431" t="str">
        <f t="shared" si="103"/>
        <v>Varicose VeinCCG of GP PracticeNHS RUSHCLIFFE CCG (04N)EQ VAS</v>
      </c>
      <c r="C6617" t="s">
        <v>17</v>
      </c>
      <c r="D6617" t="s">
        <v>87</v>
      </c>
      <c r="E6617" t="s">
        <v>803</v>
      </c>
      <c r="F6617" t="s">
        <v>804</v>
      </c>
      <c r="G6617" t="s">
        <v>179</v>
      </c>
      <c r="H6617">
        <v>28</v>
      </c>
      <c r="I6617">
        <v>81.429000000000002</v>
      </c>
      <c r="J6617">
        <v>78.786000000000001</v>
      </c>
      <c r="K6617">
        <v>-2.6429999999999998</v>
      </c>
      <c r="L6617">
        <v>8</v>
      </c>
      <c r="M6617">
        <v>8</v>
      </c>
      <c r="N6617">
        <v>12</v>
      </c>
      <c r="O6617" t="s">
        <v>53</v>
      </c>
      <c r="P6617" t="s">
        <v>53</v>
      </c>
      <c r="Q6617" t="s">
        <v>53</v>
      </c>
    </row>
    <row r="6618" spans="1:17" x14ac:dyDescent="0.2">
      <c r="A6618" s="30" t="str">
        <f>IF(C6618&amp;G6618&amp;D6618&lt;&gt;'Funnel setup'!$K$3&amp;'Funnel setup'!$K$4&amp;'Funnel setup'!$K$5,".",IF(A6617=".",1,A6617+1))</f>
        <v>.</v>
      </c>
      <c r="B6618" s="431" t="str">
        <f t="shared" si="103"/>
        <v>Varicose VeinCCG of GP PracticeNHS SALFORD CCG (01G)EQ VAS</v>
      </c>
      <c r="C6618" t="s">
        <v>17</v>
      </c>
      <c r="D6618" t="s">
        <v>87</v>
      </c>
      <c r="E6618" t="s">
        <v>806</v>
      </c>
      <c r="F6618" t="s">
        <v>807</v>
      </c>
      <c r="G6618" t="s">
        <v>179</v>
      </c>
      <c r="H6618">
        <v>7</v>
      </c>
      <c r="I6618">
        <v>81.856999999999999</v>
      </c>
      <c r="J6618">
        <v>73.713999999999999</v>
      </c>
      <c r="K6618">
        <v>-8.1430000000000007</v>
      </c>
      <c r="L6618">
        <v>2</v>
      </c>
      <c r="M6618">
        <v>0</v>
      </c>
      <c r="N6618">
        <v>5</v>
      </c>
      <c r="O6618" t="s">
        <v>53</v>
      </c>
      <c r="P6618" t="s">
        <v>53</v>
      </c>
      <c r="Q6618" t="s">
        <v>53</v>
      </c>
    </row>
    <row r="6619" spans="1:17" x14ac:dyDescent="0.2">
      <c r="A6619" s="30" t="str">
        <f>IF(C6619&amp;G6619&amp;D6619&lt;&gt;'Funnel setup'!$K$3&amp;'Funnel setup'!$K$4&amp;'Funnel setup'!$K$5,".",IF(A6618=".",1,A6618+1))</f>
        <v>.</v>
      </c>
      <c r="B6619" s="431" t="str">
        <f t="shared" si="103"/>
        <v>Varicose VeinCCG of GP PracticeNHS SANDWELL AND WEST BIRMINGHAM CCG (05L)EQ VAS</v>
      </c>
      <c r="C6619" t="s">
        <v>17</v>
      </c>
      <c r="D6619" t="s">
        <v>87</v>
      </c>
      <c r="E6619" t="s">
        <v>809</v>
      </c>
      <c r="F6619" t="s">
        <v>810</v>
      </c>
      <c r="G6619" t="s">
        <v>179</v>
      </c>
      <c r="H6619">
        <v>116</v>
      </c>
      <c r="I6619">
        <v>77.861999999999995</v>
      </c>
      <c r="J6619">
        <v>75.474000000000004</v>
      </c>
      <c r="K6619">
        <v>-2.3879999999999999</v>
      </c>
      <c r="L6619">
        <v>46</v>
      </c>
      <c r="M6619">
        <v>17</v>
      </c>
      <c r="N6619">
        <v>53</v>
      </c>
      <c r="O6619">
        <v>77.363</v>
      </c>
      <c r="P6619">
        <v>-1.6010891599999999</v>
      </c>
      <c r="Q6619">
        <v>16.018000000000001</v>
      </c>
    </row>
    <row r="6620" spans="1:17" x14ac:dyDescent="0.2">
      <c r="A6620" s="30" t="str">
        <f>IF(C6620&amp;G6620&amp;D6620&lt;&gt;'Funnel setup'!$K$3&amp;'Funnel setup'!$K$4&amp;'Funnel setup'!$K$5,".",IF(A6619=".",1,A6619+1))</f>
        <v>.</v>
      </c>
      <c r="B6620" s="431" t="str">
        <f t="shared" si="103"/>
        <v>Varicose VeinCCG of GP PracticeNHS SCARBOROUGH AND RYEDALE CCG (03M)EQ VAS</v>
      </c>
      <c r="C6620" t="s">
        <v>17</v>
      </c>
      <c r="D6620" t="s">
        <v>87</v>
      </c>
      <c r="E6620" t="s">
        <v>812</v>
      </c>
      <c r="F6620" t="s">
        <v>813</v>
      </c>
      <c r="G6620" t="s">
        <v>179</v>
      </c>
      <c r="H6620">
        <v>26</v>
      </c>
      <c r="I6620">
        <v>80.537999999999997</v>
      </c>
      <c r="J6620">
        <v>81.230999999999995</v>
      </c>
      <c r="K6620">
        <v>0.69199999999999995</v>
      </c>
      <c r="L6620">
        <v>12</v>
      </c>
      <c r="M6620">
        <v>6</v>
      </c>
      <c r="N6620">
        <v>8</v>
      </c>
      <c r="O6620" t="s">
        <v>53</v>
      </c>
      <c r="P6620" t="s">
        <v>53</v>
      </c>
      <c r="Q6620" t="s">
        <v>53</v>
      </c>
    </row>
    <row r="6621" spans="1:17" x14ac:dyDescent="0.2">
      <c r="A6621" s="30" t="str">
        <f>IF(C6621&amp;G6621&amp;D6621&lt;&gt;'Funnel setup'!$K$3&amp;'Funnel setup'!$K$4&amp;'Funnel setup'!$K$5,".",IF(A6620=".",1,A6620+1))</f>
        <v>.</v>
      </c>
      <c r="B6621" s="431" t="str">
        <f t="shared" si="103"/>
        <v>Varicose VeinCCG of GP PracticeNHS SHEFFIELD CCG (03N)EQ VAS</v>
      </c>
      <c r="C6621" t="s">
        <v>17</v>
      </c>
      <c r="D6621" t="s">
        <v>87</v>
      </c>
      <c r="E6621" t="s">
        <v>815</v>
      </c>
      <c r="F6621" t="s">
        <v>816</v>
      </c>
      <c r="G6621" t="s">
        <v>179</v>
      </c>
      <c r="H6621">
        <v>73</v>
      </c>
      <c r="I6621">
        <v>81.753</v>
      </c>
      <c r="J6621">
        <v>80.247</v>
      </c>
      <c r="K6621">
        <v>-1.5069999999999999</v>
      </c>
      <c r="L6621">
        <v>24</v>
      </c>
      <c r="M6621">
        <v>15</v>
      </c>
      <c r="N6621">
        <v>34</v>
      </c>
      <c r="O6621">
        <v>79.671999999999997</v>
      </c>
      <c r="P6621">
        <v>0.70753544999999995</v>
      </c>
      <c r="Q6621">
        <v>11.474</v>
      </c>
    </row>
    <row r="6622" spans="1:17" x14ac:dyDescent="0.2">
      <c r="A6622" s="30" t="str">
        <f>IF(C6622&amp;G6622&amp;D6622&lt;&gt;'Funnel setup'!$K$3&amp;'Funnel setup'!$K$4&amp;'Funnel setup'!$K$5,".",IF(A6621=".",1,A6621+1))</f>
        <v>.</v>
      </c>
      <c r="B6622" s="431" t="str">
        <f t="shared" si="103"/>
        <v>Varicose VeinCCG of GP PracticeNHS SHROPSHIRE CCG (05N)EQ VAS</v>
      </c>
      <c r="C6622" t="s">
        <v>17</v>
      </c>
      <c r="D6622" t="s">
        <v>87</v>
      </c>
      <c r="E6622" t="s">
        <v>818</v>
      </c>
      <c r="F6622" t="s">
        <v>819</v>
      </c>
      <c r="G6622" t="s">
        <v>179</v>
      </c>
      <c r="H6622">
        <v>29</v>
      </c>
      <c r="I6622">
        <v>81.414000000000001</v>
      </c>
      <c r="J6622">
        <v>81.206999999999994</v>
      </c>
      <c r="K6622">
        <v>-0.20699999999999999</v>
      </c>
      <c r="L6622">
        <v>10</v>
      </c>
      <c r="M6622">
        <v>5</v>
      </c>
      <c r="N6622">
        <v>14</v>
      </c>
      <c r="O6622" t="s">
        <v>53</v>
      </c>
      <c r="P6622" t="s">
        <v>53</v>
      </c>
      <c r="Q6622" t="s">
        <v>53</v>
      </c>
    </row>
    <row r="6623" spans="1:17" x14ac:dyDescent="0.2">
      <c r="A6623" s="30" t="str">
        <f>IF(C6623&amp;G6623&amp;D6623&lt;&gt;'Funnel setup'!$K$3&amp;'Funnel setup'!$K$4&amp;'Funnel setup'!$K$5,".",IF(A6622=".",1,A6622+1))</f>
        <v>.</v>
      </c>
      <c r="B6623" s="431" t="str">
        <f t="shared" si="103"/>
        <v>Varicose VeinCCG of GP PracticeNHS SOLIHULL CCG (05P)EQ VAS</v>
      </c>
      <c r="C6623" t="s">
        <v>17</v>
      </c>
      <c r="D6623" t="s">
        <v>87</v>
      </c>
      <c r="E6623" t="s">
        <v>824</v>
      </c>
      <c r="F6623" t="s">
        <v>825</v>
      </c>
      <c r="G6623" t="s">
        <v>179</v>
      </c>
      <c r="H6623">
        <v>52</v>
      </c>
      <c r="I6623">
        <v>81.653999999999996</v>
      </c>
      <c r="J6623">
        <v>82.980999999999995</v>
      </c>
      <c r="K6623">
        <v>1.327</v>
      </c>
      <c r="L6623">
        <v>28</v>
      </c>
      <c r="M6623">
        <v>10</v>
      </c>
      <c r="N6623">
        <v>14</v>
      </c>
      <c r="O6623">
        <v>81.058000000000007</v>
      </c>
      <c r="P6623">
        <v>2.0942733310000001</v>
      </c>
      <c r="Q6623">
        <v>11.914999999999999</v>
      </c>
    </row>
    <row r="6624" spans="1:17" x14ac:dyDescent="0.2">
      <c r="A6624" s="30" t="str">
        <f>IF(C6624&amp;G6624&amp;D6624&lt;&gt;'Funnel setup'!$K$3&amp;'Funnel setup'!$K$4&amp;'Funnel setup'!$K$5,".",IF(A6623=".",1,A6623+1))</f>
        <v>.</v>
      </c>
      <c r="B6624" s="431" t="str">
        <f t="shared" si="103"/>
        <v>Varicose VeinCCG of GP PracticeNHS SOMERSET CCG (11X)EQ VAS</v>
      </c>
      <c r="C6624" t="s">
        <v>17</v>
      </c>
      <c r="D6624" t="s">
        <v>87</v>
      </c>
      <c r="E6624" t="s">
        <v>827</v>
      </c>
      <c r="F6624" t="s">
        <v>828</v>
      </c>
      <c r="G6624" t="s">
        <v>179</v>
      </c>
      <c r="H6624">
        <v>76</v>
      </c>
      <c r="I6624">
        <v>77.263000000000005</v>
      </c>
      <c r="J6624">
        <v>77.644999999999996</v>
      </c>
      <c r="K6624">
        <v>0.38200000000000001</v>
      </c>
      <c r="L6624">
        <v>34</v>
      </c>
      <c r="M6624">
        <v>15</v>
      </c>
      <c r="N6624">
        <v>27</v>
      </c>
      <c r="O6624">
        <v>79.399000000000001</v>
      </c>
      <c r="P6624">
        <v>0.43534244900000002</v>
      </c>
      <c r="Q6624">
        <v>13.301</v>
      </c>
    </row>
    <row r="6625" spans="1:17" x14ac:dyDescent="0.2">
      <c r="A6625" s="30" t="str">
        <f>IF(C6625&amp;G6625&amp;D6625&lt;&gt;'Funnel setup'!$K$3&amp;'Funnel setup'!$K$4&amp;'Funnel setup'!$K$5,".",IF(A6624=".",1,A6624+1))</f>
        <v>.</v>
      </c>
      <c r="B6625" s="431" t="str">
        <f t="shared" si="103"/>
        <v>Varicose VeinCCG of GP PracticeNHS SOUTH CHESHIRE CCG (01R)EQ VAS</v>
      </c>
      <c r="C6625" t="s">
        <v>17</v>
      </c>
      <c r="D6625" t="s">
        <v>87</v>
      </c>
      <c r="E6625" t="s">
        <v>830</v>
      </c>
      <c r="F6625" t="s">
        <v>831</v>
      </c>
      <c r="G6625" t="s">
        <v>179</v>
      </c>
      <c r="H6625">
        <v>8</v>
      </c>
      <c r="I6625">
        <v>74.375</v>
      </c>
      <c r="J6625">
        <v>83.125</v>
      </c>
      <c r="K6625">
        <v>8.75</v>
      </c>
      <c r="L6625">
        <v>5</v>
      </c>
      <c r="M6625">
        <v>3</v>
      </c>
      <c r="N6625">
        <v>0</v>
      </c>
      <c r="O6625" t="s">
        <v>53</v>
      </c>
      <c r="P6625" t="s">
        <v>53</v>
      </c>
      <c r="Q6625" t="s">
        <v>53</v>
      </c>
    </row>
    <row r="6626" spans="1:17" x14ac:dyDescent="0.2">
      <c r="A6626" s="30" t="str">
        <f>IF(C6626&amp;G6626&amp;D6626&lt;&gt;'Funnel setup'!$K$3&amp;'Funnel setup'!$K$4&amp;'Funnel setup'!$K$5,".",IF(A6625=".",1,A6625+1))</f>
        <v>.</v>
      </c>
      <c r="B6626" s="431" t="str">
        <f t="shared" si="103"/>
        <v>Varicose VeinCCG of GP PracticeNHS SOUTH DEVON AND TORBAY CCG (99Q)EQ VAS</v>
      </c>
      <c r="C6626" t="s">
        <v>17</v>
      </c>
      <c r="D6626" t="s">
        <v>87</v>
      </c>
      <c r="E6626" t="s">
        <v>833</v>
      </c>
      <c r="F6626" t="s">
        <v>834</v>
      </c>
      <c r="G6626" t="s">
        <v>179</v>
      </c>
      <c r="H6626">
        <v>7</v>
      </c>
      <c r="I6626">
        <v>66.429000000000002</v>
      </c>
      <c r="J6626">
        <v>80.570999999999998</v>
      </c>
      <c r="K6626">
        <v>14.143000000000001</v>
      </c>
      <c r="L6626">
        <v>6</v>
      </c>
      <c r="M6626">
        <v>0</v>
      </c>
      <c r="N6626">
        <v>1</v>
      </c>
      <c r="O6626" t="s">
        <v>53</v>
      </c>
      <c r="P6626" t="s">
        <v>53</v>
      </c>
      <c r="Q6626" t="s">
        <v>53</v>
      </c>
    </row>
    <row r="6627" spans="1:17" x14ac:dyDescent="0.2">
      <c r="A6627" s="30" t="str">
        <f>IF(C6627&amp;G6627&amp;D6627&lt;&gt;'Funnel setup'!$K$3&amp;'Funnel setup'!$K$4&amp;'Funnel setup'!$K$5,".",IF(A6626=".",1,A6626+1))</f>
        <v>.</v>
      </c>
      <c r="B6627" s="431" t="str">
        <f t="shared" si="103"/>
        <v>Varicose VeinCCG of GP PracticeNHS SOUTH EAST STAFFORDSHIRE AND SEISDON PENINSULA CCG (05Q)EQ VAS</v>
      </c>
      <c r="C6627" t="s">
        <v>17</v>
      </c>
      <c r="D6627" t="s">
        <v>87</v>
      </c>
      <c r="E6627" t="s">
        <v>836</v>
      </c>
      <c r="F6627" t="s">
        <v>837</v>
      </c>
      <c r="G6627" t="s">
        <v>179</v>
      </c>
      <c r="H6627">
        <v>35</v>
      </c>
      <c r="I6627">
        <v>78.400000000000006</v>
      </c>
      <c r="J6627">
        <v>81.171000000000006</v>
      </c>
      <c r="K6627">
        <v>2.7709999999999999</v>
      </c>
      <c r="L6627">
        <v>18</v>
      </c>
      <c r="M6627">
        <v>6</v>
      </c>
      <c r="N6627">
        <v>11</v>
      </c>
      <c r="O6627">
        <v>81.116</v>
      </c>
      <c r="P6627">
        <v>2.1518912910000001</v>
      </c>
      <c r="Q6627">
        <v>12.109</v>
      </c>
    </row>
    <row r="6628" spans="1:17" x14ac:dyDescent="0.2">
      <c r="A6628" s="30" t="str">
        <f>IF(C6628&amp;G6628&amp;D6628&lt;&gt;'Funnel setup'!$K$3&amp;'Funnel setup'!$K$4&amp;'Funnel setup'!$K$5,".",IF(A6627=".",1,A6627+1))</f>
        <v>.</v>
      </c>
      <c r="B6628" s="431" t="str">
        <f t="shared" si="103"/>
        <v>Varicose VeinCCG of GP PracticeNHS SOUTH EASTERN HAMPSHIRE CCG (10V)EQ VAS</v>
      </c>
      <c r="C6628" t="s">
        <v>17</v>
      </c>
      <c r="D6628" t="s">
        <v>87</v>
      </c>
      <c r="E6628" t="s">
        <v>839</v>
      </c>
      <c r="F6628" t="s">
        <v>840</v>
      </c>
      <c r="G6628" t="s">
        <v>179</v>
      </c>
      <c r="H6628" t="s">
        <v>53</v>
      </c>
      <c r="I6628" t="s">
        <v>53</v>
      </c>
      <c r="J6628" t="s">
        <v>53</v>
      </c>
      <c r="K6628" t="s">
        <v>53</v>
      </c>
      <c r="L6628" t="s">
        <v>53</v>
      </c>
      <c r="M6628" t="s">
        <v>53</v>
      </c>
      <c r="N6628" t="s">
        <v>53</v>
      </c>
      <c r="O6628" t="s">
        <v>53</v>
      </c>
      <c r="P6628" t="s">
        <v>53</v>
      </c>
      <c r="Q6628" t="s">
        <v>53</v>
      </c>
    </row>
    <row r="6629" spans="1:17" x14ac:dyDescent="0.2">
      <c r="A6629" s="30" t="str">
        <f>IF(C6629&amp;G6629&amp;D6629&lt;&gt;'Funnel setup'!$K$3&amp;'Funnel setup'!$K$4&amp;'Funnel setup'!$K$5,".",IF(A6628=".",1,A6628+1))</f>
        <v>.</v>
      </c>
      <c r="B6629" s="431" t="str">
        <f t="shared" si="103"/>
        <v>Varicose VeinCCG of GP PracticeNHS SOUTH GLOUCESTERSHIRE CCG (12A)EQ VAS</v>
      </c>
      <c r="C6629" t="s">
        <v>17</v>
      </c>
      <c r="D6629" t="s">
        <v>87</v>
      </c>
      <c r="E6629" t="s">
        <v>842</v>
      </c>
      <c r="F6629" t="s">
        <v>843</v>
      </c>
      <c r="G6629" t="s">
        <v>179</v>
      </c>
      <c r="H6629">
        <v>16</v>
      </c>
      <c r="I6629">
        <v>78.188000000000002</v>
      </c>
      <c r="J6629">
        <v>78.563000000000002</v>
      </c>
      <c r="K6629">
        <v>0.375</v>
      </c>
      <c r="L6629">
        <v>9</v>
      </c>
      <c r="M6629">
        <v>2</v>
      </c>
      <c r="N6629">
        <v>5</v>
      </c>
      <c r="O6629" t="s">
        <v>53</v>
      </c>
      <c r="P6629" t="s">
        <v>53</v>
      </c>
      <c r="Q6629" t="s">
        <v>53</v>
      </c>
    </row>
    <row r="6630" spans="1:17" x14ac:dyDescent="0.2">
      <c r="A6630" s="30" t="str">
        <f>IF(C6630&amp;G6630&amp;D6630&lt;&gt;'Funnel setup'!$K$3&amp;'Funnel setup'!$K$4&amp;'Funnel setup'!$K$5,".",IF(A6629=".",1,A6629+1))</f>
        <v>.</v>
      </c>
      <c r="B6630" s="431" t="str">
        <f t="shared" si="103"/>
        <v>Varicose VeinCCG of GP PracticeNHS SOUTH LINCOLNSHIRE CCG (99D)EQ VAS</v>
      </c>
      <c r="C6630" t="s">
        <v>17</v>
      </c>
      <c r="D6630" t="s">
        <v>87</v>
      </c>
      <c r="E6630" t="s">
        <v>848</v>
      </c>
      <c r="F6630" t="s">
        <v>849</v>
      </c>
      <c r="G6630" t="s">
        <v>179</v>
      </c>
      <c r="H6630">
        <v>13</v>
      </c>
      <c r="I6630">
        <v>77.537999999999997</v>
      </c>
      <c r="J6630">
        <v>77</v>
      </c>
      <c r="K6630">
        <v>-0.53800000000000003</v>
      </c>
      <c r="L6630">
        <v>7</v>
      </c>
      <c r="M6630">
        <v>1</v>
      </c>
      <c r="N6630">
        <v>5</v>
      </c>
      <c r="O6630" t="s">
        <v>53</v>
      </c>
      <c r="P6630" t="s">
        <v>53</v>
      </c>
      <c r="Q6630" t="s">
        <v>53</v>
      </c>
    </row>
    <row r="6631" spans="1:17" x14ac:dyDescent="0.2">
      <c r="A6631" s="30" t="str">
        <f>IF(C6631&amp;G6631&amp;D6631&lt;&gt;'Funnel setup'!$K$3&amp;'Funnel setup'!$K$4&amp;'Funnel setup'!$K$5,".",IF(A6630=".",1,A6630+1))</f>
        <v>.</v>
      </c>
      <c r="B6631" s="431" t="str">
        <f t="shared" si="103"/>
        <v>Varicose VeinCCG of GP PracticeNHS SOUTH MANCHESTER CCG (01N)EQ VAS</v>
      </c>
      <c r="C6631" t="s">
        <v>17</v>
      </c>
      <c r="D6631" t="s">
        <v>87</v>
      </c>
      <c r="E6631" t="s">
        <v>851</v>
      </c>
      <c r="F6631" t="s">
        <v>852</v>
      </c>
      <c r="G6631" t="s">
        <v>179</v>
      </c>
      <c r="H6631">
        <v>16</v>
      </c>
      <c r="I6631">
        <v>75.688000000000002</v>
      </c>
      <c r="J6631">
        <v>73.063000000000002</v>
      </c>
      <c r="K6631">
        <v>-2.625</v>
      </c>
      <c r="L6631">
        <v>7</v>
      </c>
      <c r="M6631">
        <v>2</v>
      </c>
      <c r="N6631">
        <v>7</v>
      </c>
      <c r="O6631" t="s">
        <v>53</v>
      </c>
      <c r="P6631" t="s">
        <v>53</v>
      </c>
      <c r="Q6631" t="s">
        <v>53</v>
      </c>
    </row>
    <row r="6632" spans="1:17" x14ac:dyDescent="0.2">
      <c r="A6632" s="30" t="str">
        <f>IF(C6632&amp;G6632&amp;D6632&lt;&gt;'Funnel setup'!$K$3&amp;'Funnel setup'!$K$4&amp;'Funnel setup'!$K$5,".",IF(A6631=".",1,A6631+1))</f>
        <v>.</v>
      </c>
      <c r="B6632" s="431" t="str">
        <f t="shared" si="103"/>
        <v>Varicose VeinCCG of GP PracticeNHS SOUTH NORFOLK CCG (06Y)EQ VAS</v>
      </c>
      <c r="C6632" t="s">
        <v>17</v>
      </c>
      <c r="D6632" t="s">
        <v>87</v>
      </c>
      <c r="E6632" t="s">
        <v>932</v>
      </c>
      <c r="F6632" t="s">
        <v>933</v>
      </c>
      <c r="G6632" t="s">
        <v>179</v>
      </c>
      <c r="H6632">
        <v>36</v>
      </c>
      <c r="I6632">
        <v>82.471999999999994</v>
      </c>
      <c r="J6632">
        <v>81.25</v>
      </c>
      <c r="K6632">
        <v>-1.222</v>
      </c>
      <c r="L6632">
        <v>15</v>
      </c>
      <c r="M6632">
        <v>4</v>
      </c>
      <c r="N6632">
        <v>17</v>
      </c>
      <c r="O6632">
        <v>77.055000000000007</v>
      </c>
      <c r="P6632">
        <v>-1.909327615</v>
      </c>
      <c r="Q6632">
        <v>13.673</v>
      </c>
    </row>
    <row r="6633" spans="1:17" x14ac:dyDescent="0.2">
      <c r="A6633" s="30" t="str">
        <f>IF(C6633&amp;G6633&amp;D6633&lt;&gt;'Funnel setup'!$K$3&amp;'Funnel setup'!$K$4&amp;'Funnel setup'!$K$5,".",IF(A6632=".",1,A6632+1))</f>
        <v>.</v>
      </c>
      <c r="B6633" s="431" t="str">
        <f t="shared" si="103"/>
        <v>Varicose VeinCCG of GP PracticeNHS SOUTH READING CCG (10W)EQ VAS</v>
      </c>
      <c r="C6633" t="s">
        <v>17</v>
      </c>
      <c r="D6633" t="s">
        <v>87</v>
      </c>
      <c r="E6633" t="s">
        <v>935</v>
      </c>
      <c r="F6633" t="s">
        <v>936</v>
      </c>
      <c r="G6633" t="s">
        <v>179</v>
      </c>
      <c r="H6633" t="s">
        <v>53</v>
      </c>
      <c r="I6633" t="s">
        <v>53</v>
      </c>
      <c r="J6633" t="s">
        <v>53</v>
      </c>
      <c r="K6633" t="s">
        <v>53</v>
      </c>
      <c r="L6633" t="s">
        <v>53</v>
      </c>
      <c r="M6633" t="s">
        <v>53</v>
      </c>
      <c r="N6633" t="s">
        <v>53</v>
      </c>
      <c r="O6633" t="s">
        <v>53</v>
      </c>
      <c r="P6633" t="s">
        <v>53</v>
      </c>
      <c r="Q6633" t="s">
        <v>53</v>
      </c>
    </row>
    <row r="6634" spans="1:17" x14ac:dyDescent="0.2">
      <c r="A6634" s="30" t="str">
        <f>IF(C6634&amp;G6634&amp;D6634&lt;&gt;'Funnel setup'!$K$3&amp;'Funnel setup'!$K$4&amp;'Funnel setup'!$K$5,".",IF(A6633=".",1,A6633+1))</f>
        <v>.</v>
      </c>
      <c r="B6634" s="431" t="str">
        <f t="shared" si="103"/>
        <v>Varicose VeinCCG of GP PracticeNHS SOUTH SEFTON CCG (01T)EQ VAS</v>
      </c>
      <c r="C6634" t="s">
        <v>17</v>
      </c>
      <c r="D6634" t="s">
        <v>87</v>
      </c>
      <c r="E6634" t="s">
        <v>938</v>
      </c>
      <c r="F6634" t="s">
        <v>939</v>
      </c>
      <c r="G6634" t="s">
        <v>179</v>
      </c>
      <c r="H6634">
        <v>11</v>
      </c>
      <c r="I6634">
        <v>77</v>
      </c>
      <c r="J6634">
        <v>77.635999999999996</v>
      </c>
      <c r="K6634">
        <v>0.63600000000000001</v>
      </c>
      <c r="L6634">
        <v>3</v>
      </c>
      <c r="M6634">
        <v>4</v>
      </c>
      <c r="N6634">
        <v>4</v>
      </c>
      <c r="O6634" t="s">
        <v>53</v>
      </c>
      <c r="P6634" t="s">
        <v>53</v>
      </c>
      <c r="Q6634" t="s">
        <v>53</v>
      </c>
    </row>
    <row r="6635" spans="1:17" x14ac:dyDescent="0.2">
      <c r="A6635" s="30" t="str">
        <f>IF(C6635&amp;G6635&amp;D6635&lt;&gt;'Funnel setup'!$K$3&amp;'Funnel setup'!$K$4&amp;'Funnel setup'!$K$5,".",IF(A6634=".",1,A6634+1))</f>
        <v>.</v>
      </c>
      <c r="B6635" s="431" t="str">
        <f t="shared" si="103"/>
        <v>Varicose VeinCCG of GP PracticeNHS SOUTH TEES CCG (00M)EQ VAS</v>
      </c>
      <c r="C6635" t="s">
        <v>17</v>
      </c>
      <c r="D6635" t="s">
        <v>87</v>
      </c>
      <c r="E6635" t="s">
        <v>941</v>
      </c>
      <c r="F6635" t="s">
        <v>942</v>
      </c>
      <c r="G6635" t="s">
        <v>179</v>
      </c>
      <c r="H6635">
        <v>24</v>
      </c>
      <c r="I6635">
        <v>77.707999999999998</v>
      </c>
      <c r="J6635">
        <v>78.75</v>
      </c>
      <c r="K6635">
        <v>1.042</v>
      </c>
      <c r="L6635">
        <v>12</v>
      </c>
      <c r="M6635">
        <v>6</v>
      </c>
      <c r="N6635">
        <v>6</v>
      </c>
      <c r="O6635" t="s">
        <v>53</v>
      </c>
      <c r="P6635" t="s">
        <v>53</v>
      </c>
      <c r="Q6635" t="s">
        <v>53</v>
      </c>
    </row>
    <row r="6636" spans="1:17" x14ac:dyDescent="0.2">
      <c r="A6636" s="30" t="str">
        <f>IF(C6636&amp;G6636&amp;D6636&lt;&gt;'Funnel setup'!$K$3&amp;'Funnel setup'!$K$4&amp;'Funnel setup'!$K$5,".",IF(A6635=".",1,A6635+1))</f>
        <v>.</v>
      </c>
      <c r="B6636" s="431" t="str">
        <f t="shared" si="103"/>
        <v>Varicose VeinCCG of GP PracticeNHS SOUTH TYNESIDE CCG (00N)EQ VAS</v>
      </c>
      <c r="C6636" t="s">
        <v>17</v>
      </c>
      <c r="D6636" t="s">
        <v>87</v>
      </c>
      <c r="E6636" t="s">
        <v>1016</v>
      </c>
      <c r="F6636" t="s">
        <v>1017</v>
      </c>
      <c r="G6636" t="s">
        <v>179</v>
      </c>
      <c r="H6636">
        <v>102</v>
      </c>
      <c r="I6636">
        <v>77.52</v>
      </c>
      <c r="J6636">
        <v>76.989999999999995</v>
      </c>
      <c r="K6636">
        <v>-0.52900000000000003</v>
      </c>
      <c r="L6636">
        <v>39</v>
      </c>
      <c r="M6636">
        <v>19</v>
      </c>
      <c r="N6636">
        <v>44</v>
      </c>
      <c r="O6636">
        <v>78.162000000000006</v>
      </c>
      <c r="P6636">
        <v>-0.80209662100000001</v>
      </c>
      <c r="Q6636">
        <v>12.006</v>
      </c>
    </row>
    <row r="6637" spans="1:17" x14ac:dyDescent="0.2">
      <c r="A6637" s="30" t="str">
        <f>IF(C6637&amp;G6637&amp;D6637&lt;&gt;'Funnel setup'!$K$3&amp;'Funnel setup'!$K$4&amp;'Funnel setup'!$K$5,".",IF(A6636=".",1,A6636+1))</f>
        <v>.</v>
      </c>
      <c r="B6637" s="431" t="str">
        <f t="shared" si="103"/>
        <v>Varicose VeinCCG of GP PracticeNHS SOUTH WARWICKSHIRE CCG (05R)EQ VAS</v>
      </c>
      <c r="C6637" t="s">
        <v>17</v>
      </c>
      <c r="D6637" t="s">
        <v>87</v>
      </c>
      <c r="E6637" t="s">
        <v>944</v>
      </c>
      <c r="F6637" t="s">
        <v>945</v>
      </c>
      <c r="G6637" t="s">
        <v>179</v>
      </c>
      <c r="H6637">
        <v>32</v>
      </c>
      <c r="I6637">
        <v>80.625</v>
      </c>
      <c r="J6637">
        <v>79.468999999999994</v>
      </c>
      <c r="K6637">
        <v>-1.1559999999999999</v>
      </c>
      <c r="L6637">
        <v>14</v>
      </c>
      <c r="M6637">
        <v>6</v>
      </c>
      <c r="N6637">
        <v>12</v>
      </c>
      <c r="O6637">
        <v>78.581999999999994</v>
      </c>
      <c r="P6637">
        <v>-0.3823935</v>
      </c>
      <c r="Q6637">
        <v>9.6880000000000006</v>
      </c>
    </row>
    <row r="6638" spans="1:17" x14ac:dyDescent="0.2">
      <c r="A6638" s="30" t="str">
        <f>IF(C6638&amp;G6638&amp;D6638&lt;&gt;'Funnel setup'!$K$3&amp;'Funnel setup'!$K$4&amp;'Funnel setup'!$K$5,".",IF(A6637=".",1,A6637+1))</f>
        <v>.</v>
      </c>
      <c r="B6638" s="431" t="str">
        <f t="shared" si="103"/>
        <v>Varicose VeinCCG of GP PracticeNHS SOUTH WEST LINCOLNSHIRE CCG (04Q)EQ VAS</v>
      </c>
      <c r="C6638" t="s">
        <v>17</v>
      </c>
      <c r="D6638" t="s">
        <v>87</v>
      </c>
      <c r="E6638" t="s">
        <v>947</v>
      </c>
      <c r="F6638" t="s">
        <v>948</v>
      </c>
      <c r="G6638" t="s">
        <v>179</v>
      </c>
      <c r="H6638">
        <v>15</v>
      </c>
      <c r="I6638">
        <v>82.533000000000001</v>
      </c>
      <c r="J6638">
        <v>75.533000000000001</v>
      </c>
      <c r="K6638">
        <v>-7</v>
      </c>
      <c r="L6638">
        <v>3</v>
      </c>
      <c r="M6638">
        <v>4</v>
      </c>
      <c r="N6638">
        <v>8</v>
      </c>
      <c r="O6638" t="s">
        <v>53</v>
      </c>
      <c r="P6638" t="s">
        <v>53</v>
      </c>
      <c r="Q6638" t="s">
        <v>53</v>
      </c>
    </row>
    <row r="6639" spans="1:17" x14ac:dyDescent="0.2">
      <c r="A6639" s="30" t="str">
        <f>IF(C6639&amp;G6639&amp;D6639&lt;&gt;'Funnel setup'!$K$3&amp;'Funnel setup'!$K$4&amp;'Funnel setup'!$K$5,".",IF(A6638=".",1,A6638+1))</f>
        <v>.</v>
      </c>
      <c r="B6639" s="431" t="str">
        <f t="shared" si="103"/>
        <v>Varicose VeinCCG of GP PracticeNHS SOUTH WORCESTERSHIRE CCG (05T)EQ VAS</v>
      </c>
      <c r="C6639" t="s">
        <v>17</v>
      </c>
      <c r="D6639" t="s">
        <v>87</v>
      </c>
      <c r="E6639" t="s">
        <v>950</v>
      </c>
      <c r="F6639" t="s">
        <v>951</v>
      </c>
      <c r="G6639" t="s">
        <v>179</v>
      </c>
      <c r="H6639">
        <v>11</v>
      </c>
      <c r="I6639">
        <v>85</v>
      </c>
      <c r="J6639">
        <v>83.090999999999994</v>
      </c>
      <c r="K6639">
        <v>-1.909</v>
      </c>
      <c r="L6639">
        <v>4</v>
      </c>
      <c r="M6639">
        <v>1</v>
      </c>
      <c r="N6639">
        <v>6</v>
      </c>
      <c r="O6639" t="s">
        <v>53</v>
      </c>
      <c r="P6639" t="s">
        <v>53</v>
      </c>
      <c r="Q6639" t="s">
        <v>53</v>
      </c>
    </row>
    <row r="6640" spans="1:17" x14ac:dyDescent="0.2">
      <c r="A6640" s="30" t="str">
        <f>IF(C6640&amp;G6640&amp;D6640&lt;&gt;'Funnel setup'!$K$3&amp;'Funnel setup'!$K$4&amp;'Funnel setup'!$K$5,".",IF(A6639=".",1,A6639+1))</f>
        <v>.</v>
      </c>
      <c r="B6640" s="431" t="str">
        <f t="shared" si="103"/>
        <v>Varicose VeinCCG of GP PracticeNHS SOUTHAMPTON CCG (10X)EQ VAS</v>
      </c>
      <c r="C6640" t="s">
        <v>17</v>
      </c>
      <c r="D6640" t="s">
        <v>87</v>
      </c>
      <c r="E6640" t="s">
        <v>953</v>
      </c>
      <c r="F6640" t="s">
        <v>954</v>
      </c>
      <c r="G6640" t="s">
        <v>179</v>
      </c>
      <c r="H6640">
        <v>6</v>
      </c>
      <c r="I6640">
        <v>84.5</v>
      </c>
      <c r="J6640">
        <v>80.832999999999998</v>
      </c>
      <c r="K6640">
        <v>-3.6669999999999998</v>
      </c>
      <c r="L6640">
        <v>1</v>
      </c>
      <c r="M6640">
        <v>3</v>
      </c>
      <c r="N6640">
        <v>2</v>
      </c>
      <c r="O6640" t="s">
        <v>53</v>
      </c>
      <c r="P6640" t="s">
        <v>53</v>
      </c>
      <c r="Q6640" t="s">
        <v>53</v>
      </c>
    </row>
    <row r="6641" spans="1:17" x14ac:dyDescent="0.2">
      <c r="A6641" s="30" t="str">
        <f>IF(C6641&amp;G6641&amp;D6641&lt;&gt;'Funnel setup'!$K$3&amp;'Funnel setup'!$K$4&amp;'Funnel setup'!$K$5,".",IF(A6640=".",1,A6640+1))</f>
        <v>.</v>
      </c>
      <c r="B6641" s="431" t="str">
        <f t="shared" si="103"/>
        <v>Varicose VeinCCG of GP PracticeNHS SOUTHEND CCG (99G)EQ VAS</v>
      </c>
      <c r="C6641" t="s">
        <v>17</v>
      </c>
      <c r="D6641" t="s">
        <v>87</v>
      </c>
      <c r="E6641" t="s">
        <v>956</v>
      </c>
      <c r="F6641" t="s">
        <v>957</v>
      </c>
      <c r="G6641" t="s">
        <v>179</v>
      </c>
      <c r="H6641" t="s">
        <v>53</v>
      </c>
      <c r="I6641" t="s">
        <v>53</v>
      </c>
      <c r="J6641" t="s">
        <v>53</v>
      </c>
      <c r="K6641" t="s">
        <v>53</v>
      </c>
      <c r="L6641" t="s">
        <v>53</v>
      </c>
      <c r="M6641" t="s">
        <v>53</v>
      </c>
      <c r="N6641" t="s">
        <v>53</v>
      </c>
      <c r="O6641" t="s">
        <v>53</v>
      </c>
      <c r="P6641" t="s">
        <v>53</v>
      </c>
      <c r="Q6641" t="s">
        <v>53</v>
      </c>
    </row>
    <row r="6642" spans="1:17" x14ac:dyDescent="0.2">
      <c r="A6642" s="30" t="str">
        <f>IF(C6642&amp;G6642&amp;D6642&lt;&gt;'Funnel setup'!$K$3&amp;'Funnel setup'!$K$4&amp;'Funnel setup'!$K$5,".",IF(A6641=".",1,A6641+1))</f>
        <v>.</v>
      </c>
      <c r="B6642" s="431" t="str">
        <f t="shared" si="103"/>
        <v>Varicose VeinCCG of GP PracticeNHS SOUTHERN DERBYSHIRE CCG (04R)EQ VAS</v>
      </c>
      <c r="C6642" t="s">
        <v>17</v>
      </c>
      <c r="D6642" t="s">
        <v>87</v>
      </c>
      <c r="E6642" t="s">
        <v>959</v>
      </c>
      <c r="F6642" t="s">
        <v>960</v>
      </c>
      <c r="G6642" t="s">
        <v>179</v>
      </c>
      <c r="H6642">
        <v>21</v>
      </c>
      <c r="I6642">
        <v>79</v>
      </c>
      <c r="J6642">
        <v>79.048000000000002</v>
      </c>
      <c r="K6642">
        <v>4.8000000000000001E-2</v>
      </c>
      <c r="L6642">
        <v>9</v>
      </c>
      <c r="M6642">
        <v>1</v>
      </c>
      <c r="N6642">
        <v>11</v>
      </c>
      <c r="O6642" t="s">
        <v>53</v>
      </c>
      <c r="P6642" t="s">
        <v>53</v>
      </c>
      <c r="Q6642" t="s">
        <v>53</v>
      </c>
    </row>
    <row r="6643" spans="1:17" x14ac:dyDescent="0.2">
      <c r="A6643" s="30" t="str">
        <f>IF(C6643&amp;G6643&amp;D6643&lt;&gt;'Funnel setup'!$K$3&amp;'Funnel setup'!$K$4&amp;'Funnel setup'!$K$5,".",IF(A6642=".",1,A6642+1))</f>
        <v>.</v>
      </c>
      <c r="B6643" s="431" t="str">
        <f t="shared" si="103"/>
        <v>Varicose VeinCCG of GP PracticeNHS SOUTHPORT AND FORMBY CCG (01V)EQ VAS</v>
      </c>
      <c r="C6643" t="s">
        <v>17</v>
      </c>
      <c r="D6643" t="s">
        <v>87</v>
      </c>
      <c r="E6643" t="s">
        <v>962</v>
      </c>
      <c r="F6643" t="s">
        <v>963</v>
      </c>
      <c r="G6643" t="s">
        <v>179</v>
      </c>
      <c r="H6643">
        <v>35</v>
      </c>
      <c r="I6643">
        <v>76.143000000000001</v>
      </c>
      <c r="J6643">
        <v>73.914000000000001</v>
      </c>
      <c r="K6643">
        <v>-2.2290000000000001</v>
      </c>
      <c r="L6643">
        <v>11</v>
      </c>
      <c r="M6643">
        <v>8</v>
      </c>
      <c r="N6643">
        <v>16</v>
      </c>
      <c r="O6643">
        <v>76.522999999999996</v>
      </c>
      <c r="P6643">
        <v>-2.4415269350000002</v>
      </c>
      <c r="Q6643">
        <v>11.794</v>
      </c>
    </row>
    <row r="6644" spans="1:17" x14ac:dyDescent="0.2">
      <c r="A6644" s="30" t="str">
        <f>IF(C6644&amp;G6644&amp;D6644&lt;&gt;'Funnel setup'!$K$3&amp;'Funnel setup'!$K$4&amp;'Funnel setup'!$K$5,".",IF(A6643=".",1,A6643+1))</f>
        <v>.</v>
      </c>
      <c r="B6644" s="431" t="str">
        <f t="shared" si="103"/>
        <v>Varicose VeinCCG of GP PracticeNHS SOUTHWARK CCG (08Q)EQ VAS</v>
      </c>
      <c r="C6644" t="s">
        <v>17</v>
      </c>
      <c r="D6644" t="s">
        <v>87</v>
      </c>
      <c r="E6644" t="s">
        <v>965</v>
      </c>
      <c r="F6644" t="s">
        <v>966</v>
      </c>
      <c r="G6644" t="s">
        <v>179</v>
      </c>
      <c r="H6644">
        <v>28</v>
      </c>
      <c r="I6644">
        <v>76.213999999999999</v>
      </c>
      <c r="J6644">
        <v>74.536000000000001</v>
      </c>
      <c r="K6644">
        <v>-1.679</v>
      </c>
      <c r="L6644">
        <v>10</v>
      </c>
      <c r="M6644">
        <v>3</v>
      </c>
      <c r="N6644">
        <v>15</v>
      </c>
      <c r="O6644" t="s">
        <v>53</v>
      </c>
      <c r="P6644" t="s">
        <v>53</v>
      </c>
      <c r="Q6644" t="s">
        <v>53</v>
      </c>
    </row>
    <row r="6645" spans="1:17" x14ac:dyDescent="0.2">
      <c r="A6645" s="30" t="str">
        <f>IF(C6645&amp;G6645&amp;D6645&lt;&gt;'Funnel setup'!$K$3&amp;'Funnel setup'!$K$4&amp;'Funnel setup'!$K$5,".",IF(A6644=".",1,A6644+1))</f>
        <v>.</v>
      </c>
      <c r="B6645" s="431" t="str">
        <f t="shared" si="103"/>
        <v>Varicose VeinCCG of GP PracticeNHS ST HELENS CCG (01X)EQ VAS</v>
      </c>
      <c r="C6645" t="s">
        <v>17</v>
      </c>
      <c r="D6645" t="s">
        <v>87</v>
      </c>
      <c r="E6645" t="s">
        <v>968</v>
      </c>
      <c r="F6645" t="s">
        <v>969</v>
      </c>
      <c r="G6645" t="s">
        <v>179</v>
      </c>
      <c r="H6645">
        <v>17</v>
      </c>
      <c r="I6645">
        <v>78.176000000000002</v>
      </c>
      <c r="J6645">
        <v>74.293999999999997</v>
      </c>
      <c r="K6645">
        <v>-3.8820000000000001</v>
      </c>
      <c r="L6645">
        <v>6</v>
      </c>
      <c r="M6645">
        <v>4</v>
      </c>
      <c r="N6645">
        <v>7</v>
      </c>
      <c r="O6645" t="s">
        <v>53</v>
      </c>
      <c r="P6645" t="s">
        <v>53</v>
      </c>
      <c r="Q6645" t="s">
        <v>53</v>
      </c>
    </row>
    <row r="6646" spans="1:17" x14ac:dyDescent="0.2">
      <c r="A6646" s="30" t="str">
        <f>IF(C6646&amp;G6646&amp;D6646&lt;&gt;'Funnel setup'!$K$3&amp;'Funnel setup'!$K$4&amp;'Funnel setup'!$K$5,".",IF(A6645=".",1,A6645+1))</f>
        <v>.</v>
      </c>
      <c r="B6646" s="431" t="str">
        <f t="shared" si="103"/>
        <v>Varicose VeinCCG of GP PracticeNHS STAFFORD AND SURROUNDS CCG (05V)EQ VAS</v>
      </c>
      <c r="C6646" t="s">
        <v>17</v>
      </c>
      <c r="D6646" t="s">
        <v>87</v>
      </c>
      <c r="E6646" t="s">
        <v>971</v>
      </c>
      <c r="F6646" t="s">
        <v>972</v>
      </c>
      <c r="G6646" t="s">
        <v>179</v>
      </c>
      <c r="H6646">
        <v>12</v>
      </c>
      <c r="I6646">
        <v>79.75</v>
      </c>
      <c r="J6646">
        <v>77.667000000000002</v>
      </c>
      <c r="K6646">
        <v>-2.0830000000000002</v>
      </c>
      <c r="L6646">
        <v>5</v>
      </c>
      <c r="M6646">
        <v>1</v>
      </c>
      <c r="N6646">
        <v>6</v>
      </c>
      <c r="O6646" t="s">
        <v>53</v>
      </c>
      <c r="P6646" t="s">
        <v>53</v>
      </c>
      <c r="Q6646" t="s">
        <v>53</v>
      </c>
    </row>
    <row r="6647" spans="1:17" x14ac:dyDescent="0.2">
      <c r="A6647" s="30" t="str">
        <f>IF(C6647&amp;G6647&amp;D6647&lt;&gt;'Funnel setup'!$K$3&amp;'Funnel setup'!$K$4&amp;'Funnel setup'!$K$5,".",IF(A6646=".",1,A6646+1))</f>
        <v>.</v>
      </c>
      <c r="B6647" s="431" t="str">
        <f t="shared" si="103"/>
        <v>Varicose VeinCCG of GP PracticeNHS STOCKPORT CCG (01W)EQ VAS</v>
      </c>
      <c r="C6647" t="s">
        <v>17</v>
      </c>
      <c r="D6647" t="s">
        <v>87</v>
      </c>
      <c r="E6647" t="s">
        <v>974</v>
      </c>
      <c r="F6647" t="s">
        <v>975</v>
      </c>
      <c r="G6647" t="s">
        <v>179</v>
      </c>
      <c r="H6647">
        <v>16</v>
      </c>
      <c r="I6647">
        <v>68.125</v>
      </c>
      <c r="J6647">
        <v>70.688000000000002</v>
      </c>
      <c r="K6647">
        <v>2.5630000000000002</v>
      </c>
      <c r="L6647">
        <v>8</v>
      </c>
      <c r="M6647">
        <v>3</v>
      </c>
      <c r="N6647">
        <v>5</v>
      </c>
      <c r="O6647" t="s">
        <v>53</v>
      </c>
      <c r="P6647" t="s">
        <v>53</v>
      </c>
      <c r="Q6647" t="s">
        <v>53</v>
      </c>
    </row>
    <row r="6648" spans="1:17" x14ac:dyDescent="0.2">
      <c r="A6648" s="30" t="str">
        <f>IF(C6648&amp;G6648&amp;D6648&lt;&gt;'Funnel setup'!$K$3&amp;'Funnel setup'!$K$4&amp;'Funnel setup'!$K$5,".",IF(A6647=".",1,A6647+1))</f>
        <v>.</v>
      </c>
      <c r="B6648" s="431" t="str">
        <f t="shared" si="103"/>
        <v>Varicose VeinCCG of GP PracticeNHS STOKE ON TRENT CCG (05W)EQ VAS</v>
      </c>
      <c r="C6648" t="s">
        <v>17</v>
      </c>
      <c r="D6648" t="s">
        <v>87</v>
      </c>
      <c r="E6648" t="s">
        <v>977</v>
      </c>
      <c r="F6648" t="s">
        <v>978</v>
      </c>
      <c r="G6648" t="s">
        <v>179</v>
      </c>
      <c r="H6648" t="s">
        <v>53</v>
      </c>
      <c r="I6648" t="s">
        <v>53</v>
      </c>
      <c r="J6648" t="s">
        <v>53</v>
      </c>
      <c r="K6648" t="s">
        <v>53</v>
      </c>
      <c r="L6648" t="s">
        <v>53</v>
      </c>
      <c r="M6648" t="s">
        <v>53</v>
      </c>
      <c r="N6648" t="s">
        <v>53</v>
      </c>
      <c r="O6648" t="s">
        <v>53</v>
      </c>
      <c r="P6648" t="s">
        <v>53</v>
      </c>
      <c r="Q6648" t="s">
        <v>53</v>
      </c>
    </row>
    <row r="6649" spans="1:17" x14ac:dyDescent="0.2">
      <c r="A6649" s="30" t="str">
        <f>IF(C6649&amp;G6649&amp;D6649&lt;&gt;'Funnel setup'!$K$3&amp;'Funnel setup'!$K$4&amp;'Funnel setup'!$K$5,".",IF(A6648=".",1,A6648+1))</f>
        <v>.</v>
      </c>
      <c r="B6649" s="431" t="str">
        <f t="shared" si="103"/>
        <v>Varicose VeinCCG of GP PracticeNHS SUNDERLAND CCG (00P)EQ VAS</v>
      </c>
      <c r="C6649" t="s">
        <v>17</v>
      </c>
      <c r="D6649" t="s">
        <v>87</v>
      </c>
      <c r="E6649" t="s">
        <v>980</v>
      </c>
      <c r="F6649" t="s">
        <v>981</v>
      </c>
      <c r="G6649" t="s">
        <v>179</v>
      </c>
      <c r="H6649">
        <v>134</v>
      </c>
      <c r="I6649">
        <v>80.700999999999993</v>
      </c>
      <c r="J6649">
        <v>78.918000000000006</v>
      </c>
      <c r="K6649">
        <v>-1.784</v>
      </c>
      <c r="L6649">
        <v>39</v>
      </c>
      <c r="M6649">
        <v>27</v>
      </c>
      <c r="N6649">
        <v>68</v>
      </c>
      <c r="O6649">
        <v>78.585999999999999</v>
      </c>
      <c r="P6649">
        <v>-0.37801042200000001</v>
      </c>
      <c r="Q6649">
        <v>12.728</v>
      </c>
    </row>
    <row r="6650" spans="1:17" x14ac:dyDescent="0.2">
      <c r="A6650" s="30" t="str">
        <f>IF(C6650&amp;G6650&amp;D6650&lt;&gt;'Funnel setup'!$K$3&amp;'Funnel setup'!$K$4&amp;'Funnel setup'!$K$5,".",IF(A6649=".",1,A6649+1))</f>
        <v>.</v>
      </c>
      <c r="B6650" s="431" t="str">
        <f t="shared" si="103"/>
        <v>Varicose VeinCCG of GP PracticeNHS SURREY DOWNS CCG (99H)EQ VAS</v>
      </c>
      <c r="C6650" t="s">
        <v>17</v>
      </c>
      <c r="D6650" t="s">
        <v>87</v>
      </c>
      <c r="E6650" t="s">
        <v>983</v>
      </c>
      <c r="F6650" t="s">
        <v>984</v>
      </c>
      <c r="G6650" t="s">
        <v>179</v>
      </c>
      <c r="H6650">
        <v>33</v>
      </c>
      <c r="I6650">
        <v>82.575999999999993</v>
      </c>
      <c r="J6650">
        <v>82.364000000000004</v>
      </c>
      <c r="K6650">
        <v>-0.21199999999999999</v>
      </c>
      <c r="L6650">
        <v>13</v>
      </c>
      <c r="M6650">
        <v>2</v>
      </c>
      <c r="N6650">
        <v>18</v>
      </c>
      <c r="O6650">
        <v>79.849999999999994</v>
      </c>
      <c r="P6650">
        <v>0.88629212199999996</v>
      </c>
      <c r="Q6650">
        <v>11.395</v>
      </c>
    </row>
    <row r="6651" spans="1:17" x14ac:dyDescent="0.2">
      <c r="A6651" s="30" t="str">
        <f>IF(C6651&amp;G6651&amp;D6651&lt;&gt;'Funnel setup'!$K$3&amp;'Funnel setup'!$K$4&amp;'Funnel setup'!$K$5,".",IF(A6650=".",1,A6650+1))</f>
        <v>.</v>
      </c>
      <c r="B6651" s="431" t="str">
        <f t="shared" si="103"/>
        <v>Varicose VeinCCG of GP PracticeNHS SURREY HEATH CCG (10C)EQ VAS</v>
      </c>
      <c r="C6651" t="s">
        <v>17</v>
      </c>
      <c r="D6651" t="s">
        <v>87</v>
      </c>
      <c r="E6651" t="s">
        <v>986</v>
      </c>
      <c r="F6651" t="s">
        <v>987</v>
      </c>
      <c r="G6651" t="s">
        <v>179</v>
      </c>
      <c r="H6651" t="s">
        <v>53</v>
      </c>
      <c r="I6651" t="s">
        <v>53</v>
      </c>
      <c r="J6651" t="s">
        <v>53</v>
      </c>
      <c r="K6651" t="s">
        <v>53</v>
      </c>
      <c r="L6651" t="s">
        <v>53</v>
      </c>
      <c r="M6651" t="s">
        <v>53</v>
      </c>
      <c r="N6651" t="s">
        <v>53</v>
      </c>
      <c r="O6651" t="s">
        <v>53</v>
      </c>
      <c r="P6651" t="s">
        <v>53</v>
      </c>
      <c r="Q6651" t="s">
        <v>53</v>
      </c>
    </row>
    <row r="6652" spans="1:17" x14ac:dyDescent="0.2">
      <c r="A6652" s="30" t="str">
        <f>IF(C6652&amp;G6652&amp;D6652&lt;&gt;'Funnel setup'!$K$3&amp;'Funnel setup'!$K$4&amp;'Funnel setup'!$K$5,".",IF(A6651=".",1,A6651+1))</f>
        <v>.</v>
      </c>
      <c r="B6652" s="431" t="str">
        <f t="shared" si="103"/>
        <v>Varicose VeinCCG of GP PracticeNHS SUTTON CCG (08T)EQ VAS</v>
      </c>
      <c r="C6652" t="s">
        <v>17</v>
      </c>
      <c r="D6652" t="s">
        <v>87</v>
      </c>
      <c r="E6652" t="s">
        <v>989</v>
      </c>
      <c r="F6652" t="s">
        <v>990</v>
      </c>
      <c r="G6652" t="s">
        <v>179</v>
      </c>
      <c r="H6652">
        <v>16</v>
      </c>
      <c r="I6652">
        <v>79.938000000000002</v>
      </c>
      <c r="J6652">
        <v>74.438000000000002</v>
      </c>
      <c r="K6652">
        <v>-5.5</v>
      </c>
      <c r="L6652">
        <v>5</v>
      </c>
      <c r="M6652">
        <v>0</v>
      </c>
      <c r="N6652">
        <v>11</v>
      </c>
      <c r="O6652" t="s">
        <v>53</v>
      </c>
      <c r="P6652" t="s">
        <v>53</v>
      </c>
      <c r="Q6652" t="s">
        <v>53</v>
      </c>
    </row>
    <row r="6653" spans="1:17" x14ac:dyDescent="0.2">
      <c r="A6653" s="30" t="str">
        <f>IF(C6653&amp;G6653&amp;D6653&lt;&gt;'Funnel setup'!$K$3&amp;'Funnel setup'!$K$4&amp;'Funnel setup'!$K$5,".",IF(A6652=".",1,A6652+1))</f>
        <v>.</v>
      </c>
      <c r="B6653" s="431" t="str">
        <f t="shared" si="103"/>
        <v>Varicose VeinCCG of GP PracticeNHS SWALE CCG (10D)EQ VAS</v>
      </c>
      <c r="C6653" t="s">
        <v>17</v>
      </c>
      <c r="D6653" t="s">
        <v>87</v>
      </c>
      <c r="E6653" t="s">
        <v>992</v>
      </c>
      <c r="F6653" t="s">
        <v>993</v>
      </c>
      <c r="G6653" t="s">
        <v>179</v>
      </c>
      <c r="H6653" t="s">
        <v>53</v>
      </c>
      <c r="I6653" t="s">
        <v>53</v>
      </c>
      <c r="J6653" t="s">
        <v>53</v>
      </c>
      <c r="K6653" t="s">
        <v>53</v>
      </c>
      <c r="L6653" t="s">
        <v>53</v>
      </c>
      <c r="M6653" t="s">
        <v>53</v>
      </c>
      <c r="N6653" t="s">
        <v>53</v>
      </c>
      <c r="O6653" t="s">
        <v>53</v>
      </c>
      <c r="P6653" t="s">
        <v>53</v>
      </c>
      <c r="Q6653" t="s">
        <v>53</v>
      </c>
    </row>
    <row r="6654" spans="1:17" x14ac:dyDescent="0.2">
      <c r="A6654" s="30" t="str">
        <f>IF(C6654&amp;G6654&amp;D6654&lt;&gt;'Funnel setup'!$K$3&amp;'Funnel setup'!$K$4&amp;'Funnel setup'!$K$5,".",IF(A6653=".",1,A6653+1))</f>
        <v>.</v>
      </c>
      <c r="B6654" s="431" t="str">
        <f t="shared" si="103"/>
        <v>Varicose VeinCCG of GP PracticeNHS SWINDON CCG (12D)EQ VAS</v>
      </c>
      <c r="C6654" t="s">
        <v>17</v>
      </c>
      <c r="D6654" t="s">
        <v>87</v>
      </c>
      <c r="E6654" t="s">
        <v>995</v>
      </c>
      <c r="F6654" t="s">
        <v>996</v>
      </c>
      <c r="G6654" t="s">
        <v>179</v>
      </c>
      <c r="H6654">
        <v>38</v>
      </c>
      <c r="I6654">
        <v>78.183999999999997</v>
      </c>
      <c r="J6654">
        <v>77.158000000000001</v>
      </c>
      <c r="K6654">
        <v>-1.026</v>
      </c>
      <c r="L6654">
        <v>12</v>
      </c>
      <c r="M6654">
        <v>10</v>
      </c>
      <c r="N6654">
        <v>16</v>
      </c>
      <c r="O6654">
        <v>76.319000000000003</v>
      </c>
      <c r="P6654">
        <v>-2.6454222650000001</v>
      </c>
      <c r="Q6654">
        <v>16.617999999999999</v>
      </c>
    </row>
    <row r="6655" spans="1:17" x14ac:dyDescent="0.2">
      <c r="A6655" s="30" t="str">
        <f>IF(C6655&amp;G6655&amp;D6655&lt;&gt;'Funnel setup'!$K$3&amp;'Funnel setup'!$K$4&amp;'Funnel setup'!$K$5,".",IF(A6654=".",1,A6654+1))</f>
        <v>.</v>
      </c>
      <c r="B6655" s="431" t="str">
        <f t="shared" si="103"/>
        <v>Varicose VeinCCG of GP PracticeNHS TAMESIDE AND GLOSSOP CCG (01Y)EQ VAS</v>
      </c>
      <c r="C6655" t="s">
        <v>17</v>
      </c>
      <c r="D6655" t="s">
        <v>87</v>
      </c>
      <c r="E6655" t="s">
        <v>998</v>
      </c>
      <c r="F6655" t="s">
        <v>999</v>
      </c>
      <c r="G6655" t="s">
        <v>179</v>
      </c>
      <c r="H6655">
        <v>28</v>
      </c>
      <c r="I6655">
        <v>76.570999999999998</v>
      </c>
      <c r="J6655">
        <v>72.463999999999999</v>
      </c>
      <c r="K6655">
        <v>-4.1070000000000002</v>
      </c>
      <c r="L6655">
        <v>10</v>
      </c>
      <c r="M6655">
        <v>5</v>
      </c>
      <c r="N6655">
        <v>13</v>
      </c>
      <c r="O6655" t="s">
        <v>53</v>
      </c>
      <c r="P6655" t="s">
        <v>53</v>
      </c>
      <c r="Q6655" t="s">
        <v>53</v>
      </c>
    </row>
    <row r="6656" spans="1:17" x14ac:dyDescent="0.2">
      <c r="A6656" s="30" t="str">
        <f>IF(C6656&amp;G6656&amp;D6656&lt;&gt;'Funnel setup'!$K$3&amp;'Funnel setup'!$K$4&amp;'Funnel setup'!$K$5,".",IF(A6655=".",1,A6655+1))</f>
        <v>.</v>
      </c>
      <c r="B6656" s="431" t="str">
        <f t="shared" si="103"/>
        <v>Varicose VeinCCG of GP PracticeNHS TELFORD AND WREKIN CCG (05X)EQ VAS</v>
      </c>
      <c r="C6656" t="s">
        <v>17</v>
      </c>
      <c r="D6656" t="s">
        <v>87</v>
      </c>
      <c r="E6656" t="s">
        <v>1001</v>
      </c>
      <c r="F6656" t="s">
        <v>1002</v>
      </c>
      <c r="G6656" t="s">
        <v>179</v>
      </c>
      <c r="H6656">
        <v>9</v>
      </c>
      <c r="I6656">
        <v>73.778000000000006</v>
      </c>
      <c r="J6656">
        <v>74.332999999999998</v>
      </c>
      <c r="K6656">
        <v>0.55600000000000005</v>
      </c>
      <c r="L6656">
        <v>4</v>
      </c>
      <c r="M6656">
        <v>2</v>
      </c>
      <c r="N6656">
        <v>3</v>
      </c>
      <c r="O6656" t="s">
        <v>53</v>
      </c>
      <c r="P6656" t="s">
        <v>53</v>
      </c>
      <c r="Q6656" t="s">
        <v>53</v>
      </c>
    </row>
    <row r="6657" spans="1:17" x14ac:dyDescent="0.2">
      <c r="A6657" s="30" t="str">
        <f>IF(C6657&amp;G6657&amp;D6657&lt;&gt;'Funnel setup'!$K$3&amp;'Funnel setup'!$K$4&amp;'Funnel setup'!$K$5,".",IF(A6656=".",1,A6656+1))</f>
        <v>.</v>
      </c>
      <c r="B6657" s="431" t="str">
        <f t="shared" si="103"/>
        <v>Varicose VeinCCG of GP PracticeNHS THURROCK CCG (07G)EQ VAS</v>
      </c>
      <c r="C6657" t="s">
        <v>17</v>
      </c>
      <c r="D6657" t="s">
        <v>87</v>
      </c>
      <c r="E6657" t="s">
        <v>1007</v>
      </c>
      <c r="F6657" t="s">
        <v>1008</v>
      </c>
      <c r="G6657" t="s">
        <v>179</v>
      </c>
      <c r="H6657" t="s">
        <v>53</v>
      </c>
      <c r="I6657" t="s">
        <v>53</v>
      </c>
      <c r="J6657" t="s">
        <v>53</v>
      </c>
      <c r="K6657" t="s">
        <v>53</v>
      </c>
      <c r="L6657" t="s">
        <v>53</v>
      </c>
      <c r="M6657" t="s">
        <v>53</v>
      </c>
      <c r="N6657" t="s">
        <v>53</v>
      </c>
      <c r="O6657" t="s">
        <v>53</v>
      </c>
      <c r="P6657" t="s">
        <v>53</v>
      </c>
      <c r="Q6657" t="s">
        <v>53</v>
      </c>
    </row>
    <row r="6658" spans="1:17" x14ac:dyDescent="0.2">
      <c r="A6658" s="30" t="str">
        <f>IF(C6658&amp;G6658&amp;D6658&lt;&gt;'Funnel setup'!$K$3&amp;'Funnel setup'!$K$4&amp;'Funnel setup'!$K$5,".",IF(A6657=".",1,A6657+1))</f>
        <v>.</v>
      </c>
      <c r="B6658" s="431" t="str">
        <f t="shared" si="103"/>
        <v>Varicose VeinCCG of GP PracticeNHS TOWER HAMLETS CCG (08V)EQ VAS</v>
      </c>
      <c r="C6658" t="s">
        <v>17</v>
      </c>
      <c r="D6658" t="s">
        <v>87</v>
      </c>
      <c r="E6658" t="s">
        <v>1010</v>
      </c>
      <c r="F6658" t="s">
        <v>1011</v>
      </c>
      <c r="G6658" t="s">
        <v>179</v>
      </c>
      <c r="H6658">
        <v>7</v>
      </c>
      <c r="I6658">
        <v>83</v>
      </c>
      <c r="J6658">
        <v>80</v>
      </c>
      <c r="K6658">
        <v>-3</v>
      </c>
      <c r="L6658">
        <v>1</v>
      </c>
      <c r="M6658">
        <v>3</v>
      </c>
      <c r="N6658">
        <v>3</v>
      </c>
      <c r="O6658" t="s">
        <v>53</v>
      </c>
      <c r="P6658" t="s">
        <v>53</v>
      </c>
      <c r="Q6658" t="s">
        <v>53</v>
      </c>
    </row>
    <row r="6659" spans="1:17" x14ac:dyDescent="0.2">
      <c r="A6659" s="30" t="str">
        <f>IF(C6659&amp;G6659&amp;D6659&lt;&gt;'Funnel setup'!$K$3&amp;'Funnel setup'!$K$4&amp;'Funnel setup'!$K$5,".",IF(A6658=".",1,A6658+1))</f>
        <v>.</v>
      </c>
      <c r="B6659" s="431" t="str">
        <f t="shared" ref="B6659:B6722" si="104">C6659&amp;D6659&amp;F6659&amp;G6659</f>
        <v>Varicose VeinCCG of GP PracticeNHS TRAFFORD CCG (02A)EQ VAS</v>
      </c>
      <c r="C6659" t="s">
        <v>17</v>
      </c>
      <c r="D6659" t="s">
        <v>87</v>
      </c>
      <c r="E6659" t="s">
        <v>1013</v>
      </c>
      <c r="F6659" t="s">
        <v>1014</v>
      </c>
      <c r="G6659" t="s">
        <v>179</v>
      </c>
      <c r="H6659">
        <v>34</v>
      </c>
      <c r="I6659">
        <v>85.823999999999998</v>
      </c>
      <c r="J6659">
        <v>83.087999999999994</v>
      </c>
      <c r="K6659">
        <v>-2.7349999999999999</v>
      </c>
      <c r="L6659">
        <v>11</v>
      </c>
      <c r="M6659">
        <v>6</v>
      </c>
      <c r="N6659">
        <v>17</v>
      </c>
      <c r="O6659">
        <v>77.438000000000002</v>
      </c>
      <c r="P6659">
        <v>-1.5259040719999999</v>
      </c>
      <c r="Q6659">
        <v>9.7959999999999994</v>
      </c>
    </row>
    <row r="6660" spans="1:17" x14ac:dyDescent="0.2">
      <c r="A6660" s="30" t="str">
        <f>IF(C6660&amp;G6660&amp;D6660&lt;&gt;'Funnel setup'!$K$3&amp;'Funnel setup'!$K$4&amp;'Funnel setup'!$K$5,".",IF(A6659=".",1,A6659+1))</f>
        <v>.</v>
      </c>
      <c r="B6660" s="431" t="str">
        <f t="shared" si="104"/>
        <v>Varicose VeinCCG of GP PracticeNHS VALE OF YORK CCG (03Q)EQ VAS</v>
      </c>
      <c r="C6660" t="s">
        <v>17</v>
      </c>
      <c r="D6660" t="s">
        <v>87</v>
      </c>
      <c r="E6660" t="s">
        <v>420</v>
      </c>
      <c r="F6660" t="s">
        <v>421</v>
      </c>
      <c r="G6660" t="s">
        <v>179</v>
      </c>
      <c r="H6660">
        <v>35</v>
      </c>
      <c r="I6660">
        <v>80.513999999999996</v>
      </c>
      <c r="J6660">
        <v>80.343000000000004</v>
      </c>
      <c r="K6660">
        <v>-0.17100000000000001</v>
      </c>
      <c r="L6660">
        <v>17</v>
      </c>
      <c r="M6660">
        <v>8</v>
      </c>
      <c r="N6660">
        <v>10</v>
      </c>
      <c r="O6660">
        <v>79.033000000000001</v>
      </c>
      <c r="P6660">
        <v>6.9262492999999994E-2</v>
      </c>
      <c r="Q6660">
        <v>19.007999999999999</v>
      </c>
    </row>
    <row r="6661" spans="1:17" x14ac:dyDescent="0.2">
      <c r="A6661" s="30" t="str">
        <f>IF(C6661&amp;G6661&amp;D6661&lt;&gt;'Funnel setup'!$K$3&amp;'Funnel setup'!$K$4&amp;'Funnel setup'!$K$5,".",IF(A6660=".",1,A6660+1))</f>
        <v>.</v>
      </c>
      <c r="B6661" s="431" t="str">
        <f t="shared" si="104"/>
        <v>Varicose VeinCCG of GP PracticeNHS VALE ROYAL CCG (02D)EQ VAS</v>
      </c>
      <c r="C6661" t="s">
        <v>17</v>
      </c>
      <c r="D6661" t="s">
        <v>87</v>
      </c>
      <c r="E6661" t="s">
        <v>423</v>
      </c>
      <c r="F6661" t="s">
        <v>424</v>
      </c>
      <c r="G6661" t="s">
        <v>179</v>
      </c>
      <c r="H6661" t="s">
        <v>53</v>
      </c>
      <c r="I6661" t="s">
        <v>53</v>
      </c>
      <c r="J6661" t="s">
        <v>53</v>
      </c>
      <c r="K6661" t="s">
        <v>53</v>
      </c>
      <c r="L6661" t="s">
        <v>53</v>
      </c>
      <c r="M6661" t="s">
        <v>53</v>
      </c>
      <c r="N6661" t="s">
        <v>53</v>
      </c>
      <c r="O6661" t="s">
        <v>53</v>
      </c>
      <c r="P6661" t="s">
        <v>53</v>
      </c>
      <c r="Q6661" t="s">
        <v>53</v>
      </c>
    </row>
    <row r="6662" spans="1:17" x14ac:dyDescent="0.2">
      <c r="A6662" s="30" t="str">
        <f>IF(C6662&amp;G6662&amp;D6662&lt;&gt;'Funnel setup'!$K$3&amp;'Funnel setup'!$K$4&amp;'Funnel setup'!$K$5,".",IF(A6661=".",1,A6661+1))</f>
        <v>.</v>
      </c>
      <c r="B6662" s="431" t="str">
        <f t="shared" si="104"/>
        <v>Varicose VeinCCG of GP PracticeNHS WAKEFIELD CCG (03R)EQ VAS</v>
      </c>
      <c r="C6662" t="s">
        <v>17</v>
      </c>
      <c r="D6662" t="s">
        <v>87</v>
      </c>
      <c r="E6662" t="s">
        <v>426</v>
      </c>
      <c r="F6662" t="s">
        <v>427</v>
      </c>
      <c r="G6662" t="s">
        <v>179</v>
      </c>
      <c r="H6662">
        <v>77</v>
      </c>
      <c r="I6662">
        <v>80.882999999999996</v>
      </c>
      <c r="J6662">
        <v>79.960999999999999</v>
      </c>
      <c r="K6662">
        <v>-0.92200000000000004</v>
      </c>
      <c r="L6662">
        <v>27</v>
      </c>
      <c r="M6662">
        <v>15</v>
      </c>
      <c r="N6662">
        <v>35</v>
      </c>
      <c r="O6662">
        <v>79.328000000000003</v>
      </c>
      <c r="P6662">
        <v>0.36381071100000001</v>
      </c>
      <c r="Q6662">
        <v>11.602</v>
      </c>
    </row>
    <row r="6663" spans="1:17" x14ac:dyDescent="0.2">
      <c r="A6663" s="30" t="str">
        <f>IF(C6663&amp;G6663&amp;D6663&lt;&gt;'Funnel setup'!$K$3&amp;'Funnel setup'!$K$4&amp;'Funnel setup'!$K$5,".",IF(A6662=".",1,A6662+1))</f>
        <v>.</v>
      </c>
      <c r="B6663" s="431" t="str">
        <f t="shared" si="104"/>
        <v>Varicose VeinCCG of GP PracticeNHS WALSALL CCG (05Y)EQ VAS</v>
      </c>
      <c r="C6663" t="s">
        <v>17</v>
      </c>
      <c r="D6663" t="s">
        <v>87</v>
      </c>
      <c r="E6663" t="s">
        <v>429</v>
      </c>
      <c r="F6663" t="s">
        <v>430</v>
      </c>
      <c r="G6663" t="s">
        <v>179</v>
      </c>
      <c r="H6663">
        <v>31</v>
      </c>
      <c r="I6663">
        <v>78.418999999999997</v>
      </c>
      <c r="J6663">
        <v>79.451999999999998</v>
      </c>
      <c r="K6663">
        <v>1.032</v>
      </c>
      <c r="L6663">
        <v>13</v>
      </c>
      <c r="M6663">
        <v>9</v>
      </c>
      <c r="N6663">
        <v>9</v>
      </c>
      <c r="O6663">
        <v>80.331000000000003</v>
      </c>
      <c r="P6663">
        <v>1.3668351780000001</v>
      </c>
      <c r="Q6663">
        <v>8.1210000000000004</v>
      </c>
    </row>
    <row r="6664" spans="1:17" x14ac:dyDescent="0.2">
      <c r="A6664" s="30" t="str">
        <f>IF(C6664&amp;G6664&amp;D6664&lt;&gt;'Funnel setup'!$K$3&amp;'Funnel setup'!$K$4&amp;'Funnel setup'!$K$5,".",IF(A6663=".",1,A6663+1))</f>
        <v>.</v>
      </c>
      <c r="B6664" s="431" t="str">
        <f t="shared" si="104"/>
        <v>Varicose VeinCCG of GP PracticeNHS WALTHAM FOREST CCG (08W)EQ VAS</v>
      </c>
      <c r="C6664" t="s">
        <v>17</v>
      </c>
      <c r="D6664" t="s">
        <v>87</v>
      </c>
      <c r="E6664" t="s">
        <v>432</v>
      </c>
      <c r="F6664" t="s">
        <v>433</v>
      </c>
      <c r="G6664" t="s">
        <v>179</v>
      </c>
      <c r="H6664">
        <v>15</v>
      </c>
      <c r="I6664">
        <v>77</v>
      </c>
      <c r="J6664">
        <v>78.599999999999994</v>
      </c>
      <c r="K6664">
        <v>1.6</v>
      </c>
      <c r="L6664">
        <v>8</v>
      </c>
      <c r="M6664">
        <v>1</v>
      </c>
      <c r="N6664">
        <v>6</v>
      </c>
      <c r="O6664" t="s">
        <v>53</v>
      </c>
      <c r="P6664" t="s">
        <v>53</v>
      </c>
      <c r="Q6664" t="s">
        <v>53</v>
      </c>
    </row>
    <row r="6665" spans="1:17" x14ac:dyDescent="0.2">
      <c r="A6665" s="30" t="str">
        <f>IF(C6665&amp;G6665&amp;D6665&lt;&gt;'Funnel setup'!$K$3&amp;'Funnel setup'!$K$4&amp;'Funnel setup'!$K$5,".",IF(A6664=".",1,A6664+1))</f>
        <v>.</v>
      </c>
      <c r="B6665" s="431" t="str">
        <f t="shared" si="104"/>
        <v>Varicose VeinCCG of GP PracticeNHS WANDSWORTH CCG (08X)EQ VAS</v>
      </c>
      <c r="C6665" t="s">
        <v>17</v>
      </c>
      <c r="D6665" t="s">
        <v>87</v>
      </c>
      <c r="E6665" t="s">
        <v>435</v>
      </c>
      <c r="F6665" t="s">
        <v>436</v>
      </c>
      <c r="G6665" t="s">
        <v>179</v>
      </c>
      <c r="H6665">
        <v>30</v>
      </c>
      <c r="I6665">
        <v>76.667000000000002</v>
      </c>
      <c r="J6665">
        <v>79</v>
      </c>
      <c r="K6665">
        <v>2.3330000000000002</v>
      </c>
      <c r="L6665">
        <v>16</v>
      </c>
      <c r="M6665">
        <v>5</v>
      </c>
      <c r="N6665">
        <v>9</v>
      </c>
      <c r="O6665">
        <v>80.168999999999997</v>
      </c>
      <c r="P6665">
        <v>1.204765307</v>
      </c>
      <c r="Q6665">
        <v>14.582000000000001</v>
      </c>
    </row>
    <row r="6666" spans="1:17" x14ac:dyDescent="0.2">
      <c r="A6666" s="30" t="str">
        <f>IF(C6666&amp;G6666&amp;D6666&lt;&gt;'Funnel setup'!$K$3&amp;'Funnel setup'!$K$4&amp;'Funnel setup'!$K$5,".",IF(A6665=".",1,A6665+1))</f>
        <v>.</v>
      </c>
      <c r="B6666" s="431" t="str">
        <f t="shared" si="104"/>
        <v>Varicose VeinCCG of GP PracticeNHS WARRINGTON CCG (02E)EQ VAS</v>
      </c>
      <c r="C6666" t="s">
        <v>17</v>
      </c>
      <c r="D6666" t="s">
        <v>87</v>
      </c>
      <c r="E6666" t="s">
        <v>441</v>
      </c>
      <c r="F6666" t="s">
        <v>442</v>
      </c>
      <c r="G6666" t="s">
        <v>179</v>
      </c>
      <c r="H6666" t="s">
        <v>53</v>
      </c>
      <c r="I6666" t="s">
        <v>53</v>
      </c>
      <c r="J6666" t="s">
        <v>53</v>
      </c>
      <c r="K6666" t="s">
        <v>53</v>
      </c>
      <c r="L6666" t="s">
        <v>53</v>
      </c>
      <c r="M6666" t="s">
        <v>53</v>
      </c>
      <c r="N6666" t="s">
        <v>53</v>
      </c>
      <c r="O6666" t="s">
        <v>53</v>
      </c>
      <c r="P6666" t="s">
        <v>53</v>
      </c>
      <c r="Q6666" t="s">
        <v>53</v>
      </c>
    </row>
    <row r="6667" spans="1:17" x14ac:dyDescent="0.2">
      <c r="A6667" s="30" t="str">
        <f>IF(C6667&amp;G6667&amp;D6667&lt;&gt;'Funnel setup'!$K$3&amp;'Funnel setup'!$K$4&amp;'Funnel setup'!$K$5,".",IF(A6666=".",1,A6666+1))</f>
        <v>.</v>
      </c>
      <c r="B6667" s="431" t="str">
        <f t="shared" si="104"/>
        <v>Varicose VeinCCG of GP PracticeNHS WARWICKSHIRE NORTH CCG (05H)EQ VAS</v>
      </c>
      <c r="C6667" t="s">
        <v>17</v>
      </c>
      <c r="D6667" t="s">
        <v>87</v>
      </c>
      <c r="E6667" t="s">
        <v>438</v>
      </c>
      <c r="F6667" t="s">
        <v>439</v>
      </c>
      <c r="G6667" t="s">
        <v>179</v>
      </c>
      <c r="H6667">
        <v>8</v>
      </c>
      <c r="I6667">
        <v>73.875</v>
      </c>
      <c r="J6667">
        <v>79</v>
      </c>
      <c r="K6667">
        <v>5.125</v>
      </c>
      <c r="L6667">
        <v>5</v>
      </c>
      <c r="M6667">
        <v>2</v>
      </c>
      <c r="N6667">
        <v>1</v>
      </c>
      <c r="O6667" t="s">
        <v>53</v>
      </c>
      <c r="P6667" t="s">
        <v>53</v>
      </c>
      <c r="Q6667" t="s">
        <v>53</v>
      </c>
    </row>
    <row r="6668" spans="1:17" x14ac:dyDescent="0.2">
      <c r="A6668" s="30" t="str">
        <f>IF(C6668&amp;G6668&amp;D6668&lt;&gt;'Funnel setup'!$K$3&amp;'Funnel setup'!$K$4&amp;'Funnel setup'!$K$5,".",IF(A6667=".",1,A6667+1))</f>
        <v>.</v>
      </c>
      <c r="B6668" s="431" t="str">
        <f t="shared" si="104"/>
        <v>Varicose VeinCCG of GP PracticeNHS WEST CHESHIRE CCG (02F)EQ VAS</v>
      </c>
      <c r="C6668" t="s">
        <v>17</v>
      </c>
      <c r="D6668" t="s">
        <v>87</v>
      </c>
      <c r="E6668" t="s">
        <v>402</v>
      </c>
      <c r="F6668" t="s">
        <v>403</v>
      </c>
      <c r="G6668" t="s">
        <v>179</v>
      </c>
      <c r="H6668">
        <v>28</v>
      </c>
      <c r="I6668">
        <v>78.893000000000001</v>
      </c>
      <c r="J6668">
        <v>80.75</v>
      </c>
      <c r="K6668">
        <v>1.857</v>
      </c>
      <c r="L6668">
        <v>8</v>
      </c>
      <c r="M6668">
        <v>9</v>
      </c>
      <c r="N6668">
        <v>11</v>
      </c>
      <c r="O6668" t="s">
        <v>53</v>
      </c>
      <c r="P6668" t="s">
        <v>53</v>
      </c>
      <c r="Q6668" t="s">
        <v>53</v>
      </c>
    </row>
    <row r="6669" spans="1:17" x14ac:dyDescent="0.2">
      <c r="A6669" s="30" t="str">
        <f>IF(C6669&amp;G6669&amp;D6669&lt;&gt;'Funnel setup'!$K$3&amp;'Funnel setup'!$K$4&amp;'Funnel setup'!$K$5,".",IF(A6668=".",1,A6668+1))</f>
        <v>.</v>
      </c>
      <c r="B6669" s="431" t="str">
        <f t="shared" si="104"/>
        <v>Varicose VeinCCG of GP PracticeNHS WEST ESSEX CCG (07H)EQ VAS</v>
      </c>
      <c r="C6669" t="s">
        <v>17</v>
      </c>
      <c r="D6669" t="s">
        <v>87</v>
      </c>
      <c r="E6669" t="s">
        <v>405</v>
      </c>
      <c r="F6669" t="s">
        <v>406</v>
      </c>
      <c r="G6669" t="s">
        <v>179</v>
      </c>
      <c r="H6669">
        <v>14</v>
      </c>
      <c r="I6669">
        <v>78.643000000000001</v>
      </c>
      <c r="J6669">
        <v>77.143000000000001</v>
      </c>
      <c r="K6669">
        <v>-1.5</v>
      </c>
      <c r="L6669">
        <v>8</v>
      </c>
      <c r="M6669">
        <v>2</v>
      </c>
      <c r="N6669">
        <v>4</v>
      </c>
      <c r="O6669" t="s">
        <v>53</v>
      </c>
      <c r="P6669" t="s">
        <v>53</v>
      </c>
      <c r="Q6669" t="s">
        <v>53</v>
      </c>
    </row>
    <row r="6670" spans="1:17" x14ac:dyDescent="0.2">
      <c r="A6670" s="30" t="str">
        <f>IF(C6670&amp;G6670&amp;D6670&lt;&gt;'Funnel setup'!$K$3&amp;'Funnel setup'!$K$4&amp;'Funnel setup'!$K$5,".",IF(A6669=".",1,A6669+1))</f>
        <v>.</v>
      </c>
      <c r="B6670" s="431" t="str">
        <f t="shared" si="104"/>
        <v>Varicose VeinCCG of GP PracticeNHS WEST HAMPSHIRE CCG (11A)EQ VAS</v>
      </c>
      <c r="C6670" t="s">
        <v>17</v>
      </c>
      <c r="D6670" t="s">
        <v>87</v>
      </c>
      <c r="E6670" t="s">
        <v>444</v>
      </c>
      <c r="F6670" t="s">
        <v>445</v>
      </c>
      <c r="G6670" t="s">
        <v>179</v>
      </c>
      <c r="H6670">
        <v>12</v>
      </c>
      <c r="I6670">
        <v>82.332999999999998</v>
      </c>
      <c r="J6670">
        <v>82.417000000000002</v>
      </c>
      <c r="K6670">
        <v>8.3000000000000004E-2</v>
      </c>
      <c r="L6670">
        <v>5</v>
      </c>
      <c r="M6670">
        <v>3</v>
      </c>
      <c r="N6670">
        <v>4</v>
      </c>
      <c r="O6670" t="s">
        <v>53</v>
      </c>
      <c r="P6670" t="s">
        <v>53</v>
      </c>
      <c r="Q6670" t="s">
        <v>53</v>
      </c>
    </row>
    <row r="6671" spans="1:17" x14ac:dyDescent="0.2">
      <c r="A6671" s="30" t="str">
        <f>IF(C6671&amp;G6671&amp;D6671&lt;&gt;'Funnel setup'!$K$3&amp;'Funnel setup'!$K$4&amp;'Funnel setup'!$K$5,".",IF(A6670=".",1,A6670+1))</f>
        <v>.</v>
      </c>
      <c r="B6671" s="431" t="str">
        <f t="shared" si="104"/>
        <v>Varicose VeinCCG of GP PracticeNHS WEST KENT CCG (99J)EQ VAS</v>
      </c>
      <c r="C6671" t="s">
        <v>17</v>
      </c>
      <c r="D6671" t="s">
        <v>87</v>
      </c>
      <c r="E6671" t="s">
        <v>447</v>
      </c>
      <c r="F6671" t="s">
        <v>448</v>
      </c>
      <c r="G6671" t="s">
        <v>179</v>
      </c>
      <c r="H6671" t="s">
        <v>53</v>
      </c>
      <c r="I6671" t="s">
        <v>53</v>
      </c>
      <c r="J6671" t="s">
        <v>53</v>
      </c>
      <c r="K6671" t="s">
        <v>53</v>
      </c>
      <c r="L6671" t="s">
        <v>53</v>
      </c>
      <c r="M6671" t="s">
        <v>53</v>
      </c>
      <c r="N6671" t="s">
        <v>53</v>
      </c>
      <c r="O6671" t="s">
        <v>53</v>
      </c>
      <c r="P6671" t="s">
        <v>53</v>
      </c>
      <c r="Q6671" t="s">
        <v>53</v>
      </c>
    </row>
    <row r="6672" spans="1:17" x14ac:dyDescent="0.2">
      <c r="A6672" s="30" t="str">
        <f>IF(C6672&amp;G6672&amp;D6672&lt;&gt;'Funnel setup'!$K$3&amp;'Funnel setup'!$K$4&amp;'Funnel setup'!$K$5,".",IF(A6671=".",1,A6671+1))</f>
        <v>.</v>
      </c>
      <c r="B6672" s="431" t="str">
        <f t="shared" si="104"/>
        <v>Varicose VeinCCG of GP PracticeNHS WEST LANCASHIRE CCG (02G)EQ VAS</v>
      </c>
      <c r="C6672" t="s">
        <v>17</v>
      </c>
      <c r="D6672" t="s">
        <v>87</v>
      </c>
      <c r="E6672" t="s">
        <v>450</v>
      </c>
      <c r="F6672" t="s">
        <v>451</v>
      </c>
      <c r="G6672" t="s">
        <v>179</v>
      </c>
      <c r="H6672">
        <v>23</v>
      </c>
      <c r="I6672">
        <v>71.435000000000002</v>
      </c>
      <c r="J6672">
        <v>71</v>
      </c>
      <c r="K6672">
        <v>-0.435</v>
      </c>
      <c r="L6672">
        <v>8</v>
      </c>
      <c r="M6672">
        <v>3</v>
      </c>
      <c r="N6672">
        <v>12</v>
      </c>
      <c r="O6672" t="s">
        <v>53</v>
      </c>
      <c r="P6672" t="s">
        <v>53</v>
      </c>
      <c r="Q6672" t="s">
        <v>53</v>
      </c>
    </row>
    <row r="6673" spans="1:17" x14ac:dyDescent="0.2">
      <c r="A6673" s="30" t="str">
        <f>IF(C6673&amp;G6673&amp;D6673&lt;&gt;'Funnel setup'!$K$3&amp;'Funnel setup'!$K$4&amp;'Funnel setup'!$K$5,".",IF(A6672=".",1,A6672+1))</f>
        <v>.</v>
      </c>
      <c r="B6673" s="431" t="str">
        <f t="shared" si="104"/>
        <v>Varicose VeinCCG of GP PracticeNHS WEST LEICESTERSHIRE CCG (04V)EQ VAS</v>
      </c>
      <c r="C6673" t="s">
        <v>17</v>
      </c>
      <c r="D6673" t="s">
        <v>87</v>
      </c>
      <c r="E6673" t="s">
        <v>453</v>
      </c>
      <c r="F6673" t="s">
        <v>454</v>
      </c>
      <c r="G6673" t="s">
        <v>179</v>
      </c>
      <c r="H6673">
        <v>22</v>
      </c>
      <c r="I6673">
        <v>76.864000000000004</v>
      </c>
      <c r="J6673">
        <v>70.590999999999994</v>
      </c>
      <c r="K6673">
        <v>-6.2729999999999997</v>
      </c>
      <c r="L6673">
        <v>6</v>
      </c>
      <c r="M6673">
        <v>5</v>
      </c>
      <c r="N6673">
        <v>11</v>
      </c>
      <c r="O6673" t="s">
        <v>53</v>
      </c>
      <c r="P6673" t="s">
        <v>53</v>
      </c>
      <c r="Q6673" t="s">
        <v>53</v>
      </c>
    </row>
    <row r="6674" spans="1:17" x14ac:dyDescent="0.2">
      <c r="A6674" s="30" t="str">
        <f>IF(C6674&amp;G6674&amp;D6674&lt;&gt;'Funnel setup'!$K$3&amp;'Funnel setup'!$K$4&amp;'Funnel setup'!$K$5,".",IF(A6673=".",1,A6673+1))</f>
        <v>.</v>
      </c>
      <c r="B6674" s="431" t="str">
        <f t="shared" si="104"/>
        <v>Varicose VeinCCG of GP PracticeNHS WEST LONDON CCG (08Y)EQ VAS</v>
      </c>
      <c r="C6674" t="s">
        <v>17</v>
      </c>
      <c r="D6674" t="s">
        <v>87</v>
      </c>
      <c r="E6674" t="s">
        <v>456</v>
      </c>
      <c r="F6674" t="s">
        <v>457</v>
      </c>
      <c r="G6674" t="s">
        <v>179</v>
      </c>
      <c r="H6674">
        <v>15</v>
      </c>
      <c r="I6674">
        <v>77.2</v>
      </c>
      <c r="J6674">
        <v>76.867000000000004</v>
      </c>
      <c r="K6674">
        <v>-0.33300000000000002</v>
      </c>
      <c r="L6674">
        <v>7</v>
      </c>
      <c r="M6674">
        <v>4</v>
      </c>
      <c r="N6674">
        <v>4</v>
      </c>
      <c r="O6674" t="s">
        <v>53</v>
      </c>
      <c r="P6674" t="s">
        <v>53</v>
      </c>
      <c r="Q6674" t="s">
        <v>53</v>
      </c>
    </row>
    <row r="6675" spans="1:17" x14ac:dyDescent="0.2">
      <c r="A6675" s="30" t="str">
        <f>IF(C6675&amp;G6675&amp;D6675&lt;&gt;'Funnel setup'!$K$3&amp;'Funnel setup'!$K$4&amp;'Funnel setup'!$K$5,".",IF(A6674=".",1,A6674+1))</f>
        <v>.</v>
      </c>
      <c r="B6675" s="431" t="str">
        <f t="shared" si="104"/>
        <v>Varicose VeinCCG of GP PracticeNHS WEST NORFOLK CCG (07J)EQ VAS</v>
      </c>
      <c r="C6675" t="s">
        <v>17</v>
      </c>
      <c r="D6675" t="s">
        <v>87</v>
      </c>
      <c r="E6675" t="s">
        <v>459</v>
      </c>
      <c r="F6675" t="s">
        <v>460</v>
      </c>
      <c r="G6675" t="s">
        <v>179</v>
      </c>
      <c r="H6675">
        <v>19</v>
      </c>
      <c r="I6675">
        <v>74.525999999999996</v>
      </c>
      <c r="J6675">
        <v>79.263000000000005</v>
      </c>
      <c r="K6675">
        <v>4.7370000000000001</v>
      </c>
      <c r="L6675">
        <v>6</v>
      </c>
      <c r="M6675">
        <v>5</v>
      </c>
      <c r="N6675">
        <v>8</v>
      </c>
      <c r="O6675" t="s">
        <v>53</v>
      </c>
      <c r="P6675" t="s">
        <v>53</v>
      </c>
      <c r="Q6675" t="s">
        <v>53</v>
      </c>
    </row>
    <row r="6676" spans="1:17" x14ac:dyDescent="0.2">
      <c r="A6676" s="30" t="str">
        <f>IF(C6676&amp;G6676&amp;D6676&lt;&gt;'Funnel setup'!$K$3&amp;'Funnel setup'!$K$4&amp;'Funnel setup'!$K$5,".",IF(A6675=".",1,A6675+1))</f>
        <v>.</v>
      </c>
      <c r="B6676" s="431" t="str">
        <f t="shared" si="104"/>
        <v>Varicose VeinCCG of GP PracticeNHS WEST SUFFOLK CCG (07K)EQ VAS</v>
      </c>
      <c r="C6676" t="s">
        <v>17</v>
      </c>
      <c r="D6676" t="s">
        <v>87</v>
      </c>
      <c r="E6676" t="s">
        <v>462</v>
      </c>
      <c r="F6676" t="s">
        <v>463</v>
      </c>
      <c r="G6676" t="s">
        <v>179</v>
      </c>
      <c r="H6676">
        <v>28</v>
      </c>
      <c r="I6676">
        <v>77.179000000000002</v>
      </c>
      <c r="J6676">
        <v>79.570999999999998</v>
      </c>
      <c r="K6676">
        <v>2.3929999999999998</v>
      </c>
      <c r="L6676">
        <v>14</v>
      </c>
      <c r="M6676">
        <v>7</v>
      </c>
      <c r="N6676">
        <v>7</v>
      </c>
      <c r="O6676" t="s">
        <v>53</v>
      </c>
      <c r="P6676" t="s">
        <v>53</v>
      </c>
      <c r="Q6676" t="s">
        <v>53</v>
      </c>
    </row>
    <row r="6677" spans="1:17" x14ac:dyDescent="0.2">
      <c r="A6677" s="30" t="str">
        <f>IF(C6677&amp;G6677&amp;D6677&lt;&gt;'Funnel setup'!$K$3&amp;'Funnel setup'!$K$4&amp;'Funnel setup'!$K$5,".",IF(A6676=".",1,A6676+1))</f>
        <v>.</v>
      </c>
      <c r="B6677" s="431" t="str">
        <f t="shared" si="104"/>
        <v>Varicose VeinCCG of GP PracticeNHS WIGAN BOROUGH CCG (02H)EQ VAS</v>
      </c>
      <c r="C6677" t="s">
        <v>17</v>
      </c>
      <c r="D6677" t="s">
        <v>87</v>
      </c>
      <c r="E6677" t="s">
        <v>465</v>
      </c>
      <c r="F6677" t="s">
        <v>466</v>
      </c>
      <c r="G6677" t="s">
        <v>179</v>
      </c>
      <c r="H6677">
        <v>13</v>
      </c>
      <c r="I6677">
        <v>79.537999999999997</v>
      </c>
      <c r="J6677">
        <v>78</v>
      </c>
      <c r="K6677">
        <v>-1.538</v>
      </c>
      <c r="L6677">
        <v>6</v>
      </c>
      <c r="M6677">
        <v>2</v>
      </c>
      <c r="N6677">
        <v>5</v>
      </c>
      <c r="O6677" t="s">
        <v>53</v>
      </c>
      <c r="P6677" t="s">
        <v>53</v>
      </c>
      <c r="Q6677" t="s">
        <v>53</v>
      </c>
    </row>
    <row r="6678" spans="1:17" x14ac:dyDescent="0.2">
      <c r="A6678" s="30" t="str">
        <f>IF(C6678&amp;G6678&amp;D6678&lt;&gt;'Funnel setup'!$K$3&amp;'Funnel setup'!$K$4&amp;'Funnel setup'!$K$5,".",IF(A6677=".",1,A6677+1))</f>
        <v>.</v>
      </c>
      <c r="B6678" s="431" t="str">
        <f t="shared" si="104"/>
        <v>Varicose VeinCCG of GP PracticeNHS WILTSHIRE CCG (99N)EQ VAS</v>
      </c>
      <c r="C6678" t="s">
        <v>17</v>
      </c>
      <c r="D6678" t="s">
        <v>87</v>
      </c>
      <c r="E6678" t="s">
        <v>468</v>
      </c>
      <c r="F6678" t="s">
        <v>469</v>
      </c>
      <c r="G6678" t="s">
        <v>179</v>
      </c>
      <c r="H6678">
        <v>50</v>
      </c>
      <c r="I6678">
        <v>77.08</v>
      </c>
      <c r="J6678">
        <v>76.540000000000006</v>
      </c>
      <c r="K6678">
        <v>-0.54</v>
      </c>
      <c r="L6678">
        <v>21</v>
      </c>
      <c r="M6678">
        <v>8</v>
      </c>
      <c r="N6678">
        <v>21</v>
      </c>
      <c r="O6678">
        <v>78.192999999999998</v>
      </c>
      <c r="P6678">
        <v>-0.77057639200000005</v>
      </c>
      <c r="Q6678">
        <v>12.699</v>
      </c>
    </row>
    <row r="6679" spans="1:17" x14ac:dyDescent="0.2">
      <c r="A6679" s="30" t="str">
        <f>IF(C6679&amp;G6679&amp;D6679&lt;&gt;'Funnel setup'!$K$3&amp;'Funnel setup'!$K$4&amp;'Funnel setup'!$K$5,".",IF(A6678=".",1,A6678+1))</f>
        <v>.</v>
      </c>
      <c r="B6679" s="431" t="str">
        <f t="shared" si="104"/>
        <v>Varicose VeinCCG of GP PracticeNHS WIRRAL CCG (12F)EQ VAS</v>
      </c>
      <c r="C6679" t="s">
        <v>17</v>
      </c>
      <c r="D6679" t="s">
        <v>87</v>
      </c>
      <c r="E6679" t="s">
        <v>474</v>
      </c>
      <c r="F6679" t="s">
        <v>475</v>
      </c>
      <c r="G6679" t="s">
        <v>179</v>
      </c>
      <c r="H6679">
        <v>50</v>
      </c>
      <c r="I6679">
        <v>82.66</v>
      </c>
      <c r="J6679">
        <v>80.260000000000005</v>
      </c>
      <c r="K6679">
        <v>-2.4</v>
      </c>
      <c r="L6679">
        <v>17</v>
      </c>
      <c r="M6679">
        <v>14</v>
      </c>
      <c r="N6679">
        <v>19</v>
      </c>
      <c r="O6679">
        <v>78.664000000000001</v>
      </c>
      <c r="P6679">
        <v>-0.29998706200000003</v>
      </c>
      <c r="Q6679">
        <v>13.047000000000001</v>
      </c>
    </row>
    <row r="6680" spans="1:17" x14ac:dyDescent="0.2">
      <c r="A6680" s="30" t="str">
        <f>IF(C6680&amp;G6680&amp;D6680&lt;&gt;'Funnel setup'!$K$3&amp;'Funnel setup'!$K$4&amp;'Funnel setup'!$K$5,".",IF(A6679=".",1,A6679+1))</f>
        <v>.</v>
      </c>
      <c r="B6680" s="431" t="str">
        <f t="shared" si="104"/>
        <v>Varicose VeinCCG of GP PracticeNHS WOKINGHAM CCG (11D)EQ VAS</v>
      </c>
      <c r="C6680" t="s">
        <v>17</v>
      </c>
      <c r="D6680" t="s">
        <v>87</v>
      </c>
      <c r="E6680" t="s">
        <v>477</v>
      </c>
      <c r="F6680" t="s">
        <v>478</v>
      </c>
      <c r="G6680" t="s">
        <v>179</v>
      </c>
      <c r="H6680" t="s">
        <v>53</v>
      </c>
      <c r="I6680" t="s">
        <v>53</v>
      </c>
      <c r="J6680" t="s">
        <v>53</v>
      </c>
      <c r="K6680" t="s">
        <v>53</v>
      </c>
      <c r="L6680" t="s">
        <v>53</v>
      </c>
      <c r="M6680" t="s">
        <v>53</v>
      </c>
      <c r="N6680" t="s">
        <v>53</v>
      </c>
      <c r="O6680" t="s">
        <v>53</v>
      </c>
      <c r="P6680" t="s">
        <v>53</v>
      </c>
      <c r="Q6680" t="s">
        <v>53</v>
      </c>
    </row>
    <row r="6681" spans="1:17" x14ac:dyDescent="0.2">
      <c r="A6681" s="30" t="str">
        <f>IF(C6681&amp;G6681&amp;D6681&lt;&gt;'Funnel setup'!$K$3&amp;'Funnel setup'!$K$4&amp;'Funnel setup'!$K$5,".",IF(A6680=".",1,A6680+1))</f>
        <v>.</v>
      </c>
      <c r="B6681" s="431" t="str">
        <f t="shared" si="104"/>
        <v>Varicose VeinCCG of GP PracticeNHS WOLVERHAMPTON CCG (06A)EQ VAS</v>
      </c>
      <c r="C6681" t="s">
        <v>17</v>
      </c>
      <c r="D6681" t="s">
        <v>87</v>
      </c>
      <c r="E6681" t="s">
        <v>480</v>
      </c>
      <c r="F6681" t="s">
        <v>481</v>
      </c>
      <c r="G6681" t="s">
        <v>179</v>
      </c>
      <c r="H6681">
        <v>40</v>
      </c>
      <c r="I6681">
        <v>73.775000000000006</v>
      </c>
      <c r="J6681">
        <v>77.924999999999997</v>
      </c>
      <c r="K6681">
        <v>4.1500000000000004</v>
      </c>
      <c r="L6681">
        <v>20</v>
      </c>
      <c r="M6681">
        <v>6</v>
      </c>
      <c r="N6681">
        <v>14</v>
      </c>
      <c r="O6681">
        <v>80.852999999999994</v>
      </c>
      <c r="P6681">
        <v>1.888564621</v>
      </c>
      <c r="Q6681">
        <v>13.256</v>
      </c>
    </row>
    <row r="6682" spans="1:17" x14ac:dyDescent="0.2">
      <c r="A6682" s="30" t="str">
        <f>IF(C6682&amp;G6682&amp;D6682&lt;&gt;'Funnel setup'!$K$3&amp;'Funnel setup'!$K$4&amp;'Funnel setup'!$K$5,".",IF(A6681=".",1,A6681+1))</f>
        <v>.</v>
      </c>
      <c r="B6682" s="431" t="str">
        <f t="shared" si="104"/>
        <v>Varicose VeinCCG of GP PracticeNHS WYRE FOREST CCG (06D)EQ VAS</v>
      </c>
      <c r="C6682" t="s">
        <v>17</v>
      </c>
      <c r="D6682" t="s">
        <v>87</v>
      </c>
      <c r="E6682" t="s">
        <v>483</v>
      </c>
      <c r="F6682" t="s">
        <v>484</v>
      </c>
      <c r="G6682" t="s">
        <v>179</v>
      </c>
      <c r="H6682" t="s">
        <v>53</v>
      </c>
      <c r="I6682" t="s">
        <v>53</v>
      </c>
      <c r="J6682" t="s">
        <v>53</v>
      </c>
      <c r="K6682" t="s">
        <v>53</v>
      </c>
      <c r="L6682" t="s">
        <v>53</v>
      </c>
      <c r="M6682" t="s">
        <v>53</v>
      </c>
      <c r="N6682" t="s">
        <v>53</v>
      </c>
      <c r="O6682" t="s">
        <v>53</v>
      </c>
      <c r="P6682" t="s">
        <v>53</v>
      </c>
      <c r="Q6682" t="s">
        <v>53</v>
      </c>
    </row>
    <row r="6683" spans="1:17" x14ac:dyDescent="0.2">
      <c r="A6683" s="30" t="str">
        <f>IF(C6683&amp;G6683&amp;D6683&lt;&gt;'Funnel setup'!$K$3&amp;'Funnel setup'!$K$4&amp;'Funnel setup'!$K$5,".",IF(A6682=".",1,A6682+1))</f>
        <v>.</v>
      </c>
      <c r="B6683" s="431" t="str">
        <f t="shared" si="104"/>
        <v>Varicose VeinCCG of GP PracticeNATIONAL COMMISSIONING HUB 1 (13Q)EQ-5D Index</v>
      </c>
      <c r="C6683" t="s">
        <v>17</v>
      </c>
      <c r="D6683" t="s">
        <v>87</v>
      </c>
      <c r="E6683" t="s">
        <v>563</v>
      </c>
      <c r="F6683" t="s">
        <v>564</v>
      </c>
      <c r="G6683" t="s">
        <v>52</v>
      </c>
      <c r="H6683">
        <v>13</v>
      </c>
      <c r="I6683">
        <v>0.92900000000000005</v>
      </c>
      <c r="J6683">
        <v>0.95699999999999996</v>
      </c>
      <c r="K6683">
        <v>2.8000000000000001E-2</v>
      </c>
      <c r="L6683">
        <v>3</v>
      </c>
      <c r="M6683">
        <v>9</v>
      </c>
      <c r="N6683">
        <v>1</v>
      </c>
      <c r="O6683" t="s">
        <v>53</v>
      </c>
      <c r="P6683" t="s">
        <v>53</v>
      </c>
      <c r="Q6683" t="s">
        <v>53</v>
      </c>
    </row>
    <row r="6684" spans="1:17" x14ac:dyDescent="0.2">
      <c r="A6684" s="30" t="str">
        <f>IF(C6684&amp;G6684&amp;D6684&lt;&gt;'Funnel setup'!$K$3&amp;'Funnel setup'!$K$4&amp;'Funnel setup'!$K$5,".",IF(A6683=".",1,A6683+1))</f>
        <v>.</v>
      </c>
      <c r="B6684" s="431" t="str">
        <f t="shared" si="104"/>
        <v>Varicose VeinCCG of GP PracticeNHS AIREDALE, WHARFEDALE AND CRAVEN CCG (02N)EQ-5D Index</v>
      </c>
      <c r="C6684" t="s">
        <v>17</v>
      </c>
      <c r="D6684" t="s">
        <v>87</v>
      </c>
      <c r="E6684" t="s">
        <v>566</v>
      </c>
      <c r="F6684" t="s">
        <v>567</v>
      </c>
      <c r="G6684" t="s">
        <v>52</v>
      </c>
      <c r="H6684">
        <v>47</v>
      </c>
      <c r="I6684">
        <v>0.79100000000000004</v>
      </c>
      <c r="J6684">
        <v>0.88500000000000001</v>
      </c>
      <c r="K6684">
        <v>9.4E-2</v>
      </c>
      <c r="L6684">
        <v>27</v>
      </c>
      <c r="M6684">
        <v>15</v>
      </c>
      <c r="N6684">
        <v>5</v>
      </c>
      <c r="O6684">
        <v>0.86099999999999999</v>
      </c>
      <c r="P6684">
        <v>0.114337964</v>
      </c>
      <c r="Q6684">
        <v>0.19</v>
      </c>
    </row>
    <row r="6685" spans="1:17" x14ac:dyDescent="0.2">
      <c r="A6685" s="30" t="str">
        <f>IF(C6685&amp;G6685&amp;D6685&lt;&gt;'Funnel setup'!$K$3&amp;'Funnel setup'!$K$4&amp;'Funnel setup'!$K$5,".",IF(A6684=".",1,A6684+1))</f>
        <v>.</v>
      </c>
      <c r="B6685" s="431" t="str">
        <f t="shared" si="104"/>
        <v>Varicose VeinCCG of GP PracticeNHS ASHFORD CCG (09C)EQ-5D Index</v>
      </c>
      <c r="C6685" t="s">
        <v>17</v>
      </c>
      <c r="D6685" t="s">
        <v>87</v>
      </c>
      <c r="E6685" t="s">
        <v>569</v>
      </c>
      <c r="F6685" t="s">
        <v>339</v>
      </c>
      <c r="G6685" t="s">
        <v>52</v>
      </c>
      <c r="H6685" t="s">
        <v>53</v>
      </c>
      <c r="I6685" t="s">
        <v>53</v>
      </c>
      <c r="J6685" t="s">
        <v>53</v>
      </c>
      <c r="K6685" t="s">
        <v>53</v>
      </c>
      <c r="L6685" t="s">
        <v>53</v>
      </c>
      <c r="M6685" t="s">
        <v>53</v>
      </c>
      <c r="N6685" t="s">
        <v>53</v>
      </c>
      <c r="O6685" t="s">
        <v>53</v>
      </c>
      <c r="P6685" t="s">
        <v>53</v>
      </c>
      <c r="Q6685" t="s">
        <v>53</v>
      </c>
    </row>
    <row r="6686" spans="1:17" x14ac:dyDescent="0.2">
      <c r="A6686" s="30" t="str">
        <f>IF(C6686&amp;G6686&amp;D6686&lt;&gt;'Funnel setup'!$K$3&amp;'Funnel setup'!$K$4&amp;'Funnel setup'!$K$5,".",IF(A6685=".",1,A6685+1))</f>
        <v>.</v>
      </c>
      <c r="B6686" s="431" t="str">
        <f t="shared" si="104"/>
        <v>Varicose VeinCCG of GP PracticeNHS AYLESBURY VALE CCG (10Y)EQ-5D Index</v>
      </c>
      <c r="C6686" t="s">
        <v>17</v>
      </c>
      <c r="D6686" t="s">
        <v>87</v>
      </c>
      <c r="E6686" t="s">
        <v>571</v>
      </c>
      <c r="F6686" t="s">
        <v>572</v>
      </c>
      <c r="G6686" t="s">
        <v>52</v>
      </c>
      <c r="H6686">
        <v>13</v>
      </c>
      <c r="I6686">
        <v>0.63600000000000001</v>
      </c>
      <c r="J6686">
        <v>0.81</v>
      </c>
      <c r="K6686">
        <v>0.17399999999999999</v>
      </c>
      <c r="L6686">
        <v>11</v>
      </c>
      <c r="M6686">
        <v>1</v>
      </c>
      <c r="N6686">
        <v>1</v>
      </c>
      <c r="O6686" t="s">
        <v>53</v>
      </c>
      <c r="P6686" t="s">
        <v>53</v>
      </c>
      <c r="Q6686" t="s">
        <v>53</v>
      </c>
    </row>
    <row r="6687" spans="1:17" x14ac:dyDescent="0.2">
      <c r="A6687" s="30" t="str">
        <f>IF(C6687&amp;G6687&amp;D6687&lt;&gt;'Funnel setup'!$K$3&amp;'Funnel setup'!$K$4&amp;'Funnel setup'!$K$5,".",IF(A6686=".",1,A6686+1))</f>
        <v>.</v>
      </c>
      <c r="B6687" s="431" t="str">
        <f t="shared" si="104"/>
        <v>Varicose VeinCCG of GP PracticeNHS BARKING AND DAGENHAM CCG (07L)EQ-5D Index</v>
      </c>
      <c r="C6687" t="s">
        <v>17</v>
      </c>
      <c r="D6687" t="s">
        <v>87</v>
      </c>
      <c r="E6687" t="s">
        <v>574</v>
      </c>
      <c r="F6687" t="s">
        <v>575</v>
      </c>
      <c r="G6687" t="s">
        <v>52</v>
      </c>
      <c r="H6687">
        <v>20</v>
      </c>
      <c r="I6687">
        <v>0.755</v>
      </c>
      <c r="J6687">
        <v>0.751</v>
      </c>
      <c r="K6687">
        <v>-4.0000000000000001E-3</v>
      </c>
      <c r="L6687">
        <v>9</v>
      </c>
      <c r="M6687">
        <v>1</v>
      </c>
      <c r="N6687">
        <v>10</v>
      </c>
      <c r="O6687" t="s">
        <v>53</v>
      </c>
      <c r="P6687" t="s">
        <v>53</v>
      </c>
      <c r="Q6687" t="s">
        <v>53</v>
      </c>
    </row>
    <row r="6688" spans="1:17" x14ac:dyDescent="0.2">
      <c r="A6688" s="30" t="str">
        <f>IF(C6688&amp;G6688&amp;D6688&lt;&gt;'Funnel setup'!$K$3&amp;'Funnel setup'!$K$4&amp;'Funnel setup'!$K$5,".",IF(A6687=".",1,A6687+1))</f>
        <v>.</v>
      </c>
      <c r="B6688" s="431" t="str">
        <f t="shared" si="104"/>
        <v>Varicose VeinCCG of GP PracticeNHS BARNET CCG (07M)EQ-5D Index</v>
      </c>
      <c r="C6688" t="s">
        <v>17</v>
      </c>
      <c r="D6688" t="s">
        <v>87</v>
      </c>
      <c r="E6688" t="s">
        <v>577</v>
      </c>
      <c r="F6688" t="s">
        <v>578</v>
      </c>
      <c r="G6688" t="s">
        <v>52</v>
      </c>
      <c r="H6688">
        <v>12</v>
      </c>
      <c r="I6688">
        <v>0.69399999999999995</v>
      </c>
      <c r="J6688">
        <v>0.74299999999999999</v>
      </c>
      <c r="K6688">
        <v>4.9000000000000002E-2</v>
      </c>
      <c r="L6688">
        <v>4</v>
      </c>
      <c r="M6688">
        <v>5</v>
      </c>
      <c r="N6688">
        <v>3</v>
      </c>
      <c r="O6688" t="s">
        <v>53</v>
      </c>
      <c r="P6688" t="s">
        <v>53</v>
      </c>
      <c r="Q6688" t="s">
        <v>53</v>
      </c>
    </row>
    <row r="6689" spans="1:17" x14ac:dyDescent="0.2">
      <c r="A6689" s="30" t="str">
        <f>IF(C6689&amp;G6689&amp;D6689&lt;&gt;'Funnel setup'!$K$3&amp;'Funnel setup'!$K$4&amp;'Funnel setup'!$K$5,".",IF(A6688=".",1,A6688+1))</f>
        <v>.</v>
      </c>
      <c r="B6689" s="431" t="str">
        <f t="shared" si="104"/>
        <v>Varicose VeinCCG of GP PracticeNHS BARNSLEY CCG (02P)EQ-5D Index</v>
      </c>
      <c r="C6689" t="s">
        <v>17</v>
      </c>
      <c r="D6689" t="s">
        <v>87</v>
      </c>
      <c r="E6689" t="s">
        <v>580</v>
      </c>
      <c r="F6689" t="s">
        <v>581</v>
      </c>
      <c r="G6689" t="s">
        <v>52</v>
      </c>
      <c r="H6689">
        <v>41</v>
      </c>
      <c r="I6689">
        <v>0.75700000000000001</v>
      </c>
      <c r="J6689">
        <v>0.83799999999999997</v>
      </c>
      <c r="K6689">
        <v>0.08</v>
      </c>
      <c r="L6689">
        <v>18</v>
      </c>
      <c r="M6689">
        <v>11</v>
      </c>
      <c r="N6689">
        <v>12</v>
      </c>
      <c r="O6689">
        <v>0.82299999999999995</v>
      </c>
      <c r="P6689">
        <v>7.6110673000000004E-2</v>
      </c>
      <c r="Q6689">
        <v>0.20799999999999999</v>
      </c>
    </row>
    <row r="6690" spans="1:17" x14ac:dyDescent="0.2">
      <c r="A6690" s="30" t="str">
        <f>IF(C6690&amp;G6690&amp;D6690&lt;&gt;'Funnel setup'!$K$3&amp;'Funnel setup'!$K$4&amp;'Funnel setup'!$K$5,".",IF(A6689=".",1,A6689+1))</f>
        <v>.</v>
      </c>
      <c r="B6690" s="431" t="str">
        <f t="shared" si="104"/>
        <v>Varicose VeinCCG of GP PracticeNHS BASILDON AND BRENTWOOD CCG (99E)EQ-5D Index</v>
      </c>
      <c r="C6690" t="s">
        <v>17</v>
      </c>
      <c r="D6690" t="s">
        <v>87</v>
      </c>
      <c r="E6690" t="s">
        <v>583</v>
      </c>
      <c r="F6690" t="s">
        <v>584</v>
      </c>
      <c r="G6690" t="s">
        <v>52</v>
      </c>
      <c r="H6690">
        <v>8</v>
      </c>
      <c r="I6690">
        <v>0.84599999999999997</v>
      </c>
      <c r="J6690">
        <v>0.93200000000000005</v>
      </c>
      <c r="K6690">
        <v>8.5000000000000006E-2</v>
      </c>
      <c r="L6690">
        <v>4</v>
      </c>
      <c r="M6690">
        <v>2</v>
      </c>
      <c r="N6690">
        <v>2</v>
      </c>
      <c r="O6690" t="s">
        <v>53</v>
      </c>
      <c r="P6690" t="s">
        <v>53</v>
      </c>
      <c r="Q6690" t="s">
        <v>53</v>
      </c>
    </row>
    <row r="6691" spans="1:17" x14ac:dyDescent="0.2">
      <c r="A6691" s="30" t="str">
        <f>IF(C6691&amp;G6691&amp;D6691&lt;&gt;'Funnel setup'!$K$3&amp;'Funnel setup'!$K$4&amp;'Funnel setup'!$K$5,".",IF(A6690=".",1,A6690+1))</f>
        <v>.</v>
      </c>
      <c r="B6691" s="431" t="str">
        <f t="shared" si="104"/>
        <v>Varicose VeinCCG of GP PracticeNHS BASSETLAW CCG (02Q)EQ-5D Index</v>
      </c>
      <c r="C6691" t="s">
        <v>17</v>
      </c>
      <c r="D6691" t="s">
        <v>87</v>
      </c>
      <c r="E6691" t="s">
        <v>586</v>
      </c>
      <c r="F6691" t="s">
        <v>587</v>
      </c>
      <c r="G6691" t="s">
        <v>52</v>
      </c>
      <c r="H6691">
        <v>8</v>
      </c>
      <c r="I6691">
        <v>0.75</v>
      </c>
      <c r="J6691">
        <v>0.83499999999999996</v>
      </c>
      <c r="K6691">
        <v>8.5000000000000006E-2</v>
      </c>
      <c r="L6691">
        <v>4</v>
      </c>
      <c r="M6691">
        <v>3</v>
      </c>
      <c r="N6691">
        <v>1</v>
      </c>
      <c r="O6691" t="s">
        <v>53</v>
      </c>
      <c r="P6691" t="s">
        <v>53</v>
      </c>
      <c r="Q6691" t="s">
        <v>53</v>
      </c>
    </row>
    <row r="6692" spans="1:17" x14ac:dyDescent="0.2">
      <c r="A6692" s="30" t="str">
        <f>IF(C6692&amp;G6692&amp;D6692&lt;&gt;'Funnel setup'!$K$3&amp;'Funnel setup'!$K$4&amp;'Funnel setup'!$K$5,".",IF(A6691=".",1,A6691+1))</f>
        <v>.</v>
      </c>
      <c r="B6692" s="431" t="str">
        <f t="shared" si="104"/>
        <v>Varicose VeinCCG of GP PracticeNHS BATH AND NORTH EAST SOMERSET CCG (11E)EQ-5D Index</v>
      </c>
      <c r="C6692" t="s">
        <v>17</v>
      </c>
      <c r="D6692" t="s">
        <v>87</v>
      </c>
      <c r="E6692" t="s">
        <v>589</v>
      </c>
      <c r="F6692" t="s">
        <v>590</v>
      </c>
      <c r="G6692" t="s">
        <v>52</v>
      </c>
      <c r="H6692">
        <v>37</v>
      </c>
      <c r="I6692">
        <v>0.84699999999999998</v>
      </c>
      <c r="J6692">
        <v>0.91800000000000004</v>
      </c>
      <c r="K6692">
        <v>7.1999999999999995E-2</v>
      </c>
      <c r="L6692">
        <v>17</v>
      </c>
      <c r="M6692">
        <v>17</v>
      </c>
      <c r="N6692">
        <v>3</v>
      </c>
      <c r="O6692">
        <v>0.84099999999999997</v>
      </c>
      <c r="P6692">
        <v>9.4503177999999993E-2</v>
      </c>
      <c r="Q6692">
        <v>0.104</v>
      </c>
    </row>
    <row r="6693" spans="1:17" x14ac:dyDescent="0.2">
      <c r="A6693" s="30" t="str">
        <f>IF(C6693&amp;G6693&amp;D6693&lt;&gt;'Funnel setup'!$K$3&amp;'Funnel setup'!$K$4&amp;'Funnel setup'!$K$5,".",IF(A6692=".",1,A6692+1))</f>
        <v>.</v>
      </c>
      <c r="B6693" s="431" t="str">
        <f t="shared" si="104"/>
        <v>Varicose VeinCCG of GP PracticeNHS BEDFORDSHIRE CCG (06F)EQ-5D Index</v>
      </c>
      <c r="C6693" t="s">
        <v>17</v>
      </c>
      <c r="D6693" t="s">
        <v>87</v>
      </c>
      <c r="E6693" t="s">
        <v>592</v>
      </c>
      <c r="F6693" t="s">
        <v>593</v>
      </c>
      <c r="G6693" t="s">
        <v>52</v>
      </c>
      <c r="H6693">
        <v>32</v>
      </c>
      <c r="I6693">
        <v>0.77700000000000002</v>
      </c>
      <c r="J6693">
        <v>0.86299999999999999</v>
      </c>
      <c r="K6693">
        <v>8.5999999999999993E-2</v>
      </c>
      <c r="L6693">
        <v>18</v>
      </c>
      <c r="M6693">
        <v>10</v>
      </c>
      <c r="N6693">
        <v>4</v>
      </c>
      <c r="O6693">
        <v>0.85399999999999998</v>
      </c>
      <c r="P6693">
        <v>0.107394134</v>
      </c>
      <c r="Q6693">
        <v>0.11600000000000001</v>
      </c>
    </row>
    <row r="6694" spans="1:17" x14ac:dyDescent="0.2">
      <c r="A6694" s="30" t="str">
        <f>IF(C6694&amp;G6694&amp;D6694&lt;&gt;'Funnel setup'!$K$3&amp;'Funnel setup'!$K$4&amp;'Funnel setup'!$K$5,".",IF(A6693=".",1,A6693+1))</f>
        <v>.</v>
      </c>
      <c r="B6694" s="431" t="str">
        <f t="shared" si="104"/>
        <v>Varicose VeinCCG of GP PracticeNHS BEXLEY CCG (07N)EQ-5D Index</v>
      </c>
      <c r="C6694" t="s">
        <v>17</v>
      </c>
      <c r="D6694" t="s">
        <v>87</v>
      </c>
      <c r="E6694" t="s">
        <v>595</v>
      </c>
      <c r="F6694" t="s">
        <v>596</v>
      </c>
      <c r="G6694" t="s">
        <v>52</v>
      </c>
      <c r="H6694">
        <v>14</v>
      </c>
      <c r="I6694">
        <v>0.73299999999999998</v>
      </c>
      <c r="J6694">
        <v>0.82699999999999996</v>
      </c>
      <c r="K6694">
        <v>9.4E-2</v>
      </c>
      <c r="L6694">
        <v>6</v>
      </c>
      <c r="M6694">
        <v>6</v>
      </c>
      <c r="N6694">
        <v>2</v>
      </c>
      <c r="O6694" t="s">
        <v>53</v>
      </c>
      <c r="P6694" t="s">
        <v>53</v>
      </c>
      <c r="Q6694" t="s">
        <v>53</v>
      </c>
    </row>
    <row r="6695" spans="1:17" x14ac:dyDescent="0.2">
      <c r="A6695" s="30" t="str">
        <f>IF(C6695&amp;G6695&amp;D6695&lt;&gt;'Funnel setup'!$K$3&amp;'Funnel setup'!$K$4&amp;'Funnel setup'!$K$5,".",IF(A6694=".",1,A6694+1))</f>
        <v>.</v>
      </c>
      <c r="B6695" s="431" t="str">
        <f t="shared" si="104"/>
        <v>Varicose VeinCCG of GP PracticeNHS BIRMINGHAM CROSSCITY CCG (13P)EQ-5D Index</v>
      </c>
      <c r="C6695" t="s">
        <v>17</v>
      </c>
      <c r="D6695" t="s">
        <v>87</v>
      </c>
      <c r="E6695" t="s">
        <v>598</v>
      </c>
      <c r="F6695" t="s">
        <v>599</v>
      </c>
      <c r="G6695" t="s">
        <v>52</v>
      </c>
      <c r="H6695">
        <v>88</v>
      </c>
      <c r="I6695">
        <v>0.70599999999999996</v>
      </c>
      <c r="J6695">
        <v>0.85699999999999998</v>
      </c>
      <c r="K6695">
        <v>0.151</v>
      </c>
      <c r="L6695">
        <v>49</v>
      </c>
      <c r="M6695">
        <v>29</v>
      </c>
      <c r="N6695">
        <v>10</v>
      </c>
      <c r="O6695">
        <v>0.88700000000000001</v>
      </c>
      <c r="P6695">
        <v>0.140440124</v>
      </c>
      <c r="Q6695">
        <v>0.182</v>
      </c>
    </row>
    <row r="6696" spans="1:17" x14ac:dyDescent="0.2">
      <c r="A6696" s="30" t="str">
        <f>IF(C6696&amp;G6696&amp;D6696&lt;&gt;'Funnel setup'!$K$3&amp;'Funnel setup'!$K$4&amp;'Funnel setup'!$K$5,".",IF(A6695=".",1,A6695+1))</f>
        <v>.</v>
      </c>
      <c r="B6696" s="431" t="str">
        <f t="shared" si="104"/>
        <v>Varicose VeinCCG of GP PracticeNHS BIRMINGHAM SOUTH AND CENTRAL CCG (04X)EQ-5D Index</v>
      </c>
      <c r="C6696" t="s">
        <v>17</v>
      </c>
      <c r="D6696" t="s">
        <v>87</v>
      </c>
      <c r="E6696" t="s">
        <v>601</v>
      </c>
      <c r="F6696" t="s">
        <v>602</v>
      </c>
      <c r="G6696" t="s">
        <v>52</v>
      </c>
      <c r="H6696">
        <v>7</v>
      </c>
      <c r="I6696">
        <v>0.83699999999999997</v>
      </c>
      <c r="J6696">
        <v>0.92400000000000004</v>
      </c>
      <c r="K6696">
        <v>8.6999999999999994E-2</v>
      </c>
      <c r="L6696">
        <v>4</v>
      </c>
      <c r="M6696">
        <v>2</v>
      </c>
      <c r="N6696">
        <v>1</v>
      </c>
      <c r="O6696" t="s">
        <v>53</v>
      </c>
      <c r="P6696" t="s">
        <v>53</v>
      </c>
      <c r="Q6696" t="s">
        <v>53</v>
      </c>
    </row>
    <row r="6697" spans="1:17" x14ac:dyDescent="0.2">
      <c r="A6697" s="30" t="str">
        <f>IF(C6697&amp;G6697&amp;D6697&lt;&gt;'Funnel setup'!$K$3&amp;'Funnel setup'!$K$4&amp;'Funnel setup'!$K$5,".",IF(A6696=".",1,A6696+1))</f>
        <v>.</v>
      </c>
      <c r="B6697" s="431" t="str">
        <f t="shared" si="104"/>
        <v>Varicose VeinCCG of GP PracticeNHS BLACKBURN WITH DARWEN CCG (00Q)EQ-5D Index</v>
      </c>
      <c r="C6697" t="s">
        <v>17</v>
      </c>
      <c r="D6697" t="s">
        <v>87</v>
      </c>
      <c r="E6697" t="s">
        <v>604</v>
      </c>
      <c r="F6697" t="s">
        <v>605</v>
      </c>
      <c r="G6697" t="s">
        <v>52</v>
      </c>
      <c r="H6697">
        <v>26</v>
      </c>
      <c r="I6697">
        <v>0.82899999999999996</v>
      </c>
      <c r="J6697">
        <v>0.85799999999999998</v>
      </c>
      <c r="K6697">
        <v>2.9000000000000001E-2</v>
      </c>
      <c r="L6697">
        <v>9</v>
      </c>
      <c r="M6697">
        <v>10</v>
      </c>
      <c r="N6697">
        <v>7</v>
      </c>
      <c r="O6697" t="s">
        <v>53</v>
      </c>
      <c r="P6697" t="s">
        <v>53</v>
      </c>
      <c r="Q6697" t="s">
        <v>53</v>
      </c>
    </row>
    <row r="6698" spans="1:17" x14ac:dyDescent="0.2">
      <c r="A6698" s="30" t="str">
        <f>IF(C6698&amp;G6698&amp;D6698&lt;&gt;'Funnel setup'!$K$3&amp;'Funnel setup'!$K$4&amp;'Funnel setup'!$K$5,".",IF(A6697=".",1,A6697+1))</f>
        <v>.</v>
      </c>
      <c r="B6698" s="431" t="str">
        <f t="shared" si="104"/>
        <v>Varicose VeinCCG of GP PracticeNHS BLACKPOOL CCG (00R)EQ-5D Index</v>
      </c>
      <c r="C6698" t="s">
        <v>17</v>
      </c>
      <c r="D6698" t="s">
        <v>87</v>
      </c>
      <c r="E6698" t="s">
        <v>607</v>
      </c>
      <c r="F6698" t="s">
        <v>608</v>
      </c>
      <c r="G6698" t="s">
        <v>52</v>
      </c>
      <c r="H6698">
        <v>7</v>
      </c>
      <c r="I6698">
        <v>0.63600000000000001</v>
      </c>
      <c r="J6698">
        <v>0.79</v>
      </c>
      <c r="K6698">
        <v>0.154</v>
      </c>
      <c r="L6698">
        <v>5</v>
      </c>
      <c r="M6698">
        <v>2</v>
      </c>
      <c r="N6698">
        <v>0</v>
      </c>
      <c r="O6698" t="s">
        <v>53</v>
      </c>
      <c r="P6698" t="s">
        <v>53</v>
      </c>
      <c r="Q6698" t="s">
        <v>53</v>
      </c>
    </row>
    <row r="6699" spans="1:17" x14ac:dyDescent="0.2">
      <c r="A6699" s="30" t="str">
        <f>IF(C6699&amp;G6699&amp;D6699&lt;&gt;'Funnel setup'!$K$3&amp;'Funnel setup'!$K$4&amp;'Funnel setup'!$K$5,".",IF(A6698=".",1,A6698+1))</f>
        <v>.</v>
      </c>
      <c r="B6699" s="431" t="str">
        <f t="shared" si="104"/>
        <v>Varicose VeinCCG of GP PracticeNHS BOLTON CCG (00T)EQ-5D Index</v>
      </c>
      <c r="C6699" t="s">
        <v>17</v>
      </c>
      <c r="D6699" t="s">
        <v>87</v>
      </c>
      <c r="E6699" t="s">
        <v>683</v>
      </c>
      <c r="F6699" t="s">
        <v>684</v>
      </c>
      <c r="G6699" t="s">
        <v>52</v>
      </c>
      <c r="H6699">
        <v>39</v>
      </c>
      <c r="I6699">
        <v>0.752</v>
      </c>
      <c r="J6699">
        <v>0.81299999999999994</v>
      </c>
      <c r="K6699">
        <v>6.0999999999999999E-2</v>
      </c>
      <c r="L6699">
        <v>19</v>
      </c>
      <c r="M6699">
        <v>11</v>
      </c>
      <c r="N6699">
        <v>9</v>
      </c>
      <c r="O6699">
        <v>0.80100000000000005</v>
      </c>
      <c r="P6699">
        <v>5.4481645000000002E-2</v>
      </c>
      <c r="Q6699">
        <v>0.19600000000000001</v>
      </c>
    </row>
    <row r="6700" spans="1:17" x14ac:dyDescent="0.2">
      <c r="A6700" s="30" t="str">
        <f>IF(C6700&amp;G6700&amp;D6700&lt;&gt;'Funnel setup'!$K$3&amp;'Funnel setup'!$K$4&amp;'Funnel setup'!$K$5,".",IF(A6699=".",1,A6699+1))</f>
        <v>.</v>
      </c>
      <c r="B6700" s="431" t="str">
        <f t="shared" si="104"/>
        <v>Varicose VeinCCG of GP PracticeNHS BRADFORD CITY CCG (02W)EQ-5D Index</v>
      </c>
      <c r="C6700" t="s">
        <v>17</v>
      </c>
      <c r="D6700" t="s">
        <v>87</v>
      </c>
      <c r="E6700" t="s">
        <v>689</v>
      </c>
      <c r="F6700" t="s">
        <v>690</v>
      </c>
      <c r="G6700" t="s">
        <v>52</v>
      </c>
      <c r="H6700">
        <v>6</v>
      </c>
      <c r="I6700">
        <v>0.45700000000000002</v>
      </c>
      <c r="J6700">
        <v>0.41199999999999998</v>
      </c>
      <c r="K6700">
        <v>-4.4999999999999998E-2</v>
      </c>
      <c r="L6700">
        <v>3</v>
      </c>
      <c r="M6700">
        <v>0</v>
      </c>
      <c r="N6700">
        <v>3</v>
      </c>
      <c r="O6700" t="s">
        <v>53</v>
      </c>
      <c r="P6700" t="s">
        <v>53</v>
      </c>
      <c r="Q6700" t="s">
        <v>53</v>
      </c>
    </row>
    <row r="6701" spans="1:17" x14ac:dyDescent="0.2">
      <c r="A6701" s="30" t="str">
        <f>IF(C6701&amp;G6701&amp;D6701&lt;&gt;'Funnel setup'!$K$3&amp;'Funnel setup'!$K$4&amp;'Funnel setup'!$K$5,".",IF(A6700=".",1,A6700+1))</f>
        <v>.</v>
      </c>
      <c r="B6701" s="431" t="str">
        <f t="shared" si="104"/>
        <v>Varicose VeinCCG of GP PracticeNHS BRADFORD DISTRICTS CCG (02R)EQ-5D Index</v>
      </c>
      <c r="C6701" t="s">
        <v>17</v>
      </c>
      <c r="D6701" t="s">
        <v>87</v>
      </c>
      <c r="E6701" t="s">
        <v>692</v>
      </c>
      <c r="F6701" t="s">
        <v>693</v>
      </c>
      <c r="G6701" t="s">
        <v>52</v>
      </c>
      <c r="H6701">
        <v>44</v>
      </c>
      <c r="I6701">
        <v>0.79100000000000004</v>
      </c>
      <c r="J6701">
        <v>0.84499999999999997</v>
      </c>
      <c r="K6701">
        <v>5.5E-2</v>
      </c>
      <c r="L6701">
        <v>19</v>
      </c>
      <c r="M6701">
        <v>18</v>
      </c>
      <c r="N6701">
        <v>7</v>
      </c>
      <c r="O6701">
        <v>0.83299999999999996</v>
      </c>
      <c r="P6701">
        <v>8.6501658999999995E-2</v>
      </c>
      <c r="Q6701">
        <v>0.19800000000000001</v>
      </c>
    </row>
    <row r="6702" spans="1:17" x14ac:dyDescent="0.2">
      <c r="A6702" s="30" t="str">
        <f>IF(C6702&amp;G6702&amp;D6702&lt;&gt;'Funnel setup'!$K$3&amp;'Funnel setup'!$K$4&amp;'Funnel setup'!$K$5,".",IF(A6701=".",1,A6701+1))</f>
        <v>.</v>
      </c>
      <c r="B6702" s="431" t="str">
        <f t="shared" si="104"/>
        <v>Varicose VeinCCG of GP PracticeNHS BRENT CCG (07P)EQ-5D Index</v>
      </c>
      <c r="C6702" t="s">
        <v>17</v>
      </c>
      <c r="D6702" t="s">
        <v>87</v>
      </c>
      <c r="E6702" t="s">
        <v>695</v>
      </c>
      <c r="F6702" t="s">
        <v>696</v>
      </c>
      <c r="G6702" t="s">
        <v>52</v>
      </c>
      <c r="H6702">
        <v>36</v>
      </c>
      <c r="I6702">
        <v>0.61199999999999999</v>
      </c>
      <c r="J6702">
        <v>0.753</v>
      </c>
      <c r="K6702">
        <v>0.14099999999999999</v>
      </c>
      <c r="L6702">
        <v>20</v>
      </c>
      <c r="M6702">
        <v>9</v>
      </c>
      <c r="N6702">
        <v>7</v>
      </c>
      <c r="O6702">
        <v>0.84799999999999998</v>
      </c>
      <c r="P6702">
        <v>0.10078438300000001</v>
      </c>
      <c r="Q6702">
        <v>0.218</v>
      </c>
    </row>
    <row r="6703" spans="1:17" x14ac:dyDescent="0.2">
      <c r="A6703" s="30" t="str">
        <f>IF(C6703&amp;G6703&amp;D6703&lt;&gt;'Funnel setup'!$K$3&amp;'Funnel setup'!$K$4&amp;'Funnel setup'!$K$5,".",IF(A6702=".",1,A6702+1))</f>
        <v>.</v>
      </c>
      <c r="B6703" s="431" t="str">
        <f t="shared" si="104"/>
        <v>Varicose VeinCCG of GP PracticeNHS BRIGHTON AND HOVE CCG (09D)EQ-5D Index</v>
      </c>
      <c r="C6703" t="s">
        <v>17</v>
      </c>
      <c r="D6703" t="s">
        <v>87</v>
      </c>
      <c r="E6703" t="s">
        <v>698</v>
      </c>
      <c r="F6703" t="s">
        <v>699</v>
      </c>
      <c r="G6703" t="s">
        <v>52</v>
      </c>
      <c r="H6703">
        <v>21</v>
      </c>
      <c r="I6703">
        <v>0.70099999999999996</v>
      </c>
      <c r="J6703">
        <v>0.79400000000000004</v>
      </c>
      <c r="K6703">
        <v>9.2999999999999999E-2</v>
      </c>
      <c r="L6703">
        <v>13</v>
      </c>
      <c r="M6703">
        <v>6</v>
      </c>
      <c r="N6703">
        <v>2</v>
      </c>
      <c r="O6703" t="s">
        <v>53</v>
      </c>
      <c r="P6703" t="s">
        <v>53</v>
      </c>
      <c r="Q6703" t="s">
        <v>53</v>
      </c>
    </row>
    <row r="6704" spans="1:17" x14ac:dyDescent="0.2">
      <c r="A6704" s="30" t="str">
        <f>IF(C6704&amp;G6704&amp;D6704&lt;&gt;'Funnel setup'!$K$3&amp;'Funnel setup'!$K$4&amp;'Funnel setup'!$K$5,".",IF(A6703=".",1,A6703+1))</f>
        <v>.</v>
      </c>
      <c r="B6704" s="431" t="str">
        <f t="shared" si="104"/>
        <v>Varicose VeinCCG of GP PracticeNHS BRISTOL CCG (11H)EQ-5D Index</v>
      </c>
      <c r="C6704" t="s">
        <v>17</v>
      </c>
      <c r="D6704" t="s">
        <v>87</v>
      </c>
      <c r="E6704" t="s">
        <v>701</v>
      </c>
      <c r="F6704" t="s">
        <v>702</v>
      </c>
      <c r="G6704" t="s">
        <v>52</v>
      </c>
      <c r="H6704" t="s">
        <v>53</v>
      </c>
      <c r="I6704" t="s">
        <v>53</v>
      </c>
      <c r="J6704" t="s">
        <v>53</v>
      </c>
      <c r="K6704" t="s">
        <v>53</v>
      </c>
      <c r="L6704" t="s">
        <v>53</v>
      </c>
      <c r="M6704" t="s">
        <v>53</v>
      </c>
      <c r="N6704" t="s">
        <v>53</v>
      </c>
      <c r="O6704" t="s">
        <v>53</v>
      </c>
      <c r="P6704" t="s">
        <v>53</v>
      </c>
      <c r="Q6704" t="s">
        <v>53</v>
      </c>
    </row>
    <row r="6705" spans="1:17" x14ac:dyDescent="0.2">
      <c r="A6705" s="30" t="str">
        <f>IF(C6705&amp;G6705&amp;D6705&lt;&gt;'Funnel setup'!$K$3&amp;'Funnel setup'!$K$4&amp;'Funnel setup'!$K$5,".",IF(A6704=".",1,A6704+1))</f>
        <v>.</v>
      </c>
      <c r="B6705" s="431" t="str">
        <f t="shared" si="104"/>
        <v>Varicose VeinCCG of GP PracticeNHS BROMLEY CCG (07Q)EQ-5D Index</v>
      </c>
      <c r="C6705" t="s">
        <v>17</v>
      </c>
      <c r="D6705" t="s">
        <v>87</v>
      </c>
      <c r="E6705" t="s">
        <v>704</v>
      </c>
      <c r="F6705" t="s">
        <v>705</v>
      </c>
      <c r="G6705" t="s">
        <v>52</v>
      </c>
      <c r="H6705">
        <v>44</v>
      </c>
      <c r="I6705">
        <v>0.76100000000000001</v>
      </c>
      <c r="J6705">
        <v>0.84399999999999997</v>
      </c>
      <c r="K6705">
        <v>8.3000000000000004E-2</v>
      </c>
      <c r="L6705">
        <v>22</v>
      </c>
      <c r="M6705">
        <v>18</v>
      </c>
      <c r="N6705">
        <v>4</v>
      </c>
      <c r="O6705">
        <v>0.84699999999999998</v>
      </c>
      <c r="P6705">
        <v>9.9836452000000006E-2</v>
      </c>
      <c r="Q6705">
        <v>0.13700000000000001</v>
      </c>
    </row>
    <row r="6706" spans="1:17" x14ac:dyDescent="0.2">
      <c r="A6706" s="30" t="str">
        <f>IF(C6706&amp;G6706&amp;D6706&lt;&gt;'Funnel setup'!$K$3&amp;'Funnel setup'!$K$4&amp;'Funnel setup'!$K$5,".",IF(A6705=".",1,A6705+1))</f>
        <v>.</v>
      </c>
      <c r="B6706" s="431" t="str">
        <f t="shared" si="104"/>
        <v>Varicose VeinCCG of GP PracticeNHS BURY CCG (00V)EQ-5D Index</v>
      </c>
      <c r="C6706" t="s">
        <v>17</v>
      </c>
      <c r="D6706" t="s">
        <v>87</v>
      </c>
      <c r="E6706" t="s">
        <v>707</v>
      </c>
      <c r="F6706" t="s">
        <v>708</v>
      </c>
      <c r="G6706" t="s">
        <v>52</v>
      </c>
      <c r="H6706" t="s">
        <v>53</v>
      </c>
      <c r="I6706" t="s">
        <v>53</v>
      </c>
      <c r="J6706" t="s">
        <v>53</v>
      </c>
      <c r="K6706" t="s">
        <v>53</v>
      </c>
      <c r="L6706" t="s">
        <v>53</v>
      </c>
      <c r="M6706" t="s">
        <v>53</v>
      </c>
      <c r="N6706" t="s">
        <v>53</v>
      </c>
      <c r="O6706" t="s">
        <v>53</v>
      </c>
      <c r="P6706" t="s">
        <v>53</v>
      </c>
      <c r="Q6706" t="s">
        <v>53</v>
      </c>
    </row>
    <row r="6707" spans="1:17" x14ac:dyDescent="0.2">
      <c r="A6707" s="30" t="str">
        <f>IF(C6707&amp;G6707&amp;D6707&lt;&gt;'Funnel setup'!$K$3&amp;'Funnel setup'!$K$4&amp;'Funnel setup'!$K$5,".",IF(A6706=".",1,A6706+1))</f>
        <v>.</v>
      </c>
      <c r="B6707" s="431" t="str">
        <f t="shared" si="104"/>
        <v>Varicose VeinCCG of GP PracticeNHS CALDERDALE CCG (02T)EQ-5D Index</v>
      </c>
      <c r="C6707" t="s">
        <v>17</v>
      </c>
      <c r="D6707" t="s">
        <v>87</v>
      </c>
      <c r="E6707" t="s">
        <v>710</v>
      </c>
      <c r="F6707" t="s">
        <v>711</v>
      </c>
      <c r="G6707" t="s">
        <v>52</v>
      </c>
      <c r="H6707">
        <v>37</v>
      </c>
      <c r="I6707">
        <v>0.75600000000000001</v>
      </c>
      <c r="J6707">
        <v>0.83399999999999996</v>
      </c>
      <c r="K6707">
        <v>7.9000000000000001E-2</v>
      </c>
      <c r="L6707">
        <v>21</v>
      </c>
      <c r="M6707">
        <v>10</v>
      </c>
      <c r="N6707">
        <v>6</v>
      </c>
      <c r="O6707">
        <v>0.82699999999999996</v>
      </c>
      <c r="P6707">
        <v>8.0050621000000002E-2</v>
      </c>
      <c r="Q6707">
        <v>0.183</v>
      </c>
    </row>
    <row r="6708" spans="1:17" x14ac:dyDescent="0.2">
      <c r="A6708" s="30" t="str">
        <f>IF(C6708&amp;G6708&amp;D6708&lt;&gt;'Funnel setup'!$K$3&amp;'Funnel setup'!$K$4&amp;'Funnel setup'!$K$5,".",IF(A6707=".",1,A6707+1))</f>
        <v>.</v>
      </c>
      <c r="B6708" s="431" t="str">
        <f t="shared" si="104"/>
        <v>Varicose VeinCCG of GP PracticeNHS CAMBRIDGESHIRE AND PETERBOROUGH CCG (06H)EQ-5D Index</v>
      </c>
      <c r="C6708" t="s">
        <v>17</v>
      </c>
      <c r="D6708" t="s">
        <v>87</v>
      </c>
      <c r="E6708" t="s">
        <v>713</v>
      </c>
      <c r="F6708" t="s">
        <v>714</v>
      </c>
      <c r="G6708" t="s">
        <v>52</v>
      </c>
      <c r="H6708">
        <v>32</v>
      </c>
      <c r="I6708">
        <v>0.71299999999999997</v>
      </c>
      <c r="J6708">
        <v>0.877</v>
      </c>
      <c r="K6708">
        <v>0.16400000000000001</v>
      </c>
      <c r="L6708">
        <v>19</v>
      </c>
      <c r="M6708">
        <v>12</v>
      </c>
      <c r="N6708">
        <v>1</v>
      </c>
      <c r="O6708">
        <v>0.88800000000000001</v>
      </c>
      <c r="P6708">
        <v>0.14130843900000001</v>
      </c>
      <c r="Q6708">
        <v>0.127</v>
      </c>
    </row>
    <row r="6709" spans="1:17" x14ac:dyDescent="0.2">
      <c r="A6709" s="30" t="str">
        <f>IF(C6709&amp;G6709&amp;D6709&lt;&gt;'Funnel setup'!$K$3&amp;'Funnel setup'!$K$4&amp;'Funnel setup'!$K$5,".",IF(A6708=".",1,A6708+1))</f>
        <v>.</v>
      </c>
      <c r="B6709" s="431" t="str">
        <f t="shared" si="104"/>
        <v>Varicose VeinCCG of GP PracticeNHS CAMDEN CCG (07R)EQ-5D Index</v>
      </c>
      <c r="C6709" t="s">
        <v>17</v>
      </c>
      <c r="D6709" t="s">
        <v>87</v>
      </c>
      <c r="E6709" t="s">
        <v>716</v>
      </c>
      <c r="F6709" t="s">
        <v>717</v>
      </c>
      <c r="G6709" t="s">
        <v>52</v>
      </c>
      <c r="H6709">
        <v>25</v>
      </c>
      <c r="I6709">
        <v>0.78500000000000003</v>
      </c>
      <c r="J6709">
        <v>0.84299999999999997</v>
      </c>
      <c r="K6709">
        <v>5.8000000000000003E-2</v>
      </c>
      <c r="L6709">
        <v>13</v>
      </c>
      <c r="M6709">
        <v>6</v>
      </c>
      <c r="N6709">
        <v>6</v>
      </c>
      <c r="O6709" t="s">
        <v>53</v>
      </c>
      <c r="P6709" t="s">
        <v>53</v>
      </c>
      <c r="Q6709" t="s">
        <v>53</v>
      </c>
    </row>
    <row r="6710" spans="1:17" x14ac:dyDescent="0.2">
      <c r="A6710" s="30" t="str">
        <f>IF(C6710&amp;G6710&amp;D6710&lt;&gt;'Funnel setup'!$K$3&amp;'Funnel setup'!$K$4&amp;'Funnel setup'!$K$5,".",IF(A6709=".",1,A6709+1))</f>
        <v>.</v>
      </c>
      <c r="B6710" s="431" t="str">
        <f t="shared" si="104"/>
        <v>Varicose VeinCCG of GP PracticeNHS CANNOCK CHASE CCG (04Y)EQ-5D Index</v>
      </c>
      <c r="C6710" t="s">
        <v>17</v>
      </c>
      <c r="D6710" t="s">
        <v>87</v>
      </c>
      <c r="E6710" t="s">
        <v>719</v>
      </c>
      <c r="F6710" t="s">
        <v>720</v>
      </c>
      <c r="G6710" t="s">
        <v>52</v>
      </c>
      <c r="H6710">
        <v>19</v>
      </c>
      <c r="I6710">
        <v>0.82899999999999996</v>
      </c>
      <c r="J6710">
        <v>0.84499999999999997</v>
      </c>
      <c r="K6710">
        <v>1.6E-2</v>
      </c>
      <c r="L6710">
        <v>8</v>
      </c>
      <c r="M6710">
        <v>8</v>
      </c>
      <c r="N6710">
        <v>3</v>
      </c>
      <c r="O6710" t="s">
        <v>53</v>
      </c>
      <c r="P6710" t="s">
        <v>53</v>
      </c>
      <c r="Q6710" t="s">
        <v>53</v>
      </c>
    </row>
    <row r="6711" spans="1:17" x14ac:dyDescent="0.2">
      <c r="A6711" s="30" t="str">
        <f>IF(C6711&amp;G6711&amp;D6711&lt;&gt;'Funnel setup'!$K$3&amp;'Funnel setup'!$K$4&amp;'Funnel setup'!$K$5,".",IF(A6710=".",1,A6710+1))</f>
        <v>.</v>
      </c>
      <c r="B6711" s="431" t="str">
        <f t="shared" si="104"/>
        <v>Varicose VeinCCG of GP PracticeNHS CASTLE POINT AND ROCHFORD CCG (99F)EQ-5D Index</v>
      </c>
      <c r="C6711" t="s">
        <v>17</v>
      </c>
      <c r="D6711" t="s">
        <v>87</v>
      </c>
      <c r="E6711" t="s">
        <v>725</v>
      </c>
      <c r="F6711" t="s">
        <v>726</v>
      </c>
      <c r="G6711" t="s">
        <v>52</v>
      </c>
      <c r="H6711" t="s">
        <v>53</v>
      </c>
      <c r="I6711" t="s">
        <v>53</v>
      </c>
      <c r="J6711" t="s">
        <v>53</v>
      </c>
      <c r="K6711" t="s">
        <v>53</v>
      </c>
      <c r="L6711" t="s">
        <v>53</v>
      </c>
      <c r="M6711" t="s">
        <v>53</v>
      </c>
      <c r="N6711" t="s">
        <v>53</v>
      </c>
      <c r="O6711" t="s">
        <v>53</v>
      </c>
      <c r="P6711" t="s">
        <v>53</v>
      </c>
      <c r="Q6711" t="s">
        <v>53</v>
      </c>
    </row>
    <row r="6712" spans="1:17" x14ac:dyDescent="0.2">
      <c r="A6712" s="30" t="str">
        <f>IF(C6712&amp;G6712&amp;D6712&lt;&gt;'Funnel setup'!$K$3&amp;'Funnel setup'!$K$4&amp;'Funnel setup'!$K$5,".",IF(A6711=".",1,A6711+1))</f>
        <v>.</v>
      </c>
      <c r="B6712" s="431" t="str">
        <f t="shared" si="104"/>
        <v>Varicose VeinCCG of GP PracticeNHS CENTRAL LONDON (WESTMINSTER) CCG (09A)EQ-5D Index</v>
      </c>
      <c r="C6712" t="s">
        <v>17</v>
      </c>
      <c r="D6712" t="s">
        <v>87</v>
      </c>
      <c r="E6712" t="s">
        <v>728</v>
      </c>
      <c r="F6712" t="s">
        <v>729</v>
      </c>
      <c r="G6712" t="s">
        <v>52</v>
      </c>
      <c r="H6712">
        <v>21</v>
      </c>
      <c r="I6712">
        <v>0.65500000000000003</v>
      </c>
      <c r="J6712">
        <v>0.84199999999999997</v>
      </c>
      <c r="K6712">
        <v>0.187</v>
      </c>
      <c r="L6712">
        <v>17</v>
      </c>
      <c r="M6712">
        <v>2</v>
      </c>
      <c r="N6712">
        <v>2</v>
      </c>
      <c r="O6712" t="s">
        <v>53</v>
      </c>
      <c r="P6712" t="s">
        <v>53</v>
      </c>
      <c r="Q6712" t="s">
        <v>53</v>
      </c>
    </row>
    <row r="6713" spans="1:17" x14ac:dyDescent="0.2">
      <c r="A6713" s="30" t="str">
        <f>IF(C6713&amp;G6713&amp;D6713&lt;&gt;'Funnel setup'!$K$3&amp;'Funnel setup'!$K$4&amp;'Funnel setup'!$K$5,".",IF(A6712=".",1,A6712+1))</f>
        <v>.</v>
      </c>
      <c r="B6713" s="431" t="str">
        <f t="shared" si="104"/>
        <v>Varicose VeinCCG of GP PracticeNHS CENTRAL MANCHESTER CCG (00W)EQ-5D Index</v>
      </c>
      <c r="C6713" t="s">
        <v>17</v>
      </c>
      <c r="D6713" t="s">
        <v>87</v>
      </c>
      <c r="E6713" t="s">
        <v>731</v>
      </c>
      <c r="F6713" t="s">
        <v>732</v>
      </c>
      <c r="G6713" t="s">
        <v>52</v>
      </c>
      <c r="H6713" t="s">
        <v>53</v>
      </c>
      <c r="I6713" t="s">
        <v>53</v>
      </c>
      <c r="J6713" t="s">
        <v>53</v>
      </c>
      <c r="K6713" t="s">
        <v>53</v>
      </c>
      <c r="L6713" t="s">
        <v>53</v>
      </c>
      <c r="M6713" t="s">
        <v>53</v>
      </c>
      <c r="N6713" t="s">
        <v>53</v>
      </c>
      <c r="O6713" t="s">
        <v>53</v>
      </c>
      <c r="P6713" t="s">
        <v>53</v>
      </c>
      <c r="Q6713" t="s">
        <v>53</v>
      </c>
    </row>
    <row r="6714" spans="1:17" x14ac:dyDescent="0.2">
      <c r="A6714" s="30" t="str">
        <f>IF(C6714&amp;G6714&amp;D6714&lt;&gt;'Funnel setup'!$K$3&amp;'Funnel setup'!$K$4&amp;'Funnel setup'!$K$5,".",IF(A6713=".",1,A6713+1))</f>
        <v>.</v>
      </c>
      <c r="B6714" s="431" t="str">
        <f t="shared" si="104"/>
        <v>Varicose VeinCCG of GP PracticeNHS CHILTERN CCG (10H)EQ-5D Index</v>
      </c>
      <c r="C6714" t="s">
        <v>17</v>
      </c>
      <c r="D6714" t="s">
        <v>87</v>
      </c>
      <c r="E6714" t="s">
        <v>734</v>
      </c>
      <c r="F6714" t="s">
        <v>735</v>
      </c>
      <c r="G6714" t="s">
        <v>52</v>
      </c>
      <c r="H6714">
        <v>23</v>
      </c>
      <c r="I6714">
        <v>0.745</v>
      </c>
      <c r="J6714">
        <v>0.89300000000000002</v>
      </c>
      <c r="K6714">
        <v>0.14799999999999999</v>
      </c>
      <c r="L6714">
        <v>12</v>
      </c>
      <c r="M6714">
        <v>6</v>
      </c>
      <c r="N6714">
        <v>5</v>
      </c>
      <c r="O6714" t="s">
        <v>53</v>
      </c>
      <c r="P6714" t="s">
        <v>53</v>
      </c>
      <c r="Q6714" t="s">
        <v>53</v>
      </c>
    </row>
    <row r="6715" spans="1:17" x14ac:dyDescent="0.2">
      <c r="A6715" s="30" t="str">
        <f>IF(C6715&amp;G6715&amp;D6715&lt;&gt;'Funnel setup'!$K$3&amp;'Funnel setup'!$K$4&amp;'Funnel setup'!$K$5,".",IF(A6714=".",1,A6714+1))</f>
        <v>.</v>
      </c>
      <c r="B6715" s="431" t="str">
        <f t="shared" si="104"/>
        <v>Varicose VeinCCG of GP PracticeNHS CHORLEY AND SOUTH RIBBLE CCG (00X)EQ-5D Index</v>
      </c>
      <c r="C6715" t="s">
        <v>17</v>
      </c>
      <c r="D6715" t="s">
        <v>87</v>
      </c>
      <c r="E6715" t="s">
        <v>737</v>
      </c>
      <c r="F6715" t="s">
        <v>738</v>
      </c>
      <c r="G6715" t="s">
        <v>52</v>
      </c>
      <c r="H6715">
        <v>19</v>
      </c>
      <c r="I6715">
        <v>0.77100000000000002</v>
      </c>
      <c r="J6715">
        <v>0.84</v>
      </c>
      <c r="K6715">
        <v>6.9000000000000006E-2</v>
      </c>
      <c r="L6715">
        <v>7</v>
      </c>
      <c r="M6715">
        <v>10</v>
      </c>
      <c r="N6715">
        <v>2</v>
      </c>
      <c r="O6715" t="s">
        <v>53</v>
      </c>
      <c r="P6715" t="s">
        <v>53</v>
      </c>
      <c r="Q6715" t="s">
        <v>53</v>
      </c>
    </row>
    <row r="6716" spans="1:17" x14ac:dyDescent="0.2">
      <c r="A6716" s="30" t="str">
        <f>IF(C6716&amp;G6716&amp;D6716&lt;&gt;'Funnel setup'!$K$3&amp;'Funnel setup'!$K$4&amp;'Funnel setup'!$K$5,".",IF(A6715=".",1,A6715+1))</f>
        <v>.</v>
      </c>
      <c r="B6716" s="431" t="str">
        <f t="shared" si="104"/>
        <v>Varicose VeinCCG of GP PracticeNHS CITY AND HACKNEY CCG (07T)EQ-5D Index</v>
      </c>
      <c r="C6716" t="s">
        <v>17</v>
      </c>
      <c r="D6716" t="s">
        <v>87</v>
      </c>
      <c r="E6716" t="s">
        <v>740</v>
      </c>
      <c r="F6716" t="s">
        <v>741</v>
      </c>
      <c r="G6716" t="s">
        <v>52</v>
      </c>
      <c r="H6716">
        <v>12</v>
      </c>
      <c r="I6716">
        <v>0.82499999999999996</v>
      </c>
      <c r="J6716">
        <v>0.92200000000000004</v>
      </c>
      <c r="K6716">
        <v>9.7000000000000003E-2</v>
      </c>
      <c r="L6716">
        <v>5</v>
      </c>
      <c r="M6716">
        <v>5</v>
      </c>
      <c r="N6716">
        <v>2</v>
      </c>
      <c r="O6716" t="s">
        <v>53</v>
      </c>
      <c r="P6716" t="s">
        <v>53</v>
      </c>
      <c r="Q6716" t="s">
        <v>53</v>
      </c>
    </row>
    <row r="6717" spans="1:17" x14ac:dyDescent="0.2">
      <c r="A6717" s="30" t="str">
        <f>IF(C6717&amp;G6717&amp;D6717&lt;&gt;'Funnel setup'!$K$3&amp;'Funnel setup'!$K$4&amp;'Funnel setup'!$K$5,".",IF(A6716=".",1,A6716+1))</f>
        <v>.</v>
      </c>
      <c r="B6717" s="431" t="str">
        <f t="shared" si="104"/>
        <v>Varicose VeinCCG of GP PracticeNHS COASTAL WEST SUSSEX CCG (09G)EQ-5D Index</v>
      </c>
      <c r="C6717" t="s">
        <v>17</v>
      </c>
      <c r="D6717" t="s">
        <v>87</v>
      </c>
      <c r="E6717" t="s">
        <v>743</v>
      </c>
      <c r="F6717" t="s">
        <v>744</v>
      </c>
      <c r="G6717" t="s">
        <v>52</v>
      </c>
      <c r="H6717">
        <v>17</v>
      </c>
      <c r="I6717">
        <v>0.64900000000000002</v>
      </c>
      <c r="J6717">
        <v>0.80200000000000005</v>
      </c>
      <c r="K6717">
        <v>0.154</v>
      </c>
      <c r="L6717">
        <v>11</v>
      </c>
      <c r="M6717">
        <v>3</v>
      </c>
      <c r="N6717">
        <v>3</v>
      </c>
      <c r="O6717" t="s">
        <v>53</v>
      </c>
      <c r="P6717" t="s">
        <v>53</v>
      </c>
      <c r="Q6717" t="s">
        <v>53</v>
      </c>
    </row>
    <row r="6718" spans="1:17" x14ac:dyDescent="0.2">
      <c r="A6718" s="30" t="str">
        <f>IF(C6718&amp;G6718&amp;D6718&lt;&gt;'Funnel setup'!$K$3&amp;'Funnel setup'!$K$4&amp;'Funnel setup'!$K$5,".",IF(A6717=".",1,A6717+1))</f>
        <v>.</v>
      </c>
      <c r="B6718" s="431" t="str">
        <f t="shared" si="104"/>
        <v>Varicose VeinCCG of GP PracticeNHS COVENTRY AND RUGBY CCG (05A)EQ-5D Index</v>
      </c>
      <c r="C6718" t="s">
        <v>17</v>
      </c>
      <c r="D6718" t="s">
        <v>87</v>
      </c>
      <c r="E6718" t="s">
        <v>749</v>
      </c>
      <c r="F6718" t="s">
        <v>750</v>
      </c>
      <c r="G6718" t="s">
        <v>52</v>
      </c>
      <c r="H6718">
        <v>14</v>
      </c>
      <c r="I6718">
        <v>0.82</v>
      </c>
      <c r="J6718">
        <v>0.95599999999999996</v>
      </c>
      <c r="K6718">
        <v>0.13600000000000001</v>
      </c>
      <c r="L6718">
        <v>9</v>
      </c>
      <c r="M6718">
        <v>5</v>
      </c>
      <c r="N6718">
        <v>0</v>
      </c>
      <c r="O6718" t="s">
        <v>53</v>
      </c>
      <c r="P6718" t="s">
        <v>53</v>
      </c>
      <c r="Q6718" t="s">
        <v>53</v>
      </c>
    </row>
    <row r="6719" spans="1:17" x14ac:dyDescent="0.2">
      <c r="A6719" s="30" t="str">
        <f>IF(C6719&amp;G6719&amp;D6719&lt;&gt;'Funnel setup'!$K$3&amp;'Funnel setup'!$K$4&amp;'Funnel setup'!$K$5,".",IF(A6718=".",1,A6718+1))</f>
        <v>.</v>
      </c>
      <c r="B6719" s="431" t="str">
        <f t="shared" si="104"/>
        <v>Varicose VeinCCG of GP PracticeNHS CRAWLEY CCG (09H)EQ-5D Index</v>
      </c>
      <c r="C6719" t="s">
        <v>17</v>
      </c>
      <c r="D6719" t="s">
        <v>87</v>
      </c>
      <c r="E6719" t="s">
        <v>752</v>
      </c>
      <c r="F6719" t="s">
        <v>753</v>
      </c>
      <c r="G6719" t="s">
        <v>52</v>
      </c>
      <c r="H6719">
        <v>18</v>
      </c>
      <c r="I6719">
        <v>0.72399999999999998</v>
      </c>
      <c r="J6719">
        <v>0.83899999999999997</v>
      </c>
      <c r="K6719">
        <v>0.115</v>
      </c>
      <c r="L6719">
        <v>9</v>
      </c>
      <c r="M6719">
        <v>6</v>
      </c>
      <c r="N6719">
        <v>3</v>
      </c>
      <c r="O6719" t="s">
        <v>53</v>
      </c>
      <c r="P6719" t="s">
        <v>53</v>
      </c>
      <c r="Q6719" t="s">
        <v>53</v>
      </c>
    </row>
    <row r="6720" spans="1:17" x14ac:dyDescent="0.2">
      <c r="A6720" s="30" t="str">
        <f>IF(C6720&amp;G6720&amp;D6720&lt;&gt;'Funnel setup'!$K$3&amp;'Funnel setup'!$K$4&amp;'Funnel setup'!$K$5,".",IF(A6719=".",1,A6719+1))</f>
        <v>.</v>
      </c>
      <c r="B6720" s="431" t="str">
        <f t="shared" si="104"/>
        <v>Varicose VeinCCG of GP PracticeNHS CROYDON CCG (07V)EQ-5D Index</v>
      </c>
      <c r="C6720" t="s">
        <v>17</v>
      </c>
      <c r="D6720" t="s">
        <v>87</v>
      </c>
      <c r="E6720" t="s">
        <v>755</v>
      </c>
      <c r="F6720" t="s">
        <v>756</v>
      </c>
      <c r="G6720" t="s">
        <v>52</v>
      </c>
      <c r="H6720" t="s">
        <v>53</v>
      </c>
      <c r="I6720" t="s">
        <v>53</v>
      </c>
      <c r="J6720" t="s">
        <v>53</v>
      </c>
      <c r="K6720" t="s">
        <v>53</v>
      </c>
      <c r="L6720" t="s">
        <v>53</v>
      </c>
      <c r="M6720" t="s">
        <v>53</v>
      </c>
      <c r="N6720" t="s">
        <v>53</v>
      </c>
      <c r="O6720" t="s">
        <v>53</v>
      </c>
      <c r="P6720" t="s">
        <v>53</v>
      </c>
      <c r="Q6720" t="s">
        <v>53</v>
      </c>
    </row>
    <row r="6721" spans="1:17" x14ac:dyDescent="0.2">
      <c r="A6721" s="30" t="str">
        <f>IF(C6721&amp;G6721&amp;D6721&lt;&gt;'Funnel setup'!$K$3&amp;'Funnel setup'!$K$4&amp;'Funnel setup'!$K$5,".",IF(A6720=".",1,A6720+1))</f>
        <v>.</v>
      </c>
      <c r="B6721" s="431" t="str">
        <f t="shared" si="104"/>
        <v>Varicose VeinCCG of GP PracticeNHS CUMBRIA CCG (01H)EQ-5D Index</v>
      </c>
      <c r="C6721" t="s">
        <v>17</v>
      </c>
      <c r="D6721" t="s">
        <v>87</v>
      </c>
      <c r="E6721" t="s">
        <v>758</v>
      </c>
      <c r="F6721" t="s">
        <v>759</v>
      </c>
      <c r="G6721" t="s">
        <v>52</v>
      </c>
      <c r="H6721">
        <v>59</v>
      </c>
      <c r="I6721">
        <v>0.76300000000000001</v>
      </c>
      <c r="J6721">
        <v>0.88800000000000001</v>
      </c>
      <c r="K6721">
        <v>0.124</v>
      </c>
      <c r="L6721">
        <v>35</v>
      </c>
      <c r="M6721">
        <v>18</v>
      </c>
      <c r="N6721">
        <v>6</v>
      </c>
      <c r="O6721">
        <v>0.86399999999999999</v>
      </c>
      <c r="P6721">
        <v>0.117317561</v>
      </c>
      <c r="Q6721">
        <v>0.14399999999999999</v>
      </c>
    </row>
    <row r="6722" spans="1:17" x14ac:dyDescent="0.2">
      <c r="A6722" s="30" t="str">
        <f>IF(C6722&amp;G6722&amp;D6722&lt;&gt;'Funnel setup'!$K$3&amp;'Funnel setup'!$K$4&amp;'Funnel setup'!$K$5,".",IF(A6721=".",1,A6721+1))</f>
        <v>.</v>
      </c>
      <c r="B6722" s="431" t="str">
        <f t="shared" si="104"/>
        <v>Varicose VeinCCG of GP PracticeNHS DARLINGTON CCG (00C)EQ-5D Index</v>
      </c>
      <c r="C6722" t="s">
        <v>17</v>
      </c>
      <c r="D6722" t="s">
        <v>87</v>
      </c>
      <c r="E6722" t="s">
        <v>761</v>
      </c>
      <c r="F6722" t="s">
        <v>762</v>
      </c>
      <c r="G6722" t="s">
        <v>52</v>
      </c>
      <c r="H6722">
        <v>7</v>
      </c>
      <c r="I6722">
        <v>0.73</v>
      </c>
      <c r="J6722">
        <v>0.85399999999999998</v>
      </c>
      <c r="K6722">
        <v>0.124</v>
      </c>
      <c r="L6722">
        <v>5</v>
      </c>
      <c r="M6722">
        <v>2</v>
      </c>
      <c r="N6722">
        <v>0</v>
      </c>
      <c r="O6722" t="s">
        <v>53</v>
      </c>
      <c r="P6722" t="s">
        <v>53</v>
      </c>
      <c r="Q6722" t="s">
        <v>53</v>
      </c>
    </row>
    <row r="6723" spans="1:17" x14ac:dyDescent="0.2">
      <c r="A6723" s="30" t="str">
        <f>IF(C6723&amp;G6723&amp;D6723&lt;&gt;'Funnel setup'!$K$3&amp;'Funnel setup'!$K$4&amp;'Funnel setup'!$K$5,".",IF(A6722=".",1,A6722+1))</f>
        <v>.</v>
      </c>
      <c r="B6723" s="431" t="str">
        <f t="shared" ref="B6723:B6786" si="105">C6723&amp;D6723&amp;F6723&amp;G6723</f>
        <v>Varicose VeinCCG of GP PracticeNHS DARTFORD, GRAVESHAM AND SWANLEY CCG (09J)EQ-5D Index</v>
      </c>
      <c r="C6723" t="s">
        <v>17</v>
      </c>
      <c r="D6723" t="s">
        <v>87</v>
      </c>
      <c r="E6723" t="s">
        <v>764</v>
      </c>
      <c r="F6723" t="s">
        <v>765</v>
      </c>
      <c r="G6723" t="s">
        <v>52</v>
      </c>
      <c r="H6723" t="s">
        <v>53</v>
      </c>
      <c r="I6723" t="s">
        <v>53</v>
      </c>
      <c r="J6723" t="s">
        <v>53</v>
      </c>
      <c r="K6723" t="s">
        <v>53</v>
      </c>
      <c r="L6723" t="s">
        <v>53</v>
      </c>
      <c r="M6723" t="s">
        <v>53</v>
      </c>
      <c r="N6723" t="s">
        <v>53</v>
      </c>
      <c r="O6723" t="s">
        <v>53</v>
      </c>
      <c r="P6723" t="s">
        <v>53</v>
      </c>
      <c r="Q6723" t="s">
        <v>53</v>
      </c>
    </row>
    <row r="6724" spans="1:17" x14ac:dyDescent="0.2">
      <c r="A6724" s="30" t="str">
        <f>IF(C6724&amp;G6724&amp;D6724&lt;&gt;'Funnel setup'!$K$3&amp;'Funnel setup'!$K$4&amp;'Funnel setup'!$K$5,".",IF(A6723=".",1,A6723+1))</f>
        <v>.</v>
      </c>
      <c r="B6724" s="431" t="str">
        <f t="shared" si="105"/>
        <v>Varicose VeinCCG of GP PracticeNHS DONCASTER CCG (02X)EQ-5D Index</v>
      </c>
      <c r="C6724" t="s">
        <v>17</v>
      </c>
      <c r="D6724" t="s">
        <v>87</v>
      </c>
      <c r="E6724" t="s">
        <v>767</v>
      </c>
      <c r="F6724" t="s">
        <v>768</v>
      </c>
      <c r="G6724" t="s">
        <v>52</v>
      </c>
      <c r="H6724">
        <v>15</v>
      </c>
      <c r="I6724">
        <v>0.78200000000000003</v>
      </c>
      <c r="J6724">
        <v>0.90200000000000002</v>
      </c>
      <c r="K6724">
        <v>0.12</v>
      </c>
      <c r="L6724">
        <v>7</v>
      </c>
      <c r="M6724">
        <v>5</v>
      </c>
      <c r="N6724">
        <v>3</v>
      </c>
      <c r="O6724" t="s">
        <v>53</v>
      </c>
      <c r="P6724" t="s">
        <v>53</v>
      </c>
      <c r="Q6724" t="s">
        <v>53</v>
      </c>
    </row>
    <row r="6725" spans="1:17" x14ac:dyDescent="0.2">
      <c r="A6725" s="30" t="str">
        <f>IF(C6725&amp;G6725&amp;D6725&lt;&gt;'Funnel setup'!$K$3&amp;'Funnel setup'!$K$4&amp;'Funnel setup'!$K$5,".",IF(A6724=".",1,A6724+1))</f>
        <v>.</v>
      </c>
      <c r="B6725" s="431" t="str">
        <f t="shared" si="105"/>
        <v>Varicose VeinCCG of GP PracticeNHS DORSET CCG (11J)EQ-5D Index</v>
      </c>
      <c r="C6725" t="s">
        <v>17</v>
      </c>
      <c r="D6725" t="s">
        <v>87</v>
      </c>
      <c r="E6725" t="s">
        <v>854</v>
      </c>
      <c r="F6725" t="s">
        <v>855</v>
      </c>
      <c r="G6725" t="s">
        <v>52</v>
      </c>
      <c r="H6725">
        <v>55</v>
      </c>
      <c r="I6725">
        <v>0.70799999999999996</v>
      </c>
      <c r="J6725">
        <v>0.82199999999999995</v>
      </c>
      <c r="K6725">
        <v>0.115</v>
      </c>
      <c r="L6725">
        <v>29</v>
      </c>
      <c r="M6725">
        <v>14</v>
      </c>
      <c r="N6725">
        <v>12</v>
      </c>
      <c r="O6725">
        <v>0.85899999999999999</v>
      </c>
      <c r="P6725">
        <v>0.111817795</v>
      </c>
      <c r="Q6725">
        <v>0.20799999999999999</v>
      </c>
    </row>
    <row r="6726" spans="1:17" x14ac:dyDescent="0.2">
      <c r="A6726" s="30" t="str">
        <f>IF(C6726&amp;G6726&amp;D6726&lt;&gt;'Funnel setup'!$K$3&amp;'Funnel setup'!$K$4&amp;'Funnel setup'!$K$5,".",IF(A6725=".",1,A6725+1))</f>
        <v>.</v>
      </c>
      <c r="B6726" s="431" t="str">
        <f t="shared" si="105"/>
        <v>Varicose VeinCCG of GP PracticeNHS DUDLEY CCG (05C)EQ-5D Index</v>
      </c>
      <c r="C6726" t="s">
        <v>17</v>
      </c>
      <c r="D6726" t="s">
        <v>87</v>
      </c>
      <c r="E6726" t="s">
        <v>857</v>
      </c>
      <c r="F6726" t="s">
        <v>858</v>
      </c>
      <c r="G6726" t="s">
        <v>52</v>
      </c>
      <c r="H6726">
        <v>107</v>
      </c>
      <c r="I6726">
        <v>0.73799999999999999</v>
      </c>
      <c r="J6726">
        <v>0.84399999999999997</v>
      </c>
      <c r="K6726">
        <v>0.107</v>
      </c>
      <c r="L6726">
        <v>58</v>
      </c>
      <c r="M6726">
        <v>34</v>
      </c>
      <c r="N6726">
        <v>15</v>
      </c>
      <c r="O6726">
        <v>0.85699999999999998</v>
      </c>
      <c r="P6726">
        <v>0.110012287</v>
      </c>
      <c r="Q6726">
        <v>0.16800000000000001</v>
      </c>
    </row>
    <row r="6727" spans="1:17" x14ac:dyDescent="0.2">
      <c r="A6727" s="30" t="str">
        <f>IF(C6727&amp;G6727&amp;D6727&lt;&gt;'Funnel setup'!$K$3&amp;'Funnel setup'!$K$4&amp;'Funnel setup'!$K$5,".",IF(A6726=".",1,A6726+1))</f>
        <v>.</v>
      </c>
      <c r="B6727" s="431" t="str">
        <f t="shared" si="105"/>
        <v>Varicose VeinCCG of GP PracticeNHS DURHAM DALES, EASINGTON AND SEDGEFIELD CCG (00D)EQ-5D Index</v>
      </c>
      <c r="C6727" t="s">
        <v>17</v>
      </c>
      <c r="D6727" t="s">
        <v>87</v>
      </c>
      <c r="E6727" t="s">
        <v>860</v>
      </c>
      <c r="F6727" t="s">
        <v>861</v>
      </c>
      <c r="G6727" t="s">
        <v>52</v>
      </c>
      <c r="H6727">
        <v>35</v>
      </c>
      <c r="I6727">
        <v>0.747</v>
      </c>
      <c r="J6727">
        <v>0.86599999999999999</v>
      </c>
      <c r="K6727">
        <v>0.11899999999999999</v>
      </c>
      <c r="L6727">
        <v>21</v>
      </c>
      <c r="M6727">
        <v>8</v>
      </c>
      <c r="N6727">
        <v>6</v>
      </c>
      <c r="O6727">
        <v>0.88800000000000001</v>
      </c>
      <c r="P6727">
        <v>0.141715498</v>
      </c>
      <c r="Q6727">
        <v>0.13500000000000001</v>
      </c>
    </row>
    <row r="6728" spans="1:17" x14ac:dyDescent="0.2">
      <c r="A6728" s="30" t="str">
        <f>IF(C6728&amp;G6728&amp;D6728&lt;&gt;'Funnel setup'!$K$3&amp;'Funnel setup'!$K$4&amp;'Funnel setup'!$K$5,".",IF(A6727=".",1,A6727+1))</f>
        <v>.</v>
      </c>
      <c r="B6728" s="431" t="str">
        <f t="shared" si="105"/>
        <v>Varicose VeinCCG of GP PracticeNHS EALING CCG (07W)EQ-5D Index</v>
      </c>
      <c r="C6728" t="s">
        <v>17</v>
      </c>
      <c r="D6728" t="s">
        <v>87</v>
      </c>
      <c r="E6728" t="s">
        <v>863</v>
      </c>
      <c r="F6728" t="s">
        <v>864</v>
      </c>
      <c r="G6728" t="s">
        <v>52</v>
      </c>
      <c r="H6728">
        <v>24</v>
      </c>
      <c r="I6728">
        <v>0.755</v>
      </c>
      <c r="J6728">
        <v>0.76500000000000001</v>
      </c>
      <c r="K6728">
        <v>0.01</v>
      </c>
      <c r="L6728">
        <v>9</v>
      </c>
      <c r="M6728">
        <v>10</v>
      </c>
      <c r="N6728">
        <v>5</v>
      </c>
      <c r="O6728" t="s">
        <v>53</v>
      </c>
      <c r="P6728" t="s">
        <v>53</v>
      </c>
      <c r="Q6728" t="s">
        <v>53</v>
      </c>
    </row>
    <row r="6729" spans="1:17" x14ac:dyDescent="0.2">
      <c r="A6729" s="30" t="str">
        <f>IF(C6729&amp;G6729&amp;D6729&lt;&gt;'Funnel setup'!$K$3&amp;'Funnel setup'!$K$4&amp;'Funnel setup'!$K$5,".",IF(A6728=".",1,A6728+1))</f>
        <v>.</v>
      </c>
      <c r="B6729" s="431" t="str">
        <f t="shared" si="105"/>
        <v>Varicose VeinCCG of GP PracticeNHS EAST AND NORTH HERTFORDSHIRE CCG (06K)EQ-5D Index</v>
      </c>
      <c r="C6729" t="s">
        <v>17</v>
      </c>
      <c r="D6729" t="s">
        <v>87</v>
      </c>
      <c r="E6729" t="s">
        <v>866</v>
      </c>
      <c r="F6729" t="s">
        <v>867</v>
      </c>
      <c r="G6729" t="s">
        <v>52</v>
      </c>
      <c r="H6729">
        <v>29</v>
      </c>
      <c r="I6729">
        <v>0.66500000000000004</v>
      </c>
      <c r="J6729">
        <v>0.83299999999999996</v>
      </c>
      <c r="K6729">
        <v>0.16800000000000001</v>
      </c>
      <c r="L6729">
        <v>18</v>
      </c>
      <c r="M6729">
        <v>7</v>
      </c>
      <c r="N6729">
        <v>4</v>
      </c>
      <c r="O6729" t="s">
        <v>53</v>
      </c>
      <c r="P6729" t="s">
        <v>53</v>
      </c>
      <c r="Q6729" t="s">
        <v>53</v>
      </c>
    </row>
    <row r="6730" spans="1:17" x14ac:dyDescent="0.2">
      <c r="A6730" s="30" t="str">
        <f>IF(C6730&amp;G6730&amp;D6730&lt;&gt;'Funnel setup'!$K$3&amp;'Funnel setup'!$K$4&amp;'Funnel setup'!$K$5,".",IF(A6729=".",1,A6729+1))</f>
        <v>.</v>
      </c>
      <c r="B6730" s="431" t="str">
        <f t="shared" si="105"/>
        <v>Varicose VeinCCG of GP PracticeNHS EAST LANCASHIRE CCG (01A)EQ-5D Index</v>
      </c>
      <c r="C6730" t="s">
        <v>17</v>
      </c>
      <c r="D6730" t="s">
        <v>87</v>
      </c>
      <c r="E6730" t="s">
        <v>869</v>
      </c>
      <c r="F6730" t="s">
        <v>870</v>
      </c>
      <c r="G6730" t="s">
        <v>52</v>
      </c>
      <c r="H6730">
        <v>104</v>
      </c>
      <c r="I6730">
        <v>0.749</v>
      </c>
      <c r="J6730">
        <v>0.83099999999999996</v>
      </c>
      <c r="K6730">
        <v>8.2000000000000003E-2</v>
      </c>
      <c r="L6730">
        <v>53</v>
      </c>
      <c r="M6730">
        <v>35</v>
      </c>
      <c r="N6730">
        <v>16</v>
      </c>
      <c r="O6730">
        <v>0.83099999999999996</v>
      </c>
      <c r="P6730">
        <v>8.4143567000000002E-2</v>
      </c>
      <c r="Q6730">
        <v>0.16400000000000001</v>
      </c>
    </row>
    <row r="6731" spans="1:17" x14ac:dyDescent="0.2">
      <c r="A6731" s="30" t="str">
        <f>IF(C6731&amp;G6731&amp;D6731&lt;&gt;'Funnel setup'!$K$3&amp;'Funnel setup'!$K$4&amp;'Funnel setup'!$K$5,".",IF(A6730=".",1,A6730+1))</f>
        <v>.</v>
      </c>
      <c r="B6731" s="431" t="str">
        <f t="shared" si="105"/>
        <v>Varicose VeinCCG of GP PracticeNHS EAST LEICESTERSHIRE AND RUTLAND CCG (03W)EQ-5D Index</v>
      </c>
      <c r="C6731" t="s">
        <v>17</v>
      </c>
      <c r="D6731" t="s">
        <v>87</v>
      </c>
      <c r="E6731" t="s">
        <v>872</v>
      </c>
      <c r="F6731" t="s">
        <v>873</v>
      </c>
      <c r="G6731" t="s">
        <v>52</v>
      </c>
      <c r="H6731">
        <v>20</v>
      </c>
      <c r="I6731">
        <v>0.72399999999999998</v>
      </c>
      <c r="J6731">
        <v>0.89</v>
      </c>
      <c r="K6731">
        <v>0.16600000000000001</v>
      </c>
      <c r="L6731">
        <v>12</v>
      </c>
      <c r="M6731">
        <v>5</v>
      </c>
      <c r="N6731">
        <v>3</v>
      </c>
      <c r="O6731" t="s">
        <v>53</v>
      </c>
      <c r="P6731" t="s">
        <v>53</v>
      </c>
      <c r="Q6731" t="s">
        <v>53</v>
      </c>
    </row>
    <row r="6732" spans="1:17" x14ac:dyDescent="0.2">
      <c r="A6732" s="30" t="str">
        <f>IF(C6732&amp;G6732&amp;D6732&lt;&gt;'Funnel setup'!$K$3&amp;'Funnel setup'!$K$4&amp;'Funnel setup'!$K$5,".",IF(A6731=".",1,A6731+1))</f>
        <v>.</v>
      </c>
      <c r="B6732" s="431" t="str">
        <f t="shared" si="105"/>
        <v>Varicose VeinCCG of GP PracticeNHS EAST RIDING OF YORKSHIRE CCG (02Y)EQ-5D Index</v>
      </c>
      <c r="C6732" t="s">
        <v>17</v>
      </c>
      <c r="D6732" t="s">
        <v>87</v>
      </c>
      <c r="E6732" t="s">
        <v>875</v>
      </c>
      <c r="F6732" t="s">
        <v>876</v>
      </c>
      <c r="G6732" t="s">
        <v>52</v>
      </c>
      <c r="H6732">
        <v>59</v>
      </c>
      <c r="I6732">
        <v>0.75800000000000001</v>
      </c>
      <c r="J6732">
        <v>0.88800000000000001</v>
      </c>
      <c r="K6732">
        <v>0.13</v>
      </c>
      <c r="L6732">
        <v>37</v>
      </c>
      <c r="M6732">
        <v>17</v>
      </c>
      <c r="N6732">
        <v>5</v>
      </c>
      <c r="O6732">
        <v>0.879</v>
      </c>
      <c r="P6732">
        <v>0.132041089</v>
      </c>
      <c r="Q6732">
        <v>0.13100000000000001</v>
      </c>
    </row>
    <row r="6733" spans="1:17" x14ac:dyDescent="0.2">
      <c r="A6733" s="30" t="str">
        <f>IF(C6733&amp;G6733&amp;D6733&lt;&gt;'Funnel setup'!$K$3&amp;'Funnel setup'!$K$4&amp;'Funnel setup'!$K$5,".",IF(A6732=".",1,A6732+1))</f>
        <v>.</v>
      </c>
      <c r="B6733" s="431" t="str">
        <f t="shared" si="105"/>
        <v>Varicose VeinCCG of GP PracticeNHS EAST STAFFORDSHIRE CCG (05D)EQ-5D Index</v>
      </c>
      <c r="C6733" t="s">
        <v>17</v>
      </c>
      <c r="D6733" t="s">
        <v>87</v>
      </c>
      <c r="E6733" t="s">
        <v>878</v>
      </c>
      <c r="F6733" t="s">
        <v>879</v>
      </c>
      <c r="G6733" t="s">
        <v>52</v>
      </c>
      <c r="H6733">
        <v>9</v>
      </c>
      <c r="I6733">
        <v>0.84899999999999998</v>
      </c>
      <c r="J6733">
        <v>0.92</v>
      </c>
      <c r="K6733">
        <v>7.1999999999999995E-2</v>
      </c>
      <c r="L6733">
        <v>4</v>
      </c>
      <c r="M6733">
        <v>4</v>
      </c>
      <c r="N6733">
        <v>1</v>
      </c>
      <c r="O6733" t="s">
        <v>53</v>
      </c>
      <c r="P6733" t="s">
        <v>53</v>
      </c>
      <c r="Q6733" t="s">
        <v>53</v>
      </c>
    </row>
    <row r="6734" spans="1:17" x14ac:dyDescent="0.2">
      <c r="A6734" s="30" t="str">
        <f>IF(C6734&amp;G6734&amp;D6734&lt;&gt;'Funnel setup'!$K$3&amp;'Funnel setup'!$K$4&amp;'Funnel setup'!$K$5,".",IF(A6733=".",1,A6733+1))</f>
        <v>.</v>
      </c>
      <c r="B6734" s="431" t="str">
        <f t="shared" si="105"/>
        <v>Varicose VeinCCG of GP PracticeNHS EAST SURREY CCG (09L)EQ-5D Index</v>
      </c>
      <c r="C6734" t="s">
        <v>17</v>
      </c>
      <c r="D6734" t="s">
        <v>87</v>
      </c>
      <c r="E6734" t="s">
        <v>881</v>
      </c>
      <c r="F6734" t="s">
        <v>882</v>
      </c>
      <c r="G6734" t="s">
        <v>52</v>
      </c>
      <c r="H6734">
        <v>19</v>
      </c>
      <c r="I6734">
        <v>0.82</v>
      </c>
      <c r="J6734">
        <v>0.88500000000000001</v>
      </c>
      <c r="K6734">
        <v>6.6000000000000003E-2</v>
      </c>
      <c r="L6734">
        <v>10</v>
      </c>
      <c r="M6734">
        <v>7</v>
      </c>
      <c r="N6734">
        <v>2</v>
      </c>
      <c r="O6734" t="s">
        <v>53</v>
      </c>
      <c r="P6734" t="s">
        <v>53</v>
      </c>
      <c r="Q6734" t="s">
        <v>53</v>
      </c>
    </row>
    <row r="6735" spans="1:17" x14ac:dyDescent="0.2">
      <c r="A6735" s="30" t="str">
        <f>IF(C6735&amp;G6735&amp;D6735&lt;&gt;'Funnel setup'!$K$3&amp;'Funnel setup'!$K$4&amp;'Funnel setup'!$K$5,".",IF(A6734=".",1,A6734+1))</f>
        <v>.</v>
      </c>
      <c r="B6735" s="431" t="str">
        <f t="shared" si="105"/>
        <v>Varicose VeinCCG of GP PracticeNHS EASTBOURNE, HAILSHAM AND SEAFORD CCG (09F)EQ-5D Index</v>
      </c>
      <c r="C6735" t="s">
        <v>17</v>
      </c>
      <c r="D6735" t="s">
        <v>87</v>
      </c>
      <c r="E6735" t="s">
        <v>884</v>
      </c>
      <c r="F6735" t="s">
        <v>885</v>
      </c>
      <c r="G6735" t="s">
        <v>52</v>
      </c>
      <c r="H6735">
        <v>11</v>
      </c>
      <c r="I6735">
        <v>0.73399999999999999</v>
      </c>
      <c r="J6735">
        <v>0.84399999999999997</v>
      </c>
      <c r="K6735">
        <v>0.11</v>
      </c>
      <c r="L6735">
        <v>7</v>
      </c>
      <c r="M6735">
        <v>3</v>
      </c>
      <c r="N6735">
        <v>1</v>
      </c>
      <c r="O6735" t="s">
        <v>53</v>
      </c>
      <c r="P6735" t="s">
        <v>53</v>
      </c>
      <c r="Q6735" t="s">
        <v>53</v>
      </c>
    </row>
    <row r="6736" spans="1:17" x14ac:dyDescent="0.2">
      <c r="A6736" s="30" t="str">
        <f>IF(C6736&amp;G6736&amp;D6736&lt;&gt;'Funnel setup'!$K$3&amp;'Funnel setup'!$K$4&amp;'Funnel setup'!$K$5,".",IF(A6735=".",1,A6735+1))</f>
        <v>.</v>
      </c>
      <c r="B6736" s="431" t="str">
        <f t="shared" si="105"/>
        <v>Varicose VeinCCG of GP PracticeNHS EASTERN CHESHIRE CCG (01C)EQ-5D Index</v>
      </c>
      <c r="C6736" t="s">
        <v>17</v>
      </c>
      <c r="D6736" t="s">
        <v>87</v>
      </c>
      <c r="E6736" t="s">
        <v>887</v>
      </c>
      <c r="F6736" t="s">
        <v>888</v>
      </c>
      <c r="G6736" t="s">
        <v>52</v>
      </c>
      <c r="H6736">
        <v>33</v>
      </c>
      <c r="I6736">
        <v>0.72799999999999998</v>
      </c>
      <c r="J6736">
        <v>0.875</v>
      </c>
      <c r="K6736">
        <v>0.14699999999999999</v>
      </c>
      <c r="L6736">
        <v>21</v>
      </c>
      <c r="M6736">
        <v>9</v>
      </c>
      <c r="N6736">
        <v>3</v>
      </c>
      <c r="O6736">
        <v>0.86099999999999999</v>
      </c>
      <c r="P6736">
        <v>0.114347633</v>
      </c>
      <c r="Q6736">
        <v>0.191</v>
      </c>
    </row>
    <row r="6737" spans="1:17" x14ac:dyDescent="0.2">
      <c r="A6737" s="30" t="str">
        <f>IF(C6737&amp;G6737&amp;D6737&lt;&gt;'Funnel setup'!$K$3&amp;'Funnel setup'!$K$4&amp;'Funnel setup'!$K$5,".",IF(A6736=".",1,A6736+1))</f>
        <v>.</v>
      </c>
      <c r="B6737" s="431" t="str">
        <f t="shared" si="105"/>
        <v>Varicose VeinCCG of GP PracticeNHS ENFIELD CCG (07X)EQ-5D Index</v>
      </c>
      <c r="C6737" t="s">
        <v>17</v>
      </c>
      <c r="D6737" t="s">
        <v>87</v>
      </c>
      <c r="E6737" t="s">
        <v>890</v>
      </c>
      <c r="F6737" t="s">
        <v>891</v>
      </c>
      <c r="G6737" t="s">
        <v>52</v>
      </c>
      <c r="H6737">
        <v>12</v>
      </c>
      <c r="I6737">
        <v>0.73599999999999999</v>
      </c>
      <c r="J6737">
        <v>0.878</v>
      </c>
      <c r="K6737">
        <v>0.14199999999999999</v>
      </c>
      <c r="L6737">
        <v>6</v>
      </c>
      <c r="M6737">
        <v>5</v>
      </c>
      <c r="N6737">
        <v>1</v>
      </c>
      <c r="O6737" t="s">
        <v>53</v>
      </c>
      <c r="P6737" t="s">
        <v>53</v>
      </c>
      <c r="Q6737" t="s">
        <v>53</v>
      </c>
    </row>
    <row r="6738" spans="1:17" x14ac:dyDescent="0.2">
      <c r="A6738" s="30" t="str">
        <f>IF(C6738&amp;G6738&amp;D6738&lt;&gt;'Funnel setup'!$K$3&amp;'Funnel setup'!$K$4&amp;'Funnel setup'!$K$5,".",IF(A6737=".",1,A6737+1))</f>
        <v>.</v>
      </c>
      <c r="B6738" s="431" t="str">
        <f t="shared" si="105"/>
        <v>Varicose VeinCCG of GP PracticeNHS EREWASH CCG (03X)EQ-5D Index</v>
      </c>
      <c r="C6738" t="s">
        <v>17</v>
      </c>
      <c r="D6738" t="s">
        <v>87</v>
      </c>
      <c r="E6738" t="s">
        <v>893</v>
      </c>
      <c r="F6738" t="s">
        <v>894</v>
      </c>
      <c r="G6738" t="s">
        <v>52</v>
      </c>
      <c r="H6738">
        <v>14</v>
      </c>
      <c r="I6738">
        <v>0.58699999999999997</v>
      </c>
      <c r="J6738">
        <v>0.60699999999999998</v>
      </c>
      <c r="K6738">
        <v>0.02</v>
      </c>
      <c r="L6738">
        <v>6</v>
      </c>
      <c r="M6738">
        <v>4</v>
      </c>
      <c r="N6738">
        <v>4</v>
      </c>
      <c r="O6738" t="s">
        <v>53</v>
      </c>
      <c r="P6738" t="s">
        <v>53</v>
      </c>
      <c r="Q6738" t="s">
        <v>53</v>
      </c>
    </row>
    <row r="6739" spans="1:17" x14ac:dyDescent="0.2">
      <c r="A6739" s="30" t="str">
        <f>IF(C6739&amp;G6739&amp;D6739&lt;&gt;'Funnel setup'!$K$3&amp;'Funnel setup'!$K$4&amp;'Funnel setup'!$K$5,".",IF(A6738=".",1,A6738+1))</f>
        <v>.</v>
      </c>
      <c r="B6739" s="431" t="str">
        <f t="shared" si="105"/>
        <v>Varicose VeinCCG of GP PracticeNHS FAREHAM AND GOSPORT CCG (10K)EQ-5D Index</v>
      </c>
      <c r="C6739" t="s">
        <v>17</v>
      </c>
      <c r="D6739" t="s">
        <v>87</v>
      </c>
      <c r="E6739" t="s">
        <v>896</v>
      </c>
      <c r="F6739" t="s">
        <v>897</v>
      </c>
      <c r="G6739" t="s">
        <v>52</v>
      </c>
      <c r="H6739" t="s">
        <v>53</v>
      </c>
      <c r="I6739" t="s">
        <v>53</v>
      </c>
      <c r="J6739" t="s">
        <v>53</v>
      </c>
      <c r="K6739" t="s">
        <v>53</v>
      </c>
      <c r="L6739" t="s">
        <v>53</v>
      </c>
      <c r="M6739" t="s">
        <v>53</v>
      </c>
      <c r="N6739" t="s">
        <v>53</v>
      </c>
      <c r="O6739" t="s">
        <v>53</v>
      </c>
      <c r="P6739" t="s">
        <v>53</v>
      </c>
      <c r="Q6739" t="s">
        <v>53</v>
      </c>
    </row>
    <row r="6740" spans="1:17" x14ac:dyDescent="0.2">
      <c r="A6740" s="30" t="str">
        <f>IF(C6740&amp;G6740&amp;D6740&lt;&gt;'Funnel setup'!$K$3&amp;'Funnel setup'!$K$4&amp;'Funnel setup'!$K$5,".",IF(A6739=".",1,A6739+1))</f>
        <v>.</v>
      </c>
      <c r="B6740" s="431" t="str">
        <f t="shared" si="105"/>
        <v>Varicose VeinCCG of GP PracticeNHS FYLDE &amp; WYRE CCG (02M)EQ-5D Index</v>
      </c>
      <c r="C6740" t="s">
        <v>17</v>
      </c>
      <c r="D6740" t="s">
        <v>87</v>
      </c>
      <c r="E6740" t="s">
        <v>899</v>
      </c>
      <c r="F6740" t="s">
        <v>900</v>
      </c>
      <c r="G6740" t="s">
        <v>52</v>
      </c>
      <c r="H6740">
        <v>9</v>
      </c>
      <c r="I6740">
        <v>0.77500000000000002</v>
      </c>
      <c r="J6740">
        <v>0.94399999999999995</v>
      </c>
      <c r="K6740">
        <v>0.16800000000000001</v>
      </c>
      <c r="L6740">
        <v>4</v>
      </c>
      <c r="M6740">
        <v>5</v>
      </c>
      <c r="N6740">
        <v>0</v>
      </c>
      <c r="O6740" t="s">
        <v>53</v>
      </c>
      <c r="P6740" t="s">
        <v>53</v>
      </c>
      <c r="Q6740" t="s">
        <v>53</v>
      </c>
    </row>
    <row r="6741" spans="1:17" x14ac:dyDescent="0.2">
      <c r="A6741" s="30" t="str">
        <f>IF(C6741&amp;G6741&amp;D6741&lt;&gt;'Funnel setup'!$K$3&amp;'Funnel setup'!$K$4&amp;'Funnel setup'!$K$5,".",IF(A6740=".",1,A6740+1))</f>
        <v>.</v>
      </c>
      <c r="B6741" s="431" t="str">
        <f t="shared" si="105"/>
        <v>Varicose VeinCCG of GP PracticeNHS GLOUCESTERSHIRE CCG (11M)EQ-5D Index</v>
      </c>
      <c r="C6741" t="s">
        <v>17</v>
      </c>
      <c r="D6741" t="s">
        <v>87</v>
      </c>
      <c r="E6741" t="s">
        <v>902</v>
      </c>
      <c r="F6741" t="s">
        <v>903</v>
      </c>
      <c r="G6741" t="s">
        <v>52</v>
      </c>
      <c r="H6741">
        <v>78</v>
      </c>
      <c r="I6741">
        <v>0.83299999999999996</v>
      </c>
      <c r="J6741">
        <v>0.93300000000000005</v>
      </c>
      <c r="K6741">
        <v>0.1</v>
      </c>
      <c r="L6741">
        <v>43</v>
      </c>
      <c r="M6741">
        <v>32</v>
      </c>
      <c r="N6741">
        <v>3</v>
      </c>
      <c r="O6741">
        <v>0.86299999999999999</v>
      </c>
      <c r="P6741">
        <v>0.116018222</v>
      </c>
      <c r="Q6741">
        <v>0.10199999999999999</v>
      </c>
    </row>
    <row r="6742" spans="1:17" x14ac:dyDescent="0.2">
      <c r="A6742" s="30" t="str">
        <f>IF(C6742&amp;G6742&amp;D6742&lt;&gt;'Funnel setup'!$K$3&amp;'Funnel setup'!$K$4&amp;'Funnel setup'!$K$5,".",IF(A6741=".",1,A6741+1))</f>
        <v>.</v>
      </c>
      <c r="B6742" s="431" t="str">
        <f t="shared" si="105"/>
        <v>Varicose VeinCCG of GP PracticeNHS GREAT YARMOUTH AND WAVENEY CCG (06M)EQ-5D Index</v>
      </c>
      <c r="C6742" t="s">
        <v>17</v>
      </c>
      <c r="D6742" t="s">
        <v>87</v>
      </c>
      <c r="E6742" t="s">
        <v>905</v>
      </c>
      <c r="F6742" t="s">
        <v>906</v>
      </c>
      <c r="G6742" t="s">
        <v>52</v>
      </c>
      <c r="H6742">
        <v>46</v>
      </c>
      <c r="I6742">
        <v>0.77500000000000002</v>
      </c>
      <c r="J6742">
        <v>0.90400000000000003</v>
      </c>
      <c r="K6742">
        <v>0.128</v>
      </c>
      <c r="L6742">
        <v>30</v>
      </c>
      <c r="M6742">
        <v>10</v>
      </c>
      <c r="N6742">
        <v>6</v>
      </c>
      <c r="O6742">
        <v>0.871</v>
      </c>
      <c r="P6742">
        <v>0.124158167</v>
      </c>
      <c r="Q6742">
        <v>0.13</v>
      </c>
    </row>
    <row r="6743" spans="1:17" x14ac:dyDescent="0.2">
      <c r="A6743" s="30" t="str">
        <f>IF(C6743&amp;G6743&amp;D6743&lt;&gt;'Funnel setup'!$K$3&amp;'Funnel setup'!$K$4&amp;'Funnel setup'!$K$5,".",IF(A6742=".",1,A6742+1))</f>
        <v>.</v>
      </c>
      <c r="B6743" s="431" t="str">
        <f t="shared" si="105"/>
        <v>Varicose VeinCCG of GP PracticeNHS GREATER HUDDERSFIELD CCG (03A)EQ-5D Index</v>
      </c>
      <c r="C6743" t="s">
        <v>17</v>
      </c>
      <c r="D6743" t="s">
        <v>87</v>
      </c>
      <c r="E6743" t="s">
        <v>908</v>
      </c>
      <c r="F6743" t="s">
        <v>909</v>
      </c>
      <c r="G6743" t="s">
        <v>52</v>
      </c>
      <c r="H6743">
        <v>66</v>
      </c>
      <c r="I6743">
        <v>0.77800000000000002</v>
      </c>
      <c r="J6743">
        <v>0.89700000000000002</v>
      </c>
      <c r="K6743">
        <v>0.11899999999999999</v>
      </c>
      <c r="L6743">
        <v>34</v>
      </c>
      <c r="M6743">
        <v>26</v>
      </c>
      <c r="N6743">
        <v>6</v>
      </c>
      <c r="O6743">
        <v>0.88100000000000001</v>
      </c>
      <c r="P6743">
        <v>0.13407596899999999</v>
      </c>
      <c r="Q6743">
        <v>0.151</v>
      </c>
    </row>
    <row r="6744" spans="1:17" x14ac:dyDescent="0.2">
      <c r="A6744" s="30" t="str">
        <f>IF(C6744&amp;G6744&amp;D6744&lt;&gt;'Funnel setup'!$K$3&amp;'Funnel setup'!$K$4&amp;'Funnel setup'!$K$5,".",IF(A6743=".",1,A6743+1))</f>
        <v>.</v>
      </c>
      <c r="B6744" s="431" t="str">
        <f t="shared" si="105"/>
        <v>Varicose VeinCCG of GP PracticeNHS GREATER PRESTON CCG (01E)EQ-5D Index</v>
      </c>
      <c r="C6744" t="s">
        <v>17</v>
      </c>
      <c r="D6744" t="s">
        <v>87</v>
      </c>
      <c r="E6744" t="s">
        <v>486</v>
      </c>
      <c r="F6744" t="s">
        <v>487</v>
      </c>
      <c r="G6744" t="s">
        <v>52</v>
      </c>
      <c r="H6744">
        <v>39</v>
      </c>
      <c r="I6744">
        <v>0.82499999999999996</v>
      </c>
      <c r="J6744">
        <v>0.91900000000000004</v>
      </c>
      <c r="K6744">
        <v>9.4E-2</v>
      </c>
      <c r="L6744">
        <v>22</v>
      </c>
      <c r="M6744">
        <v>12</v>
      </c>
      <c r="N6744">
        <v>5</v>
      </c>
      <c r="O6744">
        <v>0.85599999999999998</v>
      </c>
      <c r="P6744">
        <v>0.109723771</v>
      </c>
      <c r="Q6744">
        <v>0.121</v>
      </c>
    </row>
    <row r="6745" spans="1:17" x14ac:dyDescent="0.2">
      <c r="A6745" s="30" t="str">
        <f>IF(C6745&amp;G6745&amp;D6745&lt;&gt;'Funnel setup'!$K$3&amp;'Funnel setup'!$K$4&amp;'Funnel setup'!$K$5,".",IF(A6744=".",1,A6744+1))</f>
        <v>.</v>
      </c>
      <c r="B6745" s="431" t="str">
        <f t="shared" si="105"/>
        <v>Varicose VeinCCG of GP PracticeNHS GREENWICH CCG (08A)EQ-5D Index</v>
      </c>
      <c r="C6745" t="s">
        <v>17</v>
      </c>
      <c r="D6745" t="s">
        <v>87</v>
      </c>
      <c r="E6745" t="s">
        <v>489</v>
      </c>
      <c r="F6745" t="s">
        <v>490</v>
      </c>
      <c r="G6745" t="s">
        <v>52</v>
      </c>
      <c r="H6745">
        <v>33</v>
      </c>
      <c r="I6745">
        <v>0.67700000000000005</v>
      </c>
      <c r="J6745">
        <v>0.74199999999999999</v>
      </c>
      <c r="K6745">
        <v>6.5000000000000002E-2</v>
      </c>
      <c r="L6745">
        <v>18</v>
      </c>
      <c r="M6745">
        <v>6</v>
      </c>
      <c r="N6745">
        <v>9</v>
      </c>
      <c r="O6745">
        <v>0.78700000000000003</v>
      </c>
      <c r="P6745">
        <v>4.0344722E-2</v>
      </c>
      <c r="Q6745">
        <v>0.223</v>
      </c>
    </row>
    <row r="6746" spans="1:17" x14ac:dyDescent="0.2">
      <c r="A6746" s="30" t="str">
        <f>IF(C6746&amp;G6746&amp;D6746&lt;&gt;'Funnel setup'!$K$3&amp;'Funnel setup'!$K$4&amp;'Funnel setup'!$K$5,".",IF(A6745=".",1,A6745+1))</f>
        <v>.</v>
      </c>
      <c r="B6746" s="431" t="str">
        <f t="shared" si="105"/>
        <v>Varicose VeinCCG of GP PracticeNHS GUILDFORD AND WAVERLEY CCG (09N)EQ-5D Index</v>
      </c>
      <c r="C6746" t="s">
        <v>17</v>
      </c>
      <c r="D6746" t="s">
        <v>87</v>
      </c>
      <c r="E6746" t="s">
        <v>911</v>
      </c>
      <c r="F6746" t="s">
        <v>912</v>
      </c>
      <c r="G6746" t="s">
        <v>52</v>
      </c>
      <c r="H6746">
        <v>11</v>
      </c>
      <c r="I6746">
        <v>0.73599999999999999</v>
      </c>
      <c r="J6746">
        <v>0.872</v>
      </c>
      <c r="K6746">
        <v>0.13600000000000001</v>
      </c>
      <c r="L6746">
        <v>6</v>
      </c>
      <c r="M6746">
        <v>2</v>
      </c>
      <c r="N6746">
        <v>3</v>
      </c>
      <c r="O6746" t="s">
        <v>53</v>
      </c>
      <c r="P6746" t="s">
        <v>53</v>
      </c>
      <c r="Q6746" t="s">
        <v>53</v>
      </c>
    </row>
    <row r="6747" spans="1:17" x14ac:dyDescent="0.2">
      <c r="A6747" s="30" t="str">
        <f>IF(C6747&amp;G6747&amp;D6747&lt;&gt;'Funnel setup'!$K$3&amp;'Funnel setup'!$K$4&amp;'Funnel setup'!$K$5,".",IF(A6746=".",1,A6746+1))</f>
        <v>.</v>
      </c>
      <c r="B6747" s="431" t="str">
        <f t="shared" si="105"/>
        <v>Varicose VeinCCG of GP PracticeNHS HALTON CCG (01F)EQ-5D Index</v>
      </c>
      <c r="C6747" t="s">
        <v>17</v>
      </c>
      <c r="D6747" t="s">
        <v>87</v>
      </c>
      <c r="E6747" t="s">
        <v>914</v>
      </c>
      <c r="F6747" t="s">
        <v>915</v>
      </c>
      <c r="G6747" t="s">
        <v>52</v>
      </c>
      <c r="H6747">
        <v>11</v>
      </c>
      <c r="I6747">
        <v>0.78800000000000003</v>
      </c>
      <c r="J6747">
        <v>0.81599999999999995</v>
      </c>
      <c r="K6747">
        <v>2.7E-2</v>
      </c>
      <c r="L6747">
        <v>5</v>
      </c>
      <c r="M6747">
        <v>3</v>
      </c>
      <c r="N6747">
        <v>3</v>
      </c>
      <c r="O6747" t="s">
        <v>53</v>
      </c>
      <c r="P6747" t="s">
        <v>53</v>
      </c>
      <c r="Q6747" t="s">
        <v>53</v>
      </c>
    </row>
    <row r="6748" spans="1:17" x14ac:dyDescent="0.2">
      <c r="A6748" s="30" t="str">
        <f>IF(C6748&amp;G6748&amp;D6748&lt;&gt;'Funnel setup'!$K$3&amp;'Funnel setup'!$K$4&amp;'Funnel setup'!$K$5,".",IF(A6747=".",1,A6747+1))</f>
        <v>.</v>
      </c>
      <c r="B6748" s="431" t="str">
        <f t="shared" si="105"/>
        <v>Varicose VeinCCG of GP PracticeNHS HAMBLETON, RICHMONDSHIRE AND WHITBY CCG (03D)EQ-5D Index</v>
      </c>
      <c r="C6748" t="s">
        <v>17</v>
      </c>
      <c r="D6748" t="s">
        <v>87</v>
      </c>
      <c r="E6748" t="s">
        <v>917</v>
      </c>
      <c r="F6748" t="s">
        <v>918</v>
      </c>
      <c r="G6748" t="s">
        <v>52</v>
      </c>
      <c r="H6748">
        <v>15</v>
      </c>
      <c r="I6748">
        <v>0.83399999999999996</v>
      </c>
      <c r="J6748">
        <v>0.88300000000000001</v>
      </c>
      <c r="K6748">
        <v>4.9000000000000002E-2</v>
      </c>
      <c r="L6748">
        <v>9</v>
      </c>
      <c r="M6748">
        <v>4</v>
      </c>
      <c r="N6748">
        <v>2</v>
      </c>
      <c r="O6748" t="s">
        <v>53</v>
      </c>
      <c r="P6748" t="s">
        <v>53</v>
      </c>
      <c r="Q6748" t="s">
        <v>53</v>
      </c>
    </row>
    <row r="6749" spans="1:17" x14ac:dyDescent="0.2">
      <c r="A6749" s="30" t="str">
        <f>IF(C6749&amp;G6749&amp;D6749&lt;&gt;'Funnel setup'!$K$3&amp;'Funnel setup'!$K$4&amp;'Funnel setup'!$K$5,".",IF(A6748=".",1,A6748+1))</f>
        <v>.</v>
      </c>
      <c r="B6749" s="431" t="str">
        <f t="shared" si="105"/>
        <v>Varicose VeinCCG of GP PracticeNHS HAMMERSMITH AND FULHAM CCG (08C)EQ-5D Index</v>
      </c>
      <c r="C6749" t="s">
        <v>17</v>
      </c>
      <c r="D6749" t="s">
        <v>87</v>
      </c>
      <c r="E6749" t="s">
        <v>920</v>
      </c>
      <c r="F6749" t="s">
        <v>921</v>
      </c>
      <c r="G6749" t="s">
        <v>52</v>
      </c>
      <c r="H6749">
        <v>30</v>
      </c>
      <c r="I6749">
        <v>0.75600000000000001</v>
      </c>
      <c r="J6749">
        <v>0.78100000000000003</v>
      </c>
      <c r="K6749">
        <v>2.5000000000000001E-2</v>
      </c>
      <c r="L6749">
        <v>10</v>
      </c>
      <c r="M6749">
        <v>14</v>
      </c>
      <c r="N6749">
        <v>6</v>
      </c>
      <c r="O6749">
        <v>0.79800000000000004</v>
      </c>
      <c r="P6749">
        <v>5.1592008000000002E-2</v>
      </c>
      <c r="Q6749">
        <v>0.20899999999999999</v>
      </c>
    </row>
    <row r="6750" spans="1:17" x14ac:dyDescent="0.2">
      <c r="A6750" s="30" t="str">
        <f>IF(C6750&amp;G6750&amp;D6750&lt;&gt;'Funnel setup'!$K$3&amp;'Funnel setup'!$K$4&amp;'Funnel setup'!$K$5,".",IF(A6749=".",1,A6749+1))</f>
        <v>.</v>
      </c>
      <c r="B6750" s="431" t="str">
        <f t="shared" si="105"/>
        <v>Varicose VeinCCG of GP PracticeNHS HARDWICK CCG (03Y)EQ-5D Index</v>
      </c>
      <c r="C6750" t="s">
        <v>17</v>
      </c>
      <c r="D6750" t="s">
        <v>87</v>
      </c>
      <c r="E6750" t="s">
        <v>923</v>
      </c>
      <c r="F6750" t="s">
        <v>924</v>
      </c>
      <c r="G6750" t="s">
        <v>52</v>
      </c>
      <c r="H6750">
        <v>13</v>
      </c>
      <c r="I6750">
        <v>0.68899999999999995</v>
      </c>
      <c r="J6750">
        <v>0.73599999999999999</v>
      </c>
      <c r="K6750">
        <v>4.7E-2</v>
      </c>
      <c r="L6750">
        <v>6</v>
      </c>
      <c r="M6750">
        <v>5</v>
      </c>
      <c r="N6750">
        <v>2</v>
      </c>
      <c r="O6750" t="s">
        <v>53</v>
      </c>
      <c r="P6750" t="s">
        <v>53</v>
      </c>
      <c r="Q6750" t="s">
        <v>53</v>
      </c>
    </row>
    <row r="6751" spans="1:17" x14ac:dyDescent="0.2">
      <c r="A6751" s="30" t="str">
        <f>IF(C6751&amp;G6751&amp;D6751&lt;&gt;'Funnel setup'!$K$3&amp;'Funnel setup'!$K$4&amp;'Funnel setup'!$K$5,".",IF(A6750=".",1,A6750+1))</f>
        <v>.</v>
      </c>
      <c r="B6751" s="431" t="str">
        <f t="shared" si="105"/>
        <v>Varicose VeinCCG of GP PracticeNHS HARINGEY CCG (08D)EQ-5D Index</v>
      </c>
      <c r="C6751" t="s">
        <v>17</v>
      </c>
      <c r="D6751" t="s">
        <v>87</v>
      </c>
      <c r="E6751" t="s">
        <v>926</v>
      </c>
      <c r="F6751" t="s">
        <v>927</v>
      </c>
      <c r="G6751" t="s">
        <v>52</v>
      </c>
      <c r="H6751">
        <v>6</v>
      </c>
      <c r="I6751">
        <v>0.55700000000000005</v>
      </c>
      <c r="J6751">
        <v>0.59699999999999998</v>
      </c>
      <c r="K6751">
        <v>0.04</v>
      </c>
      <c r="L6751">
        <v>3</v>
      </c>
      <c r="M6751">
        <v>1</v>
      </c>
      <c r="N6751">
        <v>2</v>
      </c>
      <c r="O6751" t="s">
        <v>53</v>
      </c>
      <c r="P6751" t="s">
        <v>53</v>
      </c>
      <c r="Q6751" t="s">
        <v>53</v>
      </c>
    </row>
    <row r="6752" spans="1:17" x14ac:dyDescent="0.2">
      <c r="A6752" s="30" t="str">
        <f>IF(C6752&amp;G6752&amp;D6752&lt;&gt;'Funnel setup'!$K$3&amp;'Funnel setup'!$K$4&amp;'Funnel setup'!$K$5,".",IF(A6751=".",1,A6751+1))</f>
        <v>.</v>
      </c>
      <c r="B6752" s="431" t="str">
        <f t="shared" si="105"/>
        <v>Varicose VeinCCG of GP PracticeNHS HARROGATE AND RURAL DISTRICT CCG (03E)EQ-5D Index</v>
      </c>
      <c r="C6752" t="s">
        <v>17</v>
      </c>
      <c r="D6752" t="s">
        <v>87</v>
      </c>
      <c r="E6752" t="s">
        <v>929</v>
      </c>
      <c r="F6752" t="s">
        <v>930</v>
      </c>
      <c r="G6752" t="s">
        <v>52</v>
      </c>
      <c r="H6752">
        <v>19</v>
      </c>
      <c r="I6752">
        <v>0.77800000000000002</v>
      </c>
      <c r="J6752">
        <v>0.875</v>
      </c>
      <c r="K6752">
        <v>9.7000000000000003E-2</v>
      </c>
      <c r="L6752">
        <v>12</v>
      </c>
      <c r="M6752">
        <v>5</v>
      </c>
      <c r="N6752">
        <v>2</v>
      </c>
      <c r="O6752" t="s">
        <v>53</v>
      </c>
      <c r="P6752" t="s">
        <v>53</v>
      </c>
      <c r="Q6752" t="s">
        <v>53</v>
      </c>
    </row>
    <row r="6753" spans="1:17" x14ac:dyDescent="0.2">
      <c r="A6753" s="30" t="str">
        <f>IF(C6753&amp;G6753&amp;D6753&lt;&gt;'Funnel setup'!$K$3&amp;'Funnel setup'!$K$4&amp;'Funnel setup'!$K$5,".",IF(A6752=".",1,A6752+1))</f>
        <v>.</v>
      </c>
      <c r="B6753" s="431" t="str">
        <f t="shared" si="105"/>
        <v>Varicose VeinCCG of GP PracticeNHS HARROW CCG (08E)EQ-5D Index</v>
      </c>
      <c r="C6753" t="s">
        <v>17</v>
      </c>
      <c r="D6753" t="s">
        <v>87</v>
      </c>
      <c r="E6753" t="s">
        <v>492</v>
      </c>
      <c r="F6753" t="s">
        <v>493</v>
      </c>
      <c r="G6753" t="s">
        <v>52</v>
      </c>
      <c r="H6753">
        <v>19</v>
      </c>
      <c r="I6753">
        <v>0.70699999999999996</v>
      </c>
      <c r="J6753">
        <v>0.75800000000000001</v>
      </c>
      <c r="K6753">
        <v>5.0999999999999997E-2</v>
      </c>
      <c r="L6753">
        <v>9</v>
      </c>
      <c r="M6753">
        <v>6</v>
      </c>
      <c r="N6753">
        <v>4</v>
      </c>
      <c r="O6753" t="s">
        <v>53</v>
      </c>
      <c r="P6753" t="s">
        <v>53</v>
      </c>
      <c r="Q6753" t="s">
        <v>53</v>
      </c>
    </row>
    <row r="6754" spans="1:17" x14ac:dyDescent="0.2">
      <c r="A6754" s="30" t="str">
        <f>IF(C6754&amp;G6754&amp;D6754&lt;&gt;'Funnel setup'!$K$3&amp;'Funnel setup'!$K$4&amp;'Funnel setup'!$K$5,".",IF(A6753=".",1,A6753+1))</f>
        <v>.</v>
      </c>
      <c r="B6754" s="431" t="str">
        <f t="shared" si="105"/>
        <v>Varicose VeinCCG of GP PracticeNHS HARTLEPOOL AND STOCKTON-ON-TEES CCG (00K)EQ-5D Index</v>
      </c>
      <c r="C6754" t="s">
        <v>17</v>
      </c>
      <c r="D6754" t="s">
        <v>87</v>
      </c>
      <c r="E6754" t="s">
        <v>495</v>
      </c>
      <c r="F6754" t="s">
        <v>496</v>
      </c>
      <c r="G6754" t="s">
        <v>52</v>
      </c>
      <c r="H6754">
        <v>42</v>
      </c>
      <c r="I6754">
        <v>0.72</v>
      </c>
      <c r="J6754">
        <v>0.80500000000000005</v>
      </c>
      <c r="K6754">
        <v>8.5000000000000006E-2</v>
      </c>
      <c r="L6754">
        <v>24</v>
      </c>
      <c r="M6754">
        <v>11</v>
      </c>
      <c r="N6754">
        <v>7</v>
      </c>
      <c r="O6754">
        <v>0.83699999999999997</v>
      </c>
      <c r="P6754">
        <v>9.0071856000000006E-2</v>
      </c>
      <c r="Q6754">
        <v>0.151</v>
      </c>
    </row>
    <row r="6755" spans="1:17" x14ac:dyDescent="0.2">
      <c r="A6755" s="30" t="str">
        <f>IF(C6755&amp;G6755&amp;D6755&lt;&gt;'Funnel setup'!$K$3&amp;'Funnel setup'!$K$4&amp;'Funnel setup'!$K$5,".",IF(A6754=".",1,A6754+1))</f>
        <v>.</v>
      </c>
      <c r="B6755" s="431" t="str">
        <f t="shared" si="105"/>
        <v>Varicose VeinCCG of GP PracticeNHS HASTINGS AND ROTHER CCG (09P)EQ-5D Index</v>
      </c>
      <c r="C6755" t="s">
        <v>17</v>
      </c>
      <c r="D6755" t="s">
        <v>87</v>
      </c>
      <c r="E6755" t="s">
        <v>498</v>
      </c>
      <c r="F6755" t="s">
        <v>499</v>
      </c>
      <c r="G6755" t="s">
        <v>52</v>
      </c>
      <c r="H6755" t="s">
        <v>53</v>
      </c>
      <c r="I6755" t="s">
        <v>53</v>
      </c>
      <c r="J6755" t="s">
        <v>53</v>
      </c>
      <c r="K6755" t="s">
        <v>53</v>
      </c>
      <c r="L6755" t="s">
        <v>53</v>
      </c>
      <c r="M6755" t="s">
        <v>53</v>
      </c>
      <c r="N6755" t="s">
        <v>53</v>
      </c>
      <c r="O6755" t="s">
        <v>53</v>
      </c>
      <c r="P6755" t="s">
        <v>53</v>
      </c>
      <c r="Q6755" t="s">
        <v>53</v>
      </c>
    </row>
    <row r="6756" spans="1:17" x14ac:dyDescent="0.2">
      <c r="A6756" s="30" t="str">
        <f>IF(C6756&amp;G6756&amp;D6756&lt;&gt;'Funnel setup'!$K$3&amp;'Funnel setup'!$K$4&amp;'Funnel setup'!$K$5,".",IF(A6755=".",1,A6755+1))</f>
        <v>.</v>
      </c>
      <c r="B6756" s="431" t="str">
        <f t="shared" si="105"/>
        <v>Varicose VeinCCG of GP PracticeNHS HAVERING CCG (08F)EQ-5D Index</v>
      </c>
      <c r="C6756" t="s">
        <v>17</v>
      </c>
      <c r="D6756" t="s">
        <v>87</v>
      </c>
      <c r="E6756" t="s">
        <v>501</v>
      </c>
      <c r="F6756" t="s">
        <v>502</v>
      </c>
      <c r="G6756" t="s">
        <v>52</v>
      </c>
      <c r="H6756">
        <v>25</v>
      </c>
      <c r="I6756">
        <v>0.69299999999999995</v>
      </c>
      <c r="J6756">
        <v>0.82099999999999995</v>
      </c>
      <c r="K6756">
        <v>0.128</v>
      </c>
      <c r="L6756">
        <v>13</v>
      </c>
      <c r="M6756">
        <v>8</v>
      </c>
      <c r="N6756">
        <v>4</v>
      </c>
      <c r="O6756" t="s">
        <v>53</v>
      </c>
      <c r="P6756" t="s">
        <v>53</v>
      </c>
      <c r="Q6756" t="s">
        <v>53</v>
      </c>
    </row>
    <row r="6757" spans="1:17" x14ac:dyDescent="0.2">
      <c r="A6757" s="30" t="str">
        <f>IF(C6757&amp;G6757&amp;D6757&lt;&gt;'Funnel setup'!$K$3&amp;'Funnel setup'!$K$4&amp;'Funnel setup'!$K$5,".",IF(A6756=".",1,A6756+1))</f>
        <v>.</v>
      </c>
      <c r="B6757" s="431" t="str">
        <f t="shared" si="105"/>
        <v>Varicose VeinCCG of GP PracticeNHS HEREFORDSHIRE CCG (05F)EQ-5D Index</v>
      </c>
      <c r="C6757" t="s">
        <v>17</v>
      </c>
      <c r="D6757" t="s">
        <v>87</v>
      </c>
      <c r="E6757" t="s">
        <v>504</v>
      </c>
      <c r="F6757" t="s">
        <v>505</v>
      </c>
      <c r="G6757" t="s">
        <v>52</v>
      </c>
      <c r="H6757">
        <v>38</v>
      </c>
      <c r="I6757">
        <v>0.78600000000000003</v>
      </c>
      <c r="J6757">
        <v>0.93</v>
      </c>
      <c r="K6757">
        <v>0.14299999999999999</v>
      </c>
      <c r="L6757">
        <v>24</v>
      </c>
      <c r="M6757">
        <v>11</v>
      </c>
      <c r="N6757">
        <v>3</v>
      </c>
      <c r="O6757">
        <v>0.90200000000000002</v>
      </c>
      <c r="P6757">
        <v>0.154797452</v>
      </c>
      <c r="Q6757">
        <v>0.14599999999999999</v>
      </c>
    </row>
    <row r="6758" spans="1:17" x14ac:dyDescent="0.2">
      <c r="A6758" s="30" t="str">
        <f>IF(C6758&amp;G6758&amp;D6758&lt;&gt;'Funnel setup'!$K$3&amp;'Funnel setup'!$K$4&amp;'Funnel setup'!$K$5,".",IF(A6757=".",1,A6757+1))</f>
        <v>.</v>
      </c>
      <c r="B6758" s="431" t="str">
        <f t="shared" si="105"/>
        <v>Varicose VeinCCG of GP PracticeNHS HERTS VALLEYS CCG (06N)EQ-5D Index</v>
      </c>
      <c r="C6758" t="s">
        <v>17</v>
      </c>
      <c r="D6758" t="s">
        <v>87</v>
      </c>
      <c r="E6758" t="s">
        <v>507</v>
      </c>
      <c r="F6758" t="s">
        <v>508</v>
      </c>
      <c r="G6758" t="s">
        <v>52</v>
      </c>
      <c r="H6758">
        <v>95</v>
      </c>
      <c r="I6758">
        <v>0.73899999999999999</v>
      </c>
      <c r="J6758">
        <v>0.83</v>
      </c>
      <c r="K6758">
        <v>9.0999999999999998E-2</v>
      </c>
      <c r="L6758">
        <v>51</v>
      </c>
      <c r="M6758">
        <v>26</v>
      </c>
      <c r="N6758">
        <v>18</v>
      </c>
      <c r="O6758">
        <v>0.81599999999999995</v>
      </c>
      <c r="P6758">
        <v>6.9018623000000001E-2</v>
      </c>
      <c r="Q6758">
        <v>0.188</v>
      </c>
    </row>
    <row r="6759" spans="1:17" x14ac:dyDescent="0.2">
      <c r="A6759" s="30" t="str">
        <f>IF(C6759&amp;G6759&amp;D6759&lt;&gt;'Funnel setup'!$K$3&amp;'Funnel setup'!$K$4&amp;'Funnel setup'!$K$5,".",IF(A6758=".",1,A6758+1))</f>
        <v>.</v>
      </c>
      <c r="B6759" s="431" t="str">
        <f t="shared" si="105"/>
        <v>Varicose VeinCCG of GP PracticeNHS HEYWOOD, MIDDLETON AND ROCHDALE CCG (01D)EQ-5D Index</v>
      </c>
      <c r="C6759" t="s">
        <v>17</v>
      </c>
      <c r="D6759" t="s">
        <v>87</v>
      </c>
      <c r="E6759" t="s">
        <v>510</v>
      </c>
      <c r="F6759" t="s">
        <v>511</v>
      </c>
      <c r="G6759" t="s">
        <v>52</v>
      </c>
      <c r="H6759" t="s">
        <v>53</v>
      </c>
      <c r="I6759" t="s">
        <v>53</v>
      </c>
      <c r="J6759" t="s">
        <v>53</v>
      </c>
      <c r="K6759" t="s">
        <v>53</v>
      </c>
      <c r="L6759" t="s">
        <v>53</v>
      </c>
      <c r="M6759" t="s">
        <v>53</v>
      </c>
      <c r="N6759" t="s">
        <v>53</v>
      </c>
      <c r="O6759" t="s">
        <v>53</v>
      </c>
      <c r="P6759" t="s">
        <v>53</v>
      </c>
      <c r="Q6759" t="s">
        <v>53</v>
      </c>
    </row>
    <row r="6760" spans="1:17" x14ac:dyDescent="0.2">
      <c r="A6760" s="30" t="str">
        <f>IF(C6760&amp;G6760&amp;D6760&lt;&gt;'Funnel setup'!$K$3&amp;'Funnel setup'!$K$4&amp;'Funnel setup'!$K$5,".",IF(A6759=".",1,A6759+1))</f>
        <v>.</v>
      </c>
      <c r="B6760" s="431" t="str">
        <f t="shared" si="105"/>
        <v>Varicose VeinCCG of GP PracticeNHS HIGH WEALD LEWES HAVENS CCG (99K)EQ-5D Index</v>
      </c>
      <c r="C6760" t="s">
        <v>17</v>
      </c>
      <c r="D6760" t="s">
        <v>87</v>
      </c>
      <c r="E6760" t="s">
        <v>513</v>
      </c>
      <c r="F6760" t="s">
        <v>514</v>
      </c>
      <c r="G6760" t="s">
        <v>52</v>
      </c>
      <c r="H6760">
        <v>15</v>
      </c>
      <c r="I6760">
        <v>0.76</v>
      </c>
      <c r="J6760">
        <v>0.84399999999999997</v>
      </c>
      <c r="K6760">
        <v>8.4000000000000005E-2</v>
      </c>
      <c r="L6760">
        <v>7</v>
      </c>
      <c r="M6760">
        <v>6</v>
      </c>
      <c r="N6760">
        <v>2</v>
      </c>
      <c r="O6760" t="s">
        <v>53</v>
      </c>
      <c r="P6760" t="s">
        <v>53</v>
      </c>
      <c r="Q6760" t="s">
        <v>53</v>
      </c>
    </row>
    <row r="6761" spans="1:17" x14ac:dyDescent="0.2">
      <c r="A6761" s="30" t="str">
        <f>IF(C6761&amp;G6761&amp;D6761&lt;&gt;'Funnel setup'!$K$3&amp;'Funnel setup'!$K$4&amp;'Funnel setup'!$K$5,".",IF(A6760=".",1,A6760+1))</f>
        <v>.</v>
      </c>
      <c r="B6761" s="431" t="str">
        <f t="shared" si="105"/>
        <v>Varicose VeinCCG of GP PracticeNHS HILLINGDON CCG (08G)EQ-5D Index</v>
      </c>
      <c r="C6761" t="s">
        <v>17</v>
      </c>
      <c r="D6761" t="s">
        <v>87</v>
      </c>
      <c r="E6761" t="s">
        <v>516</v>
      </c>
      <c r="F6761" t="s">
        <v>517</v>
      </c>
      <c r="G6761" t="s">
        <v>52</v>
      </c>
      <c r="H6761">
        <v>13</v>
      </c>
      <c r="I6761">
        <v>0.80700000000000005</v>
      </c>
      <c r="J6761">
        <v>0.80600000000000005</v>
      </c>
      <c r="K6761">
        <v>-2E-3</v>
      </c>
      <c r="L6761">
        <v>7</v>
      </c>
      <c r="M6761">
        <v>3</v>
      </c>
      <c r="N6761">
        <v>3</v>
      </c>
      <c r="O6761" t="s">
        <v>53</v>
      </c>
      <c r="P6761" t="s">
        <v>53</v>
      </c>
      <c r="Q6761" t="s">
        <v>53</v>
      </c>
    </row>
    <row r="6762" spans="1:17" x14ac:dyDescent="0.2">
      <c r="A6762" s="30" t="str">
        <f>IF(C6762&amp;G6762&amp;D6762&lt;&gt;'Funnel setup'!$K$3&amp;'Funnel setup'!$K$4&amp;'Funnel setup'!$K$5,".",IF(A6761=".",1,A6761+1))</f>
        <v>.</v>
      </c>
      <c r="B6762" s="431" t="str">
        <f t="shared" si="105"/>
        <v>Varicose VeinCCG of GP PracticeNHS HORSHAM AND MID SUSSEX CCG (09X)EQ-5D Index</v>
      </c>
      <c r="C6762" t="s">
        <v>17</v>
      </c>
      <c r="D6762" t="s">
        <v>87</v>
      </c>
      <c r="E6762" t="s">
        <v>519</v>
      </c>
      <c r="F6762" t="s">
        <v>520</v>
      </c>
      <c r="G6762" t="s">
        <v>52</v>
      </c>
      <c r="H6762">
        <v>15</v>
      </c>
      <c r="I6762">
        <v>0.76600000000000001</v>
      </c>
      <c r="J6762">
        <v>0.78900000000000003</v>
      </c>
      <c r="K6762">
        <v>2.3E-2</v>
      </c>
      <c r="L6762">
        <v>7</v>
      </c>
      <c r="M6762">
        <v>5</v>
      </c>
      <c r="N6762">
        <v>3</v>
      </c>
      <c r="O6762" t="s">
        <v>53</v>
      </c>
      <c r="P6762" t="s">
        <v>53</v>
      </c>
      <c r="Q6762" t="s">
        <v>53</v>
      </c>
    </row>
    <row r="6763" spans="1:17" x14ac:dyDescent="0.2">
      <c r="A6763" s="30" t="str">
        <f>IF(C6763&amp;G6763&amp;D6763&lt;&gt;'Funnel setup'!$K$3&amp;'Funnel setup'!$K$4&amp;'Funnel setup'!$K$5,".",IF(A6762=".",1,A6762+1))</f>
        <v>.</v>
      </c>
      <c r="B6763" s="431" t="str">
        <f t="shared" si="105"/>
        <v>Varicose VeinCCG of GP PracticeNHS HOUNSLOW CCG (07Y)EQ-5D Index</v>
      </c>
      <c r="C6763" t="s">
        <v>17</v>
      </c>
      <c r="D6763" t="s">
        <v>87</v>
      </c>
      <c r="E6763" t="s">
        <v>522</v>
      </c>
      <c r="F6763" t="s">
        <v>523</v>
      </c>
      <c r="G6763" t="s">
        <v>52</v>
      </c>
      <c r="H6763">
        <v>41</v>
      </c>
      <c r="I6763">
        <v>0.752</v>
      </c>
      <c r="J6763">
        <v>0.74299999999999999</v>
      </c>
      <c r="K6763">
        <v>-8.0000000000000002E-3</v>
      </c>
      <c r="L6763">
        <v>16</v>
      </c>
      <c r="M6763">
        <v>8</v>
      </c>
      <c r="N6763">
        <v>17</v>
      </c>
      <c r="O6763">
        <v>0.746</v>
      </c>
      <c r="P6763">
        <v>-7.9454500000000002E-4</v>
      </c>
      <c r="Q6763">
        <v>0.218</v>
      </c>
    </row>
    <row r="6764" spans="1:17" x14ac:dyDescent="0.2">
      <c r="A6764" s="30" t="str">
        <f>IF(C6764&amp;G6764&amp;D6764&lt;&gt;'Funnel setup'!$K$3&amp;'Funnel setup'!$K$4&amp;'Funnel setup'!$K$5,".",IF(A6763=".",1,A6763+1))</f>
        <v>.</v>
      </c>
      <c r="B6764" s="431" t="str">
        <f t="shared" si="105"/>
        <v>Varicose VeinCCG of GP PracticeNHS HULL CCG (03F)EQ-5D Index</v>
      </c>
      <c r="C6764" t="s">
        <v>17</v>
      </c>
      <c r="D6764" t="s">
        <v>87</v>
      </c>
      <c r="E6764" t="s">
        <v>525</v>
      </c>
      <c r="F6764" t="s">
        <v>526</v>
      </c>
      <c r="G6764" t="s">
        <v>52</v>
      </c>
      <c r="H6764">
        <v>48</v>
      </c>
      <c r="I6764">
        <v>0.77</v>
      </c>
      <c r="J6764">
        <v>0.88100000000000001</v>
      </c>
      <c r="K6764">
        <v>0.112</v>
      </c>
      <c r="L6764">
        <v>29</v>
      </c>
      <c r="M6764">
        <v>13</v>
      </c>
      <c r="N6764">
        <v>6</v>
      </c>
      <c r="O6764">
        <v>0.86899999999999999</v>
      </c>
      <c r="P6764">
        <v>0.122023145</v>
      </c>
      <c r="Q6764">
        <v>0.214</v>
      </c>
    </row>
    <row r="6765" spans="1:17" x14ac:dyDescent="0.2">
      <c r="A6765" s="30" t="str">
        <f>IF(C6765&amp;G6765&amp;D6765&lt;&gt;'Funnel setup'!$K$3&amp;'Funnel setup'!$K$4&amp;'Funnel setup'!$K$5,".",IF(A6764=".",1,A6764+1))</f>
        <v>.</v>
      </c>
      <c r="B6765" s="431" t="str">
        <f t="shared" si="105"/>
        <v>Varicose VeinCCG of GP PracticeNHS IPSWICH AND EAST SUFFOLK CCG (06L)EQ-5D Index</v>
      </c>
      <c r="C6765" t="s">
        <v>17</v>
      </c>
      <c r="D6765" t="s">
        <v>87</v>
      </c>
      <c r="E6765" t="s">
        <v>528</v>
      </c>
      <c r="F6765" t="s">
        <v>529</v>
      </c>
      <c r="G6765" t="s">
        <v>52</v>
      </c>
      <c r="H6765">
        <v>106</v>
      </c>
      <c r="I6765">
        <v>0.749</v>
      </c>
      <c r="J6765">
        <v>0.84099999999999997</v>
      </c>
      <c r="K6765">
        <v>9.1999999999999998E-2</v>
      </c>
      <c r="L6765">
        <v>56</v>
      </c>
      <c r="M6765">
        <v>32</v>
      </c>
      <c r="N6765">
        <v>18</v>
      </c>
      <c r="O6765">
        <v>0.83199999999999996</v>
      </c>
      <c r="P6765">
        <v>8.5067757999999993E-2</v>
      </c>
      <c r="Q6765">
        <v>0.17399999999999999</v>
      </c>
    </row>
    <row r="6766" spans="1:17" x14ac:dyDescent="0.2">
      <c r="A6766" s="30" t="str">
        <f>IF(C6766&amp;G6766&amp;D6766&lt;&gt;'Funnel setup'!$K$3&amp;'Funnel setup'!$K$4&amp;'Funnel setup'!$K$5,".",IF(A6765=".",1,A6765+1))</f>
        <v>.</v>
      </c>
      <c r="B6766" s="431" t="str">
        <f t="shared" si="105"/>
        <v>Varicose VeinCCG of GP PracticeNHS ISLINGTON CCG (08H)EQ-5D Index</v>
      </c>
      <c r="C6766" t="s">
        <v>17</v>
      </c>
      <c r="D6766" t="s">
        <v>87</v>
      </c>
      <c r="E6766" t="s">
        <v>534</v>
      </c>
      <c r="F6766" t="s">
        <v>535</v>
      </c>
      <c r="G6766" t="s">
        <v>52</v>
      </c>
      <c r="H6766">
        <v>26</v>
      </c>
      <c r="I6766">
        <v>0.65800000000000003</v>
      </c>
      <c r="J6766">
        <v>0.745</v>
      </c>
      <c r="K6766">
        <v>8.6999999999999994E-2</v>
      </c>
      <c r="L6766">
        <v>15</v>
      </c>
      <c r="M6766">
        <v>8</v>
      </c>
      <c r="N6766">
        <v>3</v>
      </c>
      <c r="O6766" t="s">
        <v>53</v>
      </c>
      <c r="P6766" t="s">
        <v>53</v>
      </c>
      <c r="Q6766" t="s">
        <v>53</v>
      </c>
    </row>
    <row r="6767" spans="1:17" x14ac:dyDescent="0.2">
      <c r="A6767" s="30" t="str">
        <f>IF(C6767&amp;G6767&amp;D6767&lt;&gt;'Funnel setup'!$K$3&amp;'Funnel setup'!$K$4&amp;'Funnel setup'!$K$5,".",IF(A6766=".",1,A6766+1))</f>
        <v>.</v>
      </c>
      <c r="B6767" s="431" t="str">
        <f t="shared" si="105"/>
        <v>Varicose VeinCCG of GP PracticeNHS KERNOW CCG (11N)EQ-5D Index</v>
      </c>
      <c r="C6767" t="s">
        <v>17</v>
      </c>
      <c r="D6767" t="s">
        <v>87</v>
      </c>
      <c r="E6767" t="s">
        <v>537</v>
      </c>
      <c r="F6767" t="s">
        <v>538</v>
      </c>
      <c r="G6767" t="s">
        <v>52</v>
      </c>
      <c r="H6767">
        <v>104</v>
      </c>
      <c r="I6767">
        <v>0.747</v>
      </c>
      <c r="J6767">
        <v>0.81299999999999994</v>
      </c>
      <c r="K6767">
        <v>6.6000000000000003E-2</v>
      </c>
      <c r="L6767">
        <v>47</v>
      </c>
      <c r="M6767">
        <v>35</v>
      </c>
      <c r="N6767">
        <v>22</v>
      </c>
      <c r="O6767">
        <v>0.82399999999999995</v>
      </c>
      <c r="P6767">
        <v>7.7368257999999995E-2</v>
      </c>
      <c r="Q6767">
        <v>0.17100000000000001</v>
      </c>
    </row>
    <row r="6768" spans="1:17" x14ac:dyDescent="0.2">
      <c r="A6768" s="30" t="str">
        <f>IF(C6768&amp;G6768&amp;D6768&lt;&gt;'Funnel setup'!$K$3&amp;'Funnel setup'!$K$4&amp;'Funnel setup'!$K$5,".",IF(A6767=".",1,A6767+1))</f>
        <v>.</v>
      </c>
      <c r="B6768" s="431" t="str">
        <f t="shared" si="105"/>
        <v>Varicose VeinCCG of GP PracticeNHS KINGSTON CCG (08J)EQ-5D Index</v>
      </c>
      <c r="C6768" t="s">
        <v>17</v>
      </c>
      <c r="D6768" t="s">
        <v>87</v>
      </c>
      <c r="E6768" t="s">
        <v>540</v>
      </c>
      <c r="F6768" t="s">
        <v>541</v>
      </c>
      <c r="G6768" t="s">
        <v>52</v>
      </c>
      <c r="H6768" t="s">
        <v>53</v>
      </c>
      <c r="I6768" t="s">
        <v>53</v>
      </c>
      <c r="J6768" t="s">
        <v>53</v>
      </c>
      <c r="K6768" t="s">
        <v>53</v>
      </c>
      <c r="L6768" t="s">
        <v>53</v>
      </c>
      <c r="M6768" t="s">
        <v>53</v>
      </c>
      <c r="N6768" t="s">
        <v>53</v>
      </c>
      <c r="O6768" t="s">
        <v>53</v>
      </c>
      <c r="P6768" t="s">
        <v>53</v>
      </c>
      <c r="Q6768" t="s">
        <v>53</v>
      </c>
    </row>
    <row r="6769" spans="1:17" x14ac:dyDescent="0.2">
      <c r="A6769" s="30" t="str">
        <f>IF(C6769&amp;G6769&amp;D6769&lt;&gt;'Funnel setup'!$K$3&amp;'Funnel setup'!$K$4&amp;'Funnel setup'!$K$5,".",IF(A6768=".",1,A6768+1))</f>
        <v>.</v>
      </c>
      <c r="B6769" s="431" t="str">
        <f t="shared" si="105"/>
        <v>Varicose VeinCCG of GP PracticeNHS KNOWSLEY CCG (01J)EQ-5D Index</v>
      </c>
      <c r="C6769" t="s">
        <v>17</v>
      </c>
      <c r="D6769" t="s">
        <v>87</v>
      </c>
      <c r="E6769" t="s">
        <v>543</v>
      </c>
      <c r="F6769" t="s">
        <v>544</v>
      </c>
      <c r="G6769" t="s">
        <v>52</v>
      </c>
      <c r="H6769">
        <v>6</v>
      </c>
      <c r="I6769">
        <v>0.70899999999999996</v>
      </c>
      <c r="J6769">
        <v>0.754</v>
      </c>
      <c r="K6769">
        <v>4.5999999999999999E-2</v>
      </c>
      <c r="L6769">
        <v>2</v>
      </c>
      <c r="M6769">
        <v>4</v>
      </c>
      <c r="N6769">
        <v>0</v>
      </c>
      <c r="O6769" t="s">
        <v>53</v>
      </c>
      <c r="P6769" t="s">
        <v>53</v>
      </c>
      <c r="Q6769" t="s">
        <v>53</v>
      </c>
    </row>
    <row r="6770" spans="1:17" x14ac:dyDescent="0.2">
      <c r="A6770" s="30" t="str">
        <f>IF(C6770&amp;G6770&amp;D6770&lt;&gt;'Funnel setup'!$K$3&amp;'Funnel setup'!$K$4&amp;'Funnel setup'!$K$5,".",IF(A6769=".",1,A6769+1))</f>
        <v>.</v>
      </c>
      <c r="B6770" s="431" t="str">
        <f t="shared" si="105"/>
        <v>Varicose VeinCCG of GP PracticeNHS LAMBETH CCG (08K)EQ-5D Index</v>
      </c>
      <c r="C6770" t="s">
        <v>17</v>
      </c>
      <c r="D6770" t="s">
        <v>87</v>
      </c>
      <c r="E6770" t="s">
        <v>546</v>
      </c>
      <c r="F6770" t="s">
        <v>547</v>
      </c>
      <c r="G6770" t="s">
        <v>52</v>
      </c>
      <c r="H6770">
        <v>22</v>
      </c>
      <c r="I6770">
        <v>0.76900000000000002</v>
      </c>
      <c r="J6770">
        <v>0.88600000000000001</v>
      </c>
      <c r="K6770">
        <v>0.11700000000000001</v>
      </c>
      <c r="L6770">
        <v>12</v>
      </c>
      <c r="M6770">
        <v>8</v>
      </c>
      <c r="N6770">
        <v>2</v>
      </c>
      <c r="O6770" t="s">
        <v>53</v>
      </c>
      <c r="P6770" t="s">
        <v>53</v>
      </c>
      <c r="Q6770" t="s">
        <v>53</v>
      </c>
    </row>
    <row r="6771" spans="1:17" x14ac:dyDescent="0.2">
      <c r="A6771" s="30" t="str">
        <f>IF(C6771&amp;G6771&amp;D6771&lt;&gt;'Funnel setup'!$K$3&amp;'Funnel setup'!$K$4&amp;'Funnel setup'!$K$5,".",IF(A6770=".",1,A6770+1))</f>
        <v>.</v>
      </c>
      <c r="B6771" s="431" t="str">
        <f t="shared" si="105"/>
        <v>Varicose VeinCCG of GP PracticeNHS LANCASHIRE NORTH CCG (01K)EQ-5D Index</v>
      </c>
      <c r="C6771" t="s">
        <v>17</v>
      </c>
      <c r="D6771" t="s">
        <v>87</v>
      </c>
      <c r="E6771" t="s">
        <v>549</v>
      </c>
      <c r="F6771" t="s">
        <v>550</v>
      </c>
      <c r="G6771" t="s">
        <v>52</v>
      </c>
      <c r="H6771">
        <v>9</v>
      </c>
      <c r="I6771">
        <v>0.81899999999999995</v>
      </c>
      <c r="J6771">
        <v>0.86699999999999999</v>
      </c>
      <c r="K6771">
        <v>4.8000000000000001E-2</v>
      </c>
      <c r="L6771">
        <v>3</v>
      </c>
      <c r="M6771">
        <v>5</v>
      </c>
      <c r="N6771">
        <v>1</v>
      </c>
      <c r="O6771" t="s">
        <v>53</v>
      </c>
      <c r="P6771" t="s">
        <v>53</v>
      </c>
      <c r="Q6771" t="s">
        <v>53</v>
      </c>
    </row>
    <row r="6772" spans="1:17" x14ac:dyDescent="0.2">
      <c r="A6772" s="30" t="str">
        <f>IF(C6772&amp;G6772&amp;D6772&lt;&gt;'Funnel setup'!$K$3&amp;'Funnel setup'!$K$4&amp;'Funnel setup'!$K$5,".",IF(A6771=".",1,A6771+1))</f>
        <v>.</v>
      </c>
      <c r="B6772" s="431" t="str">
        <f t="shared" si="105"/>
        <v>Varicose VeinCCG of GP PracticeNHS LEEDS NORTH CCG (02V)EQ-5D Index</v>
      </c>
      <c r="C6772" t="s">
        <v>17</v>
      </c>
      <c r="D6772" t="s">
        <v>87</v>
      </c>
      <c r="E6772" t="s">
        <v>552</v>
      </c>
      <c r="F6772" t="s">
        <v>337</v>
      </c>
      <c r="G6772" t="s">
        <v>52</v>
      </c>
      <c r="H6772">
        <v>46</v>
      </c>
      <c r="I6772">
        <v>0.76400000000000001</v>
      </c>
      <c r="J6772">
        <v>0.875</v>
      </c>
      <c r="K6772">
        <v>0.111</v>
      </c>
      <c r="L6772">
        <v>25</v>
      </c>
      <c r="M6772">
        <v>14</v>
      </c>
      <c r="N6772">
        <v>7</v>
      </c>
      <c r="O6772">
        <v>0.85799999999999998</v>
      </c>
      <c r="P6772">
        <v>0.111452418</v>
      </c>
      <c r="Q6772">
        <v>0.126</v>
      </c>
    </row>
    <row r="6773" spans="1:17" x14ac:dyDescent="0.2">
      <c r="A6773" s="30" t="str">
        <f>IF(C6773&amp;G6773&amp;D6773&lt;&gt;'Funnel setup'!$K$3&amp;'Funnel setup'!$K$4&amp;'Funnel setup'!$K$5,".",IF(A6772=".",1,A6772+1))</f>
        <v>.</v>
      </c>
      <c r="B6773" s="431" t="str">
        <f t="shared" si="105"/>
        <v>Varicose VeinCCG of GP PracticeNHS LEEDS SOUTH AND EAST CCG (03G)EQ-5D Index</v>
      </c>
      <c r="C6773" t="s">
        <v>17</v>
      </c>
      <c r="D6773" t="s">
        <v>87</v>
      </c>
      <c r="E6773" t="s">
        <v>396</v>
      </c>
      <c r="F6773" t="s">
        <v>397</v>
      </c>
      <c r="G6773" t="s">
        <v>52</v>
      </c>
      <c r="H6773">
        <v>84</v>
      </c>
      <c r="I6773">
        <v>0.78300000000000003</v>
      </c>
      <c r="J6773">
        <v>0.89</v>
      </c>
      <c r="K6773">
        <v>0.107</v>
      </c>
      <c r="L6773">
        <v>52</v>
      </c>
      <c r="M6773">
        <v>21</v>
      </c>
      <c r="N6773">
        <v>11</v>
      </c>
      <c r="O6773">
        <v>0.86499999999999999</v>
      </c>
      <c r="P6773">
        <v>0.118079192</v>
      </c>
      <c r="Q6773">
        <v>0.13700000000000001</v>
      </c>
    </row>
    <row r="6774" spans="1:17" x14ac:dyDescent="0.2">
      <c r="A6774" s="30" t="str">
        <f>IF(C6774&amp;G6774&amp;D6774&lt;&gt;'Funnel setup'!$K$3&amp;'Funnel setup'!$K$4&amp;'Funnel setup'!$K$5,".",IF(A6773=".",1,A6773+1))</f>
        <v>.</v>
      </c>
      <c r="B6774" s="431" t="str">
        <f t="shared" si="105"/>
        <v>Varicose VeinCCG of GP PracticeNHS LEEDS WEST CCG (03C)EQ-5D Index</v>
      </c>
      <c r="C6774" t="s">
        <v>17</v>
      </c>
      <c r="D6774" t="s">
        <v>87</v>
      </c>
      <c r="E6774" t="s">
        <v>399</v>
      </c>
      <c r="F6774" t="s">
        <v>400</v>
      </c>
      <c r="G6774" t="s">
        <v>52</v>
      </c>
      <c r="H6774">
        <v>97</v>
      </c>
      <c r="I6774">
        <v>0.78800000000000003</v>
      </c>
      <c r="J6774">
        <v>0.86299999999999999</v>
      </c>
      <c r="K6774">
        <v>7.4999999999999997E-2</v>
      </c>
      <c r="L6774">
        <v>46</v>
      </c>
      <c r="M6774">
        <v>35</v>
      </c>
      <c r="N6774">
        <v>16</v>
      </c>
      <c r="O6774">
        <v>0.84</v>
      </c>
      <c r="P6774">
        <v>9.3182214999999999E-2</v>
      </c>
      <c r="Q6774">
        <v>0.17199999999999999</v>
      </c>
    </row>
    <row r="6775" spans="1:17" x14ac:dyDescent="0.2">
      <c r="A6775" s="30" t="str">
        <f>IF(C6775&amp;G6775&amp;D6775&lt;&gt;'Funnel setup'!$K$3&amp;'Funnel setup'!$K$4&amp;'Funnel setup'!$K$5,".",IF(A6774=".",1,A6774+1))</f>
        <v>.</v>
      </c>
      <c r="B6775" s="431" t="str">
        <f t="shared" si="105"/>
        <v>Varicose VeinCCG of GP PracticeNHS LEICESTER CITY CCG (04C)EQ-5D Index</v>
      </c>
      <c r="C6775" t="s">
        <v>17</v>
      </c>
      <c r="D6775" t="s">
        <v>87</v>
      </c>
      <c r="E6775" t="s">
        <v>554</v>
      </c>
      <c r="F6775" t="s">
        <v>555</v>
      </c>
      <c r="G6775" t="s">
        <v>52</v>
      </c>
      <c r="H6775">
        <v>13</v>
      </c>
      <c r="I6775">
        <v>0.71699999999999997</v>
      </c>
      <c r="J6775">
        <v>0.873</v>
      </c>
      <c r="K6775">
        <v>0.155</v>
      </c>
      <c r="L6775">
        <v>8</v>
      </c>
      <c r="M6775">
        <v>3</v>
      </c>
      <c r="N6775">
        <v>2</v>
      </c>
      <c r="O6775" t="s">
        <v>53</v>
      </c>
      <c r="P6775" t="s">
        <v>53</v>
      </c>
      <c r="Q6775" t="s">
        <v>53</v>
      </c>
    </row>
    <row r="6776" spans="1:17" x14ac:dyDescent="0.2">
      <c r="A6776" s="30" t="str">
        <f>IF(C6776&amp;G6776&amp;D6776&lt;&gt;'Funnel setup'!$K$3&amp;'Funnel setup'!$K$4&amp;'Funnel setup'!$K$5,".",IF(A6775=".",1,A6775+1))</f>
        <v>.</v>
      </c>
      <c r="B6776" s="431" t="str">
        <f t="shared" si="105"/>
        <v>Varicose VeinCCG of GP PracticeNHS LEWISHAM CCG (08L)EQ-5D Index</v>
      </c>
      <c r="C6776" t="s">
        <v>17</v>
      </c>
      <c r="D6776" t="s">
        <v>87</v>
      </c>
      <c r="E6776" t="s">
        <v>557</v>
      </c>
      <c r="F6776" t="s">
        <v>558</v>
      </c>
      <c r="G6776" t="s">
        <v>52</v>
      </c>
      <c r="H6776">
        <v>38</v>
      </c>
      <c r="I6776">
        <v>0.71199999999999997</v>
      </c>
      <c r="J6776">
        <v>0.749</v>
      </c>
      <c r="K6776">
        <v>3.5999999999999997E-2</v>
      </c>
      <c r="L6776">
        <v>16</v>
      </c>
      <c r="M6776">
        <v>12</v>
      </c>
      <c r="N6776">
        <v>10</v>
      </c>
      <c r="O6776">
        <v>0.80400000000000005</v>
      </c>
      <c r="P6776">
        <v>5.7056882000000003E-2</v>
      </c>
      <c r="Q6776">
        <v>0.19900000000000001</v>
      </c>
    </row>
    <row r="6777" spans="1:17" x14ac:dyDescent="0.2">
      <c r="A6777" s="30" t="str">
        <f>IF(C6777&amp;G6777&amp;D6777&lt;&gt;'Funnel setup'!$K$3&amp;'Funnel setup'!$K$4&amp;'Funnel setup'!$K$5,".",IF(A6776=".",1,A6776+1))</f>
        <v>.</v>
      </c>
      <c r="B6777" s="431" t="str">
        <f t="shared" si="105"/>
        <v>Varicose VeinCCG of GP PracticeNHS LINCOLNSHIRE EAST CCG (03T)EQ-5D Index</v>
      </c>
      <c r="C6777" t="s">
        <v>17</v>
      </c>
      <c r="D6777" t="s">
        <v>87</v>
      </c>
      <c r="E6777" t="s">
        <v>560</v>
      </c>
      <c r="F6777" t="s">
        <v>561</v>
      </c>
      <c r="G6777" t="s">
        <v>52</v>
      </c>
      <c r="H6777">
        <v>28</v>
      </c>
      <c r="I6777">
        <v>0.73499999999999999</v>
      </c>
      <c r="J6777">
        <v>0.81499999999999995</v>
      </c>
      <c r="K6777">
        <v>0.08</v>
      </c>
      <c r="L6777">
        <v>16</v>
      </c>
      <c r="M6777">
        <v>9</v>
      </c>
      <c r="N6777">
        <v>3</v>
      </c>
      <c r="O6777" t="s">
        <v>53</v>
      </c>
      <c r="P6777" t="s">
        <v>53</v>
      </c>
      <c r="Q6777" t="s">
        <v>53</v>
      </c>
    </row>
    <row r="6778" spans="1:17" x14ac:dyDescent="0.2">
      <c r="A6778" s="30" t="str">
        <f>IF(C6778&amp;G6778&amp;D6778&lt;&gt;'Funnel setup'!$K$3&amp;'Funnel setup'!$K$4&amp;'Funnel setup'!$K$5,".",IF(A6777=".",1,A6777+1))</f>
        <v>.</v>
      </c>
      <c r="B6778" s="431" t="str">
        <f t="shared" si="105"/>
        <v>Varicose VeinCCG of GP PracticeNHS LINCOLNSHIRE WEST CCG (04D)EQ-5D Index</v>
      </c>
      <c r="C6778" t="s">
        <v>17</v>
      </c>
      <c r="D6778" t="s">
        <v>87</v>
      </c>
      <c r="E6778" t="s">
        <v>408</v>
      </c>
      <c r="F6778" t="s">
        <v>409</v>
      </c>
      <c r="G6778" t="s">
        <v>52</v>
      </c>
      <c r="H6778">
        <v>13</v>
      </c>
      <c r="I6778">
        <v>0.60399999999999998</v>
      </c>
      <c r="J6778">
        <v>0.80700000000000005</v>
      </c>
      <c r="K6778">
        <v>0.20300000000000001</v>
      </c>
      <c r="L6778">
        <v>8</v>
      </c>
      <c r="M6778">
        <v>3</v>
      </c>
      <c r="N6778">
        <v>2</v>
      </c>
      <c r="O6778" t="s">
        <v>53</v>
      </c>
      <c r="P6778" t="s">
        <v>53</v>
      </c>
      <c r="Q6778" t="s">
        <v>53</v>
      </c>
    </row>
    <row r="6779" spans="1:17" x14ac:dyDescent="0.2">
      <c r="A6779" s="30" t="str">
        <f>IF(C6779&amp;G6779&amp;D6779&lt;&gt;'Funnel setup'!$K$3&amp;'Funnel setup'!$K$4&amp;'Funnel setup'!$K$5,".",IF(A6778=".",1,A6778+1))</f>
        <v>.</v>
      </c>
      <c r="B6779" s="431" t="str">
        <f t="shared" si="105"/>
        <v>Varicose VeinCCG of GP PracticeNHS LIVERPOOL CCG (99A)EQ-5D Index</v>
      </c>
      <c r="C6779" t="s">
        <v>17</v>
      </c>
      <c r="D6779" t="s">
        <v>87</v>
      </c>
      <c r="E6779" t="s">
        <v>411</v>
      </c>
      <c r="F6779" t="s">
        <v>412</v>
      </c>
      <c r="G6779" t="s">
        <v>52</v>
      </c>
      <c r="H6779">
        <v>25</v>
      </c>
      <c r="I6779">
        <v>0.65400000000000003</v>
      </c>
      <c r="J6779">
        <v>0.71599999999999997</v>
      </c>
      <c r="K6779">
        <v>6.2E-2</v>
      </c>
      <c r="L6779">
        <v>13</v>
      </c>
      <c r="M6779">
        <v>4</v>
      </c>
      <c r="N6779">
        <v>8</v>
      </c>
      <c r="O6779" t="s">
        <v>53</v>
      </c>
      <c r="P6779" t="s">
        <v>53</v>
      </c>
      <c r="Q6779" t="s">
        <v>53</v>
      </c>
    </row>
    <row r="6780" spans="1:17" x14ac:dyDescent="0.2">
      <c r="A6780" s="30" t="str">
        <f>IF(C6780&amp;G6780&amp;D6780&lt;&gt;'Funnel setup'!$K$3&amp;'Funnel setup'!$K$4&amp;'Funnel setup'!$K$5,".",IF(A6779=".",1,A6779+1))</f>
        <v>.</v>
      </c>
      <c r="B6780" s="431" t="str">
        <f t="shared" si="105"/>
        <v>Varicose VeinCCG of GP PracticeNHS LUTON CCG (06P)EQ-5D Index</v>
      </c>
      <c r="C6780" t="s">
        <v>17</v>
      </c>
      <c r="D6780" t="s">
        <v>87</v>
      </c>
      <c r="E6780" t="s">
        <v>414</v>
      </c>
      <c r="F6780" t="s">
        <v>415</v>
      </c>
      <c r="G6780" t="s">
        <v>52</v>
      </c>
      <c r="H6780">
        <v>19</v>
      </c>
      <c r="I6780">
        <v>0.67400000000000004</v>
      </c>
      <c r="J6780">
        <v>0.82799999999999996</v>
      </c>
      <c r="K6780">
        <v>0.154</v>
      </c>
      <c r="L6780">
        <v>13</v>
      </c>
      <c r="M6780">
        <v>4</v>
      </c>
      <c r="N6780">
        <v>2</v>
      </c>
      <c r="O6780" t="s">
        <v>53</v>
      </c>
      <c r="P6780" t="s">
        <v>53</v>
      </c>
      <c r="Q6780" t="s">
        <v>53</v>
      </c>
    </row>
    <row r="6781" spans="1:17" x14ac:dyDescent="0.2">
      <c r="A6781" s="30" t="str">
        <f>IF(C6781&amp;G6781&amp;D6781&lt;&gt;'Funnel setup'!$K$3&amp;'Funnel setup'!$K$4&amp;'Funnel setup'!$K$5,".",IF(A6780=".",1,A6780+1))</f>
        <v>.</v>
      </c>
      <c r="B6781" s="431" t="str">
        <f t="shared" si="105"/>
        <v>Varicose VeinCCG of GP PracticeNHS MANSFIELD AND ASHFIELD CCG (04E)EQ-5D Index</v>
      </c>
      <c r="C6781" t="s">
        <v>17</v>
      </c>
      <c r="D6781" t="s">
        <v>87</v>
      </c>
      <c r="E6781" t="s">
        <v>417</v>
      </c>
      <c r="F6781" t="s">
        <v>418</v>
      </c>
      <c r="G6781" t="s">
        <v>52</v>
      </c>
      <c r="H6781">
        <v>53</v>
      </c>
      <c r="I6781">
        <v>0.69</v>
      </c>
      <c r="J6781">
        <v>0.80400000000000005</v>
      </c>
      <c r="K6781">
        <v>0.115</v>
      </c>
      <c r="L6781">
        <v>29</v>
      </c>
      <c r="M6781">
        <v>13</v>
      </c>
      <c r="N6781">
        <v>11</v>
      </c>
      <c r="O6781">
        <v>0.85799999999999998</v>
      </c>
      <c r="P6781">
        <v>0.11084340500000001</v>
      </c>
      <c r="Q6781">
        <v>0.19700000000000001</v>
      </c>
    </row>
    <row r="6782" spans="1:17" x14ac:dyDescent="0.2">
      <c r="A6782" s="30" t="str">
        <f>IF(C6782&amp;G6782&amp;D6782&lt;&gt;'Funnel setup'!$K$3&amp;'Funnel setup'!$K$4&amp;'Funnel setup'!$K$5,".",IF(A6781=".",1,A6781+1))</f>
        <v>.</v>
      </c>
      <c r="B6782" s="431" t="str">
        <f t="shared" si="105"/>
        <v>Varicose VeinCCG of GP PracticeNHS MEDWAY CCG (09W)EQ-5D Index</v>
      </c>
      <c r="C6782" t="s">
        <v>17</v>
      </c>
      <c r="D6782" t="s">
        <v>87</v>
      </c>
      <c r="E6782" t="s">
        <v>610</v>
      </c>
      <c r="F6782" t="s">
        <v>611</v>
      </c>
      <c r="G6782" t="s">
        <v>52</v>
      </c>
      <c r="H6782">
        <v>15</v>
      </c>
      <c r="I6782">
        <v>0.80700000000000005</v>
      </c>
      <c r="J6782">
        <v>0.85399999999999998</v>
      </c>
      <c r="K6782">
        <v>4.7E-2</v>
      </c>
      <c r="L6782">
        <v>5</v>
      </c>
      <c r="M6782">
        <v>7</v>
      </c>
      <c r="N6782">
        <v>3</v>
      </c>
      <c r="O6782" t="s">
        <v>53</v>
      </c>
      <c r="P6782" t="s">
        <v>53</v>
      </c>
      <c r="Q6782" t="s">
        <v>53</v>
      </c>
    </row>
    <row r="6783" spans="1:17" x14ac:dyDescent="0.2">
      <c r="A6783" s="30" t="str">
        <f>IF(C6783&amp;G6783&amp;D6783&lt;&gt;'Funnel setup'!$K$3&amp;'Funnel setup'!$K$4&amp;'Funnel setup'!$K$5,".",IF(A6782=".",1,A6782+1))</f>
        <v>.</v>
      </c>
      <c r="B6783" s="431" t="str">
        <f t="shared" si="105"/>
        <v>Varicose VeinCCG of GP PracticeNHS MERTON CCG (08R)EQ-5D Index</v>
      </c>
      <c r="C6783" t="s">
        <v>17</v>
      </c>
      <c r="D6783" t="s">
        <v>87</v>
      </c>
      <c r="E6783" t="s">
        <v>613</v>
      </c>
      <c r="F6783" t="s">
        <v>614</v>
      </c>
      <c r="G6783" t="s">
        <v>52</v>
      </c>
      <c r="H6783">
        <v>12</v>
      </c>
      <c r="I6783">
        <v>0.70499999999999996</v>
      </c>
      <c r="J6783">
        <v>0.74299999999999999</v>
      </c>
      <c r="K6783">
        <v>3.7999999999999999E-2</v>
      </c>
      <c r="L6783">
        <v>4</v>
      </c>
      <c r="M6783">
        <v>5</v>
      </c>
      <c r="N6783">
        <v>3</v>
      </c>
      <c r="O6783" t="s">
        <v>53</v>
      </c>
      <c r="P6783" t="s">
        <v>53</v>
      </c>
      <c r="Q6783" t="s">
        <v>53</v>
      </c>
    </row>
    <row r="6784" spans="1:17" x14ac:dyDescent="0.2">
      <c r="A6784" s="30" t="str">
        <f>IF(C6784&amp;G6784&amp;D6784&lt;&gt;'Funnel setup'!$K$3&amp;'Funnel setup'!$K$4&amp;'Funnel setup'!$K$5,".",IF(A6783=".",1,A6783+1))</f>
        <v>.</v>
      </c>
      <c r="B6784" s="431" t="str">
        <f t="shared" si="105"/>
        <v>Varicose VeinCCG of GP PracticeNHS MID ESSEX CCG (06Q)EQ-5D Index</v>
      </c>
      <c r="C6784" t="s">
        <v>17</v>
      </c>
      <c r="D6784" t="s">
        <v>87</v>
      </c>
      <c r="E6784" t="s">
        <v>616</v>
      </c>
      <c r="F6784" t="s">
        <v>617</v>
      </c>
      <c r="G6784" t="s">
        <v>52</v>
      </c>
      <c r="H6784">
        <v>22</v>
      </c>
      <c r="I6784">
        <v>0.73099999999999998</v>
      </c>
      <c r="J6784">
        <v>0.79300000000000004</v>
      </c>
      <c r="K6784">
        <v>6.2E-2</v>
      </c>
      <c r="L6784">
        <v>14</v>
      </c>
      <c r="M6784">
        <v>4</v>
      </c>
      <c r="N6784">
        <v>4</v>
      </c>
      <c r="O6784" t="s">
        <v>53</v>
      </c>
      <c r="P6784" t="s">
        <v>53</v>
      </c>
      <c r="Q6784" t="s">
        <v>53</v>
      </c>
    </row>
    <row r="6785" spans="1:17" x14ac:dyDescent="0.2">
      <c r="A6785" s="30" t="str">
        <f>IF(C6785&amp;G6785&amp;D6785&lt;&gt;'Funnel setup'!$K$3&amp;'Funnel setup'!$K$4&amp;'Funnel setup'!$K$5,".",IF(A6784=".",1,A6784+1))</f>
        <v>.</v>
      </c>
      <c r="B6785" s="431" t="str">
        <f t="shared" si="105"/>
        <v>Varicose VeinCCG of GP PracticeNHS MILTON KEYNES CCG (04F)EQ-5D Index</v>
      </c>
      <c r="C6785" t="s">
        <v>17</v>
      </c>
      <c r="D6785" t="s">
        <v>87</v>
      </c>
      <c r="E6785" t="s">
        <v>619</v>
      </c>
      <c r="F6785" t="s">
        <v>338</v>
      </c>
      <c r="G6785" t="s">
        <v>52</v>
      </c>
      <c r="H6785">
        <v>20</v>
      </c>
      <c r="I6785">
        <v>0.67900000000000005</v>
      </c>
      <c r="J6785">
        <v>0.80200000000000005</v>
      </c>
      <c r="K6785">
        <v>0.124</v>
      </c>
      <c r="L6785">
        <v>12</v>
      </c>
      <c r="M6785">
        <v>4</v>
      </c>
      <c r="N6785">
        <v>4</v>
      </c>
      <c r="O6785" t="s">
        <v>53</v>
      </c>
      <c r="P6785" t="s">
        <v>53</v>
      </c>
      <c r="Q6785" t="s">
        <v>53</v>
      </c>
    </row>
    <row r="6786" spans="1:17" x14ac:dyDescent="0.2">
      <c r="A6786" s="30" t="str">
        <f>IF(C6786&amp;G6786&amp;D6786&lt;&gt;'Funnel setup'!$K$3&amp;'Funnel setup'!$K$4&amp;'Funnel setup'!$K$5,".",IF(A6785=".",1,A6785+1))</f>
        <v>.</v>
      </c>
      <c r="B6786" s="431" t="str">
        <f t="shared" si="105"/>
        <v>Varicose VeinCCG of GP PracticeNHS NENE CCG (04G)EQ-5D Index</v>
      </c>
      <c r="C6786" t="s">
        <v>17</v>
      </c>
      <c r="D6786" t="s">
        <v>87</v>
      </c>
      <c r="E6786" t="s">
        <v>621</v>
      </c>
      <c r="F6786" t="s">
        <v>622</v>
      </c>
      <c r="G6786" t="s">
        <v>52</v>
      </c>
      <c r="H6786">
        <v>31</v>
      </c>
      <c r="I6786">
        <v>0.68700000000000006</v>
      </c>
      <c r="J6786">
        <v>0.80300000000000005</v>
      </c>
      <c r="K6786">
        <v>0.115</v>
      </c>
      <c r="L6786">
        <v>16</v>
      </c>
      <c r="M6786">
        <v>9</v>
      </c>
      <c r="N6786">
        <v>6</v>
      </c>
      <c r="O6786">
        <v>0.86599999999999999</v>
      </c>
      <c r="P6786">
        <v>0.118790838</v>
      </c>
      <c r="Q6786">
        <v>0.16600000000000001</v>
      </c>
    </row>
    <row r="6787" spans="1:17" x14ac:dyDescent="0.2">
      <c r="A6787" s="30" t="str">
        <f>IF(C6787&amp;G6787&amp;D6787&lt;&gt;'Funnel setup'!$K$3&amp;'Funnel setup'!$K$4&amp;'Funnel setup'!$K$5,".",IF(A6786=".",1,A6786+1))</f>
        <v>.</v>
      </c>
      <c r="B6787" s="431" t="str">
        <f t="shared" ref="B6787:B6850" si="106">C6787&amp;D6787&amp;F6787&amp;G6787</f>
        <v>Varicose VeinCCG of GP PracticeNHS NEWARK &amp; SHERWOOD CCG (04H)EQ-5D Index</v>
      </c>
      <c r="C6787" t="s">
        <v>17</v>
      </c>
      <c r="D6787" t="s">
        <v>87</v>
      </c>
      <c r="E6787" t="s">
        <v>624</v>
      </c>
      <c r="F6787" t="s">
        <v>625</v>
      </c>
      <c r="G6787" t="s">
        <v>52</v>
      </c>
      <c r="H6787">
        <v>31</v>
      </c>
      <c r="I6787">
        <v>0.71099999999999997</v>
      </c>
      <c r="J6787">
        <v>0.83699999999999997</v>
      </c>
      <c r="K6787">
        <v>0.126</v>
      </c>
      <c r="L6787">
        <v>16</v>
      </c>
      <c r="M6787">
        <v>9</v>
      </c>
      <c r="N6787">
        <v>6</v>
      </c>
      <c r="O6787">
        <v>0.85099999999999998</v>
      </c>
      <c r="P6787">
        <v>0.10474894899999999</v>
      </c>
      <c r="Q6787">
        <v>0.17499999999999999</v>
      </c>
    </row>
    <row r="6788" spans="1:17" x14ac:dyDescent="0.2">
      <c r="A6788" s="30" t="str">
        <f>IF(C6788&amp;G6788&amp;D6788&lt;&gt;'Funnel setup'!$K$3&amp;'Funnel setup'!$K$4&amp;'Funnel setup'!$K$5,".",IF(A6787=".",1,A6787+1))</f>
        <v>.</v>
      </c>
      <c r="B6788" s="431" t="str">
        <f t="shared" si="106"/>
        <v>Varicose VeinCCG of GP PracticeNHS NEWCASTLE GATESHEAD CCG (13T)EQ-5D Index</v>
      </c>
      <c r="C6788" t="s">
        <v>17</v>
      </c>
      <c r="D6788" t="s">
        <v>87</v>
      </c>
      <c r="E6788" t="s">
        <v>6553</v>
      </c>
      <c r="F6788" t="s">
        <v>6543</v>
      </c>
      <c r="G6788" t="s">
        <v>52</v>
      </c>
      <c r="H6788">
        <v>132</v>
      </c>
      <c r="I6788">
        <v>0.75900000000000001</v>
      </c>
      <c r="J6788">
        <v>0.83799999999999997</v>
      </c>
      <c r="K6788">
        <v>7.9000000000000001E-2</v>
      </c>
      <c r="L6788">
        <v>68</v>
      </c>
      <c r="M6788">
        <v>40</v>
      </c>
      <c r="N6788">
        <v>24</v>
      </c>
      <c r="O6788">
        <v>0.82899999999999996</v>
      </c>
      <c r="P6788">
        <v>8.2225933000000001E-2</v>
      </c>
      <c r="Q6788">
        <v>0.14599999999999999</v>
      </c>
    </row>
    <row r="6789" spans="1:17" x14ac:dyDescent="0.2">
      <c r="A6789" s="30" t="str">
        <f>IF(C6789&amp;G6789&amp;D6789&lt;&gt;'Funnel setup'!$K$3&amp;'Funnel setup'!$K$4&amp;'Funnel setup'!$K$5,".",IF(A6788=".",1,A6788+1))</f>
        <v>.</v>
      </c>
      <c r="B6789" s="431" t="str">
        <f t="shared" si="106"/>
        <v>Varicose VeinCCG of GP PracticeNHS NEWHAM CCG (08M)EQ-5D Index</v>
      </c>
      <c r="C6789" t="s">
        <v>17</v>
      </c>
      <c r="D6789" t="s">
        <v>87</v>
      </c>
      <c r="E6789" t="s">
        <v>630</v>
      </c>
      <c r="F6789" t="s">
        <v>631</v>
      </c>
      <c r="G6789" t="s">
        <v>52</v>
      </c>
      <c r="H6789">
        <v>19</v>
      </c>
      <c r="I6789">
        <v>0.72199999999999998</v>
      </c>
      <c r="J6789">
        <v>0.754</v>
      </c>
      <c r="K6789">
        <v>3.2000000000000001E-2</v>
      </c>
      <c r="L6789">
        <v>8</v>
      </c>
      <c r="M6789">
        <v>7</v>
      </c>
      <c r="N6789">
        <v>4</v>
      </c>
      <c r="O6789" t="s">
        <v>53</v>
      </c>
      <c r="P6789" t="s">
        <v>53</v>
      </c>
      <c r="Q6789" t="s">
        <v>53</v>
      </c>
    </row>
    <row r="6790" spans="1:17" x14ac:dyDescent="0.2">
      <c r="A6790" s="30" t="str">
        <f>IF(C6790&amp;G6790&amp;D6790&lt;&gt;'Funnel setup'!$K$3&amp;'Funnel setup'!$K$4&amp;'Funnel setup'!$K$5,".",IF(A6789=".",1,A6789+1))</f>
        <v>.</v>
      </c>
      <c r="B6790" s="431" t="str">
        <f t="shared" si="106"/>
        <v>Varicose VeinCCG of GP PracticeNHS NORTH &amp; WEST READING CCG (10N)EQ-5D Index</v>
      </c>
      <c r="C6790" t="s">
        <v>17</v>
      </c>
      <c r="D6790" t="s">
        <v>87</v>
      </c>
      <c r="E6790" t="s">
        <v>633</v>
      </c>
      <c r="F6790" t="s">
        <v>634</v>
      </c>
      <c r="G6790" t="s">
        <v>52</v>
      </c>
      <c r="H6790" t="s">
        <v>53</v>
      </c>
      <c r="I6790" t="s">
        <v>53</v>
      </c>
      <c r="J6790" t="s">
        <v>53</v>
      </c>
      <c r="K6790" t="s">
        <v>53</v>
      </c>
      <c r="L6790" t="s">
        <v>53</v>
      </c>
      <c r="M6790" t="s">
        <v>53</v>
      </c>
      <c r="N6790" t="s">
        <v>53</v>
      </c>
      <c r="O6790" t="s">
        <v>53</v>
      </c>
      <c r="P6790" t="s">
        <v>53</v>
      </c>
      <c r="Q6790" t="s">
        <v>53</v>
      </c>
    </row>
    <row r="6791" spans="1:17" x14ac:dyDescent="0.2">
      <c r="A6791" s="30" t="str">
        <f>IF(C6791&amp;G6791&amp;D6791&lt;&gt;'Funnel setup'!$K$3&amp;'Funnel setup'!$K$4&amp;'Funnel setup'!$K$5,".",IF(A6790=".",1,A6790+1))</f>
        <v>.</v>
      </c>
      <c r="B6791" s="431" t="str">
        <f t="shared" si="106"/>
        <v>Varicose VeinCCG of GP PracticeNHS NORTH DERBYSHIRE CCG (04J)EQ-5D Index</v>
      </c>
      <c r="C6791" t="s">
        <v>17</v>
      </c>
      <c r="D6791" t="s">
        <v>87</v>
      </c>
      <c r="E6791" t="s">
        <v>636</v>
      </c>
      <c r="F6791" t="s">
        <v>637</v>
      </c>
      <c r="G6791" t="s">
        <v>52</v>
      </c>
      <c r="H6791">
        <v>37</v>
      </c>
      <c r="I6791">
        <v>0.84599999999999997</v>
      </c>
      <c r="J6791">
        <v>0.874</v>
      </c>
      <c r="K6791">
        <v>2.8000000000000001E-2</v>
      </c>
      <c r="L6791">
        <v>8</v>
      </c>
      <c r="M6791">
        <v>21</v>
      </c>
      <c r="N6791">
        <v>8</v>
      </c>
      <c r="O6791">
        <v>0.80200000000000005</v>
      </c>
      <c r="P6791">
        <v>5.5047642000000001E-2</v>
      </c>
      <c r="Q6791">
        <v>0.11</v>
      </c>
    </row>
    <row r="6792" spans="1:17" x14ac:dyDescent="0.2">
      <c r="A6792" s="30" t="str">
        <f>IF(C6792&amp;G6792&amp;D6792&lt;&gt;'Funnel setup'!$K$3&amp;'Funnel setup'!$K$4&amp;'Funnel setup'!$K$5,".",IF(A6791=".",1,A6791+1))</f>
        <v>.</v>
      </c>
      <c r="B6792" s="431" t="str">
        <f t="shared" si="106"/>
        <v>Varicose VeinCCG of GP PracticeNHS NORTH DURHAM CCG (00J)EQ-5D Index</v>
      </c>
      <c r="C6792" t="s">
        <v>17</v>
      </c>
      <c r="D6792" t="s">
        <v>87</v>
      </c>
      <c r="E6792" t="s">
        <v>639</v>
      </c>
      <c r="F6792" t="s">
        <v>640</v>
      </c>
      <c r="G6792" t="s">
        <v>52</v>
      </c>
      <c r="H6792">
        <v>23</v>
      </c>
      <c r="I6792">
        <v>0.75600000000000001</v>
      </c>
      <c r="J6792">
        <v>0.88100000000000001</v>
      </c>
      <c r="K6792">
        <v>0.125</v>
      </c>
      <c r="L6792">
        <v>12</v>
      </c>
      <c r="M6792">
        <v>7</v>
      </c>
      <c r="N6792">
        <v>4</v>
      </c>
      <c r="O6792" t="s">
        <v>53</v>
      </c>
      <c r="P6792" t="s">
        <v>53</v>
      </c>
      <c r="Q6792" t="s">
        <v>53</v>
      </c>
    </row>
    <row r="6793" spans="1:17" x14ac:dyDescent="0.2">
      <c r="A6793" s="30" t="str">
        <f>IF(C6793&amp;G6793&amp;D6793&lt;&gt;'Funnel setup'!$K$3&amp;'Funnel setup'!$K$4&amp;'Funnel setup'!$K$5,".",IF(A6792=".",1,A6792+1))</f>
        <v>.</v>
      </c>
      <c r="B6793" s="431" t="str">
        <f t="shared" si="106"/>
        <v>Varicose VeinCCG of GP PracticeNHS NORTH EAST ESSEX CCG (06T)EQ-5D Index</v>
      </c>
      <c r="C6793" t="s">
        <v>17</v>
      </c>
      <c r="D6793" t="s">
        <v>87</v>
      </c>
      <c r="E6793" t="s">
        <v>642</v>
      </c>
      <c r="F6793" t="s">
        <v>643</v>
      </c>
      <c r="G6793" t="s">
        <v>52</v>
      </c>
      <c r="H6793">
        <v>17</v>
      </c>
      <c r="I6793">
        <v>0.61499999999999999</v>
      </c>
      <c r="J6793">
        <v>0.77700000000000002</v>
      </c>
      <c r="K6793">
        <v>0.16200000000000001</v>
      </c>
      <c r="L6793">
        <v>9</v>
      </c>
      <c r="M6793">
        <v>5</v>
      </c>
      <c r="N6793">
        <v>3</v>
      </c>
      <c r="O6793" t="s">
        <v>53</v>
      </c>
      <c r="P6793" t="s">
        <v>53</v>
      </c>
      <c r="Q6793" t="s">
        <v>53</v>
      </c>
    </row>
    <row r="6794" spans="1:17" x14ac:dyDescent="0.2">
      <c r="A6794" s="30" t="str">
        <f>IF(C6794&amp;G6794&amp;D6794&lt;&gt;'Funnel setup'!$K$3&amp;'Funnel setup'!$K$4&amp;'Funnel setup'!$K$5,".",IF(A6793=".",1,A6793+1))</f>
        <v>.</v>
      </c>
      <c r="B6794" s="431" t="str">
        <f t="shared" si="106"/>
        <v>Varicose VeinCCG of GP PracticeNHS NORTH EAST HAMPSHIRE AND FARNHAM CCG (99M)EQ-5D Index</v>
      </c>
      <c r="C6794" t="s">
        <v>17</v>
      </c>
      <c r="D6794" t="s">
        <v>87</v>
      </c>
      <c r="E6794" t="s">
        <v>645</v>
      </c>
      <c r="F6794" t="s">
        <v>646</v>
      </c>
      <c r="G6794" t="s">
        <v>52</v>
      </c>
      <c r="H6794">
        <v>9</v>
      </c>
      <c r="I6794">
        <v>0.77400000000000002</v>
      </c>
      <c r="J6794">
        <v>0.9</v>
      </c>
      <c r="K6794">
        <v>0.126</v>
      </c>
      <c r="L6794">
        <v>5</v>
      </c>
      <c r="M6794">
        <v>1</v>
      </c>
      <c r="N6794">
        <v>3</v>
      </c>
      <c r="O6794" t="s">
        <v>53</v>
      </c>
      <c r="P6794" t="s">
        <v>53</v>
      </c>
      <c r="Q6794" t="s">
        <v>53</v>
      </c>
    </row>
    <row r="6795" spans="1:17" x14ac:dyDescent="0.2">
      <c r="A6795" s="30" t="str">
        <f>IF(C6795&amp;G6795&amp;D6795&lt;&gt;'Funnel setup'!$K$3&amp;'Funnel setup'!$K$4&amp;'Funnel setup'!$K$5,".",IF(A6794=".",1,A6794+1))</f>
        <v>.</v>
      </c>
      <c r="B6795" s="431" t="str">
        <f t="shared" si="106"/>
        <v>Varicose VeinCCG of GP PracticeNHS NORTH EAST LINCOLNSHIRE CCG (03H)EQ-5D Index</v>
      </c>
      <c r="C6795" t="s">
        <v>17</v>
      </c>
      <c r="D6795" t="s">
        <v>87</v>
      </c>
      <c r="E6795" t="s">
        <v>648</v>
      </c>
      <c r="F6795" t="s">
        <v>649</v>
      </c>
      <c r="G6795" t="s">
        <v>52</v>
      </c>
      <c r="H6795" t="s">
        <v>53</v>
      </c>
      <c r="I6795" t="s">
        <v>53</v>
      </c>
      <c r="J6795" t="s">
        <v>53</v>
      </c>
      <c r="K6795" t="s">
        <v>53</v>
      </c>
      <c r="L6795" t="s">
        <v>53</v>
      </c>
      <c r="M6795" t="s">
        <v>53</v>
      </c>
      <c r="N6795" t="s">
        <v>53</v>
      </c>
      <c r="O6795" t="s">
        <v>53</v>
      </c>
      <c r="P6795" t="s">
        <v>53</v>
      </c>
      <c r="Q6795" t="s">
        <v>53</v>
      </c>
    </row>
    <row r="6796" spans="1:17" x14ac:dyDescent="0.2">
      <c r="A6796" s="30" t="str">
        <f>IF(C6796&amp;G6796&amp;D6796&lt;&gt;'Funnel setup'!$K$3&amp;'Funnel setup'!$K$4&amp;'Funnel setup'!$K$5,".",IF(A6795=".",1,A6795+1))</f>
        <v>.</v>
      </c>
      <c r="B6796" s="431" t="str">
        <f t="shared" si="106"/>
        <v>Varicose VeinCCG of GP PracticeNHS NORTH KIRKLEES CCG (03J)EQ-5D Index</v>
      </c>
      <c r="C6796" t="s">
        <v>17</v>
      </c>
      <c r="D6796" t="s">
        <v>87</v>
      </c>
      <c r="E6796" t="s">
        <v>654</v>
      </c>
      <c r="F6796" t="s">
        <v>655</v>
      </c>
      <c r="G6796" t="s">
        <v>52</v>
      </c>
      <c r="H6796">
        <v>18</v>
      </c>
      <c r="I6796">
        <v>0.83699999999999997</v>
      </c>
      <c r="J6796">
        <v>0.89400000000000002</v>
      </c>
      <c r="K6796">
        <v>5.7000000000000002E-2</v>
      </c>
      <c r="L6796">
        <v>7</v>
      </c>
      <c r="M6796">
        <v>8</v>
      </c>
      <c r="N6796">
        <v>3</v>
      </c>
      <c r="O6796" t="s">
        <v>53</v>
      </c>
      <c r="P6796" t="s">
        <v>53</v>
      </c>
      <c r="Q6796" t="s">
        <v>53</v>
      </c>
    </row>
    <row r="6797" spans="1:17" x14ac:dyDescent="0.2">
      <c r="A6797" s="30" t="str">
        <f>IF(C6797&amp;G6797&amp;D6797&lt;&gt;'Funnel setup'!$K$3&amp;'Funnel setup'!$K$4&amp;'Funnel setup'!$K$5,".",IF(A6796=".",1,A6796+1))</f>
        <v>.</v>
      </c>
      <c r="B6797" s="431" t="str">
        <f t="shared" si="106"/>
        <v>Varicose VeinCCG of GP PracticeNHS NORTH LINCOLNSHIRE CCG (03K)EQ-5D Index</v>
      </c>
      <c r="C6797" t="s">
        <v>17</v>
      </c>
      <c r="D6797" t="s">
        <v>87</v>
      </c>
      <c r="E6797" t="s">
        <v>657</v>
      </c>
      <c r="F6797" t="s">
        <v>658</v>
      </c>
      <c r="G6797" t="s">
        <v>52</v>
      </c>
      <c r="H6797">
        <v>9</v>
      </c>
      <c r="I6797">
        <v>0.753</v>
      </c>
      <c r="J6797">
        <v>0.83299999999999996</v>
      </c>
      <c r="K6797">
        <v>8.1000000000000003E-2</v>
      </c>
      <c r="L6797">
        <v>8</v>
      </c>
      <c r="M6797">
        <v>0</v>
      </c>
      <c r="N6797">
        <v>1</v>
      </c>
      <c r="O6797" t="s">
        <v>53</v>
      </c>
      <c r="P6797" t="s">
        <v>53</v>
      </c>
      <c r="Q6797" t="s">
        <v>53</v>
      </c>
    </row>
    <row r="6798" spans="1:17" x14ac:dyDescent="0.2">
      <c r="A6798" s="30" t="str">
        <f>IF(C6798&amp;G6798&amp;D6798&lt;&gt;'Funnel setup'!$K$3&amp;'Funnel setup'!$K$4&amp;'Funnel setup'!$K$5,".",IF(A6797=".",1,A6797+1))</f>
        <v>.</v>
      </c>
      <c r="B6798" s="431" t="str">
        <f t="shared" si="106"/>
        <v>Varicose VeinCCG of GP PracticeNHS NORTH MANCHESTER CCG (01M)EQ-5D Index</v>
      </c>
      <c r="C6798" t="s">
        <v>17</v>
      </c>
      <c r="D6798" t="s">
        <v>87</v>
      </c>
      <c r="E6798" t="s">
        <v>660</v>
      </c>
      <c r="F6798" t="s">
        <v>661</v>
      </c>
      <c r="G6798" t="s">
        <v>52</v>
      </c>
      <c r="H6798" t="s">
        <v>53</v>
      </c>
      <c r="I6798" t="s">
        <v>53</v>
      </c>
      <c r="J6798" t="s">
        <v>53</v>
      </c>
      <c r="K6798" t="s">
        <v>53</v>
      </c>
      <c r="L6798" t="s">
        <v>53</v>
      </c>
      <c r="M6798" t="s">
        <v>53</v>
      </c>
      <c r="N6798" t="s">
        <v>53</v>
      </c>
      <c r="O6798" t="s">
        <v>53</v>
      </c>
      <c r="P6798" t="s">
        <v>53</v>
      </c>
      <c r="Q6798" t="s">
        <v>53</v>
      </c>
    </row>
    <row r="6799" spans="1:17" x14ac:dyDescent="0.2">
      <c r="A6799" s="30" t="str">
        <f>IF(C6799&amp;G6799&amp;D6799&lt;&gt;'Funnel setup'!$K$3&amp;'Funnel setup'!$K$4&amp;'Funnel setup'!$K$5,".",IF(A6798=".",1,A6798+1))</f>
        <v>.</v>
      </c>
      <c r="B6799" s="431" t="str">
        <f t="shared" si="106"/>
        <v>Varicose VeinCCG of GP PracticeNHS NORTH NORFOLK CCG (06V)EQ-5D Index</v>
      </c>
      <c r="C6799" t="s">
        <v>17</v>
      </c>
      <c r="D6799" t="s">
        <v>87</v>
      </c>
      <c r="E6799" t="s">
        <v>663</v>
      </c>
      <c r="F6799" t="s">
        <v>664</v>
      </c>
      <c r="G6799" t="s">
        <v>52</v>
      </c>
      <c r="H6799">
        <v>57</v>
      </c>
      <c r="I6799">
        <v>0.78300000000000003</v>
      </c>
      <c r="J6799">
        <v>0.90300000000000002</v>
      </c>
      <c r="K6799">
        <v>0.12</v>
      </c>
      <c r="L6799">
        <v>28</v>
      </c>
      <c r="M6799">
        <v>25</v>
      </c>
      <c r="N6799">
        <v>4</v>
      </c>
      <c r="O6799">
        <v>0.88700000000000001</v>
      </c>
      <c r="P6799">
        <v>0.13987122199999999</v>
      </c>
      <c r="Q6799">
        <v>0.109</v>
      </c>
    </row>
    <row r="6800" spans="1:17" x14ac:dyDescent="0.2">
      <c r="A6800" s="30" t="str">
        <f>IF(C6800&amp;G6800&amp;D6800&lt;&gt;'Funnel setup'!$K$3&amp;'Funnel setup'!$K$4&amp;'Funnel setup'!$K$5,".",IF(A6799=".",1,A6799+1))</f>
        <v>.</v>
      </c>
      <c r="B6800" s="431" t="str">
        <f t="shared" si="106"/>
        <v>Varicose VeinCCG of GP PracticeNHS NORTH SOMERSET CCG (11T)EQ-5D Index</v>
      </c>
      <c r="C6800" t="s">
        <v>17</v>
      </c>
      <c r="D6800" t="s">
        <v>87</v>
      </c>
      <c r="E6800" t="s">
        <v>666</v>
      </c>
      <c r="F6800" t="s">
        <v>667</v>
      </c>
      <c r="G6800" t="s">
        <v>52</v>
      </c>
      <c r="H6800">
        <v>6</v>
      </c>
      <c r="I6800">
        <v>0.81799999999999995</v>
      </c>
      <c r="J6800">
        <v>0.875</v>
      </c>
      <c r="K6800">
        <v>5.6000000000000001E-2</v>
      </c>
      <c r="L6800">
        <v>2</v>
      </c>
      <c r="M6800">
        <v>3</v>
      </c>
      <c r="N6800">
        <v>1</v>
      </c>
      <c r="O6800" t="s">
        <v>53</v>
      </c>
      <c r="P6800" t="s">
        <v>53</v>
      </c>
      <c r="Q6800" t="s">
        <v>53</v>
      </c>
    </row>
    <row r="6801" spans="1:17" x14ac:dyDescent="0.2">
      <c r="A6801" s="30" t="str">
        <f>IF(C6801&amp;G6801&amp;D6801&lt;&gt;'Funnel setup'!$K$3&amp;'Funnel setup'!$K$4&amp;'Funnel setup'!$K$5,".",IF(A6800=".",1,A6800+1))</f>
        <v>.</v>
      </c>
      <c r="B6801" s="431" t="str">
        <f t="shared" si="106"/>
        <v>Varicose VeinCCG of GP PracticeNHS NORTH STAFFORDSHIRE CCG (05G)EQ-5D Index</v>
      </c>
      <c r="C6801" t="s">
        <v>17</v>
      </c>
      <c r="D6801" t="s">
        <v>87</v>
      </c>
      <c r="E6801" t="s">
        <v>669</v>
      </c>
      <c r="F6801" t="s">
        <v>670</v>
      </c>
      <c r="G6801" t="s">
        <v>52</v>
      </c>
      <c r="H6801" t="s">
        <v>53</v>
      </c>
      <c r="I6801" t="s">
        <v>53</v>
      </c>
      <c r="J6801" t="s">
        <v>53</v>
      </c>
      <c r="K6801" t="s">
        <v>53</v>
      </c>
      <c r="L6801" t="s">
        <v>53</v>
      </c>
      <c r="M6801" t="s">
        <v>53</v>
      </c>
      <c r="N6801" t="s">
        <v>53</v>
      </c>
      <c r="O6801" t="s">
        <v>53</v>
      </c>
      <c r="P6801" t="s">
        <v>53</v>
      </c>
      <c r="Q6801" t="s">
        <v>53</v>
      </c>
    </row>
    <row r="6802" spans="1:17" x14ac:dyDescent="0.2">
      <c r="A6802" s="30" t="str">
        <f>IF(C6802&amp;G6802&amp;D6802&lt;&gt;'Funnel setup'!$K$3&amp;'Funnel setup'!$K$4&amp;'Funnel setup'!$K$5,".",IF(A6801=".",1,A6801+1))</f>
        <v>.</v>
      </c>
      <c r="B6802" s="431" t="str">
        <f t="shared" si="106"/>
        <v>Varicose VeinCCG of GP PracticeNHS NORTH TYNESIDE CCG (99C)EQ-5D Index</v>
      </c>
      <c r="C6802" t="s">
        <v>17</v>
      </c>
      <c r="D6802" t="s">
        <v>87</v>
      </c>
      <c r="E6802" t="s">
        <v>672</v>
      </c>
      <c r="F6802" t="s">
        <v>673</v>
      </c>
      <c r="G6802" t="s">
        <v>52</v>
      </c>
      <c r="H6802">
        <v>48</v>
      </c>
      <c r="I6802">
        <v>0.75600000000000001</v>
      </c>
      <c r="J6802">
        <v>0.85599999999999998</v>
      </c>
      <c r="K6802">
        <v>9.9000000000000005E-2</v>
      </c>
      <c r="L6802">
        <v>25</v>
      </c>
      <c r="M6802">
        <v>17</v>
      </c>
      <c r="N6802">
        <v>6</v>
      </c>
      <c r="O6802">
        <v>0.84499999999999997</v>
      </c>
      <c r="P6802">
        <v>9.8075085000000006E-2</v>
      </c>
      <c r="Q6802">
        <v>0.20499999999999999</v>
      </c>
    </row>
    <row r="6803" spans="1:17" x14ac:dyDescent="0.2">
      <c r="A6803" s="30" t="str">
        <f>IF(C6803&amp;G6803&amp;D6803&lt;&gt;'Funnel setup'!$K$3&amp;'Funnel setup'!$K$4&amp;'Funnel setup'!$K$5,".",IF(A6802=".",1,A6802+1))</f>
        <v>.</v>
      </c>
      <c r="B6803" s="431" t="str">
        <f t="shared" si="106"/>
        <v>Varicose VeinCCG of GP PracticeNHS NORTH WEST SURREY CCG (09Y)EQ-5D Index</v>
      </c>
      <c r="C6803" t="s">
        <v>17</v>
      </c>
      <c r="D6803" t="s">
        <v>87</v>
      </c>
      <c r="E6803" t="s">
        <v>675</v>
      </c>
      <c r="F6803" t="s">
        <v>676</v>
      </c>
      <c r="G6803" t="s">
        <v>52</v>
      </c>
      <c r="H6803">
        <v>18</v>
      </c>
      <c r="I6803">
        <v>0.75</v>
      </c>
      <c r="J6803">
        <v>0.86799999999999999</v>
      </c>
      <c r="K6803">
        <v>0.11799999999999999</v>
      </c>
      <c r="L6803">
        <v>13</v>
      </c>
      <c r="M6803">
        <v>3</v>
      </c>
      <c r="N6803">
        <v>2</v>
      </c>
      <c r="O6803" t="s">
        <v>53</v>
      </c>
      <c r="P6803" t="s">
        <v>53</v>
      </c>
      <c r="Q6803" t="s">
        <v>53</v>
      </c>
    </row>
    <row r="6804" spans="1:17" x14ac:dyDescent="0.2">
      <c r="A6804" s="30" t="str">
        <f>IF(C6804&amp;G6804&amp;D6804&lt;&gt;'Funnel setup'!$K$3&amp;'Funnel setup'!$K$4&amp;'Funnel setup'!$K$5,".",IF(A6803=".",1,A6803+1))</f>
        <v>.</v>
      </c>
      <c r="B6804" s="431" t="str">
        <f t="shared" si="106"/>
        <v>Varicose VeinCCG of GP PracticeNHS NORTHERN, EASTERN AND WESTERN DEVON CCG (99P)EQ-5D Index</v>
      </c>
      <c r="C6804" t="s">
        <v>17</v>
      </c>
      <c r="D6804" t="s">
        <v>87</v>
      </c>
      <c r="E6804" t="s">
        <v>678</v>
      </c>
      <c r="F6804" t="s">
        <v>679</v>
      </c>
      <c r="G6804" t="s">
        <v>52</v>
      </c>
      <c r="H6804">
        <v>98</v>
      </c>
      <c r="I6804">
        <v>0.71899999999999997</v>
      </c>
      <c r="J6804">
        <v>0.84599999999999997</v>
      </c>
      <c r="K6804">
        <v>0.126</v>
      </c>
      <c r="L6804">
        <v>54</v>
      </c>
      <c r="M6804">
        <v>28</v>
      </c>
      <c r="N6804">
        <v>16</v>
      </c>
      <c r="O6804">
        <v>0.87</v>
      </c>
      <c r="P6804">
        <v>0.123150037</v>
      </c>
      <c r="Q6804">
        <v>0.14699999999999999</v>
      </c>
    </row>
    <row r="6805" spans="1:17" x14ac:dyDescent="0.2">
      <c r="A6805" s="30" t="str">
        <f>IF(C6805&amp;G6805&amp;D6805&lt;&gt;'Funnel setup'!$K$3&amp;'Funnel setup'!$K$4&amp;'Funnel setup'!$K$5,".",IF(A6804=".",1,A6804+1))</f>
        <v>.</v>
      </c>
      <c r="B6805" s="431" t="str">
        <f t="shared" si="106"/>
        <v>Varicose VeinCCG of GP PracticeNHS NORTHUMBERLAND CCG (00L)EQ-5D Index</v>
      </c>
      <c r="C6805" t="s">
        <v>17</v>
      </c>
      <c r="D6805" t="s">
        <v>87</v>
      </c>
      <c r="E6805" t="s">
        <v>681</v>
      </c>
      <c r="F6805" t="s">
        <v>336</v>
      </c>
      <c r="G6805" t="s">
        <v>52</v>
      </c>
      <c r="H6805">
        <v>58</v>
      </c>
      <c r="I6805">
        <v>0.73499999999999999</v>
      </c>
      <c r="J6805">
        <v>0.83899999999999997</v>
      </c>
      <c r="K6805">
        <v>0.104</v>
      </c>
      <c r="L6805">
        <v>28</v>
      </c>
      <c r="M6805">
        <v>21</v>
      </c>
      <c r="N6805">
        <v>9</v>
      </c>
      <c r="O6805">
        <v>0.83399999999999996</v>
      </c>
      <c r="P6805">
        <v>8.6929700999999998E-2</v>
      </c>
      <c r="Q6805">
        <v>0.19900000000000001</v>
      </c>
    </row>
    <row r="6806" spans="1:17" x14ac:dyDescent="0.2">
      <c r="A6806" s="30" t="str">
        <f>IF(C6806&amp;G6806&amp;D6806&lt;&gt;'Funnel setup'!$K$3&amp;'Funnel setup'!$K$4&amp;'Funnel setup'!$K$5,".",IF(A6805=".",1,A6805+1))</f>
        <v>.</v>
      </c>
      <c r="B6806" s="431" t="str">
        <f t="shared" si="106"/>
        <v>Varicose VeinCCG of GP PracticeNHS NORWICH CCG (06W)EQ-5D Index</v>
      </c>
      <c r="C6806" t="s">
        <v>17</v>
      </c>
      <c r="D6806" t="s">
        <v>87</v>
      </c>
      <c r="E6806" t="s">
        <v>770</v>
      </c>
      <c r="F6806" t="s">
        <v>771</v>
      </c>
      <c r="G6806" t="s">
        <v>52</v>
      </c>
      <c r="H6806">
        <v>41</v>
      </c>
      <c r="I6806">
        <v>0.79200000000000004</v>
      </c>
      <c r="J6806">
        <v>0.88200000000000001</v>
      </c>
      <c r="K6806">
        <v>0.09</v>
      </c>
      <c r="L6806">
        <v>23</v>
      </c>
      <c r="M6806">
        <v>16</v>
      </c>
      <c r="N6806">
        <v>2</v>
      </c>
      <c r="O6806">
        <v>0.84699999999999998</v>
      </c>
      <c r="P6806">
        <v>0.100673606</v>
      </c>
      <c r="Q6806">
        <v>0.183</v>
      </c>
    </row>
    <row r="6807" spans="1:17" x14ac:dyDescent="0.2">
      <c r="A6807" s="30" t="str">
        <f>IF(C6807&amp;G6807&amp;D6807&lt;&gt;'Funnel setup'!$K$3&amp;'Funnel setup'!$K$4&amp;'Funnel setup'!$K$5,".",IF(A6806=".",1,A6806+1))</f>
        <v>.</v>
      </c>
      <c r="B6807" s="431" t="str">
        <f t="shared" si="106"/>
        <v>Varicose VeinCCG of GP PracticeNHS NOTTINGHAM CITY CCG (04K)EQ-5D Index</v>
      </c>
      <c r="C6807" t="s">
        <v>17</v>
      </c>
      <c r="D6807" t="s">
        <v>87</v>
      </c>
      <c r="E6807" t="s">
        <v>773</v>
      </c>
      <c r="F6807" t="s">
        <v>774</v>
      </c>
      <c r="G6807" t="s">
        <v>52</v>
      </c>
      <c r="H6807">
        <v>43</v>
      </c>
      <c r="I6807">
        <v>0.69799999999999995</v>
      </c>
      <c r="J6807">
        <v>0.77900000000000003</v>
      </c>
      <c r="K6807">
        <v>8.1000000000000003E-2</v>
      </c>
      <c r="L6807">
        <v>19</v>
      </c>
      <c r="M6807">
        <v>18</v>
      </c>
      <c r="N6807">
        <v>6</v>
      </c>
      <c r="O6807">
        <v>0.81299999999999994</v>
      </c>
      <c r="P6807">
        <v>6.6392881000000001E-2</v>
      </c>
      <c r="Q6807">
        <v>0.18</v>
      </c>
    </row>
    <row r="6808" spans="1:17" x14ac:dyDescent="0.2">
      <c r="A6808" s="30" t="str">
        <f>IF(C6808&amp;G6808&amp;D6808&lt;&gt;'Funnel setup'!$K$3&amp;'Funnel setup'!$K$4&amp;'Funnel setup'!$K$5,".",IF(A6807=".",1,A6807+1))</f>
        <v>.</v>
      </c>
      <c r="B6808" s="431" t="str">
        <f t="shared" si="106"/>
        <v>Varicose VeinCCG of GP PracticeNHS NOTTINGHAM NORTH AND EAST CCG (04L)EQ-5D Index</v>
      </c>
      <c r="C6808" t="s">
        <v>17</v>
      </c>
      <c r="D6808" t="s">
        <v>87</v>
      </c>
      <c r="E6808" t="s">
        <v>776</v>
      </c>
      <c r="F6808" t="s">
        <v>777</v>
      </c>
      <c r="G6808" t="s">
        <v>52</v>
      </c>
      <c r="H6808">
        <v>24</v>
      </c>
      <c r="I6808">
        <v>0.752</v>
      </c>
      <c r="J6808">
        <v>0.85499999999999998</v>
      </c>
      <c r="K6808">
        <v>0.104</v>
      </c>
      <c r="L6808">
        <v>11</v>
      </c>
      <c r="M6808">
        <v>10</v>
      </c>
      <c r="N6808">
        <v>3</v>
      </c>
      <c r="O6808" t="s">
        <v>53</v>
      </c>
      <c r="P6808" t="s">
        <v>53</v>
      </c>
      <c r="Q6808" t="s">
        <v>53</v>
      </c>
    </row>
    <row r="6809" spans="1:17" x14ac:dyDescent="0.2">
      <c r="A6809" s="30" t="str">
        <f>IF(C6809&amp;G6809&amp;D6809&lt;&gt;'Funnel setup'!$K$3&amp;'Funnel setup'!$K$4&amp;'Funnel setup'!$K$5,".",IF(A6808=".",1,A6808+1))</f>
        <v>.</v>
      </c>
      <c r="B6809" s="431" t="str">
        <f t="shared" si="106"/>
        <v>Varicose VeinCCG of GP PracticeNHS NOTTINGHAM WEST CCG (04M)EQ-5D Index</v>
      </c>
      <c r="C6809" t="s">
        <v>17</v>
      </c>
      <c r="D6809" t="s">
        <v>87</v>
      </c>
      <c r="E6809" t="s">
        <v>779</v>
      </c>
      <c r="F6809" t="s">
        <v>780</v>
      </c>
      <c r="G6809" t="s">
        <v>52</v>
      </c>
      <c r="H6809">
        <v>16</v>
      </c>
      <c r="I6809">
        <v>0.78600000000000003</v>
      </c>
      <c r="J6809">
        <v>0.84299999999999997</v>
      </c>
      <c r="K6809">
        <v>5.7000000000000002E-2</v>
      </c>
      <c r="L6809">
        <v>6</v>
      </c>
      <c r="M6809">
        <v>7</v>
      </c>
      <c r="N6809">
        <v>3</v>
      </c>
      <c r="O6809" t="s">
        <v>53</v>
      </c>
      <c r="P6809" t="s">
        <v>53</v>
      </c>
      <c r="Q6809" t="s">
        <v>53</v>
      </c>
    </row>
    <row r="6810" spans="1:17" x14ac:dyDescent="0.2">
      <c r="A6810" s="30" t="str">
        <f>IF(C6810&amp;G6810&amp;D6810&lt;&gt;'Funnel setup'!$K$3&amp;'Funnel setup'!$K$4&amp;'Funnel setup'!$K$5,".",IF(A6809=".",1,A6809+1))</f>
        <v>.</v>
      </c>
      <c r="B6810" s="431" t="str">
        <f t="shared" si="106"/>
        <v>Varicose VeinCCG of GP PracticeNHS OLDHAM CCG (00Y)EQ-5D Index</v>
      </c>
      <c r="C6810" t="s">
        <v>17</v>
      </c>
      <c r="D6810" t="s">
        <v>87</v>
      </c>
      <c r="E6810" t="s">
        <v>782</v>
      </c>
      <c r="F6810" t="s">
        <v>783</v>
      </c>
      <c r="G6810" t="s">
        <v>52</v>
      </c>
      <c r="H6810" t="s">
        <v>53</v>
      </c>
      <c r="I6810" t="s">
        <v>53</v>
      </c>
      <c r="J6810" t="s">
        <v>53</v>
      </c>
      <c r="K6810" t="s">
        <v>53</v>
      </c>
      <c r="L6810" t="s">
        <v>53</v>
      </c>
      <c r="M6810" t="s">
        <v>53</v>
      </c>
      <c r="N6810" t="s">
        <v>53</v>
      </c>
      <c r="O6810" t="s">
        <v>53</v>
      </c>
      <c r="P6810" t="s">
        <v>53</v>
      </c>
      <c r="Q6810" t="s">
        <v>53</v>
      </c>
    </row>
    <row r="6811" spans="1:17" x14ac:dyDescent="0.2">
      <c r="A6811" s="30" t="str">
        <f>IF(C6811&amp;G6811&amp;D6811&lt;&gt;'Funnel setup'!$K$3&amp;'Funnel setup'!$K$4&amp;'Funnel setup'!$K$5,".",IF(A6810=".",1,A6810+1))</f>
        <v>.</v>
      </c>
      <c r="B6811" s="431" t="str">
        <f t="shared" si="106"/>
        <v>Varicose VeinCCG of GP PracticeNHS OXFORDSHIRE CCG (10Q)EQ-5D Index</v>
      </c>
      <c r="C6811" t="s">
        <v>17</v>
      </c>
      <c r="D6811" t="s">
        <v>87</v>
      </c>
      <c r="E6811" t="s">
        <v>785</v>
      </c>
      <c r="F6811" t="s">
        <v>786</v>
      </c>
      <c r="G6811" t="s">
        <v>52</v>
      </c>
      <c r="H6811">
        <v>29</v>
      </c>
      <c r="I6811">
        <v>0.78200000000000003</v>
      </c>
      <c r="J6811">
        <v>0.85899999999999999</v>
      </c>
      <c r="K6811">
        <v>7.6999999999999999E-2</v>
      </c>
      <c r="L6811">
        <v>16</v>
      </c>
      <c r="M6811">
        <v>7</v>
      </c>
      <c r="N6811">
        <v>6</v>
      </c>
      <c r="O6811" t="s">
        <v>53</v>
      </c>
      <c r="P6811" t="s">
        <v>53</v>
      </c>
      <c r="Q6811" t="s">
        <v>53</v>
      </c>
    </row>
    <row r="6812" spans="1:17" x14ac:dyDescent="0.2">
      <c r="A6812" s="30" t="str">
        <f>IF(C6812&amp;G6812&amp;D6812&lt;&gt;'Funnel setup'!$K$3&amp;'Funnel setup'!$K$4&amp;'Funnel setup'!$K$5,".",IF(A6811=".",1,A6811+1))</f>
        <v>.</v>
      </c>
      <c r="B6812" s="431" t="str">
        <f t="shared" si="106"/>
        <v>Varicose VeinCCG of GP PracticeNHS PORTSMOUTH CCG (10R)EQ-5D Index</v>
      </c>
      <c r="C6812" t="s">
        <v>17</v>
      </c>
      <c r="D6812" t="s">
        <v>87</v>
      </c>
      <c r="E6812" t="s">
        <v>788</v>
      </c>
      <c r="F6812" t="s">
        <v>789</v>
      </c>
      <c r="G6812" t="s">
        <v>52</v>
      </c>
      <c r="H6812" t="s">
        <v>53</v>
      </c>
      <c r="I6812" t="s">
        <v>53</v>
      </c>
      <c r="J6812" t="s">
        <v>53</v>
      </c>
      <c r="K6812" t="s">
        <v>53</v>
      </c>
      <c r="L6812" t="s">
        <v>53</v>
      </c>
      <c r="M6812" t="s">
        <v>53</v>
      </c>
      <c r="N6812" t="s">
        <v>53</v>
      </c>
      <c r="O6812" t="s">
        <v>53</v>
      </c>
      <c r="P6812" t="s">
        <v>53</v>
      </c>
      <c r="Q6812" t="s">
        <v>53</v>
      </c>
    </row>
    <row r="6813" spans="1:17" x14ac:dyDescent="0.2">
      <c r="A6813" s="30" t="str">
        <f>IF(C6813&amp;G6813&amp;D6813&lt;&gt;'Funnel setup'!$K$3&amp;'Funnel setup'!$K$4&amp;'Funnel setup'!$K$5,".",IF(A6812=".",1,A6812+1))</f>
        <v>.</v>
      </c>
      <c r="B6813" s="431" t="str">
        <f t="shared" si="106"/>
        <v>Varicose VeinCCG of GP PracticeNHS REDBRIDGE CCG (08N)EQ-5D Index</v>
      </c>
      <c r="C6813" t="s">
        <v>17</v>
      </c>
      <c r="D6813" t="s">
        <v>87</v>
      </c>
      <c r="E6813" t="s">
        <v>791</v>
      </c>
      <c r="F6813" t="s">
        <v>792</v>
      </c>
      <c r="G6813" t="s">
        <v>52</v>
      </c>
      <c r="H6813">
        <v>15</v>
      </c>
      <c r="I6813">
        <v>0.73399999999999999</v>
      </c>
      <c r="J6813">
        <v>0.84599999999999997</v>
      </c>
      <c r="K6813">
        <v>0.112</v>
      </c>
      <c r="L6813">
        <v>11</v>
      </c>
      <c r="M6813">
        <v>2</v>
      </c>
      <c r="N6813">
        <v>2</v>
      </c>
      <c r="O6813" t="s">
        <v>53</v>
      </c>
      <c r="P6813" t="s">
        <v>53</v>
      </c>
      <c r="Q6813" t="s">
        <v>53</v>
      </c>
    </row>
    <row r="6814" spans="1:17" x14ac:dyDescent="0.2">
      <c r="A6814" s="30" t="str">
        <f>IF(C6814&amp;G6814&amp;D6814&lt;&gt;'Funnel setup'!$K$3&amp;'Funnel setup'!$K$4&amp;'Funnel setup'!$K$5,".",IF(A6813=".",1,A6813+1))</f>
        <v>.</v>
      </c>
      <c r="B6814" s="431" t="str">
        <f t="shared" si="106"/>
        <v>Varicose VeinCCG of GP PracticeNHS REDDITCH AND BROMSGROVE CCG (05J)EQ-5D Index</v>
      </c>
      <c r="C6814" t="s">
        <v>17</v>
      </c>
      <c r="D6814" t="s">
        <v>87</v>
      </c>
      <c r="E6814" t="s">
        <v>794</v>
      </c>
      <c r="F6814" t="s">
        <v>795</v>
      </c>
      <c r="G6814" t="s">
        <v>52</v>
      </c>
      <c r="H6814">
        <v>7</v>
      </c>
      <c r="I6814">
        <v>0.83699999999999997</v>
      </c>
      <c r="J6814">
        <v>0.89100000000000001</v>
      </c>
      <c r="K6814">
        <v>5.3999999999999999E-2</v>
      </c>
      <c r="L6814">
        <v>3</v>
      </c>
      <c r="M6814">
        <v>3</v>
      </c>
      <c r="N6814">
        <v>1</v>
      </c>
      <c r="O6814" t="s">
        <v>53</v>
      </c>
      <c r="P6814" t="s">
        <v>53</v>
      </c>
      <c r="Q6814" t="s">
        <v>53</v>
      </c>
    </row>
    <row r="6815" spans="1:17" x14ac:dyDescent="0.2">
      <c r="A6815" s="30" t="str">
        <f>IF(C6815&amp;G6815&amp;D6815&lt;&gt;'Funnel setup'!$K$3&amp;'Funnel setup'!$K$4&amp;'Funnel setup'!$K$5,".",IF(A6814=".",1,A6814+1))</f>
        <v>.</v>
      </c>
      <c r="B6815" s="431" t="str">
        <f t="shared" si="106"/>
        <v>Varicose VeinCCG of GP PracticeNHS RICHMOND CCG (08P)EQ-5D Index</v>
      </c>
      <c r="C6815" t="s">
        <v>17</v>
      </c>
      <c r="D6815" t="s">
        <v>87</v>
      </c>
      <c r="E6815" t="s">
        <v>797</v>
      </c>
      <c r="F6815" t="s">
        <v>798</v>
      </c>
      <c r="G6815" t="s">
        <v>52</v>
      </c>
      <c r="H6815">
        <v>13</v>
      </c>
      <c r="I6815">
        <v>0.76100000000000001</v>
      </c>
      <c r="J6815">
        <v>0.82599999999999996</v>
      </c>
      <c r="K6815">
        <v>6.5000000000000002E-2</v>
      </c>
      <c r="L6815">
        <v>7</v>
      </c>
      <c r="M6815">
        <v>1</v>
      </c>
      <c r="N6815">
        <v>5</v>
      </c>
      <c r="O6815" t="s">
        <v>53</v>
      </c>
      <c r="P6815" t="s">
        <v>53</v>
      </c>
      <c r="Q6815" t="s">
        <v>53</v>
      </c>
    </row>
    <row r="6816" spans="1:17" x14ac:dyDescent="0.2">
      <c r="A6816" s="30" t="str">
        <f>IF(C6816&amp;G6816&amp;D6816&lt;&gt;'Funnel setup'!$K$3&amp;'Funnel setup'!$K$4&amp;'Funnel setup'!$K$5,".",IF(A6815=".",1,A6815+1))</f>
        <v>.</v>
      </c>
      <c r="B6816" s="431" t="str">
        <f t="shared" si="106"/>
        <v>Varicose VeinCCG of GP PracticeNHS ROTHERHAM CCG (03L)EQ-5D Index</v>
      </c>
      <c r="C6816" t="s">
        <v>17</v>
      </c>
      <c r="D6816" t="s">
        <v>87</v>
      </c>
      <c r="E6816" t="s">
        <v>800</v>
      </c>
      <c r="F6816" t="s">
        <v>801</v>
      </c>
      <c r="G6816" t="s">
        <v>52</v>
      </c>
      <c r="H6816">
        <v>49</v>
      </c>
      <c r="I6816">
        <v>0.70699999999999996</v>
      </c>
      <c r="J6816">
        <v>0.82599999999999996</v>
      </c>
      <c r="K6816">
        <v>0.11899999999999999</v>
      </c>
      <c r="L6816">
        <v>28</v>
      </c>
      <c r="M6816">
        <v>15</v>
      </c>
      <c r="N6816">
        <v>6</v>
      </c>
      <c r="O6816">
        <v>0.83499999999999996</v>
      </c>
      <c r="P6816">
        <v>8.8492264000000001E-2</v>
      </c>
      <c r="Q6816">
        <v>0.20899999999999999</v>
      </c>
    </row>
    <row r="6817" spans="1:17" x14ac:dyDescent="0.2">
      <c r="A6817" s="30" t="str">
        <f>IF(C6817&amp;G6817&amp;D6817&lt;&gt;'Funnel setup'!$K$3&amp;'Funnel setup'!$K$4&amp;'Funnel setup'!$K$5,".",IF(A6816=".",1,A6816+1))</f>
        <v>.</v>
      </c>
      <c r="B6817" s="431" t="str">
        <f t="shared" si="106"/>
        <v>Varicose VeinCCG of GP PracticeNHS RUSHCLIFFE CCG (04N)EQ-5D Index</v>
      </c>
      <c r="C6817" t="s">
        <v>17</v>
      </c>
      <c r="D6817" t="s">
        <v>87</v>
      </c>
      <c r="E6817" t="s">
        <v>803</v>
      </c>
      <c r="F6817" t="s">
        <v>804</v>
      </c>
      <c r="G6817" t="s">
        <v>52</v>
      </c>
      <c r="H6817">
        <v>27</v>
      </c>
      <c r="I6817">
        <v>0.76300000000000001</v>
      </c>
      <c r="J6817">
        <v>0.84799999999999998</v>
      </c>
      <c r="K6817">
        <v>8.5000000000000006E-2</v>
      </c>
      <c r="L6817">
        <v>13</v>
      </c>
      <c r="M6817">
        <v>11</v>
      </c>
      <c r="N6817">
        <v>3</v>
      </c>
      <c r="O6817" t="s">
        <v>53</v>
      </c>
      <c r="P6817" t="s">
        <v>53</v>
      </c>
      <c r="Q6817" t="s">
        <v>53</v>
      </c>
    </row>
    <row r="6818" spans="1:17" x14ac:dyDescent="0.2">
      <c r="A6818" s="30" t="str">
        <f>IF(C6818&amp;G6818&amp;D6818&lt;&gt;'Funnel setup'!$K$3&amp;'Funnel setup'!$K$4&amp;'Funnel setup'!$K$5,".",IF(A6817=".",1,A6817+1))</f>
        <v>.</v>
      </c>
      <c r="B6818" s="431" t="str">
        <f t="shared" si="106"/>
        <v>Varicose VeinCCG of GP PracticeNHS SALFORD CCG (01G)EQ-5D Index</v>
      </c>
      <c r="C6818" t="s">
        <v>17</v>
      </c>
      <c r="D6818" t="s">
        <v>87</v>
      </c>
      <c r="E6818" t="s">
        <v>806</v>
      </c>
      <c r="F6818" t="s">
        <v>807</v>
      </c>
      <c r="G6818" t="s">
        <v>52</v>
      </c>
      <c r="H6818">
        <v>8</v>
      </c>
      <c r="I6818">
        <v>0.59899999999999998</v>
      </c>
      <c r="J6818">
        <v>0.67800000000000005</v>
      </c>
      <c r="K6818">
        <v>7.9000000000000001E-2</v>
      </c>
      <c r="L6818">
        <v>4</v>
      </c>
      <c r="M6818">
        <v>3</v>
      </c>
      <c r="N6818">
        <v>1</v>
      </c>
      <c r="O6818" t="s">
        <v>53</v>
      </c>
      <c r="P6818" t="s">
        <v>53</v>
      </c>
      <c r="Q6818" t="s">
        <v>53</v>
      </c>
    </row>
    <row r="6819" spans="1:17" x14ac:dyDescent="0.2">
      <c r="A6819" s="30" t="str">
        <f>IF(C6819&amp;G6819&amp;D6819&lt;&gt;'Funnel setup'!$K$3&amp;'Funnel setup'!$K$4&amp;'Funnel setup'!$K$5,".",IF(A6818=".",1,A6818+1))</f>
        <v>.</v>
      </c>
      <c r="B6819" s="431" t="str">
        <f t="shared" si="106"/>
        <v>Varicose VeinCCG of GP PracticeNHS SANDWELL AND WEST BIRMINGHAM CCG (05L)EQ-5D Index</v>
      </c>
      <c r="C6819" t="s">
        <v>17</v>
      </c>
      <c r="D6819" t="s">
        <v>87</v>
      </c>
      <c r="E6819" t="s">
        <v>809</v>
      </c>
      <c r="F6819" t="s">
        <v>810</v>
      </c>
      <c r="G6819" t="s">
        <v>52</v>
      </c>
      <c r="H6819">
        <v>124</v>
      </c>
      <c r="I6819">
        <v>0.73099999999999998</v>
      </c>
      <c r="J6819">
        <v>0.82</v>
      </c>
      <c r="K6819">
        <v>0.09</v>
      </c>
      <c r="L6819">
        <v>58</v>
      </c>
      <c r="M6819">
        <v>36</v>
      </c>
      <c r="N6819">
        <v>30</v>
      </c>
      <c r="O6819">
        <v>0.83699999999999997</v>
      </c>
      <c r="P6819">
        <v>8.9805454000000007E-2</v>
      </c>
      <c r="Q6819">
        <v>0.188</v>
      </c>
    </row>
    <row r="6820" spans="1:17" x14ac:dyDescent="0.2">
      <c r="A6820" s="30" t="str">
        <f>IF(C6820&amp;G6820&amp;D6820&lt;&gt;'Funnel setup'!$K$3&amp;'Funnel setup'!$K$4&amp;'Funnel setup'!$K$5,".",IF(A6819=".",1,A6819+1))</f>
        <v>.</v>
      </c>
      <c r="B6820" s="431" t="str">
        <f t="shared" si="106"/>
        <v>Varicose VeinCCG of GP PracticeNHS SCARBOROUGH AND RYEDALE CCG (03M)EQ-5D Index</v>
      </c>
      <c r="C6820" t="s">
        <v>17</v>
      </c>
      <c r="D6820" t="s">
        <v>87</v>
      </c>
      <c r="E6820" t="s">
        <v>812</v>
      </c>
      <c r="F6820" t="s">
        <v>813</v>
      </c>
      <c r="G6820" t="s">
        <v>52</v>
      </c>
      <c r="H6820">
        <v>27</v>
      </c>
      <c r="I6820">
        <v>0.75700000000000001</v>
      </c>
      <c r="J6820">
        <v>0.90900000000000003</v>
      </c>
      <c r="K6820">
        <v>0.151</v>
      </c>
      <c r="L6820">
        <v>18</v>
      </c>
      <c r="M6820">
        <v>8</v>
      </c>
      <c r="N6820">
        <v>1</v>
      </c>
      <c r="O6820" t="s">
        <v>53</v>
      </c>
      <c r="P6820" t="s">
        <v>53</v>
      </c>
      <c r="Q6820" t="s">
        <v>53</v>
      </c>
    </row>
    <row r="6821" spans="1:17" x14ac:dyDescent="0.2">
      <c r="A6821" s="30" t="str">
        <f>IF(C6821&amp;G6821&amp;D6821&lt;&gt;'Funnel setup'!$K$3&amp;'Funnel setup'!$K$4&amp;'Funnel setup'!$K$5,".",IF(A6820=".",1,A6820+1))</f>
        <v>.</v>
      </c>
      <c r="B6821" s="431" t="str">
        <f t="shared" si="106"/>
        <v>Varicose VeinCCG of GP PracticeNHS SHEFFIELD CCG (03N)EQ-5D Index</v>
      </c>
      <c r="C6821" t="s">
        <v>17</v>
      </c>
      <c r="D6821" t="s">
        <v>87</v>
      </c>
      <c r="E6821" t="s">
        <v>815</v>
      </c>
      <c r="F6821" t="s">
        <v>816</v>
      </c>
      <c r="G6821" t="s">
        <v>52</v>
      </c>
      <c r="H6821">
        <v>71</v>
      </c>
      <c r="I6821">
        <v>0.76400000000000001</v>
      </c>
      <c r="J6821">
        <v>0.871</v>
      </c>
      <c r="K6821">
        <v>0.107</v>
      </c>
      <c r="L6821">
        <v>39</v>
      </c>
      <c r="M6821">
        <v>19</v>
      </c>
      <c r="N6821">
        <v>13</v>
      </c>
      <c r="O6821">
        <v>0.86599999999999999</v>
      </c>
      <c r="P6821">
        <v>0.119692618</v>
      </c>
      <c r="Q6821">
        <v>0.157</v>
      </c>
    </row>
    <row r="6822" spans="1:17" x14ac:dyDescent="0.2">
      <c r="A6822" s="30" t="str">
        <f>IF(C6822&amp;G6822&amp;D6822&lt;&gt;'Funnel setup'!$K$3&amp;'Funnel setup'!$K$4&amp;'Funnel setup'!$K$5,".",IF(A6821=".",1,A6821+1))</f>
        <v>.</v>
      </c>
      <c r="B6822" s="431" t="str">
        <f t="shared" si="106"/>
        <v>Varicose VeinCCG of GP PracticeNHS SHROPSHIRE CCG (05N)EQ-5D Index</v>
      </c>
      <c r="C6822" t="s">
        <v>17</v>
      </c>
      <c r="D6822" t="s">
        <v>87</v>
      </c>
      <c r="E6822" t="s">
        <v>818</v>
      </c>
      <c r="F6822" t="s">
        <v>819</v>
      </c>
      <c r="G6822" t="s">
        <v>52</v>
      </c>
      <c r="H6822">
        <v>27</v>
      </c>
      <c r="I6822">
        <v>0.81</v>
      </c>
      <c r="J6822">
        <v>0.90700000000000003</v>
      </c>
      <c r="K6822">
        <v>9.7000000000000003E-2</v>
      </c>
      <c r="L6822">
        <v>15</v>
      </c>
      <c r="M6822">
        <v>9</v>
      </c>
      <c r="N6822">
        <v>3</v>
      </c>
      <c r="O6822" t="s">
        <v>53</v>
      </c>
      <c r="P6822" t="s">
        <v>53</v>
      </c>
      <c r="Q6822" t="s">
        <v>53</v>
      </c>
    </row>
    <row r="6823" spans="1:17" x14ac:dyDescent="0.2">
      <c r="A6823" s="30" t="str">
        <f>IF(C6823&amp;G6823&amp;D6823&lt;&gt;'Funnel setup'!$K$3&amp;'Funnel setup'!$K$4&amp;'Funnel setup'!$K$5,".",IF(A6822=".",1,A6822+1))</f>
        <v>.</v>
      </c>
      <c r="B6823" s="431" t="str">
        <f t="shared" si="106"/>
        <v>Varicose VeinCCG of GP PracticeNHS SOLIHULL CCG (05P)EQ-5D Index</v>
      </c>
      <c r="C6823" t="s">
        <v>17</v>
      </c>
      <c r="D6823" t="s">
        <v>87</v>
      </c>
      <c r="E6823" t="s">
        <v>824</v>
      </c>
      <c r="F6823" t="s">
        <v>825</v>
      </c>
      <c r="G6823" t="s">
        <v>52</v>
      </c>
      <c r="H6823">
        <v>50</v>
      </c>
      <c r="I6823">
        <v>0.752</v>
      </c>
      <c r="J6823">
        <v>0.879</v>
      </c>
      <c r="K6823">
        <v>0.127</v>
      </c>
      <c r="L6823">
        <v>29</v>
      </c>
      <c r="M6823">
        <v>16</v>
      </c>
      <c r="N6823">
        <v>5</v>
      </c>
      <c r="O6823">
        <v>0.86199999999999999</v>
      </c>
      <c r="P6823">
        <v>0.114777581</v>
      </c>
      <c r="Q6823">
        <v>0.16600000000000001</v>
      </c>
    </row>
    <row r="6824" spans="1:17" x14ac:dyDescent="0.2">
      <c r="A6824" s="30" t="str">
        <f>IF(C6824&amp;G6824&amp;D6824&lt;&gt;'Funnel setup'!$K$3&amp;'Funnel setup'!$K$4&amp;'Funnel setup'!$K$5,".",IF(A6823=".",1,A6823+1))</f>
        <v>.</v>
      </c>
      <c r="B6824" s="431" t="str">
        <f t="shared" si="106"/>
        <v>Varicose VeinCCG of GP PracticeNHS SOMERSET CCG (11X)EQ-5D Index</v>
      </c>
      <c r="C6824" t="s">
        <v>17</v>
      </c>
      <c r="D6824" t="s">
        <v>87</v>
      </c>
      <c r="E6824" t="s">
        <v>827</v>
      </c>
      <c r="F6824" t="s">
        <v>828</v>
      </c>
      <c r="G6824" t="s">
        <v>52</v>
      </c>
      <c r="H6824">
        <v>77</v>
      </c>
      <c r="I6824">
        <v>0.72299999999999998</v>
      </c>
      <c r="J6824">
        <v>0.83799999999999997</v>
      </c>
      <c r="K6824">
        <v>0.115</v>
      </c>
      <c r="L6824">
        <v>43</v>
      </c>
      <c r="M6824">
        <v>20</v>
      </c>
      <c r="N6824">
        <v>14</v>
      </c>
      <c r="O6824">
        <v>0.86699999999999999</v>
      </c>
      <c r="P6824">
        <v>0.120315159</v>
      </c>
      <c r="Q6824">
        <v>0.14699999999999999</v>
      </c>
    </row>
    <row r="6825" spans="1:17" x14ac:dyDescent="0.2">
      <c r="A6825" s="30" t="str">
        <f>IF(C6825&amp;G6825&amp;D6825&lt;&gt;'Funnel setup'!$K$3&amp;'Funnel setup'!$K$4&amp;'Funnel setup'!$K$5,".",IF(A6824=".",1,A6824+1))</f>
        <v>.</v>
      </c>
      <c r="B6825" s="431" t="str">
        <f t="shared" si="106"/>
        <v>Varicose VeinCCG of GP PracticeNHS SOUTH CHESHIRE CCG (01R)EQ-5D Index</v>
      </c>
      <c r="C6825" t="s">
        <v>17</v>
      </c>
      <c r="D6825" t="s">
        <v>87</v>
      </c>
      <c r="E6825" t="s">
        <v>830</v>
      </c>
      <c r="F6825" t="s">
        <v>831</v>
      </c>
      <c r="G6825" t="s">
        <v>52</v>
      </c>
      <c r="H6825">
        <v>8</v>
      </c>
      <c r="I6825">
        <v>0.66300000000000003</v>
      </c>
      <c r="J6825">
        <v>0.93600000000000005</v>
      </c>
      <c r="K6825">
        <v>0.27300000000000002</v>
      </c>
      <c r="L6825">
        <v>5</v>
      </c>
      <c r="M6825">
        <v>3</v>
      </c>
      <c r="N6825">
        <v>0</v>
      </c>
      <c r="O6825" t="s">
        <v>53</v>
      </c>
      <c r="P6825" t="s">
        <v>53</v>
      </c>
      <c r="Q6825" t="s">
        <v>53</v>
      </c>
    </row>
    <row r="6826" spans="1:17" x14ac:dyDescent="0.2">
      <c r="A6826" s="30" t="str">
        <f>IF(C6826&amp;G6826&amp;D6826&lt;&gt;'Funnel setup'!$K$3&amp;'Funnel setup'!$K$4&amp;'Funnel setup'!$K$5,".",IF(A6825=".",1,A6825+1))</f>
        <v>.</v>
      </c>
      <c r="B6826" s="431" t="str">
        <f t="shared" si="106"/>
        <v>Varicose VeinCCG of GP PracticeNHS SOUTH DEVON AND TORBAY CCG (99Q)EQ-5D Index</v>
      </c>
      <c r="C6826" t="s">
        <v>17</v>
      </c>
      <c r="D6826" t="s">
        <v>87</v>
      </c>
      <c r="E6826" t="s">
        <v>833</v>
      </c>
      <c r="F6826" t="s">
        <v>834</v>
      </c>
      <c r="G6826" t="s">
        <v>52</v>
      </c>
      <c r="H6826">
        <v>7</v>
      </c>
      <c r="I6826">
        <v>0.78100000000000003</v>
      </c>
      <c r="J6826">
        <v>0.86199999999999999</v>
      </c>
      <c r="K6826">
        <v>8.1000000000000003E-2</v>
      </c>
      <c r="L6826">
        <v>3</v>
      </c>
      <c r="M6826">
        <v>4</v>
      </c>
      <c r="N6826">
        <v>0</v>
      </c>
      <c r="O6826" t="s">
        <v>53</v>
      </c>
      <c r="P6826" t="s">
        <v>53</v>
      </c>
      <c r="Q6826" t="s">
        <v>53</v>
      </c>
    </row>
    <row r="6827" spans="1:17" x14ac:dyDescent="0.2">
      <c r="A6827" s="30" t="str">
        <f>IF(C6827&amp;G6827&amp;D6827&lt;&gt;'Funnel setup'!$K$3&amp;'Funnel setup'!$K$4&amp;'Funnel setup'!$K$5,".",IF(A6826=".",1,A6826+1))</f>
        <v>.</v>
      </c>
      <c r="B6827" s="431" t="str">
        <f t="shared" si="106"/>
        <v>Varicose VeinCCG of GP PracticeNHS SOUTH EAST STAFFORDSHIRE AND SEISDON PENINSULA CCG (05Q)EQ-5D Index</v>
      </c>
      <c r="C6827" t="s">
        <v>17</v>
      </c>
      <c r="D6827" t="s">
        <v>87</v>
      </c>
      <c r="E6827" t="s">
        <v>836</v>
      </c>
      <c r="F6827" t="s">
        <v>837</v>
      </c>
      <c r="G6827" t="s">
        <v>52</v>
      </c>
      <c r="H6827">
        <v>33</v>
      </c>
      <c r="I6827">
        <v>0.73899999999999999</v>
      </c>
      <c r="J6827">
        <v>0.85899999999999999</v>
      </c>
      <c r="K6827">
        <v>0.12</v>
      </c>
      <c r="L6827">
        <v>20</v>
      </c>
      <c r="M6827">
        <v>9</v>
      </c>
      <c r="N6827">
        <v>4</v>
      </c>
      <c r="O6827">
        <v>0.85799999999999998</v>
      </c>
      <c r="P6827">
        <v>0.11082017600000001</v>
      </c>
      <c r="Q6827">
        <v>0.14499999999999999</v>
      </c>
    </row>
    <row r="6828" spans="1:17" x14ac:dyDescent="0.2">
      <c r="A6828" s="30" t="str">
        <f>IF(C6828&amp;G6828&amp;D6828&lt;&gt;'Funnel setup'!$K$3&amp;'Funnel setup'!$K$4&amp;'Funnel setup'!$K$5,".",IF(A6827=".",1,A6827+1))</f>
        <v>.</v>
      </c>
      <c r="B6828" s="431" t="str">
        <f t="shared" si="106"/>
        <v>Varicose VeinCCG of GP PracticeNHS SOUTH EASTERN HAMPSHIRE CCG (10V)EQ-5D Index</v>
      </c>
      <c r="C6828" t="s">
        <v>17</v>
      </c>
      <c r="D6828" t="s">
        <v>87</v>
      </c>
      <c r="E6828" t="s">
        <v>839</v>
      </c>
      <c r="F6828" t="s">
        <v>840</v>
      </c>
      <c r="G6828" t="s">
        <v>52</v>
      </c>
      <c r="H6828" t="s">
        <v>53</v>
      </c>
      <c r="I6828" t="s">
        <v>53</v>
      </c>
      <c r="J6828" t="s">
        <v>53</v>
      </c>
      <c r="K6828" t="s">
        <v>53</v>
      </c>
      <c r="L6828" t="s">
        <v>53</v>
      </c>
      <c r="M6828" t="s">
        <v>53</v>
      </c>
      <c r="N6828" t="s">
        <v>53</v>
      </c>
      <c r="O6828" t="s">
        <v>53</v>
      </c>
      <c r="P6828" t="s">
        <v>53</v>
      </c>
      <c r="Q6828" t="s">
        <v>53</v>
      </c>
    </row>
    <row r="6829" spans="1:17" x14ac:dyDescent="0.2">
      <c r="A6829" s="30" t="str">
        <f>IF(C6829&amp;G6829&amp;D6829&lt;&gt;'Funnel setup'!$K$3&amp;'Funnel setup'!$K$4&amp;'Funnel setup'!$K$5,".",IF(A6828=".",1,A6828+1))</f>
        <v>.</v>
      </c>
      <c r="B6829" s="431" t="str">
        <f t="shared" si="106"/>
        <v>Varicose VeinCCG of GP PracticeNHS SOUTH GLOUCESTERSHIRE CCG (12A)EQ-5D Index</v>
      </c>
      <c r="C6829" t="s">
        <v>17</v>
      </c>
      <c r="D6829" t="s">
        <v>87</v>
      </c>
      <c r="E6829" t="s">
        <v>842</v>
      </c>
      <c r="F6829" t="s">
        <v>843</v>
      </c>
      <c r="G6829" t="s">
        <v>52</v>
      </c>
      <c r="H6829">
        <v>17</v>
      </c>
      <c r="I6829">
        <v>0.76</v>
      </c>
      <c r="J6829">
        <v>0.93799999999999994</v>
      </c>
      <c r="K6829">
        <v>0.17799999999999999</v>
      </c>
      <c r="L6829">
        <v>8</v>
      </c>
      <c r="M6829">
        <v>9</v>
      </c>
      <c r="N6829">
        <v>0</v>
      </c>
      <c r="O6829" t="s">
        <v>53</v>
      </c>
      <c r="P6829" t="s">
        <v>53</v>
      </c>
      <c r="Q6829" t="s">
        <v>53</v>
      </c>
    </row>
    <row r="6830" spans="1:17" x14ac:dyDescent="0.2">
      <c r="A6830" s="30" t="str">
        <f>IF(C6830&amp;G6830&amp;D6830&lt;&gt;'Funnel setup'!$K$3&amp;'Funnel setup'!$K$4&amp;'Funnel setup'!$K$5,".",IF(A6829=".",1,A6829+1))</f>
        <v>.</v>
      </c>
      <c r="B6830" s="431" t="str">
        <f t="shared" si="106"/>
        <v>Varicose VeinCCG of GP PracticeNHS SOUTH LINCOLNSHIRE CCG (99D)EQ-5D Index</v>
      </c>
      <c r="C6830" t="s">
        <v>17</v>
      </c>
      <c r="D6830" t="s">
        <v>87</v>
      </c>
      <c r="E6830" t="s">
        <v>848</v>
      </c>
      <c r="F6830" t="s">
        <v>849</v>
      </c>
      <c r="G6830" t="s">
        <v>52</v>
      </c>
      <c r="H6830">
        <v>13</v>
      </c>
      <c r="I6830">
        <v>0.67700000000000005</v>
      </c>
      <c r="J6830">
        <v>0.89200000000000002</v>
      </c>
      <c r="K6830">
        <v>0.215</v>
      </c>
      <c r="L6830">
        <v>8</v>
      </c>
      <c r="M6830">
        <v>3</v>
      </c>
      <c r="N6830">
        <v>2</v>
      </c>
      <c r="O6830" t="s">
        <v>53</v>
      </c>
      <c r="P6830" t="s">
        <v>53</v>
      </c>
      <c r="Q6830" t="s">
        <v>53</v>
      </c>
    </row>
    <row r="6831" spans="1:17" x14ac:dyDescent="0.2">
      <c r="A6831" s="30" t="str">
        <f>IF(C6831&amp;G6831&amp;D6831&lt;&gt;'Funnel setup'!$K$3&amp;'Funnel setup'!$K$4&amp;'Funnel setup'!$K$5,".",IF(A6830=".",1,A6830+1))</f>
        <v>.</v>
      </c>
      <c r="B6831" s="431" t="str">
        <f t="shared" si="106"/>
        <v>Varicose VeinCCG of GP PracticeNHS SOUTH MANCHESTER CCG (01N)EQ-5D Index</v>
      </c>
      <c r="C6831" t="s">
        <v>17</v>
      </c>
      <c r="D6831" t="s">
        <v>87</v>
      </c>
      <c r="E6831" t="s">
        <v>851</v>
      </c>
      <c r="F6831" t="s">
        <v>852</v>
      </c>
      <c r="G6831" t="s">
        <v>52</v>
      </c>
      <c r="H6831">
        <v>16</v>
      </c>
      <c r="I6831">
        <v>0.82399999999999995</v>
      </c>
      <c r="J6831">
        <v>0.83399999999999996</v>
      </c>
      <c r="K6831">
        <v>1.0999999999999999E-2</v>
      </c>
      <c r="L6831">
        <v>4</v>
      </c>
      <c r="M6831">
        <v>6</v>
      </c>
      <c r="N6831">
        <v>6</v>
      </c>
      <c r="O6831" t="s">
        <v>53</v>
      </c>
      <c r="P6831" t="s">
        <v>53</v>
      </c>
      <c r="Q6831" t="s">
        <v>53</v>
      </c>
    </row>
    <row r="6832" spans="1:17" x14ac:dyDescent="0.2">
      <c r="A6832" s="30" t="str">
        <f>IF(C6832&amp;G6832&amp;D6832&lt;&gt;'Funnel setup'!$K$3&amp;'Funnel setup'!$K$4&amp;'Funnel setup'!$K$5,".",IF(A6831=".",1,A6831+1))</f>
        <v>.</v>
      </c>
      <c r="B6832" s="431" t="str">
        <f t="shared" si="106"/>
        <v>Varicose VeinCCG of GP PracticeNHS SOUTH NORFOLK CCG (06Y)EQ-5D Index</v>
      </c>
      <c r="C6832" t="s">
        <v>17</v>
      </c>
      <c r="D6832" t="s">
        <v>87</v>
      </c>
      <c r="E6832" t="s">
        <v>932</v>
      </c>
      <c r="F6832" t="s">
        <v>933</v>
      </c>
      <c r="G6832" t="s">
        <v>52</v>
      </c>
      <c r="H6832">
        <v>40</v>
      </c>
      <c r="I6832">
        <v>0.82399999999999995</v>
      </c>
      <c r="J6832">
        <v>0.89</v>
      </c>
      <c r="K6832">
        <v>6.6000000000000003E-2</v>
      </c>
      <c r="L6832">
        <v>20</v>
      </c>
      <c r="M6832">
        <v>16</v>
      </c>
      <c r="N6832">
        <v>4</v>
      </c>
      <c r="O6832">
        <v>0.81699999999999995</v>
      </c>
      <c r="P6832">
        <v>7.0076713999999998E-2</v>
      </c>
      <c r="Q6832">
        <v>0.113</v>
      </c>
    </row>
    <row r="6833" spans="1:17" x14ac:dyDescent="0.2">
      <c r="A6833" s="30" t="str">
        <f>IF(C6833&amp;G6833&amp;D6833&lt;&gt;'Funnel setup'!$K$3&amp;'Funnel setup'!$K$4&amp;'Funnel setup'!$K$5,".",IF(A6832=".",1,A6832+1))</f>
        <v>.</v>
      </c>
      <c r="B6833" s="431" t="str">
        <f t="shared" si="106"/>
        <v>Varicose VeinCCG of GP PracticeNHS SOUTH READING CCG (10W)EQ-5D Index</v>
      </c>
      <c r="C6833" t="s">
        <v>17</v>
      </c>
      <c r="D6833" t="s">
        <v>87</v>
      </c>
      <c r="E6833" t="s">
        <v>935</v>
      </c>
      <c r="F6833" t="s">
        <v>936</v>
      </c>
      <c r="G6833" t="s">
        <v>52</v>
      </c>
      <c r="H6833" t="s">
        <v>53</v>
      </c>
      <c r="I6833" t="s">
        <v>53</v>
      </c>
      <c r="J6833" t="s">
        <v>53</v>
      </c>
      <c r="K6833" t="s">
        <v>53</v>
      </c>
      <c r="L6833" t="s">
        <v>53</v>
      </c>
      <c r="M6833" t="s">
        <v>53</v>
      </c>
      <c r="N6833" t="s">
        <v>53</v>
      </c>
      <c r="O6833" t="s">
        <v>53</v>
      </c>
      <c r="P6833" t="s">
        <v>53</v>
      </c>
      <c r="Q6833" t="s">
        <v>53</v>
      </c>
    </row>
    <row r="6834" spans="1:17" x14ac:dyDescent="0.2">
      <c r="A6834" s="30" t="str">
        <f>IF(C6834&amp;G6834&amp;D6834&lt;&gt;'Funnel setup'!$K$3&amp;'Funnel setup'!$K$4&amp;'Funnel setup'!$K$5,".",IF(A6833=".",1,A6833+1))</f>
        <v>.</v>
      </c>
      <c r="B6834" s="431" t="str">
        <f t="shared" si="106"/>
        <v>Varicose VeinCCG of GP PracticeNHS SOUTH SEFTON CCG (01T)EQ-5D Index</v>
      </c>
      <c r="C6834" t="s">
        <v>17</v>
      </c>
      <c r="D6834" t="s">
        <v>87</v>
      </c>
      <c r="E6834" t="s">
        <v>938</v>
      </c>
      <c r="F6834" t="s">
        <v>939</v>
      </c>
      <c r="G6834" t="s">
        <v>52</v>
      </c>
      <c r="H6834">
        <v>11</v>
      </c>
      <c r="I6834">
        <v>0.76800000000000002</v>
      </c>
      <c r="J6834">
        <v>0.81899999999999995</v>
      </c>
      <c r="K6834">
        <v>5.0999999999999997E-2</v>
      </c>
      <c r="L6834">
        <v>3</v>
      </c>
      <c r="M6834">
        <v>5</v>
      </c>
      <c r="N6834">
        <v>3</v>
      </c>
      <c r="O6834" t="s">
        <v>53</v>
      </c>
      <c r="P6834" t="s">
        <v>53</v>
      </c>
      <c r="Q6834" t="s">
        <v>53</v>
      </c>
    </row>
    <row r="6835" spans="1:17" x14ac:dyDescent="0.2">
      <c r="A6835" s="30" t="str">
        <f>IF(C6835&amp;G6835&amp;D6835&lt;&gt;'Funnel setup'!$K$3&amp;'Funnel setup'!$K$4&amp;'Funnel setup'!$K$5,".",IF(A6834=".",1,A6834+1))</f>
        <v>.</v>
      </c>
      <c r="B6835" s="431" t="str">
        <f t="shared" si="106"/>
        <v>Varicose VeinCCG of GP PracticeNHS SOUTH TEES CCG (00M)EQ-5D Index</v>
      </c>
      <c r="C6835" t="s">
        <v>17</v>
      </c>
      <c r="D6835" t="s">
        <v>87</v>
      </c>
      <c r="E6835" t="s">
        <v>941</v>
      </c>
      <c r="F6835" t="s">
        <v>942</v>
      </c>
      <c r="G6835" t="s">
        <v>52</v>
      </c>
      <c r="H6835">
        <v>26</v>
      </c>
      <c r="I6835">
        <v>0.73</v>
      </c>
      <c r="J6835">
        <v>0.85799999999999998</v>
      </c>
      <c r="K6835">
        <v>0.127</v>
      </c>
      <c r="L6835">
        <v>15</v>
      </c>
      <c r="M6835">
        <v>8</v>
      </c>
      <c r="N6835">
        <v>3</v>
      </c>
      <c r="O6835" t="s">
        <v>53</v>
      </c>
      <c r="P6835" t="s">
        <v>53</v>
      </c>
      <c r="Q6835" t="s">
        <v>53</v>
      </c>
    </row>
    <row r="6836" spans="1:17" x14ac:dyDescent="0.2">
      <c r="A6836" s="30" t="str">
        <f>IF(C6836&amp;G6836&amp;D6836&lt;&gt;'Funnel setup'!$K$3&amp;'Funnel setup'!$K$4&amp;'Funnel setup'!$K$5,".",IF(A6835=".",1,A6835+1))</f>
        <v>.</v>
      </c>
      <c r="B6836" s="431" t="str">
        <f t="shared" si="106"/>
        <v>Varicose VeinCCG of GP PracticeNHS SOUTH TYNESIDE CCG (00N)EQ-5D Index</v>
      </c>
      <c r="C6836" t="s">
        <v>17</v>
      </c>
      <c r="D6836" t="s">
        <v>87</v>
      </c>
      <c r="E6836" t="s">
        <v>1016</v>
      </c>
      <c r="F6836" t="s">
        <v>1017</v>
      </c>
      <c r="G6836" t="s">
        <v>52</v>
      </c>
      <c r="H6836">
        <v>106</v>
      </c>
      <c r="I6836">
        <v>0.754</v>
      </c>
      <c r="J6836">
        <v>0.82399999999999995</v>
      </c>
      <c r="K6836">
        <v>7.0000000000000007E-2</v>
      </c>
      <c r="L6836">
        <v>45</v>
      </c>
      <c r="M6836">
        <v>37</v>
      </c>
      <c r="N6836">
        <v>24</v>
      </c>
      <c r="O6836">
        <v>0.82499999999999996</v>
      </c>
      <c r="P6836">
        <v>7.7894041999999997E-2</v>
      </c>
      <c r="Q6836">
        <v>0.187</v>
      </c>
    </row>
    <row r="6837" spans="1:17" x14ac:dyDescent="0.2">
      <c r="A6837" s="30" t="str">
        <f>IF(C6837&amp;G6837&amp;D6837&lt;&gt;'Funnel setup'!$K$3&amp;'Funnel setup'!$K$4&amp;'Funnel setup'!$K$5,".",IF(A6836=".",1,A6836+1))</f>
        <v>.</v>
      </c>
      <c r="B6837" s="431" t="str">
        <f t="shared" si="106"/>
        <v>Varicose VeinCCG of GP PracticeNHS SOUTH WARWICKSHIRE CCG (05R)EQ-5D Index</v>
      </c>
      <c r="C6837" t="s">
        <v>17</v>
      </c>
      <c r="D6837" t="s">
        <v>87</v>
      </c>
      <c r="E6837" t="s">
        <v>944</v>
      </c>
      <c r="F6837" t="s">
        <v>945</v>
      </c>
      <c r="G6837" t="s">
        <v>52</v>
      </c>
      <c r="H6837">
        <v>30</v>
      </c>
      <c r="I6837">
        <v>0.77600000000000002</v>
      </c>
      <c r="J6837">
        <v>0.90900000000000003</v>
      </c>
      <c r="K6837">
        <v>0.13200000000000001</v>
      </c>
      <c r="L6837">
        <v>20</v>
      </c>
      <c r="M6837">
        <v>9</v>
      </c>
      <c r="N6837">
        <v>1</v>
      </c>
      <c r="O6837">
        <v>0.89200000000000002</v>
      </c>
      <c r="P6837">
        <v>0.14556480899999999</v>
      </c>
      <c r="Q6837">
        <v>0.13300000000000001</v>
      </c>
    </row>
    <row r="6838" spans="1:17" x14ac:dyDescent="0.2">
      <c r="A6838" s="30" t="str">
        <f>IF(C6838&amp;G6838&amp;D6838&lt;&gt;'Funnel setup'!$K$3&amp;'Funnel setup'!$K$4&amp;'Funnel setup'!$K$5,".",IF(A6837=".",1,A6837+1))</f>
        <v>.</v>
      </c>
      <c r="B6838" s="431" t="str">
        <f t="shared" si="106"/>
        <v>Varicose VeinCCG of GP PracticeNHS SOUTH WEST LINCOLNSHIRE CCG (04Q)EQ-5D Index</v>
      </c>
      <c r="C6838" t="s">
        <v>17</v>
      </c>
      <c r="D6838" t="s">
        <v>87</v>
      </c>
      <c r="E6838" t="s">
        <v>947</v>
      </c>
      <c r="F6838" t="s">
        <v>948</v>
      </c>
      <c r="G6838" t="s">
        <v>52</v>
      </c>
      <c r="H6838">
        <v>14</v>
      </c>
      <c r="I6838">
        <v>0.75800000000000001</v>
      </c>
      <c r="J6838">
        <v>0.76</v>
      </c>
      <c r="K6838">
        <v>2E-3</v>
      </c>
      <c r="L6838">
        <v>5</v>
      </c>
      <c r="M6838">
        <v>6</v>
      </c>
      <c r="N6838">
        <v>3</v>
      </c>
      <c r="O6838" t="s">
        <v>53</v>
      </c>
      <c r="P6838" t="s">
        <v>53</v>
      </c>
      <c r="Q6838" t="s">
        <v>53</v>
      </c>
    </row>
    <row r="6839" spans="1:17" x14ac:dyDescent="0.2">
      <c r="A6839" s="30" t="str">
        <f>IF(C6839&amp;G6839&amp;D6839&lt;&gt;'Funnel setup'!$K$3&amp;'Funnel setup'!$K$4&amp;'Funnel setup'!$K$5,".",IF(A6838=".",1,A6838+1))</f>
        <v>.</v>
      </c>
      <c r="B6839" s="431" t="str">
        <f t="shared" si="106"/>
        <v>Varicose VeinCCG of GP PracticeNHS SOUTH WORCESTERSHIRE CCG (05T)EQ-5D Index</v>
      </c>
      <c r="C6839" t="s">
        <v>17</v>
      </c>
      <c r="D6839" t="s">
        <v>87</v>
      </c>
      <c r="E6839" t="s">
        <v>950</v>
      </c>
      <c r="F6839" t="s">
        <v>951</v>
      </c>
      <c r="G6839" t="s">
        <v>52</v>
      </c>
      <c r="H6839">
        <v>11</v>
      </c>
      <c r="I6839">
        <v>0.84399999999999997</v>
      </c>
      <c r="J6839">
        <v>0.83499999999999996</v>
      </c>
      <c r="K6839">
        <v>-8.9999999999999993E-3</v>
      </c>
      <c r="L6839">
        <v>2</v>
      </c>
      <c r="M6839">
        <v>5</v>
      </c>
      <c r="N6839">
        <v>4</v>
      </c>
      <c r="O6839" t="s">
        <v>53</v>
      </c>
      <c r="P6839" t="s">
        <v>53</v>
      </c>
      <c r="Q6839" t="s">
        <v>53</v>
      </c>
    </row>
    <row r="6840" spans="1:17" x14ac:dyDescent="0.2">
      <c r="A6840" s="30" t="str">
        <f>IF(C6840&amp;G6840&amp;D6840&lt;&gt;'Funnel setup'!$K$3&amp;'Funnel setup'!$K$4&amp;'Funnel setup'!$K$5,".",IF(A6839=".",1,A6839+1))</f>
        <v>.</v>
      </c>
      <c r="B6840" s="431" t="str">
        <f t="shared" si="106"/>
        <v>Varicose VeinCCG of GP PracticeNHS SOUTHAMPTON CCG (10X)EQ-5D Index</v>
      </c>
      <c r="C6840" t="s">
        <v>17</v>
      </c>
      <c r="D6840" t="s">
        <v>87</v>
      </c>
      <c r="E6840" t="s">
        <v>953</v>
      </c>
      <c r="F6840" t="s">
        <v>954</v>
      </c>
      <c r="G6840" t="s">
        <v>52</v>
      </c>
      <c r="H6840">
        <v>6</v>
      </c>
      <c r="I6840">
        <v>0.67</v>
      </c>
      <c r="J6840">
        <v>0.90100000000000002</v>
      </c>
      <c r="K6840">
        <v>0.23100000000000001</v>
      </c>
      <c r="L6840">
        <v>5</v>
      </c>
      <c r="M6840">
        <v>1</v>
      </c>
      <c r="N6840">
        <v>0</v>
      </c>
      <c r="O6840" t="s">
        <v>53</v>
      </c>
      <c r="P6840" t="s">
        <v>53</v>
      </c>
      <c r="Q6840" t="s">
        <v>53</v>
      </c>
    </row>
    <row r="6841" spans="1:17" x14ac:dyDescent="0.2">
      <c r="A6841" s="30" t="str">
        <f>IF(C6841&amp;G6841&amp;D6841&lt;&gt;'Funnel setup'!$K$3&amp;'Funnel setup'!$K$4&amp;'Funnel setup'!$K$5,".",IF(A6840=".",1,A6840+1))</f>
        <v>.</v>
      </c>
      <c r="B6841" s="431" t="str">
        <f t="shared" si="106"/>
        <v>Varicose VeinCCG of GP PracticeNHS SOUTHEND CCG (99G)EQ-5D Index</v>
      </c>
      <c r="C6841" t="s">
        <v>17</v>
      </c>
      <c r="D6841" t="s">
        <v>87</v>
      </c>
      <c r="E6841" t="s">
        <v>956</v>
      </c>
      <c r="F6841" t="s">
        <v>957</v>
      </c>
      <c r="G6841" t="s">
        <v>52</v>
      </c>
      <c r="H6841" t="s">
        <v>53</v>
      </c>
      <c r="I6841" t="s">
        <v>53</v>
      </c>
      <c r="J6841" t="s">
        <v>53</v>
      </c>
      <c r="K6841" t="s">
        <v>53</v>
      </c>
      <c r="L6841" t="s">
        <v>53</v>
      </c>
      <c r="M6841" t="s">
        <v>53</v>
      </c>
      <c r="N6841" t="s">
        <v>53</v>
      </c>
      <c r="O6841" t="s">
        <v>53</v>
      </c>
      <c r="P6841" t="s">
        <v>53</v>
      </c>
      <c r="Q6841" t="s">
        <v>53</v>
      </c>
    </row>
    <row r="6842" spans="1:17" x14ac:dyDescent="0.2">
      <c r="A6842" s="30" t="str">
        <f>IF(C6842&amp;G6842&amp;D6842&lt;&gt;'Funnel setup'!$K$3&amp;'Funnel setup'!$K$4&amp;'Funnel setup'!$K$5,".",IF(A6841=".",1,A6841+1))</f>
        <v>.</v>
      </c>
      <c r="B6842" s="431" t="str">
        <f t="shared" si="106"/>
        <v>Varicose VeinCCG of GP PracticeNHS SOUTHERN DERBYSHIRE CCG (04R)EQ-5D Index</v>
      </c>
      <c r="C6842" t="s">
        <v>17</v>
      </c>
      <c r="D6842" t="s">
        <v>87</v>
      </c>
      <c r="E6842" t="s">
        <v>959</v>
      </c>
      <c r="F6842" t="s">
        <v>960</v>
      </c>
      <c r="G6842" t="s">
        <v>52</v>
      </c>
      <c r="H6842">
        <v>22</v>
      </c>
      <c r="I6842">
        <v>0.74299999999999999</v>
      </c>
      <c r="J6842">
        <v>0.84499999999999997</v>
      </c>
      <c r="K6842">
        <v>0.10199999999999999</v>
      </c>
      <c r="L6842">
        <v>12</v>
      </c>
      <c r="M6842">
        <v>7</v>
      </c>
      <c r="N6842">
        <v>3</v>
      </c>
      <c r="O6842" t="s">
        <v>53</v>
      </c>
      <c r="P6842" t="s">
        <v>53</v>
      </c>
      <c r="Q6842" t="s">
        <v>53</v>
      </c>
    </row>
    <row r="6843" spans="1:17" x14ac:dyDescent="0.2">
      <c r="A6843" s="30" t="str">
        <f>IF(C6843&amp;G6843&amp;D6843&lt;&gt;'Funnel setup'!$K$3&amp;'Funnel setup'!$K$4&amp;'Funnel setup'!$K$5,".",IF(A6842=".",1,A6842+1))</f>
        <v>.</v>
      </c>
      <c r="B6843" s="431" t="str">
        <f t="shared" si="106"/>
        <v>Varicose VeinCCG of GP PracticeNHS SOUTHPORT AND FORMBY CCG (01V)EQ-5D Index</v>
      </c>
      <c r="C6843" t="s">
        <v>17</v>
      </c>
      <c r="D6843" t="s">
        <v>87</v>
      </c>
      <c r="E6843" t="s">
        <v>962</v>
      </c>
      <c r="F6843" t="s">
        <v>963</v>
      </c>
      <c r="G6843" t="s">
        <v>52</v>
      </c>
      <c r="H6843">
        <v>35</v>
      </c>
      <c r="I6843">
        <v>0.76600000000000001</v>
      </c>
      <c r="J6843">
        <v>0.78800000000000003</v>
      </c>
      <c r="K6843">
        <v>2.1999999999999999E-2</v>
      </c>
      <c r="L6843">
        <v>13</v>
      </c>
      <c r="M6843">
        <v>13</v>
      </c>
      <c r="N6843">
        <v>9</v>
      </c>
      <c r="O6843">
        <v>0.79700000000000004</v>
      </c>
      <c r="P6843">
        <v>5.0539385999999999E-2</v>
      </c>
      <c r="Q6843">
        <v>0.184</v>
      </c>
    </row>
    <row r="6844" spans="1:17" x14ac:dyDescent="0.2">
      <c r="A6844" s="30" t="str">
        <f>IF(C6844&amp;G6844&amp;D6844&lt;&gt;'Funnel setup'!$K$3&amp;'Funnel setup'!$K$4&amp;'Funnel setup'!$K$5,".",IF(A6843=".",1,A6843+1))</f>
        <v>.</v>
      </c>
      <c r="B6844" s="431" t="str">
        <f t="shared" si="106"/>
        <v>Varicose VeinCCG of GP PracticeNHS SOUTHWARK CCG (08Q)EQ-5D Index</v>
      </c>
      <c r="C6844" t="s">
        <v>17</v>
      </c>
      <c r="D6844" t="s">
        <v>87</v>
      </c>
      <c r="E6844" t="s">
        <v>965</v>
      </c>
      <c r="F6844" t="s">
        <v>966</v>
      </c>
      <c r="G6844" t="s">
        <v>52</v>
      </c>
      <c r="H6844">
        <v>28</v>
      </c>
      <c r="I6844">
        <v>0.75900000000000001</v>
      </c>
      <c r="J6844">
        <v>0.78500000000000003</v>
      </c>
      <c r="K6844">
        <v>2.5999999999999999E-2</v>
      </c>
      <c r="L6844">
        <v>9</v>
      </c>
      <c r="M6844">
        <v>12</v>
      </c>
      <c r="N6844">
        <v>7</v>
      </c>
      <c r="O6844" t="s">
        <v>53</v>
      </c>
      <c r="P6844" t="s">
        <v>53</v>
      </c>
      <c r="Q6844" t="s">
        <v>53</v>
      </c>
    </row>
    <row r="6845" spans="1:17" x14ac:dyDescent="0.2">
      <c r="A6845" s="30" t="str">
        <f>IF(C6845&amp;G6845&amp;D6845&lt;&gt;'Funnel setup'!$K$3&amp;'Funnel setup'!$K$4&amp;'Funnel setup'!$K$5,".",IF(A6844=".",1,A6844+1))</f>
        <v>.</v>
      </c>
      <c r="B6845" s="431" t="str">
        <f t="shared" si="106"/>
        <v>Varicose VeinCCG of GP PracticeNHS ST HELENS CCG (01X)EQ-5D Index</v>
      </c>
      <c r="C6845" t="s">
        <v>17</v>
      </c>
      <c r="D6845" t="s">
        <v>87</v>
      </c>
      <c r="E6845" t="s">
        <v>968</v>
      </c>
      <c r="F6845" t="s">
        <v>969</v>
      </c>
      <c r="G6845" t="s">
        <v>52</v>
      </c>
      <c r="H6845">
        <v>16</v>
      </c>
      <c r="I6845">
        <v>0.76800000000000002</v>
      </c>
      <c r="J6845">
        <v>0.84699999999999998</v>
      </c>
      <c r="K6845">
        <v>7.9000000000000001E-2</v>
      </c>
      <c r="L6845">
        <v>10</v>
      </c>
      <c r="M6845">
        <v>5</v>
      </c>
      <c r="N6845">
        <v>1</v>
      </c>
      <c r="O6845" t="s">
        <v>53</v>
      </c>
      <c r="P6845" t="s">
        <v>53</v>
      </c>
      <c r="Q6845" t="s">
        <v>53</v>
      </c>
    </row>
    <row r="6846" spans="1:17" x14ac:dyDescent="0.2">
      <c r="A6846" s="30" t="str">
        <f>IF(C6846&amp;G6846&amp;D6846&lt;&gt;'Funnel setup'!$K$3&amp;'Funnel setup'!$K$4&amp;'Funnel setup'!$K$5,".",IF(A6845=".",1,A6845+1))</f>
        <v>.</v>
      </c>
      <c r="B6846" s="431" t="str">
        <f t="shared" si="106"/>
        <v>Varicose VeinCCG of GP PracticeNHS STAFFORD AND SURROUNDS CCG (05V)EQ-5D Index</v>
      </c>
      <c r="C6846" t="s">
        <v>17</v>
      </c>
      <c r="D6846" t="s">
        <v>87</v>
      </c>
      <c r="E6846" t="s">
        <v>971</v>
      </c>
      <c r="F6846" t="s">
        <v>972</v>
      </c>
      <c r="G6846" t="s">
        <v>52</v>
      </c>
      <c r="H6846">
        <v>12</v>
      </c>
      <c r="I6846">
        <v>0.67700000000000005</v>
      </c>
      <c r="J6846">
        <v>0.75700000000000001</v>
      </c>
      <c r="K6846">
        <v>0.08</v>
      </c>
      <c r="L6846">
        <v>6</v>
      </c>
      <c r="M6846">
        <v>4</v>
      </c>
      <c r="N6846">
        <v>2</v>
      </c>
      <c r="O6846" t="s">
        <v>53</v>
      </c>
      <c r="P6846" t="s">
        <v>53</v>
      </c>
      <c r="Q6846" t="s">
        <v>53</v>
      </c>
    </row>
    <row r="6847" spans="1:17" x14ac:dyDescent="0.2">
      <c r="A6847" s="30" t="str">
        <f>IF(C6847&amp;G6847&amp;D6847&lt;&gt;'Funnel setup'!$K$3&amp;'Funnel setup'!$K$4&amp;'Funnel setup'!$K$5,".",IF(A6846=".",1,A6846+1))</f>
        <v>.</v>
      </c>
      <c r="B6847" s="431" t="str">
        <f t="shared" si="106"/>
        <v>Varicose VeinCCG of GP PracticeNHS STOCKPORT CCG (01W)EQ-5D Index</v>
      </c>
      <c r="C6847" t="s">
        <v>17</v>
      </c>
      <c r="D6847" t="s">
        <v>87</v>
      </c>
      <c r="E6847" t="s">
        <v>974</v>
      </c>
      <c r="F6847" t="s">
        <v>975</v>
      </c>
      <c r="G6847" t="s">
        <v>52</v>
      </c>
      <c r="H6847">
        <v>18</v>
      </c>
      <c r="I6847">
        <v>0.68400000000000005</v>
      </c>
      <c r="J6847">
        <v>0.82</v>
      </c>
      <c r="K6847">
        <v>0.13600000000000001</v>
      </c>
      <c r="L6847">
        <v>10</v>
      </c>
      <c r="M6847">
        <v>6</v>
      </c>
      <c r="N6847">
        <v>2</v>
      </c>
      <c r="O6847" t="s">
        <v>53</v>
      </c>
      <c r="P6847" t="s">
        <v>53</v>
      </c>
      <c r="Q6847" t="s">
        <v>53</v>
      </c>
    </row>
    <row r="6848" spans="1:17" x14ac:dyDescent="0.2">
      <c r="A6848" s="30" t="str">
        <f>IF(C6848&amp;G6848&amp;D6848&lt;&gt;'Funnel setup'!$K$3&amp;'Funnel setup'!$K$4&amp;'Funnel setup'!$K$5,".",IF(A6847=".",1,A6847+1))</f>
        <v>.</v>
      </c>
      <c r="B6848" s="431" t="str">
        <f t="shared" si="106"/>
        <v>Varicose VeinCCG of GP PracticeNHS STOKE ON TRENT CCG (05W)EQ-5D Index</v>
      </c>
      <c r="C6848" t="s">
        <v>17</v>
      </c>
      <c r="D6848" t="s">
        <v>87</v>
      </c>
      <c r="E6848" t="s">
        <v>977</v>
      </c>
      <c r="F6848" t="s">
        <v>978</v>
      </c>
      <c r="G6848" t="s">
        <v>52</v>
      </c>
      <c r="H6848" t="s">
        <v>53</v>
      </c>
      <c r="I6848" t="s">
        <v>53</v>
      </c>
      <c r="J6848" t="s">
        <v>53</v>
      </c>
      <c r="K6848" t="s">
        <v>53</v>
      </c>
      <c r="L6848" t="s">
        <v>53</v>
      </c>
      <c r="M6848" t="s">
        <v>53</v>
      </c>
      <c r="N6848" t="s">
        <v>53</v>
      </c>
      <c r="O6848" t="s">
        <v>53</v>
      </c>
      <c r="P6848" t="s">
        <v>53</v>
      </c>
      <c r="Q6848" t="s">
        <v>53</v>
      </c>
    </row>
    <row r="6849" spans="1:17" x14ac:dyDescent="0.2">
      <c r="A6849" s="30" t="str">
        <f>IF(C6849&amp;G6849&amp;D6849&lt;&gt;'Funnel setup'!$K$3&amp;'Funnel setup'!$K$4&amp;'Funnel setup'!$K$5,".",IF(A6848=".",1,A6848+1))</f>
        <v>.</v>
      </c>
      <c r="B6849" s="431" t="str">
        <f t="shared" si="106"/>
        <v>Varicose VeinCCG of GP PracticeNHS SUNDERLAND CCG (00P)EQ-5D Index</v>
      </c>
      <c r="C6849" t="s">
        <v>17</v>
      </c>
      <c r="D6849" t="s">
        <v>87</v>
      </c>
      <c r="E6849" t="s">
        <v>980</v>
      </c>
      <c r="F6849" t="s">
        <v>981</v>
      </c>
      <c r="G6849" t="s">
        <v>52</v>
      </c>
      <c r="H6849">
        <v>143</v>
      </c>
      <c r="I6849">
        <v>0.72499999999999998</v>
      </c>
      <c r="J6849">
        <v>0.79100000000000004</v>
      </c>
      <c r="K6849">
        <v>6.6000000000000003E-2</v>
      </c>
      <c r="L6849">
        <v>66</v>
      </c>
      <c r="M6849">
        <v>41</v>
      </c>
      <c r="N6849">
        <v>36</v>
      </c>
      <c r="O6849">
        <v>0.80900000000000005</v>
      </c>
      <c r="P6849">
        <v>6.1966265999999999E-2</v>
      </c>
      <c r="Q6849">
        <v>0.223</v>
      </c>
    </row>
    <row r="6850" spans="1:17" x14ac:dyDescent="0.2">
      <c r="A6850" s="30" t="str">
        <f>IF(C6850&amp;G6850&amp;D6850&lt;&gt;'Funnel setup'!$K$3&amp;'Funnel setup'!$K$4&amp;'Funnel setup'!$K$5,".",IF(A6849=".",1,A6849+1))</f>
        <v>.</v>
      </c>
      <c r="B6850" s="431" t="str">
        <f t="shared" si="106"/>
        <v>Varicose VeinCCG of GP PracticeNHS SURREY DOWNS CCG (99H)EQ-5D Index</v>
      </c>
      <c r="C6850" t="s">
        <v>17</v>
      </c>
      <c r="D6850" t="s">
        <v>87</v>
      </c>
      <c r="E6850" t="s">
        <v>983</v>
      </c>
      <c r="F6850" t="s">
        <v>984</v>
      </c>
      <c r="G6850" t="s">
        <v>52</v>
      </c>
      <c r="H6850">
        <v>34</v>
      </c>
      <c r="I6850">
        <v>0.76</v>
      </c>
      <c r="J6850">
        <v>0.89800000000000002</v>
      </c>
      <c r="K6850">
        <v>0.13900000000000001</v>
      </c>
      <c r="L6850">
        <v>21</v>
      </c>
      <c r="M6850">
        <v>10</v>
      </c>
      <c r="N6850">
        <v>3</v>
      </c>
      <c r="O6850">
        <v>0.88</v>
      </c>
      <c r="P6850">
        <v>0.132805163</v>
      </c>
      <c r="Q6850">
        <v>0.127</v>
      </c>
    </row>
    <row r="6851" spans="1:17" x14ac:dyDescent="0.2">
      <c r="A6851" s="30" t="str">
        <f>IF(C6851&amp;G6851&amp;D6851&lt;&gt;'Funnel setup'!$K$3&amp;'Funnel setup'!$K$4&amp;'Funnel setup'!$K$5,".",IF(A6850=".",1,A6850+1))</f>
        <v>.</v>
      </c>
      <c r="B6851" s="431" t="str">
        <f t="shared" ref="B6851:B6914" si="107">C6851&amp;D6851&amp;F6851&amp;G6851</f>
        <v>Varicose VeinCCG of GP PracticeNHS SURREY HEATH CCG (10C)EQ-5D Index</v>
      </c>
      <c r="C6851" t="s">
        <v>17</v>
      </c>
      <c r="D6851" t="s">
        <v>87</v>
      </c>
      <c r="E6851" t="s">
        <v>986</v>
      </c>
      <c r="F6851" t="s">
        <v>987</v>
      </c>
      <c r="G6851" t="s">
        <v>52</v>
      </c>
      <c r="H6851" t="s">
        <v>53</v>
      </c>
      <c r="I6851" t="s">
        <v>53</v>
      </c>
      <c r="J6851" t="s">
        <v>53</v>
      </c>
      <c r="K6851" t="s">
        <v>53</v>
      </c>
      <c r="L6851" t="s">
        <v>53</v>
      </c>
      <c r="M6851" t="s">
        <v>53</v>
      </c>
      <c r="N6851" t="s">
        <v>53</v>
      </c>
      <c r="O6851" t="s">
        <v>53</v>
      </c>
      <c r="P6851" t="s">
        <v>53</v>
      </c>
      <c r="Q6851" t="s">
        <v>53</v>
      </c>
    </row>
    <row r="6852" spans="1:17" x14ac:dyDescent="0.2">
      <c r="A6852" s="30" t="str">
        <f>IF(C6852&amp;G6852&amp;D6852&lt;&gt;'Funnel setup'!$K$3&amp;'Funnel setup'!$K$4&amp;'Funnel setup'!$K$5,".",IF(A6851=".",1,A6851+1))</f>
        <v>.</v>
      </c>
      <c r="B6852" s="431" t="str">
        <f t="shared" si="107"/>
        <v>Varicose VeinCCG of GP PracticeNHS SUTTON CCG (08T)EQ-5D Index</v>
      </c>
      <c r="C6852" t="s">
        <v>17</v>
      </c>
      <c r="D6852" t="s">
        <v>87</v>
      </c>
      <c r="E6852" t="s">
        <v>989</v>
      </c>
      <c r="F6852" t="s">
        <v>990</v>
      </c>
      <c r="G6852" t="s">
        <v>52</v>
      </c>
      <c r="H6852">
        <v>16</v>
      </c>
      <c r="I6852">
        <v>0.79</v>
      </c>
      <c r="J6852">
        <v>0.85399999999999998</v>
      </c>
      <c r="K6852">
        <v>6.4000000000000001E-2</v>
      </c>
      <c r="L6852">
        <v>5</v>
      </c>
      <c r="M6852">
        <v>9</v>
      </c>
      <c r="N6852">
        <v>2</v>
      </c>
      <c r="O6852" t="s">
        <v>53</v>
      </c>
      <c r="P6852" t="s">
        <v>53</v>
      </c>
      <c r="Q6852" t="s">
        <v>53</v>
      </c>
    </row>
    <row r="6853" spans="1:17" x14ac:dyDescent="0.2">
      <c r="A6853" s="30" t="str">
        <f>IF(C6853&amp;G6853&amp;D6853&lt;&gt;'Funnel setup'!$K$3&amp;'Funnel setup'!$K$4&amp;'Funnel setup'!$K$5,".",IF(A6852=".",1,A6852+1))</f>
        <v>.</v>
      </c>
      <c r="B6853" s="431" t="str">
        <f t="shared" si="107"/>
        <v>Varicose VeinCCG of GP PracticeNHS SWALE CCG (10D)EQ-5D Index</v>
      </c>
      <c r="C6853" t="s">
        <v>17</v>
      </c>
      <c r="D6853" t="s">
        <v>87</v>
      </c>
      <c r="E6853" t="s">
        <v>992</v>
      </c>
      <c r="F6853" t="s">
        <v>993</v>
      </c>
      <c r="G6853" t="s">
        <v>52</v>
      </c>
      <c r="H6853" t="s">
        <v>53</v>
      </c>
      <c r="I6853" t="s">
        <v>53</v>
      </c>
      <c r="J6853" t="s">
        <v>53</v>
      </c>
      <c r="K6853" t="s">
        <v>53</v>
      </c>
      <c r="L6853" t="s">
        <v>53</v>
      </c>
      <c r="M6853" t="s">
        <v>53</v>
      </c>
      <c r="N6853" t="s">
        <v>53</v>
      </c>
      <c r="O6853" t="s">
        <v>53</v>
      </c>
      <c r="P6853" t="s">
        <v>53</v>
      </c>
      <c r="Q6853" t="s">
        <v>53</v>
      </c>
    </row>
    <row r="6854" spans="1:17" x14ac:dyDescent="0.2">
      <c r="A6854" s="30" t="str">
        <f>IF(C6854&amp;G6854&amp;D6854&lt;&gt;'Funnel setup'!$K$3&amp;'Funnel setup'!$K$4&amp;'Funnel setup'!$K$5,".",IF(A6853=".",1,A6853+1))</f>
        <v>.</v>
      </c>
      <c r="B6854" s="431" t="str">
        <f t="shared" si="107"/>
        <v>Varicose VeinCCG of GP PracticeNHS SWINDON CCG (12D)EQ-5D Index</v>
      </c>
      <c r="C6854" t="s">
        <v>17</v>
      </c>
      <c r="D6854" t="s">
        <v>87</v>
      </c>
      <c r="E6854" t="s">
        <v>995</v>
      </c>
      <c r="F6854" t="s">
        <v>996</v>
      </c>
      <c r="G6854" t="s">
        <v>52</v>
      </c>
      <c r="H6854">
        <v>38</v>
      </c>
      <c r="I6854">
        <v>0.69599999999999995</v>
      </c>
      <c r="J6854">
        <v>0.84199999999999997</v>
      </c>
      <c r="K6854">
        <v>0.14499999999999999</v>
      </c>
      <c r="L6854">
        <v>20</v>
      </c>
      <c r="M6854">
        <v>13</v>
      </c>
      <c r="N6854">
        <v>5</v>
      </c>
      <c r="O6854">
        <v>0.84699999999999998</v>
      </c>
      <c r="P6854">
        <v>0.10050484899999999</v>
      </c>
      <c r="Q6854">
        <v>0.13900000000000001</v>
      </c>
    </row>
    <row r="6855" spans="1:17" x14ac:dyDescent="0.2">
      <c r="A6855" s="30" t="str">
        <f>IF(C6855&amp;G6855&amp;D6855&lt;&gt;'Funnel setup'!$K$3&amp;'Funnel setup'!$K$4&amp;'Funnel setup'!$K$5,".",IF(A6854=".",1,A6854+1))</f>
        <v>.</v>
      </c>
      <c r="B6855" s="431" t="str">
        <f t="shared" si="107"/>
        <v>Varicose VeinCCG of GP PracticeNHS TAMESIDE AND GLOSSOP CCG (01Y)EQ-5D Index</v>
      </c>
      <c r="C6855" t="s">
        <v>17</v>
      </c>
      <c r="D6855" t="s">
        <v>87</v>
      </c>
      <c r="E6855" t="s">
        <v>998</v>
      </c>
      <c r="F6855" t="s">
        <v>999</v>
      </c>
      <c r="G6855" t="s">
        <v>52</v>
      </c>
      <c r="H6855">
        <v>27</v>
      </c>
      <c r="I6855">
        <v>0.75800000000000001</v>
      </c>
      <c r="J6855">
        <v>0.76</v>
      </c>
      <c r="K6855">
        <v>3.0000000000000001E-3</v>
      </c>
      <c r="L6855">
        <v>8</v>
      </c>
      <c r="M6855">
        <v>12</v>
      </c>
      <c r="N6855">
        <v>7</v>
      </c>
      <c r="O6855" t="s">
        <v>53</v>
      </c>
      <c r="P6855" t="s">
        <v>53</v>
      </c>
      <c r="Q6855" t="s">
        <v>53</v>
      </c>
    </row>
    <row r="6856" spans="1:17" x14ac:dyDescent="0.2">
      <c r="A6856" s="30" t="str">
        <f>IF(C6856&amp;G6856&amp;D6856&lt;&gt;'Funnel setup'!$K$3&amp;'Funnel setup'!$K$4&amp;'Funnel setup'!$K$5,".",IF(A6855=".",1,A6855+1))</f>
        <v>.</v>
      </c>
      <c r="B6856" s="431" t="str">
        <f t="shared" si="107"/>
        <v>Varicose VeinCCG of GP PracticeNHS TELFORD AND WREKIN CCG (05X)EQ-5D Index</v>
      </c>
      <c r="C6856" t="s">
        <v>17</v>
      </c>
      <c r="D6856" t="s">
        <v>87</v>
      </c>
      <c r="E6856" t="s">
        <v>1001</v>
      </c>
      <c r="F6856" t="s">
        <v>1002</v>
      </c>
      <c r="G6856" t="s">
        <v>52</v>
      </c>
      <c r="H6856">
        <v>7</v>
      </c>
      <c r="I6856">
        <v>0.69199999999999995</v>
      </c>
      <c r="J6856">
        <v>0.90500000000000003</v>
      </c>
      <c r="K6856">
        <v>0.21299999999999999</v>
      </c>
      <c r="L6856">
        <v>5</v>
      </c>
      <c r="M6856">
        <v>0</v>
      </c>
      <c r="N6856">
        <v>2</v>
      </c>
      <c r="O6856" t="s">
        <v>53</v>
      </c>
      <c r="P6856" t="s">
        <v>53</v>
      </c>
      <c r="Q6856" t="s">
        <v>53</v>
      </c>
    </row>
    <row r="6857" spans="1:17" x14ac:dyDescent="0.2">
      <c r="A6857" s="30" t="str">
        <f>IF(C6857&amp;G6857&amp;D6857&lt;&gt;'Funnel setup'!$K$3&amp;'Funnel setup'!$K$4&amp;'Funnel setup'!$K$5,".",IF(A6856=".",1,A6856+1))</f>
        <v>.</v>
      </c>
      <c r="B6857" s="431" t="str">
        <f t="shared" si="107"/>
        <v>Varicose VeinCCG of GP PracticeNHS THURROCK CCG (07G)EQ-5D Index</v>
      </c>
      <c r="C6857" t="s">
        <v>17</v>
      </c>
      <c r="D6857" t="s">
        <v>87</v>
      </c>
      <c r="E6857" t="s">
        <v>1007</v>
      </c>
      <c r="F6857" t="s">
        <v>1008</v>
      </c>
      <c r="G6857" t="s">
        <v>52</v>
      </c>
      <c r="H6857" t="s">
        <v>53</v>
      </c>
      <c r="I6857" t="s">
        <v>53</v>
      </c>
      <c r="J6857" t="s">
        <v>53</v>
      </c>
      <c r="K6857" t="s">
        <v>53</v>
      </c>
      <c r="L6857" t="s">
        <v>53</v>
      </c>
      <c r="M6857" t="s">
        <v>53</v>
      </c>
      <c r="N6857" t="s">
        <v>53</v>
      </c>
      <c r="O6857" t="s">
        <v>53</v>
      </c>
      <c r="P6857" t="s">
        <v>53</v>
      </c>
      <c r="Q6857" t="s">
        <v>53</v>
      </c>
    </row>
    <row r="6858" spans="1:17" x14ac:dyDescent="0.2">
      <c r="A6858" s="30" t="str">
        <f>IF(C6858&amp;G6858&amp;D6858&lt;&gt;'Funnel setup'!$K$3&amp;'Funnel setup'!$K$4&amp;'Funnel setup'!$K$5,".",IF(A6857=".",1,A6857+1))</f>
        <v>.</v>
      </c>
      <c r="B6858" s="431" t="str">
        <f t="shared" si="107"/>
        <v>Varicose VeinCCG of GP PracticeNHS TOWER HAMLETS CCG (08V)EQ-5D Index</v>
      </c>
      <c r="C6858" t="s">
        <v>17</v>
      </c>
      <c r="D6858" t="s">
        <v>87</v>
      </c>
      <c r="E6858" t="s">
        <v>1010</v>
      </c>
      <c r="F6858" t="s">
        <v>1011</v>
      </c>
      <c r="G6858" t="s">
        <v>52</v>
      </c>
      <c r="H6858">
        <v>7</v>
      </c>
      <c r="I6858">
        <v>0.76100000000000001</v>
      </c>
      <c r="J6858">
        <v>0.94899999999999995</v>
      </c>
      <c r="K6858">
        <v>0.188</v>
      </c>
      <c r="L6858">
        <v>7</v>
      </c>
      <c r="M6858">
        <v>0</v>
      </c>
      <c r="N6858">
        <v>0</v>
      </c>
      <c r="O6858" t="s">
        <v>53</v>
      </c>
      <c r="P6858" t="s">
        <v>53</v>
      </c>
      <c r="Q6858" t="s">
        <v>53</v>
      </c>
    </row>
    <row r="6859" spans="1:17" x14ac:dyDescent="0.2">
      <c r="A6859" s="30" t="str">
        <f>IF(C6859&amp;G6859&amp;D6859&lt;&gt;'Funnel setup'!$K$3&amp;'Funnel setup'!$K$4&amp;'Funnel setup'!$K$5,".",IF(A6858=".",1,A6858+1))</f>
        <v>.</v>
      </c>
      <c r="B6859" s="431" t="str">
        <f t="shared" si="107"/>
        <v>Varicose VeinCCG of GP PracticeNHS TRAFFORD CCG (02A)EQ-5D Index</v>
      </c>
      <c r="C6859" t="s">
        <v>17</v>
      </c>
      <c r="D6859" t="s">
        <v>87</v>
      </c>
      <c r="E6859" t="s">
        <v>1013</v>
      </c>
      <c r="F6859" t="s">
        <v>1014</v>
      </c>
      <c r="G6859" t="s">
        <v>52</v>
      </c>
      <c r="H6859">
        <v>34</v>
      </c>
      <c r="I6859">
        <v>0.81200000000000006</v>
      </c>
      <c r="J6859">
        <v>0.92500000000000004</v>
      </c>
      <c r="K6859">
        <v>0.113</v>
      </c>
      <c r="L6859">
        <v>23</v>
      </c>
      <c r="M6859">
        <v>8</v>
      </c>
      <c r="N6859">
        <v>3</v>
      </c>
      <c r="O6859">
        <v>0.86</v>
      </c>
      <c r="P6859">
        <v>0.11347550100000001</v>
      </c>
      <c r="Q6859">
        <v>0.10100000000000001</v>
      </c>
    </row>
    <row r="6860" spans="1:17" x14ac:dyDescent="0.2">
      <c r="A6860" s="30" t="str">
        <f>IF(C6860&amp;G6860&amp;D6860&lt;&gt;'Funnel setup'!$K$3&amp;'Funnel setup'!$K$4&amp;'Funnel setup'!$K$5,".",IF(A6859=".",1,A6859+1))</f>
        <v>.</v>
      </c>
      <c r="B6860" s="431" t="str">
        <f t="shared" si="107"/>
        <v>Varicose VeinCCG of GP PracticeNHS VALE OF YORK CCG (03Q)EQ-5D Index</v>
      </c>
      <c r="C6860" t="s">
        <v>17</v>
      </c>
      <c r="D6860" t="s">
        <v>87</v>
      </c>
      <c r="E6860" t="s">
        <v>420</v>
      </c>
      <c r="F6860" t="s">
        <v>421</v>
      </c>
      <c r="G6860" t="s">
        <v>52</v>
      </c>
      <c r="H6860">
        <v>35</v>
      </c>
      <c r="I6860">
        <v>0.73499999999999999</v>
      </c>
      <c r="J6860">
        <v>0.84699999999999998</v>
      </c>
      <c r="K6860">
        <v>0.111</v>
      </c>
      <c r="L6860">
        <v>21</v>
      </c>
      <c r="M6860">
        <v>10</v>
      </c>
      <c r="N6860">
        <v>4</v>
      </c>
      <c r="O6860">
        <v>0.83</v>
      </c>
      <c r="P6860">
        <v>8.3360944000000006E-2</v>
      </c>
      <c r="Q6860">
        <v>0.17599999999999999</v>
      </c>
    </row>
    <row r="6861" spans="1:17" x14ac:dyDescent="0.2">
      <c r="A6861" s="30" t="str">
        <f>IF(C6861&amp;G6861&amp;D6861&lt;&gt;'Funnel setup'!$K$3&amp;'Funnel setup'!$K$4&amp;'Funnel setup'!$K$5,".",IF(A6860=".",1,A6860+1))</f>
        <v>.</v>
      </c>
      <c r="B6861" s="431" t="str">
        <f t="shared" si="107"/>
        <v>Varicose VeinCCG of GP PracticeNHS VALE ROYAL CCG (02D)EQ-5D Index</v>
      </c>
      <c r="C6861" t="s">
        <v>17</v>
      </c>
      <c r="D6861" t="s">
        <v>87</v>
      </c>
      <c r="E6861" t="s">
        <v>423</v>
      </c>
      <c r="F6861" t="s">
        <v>424</v>
      </c>
      <c r="G6861" t="s">
        <v>52</v>
      </c>
      <c r="H6861" t="s">
        <v>53</v>
      </c>
      <c r="I6861" t="s">
        <v>53</v>
      </c>
      <c r="J6861" t="s">
        <v>53</v>
      </c>
      <c r="K6861" t="s">
        <v>53</v>
      </c>
      <c r="L6861" t="s">
        <v>53</v>
      </c>
      <c r="M6861" t="s">
        <v>53</v>
      </c>
      <c r="N6861" t="s">
        <v>53</v>
      </c>
      <c r="O6861" t="s">
        <v>53</v>
      </c>
      <c r="P6861" t="s">
        <v>53</v>
      </c>
      <c r="Q6861" t="s">
        <v>53</v>
      </c>
    </row>
    <row r="6862" spans="1:17" x14ac:dyDescent="0.2">
      <c r="A6862" s="30" t="str">
        <f>IF(C6862&amp;G6862&amp;D6862&lt;&gt;'Funnel setup'!$K$3&amp;'Funnel setup'!$K$4&amp;'Funnel setup'!$K$5,".",IF(A6861=".",1,A6861+1))</f>
        <v>.</v>
      </c>
      <c r="B6862" s="431" t="str">
        <f t="shared" si="107"/>
        <v>Varicose VeinCCG of GP PracticeNHS WAKEFIELD CCG (03R)EQ-5D Index</v>
      </c>
      <c r="C6862" t="s">
        <v>17</v>
      </c>
      <c r="D6862" t="s">
        <v>87</v>
      </c>
      <c r="E6862" t="s">
        <v>426</v>
      </c>
      <c r="F6862" t="s">
        <v>427</v>
      </c>
      <c r="G6862" t="s">
        <v>52</v>
      </c>
      <c r="H6862">
        <v>78</v>
      </c>
      <c r="I6862">
        <v>0.75700000000000001</v>
      </c>
      <c r="J6862">
        <v>0.86699999999999999</v>
      </c>
      <c r="K6862">
        <v>0.11</v>
      </c>
      <c r="L6862">
        <v>40</v>
      </c>
      <c r="M6862">
        <v>24</v>
      </c>
      <c r="N6862">
        <v>14</v>
      </c>
      <c r="O6862">
        <v>0.86799999999999999</v>
      </c>
      <c r="P6862">
        <v>0.12126724699999999</v>
      </c>
      <c r="Q6862">
        <v>0.17399999999999999</v>
      </c>
    </row>
    <row r="6863" spans="1:17" x14ac:dyDescent="0.2">
      <c r="A6863" s="30" t="str">
        <f>IF(C6863&amp;G6863&amp;D6863&lt;&gt;'Funnel setup'!$K$3&amp;'Funnel setup'!$K$4&amp;'Funnel setup'!$K$5,".",IF(A6862=".",1,A6862+1))</f>
        <v>.</v>
      </c>
      <c r="B6863" s="431" t="str">
        <f t="shared" si="107"/>
        <v>Varicose VeinCCG of GP PracticeNHS WALSALL CCG (05Y)EQ-5D Index</v>
      </c>
      <c r="C6863" t="s">
        <v>17</v>
      </c>
      <c r="D6863" t="s">
        <v>87</v>
      </c>
      <c r="E6863" t="s">
        <v>429</v>
      </c>
      <c r="F6863" t="s">
        <v>430</v>
      </c>
      <c r="G6863" t="s">
        <v>52</v>
      </c>
      <c r="H6863">
        <v>32</v>
      </c>
      <c r="I6863">
        <v>0.72099999999999997</v>
      </c>
      <c r="J6863">
        <v>0.77700000000000002</v>
      </c>
      <c r="K6863">
        <v>5.6000000000000001E-2</v>
      </c>
      <c r="L6863">
        <v>18</v>
      </c>
      <c r="M6863">
        <v>5</v>
      </c>
      <c r="N6863">
        <v>9</v>
      </c>
      <c r="O6863">
        <v>0.79600000000000004</v>
      </c>
      <c r="P6863">
        <v>4.9343203000000002E-2</v>
      </c>
      <c r="Q6863">
        <v>0.23</v>
      </c>
    </row>
    <row r="6864" spans="1:17" x14ac:dyDescent="0.2">
      <c r="A6864" s="30" t="str">
        <f>IF(C6864&amp;G6864&amp;D6864&lt;&gt;'Funnel setup'!$K$3&amp;'Funnel setup'!$K$4&amp;'Funnel setup'!$K$5,".",IF(A6863=".",1,A6863+1))</f>
        <v>.</v>
      </c>
      <c r="B6864" s="431" t="str">
        <f t="shared" si="107"/>
        <v>Varicose VeinCCG of GP PracticeNHS WALTHAM FOREST CCG (08W)EQ-5D Index</v>
      </c>
      <c r="C6864" t="s">
        <v>17</v>
      </c>
      <c r="D6864" t="s">
        <v>87</v>
      </c>
      <c r="E6864" t="s">
        <v>432</v>
      </c>
      <c r="F6864" t="s">
        <v>433</v>
      </c>
      <c r="G6864" t="s">
        <v>52</v>
      </c>
      <c r="H6864">
        <v>14</v>
      </c>
      <c r="I6864">
        <v>0.68799999999999994</v>
      </c>
      <c r="J6864">
        <v>0.83399999999999996</v>
      </c>
      <c r="K6864">
        <v>0.14699999999999999</v>
      </c>
      <c r="L6864">
        <v>10</v>
      </c>
      <c r="M6864">
        <v>4</v>
      </c>
      <c r="N6864">
        <v>0</v>
      </c>
      <c r="O6864" t="s">
        <v>53</v>
      </c>
      <c r="P6864" t="s">
        <v>53</v>
      </c>
      <c r="Q6864" t="s">
        <v>53</v>
      </c>
    </row>
    <row r="6865" spans="1:17" x14ac:dyDescent="0.2">
      <c r="A6865" s="30" t="str">
        <f>IF(C6865&amp;G6865&amp;D6865&lt;&gt;'Funnel setup'!$K$3&amp;'Funnel setup'!$K$4&amp;'Funnel setup'!$K$5,".",IF(A6864=".",1,A6864+1))</f>
        <v>.</v>
      </c>
      <c r="B6865" s="431" t="str">
        <f t="shared" si="107"/>
        <v>Varicose VeinCCG of GP PracticeNHS WANDSWORTH CCG (08X)EQ-5D Index</v>
      </c>
      <c r="C6865" t="s">
        <v>17</v>
      </c>
      <c r="D6865" t="s">
        <v>87</v>
      </c>
      <c r="E6865" t="s">
        <v>435</v>
      </c>
      <c r="F6865" t="s">
        <v>436</v>
      </c>
      <c r="G6865" t="s">
        <v>52</v>
      </c>
      <c r="H6865">
        <v>30</v>
      </c>
      <c r="I6865">
        <v>0.745</v>
      </c>
      <c r="J6865">
        <v>0.76300000000000001</v>
      </c>
      <c r="K6865">
        <v>1.7999999999999999E-2</v>
      </c>
      <c r="L6865">
        <v>11</v>
      </c>
      <c r="M6865">
        <v>11</v>
      </c>
      <c r="N6865">
        <v>8</v>
      </c>
      <c r="O6865">
        <v>0.76300000000000001</v>
      </c>
      <c r="P6865">
        <v>1.5938564999999998E-2</v>
      </c>
      <c r="Q6865">
        <v>0.19800000000000001</v>
      </c>
    </row>
    <row r="6866" spans="1:17" x14ac:dyDescent="0.2">
      <c r="A6866" s="30" t="str">
        <f>IF(C6866&amp;G6866&amp;D6866&lt;&gt;'Funnel setup'!$K$3&amp;'Funnel setup'!$K$4&amp;'Funnel setup'!$K$5,".",IF(A6865=".",1,A6865+1))</f>
        <v>.</v>
      </c>
      <c r="B6866" s="431" t="str">
        <f t="shared" si="107"/>
        <v>Varicose VeinCCG of GP PracticeNHS WARRINGTON CCG (02E)EQ-5D Index</v>
      </c>
      <c r="C6866" t="s">
        <v>17</v>
      </c>
      <c r="D6866" t="s">
        <v>87</v>
      </c>
      <c r="E6866" t="s">
        <v>441</v>
      </c>
      <c r="F6866" t="s">
        <v>442</v>
      </c>
      <c r="G6866" t="s">
        <v>52</v>
      </c>
      <c r="H6866" t="s">
        <v>53</v>
      </c>
      <c r="I6866" t="s">
        <v>53</v>
      </c>
      <c r="J6866" t="s">
        <v>53</v>
      </c>
      <c r="K6866" t="s">
        <v>53</v>
      </c>
      <c r="L6866" t="s">
        <v>53</v>
      </c>
      <c r="M6866" t="s">
        <v>53</v>
      </c>
      <c r="N6866" t="s">
        <v>53</v>
      </c>
      <c r="O6866" t="s">
        <v>53</v>
      </c>
      <c r="P6866" t="s">
        <v>53</v>
      </c>
      <c r="Q6866" t="s">
        <v>53</v>
      </c>
    </row>
    <row r="6867" spans="1:17" x14ac:dyDescent="0.2">
      <c r="A6867" s="30" t="str">
        <f>IF(C6867&amp;G6867&amp;D6867&lt;&gt;'Funnel setup'!$K$3&amp;'Funnel setup'!$K$4&amp;'Funnel setup'!$K$5,".",IF(A6866=".",1,A6866+1))</f>
        <v>.</v>
      </c>
      <c r="B6867" s="431" t="str">
        <f t="shared" si="107"/>
        <v>Varicose VeinCCG of GP PracticeNHS WARWICKSHIRE NORTH CCG (05H)EQ-5D Index</v>
      </c>
      <c r="C6867" t="s">
        <v>17</v>
      </c>
      <c r="D6867" t="s">
        <v>87</v>
      </c>
      <c r="E6867" t="s">
        <v>438</v>
      </c>
      <c r="F6867" t="s">
        <v>439</v>
      </c>
      <c r="G6867" t="s">
        <v>52</v>
      </c>
      <c r="H6867">
        <v>7</v>
      </c>
      <c r="I6867">
        <v>0.69299999999999995</v>
      </c>
      <c r="J6867">
        <v>0.73099999999999998</v>
      </c>
      <c r="K6867">
        <v>3.7999999999999999E-2</v>
      </c>
      <c r="L6867">
        <v>4</v>
      </c>
      <c r="M6867">
        <v>1</v>
      </c>
      <c r="N6867">
        <v>2</v>
      </c>
      <c r="O6867" t="s">
        <v>53</v>
      </c>
      <c r="P6867" t="s">
        <v>53</v>
      </c>
      <c r="Q6867" t="s">
        <v>53</v>
      </c>
    </row>
    <row r="6868" spans="1:17" x14ac:dyDescent="0.2">
      <c r="A6868" s="30" t="str">
        <f>IF(C6868&amp;G6868&amp;D6868&lt;&gt;'Funnel setup'!$K$3&amp;'Funnel setup'!$K$4&amp;'Funnel setup'!$K$5,".",IF(A6867=".",1,A6867+1))</f>
        <v>.</v>
      </c>
      <c r="B6868" s="431" t="str">
        <f t="shared" si="107"/>
        <v>Varicose VeinCCG of GP PracticeNHS WEST CHESHIRE CCG (02F)EQ-5D Index</v>
      </c>
      <c r="C6868" t="s">
        <v>17</v>
      </c>
      <c r="D6868" t="s">
        <v>87</v>
      </c>
      <c r="E6868" t="s">
        <v>402</v>
      </c>
      <c r="F6868" t="s">
        <v>403</v>
      </c>
      <c r="G6868" t="s">
        <v>52</v>
      </c>
      <c r="H6868">
        <v>28</v>
      </c>
      <c r="I6868">
        <v>0.74299999999999999</v>
      </c>
      <c r="J6868">
        <v>0.9</v>
      </c>
      <c r="K6868">
        <v>0.157</v>
      </c>
      <c r="L6868">
        <v>15</v>
      </c>
      <c r="M6868">
        <v>10</v>
      </c>
      <c r="N6868">
        <v>3</v>
      </c>
      <c r="O6868" t="s">
        <v>53</v>
      </c>
      <c r="P6868" t="s">
        <v>53</v>
      </c>
      <c r="Q6868" t="s">
        <v>53</v>
      </c>
    </row>
    <row r="6869" spans="1:17" x14ac:dyDescent="0.2">
      <c r="A6869" s="30" t="str">
        <f>IF(C6869&amp;G6869&amp;D6869&lt;&gt;'Funnel setup'!$K$3&amp;'Funnel setup'!$K$4&amp;'Funnel setup'!$K$5,".",IF(A6868=".",1,A6868+1))</f>
        <v>.</v>
      </c>
      <c r="B6869" s="431" t="str">
        <f t="shared" si="107"/>
        <v>Varicose VeinCCG of GP PracticeNHS WEST ESSEX CCG (07H)EQ-5D Index</v>
      </c>
      <c r="C6869" t="s">
        <v>17</v>
      </c>
      <c r="D6869" t="s">
        <v>87</v>
      </c>
      <c r="E6869" t="s">
        <v>405</v>
      </c>
      <c r="F6869" t="s">
        <v>406</v>
      </c>
      <c r="G6869" t="s">
        <v>52</v>
      </c>
      <c r="H6869">
        <v>15</v>
      </c>
      <c r="I6869">
        <v>0.66600000000000004</v>
      </c>
      <c r="J6869">
        <v>0.81799999999999995</v>
      </c>
      <c r="K6869">
        <v>0.152</v>
      </c>
      <c r="L6869">
        <v>7</v>
      </c>
      <c r="M6869">
        <v>6</v>
      </c>
      <c r="N6869">
        <v>2</v>
      </c>
      <c r="O6869" t="s">
        <v>53</v>
      </c>
      <c r="P6869" t="s">
        <v>53</v>
      </c>
      <c r="Q6869" t="s">
        <v>53</v>
      </c>
    </row>
    <row r="6870" spans="1:17" x14ac:dyDescent="0.2">
      <c r="A6870" s="30" t="str">
        <f>IF(C6870&amp;G6870&amp;D6870&lt;&gt;'Funnel setup'!$K$3&amp;'Funnel setup'!$K$4&amp;'Funnel setup'!$K$5,".",IF(A6869=".",1,A6869+1))</f>
        <v>.</v>
      </c>
      <c r="B6870" s="431" t="str">
        <f t="shared" si="107"/>
        <v>Varicose VeinCCG of GP PracticeNHS WEST HAMPSHIRE CCG (11A)EQ-5D Index</v>
      </c>
      <c r="C6870" t="s">
        <v>17</v>
      </c>
      <c r="D6870" t="s">
        <v>87</v>
      </c>
      <c r="E6870" t="s">
        <v>444</v>
      </c>
      <c r="F6870" t="s">
        <v>445</v>
      </c>
      <c r="G6870" t="s">
        <v>52</v>
      </c>
      <c r="H6870">
        <v>11</v>
      </c>
      <c r="I6870">
        <v>0.871</v>
      </c>
      <c r="J6870">
        <v>0.87</v>
      </c>
      <c r="K6870">
        <v>-2E-3</v>
      </c>
      <c r="L6870">
        <v>4</v>
      </c>
      <c r="M6870">
        <v>4</v>
      </c>
      <c r="N6870">
        <v>3</v>
      </c>
      <c r="O6870" t="s">
        <v>53</v>
      </c>
      <c r="P6870" t="s">
        <v>53</v>
      </c>
      <c r="Q6870" t="s">
        <v>53</v>
      </c>
    </row>
    <row r="6871" spans="1:17" x14ac:dyDescent="0.2">
      <c r="A6871" s="30" t="str">
        <f>IF(C6871&amp;G6871&amp;D6871&lt;&gt;'Funnel setup'!$K$3&amp;'Funnel setup'!$K$4&amp;'Funnel setup'!$K$5,".",IF(A6870=".",1,A6870+1))</f>
        <v>.</v>
      </c>
      <c r="B6871" s="431" t="str">
        <f t="shared" si="107"/>
        <v>Varicose VeinCCG of GP PracticeNHS WEST KENT CCG (99J)EQ-5D Index</v>
      </c>
      <c r="C6871" t="s">
        <v>17</v>
      </c>
      <c r="D6871" t="s">
        <v>87</v>
      </c>
      <c r="E6871" t="s">
        <v>447</v>
      </c>
      <c r="F6871" t="s">
        <v>448</v>
      </c>
      <c r="G6871" t="s">
        <v>52</v>
      </c>
      <c r="H6871" t="s">
        <v>53</v>
      </c>
      <c r="I6871" t="s">
        <v>53</v>
      </c>
      <c r="J6871" t="s">
        <v>53</v>
      </c>
      <c r="K6871" t="s">
        <v>53</v>
      </c>
      <c r="L6871" t="s">
        <v>53</v>
      </c>
      <c r="M6871" t="s">
        <v>53</v>
      </c>
      <c r="N6871" t="s">
        <v>53</v>
      </c>
      <c r="O6871" t="s">
        <v>53</v>
      </c>
      <c r="P6871" t="s">
        <v>53</v>
      </c>
      <c r="Q6871" t="s">
        <v>53</v>
      </c>
    </row>
    <row r="6872" spans="1:17" x14ac:dyDescent="0.2">
      <c r="A6872" s="30" t="str">
        <f>IF(C6872&amp;G6872&amp;D6872&lt;&gt;'Funnel setup'!$K$3&amp;'Funnel setup'!$K$4&amp;'Funnel setup'!$K$5,".",IF(A6871=".",1,A6871+1))</f>
        <v>.</v>
      </c>
      <c r="B6872" s="431" t="str">
        <f t="shared" si="107"/>
        <v>Varicose VeinCCG of GP PracticeNHS WEST LANCASHIRE CCG (02G)EQ-5D Index</v>
      </c>
      <c r="C6872" t="s">
        <v>17</v>
      </c>
      <c r="D6872" t="s">
        <v>87</v>
      </c>
      <c r="E6872" t="s">
        <v>450</v>
      </c>
      <c r="F6872" t="s">
        <v>451</v>
      </c>
      <c r="G6872" t="s">
        <v>52</v>
      </c>
      <c r="H6872">
        <v>24</v>
      </c>
      <c r="I6872">
        <v>0.78400000000000003</v>
      </c>
      <c r="J6872">
        <v>0.79</v>
      </c>
      <c r="K6872">
        <v>6.0000000000000001E-3</v>
      </c>
      <c r="L6872">
        <v>9</v>
      </c>
      <c r="M6872">
        <v>8</v>
      </c>
      <c r="N6872">
        <v>7</v>
      </c>
      <c r="O6872" t="s">
        <v>53</v>
      </c>
      <c r="P6872" t="s">
        <v>53</v>
      </c>
      <c r="Q6872" t="s">
        <v>53</v>
      </c>
    </row>
    <row r="6873" spans="1:17" x14ac:dyDescent="0.2">
      <c r="A6873" s="30" t="str">
        <f>IF(C6873&amp;G6873&amp;D6873&lt;&gt;'Funnel setup'!$K$3&amp;'Funnel setup'!$K$4&amp;'Funnel setup'!$K$5,".",IF(A6872=".",1,A6872+1))</f>
        <v>.</v>
      </c>
      <c r="B6873" s="431" t="str">
        <f t="shared" si="107"/>
        <v>Varicose VeinCCG of GP PracticeNHS WEST LEICESTERSHIRE CCG (04V)EQ-5D Index</v>
      </c>
      <c r="C6873" t="s">
        <v>17</v>
      </c>
      <c r="D6873" t="s">
        <v>87</v>
      </c>
      <c r="E6873" t="s">
        <v>453</v>
      </c>
      <c r="F6873" t="s">
        <v>454</v>
      </c>
      <c r="G6873" t="s">
        <v>52</v>
      </c>
      <c r="H6873">
        <v>20</v>
      </c>
      <c r="I6873">
        <v>0.72699999999999998</v>
      </c>
      <c r="J6873">
        <v>0.755</v>
      </c>
      <c r="K6873">
        <v>2.8000000000000001E-2</v>
      </c>
      <c r="L6873">
        <v>10</v>
      </c>
      <c r="M6873">
        <v>4</v>
      </c>
      <c r="N6873">
        <v>6</v>
      </c>
      <c r="O6873" t="s">
        <v>53</v>
      </c>
      <c r="P6873" t="s">
        <v>53</v>
      </c>
      <c r="Q6873" t="s">
        <v>53</v>
      </c>
    </row>
    <row r="6874" spans="1:17" x14ac:dyDescent="0.2">
      <c r="A6874" s="30" t="str">
        <f>IF(C6874&amp;G6874&amp;D6874&lt;&gt;'Funnel setup'!$K$3&amp;'Funnel setup'!$K$4&amp;'Funnel setup'!$K$5,".",IF(A6873=".",1,A6873+1))</f>
        <v>.</v>
      </c>
      <c r="B6874" s="431" t="str">
        <f t="shared" si="107"/>
        <v>Varicose VeinCCG of GP PracticeNHS WEST LONDON CCG (08Y)EQ-5D Index</v>
      </c>
      <c r="C6874" t="s">
        <v>17</v>
      </c>
      <c r="D6874" t="s">
        <v>87</v>
      </c>
      <c r="E6874" t="s">
        <v>456</v>
      </c>
      <c r="F6874" t="s">
        <v>457</v>
      </c>
      <c r="G6874" t="s">
        <v>52</v>
      </c>
      <c r="H6874">
        <v>17</v>
      </c>
      <c r="I6874">
        <v>0.77600000000000002</v>
      </c>
      <c r="J6874">
        <v>0.87</v>
      </c>
      <c r="K6874">
        <v>9.4E-2</v>
      </c>
      <c r="L6874">
        <v>12</v>
      </c>
      <c r="M6874">
        <v>4</v>
      </c>
      <c r="N6874">
        <v>1</v>
      </c>
      <c r="O6874" t="s">
        <v>53</v>
      </c>
      <c r="P6874" t="s">
        <v>53</v>
      </c>
      <c r="Q6874" t="s">
        <v>53</v>
      </c>
    </row>
    <row r="6875" spans="1:17" x14ac:dyDescent="0.2">
      <c r="A6875" s="30" t="str">
        <f>IF(C6875&amp;G6875&amp;D6875&lt;&gt;'Funnel setup'!$K$3&amp;'Funnel setup'!$K$4&amp;'Funnel setup'!$K$5,".",IF(A6874=".",1,A6874+1))</f>
        <v>.</v>
      </c>
      <c r="B6875" s="431" t="str">
        <f t="shared" si="107"/>
        <v>Varicose VeinCCG of GP PracticeNHS WEST NORFOLK CCG (07J)EQ-5D Index</v>
      </c>
      <c r="C6875" t="s">
        <v>17</v>
      </c>
      <c r="D6875" t="s">
        <v>87</v>
      </c>
      <c r="E6875" t="s">
        <v>459</v>
      </c>
      <c r="F6875" t="s">
        <v>460</v>
      </c>
      <c r="G6875" t="s">
        <v>52</v>
      </c>
      <c r="H6875">
        <v>17</v>
      </c>
      <c r="I6875">
        <v>0.70699999999999996</v>
      </c>
      <c r="J6875">
        <v>0.88500000000000001</v>
      </c>
      <c r="K6875">
        <v>0.17799999999999999</v>
      </c>
      <c r="L6875">
        <v>10</v>
      </c>
      <c r="M6875">
        <v>3</v>
      </c>
      <c r="N6875">
        <v>4</v>
      </c>
      <c r="O6875" t="s">
        <v>53</v>
      </c>
      <c r="P6875" t="s">
        <v>53</v>
      </c>
      <c r="Q6875" t="s">
        <v>53</v>
      </c>
    </row>
    <row r="6876" spans="1:17" x14ac:dyDescent="0.2">
      <c r="A6876" s="30" t="str">
        <f>IF(C6876&amp;G6876&amp;D6876&lt;&gt;'Funnel setup'!$K$3&amp;'Funnel setup'!$K$4&amp;'Funnel setup'!$K$5,".",IF(A6875=".",1,A6875+1))</f>
        <v>.</v>
      </c>
      <c r="B6876" s="431" t="str">
        <f t="shared" si="107"/>
        <v>Varicose VeinCCG of GP PracticeNHS WEST SUFFOLK CCG (07K)EQ-5D Index</v>
      </c>
      <c r="C6876" t="s">
        <v>17</v>
      </c>
      <c r="D6876" t="s">
        <v>87</v>
      </c>
      <c r="E6876" t="s">
        <v>462</v>
      </c>
      <c r="F6876" t="s">
        <v>463</v>
      </c>
      <c r="G6876" t="s">
        <v>52</v>
      </c>
      <c r="H6876">
        <v>28</v>
      </c>
      <c r="I6876">
        <v>0.79</v>
      </c>
      <c r="J6876">
        <v>0.84599999999999997</v>
      </c>
      <c r="K6876">
        <v>5.6000000000000001E-2</v>
      </c>
      <c r="L6876">
        <v>13</v>
      </c>
      <c r="M6876">
        <v>12</v>
      </c>
      <c r="N6876">
        <v>3</v>
      </c>
      <c r="O6876" t="s">
        <v>53</v>
      </c>
      <c r="P6876" t="s">
        <v>53</v>
      </c>
      <c r="Q6876" t="s">
        <v>53</v>
      </c>
    </row>
    <row r="6877" spans="1:17" x14ac:dyDescent="0.2">
      <c r="A6877" s="30" t="str">
        <f>IF(C6877&amp;G6877&amp;D6877&lt;&gt;'Funnel setup'!$K$3&amp;'Funnel setup'!$K$4&amp;'Funnel setup'!$K$5,".",IF(A6876=".",1,A6876+1))</f>
        <v>.</v>
      </c>
      <c r="B6877" s="431" t="str">
        <f t="shared" si="107"/>
        <v>Varicose VeinCCG of GP PracticeNHS WIGAN BOROUGH CCG (02H)EQ-5D Index</v>
      </c>
      <c r="C6877" t="s">
        <v>17</v>
      </c>
      <c r="D6877" t="s">
        <v>87</v>
      </c>
      <c r="E6877" t="s">
        <v>465</v>
      </c>
      <c r="F6877" t="s">
        <v>466</v>
      </c>
      <c r="G6877" t="s">
        <v>52</v>
      </c>
      <c r="H6877">
        <v>13</v>
      </c>
      <c r="I6877">
        <v>0.77700000000000002</v>
      </c>
      <c r="J6877">
        <v>0.83699999999999997</v>
      </c>
      <c r="K6877">
        <v>0.06</v>
      </c>
      <c r="L6877">
        <v>5</v>
      </c>
      <c r="M6877">
        <v>4</v>
      </c>
      <c r="N6877">
        <v>4</v>
      </c>
      <c r="O6877" t="s">
        <v>53</v>
      </c>
      <c r="P6877" t="s">
        <v>53</v>
      </c>
      <c r="Q6877" t="s">
        <v>53</v>
      </c>
    </row>
    <row r="6878" spans="1:17" x14ac:dyDescent="0.2">
      <c r="A6878" s="30" t="str">
        <f>IF(C6878&amp;G6878&amp;D6878&lt;&gt;'Funnel setup'!$K$3&amp;'Funnel setup'!$K$4&amp;'Funnel setup'!$K$5,".",IF(A6877=".",1,A6877+1))</f>
        <v>.</v>
      </c>
      <c r="B6878" s="431" t="str">
        <f t="shared" si="107"/>
        <v>Varicose VeinCCG of GP PracticeNHS WILTSHIRE CCG (99N)EQ-5D Index</v>
      </c>
      <c r="C6878" t="s">
        <v>17</v>
      </c>
      <c r="D6878" t="s">
        <v>87</v>
      </c>
      <c r="E6878" t="s">
        <v>468</v>
      </c>
      <c r="F6878" t="s">
        <v>469</v>
      </c>
      <c r="G6878" t="s">
        <v>52</v>
      </c>
      <c r="H6878">
        <v>48</v>
      </c>
      <c r="I6878">
        <v>0.71399999999999997</v>
      </c>
      <c r="J6878">
        <v>0.85</v>
      </c>
      <c r="K6878">
        <v>0.13600000000000001</v>
      </c>
      <c r="L6878">
        <v>33</v>
      </c>
      <c r="M6878">
        <v>9</v>
      </c>
      <c r="N6878">
        <v>6</v>
      </c>
      <c r="O6878">
        <v>0.876</v>
      </c>
      <c r="P6878">
        <v>0.128872134</v>
      </c>
      <c r="Q6878">
        <v>0.121</v>
      </c>
    </row>
    <row r="6879" spans="1:17" x14ac:dyDescent="0.2">
      <c r="A6879" s="30" t="str">
        <f>IF(C6879&amp;G6879&amp;D6879&lt;&gt;'Funnel setup'!$K$3&amp;'Funnel setup'!$K$4&amp;'Funnel setup'!$K$5,".",IF(A6878=".",1,A6878+1))</f>
        <v>.</v>
      </c>
      <c r="B6879" s="431" t="str">
        <f t="shared" si="107"/>
        <v>Varicose VeinCCG of GP PracticeNHS WIRRAL CCG (12F)EQ-5D Index</v>
      </c>
      <c r="C6879" t="s">
        <v>17</v>
      </c>
      <c r="D6879" t="s">
        <v>87</v>
      </c>
      <c r="E6879" t="s">
        <v>474</v>
      </c>
      <c r="F6879" t="s">
        <v>475</v>
      </c>
      <c r="G6879" t="s">
        <v>52</v>
      </c>
      <c r="H6879">
        <v>48</v>
      </c>
      <c r="I6879">
        <v>0.68400000000000005</v>
      </c>
      <c r="J6879">
        <v>0.80400000000000005</v>
      </c>
      <c r="K6879">
        <v>0.12</v>
      </c>
      <c r="L6879">
        <v>25</v>
      </c>
      <c r="M6879">
        <v>18</v>
      </c>
      <c r="N6879">
        <v>5</v>
      </c>
      <c r="O6879">
        <v>0.82699999999999996</v>
      </c>
      <c r="P6879">
        <v>8.0320581000000002E-2</v>
      </c>
      <c r="Q6879">
        <v>0.223</v>
      </c>
    </row>
    <row r="6880" spans="1:17" x14ac:dyDescent="0.2">
      <c r="A6880" s="30" t="str">
        <f>IF(C6880&amp;G6880&amp;D6880&lt;&gt;'Funnel setup'!$K$3&amp;'Funnel setup'!$K$4&amp;'Funnel setup'!$K$5,".",IF(A6879=".",1,A6879+1))</f>
        <v>.</v>
      </c>
      <c r="B6880" s="431" t="str">
        <f t="shared" si="107"/>
        <v>Varicose VeinCCG of GP PracticeNHS WOKINGHAM CCG (11D)EQ-5D Index</v>
      </c>
      <c r="C6880" t="s">
        <v>17</v>
      </c>
      <c r="D6880" t="s">
        <v>87</v>
      </c>
      <c r="E6880" t="s">
        <v>477</v>
      </c>
      <c r="F6880" t="s">
        <v>478</v>
      </c>
      <c r="G6880" t="s">
        <v>52</v>
      </c>
      <c r="H6880" t="s">
        <v>53</v>
      </c>
      <c r="I6880" t="s">
        <v>53</v>
      </c>
      <c r="J6880" t="s">
        <v>53</v>
      </c>
      <c r="K6880" t="s">
        <v>53</v>
      </c>
      <c r="L6880" t="s">
        <v>53</v>
      </c>
      <c r="M6880" t="s">
        <v>53</v>
      </c>
      <c r="N6880" t="s">
        <v>53</v>
      </c>
      <c r="O6880" t="s">
        <v>53</v>
      </c>
      <c r="P6880" t="s">
        <v>53</v>
      </c>
      <c r="Q6880" t="s">
        <v>53</v>
      </c>
    </row>
    <row r="6881" spans="1:17" x14ac:dyDescent="0.2">
      <c r="A6881" s="30" t="str">
        <f>IF(C6881&amp;G6881&amp;D6881&lt;&gt;'Funnel setup'!$K$3&amp;'Funnel setup'!$K$4&amp;'Funnel setup'!$K$5,".",IF(A6880=".",1,A6880+1))</f>
        <v>.</v>
      </c>
      <c r="B6881" s="431" t="str">
        <f t="shared" si="107"/>
        <v>Varicose VeinCCG of GP PracticeNHS WOLVERHAMPTON CCG (06A)EQ-5D Index</v>
      </c>
      <c r="C6881" t="s">
        <v>17</v>
      </c>
      <c r="D6881" t="s">
        <v>87</v>
      </c>
      <c r="E6881" t="s">
        <v>480</v>
      </c>
      <c r="F6881" t="s">
        <v>481</v>
      </c>
      <c r="G6881" t="s">
        <v>52</v>
      </c>
      <c r="H6881">
        <v>38</v>
      </c>
      <c r="I6881">
        <v>0.70899999999999996</v>
      </c>
      <c r="J6881">
        <v>0.85699999999999998</v>
      </c>
      <c r="K6881">
        <v>0.14799999999999999</v>
      </c>
      <c r="L6881">
        <v>25</v>
      </c>
      <c r="M6881">
        <v>9</v>
      </c>
      <c r="N6881">
        <v>4</v>
      </c>
      <c r="O6881">
        <v>0.89</v>
      </c>
      <c r="P6881">
        <v>0.14355052300000001</v>
      </c>
      <c r="Q6881">
        <v>0.2</v>
      </c>
    </row>
    <row r="6882" spans="1:17" x14ac:dyDescent="0.2">
      <c r="A6882" s="30" t="str">
        <f>IF(C6882&amp;G6882&amp;D6882&lt;&gt;'Funnel setup'!$K$3&amp;'Funnel setup'!$K$4&amp;'Funnel setup'!$K$5,".",IF(A6881=".",1,A6881+1))</f>
        <v>.</v>
      </c>
      <c r="B6882" s="431" t="str">
        <f t="shared" si="107"/>
        <v>Varicose VeinCCG of GP PracticeNHS WYRE FOREST CCG (06D)EQ-5D Index</v>
      </c>
      <c r="C6882" t="s">
        <v>17</v>
      </c>
      <c r="D6882" t="s">
        <v>87</v>
      </c>
      <c r="E6882" t="s">
        <v>483</v>
      </c>
      <c r="F6882" t="s">
        <v>484</v>
      </c>
      <c r="G6882" t="s">
        <v>52</v>
      </c>
      <c r="H6882" t="s">
        <v>53</v>
      </c>
      <c r="I6882" t="s">
        <v>53</v>
      </c>
      <c r="J6882" t="s">
        <v>53</v>
      </c>
      <c r="K6882" t="s">
        <v>53</v>
      </c>
      <c r="L6882" t="s">
        <v>53</v>
      </c>
      <c r="M6882" t="s">
        <v>53</v>
      </c>
      <c r="N6882" t="s">
        <v>53</v>
      </c>
      <c r="O6882" t="s">
        <v>53</v>
      </c>
      <c r="P6882" t="s">
        <v>53</v>
      </c>
      <c r="Q6882" t="s">
        <v>53</v>
      </c>
    </row>
    <row r="6883" spans="1:17" x14ac:dyDescent="0.2">
      <c r="A6883" s="30" t="str">
        <f>IF(C6883&amp;G6883&amp;D6883&lt;&gt;'Funnel setup'!$K$3&amp;'Funnel setup'!$K$4&amp;'Funnel setup'!$K$5,".",IF(A6882=".",1,A6882+1))</f>
        <v>.</v>
      </c>
      <c r="B6883" s="431" t="str">
        <f t="shared" si="107"/>
        <v>Varicose VeinEnglandEnglandAberdeen Varicose Vein Questionnaire</v>
      </c>
      <c r="C6883" t="s">
        <v>17</v>
      </c>
      <c r="D6883" t="s">
        <v>163</v>
      </c>
      <c r="E6883" t="s">
        <v>163</v>
      </c>
      <c r="F6883" t="s">
        <v>163</v>
      </c>
      <c r="G6883" t="s">
        <v>0</v>
      </c>
      <c r="H6883">
        <v>5721</v>
      </c>
      <c r="I6883">
        <v>20.922000000000001</v>
      </c>
      <c r="J6883">
        <v>12.641</v>
      </c>
      <c r="K6883">
        <v>-8.2810000000000006</v>
      </c>
      <c r="L6883">
        <v>4732</v>
      </c>
      <c r="M6883">
        <v>5</v>
      </c>
      <c r="N6883">
        <v>984</v>
      </c>
      <c r="O6883">
        <v>12.641</v>
      </c>
      <c r="P6883">
        <v>-8.2810064669999992</v>
      </c>
      <c r="Q6883">
        <v>16.199000000000002</v>
      </c>
    </row>
    <row r="6884" spans="1:17" x14ac:dyDescent="0.2">
      <c r="A6884" s="30" t="str">
        <f>IF(C6884&amp;G6884&amp;D6884&lt;&gt;'Funnel setup'!$K$3&amp;'Funnel setup'!$K$4&amp;'Funnel setup'!$K$5,".",IF(A6883=".",1,A6883+1))</f>
        <v>.</v>
      </c>
      <c r="B6884" s="431" t="str">
        <f t="shared" si="107"/>
        <v>Varicose VeinEnglandEnglandEQ VAS</v>
      </c>
      <c r="C6884" t="s">
        <v>17</v>
      </c>
      <c r="D6884" t="s">
        <v>163</v>
      </c>
      <c r="E6884" t="s">
        <v>163</v>
      </c>
      <c r="F6884" t="s">
        <v>163</v>
      </c>
      <c r="G6884" t="s">
        <v>179</v>
      </c>
      <c r="H6884">
        <v>5505</v>
      </c>
      <c r="I6884">
        <v>78.963999999999999</v>
      </c>
      <c r="J6884">
        <v>78.424000000000007</v>
      </c>
      <c r="K6884">
        <v>-0.54</v>
      </c>
      <c r="L6884">
        <v>2161</v>
      </c>
      <c r="M6884">
        <v>1083</v>
      </c>
      <c r="N6884">
        <v>2261</v>
      </c>
      <c r="O6884">
        <v>78.424000000000007</v>
      </c>
      <c r="P6884">
        <v>-0.54005449599999999</v>
      </c>
      <c r="Q6884">
        <v>13.509</v>
      </c>
    </row>
    <row r="6885" spans="1:17" x14ac:dyDescent="0.2">
      <c r="A6885" s="30" t="str">
        <f>IF(C6885&amp;G6885&amp;D6885&lt;&gt;'Funnel setup'!$K$3&amp;'Funnel setup'!$K$4&amp;'Funnel setup'!$K$5,".",IF(A6884=".",1,A6884+1))</f>
        <v>.</v>
      </c>
      <c r="B6885" s="431" t="str">
        <f t="shared" si="107"/>
        <v>Varicose VeinEnglandEnglandEQ-5D Index</v>
      </c>
      <c r="C6885" t="s">
        <v>17</v>
      </c>
      <c r="D6885" t="s">
        <v>163</v>
      </c>
      <c r="E6885" t="s">
        <v>163</v>
      </c>
      <c r="F6885" t="s">
        <v>163</v>
      </c>
      <c r="G6885" t="s">
        <v>52</v>
      </c>
      <c r="H6885">
        <v>5559</v>
      </c>
      <c r="I6885">
        <v>0.747</v>
      </c>
      <c r="J6885">
        <v>0.84199999999999997</v>
      </c>
      <c r="K6885">
        <v>9.5000000000000001E-2</v>
      </c>
      <c r="L6885">
        <v>2894</v>
      </c>
      <c r="M6885">
        <v>1748</v>
      </c>
      <c r="N6885">
        <v>917</v>
      </c>
      <c r="O6885">
        <v>0.84199999999999997</v>
      </c>
      <c r="P6885">
        <v>9.4882892999999996E-2</v>
      </c>
      <c r="Q6885">
        <v>0.17399999999999999</v>
      </c>
    </row>
    <row r="6886" spans="1:17" x14ac:dyDescent="0.2">
      <c r="A6886" s="30" t="str">
        <f>IF(C6886&amp;G6886&amp;D6886&lt;&gt;'Funnel setup'!$K$3&amp;'Funnel setup'!$K$4&amp;'Funnel setup'!$K$5,".",IF(A6885=".",1,A6885+1))</f>
        <v>.</v>
      </c>
      <c r="B6886" s="431" t="str">
        <f t="shared" si="107"/>
        <v>Varicose VeinProviderAINTREE UNIVERSITY HOSPITAL NHS FOUNDATION TRUST (REM)Aberdeen Varicose Vein Questionnaire</v>
      </c>
      <c r="C6886" t="s">
        <v>17</v>
      </c>
      <c r="D6886" t="s">
        <v>1</v>
      </c>
      <c r="E6886" t="s">
        <v>3838</v>
      </c>
      <c r="F6886" t="s">
        <v>3839</v>
      </c>
      <c r="G6886" t="s">
        <v>0</v>
      </c>
      <c r="H6886">
        <v>23</v>
      </c>
      <c r="I6886">
        <v>22.167999999999999</v>
      </c>
      <c r="J6886">
        <v>14.972</v>
      </c>
      <c r="K6886">
        <v>-7.1959999999999997</v>
      </c>
      <c r="L6886">
        <v>20</v>
      </c>
      <c r="M6886">
        <v>0</v>
      </c>
      <c r="N6886">
        <v>3</v>
      </c>
      <c r="O6886" t="s">
        <v>53</v>
      </c>
      <c r="P6886" t="s">
        <v>53</v>
      </c>
      <c r="Q6886" t="s">
        <v>53</v>
      </c>
    </row>
    <row r="6887" spans="1:17" x14ac:dyDescent="0.2">
      <c r="A6887" s="30" t="str">
        <f>IF(C6887&amp;G6887&amp;D6887&lt;&gt;'Funnel setup'!$K$3&amp;'Funnel setup'!$K$4&amp;'Funnel setup'!$K$5,".",IF(A6886=".",1,A6886+1))</f>
        <v>.</v>
      </c>
      <c r="B6887" s="431" t="str">
        <f t="shared" si="107"/>
        <v>Varicose VeinProviderAIREDALE NHS FOUNDATION TRUST (RCF)Aberdeen Varicose Vein Questionnaire</v>
      </c>
      <c r="C6887" t="s">
        <v>17</v>
      </c>
      <c r="D6887" t="s">
        <v>1</v>
      </c>
      <c r="E6887" t="s">
        <v>3841</v>
      </c>
      <c r="F6887" t="s">
        <v>3842</v>
      </c>
      <c r="G6887" t="s">
        <v>0</v>
      </c>
      <c r="H6887">
        <v>65</v>
      </c>
      <c r="I6887">
        <v>16.707000000000001</v>
      </c>
      <c r="J6887">
        <v>8.6530000000000005</v>
      </c>
      <c r="K6887">
        <v>-8.0540000000000003</v>
      </c>
      <c r="L6887">
        <v>54</v>
      </c>
      <c r="M6887">
        <v>0</v>
      </c>
      <c r="N6887">
        <v>11</v>
      </c>
      <c r="O6887">
        <v>6.165</v>
      </c>
      <c r="P6887">
        <v>-14.75777549</v>
      </c>
      <c r="Q6887">
        <v>10.611000000000001</v>
      </c>
    </row>
    <row r="6888" spans="1:17" x14ac:dyDescent="0.2">
      <c r="A6888" s="30" t="str">
        <f>IF(C6888&amp;G6888&amp;D6888&lt;&gt;'Funnel setup'!$K$3&amp;'Funnel setup'!$K$4&amp;'Funnel setup'!$K$5,".",IF(A6887=".",1,A6887+1))</f>
        <v>.</v>
      </c>
      <c r="B6888" s="431" t="str">
        <f t="shared" si="107"/>
        <v>Varicose VeinProviderASHFORD AND ST PETER'S HOSPITALS NHS FOUNDATION TRUST (RTK)Aberdeen Varicose Vein Questionnaire</v>
      </c>
      <c r="C6888" t="s">
        <v>17</v>
      </c>
      <c r="D6888" t="s">
        <v>1</v>
      </c>
      <c r="E6888" t="s">
        <v>3844</v>
      </c>
      <c r="F6888" t="s">
        <v>345</v>
      </c>
      <c r="G6888" t="s">
        <v>0</v>
      </c>
      <c r="H6888">
        <v>19</v>
      </c>
      <c r="I6888">
        <v>20.913</v>
      </c>
      <c r="J6888">
        <v>13.791</v>
      </c>
      <c r="K6888">
        <v>-7.1219999999999999</v>
      </c>
      <c r="L6888">
        <v>15</v>
      </c>
      <c r="M6888">
        <v>0</v>
      </c>
      <c r="N6888">
        <v>4</v>
      </c>
      <c r="O6888" t="s">
        <v>53</v>
      </c>
      <c r="P6888" t="s">
        <v>53</v>
      </c>
      <c r="Q6888" t="s">
        <v>53</v>
      </c>
    </row>
    <row r="6889" spans="1:17" x14ac:dyDescent="0.2">
      <c r="A6889" s="30" t="str">
        <f>IF(C6889&amp;G6889&amp;D6889&lt;&gt;'Funnel setup'!$K$3&amp;'Funnel setup'!$K$4&amp;'Funnel setup'!$K$5,".",IF(A6888=".",1,A6888+1))</f>
        <v>.</v>
      </c>
      <c r="B6889" s="431" t="str">
        <f t="shared" si="107"/>
        <v>Varicose VeinProviderASHTEAD HOSPITAL (NVC01)Aberdeen Varicose Vein Questionnaire</v>
      </c>
      <c r="C6889" t="s">
        <v>17</v>
      </c>
      <c r="D6889" t="s">
        <v>1</v>
      </c>
      <c r="E6889" t="s">
        <v>3846</v>
      </c>
      <c r="F6889" t="s">
        <v>3847</v>
      </c>
      <c r="G6889" t="s">
        <v>0</v>
      </c>
      <c r="H6889">
        <v>15</v>
      </c>
      <c r="I6889">
        <v>27.86</v>
      </c>
      <c r="J6889">
        <v>12.505000000000001</v>
      </c>
      <c r="K6889">
        <v>-15.355</v>
      </c>
      <c r="L6889">
        <v>14</v>
      </c>
      <c r="M6889">
        <v>0</v>
      </c>
      <c r="N6889">
        <v>1</v>
      </c>
      <c r="O6889" t="s">
        <v>53</v>
      </c>
      <c r="P6889" t="s">
        <v>53</v>
      </c>
      <c r="Q6889" t="s">
        <v>53</v>
      </c>
    </row>
    <row r="6890" spans="1:17" x14ac:dyDescent="0.2">
      <c r="A6890" s="30" t="str">
        <f>IF(C6890&amp;G6890&amp;D6890&lt;&gt;'Funnel setup'!$K$3&amp;'Funnel setup'!$K$4&amp;'Funnel setup'!$K$5,".",IF(A6889=".",1,A6889+1))</f>
        <v>.</v>
      </c>
      <c r="B6890" s="431" t="str">
        <f t="shared" si="107"/>
        <v>Varicose VeinProviderBARKING, HAVERING AND REDBRIDGE UNIVERSITY HOSPITALS NHS TRUST (RF4)Aberdeen Varicose Vein Questionnaire</v>
      </c>
      <c r="C6890" t="s">
        <v>17</v>
      </c>
      <c r="D6890" t="s">
        <v>1</v>
      </c>
      <c r="E6890" t="s">
        <v>3509</v>
      </c>
      <c r="F6890" t="s">
        <v>3510</v>
      </c>
      <c r="G6890" t="s">
        <v>0</v>
      </c>
      <c r="H6890">
        <v>28</v>
      </c>
      <c r="I6890">
        <v>20.14</v>
      </c>
      <c r="J6890">
        <v>13.185</v>
      </c>
      <c r="K6890">
        <v>-6.9550000000000001</v>
      </c>
      <c r="L6890">
        <v>21</v>
      </c>
      <c r="M6890">
        <v>0</v>
      </c>
      <c r="N6890">
        <v>7</v>
      </c>
      <c r="O6890" t="s">
        <v>53</v>
      </c>
      <c r="P6890" t="s">
        <v>53</v>
      </c>
      <c r="Q6890" t="s">
        <v>53</v>
      </c>
    </row>
    <row r="6891" spans="1:17" x14ac:dyDescent="0.2">
      <c r="A6891" s="30" t="str">
        <f>IF(C6891&amp;G6891&amp;D6891&lt;&gt;'Funnel setup'!$K$3&amp;'Funnel setup'!$K$4&amp;'Funnel setup'!$K$5,".",IF(A6890=".",1,A6890+1))</f>
        <v>.</v>
      </c>
      <c r="B6891" s="431" t="str">
        <f t="shared" si="107"/>
        <v>Varicose VeinProviderBARNSLEY HOSPITAL NHS FOUNDATION TRUST (RFF)Aberdeen Varicose Vein Questionnaire</v>
      </c>
      <c r="C6891" t="s">
        <v>17</v>
      </c>
      <c r="D6891" t="s">
        <v>1</v>
      </c>
      <c r="E6891" t="s">
        <v>3549</v>
      </c>
      <c r="F6891" t="s">
        <v>3550</v>
      </c>
      <c r="G6891" t="s">
        <v>0</v>
      </c>
      <c r="H6891">
        <v>11</v>
      </c>
      <c r="I6891">
        <v>20.289000000000001</v>
      </c>
      <c r="J6891">
        <v>15.114000000000001</v>
      </c>
      <c r="K6891">
        <v>-5.1749999999999998</v>
      </c>
      <c r="L6891">
        <v>9</v>
      </c>
      <c r="M6891">
        <v>0</v>
      </c>
      <c r="N6891">
        <v>2</v>
      </c>
      <c r="O6891" t="s">
        <v>53</v>
      </c>
      <c r="P6891" t="s">
        <v>53</v>
      </c>
      <c r="Q6891" t="s">
        <v>53</v>
      </c>
    </row>
    <row r="6892" spans="1:17" x14ac:dyDescent="0.2">
      <c r="A6892" s="30" t="str">
        <f>IF(C6892&amp;G6892&amp;D6892&lt;&gt;'Funnel setup'!$K$3&amp;'Funnel setup'!$K$4&amp;'Funnel setup'!$K$5,".",IF(A6891=".",1,A6891+1))</f>
        <v>.</v>
      </c>
      <c r="B6892" s="431" t="str">
        <f t="shared" si="107"/>
        <v>Varicose VeinProviderBARTS HEALTH NHS TRUST (R1H)Aberdeen Varicose Vein Questionnaire</v>
      </c>
      <c r="C6892" t="s">
        <v>17</v>
      </c>
      <c r="D6892" t="s">
        <v>1</v>
      </c>
      <c r="E6892" t="s">
        <v>3552</v>
      </c>
      <c r="F6892" t="s">
        <v>3553</v>
      </c>
      <c r="G6892" t="s">
        <v>0</v>
      </c>
      <c r="H6892">
        <v>60</v>
      </c>
      <c r="I6892">
        <v>24.8</v>
      </c>
      <c r="J6892">
        <v>18.006</v>
      </c>
      <c r="K6892">
        <v>-6.7949999999999999</v>
      </c>
      <c r="L6892">
        <v>47</v>
      </c>
      <c r="M6892">
        <v>0</v>
      </c>
      <c r="N6892">
        <v>13</v>
      </c>
      <c r="O6892">
        <v>21.215</v>
      </c>
      <c r="P6892">
        <v>0.29286690399999998</v>
      </c>
      <c r="Q6892">
        <v>22.391999999999999</v>
      </c>
    </row>
    <row r="6893" spans="1:17" x14ac:dyDescent="0.2">
      <c r="A6893" s="30" t="str">
        <f>IF(C6893&amp;G6893&amp;D6893&lt;&gt;'Funnel setup'!$K$3&amp;'Funnel setup'!$K$4&amp;'Funnel setup'!$K$5,".",IF(A6892=".",1,A6892+1))</f>
        <v>.</v>
      </c>
      <c r="B6893" s="431" t="str">
        <f t="shared" si="107"/>
        <v>Varicose VeinProviderBASILDON AND THURROCK UNIVERSITY HOSPITALS NHS FOUNDATION TRUST (RDD)Aberdeen Varicose Vein Questionnaire</v>
      </c>
      <c r="C6893" t="s">
        <v>17</v>
      </c>
      <c r="D6893" t="s">
        <v>1</v>
      </c>
      <c r="E6893" t="s">
        <v>3555</v>
      </c>
      <c r="F6893" t="s">
        <v>3556</v>
      </c>
      <c r="G6893" t="s">
        <v>0</v>
      </c>
      <c r="H6893" t="s">
        <v>53</v>
      </c>
      <c r="I6893" t="s">
        <v>53</v>
      </c>
      <c r="J6893" t="s">
        <v>53</v>
      </c>
      <c r="K6893" t="s">
        <v>53</v>
      </c>
      <c r="L6893" t="s">
        <v>53</v>
      </c>
      <c r="M6893" t="s">
        <v>53</v>
      </c>
      <c r="N6893" t="s">
        <v>53</v>
      </c>
      <c r="O6893" t="s">
        <v>53</v>
      </c>
      <c r="P6893" t="s">
        <v>53</v>
      </c>
      <c r="Q6893" t="s">
        <v>53</v>
      </c>
    </row>
    <row r="6894" spans="1:17" x14ac:dyDescent="0.2">
      <c r="A6894" s="30" t="str">
        <f>IF(C6894&amp;G6894&amp;D6894&lt;&gt;'Funnel setup'!$K$3&amp;'Funnel setup'!$K$4&amp;'Funnel setup'!$K$5,".",IF(A6893=".",1,A6893+1))</f>
        <v>.</v>
      </c>
      <c r="B6894" s="431" t="str">
        <f t="shared" si="107"/>
        <v>Varicose VeinProviderBEDFORD HOSPITAL NHS TRUST (RC1)Aberdeen Varicose Vein Questionnaire</v>
      </c>
      <c r="C6894" t="s">
        <v>17</v>
      </c>
      <c r="D6894" t="s">
        <v>1</v>
      </c>
      <c r="E6894" t="s">
        <v>3558</v>
      </c>
      <c r="F6894" t="s">
        <v>3559</v>
      </c>
      <c r="G6894" t="s">
        <v>0</v>
      </c>
      <c r="H6894">
        <v>33</v>
      </c>
      <c r="I6894">
        <v>21.972000000000001</v>
      </c>
      <c r="J6894">
        <v>14.856999999999999</v>
      </c>
      <c r="K6894">
        <v>-7.1159999999999997</v>
      </c>
      <c r="L6894">
        <v>27</v>
      </c>
      <c r="M6894">
        <v>0</v>
      </c>
      <c r="N6894">
        <v>6</v>
      </c>
      <c r="O6894">
        <v>14.855</v>
      </c>
      <c r="P6894">
        <v>-6.0674435449999997</v>
      </c>
      <c r="Q6894">
        <v>16.704999999999998</v>
      </c>
    </row>
    <row r="6895" spans="1:17" x14ac:dyDescent="0.2">
      <c r="A6895" s="30" t="str">
        <f>IF(C6895&amp;G6895&amp;D6895&lt;&gt;'Funnel setup'!$K$3&amp;'Funnel setup'!$K$4&amp;'Funnel setup'!$K$5,".",IF(A6894=".",1,A6894+1))</f>
        <v>.</v>
      </c>
      <c r="B6895" s="431" t="str">
        <f t="shared" si="107"/>
        <v>Varicose VeinProviderBLACKPOOL TEACHING HOSPITALS NHS FOUNDATION TRUST (RXL)Aberdeen Varicose Vein Questionnaire</v>
      </c>
      <c r="C6895" t="s">
        <v>17</v>
      </c>
      <c r="D6895" t="s">
        <v>1</v>
      </c>
      <c r="E6895" t="s">
        <v>3561</v>
      </c>
      <c r="F6895" t="s">
        <v>3562</v>
      </c>
      <c r="G6895" t="s">
        <v>0</v>
      </c>
      <c r="H6895">
        <v>10</v>
      </c>
      <c r="I6895">
        <v>26.954000000000001</v>
      </c>
      <c r="J6895">
        <v>13.266</v>
      </c>
      <c r="K6895">
        <v>-13.688000000000001</v>
      </c>
      <c r="L6895">
        <v>10</v>
      </c>
      <c r="M6895">
        <v>0</v>
      </c>
      <c r="N6895">
        <v>0</v>
      </c>
      <c r="O6895" t="s">
        <v>53</v>
      </c>
      <c r="P6895" t="s">
        <v>53</v>
      </c>
      <c r="Q6895" t="s">
        <v>53</v>
      </c>
    </row>
    <row r="6896" spans="1:17" x14ac:dyDescent="0.2">
      <c r="A6896" s="30" t="str">
        <f>IF(C6896&amp;G6896&amp;D6896&lt;&gt;'Funnel setup'!$K$3&amp;'Funnel setup'!$K$4&amp;'Funnel setup'!$K$5,".",IF(A6895=".",1,A6895+1))</f>
        <v>.</v>
      </c>
      <c r="B6896" s="431" t="str">
        <f t="shared" si="107"/>
        <v>Varicose VeinProviderBMI - SHIRLEY OAKS HOSPITAL (NT436)Aberdeen Varicose Vein Questionnaire</v>
      </c>
      <c r="C6896" t="s">
        <v>17</v>
      </c>
      <c r="D6896" t="s">
        <v>1</v>
      </c>
      <c r="E6896" t="s">
        <v>3576</v>
      </c>
      <c r="F6896" t="s">
        <v>3577</v>
      </c>
      <c r="G6896" t="s">
        <v>0</v>
      </c>
      <c r="H6896" t="s">
        <v>53</v>
      </c>
      <c r="I6896" t="s">
        <v>53</v>
      </c>
      <c r="J6896" t="s">
        <v>53</v>
      </c>
      <c r="K6896" t="s">
        <v>53</v>
      </c>
      <c r="L6896" t="s">
        <v>53</v>
      </c>
      <c r="M6896" t="s">
        <v>53</v>
      </c>
      <c r="N6896" t="s">
        <v>53</v>
      </c>
      <c r="O6896" t="s">
        <v>53</v>
      </c>
      <c r="P6896" t="s">
        <v>53</v>
      </c>
      <c r="Q6896" t="s">
        <v>53</v>
      </c>
    </row>
    <row r="6897" spans="1:17" x14ac:dyDescent="0.2">
      <c r="A6897" s="30" t="str">
        <f>IF(C6897&amp;G6897&amp;D6897&lt;&gt;'Funnel setup'!$K$3&amp;'Funnel setup'!$K$4&amp;'Funnel setup'!$K$5,".",IF(A6896=".",1,A6896+1))</f>
        <v>.</v>
      </c>
      <c r="B6897" s="431" t="str">
        <f t="shared" si="107"/>
        <v>Varicose VeinProviderBMI - THE DROITWICH SPA HOSPITAL (NT412)Aberdeen Varicose Vein Questionnaire</v>
      </c>
      <c r="C6897" t="s">
        <v>17</v>
      </c>
      <c r="D6897" t="s">
        <v>1</v>
      </c>
      <c r="E6897" t="s">
        <v>3600</v>
      </c>
      <c r="F6897" t="s">
        <v>3601</v>
      </c>
      <c r="G6897" t="s">
        <v>0</v>
      </c>
      <c r="H6897" t="s">
        <v>53</v>
      </c>
      <c r="I6897" t="s">
        <v>53</v>
      </c>
      <c r="J6897" t="s">
        <v>53</v>
      </c>
      <c r="K6897" t="s">
        <v>53</v>
      </c>
      <c r="L6897" t="s">
        <v>53</v>
      </c>
      <c r="M6897" t="s">
        <v>53</v>
      </c>
      <c r="N6897" t="s">
        <v>53</v>
      </c>
      <c r="O6897" t="s">
        <v>53</v>
      </c>
      <c r="P6897" t="s">
        <v>53</v>
      </c>
      <c r="Q6897" t="s">
        <v>53</v>
      </c>
    </row>
    <row r="6898" spans="1:17" x14ac:dyDescent="0.2">
      <c r="A6898" s="30" t="str">
        <f>IF(C6898&amp;G6898&amp;D6898&lt;&gt;'Funnel setup'!$K$3&amp;'Funnel setup'!$K$4&amp;'Funnel setup'!$K$5,".",IF(A6897=".",1,A6897+1))</f>
        <v>.</v>
      </c>
      <c r="B6898" s="431" t="str">
        <f t="shared" si="107"/>
        <v>Varicose VeinProviderBMI - THE SHELBURNE HOSPITAL (NT435)Aberdeen Varicose Vein Questionnaire</v>
      </c>
      <c r="C6898" t="s">
        <v>17</v>
      </c>
      <c r="D6898" t="s">
        <v>1</v>
      </c>
      <c r="E6898" t="s">
        <v>4318</v>
      </c>
      <c r="F6898" t="s">
        <v>4319</v>
      </c>
      <c r="G6898" t="s">
        <v>0</v>
      </c>
      <c r="H6898" t="s">
        <v>53</v>
      </c>
      <c r="I6898" t="s">
        <v>53</v>
      </c>
      <c r="J6898" t="s">
        <v>53</v>
      </c>
      <c r="K6898" t="s">
        <v>53</v>
      </c>
      <c r="L6898" t="s">
        <v>53</v>
      </c>
      <c r="M6898" t="s">
        <v>53</v>
      </c>
      <c r="N6898" t="s">
        <v>53</v>
      </c>
      <c r="O6898" t="s">
        <v>53</v>
      </c>
      <c r="P6898" t="s">
        <v>53</v>
      </c>
      <c r="Q6898" t="s">
        <v>53</v>
      </c>
    </row>
    <row r="6899" spans="1:17" x14ac:dyDescent="0.2">
      <c r="A6899" s="30" t="str">
        <f>IF(C6899&amp;G6899&amp;D6899&lt;&gt;'Funnel setup'!$K$3&amp;'Funnel setup'!$K$4&amp;'Funnel setup'!$K$5,".",IF(A6898=".",1,A6898+1))</f>
        <v>.</v>
      </c>
      <c r="B6899" s="431" t="str">
        <f t="shared" si="107"/>
        <v>Varicose VeinProviderBMI - THE SOUTH CHESHIRE PRIVATE HOSPITAL (NT439)Aberdeen Varicose Vein Questionnaire</v>
      </c>
      <c r="C6899" t="s">
        <v>17</v>
      </c>
      <c r="D6899" t="s">
        <v>1</v>
      </c>
      <c r="E6899" t="s">
        <v>3307</v>
      </c>
      <c r="F6899" t="s">
        <v>3308</v>
      </c>
      <c r="G6899" t="s">
        <v>0</v>
      </c>
      <c r="H6899" t="s">
        <v>53</v>
      </c>
      <c r="I6899" t="s">
        <v>53</v>
      </c>
      <c r="J6899" t="s">
        <v>53</v>
      </c>
      <c r="K6899" t="s">
        <v>53</v>
      </c>
      <c r="L6899" t="s">
        <v>53</v>
      </c>
      <c r="M6899" t="s">
        <v>53</v>
      </c>
      <c r="N6899" t="s">
        <v>53</v>
      </c>
      <c r="O6899" t="s">
        <v>53</v>
      </c>
      <c r="P6899" t="s">
        <v>53</v>
      </c>
      <c r="Q6899" t="s">
        <v>53</v>
      </c>
    </row>
    <row r="6900" spans="1:17" x14ac:dyDescent="0.2">
      <c r="A6900" s="30" t="str">
        <f>IF(C6900&amp;G6900&amp;D6900&lt;&gt;'Funnel setup'!$K$3&amp;'Funnel setup'!$K$4&amp;'Funnel setup'!$K$5,".",IF(A6899=".",1,A6899+1))</f>
        <v>.</v>
      </c>
      <c r="B6900" s="431" t="str">
        <f t="shared" si="107"/>
        <v>Varicose VeinProviderBMI SOUTHEND PRIVATE HOSPITAL (NT490)Aberdeen Varicose Vein Questionnaire</v>
      </c>
      <c r="C6900" t="s">
        <v>17</v>
      </c>
      <c r="D6900" t="s">
        <v>1</v>
      </c>
      <c r="E6900" t="s">
        <v>3325</v>
      </c>
      <c r="F6900" t="s">
        <v>3326</v>
      </c>
      <c r="G6900" t="s">
        <v>0</v>
      </c>
      <c r="H6900" t="s">
        <v>53</v>
      </c>
      <c r="I6900" t="s">
        <v>53</v>
      </c>
      <c r="J6900" t="s">
        <v>53</v>
      </c>
      <c r="K6900" t="s">
        <v>53</v>
      </c>
      <c r="L6900" t="s">
        <v>53</v>
      </c>
      <c r="M6900" t="s">
        <v>53</v>
      </c>
      <c r="N6900" t="s">
        <v>53</v>
      </c>
      <c r="O6900" t="s">
        <v>53</v>
      </c>
      <c r="P6900" t="s">
        <v>53</v>
      </c>
      <c r="Q6900" t="s">
        <v>53</v>
      </c>
    </row>
    <row r="6901" spans="1:17" x14ac:dyDescent="0.2">
      <c r="A6901" s="30" t="str">
        <f>IF(C6901&amp;G6901&amp;D6901&lt;&gt;'Funnel setup'!$K$3&amp;'Funnel setup'!$K$4&amp;'Funnel setup'!$K$5,".",IF(A6900=".",1,A6900+1))</f>
        <v>.</v>
      </c>
      <c r="B6901" s="431" t="str">
        <f t="shared" si="107"/>
        <v>Varicose VeinProviderBOLTON NHS FOUNDATION TRUST (RMC)Aberdeen Varicose Vein Questionnaire</v>
      </c>
      <c r="C6901" t="s">
        <v>17</v>
      </c>
      <c r="D6901" t="s">
        <v>1</v>
      </c>
      <c r="E6901" t="s">
        <v>3358</v>
      </c>
      <c r="F6901" t="s">
        <v>3359</v>
      </c>
      <c r="G6901" t="s">
        <v>0</v>
      </c>
      <c r="H6901">
        <v>52</v>
      </c>
      <c r="I6901">
        <v>19.494</v>
      </c>
      <c r="J6901">
        <v>12.907</v>
      </c>
      <c r="K6901">
        <v>-6.5880000000000001</v>
      </c>
      <c r="L6901">
        <v>47</v>
      </c>
      <c r="M6901">
        <v>0</v>
      </c>
      <c r="N6901">
        <v>5</v>
      </c>
      <c r="O6901">
        <v>12.269</v>
      </c>
      <c r="P6901">
        <v>-8.6534889960000001</v>
      </c>
      <c r="Q6901">
        <v>16.968</v>
      </c>
    </row>
    <row r="6902" spans="1:17" x14ac:dyDescent="0.2">
      <c r="A6902" s="30" t="str">
        <f>IF(C6902&amp;G6902&amp;D6902&lt;&gt;'Funnel setup'!$K$3&amp;'Funnel setup'!$K$4&amp;'Funnel setup'!$K$5,".",IF(A6901=".",1,A6901+1))</f>
        <v>.</v>
      </c>
      <c r="B6902" s="431" t="str">
        <f t="shared" si="107"/>
        <v>Varicose VeinProviderBOSTON WEST HOSPITAL (NVC27)Aberdeen Varicose Vein Questionnaire</v>
      </c>
      <c r="C6902" t="s">
        <v>17</v>
      </c>
      <c r="D6902" t="s">
        <v>1</v>
      </c>
      <c r="E6902" t="s">
        <v>3376</v>
      </c>
      <c r="F6902" t="s">
        <v>3377</v>
      </c>
      <c r="G6902" t="s">
        <v>0</v>
      </c>
      <c r="H6902">
        <v>20</v>
      </c>
      <c r="I6902">
        <v>20.888999999999999</v>
      </c>
      <c r="J6902">
        <v>6.8150000000000004</v>
      </c>
      <c r="K6902">
        <v>-14.074</v>
      </c>
      <c r="L6902">
        <v>20</v>
      </c>
      <c r="M6902">
        <v>0</v>
      </c>
      <c r="N6902">
        <v>0</v>
      </c>
      <c r="O6902" t="s">
        <v>53</v>
      </c>
      <c r="P6902" t="s">
        <v>53</v>
      </c>
      <c r="Q6902" t="s">
        <v>53</v>
      </c>
    </row>
    <row r="6903" spans="1:17" x14ac:dyDescent="0.2">
      <c r="A6903" s="30" t="str">
        <f>IF(C6903&amp;G6903&amp;D6903&lt;&gt;'Funnel setup'!$K$3&amp;'Funnel setup'!$K$4&amp;'Funnel setup'!$K$5,".",IF(A6902=".",1,A6902+1))</f>
        <v>.</v>
      </c>
      <c r="B6903" s="431" t="str">
        <f t="shared" si="107"/>
        <v>Varicose VeinProviderBRADFORD TEACHING HOSPITALS NHS FOUNDATION TRUST (RAE)Aberdeen Varicose Vein Questionnaire</v>
      </c>
      <c r="C6903" t="s">
        <v>17</v>
      </c>
      <c r="D6903" t="s">
        <v>1</v>
      </c>
      <c r="E6903" t="s">
        <v>3361</v>
      </c>
      <c r="F6903" t="s">
        <v>3362</v>
      </c>
      <c r="G6903" t="s">
        <v>0</v>
      </c>
      <c r="H6903">
        <v>43</v>
      </c>
      <c r="I6903">
        <v>22.518000000000001</v>
      </c>
      <c r="J6903">
        <v>16.492000000000001</v>
      </c>
      <c r="K6903">
        <v>-6.0259999999999998</v>
      </c>
      <c r="L6903">
        <v>35</v>
      </c>
      <c r="M6903">
        <v>0</v>
      </c>
      <c r="N6903">
        <v>8</v>
      </c>
      <c r="O6903">
        <v>18.215</v>
      </c>
      <c r="P6903">
        <v>-2.7077113900000001</v>
      </c>
      <c r="Q6903">
        <v>20.411000000000001</v>
      </c>
    </row>
    <row r="6904" spans="1:17" x14ac:dyDescent="0.2">
      <c r="A6904" s="30" t="str">
        <f>IF(C6904&amp;G6904&amp;D6904&lt;&gt;'Funnel setup'!$K$3&amp;'Funnel setup'!$K$4&amp;'Funnel setup'!$K$5,".",IF(A6903=".",1,A6903+1))</f>
        <v>.</v>
      </c>
      <c r="B6904" s="431" t="str">
        <f t="shared" si="107"/>
        <v>Varicose VeinProviderBRIGHTON AND SUSSEX UNIVERSITY HOSPITALS NHS TRUST (RXH)Aberdeen Varicose Vein Questionnaire</v>
      </c>
      <c r="C6904" t="s">
        <v>17</v>
      </c>
      <c r="D6904" t="s">
        <v>1</v>
      </c>
      <c r="E6904" t="s">
        <v>3367</v>
      </c>
      <c r="F6904" t="s">
        <v>3368</v>
      </c>
      <c r="G6904" t="s">
        <v>0</v>
      </c>
      <c r="H6904">
        <v>44</v>
      </c>
      <c r="I6904">
        <v>24.837</v>
      </c>
      <c r="J6904">
        <v>14.445</v>
      </c>
      <c r="K6904">
        <v>-10.393000000000001</v>
      </c>
      <c r="L6904">
        <v>36</v>
      </c>
      <c r="M6904">
        <v>0</v>
      </c>
      <c r="N6904">
        <v>8</v>
      </c>
      <c r="O6904">
        <v>16.887</v>
      </c>
      <c r="P6904">
        <v>-4.0358466699999997</v>
      </c>
      <c r="Q6904">
        <v>17.992999999999999</v>
      </c>
    </row>
    <row r="6905" spans="1:17" x14ac:dyDescent="0.2">
      <c r="A6905" s="30" t="str">
        <f>IF(C6905&amp;G6905&amp;D6905&lt;&gt;'Funnel setup'!$K$3&amp;'Funnel setup'!$K$4&amp;'Funnel setup'!$K$5,".",IF(A6904=".",1,A6904+1))</f>
        <v>.</v>
      </c>
      <c r="B6905" s="431" t="str">
        <f t="shared" si="107"/>
        <v>Varicose VeinProviderBUCKINGHAMSHIRE HEALTHCARE NHS TRUST (RXQ)Aberdeen Varicose Vein Questionnaire</v>
      </c>
      <c r="C6905" t="s">
        <v>17</v>
      </c>
      <c r="D6905" t="s">
        <v>1</v>
      </c>
      <c r="E6905" t="s">
        <v>3370</v>
      </c>
      <c r="F6905" t="s">
        <v>3371</v>
      </c>
      <c r="G6905" t="s">
        <v>0</v>
      </c>
      <c r="H6905">
        <v>39</v>
      </c>
      <c r="I6905">
        <v>22.506</v>
      </c>
      <c r="J6905">
        <v>13.664</v>
      </c>
      <c r="K6905">
        <v>-8.8420000000000005</v>
      </c>
      <c r="L6905">
        <v>32</v>
      </c>
      <c r="M6905">
        <v>0</v>
      </c>
      <c r="N6905">
        <v>7</v>
      </c>
      <c r="O6905">
        <v>14.403</v>
      </c>
      <c r="P6905">
        <v>-6.5196072770000004</v>
      </c>
      <c r="Q6905">
        <v>18.030999999999999</v>
      </c>
    </row>
    <row r="6906" spans="1:17" x14ac:dyDescent="0.2">
      <c r="A6906" s="30" t="str">
        <f>IF(C6906&amp;G6906&amp;D6906&lt;&gt;'Funnel setup'!$K$3&amp;'Funnel setup'!$K$4&amp;'Funnel setup'!$K$5,".",IF(A6905=".",1,A6905+1))</f>
        <v>.</v>
      </c>
      <c r="B6906" s="431" t="str">
        <f t="shared" si="107"/>
        <v>Varicose VeinProviderBURTON HOSPITALS NHS FOUNDATION TRUST (RJF)Aberdeen Varicose Vein Questionnaire</v>
      </c>
      <c r="C6906" t="s">
        <v>17</v>
      </c>
      <c r="D6906" t="s">
        <v>1</v>
      </c>
      <c r="E6906" t="s">
        <v>3373</v>
      </c>
      <c r="F6906" t="s">
        <v>3374</v>
      </c>
      <c r="G6906" t="s">
        <v>0</v>
      </c>
      <c r="H6906">
        <v>14</v>
      </c>
      <c r="I6906">
        <v>15.561999999999999</v>
      </c>
      <c r="J6906">
        <v>7.032</v>
      </c>
      <c r="K6906">
        <v>-8.5299999999999994</v>
      </c>
      <c r="L6906">
        <v>13</v>
      </c>
      <c r="M6906">
        <v>0</v>
      </c>
      <c r="N6906">
        <v>1</v>
      </c>
      <c r="O6906" t="s">
        <v>53</v>
      </c>
      <c r="P6906" t="s">
        <v>53</v>
      </c>
      <c r="Q6906" t="s">
        <v>53</v>
      </c>
    </row>
    <row r="6907" spans="1:17" x14ac:dyDescent="0.2">
      <c r="A6907" s="30" t="str">
        <f>IF(C6907&amp;G6907&amp;D6907&lt;&gt;'Funnel setup'!$K$3&amp;'Funnel setup'!$K$4&amp;'Funnel setup'!$K$5,".",IF(A6906=".",1,A6906+1))</f>
        <v>.</v>
      </c>
      <c r="B6907" s="431" t="str">
        <f t="shared" si="107"/>
        <v>Varicose VeinProviderCALDERDALE AND HUDDERSFIELD NHS FOUNDATION TRUST (RWY)Aberdeen Varicose Vein Questionnaire</v>
      </c>
      <c r="C6907" t="s">
        <v>17</v>
      </c>
      <c r="D6907" t="s">
        <v>1</v>
      </c>
      <c r="E6907" t="s">
        <v>3379</v>
      </c>
      <c r="F6907" t="s">
        <v>3380</v>
      </c>
      <c r="G6907" t="s">
        <v>0</v>
      </c>
      <c r="H6907">
        <v>104</v>
      </c>
      <c r="I6907">
        <v>19.54</v>
      </c>
      <c r="J6907">
        <v>9.7240000000000002</v>
      </c>
      <c r="K6907">
        <v>-9.8149999999999995</v>
      </c>
      <c r="L6907">
        <v>92</v>
      </c>
      <c r="M6907">
        <v>0</v>
      </c>
      <c r="N6907">
        <v>12</v>
      </c>
      <c r="O6907">
        <v>8.9570000000000007</v>
      </c>
      <c r="P6907">
        <v>-11.965108150000001</v>
      </c>
      <c r="Q6907">
        <v>13.872999999999999</v>
      </c>
    </row>
    <row r="6908" spans="1:17" x14ac:dyDescent="0.2">
      <c r="A6908" s="30" t="str">
        <f>IF(C6908&amp;G6908&amp;D6908&lt;&gt;'Funnel setup'!$K$3&amp;'Funnel setup'!$K$4&amp;'Funnel setup'!$K$5,".",IF(A6907=".",1,A6907+1))</f>
        <v>.</v>
      </c>
      <c r="B6908" s="431" t="str">
        <f t="shared" si="107"/>
        <v>Varicose VeinProviderCAMBRIDGE UNIVERSITY HOSPITALS NHS FOUNDATION TRUST (RGT)Aberdeen Varicose Vein Questionnaire</v>
      </c>
      <c r="C6908" t="s">
        <v>17</v>
      </c>
      <c r="D6908" t="s">
        <v>1</v>
      </c>
      <c r="E6908" t="s">
        <v>3076</v>
      </c>
      <c r="F6908" t="s">
        <v>3077</v>
      </c>
      <c r="G6908" t="s">
        <v>0</v>
      </c>
      <c r="H6908">
        <v>30</v>
      </c>
      <c r="I6908">
        <v>19.527999999999999</v>
      </c>
      <c r="J6908">
        <v>10.395</v>
      </c>
      <c r="K6908">
        <v>-9.1329999999999991</v>
      </c>
      <c r="L6908">
        <v>28</v>
      </c>
      <c r="M6908">
        <v>0</v>
      </c>
      <c r="N6908">
        <v>2</v>
      </c>
      <c r="O6908">
        <v>9.6929999999999996</v>
      </c>
      <c r="P6908">
        <v>-11.22946746</v>
      </c>
      <c r="Q6908">
        <v>11.54</v>
      </c>
    </row>
    <row r="6909" spans="1:17" x14ac:dyDescent="0.2">
      <c r="A6909" s="30" t="str">
        <f>IF(C6909&amp;G6909&amp;D6909&lt;&gt;'Funnel setup'!$K$3&amp;'Funnel setup'!$K$4&amp;'Funnel setup'!$K$5,".",IF(A6908=".",1,A6908+1))</f>
        <v>.</v>
      </c>
      <c r="B6909" s="431" t="str">
        <f t="shared" si="107"/>
        <v>Varicose VeinProviderCENTRAL MANCHESTER UNIVERSITY HOSPITALS NHS FOUNDATION TRUST (RW3)Aberdeen Varicose Vein Questionnaire</v>
      </c>
      <c r="C6909" t="s">
        <v>17</v>
      </c>
      <c r="D6909" t="s">
        <v>1</v>
      </c>
      <c r="E6909" t="s">
        <v>3079</v>
      </c>
      <c r="F6909" t="s">
        <v>3080</v>
      </c>
      <c r="G6909" t="s">
        <v>0</v>
      </c>
      <c r="H6909">
        <v>8</v>
      </c>
      <c r="I6909">
        <v>37.008000000000003</v>
      </c>
      <c r="J6909">
        <v>22.728000000000002</v>
      </c>
      <c r="K6909">
        <v>-14.28</v>
      </c>
      <c r="L6909">
        <v>7</v>
      </c>
      <c r="M6909">
        <v>0</v>
      </c>
      <c r="N6909">
        <v>1</v>
      </c>
      <c r="O6909" t="s">
        <v>53</v>
      </c>
      <c r="P6909" t="s">
        <v>53</v>
      </c>
      <c r="Q6909" t="s">
        <v>53</v>
      </c>
    </row>
    <row r="6910" spans="1:17" x14ac:dyDescent="0.2">
      <c r="A6910" s="30" t="str">
        <f>IF(C6910&amp;G6910&amp;D6910&lt;&gt;'Funnel setup'!$K$3&amp;'Funnel setup'!$K$4&amp;'Funnel setup'!$K$5,".",IF(A6909=".",1,A6909+1))</f>
        <v>.</v>
      </c>
      <c r="B6910" s="431" t="str">
        <f t="shared" si="107"/>
        <v>Varicose VeinProviderCHELSEA AND WESTMINSTER HOSPITAL NHS FOUNDATION TRUST (RQM)Aberdeen Varicose Vein Questionnaire</v>
      </c>
      <c r="C6910" t="s">
        <v>17</v>
      </c>
      <c r="D6910" t="s">
        <v>1</v>
      </c>
      <c r="E6910" t="s">
        <v>3082</v>
      </c>
      <c r="F6910" t="s">
        <v>3083</v>
      </c>
      <c r="G6910" t="s">
        <v>0</v>
      </c>
      <c r="H6910">
        <v>20</v>
      </c>
      <c r="I6910">
        <v>23.923999999999999</v>
      </c>
      <c r="J6910">
        <v>13.786</v>
      </c>
      <c r="K6910">
        <v>-10.138</v>
      </c>
      <c r="L6910">
        <v>16</v>
      </c>
      <c r="M6910">
        <v>0</v>
      </c>
      <c r="N6910">
        <v>4</v>
      </c>
      <c r="O6910" t="s">
        <v>53</v>
      </c>
      <c r="P6910" t="s">
        <v>53</v>
      </c>
      <c r="Q6910" t="s">
        <v>53</v>
      </c>
    </row>
    <row r="6911" spans="1:17" x14ac:dyDescent="0.2">
      <c r="A6911" s="30" t="str">
        <f>IF(C6911&amp;G6911&amp;D6911&lt;&gt;'Funnel setup'!$K$3&amp;'Funnel setup'!$K$4&amp;'Funnel setup'!$K$5,".",IF(A6910=".",1,A6910+1))</f>
        <v>.</v>
      </c>
      <c r="B6911" s="431" t="str">
        <f t="shared" si="107"/>
        <v>Varicose VeinProviderCHESTERFIELD ROYAL HOSPITAL NHS FOUNDATION TRUST (RFS)Aberdeen Varicose Vein Questionnaire</v>
      </c>
      <c r="C6911" t="s">
        <v>17</v>
      </c>
      <c r="D6911" t="s">
        <v>1</v>
      </c>
      <c r="E6911" t="s">
        <v>3085</v>
      </c>
      <c r="F6911" t="s">
        <v>3086</v>
      </c>
      <c r="G6911" t="s">
        <v>0</v>
      </c>
      <c r="H6911">
        <v>25</v>
      </c>
      <c r="I6911">
        <v>19.440000000000001</v>
      </c>
      <c r="J6911">
        <v>10.224</v>
      </c>
      <c r="K6911">
        <v>-9.2159999999999993</v>
      </c>
      <c r="L6911">
        <v>24</v>
      </c>
      <c r="M6911">
        <v>0</v>
      </c>
      <c r="N6911">
        <v>1</v>
      </c>
      <c r="O6911" t="s">
        <v>53</v>
      </c>
      <c r="P6911" t="s">
        <v>53</v>
      </c>
      <c r="Q6911" t="s">
        <v>53</v>
      </c>
    </row>
    <row r="6912" spans="1:17" x14ac:dyDescent="0.2">
      <c r="A6912" s="30" t="str">
        <f>IF(C6912&amp;G6912&amp;D6912&lt;&gt;'Funnel setup'!$K$3&amp;'Funnel setup'!$K$4&amp;'Funnel setup'!$K$5,".",IF(A6911=".",1,A6911+1))</f>
        <v>.</v>
      </c>
      <c r="B6912" s="431" t="str">
        <f t="shared" si="107"/>
        <v>Varicose VeinProviderCIRCLE - NOTTINGHAM NHS TREATMENT CENTRE (NV313)Aberdeen Varicose Vein Questionnaire</v>
      </c>
      <c r="C6912" t="s">
        <v>17</v>
      </c>
      <c r="D6912" t="s">
        <v>1</v>
      </c>
      <c r="E6912" t="s">
        <v>3094</v>
      </c>
      <c r="F6912" t="s">
        <v>3095</v>
      </c>
      <c r="G6912" t="s">
        <v>0</v>
      </c>
      <c r="H6912">
        <v>163</v>
      </c>
      <c r="I6912">
        <v>22.757999999999999</v>
      </c>
      <c r="J6912">
        <v>15.491</v>
      </c>
      <c r="K6912">
        <v>-7.2670000000000003</v>
      </c>
      <c r="L6912">
        <v>127</v>
      </c>
      <c r="M6912">
        <v>0</v>
      </c>
      <c r="N6912">
        <v>36</v>
      </c>
      <c r="O6912">
        <v>16.295999999999999</v>
      </c>
      <c r="P6912">
        <v>-4.6267160900000004</v>
      </c>
      <c r="Q6912">
        <v>19.542999999999999</v>
      </c>
    </row>
    <row r="6913" spans="1:17" x14ac:dyDescent="0.2">
      <c r="A6913" s="30" t="str">
        <f>IF(C6913&amp;G6913&amp;D6913&lt;&gt;'Funnel setup'!$K$3&amp;'Funnel setup'!$K$4&amp;'Funnel setup'!$K$5,".",IF(A6912=".",1,A6912+1))</f>
        <v>.</v>
      </c>
      <c r="B6913" s="431" t="str">
        <f t="shared" si="107"/>
        <v>Varicose VeinProviderCIRCLE BATH HOSPITAL (NV302)Aberdeen Varicose Vein Questionnaire</v>
      </c>
      <c r="C6913" t="s">
        <v>17</v>
      </c>
      <c r="D6913" t="s">
        <v>1</v>
      </c>
      <c r="E6913" t="s">
        <v>3097</v>
      </c>
      <c r="F6913" t="s">
        <v>3098</v>
      </c>
      <c r="G6913" t="s">
        <v>0</v>
      </c>
      <c r="H6913">
        <v>16</v>
      </c>
      <c r="I6913">
        <v>19.010999999999999</v>
      </c>
      <c r="J6913">
        <v>9.6129999999999995</v>
      </c>
      <c r="K6913">
        <v>-9.3979999999999997</v>
      </c>
      <c r="L6913">
        <v>14</v>
      </c>
      <c r="M6913">
        <v>0</v>
      </c>
      <c r="N6913">
        <v>2</v>
      </c>
      <c r="O6913" t="s">
        <v>53</v>
      </c>
      <c r="P6913" t="s">
        <v>53</v>
      </c>
      <c r="Q6913" t="s">
        <v>53</v>
      </c>
    </row>
    <row r="6914" spans="1:17" x14ac:dyDescent="0.2">
      <c r="A6914" s="30" t="str">
        <f>IF(C6914&amp;G6914&amp;D6914&lt;&gt;'Funnel setup'!$K$3&amp;'Funnel setup'!$K$4&amp;'Funnel setup'!$K$5,".",IF(A6913=".",1,A6913+1))</f>
        <v>.</v>
      </c>
      <c r="B6914" s="431" t="str">
        <f t="shared" si="107"/>
        <v>Varicose VeinProviderCIRENCESTER NHS TREATMENT CENTRE (NTPH4)Aberdeen Varicose Vein Questionnaire</v>
      </c>
      <c r="C6914" t="s">
        <v>17</v>
      </c>
      <c r="D6914" t="s">
        <v>1</v>
      </c>
      <c r="E6914" t="s">
        <v>3088</v>
      </c>
      <c r="F6914" t="s">
        <v>3089</v>
      </c>
      <c r="G6914" t="s">
        <v>0</v>
      </c>
      <c r="H6914">
        <v>35</v>
      </c>
      <c r="I6914">
        <v>16.722000000000001</v>
      </c>
      <c r="J6914">
        <v>10.34</v>
      </c>
      <c r="K6914">
        <v>-6.3819999999999997</v>
      </c>
      <c r="L6914">
        <v>30</v>
      </c>
      <c r="M6914">
        <v>0</v>
      </c>
      <c r="N6914">
        <v>5</v>
      </c>
      <c r="O6914">
        <v>7.7510000000000003</v>
      </c>
      <c r="P6914">
        <v>-13.171236670000001</v>
      </c>
      <c r="Q6914">
        <v>13.111000000000001</v>
      </c>
    </row>
    <row r="6915" spans="1:17" x14ac:dyDescent="0.2">
      <c r="A6915" s="30" t="str">
        <f>IF(C6915&amp;G6915&amp;D6915&lt;&gt;'Funnel setup'!$K$3&amp;'Funnel setup'!$K$4&amp;'Funnel setup'!$K$5,".",IF(A6914=".",1,A6914+1))</f>
        <v>.</v>
      </c>
      <c r="B6915" s="431" t="str">
        <f t="shared" ref="B6915:B6978" si="108">C6915&amp;D6915&amp;F6915&amp;G6915</f>
        <v>Varicose VeinProviderCITY HOSPITALS SUNDERLAND NHS FOUNDATION TRUST (RLN)Aberdeen Varicose Vein Questionnaire</v>
      </c>
      <c r="C6915" t="s">
        <v>17</v>
      </c>
      <c r="D6915" t="s">
        <v>1</v>
      </c>
      <c r="E6915" t="s">
        <v>3100</v>
      </c>
      <c r="F6915" t="s">
        <v>3101</v>
      </c>
      <c r="G6915" t="s">
        <v>0</v>
      </c>
      <c r="H6915">
        <v>241</v>
      </c>
      <c r="I6915">
        <v>18.553000000000001</v>
      </c>
      <c r="J6915">
        <v>12.606999999999999</v>
      </c>
      <c r="K6915">
        <v>-5.9470000000000001</v>
      </c>
      <c r="L6915">
        <v>191</v>
      </c>
      <c r="M6915">
        <v>1</v>
      </c>
      <c r="N6915">
        <v>49</v>
      </c>
      <c r="O6915">
        <v>11.369</v>
      </c>
      <c r="P6915">
        <v>-9.5534296409999993</v>
      </c>
      <c r="Q6915">
        <v>14.384</v>
      </c>
    </row>
    <row r="6916" spans="1:17" x14ac:dyDescent="0.2">
      <c r="A6916" s="30" t="str">
        <f>IF(C6916&amp;G6916&amp;D6916&lt;&gt;'Funnel setup'!$K$3&amp;'Funnel setup'!$K$4&amp;'Funnel setup'!$K$5,".",IF(A6915=".",1,A6915+1))</f>
        <v>.</v>
      </c>
      <c r="B6916" s="431" t="str">
        <f t="shared" si="108"/>
        <v>Varicose VeinProviderCOBALT HOSPITAL (NVC29)Aberdeen Varicose Vein Questionnaire</v>
      </c>
      <c r="C6916" t="s">
        <v>17</v>
      </c>
      <c r="D6916" t="s">
        <v>1</v>
      </c>
      <c r="E6916" t="s">
        <v>3106</v>
      </c>
      <c r="F6916" t="s">
        <v>3107</v>
      </c>
      <c r="G6916" t="s">
        <v>0</v>
      </c>
      <c r="H6916">
        <v>20</v>
      </c>
      <c r="I6916">
        <v>18.620999999999999</v>
      </c>
      <c r="J6916">
        <v>9.0850000000000009</v>
      </c>
      <c r="K6916">
        <v>-9.5359999999999996</v>
      </c>
      <c r="L6916">
        <v>19</v>
      </c>
      <c r="M6916">
        <v>0</v>
      </c>
      <c r="N6916">
        <v>1</v>
      </c>
      <c r="O6916" t="s">
        <v>53</v>
      </c>
      <c r="P6916" t="s">
        <v>53</v>
      </c>
      <c r="Q6916" t="s">
        <v>53</v>
      </c>
    </row>
    <row r="6917" spans="1:17" x14ac:dyDescent="0.2">
      <c r="A6917" s="30" t="str">
        <f>IF(C6917&amp;G6917&amp;D6917&lt;&gt;'Funnel setup'!$K$3&amp;'Funnel setup'!$K$4&amp;'Funnel setup'!$K$5,".",IF(A6916=".",1,A6916+1))</f>
        <v>.</v>
      </c>
      <c r="B6917" s="431" t="str">
        <f t="shared" si="108"/>
        <v>Varicose VeinProviderCOLCHESTER HOSPITAL UNIVERSITY NHS FOUNDATION TRUST (RDE)Aberdeen Varicose Vein Questionnaire</v>
      </c>
      <c r="C6917" t="s">
        <v>17</v>
      </c>
      <c r="D6917" t="s">
        <v>1</v>
      </c>
      <c r="E6917" t="s">
        <v>3109</v>
      </c>
      <c r="F6917" t="s">
        <v>3110</v>
      </c>
      <c r="G6917" t="s">
        <v>0</v>
      </c>
      <c r="H6917">
        <v>17</v>
      </c>
      <c r="I6917">
        <v>24.11</v>
      </c>
      <c r="J6917">
        <v>18.954999999999998</v>
      </c>
      <c r="K6917">
        <v>-5.1539999999999999</v>
      </c>
      <c r="L6917">
        <v>13</v>
      </c>
      <c r="M6917">
        <v>0</v>
      </c>
      <c r="N6917">
        <v>4</v>
      </c>
      <c r="O6917" t="s">
        <v>53</v>
      </c>
      <c r="P6917" t="s">
        <v>53</v>
      </c>
      <c r="Q6917" t="s">
        <v>53</v>
      </c>
    </row>
    <row r="6918" spans="1:17" x14ac:dyDescent="0.2">
      <c r="A6918" s="30" t="str">
        <f>IF(C6918&amp;G6918&amp;D6918&lt;&gt;'Funnel setup'!$K$3&amp;'Funnel setup'!$K$4&amp;'Funnel setup'!$K$5,".",IF(A6917=".",1,A6917+1))</f>
        <v>.</v>
      </c>
      <c r="B6918" s="431" t="str">
        <f t="shared" si="108"/>
        <v>Varicose VeinProviderCOUNTESS OF CHESTER HOSPITAL NHS FOUNDATION TRUST (RJR)Aberdeen Varicose Vein Questionnaire</v>
      </c>
      <c r="C6918" t="s">
        <v>17</v>
      </c>
      <c r="D6918" t="s">
        <v>1</v>
      </c>
      <c r="E6918" t="s">
        <v>3781</v>
      </c>
      <c r="F6918" t="s">
        <v>3782</v>
      </c>
      <c r="G6918" t="s">
        <v>0</v>
      </c>
      <c r="H6918">
        <v>19</v>
      </c>
      <c r="I6918">
        <v>21.347999999999999</v>
      </c>
      <c r="J6918">
        <v>13.614000000000001</v>
      </c>
      <c r="K6918">
        <v>-7.7350000000000003</v>
      </c>
      <c r="L6918">
        <v>18</v>
      </c>
      <c r="M6918">
        <v>0</v>
      </c>
      <c r="N6918">
        <v>1</v>
      </c>
      <c r="O6918" t="s">
        <v>53</v>
      </c>
      <c r="P6918" t="s">
        <v>53</v>
      </c>
      <c r="Q6918" t="s">
        <v>53</v>
      </c>
    </row>
    <row r="6919" spans="1:17" x14ac:dyDescent="0.2">
      <c r="A6919" s="30" t="str">
        <f>IF(C6919&amp;G6919&amp;D6919&lt;&gt;'Funnel setup'!$K$3&amp;'Funnel setup'!$K$4&amp;'Funnel setup'!$K$5,".",IF(A6918=".",1,A6918+1))</f>
        <v>.</v>
      </c>
      <c r="B6919" s="431" t="str">
        <f t="shared" si="108"/>
        <v>Varicose VeinProviderCOUNTY DURHAM AND DARLINGTON NHS FOUNDATION TRUST (RXP)Aberdeen Varicose Vein Questionnaire</v>
      </c>
      <c r="C6919" t="s">
        <v>17</v>
      </c>
      <c r="D6919" t="s">
        <v>1</v>
      </c>
      <c r="E6919" t="s">
        <v>3784</v>
      </c>
      <c r="F6919" t="s">
        <v>3785</v>
      </c>
      <c r="G6919" t="s">
        <v>0</v>
      </c>
      <c r="H6919">
        <v>14</v>
      </c>
      <c r="I6919">
        <v>19.692</v>
      </c>
      <c r="J6919">
        <v>12.585000000000001</v>
      </c>
      <c r="K6919">
        <v>-7.1059999999999999</v>
      </c>
      <c r="L6919">
        <v>12</v>
      </c>
      <c r="M6919">
        <v>0</v>
      </c>
      <c r="N6919">
        <v>2</v>
      </c>
      <c r="O6919" t="s">
        <v>53</v>
      </c>
      <c r="P6919" t="s">
        <v>53</v>
      </c>
      <c r="Q6919" t="s">
        <v>53</v>
      </c>
    </row>
    <row r="6920" spans="1:17" x14ac:dyDescent="0.2">
      <c r="A6920" s="30" t="str">
        <f>IF(C6920&amp;G6920&amp;D6920&lt;&gt;'Funnel setup'!$K$3&amp;'Funnel setup'!$K$4&amp;'Funnel setup'!$K$5,".",IF(A6919=".",1,A6919+1))</f>
        <v>.</v>
      </c>
      <c r="B6920" s="431" t="str">
        <f t="shared" si="108"/>
        <v>Varicose VeinProviderDARTFORD AND GRAVESHAM NHS TRUST (RN7)Aberdeen Varicose Vein Questionnaire</v>
      </c>
      <c r="C6920" t="s">
        <v>17</v>
      </c>
      <c r="D6920" t="s">
        <v>1</v>
      </c>
      <c r="E6920" t="s">
        <v>3787</v>
      </c>
      <c r="F6920" t="s">
        <v>3788</v>
      </c>
      <c r="G6920" t="s">
        <v>0</v>
      </c>
      <c r="H6920" t="s">
        <v>53</v>
      </c>
      <c r="I6920" t="s">
        <v>53</v>
      </c>
      <c r="J6920" t="s">
        <v>53</v>
      </c>
      <c r="K6920" t="s">
        <v>53</v>
      </c>
      <c r="L6920" t="s">
        <v>53</v>
      </c>
      <c r="M6920" t="s">
        <v>53</v>
      </c>
      <c r="N6920" t="s">
        <v>53</v>
      </c>
      <c r="O6920" t="s">
        <v>53</v>
      </c>
      <c r="P6920" t="s">
        <v>53</v>
      </c>
      <c r="Q6920" t="s">
        <v>53</v>
      </c>
    </row>
    <row r="6921" spans="1:17" x14ac:dyDescent="0.2">
      <c r="A6921" s="30" t="str">
        <f>IF(C6921&amp;G6921&amp;D6921&lt;&gt;'Funnel setup'!$K$3&amp;'Funnel setup'!$K$4&amp;'Funnel setup'!$K$5,".",IF(A6920=".",1,A6920+1))</f>
        <v>.</v>
      </c>
      <c r="B6921" s="431" t="str">
        <f t="shared" si="108"/>
        <v>Varicose VeinProviderDERBY TEACHING HOSPITALS NHS FOUNDATION TRUST (RTG)Aberdeen Varicose Vein Questionnaire</v>
      </c>
      <c r="C6921" t="s">
        <v>17</v>
      </c>
      <c r="D6921" t="s">
        <v>1</v>
      </c>
      <c r="E6921" t="s">
        <v>3790</v>
      </c>
      <c r="F6921" t="s">
        <v>3791</v>
      </c>
      <c r="G6921" t="s">
        <v>0</v>
      </c>
      <c r="H6921">
        <v>21</v>
      </c>
      <c r="I6921">
        <v>21.777999999999999</v>
      </c>
      <c r="J6921">
        <v>12.305999999999999</v>
      </c>
      <c r="K6921">
        <v>-9.4710000000000001</v>
      </c>
      <c r="L6921">
        <v>17</v>
      </c>
      <c r="M6921">
        <v>0</v>
      </c>
      <c r="N6921">
        <v>4</v>
      </c>
      <c r="O6921" t="s">
        <v>53</v>
      </c>
      <c r="P6921" t="s">
        <v>53</v>
      </c>
      <c r="Q6921" t="s">
        <v>53</v>
      </c>
    </row>
    <row r="6922" spans="1:17" x14ac:dyDescent="0.2">
      <c r="A6922" s="30" t="str">
        <f>IF(C6922&amp;G6922&amp;D6922&lt;&gt;'Funnel setup'!$K$3&amp;'Funnel setup'!$K$4&amp;'Funnel setup'!$K$5,".",IF(A6921=".",1,A6921+1))</f>
        <v>.</v>
      </c>
      <c r="B6922" s="431" t="str">
        <f t="shared" si="108"/>
        <v>Varicose VeinProviderDEVIZES NHS TREATMENT CENTRE (NTPH3)Aberdeen Varicose Vein Questionnaire</v>
      </c>
      <c r="C6922" t="s">
        <v>17</v>
      </c>
      <c r="D6922" t="s">
        <v>1</v>
      </c>
      <c r="E6922" t="s">
        <v>3796</v>
      </c>
      <c r="F6922" t="s">
        <v>3797</v>
      </c>
      <c r="G6922" t="s">
        <v>0</v>
      </c>
      <c r="H6922">
        <v>18</v>
      </c>
      <c r="I6922">
        <v>20.390999999999998</v>
      </c>
      <c r="J6922">
        <v>12.291</v>
      </c>
      <c r="K6922">
        <v>-8.1</v>
      </c>
      <c r="L6922">
        <v>16</v>
      </c>
      <c r="M6922">
        <v>0</v>
      </c>
      <c r="N6922">
        <v>2</v>
      </c>
      <c r="O6922" t="s">
        <v>53</v>
      </c>
      <c r="P6922" t="s">
        <v>53</v>
      </c>
      <c r="Q6922" t="s">
        <v>53</v>
      </c>
    </row>
    <row r="6923" spans="1:17" x14ac:dyDescent="0.2">
      <c r="A6923" s="30" t="str">
        <f>IF(C6923&amp;G6923&amp;D6923&lt;&gt;'Funnel setup'!$K$3&amp;'Funnel setup'!$K$4&amp;'Funnel setup'!$K$5,".",IF(A6922=".",1,A6922+1))</f>
        <v>.</v>
      </c>
      <c r="B6923" s="431" t="str">
        <f t="shared" si="108"/>
        <v>Varicose VeinProviderDONCASTER AND BASSETLAW HOSPITALS NHS FOUNDATION TRUST (RP5)Aberdeen Varicose Vein Questionnaire</v>
      </c>
      <c r="C6923" t="s">
        <v>17</v>
      </c>
      <c r="D6923" t="s">
        <v>1</v>
      </c>
      <c r="E6923" t="s">
        <v>3799</v>
      </c>
      <c r="F6923" t="s">
        <v>3800</v>
      </c>
      <c r="G6923" t="s">
        <v>0</v>
      </c>
      <c r="H6923">
        <v>35</v>
      </c>
      <c r="I6923">
        <v>19.391999999999999</v>
      </c>
      <c r="J6923">
        <v>11.714</v>
      </c>
      <c r="K6923">
        <v>-7.6779999999999999</v>
      </c>
      <c r="L6923">
        <v>29</v>
      </c>
      <c r="M6923">
        <v>0</v>
      </c>
      <c r="N6923">
        <v>6</v>
      </c>
      <c r="O6923">
        <v>10.87</v>
      </c>
      <c r="P6923">
        <v>-10.05291847</v>
      </c>
      <c r="Q6923">
        <v>14.032</v>
      </c>
    </row>
    <row r="6924" spans="1:17" x14ac:dyDescent="0.2">
      <c r="A6924" s="30" t="str">
        <f>IF(C6924&amp;G6924&amp;D6924&lt;&gt;'Funnel setup'!$K$3&amp;'Funnel setup'!$K$4&amp;'Funnel setup'!$K$5,".",IF(A6923=".",1,A6923+1))</f>
        <v>.</v>
      </c>
      <c r="B6924" s="431" t="str">
        <f t="shared" si="108"/>
        <v>Varicose VeinProviderDORSET COUNTY HOSPITAL NHS FOUNDATION TRUST (RBD)Aberdeen Varicose Vein Questionnaire</v>
      </c>
      <c r="C6924" t="s">
        <v>17</v>
      </c>
      <c r="D6924" t="s">
        <v>1</v>
      </c>
      <c r="E6924" t="s">
        <v>3802</v>
      </c>
      <c r="F6924" t="s">
        <v>3803</v>
      </c>
      <c r="G6924" t="s">
        <v>0</v>
      </c>
      <c r="H6924">
        <v>34</v>
      </c>
      <c r="I6924">
        <v>21.498000000000001</v>
      </c>
      <c r="J6924">
        <v>11.99</v>
      </c>
      <c r="K6924">
        <v>-9.5079999999999991</v>
      </c>
      <c r="L6924">
        <v>26</v>
      </c>
      <c r="M6924">
        <v>0</v>
      </c>
      <c r="N6924">
        <v>8</v>
      </c>
      <c r="O6924">
        <v>12.365</v>
      </c>
      <c r="P6924">
        <v>-8.5569778939999992</v>
      </c>
      <c r="Q6924">
        <v>17.469000000000001</v>
      </c>
    </row>
    <row r="6925" spans="1:17" x14ac:dyDescent="0.2">
      <c r="A6925" s="30" t="str">
        <f>IF(C6925&amp;G6925&amp;D6925&lt;&gt;'Funnel setup'!$K$3&amp;'Funnel setup'!$K$4&amp;'Funnel setup'!$K$5,".",IF(A6924=".",1,A6924+1))</f>
        <v>.</v>
      </c>
      <c r="B6925" s="431" t="str">
        <f t="shared" si="108"/>
        <v>Varicose VeinProviderEAST AND NORTH HERTFORDSHIRE NHS TRUST (RWH)Aberdeen Varicose Vein Questionnaire</v>
      </c>
      <c r="C6925" t="s">
        <v>17</v>
      </c>
      <c r="D6925" t="s">
        <v>1</v>
      </c>
      <c r="E6925" t="s">
        <v>3814</v>
      </c>
      <c r="F6925" t="s">
        <v>3815</v>
      </c>
      <c r="G6925" t="s">
        <v>0</v>
      </c>
      <c r="H6925">
        <v>22</v>
      </c>
      <c r="I6925">
        <v>23.495000000000001</v>
      </c>
      <c r="J6925">
        <v>12.37</v>
      </c>
      <c r="K6925">
        <v>-11.125</v>
      </c>
      <c r="L6925">
        <v>20</v>
      </c>
      <c r="M6925">
        <v>0</v>
      </c>
      <c r="N6925">
        <v>2</v>
      </c>
      <c r="O6925" t="s">
        <v>53</v>
      </c>
      <c r="P6925" t="s">
        <v>53</v>
      </c>
      <c r="Q6925" t="s">
        <v>53</v>
      </c>
    </row>
    <row r="6926" spans="1:17" x14ac:dyDescent="0.2">
      <c r="A6926" s="30" t="str">
        <f>IF(C6926&amp;G6926&amp;D6926&lt;&gt;'Funnel setup'!$K$3&amp;'Funnel setup'!$K$4&amp;'Funnel setup'!$K$5,".",IF(A6925=".",1,A6925+1))</f>
        <v>.</v>
      </c>
      <c r="B6926" s="431" t="str">
        <f t="shared" si="108"/>
        <v>Varicose VeinProviderEAST CHESHIRE NHS TRUST (RJN)Aberdeen Varicose Vein Questionnaire</v>
      </c>
      <c r="C6926" t="s">
        <v>17</v>
      </c>
      <c r="D6926" t="s">
        <v>1</v>
      </c>
      <c r="E6926" t="s">
        <v>3817</v>
      </c>
      <c r="F6926" t="s">
        <v>3818</v>
      </c>
      <c r="G6926" t="s">
        <v>0</v>
      </c>
      <c r="H6926" t="s">
        <v>53</v>
      </c>
      <c r="I6926" t="s">
        <v>53</v>
      </c>
      <c r="J6926" t="s">
        <v>53</v>
      </c>
      <c r="K6926" t="s">
        <v>53</v>
      </c>
      <c r="L6926" t="s">
        <v>53</v>
      </c>
      <c r="M6926" t="s">
        <v>53</v>
      </c>
      <c r="N6926" t="s">
        <v>53</v>
      </c>
      <c r="O6926" t="s">
        <v>53</v>
      </c>
      <c r="P6926" t="s">
        <v>53</v>
      </c>
      <c r="Q6926" t="s">
        <v>53</v>
      </c>
    </row>
    <row r="6927" spans="1:17" x14ac:dyDescent="0.2">
      <c r="A6927" s="30" t="str">
        <f>IF(C6927&amp;G6927&amp;D6927&lt;&gt;'Funnel setup'!$K$3&amp;'Funnel setup'!$K$4&amp;'Funnel setup'!$K$5,".",IF(A6926=".",1,A6926+1))</f>
        <v>.</v>
      </c>
      <c r="B6927" s="431" t="str">
        <f t="shared" si="108"/>
        <v>Varicose VeinProviderEAST KENT HOSPITALS UNIVERSITY NHS FOUNDATION TRUST (RVV)Aberdeen Varicose Vein Questionnaire</v>
      </c>
      <c r="C6927" t="s">
        <v>17</v>
      </c>
      <c r="D6927" t="s">
        <v>1</v>
      </c>
      <c r="E6927" t="s">
        <v>3820</v>
      </c>
      <c r="F6927" t="s">
        <v>3821</v>
      </c>
      <c r="G6927" t="s">
        <v>0</v>
      </c>
      <c r="H6927" t="s">
        <v>53</v>
      </c>
      <c r="I6927" t="s">
        <v>53</v>
      </c>
      <c r="J6927" t="s">
        <v>53</v>
      </c>
      <c r="K6927" t="s">
        <v>53</v>
      </c>
      <c r="L6927" t="s">
        <v>53</v>
      </c>
      <c r="M6927" t="s">
        <v>53</v>
      </c>
      <c r="N6927" t="s">
        <v>53</v>
      </c>
      <c r="O6927" t="s">
        <v>53</v>
      </c>
      <c r="P6927" t="s">
        <v>53</v>
      </c>
      <c r="Q6927" t="s">
        <v>53</v>
      </c>
    </row>
    <row r="6928" spans="1:17" x14ac:dyDescent="0.2">
      <c r="A6928" s="30" t="str">
        <f>IF(C6928&amp;G6928&amp;D6928&lt;&gt;'Funnel setup'!$K$3&amp;'Funnel setup'!$K$4&amp;'Funnel setup'!$K$5,".",IF(A6927=".",1,A6927+1))</f>
        <v>.</v>
      </c>
      <c r="B6928" s="431" t="str">
        <f t="shared" si="108"/>
        <v>Varicose VeinProviderEAST LANCASHIRE HOSPITALS NHS TRUST (RXR)Aberdeen Varicose Vein Questionnaire</v>
      </c>
      <c r="C6928" t="s">
        <v>17</v>
      </c>
      <c r="D6928" t="s">
        <v>1</v>
      </c>
      <c r="E6928" t="s">
        <v>3823</v>
      </c>
      <c r="F6928" t="s">
        <v>3824</v>
      </c>
      <c r="G6928" t="s">
        <v>0</v>
      </c>
      <c r="H6928">
        <v>107</v>
      </c>
      <c r="I6928">
        <v>18.693999999999999</v>
      </c>
      <c r="J6928">
        <v>10.451000000000001</v>
      </c>
      <c r="K6928">
        <v>-8.2430000000000003</v>
      </c>
      <c r="L6928">
        <v>94</v>
      </c>
      <c r="M6928">
        <v>1</v>
      </c>
      <c r="N6928">
        <v>12</v>
      </c>
      <c r="O6928">
        <v>9.5340000000000007</v>
      </c>
      <c r="P6928">
        <v>-11.38865279</v>
      </c>
      <c r="Q6928">
        <v>13.401999999999999</v>
      </c>
    </row>
    <row r="6929" spans="1:17" x14ac:dyDescent="0.2">
      <c r="A6929" s="30" t="str">
        <f>IF(C6929&amp;G6929&amp;D6929&lt;&gt;'Funnel setup'!$K$3&amp;'Funnel setup'!$K$4&amp;'Funnel setup'!$K$5,".",IF(A6928=".",1,A6928+1))</f>
        <v>.</v>
      </c>
      <c r="B6929" s="431" t="str">
        <f t="shared" si="108"/>
        <v>Varicose VeinProviderEAST SUSSEX HEALTHCARE NHS TRUST (RXC)Aberdeen Varicose Vein Questionnaire</v>
      </c>
      <c r="C6929" t="s">
        <v>17</v>
      </c>
      <c r="D6929" t="s">
        <v>1</v>
      </c>
      <c r="E6929" t="s">
        <v>3826</v>
      </c>
      <c r="F6929" t="s">
        <v>3827</v>
      </c>
      <c r="G6929" t="s">
        <v>0</v>
      </c>
      <c r="H6929">
        <v>8</v>
      </c>
      <c r="I6929">
        <v>18.611000000000001</v>
      </c>
      <c r="J6929">
        <v>11.163</v>
      </c>
      <c r="K6929">
        <v>-7.4480000000000004</v>
      </c>
      <c r="L6929">
        <v>7</v>
      </c>
      <c r="M6929">
        <v>0</v>
      </c>
      <c r="N6929">
        <v>1</v>
      </c>
      <c r="O6929" t="s">
        <v>53</v>
      </c>
      <c r="P6929" t="s">
        <v>53</v>
      </c>
      <c r="Q6929" t="s">
        <v>53</v>
      </c>
    </row>
    <row r="6930" spans="1:17" x14ac:dyDescent="0.2">
      <c r="A6930" s="30" t="str">
        <f>IF(C6930&amp;G6930&amp;D6930&lt;&gt;'Funnel setup'!$K$3&amp;'Funnel setup'!$K$4&amp;'Funnel setup'!$K$5,".",IF(A6929=".",1,A6929+1))</f>
        <v>.</v>
      </c>
      <c r="B6930" s="431" t="str">
        <f t="shared" si="108"/>
        <v>Varicose VeinProviderEMERSONS GREEN NHS TREATMENT CENTRE (NTPH2)Aberdeen Varicose Vein Questionnaire</v>
      </c>
      <c r="C6930" t="s">
        <v>17</v>
      </c>
      <c r="D6930" t="s">
        <v>1</v>
      </c>
      <c r="E6930" t="s">
        <v>3829</v>
      </c>
      <c r="F6930" t="s">
        <v>3830</v>
      </c>
      <c r="G6930" t="s">
        <v>0</v>
      </c>
      <c r="H6930">
        <v>61</v>
      </c>
      <c r="I6930">
        <v>17.934999999999999</v>
      </c>
      <c r="J6930">
        <v>9.7029999999999994</v>
      </c>
      <c r="K6930">
        <v>-8.2330000000000005</v>
      </c>
      <c r="L6930">
        <v>50</v>
      </c>
      <c r="M6930">
        <v>1</v>
      </c>
      <c r="N6930">
        <v>10</v>
      </c>
      <c r="O6930">
        <v>7.492</v>
      </c>
      <c r="P6930">
        <v>-13.43063553</v>
      </c>
      <c r="Q6930">
        <v>12.551</v>
      </c>
    </row>
    <row r="6931" spans="1:17" x14ac:dyDescent="0.2">
      <c r="A6931" s="30" t="str">
        <f>IF(C6931&amp;G6931&amp;D6931&lt;&gt;'Funnel setup'!$K$3&amp;'Funnel setup'!$K$4&amp;'Funnel setup'!$K$5,".",IF(A6930=".",1,A6930+1))</f>
        <v>.</v>
      </c>
      <c r="B6931" s="431" t="str">
        <f t="shared" si="108"/>
        <v>Varicose VeinProviderEPSOM AND ST HELIER UNIVERSITY HOSPITALS NHS TRUST (RVR)Aberdeen Varicose Vein Questionnaire</v>
      </c>
      <c r="C6931" t="s">
        <v>17</v>
      </c>
      <c r="D6931" t="s">
        <v>1</v>
      </c>
      <c r="E6931" t="s">
        <v>3849</v>
      </c>
      <c r="F6931" t="s">
        <v>3850</v>
      </c>
      <c r="G6931" t="s">
        <v>0</v>
      </c>
      <c r="H6931">
        <v>29</v>
      </c>
      <c r="I6931">
        <v>25.984999999999999</v>
      </c>
      <c r="J6931">
        <v>14.537000000000001</v>
      </c>
      <c r="K6931">
        <v>-11.448</v>
      </c>
      <c r="L6931">
        <v>27</v>
      </c>
      <c r="M6931">
        <v>0</v>
      </c>
      <c r="N6931">
        <v>2</v>
      </c>
      <c r="O6931" t="s">
        <v>53</v>
      </c>
      <c r="P6931" t="s">
        <v>53</v>
      </c>
      <c r="Q6931" t="s">
        <v>53</v>
      </c>
    </row>
    <row r="6932" spans="1:17" x14ac:dyDescent="0.2">
      <c r="A6932" s="30" t="str">
        <f>IF(C6932&amp;G6932&amp;D6932&lt;&gt;'Funnel setup'!$K$3&amp;'Funnel setup'!$K$4&amp;'Funnel setup'!$K$5,".",IF(A6931=".",1,A6931+1))</f>
        <v>.</v>
      </c>
      <c r="B6932" s="431" t="str">
        <f t="shared" si="108"/>
        <v>Varicose VeinProviderEUXTON HALL HOSPITAL (NVC05)Aberdeen Varicose Vein Questionnaire</v>
      </c>
      <c r="C6932" t="s">
        <v>17</v>
      </c>
      <c r="D6932" t="s">
        <v>1</v>
      </c>
      <c r="E6932" t="s">
        <v>3852</v>
      </c>
      <c r="F6932" t="s">
        <v>3853</v>
      </c>
      <c r="G6932" t="s">
        <v>0</v>
      </c>
      <c r="H6932" t="s">
        <v>53</v>
      </c>
      <c r="I6932" t="s">
        <v>53</v>
      </c>
      <c r="J6932" t="s">
        <v>53</v>
      </c>
      <c r="K6932" t="s">
        <v>53</v>
      </c>
      <c r="L6932" t="s">
        <v>53</v>
      </c>
      <c r="M6932" t="s">
        <v>53</v>
      </c>
      <c r="N6932" t="s">
        <v>53</v>
      </c>
      <c r="O6932" t="s">
        <v>53</v>
      </c>
      <c r="P6932" t="s">
        <v>53</v>
      </c>
      <c r="Q6932" t="s">
        <v>53</v>
      </c>
    </row>
    <row r="6933" spans="1:17" x14ac:dyDescent="0.2">
      <c r="A6933" s="30" t="str">
        <f>IF(C6933&amp;G6933&amp;D6933&lt;&gt;'Funnel setup'!$K$3&amp;'Funnel setup'!$K$4&amp;'Funnel setup'!$K$5,".",IF(A6932=".",1,A6932+1))</f>
        <v>.</v>
      </c>
      <c r="B6933" s="431" t="str">
        <f t="shared" si="108"/>
        <v>Varicose VeinProviderFAIRFIELD HOSPITAL (NVG01)Aberdeen Varicose Vein Questionnaire</v>
      </c>
      <c r="C6933" t="s">
        <v>17</v>
      </c>
      <c r="D6933" t="s">
        <v>1</v>
      </c>
      <c r="E6933" t="s">
        <v>3855</v>
      </c>
      <c r="F6933" t="s">
        <v>3856</v>
      </c>
      <c r="G6933" t="s">
        <v>0</v>
      </c>
      <c r="H6933" t="s">
        <v>53</v>
      </c>
      <c r="I6933" t="s">
        <v>53</v>
      </c>
      <c r="J6933" t="s">
        <v>53</v>
      </c>
      <c r="K6933" t="s">
        <v>53</v>
      </c>
      <c r="L6933" t="s">
        <v>53</v>
      </c>
      <c r="M6933" t="s">
        <v>53</v>
      </c>
      <c r="N6933" t="s">
        <v>53</v>
      </c>
      <c r="O6933" t="s">
        <v>53</v>
      </c>
      <c r="P6933" t="s">
        <v>53</v>
      </c>
      <c r="Q6933" t="s">
        <v>53</v>
      </c>
    </row>
    <row r="6934" spans="1:17" x14ac:dyDescent="0.2">
      <c r="A6934" s="30" t="str">
        <f>IF(C6934&amp;G6934&amp;D6934&lt;&gt;'Funnel setup'!$K$3&amp;'Funnel setup'!$K$4&amp;'Funnel setup'!$K$5,".",IF(A6933=".",1,A6933+1))</f>
        <v>.</v>
      </c>
      <c r="B6934" s="431" t="str">
        <f t="shared" si="108"/>
        <v>Varicose VeinProviderFRIMLEY HEALTH NHS FOUNDATION TRUST (RDU)Aberdeen Varicose Vein Questionnaire</v>
      </c>
      <c r="C6934" t="s">
        <v>17</v>
      </c>
      <c r="D6934" t="s">
        <v>1</v>
      </c>
      <c r="E6934" t="s">
        <v>3861</v>
      </c>
      <c r="F6934" t="s">
        <v>3862</v>
      </c>
      <c r="G6934" t="s">
        <v>0</v>
      </c>
      <c r="H6934">
        <v>27</v>
      </c>
      <c r="I6934">
        <v>19.98</v>
      </c>
      <c r="J6934">
        <v>11.272</v>
      </c>
      <c r="K6934">
        <v>-8.7080000000000002</v>
      </c>
      <c r="L6934">
        <v>25</v>
      </c>
      <c r="M6934">
        <v>0</v>
      </c>
      <c r="N6934">
        <v>2</v>
      </c>
      <c r="O6934" t="s">
        <v>53</v>
      </c>
      <c r="P6934" t="s">
        <v>53</v>
      </c>
      <c r="Q6934" t="s">
        <v>53</v>
      </c>
    </row>
    <row r="6935" spans="1:17" x14ac:dyDescent="0.2">
      <c r="A6935" s="30" t="str">
        <f>IF(C6935&amp;G6935&amp;D6935&lt;&gt;'Funnel setup'!$K$3&amp;'Funnel setup'!$K$4&amp;'Funnel setup'!$K$5,".",IF(A6934=".",1,A6934+1))</f>
        <v>.</v>
      </c>
      <c r="B6935" s="431" t="str">
        <f t="shared" si="108"/>
        <v>Varicose VeinProviderFULWOOD HALL HOSPITAL (NVC07)Aberdeen Varicose Vein Questionnaire</v>
      </c>
      <c r="C6935" t="s">
        <v>17</v>
      </c>
      <c r="D6935" t="s">
        <v>1</v>
      </c>
      <c r="E6935" t="s">
        <v>3864</v>
      </c>
      <c r="F6935" t="s">
        <v>3865</v>
      </c>
      <c r="G6935" t="s">
        <v>0</v>
      </c>
      <c r="H6935">
        <v>51</v>
      </c>
      <c r="I6935">
        <v>17.132999999999999</v>
      </c>
      <c r="J6935">
        <v>11.435</v>
      </c>
      <c r="K6935">
        <v>-5.6980000000000004</v>
      </c>
      <c r="L6935">
        <v>40</v>
      </c>
      <c r="M6935">
        <v>0</v>
      </c>
      <c r="N6935">
        <v>11</v>
      </c>
      <c r="O6935">
        <v>9.6959999999999997</v>
      </c>
      <c r="P6935">
        <v>-11.22649474</v>
      </c>
      <c r="Q6935">
        <v>11.95</v>
      </c>
    </row>
    <row r="6936" spans="1:17" x14ac:dyDescent="0.2">
      <c r="A6936" s="30" t="str">
        <f>IF(C6936&amp;G6936&amp;D6936&lt;&gt;'Funnel setup'!$K$3&amp;'Funnel setup'!$K$4&amp;'Funnel setup'!$K$5,".",IF(A6935=".",1,A6935+1))</f>
        <v>.</v>
      </c>
      <c r="B6936" s="431" t="str">
        <f t="shared" si="108"/>
        <v>Varicose VeinProviderGATESHEAD HEALTH NHS FOUNDATION TRUST (RR7)Aberdeen Varicose Vein Questionnaire</v>
      </c>
      <c r="C6936" t="s">
        <v>17</v>
      </c>
      <c r="D6936" t="s">
        <v>1</v>
      </c>
      <c r="E6936" t="s">
        <v>3867</v>
      </c>
      <c r="F6936" t="s">
        <v>3868</v>
      </c>
      <c r="G6936" t="s">
        <v>0</v>
      </c>
      <c r="H6936">
        <v>77</v>
      </c>
      <c r="I6936">
        <v>16.861999999999998</v>
      </c>
      <c r="J6936">
        <v>10.744999999999999</v>
      </c>
      <c r="K6936">
        <v>-6.117</v>
      </c>
      <c r="L6936">
        <v>59</v>
      </c>
      <c r="M6936">
        <v>0</v>
      </c>
      <c r="N6936">
        <v>18</v>
      </c>
      <c r="O6936">
        <v>8.36</v>
      </c>
      <c r="P6936">
        <v>-12.56281409</v>
      </c>
      <c r="Q6936">
        <v>10.997</v>
      </c>
    </row>
    <row r="6937" spans="1:17" x14ac:dyDescent="0.2">
      <c r="A6937" s="30" t="str">
        <f>IF(C6937&amp;G6937&amp;D6937&lt;&gt;'Funnel setup'!$K$3&amp;'Funnel setup'!$K$4&amp;'Funnel setup'!$K$5,".",IF(A6936=".",1,A6936+1))</f>
        <v>.</v>
      </c>
      <c r="B6937" s="431" t="str">
        <f t="shared" si="108"/>
        <v>Varicose VeinProviderGEORGE ELIOT HOSPITAL NHS TRUST (RLT)Aberdeen Varicose Vein Questionnaire</v>
      </c>
      <c r="C6937" t="s">
        <v>17</v>
      </c>
      <c r="D6937" t="s">
        <v>1</v>
      </c>
      <c r="E6937" t="s">
        <v>3870</v>
      </c>
      <c r="F6937" t="s">
        <v>3871</v>
      </c>
      <c r="G6937" t="s">
        <v>0</v>
      </c>
      <c r="H6937" t="s">
        <v>53</v>
      </c>
      <c r="I6937" t="s">
        <v>53</v>
      </c>
      <c r="J6937" t="s">
        <v>53</v>
      </c>
      <c r="K6937" t="s">
        <v>53</v>
      </c>
      <c r="L6937" t="s">
        <v>53</v>
      </c>
      <c r="M6937" t="s">
        <v>53</v>
      </c>
      <c r="N6937" t="s">
        <v>53</v>
      </c>
      <c r="O6937" t="s">
        <v>53</v>
      </c>
      <c r="P6937" t="s">
        <v>53</v>
      </c>
      <c r="Q6937" t="s">
        <v>53</v>
      </c>
    </row>
    <row r="6938" spans="1:17" x14ac:dyDescent="0.2">
      <c r="A6938" s="30" t="str">
        <f>IF(C6938&amp;G6938&amp;D6938&lt;&gt;'Funnel setup'!$K$3&amp;'Funnel setup'!$K$4&amp;'Funnel setup'!$K$5,".",IF(A6937=".",1,A6937+1))</f>
        <v>.</v>
      </c>
      <c r="B6938" s="431" t="str">
        <f t="shared" si="108"/>
        <v>Varicose VeinProviderGLOUCESTERSHIRE HOSPITALS NHS FOUNDATION TRUST (RTE)Aberdeen Varicose Vein Questionnaire</v>
      </c>
      <c r="C6938" t="s">
        <v>17</v>
      </c>
      <c r="D6938" t="s">
        <v>1</v>
      </c>
      <c r="E6938" t="s">
        <v>3873</v>
      </c>
      <c r="F6938" t="s">
        <v>3874</v>
      </c>
      <c r="G6938" t="s">
        <v>0</v>
      </c>
      <c r="H6938">
        <v>48</v>
      </c>
      <c r="I6938">
        <v>19.66</v>
      </c>
      <c r="J6938">
        <v>7.8970000000000002</v>
      </c>
      <c r="K6938">
        <v>-11.763</v>
      </c>
      <c r="L6938">
        <v>44</v>
      </c>
      <c r="M6938">
        <v>0</v>
      </c>
      <c r="N6938">
        <v>4</v>
      </c>
      <c r="O6938">
        <v>6.4669999999999996</v>
      </c>
      <c r="P6938">
        <v>-14.45564469</v>
      </c>
      <c r="Q6938">
        <v>12.552</v>
      </c>
    </row>
    <row r="6939" spans="1:17" x14ac:dyDescent="0.2">
      <c r="A6939" s="30" t="str">
        <f>IF(C6939&amp;G6939&amp;D6939&lt;&gt;'Funnel setup'!$K$3&amp;'Funnel setup'!$K$4&amp;'Funnel setup'!$K$5,".",IF(A6938=".",1,A6938+1))</f>
        <v>.</v>
      </c>
      <c r="B6939" s="431" t="str">
        <f t="shared" si="108"/>
        <v>Varicose VeinProviderGREAT WESTERN HOSPITALS NHS FOUNDATION TRUST (RN3)Aberdeen Varicose Vein Questionnaire</v>
      </c>
      <c r="C6939" t="s">
        <v>17</v>
      </c>
      <c r="D6939" t="s">
        <v>1</v>
      </c>
      <c r="E6939" t="s">
        <v>3876</v>
      </c>
      <c r="F6939" t="s">
        <v>3877</v>
      </c>
      <c r="G6939" t="s">
        <v>0</v>
      </c>
      <c r="H6939">
        <v>23</v>
      </c>
      <c r="I6939">
        <v>29.695</v>
      </c>
      <c r="J6939">
        <v>19.085999999999999</v>
      </c>
      <c r="K6939">
        <v>-10.609</v>
      </c>
      <c r="L6939">
        <v>19</v>
      </c>
      <c r="M6939">
        <v>0</v>
      </c>
      <c r="N6939">
        <v>4</v>
      </c>
      <c r="O6939" t="s">
        <v>53</v>
      </c>
      <c r="P6939" t="s">
        <v>53</v>
      </c>
      <c r="Q6939" t="s">
        <v>53</v>
      </c>
    </row>
    <row r="6940" spans="1:17" x14ac:dyDescent="0.2">
      <c r="A6940" s="30" t="str">
        <f>IF(C6940&amp;G6940&amp;D6940&lt;&gt;'Funnel setup'!$K$3&amp;'Funnel setup'!$K$4&amp;'Funnel setup'!$K$5,".",IF(A6939=".",1,A6939+1))</f>
        <v>.</v>
      </c>
      <c r="B6940" s="431" t="str">
        <f t="shared" si="108"/>
        <v>Varicose VeinProviderGUY'S AND ST THOMAS' NHS FOUNDATION TRUST (RJ1)Aberdeen Varicose Vein Questionnaire</v>
      </c>
      <c r="C6940" t="s">
        <v>17</v>
      </c>
      <c r="D6940" t="s">
        <v>1</v>
      </c>
      <c r="E6940" t="s">
        <v>3879</v>
      </c>
      <c r="F6940" t="s">
        <v>3880</v>
      </c>
      <c r="G6940" t="s">
        <v>0</v>
      </c>
      <c r="H6940">
        <v>74</v>
      </c>
      <c r="I6940">
        <v>23.294</v>
      </c>
      <c r="J6940">
        <v>17.838999999999999</v>
      </c>
      <c r="K6940">
        <v>-5.4550000000000001</v>
      </c>
      <c r="L6940">
        <v>51</v>
      </c>
      <c r="M6940">
        <v>0</v>
      </c>
      <c r="N6940">
        <v>23</v>
      </c>
      <c r="O6940">
        <v>19.318000000000001</v>
      </c>
      <c r="P6940">
        <v>-1.604285269</v>
      </c>
      <c r="Q6940">
        <v>17.960999999999999</v>
      </c>
    </row>
    <row r="6941" spans="1:17" x14ac:dyDescent="0.2">
      <c r="A6941" s="30" t="str">
        <f>IF(C6941&amp;G6941&amp;D6941&lt;&gt;'Funnel setup'!$K$3&amp;'Funnel setup'!$K$4&amp;'Funnel setup'!$K$5,".",IF(A6940=".",1,A6940+1))</f>
        <v>.</v>
      </c>
      <c r="B6941" s="431" t="str">
        <f t="shared" si="108"/>
        <v>Varicose VeinProviderHAMPSHIRE HOSPITALS NHS FOUNDATION TRUST (RN5)Aberdeen Varicose Vein Questionnaire</v>
      </c>
      <c r="C6941" t="s">
        <v>17</v>
      </c>
      <c r="D6941" t="s">
        <v>1</v>
      </c>
      <c r="E6941" t="s">
        <v>3882</v>
      </c>
      <c r="F6941" t="s">
        <v>3883</v>
      </c>
      <c r="G6941" t="s">
        <v>0</v>
      </c>
      <c r="H6941" t="s">
        <v>53</v>
      </c>
      <c r="I6941" t="s">
        <v>53</v>
      </c>
      <c r="J6941" t="s">
        <v>53</v>
      </c>
      <c r="K6941" t="s">
        <v>53</v>
      </c>
      <c r="L6941" t="s">
        <v>53</v>
      </c>
      <c r="M6941" t="s">
        <v>53</v>
      </c>
      <c r="N6941" t="s">
        <v>53</v>
      </c>
      <c r="O6941" t="s">
        <v>53</v>
      </c>
      <c r="P6941" t="s">
        <v>53</v>
      </c>
      <c r="Q6941" t="s">
        <v>53</v>
      </c>
    </row>
    <row r="6942" spans="1:17" x14ac:dyDescent="0.2">
      <c r="A6942" s="30" t="str">
        <f>IF(C6942&amp;G6942&amp;D6942&lt;&gt;'Funnel setup'!$K$3&amp;'Funnel setup'!$K$4&amp;'Funnel setup'!$K$5,".",IF(A6941=".",1,A6941+1))</f>
        <v>.</v>
      </c>
      <c r="B6942" s="431" t="str">
        <f t="shared" si="108"/>
        <v>Varicose VeinProviderHARROGATE AND DISTRICT NHS FOUNDATION TRUST (RCD)Aberdeen Varicose Vein Questionnaire</v>
      </c>
      <c r="C6942" t="s">
        <v>17</v>
      </c>
      <c r="D6942" t="s">
        <v>1</v>
      </c>
      <c r="E6942" t="s">
        <v>3885</v>
      </c>
      <c r="F6942" t="s">
        <v>3886</v>
      </c>
      <c r="G6942" t="s">
        <v>0</v>
      </c>
      <c r="H6942" t="s">
        <v>53</v>
      </c>
      <c r="I6942" t="s">
        <v>53</v>
      </c>
      <c r="J6942" t="s">
        <v>53</v>
      </c>
      <c r="K6942" t="s">
        <v>53</v>
      </c>
      <c r="L6942" t="s">
        <v>53</v>
      </c>
      <c r="M6942" t="s">
        <v>53</v>
      </c>
      <c r="N6942" t="s">
        <v>53</v>
      </c>
      <c r="O6942" t="s">
        <v>53</v>
      </c>
      <c r="P6942" t="s">
        <v>53</v>
      </c>
      <c r="Q6942" t="s">
        <v>53</v>
      </c>
    </row>
    <row r="6943" spans="1:17" x14ac:dyDescent="0.2">
      <c r="A6943" s="30" t="str">
        <f>IF(C6943&amp;G6943&amp;D6943&lt;&gt;'Funnel setup'!$K$3&amp;'Funnel setup'!$K$4&amp;'Funnel setup'!$K$5,".",IF(A6942=".",1,A6942+1))</f>
        <v>.</v>
      </c>
      <c r="B6943" s="431" t="str">
        <f t="shared" si="108"/>
        <v>Varicose VeinProviderHEART OF ENGLAND NHS FOUNDATION TRUST (RR1)Aberdeen Varicose Vein Questionnaire</v>
      </c>
      <c r="C6943" t="s">
        <v>17</v>
      </c>
      <c r="D6943" t="s">
        <v>1</v>
      </c>
      <c r="E6943" t="s">
        <v>3888</v>
      </c>
      <c r="F6943" t="s">
        <v>3889</v>
      </c>
      <c r="G6943" t="s">
        <v>0</v>
      </c>
      <c r="H6943">
        <v>156</v>
      </c>
      <c r="I6943">
        <v>21.4</v>
      </c>
      <c r="J6943">
        <v>11.336</v>
      </c>
      <c r="K6943">
        <v>-10.064</v>
      </c>
      <c r="L6943">
        <v>133</v>
      </c>
      <c r="M6943">
        <v>0</v>
      </c>
      <c r="N6943">
        <v>23</v>
      </c>
      <c r="O6943">
        <v>11.484999999999999</v>
      </c>
      <c r="P6943">
        <v>-9.4371457020000005</v>
      </c>
      <c r="Q6943">
        <v>14.333</v>
      </c>
    </row>
    <row r="6944" spans="1:17" x14ac:dyDescent="0.2">
      <c r="A6944" s="30" t="str">
        <f>IF(C6944&amp;G6944&amp;D6944&lt;&gt;'Funnel setup'!$K$3&amp;'Funnel setup'!$K$4&amp;'Funnel setup'!$K$5,".",IF(A6943=".",1,A6943+1))</f>
        <v>.</v>
      </c>
      <c r="B6944" s="431" t="str">
        <f t="shared" si="108"/>
        <v>Varicose VeinProviderHINCHINGBROOKE HEALTH CARE NHS TRUST (RQQ)Aberdeen Varicose Vein Questionnaire</v>
      </c>
      <c r="C6944" t="s">
        <v>17</v>
      </c>
      <c r="D6944" t="s">
        <v>1</v>
      </c>
      <c r="E6944" t="s">
        <v>3894</v>
      </c>
      <c r="F6944" t="s">
        <v>3895</v>
      </c>
      <c r="G6944" t="s">
        <v>0</v>
      </c>
      <c r="H6944" t="s">
        <v>53</v>
      </c>
      <c r="I6944" t="s">
        <v>53</v>
      </c>
      <c r="J6944" t="s">
        <v>53</v>
      </c>
      <c r="K6944" t="s">
        <v>53</v>
      </c>
      <c r="L6944" t="s">
        <v>53</v>
      </c>
      <c r="M6944" t="s">
        <v>53</v>
      </c>
      <c r="N6944" t="s">
        <v>53</v>
      </c>
      <c r="O6944" t="s">
        <v>53</v>
      </c>
      <c r="P6944" t="s">
        <v>53</v>
      </c>
      <c r="Q6944" t="s">
        <v>53</v>
      </c>
    </row>
    <row r="6945" spans="1:17" x14ac:dyDescent="0.2">
      <c r="A6945" s="30" t="str">
        <f>IF(C6945&amp;G6945&amp;D6945&lt;&gt;'Funnel setup'!$K$3&amp;'Funnel setup'!$K$4&amp;'Funnel setup'!$K$5,".",IF(A6944=".",1,A6944+1))</f>
        <v>.</v>
      </c>
      <c r="B6945" s="431" t="str">
        <f t="shared" si="108"/>
        <v>Varicose VeinProviderHULL AND EAST YORKSHIRE HOSPITALS NHS TRUST (RWA)Aberdeen Varicose Vein Questionnaire</v>
      </c>
      <c r="C6945" t="s">
        <v>17</v>
      </c>
      <c r="D6945" t="s">
        <v>1</v>
      </c>
      <c r="E6945" t="s">
        <v>3906</v>
      </c>
      <c r="F6945" t="s">
        <v>3907</v>
      </c>
      <c r="G6945" t="s">
        <v>0</v>
      </c>
      <c r="H6945">
        <v>97</v>
      </c>
      <c r="I6945">
        <v>19.303999999999998</v>
      </c>
      <c r="J6945">
        <v>8.3390000000000004</v>
      </c>
      <c r="K6945">
        <v>-10.965</v>
      </c>
      <c r="L6945">
        <v>86</v>
      </c>
      <c r="M6945">
        <v>0</v>
      </c>
      <c r="N6945">
        <v>11</v>
      </c>
      <c r="O6945">
        <v>7.1150000000000002</v>
      </c>
      <c r="P6945">
        <v>-13.80777636</v>
      </c>
      <c r="Q6945">
        <v>10.286</v>
      </c>
    </row>
    <row r="6946" spans="1:17" x14ac:dyDescent="0.2">
      <c r="A6946" s="30" t="str">
        <f>IF(C6946&amp;G6946&amp;D6946&lt;&gt;'Funnel setup'!$K$3&amp;'Funnel setup'!$K$4&amp;'Funnel setup'!$K$5,".",IF(A6945=".",1,A6945+1))</f>
        <v>.</v>
      </c>
      <c r="B6946" s="431" t="str">
        <f t="shared" si="108"/>
        <v>Varicose VeinProviderIMPERIAL COLLEGE HEALTHCARE NHS TRUST (RYJ)Aberdeen Varicose Vein Questionnaire</v>
      </c>
      <c r="C6946" t="s">
        <v>17</v>
      </c>
      <c r="D6946" t="s">
        <v>1</v>
      </c>
      <c r="E6946" t="s">
        <v>4558</v>
      </c>
      <c r="F6946" t="s">
        <v>4559</v>
      </c>
      <c r="G6946" t="s">
        <v>0</v>
      </c>
      <c r="H6946">
        <v>183</v>
      </c>
      <c r="I6946">
        <v>21.706</v>
      </c>
      <c r="J6946">
        <v>17.806000000000001</v>
      </c>
      <c r="K6946">
        <v>-3.9009999999999998</v>
      </c>
      <c r="L6946">
        <v>123</v>
      </c>
      <c r="M6946">
        <v>0</v>
      </c>
      <c r="N6946">
        <v>60</v>
      </c>
      <c r="O6946">
        <v>19.010000000000002</v>
      </c>
      <c r="P6946">
        <v>-1.9123013959999999</v>
      </c>
      <c r="Q6946">
        <v>19.428000000000001</v>
      </c>
    </row>
    <row r="6947" spans="1:17" x14ac:dyDescent="0.2">
      <c r="A6947" s="30" t="str">
        <f>IF(C6947&amp;G6947&amp;D6947&lt;&gt;'Funnel setup'!$K$3&amp;'Funnel setup'!$K$4&amp;'Funnel setup'!$K$5,".",IF(A6946=".",1,A6946+1))</f>
        <v>.</v>
      </c>
      <c r="B6947" s="431" t="str">
        <f t="shared" si="108"/>
        <v>Varicose VeinProviderIPSWICH HOSPITAL NHS TRUST (RGQ)Aberdeen Varicose Vein Questionnaire</v>
      </c>
      <c r="C6947" t="s">
        <v>17</v>
      </c>
      <c r="D6947" t="s">
        <v>1</v>
      </c>
      <c r="E6947" t="s">
        <v>3909</v>
      </c>
      <c r="F6947" t="s">
        <v>3910</v>
      </c>
      <c r="G6947" t="s">
        <v>0</v>
      </c>
      <c r="H6947">
        <v>102</v>
      </c>
      <c r="I6947">
        <v>19.632999999999999</v>
      </c>
      <c r="J6947">
        <v>11.228</v>
      </c>
      <c r="K6947">
        <v>-8.4060000000000006</v>
      </c>
      <c r="L6947">
        <v>87</v>
      </c>
      <c r="M6947">
        <v>0</v>
      </c>
      <c r="N6947">
        <v>15</v>
      </c>
      <c r="O6947">
        <v>10.311</v>
      </c>
      <c r="P6947">
        <v>-10.61129976</v>
      </c>
      <c r="Q6947">
        <v>12.685</v>
      </c>
    </row>
    <row r="6948" spans="1:17" x14ac:dyDescent="0.2">
      <c r="A6948" s="30" t="str">
        <f>IF(C6948&amp;G6948&amp;D6948&lt;&gt;'Funnel setup'!$K$3&amp;'Funnel setup'!$K$4&amp;'Funnel setup'!$K$5,".",IF(A6947=".",1,A6947+1))</f>
        <v>.</v>
      </c>
      <c r="B6948" s="431" t="str">
        <f t="shared" si="108"/>
        <v>Varicose VeinProviderJAMES PAGET UNIVERSITY HOSPITALS NHS FOUNDATION TRUST (RGP)Aberdeen Varicose Vein Questionnaire</v>
      </c>
      <c r="C6948" t="s">
        <v>17</v>
      </c>
      <c r="D6948" t="s">
        <v>1</v>
      </c>
      <c r="E6948" t="s">
        <v>3915</v>
      </c>
      <c r="F6948" t="s">
        <v>3916</v>
      </c>
      <c r="G6948" t="s">
        <v>0</v>
      </c>
      <c r="H6948">
        <v>26</v>
      </c>
      <c r="I6948">
        <v>15.621</v>
      </c>
      <c r="J6948">
        <v>8.2319999999999993</v>
      </c>
      <c r="K6948">
        <v>-7.3890000000000002</v>
      </c>
      <c r="L6948">
        <v>23</v>
      </c>
      <c r="M6948">
        <v>0</v>
      </c>
      <c r="N6948">
        <v>3</v>
      </c>
      <c r="O6948" t="s">
        <v>53</v>
      </c>
      <c r="P6948" t="s">
        <v>53</v>
      </c>
      <c r="Q6948" t="s">
        <v>53</v>
      </c>
    </row>
    <row r="6949" spans="1:17" x14ac:dyDescent="0.2">
      <c r="A6949" s="30" t="str">
        <f>IF(C6949&amp;G6949&amp;D6949&lt;&gt;'Funnel setup'!$K$3&amp;'Funnel setup'!$K$4&amp;'Funnel setup'!$K$5,".",IF(A6948=".",1,A6948+1))</f>
        <v>.</v>
      </c>
      <c r="B6949" s="431" t="str">
        <f t="shared" si="108"/>
        <v>Varicose VeinProviderKETTERING GENERAL HOSPITAL NHS FOUNDATION TRUST (RNQ)Aberdeen Varicose Vein Questionnaire</v>
      </c>
      <c r="C6949" t="s">
        <v>17</v>
      </c>
      <c r="D6949" t="s">
        <v>1</v>
      </c>
      <c r="E6949" t="s">
        <v>3918</v>
      </c>
      <c r="F6949" t="s">
        <v>3919</v>
      </c>
      <c r="G6949" t="s">
        <v>0</v>
      </c>
      <c r="H6949" t="s">
        <v>53</v>
      </c>
      <c r="I6949" t="s">
        <v>53</v>
      </c>
      <c r="J6949" t="s">
        <v>53</v>
      </c>
      <c r="K6949" t="s">
        <v>53</v>
      </c>
      <c r="L6949" t="s">
        <v>53</v>
      </c>
      <c r="M6949" t="s">
        <v>53</v>
      </c>
      <c r="N6949" t="s">
        <v>53</v>
      </c>
      <c r="O6949" t="s">
        <v>53</v>
      </c>
      <c r="P6949" t="s">
        <v>53</v>
      </c>
      <c r="Q6949" t="s">
        <v>53</v>
      </c>
    </row>
    <row r="6950" spans="1:17" x14ac:dyDescent="0.2">
      <c r="A6950" s="30" t="str">
        <f>IF(C6950&amp;G6950&amp;D6950&lt;&gt;'Funnel setup'!$K$3&amp;'Funnel setup'!$K$4&amp;'Funnel setup'!$K$5,".",IF(A6949=".",1,A6949+1))</f>
        <v>.</v>
      </c>
      <c r="B6950" s="431" t="str">
        <f t="shared" si="108"/>
        <v>Varicose VeinProviderKING'S COLLEGE HOSPITAL NHS FOUNDATION TRUST (RJZ)Aberdeen Varicose Vein Questionnaire</v>
      </c>
      <c r="C6950" t="s">
        <v>17</v>
      </c>
      <c r="D6950" t="s">
        <v>1</v>
      </c>
      <c r="E6950" t="s">
        <v>3924</v>
      </c>
      <c r="F6950" t="s">
        <v>3925</v>
      </c>
      <c r="G6950" t="s">
        <v>0</v>
      </c>
      <c r="H6950">
        <v>18</v>
      </c>
      <c r="I6950">
        <v>16.238</v>
      </c>
      <c r="J6950">
        <v>8.6609999999999996</v>
      </c>
      <c r="K6950">
        <v>-7.577</v>
      </c>
      <c r="L6950">
        <v>16</v>
      </c>
      <c r="M6950">
        <v>0</v>
      </c>
      <c r="N6950">
        <v>2</v>
      </c>
      <c r="O6950" t="s">
        <v>53</v>
      </c>
      <c r="P6950" t="s">
        <v>53</v>
      </c>
      <c r="Q6950" t="s">
        <v>53</v>
      </c>
    </row>
    <row r="6951" spans="1:17" x14ac:dyDescent="0.2">
      <c r="A6951" s="30" t="str">
        <f>IF(C6951&amp;G6951&amp;D6951&lt;&gt;'Funnel setup'!$K$3&amp;'Funnel setup'!$K$4&amp;'Funnel setup'!$K$5,".",IF(A6950=".",1,A6950+1))</f>
        <v>.</v>
      </c>
      <c r="B6951" s="431" t="str">
        <f t="shared" si="108"/>
        <v>Varicose VeinProviderLANCASHIRE TEACHING HOSPITALS NHS FOUNDATION TRUST (RXN)Aberdeen Varicose Vein Questionnaire</v>
      </c>
      <c r="C6951" t="s">
        <v>17</v>
      </c>
      <c r="D6951" t="s">
        <v>1</v>
      </c>
      <c r="E6951" t="s">
        <v>3567</v>
      </c>
      <c r="F6951" t="s">
        <v>3568</v>
      </c>
      <c r="G6951" t="s">
        <v>0</v>
      </c>
      <c r="H6951">
        <v>13</v>
      </c>
      <c r="I6951">
        <v>15.349</v>
      </c>
      <c r="J6951">
        <v>9.6910000000000007</v>
      </c>
      <c r="K6951">
        <v>-5.657</v>
      </c>
      <c r="L6951">
        <v>12</v>
      </c>
      <c r="M6951">
        <v>0</v>
      </c>
      <c r="N6951">
        <v>1</v>
      </c>
      <c r="O6951" t="s">
        <v>53</v>
      </c>
      <c r="P6951" t="s">
        <v>53</v>
      </c>
      <c r="Q6951" t="s">
        <v>53</v>
      </c>
    </row>
    <row r="6952" spans="1:17" x14ac:dyDescent="0.2">
      <c r="A6952" s="30" t="str">
        <f>IF(C6952&amp;G6952&amp;D6952&lt;&gt;'Funnel setup'!$K$3&amp;'Funnel setup'!$K$4&amp;'Funnel setup'!$K$5,".",IF(A6951=".",1,A6951+1))</f>
        <v>.</v>
      </c>
      <c r="B6952" s="431" t="str">
        <f t="shared" si="108"/>
        <v>Varicose VeinProviderLEEDS TEACHING HOSPITALS NHS TRUST (RR8)Aberdeen Varicose Vein Questionnaire</v>
      </c>
      <c r="C6952" t="s">
        <v>17</v>
      </c>
      <c r="D6952" t="s">
        <v>1</v>
      </c>
      <c r="E6952" t="s">
        <v>3930</v>
      </c>
      <c r="F6952" t="s">
        <v>344</v>
      </c>
      <c r="G6952" t="s">
        <v>0</v>
      </c>
      <c r="H6952">
        <v>232</v>
      </c>
      <c r="I6952">
        <v>19.088000000000001</v>
      </c>
      <c r="J6952">
        <v>11.922000000000001</v>
      </c>
      <c r="K6952">
        <v>-7.1660000000000004</v>
      </c>
      <c r="L6952">
        <v>193</v>
      </c>
      <c r="M6952">
        <v>0</v>
      </c>
      <c r="N6952">
        <v>39</v>
      </c>
      <c r="O6952">
        <v>10.913</v>
      </c>
      <c r="P6952">
        <v>-10.00920131</v>
      </c>
      <c r="Q6952">
        <v>15.526999999999999</v>
      </c>
    </row>
    <row r="6953" spans="1:17" x14ac:dyDescent="0.2">
      <c r="A6953" s="30" t="str">
        <f>IF(C6953&amp;G6953&amp;D6953&lt;&gt;'Funnel setup'!$K$3&amp;'Funnel setup'!$K$4&amp;'Funnel setup'!$K$5,".",IF(A6952=".",1,A6952+1))</f>
        <v>.</v>
      </c>
      <c r="B6953" s="431" t="str">
        <f t="shared" si="108"/>
        <v>Varicose VeinProviderLEWISHAM AND GREENWICH NHS TRUST (RJ2)Aberdeen Varicose Vein Questionnaire</v>
      </c>
      <c r="C6953" t="s">
        <v>17</v>
      </c>
      <c r="D6953" t="s">
        <v>1</v>
      </c>
      <c r="E6953" t="s">
        <v>3522</v>
      </c>
      <c r="F6953" t="s">
        <v>3523</v>
      </c>
      <c r="G6953" t="s">
        <v>0</v>
      </c>
      <c r="H6953">
        <v>90</v>
      </c>
      <c r="I6953">
        <v>21.04</v>
      </c>
      <c r="J6953">
        <v>15.611000000000001</v>
      </c>
      <c r="K6953">
        <v>-5.4290000000000003</v>
      </c>
      <c r="L6953">
        <v>64</v>
      </c>
      <c r="M6953">
        <v>0</v>
      </c>
      <c r="N6953">
        <v>26</v>
      </c>
      <c r="O6953">
        <v>16.646999999999998</v>
      </c>
      <c r="P6953">
        <v>-4.2758565070000003</v>
      </c>
      <c r="Q6953">
        <v>18.251000000000001</v>
      </c>
    </row>
    <row r="6954" spans="1:17" x14ac:dyDescent="0.2">
      <c r="A6954" s="30" t="str">
        <f>IF(C6954&amp;G6954&amp;D6954&lt;&gt;'Funnel setup'!$K$3&amp;'Funnel setup'!$K$4&amp;'Funnel setup'!$K$5,".",IF(A6953=".",1,A6953+1))</f>
        <v>.</v>
      </c>
      <c r="B6954" s="431" t="str">
        <f t="shared" si="108"/>
        <v>Varicose VeinProviderLONDON NORTH WEST HEALTHCARE NHS TRUST (R1K)Aberdeen Varicose Vein Questionnaire</v>
      </c>
      <c r="C6954" t="s">
        <v>17</v>
      </c>
      <c r="D6954" t="s">
        <v>1</v>
      </c>
      <c r="E6954" t="s">
        <v>6515</v>
      </c>
      <c r="F6954" t="s">
        <v>6516</v>
      </c>
      <c r="G6954" t="s">
        <v>0</v>
      </c>
      <c r="H6954">
        <v>44</v>
      </c>
      <c r="I6954">
        <v>27.654</v>
      </c>
      <c r="J6954">
        <v>21.843</v>
      </c>
      <c r="K6954">
        <v>-5.81</v>
      </c>
      <c r="L6954">
        <v>28</v>
      </c>
      <c r="M6954">
        <v>0</v>
      </c>
      <c r="N6954">
        <v>16</v>
      </c>
      <c r="O6954">
        <v>26.510999999999999</v>
      </c>
      <c r="P6954">
        <v>5.5884673569999999</v>
      </c>
      <c r="Q6954">
        <v>23.477</v>
      </c>
    </row>
    <row r="6955" spans="1:17" x14ac:dyDescent="0.2">
      <c r="A6955" s="30" t="str">
        <f>IF(C6955&amp;G6955&amp;D6955&lt;&gt;'Funnel setup'!$K$3&amp;'Funnel setup'!$K$4&amp;'Funnel setup'!$K$5,".",IF(A6954=".",1,A6954+1))</f>
        <v>.</v>
      </c>
      <c r="B6955" s="431" t="str">
        <f t="shared" si="108"/>
        <v>Varicose VeinProviderLUTON AND DUNSTABLE UNIVERSITY HOSPITAL NHS FOUNDATION TRUST (RC9)Aberdeen Varicose Vein Questionnaire</v>
      </c>
      <c r="C6955" t="s">
        <v>17</v>
      </c>
      <c r="D6955" t="s">
        <v>1</v>
      </c>
      <c r="E6955" t="s">
        <v>3528</v>
      </c>
      <c r="F6955" t="s">
        <v>3529</v>
      </c>
      <c r="G6955" t="s">
        <v>0</v>
      </c>
      <c r="H6955">
        <v>12</v>
      </c>
      <c r="I6955">
        <v>24.574999999999999</v>
      </c>
      <c r="J6955">
        <v>16.78</v>
      </c>
      <c r="K6955">
        <v>-7.7949999999999999</v>
      </c>
      <c r="L6955">
        <v>10</v>
      </c>
      <c r="M6955">
        <v>0</v>
      </c>
      <c r="N6955">
        <v>2</v>
      </c>
      <c r="O6955" t="s">
        <v>53</v>
      </c>
      <c r="P6955" t="s">
        <v>53</v>
      </c>
      <c r="Q6955" t="s">
        <v>53</v>
      </c>
    </row>
    <row r="6956" spans="1:17" x14ac:dyDescent="0.2">
      <c r="A6956" s="30" t="str">
        <f>IF(C6956&amp;G6956&amp;D6956&lt;&gt;'Funnel setup'!$K$3&amp;'Funnel setup'!$K$4&amp;'Funnel setup'!$K$5,".",IF(A6955=".",1,A6955+1))</f>
        <v>.</v>
      </c>
      <c r="B6956" s="431" t="str">
        <f t="shared" si="108"/>
        <v>Varicose VeinProviderMAIDSTONE AND TUNBRIDGE WELLS NHS TRUST (RWF)Aberdeen Varicose Vein Questionnaire</v>
      </c>
      <c r="C6956" t="s">
        <v>17</v>
      </c>
      <c r="D6956" t="s">
        <v>1</v>
      </c>
      <c r="E6956" t="s">
        <v>3627</v>
      </c>
      <c r="F6956" t="s">
        <v>3628</v>
      </c>
      <c r="G6956" t="s">
        <v>0</v>
      </c>
      <c r="H6956">
        <v>7</v>
      </c>
      <c r="I6956">
        <v>23.739000000000001</v>
      </c>
      <c r="J6956">
        <v>16.52</v>
      </c>
      <c r="K6956">
        <v>-7.2190000000000003</v>
      </c>
      <c r="L6956">
        <v>5</v>
      </c>
      <c r="M6956">
        <v>0</v>
      </c>
      <c r="N6956">
        <v>2</v>
      </c>
      <c r="O6956" t="s">
        <v>53</v>
      </c>
      <c r="P6956" t="s">
        <v>53</v>
      </c>
      <c r="Q6956" t="s">
        <v>53</v>
      </c>
    </row>
    <row r="6957" spans="1:17" x14ac:dyDescent="0.2">
      <c r="A6957" s="30" t="str">
        <f>IF(C6957&amp;G6957&amp;D6957&lt;&gt;'Funnel setup'!$K$3&amp;'Funnel setup'!$K$4&amp;'Funnel setup'!$K$5,".",IF(A6956=".",1,A6956+1))</f>
        <v>.</v>
      </c>
      <c r="B6957" s="431" t="str">
        <f t="shared" si="108"/>
        <v>Varicose VeinProviderMEDWAY NHS FOUNDATION TRUST (RPA)Aberdeen Varicose Vein Questionnaire</v>
      </c>
      <c r="C6957" t="s">
        <v>17</v>
      </c>
      <c r="D6957" t="s">
        <v>1</v>
      </c>
      <c r="E6957" t="s">
        <v>3630</v>
      </c>
      <c r="F6957" t="s">
        <v>3631</v>
      </c>
      <c r="G6957" t="s">
        <v>0</v>
      </c>
      <c r="H6957">
        <v>6</v>
      </c>
      <c r="I6957">
        <v>20.567</v>
      </c>
      <c r="J6957">
        <v>7.8259999999999996</v>
      </c>
      <c r="K6957">
        <v>-12.741</v>
      </c>
      <c r="L6957">
        <v>6</v>
      </c>
      <c r="M6957">
        <v>0</v>
      </c>
      <c r="N6957">
        <v>0</v>
      </c>
      <c r="O6957" t="s">
        <v>53</v>
      </c>
      <c r="P6957" t="s">
        <v>53</v>
      </c>
      <c r="Q6957" t="s">
        <v>53</v>
      </c>
    </row>
    <row r="6958" spans="1:17" x14ac:dyDescent="0.2">
      <c r="A6958" s="30" t="str">
        <f>IF(C6958&amp;G6958&amp;D6958&lt;&gt;'Funnel setup'!$K$3&amp;'Funnel setup'!$K$4&amp;'Funnel setup'!$K$5,".",IF(A6957=".",1,A6957+1))</f>
        <v>.</v>
      </c>
      <c r="B6958" s="431" t="str">
        <f t="shared" si="108"/>
        <v>Varicose VeinProviderMID CHESHIRE HOSPITALS NHS FOUNDATION TRUST (RBT)Aberdeen Varicose Vein Questionnaire</v>
      </c>
      <c r="C6958" t="s">
        <v>17</v>
      </c>
      <c r="D6958" t="s">
        <v>1</v>
      </c>
      <c r="E6958" t="s">
        <v>3633</v>
      </c>
      <c r="F6958" t="s">
        <v>342</v>
      </c>
      <c r="G6958" t="s">
        <v>0</v>
      </c>
      <c r="H6958">
        <v>12</v>
      </c>
      <c r="I6958">
        <v>20.056999999999999</v>
      </c>
      <c r="J6958">
        <v>9.7040000000000006</v>
      </c>
      <c r="K6958">
        <v>-10.353</v>
      </c>
      <c r="L6958">
        <v>12</v>
      </c>
      <c r="M6958">
        <v>0</v>
      </c>
      <c r="N6958">
        <v>0</v>
      </c>
      <c r="O6958" t="s">
        <v>53</v>
      </c>
      <c r="P6958" t="s">
        <v>53</v>
      </c>
      <c r="Q6958" t="s">
        <v>53</v>
      </c>
    </row>
    <row r="6959" spans="1:17" x14ac:dyDescent="0.2">
      <c r="A6959" s="30" t="str">
        <f>IF(C6959&amp;G6959&amp;D6959&lt;&gt;'Funnel setup'!$K$3&amp;'Funnel setup'!$K$4&amp;'Funnel setup'!$K$5,".",IF(A6958=".",1,A6958+1))</f>
        <v>.</v>
      </c>
      <c r="B6959" s="431" t="str">
        <f t="shared" si="108"/>
        <v>Varicose VeinProviderMID ESSEX HOSPITAL SERVICES NHS TRUST (RQ8)Aberdeen Varicose Vein Questionnaire</v>
      </c>
      <c r="C6959" t="s">
        <v>17</v>
      </c>
      <c r="D6959" t="s">
        <v>1</v>
      </c>
      <c r="E6959" t="s">
        <v>3635</v>
      </c>
      <c r="F6959" t="s">
        <v>3636</v>
      </c>
      <c r="G6959" t="s">
        <v>0</v>
      </c>
      <c r="H6959">
        <v>27</v>
      </c>
      <c r="I6959">
        <v>24.677</v>
      </c>
      <c r="J6959">
        <v>15.86</v>
      </c>
      <c r="K6959">
        <v>-8.8170000000000002</v>
      </c>
      <c r="L6959">
        <v>23</v>
      </c>
      <c r="M6959">
        <v>0</v>
      </c>
      <c r="N6959">
        <v>4</v>
      </c>
      <c r="O6959" t="s">
        <v>53</v>
      </c>
      <c r="P6959" t="s">
        <v>53</v>
      </c>
      <c r="Q6959" t="s">
        <v>53</v>
      </c>
    </row>
    <row r="6960" spans="1:17" x14ac:dyDescent="0.2">
      <c r="A6960" s="30" t="str">
        <f>IF(C6960&amp;G6960&amp;D6960&lt;&gt;'Funnel setup'!$K$3&amp;'Funnel setup'!$K$4&amp;'Funnel setup'!$K$5,".",IF(A6959=".",1,A6959+1))</f>
        <v>.</v>
      </c>
      <c r="B6960" s="431" t="str">
        <f t="shared" si="108"/>
        <v>Varicose VeinProviderMID STAFFORDSHIRE NHS FOUNDATION TRUST (RJD)Aberdeen Varicose Vein Questionnaire</v>
      </c>
      <c r="C6960" t="s">
        <v>17</v>
      </c>
      <c r="D6960" t="s">
        <v>1</v>
      </c>
      <c r="E6960" t="s">
        <v>3638</v>
      </c>
      <c r="F6960" t="s">
        <v>3639</v>
      </c>
      <c r="G6960" t="s">
        <v>0</v>
      </c>
      <c r="H6960" t="s">
        <v>53</v>
      </c>
      <c r="I6960" t="s">
        <v>53</v>
      </c>
      <c r="J6960" t="s">
        <v>53</v>
      </c>
      <c r="K6960" t="s">
        <v>53</v>
      </c>
      <c r="L6960" t="s">
        <v>53</v>
      </c>
      <c r="M6960" t="s">
        <v>53</v>
      </c>
      <c r="N6960" t="s">
        <v>53</v>
      </c>
      <c r="O6960" t="s">
        <v>53</v>
      </c>
      <c r="P6960" t="s">
        <v>53</v>
      </c>
      <c r="Q6960" t="s">
        <v>53</v>
      </c>
    </row>
    <row r="6961" spans="1:17" x14ac:dyDescent="0.2">
      <c r="A6961" s="30" t="str">
        <f>IF(C6961&amp;G6961&amp;D6961&lt;&gt;'Funnel setup'!$K$3&amp;'Funnel setup'!$K$4&amp;'Funnel setup'!$K$5,".",IF(A6960=".",1,A6960+1))</f>
        <v>.</v>
      </c>
      <c r="B6961" s="431" t="str">
        <f t="shared" si="108"/>
        <v>Varicose VeinProviderMID YORKSHIRE HOSPITALS NHS TRUST (RXF)Aberdeen Varicose Vein Questionnaire</v>
      </c>
      <c r="C6961" t="s">
        <v>17</v>
      </c>
      <c r="D6961" t="s">
        <v>1</v>
      </c>
      <c r="E6961" t="s">
        <v>3641</v>
      </c>
      <c r="F6961" t="s">
        <v>3642</v>
      </c>
      <c r="G6961" t="s">
        <v>0</v>
      </c>
      <c r="H6961">
        <v>78</v>
      </c>
      <c r="I6961">
        <v>18.216999999999999</v>
      </c>
      <c r="J6961">
        <v>9.8170000000000002</v>
      </c>
      <c r="K6961">
        <v>-8.4009999999999998</v>
      </c>
      <c r="L6961">
        <v>67</v>
      </c>
      <c r="M6961">
        <v>0</v>
      </c>
      <c r="N6961">
        <v>11</v>
      </c>
      <c r="O6961">
        <v>8.1560000000000006</v>
      </c>
      <c r="P6961">
        <v>-12.766550929999999</v>
      </c>
      <c r="Q6961">
        <v>13.002000000000001</v>
      </c>
    </row>
    <row r="6962" spans="1:17" x14ac:dyDescent="0.2">
      <c r="A6962" s="30" t="str">
        <f>IF(C6962&amp;G6962&amp;D6962&lt;&gt;'Funnel setup'!$K$3&amp;'Funnel setup'!$K$4&amp;'Funnel setup'!$K$5,".",IF(A6961=".",1,A6961+1))</f>
        <v>.</v>
      </c>
      <c r="B6962" s="431" t="str">
        <f t="shared" si="108"/>
        <v>Varicose VeinProviderMILTON KEYNES UNIVERSITY HOSPITAL NHS FOUNDATION TRUST (RD8)Aberdeen Varicose Vein Questionnaire</v>
      </c>
      <c r="C6962" t="s">
        <v>17</v>
      </c>
      <c r="D6962" t="s">
        <v>1</v>
      </c>
      <c r="E6962" t="s">
        <v>3643</v>
      </c>
      <c r="F6962" t="s">
        <v>6580</v>
      </c>
      <c r="G6962" t="s">
        <v>0</v>
      </c>
      <c r="H6962">
        <v>21</v>
      </c>
      <c r="I6962">
        <v>25.378</v>
      </c>
      <c r="J6962">
        <v>15.206</v>
      </c>
      <c r="K6962">
        <v>-10.173</v>
      </c>
      <c r="L6962">
        <v>19</v>
      </c>
      <c r="M6962">
        <v>0</v>
      </c>
      <c r="N6962">
        <v>2</v>
      </c>
      <c r="O6962" t="s">
        <v>53</v>
      </c>
      <c r="P6962" t="s">
        <v>53</v>
      </c>
      <c r="Q6962" t="s">
        <v>53</v>
      </c>
    </row>
    <row r="6963" spans="1:17" x14ac:dyDescent="0.2">
      <c r="A6963" s="30" t="str">
        <f>IF(C6963&amp;G6963&amp;D6963&lt;&gt;'Funnel setup'!$K$3&amp;'Funnel setup'!$K$4&amp;'Funnel setup'!$K$5,".",IF(A6962=".",1,A6962+1))</f>
        <v>.</v>
      </c>
      <c r="B6963" s="431" t="str">
        <f t="shared" si="108"/>
        <v>Varicose VeinProviderNORFOLK AND NORWICH UNIVERSITY HOSPITALS NHS FOUNDATION TRUST (RM1)Aberdeen Varicose Vein Questionnaire</v>
      </c>
      <c r="C6963" t="s">
        <v>17</v>
      </c>
      <c r="D6963" t="s">
        <v>1</v>
      </c>
      <c r="E6963" t="s">
        <v>3651</v>
      </c>
      <c r="F6963" t="s">
        <v>3652</v>
      </c>
      <c r="G6963" t="s">
        <v>0</v>
      </c>
      <c r="H6963">
        <v>165</v>
      </c>
      <c r="I6963">
        <v>18.901</v>
      </c>
      <c r="J6963">
        <v>9.2479999999999993</v>
      </c>
      <c r="K6963">
        <v>-9.6530000000000005</v>
      </c>
      <c r="L6963">
        <v>145</v>
      </c>
      <c r="M6963">
        <v>0</v>
      </c>
      <c r="N6963">
        <v>20</v>
      </c>
      <c r="O6963">
        <v>7.8120000000000003</v>
      </c>
      <c r="P6963">
        <v>-13.11079627</v>
      </c>
      <c r="Q6963">
        <v>12.116</v>
      </c>
    </row>
    <row r="6964" spans="1:17" x14ac:dyDescent="0.2">
      <c r="A6964" s="30" t="str">
        <f>IF(C6964&amp;G6964&amp;D6964&lt;&gt;'Funnel setup'!$K$3&amp;'Funnel setup'!$K$4&amp;'Funnel setup'!$K$5,".",IF(A6963=".",1,A6963+1))</f>
        <v>.</v>
      </c>
      <c r="B6964" s="431" t="str">
        <f t="shared" si="108"/>
        <v>Varicose VeinProviderNORTH CUMBRIA UNIVERSITY HOSPITALS NHS TRUST (RNL)Aberdeen Varicose Vein Questionnaire</v>
      </c>
      <c r="C6964" t="s">
        <v>17</v>
      </c>
      <c r="D6964" t="s">
        <v>1</v>
      </c>
      <c r="E6964" t="s">
        <v>3657</v>
      </c>
      <c r="F6964" t="s">
        <v>3658</v>
      </c>
      <c r="G6964" t="s">
        <v>0</v>
      </c>
      <c r="H6964">
        <v>31</v>
      </c>
      <c r="I6964">
        <v>21.228000000000002</v>
      </c>
      <c r="J6964">
        <v>9.0250000000000004</v>
      </c>
      <c r="K6964">
        <v>-12.202999999999999</v>
      </c>
      <c r="L6964">
        <v>30</v>
      </c>
      <c r="M6964">
        <v>0</v>
      </c>
      <c r="N6964">
        <v>1</v>
      </c>
      <c r="O6964">
        <v>7.6989999999999998</v>
      </c>
      <c r="P6964">
        <v>-13.222958800000001</v>
      </c>
      <c r="Q6964">
        <v>10.923999999999999</v>
      </c>
    </row>
    <row r="6965" spans="1:17" x14ac:dyDescent="0.2">
      <c r="A6965" s="30" t="str">
        <f>IF(C6965&amp;G6965&amp;D6965&lt;&gt;'Funnel setup'!$K$3&amp;'Funnel setup'!$K$4&amp;'Funnel setup'!$K$5,".",IF(A6964=".",1,A6964+1))</f>
        <v>.</v>
      </c>
      <c r="B6965" s="431" t="str">
        <f t="shared" si="108"/>
        <v>Varicose VeinProviderNORTH DOWNS HOSPITAL (NVC11)Aberdeen Varicose Vein Questionnaire</v>
      </c>
      <c r="C6965" t="s">
        <v>17</v>
      </c>
      <c r="D6965" t="s">
        <v>1</v>
      </c>
      <c r="E6965" t="s">
        <v>3660</v>
      </c>
      <c r="F6965" t="s">
        <v>3661</v>
      </c>
      <c r="G6965" t="s">
        <v>0</v>
      </c>
      <c r="H6965" t="s">
        <v>53</v>
      </c>
      <c r="I6965" t="s">
        <v>53</v>
      </c>
      <c r="J6965" t="s">
        <v>53</v>
      </c>
      <c r="K6965" t="s">
        <v>53</v>
      </c>
      <c r="L6965" t="s">
        <v>53</v>
      </c>
      <c r="M6965" t="s">
        <v>53</v>
      </c>
      <c r="N6965" t="s">
        <v>53</v>
      </c>
      <c r="O6965" t="s">
        <v>53</v>
      </c>
      <c r="P6965" t="s">
        <v>53</v>
      </c>
      <c r="Q6965" t="s">
        <v>53</v>
      </c>
    </row>
    <row r="6966" spans="1:17" x14ac:dyDescent="0.2">
      <c r="A6966" s="30" t="str">
        <f>IF(C6966&amp;G6966&amp;D6966&lt;&gt;'Funnel setup'!$K$3&amp;'Funnel setup'!$K$4&amp;'Funnel setup'!$K$5,".",IF(A6965=".",1,A6965+1))</f>
        <v>.</v>
      </c>
      <c r="B6966" s="431" t="str">
        <f t="shared" si="108"/>
        <v>Varicose VeinProviderNORTH EAST LONDON TREATMENT CENTRE CARE UK (NTP15)Aberdeen Varicose Vein Questionnaire</v>
      </c>
      <c r="C6966" t="s">
        <v>17</v>
      </c>
      <c r="D6966" t="s">
        <v>1</v>
      </c>
      <c r="E6966" t="s">
        <v>3663</v>
      </c>
      <c r="F6966" t="s">
        <v>3664</v>
      </c>
      <c r="G6966" t="s">
        <v>0</v>
      </c>
      <c r="H6966">
        <v>24</v>
      </c>
      <c r="I6966">
        <v>22.103999999999999</v>
      </c>
      <c r="J6966">
        <v>15.848000000000001</v>
      </c>
      <c r="K6966">
        <v>-6.2569999999999997</v>
      </c>
      <c r="L6966">
        <v>18</v>
      </c>
      <c r="M6966">
        <v>0</v>
      </c>
      <c r="N6966">
        <v>6</v>
      </c>
      <c r="O6966" t="s">
        <v>53</v>
      </c>
      <c r="P6966" t="s">
        <v>53</v>
      </c>
      <c r="Q6966" t="s">
        <v>53</v>
      </c>
    </row>
    <row r="6967" spans="1:17" x14ac:dyDescent="0.2">
      <c r="A6967" s="30" t="str">
        <f>IF(C6967&amp;G6967&amp;D6967&lt;&gt;'Funnel setup'!$K$3&amp;'Funnel setup'!$K$4&amp;'Funnel setup'!$K$5,".",IF(A6966=".",1,A6966+1))</f>
        <v>.</v>
      </c>
      <c r="B6967" s="431" t="str">
        <f t="shared" si="108"/>
        <v>Varicose VeinProviderNORTH TEES AND HARTLEPOOL NHS FOUNDATION TRUST (RVW)Aberdeen Varicose Vein Questionnaire</v>
      </c>
      <c r="C6967" t="s">
        <v>17</v>
      </c>
      <c r="D6967" t="s">
        <v>1</v>
      </c>
      <c r="E6967" t="s">
        <v>3669</v>
      </c>
      <c r="F6967" t="s">
        <v>3670</v>
      </c>
      <c r="G6967" t="s">
        <v>0</v>
      </c>
      <c r="H6967">
        <v>60</v>
      </c>
      <c r="I6967">
        <v>21.914000000000001</v>
      </c>
      <c r="J6967">
        <v>12.281000000000001</v>
      </c>
      <c r="K6967">
        <v>-9.6329999999999991</v>
      </c>
      <c r="L6967">
        <v>49</v>
      </c>
      <c r="M6967">
        <v>0</v>
      </c>
      <c r="N6967">
        <v>11</v>
      </c>
      <c r="O6967">
        <v>12.712999999999999</v>
      </c>
      <c r="P6967">
        <v>-8.2097203069999996</v>
      </c>
      <c r="Q6967">
        <v>14.71</v>
      </c>
    </row>
    <row r="6968" spans="1:17" x14ac:dyDescent="0.2">
      <c r="A6968" s="30" t="str">
        <f>IF(C6968&amp;G6968&amp;D6968&lt;&gt;'Funnel setup'!$K$3&amp;'Funnel setup'!$K$4&amp;'Funnel setup'!$K$5,".",IF(A6967=".",1,A6967+1))</f>
        <v>.</v>
      </c>
      <c r="B6968" s="431" t="str">
        <f t="shared" si="108"/>
        <v>Varicose VeinProviderNORTHAMPTON GENERAL HOSPITAL NHS TRUST (RNS)Aberdeen Varicose Vein Questionnaire</v>
      </c>
      <c r="C6968" t="s">
        <v>17</v>
      </c>
      <c r="D6968" t="s">
        <v>1</v>
      </c>
      <c r="E6968" t="s">
        <v>3675</v>
      </c>
      <c r="F6968" t="s">
        <v>3676</v>
      </c>
      <c r="G6968" t="s">
        <v>0</v>
      </c>
      <c r="H6968">
        <v>25</v>
      </c>
      <c r="I6968">
        <v>26.922000000000001</v>
      </c>
      <c r="J6968">
        <v>16.617999999999999</v>
      </c>
      <c r="K6968">
        <v>-10.305</v>
      </c>
      <c r="L6968">
        <v>20</v>
      </c>
      <c r="M6968">
        <v>0</v>
      </c>
      <c r="N6968">
        <v>5</v>
      </c>
      <c r="O6968" t="s">
        <v>53</v>
      </c>
      <c r="P6968" t="s">
        <v>53</v>
      </c>
      <c r="Q6968" t="s">
        <v>53</v>
      </c>
    </row>
    <row r="6969" spans="1:17" x14ac:dyDescent="0.2">
      <c r="A6969" s="30" t="str">
        <f>IF(C6969&amp;G6969&amp;D6969&lt;&gt;'Funnel setup'!$K$3&amp;'Funnel setup'!$K$4&amp;'Funnel setup'!$K$5,".",IF(A6968=".",1,A6968+1))</f>
        <v>.</v>
      </c>
      <c r="B6969" s="431" t="str">
        <f t="shared" si="108"/>
        <v>Varicose VeinProviderNORTHERN DEVON HEALTHCARE NHS TRUST (RBZ)Aberdeen Varicose Vein Questionnaire</v>
      </c>
      <c r="C6969" t="s">
        <v>17</v>
      </c>
      <c r="D6969" t="s">
        <v>1</v>
      </c>
      <c r="E6969" t="s">
        <v>3678</v>
      </c>
      <c r="F6969" t="s">
        <v>3679</v>
      </c>
      <c r="G6969" t="s">
        <v>0</v>
      </c>
      <c r="H6969">
        <v>11</v>
      </c>
      <c r="I6969">
        <v>18.648</v>
      </c>
      <c r="J6969">
        <v>13.711</v>
      </c>
      <c r="K6969">
        <v>-4.9370000000000003</v>
      </c>
      <c r="L6969">
        <v>9</v>
      </c>
      <c r="M6969">
        <v>0</v>
      </c>
      <c r="N6969">
        <v>2</v>
      </c>
      <c r="O6969" t="s">
        <v>53</v>
      </c>
      <c r="P6969" t="s">
        <v>53</v>
      </c>
      <c r="Q6969" t="s">
        <v>53</v>
      </c>
    </row>
    <row r="6970" spans="1:17" x14ac:dyDescent="0.2">
      <c r="A6970" s="30" t="str">
        <f>IF(C6970&amp;G6970&amp;D6970&lt;&gt;'Funnel setup'!$K$3&amp;'Funnel setup'!$K$4&amp;'Funnel setup'!$K$5,".",IF(A6969=".",1,A6969+1))</f>
        <v>.</v>
      </c>
      <c r="B6970" s="431" t="str">
        <f t="shared" si="108"/>
        <v>Varicose VeinProviderNORTHERN LINCOLNSHIRE AND GOOLE NHS FOUNDATION TRUST (RJL)Aberdeen Varicose Vein Questionnaire</v>
      </c>
      <c r="C6970" t="s">
        <v>17</v>
      </c>
      <c r="D6970" t="s">
        <v>1</v>
      </c>
      <c r="E6970" t="s">
        <v>3681</v>
      </c>
      <c r="F6970" t="s">
        <v>3682</v>
      </c>
      <c r="G6970" t="s">
        <v>0</v>
      </c>
      <c r="H6970">
        <v>6</v>
      </c>
      <c r="I6970">
        <v>19.908999999999999</v>
      </c>
      <c r="J6970">
        <v>10.476000000000001</v>
      </c>
      <c r="K6970">
        <v>-9.4329999999999998</v>
      </c>
      <c r="L6970">
        <v>5</v>
      </c>
      <c r="M6970">
        <v>0</v>
      </c>
      <c r="N6970">
        <v>1</v>
      </c>
      <c r="O6970" t="s">
        <v>53</v>
      </c>
      <c r="P6970" t="s">
        <v>53</v>
      </c>
      <c r="Q6970" t="s">
        <v>53</v>
      </c>
    </row>
    <row r="6971" spans="1:17" x14ac:dyDescent="0.2">
      <c r="A6971" s="30" t="str">
        <f>IF(C6971&amp;G6971&amp;D6971&lt;&gt;'Funnel setup'!$K$3&amp;'Funnel setup'!$K$4&amp;'Funnel setup'!$K$5,".",IF(A6970=".",1,A6970+1))</f>
        <v>.</v>
      </c>
      <c r="B6971" s="431" t="str">
        <f t="shared" si="108"/>
        <v>Varicose VeinProviderOAKS HOSPITAL (NVC13)Aberdeen Varicose Vein Questionnaire</v>
      </c>
      <c r="C6971" t="s">
        <v>17</v>
      </c>
      <c r="D6971" t="s">
        <v>1</v>
      </c>
      <c r="E6971" t="s">
        <v>3270</v>
      </c>
      <c r="F6971" t="s">
        <v>3271</v>
      </c>
      <c r="G6971" t="s">
        <v>0</v>
      </c>
      <c r="H6971" t="s">
        <v>53</v>
      </c>
      <c r="I6971" t="s">
        <v>53</v>
      </c>
      <c r="J6971" t="s">
        <v>53</v>
      </c>
      <c r="K6971" t="s">
        <v>53</v>
      </c>
      <c r="L6971" t="s">
        <v>53</v>
      </c>
      <c r="M6971" t="s">
        <v>53</v>
      </c>
      <c r="N6971" t="s">
        <v>53</v>
      </c>
      <c r="O6971" t="s">
        <v>53</v>
      </c>
      <c r="P6971" t="s">
        <v>53</v>
      </c>
      <c r="Q6971" t="s">
        <v>53</v>
      </c>
    </row>
    <row r="6972" spans="1:17" x14ac:dyDescent="0.2">
      <c r="A6972" s="30" t="str">
        <f>IF(C6972&amp;G6972&amp;D6972&lt;&gt;'Funnel setup'!$K$3&amp;'Funnel setup'!$K$4&amp;'Funnel setup'!$K$5,".",IF(A6971=".",1,A6971+1))</f>
        <v>.</v>
      </c>
      <c r="B6972" s="431" t="str">
        <f t="shared" si="108"/>
        <v>Varicose VeinProviderOXFORD UNIVERSITY HOSPITALS NHS FOUNDATION TRUST (RTH)Aberdeen Varicose Vein Questionnaire</v>
      </c>
      <c r="C6972" t="s">
        <v>17</v>
      </c>
      <c r="D6972" t="s">
        <v>1</v>
      </c>
      <c r="E6972" t="s">
        <v>3278</v>
      </c>
      <c r="F6972" t="s">
        <v>6578</v>
      </c>
      <c r="G6972" t="s">
        <v>0</v>
      </c>
      <c r="H6972">
        <v>36</v>
      </c>
      <c r="I6972">
        <v>24.981000000000002</v>
      </c>
      <c r="J6972">
        <v>13.124000000000001</v>
      </c>
      <c r="K6972">
        <v>-11.856999999999999</v>
      </c>
      <c r="L6972">
        <v>31</v>
      </c>
      <c r="M6972">
        <v>0</v>
      </c>
      <c r="N6972">
        <v>5</v>
      </c>
      <c r="O6972">
        <v>14.856</v>
      </c>
      <c r="P6972">
        <v>-6.0667128510000001</v>
      </c>
      <c r="Q6972">
        <v>20.184999999999999</v>
      </c>
    </row>
    <row r="6973" spans="1:17" x14ac:dyDescent="0.2">
      <c r="A6973" s="30" t="str">
        <f>IF(C6973&amp;G6973&amp;D6973&lt;&gt;'Funnel setup'!$K$3&amp;'Funnel setup'!$K$4&amp;'Funnel setup'!$K$5,".",IF(A6972=".",1,A6972+1))</f>
        <v>.</v>
      </c>
      <c r="B6973" s="431" t="str">
        <f t="shared" si="108"/>
        <v>Varicose VeinProviderPENNINE ACUTE HOSPITALS NHS TRUST (RW6)Aberdeen Varicose Vein Questionnaire</v>
      </c>
      <c r="C6973" t="s">
        <v>17</v>
      </c>
      <c r="D6973" t="s">
        <v>1</v>
      </c>
      <c r="E6973" t="s">
        <v>3216</v>
      </c>
      <c r="F6973" t="s">
        <v>3217</v>
      </c>
      <c r="G6973" t="s">
        <v>0</v>
      </c>
      <c r="H6973">
        <v>12</v>
      </c>
      <c r="I6973">
        <v>24.762</v>
      </c>
      <c r="J6973">
        <v>13.856999999999999</v>
      </c>
      <c r="K6973">
        <v>-10.904999999999999</v>
      </c>
      <c r="L6973">
        <v>11</v>
      </c>
      <c r="M6973">
        <v>0</v>
      </c>
      <c r="N6973">
        <v>1</v>
      </c>
      <c r="O6973" t="s">
        <v>53</v>
      </c>
      <c r="P6973" t="s">
        <v>53</v>
      </c>
      <c r="Q6973" t="s">
        <v>53</v>
      </c>
    </row>
    <row r="6974" spans="1:17" x14ac:dyDescent="0.2">
      <c r="A6974" s="30" t="str">
        <f>IF(C6974&amp;G6974&amp;D6974&lt;&gt;'Funnel setup'!$K$3&amp;'Funnel setup'!$K$4&amp;'Funnel setup'!$K$5,".",IF(A6973=".",1,A6973+1))</f>
        <v>.</v>
      </c>
      <c r="B6974" s="431" t="str">
        <f t="shared" si="108"/>
        <v>Varicose VeinProviderPETERBOROUGH AND STAMFORD HOSPITALS NHS FOUNDATION TRUST (RGN)Aberdeen Varicose Vein Questionnaire</v>
      </c>
      <c r="C6974" t="s">
        <v>17</v>
      </c>
      <c r="D6974" t="s">
        <v>1</v>
      </c>
      <c r="E6974" t="s">
        <v>3219</v>
      </c>
      <c r="F6974" t="s">
        <v>3220</v>
      </c>
      <c r="G6974" t="s">
        <v>0</v>
      </c>
      <c r="H6974">
        <v>15</v>
      </c>
      <c r="I6974">
        <v>25.027000000000001</v>
      </c>
      <c r="J6974">
        <v>10.256</v>
      </c>
      <c r="K6974">
        <v>-14.771000000000001</v>
      </c>
      <c r="L6974">
        <v>14</v>
      </c>
      <c r="M6974">
        <v>0</v>
      </c>
      <c r="N6974">
        <v>1</v>
      </c>
      <c r="O6974" t="s">
        <v>53</v>
      </c>
      <c r="P6974" t="s">
        <v>53</v>
      </c>
      <c r="Q6974" t="s">
        <v>53</v>
      </c>
    </row>
    <row r="6975" spans="1:17" x14ac:dyDescent="0.2">
      <c r="A6975" s="30" t="str">
        <f>IF(C6975&amp;G6975&amp;D6975&lt;&gt;'Funnel setup'!$K$3&amp;'Funnel setup'!$K$4&amp;'Funnel setup'!$K$5,".",IF(A6974=".",1,A6974+1))</f>
        <v>.</v>
      </c>
      <c r="B6975" s="431" t="str">
        <f t="shared" si="108"/>
        <v>Varicose VeinProviderPINEHILL HOSPITAL (NVC15)Aberdeen Varicose Vein Questionnaire</v>
      </c>
      <c r="C6975" t="s">
        <v>17</v>
      </c>
      <c r="D6975" t="s">
        <v>1</v>
      </c>
      <c r="E6975" t="s">
        <v>3222</v>
      </c>
      <c r="F6975" t="s">
        <v>3223</v>
      </c>
      <c r="G6975" t="s">
        <v>0</v>
      </c>
      <c r="H6975" t="s">
        <v>53</v>
      </c>
      <c r="I6975" t="s">
        <v>53</v>
      </c>
      <c r="J6975" t="s">
        <v>53</v>
      </c>
      <c r="K6975" t="s">
        <v>53</v>
      </c>
      <c r="L6975" t="s">
        <v>53</v>
      </c>
      <c r="M6975" t="s">
        <v>53</v>
      </c>
      <c r="N6975" t="s">
        <v>53</v>
      </c>
      <c r="O6975" t="s">
        <v>53</v>
      </c>
      <c r="P6975" t="s">
        <v>53</v>
      </c>
      <c r="Q6975" t="s">
        <v>53</v>
      </c>
    </row>
    <row r="6976" spans="1:17" x14ac:dyDescent="0.2">
      <c r="A6976" s="30" t="str">
        <f>IF(C6976&amp;G6976&amp;D6976&lt;&gt;'Funnel setup'!$K$3&amp;'Funnel setup'!$K$4&amp;'Funnel setup'!$K$5,".",IF(A6975=".",1,A6975+1))</f>
        <v>.</v>
      </c>
      <c r="B6976" s="431" t="str">
        <f t="shared" si="108"/>
        <v>Varicose VeinProviderPLYMOUTH HOSPITALS NHS TRUST (RK9)Aberdeen Varicose Vein Questionnaire</v>
      </c>
      <c r="C6976" t="s">
        <v>17</v>
      </c>
      <c r="D6976" t="s">
        <v>1</v>
      </c>
      <c r="E6976" t="s">
        <v>3225</v>
      </c>
      <c r="F6976" t="s">
        <v>3226</v>
      </c>
      <c r="G6976" t="s">
        <v>0</v>
      </c>
      <c r="H6976">
        <v>57</v>
      </c>
      <c r="I6976">
        <v>25.282</v>
      </c>
      <c r="J6976">
        <v>18.148</v>
      </c>
      <c r="K6976">
        <v>-7.1340000000000003</v>
      </c>
      <c r="L6976">
        <v>47</v>
      </c>
      <c r="M6976">
        <v>0</v>
      </c>
      <c r="N6976">
        <v>10</v>
      </c>
      <c r="O6976">
        <v>20.643000000000001</v>
      </c>
      <c r="P6976">
        <v>-0.27964866100000002</v>
      </c>
      <c r="Q6976">
        <v>18.600999999999999</v>
      </c>
    </row>
    <row r="6977" spans="1:17" x14ac:dyDescent="0.2">
      <c r="A6977" s="30" t="str">
        <f>IF(C6977&amp;G6977&amp;D6977&lt;&gt;'Funnel setup'!$K$3&amp;'Funnel setup'!$K$4&amp;'Funnel setup'!$K$5,".",IF(A6976=".",1,A6976+1))</f>
        <v>.</v>
      </c>
      <c r="B6977" s="431" t="str">
        <f t="shared" si="108"/>
        <v>Varicose VeinProviderPORTSMOUTH HOSPITALS NHS TRUST (RHU)Aberdeen Varicose Vein Questionnaire</v>
      </c>
      <c r="C6977" t="s">
        <v>17</v>
      </c>
      <c r="D6977" t="s">
        <v>1</v>
      </c>
      <c r="E6977" t="s">
        <v>3234</v>
      </c>
      <c r="F6977" t="s">
        <v>3235</v>
      </c>
      <c r="G6977" t="s">
        <v>0</v>
      </c>
      <c r="H6977" t="s">
        <v>53</v>
      </c>
      <c r="I6977" t="s">
        <v>53</v>
      </c>
      <c r="J6977" t="s">
        <v>53</v>
      </c>
      <c r="K6977" t="s">
        <v>53</v>
      </c>
      <c r="L6977" t="s">
        <v>53</v>
      </c>
      <c r="M6977" t="s">
        <v>53</v>
      </c>
      <c r="N6977" t="s">
        <v>53</v>
      </c>
      <c r="O6977" t="s">
        <v>53</v>
      </c>
      <c r="P6977" t="s">
        <v>53</v>
      </c>
      <c r="Q6977" t="s">
        <v>53</v>
      </c>
    </row>
    <row r="6978" spans="1:17" x14ac:dyDescent="0.2">
      <c r="A6978" s="30" t="str">
        <f>IF(C6978&amp;G6978&amp;D6978&lt;&gt;'Funnel setup'!$K$3&amp;'Funnel setup'!$K$4&amp;'Funnel setup'!$K$5,".",IF(A6977=".",1,A6977+1))</f>
        <v>.</v>
      </c>
      <c r="B6978" s="431" t="str">
        <f t="shared" si="108"/>
        <v>Varicose VeinProviderROYAL BERKSHIRE NHS FOUNDATION TRUST (RHW)Aberdeen Varicose Vein Questionnaire</v>
      </c>
      <c r="C6978" t="s">
        <v>17</v>
      </c>
      <c r="D6978" t="s">
        <v>1</v>
      </c>
      <c r="E6978" t="s">
        <v>3832</v>
      </c>
      <c r="F6978" t="s">
        <v>3833</v>
      </c>
      <c r="G6978" t="s">
        <v>0</v>
      </c>
      <c r="H6978">
        <v>6</v>
      </c>
      <c r="I6978">
        <v>34.167999999999999</v>
      </c>
      <c r="J6978">
        <v>15.747</v>
      </c>
      <c r="K6978">
        <v>-18.420999999999999</v>
      </c>
      <c r="L6978">
        <v>6</v>
      </c>
      <c r="M6978">
        <v>0</v>
      </c>
      <c r="N6978">
        <v>0</v>
      </c>
      <c r="O6978" t="s">
        <v>53</v>
      </c>
      <c r="P6978" t="s">
        <v>53</v>
      </c>
      <c r="Q6978" t="s">
        <v>53</v>
      </c>
    </row>
    <row r="6979" spans="1:17" x14ac:dyDescent="0.2">
      <c r="A6979" s="30" t="str">
        <f>IF(C6979&amp;G6979&amp;D6979&lt;&gt;'Funnel setup'!$K$3&amp;'Funnel setup'!$K$4&amp;'Funnel setup'!$K$5,".",IF(A6978=".",1,A6978+1))</f>
        <v>.</v>
      </c>
      <c r="B6979" s="431" t="str">
        <f t="shared" ref="B6979:B7042" si="109">C6979&amp;D6979&amp;F6979&amp;G6979</f>
        <v>Varicose VeinProviderROYAL CORNWALL HOSPITALS NHS TRUST (REF)Aberdeen Varicose Vein Questionnaire</v>
      </c>
      <c r="C6979" t="s">
        <v>17</v>
      </c>
      <c r="D6979" t="s">
        <v>1</v>
      </c>
      <c r="E6979" t="s">
        <v>3745</v>
      </c>
      <c r="F6979" t="s">
        <v>3746</v>
      </c>
      <c r="G6979" t="s">
        <v>0</v>
      </c>
      <c r="H6979">
        <v>87</v>
      </c>
      <c r="I6979">
        <v>21.495999999999999</v>
      </c>
      <c r="J6979">
        <v>13.026</v>
      </c>
      <c r="K6979">
        <v>-8.4700000000000006</v>
      </c>
      <c r="L6979">
        <v>73</v>
      </c>
      <c r="M6979">
        <v>0</v>
      </c>
      <c r="N6979">
        <v>14</v>
      </c>
      <c r="O6979">
        <v>13.577</v>
      </c>
      <c r="P6979">
        <v>-7.3458209520000004</v>
      </c>
      <c r="Q6979">
        <v>17.582000000000001</v>
      </c>
    </row>
    <row r="6980" spans="1:17" x14ac:dyDescent="0.2">
      <c r="A6980" s="30" t="str">
        <f>IF(C6980&amp;G6980&amp;D6980&lt;&gt;'Funnel setup'!$K$3&amp;'Funnel setup'!$K$4&amp;'Funnel setup'!$K$5,".",IF(A6979=".",1,A6979+1))</f>
        <v>.</v>
      </c>
      <c r="B6980" s="431" t="str">
        <f t="shared" si="109"/>
        <v>Varicose VeinProviderROYAL DEVON AND EXETER NHS FOUNDATION TRUST (RH8)Aberdeen Varicose Vein Questionnaire</v>
      </c>
      <c r="C6980" t="s">
        <v>17</v>
      </c>
      <c r="D6980" t="s">
        <v>1</v>
      </c>
      <c r="E6980" t="s">
        <v>3442</v>
      </c>
      <c r="F6980" t="s">
        <v>3443</v>
      </c>
      <c r="G6980" t="s">
        <v>0</v>
      </c>
      <c r="H6980">
        <v>50</v>
      </c>
      <c r="I6980">
        <v>24.105</v>
      </c>
      <c r="J6980">
        <v>11.683</v>
      </c>
      <c r="K6980">
        <v>-12.422000000000001</v>
      </c>
      <c r="L6980">
        <v>46</v>
      </c>
      <c r="M6980">
        <v>0</v>
      </c>
      <c r="N6980">
        <v>4</v>
      </c>
      <c r="O6980">
        <v>13.3</v>
      </c>
      <c r="P6980">
        <v>-7.6223716699999997</v>
      </c>
      <c r="Q6980">
        <v>14.603</v>
      </c>
    </row>
    <row r="6981" spans="1:17" x14ac:dyDescent="0.2">
      <c r="A6981" s="30" t="str">
        <f>IF(C6981&amp;G6981&amp;D6981&lt;&gt;'Funnel setup'!$K$3&amp;'Funnel setup'!$K$4&amp;'Funnel setup'!$K$5,".",IF(A6980=".",1,A6980+1))</f>
        <v>.</v>
      </c>
      <c r="B6981" s="431" t="str">
        <f t="shared" si="109"/>
        <v>Varicose VeinProviderROYAL FREE LONDON NHS FOUNDATION TRUST (RAL)Aberdeen Varicose Vein Questionnaire</v>
      </c>
      <c r="C6981" t="s">
        <v>17</v>
      </c>
      <c r="D6981" t="s">
        <v>1</v>
      </c>
      <c r="E6981" t="s">
        <v>3445</v>
      </c>
      <c r="F6981" t="s">
        <v>3446</v>
      </c>
      <c r="G6981" t="s">
        <v>0</v>
      </c>
      <c r="H6981">
        <v>28</v>
      </c>
      <c r="I6981">
        <v>22.952999999999999</v>
      </c>
      <c r="J6981">
        <v>14.352</v>
      </c>
      <c r="K6981">
        <v>-8.6010000000000009</v>
      </c>
      <c r="L6981">
        <v>25</v>
      </c>
      <c r="M6981">
        <v>0</v>
      </c>
      <c r="N6981">
        <v>3</v>
      </c>
      <c r="O6981" t="s">
        <v>53</v>
      </c>
      <c r="P6981" t="s">
        <v>53</v>
      </c>
      <c r="Q6981" t="s">
        <v>53</v>
      </c>
    </row>
    <row r="6982" spans="1:17" x14ac:dyDescent="0.2">
      <c r="A6982" s="30" t="str">
        <f>IF(C6982&amp;G6982&amp;D6982&lt;&gt;'Funnel setup'!$K$3&amp;'Funnel setup'!$K$4&amp;'Funnel setup'!$K$5,".",IF(A6981=".",1,A6981+1))</f>
        <v>.</v>
      </c>
      <c r="B6982" s="431" t="str">
        <f t="shared" si="109"/>
        <v>Varicose VeinProviderROYAL UNITED HOSPITALS BATH NHS FOUNDATION TRUST (RD1)Aberdeen Varicose Vein Questionnaire</v>
      </c>
      <c r="C6982" t="s">
        <v>17</v>
      </c>
      <c r="D6982" t="s">
        <v>1</v>
      </c>
      <c r="E6982" t="s">
        <v>3454</v>
      </c>
      <c r="F6982" t="s">
        <v>3455</v>
      </c>
      <c r="G6982" t="s">
        <v>0</v>
      </c>
      <c r="H6982">
        <v>16</v>
      </c>
      <c r="I6982">
        <v>18.587</v>
      </c>
      <c r="J6982">
        <v>11.305999999999999</v>
      </c>
      <c r="K6982">
        <v>-7.2809999999999997</v>
      </c>
      <c r="L6982">
        <v>14</v>
      </c>
      <c r="M6982">
        <v>0</v>
      </c>
      <c r="N6982">
        <v>2</v>
      </c>
      <c r="O6982" t="s">
        <v>53</v>
      </c>
      <c r="P6982" t="s">
        <v>53</v>
      </c>
      <c r="Q6982" t="s">
        <v>53</v>
      </c>
    </row>
    <row r="6983" spans="1:17" x14ac:dyDescent="0.2">
      <c r="A6983" s="30" t="str">
        <f>IF(C6983&amp;G6983&amp;D6983&lt;&gt;'Funnel setup'!$K$3&amp;'Funnel setup'!$K$4&amp;'Funnel setup'!$K$5,".",IF(A6982=".",1,A6982+1))</f>
        <v>.</v>
      </c>
      <c r="B6983" s="431" t="str">
        <f t="shared" si="109"/>
        <v>Varicose VeinProviderSALISBURY NHS FOUNDATION TRUST (RNZ)Aberdeen Varicose Vein Questionnaire</v>
      </c>
      <c r="C6983" t="s">
        <v>17</v>
      </c>
      <c r="D6983" t="s">
        <v>1</v>
      </c>
      <c r="E6983" t="s">
        <v>3460</v>
      </c>
      <c r="F6983" t="s">
        <v>3461</v>
      </c>
      <c r="G6983" t="s">
        <v>0</v>
      </c>
      <c r="H6983">
        <v>42</v>
      </c>
      <c r="I6983">
        <v>26.541</v>
      </c>
      <c r="J6983">
        <v>17.231000000000002</v>
      </c>
      <c r="K6983">
        <v>-9.31</v>
      </c>
      <c r="L6983">
        <v>34</v>
      </c>
      <c r="M6983">
        <v>0</v>
      </c>
      <c r="N6983">
        <v>8</v>
      </c>
      <c r="O6983">
        <v>20.064</v>
      </c>
      <c r="P6983">
        <v>-0.85874509200000004</v>
      </c>
      <c r="Q6983">
        <v>21.111000000000001</v>
      </c>
    </row>
    <row r="6984" spans="1:17" x14ac:dyDescent="0.2">
      <c r="A6984" s="30" t="str">
        <f>IF(C6984&amp;G6984&amp;D6984&lt;&gt;'Funnel setup'!$K$3&amp;'Funnel setup'!$K$4&amp;'Funnel setup'!$K$5,".",IF(A6983=".",1,A6983+1))</f>
        <v>.</v>
      </c>
      <c r="B6984" s="431" t="str">
        <f t="shared" si="109"/>
        <v>Varicose VeinProviderSANDWELL AND WEST BIRMINGHAM HOSPITALS NHS TRUST (RXK)Aberdeen Varicose Vein Questionnaire</v>
      </c>
      <c r="C6984" t="s">
        <v>17</v>
      </c>
      <c r="D6984" t="s">
        <v>1</v>
      </c>
      <c r="E6984" t="s">
        <v>3463</v>
      </c>
      <c r="F6984" t="s">
        <v>3464</v>
      </c>
      <c r="G6984" t="s">
        <v>0</v>
      </c>
      <c r="H6984">
        <v>114</v>
      </c>
      <c r="I6984">
        <v>21.262</v>
      </c>
      <c r="J6984">
        <v>13.802</v>
      </c>
      <c r="K6984">
        <v>-7.46</v>
      </c>
      <c r="L6984">
        <v>89</v>
      </c>
      <c r="M6984">
        <v>0</v>
      </c>
      <c r="N6984">
        <v>25</v>
      </c>
      <c r="O6984">
        <v>14.475</v>
      </c>
      <c r="P6984">
        <v>-6.4475459209999997</v>
      </c>
      <c r="Q6984">
        <v>16.984000000000002</v>
      </c>
    </row>
    <row r="6985" spans="1:17" x14ac:dyDescent="0.2">
      <c r="A6985" s="30" t="str">
        <f>IF(C6985&amp;G6985&amp;D6985&lt;&gt;'Funnel setup'!$K$3&amp;'Funnel setup'!$K$4&amp;'Funnel setup'!$K$5,".",IF(A6984=".",1,A6984+1))</f>
        <v>.</v>
      </c>
      <c r="B6985" s="431" t="str">
        <f t="shared" si="109"/>
        <v>Varicose VeinProviderSHEFFIELD TEACHING HOSPITALS NHS FOUNDATION TRUST (RHQ)Aberdeen Varicose Vein Questionnaire</v>
      </c>
      <c r="C6985" t="s">
        <v>17</v>
      </c>
      <c r="D6985" t="s">
        <v>1</v>
      </c>
      <c r="E6985" t="s">
        <v>3466</v>
      </c>
      <c r="F6985" t="s">
        <v>3467</v>
      </c>
      <c r="G6985" t="s">
        <v>0</v>
      </c>
      <c r="H6985">
        <v>159</v>
      </c>
      <c r="I6985">
        <v>20.53</v>
      </c>
      <c r="J6985">
        <v>13.84</v>
      </c>
      <c r="K6985">
        <v>-6.6909999999999998</v>
      </c>
      <c r="L6985">
        <v>120</v>
      </c>
      <c r="M6985">
        <v>0</v>
      </c>
      <c r="N6985">
        <v>39</v>
      </c>
      <c r="O6985">
        <v>13.784000000000001</v>
      </c>
      <c r="P6985">
        <v>-7.1380294260000001</v>
      </c>
      <c r="Q6985">
        <v>16.596</v>
      </c>
    </row>
    <row r="6986" spans="1:17" x14ac:dyDescent="0.2">
      <c r="A6986" s="30" t="str">
        <f>IF(C6986&amp;G6986&amp;D6986&lt;&gt;'Funnel setup'!$K$3&amp;'Funnel setup'!$K$4&amp;'Funnel setup'!$K$5,".",IF(A6985=".",1,A6985+1))</f>
        <v>.</v>
      </c>
      <c r="B6986" s="431" t="str">
        <f t="shared" si="109"/>
        <v>Varicose VeinProviderSHERWOOD FOREST HOSPITALS NHS FOUNDATION TRUST (RK5)Aberdeen Varicose Vein Questionnaire</v>
      </c>
      <c r="C6986" t="s">
        <v>17</v>
      </c>
      <c r="D6986" t="s">
        <v>1</v>
      </c>
      <c r="E6986" t="s">
        <v>3475</v>
      </c>
      <c r="F6986" t="s">
        <v>3476</v>
      </c>
      <c r="G6986" t="s">
        <v>0</v>
      </c>
      <c r="H6986">
        <v>75</v>
      </c>
      <c r="I6986">
        <v>24.849</v>
      </c>
      <c r="J6986">
        <v>14.185</v>
      </c>
      <c r="K6986">
        <v>-10.663</v>
      </c>
      <c r="L6986">
        <v>67</v>
      </c>
      <c r="M6986">
        <v>0</v>
      </c>
      <c r="N6986">
        <v>8</v>
      </c>
      <c r="O6986">
        <v>16.268000000000001</v>
      </c>
      <c r="P6986">
        <v>-4.6540627859999999</v>
      </c>
      <c r="Q6986">
        <v>17.003</v>
      </c>
    </row>
    <row r="6987" spans="1:17" x14ac:dyDescent="0.2">
      <c r="A6987" s="30" t="str">
        <f>IF(C6987&amp;G6987&amp;D6987&lt;&gt;'Funnel setup'!$K$3&amp;'Funnel setup'!$K$4&amp;'Funnel setup'!$K$5,".",IF(A6986=".",1,A6986+1))</f>
        <v>.</v>
      </c>
      <c r="B6987" s="431" t="str">
        <f t="shared" si="109"/>
        <v>Varicose VeinProviderSHREWSBURY AND TELFORD HOSPITAL NHS TRUST (RXW)Aberdeen Varicose Vein Questionnaire</v>
      </c>
      <c r="C6987" t="s">
        <v>17</v>
      </c>
      <c r="D6987" t="s">
        <v>1</v>
      </c>
      <c r="E6987" t="s">
        <v>3478</v>
      </c>
      <c r="F6987" t="s">
        <v>3479</v>
      </c>
      <c r="G6987" t="s">
        <v>0</v>
      </c>
      <c r="H6987">
        <v>32</v>
      </c>
      <c r="I6987">
        <v>24.064</v>
      </c>
      <c r="J6987">
        <v>11.273999999999999</v>
      </c>
      <c r="K6987">
        <v>-12.79</v>
      </c>
      <c r="L6987">
        <v>30</v>
      </c>
      <c r="M6987">
        <v>0</v>
      </c>
      <c r="N6987">
        <v>2</v>
      </c>
      <c r="O6987">
        <v>12.593</v>
      </c>
      <c r="P6987">
        <v>-8.328953641</v>
      </c>
      <c r="Q6987">
        <v>14.384</v>
      </c>
    </row>
    <row r="6988" spans="1:17" x14ac:dyDescent="0.2">
      <c r="A6988" s="30" t="str">
        <f>IF(C6988&amp;G6988&amp;D6988&lt;&gt;'Funnel setup'!$K$3&amp;'Funnel setup'!$K$4&amp;'Funnel setup'!$K$5,".",IF(A6987=".",1,A6987+1))</f>
        <v>.</v>
      </c>
      <c r="B6988" s="431" t="str">
        <f t="shared" si="109"/>
        <v>Varicose VeinProviderSOUTH TEES HOSPITALS NHS FOUNDATION TRUST (RTR)Aberdeen Varicose Vein Questionnaire</v>
      </c>
      <c r="C6988" t="s">
        <v>17</v>
      </c>
      <c r="D6988" t="s">
        <v>1</v>
      </c>
      <c r="E6988" t="s">
        <v>3482</v>
      </c>
      <c r="F6988" t="s">
        <v>3483</v>
      </c>
      <c r="G6988" t="s">
        <v>0</v>
      </c>
      <c r="H6988">
        <v>28</v>
      </c>
      <c r="I6988">
        <v>21.742999999999999</v>
      </c>
      <c r="J6988">
        <v>14.43</v>
      </c>
      <c r="K6988">
        <v>-7.3129999999999997</v>
      </c>
      <c r="L6988">
        <v>24</v>
      </c>
      <c r="M6988">
        <v>0</v>
      </c>
      <c r="N6988">
        <v>4</v>
      </c>
      <c r="O6988" t="s">
        <v>53</v>
      </c>
      <c r="P6988" t="s">
        <v>53</v>
      </c>
      <c r="Q6988" t="s">
        <v>53</v>
      </c>
    </row>
    <row r="6989" spans="1:17" x14ac:dyDescent="0.2">
      <c r="A6989" s="30" t="str">
        <f>IF(C6989&amp;G6989&amp;D6989&lt;&gt;'Funnel setup'!$K$3&amp;'Funnel setup'!$K$4&amp;'Funnel setup'!$K$5,".",IF(A6988=".",1,A6988+1))</f>
        <v>.</v>
      </c>
      <c r="B6989" s="431" t="str">
        <f t="shared" si="109"/>
        <v>Varicose VeinProviderSOUTH WARWICKSHIRE NHS FOUNDATION TRUST (RJC)Aberdeen Varicose Vein Questionnaire</v>
      </c>
      <c r="C6989" t="s">
        <v>17</v>
      </c>
      <c r="D6989" t="s">
        <v>1</v>
      </c>
      <c r="E6989" t="s">
        <v>3421</v>
      </c>
      <c r="F6989" t="s">
        <v>3422</v>
      </c>
      <c r="G6989" t="s">
        <v>0</v>
      </c>
      <c r="H6989">
        <v>29</v>
      </c>
      <c r="I6989">
        <v>21.286999999999999</v>
      </c>
      <c r="J6989">
        <v>16.396000000000001</v>
      </c>
      <c r="K6989">
        <v>-4.8920000000000003</v>
      </c>
      <c r="L6989">
        <v>23</v>
      </c>
      <c r="M6989">
        <v>0</v>
      </c>
      <c r="N6989">
        <v>6</v>
      </c>
      <c r="O6989" t="s">
        <v>53</v>
      </c>
      <c r="P6989" t="s">
        <v>53</v>
      </c>
      <c r="Q6989" t="s">
        <v>53</v>
      </c>
    </row>
    <row r="6990" spans="1:17" x14ac:dyDescent="0.2">
      <c r="A6990" s="30" t="str">
        <f>IF(C6990&amp;G6990&amp;D6990&lt;&gt;'Funnel setup'!$K$3&amp;'Funnel setup'!$K$4&amp;'Funnel setup'!$K$5,".",IF(A6989=".",1,A6989+1))</f>
        <v>.</v>
      </c>
      <c r="B6990" s="431" t="str">
        <f t="shared" si="109"/>
        <v>Varicose VeinProviderSOUTHAMPTON NHS TREATMENT CENTRE (NTP11)Aberdeen Varicose Vein Questionnaire</v>
      </c>
      <c r="C6990" t="s">
        <v>17</v>
      </c>
      <c r="D6990" t="s">
        <v>1</v>
      </c>
      <c r="E6990" t="s">
        <v>3424</v>
      </c>
      <c r="F6990" t="s">
        <v>3425</v>
      </c>
      <c r="G6990" t="s">
        <v>0</v>
      </c>
      <c r="H6990">
        <v>13</v>
      </c>
      <c r="I6990">
        <v>19.893000000000001</v>
      </c>
      <c r="J6990">
        <v>12.728999999999999</v>
      </c>
      <c r="K6990">
        <v>-7.1639999999999997</v>
      </c>
      <c r="L6990">
        <v>7</v>
      </c>
      <c r="M6990">
        <v>0</v>
      </c>
      <c r="N6990">
        <v>6</v>
      </c>
      <c r="O6990" t="s">
        <v>53</v>
      </c>
      <c r="P6990" t="s">
        <v>53</v>
      </c>
      <c r="Q6990" t="s">
        <v>53</v>
      </c>
    </row>
    <row r="6991" spans="1:17" x14ac:dyDescent="0.2">
      <c r="A6991" s="30" t="str">
        <f>IF(C6991&amp;G6991&amp;D6991&lt;&gt;'Funnel setup'!$K$3&amp;'Funnel setup'!$K$4&amp;'Funnel setup'!$K$5,".",IF(A6990=".",1,A6990+1))</f>
        <v>.</v>
      </c>
      <c r="B6991" s="431" t="str">
        <f t="shared" si="109"/>
        <v>Varicose VeinProviderSOUTHEND UNIVERSITY HOSPITAL NHS FOUNDATION TRUST (RAJ)Aberdeen Varicose Vein Questionnaire</v>
      </c>
      <c r="C6991" t="s">
        <v>17</v>
      </c>
      <c r="D6991" t="s">
        <v>1</v>
      </c>
      <c r="E6991" t="s">
        <v>3427</v>
      </c>
      <c r="F6991" t="s">
        <v>3428</v>
      </c>
      <c r="G6991" t="s">
        <v>0</v>
      </c>
      <c r="H6991" t="s">
        <v>53</v>
      </c>
      <c r="I6991" t="s">
        <v>53</v>
      </c>
      <c r="J6991" t="s">
        <v>53</v>
      </c>
      <c r="K6991" t="s">
        <v>53</v>
      </c>
      <c r="L6991" t="s">
        <v>53</v>
      </c>
      <c r="M6991" t="s">
        <v>53</v>
      </c>
      <c r="N6991" t="s">
        <v>53</v>
      </c>
      <c r="O6991" t="s">
        <v>53</v>
      </c>
      <c r="P6991" t="s">
        <v>53</v>
      </c>
      <c r="Q6991" t="s">
        <v>53</v>
      </c>
    </row>
    <row r="6992" spans="1:17" x14ac:dyDescent="0.2">
      <c r="A6992" s="30" t="str">
        <f>IF(C6992&amp;G6992&amp;D6992&lt;&gt;'Funnel setup'!$K$3&amp;'Funnel setup'!$K$4&amp;'Funnel setup'!$K$5,".",IF(A6991=".",1,A6991+1))</f>
        <v>.</v>
      </c>
      <c r="B6992" s="431" t="str">
        <f t="shared" si="109"/>
        <v>Varicose VeinProviderSOUTHPORT AND ORMSKIRK HOSPITAL NHS TRUST (RVY)Aberdeen Varicose Vein Questionnaire</v>
      </c>
      <c r="C6992" t="s">
        <v>17</v>
      </c>
      <c r="D6992" t="s">
        <v>1</v>
      </c>
      <c r="E6992" t="s">
        <v>3430</v>
      </c>
      <c r="F6992" t="s">
        <v>3431</v>
      </c>
      <c r="G6992" t="s">
        <v>0</v>
      </c>
      <c r="H6992">
        <v>64</v>
      </c>
      <c r="I6992">
        <v>23.654</v>
      </c>
      <c r="J6992">
        <v>14.348000000000001</v>
      </c>
      <c r="K6992">
        <v>-9.3070000000000004</v>
      </c>
      <c r="L6992">
        <v>53</v>
      </c>
      <c r="M6992">
        <v>0</v>
      </c>
      <c r="N6992">
        <v>11</v>
      </c>
      <c r="O6992">
        <v>15.602</v>
      </c>
      <c r="P6992">
        <v>-5.3203047080000001</v>
      </c>
      <c r="Q6992">
        <v>19.553999999999998</v>
      </c>
    </row>
    <row r="6993" spans="1:17" x14ac:dyDescent="0.2">
      <c r="A6993" s="30" t="str">
        <f>IF(C6993&amp;G6993&amp;D6993&lt;&gt;'Funnel setup'!$K$3&amp;'Funnel setup'!$K$4&amp;'Funnel setup'!$K$5,".",IF(A6992=".",1,A6992+1))</f>
        <v>.</v>
      </c>
      <c r="B6993" s="431" t="str">
        <f t="shared" si="109"/>
        <v>Varicose VeinProviderSPIRE CHESHIRE HOSPITAL (NT324)Aberdeen Varicose Vein Questionnaire</v>
      </c>
      <c r="C6993" t="s">
        <v>17</v>
      </c>
      <c r="D6993" t="s">
        <v>1</v>
      </c>
      <c r="E6993" t="s">
        <v>3439</v>
      </c>
      <c r="F6993" t="s">
        <v>3440</v>
      </c>
      <c r="G6993" t="s">
        <v>0</v>
      </c>
      <c r="H6993">
        <v>6</v>
      </c>
      <c r="I6993">
        <v>13.388999999999999</v>
      </c>
      <c r="J6993">
        <v>3.9780000000000002</v>
      </c>
      <c r="K6993">
        <v>-9.4120000000000008</v>
      </c>
      <c r="L6993">
        <v>6</v>
      </c>
      <c r="M6993">
        <v>0</v>
      </c>
      <c r="N6993">
        <v>0</v>
      </c>
      <c r="O6993" t="s">
        <v>53</v>
      </c>
      <c r="P6993" t="s">
        <v>53</v>
      </c>
      <c r="Q6993" t="s">
        <v>53</v>
      </c>
    </row>
    <row r="6994" spans="1:17" x14ac:dyDescent="0.2">
      <c r="A6994" s="30" t="str">
        <f>IF(C6994&amp;G6994&amp;D6994&lt;&gt;'Funnel setup'!$K$3&amp;'Funnel setup'!$K$4&amp;'Funnel setup'!$K$5,".",IF(A6993=".",1,A6993+1))</f>
        <v>.</v>
      </c>
      <c r="B6994" s="431" t="str">
        <f t="shared" si="109"/>
        <v>Varicose VeinProviderSPIRE ELLAND HOSPITAL (NT348)Aberdeen Varicose Vein Questionnaire</v>
      </c>
      <c r="C6994" t="s">
        <v>17</v>
      </c>
      <c r="D6994" t="s">
        <v>1</v>
      </c>
      <c r="E6994" t="s">
        <v>3418</v>
      </c>
      <c r="F6994" t="s">
        <v>3419</v>
      </c>
      <c r="G6994" t="s">
        <v>0</v>
      </c>
      <c r="H6994">
        <v>14</v>
      </c>
      <c r="I6994">
        <v>19.670999999999999</v>
      </c>
      <c r="J6994">
        <v>8.5640000000000001</v>
      </c>
      <c r="K6994">
        <v>-11.106999999999999</v>
      </c>
      <c r="L6994">
        <v>14</v>
      </c>
      <c r="M6994">
        <v>0</v>
      </c>
      <c r="N6994">
        <v>0</v>
      </c>
      <c r="O6994" t="s">
        <v>53</v>
      </c>
      <c r="P6994" t="s">
        <v>53</v>
      </c>
      <c r="Q6994" t="s">
        <v>53</v>
      </c>
    </row>
    <row r="6995" spans="1:17" x14ac:dyDescent="0.2">
      <c r="A6995" s="30" t="str">
        <f>IF(C6995&amp;G6995&amp;D6995&lt;&gt;'Funnel setup'!$K$3&amp;'Funnel setup'!$K$4&amp;'Funnel setup'!$K$5,".",IF(A6994=".",1,A6994+1))</f>
        <v>.</v>
      </c>
      <c r="B6995" s="431" t="str">
        <f t="shared" si="109"/>
        <v>Varicose VeinProviderSPIRE FYLDE COAST HOSPITAL (NT347)Aberdeen Varicose Vein Questionnaire</v>
      </c>
      <c r="C6995" t="s">
        <v>17</v>
      </c>
      <c r="D6995" t="s">
        <v>1</v>
      </c>
      <c r="E6995" t="s">
        <v>4370</v>
      </c>
      <c r="F6995" t="s">
        <v>4371</v>
      </c>
      <c r="G6995" t="s">
        <v>0</v>
      </c>
      <c r="H6995">
        <v>7</v>
      </c>
      <c r="I6995">
        <v>14.146000000000001</v>
      </c>
      <c r="J6995">
        <v>10.209</v>
      </c>
      <c r="K6995">
        <v>-3.9380000000000002</v>
      </c>
      <c r="L6995">
        <v>6</v>
      </c>
      <c r="M6995">
        <v>0</v>
      </c>
      <c r="N6995">
        <v>1</v>
      </c>
      <c r="O6995" t="s">
        <v>53</v>
      </c>
      <c r="P6995" t="s">
        <v>53</v>
      </c>
      <c r="Q6995" t="s">
        <v>53</v>
      </c>
    </row>
    <row r="6996" spans="1:17" x14ac:dyDescent="0.2">
      <c r="A6996" s="30" t="str">
        <f>IF(C6996&amp;G6996&amp;D6996&lt;&gt;'Funnel setup'!$K$3&amp;'Funnel setup'!$K$4&amp;'Funnel setup'!$K$5,".",IF(A6995=".",1,A6995+1))</f>
        <v>.</v>
      </c>
      <c r="B6996" s="431" t="str">
        <f t="shared" si="109"/>
        <v>Varicose VeinProviderSPIRE LIVERPOOL HOSPITAL (NT337)Aberdeen Varicose Vein Questionnaire</v>
      </c>
      <c r="C6996" t="s">
        <v>17</v>
      </c>
      <c r="D6996" t="s">
        <v>1</v>
      </c>
      <c r="E6996" t="s">
        <v>3927</v>
      </c>
      <c r="F6996" t="s">
        <v>3928</v>
      </c>
      <c r="G6996" t="s">
        <v>0</v>
      </c>
      <c r="H6996" t="s">
        <v>53</v>
      </c>
      <c r="I6996" t="s">
        <v>53</v>
      </c>
      <c r="J6996" t="s">
        <v>53</v>
      </c>
      <c r="K6996" t="s">
        <v>53</v>
      </c>
      <c r="L6996" t="s">
        <v>53</v>
      </c>
      <c r="M6996" t="s">
        <v>53</v>
      </c>
      <c r="N6996" t="s">
        <v>53</v>
      </c>
      <c r="O6996" t="s">
        <v>53</v>
      </c>
      <c r="P6996" t="s">
        <v>53</v>
      </c>
      <c r="Q6996" t="s">
        <v>53</v>
      </c>
    </row>
    <row r="6997" spans="1:17" x14ac:dyDescent="0.2">
      <c r="A6997" s="30" t="str">
        <f>IF(C6997&amp;G6997&amp;D6997&lt;&gt;'Funnel setup'!$K$3&amp;'Funnel setup'!$K$4&amp;'Funnel setup'!$K$5,".",IF(A6996=".",1,A6996+1))</f>
        <v>.</v>
      </c>
      <c r="B6997" s="431" t="str">
        <f t="shared" si="109"/>
        <v>Varicose VeinProviderSPIRE METHLEY PARK HOSPITAL (NT350)Aberdeen Varicose Vein Questionnaire</v>
      </c>
      <c r="C6997" t="s">
        <v>17</v>
      </c>
      <c r="D6997" t="s">
        <v>1</v>
      </c>
      <c r="E6997" t="s">
        <v>3157</v>
      </c>
      <c r="F6997" t="s">
        <v>3158</v>
      </c>
      <c r="G6997" t="s">
        <v>0</v>
      </c>
      <c r="H6997">
        <v>23</v>
      </c>
      <c r="I6997">
        <v>16.675000000000001</v>
      </c>
      <c r="J6997">
        <v>7.702</v>
      </c>
      <c r="K6997">
        <v>-8.9730000000000008</v>
      </c>
      <c r="L6997">
        <v>20</v>
      </c>
      <c r="M6997">
        <v>0</v>
      </c>
      <c r="N6997">
        <v>3</v>
      </c>
      <c r="O6997" t="s">
        <v>53</v>
      </c>
      <c r="P6997" t="s">
        <v>53</v>
      </c>
      <c r="Q6997" t="s">
        <v>53</v>
      </c>
    </row>
    <row r="6998" spans="1:17" x14ac:dyDescent="0.2">
      <c r="A6998" s="30" t="str">
        <f>IF(C6998&amp;G6998&amp;D6998&lt;&gt;'Funnel setup'!$K$3&amp;'Funnel setup'!$K$4&amp;'Funnel setup'!$K$5,".",IF(A6997=".",1,A6997+1))</f>
        <v>.</v>
      </c>
      <c r="B6998" s="431" t="str">
        <f t="shared" si="109"/>
        <v>Varicose VeinProviderSPIRE MURRAYFIELD HOSPITAL (NT325)Aberdeen Varicose Vein Questionnaire</v>
      </c>
      <c r="C6998" t="s">
        <v>17</v>
      </c>
      <c r="D6998" t="s">
        <v>1</v>
      </c>
      <c r="E6998" t="s">
        <v>3163</v>
      </c>
      <c r="F6998" t="s">
        <v>3164</v>
      </c>
      <c r="G6998" t="s">
        <v>0</v>
      </c>
      <c r="H6998">
        <v>15</v>
      </c>
      <c r="I6998">
        <v>20.199000000000002</v>
      </c>
      <c r="J6998">
        <v>9.9339999999999993</v>
      </c>
      <c r="K6998">
        <v>-10.265000000000001</v>
      </c>
      <c r="L6998">
        <v>15</v>
      </c>
      <c r="M6998">
        <v>0</v>
      </c>
      <c r="N6998">
        <v>0</v>
      </c>
      <c r="O6998" t="s">
        <v>53</v>
      </c>
      <c r="P6998" t="s">
        <v>53</v>
      </c>
      <c r="Q6998" t="s">
        <v>53</v>
      </c>
    </row>
    <row r="6999" spans="1:17" x14ac:dyDescent="0.2">
      <c r="A6999" s="30" t="str">
        <f>IF(C6999&amp;G6999&amp;D6999&lt;&gt;'Funnel setup'!$K$3&amp;'Funnel setup'!$K$4&amp;'Funnel setup'!$K$5,".",IF(A6998=".",1,A6998+1))</f>
        <v>.</v>
      </c>
      <c r="B6999" s="431" t="str">
        <f t="shared" si="109"/>
        <v>Varicose VeinProviderSPIRE WASHINGTON HOSPITAL (NT333)Aberdeen Varicose Vein Questionnaire</v>
      </c>
      <c r="C6999" t="s">
        <v>17</v>
      </c>
      <c r="D6999" t="s">
        <v>1</v>
      </c>
      <c r="E6999" t="s">
        <v>3189</v>
      </c>
      <c r="F6999" t="s">
        <v>3190</v>
      </c>
      <c r="G6999" t="s">
        <v>0</v>
      </c>
      <c r="H6999">
        <v>27</v>
      </c>
      <c r="I6999">
        <v>18.317</v>
      </c>
      <c r="J6999">
        <v>9.0920000000000005</v>
      </c>
      <c r="K6999">
        <v>-9.2249999999999996</v>
      </c>
      <c r="L6999">
        <v>24</v>
      </c>
      <c r="M6999">
        <v>0</v>
      </c>
      <c r="N6999">
        <v>3</v>
      </c>
      <c r="O6999" t="s">
        <v>53</v>
      </c>
      <c r="P6999" t="s">
        <v>53</v>
      </c>
      <c r="Q6999" t="s">
        <v>53</v>
      </c>
    </row>
    <row r="7000" spans="1:17" x14ac:dyDescent="0.2">
      <c r="A7000" s="30" t="str">
        <f>IF(C7000&amp;G7000&amp;D7000&lt;&gt;'Funnel setup'!$K$3&amp;'Funnel setup'!$K$4&amp;'Funnel setup'!$K$5,".",IF(A6999=".",1,A6999+1))</f>
        <v>.</v>
      </c>
      <c r="B7000" s="431" t="str">
        <f t="shared" si="109"/>
        <v>Varicose VeinProviderST GEORGE'S UNIVERSITY HOSPITALS NHS FOUNDATION TRUST (RJ7)Aberdeen Varicose Vein Questionnaire</v>
      </c>
      <c r="C7000" t="s">
        <v>17</v>
      </c>
      <c r="D7000" t="s">
        <v>1</v>
      </c>
      <c r="E7000" t="s">
        <v>3124</v>
      </c>
      <c r="F7000" t="s">
        <v>3125</v>
      </c>
      <c r="G7000" t="s">
        <v>0</v>
      </c>
      <c r="H7000">
        <v>31</v>
      </c>
      <c r="I7000">
        <v>21.196000000000002</v>
      </c>
      <c r="J7000">
        <v>17.2</v>
      </c>
      <c r="K7000">
        <v>-3.9969999999999999</v>
      </c>
      <c r="L7000">
        <v>23</v>
      </c>
      <c r="M7000">
        <v>0</v>
      </c>
      <c r="N7000">
        <v>8</v>
      </c>
      <c r="O7000">
        <v>17.57</v>
      </c>
      <c r="P7000">
        <v>-3.3522264989999999</v>
      </c>
      <c r="Q7000">
        <v>18.337</v>
      </c>
    </row>
    <row r="7001" spans="1:17" x14ac:dyDescent="0.2">
      <c r="A7001" s="30" t="str">
        <f>IF(C7001&amp;G7001&amp;D7001&lt;&gt;'Funnel setup'!$K$3&amp;'Funnel setup'!$K$4&amp;'Funnel setup'!$K$5,".",IF(A7000=".",1,A7000+1))</f>
        <v>.</v>
      </c>
      <c r="B7001" s="431" t="str">
        <f t="shared" si="109"/>
        <v>Varicose VeinProviderST HELENS AND KNOWSLEY HOSPITALS NHS TRUST (RBN)Aberdeen Varicose Vein Questionnaire</v>
      </c>
      <c r="C7001" t="s">
        <v>17</v>
      </c>
      <c r="D7001" t="s">
        <v>1</v>
      </c>
      <c r="E7001" t="s">
        <v>3127</v>
      </c>
      <c r="F7001" t="s">
        <v>3128</v>
      </c>
      <c r="G7001" t="s">
        <v>0</v>
      </c>
      <c r="H7001">
        <v>29</v>
      </c>
      <c r="I7001">
        <v>21.588999999999999</v>
      </c>
      <c r="J7001">
        <v>18.609000000000002</v>
      </c>
      <c r="K7001">
        <v>-2.9790000000000001</v>
      </c>
      <c r="L7001">
        <v>17</v>
      </c>
      <c r="M7001">
        <v>0</v>
      </c>
      <c r="N7001">
        <v>12</v>
      </c>
      <c r="O7001" t="s">
        <v>53</v>
      </c>
      <c r="P7001" t="s">
        <v>53</v>
      </c>
      <c r="Q7001" t="s">
        <v>53</v>
      </c>
    </row>
    <row r="7002" spans="1:17" x14ac:dyDescent="0.2">
      <c r="A7002" s="30" t="str">
        <f>IF(C7002&amp;G7002&amp;D7002&lt;&gt;'Funnel setup'!$K$3&amp;'Funnel setup'!$K$4&amp;'Funnel setup'!$K$5,".",IF(A7001=".",1,A7001+1))</f>
        <v>.</v>
      </c>
      <c r="B7002" s="431" t="str">
        <f t="shared" si="109"/>
        <v>Varicose VeinProviderSURREY AND SUSSEX HEALTHCARE NHS TRUST (RTP)Aberdeen Varicose Vein Questionnaire</v>
      </c>
      <c r="C7002" t="s">
        <v>17</v>
      </c>
      <c r="D7002" t="s">
        <v>1</v>
      </c>
      <c r="E7002" t="s">
        <v>3145</v>
      </c>
      <c r="F7002" t="s">
        <v>3146</v>
      </c>
      <c r="G7002" t="s">
        <v>0</v>
      </c>
      <c r="H7002">
        <v>50</v>
      </c>
      <c r="I7002">
        <v>25.45</v>
      </c>
      <c r="J7002">
        <v>15.901</v>
      </c>
      <c r="K7002">
        <v>-9.5489999999999995</v>
      </c>
      <c r="L7002">
        <v>39</v>
      </c>
      <c r="M7002">
        <v>0</v>
      </c>
      <c r="N7002">
        <v>11</v>
      </c>
      <c r="O7002">
        <v>17.797999999999998</v>
      </c>
      <c r="P7002">
        <v>-3.1247044499999999</v>
      </c>
      <c r="Q7002">
        <v>15.654</v>
      </c>
    </row>
    <row r="7003" spans="1:17" x14ac:dyDescent="0.2">
      <c r="A7003" s="30" t="str">
        <f>IF(C7003&amp;G7003&amp;D7003&lt;&gt;'Funnel setup'!$K$3&amp;'Funnel setup'!$K$4&amp;'Funnel setup'!$K$5,".",IF(A7002=".",1,A7002+1))</f>
        <v>.</v>
      </c>
      <c r="B7003" s="431" t="str">
        <f t="shared" si="109"/>
        <v>Varicose VeinProviderTAMESIDE HOSPITAL NHS FOUNDATION TRUST (RMP)Aberdeen Varicose Vein Questionnaire</v>
      </c>
      <c r="C7003" t="s">
        <v>17</v>
      </c>
      <c r="D7003" t="s">
        <v>1</v>
      </c>
      <c r="E7003" t="s">
        <v>3148</v>
      </c>
      <c r="F7003" t="s">
        <v>3149</v>
      </c>
      <c r="G7003" t="s">
        <v>0</v>
      </c>
      <c r="H7003">
        <v>29</v>
      </c>
      <c r="I7003">
        <v>20.414999999999999</v>
      </c>
      <c r="J7003">
        <v>17.315000000000001</v>
      </c>
      <c r="K7003">
        <v>-3.1</v>
      </c>
      <c r="L7003">
        <v>17</v>
      </c>
      <c r="M7003">
        <v>1</v>
      </c>
      <c r="N7003">
        <v>11</v>
      </c>
      <c r="O7003" t="s">
        <v>53</v>
      </c>
      <c r="P7003" t="s">
        <v>53</v>
      </c>
      <c r="Q7003" t="s">
        <v>53</v>
      </c>
    </row>
    <row r="7004" spans="1:17" x14ac:dyDescent="0.2">
      <c r="A7004" s="30" t="str">
        <f>IF(C7004&amp;G7004&amp;D7004&lt;&gt;'Funnel setup'!$K$3&amp;'Funnel setup'!$K$4&amp;'Funnel setup'!$K$5,".",IF(A7003=".",1,A7003+1))</f>
        <v>.</v>
      </c>
      <c r="B7004" s="431" t="str">
        <f t="shared" si="109"/>
        <v>Varicose VeinProviderTAUNTON AND SOMERSET NHS FOUNDATION TRUST (RBA)Aberdeen Varicose Vein Questionnaire</v>
      </c>
      <c r="C7004" t="s">
        <v>17</v>
      </c>
      <c r="D7004" t="s">
        <v>1</v>
      </c>
      <c r="E7004" t="s">
        <v>3151</v>
      </c>
      <c r="F7004" t="s">
        <v>3152</v>
      </c>
      <c r="G7004" t="s">
        <v>0</v>
      </c>
      <c r="H7004">
        <v>80</v>
      </c>
      <c r="I7004">
        <v>21.82</v>
      </c>
      <c r="J7004">
        <v>11.018000000000001</v>
      </c>
      <c r="K7004">
        <v>-10.802</v>
      </c>
      <c r="L7004">
        <v>68</v>
      </c>
      <c r="M7004">
        <v>1</v>
      </c>
      <c r="N7004">
        <v>11</v>
      </c>
      <c r="O7004">
        <v>11.342000000000001</v>
      </c>
      <c r="P7004">
        <v>-9.5799569219999992</v>
      </c>
      <c r="Q7004">
        <v>16.759</v>
      </c>
    </row>
    <row r="7005" spans="1:17" x14ac:dyDescent="0.2">
      <c r="A7005" s="30" t="str">
        <f>IF(C7005&amp;G7005&amp;D7005&lt;&gt;'Funnel setup'!$K$3&amp;'Funnel setup'!$K$4&amp;'Funnel setup'!$K$5,".",IF(A7004=".",1,A7004+1))</f>
        <v>.</v>
      </c>
      <c r="B7005" s="431" t="str">
        <f t="shared" si="109"/>
        <v>Varicose VeinProviderTEES VALLEY TREATMENT CENTRE (NVC35)Aberdeen Varicose Vein Questionnaire</v>
      </c>
      <c r="C7005" t="s">
        <v>17</v>
      </c>
      <c r="D7005" t="s">
        <v>1</v>
      </c>
      <c r="E7005" t="s">
        <v>3112</v>
      </c>
      <c r="F7005" t="s">
        <v>3113</v>
      </c>
      <c r="G7005" t="s">
        <v>0</v>
      </c>
      <c r="H7005">
        <v>12</v>
      </c>
      <c r="I7005">
        <v>17.512</v>
      </c>
      <c r="J7005">
        <v>7.8040000000000003</v>
      </c>
      <c r="K7005">
        <v>-9.7080000000000002</v>
      </c>
      <c r="L7005">
        <v>10</v>
      </c>
      <c r="M7005">
        <v>0</v>
      </c>
      <c r="N7005">
        <v>2</v>
      </c>
      <c r="O7005" t="s">
        <v>53</v>
      </c>
      <c r="P7005" t="s">
        <v>53</v>
      </c>
      <c r="Q7005" t="s">
        <v>53</v>
      </c>
    </row>
    <row r="7006" spans="1:17" x14ac:dyDescent="0.2">
      <c r="A7006" s="30" t="str">
        <f>IF(C7006&amp;G7006&amp;D7006&lt;&gt;'Funnel setup'!$K$3&amp;'Funnel setup'!$K$4&amp;'Funnel setup'!$K$5,".",IF(A7005=".",1,A7005+1))</f>
        <v>.</v>
      </c>
      <c r="B7006" s="431" t="str">
        <f t="shared" si="109"/>
        <v>Varicose VeinProviderTHE DUDLEY GROUP NHS FOUNDATION TRUST (RNA)Aberdeen Varicose Vein Questionnaire</v>
      </c>
      <c r="C7006" t="s">
        <v>17</v>
      </c>
      <c r="D7006" t="s">
        <v>1</v>
      </c>
      <c r="E7006" t="s">
        <v>3121</v>
      </c>
      <c r="F7006" t="s">
        <v>3122</v>
      </c>
      <c r="G7006" t="s">
        <v>0</v>
      </c>
      <c r="H7006">
        <v>136</v>
      </c>
      <c r="I7006">
        <v>19.756</v>
      </c>
      <c r="J7006">
        <v>12.391999999999999</v>
      </c>
      <c r="K7006">
        <v>-7.3639999999999999</v>
      </c>
      <c r="L7006">
        <v>111</v>
      </c>
      <c r="M7006">
        <v>0</v>
      </c>
      <c r="N7006">
        <v>25</v>
      </c>
      <c r="O7006">
        <v>11.87</v>
      </c>
      <c r="P7006">
        <v>-9.0525291909999996</v>
      </c>
      <c r="Q7006">
        <v>15.574</v>
      </c>
    </row>
    <row r="7007" spans="1:17" x14ac:dyDescent="0.2">
      <c r="A7007" s="30" t="str">
        <f>IF(C7007&amp;G7007&amp;D7007&lt;&gt;'Funnel setup'!$K$3&amp;'Funnel setup'!$K$4&amp;'Funnel setup'!$K$5,".",IF(A7006=".",1,A7006+1))</f>
        <v>.</v>
      </c>
      <c r="B7007" s="431" t="str">
        <f t="shared" si="109"/>
        <v>Varicose VeinProviderTHE HILLINGDON HOSPITALS NHS FOUNDATION TRUST (RAS)Aberdeen Varicose Vein Questionnaire</v>
      </c>
      <c r="C7007" t="s">
        <v>17</v>
      </c>
      <c r="D7007" t="s">
        <v>1</v>
      </c>
      <c r="E7007" t="s">
        <v>3115</v>
      </c>
      <c r="F7007" t="s">
        <v>3116</v>
      </c>
      <c r="G7007" t="s">
        <v>0</v>
      </c>
      <c r="H7007">
        <v>14</v>
      </c>
      <c r="I7007">
        <v>24.463999999999999</v>
      </c>
      <c r="J7007">
        <v>15.592000000000001</v>
      </c>
      <c r="K7007">
        <v>-8.8719999999999999</v>
      </c>
      <c r="L7007">
        <v>10</v>
      </c>
      <c r="M7007">
        <v>0</v>
      </c>
      <c r="N7007">
        <v>4</v>
      </c>
      <c r="O7007" t="s">
        <v>53</v>
      </c>
      <c r="P7007" t="s">
        <v>53</v>
      </c>
      <c r="Q7007" t="s">
        <v>53</v>
      </c>
    </row>
    <row r="7008" spans="1:17" x14ac:dyDescent="0.2">
      <c r="A7008" s="30" t="str">
        <f>IF(C7008&amp;G7008&amp;D7008&lt;&gt;'Funnel setup'!$K$3&amp;'Funnel setup'!$K$4&amp;'Funnel setup'!$K$5,".",IF(A7007=".",1,A7007+1))</f>
        <v>.</v>
      </c>
      <c r="B7008" s="431" t="str">
        <f t="shared" si="109"/>
        <v>Varicose VeinProviderTHE NEWCASTLE UPON TYNE HOSPITALS NHS FOUNDATION TRUST (RTD)Aberdeen Varicose Vein Questionnaire</v>
      </c>
      <c r="C7008" t="s">
        <v>17</v>
      </c>
      <c r="D7008" t="s">
        <v>1</v>
      </c>
      <c r="E7008" t="s">
        <v>3748</v>
      </c>
      <c r="F7008" t="s">
        <v>3749</v>
      </c>
      <c r="G7008" t="s">
        <v>0</v>
      </c>
      <c r="H7008">
        <v>186</v>
      </c>
      <c r="I7008">
        <v>18.518000000000001</v>
      </c>
      <c r="J7008">
        <v>10.98</v>
      </c>
      <c r="K7008">
        <v>-7.5380000000000003</v>
      </c>
      <c r="L7008">
        <v>155</v>
      </c>
      <c r="M7008">
        <v>0</v>
      </c>
      <c r="N7008">
        <v>31</v>
      </c>
      <c r="O7008">
        <v>9.4619999999999997</v>
      </c>
      <c r="P7008">
        <v>-11.460393079999999</v>
      </c>
      <c r="Q7008">
        <v>15.167999999999999</v>
      </c>
    </row>
    <row r="7009" spans="1:17" x14ac:dyDescent="0.2">
      <c r="A7009" s="30" t="str">
        <f>IF(C7009&amp;G7009&amp;D7009&lt;&gt;'Funnel setup'!$K$3&amp;'Funnel setup'!$K$4&amp;'Funnel setup'!$K$5,".",IF(A7008=".",1,A7008+1))</f>
        <v>.</v>
      </c>
      <c r="B7009" s="431" t="str">
        <f t="shared" si="109"/>
        <v>Varicose VeinProviderTHE PRINCESS ALEXANDRA HOSPITAL NHS TRUST (RQW)Aberdeen Varicose Vein Questionnaire</v>
      </c>
      <c r="C7009" t="s">
        <v>17</v>
      </c>
      <c r="D7009" t="s">
        <v>1</v>
      </c>
      <c r="E7009" t="s">
        <v>3751</v>
      </c>
      <c r="F7009" t="s">
        <v>3752</v>
      </c>
      <c r="G7009" t="s">
        <v>0</v>
      </c>
      <c r="H7009">
        <v>23</v>
      </c>
      <c r="I7009">
        <v>26.437000000000001</v>
      </c>
      <c r="J7009">
        <v>14.46</v>
      </c>
      <c r="K7009">
        <v>-11.977</v>
      </c>
      <c r="L7009">
        <v>22</v>
      </c>
      <c r="M7009">
        <v>0</v>
      </c>
      <c r="N7009">
        <v>1</v>
      </c>
      <c r="O7009" t="s">
        <v>53</v>
      </c>
      <c r="P7009" t="s">
        <v>53</v>
      </c>
      <c r="Q7009" t="s">
        <v>53</v>
      </c>
    </row>
    <row r="7010" spans="1:17" x14ac:dyDescent="0.2">
      <c r="A7010" s="30" t="str">
        <f>IF(C7010&amp;G7010&amp;D7010&lt;&gt;'Funnel setup'!$K$3&amp;'Funnel setup'!$K$4&amp;'Funnel setup'!$K$5,".",IF(A7009=".",1,A7009+1))</f>
        <v>.</v>
      </c>
      <c r="B7010" s="431" t="str">
        <f t="shared" si="109"/>
        <v>Varicose VeinProviderTHE QUEEN ELIZABETH HOSPITAL, KING'S LYNN, NHS FOUNDATION TRUST (RCX)Aberdeen Varicose Vein Questionnaire</v>
      </c>
      <c r="C7010" t="s">
        <v>17</v>
      </c>
      <c r="D7010" t="s">
        <v>1</v>
      </c>
      <c r="E7010" t="s">
        <v>3754</v>
      </c>
      <c r="F7010" t="s">
        <v>3755</v>
      </c>
      <c r="G7010" t="s">
        <v>0</v>
      </c>
      <c r="H7010">
        <v>19</v>
      </c>
      <c r="I7010">
        <v>15.074999999999999</v>
      </c>
      <c r="J7010">
        <v>11.013999999999999</v>
      </c>
      <c r="K7010">
        <v>-4.0609999999999999</v>
      </c>
      <c r="L7010">
        <v>13</v>
      </c>
      <c r="M7010">
        <v>0</v>
      </c>
      <c r="N7010">
        <v>6</v>
      </c>
      <c r="O7010" t="s">
        <v>53</v>
      </c>
      <c r="P7010" t="s">
        <v>53</v>
      </c>
      <c r="Q7010" t="s">
        <v>53</v>
      </c>
    </row>
    <row r="7011" spans="1:17" x14ac:dyDescent="0.2">
      <c r="A7011" s="30" t="str">
        <f>IF(C7011&amp;G7011&amp;D7011&lt;&gt;'Funnel setup'!$K$3&amp;'Funnel setup'!$K$4&amp;'Funnel setup'!$K$5,".",IF(A7010=".",1,A7010+1))</f>
        <v>.</v>
      </c>
      <c r="B7011" s="431" t="str">
        <f t="shared" si="109"/>
        <v>Varicose VeinProviderTHE ROTHERHAM NHS FOUNDATION TRUST (RFR)Aberdeen Varicose Vein Questionnaire</v>
      </c>
      <c r="C7011" t="s">
        <v>17</v>
      </c>
      <c r="D7011" t="s">
        <v>1</v>
      </c>
      <c r="E7011" t="s">
        <v>3739</v>
      </c>
      <c r="F7011" t="s">
        <v>3740</v>
      </c>
      <c r="G7011" t="s">
        <v>0</v>
      </c>
      <c r="H7011">
        <v>7</v>
      </c>
      <c r="I7011">
        <v>19.036000000000001</v>
      </c>
      <c r="J7011">
        <v>6.7729999999999997</v>
      </c>
      <c r="K7011">
        <v>-12.263</v>
      </c>
      <c r="L7011">
        <v>6</v>
      </c>
      <c r="M7011">
        <v>0</v>
      </c>
      <c r="N7011">
        <v>1</v>
      </c>
      <c r="O7011" t="s">
        <v>53</v>
      </c>
      <c r="P7011" t="s">
        <v>53</v>
      </c>
      <c r="Q7011" t="s">
        <v>53</v>
      </c>
    </row>
    <row r="7012" spans="1:17" x14ac:dyDescent="0.2">
      <c r="A7012" s="30" t="str">
        <f>IF(C7012&amp;G7012&amp;D7012&lt;&gt;'Funnel setup'!$K$3&amp;'Funnel setup'!$K$4&amp;'Funnel setup'!$K$5,".",IF(A7011=".",1,A7011+1))</f>
        <v>.</v>
      </c>
      <c r="B7012" s="431" t="str">
        <f t="shared" si="109"/>
        <v>Varicose VeinProviderTHE ROYAL BOURNEMOUTH AND CHRISTCHURCH HOSPITALS NHS FOUNDATION TRUST (RDZ)Aberdeen Varicose Vein Questionnaire</v>
      </c>
      <c r="C7012" t="s">
        <v>17</v>
      </c>
      <c r="D7012" t="s">
        <v>1</v>
      </c>
      <c r="E7012" t="s">
        <v>3742</v>
      </c>
      <c r="F7012" t="s">
        <v>3743</v>
      </c>
      <c r="G7012" t="s">
        <v>0</v>
      </c>
      <c r="H7012" t="s">
        <v>53</v>
      </c>
      <c r="I7012" t="s">
        <v>53</v>
      </c>
      <c r="J7012" t="s">
        <v>53</v>
      </c>
      <c r="K7012" t="s">
        <v>53</v>
      </c>
      <c r="L7012" t="s">
        <v>53</v>
      </c>
      <c r="M7012" t="s">
        <v>53</v>
      </c>
      <c r="N7012" t="s">
        <v>53</v>
      </c>
      <c r="O7012" t="s">
        <v>53</v>
      </c>
      <c r="P7012" t="s">
        <v>53</v>
      </c>
      <c r="Q7012" t="s">
        <v>53</v>
      </c>
    </row>
    <row r="7013" spans="1:17" x14ac:dyDescent="0.2">
      <c r="A7013" s="30" t="str">
        <f>IF(C7013&amp;G7013&amp;D7013&lt;&gt;'Funnel setup'!$K$3&amp;'Funnel setup'!$K$4&amp;'Funnel setup'!$K$5,".",IF(A7012=".",1,A7012+1))</f>
        <v>.</v>
      </c>
      <c r="B7013" s="431" t="str">
        <f t="shared" si="109"/>
        <v>Varicose VeinProviderTHE ROYAL WOLVERHAMPTON NHS TRUST (RL4)Aberdeen Varicose Vein Questionnaire</v>
      </c>
      <c r="C7013" t="s">
        <v>17</v>
      </c>
      <c r="D7013" t="s">
        <v>1</v>
      </c>
      <c r="E7013" t="s">
        <v>3382</v>
      </c>
      <c r="F7013" t="s">
        <v>3383</v>
      </c>
      <c r="G7013" t="s">
        <v>0</v>
      </c>
      <c r="H7013">
        <v>76</v>
      </c>
      <c r="I7013">
        <v>21.427</v>
      </c>
      <c r="J7013">
        <v>12.484999999999999</v>
      </c>
      <c r="K7013">
        <v>-8.9429999999999996</v>
      </c>
      <c r="L7013">
        <v>58</v>
      </c>
      <c r="M7013">
        <v>0</v>
      </c>
      <c r="N7013">
        <v>18</v>
      </c>
      <c r="O7013">
        <v>13.186999999999999</v>
      </c>
      <c r="P7013">
        <v>-7.735317105</v>
      </c>
      <c r="Q7013">
        <v>14.545</v>
      </c>
    </row>
    <row r="7014" spans="1:17" x14ac:dyDescent="0.2">
      <c r="A7014" s="30" t="str">
        <f>IF(C7014&amp;G7014&amp;D7014&lt;&gt;'Funnel setup'!$K$3&amp;'Funnel setup'!$K$4&amp;'Funnel setup'!$K$5,".",IF(A7013=".",1,A7013+1))</f>
        <v>.</v>
      </c>
      <c r="B7014" s="431" t="str">
        <f t="shared" si="109"/>
        <v>Varicose VeinProviderTHE WESTBOURNE CENTRE (NVC44)Aberdeen Varicose Vein Questionnaire</v>
      </c>
      <c r="C7014" t="s">
        <v>17</v>
      </c>
      <c r="D7014" t="s">
        <v>1</v>
      </c>
      <c r="E7014" t="s">
        <v>3775</v>
      </c>
      <c r="F7014" t="s">
        <v>3776</v>
      </c>
      <c r="G7014" t="s">
        <v>0</v>
      </c>
      <c r="H7014" t="s">
        <v>53</v>
      </c>
      <c r="I7014" t="s">
        <v>53</v>
      </c>
      <c r="J7014" t="s">
        <v>53</v>
      </c>
      <c r="K7014" t="s">
        <v>53</v>
      </c>
      <c r="L7014" t="s">
        <v>53</v>
      </c>
      <c r="M7014" t="s">
        <v>53</v>
      </c>
      <c r="N7014" t="s">
        <v>53</v>
      </c>
      <c r="O7014" t="s">
        <v>53</v>
      </c>
      <c r="P7014" t="s">
        <v>53</v>
      </c>
      <c r="Q7014" t="s">
        <v>53</v>
      </c>
    </row>
    <row r="7015" spans="1:17" x14ac:dyDescent="0.2">
      <c r="A7015" s="30" t="str">
        <f>IF(C7015&amp;G7015&amp;D7015&lt;&gt;'Funnel setup'!$K$3&amp;'Funnel setup'!$K$4&amp;'Funnel setup'!$K$5,".",IF(A7014=".",1,A7014+1))</f>
        <v>.</v>
      </c>
      <c r="B7015" s="431" t="str">
        <f t="shared" si="109"/>
        <v>Varicose VeinProviderTORBAY AND SOUTH DEVON NHS FOUNDATION TRUST (RA9)Aberdeen Varicose Vein Questionnaire</v>
      </c>
      <c r="C7015" t="s">
        <v>17</v>
      </c>
      <c r="D7015" t="s">
        <v>1</v>
      </c>
      <c r="E7015" t="s">
        <v>3480</v>
      </c>
      <c r="F7015" t="s">
        <v>6584</v>
      </c>
      <c r="G7015" t="s">
        <v>0</v>
      </c>
      <c r="H7015" t="s">
        <v>53</v>
      </c>
      <c r="I7015" t="s">
        <v>53</v>
      </c>
      <c r="J7015" t="s">
        <v>53</v>
      </c>
      <c r="K7015" t="s">
        <v>53</v>
      </c>
      <c r="L7015" t="s">
        <v>53</v>
      </c>
      <c r="M7015" t="s">
        <v>53</v>
      </c>
      <c r="N7015" t="s">
        <v>53</v>
      </c>
      <c r="O7015" t="s">
        <v>53</v>
      </c>
      <c r="P7015" t="s">
        <v>53</v>
      </c>
      <c r="Q7015" t="s">
        <v>53</v>
      </c>
    </row>
    <row r="7016" spans="1:17" x14ac:dyDescent="0.2">
      <c r="A7016" s="30" t="str">
        <f>IF(C7016&amp;G7016&amp;D7016&lt;&gt;'Funnel setup'!$K$3&amp;'Funnel setup'!$K$4&amp;'Funnel setup'!$K$5,".",IF(A7015=".",1,A7015+1))</f>
        <v>.</v>
      </c>
      <c r="B7016" s="431" t="str">
        <f t="shared" si="109"/>
        <v>Varicose VeinProviderTYNESIDE SURGICAL SERVICES AT THE NORTH EAST NHS SURGERY CENTRE (NN401)Aberdeen Varicose Vein Questionnaire</v>
      </c>
      <c r="C7016" t="s">
        <v>17</v>
      </c>
      <c r="D7016" t="s">
        <v>1</v>
      </c>
      <c r="E7016" t="s">
        <v>4506</v>
      </c>
      <c r="F7016" t="s">
        <v>4507</v>
      </c>
      <c r="G7016" t="s">
        <v>0</v>
      </c>
      <c r="H7016" t="s">
        <v>53</v>
      </c>
      <c r="I7016" t="s">
        <v>53</v>
      </c>
      <c r="J7016" t="s">
        <v>53</v>
      </c>
      <c r="K7016" t="s">
        <v>53</v>
      </c>
      <c r="L7016" t="s">
        <v>53</v>
      </c>
      <c r="M7016" t="s">
        <v>53</v>
      </c>
      <c r="N7016" t="s">
        <v>53</v>
      </c>
      <c r="O7016" t="s">
        <v>53</v>
      </c>
      <c r="P7016" t="s">
        <v>53</v>
      </c>
      <c r="Q7016" t="s">
        <v>53</v>
      </c>
    </row>
    <row r="7017" spans="1:17" x14ac:dyDescent="0.2">
      <c r="A7017" s="30" t="str">
        <f>IF(C7017&amp;G7017&amp;D7017&lt;&gt;'Funnel setup'!$K$3&amp;'Funnel setup'!$K$4&amp;'Funnel setup'!$K$5,".",IF(A7016=".",1,A7016+1))</f>
        <v>.</v>
      </c>
      <c r="B7017" s="431" t="str">
        <f t="shared" si="109"/>
        <v>Varicose VeinProviderUNITED LINCOLNSHIRE HOSPITALS NHS TRUST (RWD)Aberdeen Varicose Vein Questionnaire</v>
      </c>
      <c r="C7017" t="s">
        <v>17</v>
      </c>
      <c r="D7017" t="s">
        <v>1</v>
      </c>
      <c r="E7017" t="s">
        <v>3763</v>
      </c>
      <c r="F7017" t="s">
        <v>3764</v>
      </c>
      <c r="G7017" t="s">
        <v>0</v>
      </c>
      <c r="H7017">
        <v>41</v>
      </c>
      <c r="I7017">
        <v>24.129000000000001</v>
      </c>
      <c r="J7017">
        <v>14.628</v>
      </c>
      <c r="K7017">
        <v>-9.5009999999999994</v>
      </c>
      <c r="L7017">
        <v>34</v>
      </c>
      <c r="M7017">
        <v>0</v>
      </c>
      <c r="N7017">
        <v>7</v>
      </c>
      <c r="O7017">
        <v>15.805999999999999</v>
      </c>
      <c r="P7017">
        <v>-5.1161148169999997</v>
      </c>
      <c r="Q7017">
        <v>17.806000000000001</v>
      </c>
    </row>
    <row r="7018" spans="1:17" x14ac:dyDescent="0.2">
      <c r="A7018" s="30" t="str">
        <f>IF(C7018&amp;G7018&amp;D7018&lt;&gt;'Funnel setup'!$K$3&amp;'Funnel setup'!$K$4&amp;'Funnel setup'!$K$5,".",IF(A7017=".",1,A7017+1))</f>
        <v>.</v>
      </c>
      <c r="B7018" s="431" t="str">
        <f t="shared" si="109"/>
        <v>Varicose VeinProviderUNIVERSITY COLLEGE LONDON HOSPITALS NHS FOUNDATION TRUST (RRV)Aberdeen Varicose Vein Questionnaire</v>
      </c>
      <c r="C7018" t="s">
        <v>17</v>
      </c>
      <c r="D7018" t="s">
        <v>1</v>
      </c>
      <c r="E7018" t="s">
        <v>3766</v>
      </c>
      <c r="F7018" t="s">
        <v>3767</v>
      </c>
      <c r="G7018" t="s">
        <v>0</v>
      </c>
      <c r="H7018">
        <v>64</v>
      </c>
      <c r="I7018">
        <v>20.053999999999998</v>
      </c>
      <c r="J7018">
        <v>12.462</v>
      </c>
      <c r="K7018">
        <v>-7.5919999999999996</v>
      </c>
      <c r="L7018">
        <v>54</v>
      </c>
      <c r="M7018">
        <v>0</v>
      </c>
      <c r="N7018">
        <v>10</v>
      </c>
      <c r="O7018">
        <v>12.426</v>
      </c>
      <c r="P7018">
        <v>-8.4961608450000004</v>
      </c>
      <c r="Q7018">
        <v>14.801</v>
      </c>
    </row>
    <row r="7019" spans="1:17" x14ac:dyDescent="0.2">
      <c r="A7019" s="30" t="str">
        <f>IF(C7019&amp;G7019&amp;D7019&lt;&gt;'Funnel setup'!$K$3&amp;'Funnel setup'!$K$4&amp;'Funnel setup'!$K$5,".",IF(A7018=".",1,A7018+1))</f>
        <v>.</v>
      </c>
      <c r="B7019" s="431" t="str">
        <f t="shared" si="109"/>
        <v>Varicose VeinProviderUNIVERSITY HOSPITAL OF SOUTH MANCHESTER NHS FOUNDATION TRUST (RM2)Aberdeen Varicose Vein Questionnaire</v>
      </c>
      <c r="C7019" t="s">
        <v>17</v>
      </c>
      <c r="D7019" t="s">
        <v>1</v>
      </c>
      <c r="E7019" t="s">
        <v>3769</v>
      </c>
      <c r="F7019" t="s">
        <v>3770</v>
      </c>
      <c r="G7019" t="s">
        <v>0</v>
      </c>
      <c r="H7019">
        <v>109</v>
      </c>
      <c r="I7019">
        <v>19.143000000000001</v>
      </c>
      <c r="J7019">
        <v>11.199</v>
      </c>
      <c r="K7019">
        <v>-7.944</v>
      </c>
      <c r="L7019">
        <v>94</v>
      </c>
      <c r="M7019">
        <v>0</v>
      </c>
      <c r="N7019">
        <v>15</v>
      </c>
      <c r="O7019">
        <v>9.9920000000000009</v>
      </c>
      <c r="P7019">
        <v>-10.930086709999999</v>
      </c>
      <c r="Q7019">
        <v>14.35</v>
      </c>
    </row>
    <row r="7020" spans="1:17" x14ac:dyDescent="0.2">
      <c r="A7020" s="30" t="str">
        <f>IF(C7020&amp;G7020&amp;D7020&lt;&gt;'Funnel setup'!$K$3&amp;'Funnel setup'!$K$4&amp;'Funnel setup'!$K$5,".",IF(A7019=".",1,A7019+1))</f>
        <v>.</v>
      </c>
      <c r="B7020" s="431" t="str">
        <f t="shared" si="109"/>
        <v>Varicose VeinProviderUNIVERSITY HOSPITALS BIRMINGHAM NHS FOUNDATION TRUST (RRK)Aberdeen Varicose Vein Questionnaire</v>
      </c>
      <c r="C7020" t="s">
        <v>17</v>
      </c>
      <c r="D7020" t="s">
        <v>1</v>
      </c>
      <c r="E7020" t="s">
        <v>3778</v>
      </c>
      <c r="F7020" t="s">
        <v>3779</v>
      </c>
      <c r="G7020" t="s">
        <v>0</v>
      </c>
      <c r="H7020">
        <v>11</v>
      </c>
      <c r="I7020">
        <v>26.771999999999998</v>
      </c>
      <c r="J7020">
        <v>11.335000000000001</v>
      </c>
      <c r="K7020">
        <v>-15.436999999999999</v>
      </c>
      <c r="L7020">
        <v>10</v>
      </c>
      <c r="M7020">
        <v>0</v>
      </c>
      <c r="N7020">
        <v>1</v>
      </c>
      <c r="O7020" t="s">
        <v>53</v>
      </c>
      <c r="P7020" t="s">
        <v>53</v>
      </c>
      <c r="Q7020" t="s">
        <v>53</v>
      </c>
    </row>
    <row r="7021" spans="1:17" x14ac:dyDescent="0.2">
      <c r="A7021" s="30" t="str">
        <f>IF(C7021&amp;G7021&amp;D7021&lt;&gt;'Funnel setup'!$K$3&amp;'Funnel setup'!$K$4&amp;'Funnel setup'!$K$5,".",IF(A7020=".",1,A7020+1))</f>
        <v>.</v>
      </c>
      <c r="B7021" s="431" t="str">
        <f t="shared" si="109"/>
        <v>Varicose VeinProviderUNIVERSITY HOSPITALS BRISTOL NHS FOUNDATION TRUST (RA7)Aberdeen Varicose Vein Questionnaire</v>
      </c>
      <c r="C7021" t="s">
        <v>17</v>
      </c>
      <c r="D7021" t="s">
        <v>1</v>
      </c>
      <c r="E7021" t="s">
        <v>3835</v>
      </c>
      <c r="F7021" t="s">
        <v>3836</v>
      </c>
      <c r="G7021" t="s">
        <v>0</v>
      </c>
      <c r="H7021" t="s">
        <v>53</v>
      </c>
      <c r="I7021" t="s">
        <v>53</v>
      </c>
      <c r="J7021" t="s">
        <v>53</v>
      </c>
      <c r="K7021" t="s">
        <v>53</v>
      </c>
      <c r="L7021" t="s">
        <v>53</v>
      </c>
      <c r="M7021" t="s">
        <v>53</v>
      </c>
      <c r="N7021" t="s">
        <v>53</v>
      </c>
      <c r="O7021" t="s">
        <v>53</v>
      </c>
      <c r="P7021" t="s">
        <v>53</v>
      </c>
      <c r="Q7021" t="s">
        <v>53</v>
      </c>
    </row>
    <row r="7022" spans="1:17" x14ac:dyDescent="0.2">
      <c r="A7022" s="30" t="str">
        <f>IF(C7022&amp;G7022&amp;D7022&lt;&gt;'Funnel setup'!$K$3&amp;'Funnel setup'!$K$4&amp;'Funnel setup'!$K$5,".",IF(A7021=".",1,A7021+1))</f>
        <v>.</v>
      </c>
      <c r="B7022" s="431" t="str">
        <f t="shared" si="109"/>
        <v>Varicose VeinProviderUNIVERSITY HOSPITALS COVENTRY AND WARWICKSHIRE NHS TRUST (RKB)Aberdeen Varicose Vein Questionnaire</v>
      </c>
      <c r="C7022" t="s">
        <v>17</v>
      </c>
      <c r="D7022" t="s">
        <v>1</v>
      </c>
      <c r="E7022" t="s">
        <v>3715</v>
      </c>
      <c r="F7022" t="s">
        <v>3716</v>
      </c>
      <c r="G7022" t="s">
        <v>0</v>
      </c>
      <c r="H7022">
        <v>14</v>
      </c>
      <c r="I7022">
        <v>21.105</v>
      </c>
      <c r="J7022">
        <v>15.148999999999999</v>
      </c>
      <c r="K7022">
        <v>-5.9560000000000004</v>
      </c>
      <c r="L7022">
        <v>13</v>
      </c>
      <c r="M7022">
        <v>0</v>
      </c>
      <c r="N7022">
        <v>1</v>
      </c>
      <c r="O7022" t="s">
        <v>53</v>
      </c>
      <c r="P7022" t="s">
        <v>53</v>
      </c>
      <c r="Q7022" t="s">
        <v>53</v>
      </c>
    </row>
    <row r="7023" spans="1:17" x14ac:dyDescent="0.2">
      <c r="A7023" s="30" t="str">
        <f>IF(C7023&amp;G7023&amp;D7023&lt;&gt;'Funnel setup'!$K$3&amp;'Funnel setup'!$K$4&amp;'Funnel setup'!$K$5,".",IF(A7022=".",1,A7022+1))</f>
        <v>.</v>
      </c>
      <c r="B7023" s="431" t="str">
        <f t="shared" si="109"/>
        <v>Varicose VeinProviderUNIVERSITY HOSPITALS OF LEICESTER NHS TRUST (RWE)Aberdeen Varicose Vein Questionnaire</v>
      </c>
      <c r="C7023" t="s">
        <v>17</v>
      </c>
      <c r="D7023" t="s">
        <v>1</v>
      </c>
      <c r="E7023" t="s">
        <v>3718</v>
      </c>
      <c r="F7023" t="s">
        <v>3719</v>
      </c>
      <c r="G7023" t="s">
        <v>0</v>
      </c>
      <c r="H7023">
        <v>50</v>
      </c>
      <c r="I7023">
        <v>22.164000000000001</v>
      </c>
      <c r="J7023">
        <v>11.972</v>
      </c>
      <c r="K7023">
        <v>-10.192</v>
      </c>
      <c r="L7023">
        <v>40</v>
      </c>
      <c r="M7023">
        <v>0</v>
      </c>
      <c r="N7023">
        <v>10</v>
      </c>
      <c r="O7023">
        <v>12.17</v>
      </c>
      <c r="P7023">
        <v>-8.7524106550000003</v>
      </c>
      <c r="Q7023">
        <v>14.555</v>
      </c>
    </row>
    <row r="7024" spans="1:17" x14ac:dyDescent="0.2">
      <c r="A7024" s="30" t="str">
        <f>IF(C7024&amp;G7024&amp;D7024&lt;&gt;'Funnel setup'!$K$3&amp;'Funnel setup'!$K$4&amp;'Funnel setup'!$K$5,".",IF(A7023=".",1,A7023+1))</f>
        <v>.</v>
      </c>
      <c r="B7024" s="431" t="str">
        <f t="shared" si="109"/>
        <v>Varicose VeinProviderUNIVERSITY HOSPITALS OF MORECAMBE BAY NHS FOUNDATION TRUST (RTX)Aberdeen Varicose Vein Questionnaire</v>
      </c>
      <c r="C7024" t="s">
        <v>17</v>
      </c>
      <c r="D7024" t="s">
        <v>1</v>
      </c>
      <c r="E7024" t="s">
        <v>3721</v>
      </c>
      <c r="F7024" t="s">
        <v>3722</v>
      </c>
      <c r="G7024" t="s">
        <v>0</v>
      </c>
      <c r="H7024">
        <v>32</v>
      </c>
      <c r="I7024">
        <v>19.863</v>
      </c>
      <c r="J7024">
        <v>11.811</v>
      </c>
      <c r="K7024">
        <v>-8.0519999999999996</v>
      </c>
      <c r="L7024">
        <v>29</v>
      </c>
      <c r="M7024">
        <v>0</v>
      </c>
      <c r="N7024">
        <v>3</v>
      </c>
      <c r="O7024">
        <v>11.632</v>
      </c>
      <c r="P7024">
        <v>-9.290433707</v>
      </c>
      <c r="Q7024">
        <v>13.85</v>
      </c>
    </row>
    <row r="7025" spans="1:17" x14ac:dyDescent="0.2">
      <c r="A7025" s="30" t="str">
        <f>IF(C7025&amp;G7025&amp;D7025&lt;&gt;'Funnel setup'!$K$3&amp;'Funnel setup'!$K$4&amp;'Funnel setup'!$K$5,".",IF(A7024=".",1,A7024+1))</f>
        <v>.</v>
      </c>
      <c r="B7025" s="431" t="str">
        <f t="shared" si="109"/>
        <v>Varicose VeinProviderUNIVERSITY HOSPITALS OF NORTH MIDLANDS NHS TRUST (RJE)Aberdeen Varicose Vein Questionnaire</v>
      </c>
      <c r="C7025" t="s">
        <v>17</v>
      </c>
      <c r="D7025" t="s">
        <v>1</v>
      </c>
      <c r="E7025" t="s">
        <v>3724</v>
      </c>
      <c r="F7025" t="s">
        <v>3725</v>
      </c>
      <c r="G7025" t="s">
        <v>0</v>
      </c>
      <c r="H7025">
        <v>9</v>
      </c>
      <c r="I7025">
        <v>19.707000000000001</v>
      </c>
      <c r="J7025">
        <v>14.887</v>
      </c>
      <c r="K7025">
        <v>-4.819</v>
      </c>
      <c r="L7025">
        <v>7</v>
      </c>
      <c r="M7025">
        <v>0</v>
      </c>
      <c r="N7025">
        <v>2</v>
      </c>
      <c r="O7025" t="s">
        <v>53</v>
      </c>
      <c r="P7025" t="s">
        <v>53</v>
      </c>
      <c r="Q7025" t="s">
        <v>53</v>
      </c>
    </row>
    <row r="7026" spans="1:17" x14ac:dyDescent="0.2">
      <c r="A7026" s="30" t="str">
        <f>IF(C7026&amp;G7026&amp;D7026&lt;&gt;'Funnel setup'!$K$3&amp;'Funnel setup'!$K$4&amp;'Funnel setup'!$K$5,".",IF(A7025=".",1,A7025+1))</f>
        <v>.</v>
      </c>
      <c r="B7026" s="431" t="str">
        <f t="shared" si="109"/>
        <v>Varicose VeinProviderWALSALL HEALTHCARE NHS TRUST (RBK)Aberdeen Varicose Vein Questionnaire</v>
      </c>
      <c r="C7026" t="s">
        <v>17</v>
      </c>
      <c r="D7026" t="s">
        <v>1</v>
      </c>
      <c r="E7026" t="s">
        <v>3727</v>
      </c>
      <c r="F7026" t="s">
        <v>3728</v>
      </c>
      <c r="G7026" t="s">
        <v>0</v>
      </c>
      <c r="H7026">
        <v>20</v>
      </c>
      <c r="I7026">
        <v>22.556000000000001</v>
      </c>
      <c r="J7026">
        <v>12.387</v>
      </c>
      <c r="K7026">
        <v>-10.169</v>
      </c>
      <c r="L7026">
        <v>17</v>
      </c>
      <c r="M7026">
        <v>0</v>
      </c>
      <c r="N7026">
        <v>3</v>
      </c>
      <c r="O7026" t="s">
        <v>53</v>
      </c>
      <c r="P7026" t="s">
        <v>53</v>
      </c>
      <c r="Q7026" t="s">
        <v>53</v>
      </c>
    </row>
    <row r="7027" spans="1:17" x14ac:dyDescent="0.2">
      <c r="A7027" s="30" t="str">
        <f>IF(C7027&amp;G7027&amp;D7027&lt;&gt;'Funnel setup'!$K$3&amp;'Funnel setup'!$K$4&amp;'Funnel setup'!$K$5,".",IF(A7026=".",1,A7026+1))</f>
        <v>.</v>
      </c>
      <c r="B7027" s="431" t="str">
        <f t="shared" si="109"/>
        <v>Varicose VeinProviderWARRINGTON AND HALTON HOSPITALS NHS FOUNDATION TRUST (RWW)Aberdeen Varicose Vein Questionnaire</v>
      </c>
      <c r="C7027" t="s">
        <v>17</v>
      </c>
      <c r="D7027" t="s">
        <v>1</v>
      </c>
      <c r="E7027" t="s">
        <v>3730</v>
      </c>
      <c r="F7027" t="s">
        <v>3731</v>
      </c>
      <c r="G7027" t="s">
        <v>0</v>
      </c>
      <c r="H7027">
        <v>15</v>
      </c>
      <c r="I7027">
        <v>22.015999999999998</v>
      </c>
      <c r="J7027">
        <v>13.343</v>
      </c>
      <c r="K7027">
        <v>-8.6739999999999995</v>
      </c>
      <c r="L7027">
        <v>13</v>
      </c>
      <c r="M7027">
        <v>0</v>
      </c>
      <c r="N7027">
        <v>2</v>
      </c>
      <c r="O7027" t="s">
        <v>53</v>
      </c>
      <c r="P7027" t="s">
        <v>53</v>
      </c>
      <c r="Q7027" t="s">
        <v>53</v>
      </c>
    </row>
    <row r="7028" spans="1:17" x14ac:dyDescent="0.2">
      <c r="A7028" s="30" t="str">
        <f>IF(C7028&amp;G7028&amp;D7028&lt;&gt;'Funnel setup'!$K$3&amp;'Funnel setup'!$K$4&amp;'Funnel setup'!$K$5,".",IF(A7027=".",1,A7027+1))</f>
        <v>.</v>
      </c>
      <c r="B7028" s="431" t="str">
        <f t="shared" si="109"/>
        <v>Varicose VeinProviderWEST HERTFORDSHIRE HOSPITALS NHS TRUST (RWG)Aberdeen Varicose Vein Questionnaire</v>
      </c>
      <c r="C7028" t="s">
        <v>17</v>
      </c>
      <c r="D7028" t="s">
        <v>1</v>
      </c>
      <c r="E7028" t="s">
        <v>3733</v>
      </c>
      <c r="F7028" t="s">
        <v>3734</v>
      </c>
      <c r="G7028" t="s">
        <v>0</v>
      </c>
      <c r="H7028">
        <v>99</v>
      </c>
      <c r="I7028">
        <v>20.100999999999999</v>
      </c>
      <c r="J7028">
        <v>10.622</v>
      </c>
      <c r="K7028">
        <v>-9.48</v>
      </c>
      <c r="L7028">
        <v>83</v>
      </c>
      <c r="M7028">
        <v>0</v>
      </c>
      <c r="N7028">
        <v>16</v>
      </c>
      <c r="O7028">
        <v>9.7870000000000008</v>
      </c>
      <c r="P7028">
        <v>-11.135372479999999</v>
      </c>
      <c r="Q7028">
        <v>14.504</v>
      </c>
    </row>
    <row r="7029" spans="1:17" x14ac:dyDescent="0.2">
      <c r="A7029" s="30" t="str">
        <f>IF(C7029&amp;G7029&amp;D7029&lt;&gt;'Funnel setup'!$K$3&amp;'Funnel setup'!$K$4&amp;'Funnel setup'!$K$5,".",IF(A7028=".",1,A7028+1))</f>
        <v>.</v>
      </c>
      <c r="B7029" s="431" t="str">
        <f t="shared" si="109"/>
        <v>Varicose VeinProviderWEST SUFFOLK NHS FOUNDATION TRUST (RGR)Aberdeen Varicose Vein Questionnaire</v>
      </c>
      <c r="C7029" t="s">
        <v>17</v>
      </c>
      <c r="D7029" t="s">
        <v>1</v>
      </c>
      <c r="E7029" t="s">
        <v>3712</v>
      </c>
      <c r="F7029" t="s">
        <v>3713</v>
      </c>
      <c r="G7029" t="s">
        <v>0</v>
      </c>
      <c r="H7029">
        <v>30</v>
      </c>
      <c r="I7029">
        <v>20.460999999999999</v>
      </c>
      <c r="J7029">
        <v>11.605</v>
      </c>
      <c r="K7029">
        <v>-8.8559999999999999</v>
      </c>
      <c r="L7029">
        <v>27</v>
      </c>
      <c r="M7029">
        <v>0</v>
      </c>
      <c r="N7029">
        <v>3</v>
      </c>
      <c r="O7029">
        <v>11.486000000000001</v>
      </c>
      <c r="P7029">
        <v>-9.4364136100000007</v>
      </c>
      <c r="Q7029">
        <v>12.404999999999999</v>
      </c>
    </row>
    <row r="7030" spans="1:17" x14ac:dyDescent="0.2">
      <c r="A7030" s="30" t="str">
        <f>IF(C7030&amp;G7030&amp;D7030&lt;&gt;'Funnel setup'!$K$3&amp;'Funnel setup'!$K$4&amp;'Funnel setup'!$K$5,".",IF(A7029=".",1,A7029+1))</f>
        <v>.</v>
      </c>
      <c r="B7030" s="431" t="str">
        <f t="shared" si="109"/>
        <v>Varicose VeinProviderWESTERN SUSSEX HOSPITALS NHS FOUNDATION TRUST (RYR)Aberdeen Varicose Vein Questionnaire</v>
      </c>
      <c r="C7030" t="s">
        <v>17</v>
      </c>
      <c r="D7030" t="s">
        <v>1</v>
      </c>
      <c r="E7030" t="s">
        <v>3706</v>
      </c>
      <c r="F7030" t="s">
        <v>3707</v>
      </c>
      <c r="G7030" t="s">
        <v>0</v>
      </c>
      <c r="H7030">
        <v>12</v>
      </c>
      <c r="I7030">
        <v>20.663</v>
      </c>
      <c r="J7030">
        <v>10.6</v>
      </c>
      <c r="K7030">
        <v>-10.063000000000001</v>
      </c>
      <c r="L7030">
        <v>10</v>
      </c>
      <c r="M7030">
        <v>0</v>
      </c>
      <c r="N7030">
        <v>2</v>
      </c>
      <c r="O7030" t="s">
        <v>53</v>
      </c>
      <c r="P7030" t="s">
        <v>53</v>
      </c>
      <c r="Q7030" t="s">
        <v>53</v>
      </c>
    </row>
    <row r="7031" spans="1:17" x14ac:dyDescent="0.2">
      <c r="A7031" s="30" t="str">
        <f>IF(C7031&amp;G7031&amp;D7031&lt;&gt;'Funnel setup'!$K$3&amp;'Funnel setup'!$K$4&amp;'Funnel setup'!$K$5,".",IF(A7030=".",1,A7030+1))</f>
        <v>.</v>
      </c>
      <c r="B7031" s="431" t="str">
        <f t="shared" si="109"/>
        <v>Varicose VeinProviderWILL ADAMS NHS TREATMENT CENTRE (NTP16)Aberdeen Varicose Vein Questionnaire</v>
      </c>
      <c r="C7031" t="s">
        <v>17</v>
      </c>
      <c r="D7031" t="s">
        <v>1</v>
      </c>
      <c r="E7031" t="s">
        <v>3531</v>
      </c>
      <c r="F7031" t="s">
        <v>3532</v>
      </c>
      <c r="G7031" t="s">
        <v>0</v>
      </c>
      <c r="H7031">
        <v>14</v>
      </c>
      <c r="I7031">
        <v>17.526</v>
      </c>
      <c r="J7031">
        <v>16.337</v>
      </c>
      <c r="K7031">
        <v>-1.19</v>
      </c>
      <c r="L7031">
        <v>7</v>
      </c>
      <c r="M7031">
        <v>0</v>
      </c>
      <c r="N7031">
        <v>7</v>
      </c>
      <c r="O7031" t="s">
        <v>53</v>
      </c>
      <c r="P7031" t="s">
        <v>53</v>
      </c>
      <c r="Q7031" t="s">
        <v>53</v>
      </c>
    </row>
    <row r="7032" spans="1:17" x14ac:dyDescent="0.2">
      <c r="A7032" s="30" t="str">
        <f>IF(C7032&amp;G7032&amp;D7032&lt;&gt;'Funnel setup'!$K$3&amp;'Funnel setup'!$K$4&amp;'Funnel setup'!$K$5,".",IF(A7031=".",1,A7031+1))</f>
        <v>.</v>
      </c>
      <c r="B7032" s="431" t="str">
        <f t="shared" si="109"/>
        <v>Varicose VeinProviderWIRRAL UNIVERSITY TEACHING HOSPITAL NHS FOUNDATION TRUST (RBL)Aberdeen Varicose Vein Questionnaire</v>
      </c>
      <c r="C7032" t="s">
        <v>17</v>
      </c>
      <c r="D7032" t="s">
        <v>1</v>
      </c>
      <c r="E7032" t="s">
        <v>3537</v>
      </c>
      <c r="F7032" t="s">
        <v>3538</v>
      </c>
      <c r="G7032" t="s">
        <v>0</v>
      </c>
      <c r="H7032">
        <v>45</v>
      </c>
      <c r="I7032">
        <v>22.460999999999999</v>
      </c>
      <c r="J7032">
        <v>11.656000000000001</v>
      </c>
      <c r="K7032">
        <v>-10.805</v>
      </c>
      <c r="L7032">
        <v>40</v>
      </c>
      <c r="M7032">
        <v>0</v>
      </c>
      <c r="N7032">
        <v>5</v>
      </c>
      <c r="O7032">
        <v>12.602</v>
      </c>
      <c r="P7032">
        <v>-8.3207577609999994</v>
      </c>
      <c r="Q7032">
        <v>14.183999999999999</v>
      </c>
    </row>
    <row r="7033" spans="1:17" x14ac:dyDescent="0.2">
      <c r="A7033" s="30" t="str">
        <f>IF(C7033&amp;G7033&amp;D7033&lt;&gt;'Funnel setup'!$K$3&amp;'Funnel setup'!$K$4&amp;'Funnel setup'!$K$5,".",IF(A7032=".",1,A7032+1))</f>
        <v>.</v>
      </c>
      <c r="B7033" s="431" t="str">
        <f t="shared" si="109"/>
        <v>Varicose VeinProviderWORCESTERSHIRE ACUTE HOSPITALS NHS TRUST (RWP)Aberdeen Varicose Vein Questionnaire</v>
      </c>
      <c r="C7033" t="s">
        <v>17</v>
      </c>
      <c r="D7033" t="s">
        <v>1</v>
      </c>
      <c r="E7033" t="s">
        <v>3543</v>
      </c>
      <c r="F7033" t="s">
        <v>3544</v>
      </c>
      <c r="G7033" t="s">
        <v>0</v>
      </c>
      <c r="H7033">
        <v>21</v>
      </c>
      <c r="I7033">
        <v>17.562999999999999</v>
      </c>
      <c r="J7033">
        <v>12.601000000000001</v>
      </c>
      <c r="K7033">
        <v>-4.9619999999999997</v>
      </c>
      <c r="L7033">
        <v>15</v>
      </c>
      <c r="M7033">
        <v>0</v>
      </c>
      <c r="N7033">
        <v>6</v>
      </c>
      <c r="O7033" t="s">
        <v>53</v>
      </c>
      <c r="P7033" t="s">
        <v>53</v>
      </c>
      <c r="Q7033" t="s">
        <v>53</v>
      </c>
    </row>
    <row r="7034" spans="1:17" x14ac:dyDescent="0.2">
      <c r="A7034" s="30" t="str">
        <f>IF(C7034&amp;G7034&amp;D7034&lt;&gt;'Funnel setup'!$K$3&amp;'Funnel setup'!$K$4&amp;'Funnel setup'!$K$5,".",IF(A7033=".",1,A7033+1))</f>
        <v>.</v>
      </c>
      <c r="B7034" s="431" t="str">
        <f t="shared" si="109"/>
        <v>Varicose VeinProviderWRIGHTINGTON, WIGAN AND LEIGH NHS FOUNDATION TRUST (RRF)Aberdeen Varicose Vein Questionnaire</v>
      </c>
      <c r="C7034" t="s">
        <v>17</v>
      </c>
      <c r="D7034" t="s">
        <v>1</v>
      </c>
      <c r="E7034" t="s">
        <v>3546</v>
      </c>
      <c r="F7034" t="s">
        <v>3547</v>
      </c>
      <c r="G7034" t="s">
        <v>0</v>
      </c>
      <c r="H7034" t="s">
        <v>53</v>
      </c>
      <c r="I7034" t="s">
        <v>53</v>
      </c>
      <c r="J7034" t="s">
        <v>53</v>
      </c>
      <c r="K7034" t="s">
        <v>53</v>
      </c>
      <c r="L7034" t="s">
        <v>53</v>
      </c>
      <c r="M7034" t="s">
        <v>53</v>
      </c>
      <c r="N7034" t="s">
        <v>53</v>
      </c>
      <c r="O7034" t="s">
        <v>53</v>
      </c>
      <c r="P7034" t="s">
        <v>53</v>
      </c>
      <c r="Q7034" t="s">
        <v>53</v>
      </c>
    </row>
    <row r="7035" spans="1:17" x14ac:dyDescent="0.2">
      <c r="A7035" s="30" t="str">
        <f>IF(C7035&amp;G7035&amp;D7035&lt;&gt;'Funnel setup'!$K$3&amp;'Funnel setup'!$K$4&amp;'Funnel setup'!$K$5,".",IF(A7034=".",1,A7034+1))</f>
        <v>.</v>
      </c>
      <c r="B7035" s="431" t="str">
        <f t="shared" si="109"/>
        <v>Varicose VeinProviderWYE VALLEY NHS TRUST (RLQ)Aberdeen Varicose Vein Questionnaire</v>
      </c>
      <c r="C7035" t="s">
        <v>17</v>
      </c>
      <c r="D7035" t="s">
        <v>1</v>
      </c>
      <c r="E7035" t="s">
        <v>3517</v>
      </c>
      <c r="F7035" t="s">
        <v>3518</v>
      </c>
      <c r="G7035" t="s">
        <v>0</v>
      </c>
      <c r="H7035">
        <v>42</v>
      </c>
      <c r="I7035">
        <v>19.486999999999998</v>
      </c>
      <c r="J7035">
        <v>9.0139999999999993</v>
      </c>
      <c r="K7035">
        <v>-10.473000000000001</v>
      </c>
      <c r="L7035">
        <v>38</v>
      </c>
      <c r="M7035">
        <v>0</v>
      </c>
      <c r="N7035">
        <v>4</v>
      </c>
      <c r="O7035">
        <v>7.6680000000000001</v>
      </c>
      <c r="P7035">
        <v>-13.254036709999999</v>
      </c>
      <c r="Q7035">
        <v>14.878</v>
      </c>
    </row>
    <row r="7036" spans="1:17" x14ac:dyDescent="0.2">
      <c r="A7036" s="30" t="str">
        <f>IF(C7036&amp;G7036&amp;D7036&lt;&gt;'Funnel setup'!$K$3&amp;'Funnel setup'!$K$4&amp;'Funnel setup'!$K$5,".",IF(A7035=".",1,A7035+1))</f>
        <v>.</v>
      </c>
      <c r="B7036" s="431" t="str">
        <f t="shared" si="109"/>
        <v>Varicose VeinProviderYORK TEACHING HOSPITAL NHS FOUNDATION TRUST (RCB)Aberdeen Varicose Vein Questionnaire</v>
      </c>
      <c r="C7036" t="s">
        <v>17</v>
      </c>
      <c r="D7036" t="s">
        <v>1</v>
      </c>
      <c r="E7036" t="s">
        <v>3515</v>
      </c>
      <c r="F7036" t="s">
        <v>343</v>
      </c>
      <c r="G7036" t="s">
        <v>0</v>
      </c>
      <c r="H7036">
        <v>99</v>
      </c>
      <c r="I7036">
        <v>22.198</v>
      </c>
      <c r="J7036">
        <v>10.481</v>
      </c>
      <c r="K7036">
        <v>-11.715999999999999</v>
      </c>
      <c r="L7036">
        <v>87</v>
      </c>
      <c r="M7036">
        <v>0</v>
      </c>
      <c r="N7036">
        <v>12</v>
      </c>
      <c r="O7036">
        <v>10.914</v>
      </c>
      <c r="P7036">
        <v>-10.008059449999999</v>
      </c>
      <c r="Q7036">
        <v>16.033999999999999</v>
      </c>
    </row>
    <row r="7037" spans="1:17" x14ac:dyDescent="0.2">
      <c r="A7037" s="30" t="str">
        <f>IF(C7037&amp;G7037&amp;D7037&lt;&gt;'Funnel setup'!$K$3&amp;'Funnel setup'!$K$4&amp;'Funnel setup'!$K$5,".",IF(A7036=".",1,A7036+1))</f>
        <v>.</v>
      </c>
      <c r="B7037" s="431" t="str">
        <f t="shared" si="109"/>
        <v>Varicose VeinProviderAINTREE UNIVERSITY HOSPITAL NHS FOUNDATION TRUST (REM)EQ VAS</v>
      </c>
      <c r="C7037" t="s">
        <v>17</v>
      </c>
      <c r="D7037" t="s">
        <v>1</v>
      </c>
      <c r="E7037" t="s">
        <v>3838</v>
      </c>
      <c r="F7037" t="s">
        <v>3839</v>
      </c>
      <c r="G7037" t="s">
        <v>179</v>
      </c>
      <c r="H7037">
        <v>25</v>
      </c>
      <c r="I7037">
        <v>73.16</v>
      </c>
      <c r="J7037">
        <v>71.16</v>
      </c>
      <c r="K7037">
        <v>-2</v>
      </c>
      <c r="L7037">
        <v>10</v>
      </c>
      <c r="M7037">
        <v>3</v>
      </c>
      <c r="N7037">
        <v>12</v>
      </c>
      <c r="O7037" t="s">
        <v>53</v>
      </c>
      <c r="P7037" t="s">
        <v>53</v>
      </c>
      <c r="Q7037" t="s">
        <v>53</v>
      </c>
    </row>
    <row r="7038" spans="1:17" x14ac:dyDescent="0.2">
      <c r="A7038" s="30" t="str">
        <f>IF(C7038&amp;G7038&amp;D7038&lt;&gt;'Funnel setup'!$K$3&amp;'Funnel setup'!$K$4&amp;'Funnel setup'!$K$5,".",IF(A7037=".",1,A7037+1))</f>
        <v>.</v>
      </c>
      <c r="B7038" s="431" t="str">
        <f t="shared" si="109"/>
        <v>Varicose VeinProviderAIREDALE NHS FOUNDATION TRUST (RCF)EQ VAS</v>
      </c>
      <c r="C7038" t="s">
        <v>17</v>
      </c>
      <c r="D7038" t="s">
        <v>1</v>
      </c>
      <c r="E7038" t="s">
        <v>3841</v>
      </c>
      <c r="F7038" t="s">
        <v>3842</v>
      </c>
      <c r="G7038" t="s">
        <v>179</v>
      </c>
      <c r="H7038">
        <v>61</v>
      </c>
      <c r="I7038">
        <v>80.066000000000003</v>
      </c>
      <c r="J7038">
        <v>79.147999999999996</v>
      </c>
      <c r="K7038">
        <v>-0.91800000000000004</v>
      </c>
      <c r="L7038">
        <v>22</v>
      </c>
      <c r="M7038">
        <v>9</v>
      </c>
      <c r="N7038">
        <v>30</v>
      </c>
      <c r="O7038">
        <v>77.95</v>
      </c>
      <c r="P7038">
        <v>-1.0144460200000001</v>
      </c>
      <c r="Q7038">
        <v>12.510999999999999</v>
      </c>
    </row>
    <row r="7039" spans="1:17" x14ac:dyDescent="0.2">
      <c r="A7039" s="30" t="str">
        <f>IF(C7039&amp;G7039&amp;D7039&lt;&gt;'Funnel setup'!$K$3&amp;'Funnel setup'!$K$4&amp;'Funnel setup'!$K$5,".",IF(A7038=".",1,A7038+1))</f>
        <v>.</v>
      </c>
      <c r="B7039" s="431" t="str">
        <f t="shared" si="109"/>
        <v>Varicose VeinProviderASHFORD AND ST PETER'S HOSPITALS NHS FOUNDATION TRUST (RTK)EQ VAS</v>
      </c>
      <c r="C7039" t="s">
        <v>17</v>
      </c>
      <c r="D7039" t="s">
        <v>1</v>
      </c>
      <c r="E7039" t="s">
        <v>3844</v>
      </c>
      <c r="F7039" t="s">
        <v>345</v>
      </c>
      <c r="G7039" t="s">
        <v>179</v>
      </c>
      <c r="H7039">
        <v>19</v>
      </c>
      <c r="I7039">
        <v>81.578999999999994</v>
      </c>
      <c r="J7039">
        <v>78.947000000000003</v>
      </c>
      <c r="K7039">
        <v>-2.6320000000000001</v>
      </c>
      <c r="L7039">
        <v>7</v>
      </c>
      <c r="M7039">
        <v>4</v>
      </c>
      <c r="N7039">
        <v>8</v>
      </c>
      <c r="O7039" t="s">
        <v>53</v>
      </c>
      <c r="P7039" t="s">
        <v>53</v>
      </c>
      <c r="Q7039" t="s">
        <v>53</v>
      </c>
    </row>
    <row r="7040" spans="1:17" x14ac:dyDescent="0.2">
      <c r="A7040" s="30" t="str">
        <f>IF(C7040&amp;G7040&amp;D7040&lt;&gt;'Funnel setup'!$K$3&amp;'Funnel setup'!$K$4&amp;'Funnel setup'!$K$5,".",IF(A7039=".",1,A7039+1))</f>
        <v>.</v>
      </c>
      <c r="B7040" s="431" t="str">
        <f t="shared" si="109"/>
        <v>Varicose VeinProviderASHTEAD HOSPITAL (NVC01)EQ VAS</v>
      </c>
      <c r="C7040" t="s">
        <v>17</v>
      </c>
      <c r="D7040" t="s">
        <v>1</v>
      </c>
      <c r="E7040" t="s">
        <v>3846</v>
      </c>
      <c r="F7040" t="s">
        <v>3847</v>
      </c>
      <c r="G7040" t="s">
        <v>179</v>
      </c>
      <c r="H7040">
        <v>14</v>
      </c>
      <c r="I7040">
        <v>77.856999999999999</v>
      </c>
      <c r="J7040">
        <v>84.213999999999999</v>
      </c>
      <c r="K7040">
        <v>6.3570000000000002</v>
      </c>
      <c r="L7040">
        <v>8</v>
      </c>
      <c r="M7040">
        <v>0</v>
      </c>
      <c r="N7040">
        <v>6</v>
      </c>
      <c r="O7040" t="s">
        <v>53</v>
      </c>
      <c r="P7040" t="s">
        <v>53</v>
      </c>
      <c r="Q7040" t="s">
        <v>53</v>
      </c>
    </row>
    <row r="7041" spans="1:17" x14ac:dyDescent="0.2">
      <c r="A7041" s="30" t="str">
        <f>IF(C7041&amp;G7041&amp;D7041&lt;&gt;'Funnel setup'!$K$3&amp;'Funnel setup'!$K$4&amp;'Funnel setup'!$K$5,".",IF(A7040=".",1,A7040+1))</f>
        <v>.</v>
      </c>
      <c r="B7041" s="431" t="str">
        <f t="shared" si="109"/>
        <v>Varicose VeinProviderBARKING, HAVERING AND REDBRIDGE UNIVERSITY HOSPITALS NHS TRUST (RF4)EQ VAS</v>
      </c>
      <c r="C7041" t="s">
        <v>17</v>
      </c>
      <c r="D7041" t="s">
        <v>1</v>
      </c>
      <c r="E7041" t="s">
        <v>3509</v>
      </c>
      <c r="F7041" t="s">
        <v>3510</v>
      </c>
      <c r="G7041" t="s">
        <v>179</v>
      </c>
      <c r="H7041">
        <v>28</v>
      </c>
      <c r="I7041">
        <v>73.429000000000002</v>
      </c>
      <c r="J7041">
        <v>74.356999999999999</v>
      </c>
      <c r="K7041">
        <v>0.92900000000000005</v>
      </c>
      <c r="L7041">
        <v>12</v>
      </c>
      <c r="M7041">
        <v>7</v>
      </c>
      <c r="N7041">
        <v>9</v>
      </c>
      <c r="O7041" t="s">
        <v>53</v>
      </c>
      <c r="P7041" t="s">
        <v>53</v>
      </c>
      <c r="Q7041" t="s">
        <v>53</v>
      </c>
    </row>
    <row r="7042" spans="1:17" x14ac:dyDescent="0.2">
      <c r="A7042" s="30" t="str">
        <f>IF(C7042&amp;G7042&amp;D7042&lt;&gt;'Funnel setup'!$K$3&amp;'Funnel setup'!$K$4&amp;'Funnel setup'!$K$5,".",IF(A7041=".",1,A7041+1))</f>
        <v>.</v>
      </c>
      <c r="B7042" s="431" t="str">
        <f t="shared" si="109"/>
        <v>Varicose VeinProviderBARNSLEY HOSPITAL NHS FOUNDATION TRUST (RFF)EQ VAS</v>
      </c>
      <c r="C7042" t="s">
        <v>17</v>
      </c>
      <c r="D7042" t="s">
        <v>1</v>
      </c>
      <c r="E7042" t="s">
        <v>3549</v>
      </c>
      <c r="F7042" t="s">
        <v>3550</v>
      </c>
      <c r="G7042" t="s">
        <v>179</v>
      </c>
      <c r="H7042">
        <v>12</v>
      </c>
      <c r="I7042">
        <v>87</v>
      </c>
      <c r="J7042">
        <v>78.75</v>
      </c>
      <c r="K7042">
        <v>-8.25</v>
      </c>
      <c r="L7042">
        <v>5</v>
      </c>
      <c r="M7042">
        <v>2</v>
      </c>
      <c r="N7042">
        <v>5</v>
      </c>
      <c r="O7042" t="s">
        <v>53</v>
      </c>
      <c r="P7042" t="s">
        <v>53</v>
      </c>
      <c r="Q7042" t="s">
        <v>53</v>
      </c>
    </row>
    <row r="7043" spans="1:17" x14ac:dyDescent="0.2">
      <c r="A7043" s="30" t="str">
        <f>IF(C7043&amp;G7043&amp;D7043&lt;&gt;'Funnel setup'!$K$3&amp;'Funnel setup'!$K$4&amp;'Funnel setup'!$K$5,".",IF(A7042=".",1,A7042+1))</f>
        <v>.</v>
      </c>
      <c r="B7043" s="431" t="str">
        <f t="shared" ref="B7043:B7106" si="110">C7043&amp;D7043&amp;F7043&amp;G7043</f>
        <v>Varicose VeinProviderBARTS HEALTH NHS TRUST (R1H)EQ VAS</v>
      </c>
      <c r="C7043" t="s">
        <v>17</v>
      </c>
      <c r="D7043" t="s">
        <v>1</v>
      </c>
      <c r="E7043" t="s">
        <v>3552</v>
      </c>
      <c r="F7043" t="s">
        <v>3553</v>
      </c>
      <c r="G7043" t="s">
        <v>179</v>
      </c>
      <c r="H7043">
        <v>55</v>
      </c>
      <c r="I7043">
        <v>77.272999999999996</v>
      </c>
      <c r="J7043">
        <v>76.382000000000005</v>
      </c>
      <c r="K7043">
        <v>-0.89100000000000001</v>
      </c>
      <c r="L7043">
        <v>25</v>
      </c>
      <c r="M7043">
        <v>10</v>
      </c>
      <c r="N7043">
        <v>20</v>
      </c>
      <c r="O7043">
        <v>79.591999999999999</v>
      </c>
      <c r="P7043">
        <v>0.62754469899999998</v>
      </c>
      <c r="Q7043">
        <v>15.686</v>
      </c>
    </row>
    <row r="7044" spans="1:17" x14ac:dyDescent="0.2">
      <c r="A7044" s="30" t="str">
        <f>IF(C7044&amp;G7044&amp;D7044&lt;&gt;'Funnel setup'!$K$3&amp;'Funnel setup'!$K$4&amp;'Funnel setup'!$K$5,".",IF(A7043=".",1,A7043+1))</f>
        <v>.</v>
      </c>
      <c r="B7044" s="431" t="str">
        <f t="shared" si="110"/>
        <v>Varicose VeinProviderBASILDON AND THURROCK UNIVERSITY HOSPITALS NHS FOUNDATION TRUST (RDD)EQ VAS</v>
      </c>
      <c r="C7044" t="s">
        <v>17</v>
      </c>
      <c r="D7044" t="s">
        <v>1</v>
      </c>
      <c r="E7044" t="s">
        <v>3555</v>
      </c>
      <c r="F7044" t="s">
        <v>3556</v>
      </c>
      <c r="G7044" t="s">
        <v>179</v>
      </c>
      <c r="H7044" t="s">
        <v>53</v>
      </c>
      <c r="I7044" t="s">
        <v>53</v>
      </c>
      <c r="J7044" t="s">
        <v>53</v>
      </c>
      <c r="K7044" t="s">
        <v>53</v>
      </c>
      <c r="L7044" t="s">
        <v>53</v>
      </c>
      <c r="M7044" t="s">
        <v>53</v>
      </c>
      <c r="N7044" t="s">
        <v>53</v>
      </c>
      <c r="O7044" t="s">
        <v>53</v>
      </c>
      <c r="P7044" t="s">
        <v>53</v>
      </c>
      <c r="Q7044" t="s">
        <v>53</v>
      </c>
    </row>
    <row r="7045" spans="1:17" x14ac:dyDescent="0.2">
      <c r="A7045" s="30" t="str">
        <f>IF(C7045&amp;G7045&amp;D7045&lt;&gt;'Funnel setup'!$K$3&amp;'Funnel setup'!$K$4&amp;'Funnel setup'!$K$5,".",IF(A7044=".",1,A7044+1))</f>
        <v>.</v>
      </c>
      <c r="B7045" s="431" t="str">
        <f t="shared" si="110"/>
        <v>Varicose VeinProviderBEDFORD HOSPITAL NHS TRUST (RC1)EQ VAS</v>
      </c>
      <c r="C7045" t="s">
        <v>17</v>
      </c>
      <c r="D7045" t="s">
        <v>1</v>
      </c>
      <c r="E7045" t="s">
        <v>3558</v>
      </c>
      <c r="F7045" t="s">
        <v>3559</v>
      </c>
      <c r="G7045" t="s">
        <v>179</v>
      </c>
      <c r="H7045">
        <v>29</v>
      </c>
      <c r="I7045">
        <v>74.447999999999993</v>
      </c>
      <c r="J7045">
        <v>73.793000000000006</v>
      </c>
      <c r="K7045">
        <v>-0.65500000000000003</v>
      </c>
      <c r="L7045">
        <v>13</v>
      </c>
      <c r="M7045">
        <v>7</v>
      </c>
      <c r="N7045">
        <v>9</v>
      </c>
      <c r="O7045" t="s">
        <v>53</v>
      </c>
      <c r="P7045" t="s">
        <v>53</v>
      </c>
      <c r="Q7045" t="s">
        <v>53</v>
      </c>
    </row>
    <row r="7046" spans="1:17" x14ac:dyDescent="0.2">
      <c r="A7046" s="30" t="str">
        <f>IF(C7046&amp;G7046&amp;D7046&lt;&gt;'Funnel setup'!$K$3&amp;'Funnel setup'!$K$4&amp;'Funnel setup'!$K$5,".",IF(A7045=".",1,A7045+1))</f>
        <v>.</v>
      </c>
      <c r="B7046" s="431" t="str">
        <f t="shared" si="110"/>
        <v>Varicose VeinProviderBLACKPOOL TEACHING HOSPITALS NHS FOUNDATION TRUST (RXL)EQ VAS</v>
      </c>
      <c r="C7046" t="s">
        <v>17</v>
      </c>
      <c r="D7046" t="s">
        <v>1</v>
      </c>
      <c r="E7046" t="s">
        <v>3561</v>
      </c>
      <c r="F7046" t="s">
        <v>3562</v>
      </c>
      <c r="G7046" t="s">
        <v>179</v>
      </c>
      <c r="H7046">
        <v>8</v>
      </c>
      <c r="I7046">
        <v>68</v>
      </c>
      <c r="J7046">
        <v>70</v>
      </c>
      <c r="K7046">
        <v>2</v>
      </c>
      <c r="L7046">
        <v>4</v>
      </c>
      <c r="M7046">
        <v>1</v>
      </c>
      <c r="N7046">
        <v>3</v>
      </c>
      <c r="O7046" t="s">
        <v>53</v>
      </c>
      <c r="P7046" t="s">
        <v>53</v>
      </c>
      <c r="Q7046" t="s">
        <v>53</v>
      </c>
    </row>
    <row r="7047" spans="1:17" x14ac:dyDescent="0.2">
      <c r="A7047" s="30" t="str">
        <f>IF(C7047&amp;G7047&amp;D7047&lt;&gt;'Funnel setup'!$K$3&amp;'Funnel setup'!$K$4&amp;'Funnel setup'!$K$5,".",IF(A7046=".",1,A7046+1))</f>
        <v>.</v>
      </c>
      <c r="B7047" s="431" t="str">
        <f t="shared" si="110"/>
        <v>Varicose VeinProviderBMI - SHIRLEY OAKS HOSPITAL (NT436)EQ VAS</v>
      </c>
      <c r="C7047" t="s">
        <v>17</v>
      </c>
      <c r="D7047" t="s">
        <v>1</v>
      </c>
      <c r="E7047" t="s">
        <v>3576</v>
      </c>
      <c r="F7047" t="s">
        <v>3577</v>
      </c>
      <c r="G7047" t="s">
        <v>179</v>
      </c>
      <c r="H7047" t="s">
        <v>53</v>
      </c>
      <c r="I7047" t="s">
        <v>53</v>
      </c>
      <c r="J7047" t="s">
        <v>53</v>
      </c>
      <c r="K7047" t="s">
        <v>53</v>
      </c>
      <c r="L7047" t="s">
        <v>53</v>
      </c>
      <c r="M7047" t="s">
        <v>53</v>
      </c>
      <c r="N7047" t="s">
        <v>53</v>
      </c>
      <c r="O7047" t="s">
        <v>53</v>
      </c>
      <c r="P7047" t="s">
        <v>53</v>
      </c>
      <c r="Q7047" t="s">
        <v>53</v>
      </c>
    </row>
    <row r="7048" spans="1:17" x14ac:dyDescent="0.2">
      <c r="A7048" s="30" t="str">
        <f>IF(C7048&amp;G7048&amp;D7048&lt;&gt;'Funnel setup'!$K$3&amp;'Funnel setup'!$K$4&amp;'Funnel setup'!$K$5,".",IF(A7047=".",1,A7047+1))</f>
        <v>.</v>
      </c>
      <c r="B7048" s="431" t="str">
        <f t="shared" si="110"/>
        <v>Varicose VeinProviderBMI - THE DROITWICH SPA HOSPITAL (NT412)EQ VAS</v>
      </c>
      <c r="C7048" t="s">
        <v>17</v>
      </c>
      <c r="D7048" t="s">
        <v>1</v>
      </c>
      <c r="E7048" t="s">
        <v>3600</v>
      </c>
      <c r="F7048" t="s">
        <v>3601</v>
      </c>
      <c r="G7048" t="s">
        <v>179</v>
      </c>
      <c r="H7048" t="s">
        <v>53</v>
      </c>
      <c r="I7048" t="s">
        <v>53</v>
      </c>
      <c r="J7048" t="s">
        <v>53</v>
      </c>
      <c r="K7048" t="s">
        <v>53</v>
      </c>
      <c r="L7048" t="s">
        <v>53</v>
      </c>
      <c r="M7048" t="s">
        <v>53</v>
      </c>
      <c r="N7048" t="s">
        <v>53</v>
      </c>
      <c r="O7048" t="s">
        <v>53</v>
      </c>
      <c r="P7048" t="s">
        <v>53</v>
      </c>
      <c r="Q7048" t="s">
        <v>53</v>
      </c>
    </row>
    <row r="7049" spans="1:17" x14ac:dyDescent="0.2">
      <c r="A7049" s="30" t="str">
        <f>IF(C7049&amp;G7049&amp;D7049&lt;&gt;'Funnel setup'!$K$3&amp;'Funnel setup'!$K$4&amp;'Funnel setup'!$K$5,".",IF(A7048=".",1,A7048+1))</f>
        <v>.</v>
      </c>
      <c r="B7049" s="431" t="str">
        <f t="shared" si="110"/>
        <v>Varicose VeinProviderBMI - THE SHELBURNE HOSPITAL (NT435)EQ VAS</v>
      </c>
      <c r="C7049" t="s">
        <v>17</v>
      </c>
      <c r="D7049" t="s">
        <v>1</v>
      </c>
      <c r="E7049" t="s">
        <v>4318</v>
      </c>
      <c r="F7049" t="s">
        <v>4319</v>
      </c>
      <c r="G7049" t="s">
        <v>179</v>
      </c>
      <c r="H7049" t="s">
        <v>53</v>
      </c>
      <c r="I7049" t="s">
        <v>53</v>
      </c>
      <c r="J7049" t="s">
        <v>53</v>
      </c>
      <c r="K7049" t="s">
        <v>53</v>
      </c>
      <c r="L7049" t="s">
        <v>53</v>
      </c>
      <c r="M7049" t="s">
        <v>53</v>
      </c>
      <c r="N7049" t="s">
        <v>53</v>
      </c>
      <c r="O7049" t="s">
        <v>53</v>
      </c>
      <c r="P7049" t="s">
        <v>53</v>
      </c>
      <c r="Q7049" t="s">
        <v>53</v>
      </c>
    </row>
    <row r="7050" spans="1:17" x14ac:dyDescent="0.2">
      <c r="A7050" s="30" t="str">
        <f>IF(C7050&amp;G7050&amp;D7050&lt;&gt;'Funnel setup'!$K$3&amp;'Funnel setup'!$K$4&amp;'Funnel setup'!$K$5,".",IF(A7049=".",1,A7049+1))</f>
        <v>.</v>
      </c>
      <c r="B7050" s="431" t="str">
        <f t="shared" si="110"/>
        <v>Varicose VeinProviderBMI SOUTHEND PRIVATE HOSPITAL (NT490)EQ VAS</v>
      </c>
      <c r="C7050" t="s">
        <v>17</v>
      </c>
      <c r="D7050" t="s">
        <v>1</v>
      </c>
      <c r="E7050" t="s">
        <v>3325</v>
      </c>
      <c r="F7050" t="s">
        <v>3326</v>
      </c>
      <c r="G7050" t="s">
        <v>179</v>
      </c>
      <c r="H7050" t="s">
        <v>53</v>
      </c>
      <c r="I7050" t="s">
        <v>53</v>
      </c>
      <c r="J7050" t="s">
        <v>53</v>
      </c>
      <c r="K7050" t="s">
        <v>53</v>
      </c>
      <c r="L7050" t="s">
        <v>53</v>
      </c>
      <c r="M7050" t="s">
        <v>53</v>
      </c>
      <c r="N7050" t="s">
        <v>53</v>
      </c>
      <c r="O7050" t="s">
        <v>53</v>
      </c>
      <c r="P7050" t="s">
        <v>53</v>
      </c>
      <c r="Q7050" t="s">
        <v>53</v>
      </c>
    </row>
    <row r="7051" spans="1:17" x14ac:dyDescent="0.2">
      <c r="A7051" s="30" t="str">
        <f>IF(C7051&amp;G7051&amp;D7051&lt;&gt;'Funnel setup'!$K$3&amp;'Funnel setup'!$K$4&amp;'Funnel setup'!$K$5,".",IF(A7050=".",1,A7050+1))</f>
        <v>.</v>
      </c>
      <c r="B7051" s="431" t="str">
        <f t="shared" si="110"/>
        <v>Varicose VeinProviderBOLTON NHS FOUNDATION TRUST (RMC)EQ VAS</v>
      </c>
      <c r="C7051" t="s">
        <v>17</v>
      </c>
      <c r="D7051" t="s">
        <v>1</v>
      </c>
      <c r="E7051" t="s">
        <v>3358</v>
      </c>
      <c r="F7051" t="s">
        <v>3359</v>
      </c>
      <c r="G7051" t="s">
        <v>179</v>
      </c>
      <c r="H7051">
        <v>52</v>
      </c>
      <c r="I7051">
        <v>80.385000000000005</v>
      </c>
      <c r="J7051">
        <v>77.962000000000003</v>
      </c>
      <c r="K7051">
        <v>-2.423</v>
      </c>
      <c r="L7051">
        <v>20</v>
      </c>
      <c r="M7051">
        <v>13</v>
      </c>
      <c r="N7051">
        <v>19</v>
      </c>
      <c r="O7051">
        <v>76.662000000000006</v>
      </c>
      <c r="P7051">
        <v>-2.3023134810000001</v>
      </c>
      <c r="Q7051">
        <v>17.259</v>
      </c>
    </row>
    <row r="7052" spans="1:17" x14ac:dyDescent="0.2">
      <c r="A7052" s="30" t="str">
        <f>IF(C7052&amp;G7052&amp;D7052&lt;&gt;'Funnel setup'!$K$3&amp;'Funnel setup'!$K$4&amp;'Funnel setup'!$K$5,".",IF(A7051=".",1,A7051+1))</f>
        <v>.</v>
      </c>
      <c r="B7052" s="431" t="str">
        <f t="shared" si="110"/>
        <v>Varicose VeinProviderBOSTON WEST HOSPITAL (NVC27)EQ VAS</v>
      </c>
      <c r="C7052" t="s">
        <v>17</v>
      </c>
      <c r="D7052" t="s">
        <v>1</v>
      </c>
      <c r="E7052" t="s">
        <v>3376</v>
      </c>
      <c r="F7052" t="s">
        <v>3377</v>
      </c>
      <c r="G7052" t="s">
        <v>179</v>
      </c>
      <c r="H7052">
        <v>18</v>
      </c>
      <c r="I7052">
        <v>86.221999999999994</v>
      </c>
      <c r="J7052">
        <v>87.278000000000006</v>
      </c>
      <c r="K7052">
        <v>1.056</v>
      </c>
      <c r="L7052">
        <v>8</v>
      </c>
      <c r="M7052">
        <v>2</v>
      </c>
      <c r="N7052">
        <v>8</v>
      </c>
      <c r="O7052" t="s">
        <v>53</v>
      </c>
      <c r="P7052" t="s">
        <v>53</v>
      </c>
      <c r="Q7052" t="s">
        <v>53</v>
      </c>
    </row>
    <row r="7053" spans="1:17" x14ac:dyDescent="0.2">
      <c r="A7053" s="30" t="str">
        <f>IF(C7053&amp;G7053&amp;D7053&lt;&gt;'Funnel setup'!$K$3&amp;'Funnel setup'!$K$4&amp;'Funnel setup'!$K$5,".",IF(A7052=".",1,A7052+1))</f>
        <v>.</v>
      </c>
      <c r="B7053" s="431" t="str">
        <f t="shared" si="110"/>
        <v>Varicose VeinProviderBRADFORD TEACHING HOSPITALS NHS FOUNDATION TRUST (RAE)EQ VAS</v>
      </c>
      <c r="C7053" t="s">
        <v>17</v>
      </c>
      <c r="D7053" t="s">
        <v>1</v>
      </c>
      <c r="E7053" t="s">
        <v>3361</v>
      </c>
      <c r="F7053" t="s">
        <v>3362</v>
      </c>
      <c r="G7053" t="s">
        <v>179</v>
      </c>
      <c r="H7053">
        <v>39</v>
      </c>
      <c r="I7053">
        <v>77.41</v>
      </c>
      <c r="J7053">
        <v>72.128</v>
      </c>
      <c r="K7053">
        <v>-5.282</v>
      </c>
      <c r="L7053">
        <v>13</v>
      </c>
      <c r="M7053">
        <v>8</v>
      </c>
      <c r="N7053">
        <v>18</v>
      </c>
      <c r="O7053">
        <v>74.183000000000007</v>
      </c>
      <c r="P7053">
        <v>-4.7808465099999999</v>
      </c>
      <c r="Q7053">
        <v>15.91</v>
      </c>
    </row>
    <row r="7054" spans="1:17" x14ac:dyDescent="0.2">
      <c r="A7054" s="30" t="str">
        <f>IF(C7054&amp;G7054&amp;D7054&lt;&gt;'Funnel setup'!$K$3&amp;'Funnel setup'!$K$4&amp;'Funnel setup'!$K$5,".",IF(A7053=".",1,A7053+1))</f>
        <v>.</v>
      </c>
      <c r="B7054" s="431" t="str">
        <f t="shared" si="110"/>
        <v>Varicose VeinProviderBRIGHTON AND SUSSEX UNIVERSITY HOSPITALS NHS TRUST (RXH)EQ VAS</v>
      </c>
      <c r="C7054" t="s">
        <v>17</v>
      </c>
      <c r="D7054" t="s">
        <v>1</v>
      </c>
      <c r="E7054" t="s">
        <v>3367</v>
      </c>
      <c r="F7054" t="s">
        <v>3368</v>
      </c>
      <c r="G7054" t="s">
        <v>179</v>
      </c>
      <c r="H7054">
        <v>44</v>
      </c>
      <c r="I7054">
        <v>74.340999999999994</v>
      </c>
      <c r="J7054">
        <v>75.567999999999998</v>
      </c>
      <c r="K7054">
        <v>1.2270000000000001</v>
      </c>
      <c r="L7054">
        <v>20</v>
      </c>
      <c r="M7054">
        <v>6</v>
      </c>
      <c r="N7054">
        <v>18</v>
      </c>
      <c r="O7054">
        <v>78.576999999999998</v>
      </c>
      <c r="P7054">
        <v>-0.387165229</v>
      </c>
      <c r="Q7054">
        <v>12.363</v>
      </c>
    </row>
    <row r="7055" spans="1:17" x14ac:dyDescent="0.2">
      <c r="A7055" s="30" t="str">
        <f>IF(C7055&amp;G7055&amp;D7055&lt;&gt;'Funnel setup'!$K$3&amp;'Funnel setup'!$K$4&amp;'Funnel setup'!$K$5,".",IF(A7054=".",1,A7054+1))</f>
        <v>.</v>
      </c>
      <c r="B7055" s="431" t="str">
        <f t="shared" si="110"/>
        <v>Varicose VeinProviderBUCKINGHAMSHIRE HEALTHCARE NHS TRUST (RXQ)EQ VAS</v>
      </c>
      <c r="C7055" t="s">
        <v>17</v>
      </c>
      <c r="D7055" t="s">
        <v>1</v>
      </c>
      <c r="E7055" t="s">
        <v>3370</v>
      </c>
      <c r="F7055" t="s">
        <v>3371</v>
      </c>
      <c r="G7055" t="s">
        <v>179</v>
      </c>
      <c r="H7055">
        <v>40</v>
      </c>
      <c r="I7055">
        <v>78.099999999999994</v>
      </c>
      <c r="J7055">
        <v>79.775000000000006</v>
      </c>
      <c r="K7055">
        <v>1.675</v>
      </c>
      <c r="L7055">
        <v>22</v>
      </c>
      <c r="M7055">
        <v>5</v>
      </c>
      <c r="N7055">
        <v>13</v>
      </c>
      <c r="O7055">
        <v>80.91</v>
      </c>
      <c r="P7055">
        <v>1.945963925</v>
      </c>
      <c r="Q7055">
        <v>14.263</v>
      </c>
    </row>
    <row r="7056" spans="1:17" x14ac:dyDescent="0.2">
      <c r="A7056" s="30" t="str">
        <f>IF(C7056&amp;G7056&amp;D7056&lt;&gt;'Funnel setup'!$K$3&amp;'Funnel setup'!$K$4&amp;'Funnel setup'!$K$5,".",IF(A7055=".",1,A7055+1))</f>
        <v>.</v>
      </c>
      <c r="B7056" s="431" t="str">
        <f t="shared" si="110"/>
        <v>Varicose VeinProviderBURTON HOSPITALS NHS FOUNDATION TRUST (RJF)EQ VAS</v>
      </c>
      <c r="C7056" t="s">
        <v>17</v>
      </c>
      <c r="D7056" t="s">
        <v>1</v>
      </c>
      <c r="E7056" t="s">
        <v>3373</v>
      </c>
      <c r="F7056" t="s">
        <v>3374</v>
      </c>
      <c r="G7056" t="s">
        <v>179</v>
      </c>
      <c r="H7056">
        <v>15</v>
      </c>
      <c r="I7056">
        <v>82.8</v>
      </c>
      <c r="J7056">
        <v>83.867000000000004</v>
      </c>
      <c r="K7056">
        <v>1.0669999999999999</v>
      </c>
      <c r="L7056">
        <v>7</v>
      </c>
      <c r="M7056">
        <v>0</v>
      </c>
      <c r="N7056">
        <v>8</v>
      </c>
      <c r="O7056" t="s">
        <v>53</v>
      </c>
      <c r="P7056" t="s">
        <v>53</v>
      </c>
      <c r="Q7056" t="s">
        <v>53</v>
      </c>
    </row>
    <row r="7057" spans="1:17" x14ac:dyDescent="0.2">
      <c r="A7057" s="30" t="str">
        <f>IF(C7057&amp;G7057&amp;D7057&lt;&gt;'Funnel setup'!$K$3&amp;'Funnel setup'!$K$4&amp;'Funnel setup'!$K$5,".",IF(A7056=".",1,A7056+1))</f>
        <v>.</v>
      </c>
      <c r="B7057" s="431" t="str">
        <f t="shared" si="110"/>
        <v>Varicose VeinProviderCALDERDALE AND HUDDERSFIELD NHS FOUNDATION TRUST (RWY)EQ VAS</v>
      </c>
      <c r="C7057" t="s">
        <v>17</v>
      </c>
      <c r="D7057" t="s">
        <v>1</v>
      </c>
      <c r="E7057" t="s">
        <v>3379</v>
      </c>
      <c r="F7057" t="s">
        <v>3380</v>
      </c>
      <c r="G7057" t="s">
        <v>179</v>
      </c>
      <c r="H7057">
        <v>98</v>
      </c>
      <c r="I7057">
        <v>82.153000000000006</v>
      </c>
      <c r="J7057">
        <v>80.132999999999996</v>
      </c>
      <c r="K7057">
        <v>-2.02</v>
      </c>
      <c r="L7057">
        <v>31</v>
      </c>
      <c r="M7057">
        <v>24</v>
      </c>
      <c r="N7057">
        <v>43</v>
      </c>
      <c r="O7057">
        <v>78.549000000000007</v>
      </c>
      <c r="P7057">
        <v>-0.41504286699999998</v>
      </c>
      <c r="Q7057">
        <v>11.228</v>
      </c>
    </row>
    <row r="7058" spans="1:17" x14ac:dyDescent="0.2">
      <c r="A7058" s="30" t="str">
        <f>IF(C7058&amp;G7058&amp;D7058&lt;&gt;'Funnel setup'!$K$3&amp;'Funnel setup'!$K$4&amp;'Funnel setup'!$K$5,".",IF(A7057=".",1,A7057+1))</f>
        <v>.</v>
      </c>
      <c r="B7058" s="431" t="str">
        <f t="shared" si="110"/>
        <v>Varicose VeinProviderCAMBRIDGE UNIVERSITY HOSPITALS NHS FOUNDATION TRUST (RGT)EQ VAS</v>
      </c>
      <c r="C7058" t="s">
        <v>17</v>
      </c>
      <c r="D7058" t="s">
        <v>1</v>
      </c>
      <c r="E7058" t="s">
        <v>3076</v>
      </c>
      <c r="F7058" t="s">
        <v>3077</v>
      </c>
      <c r="G7058" t="s">
        <v>179</v>
      </c>
      <c r="H7058">
        <v>30</v>
      </c>
      <c r="I7058">
        <v>80.867000000000004</v>
      </c>
      <c r="J7058">
        <v>80.632999999999996</v>
      </c>
      <c r="K7058">
        <v>-0.23300000000000001</v>
      </c>
      <c r="L7058">
        <v>13</v>
      </c>
      <c r="M7058">
        <v>5</v>
      </c>
      <c r="N7058">
        <v>12</v>
      </c>
      <c r="O7058">
        <v>79.061000000000007</v>
      </c>
      <c r="P7058">
        <v>9.6831457999999995E-2</v>
      </c>
      <c r="Q7058">
        <v>13.987</v>
      </c>
    </row>
    <row r="7059" spans="1:17" x14ac:dyDescent="0.2">
      <c r="A7059" s="30" t="str">
        <f>IF(C7059&amp;G7059&amp;D7059&lt;&gt;'Funnel setup'!$K$3&amp;'Funnel setup'!$K$4&amp;'Funnel setup'!$K$5,".",IF(A7058=".",1,A7058+1))</f>
        <v>.</v>
      </c>
      <c r="B7059" s="431" t="str">
        <f t="shared" si="110"/>
        <v>Varicose VeinProviderCENTRAL MANCHESTER UNIVERSITY HOSPITALS NHS FOUNDATION TRUST (RW3)EQ VAS</v>
      </c>
      <c r="C7059" t="s">
        <v>17</v>
      </c>
      <c r="D7059" t="s">
        <v>1</v>
      </c>
      <c r="E7059" t="s">
        <v>3079</v>
      </c>
      <c r="F7059" t="s">
        <v>3080</v>
      </c>
      <c r="G7059" t="s">
        <v>179</v>
      </c>
      <c r="H7059">
        <v>7</v>
      </c>
      <c r="I7059">
        <v>86</v>
      </c>
      <c r="J7059">
        <v>79</v>
      </c>
      <c r="K7059">
        <v>-7</v>
      </c>
      <c r="L7059">
        <v>3</v>
      </c>
      <c r="M7059">
        <v>0</v>
      </c>
      <c r="N7059">
        <v>4</v>
      </c>
      <c r="O7059" t="s">
        <v>53</v>
      </c>
      <c r="P7059" t="s">
        <v>53</v>
      </c>
      <c r="Q7059" t="s">
        <v>53</v>
      </c>
    </row>
    <row r="7060" spans="1:17" x14ac:dyDescent="0.2">
      <c r="A7060" s="30" t="str">
        <f>IF(C7060&amp;G7060&amp;D7060&lt;&gt;'Funnel setup'!$K$3&amp;'Funnel setup'!$K$4&amp;'Funnel setup'!$K$5,".",IF(A7059=".",1,A7059+1))</f>
        <v>.</v>
      </c>
      <c r="B7060" s="431" t="str">
        <f t="shared" si="110"/>
        <v>Varicose VeinProviderCHELSEA AND WESTMINSTER HOSPITAL NHS FOUNDATION TRUST (RQM)EQ VAS</v>
      </c>
      <c r="C7060" t="s">
        <v>17</v>
      </c>
      <c r="D7060" t="s">
        <v>1</v>
      </c>
      <c r="E7060" t="s">
        <v>3082</v>
      </c>
      <c r="F7060" t="s">
        <v>3083</v>
      </c>
      <c r="G7060" t="s">
        <v>179</v>
      </c>
      <c r="H7060">
        <v>19</v>
      </c>
      <c r="I7060">
        <v>78.367999999999995</v>
      </c>
      <c r="J7060">
        <v>76.947000000000003</v>
      </c>
      <c r="K7060">
        <v>-1.421</v>
      </c>
      <c r="L7060">
        <v>7</v>
      </c>
      <c r="M7060">
        <v>6</v>
      </c>
      <c r="N7060">
        <v>6</v>
      </c>
      <c r="O7060" t="s">
        <v>53</v>
      </c>
      <c r="P7060" t="s">
        <v>53</v>
      </c>
      <c r="Q7060" t="s">
        <v>53</v>
      </c>
    </row>
    <row r="7061" spans="1:17" x14ac:dyDescent="0.2">
      <c r="A7061" s="30" t="str">
        <f>IF(C7061&amp;G7061&amp;D7061&lt;&gt;'Funnel setup'!$K$3&amp;'Funnel setup'!$K$4&amp;'Funnel setup'!$K$5,".",IF(A7060=".",1,A7060+1))</f>
        <v>.</v>
      </c>
      <c r="B7061" s="431" t="str">
        <f t="shared" si="110"/>
        <v>Varicose VeinProviderCHESTERFIELD ROYAL HOSPITAL NHS FOUNDATION TRUST (RFS)EQ VAS</v>
      </c>
      <c r="C7061" t="s">
        <v>17</v>
      </c>
      <c r="D7061" t="s">
        <v>1</v>
      </c>
      <c r="E7061" t="s">
        <v>3085</v>
      </c>
      <c r="F7061" t="s">
        <v>3086</v>
      </c>
      <c r="G7061" t="s">
        <v>179</v>
      </c>
      <c r="H7061">
        <v>25</v>
      </c>
      <c r="I7061">
        <v>81.44</v>
      </c>
      <c r="J7061">
        <v>82.2</v>
      </c>
      <c r="K7061">
        <v>0.76</v>
      </c>
      <c r="L7061">
        <v>9</v>
      </c>
      <c r="M7061">
        <v>6</v>
      </c>
      <c r="N7061">
        <v>10</v>
      </c>
      <c r="O7061" t="s">
        <v>53</v>
      </c>
      <c r="P7061" t="s">
        <v>53</v>
      </c>
      <c r="Q7061" t="s">
        <v>53</v>
      </c>
    </row>
    <row r="7062" spans="1:17" x14ac:dyDescent="0.2">
      <c r="A7062" s="30" t="str">
        <f>IF(C7062&amp;G7062&amp;D7062&lt;&gt;'Funnel setup'!$K$3&amp;'Funnel setup'!$K$4&amp;'Funnel setup'!$K$5,".",IF(A7061=".",1,A7061+1))</f>
        <v>.</v>
      </c>
      <c r="B7062" s="431" t="str">
        <f t="shared" si="110"/>
        <v>Varicose VeinProviderCIRCLE - NOTTINGHAM NHS TREATMENT CENTRE (NV313)EQ VAS</v>
      </c>
      <c r="C7062" t="s">
        <v>17</v>
      </c>
      <c r="D7062" t="s">
        <v>1</v>
      </c>
      <c r="E7062" t="s">
        <v>3094</v>
      </c>
      <c r="F7062" t="s">
        <v>3095</v>
      </c>
      <c r="G7062" t="s">
        <v>179</v>
      </c>
      <c r="H7062">
        <v>156</v>
      </c>
      <c r="I7062">
        <v>76.852999999999994</v>
      </c>
      <c r="J7062">
        <v>77.34</v>
      </c>
      <c r="K7062">
        <v>0.48699999999999999</v>
      </c>
      <c r="L7062">
        <v>67</v>
      </c>
      <c r="M7062">
        <v>31</v>
      </c>
      <c r="N7062">
        <v>58</v>
      </c>
      <c r="O7062">
        <v>78.103999999999999</v>
      </c>
      <c r="P7062">
        <v>-0.86002558600000001</v>
      </c>
      <c r="Q7062">
        <v>11.558999999999999</v>
      </c>
    </row>
    <row r="7063" spans="1:17" x14ac:dyDescent="0.2">
      <c r="A7063" s="30" t="str">
        <f>IF(C7063&amp;G7063&amp;D7063&lt;&gt;'Funnel setup'!$K$3&amp;'Funnel setup'!$K$4&amp;'Funnel setup'!$K$5,".",IF(A7062=".",1,A7062+1))</f>
        <v>.</v>
      </c>
      <c r="B7063" s="431" t="str">
        <f t="shared" si="110"/>
        <v>Varicose VeinProviderCIRCLE BATH HOSPITAL (NV302)EQ VAS</v>
      </c>
      <c r="C7063" t="s">
        <v>17</v>
      </c>
      <c r="D7063" t="s">
        <v>1</v>
      </c>
      <c r="E7063" t="s">
        <v>3097</v>
      </c>
      <c r="F7063" t="s">
        <v>3098</v>
      </c>
      <c r="G7063" t="s">
        <v>179</v>
      </c>
      <c r="H7063">
        <v>13</v>
      </c>
      <c r="I7063">
        <v>88.076999999999998</v>
      </c>
      <c r="J7063">
        <v>84.537999999999997</v>
      </c>
      <c r="K7063">
        <v>-3.5379999999999998</v>
      </c>
      <c r="L7063">
        <v>3</v>
      </c>
      <c r="M7063">
        <v>4</v>
      </c>
      <c r="N7063">
        <v>6</v>
      </c>
      <c r="O7063" t="s">
        <v>53</v>
      </c>
      <c r="P7063" t="s">
        <v>53</v>
      </c>
      <c r="Q7063" t="s">
        <v>53</v>
      </c>
    </row>
    <row r="7064" spans="1:17" x14ac:dyDescent="0.2">
      <c r="A7064" s="30" t="str">
        <f>IF(C7064&amp;G7064&amp;D7064&lt;&gt;'Funnel setup'!$K$3&amp;'Funnel setup'!$K$4&amp;'Funnel setup'!$K$5,".",IF(A7063=".",1,A7063+1))</f>
        <v>.</v>
      </c>
      <c r="B7064" s="431" t="str">
        <f t="shared" si="110"/>
        <v>Varicose VeinProviderCIRENCESTER NHS TREATMENT CENTRE (NTPH4)EQ VAS</v>
      </c>
      <c r="C7064" t="s">
        <v>17</v>
      </c>
      <c r="D7064" t="s">
        <v>1</v>
      </c>
      <c r="E7064" t="s">
        <v>3088</v>
      </c>
      <c r="F7064" t="s">
        <v>3089</v>
      </c>
      <c r="G7064" t="s">
        <v>179</v>
      </c>
      <c r="H7064">
        <v>33</v>
      </c>
      <c r="I7064">
        <v>83.364000000000004</v>
      </c>
      <c r="J7064">
        <v>83.152000000000001</v>
      </c>
      <c r="K7064">
        <v>-0.21199999999999999</v>
      </c>
      <c r="L7064">
        <v>10</v>
      </c>
      <c r="M7064">
        <v>11</v>
      </c>
      <c r="N7064">
        <v>12</v>
      </c>
      <c r="O7064">
        <v>79.186999999999998</v>
      </c>
      <c r="P7064">
        <v>0.22313799400000001</v>
      </c>
      <c r="Q7064">
        <v>13.403</v>
      </c>
    </row>
    <row r="7065" spans="1:17" x14ac:dyDescent="0.2">
      <c r="A7065" s="30" t="str">
        <f>IF(C7065&amp;G7065&amp;D7065&lt;&gt;'Funnel setup'!$K$3&amp;'Funnel setup'!$K$4&amp;'Funnel setup'!$K$5,".",IF(A7064=".",1,A7064+1))</f>
        <v>.</v>
      </c>
      <c r="B7065" s="431" t="str">
        <f t="shared" si="110"/>
        <v>Varicose VeinProviderCITY HOSPITALS SUNDERLAND NHS FOUNDATION TRUST (RLN)EQ VAS</v>
      </c>
      <c r="C7065" t="s">
        <v>17</v>
      </c>
      <c r="D7065" t="s">
        <v>1</v>
      </c>
      <c r="E7065" t="s">
        <v>3100</v>
      </c>
      <c r="F7065" t="s">
        <v>3101</v>
      </c>
      <c r="G7065" t="s">
        <v>179</v>
      </c>
      <c r="H7065">
        <v>218</v>
      </c>
      <c r="I7065">
        <v>79.260999999999996</v>
      </c>
      <c r="J7065">
        <v>78.087000000000003</v>
      </c>
      <c r="K7065">
        <v>-1.1739999999999999</v>
      </c>
      <c r="L7065">
        <v>72</v>
      </c>
      <c r="M7065">
        <v>42</v>
      </c>
      <c r="N7065">
        <v>104</v>
      </c>
      <c r="O7065">
        <v>78.296999999999997</v>
      </c>
      <c r="P7065">
        <v>-0.66715896600000002</v>
      </c>
      <c r="Q7065">
        <v>12.396000000000001</v>
      </c>
    </row>
    <row r="7066" spans="1:17" x14ac:dyDescent="0.2">
      <c r="A7066" s="30" t="str">
        <f>IF(C7066&amp;G7066&amp;D7066&lt;&gt;'Funnel setup'!$K$3&amp;'Funnel setup'!$K$4&amp;'Funnel setup'!$K$5,".",IF(A7065=".",1,A7065+1))</f>
        <v>.</v>
      </c>
      <c r="B7066" s="431" t="str">
        <f t="shared" si="110"/>
        <v>Varicose VeinProviderCOBALT HOSPITAL (NVC29)EQ VAS</v>
      </c>
      <c r="C7066" t="s">
        <v>17</v>
      </c>
      <c r="D7066" t="s">
        <v>1</v>
      </c>
      <c r="E7066" t="s">
        <v>3106</v>
      </c>
      <c r="F7066" t="s">
        <v>3107</v>
      </c>
      <c r="G7066" t="s">
        <v>179</v>
      </c>
      <c r="H7066">
        <v>21</v>
      </c>
      <c r="I7066">
        <v>80.619</v>
      </c>
      <c r="J7066">
        <v>78.143000000000001</v>
      </c>
      <c r="K7066">
        <v>-2.476</v>
      </c>
      <c r="L7066">
        <v>5</v>
      </c>
      <c r="M7066">
        <v>5</v>
      </c>
      <c r="N7066">
        <v>11</v>
      </c>
      <c r="O7066" t="s">
        <v>53</v>
      </c>
      <c r="P7066" t="s">
        <v>53</v>
      </c>
      <c r="Q7066" t="s">
        <v>53</v>
      </c>
    </row>
    <row r="7067" spans="1:17" x14ac:dyDescent="0.2">
      <c r="A7067" s="30" t="str">
        <f>IF(C7067&amp;G7067&amp;D7067&lt;&gt;'Funnel setup'!$K$3&amp;'Funnel setup'!$K$4&amp;'Funnel setup'!$K$5,".",IF(A7066=".",1,A7066+1))</f>
        <v>.</v>
      </c>
      <c r="B7067" s="431" t="str">
        <f t="shared" si="110"/>
        <v>Varicose VeinProviderCOLCHESTER HOSPITAL UNIVERSITY NHS FOUNDATION TRUST (RDE)EQ VAS</v>
      </c>
      <c r="C7067" t="s">
        <v>17</v>
      </c>
      <c r="D7067" t="s">
        <v>1</v>
      </c>
      <c r="E7067" t="s">
        <v>3109</v>
      </c>
      <c r="F7067" t="s">
        <v>3110</v>
      </c>
      <c r="G7067" t="s">
        <v>179</v>
      </c>
      <c r="H7067">
        <v>14</v>
      </c>
      <c r="I7067">
        <v>78</v>
      </c>
      <c r="J7067">
        <v>68.213999999999999</v>
      </c>
      <c r="K7067">
        <v>-9.7859999999999996</v>
      </c>
      <c r="L7067">
        <v>3</v>
      </c>
      <c r="M7067">
        <v>2</v>
      </c>
      <c r="N7067">
        <v>9</v>
      </c>
      <c r="O7067" t="s">
        <v>53</v>
      </c>
      <c r="P7067" t="s">
        <v>53</v>
      </c>
      <c r="Q7067" t="s">
        <v>53</v>
      </c>
    </row>
    <row r="7068" spans="1:17" x14ac:dyDescent="0.2">
      <c r="A7068" s="30" t="str">
        <f>IF(C7068&amp;G7068&amp;D7068&lt;&gt;'Funnel setup'!$K$3&amp;'Funnel setup'!$K$4&amp;'Funnel setup'!$K$5,".",IF(A7067=".",1,A7067+1))</f>
        <v>.</v>
      </c>
      <c r="B7068" s="431" t="str">
        <f t="shared" si="110"/>
        <v>Varicose VeinProviderCOUNTESS OF CHESTER HOSPITAL NHS FOUNDATION TRUST (RJR)EQ VAS</v>
      </c>
      <c r="C7068" t="s">
        <v>17</v>
      </c>
      <c r="D7068" t="s">
        <v>1</v>
      </c>
      <c r="E7068" t="s">
        <v>3781</v>
      </c>
      <c r="F7068" t="s">
        <v>3782</v>
      </c>
      <c r="G7068" t="s">
        <v>179</v>
      </c>
      <c r="H7068">
        <v>18</v>
      </c>
      <c r="I7068">
        <v>82.888999999999996</v>
      </c>
      <c r="J7068">
        <v>81.667000000000002</v>
      </c>
      <c r="K7068">
        <v>-1.222</v>
      </c>
      <c r="L7068">
        <v>3</v>
      </c>
      <c r="M7068">
        <v>8</v>
      </c>
      <c r="N7068">
        <v>7</v>
      </c>
      <c r="O7068" t="s">
        <v>53</v>
      </c>
      <c r="P7068" t="s">
        <v>53</v>
      </c>
      <c r="Q7068" t="s">
        <v>53</v>
      </c>
    </row>
    <row r="7069" spans="1:17" x14ac:dyDescent="0.2">
      <c r="A7069" s="30" t="str">
        <f>IF(C7069&amp;G7069&amp;D7069&lt;&gt;'Funnel setup'!$K$3&amp;'Funnel setup'!$K$4&amp;'Funnel setup'!$K$5,".",IF(A7068=".",1,A7068+1))</f>
        <v>.</v>
      </c>
      <c r="B7069" s="431" t="str">
        <f t="shared" si="110"/>
        <v>Varicose VeinProviderCOUNTY DURHAM AND DARLINGTON NHS FOUNDATION TRUST (RXP)EQ VAS</v>
      </c>
      <c r="C7069" t="s">
        <v>17</v>
      </c>
      <c r="D7069" t="s">
        <v>1</v>
      </c>
      <c r="E7069" t="s">
        <v>3784</v>
      </c>
      <c r="F7069" t="s">
        <v>3785</v>
      </c>
      <c r="G7069" t="s">
        <v>179</v>
      </c>
      <c r="H7069">
        <v>13</v>
      </c>
      <c r="I7069">
        <v>73.614999999999995</v>
      </c>
      <c r="J7069">
        <v>75.076999999999998</v>
      </c>
      <c r="K7069">
        <v>1.462</v>
      </c>
      <c r="L7069">
        <v>5</v>
      </c>
      <c r="M7069">
        <v>1</v>
      </c>
      <c r="N7069">
        <v>7</v>
      </c>
      <c r="O7069" t="s">
        <v>53</v>
      </c>
      <c r="P7069" t="s">
        <v>53</v>
      </c>
      <c r="Q7069" t="s">
        <v>53</v>
      </c>
    </row>
    <row r="7070" spans="1:17" x14ac:dyDescent="0.2">
      <c r="A7070" s="30" t="str">
        <f>IF(C7070&amp;G7070&amp;D7070&lt;&gt;'Funnel setup'!$K$3&amp;'Funnel setup'!$K$4&amp;'Funnel setup'!$K$5,".",IF(A7069=".",1,A7069+1))</f>
        <v>.</v>
      </c>
      <c r="B7070" s="431" t="str">
        <f t="shared" si="110"/>
        <v>Varicose VeinProviderDARTFORD AND GRAVESHAM NHS TRUST (RN7)EQ VAS</v>
      </c>
      <c r="C7070" t="s">
        <v>17</v>
      </c>
      <c r="D7070" t="s">
        <v>1</v>
      </c>
      <c r="E7070" t="s">
        <v>3787</v>
      </c>
      <c r="F7070" t="s">
        <v>3788</v>
      </c>
      <c r="G7070" t="s">
        <v>179</v>
      </c>
      <c r="H7070" t="s">
        <v>53</v>
      </c>
      <c r="I7070" t="s">
        <v>53</v>
      </c>
      <c r="J7070" t="s">
        <v>53</v>
      </c>
      <c r="K7070" t="s">
        <v>53</v>
      </c>
      <c r="L7070" t="s">
        <v>53</v>
      </c>
      <c r="M7070" t="s">
        <v>53</v>
      </c>
      <c r="N7070" t="s">
        <v>53</v>
      </c>
      <c r="O7070" t="s">
        <v>53</v>
      </c>
      <c r="P7070" t="s">
        <v>53</v>
      </c>
      <c r="Q7070" t="s">
        <v>53</v>
      </c>
    </row>
    <row r="7071" spans="1:17" x14ac:dyDescent="0.2">
      <c r="A7071" s="30" t="str">
        <f>IF(C7071&amp;G7071&amp;D7071&lt;&gt;'Funnel setup'!$K$3&amp;'Funnel setup'!$K$4&amp;'Funnel setup'!$K$5,".",IF(A7070=".",1,A7070+1))</f>
        <v>.</v>
      </c>
      <c r="B7071" s="431" t="str">
        <f t="shared" si="110"/>
        <v>Varicose VeinProviderDERBY TEACHING HOSPITALS NHS FOUNDATION TRUST (RTG)EQ VAS</v>
      </c>
      <c r="C7071" t="s">
        <v>17</v>
      </c>
      <c r="D7071" t="s">
        <v>1</v>
      </c>
      <c r="E7071" t="s">
        <v>3790</v>
      </c>
      <c r="F7071" t="s">
        <v>3791</v>
      </c>
      <c r="G7071" t="s">
        <v>179</v>
      </c>
      <c r="H7071">
        <v>19</v>
      </c>
      <c r="I7071">
        <v>83.789000000000001</v>
      </c>
      <c r="J7071">
        <v>76.841999999999999</v>
      </c>
      <c r="K7071">
        <v>-6.9470000000000001</v>
      </c>
      <c r="L7071">
        <v>5</v>
      </c>
      <c r="M7071">
        <v>3</v>
      </c>
      <c r="N7071">
        <v>11</v>
      </c>
      <c r="O7071" t="s">
        <v>53</v>
      </c>
      <c r="P7071" t="s">
        <v>53</v>
      </c>
      <c r="Q7071" t="s">
        <v>53</v>
      </c>
    </row>
    <row r="7072" spans="1:17" x14ac:dyDescent="0.2">
      <c r="A7072" s="30" t="str">
        <f>IF(C7072&amp;G7072&amp;D7072&lt;&gt;'Funnel setup'!$K$3&amp;'Funnel setup'!$K$4&amp;'Funnel setup'!$K$5,".",IF(A7071=".",1,A7071+1))</f>
        <v>.</v>
      </c>
      <c r="B7072" s="431" t="str">
        <f t="shared" si="110"/>
        <v>Varicose VeinProviderDEVIZES NHS TREATMENT CENTRE (NTPH3)EQ VAS</v>
      </c>
      <c r="C7072" t="s">
        <v>17</v>
      </c>
      <c r="D7072" t="s">
        <v>1</v>
      </c>
      <c r="E7072" t="s">
        <v>3796</v>
      </c>
      <c r="F7072" t="s">
        <v>3797</v>
      </c>
      <c r="G7072" t="s">
        <v>179</v>
      </c>
      <c r="H7072">
        <v>17</v>
      </c>
      <c r="I7072">
        <v>74.882000000000005</v>
      </c>
      <c r="J7072">
        <v>80.941000000000003</v>
      </c>
      <c r="K7072">
        <v>6.0590000000000002</v>
      </c>
      <c r="L7072">
        <v>10</v>
      </c>
      <c r="M7072">
        <v>3</v>
      </c>
      <c r="N7072">
        <v>4</v>
      </c>
      <c r="O7072" t="s">
        <v>53</v>
      </c>
      <c r="P7072" t="s">
        <v>53</v>
      </c>
      <c r="Q7072" t="s">
        <v>53</v>
      </c>
    </row>
    <row r="7073" spans="1:17" x14ac:dyDescent="0.2">
      <c r="A7073" s="30" t="str">
        <f>IF(C7073&amp;G7073&amp;D7073&lt;&gt;'Funnel setup'!$K$3&amp;'Funnel setup'!$K$4&amp;'Funnel setup'!$K$5,".",IF(A7072=".",1,A7072+1))</f>
        <v>.</v>
      </c>
      <c r="B7073" s="431" t="str">
        <f t="shared" si="110"/>
        <v>Varicose VeinProviderDONCASTER AND BASSETLAW HOSPITALS NHS FOUNDATION TRUST (RP5)EQ VAS</v>
      </c>
      <c r="C7073" t="s">
        <v>17</v>
      </c>
      <c r="D7073" t="s">
        <v>1</v>
      </c>
      <c r="E7073" t="s">
        <v>3799</v>
      </c>
      <c r="F7073" t="s">
        <v>3800</v>
      </c>
      <c r="G7073" t="s">
        <v>179</v>
      </c>
      <c r="H7073">
        <v>32</v>
      </c>
      <c r="I7073">
        <v>80.875</v>
      </c>
      <c r="J7073">
        <v>83.188000000000002</v>
      </c>
      <c r="K7073">
        <v>2.3130000000000002</v>
      </c>
      <c r="L7073">
        <v>11</v>
      </c>
      <c r="M7073">
        <v>8</v>
      </c>
      <c r="N7073">
        <v>13</v>
      </c>
      <c r="O7073">
        <v>81.914000000000001</v>
      </c>
      <c r="P7073">
        <v>2.95044248</v>
      </c>
      <c r="Q7073">
        <v>13.343</v>
      </c>
    </row>
    <row r="7074" spans="1:17" x14ac:dyDescent="0.2">
      <c r="A7074" s="30" t="str">
        <f>IF(C7074&amp;G7074&amp;D7074&lt;&gt;'Funnel setup'!$K$3&amp;'Funnel setup'!$K$4&amp;'Funnel setup'!$K$5,".",IF(A7073=".",1,A7073+1))</f>
        <v>.</v>
      </c>
      <c r="B7074" s="431" t="str">
        <f t="shared" si="110"/>
        <v>Varicose VeinProviderDORSET COUNTY HOSPITAL NHS FOUNDATION TRUST (RBD)EQ VAS</v>
      </c>
      <c r="C7074" t="s">
        <v>17</v>
      </c>
      <c r="D7074" t="s">
        <v>1</v>
      </c>
      <c r="E7074" t="s">
        <v>3802</v>
      </c>
      <c r="F7074" t="s">
        <v>3803</v>
      </c>
      <c r="G7074" t="s">
        <v>179</v>
      </c>
      <c r="H7074">
        <v>36</v>
      </c>
      <c r="I7074">
        <v>75.471999999999994</v>
      </c>
      <c r="J7074">
        <v>70.917000000000002</v>
      </c>
      <c r="K7074">
        <v>-4.556</v>
      </c>
      <c r="L7074">
        <v>13</v>
      </c>
      <c r="M7074">
        <v>3</v>
      </c>
      <c r="N7074">
        <v>20</v>
      </c>
      <c r="O7074">
        <v>75.313999999999993</v>
      </c>
      <c r="P7074">
        <v>-3.6504242260000002</v>
      </c>
      <c r="Q7074">
        <v>15.516</v>
      </c>
    </row>
    <row r="7075" spans="1:17" x14ac:dyDescent="0.2">
      <c r="A7075" s="30" t="str">
        <f>IF(C7075&amp;G7075&amp;D7075&lt;&gt;'Funnel setup'!$K$3&amp;'Funnel setup'!$K$4&amp;'Funnel setup'!$K$5,".",IF(A7074=".",1,A7074+1))</f>
        <v>.</v>
      </c>
      <c r="B7075" s="431" t="str">
        <f t="shared" si="110"/>
        <v>Varicose VeinProviderEAST AND NORTH HERTFORDSHIRE NHS TRUST (RWH)EQ VAS</v>
      </c>
      <c r="C7075" t="s">
        <v>17</v>
      </c>
      <c r="D7075" t="s">
        <v>1</v>
      </c>
      <c r="E7075" t="s">
        <v>3814</v>
      </c>
      <c r="F7075" t="s">
        <v>3815</v>
      </c>
      <c r="G7075" t="s">
        <v>179</v>
      </c>
      <c r="H7075">
        <v>19</v>
      </c>
      <c r="I7075">
        <v>78.683999999999997</v>
      </c>
      <c r="J7075">
        <v>76.263000000000005</v>
      </c>
      <c r="K7075">
        <v>-2.4209999999999998</v>
      </c>
      <c r="L7075">
        <v>9</v>
      </c>
      <c r="M7075">
        <v>1</v>
      </c>
      <c r="N7075">
        <v>9</v>
      </c>
      <c r="O7075" t="s">
        <v>53</v>
      </c>
      <c r="P7075" t="s">
        <v>53</v>
      </c>
      <c r="Q7075" t="s">
        <v>53</v>
      </c>
    </row>
    <row r="7076" spans="1:17" x14ac:dyDescent="0.2">
      <c r="A7076" s="30" t="str">
        <f>IF(C7076&amp;G7076&amp;D7076&lt;&gt;'Funnel setup'!$K$3&amp;'Funnel setup'!$K$4&amp;'Funnel setup'!$K$5,".",IF(A7075=".",1,A7075+1))</f>
        <v>.</v>
      </c>
      <c r="B7076" s="431" t="str">
        <f t="shared" si="110"/>
        <v>Varicose VeinProviderEAST CHESHIRE NHS TRUST (RJN)EQ VAS</v>
      </c>
      <c r="C7076" t="s">
        <v>17</v>
      </c>
      <c r="D7076" t="s">
        <v>1</v>
      </c>
      <c r="E7076" t="s">
        <v>3817</v>
      </c>
      <c r="F7076" t="s">
        <v>3818</v>
      </c>
      <c r="G7076" t="s">
        <v>179</v>
      </c>
      <c r="H7076" t="s">
        <v>53</v>
      </c>
      <c r="I7076" t="s">
        <v>53</v>
      </c>
      <c r="J7076" t="s">
        <v>53</v>
      </c>
      <c r="K7076" t="s">
        <v>53</v>
      </c>
      <c r="L7076" t="s">
        <v>53</v>
      </c>
      <c r="M7076" t="s">
        <v>53</v>
      </c>
      <c r="N7076" t="s">
        <v>53</v>
      </c>
      <c r="O7076" t="s">
        <v>53</v>
      </c>
      <c r="P7076" t="s">
        <v>53</v>
      </c>
      <c r="Q7076" t="s">
        <v>53</v>
      </c>
    </row>
    <row r="7077" spans="1:17" x14ac:dyDescent="0.2">
      <c r="A7077" s="30" t="str">
        <f>IF(C7077&amp;G7077&amp;D7077&lt;&gt;'Funnel setup'!$K$3&amp;'Funnel setup'!$K$4&amp;'Funnel setup'!$K$5,".",IF(A7076=".",1,A7076+1))</f>
        <v>.</v>
      </c>
      <c r="B7077" s="431" t="str">
        <f t="shared" si="110"/>
        <v>Varicose VeinProviderEAST KENT HOSPITALS UNIVERSITY NHS FOUNDATION TRUST (RVV)EQ VAS</v>
      </c>
      <c r="C7077" t="s">
        <v>17</v>
      </c>
      <c r="D7077" t="s">
        <v>1</v>
      </c>
      <c r="E7077" t="s">
        <v>3820</v>
      </c>
      <c r="F7077" t="s">
        <v>3821</v>
      </c>
      <c r="G7077" t="s">
        <v>179</v>
      </c>
      <c r="H7077" t="s">
        <v>53</v>
      </c>
      <c r="I7077" t="s">
        <v>53</v>
      </c>
      <c r="J7077" t="s">
        <v>53</v>
      </c>
      <c r="K7077" t="s">
        <v>53</v>
      </c>
      <c r="L7077" t="s">
        <v>53</v>
      </c>
      <c r="M7077" t="s">
        <v>53</v>
      </c>
      <c r="N7077" t="s">
        <v>53</v>
      </c>
      <c r="O7077" t="s">
        <v>53</v>
      </c>
      <c r="P7077" t="s">
        <v>53</v>
      </c>
      <c r="Q7077" t="s">
        <v>53</v>
      </c>
    </row>
    <row r="7078" spans="1:17" x14ac:dyDescent="0.2">
      <c r="A7078" s="30" t="str">
        <f>IF(C7078&amp;G7078&amp;D7078&lt;&gt;'Funnel setup'!$K$3&amp;'Funnel setup'!$K$4&amp;'Funnel setup'!$K$5,".",IF(A7077=".",1,A7077+1))</f>
        <v>.</v>
      </c>
      <c r="B7078" s="431" t="str">
        <f t="shared" si="110"/>
        <v>Varicose VeinProviderEAST LANCASHIRE HOSPITALS NHS TRUST (RXR)EQ VAS</v>
      </c>
      <c r="C7078" t="s">
        <v>17</v>
      </c>
      <c r="D7078" t="s">
        <v>1</v>
      </c>
      <c r="E7078" t="s">
        <v>3823</v>
      </c>
      <c r="F7078" t="s">
        <v>3824</v>
      </c>
      <c r="G7078" t="s">
        <v>179</v>
      </c>
      <c r="H7078">
        <v>109</v>
      </c>
      <c r="I7078">
        <v>78.403999999999996</v>
      </c>
      <c r="J7078">
        <v>78.11</v>
      </c>
      <c r="K7078">
        <v>-0.29399999999999998</v>
      </c>
      <c r="L7078">
        <v>41</v>
      </c>
      <c r="M7078">
        <v>28</v>
      </c>
      <c r="N7078">
        <v>40</v>
      </c>
      <c r="O7078">
        <v>77.795000000000002</v>
      </c>
      <c r="P7078">
        <v>-1.1693417610000001</v>
      </c>
      <c r="Q7078">
        <v>13.832000000000001</v>
      </c>
    </row>
    <row r="7079" spans="1:17" x14ac:dyDescent="0.2">
      <c r="A7079" s="30" t="str">
        <f>IF(C7079&amp;G7079&amp;D7079&lt;&gt;'Funnel setup'!$K$3&amp;'Funnel setup'!$K$4&amp;'Funnel setup'!$K$5,".",IF(A7078=".",1,A7078+1))</f>
        <v>.</v>
      </c>
      <c r="B7079" s="431" t="str">
        <f t="shared" si="110"/>
        <v>Varicose VeinProviderEAST SUSSEX HEALTHCARE NHS TRUST (RXC)EQ VAS</v>
      </c>
      <c r="C7079" t="s">
        <v>17</v>
      </c>
      <c r="D7079" t="s">
        <v>1</v>
      </c>
      <c r="E7079" t="s">
        <v>3826</v>
      </c>
      <c r="F7079" t="s">
        <v>3827</v>
      </c>
      <c r="G7079" t="s">
        <v>179</v>
      </c>
      <c r="H7079">
        <v>8</v>
      </c>
      <c r="I7079">
        <v>81.75</v>
      </c>
      <c r="J7079">
        <v>80.125</v>
      </c>
      <c r="K7079">
        <v>-1.625</v>
      </c>
      <c r="L7079">
        <v>4</v>
      </c>
      <c r="M7079">
        <v>1</v>
      </c>
      <c r="N7079">
        <v>3</v>
      </c>
      <c r="O7079" t="s">
        <v>53</v>
      </c>
      <c r="P7079" t="s">
        <v>53</v>
      </c>
      <c r="Q7079" t="s">
        <v>53</v>
      </c>
    </row>
    <row r="7080" spans="1:17" x14ac:dyDescent="0.2">
      <c r="A7080" s="30" t="str">
        <f>IF(C7080&amp;G7080&amp;D7080&lt;&gt;'Funnel setup'!$K$3&amp;'Funnel setup'!$K$4&amp;'Funnel setup'!$K$5,".",IF(A7079=".",1,A7079+1))</f>
        <v>.</v>
      </c>
      <c r="B7080" s="431" t="str">
        <f t="shared" si="110"/>
        <v>Varicose VeinProviderEMERSONS GREEN NHS TREATMENT CENTRE (NTPH2)EQ VAS</v>
      </c>
      <c r="C7080" t="s">
        <v>17</v>
      </c>
      <c r="D7080" t="s">
        <v>1</v>
      </c>
      <c r="E7080" t="s">
        <v>3829</v>
      </c>
      <c r="F7080" t="s">
        <v>3830</v>
      </c>
      <c r="G7080" t="s">
        <v>179</v>
      </c>
      <c r="H7080">
        <v>61</v>
      </c>
      <c r="I7080">
        <v>83.492000000000004</v>
      </c>
      <c r="J7080">
        <v>83.459000000000003</v>
      </c>
      <c r="K7080">
        <v>-3.3000000000000002E-2</v>
      </c>
      <c r="L7080">
        <v>22</v>
      </c>
      <c r="M7080">
        <v>12</v>
      </c>
      <c r="N7080">
        <v>27</v>
      </c>
      <c r="O7080">
        <v>79.311999999999998</v>
      </c>
      <c r="P7080">
        <v>0.34766980199999997</v>
      </c>
      <c r="Q7080">
        <v>14.186999999999999</v>
      </c>
    </row>
    <row r="7081" spans="1:17" x14ac:dyDescent="0.2">
      <c r="A7081" s="30" t="str">
        <f>IF(C7081&amp;G7081&amp;D7081&lt;&gt;'Funnel setup'!$K$3&amp;'Funnel setup'!$K$4&amp;'Funnel setup'!$K$5,".",IF(A7080=".",1,A7080+1))</f>
        <v>.</v>
      </c>
      <c r="B7081" s="431" t="str">
        <f t="shared" si="110"/>
        <v>Varicose VeinProviderEPSOM AND ST HELIER UNIVERSITY HOSPITALS NHS TRUST (RVR)EQ VAS</v>
      </c>
      <c r="C7081" t="s">
        <v>17</v>
      </c>
      <c r="D7081" t="s">
        <v>1</v>
      </c>
      <c r="E7081" t="s">
        <v>3849</v>
      </c>
      <c r="F7081" t="s">
        <v>3850</v>
      </c>
      <c r="G7081" t="s">
        <v>179</v>
      </c>
      <c r="H7081">
        <v>30</v>
      </c>
      <c r="I7081">
        <v>80.667000000000002</v>
      </c>
      <c r="J7081">
        <v>77.832999999999998</v>
      </c>
      <c r="K7081">
        <v>-2.8330000000000002</v>
      </c>
      <c r="L7081">
        <v>11</v>
      </c>
      <c r="M7081">
        <v>2</v>
      </c>
      <c r="N7081">
        <v>17</v>
      </c>
      <c r="O7081">
        <v>75.569000000000003</v>
      </c>
      <c r="P7081">
        <v>-3.395531622</v>
      </c>
      <c r="Q7081">
        <v>13.976000000000001</v>
      </c>
    </row>
    <row r="7082" spans="1:17" x14ac:dyDescent="0.2">
      <c r="A7082" s="30" t="str">
        <f>IF(C7082&amp;G7082&amp;D7082&lt;&gt;'Funnel setup'!$K$3&amp;'Funnel setup'!$K$4&amp;'Funnel setup'!$K$5,".",IF(A7081=".",1,A7081+1))</f>
        <v>.</v>
      </c>
      <c r="B7082" s="431" t="str">
        <f t="shared" si="110"/>
        <v>Varicose VeinProviderEUXTON HALL HOSPITAL (NVC05)EQ VAS</v>
      </c>
      <c r="C7082" t="s">
        <v>17</v>
      </c>
      <c r="D7082" t="s">
        <v>1</v>
      </c>
      <c r="E7082" t="s">
        <v>3852</v>
      </c>
      <c r="F7082" t="s">
        <v>3853</v>
      </c>
      <c r="G7082" t="s">
        <v>179</v>
      </c>
      <c r="H7082" t="s">
        <v>53</v>
      </c>
      <c r="I7082" t="s">
        <v>53</v>
      </c>
      <c r="J7082" t="s">
        <v>53</v>
      </c>
      <c r="K7082" t="s">
        <v>53</v>
      </c>
      <c r="L7082" t="s">
        <v>53</v>
      </c>
      <c r="M7082" t="s">
        <v>53</v>
      </c>
      <c r="N7082" t="s">
        <v>53</v>
      </c>
      <c r="O7082" t="s">
        <v>53</v>
      </c>
      <c r="P7082" t="s">
        <v>53</v>
      </c>
      <c r="Q7082" t="s">
        <v>53</v>
      </c>
    </row>
    <row r="7083" spans="1:17" x14ac:dyDescent="0.2">
      <c r="A7083" s="30" t="str">
        <f>IF(C7083&amp;G7083&amp;D7083&lt;&gt;'Funnel setup'!$K$3&amp;'Funnel setup'!$K$4&amp;'Funnel setup'!$K$5,".",IF(A7082=".",1,A7082+1))</f>
        <v>.</v>
      </c>
      <c r="B7083" s="431" t="str">
        <f t="shared" si="110"/>
        <v>Varicose VeinProviderFAIRFIELD HOSPITAL (NVG01)EQ VAS</v>
      </c>
      <c r="C7083" t="s">
        <v>17</v>
      </c>
      <c r="D7083" t="s">
        <v>1</v>
      </c>
      <c r="E7083" t="s">
        <v>3855</v>
      </c>
      <c r="F7083" t="s">
        <v>3856</v>
      </c>
      <c r="G7083" t="s">
        <v>179</v>
      </c>
      <c r="H7083" t="s">
        <v>53</v>
      </c>
      <c r="I7083" t="s">
        <v>53</v>
      </c>
      <c r="J7083" t="s">
        <v>53</v>
      </c>
      <c r="K7083" t="s">
        <v>53</v>
      </c>
      <c r="L7083" t="s">
        <v>53</v>
      </c>
      <c r="M7083" t="s">
        <v>53</v>
      </c>
      <c r="N7083" t="s">
        <v>53</v>
      </c>
      <c r="O7083" t="s">
        <v>53</v>
      </c>
      <c r="P7083" t="s">
        <v>53</v>
      </c>
      <c r="Q7083" t="s">
        <v>53</v>
      </c>
    </row>
    <row r="7084" spans="1:17" x14ac:dyDescent="0.2">
      <c r="A7084" s="30" t="str">
        <f>IF(C7084&amp;G7084&amp;D7084&lt;&gt;'Funnel setup'!$K$3&amp;'Funnel setup'!$K$4&amp;'Funnel setup'!$K$5,".",IF(A7083=".",1,A7083+1))</f>
        <v>.</v>
      </c>
      <c r="B7084" s="431" t="str">
        <f t="shared" si="110"/>
        <v>Varicose VeinProviderFRIMLEY HEALTH NHS FOUNDATION TRUST (RDU)EQ VAS</v>
      </c>
      <c r="C7084" t="s">
        <v>17</v>
      </c>
      <c r="D7084" t="s">
        <v>1</v>
      </c>
      <c r="E7084" t="s">
        <v>3861</v>
      </c>
      <c r="F7084" t="s">
        <v>3862</v>
      </c>
      <c r="G7084" t="s">
        <v>179</v>
      </c>
      <c r="H7084">
        <v>26</v>
      </c>
      <c r="I7084">
        <v>81.230999999999995</v>
      </c>
      <c r="J7084">
        <v>83.076999999999998</v>
      </c>
      <c r="K7084">
        <v>1.8460000000000001</v>
      </c>
      <c r="L7084">
        <v>14</v>
      </c>
      <c r="M7084">
        <v>4</v>
      </c>
      <c r="N7084">
        <v>8</v>
      </c>
      <c r="O7084" t="s">
        <v>53</v>
      </c>
      <c r="P7084" t="s">
        <v>53</v>
      </c>
      <c r="Q7084" t="s">
        <v>53</v>
      </c>
    </row>
    <row r="7085" spans="1:17" x14ac:dyDescent="0.2">
      <c r="A7085" s="30" t="str">
        <f>IF(C7085&amp;G7085&amp;D7085&lt;&gt;'Funnel setup'!$K$3&amp;'Funnel setup'!$K$4&amp;'Funnel setup'!$K$5,".",IF(A7084=".",1,A7084+1))</f>
        <v>.</v>
      </c>
      <c r="B7085" s="431" t="str">
        <f t="shared" si="110"/>
        <v>Varicose VeinProviderFULWOOD HALL HOSPITAL (NVC07)EQ VAS</v>
      </c>
      <c r="C7085" t="s">
        <v>17</v>
      </c>
      <c r="D7085" t="s">
        <v>1</v>
      </c>
      <c r="E7085" t="s">
        <v>3864</v>
      </c>
      <c r="F7085" t="s">
        <v>3865</v>
      </c>
      <c r="G7085" t="s">
        <v>179</v>
      </c>
      <c r="H7085">
        <v>50</v>
      </c>
      <c r="I7085">
        <v>86.28</v>
      </c>
      <c r="J7085">
        <v>82.26</v>
      </c>
      <c r="K7085">
        <v>-4.0199999999999996</v>
      </c>
      <c r="L7085">
        <v>16</v>
      </c>
      <c r="M7085">
        <v>12</v>
      </c>
      <c r="N7085">
        <v>22</v>
      </c>
      <c r="O7085">
        <v>76.914000000000001</v>
      </c>
      <c r="P7085">
        <v>-2.0502639779999998</v>
      </c>
      <c r="Q7085">
        <v>14.29</v>
      </c>
    </row>
    <row r="7086" spans="1:17" x14ac:dyDescent="0.2">
      <c r="A7086" s="30" t="str">
        <f>IF(C7086&amp;G7086&amp;D7086&lt;&gt;'Funnel setup'!$K$3&amp;'Funnel setup'!$K$4&amp;'Funnel setup'!$K$5,".",IF(A7085=".",1,A7085+1))</f>
        <v>.</v>
      </c>
      <c r="B7086" s="431" t="str">
        <f t="shared" si="110"/>
        <v>Varicose VeinProviderGATESHEAD HEALTH NHS FOUNDATION TRUST (RR7)EQ VAS</v>
      </c>
      <c r="C7086" t="s">
        <v>17</v>
      </c>
      <c r="D7086" t="s">
        <v>1</v>
      </c>
      <c r="E7086" t="s">
        <v>3867</v>
      </c>
      <c r="F7086" t="s">
        <v>3868</v>
      </c>
      <c r="G7086" t="s">
        <v>179</v>
      </c>
      <c r="H7086">
        <v>72</v>
      </c>
      <c r="I7086">
        <v>83.971999999999994</v>
      </c>
      <c r="J7086">
        <v>78.846999999999994</v>
      </c>
      <c r="K7086">
        <v>-5.125</v>
      </c>
      <c r="L7086">
        <v>24</v>
      </c>
      <c r="M7086">
        <v>10</v>
      </c>
      <c r="N7086">
        <v>38</v>
      </c>
      <c r="O7086">
        <v>75.91</v>
      </c>
      <c r="P7086">
        <v>-3.0538098370000002</v>
      </c>
      <c r="Q7086">
        <v>14.045</v>
      </c>
    </row>
    <row r="7087" spans="1:17" x14ac:dyDescent="0.2">
      <c r="A7087" s="30" t="str">
        <f>IF(C7087&amp;G7087&amp;D7087&lt;&gt;'Funnel setup'!$K$3&amp;'Funnel setup'!$K$4&amp;'Funnel setup'!$K$5,".",IF(A7086=".",1,A7086+1))</f>
        <v>.</v>
      </c>
      <c r="B7087" s="431" t="str">
        <f t="shared" si="110"/>
        <v>Varicose VeinProviderGEORGE ELIOT HOSPITAL NHS TRUST (RLT)EQ VAS</v>
      </c>
      <c r="C7087" t="s">
        <v>17</v>
      </c>
      <c r="D7087" t="s">
        <v>1</v>
      </c>
      <c r="E7087" t="s">
        <v>3870</v>
      </c>
      <c r="F7087" t="s">
        <v>3871</v>
      </c>
      <c r="G7087" t="s">
        <v>179</v>
      </c>
      <c r="H7087" t="s">
        <v>53</v>
      </c>
      <c r="I7087" t="s">
        <v>53</v>
      </c>
      <c r="J7087" t="s">
        <v>53</v>
      </c>
      <c r="K7087" t="s">
        <v>53</v>
      </c>
      <c r="L7087" t="s">
        <v>53</v>
      </c>
      <c r="M7087" t="s">
        <v>53</v>
      </c>
      <c r="N7087" t="s">
        <v>53</v>
      </c>
      <c r="O7087" t="s">
        <v>53</v>
      </c>
      <c r="P7087" t="s">
        <v>53</v>
      </c>
      <c r="Q7087" t="s">
        <v>53</v>
      </c>
    </row>
    <row r="7088" spans="1:17" x14ac:dyDescent="0.2">
      <c r="A7088" s="30" t="str">
        <f>IF(C7088&amp;G7088&amp;D7088&lt;&gt;'Funnel setup'!$K$3&amp;'Funnel setup'!$K$4&amp;'Funnel setup'!$K$5,".",IF(A7087=".",1,A7087+1))</f>
        <v>.</v>
      </c>
      <c r="B7088" s="431" t="str">
        <f t="shared" si="110"/>
        <v>Varicose VeinProviderGLOUCESTERSHIRE HOSPITALS NHS FOUNDATION TRUST (RTE)EQ VAS</v>
      </c>
      <c r="C7088" t="s">
        <v>17</v>
      </c>
      <c r="D7088" t="s">
        <v>1</v>
      </c>
      <c r="E7088" t="s">
        <v>3873</v>
      </c>
      <c r="F7088" t="s">
        <v>3874</v>
      </c>
      <c r="G7088" t="s">
        <v>179</v>
      </c>
      <c r="H7088">
        <v>45</v>
      </c>
      <c r="I7088">
        <v>84</v>
      </c>
      <c r="J7088">
        <v>87.355999999999995</v>
      </c>
      <c r="K7088">
        <v>3.3559999999999999</v>
      </c>
      <c r="L7088">
        <v>22</v>
      </c>
      <c r="M7088">
        <v>11</v>
      </c>
      <c r="N7088">
        <v>12</v>
      </c>
      <c r="O7088">
        <v>82.866</v>
      </c>
      <c r="P7088">
        <v>3.9015065760000001</v>
      </c>
      <c r="Q7088">
        <v>6.641</v>
      </c>
    </row>
    <row r="7089" spans="1:17" x14ac:dyDescent="0.2">
      <c r="A7089" s="30" t="str">
        <f>IF(C7089&amp;G7089&amp;D7089&lt;&gt;'Funnel setup'!$K$3&amp;'Funnel setup'!$K$4&amp;'Funnel setup'!$K$5,".",IF(A7088=".",1,A7088+1))</f>
        <v>.</v>
      </c>
      <c r="B7089" s="431" t="str">
        <f t="shared" si="110"/>
        <v>Varicose VeinProviderGREAT WESTERN HOSPITALS NHS FOUNDATION TRUST (RN3)EQ VAS</v>
      </c>
      <c r="C7089" t="s">
        <v>17</v>
      </c>
      <c r="D7089" t="s">
        <v>1</v>
      </c>
      <c r="E7089" t="s">
        <v>3876</v>
      </c>
      <c r="F7089" t="s">
        <v>3877</v>
      </c>
      <c r="G7089" t="s">
        <v>179</v>
      </c>
      <c r="H7089">
        <v>24</v>
      </c>
      <c r="I7089">
        <v>73.542000000000002</v>
      </c>
      <c r="J7089">
        <v>69.832999999999998</v>
      </c>
      <c r="K7089">
        <v>-3.7080000000000002</v>
      </c>
      <c r="L7089">
        <v>8</v>
      </c>
      <c r="M7089">
        <v>5</v>
      </c>
      <c r="N7089">
        <v>11</v>
      </c>
      <c r="O7089" t="s">
        <v>53</v>
      </c>
      <c r="P7089" t="s">
        <v>53</v>
      </c>
      <c r="Q7089" t="s">
        <v>53</v>
      </c>
    </row>
    <row r="7090" spans="1:17" x14ac:dyDescent="0.2">
      <c r="A7090" s="30" t="str">
        <f>IF(C7090&amp;G7090&amp;D7090&lt;&gt;'Funnel setup'!$K$3&amp;'Funnel setup'!$K$4&amp;'Funnel setup'!$K$5,".",IF(A7089=".",1,A7089+1))</f>
        <v>.</v>
      </c>
      <c r="B7090" s="431" t="str">
        <f t="shared" si="110"/>
        <v>Varicose VeinProviderGUY'S AND ST THOMAS' NHS FOUNDATION TRUST (RJ1)EQ VAS</v>
      </c>
      <c r="C7090" t="s">
        <v>17</v>
      </c>
      <c r="D7090" t="s">
        <v>1</v>
      </c>
      <c r="E7090" t="s">
        <v>3879</v>
      </c>
      <c r="F7090" t="s">
        <v>3880</v>
      </c>
      <c r="G7090" t="s">
        <v>179</v>
      </c>
      <c r="H7090">
        <v>71</v>
      </c>
      <c r="I7090">
        <v>74.281999999999996</v>
      </c>
      <c r="J7090">
        <v>74.944000000000003</v>
      </c>
      <c r="K7090">
        <v>0.66200000000000003</v>
      </c>
      <c r="L7090">
        <v>25</v>
      </c>
      <c r="M7090">
        <v>14</v>
      </c>
      <c r="N7090">
        <v>32</v>
      </c>
      <c r="O7090">
        <v>77.793999999999997</v>
      </c>
      <c r="P7090">
        <v>-1.1700952499999999</v>
      </c>
      <c r="Q7090">
        <v>11.903</v>
      </c>
    </row>
    <row r="7091" spans="1:17" x14ac:dyDescent="0.2">
      <c r="A7091" s="30" t="str">
        <f>IF(C7091&amp;G7091&amp;D7091&lt;&gt;'Funnel setup'!$K$3&amp;'Funnel setup'!$K$4&amp;'Funnel setup'!$K$5,".",IF(A7090=".",1,A7090+1))</f>
        <v>.</v>
      </c>
      <c r="B7091" s="431" t="str">
        <f t="shared" si="110"/>
        <v>Varicose VeinProviderHAMPSHIRE HOSPITALS NHS FOUNDATION TRUST (RN5)EQ VAS</v>
      </c>
      <c r="C7091" t="s">
        <v>17</v>
      </c>
      <c r="D7091" t="s">
        <v>1</v>
      </c>
      <c r="E7091" t="s">
        <v>3882</v>
      </c>
      <c r="F7091" t="s">
        <v>3883</v>
      </c>
      <c r="G7091" t="s">
        <v>179</v>
      </c>
      <c r="H7091" t="s">
        <v>53</v>
      </c>
      <c r="I7091" t="s">
        <v>53</v>
      </c>
      <c r="J7091" t="s">
        <v>53</v>
      </c>
      <c r="K7091" t="s">
        <v>53</v>
      </c>
      <c r="L7091" t="s">
        <v>53</v>
      </c>
      <c r="M7091" t="s">
        <v>53</v>
      </c>
      <c r="N7091" t="s">
        <v>53</v>
      </c>
      <c r="O7091" t="s">
        <v>53</v>
      </c>
      <c r="P7091" t="s">
        <v>53</v>
      </c>
      <c r="Q7091" t="s">
        <v>53</v>
      </c>
    </row>
    <row r="7092" spans="1:17" x14ac:dyDescent="0.2">
      <c r="A7092" s="30" t="str">
        <f>IF(C7092&amp;G7092&amp;D7092&lt;&gt;'Funnel setup'!$K$3&amp;'Funnel setup'!$K$4&amp;'Funnel setup'!$K$5,".",IF(A7091=".",1,A7091+1))</f>
        <v>.</v>
      </c>
      <c r="B7092" s="431" t="str">
        <f t="shared" si="110"/>
        <v>Varicose VeinProviderHARROGATE AND DISTRICT NHS FOUNDATION TRUST (RCD)EQ VAS</v>
      </c>
      <c r="C7092" t="s">
        <v>17</v>
      </c>
      <c r="D7092" t="s">
        <v>1</v>
      </c>
      <c r="E7092" t="s">
        <v>3885</v>
      </c>
      <c r="F7092" t="s">
        <v>3886</v>
      </c>
      <c r="G7092" t="s">
        <v>179</v>
      </c>
      <c r="H7092" t="s">
        <v>53</v>
      </c>
      <c r="I7092" t="s">
        <v>53</v>
      </c>
      <c r="J7092" t="s">
        <v>53</v>
      </c>
      <c r="K7092" t="s">
        <v>53</v>
      </c>
      <c r="L7092" t="s">
        <v>53</v>
      </c>
      <c r="M7092" t="s">
        <v>53</v>
      </c>
      <c r="N7092" t="s">
        <v>53</v>
      </c>
      <c r="O7092" t="s">
        <v>53</v>
      </c>
      <c r="P7092" t="s">
        <v>53</v>
      </c>
      <c r="Q7092" t="s">
        <v>53</v>
      </c>
    </row>
    <row r="7093" spans="1:17" x14ac:dyDescent="0.2">
      <c r="A7093" s="30" t="str">
        <f>IF(C7093&amp;G7093&amp;D7093&lt;&gt;'Funnel setup'!$K$3&amp;'Funnel setup'!$K$4&amp;'Funnel setup'!$K$5,".",IF(A7092=".",1,A7092+1))</f>
        <v>.</v>
      </c>
      <c r="B7093" s="431" t="str">
        <f t="shared" si="110"/>
        <v>Varicose VeinProviderHEART OF ENGLAND NHS FOUNDATION TRUST (RR1)EQ VAS</v>
      </c>
      <c r="C7093" t="s">
        <v>17</v>
      </c>
      <c r="D7093" t="s">
        <v>1</v>
      </c>
      <c r="E7093" t="s">
        <v>3888</v>
      </c>
      <c r="F7093" t="s">
        <v>3889</v>
      </c>
      <c r="G7093" t="s">
        <v>179</v>
      </c>
      <c r="H7093">
        <v>148</v>
      </c>
      <c r="I7093">
        <v>77.872</v>
      </c>
      <c r="J7093">
        <v>80.061000000000007</v>
      </c>
      <c r="K7093">
        <v>2.1890000000000001</v>
      </c>
      <c r="L7093">
        <v>75</v>
      </c>
      <c r="M7093">
        <v>28</v>
      </c>
      <c r="N7093">
        <v>45</v>
      </c>
      <c r="O7093">
        <v>80.534000000000006</v>
      </c>
      <c r="P7093">
        <v>1.5695145639999999</v>
      </c>
      <c r="Q7093">
        <v>13.355</v>
      </c>
    </row>
    <row r="7094" spans="1:17" x14ac:dyDescent="0.2">
      <c r="A7094" s="30" t="str">
        <f>IF(C7094&amp;G7094&amp;D7094&lt;&gt;'Funnel setup'!$K$3&amp;'Funnel setup'!$K$4&amp;'Funnel setup'!$K$5,".",IF(A7093=".",1,A7093+1))</f>
        <v>.</v>
      </c>
      <c r="B7094" s="431" t="str">
        <f t="shared" si="110"/>
        <v>Varicose VeinProviderHINCHINGBROOKE HEALTH CARE NHS TRUST (RQQ)EQ VAS</v>
      </c>
      <c r="C7094" t="s">
        <v>17</v>
      </c>
      <c r="D7094" t="s">
        <v>1</v>
      </c>
      <c r="E7094" t="s">
        <v>3894</v>
      </c>
      <c r="F7094" t="s">
        <v>3895</v>
      </c>
      <c r="G7094" t="s">
        <v>179</v>
      </c>
      <c r="H7094" t="s">
        <v>53</v>
      </c>
      <c r="I7094" t="s">
        <v>53</v>
      </c>
      <c r="J7094" t="s">
        <v>53</v>
      </c>
      <c r="K7094" t="s">
        <v>53</v>
      </c>
      <c r="L7094" t="s">
        <v>53</v>
      </c>
      <c r="M7094" t="s">
        <v>53</v>
      </c>
      <c r="N7094" t="s">
        <v>53</v>
      </c>
      <c r="O7094" t="s">
        <v>53</v>
      </c>
      <c r="P7094" t="s">
        <v>53</v>
      </c>
      <c r="Q7094" t="s">
        <v>53</v>
      </c>
    </row>
    <row r="7095" spans="1:17" x14ac:dyDescent="0.2">
      <c r="A7095" s="30" t="str">
        <f>IF(C7095&amp;G7095&amp;D7095&lt;&gt;'Funnel setup'!$K$3&amp;'Funnel setup'!$K$4&amp;'Funnel setup'!$K$5,".",IF(A7094=".",1,A7094+1))</f>
        <v>.</v>
      </c>
      <c r="B7095" s="431" t="str">
        <f t="shared" si="110"/>
        <v>Varicose VeinProviderHULL AND EAST YORKSHIRE HOSPITALS NHS TRUST (RWA)EQ VAS</v>
      </c>
      <c r="C7095" t="s">
        <v>17</v>
      </c>
      <c r="D7095" t="s">
        <v>1</v>
      </c>
      <c r="E7095" t="s">
        <v>3906</v>
      </c>
      <c r="F7095" t="s">
        <v>3907</v>
      </c>
      <c r="G7095" t="s">
        <v>179</v>
      </c>
      <c r="H7095">
        <v>95</v>
      </c>
      <c r="I7095">
        <v>80.978999999999999</v>
      </c>
      <c r="J7095">
        <v>82.337000000000003</v>
      </c>
      <c r="K7095">
        <v>1.3580000000000001</v>
      </c>
      <c r="L7095">
        <v>39</v>
      </c>
      <c r="M7095">
        <v>18</v>
      </c>
      <c r="N7095">
        <v>38</v>
      </c>
      <c r="O7095">
        <v>80.082999999999998</v>
      </c>
      <c r="P7095">
        <v>1.1186331519999999</v>
      </c>
      <c r="Q7095">
        <v>15.526999999999999</v>
      </c>
    </row>
    <row r="7096" spans="1:17" x14ac:dyDescent="0.2">
      <c r="A7096" s="30" t="str">
        <f>IF(C7096&amp;G7096&amp;D7096&lt;&gt;'Funnel setup'!$K$3&amp;'Funnel setup'!$K$4&amp;'Funnel setup'!$K$5,".",IF(A7095=".",1,A7095+1))</f>
        <v>.</v>
      </c>
      <c r="B7096" s="431" t="str">
        <f t="shared" si="110"/>
        <v>Varicose VeinProviderIMPERIAL COLLEGE HEALTHCARE NHS TRUST (RYJ)EQ VAS</v>
      </c>
      <c r="C7096" t="s">
        <v>17</v>
      </c>
      <c r="D7096" t="s">
        <v>1</v>
      </c>
      <c r="E7096" t="s">
        <v>4558</v>
      </c>
      <c r="F7096" t="s">
        <v>4559</v>
      </c>
      <c r="G7096" t="s">
        <v>179</v>
      </c>
      <c r="H7096">
        <v>176</v>
      </c>
      <c r="I7096">
        <v>76.489000000000004</v>
      </c>
      <c r="J7096">
        <v>75.682000000000002</v>
      </c>
      <c r="K7096">
        <v>-0.80700000000000005</v>
      </c>
      <c r="L7096">
        <v>67</v>
      </c>
      <c r="M7096">
        <v>35</v>
      </c>
      <c r="N7096">
        <v>74</v>
      </c>
      <c r="O7096">
        <v>77.745000000000005</v>
      </c>
      <c r="P7096">
        <v>-1.219493639</v>
      </c>
      <c r="Q7096">
        <v>13.663</v>
      </c>
    </row>
    <row r="7097" spans="1:17" x14ac:dyDescent="0.2">
      <c r="A7097" s="30" t="str">
        <f>IF(C7097&amp;G7097&amp;D7097&lt;&gt;'Funnel setup'!$K$3&amp;'Funnel setup'!$K$4&amp;'Funnel setup'!$K$5,".",IF(A7096=".",1,A7096+1))</f>
        <v>.</v>
      </c>
      <c r="B7097" s="431" t="str">
        <f t="shared" si="110"/>
        <v>Varicose VeinProviderIPSWICH HOSPITAL NHS TRUST (RGQ)EQ VAS</v>
      </c>
      <c r="C7097" t="s">
        <v>17</v>
      </c>
      <c r="D7097" t="s">
        <v>1</v>
      </c>
      <c r="E7097" t="s">
        <v>3909</v>
      </c>
      <c r="F7097" t="s">
        <v>3910</v>
      </c>
      <c r="G7097" t="s">
        <v>179</v>
      </c>
      <c r="H7097">
        <v>100</v>
      </c>
      <c r="I7097">
        <v>80.63</v>
      </c>
      <c r="J7097">
        <v>79.349999999999994</v>
      </c>
      <c r="K7097">
        <v>-1.28</v>
      </c>
      <c r="L7097">
        <v>38</v>
      </c>
      <c r="M7097">
        <v>17</v>
      </c>
      <c r="N7097">
        <v>45</v>
      </c>
      <c r="O7097">
        <v>77.638000000000005</v>
      </c>
      <c r="P7097">
        <v>-1.3263247890000001</v>
      </c>
      <c r="Q7097">
        <v>14.788</v>
      </c>
    </row>
    <row r="7098" spans="1:17" x14ac:dyDescent="0.2">
      <c r="A7098" s="30" t="str">
        <f>IF(C7098&amp;G7098&amp;D7098&lt;&gt;'Funnel setup'!$K$3&amp;'Funnel setup'!$K$4&amp;'Funnel setup'!$K$5,".",IF(A7097=".",1,A7097+1))</f>
        <v>.</v>
      </c>
      <c r="B7098" s="431" t="str">
        <f t="shared" si="110"/>
        <v>Varicose VeinProviderJAMES PAGET UNIVERSITY HOSPITALS NHS FOUNDATION TRUST (RGP)EQ VAS</v>
      </c>
      <c r="C7098" t="s">
        <v>17</v>
      </c>
      <c r="D7098" t="s">
        <v>1</v>
      </c>
      <c r="E7098" t="s">
        <v>3915</v>
      </c>
      <c r="F7098" t="s">
        <v>3916</v>
      </c>
      <c r="G7098" t="s">
        <v>179</v>
      </c>
      <c r="H7098">
        <v>23</v>
      </c>
      <c r="I7098">
        <v>83.216999999999999</v>
      </c>
      <c r="J7098">
        <v>83.695999999999998</v>
      </c>
      <c r="K7098">
        <v>0.47799999999999998</v>
      </c>
      <c r="L7098">
        <v>9</v>
      </c>
      <c r="M7098">
        <v>6</v>
      </c>
      <c r="N7098">
        <v>8</v>
      </c>
      <c r="O7098" t="s">
        <v>53</v>
      </c>
      <c r="P7098" t="s">
        <v>53</v>
      </c>
      <c r="Q7098" t="s">
        <v>53</v>
      </c>
    </row>
    <row r="7099" spans="1:17" x14ac:dyDescent="0.2">
      <c r="A7099" s="30" t="str">
        <f>IF(C7099&amp;G7099&amp;D7099&lt;&gt;'Funnel setup'!$K$3&amp;'Funnel setup'!$K$4&amp;'Funnel setup'!$K$5,".",IF(A7098=".",1,A7098+1))</f>
        <v>.</v>
      </c>
      <c r="B7099" s="431" t="str">
        <f t="shared" si="110"/>
        <v>Varicose VeinProviderKETTERING GENERAL HOSPITAL NHS FOUNDATION TRUST (RNQ)EQ VAS</v>
      </c>
      <c r="C7099" t="s">
        <v>17</v>
      </c>
      <c r="D7099" t="s">
        <v>1</v>
      </c>
      <c r="E7099" t="s">
        <v>3918</v>
      </c>
      <c r="F7099" t="s">
        <v>3919</v>
      </c>
      <c r="G7099" t="s">
        <v>179</v>
      </c>
      <c r="H7099" t="s">
        <v>53</v>
      </c>
      <c r="I7099" t="s">
        <v>53</v>
      </c>
      <c r="J7099" t="s">
        <v>53</v>
      </c>
      <c r="K7099" t="s">
        <v>53</v>
      </c>
      <c r="L7099" t="s">
        <v>53</v>
      </c>
      <c r="M7099" t="s">
        <v>53</v>
      </c>
      <c r="N7099" t="s">
        <v>53</v>
      </c>
      <c r="O7099" t="s">
        <v>53</v>
      </c>
      <c r="P7099" t="s">
        <v>53</v>
      </c>
      <c r="Q7099" t="s">
        <v>53</v>
      </c>
    </row>
    <row r="7100" spans="1:17" x14ac:dyDescent="0.2">
      <c r="A7100" s="30" t="str">
        <f>IF(C7100&amp;G7100&amp;D7100&lt;&gt;'Funnel setup'!$K$3&amp;'Funnel setup'!$K$4&amp;'Funnel setup'!$K$5,".",IF(A7099=".",1,A7099+1))</f>
        <v>.</v>
      </c>
      <c r="B7100" s="431" t="str">
        <f t="shared" si="110"/>
        <v>Varicose VeinProviderKING'S COLLEGE HOSPITAL NHS FOUNDATION TRUST (RJZ)EQ VAS</v>
      </c>
      <c r="C7100" t="s">
        <v>17</v>
      </c>
      <c r="D7100" t="s">
        <v>1</v>
      </c>
      <c r="E7100" t="s">
        <v>3924</v>
      </c>
      <c r="F7100" t="s">
        <v>3925</v>
      </c>
      <c r="G7100" t="s">
        <v>179</v>
      </c>
      <c r="H7100">
        <v>17</v>
      </c>
      <c r="I7100">
        <v>83.647000000000006</v>
      </c>
      <c r="J7100">
        <v>77.647000000000006</v>
      </c>
      <c r="K7100">
        <v>-6</v>
      </c>
      <c r="L7100">
        <v>5</v>
      </c>
      <c r="M7100">
        <v>2</v>
      </c>
      <c r="N7100">
        <v>10</v>
      </c>
      <c r="O7100" t="s">
        <v>53</v>
      </c>
      <c r="P7100" t="s">
        <v>53</v>
      </c>
      <c r="Q7100" t="s">
        <v>53</v>
      </c>
    </row>
    <row r="7101" spans="1:17" x14ac:dyDescent="0.2">
      <c r="A7101" s="30" t="str">
        <f>IF(C7101&amp;G7101&amp;D7101&lt;&gt;'Funnel setup'!$K$3&amp;'Funnel setup'!$K$4&amp;'Funnel setup'!$K$5,".",IF(A7100=".",1,A7100+1))</f>
        <v>.</v>
      </c>
      <c r="B7101" s="431" t="str">
        <f t="shared" si="110"/>
        <v>Varicose VeinProviderLANCASHIRE TEACHING HOSPITALS NHS FOUNDATION TRUST (RXN)EQ VAS</v>
      </c>
      <c r="C7101" t="s">
        <v>17</v>
      </c>
      <c r="D7101" t="s">
        <v>1</v>
      </c>
      <c r="E7101" t="s">
        <v>3567</v>
      </c>
      <c r="F7101" t="s">
        <v>3568</v>
      </c>
      <c r="G7101" t="s">
        <v>179</v>
      </c>
      <c r="H7101">
        <v>11</v>
      </c>
      <c r="I7101">
        <v>81.272999999999996</v>
      </c>
      <c r="J7101">
        <v>77.272999999999996</v>
      </c>
      <c r="K7101">
        <v>-4</v>
      </c>
      <c r="L7101">
        <v>2</v>
      </c>
      <c r="M7101">
        <v>4</v>
      </c>
      <c r="N7101">
        <v>5</v>
      </c>
      <c r="O7101" t="s">
        <v>53</v>
      </c>
      <c r="P7101" t="s">
        <v>53</v>
      </c>
      <c r="Q7101" t="s">
        <v>53</v>
      </c>
    </row>
    <row r="7102" spans="1:17" x14ac:dyDescent="0.2">
      <c r="A7102" s="30" t="str">
        <f>IF(C7102&amp;G7102&amp;D7102&lt;&gt;'Funnel setup'!$K$3&amp;'Funnel setup'!$K$4&amp;'Funnel setup'!$K$5,".",IF(A7101=".",1,A7101+1))</f>
        <v>.</v>
      </c>
      <c r="B7102" s="431" t="str">
        <f t="shared" si="110"/>
        <v>Varicose VeinProviderLEEDS TEACHING HOSPITALS NHS TRUST (RR8)EQ VAS</v>
      </c>
      <c r="C7102" t="s">
        <v>17</v>
      </c>
      <c r="D7102" t="s">
        <v>1</v>
      </c>
      <c r="E7102" t="s">
        <v>3930</v>
      </c>
      <c r="F7102" t="s">
        <v>344</v>
      </c>
      <c r="G7102" t="s">
        <v>179</v>
      </c>
      <c r="H7102">
        <v>220</v>
      </c>
      <c r="I7102">
        <v>81.918000000000006</v>
      </c>
      <c r="J7102">
        <v>82.268000000000001</v>
      </c>
      <c r="K7102">
        <v>0.35</v>
      </c>
      <c r="L7102">
        <v>82</v>
      </c>
      <c r="M7102">
        <v>44</v>
      </c>
      <c r="N7102">
        <v>94</v>
      </c>
      <c r="O7102">
        <v>80.204999999999998</v>
      </c>
      <c r="P7102">
        <v>1.240768689</v>
      </c>
      <c r="Q7102">
        <v>11.798</v>
      </c>
    </row>
    <row r="7103" spans="1:17" x14ac:dyDescent="0.2">
      <c r="A7103" s="30" t="str">
        <f>IF(C7103&amp;G7103&amp;D7103&lt;&gt;'Funnel setup'!$K$3&amp;'Funnel setup'!$K$4&amp;'Funnel setup'!$K$5,".",IF(A7102=".",1,A7102+1))</f>
        <v>.</v>
      </c>
      <c r="B7103" s="431" t="str">
        <f t="shared" si="110"/>
        <v>Varicose VeinProviderLEWISHAM AND GREENWICH NHS TRUST (RJ2)EQ VAS</v>
      </c>
      <c r="C7103" t="s">
        <v>17</v>
      </c>
      <c r="D7103" t="s">
        <v>1</v>
      </c>
      <c r="E7103" t="s">
        <v>3522</v>
      </c>
      <c r="F7103" t="s">
        <v>3523</v>
      </c>
      <c r="G7103" t="s">
        <v>179</v>
      </c>
      <c r="H7103">
        <v>89</v>
      </c>
      <c r="I7103">
        <v>77.494</v>
      </c>
      <c r="J7103">
        <v>76.697000000000003</v>
      </c>
      <c r="K7103">
        <v>-0.79800000000000004</v>
      </c>
      <c r="L7103">
        <v>36</v>
      </c>
      <c r="M7103">
        <v>22</v>
      </c>
      <c r="N7103">
        <v>31</v>
      </c>
      <c r="O7103">
        <v>79.123000000000005</v>
      </c>
      <c r="P7103">
        <v>0.15912645</v>
      </c>
      <c r="Q7103">
        <v>12.865</v>
      </c>
    </row>
    <row r="7104" spans="1:17" x14ac:dyDescent="0.2">
      <c r="A7104" s="30" t="str">
        <f>IF(C7104&amp;G7104&amp;D7104&lt;&gt;'Funnel setup'!$K$3&amp;'Funnel setup'!$K$4&amp;'Funnel setup'!$K$5,".",IF(A7103=".",1,A7103+1))</f>
        <v>.</v>
      </c>
      <c r="B7104" s="431" t="str">
        <f t="shared" si="110"/>
        <v>Varicose VeinProviderLONDON NORTH WEST HEALTHCARE NHS TRUST (R1K)EQ VAS</v>
      </c>
      <c r="C7104" t="s">
        <v>17</v>
      </c>
      <c r="D7104" t="s">
        <v>1</v>
      </c>
      <c r="E7104" t="s">
        <v>6515</v>
      </c>
      <c r="F7104" t="s">
        <v>6516</v>
      </c>
      <c r="G7104" t="s">
        <v>179</v>
      </c>
      <c r="H7104">
        <v>38</v>
      </c>
      <c r="I7104">
        <v>73.974000000000004</v>
      </c>
      <c r="J7104">
        <v>69.894999999999996</v>
      </c>
      <c r="K7104">
        <v>-4.0789999999999997</v>
      </c>
      <c r="L7104">
        <v>15</v>
      </c>
      <c r="M7104">
        <v>6</v>
      </c>
      <c r="N7104">
        <v>17</v>
      </c>
      <c r="O7104">
        <v>73.991</v>
      </c>
      <c r="P7104">
        <v>-4.9730796340000003</v>
      </c>
      <c r="Q7104">
        <v>16.616</v>
      </c>
    </row>
    <row r="7105" spans="1:17" x14ac:dyDescent="0.2">
      <c r="A7105" s="30" t="str">
        <f>IF(C7105&amp;G7105&amp;D7105&lt;&gt;'Funnel setup'!$K$3&amp;'Funnel setup'!$K$4&amp;'Funnel setup'!$K$5,".",IF(A7104=".",1,A7104+1))</f>
        <v>.</v>
      </c>
      <c r="B7105" s="431" t="str">
        <f t="shared" si="110"/>
        <v>Varicose VeinProviderLUTON AND DUNSTABLE UNIVERSITY HOSPITAL NHS FOUNDATION TRUST (RC9)EQ VAS</v>
      </c>
      <c r="C7105" t="s">
        <v>17</v>
      </c>
      <c r="D7105" t="s">
        <v>1</v>
      </c>
      <c r="E7105" t="s">
        <v>3528</v>
      </c>
      <c r="F7105" t="s">
        <v>3529</v>
      </c>
      <c r="G7105" t="s">
        <v>179</v>
      </c>
      <c r="H7105">
        <v>12</v>
      </c>
      <c r="I7105">
        <v>70.25</v>
      </c>
      <c r="J7105">
        <v>74.417000000000002</v>
      </c>
      <c r="K7105">
        <v>4.1669999999999998</v>
      </c>
      <c r="L7105">
        <v>6</v>
      </c>
      <c r="M7105">
        <v>2</v>
      </c>
      <c r="N7105">
        <v>4</v>
      </c>
      <c r="O7105" t="s">
        <v>53</v>
      </c>
      <c r="P7105" t="s">
        <v>53</v>
      </c>
      <c r="Q7105" t="s">
        <v>53</v>
      </c>
    </row>
    <row r="7106" spans="1:17" x14ac:dyDescent="0.2">
      <c r="A7106" s="30" t="str">
        <f>IF(C7106&amp;G7106&amp;D7106&lt;&gt;'Funnel setup'!$K$3&amp;'Funnel setup'!$K$4&amp;'Funnel setup'!$K$5,".",IF(A7105=".",1,A7105+1))</f>
        <v>.</v>
      </c>
      <c r="B7106" s="431" t="str">
        <f t="shared" si="110"/>
        <v>Varicose VeinProviderMAIDSTONE AND TUNBRIDGE WELLS NHS TRUST (RWF)EQ VAS</v>
      </c>
      <c r="C7106" t="s">
        <v>17</v>
      </c>
      <c r="D7106" t="s">
        <v>1</v>
      </c>
      <c r="E7106" t="s">
        <v>3627</v>
      </c>
      <c r="F7106" t="s">
        <v>3628</v>
      </c>
      <c r="G7106" t="s">
        <v>179</v>
      </c>
      <c r="H7106">
        <v>7</v>
      </c>
      <c r="I7106">
        <v>78.856999999999999</v>
      </c>
      <c r="J7106">
        <v>82.856999999999999</v>
      </c>
      <c r="K7106">
        <v>4</v>
      </c>
      <c r="L7106">
        <v>4</v>
      </c>
      <c r="M7106">
        <v>2</v>
      </c>
      <c r="N7106">
        <v>1</v>
      </c>
      <c r="O7106" t="s">
        <v>53</v>
      </c>
      <c r="P7106" t="s">
        <v>53</v>
      </c>
      <c r="Q7106" t="s">
        <v>53</v>
      </c>
    </row>
    <row r="7107" spans="1:17" x14ac:dyDescent="0.2">
      <c r="A7107" s="30" t="str">
        <f>IF(C7107&amp;G7107&amp;D7107&lt;&gt;'Funnel setup'!$K$3&amp;'Funnel setup'!$K$4&amp;'Funnel setup'!$K$5,".",IF(A7106=".",1,A7106+1))</f>
        <v>.</v>
      </c>
      <c r="B7107" s="431" t="str">
        <f t="shared" ref="B7107:B7170" si="111">C7107&amp;D7107&amp;F7107&amp;G7107</f>
        <v>Varicose VeinProviderMEDWAY NHS FOUNDATION TRUST (RPA)EQ VAS</v>
      </c>
      <c r="C7107" t="s">
        <v>17</v>
      </c>
      <c r="D7107" t="s">
        <v>1</v>
      </c>
      <c r="E7107" t="s">
        <v>3630</v>
      </c>
      <c r="F7107" t="s">
        <v>3631</v>
      </c>
      <c r="G7107" t="s">
        <v>179</v>
      </c>
      <c r="H7107" t="s">
        <v>53</v>
      </c>
      <c r="I7107" t="s">
        <v>53</v>
      </c>
      <c r="J7107" t="s">
        <v>53</v>
      </c>
      <c r="K7107" t="s">
        <v>53</v>
      </c>
      <c r="L7107" t="s">
        <v>53</v>
      </c>
      <c r="M7107" t="s">
        <v>53</v>
      </c>
      <c r="N7107" t="s">
        <v>53</v>
      </c>
      <c r="O7107" t="s">
        <v>53</v>
      </c>
      <c r="P7107" t="s">
        <v>53</v>
      </c>
      <c r="Q7107" t="s">
        <v>53</v>
      </c>
    </row>
    <row r="7108" spans="1:17" x14ac:dyDescent="0.2">
      <c r="A7108" s="30" t="str">
        <f>IF(C7108&amp;G7108&amp;D7108&lt;&gt;'Funnel setup'!$K$3&amp;'Funnel setup'!$K$4&amp;'Funnel setup'!$K$5,".",IF(A7107=".",1,A7107+1))</f>
        <v>.</v>
      </c>
      <c r="B7108" s="431" t="str">
        <f t="shared" si="111"/>
        <v>Varicose VeinProviderMID CHESHIRE HOSPITALS NHS FOUNDATION TRUST (RBT)EQ VAS</v>
      </c>
      <c r="C7108" t="s">
        <v>17</v>
      </c>
      <c r="D7108" t="s">
        <v>1</v>
      </c>
      <c r="E7108" t="s">
        <v>3633</v>
      </c>
      <c r="F7108" t="s">
        <v>342</v>
      </c>
      <c r="G7108" t="s">
        <v>179</v>
      </c>
      <c r="H7108">
        <v>12</v>
      </c>
      <c r="I7108">
        <v>74.667000000000002</v>
      </c>
      <c r="J7108">
        <v>84.582999999999998</v>
      </c>
      <c r="K7108">
        <v>9.9169999999999998</v>
      </c>
      <c r="L7108">
        <v>6</v>
      </c>
      <c r="M7108">
        <v>4</v>
      </c>
      <c r="N7108">
        <v>2</v>
      </c>
      <c r="O7108" t="s">
        <v>53</v>
      </c>
      <c r="P7108" t="s">
        <v>53</v>
      </c>
      <c r="Q7108" t="s">
        <v>53</v>
      </c>
    </row>
    <row r="7109" spans="1:17" x14ac:dyDescent="0.2">
      <c r="A7109" s="30" t="str">
        <f>IF(C7109&amp;G7109&amp;D7109&lt;&gt;'Funnel setup'!$K$3&amp;'Funnel setup'!$K$4&amp;'Funnel setup'!$K$5,".",IF(A7108=".",1,A7108+1))</f>
        <v>.</v>
      </c>
      <c r="B7109" s="431" t="str">
        <f t="shared" si="111"/>
        <v>Varicose VeinProviderMID ESSEX HOSPITAL SERVICES NHS TRUST (RQ8)EQ VAS</v>
      </c>
      <c r="C7109" t="s">
        <v>17</v>
      </c>
      <c r="D7109" t="s">
        <v>1</v>
      </c>
      <c r="E7109" t="s">
        <v>3635</v>
      </c>
      <c r="F7109" t="s">
        <v>3636</v>
      </c>
      <c r="G7109" t="s">
        <v>179</v>
      </c>
      <c r="H7109">
        <v>28</v>
      </c>
      <c r="I7109">
        <v>69.143000000000001</v>
      </c>
      <c r="J7109">
        <v>74.143000000000001</v>
      </c>
      <c r="K7109">
        <v>5</v>
      </c>
      <c r="L7109">
        <v>14</v>
      </c>
      <c r="M7109">
        <v>2</v>
      </c>
      <c r="N7109">
        <v>12</v>
      </c>
      <c r="O7109" t="s">
        <v>53</v>
      </c>
      <c r="P7109" t="s">
        <v>53</v>
      </c>
      <c r="Q7109" t="s">
        <v>53</v>
      </c>
    </row>
    <row r="7110" spans="1:17" x14ac:dyDescent="0.2">
      <c r="A7110" s="30" t="str">
        <f>IF(C7110&amp;G7110&amp;D7110&lt;&gt;'Funnel setup'!$K$3&amp;'Funnel setup'!$K$4&amp;'Funnel setup'!$K$5,".",IF(A7109=".",1,A7109+1))</f>
        <v>.</v>
      </c>
      <c r="B7110" s="431" t="str">
        <f t="shared" si="111"/>
        <v>Varicose VeinProviderMID STAFFORDSHIRE NHS FOUNDATION TRUST (RJD)EQ VAS</v>
      </c>
      <c r="C7110" t="s">
        <v>17</v>
      </c>
      <c r="D7110" t="s">
        <v>1</v>
      </c>
      <c r="E7110" t="s">
        <v>3638</v>
      </c>
      <c r="F7110" t="s">
        <v>3639</v>
      </c>
      <c r="G7110" t="s">
        <v>179</v>
      </c>
      <c r="H7110" t="s">
        <v>53</v>
      </c>
      <c r="I7110" t="s">
        <v>53</v>
      </c>
      <c r="J7110" t="s">
        <v>53</v>
      </c>
      <c r="K7110" t="s">
        <v>53</v>
      </c>
      <c r="L7110" t="s">
        <v>53</v>
      </c>
      <c r="M7110" t="s">
        <v>53</v>
      </c>
      <c r="N7110" t="s">
        <v>53</v>
      </c>
      <c r="O7110" t="s">
        <v>53</v>
      </c>
      <c r="P7110" t="s">
        <v>53</v>
      </c>
      <c r="Q7110" t="s">
        <v>53</v>
      </c>
    </row>
    <row r="7111" spans="1:17" x14ac:dyDescent="0.2">
      <c r="A7111" s="30" t="str">
        <f>IF(C7111&amp;G7111&amp;D7111&lt;&gt;'Funnel setup'!$K$3&amp;'Funnel setup'!$K$4&amp;'Funnel setup'!$K$5,".",IF(A7110=".",1,A7110+1))</f>
        <v>.</v>
      </c>
      <c r="B7111" s="431" t="str">
        <f t="shared" si="111"/>
        <v>Varicose VeinProviderMID YORKSHIRE HOSPITALS NHS TRUST (RXF)EQ VAS</v>
      </c>
      <c r="C7111" t="s">
        <v>17</v>
      </c>
      <c r="D7111" t="s">
        <v>1</v>
      </c>
      <c r="E7111" t="s">
        <v>3641</v>
      </c>
      <c r="F7111" t="s">
        <v>3642</v>
      </c>
      <c r="G7111" t="s">
        <v>179</v>
      </c>
      <c r="H7111">
        <v>71</v>
      </c>
      <c r="I7111">
        <v>80.507000000000005</v>
      </c>
      <c r="J7111">
        <v>79.394000000000005</v>
      </c>
      <c r="K7111">
        <v>-1.113</v>
      </c>
      <c r="L7111">
        <v>23</v>
      </c>
      <c r="M7111">
        <v>12</v>
      </c>
      <c r="N7111">
        <v>36</v>
      </c>
      <c r="O7111">
        <v>78.882999999999996</v>
      </c>
      <c r="P7111">
        <v>-8.1212244000000003E-2</v>
      </c>
      <c r="Q7111">
        <v>10.707000000000001</v>
      </c>
    </row>
    <row r="7112" spans="1:17" x14ac:dyDescent="0.2">
      <c r="A7112" s="30" t="str">
        <f>IF(C7112&amp;G7112&amp;D7112&lt;&gt;'Funnel setup'!$K$3&amp;'Funnel setup'!$K$4&amp;'Funnel setup'!$K$5,".",IF(A7111=".",1,A7111+1))</f>
        <v>.</v>
      </c>
      <c r="B7112" s="431" t="str">
        <f t="shared" si="111"/>
        <v>Varicose VeinProviderMILTON KEYNES UNIVERSITY HOSPITAL NHS FOUNDATION TRUST (RD8)EQ VAS</v>
      </c>
      <c r="C7112" t="s">
        <v>17</v>
      </c>
      <c r="D7112" t="s">
        <v>1</v>
      </c>
      <c r="E7112" t="s">
        <v>3643</v>
      </c>
      <c r="F7112" t="s">
        <v>6580</v>
      </c>
      <c r="G7112" t="s">
        <v>179</v>
      </c>
      <c r="H7112">
        <v>19</v>
      </c>
      <c r="I7112">
        <v>82.316000000000003</v>
      </c>
      <c r="J7112">
        <v>79.525999999999996</v>
      </c>
      <c r="K7112">
        <v>-2.7890000000000001</v>
      </c>
      <c r="L7112">
        <v>10</v>
      </c>
      <c r="M7112">
        <v>2</v>
      </c>
      <c r="N7112">
        <v>7</v>
      </c>
      <c r="O7112" t="s">
        <v>53</v>
      </c>
      <c r="P7112" t="s">
        <v>53</v>
      </c>
      <c r="Q7112" t="s">
        <v>53</v>
      </c>
    </row>
    <row r="7113" spans="1:17" x14ac:dyDescent="0.2">
      <c r="A7113" s="30" t="str">
        <f>IF(C7113&amp;G7113&amp;D7113&lt;&gt;'Funnel setup'!$K$3&amp;'Funnel setup'!$K$4&amp;'Funnel setup'!$K$5,".",IF(A7112=".",1,A7112+1))</f>
        <v>.</v>
      </c>
      <c r="B7113" s="431" t="str">
        <f t="shared" si="111"/>
        <v>Varicose VeinProviderNORFOLK AND NORWICH UNIVERSITY HOSPITALS NHS FOUNDATION TRUST (RM1)EQ VAS</v>
      </c>
      <c r="C7113" t="s">
        <v>17</v>
      </c>
      <c r="D7113" t="s">
        <v>1</v>
      </c>
      <c r="E7113" t="s">
        <v>3651</v>
      </c>
      <c r="F7113" t="s">
        <v>3652</v>
      </c>
      <c r="G7113" t="s">
        <v>179</v>
      </c>
      <c r="H7113">
        <v>158</v>
      </c>
      <c r="I7113">
        <v>82.391999999999996</v>
      </c>
      <c r="J7113">
        <v>82.784999999999997</v>
      </c>
      <c r="K7113">
        <v>0.39200000000000002</v>
      </c>
      <c r="L7113">
        <v>66</v>
      </c>
      <c r="M7113">
        <v>33</v>
      </c>
      <c r="N7113">
        <v>59</v>
      </c>
      <c r="O7113">
        <v>80.397999999999996</v>
      </c>
      <c r="P7113">
        <v>1.4342058360000001</v>
      </c>
      <c r="Q7113">
        <v>10.340999999999999</v>
      </c>
    </row>
    <row r="7114" spans="1:17" x14ac:dyDescent="0.2">
      <c r="A7114" s="30" t="str">
        <f>IF(C7114&amp;G7114&amp;D7114&lt;&gt;'Funnel setup'!$K$3&amp;'Funnel setup'!$K$4&amp;'Funnel setup'!$K$5,".",IF(A7113=".",1,A7113+1))</f>
        <v>.</v>
      </c>
      <c r="B7114" s="431" t="str">
        <f t="shared" si="111"/>
        <v>Varicose VeinProviderNORTH CUMBRIA UNIVERSITY HOSPITALS NHS TRUST (RNL)EQ VAS</v>
      </c>
      <c r="C7114" t="s">
        <v>17</v>
      </c>
      <c r="D7114" t="s">
        <v>1</v>
      </c>
      <c r="E7114" t="s">
        <v>3657</v>
      </c>
      <c r="F7114" t="s">
        <v>3658</v>
      </c>
      <c r="G7114" t="s">
        <v>179</v>
      </c>
      <c r="H7114">
        <v>32</v>
      </c>
      <c r="I7114">
        <v>83.968999999999994</v>
      </c>
      <c r="J7114">
        <v>82.843999999999994</v>
      </c>
      <c r="K7114">
        <v>-1.125</v>
      </c>
      <c r="L7114">
        <v>11</v>
      </c>
      <c r="M7114">
        <v>9</v>
      </c>
      <c r="N7114">
        <v>12</v>
      </c>
      <c r="O7114">
        <v>79.236999999999995</v>
      </c>
      <c r="P7114">
        <v>0.272677367</v>
      </c>
      <c r="Q7114">
        <v>7.4550000000000001</v>
      </c>
    </row>
    <row r="7115" spans="1:17" x14ac:dyDescent="0.2">
      <c r="A7115" s="30" t="str">
        <f>IF(C7115&amp;G7115&amp;D7115&lt;&gt;'Funnel setup'!$K$3&amp;'Funnel setup'!$K$4&amp;'Funnel setup'!$K$5,".",IF(A7114=".",1,A7114+1))</f>
        <v>.</v>
      </c>
      <c r="B7115" s="431" t="str">
        <f t="shared" si="111"/>
        <v>Varicose VeinProviderNORTH DOWNS HOSPITAL (NVC11)EQ VAS</v>
      </c>
      <c r="C7115" t="s">
        <v>17</v>
      </c>
      <c r="D7115" t="s">
        <v>1</v>
      </c>
      <c r="E7115" t="s">
        <v>3660</v>
      </c>
      <c r="F7115" t="s">
        <v>3661</v>
      </c>
      <c r="G7115" t="s">
        <v>179</v>
      </c>
      <c r="H7115" t="s">
        <v>53</v>
      </c>
      <c r="I7115" t="s">
        <v>53</v>
      </c>
      <c r="J7115" t="s">
        <v>53</v>
      </c>
      <c r="K7115" t="s">
        <v>53</v>
      </c>
      <c r="L7115" t="s">
        <v>53</v>
      </c>
      <c r="M7115" t="s">
        <v>53</v>
      </c>
      <c r="N7115" t="s">
        <v>53</v>
      </c>
      <c r="O7115" t="s">
        <v>53</v>
      </c>
      <c r="P7115" t="s">
        <v>53</v>
      </c>
      <c r="Q7115" t="s">
        <v>53</v>
      </c>
    </row>
    <row r="7116" spans="1:17" x14ac:dyDescent="0.2">
      <c r="A7116" s="30" t="str">
        <f>IF(C7116&amp;G7116&amp;D7116&lt;&gt;'Funnel setup'!$K$3&amp;'Funnel setup'!$K$4&amp;'Funnel setup'!$K$5,".",IF(A7115=".",1,A7115+1))</f>
        <v>.</v>
      </c>
      <c r="B7116" s="431" t="str">
        <f t="shared" si="111"/>
        <v>Varicose VeinProviderNORTH EAST LONDON TREATMENT CENTRE CARE UK (NTP15)EQ VAS</v>
      </c>
      <c r="C7116" t="s">
        <v>17</v>
      </c>
      <c r="D7116" t="s">
        <v>1</v>
      </c>
      <c r="E7116" t="s">
        <v>3663</v>
      </c>
      <c r="F7116" t="s">
        <v>3664</v>
      </c>
      <c r="G7116" t="s">
        <v>179</v>
      </c>
      <c r="H7116">
        <v>23</v>
      </c>
      <c r="I7116">
        <v>79.564999999999998</v>
      </c>
      <c r="J7116">
        <v>77.174000000000007</v>
      </c>
      <c r="K7116">
        <v>-2.391</v>
      </c>
      <c r="L7116">
        <v>8</v>
      </c>
      <c r="M7116">
        <v>5</v>
      </c>
      <c r="N7116">
        <v>10</v>
      </c>
      <c r="O7116" t="s">
        <v>53</v>
      </c>
      <c r="P7116" t="s">
        <v>53</v>
      </c>
      <c r="Q7116" t="s">
        <v>53</v>
      </c>
    </row>
    <row r="7117" spans="1:17" x14ac:dyDescent="0.2">
      <c r="A7117" s="30" t="str">
        <f>IF(C7117&amp;G7117&amp;D7117&lt;&gt;'Funnel setup'!$K$3&amp;'Funnel setup'!$K$4&amp;'Funnel setup'!$K$5,".",IF(A7116=".",1,A7116+1))</f>
        <v>.</v>
      </c>
      <c r="B7117" s="431" t="str">
        <f t="shared" si="111"/>
        <v>Varicose VeinProviderNORTH TEES AND HARTLEPOOL NHS FOUNDATION TRUST (RVW)EQ VAS</v>
      </c>
      <c r="C7117" t="s">
        <v>17</v>
      </c>
      <c r="D7117" t="s">
        <v>1</v>
      </c>
      <c r="E7117" t="s">
        <v>3669</v>
      </c>
      <c r="F7117" t="s">
        <v>3670</v>
      </c>
      <c r="G7117" t="s">
        <v>179</v>
      </c>
      <c r="H7117">
        <v>59</v>
      </c>
      <c r="I7117">
        <v>74.406999999999996</v>
      </c>
      <c r="J7117">
        <v>76.626999999999995</v>
      </c>
      <c r="K7117">
        <v>2.2200000000000002</v>
      </c>
      <c r="L7117">
        <v>27</v>
      </c>
      <c r="M7117">
        <v>12</v>
      </c>
      <c r="N7117">
        <v>20</v>
      </c>
      <c r="O7117">
        <v>80.823999999999998</v>
      </c>
      <c r="P7117">
        <v>1.860041998</v>
      </c>
      <c r="Q7117">
        <v>11.923999999999999</v>
      </c>
    </row>
    <row r="7118" spans="1:17" x14ac:dyDescent="0.2">
      <c r="A7118" s="30" t="str">
        <f>IF(C7118&amp;G7118&amp;D7118&lt;&gt;'Funnel setup'!$K$3&amp;'Funnel setup'!$K$4&amp;'Funnel setup'!$K$5,".",IF(A7117=".",1,A7117+1))</f>
        <v>.</v>
      </c>
      <c r="B7118" s="431" t="str">
        <f t="shared" si="111"/>
        <v>Varicose VeinProviderNORTHAMPTON GENERAL HOSPITAL NHS TRUST (RNS)EQ VAS</v>
      </c>
      <c r="C7118" t="s">
        <v>17</v>
      </c>
      <c r="D7118" t="s">
        <v>1</v>
      </c>
      <c r="E7118" t="s">
        <v>3675</v>
      </c>
      <c r="F7118" t="s">
        <v>3676</v>
      </c>
      <c r="G7118" t="s">
        <v>179</v>
      </c>
      <c r="H7118">
        <v>23</v>
      </c>
      <c r="I7118">
        <v>77</v>
      </c>
      <c r="J7118">
        <v>75.477999999999994</v>
      </c>
      <c r="K7118">
        <v>-1.522</v>
      </c>
      <c r="L7118">
        <v>7</v>
      </c>
      <c r="M7118">
        <v>6</v>
      </c>
      <c r="N7118">
        <v>10</v>
      </c>
      <c r="O7118" t="s">
        <v>53</v>
      </c>
      <c r="P7118" t="s">
        <v>53</v>
      </c>
      <c r="Q7118" t="s">
        <v>53</v>
      </c>
    </row>
    <row r="7119" spans="1:17" x14ac:dyDescent="0.2">
      <c r="A7119" s="30" t="str">
        <f>IF(C7119&amp;G7119&amp;D7119&lt;&gt;'Funnel setup'!$K$3&amp;'Funnel setup'!$K$4&amp;'Funnel setup'!$K$5,".",IF(A7118=".",1,A7118+1))</f>
        <v>.</v>
      </c>
      <c r="B7119" s="431" t="str">
        <f t="shared" si="111"/>
        <v>Varicose VeinProviderNORTHERN DEVON HEALTHCARE NHS TRUST (RBZ)EQ VAS</v>
      </c>
      <c r="C7119" t="s">
        <v>17</v>
      </c>
      <c r="D7119" t="s">
        <v>1</v>
      </c>
      <c r="E7119" t="s">
        <v>3678</v>
      </c>
      <c r="F7119" t="s">
        <v>3679</v>
      </c>
      <c r="G7119" t="s">
        <v>179</v>
      </c>
      <c r="H7119">
        <v>10</v>
      </c>
      <c r="I7119">
        <v>76.8</v>
      </c>
      <c r="J7119">
        <v>73.5</v>
      </c>
      <c r="K7119">
        <v>-3.3</v>
      </c>
      <c r="L7119">
        <v>3</v>
      </c>
      <c r="M7119">
        <v>1</v>
      </c>
      <c r="N7119">
        <v>6</v>
      </c>
      <c r="O7119" t="s">
        <v>53</v>
      </c>
      <c r="P7119" t="s">
        <v>53</v>
      </c>
      <c r="Q7119" t="s">
        <v>53</v>
      </c>
    </row>
    <row r="7120" spans="1:17" x14ac:dyDescent="0.2">
      <c r="A7120" s="30" t="str">
        <f>IF(C7120&amp;G7120&amp;D7120&lt;&gt;'Funnel setup'!$K$3&amp;'Funnel setup'!$K$4&amp;'Funnel setup'!$K$5,".",IF(A7119=".",1,A7119+1))</f>
        <v>.</v>
      </c>
      <c r="B7120" s="431" t="str">
        <f t="shared" si="111"/>
        <v>Varicose VeinProviderNORTHERN LINCOLNSHIRE AND GOOLE NHS FOUNDATION TRUST (RJL)EQ VAS</v>
      </c>
      <c r="C7120" t="s">
        <v>17</v>
      </c>
      <c r="D7120" t="s">
        <v>1</v>
      </c>
      <c r="E7120" t="s">
        <v>3681</v>
      </c>
      <c r="F7120" t="s">
        <v>3682</v>
      </c>
      <c r="G7120" t="s">
        <v>179</v>
      </c>
      <c r="H7120">
        <v>6</v>
      </c>
      <c r="I7120">
        <v>85.332999999999998</v>
      </c>
      <c r="J7120">
        <v>83.832999999999998</v>
      </c>
      <c r="K7120">
        <v>-1.5</v>
      </c>
      <c r="L7120">
        <v>3</v>
      </c>
      <c r="M7120">
        <v>1</v>
      </c>
      <c r="N7120">
        <v>2</v>
      </c>
      <c r="O7120" t="s">
        <v>53</v>
      </c>
      <c r="P7120" t="s">
        <v>53</v>
      </c>
      <c r="Q7120" t="s">
        <v>53</v>
      </c>
    </row>
    <row r="7121" spans="1:17" x14ac:dyDescent="0.2">
      <c r="A7121" s="30" t="str">
        <f>IF(C7121&amp;G7121&amp;D7121&lt;&gt;'Funnel setup'!$K$3&amp;'Funnel setup'!$K$4&amp;'Funnel setup'!$K$5,".",IF(A7120=".",1,A7120+1))</f>
        <v>.</v>
      </c>
      <c r="B7121" s="431" t="str">
        <f t="shared" si="111"/>
        <v>Varicose VeinProviderOAKS HOSPITAL (NVC13)EQ VAS</v>
      </c>
      <c r="C7121" t="s">
        <v>17</v>
      </c>
      <c r="D7121" t="s">
        <v>1</v>
      </c>
      <c r="E7121" t="s">
        <v>3270</v>
      </c>
      <c r="F7121" t="s">
        <v>3271</v>
      </c>
      <c r="G7121" t="s">
        <v>179</v>
      </c>
      <c r="H7121" t="s">
        <v>53</v>
      </c>
      <c r="I7121" t="s">
        <v>53</v>
      </c>
      <c r="J7121" t="s">
        <v>53</v>
      </c>
      <c r="K7121" t="s">
        <v>53</v>
      </c>
      <c r="L7121" t="s">
        <v>53</v>
      </c>
      <c r="M7121" t="s">
        <v>53</v>
      </c>
      <c r="N7121" t="s">
        <v>53</v>
      </c>
      <c r="O7121" t="s">
        <v>53</v>
      </c>
      <c r="P7121" t="s">
        <v>53</v>
      </c>
      <c r="Q7121" t="s">
        <v>53</v>
      </c>
    </row>
    <row r="7122" spans="1:17" x14ac:dyDescent="0.2">
      <c r="A7122" s="30" t="str">
        <f>IF(C7122&amp;G7122&amp;D7122&lt;&gt;'Funnel setup'!$K$3&amp;'Funnel setup'!$K$4&amp;'Funnel setup'!$K$5,".",IF(A7121=".",1,A7121+1))</f>
        <v>.</v>
      </c>
      <c r="B7122" s="431" t="str">
        <f t="shared" si="111"/>
        <v>Varicose VeinProviderOXFORD UNIVERSITY HOSPITALS NHS FOUNDATION TRUST (RTH)EQ VAS</v>
      </c>
      <c r="C7122" t="s">
        <v>17</v>
      </c>
      <c r="D7122" t="s">
        <v>1</v>
      </c>
      <c r="E7122" t="s">
        <v>3278</v>
      </c>
      <c r="F7122" t="s">
        <v>6578</v>
      </c>
      <c r="G7122" t="s">
        <v>179</v>
      </c>
      <c r="H7122">
        <v>36</v>
      </c>
      <c r="I7122">
        <v>78.667000000000002</v>
      </c>
      <c r="J7122">
        <v>80.138999999999996</v>
      </c>
      <c r="K7122">
        <v>1.472</v>
      </c>
      <c r="L7122">
        <v>15</v>
      </c>
      <c r="M7122">
        <v>10</v>
      </c>
      <c r="N7122">
        <v>11</v>
      </c>
      <c r="O7122">
        <v>79.495000000000005</v>
      </c>
      <c r="P7122">
        <v>0.53073164799999994</v>
      </c>
      <c r="Q7122">
        <v>10.951000000000001</v>
      </c>
    </row>
    <row r="7123" spans="1:17" x14ac:dyDescent="0.2">
      <c r="A7123" s="30" t="str">
        <f>IF(C7123&amp;G7123&amp;D7123&lt;&gt;'Funnel setup'!$K$3&amp;'Funnel setup'!$K$4&amp;'Funnel setup'!$K$5,".",IF(A7122=".",1,A7122+1))</f>
        <v>.</v>
      </c>
      <c r="B7123" s="431" t="str">
        <f t="shared" si="111"/>
        <v>Varicose VeinProviderPENNINE ACUTE HOSPITALS NHS TRUST (RW6)EQ VAS</v>
      </c>
      <c r="C7123" t="s">
        <v>17</v>
      </c>
      <c r="D7123" t="s">
        <v>1</v>
      </c>
      <c r="E7123" t="s">
        <v>3216</v>
      </c>
      <c r="F7123" t="s">
        <v>3217</v>
      </c>
      <c r="G7123" t="s">
        <v>179</v>
      </c>
      <c r="H7123">
        <v>13</v>
      </c>
      <c r="I7123">
        <v>76.846000000000004</v>
      </c>
      <c r="J7123">
        <v>75.385000000000005</v>
      </c>
      <c r="K7123">
        <v>-1.462</v>
      </c>
      <c r="L7123">
        <v>4</v>
      </c>
      <c r="M7123">
        <v>2</v>
      </c>
      <c r="N7123">
        <v>7</v>
      </c>
      <c r="O7123" t="s">
        <v>53</v>
      </c>
      <c r="P7123" t="s">
        <v>53</v>
      </c>
      <c r="Q7123" t="s">
        <v>53</v>
      </c>
    </row>
    <row r="7124" spans="1:17" x14ac:dyDescent="0.2">
      <c r="A7124" s="30" t="str">
        <f>IF(C7124&amp;G7124&amp;D7124&lt;&gt;'Funnel setup'!$K$3&amp;'Funnel setup'!$K$4&amp;'Funnel setup'!$K$5,".",IF(A7123=".",1,A7123+1))</f>
        <v>.</v>
      </c>
      <c r="B7124" s="431" t="str">
        <f t="shared" si="111"/>
        <v>Varicose VeinProviderPETERBOROUGH AND STAMFORD HOSPITALS NHS FOUNDATION TRUST (RGN)EQ VAS</v>
      </c>
      <c r="C7124" t="s">
        <v>17</v>
      </c>
      <c r="D7124" t="s">
        <v>1</v>
      </c>
      <c r="E7124" t="s">
        <v>3219</v>
      </c>
      <c r="F7124" t="s">
        <v>3220</v>
      </c>
      <c r="G7124" t="s">
        <v>179</v>
      </c>
      <c r="H7124">
        <v>15</v>
      </c>
      <c r="I7124">
        <v>78.066999999999993</v>
      </c>
      <c r="J7124">
        <v>80.599999999999994</v>
      </c>
      <c r="K7124">
        <v>2.5329999999999999</v>
      </c>
      <c r="L7124">
        <v>8</v>
      </c>
      <c r="M7124">
        <v>4</v>
      </c>
      <c r="N7124">
        <v>3</v>
      </c>
      <c r="O7124" t="s">
        <v>53</v>
      </c>
      <c r="P7124" t="s">
        <v>53</v>
      </c>
      <c r="Q7124" t="s">
        <v>53</v>
      </c>
    </row>
    <row r="7125" spans="1:17" x14ac:dyDescent="0.2">
      <c r="A7125" s="30" t="str">
        <f>IF(C7125&amp;G7125&amp;D7125&lt;&gt;'Funnel setup'!$K$3&amp;'Funnel setup'!$K$4&amp;'Funnel setup'!$K$5,".",IF(A7124=".",1,A7124+1))</f>
        <v>.</v>
      </c>
      <c r="B7125" s="431" t="str">
        <f t="shared" si="111"/>
        <v>Varicose VeinProviderPINEHILL HOSPITAL (NVC15)EQ VAS</v>
      </c>
      <c r="C7125" t="s">
        <v>17</v>
      </c>
      <c r="D7125" t="s">
        <v>1</v>
      </c>
      <c r="E7125" t="s">
        <v>3222</v>
      </c>
      <c r="F7125" t="s">
        <v>3223</v>
      </c>
      <c r="G7125" t="s">
        <v>179</v>
      </c>
      <c r="H7125" t="s">
        <v>53</v>
      </c>
      <c r="I7125" t="s">
        <v>53</v>
      </c>
      <c r="J7125" t="s">
        <v>53</v>
      </c>
      <c r="K7125" t="s">
        <v>53</v>
      </c>
      <c r="L7125" t="s">
        <v>53</v>
      </c>
      <c r="M7125" t="s">
        <v>53</v>
      </c>
      <c r="N7125" t="s">
        <v>53</v>
      </c>
      <c r="O7125" t="s">
        <v>53</v>
      </c>
      <c r="P7125" t="s">
        <v>53</v>
      </c>
      <c r="Q7125" t="s">
        <v>53</v>
      </c>
    </row>
    <row r="7126" spans="1:17" x14ac:dyDescent="0.2">
      <c r="A7126" s="30" t="str">
        <f>IF(C7126&amp;G7126&amp;D7126&lt;&gt;'Funnel setup'!$K$3&amp;'Funnel setup'!$K$4&amp;'Funnel setup'!$K$5,".",IF(A7125=".",1,A7125+1))</f>
        <v>.</v>
      </c>
      <c r="B7126" s="431" t="str">
        <f t="shared" si="111"/>
        <v>Varicose VeinProviderPLYMOUTH HOSPITALS NHS TRUST (RK9)EQ VAS</v>
      </c>
      <c r="C7126" t="s">
        <v>17</v>
      </c>
      <c r="D7126" t="s">
        <v>1</v>
      </c>
      <c r="E7126" t="s">
        <v>3225</v>
      </c>
      <c r="F7126" t="s">
        <v>3226</v>
      </c>
      <c r="G7126" t="s">
        <v>179</v>
      </c>
      <c r="H7126">
        <v>56</v>
      </c>
      <c r="I7126">
        <v>76.213999999999999</v>
      </c>
      <c r="J7126">
        <v>73.804000000000002</v>
      </c>
      <c r="K7126">
        <v>-2.411</v>
      </c>
      <c r="L7126">
        <v>20</v>
      </c>
      <c r="M7126">
        <v>8</v>
      </c>
      <c r="N7126">
        <v>28</v>
      </c>
      <c r="O7126">
        <v>75.28</v>
      </c>
      <c r="P7126">
        <v>-3.68383846</v>
      </c>
      <c r="Q7126">
        <v>12.708</v>
      </c>
    </row>
    <row r="7127" spans="1:17" x14ac:dyDescent="0.2">
      <c r="A7127" s="30" t="str">
        <f>IF(C7127&amp;G7127&amp;D7127&lt;&gt;'Funnel setup'!$K$3&amp;'Funnel setup'!$K$4&amp;'Funnel setup'!$K$5,".",IF(A7126=".",1,A7126+1))</f>
        <v>.</v>
      </c>
      <c r="B7127" s="431" t="str">
        <f t="shared" si="111"/>
        <v>Varicose VeinProviderPORTSMOUTH HOSPITALS NHS TRUST (RHU)EQ VAS</v>
      </c>
      <c r="C7127" t="s">
        <v>17</v>
      </c>
      <c r="D7127" t="s">
        <v>1</v>
      </c>
      <c r="E7127" t="s">
        <v>3234</v>
      </c>
      <c r="F7127" t="s">
        <v>3235</v>
      </c>
      <c r="G7127" t="s">
        <v>179</v>
      </c>
      <c r="H7127" t="s">
        <v>53</v>
      </c>
      <c r="I7127" t="s">
        <v>53</v>
      </c>
      <c r="J7127" t="s">
        <v>53</v>
      </c>
      <c r="K7127" t="s">
        <v>53</v>
      </c>
      <c r="L7127" t="s">
        <v>53</v>
      </c>
      <c r="M7127" t="s">
        <v>53</v>
      </c>
      <c r="N7127" t="s">
        <v>53</v>
      </c>
      <c r="O7127" t="s">
        <v>53</v>
      </c>
      <c r="P7127" t="s">
        <v>53</v>
      </c>
      <c r="Q7127" t="s">
        <v>53</v>
      </c>
    </row>
    <row r="7128" spans="1:17" x14ac:dyDescent="0.2">
      <c r="A7128" s="30" t="str">
        <f>IF(C7128&amp;G7128&amp;D7128&lt;&gt;'Funnel setup'!$K$3&amp;'Funnel setup'!$K$4&amp;'Funnel setup'!$K$5,".",IF(A7127=".",1,A7127+1))</f>
        <v>.</v>
      </c>
      <c r="B7128" s="431" t="str">
        <f t="shared" si="111"/>
        <v>Varicose VeinProviderROYAL BERKSHIRE NHS FOUNDATION TRUST (RHW)EQ VAS</v>
      </c>
      <c r="C7128" t="s">
        <v>17</v>
      </c>
      <c r="D7128" t="s">
        <v>1</v>
      </c>
      <c r="E7128" t="s">
        <v>3832</v>
      </c>
      <c r="F7128" t="s">
        <v>3833</v>
      </c>
      <c r="G7128" t="s">
        <v>179</v>
      </c>
      <c r="H7128">
        <v>6</v>
      </c>
      <c r="I7128">
        <v>78.832999999999998</v>
      </c>
      <c r="J7128">
        <v>73.167000000000002</v>
      </c>
      <c r="K7128">
        <v>-5.6669999999999998</v>
      </c>
      <c r="L7128">
        <v>3</v>
      </c>
      <c r="M7128">
        <v>0</v>
      </c>
      <c r="N7128">
        <v>3</v>
      </c>
      <c r="O7128" t="s">
        <v>53</v>
      </c>
      <c r="P7128" t="s">
        <v>53</v>
      </c>
      <c r="Q7128" t="s">
        <v>53</v>
      </c>
    </row>
    <row r="7129" spans="1:17" x14ac:dyDescent="0.2">
      <c r="A7129" s="30" t="str">
        <f>IF(C7129&amp;G7129&amp;D7129&lt;&gt;'Funnel setup'!$K$3&amp;'Funnel setup'!$K$4&amp;'Funnel setup'!$K$5,".",IF(A7128=".",1,A7128+1))</f>
        <v>.</v>
      </c>
      <c r="B7129" s="431" t="str">
        <f t="shared" si="111"/>
        <v>Varicose VeinProviderROYAL CORNWALL HOSPITALS NHS TRUST (REF)EQ VAS</v>
      </c>
      <c r="C7129" t="s">
        <v>17</v>
      </c>
      <c r="D7129" t="s">
        <v>1</v>
      </c>
      <c r="E7129" t="s">
        <v>3745</v>
      </c>
      <c r="F7129" t="s">
        <v>3746</v>
      </c>
      <c r="G7129" t="s">
        <v>179</v>
      </c>
      <c r="H7129">
        <v>84</v>
      </c>
      <c r="I7129">
        <v>77.274000000000001</v>
      </c>
      <c r="J7129">
        <v>77.429000000000002</v>
      </c>
      <c r="K7129">
        <v>0.155</v>
      </c>
      <c r="L7129">
        <v>33</v>
      </c>
      <c r="M7129">
        <v>13</v>
      </c>
      <c r="N7129">
        <v>38</v>
      </c>
      <c r="O7129">
        <v>79.126999999999995</v>
      </c>
      <c r="P7129">
        <v>0.16305520100000001</v>
      </c>
      <c r="Q7129">
        <v>13.51</v>
      </c>
    </row>
    <row r="7130" spans="1:17" x14ac:dyDescent="0.2">
      <c r="A7130" s="30" t="str">
        <f>IF(C7130&amp;G7130&amp;D7130&lt;&gt;'Funnel setup'!$K$3&amp;'Funnel setup'!$K$4&amp;'Funnel setup'!$K$5,".",IF(A7129=".",1,A7129+1))</f>
        <v>.</v>
      </c>
      <c r="B7130" s="431" t="str">
        <f t="shared" si="111"/>
        <v>Varicose VeinProviderROYAL DEVON AND EXETER NHS FOUNDATION TRUST (RH8)EQ VAS</v>
      </c>
      <c r="C7130" t="s">
        <v>17</v>
      </c>
      <c r="D7130" t="s">
        <v>1</v>
      </c>
      <c r="E7130" t="s">
        <v>3442</v>
      </c>
      <c r="F7130" t="s">
        <v>3443</v>
      </c>
      <c r="G7130" t="s">
        <v>179</v>
      </c>
      <c r="H7130">
        <v>53</v>
      </c>
      <c r="I7130">
        <v>76.396000000000001</v>
      </c>
      <c r="J7130">
        <v>76.623000000000005</v>
      </c>
      <c r="K7130">
        <v>0.22600000000000001</v>
      </c>
      <c r="L7130">
        <v>22</v>
      </c>
      <c r="M7130">
        <v>10</v>
      </c>
      <c r="N7130">
        <v>21</v>
      </c>
      <c r="O7130">
        <v>78.528999999999996</v>
      </c>
      <c r="P7130">
        <v>-0.43494624399999998</v>
      </c>
      <c r="Q7130">
        <v>14.244999999999999</v>
      </c>
    </row>
    <row r="7131" spans="1:17" x14ac:dyDescent="0.2">
      <c r="A7131" s="30" t="str">
        <f>IF(C7131&amp;G7131&amp;D7131&lt;&gt;'Funnel setup'!$K$3&amp;'Funnel setup'!$K$4&amp;'Funnel setup'!$K$5,".",IF(A7130=".",1,A7130+1))</f>
        <v>.</v>
      </c>
      <c r="B7131" s="431" t="str">
        <f t="shared" si="111"/>
        <v>Varicose VeinProviderROYAL FREE LONDON NHS FOUNDATION TRUST (RAL)EQ VAS</v>
      </c>
      <c r="C7131" t="s">
        <v>17</v>
      </c>
      <c r="D7131" t="s">
        <v>1</v>
      </c>
      <c r="E7131" t="s">
        <v>3445</v>
      </c>
      <c r="F7131" t="s">
        <v>3446</v>
      </c>
      <c r="G7131" t="s">
        <v>179</v>
      </c>
      <c r="H7131">
        <v>27</v>
      </c>
      <c r="I7131">
        <v>73.37</v>
      </c>
      <c r="J7131">
        <v>69.852000000000004</v>
      </c>
      <c r="K7131">
        <v>-3.5190000000000001</v>
      </c>
      <c r="L7131">
        <v>10</v>
      </c>
      <c r="M7131">
        <v>3</v>
      </c>
      <c r="N7131">
        <v>14</v>
      </c>
      <c r="O7131" t="s">
        <v>53</v>
      </c>
      <c r="P7131" t="s">
        <v>53</v>
      </c>
      <c r="Q7131" t="s">
        <v>53</v>
      </c>
    </row>
    <row r="7132" spans="1:17" x14ac:dyDescent="0.2">
      <c r="A7132" s="30" t="str">
        <f>IF(C7132&amp;G7132&amp;D7132&lt;&gt;'Funnel setup'!$K$3&amp;'Funnel setup'!$K$4&amp;'Funnel setup'!$K$5,".",IF(A7131=".",1,A7131+1))</f>
        <v>.</v>
      </c>
      <c r="B7132" s="431" t="str">
        <f t="shared" si="111"/>
        <v>Varicose VeinProviderROYAL UNITED HOSPITALS BATH NHS FOUNDATION TRUST (RD1)EQ VAS</v>
      </c>
      <c r="C7132" t="s">
        <v>17</v>
      </c>
      <c r="D7132" t="s">
        <v>1</v>
      </c>
      <c r="E7132" t="s">
        <v>3454</v>
      </c>
      <c r="F7132" t="s">
        <v>3455</v>
      </c>
      <c r="G7132" t="s">
        <v>179</v>
      </c>
      <c r="H7132">
        <v>15</v>
      </c>
      <c r="I7132">
        <v>82.867000000000004</v>
      </c>
      <c r="J7132">
        <v>77.599999999999994</v>
      </c>
      <c r="K7132">
        <v>-5.2670000000000003</v>
      </c>
      <c r="L7132">
        <v>1</v>
      </c>
      <c r="M7132">
        <v>4</v>
      </c>
      <c r="N7132">
        <v>10</v>
      </c>
      <c r="O7132" t="s">
        <v>53</v>
      </c>
      <c r="P7132" t="s">
        <v>53</v>
      </c>
      <c r="Q7132" t="s">
        <v>53</v>
      </c>
    </row>
    <row r="7133" spans="1:17" x14ac:dyDescent="0.2">
      <c r="A7133" s="30" t="str">
        <f>IF(C7133&amp;G7133&amp;D7133&lt;&gt;'Funnel setup'!$K$3&amp;'Funnel setup'!$K$4&amp;'Funnel setup'!$K$5,".",IF(A7132=".",1,A7132+1))</f>
        <v>.</v>
      </c>
      <c r="B7133" s="431" t="str">
        <f t="shared" si="111"/>
        <v>Varicose VeinProviderSALISBURY NHS FOUNDATION TRUST (RNZ)EQ VAS</v>
      </c>
      <c r="C7133" t="s">
        <v>17</v>
      </c>
      <c r="D7133" t="s">
        <v>1</v>
      </c>
      <c r="E7133" t="s">
        <v>3460</v>
      </c>
      <c r="F7133" t="s">
        <v>3461</v>
      </c>
      <c r="G7133" t="s">
        <v>179</v>
      </c>
      <c r="H7133">
        <v>42</v>
      </c>
      <c r="I7133">
        <v>79</v>
      </c>
      <c r="J7133">
        <v>75.143000000000001</v>
      </c>
      <c r="K7133">
        <v>-3.8570000000000002</v>
      </c>
      <c r="L7133">
        <v>14</v>
      </c>
      <c r="M7133">
        <v>11</v>
      </c>
      <c r="N7133">
        <v>17</v>
      </c>
      <c r="O7133">
        <v>76.34</v>
      </c>
      <c r="P7133">
        <v>-2.624059103</v>
      </c>
      <c r="Q7133">
        <v>12.93</v>
      </c>
    </row>
    <row r="7134" spans="1:17" x14ac:dyDescent="0.2">
      <c r="A7134" s="30" t="str">
        <f>IF(C7134&amp;G7134&amp;D7134&lt;&gt;'Funnel setup'!$K$3&amp;'Funnel setup'!$K$4&amp;'Funnel setup'!$K$5,".",IF(A7133=".",1,A7133+1))</f>
        <v>.</v>
      </c>
      <c r="B7134" s="431" t="str">
        <f t="shared" si="111"/>
        <v>Varicose VeinProviderSANDWELL AND WEST BIRMINGHAM HOSPITALS NHS TRUST (RXK)EQ VAS</v>
      </c>
      <c r="C7134" t="s">
        <v>17</v>
      </c>
      <c r="D7134" t="s">
        <v>1</v>
      </c>
      <c r="E7134" t="s">
        <v>3463</v>
      </c>
      <c r="F7134" t="s">
        <v>3464</v>
      </c>
      <c r="G7134" t="s">
        <v>179</v>
      </c>
      <c r="H7134">
        <v>111</v>
      </c>
      <c r="I7134">
        <v>76.108000000000004</v>
      </c>
      <c r="J7134">
        <v>74.018000000000001</v>
      </c>
      <c r="K7134">
        <v>-2.09</v>
      </c>
      <c r="L7134">
        <v>47</v>
      </c>
      <c r="M7134">
        <v>15</v>
      </c>
      <c r="N7134">
        <v>49</v>
      </c>
      <c r="O7134">
        <v>77.001999999999995</v>
      </c>
      <c r="P7134">
        <v>-1.962157393</v>
      </c>
      <c r="Q7134">
        <v>18.704000000000001</v>
      </c>
    </row>
    <row r="7135" spans="1:17" x14ac:dyDescent="0.2">
      <c r="A7135" s="30" t="str">
        <f>IF(C7135&amp;G7135&amp;D7135&lt;&gt;'Funnel setup'!$K$3&amp;'Funnel setup'!$K$4&amp;'Funnel setup'!$K$5,".",IF(A7134=".",1,A7134+1))</f>
        <v>.</v>
      </c>
      <c r="B7135" s="431" t="str">
        <f t="shared" si="111"/>
        <v>Varicose VeinProviderSHEFFIELD TEACHING HOSPITALS NHS FOUNDATION TRUST (RHQ)EQ VAS</v>
      </c>
      <c r="C7135" t="s">
        <v>17</v>
      </c>
      <c r="D7135" t="s">
        <v>1</v>
      </c>
      <c r="E7135" t="s">
        <v>3466</v>
      </c>
      <c r="F7135" t="s">
        <v>3467</v>
      </c>
      <c r="G7135" t="s">
        <v>179</v>
      </c>
      <c r="H7135">
        <v>156</v>
      </c>
      <c r="I7135">
        <v>81.391000000000005</v>
      </c>
      <c r="J7135">
        <v>79.647000000000006</v>
      </c>
      <c r="K7135">
        <v>-1.744</v>
      </c>
      <c r="L7135">
        <v>51</v>
      </c>
      <c r="M7135">
        <v>39</v>
      </c>
      <c r="N7135">
        <v>66</v>
      </c>
      <c r="O7135">
        <v>78.741</v>
      </c>
      <c r="P7135">
        <v>-0.222981816</v>
      </c>
      <c r="Q7135">
        <v>12.978</v>
      </c>
    </row>
    <row r="7136" spans="1:17" x14ac:dyDescent="0.2">
      <c r="A7136" s="30" t="str">
        <f>IF(C7136&amp;G7136&amp;D7136&lt;&gt;'Funnel setup'!$K$3&amp;'Funnel setup'!$K$4&amp;'Funnel setup'!$K$5,".",IF(A7135=".",1,A7135+1))</f>
        <v>.</v>
      </c>
      <c r="B7136" s="431" t="str">
        <f t="shared" si="111"/>
        <v>Varicose VeinProviderSHERWOOD FOREST HOSPITALS NHS FOUNDATION TRUST (RK5)EQ VAS</v>
      </c>
      <c r="C7136" t="s">
        <v>17</v>
      </c>
      <c r="D7136" t="s">
        <v>1</v>
      </c>
      <c r="E7136" t="s">
        <v>3475</v>
      </c>
      <c r="F7136" t="s">
        <v>3476</v>
      </c>
      <c r="G7136" t="s">
        <v>179</v>
      </c>
      <c r="H7136">
        <v>69</v>
      </c>
      <c r="I7136">
        <v>76.087000000000003</v>
      </c>
      <c r="J7136">
        <v>75.667000000000002</v>
      </c>
      <c r="K7136">
        <v>-0.42</v>
      </c>
      <c r="L7136">
        <v>26</v>
      </c>
      <c r="M7136">
        <v>14</v>
      </c>
      <c r="N7136">
        <v>29</v>
      </c>
      <c r="O7136">
        <v>77.793999999999997</v>
      </c>
      <c r="P7136">
        <v>-1.1696767180000001</v>
      </c>
      <c r="Q7136">
        <v>17.382000000000001</v>
      </c>
    </row>
    <row r="7137" spans="1:17" x14ac:dyDescent="0.2">
      <c r="A7137" s="30" t="str">
        <f>IF(C7137&amp;G7137&amp;D7137&lt;&gt;'Funnel setup'!$K$3&amp;'Funnel setup'!$K$4&amp;'Funnel setup'!$K$5,".",IF(A7136=".",1,A7136+1))</f>
        <v>.</v>
      </c>
      <c r="B7137" s="431" t="str">
        <f t="shared" si="111"/>
        <v>Varicose VeinProviderSHREWSBURY AND TELFORD HOSPITAL NHS TRUST (RXW)EQ VAS</v>
      </c>
      <c r="C7137" t="s">
        <v>17</v>
      </c>
      <c r="D7137" t="s">
        <v>1</v>
      </c>
      <c r="E7137" t="s">
        <v>3478</v>
      </c>
      <c r="F7137" t="s">
        <v>3479</v>
      </c>
      <c r="G7137" t="s">
        <v>179</v>
      </c>
      <c r="H7137">
        <v>35</v>
      </c>
      <c r="I7137">
        <v>82.057000000000002</v>
      </c>
      <c r="J7137">
        <v>80.313999999999993</v>
      </c>
      <c r="K7137">
        <v>-1.7430000000000001</v>
      </c>
      <c r="L7137">
        <v>13</v>
      </c>
      <c r="M7137">
        <v>6</v>
      </c>
      <c r="N7137">
        <v>16</v>
      </c>
      <c r="O7137">
        <v>77.960999999999999</v>
      </c>
      <c r="P7137">
        <v>-1.002819669</v>
      </c>
      <c r="Q7137">
        <v>9.8510000000000009</v>
      </c>
    </row>
    <row r="7138" spans="1:17" x14ac:dyDescent="0.2">
      <c r="A7138" s="30" t="str">
        <f>IF(C7138&amp;G7138&amp;D7138&lt;&gt;'Funnel setup'!$K$3&amp;'Funnel setup'!$K$4&amp;'Funnel setup'!$K$5,".",IF(A7137=".",1,A7137+1))</f>
        <v>.</v>
      </c>
      <c r="B7138" s="431" t="str">
        <f t="shared" si="111"/>
        <v>Varicose VeinProviderSOUTH TEES HOSPITALS NHS FOUNDATION TRUST (RTR)EQ VAS</v>
      </c>
      <c r="C7138" t="s">
        <v>17</v>
      </c>
      <c r="D7138" t="s">
        <v>1</v>
      </c>
      <c r="E7138" t="s">
        <v>3482</v>
      </c>
      <c r="F7138" t="s">
        <v>3483</v>
      </c>
      <c r="G7138" t="s">
        <v>179</v>
      </c>
      <c r="H7138">
        <v>26</v>
      </c>
      <c r="I7138">
        <v>77.423000000000002</v>
      </c>
      <c r="J7138">
        <v>76.076999999999998</v>
      </c>
      <c r="K7138">
        <v>-1.3460000000000001</v>
      </c>
      <c r="L7138">
        <v>13</v>
      </c>
      <c r="M7138">
        <v>2</v>
      </c>
      <c r="N7138">
        <v>11</v>
      </c>
      <c r="O7138" t="s">
        <v>53</v>
      </c>
      <c r="P7138" t="s">
        <v>53</v>
      </c>
      <c r="Q7138" t="s">
        <v>53</v>
      </c>
    </row>
    <row r="7139" spans="1:17" x14ac:dyDescent="0.2">
      <c r="A7139" s="30" t="str">
        <f>IF(C7139&amp;G7139&amp;D7139&lt;&gt;'Funnel setup'!$K$3&amp;'Funnel setup'!$K$4&amp;'Funnel setup'!$K$5,".",IF(A7138=".",1,A7138+1))</f>
        <v>.</v>
      </c>
      <c r="B7139" s="431" t="str">
        <f t="shared" si="111"/>
        <v>Varicose VeinProviderSOUTH WARWICKSHIRE NHS FOUNDATION TRUST (RJC)EQ VAS</v>
      </c>
      <c r="C7139" t="s">
        <v>17</v>
      </c>
      <c r="D7139" t="s">
        <v>1</v>
      </c>
      <c r="E7139" t="s">
        <v>3421</v>
      </c>
      <c r="F7139" t="s">
        <v>3422</v>
      </c>
      <c r="G7139" t="s">
        <v>179</v>
      </c>
      <c r="H7139">
        <v>29</v>
      </c>
      <c r="I7139">
        <v>80.483000000000004</v>
      </c>
      <c r="J7139">
        <v>80.861999999999995</v>
      </c>
      <c r="K7139">
        <v>0.379</v>
      </c>
      <c r="L7139">
        <v>14</v>
      </c>
      <c r="M7139">
        <v>5</v>
      </c>
      <c r="N7139">
        <v>10</v>
      </c>
      <c r="O7139" t="s">
        <v>53</v>
      </c>
      <c r="P7139" t="s">
        <v>53</v>
      </c>
      <c r="Q7139" t="s">
        <v>53</v>
      </c>
    </row>
    <row r="7140" spans="1:17" x14ac:dyDescent="0.2">
      <c r="A7140" s="30" t="str">
        <f>IF(C7140&amp;G7140&amp;D7140&lt;&gt;'Funnel setup'!$K$3&amp;'Funnel setup'!$K$4&amp;'Funnel setup'!$K$5,".",IF(A7139=".",1,A7139+1))</f>
        <v>.</v>
      </c>
      <c r="B7140" s="431" t="str">
        <f t="shared" si="111"/>
        <v>Varicose VeinProviderSOUTHAMPTON NHS TREATMENT CENTRE (NTP11)EQ VAS</v>
      </c>
      <c r="C7140" t="s">
        <v>17</v>
      </c>
      <c r="D7140" t="s">
        <v>1</v>
      </c>
      <c r="E7140" t="s">
        <v>3424</v>
      </c>
      <c r="F7140" t="s">
        <v>3425</v>
      </c>
      <c r="G7140" t="s">
        <v>179</v>
      </c>
      <c r="H7140">
        <v>12</v>
      </c>
      <c r="I7140">
        <v>83.832999999999998</v>
      </c>
      <c r="J7140">
        <v>81.332999999999998</v>
      </c>
      <c r="K7140">
        <v>-2.5</v>
      </c>
      <c r="L7140">
        <v>3</v>
      </c>
      <c r="M7140">
        <v>5</v>
      </c>
      <c r="N7140">
        <v>4</v>
      </c>
      <c r="O7140" t="s">
        <v>53</v>
      </c>
      <c r="P7140" t="s">
        <v>53</v>
      </c>
      <c r="Q7140" t="s">
        <v>53</v>
      </c>
    </row>
    <row r="7141" spans="1:17" x14ac:dyDescent="0.2">
      <c r="A7141" s="30" t="str">
        <f>IF(C7141&amp;G7141&amp;D7141&lt;&gt;'Funnel setup'!$K$3&amp;'Funnel setup'!$K$4&amp;'Funnel setup'!$K$5,".",IF(A7140=".",1,A7140+1))</f>
        <v>.</v>
      </c>
      <c r="B7141" s="431" t="str">
        <f t="shared" si="111"/>
        <v>Varicose VeinProviderSOUTHEND UNIVERSITY HOSPITAL NHS FOUNDATION TRUST (RAJ)EQ VAS</v>
      </c>
      <c r="C7141" t="s">
        <v>17</v>
      </c>
      <c r="D7141" t="s">
        <v>1</v>
      </c>
      <c r="E7141" t="s">
        <v>3427</v>
      </c>
      <c r="F7141" t="s">
        <v>3428</v>
      </c>
      <c r="G7141" t="s">
        <v>179</v>
      </c>
      <c r="H7141" t="s">
        <v>53</v>
      </c>
      <c r="I7141" t="s">
        <v>53</v>
      </c>
      <c r="J7141" t="s">
        <v>53</v>
      </c>
      <c r="K7141" t="s">
        <v>53</v>
      </c>
      <c r="L7141" t="s">
        <v>53</v>
      </c>
      <c r="M7141" t="s">
        <v>53</v>
      </c>
      <c r="N7141" t="s">
        <v>53</v>
      </c>
      <c r="O7141" t="s">
        <v>53</v>
      </c>
      <c r="P7141" t="s">
        <v>53</v>
      </c>
      <c r="Q7141" t="s">
        <v>53</v>
      </c>
    </row>
    <row r="7142" spans="1:17" x14ac:dyDescent="0.2">
      <c r="A7142" s="30" t="str">
        <f>IF(C7142&amp;G7142&amp;D7142&lt;&gt;'Funnel setup'!$K$3&amp;'Funnel setup'!$K$4&amp;'Funnel setup'!$K$5,".",IF(A7141=".",1,A7141+1))</f>
        <v>.</v>
      </c>
      <c r="B7142" s="431" t="str">
        <f t="shared" si="111"/>
        <v>Varicose VeinProviderSOUTHPORT AND ORMSKIRK HOSPITAL NHS TRUST (RVY)EQ VAS</v>
      </c>
      <c r="C7142" t="s">
        <v>17</v>
      </c>
      <c r="D7142" t="s">
        <v>1</v>
      </c>
      <c r="E7142" t="s">
        <v>3430</v>
      </c>
      <c r="F7142" t="s">
        <v>3431</v>
      </c>
      <c r="G7142" t="s">
        <v>179</v>
      </c>
      <c r="H7142">
        <v>63</v>
      </c>
      <c r="I7142">
        <v>73.778000000000006</v>
      </c>
      <c r="J7142">
        <v>73.016000000000005</v>
      </c>
      <c r="K7142">
        <v>-0.76200000000000001</v>
      </c>
      <c r="L7142">
        <v>21</v>
      </c>
      <c r="M7142">
        <v>13</v>
      </c>
      <c r="N7142">
        <v>29</v>
      </c>
      <c r="O7142">
        <v>75.63</v>
      </c>
      <c r="P7142">
        <v>-3.3344308909999998</v>
      </c>
      <c r="Q7142">
        <v>15.454000000000001</v>
      </c>
    </row>
    <row r="7143" spans="1:17" x14ac:dyDescent="0.2">
      <c r="A7143" s="30" t="str">
        <f>IF(C7143&amp;G7143&amp;D7143&lt;&gt;'Funnel setup'!$K$3&amp;'Funnel setup'!$K$4&amp;'Funnel setup'!$K$5,".",IF(A7142=".",1,A7142+1))</f>
        <v>.</v>
      </c>
      <c r="B7143" s="431" t="str">
        <f t="shared" si="111"/>
        <v>Varicose VeinProviderSPIRE CHESHIRE HOSPITAL (NT324)EQ VAS</v>
      </c>
      <c r="C7143" t="s">
        <v>17</v>
      </c>
      <c r="D7143" t="s">
        <v>1</v>
      </c>
      <c r="E7143" t="s">
        <v>3439</v>
      </c>
      <c r="F7143" t="s">
        <v>3440</v>
      </c>
      <c r="G7143" t="s">
        <v>179</v>
      </c>
      <c r="H7143" t="s">
        <v>53</v>
      </c>
      <c r="I7143" t="s">
        <v>53</v>
      </c>
      <c r="J7143" t="s">
        <v>53</v>
      </c>
      <c r="K7143" t="s">
        <v>53</v>
      </c>
      <c r="L7143" t="s">
        <v>53</v>
      </c>
      <c r="M7143" t="s">
        <v>53</v>
      </c>
      <c r="N7143" t="s">
        <v>53</v>
      </c>
      <c r="O7143" t="s">
        <v>53</v>
      </c>
      <c r="P7143" t="s">
        <v>53</v>
      </c>
      <c r="Q7143" t="s">
        <v>53</v>
      </c>
    </row>
    <row r="7144" spans="1:17" x14ac:dyDescent="0.2">
      <c r="A7144" s="30" t="str">
        <f>IF(C7144&amp;G7144&amp;D7144&lt;&gt;'Funnel setup'!$K$3&amp;'Funnel setup'!$K$4&amp;'Funnel setup'!$K$5,".",IF(A7143=".",1,A7143+1))</f>
        <v>.</v>
      </c>
      <c r="B7144" s="431" t="str">
        <f t="shared" si="111"/>
        <v>Varicose VeinProviderSPIRE ELLAND HOSPITAL (NT348)EQ VAS</v>
      </c>
      <c r="C7144" t="s">
        <v>17</v>
      </c>
      <c r="D7144" t="s">
        <v>1</v>
      </c>
      <c r="E7144" t="s">
        <v>3418</v>
      </c>
      <c r="F7144" t="s">
        <v>3419</v>
      </c>
      <c r="G7144" t="s">
        <v>179</v>
      </c>
      <c r="H7144">
        <v>12</v>
      </c>
      <c r="I7144">
        <v>89.082999999999998</v>
      </c>
      <c r="J7144">
        <v>82.417000000000002</v>
      </c>
      <c r="K7144">
        <v>-6.6669999999999998</v>
      </c>
      <c r="L7144">
        <v>2</v>
      </c>
      <c r="M7144">
        <v>5</v>
      </c>
      <c r="N7144">
        <v>5</v>
      </c>
      <c r="O7144" t="s">
        <v>53</v>
      </c>
      <c r="P7144" t="s">
        <v>53</v>
      </c>
      <c r="Q7144" t="s">
        <v>53</v>
      </c>
    </row>
    <row r="7145" spans="1:17" x14ac:dyDescent="0.2">
      <c r="A7145" s="30" t="str">
        <f>IF(C7145&amp;G7145&amp;D7145&lt;&gt;'Funnel setup'!$K$3&amp;'Funnel setup'!$K$4&amp;'Funnel setup'!$K$5,".",IF(A7144=".",1,A7144+1))</f>
        <v>.</v>
      </c>
      <c r="B7145" s="431" t="str">
        <f t="shared" si="111"/>
        <v>Varicose VeinProviderSPIRE FYLDE COAST HOSPITAL (NT347)EQ VAS</v>
      </c>
      <c r="C7145" t="s">
        <v>17</v>
      </c>
      <c r="D7145" t="s">
        <v>1</v>
      </c>
      <c r="E7145" t="s">
        <v>4370</v>
      </c>
      <c r="F7145" t="s">
        <v>4371</v>
      </c>
      <c r="G7145" t="s">
        <v>179</v>
      </c>
      <c r="H7145">
        <v>7</v>
      </c>
      <c r="I7145">
        <v>84.429000000000002</v>
      </c>
      <c r="J7145">
        <v>83.570999999999998</v>
      </c>
      <c r="K7145">
        <v>-0.85699999999999998</v>
      </c>
      <c r="L7145">
        <v>1</v>
      </c>
      <c r="M7145">
        <v>1</v>
      </c>
      <c r="N7145">
        <v>5</v>
      </c>
      <c r="O7145" t="s">
        <v>53</v>
      </c>
      <c r="P7145" t="s">
        <v>53</v>
      </c>
      <c r="Q7145" t="s">
        <v>53</v>
      </c>
    </row>
    <row r="7146" spans="1:17" x14ac:dyDescent="0.2">
      <c r="A7146" s="30" t="str">
        <f>IF(C7146&amp;G7146&amp;D7146&lt;&gt;'Funnel setup'!$K$3&amp;'Funnel setup'!$K$4&amp;'Funnel setup'!$K$5,".",IF(A7145=".",1,A7145+1))</f>
        <v>.</v>
      </c>
      <c r="B7146" s="431" t="str">
        <f t="shared" si="111"/>
        <v>Varicose VeinProviderSPIRE LIVERPOOL HOSPITAL (NT337)EQ VAS</v>
      </c>
      <c r="C7146" t="s">
        <v>17</v>
      </c>
      <c r="D7146" t="s">
        <v>1</v>
      </c>
      <c r="E7146" t="s">
        <v>3927</v>
      </c>
      <c r="F7146" t="s">
        <v>3928</v>
      </c>
      <c r="G7146" t="s">
        <v>179</v>
      </c>
      <c r="H7146" t="s">
        <v>53</v>
      </c>
      <c r="I7146" t="s">
        <v>53</v>
      </c>
      <c r="J7146" t="s">
        <v>53</v>
      </c>
      <c r="K7146" t="s">
        <v>53</v>
      </c>
      <c r="L7146" t="s">
        <v>53</v>
      </c>
      <c r="M7146" t="s">
        <v>53</v>
      </c>
      <c r="N7146" t="s">
        <v>53</v>
      </c>
      <c r="O7146" t="s">
        <v>53</v>
      </c>
      <c r="P7146" t="s">
        <v>53</v>
      </c>
      <c r="Q7146" t="s">
        <v>53</v>
      </c>
    </row>
    <row r="7147" spans="1:17" x14ac:dyDescent="0.2">
      <c r="A7147" s="30" t="str">
        <f>IF(C7147&amp;G7147&amp;D7147&lt;&gt;'Funnel setup'!$K$3&amp;'Funnel setup'!$K$4&amp;'Funnel setup'!$K$5,".",IF(A7146=".",1,A7146+1))</f>
        <v>.</v>
      </c>
      <c r="B7147" s="431" t="str">
        <f t="shared" si="111"/>
        <v>Varicose VeinProviderSPIRE METHLEY PARK HOSPITAL (NT350)EQ VAS</v>
      </c>
      <c r="C7147" t="s">
        <v>17</v>
      </c>
      <c r="D7147" t="s">
        <v>1</v>
      </c>
      <c r="E7147" t="s">
        <v>3157</v>
      </c>
      <c r="F7147" t="s">
        <v>3158</v>
      </c>
      <c r="G7147" t="s">
        <v>179</v>
      </c>
      <c r="H7147">
        <v>23</v>
      </c>
      <c r="I7147">
        <v>81.13</v>
      </c>
      <c r="J7147">
        <v>87.347999999999999</v>
      </c>
      <c r="K7147">
        <v>6.2169999999999996</v>
      </c>
      <c r="L7147">
        <v>11</v>
      </c>
      <c r="M7147">
        <v>6</v>
      </c>
      <c r="N7147">
        <v>6</v>
      </c>
      <c r="O7147" t="s">
        <v>53</v>
      </c>
      <c r="P7147" t="s">
        <v>53</v>
      </c>
      <c r="Q7147" t="s">
        <v>53</v>
      </c>
    </row>
    <row r="7148" spans="1:17" x14ac:dyDescent="0.2">
      <c r="A7148" s="30" t="str">
        <f>IF(C7148&amp;G7148&amp;D7148&lt;&gt;'Funnel setup'!$K$3&amp;'Funnel setup'!$K$4&amp;'Funnel setup'!$K$5,".",IF(A7147=".",1,A7147+1))</f>
        <v>.</v>
      </c>
      <c r="B7148" s="431" t="str">
        <f t="shared" si="111"/>
        <v>Varicose VeinProviderSPIRE MURRAYFIELD HOSPITAL (NT325)EQ VAS</v>
      </c>
      <c r="C7148" t="s">
        <v>17</v>
      </c>
      <c r="D7148" t="s">
        <v>1</v>
      </c>
      <c r="E7148" t="s">
        <v>3163</v>
      </c>
      <c r="F7148" t="s">
        <v>3164</v>
      </c>
      <c r="G7148" t="s">
        <v>179</v>
      </c>
      <c r="H7148">
        <v>14</v>
      </c>
      <c r="I7148">
        <v>80.786000000000001</v>
      </c>
      <c r="J7148">
        <v>87</v>
      </c>
      <c r="K7148">
        <v>6.2140000000000004</v>
      </c>
      <c r="L7148">
        <v>5</v>
      </c>
      <c r="M7148">
        <v>6</v>
      </c>
      <c r="N7148">
        <v>3</v>
      </c>
      <c r="O7148" t="s">
        <v>53</v>
      </c>
      <c r="P7148" t="s">
        <v>53</v>
      </c>
      <c r="Q7148" t="s">
        <v>53</v>
      </c>
    </row>
    <row r="7149" spans="1:17" x14ac:dyDescent="0.2">
      <c r="A7149" s="30" t="str">
        <f>IF(C7149&amp;G7149&amp;D7149&lt;&gt;'Funnel setup'!$K$3&amp;'Funnel setup'!$K$4&amp;'Funnel setup'!$K$5,".",IF(A7148=".",1,A7148+1))</f>
        <v>.</v>
      </c>
      <c r="B7149" s="431" t="str">
        <f t="shared" si="111"/>
        <v>Varicose VeinProviderSPIRE WASHINGTON HOSPITAL (NT333)EQ VAS</v>
      </c>
      <c r="C7149" t="s">
        <v>17</v>
      </c>
      <c r="D7149" t="s">
        <v>1</v>
      </c>
      <c r="E7149" t="s">
        <v>3189</v>
      </c>
      <c r="F7149" t="s">
        <v>3190</v>
      </c>
      <c r="G7149" t="s">
        <v>179</v>
      </c>
      <c r="H7149">
        <v>25</v>
      </c>
      <c r="I7149">
        <v>80.52</v>
      </c>
      <c r="J7149">
        <v>78.36</v>
      </c>
      <c r="K7149">
        <v>-2.16</v>
      </c>
      <c r="L7149">
        <v>5</v>
      </c>
      <c r="M7149">
        <v>8</v>
      </c>
      <c r="N7149">
        <v>12</v>
      </c>
      <c r="O7149" t="s">
        <v>53</v>
      </c>
      <c r="P7149" t="s">
        <v>53</v>
      </c>
      <c r="Q7149" t="s">
        <v>53</v>
      </c>
    </row>
    <row r="7150" spans="1:17" x14ac:dyDescent="0.2">
      <c r="A7150" s="30" t="str">
        <f>IF(C7150&amp;G7150&amp;D7150&lt;&gt;'Funnel setup'!$K$3&amp;'Funnel setup'!$K$4&amp;'Funnel setup'!$K$5,".",IF(A7149=".",1,A7149+1))</f>
        <v>.</v>
      </c>
      <c r="B7150" s="431" t="str">
        <f t="shared" si="111"/>
        <v>Varicose VeinProviderST GEORGE'S UNIVERSITY HOSPITALS NHS FOUNDATION TRUST (RJ7)EQ VAS</v>
      </c>
      <c r="C7150" t="s">
        <v>17</v>
      </c>
      <c r="D7150" t="s">
        <v>1</v>
      </c>
      <c r="E7150" t="s">
        <v>3124</v>
      </c>
      <c r="F7150" t="s">
        <v>3125</v>
      </c>
      <c r="G7150" t="s">
        <v>179</v>
      </c>
      <c r="H7150">
        <v>34</v>
      </c>
      <c r="I7150">
        <v>76.471000000000004</v>
      </c>
      <c r="J7150">
        <v>76.293999999999997</v>
      </c>
      <c r="K7150">
        <v>-0.17599999999999999</v>
      </c>
      <c r="L7150">
        <v>12</v>
      </c>
      <c r="M7150">
        <v>7</v>
      </c>
      <c r="N7150">
        <v>15</v>
      </c>
      <c r="O7150">
        <v>76.701999999999998</v>
      </c>
      <c r="P7150">
        <v>-2.2618531580000001</v>
      </c>
      <c r="Q7150">
        <v>16.341000000000001</v>
      </c>
    </row>
    <row r="7151" spans="1:17" x14ac:dyDescent="0.2">
      <c r="A7151" s="30" t="str">
        <f>IF(C7151&amp;G7151&amp;D7151&lt;&gt;'Funnel setup'!$K$3&amp;'Funnel setup'!$K$4&amp;'Funnel setup'!$K$5,".",IF(A7150=".",1,A7150+1))</f>
        <v>.</v>
      </c>
      <c r="B7151" s="431" t="str">
        <f t="shared" si="111"/>
        <v>Varicose VeinProviderST HELENS AND KNOWSLEY HOSPITALS NHS TRUST (RBN)EQ VAS</v>
      </c>
      <c r="C7151" t="s">
        <v>17</v>
      </c>
      <c r="D7151" t="s">
        <v>1</v>
      </c>
      <c r="E7151" t="s">
        <v>3127</v>
      </c>
      <c r="F7151" t="s">
        <v>3128</v>
      </c>
      <c r="G7151" t="s">
        <v>179</v>
      </c>
      <c r="H7151">
        <v>27</v>
      </c>
      <c r="I7151">
        <v>76.888999999999996</v>
      </c>
      <c r="J7151">
        <v>72.332999999999998</v>
      </c>
      <c r="K7151">
        <v>-4.556</v>
      </c>
      <c r="L7151">
        <v>8</v>
      </c>
      <c r="M7151">
        <v>8</v>
      </c>
      <c r="N7151">
        <v>11</v>
      </c>
      <c r="O7151" t="s">
        <v>53</v>
      </c>
      <c r="P7151" t="s">
        <v>53</v>
      </c>
      <c r="Q7151" t="s">
        <v>53</v>
      </c>
    </row>
    <row r="7152" spans="1:17" x14ac:dyDescent="0.2">
      <c r="A7152" s="30" t="str">
        <f>IF(C7152&amp;G7152&amp;D7152&lt;&gt;'Funnel setup'!$K$3&amp;'Funnel setup'!$K$4&amp;'Funnel setup'!$K$5,".",IF(A7151=".",1,A7151+1))</f>
        <v>.</v>
      </c>
      <c r="B7152" s="431" t="str">
        <f t="shared" si="111"/>
        <v>Varicose VeinProviderSURREY AND SUSSEX HEALTHCARE NHS TRUST (RTP)EQ VAS</v>
      </c>
      <c r="C7152" t="s">
        <v>17</v>
      </c>
      <c r="D7152" t="s">
        <v>1</v>
      </c>
      <c r="E7152" t="s">
        <v>3145</v>
      </c>
      <c r="F7152" t="s">
        <v>3146</v>
      </c>
      <c r="G7152" t="s">
        <v>179</v>
      </c>
      <c r="H7152">
        <v>46</v>
      </c>
      <c r="I7152">
        <v>77.347999999999999</v>
      </c>
      <c r="J7152">
        <v>78.456999999999994</v>
      </c>
      <c r="K7152">
        <v>1.109</v>
      </c>
      <c r="L7152">
        <v>23</v>
      </c>
      <c r="M7152">
        <v>7</v>
      </c>
      <c r="N7152">
        <v>16</v>
      </c>
      <c r="O7152">
        <v>79.524000000000001</v>
      </c>
      <c r="P7152">
        <v>0.56011588800000001</v>
      </c>
      <c r="Q7152">
        <v>11.474</v>
      </c>
    </row>
    <row r="7153" spans="1:17" x14ac:dyDescent="0.2">
      <c r="A7153" s="30" t="str">
        <f>IF(C7153&amp;G7153&amp;D7153&lt;&gt;'Funnel setup'!$K$3&amp;'Funnel setup'!$K$4&amp;'Funnel setup'!$K$5,".",IF(A7152=".",1,A7152+1))</f>
        <v>.</v>
      </c>
      <c r="B7153" s="431" t="str">
        <f t="shared" si="111"/>
        <v>Varicose VeinProviderTAMESIDE HOSPITAL NHS FOUNDATION TRUST (RMP)EQ VAS</v>
      </c>
      <c r="C7153" t="s">
        <v>17</v>
      </c>
      <c r="D7153" t="s">
        <v>1</v>
      </c>
      <c r="E7153" t="s">
        <v>3148</v>
      </c>
      <c r="F7153" t="s">
        <v>3149</v>
      </c>
      <c r="G7153" t="s">
        <v>179</v>
      </c>
      <c r="H7153">
        <v>27</v>
      </c>
      <c r="I7153">
        <v>74.332999999999998</v>
      </c>
      <c r="J7153">
        <v>71.147999999999996</v>
      </c>
      <c r="K7153">
        <v>-3.1850000000000001</v>
      </c>
      <c r="L7153">
        <v>9</v>
      </c>
      <c r="M7153">
        <v>4</v>
      </c>
      <c r="N7153">
        <v>14</v>
      </c>
      <c r="O7153" t="s">
        <v>53</v>
      </c>
      <c r="P7153" t="s">
        <v>53</v>
      </c>
      <c r="Q7153" t="s">
        <v>53</v>
      </c>
    </row>
    <row r="7154" spans="1:17" x14ac:dyDescent="0.2">
      <c r="A7154" s="30" t="str">
        <f>IF(C7154&amp;G7154&amp;D7154&lt;&gt;'Funnel setup'!$K$3&amp;'Funnel setup'!$K$4&amp;'Funnel setup'!$K$5,".",IF(A7153=".",1,A7153+1))</f>
        <v>.</v>
      </c>
      <c r="B7154" s="431" t="str">
        <f t="shared" si="111"/>
        <v>Varicose VeinProviderTAUNTON AND SOMERSET NHS FOUNDATION TRUST (RBA)EQ VAS</v>
      </c>
      <c r="C7154" t="s">
        <v>17</v>
      </c>
      <c r="D7154" t="s">
        <v>1</v>
      </c>
      <c r="E7154" t="s">
        <v>3151</v>
      </c>
      <c r="F7154" t="s">
        <v>3152</v>
      </c>
      <c r="G7154" t="s">
        <v>179</v>
      </c>
      <c r="H7154">
        <v>78</v>
      </c>
      <c r="I7154">
        <v>78.204999999999998</v>
      </c>
      <c r="J7154">
        <v>78.858999999999995</v>
      </c>
      <c r="K7154">
        <v>0.65400000000000003</v>
      </c>
      <c r="L7154">
        <v>34</v>
      </c>
      <c r="M7154">
        <v>16</v>
      </c>
      <c r="N7154">
        <v>28</v>
      </c>
      <c r="O7154">
        <v>79.683999999999997</v>
      </c>
      <c r="P7154">
        <v>0.71992094200000001</v>
      </c>
      <c r="Q7154">
        <v>12.983000000000001</v>
      </c>
    </row>
    <row r="7155" spans="1:17" x14ac:dyDescent="0.2">
      <c r="A7155" s="30" t="str">
        <f>IF(C7155&amp;G7155&amp;D7155&lt;&gt;'Funnel setup'!$K$3&amp;'Funnel setup'!$K$4&amp;'Funnel setup'!$K$5,".",IF(A7154=".",1,A7154+1))</f>
        <v>.</v>
      </c>
      <c r="B7155" s="431" t="str">
        <f t="shared" si="111"/>
        <v>Varicose VeinProviderTEES VALLEY TREATMENT CENTRE (NVC35)EQ VAS</v>
      </c>
      <c r="C7155" t="s">
        <v>17</v>
      </c>
      <c r="D7155" t="s">
        <v>1</v>
      </c>
      <c r="E7155" t="s">
        <v>3112</v>
      </c>
      <c r="F7155" t="s">
        <v>3113</v>
      </c>
      <c r="G7155" t="s">
        <v>179</v>
      </c>
      <c r="H7155">
        <v>11</v>
      </c>
      <c r="I7155">
        <v>81.635999999999996</v>
      </c>
      <c r="J7155">
        <v>87.635999999999996</v>
      </c>
      <c r="K7155">
        <v>6</v>
      </c>
      <c r="L7155">
        <v>6</v>
      </c>
      <c r="M7155">
        <v>5</v>
      </c>
      <c r="N7155">
        <v>0</v>
      </c>
      <c r="O7155" t="s">
        <v>53</v>
      </c>
      <c r="P7155" t="s">
        <v>53</v>
      </c>
      <c r="Q7155" t="s">
        <v>53</v>
      </c>
    </row>
    <row r="7156" spans="1:17" x14ac:dyDescent="0.2">
      <c r="A7156" s="30" t="str">
        <f>IF(C7156&amp;G7156&amp;D7156&lt;&gt;'Funnel setup'!$K$3&amp;'Funnel setup'!$K$4&amp;'Funnel setup'!$K$5,".",IF(A7155=".",1,A7155+1))</f>
        <v>.</v>
      </c>
      <c r="B7156" s="431" t="str">
        <f t="shared" si="111"/>
        <v>Varicose VeinProviderTHE DUDLEY GROUP NHS FOUNDATION TRUST (RNA)EQ VAS</v>
      </c>
      <c r="C7156" t="s">
        <v>17</v>
      </c>
      <c r="D7156" t="s">
        <v>1</v>
      </c>
      <c r="E7156" t="s">
        <v>3121</v>
      </c>
      <c r="F7156" t="s">
        <v>3122</v>
      </c>
      <c r="G7156" t="s">
        <v>179</v>
      </c>
      <c r="H7156">
        <v>133</v>
      </c>
      <c r="I7156">
        <v>79.241</v>
      </c>
      <c r="J7156">
        <v>77.022999999999996</v>
      </c>
      <c r="K7156">
        <v>-2.218</v>
      </c>
      <c r="L7156">
        <v>40</v>
      </c>
      <c r="M7156">
        <v>27</v>
      </c>
      <c r="N7156">
        <v>66</v>
      </c>
      <c r="O7156">
        <v>77.117000000000004</v>
      </c>
      <c r="P7156">
        <v>-1.8473344199999999</v>
      </c>
      <c r="Q7156">
        <v>12.414999999999999</v>
      </c>
    </row>
    <row r="7157" spans="1:17" x14ac:dyDescent="0.2">
      <c r="A7157" s="30" t="str">
        <f>IF(C7157&amp;G7157&amp;D7157&lt;&gt;'Funnel setup'!$K$3&amp;'Funnel setup'!$K$4&amp;'Funnel setup'!$K$5,".",IF(A7156=".",1,A7156+1))</f>
        <v>.</v>
      </c>
      <c r="B7157" s="431" t="str">
        <f t="shared" si="111"/>
        <v>Varicose VeinProviderTHE HILLINGDON HOSPITALS NHS FOUNDATION TRUST (RAS)EQ VAS</v>
      </c>
      <c r="C7157" t="s">
        <v>17</v>
      </c>
      <c r="D7157" t="s">
        <v>1</v>
      </c>
      <c r="E7157" t="s">
        <v>3115</v>
      </c>
      <c r="F7157" t="s">
        <v>3116</v>
      </c>
      <c r="G7157" t="s">
        <v>179</v>
      </c>
      <c r="H7157">
        <v>14</v>
      </c>
      <c r="I7157">
        <v>73.929000000000002</v>
      </c>
      <c r="J7157">
        <v>77.570999999999998</v>
      </c>
      <c r="K7157">
        <v>3.6429999999999998</v>
      </c>
      <c r="L7157">
        <v>6</v>
      </c>
      <c r="M7157">
        <v>3</v>
      </c>
      <c r="N7157">
        <v>5</v>
      </c>
      <c r="O7157" t="s">
        <v>53</v>
      </c>
      <c r="P7157" t="s">
        <v>53</v>
      </c>
      <c r="Q7157" t="s">
        <v>53</v>
      </c>
    </row>
    <row r="7158" spans="1:17" x14ac:dyDescent="0.2">
      <c r="A7158" s="30" t="str">
        <f>IF(C7158&amp;G7158&amp;D7158&lt;&gt;'Funnel setup'!$K$3&amp;'Funnel setup'!$K$4&amp;'Funnel setup'!$K$5,".",IF(A7157=".",1,A7157+1))</f>
        <v>.</v>
      </c>
      <c r="B7158" s="431" t="str">
        <f t="shared" si="111"/>
        <v>Varicose VeinProviderTHE NEWCASTLE UPON TYNE HOSPITALS NHS FOUNDATION TRUST (RTD)EQ VAS</v>
      </c>
      <c r="C7158" t="s">
        <v>17</v>
      </c>
      <c r="D7158" t="s">
        <v>1</v>
      </c>
      <c r="E7158" t="s">
        <v>3748</v>
      </c>
      <c r="F7158" t="s">
        <v>3749</v>
      </c>
      <c r="G7158" t="s">
        <v>179</v>
      </c>
      <c r="H7158">
        <v>180</v>
      </c>
      <c r="I7158">
        <v>78.983000000000004</v>
      </c>
      <c r="J7158">
        <v>77.733000000000004</v>
      </c>
      <c r="K7158">
        <v>-1.25</v>
      </c>
      <c r="L7158">
        <v>63</v>
      </c>
      <c r="M7158">
        <v>40</v>
      </c>
      <c r="N7158">
        <v>77</v>
      </c>
      <c r="O7158">
        <v>77.408000000000001</v>
      </c>
      <c r="P7158">
        <v>-1.5563763319999999</v>
      </c>
      <c r="Q7158">
        <v>14.894</v>
      </c>
    </row>
    <row r="7159" spans="1:17" x14ac:dyDescent="0.2">
      <c r="A7159" s="30" t="str">
        <f>IF(C7159&amp;G7159&amp;D7159&lt;&gt;'Funnel setup'!$K$3&amp;'Funnel setup'!$K$4&amp;'Funnel setup'!$K$5,".",IF(A7158=".",1,A7158+1))</f>
        <v>.</v>
      </c>
      <c r="B7159" s="431" t="str">
        <f t="shared" si="111"/>
        <v>Varicose VeinProviderTHE PRINCESS ALEXANDRA HOSPITAL NHS TRUST (RQW)EQ VAS</v>
      </c>
      <c r="C7159" t="s">
        <v>17</v>
      </c>
      <c r="D7159" t="s">
        <v>1</v>
      </c>
      <c r="E7159" t="s">
        <v>3751</v>
      </c>
      <c r="F7159" t="s">
        <v>3752</v>
      </c>
      <c r="G7159" t="s">
        <v>179</v>
      </c>
      <c r="H7159">
        <v>23</v>
      </c>
      <c r="I7159">
        <v>75.435000000000002</v>
      </c>
      <c r="J7159">
        <v>69.956999999999994</v>
      </c>
      <c r="K7159">
        <v>-5.4779999999999998</v>
      </c>
      <c r="L7159">
        <v>9</v>
      </c>
      <c r="M7159">
        <v>4</v>
      </c>
      <c r="N7159">
        <v>10</v>
      </c>
      <c r="O7159" t="s">
        <v>53</v>
      </c>
      <c r="P7159" t="s">
        <v>53</v>
      </c>
      <c r="Q7159" t="s">
        <v>53</v>
      </c>
    </row>
    <row r="7160" spans="1:17" x14ac:dyDescent="0.2">
      <c r="A7160" s="30" t="str">
        <f>IF(C7160&amp;G7160&amp;D7160&lt;&gt;'Funnel setup'!$K$3&amp;'Funnel setup'!$K$4&amp;'Funnel setup'!$K$5,".",IF(A7159=".",1,A7159+1))</f>
        <v>.</v>
      </c>
      <c r="B7160" s="431" t="str">
        <f t="shared" si="111"/>
        <v>Varicose VeinProviderTHE QUEEN ELIZABETH HOSPITAL, KING'S LYNN, NHS FOUNDATION TRUST (RCX)EQ VAS</v>
      </c>
      <c r="C7160" t="s">
        <v>17</v>
      </c>
      <c r="D7160" t="s">
        <v>1</v>
      </c>
      <c r="E7160" t="s">
        <v>3754</v>
      </c>
      <c r="F7160" t="s">
        <v>3755</v>
      </c>
      <c r="G7160" t="s">
        <v>179</v>
      </c>
      <c r="H7160">
        <v>17</v>
      </c>
      <c r="I7160">
        <v>70.471000000000004</v>
      </c>
      <c r="J7160">
        <v>78.176000000000002</v>
      </c>
      <c r="K7160">
        <v>7.7060000000000004</v>
      </c>
      <c r="L7160">
        <v>7</v>
      </c>
      <c r="M7160">
        <v>3</v>
      </c>
      <c r="N7160">
        <v>7</v>
      </c>
      <c r="O7160" t="s">
        <v>53</v>
      </c>
      <c r="P7160" t="s">
        <v>53</v>
      </c>
      <c r="Q7160" t="s">
        <v>53</v>
      </c>
    </row>
    <row r="7161" spans="1:17" x14ac:dyDescent="0.2">
      <c r="A7161" s="30" t="str">
        <f>IF(C7161&amp;G7161&amp;D7161&lt;&gt;'Funnel setup'!$K$3&amp;'Funnel setup'!$K$4&amp;'Funnel setup'!$K$5,".",IF(A7160=".",1,A7160+1))</f>
        <v>.</v>
      </c>
      <c r="B7161" s="431" t="str">
        <f t="shared" si="111"/>
        <v>Varicose VeinProviderTHE ROTHERHAM NHS FOUNDATION TRUST (RFR)EQ VAS</v>
      </c>
      <c r="C7161" t="s">
        <v>17</v>
      </c>
      <c r="D7161" t="s">
        <v>1</v>
      </c>
      <c r="E7161" t="s">
        <v>3739</v>
      </c>
      <c r="F7161" t="s">
        <v>3740</v>
      </c>
      <c r="G7161" t="s">
        <v>179</v>
      </c>
      <c r="H7161">
        <v>7</v>
      </c>
      <c r="I7161">
        <v>89.286000000000001</v>
      </c>
      <c r="J7161">
        <v>89.286000000000001</v>
      </c>
      <c r="K7161">
        <v>0</v>
      </c>
      <c r="L7161">
        <v>2</v>
      </c>
      <c r="M7161">
        <v>3</v>
      </c>
      <c r="N7161">
        <v>2</v>
      </c>
      <c r="O7161" t="s">
        <v>53</v>
      </c>
      <c r="P7161" t="s">
        <v>53</v>
      </c>
      <c r="Q7161" t="s">
        <v>53</v>
      </c>
    </row>
    <row r="7162" spans="1:17" x14ac:dyDescent="0.2">
      <c r="A7162" s="30" t="str">
        <f>IF(C7162&amp;G7162&amp;D7162&lt;&gt;'Funnel setup'!$K$3&amp;'Funnel setup'!$K$4&amp;'Funnel setup'!$K$5,".",IF(A7161=".",1,A7161+1))</f>
        <v>.</v>
      </c>
      <c r="B7162" s="431" t="str">
        <f t="shared" si="111"/>
        <v>Varicose VeinProviderTHE ROYAL BOURNEMOUTH AND CHRISTCHURCH HOSPITALS NHS FOUNDATION TRUST (RDZ)EQ VAS</v>
      </c>
      <c r="C7162" t="s">
        <v>17</v>
      </c>
      <c r="D7162" t="s">
        <v>1</v>
      </c>
      <c r="E7162" t="s">
        <v>3742</v>
      </c>
      <c r="F7162" t="s">
        <v>3743</v>
      </c>
      <c r="G7162" t="s">
        <v>179</v>
      </c>
      <c r="H7162" t="s">
        <v>53</v>
      </c>
      <c r="I7162" t="s">
        <v>53</v>
      </c>
      <c r="J7162" t="s">
        <v>53</v>
      </c>
      <c r="K7162" t="s">
        <v>53</v>
      </c>
      <c r="L7162" t="s">
        <v>53</v>
      </c>
      <c r="M7162" t="s">
        <v>53</v>
      </c>
      <c r="N7162" t="s">
        <v>53</v>
      </c>
      <c r="O7162" t="s">
        <v>53</v>
      </c>
      <c r="P7162" t="s">
        <v>53</v>
      </c>
      <c r="Q7162" t="s">
        <v>53</v>
      </c>
    </row>
    <row r="7163" spans="1:17" x14ac:dyDescent="0.2">
      <c r="A7163" s="30" t="str">
        <f>IF(C7163&amp;G7163&amp;D7163&lt;&gt;'Funnel setup'!$K$3&amp;'Funnel setup'!$K$4&amp;'Funnel setup'!$K$5,".",IF(A7162=".",1,A7162+1))</f>
        <v>.</v>
      </c>
      <c r="B7163" s="431" t="str">
        <f t="shared" si="111"/>
        <v>Varicose VeinProviderTHE ROYAL WOLVERHAMPTON NHS TRUST (RL4)EQ VAS</v>
      </c>
      <c r="C7163" t="s">
        <v>17</v>
      </c>
      <c r="D7163" t="s">
        <v>1</v>
      </c>
      <c r="E7163" t="s">
        <v>3382</v>
      </c>
      <c r="F7163" t="s">
        <v>3383</v>
      </c>
      <c r="G7163" t="s">
        <v>179</v>
      </c>
      <c r="H7163">
        <v>76</v>
      </c>
      <c r="I7163">
        <v>74.658000000000001</v>
      </c>
      <c r="J7163">
        <v>78.025999999999996</v>
      </c>
      <c r="K7163">
        <v>3.3679999999999999</v>
      </c>
      <c r="L7163">
        <v>40</v>
      </c>
      <c r="M7163">
        <v>12</v>
      </c>
      <c r="N7163">
        <v>24</v>
      </c>
      <c r="O7163">
        <v>81.13</v>
      </c>
      <c r="P7163">
        <v>2.1660579250000001</v>
      </c>
      <c r="Q7163">
        <v>12.246</v>
      </c>
    </row>
    <row r="7164" spans="1:17" x14ac:dyDescent="0.2">
      <c r="A7164" s="30" t="str">
        <f>IF(C7164&amp;G7164&amp;D7164&lt;&gt;'Funnel setup'!$K$3&amp;'Funnel setup'!$K$4&amp;'Funnel setup'!$K$5,".",IF(A7163=".",1,A7163+1))</f>
        <v>.</v>
      </c>
      <c r="B7164" s="431" t="str">
        <f t="shared" si="111"/>
        <v>Varicose VeinProviderTHE WESTBOURNE CENTRE (NVC44)EQ VAS</v>
      </c>
      <c r="C7164" t="s">
        <v>17</v>
      </c>
      <c r="D7164" t="s">
        <v>1</v>
      </c>
      <c r="E7164" t="s">
        <v>3775</v>
      </c>
      <c r="F7164" t="s">
        <v>3776</v>
      </c>
      <c r="G7164" t="s">
        <v>179</v>
      </c>
      <c r="H7164" t="s">
        <v>53</v>
      </c>
      <c r="I7164" t="s">
        <v>53</v>
      </c>
      <c r="J7164" t="s">
        <v>53</v>
      </c>
      <c r="K7164" t="s">
        <v>53</v>
      </c>
      <c r="L7164" t="s">
        <v>53</v>
      </c>
      <c r="M7164" t="s">
        <v>53</v>
      </c>
      <c r="N7164" t="s">
        <v>53</v>
      </c>
      <c r="O7164" t="s">
        <v>53</v>
      </c>
      <c r="P7164" t="s">
        <v>53</v>
      </c>
      <c r="Q7164" t="s">
        <v>53</v>
      </c>
    </row>
    <row r="7165" spans="1:17" x14ac:dyDescent="0.2">
      <c r="A7165" s="30" t="str">
        <f>IF(C7165&amp;G7165&amp;D7165&lt;&gt;'Funnel setup'!$K$3&amp;'Funnel setup'!$K$4&amp;'Funnel setup'!$K$5,".",IF(A7164=".",1,A7164+1))</f>
        <v>.</v>
      </c>
      <c r="B7165" s="431" t="str">
        <f t="shared" si="111"/>
        <v>Varicose VeinProviderTORBAY AND SOUTH DEVON NHS FOUNDATION TRUST (RA9)EQ VAS</v>
      </c>
      <c r="C7165" t="s">
        <v>17</v>
      </c>
      <c r="D7165" t="s">
        <v>1</v>
      </c>
      <c r="E7165" t="s">
        <v>3480</v>
      </c>
      <c r="F7165" t="s">
        <v>6584</v>
      </c>
      <c r="G7165" t="s">
        <v>179</v>
      </c>
      <c r="H7165" t="s">
        <v>53</v>
      </c>
      <c r="I7165" t="s">
        <v>53</v>
      </c>
      <c r="J7165" t="s">
        <v>53</v>
      </c>
      <c r="K7165" t="s">
        <v>53</v>
      </c>
      <c r="L7165" t="s">
        <v>53</v>
      </c>
      <c r="M7165" t="s">
        <v>53</v>
      </c>
      <c r="N7165" t="s">
        <v>53</v>
      </c>
      <c r="O7165" t="s">
        <v>53</v>
      </c>
      <c r="P7165" t="s">
        <v>53</v>
      </c>
      <c r="Q7165" t="s">
        <v>53</v>
      </c>
    </row>
    <row r="7166" spans="1:17" x14ac:dyDescent="0.2">
      <c r="A7166" s="30" t="str">
        <f>IF(C7166&amp;G7166&amp;D7166&lt;&gt;'Funnel setup'!$K$3&amp;'Funnel setup'!$K$4&amp;'Funnel setup'!$K$5,".",IF(A7165=".",1,A7165+1))</f>
        <v>.</v>
      </c>
      <c r="B7166" s="431" t="str">
        <f t="shared" si="111"/>
        <v>Varicose VeinProviderTYNESIDE SURGICAL SERVICES AT THE NORTH EAST NHS SURGERY CENTRE (NN401)EQ VAS</v>
      </c>
      <c r="C7166" t="s">
        <v>17</v>
      </c>
      <c r="D7166" t="s">
        <v>1</v>
      </c>
      <c r="E7166" t="s">
        <v>4506</v>
      </c>
      <c r="F7166" t="s">
        <v>4507</v>
      </c>
      <c r="G7166" t="s">
        <v>179</v>
      </c>
      <c r="H7166" t="s">
        <v>53</v>
      </c>
      <c r="I7166" t="s">
        <v>53</v>
      </c>
      <c r="J7166" t="s">
        <v>53</v>
      </c>
      <c r="K7166" t="s">
        <v>53</v>
      </c>
      <c r="L7166" t="s">
        <v>53</v>
      </c>
      <c r="M7166" t="s">
        <v>53</v>
      </c>
      <c r="N7166" t="s">
        <v>53</v>
      </c>
      <c r="O7166" t="s">
        <v>53</v>
      </c>
      <c r="P7166" t="s">
        <v>53</v>
      </c>
      <c r="Q7166" t="s">
        <v>53</v>
      </c>
    </row>
    <row r="7167" spans="1:17" x14ac:dyDescent="0.2">
      <c r="A7167" s="30" t="str">
        <f>IF(C7167&amp;G7167&amp;D7167&lt;&gt;'Funnel setup'!$K$3&amp;'Funnel setup'!$K$4&amp;'Funnel setup'!$K$5,".",IF(A7166=".",1,A7166+1))</f>
        <v>.</v>
      </c>
      <c r="B7167" s="431" t="str">
        <f t="shared" si="111"/>
        <v>Varicose VeinProviderUNITED LINCOLNSHIRE HOSPITALS NHS TRUST (RWD)EQ VAS</v>
      </c>
      <c r="C7167" t="s">
        <v>17</v>
      </c>
      <c r="D7167" t="s">
        <v>1</v>
      </c>
      <c r="E7167" t="s">
        <v>3763</v>
      </c>
      <c r="F7167" t="s">
        <v>3764</v>
      </c>
      <c r="G7167" t="s">
        <v>179</v>
      </c>
      <c r="H7167">
        <v>39</v>
      </c>
      <c r="I7167">
        <v>76.513000000000005</v>
      </c>
      <c r="J7167">
        <v>72.051000000000002</v>
      </c>
      <c r="K7167">
        <v>-4.4619999999999997</v>
      </c>
      <c r="L7167">
        <v>15</v>
      </c>
      <c r="M7167">
        <v>8</v>
      </c>
      <c r="N7167">
        <v>16</v>
      </c>
      <c r="O7167">
        <v>76.072000000000003</v>
      </c>
      <c r="P7167">
        <v>-2.892474886</v>
      </c>
      <c r="Q7167">
        <v>15.646000000000001</v>
      </c>
    </row>
    <row r="7168" spans="1:17" x14ac:dyDescent="0.2">
      <c r="A7168" s="30" t="str">
        <f>IF(C7168&amp;G7168&amp;D7168&lt;&gt;'Funnel setup'!$K$3&amp;'Funnel setup'!$K$4&amp;'Funnel setup'!$K$5,".",IF(A7167=".",1,A7167+1))</f>
        <v>.</v>
      </c>
      <c r="B7168" s="431" t="str">
        <f t="shared" si="111"/>
        <v>Varicose VeinProviderUNIVERSITY COLLEGE LONDON HOSPITALS NHS FOUNDATION TRUST (RRV)EQ VAS</v>
      </c>
      <c r="C7168" t="s">
        <v>17</v>
      </c>
      <c r="D7168" t="s">
        <v>1</v>
      </c>
      <c r="E7168" t="s">
        <v>3766</v>
      </c>
      <c r="F7168" t="s">
        <v>3767</v>
      </c>
      <c r="G7168" t="s">
        <v>179</v>
      </c>
      <c r="H7168">
        <v>59</v>
      </c>
      <c r="I7168">
        <v>81.525000000000006</v>
      </c>
      <c r="J7168">
        <v>79.305000000000007</v>
      </c>
      <c r="K7168">
        <v>-2.2200000000000002</v>
      </c>
      <c r="L7168">
        <v>24</v>
      </c>
      <c r="M7168">
        <v>11</v>
      </c>
      <c r="N7168">
        <v>24</v>
      </c>
      <c r="O7168">
        <v>79.081000000000003</v>
      </c>
      <c r="P7168">
        <v>0.116899222</v>
      </c>
      <c r="Q7168">
        <v>14.298</v>
      </c>
    </row>
    <row r="7169" spans="1:17" x14ac:dyDescent="0.2">
      <c r="A7169" s="30" t="str">
        <f>IF(C7169&amp;G7169&amp;D7169&lt;&gt;'Funnel setup'!$K$3&amp;'Funnel setup'!$K$4&amp;'Funnel setup'!$K$5,".",IF(A7168=".",1,A7168+1))</f>
        <v>.</v>
      </c>
      <c r="B7169" s="431" t="str">
        <f t="shared" si="111"/>
        <v>Varicose VeinProviderUNIVERSITY HOSPITAL OF SOUTH MANCHESTER NHS FOUNDATION TRUST (RM2)EQ VAS</v>
      </c>
      <c r="C7169" t="s">
        <v>17</v>
      </c>
      <c r="D7169" t="s">
        <v>1</v>
      </c>
      <c r="E7169" t="s">
        <v>3769</v>
      </c>
      <c r="F7169" t="s">
        <v>3770</v>
      </c>
      <c r="G7169" t="s">
        <v>179</v>
      </c>
      <c r="H7169">
        <v>108</v>
      </c>
      <c r="I7169">
        <v>81.009</v>
      </c>
      <c r="J7169">
        <v>80.88</v>
      </c>
      <c r="K7169">
        <v>-0.13</v>
      </c>
      <c r="L7169">
        <v>48</v>
      </c>
      <c r="M7169">
        <v>20</v>
      </c>
      <c r="N7169">
        <v>40</v>
      </c>
      <c r="O7169">
        <v>78.575000000000003</v>
      </c>
      <c r="P7169">
        <v>-0.38898353299999999</v>
      </c>
      <c r="Q7169">
        <v>11.347</v>
      </c>
    </row>
    <row r="7170" spans="1:17" x14ac:dyDescent="0.2">
      <c r="A7170" s="30" t="str">
        <f>IF(C7170&amp;G7170&amp;D7170&lt;&gt;'Funnel setup'!$K$3&amp;'Funnel setup'!$K$4&amp;'Funnel setup'!$K$5,".",IF(A7169=".",1,A7169+1))</f>
        <v>.</v>
      </c>
      <c r="B7170" s="431" t="str">
        <f t="shared" si="111"/>
        <v>Varicose VeinProviderUNIVERSITY HOSPITALS BIRMINGHAM NHS FOUNDATION TRUST (RRK)EQ VAS</v>
      </c>
      <c r="C7170" t="s">
        <v>17</v>
      </c>
      <c r="D7170" t="s">
        <v>1</v>
      </c>
      <c r="E7170" t="s">
        <v>3778</v>
      </c>
      <c r="F7170" t="s">
        <v>3779</v>
      </c>
      <c r="G7170" t="s">
        <v>179</v>
      </c>
      <c r="H7170">
        <v>12</v>
      </c>
      <c r="I7170">
        <v>73.667000000000002</v>
      </c>
      <c r="J7170">
        <v>81</v>
      </c>
      <c r="K7170">
        <v>7.3330000000000002</v>
      </c>
      <c r="L7170">
        <v>6</v>
      </c>
      <c r="M7170">
        <v>0</v>
      </c>
      <c r="N7170">
        <v>6</v>
      </c>
      <c r="O7170" t="s">
        <v>53</v>
      </c>
      <c r="P7170" t="s">
        <v>53</v>
      </c>
      <c r="Q7170" t="s">
        <v>53</v>
      </c>
    </row>
    <row r="7171" spans="1:17" x14ac:dyDescent="0.2">
      <c r="A7171" s="30" t="str">
        <f>IF(C7171&amp;G7171&amp;D7171&lt;&gt;'Funnel setup'!$K$3&amp;'Funnel setup'!$K$4&amp;'Funnel setup'!$K$5,".",IF(A7170=".",1,A7170+1))</f>
        <v>.</v>
      </c>
      <c r="B7171" s="431" t="str">
        <f t="shared" ref="B7171:B7234" si="112">C7171&amp;D7171&amp;F7171&amp;G7171</f>
        <v>Varicose VeinProviderUNIVERSITY HOSPITALS BRISTOL NHS FOUNDATION TRUST (RA7)EQ VAS</v>
      </c>
      <c r="C7171" t="s">
        <v>17</v>
      </c>
      <c r="D7171" t="s">
        <v>1</v>
      </c>
      <c r="E7171" t="s">
        <v>3835</v>
      </c>
      <c r="F7171" t="s">
        <v>3836</v>
      </c>
      <c r="G7171" t="s">
        <v>179</v>
      </c>
      <c r="H7171" t="s">
        <v>53</v>
      </c>
      <c r="I7171" t="s">
        <v>53</v>
      </c>
      <c r="J7171" t="s">
        <v>53</v>
      </c>
      <c r="K7171" t="s">
        <v>53</v>
      </c>
      <c r="L7171" t="s">
        <v>53</v>
      </c>
      <c r="M7171" t="s">
        <v>53</v>
      </c>
      <c r="N7171" t="s">
        <v>53</v>
      </c>
      <c r="O7171" t="s">
        <v>53</v>
      </c>
      <c r="P7171" t="s">
        <v>53</v>
      </c>
      <c r="Q7171" t="s">
        <v>53</v>
      </c>
    </row>
    <row r="7172" spans="1:17" x14ac:dyDescent="0.2">
      <c r="A7172" s="30" t="str">
        <f>IF(C7172&amp;G7172&amp;D7172&lt;&gt;'Funnel setup'!$K$3&amp;'Funnel setup'!$K$4&amp;'Funnel setup'!$K$5,".",IF(A7171=".",1,A7171+1))</f>
        <v>.</v>
      </c>
      <c r="B7172" s="431" t="str">
        <f t="shared" si="112"/>
        <v>Varicose VeinProviderUNIVERSITY HOSPITALS COVENTRY AND WARWICKSHIRE NHS TRUST (RKB)EQ VAS</v>
      </c>
      <c r="C7172" t="s">
        <v>17</v>
      </c>
      <c r="D7172" t="s">
        <v>1</v>
      </c>
      <c r="E7172" t="s">
        <v>3715</v>
      </c>
      <c r="F7172" t="s">
        <v>3716</v>
      </c>
      <c r="G7172" t="s">
        <v>179</v>
      </c>
      <c r="H7172">
        <v>10</v>
      </c>
      <c r="I7172">
        <v>86.7</v>
      </c>
      <c r="J7172">
        <v>81.099999999999994</v>
      </c>
      <c r="K7172">
        <v>-5.6</v>
      </c>
      <c r="L7172">
        <v>0</v>
      </c>
      <c r="M7172">
        <v>4</v>
      </c>
      <c r="N7172">
        <v>6</v>
      </c>
      <c r="O7172" t="s">
        <v>53</v>
      </c>
      <c r="P7172" t="s">
        <v>53</v>
      </c>
      <c r="Q7172" t="s">
        <v>53</v>
      </c>
    </row>
    <row r="7173" spans="1:17" x14ac:dyDescent="0.2">
      <c r="A7173" s="30" t="str">
        <f>IF(C7173&amp;G7173&amp;D7173&lt;&gt;'Funnel setup'!$K$3&amp;'Funnel setup'!$K$4&amp;'Funnel setup'!$K$5,".",IF(A7172=".",1,A7172+1))</f>
        <v>.</v>
      </c>
      <c r="B7173" s="431" t="str">
        <f t="shared" si="112"/>
        <v>Varicose VeinProviderUNIVERSITY HOSPITALS OF LEICESTER NHS TRUST (RWE)EQ VAS</v>
      </c>
      <c r="C7173" t="s">
        <v>17</v>
      </c>
      <c r="D7173" t="s">
        <v>1</v>
      </c>
      <c r="E7173" t="s">
        <v>3718</v>
      </c>
      <c r="F7173" t="s">
        <v>3719</v>
      </c>
      <c r="G7173" t="s">
        <v>179</v>
      </c>
      <c r="H7173">
        <v>48</v>
      </c>
      <c r="I7173">
        <v>75.603999999999999</v>
      </c>
      <c r="J7173">
        <v>75.103999999999999</v>
      </c>
      <c r="K7173">
        <v>-0.5</v>
      </c>
      <c r="L7173">
        <v>20</v>
      </c>
      <c r="M7173">
        <v>12</v>
      </c>
      <c r="N7173">
        <v>16</v>
      </c>
      <c r="O7173">
        <v>77.046999999999997</v>
      </c>
      <c r="P7173">
        <v>-1.9166523559999999</v>
      </c>
      <c r="Q7173">
        <v>15.518000000000001</v>
      </c>
    </row>
    <row r="7174" spans="1:17" x14ac:dyDescent="0.2">
      <c r="A7174" s="30" t="str">
        <f>IF(C7174&amp;G7174&amp;D7174&lt;&gt;'Funnel setup'!$K$3&amp;'Funnel setup'!$K$4&amp;'Funnel setup'!$K$5,".",IF(A7173=".",1,A7173+1))</f>
        <v>.</v>
      </c>
      <c r="B7174" s="431" t="str">
        <f t="shared" si="112"/>
        <v>Varicose VeinProviderUNIVERSITY HOSPITALS OF MORECAMBE BAY NHS FOUNDATION TRUST (RTX)EQ VAS</v>
      </c>
      <c r="C7174" t="s">
        <v>17</v>
      </c>
      <c r="D7174" t="s">
        <v>1</v>
      </c>
      <c r="E7174" t="s">
        <v>3721</v>
      </c>
      <c r="F7174" t="s">
        <v>3722</v>
      </c>
      <c r="G7174" t="s">
        <v>179</v>
      </c>
      <c r="H7174">
        <v>27</v>
      </c>
      <c r="I7174">
        <v>83.332999999999998</v>
      </c>
      <c r="J7174">
        <v>80.962999999999994</v>
      </c>
      <c r="K7174">
        <v>-2.37</v>
      </c>
      <c r="L7174">
        <v>11</v>
      </c>
      <c r="M7174">
        <v>4</v>
      </c>
      <c r="N7174">
        <v>12</v>
      </c>
      <c r="O7174" t="s">
        <v>53</v>
      </c>
      <c r="P7174" t="s">
        <v>53</v>
      </c>
      <c r="Q7174" t="s">
        <v>53</v>
      </c>
    </row>
    <row r="7175" spans="1:17" x14ac:dyDescent="0.2">
      <c r="A7175" s="30" t="str">
        <f>IF(C7175&amp;G7175&amp;D7175&lt;&gt;'Funnel setup'!$K$3&amp;'Funnel setup'!$K$4&amp;'Funnel setup'!$K$5,".",IF(A7174=".",1,A7174+1))</f>
        <v>.</v>
      </c>
      <c r="B7175" s="431" t="str">
        <f t="shared" si="112"/>
        <v>Varicose VeinProviderUNIVERSITY HOSPITALS OF NORTH MIDLANDS NHS TRUST (RJE)EQ VAS</v>
      </c>
      <c r="C7175" t="s">
        <v>17</v>
      </c>
      <c r="D7175" t="s">
        <v>1</v>
      </c>
      <c r="E7175" t="s">
        <v>3724</v>
      </c>
      <c r="F7175" t="s">
        <v>3725</v>
      </c>
      <c r="G7175" t="s">
        <v>179</v>
      </c>
      <c r="H7175">
        <v>9</v>
      </c>
      <c r="I7175">
        <v>83.888999999999996</v>
      </c>
      <c r="J7175">
        <v>84.667000000000002</v>
      </c>
      <c r="K7175">
        <v>0.77800000000000002</v>
      </c>
      <c r="L7175">
        <v>4</v>
      </c>
      <c r="M7175">
        <v>0</v>
      </c>
      <c r="N7175">
        <v>5</v>
      </c>
      <c r="O7175" t="s">
        <v>53</v>
      </c>
      <c r="P7175" t="s">
        <v>53</v>
      </c>
      <c r="Q7175" t="s">
        <v>53</v>
      </c>
    </row>
    <row r="7176" spans="1:17" x14ac:dyDescent="0.2">
      <c r="A7176" s="30" t="str">
        <f>IF(C7176&amp;G7176&amp;D7176&lt;&gt;'Funnel setup'!$K$3&amp;'Funnel setup'!$K$4&amp;'Funnel setup'!$K$5,".",IF(A7175=".",1,A7175+1))</f>
        <v>.</v>
      </c>
      <c r="B7176" s="431" t="str">
        <f t="shared" si="112"/>
        <v>Varicose VeinProviderWALSALL HEALTHCARE NHS TRUST (RBK)EQ VAS</v>
      </c>
      <c r="C7176" t="s">
        <v>17</v>
      </c>
      <c r="D7176" t="s">
        <v>1</v>
      </c>
      <c r="E7176" t="s">
        <v>3727</v>
      </c>
      <c r="F7176" t="s">
        <v>3728</v>
      </c>
      <c r="G7176" t="s">
        <v>179</v>
      </c>
      <c r="H7176">
        <v>22</v>
      </c>
      <c r="I7176">
        <v>76.272999999999996</v>
      </c>
      <c r="J7176">
        <v>75</v>
      </c>
      <c r="K7176">
        <v>-1.2729999999999999</v>
      </c>
      <c r="L7176">
        <v>9</v>
      </c>
      <c r="M7176">
        <v>6</v>
      </c>
      <c r="N7176">
        <v>7</v>
      </c>
      <c r="O7176" t="s">
        <v>53</v>
      </c>
      <c r="P7176" t="s">
        <v>53</v>
      </c>
      <c r="Q7176" t="s">
        <v>53</v>
      </c>
    </row>
    <row r="7177" spans="1:17" x14ac:dyDescent="0.2">
      <c r="A7177" s="30" t="str">
        <f>IF(C7177&amp;G7177&amp;D7177&lt;&gt;'Funnel setup'!$K$3&amp;'Funnel setup'!$K$4&amp;'Funnel setup'!$K$5,".",IF(A7176=".",1,A7176+1))</f>
        <v>.</v>
      </c>
      <c r="B7177" s="431" t="str">
        <f t="shared" si="112"/>
        <v>Varicose VeinProviderWARRINGTON AND HALTON HOSPITALS NHS FOUNDATION TRUST (RWW)EQ VAS</v>
      </c>
      <c r="C7177" t="s">
        <v>17</v>
      </c>
      <c r="D7177" t="s">
        <v>1</v>
      </c>
      <c r="E7177" t="s">
        <v>3730</v>
      </c>
      <c r="F7177" t="s">
        <v>3731</v>
      </c>
      <c r="G7177" t="s">
        <v>179</v>
      </c>
      <c r="H7177">
        <v>13</v>
      </c>
      <c r="I7177">
        <v>77</v>
      </c>
      <c r="J7177">
        <v>80.691999999999993</v>
      </c>
      <c r="K7177">
        <v>3.6920000000000002</v>
      </c>
      <c r="L7177">
        <v>7</v>
      </c>
      <c r="M7177">
        <v>2</v>
      </c>
      <c r="N7177">
        <v>4</v>
      </c>
      <c r="O7177" t="s">
        <v>53</v>
      </c>
      <c r="P7177" t="s">
        <v>53</v>
      </c>
      <c r="Q7177" t="s">
        <v>53</v>
      </c>
    </row>
    <row r="7178" spans="1:17" x14ac:dyDescent="0.2">
      <c r="A7178" s="30" t="str">
        <f>IF(C7178&amp;G7178&amp;D7178&lt;&gt;'Funnel setup'!$K$3&amp;'Funnel setup'!$K$4&amp;'Funnel setup'!$K$5,".",IF(A7177=".",1,A7177+1))</f>
        <v>.</v>
      </c>
      <c r="B7178" s="431" t="str">
        <f t="shared" si="112"/>
        <v>Varicose VeinProviderWEST HERTFORDSHIRE HOSPITALS NHS TRUST (RWG)EQ VAS</v>
      </c>
      <c r="C7178" t="s">
        <v>17</v>
      </c>
      <c r="D7178" t="s">
        <v>1</v>
      </c>
      <c r="E7178" t="s">
        <v>3733</v>
      </c>
      <c r="F7178" t="s">
        <v>3734</v>
      </c>
      <c r="G7178" t="s">
        <v>179</v>
      </c>
      <c r="H7178">
        <v>94</v>
      </c>
      <c r="I7178">
        <v>76.17</v>
      </c>
      <c r="J7178">
        <v>77.83</v>
      </c>
      <c r="K7178">
        <v>1.66</v>
      </c>
      <c r="L7178">
        <v>46</v>
      </c>
      <c r="M7178">
        <v>16</v>
      </c>
      <c r="N7178">
        <v>32</v>
      </c>
      <c r="O7178">
        <v>78.12</v>
      </c>
      <c r="P7178">
        <v>-0.84364490800000003</v>
      </c>
      <c r="Q7178">
        <v>14.836</v>
      </c>
    </row>
    <row r="7179" spans="1:17" x14ac:dyDescent="0.2">
      <c r="A7179" s="30" t="str">
        <f>IF(C7179&amp;G7179&amp;D7179&lt;&gt;'Funnel setup'!$K$3&amp;'Funnel setup'!$K$4&amp;'Funnel setup'!$K$5,".",IF(A7178=".",1,A7178+1))</f>
        <v>.</v>
      </c>
      <c r="B7179" s="431" t="str">
        <f t="shared" si="112"/>
        <v>Varicose VeinProviderWEST SUFFOLK NHS FOUNDATION TRUST (RGR)EQ VAS</v>
      </c>
      <c r="C7179" t="s">
        <v>17</v>
      </c>
      <c r="D7179" t="s">
        <v>1</v>
      </c>
      <c r="E7179" t="s">
        <v>3712</v>
      </c>
      <c r="F7179" t="s">
        <v>3713</v>
      </c>
      <c r="G7179" t="s">
        <v>179</v>
      </c>
      <c r="H7179">
        <v>30</v>
      </c>
      <c r="I7179">
        <v>75.167000000000002</v>
      </c>
      <c r="J7179">
        <v>80.099999999999994</v>
      </c>
      <c r="K7179">
        <v>4.9329999999999998</v>
      </c>
      <c r="L7179">
        <v>15</v>
      </c>
      <c r="M7179">
        <v>7</v>
      </c>
      <c r="N7179">
        <v>8</v>
      </c>
      <c r="O7179">
        <v>81.281000000000006</v>
      </c>
      <c r="P7179">
        <v>2.3170752609999998</v>
      </c>
      <c r="Q7179">
        <v>7.9939999999999998</v>
      </c>
    </row>
    <row r="7180" spans="1:17" x14ac:dyDescent="0.2">
      <c r="A7180" s="30" t="str">
        <f>IF(C7180&amp;G7180&amp;D7180&lt;&gt;'Funnel setup'!$K$3&amp;'Funnel setup'!$K$4&amp;'Funnel setup'!$K$5,".",IF(A7179=".",1,A7179+1))</f>
        <v>.</v>
      </c>
      <c r="B7180" s="431" t="str">
        <f t="shared" si="112"/>
        <v>Varicose VeinProviderWESTERN SUSSEX HOSPITALS NHS FOUNDATION TRUST (RYR)EQ VAS</v>
      </c>
      <c r="C7180" t="s">
        <v>17</v>
      </c>
      <c r="D7180" t="s">
        <v>1</v>
      </c>
      <c r="E7180" t="s">
        <v>3706</v>
      </c>
      <c r="F7180" t="s">
        <v>3707</v>
      </c>
      <c r="G7180" t="s">
        <v>179</v>
      </c>
      <c r="H7180">
        <v>10</v>
      </c>
      <c r="I7180">
        <v>74.400000000000006</v>
      </c>
      <c r="J7180">
        <v>78.599999999999994</v>
      </c>
      <c r="K7180">
        <v>4.2</v>
      </c>
      <c r="L7180">
        <v>5</v>
      </c>
      <c r="M7180">
        <v>2</v>
      </c>
      <c r="N7180">
        <v>3</v>
      </c>
      <c r="O7180" t="s">
        <v>53</v>
      </c>
      <c r="P7180" t="s">
        <v>53</v>
      </c>
      <c r="Q7180" t="s">
        <v>53</v>
      </c>
    </row>
    <row r="7181" spans="1:17" x14ac:dyDescent="0.2">
      <c r="A7181" s="30" t="str">
        <f>IF(C7181&amp;G7181&amp;D7181&lt;&gt;'Funnel setup'!$K$3&amp;'Funnel setup'!$K$4&amp;'Funnel setup'!$K$5,".",IF(A7180=".",1,A7180+1))</f>
        <v>.</v>
      </c>
      <c r="B7181" s="431" t="str">
        <f t="shared" si="112"/>
        <v>Varicose VeinProviderWILL ADAMS NHS TREATMENT CENTRE (NTP16)EQ VAS</v>
      </c>
      <c r="C7181" t="s">
        <v>17</v>
      </c>
      <c r="D7181" t="s">
        <v>1</v>
      </c>
      <c r="E7181" t="s">
        <v>3531</v>
      </c>
      <c r="F7181" t="s">
        <v>3532</v>
      </c>
      <c r="G7181" t="s">
        <v>179</v>
      </c>
      <c r="H7181">
        <v>13</v>
      </c>
      <c r="I7181">
        <v>79.230999999999995</v>
      </c>
      <c r="J7181">
        <v>76.769000000000005</v>
      </c>
      <c r="K7181">
        <v>-2.4620000000000002</v>
      </c>
      <c r="L7181">
        <v>4</v>
      </c>
      <c r="M7181">
        <v>2</v>
      </c>
      <c r="N7181">
        <v>7</v>
      </c>
      <c r="O7181" t="s">
        <v>53</v>
      </c>
      <c r="P7181" t="s">
        <v>53</v>
      </c>
      <c r="Q7181" t="s">
        <v>53</v>
      </c>
    </row>
    <row r="7182" spans="1:17" x14ac:dyDescent="0.2">
      <c r="A7182" s="30" t="str">
        <f>IF(C7182&amp;G7182&amp;D7182&lt;&gt;'Funnel setup'!$K$3&amp;'Funnel setup'!$K$4&amp;'Funnel setup'!$K$5,".",IF(A7181=".",1,A7181+1))</f>
        <v>.</v>
      </c>
      <c r="B7182" s="431" t="str">
        <f t="shared" si="112"/>
        <v>Varicose VeinProviderWIRRAL UNIVERSITY TEACHING HOSPITAL NHS FOUNDATION TRUST (RBL)EQ VAS</v>
      </c>
      <c r="C7182" t="s">
        <v>17</v>
      </c>
      <c r="D7182" t="s">
        <v>1</v>
      </c>
      <c r="E7182" t="s">
        <v>3537</v>
      </c>
      <c r="F7182" t="s">
        <v>3538</v>
      </c>
      <c r="G7182" t="s">
        <v>179</v>
      </c>
      <c r="H7182">
        <v>46</v>
      </c>
      <c r="I7182">
        <v>81.174000000000007</v>
      </c>
      <c r="J7182">
        <v>78.260999999999996</v>
      </c>
      <c r="K7182">
        <v>-2.9129999999999998</v>
      </c>
      <c r="L7182">
        <v>18</v>
      </c>
      <c r="M7182">
        <v>9</v>
      </c>
      <c r="N7182">
        <v>19</v>
      </c>
      <c r="O7182">
        <v>77.323999999999998</v>
      </c>
      <c r="P7182">
        <v>-1.6396206390000001</v>
      </c>
      <c r="Q7182">
        <v>13.37</v>
      </c>
    </row>
    <row r="7183" spans="1:17" x14ac:dyDescent="0.2">
      <c r="A7183" s="30" t="str">
        <f>IF(C7183&amp;G7183&amp;D7183&lt;&gt;'Funnel setup'!$K$3&amp;'Funnel setup'!$K$4&amp;'Funnel setup'!$K$5,".",IF(A7182=".",1,A7182+1))</f>
        <v>.</v>
      </c>
      <c r="B7183" s="431" t="str">
        <f t="shared" si="112"/>
        <v>Varicose VeinProviderWORCESTERSHIRE ACUTE HOSPITALS NHS TRUST (RWP)EQ VAS</v>
      </c>
      <c r="C7183" t="s">
        <v>17</v>
      </c>
      <c r="D7183" t="s">
        <v>1</v>
      </c>
      <c r="E7183" t="s">
        <v>3543</v>
      </c>
      <c r="F7183" t="s">
        <v>3544</v>
      </c>
      <c r="G7183" t="s">
        <v>179</v>
      </c>
      <c r="H7183">
        <v>21</v>
      </c>
      <c r="I7183">
        <v>86.762</v>
      </c>
      <c r="J7183">
        <v>84.667000000000002</v>
      </c>
      <c r="K7183">
        <v>-2.0950000000000002</v>
      </c>
      <c r="L7183">
        <v>6</v>
      </c>
      <c r="M7183">
        <v>4</v>
      </c>
      <c r="N7183">
        <v>11</v>
      </c>
      <c r="O7183" t="s">
        <v>53</v>
      </c>
      <c r="P7183" t="s">
        <v>53</v>
      </c>
      <c r="Q7183" t="s">
        <v>53</v>
      </c>
    </row>
    <row r="7184" spans="1:17" x14ac:dyDescent="0.2">
      <c r="A7184" s="30" t="str">
        <f>IF(C7184&amp;G7184&amp;D7184&lt;&gt;'Funnel setup'!$K$3&amp;'Funnel setup'!$K$4&amp;'Funnel setup'!$K$5,".",IF(A7183=".",1,A7183+1))</f>
        <v>.</v>
      </c>
      <c r="B7184" s="431" t="str">
        <f t="shared" si="112"/>
        <v>Varicose VeinProviderWRIGHTINGTON, WIGAN AND LEIGH NHS FOUNDATION TRUST (RRF)EQ VAS</v>
      </c>
      <c r="C7184" t="s">
        <v>17</v>
      </c>
      <c r="D7184" t="s">
        <v>1</v>
      </c>
      <c r="E7184" t="s">
        <v>3546</v>
      </c>
      <c r="F7184" t="s">
        <v>3547</v>
      </c>
      <c r="G7184" t="s">
        <v>179</v>
      </c>
      <c r="H7184" t="s">
        <v>53</v>
      </c>
      <c r="I7184" t="s">
        <v>53</v>
      </c>
      <c r="J7184" t="s">
        <v>53</v>
      </c>
      <c r="K7184" t="s">
        <v>53</v>
      </c>
      <c r="L7184" t="s">
        <v>53</v>
      </c>
      <c r="M7184" t="s">
        <v>53</v>
      </c>
      <c r="N7184" t="s">
        <v>53</v>
      </c>
      <c r="O7184" t="s">
        <v>53</v>
      </c>
      <c r="P7184" t="s">
        <v>53</v>
      </c>
      <c r="Q7184" t="s">
        <v>53</v>
      </c>
    </row>
    <row r="7185" spans="1:17" x14ac:dyDescent="0.2">
      <c r="A7185" s="30" t="str">
        <f>IF(C7185&amp;G7185&amp;D7185&lt;&gt;'Funnel setup'!$K$3&amp;'Funnel setup'!$K$4&amp;'Funnel setup'!$K$5,".",IF(A7184=".",1,A7184+1))</f>
        <v>.</v>
      </c>
      <c r="B7185" s="431" t="str">
        <f t="shared" si="112"/>
        <v>Varicose VeinProviderWYE VALLEY NHS TRUST (RLQ)EQ VAS</v>
      </c>
      <c r="C7185" t="s">
        <v>17</v>
      </c>
      <c r="D7185" t="s">
        <v>1</v>
      </c>
      <c r="E7185" t="s">
        <v>3517</v>
      </c>
      <c r="F7185" t="s">
        <v>3518</v>
      </c>
      <c r="G7185" t="s">
        <v>179</v>
      </c>
      <c r="H7185">
        <v>38</v>
      </c>
      <c r="I7185">
        <v>85.974000000000004</v>
      </c>
      <c r="J7185">
        <v>81.525999999999996</v>
      </c>
      <c r="K7185">
        <v>-4.4470000000000001</v>
      </c>
      <c r="L7185">
        <v>17</v>
      </c>
      <c r="M7185">
        <v>6</v>
      </c>
      <c r="N7185">
        <v>15</v>
      </c>
      <c r="O7185">
        <v>77.989999999999995</v>
      </c>
      <c r="P7185">
        <v>-0.97420905999999996</v>
      </c>
      <c r="Q7185">
        <v>18.327000000000002</v>
      </c>
    </row>
    <row r="7186" spans="1:17" x14ac:dyDescent="0.2">
      <c r="A7186" s="30" t="str">
        <f>IF(C7186&amp;G7186&amp;D7186&lt;&gt;'Funnel setup'!$K$3&amp;'Funnel setup'!$K$4&amp;'Funnel setup'!$K$5,".",IF(A7185=".",1,A7185+1))</f>
        <v>.</v>
      </c>
      <c r="B7186" s="431" t="str">
        <f t="shared" si="112"/>
        <v>Varicose VeinProviderYORK TEACHING HOSPITAL NHS FOUNDATION TRUST (RCB)EQ VAS</v>
      </c>
      <c r="C7186" t="s">
        <v>17</v>
      </c>
      <c r="D7186" t="s">
        <v>1</v>
      </c>
      <c r="E7186" t="s">
        <v>3515</v>
      </c>
      <c r="F7186" t="s">
        <v>343</v>
      </c>
      <c r="G7186" t="s">
        <v>179</v>
      </c>
      <c r="H7186">
        <v>99</v>
      </c>
      <c r="I7186">
        <v>78.403999999999996</v>
      </c>
      <c r="J7186">
        <v>78.667000000000002</v>
      </c>
      <c r="K7186">
        <v>0.26300000000000001</v>
      </c>
      <c r="L7186">
        <v>44</v>
      </c>
      <c r="M7186">
        <v>18</v>
      </c>
      <c r="N7186">
        <v>37</v>
      </c>
      <c r="O7186">
        <v>78.364000000000004</v>
      </c>
      <c r="P7186">
        <v>-0.59997085699999997</v>
      </c>
      <c r="Q7186">
        <v>16.163</v>
      </c>
    </row>
    <row r="7187" spans="1:17" x14ac:dyDescent="0.2">
      <c r="A7187" s="30" t="str">
        <f>IF(C7187&amp;G7187&amp;D7187&lt;&gt;'Funnel setup'!$K$3&amp;'Funnel setup'!$K$4&amp;'Funnel setup'!$K$5,".",IF(A7186=".",1,A7186+1))</f>
        <v>.</v>
      </c>
      <c r="B7187" s="431" t="str">
        <f t="shared" si="112"/>
        <v>Varicose VeinProviderAINTREE UNIVERSITY HOSPITAL NHS FOUNDATION TRUST (REM)EQ-5D Index</v>
      </c>
      <c r="C7187" t="s">
        <v>17</v>
      </c>
      <c r="D7187" t="s">
        <v>1</v>
      </c>
      <c r="E7187" t="s">
        <v>3838</v>
      </c>
      <c r="F7187" t="s">
        <v>3839</v>
      </c>
      <c r="G7187" t="s">
        <v>52</v>
      </c>
      <c r="H7187">
        <v>22</v>
      </c>
      <c r="I7187">
        <v>0.70099999999999996</v>
      </c>
      <c r="J7187">
        <v>0.79</v>
      </c>
      <c r="K7187">
        <v>8.8999999999999996E-2</v>
      </c>
      <c r="L7187">
        <v>12</v>
      </c>
      <c r="M7187">
        <v>5</v>
      </c>
      <c r="N7187">
        <v>5</v>
      </c>
      <c r="O7187" t="s">
        <v>53</v>
      </c>
      <c r="P7187" t="s">
        <v>53</v>
      </c>
      <c r="Q7187" t="s">
        <v>53</v>
      </c>
    </row>
    <row r="7188" spans="1:17" x14ac:dyDescent="0.2">
      <c r="A7188" s="30" t="str">
        <f>IF(C7188&amp;G7188&amp;D7188&lt;&gt;'Funnel setup'!$K$3&amp;'Funnel setup'!$K$4&amp;'Funnel setup'!$K$5,".",IF(A7187=".",1,A7187+1))</f>
        <v>.</v>
      </c>
      <c r="B7188" s="431" t="str">
        <f t="shared" si="112"/>
        <v>Varicose VeinProviderAIREDALE NHS FOUNDATION TRUST (RCF)EQ-5D Index</v>
      </c>
      <c r="C7188" t="s">
        <v>17</v>
      </c>
      <c r="D7188" t="s">
        <v>1</v>
      </c>
      <c r="E7188" t="s">
        <v>3841</v>
      </c>
      <c r="F7188" t="s">
        <v>3842</v>
      </c>
      <c r="G7188" t="s">
        <v>52</v>
      </c>
      <c r="H7188">
        <v>64</v>
      </c>
      <c r="I7188">
        <v>0.79200000000000004</v>
      </c>
      <c r="J7188">
        <v>0.90100000000000002</v>
      </c>
      <c r="K7188">
        <v>0.109</v>
      </c>
      <c r="L7188">
        <v>36</v>
      </c>
      <c r="M7188">
        <v>23</v>
      </c>
      <c r="N7188">
        <v>5</v>
      </c>
      <c r="O7188">
        <v>0.873</v>
      </c>
      <c r="P7188">
        <v>0.12593432600000001</v>
      </c>
      <c r="Q7188">
        <v>0.14499999999999999</v>
      </c>
    </row>
    <row r="7189" spans="1:17" x14ac:dyDescent="0.2">
      <c r="A7189" s="30" t="str">
        <f>IF(C7189&amp;G7189&amp;D7189&lt;&gt;'Funnel setup'!$K$3&amp;'Funnel setup'!$K$4&amp;'Funnel setup'!$K$5,".",IF(A7188=".",1,A7188+1))</f>
        <v>.</v>
      </c>
      <c r="B7189" s="431" t="str">
        <f t="shared" si="112"/>
        <v>Varicose VeinProviderASHFORD AND ST PETER'S HOSPITALS NHS FOUNDATION TRUST (RTK)EQ-5D Index</v>
      </c>
      <c r="C7189" t="s">
        <v>17</v>
      </c>
      <c r="D7189" t="s">
        <v>1</v>
      </c>
      <c r="E7189" t="s">
        <v>3844</v>
      </c>
      <c r="F7189" t="s">
        <v>345</v>
      </c>
      <c r="G7189" t="s">
        <v>52</v>
      </c>
      <c r="H7189">
        <v>19</v>
      </c>
      <c r="I7189">
        <v>0.73499999999999999</v>
      </c>
      <c r="J7189">
        <v>0.86299999999999999</v>
      </c>
      <c r="K7189">
        <v>0.129</v>
      </c>
      <c r="L7189">
        <v>13</v>
      </c>
      <c r="M7189">
        <v>3</v>
      </c>
      <c r="N7189">
        <v>3</v>
      </c>
      <c r="O7189" t="s">
        <v>53</v>
      </c>
      <c r="P7189" t="s">
        <v>53</v>
      </c>
      <c r="Q7189" t="s">
        <v>53</v>
      </c>
    </row>
    <row r="7190" spans="1:17" x14ac:dyDescent="0.2">
      <c r="A7190" s="30" t="str">
        <f>IF(C7190&amp;G7190&amp;D7190&lt;&gt;'Funnel setup'!$K$3&amp;'Funnel setup'!$K$4&amp;'Funnel setup'!$K$5,".",IF(A7189=".",1,A7189+1))</f>
        <v>.</v>
      </c>
      <c r="B7190" s="431" t="str">
        <f t="shared" si="112"/>
        <v>Varicose VeinProviderASHTEAD HOSPITAL (NVC01)EQ-5D Index</v>
      </c>
      <c r="C7190" t="s">
        <v>17</v>
      </c>
      <c r="D7190" t="s">
        <v>1</v>
      </c>
      <c r="E7190" t="s">
        <v>3846</v>
      </c>
      <c r="F7190" t="s">
        <v>3847</v>
      </c>
      <c r="G7190" t="s">
        <v>52</v>
      </c>
      <c r="H7190">
        <v>15</v>
      </c>
      <c r="I7190">
        <v>0.78600000000000003</v>
      </c>
      <c r="J7190">
        <v>0.93</v>
      </c>
      <c r="K7190">
        <v>0.14399999999999999</v>
      </c>
      <c r="L7190">
        <v>8</v>
      </c>
      <c r="M7190">
        <v>5</v>
      </c>
      <c r="N7190">
        <v>2</v>
      </c>
      <c r="O7190" t="s">
        <v>53</v>
      </c>
      <c r="P7190" t="s">
        <v>53</v>
      </c>
      <c r="Q7190" t="s">
        <v>53</v>
      </c>
    </row>
    <row r="7191" spans="1:17" x14ac:dyDescent="0.2">
      <c r="A7191" s="30" t="str">
        <f>IF(C7191&amp;G7191&amp;D7191&lt;&gt;'Funnel setup'!$K$3&amp;'Funnel setup'!$K$4&amp;'Funnel setup'!$K$5,".",IF(A7190=".",1,A7190+1))</f>
        <v>.</v>
      </c>
      <c r="B7191" s="431" t="str">
        <f t="shared" si="112"/>
        <v>Varicose VeinProviderBARKING, HAVERING AND REDBRIDGE UNIVERSITY HOSPITALS NHS TRUST (RF4)EQ-5D Index</v>
      </c>
      <c r="C7191" t="s">
        <v>17</v>
      </c>
      <c r="D7191" t="s">
        <v>1</v>
      </c>
      <c r="E7191" t="s">
        <v>3509</v>
      </c>
      <c r="F7191" t="s">
        <v>3510</v>
      </c>
      <c r="G7191" t="s">
        <v>52</v>
      </c>
      <c r="H7191">
        <v>28</v>
      </c>
      <c r="I7191">
        <v>0.65600000000000003</v>
      </c>
      <c r="J7191">
        <v>0.83</v>
      </c>
      <c r="K7191">
        <v>0.17399999999999999</v>
      </c>
      <c r="L7191">
        <v>17</v>
      </c>
      <c r="M7191">
        <v>7</v>
      </c>
      <c r="N7191">
        <v>4</v>
      </c>
      <c r="O7191" t="s">
        <v>53</v>
      </c>
      <c r="P7191" t="s">
        <v>53</v>
      </c>
      <c r="Q7191" t="s">
        <v>53</v>
      </c>
    </row>
    <row r="7192" spans="1:17" x14ac:dyDescent="0.2">
      <c r="A7192" s="30" t="str">
        <f>IF(C7192&amp;G7192&amp;D7192&lt;&gt;'Funnel setup'!$K$3&amp;'Funnel setup'!$K$4&amp;'Funnel setup'!$K$5,".",IF(A7191=".",1,A7191+1))</f>
        <v>.</v>
      </c>
      <c r="B7192" s="431" t="str">
        <f t="shared" si="112"/>
        <v>Varicose VeinProviderBARNSLEY HOSPITAL NHS FOUNDATION TRUST (RFF)EQ-5D Index</v>
      </c>
      <c r="C7192" t="s">
        <v>17</v>
      </c>
      <c r="D7192" t="s">
        <v>1</v>
      </c>
      <c r="E7192" t="s">
        <v>3549</v>
      </c>
      <c r="F7192" t="s">
        <v>3550</v>
      </c>
      <c r="G7192" t="s">
        <v>52</v>
      </c>
      <c r="H7192">
        <v>12</v>
      </c>
      <c r="I7192">
        <v>0.751</v>
      </c>
      <c r="J7192">
        <v>0.91500000000000004</v>
      </c>
      <c r="K7192">
        <v>0.16400000000000001</v>
      </c>
      <c r="L7192">
        <v>8</v>
      </c>
      <c r="M7192">
        <v>2</v>
      </c>
      <c r="N7192">
        <v>2</v>
      </c>
      <c r="O7192" t="s">
        <v>53</v>
      </c>
      <c r="P7192" t="s">
        <v>53</v>
      </c>
      <c r="Q7192" t="s">
        <v>53</v>
      </c>
    </row>
    <row r="7193" spans="1:17" x14ac:dyDescent="0.2">
      <c r="A7193" s="30" t="str">
        <f>IF(C7193&amp;G7193&amp;D7193&lt;&gt;'Funnel setup'!$K$3&amp;'Funnel setup'!$K$4&amp;'Funnel setup'!$K$5,".",IF(A7192=".",1,A7192+1))</f>
        <v>.</v>
      </c>
      <c r="B7193" s="431" t="str">
        <f t="shared" si="112"/>
        <v>Varicose VeinProviderBARTS HEALTH NHS TRUST (R1H)EQ-5D Index</v>
      </c>
      <c r="C7193" t="s">
        <v>17</v>
      </c>
      <c r="D7193" t="s">
        <v>1</v>
      </c>
      <c r="E7193" t="s">
        <v>3552</v>
      </c>
      <c r="F7193" t="s">
        <v>3553</v>
      </c>
      <c r="G7193" t="s">
        <v>52</v>
      </c>
      <c r="H7193">
        <v>56</v>
      </c>
      <c r="I7193">
        <v>0.73199999999999998</v>
      </c>
      <c r="J7193">
        <v>0.82199999999999995</v>
      </c>
      <c r="K7193">
        <v>0.09</v>
      </c>
      <c r="L7193">
        <v>31</v>
      </c>
      <c r="M7193">
        <v>15</v>
      </c>
      <c r="N7193">
        <v>10</v>
      </c>
      <c r="O7193">
        <v>0.84399999999999997</v>
      </c>
      <c r="P7193">
        <v>9.7107214999999997E-2</v>
      </c>
      <c r="Q7193">
        <v>0.17199999999999999</v>
      </c>
    </row>
    <row r="7194" spans="1:17" x14ac:dyDescent="0.2">
      <c r="A7194" s="30" t="str">
        <f>IF(C7194&amp;G7194&amp;D7194&lt;&gt;'Funnel setup'!$K$3&amp;'Funnel setup'!$K$4&amp;'Funnel setup'!$K$5,".",IF(A7193=".",1,A7193+1))</f>
        <v>.</v>
      </c>
      <c r="B7194" s="431" t="str">
        <f t="shared" si="112"/>
        <v>Varicose VeinProviderBASILDON AND THURROCK UNIVERSITY HOSPITALS NHS FOUNDATION TRUST (RDD)EQ-5D Index</v>
      </c>
      <c r="C7194" t="s">
        <v>17</v>
      </c>
      <c r="D7194" t="s">
        <v>1</v>
      </c>
      <c r="E7194" t="s">
        <v>3555</v>
      </c>
      <c r="F7194" t="s">
        <v>3556</v>
      </c>
      <c r="G7194" t="s">
        <v>52</v>
      </c>
      <c r="H7194" t="s">
        <v>53</v>
      </c>
      <c r="I7194" t="s">
        <v>53</v>
      </c>
      <c r="J7194" t="s">
        <v>53</v>
      </c>
      <c r="K7194" t="s">
        <v>53</v>
      </c>
      <c r="L7194" t="s">
        <v>53</v>
      </c>
      <c r="M7194" t="s">
        <v>53</v>
      </c>
      <c r="N7194" t="s">
        <v>53</v>
      </c>
      <c r="O7194" t="s">
        <v>53</v>
      </c>
      <c r="P7194" t="s">
        <v>53</v>
      </c>
      <c r="Q7194" t="s">
        <v>53</v>
      </c>
    </row>
    <row r="7195" spans="1:17" x14ac:dyDescent="0.2">
      <c r="A7195" s="30" t="str">
        <f>IF(C7195&amp;G7195&amp;D7195&lt;&gt;'Funnel setup'!$K$3&amp;'Funnel setup'!$K$4&amp;'Funnel setup'!$K$5,".",IF(A7194=".",1,A7194+1))</f>
        <v>.</v>
      </c>
      <c r="B7195" s="431" t="str">
        <f t="shared" si="112"/>
        <v>Varicose VeinProviderBEDFORD HOSPITAL NHS TRUST (RC1)EQ-5D Index</v>
      </c>
      <c r="C7195" t="s">
        <v>17</v>
      </c>
      <c r="D7195" t="s">
        <v>1</v>
      </c>
      <c r="E7195" t="s">
        <v>3558</v>
      </c>
      <c r="F7195" t="s">
        <v>3559</v>
      </c>
      <c r="G7195" t="s">
        <v>52</v>
      </c>
      <c r="H7195">
        <v>29</v>
      </c>
      <c r="I7195">
        <v>0.78700000000000003</v>
      </c>
      <c r="J7195">
        <v>0.86299999999999999</v>
      </c>
      <c r="K7195">
        <v>7.5999999999999998E-2</v>
      </c>
      <c r="L7195">
        <v>16</v>
      </c>
      <c r="M7195">
        <v>10</v>
      </c>
      <c r="N7195">
        <v>3</v>
      </c>
      <c r="O7195" t="s">
        <v>53</v>
      </c>
      <c r="P7195" t="s">
        <v>53</v>
      </c>
      <c r="Q7195" t="s">
        <v>53</v>
      </c>
    </row>
    <row r="7196" spans="1:17" x14ac:dyDescent="0.2">
      <c r="A7196" s="30" t="str">
        <f>IF(C7196&amp;G7196&amp;D7196&lt;&gt;'Funnel setup'!$K$3&amp;'Funnel setup'!$K$4&amp;'Funnel setup'!$K$5,".",IF(A7195=".",1,A7195+1))</f>
        <v>.</v>
      </c>
      <c r="B7196" s="431" t="str">
        <f t="shared" si="112"/>
        <v>Varicose VeinProviderBLACKPOOL TEACHING HOSPITALS NHS FOUNDATION TRUST (RXL)EQ-5D Index</v>
      </c>
      <c r="C7196" t="s">
        <v>17</v>
      </c>
      <c r="D7196" t="s">
        <v>1</v>
      </c>
      <c r="E7196" t="s">
        <v>3561</v>
      </c>
      <c r="F7196" t="s">
        <v>3562</v>
      </c>
      <c r="G7196" t="s">
        <v>52</v>
      </c>
      <c r="H7196">
        <v>9</v>
      </c>
      <c r="I7196">
        <v>0.625</v>
      </c>
      <c r="J7196">
        <v>0.84799999999999998</v>
      </c>
      <c r="K7196">
        <v>0.223</v>
      </c>
      <c r="L7196">
        <v>7</v>
      </c>
      <c r="M7196">
        <v>2</v>
      </c>
      <c r="N7196">
        <v>0</v>
      </c>
      <c r="O7196" t="s">
        <v>53</v>
      </c>
      <c r="P7196" t="s">
        <v>53</v>
      </c>
      <c r="Q7196" t="s">
        <v>53</v>
      </c>
    </row>
    <row r="7197" spans="1:17" x14ac:dyDescent="0.2">
      <c r="A7197" s="30" t="str">
        <f>IF(C7197&amp;G7197&amp;D7197&lt;&gt;'Funnel setup'!$K$3&amp;'Funnel setup'!$K$4&amp;'Funnel setup'!$K$5,".",IF(A7196=".",1,A7196+1))</f>
        <v>.</v>
      </c>
      <c r="B7197" s="431" t="str">
        <f t="shared" si="112"/>
        <v>Varicose VeinProviderBMI - SHIRLEY OAKS HOSPITAL (NT436)EQ-5D Index</v>
      </c>
      <c r="C7197" t="s">
        <v>17</v>
      </c>
      <c r="D7197" t="s">
        <v>1</v>
      </c>
      <c r="E7197" t="s">
        <v>3576</v>
      </c>
      <c r="F7197" t="s">
        <v>3577</v>
      </c>
      <c r="G7197" t="s">
        <v>52</v>
      </c>
      <c r="H7197" t="s">
        <v>53</v>
      </c>
      <c r="I7197" t="s">
        <v>53</v>
      </c>
      <c r="J7197" t="s">
        <v>53</v>
      </c>
      <c r="K7197" t="s">
        <v>53</v>
      </c>
      <c r="L7197" t="s">
        <v>53</v>
      </c>
      <c r="M7197" t="s">
        <v>53</v>
      </c>
      <c r="N7197" t="s">
        <v>53</v>
      </c>
      <c r="O7197" t="s">
        <v>53</v>
      </c>
      <c r="P7197" t="s">
        <v>53</v>
      </c>
      <c r="Q7197" t="s">
        <v>53</v>
      </c>
    </row>
    <row r="7198" spans="1:17" x14ac:dyDescent="0.2">
      <c r="A7198" s="30" t="str">
        <f>IF(C7198&amp;G7198&amp;D7198&lt;&gt;'Funnel setup'!$K$3&amp;'Funnel setup'!$K$4&amp;'Funnel setup'!$K$5,".",IF(A7197=".",1,A7197+1))</f>
        <v>.</v>
      </c>
      <c r="B7198" s="431" t="str">
        <f t="shared" si="112"/>
        <v>Varicose VeinProviderBMI - THE DROITWICH SPA HOSPITAL (NT412)EQ-5D Index</v>
      </c>
      <c r="C7198" t="s">
        <v>17</v>
      </c>
      <c r="D7198" t="s">
        <v>1</v>
      </c>
      <c r="E7198" t="s">
        <v>3600</v>
      </c>
      <c r="F7198" t="s">
        <v>3601</v>
      </c>
      <c r="G7198" t="s">
        <v>52</v>
      </c>
      <c r="H7198" t="s">
        <v>53</v>
      </c>
      <c r="I7198" t="s">
        <v>53</v>
      </c>
      <c r="J7198" t="s">
        <v>53</v>
      </c>
      <c r="K7198" t="s">
        <v>53</v>
      </c>
      <c r="L7198" t="s">
        <v>53</v>
      </c>
      <c r="M7198" t="s">
        <v>53</v>
      </c>
      <c r="N7198" t="s">
        <v>53</v>
      </c>
      <c r="O7198" t="s">
        <v>53</v>
      </c>
      <c r="P7198" t="s">
        <v>53</v>
      </c>
      <c r="Q7198" t="s">
        <v>53</v>
      </c>
    </row>
    <row r="7199" spans="1:17" x14ac:dyDescent="0.2">
      <c r="A7199" s="30" t="str">
        <f>IF(C7199&amp;G7199&amp;D7199&lt;&gt;'Funnel setup'!$K$3&amp;'Funnel setup'!$K$4&amp;'Funnel setup'!$K$5,".",IF(A7198=".",1,A7198+1))</f>
        <v>.</v>
      </c>
      <c r="B7199" s="431" t="str">
        <f t="shared" si="112"/>
        <v>Varicose VeinProviderBMI - THE SHELBURNE HOSPITAL (NT435)EQ-5D Index</v>
      </c>
      <c r="C7199" t="s">
        <v>17</v>
      </c>
      <c r="D7199" t="s">
        <v>1</v>
      </c>
      <c r="E7199" t="s">
        <v>4318</v>
      </c>
      <c r="F7199" t="s">
        <v>4319</v>
      </c>
      <c r="G7199" t="s">
        <v>52</v>
      </c>
      <c r="H7199" t="s">
        <v>53</v>
      </c>
      <c r="I7199" t="s">
        <v>53</v>
      </c>
      <c r="J7199" t="s">
        <v>53</v>
      </c>
      <c r="K7199" t="s">
        <v>53</v>
      </c>
      <c r="L7199" t="s">
        <v>53</v>
      </c>
      <c r="M7199" t="s">
        <v>53</v>
      </c>
      <c r="N7199" t="s">
        <v>53</v>
      </c>
      <c r="O7199" t="s">
        <v>53</v>
      </c>
      <c r="P7199" t="s">
        <v>53</v>
      </c>
      <c r="Q7199" t="s">
        <v>53</v>
      </c>
    </row>
    <row r="7200" spans="1:17" x14ac:dyDescent="0.2">
      <c r="A7200" s="30" t="str">
        <f>IF(C7200&amp;G7200&amp;D7200&lt;&gt;'Funnel setup'!$K$3&amp;'Funnel setup'!$K$4&amp;'Funnel setup'!$K$5,".",IF(A7199=".",1,A7199+1))</f>
        <v>.</v>
      </c>
      <c r="B7200" s="431" t="str">
        <f t="shared" si="112"/>
        <v>Varicose VeinProviderBMI - THE SOUTH CHESHIRE PRIVATE HOSPITAL (NT439)EQ-5D Index</v>
      </c>
      <c r="C7200" t="s">
        <v>17</v>
      </c>
      <c r="D7200" t="s">
        <v>1</v>
      </c>
      <c r="E7200" t="s">
        <v>3307</v>
      </c>
      <c r="F7200" t="s">
        <v>3308</v>
      </c>
      <c r="G7200" t="s">
        <v>52</v>
      </c>
      <c r="H7200" t="s">
        <v>53</v>
      </c>
      <c r="I7200" t="s">
        <v>53</v>
      </c>
      <c r="J7200" t="s">
        <v>53</v>
      </c>
      <c r="K7200" t="s">
        <v>53</v>
      </c>
      <c r="L7200" t="s">
        <v>53</v>
      </c>
      <c r="M7200" t="s">
        <v>53</v>
      </c>
      <c r="N7200" t="s">
        <v>53</v>
      </c>
      <c r="O7200" t="s">
        <v>53</v>
      </c>
      <c r="P7200" t="s">
        <v>53</v>
      </c>
      <c r="Q7200" t="s">
        <v>53</v>
      </c>
    </row>
    <row r="7201" spans="1:17" x14ac:dyDescent="0.2">
      <c r="A7201" s="30" t="str">
        <f>IF(C7201&amp;G7201&amp;D7201&lt;&gt;'Funnel setup'!$K$3&amp;'Funnel setup'!$K$4&amp;'Funnel setup'!$K$5,".",IF(A7200=".",1,A7200+1))</f>
        <v>.</v>
      </c>
      <c r="B7201" s="431" t="str">
        <f t="shared" si="112"/>
        <v>Varicose VeinProviderBMI SOUTHEND PRIVATE HOSPITAL (NT490)EQ-5D Index</v>
      </c>
      <c r="C7201" t="s">
        <v>17</v>
      </c>
      <c r="D7201" t="s">
        <v>1</v>
      </c>
      <c r="E7201" t="s">
        <v>3325</v>
      </c>
      <c r="F7201" t="s">
        <v>3326</v>
      </c>
      <c r="G7201" t="s">
        <v>52</v>
      </c>
      <c r="H7201" t="s">
        <v>53</v>
      </c>
      <c r="I7201" t="s">
        <v>53</v>
      </c>
      <c r="J7201" t="s">
        <v>53</v>
      </c>
      <c r="K7201" t="s">
        <v>53</v>
      </c>
      <c r="L7201" t="s">
        <v>53</v>
      </c>
      <c r="M7201" t="s">
        <v>53</v>
      </c>
      <c r="N7201" t="s">
        <v>53</v>
      </c>
      <c r="O7201" t="s">
        <v>53</v>
      </c>
      <c r="P7201" t="s">
        <v>53</v>
      </c>
      <c r="Q7201" t="s">
        <v>53</v>
      </c>
    </row>
    <row r="7202" spans="1:17" x14ac:dyDescent="0.2">
      <c r="A7202" s="30" t="str">
        <f>IF(C7202&amp;G7202&amp;D7202&lt;&gt;'Funnel setup'!$K$3&amp;'Funnel setup'!$K$4&amp;'Funnel setup'!$K$5,".",IF(A7201=".",1,A7201+1))</f>
        <v>.</v>
      </c>
      <c r="B7202" s="431" t="str">
        <f t="shared" si="112"/>
        <v>Varicose VeinProviderBOLTON NHS FOUNDATION TRUST (RMC)EQ-5D Index</v>
      </c>
      <c r="C7202" t="s">
        <v>17</v>
      </c>
      <c r="D7202" t="s">
        <v>1</v>
      </c>
      <c r="E7202" t="s">
        <v>3358</v>
      </c>
      <c r="F7202" t="s">
        <v>3359</v>
      </c>
      <c r="G7202" t="s">
        <v>52</v>
      </c>
      <c r="H7202">
        <v>53</v>
      </c>
      <c r="I7202">
        <v>0.75600000000000001</v>
      </c>
      <c r="J7202">
        <v>0.82299999999999995</v>
      </c>
      <c r="K7202">
        <v>6.6000000000000003E-2</v>
      </c>
      <c r="L7202">
        <v>24</v>
      </c>
      <c r="M7202">
        <v>17</v>
      </c>
      <c r="N7202">
        <v>12</v>
      </c>
      <c r="O7202">
        <v>0.80500000000000005</v>
      </c>
      <c r="P7202">
        <v>5.7909069000000001E-2</v>
      </c>
      <c r="Q7202">
        <v>0.16600000000000001</v>
      </c>
    </row>
    <row r="7203" spans="1:17" x14ac:dyDescent="0.2">
      <c r="A7203" s="30" t="str">
        <f>IF(C7203&amp;G7203&amp;D7203&lt;&gt;'Funnel setup'!$K$3&amp;'Funnel setup'!$K$4&amp;'Funnel setup'!$K$5,".",IF(A7202=".",1,A7202+1))</f>
        <v>.</v>
      </c>
      <c r="B7203" s="431" t="str">
        <f t="shared" si="112"/>
        <v>Varicose VeinProviderBOSTON WEST HOSPITAL (NVC27)EQ-5D Index</v>
      </c>
      <c r="C7203" t="s">
        <v>17</v>
      </c>
      <c r="D7203" t="s">
        <v>1</v>
      </c>
      <c r="E7203" t="s">
        <v>3376</v>
      </c>
      <c r="F7203" t="s">
        <v>3377</v>
      </c>
      <c r="G7203" t="s">
        <v>52</v>
      </c>
      <c r="H7203">
        <v>19</v>
      </c>
      <c r="I7203">
        <v>0.79100000000000004</v>
      </c>
      <c r="J7203">
        <v>0.93300000000000005</v>
      </c>
      <c r="K7203">
        <v>0.14099999999999999</v>
      </c>
      <c r="L7203">
        <v>14</v>
      </c>
      <c r="M7203">
        <v>4</v>
      </c>
      <c r="N7203">
        <v>1</v>
      </c>
      <c r="O7203" t="s">
        <v>53</v>
      </c>
      <c r="P7203" t="s">
        <v>53</v>
      </c>
      <c r="Q7203" t="s">
        <v>53</v>
      </c>
    </row>
    <row r="7204" spans="1:17" x14ac:dyDescent="0.2">
      <c r="A7204" s="30" t="str">
        <f>IF(C7204&amp;G7204&amp;D7204&lt;&gt;'Funnel setup'!$K$3&amp;'Funnel setup'!$K$4&amp;'Funnel setup'!$K$5,".",IF(A7203=".",1,A7203+1))</f>
        <v>.</v>
      </c>
      <c r="B7204" s="431" t="str">
        <f t="shared" si="112"/>
        <v>Varicose VeinProviderBRADFORD TEACHING HOSPITALS NHS FOUNDATION TRUST (RAE)EQ-5D Index</v>
      </c>
      <c r="C7204" t="s">
        <v>17</v>
      </c>
      <c r="D7204" t="s">
        <v>1</v>
      </c>
      <c r="E7204" t="s">
        <v>3361</v>
      </c>
      <c r="F7204" t="s">
        <v>3362</v>
      </c>
      <c r="G7204" t="s">
        <v>52</v>
      </c>
      <c r="H7204">
        <v>38</v>
      </c>
      <c r="I7204">
        <v>0.71799999999999997</v>
      </c>
      <c r="J7204">
        <v>0.749</v>
      </c>
      <c r="K7204">
        <v>3.2000000000000001E-2</v>
      </c>
      <c r="L7204">
        <v>16</v>
      </c>
      <c r="M7204">
        <v>13</v>
      </c>
      <c r="N7204">
        <v>9</v>
      </c>
      <c r="O7204">
        <v>0.79900000000000004</v>
      </c>
      <c r="P7204">
        <v>5.2610576999999999E-2</v>
      </c>
      <c r="Q7204">
        <v>0.23100000000000001</v>
      </c>
    </row>
    <row r="7205" spans="1:17" x14ac:dyDescent="0.2">
      <c r="A7205" s="30" t="str">
        <f>IF(C7205&amp;G7205&amp;D7205&lt;&gt;'Funnel setup'!$K$3&amp;'Funnel setup'!$K$4&amp;'Funnel setup'!$K$5,".",IF(A7204=".",1,A7204+1))</f>
        <v>.</v>
      </c>
      <c r="B7205" s="431" t="str">
        <f t="shared" si="112"/>
        <v>Varicose VeinProviderBRIGHTON AND SUSSEX UNIVERSITY HOSPITALS NHS TRUST (RXH)EQ-5D Index</v>
      </c>
      <c r="C7205" t="s">
        <v>17</v>
      </c>
      <c r="D7205" t="s">
        <v>1</v>
      </c>
      <c r="E7205" t="s">
        <v>3367</v>
      </c>
      <c r="F7205" t="s">
        <v>3368</v>
      </c>
      <c r="G7205" t="s">
        <v>52</v>
      </c>
      <c r="H7205">
        <v>42</v>
      </c>
      <c r="I7205">
        <v>0.68100000000000005</v>
      </c>
      <c r="J7205">
        <v>0.79500000000000004</v>
      </c>
      <c r="K7205">
        <v>0.113</v>
      </c>
      <c r="L7205">
        <v>24</v>
      </c>
      <c r="M7205">
        <v>13</v>
      </c>
      <c r="N7205">
        <v>5</v>
      </c>
      <c r="O7205">
        <v>0.84199999999999997</v>
      </c>
      <c r="P7205">
        <v>9.4962835999999995E-2</v>
      </c>
      <c r="Q7205">
        <v>0.19500000000000001</v>
      </c>
    </row>
    <row r="7206" spans="1:17" x14ac:dyDescent="0.2">
      <c r="A7206" s="30" t="str">
        <f>IF(C7206&amp;G7206&amp;D7206&lt;&gt;'Funnel setup'!$K$3&amp;'Funnel setup'!$K$4&amp;'Funnel setup'!$K$5,".",IF(A7205=".",1,A7205+1))</f>
        <v>.</v>
      </c>
      <c r="B7206" s="431" t="str">
        <f t="shared" si="112"/>
        <v>Varicose VeinProviderBUCKINGHAMSHIRE HEALTHCARE NHS TRUST (RXQ)EQ-5D Index</v>
      </c>
      <c r="C7206" t="s">
        <v>17</v>
      </c>
      <c r="D7206" t="s">
        <v>1</v>
      </c>
      <c r="E7206" t="s">
        <v>3370</v>
      </c>
      <c r="F7206" t="s">
        <v>3371</v>
      </c>
      <c r="G7206" t="s">
        <v>52</v>
      </c>
      <c r="H7206">
        <v>38</v>
      </c>
      <c r="I7206">
        <v>0.71399999999999997</v>
      </c>
      <c r="J7206">
        <v>0.876</v>
      </c>
      <c r="K7206">
        <v>0.16200000000000001</v>
      </c>
      <c r="L7206">
        <v>26</v>
      </c>
      <c r="M7206">
        <v>7</v>
      </c>
      <c r="N7206">
        <v>5</v>
      </c>
      <c r="O7206">
        <v>0.90100000000000002</v>
      </c>
      <c r="P7206">
        <v>0.154386844</v>
      </c>
      <c r="Q7206">
        <v>0.2</v>
      </c>
    </row>
    <row r="7207" spans="1:17" x14ac:dyDescent="0.2">
      <c r="A7207" s="30" t="str">
        <f>IF(C7207&amp;G7207&amp;D7207&lt;&gt;'Funnel setup'!$K$3&amp;'Funnel setup'!$K$4&amp;'Funnel setup'!$K$5,".",IF(A7206=".",1,A7206+1))</f>
        <v>.</v>
      </c>
      <c r="B7207" s="431" t="str">
        <f t="shared" si="112"/>
        <v>Varicose VeinProviderBURTON HOSPITALS NHS FOUNDATION TRUST (RJF)EQ-5D Index</v>
      </c>
      <c r="C7207" t="s">
        <v>17</v>
      </c>
      <c r="D7207" t="s">
        <v>1</v>
      </c>
      <c r="E7207" t="s">
        <v>3373</v>
      </c>
      <c r="F7207" t="s">
        <v>3374</v>
      </c>
      <c r="G7207" t="s">
        <v>52</v>
      </c>
      <c r="H7207">
        <v>14</v>
      </c>
      <c r="I7207">
        <v>0.78100000000000003</v>
      </c>
      <c r="J7207">
        <v>0.94899999999999995</v>
      </c>
      <c r="K7207">
        <v>0.16800000000000001</v>
      </c>
      <c r="L7207">
        <v>9</v>
      </c>
      <c r="M7207">
        <v>4</v>
      </c>
      <c r="N7207">
        <v>1</v>
      </c>
      <c r="O7207" t="s">
        <v>53</v>
      </c>
      <c r="P7207" t="s">
        <v>53</v>
      </c>
      <c r="Q7207" t="s">
        <v>53</v>
      </c>
    </row>
    <row r="7208" spans="1:17" x14ac:dyDescent="0.2">
      <c r="A7208" s="30" t="str">
        <f>IF(C7208&amp;G7208&amp;D7208&lt;&gt;'Funnel setup'!$K$3&amp;'Funnel setup'!$K$4&amp;'Funnel setup'!$K$5,".",IF(A7207=".",1,A7207+1))</f>
        <v>.</v>
      </c>
      <c r="B7208" s="431" t="str">
        <f t="shared" si="112"/>
        <v>Varicose VeinProviderCALDERDALE AND HUDDERSFIELD NHS FOUNDATION TRUST (RWY)EQ-5D Index</v>
      </c>
      <c r="C7208" t="s">
        <v>17</v>
      </c>
      <c r="D7208" t="s">
        <v>1</v>
      </c>
      <c r="E7208" t="s">
        <v>3379</v>
      </c>
      <c r="F7208" t="s">
        <v>3380</v>
      </c>
      <c r="G7208" t="s">
        <v>52</v>
      </c>
      <c r="H7208">
        <v>100</v>
      </c>
      <c r="I7208">
        <v>0.76100000000000001</v>
      </c>
      <c r="J7208">
        <v>0.871</v>
      </c>
      <c r="K7208">
        <v>0.11</v>
      </c>
      <c r="L7208">
        <v>54</v>
      </c>
      <c r="M7208">
        <v>35</v>
      </c>
      <c r="N7208">
        <v>11</v>
      </c>
      <c r="O7208">
        <v>0.86399999999999999</v>
      </c>
      <c r="P7208">
        <v>0.117059015</v>
      </c>
      <c r="Q7208">
        <v>0.16600000000000001</v>
      </c>
    </row>
    <row r="7209" spans="1:17" x14ac:dyDescent="0.2">
      <c r="A7209" s="30" t="str">
        <f>IF(C7209&amp;G7209&amp;D7209&lt;&gt;'Funnel setup'!$K$3&amp;'Funnel setup'!$K$4&amp;'Funnel setup'!$K$5,".",IF(A7208=".",1,A7208+1))</f>
        <v>.</v>
      </c>
      <c r="B7209" s="431" t="str">
        <f t="shared" si="112"/>
        <v>Varicose VeinProviderCAMBRIDGE UNIVERSITY HOSPITALS NHS FOUNDATION TRUST (RGT)EQ-5D Index</v>
      </c>
      <c r="C7209" t="s">
        <v>17</v>
      </c>
      <c r="D7209" t="s">
        <v>1</v>
      </c>
      <c r="E7209" t="s">
        <v>3076</v>
      </c>
      <c r="F7209" t="s">
        <v>3077</v>
      </c>
      <c r="G7209" t="s">
        <v>52</v>
      </c>
      <c r="H7209">
        <v>29</v>
      </c>
      <c r="I7209">
        <v>0.76700000000000002</v>
      </c>
      <c r="J7209">
        <v>0.88900000000000001</v>
      </c>
      <c r="K7209">
        <v>0.123</v>
      </c>
      <c r="L7209">
        <v>16</v>
      </c>
      <c r="M7209">
        <v>12</v>
      </c>
      <c r="N7209">
        <v>1</v>
      </c>
      <c r="O7209" t="s">
        <v>53</v>
      </c>
      <c r="P7209" t="s">
        <v>53</v>
      </c>
      <c r="Q7209" t="s">
        <v>53</v>
      </c>
    </row>
    <row r="7210" spans="1:17" x14ac:dyDescent="0.2">
      <c r="A7210" s="30" t="str">
        <f>IF(C7210&amp;G7210&amp;D7210&lt;&gt;'Funnel setup'!$K$3&amp;'Funnel setup'!$K$4&amp;'Funnel setup'!$K$5,".",IF(A7209=".",1,A7209+1))</f>
        <v>.</v>
      </c>
      <c r="B7210" s="431" t="str">
        <f t="shared" si="112"/>
        <v>Varicose VeinProviderCENTRAL MANCHESTER UNIVERSITY HOSPITALS NHS FOUNDATION TRUST (RW3)EQ-5D Index</v>
      </c>
      <c r="C7210" t="s">
        <v>17</v>
      </c>
      <c r="D7210" t="s">
        <v>1</v>
      </c>
      <c r="E7210" t="s">
        <v>3079</v>
      </c>
      <c r="F7210" t="s">
        <v>3080</v>
      </c>
      <c r="G7210" t="s">
        <v>52</v>
      </c>
      <c r="H7210">
        <v>8</v>
      </c>
      <c r="I7210">
        <v>0.57799999999999996</v>
      </c>
      <c r="J7210">
        <v>0.61899999999999999</v>
      </c>
      <c r="K7210">
        <v>4.2000000000000003E-2</v>
      </c>
      <c r="L7210">
        <v>3</v>
      </c>
      <c r="M7210">
        <v>2</v>
      </c>
      <c r="N7210">
        <v>3</v>
      </c>
      <c r="O7210" t="s">
        <v>53</v>
      </c>
      <c r="P7210" t="s">
        <v>53</v>
      </c>
      <c r="Q7210" t="s">
        <v>53</v>
      </c>
    </row>
    <row r="7211" spans="1:17" x14ac:dyDescent="0.2">
      <c r="A7211" s="30" t="str">
        <f>IF(C7211&amp;G7211&amp;D7211&lt;&gt;'Funnel setup'!$K$3&amp;'Funnel setup'!$K$4&amp;'Funnel setup'!$K$5,".",IF(A7210=".",1,A7210+1))</f>
        <v>.</v>
      </c>
      <c r="B7211" s="431" t="str">
        <f t="shared" si="112"/>
        <v>Varicose VeinProviderCHELSEA AND WESTMINSTER HOSPITAL NHS FOUNDATION TRUST (RQM)EQ-5D Index</v>
      </c>
      <c r="C7211" t="s">
        <v>17</v>
      </c>
      <c r="D7211" t="s">
        <v>1</v>
      </c>
      <c r="E7211" t="s">
        <v>3082</v>
      </c>
      <c r="F7211" t="s">
        <v>3083</v>
      </c>
      <c r="G7211" t="s">
        <v>52</v>
      </c>
      <c r="H7211">
        <v>20</v>
      </c>
      <c r="I7211">
        <v>0.71</v>
      </c>
      <c r="J7211">
        <v>0.85399999999999998</v>
      </c>
      <c r="K7211">
        <v>0.14399999999999999</v>
      </c>
      <c r="L7211">
        <v>15</v>
      </c>
      <c r="M7211">
        <v>3</v>
      </c>
      <c r="N7211">
        <v>2</v>
      </c>
      <c r="O7211" t="s">
        <v>53</v>
      </c>
      <c r="P7211" t="s">
        <v>53</v>
      </c>
      <c r="Q7211" t="s">
        <v>53</v>
      </c>
    </row>
    <row r="7212" spans="1:17" x14ac:dyDescent="0.2">
      <c r="A7212" s="30" t="str">
        <f>IF(C7212&amp;G7212&amp;D7212&lt;&gt;'Funnel setup'!$K$3&amp;'Funnel setup'!$K$4&amp;'Funnel setup'!$K$5,".",IF(A7211=".",1,A7211+1))</f>
        <v>.</v>
      </c>
      <c r="B7212" s="431" t="str">
        <f t="shared" si="112"/>
        <v>Varicose VeinProviderCHESTERFIELD ROYAL HOSPITAL NHS FOUNDATION TRUST (RFS)EQ-5D Index</v>
      </c>
      <c r="C7212" t="s">
        <v>17</v>
      </c>
      <c r="D7212" t="s">
        <v>1</v>
      </c>
      <c r="E7212" t="s">
        <v>3085</v>
      </c>
      <c r="F7212" t="s">
        <v>3086</v>
      </c>
      <c r="G7212" t="s">
        <v>52</v>
      </c>
      <c r="H7212">
        <v>24</v>
      </c>
      <c r="I7212">
        <v>0.82899999999999996</v>
      </c>
      <c r="J7212">
        <v>0.90500000000000003</v>
      </c>
      <c r="K7212">
        <v>7.5999999999999998E-2</v>
      </c>
      <c r="L7212">
        <v>8</v>
      </c>
      <c r="M7212">
        <v>15</v>
      </c>
      <c r="N7212">
        <v>1</v>
      </c>
      <c r="O7212" t="s">
        <v>53</v>
      </c>
      <c r="P7212" t="s">
        <v>53</v>
      </c>
      <c r="Q7212" t="s">
        <v>53</v>
      </c>
    </row>
    <row r="7213" spans="1:17" x14ac:dyDescent="0.2">
      <c r="A7213" s="30" t="str">
        <f>IF(C7213&amp;G7213&amp;D7213&lt;&gt;'Funnel setup'!$K$3&amp;'Funnel setup'!$K$4&amp;'Funnel setup'!$K$5,".",IF(A7212=".",1,A7212+1))</f>
        <v>.</v>
      </c>
      <c r="B7213" s="431" t="str">
        <f t="shared" si="112"/>
        <v>Varicose VeinProviderCIRCLE - NOTTINGHAM NHS TREATMENT CENTRE (NV313)EQ-5D Index</v>
      </c>
      <c r="C7213" t="s">
        <v>17</v>
      </c>
      <c r="D7213" t="s">
        <v>1</v>
      </c>
      <c r="E7213" t="s">
        <v>3094</v>
      </c>
      <c r="F7213" t="s">
        <v>3095</v>
      </c>
      <c r="G7213" t="s">
        <v>52</v>
      </c>
      <c r="H7213">
        <v>155</v>
      </c>
      <c r="I7213">
        <v>0.72499999999999998</v>
      </c>
      <c r="J7213">
        <v>0.80200000000000005</v>
      </c>
      <c r="K7213">
        <v>7.8E-2</v>
      </c>
      <c r="L7213">
        <v>70</v>
      </c>
      <c r="M7213">
        <v>60</v>
      </c>
      <c r="N7213">
        <v>25</v>
      </c>
      <c r="O7213">
        <v>0.81699999999999995</v>
      </c>
      <c r="P7213">
        <v>6.9775045999999993E-2</v>
      </c>
      <c r="Q7213">
        <v>0.19800000000000001</v>
      </c>
    </row>
    <row r="7214" spans="1:17" x14ac:dyDescent="0.2">
      <c r="A7214" s="30" t="str">
        <f>IF(C7214&amp;G7214&amp;D7214&lt;&gt;'Funnel setup'!$K$3&amp;'Funnel setup'!$K$4&amp;'Funnel setup'!$K$5,".",IF(A7213=".",1,A7213+1))</f>
        <v>.</v>
      </c>
      <c r="B7214" s="431" t="str">
        <f t="shared" si="112"/>
        <v>Varicose VeinProviderCIRCLE BATH HOSPITAL (NV302)EQ-5D Index</v>
      </c>
      <c r="C7214" t="s">
        <v>17</v>
      </c>
      <c r="D7214" t="s">
        <v>1</v>
      </c>
      <c r="E7214" t="s">
        <v>3097</v>
      </c>
      <c r="F7214" t="s">
        <v>3098</v>
      </c>
      <c r="G7214" t="s">
        <v>52</v>
      </c>
      <c r="H7214">
        <v>16</v>
      </c>
      <c r="I7214">
        <v>0.84799999999999998</v>
      </c>
      <c r="J7214">
        <v>0.88600000000000001</v>
      </c>
      <c r="K7214">
        <v>3.7999999999999999E-2</v>
      </c>
      <c r="L7214">
        <v>5</v>
      </c>
      <c r="M7214">
        <v>7</v>
      </c>
      <c r="N7214">
        <v>4</v>
      </c>
      <c r="O7214" t="s">
        <v>53</v>
      </c>
      <c r="P7214" t="s">
        <v>53</v>
      </c>
      <c r="Q7214" t="s">
        <v>53</v>
      </c>
    </row>
    <row r="7215" spans="1:17" x14ac:dyDescent="0.2">
      <c r="A7215" s="30" t="str">
        <f>IF(C7215&amp;G7215&amp;D7215&lt;&gt;'Funnel setup'!$K$3&amp;'Funnel setup'!$K$4&amp;'Funnel setup'!$K$5,".",IF(A7214=".",1,A7214+1))</f>
        <v>.</v>
      </c>
      <c r="B7215" s="431" t="str">
        <f t="shared" si="112"/>
        <v>Varicose VeinProviderCIRENCESTER NHS TREATMENT CENTRE (NTPH4)EQ-5D Index</v>
      </c>
      <c r="C7215" t="s">
        <v>17</v>
      </c>
      <c r="D7215" t="s">
        <v>1</v>
      </c>
      <c r="E7215" t="s">
        <v>3088</v>
      </c>
      <c r="F7215" t="s">
        <v>3089</v>
      </c>
      <c r="G7215" t="s">
        <v>52</v>
      </c>
      <c r="H7215">
        <v>34</v>
      </c>
      <c r="I7215">
        <v>0.82699999999999996</v>
      </c>
      <c r="J7215">
        <v>0.88100000000000001</v>
      </c>
      <c r="K7215">
        <v>5.3999999999999999E-2</v>
      </c>
      <c r="L7215">
        <v>15</v>
      </c>
      <c r="M7215">
        <v>14</v>
      </c>
      <c r="N7215">
        <v>5</v>
      </c>
      <c r="O7215">
        <v>0.82</v>
      </c>
      <c r="P7215">
        <v>7.3405549E-2</v>
      </c>
      <c r="Q7215">
        <v>0.11700000000000001</v>
      </c>
    </row>
    <row r="7216" spans="1:17" x14ac:dyDescent="0.2">
      <c r="A7216" s="30" t="str">
        <f>IF(C7216&amp;G7216&amp;D7216&lt;&gt;'Funnel setup'!$K$3&amp;'Funnel setup'!$K$4&amp;'Funnel setup'!$K$5,".",IF(A7215=".",1,A7215+1))</f>
        <v>.</v>
      </c>
      <c r="B7216" s="431" t="str">
        <f t="shared" si="112"/>
        <v>Varicose VeinProviderCITY HOSPITALS SUNDERLAND NHS FOUNDATION TRUST (RLN)EQ-5D Index</v>
      </c>
      <c r="C7216" t="s">
        <v>17</v>
      </c>
      <c r="D7216" t="s">
        <v>1</v>
      </c>
      <c r="E7216" t="s">
        <v>3100</v>
      </c>
      <c r="F7216" t="s">
        <v>3101</v>
      </c>
      <c r="G7216" t="s">
        <v>52</v>
      </c>
      <c r="H7216">
        <v>233</v>
      </c>
      <c r="I7216">
        <v>0.73599999999999999</v>
      </c>
      <c r="J7216">
        <v>0.81699999999999995</v>
      </c>
      <c r="K7216">
        <v>0.08</v>
      </c>
      <c r="L7216">
        <v>104</v>
      </c>
      <c r="M7216">
        <v>77</v>
      </c>
      <c r="N7216">
        <v>52</v>
      </c>
      <c r="O7216">
        <v>0.82599999999999996</v>
      </c>
      <c r="P7216">
        <v>7.9608342999999998E-2</v>
      </c>
      <c r="Q7216">
        <v>0.193</v>
      </c>
    </row>
    <row r="7217" spans="1:17" x14ac:dyDescent="0.2">
      <c r="A7217" s="30" t="str">
        <f>IF(C7217&amp;G7217&amp;D7217&lt;&gt;'Funnel setup'!$K$3&amp;'Funnel setup'!$K$4&amp;'Funnel setup'!$K$5,".",IF(A7216=".",1,A7216+1))</f>
        <v>.</v>
      </c>
      <c r="B7217" s="431" t="str">
        <f t="shared" si="112"/>
        <v>Varicose VeinProviderCOBALT HOSPITAL (NVC29)EQ-5D Index</v>
      </c>
      <c r="C7217" t="s">
        <v>17</v>
      </c>
      <c r="D7217" t="s">
        <v>1</v>
      </c>
      <c r="E7217" t="s">
        <v>3106</v>
      </c>
      <c r="F7217" t="s">
        <v>3107</v>
      </c>
      <c r="G7217" t="s">
        <v>52</v>
      </c>
      <c r="H7217">
        <v>22</v>
      </c>
      <c r="I7217">
        <v>0.72299999999999998</v>
      </c>
      <c r="J7217">
        <v>0.92300000000000004</v>
      </c>
      <c r="K7217">
        <v>0.2</v>
      </c>
      <c r="L7217">
        <v>14</v>
      </c>
      <c r="M7217">
        <v>7</v>
      </c>
      <c r="N7217">
        <v>1</v>
      </c>
      <c r="O7217" t="s">
        <v>53</v>
      </c>
      <c r="P7217" t="s">
        <v>53</v>
      </c>
      <c r="Q7217" t="s">
        <v>53</v>
      </c>
    </row>
    <row r="7218" spans="1:17" x14ac:dyDescent="0.2">
      <c r="A7218" s="30" t="str">
        <f>IF(C7218&amp;G7218&amp;D7218&lt;&gt;'Funnel setup'!$K$3&amp;'Funnel setup'!$K$4&amp;'Funnel setup'!$K$5,".",IF(A7217=".",1,A7217+1))</f>
        <v>.</v>
      </c>
      <c r="B7218" s="431" t="str">
        <f t="shared" si="112"/>
        <v>Varicose VeinProviderCOLCHESTER HOSPITAL UNIVERSITY NHS FOUNDATION TRUST (RDE)EQ-5D Index</v>
      </c>
      <c r="C7218" t="s">
        <v>17</v>
      </c>
      <c r="D7218" t="s">
        <v>1</v>
      </c>
      <c r="E7218" t="s">
        <v>3109</v>
      </c>
      <c r="F7218" t="s">
        <v>3110</v>
      </c>
      <c r="G7218" t="s">
        <v>52</v>
      </c>
      <c r="H7218">
        <v>14</v>
      </c>
      <c r="I7218">
        <v>0.61</v>
      </c>
      <c r="J7218">
        <v>0.70799999999999996</v>
      </c>
      <c r="K7218">
        <v>9.8000000000000004E-2</v>
      </c>
      <c r="L7218">
        <v>6</v>
      </c>
      <c r="M7218">
        <v>4</v>
      </c>
      <c r="N7218">
        <v>4</v>
      </c>
      <c r="O7218" t="s">
        <v>53</v>
      </c>
      <c r="P7218" t="s">
        <v>53</v>
      </c>
      <c r="Q7218" t="s">
        <v>53</v>
      </c>
    </row>
    <row r="7219" spans="1:17" x14ac:dyDescent="0.2">
      <c r="A7219" s="30" t="str">
        <f>IF(C7219&amp;G7219&amp;D7219&lt;&gt;'Funnel setup'!$K$3&amp;'Funnel setup'!$K$4&amp;'Funnel setup'!$K$5,".",IF(A7218=".",1,A7218+1))</f>
        <v>.</v>
      </c>
      <c r="B7219" s="431" t="str">
        <f t="shared" si="112"/>
        <v>Varicose VeinProviderCOUNTESS OF CHESTER HOSPITAL NHS FOUNDATION TRUST (RJR)EQ-5D Index</v>
      </c>
      <c r="C7219" t="s">
        <v>17</v>
      </c>
      <c r="D7219" t="s">
        <v>1</v>
      </c>
      <c r="E7219" t="s">
        <v>3781</v>
      </c>
      <c r="F7219" t="s">
        <v>3782</v>
      </c>
      <c r="G7219" t="s">
        <v>52</v>
      </c>
      <c r="H7219">
        <v>18</v>
      </c>
      <c r="I7219">
        <v>0.755</v>
      </c>
      <c r="J7219">
        <v>0.877</v>
      </c>
      <c r="K7219">
        <v>0.123</v>
      </c>
      <c r="L7219">
        <v>9</v>
      </c>
      <c r="M7219">
        <v>6</v>
      </c>
      <c r="N7219">
        <v>3</v>
      </c>
      <c r="O7219" t="s">
        <v>53</v>
      </c>
      <c r="P7219" t="s">
        <v>53</v>
      </c>
      <c r="Q7219" t="s">
        <v>53</v>
      </c>
    </row>
    <row r="7220" spans="1:17" x14ac:dyDescent="0.2">
      <c r="A7220" s="30" t="str">
        <f>IF(C7220&amp;G7220&amp;D7220&lt;&gt;'Funnel setup'!$K$3&amp;'Funnel setup'!$K$4&amp;'Funnel setup'!$K$5,".",IF(A7219=".",1,A7219+1))</f>
        <v>.</v>
      </c>
      <c r="B7220" s="431" t="str">
        <f t="shared" si="112"/>
        <v>Varicose VeinProviderCOUNTY DURHAM AND DARLINGTON NHS FOUNDATION TRUST (RXP)EQ-5D Index</v>
      </c>
      <c r="C7220" t="s">
        <v>17</v>
      </c>
      <c r="D7220" t="s">
        <v>1</v>
      </c>
      <c r="E7220" t="s">
        <v>3784</v>
      </c>
      <c r="F7220" t="s">
        <v>3785</v>
      </c>
      <c r="G7220" t="s">
        <v>52</v>
      </c>
      <c r="H7220">
        <v>13</v>
      </c>
      <c r="I7220">
        <v>0.72699999999999998</v>
      </c>
      <c r="J7220">
        <v>0.88700000000000001</v>
      </c>
      <c r="K7220">
        <v>0.16</v>
      </c>
      <c r="L7220">
        <v>9</v>
      </c>
      <c r="M7220">
        <v>3</v>
      </c>
      <c r="N7220">
        <v>1</v>
      </c>
      <c r="O7220" t="s">
        <v>53</v>
      </c>
      <c r="P7220" t="s">
        <v>53</v>
      </c>
      <c r="Q7220" t="s">
        <v>53</v>
      </c>
    </row>
    <row r="7221" spans="1:17" x14ac:dyDescent="0.2">
      <c r="A7221" s="30" t="str">
        <f>IF(C7221&amp;G7221&amp;D7221&lt;&gt;'Funnel setup'!$K$3&amp;'Funnel setup'!$K$4&amp;'Funnel setup'!$K$5,".",IF(A7220=".",1,A7220+1))</f>
        <v>.</v>
      </c>
      <c r="B7221" s="431" t="str">
        <f t="shared" si="112"/>
        <v>Varicose VeinProviderDARTFORD AND GRAVESHAM NHS TRUST (RN7)EQ-5D Index</v>
      </c>
      <c r="C7221" t="s">
        <v>17</v>
      </c>
      <c r="D7221" t="s">
        <v>1</v>
      </c>
      <c r="E7221" t="s">
        <v>3787</v>
      </c>
      <c r="F7221" t="s">
        <v>3788</v>
      </c>
      <c r="G7221" t="s">
        <v>52</v>
      </c>
      <c r="H7221" t="s">
        <v>53</v>
      </c>
      <c r="I7221" t="s">
        <v>53</v>
      </c>
      <c r="J7221" t="s">
        <v>53</v>
      </c>
      <c r="K7221" t="s">
        <v>53</v>
      </c>
      <c r="L7221" t="s">
        <v>53</v>
      </c>
      <c r="M7221" t="s">
        <v>53</v>
      </c>
      <c r="N7221" t="s">
        <v>53</v>
      </c>
      <c r="O7221" t="s">
        <v>53</v>
      </c>
      <c r="P7221" t="s">
        <v>53</v>
      </c>
      <c r="Q7221" t="s">
        <v>53</v>
      </c>
    </row>
    <row r="7222" spans="1:17" x14ac:dyDescent="0.2">
      <c r="A7222" s="30" t="str">
        <f>IF(C7222&amp;G7222&amp;D7222&lt;&gt;'Funnel setup'!$K$3&amp;'Funnel setup'!$K$4&amp;'Funnel setup'!$K$5,".",IF(A7221=".",1,A7221+1))</f>
        <v>.</v>
      </c>
      <c r="B7222" s="431" t="str">
        <f t="shared" si="112"/>
        <v>Varicose VeinProviderDERBY TEACHING HOSPITALS NHS FOUNDATION TRUST (RTG)EQ-5D Index</v>
      </c>
      <c r="C7222" t="s">
        <v>17</v>
      </c>
      <c r="D7222" t="s">
        <v>1</v>
      </c>
      <c r="E7222" t="s">
        <v>3790</v>
      </c>
      <c r="F7222" t="s">
        <v>3791</v>
      </c>
      <c r="G7222" t="s">
        <v>52</v>
      </c>
      <c r="H7222">
        <v>20</v>
      </c>
      <c r="I7222">
        <v>0.80500000000000005</v>
      </c>
      <c r="J7222">
        <v>0.84599999999999997</v>
      </c>
      <c r="K7222">
        <v>4.1000000000000002E-2</v>
      </c>
      <c r="L7222">
        <v>8</v>
      </c>
      <c r="M7222">
        <v>8</v>
      </c>
      <c r="N7222">
        <v>4</v>
      </c>
      <c r="O7222" t="s">
        <v>53</v>
      </c>
      <c r="P7222" t="s">
        <v>53</v>
      </c>
      <c r="Q7222" t="s">
        <v>53</v>
      </c>
    </row>
    <row r="7223" spans="1:17" x14ac:dyDescent="0.2">
      <c r="A7223" s="30" t="str">
        <f>IF(C7223&amp;G7223&amp;D7223&lt;&gt;'Funnel setup'!$K$3&amp;'Funnel setup'!$K$4&amp;'Funnel setup'!$K$5,".",IF(A7222=".",1,A7222+1))</f>
        <v>.</v>
      </c>
      <c r="B7223" s="431" t="str">
        <f t="shared" si="112"/>
        <v>Varicose VeinProviderDEVIZES NHS TREATMENT CENTRE (NTPH3)EQ-5D Index</v>
      </c>
      <c r="C7223" t="s">
        <v>17</v>
      </c>
      <c r="D7223" t="s">
        <v>1</v>
      </c>
      <c r="E7223" t="s">
        <v>3796</v>
      </c>
      <c r="F7223" t="s">
        <v>3797</v>
      </c>
      <c r="G7223" t="s">
        <v>52</v>
      </c>
      <c r="H7223">
        <v>16</v>
      </c>
      <c r="I7223">
        <v>0.72699999999999998</v>
      </c>
      <c r="J7223">
        <v>0.9</v>
      </c>
      <c r="K7223">
        <v>0.17199999999999999</v>
      </c>
      <c r="L7223">
        <v>11</v>
      </c>
      <c r="M7223">
        <v>3</v>
      </c>
      <c r="N7223">
        <v>2</v>
      </c>
      <c r="O7223" t="s">
        <v>53</v>
      </c>
      <c r="P7223" t="s">
        <v>53</v>
      </c>
      <c r="Q7223" t="s">
        <v>53</v>
      </c>
    </row>
    <row r="7224" spans="1:17" x14ac:dyDescent="0.2">
      <c r="A7224" s="30" t="str">
        <f>IF(C7224&amp;G7224&amp;D7224&lt;&gt;'Funnel setup'!$K$3&amp;'Funnel setup'!$K$4&amp;'Funnel setup'!$K$5,".",IF(A7223=".",1,A7223+1))</f>
        <v>.</v>
      </c>
      <c r="B7224" s="431" t="str">
        <f t="shared" si="112"/>
        <v>Varicose VeinProviderDONCASTER AND BASSETLAW HOSPITALS NHS FOUNDATION TRUST (RP5)EQ-5D Index</v>
      </c>
      <c r="C7224" t="s">
        <v>17</v>
      </c>
      <c r="D7224" t="s">
        <v>1</v>
      </c>
      <c r="E7224" t="s">
        <v>3799</v>
      </c>
      <c r="F7224" t="s">
        <v>3800</v>
      </c>
      <c r="G7224" t="s">
        <v>52</v>
      </c>
      <c r="H7224">
        <v>31</v>
      </c>
      <c r="I7224">
        <v>0.73199999999999998</v>
      </c>
      <c r="J7224">
        <v>0.85</v>
      </c>
      <c r="K7224">
        <v>0.11899999999999999</v>
      </c>
      <c r="L7224">
        <v>17</v>
      </c>
      <c r="M7224">
        <v>10</v>
      </c>
      <c r="N7224">
        <v>4</v>
      </c>
      <c r="O7224">
        <v>0.84099999999999997</v>
      </c>
      <c r="P7224">
        <v>9.4710595999999994E-2</v>
      </c>
      <c r="Q7224">
        <v>0.14599999999999999</v>
      </c>
    </row>
    <row r="7225" spans="1:17" x14ac:dyDescent="0.2">
      <c r="A7225" s="30" t="str">
        <f>IF(C7225&amp;G7225&amp;D7225&lt;&gt;'Funnel setup'!$K$3&amp;'Funnel setup'!$K$4&amp;'Funnel setup'!$K$5,".",IF(A7224=".",1,A7224+1))</f>
        <v>.</v>
      </c>
      <c r="B7225" s="431" t="str">
        <f t="shared" si="112"/>
        <v>Varicose VeinProviderDORSET COUNTY HOSPITAL NHS FOUNDATION TRUST (RBD)EQ-5D Index</v>
      </c>
      <c r="C7225" t="s">
        <v>17</v>
      </c>
      <c r="D7225" t="s">
        <v>1</v>
      </c>
      <c r="E7225" t="s">
        <v>3802</v>
      </c>
      <c r="F7225" t="s">
        <v>3803</v>
      </c>
      <c r="G7225" t="s">
        <v>52</v>
      </c>
      <c r="H7225">
        <v>38</v>
      </c>
      <c r="I7225">
        <v>0.66800000000000004</v>
      </c>
      <c r="J7225">
        <v>0.77200000000000002</v>
      </c>
      <c r="K7225">
        <v>0.105</v>
      </c>
      <c r="L7225">
        <v>19</v>
      </c>
      <c r="M7225">
        <v>7</v>
      </c>
      <c r="N7225">
        <v>12</v>
      </c>
      <c r="O7225">
        <v>0.84599999999999997</v>
      </c>
      <c r="P7225">
        <v>9.9216421999999999E-2</v>
      </c>
      <c r="Q7225">
        <v>0.24199999999999999</v>
      </c>
    </row>
    <row r="7226" spans="1:17" x14ac:dyDescent="0.2">
      <c r="A7226" s="30" t="str">
        <f>IF(C7226&amp;G7226&amp;D7226&lt;&gt;'Funnel setup'!$K$3&amp;'Funnel setup'!$K$4&amp;'Funnel setup'!$K$5,".",IF(A7225=".",1,A7225+1))</f>
        <v>.</v>
      </c>
      <c r="B7226" s="431" t="str">
        <f t="shared" si="112"/>
        <v>Varicose VeinProviderEAST AND NORTH HERTFORDSHIRE NHS TRUST (RWH)EQ-5D Index</v>
      </c>
      <c r="C7226" t="s">
        <v>17</v>
      </c>
      <c r="D7226" t="s">
        <v>1</v>
      </c>
      <c r="E7226" t="s">
        <v>3814</v>
      </c>
      <c r="F7226" t="s">
        <v>3815</v>
      </c>
      <c r="G7226" t="s">
        <v>52</v>
      </c>
      <c r="H7226">
        <v>21</v>
      </c>
      <c r="I7226">
        <v>0.69299999999999995</v>
      </c>
      <c r="J7226">
        <v>0.86799999999999999</v>
      </c>
      <c r="K7226">
        <v>0.17399999999999999</v>
      </c>
      <c r="L7226">
        <v>16</v>
      </c>
      <c r="M7226">
        <v>3</v>
      </c>
      <c r="N7226">
        <v>2</v>
      </c>
      <c r="O7226" t="s">
        <v>53</v>
      </c>
      <c r="P7226" t="s">
        <v>53</v>
      </c>
      <c r="Q7226" t="s">
        <v>53</v>
      </c>
    </row>
    <row r="7227" spans="1:17" x14ac:dyDescent="0.2">
      <c r="A7227" s="30" t="str">
        <f>IF(C7227&amp;G7227&amp;D7227&lt;&gt;'Funnel setup'!$K$3&amp;'Funnel setup'!$K$4&amp;'Funnel setup'!$K$5,".",IF(A7226=".",1,A7226+1))</f>
        <v>.</v>
      </c>
      <c r="B7227" s="431" t="str">
        <f t="shared" si="112"/>
        <v>Varicose VeinProviderEAST CHESHIRE NHS TRUST (RJN)EQ-5D Index</v>
      </c>
      <c r="C7227" t="s">
        <v>17</v>
      </c>
      <c r="D7227" t="s">
        <v>1</v>
      </c>
      <c r="E7227" t="s">
        <v>3817</v>
      </c>
      <c r="F7227" t="s">
        <v>3818</v>
      </c>
      <c r="G7227" t="s">
        <v>52</v>
      </c>
      <c r="H7227" t="s">
        <v>53</v>
      </c>
      <c r="I7227" t="s">
        <v>53</v>
      </c>
      <c r="J7227" t="s">
        <v>53</v>
      </c>
      <c r="K7227" t="s">
        <v>53</v>
      </c>
      <c r="L7227" t="s">
        <v>53</v>
      </c>
      <c r="M7227" t="s">
        <v>53</v>
      </c>
      <c r="N7227" t="s">
        <v>53</v>
      </c>
      <c r="O7227" t="s">
        <v>53</v>
      </c>
      <c r="P7227" t="s">
        <v>53</v>
      </c>
      <c r="Q7227" t="s">
        <v>53</v>
      </c>
    </row>
    <row r="7228" spans="1:17" x14ac:dyDescent="0.2">
      <c r="A7228" s="30" t="str">
        <f>IF(C7228&amp;G7228&amp;D7228&lt;&gt;'Funnel setup'!$K$3&amp;'Funnel setup'!$K$4&amp;'Funnel setup'!$K$5,".",IF(A7227=".",1,A7227+1))</f>
        <v>.</v>
      </c>
      <c r="B7228" s="431" t="str">
        <f t="shared" si="112"/>
        <v>Varicose VeinProviderEAST KENT HOSPITALS UNIVERSITY NHS FOUNDATION TRUST (RVV)EQ-5D Index</v>
      </c>
      <c r="C7228" t="s">
        <v>17</v>
      </c>
      <c r="D7228" t="s">
        <v>1</v>
      </c>
      <c r="E7228" t="s">
        <v>3820</v>
      </c>
      <c r="F7228" t="s">
        <v>3821</v>
      </c>
      <c r="G7228" t="s">
        <v>52</v>
      </c>
      <c r="H7228" t="s">
        <v>53</v>
      </c>
      <c r="I7228" t="s">
        <v>53</v>
      </c>
      <c r="J7228" t="s">
        <v>53</v>
      </c>
      <c r="K7228" t="s">
        <v>53</v>
      </c>
      <c r="L7228" t="s">
        <v>53</v>
      </c>
      <c r="M7228" t="s">
        <v>53</v>
      </c>
      <c r="N7228" t="s">
        <v>53</v>
      </c>
      <c r="O7228" t="s">
        <v>53</v>
      </c>
      <c r="P7228" t="s">
        <v>53</v>
      </c>
      <c r="Q7228" t="s">
        <v>53</v>
      </c>
    </row>
    <row r="7229" spans="1:17" x14ac:dyDescent="0.2">
      <c r="A7229" s="30" t="str">
        <f>IF(C7229&amp;G7229&amp;D7229&lt;&gt;'Funnel setup'!$K$3&amp;'Funnel setup'!$K$4&amp;'Funnel setup'!$K$5,".",IF(A7228=".",1,A7228+1))</f>
        <v>.</v>
      </c>
      <c r="B7229" s="431" t="str">
        <f t="shared" si="112"/>
        <v>Varicose VeinProviderEAST LANCASHIRE HOSPITALS NHS TRUST (RXR)EQ-5D Index</v>
      </c>
      <c r="C7229" t="s">
        <v>17</v>
      </c>
      <c r="D7229" t="s">
        <v>1</v>
      </c>
      <c r="E7229" t="s">
        <v>3823</v>
      </c>
      <c r="F7229" t="s">
        <v>3824</v>
      </c>
      <c r="G7229" t="s">
        <v>52</v>
      </c>
      <c r="H7229">
        <v>110</v>
      </c>
      <c r="I7229">
        <v>0.76700000000000002</v>
      </c>
      <c r="J7229">
        <v>0.83499999999999996</v>
      </c>
      <c r="K7229">
        <v>6.8000000000000005E-2</v>
      </c>
      <c r="L7229">
        <v>54</v>
      </c>
      <c r="M7229">
        <v>36</v>
      </c>
      <c r="N7229">
        <v>20</v>
      </c>
      <c r="O7229">
        <v>0.82599999999999996</v>
      </c>
      <c r="P7229">
        <v>7.9001466000000006E-2</v>
      </c>
      <c r="Q7229">
        <v>0.16600000000000001</v>
      </c>
    </row>
    <row r="7230" spans="1:17" x14ac:dyDescent="0.2">
      <c r="A7230" s="30" t="str">
        <f>IF(C7230&amp;G7230&amp;D7230&lt;&gt;'Funnel setup'!$K$3&amp;'Funnel setup'!$K$4&amp;'Funnel setup'!$K$5,".",IF(A7229=".",1,A7229+1))</f>
        <v>.</v>
      </c>
      <c r="B7230" s="431" t="str">
        <f t="shared" si="112"/>
        <v>Varicose VeinProviderEAST SUSSEX HEALTHCARE NHS TRUST (RXC)EQ-5D Index</v>
      </c>
      <c r="C7230" t="s">
        <v>17</v>
      </c>
      <c r="D7230" t="s">
        <v>1</v>
      </c>
      <c r="E7230" t="s">
        <v>3826</v>
      </c>
      <c r="F7230" t="s">
        <v>3827</v>
      </c>
      <c r="G7230" t="s">
        <v>52</v>
      </c>
      <c r="H7230">
        <v>8</v>
      </c>
      <c r="I7230">
        <v>0.74199999999999999</v>
      </c>
      <c r="J7230">
        <v>0.83499999999999996</v>
      </c>
      <c r="K7230">
        <v>9.2999999999999999E-2</v>
      </c>
      <c r="L7230">
        <v>4</v>
      </c>
      <c r="M7230">
        <v>3</v>
      </c>
      <c r="N7230">
        <v>1</v>
      </c>
      <c r="O7230" t="s">
        <v>53</v>
      </c>
      <c r="P7230" t="s">
        <v>53</v>
      </c>
      <c r="Q7230" t="s">
        <v>53</v>
      </c>
    </row>
    <row r="7231" spans="1:17" x14ac:dyDescent="0.2">
      <c r="A7231" s="30" t="str">
        <f>IF(C7231&amp;G7231&amp;D7231&lt;&gt;'Funnel setup'!$K$3&amp;'Funnel setup'!$K$4&amp;'Funnel setup'!$K$5,".",IF(A7230=".",1,A7230+1))</f>
        <v>.</v>
      </c>
      <c r="B7231" s="431" t="str">
        <f t="shared" si="112"/>
        <v>Varicose VeinProviderEMERSONS GREEN NHS TREATMENT CENTRE (NTPH2)EQ-5D Index</v>
      </c>
      <c r="C7231" t="s">
        <v>17</v>
      </c>
      <c r="D7231" t="s">
        <v>1</v>
      </c>
      <c r="E7231" t="s">
        <v>3829</v>
      </c>
      <c r="F7231" t="s">
        <v>3830</v>
      </c>
      <c r="G7231" t="s">
        <v>52</v>
      </c>
      <c r="H7231">
        <v>63</v>
      </c>
      <c r="I7231">
        <v>0.82</v>
      </c>
      <c r="J7231">
        <v>0.93700000000000006</v>
      </c>
      <c r="K7231">
        <v>0.11700000000000001</v>
      </c>
      <c r="L7231">
        <v>33</v>
      </c>
      <c r="M7231">
        <v>27</v>
      </c>
      <c r="N7231">
        <v>3</v>
      </c>
      <c r="O7231">
        <v>0.878</v>
      </c>
      <c r="P7231">
        <v>0.13131234999999999</v>
      </c>
      <c r="Q7231">
        <v>0.10199999999999999</v>
      </c>
    </row>
    <row r="7232" spans="1:17" x14ac:dyDescent="0.2">
      <c r="A7232" s="30" t="str">
        <f>IF(C7232&amp;G7232&amp;D7232&lt;&gt;'Funnel setup'!$K$3&amp;'Funnel setup'!$K$4&amp;'Funnel setup'!$K$5,".",IF(A7231=".",1,A7231+1))</f>
        <v>.</v>
      </c>
      <c r="B7232" s="431" t="str">
        <f t="shared" si="112"/>
        <v>Varicose VeinProviderEPSOM AND ST HELIER UNIVERSITY HOSPITALS NHS TRUST (RVR)EQ-5D Index</v>
      </c>
      <c r="C7232" t="s">
        <v>17</v>
      </c>
      <c r="D7232" t="s">
        <v>1</v>
      </c>
      <c r="E7232" t="s">
        <v>3849</v>
      </c>
      <c r="F7232" t="s">
        <v>3850</v>
      </c>
      <c r="G7232" t="s">
        <v>52</v>
      </c>
      <c r="H7232">
        <v>30</v>
      </c>
      <c r="I7232">
        <v>0.749</v>
      </c>
      <c r="J7232">
        <v>0.876</v>
      </c>
      <c r="K7232">
        <v>0.127</v>
      </c>
      <c r="L7232">
        <v>16</v>
      </c>
      <c r="M7232">
        <v>11</v>
      </c>
      <c r="N7232">
        <v>3</v>
      </c>
      <c r="O7232">
        <v>0.84299999999999997</v>
      </c>
      <c r="P7232">
        <v>9.6090970999999997E-2</v>
      </c>
      <c r="Q7232">
        <v>0.13900000000000001</v>
      </c>
    </row>
    <row r="7233" spans="1:17" x14ac:dyDescent="0.2">
      <c r="A7233" s="30" t="str">
        <f>IF(C7233&amp;G7233&amp;D7233&lt;&gt;'Funnel setup'!$K$3&amp;'Funnel setup'!$K$4&amp;'Funnel setup'!$K$5,".",IF(A7232=".",1,A7232+1))</f>
        <v>.</v>
      </c>
      <c r="B7233" s="431" t="str">
        <f t="shared" si="112"/>
        <v>Varicose VeinProviderEUXTON HALL HOSPITAL (NVC05)EQ-5D Index</v>
      </c>
      <c r="C7233" t="s">
        <v>17</v>
      </c>
      <c r="D7233" t="s">
        <v>1</v>
      </c>
      <c r="E7233" t="s">
        <v>3852</v>
      </c>
      <c r="F7233" t="s">
        <v>3853</v>
      </c>
      <c r="G7233" t="s">
        <v>52</v>
      </c>
      <c r="H7233" t="s">
        <v>53</v>
      </c>
      <c r="I7233" t="s">
        <v>53</v>
      </c>
      <c r="J7233" t="s">
        <v>53</v>
      </c>
      <c r="K7233" t="s">
        <v>53</v>
      </c>
      <c r="L7233" t="s">
        <v>53</v>
      </c>
      <c r="M7233" t="s">
        <v>53</v>
      </c>
      <c r="N7233" t="s">
        <v>53</v>
      </c>
      <c r="O7233" t="s">
        <v>53</v>
      </c>
      <c r="P7233" t="s">
        <v>53</v>
      </c>
      <c r="Q7233" t="s">
        <v>53</v>
      </c>
    </row>
    <row r="7234" spans="1:17" x14ac:dyDescent="0.2">
      <c r="A7234" s="30" t="str">
        <f>IF(C7234&amp;G7234&amp;D7234&lt;&gt;'Funnel setup'!$K$3&amp;'Funnel setup'!$K$4&amp;'Funnel setup'!$K$5,".",IF(A7233=".",1,A7233+1))</f>
        <v>.</v>
      </c>
      <c r="B7234" s="431" t="str">
        <f t="shared" si="112"/>
        <v>Varicose VeinProviderFAIRFIELD HOSPITAL (NVG01)EQ-5D Index</v>
      </c>
      <c r="C7234" t="s">
        <v>17</v>
      </c>
      <c r="D7234" t="s">
        <v>1</v>
      </c>
      <c r="E7234" t="s">
        <v>3855</v>
      </c>
      <c r="F7234" t="s">
        <v>3856</v>
      </c>
      <c r="G7234" t="s">
        <v>52</v>
      </c>
      <c r="H7234" t="s">
        <v>53</v>
      </c>
      <c r="I7234" t="s">
        <v>53</v>
      </c>
      <c r="J7234" t="s">
        <v>53</v>
      </c>
      <c r="K7234" t="s">
        <v>53</v>
      </c>
      <c r="L7234" t="s">
        <v>53</v>
      </c>
      <c r="M7234" t="s">
        <v>53</v>
      </c>
      <c r="N7234" t="s">
        <v>53</v>
      </c>
      <c r="O7234" t="s">
        <v>53</v>
      </c>
      <c r="P7234" t="s">
        <v>53</v>
      </c>
      <c r="Q7234" t="s">
        <v>53</v>
      </c>
    </row>
    <row r="7235" spans="1:17" x14ac:dyDescent="0.2">
      <c r="A7235" s="30" t="str">
        <f>IF(C7235&amp;G7235&amp;D7235&lt;&gt;'Funnel setup'!$K$3&amp;'Funnel setup'!$K$4&amp;'Funnel setup'!$K$5,".",IF(A7234=".",1,A7234+1))</f>
        <v>.</v>
      </c>
      <c r="B7235" s="431" t="str">
        <f t="shared" ref="B7235:B7298" si="113">C7235&amp;D7235&amp;F7235&amp;G7235</f>
        <v>Varicose VeinProviderFRIMLEY HEALTH NHS FOUNDATION TRUST (RDU)EQ-5D Index</v>
      </c>
      <c r="C7235" t="s">
        <v>17</v>
      </c>
      <c r="D7235" t="s">
        <v>1</v>
      </c>
      <c r="E7235" t="s">
        <v>3861</v>
      </c>
      <c r="F7235" t="s">
        <v>3862</v>
      </c>
      <c r="G7235" t="s">
        <v>52</v>
      </c>
      <c r="H7235">
        <v>27</v>
      </c>
      <c r="I7235">
        <v>0.79300000000000004</v>
      </c>
      <c r="J7235">
        <v>0.91800000000000004</v>
      </c>
      <c r="K7235">
        <v>0.125</v>
      </c>
      <c r="L7235">
        <v>17</v>
      </c>
      <c r="M7235">
        <v>5</v>
      </c>
      <c r="N7235">
        <v>5</v>
      </c>
      <c r="O7235" t="s">
        <v>53</v>
      </c>
      <c r="P7235" t="s">
        <v>53</v>
      </c>
      <c r="Q7235" t="s">
        <v>53</v>
      </c>
    </row>
    <row r="7236" spans="1:17" x14ac:dyDescent="0.2">
      <c r="A7236" s="30" t="str">
        <f>IF(C7236&amp;G7236&amp;D7236&lt;&gt;'Funnel setup'!$K$3&amp;'Funnel setup'!$K$4&amp;'Funnel setup'!$K$5,".",IF(A7235=".",1,A7235+1))</f>
        <v>.</v>
      </c>
      <c r="B7236" s="431" t="str">
        <f t="shared" si="113"/>
        <v>Varicose VeinProviderFULWOOD HALL HOSPITAL (NVC07)EQ-5D Index</v>
      </c>
      <c r="C7236" t="s">
        <v>17</v>
      </c>
      <c r="D7236" t="s">
        <v>1</v>
      </c>
      <c r="E7236" t="s">
        <v>3864</v>
      </c>
      <c r="F7236" t="s">
        <v>3865</v>
      </c>
      <c r="G7236" t="s">
        <v>52</v>
      </c>
      <c r="H7236">
        <v>51</v>
      </c>
      <c r="I7236">
        <v>0.81100000000000005</v>
      </c>
      <c r="J7236">
        <v>0.89</v>
      </c>
      <c r="K7236">
        <v>7.9000000000000001E-2</v>
      </c>
      <c r="L7236">
        <v>25</v>
      </c>
      <c r="M7236">
        <v>18</v>
      </c>
      <c r="N7236">
        <v>8</v>
      </c>
      <c r="O7236">
        <v>0.84399999999999997</v>
      </c>
      <c r="P7236">
        <v>9.7182763000000005E-2</v>
      </c>
      <c r="Q7236">
        <v>0.124</v>
      </c>
    </row>
    <row r="7237" spans="1:17" x14ac:dyDescent="0.2">
      <c r="A7237" s="30" t="str">
        <f>IF(C7237&amp;G7237&amp;D7237&lt;&gt;'Funnel setup'!$K$3&amp;'Funnel setup'!$K$4&amp;'Funnel setup'!$K$5,".",IF(A7236=".",1,A7236+1))</f>
        <v>.</v>
      </c>
      <c r="B7237" s="431" t="str">
        <f t="shared" si="113"/>
        <v>Varicose VeinProviderGATESHEAD HEALTH NHS FOUNDATION TRUST (RR7)EQ-5D Index</v>
      </c>
      <c r="C7237" t="s">
        <v>17</v>
      </c>
      <c r="D7237" t="s">
        <v>1</v>
      </c>
      <c r="E7237" t="s">
        <v>3867</v>
      </c>
      <c r="F7237" t="s">
        <v>3868</v>
      </c>
      <c r="G7237" t="s">
        <v>52</v>
      </c>
      <c r="H7237">
        <v>70</v>
      </c>
      <c r="I7237">
        <v>0.752</v>
      </c>
      <c r="J7237">
        <v>0.82599999999999996</v>
      </c>
      <c r="K7237">
        <v>7.3999999999999996E-2</v>
      </c>
      <c r="L7237">
        <v>34</v>
      </c>
      <c r="M7237">
        <v>22</v>
      </c>
      <c r="N7237">
        <v>14</v>
      </c>
      <c r="O7237">
        <v>0.81299999999999994</v>
      </c>
      <c r="P7237">
        <v>6.6536168000000007E-2</v>
      </c>
      <c r="Q7237">
        <v>0.19700000000000001</v>
      </c>
    </row>
    <row r="7238" spans="1:17" x14ac:dyDescent="0.2">
      <c r="A7238" s="30" t="str">
        <f>IF(C7238&amp;G7238&amp;D7238&lt;&gt;'Funnel setup'!$K$3&amp;'Funnel setup'!$K$4&amp;'Funnel setup'!$K$5,".",IF(A7237=".",1,A7237+1))</f>
        <v>.</v>
      </c>
      <c r="B7238" s="431" t="str">
        <f t="shared" si="113"/>
        <v>Varicose VeinProviderGEORGE ELIOT HOSPITAL NHS TRUST (RLT)EQ-5D Index</v>
      </c>
      <c r="C7238" t="s">
        <v>17</v>
      </c>
      <c r="D7238" t="s">
        <v>1</v>
      </c>
      <c r="E7238" t="s">
        <v>3870</v>
      </c>
      <c r="F7238" t="s">
        <v>3871</v>
      </c>
      <c r="G7238" t="s">
        <v>52</v>
      </c>
      <c r="H7238" t="s">
        <v>53</v>
      </c>
      <c r="I7238" t="s">
        <v>53</v>
      </c>
      <c r="J7238" t="s">
        <v>53</v>
      </c>
      <c r="K7238" t="s">
        <v>53</v>
      </c>
      <c r="L7238" t="s">
        <v>53</v>
      </c>
      <c r="M7238" t="s">
        <v>53</v>
      </c>
      <c r="N7238" t="s">
        <v>53</v>
      </c>
      <c r="O7238" t="s">
        <v>53</v>
      </c>
      <c r="P7238" t="s">
        <v>53</v>
      </c>
      <c r="Q7238" t="s">
        <v>53</v>
      </c>
    </row>
    <row r="7239" spans="1:17" x14ac:dyDescent="0.2">
      <c r="A7239" s="30" t="str">
        <f>IF(C7239&amp;G7239&amp;D7239&lt;&gt;'Funnel setup'!$K$3&amp;'Funnel setup'!$K$4&amp;'Funnel setup'!$K$5,".",IF(A7238=".",1,A7238+1))</f>
        <v>.</v>
      </c>
      <c r="B7239" s="431" t="str">
        <f t="shared" si="113"/>
        <v>Varicose VeinProviderGLOUCESTERSHIRE HOSPITALS NHS FOUNDATION TRUST (RTE)EQ-5D Index</v>
      </c>
      <c r="C7239" t="s">
        <v>17</v>
      </c>
      <c r="D7239" t="s">
        <v>1</v>
      </c>
      <c r="E7239" t="s">
        <v>3873</v>
      </c>
      <c r="F7239" t="s">
        <v>3874</v>
      </c>
      <c r="G7239" t="s">
        <v>52</v>
      </c>
      <c r="H7239">
        <v>45</v>
      </c>
      <c r="I7239">
        <v>0.80300000000000005</v>
      </c>
      <c r="J7239">
        <v>0.93899999999999995</v>
      </c>
      <c r="K7239">
        <v>0.13600000000000001</v>
      </c>
      <c r="L7239">
        <v>31</v>
      </c>
      <c r="M7239">
        <v>13</v>
      </c>
      <c r="N7239">
        <v>1</v>
      </c>
      <c r="O7239">
        <v>0.879</v>
      </c>
      <c r="P7239">
        <v>0.13186527000000001</v>
      </c>
      <c r="Q7239">
        <v>9.4E-2</v>
      </c>
    </row>
    <row r="7240" spans="1:17" x14ac:dyDescent="0.2">
      <c r="A7240" s="30" t="str">
        <f>IF(C7240&amp;G7240&amp;D7240&lt;&gt;'Funnel setup'!$K$3&amp;'Funnel setup'!$K$4&amp;'Funnel setup'!$K$5,".",IF(A7239=".",1,A7239+1))</f>
        <v>.</v>
      </c>
      <c r="B7240" s="431" t="str">
        <f t="shared" si="113"/>
        <v>Varicose VeinProviderGREAT WESTERN HOSPITALS NHS FOUNDATION TRUST (RN3)EQ-5D Index</v>
      </c>
      <c r="C7240" t="s">
        <v>17</v>
      </c>
      <c r="D7240" t="s">
        <v>1</v>
      </c>
      <c r="E7240" t="s">
        <v>3876</v>
      </c>
      <c r="F7240" t="s">
        <v>3877</v>
      </c>
      <c r="G7240" t="s">
        <v>52</v>
      </c>
      <c r="H7240">
        <v>22</v>
      </c>
      <c r="I7240">
        <v>0.56599999999999995</v>
      </c>
      <c r="J7240">
        <v>0.81499999999999995</v>
      </c>
      <c r="K7240">
        <v>0.249</v>
      </c>
      <c r="L7240">
        <v>14</v>
      </c>
      <c r="M7240">
        <v>8</v>
      </c>
      <c r="N7240">
        <v>0</v>
      </c>
      <c r="O7240" t="s">
        <v>53</v>
      </c>
      <c r="P7240" t="s">
        <v>53</v>
      </c>
      <c r="Q7240" t="s">
        <v>53</v>
      </c>
    </row>
    <row r="7241" spans="1:17" x14ac:dyDescent="0.2">
      <c r="A7241" s="30" t="str">
        <f>IF(C7241&amp;G7241&amp;D7241&lt;&gt;'Funnel setup'!$K$3&amp;'Funnel setup'!$K$4&amp;'Funnel setup'!$K$5,".",IF(A7240=".",1,A7240+1))</f>
        <v>.</v>
      </c>
      <c r="B7241" s="431" t="str">
        <f t="shared" si="113"/>
        <v>Varicose VeinProviderGUY'S AND ST THOMAS' NHS FOUNDATION TRUST (RJ1)EQ-5D Index</v>
      </c>
      <c r="C7241" t="s">
        <v>17</v>
      </c>
      <c r="D7241" t="s">
        <v>1</v>
      </c>
      <c r="E7241" t="s">
        <v>3879</v>
      </c>
      <c r="F7241" t="s">
        <v>3880</v>
      </c>
      <c r="G7241" t="s">
        <v>52</v>
      </c>
      <c r="H7241">
        <v>72</v>
      </c>
      <c r="I7241">
        <v>0.70199999999999996</v>
      </c>
      <c r="J7241">
        <v>0.76500000000000001</v>
      </c>
      <c r="K7241">
        <v>6.3E-2</v>
      </c>
      <c r="L7241">
        <v>32</v>
      </c>
      <c r="M7241">
        <v>23</v>
      </c>
      <c r="N7241">
        <v>17</v>
      </c>
      <c r="O7241">
        <v>0.8</v>
      </c>
      <c r="P7241">
        <v>5.2762781000000002E-2</v>
      </c>
      <c r="Q7241">
        <v>0.17599999999999999</v>
      </c>
    </row>
    <row r="7242" spans="1:17" x14ac:dyDescent="0.2">
      <c r="A7242" s="30" t="str">
        <f>IF(C7242&amp;G7242&amp;D7242&lt;&gt;'Funnel setup'!$K$3&amp;'Funnel setup'!$K$4&amp;'Funnel setup'!$K$5,".",IF(A7241=".",1,A7241+1))</f>
        <v>.</v>
      </c>
      <c r="B7242" s="431" t="str">
        <f t="shared" si="113"/>
        <v>Varicose VeinProviderHAMPSHIRE HOSPITALS NHS FOUNDATION TRUST (RN5)EQ-5D Index</v>
      </c>
      <c r="C7242" t="s">
        <v>17</v>
      </c>
      <c r="D7242" t="s">
        <v>1</v>
      </c>
      <c r="E7242" t="s">
        <v>3882</v>
      </c>
      <c r="F7242" t="s">
        <v>3883</v>
      </c>
      <c r="G7242" t="s">
        <v>52</v>
      </c>
      <c r="H7242" t="s">
        <v>53</v>
      </c>
      <c r="I7242" t="s">
        <v>53</v>
      </c>
      <c r="J7242" t="s">
        <v>53</v>
      </c>
      <c r="K7242" t="s">
        <v>53</v>
      </c>
      <c r="L7242" t="s">
        <v>53</v>
      </c>
      <c r="M7242" t="s">
        <v>53</v>
      </c>
      <c r="N7242" t="s">
        <v>53</v>
      </c>
      <c r="O7242" t="s">
        <v>53</v>
      </c>
      <c r="P7242" t="s">
        <v>53</v>
      </c>
      <c r="Q7242" t="s">
        <v>53</v>
      </c>
    </row>
    <row r="7243" spans="1:17" x14ac:dyDescent="0.2">
      <c r="A7243" s="30" t="str">
        <f>IF(C7243&amp;G7243&amp;D7243&lt;&gt;'Funnel setup'!$K$3&amp;'Funnel setup'!$K$4&amp;'Funnel setup'!$K$5,".",IF(A7242=".",1,A7242+1))</f>
        <v>.</v>
      </c>
      <c r="B7243" s="431" t="str">
        <f t="shared" si="113"/>
        <v>Varicose VeinProviderHARROGATE AND DISTRICT NHS FOUNDATION TRUST (RCD)EQ-5D Index</v>
      </c>
      <c r="C7243" t="s">
        <v>17</v>
      </c>
      <c r="D7243" t="s">
        <v>1</v>
      </c>
      <c r="E7243" t="s">
        <v>3885</v>
      </c>
      <c r="F7243" t="s">
        <v>3886</v>
      </c>
      <c r="G7243" t="s">
        <v>52</v>
      </c>
      <c r="H7243" t="s">
        <v>53</v>
      </c>
      <c r="I7243" t="s">
        <v>53</v>
      </c>
      <c r="J7243" t="s">
        <v>53</v>
      </c>
      <c r="K7243" t="s">
        <v>53</v>
      </c>
      <c r="L7243" t="s">
        <v>53</v>
      </c>
      <c r="M7243" t="s">
        <v>53</v>
      </c>
      <c r="N7243" t="s">
        <v>53</v>
      </c>
      <c r="O7243" t="s">
        <v>53</v>
      </c>
      <c r="P7243" t="s">
        <v>53</v>
      </c>
      <c r="Q7243" t="s">
        <v>53</v>
      </c>
    </row>
    <row r="7244" spans="1:17" x14ac:dyDescent="0.2">
      <c r="A7244" s="30" t="str">
        <f>IF(C7244&amp;G7244&amp;D7244&lt;&gt;'Funnel setup'!$K$3&amp;'Funnel setup'!$K$4&amp;'Funnel setup'!$K$5,".",IF(A7243=".",1,A7243+1))</f>
        <v>.</v>
      </c>
      <c r="B7244" s="431" t="str">
        <f t="shared" si="113"/>
        <v>Varicose VeinProviderHEART OF ENGLAND NHS FOUNDATION TRUST (RR1)EQ-5D Index</v>
      </c>
      <c r="C7244" t="s">
        <v>17</v>
      </c>
      <c r="D7244" t="s">
        <v>1</v>
      </c>
      <c r="E7244" t="s">
        <v>3888</v>
      </c>
      <c r="F7244" t="s">
        <v>3889</v>
      </c>
      <c r="G7244" t="s">
        <v>52</v>
      </c>
      <c r="H7244">
        <v>149</v>
      </c>
      <c r="I7244">
        <v>0.72</v>
      </c>
      <c r="J7244">
        <v>0.85399999999999998</v>
      </c>
      <c r="K7244">
        <v>0.13500000000000001</v>
      </c>
      <c r="L7244">
        <v>88</v>
      </c>
      <c r="M7244">
        <v>44</v>
      </c>
      <c r="N7244">
        <v>17</v>
      </c>
      <c r="O7244">
        <v>0.86699999999999999</v>
      </c>
      <c r="P7244">
        <v>0.120131053</v>
      </c>
      <c r="Q7244">
        <v>0.16800000000000001</v>
      </c>
    </row>
    <row r="7245" spans="1:17" x14ac:dyDescent="0.2">
      <c r="A7245" s="30" t="str">
        <f>IF(C7245&amp;G7245&amp;D7245&lt;&gt;'Funnel setup'!$K$3&amp;'Funnel setup'!$K$4&amp;'Funnel setup'!$K$5,".",IF(A7244=".",1,A7244+1))</f>
        <v>.</v>
      </c>
      <c r="B7245" s="431" t="str">
        <f t="shared" si="113"/>
        <v>Varicose VeinProviderHINCHINGBROOKE HEALTH CARE NHS TRUST (RQQ)EQ-5D Index</v>
      </c>
      <c r="C7245" t="s">
        <v>17</v>
      </c>
      <c r="D7245" t="s">
        <v>1</v>
      </c>
      <c r="E7245" t="s">
        <v>3894</v>
      </c>
      <c r="F7245" t="s">
        <v>3895</v>
      </c>
      <c r="G7245" t="s">
        <v>52</v>
      </c>
      <c r="H7245" t="s">
        <v>53</v>
      </c>
      <c r="I7245" t="s">
        <v>53</v>
      </c>
      <c r="J7245" t="s">
        <v>53</v>
      </c>
      <c r="K7245" t="s">
        <v>53</v>
      </c>
      <c r="L7245" t="s">
        <v>53</v>
      </c>
      <c r="M7245" t="s">
        <v>53</v>
      </c>
      <c r="N7245" t="s">
        <v>53</v>
      </c>
      <c r="O7245" t="s">
        <v>53</v>
      </c>
      <c r="P7245" t="s">
        <v>53</v>
      </c>
      <c r="Q7245" t="s">
        <v>53</v>
      </c>
    </row>
    <row r="7246" spans="1:17" x14ac:dyDescent="0.2">
      <c r="A7246" s="30" t="str">
        <f>IF(C7246&amp;G7246&amp;D7246&lt;&gt;'Funnel setup'!$K$3&amp;'Funnel setup'!$K$4&amp;'Funnel setup'!$K$5,".",IF(A7245=".",1,A7245+1))</f>
        <v>.</v>
      </c>
      <c r="B7246" s="431" t="str">
        <f t="shared" si="113"/>
        <v>Varicose VeinProviderHULL AND EAST YORKSHIRE HOSPITALS NHS TRUST (RWA)EQ-5D Index</v>
      </c>
      <c r="C7246" t="s">
        <v>17</v>
      </c>
      <c r="D7246" t="s">
        <v>1</v>
      </c>
      <c r="E7246" t="s">
        <v>3906</v>
      </c>
      <c r="F7246" t="s">
        <v>3907</v>
      </c>
      <c r="G7246" t="s">
        <v>52</v>
      </c>
      <c r="H7246">
        <v>100</v>
      </c>
      <c r="I7246">
        <v>0.77800000000000002</v>
      </c>
      <c r="J7246">
        <v>0.89</v>
      </c>
      <c r="K7246">
        <v>0.112</v>
      </c>
      <c r="L7246">
        <v>64</v>
      </c>
      <c r="M7246">
        <v>25</v>
      </c>
      <c r="N7246">
        <v>11</v>
      </c>
      <c r="O7246">
        <v>0.86399999999999999</v>
      </c>
      <c r="P7246">
        <v>0.116771945</v>
      </c>
      <c r="Q7246">
        <v>0.182</v>
      </c>
    </row>
    <row r="7247" spans="1:17" x14ac:dyDescent="0.2">
      <c r="A7247" s="30" t="str">
        <f>IF(C7247&amp;G7247&amp;D7247&lt;&gt;'Funnel setup'!$K$3&amp;'Funnel setup'!$K$4&amp;'Funnel setup'!$K$5,".",IF(A7246=".",1,A7246+1))</f>
        <v>.</v>
      </c>
      <c r="B7247" s="431" t="str">
        <f t="shared" si="113"/>
        <v>Varicose VeinProviderIMPERIAL COLLEGE HEALTHCARE NHS TRUST (RYJ)EQ-5D Index</v>
      </c>
      <c r="C7247" t="s">
        <v>17</v>
      </c>
      <c r="D7247" t="s">
        <v>1</v>
      </c>
      <c r="E7247" t="s">
        <v>4558</v>
      </c>
      <c r="F7247" t="s">
        <v>4559</v>
      </c>
      <c r="G7247" t="s">
        <v>52</v>
      </c>
      <c r="H7247">
        <v>174</v>
      </c>
      <c r="I7247">
        <v>0.73299999999999998</v>
      </c>
      <c r="J7247">
        <v>0.78</v>
      </c>
      <c r="K7247">
        <v>4.7E-2</v>
      </c>
      <c r="L7247">
        <v>81</v>
      </c>
      <c r="M7247">
        <v>48</v>
      </c>
      <c r="N7247">
        <v>45</v>
      </c>
      <c r="O7247">
        <v>0.79400000000000004</v>
      </c>
      <c r="P7247">
        <v>4.6758518999999998E-2</v>
      </c>
      <c r="Q7247">
        <v>0.193</v>
      </c>
    </row>
    <row r="7248" spans="1:17" x14ac:dyDescent="0.2">
      <c r="A7248" s="30" t="str">
        <f>IF(C7248&amp;G7248&amp;D7248&lt;&gt;'Funnel setup'!$K$3&amp;'Funnel setup'!$K$4&amp;'Funnel setup'!$K$5,".",IF(A7247=".",1,A7247+1))</f>
        <v>.</v>
      </c>
      <c r="B7248" s="431" t="str">
        <f t="shared" si="113"/>
        <v>Varicose VeinProviderIPSWICH HOSPITAL NHS TRUST (RGQ)EQ-5D Index</v>
      </c>
      <c r="C7248" t="s">
        <v>17</v>
      </c>
      <c r="D7248" t="s">
        <v>1</v>
      </c>
      <c r="E7248" t="s">
        <v>3909</v>
      </c>
      <c r="F7248" t="s">
        <v>3910</v>
      </c>
      <c r="G7248" t="s">
        <v>52</v>
      </c>
      <c r="H7248">
        <v>100</v>
      </c>
      <c r="I7248">
        <v>0.748</v>
      </c>
      <c r="J7248">
        <v>0.84099999999999997</v>
      </c>
      <c r="K7248">
        <v>9.2999999999999999E-2</v>
      </c>
      <c r="L7248">
        <v>54</v>
      </c>
      <c r="M7248">
        <v>29</v>
      </c>
      <c r="N7248">
        <v>17</v>
      </c>
      <c r="O7248">
        <v>0.83199999999999996</v>
      </c>
      <c r="P7248">
        <v>8.5592114999999996E-2</v>
      </c>
      <c r="Q7248">
        <v>0.17399999999999999</v>
      </c>
    </row>
    <row r="7249" spans="1:17" x14ac:dyDescent="0.2">
      <c r="A7249" s="30" t="str">
        <f>IF(C7249&amp;G7249&amp;D7249&lt;&gt;'Funnel setup'!$K$3&amp;'Funnel setup'!$K$4&amp;'Funnel setup'!$K$5,".",IF(A7248=".",1,A7248+1))</f>
        <v>.</v>
      </c>
      <c r="B7249" s="431" t="str">
        <f t="shared" si="113"/>
        <v>Varicose VeinProviderJAMES PAGET UNIVERSITY HOSPITALS NHS FOUNDATION TRUST (RGP)EQ-5D Index</v>
      </c>
      <c r="C7249" t="s">
        <v>17</v>
      </c>
      <c r="D7249" t="s">
        <v>1</v>
      </c>
      <c r="E7249" t="s">
        <v>3915</v>
      </c>
      <c r="F7249" t="s">
        <v>3916</v>
      </c>
      <c r="G7249" t="s">
        <v>52</v>
      </c>
      <c r="H7249">
        <v>26</v>
      </c>
      <c r="I7249">
        <v>0.80500000000000005</v>
      </c>
      <c r="J7249">
        <v>0.89800000000000002</v>
      </c>
      <c r="K7249">
        <v>9.2999999999999999E-2</v>
      </c>
      <c r="L7249">
        <v>13</v>
      </c>
      <c r="M7249">
        <v>9</v>
      </c>
      <c r="N7249">
        <v>4</v>
      </c>
      <c r="O7249" t="s">
        <v>53</v>
      </c>
      <c r="P7249" t="s">
        <v>53</v>
      </c>
      <c r="Q7249" t="s">
        <v>53</v>
      </c>
    </row>
    <row r="7250" spans="1:17" x14ac:dyDescent="0.2">
      <c r="A7250" s="30" t="str">
        <f>IF(C7250&amp;G7250&amp;D7250&lt;&gt;'Funnel setup'!$K$3&amp;'Funnel setup'!$K$4&amp;'Funnel setup'!$K$5,".",IF(A7249=".",1,A7249+1))</f>
        <v>.</v>
      </c>
      <c r="B7250" s="431" t="str">
        <f t="shared" si="113"/>
        <v>Varicose VeinProviderKETTERING GENERAL HOSPITAL NHS FOUNDATION TRUST (RNQ)EQ-5D Index</v>
      </c>
      <c r="C7250" t="s">
        <v>17</v>
      </c>
      <c r="D7250" t="s">
        <v>1</v>
      </c>
      <c r="E7250" t="s">
        <v>3918</v>
      </c>
      <c r="F7250" t="s">
        <v>3919</v>
      </c>
      <c r="G7250" t="s">
        <v>52</v>
      </c>
      <c r="H7250" t="s">
        <v>53</v>
      </c>
      <c r="I7250" t="s">
        <v>53</v>
      </c>
      <c r="J7250" t="s">
        <v>53</v>
      </c>
      <c r="K7250" t="s">
        <v>53</v>
      </c>
      <c r="L7250" t="s">
        <v>53</v>
      </c>
      <c r="M7250" t="s">
        <v>53</v>
      </c>
      <c r="N7250" t="s">
        <v>53</v>
      </c>
      <c r="O7250" t="s">
        <v>53</v>
      </c>
      <c r="P7250" t="s">
        <v>53</v>
      </c>
      <c r="Q7250" t="s">
        <v>53</v>
      </c>
    </row>
    <row r="7251" spans="1:17" x14ac:dyDescent="0.2">
      <c r="A7251" s="30" t="str">
        <f>IF(C7251&amp;G7251&amp;D7251&lt;&gt;'Funnel setup'!$K$3&amp;'Funnel setup'!$K$4&amp;'Funnel setup'!$K$5,".",IF(A7250=".",1,A7250+1))</f>
        <v>.</v>
      </c>
      <c r="B7251" s="431" t="str">
        <f t="shared" si="113"/>
        <v>Varicose VeinProviderKING'S COLLEGE HOSPITAL NHS FOUNDATION TRUST (RJZ)EQ-5D Index</v>
      </c>
      <c r="C7251" t="s">
        <v>17</v>
      </c>
      <c r="D7251" t="s">
        <v>1</v>
      </c>
      <c r="E7251" t="s">
        <v>3924</v>
      </c>
      <c r="F7251" t="s">
        <v>3925</v>
      </c>
      <c r="G7251" t="s">
        <v>52</v>
      </c>
      <c r="H7251">
        <v>19</v>
      </c>
      <c r="I7251">
        <v>0.82199999999999995</v>
      </c>
      <c r="J7251">
        <v>0.85699999999999998</v>
      </c>
      <c r="K7251">
        <v>3.5000000000000003E-2</v>
      </c>
      <c r="L7251">
        <v>6</v>
      </c>
      <c r="M7251">
        <v>11</v>
      </c>
      <c r="N7251">
        <v>2</v>
      </c>
      <c r="O7251" t="s">
        <v>53</v>
      </c>
      <c r="P7251" t="s">
        <v>53</v>
      </c>
      <c r="Q7251" t="s">
        <v>53</v>
      </c>
    </row>
    <row r="7252" spans="1:17" x14ac:dyDescent="0.2">
      <c r="A7252" s="30" t="str">
        <f>IF(C7252&amp;G7252&amp;D7252&lt;&gt;'Funnel setup'!$K$3&amp;'Funnel setup'!$K$4&amp;'Funnel setup'!$K$5,".",IF(A7251=".",1,A7251+1))</f>
        <v>.</v>
      </c>
      <c r="B7252" s="431" t="str">
        <f t="shared" si="113"/>
        <v>Varicose VeinProviderLANCASHIRE TEACHING HOSPITALS NHS FOUNDATION TRUST (RXN)EQ-5D Index</v>
      </c>
      <c r="C7252" t="s">
        <v>17</v>
      </c>
      <c r="D7252" t="s">
        <v>1</v>
      </c>
      <c r="E7252" t="s">
        <v>3567</v>
      </c>
      <c r="F7252" t="s">
        <v>3568</v>
      </c>
      <c r="G7252" t="s">
        <v>52</v>
      </c>
      <c r="H7252">
        <v>11</v>
      </c>
      <c r="I7252">
        <v>0.82899999999999996</v>
      </c>
      <c r="J7252">
        <v>0.88600000000000001</v>
      </c>
      <c r="K7252">
        <v>5.7000000000000002E-2</v>
      </c>
      <c r="L7252">
        <v>4</v>
      </c>
      <c r="M7252">
        <v>6</v>
      </c>
      <c r="N7252">
        <v>1</v>
      </c>
      <c r="O7252" t="s">
        <v>53</v>
      </c>
      <c r="P7252" t="s">
        <v>53</v>
      </c>
      <c r="Q7252" t="s">
        <v>53</v>
      </c>
    </row>
    <row r="7253" spans="1:17" x14ac:dyDescent="0.2">
      <c r="A7253" s="30" t="str">
        <f>IF(C7253&amp;G7253&amp;D7253&lt;&gt;'Funnel setup'!$K$3&amp;'Funnel setup'!$K$4&amp;'Funnel setup'!$K$5,".",IF(A7252=".",1,A7252+1))</f>
        <v>.</v>
      </c>
      <c r="B7253" s="431" t="str">
        <f t="shared" si="113"/>
        <v>Varicose VeinProviderLEEDS TEACHING HOSPITALS NHS TRUST (RR8)EQ-5D Index</v>
      </c>
      <c r="C7253" t="s">
        <v>17</v>
      </c>
      <c r="D7253" t="s">
        <v>1</v>
      </c>
      <c r="E7253" t="s">
        <v>3930</v>
      </c>
      <c r="F7253" t="s">
        <v>344</v>
      </c>
      <c r="G7253" t="s">
        <v>52</v>
      </c>
      <c r="H7253">
        <v>224</v>
      </c>
      <c r="I7253">
        <v>0.77900000000000003</v>
      </c>
      <c r="J7253">
        <v>0.86</v>
      </c>
      <c r="K7253">
        <v>8.1000000000000003E-2</v>
      </c>
      <c r="L7253">
        <v>117</v>
      </c>
      <c r="M7253">
        <v>68</v>
      </c>
      <c r="N7253">
        <v>39</v>
      </c>
      <c r="O7253">
        <v>0.84</v>
      </c>
      <c r="P7253">
        <v>9.3130487999999997E-2</v>
      </c>
      <c r="Q7253">
        <v>0.16700000000000001</v>
      </c>
    </row>
    <row r="7254" spans="1:17" x14ac:dyDescent="0.2">
      <c r="A7254" s="30" t="str">
        <f>IF(C7254&amp;G7254&amp;D7254&lt;&gt;'Funnel setup'!$K$3&amp;'Funnel setup'!$K$4&amp;'Funnel setup'!$K$5,".",IF(A7253=".",1,A7253+1))</f>
        <v>.</v>
      </c>
      <c r="B7254" s="431" t="str">
        <f t="shared" si="113"/>
        <v>Varicose VeinProviderLEWISHAM AND GREENWICH NHS TRUST (RJ2)EQ-5D Index</v>
      </c>
      <c r="C7254" t="s">
        <v>17</v>
      </c>
      <c r="D7254" t="s">
        <v>1</v>
      </c>
      <c r="E7254" t="s">
        <v>3522</v>
      </c>
      <c r="F7254" t="s">
        <v>3523</v>
      </c>
      <c r="G7254" t="s">
        <v>52</v>
      </c>
      <c r="H7254">
        <v>89</v>
      </c>
      <c r="I7254">
        <v>0.72799999999999998</v>
      </c>
      <c r="J7254">
        <v>0.80300000000000005</v>
      </c>
      <c r="K7254">
        <v>7.3999999999999996E-2</v>
      </c>
      <c r="L7254">
        <v>45</v>
      </c>
      <c r="M7254">
        <v>29</v>
      </c>
      <c r="N7254">
        <v>15</v>
      </c>
      <c r="O7254">
        <v>0.82899999999999996</v>
      </c>
      <c r="P7254">
        <v>8.2359740000000001E-2</v>
      </c>
      <c r="Q7254">
        <v>0.184</v>
      </c>
    </row>
    <row r="7255" spans="1:17" x14ac:dyDescent="0.2">
      <c r="A7255" s="30" t="str">
        <f>IF(C7255&amp;G7255&amp;D7255&lt;&gt;'Funnel setup'!$K$3&amp;'Funnel setup'!$K$4&amp;'Funnel setup'!$K$5,".",IF(A7254=".",1,A7254+1))</f>
        <v>.</v>
      </c>
      <c r="B7255" s="431" t="str">
        <f t="shared" si="113"/>
        <v>Varicose VeinProviderLONDON NORTH WEST HEALTHCARE NHS TRUST (R1K)EQ-5D Index</v>
      </c>
      <c r="C7255" t="s">
        <v>17</v>
      </c>
      <c r="D7255" t="s">
        <v>1</v>
      </c>
      <c r="E7255" t="s">
        <v>6515</v>
      </c>
      <c r="F7255" t="s">
        <v>6516</v>
      </c>
      <c r="G7255" t="s">
        <v>52</v>
      </c>
      <c r="H7255">
        <v>42</v>
      </c>
      <c r="I7255">
        <v>0.66600000000000004</v>
      </c>
      <c r="J7255">
        <v>0.74199999999999999</v>
      </c>
      <c r="K7255">
        <v>7.5999999999999998E-2</v>
      </c>
      <c r="L7255">
        <v>20</v>
      </c>
      <c r="M7255">
        <v>15</v>
      </c>
      <c r="N7255">
        <v>7</v>
      </c>
      <c r="O7255">
        <v>0.80800000000000005</v>
      </c>
      <c r="P7255">
        <v>6.1741677000000002E-2</v>
      </c>
      <c r="Q7255">
        <v>0.218</v>
      </c>
    </row>
    <row r="7256" spans="1:17" x14ac:dyDescent="0.2">
      <c r="A7256" s="30" t="str">
        <f>IF(C7256&amp;G7256&amp;D7256&lt;&gt;'Funnel setup'!$K$3&amp;'Funnel setup'!$K$4&amp;'Funnel setup'!$K$5,".",IF(A7255=".",1,A7255+1))</f>
        <v>.</v>
      </c>
      <c r="B7256" s="431" t="str">
        <f t="shared" si="113"/>
        <v>Varicose VeinProviderLUTON AND DUNSTABLE UNIVERSITY HOSPITAL NHS FOUNDATION TRUST (RC9)EQ-5D Index</v>
      </c>
      <c r="C7256" t="s">
        <v>17</v>
      </c>
      <c r="D7256" t="s">
        <v>1</v>
      </c>
      <c r="E7256" t="s">
        <v>3528</v>
      </c>
      <c r="F7256" t="s">
        <v>3529</v>
      </c>
      <c r="G7256" t="s">
        <v>52</v>
      </c>
      <c r="H7256">
        <v>12</v>
      </c>
      <c r="I7256">
        <v>0.59199999999999997</v>
      </c>
      <c r="J7256">
        <v>0.82</v>
      </c>
      <c r="K7256">
        <v>0.22800000000000001</v>
      </c>
      <c r="L7256">
        <v>9</v>
      </c>
      <c r="M7256">
        <v>2</v>
      </c>
      <c r="N7256">
        <v>1</v>
      </c>
      <c r="O7256" t="s">
        <v>53</v>
      </c>
      <c r="P7256" t="s">
        <v>53</v>
      </c>
      <c r="Q7256" t="s">
        <v>53</v>
      </c>
    </row>
    <row r="7257" spans="1:17" x14ac:dyDescent="0.2">
      <c r="A7257" s="30" t="str">
        <f>IF(C7257&amp;G7257&amp;D7257&lt;&gt;'Funnel setup'!$K$3&amp;'Funnel setup'!$K$4&amp;'Funnel setup'!$K$5,".",IF(A7256=".",1,A7256+1))</f>
        <v>.</v>
      </c>
      <c r="B7257" s="431" t="str">
        <f t="shared" si="113"/>
        <v>Varicose VeinProviderMAIDSTONE AND TUNBRIDGE WELLS NHS TRUST (RWF)EQ-5D Index</v>
      </c>
      <c r="C7257" t="s">
        <v>17</v>
      </c>
      <c r="D7257" t="s">
        <v>1</v>
      </c>
      <c r="E7257" t="s">
        <v>3627</v>
      </c>
      <c r="F7257" t="s">
        <v>3628</v>
      </c>
      <c r="G7257" t="s">
        <v>52</v>
      </c>
      <c r="H7257">
        <v>7</v>
      </c>
      <c r="I7257">
        <v>0.70299999999999996</v>
      </c>
      <c r="J7257">
        <v>0.82</v>
      </c>
      <c r="K7257">
        <v>0.11799999999999999</v>
      </c>
      <c r="L7257">
        <v>4</v>
      </c>
      <c r="M7257">
        <v>2</v>
      </c>
      <c r="N7257">
        <v>1</v>
      </c>
      <c r="O7257" t="s">
        <v>53</v>
      </c>
      <c r="P7257" t="s">
        <v>53</v>
      </c>
      <c r="Q7257" t="s">
        <v>53</v>
      </c>
    </row>
    <row r="7258" spans="1:17" x14ac:dyDescent="0.2">
      <c r="A7258" s="30" t="str">
        <f>IF(C7258&amp;G7258&amp;D7258&lt;&gt;'Funnel setup'!$K$3&amp;'Funnel setup'!$K$4&amp;'Funnel setup'!$K$5,".",IF(A7257=".",1,A7257+1))</f>
        <v>.</v>
      </c>
      <c r="B7258" s="431" t="str">
        <f t="shared" si="113"/>
        <v>Varicose VeinProviderMEDWAY NHS FOUNDATION TRUST (RPA)EQ-5D Index</v>
      </c>
      <c r="C7258" t="s">
        <v>17</v>
      </c>
      <c r="D7258" t="s">
        <v>1</v>
      </c>
      <c r="E7258" t="s">
        <v>3630</v>
      </c>
      <c r="F7258" t="s">
        <v>3631</v>
      </c>
      <c r="G7258" t="s">
        <v>52</v>
      </c>
      <c r="H7258">
        <v>6</v>
      </c>
      <c r="I7258">
        <v>0.89800000000000002</v>
      </c>
      <c r="J7258">
        <v>0.92100000000000004</v>
      </c>
      <c r="K7258">
        <v>2.1999999999999999E-2</v>
      </c>
      <c r="L7258">
        <v>1</v>
      </c>
      <c r="M7258">
        <v>4</v>
      </c>
      <c r="N7258">
        <v>1</v>
      </c>
      <c r="O7258" t="s">
        <v>53</v>
      </c>
      <c r="P7258" t="s">
        <v>53</v>
      </c>
      <c r="Q7258" t="s">
        <v>53</v>
      </c>
    </row>
    <row r="7259" spans="1:17" x14ac:dyDescent="0.2">
      <c r="A7259" s="30" t="str">
        <f>IF(C7259&amp;G7259&amp;D7259&lt;&gt;'Funnel setup'!$K$3&amp;'Funnel setup'!$K$4&amp;'Funnel setup'!$K$5,".",IF(A7258=".",1,A7258+1))</f>
        <v>.</v>
      </c>
      <c r="B7259" s="431" t="str">
        <f t="shared" si="113"/>
        <v>Varicose VeinProviderMID CHESHIRE HOSPITALS NHS FOUNDATION TRUST (RBT)EQ-5D Index</v>
      </c>
      <c r="C7259" t="s">
        <v>17</v>
      </c>
      <c r="D7259" t="s">
        <v>1</v>
      </c>
      <c r="E7259" t="s">
        <v>3633</v>
      </c>
      <c r="F7259" t="s">
        <v>342</v>
      </c>
      <c r="G7259" t="s">
        <v>52</v>
      </c>
      <c r="H7259">
        <v>11</v>
      </c>
      <c r="I7259">
        <v>0.71299999999999997</v>
      </c>
      <c r="J7259">
        <v>0.93400000000000005</v>
      </c>
      <c r="K7259">
        <v>0.221</v>
      </c>
      <c r="L7259">
        <v>7</v>
      </c>
      <c r="M7259">
        <v>3</v>
      </c>
      <c r="N7259">
        <v>1</v>
      </c>
      <c r="O7259" t="s">
        <v>53</v>
      </c>
      <c r="P7259" t="s">
        <v>53</v>
      </c>
      <c r="Q7259" t="s">
        <v>53</v>
      </c>
    </row>
    <row r="7260" spans="1:17" x14ac:dyDescent="0.2">
      <c r="A7260" s="30" t="str">
        <f>IF(C7260&amp;G7260&amp;D7260&lt;&gt;'Funnel setup'!$K$3&amp;'Funnel setup'!$K$4&amp;'Funnel setup'!$K$5,".",IF(A7259=".",1,A7259+1))</f>
        <v>.</v>
      </c>
      <c r="B7260" s="431" t="str">
        <f t="shared" si="113"/>
        <v>Varicose VeinProviderMID ESSEX HOSPITAL SERVICES NHS TRUST (RQ8)EQ-5D Index</v>
      </c>
      <c r="C7260" t="s">
        <v>17</v>
      </c>
      <c r="D7260" t="s">
        <v>1</v>
      </c>
      <c r="E7260" t="s">
        <v>3635</v>
      </c>
      <c r="F7260" t="s">
        <v>3636</v>
      </c>
      <c r="G7260" t="s">
        <v>52</v>
      </c>
      <c r="H7260">
        <v>28</v>
      </c>
      <c r="I7260">
        <v>0.76200000000000001</v>
      </c>
      <c r="J7260">
        <v>0.81799999999999995</v>
      </c>
      <c r="K7260">
        <v>5.6000000000000001E-2</v>
      </c>
      <c r="L7260">
        <v>16</v>
      </c>
      <c r="M7260">
        <v>6</v>
      </c>
      <c r="N7260">
        <v>6</v>
      </c>
      <c r="O7260" t="s">
        <v>53</v>
      </c>
      <c r="P7260" t="s">
        <v>53</v>
      </c>
      <c r="Q7260" t="s">
        <v>53</v>
      </c>
    </row>
    <row r="7261" spans="1:17" x14ac:dyDescent="0.2">
      <c r="A7261" s="30" t="str">
        <f>IF(C7261&amp;G7261&amp;D7261&lt;&gt;'Funnel setup'!$K$3&amp;'Funnel setup'!$K$4&amp;'Funnel setup'!$K$5,".",IF(A7260=".",1,A7260+1))</f>
        <v>.</v>
      </c>
      <c r="B7261" s="431" t="str">
        <f t="shared" si="113"/>
        <v>Varicose VeinProviderMID STAFFORDSHIRE NHS FOUNDATION TRUST (RJD)EQ-5D Index</v>
      </c>
      <c r="C7261" t="s">
        <v>17</v>
      </c>
      <c r="D7261" t="s">
        <v>1</v>
      </c>
      <c r="E7261" t="s">
        <v>3638</v>
      </c>
      <c r="F7261" t="s">
        <v>3639</v>
      </c>
      <c r="G7261" t="s">
        <v>52</v>
      </c>
      <c r="H7261" t="s">
        <v>53</v>
      </c>
      <c r="I7261" t="s">
        <v>53</v>
      </c>
      <c r="J7261" t="s">
        <v>53</v>
      </c>
      <c r="K7261" t="s">
        <v>53</v>
      </c>
      <c r="L7261" t="s">
        <v>53</v>
      </c>
      <c r="M7261" t="s">
        <v>53</v>
      </c>
      <c r="N7261" t="s">
        <v>53</v>
      </c>
      <c r="O7261" t="s">
        <v>53</v>
      </c>
      <c r="P7261" t="s">
        <v>53</v>
      </c>
      <c r="Q7261" t="s">
        <v>53</v>
      </c>
    </row>
    <row r="7262" spans="1:17" x14ac:dyDescent="0.2">
      <c r="A7262" s="30" t="str">
        <f>IF(C7262&amp;G7262&amp;D7262&lt;&gt;'Funnel setup'!$K$3&amp;'Funnel setup'!$K$4&amp;'Funnel setup'!$K$5,".",IF(A7261=".",1,A7261+1))</f>
        <v>.</v>
      </c>
      <c r="B7262" s="431" t="str">
        <f t="shared" si="113"/>
        <v>Varicose VeinProviderMID YORKSHIRE HOSPITALS NHS TRUST (RXF)EQ-5D Index</v>
      </c>
      <c r="C7262" t="s">
        <v>17</v>
      </c>
      <c r="D7262" t="s">
        <v>1</v>
      </c>
      <c r="E7262" t="s">
        <v>3641</v>
      </c>
      <c r="F7262" t="s">
        <v>3642</v>
      </c>
      <c r="G7262" t="s">
        <v>52</v>
      </c>
      <c r="H7262">
        <v>74</v>
      </c>
      <c r="I7262">
        <v>0.748</v>
      </c>
      <c r="J7262">
        <v>0.86399999999999999</v>
      </c>
      <c r="K7262">
        <v>0.11600000000000001</v>
      </c>
      <c r="L7262">
        <v>39</v>
      </c>
      <c r="M7262">
        <v>21</v>
      </c>
      <c r="N7262">
        <v>14</v>
      </c>
      <c r="O7262">
        <v>0.86699999999999999</v>
      </c>
      <c r="P7262">
        <v>0.120399768</v>
      </c>
      <c r="Q7262">
        <v>0.17399999999999999</v>
      </c>
    </row>
    <row r="7263" spans="1:17" x14ac:dyDescent="0.2">
      <c r="A7263" s="30" t="str">
        <f>IF(C7263&amp;G7263&amp;D7263&lt;&gt;'Funnel setup'!$K$3&amp;'Funnel setup'!$K$4&amp;'Funnel setup'!$K$5,".",IF(A7262=".",1,A7262+1))</f>
        <v>.</v>
      </c>
      <c r="B7263" s="431" t="str">
        <f t="shared" si="113"/>
        <v>Varicose VeinProviderMILTON KEYNES UNIVERSITY HOSPITAL NHS FOUNDATION TRUST (RD8)EQ-5D Index</v>
      </c>
      <c r="C7263" t="s">
        <v>17</v>
      </c>
      <c r="D7263" t="s">
        <v>1</v>
      </c>
      <c r="E7263" t="s">
        <v>3643</v>
      </c>
      <c r="F7263" t="s">
        <v>6580</v>
      </c>
      <c r="G7263" t="s">
        <v>52</v>
      </c>
      <c r="H7263">
        <v>20</v>
      </c>
      <c r="I7263">
        <v>0.71399999999999997</v>
      </c>
      <c r="J7263">
        <v>0.81299999999999994</v>
      </c>
      <c r="K7263">
        <v>0.1</v>
      </c>
      <c r="L7263">
        <v>8</v>
      </c>
      <c r="M7263">
        <v>6</v>
      </c>
      <c r="N7263">
        <v>6</v>
      </c>
      <c r="O7263" t="s">
        <v>53</v>
      </c>
      <c r="P7263" t="s">
        <v>53</v>
      </c>
      <c r="Q7263" t="s">
        <v>53</v>
      </c>
    </row>
    <row r="7264" spans="1:17" x14ac:dyDescent="0.2">
      <c r="A7264" s="30" t="str">
        <f>IF(C7264&amp;G7264&amp;D7264&lt;&gt;'Funnel setup'!$K$3&amp;'Funnel setup'!$K$4&amp;'Funnel setup'!$K$5,".",IF(A7263=".",1,A7263+1))</f>
        <v>.</v>
      </c>
      <c r="B7264" s="431" t="str">
        <f t="shared" si="113"/>
        <v>Varicose VeinProviderNORFOLK AND NORWICH UNIVERSITY HOSPITALS NHS FOUNDATION TRUST (RM1)EQ-5D Index</v>
      </c>
      <c r="C7264" t="s">
        <v>17</v>
      </c>
      <c r="D7264" t="s">
        <v>1</v>
      </c>
      <c r="E7264" t="s">
        <v>3651</v>
      </c>
      <c r="F7264" t="s">
        <v>3652</v>
      </c>
      <c r="G7264" t="s">
        <v>52</v>
      </c>
      <c r="H7264">
        <v>160</v>
      </c>
      <c r="I7264">
        <v>0.79200000000000004</v>
      </c>
      <c r="J7264">
        <v>0.90600000000000003</v>
      </c>
      <c r="K7264">
        <v>0.113</v>
      </c>
      <c r="L7264">
        <v>90</v>
      </c>
      <c r="M7264">
        <v>60</v>
      </c>
      <c r="N7264">
        <v>10</v>
      </c>
      <c r="O7264">
        <v>0.86899999999999999</v>
      </c>
      <c r="P7264">
        <v>0.122717612</v>
      </c>
      <c r="Q7264">
        <v>0.13600000000000001</v>
      </c>
    </row>
    <row r="7265" spans="1:17" x14ac:dyDescent="0.2">
      <c r="A7265" s="30" t="str">
        <f>IF(C7265&amp;G7265&amp;D7265&lt;&gt;'Funnel setup'!$K$3&amp;'Funnel setup'!$K$4&amp;'Funnel setup'!$K$5,".",IF(A7264=".",1,A7264+1))</f>
        <v>.</v>
      </c>
      <c r="B7265" s="431" t="str">
        <f t="shared" si="113"/>
        <v>Varicose VeinProviderNORTH CUMBRIA UNIVERSITY HOSPITALS NHS TRUST (RNL)EQ-5D Index</v>
      </c>
      <c r="C7265" t="s">
        <v>17</v>
      </c>
      <c r="D7265" t="s">
        <v>1</v>
      </c>
      <c r="E7265" t="s">
        <v>3657</v>
      </c>
      <c r="F7265" t="s">
        <v>3658</v>
      </c>
      <c r="G7265" t="s">
        <v>52</v>
      </c>
      <c r="H7265">
        <v>34</v>
      </c>
      <c r="I7265">
        <v>0.77</v>
      </c>
      <c r="J7265">
        <v>0.875</v>
      </c>
      <c r="K7265">
        <v>0.105</v>
      </c>
      <c r="L7265">
        <v>20</v>
      </c>
      <c r="M7265">
        <v>9</v>
      </c>
      <c r="N7265">
        <v>5</v>
      </c>
      <c r="O7265">
        <v>0.84199999999999997</v>
      </c>
      <c r="P7265">
        <v>9.5077457000000004E-2</v>
      </c>
      <c r="Q7265">
        <v>0.159</v>
      </c>
    </row>
    <row r="7266" spans="1:17" x14ac:dyDescent="0.2">
      <c r="A7266" s="30" t="str">
        <f>IF(C7266&amp;G7266&amp;D7266&lt;&gt;'Funnel setup'!$K$3&amp;'Funnel setup'!$K$4&amp;'Funnel setup'!$K$5,".",IF(A7265=".",1,A7265+1))</f>
        <v>.</v>
      </c>
      <c r="B7266" s="431" t="str">
        <f t="shared" si="113"/>
        <v>Varicose VeinProviderNORTH DOWNS HOSPITAL (NVC11)EQ-5D Index</v>
      </c>
      <c r="C7266" t="s">
        <v>17</v>
      </c>
      <c r="D7266" t="s">
        <v>1</v>
      </c>
      <c r="E7266" t="s">
        <v>3660</v>
      </c>
      <c r="F7266" t="s">
        <v>3661</v>
      </c>
      <c r="G7266" t="s">
        <v>52</v>
      </c>
      <c r="H7266" t="s">
        <v>53</v>
      </c>
      <c r="I7266" t="s">
        <v>53</v>
      </c>
      <c r="J7266" t="s">
        <v>53</v>
      </c>
      <c r="K7266" t="s">
        <v>53</v>
      </c>
      <c r="L7266" t="s">
        <v>53</v>
      </c>
      <c r="M7266" t="s">
        <v>53</v>
      </c>
      <c r="N7266" t="s">
        <v>53</v>
      </c>
      <c r="O7266" t="s">
        <v>53</v>
      </c>
      <c r="P7266" t="s">
        <v>53</v>
      </c>
      <c r="Q7266" t="s">
        <v>53</v>
      </c>
    </row>
    <row r="7267" spans="1:17" x14ac:dyDescent="0.2">
      <c r="A7267" s="30" t="str">
        <f>IF(C7267&amp;G7267&amp;D7267&lt;&gt;'Funnel setup'!$K$3&amp;'Funnel setup'!$K$4&amp;'Funnel setup'!$K$5,".",IF(A7266=".",1,A7266+1))</f>
        <v>.</v>
      </c>
      <c r="B7267" s="431" t="str">
        <f t="shared" si="113"/>
        <v>Varicose VeinProviderNORTH EAST LONDON TREATMENT CENTRE CARE UK (NTP15)EQ-5D Index</v>
      </c>
      <c r="C7267" t="s">
        <v>17</v>
      </c>
      <c r="D7267" t="s">
        <v>1</v>
      </c>
      <c r="E7267" t="s">
        <v>3663</v>
      </c>
      <c r="F7267" t="s">
        <v>3664</v>
      </c>
      <c r="G7267" t="s">
        <v>52</v>
      </c>
      <c r="H7267">
        <v>23</v>
      </c>
      <c r="I7267">
        <v>0.77200000000000002</v>
      </c>
      <c r="J7267">
        <v>0.79700000000000004</v>
      </c>
      <c r="K7267">
        <v>2.4E-2</v>
      </c>
      <c r="L7267">
        <v>12</v>
      </c>
      <c r="M7267">
        <v>3</v>
      </c>
      <c r="N7267">
        <v>8</v>
      </c>
      <c r="O7267" t="s">
        <v>53</v>
      </c>
      <c r="P7267" t="s">
        <v>53</v>
      </c>
      <c r="Q7267" t="s">
        <v>53</v>
      </c>
    </row>
    <row r="7268" spans="1:17" x14ac:dyDescent="0.2">
      <c r="A7268" s="30" t="str">
        <f>IF(C7268&amp;G7268&amp;D7268&lt;&gt;'Funnel setup'!$K$3&amp;'Funnel setup'!$K$4&amp;'Funnel setup'!$K$5,".",IF(A7267=".",1,A7267+1))</f>
        <v>.</v>
      </c>
      <c r="B7268" s="431" t="str">
        <f t="shared" si="113"/>
        <v>Varicose VeinProviderNORTH TEES AND HARTLEPOOL NHS FOUNDATION TRUST (RVW)EQ-5D Index</v>
      </c>
      <c r="C7268" t="s">
        <v>17</v>
      </c>
      <c r="D7268" t="s">
        <v>1</v>
      </c>
      <c r="E7268" t="s">
        <v>3669</v>
      </c>
      <c r="F7268" t="s">
        <v>3670</v>
      </c>
      <c r="G7268" t="s">
        <v>52</v>
      </c>
      <c r="H7268">
        <v>55</v>
      </c>
      <c r="I7268">
        <v>0.73199999999999998</v>
      </c>
      <c r="J7268">
        <v>0.83199999999999996</v>
      </c>
      <c r="K7268">
        <v>0.10100000000000001</v>
      </c>
      <c r="L7268">
        <v>32</v>
      </c>
      <c r="M7268">
        <v>15</v>
      </c>
      <c r="N7268">
        <v>8</v>
      </c>
      <c r="O7268">
        <v>0.86699999999999999</v>
      </c>
      <c r="P7268">
        <v>0.12055808</v>
      </c>
      <c r="Q7268">
        <v>0.16600000000000001</v>
      </c>
    </row>
    <row r="7269" spans="1:17" x14ac:dyDescent="0.2">
      <c r="A7269" s="30" t="str">
        <f>IF(C7269&amp;G7269&amp;D7269&lt;&gt;'Funnel setup'!$K$3&amp;'Funnel setup'!$K$4&amp;'Funnel setup'!$K$5,".",IF(A7268=".",1,A7268+1))</f>
        <v>.</v>
      </c>
      <c r="B7269" s="431" t="str">
        <f t="shared" si="113"/>
        <v>Varicose VeinProviderNORTHAMPTON GENERAL HOSPITAL NHS TRUST (RNS)EQ-5D Index</v>
      </c>
      <c r="C7269" t="s">
        <v>17</v>
      </c>
      <c r="D7269" t="s">
        <v>1</v>
      </c>
      <c r="E7269" t="s">
        <v>3675</v>
      </c>
      <c r="F7269" t="s">
        <v>3676</v>
      </c>
      <c r="G7269" t="s">
        <v>52</v>
      </c>
      <c r="H7269">
        <v>24</v>
      </c>
      <c r="I7269">
        <v>0.69599999999999995</v>
      </c>
      <c r="J7269">
        <v>0.79100000000000004</v>
      </c>
      <c r="K7269">
        <v>9.5000000000000001E-2</v>
      </c>
      <c r="L7269">
        <v>13</v>
      </c>
      <c r="M7269">
        <v>6</v>
      </c>
      <c r="N7269">
        <v>5</v>
      </c>
      <c r="O7269" t="s">
        <v>53</v>
      </c>
      <c r="P7269" t="s">
        <v>53</v>
      </c>
      <c r="Q7269" t="s">
        <v>53</v>
      </c>
    </row>
    <row r="7270" spans="1:17" x14ac:dyDescent="0.2">
      <c r="A7270" s="30" t="str">
        <f>IF(C7270&amp;G7270&amp;D7270&lt;&gt;'Funnel setup'!$K$3&amp;'Funnel setup'!$K$4&amp;'Funnel setup'!$K$5,".",IF(A7269=".",1,A7269+1))</f>
        <v>.</v>
      </c>
      <c r="B7270" s="431" t="str">
        <f t="shared" si="113"/>
        <v>Varicose VeinProviderNORTHERN DEVON HEALTHCARE NHS TRUST (RBZ)EQ-5D Index</v>
      </c>
      <c r="C7270" t="s">
        <v>17</v>
      </c>
      <c r="D7270" t="s">
        <v>1</v>
      </c>
      <c r="E7270" t="s">
        <v>3678</v>
      </c>
      <c r="F7270" t="s">
        <v>3679</v>
      </c>
      <c r="G7270" t="s">
        <v>52</v>
      </c>
      <c r="H7270">
        <v>10</v>
      </c>
      <c r="I7270">
        <v>0.753</v>
      </c>
      <c r="J7270">
        <v>0.86399999999999999</v>
      </c>
      <c r="K7270">
        <v>0.112</v>
      </c>
      <c r="L7270">
        <v>7</v>
      </c>
      <c r="M7270">
        <v>3</v>
      </c>
      <c r="N7270">
        <v>0</v>
      </c>
      <c r="O7270" t="s">
        <v>53</v>
      </c>
      <c r="P7270" t="s">
        <v>53</v>
      </c>
      <c r="Q7270" t="s">
        <v>53</v>
      </c>
    </row>
    <row r="7271" spans="1:17" x14ac:dyDescent="0.2">
      <c r="A7271" s="30" t="str">
        <f>IF(C7271&amp;G7271&amp;D7271&lt;&gt;'Funnel setup'!$K$3&amp;'Funnel setup'!$K$4&amp;'Funnel setup'!$K$5,".",IF(A7270=".",1,A7270+1))</f>
        <v>.</v>
      </c>
      <c r="B7271" s="431" t="str">
        <f t="shared" si="113"/>
        <v>Varicose VeinProviderNORTHERN LINCOLNSHIRE AND GOOLE NHS FOUNDATION TRUST (RJL)EQ-5D Index</v>
      </c>
      <c r="C7271" t="s">
        <v>17</v>
      </c>
      <c r="D7271" t="s">
        <v>1</v>
      </c>
      <c r="E7271" t="s">
        <v>3681</v>
      </c>
      <c r="F7271" t="s">
        <v>3682</v>
      </c>
      <c r="G7271" t="s">
        <v>52</v>
      </c>
      <c r="H7271">
        <v>6</v>
      </c>
      <c r="I7271">
        <v>0.80900000000000005</v>
      </c>
      <c r="J7271">
        <v>0.82199999999999995</v>
      </c>
      <c r="K7271">
        <v>1.2E-2</v>
      </c>
      <c r="L7271">
        <v>3</v>
      </c>
      <c r="M7271">
        <v>2</v>
      </c>
      <c r="N7271">
        <v>1</v>
      </c>
      <c r="O7271" t="s">
        <v>53</v>
      </c>
      <c r="P7271" t="s">
        <v>53</v>
      </c>
      <c r="Q7271" t="s">
        <v>53</v>
      </c>
    </row>
    <row r="7272" spans="1:17" x14ac:dyDescent="0.2">
      <c r="A7272" s="30" t="str">
        <f>IF(C7272&amp;G7272&amp;D7272&lt;&gt;'Funnel setup'!$K$3&amp;'Funnel setup'!$K$4&amp;'Funnel setup'!$K$5,".",IF(A7271=".",1,A7271+1))</f>
        <v>.</v>
      </c>
      <c r="B7272" s="431" t="str">
        <f t="shared" si="113"/>
        <v>Varicose VeinProviderOAKS HOSPITAL (NVC13)EQ-5D Index</v>
      </c>
      <c r="C7272" t="s">
        <v>17</v>
      </c>
      <c r="D7272" t="s">
        <v>1</v>
      </c>
      <c r="E7272" t="s">
        <v>3270</v>
      </c>
      <c r="F7272" t="s">
        <v>3271</v>
      </c>
      <c r="G7272" t="s">
        <v>52</v>
      </c>
      <c r="H7272" t="s">
        <v>53</v>
      </c>
      <c r="I7272" t="s">
        <v>53</v>
      </c>
      <c r="J7272" t="s">
        <v>53</v>
      </c>
      <c r="K7272" t="s">
        <v>53</v>
      </c>
      <c r="L7272" t="s">
        <v>53</v>
      </c>
      <c r="M7272" t="s">
        <v>53</v>
      </c>
      <c r="N7272" t="s">
        <v>53</v>
      </c>
      <c r="O7272" t="s">
        <v>53</v>
      </c>
      <c r="P7272" t="s">
        <v>53</v>
      </c>
      <c r="Q7272" t="s">
        <v>53</v>
      </c>
    </row>
    <row r="7273" spans="1:17" x14ac:dyDescent="0.2">
      <c r="A7273" s="30" t="str">
        <f>IF(C7273&amp;G7273&amp;D7273&lt;&gt;'Funnel setup'!$K$3&amp;'Funnel setup'!$K$4&amp;'Funnel setup'!$K$5,".",IF(A7272=".",1,A7272+1))</f>
        <v>.</v>
      </c>
      <c r="B7273" s="431" t="str">
        <f t="shared" si="113"/>
        <v>Varicose VeinProviderOXFORD UNIVERSITY HOSPITALS NHS FOUNDATION TRUST (RTH)EQ-5D Index</v>
      </c>
      <c r="C7273" t="s">
        <v>17</v>
      </c>
      <c r="D7273" t="s">
        <v>1</v>
      </c>
      <c r="E7273" t="s">
        <v>3278</v>
      </c>
      <c r="F7273" t="s">
        <v>6578</v>
      </c>
      <c r="G7273" t="s">
        <v>52</v>
      </c>
      <c r="H7273">
        <v>34</v>
      </c>
      <c r="I7273">
        <v>0.77900000000000003</v>
      </c>
      <c r="J7273">
        <v>0.84899999999999998</v>
      </c>
      <c r="K7273">
        <v>7.0000000000000007E-2</v>
      </c>
      <c r="L7273">
        <v>17</v>
      </c>
      <c r="M7273">
        <v>11</v>
      </c>
      <c r="N7273">
        <v>6</v>
      </c>
      <c r="O7273">
        <v>0.83499999999999996</v>
      </c>
      <c r="P7273">
        <v>8.8200236000000001E-2</v>
      </c>
      <c r="Q7273">
        <v>0.16200000000000001</v>
      </c>
    </row>
    <row r="7274" spans="1:17" x14ac:dyDescent="0.2">
      <c r="A7274" s="30" t="str">
        <f>IF(C7274&amp;G7274&amp;D7274&lt;&gt;'Funnel setup'!$K$3&amp;'Funnel setup'!$K$4&amp;'Funnel setup'!$K$5,".",IF(A7273=".",1,A7273+1))</f>
        <v>.</v>
      </c>
      <c r="B7274" s="431" t="str">
        <f t="shared" si="113"/>
        <v>Varicose VeinProviderPENNINE ACUTE HOSPITALS NHS TRUST (RW6)EQ-5D Index</v>
      </c>
      <c r="C7274" t="s">
        <v>17</v>
      </c>
      <c r="D7274" t="s">
        <v>1</v>
      </c>
      <c r="E7274" t="s">
        <v>3216</v>
      </c>
      <c r="F7274" t="s">
        <v>3217</v>
      </c>
      <c r="G7274" t="s">
        <v>52</v>
      </c>
      <c r="H7274">
        <v>13</v>
      </c>
      <c r="I7274">
        <v>0.50900000000000001</v>
      </c>
      <c r="J7274">
        <v>0.78100000000000003</v>
      </c>
      <c r="K7274">
        <v>0.27200000000000002</v>
      </c>
      <c r="L7274">
        <v>8</v>
      </c>
      <c r="M7274">
        <v>1</v>
      </c>
      <c r="N7274">
        <v>4</v>
      </c>
      <c r="O7274" t="s">
        <v>53</v>
      </c>
      <c r="P7274" t="s">
        <v>53</v>
      </c>
      <c r="Q7274" t="s">
        <v>53</v>
      </c>
    </row>
    <row r="7275" spans="1:17" x14ac:dyDescent="0.2">
      <c r="A7275" s="30" t="str">
        <f>IF(C7275&amp;G7275&amp;D7275&lt;&gt;'Funnel setup'!$K$3&amp;'Funnel setup'!$K$4&amp;'Funnel setup'!$K$5,".",IF(A7274=".",1,A7274+1))</f>
        <v>.</v>
      </c>
      <c r="B7275" s="431" t="str">
        <f t="shared" si="113"/>
        <v>Varicose VeinProviderPETERBOROUGH AND STAMFORD HOSPITALS NHS FOUNDATION TRUST (RGN)EQ-5D Index</v>
      </c>
      <c r="C7275" t="s">
        <v>17</v>
      </c>
      <c r="D7275" t="s">
        <v>1</v>
      </c>
      <c r="E7275" t="s">
        <v>3219</v>
      </c>
      <c r="F7275" t="s">
        <v>3220</v>
      </c>
      <c r="G7275" t="s">
        <v>52</v>
      </c>
      <c r="H7275">
        <v>14</v>
      </c>
      <c r="I7275">
        <v>0.60899999999999999</v>
      </c>
      <c r="J7275">
        <v>0.91400000000000003</v>
      </c>
      <c r="K7275">
        <v>0.30499999999999999</v>
      </c>
      <c r="L7275">
        <v>10</v>
      </c>
      <c r="M7275">
        <v>3</v>
      </c>
      <c r="N7275">
        <v>1</v>
      </c>
      <c r="O7275" t="s">
        <v>53</v>
      </c>
      <c r="P7275" t="s">
        <v>53</v>
      </c>
      <c r="Q7275" t="s">
        <v>53</v>
      </c>
    </row>
    <row r="7276" spans="1:17" x14ac:dyDescent="0.2">
      <c r="A7276" s="30" t="str">
        <f>IF(C7276&amp;G7276&amp;D7276&lt;&gt;'Funnel setup'!$K$3&amp;'Funnel setup'!$K$4&amp;'Funnel setup'!$K$5,".",IF(A7275=".",1,A7275+1))</f>
        <v>.</v>
      </c>
      <c r="B7276" s="431" t="str">
        <f t="shared" si="113"/>
        <v>Varicose VeinProviderPINEHILL HOSPITAL (NVC15)EQ-5D Index</v>
      </c>
      <c r="C7276" t="s">
        <v>17</v>
      </c>
      <c r="D7276" t="s">
        <v>1</v>
      </c>
      <c r="E7276" t="s">
        <v>3222</v>
      </c>
      <c r="F7276" t="s">
        <v>3223</v>
      </c>
      <c r="G7276" t="s">
        <v>52</v>
      </c>
      <c r="H7276" t="s">
        <v>53</v>
      </c>
      <c r="I7276" t="s">
        <v>53</v>
      </c>
      <c r="J7276" t="s">
        <v>53</v>
      </c>
      <c r="K7276" t="s">
        <v>53</v>
      </c>
      <c r="L7276" t="s">
        <v>53</v>
      </c>
      <c r="M7276" t="s">
        <v>53</v>
      </c>
      <c r="N7276" t="s">
        <v>53</v>
      </c>
      <c r="O7276" t="s">
        <v>53</v>
      </c>
      <c r="P7276" t="s">
        <v>53</v>
      </c>
      <c r="Q7276" t="s">
        <v>53</v>
      </c>
    </row>
    <row r="7277" spans="1:17" x14ac:dyDescent="0.2">
      <c r="A7277" s="30" t="str">
        <f>IF(C7277&amp;G7277&amp;D7277&lt;&gt;'Funnel setup'!$K$3&amp;'Funnel setup'!$K$4&amp;'Funnel setup'!$K$5,".",IF(A7276=".",1,A7276+1))</f>
        <v>.</v>
      </c>
      <c r="B7277" s="431" t="str">
        <f t="shared" si="113"/>
        <v>Varicose VeinProviderPLYMOUTH HOSPITALS NHS TRUST (RK9)EQ-5D Index</v>
      </c>
      <c r="C7277" t="s">
        <v>17</v>
      </c>
      <c r="D7277" t="s">
        <v>1</v>
      </c>
      <c r="E7277" t="s">
        <v>3225</v>
      </c>
      <c r="F7277" t="s">
        <v>3226</v>
      </c>
      <c r="G7277" t="s">
        <v>52</v>
      </c>
      <c r="H7277">
        <v>56</v>
      </c>
      <c r="I7277">
        <v>0.76400000000000001</v>
      </c>
      <c r="J7277">
        <v>0.80300000000000005</v>
      </c>
      <c r="K7277">
        <v>3.9E-2</v>
      </c>
      <c r="L7277">
        <v>24</v>
      </c>
      <c r="M7277">
        <v>19</v>
      </c>
      <c r="N7277">
        <v>13</v>
      </c>
      <c r="O7277">
        <v>0.80800000000000005</v>
      </c>
      <c r="P7277">
        <v>6.1340884999999998E-2</v>
      </c>
      <c r="Q7277">
        <v>0.17799999999999999</v>
      </c>
    </row>
    <row r="7278" spans="1:17" x14ac:dyDescent="0.2">
      <c r="A7278" s="30" t="str">
        <f>IF(C7278&amp;G7278&amp;D7278&lt;&gt;'Funnel setup'!$K$3&amp;'Funnel setup'!$K$4&amp;'Funnel setup'!$K$5,".",IF(A7277=".",1,A7277+1))</f>
        <v>.</v>
      </c>
      <c r="B7278" s="431" t="str">
        <f t="shared" si="113"/>
        <v>Varicose VeinProviderPORTSMOUTH HOSPITALS NHS TRUST (RHU)EQ-5D Index</v>
      </c>
      <c r="C7278" t="s">
        <v>17</v>
      </c>
      <c r="D7278" t="s">
        <v>1</v>
      </c>
      <c r="E7278" t="s">
        <v>3234</v>
      </c>
      <c r="F7278" t="s">
        <v>3235</v>
      </c>
      <c r="G7278" t="s">
        <v>52</v>
      </c>
      <c r="H7278" t="s">
        <v>53</v>
      </c>
      <c r="I7278" t="s">
        <v>53</v>
      </c>
      <c r="J7278" t="s">
        <v>53</v>
      </c>
      <c r="K7278" t="s">
        <v>53</v>
      </c>
      <c r="L7278" t="s">
        <v>53</v>
      </c>
      <c r="M7278" t="s">
        <v>53</v>
      </c>
      <c r="N7278" t="s">
        <v>53</v>
      </c>
      <c r="O7278" t="s">
        <v>53</v>
      </c>
      <c r="P7278" t="s">
        <v>53</v>
      </c>
      <c r="Q7278" t="s">
        <v>53</v>
      </c>
    </row>
    <row r="7279" spans="1:17" x14ac:dyDescent="0.2">
      <c r="A7279" s="30" t="str">
        <f>IF(C7279&amp;G7279&amp;D7279&lt;&gt;'Funnel setup'!$K$3&amp;'Funnel setup'!$K$4&amp;'Funnel setup'!$K$5,".",IF(A7278=".",1,A7278+1))</f>
        <v>.</v>
      </c>
      <c r="B7279" s="431" t="str">
        <f t="shared" si="113"/>
        <v>Varicose VeinProviderROYAL BERKSHIRE NHS FOUNDATION TRUST (RHW)EQ-5D Index</v>
      </c>
      <c r="C7279" t="s">
        <v>17</v>
      </c>
      <c r="D7279" t="s">
        <v>1</v>
      </c>
      <c r="E7279" t="s">
        <v>3832</v>
      </c>
      <c r="F7279" t="s">
        <v>3833</v>
      </c>
      <c r="G7279" t="s">
        <v>52</v>
      </c>
      <c r="H7279">
        <v>6</v>
      </c>
      <c r="I7279">
        <v>0.72</v>
      </c>
      <c r="J7279">
        <v>0.64700000000000002</v>
      </c>
      <c r="K7279">
        <v>-7.2999999999999995E-2</v>
      </c>
      <c r="L7279">
        <v>1</v>
      </c>
      <c r="M7279">
        <v>1</v>
      </c>
      <c r="N7279">
        <v>4</v>
      </c>
      <c r="O7279" t="s">
        <v>53</v>
      </c>
      <c r="P7279" t="s">
        <v>53</v>
      </c>
      <c r="Q7279" t="s">
        <v>53</v>
      </c>
    </row>
    <row r="7280" spans="1:17" x14ac:dyDescent="0.2">
      <c r="A7280" s="30" t="str">
        <f>IF(C7280&amp;G7280&amp;D7280&lt;&gt;'Funnel setup'!$K$3&amp;'Funnel setup'!$K$4&amp;'Funnel setup'!$K$5,".",IF(A7279=".",1,A7279+1))</f>
        <v>.</v>
      </c>
      <c r="B7280" s="431" t="str">
        <f t="shared" si="113"/>
        <v>Varicose VeinProviderROYAL CORNWALL HOSPITALS NHS TRUST (REF)EQ-5D Index</v>
      </c>
      <c r="C7280" t="s">
        <v>17</v>
      </c>
      <c r="D7280" t="s">
        <v>1</v>
      </c>
      <c r="E7280" t="s">
        <v>3745</v>
      </c>
      <c r="F7280" t="s">
        <v>3746</v>
      </c>
      <c r="G7280" t="s">
        <v>52</v>
      </c>
      <c r="H7280">
        <v>85</v>
      </c>
      <c r="I7280">
        <v>0.74</v>
      </c>
      <c r="J7280">
        <v>0.81599999999999995</v>
      </c>
      <c r="K7280">
        <v>7.5999999999999998E-2</v>
      </c>
      <c r="L7280">
        <v>36</v>
      </c>
      <c r="M7280">
        <v>33</v>
      </c>
      <c r="N7280">
        <v>16</v>
      </c>
      <c r="O7280">
        <v>0.83299999999999996</v>
      </c>
      <c r="P7280">
        <v>8.6185106999999997E-2</v>
      </c>
      <c r="Q7280">
        <v>0.152</v>
      </c>
    </row>
    <row r="7281" spans="1:17" x14ac:dyDescent="0.2">
      <c r="A7281" s="30" t="str">
        <f>IF(C7281&amp;G7281&amp;D7281&lt;&gt;'Funnel setup'!$K$3&amp;'Funnel setup'!$K$4&amp;'Funnel setup'!$K$5,".",IF(A7280=".",1,A7280+1))</f>
        <v>.</v>
      </c>
      <c r="B7281" s="431" t="str">
        <f t="shared" si="113"/>
        <v>Varicose VeinProviderROYAL DEVON AND EXETER NHS FOUNDATION TRUST (RH8)EQ-5D Index</v>
      </c>
      <c r="C7281" t="s">
        <v>17</v>
      </c>
      <c r="D7281" t="s">
        <v>1</v>
      </c>
      <c r="E7281" t="s">
        <v>3442</v>
      </c>
      <c r="F7281" t="s">
        <v>3443</v>
      </c>
      <c r="G7281" t="s">
        <v>52</v>
      </c>
      <c r="H7281">
        <v>53</v>
      </c>
      <c r="I7281">
        <v>0.69799999999999995</v>
      </c>
      <c r="J7281">
        <v>0.85599999999999998</v>
      </c>
      <c r="K7281">
        <v>0.158</v>
      </c>
      <c r="L7281">
        <v>31</v>
      </c>
      <c r="M7281">
        <v>13</v>
      </c>
      <c r="N7281">
        <v>9</v>
      </c>
      <c r="O7281">
        <v>0.89</v>
      </c>
      <c r="P7281">
        <v>0.14318277500000001</v>
      </c>
      <c r="Q7281">
        <v>0.158</v>
      </c>
    </row>
    <row r="7282" spans="1:17" x14ac:dyDescent="0.2">
      <c r="A7282" s="30" t="str">
        <f>IF(C7282&amp;G7282&amp;D7282&lt;&gt;'Funnel setup'!$K$3&amp;'Funnel setup'!$K$4&amp;'Funnel setup'!$K$5,".",IF(A7281=".",1,A7281+1))</f>
        <v>.</v>
      </c>
      <c r="B7282" s="431" t="str">
        <f t="shared" si="113"/>
        <v>Varicose VeinProviderROYAL FREE LONDON NHS FOUNDATION TRUST (RAL)EQ-5D Index</v>
      </c>
      <c r="C7282" t="s">
        <v>17</v>
      </c>
      <c r="D7282" t="s">
        <v>1</v>
      </c>
      <c r="E7282" t="s">
        <v>3445</v>
      </c>
      <c r="F7282" t="s">
        <v>3446</v>
      </c>
      <c r="G7282" t="s">
        <v>52</v>
      </c>
      <c r="H7282">
        <v>27</v>
      </c>
      <c r="I7282">
        <v>0.72799999999999998</v>
      </c>
      <c r="J7282">
        <v>0.82399999999999995</v>
      </c>
      <c r="K7282">
        <v>9.7000000000000003E-2</v>
      </c>
      <c r="L7282">
        <v>16</v>
      </c>
      <c r="M7282">
        <v>8</v>
      </c>
      <c r="N7282">
        <v>3</v>
      </c>
      <c r="O7282" t="s">
        <v>53</v>
      </c>
      <c r="P7282" t="s">
        <v>53</v>
      </c>
      <c r="Q7282" t="s">
        <v>53</v>
      </c>
    </row>
    <row r="7283" spans="1:17" x14ac:dyDescent="0.2">
      <c r="A7283" s="30" t="str">
        <f>IF(C7283&amp;G7283&amp;D7283&lt;&gt;'Funnel setup'!$K$3&amp;'Funnel setup'!$K$4&amp;'Funnel setup'!$K$5,".",IF(A7282=".",1,A7282+1))</f>
        <v>.</v>
      </c>
      <c r="B7283" s="431" t="str">
        <f t="shared" si="113"/>
        <v>Varicose VeinProviderROYAL UNITED HOSPITALS BATH NHS FOUNDATION TRUST (RD1)EQ-5D Index</v>
      </c>
      <c r="C7283" t="s">
        <v>17</v>
      </c>
      <c r="D7283" t="s">
        <v>1</v>
      </c>
      <c r="E7283" t="s">
        <v>3454</v>
      </c>
      <c r="F7283" t="s">
        <v>3455</v>
      </c>
      <c r="G7283" t="s">
        <v>52</v>
      </c>
      <c r="H7283">
        <v>15</v>
      </c>
      <c r="I7283">
        <v>0.79</v>
      </c>
      <c r="J7283">
        <v>0.85099999999999998</v>
      </c>
      <c r="K7283">
        <v>6.0999999999999999E-2</v>
      </c>
      <c r="L7283">
        <v>9</v>
      </c>
      <c r="M7283">
        <v>5</v>
      </c>
      <c r="N7283">
        <v>1</v>
      </c>
      <c r="O7283" t="s">
        <v>53</v>
      </c>
      <c r="P7283" t="s">
        <v>53</v>
      </c>
      <c r="Q7283" t="s">
        <v>53</v>
      </c>
    </row>
    <row r="7284" spans="1:17" x14ac:dyDescent="0.2">
      <c r="A7284" s="30" t="str">
        <f>IF(C7284&amp;G7284&amp;D7284&lt;&gt;'Funnel setup'!$K$3&amp;'Funnel setup'!$K$4&amp;'Funnel setup'!$K$5,".",IF(A7283=".",1,A7283+1))</f>
        <v>.</v>
      </c>
      <c r="B7284" s="431" t="str">
        <f t="shared" si="113"/>
        <v>Varicose VeinProviderSALISBURY NHS FOUNDATION TRUST (RNZ)EQ-5D Index</v>
      </c>
      <c r="C7284" t="s">
        <v>17</v>
      </c>
      <c r="D7284" t="s">
        <v>1</v>
      </c>
      <c r="E7284" t="s">
        <v>3460</v>
      </c>
      <c r="F7284" t="s">
        <v>3461</v>
      </c>
      <c r="G7284" t="s">
        <v>52</v>
      </c>
      <c r="H7284">
        <v>38</v>
      </c>
      <c r="I7284">
        <v>0.748</v>
      </c>
      <c r="J7284">
        <v>0.83799999999999997</v>
      </c>
      <c r="K7284">
        <v>9.0999999999999998E-2</v>
      </c>
      <c r="L7284">
        <v>19</v>
      </c>
      <c r="M7284">
        <v>14</v>
      </c>
      <c r="N7284">
        <v>5</v>
      </c>
      <c r="O7284">
        <v>0.85199999999999998</v>
      </c>
      <c r="P7284">
        <v>0.10508917500000001</v>
      </c>
      <c r="Q7284">
        <v>0.114</v>
      </c>
    </row>
    <row r="7285" spans="1:17" x14ac:dyDescent="0.2">
      <c r="A7285" s="30" t="str">
        <f>IF(C7285&amp;G7285&amp;D7285&lt;&gt;'Funnel setup'!$K$3&amp;'Funnel setup'!$K$4&amp;'Funnel setup'!$K$5,".",IF(A7284=".",1,A7284+1))</f>
        <v>.</v>
      </c>
      <c r="B7285" s="431" t="str">
        <f t="shared" si="113"/>
        <v>Varicose VeinProviderSANDWELL AND WEST BIRMINGHAM HOSPITALS NHS TRUST (RXK)EQ-5D Index</v>
      </c>
      <c r="C7285" t="s">
        <v>17</v>
      </c>
      <c r="D7285" t="s">
        <v>1</v>
      </c>
      <c r="E7285" t="s">
        <v>3463</v>
      </c>
      <c r="F7285" t="s">
        <v>3464</v>
      </c>
      <c r="G7285" t="s">
        <v>52</v>
      </c>
      <c r="H7285">
        <v>120</v>
      </c>
      <c r="I7285">
        <v>0.71599999999999997</v>
      </c>
      <c r="J7285">
        <v>0.81</v>
      </c>
      <c r="K7285">
        <v>9.5000000000000001E-2</v>
      </c>
      <c r="L7285">
        <v>56</v>
      </c>
      <c r="M7285">
        <v>35</v>
      </c>
      <c r="N7285">
        <v>29</v>
      </c>
      <c r="O7285">
        <v>0.83399999999999996</v>
      </c>
      <c r="P7285">
        <v>8.7130378999999994E-2</v>
      </c>
      <c r="Q7285">
        <v>0.19500000000000001</v>
      </c>
    </row>
    <row r="7286" spans="1:17" x14ac:dyDescent="0.2">
      <c r="A7286" s="30" t="str">
        <f>IF(C7286&amp;G7286&amp;D7286&lt;&gt;'Funnel setup'!$K$3&amp;'Funnel setup'!$K$4&amp;'Funnel setup'!$K$5,".",IF(A7285=".",1,A7285+1))</f>
        <v>.</v>
      </c>
      <c r="B7286" s="431" t="str">
        <f t="shared" si="113"/>
        <v>Varicose VeinProviderSHEFFIELD TEACHING HOSPITALS NHS FOUNDATION TRUST (RHQ)EQ-5D Index</v>
      </c>
      <c r="C7286" t="s">
        <v>17</v>
      </c>
      <c r="D7286" t="s">
        <v>1</v>
      </c>
      <c r="E7286" t="s">
        <v>3466</v>
      </c>
      <c r="F7286" t="s">
        <v>3467</v>
      </c>
      <c r="G7286" t="s">
        <v>52</v>
      </c>
      <c r="H7286">
        <v>151</v>
      </c>
      <c r="I7286">
        <v>0.76500000000000001</v>
      </c>
      <c r="J7286">
        <v>0.84499999999999997</v>
      </c>
      <c r="K7286">
        <v>8.1000000000000003E-2</v>
      </c>
      <c r="L7286">
        <v>72</v>
      </c>
      <c r="M7286">
        <v>45</v>
      </c>
      <c r="N7286">
        <v>34</v>
      </c>
      <c r="O7286">
        <v>0.83599999999999997</v>
      </c>
      <c r="P7286">
        <v>8.9359214000000006E-2</v>
      </c>
      <c r="Q7286">
        <v>0.186</v>
      </c>
    </row>
    <row r="7287" spans="1:17" x14ac:dyDescent="0.2">
      <c r="A7287" s="30" t="str">
        <f>IF(C7287&amp;G7287&amp;D7287&lt;&gt;'Funnel setup'!$K$3&amp;'Funnel setup'!$K$4&amp;'Funnel setup'!$K$5,".",IF(A7286=".",1,A7286+1))</f>
        <v>.</v>
      </c>
      <c r="B7287" s="431" t="str">
        <f t="shared" si="113"/>
        <v>Varicose VeinProviderSHERWOOD FOREST HOSPITALS NHS FOUNDATION TRUST (RK5)EQ-5D Index</v>
      </c>
      <c r="C7287" t="s">
        <v>17</v>
      </c>
      <c r="D7287" t="s">
        <v>1</v>
      </c>
      <c r="E7287" t="s">
        <v>3475</v>
      </c>
      <c r="F7287" t="s">
        <v>3476</v>
      </c>
      <c r="G7287" t="s">
        <v>52</v>
      </c>
      <c r="H7287">
        <v>69</v>
      </c>
      <c r="I7287">
        <v>0.68200000000000005</v>
      </c>
      <c r="J7287">
        <v>0.79700000000000004</v>
      </c>
      <c r="K7287">
        <v>0.115</v>
      </c>
      <c r="L7287">
        <v>35</v>
      </c>
      <c r="M7287">
        <v>20</v>
      </c>
      <c r="N7287">
        <v>14</v>
      </c>
      <c r="O7287">
        <v>0.85499999999999998</v>
      </c>
      <c r="P7287">
        <v>0.107793949</v>
      </c>
      <c r="Q7287">
        <v>0.188</v>
      </c>
    </row>
    <row r="7288" spans="1:17" x14ac:dyDescent="0.2">
      <c r="A7288" s="30" t="str">
        <f>IF(C7288&amp;G7288&amp;D7288&lt;&gt;'Funnel setup'!$K$3&amp;'Funnel setup'!$K$4&amp;'Funnel setup'!$K$5,".",IF(A7287=".",1,A7287+1))</f>
        <v>.</v>
      </c>
      <c r="B7288" s="431" t="str">
        <f t="shared" si="113"/>
        <v>Varicose VeinProviderSHREWSBURY AND TELFORD HOSPITAL NHS TRUST (RXW)EQ-5D Index</v>
      </c>
      <c r="C7288" t="s">
        <v>17</v>
      </c>
      <c r="D7288" t="s">
        <v>1</v>
      </c>
      <c r="E7288" t="s">
        <v>3478</v>
      </c>
      <c r="F7288" t="s">
        <v>3479</v>
      </c>
      <c r="G7288" t="s">
        <v>52</v>
      </c>
      <c r="H7288">
        <v>32</v>
      </c>
      <c r="I7288">
        <v>0.81299999999999994</v>
      </c>
      <c r="J7288">
        <v>0.91900000000000004</v>
      </c>
      <c r="K7288">
        <v>0.106</v>
      </c>
      <c r="L7288">
        <v>18</v>
      </c>
      <c r="M7288">
        <v>9</v>
      </c>
      <c r="N7288">
        <v>5</v>
      </c>
      <c r="O7288">
        <v>0.87</v>
      </c>
      <c r="P7288">
        <v>0.123579932</v>
      </c>
      <c r="Q7288">
        <v>0.126</v>
      </c>
    </row>
    <row r="7289" spans="1:17" x14ac:dyDescent="0.2">
      <c r="A7289" s="30" t="str">
        <f>IF(C7289&amp;G7289&amp;D7289&lt;&gt;'Funnel setup'!$K$3&amp;'Funnel setup'!$K$4&amp;'Funnel setup'!$K$5,".",IF(A7288=".",1,A7288+1))</f>
        <v>.</v>
      </c>
      <c r="B7289" s="431" t="str">
        <f t="shared" si="113"/>
        <v>Varicose VeinProviderSOUTH TEES HOSPITALS NHS FOUNDATION TRUST (RTR)EQ-5D Index</v>
      </c>
      <c r="C7289" t="s">
        <v>17</v>
      </c>
      <c r="D7289" t="s">
        <v>1</v>
      </c>
      <c r="E7289" t="s">
        <v>3482</v>
      </c>
      <c r="F7289" t="s">
        <v>3483</v>
      </c>
      <c r="G7289" t="s">
        <v>52</v>
      </c>
      <c r="H7289">
        <v>27</v>
      </c>
      <c r="I7289">
        <v>0.80200000000000005</v>
      </c>
      <c r="J7289">
        <v>0.83099999999999996</v>
      </c>
      <c r="K7289">
        <v>2.9000000000000001E-2</v>
      </c>
      <c r="L7289">
        <v>11</v>
      </c>
      <c r="M7289">
        <v>10</v>
      </c>
      <c r="N7289">
        <v>6</v>
      </c>
      <c r="O7289" t="s">
        <v>53</v>
      </c>
      <c r="P7289" t="s">
        <v>53</v>
      </c>
      <c r="Q7289" t="s">
        <v>53</v>
      </c>
    </row>
    <row r="7290" spans="1:17" x14ac:dyDescent="0.2">
      <c r="A7290" s="30" t="str">
        <f>IF(C7290&amp;G7290&amp;D7290&lt;&gt;'Funnel setup'!$K$3&amp;'Funnel setup'!$K$4&amp;'Funnel setup'!$K$5,".",IF(A7289=".",1,A7289+1))</f>
        <v>.</v>
      </c>
      <c r="B7290" s="431" t="str">
        <f t="shared" si="113"/>
        <v>Varicose VeinProviderSOUTH WARWICKSHIRE NHS FOUNDATION TRUST (RJC)EQ-5D Index</v>
      </c>
      <c r="C7290" t="s">
        <v>17</v>
      </c>
      <c r="D7290" t="s">
        <v>1</v>
      </c>
      <c r="E7290" t="s">
        <v>3421</v>
      </c>
      <c r="F7290" t="s">
        <v>3422</v>
      </c>
      <c r="G7290" t="s">
        <v>52</v>
      </c>
      <c r="H7290">
        <v>27</v>
      </c>
      <c r="I7290">
        <v>0.80400000000000005</v>
      </c>
      <c r="J7290">
        <v>0.94399999999999995</v>
      </c>
      <c r="K7290">
        <v>0.14000000000000001</v>
      </c>
      <c r="L7290">
        <v>19</v>
      </c>
      <c r="M7290">
        <v>8</v>
      </c>
      <c r="N7290">
        <v>0</v>
      </c>
      <c r="O7290" t="s">
        <v>53</v>
      </c>
      <c r="P7290" t="s">
        <v>53</v>
      </c>
      <c r="Q7290" t="s">
        <v>53</v>
      </c>
    </row>
    <row r="7291" spans="1:17" x14ac:dyDescent="0.2">
      <c r="A7291" s="30" t="str">
        <f>IF(C7291&amp;G7291&amp;D7291&lt;&gt;'Funnel setup'!$K$3&amp;'Funnel setup'!$K$4&amp;'Funnel setup'!$K$5,".",IF(A7290=".",1,A7290+1))</f>
        <v>.</v>
      </c>
      <c r="B7291" s="431" t="str">
        <f t="shared" si="113"/>
        <v>Varicose VeinProviderSOUTHAMPTON NHS TREATMENT CENTRE (NTP11)EQ-5D Index</v>
      </c>
      <c r="C7291" t="s">
        <v>17</v>
      </c>
      <c r="D7291" t="s">
        <v>1</v>
      </c>
      <c r="E7291" t="s">
        <v>3424</v>
      </c>
      <c r="F7291" t="s">
        <v>3425</v>
      </c>
      <c r="G7291" t="s">
        <v>52</v>
      </c>
      <c r="H7291">
        <v>12</v>
      </c>
      <c r="I7291">
        <v>0.78900000000000003</v>
      </c>
      <c r="J7291">
        <v>0.86299999999999999</v>
      </c>
      <c r="K7291">
        <v>7.3999999999999996E-2</v>
      </c>
      <c r="L7291">
        <v>6</v>
      </c>
      <c r="M7291">
        <v>3</v>
      </c>
      <c r="N7291">
        <v>3</v>
      </c>
      <c r="O7291" t="s">
        <v>53</v>
      </c>
      <c r="P7291" t="s">
        <v>53</v>
      </c>
      <c r="Q7291" t="s">
        <v>53</v>
      </c>
    </row>
    <row r="7292" spans="1:17" x14ac:dyDescent="0.2">
      <c r="A7292" s="30" t="str">
        <f>IF(C7292&amp;G7292&amp;D7292&lt;&gt;'Funnel setup'!$K$3&amp;'Funnel setup'!$K$4&amp;'Funnel setup'!$K$5,".",IF(A7291=".",1,A7291+1))</f>
        <v>.</v>
      </c>
      <c r="B7292" s="431" t="str">
        <f t="shared" si="113"/>
        <v>Varicose VeinProviderSOUTHEND UNIVERSITY HOSPITAL NHS FOUNDATION TRUST (RAJ)EQ-5D Index</v>
      </c>
      <c r="C7292" t="s">
        <v>17</v>
      </c>
      <c r="D7292" t="s">
        <v>1</v>
      </c>
      <c r="E7292" t="s">
        <v>3427</v>
      </c>
      <c r="F7292" t="s">
        <v>3428</v>
      </c>
      <c r="G7292" t="s">
        <v>52</v>
      </c>
      <c r="H7292" t="s">
        <v>53</v>
      </c>
      <c r="I7292" t="s">
        <v>53</v>
      </c>
      <c r="J7292" t="s">
        <v>53</v>
      </c>
      <c r="K7292" t="s">
        <v>53</v>
      </c>
      <c r="L7292" t="s">
        <v>53</v>
      </c>
      <c r="M7292" t="s">
        <v>53</v>
      </c>
      <c r="N7292" t="s">
        <v>53</v>
      </c>
      <c r="O7292" t="s">
        <v>53</v>
      </c>
      <c r="P7292" t="s">
        <v>53</v>
      </c>
      <c r="Q7292" t="s">
        <v>53</v>
      </c>
    </row>
    <row r="7293" spans="1:17" x14ac:dyDescent="0.2">
      <c r="A7293" s="30" t="str">
        <f>IF(C7293&amp;G7293&amp;D7293&lt;&gt;'Funnel setup'!$K$3&amp;'Funnel setup'!$K$4&amp;'Funnel setup'!$K$5,".",IF(A7292=".",1,A7292+1))</f>
        <v>.</v>
      </c>
      <c r="B7293" s="431" t="str">
        <f t="shared" si="113"/>
        <v>Varicose VeinProviderSOUTHPORT AND ORMSKIRK HOSPITAL NHS TRUST (RVY)EQ-5D Index</v>
      </c>
      <c r="C7293" t="s">
        <v>17</v>
      </c>
      <c r="D7293" t="s">
        <v>1</v>
      </c>
      <c r="E7293" t="s">
        <v>3430</v>
      </c>
      <c r="F7293" t="s">
        <v>3431</v>
      </c>
      <c r="G7293" t="s">
        <v>52</v>
      </c>
      <c r="H7293">
        <v>64</v>
      </c>
      <c r="I7293">
        <v>0.76700000000000002</v>
      </c>
      <c r="J7293">
        <v>0.78600000000000003</v>
      </c>
      <c r="K7293">
        <v>1.9E-2</v>
      </c>
      <c r="L7293">
        <v>23</v>
      </c>
      <c r="M7293">
        <v>24</v>
      </c>
      <c r="N7293">
        <v>17</v>
      </c>
      <c r="O7293">
        <v>0.78700000000000003</v>
      </c>
      <c r="P7293">
        <v>4.0598840999999997E-2</v>
      </c>
      <c r="Q7293">
        <v>0.19500000000000001</v>
      </c>
    </row>
    <row r="7294" spans="1:17" x14ac:dyDescent="0.2">
      <c r="A7294" s="30" t="str">
        <f>IF(C7294&amp;G7294&amp;D7294&lt;&gt;'Funnel setup'!$K$3&amp;'Funnel setup'!$K$4&amp;'Funnel setup'!$K$5,".",IF(A7293=".",1,A7293+1))</f>
        <v>.</v>
      </c>
      <c r="B7294" s="431" t="str">
        <f t="shared" si="113"/>
        <v>Varicose VeinProviderSPIRE CHESHIRE HOSPITAL (NT324)EQ-5D Index</v>
      </c>
      <c r="C7294" t="s">
        <v>17</v>
      </c>
      <c r="D7294" t="s">
        <v>1</v>
      </c>
      <c r="E7294" t="s">
        <v>3439</v>
      </c>
      <c r="F7294" t="s">
        <v>3440</v>
      </c>
      <c r="G7294" t="s">
        <v>52</v>
      </c>
      <c r="H7294">
        <v>6</v>
      </c>
      <c r="I7294">
        <v>0.90300000000000002</v>
      </c>
      <c r="J7294">
        <v>0.94899999999999995</v>
      </c>
      <c r="K7294">
        <v>4.5999999999999999E-2</v>
      </c>
      <c r="L7294">
        <v>1</v>
      </c>
      <c r="M7294">
        <v>4</v>
      </c>
      <c r="N7294">
        <v>1</v>
      </c>
      <c r="O7294" t="s">
        <v>53</v>
      </c>
      <c r="P7294" t="s">
        <v>53</v>
      </c>
      <c r="Q7294" t="s">
        <v>53</v>
      </c>
    </row>
    <row r="7295" spans="1:17" x14ac:dyDescent="0.2">
      <c r="A7295" s="30" t="str">
        <f>IF(C7295&amp;G7295&amp;D7295&lt;&gt;'Funnel setup'!$K$3&amp;'Funnel setup'!$K$4&amp;'Funnel setup'!$K$5,".",IF(A7294=".",1,A7294+1))</f>
        <v>.</v>
      </c>
      <c r="B7295" s="431" t="str">
        <f t="shared" si="113"/>
        <v>Varicose VeinProviderSPIRE ELLAND HOSPITAL (NT348)EQ-5D Index</v>
      </c>
      <c r="C7295" t="s">
        <v>17</v>
      </c>
      <c r="D7295" t="s">
        <v>1</v>
      </c>
      <c r="E7295" t="s">
        <v>3418</v>
      </c>
      <c r="F7295" t="s">
        <v>3419</v>
      </c>
      <c r="G7295" t="s">
        <v>52</v>
      </c>
      <c r="H7295">
        <v>12</v>
      </c>
      <c r="I7295">
        <v>0.86799999999999999</v>
      </c>
      <c r="J7295">
        <v>0.93</v>
      </c>
      <c r="K7295">
        <v>6.3E-2</v>
      </c>
      <c r="L7295">
        <v>5</v>
      </c>
      <c r="M7295">
        <v>6</v>
      </c>
      <c r="N7295">
        <v>1</v>
      </c>
      <c r="O7295" t="s">
        <v>53</v>
      </c>
      <c r="P7295" t="s">
        <v>53</v>
      </c>
      <c r="Q7295" t="s">
        <v>53</v>
      </c>
    </row>
    <row r="7296" spans="1:17" x14ac:dyDescent="0.2">
      <c r="A7296" s="30" t="str">
        <f>IF(C7296&amp;G7296&amp;D7296&lt;&gt;'Funnel setup'!$K$3&amp;'Funnel setup'!$K$4&amp;'Funnel setup'!$K$5,".",IF(A7295=".",1,A7295+1))</f>
        <v>.</v>
      </c>
      <c r="B7296" s="431" t="str">
        <f t="shared" si="113"/>
        <v>Varicose VeinProviderSPIRE FYLDE COAST HOSPITAL (NT347)EQ-5D Index</v>
      </c>
      <c r="C7296" t="s">
        <v>17</v>
      </c>
      <c r="D7296" t="s">
        <v>1</v>
      </c>
      <c r="E7296" t="s">
        <v>4370</v>
      </c>
      <c r="F7296" t="s">
        <v>4371</v>
      </c>
      <c r="G7296" t="s">
        <v>52</v>
      </c>
      <c r="H7296">
        <v>6</v>
      </c>
      <c r="I7296">
        <v>0.8</v>
      </c>
      <c r="J7296">
        <v>0.89800000000000002</v>
      </c>
      <c r="K7296">
        <v>9.8000000000000004E-2</v>
      </c>
      <c r="L7296">
        <v>2</v>
      </c>
      <c r="M7296">
        <v>4</v>
      </c>
      <c r="N7296">
        <v>0</v>
      </c>
      <c r="O7296" t="s">
        <v>53</v>
      </c>
      <c r="P7296" t="s">
        <v>53</v>
      </c>
      <c r="Q7296" t="s">
        <v>53</v>
      </c>
    </row>
    <row r="7297" spans="1:17" x14ac:dyDescent="0.2">
      <c r="A7297" s="30" t="str">
        <f>IF(C7297&amp;G7297&amp;D7297&lt;&gt;'Funnel setup'!$K$3&amp;'Funnel setup'!$K$4&amp;'Funnel setup'!$K$5,".",IF(A7296=".",1,A7296+1))</f>
        <v>.</v>
      </c>
      <c r="B7297" s="431" t="str">
        <f t="shared" si="113"/>
        <v>Varicose VeinProviderSPIRE LIVERPOOL HOSPITAL (NT337)EQ-5D Index</v>
      </c>
      <c r="C7297" t="s">
        <v>17</v>
      </c>
      <c r="D7297" t="s">
        <v>1</v>
      </c>
      <c r="E7297" t="s">
        <v>3927</v>
      </c>
      <c r="F7297" t="s">
        <v>3928</v>
      </c>
      <c r="G7297" t="s">
        <v>52</v>
      </c>
      <c r="H7297" t="s">
        <v>53</v>
      </c>
      <c r="I7297" t="s">
        <v>53</v>
      </c>
      <c r="J7297" t="s">
        <v>53</v>
      </c>
      <c r="K7297" t="s">
        <v>53</v>
      </c>
      <c r="L7297" t="s">
        <v>53</v>
      </c>
      <c r="M7297" t="s">
        <v>53</v>
      </c>
      <c r="N7297" t="s">
        <v>53</v>
      </c>
      <c r="O7297" t="s">
        <v>53</v>
      </c>
      <c r="P7297" t="s">
        <v>53</v>
      </c>
      <c r="Q7297" t="s">
        <v>53</v>
      </c>
    </row>
    <row r="7298" spans="1:17" x14ac:dyDescent="0.2">
      <c r="A7298" s="30" t="str">
        <f>IF(C7298&amp;G7298&amp;D7298&lt;&gt;'Funnel setup'!$K$3&amp;'Funnel setup'!$K$4&amp;'Funnel setup'!$K$5,".",IF(A7297=".",1,A7297+1))</f>
        <v>.</v>
      </c>
      <c r="B7298" s="431" t="str">
        <f t="shared" si="113"/>
        <v>Varicose VeinProviderSPIRE METHLEY PARK HOSPITAL (NT350)EQ-5D Index</v>
      </c>
      <c r="C7298" t="s">
        <v>17</v>
      </c>
      <c r="D7298" t="s">
        <v>1</v>
      </c>
      <c r="E7298" t="s">
        <v>3157</v>
      </c>
      <c r="F7298" t="s">
        <v>3158</v>
      </c>
      <c r="G7298" t="s">
        <v>52</v>
      </c>
      <c r="H7298">
        <v>23</v>
      </c>
      <c r="I7298">
        <v>0.82</v>
      </c>
      <c r="J7298">
        <v>0.96499999999999997</v>
      </c>
      <c r="K7298">
        <v>0.14399999999999999</v>
      </c>
      <c r="L7298">
        <v>13</v>
      </c>
      <c r="M7298">
        <v>9</v>
      </c>
      <c r="N7298">
        <v>1</v>
      </c>
      <c r="O7298" t="s">
        <v>53</v>
      </c>
      <c r="P7298" t="s">
        <v>53</v>
      </c>
      <c r="Q7298" t="s">
        <v>53</v>
      </c>
    </row>
    <row r="7299" spans="1:17" x14ac:dyDescent="0.2">
      <c r="A7299" s="30" t="str">
        <f>IF(C7299&amp;G7299&amp;D7299&lt;&gt;'Funnel setup'!$K$3&amp;'Funnel setup'!$K$4&amp;'Funnel setup'!$K$5,".",IF(A7298=".",1,A7298+1))</f>
        <v>.</v>
      </c>
      <c r="B7299" s="431" t="str">
        <f t="shared" ref="B7299:B7362" si="114">C7299&amp;D7299&amp;F7299&amp;G7299</f>
        <v>Varicose VeinProviderSPIRE MURRAYFIELD HOSPITAL (NT325)EQ-5D Index</v>
      </c>
      <c r="C7299" t="s">
        <v>17</v>
      </c>
      <c r="D7299" t="s">
        <v>1</v>
      </c>
      <c r="E7299" t="s">
        <v>3163</v>
      </c>
      <c r="F7299" t="s">
        <v>3164</v>
      </c>
      <c r="G7299" t="s">
        <v>52</v>
      </c>
      <c r="H7299">
        <v>14</v>
      </c>
      <c r="I7299">
        <v>0.71799999999999997</v>
      </c>
      <c r="J7299">
        <v>0.91400000000000003</v>
      </c>
      <c r="K7299">
        <v>0.19700000000000001</v>
      </c>
      <c r="L7299">
        <v>11</v>
      </c>
      <c r="M7299">
        <v>3</v>
      </c>
      <c r="N7299">
        <v>0</v>
      </c>
      <c r="O7299" t="s">
        <v>53</v>
      </c>
      <c r="P7299" t="s">
        <v>53</v>
      </c>
      <c r="Q7299" t="s">
        <v>53</v>
      </c>
    </row>
    <row r="7300" spans="1:17" x14ac:dyDescent="0.2">
      <c r="A7300" s="30" t="str">
        <f>IF(C7300&amp;G7300&amp;D7300&lt;&gt;'Funnel setup'!$K$3&amp;'Funnel setup'!$K$4&amp;'Funnel setup'!$K$5,".",IF(A7299=".",1,A7299+1))</f>
        <v>.</v>
      </c>
      <c r="B7300" s="431" t="str">
        <f t="shared" si="114"/>
        <v>Varicose VeinProviderSPIRE WASHINGTON HOSPITAL (NT333)EQ-5D Index</v>
      </c>
      <c r="C7300" t="s">
        <v>17</v>
      </c>
      <c r="D7300" t="s">
        <v>1</v>
      </c>
      <c r="E7300" t="s">
        <v>3189</v>
      </c>
      <c r="F7300" t="s">
        <v>3190</v>
      </c>
      <c r="G7300" t="s">
        <v>52</v>
      </c>
      <c r="H7300">
        <v>26</v>
      </c>
      <c r="I7300">
        <v>0.73699999999999999</v>
      </c>
      <c r="J7300">
        <v>0.81299999999999994</v>
      </c>
      <c r="K7300">
        <v>7.5999999999999998E-2</v>
      </c>
      <c r="L7300">
        <v>15</v>
      </c>
      <c r="M7300">
        <v>6</v>
      </c>
      <c r="N7300">
        <v>5</v>
      </c>
      <c r="O7300" t="s">
        <v>53</v>
      </c>
      <c r="P7300" t="s">
        <v>53</v>
      </c>
      <c r="Q7300" t="s">
        <v>53</v>
      </c>
    </row>
    <row r="7301" spans="1:17" x14ac:dyDescent="0.2">
      <c r="A7301" s="30" t="str">
        <f>IF(C7301&amp;G7301&amp;D7301&lt;&gt;'Funnel setup'!$K$3&amp;'Funnel setup'!$K$4&amp;'Funnel setup'!$K$5,".",IF(A7300=".",1,A7300+1))</f>
        <v>.</v>
      </c>
      <c r="B7301" s="431" t="str">
        <f t="shared" si="114"/>
        <v>Varicose VeinProviderST GEORGE'S UNIVERSITY HOSPITALS NHS FOUNDATION TRUST (RJ7)EQ-5D Index</v>
      </c>
      <c r="C7301" t="s">
        <v>17</v>
      </c>
      <c r="D7301" t="s">
        <v>1</v>
      </c>
      <c r="E7301" t="s">
        <v>3124</v>
      </c>
      <c r="F7301" t="s">
        <v>3125</v>
      </c>
      <c r="G7301" t="s">
        <v>52</v>
      </c>
      <c r="H7301">
        <v>33</v>
      </c>
      <c r="I7301">
        <v>0.77600000000000002</v>
      </c>
      <c r="J7301">
        <v>0.755</v>
      </c>
      <c r="K7301">
        <v>-2.1000000000000001E-2</v>
      </c>
      <c r="L7301">
        <v>8</v>
      </c>
      <c r="M7301">
        <v>16</v>
      </c>
      <c r="N7301">
        <v>9</v>
      </c>
      <c r="O7301">
        <v>0.74299999999999999</v>
      </c>
      <c r="P7301">
        <v>-3.9105920000000001E-3</v>
      </c>
      <c r="Q7301">
        <v>0.23400000000000001</v>
      </c>
    </row>
    <row r="7302" spans="1:17" x14ac:dyDescent="0.2">
      <c r="A7302" s="30" t="str">
        <f>IF(C7302&amp;G7302&amp;D7302&lt;&gt;'Funnel setup'!$K$3&amp;'Funnel setup'!$K$4&amp;'Funnel setup'!$K$5,".",IF(A7301=".",1,A7301+1))</f>
        <v>.</v>
      </c>
      <c r="B7302" s="431" t="str">
        <f t="shared" si="114"/>
        <v>Varicose VeinProviderST HELENS AND KNOWSLEY HOSPITALS NHS TRUST (RBN)EQ-5D Index</v>
      </c>
      <c r="C7302" t="s">
        <v>17</v>
      </c>
      <c r="D7302" t="s">
        <v>1</v>
      </c>
      <c r="E7302" t="s">
        <v>3127</v>
      </c>
      <c r="F7302" t="s">
        <v>3128</v>
      </c>
      <c r="G7302" t="s">
        <v>52</v>
      </c>
      <c r="H7302">
        <v>27</v>
      </c>
      <c r="I7302">
        <v>0.75600000000000001</v>
      </c>
      <c r="J7302">
        <v>0.80300000000000005</v>
      </c>
      <c r="K7302">
        <v>4.7E-2</v>
      </c>
      <c r="L7302">
        <v>13</v>
      </c>
      <c r="M7302">
        <v>10</v>
      </c>
      <c r="N7302">
        <v>4</v>
      </c>
      <c r="O7302" t="s">
        <v>53</v>
      </c>
      <c r="P7302" t="s">
        <v>53</v>
      </c>
      <c r="Q7302" t="s">
        <v>53</v>
      </c>
    </row>
    <row r="7303" spans="1:17" x14ac:dyDescent="0.2">
      <c r="A7303" s="30" t="str">
        <f>IF(C7303&amp;G7303&amp;D7303&lt;&gt;'Funnel setup'!$K$3&amp;'Funnel setup'!$K$4&amp;'Funnel setup'!$K$5,".",IF(A7302=".",1,A7302+1))</f>
        <v>.</v>
      </c>
      <c r="B7303" s="431" t="str">
        <f t="shared" si="114"/>
        <v>Varicose VeinProviderSURREY AND SUSSEX HEALTHCARE NHS TRUST (RTP)EQ-5D Index</v>
      </c>
      <c r="C7303" t="s">
        <v>17</v>
      </c>
      <c r="D7303" t="s">
        <v>1</v>
      </c>
      <c r="E7303" t="s">
        <v>3145</v>
      </c>
      <c r="F7303" t="s">
        <v>3146</v>
      </c>
      <c r="G7303" t="s">
        <v>52</v>
      </c>
      <c r="H7303">
        <v>50</v>
      </c>
      <c r="I7303">
        <v>0.77200000000000002</v>
      </c>
      <c r="J7303">
        <v>0.84799999999999998</v>
      </c>
      <c r="K7303">
        <v>7.6999999999999999E-2</v>
      </c>
      <c r="L7303">
        <v>27</v>
      </c>
      <c r="M7303">
        <v>14</v>
      </c>
      <c r="N7303">
        <v>9</v>
      </c>
      <c r="O7303">
        <v>0.84199999999999997</v>
      </c>
      <c r="P7303">
        <v>9.5205561999999994E-2</v>
      </c>
      <c r="Q7303">
        <v>0.16300000000000001</v>
      </c>
    </row>
    <row r="7304" spans="1:17" x14ac:dyDescent="0.2">
      <c r="A7304" s="30" t="str">
        <f>IF(C7304&amp;G7304&amp;D7304&lt;&gt;'Funnel setup'!$K$3&amp;'Funnel setup'!$K$4&amp;'Funnel setup'!$K$5,".",IF(A7303=".",1,A7303+1))</f>
        <v>.</v>
      </c>
      <c r="B7304" s="431" t="str">
        <f t="shared" si="114"/>
        <v>Varicose VeinProviderTAMESIDE HOSPITAL NHS FOUNDATION TRUST (RMP)EQ-5D Index</v>
      </c>
      <c r="C7304" t="s">
        <v>17</v>
      </c>
      <c r="D7304" t="s">
        <v>1</v>
      </c>
      <c r="E7304" t="s">
        <v>3148</v>
      </c>
      <c r="F7304" t="s">
        <v>3149</v>
      </c>
      <c r="G7304" t="s">
        <v>52</v>
      </c>
      <c r="H7304">
        <v>26</v>
      </c>
      <c r="I7304">
        <v>0.748</v>
      </c>
      <c r="J7304">
        <v>0.74299999999999999</v>
      </c>
      <c r="K7304">
        <v>-5.0000000000000001E-3</v>
      </c>
      <c r="L7304">
        <v>7</v>
      </c>
      <c r="M7304">
        <v>12</v>
      </c>
      <c r="N7304">
        <v>7</v>
      </c>
      <c r="O7304" t="s">
        <v>53</v>
      </c>
      <c r="P7304" t="s">
        <v>53</v>
      </c>
      <c r="Q7304" t="s">
        <v>53</v>
      </c>
    </row>
    <row r="7305" spans="1:17" x14ac:dyDescent="0.2">
      <c r="A7305" s="30" t="str">
        <f>IF(C7305&amp;G7305&amp;D7305&lt;&gt;'Funnel setup'!$K$3&amp;'Funnel setup'!$K$4&amp;'Funnel setup'!$K$5,".",IF(A7304=".",1,A7304+1))</f>
        <v>.</v>
      </c>
      <c r="B7305" s="431" t="str">
        <f t="shared" si="114"/>
        <v>Varicose VeinProviderTAUNTON AND SOMERSET NHS FOUNDATION TRUST (RBA)EQ-5D Index</v>
      </c>
      <c r="C7305" t="s">
        <v>17</v>
      </c>
      <c r="D7305" t="s">
        <v>1</v>
      </c>
      <c r="E7305" t="s">
        <v>3151</v>
      </c>
      <c r="F7305" t="s">
        <v>3152</v>
      </c>
      <c r="G7305" t="s">
        <v>52</v>
      </c>
      <c r="H7305">
        <v>77</v>
      </c>
      <c r="I7305">
        <v>0.72</v>
      </c>
      <c r="J7305">
        <v>0.85099999999999998</v>
      </c>
      <c r="K7305">
        <v>0.13200000000000001</v>
      </c>
      <c r="L7305">
        <v>45</v>
      </c>
      <c r="M7305">
        <v>20</v>
      </c>
      <c r="N7305">
        <v>12</v>
      </c>
      <c r="O7305">
        <v>0.876</v>
      </c>
      <c r="P7305">
        <v>0.12959412300000001</v>
      </c>
      <c r="Q7305">
        <v>0.13500000000000001</v>
      </c>
    </row>
    <row r="7306" spans="1:17" x14ac:dyDescent="0.2">
      <c r="A7306" s="30" t="str">
        <f>IF(C7306&amp;G7306&amp;D7306&lt;&gt;'Funnel setup'!$K$3&amp;'Funnel setup'!$K$4&amp;'Funnel setup'!$K$5,".",IF(A7305=".",1,A7305+1))</f>
        <v>.</v>
      </c>
      <c r="B7306" s="431" t="str">
        <f t="shared" si="114"/>
        <v>Varicose VeinProviderTEES VALLEY TREATMENT CENTRE (NVC35)EQ-5D Index</v>
      </c>
      <c r="C7306" t="s">
        <v>17</v>
      </c>
      <c r="D7306" t="s">
        <v>1</v>
      </c>
      <c r="E7306" t="s">
        <v>3112</v>
      </c>
      <c r="F7306" t="s">
        <v>3113</v>
      </c>
      <c r="G7306" t="s">
        <v>52</v>
      </c>
      <c r="H7306">
        <v>12</v>
      </c>
      <c r="I7306">
        <v>0.74099999999999999</v>
      </c>
      <c r="J7306">
        <v>0.89300000000000002</v>
      </c>
      <c r="K7306">
        <v>0.153</v>
      </c>
      <c r="L7306">
        <v>8</v>
      </c>
      <c r="M7306">
        <v>3</v>
      </c>
      <c r="N7306">
        <v>1</v>
      </c>
      <c r="O7306" t="s">
        <v>53</v>
      </c>
      <c r="P7306" t="s">
        <v>53</v>
      </c>
      <c r="Q7306" t="s">
        <v>53</v>
      </c>
    </row>
    <row r="7307" spans="1:17" x14ac:dyDescent="0.2">
      <c r="A7307" s="30" t="str">
        <f>IF(C7307&amp;G7307&amp;D7307&lt;&gt;'Funnel setup'!$K$3&amp;'Funnel setup'!$K$4&amp;'Funnel setup'!$K$5,".",IF(A7306=".",1,A7306+1))</f>
        <v>.</v>
      </c>
      <c r="B7307" s="431" t="str">
        <f t="shared" si="114"/>
        <v>Varicose VeinProviderTHE DUDLEY GROUP NHS FOUNDATION TRUST (RNA)EQ-5D Index</v>
      </c>
      <c r="C7307" t="s">
        <v>17</v>
      </c>
      <c r="D7307" t="s">
        <v>1</v>
      </c>
      <c r="E7307" t="s">
        <v>3121</v>
      </c>
      <c r="F7307" t="s">
        <v>3122</v>
      </c>
      <c r="G7307" t="s">
        <v>52</v>
      </c>
      <c r="H7307">
        <v>134</v>
      </c>
      <c r="I7307">
        <v>0.76100000000000001</v>
      </c>
      <c r="J7307">
        <v>0.84499999999999997</v>
      </c>
      <c r="K7307">
        <v>8.4000000000000005E-2</v>
      </c>
      <c r="L7307">
        <v>69</v>
      </c>
      <c r="M7307">
        <v>45</v>
      </c>
      <c r="N7307">
        <v>20</v>
      </c>
      <c r="O7307">
        <v>0.84699999999999998</v>
      </c>
      <c r="P7307">
        <v>9.9793973999999994E-2</v>
      </c>
      <c r="Q7307">
        <v>0.17599999999999999</v>
      </c>
    </row>
    <row r="7308" spans="1:17" x14ac:dyDescent="0.2">
      <c r="A7308" s="30" t="str">
        <f>IF(C7308&amp;G7308&amp;D7308&lt;&gt;'Funnel setup'!$K$3&amp;'Funnel setup'!$K$4&amp;'Funnel setup'!$K$5,".",IF(A7307=".",1,A7307+1))</f>
        <v>.</v>
      </c>
      <c r="B7308" s="431" t="str">
        <f t="shared" si="114"/>
        <v>Varicose VeinProviderTHE HILLINGDON HOSPITALS NHS FOUNDATION TRUST (RAS)EQ-5D Index</v>
      </c>
      <c r="C7308" t="s">
        <v>17</v>
      </c>
      <c r="D7308" t="s">
        <v>1</v>
      </c>
      <c r="E7308" t="s">
        <v>3115</v>
      </c>
      <c r="F7308" t="s">
        <v>3116</v>
      </c>
      <c r="G7308" t="s">
        <v>52</v>
      </c>
      <c r="H7308">
        <v>14</v>
      </c>
      <c r="I7308">
        <v>0.76200000000000001</v>
      </c>
      <c r="J7308">
        <v>0.79200000000000004</v>
      </c>
      <c r="K7308">
        <v>0.03</v>
      </c>
      <c r="L7308">
        <v>8</v>
      </c>
      <c r="M7308">
        <v>3</v>
      </c>
      <c r="N7308">
        <v>3</v>
      </c>
      <c r="O7308" t="s">
        <v>53</v>
      </c>
      <c r="P7308" t="s">
        <v>53</v>
      </c>
      <c r="Q7308" t="s">
        <v>53</v>
      </c>
    </row>
    <row r="7309" spans="1:17" x14ac:dyDescent="0.2">
      <c r="A7309" s="30" t="str">
        <f>IF(C7309&amp;G7309&amp;D7309&lt;&gt;'Funnel setup'!$K$3&amp;'Funnel setup'!$K$4&amp;'Funnel setup'!$K$5,".",IF(A7308=".",1,A7308+1))</f>
        <v>.</v>
      </c>
      <c r="B7309" s="431" t="str">
        <f t="shared" si="114"/>
        <v>Varicose VeinProviderTHE NEWCASTLE UPON TYNE HOSPITALS NHS FOUNDATION TRUST (RTD)EQ-5D Index</v>
      </c>
      <c r="C7309" t="s">
        <v>17</v>
      </c>
      <c r="D7309" t="s">
        <v>1</v>
      </c>
      <c r="E7309" t="s">
        <v>3748</v>
      </c>
      <c r="F7309" t="s">
        <v>3749</v>
      </c>
      <c r="G7309" t="s">
        <v>52</v>
      </c>
      <c r="H7309">
        <v>184</v>
      </c>
      <c r="I7309">
        <v>0.753</v>
      </c>
      <c r="J7309">
        <v>0.83299999999999996</v>
      </c>
      <c r="K7309">
        <v>7.9000000000000001E-2</v>
      </c>
      <c r="L7309">
        <v>95</v>
      </c>
      <c r="M7309">
        <v>55</v>
      </c>
      <c r="N7309">
        <v>34</v>
      </c>
      <c r="O7309">
        <v>0.82699999999999996</v>
      </c>
      <c r="P7309">
        <v>7.9936104999999993E-2</v>
      </c>
      <c r="Q7309">
        <v>0.193</v>
      </c>
    </row>
    <row r="7310" spans="1:17" x14ac:dyDescent="0.2">
      <c r="A7310" s="30" t="str">
        <f>IF(C7310&amp;G7310&amp;D7310&lt;&gt;'Funnel setup'!$K$3&amp;'Funnel setup'!$K$4&amp;'Funnel setup'!$K$5,".",IF(A7309=".",1,A7309+1))</f>
        <v>.</v>
      </c>
      <c r="B7310" s="431" t="str">
        <f t="shared" si="114"/>
        <v>Varicose VeinProviderTHE PRINCESS ALEXANDRA HOSPITAL NHS TRUST (RQW)EQ-5D Index</v>
      </c>
      <c r="C7310" t="s">
        <v>17</v>
      </c>
      <c r="D7310" t="s">
        <v>1</v>
      </c>
      <c r="E7310" t="s">
        <v>3751</v>
      </c>
      <c r="F7310" t="s">
        <v>3752</v>
      </c>
      <c r="G7310" t="s">
        <v>52</v>
      </c>
      <c r="H7310">
        <v>23</v>
      </c>
      <c r="I7310">
        <v>0.65200000000000002</v>
      </c>
      <c r="J7310">
        <v>0.79400000000000004</v>
      </c>
      <c r="K7310">
        <v>0.14199999999999999</v>
      </c>
      <c r="L7310">
        <v>12</v>
      </c>
      <c r="M7310">
        <v>7</v>
      </c>
      <c r="N7310">
        <v>4</v>
      </c>
      <c r="O7310" t="s">
        <v>53</v>
      </c>
      <c r="P7310" t="s">
        <v>53</v>
      </c>
      <c r="Q7310" t="s">
        <v>53</v>
      </c>
    </row>
    <row r="7311" spans="1:17" x14ac:dyDescent="0.2">
      <c r="A7311" s="30" t="str">
        <f>IF(C7311&amp;G7311&amp;D7311&lt;&gt;'Funnel setup'!$K$3&amp;'Funnel setup'!$K$4&amp;'Funnel setup'!$K$5,".",IF(A7310=".",1,A7310+1))</f>
        <v>.</v>
      </c>
      <c r="B7311" s="431" t="str">
        <f t="shared" si="114"/>
        <v>Varicose VeinProviderTHE QUEEN ELIZABETH HOSPITAL, KING'S LYNN, NHS FOUNDATION TRUST (RCX)EQ-5D Index</v>
      </c>
      <c r="C7311" t="s">
        <v>17</v>
      </c>
      <c r="D7311" t="s">
        <v>1</v>
      </c>
      <c r="E7311" t="s">
        <v>3754</v>
      </c>
      <c r="F7311" t="s">
        <v>3755</v>
      </c>
      <c r="G7311" t="s">
        <v>52</v>
      </c>
      <c r="H7311">
        <v>17</v>
      </c>
      <c r="I7311">
        <v>0.73499999999999999</v>
      </c>
      <c r="J7311">
        <v>0.85399999999999998</v>
      </c>
      <c r="K7311">
        <v>0.12</v>
      </c>
      <c r="L7311">
        <v>9</v>
      </c>
      <c r="M7311">
        <v>4</v>
      </c>
      <c r="N7311">
        <v>4</v>
      </c>
      <c r="O7311" t="s">
        <v>53</v>
      </c>
      <c r="P7311" t="s">
        <v>53</v>
      </c>
      <c r="Q7311" t="s">
        <v>53</v>
      </c>
    </row>
    <row r="7312" spans="1:17" x14ac:dyDescent="0.2">
      <c r="A7312" s="30" t="str">
        <f>IF(C7312&amp;G7312&amp;D7312&lt;&gt;'Funnel setup'!$K$3&amp;'Funnel setup'!$K$4&amp;'Funnel setup'!$K$5,".",IF(A7311=".",1,A7311+1))</f>
        <v>.</v>
      </c>
      <c r="B7312" s="431" t="str">
        <f t="shared" si="114"/>
        <v>Varicose VeinProviderTHE ROTHERHAM NHS FOUNDATION TRUST (RFR)EQ-5D Index</v>
      </c>
      <c r="C7312" t="s">
        <v>17</v>
      </c>
      <c r="D7312" t="s">
        <v>1</v>
      </c>
      <c r="E7312" t="s">
        <v>3739</v>
      </c>
      <c r="F7312" t="s">
        <v>3740</v>
      </c>
      <c r="G7312" t="s">
        <v>52</v>
      </c>
      <c r="H7312">
        <v>7</v>
      </c>
      <c r="I7312">
        <v>0.63800000000000001</v>
      </c>
      <c r="J7312">
        <v>0.874</v>
      </c>
      <c r="K7312">
        <v>0.23499999999999999</v>
      </c>
      <c r="L7312">
        <v>4</v>
      </c>
      <c r="M7312">
        <v>3</v>
      </c>
      <c r="N7312">
        <v>0</v>
      </c>
      <c r="O7312" t="s">
        <v>53</v>
      </c>
      <c r="P7312" t="s">
        <v>53</v>
      </c>
      <c r="Q7312" t="s">
        <v>53</v>
      </c>
    </row>
    <row r="7313" spans="1:17" x14ac:dyDescent="0.2">
      <c r="A7313" s="30" t="str">
        <f>IF(C7313&amp;G7313&amp;D7313&lt;&gt;'Funnel setup'!$K$3&amp;'Funnel setup'!$K$4&amp;'Funnel setup'!$K$5,".",IF(A7312=".",1,A7312+1))</f>
        <v>.</v>
      </c>
      <c r="B7313" s="431" t="str">
        <f t="shared" si="114"/>
        <v>Varicose VeinProviderTHE ROYAL BOURNEMOUTH AND CHRISTCHURCH HOSPITALS NHS FOUNDATION TRUST (RDZ)EQ-5D Index</v>
      </c>
      <c r="C7313" t="s">
        <v>17</v>
      </c>
      <c r="D7313" t="s">
        <v>1</v>
      </c>
      <c r="E7313" t="s">
        <v>3742</v>
      </c>
      <c r="F7313" t="s">
        <v>3743</v>
      </c>
      <c r="G7313" t="s">
        <v>52</v>
      </c>
      <c r="H7313" t="s">
        <v>53</v>
      </c>
      <c r="I7313" t="s">
        <v>53</v>
      </c>
      <c r="J7313" t="s">
        <v>53</v>
      </c>
      <c r="K7313" t="s">
        <v>53</v>
      </c>
      <c r="L7313" t="s">
        <v>53</v>
      </c>
      <c r="M7313" t="s">
        <v>53</v>
      </c>
      <c r="N7313" t="s">
        <v>53</v>
      </c>
      <c r="O7313" t="s">
        <v>53</v>
      </c>
      <c r="P7313" t="s">
        <v>53</v>
      </c>
      <c r="Q7313" t="s">
        <v>53</v>
      </c>
    </row>
    <row r="7314" spans="1:17" x14ac:dyDescent="0.2">
      <c r="A7314" s="30" t="str">
        <f>IF(C7314&amp;G7314&amp;D7314&lt;&gt;'Funnel setup'!$K$3&amp;'Funnel setup'!$K$4&amp;'Funnel setup'!$K$5,".",IF(A7313=".",1,A7313+1))</f>
        <v>.</v>
      </c>
      <c r="B7314" s="431" t="str">
        <f t="shared" si="114"/>
        <v>Varicose VeinProviderTHE ROYAL WOLVERHAMPTON NHS TRUST (RL4)EQ-5D Index</v>
      </c>
      <c r="C7314" t="s">
        <v>17</v>
      </c>
      <c r="D7314" t="s">
        <v>1</v>
      </c>
      <c r="E7314" t="s">
        <v>3382</v>
      </c>
      <c r="F7314" t="s">
        <v>3383</v>
      </c>
      <c r="G7314" t="s">
        <v>52</v>
      </c>
      <c r="H7314">
        <v>74</v>
      </c>
      <c r="I7314">
        <v>0.71799999999999997</v>
      </c>
      <c r="J7314">
        <v>0.83799999999999997</v>
      </c>
      <c r="K7314">
        <v>0.12</v>
      </c>
      <c r="L7314">
        <v>44</v>
      </c>
      <c r="M7314">
        <v>20</v>
      </c>
      <c r="N7314">
        <v>10</v>
      </c>
      <c r="O7314">
        <v>0.871</v>
      </c>
      <c r="P7314">
        <v>0.124745286</v>
      </c>
      <c r="Q7314">
        <v>0.19400000000000001</v>
      </c>
    </row>
    <row r="7315" spans="1:17" x14ac:dyDescent="0.2">
      <c r="A7315" s="30" t="str">
        <f>IF(C7315&amp;G7315&amp;D7315&lt;&gt;'Funnel setup'!$K$3&amp;'Funnel setup'!$K$4&amp;'Funnel setup'!$K$5,".",IF(A7314=".",1,A7314+1))</f>
        <v>.</v>
      </c>
      <c r="B7315" s="431" t="str">
        <f t="shared" si="114"/>
        <v>Varicose VeinProviderTHE WESTBOURNE CENTRE (NVC44)EQ-5D Index</v>
      </c>
      <c r="C7315" t="s">
        <v>17</v>
      </c>
      <c r="D7315" t="s">
        <v>1</v>
      </c>
      <c r="E7315" t="s">
        <v>3775</v>
      </c>
      <c r="F7315" t="s">
        <v>3776</v>
      </c>
      <c r="G7315" t="s">
        <v>52</v>
      </c>
      <c r="H7315" t="s">
        <v>53</v>
      </c>
      <c r="I7315" t="s">
        <v>53</v>
      </c>
      <c r="J7315" t="s">
        <v>53</v>
      </c>
      <c r="K7315" t="s">
        <v>53</v>
      </c>
      <c r="L7315" t="s">
        <v>53</v>
      </c>
      <c r="M7315" t="s">
        <v>53</v>
      </c>
      <c r="N7315" t="s">
        <v>53</v>
      </c>
      <c r="O7315" t="s">
        <v>53</v>
      </c>
      <c r="P7315" t="s">
        <v>53</v>
      </c>
      <c r="Q7315" t="s">
        <v>53</v>
      </c>
    </row>
    <row r="7316" spans="1:17" x14ac:dyDescent="0.2">
      <c r="A7316" s="30" t="str">
        <f>IF(C7316&amp;G7316&amp;D7316&lt;&gt;'Funnel setup'!$K$3&amp;'Funnel setup'!$K$4&amp;'Funnel setup'!$K$5,".",IF(A7315=".",1,A7315+1))</f>
        <v>.</v>
      </c>
      <c r="B7316" s="431" t="str">
        <f t="shared" si="114"/>
        <v>Varicose VeinProviderTORBAY AND SOUTH DEVON NHS FOUNDATION TRUST (RA9)EQ-5D Index</v>
      </c>
      <c r="C7316" t="s">
        <v>17</v>
      </c>
      <c r="D7316" t="s">
        <v>1</v>
      </c>
      <c r="E7316" t="s">
        <v>3480</v>
      </c>
      <c r="F7316" t="s">
        <v>6584</v>
      </c>
      <c r="G7316" t="s">
        <v>52</v>
      </c>
      <c r="H7316" t="s">
        <v>53</v>
      </c>
      <c r="I7316" t="s">
        <v>53</v>
      </c>
      <c r="J7316" t="s">
        <v>53</v>
      </c>
      <c r="K7316" t="s">
        <v>53</v>
      </c>
      <c r="L7316" t="s">
        <v>53</v>
      </c>
      <c r="M7316" t="s">
        <v>53</v>
      </c>
      <c r="N7316" t="s">
        <v>53</v>
      </c>
      <c r="O7316" t="s">
        <v>53</v>
      </c>
      <c r="P7316" t="s">
        <v>53</v>
      </c>
      <c r="Q7316" t="s">
        <v>53</v>
      </c>
    </row>
    <row r="7317" spans="1:17" x14ac:dyDescent="0.2">
      <c r="A7317" s="30" t="str">
        <f>IF(C7317&amp;G7317&amp;D7317&lt;&gt;'Funnel setup'!$K$3&amp;'Funnel setup'!$K$4&amp;'Funnel setup'!$K$5,".",IF(A7316=".",1,A7316+1))</f>
        <v>.</v>
      </c>
      <c r="B7317" s="431" t="str">
        <f t="shared" si="114"/>
        <v>Varicose VeinProviderTYNESIDE SURGICAL SERVICES AT THE NORTH EAST NHS SURGERY CENTRE (NN401)EQ-5D Index</v>
      </c>
      <c r="C7317" t="s">
        <v>17</v>
      </c>
      <c r="D7317" t="s">
        <v>1</v>
      </c>
      <c r="E7317" t="s">
        <v>4506</v>
      </c>
      <c r="F7317" t="s">
        <v>4507</v>
      </c>
      <c r="G7317" t="s">
        <v>52</v>
      </c>
      <c r="H7317" t="s">
        <v>53</v>
      </c>
      <c r="I7317" t="s">
        <v>53</v>
      </c>
      <c r="J7317" t="s">
        <v>53</v>
      </c>
      <c r="K7317" t="s">
        <v>53</v>
      </c>
      <c r="L7317" t="s">
        <v>53</v>
      </c>
      <c r="M7317" t="s">
        <v>53</v>
      </c>
      <c r="N7317" t="s">
        <v>53</v>
      </c>
      <c r="O7317" t="s">
        <v>53</v>
      </c>
      <c r="P7317" t="s">
        <v>53</v>
      </c>
      <c r="Q7317" t="s">
        <v>53</v>
      </c>
    </row>
    <row r="7318" spans="1:17" x14ac:dyDescent="0.2">
      <c r="A7318" s="30" t="str">
        <f>IF(C7318&amp;G7318&amp;D7318&lt;&gt;'Funnel setup'!$K$3&amp;'Funnel setup'!$K$4&amp;'Funnel setup'!$K$5,".",IF(A7317=".",1,A7317+1))</f>
        <v>.</v>
      </c>
      <c r="B7318" s="431" t="str">
        <f t="shared" si="114"/>
        <v>Varicose VeinProviderUNITED LINCOLNSHIRE HOSPITALS NHS TRUST (RWD)EQ-5D Index</v>
      </c>
      <c r="C7318" t="s">
        <v>17</v>
      </c>
      <c r="D7318" t="s">
        <v>1</v>
      </c>
      <c r="E7318" t="s">
        <v>3763</v>
      </c>
      <c r="F7318" t="s">
        <v>3764</v>
      </c>
      <c r="G7318" t="s">
        <v>52</v>
      </c>
      <c r="H7318">
        <v>38</v>
      </c>
      <c r="I7318">
        <v>0.65300000000000002</v>
      </c>
      <c r="J7318">
        <v>0.753</v>
      </c>
      <c r="K7318">
        <v>0.1</v>
      </c>
      <c r="L7318">
        <v>19</v>
      </c>
      <c r="M7318">
        <v>13</v>
      </c>
      <c r="N7318">
        <v>6</v>
      </c>
      <c r="O7318">
        <v>0.81599999999999995</v>
      </c>
      <c r="P7318">
        <v>6.9463983000000007E-2</v>
      </c>
      <c r="Q7318">
        <v>0.23200000000000001</v>
      </c>
    </row>
    <row r="7319" spans="1:17" x14ac:dyDescent="0.2">
      <c r="A7319" s="30" t="str">
        <f>IF(C7319&amp;G7319&amp;D7319&lt;&gt;'Funnel setup'!$K$3&amp;'Funnel setup'!$K$4&amp;'Funnel setup'!$K$5,".",IF(A7318=".",1,A7318+1))</f>
        <v>.</v>
      </c>
      <c r="B7319" s="431" t="str">
        <f t="shared" si="114"/>
        <v>Varicose VeinProviderUNIVERSITY COLLEGE LONDON HOSPITALS NHS FOUNDATION TRUST (RRV)EQ-5D Index</v>
      </c>
      <c r="C7319" t="s">
        <v>17</v>
      </c>
      <c r="D7319" t="s">
        <v>1</v>
      </c>
      <c r="E7319" t="s">
        <v>3766</v>
      </c>
      <c r="F7319" t="s">
        <v>3767</v>
      </c>
      <c r="G7319" t="s">
        <v>52</v>
      </c>
      <c r="H7319">
        <v>61</v>
      </c>
      <c r="I7319">
        <v>0.68799999999999994</v>
      </c>
      <c r="J7319">
        <v>0.80300000000000005</v>
      </c>
      <c r="K7319">
        <v>0.115</v>
      </c>
      <c r="L7319">
        <v>34</v>
      </c>
      <c r="M7319">
        <v>18</v>
      </c>
      <c r="N7319">
        <v>9</v>
      </c>
      <c r="O7319">
        <v>0.83499999999999996</v>
      </c>
      <c r="P7319">
        <v>8.7917967999999999E-2</v>
      </c>
      <c r="Q7319">
        <v>0.17599999999999999</v>
      </c>
    </row>
    <row r="7320" spans="1:17" x14ac:dyDescent="0.2">
      <c r="A7320" s="30" t="str">
        <f>IF(C7320&amp;G7320&amp;D7320&lt;&gt;'Funnel setup'!$K$3&amp;'Funnel setup'!$K$4&amp;'Funnel setup'!$K$5,".",IF(A7319=".",1,A7319+1))</f>
        <v>.</v>
      </c>
      <c r="B7320" s="431" t="str">
        <f t="shared" si="114"/>
        <v>Varicose VeinProviderUNIVERSITY HOSPITAL OF SOUTH MANCHESTER NHS FOUNDATION TRUST (RM2)EQ-5D Index</v>
      </c>
      <c r="C7320" t="s">
        <v>17</v>
      </c>
      <c r="D7320" t="s">
        <v>1</v>
      </c>
      <c r="E7320" t="s">
        <v>3769</v>
      </c>
      <c r="F7320" t="s">
        <v>3770</v>
      </c>
      <c r="G7320" t="s">
        <v>52</v>
      </c>
      <c r="H7320">
        <v>109</v>
      </c>
      <c r="I7320">
        <v>0.77800000000000002</v>
      </c>
      <c r="J7320">
        <v>0.871</v>
      </c>
      <c r="K7320">
        <v>9.2999999999999999E-2</v>
      </c>
      <c r="L7320">
        <v>58</v>
      </c>
      <c r="M7320">
        <v>35</v>
      </c>
      <c r="N7320">
        <v>16</v>
      </c>
      <c r="O7320">
        <v>0.83899999999999997</v>
      </c>
      <c r="P7320">
        <v>9.1973706000000002E-2</v>
      </c>
      <c r="Q7320">
        <v>0.154</v>
      </c>
    </row>
    <row r="7321" spans="1:17" x14ac:dyDescent="0.2">
      <c r="A7321" s="30" t="str">
        <f>IF(C7321&amp;G7321&amp;D7321&lt;&gt;'Funnel setup'!$K$3&amp;'Funnel setup'!$K$4&amp;'Funnel setup'!$K$5,".",IF(A7320=".",1,A7320+1))</f>
        <v>.</v>
      </c>
      <c r="B7321" s="431" t="str">
        <f t="shared" si="114"/>
        <v>Varicose VeinProviderUNIVERSITY HOSPITALS BIRMINGHAM NHS FOUNDATION TRUST (RRK)EQ-5D Index</v>
      </c>
      <c r="C7321" t="s">
        <v>17</v>
      </c>
      <c r="D7321" t="s">
        <v>1</v>
      </c>
      <c r="E7321" t="s">
        <v>3778</v>
      </c>
      <c r="F7321" t="s">
        <v>3779</v>
      </c>
      <c r="G7321" t="s">
        <v>52</v>
      </c>
      <c r="H7321">
        <v>10</v>
      </c>
      <c r="I7321">
        <v>0.70499999999999996</v>
      </c>
      <c r="J7321">
        <v>0.91600000000000004</v>
      </c>
      <c r="K7321">
        <v>0.21099999999999999</v>
      </c>
      <c r="L7321">
        <v>7</v>
      </c>
      <c r="M7321">
        <v>2</v>
      </c>
      <c r="N7321">
        <v>1</v>
      </c>
      <c r="O7321" t="s">
        <v>53</v>
      </c>
      <c r="P7321" t="s">
        <v>53</v>
      </c>
      <c r="Q7321" t="s">
        <v>53</v>
      </c>
    </row>
    <row r="7322" spans="1:17" x14ac:dyDescent="0.2">
      <c r="A7322" s="30" t="str">
        <f>IF(C7322&amp;G7322&amp;D7322&lt;&gt;'Funnel setup'!$K$3&amp;'Funnel setup'!$K$4&amp;'Funnel setup'!$K$5,".",IF(A7321=".",1,A7321+1))</f>
        <v>.</v>
      </c>
      <c r="B7322" s="431" t="str">
        <f t="shared" si="114"/>
        <v>Varicose VeinProviderUNIVERSITY HOSPITALS BRISTOL NHS FOUNDATION TRUST (RA7)EQ-5D Index</v>
      </c>
      <c r="C7322" t="s">
        <v>17</v>
      </c>
      <c r="D7322" t="s">
        <v>1</v>
      </c>
      <c r="E7322" t="s">
        <v>3835</v>
      </c>
      <c r="F7322" t="s">
        <v>3836</v>
      </c>
      <c r="G7322" t="s">
        <v>52</v>
      </c>
      <c r="H7322" t="s">
        <v>53</v>
      </c>
      <c r="I7322" t="s">
        <v>53</v>
      </c>
      <c r="J7322" t="s">
        <v>53</v>
      </c>
      <c r="K7322" t="s">
        <v>53</v>
      </c>
      <c r="L7322" t="s">
        <v>53</v>
      </c>
      <c r="M7322" t="s">
        <v>53</v>
      </c>
      <c r="N7322" t="s">
        <v>53</v>
      </c>
      <c r="O7322" t="s">
        <v>53</v>
      </c>
      <c r="P7322" t="s">
        <v>53</v>
      </c>
      <c r="Q7322" t="s">
        <v>53</v>
      </c>
    </row>
    <row r="7323" spans="1:17" x14ac:dyDescent="0.2">
      <c r="A7323" s="30" t="str">
        <f>IF(C7323&amp;G7323&amp;D7323&lt;&gt;'Funnel setup'!$K$3&amp;'Funnel setup'!$K$4&amp;'Funnel setup'!$K$5,".",IF(A7322=".",1,A7322+1))</f>
        <v>.</v>
      </c>
      <c r="B7323" s="431" t="str">
        <f t="shared" si="114"/>
        <v>Varicose VeinProviderUNIVERSITY HOSPITALS COVENTRY AND WARWICKSHIRE NHS TRUST (RKB)EQ-5D Index</v>
      </c>
      <c r="C7323" t="s">
        <v>17</v>
      </c>
      <c r="D7323" t="s">
        <v>1</v>
      </c>
      <c r="E7323" t="s">
        <v>3715</v>
      </c>
      <c r="F7323" t="s">
        <v>3716</v>
      </c>
      <c r="G7323" t="s">
        <v>52</v>
      </c>
      <c r="H7323">
        <v>13</v>
      </c>
      <c r="I7323">
        <v>0.84099999999999997</v>
      </c>
      <c r="J7323">
        <v>0.95299999999999996</v>
      </c>
      <c r="K7323">
        <v>0.112</v>
      </c>
      <c r="L7323">
        <v>7</v>
      </c>
      <c r="M7323">
        <v>6</v>
      </c>
      <c r="N7323">
        <v>0</v>
      </c>
      <c r="O7323" t="s">
        <v>53</v>
      </c>
      <c r="P7323" t="s">
        <v>53</v>
      </c>
      <c r="Q7323" t="s">
        <v>53</v>
      </c>
    </row>
    <row r="7324" spans="1:17" x14ac:dyDescent="0.2">
      <c r="A7324" s="30" t="str">
        <f>IF(C7324&amp;G7324&amp;D7324&lt;&gt;'Funnel setup'!$K$3&amp;'Funnel setup'!$K$4&amp;'Funnel setup'!$K$5,".",IF(A7323=".",1,A7323+1))</f>
        <v>.</v>
      </c>
      <c r="B7324" s="431" t="str">
        <f t="shared" si="114"/>
        <v>Varicose VeinProviderUNIVERSITY HOSPITALS OF LEICESTER NHS TRUST (RWE)EQ-5D Index</v>
      </c>
      <c r="C7324" t="s">
        <v>17</v>
      </c>
      <c r="D7324" t="s">
        <v>1</v>
      </c>
      <c r="E7324" t="s">
        <v>3718</v>
      </c>
      <c r="F7324" t="s">
        <v>3719</v>
      </c>
      <c r="G7324" t="s">
        <v>52</v>
      </c>
      <c r="H7324">
        <v>46</v>
      </c>
      <c r="I7324">
        <v>0.70699999999999996</v>
      </c>
      <c r="J7324">
        <v>0.83</v>
      </c>
      <c r="K7324">
        <v>0.122</v>
      </c>
      <c r="L7324">
        <v>27</v>
      </c>
      <c r="M7324">
        <v>9</v>
      </c>
      <c r="N7324">
        <v>10</v>
      </c>
      <c r="O7324">
        <v>0.83699999999999997</v>
      </c>
      <c r="P7324">
        <v>9.0563989999999997E-2</v>
      </c>
      <c r="Q7324">
        <v>0.16200000000000001</v>
      </c>
    </row>
    <row r="7325" spans="1:17" x14ac:dyDescent="0.2">
      <c r="A7325" s="30" t="str">
        <f>IF(C7325&amp;G7325&amp;D7325&lt;&gt;'Funnel setup'!$K$3&amp;'Funnel setup'!$K$4&amp;'Funnel setup'!$K$5,".",IF(A7324=".",1,A7324+1))</f>
        <v>.</v>
      </c>
      <c r="B7325" s="431" t="str">
        <f t="shared" si="114"/>
        <v>Varicose VeinProviderUNIVERSITY HOSPITALS OF MORECAMBE BAY NHS FOUNDATION TRUST (RTX)EQ-5D Index</v>
      </c>
      <c r="C7325" t="s">
        <v>17</v>
      </c>
      <c r="D7325" t="s">
        <v>1</v>
      </c>
      <c r="E7325" t="s">
        <v>3721</v>
      </c>
      <c r="F7325" t="s">
        <v>3722</v>
      </c>
      <c r="G7325" t="s">
        <v>52</v>
      </c>
      <c r="H7325">
        <v>26</v>
      </c>
      <c r="I7325">
        <v>0.79800000000000004</v>
      </c>
      <c r="J7325">
        <v>0.88</v>
      </c>
      <c r="K7325">
        <v>8.3000000000000004E-2</v>
      </c>
      <c r="L7325">
        <v>12</v>
      </c>
      <c r="M7325">
        <v>12</v>
      </c>
      <c r="N7325">
        <v>2</v>
      </c>
      <c r="O7325" t="s">
        <v>53</v>
      </c>
      <c r="P7325" t="s">
        <v>53</v>
      </c>
      <c r="Q7325" t="s">
        <v>53</v>
      </c>
    </row>
    <row r="7326" spans="1:17" x14ac:dyDescent="0.2">
      <c r="A7326" s="30" t="str">
        <f>IF(C7326&amp;G7326&amp;D7326&lt;&gt;'Funnel setup'!$K$3&amp;'Funnel setup'!$K$4&amp;'Funnel setup'!$K$5,".",IF(A7325=".",1,A7325+1))</f>
        <v>.</v>
      </c>
      <c r="B7326" s="431" t="str">
        <f t="shared" si="114"/>
        <v>Varicose VeinProviderUNIVERSITY HOSPITALS OF NORTH MIDLANDS NHS TRUST (RJE)EQ-5D Index</v>
      </c>
      <c r="C7326" t="s">
        <v>17</v>
      </c>
      <c r="D7326" t="s">
        <v>1</v>
      </c>
      <c r="E7326" t="s">
        <v>3724</v>
      </c>
      <c r="F7326" t="s">
        <v>3725</v>
      </c>
      <c r="G7326" t="s">
        <v>52</v>
      </c>
      <c r="H7326">
        <v>7</v>
      </c>
      <c r="I7326">
        <v>0.81399999999999995</v>
      </c>
      <c r="J7326">
        <v>0.89100000000000001</v>
      </c>
      <c r="K7326">
        <v>7.6999999999999999E-2</v>
      </c>
      <c r="L7326">
        <v>4</v>
      </c>
      <c r="M7326">
        <v>2</v>
      </c>
      <c r="N7326">
        <v>1</v>
      </c>
      <c r="O7326" t="s">
        <v>53</v>
      </c>
      <c r="P7326" t="s">
        <v>53</v>
      </c>
      <c r="Q7326" t="s">
        <v>53</v>
      </c>
    </row>
    <row r="7327" spans="1:17" x14ac:dyDescent="0.2">
      <c r="A7327" s="30" t="str">
        <f>IF(C7327&amp;G7327&amp;D7327&lt;&gt;'Funnel setup'!$K$3&amp;'Funnel setup'!$K$4&amp;'Funnel setup'!$K$5,".",IF(A7326=".",1,A7326+1))</f>
        <v>.</v>
      </c>
      <c r="B7327" s="431" t="str">
        <f t="shared" si="114"/>
        <v>Varicose VeinProviderWALSALL HEALTHCARE NHS TRUST (RBK)EQ-5D Index</v>
      </c>
      <c r="C7327" t="s">
        <v>17</v>
      </c>
      <c r="D7327" t="s">
        <v>1</v>
      </c>
      <c r="E7327" t="s">
        <v>3727</v>
      </c>
      <c r="F7327" t="s">
        <v>3728</v>
      </c>
      <c r="G7327" t="s">
        <v>52</v>
      </c>
      <c r="H7327">
        <v>23</v>
      </c>
      <c r="I7327">
        <v>0.73099999999999998</v>
      </c>
      <c r="J7327">
        <v>0.80200000000000005</v>
      </c>
      <c r="K7327">
        <v>7.0999999999999994E-2</v>
      </c>
      <c r="L7327">
        <v>13</v>
      </c>
      <c r="M7327">
        <v>5</v>
      </c>
      <c r="N7327">
        <v>5</v>
      </c>
      <c r="O7327" t="s">
        <v>53</v>
      </c>
      <c r="P7327" t="s">
        <v>53</v>
      </c>
      <c r="Q7327" t="s">
        <v>53</v>
      </c>
    </row>
    <row r="7328" spans="1:17" x14ac:dyDescent="0.2">
      <c r="A7328" s="30" t="str">
        <f>IF(C7328&amp;G7328&amp;D7328&lt;&gt;'Funnel setup'!$K$3&amp;'Funnel setup'!$K$4&amp;'Funnel setup'!$K$5,".",IF(A7327=".",1,A7327+1))</f>
        <v>.</v>
      </c>
      <c r="B7328" s="431" t="str">
        <f t="shared" si="114"/>
        <v>Varicose VeinProviderWARRINGTON AND HALTON HOSPITALS NHS FOUNDATION TRUST (RWW)EQ-5D Index</v>
      </c>
      <c r="C7328" t="s">
        <v>17</v>
      </c>
      <c r="D7328" t="s">
        <v>1</v>
      </c>
      <c r="E7328" t="s">
        <v>3730</v>
      </c>
      <c r="F7328" t="s">
        <v>3731</v>
      </c>
      <c r="G7328" t="s">
        <v>52</v>
      </c>
      <c r="H7328">
        <v>13</v>
      </c>
      <c r="I7328">
        <v>0.78600000000000003</v>
      </c>
      <c r="J7328">
        <v>0.80200000000000005</v>
      </c>
      <c r="K7328">
        <v>1.4999999999999999E-2</v>
      </c>
      <c r="L7328">
        <v>6</v>
      </c>
      <c r="M7328">
        <v>3</v>
      </c>
      <c r="N7328">
        <v>4</v>
      </c>
      <c r="O7328" t="s">
        <v>53</v>
      </c>
      <c r="P7328" t="s">
        <v>53</v>
      </c>
      <c r="Q7328" t="s">
        <v>53</v>
      </c>
    </row>
    <row r="7329" spans="1:17" x14ac:dyDescent="0.2">
      <c r="A7329" s="30" t="str">
        <f>IF(C7329&amp;G7329&amp;D7329&lt;&gt;'Funnel setup'!$K$3&amp;'Funnel setup'!$K$4&amp;'Funnel setup'!$K$5,".",IF(A7328=".",1,A7328+1))</f>
        <v>.</v>
      </c>
      <c r="B7329" s="431" t="str">
        <f t="shared" si="114"/>
        <v>Varicose VeinProviderWEST HERTFORDSHIRE HOSPITALS NHS TRUST (RWG)EQ-5D Index</v>
      </c>
      <c r="C7329" t="s">
        <v>17</v>
      </c>
      <c r="D7329" t="s">
        <v>1</v>
      </c>
      <c r="E7329" t="s">
        <v>3733</v>
      </c>
      <c r="F7329" t="s">
        <v>3734</v>
      </c>
      <c r="G7329" t="s">
        <v>52</v>
      </c>
      <c r="H7329">
        <v>97</v>
      </c>
      <c r="I7329">
        <v>0.74199999999999999</v>
      </c>
      <c r="J7329">
        <v>0.82699999999999996</v>
      </c>
      <c r="K7329">
        <v>8.5000000000000006E-2</v>
      </c>
      <c r="L7329">
        <v>50</v>
      </c>
      <c r="M7329">
        <v>26</v>
      </c>
      <c r="N7329">
        <v>21</v>
      </c>
      <c r="O7329">
        <v>0.81100000000000005</v>
      </c>
      <c r="P7329">
        <v>6.4370196000000005E-2</v>
      </c>
      <c r="Q7329">
        <v>0.188</v>
      </c>
    </row>
    <row r="7330" spans="1:17" x14ac:dyDescent="0.2">
      <c r="A7330" s="30" t="str">
        <f>IF(C7330&amp;G7330&amp;D7330&lt;&gt;'Funnel setup'!$K$3&amp;'Funnel setup'!$K$4&amp;'Funnel setup'!$K$5,".",IF(A7329=".",1,A7329+1))</f>
        <v>.</v>
      </c>
      <c r="B7330" s="431" t="str">
        <f t="shared" si="114"/>
        <v>Varicose VeinProviderWEST SUFFOLK NHS FOUNDATION TRUST (RGR)EQ-5D Index</v>
      </c>
      <c r="C7330" t="s">
        <v>17</v>
      </c>
      <c r="D7330" t="s">
        <v>1</v>
      </c>
      <c r="E7330" t="s">
        <v>3712</v>
      </c>
      <c r="F7330" t="s">
        <v>3713</v>
      </c>
      <c r="G7330" t="s">
        <v>52</v>
      </c>
      <c r="H7330">
        <v>30</v>
      </c>
      <c r="I7330">
        <v>0.78800000000000003</v>
      </c>
      <c r="J7330">
        <v>0.84199999999999997</v>
      </c>
      <c r="K7330">
        <v>5.3999999999999999E-2</v>
      </c>
      <c r="L7330">
        <v>13</v>
      </c>
      <c r="M7330">
        <v>13</v>
      </c>
      <c r="N7330">
        <v>4</v>
      </c>
      <c r="O7330">
        <v>0.81799999999999995</v>
      </c>
      <c r="P7330">
        <v>7.1070260999999996E-2</v>
      </c>
      <c r="Q7330">
        <v>0.17100000000000001</v>
      </c>
    </row>
    <row r="7331" spans="1:17" x14ac:dyDescent="0.2">
      <c r="A7331" s="30" t="str">
        <f>IF(C7331&amp;G7331&amp;D7331&lt;&gt;'Funnel setup'!$K$3&amp;'Funnel setup'!$K$4&amp;'Funnel setup'!$K$5,".",IF(A7330=".",1,A7330+1))</f>
        <v>.</v>
      </c>
      <c r="B7331" s="431" t="str">
        <f t="shared" si="114"/>
        <v>Varicose VeinProviderWESTERN SUSSEX HOSPITALS NHS FOUNDATION TRUST (RYR)EQ-5D Index</v>
      </c>
      <c r="C7331" t="s">
        <v>17</v>
      </c>
      <c r="D7331" t="s">
        <v>1</v>
      </c>
      <c r="E7331" t="s">
        <v>3706</v>
      </c>
      <c r="F7331" t="s">
        <v>3707</v>
      </c>
      <c r="G7331" t="s">
        <v>52</v>
      </c>
      <c r="H7331">
        <v>11</v>
      </c>
      <c r="I7331">
        <v>0.72</v>
      </c>
      <c r="J7331">
        <v>0.81399999999999995</v>
      </c>
      <c r="K7331">
        <v>9.5000000000000001E-2</v>
      </c>
      <c r="L7331">
        <v>6</v>
      </c>
      <c r="M7331">
        <v>3</v>
      </c>
      <c r="N7331">
        <v>2</v>
      </c>
      <c r="O7331" t="s">
        <v>53</v>
      </c>
      <c r="P7331" t="s">
        <v>53</v>
      </c>
      <c r="Q7331" t="s">
        <v>53</v>
      </c>
    </row>
    <row r="7332" spans="1:17" x14ac:dyDescent="0.2">
      <c r="A7332" s="30" t="str">
        <f>IF(C7332&amp;G7332&amp;D7332&lt;&gt;'Funnel setup'!$K$3&amp;'Funnel setup'!$K$4&amp;'Funnel setup'!$K$5,".",IF(A7331=".",1,A7331+1))</f>
        <v>.</v>
      </c>
      <c r="B7332" s="431" t="str">
        <f t="shared" si="114"/>
        <v>Varicose VeinProviderWILL ADAMS NHS TREATMENT CENTRE (NTP16)EQ-5D Index</v>
      </c>
      <c r="C7332" t="s">
        <v>17</v>
      </c>
      <c r="D7332" t="s">
        <v>1</v>
      </c>
      <c r="E7332" t="s">
        <v>3531</v>
      </c>
      <c r="F7332" t="s">
        <v>3532</v>
      </c>
      <c r="G7332" t="s">
        <v>52</v>
      </c>
      <c r="H7332">
        <v>15</v>
      </c>
      <c r="I7332">
        <v>0.75800000000000001</v>
      </c>
      <c r="J7332">
        <v>0.80500000000000005</v>
      </c>
      <c r="K7332">
        <v>4.7E-2</v>
      </c>
      <c r="L7332">
        <v>6</v>
      </c>
      <c r="M7332">
        <v>4</v>
      </c>
      <c r="N7332">
        <v>5</v>
      </c>
      <c r="O7332" t="s">
        <v>53</v>
      </c>
      <c r="P7332" t="s">
        <v>53</v>
      </c>
      <c r="Q7332" t="s">
        <v>53</v>
      </c>
    </row>
    <row r="7333" spans="1:17" x14ac:dyDescent="0.2">
      <c r="A7333" s="30" t="str">
        <f>IF(C7333&amp;G7333&amp;D7333&lt;&gt;'Funnel setup'!$K$3&amp;'Funnel setup'!$K$4&amp;'Funnel setup'!$K$5,".",IF(A7332=".",1,A7332+1))</f>
        <v>.</v>
      </c>
      <c r="B7333" s="431" t="str">
        <f t="shared" si="114"/>
        <v>Varicose VeinProviderWIRRAL UNIVERSITY TEACHING HOSPITAL NHS FOUNDATION TRUST (RBL)EQ-5D Index</v>
      </c>
      <c r="C7333" t="s">
        <v>17</v>
      </c>
      <c r="D7333" t="s">
        <v>1</v>
      </c>
      <c r="E7333" t="s">
        <v>3537</v>
      </c>
      <c r="F7333" t="s">
        <v>3538</v>
      </c>
      <c r="G7333" t="s">
        <v>52</v>
      </c>
      <c r="H7333">
        <v>44</v>
      </c>
      <c r="I7333">
        <v>0.68100000000000005</v>
      </c>
      <c r="J7333">
        <v>0.79400000000000004</v>
      </c>
      <c r="K7333">
        <v>0.113</v>
      </c>
      <c r="L7333">
        <v>20</v>
      </c>
      <c r="M7333">
        <v>18</v>
      </c>
      <c r="N7333">
        <v>6</v>
      </c>
      <c r="O7333">
        <v>0.81899999999999995</v>
      </c>
      <c r="P7333">
        <v>7.2493841000000003E-2</v>
      </c>
      <c r="Q7333">
        <v>0.23200000000000001</v>
      </c>
    </row>
    <row r="7334" spans="1:17" x14ac:dyDescent="0.2">
      <c r="A7334" s="30" t="str">
        <f>IF(C7334&amp;G7334&amp;D7334&lt;&gt;'Funnel setup'!$K$3&amp;'Funnel setup'!$K$4&amp;'Funnel setup'!$K$5,".",IF(A7333=".",1,A7333+1))</f>
        <v>.</v>
      </c>
      <c r="B7334" s="431" t="str">
        <f t="shared" si="114"/>
        <v>Varicose VeinProviderWORCESTERSHIRE ACUTE HOSPITALS NHS TRUST (RWP)EQ-5D Index</v>
      </c>
      <c r="C7334" t="s">
        <v>17</v>
      </c>
      <c r="D7334" t="s">
        <v>1</v>
      </c>
      <c r="E7334" t="s">
        <v>3543</v>
      </c>
      <c r="F7334" t="s">
        <v>3544</v>
      </c>
      <c r="G7334" t="s">
        <v>52</v>
      </c>
      <c r="H7334">
        <v>20</v>
      </c>
      <c r="I7334">
        <v>0.872</v>
      </c>
      <c r="J7334">
        <v>0.879</v>
      </c>
      <c r="K7334">
        <v>7.0000000000000001E-3</v>
      </c>
      <c r="L7334">
        <v>5</v>
      </c>
      <c r="M7334">
        <v>9</v>
      </c>
      <c r="N7334">
        <v>6</v>
      </c>
      <c r="O7334" t="s">
        <v>53</v>
      </c>
      <c r="P7334" t="s">
        <v>53</v>
      </c>
      <c r="Q7334" t="s">
        <v>53</v>
      </c>
    </row>
    <row r="7335" spans="1:17" x14ac:dyDescent="0.2">
      <c r="A7335" s="30" t="str">
        <f>IF(C7335&amp;G7335&amp;D7335&lt;&gt;'Funnel setup'!$K$3&amp;'Funnel setup'!$K$4&amp;'Funnel setup'!$K$5,".",IF(A7334=".",1,A7334+1))</f>
        <v>.</v>
      </c>
      <c r="B7335" s="431" t="str">
        <f t="shared" si="114"/>
        <v>Varicose VeinProviderWRIGHTINGTON, WIGAN AND LEIGH NHS FOUNDATION TRUST (RRF)EQ-5D Index</v>
      </c>
      <c r="C7335" t="s">
        <v>17</v>
      </c>
      <c r="D7335" t="s">
        <v>1</v>
      </c>
      <c r="E7335" t="s">
        <v>3546</v>
      </c>
      <c r="F7335" t="s">
        <v>3547</v>
      </c>
      <c r="G7335" t="s">
        <v>52</v>
      </c>
      <c r="H7335" t="s">
        <v>53</v>
      </c>
      <c r="I7335" t="s">
        <v>53</v>
      </c>
      <c r="J7335" t="s">
        <v>53</v>
      </c>
      <c r="K7335" t="s">
        <v>53</v>
      </c>
      <c r="L7335" t="s">
        <v>53</v>
      </c>
      <c r="M7335" t="s">
        <v>53</v>
      </c>
      <c r="N7335" t="s">
        <v>53</v>
      </c>
      <c r="O7335" t="s">
        <v>53</v>
      </c>
      <c r="P7335" t="s">
        <v>53</v>
      </c>
      <c r="Q7335" t="s">
        <v>53</v>
      </c>
    </row>
    <row r="7336" spans="1:17" x14ac:dyDescent="0.2">
      <c r="A7336" s="30" t="str">
        <f>IF(C7336&amp;G7336&amp;D7336&lt;&gt;'Funnel setup'!$K$3&amp;'Funnel setup'!$K$4&amp;'Funnel setup'!$K$5,".",IF(A7335=".",1,A7335+1))</f>
        <v>.</v>
      </c>
      <c r="B7336" s="431" t="str">
        <f t="shared" si="114"/>
        <v>Varicose VeinProviderWYE VALLEY NHS TRUST (RLQ)EQ-5D Index</v>
      </c>
      <c r="C7336" t="s">
        <v>17</v>
      </c>
      <c r="D7336" t="s">
        <v>1</v>
      </c>
      <c r="E7336" t="s">
        <v>3517</v>
      </c>
      <c r="F7336" t="s">
        <v>3518</v>
      </c>
      <c r="G7336" t="s">
        <v>52</v>
      </c>
      <c r="H7336">
        <v>39</v>
      </c>
      <c r="I7336">
        <v>0.79200000000000004</v>
      </c>
      <c r="J7336">
        <v>0.93100000000000005</v>
      </c>
      <c r="K7336">
        <v>0.14000000000000001</v>
      </c>
      <c r="L7336">
        <v>24</v>
      </c>
      <c r="M7336">
        <v>12</v>
      </c>
      <c r="N7336">
        <v>3</v>
      </c>
      <c r="O7336">
        <v>0.9</v>
      </c>
      <c r="P7336">
        <v>0.153307155</v>
      </c>
      <c r="Q7336">
        <v>0.14499999999999999</v>
      </c>
    </row>
    <row r="7337" spans="1:17" x14ac:dyDescent="0.2">
      <c r="A7337" s="30" t="str">
        <f>IF(C7337&amp;G7337&amp;D7337&lt;&gt;'Funnel setup'!$K$3&amp;'Funnel setup'!$K$4&amp;'Funnel setup'!$K$5,".",IF(A7336=".",1,A7336+1))</f>
        <v>.</v>
      </c>
      <c r="B7337" s="431" t="str">
        <f t="shared" si="114"/>
        <v>Varicose VeinProviderYORK TEACHING HOSPITAL NHS FOUNDATION TRUST (RCB)EQ-5D Index</v>
      </c>
      <c r="C7337" t="s">
        <v>17</v>
      </c>
      <c r="D7337" t="s">
        <v>1</v>
      </c>
      <c r="E7337" t="s">
        <v>3515</v>
      </c>
      <c r="F7337" t="s">
        <v>343</v>
      </c>
      <c r="G7337" t="s">
        <v>52</v>
      </c>
      <c r="H7337">
        <v>100</v>
      </c>
      <c r="I7337">
        <v>0.73799999999999999</v>
      </c>
      <c r="J7337">
        <v>0.87</v>
      </c>
      <c r="K7337">
        <v>0.13200000000000001</v>
      </c>
      <c r="L7337">
        <v>63</v>
      </c>
      <c r="M7337">
        <v>29</v>
      </c>
      <c r="N7337">
        <v>8</v>
      </c>
      <c r="O7337">
        <v>0.86699999999999999</v>
      </c>
      <c r="P7337">
        <v>0.120391529</v>
      </c>
      <c r="Q7337">
        <v>0.16</v>
      </c>
    </row>
    <row r="7338" spans="1:17" x14ac:dyDescent="0.2">
      <c r="A7338" s="30" t="str">
        <f>IF(C7338&amp;G7338&amp;D7338&lt;&gt;'Funnel setup'!$K$3&amp;'Funnel setup'!$K$4&amp;'Funnel setup'!$K$5,".",IF(A7337=".",1,A7337+1))</f>
        <v>.</v>
      </c>
      <c r="B7338" s="431" t="str">
        <f t="shared" si="114"/>
        <v/>
      </c>
      <c r="H7338" s="145"/>
      <c r="I7338" s="145"/>
      <c r="J7338" s="145"/>
      <c r="K7338" s="145"/>
      <c r="L7338" s="145"/>
      <c r="M7338" s="145"/>
      <c r="N7338" s="145"/>
      <c r="O7338" s="145"/>
      <c r="P7338" s="145"/>
      <c r="Q7338" s="145"/>
    </row>
    <row r="7339" spans="1:17" x14ac:dyDescent="0.2">
      <c r="A7339" s="30" t="str">
        <f>IF(C7339&amp;G7339&amp;D7339&lt;&gt;'Funnel setup'!$K$3&amp;'Funnel setup'!$K$4&amp;'Funnel setup'!$K$5,".",IF(A7338=".",1,A7338+1))</f>
        <v>.</v>
      </c>
      <c r="B7339" s="431" t="str">
        <f t="shared" si="114"/>
        <v/>
      </c>
      <c r="H7339" s="145"/>
      <c r="I7339" s="145"/>
      <c r="J7339" s="145"/>
      <c r="K7339" s="145"/>
      <c r="L7339" s="145"/>
      <c r="M7339" s="145"/>
      <c r="N7339" s="145"/>
      <c r="O7339" s="145"/>
      <c r="P7339" s="145"/>
      <c r="Q7339" s="145"/>
    </row>
    <row r="7340" spans="1:17" x14ac:dyDescent="0.2">
      <c r="A7340" s="30" t="str">
        <f>IF(C7340&amp;G7340&amp;D7340&lt;&gt;'Funnel setup'!$K$3&amp;'Funnel setup'!$K$4&amp;'Funnel setup'!$K$5,".",IF(A7339=".",1,A7339+1))</f>
        <v>.</v>
      </c>
      <c r="B7340" s="431" t="str">
        <f t="shared" si="114"/>
        <v/>
      </c>
      <c r="H7340" s="145"/>
      <c r="I7340" s="145"/>
      <c r="J7340" s="145"/>
      <c r="K7340" s="145"/>
      <c r="L7340" s="145"/>
      <c r="M7340" s="145"/>
      <c r="N7340" s="145"/>
      <c r="O7340" s="145"/>
      <c r="P7340" s="145"/>
      <c r="Q7340" s="145"/>
    </row>
    <row r="7341" spans="1:17" x14ac:dyDescent="0.2">
      <c r="A7341" s="30" t="str">
        <f>IF(C7341&amp;G7341&amp;D7341&lt;&gt;'Funnel setup'!$K$3&amp;'Funnel setup'!$K$4&amp;'Funnel setup'!$K$5,".",IF(A7340=".",1,A7340+1))</f>
        <v>.</v>
      </c>
      <c r="B7341" s="431" t="str">
        <f t="shared" si="114"/>
        <v/>
      </c>
      <c r="H7341" s="145"/>
      <c r="I7341" s="145"/>
      <c r="J7341" s="145"/>
      <c r="K7341" s="145"/>
      <c r="L7341" s="145"/>
      <c r="M7341" s="145"/>
      <c r="N7341" s="145"/>
      <c r="O7341" s="145"/>
      <c r="P7341" s="145"/>
      <c r="Q7341" s="145"/>
    </row>
    <row r="7342" spans="1:17" x14ac:dyDescent="0.2">
      <c r="A7342" s="30" t="str">
        <f>IF(C7342&amp;G7342&amp;D7342&lt;&gt;'Funnel setup'!$K$3&amp;'Funnel setup'!$K$4&amp;'Funnel setup'!$K$5,".",IF(A7341=".",1,A7341+1))</f>
        <v>.</v>
      </c>
      <c r="B7342" s="431" t="str">
        <f t="shared" si="114"/>
        <v/>
      </c>
      <c r="H7342" s="145"/>
      <c r="I7342" s="145"/>
      <c r="J7342" s="145"/>
      <c r="K7342" s="145"/>
      <c r="L7342" s="145"/>
      <c r="M7342" s="145"/>
      <c r="N7342" s="145"/>
      <c r="O7342" s="145"/>
      <c r="P7342" s="145"/>
      <c r="Q7342" s="145"/>
    </row>
    <row r="7343" spans="1:17" x14ac:dyDescent="0.2">
      <c r="A7343" s="30" t="str">
        <f>IF(C7343&amp;G7343&amp;D7343&lt;&gt;'Funnel setup'!$K$3&amp;'Funnel setup'!$K$4&amp;'Funnel setup'!$K$5,".",IF(A7342=".",1,A7342+1))</f>
        <v>.</v>
      </c>
      <c r="B7343" s="431" t="str">
        <f t="shared" si="114"/>
        <v/>
      </c>
      <c r="H7343" s="145"/>
      <c r="I7343" s="145"/>
      <c r="J7343" s="145"/>
      <c r="K7343" s="145"/>
      <c r="L7343" s="145"/>
      <c r="M7343" s="145"/>
      <c r="N7343" s="145"/>
      <c r="O7343" s="145"/>
      <c r="P7343" s="145"/>
      <c r="Q7343" s="145"/>
    </row>
    <row r="7344" spans="1:17" x14ac:dyDescent="0.2">
      <c r="A7344" s="30" t="str">
        <f>IF(C7344&amp;G7344&amp;D7344&lt;&gt;'Funnel setup'!$K$3&amp;'Funnel setup'!$K$4&amp;'Funnel setup'!$K$5,".",IF(A7343=".",1,A7343+1))</f>
        <v>.</v>
      </c>
      <c r="B7344" s="431" t="str">
        <f t="shared" si="114"/>
        <v/>
      </c>
      <c r="H7344" s="145"/>
      <c r="I7344" s="145"/>
      <c r="J7344" s="145"/>
      <c r="K7344" s="145"/>
      <c r="L7344" s="145"/>
      <c r="M7344" s="145"/>
      <c r="N7344" s="145"/>
      <c r="O7344" s="145"/>
      <c r="P7344" s="145"/>
      <c r="Q7344" s="145"/>
    </row>
    <row r="7345" spans="1:17" x14ac:dyDescent="0.2">
      <c r="A7345" s="30" t="str">
        <f>IF(C7345&amp;G7345&amp;D7345&lt;&gt;'Funnel setup'!$K$3&amp;'Funnel setup'!$K$4&amp;'Funnel setup'!$K$5,".",IF(A7344=".",1,A7344+1))</f>
        <v>.</v>
      </c>
      <c r="B7345" s="431" t="str">
        <f t="shared" si="114"/>
        <v/>
      </c>
      <c r="H7345" s="145"/>
      <c r="I7345" s="145"/>
      <c r="J7345" s="145"/>
      <c r="K7345" s="145"/>
      <c r="L7345" s="145"/>
      <c r="M7345" s="145"/>
      <c r="N7345" s="145"/>
      <c r="O7345" s="145"/>
      <c r="P7345" s="145"/>
      <c r="Q7345" s="145"/>
    </row>
    <row r="7346" spans="1:17" x14ac:dyDescent="0.2">
      <c r="A7346" s="30" t="str">
        <f>IF(C7346&amp;G7346&amp;D7346&lt;&gt;'Funnel setup'!$K$3&amp;'Funnel setup'!$K$4&amp;'Funnel setup'!$K$5,".",IF(A7345=".",1,A7345+1))</f>
        <v>.</v>
      </c>
      <c r="B7346" s="431" t="str">
        <f t="shared" si="114"/>
        <v/>
      </c>
      <c r="H7346" s="145"/>
      <c r="I7346" s="145"/>
      <c r="J7346" s="145"/>
      <c r="K7346" s="145"/>
      <c r="L7346" s="145"/>
      <c r="M7346" s="145"/>
      <c r="N7346" s="145"/>
      <c r="O7346" s="145"/>
      <c r="P7346" s="145"/>
      <c r="Q7346" s="145"/>
    </row>
    <row r="7347" spans="1:17" x14ac:dyDescent="0.2">
      <c r="A7347" s="30" t="str">
        <f>IF(C7347&amp;G7347&amp;D7347&lt;&gt;'Funnel setup'!$K$3&amp;'Funnel setup'!$K$4&amp;'Funnel setup'!$K$5,".",IF(A7346=".",1,A7346+1))</f>
        <v>.</v>
      </c>
      <c r="B7347" s="431" t="str">
        <f t="shared" si="114"/>
        <v/>
      </c>
      <c r="H7347" s="145"/>
      <c r="I7347" s="145"/>
      <c r="J7347" s="145"/>
      <c r="K7347" s="145"/>
      <c r="L7347" s="145"/>
      <c r="M7347" s="145"/>
      <c r="N7347" s="145"/>
      <c r="O7347" s="145"/>
      <c r="P7347" s="145"/>
      <c r="Q7347" s="145"/>
    </row>
    <row r="7348" spans="1:17" x14ac:dyDescent="0.2">
      <c r="A7348" s="30" t="str">
        <f>IF(C7348&amp;G7348&amp;D7348&lt;&gt;'Funnel setup'!$K$3&amp;'Funnel setup'!$K$4&amp;'Funnel setup'!$K$5,".",IF(A7347=".",1,A7347+1))</f>
        <v>.</v>
      </c>
      <c r="B7348" s="431" t="str">
        <f t="shared" si="114"/>
        <v/>
      </c>
      <c r="H7348" s="145"/>
      <c r="I7348" s="145"/>
      <c r="J7348" s="145"/>
      <c r="K7348" s="145"/>
      <c r="L7348" s="145"/>
      <c r="M7348" s="145"/>
      <c r="N7348" s="145"/>
      <c r="O7348" s="145"/>
      <c r="P7348" s="145"/>
      <c r="Q7348" s="145"/>
    </row>
    <row r="7349" spans="1:17" x14ac:dyDescent="0.2">
      <c r="A7349" s="30" t="str">
        <f>IF(C7349&amp;G7349&amp;D7349&lt;&gt;'Funnel setup'!$K$3&amp;'Funnel setup'!$K$4&amp;'Funnel setup'!$K$5,".",IF(A7348=".",1,A7348+1))</f>
        <v>.</v>
      </c>
      <c r="B7349" s="431" t="str">
        <f t="shared" si="114"/>
        <v/>
      </c>
      <c r="H7349" s="145"/>
      <c r="I7349" s="145"/>
      <c r="J7349" s="145"/>
      <c r="K7349" s="145"/>
      <c r="L7349" s="145"/>
      <c r="M7349" s="145"/>
      <c r="N7349" s="145"/>
      <c r="O7349" s="145"/>
      <c r="P7349" s="145"/>
      <c r="Q7349" s="145"/>
    </row>
    <row r="7350" spans="1:17" x14ac:dyDescent="0.2">
      <c r="A7350" s="30" t="str">
        <f>IF(C7350&amp;G7350&amp;D7350&lt;&gt;'Funnel setup'!$K$3&amp;'Funnel setup'!$K$4&amp;'Funnel setup'!$K$5,".",IF(A7349=".",1,A7349+1))</f>
        <v>.</v>
      </c>
      <c r="B7350" s="431" t="str">
        <f t="shared" si="114"/>
        <v/>
      </c>
      <c r="H7350" s="145"/>
      <c r="I7350" s="145"/>
      <c r="J7350" s="145"/>
      <c r="K7350" s="145"/>
      <c r="L7350" s="145"/>
      <c r="M7350" s="145"/>
      <c r="N7350" s="145"/>
      <c r="O7350" s="145"/>
      <c r="P7350" s="145"/>
      <c r="Q7350" s="145"/>
    </row>
    <row r="7351" spans="1:17" x14ac:dyDescent="0.2">
      <c r="A7351" s="30" t="str">
        <f>IF(C7351&amp;G7351&amp;D7351&lt;&gt;'Funnel setup'!$K$3&amp;'Funnel setup'!$K$4&amp;'Funnel setup'!$K$5,".",IF(A7350=".",1,A7350+1))</f>
        <v>.</v>
      </c>
      <c r="B7351" s="431" t="str">
        <f t="shared" si="114"/>
        <v/>
      </c>
      <c r="H7351" s="145"/>
      <c r="I7351" s="145"/>
      <c r="J7351" s="145"/>
      <c r="K7351" s="145"/>
      <c r="L7351" s="145"/>
      <c r="M7351" s="145"/>
      <c r="N7351" s="145"/>
      <c r="O7351" s="145"/>
      <c r="P7351" s="145"/>
      <c r="Q7351" s="145"/>
    </row>
    <row r="7352" spans="1:17" x14ac:dyDescent="0.2">
      <c r="A7352" s="30" t="str">
        <f>IF(C7352&amp;G7352&amp;D7352&lt;&gt;'Funnel setup'!$K$3&amp;'Funnel setup'!$K$4&amp;'Funnel setup'!$K$5,".",IF(A7351=".",1,A7351+1))</f>
        <v>.</v>
      </c>
      <c r="B7352" s="431" t="str">
        <f t="shared" si="114"/>
        <v/>
      </c>
      <c r="H7352" s="145"/>
      <c r="I7352" s="145"/>
      <c r="J7352" s="145"/>
      <c r="K7352" s="145"/>
      <c r="L7352" s="145"/>
      <c r="M7352" s="145"/>
      <c r="N7352" s="145"/>
      <c r="O7352" s="145"/>
      <c r="P7352" s="145"/>
      <c r="Q7352" s="145"/>
    </row>
    <row r="7353" spans="1:17" x14ac:dyDescent="0.2">
      <c r="A7353" s="30" t="str">
        <f>IF(C7353&amp;G7353&amp;D7353&lt;&gt;'Funnel setup'!$K$3&amp;'Funnel setup'!$K$4&amp;'Funnel setup'!$K$5,".",IF(A7352=".",1,A7352+1))</f>
        <v>.</v>
      </c>
      <c r="B7353" s="431" t="str">
        <f t="shared" si="114"/>
        <v/>
      </c>
      <c r="H7353" s="145"/>
      <c r="I7353" s="145"/>
      <c r="J7353" s="145"/>
      <c r="K7353" s="145"/>
      <c r="L7353" s="145"/>
      <c r="M7353" s="145"/>
      <c r="N7353" s="145"/>
      <c r="O7353" s="145"/>
      <c r="P7353" s="145"/>
      <c r="Q7353" s="145"/>
    </row>
    <row r="7354" spans="1:17" x14ac:dyDescent="0.2">
      <c r="A7354" s="30" t="str">
        <f>IF(C7354&amp;G7354&amp;D7354&lt;&gt;'Funnel setup'!$K$3&amp;'Funnel setup'!$K$4&amp;'Funnel setup'!$K$5,".",IF(A7353=".",1,A7353+1))</f>
        <v>.</v>
      </c>
      <c r="B7354" s="431" t="str">
        <f t="shared" si="114"/>
        <v/>
      </c>
      <c r="H7354" s="145"/>
      <c r="I7354" s="145"/>
      <c r="J7354" s="145"/>
      <c r="K7354" s="145"/>
      <c r="L7354" s="145"/>
      <c r="M7354" s="145"/>
      <c r="N7354" s="145"/>
      <c r="O7354" s="145"/>
      <c r="P7354" s="145"/>
      <c r="Q7354" s="145"/>
    </row>
    <row r="7355" spans="1:17" x14ac:dyDescent="0.2">
      <c r="A7355" s="30" t="str">
        <f>IF(C7355&amp;G7355&amp;D7355&lt;&gt;'Funnel setup'!$K$3&amp;'Funnel setup'!$K$4&amp;'Funnel setup'!$K$5,".",IF(A7354=".",1,A7354+1))</f>
        <v>.</v>
      </c>
      <c r="B7355" s="431" t="str">
        <f t="shared" si="114"/>
        <v/>
      </c>
      <c r="H7355" s="145"/>
      <c r="I7355" s="145"/>
      <c r="J7355" s="145"/>
      <c r="K7355" s="145"/>
      <c r="L7355" s="145"/>
      <c r="M7355" s="145"/>
      <c r="N7355" s="145"/>
      <c r="O7355" s="145"/>
      <c r="P7355" s="145"/>
      <c r="Q7355" s="145"/>
    </row>
    <row r="7356" spans="1:17" x14ac:dyDescent="0.2">
      <c r="A7356" s="30" t="str">
        <f>IF(C7356&amp;G7356&amp;D7356&lt;&gt;'Funnel setup'!$K$3&amp;'Funnel setup'!$K$4&amp;'Funnel setup'!$K$5,".",IF(A7355=".",1,A7355+1))</f>
        <v>.</v>
      </c>
      <c r="B7356" s="431" t="str">
        <f t="shared" si="114"/>
        <v/>
      </c>
      <c r="H7356" s="145"/>
      <c r="I7356" s="145"/>
      <c r="J7356" s="145"/>
      <c r="K7356" s="145"/>
      <c r="L7356" s="145"/>
      <c r="M7356" s="145"/>
      <c r="N7356" s="145"/>
      <c r="O7356" s="145"/>
      <c r="P7356" s="145"/>
      <c r="Q7356" s="145"/>
    </row>
    <row r="7357" spans="1:17" x14ac:dyDescent="0.2">
      <c r="A7357" s="30" t="str">
        <f>IF(C7357&amp;G7357&amp;D7357&lt;&gt;'Funnel setup'!$K$3&amp;'Funnel setup'!$K$4&amp;'Funnel setup'!$K$5,".",IF(A7356=".",1,A7356+1))</f>
        <v>.</v>
      </c>
      <c r="B7357" s="431" t="str">
        <f t="shared" si="114"/>
        <v/>
      </c>
      <c r="H7357" s="145"/>
      <c r="I7357" s="145"/>
      <c r="J7357" s="145"/>
      <c r="K7357" s="145"/>
      <c r="L7357" s="145"/>
      <c r="M7357" s="145"/>
      <c r="N7357" s="145"/>
      <c r="O7357" s="145"/>
      <c r="P7357" s="145"/>
      <c r="Q7357" s="145"/>
    </row>
    <row r="7358" spans="1:17" x14ac:dyDescent="0.2">
      <c r="A7358" s="30" t="str">
        <f>IF(C7358&amp;G7358&amp;D7358&lt;&gt;'Funnel setup'!$K$3&amp;'Funnel setup'!$K$4&amp;'Funnel setup'!$K$5,".",IF(A7357=".",1,A7357+1))</f>
        <v>.</v>
      </c>
      <c r="B7358" s="431" t="str">
        <f t="shared" si="114"/>
        <v/>
      </c>
      <c r="H7358" s="145"/>
      <c r="I7358" s="145"/>
      <c r="J7358" s="145"/>
      <c r="K7358" s="145"/>
      <c r="L7358" s="145"/>
      <c r="M7358" s="145"/>
      <c r="N7358" s="145"/>
      <c r="O7358" s="145"/>
      <c r="P7358" s="145"/>
      <c r="Q7358" s="145"/>
    </row>
    <row r="7359" spans="1:17" x14ac:dyDescent="0.2">
      <c r="A7359" s="30" t="str">
        <f>IF(C7359&amp;G7359&amp;D7359&lt;&gt;'Funnel setup'!$K$3&amp;'Funnel setup'!$K$4&amp;'Funnel setup'!$K$5,".",IF(A7358=".",1,A7358+1))</f>
        <v>.</v>
      </c>
      <c r="B7359" s="431" t="str">
        <f t="shared" si="114"/>
        <v/>
      </c>
      <c r="H7359" s="145"/>
      <c r="I7359" s="145"/>
      <c r="J7359" s="145"/>
      <c r="K7359" s="145"/>
      <c r="L7359" s="145"/>
      <c r="M7359" s="145"/>
      <c r="N7359" s="145"/>
      <c r="O7359" s="145"/>
      <c r="P7359" s="145"/>
      <c r="Q7359" s="145"/>
    </row>
    <row r="7360" spans="1:17" x14ac:dyDescent="0.2">
      <c r="A7360" s="30" t="str">
        <f>IF(C7360&amp;G7360&amp;D7360&lt;&gt;'Funnel setup'!$K$3&amp;'Funnel setup'!$K$4&amp;'Funnel setup'!$K$5,".",IF(A7359=".",1,A7359+1))</f>
        <v>.</v>
      </c>
      <c r="B7360" s="431" t="str">
        <f t="shared" si="114"/>
        <v/>
      </c>
      <c r="H7360" s="145"/>
      <c r="I7360" s="145"/>
      <c r="J7360" s="145"/>
      <c r="K7360" s="145"/>
      <c r="L7360" s="145"/>
      <c r="M7360" s="145"/>
      <c r="N7360" s="145"/>
      <c r="O7360" s="145"/>
      <c r="P7360" s="145"/>
      <c r="Q7360" s="145"/>
    </row>
    <row r="7361" spans="1:17" x14ac:dyDescent="0.2">
      <c r="A7361" s="30" t="str">
        <f>IF(C7361&amp;G7361&amp;D7361&lt;&gt;'Funnel setup'!$K$3&amp;'Funnel setup'!$K$4&amp;'Funnel setup'!$K$5,".",IF(A7360=".",1,A7360+1))</f>
        <v>.</v>
      </c>
      <c r="B7361" s="431" t="str">
        <f t="shared" si="114"/>
        <v/>
      </c>
      <c r="H7361" s="145"/>
      <c r="I7361" s="145"/>
      <c r="J7361" s="145"/>
      <c r="K7361" s="145"/>
      <c r="L7361" s="145"/>
      <c r="M7361" s="145"/>
      <c r="N7361" s="145"/>
      <c r="O7361" s="145"/>
      <c r="P7361" s="145"/>
      <c r="Q7361" s="145"/>
    </row>
    <row r="7362" spans="1:17" x14ac:dyDescent="0.2">
      <c r="A7362" s="30" t="str">
        <f>IF(C7362&amp;G7362&amp;D7362&lt;&gt;'Funnel setup'!$K$3&amp;'Funnel setup'!$K$4&amp;'Funnel setup'!$K$5,".",IF(A7361=".",1,A7361+1))</f>
        <v>.</v>
      </c>
      <c r="B7362" s="431" t="str">
        <f t="shared" si="114"/>
        <v/>
      </c>
      <c r="H7362" s="145"/>
      <c r="I7362" s="145"/>
      <c r="J7362" s="145"/>
      <c r="K7362" s="145"/>
      <c r="L7362" s="145"/>
      <c r="M7362" s="145"/>
      <c r="N7362" s="145"/>
      <c r="O7362" s="145"/>
      <c r="P7362" s="145"/>
      <c r="Q7362" s="145"/>
    </row>
    <row r="7363" spans="1:17" x14ac:dyDescent="0.2">
      <c r="A7363" s="30" t="str">
        <f>IF(C7363&amp;G7363&amp;D7363&lt;&gt;'Funnel setup'!$K$3&amp;'Funnel setup'!$K$4&amp;'Funnel setup'!$K$5,".",IF(A7362=".",1,A7362+1))</f>
        <v>.</v>
      </c>
      <c r="B7363" s="431" t="str">
        <f t="shared" ref="B7363:B7426" si="115">C7363&amp;D7363&amp;F7363&amp;G7363</f>
        <v/>
      </c>
      <c r="H7363" s="145"/>
      <c r="I7363" s="145"/>
      <c r="J7363" s="145"/>
      <c r="K7363" s="145"/>
      <c r="L7363" s="145"/>
      <c r="M7363" s="145"/>
      <c r="N7363" s="145"/>
      <c r="O7363" s="145"/>
      <c r="P7363" s="145"/>
      <c r="Q7363" s="145"/>
    </row>
    <row r="7364" spans="1:17" x14ac:dyDescent="0.2">
      <c r="A7364" s="30" t="str">
        <f>IF(C7364&amp;G7364&amp;D7364&lt;&gt;'Funnel setup'!$K$3&amp;'Funnel setup'!$K$4&amp;'Funnel setup'!$K$5,".",IF(A7363=".",1,A7363+1))</f>
        <v>.</v>
      </c>
      <c r="B7364" s="431" t="str">
        <f t="shared" si="115"/>
        <v/>
      </c>
      <c r="H7364" s="145"/>
      <c r="I7364" s="145"/>
      <c r="J7364" s="145"/>
      <c r="K7364" s="145"/>
      <c r="L7364" s="145"/>
      <c r="M7364" s="145"/>
      <c r="N7364" s="145"/>
      <c r="O7364" s="145"/>
      <c r="P7364" s="145"/>
      <c r="Q7364" s="145"/>
    </row>
    <row r="7365" spans="1:17" x14ac:dyDescent="0.2">
      <c r="A7365" s="30" t="str">
        <f>IF(C7365&amp;G7365&amp;D7365&lt;&gt;'Funnel setup'!$K$3&amp;'Funnel setup'!$K$4&amp;'Funnel setup'!$K$5,".",IF(A7364=".",1,A7364+1))</f>
        <v>.</v>
      </c>
      <c r="B7365" s="431" t="str">
        <f t="shared" si="115"/>
        <v/>
      </c>
      <c r="H7365" s="145"/>
      <c r="I7365" s="145"/>
      <c r="J7365" s="145"/>
      <c r="K7365" s="145"/>
      <c r="L7365" s="145"/>
      <c r="M7365" s="145"/>
      <c r="N7365" s="145"/>
      <c r="O7365" s="145"/>
      <c r="P7365" s="145"/>
      <c r="Q7365" s="145"/>
    </row>
    <row r="7366" spans="1:17" x14ac:dyDescent="0.2">
      <c r="A7366" s="30" t="str">
        <f>IF(C7366&amp;G7366&amp;D7366&lt;&gt;'Funnel setup'!$K$3&amp;'Funnel setup'!$K$4&amp;'Funnel setup'!$K$5,".",IF(A7365=".",1,A7365+1))</f>
        <v>.</v>
      </c>
      <c r="B7366" s="431" t="str">
        <f t="shared" si="115"/>
        <v/>
      </c>
      <c r="H7366" s="145"/>
      <c r="I7366" s="145"/>
      <c r="J7366" s="145"/>
      <c r="K7366" s="145"/>
      <c r="L7366" s="145"/>
      <c r="M7366" s="145"/>
      <c r="N7366" s="145"/>
      <c r="O7366" s="145"/>
      <c r="P7366" s="145"/>
      <c r="Q7366" s="145"/>
    </row>
    <row r="7367" spans="1:17" x14ac:dyDescent="0.2">
      <c r="A7367" s="30" t="str">
        <f>IF(C7367&amp;G7367&amp;D7367&lt;&gt;'Funnel setup'!$K$3&amp;'Funnel setup'!$K$4&amp;'Funnel setup'!$K$5,".",IF(A7366=".",1,A7366+1))</f>
        <v>.</v>
      </c>
      <c r="B7367" s="431" t="str">
        <f t="shared" si="115"/>
        <v/>
      </c>
      <c r="H7367" s="145"/>
      <c r="I7367" s="145"/>
      <c r="J7367" s="145"/>
      <c r="K7367" s="145"/>
      <c r="L7367" s="145"/>
      <c r="M7367" s="145"/>
      <c r="N7367" s="145"/>
      <c r="O7367" s="145"/>
      <c r="P7367" s="145"/>
      <c r="Q7367" s="145"/>
    </row>
    <row r="7368" spans="1:17" x14ac:dyDescent="0.2">
      <c r="A7368" s="30" t="str">
        <f>IF(C7368&amp;G7368&amp;D7368&lt;&gt;'Funnel setup'!$K$3&amp;'Funnel setup'!$K$4&amp;'Funnel setup'!$K$5,".",IF(A7367=".",1,A7367+1))</f>
        <v>.</v>
      </c>
      <c r="B7368" s="431" t="str">
        <f t="shared" si="115"/>
        <v/>
      </c>
      <c r="H7368" s="145"/>
      <c r="I7368" s="145"/>
      <c r="J7368" s="145"/>
      <c r="K7368" s="145"/>
      <c r="L7368" s="145"/>
      <c r="M7368" s="145"/>
      <c r="N7368" s="145"/>
      <c r="O7368" s="145"/>
      <c r="P7368" s="145"/>
      <c r="Q7368" s="145"/>
    </row>
    <row r="7369" spans="1:17" x14ac:dyDescent="0.2">
      <c r="A7369" s="30" t="str">
        <f>IF(C7369&amp;G7369&amp;D7369&lt;&gt;'Funnel setup'!$K$3&amp;'Funnel setup'!$K$4&amp;'Funnel setup'!$K$5,".",IF(A7368=".",1,A7368+1))</f>
        <v>.</v>
      </c>
      <c r="B7369" s="431" t="str">
        <f t="shared" si="115"/>
        <v/>
      </c>
      <c r="H7369" s="145"/>
      <c r="I7369" s="145"/>
      <c r="J7369" s="145"/>
      <c r="K7369" s="145"/>
      <c r="L7369" s="145"/>
      <c r="M7369" s="145"/>
      <c r="N7369" s="145"/>
      <c r="O7369" s="145"/>
      <c r="P7369" s="145"/>
      <c r="Q7369" s="145"/>
    </row>
    <row r="7370" spans="1:17" x14ac:dyDescent="0.2">
      <c r="A7370" s="30" t="str">
        <f>IF(C7370&amp;G7370&amp;D7370&lt;&gt;'Funnel setup'!$K$3&amp;'Funnel setup'!$K$4&amp;'Funnel setup'!$K$5,".",IF(A7369=".",1,A7369+1))</f>
        <v>.</v>
      </c>
      <c r="B7370" s="431" t="str">
        <f t="shared" si="115"/>
        <v/>
      </c>
      <c r="H7370" s="145"/>
      <c r="I7370" s="145"/>
      <c r="J7370" s="145"/>
      <c r="K7370" s="145"/>
      <c r="L7370" s="145"/>
      <c r="M7370" s="145"/>
      <c r="N7370" s="145"/>
      <c r="O7370" s="145"/>
      <c r="P7370" s="145"/>
      <c r="Q7370" s="145"/>
    </row>
    <row r="7371" spans="1:17" x14ac:dyDescent="0.2">
      <c r="A7371" s="30" t="str">
        <f>IF(C7371&amp;G7371&amp;D7371&lt;&gt;'Funnel setup'!$K$3&amp;'Funnel setup'!$K$4&amp;'Funnel setup'!$K$5,".",IF(A7370=".",1,A7370+1))</f>
        <v>.</v>
      </c>
      <c r="B7371" s="431" t="str">
        <f t="shared" si="115"/>
        <v/>
      </c>
      <c r="H7371" s="145"/>
      <c r="I7371" s="145"/>
      <c r="J7371" s="145"/>
      <c r="K7371" s="145"/>
      <c r="L7371" s="145"/>
      <c r="M7371" s="145"/>
      <c r="N7371" s="145"/>
      <c r="O7371" s="145"/>
      <c r="P7371" s="145"/>
      <c r="Q7371" s="145"/>
    </row>
    <row r="7372" spans="1:17" x14ac:dyDescent="0.2">
      <c r="A7372" s="30" t="str">
        <f>IF(C7372&amp;G7372&amp;D7372&lt;&gt;'Funnel setup'!$K$3&amp;'Funnel setup'!$K$4&amp;'Funnel setup'!$K$5,".",IF(A7371=".",1,A7371+1))</f>
        <v>.</v>
      </c>
      <c r="B7372" s="431" t="str">
        <f t="shared" si="115"/>
        <v/>
      </c>
      <c r="H7372" s="145"/>
      <c r="I7372" s="145"/>
      <c r="J7372" s="145"/>
      <c r="K7372" s="145"/>
      <c r="L7372" s="145"/>
      <c r="M7372" s="145"/>
      <c r="N7372" s="145"/>
      <c r="O7372" s="145"/>
      <c r="P7372" s="145"/>
      <c r="Q7372" s="145"/>
    </row>
    <row r="7373" spans="1:17" x14ac:dyDescent="0.2">
      <c r="A7373" s="30" t="str">
        <f>IF(C7373&amp;G7373&amp;D7373&lt;&gt;'Funnel setup'!$K$3&amp;'Funnel setup'!$K$4&amp;'Funnel setup'!$K$5,".",IF(A7372=".",1,A7372+1))</f>
        <v>.</v>
      </c>
      <c r="B7373" s="431" t="str">
        <f t="shared" si="115"/>
        <v/>
      </c>
      <c r="H7373" s="145"/>
      <c r="I7373" s="145"/>
      <c r="J7373" s="145"/>
      <c r="K7373" s="145"/>
      <c r="L7373" s="145"/>
      <c r="M7373" s="145"/>
      <c r="N7373" s="145"/>
      <c r="O7373" s="145"/>
      <c r="P7373" s="145"/>
      <c r="Q7373" s="145"/>
    </row>
    <row r="7374" spans="1:17" x14ac:dyDescent="0.2">
      <c r="A7374" s="30" t="str">
        <f>IF(C7374&amp;G7374&amp;D7374&lt;&gt;'Funnel setup'!$K$3&amp;'Funnel setup'!$K$4&amp;'Funnel setup'!$K$5,".",IF(A7373=".",1,A7373+1))</f>
        <v>.</v>
      </c>
      <c r="B7374" s="431" t="str">
        <f t="shared" si="115"/>
        <v/>
      </c>
      <c r="H7374" s="145"/>
      <c r="I7374" s="145"/>
      <c r="J7374" s="145"/>
      <c r="K7374" s="145"/>
      <c r="L7374" s="145"/>
      <c r="M7374" s="145"/>
      <c r="N7374" s="145"/>
      <c r="O7374" s="145"/>
      <c r="P7374" s="145"/>
      <c r="Q7374" s="145"/>
    </row>
    <row r="7375" spans="1:17" x14ac:dyDescent="0.2">
      <c r="A7375" s="30" t="str">
        <f>IF(C7375&amp;G7375&amp;D7375&lt;&gt;'Funnel setup'!$K$3&amp;'Funnel setup'!$K$4&amp;'Funnel setup'!$K$5,".",IF(A7374=".",1,A7374+1))</f>
        <v>.</v>
      </c>
      <c r="B7375" s="431" t="str">
        <f t="shared" si="115"/>
        <v/>
      </c>
      <c r="H7375" s="145"/>
      <c r="I7375" s="145"/>
      <c r="J7375" s="145"/>
      <c r="K7375" s="145"/>
      <c r="L7375" s="145"/>
      <c r="M7375" s="145"/>
      <c r="N7375" s="145"/>
      <c r="O7375" s="145"/>
      <c r="P7375" s="145"/>
      <c r="Q7375" s="145"/>
    </row>
    <row r="7376" spans="1:17" x14ac:dyDescent="0.2">
      <c r="A7376" s="30" t="str">
        <f>IF(C7376&amp;G7376&amp;D7376&lt;&gt;'Funnel setup'!$K$3&amp;'Funnel setup'!$K$4&amp;'Funnel setup'!$K$5,".",IF(A7375=".",1,A7375+1))</f>
        <v>.</v>
      </c>
      <c r="B7376" s="431" t="str">
        <f t="shared" si="115"/>
        <v/>
      </c>
      <c r="H7376" s="145"/>
      <c r="I7376" s="145"/>
      <c r="J7376" s="145"/>
      <c r="K7376" s="145"/>
      <c r="L7376" s="145"/>
      <c r="M7376" s="145"/>
      <c r="N7376" s="145"/>
      <c r="O7376" s="145"/>
      <c r="P7376" s="145"/>
      <c r="Q7376" s="145"/>
    </row>
    <row r="7377" spans="1:17" x14ac:dyDescent="0.2">
      <c r="A7377" s="30" t="str">
        <f>IF(C7377&amp;G7377&amp;D7377&lt;&gt;'Funnel setup'!$K$3&amp;'Funnel setup'!$K$4&amp;'Funnel setup'!$K$5,".",IF(A7376=".",1,A7376+1))</f>
        <v>.</v>
      </c>
      <c r="B7377" s="431" t="str">
        <f t="shared" si="115"/>
        <v/>
      </c>
      <c r="H7377" s="145"/>
      <c r="I7377" s="145"/>
      <c r="J7377" s="145"/>
      <c r="K7377" s="145"/>
      <c r="L7377" s="145"/>
      <c r="M7377" s="145"/>
      <c r="N7377" s="145"/>
      <c r="O7377" s="145"/>
      <c r="P7377" s="145"/>
      <c r="Q7377" s="145"/>
    </row>
    <row r="7378" spans="1:17" x14ac:dyDescent="0.2">
      <c r="A7378" s="30" t="str">
        <f>IF(C7378&amp;G7378&amp;D7378&lt;&gt;'Funnel setup'!$K$3&amp;'Funnel setup'!$K$4&amp;'Funnel setup'!$K$5,".",IF(A7377=".",1,A7377+1))</f>
        <v>.</v>
      </c>
      <c r="B7378" s="431" t="str">
        <f t="shared" si="115"/>
        <v/>
      </c>
      <c r="H7378" s="145"/>
      <c r="I7378" s="145"/>
      <c r="J7378" s="145"/>
      <c r="K7378" s="145"/>
      <c r="L7378" s="145"/>
      <c r="M7378" s="145"/>
      <c r="N7378" s="145"/>
      <c r="O7378" s="145"/>
      <c r="P7378" s="145"/>
      <c r="Q7378" s="145"/>
    </row>
    <row r="7379" spans="1:17" x14ac:dyDescent="0.2">
      <c r="A7379" s="30" t="str">
        <f>IF(C7379&amp;G7379&amp;D7379&lt;&gt;'Funnel setup'!$K$3&amp;'Funnel setup'!$K$4&amp;'Funnel setup'!$K$5,".",IF(A7378=".",1,A7378+1))</f>
        <v>.</v>
      </c>
      <c r="B7379" s="431" t="str">
        <f t="shared" si="115"/>
        <v/>
      </c>
      <c r="H7379" s="145"/>
      <c r="I7379" s="145"/>
      <c r="J7379" s="145"/>
      <c r="K7379" s="145"/>
      <c r="L7379" s="145"/>
      <c r="M7379" s="145"/>
      <c r="N7379" s="145"/>
      <c r="O7379" s="145"/>
      <c r="P7379" s="145"/>
      <c r="Q7379" s="145"/>
    </row>
    <row r="7380" spans="1:17" x14ac:dyDescent="0.2">
      <c r="A7380" s="30" t="str">
        <f>IF(C7380&amp;G7380&amp;D7380&lt;&gt;'Funnel setup'!$K$3&amp;'Funnel setup'!$K$4&amp;'Funnel setup'!$K$5,".",IF(A7379=".",1,A7379+1))</f>
        <v>.</v>
      </c>
      <c r="B7380" s="431" t="str">
        <f t="shared" si="115"/>
        <v/>
      </c>
      <c r="H7380" s="145"/>
      <c r="I7380" s="145"/>
      <c r="J7380" s="145"/>
      <c r="K7380" s="145"/>
      <c r="L7380" s="145"/>
      <c r="M7380" s="145"/>
      <c r="N7380" s="145"/>
      <c r="O7380" s="145"/>
      <c r="P7380" s="145"/>
      <c r="Q7380" s="145"/>
    </row>
    <row r="7381" spans="1:17" x14ac:dyDescent="0.2">
      <c r="A7381" s="30" t="str">
        <f>IF(C7381&amp;G7381&amp;D7381&lt;&gt;'Funnel setup'!$K$3&amp;'Funnel setup'!$K$4&amp;'Funnel setup'!$K$5,".",IF(A7380=".",1,A7380+1))</f>
        <v>.</v>
      </c>
      <c r="B7381" s="431" t="str">
        <f t="shared" si="115"/>
        <v/>
      </c>
      <c r="H7381" s="145"/>
      <c r="I7381" s="145"/>
      <c r="J7381" s="145"/>
      <c r="K7381" s="145"/>
      <c r="L7381" s="145"/>
      <c r="M7381" s="145"/>
      <c r="N7381" s="145"/>
      <c r="O7381" s="145"/>
      <c r="P7381" s="145"/>
      <c r="Q7381" s="145"/>
    </row>
    <row r="7382" spans="1:17" x14ac:dyDescent="0.2">
      <c r="A7382" s="30" t="str">
        <f>IF(C7382&amp;G7382&amp;D7382&lt;&gt;'Funnel setup'!$K$3&amp;'Funnel setup'!$K$4&amp;'Funnel setup'!$K$5,".",IF(A7381=".",1,A7381+1))</f>
        <v>.</v>
      </c>
      <c r="B7382" s="431" t="str">
        <f t="shared" si="115"/>
        <v/>
      </c>
      <c r="H7382" s="145"/>
      <c r="I7382" s="145"/>
      <c r="J7382" s="145"/>
      <c r="K7382" s="145"/>
      <c r="L7382" s="145"/>
      <c r="M7382" s="145"/>
      <c r="N7382" s="145"/>
      <c r="O7382" s="145"/>
      <c r="P7382" s="145"/>
      <c r="Q7382" s="145"/>
    </row>
    <row r="7383" spans="1:17" x14ac:dyDescent="0.2">
      <c r="A7383" s="30" t="str">
        <f>IF(C7383&amp;G7383&amp;D7383&lt;&gt;'Funnel setup'!$K$3&amp;'Funnel setup'!$K$4&amp;'Funnel setup'!$K$5,".",IF(A7382=".",1,A7382+1))</f>
        <v>.</v>
      </c>
      <c r="B7383" s="431" t="str">
        <f t="shared" si="115"/>
        <v/>
      </c>
      <c r="H7383" s="145"/>
      <c r="I7383" s="145"/>
      <c r="J7383" s="145"/>
      <c r="K7383" s="145"/>
      <c r="L7383" s="145"/>
      <c r="M7383" s="145"/>
      <c r="N7383" s="145"/>
      <c r="O7383" s="145"/>
      <c r="P7383" s="145"/>
      <c r="Q7383" s="145"/>
    </row>
    <row r="7384" spans="1:17" x14ac:dyDescent="0.2">
      <c r="A7384" s="30" t="str">
        <f>IF(C7384&amp;G7384&amp;D7384&lt;&gt;'Funnel setup'!$K$3&amp;'Funnel setup'!$K$4&amp;'Funnel setup'!$K$5,".",IF(A7383=".",1,A7383+1))</f>
        <v>.</v>
      </c>
      <c r="B7384" s="431" t="str">
        <f t="shared" si="115"/>
        <v/>
      </c>
      <c r="H7384" s="145"/>
      <c r="I7384" s="145"/>
      <c r="J7384" s="145"/>
      <c r="K7384" s="145"/>
      <c r="L7384" s="145"/>
      <c r="M7384" s="145"/>
      <c r="N7384" s="145"/>
      <c r="O7384" s="145"/>
      <c r="P7384" s="145"/>
      <c r="Q7384" s="145"/>
    </row>
    <row r="7385" spans="1:17" x14ac:dyDescent="0.2">
      <c r="A7385" s="30" t="str">
        <f>IF(C7385&amp;G7385&amp;D7385&lt;&gt;'Funnel setup'!$K$3&amp;'Funnel setup'!$K$4&amp;'Funnel setup'!$K$5,".",IF(A7384=".",1,A7384+1))</f>
        <v>.</v>
      </c>
      <c r="B7385" s="431" t="str">
        <f t="shared" si="115"/>
        <v/>
      </c>
      <c r="H7385" s="145"/>
      <c r="I7385" s="145"/>
      <c r="J7385" s="145"/>
      <c r="K7385" s="145"/>
      <c r="L7385" s="145"/>
      <c r="M7385" s="145"/>
      <c r="N7385" s="145"/>
      <c r="O7385" s="145"/>
      <c r="P7385" s="145"/>
      <c r="Q7385" s="145"/>
    </row>
    <row r="7386" spans="1:17" x14ac:dyDescent="0.2">
      <c r="A7386" s="30" t="str">
        <f>IF(C7386&amp;G7386&amp;D7386&lt;&gt;'Funnel setup'!$K$3&amp;'Funnel setup'!$K$4&amp;'Funnel setup'!$K$5,".",IF(A7385=".",1,A7385+1))</f>
        <v>.</v>
      </c>
      <c r="B7386" s="431" t="str">
        <f t="shared" si="115"/>
        <v/>
      </c>
      <c r="H7386" s="145"/>
      <c r="I7386" s="145"/>
      <c r="J7386" s="145"/>
      <c r="K7386" s="145"/>
      <c r="L7386" s="145"/>
      <c r="M7386" s="145"/>
      <c r="N7386" s="145"/>
      <c r="O7386" s="145"/>
      <c r="P7386" s="145"/>
      <c r="Q7386" s="145"/>
    </row>
    <row r="7387" spans="1:17" x14ac:dyDescent="0.2">
      <c r="A7387" s="30" t="str">
        <f>IF(C7387&amp;G7387&amp;D7387&lt;&gt;'Funnel setup'!$K$3&amp;'Funnel setup'!$K$4&amp;'Funnel setup'!$K$5,".",IF(A7386=".",1,A7386+1))</f>
        <v>.</v>
      </c>
      <c r="B7387" s="431" t="str">
        <f t="shared" si="115"/>
        <v/>
      </c>
      <c r="H7387" s="145"/>
      <c r="I7387" s="145"/>
      <c r="J7387" s="145"/>
      <c r="K7387" s="145"/>
      <c r="L7387" s="145"/>
      <c r="M7387" s="145"/>
      <c r="N7387" s="145"/>
      <c r="O7387" s="145"/>
      <c r="P7387" s="145"/>
      <c r="Q7387" s="145"/>
    </row>
    <row r="7388" spans="1:17" x14ac:dyDescent="0.2">
      <c r="A7388" s="30" t="str">
        <f>IF(C7388&amp;G7388&amp;D7388&lt;&gt;'Funnel setup'!$K$3&amp;'Funnel setup'!$K$4&amp;'Funnel setup'!$K$5,".",IF(A7387=".",1,A7387+1))</f>
        <v>.</v>
      </c>
      <c r="B7388" s="431" t="str">
        <f t="shared" si="115"/>
        <v/>
      </c>
      <c r="H7388" s="145"/>
      <c r="I7388" s="145"/>
      <c r="J7388" s="145"/>
      <c r="K7388" s="145"/>
      <c r="L7388" s="145"/>
      <c r="M7388" s="145"/>
      <c r="N7388" s="145"/>
      <c r="O7388" s="145"/>
      <c r="P7388" s="145"/>
      <c r="Q7388" s="145"/>
    </row>
    <row r="7389" spans="1:17" x14ac:dyDescent="0.2">
      <c r="A7389" s="30" t="str">
        <f>IF(C7389&amp;G7389&amp;D7389&lt;&gt;'Funnel setup'!$K$3&amp;'Funnel setup'!$K$4&amp;'Funnel setup'!$K$5,".",IF(A7388=".",1,A7388+1))</f>
        <v>.</v>
      </c>
      <c r="B7389" s="431" t="str">
        <f t="shared" si="115"/>
        <v/>
      </c>
      <c r="H7389" s="145"/>
      <c r="I7389" s="145"/>
      <c r="J7389" s="145"/>
      <c r="K7389" s="145"/>
      <c r="L7389" s="145"/>
      <c r="M7389" s="145"/>
      <c r="N7389" s="145"/>
      <c r="O7389" s="145"/>
      <c r="P7389" s="145"/>
      <c r="Q7389" s="145"/>
    </row>
    <row r="7390" spans="1:17" x14ac:dyDescent="0.2">
      <c r="A7390" s="30" t="str">
        <f>IF(C7390&amp;G7390&amp;D7390&lt;&gt;'Funnel setup'!$K$3&amp;'Funnel setup'!$K$4&amp;'Funnel setup'!$K$5,".",IF(A7389=".",1,A7389+1))</f>
        <v>.</v>
      </c>
      <c r="B7390" s="431" t="str">
        <f t="shared" si="115"/>
        <v/>
      </c>
      <c r="H7390" s="145"/>
      <c r="I7390" s="145"/>
      <c r="J7390" s="145"/>
      <c r="K7390" s="145"/>
      <c r="L7390" s="145"/>
      <c r="M7390" s="145"/>
      <c r="N7390" s="145"/>
      <c r="O7390" s="145"/>
      <c r="P7390" s="145"/>
      <c r="Q7390" s="145"/>
    </row>
    <row r="7391" spans="1:17" x14ac:dyDescent="0.2">
      <c r="A7391" s="30" t="str">
        <f>IF(C7391&amp;G7391&amp;D7391&lt;&gt;'Funnel setup'!$K$3&amp;'Funnel setup'!$K$4&amp;'Funnel setup'!$K$5,".",IF(A7390=".",1,A7390+1))</f>
        <v>.</v>
      </c>
      <c r="B7391" s="431" t="str">
        <f t="shared" si="115"/>
        <v/>
      </c>
      <c r="H7391" s="145"/>
      <c r="I7391" s="145"/>
      <c r="J7391" s="145"/>
      <c r="K7391" s="145"/>
      <c r="L7391" s="145"/>
      <c r="M7391" s="145"/>
      <c r="N7391" s="145"/>
      <c r="O7391" s="145"/>
      <c r="P7391" s="145"/>
      <c r="Q7391" s="145"/>
    </row>
    <row r="7392" spans="1:17" x14ac:dyDescent="0.2">
      <c r="A7392" s="30" t="str">
        <f>IF(C7392&amp;G7392&amp;D7392&lt;&gt;'Funnel setup'!$K$3&amp;'Funnel setup'!$K$4&amp;'Funnel setup'!$K$5,".",IF(A7391=".",1,A7391+1))</f>
        <v>.</v>
      </c>
      <c r="B7392" s="431" t="str">
        <f t="shared" si="115"/>
        <v/>
      </c>
      <c r="H7392" s="145"/>
      <c r="I7392" s="145"/>
      <c r="J7392" s="145"/>
      <c r="K7392" s="145"/>
      <c r="L7392" s="145"/>
      <c r="M7392" s="145"/>
      <c r="N7392" s="145"/>
      <c r="O7392" s="145"/>
      <c r="P7392" s="145"/>
      <c r="Q7392" s="145"/>
    </row>
    <row r="7393" spans="1:17" x14ac:dyDescent="0.2">
      <c r="A7393" s="30" t="str">
        <f>IF(C7393&amp;G7393&amp;D7393&lt;&gt;'Funnel setup'!$K$3&amp;'Funnel setup'!$K$4&amp;'Funnel setup'!$K$5,".",IF(A7392=".",1,A7392+1))</f>
        <v>.</v>
      </c>
      <c r="B7393" s="431" t="str">
        <f t="shared" si="115"/>
        <v/>
      </c>
      <c r="H7393" s="145"/>
      <c r="I7393" s="145"/>
      <c r="J7393" s="145"/>
      <c r="K7393" s="145"/>
      <c r="L7393" s="145"/>
      <c r="M7393" s="145"/>
      <c r="N7393" s="145"/>
      <c r="O7393" s="145"/>
      <c r="P7393" s="145"/>
      <c r="Q7393" s="145"/>
    </row>
    <row r="7394" spans="1:17" x14ac:dyDescent="0.2">
      <c r="A7394" s="30" t="str">
        <f>IF(C7394&amp;G7394&amp;D7394&lt;&gt;'Funnel setup'!$K$3&amp;'Funnel setup'!$K$4&amp;'Funnel setup'!$K$5,".",IF(A7393=".",1,A7393+1))</f>
        <v>.</v>
      </c>
      <c r="B7394" s="431" t="str">
        <f t="shared" si="115"/>
        <v/>
      </c>
      <c r="H7394" s="145"/>
      <c r="I7394" s="145"/>
      <c r="J7394" s="145"/>
      <c r="K7394" s="145"/>
      <c r="L7394" s="145"/>
      <c r="M7394" s="145"/>
      <c r="N7394" s="145"/>
      <c r="O7394" s="145"/>
      <c r="P7394" s="145"/>
      <c r="Q7394" s="145"/>
    </row>
    <row r="7395" spans="1:17" x14ac:dyDescent="0.2">
      <c r="A7395" s="30" t="str">
        <f>IF(C7395&amp;G7395&amp;D7395&lt;&gt;'Funnel setup'!$K$3&amp;'Funnel setup'!$K$4&amp;'Funnel setup'!$K$5,".",IF(A7394=".",1,A7394+1))</f>
        <v>.</v>
      </c>
      <c r="B7395" s="431" t="str">
        <f t="shared" si="115"/>
        <v/>
      </c>
      <c r="H7395" s="145"/>
      <c r="I7395" s="145"/>
      <c r="J7395" s="145"/>
      <c r="K7395" s="145"/>
      <c r="L7395" s="145"/>
      <c r="M7395" s="145"/>
      <c r="N7395" s="145"/>
      <c r="O7395" s="145"/>
      <c r="P7395" s="145"/>
      <c r="Q7395" s="145"/>
    </row>
    <row r="7396" spans="1:17" x14ac:dyDescent="0.2">
      <c r="A7396" s="30" t="str">
        <f>IF(C7396&amp;G7396&amp;D7396&lt;&gt;'Funnel setup'!$K$3&amp;'Funnel setup'!$K$4&amp;'Funnel setup'!$K$5,".",IF(A7395=".",1,A7395+1))</f>
        <v>.</v>
      </c>
      <c r="B7396" s="431" t="str">
        <f t="shared" si="115"/>
        <v/>
      </c>
      <c r="H7396" s="145"/>
      <c r="I7396" s="145"/>
      <c r="J7396" s="145"/>
      <c r="K7396" s="145"/>
      <c r="L7396" s="145"/>
      <c r="M7396" s="145"/>
      <c r="N7396" s="145"/>
      <c r="O7396" s="145"/>
      <c r="P7396" s="145"/>
      <c r="Q7396" s="145"/>
    </row>
    <row r="7397" spans="1:17" x14ac:dyDescent="0.2">
      <c r="A7397" s="30" t="str">
        <f>IF(C7397&amp;G7397&amp;D7397&lt;&gt;'Funnel setup'!$K$3&amp;'Funnel setup'!$K$4&amp;'Funnel setup'!$K$5,".",IF(A7396=".",1,A7396+1))</f>
        <v>.</v>
      </c>
      <c r="B7397" s="431" t="str">
        <f t="shared" si="115"/>
        <v/>
      </c>
      <c r="H7397" s="145"/>
      <c r="I7397" s="145"/>
      <c r="J7397" s="145"/>
      <c r="K7397" s="145"/>
      <c r="L7397" s="145"/>
      <c r="M7397" s="145"/>
      <c r="N7397" s="145"/>
      <c r="O7397" s="145"/>
      <c r="P7397" s="145"/>
      <c r="Q7397" s="145"/>
    </row>
    <row r="7398" spans="1:17" x14ac:dyDescent="0.2">
      <c r="A7398" s="30" t="str">
        <f>IF(C7398&amp;G7398&amp;D7398&lt;&gt;'Funnel setup'!$K$3&amp;'Funnel setup'!$K$4&amp;'Funnel setup'!$K$5,".",IF(A7397=".",1,A7397+1))</f>
        <v>.</v>
      </c>
      <c r="B7398" s="431" t="str">
        <f t="shared" si="115"/>
        <v/>
      </c>
      <c r="H7398" s="145"/>
      <c r="I7398" s="145"/>
      <c r="J7398" s="145"/>
      <c r="K7398" s="145"/>
      <c r="L7398" s="145"/>
      <c r="M7398" s="145"/>
      <c r="N7398" s="145"/>
      <c r="O7398" s="145"/>
      <c r="P7398" s="145"/>
      <c r="Q7398" s="145"/>
    </row>
    <row r="7399" spans="1:17" x14ac:dyDescent="0.2">
      <c r="A7399" s="30" t="str">
        <f>IF(C7399&amp;G7399&amp;D7399&lt;&gt;'Funnel setup'!$K$3&amp;'Funnel setup'!$K$4&amp;'Funnel setup'!$K$5,".",IF(A7398=".",1,A7398+1))</f>
        <v>.</v>
      </c>
      <c r="B7399" s="431" t="str">
        <f t="shared" si="115"/>
        <v/>
      </c>
      <c r="H7399" s="145"/>
      <c r="I7399" s="145"/>
      <c r="J7399" s="145"/>
      <c r="K7399" s="145"/>
      <c r="L7399" s="145"/>
      <c r="M7399" s="145"/>
      <c r="N7399" s="145"/>
      <c r="O7399" s="145"/>
      <c r="P7399" s="145"/>
      <c r="Q7399" s="145"/>
    </row>
    <row r="7400" spans="1:17" x14ac:dyDescent="0.2">
      <c r="A7400" s="30" t="str">
        <f>IF(C7400&amp;G7400&amp;D7400&lt;&gt;'Funnel setup'!$K$3&amp;'Funnel setup'!$K$4&amp;'Funnel setup'!$K$5,".",IF(A7399=".",1,A7399+1))</f>
        <v>.</v>
      </c>
      <c r="B7400" s="431" t="str">
        <f t="shared" si="115"/>
        <v/>
      </c>
      <c r="H7400" s="145"/>
      <c r="I7400" s="145"/>
      <c r="J7400" s="145"/>
      <c r="K7400" s="145"/>
      <c r="L7400" s="145"/>
      <c r="M7400" s="145"/>
      <c r="N7400" s="145"/>
      <c r="O7400" s="145"/>
      <c r="P7400" s="145"/>
      <c r="Q7400" s="145"/>
    </row>
    <row r="7401" spans="1:17" x14ac:dyDescent="0.2">
      <c r="A7401" s="30" t="str">
        <f>IF(C7401&amp;G7401&amp;D7401&lt;&gt;'Funnel setup'!$K$3&amp;'Funnel setup'!$K$4&amp;'Funnel setup'!$K$5,".",IF(A7400=".",1,A7400+1))</f>
        <v>.</v>
      </c>
      <c r="B7401" s="431" t="str">
        <f t="shared" si="115"/>
        <v/>
      </c>
      <c r="H7401" s="145"/>
      <c r="I7401" s="145"/>
      <c r="J7401" s="145"/>
      <c r="K7401" s="145"/>
      <c r="L7401" s="145"/>
      <c r="M7401" s="145"/>
      <c r="N7401" s="145"/>
      <c r="O7401" s="145"/>
      <c r="P7401" s="145"/>
      <c r="Q7401" s="145"/>
    </row>
    <row r="7402" spans="1:17" x14ac:dyDescent="0.2">
      <c r="A7402" s="30" t="str">
        <f>IF(C7402&amp;G7402&amp;D7402&lt;&gt;'Funnel setup'!$K$3&amp;'Funnel setup'!$K$4&amp;'Funnel setup'!$K$5,".",IF(A7401=".",1,A7401+1))</f>
        <v>.</v>
      </c>
      <c r="B7402" s="431" t="str">
        <f t="shared" si="115"/>
        <v/>
      </c>
      <c r="H7402" s="145"/>
      <c r="I7402" s="145"/>
      <c r="J7402" s="145"/>
      <c r="K7402" s="145"/>
      <c r="L7402" s="145"/>
      <c r="M7402" s="145"/>
      <c r="N7402" s="145"/>
      <c r="O7402" s="145"/>
      <c r="P7402" s="145"/>
      <c r="Q7402" s="145"/>
    </row>
    <row r="7403" spans="1:17" x14ac:dyDescent="0.2">
      <c r="A7403" s="30" t="str">
        <f>IF(C7403&amp;G7403&amp;D7403&lt;&gt;'Funnel setup'!$K$3&amp;'Funnel setup'!$K$4&amp;'Funnel setup'!$K$5,".",IF(A7402=".",1,A7402+1))</f>
        <v>.</v>
      </c>
      <c r="B7403" s="431" t="str">
        <f t="shared" si="115"/>
        <v/>
      </c>
      <c r="H7403" s="145"/>
      <c r="I7403" s="145"/>
      <c r="J7403" s="145"/>
      <c r="K7403" s="145"/>
      <c r="L7403" s="145"/>
      <c r="M7403" s="145"/>
      <c r="N7403" s="145"/>
      <c r="O7403" s="145"/>
      <c r="P7403" s="145"/>
      <c r="Q7403" s="145"/>
    </row>
    <row r="7404" spans="1:17" x14ac:dyDescent="0.2">
      <c r="A7404" s="30" t="str">
        <f>IF(C7404&amp;G7404&amp;D7404&lt;&gt;'Funnel setup'!$K$3&amp;'Funnel setup'!$K$4&amp;'Funnel setup'!$K$5,".",IF(A7403=".",1,A7403+1))</f>
        <v>.</v>
      </c>
      <c r="B7404" s="431" t="str">
        <f t="shared" si="115"/>
        <v/>
      </c>
      <c r="H7404" s="145"/>
      <c r="I7404" s="145"/>
      <c r="J7404" s="145"/>
      <c r="K7404" s="145"/>
      <c r="L7404" s="145"/>
      <c r="M7404" s="145"/>
      <c r="N7404" s="145"/>
      <c r="O7404" s="145"/>
      <c r="P7404" s="145"/>
      <c r="Q7404" s="145"/>
    </row>
    <row r="7405" spans="1:17" x14ac:dyDescent="0.2">
      <c r="A7405" s="30" t="str">
        <f>IF(C7405&amp;G7405&amp;D7405&lt;&gt;'Funnel setup'!$K$3&amp;'Funnel setup'!$K$4&amp;'Funnel setup'!$K$5,".",IF(A7404=".",1,A7404+1))</f>
        <v>.</v>
      </c>
      <c r="B7405" s="431" t="str">
        <f t="shared" si="115"/>
        <v/>
      </c>
      <c r="H7405" s="145"/>
      <c r="I7405" s="145"/>
      <c r="J7405" s="145"/>
      <c r="K7405" s="145"/>
      <c r="L7405" s="145"/>
      <c r="M7405" s="145"/>
      <c r="N7405" s="145"/>
      <c r="O7405" s="145"/>
      <c r="P7405" s="145"/>
      <c r="Q7405" s="145"/>
    </row>
    <row r="7406" spans="1:17" x14ac:dyDescent="0.2">
      <c r="A7406" s="30" t="str">
        <f>IF(C7406&amp;G7406&amp;D7406&lt;&gt;'Funnel setup'!$K$3&amp;'Funnel setup'!$K$4&amp;'Funnel setup'!$K$5,".",IF(A7405=".",1,A7405+1))</f>
        <v>.</v>
      </c>
      <c r="B7406" s="431" t="str">
        <f t="shared" si="115"/>
        <v/>
      </c>
      <c r="H7406" s="145"/>
      <c r="I7406" s="145"/>
      <c r="J7406" s="145"/>
      <c r="K7406" s="145"/>
      <c r="L7406" s="145"/>
      <c r="M7406" s="145"/>
      <c r="N7406" s="145"/>
      <c r="O7406" s="145"/>
      <c r="P7406" s="145"/>
      <c r="Q7406" s="145"/>
    </row>
    <row r="7407" spans="1:17" x14ac:dyDescent="0.2">
      <c r="A7407" s="30" t="str">
        <f>IF(C7407&amp;G7407&amp;D7407&lt;&gt;'Funnel setup'!$K$3&amp;'Funnel setup'!$K$4&amp;'Funnel setup'!$K$5,".",IF(A7406=".",1,A7406+1))</f>
        <v>.</v>
      </c>
      <c r="B7407" s="431" t="str">
        <f t="shared" si="115"/>
        <v/>
      </c>
      <c r="H7407" s="145"/>
      <c r="I7407" s="145"/>
      <c r="J7407" s="145"/>
      <c r="K7407" s="145"/>
      <c r="L7407" s="145"/>
      <c r="M7407" s="145"/>
      <c r="N7407" s="145"/>
      <c r="O7407" s="145"/>
      <c r="P7407" s="145"/>
      <c r="Q7407" s="145"/>
    </row>
    <row r="7408" spans="1:17" x14ac:dyDescent="0.2">
      <c r="A7408" s="30" t="str">
        <f>IF(C7408&amp;G7408&amp;D7408&lt;&gt;'Funnel setup'!$K$3&amp;'Funnel setup'!$K$4&amp;'Funnel setup'!$K$5,".",IF(A7407=".",1,A7407+1))</f>
        <v>.</v>
      </c>
      <c r="B7408" s="431" t="str">
        <f t="shared" si="115"/>
        <v/>
      </c>
      <c r="H7408" s="145"/>
      <c r="I7408" s="145"/>
      <c r="J7408" s="145"/>
      <c r="K7408" s="145"/>
      <c r="L7408" s="145"/>
      <c r="M7408" s="145"/>
      <c r="N7408" s="145"/>
      <c r="O7408" s="145"/>
      <c r="P7408" s="145"/>
      <c r="Q7408" s="145"/>
    </row>
    <row r="7409" spans="1:17" x14ac:dyDescent="0.2">
      <c r="A7409" s="30" t="str">
        <f>IF(C7409&amp;G7409&amp;D7409&lt;&gt;'Funnel setup'!$K$3&amp;'Funnel setup'!$K$4&amp;'Funnel setup'!$K$5,".",IF(A7408=".",1,A7408+1))</f>
        <v>.</v>
      </c>
      <c r="B7409" s="431" t="str">
        <f t="shared" si="115"/>
        <v/>
      </c>
      <c r="H7409" s="145"/>
      <c r="I7409" s="145"/>
      <c r="J7409" s="145"/>
      <c r="K7409" s="145"/>
      <c r="L7409" s="145"/>
      <c r="M7409" s="145"/>
      <c r="N7409" s="145"/>
      <c r="O7409" s="145"/>
      <c r="P7409" s="145"/>
      <c r="Q7409" s="145"/>
    </row>
    <row r="7410" spans="1:17" x14ac:dyDescent="0.2">
      <c r="A7410" s="30" t="str">
        <f>IF(C7410&amp;G7410&amp;D7410&lt;&gt;'Funnel setup'!$K$3&amp;'Funnel setup'!$K$4&amp;'Funnel setup'!$K$5,".",IF(A7409=".",1,A7409+1))</f>
        <v>.</v>
      </c>
      <c r="B7410" s="431" t="str">
        <f t="shared" si="115"/>
        <v/>
      </c>
      <c r="H7410" s="145"/>
      <c r="I7410" s="145"/>
      <c r="J7410" s="145"/>
      <c r="K7410" s="145"/>
      <c r="L7410" s="145"/>
      <c r="M7410" s="145"/>
      <c r="N7410" s="145"/>
      <c r="O7410" s="145"/>
      <c r="P7410" s="145"/>
      <c r="Q7410" s="145"/>
    </row>
    <row r="7411" spans="1:17" x14ac:dyDescent="0.2">
      <c r="A7411" s="30" t="str">
        <f>IF(C7411&amp;G7411&amp;D7411&lt;&gt;'Funnel setup'!$K$3&amp;'Funnel setup'!$K$4&amp;'Funnel setup'!$K$5,".",IF(A7410=".",1,A7410+1))</f>
        <v>.</v>
      </c>
      <c r="B7411" s="431" t="str">
        <f t="shared" si="115"/>
        <v/>
      </c>
      <c r="H7411" s="145"/>
      <c r="I7411" s="145"/>
      <c r="J7411" s="145"/>
      <c r="K7411" s="145"/>
      <c r="L7411" s="145"/>
      <c r="M7411" s="145"/>
      <c r="N7411" s="145"/>
      <c r="O7411" s="145"/>
      <c r="P7411" s="145"/>
      <c r="Q7411" s="145"/>
    </row>
    <row r="7412" spans="1:17" x14ac:dyDescent="0.2">
      <c r="A7412" s="30" t="str">
        <f>IF(C7412&amp;G7412&amp;D7412&lt;&gt;'Funnel setup'!$K$3&amp;'Funnel setup'!$K$4&amp;'Funnel setup'!$K$5,".",IF(A7411=".",1,A7411+1))</f>
        <v>.</v>
      </c>
      <c r="B7412" s="431" t="str">
        <f t="shared" si="115"/>
        <v/>
      </c>
      <c r="H7412" s="145"/>
      <c r="I7412" s="145"/>
      <c r="J7412" s="145"/>
      <c r="K7412" s="145"/>
      <c r="L7412" s="145"/>
      <c r="M7412" s="145"/>
      <c r="N7412" s="145"/>
      <c r="O7412" s="145"/>
      <c r="P7412" s="145"/>
      <c r="Q7412" s="145"/>
    </row>
    <row r="7413" spans="1:17" x14ac:dyDescent="0.2">
      <c r="A7413" s="30" t="str">
        <f>IF(C7413&amp;G7413&amp;D7413&lt;&gt;'Funnel setup'!$K$3&amp;'Funnel setup'!$K$4&amp;'Funnel setup'!$K$5,".",IF(A7412=".",1,A7412+1))</f>
        <v>.</v>
      </c>
      <c r="B7413" s="431" t="str">
        <f t="shared" si="115"/>
        <v/>
      </c>
      <c r="H7413" s="145"/>
      <c r="I7413" s="145"/>
      <c r="J7413" s="145"/>
      <c r="K7413" s="145"/>
      <c r="L7413" s="145"/>
      <c r="M7413" s="145"/>
      <c r="N7413" s="145"/>
      <c r="O7413" s="145"/>
      <c r="P7413" s="145"/>
      <c r="Q7413" s="145"/>
    </row>
    <row r="7414" spans="1:17" x14ac:dyDescent="0.2">
      <c r="A7414" s="30" t="str">
        <f>IF(C7414&amp;G7414&amp;D7414&lt;&gt;'Funnel setup'!$K$3&amp;'Funnel setup'!$K$4&amp;'Funnel setup'!$K$5,".",IF(A7413=".",1,A7413+1))</f>
        <v>.</v>
      </c>
      <c r="B7414" s="431" t="str">
        <f t="shared" si="115"/>
        <v/>
      </c>
      <c r="H7414" s="145"/>
      <c r="I7414" s="145"/>
      <c r="J7414" s="145"/>
      <c r="K7414" s="145"/>
      <c r="L7414" s="145"/>
      <c r="M7414" s="145"/>
      <c r="N7414" s="145"/>
      <c r="O7414" s="145"/>
      <c r="P7414" s="145"/>
      <c r="Q7414" s="145"/>
    </row>
    <row r="7415" spans="1:17" x14ac:dyDescent="0.2">
      <c r="A7415" s="30" t="str">
        <f>IF(C7415&amp;G7415&amp;D7415&lt;&gt;'Funnel setup'!$K$3&amp;'Funnel setup'!$K$4&amp;'Funnel setup'!$K$5,".",IF(A7414=".",1,A7414+1))</f>
        <v>.</v>
      </c>
      <c r="B7415" s="431" t="str">
        <f t="shared" si="115"/>
        <v/>
      </c>
      <c r="H7415" s="145"/>
      <c r="I7415" s="145"/>
      <c r="J7415" s="145"/>
      <c r="K7415" s="145"/>
      <c r="L7415" s="145"/>
      <c r="M7415" s="145"/>
      <c r="N7415" s="145"/>
      <c r="O7415" s="145"/>
      <c r="P7415" s="145"/>
      <c r="Q7415" s="145"/>
    </row>
    <row r="7416" spans="1:17" x14ac:dyDescent="0.2">
      <c r="A7416" s="30" t="str">
        <f>IF(C7416&amp;G7416&amp;D7416&lt;&gt;'Funnel setup'!$K$3&amp;'Funnel setup'!$K$4&amp;'Funnel setup'!$K$5,".",IF(A7415=".",1,A7415+1))</f>
        <v>.</v>
      </c>
      <c r="B7416" s="431" t="str">
        <f t="shared" si="115"/>
        <v/>
      </c>
      <c r="H7416" s="145"/>
      <c r="I7416" s="145"/>
      <c r="J7416" s="145"/>
      <c r="K7416" s="145"/>
      <c r="L7416" s="145"/>
      <c r="M7416" s="145"/>
      <c r="N7416" s="145"/>
      <c r="O7416" s="145"/>
      <c r="P7416" s="145"/>
      <c r="Q7416" s="145"/>
    </row>
    <row r="7417" spans="1:17" x14ac:dyDescent="0.2">
      <c r="A7417" s="30" t="str">
        <f>IF(C7417&amp;G7417&amp;D7417&lt;&gt;'Funnel setup'!$K$3&amp;'Funnel setup'!$K$4&amp;'Funnel setup'!$K$5,".",IF(A7416=".",1,A7416+1))</f>
        <v>.</v>
      </c>
      <c r="B7417" s="431" t="str">
        <f t="shared" si="115"/>
        <v/>
      </c>
      <c r="H7417" s="145"/>
      <c r="I7417" s="145"/>
      <c r="J7417" s="145"/>
      <c r="K7417" s="145"/>
      <c r="L7417" s="145"/>
      <c r="M7417" s="145"/>
      <c r="N7417" s="145"/>
      <c r="O7417" s="145"/>
      <c r="P7417" s="145"/>
      <c r="Q7417" s="145"/>
    </row>
    <row r="7418" spans="1:17" x14ac:dyDescent="0.2">
      <c r="A7418" s="30" t="str">
        <f>IF(C7418&amp;G7418&amp;D7418&lt;&gt;'Funnel setup'!$K$3&amp;'Funnel setup'!$K$4&amp;'Funnel setup'!$K$5,".",IF(A7417=".",1,A7417+1))</f>
        <v>.</v>
      </c>
      <c r="B7418" s="431" t="str">
        <f t="shared" si="115"/>
        <v/>
      </c>
      <c r="H7418" s="145"/>
      <c r="I7418" s="145"/>
      <c r="J7418" s="145"/>
      <c r="K7418" s="145"/>
      <c r="L7418" s="145"/>
      <c r="M7418" s="145"/>
      <c r="N7418" s="145"/>
      <c r="O7418" s="145"/>
      <c r="P7418" s="145"/>
      <c r="Q7418" s="145"/>
    </row>
    <row r="7419" spans="1:17" x14ac:dyDescent="0.2">
      <c r="A7419" s="30" t="str">
        <f>IF(C7419&amp;G7419&amp;D7419&lt;&gt;'Funnel setup'!$K$3&amp;'Funnel setup'!$K$4&amp;'Funnel setup'!$K$5,".",IF(A7418=".",1,A7418+1))</f>
        <v>.</v>
      </c>
      <c r="B7419" s="431" t="str">
        <f t="shared" si="115"/>
        <v/>
      </c>
      <c r="H7419" s="145"/>
      <c r="I7419" s="145"/>
      <c r="J7419" s="145"/>
      <c r="K7419" s="145"/>
      <c r="L7419" s="145"/>
      <c r="M7419" s="145"/>
      <c r="N7419" s="145"/>
      <c r="O7419" s="145"/>
      <c r="P7419" s="145"/>
      <c r="Q7419" s="145"/>
    </row>
    <row r="7420" spans="1:17" x14ac:dyDescent="0.2">
      <c r="A7420" s="30" t="str">
        <f>IF(C7420&amp;G7420&amp;D7420&lt;&gt;'Funnel setup'!$K$3&amp;'Funnel setup'!$K$4&amp;'Funnel setup'!$K$5,".",IF(A7419=".",1,A7419+1))</f>
        <v>.</v>
      </c>
      <c r="B7420" s="431" t="str">
        <f t="shared" si="115"/>
        <v/>
      </c>
      <c r="H7420" s="145"/>
      <c r="I7420" s="145"/>
      <c r="J7420" s="145"/>
      <c r="K7420" s="145"/>
      <c r="L7420" s="145"/>
      <c r="M7420" s="145"/>
      <c r="N7420" s="145"/>
      <c r="O7420" s="145"/>
      <c r="P7420" s="145"/>
      <c r="Q7420" s="145"/>
    </row>
    <row r="7421" spans="1:17" x14ac:dyDescent="0.2">
      <c r="A7421" s="30" t="str">
        <f>IF(C7421&amp;G7421&amp;D7421&lt;&gt;'Funnel setup'!$K$3&amp;'Funnel setup'!$K$4&amp;'Funnel setup'!$K$5,".",IF(A7420=".",1,A7420+1))</f>
        <v>.</v>
      </c>
      <c r="B7421" s="431" t="str">
        <f t="shared" si="115"/>
        <v/>
      </c>
      <c r="H7421" s="145"/>
      <c r="I7421" s="145"/>
      <c r="J7421" s="145"/>
      <c r="K7421" s="145"/>
      <c r="L7421" s="145"/>
      <c r="M7421" s="145"/>
      <c r="N7421" s="145"/>
      <c r="O7421" s="145"/>
      <c r="P7421" s="145"/>
      <c r="Q7421" s="145"/>
    </row>
    <row r="7422" spans="1:17" x14ac:dyDescent="0.2">
      <c r="A7422" s="30" t="str">
        <f>IF(C7422&amp;G7422&amp;D7422&lt;&gt;'Funnel setup'!$K$3&amp;'Funnel setup'!$K$4&amp;'Funnel setup'!$K$5,".",IF(A7421=".",1,A7421+1))</f>
        <v>.</v>
      </c>
      <c r="B7422" s="431" t="str">
        <f t="shared" si="115"/>
        <v/>
      </c>
      <c r="H7422" s="145"/>
      <c r="I7422" s="145"/>
      <c r="J7422" s="145"/>
      <c r="K7422" s="145"/>
      <c r="L7422" s="145"/>
      <c r="M7422" s="145"/>
      <c r="N7422" s="145"/>
      <c r="O7422" s="145"/>
      <c r="P7422" s="145"/>
      <c r="Q7422" s="145"/>
    </row>
    <row r="7423" spans="1:17" x14ac:dyDescent="0.2">
      <c r="A7423" s="30" t="str">
        <f>IF(C7423&amp;G7423&amp;D7423&lt;&gt;'Funnel setup'!$K$3&amp;'Funnel setup'!$K$4&amp;'Funnel setup'!$K$5,".",IF(A7422=".",1,A7422+1))</f>
        <v>.</v>
      </c>
      <c r="B7423" s="431" t="str">
        <f t="shared" si="115"/>
        <v/>
      </c>
      <c r="H7423" s="145"/>
      <c r="I7423" s="145"/>
      <c r="J7423" s="145"/>
      <c r="K7423" s="145"/>
      <c r="L7423" s="145"/>
      <c r="M7423" s="145"/>
      <c r="N7423" s="145"/>
      <c r="O7423" s="145"/>
      <c r="P7423" s="145"/>
      <c r="Q7423" s="145"/>
    </row>
    <row r="7424" spans="1:17" x14ac:dyDescent="0.2">
      <c r="A7424" s="30" t="str">
        <f>IF(C7424&amp;G7424&amp;D7424&lt;&gt;'Funnel setup'!$K$3&amp;'Funnel setup'!$K$4&amp;'Funnel setup'!$K$5,".",IF(A7423=".",1,A7423+1))</f>
        <v>.</v>
      </c>
      <c r="B7424" s="431" t="str">
        <f t="shared" si="115"/>
        <v/>
      </c>
      <c r="H7424" s="145"/>
      <c r="I7424" s="145"/>
      <c r="J7424" s="145"/>
      <c r="K7424" s="145"/>
      <c r="L7424" s="145"/>
      <c r="M7424" s="145"/>
      <c r="N7424" s="145"/>
      <c r="O7424" s="145"/>
      <c r="P7424" s="145"/>
      <c r="Q7424" s="145"/>
    </row>
    <row r="7425" spans="1:17" x14ac:dyDescent="0.2">
      <c r="A7425" s="30" t="str">
        <f>IF(C7425&amp;G7425&amp;D7425&lt;&gt;'Funnel setup'!$K$3&amp;'Funnel setup'!$K$4&amp;'Funnel setup'!$K$5,".",IF(A7424=".",1,A7424+1))</f>
        <v>.</v>
      </c>
      <c r="B7425" s="431" t="str">
        <f t="shared" si="115"/>
        <v/>
      </c>
      <c r="H7425" s="145"/>
      <c r="I7425" s="145"/>
      <c r="J7425" s="145"/>
      <c r="K7425" s="145"/>
      <c r="L7425" s="145"/>
      <c r="M7425" s="145"/>
      <c r="N7425" s="145"/>
      <c r="O7425" s="145"/>
      <c r="P7425" s="145"/>
      <c r="Q7425" s="145"/>
    </row>
    <row r="7426" spans="1:17" x14ac:dyDescent="0.2">
      <c r="A7426" s="30" t="str">
        <f>IF(C7426&amp;G7426&amp;D7426&lt;&gt;'Funnel setup'!$K$3&amp;'Funnel setup'!$K$4&amp;'Funnel setup'!$K$5,".",IF(A7425=".",1,A7425+1))</f>
        <v>.</v>
      </c>
      <c r="B7426" s="431" t="str">
        <f t="shared" si="115"/>
        <v/>
      </c>
      <c r="H7426" s="145"/>
      <c r="I7426" s="145"/>
      <c r="J7426" s="145"/>
      <c r="K7426" s="145"/>
      <c r="L7426" s="145"/>
      <c r="M7426" s="145"/>
      <c r="N7426" s="145"/>
      <c r="O7426" s="145"/>
      <c r="P7426" s="145"/>
      <c r="Q7426" s="145"/>
    </row>
    <row r="7427" spans="1:17" x14ac:dyDescent="0.2">
      <c r="A7427" s="30" t="str">
        <f>IF(C7427&amp;G7427&amp;D7427&lt;&gt;'Funnel setup'!$K$3&amp;'Funnel setup'!$K$4&amp;'Funnel setup'!$K$5,".",IF(A7426=".",1,A7426+1))</f>
        <v>.</v>
      </c>
      <c r="B7427" s="431" t="str">
        <f t="shared" ref="B7427:B7435" si="116">C7427&amp;D7427&amp;F7427&amp;G7427</f>
        <v/>
      </c>
      <c r="H7427" s="145"/>
      <c r="I7427" s="145"/>
      <c r="J7427" s="145"/>
      <c r="K7427" s="145"/>
      <c r="L7427" s="145"/>
      <c r="M7427" s="145"/>
      <c r="N7427" s="145"/>
      <c r="O7427" s="145"/>
      <c r="P7427" s="145"/>
      <c r="Q7427" s="145"/>
    </row>
    <row r="7428" spans="1:17" x14ac:dyDescent="0.2">
      <c r="A7428" s="30" t="str">
        <f>IF(C7428&amp;G7428&amp;D7428&lt;&gt;'Funnel setup'!$K$3&amp;'Funnel setup'!$K$4&amp;'Funnel setup'!$K$5,".",IF(A7427=".",1,A7427+1))</f>
        <v>.</v>
      </c>
      <c r="B7428" s="431" t="str">
        <f t="shared" si="116"/>
        <v/>
      </c>
      <c r="H7428" s="145"/>
      <c r="I7428" s="145"/>
      <c r="J7428" s="145"/>
      <c r="K7428" s="145"/>
      <c r="L7428" s="145"/>
      <c r="M7428" s="145"/>
      <c r="N7428" s="145"/>
      <c r="O7428" s="145"/>
      <c r="P7428" s="145"/>
      <c r="Q7428" s="145"/>
    </row>
    <row r="7429" spans="1:17" x14ac:dyDescent="0.2">
      <c r="A7429" s="30" t="str">
        <f>IF(C7429&amp;G7429&amp;D7429&lt;&gt;'Funnel setup'!$K$3&amp;'Funnel setup'!$K$4&amp;'Funnel setup'!$K$5,".",IF(A7428=".",1,A7428+1))</f>
        <v>.</v>
      </c>
      <c r="B7429" s="431" t="str">
        <f t="shared" si="116"/>
        <v/>
      </c>
      <c r="H7429" s="145"/>
      <c r="I7429" s="145"/>
      <c r="J7429" s="145"/>
      <c r="K7429" s="145"/>
      <c r="L7429" s="145"/>
      <c r="M7429" s="145"/>
      <c r="N7429" s="145"/>
      <c r="O7429" s="145"/>
      <c r="P7429" s="145"/>
      <c r="Q7429" s="145"/>
    </row>
    <row r="7430" spans="1:17" x14ac:dyDescent="0.2">
      <c r="A7430" s="30" t="str">
        <f>IF(C7430&amp;G7430&amp;D7430&lt;&gt;'Funnel setup'!$K$3&amp;'Funnel setup'!$K$4&amp;'Funnel setup'!$K$5,".",IF(A7429=".",1,A7429+1))</f>
        <v>.</v>
      </c>
      <c r="B7430" s="431" t="str">
        <f t="shared" si="116"/>
        <v/>
      </c>
      <c r="H7430" s="145"/>
      <c r="I7430" s="145"/>
      <c r="J7430" s="145"/>
      <c r="K7430" s="145"/>
      <c r="L7430" s="145"/>
      <c r="M7430" s="145"/>
      <c r="N7430" s="145"/>
      <c r="O7430" s="145"/>
      <c r="P7430" s="145"/>
      <c r="Q7430" s="145"/>
    </row>
    <row r="7431" spans="1:17" x14ac:dyDescent="0.2">
      <c r="A7431" s="30" t="str">
        <f>IF(C7431&amp;G7431&amp;D7431&lt;&gt;'Funnel setup'!$K$3&amp;'Funnel setup'!$K$4&amp;'Funnel setup'!$K$5,".",IF(A7430=".",1,A7430+1))</f>
        <v>.</v>
      </c>
      <c r="B7431" s="431" t="str">
        <f t="shared" si="116"/>
        <v/>
      </c>
      <c r="H7431" s="145"/>
      <c r="I7431" s="145"/>
      <c r="J7431" s="145"/>
      <c r="K7431" s="145"/>
      <c r="L7431" s="145"/>
      <c r="M7431" s="145"/>
      <c r="N7431" s="145"/>
      <c r="O7431" s="145"/>
      <c r="P7431" s="145"/>
      <c r="Q7431" s="145"/>
    </row>
    <row r="7432" spans="1:17" x14ac:dyDescent="0.2">
      <c r="A7432" s="30" t="str">
        <f>IF(C7432&amp;G7432&amp;D7432&lt;&gt;'Funnel setup'!$K$3&amp;'Funnel setup'!$K$4&amp;'Funnel setup'!$K$5,".",IF(A7431=".",1,A7431+1))</f>
        <v>.</v>
      </c>
      <c r="B7432" s="431" t="str">
        <f t="shared" si="116"/>
        <v/>
      </c>
      <c r="H7432" s="145"/>
      <c r="I7432" s="145"/>
      <c r="J7432" s="145"/>
      <c r="K7432" s="145"/>
      <c r="L7432" s="145"/>
      <c r="M7432" s="145"/>
      <c r="N7432" s="145"/>
      <c r="O7432" s="145"/>
      <c r="P7432" s="145"/>
      <c r="Q7432" s="145"/>
    </row>
    <row r="7433" spans="1:17" x14ac:dyDescent="0.2">
      <c r="A7433" s="30" t="str">
        <f>IF(C7433&amp;G7433&amp;D7433&lt;&gt;'Funnel setup'!$K$3&amp;'Funnel setup'!$K$4&amp;'Funnel setup'!$K$5,".",IF(A7432=".",1,A7432+1))</f>
        <v>.</v>
      </c>
      <c r="B7433" s="431" t="str">
        <f t="shared" si="116"/>
        <v/>
      </c>
      <c r="H7433" s="145"/>
      <c r="I7433" s="145"/>
      <c r="J7433" s="145"/>
      <c r="K7433" s="145"/>
      <c r="L7433" s="145"/>
      <c r="M7433" s="145"/>
      <c r="N7433" s="145"/>
      <c r="O7433" s="145"/>
      <c r="P7433" s="145"/>
      <c r="Q7433" s="145"/>
    </row>
    <row r="7434" spans="1:17" x14ac:dyDescent="0.2">
      <c r="A7434" s="30" t="str">
        <f>IF(C7434&amp;G7434&amp;D7434&lt;&gt;'Funnel setup'!$K$3&amp;'Funnel setup'!$K$4&amp;'Funnel setup'!$K$5,".",IF(A7433=".",1,A7433+1))</f>
        <v>.</v>
      </c>
      <c r="B7434" s="431" t="str">
        <f t="shared" si="116"/>
        <v/>
      </c>
      <c r="H7434" s="145"/>
      <c r="I7434" s="145"/>
      <c r="J7434" s="145"/>
      <c r="K7434" s="145"/>
      <c r="L7434" s="145"/>
      <c r="M7434" s="145"/>
      <c r="N7434" s="145"/>
      <c r="O7434" s="145"/>
      <c r="P7434" s="145"/>
      <c r="Q7434" s="145"/>
    </row>
    <row r="7435" spans="1:17" x14ac:dyDescent="0.2">
      <c r="A7435" s="30" t="str">
        <f>IF(C7435&amp;G7435&amp;D7435&lt;&gt;'Funnel setup'!$K$3&amp;'Funnel setup'!$K$4&amp;'Funnel setup'!$K$5,".",IF(A7434=".",1,A7434+1))</f>
        <v>.</v>
      </c>
      <c r="B7435" s="431" t="str">
        <f t="shared" si="116"/>
        <v/>
      </c>
      <c r="H7435" s="145"/>
      <c r="I7435" s="145"/>
      <c r="J7435" s="145"/>
      <c r="K7435" s="145"/>
      <c r="L7435" s="145"/>
      <c r="M7435" s="145"/>
      <c r="N7435" s="145"/>
      <c r="O7435" s="145"/>
      <c r="P7435" s="145"/>
      <c r="Q7435" s="145"/>
    </row>
    <row r="7436" spans="1:17" x14ac:dyDescent="0.2">
      <c r="A7436" s="30" t="str">
        <f>IF(C7436&amp;G7436&amp;D7436&lt;&gt;'Funnel setup'!$K$3&amp;'Funnel setup'!$K$4&amp;'Funnel setup'!$K$5,".",IF(A7435=".",1,A7435+1))</f>
        <v>.</v>
      </c>
      <c r="B7436" s="431" t="str">
        <f t="shared" ref="B7436:B7499" si="117">C7436&amp;D7436&amp;F7436&amp;G7436</f>
        <v/>
      </c>
      <c r="H7436" s="145"/>
      <c r="I7436" s="145"/>
      <c r="J7436" s="145"/>
      <c r="K7436" s="145"/>
      <c r="L7436" s="145"/>
      <c r="M7436" s="145"/>
      <c r="N7436" s="145"/>
      <c r="O7436" s="145"/>
      <c r="P7436" s="145"/>
      <c r="Q7436" s="145"/>
    </row>
    <row r="7437" spans="1:17" x14ac:dyDescent="0.2">
      <c r="A7437" s="30" t="str">
        <f>IF(C7437&amp;G7437&amp;D7437&lt;&gt;'Funnel setup'!$K$3&amp;'Funnel setup'!$K$4&amp;'Funnel setup'!$K$5,".",IF(A7436=".",1,A7436+1))</f>
        <v>.</v>
      </c>
      <c r="B7437" s="431" t="str">
        <f t="shared" si="117"/>
        <v/>
      </c>
      <c r="H7437" s="145"/>
      <c r="I7437" s="145"/>
      <c r="J7437" s="145"/>
      <c r="K7437" s="145"/>
      <c r="L7437" s="145"/>
      <c r="M7437" s="145"/>
      <c r="N7437" s="145"/>
      <c r="O7437" s="145"/>
      <c r="P7437" s="145"/>
      <c r="Q7437" s="145"/>
    </row>
    <row r="7438" spans="1:17" x14ac:dyDescent="0.2">
      <c r="A7438" s="30" t="str">
        <f>IF(C7438&amp;G7438&amp;D7438&lt;&gt;'Funnel setup'!$K$3&amp;'Funnel setup'!$K$4&amp;'Funnel setup'!$K$5,".",IF(A7437=".",1,A7437+1))</f>
        <v>.</v>
      </c>
      <c r="B7438" s="431" t="str">
        <f t="shared" si="117"/>
        <v/>
      </c>
      <c r="H7438" s="145"/>
      <c r="I7438" s="145"/>
      <c r="J7438" s="145"/>
      <c r="K7438" s="145"/>
      <c r="L7438" s="145"/>
      <c r="M7438" s="145"/>
      <c r="N7438" s="145"/>
      <c r="O7438" s="145"/>
      <c r="P7438" s="145"/>
      <c r="Q7438" s="145"/>
    </row>
    <row r="7439" spans="1:17" x14ac:dyDescent="0.2">
      <c r="A7439" s="30" t="str">
        <f>IF(C7439&amp;G7439&amp;D7439&lt;&gt;'Funnel setup'!$K$3&amp;'Funnel setup'!$K$4&amp;'Funnel setup'!$K$5,".",IF(A7438=".",1,A7438+1))</f>
        <v>.</v>
      </c>
      <c r="B7439" s="431" t="str">
        <f t="shared" si="117"/>
        <v/>
      </c>
      <c r="H7439" s="145"/>
      <c r="I7439" s="145"/>
      <c r="J7439" s="145"/>
      <c r="K7439" s="145"/>
      <c r="L7439" s="145"/>
      <c r="M7439" s="145"/>
      <c r="N7439" s="145"/>
      <c r="O7439" s="145"/>
      <c r="P7439" s="145"/>
      <c r="Q7439" s="145"/>
    </row>
    <row r="7440" spans="1:17" x14ac:dyDescent="0.2">
      <c r="A7440" s="30" t="str">
        <f>IF(C7440&amp;G7440&amp;D7440&lt;&gt;'Funnel setup'!$K$3&amp;'Funnel setup'!$K$4&amp;'Funnel setup'!$K$5,".",IF(A7439=".",1,A7439+1))</f>
        <v>.</v>
      </c>
      <c r="B7440" s="431" t="str">
        <f t="shared" si="117"/>
        <v/>
      </c>
      <c r="H7440" s="145"/>
      <c r="I7440" s="145"/>
      <c r="J7440" s="145"/>
      <c r="K7440" s="145"/>
      <c r="L7440" s="145"/>
      <c r="M7440" s="145"/>
      <c r="N7440" s="145"/>
      <c r="O7440" s="145"/>
      <c r="P7440" s="145"/>
      <c r="Q7440" s="145"/>
    </row>
    <row r="7441" spans="1:17" x14ac:dyDescent="0.2">
      <c r="A7441" s="30" t="str">
        <f>IF(C7441&amp;G7441&amp;D7441&lt;&gt;'Funnel setup'!$K$3&amp;'Funnel setup'!$K$4&amp;'Funnel setup'!$K$5,".",IF(A7440=".",1,A7440+1))</f>
        <v>.</v>
      </c>
      <c r="B7441" s="431" t="str">
        <f t="shared" si="117"/>
        <v/>
      </c>
      <c r="H7441" s="145"/>
      <c r="I7441" s="145"/>
      <c r="J7441" s="145"/>
      <c r="K7441" s="145"/>
      <c r="L7441" s="145"/>
      <c r="M7441" s="145"/>
      <c r="N7441" s="145"/>
      <c r="O7441" s="145"/>
      <c r="P7441" s="145"/>
      <c r="Q7441" s="145"/>
    </row>
    <row r="7442" spans="1:17" x14ac:dyDescent="0.2">
      <c r="A7442" s="30" t="str">
        <f>IF(C7442&amp;G7442&amp;D7442&lt;&gt;'Funnel setup'!$K$3&amp;'Funnel setup'!$K$4&amp;'Funnel setup'!$K$5,".",IF(A7441=".",1,A7441+1))</f>
        <v>.</v>
      </c>
      <c r="B7442" s="431" t="str">
        <f t="shared" si="117"/>
        <v/>
      </c>
      <c r="H7442" s="145"/>
      <c r="I7442" s="145"/>
      <c r="J7442" s="145"/>
      <c r="K7442" s="145"/>
      <c r="L7442" s="145"/>
      <c r="M7442" s="145"/>
      <c r="N7442" s="145"/>
      <c r="O7442" s="145"/>
      <c r="P7442" s="145"/>
      <c r="Q7442" s="145"/>
    </row>
    <row r="7443" spans="1:17" x14ac:dyDescent="0.2">
      <c r="A7443" s="30" t="str">
        <f>IF(C7443&amp;G7443&amp;D7443&lt;&gt;'Funnel setup'!$K$3&amp;'Funnel setup'!$K$4&amp;'Funnel setup'!$K$5,".",IF(A7442=".",1,A7442+1))</f>
        <v>.</v>
      </c>
      <c r="B7443" s="431" t="str">
        <f t="shared" si="117"/>
        <v/>
      </c>
      <c r="H7443" s="145"/>
      <c r="I7443" s="145"/>
      <c r="J7443" s="145"/>
      <c r="K7443" s="145"/>
      <c r="L7443" s="145"/>
      <c r="M7443" s="145"/>
      <c r="N7443" s="145"/>
      <c r="O7443" s="145"/>
      <c r="P7443" s="145"/>
      <c r="Q7443" s="145"/>
    </row>
    <row r="7444" spans="1:17" x14ac:dyDescent="0.2">
      <c r="A7444" s="30" t="str">
        <f>IF(C7444&amp;G7444&amp;D7444&lt;&gt;'Funnel setup'!$K$3&amp;'Funnel setup'!$K$4&amp;'Funnel setup'!$K$5,".",IF(A7443=".",1,A7443+1))</f>
        <v>.</v>
      </c>
      <c r="B7444" s="431" t="str">
        <f t="shared" si="117"/>
        <v/>
      </c>
      <c r="H7444" s="145"/>
      <c r="I7444" s="145"/>
      <c r="J7444" s="145"/>
      <c r="K7444" s="145"/>
      <c r="L7444" s="145"/>
      <c r="M7444" s="145"/>
      <c r="N7444" s="145"/>
      <c r="O7444" s="145"/>
      <c r="P7444" s="145"/>
      <c r="Q7444" s="145"/>
    </row>
    <row r="7445" spans="1:17" x14ac:dyDescent="0.2">
      <c r="A7445" s="30" t="str">
        <f>IF(C7445&amp;G7445&amp;D7445&lt;&gt;'Funnel setup'!$K$3&amp;'Funnel setup'!$K$4&amp;'Funnel setup'!$K$5,".",IF(A7444=".",1,A7444+1))</f>
        <v>.</v>
      </c>
      <c r="B7445" s="431" t="str">
        <f t="shared" si="117"/>
        <v/>
      </c>
      <c r="H7445" s="145"/>
      <c r="I7445" s="145"/>
      <c r="J7445" s="145"/>
      <c r="K7445" s="145"/>
      <c r="L7445" s="145"/>
      <c r="M7445" s="145"/>
      <c r="N7445" s="145"/>
      <c r="O7445" s="145"/>
      <c r="P7445" s="145"/>
      <c r="Q7445" s="145"/>
    </row>
    <row r="7446" spans="1:17" x14ac:dyDescent="0.2">
      <c r="A7446" s="30" t="str">
        <f>IF(C7446&amp;G7446&amp;D7446&lt;&gt;'Funnel setup'!$K$3&amp;'Funnel setup'!$K$4&amp;'Funnel setup'!$K$5,".",IF(A7445=".",1,A7445+1))</f>
        <v>.</v>
      </c>
      <c r="B7446" s="431" t="str">
        <f t="shared" si="117"/>
        <v/>
      </c>
      <c r="H7446" s="145"/>
      <c r="I7446" s="145"/>
      <c r="J7446" s="145"/>
      <c r="K7446" s="145"/>
      <c r="L7446" s="145"/>
      <c r="M7446" s="145"/>
      <c r="N7446" s="145"/>
      <c r="O7446" s="145"/>
      <c r="P7446" s="145"/>
      <c r="Q7446" s="145"/>
    </row>
    <row r="7447" spans="1:17" x14ac:dyDescent="0.2">
      <c r="A7447" s="30" t="str">
        <f>IF(C7447&amp;G7447&amp;D7447&lt;&gt;'Funnel setup'!$K$3&amp;'Funnel setup'!$K$4&amp;'Funnel setup'!$K$5,".",IF(A7446=".",1,A7446+1))</f>
        <v>.</v>
      </c>
      <c r="B7447" s="431" t="str">
        <f t="shared" si="117"/>
        <v/>
      </c>
      <c r="H7447" s="145"/>
      <c r="I7447" s="145"/>
      <c r="J7447" s="145"/>
      <c r="K7447" s="145"/>
      <c r="L7447" s="145"/>
      <c r="M7447" s="145"/>
      <c r="N7447" s="145"/>
      <c r="O7447" s="145"/>
      <c r="P7447" s="145"/>
      <c r="Q7447" s="145"/>
    </row>
    <row r="7448" spans="1:17" x14ac:dyDescent="0.2">
      <c r="A7448" s="30" t="str">
        <f>IF(C7448&amp;G7448&amp;D7448&lt;&gt;'Funnel setup'!$K$3&amp;'Funnel setup'!$K$4&amp;'Funnel setup'!$K$5,".",IF(A7447=".",1,A7447+1))</f>
        <v>.</v>
      </c>
      <c r="B7448" s="431" t="str">
        <f t="shared" si="117"/>
        <v/>
      </c>
      <c r="H7448" s="145"/>
      <c r="I7448" s="145"/>
      <c r="J7448" s="145"/>
      <c r="K7448" s="145"/>
      <c r="L7448" s="145"/>
      <c r="M7448" s="145"/>
      <c r="N7448" s="145"/>
      <c r="O7448" s="145"/>
      <c r="P7448" s="145"/>
      <c r="Q7448" s="145"/>
    </row>
    <row r="7449" spans="1:17" x14ac:dyDescent="0.2">
      <c r="A7449" s="30" t="str">
        <f>IF(C7449&amp;G7449&amp;D7449&lt;&gt;'Funnel setup'!$K$3&amp;'Funnel setup'!$K$4&amp;'Funnel setup'!$K$5,".",IF(A7448=".",1,A7448+1))</f>
        <v>.</v>
      </c>
      <c r="B7449" s="431" t="str">
        <f t="shared" si="117"/>
        <v/>
      </c>
      <c r="H7449" s="145"/>
      <c r="I7449" s="145"/>
      <c r="J7449" s="145"/>
      <c r="K7449" s="145"/>
      <c r="L7449" s="145"/>
      <c r="M7449" s="145"/>
      <c r="N7449" s="145"/>
      <c r="O7449" s="145"/>
      <c r="P7449" s="145"/>
      <c r="Q7449" s="145"/>
    </row>
    <row r="7450" spans="1:17" x14ac:dyDescent="0.2">
      <c r="A7450" s="30" t="str">
        <f>IF(C7450&amp;G7450&amp;D7450&lt;&gt;'Funnel setup'!$K$3&amp;'Funnel setup'!$K$4&amp;'Funnel setup'!$K$5,".",IF(A7449=".",1,A7449+1))</f>
        <v>.</v>
      </c>
      <c r="B7450" s="431" t="str">
        <f t="shared" si="117"/>
        <v/>
      </c>
      <c r="H7450" s="145"/>
      <c r="I7450" s="145"/>
      <c r="J7450" s="145"/>
      <c r="K7450" s="145"/>
      <c r="L7450" s="145"/>
      <c r="M7450" s="145"/>
      <c r="N7450" s="145"/>
      <c r="O7450" s="145"/>
      <c r="P7450" s="145"/>
      <c r="Q7450" s="145"/>
    </row>
    <row r="7451" spans="1:17" x14ac:dyDescent="0.2">
      <c r="A7451" s="30" t="str">
        <f>IF(C7451&amp;G7451&amp;D7451&lt;&gt;'Funnel setup'!$K$3&amp;'Funnel setup'!$K$4&amp;'Funnel setup'!$K$5,".",IF(A7450=".",1,A7450+1))</f>
        <v>.</v>
      </c>
      <c r="B7451" s="431" t="str">
        <f t="shared" si="117"/>
        <v/>
      </c>
      <c r="H7451" s="145"/>
      <c r="I7451" s="145"/>
      <c r="J7451" s="145"/>
      <c r="K7451" s="145"/>
      <c r="L7451" s="145"/>
      <c r="M7451" s="145"/>
      <c r="N7451" s="145"/>
      <c r="O7451" s="145"/>
      <c r="P7451" s="145"/>
      <c r="Q7451" s="145"/>
    </row>
    <row r="7452" spans="1:17" x14ac:dyDescent="0.2">
      <c r="A7452" s="30" t="str">
        <f>IF(C7452&amp;G7452&amp;D7452&lt;&gt;'Funnel setup'!$K$3&amp;'Funnel setup'!$K$4&amp;'Funnel setup'!$K$5,".",IF(A7451=".",1,A7451+1))</f>
        <v>.</v>
      </c>
      <c r="B7452" s="431" t="str">
        <f t="shared" si="117"/>
        <v/>
      </c>
      <c r="H7452" s="145"/>
      <c r="I7452" s="145"/>
      <c r="J7452" s="145"/>
      <c r="K7452" s="145"/>
      <c r="L7452" s="145"/>
      <c r="M7452" s="145"/>
      <c r="N7452" s="145"/>
      <c r="O7452" s="145"/>
      <c r="P7452" s="145"/>
      <c r="Q7452" s="145"/>
    </row>
    <row r="7453" spans="1:17" x14ac:dyDescent="0.2">
      <c r="A7453" s="30" t="str">
        <f>IF(C7453&amp;G7453&amp;D7453&lt;&gt;'Funnel setup'!$K$3&amp;'Funnel setup'!$K$4&amp;'Funnel setup'!$K$5,".",IF(A7452=".",1,A7452+1))</f>
        <v>.</v>
      </c>
      <c r="B7453" s="431" t="str">
        <f t="shared" si="117"/>
        <v/>
      </c>
      <c r="H7453" s="145"/>
      <c r="I7453" s="145"/>
      <c r="J7453" s="145"/>
      <c r="K7453" s="145"/>
      <c r="L7453" s="145"/>
      <c r="M7453" s="145"/>
      <c r="N7453" s="145"/>
      <c r="O7453" s="145"/>
      <c r="P7453" s="145"/>
      <c r="Q7453" s="145"/>
    </row>
    <row r="7454" spans="1:17" x14ac:dyDescent="0.2">
      <c r="A7454" s="30" t="str">
        <f>IF(C7454&amp;G7454&amp;D7454&lt;&gt;'Funnel setup'!$K$3&amp;'Funnel setup'!$K$4&amp;'Funnel setup'!$K$5,".",IF(A7453=".",1,A7453+1))</f>
        <v>.</v>
      </c>
      <c r="B7454" s="431" t="str">
        <f t="shared" si="117"/>
        <v/>
      </c>
      <c r="H7454" s="145"/>
      <c r="I7454" s="145"/>
      <c r="J7454" s="145"/>
      <c r="K7454" s="145"/>
      <c r="L7454" s="145"/>
      <c r="M7454" s="145"/>
      <c r="N7454" s="145"/>
      <c r="O7454" s="145"/>
      <c r="P7454" s="145"/>
      <c r="Q7454" s="145"/>
    </row>
    <row r="7455" spans="1:17" x14ac:dyDescent="0.2">
      <c r="A7455" s="30" t="str">
        <f>IF(C7455&amp;G7455&amp;D7455&lt;&gt;'Funnel setup'!$K$3&amp;'Funnel setup'!$K$4&amp;'Funnel setup'!$K$5,".",IF(A7454=".",1,A7454+1))</f>
        <v>.</v>
      </c>
      <c r="B7455" s="431" t="str">
        <f t="shared" si="117"/>
        <v/>
      </c>
      <c r="H7455" s="145"/>
      <c r="I7455" s="145"/>
      <c r="J7455" s="145"/>
      <c r="K7455" s="145"/>
      <c r="L7455" s="145"/>
      <c r="M7455" s="145"/>
      <c r="N7455" s="145"/>
      <c r="O7455" s="145"/>
      <c r="P7455" s="145"/>
      <c r="Q7455" s="145"/>
    </row>
    <row r="7456" spans="1:17" x14ac:dyDescent="0.2">
      <c r="A7456" s="30" t="str">
        <f>IF(C7456&amp;G7456&amp;D7456&lt;&gt;'Funnel setup'!$K$3&amp;'Funnel setup'!$K$4&amp;'Funnel setup'!$K$5,".",IF(A7455=".",1,A7455+1))</f>
        <v>.</v>
      </c>
      <c r="B7456" s="431" t="str">
        <f t="shared" si="117"/>
        <v/>
      </c>
      <c r="H7456" s="145"/>
      <c r="I7456" s="145"/>
      <c r="J7456" s="145"/>
      <c r="K7456" s="145"/>
      <c r="L7456" s="145"/>
      <c r="M7456" s="145"/>
      <c r="N7456" s="145"/>
      <c r="O7456" s="145"/>
      <c r="P7456" s="145"/>
      <c r="Q7456" s="145"/>
    </row>
    <row r="7457" spans="1:17" x14ac:dyDescent="0.2">
      <c r="A7457" s="30" t="str">
        <f>IF(C7457&amp;G7457&amp;D7457&lt;&gt;'Funnel setup'!$K$3&amp;'Funnel setup'!$K$4&amp;'Funnel setup'!$K$5,".",IF(A7456=".",1,A7456+1))</f>
        <v>.</v>
      </c>
      <c r="B7457" s="431" t="str">
        <f t="shared" si="117"/>
        <v/>
      </c>
      <c r="H7457" s="145"/>
      <c r="I7457" s="145"/>
      <c r="J7457" s="145"/>
      <c r="K7457" s="145"/>
      <c r="L7457" s="145"/>
      <c r="M7457" s="145"/>
      <c r="N7457" s="145"/>
      <c r="O7457" s="145"/>
      <c r="P7457" s="145"/>
      <c r="Q7457" s="145"/>
    </row>
    <row r="7458" spans="1:17" x14ac:dyDescent="0.2">
      <c r="A7458" s="30" t="str">
        <f>IF(C7458&amp;G7458&amp;D7458&lt;&gt;'Funnel setup'!$K$3&amp;'Funnel setup'!$K$4&amp;'Funnel setup'!$K$5,".",IF(A7457=".",1,A7457+1))</f>
        <v>.</v>
      </c>
      <c r="B7458" s="431" t="str">
        <f t="shared" si="117"/>
        <v/>
      </c>
      <c r="H7458" s="145"/>
      <c r="I7458" s="145"/>
      <c r="J7458" s="145"/>
      <c r="K7458" s="145"/>
      <c r="L7458" s="145"/>
      <c r="M7458" s="145"/>
      <c r="N7458" s="145"/>
      <c r="O7458" s="145"/>
      <c r="P7458" s="145"/>
      <c r="Q7458" s="145"/>
    </row>
    <row r="7459" spans="1:17" x14ac:dyDescent="0.2">
      <c r="A7459" s="30" t="str">
        <f>IF(C7459&amp;G7459&amp;D7459&lt;&gt;'Funnel setup'!$K$3&amp;'Funnel setup'!$K$4&amp;'Funnel setup'!$K$5,".",IF(A7458=".",1,A7458+1))</f>
        <v>.</v>
      </c>
      <c r="B7459" s="431" t="str">
        <f t="shared" si="117"/>
        <v/>
      </c>
      <c r="H7459" s="145"/>
      <c r="I7459" s="145"/>
      <c r="J7459" s="145"/>
      <c r="K7459" s="145"/>
      <c r="L7459" s="145"/>
      <c r="M7459" s="145"/>
      <c r="N7459" s="145"/>
      <c r="O7459" s="145"/>
      <c r="P7459" s="145"/>
      <c r="Q7459" s="145"/>
    </row>
    <row r="7460" spans="1:17" x14ac:dyDescent="0.2">
      <c r="A7460" s="30" t="str">
        <f>IF(C7460&amp;G7460&amp;D7460&lt;&gt;'Funnel setup'!$K$3&amp;'Funnel setup'!$K$4&amp;'Funnel setup'!$K$5,".",IF(A7459=".",1,A7459+1))</f>
        <v>.</v>
      </c>
      <c r="B7460" s="431" t="str">
        <f t="shared" si="117"/>
        <v/>
      </c>
      <c r="H7460" s="145"/>
      <c r="I7460" s="145"/>
      <c r="J7460" s="145"/>
      <c r="K7460" s="145"/>
      <c r="L7460" s="145"/>
      <c r="M7460" s="145"/>
      <c r="N7460" s="145"/>
      <c r="O7460" s="145"/>
      <c r="P7460" s="145"/>
      <c r="Q7460" s="145"/>
    </row>
    <row r="7461" spans="1:17" x14ac:dyDescent="0.2">
      <c r="A7461" s="30" t="str">
        <f>IF(C7461&amp;G7461&amp;D7461&lt;&gt;'Funnel setup'!$K$3&amp;'Funnel setup'!$K$4&amp;'Funnel setup'!$K$5,".",IF(A7460=".",1,A7460+1))</f>
        <v>.</v>
      </c>
      <c r="B7461" s="431" t="str">
        <f t="shared" si="117"/>
        <v/>
      </c>
      <c r="H7461" s="145"/>
      <c r="I7461" s="145"/>
      <c r="J7461" s="145"/>
      <c r="K7461" s="145"/>
      <c r="L7461" s="145"/>
      <c r="M7461" s="145"/>
      <c r="N7461" s="145"/>
      <c r="O7461" s="145"/>
      <c r="P7461" s="145"/>
      <c r="Q7461" s="145"/>
    </row>
    <row r="7462" spans="1:17" x14ac:dyDescent="0.2">
      <c r="A7462" s="30" t="str">
        <f>IF(C7462&amp;G7462&amp;D7462&lt;&gt;'Funnel setup'!$K$3&amp;'Funnel setup'!$K$4&amp;'Funnel setup'!$K$5,".",IF(A7461=".",1,A7461+1))</f>
        <v>.</v>
      </c>
      <c r="B7462" s="431" t="str">
        <f t="shared" si="117"/>
        <v/>
      </c>
      <c r="H7462" s="145"/>
      <c r="I7462" s="145"/>
      <c r="J7462" s="145"/>
      <c r="K7462" s="145"/>
      <c r="L7462" s="145"/>
      <c r="M7462" s="145"/>
      <c r="N7462" s="145"/>
      <c r="O7462" s="145"/>
      <c r="P7462" s="145"/>
      <c r="Q7462" s="145"/>
    </row>
    <row r="7463" spans="1:17" x14ac:dyDescent="0.2">
      <c r="A7463" s="30" t="str">
        <f>IF(C7463&amp;G7463&amp;D7463&lt;&gt;'Funnel setup'!$K$3&amp;'Funnel setup'!$K$4&amp;'Funnel setup'!$K$5,".",IF(A7462=".",1,A7462+1))</f>
        <v>.</v>
      </c>
      <c r="B7463" s="431" t="str">
        <f t="shared" si="117"/>
        <v/>
      </c>
      <c r="H7463" s="145"/>
      <c r="I7463" s="145"/>
      <c r="J7463" s="145"/>
      <c r="K7463" s="145"/>
      <c r="L7463" s="145"/>
      <c r="M7463" s="145"/>
      <c r="N7463" s="145"/>
      <c r="O7463" s="145"/>
      <c r="P7463" s="145"/>
      <c r="Q7463" s="145"/>
    </row>
    <row r="7464" spans="1:17" x14ac:dyDescent="0.2">
      <c r="A7464" s="30" t="str">
        <f>IF(C7464&amp;G7464&amp;D7464&lt;&gt;'Funnel setup'!$K$3&amp;'Funnel setup'!$K$4&amp;'Funnel setup'!$K$5,".",IF(A7463=".",1,A7463+1))</f>
        <v>.</v>
      </c>
      <c r="B7464" s="431" t="str">
        <f t="shared" si="117"/>
        <v/>
      </c>
      <c r="H7464" s="145"/>
      <c r="I7464" s="145"/>
      <c r="J7464" s="145"/>
      <c r="K7464" s="145"/>
      <c r="L7464" s="145"/>
      <c r="M7464" s="145"/>
      <c r="N7464" s="145"/>
      <c r="O7464" s="145"/>
      <c r="P7464" s="145"/>
      <c r="Q7464" s="145"/>
    </row>
    <row r="7465" spans="1:17" x14ac:dyDescent="0.2">
      <c r="A7465" s="30" t="str">
        <f>IF(C7465&amp;G7465&amp;D7465&lt;&gt;'Funnel setup'!$K$3&amp;'Funnel setup'!$K$4&amp;'Funnel setup'!$K$5,".",IF(A7464=".",1,A7464+1))</f>
        <v>.</v>
      </c>
      <c r="B7465" s="431" t="str">
        <f t="shared" si="117"/>
        <v/>
      </c>
      <c r="H7465" s="145"/>
      <c r="I7465" s="145"/>
      <c r="J7465" s="145"/>
      <c r="K7465" s="145"/>
      <c r="L7465" s="145"/>
      <c r="M7465" s="145"/>
      <c r="N7465" s="145"/>
      <c r="O7465" s="145"/>
      <c r="P7465" s="145"/>
      <c r="Q7465" s="145"/>
    </row>
    <row r="7466" spans="1:17" x14ac:dyDescent="0.2">
      <c r="A7466" s="30" t="str">
        <f>IF(C7466&amp;G7466&amp;D7466&lt;&gt;'Funnel setup'!$K$3&amp;'Funnel setup'!$K$4&amp;'Funnel setup'!$K$5,".",IF(A7465=".",1,A7465+1))</f>
        <v>.</v>
      </c>
      <c r="B7466" s="431" t="str">
        <f t="shared" si="117"/>
        <v/>
      </c>
      <c r="H7466" s="145"/>
      <c r="I7466" s="145"/>
      <c r="J7466" s="145"/>
      <c r="K7466" s="145"/>
      <c r="L7466" s="145"/>
      <c r="M7466" s="145"/>
      <c r="N7466" s="145"/>
      <c r="O7466" s="145"/>
      <c r="P7466" s="145"/>
      <c r="Q7466" s="145"/>
    </row>
    <row r="7467" spans="1:17" x14ac:dyDescent="0.2">
      <c r="A7467" s="30" t="str">
        <f>IF(C7467&amp;G7467&amp;D7467&lt;&gt;'Funnel setup'!$K$3&amp;'Funnel setup'!$K$4&amp;'Funnel setup'!$K$5,".",IF(A7466=".",1,A7466+1))</f>
        <v>.</v>
      </c>
      <c r="B7467" s="431" t="str">
        <f t="shared" si="117"/>
        <v/>
      </c>
      <c r="H7467" s="145"/>
      <c r="I7467" s="145"/>
      <c r="J7467" s="145"/>
      <c r="K7467" s="145"/>
      <c r="L7467" s="145"/>
      <c r="M7467" s="145"/>
      <c r="N7467" s="145"/>
      <c r="O7467" s="145"/>
      <c r="P7467" s="145"/>
      <c r="Q7467" s="145"/>
    </row>
    <row r="7468" spans="1:17" x14ac:dyDescent="0.2">
      <c r="A7468" s="30" t="str">
        <f>IF(C7468&amp;G7468&amp;D7468&lt;&gt;'Funnel setup'!$K$3&amp;'Funnel setup'!$K$4&amp;'Funnel setup'!$K$5,".",IF(A7467=".",1,A7467+1))</f>
        <v>.</v>
      </c>
      <c r="B7468" s="431" t="str">
        <f t="shared" si="117"/>
        <v/>
      </c>
      <c r="H7468" s="145"/>
      <c r="I7468" s="145"/>
      <c r="J7468" s="145"/>
      <c r="K7468" s="145"/>
      <c r="L7468" s="145"/>
      <c r="M7468" s="145"/>
      <c r="N7468" s="145"/>
      <c r="O7468" s="145"/>
      <c r="P7468" s="145"/>
      <c r="Q7468" s="145"/>
    </row>
    <row r="7469" spans="1:17" x14ac:dyDescent="0.2">
      <c r="A7469" s="30" t="str">
        <f>IF(C7469&amp;G7469&amp;D7469&lt;&gt;'Funnel setup'!$K$3&amp;'Funnel setup'!$K$4&amp;'Funnel setup'!$K$5,".",IF(A7468=".",1,A7468+1))</f>
        <v>.</v>
      </c>
      <c r="B7469" s="431" t="str">
        <f t="shared" si="117"/>
        <v/>
      </c>
      <c r="H7469" s="145"/>
      <c r="I7469" s="145"/>
      <c r="J7469" s="145"/>
      <c r="K7469" s="145"/>
      <c r="L7469" s="145"/>
      <c r="M7469" s="145"/>
      <c r="N7469" s="145"/>
      <c r="O7469" s="145"/>
      <c r="P7469" s="145"/>
      <c r="Q7469" s="145"/>
    </row>
    <row r="7470" spans="1:17" x14ac:dyDescent="0.2">
      <c r="A7470" s="30" t="str">
        <f>IF(C7470&amp;G7470&amp;D7470&lt;&gt;'Funnel setup'!$K$3&amp;'Funnel setup'!$K$4&amp;'Funnel setup'!$K$5,".",IF(A7469=".",1,A7469+1))</f>
        <v>.</v>
      </c>
      <c r="B7470" s="431" t="str">
        <f t="shared" si="117"/>
        <v/>
      </c>
      <c r="H7470" s="145"/>
      <c r="I7470" s="145"/>
      <c r="J7470" s="145"/>
      <c r="K7470" s="145"/>
      <c r="L7470" s="145"/>
      <c r="M7470" s="145"/>
      <c r="N7470" s="145"/>
      <c r="O7470" s="145"/>
      <c r="P7470" s="145"/>
      <c r="Q7470" s="145"/>
    </row>
    <row r="7471" spans="1:17" x14ac:dyDescent="0.2">
      <c r="A7471" s="30" t="str">
        <f>IF(C7471&amp;G7471&amp;D7471&lt;&gt;'Funnel setup'!$K$3&amp;'Funnel setup'!$K$4&amp;'Funnel setup'!$K$5,".",IF(A7470=".",1,A7470+1))</f>
        <v>.</v>
      </c>
      <c r="B7471" s="431" t="str">
        <f t="shared" si="117"/>
        <v/>
      </c>
      <c r="H7471" s="145"/>
      <c r="I7471" s="145"/>
      <c r="J7471" s="145"/>
      <c r="K7471" s="145"/>
      <c r="L7471" s="145"/>
      <c r="M7471" s="145"/>
      <c r="N7471" s="145"/>
      <c r="O7471" s="145"/>
      <c r="P7471" s="145"/>
      <c r="Q7471" s="145"/>
    </row>
    <row r="7472" spans="1:17" x14ac:dyDescent="0.2">
      <c r="A7472" s="30" t="str">
        <f>IF(C7472&amp;G7472&amp;D7472&lt;&gt;'Funnel setup'!$K$3&amp;'Funnel setup'!$K$4&amp;'Funnel setup'!$K$5,".",IF(A7471=".",1,A7471+1))</f>
        <v>.</v>
      </c>
      <c r="B7472" s="431" t="str">
        <f t="shared" si="117"/>
        <v/>
      </c>
      <c r="H7472" s="145"/>
      <c r="I7472" s="145"/>
      <c r="J7472" s="145"/>
      <c r="K7472" s="145"/>
      <c r="L7472" s="145"/>
      <c r="M7472" s="145"/>
      <c r="N7472" s="145"/>
      <c r="O7472" s="145"/>
      <c r="P7472" s="145"/>
      <c r="Q7472" s="145"/>
    </row>
    <row r="7473" spans="1:17" x14ac:dyDescent="0.2">
      <c r="A7473" s="30" t="str">
        <f>IF(C7473&amp;G7473&amp;D7473&lt;&gt;'Funnel setup'!$K$3&amp;'Funnel setup'!$K$4&amp;'Funnel setup'!$K$5,".",IF(A7472=".",1,A7472+1))</f>
        <v>.</v>
      </c>
      <c r="B7473" s="431" t="str">
        <f t="shared" si="117"/>
        <v/>
      </c>
      <c r="H7473" s="145"/>
      <c r="I7473" s="145"/>
      <c r="J7473" s="145"/>
      <c r="K7473" s="145"/>
      <c r="L7473" s="145"/>
      <c r="M7473" s="145"/>
      <c r="N7473" s="145"/>
      <c r="O7473" s="145"/>
      <c r="P7473" s="145"/>
      <c r="Q7473" s="145"/>
    </row>
    <row r="7474" spans="1:17" x14ac:dyDescent="0.2">
      <c r="A7474" s="30" t="str">
        <f>IF(C7474&amp;G7474&amp;D7474&lt;&gt;'Funnel setup'!$K$3&amp;'Funnel setup'!$K$4&amp;'Funnel setup'!$K$5,".",IF(A7473=".",1,A7473+1))</f>
        <v>.</v>
      </c>
      <c r="B7474" s="431" t="str">
        <f t="shared" si="117"/>
        <v/>
      </c>
      <c r="H7474" s="145"/>
      <c r="I7474" s="145"/>
      <c r="J7474" s="145"/>
      <c r="K7474" s="145"/>
      <c r="L7474" s="145"/>
      <c r="M7474" s="145"/>
      <c r="N7474" s="145"/>
      <c r="O7474" s="145"/>
      <c r="P7474" s="145"/>
      <c r="Q7474" s="145"/>
    </row>
    <row r="7475" spans="1:17" x14ac:dyDescent="0.2">
      <c r="A7475" s="30" t="str">
        <f>IF(C7475&amp;G7475&amp;D7475&lt;&gt;'Funnel setup'!$K$3&amp;'Funnel setup'!$K$4&amp;'Funnel setup'!$K$5,".",IF(A7474=".",1,A7474+1))</f>
        <v>.</v>
      </c>
      <c r="B7475" s="431" t="str">
        <f t="shared" si="117"/>
        <v/>
      </c>
      <c r="H7475" s="145"/>
      <c r="I7475" s="145"/>
      <c r="J7475" s="145"/>
      <c r="K7475" s="145"/>
      <c r="L7475" s="145"/>
      <c r="M7475" s="145"/>
      <c r="N7475" s="145"/>
      <c r="O7475" s="145"/>
      <c r="P7475" s="145"/>
      <c r="Q7475" s="145"/>
    </row>
    <row r="7476" spans="1:17" x14ac:dyDescent="0.2">
      <c r="A7476" s="30" t="str">
        <f>IF(C7476&amp;G7476&amp;D7476&lt;&gt;'Funnel setup'!$K$3&amp;'Funnel setup'!$K$4&amp;'Funnel setup'!$K$5,".",IF(A7475=".",1,A7475+1))</f>
        <v>.</v>
      </c>
      <c r="B7476" s="431" t="str">
        <f t="shared" si="117"/>
        <v/>
      </c>
      <c r="H7476" s="145"/>
      <c r="I7476" s="145"/>
      <c r="J7476" s="145"/>
      <c r="K7476" s="145"/>
      <c r="L7476" s="145"/>
      <c r="M7476" s="145"/>
      <c r="N7476" s="145"/>
      <c r="O7476" s="145"/>
      <c r="P7476" s="145"/>
      <c r="Q7476" s="145"/>
    </row>
    <row r="7477" spans="1:17" x14ac:dyDescent="0.2">
      <c r="A7477" s="30" t="str">
        <f>IF(C7477&amp;G7477&amp;D7477&lt;&gt;'Funnel setup'!$K$3&amp;'Funnel setup'!$K$4&amp;'Funnel setup'!$K$5,".",IF(A7476=".",1,A7476+1))</f>
        <v>.</v>
      </c>
      <c r="B7477" s="431" t="str">
        <f t="shared" si="117"/>
        <v/>
      </c>
      <c r="H7477" s="145"/>
      <c r="I7477" s="145"/>
      <c r="J7477" s="145"/>
      <c r="K7477" s="145"/>
      <c r="L7477" s="145"/>
      <c r="M7477" s="145"/>
      <c r="N7477" s="145"/>
      <c r="O7477" s="145"/>
      <c r="P7477" s="145"/>
      <c r="Q7477" s="145"/>
    </row>
    <row r="7478" spans="1:17" x14ac:dyDescent="0.2">
      <c r="A7478" s="30" t="str">
        <f>IF(C7478&amp;G7478&amp;D7478&lt;&gt;'Funnel setup'!$K$3&amp;'Funnel setup'!$K$4&amp;'Funnel setup'!$K$5,".",IF(A7477=".",1,A7477+1))</f>
        <v>.</v>
      </c>
      <c r="B7478" s="431" t="str">
        <f t="shared" si="117"/>
        <v/>
      </c>
      <c r="H7478" s="145"/>
      <c r="I7478" s="145"/>
      <c r="J7478" s="145"/>
      <c r="K7478" s="145"/>
      <c r="L7478" s="145"/>
      <c r="M7478" s="145"/>
      <c r="N7478" s="145"/>
      <c r="O7478" s="145"/>
      <c r="P7478" s="145"/>
      <c r="Q7478" s="145"/>
    </row>
    <row r="7479" spans="1:17" x14ac:dyDescent="0.2">
      <c r="A7479" s="30" t="str">
        <f>IF(C7479&amp;G7479&amp;D7479&lt;&gt;'Funnel setup'!$K$3&amp;'Funnel setup'!$K$4&amp;'Funnel setup'!$K$5,".",IF(A7478=".",1,A7478+1))</f>
        <v>.</v>
      </c>
      <c r="B7479" s="431" t="str">
        <f t="shared" si="117"/>
        <v/>
      </c>
      <c r="H7479" s="145"/>
      <c r="I7479" s="145"/>
      <c r="J7479" s="145"/>
      <c r="K7479" s="145"/>
      <c r="L7479" s="145"/>
      <c r="M7479" s="145"/>
      <c r="N7479" s="145"/>
      <c r="O7479" s="145"/>
      <c r="P7479" s="145"/>
      <c r="Q7479" s="145"/>
    </row>
    <row r="7480" spans="1:17" x14ac:dyDescent="0.2">
      <c r="A7480" s="30" t="str">
        <f>IF(C7480&amp;G7480&amp;D7480&lt;&gt;'Funnel setup'!$K$3&amp;'Funnel setup'!$K$4&amp;'Funnel setup'!$K$5,".",IF(A7479=".",1,A7479+1))</f>
        <v>.</v>
      </c>
      <c r="B7480" s="431" t="str">
        <f t="shared" si="117"/>
        <v/>
      </c>
      <c r="H7480" s="145"/>
      <c r="I7480" s="145"/>
      <c r="J7480" s="145"/>
      <c r="K7480" s="145"/>
      <c r="L7480" s="145"/>
      <c r="M7480" s="145"/>
      <c r="N7480" s="145"/>
      <c r="O7480" s="145"/>
      <c r="P7480" s="145"/>
      <c r="Q7480" s="145"/>
    </row>
    <row r="7481" spans="1:17" x14ac:dyDescent="0.2">
      <c r="A7481" s="30" t="str">
        <f>IF(C7481&amp;G7481&amp;D7481&lt;&gt;'Funnel setup'!$K$3&amp;'Funnel setup'!$K$4&amp;'Funnel setup'!$K$5,".",IF(A7480=".",1,A7480+1))</f>
        <v>.</v>
      </c>
      <c r="B7481" s="431" t="str">
        <f t="shared" si="117"/>
        <v/>
      </c>
      <c r="H7481" s="145"/>
      <c r="I7481" s="145"/>
      <c r="J7481" s="145"/>
      <c r="K7481" s="145"/>
      <c r="L7481" s="145"/>
      <c r="M7481" s="145"/>
      <c r="N7481" s="145"/>
      <c r="O7481" s="145"/>
      <c r="P7481" s="145"/>
      <c r="Q7481" s="145"/>
    </row>
    <row r="7482" spans="1:17" x14ac:dyDescent="0.2">
      <c r="A7482" s="30" t="str">
        <f>IF(C7482&amp;G7482&amp;D7482&lt;&gt;'Funnel setup'!$K$3&amp;'Funnel setup'!$K$4&amp;'Funnel setup'!$K$5,".",IF(A7481=".",1,A7481+1))</f>
        <v>.</v>
      </c>
      <c r="B7482" s="431" t="str">
        <f t="shared" si="117"/>
        <v/>
      </c>
      <c r="H7482" s="145"/>
      <c r="I7482" s="145"/>
      <c r="J7482" s="145"/>
      <c r="K7482" s="145"/>
      <c r="L7482" s="145"/>
      <c r="M7482" s="145"/>
      <c r="N7482" s="145"/>
      <c r="O7482" s="145"/>
      <c r="P7482" s="145"/>
      <c r="Q7482" s="145"/>
    </row>
    <row r="7483" spans="1:17" x14ac:dyDescent="0.2">
      <c r="A7483" s="30" t="str">
        <f>IF(C7483&amp;G7483&amp;D7483&lt;&gt;'Funnel setup'!$K$3&amp;'Funnel setup'!$K$4&amp;'Funnel setup'!$K$5,".",IF(A7482=".",1,A7482+1))</f>
        <v>.</v>
      </c>
      <c r="B7483" s="431" t="str">
        <f t="shared" si="117"/>
        <v/>
      </c>
      <c r="H7483" s="145"/>
      <c r="I7483" s="145"/>
      <c r="J7483" s="145"/>
      <c r="K7483" s="145"/>
      <c r="L7483" s="145"/>
      <c r="M7483" s="145"/>
      <c r="N7483" s="145"/>
      <c r="O7483" s="145"/>
      <c r="P7483" s="145"/>
      <c r="Q7483" s="145"/>
    </row>
    <row r="7484" spans="1:17" x14ac:dyDescent="0.2">
      <c r="A7484" s="30" t="str">
        <f>IF(C7484&amp;G7484&amp;D7484&lt;&gt;'Funnel setup'!$K$3&amp;'Funnel setup'!$K$4&amp;'Funnel setup'!$K$5,".",IF(A7483=".",1,A7483+1))</f>
        <v>.</v>
      </c>
      <c r="B7484" s="431" t="str">
        <f t="shared" si="117"/>
        <v/>
      </c>
      <c r="H7484" s="145"/>
      <c r="I7484" s="145"/>
      <c r="J7484" s="145"/>
      <c r="K7484" s="145"/>
      <c r="L7484" s="145"/>
      <c r="M7484" s="145"/>
      <c r="N7484" s="145"/>
      <c r="O7484" s="145"/>
      <c r="P7484" s="145"/>
      <c r="Q7484" s="145"/>
    </row>
    <row r="7485" spans="1:17" x14ac:dyDescent="0.2">
      <c r="A7485" s="30" t="str">
        <f>IF(C7485&amp;G7485&amp;D7485&lt;&gt;'Funnel setup'!$K$3&amp;'Funnel setup'!$K$4&amp;'Funnel setup'!$K$5,".",IF(A7484=".",1,A7484+1))</f>
        <v>.</v>
      </c>
      <c r="B7485" s="431" t="str">
        <f t="shared" si="117"/>
        <v/>
      </c>
      <c r="H7485" s="145"/>
      <c r="I7485" s="145"/>
      <c r="J7485" s="145"/>
      <c r="K7485" s="145"/>
      <c r="L7485" s="145"/>
      <c r="M7485" s="145"/>
      <c r="N7485" s="145"/>
      <c r="O7485" s="145"/>
      <c r="P7485" s="145"/>
      <c r="Q7485" s="145"/>
    </row>
    <row r="7486" spans="1:17" x14ac:dyDescent="0.2">
      <c r="A7486" s="30" t="str">
        <f>IF(C7486&amp;G7486&amp;D7486&lt;&gt;'Funnel setup'!$K$3&amp;'Funnel setup'!$K$4&amp;'Funnel setup'!$K$5,".",IF(A7485=".",1,A7485+1))</f>
        <v>.</v>
      </c>
      <c r="B7486" s="431" t="str">
        <f t="shared" si="117"/>
        <v/>
      </c>
      <c r="H7486" s="145"/>
      <c r="I7486" s="145"/>
      <c r="J7486" s="145"/>
      <c r="K7486" s="145"/>
      <c r="L7486" s="145"/>
      <c r="M7486" s="145"/>
      <c r="N7486" s="145"/>
      <c r="O7486" s="145"/>
      <c r="P7486" s="145"/>
      <c r="Q7486" s="145"/>
    </row>
    <row r="7487" spans="1:17" x14ac:dyDescent="0.2">
      <c r="A7487" s="30" t="str">
        <f>IF(C7487&amp;G7487&amp;D7487&lt;&gt;'Funnel setup'!$K$3&amp;'Funnel setup'!$K$4&amp;'Funnel setup'!$K$5,".",IF(A7486=".",1,A7486+1))</f>
        <v>.</v>
      </c>
      <c r="B7487" s="431" t="str">
        <f t="shared" si="117"/>
        <v/>
      </c>
      <c r="H7487" s="145"/>
      <c r="I7487" s="145"/>
      <c r="J7487" s="145"/>
      <c r="K7487" s="145"/>
      <c r="L7487" s="145"/>
      <c r="M7487" s="145"/>
      <c r="N7487" s="145"/>
      <c r="O7487" s="145"/>
      <c r="P7487" s="145"/>
      <c r="Q7487" s="145"/>
    </row>
    <row r="7488" spans="1:17" x14ac:dyDescent="0.2">
      <c r="A7488" s="30" t="str">
        <f>IF(C7488&amp;G7488&amp;D7488&lt;&gt;'Funnel setup'!$K$3&amp;'Funnel setup'!$K$4&amp;'Funnel setup'!$K$5,".",IF(A7487=".",1,A7487+1))</f>
        <v>.</v>
      </c>
      <c r="B7488" s="431" t="str">
        <f t="shared" si="117"/>
        <v/>
      </c>
      <c r="H7488" s="145"/>
      <c r="I7488" s="145"/>
      <c r="J7488" s="145"/>
      <c r="K7488" s="145"/>
      <c r="L7488" s="145"/>
      <c r="M7488" s="145"/>
      <c r="N7488" s="145"/>
      <c r="O7488" s="145"/>
      <c r="P7488" s="145"/>
      <c r="Q7488" s="145"/>
    </row>
    <row r="7489" spans="1:17" x14ac:dyDescent="0.2">
      <c r="A7489" s="30" t="str">
        <f>IF(C7489&amp;G7489&amp;D7489&lt;&gt;'Funnel setup'!$K$3&amp;'Funnel setup'!$K$4&amp;'Funnel setup'!$K$5,".",IF(A7488=".",1,A7488+1))</f>
        <v>.</v>
      </c>
      <c r="B7489" s="431" t="str">
        <f t="shared" si="117"/>
        <v/>
      </c>
      <c r="H7489" s="145"/>
      <c r="I7489" s="145"/>
      <c r="J7489" s="145"/>
      <c r="K7489" s="145"/>
      <c r="L7489" s="145"/>
      <c r="M7489" s="145"/>
      <c r="N7489" s="145"/>
      <c r="O7489" s="145"/>
      <c r="P7489" s="145"/>
      <c r="Q7489" s="145"/>
    </row>
    <row r="7490" spans="1:17" x14ac:dyDescent="0.2">
      <c r="A7490" s="30" t="str">
        <f>IF(C7490&amp;G7490&amp;D7490&lt;&gt;'Funnel setup'!$K$3&amp;'Funnel setup'!$K$4&amp;'Funnel setup'!$K$5,".",IF(A7489=".",1,A7489+1))</f>
        <v>.</v>
      </c>
      <c r="B7490" s="431" t="str">
        <f t="shared" si="117"/>
        <v/>
      </c>
      <c r="H7490" s="145"/>
      <c r="I7490" s="145"/>
      <c r="J7490" s="145"/>
      <c r="K7490" s="145"/>
      <c r="L7490" s="145"/>
      <c r="M7490" s="145"/>
      <c r="N7490" s="145"/>
      <c r="O7490" s="145"/>
      <c r="P7490" s="145"/>
      <c r="Q7490" s="145"/>
    </row>
    <row r="7491" spans="1:17" x14ac:dyDescent="0.2">
      <c r="A7491" s="30" t="str">
        <f>IF(C7491&amp;G7491&amp;D7491&lt;&gt;'Funnel setup'!$K$3&amp;'Funnel setup'!$K$4&amp;'Funnel setup'!$K$5,".",IF(A7490=".",1,A7490+1))</f>
        <v>.</v>
      </c>
      <c r="B7491" s="431" t="str">
        <f t="shared" si="117"/>
        <v/>
      </c>
      <c r="H7491" s="145"/>
      <c r="I7491" s="145"/>
      <c r="J7491" s="145"/>
      <c r="K7491" s="145"/>
      <c r="L7491" s="145"/>
      <c r="M7491" s="145"/>
      <c r="N7491" s="145"/>
      <c r="O7491" s="145"/>
      <c r="P7491" s="145"/>
      <c r="Q7491" s="145"/>
    </row>
    <row r="7492" spans="1:17" x14ac:dyDescent="0.2">
      <c r="A7492" s="30" t="str">
        <f>IF(C7492&amp;G7492&amp;D7492&lt;&gt;'Funnel setup'!$K$3&amp;'Funnel setup'!$K$4&amp;'Funnel setup'!$K$5,".",IF(A7491=".",1,A7491+1))</f>
        <v>.</v>
      </c>
      <c r="B7492" s="431" t="str">
        <f t="shared" si="117"/>
        <v/>
      </c>
      <c r="H7492" s="145"/>
      <c r="I7492" s="145"/>
      <c r="J7492" s="145"/>
      <c r="K7492" s="145"/>
      <c r="L7492" s="145"/>
      <c r="M7492" s="145"/>
      <c r="N7492" s="145"/>
      <c r="O7492" s="145"/>
      <c r="P7492" s="145"/>
      <c r="Q7492" s="145"/>
    </row>
    <row r="7493" spans="1:17" x14ac:dyDescent="0.2">
      <c r="A7493" s="30" t="str">
        <f>IF(C7493&amp;G7493&amp;D7493&lt;&gt;'Funnel setup'!$K$3&amp;'Funnel setup'!$K$4&amp;'Funnel setup'!$K$5,".",IF(A7492=".",1,A7492+1))</f>
        <v>.</v>
      </c>
      <c r="B7493" s="431" t="str">
        <f t="shared" si="117"/>
        <v/>
      </c>
      <c r="H7493" s="145"/>
      <c r="I7493" s="145"/>
      <c r="J7493" s="145"/>
      <c r="K7493" s="145"/>
      <c r="L7493" s="145"/>
      <c r="M7493" s="145"/>
      <c r="N7493" s="145"/>
      <c r="O7493" s="145"/>
      <c r="P7493" s="145"/>
      <c r="Q7493" s="145"/>
    </row>
    <row r="7494" spans="1:17" x14ac:dyDescent="0.2">
      <c r="A7494" s="30" t="str">
        <f>IF(C7494&amp;G7494&amp;D7494&lt;&gt;'Funnel setup'!$K$3&amp;'Funnel setup'!$K$4&amp;'Funnel setup'!$K$5,".",IF(A7493=".",1,A7493+1))</f>
        <v>.</v>
      </c>
      <c r="B7494" s="431" t="str">
        <f t="shared" si="117"/>
        <v/>
      </c>
      <c r="H7494" s="145"/>
      <c r="I7494" s="145"/>
      <c r="J7494" s="145"/>
      <c r="K7494" s="145"/>
      <c r="L7494" s="145"/>
      <c r="M7494" s="145"/>
      <c r="N7494" s="145"/>
      <c r="O7494" s="145"/>
      <c r="P7494" s="145"/>
      <c r="Q7494" s="145"/>
    </row>
    <row r="7495" spans="1:17" x14ac:dyDescent="0.2">
      <c r="A7495" s="30" t="str">
        <f>IF(C7495&amp;G7495&amp;D7495&lt;&gt;'Funnel setup'!$K$3&amp;'Funnel setup'!$K$4&amp;'Funnel setup'!$K$5,".",IF(A7494=".",1,A7494+1))</f>
        <v>.</v>
      </c>
      <c r="B7495" s="431" t="str">
        <f t="shared" si="117"/>
        <v/>
      </c>
      <c r="H7495" s="145"/>
      <c r="I7495" s="145"/>
      <c r="J7495" s="145"/>
      <c r="K7495" s="145"/>
      <c r="L7495" s="145"/>
      <c r="M7495" s="145"/>
      <c r="N7495" s="145"/>
      <c r="O7495" s="145"/>
      <c r="P7495" s="145"/>
      <c r="Q7495" s="145"/>
    </row>
    <row r="7496" spans="1:17" x14ac:dyDescent="0.2">
      <c r="A7496" s="30" t="str">
        <f>IF(C7496&amp;G7496&amp;D7496&lt;&gt;'Funnel setup'!$K$3&amp;'Funnel setup'!$K$4&amp;'Funnel setup'!$K$5,".",IF(A7495=".",1,A7495+1))</f>
        <v>.</v>
      </c>
      <c r="B7496" s="431" t="str">
        <f t="shared" si="117"/>
        <v/>
      </c>
      <c r="H7496" s="145"/>
      <c r="I7496" s="145"/>
      <c r="J7496" s="145"/>
      <c r="K7496" s="145"/>
      <c r="L7496" s="145"/>
      <c r="M7496" s="145"/>
      <c r="N7496" s="145"/>
      <c r="O7496" s="145"/>
      <c r="P7496" s="145"/>
      <c r="Q7496" s="145"/>
    </row>
    <row r="7497" spans="1:17" x14ac:dyDescent="0.2">
      <c r="A7497" s="30" t="str">
        <f>IF(C7497&amp;G7497&amp;D7497&lt;&gt;'Funnel setup'!$K$3&amp;'Funnel setup'!$K$4&amp;'Funnel setup'!$K$5,".",IF(A7496=".",1,A7496+1))</f>
        <v>.</v>
      </c>
      <c r="B7497" s="431" t="str">
        <f t="shared" si="117"/>
        <v/>
      </c>
      <c r="H7497" s="145"/>
      <c r="I7497" s="145"/>
      <c r="J7497" s="145"/>
      <c r="K7497" s="145"/>
      <c r="L7497" s="145"/>
      <c r="M7497" s="145"/>
      <c r="N7497" s="145"/>
      <c r="O7497" s="145"/>
      <c r="P7497" s="145"/>
      <c r="Q7497" s="145"/>
    </row>
    <row r="7498" spans="1:17" x14ac:dyDescent="0.2">
      <c r="A7498" s="30" t="str">
        <f>IF(C7498&amp;G7498&amp;D7498&lt;&gt;'Funnel setup'!$K$3&amp;'Funnel setup'!$K$4&amp;'Funnel setup'!$K$5,".",IF(A7497=".",1,A7497+1))</f>
        <v>.</v>
      </c>
      <c r="B7498" s="431" t="str">
        <f t="shared" si="117"/>
        <v/>
      </c>
      <c r="H7498" s="145"/>
      <c r="I7498" s="145"/>
      <c r="J7498" s="145"/>
      <c r="K7498" s="145"/>
      <c r="L7498" s="145"/>
      <c r="M7498" s="145"/>
      <c r="N7498" s="145"/>
      <c r="O7498" s="145"/>
      <c r="P7498" s="145"/>
      <c r="Q7498" s="145"/>
    </row>
    <row r="7499" spans="1:17" x14ac:dyDescent="0.2">
      <c r="A7499" s="30" t="str">
        <f>IF(C7499&amp;G7499&amp;D7499&lt;&gt;'Funnel setup'!$K$3&amp;'Funnel setup'!$K$4&amp;'Funnel setup'!$K$5,".",IF(A7498=".",1,A7498+1))</f>
        <v>.</v>
      </c>
      <c r="B7499" s="431" t="str">
        <f t="shared" si="117"/>
        <v/>
      </c>
      <c r="H7499" s="145"/>
      <c r="I7499" s="145"/>
      <c r="J7499" s="145"/>
      <c r="K7499" s="145"/>
      <c r="L7499" s="145"/>
      <c r="M7499" s="145"/>
      <c r="N7499" s="145"/>
      <c r="O7499" s="145"/>
      <c r="P7499" s="145"/>
      <c r="Q7499" s="145"/>
    </row>
    <row r="7500" spans="1:17" x14ac:dyDescent="0.2">
      <c r="A7500" s="30" t="str">
        <f>IF(C7500&amp;G7500&amp;D7500&lt;&gt;'Funnel setup'!$K$3&amp;'Funnel setup'!$K$4&amp;'Funnel setup'!$K$5,".",IF(A7499=".",1,A7499+1))</f>
        <v>.</v>
      </c>
      <c r="B7500" s="431" t="str">
        <f t="shared" ref="B7500:B7501" si="118">C7500&amp;D7500&amp;F7500&amp;G7500</f>
        <v/>
      </c>
      <c r="H7500" s="145"/>
      <c r="I7500" s="145"/>
      <c r="J7500" s="145"/>
      <c r="K7500" s="145"/>
      <c r="L7500" s="145"/>
      <c r="M7500" s="145"/>
      <c r="N7500" s="145"/>
      <c r="O7500" s="145"/>
      <c r="P7500" s="145"/>
      <c r="Q7500" s="145"/>
    </row>
    <row r="7501" spans="1:17" x14ac:dyDescent="0.2">
      <c r="A7501" s="30" t="str">
        <f>IF(C7501&amp;G7501&amp;D7501&lt;&gt;'Funnel setup'!$K$3&amp;'Funnel setup'!$K$4&amp;'Funnel setup'!$K$5,".",IF(A7500=".",1,A7500+1))</f>
        <v>.</v>
      </c>
      <c r="B7501" s="431" t="str">
        <f t="shared" si="118"/>
        <v/>
      </c>
      <c r="H7501" s="145"/>
      <c r="I7501" s="145"/>
      <c r="J7501" s="145"/>
      <c r="K7501" s="145"/>
      <c r="L7501" s="145"/>
      <c r="M7501" s="145"/>
      <c r="N7501" s="145"/>
      <c r="O7501" s="145"/>
      <c r="P7501" s="145"/>
      <c r="Q7501" s="145"/>
    </row>
  </sheetData>
  <sortState ref="C2:Q7388">
    <sortCondition ref="C2:C7388"/>
    <sortCondition ref="D2:D7388"/>
    <sortCondition ref="G2:G7388"/>
    <sortCondition ref="F2:F7388"/>
  </sortState>
  <phoneticPr fontId="10" type="noConversion"/>
  <conditionalFormatting sqref="A1:A1048576">
    <cfRule type="cellIs" dxfId="9" priority="5" operator="equal">
      <formula>"."</formula>
    </cfRule>
  </conditionalFormatting>
  <conditionalFormatting sqref="B1:B1048576">
    <cfRule type="cellIs" dxfId="8" priority="6" operator="notEqual">
      <formula>""</formula>
    </cfRule>
  </conditionalFormatting>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13"/>
  </sheetPr>
  <dimension ref="A1:P422"/>
  <sheetViews>
    <sheetView showGridLines="0" zoomScaleNormal="100" workbookViewId="0">
      <selection activeCell="E31" sqref="E31"/>
    </sheetView>
  </sheetViews>
  <sheetFormatPr defaultRowHeight="12.75" x14ac:dyDescent="0.2"/>
  <cols>
    <col min="1" max="1" width="9" customWidth="1"/>
    <col min="2" max="2" width="23.85546875" customWidth="1"/>
    <col min="3" max="3" width="17" customWidth="1"/>
    <col min="4" max="4" width="13.7109375" customWidth="1"/>
    <col min="5" max="5" width="15.5703125" customWidth="1"/>
    <col min="6" max="6" width="17.85546875" customWidth="1"/>
    <col min="7" max="7" width="16" customWidth="1"/>
    <col min="8" max="8" width="15.85546875" customWidth="1"/>
    <col min="10" max="10" width="35.140625" customWidth="1"/>
    <col min="11" max="11" width="22.85546875" customWidth="1"/>
    <col min="12" max="12" width="22.28515625" bestFit="1" customWidth="1"/>
    <col min="13" max="13" width="24.140625" bestFit="1" customWidth="1"/>
    <col min="14" max="14" width="23.85546875" bestFit="1" customWidth="1"/>
    <col min="15" max="15" width="12.5703125" bestFit="1" customWidth="1"/>
    <col min="16" max="16" width="11.85546875" customWidth="1"/>
  </cols>
  <sheetData>
    <row r="1" spans="1:11" ht="21" customHeight="1" x14ac:dyDescent="0.25">
      <c r="B1" s="493" t="s">
        <v>244</v>
      </c>
      <c r="C1" s="493"/>
      <c r="D1" s="493"/>
      <c r="E1" s="493"/>
      <c r="F1" s="493"/>
      <c r="G1" s="493"/>
      <c r="H1" s="493"/>
    </row>
    <row r="2" spans="1:11" ht="54" customHeight="1" thickBot="1" x14ac:dyDescent="0.25">
      <c r="A2" s="375"/>
      <c r="B2" s="375"/>
      <c r="C2" s="375"/>
      <c r="D2" s="379"/>
      <c r="E2" s="379"/>
      <c r="F2" s="379"/>
      <c r="G2" s="492" t="s">
        <v>174</v>
      </c>
      <c r="H2" s="492"/>
    </row>
    <row r="3" spans="1:11" ht="26.25" thickBot="1" x14ac:dyDescent="0.25">
      <c r="A3" s="376" t="s">
        <v>75</v>
      </c>
      <c r="B3" s="377" t="s">
        <v>35</v>
      </c>
      <c r="C3" s="377" t="s">
        <v>63</v>
      </c>
      <c r="D3" s="378" t="s">
        <v>85</v>
      </c>
      <c r="E3" s="378" t="s">
        <v>267</v>
      </c>
      <c r="F3" s="378" t="s">
        <v>86</v>
      </c>
      <c r="G3" s="378" t="s">
        <v>246</v>
      </c>
      <c r="H3" s="378" t="s">
        <v>2</v>
      </c>
      <c r="J3" s="254" t="s">
        <v>35</v>
      </c>
      <c r="K3" s="299" t="str">
        <f>'Funnel Plot'!B11</f>
        <v>Groin Hernia</v>
      </c>
    </row>
    <row r="4" spans="1:11" x14ac:dyDescent="0.2">
      <c r="A4" s="312" t="str">
        <f t="shared" ref="A4:A20" si="0">B4&amp;C4</f>
        <v>Groin HerniaEQ-5D Index</v>
      </c>
      <c r="B4" t="s">
        <v>50</v>
      </c>
      <c r="C4" t="s">
        <v>52</v>
      </c>
      <c r="D4" s="441">
        <v>20191</v>
      </c>
      <c r="E4" s="381">
        <v>0.87702778465655495</v>
      </c>
      <c r="F4" s="381">
        <v>8.3654400475365306E-2</v>
      </c>
      <c r="G4" s="381">
        <v>8.7108781121354201E-2</v>
      </c>
      <c r="H4" s="381">
        <v>0.15883930484508599</v>
      </c>
      <c r="J4" s="254" t="s">
        <v>63</v>
      </c>
      <c r="K4" s="299" t="str">
        <f>'Funnel Plot'!D11</f>
        <v>EQ-5D Index</v>
      </c>
    </row>
    <row r="5" spans="1:11" ht="13.5" thickBot="1" x14ac:dyDescent="0.25">
      <c r="A5" s="374" t="str">
        <f t="shared" si="0"/>
        <v>Groin HerniaEQ VAS</v>
      </c>
      <c r="B5" s="375" t="s">
        <v>50</v>
      </c>
      <c r="C5" s="375" t="s">
        <v>179</v>
      </c>
      <c r="D5" s="442">
        <v>20817</v>
      </c>
      <c r="E5" s="382">
        <v>80.147235432579095</v>
      </c>
      <c r="F5" s="382">
        <v>-0.49819858769275499</v>
      </c>
      <c r="G5" s="382">
        <v>-0.23333864889133901</v>
      </c>
      <c r="H5" s="382">
        <v>12.3661416543915</v>
      </c>
      <c r="J5" s="254" t="s">
        <v>60</v>
      </c>
      <c r="K5" s="299" t="str">
        <f>'Funnel Plot'!F11</f>
        <v>Provider</v>
      </c>
    </row>
    <row r="6" spans="1:11" x14ac:dyDescent="0.2">
      <c r="A6" s="312" t="str">
        <f t="shared" si="0"/>
        <v>Hip Replacement PrimaryEQ-5D Index</v>
      </c>
      <c r="B6" s="32" t="s">
        <v>248</v>
      </c>
      <c r="C6" t="s">
        <v>52</v>
      </c>
      <c r="D6" s="441">
        <v>35825</v>
      </c>
      <c r="E6" s="381">
        <v>0.79830414514988701</v>
      </c>
      <c r="F6" s="381">
        <v>0.43664441032778001</v>
      </c>
      <c r="G6" s="381">
        <v>0.44020365568747399</v>
      </c>
      <c r="H6" s="381">
        <v>0.21800170919634401</v>
      </c>
      <c r="J6" s="254" t="s">
        <v>62</v>
      </c>
      <c r="K6" s="299" t="str">
        <f>'Funnel Plot'!H11</f>
        <v>AINTREE UNIVERSITY HOSPITAL NHS FOUNDATION TRUST (REM)</v>
      </c>
    </row>
    <row r="7" spans="1:11" x14ac:dyDescent="0.2">
      <c r="A7" s="312" t="str">
        <f t="shared" si="0"/>
        <v>Hip Replacement PrimaryEQ VAS</v>
      </c>
      <c r="B7" s="32" t="s">
        <v>248</v>
      </c>
      <c r="C7" t="s">
        <v>179</v>
      </c>
      <c r="D7" s="441">
        <v>34129</v>
      </c>
      <c r="E7" s="381">
        <v>77.459286823522504</v>
      </c>
      <c r="F7" s="381">
        <v>11.9549649857892</v>
      </c>
      <c r="G7" s="381">
        <v>12.2161017146975</v>
      </c>
      <c r="H7" s="381">
        <v>15.6112835856636</v>
      </c>
      <c r="J7" s="254" t="s">
        <v>2</v>
      </c>
      <c r="K7" s="299">
        <f>VLOOKUP(K3&amp;K4,A:H,8,0)</f>
        <v>0.15883930484508599</v>
      </c>
    </row>
    <row r="8" spans="1:11" x14ac:dyDescent="0.2">
      <c r="A8" s="313" t="str">
        <f t="shared" si="0"/>
        <v>Hip Replacement PrimaryOxford Hip Score</v>
      </c>
      <c r="B8" s="296" t="s">
        <v>248</v>
      </c>
      <c r="C8" s="29" t="s">
        <v>14</v>
      </c>
      <c r="D8" s="443">
        <v>38709</v>
      </c>
      <c r="E8" s="383">
        <v>39.659278204035203</v>
      </c>
      <c r="F8" s="383">
        <v>21.454777958614301</v>
      </c>
      <c r="G8" s="383">
        <v>21.577942539926401</v>
      </c>
      <c r="H8" s="383">
        <v>7.8415277266779304</v>
      </c>
      <c r="J8" s="254" t="s">
        <v>245</v>
      </c>
      <c r="K8" s="299">
        <f>VLOOKUP(K3&amp;K4,A:H,6,0)</f>
        <v>8.3654400475365306E-2</v>
      </c>
    </row>
    <row r="9" spans="1:11" x14ac:dyDescent="0.2">
      <c r="A9" s="312" t="str">
        <f t="shared" si="0"/>
        <v>Hip Replacement RevisionEQ-5D Index</v>
      </c>
      <c r="B9" s="32" t="s">
        <v>247</v>
      </c>
      <c r="C9" t="s">
        <v>52</v>
      </c>
      <c r="D9" s="441">
        <v>2263</v>
      </c>
      <c r="E9" s="381">
        <v>0.67533009279717404</v>
      </c>
      <c r="F9" s="381">
        <v>0.27656076005303099</v>
      </c>
      <c r="G9" s="381">
        <v>0.29305077397628398</v>
      </c>
      <c r="H9" s="381">
        <v>0.25384707930011202</v>
      </c>
      <c r="J9" s="254" t="s">
        <v>169</v>
      </c>
      <c r="K9" s="299">
        <f>VLOOKUP(K3&amp;K5&amp;K6&amp;K4,'Provider Commission - Raw Data'!B:Q,7,0)</f>
        <v>95</v>
      </c>
    </row>
    <row r="10" spans="1:11" x14ac:dyDescent="0.2">
      <c r="A10" s="312" t="str">
        <f t="shared" si="0"/>
        <v>Hip Replacement RevisionEQ VAS</v>
      </c>
      <c r="B10" s="32" t="s">
        <v>247</v>
      </c>
      <c r="C10" t="s">
        <v>179</v>
      </c>
      <c r="D10" s="441">
        <v>2143</v>
      </c>
      <c r="E10" s="381">
        <v>70.000466635557601</v>
      </c>
      <c r="F10" s="381">
        <v>5.2300513299113298</v>
      </c>
      <c r="G10" s="381">
        <v>6.4074972494317199</v>
      </c>
      <c r="H10" s="381">
        <v>17.638470621365599</v>
      </c>
      <c r="J10" s="254" t="s">
        <v>171</v>
      </c>
      <c r="K10" s="299">
        <f>MAX('Provider Commission - Raw Data'!A:A)</f>
        <v>273</v>
      </c>
    </row>
    <row r="11" spans="1:11" ht="13.5" thickBot="1" x14ac:dyDescent="0.25">
      <c r="A11" s="374" t="str">
        <f t="shared" si="0"/>
        <v>Hip Replacement RevisionOxford Hip Score</v>
      </c>
      <c r="B11" s="389" t="s">
        <v>247</v>
      </c>
      <c r="C11" s="375" t="s">
        <v>14</v>
      </c>
      <c r="D11" s="442">
        <v>2477</v>
      </c>
      <c r="E11" s="382">
        <v>33.599515542995597</v>
      </c>
      <c r="F11" s="382">
        <v>12.724666935809401</v>
      </c>
      <c r="G11" s="382">
        <v>13.3167356927535</v>
      </c>
      <c r="H11" s="382">
        <v>9.5355120462758407</v>
      </c>
      <c r="J11" s="254" t="s">
        <v>191</v>
      </c>
      <c r="K11" s="336">
        <v>10</v>
      </c>
    </row>
    <row r="12" spans="1:11" x14ac:dyDescent="0.2">
      <c r="A12" s="312" t="str">
        <f t="shared" si="0"/>
        <v>Knee Replacement PrimaryEQ-5D Index</v>
      </c>
      <c r="B12" s="32" t="s">
        <v>249</v>
      </c>
      <c r="C12" t="s">
        <v>52</v>
      </c>
      <c r="D12" s="441">
        <v>37855</v>
      </c>
      <c r="E12" s="381">
        <v>0.74005452384077797</v>
      </c>
      <c r="F12" s="381">
        <v>0.31506112798808</v>
      </c>
      <c r="G12" s="381">
        <v>0.31863209874572701</v>
      </c>
      <c r="H12" s="381">
        <v>0.224831309844087</v>
      </c>
      <c r="J12" s="254" t="s">
        <v>170</v>
      </c>
      <c r="K12" s="300">
        <f t="array" aca="1" ref="K12" ca="1">CEILING(MAX(IF(ISERROR('Funnel Lookup'!S3:S403),0,'Funnel Lookup'!S3:S403)),50)</f>
        <v>400</v>
      </c>
    </row>
    <row r="13" spans="1:11" x14ac:dyDescent="0.2">
      <c r="A13" s="312" t="str">
        <f t="shared" si="0"/>
        <v>Knee Replacement PrimaryEQ VAS</v>
      </c>
      <c r="B13" s="32" t="s">
        <v>249</v>
      </c>
      <c r="C13" t="s">
        <v>179</v>
      </c>
      <c r="D13" s="441">
        <v>35839</v>
      </c>
      <c r="E13" s="381">
        <v>74.513379279555807</v>
      </c>
      <c r="F13" s="381">
        <v>5.8550461787438302</v>
      </c>
      <c r="G13" s="381">
        <v>6.1074339062859204</v>
      </c>
      <c r="H13" s="381">
        <v>15.461621819443501</v>
      </c>
      <c r="J13" s="255" t="s">
        <v>168</v>
      </c>
      <c r="K13" s="299">
        <f t="array" aca="1" ref="K13" ca="1">EXP((LN(K12)-LN(K11))/19)</f>
        <v>1.2142802934538579</v>
      </c>
    </row>
    <row r="14" spans="1:11" x14ac:dyDescent="0.2">
      <c r="A14" s="313" t="str">
        <f t="shared" si="0"/>
        <v>Knee Replacement PrimaryOxford Knee Score</v>
      </c>
      <c r="B14" s="296" t="s">
        <v>249</v>
      </c>
      <c r="C14" s="29" t="s">
        <v>16</v>
      </c>
      <c r="D14" s="443">
        <v>40818</v>
      </c>
      <c r="E14" s="383">
        <v>35.426919496300599</v>
      </c>
      <c r="F14" s="383">
        <v>16.141555196237</v>
      </c>
      <c r="G14" s="383">
        <v>16.271883384524202</v>
      </c>
      <c r="H14" s="383">
        <v>8.5206571424820101</v>
      </c>
      <c r="J14" s="254"/>
      <c r="K14" s="297" t="str">
        <f>IF(K4="Aberdeen Varicose Vein Questionnaire","Lower ","Upper ")</f>
        <v xml:space="preserve">Upper </v>
      </c>
    </row>
    <row r="15" spans="1:11" x14ac:dyDescent="0.2">
      <c r="A15" s="372" t="str">
        <f t="shared" si="0"/>
        <v>Knee Replacement RevisionEQ-5D Index</v>
      </c>
      <c r="B15" s="32" t="s">
        <v>250</v>
      </c>
      <c r="C15" t="s">
        <v>52</v>
      </c>
      <c r="D15" s="444">
        <v>1505</v>
      </c>
      <c r="E15" s="384">
        <v>0.59024318936877096</v>
      </c>
      <c r="F15" s="384">
        <v>0.25834352159468699</v>
      </c>
      <c r="G15" s="384">
        <v>0.27998755537418202</v>
      </c>
      <c r="H15" s="384">
        <v>0.27171607006459497</v>
      </c>
      <c r="J15" s="254"/>
      <c r="K15" s="297" t="str">
        <f>IF(K4="Aberdeen Varicose Vein Questionnaire","Upper ","Lower ")</f>
        <v xml:space="preserve">Lower </v>
      </c>
    </row>
    <row r="16" spans="1:11" x14ac:dyDescent="0.2">
      <c r="A16" s="373" t="str">
        <f t="shared" si="0"/>
        <v>Knee Replacement RevisionEQ VAS</v>
      </c>
      <c r="B16" s="32" t="s">
        <v>250</v>
      </c>
      <c r="C16" t="s">
        <v>179</v>
      </c>
      <c r="D16" s="444">
        <v>1445</v>
      </c>
      <c r="E16" s="384">
        <v>66.515570934256104</v>
      </c>
      <c r="F16" s="384">
        <v>2.0595155709342698</v>
      </c>
      <c r="G16" s="384">
        <v>3.6194855038674301</v>
      </c>
      <c r="H16" s="384">
        <v>19.189295155599801</v>
      </c>
      <c r="J16" s="254" t="s">
        <v>136</v>
      </c>
      <c r="K16" s="253"/>
    </row>
    <row r="17" spans="1:16" ht="13.5" thickBot="1" x14ac:dyDescent="0.25">
      <c r="A17" s="380" t="str">
        <f t="shared" si="0"/>
        <v>Knee Replacement RevisionOxford Knee Score</v>
      </c>
      <c r="B17" s="389" t="s">
        <v>250</v>
      </c>
      <c r="C17" s="375" t="s">
        <v>16</v>
      </c>
      <c r="D17" s="445">
        <v>1637</v>
      </c>
      <c r="E17" s="385">
        <v>28.843616371411098</v>
      </c>
      <c r="F17" s="385">
        <v>12.337813072694001</v>
      </c>
      <c r="G17" s="385">
        <v>13.085457357109</v>
      </c>
      <c r="H17" s="385">
        <v>9.7887723562438307</v>
      </c>
      <c r="J17" s="254" t="s">
        <v>137</v>
      </c>
      <c r="K17" s="253"/>
    </row>
    <row r="18" spans="1:16" x14ac:dyDescent="0.2">
      <c r="A18" s="373" t="str">
        <f t="shared" si="0"/>
        <v>Varicose VeinEQ-5D Index</v>
      </c>
      <c r="B18" t="s">
        <v>17</v>
      </c>
      <c r="C18" t="s">
        <v>52</v>
      </c>
      <c r="D18" s="444">
        <v>5559</v>
      </c>
      <c r="E18" s="384">
        <v>0.84163284763445501</v>
      </c>
      <c r="F18" s="384">
        <v>9.4882892606601904E-2</v>
      </c>
      <c r="G18" s="384">
        <v>0.10210784047610599</v>
      </c>
      <c r="H18" s="384">
        <v>0.17431787635957699</v>
      </c>
      <c r="J18" s="256"/>
      <c r="K18" s="3"/>
    </row>
    <row r="19" spans="1:16" ht="13.5" thickBot="1" x14ac:dyDescent="0.25">
      <c r="A19" s="373" t="str">
        <f t="shared" si="0"/>
        <v>Varicose VeinEQ VAS</v>
      </c>
      <c r="B19" t="s">
        <v>17</v>
      </c>
      <c r="C19" t="s">
        <v>179</v>
      </c>
      <c r="D19" s="444">
        <v>5505</v>
      </c>
      <c r="E19" s="384">
        <v>78.423978201634895</v>
      </c>
      <c r="F19" s="384">
        <v>-0.54005449591279797</v>
      </c>
      <c r="G19" s="384">
        <v>2.2583513924783898E-2</v>
      </c>
      <c r="H19" s="384">
        <v>13.5087946971412</v>
      </c>
    </row>
    <row r="20" spans="1:16" ht="13.5" thickBot="1" x14ac:dyDescent="0.25">
      <c r="A20" s="380" t="str">
        <f t="shared" si="0"/>
        <v>Varicose VeinAberdeen Varicose Vein Questionnaire</v>
      </c>
      <c r="B20" s="375" t="s">
        <v>17</v>
      </c>
      <c r="C20" s="388" t="s">
        <v>0</v>
      </c>
      <c r="D20" s="445">
        <v>5721</v>
      </c>
      <c r="E20" s="385">
        <v>12.641446425450001</v>
      </c>
      <c r="F20" s="386">
        <v>-8.2810064674008892</v>
      </c>
      <c r="G20" s="387">
        <v>-7.6191976731491398</v>
      </c>
      <c r="H20" s="385">
        <v>16.198596195990199</v>
      </c>
      <c r="J20" s="259"/>
      <c r="K20" s="259" t="s">
        <v>192</v>
      </c>
      <c r="L20" s="259" t="s">
        <v>55</v>
      </c>
      <c r="M20" s="259" t="s">
        <v>193</v>
      </c>
      <c r="N20" s="259" t="s">
        <v>56</v>
      </c>
      <c r="O20" s="337" t="s">
        <v>163</v>
      </c>
      <c r="P20" s="337" t="s">
        <v>166</v>
      </c>
    </row>
    <row r="21" spans="1:16" x14ac:dyDescent="0.2">
      <c r="J21" s="260" t="s">
        <v>22</v>
      </c>
      <c r="K21" s="261" t="s">
        <v>132</v>
      </c>
      <c r="L21" s="261" t="s">
        <v>133</v>
      </c>
      <c r="M21" s="261" t="s">
        <v>134</v>
      </c>
      <c r="N21" s="261" t="s">
        <v>135</v>
      </c>
      <c r="O21" s="338" t="s">
        <v>21</v>
      </c>
      <c r="P21" s="338" t="s">
        <v>167</v>
      </c>
    </row>
    <row r="22" spans="1:16" x14ac:dyDescent="0.2">
      <c r="J22" s="297">
        <v>10</v>
      </c>
      <c r="K22" s="297">
        <f t="shared" ref="K22:K41" si="1">$K$8-(2*$K$7)/SQRT(J22)</f>
        <v>-1.6804396578292774E-2</v>
      </c>
      <c r="L22" s="297">
        <f>$K$8+(2*$K$7)/SQRT(J22)</f>
        <v>0.18411319752902339</v>
      </c>
      <c r="M22" s="297">
        <f t="shared" ref="M22:M39" si="2">$K$8-(3*$K$7)/SQRT(J22)</f>
        <v>-6.7033795105121793E-2</v>
      </c>
      <c r="N22" s="297">
        <f t="shared" ref="N22:N39" si="3">$K$8+(3*$K$7)/SQRT(J22)</f>
        <v>0.23434259605585239</v>
      </c>
      <c r="O22" s="297">
        <f t="shared" ref="O22:O41" si="4">$K$8</f>
        <v>8.3654400475365306E-2</v>
      </c>
      <c r="P22" s="297">
        <v>1</v>
      </c>
    </row>
    <row r="23" spans="1:16" x14ac:dyDescent="0.2">
      <c r="J23" s="297">
        <f ca="1">J22*K$13</f>
        <v>12.14280293453858</v>
      </c>
      <c r="K23" s="297">
        <f t="shared" ca="1" si="1"/>
        <v>-7.510675854341578E-3</v>
      </c>
      <c r="L23" s="297">
        <f t="shared" ref="L23:L39" ca="1" si="5">$K$8+(2*$K$7)/SQRT(J23)</f>
        <v>0.1748194768050722</v>
      </c>
      <c r="M23" s="297">
        <f t="shared" ca="1" si="2"/>
        <v>-5.309321401919502E-2</v>
      </c>
      <c r="N23" s="297">
        <f t="shared" ca="1" si="3"/>
        <v>0.22040201496992562</v>
      </c>
      <c r="O23" s="298">
        <f t="shared" si="4"/>
        <v>8.3654400475365306E-2</v>
      </c>
      <c r="P23" s="297">
        <f>IF(P22="","",IF(P22+1&gt;'Funnel setup'!$K$10,"",P22+1))</f>
        <v>2</v>
      </c>
    </row>
    <row r="24" spans="1:16" x14ac:dyDescent="0.2">
      <c r="J24" s="297">
        <f t="shared" ref="J24:J39" ca="1" si="6">J23*K$13</f>
        <v>14.744766310703874</v>
      </c>
      <c r="K24" s="297">
        <f t="shared" ca="1" si="1"/>
        <v>9.2325710160894026E-4</v>
      </c>
      <c r="L24" s="297">
        <f t="shared" ca="1" si="5"/>
        <v>0.16638554384912169</v>
      </c>
      <c r="M24" s="297">
        <f t="shared" ca="1" si="2"/>
        <v>-4.0442314585269243E-2</v>
      </c>
      <c r="N24" s="297">
        <f t="shared" ca="1" si="3"/>
        <v>0.20775111553599984</v>
      </c>
      <c r="O24" s="298">
        <f t="shared" si="4"/>
        <v>8.3654400475365306E-2</v>
      </c>
      <c r="P24" s="297">
        <f>IF(P23="","",IF(P23+1&gt;'Funnel setup'!$K$10,"",P23+1))</f>
        <v>3</v>
      </c>
    </row>
    <row r="25" spans="1:16" x14ac:dyDescent="0.2">
      <c r="J25" s="297">
        <f t="shared" ca="1" si="6"/>
        <v>17.904279162670058</v>
      </c>
      <c r="K25" s="297">
        <f t="shared" ca="1" si="1"/>
        <v>8.5769436302080837E-3</v>
      </c>
      <c r="L25" s="297">
        <f t="shared" ca="1" si="5"/>
        <v>0.15873185732052253</v>
      </c>
      <c r="M25" s="297">
        <f t="shared" ca="1" si="2"/>
        <v>-2.8961784792370535E-2</v>
      </c>
      <c r="N25" s="297">
        <f t="shared" ca="1" si="3"/>
        <v>0.19627058574310113</v>
      </c>
      <c r="O25" s="298">
        <f t="shared" si="4"/>
        <v>8.3654400475365306E-2</v>
      </c>
      <c r="P25" s="297">
        <f>IF(P24="","",IF(P24+1&gt;'Funnel setup'!$K$10,"",P24+1))</f>
        <v>4</v>
      </c>
    </row>
    <row r="26" spans="1:16" x14ac:dyDescent="0.2">
      <c r="J26" s="297">
        <f t="shared" ca="1" si="6"/>
        <v>21.74081335572679</v>
      </c>
      <c r="K26" s="297">
        <f t="shared" ca="1" si="1"/>
        <v>1.5522566483035002E-2</v>
      </c>
      <c r="L26" s="297">
        <f t="shared" ca="1" si="5"/>
        <v>0.15178623446769562</v>
      </c>
      <c r="M26" s="297">
        <f t="shared" ca="1" si="2"/>
        <v>-1.854335051313015E-2</v>
      </c>
      <c r="N26" s="297">
        <f t="shared" ca="1" si="3"/>
        <v>0.18585215146386075</v>
      </c>
      <c r="O26" s="298">
        <f t="shared" si="4"/>
        <v>8.3654400475365306E-2</v>
      </c>
      <c r="P26" s="297">
        <f>IF(P25="","",IF(P25+1&gt;'Funnel setup'!$K$10,"",P25+1))</f>
        <v>5</v>
      </c>
    </row>
    <row r="27" spans="1:16" x14ac:dyDescent="0.2">
      <c r="J27" s="297">
        <f t="shared" ca="1" si="6"/>
        <v>26.399441221517478</v>
      </c>
      <c r="K27" s="297">
        <f t="shared" ca="1" si="1"/>
        <v>2.1825630585993676E-2</v>
      </c>
      <c r="L27" s="297">
        <f t="shared" ca="1" si="5"/>
        <v>0.14548317036473693</v>
      </c>
      <c r="M27" s="297">
        <f t="shared" ca="1" si="2"/>
        <v>-9.088754358692136E-3</v>
      </c>
      <c r="N27" s="297">
        <f t="shared" ca="1" si="3"/>
        <v>0.17639755530942275</v>
      </c>
      <c r="O27" s="298">
        <f t="shared" si="4"/>
        <v>8.3654400475365306E-2</v>
      </c>
      <c r="P27" s="297">
        <f>IF(P26="","",IF(P26+1&gt;'Funnel setup'!$K$10,"",P26+1))</f>
        <v>6</v>
      </c>
    </row>
    <row r="28" spans="1:16" x14ac:dyDescent="0.2">
      <c r="J28" s="297">
        <f t="shared" ca="1" si="6"/>
        <v>32.056321233482116</v>
      </c>
      <c r="K28" s="297">
        <f t="shared" ca="1" si="1"/>
        <v>2.754558082340635E-2</v>
      </c>
      <c r="L28" s="297">
        <f t="shared" ca="1" si="5"/>
        <v>0.13976322012732426</v>
      </c>
      <c r="M28" s="297">
        <f t="shared" ca="1" si="2"/>
        <v>-5.0882900257312458E-4</v>
      </c>
      <c r="N28" s="297">
        <f t="shared" ca="1" si="3"/>
        <v>0.16781762995330374</v>
      </c>
      <c r="O28" s="298">
        <f t="shared" si="4"/>
        <v>8.3654400475365306E-2</v>
      </c>
      <c r="P28" s="297">
        <f>IF(P27="","",IF(P27+1&gt;'Funnel setup'!$K$10,"",P27+1))</f>
        <v>7</v>
      </c>
    </row>
    <row r="29" spans="1:16" x14ac:dyDescent="0.2">
      <c r="J29" s="297">
        <f t="shared" ca="1" si="6"/>
        <v>38.925359154443797</v>
      </c>
      <c r="K29" s="297">
        <f t="shared" ca="1" si="1"/>
        <v>3.2736362669194573E-2</v>
      </c>
      <c r="L29" s="297">
        <f t="shared" ca="1" si="5"/>
        <v>0.13457243828153603</v>
      </c>
      <c r="M29" s="297">
        <f t="shared" ca="1" si="2"/>
        <v>7.2773437661092094E-3</v>
      </c>
      <c r="N29" s="297">
        <f t="shared" ca="1" si="3"/>
        <v>0.16003145718462142</v>
      </c>
      <c r="O29" s="298">
        <f t="shared" si="4"/>
        <v>8.3654400475365306E-2</v>
      </c>
      <c r="P29" s="297">
        <f>IF(P28="","",IF(P28+1&gt;'Funnel setup'!$K$10,"",P28+1))</f>
        <v>8</v>
      </c>
    </row>
    <row r="30" spans="1:16" x14ac:dyDescent="0.2">
      <c r="J30" s="297">
        <f t="shared" ca="1" si="6"/>
        <v>47.266296536854824</v>
      </c>
      <c r="K30" s="297">
        <f t="shared" ca="1" si="1"/>
        <v>3.7446930952521509E-2</v>
      </c>
      <c r="L30" s="297">
        <f t="shared" ca="1" si="5"/>
        <v>0.12986186999820909</v>
      </c>
      <c r="M30" s="297">
        <f t="shared" ca="1" si="2"/>
        <v>1.4343196191099625E-2</v>
      </c>
      <c r="N30" s="297">
        <f t="shared" ca="1" si="3"/>
        <v>0.152965604759631</v>
      </c>
      <c r="O30" s="298">
        <f t="shared" si="4"/>
        <v>8.3654400475365306E-2</v>
      </c>
      <c r="P30" s="297">
        <f>IF(P29="","",IF(P29+1&gt;'Funnel setup'!$K$10,"",P29+1))</f>
        <v>9</v>
      </c>
    </row>
    <row r="31" spans="1:16" x14ac:dyDescent="0.2">
      <c r="J31" s="297">
        <f t="shared" ca="1" si="6"/>
        <v>57.394532429249146</v>
      </c>
      <c r="K31" s="297">
        <f t="shared" ca="1" si="1"/>
        <v>4.1721711556119825E-2</v>
      </c>
      <c r="L31" s="297">
        <f t="shared" ca="1" si="5"/>
        <v>0.12558708939461077</v>
      </c>
      <c r="M31" s="297">
        <f t="shared" ca="1" si="2"/>
        <v>2.0755367096497099E-2</v>
      </c>
      <c r="N31" s="297">
        <f t="shared" ca="1" si="3"/>
        <v>0.14655343385423353</v>
      </c>
      <c r="O31" s="298">
        <f t="shared" si="4"/>
        <v>8.3654400475365306E-2</v>
      </c>
      <c r="P31" s="297">
        <f>IF(P30="","",IF(P30+1&gt;'Funnel setup'!$K$10,"",P30+1))</f>
        <v>10</v>
      </c>
    </row>
    <row r="32" spans="1:16" x14ac:dyDescent="0.2">
      <c r="J32" s="297">
        <f t="shared" ca="1" si="6"/>
        <v>69.693049680835614</v>
      </c>
      <c r="K32" s="297">
        <f t="shared" ca="1" si="1"/>
        <v>4.560102040163222E-2</v>
      </c>
      <c r="L32" s="297">
        <f t="shared" ca="1" si="5"/>
        <v>0.12170778054909839</v>
      </c>
      <c r="M32" s="297">
        <f t="shared" ca="1" si="2"/>
        <v>2.6574330364765683E-2</v>
      </c>
      <c r="N32" s="297">
        <f t="shared" ca="1" si="3"/>
        <v>0.14073447058596494</v>
      </c>
      <c r="O32" s="298">
        <f t="shared" si="4"/>
        <v>8.3654400475365306E-2</v>
      </c>
      <c r="P32" s="297">
        <f>IF(P31="","",IF(P31+1&gt;'Funnel setup'!$K$10,"",P31+1))</f>
        <v>11</v>
      </c>
    </row>
    <row r="33" spans="2:16" x14ac:dyDescent="0.2">
      <c r="J33" s="297">
        <f t="shared" ca="1" si="6"/>
        <v>84.626896818139372</v>
      </c>
      <c r="K33" s="297">
        <f t="shared" ca="1" si="1"/>
        <v>4.9121443673461232E-2</v>
      </c>
      <c r="L33" s="297">
        <f t="shared" ca="1" si="5"/>
        <v>0.11818735727726938</v>
      </c>
      <c r="M33" s="297">
        <f t="shared" ca="1" si="2"/>
        <v>3.1854965272509195E-2</v>
      </c>
      <c r="N33" s="297">
        <f t="shared" ca="1" si="3"/>
        <v>0.13545383567822142</v>
      </c>
      <c r="O33" s="298">
        <f t="shared" si="4"/>
        <v>8.3654400475365306E-2</v>
      </c>
      <c r="P33" s="297">
        <f>IF(P32="","",IF(P32+1&gt;'Funnel setup'!$K$10,"",P32+1))</f>
        <v>12</v>
      </c>
    </row>
    <row r="34" spans="2:16" x14ac:dyDescent="0.2">
      <c r="B34" s="256"/>
      <c r="C34" s="256"/>
      <c r="J34" s="297">
        <f t="shared" ca="1" si="6"/>
        <v>102.76077310241963</v>
      </c>
      <c r="K34" s="297">
        <f t="shared" ca="1" si="1"/>
        <v>5.2316182867060614E-2</v>
      </c>
      <c r="L34" s="297">
        <f t="shared" ca="1" si="5"/>
        <v>0.11499261808367001</v>
      </c>
      <c r="M34" s="297">
        <f t="shared" ca="1" si="2"/>
        <v>3.6647074062908264E-2</v>
      </c>
      <c r="N34" s="297">
        <f t="shared" ca="1" si="3"/>
        <v>0.13066172688782235</v>
      </c>
      <c r="O34" s="298">
        <f t="shared" si="4"/>
        <v>8.3654400475365306E-2</v>
      </c>
      <c r="P34" s="297">
        <f>IF(P33="","",IF(P33+1&gt;'Funnel setup'!$K$10,"",P33+1))</f>
        <v>13</v>
      </c>
    </row>
    <row r="35" spans="2:16" x14ac:dyDescent="0.2">
      <c r="B35" s="257"/>
      <c r="C35" s="258"/>
      <c r="J35" s="297">
        <f t="shared" ca="1" si="6"/>
        <v>124.78038171835142</v>
      </c>
      <c r="K35" s="297">
        <f t="shared" ca="1" si="1"/>
        <v>5.5215367915856579E-2</v>
      </c>
      <c r="L35" s="297">
        <f t="shared" ca="1" si="5"/>
        <v>0.11209343303487404</v>
      </c>
      <c r="M35" s="297">
        <f t="shared" ca="1" si="2"/>
        <v>4.0995851636102219E-2</v>
      </c>
      <c r="N35" s="297">
        <f t="shared" ca="1" si="3"/>
        <v>0.12631294931462839</v>
      </c>
      <c r="O35" s="298">
        <f t="shared" si="4"/>
        <v>8.3654400475365306E-2</v>
      </c>
      <c r="P35" s="297">
        <f>IF(P34="","",IF(P34+1&gt;'Funnel setup'!$K$10,"",P34+1))</f>
        <v>14</v>
      </c>
    </row>
    <row r="36" spans="2:16" x14ac:dyDescent="0.2">
      <c r="B36" s="257"/>
      <c r="C36" s="258"/>
      <c r="J36" s="297">
        <f t="shared" ca="1" si="6"/>
        <v>151.51835853024417</v>
      </c>
      <c r="K36" s="297">
        <f t="shared" ca="1" si="1"/>
        <v>5.7846341349932801E-2</v>
      </c>
      <c r="L36" s="297">
        <f t="shared" ca="1" si="5"/>
        <v>0.10946245960079781</v>
      </c>
      <c r="M36" s="297">
        <f t="shared" ca="1" si="2"/>
        <v>4.4942311787216555E-2</v>
      </c>
      <c r="N36" s="297">
        <f t="shared" ca="1" si="3"/>
        <v>0.12236648916351406</v>
      </c>
      <c r="O36" s="298">
        <f t="shared" si="4"/>
        <v>8.3654400475365306E-2</v>
      </c>
      <c r="P36" s="297">
        <f>IF(P35="","",IF(P35+1&gt;'Funnel setup'!$K$10,"",P35+1))</f>
        <v>15</v>
      </c>
    </row>
    <row r="37" spans="2:16" x14ac:dyDescent="0.2">
      <c r="B37" s="257"/>
      <c r="C37" s="258"/>
      <c r="J37" s="297">
        <f t="shared" ca="1" si="6"/>
        <v>183.98575685975175</v>
      </c>
      <c r="K37" s="297">
        <f t="shared" ca="1" si="1"/>
        <v>6.0233916166410821E-2</v>
      </c>
      <c r="L37" s="297">
        <f t="shared" ca="1" si="5"/>
        <v>0.10707488478431978</v>
      </c>
      <c r="M37" s="297">
        <f t="shared" ca="1" si="2"/>
        <v>4.8523674011933582E-2</v>
      </c>
      <c r="N37" s="297">
        <f t="shared" ca="1" si="3"/>
        <v>0.11878512693879703</v>
      </c>
      <c r="O37" s="298">
        <f t="shared" si="4"/>
        <v>8.3654400475365306E-2</v>
      </c>
      <c r="P37" s="297">
        <f>IF(P36="","",IF(P36+1&gt;'Funnel setup'!$K$10,"",P36+1))</f>
        <v>16</v>
      </c>
    </row>
    <row r="38" spans="2:16" x14ac:dyDescent="0.2">
      <c r="B38" s="257"/>
      <c r="C38" s="258"/>
      <c r="J38" s="297">
        <f t="shared" ca="1" si="6"/>
        <v>223.41027883098951</v>
      </c>
      <c r="K38" s="297">
        <f t="shared" ca="1" si="1"/>
        <v>6.240060984352945E-2</v>
      </c>
      <c r="L38" s="297">
        <f t="shared" ca="1" si="5"/>
        <v>0.10490819110720116</v>
      </c>
      <c r="M38" s="297">
        <f t="shared" ca="1" si="2"/>
        <v>5.1773714527611522E-2</v>
      </c>
      <c r="N38" s="297">
        <f t="shared" ca="1" si="3"/>
        <v>0.11553508642311909</v>
      </c>
      <c r="O38" s="298">
        <f t="shared" si="4"/>
        <v>8.3654400475365306E-2</v>
      </c>
      <c r="P38" s="297">
        <f>IF(P37="","",IF(P37+1&gt;'Funnel setup'!$K$10,"",P37+1))</f>
        <v>17</v>
      </c>
    </row>
    <row r="39" spans="2:16" x14ac:dyDescent="0.2">
      <c r="B39" s="257"/>
      <c r="C39" s="258"/>
      <c r="J39" s="297">
        <f t="shared" ca="1" si="6"/>
        <v>271.28269893950215</v>
      </c>
      <c r="K39" s="297">
        <f t="shared" ca="1" si="1"/>
        <v>6.4366856705435516E-2</v>
      </c>
      <c r="L39" s="297">
        <f t="shared" ca="1" si="5"/>
        <v>0.1029419442452951</v>
      </c>
      <c r="M39" s="297">
        <f t="shared" ca="1" si="2"/>
        <v>5.4723084820470613E-2</v>
      </c>
      <c r="N39" s="297">
        <f t="shared" ca="1" si="3"/>
        <v>0.11258571613026</v>
      </c>
      <c r="O39" s="298">
        <f t="shared" si="4"/>
        <v>8.3654400475365306E-2</v>
      </c>
      <c r="P39" s="297">
        <f>IF(P38="","",IF(P38+1&gt;'Funnel setup'!$K$10,"",P38+1))</f>
        <v>18</v>
      </c>
    </row>
    <row r="40" spans="2:16" x14ac:dyDescent="0.2">
      <c r="B40" s="257"/>
      <c r="C40" s="258"/>
      <c r="J40" s="297">
        <f ca="1">J39*K$13</f>
        <v>329.41323527721329</v>
      </c>
      <c r="K40" s="297">
        <f t="shared" ca="1" si="1"/>
        <v>6.6151200640521324E-2</v>
      </c>
      <c r="L40" s="297">
        <f ca="1">$K$8+(2*$K$7)/SQRT(J40)</f>
        <v>0.10115760031020929</v>
      </c>
      <c r="M40" s="297">
        <f ca="1">$K$8-(3*$K$7)/SQRT(J40)</f>
        <v>5.7399600723099346E-2</v>
      </c>
      <c r="N40" s="297">
        <f ca="1">$K$8+(3*$K$7)/SQRT(J40)</f>
        <v>0.10990920022763126</v>
      </c>
      <c r="O40" s="298">
        <f t="shared" si="4"/>
        <v>8.3654400475365306E-2</v>
      </c>
      <c r="P40" s="297">
        <f>IF(P39="","",IF(P39+1&gt;'Funnel setup'!$K$10,"",P39+1))</f>
        <v>19</v>
      </c>
    </row>
    <row r="41" spans="2:16" x14ac:dyDescent="0.2">
      <c r="B41" s="257"/>
      <c r="C41" s="258"/>
      <c r="J41" s="297">
        <f ca="1">J40*K$13</f>
        <v>399.99999999999932</v>
      </c>
      <c r="K41" s="297">
        <f t="shared" ca="1" si="1"/>
        <v>6.7770469990856702E-2</v>
      </c>
      <c r="L41" s="297">
        <f ca="1">$K$8+(2*$K$7)/SQRT(J41)</f>
        <v>9.9538330959873911E-2</v>
      </c>
      <c r="M41" s="297">
        <f ca="1">$K$8-(3*$K$7)/SQRT(J41)</f>
        <v>5.9828504748602393E-2</v>
      </c>
      <c r="N41" s="297">
        <f ca="1">$K$8+(3*$K$7)/SQRT(J41)</f>
        <v>0.10748029620212822</v>
      </c>
      <c r="O41" s="298">
        <f t="shared" si="4"/>
        <v>8.3654400475365306E-2</v>
      </c>
      <c r="P41" s="297">
        <f>IF(P40="","",IF(P40+1&gt;'Funnel setup'!$K$10,"",P40+1))</f>
        <v>20</v>
      </c>
    </row>
    <row r="42" spans="2:16" ht="15" x14ac:dyDescent="0.25">
      <c r="B42" s="257"/>
      <c r="C42" s="258"/>
      <c r="G42" s="31"/>
      <c r="J42" s="257"/>
      <c r="K42" s="257"/>
      <c r="L42" s="257"/>
      <c r="M42" s="257"/>
      <c r="N42" s="257"/>
      <c r="O42" s="257"/>
      <c r="P42" s="297">
        <f>IF(P41="","",IF(P41+1&gt;'Funnel setup'!$K$10,"",P41+1))</f>
        <v>21</v>
      </c>
    </row>
    <row r="43" spans="2:16" ht="15" x14ac:dyDescent="0.25">
      <c r="B43" s="257"/>
      <c r="C43" s="258"/>
      <c r="G43" s="31"/>
      <c r="J43" s="257"/>
      <c r="K43" s="257"/>
      <c r="L43" s="257"/>
      <c r="M43" s="257"/>
      <c r="N43" s="257"/>
      <c r="O43" s="257"/>
      <c r="P43" s="297">
        <f>IF(P42="","",IF(P42+1&gt;'Funnel setup'!$K$10,"",P42+1))</f>
        <v>22</v>
      </c>
    </row>
    <row r="44" spans="2:16" ht="15" x14ac:dyDescent="0.25">
      <c r="B44" s="257"/>
      <c r="C44" s="258"/>
      <c r="G44" s="31"/>
      <c r="J44" s="257"/>
      <c r="K44" s="257"/>
      <c r="L44" s="257"/>
      <c r="M44" s="257"/>
      <c r="N44" s="257"/>
      <c r="O44" s="257"/>
      <c r="P44" s="297">
        <f>IF(P43="","",IF(P43+1&gt;'Funnel setup'!$K$10,"",P43+1))</f>
        <v>23</v>
      </c>
    </row>
    <row r="45" spans="2:16" ht="15" x14ac:dyDescent="0.25">
      <c r="B45" s="257"/>
      <c r="C45" s="258"/>
      <c r="G45" s="31"/>
      <c r="J45" s="257"/>
      <c r="K45" s="257"/>
      <c r="L45" s="257"/>
      <c r="M45" s="257"/>
      <c r="N45" s="257"/>
      <c r="O45" s="257"/>
      <c r="P45" s="297">
        <f>IF(P44="","",IF(P44+1&gt;'Funnel setup'!$K$10,"",P44+1))</f>
        <v>24</v>
      </c>
    </row>
    <row r="46" spans="2:16" ht="15" x14ac:dyDescent="0.25">
      <c r="G46" s="31"/>
      <c r="J46" s="257"/>
      <c r="K46" s="257"/>
      <c r="L46" s="257"/>
      <c r="M46" s="257"/>
      <c r="N46" s="257"/>
      <c r="O46" s="257"/>
      <c r="P46" s="297">
        <f>IF(P45="","",IF(P45+1&gt;'Funnel setup'!$K$10,"",P45+1))</f>
        <v>25</v>
      </c>
    </row>
    <row r="47" spans="2:16" ht="15" x14ac:dyDescent="0.25">
      <c r="G47" s="31"/>
      <c r="J47" s="257"/>
      <c r="K47" s="257"/>
      <c r="L47" s="257"/>
      <c r="M47" s="257"/>
      <c r="N47" s="257"/>
      <c r="O47" s="257"/>
      <c r="P47" s="297">
        <f>IF(P46="","",IF(P46+1&gt;'Funnel setup'!$K$10,"",P46+1))</f>
        <v>26</v>
      </c>
    </row>
    <row r="48" spans="2:16" ht="15" x14ac:dyDescent="0.25">
      <c r="G48" s="31"/>
      <c r="J48" s="257"/>
      <c r="K48" s="257"/>
      <c r="L48" s="257"/>
      <c r="M48" s="257"/>
      <c r="N48" s="257"/>
      <c r="O48" s="257"/>
      <c r="P48" s="297">
        <f>IF(P47="","",IF(P47+1&gt;'Funnel setup'!$K$10,"",P47+1))</f>
        <v>27</v>
      </c>
    </row>
    <row r="49" spans="7:16" ht="15" x14ac:dyDescent="0.25">
      <c r="G49" s="31"/>
      <c r="J49" s="257"/>
      <c r="K49" s="257"/>
      <c r="L49" s="257"/>
      <c r="M49" s="257"/>
      <c r="N49" s="257"/>
      <c r="O49" s="257"/>
      <c r="P49" s="297">
        <f>IF(P48="","",IF(P48+1&gt;'Funnel setup'!$K$10,"",P48+1))</f>
        <v>28</v>
      </c>
    </row>
    <row r="50" spans="7:16" ht="15" x14ac:dyDescent="0.25">
      <c r="G50" s="31"/>
      <c r="J50" s="257"/>
      <c r="K50" s="257"/>
      <c r="L50" s="257"/>
      <c r="M50" s="257"/>
      <c r="N50" s="257"/>
      <c r="O50" s="257"/>
      <c r="P50" s="297">
        <f>IF(P49="","",IF(P49+1&gt;'Funnel setup'!$K$10,"",P49+1))</f>
        <v>29</v>
      </c>
    </row>
    <row r="51" spans="7:16" ht="15" x14ac:dyDescent="0.25">
      <c r="G51" s="31"/>
      <c r="J51" s="257"/>
      <c r="K51" s="257"/>
      <c r="L51" s="257"/>
      <c r="M51" s="257"/>
      <c r="N51" s="257"/>
      <c r="O51" s="257"/>
      <c r="P51" s="297">
        <f>IF(P50="","",IF(P50+1&gt;'Funnel setup'!$K$10,"",P50+1))</f>
        <v>30</v>
      </c>
    </row>
    <row r="52" spans="7:16" ht="15" x14ac:dyDescent="0.25">
      <c r="G52" s="31"/>
      <c r="J52" s="257"/>
      <c r="K52" s="257"/>
      <c r="L52" s="257"/>
      <c r="M52" s="257"/>
      <c r="N52" s="257"/>
      <c r="O52" s="257"/>
      <c r="P52" s="297">
        <f>IF(P51="","",IF(P51+1&gt;'Funnel setup'!$K$10,"",P51+1))</f>
        <v>31</v>
      </c>
    </row>
    <row r="53" spans="7:16" x14ac:dyDescent="0.2">
      <c r="J53" s="257"/>
      <c r="K53" s="257"/>
      <c r="L53" s="257"/>
      <c r="M53" s="257"/>
      <c r="N53" s="257"/>
      <c r="O53" s="257"/>
      <c r="P53" s="297">
        <f>IF(P52="","",IF(P52+1&gt;'Funnel setup'!$K$10,"",P52+1))</f>
        <v>32</v>
      </c>
    </row>
    <row r="54" spans="7:16" x14ac:dyDescent="0.2">
      <c r="J54" s="257"/>
      <c r="K54" s="257"/>
      <c r="L54" s="257"/>
      <c r="M54" s="257"/>
      <c r="N54" s="257"/>
      <c r="O54" s="257"/>
      <c r="P54" s="297">
        <f>IF(P53="","",IF(P53+1&gt;'Funnel setup'!$K$10,"",P53+1))</f>
        <v>33</v>
      </c>
    </row>
    <row r="55" spans="7:16" x14ac:dyDescent="0.2">
      <c r="J55" s="257"/>
      <c r="K55" s="257"/>
      <c r="L55" s="257"/>
      <c r="M55" s="257"/>
      <c r="N55" s="257"/>
      <c r="O55" s="257"/>
      <c r="P55" s="297">
        <f>IF(P54="","",IF(P54+1&gt;'Funnel setup'!$K$10,"",P54+1))</f>
        <v>34</v>
      </c>
    </row>
    <row r="56" spans="7:16" x14ac:dyDescent="0.2">
      <c r="J56" s="257"/>
      <c r="K56" s="257"/>
      <c r="L56" s="257"/>
      <c r="M56" s="257"/>
      <c r="N56" s="257"/>
      <c r="O56" s="257"/>
      <c r="P56" s="297">
        <f>IF(P55="","",IF(P55+1&gt;'Funnel setup'!$K$10,"",P55+1))</f>
        <v>35</v>
      </c>
    </row>
    <row r="57" spans="7:16" x14ac:dyDescent="0.2">
      <c r="J57" s="257"/>
      <c r="K57" s="257"/>
      <c r="L57" s="257"/>
      <c r="M57" s="257"/>
      <c r="N57" s="257"/>
      <c r="O57" s="257"/>
      <c r="P57" s="297">
        <f>IF(P56="","",IF(P56+1&gt;'Funnel setup'!$K$10,"",P56+1))</f>
        <v>36</v>
      </c>
    </row>
    <row r="58" spans="7:16" x14ac:dyDescent="0.2">
      <c r="J58" s="257"/>
      <c r="K58" s="257"/>
      <c r="L58" s="257"/>
      <c r="M58" s="257"/>
      <c r="N58" s="257"/>
      <c r="O58" s="257"/>
      <c r="P58" s="297">
        <f>IF(P57="","",IF(P57+1&gt;'Funnel setup'!$K$10,"",P57+1))</f>
        <v>37</v>
      </c>
    </row>
    <row r="59" spans="7:16" x14ac:dyDescent="0.2">
      <c r="J59" s="257"/>
      <c r="K59" s="257"/>
      <c r="L59" s="257"/>
      <c r="M59" s="257"/>
      <c r="N59" s="257"/>
      <c r="O59" s="257"/>
      <c r="P59" s="297">
        <f>IF(P58="","",IF(P58+1&gt;'Funnel setup'!$K$10,"",P58+1))</f>
        <v>38</v>
      </c>
    </row>
    <row r="60" spans="7:16" x14ac:dyDescent="0.2">
      <c r="J60" s="257"/>
      <c r="K60" s="257"/>
      <c r="L60" s="257"/>
      <c r="M60" s="257"/>
      <c r="N60" s="257"/>
      <c r="O60" s="257"/>
      <c r="P60" s="297">
        <f>IF(P59="","",IF(P59+1&gt;'Funnel setup'!$K$10,"",P59+1))</f>
        <v>39</v>
      </c>
    </row>
    <row r="61" spans="7:16" x14ac:dyDescent="0.2">
      <c r="J61" s="257"/>
      <c r="K61" s="257"/>
      <c r="L61" s="257"/>
      <c r="M61" s="257"/>
      <c r="N61" s="257"/>
      <c r="O61" s="257"/>
      <c r="P61" s="297">
        <f>IF(P60="","",IF(P60+1&gt;'Funnel setup'!$K$10,"",P60+1))</f>
        <v>40</v>
      </c>
    </row>
    <row r="62" spans="7:16" x14ac:dyDescent="0.2">
      <c r="J62" s="257"/>
      <c r="K62" s="257"/>
      <c r="L62" s="257"/>
      <c r="M62" s="257"/>
      <c r="N62" s="257"/>
      <c r="O62" s="257"/>
      <c r="P62" s="297">
        <f>IF(P61="","",IF(P61+1&gt;'Funnel setup'!$K$10,"",P61+1))</f>
        <v>41</v>
      </c>
    </row>
    <row r="63" spans="7:16" x14ac:dyDescent="0.2">
      <c r="J63" s="257"/>
      <c r="K63" s="257"/>
      <c r="L63" s="257"/>
      <c r="M63" s="257"/>
      <c r="N63" s="257"/>
      <c r="O63" s="257"/>
      <c r="P63" s="297">
        <f>IF(P62="","",IF(P62+1&gt;'Funnel setup'!$K$10,"",P62+1))</f>
        <v>42</v>
      </c>
    </row>
    <row r="64" spans="7:16" x14ac:dyDescent="0.2">
      <c r="J64" s="257"/>
      <c r="K64" s="257"/>
      <c r="L64" s="257"/>
      <c r="M64" s="257"/>
      <c r="N64" s="257"/>
      <c r="O64" s="257"/>
      <c r="P64" s="297">
        <f>IF(P63="","",IF(P63+1&gt;'Funnel setup'!$K$10,"",P63+1))</f>
        <v>43</v>
      </c>
    </row>
    <row r="65" spans="10:16" x14ac:dyDescent="0.2">
      <c r="J65" s="257"/>
      <c r="K65" s="257"/>
      <c r="L65" s="257"/>
      <c r="M65" s="257"/>
      <c r="N65" s="257"/>
      <c r="O65" s="257"/>
      <c r="P65" s="297">
        <f>IF(P64="","",IF(P64+1&gt;'Funnel setup'!$K$10,"",P64+1))</f>
        <v>44</v>
      </c>
    </row>
    <row r="66" spans="10:16" x14ac:dyDescent="0.2">
      <c r="J66" s="257"/>
      <c r="K66" s="257"/>
      <c r="L66" s="257"/>
      <c r="M66" s="257"/>
      <c r="N66" s="257"/>
      <c r="O66" s="257"/>
      <c r="P66" s="297">
        <f>IF(P65="","",IF(P65+1&gt;'Funnel setup'!$K$10,"",P65+1))</f>
        <v>45</v>
      </c>
    </row>
    <row r="67" spans="10:16" x14ac:dyDescent="0.2">
      <c r="J67" s="257"/>
      <c r="K67" s="257"/>
      <c r="L67" s="257"/>
      <c r="M67" s="257"/>
      <c r="N67" s="257"/>
      <c r="O67" s="257"/>
      <c r="P67" s="297">
        <f>IF(P66="","",IF(P66+1&gt;'Funnel setup'!$K$10,"",P66+1))</f>
        <v>46</v>
      </c>
    </row>
    <row r="68" spans="10:16" x14ac:dyDescent="0.2">
      <c r="J68" s="257"/>
      <c r="K68" s="257"/>
      <c r="L68" s="257"/>
      <c r="M68" s="257"/>
      <c r="N68" s="257"/>
      <c r="O68" s="257"/>
      <c r="P68" s="297">
        <f>IF(P67="","",IF(P67+1&gt;'Funnel setup'!$K$10,"",P67+1))</f>
        <v>47</v>
      </c>
    </row>
    <row r="69" spans="10:16" x14ac:dyDescent="0.2">
      <c r="J69" s="257"/>
      <c r="K69" s="257"/>
      <c r="L69" s="257"/>
      <c r="M69" s="257"/>
      <c r="N69" s="257"/>
      <c r="O69" s="257"/>
      <c r="P69" s="297">
        <f>IF(P68="","",IF(P68+1&gt;'Funnel setup'!$K$10,"",P68+1))</f>
        <v>48</v>
      </c>
    </row>
    <row r="70" spans="10:16" x14ac:dyDescent="0.2">
      <c r="J70" s="257"/>
      <c r="K70" s="257"/>
      <c r="L70" s="257"/>
      <c r="M70" s="257"/>
      <c r="N70" s="257"/>
      <c r="O70" s="257"/>
      <c r="P70" s="297">
        <f>IF(P69="","",IF(P69+1&gt;'Funnel setup'!$K$10,"",P69+1))</f>
        <v>49</v>
      </c>
    </row>
    <row r="71" spans="10:16" x14ac:dyDescent="0.2">
      <c r="J71" s="257"/>
      <c r="K71" s="257"/>
      <c r="L71" s="257"/>
      <c r="M71" s="257"/>
      <c r="N71" s="257"/>
      <c r="O71" s="257"/>
      <c r="P71" s="297">
        <f>IF(P70="","",IF(P70+1&gt;'Funnel setup'!$K$10,"",P70+1))</f>
        <v>50</v>
      </c>
    </row>
    <row r="72" spans="10:16" x14ac:dyDescent="0.2">
      <c r="J72" s="257"/>
      <c r="K72" s="257"/>
      <c r="L72" s="257"/>
      <c r="M72" s="257"/>
      <c r="N72" s="257"/>
      <c r="O72" s="257"/>
      <c r="P72" s="297">
        <f>IF(P71="","",IF(P71+1&gt;'Funnel setup'!$K$10,"",P71+1))</f>
        <v>51</v>
      </c>
    </row>
    <row r="73" spans="10:16" x14ac:dyDescent="0.2">
      <c r="J73" s="257"/>
      <c r="K73" s="257"/>
      <c r="L73" s="257"/>
      <c r="M73" s="257"/>
      <c r="N73" s="257"/>
      <c r="O73" s="257"/>
      <c r="P73" s="297">
        <f>IF(P72="","",IF(P72+1&gt;'Funnel setup'!$K$10,"",P72+1))</f>
        <v>52</v>
      </c>
    </row>
    <row r="74" spans="10:16" x14ac:dyDescent="0.2">
      <c r="J74" s="257"/>
      <c r="K74" s="257"/>
      <c r="L74" s="257"/>
      <c r="M74" s="257"/>
      <c r="N74" s="257"/>
      <c r="O74" s="257"/>
      <c r="P74" s="297">
        <f>IF(P73="","",IF(P73+1&gt;'Funnel setup'!$K$10,"",P73+1))</f>
        <v>53</v>
      </c>
    </row>
    <row r="75" spans="10:16" x14ac:dyDescent="0.2">
      <c r="J75" s="257"/>
      <c r="K75" s="257"/>
      <c r="L75" s="257"/>
      <c r="M75" s="257"/>
      <c r="N75" s="257"/>
      <c r="O75" s="257"/>
      <c r="P75" s="297">
        <f>IF(P74="","",IF(P74+1&gt;'Funnel setup'!$K$10,"",P74+1))</f>
        <v>54</v>
      </c>
    </row>
    <row r="76" spans="10:16" x14ac:dyDescent="0.2">
      <c r="J76" s="257"/>
      <c r="K76" s="257"/>
      <c r="L76" s="257"/>
      <c r="M76" s="257"/>
      <c r="N76" s="257"/>
      <c r="O76" s="257"/>
      <c r="P76" s="297">
        <f>IF(P75="","",IF(P75+1&gt;'Funnel setup'!$K$10,"",P75+1))</f>
        <v>55</v>
      </c>
    </row>
    <row r="77" spans="10:16" x14ac:dyDescent="0.2">
      <c r="J77" s="257"/>
      <c r="K77" s="257"/>
      <c r="L77" s="257"/>
      <c r="M77" s="257"/>
      <c r="N77" s="257"/>
      <c r="O77" s="257"/>
      <c r="P77" s="297">
        <f>IF(P76="","",IF(P76+1&gt;'Funnel setup'!$K$10,"",P76+1))</f>
        <v>56</v>
      </c>
    </row>
    <row r="78" spans="10:16" x14ac:dyDescent="0.2">
      <c r="J78" s="257"/>
      <c r="K78" s="257"/>
      <c r="L78" s="257"/>
      <c r="M78" s="257"/>
      <c r="N78" s="257"/>
      <c r="O78" s="257"/>
      <c r="P78" s="297">
        <f>IF(P77="","",IF(P77+1&gt;'Funnel setup'!$K$10,"",P77+1))</f>
        <v>57</v>
      </c>
    </row>
    <row r="79" spans="10:16" x14ac:dyDescent="0.2">
      <c r="J79" s="257"/>
      <c r="K79" s="257"/>
      <c r="L79" s="257"/>
      <c r="M79" s="257"/>
      <c r="N79" s="257"/>
      <c r="O79" s="257"/>
      <c r="P79" s="297">
        <f>IF(P78="","",IF(P78+1&gt;'Funnel setup'!$K$10,"",P78+1))</f>
        <v>58</v>
      </c>
    </row>
    <row r="80" spans="10:16" x14ac:dyDescent="0.2">
      <c r="J80" s="257"/>
      <c r="K80" s="257"/>
      <c r="L80" s="257"/>
      <c r="M80" s="257"/>
      <c r="N80" s="257"/>
      <c r="O80" s="257"/>
      <c r="P80" s="297">
        <f>IF(P79="","",IF(P79+1&gt;'Funnel setup'!$K$10,"",P79+1))</f>
        <v>59</v>
      </c>
    </row>
    <row r="81" spans="10:16" x14ac:dyDescent="0.2">
      <c r="J81" s="257"/>
      <c r="K81" s="257"/>
      <c r="L81" s="257"/>
      <c r="M81" s="257"/>
      <c r="N81" s="257"/>
      <c r="O81" s="257"/>
      <c r="P81" s="297">
        <f>IF(P80="","",IF(P80+1&gt;'Funnel setup'!$K$10,"",P80+1))</f>
        <v>60</v>
      </c>
    </row>
    <row r="82" spans="10:16" x14ac:dyDescent="0.2">
      <c r="J82" s="257"/>
      <c r="K82" s="257"/>
      <c r="L82" s="257"/>
      <c r="M82" s="257"/>
      <c r="N82" s="257"/>
      <c r="O82" s="257"/>
      <c r="P82" s="297">
        <f>IF(P81="","",IF(P81+1&gt;'Funnel setup'!$K$10,"",P81+1))</f>
        <v>61</v>
      </c>
    </row>
    <row r="83" spans="10:16" x14ac:dyDescent="0.2">
      <c r="J83" s="257"/>
      <c r="K83" s="257"/>
      <c r="L83" s="257"/>
      <c r="M83" s="257"/>
      <c r="N83" s="257"/>
      <c r="O83" s="257"/>
      <c r="P83" s="297">
        <f>IF(P82="","",IF(P82+1&gt;'Funnel setup'!$K$10,"",P82+1))</f>
        <v>62</v>
      </c>
    </row>
    <row r="84" spans="10:16" x14ac:dyDescent="0.2">
      <c r="J84" s="257"/>
      <c r="K84" s="257"/>
      <c r="L84" s="257"/>
      <c r="M84" s="257"/>
      <c r="N84" s="257"/>
      <c r="O84" s="257"/>
      <c r="P84" s="297">
        <f>IF(P83="","",IF(P83+1&gt;'Funnel setup'!$K$10,"",P83+1))</f>
        <v>63</v>
      </c>
    </row>
    <row r="85" spans="10:16" x14ac:dyDescent="0.2">
      <c r="J85" s="257"/>
      <c r="K85" s="257"/>
      <c r="L85" s="257"/>
      <c r="M85" s="257"/>
      <c r="N85" s="257"/>
      <c r="O85" s="257"/>
      <c r="P85" s="297">
        <f>IF(P84="","",IF(P84+1&gt;'Funnel setup'!$K$10,"",P84+1))</f>
        <v>64</v>
      </c>
    </row>
    <row r="86" spans="10:16" x14ac:dyDescent="0.2">
      <c r="J86" s="257"/>
      <c r="K86" s="257"/>
      <c r="L86" s="257"/>
      <c r="M86" s="257"/>
      <c r="N86" s="257"/>
      <c r="O86" s="257"/>
      <c r="P86" s="297">
        <f>IF(P85="","",IF(P85+1&gt;'Funnel setup'!$K$10,"",P85+1))</f>
        <v>65</v>
      </c>
    </row>
    <row r="87" spans="10:16" x14ac:dyDescent="0.2">
      <c r="J87" s="257"/>
      <c r="K87" s="257"/>
      <c r="L87" s="257"/>
      <c r="M87" s="257"/>
      <c r="N87" s="257"/>
      <c r="O87" s="257"/>
      <c r="P87" s="297">
        <f>IF(P86="","",IF(P86+1&gt;'Funnel setup'!$K$10,"",P86+1))</f>
        <v>66</v>
      </c>
    </row>
    <row r="88" spans="10:16" x14ac:dyDescent="0.2">
      <c r="J88" s="257"/>
      <c r="K88" s="257"/>
      <c r="L88" s="257"/>
      <c r="M88" s="257"/>
      <c r="N88" s="257"/>
      <c r="O88" s="257"/>
      <c r="P88" s="297">
        <f>IF(P87="","",IF(P87+1&gt;'Funnel setup'!$K$10,"",P87+1))</f>
        <v>67</v>
      </c>
    </row>
    <row r="89" spans="10:16" x14ac:dyDescent="0.2">
      <c r="J89" s="257"/>
      <c r="K89" s="257"/>
      <c r="L89" s="257"/>
      <c r="M89" s="257"/>
      <c r="N89" s="257"/>
      <c r="O89" s="257"/>
      <c r="P89" s="297">
        <f>IF(P88="","",IF(P88+1&gt;'Funnel setup'!$K$10,"",P88+1))</f>
        <v>68</v>
      </c>
    </row>
    <row r="90" spans="10:16" x14ac:dyDescent="0.2">
      <c r="J90" s="257"/>
      <c r="K90" s="257"/>
      <c r="L90" s="257"/>
      <c r="M90" s="257"/>
      <c r="N90" s="257"/>
      <c r="O90" s="257"/>
      <c r="P90" s="297">
        <f>IF(P89="","",IF(P89+1&gt;'Funnel setup'!$K$10,"",P89+1))</f>
        <v>69</v>
      </c>
    </row>
    <row r="91" spans="10:16" x14ac:dyDescent="0.2">
      <c r="J91" s="257"/>
      <c r="K91" s="257"/>
      <c r="L91" s="257"/>
      <c r="M91" s="257"/>
      <c r="N91" s="257"/>
      <c r="O91" s="257"/>
      <c r="P91" s="297">
        <f>IF(P90="","",IF(P90+1&gt;'Funnel setup'!$K$10,"",P90+1))</f>
        <v>70</v>
      </c>
    </row>
    <row r="92" spans="10:16" x14ac:dyDescent="0.2">
      <c r="J92" s="257"/>
      <c r="K92" s="257"/>
      <c r="L92" s="257"/>
      <c r="M92" s="257"/>
      <c r="N92" s="257"/>
      <c r="O92" s="257"/>
      <c r="P92" s="297">
        <f>IF(P91="","",IF(P91+1&gt;'Funnel setup'!$K$10,"",P91+1))</f>
        <v>71</v>
      </c>
    </row>
    <row r="93" spans="10:16" x14ac:dyDescent="0.2">
      <c r="J93" s="257"/>
      <c r="K93" s="257"/>
      <c r="L93" s="257"/>
      <c r="M93" s="257"/>
      <c r="N93" s="257"/>
      <c r="O93" s="257"/>
      <c r="P93" s="297">
        <f>IF(P92="","",IF(P92+1&gt;'Funnel setup'!$K$10,"",P92+1))</f>
        <v>72</v>
      </c>
    </row>
    <row r="94" spans="10:16" x14ac:dyDescent="0.2">
      <c r="J94" s="257"/>
      <c r="K94" s="257"/>
      <c r="L94" s="257"/>
      <c r="M94" s="257"/>
      <c r="N94" s="257"/>
      <c r="O94" s="257"/>
      <c r="P94" s="297">
        <f>IF(P93="","",IF(P93+1&gt;'Funnel setup'!$K$10,"",P93+1))</f>
        <v>73</v>
      </c>
    </row>
    <row r="95" spans="10:16" x14ac:dyDescent="0.2">
      <c r="J95" s="257"/>
      <c r="K95" s="257"/>
      <c r="L95" s="257"/>
      <c r="M95" s="257"/>
      <c r="N95" s="257"/>
      <c r="O95" s="257"/>
      <c r="P95" s="297">
        <f>IF(P94="","",IF(P94+1&gt;'Funnel setup'!$K$10,"",P94+1))</f>
        <v>74</v>
      </c>
    </row>
    <row r="96" spans="10:16" x14ac:dyDescent="0.2">
      <c r="J96" s="257"/>
      <c r="K96" s="257"/>
      <c r="L96" s="257"/>
      <c r="M96" s="257"/>
      <c r="N96" s="257"/>
      <c r="O96" s="257"/>
      <c r="P96" s="297">
        <f>IF(P95="","",IF(P95+1&gt;'Funnel setup'!$K$10,"",P95+1))</f>
        <v>75</v>
      </c>
    </row>
    <row r="97" spans="10:16" x14ac:dyDescent="0.2">
      <c r="J97" s="257"/>
      <c r="K97" s="257"/>
      <c r="L97" s="257"/>
      <c r="M97" s="257"/>
      <c r="N97" s="257"/>
      <c r="O97" s="257"/>
      <c r="P97" s="297">
        <f>IF(P96="","",IF(P96+1&gt;'Funnel setup'!$K$10,"",P96+1))</f>
        <v>76</v>
      </c>
    </row>
    <row r="98" spans="10:16" x14ac:dyDescent="0.2">
      <c r="J98" s="257"/>
      <c r="K98" s="257"/>
      <c r="L98" s="257"/>
      <c r="M98" s="257"/>
      <c r="N98" s="257"/>
      <c r="O98" s="257"/>
      <c r="P98" s="297">
        <f>IF(P97="","",IF(P97+1&gt;'Funnel setup'!$K$10,"",P97+1))</f>
        <v>77</v>
      </c>
    </row>
    <row r="99" spans="10:16" x14ac:dyDescent="0.2">
      <c r="J99" s="257"/>
      <c r="K99" s="257"/>
      <c r="L99" s="257"/>
      <c r="M99" s="257"/>
      <c r="N99" s="257"/>
      <c r="O99" s="257"/>
      <c r="P99" s="297">
        <f>IF(P98="","",IF(P98+1&gt;'Funnel setup'!$K$10,"",P98+1))</f>
        <v>78</v>
      </c>
    </row>
    <row r="100" spans="10:16" x14ac:dyDescent="0.2">
      <c r="J100" s="257"/>
      <c r="K100" s="257"/>
      <c r="L100" s="257"/>
      <c r="M100" s="257"/>
      <c r="N100" s="257"/>
      <c r="O100" s="257"/>
      <c r="P100" s="297">
        <f>IF(P99="","",IF(P99+1&gt;'Funnel setup'!$K$10,"",P99+1))</f>
        <v>79</v>
      </c>
    </row>
    <row r="101" spans="10:16" x14ac:dyDescent="0.2">
      <c r="J101" s="257"/>
      <c r="K101" s="257"/>
      <c r="L101" s="257"/>
      <c r="M101" s="257"/>
      <c r="N101" s="257"/>
      <c r="O101" s="257"/>
      <c r="P101" s="297">
        <f>IF(P100="","",IF(P100+1&gt;'Funnel setup'!$K$10,"",P100+1))</f>
        <v>80</v>
      </c>
    </row>
    <row r="102" spans="10:16" x14ac:dyDescent="0.2">
      <c r="J102" s="257"/>
      <c r="K102" s="257"/>
      <c r="L102" s="257"/>
      <c r="M102" s="257"/>
      <c r="N102" s="257"/>
      <c r="O102" s="257"/>
      <c r="P102" s="297">
        <f>IF(P101="","",IF(P101+1&gt;'Funnel setup'!$K$10,"",P101+1))</f>
        <v>81</v>
      </c>
    </row>
    <row r="103" spans="10:16" x14ac:dyDescent="0.2">
      <c r="J103" s="257"/>
      <c r="K103" s="257"/>
      <c r="L103" s="257"/>
      <c r="M103" s="257"/>
      <c r="N103" s="257"/>
      <c r="O103" s="257"/>
      <c r="P103" s="297">
        <f>IF(P102="","",IF(P102+1&gt;'Funnel setup'!$K$10,"",P102+1))</f>
        <v>82</v>
      </c>
    </row>
    <row r="104" spans="10:16" x14ac:dyDescent="0.2">
      <c r="J104" s="257"/>
      <c r="K104" s="257"/>
      <c r="L104" s="257"/>
      <c r="M104" s="257"/>
      <c r="N104" s="257"/>
      <c r="O104" s="257"/>
      <c r="P104" s="297">
        <f>IF(P103="","",IF(P103+1&gt;'Funnel setup'!$K$10,"",P103+1))</f>
        <v>83</v>
      </c>
    </row>
    <row r="105" spans="10:16" x14ac:dyDescent="0.2">
      <c r="J105" s="257"/>
      <c r="K105" s="257"/>
      <c r="L105" s="257"/>
      <c r="M105" s="257"/>
      <c r="N105" s="257"/>
      <c r="O105" s="257"/>
      <c r="P105" s="297">
        <f>IF(P104="","",IF(P104+1&gt;'Funnel setup'!$K$10,"",P104+1))</f>
        <v>84</v>
      </c>
    </row>
    <row r="106" spans="10:16" x14ac:dyDescent="0.2">
      <c r="J106" s="257"/>
      <c r="K106" s="257"/>
      <c r="L106" s="257"/>
      <c r="M106" s="257"/>
      <c r="N106" s="257"/>
      <c r="O106" s="257"/>
      <c r="P106" s="297">
        <f>IF(P105="","",IF(P105+1&gt;'Funnel setup'!$K$10,"",P105+1))</f>
        <v>85</v>
      </c>
    </row>
    <row r="107" spans="10:16" x14ac:dyDescent="0.2">
      <c r="J107" s="257"/>
      <c r="K107" s="257"/>
      <c r="L107" s="257"/>
      <c r="M107" s="257"/>
      <c r="N107" s="257"/>
      <c r="O107" s="257"/>
      <c r="P107" s="297">
        <f>IF(P106="","",IF(P106+1&gt;'Funnel setup'!$K$10,"",P106+1))</f>
        <v>86</v>
      </c>
    </row>
    <row r="108" spans="10:16" x14ac:dyDescent="0.2">
      <c r="J108" s="257"/>
      <c r="K108" s="257"/>
      <c r="L108" s="257"/>
      <c r="M108" s="257"/>
      <c r="N108" s="257"/>
      <c r="O108" s="257"/>
      <c r="P108" s="297">
        <f>IF(P107="","",IF(P107+1&gt;'Funnel setup'!$K$10,"",P107+1))</f>
        <v>87</v>
      </c>
    </row>
    <row r="109" spans="10:16" x14ac:dyDescent="0.2">
      <c r="J109" s="257"/>
      <c r="K109" s="257"/>
      <c r="L109" s="257"/>
      <c r="M109" s="257"/>
      <c r="N109" s="257"/>
      <c r="O109" s="257"/>
      <c r="P109" s="297">
        <f>IF(P108="","",IF(P108+1&gt;'Funnel setup'!$K$10,"",P108+1))</f>
        <v>88</v>
      </c>
    </row>
    <row r="110" spans="10:16" x14ac:dyDescent="0.2">
      <c r="J110" s="257"/>
      <c r="K110" s="257"/>
      <c r="L110" s="257"/>
      <c r="M110" s="257"/>
      <c r="N110" s="257"/>
      <c r="O110" s="257"/>
      <c r="P110" s="297">
        <f>IF(P109="","",IF(P109+1&gt;'Funnel setup'!$K$10,"",P109+1))</f>
        <v>89</v>
      </c>
    </row>
    <row r="111" spans="10:16" x14ac:dyDescent="0.2">
      <c r="J111" s="257"/>
      <c r="K111" s="257"/>
      <c r="L111" s="257"/>
      <c r="M111" s="257"/>
      <c r="N111" s="257"/>
      <c r="O111" s="257"/>
      <c r="P111" s="297">
        <f>IF(P110="","",IF(P110+1&gt;'Funnel setup'!$K$10,"",P110+1))</f>
        <v>90</v>
      </c>
    </row>
    <row r="112" spans="10:16" x14ac:dyDescent="0.2">
      <c r="J112" s="257"/>
      <c r="K112" s="257"/>
      <c r="L112" s="257"/>
      <c r="M112" s="257"/>
      <c r="N112" s="257"/>
      <c r="O112" s="257"/>
      <c r="P112" s="297">
        <f>IF(P111="","",IF(P111+1&gt;'Funnel setup'!$K$10,"",P111+1))</f>
        <v>91</v>
      </c>
    </row>
    <row r="113" spans="10:16" x14ac:dyDescent="0.2">
      <c r="J113" s="257"/>
      <c r="K113" s="257"/>
      <c r="L113" s="257"/>
      <c r="M113" s="257"/>
      <c r="N113" s="257"/>
      <c r="O113" s="257"/>
      <c r="P113" s="297">
        <f>IF(P112="","",IF(P112+1&gt;'Funnel setup'!$K$10,"",P112+1))</f>
        <v>92</v>
      </c>
    </row>
    <row r="114" spans="10:16" x14ac:dyDescent="0.2">
      <c r="J114" s="257"/>
      <c r="K114" s="257"/>
      <c r="L114" s="257"/>
      <c r="M114" s="257"/>
      <c r="N114" s="257"/>
      <c r="O114" s="257"/>
      <c r="P114" s="297">
        <f>IF(P113="","",IF(P113+1&gt;'Funnel setup'!$K$10,"",P113+1))</f>
        <v>93</v>
      </c>
    </row>
    <row r="115" spans="10:16" x14ac:dyDescent="0.2">
      <c r="J115" s="257"/>
      <c r="K115" s="257"/>
      <c r="L115" s="257"/>
      <c r="M115" s="257"/>
      <c r="N115" s="257"/>
      <c r="O115" s="257"/>
      <c r="P115" s="297">
        <f>IF(P114="","",IF(P114+1&gt;'Funnel setup'!$K$10,"",P114+1))</f>
        <v>94</v>
      </c>
    </row>
    <row r="116" spans="10:16" x14ac:dyDescent="0.2">
      <c r="J116" s="257"/>
      <c r="K116" s="257"/>
      <c r="L116" s="257"/>
      <c r="M116" s="257"/>
      <c r="N116" s="257"/>
      <c r="O116" s="257"/>
      <c r="P116" s="297">
        <f>IF(P115="","",IF(P115+1&gt;'Funnel setup'!$K$10,"",P115+1))</f>
        <v>95</v>
      </c>
    </row>
    <row r="117" spans="10:16" x14ac:dyDescent="0.2">
      <c r="J117" s="257"/>
      <c r="K117" s="257"/>
      <c r="L117" s="257"/>
      <c r="M117" s="257"/>
      <c r="N117" s="257"/>
      <c r="O117" s="257"/>
      <c r="P117" s="297">
        <f>IF(P116="","",IF(P116+1&gt;'Funnel setup'!$K$10,"",P116+1))</f>
        <v>96</v>
      </c>
    </row>
    <row r="118" spans="10:16" x14ac:dyDescent="0.2">
      <c r="J118" s="257"/>
      <c r="K118" s="257"/>
      <c r="L118" s="257"/>
      <c r="M118" s="257"/>
      <c r="N118" s="257"/>
      <c r="O118" s="257"/>
      <c r="P118" s="297">
        <f>IF(P117="","",IF(P117+1&gt;'Funnel setup'!$K$10,"",P117+1))</f>
        <v>97</v>
      </c>
    </row>
    <row r="119" spans="10:16" x14ac:dyDescent="0.2">
      <c r="J119" s="257"/>
      <c r="K119" s="257"/>
      <c r="L119" s="257"/>
      <c r="M119" s="257"/>
      <c r="N119" s="257"/>
      <c r="O119" s="257"/>
      <c r="P119" s="297">
        <f>IF(P118="","",IF(P118+1&gt;'Funnel setup'!$K$10,"",P118+1))</f>
        <v>98</v>
      </c>
    </row>
    <row r="120" spans="10:16" x14ac:dyDescent="0.2">
      <c r="J120" s="257"/>
      <c r="K120" s="257"/>
      <c r="L120" s="257"/>
      <c r="M120" s="257"/>
      <c r="N120" s="257"/>
      <c r="O120" s="257"/>
      <c r="P120" s="297">
        <f>IF(P119="","",IF(P119+1&gt;'Funnel setup'!$K$10,"",P119+1))</f>
        <v>99</v>
      </c>
    </row>
    <row r="121" spans="10:16" x14ac:dyDescent="0.2">
      <c r="J121" s="257"/>
      <c r="K121" s="257"/>
      <c r="L121" s="257"/>
      <c r="M121" s="257"/>
      <c r="N121" s="257"/>
      <c r="O121" s="257"/>
      <c r="P121" s="297">
        <f>IF(P120="","",IF(P120+1&gt;'Funnel setup'!$K$10,"",P120+1))</f>
        <v>100</v>
      </c>
    </row>
    <row r="122" spans="10:16" x14ac:dyDescent="0.2">
      <c r="P122" s="297">
        <f>IF(P121="","",IF(P121+1&gt;'Funnel setup'!$K$10,"",P121+1))</f>
        <v>101</v>
      </c>
    </row>
    <row r="123" spans="10:16" x14ac:dyDescent="0.2">
      <c r="P123" s="297">
        <f>IF(P122="","",IF(P122+1&gt;'Funnel setup'!$K$10,"",P122+1))</f>
        <v>102</v>
      </c>
    </row>
    <row r="124" spans="10:16" x14ac:dyDescent="0.2">
      <c r="P124" s="297">
        <f>IF(P123="","",IF(P123+1&gt;'Funnel setup'!$K$10,"",P123+1))</f>
        <v>103</v>
      </c>
    </row>
    <row r="125" spans="10:16" x14ac:dyDescent="0.2">
      <c r="P125" s="297">
        <f>IF(P124="","",IF(P124+1&gt;'Funnel setup'!$K$10,"",P124+1))</f>
        <v>104</v>
      </c>
    </row>
    <row r="126" spans="10:16" x14ac:dyDescent="0.2">
      <c r="P126" s="297">
        <f>IF(P125="","",IF(P125+1&gt;'Funnel setup'!$K$10,"",P125+1))</f>
        <v>105</v>
      </c>
    </row>
    <row r="127" spans="10:16" x14ac:dyDescent="0.2">
      <c r="P127" s="297">
        <f>IF(P126="","",IF(P126+1&gt;'Funnel setup'!$K$10,"",P126+1))</f>
        <v>106</v>
      </c>
    </row>
    <row r="128" spans="10:16" x14ac:dyDescent="0.2">
      <c r="P128" s="297">
        <f>IF(P127="","",IF(P127+1&gt;'Funnel setup'!$K$10,"",P127+1))</f>
        <v>107</v>
      </c>
    </row>
    <row r="129" spans="16:16" x14ac:dyDescent="0.2">
      <c r="P129" s="297">
        <f>IF(P128="","",IF(P128+1&gt;'Funnel setup'!$K$10,"",P128+1))</f>
        <v>108</v>
      </c>
    </row>
    <row r="130" spans="16:16" x14ac:dyDescent="0.2">
      <c r="P130" s="297">
        <f>IF(P129="","",IF(P129+1&gt;'Funnel setup'!$K$10,"",P129+1))</f>
        <v>109</v>
      </c>
    </row>
    <row r="131" spans="16:16" x14ac:dyDescent="0.2">
      <c r="P131" s="297">
        <f>IF(P130="","",IF(P130+1&gt;'Funnel setup'!$K$10,"",P130+1))</f>
        <v>110</v>
      </c>
    </row>
    <row r="132" spans="16:16" x14ac:dyDescent="0.2">
      <c r="P132" s="297">
        <f>IF(P131="","",IF(P131+1&gt;'Funnel setup'!$K$10,"",P131+1))</f>
        <v>111</v>
      </c>
    </row>
    <row r="133" spans="16:16" x14ac:dyDescent="0.2">
      <c r="P133" s="297">
        <f>IF(P132="","",IF(P132+1&gt;'Funnel setup'!$K$10,"",P132+1))</f>
        <v>112</v>
      </c>
    </row>
    <row r="134" spans="16:16" x14ac:dyDescent="0.2">
      <c r="P134" s="297">
        <f>IF(P133="","",IF(P133+1&gt;'Funnel setup'!$K$10,"",P133+1))</f>
        <v>113</v>
      </c>
    </row>
    <row r="135" spans="16:16" x14ac:dyDescent="0.2">
      <c r="P135" s="297">
        <f>IF(P134="","",IF(P134+1&gt;'Funnel setup'!$K$10,"",P134+1))</f>
        <v>114</v>
      </c>
    </row>
    <row r="136" spans="16:16" x14ac:dyDescent="0.2">
      <c r="P136" s="297">
        <f>IF(P135="","",IF(P135+1&gt;'Funnel setup'!$K$10,"",P135+1))</f>
        <v>115</v>
      </c>
    </row>
    <row r="137" spans="16:16" x14ac:dyDescent="0.2">
      <c r="P137" s="297">
        <f>IF(P136="","",IF(P136+1&gt;'Funnel setup'!$K$10,"",P136+1))</f>
        <v>116</v>
      </c>
    </row>
    <row r="138" spans="16:16" x14ac:dyDescent="0.2">
      <c r="P138" s="297">
        <f>IF(P137="","",IF(P137+1&gt;'Funnel setup'!$K$10,"",P137+1))</f>
        <v>117</v>
      </c>
    </row>
    <row r="139" spans="16:16" x14ac:dyDescent="0.2">
      <c r="P139" s="297">
        <f>IF(P138="","",IF(P138+1&gt;'Funnel setup'!$K$10,"",P138+1))</f>
        <v>118</v>
      </c>
    </row>
    <row r="140" spans="16:16" x14ac:dyDescent="0.2">
      <c r="P140" s="297">
        <f>IF(P139="","",IF(P139+1&gt;'Funnel setup'!$K$10,"",P139+1))</f>
        <v>119</v>
      </c>
    </row>
    <row r="141" spans="16:16" x14ac:dyDescent="0.2">
      <c r="P141" s="297">
        <f>IF(P140="","",IF(P140+1&gt;'Funnel setup'!$K$10,"",P140+1))</f>
        <v>120</v>
      </c>
    </row>
    <row r="142" spans="16:16" x14ac:dyDescent="0.2">
      <c r="P142" s="297">
        <f>IF(P141="","",IF(P141+1&gt;'Funnel setup'!$K$10,"",P141+1))</f>
        <v>121</v>
      </c>
    </row>
    <row r="143" spans="16:16" x14ac:dyDescent="0.2">
      <c r="P143" s="297">
        <f>IF(P142="","",IF(P142+1&gt;'Funnel setup'!$K$10,"",P142+1))</f>
        <v>122</v>
      </c>
    </row>
    <row r="144" spans="16:16" x14ac:dyDescent="0.2">
      <c r="P144" s="297">
        <f>IF(P143="","",IF(P143+1&gt;'Funnel setup'!$K$10,"",P143+1))</f>
        <v>123</v>
      </c>
    </row>
    <row r="145" spans="16:16" x14ac:dyDescent="0.2">
      <c r="P145" s="297">
        <f>IF(P144="","",IF(P144+1&gt;'Funnel setup'!$K$10,"",P144+1))</f>
        <v>124</v>
      </c>
    </row>
    <row r="146" spans="16:16" x14ac:dyDescent="0.2">
      <c r="P146" s="297">
        <f>IF(P145="","",IF(P145+1&gt;'Funnel setup'!$K$10,"",P145+1))</f>
        <v>125</v>
      </c>
    </row>
    <row r="147" spans="16:16" x14ac:dyDescent="0.2">
      <c r="P147" s="297">
        <f>IF(P146="","",IF(P146+1&gt;'Funnel setup'!$K$10,"",P146+1))</f>
        <v>126</v>
      </c>
    </row>
    <row r="148" spans="16:16" x14ac:dyDescent="0.2">
      <c r="P148" s="297">
        <f>IF(P147="","",IF(P147+1&gt;'Funnel setup'!$K$10,"",P147+1))</f>
        <v>127</v>
      </c>
    </row>
    <row r="149" spans="16:16" x14ac:dyDescent="0.2">
      <c r="P149" s="297">
        <f>IF(P148="","",IF(P148+1&gt;'Funnel setup'!$K$10,"",P148+1))</f>
        <v>128</v>
      </c>
    </row>
    <row r="150" spans="16:16" x14ac:dyDescent="0.2">
      <c r="P150" s="297">
        <f>IF(P149="","",IF(P149+1&gt;'Funnel setup'!$K$10,"",P149+1))</f>
        <v>129</v>
      </c>
    </row>
    <row r="151" spans="16:16" x14ac:dyDescent="0.2">
      <c r="P151" s="297">
        <f>IF(P150="","",IF(P150+1&gt;'Funnel setup'!$K$10,"",P150+1))</f>
        <v>130</v>
      </c>
    </row>
    <row r="152" spans="16:16" x14ac:dyDescent="0.2">
      <c r="P152" s="297">
        <f>IF(P151="","",IF(P151+1&gt;'Funnel setup'!$K$10,"",P151+1))</f>
        <v>131</v>
      </c>
    </row>
    <row r="153" spans="16:16" x14ac:dyDescent="0.2">
      <c r="P153" s="297">
        <f>IF(P152="","",IF(P152+1&gt;'Funnel setup'!$K$10,"",P152+1))</f>
        <v>132</v>
      </c>
    </row>
    <row r="154" spans="16:16" x14ac:dyDescent="0.2">
      <c r="P154" s="297">
        <f>IF(P153="","",IF(P153+1&gt;'Funnel setup'!$K$10,"",P153+1))</f>
        <v>133</v>
      </c>
    </row>
    <row r="155" spans="16:16" x14ac:dyDescent="0.2">
      <c r="P155" s="297">
        <f>IF(P154="","",IF(P154+1&gt;'Funnel setup'!$K$10,"",P154+1))</f>
        <v>134</v>
      </c>
    </row>
    <row r="156" spans="16:16" x14ac:dyDescent="0.2">
      <c r="P156" s="297">
        <f>IF(P155="","",IF(P155+1&gt;'Funnel setup'!$K$10,"",P155+1))</f>
        <v>135</v>
      </c>
    </row>
    <row r="157" spans="16:16" x14ac:dyDescent="0.2">
      <c r="P157" s="297">
        <f>IF(P156="","",IF(P156+1&gt;'Funnel setup'!$K$10,"",P156+1))</f>
        <v>136</v>
      </c>
    </row>
    <row r="158" spans="16:16" x14ac:dyDescent="0.2">
      <c r="P158" s="297">
        <f>IF(P157="","",IF(P157+1&gt;'Funnel setup'!$K$10,"",P157+1))</f>
        <v>137</v>
      </c>
    </row>
    <row r="159" spans="16:16" x14ac:dyDescent="0.2">
      <c r="P159" s="297">
        <f>IF(P158="","",IF(P158+1&gt;'Funnel setup'!$K$10,"",P158+1))</f>
        <v>138</v>
      </c>
    </row>
    <row r="160" spans="16:16" x14ac:dyDescent="0.2">
      <c r="P160" s="297">
        <f>IF(P159="","",IF(P159+1&gt;'Funnel setup'!$K$10,"",P159+1))</f>
        <v>139</v>
      </c>
    </row>
    <row r="161" spans="16:16" x14ac:dyDescent="0.2">
      <c r="P161" s="297">
        <f>IF(P160="","",IF(P160+1&gt;'Funnel setup'!$K$10,"",P160+1))</f>
        <v>140</v>
      </c>
    </row>
    <row r="162" spans="16:16" x14ac:dyDescent="0.2">
      <c r="P162" s="297">
        <f>IF(P161="","",IF(P161+1&gt;'Funnel setup'!$K$10,"",P161+1))</f>
        <v>141</v>
      </c>
    </row>
    <row r="163" spans="16:16" x14ac:dyDescent="0.2">
      <c r="P163" s="297">
        <f>IF(P162="","",IF(P162+1&gt;'Funnel setup'!$K$10,"",P162+1))</f>
        <v>142</v>
      </c>
    </row>
    <row r="164" spans="16:16" x14ac:dyDescent="0.2">
      <c r="P164" s="297">
        <f>IF(P163="","",IF(P163+1&gt;'Funnel setup'!$K$10,"",P163+1))</f>
        <v>143</v>
      </c>
    </row>
    <row r="165" spans="16:16" x14ac:dyDescent="0.2">
      <c r="P165" s="297">
        <f>IF(P164="","",IF(P164+1&gt;'Funnel setup'!$K$10,"",P164+1))</f>
        <v>144</v>
      </c>
    </row>
    <row r="166" spans="16:16" x14ac:dyDescent="0.2">
      <c r="P166" s="297">
        <f>IF(P165="","",IF(P165+1&gt;'Funnel setup'!$K$10,"",P165+1))</f>
        <v>145</v>
      </c>
    </row>
    <row r="167" spans="16:16" x14ac:dyDescent="0.2">
      <c r="P167" s="297">
        <f>IF(P166="","",IF(P166+1&gt;'Funnel setup'!$K$10,"",P166+1))</f>
        <v>146</v>
      </c>
    </row>
    <row r="168" spans="16:16" x14ac:dyDescent="0.2">
      <c r="P168" s="297">
        <f>IF(P167="","",IF(P167+1&gt;'Funnel setup'!$K$10,"",P167+1))</f>
        <v>147</v>
      </c>
    </row>
    <row r="169" spans="16:16" x14ac:dyDescent="0.2">
      <c r="P169" s="297">
        <f>IF(P168="","",IF(P168+1&gt;'Funnel setup'!$K$10,"",P168+1))</f>
        <v>148</v>
      </c>
    </row>
    <row r="170" spans="16:16" x14ac:dyDescent="0.2">
      <c r="P170" s="297">
        <f>IF(P169="","",IF(P169+1&gt;'Funnel setup'!$K$10,"",P169+1))</f>
        <v>149</v>
      </c>
    </row>
    <row r="171" spans="16:16" x14ac:dyDescent="0.2">
      <c r="P171" s="297">
        <f>IF(P170="","",IF(P170+1&gt;'Funnel setup'!$K$10,"",P170+1))</f>
        <v>150</v>
      </c>
    </row>
    <row r="172" spans="16:16" x14ac:dyDescent="0.2">
      <c r="P172" s="297">
        <f>IF(P171="","",IF(P171+1&gt;'Funnel setup'!$K$10,"",P171+1))</f>
        <v>151</v>
      </c>
    </row>
    <row r="173" spans="16:16" x14ac:dyDescent="0.2">
      <c r="P173" s="297">
        <f>IF(P172="","",IF(P172+1&gt;'Funnel setup'!$K$10,"",P172+1))</f>
        <v>152</v>
      </c>
    </row>
    <row r="174" spans="16:16" x14ac:dyDescent="0.2">
      <c r="P174" s="297">
        <f>IF(P173="","",IF(P173+1&gt;'Funnel setup'!$K$10,"",P173+1))</f>
        <v>153</v>
      </c>
    </row>
    <row r="175" spans="16:16" x14ac:dyDescent="0.2">
      <c r="P175" s="297">
        <f>IF(P174="","",IF(P174+1&gt;'Funnel setup'!$K$10,"",P174+1))</f>
        <v>154</v>
      </c>
    </row>
    <row r="176" spans="16:16" x14ac:dyDescent="0.2">
      <c r="P176" s="297">
        <f>IF(P175="","",IF(P175+1&gt;'Funnel setup'!$K$10,"",P175+1))</f>
        <v>155</v>
      </c>
    </row>
    <row r="177" spans="16:16" x14ac:dyDescent="0.2">
      <c r="P177" s="297">
        <f>IF(P176="","",IF(P176+1&gt;'Funnel setup'!$K$10,"",P176+1))</f>
        <v>156</v>
      </c>
    </row>
    <row r="178" spans="16:16" x14ac:dyDescent="0.2">
      <c r="P178" s="297">
        <f>IF(P177="","",IF(P177+1&gt;'Funnel setup'!$K$10,"",P177+1))</f>
        <v>157</v>
      </c>
    </row>
    <row r="179" spans="16:16" x14ac:dyDescent="0.2">
      <c r="P179" s="297">
        <f>IF(P178="","",IF(P178+1&gt;'Funnel setup'!$K$10,"",P178+1))</f>
        <v>158</v>
      </c>
    </row>
    <row r="180" spans="16:16" x14ac:dyDescent="0.2">
      <c r="P180" s="297">
        <f>IF(P179="","",IF(P179+1&gt;'Funnel setup'!$K$10,"",P179+1))</f>
        <v>159</v>
      </c>
    </row>
    <row r="181" spans="16:16" x14ac:dyDescent="0.2">
      <c r="P181" s="297">
        <f>IF(P180="","",IF(P180+1&gt;'Funnel setup'!$K$10,"",P180+1))</f>
        <v>160</v>
      </c>
    </row>
    <row r="182" spans="16:16" x14ac:dyDescent="0.2">
      <c r="P182" s="297">
        <f>IF(P181="","",IF(P181+1&gt;'Funnel setup'!$K$10,"",P181+1))</f>
        <v>161</v>
      </c>
    </row>
    <row r="183" spans="16:16" x14ac:dyDescent="0.2">
      <c r="P183" s="297">
        <f>IF(P182="","",IF(P182+1&gt;'Funnel setup'!$K$10,"",P182+1))</f>
        <v>162</v>
      </c>
    </row>
    <row r="184" spans="16:16" x14ac:dyDescent="0.2">
      <c r="P184" s="297">
        <f>IF(P183="","",IF(P183+1&gt;'Funnel setup'!$K$10,"",P183+1))</f>
        <v>163</v>
      </c>
    </row>
    <row r="185" spans="16:16" x14ac:dyDescent="0.2">
      <c r="P185" s="297">
        <f>IF(P184="","",IF(P184+1&gt;'Funnel setup'!$K$10,"",P184+1))</f>
        <v>164</v>
      </c>
    </row>
    <row r="186" spans="16:16" x14ac:dyDescent="0.2">
      <c r="P186" s="297">
        <f>IF(P185="","",IF(P185+1&gt;'Funnel setup'!$K$10,"",P185+1))</f>
        <v>165</v>
      </c>
    </row>
    <row r="187" spans="16:16" x14ac:dyDescent="0.2">
      <c r="P187" s="297">
        <f>IF(P186="","",IF(P186+1&gt;'Funnel setup'!$K$10,"",P186+1))</f>
        <v>166</v>
      </c>
    </row>
    <row r="188" spans="16:16" x14ac:dyDescent="0.2">
      <c r="P188" s="297">
        <f>IF(P187="","",IF(P187+1&gt;'Funnel setup'!$K$10,"",P187+1))</f>
        <v>167</v>
      </c>
    </row>
    <row r="189" spans="16:16" x14ac:dyDescent="0.2">
      <c r="P189" s="297">
        <f>IF(P188="","",IF(P188+1&gt;'Funnel setup'!$K$10,"",P188+1))</f>
        <v>168</v>
      </c>
    </row>
    <row r="190" spans="16:16" x14ac:dyDescent="0.2">
      <c r="P190" s="297">
        <f>IF(P189="","",IF(P189+1&gt;'Funnel setup'!$K$10,"",P189+1))</f>
        <v>169</v>
      </c>
    </row>
    <row r="191" spans="16:16" x14ac:dyDescent="0.2">
      <c r="P191" s="297">
        <f>IF(P190="","",IF(P190+1&gt;'Funnel setup'!$K$10,"",P190+1))</f>
        <v>170</v>
      </c>
    </row>
    <row r="192" spans="16:16" x14ac:dyDescent="0.2">
      <c r="P192" s="297">
        <f>IF(P191="","",IF(P191+1&gt;'Funnel setup'!$K$10,"",P191+1))</f>
        <v>171</v>
      </c>
    </row>
    <row r="193" spans="16:16" x14ac:dyDescent="0.2">
      <c r="P193" s="297">
        <f>IF(P192="","",IF(P192+1&gt;'Funnel setup'!$K$10,"",P192+1))</f>
        <v>172</v>
      </c>
    </row>
    <row r="194" spans="16:16" x14ac:dyDescent="0.2">
      <c r="P194" s="297">
        <f>IF(P193="","",IF(P193+1&gt;'Funnel setup'!$K$10,"",P193+1))</f>
        <v>173</v>
      </c>
    </row>
    <row r="195" spans="16:16" x14ac:dyDescent="0.2">
      <c r="P195" s="297">
        <f>IF(P194="","",IF(P194+1&gt;'Funnel setup'!$K$10,"",P194+1))</f>
        <v>174</v>
      </c>
    </row>
    <row r="196" spans="16:16" x14ac:dyDescent="0.2">
      <c r="P196" s="297">
        <f>IF(P195="","",IF(P195+1&gt;'Funnel setup'!$K$10,"",P195+1))</f>
        <v>175</v>
      </c>
    </row>
    <row r="197" spans="16:16" x14ac:dyDescent="0.2">
      <c r="P197" s="297">
        <f>IF(P196="","",IF(P196+1&gt;'Funnel setup'!$K$10,"",P196+1))</f>
        <v>176</v>
      </c>
    </row>
    <row r="198" spans="16:16" x14ac:dyDescent="0.2">
      <c r="P198" s="297">
        <f>IF(P197="","",IF(P197+1&gt;'Funnel setup'!$K$10,"",P197+1))</f>
        <v>177</v>
      </c>
    </row>
    <row r="199" spans="16:16" x14ac:dyDescent="0.2">
      <c r="P199" s="297">
        <f>IF(P198="","",IF(P198+1&gt;'Funnel setup'!$K$10,"",P198+1))</f>
        <v>178</v>
      </c>
    </row>
    <row r="200" spans="16:16" x14ac:dyDescent="0.2">
      <c r="P200" s="297">
        <f>IF(P199="","",IF(P199+1&gt;'Funnel setup'!$K$10,"",P199+1))</f>
        <v>179</v>
      </c>
    </row>
    <row r="201" spans="16:16" x14ac:dyDescent="0.2">
      <c r="P201" s="297">
        <f>IF(P200="","",IF(P200+1&gt;'Funnel setup'!$K$10,"",P200+1))</f>
        <v>180</v>
      </c>
    </row>
    <row r="202" spans="16:16" x14ac:dyDescent="0.2">
      <c r="P202" s="297">
        <f>IF(P201="","",IF(P201+1&gt;'Funnel setup'!$K$10,"",P201+1))</f>
        <v>181</v>
      </c>
    </row>
    <row r="203" spans="16:16" x14ac:dyDescent="0.2">
      <c r="P203" s="297">
        <f>IF(P202="","",IF(P202+1&gt;'Funnel setup'!$K$10,"",P202+1))</f>
        <v>182</v>
      </c>
    </row>
    <row r="204" spans="16:16" x14ac:dyDescent="0.2">
      <c r="P204" s="297">
        <f>IF(P203="","",IF(P203+1&gt;'Funnel setup'!$K$10,"",P203+1))</f>
        <v>183</v>
      </c>
    </row>
    <row r="205" spans="16:16" x14ac:dyDescent="0.2">
      <c r="P205" s="297">
        <f>IF(P204="","",IF(P204+1&gt;'Funnel setup'!$K$10,"",P204+1))</f>
        <v>184</v>
      </c>
    </row>
    <row r="206" spans="16:16" x14ac:dyDescent="0.2">
      <c r="P206" s="297">
        <f>IF(P205="","",IF(P205+1&gt;'Funnel setup'!$K$10,"",P205+1))</f>
        <v>185</v>
      </c>
    </row>
    <row r="207" spans="16:16" x14ac:dyDescent="0.2">
      <c r="P207" s="297">
        <f>IF(P206="","",IF(P206+1&gt;'Funnel setup'!$K$10,"",P206+1))</f>
        <v>186</v>
      </c>
    </row>
    <row r="208" spans="16:16" x14ac:dyDescent="0.2">
      <c r="P208" s="297">
        <f>IF(P207="","",IF(P207+1&gt;'Funnel setup'!$K$10,"",P207+1))</f>
        <v>187</v>
      </c>
    </row>
    <row r="209" spans="16:16" x14ac:dyDescent="0.2">
      <c r="P209" s="297">
        <f>IF(P208="","",IF(P208+1&gt;'Funnel setup'!$K$10,"",P208+1))</f>
        <v>188</v>
      </c>
    </row>
    <row r="210" spans="16:16" x14ac:dyDescent="0.2">
      <c r="P210" s="297">
        <f>IF(P209="","",IF(P209+1&gt;'Funnel setup'!$K$10,"",P209+1))</f>
        <v>189</v>
      </c>
    </row>
    <row r="211" spans="16:16" x14ac:dyDescent="0.2">
      <c r="P211" s="297">
        <f>IF(P210="","",IF(P210+1&gt;'Funnel setup'!$K$10,"",P210+1))</f>
        <v>190</v>
      </c>
    </row>
    <row r="212" spans="16:16" x14ac:dyDescent="0.2">
      <c r="P212" s="297">
        <f>IF(P211="","",IF(P211+1&gt;'Funnel setup'!$K$10,"",P211+1))</f>
        <v>191</v>
      </c>
    </row>
    <row r="213" spans="16:16" x14ac:dyDescent="0.2">
      <c r="P213" s="297">
        <f>IF(P212="","",IF(P212+1&gt;'Funnel setup'!$K$10,"",P212+1))</f>
        <v>192</v>
      </c>
    </row>
    <row r="214" spans="16:16" x14ac:dyDescent="0.2">
      <c r="P214" s="297">
        <f>IF(P213="","",IF(P213+1&gt;'Funnel setup'!$K$10,"",P213+1))</f>
        <v>193</v>
      </c>
    </row>
    <row r="215" spans="16:16" x14ac:dyDescent="0.2">
      <c r="P215" s="297">
        <f>IF(P214="","",IF(P214+1&gt;'Funnel setup'!$K$10,"",P214+1))</f>
        <v>194</v>
      </c>
    </row>
    <row r="216" spans="16:16" x14ac:dyDescent="0.2">
      <c r="P216" s="297">
        <f>IF(P215="","",IF(P215+1&gt;'Funnel setup'!$K$10,"",P215+1))</f>
        <v>195</v>
      </c>
    </row>
    <row r="217" spans="16:16" x14ac:dyDescent="0.2">
      <c r="P217" s="297">
        <f>IF(P216="","",IF(P216+1&gt;'Funnel setup'!$K$10,"",P216+1))</f>
        <v>196</v>
      </c>
    </row>
    <row r="218" spans="16:16" x14ac:dyDescent="0.2">
      <c r="P218" s="297">
        <f>IF(P217="","",IF(P217+1&gt;'Funnel setup'!$K$10,"",P217+1))</f>
        <v>197</v>
      </c>
    </row>
    <row r="219" spans="16:16" x14ac:dyDescent="0.2">
      <c r="P219" s="297">
        <f>IF(P218="","",IF(P218+1&gt;'Funnel setup'!$K$10,"",P218+1))</f>
        <v>198</v>
      </c>
    </row>
    <row r="220" spans="16:16" x14ac:dyDescent="0.2">
      <c r="P220" s="297">
        <f>IF(P219="","",IF(P219+1&gt;'Funnel setup'!$K$10,"",P219+1))</f>
        <v>199</v>
      </c>
    </row>
    <row r="221" spans="16:16" x14ac:dyDescent="0.2">
      <c r="P221" s="297">
        <f>IF(P220="","",IF(P220+1&gt;'Funnel setup'!$K$10,"",P220+1))</f>
        <v>200</v>
      </c>
    </row>
    <row r="222" spans="16:16" x14ac:dyDescent="0.2">
      <c r="P222" s="297">
        <f>IF(P221="","",IF(P221+1&gt;'Funnel setup'!$K$10,"",P221+1))</f>
        <v>201</v>
      </c>
    </row>
    <row r="223" spans="16:16" x14ac:dyDescent="0.2">
      <c r="P223" s="297">
        <f>IF(P222="","",IF(P222+1&gt;'Funnel setup'!$K$10,"",P222+1))</f>
        <v>202</v>
      </c>
    </row>
    <row r="224" spans="16:16" x14ac:dyDescent="0.2">
      <c r="P224" s="297">
        <f>IF(P223="","",IF(P223+1&gt;'Funnel setup'!$K$10,"",P223+1))</f>
        <v>203</v>
      </c>
    </row>
    <row r="225" spans="16:16" x14ac:dyDescent="0.2">
      <c r="P225" s="297">
        <f>IF(P224="","",IF(P224+1&gt;'Funnel setup'!$K$10,"",P224+1))</f>
        <v>204</v>
      </c>
    </row>
    <row r="226" spans="16:16" x14ac:dyDescent="0.2">
      <c r="P226" s="297">
        <f>IF(P225="","",IF(P225+1&gt;'Funnel setup'!$K$10,"",P225+1))</f>
        <v>205</v>
      </c>
    </row>
    <row r="227" spans="16:16" x14ac:dyDescent="0.2">
      <c r="P227" s="297">
        <f>IF(P226="","",IF(P226+1&gt;'Funnel setup'!$K$10,"",P226+1))</f>
        <v>206</v>
      </c>
    </row>
    <row r="228" spans="16:16" x14ac:dyDescent="0.2">
      <c r="P228" s="297">
        <f>IF(P227="","",IF(P227+1&gt;'Funnel setup'!$K$10,"",P227+1))</f>
        <v>207</v>
      </c>
    </row>
    <row r="229" spans="16:16" x14ac:dyDescent="0.2">
      <c r="P229" s="297">
        <f>IF(P228="","",IF(P228+1&gt;'Funnel setup'!$K$10,"",P228+1))</f>
        <v>208</v>
      </c>
    </row>
    <row r="230" spans="16:16" x14ac:dyDescent="0.2">
      <c r="P230" s="297">
        <f>IF(P229="","",IF(P229+1&gt;'Funnel setup'!$K$10,"",P229+1))</f>
        <v>209</v>
      </c>
    </row>
    <row r="231" spans="16:16" x14ac:dyDescent="0.2">
      <c r="P231" s="297">
        <f>IF(P230="","",IF(P230+1&gt;'Funnel setup'!$K$10,"",P230+1))</f>
        <v>210</v>
      </c>
    </row>
    <row r="232" spans="16:16" x14ac:dyDescent="0.2">
      <c r="P232" s="297">
        <f>IF(P231="","",IF(P231+1&gt;'Funnel setup'!$K$10,"",P231+1))</f>
        <v>211</v>
      </c>
    </row>
    <row r="233" spans="16:16" x14ac:dyDescent="0.2">
      <c r="P233" s="297">
        <f>IF(P232="","",IF(P232+1&gt;'Funnel setup'!$K$10,"",P232+1))</f>
        <v>212</v>
      </c>
    </row>
    <row r="234" spans="16:16" x14ac:dyDescent="0.2">
      <c r="P234" s="297">
        <f>IF(P233="","",IF(P233+1&gt;'Funnel setup'!$K$10,"",P233+1))</f>
        <v>213</v>
      </c>
    </row>
    <row r="235" spans="16:16" x14ac:dyDescent="0.2">
      <c r="P235" s="297">
        <f>IF(P234="","",IF(P234+1&gt;'Funnel setup'!$K$10,"",P234+1))</f>
        <v>214</v>
      </c>
    </row>
    <row r="236" spans="16:16" x14ac:dyDescent="0.2">
      <c r="P236" s="297">
        <f>IF(P235="","",IF(P235+1&gt;'Funnel setup'!$K$10,"",P235+1))</f>
        <v>215</v>
      </c>
    </row>
    <row r="237" spans="16:16" x14ac:dyDescent="0.2">
      <c r="P237" s="297">
        <f>IF(P236="","",IF(P236+1&gt;'Funnel setup'!$K$10,"",P236+1))</f>
        <v>216</v>
      </c>
    </row>
    <row r="238" spans="16:16" x14ac:dyDescent="0.2">
      <c r="P238" s="297">
        <f>IF(P237="","",IF(P237+1&gt;'Funnel setup'!$K$10,"",P237+1))</f>
        <v>217</v>
      </c>
    </row>
    <row r="239" spans="16:16" x14ac:dyDescent="0.2">
      <c r="P239" s="297">
        <f>IF(P238="","",IF(P238+1&gt;'Funnel setup'!$K$10,"",P238+1))</f>
        <v>218</v>
      </c>
    </row>
    <row r="240" spans="16:16" x14ac:dyDescent="0.2">
      <c r="P240" s="297">
        <f>IF(P239="","",IF(P239+1&gt;'Funnel setup'!$K$10,"",P239+1))</f>
        <v>219</v>
      </c>
    </row>
    <row r="241" spans="16:16" x14ac:dyDescent="0.2">
      <c r="P241" s="297">
        <f>IF(P240="","",IF(P240+1&gt;'Funnel setup'!$K$10,"",P240+1))</f>
        <v>220</v>
      </c>
    </row>
    <row r="242" spans="16:16" x14ac:dyDescent="0.2">
      <c r="P242" s="297">
        <f>IF(P241="","",IF(P241+1&gt;'Funnel setup'!$K$10,"",P241+1))</f>
        <v>221</v>
      </c>
    </row>
    <row r="243" spans="16:16" x14ac:dyDescent="0.2">
      <c r="P243" s="297">
        <f>IF(P242="","",IF(P242+1&gt;'Funnel setup'!$K$10,"",P242+1))</f>
        <v>222</v>
      </c>
    </row>
    <row r="244" spans="16:16" x14ac:dyDescent="0.2">
      <c r="P244" s="297">
        <f>IF(P243="","",IF(P243+1&gt;'Funnel setup'!$K$10,"",P243+1))</f>
        <v>223</v>
      </c>
    </row>
    <row r="245" spans="16:16" x14ac:dyDescent="0.2">
      <c r="P245" s="297">
        <f>IF(P244="","",IF(P244+1&gt;'Funnel setup'!$K$10,"",P244+1))</f>
        <v>224</v>
      </c>
    </row>
    <row r="246" spans="16:16" x14ac:dyDescent="0.2">
      <c r="P246" s="297">
        <f>IF(P245="","",IF(P245+1&gt;'Funnel setup'!$K$10,"",P245+1))</f>
        <v>225</v>
      </c>
    </row>
    <row r="247" spans="16:16" x14ac:dyDescent="0.2">
      <c r="P247" s="297">
        <f>IF(P246="","",IF(P246+1&gt;'Funnel setup'!$K$10,"",P246+1))</f>
        <v>226</v>
      </c>
    </row>
    <row r="248" spans="16:16" x14ac:dyDescent="0.2">
      <c r="P248" s="297">
        <f>IF(P247="","",IF(P247+1&gt;'Funnel setup'!$K$10,"",P247+1))</f>
        <v>227</v>
      </c>
    </row>
    <row r="249" spans="16:16" x14ac:dyDescent="0.2">
      <c r="P249" s="297">
        <f>IF(P248="","",IF(P248+1&gt;'Funnel setup'!$K$10,"",P248+1))</f>
        <v>228</v>
      </c>
    </row>
    <row r="250" spans="16:16" x14ac:dyDescent="0.2">
      <c r="P250" s="297">
        <f>IF(P249="","",IF(P249+1&gt;'Funnel setup'!$K$10,"",P249+1))</f>
        <v>229</v>
      </c>
    </row>
    <row r="251" spans="16:16" x14ac:dyDescent="0.2">
      <c r="P251" s="297">
        <f>IF(P250="","",IF(P250+1&gt;'Funnel setup'!$K$10,"",P250+1))</f>
        <v>230</v>
      </c>
    </row>
    <row r="252" spans="16:16" x14ac:dyDescent="0.2">
      <c r="P252" s="297">
        <f>IF(P251="","",IF(P251+1&gt;'Funnel setup'!$K$10,"",P251+1))</f>
        <v>231</v>
      </c>
    </row>
    <row r="253" spans="16:16" x14ac:dyDescent="0.2">
      <c r="P253" s="297">
        <f>IF(P252="","",IF(P252+1&gt;'Funnel setup'!$K$10,"",P252+1))</f>
        <v>232</v>
      </c>
    </row>
    <row r="254" spans="16:16" x14ac:dyDescent="0.2">
      <c r="P254" s="297">
        <f>IF(P253="","",IF(P253+1&gt;'Funnel setup'!$K$10,"",P253+1))</f>
        <v>233</v>
      </c>
    </row>
    <row r="255" spans="16:16" x14ac:dyDescent="0.2">
      <c r="P255" s="297">
        <f>IF(P254="","",IF(P254+1&gt;'Funnel setup'!$K$10,"",P254+1))</f>
        <v>234</v>
      </c>
    </row>
    <row r="256" spans="16:16" x14ac:dyDescent="0.2">
      <c r="P256" s="297">
        <f>IF(P255="","",IF(P255+1&gt;'Funnel setup'!$K$10,"",P255+1))</f>
        <v>235</v>
      </c>
    </row>
    <row r="257" spans="16:16" x14ac:dyDescent="0.2">
      <c r="P257" s="297">
        <f>IF(P256="","",IF(P256+1&gt;'Funnel setup'!$K$10,"",P256+1))</f>
        <v>236</v>
      </c>
    </row>
    <row r="258" spans="16:16" x14ac:dyDescent="0.2">
      <c r="P258" s="297">
        <f>IF(P257="","",IF(P257+1&gt;'Funnel setup'!$K$10,"",P257+1))</f>
        <v>237</v>
      </c>
    </row>
    <row r="259" spans="16:16" x14ac:dyDescent="0.2">
      <c r="P259" s="297">
        <f>IF(P258="","",IF(P258+1&gt;'Funnel setup'!$K$10,"",P258+1))</f>
        <v>238</v>
      </c>
    </row>
    <row r="260" spans="16:16" x14ac:dyDescent="0.2">
      <c r="P260" s="297">
        <f>IF(P259="","",IF(P259+1&gt;'Funnel setup'!$K$10,"",P259+1))</f>
        <v>239</v>
      </c>
    </row>
    <row r="261" spans="16:16" x14ac:dyDescent="0.2">
      <c r="P261" s="297">
        <f>IF(P260="","",IF(P260+1&gt;'Funnel setup'!$K$10,"",P260+1))</f>
        <v>240</v>
      </c>
    </row>
    <row r="262" spans="16:16" x14ac:dyDescent="0.2">
      <c r="P262" s="297">
        <f>IF(P261="","",IF(P261+1&gt;'Funnel setup'!$K$10,"",P261+1))</f>
        <v>241</v>
      </c>
    </row>
    <row r="263" spans="16:16" x14ac:dyDescent="0.2">
      <c r="P263" s="297">
        <f>IF(P262="","",IF(P262+1&gt;'Funnel setup'!$K$10,"",P262+1))</f>
        <v>242</v>
      </c>
    </row>
    <row r="264" spans="16:16" x14ac:dyDescent="0.2">
      <c r="P264" s="297">
        <f>IF(P263="","",IF(P263+1&gt;'Funnel setup'!$K$10,"",P263+1))</f>
        <v>243</v>
      </c>
    </row>
    <row r="265" spans="16:16" x14ac:dyDescent="0.2">
      <c r="P265" s="297">
        <f>IF(P264="","",IF(P264+1&gt;'Funnel setup'!$K$10,"",P264+1))</f>
        <v>244</v>
      </c>
    </row>
    <row r="266" spans="16:16" x14ac:dyDescent="0.2">
      <c r="P266" s="297">
        <f>IF(P265="","",IF(P265+1&gt;'Funnel setup'!$K$10,"",P265+1))</f>
        <v>245</v>
      </c>
    </row>
    <row r="267" spans="16:16" x14ac:dyDescent="0.2">
      <c r="P267" s="297">
        <f>IF(P266="","",IF(P266+1&gt;'Funnel setup'!$K$10,"",P266+1))</f>
        <v>246</v>
      </c>
    </row>
    <row r="268" spans="16:16" x14ac:dyDescent="0.2">
      <c r="P268" s="297">
        <f>IF(P267="","",IF(P267+1&gt;'Funnel setup'!$K$10,"",P267+1))</f>
        <v>247</v>
      </c>
    </row>
    <row r="269" spans="16:16" x14ac:dyDescent="0.2">
      <c r="P269" s="297">
        <f>IF(P268="","",IF(P268+1&gt;'Funnel setup'!$K$10,"",P268+1))</f>
        <v>248</v>
      </c>
    </row>
    <row r="270" spans="16:16" x14ac:dyDescent="0.2">
      <c r="P270" s="297">
        <f>IF(P269="","",IF(P269+1&gt;'Funnel setup'!$K$10,"",P269+1))</f>
        <v>249</v>
      </c>
    </row>
    <row r="271" spans="16:16" x14ac:dyDescent="0.2">
      <c r="P271" s="297">
        <f>IF(P270="","",IF(P270+1&gt;'Funnel setup'!$K$10,"",P270+1))</f>
        <v>250</v>
      </c>
    </row>
    <row r="272" spans="16:16" x14ac:dyDescent="0.2">
      <c r="P272" s="297">
        <f>IF(P271="","",IF(P271+1&gt;'Funnel setup'!$K$10,"",P271+1))</f>
        <v>251</v>
      </c>
    </row>
    <row r="273" spans="16:16" x14ac:dyDescent="0.2">
      <c r="P273" s="297">
        <f>IF(P272="","",IF(P272+1&gt;'Funnel setup'!$K$10,"",P272+1))</f>
        <v>252</v>
      </c>
    </row>
    <row r="274" spans="16:16" x14ac:dyDescent="0.2">
      <c r="P274" s="297">
        <f>IF(P273="","",IF(P273+1&gt;'Funnel setup'!$K$10,"",P273+1))</f>
        <v>253</v>
      </c>
    </row>
    <row r="275" spans="16:16" x14ac:dyDescent="0.2">
      <c r="P275" s="297">
        <f>IF(P274="","",IF(P274+1&gt;'Funnel setup'!$K$10,"",P274+1))</f>
        <v>254</v>
      </c>
    </row>
    <row r="276" spans="16:16" x14ac:dyDescent="0.2">
      <c r="P276" s="297">
        <f>IF(P275="","",IF(P275+1&gt;'Funnel setup'!$K$10,"",P275+1))</f>
        <v>255</v>
      </c>
    </row>
    <row r="277" spans="16:16" x14ac:dyDescent="0.2">
      <c r="P277" s="297">
        <f>IF(P276="","",IF(P276+1&gt;'Funnel setup'!$K$10,"",P276+1))</f>
        <v>256</v>
      </c>
    </row>
    <row r="278" spans="16:16" x14ac:dyDescent="0.2">
      <c r="P278" s="297">
        <f>IF(P277="","",IF(P277+1&gt;'Funnel setup'!$K$10,"",P277+1))</f>
        <v>257</v>
      </c>
    </row>
    <row r="279" spans="16:16" x14ac:dyDescent="0.2">
      <c r="P279" s="297">
        <f>IF(P278="","",IF(P278+1&gt;'Funnel setup'!$K$10,"",P278+1))</f>
        <v>258</v>
      </c>
    </row>
    <row r="280" spans="16:16" x14ac:dyDescent="0.2">
      <c r="P280" s="297">
        <f>IF(P279="","",IF(P279+1&gt;'Funnel setup'!$K$10,"",P279+1))</f>
        <v>259</v>
      </c>
    </row>
    <row r="281" spans="16:16" x14ac:dyDescent="0.2">
      <c r="P281" s="297">
        <f>IF(P280="","",IF(P280+1&gt;'Funnel setup'!$K$10,"",P280+1))</f>
        <v>260</v>
      </c>
    </row>
    <row r="282" spans="16:16" x14ac:dyDescent="0.2">
      <c r="P282" s="297">
        <f>IF(P281="","",IF(P281+1&gt;'Funnel setup'!$K$10,"",P281+1))</f>
        <v>261</v>
      </c>
    </row>
    <row r="283" spans="16:16" x14ac:dyDescent="0.2">
      <c r="P283" s="297">
        <f>IF(P282="","",IF(P282+1&gt;'Funnel setup'!$K$10,"",P282+1))</f>
        <v>262</v>
      </c>
    </row>
    <row r="284" spans="16:16" x14ac:dyDescent="0.2">
      <c r="P284" s="297">
        <f>IF(P283="","",IF(P283+1&gt;'Funnel setup'!$K$10,"",P283+1))</f>
        <v>263</v>
      </c>
    </row>
    <row r="285" spans="16:16" x14ac:dyDescent="0.2">
      <c r="P285" s="297">
        <f>IF(P284="","",IF(P284+1&gt;'Funnel setup'!$K$10,"",P284+1))</f>
        <v>264</v>
      </c>
    </row>
    <row r="286" spans="16:16" x14ac:dyDescent="0.2">
      <c r="P286" s="297">
        <f>IF(P285="","",IF(P285+1&gt;'Funnel setup'!$K$10,"",P285+1))</f>
        <v>265</v>
      </c>
    </row>
    <row r="287" spans="16:16" x14ac:dyDescent="0.2">
      <c r="P287" s="297">
        <f>IF(P286="","",IF(P286+1&gt;'Funnel setup'!$K$10,"",P286+1))</f>
        <v>266</v>
      </c>
    </row>
    <row r="288" spans="16:16" x14ac:dyDescent="0.2">
      <c r="P288" s="297">
        <f>IF(P287="","",IF(P287+1&gt;'Funnel setup'!$K$10,"",P287+1))</f>
        <v>267</v>
      </c>
    </row>
    <row r="289" spans="16:16" x14ac:dyDescent="0.2">
      <c r="P289" s="297">
        <f>IF(P288="","",IF(P288+1&gt;'Funnel setup'!$K$10,"",P288+1))</f>
        <v>268</v>
      </c>
    </row>
    <row r="290" spans="16:16" x14ac:dyDescent="0.2">
      <c r="P290" s="297">
        <f>IF(P289="","",IF(P289+1&gt;'Funnel setup'!$K$10,"",P289+1))</f>
        <v>269</v>
      </c>
    </row>
    <row r="291" spans="16:16" x14ac:dyDescent="0.2">
      <c r="P291" s="297">
        <f>IF(P290="","",IF(P290+1&gt;'Funnel setup'!$K$10,"",P290+1))</f>
        <v>270</v>
      </c>
    </row>
    <row r="292" spans="16:16" x14ac:dyDescent="0.2">
      <c r="P292" s="297">
        <f>IF(P291="","",IF(P291+1&gt;'Funnel setup'!$K$10,"",P291+1))</f>
        <v>271</v>
      </c>
    </row>
    <row r="293" spans="16:16" x14ac:dyDescent="0.2">
      <c r="P293" s="297">
        <f>IF(P292="","",IF(P292+1&gt;'Funnel setup'!$K$10,"",P292+1))</f>
        <v>272</v>
      </c>
    </row>
    <row r="294" spans="16:16" x14ac:dyDescent="0.2">
      <c r="P294" s="297">
        <f>IF(P293="","",IF(P293+1&gt;'Funnel setup'!$K$10,"",P293+1))</f>
        <v>273</v>
      </c>
    </row>
    <row r="295" spans="16:16" x14ac:dyDescent="0.2">
      <c r="P295" s="297" t="str">
        <f>IF(P294="","",IF(P294+1&gt;'Funnel setup'!$K$10,"",P294+1))</f>
        <v/>
      </c>
    </row>
    <row r="296" spans="16:16" x14ac:dyDescent="0.2">
      <c r="P296" s="297" t="str">
        <f>IF(P295="","",IF(P295+1&gt;'Funnel setup'!$K$10,"",P295+1))</f>
        <v/>
      </c>
    </row>
    <row r="297" spans="16:16" x14ac:dyDescent="0.2">
      <c r="P297" s="297" t="str">
        <f>IF(P296="","",IF(P296+1&gt;'Funnel setup'!$K$10,"",P296+1))</f>
        <v/>
      </c>
    </row>
    <row r="298" spans="16:16" x14ac:dyDescent="0.2">
      <c r="P298" s="297" t="str">
        <f>IF(P297="","",IF(P297+1&gt;'Funnel setup'!$K$10,"",P297+1))</f>
        <v/>
      </c>
    </row>
    <row r="299" spans="16:16" x14ac:dyDescent="0.2">
      <c r="P299" s="297" t="str">
        <f>IF(P298="","",IF(P298+1&gt;'Funnel setup'!$K$10,"",P298+1))</f>
        <v/>
      </c>
    </row>
    <row r="300" spans="16:16" x14ac:dyDescent="0.2">
      <c r="P300" s="297" t="str">
        <f>IF(P299="","",IF(P299+1&gt;'Funnel setup'!$K$10,"",P299+1))</f>
        <v/>
      </c>
    </row>
    <row r="301" spans="16:16" x14ac:dyDescent="0.2">
      <c r="P301" s="297" t="str">
        <f>IF(P300="","",IF(P300+1&gt;'Funnel setup'!$K$10,"",P300+1))</f>
        <v/>
      </c>
    </row>
    <row r="302" spans="16:16" x14ac:dyDescent="0.2">
      <c r="P302" s="297" t="str">
        <f>IF(P301="","",IF(P301+1&gt;'Funnel setup'!$K$10,"",P301+1))</f>
        <v/>
      </c>
    </row>
    <row r="303" spans="16:16" x14ac:dyDescent="0.2">
      <c r="P303" s="297" t="str">
        <f>IF(P302="","",IF(P302+1&gt;'Funnel setup'!$K$10,"",P302+1))</f>
        <v/>
      </c>
    </row>
    <row r="304" spans="16:16" x14ac:dyDescent="0.2">
      <c r="P304" s="297" t="str">
        <f>IF(P303="","",IF(P303+1&gt;'Funnel setup'!$K$10,"",P303+1))</f>
        <v/>
      </c>
    </row>
    <row r="305" spans="16:16" x14ac:dyDescent="0.2">
      <c r="P305" s="297" t="str">
        <f>IF(P304="","",IF(P304+1&gt;'Funnel setup'!$K$10,"",P304+1))</f>
        <v/>
      </c>
    </row>
    <row r="306" spans="16:16" x14ac:dyDescent="0.2">
      <c r="P306" s="297" t="str">
        <f>IF(P305="","",IF(P305+1&gt;'Funnel setup'!$K$10,"",P305+1))</f>
        <v/>
      </c>
    </row>
    <row r="307" spans="16:16" x14ac:dyDescent="0.2">
      <c r="P307" s="297" t="str">
        <f>IF(P306="","",IF(P306+1&gt;'Funnel setup'!$K$10,"",P306+1))</f>
        <v/>
      </c>
    </row>
    <row r="308" spans="16:16" x14ac:dyDescent="0.2">
      <c r="P308" s="297" t="str">
        <f>IF(P307="","",IF(P307+1&gt;'Funnel setup'!$K$10,"",P307+1))</f>
        <v/>
      </c>
    </row>
    <row r="309" spans="16:16" x14ac:dyDescent="0.2">
      <c r="P309" s="297" t="str">
        <f>IF(P308="","",IF(P308+1&gt;'Funnel setup'!$K$10,"",P308+1))</f>
        <v/>
      </c>
    </row>
    <row r="310" spans="16:16" x14ac:dyDescent="0.2">
      <c r="P310" s="297" t="str">
        <f>IF(P309="","",IF(P309+1&gt;'Funnel setup'!$K$10,"",P309+1))</f>
        <v/>
      </c>
    </row>
    <row r="311" spans="16:16" x14ac:dyDescent="0.2">
      <c r="P311" s="297" t="str">
        <f>IF(P310="","",IF(P310+1&gt;'Funnel setup'!$K$10,"",P310+1))</f>
        <v/>
      </c>
    </row>
    <row r="312" spans="16:16" x14ac:dyDescent="0.2">
      <c r="P312" s="297" t="str">
        <f>IF(P311="","",IF(P311+1&gt;'Funnel setup'!$K$10,"",P311+1))</f>
        <v/>
      </c>
    </row>
    <row r="313" spans="16:16" x14ac:dyDescent="0.2">
      <c r="P313" s="297" t="str">
        <f>IF(P312="","",IF(P312+1&gt;'Funnel setup'!$K$10,"",P312+1))</f>
        <v/>
      </c>
    </row>
    <row r="314" spans="16:16" x14ac:dyDescent="0.2">
      <c r="P314" s="297" t="str">
        <f>IF(P313="","",IF(P313+1&gt;'Funnel setup'!$K$10,"",P313+1))</f>
        <v/>
      </c>
    </row>
    <row r="315" spans="16:16" x14ac:dyDescent="0.2">
      <c r="P315" s="297" t="str">
        <f>IF(P314="","",IF(P314+1&gt;'Funnel setup'!$K$10,"",P314+1))</f>
        <v/>
      </c>
    </row>
    <row r="316" spans="16:16" x14ac:dyDescent="0.2">
      <c r="P316" s="297" t="str">
        <f>IF(P315="","",IF(P315+1&gt;'Funnel setup'!$K$10,"",P315+1))</f>
        <v/>
      </c>
    </row>
    <row r="317" spans="16:16" x14ac:dyDescent="0.2">
      <c r="P317" s="297" t="str">
        <f>IF(P316="","",IF(P316+1&gt;'Funnel setup'!$K$10,"",P316+1))</f>
        <v/>
      </c>
    </row>
    <row r="318" spans="16:16" x14ac:dyDescent="0.2">
      <c r="P318" s="297" t="str">
        <f>IF(P317="","",IF(P317+1&gt;'Funnel setup'!$K$10,"",P317+1))</f>
        <v/>
      </c>
    </row>
    <row r="319" spans="16:16" x14ac:dyDescent="0.2">
      <c r="P319" s="297" t="str">
        <f>IF(P318="","",IF(P318+1&gt;'Funnel setup'!$K$10,"",P318+1))</f>
        <v/>
      </c>
    </row>
    <row r="320" spans="16:16" x14ac:dyDescent="0.2">
      <c r="P320" s="297" t="str">
        <f>IF(P319="","",IF(P319+1&gt;'Funnel setup'!$K$10,"",P319+1))</f>
        <v/>
      </c>
    </row>
    <row r="321" spans="16:16" x14ac:dyDescent="0.2">
      <c r="P321" s="297" t="str">
        <f>IF(P320="","",IF(P320+1&gt;'Funnel setup'!$K$10,"",P320+1))</f>
        <v/>
      </c>
    </row>
    <row r="322" spans="16:16" x14ac:dyDescent="0.2">
      <c r="P322" s="297" t="str">
        <f>IF(P321="","",IF(P321+1&gt;'Funnel setup'!$K$10,"",P321+1))</f>
        <v/>
      </c>
    </row>
    <row r="323" spans="16:16" x14ac:dyDescent="0.2">
      <c r="P323" s="297" t="str">
        <f>IF(P322="","",IF(P322+1&gt;'Funnel setup'!$K$10,"",P322+1))</f>
        <v/>
      </c>
    </row>
    <row r="324" spans="16:16" x14ac:dyDescent="0.2">
      <c r="P324" s="297" t="str">
        <f>IF(P323="","",IF(P323+1&gt;'Funnel setup'!$K$10,"",P323+1))</f>
        <v/>
      </c>
    </row>
    <row r="325" spans="16:16" x14ac:dyDescent="0.2">
      <c r="P325" s="297" t="str">
        <f>IF(P324="","",IF(P324+1&gt;'Funnel setup'!$K$10,"",P324+1))</f>
        <v/>
      </c>
    </row>
    <row r="326" spans="16:16" x14ac:dyDescent="0.2">
      <c r="P326" s="297" t="str">
        <f>IF(P325="","",IF(P325+1&gt;'Funnel setup'!$K$10,"",P325+1))</f>
        <v/>
      </c>
    </row>
    <row r="327" spans="16:16" x14ac:dyDescent="0.2">
      <c r="P327" s="297" t="str">
        <f>IF(P326="","",IF(P326+1&gt;'Funnel setup'!$K$10,"",P326+1))</f>
        <v/>
      </c>
    </row>
    <row r="328" spans="16:16" x14ac:dyDescent="0.2">
      <c r="P328" s="297" t="str">
        <f>IF(P327="","",IF(P327+1&gt;'Funnel setup'!$K$10,"",P327+1))</f>
        <v/>
      </c>
    </row>
    <row r="329" spans="16:16" x14ac:dyDescent="0.2">
      <c r="P329" s="297" t="str">
        <f>IF(P328="","",IF(P328+1&gt;'Funnel setup'!$K$10,"",P328+1))</f>
        <v/>
      </c>
    </row>
    <row r="330" spans="16:16" x14ac:dyDescent="0.2">
      <c r="P330" s="297" t="str">
        <f>IF(P329="","",IF(P329+1&gt;'Funnel setup'!$K$10,"",P329+1))</f>
        <v/>
      </c>
    </row>
    <row r="331" spans="16:16" x14ac:dyDescent="0.2">
      <c r="P331" s="297" t="str">
        <f>IF(P330="","",IF(P330+1&gt;'Funnel setup'!$K$10,"",P330+1))</f>
        <v/>
      </c>
    </row>
    <row r="332" spans="16:16" x14ac:dyDescent="0.2">
      <c r="P332" s="297" t="str">
        <f>IF(P331="","",IF(P331+1&gt;'Funnel setup'!$K$10,"",P331+1))</f>
        <v/>
      </c>
    </row>
    <row r="333" spans="16:16" x14ac:dyDescent="0.2">
      <c r="P333" s="297" t="str">
        <f>IF(P332="","",IF(P332+1&gt;'Funnel setup'!$K$10,"",P332+1))</f>
        <v/>
      </c>
    </row>
    <row r="334" spans="16:16" x14ac:dyDescent="0.2">
      <c r="P334" s="297" t="str">
        <f>IF(P333="","",IF(P333+1&gt;'Funnel setup'!$K$10,"",P333+1))</f>
        <v/>
      </c>
    </row>
    <row r="335" spans="16:16" x14ac:dyDescent="0.2">
      <c r="P335" s="297" t="str">
        <f>IF(P334="","",IF(P334+1&gt;'Funnel setup'!$K$10,"",P334+1))</f>
        <v/>
      </c>
    </row>
    <row r="336" spans="16:16" x14ac:dyDescent="0.2">
      <c r="P336" s="297" t="str">
        <f>IF(P335="","",IF(P335+1&gt;'Funnel setup'!$K$10,"",P335+1))</f>
        <v/>
      </c>
    </row>
    <row r="337" spans="16:16" x14ac:dyDescent="0.2">
      <c r="P337" s="297" t="str">
        <f>IF(P336="","",IF(P336+1&gt;'Funnel setup'!$K$10,"",P336+1))</f>
        <v/>
      </c>
    </row>
    <row r="338" spans="16:16" x14ac:dyDescent="0.2">
      <c r="P338" s="297" t="str">
        <f>IF(P337="","",IF(P337+1&gt;'Funnel setup'!$K$10,"",P337+1))</f>
        <v/>
      </c>
    </row>
    <row r="339" spans="16:16" x14ac:dyDescent="0.2">
      <c r="P339" s="297" t="str">
        <f>IF(P338="","",IF(P338+1&gt;'Funnel setup'!$K$10,"",P338+1))</f>
        <v/>
      </c>
    </row>
    <row r="340" spans="16:16" x14ac:dyDescent="0.2">
      <c r="P340" s="297" t="str">
        <f>IF(P339="","",IF(P339+1&gt;'Funnel setup'!$K$10,"",P339+1))</f>
        <v/>
      </c>
    </row>
    <row r="341" spans="16:16" x14ac:dyDescent="0.2">
      <c r="P341" s="297" t="str">
        <f>IF(P340="","",IF(P340+1&gt;'Funnel setup'!$K$10,"",P340+1))</f>
        <v/>
      </c>
    </row>
    <row r="342" spans="16:16" x14ac:dyDescent="0.2">
      <c r="P342" s="297" t="str">
        <f>IF(P341="","",IF(P341+1&gt;'Funnel setup'!$K$10,"",P341+1))</f>
        <v/>
      </c>
    </row>
    <row r="343" spans="16:16" x14ac:dyDescent="0.2">
      <c r="P343" s="297" t="str">
        <f>IF(P342="","",IF(P342+1&gt;'Funnel setup'!$K$10,"",P342+1))</f>
        <v/>
      </c>
    </row>
    <row r="344" spans="16:16" x14ac:dyDescent="0.2">
      <c r="P344" s="297" t="str">
        <f>IF(P343="","",IF(P343+1&gt;'Funnel setup'!$K$10,"",P343+1))</f>
        <v/>
      </c>
    </row>
    <row r="345" spans="16:16" x14ac:dyDescent="0.2">
      <c r="P345" s="297" t="str">
        <f>IF(P344="","",IF(P344+1&gt;'Funnel setup'!$K$10,"",P344+1))</f>
        <v/>
      </c>
    </row>
    <row r="346" spans="16:16" x14ac:dyDescent="0.2">
      <c r="P346" s="297" t="str">
        <f>IF(P345="","",IF(P345+1&gt;'Funnel setup'!$K$10,"",P345+1))</f>
        <v/>
      </c>
    </row>
    <row r="347" spans="16:16" x14ac:dyDescent="0.2">
      <c r="P347" s="297" t="str">
        <f>IF(P346="","",IF(P346+1&gt;'Funnel setup'!$K$10,"",P346+1))</f>
        <v/>
      </c>
    </row>
    <row r="348" spans="16:16" x14ac:dyDescent="0.2">
      <c r="P348" s="297" t="str">
        <f>IF(P347="","",IF(P347+1&gt;'Funnel setup'!$K$10,"",P347+1))</f>
        <v/>
      </c>
    </row>
    <row r="349" spans="16:16" x14ac:dyDescent="0.2">
      <c r="P349" s="297" t="str">
        <f>IF(P348="","",IF(P348+1&gt;'Funnel setup'!$K$10,"",P348+1))</f>
        <v/>
      </c>
    </row>
    <row r="350" spans="16:16" x14ac:dyDescent="0.2">
      <c r="P350" s="297" t="str">
        <f>IF(P349="","",IF(P349+1&gt;'Funnel setup'!$K$10,"",P349+1))</f>
        <v/>
      </c>
    </row>
    <row r="351" spans="16:16" x14ac:dyDescent="0.2">
      <c r="P351" s="297" t="str">
        <f>IF(P350="","",IF(P350+1&gt;'Funnel setup'!$K$10,"",P350+1))</f>
        <v/>
      </c>
    </row>
    <row r="352" spans="16:16" x14ac:dyDescent="0.2">
      <c r="P352" s="297" t="str">
        <f>IF(P351="","",IF(P351+1&gt;'Funnel setup'!$K$10,"",P351+1))</f>
        <v/>
      </c>
    </row>
    <row r="353" spans="16:16" x14ac:dyDescent="0.2">
      <c r="P353" s="297" t="str">
        <f>IF(P352="","",IF(P352+1&gt;'Funnel setup'!$K$10,"",P352+1))</f>
        <v/>
      </c>
    </row>
    <row r="354" spans="16:16" x14ac:dyDescent="0.2">
      <c r="P354" s="297" t="str">
        <f>IF(P353="","",IF(P353+1&gt;'Funnel setup'!$K$10,"",P353+1))</f>
        <v/>
      </c>
    </row>
    <row r="355" spans="16:16" x14ac:dyDescent="0.2">
      <c r="P355" s="297" t="str">
        <f>IF(P354="","",IF(P354+1&gt;'Funnel setup'!$K$10,"",P354+1))</f>
        <v/>
      </c>
    </row>
    <row r="356" spans="16:16" x14ac:dyDescent="0.2">
      <c r="P356" s="297" t="str">
        <f>IF(P355="","",IF(P355+1&gt;'Funnel setup'!$K$10,"",P355+1))</f>
        <v/>
      </c>
    </row>
    <row r="357" spans="16:16" x14ac:dyDescent="0.2">
      <c r="P357" s="297" t="str">
        <f>IF(P356="","",IF(P356+1&gt;'Funnel setup'!$K$10,"",P356+1))</f>
        <v/>
      </c>
    </row>
    <row r="358" spans="16:16" x14ac:dyDescent="0.2">
      <c r="P358" s="297" t="str">
        <f>IF(P357="","",IF(P357+1&gt;'Funnel setup'!$K$10,"",P357+1))</f>
        <v/>
      </c>
    </row>
    <row r="359" spans="16:16" x14ac:dyDescent="0.2">
      <c r="P359" s="297" t="str">
        <f>IF(P358="","",IF(P358+1&gt;'Funnel setup'!$K$10,"",P358+1))</f>
        <v/>
      </c>
    </row>
    <row r="360" spans="16:16" x14ac:dyDescent="0.2">
      <c r="P360" s="297" t="str">
        <f>IF(P359="","",IF(P359+1&gt;'Funnel setup'!$K$10,"",P359+1))</f>
        <v/>
      </c>
    </row>
    <row r="361" spans="16:16" x14ac:dyDescent="0.2">
      <c r="P361" s="297" t="str">
        <f>IF(P360="","",IF(P360+1&gt;'Funnel setup'!$K$10,"",P360+1))</f>
        <v/>
      </c>
    </row>
    <row r="362" spans="16:16" x14ac:dyDescent="0.2">
      <c r="P362" s="297" t="str">
        <f>IF(P361="","",IF(P361+1&gt;'Funnel setup'!$K$10,"",P361+1))</f>
        <v/>
      </c>
    </row>
    <row r="363" spans="16:16" x14ac:dyDescent="0.2">
      <c r="P363" s="297" t="str">
        <f>IF(P362="","",IF(P362+1&gt;'Funnel setup'!$K$10,"",P362+1))</f>
        <v/>
      </c>
    </row>
    <row r="364" spans="16:16" x14ac:dyDescent="0.2">
      <c r="P364" s="297" t="str">
        <f>IF(P363="","",IF(P363+1&gt;'Funnel setup'!$K$10,"",P363+1))</f>
        <v/>
      </c>
    </row>
    <row r="365" spans="16:16" x14ac:dyDescent="0.2">
      <c r="P365" s="297" t="str">
        <f>IF(P364="","",IF(P364+1&gt;'Funnel setup'!$K$10,"",P364+1))</f>
        <v/>
      </c>
    </row>
    <row r="366" spans="16:16" x14ac:dyDescent="0.2">
      <c r="P366" s="297" t="str">
        <f>IF(P365="","",IF(P365+1&gt;'Funnel setup'!$K$10,"",P365+1))</f>
        <v/>
      </c>
    </row>
    <row r="367" spans="16:16" x14ac:dyDescent="0.2">
      <c r="P367" s="297" t="str">
        <f>IF(P366="","",IF(P366+1&gt;'Funnel setup'!$K$10,"",P366+1))</f>
        <v/>
      </c>
    </row>
    <row r="368" spans="16:16" x14ac:dyDescent="0.2">
      <c r="P368" s="297" t="str">
        <f>IF(P367="","",IF(P367+1&gt;'Funnel setup'!$K$10,"",P367+1))</f>
        <v/>
      </c>
    </row>
    <row r="369" spans="16:16" x14ac:dyDescent="0.2">
      <c r="P369" s="297" t="str">
        <f>IF(P368="","",IF(P368+1&gt;'Funnel setup'!$K$10,"",P368+1))</f>
        <v/>
      </c>
    </row>
    <row r="370" spans="16:16" x14ac:dyDescent="0.2">
      <c r="P370" s="297" t="str">
        <f>IF(P369="","",IF(P369+1&gt;'Funnel setup'!$K$10,"",P369+1))</f>
        <v/>
      </c>
    </row>
    <row r="371" spans="16:16" x14ac:dyDescent="0.2">
      <c r="P371" s="297" t="str">
        <f>IF(P370="","",IF(P370+1&gt;'Funnel setup'!$K$10,"",P370+1))</f>
        <v/>
      </c>
    </row>
    <row r="372" spans="16:16" x14ac:dyDescent="0.2">
      <c r="P372" s="297" t="str">
        <f>IF(P371="","",IF(P371+1&gt;'Funnel setup'!$K$10,"",P371+1))</f>
        <v/>
      </c>
    </row>
    <row r="373" spans="16:16" x14ac:dyDescent="0.2">
      <c r="P373" s="297" t="str">
        <f>IF(P372="","",IF(P372+1&gt;'Funnel setup'!$K$10,"",P372+1))</f>
        <v/>
      </c>
    </row>
    <row r="374" spans="16:16" x14ac:dyDescent="0.2">
      <c r="P374" s="297" t="str">
        <f>IF(P373="","",IF(P373+1&gt;'Funnel setup'!$K$10,"",P373+1))</f>
        <v/>
      </c>
    </row>
    <row r="375" spans="16:16" x14ac:dyDescent="0.2">
      <c r="P375" s="297" t="str">
        <f>IF(P374="","",IF(P374+1&gt;'Funnel setup'!$K$10,"",P374+1))</f>
        <v/>
      </c>
    </row>
    <row r="376" spans="16:16" x14ac:dyDescent="0.2">
      <c r="P376" s="297" t="str">
        <f>IF(P375="","",IF(P375+1&gt;'Funnel setup'!$K$10,"",P375+1))</f>
        <v/>
      </c>
    </row>
    <row r="377" spans="16:16" x14ac:dyDescent="0.2">
      <c r="P377" s="297" t="str">
        <f>IF(P376="","",IF(P376+1&gt;'Funnel setup'!$K$10,"",P376+1))</f>
        <v/>
      </c>
    </row>
    <row r="378" spans="16:16" x14ac:dyDescent="0.2">
      <c r="P378" s="297" t="str">
        <f>IF(P377="","",IF(P377+1&gt;'Funnel setup'!$K$10,"",P377+1))</f>
        <v/>
      </c>
    </row>
    <row r="379" spans="16:16" x14ac:dyDescent="0.2">
      <c r="P379" s="297" t="str">
        <f>IF(P378="","",IF(P378+1&gt;'Funnel setup'!$K$10,"",P378+1))</f>
        <v/>
      </c>
    </row>
    <row r="380" spans="16:16" x14ac:dyDescent="0.2">
      <c r="P380" s="297" t="str">
        <f>IF(P379="","",IF(P379+1&gt;'Funnel setup'!$K$10,"",P379+1))</f>
        <v/>
      </c>
    </row>
    <row r="381" spans="16:16" x14ac:dyDescent="0.2">
      <c r="P381" s="297" t="str">
        <f>IF(P380="","",IF(P380+1&gt;'Funnel setup'!$K$10,"",P380+1))</f>
        <v/>
      </c>
    </row>
    <row r="382" spans="16:16" x14ac:dyDescent="0.2">
      <c r="P382" s="297" t="str">
        <f>IF(P381="","",IF(P381+1&gt;'Funnel setup'!$K$10,"",P381+1))</f>
        <v/>
      </c>
    </row>
    <row r="383" spans="16:16" x14ac:dyDescent="0.2">
      <c r="P383" s="297" t="str">
        <f>IF(P382="","",IF(P382+1&gt;'Funnel setup'!$K$10,"",P382+1))</f>
        <v/>
      </c>
    </row>
    <row r="384" spans="16:16" x14ac:dyDescent="0.2">
      <c r="P384" s="297" t="str">
        <f>IF(P383="","",IF(P383+1&gt;'Funnel setup'!$K$10,"",P383+1))</f>
        <v/>
      </c>
    </row>
    <row r="385" spans="16:16" x14ac:dyDescent="0.2">
      <c r="P385" s="297" t="str">
        <f>IF(P384="","",IF(P384+1&gt;'Funnel setup'!$K$10,"",P384+1))</f>
        <v/>
      </c>
    </row>
    <row r="386" spans="16:16" x14ac:dyDescent="0.2">
      <c r="P386" s="297" t="str">
        <f>IF(P385="","",IF(P385+1&gt;'Funnel setup'!$K$10,"",P385+1))</f>
        <v/>
      </c>
    </row>
    <row r="387" spans="16:16" x14ac:dyDescent="0.2">
      <c r="P387" s="297" t="str">
        <f>IF(P386="","",IF(P386+1&gt;'Funnel setup'!$K$10,"",P386+1))</f>
        <v/>
      </c>
    </row>
    <row r="388" spans="16:16" x14ac:dyDescent="0.2">
      <c r="P388" s="297" t="str">
        <f>IF(P387="","",IF(P387+1&gt;'Funnel setup'!$K$10,"",P387+1))</f>
        <v/>
      </c>
    </row>
    <row r="389" spans="16:16" x14ac:dyDescent="0.2">
      <c r="P389" s="297" t="str">
        <f>IF(P388="","",IF(P388+1&gt;'Funnel setup'!$K$10,"",P388+1))</f>
        <v/>
      </c>
    </row>
    <row r="390" spans="16:16" x14ac:dyDescent="0.2">
      <c r="P390" s="297" t="str">
        <f>IF(P389="","",IF(P389+1&gt;'Funnel setup'!$K$10,"",P389+1))</f>
        <v/>
      </c>
    </row>
    <row r="391" spans="16:16" x14ac:dyDescent="0.2">
      <c r="P391" s="297" t="str">
        <f>IF(P390="","",IF(P390+1&gt;'Funnel setup'!$K$10,"",P390+1))</f>
        <v/>
      </c>
    </row>
    <row r="392" spans="16:16" x14ac:dyDescent="0.2">
      <c r="P392" s="297" t="str">
        <f>IF(P391="","",IF(P391+1&gt;'Funnel setup'!$K$10,"",P391+1))</f>
        <v/>
      </c>
    </row>
    <row r="393" spans="16:16" x14ac:dyDescent="0.2">
      <c r="P393" s="297" t="str">
        <f>IF(P392="","",IF(P392+1&gt;'Funnel setup'!$K$10,"",P392+1))</f>
        <v/>
      </c>
    </row>
    <row r="394" spans="16:16" x14ac:dyDescent="0.2">
      <c r="P394" s="297" t="str">
        <f>IF(P393="","",IF(P393+1&gt;'Funnel setup'!$K$10,"",P393+1))</f>
        <v/>
      </c>
    </row>
    <row r="395" spans="16:16" x14ac:dyDescent="0.2">
      <c r="P395" s="297" t="str">
        <f>IF(P394="","",IF(P394+1&gt;'Funnel setup'!$K$10,"",P394+1))</f>
        <v/>
      </c>
    </row>
    <row r="396" spans="16:16" x14ac:dyDescent="0.2">
      <c r="P396" s="297" t="str">
        <f>IF(P395="","",IF(P395+1&gt;'Funnel setup'!$K$10,"",P395+1))</f>
        <v/>
      </c>
    </row>
    <row r="397" spans="16:16" x14ac:dyDescent="0.2">
      <c r="P397" s="297" t="str">
        <f>IF(P396="","",IF(P396+1&gt;'Funnel setup'!$K$10,"",P396+1))</f>
        <v/>
      </c>
    </row>
    <row r="398" spans="16:16" x14ac:dyDescent="0.2">
      <c r="P398" s="297" t="str">
        <f>IF(P397="","",IF(P397+1&gt;'Funnel setup'!$K$10,"",P397+1))</f>
        <v/>
      </c>
    </row>
    <row r="399" spans="16:16" x14ac:dyDescent="0.2">
      <c r="P399" s="297" t="str">
        <f>IF(P398="","",IF(P398+1&gt;'Funnel setup'!$K$10,"",P398+1))</f>
        <v/>
      </c>
    </row>
    <row r="400" spans="16:16" x14ac:dyDescent="0.2">
      <c r="P400" s="297" t="str">
        <f>IF(P399="","",IF(P399+1&gt;'Funnel setup'!$K$10,"",P399+1))</f>
        <v/>
      </c>
    </row>
    <row r="401" spans="16:16" x14ac:dyDescent="0.2">
      <c r="P401" s="297" t="str">
        <f>IF(P400="","",IF(P400+1&gt;'Funnel setup'!$K$10,"",P400+1))</f>
        <v/>
      </c>
    </row>
    <row r="402" spans="16:16" x14ac:dyDescent="0.2">
      <c r="P402" s="297" t="str">
        <f>IF(P401="","",IF(P401+1&gt;'Funnel setup'!$K$10,"",P401+1))</f>
        <v/>
      </c>
    </row>
    <row r="403" spans="16:16" x14ac:dyDescent="0.2">
      <c r="P403" s="297" t="str">
        <f>IF(P402="","",IF(P402+1&gt;'Funnel setup'!$K$10,"",P402+1))</f>
        <v/>
      </c>
    </row>
    <row r="404" spans="16:16" x14ac:dyDescent="0.2">
      <c r="P404" s="297" t="str">
        <f>IF(P403="","",IF(P403+1&gt;'Funnel setup'!$K$10,"",P403+1))</f>
        <v/>
      </c>
    </row>
    <row r="405" spans="16:16" x14ac:dyDescent="0.2">
      <c r="P405" s="297" t="str">
        <f>IF(P404="","",IF(P404+1&gt;'Funnel setup'!$K$10,"",P404+1))</f>
        <v/>
      </c>
    </row>
    <row r="406" spans="16:16" x14ac:dyDescent="0.2">
      <c r="P406" s="297" t="str">
        <f>IF(P405="","",IF(P405+1&gt;'Funnel setup'!$K$10,"",P405+1))</f>
        <v/>
      </c>
    </row>
    <row r="407" spans="16:16" x14ac:dyDescent="0.2">
      <c r="P407" s="297" t="str">
        <f>IF(P406="","",IF(P406+1&gt;'Funnel setup'!$K$10,"",P406+1))</f>
        <v/>
      </c>
    </row>
    <row r="408" spans="16:16" x14ac:dyDescent="0.2">
      <c r="P408" s="297" t="str">
        <f>IF(P407="","",IF(P407+1&gt;'Funnel setup'!$K$10,"",P407+1))</f>
        <v/>
      </c>
    </row>
    <row r="409" spans="16:16" x14ac:dyDescent="0.2">
      <c r="P409" s="297" t="str">
        <f>IF(P408="","",IF(P408+1&gt;'Funnel setup'!$K$10,"",P408+1))</f>
        <v/>
      </c>
    </row>
    <row r="410" spans="16:16" x14ac:dyDescent="0.2">
      <c r="P410" s="297" t="str">
        <f>IF(P409="","",IF(P409+1&gt;'Funnel setup'!$K$10,"",P409+1))</f>
        <v/>
      </c>
    </row>
    <row r="411" spans="16:16" x14ac:dyDescent="0.2">
      <c r="P411" s="297" t="str">
        <f>IF(P410="","",IF(P410+1&gt;'Funnel setup'!$K$10,"",P410+1))</f>
        <v/>
      </c>
    </row>
    <row r="412" spans="16:16" x14ac:dyDescent="0.2">
      <c r="P412" s="297" t="str">
        <f>IF(P411="","",IF(P411+1&gt;'Funnel setup'!$K$10,"",P411+1))</f>
        <v/>
      </c>
    </row>
    <row r="413" spans="16:16" x14ac:dyDescent="0.2">
      <c r="P413" s="297" t="str">
        <f>IF(P412="","",IF(P412+1&gt;'Funnel setup'!$K$10,"",P412+1))</f>
        <v/>
      </c>
    </row>
    <row r="414" spans="16:16" x14ac:dyDescent="0.2">
      <c r="P414" s="297" t="str">
        <f>IF(P413="","",IF(P413+1&gt;'Funnel setup'!$K$10,"",P413+1))</f>
        <v/>
      </c>
    </row>
    <row r="415" spans="16:16" x14ac:dyDescent="0.2">
      <c r="P415" s="297" t="str">
        <f>IF(P414="","",IF(P414+1&gt;'Funnel setup'!$K$10,"",P414+1))</f>
        <v/>
      </c>
    </row>
    <row r="416" spans="16:16" x14ac:dyDescent="0.2">
      <c r="P416" s="297" t="str">
        <f>IF(P415="","",IF(P415+1&gt;'Funnel setup'!$K$10,"",P415+1))</f>
        <v/>
      </c>
    </row>
    <row r="417" spans="16:16" x14ac:dyDescent="0.2">
      <c r="P417" s="297" t="str">
        <f>IF(P416="","",IF(P416+1&gt;'Funnel setup'!$K$10,"",P416+1))</f>
        <v/>
      </c>
    </row>
    <row r="418" spans="16:16" x14ac:dyDescent="0.2">
      <c r="P418" s="297" t="str">
        <f>IF(P417="","",IF(P417+1&gt;'Funnel setup'!$K$10,"",P417+1))</f>
        <v/>
      </c>
    </row>
    <row r="419" spans="16:16" x14ac:dyDescent="0.2">
      <c r="P419" s="297" t="str">
        <f>IF(P418="","",IF(P418+1&gt;'Funnel setup'!$K$10,"",P418+1))</f>
        <v/>
      </c>
    </row>
    <row r="420" spans="16:16" x14ac:dyDescent="0.2">
      <c r="P420" s="297" t="str">
        <f>IF(P419="","",IF(P419+1&gt;'Funnel setup'!$K$10,"",P419+1))</f>
        <v/>
      </c>
    </row>
    <row r="421" spans="16:16" x14ac:dyDescent="0.2">
      <c r="P421" s="297" t="str">
        <f>IF(P420="","",IF(P420+1&gt;'Funnel setup'!$K$10,"",P420+1))</f>
        <v/>
      </c>
    </row>
    <row r="422" spans="16:16" x14ac:dyDescent="0.2">
      <c r="P422" s="297" t="str">
        <f>IF(P421="","",IF(P421+1&gt;'Funnel setup'!$K$10,"",P421+1))</f>
        <v/>
      </c>
    </row>
  </sheetData>
  <sortState ref="C36:J46">
    <sortCondition ref="C36:C46"/>
  </sortState>
  <mergeCells count="2">
    <mergeCell ref="G2:H2"/>
    <mergeCell ref="B1:H1"/>
  </mergeCells>
  <phoneticPr fontId="10" type="noConversion"/>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B3"/>
  </sheetPr>
  <dimension ref="A1:O80"/>
  <sheetViews>
    <sheetView topLeftCell="A7" workbookViewId="0">
      <selection activeCell="E31" sqref="E31"/>
    </sheetView>
  </sheetViews>
  <sheetFormatPr defaultRowHeight="12.75" x14ac:dyDescent="0.2"/>
  <cols>
    <col min="1" max="1" width="30.85546875" style="32" customWidth="1"/>
    <col min="2" max="2" width="23" style="32" customWidth="1"/>
    <col min="3" max="3" width="16" style="32" customWidth="1"/>
    <col min="4" max="4" width="14" style="32" customWidth="1"/>
    <col min="5" max="5" width="13.42578125" style="32" customWidth="1"/>
    <col min="6" max="6" width="14" style="32" customWidth="1"/>
    <col min="7" max="8" width="13.28515625" style="32" customWidth="1"/>
    <col min="9" max="9" width="10.28515625" style="32" customWidth="1"/>
    <col min="10" max="10" width="13.42578125" style="32" customWidth="1"/>
    <col min="11" max="16384" width="9.140625" style="32"/>
  </cols>
  <sheetData>
    <row r="1" spans="1:10" x14ac:dyDescent="0.2">
      <c r="A1" s="177" t="s">
        <v>5</v>
      </c>
      <c r="B1" s="177"/>
      <c r="C1" s="178"/>
      <c r="D1" s="178"/>
      <c r="E1" s="178"/>
      <c r="F1" s="178"/>
      <c r="G1" s="178"/>
      <c r="H1" s="178"/>
    </row>
    <row r="2" spans="1:10" s="182" customFormat="1" x14ac:dyDescent="0.2">
      <c r="A2" s="181"/>
      <c r="B2" s="181"/>
    </row>
    <row r="3" spans="1:10" s="182" customFormat="1" ht="39.75" customHeight="1" x14ac:dyDescent="0.2">
      <c r="A3" s="181" t="s">
        <v>104</v>
      </c>
      <c r="B3" s="232" t="str">
        <f>IF('Adjusted Health Gain Chart'!B11=Reference!AA2,VLOOKUP('Adjusted Health Gain Chart'!$B$11,Reference!$Q$2,1,FALSE),IF('Adjusted Health Gain Chart'!B11=Reference!AA3,VLOOKUP('Adjusted Health Gain Chart'!D11,SHAs,1,FALSE),IF('Adjusted Health Gain Chart'!B11=Reference!AA4,VLOOKUP('Adjusted Health Gain Chart'!D11,PCTs,1,FALSE),IF('Adjusted Health Gain Chart'!B11=Reference!AA5,VLOOKUP('Adjusted Health Gain Chart'!D11,CCG,1,FALSE),VLOOKUP('Adjusted Health Gain Chart'!D11,Providers,1,FALSE)))))</f>
        <v>England</v>
      </c>
      <c r="C3" s="232"/>
      <c r="D3" s="232"/>
      <c r="E3" s="232"/>
      <c r="F3" s="495" t="s">
        <v>180</v>
      </c>
      <c r="G3" s="495"/>
      <c r="H3" s="495"/>
      <c r="I3" s="495"/>
      <c r="J3" s="495"/>
    </row>
    <row r="4" spans="1:10" s="182" customFormat="1" x14ac:dyDescent="0.2">
      <c r="A4" s="181" t="s">
        <v>105</v>
      </c>
      <c r="B4" s="233">
        <f>IF('Adjusted Health Gain Chart'!B11=Reference!AA2,Reference!R2,IF('Adjusted Health Gain Chart'!B11=Reference!AA3,Reference!O2,IF('Adjusted Health Gain Chart'!B11=Reference!AA4,Reference!L2,IF('Adjusted Health Gain Chart'!B11=Reference!AA5,Reference!I2,IF('Adjusted Health Gain Chart'!B11=Reference!AA6,Reference!F2)))))</f>
        <v>1</v>
      </c>
    </row>
    <row r="5" spans="1:10" s="182" customFormat="1" x14ac:dyDescent="0.2">
      <c r="A5" s="181"/>
      <c r="B5" s="181"/>
    </row>
    <row r="6" spans="1:10" s="182" customFormat="1" x14ac:dyDescent="0.2">
      <c r="A6" s="181" t="s">
        <v>92</v>
      </c>
      <c r="B6" s="232" t="str">
        <f>'Adjusted Health Gain Chart'!B11</f>
        <v>England</v>
      </c>
    </row>
    <row r="7" spans="1:10" s="182" customFormat="1" x14ac:dyDescent="0.2">
      <c r="A7" s="181" t="s">
        <v>95</v>
      </c>
      <c r="B7" s="232" t="str">
        <f>'Adjusted Health Gain Chart'!D11</f>
        <v>England</v>
      </c>
      <c r="C7" s="232"/>
      <c r="D7" s="232"/>
      <c r="E7" s="232"/>
    </row>
    <row r="8" spans="1:10" s="182" customFormat="1" x14ac:dyDescent="0.2">
      <c r="A8" s="181" t="s">
        <v>75</v>
      </c>
      <c r="B8" s="232" t="str">
        <f>B6&amp;B7</f>
        <v>EnglandEngland</v>
      </c>
      <c r="C8" s="232"/>
      <c r="D8" s="232"/>
      <c r="E8" s="232"/>
    </row>
    <row r="9" spans="1:10" s="182" customFormat="1" x14ac:dyDescent="0.2">
      <c r="A9" s="181"/>
      <c r="B9" s="181"/>
    </row>
    <row r="10" spans="1:10" x14ac:dyDescent="0.2">
      <c r="E10" s="439"/>
      <c r="F10" s="439"/>
    </row>
    <row r="11" spans="1:10" ht="89.25" x14ac:dyDescent="0.2">
      <c r="A11" s="496" t="s">
        <v>106</v>
      </c>
      <c r="B11" s="497"/>
      <c r="C11" s="183" t="s">
        <v>49</v>
      </c>
      <c r="D11" s="183" t="s">
        <v>364</v>
      </c>
      <c r="E11" s="184" t="s">
        <v>107</v>
      </c>
      <c r="F11" s="183" t="s">
        <v>41</v>
      </c>
      <c r="G11" s="456" t="s">
        <v>349</v>
      </c>
      <c r="H11" s="449"/>
      <c r="I11" s="449" t="s">
        <v>350</v>
      </c>
    </row>
    <row r="12" spans="1:10" x14ac:dyDescent="0.2">
      <c r="A12" s="185" t="s">
        <v>17</v>
      </c>
      <c r="C12" s="239"/>
      <c r="D12" s="234"/>
      <c r="E12" s="236"/>
      <c r="F12" s="237"/>
    </row>
    <row r="13" spans="1:10" x14ac:dyDescent="0.2">
      <c r="A13" s="187"/>
      <c r="B13" s="448" t="str">
        <f>"Varicose vein " &amp;"("&amp;F13 &amp;")"</f>
        <v>Varicose vein (5721)</v>
      </c>
      <c r="C13" s="459">
        <f>IF(ISNA(VLOOKUP(Reference!$Y$16&amp;$B$8&amp;Reference!$U$18,ProviderCommissionerNewChart,15,FALSE)),"No data",(VLOOKUP(Reference!$Y$16&amp;$B$8&amp;Reference!$U$18,ProviderCommissionerNewChart,15,FALSE)))</f>
        <v>-8.2810064669999992</v>
      </c>
      <c r="D13" s="463">
        <f>IF(G13&gt;=200,(VLOOKUP(Reference!$Y$16&amp;Reference!$AA$2&amp;Reference!$AA$2&amp;Reference!$U$18,ProviderCommissionerNewChart,15,FALSE)),"Insufficient data")</f>
        <v>-8.2810064669999992</v>
      </c>
      <c r="E13" s="240">
        <v>1</v>
      </c>
      <c r="F13" s="469">
        <f>IF(ISNA(VLOOKUP(Reference!$Y$16&amp;$B$8&amp;Reference!$U$18,ProviderCommissionerNewChart,7,FALSE)),0,(VLOOKUP(Reference!$Y$16&amp;$B$8&amp;Reference!$U$18,ProviderCommissionerNewChart,7,FALSE)))</f>
        <v>5721</v>
      </c>
      <c r="G13" s="458">
        <f>VLOOKUP(Reference!$Y$16&amp;Reference!$AA$2&amp;Reference!$AA$2&amp;Reference!$U$18,ProviderCommissionerNewChart,7,FALSE)</f>
        <v>5721</v>
      </c>
      <c r="H13" s="468" t="s">
        <v>352</v>
      </c>
      <c r="I13" s="465">
        <f>7/6</f>
        <v>1.1666666666666667</v>
      </c>
      <c r="J13" s="32">
        <f>I13/2</f>
        <v>0.58333333333333337</v>
      </c>
    </row>
    <row r="14" spans="1:10" x14ac:dyDescent="0.2">
      <c r="A14" s="187"/>
      <c r="B14" s="179"/>
      <c r="C14" s="459"/>
      <c r="D14" s="455"/>
      <c r="E14" s="240"/>
      <c r="F14" s="469"/>
      <c r="G14" s="458"/>
      <c r="H14" s="468" t="s">
        <v>353</v>
      </c>
      <c r="I14" s="32">
        <f>7/6</f>
        <v>1.1666666666666667</v>
      </c>
      <c r="J14" s="32">
        <f t="shared" ref="J14:J15" si="0">I14/2</f>
        <v>0.58333333333333337</v>
      </c>
    </row>
    <row r="15" spans="1:10" x14ac:dyDescent="0.2">
      <c r="A15" s="187"/>
      <c r="B15" s="179" t="str">
        <f>"Knee - revision "  &amp;"("&amp;F15 &amp;")"</f>
        <v>Knee - revision (1637)</v>
      </c>
      <c r="C15" s="459">
        <f>IF(ISNA(VLOOKUP(Reference!$Y$15&amp;$B$8&amp;Reference!$U$13,ProviderCommissionerNewChart,15,FALSE)),"No data",(VLOOKUP(Reference!$Y$15&amp;$B$8&amp;Reference!$U$13,ProviderCommissionerNewChart,15,FALSE)))</f>
        <v>12.337813069999999</v>
      </c>
      <c r="D15" s="463">
        <f>IF(G15&gt;=200,(VLOOKUP(Reference!$Y$15&amp;Reference!$AA$2&amp;Reference!$AA$2&amp;Reference!$U$13,ProviderCommissionerNewChart,15,FALSE)),"Insufficient data")</f>
        <v>12.337813069999999</v>
      </c>
      <c r="E15" s="466">
        <f>J15</f>
        <v>0.5714285714285714</v>
      </c>
      <c r="F15" s="469">
        <f>IF(ISNA(VLOOKUP(Reference!$Y$15&amp;$B$8&amp;Reference!$U$13,ProviderCommissionerNewChart,7,FALSE)),0,(VLOOKUP(Reference!$Y$15&amp;$B$8&amp;Reference!$U$13,ProviderCommissionerNewChart,7,FALSE)))</f>
        <v>1637</v>
      </c>
      <c r="G15" s="457">
        <f>VLOOKUP(Reference!$Y$15&amp;Reference!$AA$2&amp;Reference!$AA$2&amp;Reference!$U$13,ProviderCommissionerNewChart,7,FALSE)</f>
        <v>1637</v>
      </c>
      <c r="H15" s="457" t="s">
        <v>354</v>
      </c>
      <c r="I15" s="32">
        <f>8/7</f>
        <v>1.1428571428571428</v>
      </c>
      <c r="J15" s="32">
        <f t="shared" si="0"/>
        <v>0.5714285714285714</v>
      </c>
    </row>
    <row r="16" spans="1:10" x14ac:dyDescent="0.2">
      <c r="A16" s="187"/>
      <c r="B16" s="179" t="str">
        <f>"Knee - primary "  &amp;"("&amp;F16 &amp;")"</f>
        <v>Knee - primary (40818)</v>
      </c>
      <c r="C16" s="459">
        <f>IF(ISNA(VLOOKUP(Reference!$Y$14&amp;$B$8&amp;Reference!$U$13,ProviderCommissionerNewChart,15,FALSE)),"No data",(VLOOKUP(Reference!$Y$14&amp;$B$8&amp;Reference!$U$13,ProviderCommissionerNewChart,15,FALSE)))</f>
        <v>16.141555199999999</v>
      </c>
      <c r="D16" s="463">
        <f>IF(G16&gt;=200,(VLOOKUP(Reference!$Y$14&amp;Reference!$AA$2&amp;Reference!$AA$2&amp;Reference!$U$13,ProviderCommissionerNewChart,15,FALSE)),"Insufficient data")</f>
        <v>16.141555199999999</v>
      </c>
      <c r="E16" s="466">
        <f>E15+$I$15</f>
        <v>1.7142857142857142</v>
      </c>
      <c r="F16" s="470">
        <f>IF(ISNA(VLOOKUP(Reference!$Y$14&amp;$B$8&amp;Reference!$U$13,ProviderCommissionerNewChart,7,FALSE)),0,(VLOOKUP(Reference!$Y$14&amp;$B$8&amp;Reference!$U$13,ProviderCommissionerNewChart,7,FALSE)))</f>
        <v>40818</v>
      </c>
      <c r="G16" s="457">
        <f>VLOOKUP(Reference!$Y$14&amp;Reference!$AA$2&amp;Reference!$AA$2&amp;Reference!$U$13,ProviderCommissionerNewChart,7,FALSE)</f>
        <v>40818</v>
      </c>
      <c r="H16" s="457"/>
    </row>
    <row r="17" spans="1:8" x14ac:dyDescent="0.2">
      <c r="A17" s="187"/>
      <c r="B17" s="187" t="str">
        <f>"Oxford Knee Score     "</f>
        <v xml:space="preserve">Oxford Knee Score     </v>
      </c>
      <c r="C17" s="459"/>
      <c r="D17" s="455"/>
      <c r="E17" s="466">
        <f t="shared" ref="E17:E21" si="1">E16+$I$15</f>
        <v>2.8571428571428568</v>
      </c>
      <c r="F17" s="469"/>
      <c r="G17" s="457"/>
      <c r="H17" s="457" t="s">
        <v>356</v>
      </c>
    </row>
    <row r="18" spans="1:8" x14ac:dyDescent="0.2">
      <c r="A18" s="187"/>
      <c r="B18" s="179"/>
      <c r="C18" s="459"/>
      <c r="D18" s="455"/>
      <c r="E18" s="466">
        <f t="shared" si="1"/>
        <v>3.9999999999999996</v>
      </c>
      <c r="F18" s="469"/>
      <c r="G18" s="457"/>
      <c r="H18" s="457" t="s">
        <v>357</v>
      </c>
    </row>
    <row r="19" spans="1:8" x14ac:dyDescent="0.2">
      <c r="A19" s="187"/>
      <c r="B19" s="179" t="str">
        <f>"Hip - revision " &amp;"("&amp;F19 &amp;")"</f>
        <v>Hip - revision (2477)</v>
      </c>
      <c r="C19" s="459">
        <f>IF(ISNA(VLOOKUP(Reference!$Y$13&amp;$B$8&amp;Reference!$U$8,ProviderCommissionerNewChart,15,FALSE)),"No data",(VLOOKUP(Reference!$Y$13&amp;$B$8&amp;Reference!$U$8,ProviderCommissionerNewChart,15,FALSE)))</f>
        <v>12.724666940000001</v>
      </c>
      <c r="D19" s="463">
        <f>IF(G19&gt;=200,(VLOOKUP(Reference!$Y$13&amp;Reference!$AA$2&amp;Reference!$AA$2&amp;Reference!$U$8,ProviderCommissionerNewChart,15,FALSE)),"Insufficient data")</f>
        <v>12.724666940000001</v>
      </c>
      <c r="E19" s="466">
        <f t="shared" si="1"/>
        <v>5.1428571428571423</v>
      </c>
      <c r="F19" s="469">
        <f>IF(ISNA(VLOOKUP(Reference!$Y$13&amp;$B$8&amp;Reference!$U$8,ProviderCommissionerNewChart,7,FALSE)),0,(VLOOKUP(Reference!$Y$13&amp;$B$8&amp;Reference!$U$8,ProviderCommissionerNewChart,7,FALSE)))</f>
        <v>2477</v>
      </c>
      <c r="G19" s="457">
        <f>VLOOKUP(Reference!$Y$13&amp;Reference!$AA$2&amp;Reference!$AA$2&amp;Reference!$U$8,ProviderCommissionerNewChart,7,FALSE)</f>
        <v>2477</v>
      </c>
      <c r="H19" s="457" t="s">
        <v>358</v>
      </c>
    </row>
    <row r="20" spans="1:8" x14ac:dyDescent="0.2">
      <c r="A20" s="187"/>
      <c r="B20" s="179" t="str">
        <f>"Hip - primary " &amp;"("&amp;F20 &amp;")"</f>
        <v>Hip - primary (38709)</v>
      </c>
      <c r="C20" s="459">
        <f>IF(ISNA(VLOOKUP(Reference!$Y$12&amp;$B$8&amp;Reference!$U$8,ProviderCommissionerNewChart,15,FALSE)),"No data",(VLOOKUP(Reference!$Y$12&amp;$B$8&amp;Reference!$U$8,ProviderCommissionerNewChart,15,FALSE)))</f>
        <v>21.454777960000001</v>
      </c>
      <c r="D20" s="463">
        <f>IF(G20&gt;=200,(VLOOKUP(Reference!$Y$12&amp;Reference!$AA$2&amp;Reference!$AA$2&amp;Reference!$U$8,ProviderCommissionerNewChart,15,FALSE)),"Insufficient data")</f>
        <v>21.454777960000001</v>
      </c>
      <c r="E20" s="466">
        <f t="shared" si="1"/>
        <v>6.2857142857142847</v>
      </c>
      <c r="F20" s="469">
        <f>IF(ISNA(VLOOKUP(Reference!$Y$12&amp;$B$8&amp;Reference!$U$8,ProviderCommissionerNewChart,7,FALSE)),0,(VLOOKUP(Reference!$Y$12&amp;$B$8&amp;Reference!$U$8,ProviderCommissionerNewChart,7,FALSE)))</f>
        <v>38709</v>
      </c>
      <c r="G20" s="457">
        <f>VLOOKUP(Reference!$Y$12&amp;Reference!$AA$2&amp;Reference!$AA$2&amp;Reference!$U$8,ProviderCommissionerNewChart,7,FALSE)</f>
        <v>38709</v>
      </c>
      <c r="H20" s="457" t="s">
        <v>359</v>
      </c>
    </row>
    <row r="21" spans="1:8" x14ac:dyDescent="0.2">
      <c r="A21" s="187"/>
      <c r="B21" s="179" t="s">
        <v>355</v>
      </c>
      <c r="C21" s="459"/>
      <c r="D21" s="455"/>
      <c r="E21" s="466">
        <f t="shared" si="1"/>
        <v>7.428571428571427</v>
      </c>
      <c r="F21" s="471"/>
      <c r="G21" s="457"/>
      <c r="H21" s="457" t="s">
        <v>360</v>
      </c>
    </row>
    <row r="22" spans="1:8" x14ac:dyDescent="0.2">
      <c r="A22" s="187"/>
      <c r="B22" s="179"/>
      <c r="C22" s="459"/>
      <c r="D22" s="455"/>
      <c r="E22" s="240"/>
      <c r="F22" s="469"/>
      <c r="G22" s="457"/>
      <c r="H22" s="457" t="s">
        <v>361</v>
      </c>
    </row>
    <row r="23" spans="1:8" x14ac:dyDescent="0.2">
      <c r="A23" s="187"/>
      <c r="B23" s="179" t="str">
        <f>"Varicose vein " &amp;"("&amp;F23 &amp;")"</f>
        <v>Varicose vein (5505)</v>
      </c>
      <c r="C23" s="459">
        <f>IF(ISNA(VLOOKUP(Reference!$Y$16&amp;$B$8&amp;Reference!$U$3,ProviderCommissionerNewChart,15,FALSE)),"No data",(VLOOKUP(Reference!$Y$16&amp;$B$8&amp;Reference!$U$3,ProviderCommissionerNewChart,15,FALSE)))</f>
        <v>-0.54005449599999999</v>
      </c>
      <c r="D23" s="463">
        <f>IF(G23&gt;=200,(VLOOKUP(Reference!$Y$16&amp;Reference!$AA$2&amp;Reference!$AA$2&amp;Reference!$U$3,ProviderCommissionerNewChart,15,FALSE)),"Insufficient data")</f>
        <v>-0.54005449599999999</v>
      </c>
      <c r="E23" s="466">
        <f>J14</f>
        <v>0.58333333333333337</v>
      </c>
      <c r="F23" s="469">
        <f>IF(ISNA(VLOOKUP(Reference!$Y$16&amp;$B$8&amp;Reference!$U$3,ProviderCommissionerNewChart,7,FALSE)),0,(VLOOKUP(Reference!$Y$16&amp;$B$8&amp;Reference!$U$3,ProviderCommissionerNewChart,7,FALSE)))</f>
        <v>5505</v>
      </c>
      <c r="G23" s="457">
        <f>VLOOKUP(Reference!$Y$16&amp;Reference!$AA$2&amp;Reference!$AA$2&amp;Reference!$U$3,ProviderCommissionerNewChart,7,FALSE)</f>
        <v>5505</v>
      </c>
      <c r="H23" s="457" t="s">
        <v>362</v>
      </c>
    </row>
    <row r="24" spans="1:8" x14ac:dyDescent="0.2">
      <c r="A24" s="187"/>
      <c r="B24" s="179" t="str">
        <f>"Knee - revision " &amp;"("&amp;F24 &amp;")"</f>
        <v>Knee - revision (1445)</v>
      </c>
      <c r="C24" s="459">
        <f>IF(ISNA(VLOOKUP(Reference!$Y$15&amp;$B$8&amp;Reference!$U$3,ProviderCommissionerNewChart,15,FALSE)),"No data",(VLOOKUP(Reference!$Y$15&amp;$B$8&amp;Reference!$U$3,ProviderCommissionerNewChart,15,FALSE)))</f>
        <v>2.0595155709999999</v>
      </c>
      <c r="D24" s="463">
        <f>IF(G24&gt;=200,(VLOOKUP(Reference!$Y$15&amp;Reference!$AA$2&amp;Reference!$AA$2&amp;Reference!$U$3,ProviderCommissionerNewChart,15,FALSE)),"Insufficient data")</f>
        <v>2.0595155709999999</v>
      </c>
      <c r="E24" s="466">
        <f>E23+$I$14</f>
        <v>1.75</v>
      </c>
      <c r="F24" s="469">
        <f>IF(ISNA(VLOOKUP(Reference!$Y$15&amp;$B$8&amp;Reference!$U$3,ProviderCommissionerNewChart,7,FALSE)),0,(VLOOKUP(Reference!$Y$15&amp;$B$8&amp;Reference!$U$3,ProviderCommissionerNewChart,7,FALSE)))</f>
        <v>1445</v>
      </c>
      <c r="G24" s="457">
        <f>VLOOKUP(Reference!$Y$15&amp;Reference!$AA$2&amp;Reference!$AA$2&amp;Reference!$U$3,ProviderCommissionerNewChart,7,FALSE)</f>
        <v>1445</v>
      </c>
      <c r="H24" s="457" t="s">
        <v>363</v>
      </c>
    </row>
    <row r="25" spans="1:8" x14ac:dyDescent="0.2">
      <c r="A25" s="187"/>
      <c r="B25" s="179" t="str">
        <f>"Knee - primary " &amp;"("&amp;F25 &amp;")"</f>
        <v>Knee - primary (35839)</v>
      </c>
      <c r="C25" s="459">
        <f>IF(ISNA(VLOOKUP(Reference!$Y$14&amp;$B$8&amp;Reference!$U$3,ProviderCommissionerNewChart,15,FALSE)),"No data",(VLOOKUP(Reference!$Y$14&amp;$B$8&amp;Reference!$U$3,ProviderCommissionerNewChart,15,FALSE)))</f>
        <v>5.8550461790000004</v>
      </c>
      <c r="D25" s="463">
        <f>IF(G25&gt;=200,(VLOOKUP(Reference!$Y$14&amp;Reference!$AA$2&amp;Reference!$AA$2&amp;Reference!$U$3,ProviderCommissionerNewChart,15,FALSE)),"Insufficient data")</f>
        <v>5.8550461790000004</v>
      </c>
      <c r="E25" s="466">
        <f t="shared" ref="E25:E28" si="2">E24+$I$14</f>
        <v>2.916666666666667</v>
      </c>
      <c r="F25" s="469">
        <f>IF(ISNA(VLOOKUP(Reference!$Y$14&amp;$B$8&amp;Reference!$U$3,ProviderCommissionerNewChart,7,FALSE)),0,(VLOOKUP(Reference!$Y$14&amp;$B$8&amp;Reference!$U$3,ProviderCommissionerNewChart,7,FALSE)))</f>
        <v>35839</v>
      </c>
      <c r="G25" s="457">
        <f>VLOOKUP(Reference!$Y$14&amp;Reference!$AA$2&amp;Reference!$AA$2&amp;Reference!$U$3,ProviderCommissionerNewChart,7,FALSE)</f>
        <v>35839</v>
      </c>
      <c r="H25" s="457"/>
    </row>
    <row r="26" spans="1:8" x14ac:dyDescent="0.2">
      <c r="A26" s="187"/>
      <c r="B26" s="179" t="str">
        <f>"Hip - revision " &amp;"("&amp;F26 &amp;")"</f>
        <v>Hip - revision (2143)</v>
      </c>
      <c r="C26" s="459">
        <f>IF(ISNA(VLOOKUP(Reference!$Y$13&amp;$B$8&amp;Reference!$U$3,ProviderCommissionerNewChart,15,FALSE)),"No data",(VLOOKUP(Reference!$Y$13&amp;$B$8&amp;Reference!$U$3,ProviderCommissionerNewChart,15,FALSE)))</f>
        <v>5.2300513300000002</v>
      </c>
      <c r="D26" s="463">
        <f>IF(G26&gt;=200,(VLOOKUP(Reference!$Y$13&amp;Reference!$AA$2&amp;Reference!$AA$2&amp;Reference!$U$3,ProviderCommissionerNewChart,15,FALSE)),"Insufficient data")</f>
        <v>5.2300513300000002</v>
      </c>
      <c r="E26" s="466">
        <f t="shared" si="2"/>
        <v>4.0833333333333339</v>
      </c>
      <c r="F26" s="469">
        <f>IF(ISNA(VLOOKUP(Reference!$Y$13&amp;$B$8&amp;Reference!$U$3,ProviderCommissionerNewChart,7,FALSE)),0,(VLOOKUP(Reference!$Y$13&amp;$B$8&amp;Reference!$U$3,ProviderCommissionerNewChart,7,FALSE)))</f>
        <v>2143</v>
      </c>
      <c r="G26" s="457">
        <f>VLOOKUP(Reference!$Y$13&amp;Reference!$AA$2&amp;Reference!$AA$2&amp;Reference!$U$3,ProviderCommissionerNewChart,7,FALSE)</f>
        <v>2143</v>
      </c>
      <c r="H26" s="457"/>
    </row>
    <row r="27" spans="1:8" x14ac:dyDescent="0.2">
      <c r="A27" s="187"/>
      <c r="B27" s="179" t="str">
        <f>"Hip - primary " &amp;"("&amp;F27 &amp;")"</f>
        <v>Hip - primary (34129)</v>
      </c>
      <c r="C27" s="459">
        <f>IF(ISNA(VLOOKUP(Reference!$Y$12&amp;$B$8&amp;Reference!$U$3,ProviderCommissionerNewChart,15,FALSE)),"No data",(VLOOKUP(Reference!$Y$12&amp;$B$8&amp;Reference!$U$3,ProviderCommissionerNewChart,15,FALSE)))</f>
        <v>11.954964990000001</v>
      </c>
      <c r="D27" s="463">
        <f>IF(G27&gt;=200,(VLOOKUP(Reference!$Y$12&amp;Reference!$AA$2&amp;Reference!$AA$2&amp;Reference!$U$3,ProviderCommissionerNewChart,15,FALSE)),"Insufficient data")</f>
        <v>11.954964990000001</v>
      </c>
      <c r="E27" s="466">
        <f t="shared" si="2"/>
        <v>5.2500000000000009</v>
      </c>
      <c r="F27" s="469">
        <f>IF(ISNA(VLOOKUP(Reference!$Y$12&amp;$B$8&amp;Reference!$U$3,ProviderCommissionerNewChart,7,FALSE)),0,(VLOOKUP(Reference!$Y$12&amp;$B$8&amp;Reference!$U$3,ProviderCommissionerNewChart,7,FALSE)))</f>
        <v>34129</v>
      </c>
      <c r="G27" s="457">
        <f>VLOOKUP(Reference!$Y$12&amp;Reference!$AA$2&amp;Reference!$AA$2&amp;Reference!$U$3,ProviderCommissionerNewChart,7,FALSE)</f>
        <v>34129</v>
      </c>
      <c r="H27" s="457"/>
    </row>
    <row r="28" spans="1:8" x14ac:dyDescent="0.2">
      <c r="A28" s="187"/>
      <c r="B28" s="180" t="str">
        <f>"Groin hernia " &amp;"("&amp;F28 &amp;")"</f>
        <v>Groin hernia (20817)</v>
      </c>
      <c r="C28" s="459">
        <f>IF(ISNA(VLOOKUP(Reference!$Y$11&amp;$B$8&amp;Reference!$U$3,ProviderCommissionerNewChart,15,FALSE)),"No data",(VLOOKUP(Reference!$Y$11&amp;$B$8&amp;Reference!$U$3,ProviderCommissionerNewChart,15,FALSE)))</f>
        <v>-0.498198588</v>
      </c>
      <c r="D28" s="463">
        <f>IF(G28&gt;=200,(VLOOKUP(Reference!$Y$11&amp;Reference!$AA$2&amp;Reference!$AA$2&amp;Reference!$U$3,ProviderCommissionerNewChart,15,FALSE)),"Insufficient data")</f>
        <v>-0.498198588</v>
      </c>
      <c r="E28" s="466">
        <f t="shared" si="2"/>
        <v>6.4166666666666679</v>
      </c>
      <c r="F28" s="469">
        <f>IF(ISNA(VLOOKUP(Reference!$Y$11&amp;$B$8&amp;Reference!$U$3,ProviderCommissionerNewChart,7,FALSE)),0,(VLOOKUP(Reference!$Y$11&amp;$B$8&amp;Reference!$U$3,ProviderCommissionerNewChart,7,FALSE)))</f>
        <v>20817</v>
      </c>
      <c r="G28" s="457">
        <f>VLOOKUP(Reference!$Y$11&amp;Reference!$AA$2&amp;Reference!$AA$2&amp;Reference!$U$3,ProviderCommissionerNewChart,7,FALSE)</f>
        <v>20817</v>
      </c>
      <c r="H28" s="457"/>
    </row>
    <row r="29" spans="1:8" x14ac:dyDescent="0.2">
      <c r="A29" s="187"/>
      <c r="B29" s="179" t="s">
        <v>351</v>
      </c>
      <c r="C29" s="459"/>
      <c r="D29" s="455"/>
      <c r="E29" s="240"/>
      <c r="F29" s="241"/>
      <c r="G29" s="457"/>
      <c r="H29" s="457"/>
    </row>
    <row r="30" spans="1:8" x14ac:dyDescent="0.2">
      <c r="A30" s="187"/>
      <c r="B30" s="179"/>
      <c r="C30" s="459"/>
      <c r="D30" s="455"/>
      <c r="E30" s="240"/>
      <c r="F30" s="241"/>
      <c r="G30" s="457"/>
      <c r="H30" s="457"/>
    </row>
    <row r="31" spans="1:8" x14ac:dyDescent="0.2">
      <c r="A31" s="187" t="str">
        <f>"Figure 1: Average adjusted health gain on the EQ-5D A17 Index by procedure,
 "&amp;'Adjusted Health Gain Chart'!D11&amp; " compared with England"</f>
        <v>Figure 1: Average adjusted health gain on the EQ-5D A17 Index by procedure,
 England compared with England</v>
      </c>
      <c r="B31" s="179" t="str">
        <f>"Varicose vein " &amp;"("&amp;F31 &amp;")"</f>
        <v>Varicose vein (5559)</v>
      </c>
      <c r="C31" s="459">
        <f>IF(ISNA(VLOOKUP(Reference!$Y$16&amp;$B$8&amp;Reference!$U$2,ProviderCommissionerNewChart,15,FALSE)),"No data",(VLOOKUP(Reference!$Y$16&amp;$B$8&amp;Reference!$U$2,ProviderCommissionerNewChart,15,FALSE)))</f>
        <v>9.4882892999999996E-2</v>
      </c>
      <c r="D31" s="455">
        <f>IF(G31&gt;=200,(VLOOKUP(Reference!$Y$16&amp;Reference!$AA$2&amp;Reference!$AA$2&amp;Reference!$U$2,ProviderCommissionerNewChart,15,FALSE)),"Insufficient data")</f>
        <v>9.4882892999999996E-2</v>
      </c>
      <c r="E31" s="466">
        <f>J13</f>
        <v>0.58333333333333337</v>
      </c>
      <c r="F31" s="460">
        <f>IF(ISNA(VLOOKUP(Reference!$Y$16&amp;$B$8&amp;Reference!$U$2,ProviderCommissionerNewChart,7,FALSE)),0,(VLOOKUP(Reference!$Y$16&amp;$B$8&amp;Reference!$U$2,ProviderCommissionerNewChart,7,FALSE)))</f>
        <v>5559</v>
      </c>
      <c r="G31" s="457">
        <f>VLOOKUP(Reference!$Y$16&amp;Reference!$AA$2&amp;Reference!$AA$2&amp;Reference!$U$2,ProviderCommissionerNewChart,7,FALSE)</f>
        <v>5559</v>
      </c>
      <c r="H31" s="457"/>
    </row>
    <row r="32" spans="1:8" x14ac:dyDescent="0.2">
      <c r="A32" s="187"/>
      <c r="B32" s="179" t="str">
        <f>"Knee - revision " &amp;"("&amp;F32 &amp;")"</f>
        <v>Knee - revision (1505)</v>
      </c>
      <c r="C32" s="459">
        <f>IF(ISNA(VLOOKUP(Reference!$Y$15&amp;$B$8&amp;Reference!$U$2,ProviderCommissionerNewChart,15,FALSE)),"No data",(VLOOKUP(Reference!$Y$15&amp;$B$8&amp;Reference!$U$2,ProviderCommissionerNewChart,15,FALSE)))</f>
        <v>0.25834352199999999</v>
      </c>
      <c r="D32" s="455">
        <f>IF(G32&gt;=200,(VLOOKUP(Reference!$Y$15&amp;Reference!$AA$2&amp;Reference!$AA$2&amp;Reference!$U$2,ProviderCommissionerNewChart,15,FALSE)),"Insufficient data")</f>
        <v>0.25834352199999999</v>
      </c>
      <c r="E32" s="466">
        <f>E31+$I$13</f>
        <v>1.75</v>
      </c>
      <c r="F32" s="460">
        <f>IF(ISNA(VLOOKUP(Reference!$Y$15&amp;$B$8&amp;Reference!$U$2,ProviderCommissionerNewChart,7,FALSE)),0,(VLOOKUP(Reference!$Y$15&amp;$B$8&amp;Reference!$U$2,ProviderCommissionerNewChart,7,FALSE)))</f>
        <v>1505</v>
      </c>
      <c r="G32" s="457">
        <f>VLOOKUP(Reference!$Y$15&amp;Reference!$AA$2&amp;Reference!$AA$2&amp;Reference!$U$2,ProviderCommissionerNewChart,7,FALSE)</f>
        <v>1505</v>
      </c>
      <c r="H32" s="457"/>
    </row>
    <row r="33" spans="1:15" x14ac:dyDescent="0.2">
      <c r="A33" s="187"/>
      <c r="B33" s="179" t="str">
        <f>"Knee - primary " &amp;"("&amp;F33 &amp;")"</f>
        <v>Knee - primary (37855)</v>
      </c>
      <c r="C33" s="459">
        <f>IF(ISNA(VLOOKUP(Reference!$Y$14&amp;$B$8&amp;Reference!$U$2,ProviderCommissionerNewChart,15,FALSE)), "No data", (VLOOKUP(Reference!$Y$14&amp;$B$8&amp;Reference!$U$2,ProviderCommissionerNewChart,15,FALSE)))</f>
        <v>0.31506112800000002</v>
      </c>
      <c r="D33" s="455">
        <f>IF(G33&gt;=200,(VLOOKUP(Reference!$Y$14&amp;Reference!$AA$2&amp;Reference!$AA$2&amp;Reference!$U$2,ProviderCommissionerNewChart,15,FALSE)),"Insufficient data")</f>
        <v>0.31506112800000002</v>
      </c>
      <c r="E33" s="466">
        <f t="shared" ref="E33:E36" si="3">E32+$I$13</f>
        <v>2.916666666666667</v>
      </c>
      <c r="F33" s="460">
        <f>IF(ISNA(VLOOKUP(Reference!$Y$14&amp;$B$8&amp;Reference!$U$2,ProviderCommissionerNewChart,7,FALSE)),0,(VLOOKUP(Reference!$Y$14&amp;$B$8&amp;Reference!$U$2,ProviderCommissionerNewChart,7,FALSE)))</f>
        <v>37855</v>
      </c>
      <c r="G33" s="457">
        <f>VLOOKUP(Reference!$Y$14&amp;Reference!$AA$2&amp;Reference!$AA$2&amp;Reference!$U$2,ProviderCommissionerNewChart,7,FALSE)</f>
        <v>37855</v>
      </c>
      <c r="H33" s="457"/>
    </row>
    <row r="34" spans="1:15" x14ac:dyDescent="0.2">
      <c r="A34" s="187"/>
      <c r="B34" s="179" t="str">
        <f>"Hip - revision " &amp;"("&amp;F34 &amp;")"</f>
        <v>Hip - revision (2263)</v>
      </c>
      <c r="C34" s="459">
        <f>IF(ISNA(VLOOKUP(Reference!$Y$13&amp;$B$8&amp;Reference!$U$2,ProviderCommissionerNewChart,15,FALSE)),"No data",(VLOOKUP(Reference!$Y$13&amp;$B$8&amp;Reference!$U$2,ProviderCommissionerNewChart,15,FALSE)))</f>
        <v>0.27656076000000002</v>
      </c>
      <c r="D34" s="455">
        <f>IF(G34&gt;=200,(VLOOKUP(Reference!$Y$13&amp;Reference!$AA$2&amp;Reference!$AA$2&amp;Reference!$U$2,ProviderCommissionerNewChart,15,FALSE)),"Insufficient data")</f>
        <v>0.27656076000000002</v>
      </c>
      <c r="E34" s="466">
        <f t="shared" si="3"/>
        <v>4.0833333333333339</v>
      </c>
      <c r="F34" s="460">
        <f>IF(ISNA(VLOOKUP(Reference!$Y$13&amp;$B$8&amp;Reference!$U$2,ProviderCommissionerNewChart,7,FALSE)),0,(VLOOKUP(Reference!$Y$13&amp;$B$8&amp;Reference!$U$2,ProviderCommissionerNewChart,7,FALSE)))</f>
        <v>2263</v>
      </c>
      <c r="G34" s="457">
        <f>VLOOKUP(Reference!$Y$13&amp;Reference!$AA$2&amp;Reference!$AA$2&amp;Reference!$U$2,ProviderCommissionerNewChart,7,FALSE)</f>
        <v>2263</v>
      </c>
      <c r="H34" s="457"/>
    </row>
    <row r="35" spans="1:15" x14ac:dyDescent="0.2">
      <c r="A35" s="187"/>
      <c r="B35" s="179" t="str">
        <f>"Hip - primary " &amp;"("&amp;F35 &amp;")"</f>
        <v>Hip - primary (35825)</v>
      </c>
      <c r="C35" s="459">
        <f>IF(ISNA(VLOOKUP(Reference!$Y$12&amp;$B$8&amp;Reference!$U$2,ProviderCommissionerNewChart,15,FALSE)),"No data",(VLOOKUP(Reference!$Y$12&amp;$B$8&amp;Reference!$U$2,ProviderCommissionerNewChart,15,FALSE)))</f>
        <v>0.43664440999999998</v>
      </c>
      <c r="D35" s="455">
        <f>IF(G35&gt;=200,(VLOOKUP(Reference!$Y$12&amp;Reference!$AA$2&amp;Reference!$AA$2&amp;Reference!$U$2,ProviderCommissionerNewChart,15,FALSE)),"Insufficient data")</f>
        <v>0.43664440999999998</v>
      </c>
      <c r="E35" s="466">
        <f t="shared" si="3"/>
        <v>5.2500000000000009</v>
      </c>
      <c r="F35" s="460">
        <f>IF(ISNA(VLOOKUP(Reference!$Y$12&amp;$B$8&amp;Reference!$U$2,ProviderCommissionerNewChart,7,FALSE)),0,(VLOOKUP(Reference!$Y$12&amp;$B$8&amp;Reference!$U$2,ProviderCommissionerNewChart,7,FALSE)))</f>
        <v>35825</v>
      </c>
      <c r="G35" s="457">
        <f>VLOOKUP(Reference!$Y$12&amp;Reference!$AA$2&amp;Reference!$AA$2&amp;Reference!$U$2,ProviderCommissionerNewChart,7,FALSE)</f>
        <v>35825</v>
      </c>
      <c r="H35" s="457"/>
    </row>
    <row r="36" spans="1:15" x14ac:dyDescent="0.2">
      <c r="A36" s="187"/>
      <c r="B36" s="180" t="str">
        <f>"Groin hernia " &amp;"("&amp;F36 &amp;")"</f>
        <v>Groin hernia (20191)</v>
      </c>
      <c r="C36" s="459">
        <f>IF(ISNA(VLOOKUP(Reference!$Y$11&amp;$B$8&amp;Reference!$U$2,ProviderCommissionerNewChart,15,FALSE)),"No data",(VLOOKUP(Reference!$Y$11&amp;$B$8&amp;Reference!$U$2,ProviderCommissionerNewChart,15,FALSE)))</f>
        <v>8.3654400000000004E-2</v>
      </c>
      <c r="D36" s="455">
        <f>IF(G36&gt;=200,(VLOOKUP(Reference!$Y$11&amp;Reference!$AA$2&amp;Reference!$AA$2&amp;Reference!$U$2,ProviderCommissionerNewChart,15,FALSE)),"Insufficient data")</f>
        <v>8.3654400000000004E-2</v>
      </c>
      <c r="E36" s="466">
        <f t="shared" si="3"/>
        <v>6.4166666666666679</v>
      </c>
      <c r="F36" s="460">
        <f>IF(ISNA(VLOOKUP(Reference!$Y$11&amp;$B$8&amp;Reference!$U$2,ProviderCommissionerNewChart,7,FALSE)),0,(VLOOKUP(Reference!$Y$11&amp;$B$8&amp;Reference!$U$2,ProviderCommissionerNewChart,7,FALSE)))</f>
        <v>20191</v>
      </c>
      <c r="G36" s="457">
        <f>VLOOKUP(Reference!$Y$11&amp;Reference!$AA$2&amp;Reference!$AA$2&amp;Reference!$U$2,ProviderCommissionerNewChart,7,FALSE)</f>
        <v>20191</v>
      </c>
      <c r="H36" s="457"/>
    </row>
    <row r="37" spans="1:15" x14ac:dyDescent="0.2">
      <c r="B37" s="187" t="s">
        <v>52</v>
      </c>
      <c r="E37" s="240"/>
    </row>
    <row r="40" spans="1:15" ht="38.25" x14ac:dyDescent="0.2">
      <c r="A40" s="498" t="s">
        <v>65</v>
      </c>
      <c r="B40" s="499"/>
      <c r="C40" s="188" t="s">
        <v>238</v>
      </c>
      <c r="D40" s="188" t="s">
        <v>66</v>
      </c>
      <c r="E40" s="183" t="s">
        <v>9</v>
      </c>
      <c r="F40" s="188" t="s">
        <v>67</v>
      </c>
      <c r="G40" s="183" t="s">
        <v>58</v>
      </c>
      <c r="H40" s="449"/>
      <c r="J40" s="366"/>
      <c r="K40" s="189"/>
      <c r="L40" s="48"/>
      <c r="M40" s="48"/>
      <c r="N40" s="189"/>
      <c r="O40" s="48"/>
    </row>
    <row r="41" spans="1:15" x14ac:dyDescent="0.2">
      <c r="A41" s="494" t="s">
        <v>35</v>
      </c>
      <c r="B41" s="190" t="s">
        <v>57</v>
      </c>
      <c r="C41" s="248">
        <f ca="1">VLOOKUP("England",Participation_Data,2,FALSE)</f>
        <v>266604</v>
      </c>
      <c r="D41" s="248">
        <f ca="1">VLOOKUP("England",Participation_Data,3,FALSE)</f>
        <v>201086</v>
      </c>
      <c r="E41" s="249">
        <f ca="1">VLOOKUP("England",Participation_Data,4,FALSE)</f>
        <v>0.754</v>
      </c>
      <c r="F41" s="248">
        <f ca="1">VLOOKUP("England",Participation_Data,5,FALSE)</f>
        <v>157903</v>
      </c>
      <c r="G41" s="249">
        <f ca="1">VLOOKUP("England",Participation_Data,6,FALSE)</f>
        <v>0.78500000000000003</v>
      </c>
      <c r="H41" s="464"/>
      <c r="J41" s="366"/>
      <c r="K41" s="191"/>
      <c r="L41" s="192"/>
      <c r="M41" s="192"/>
      <c r="N41" s="191"/>
      <c r="O41" s="192"/>
    </row>
    <row r="42" spans="1:15" x14ac:dyDescent="0.2">
      <c r="A42" s="494"/>
      <c r="B42" s="190" t="s">
        <v>50</v>
      </c>
      <c r="C42" s="248">
        <f ca="1">VLOOKUP("England",Participation_Data,11,FALSE)</f>
        <v>72597</v>
      </c>
      <c r="D42" s="248">
        <f ca="1">VLOOKUP("England",Participation_Data,12,FALSE)</f>
        <v>42374</v>
      </c>
      <c r="E42" s="249">
        <f ca="1">VLOOKUP("England",Participation_Data,13,FALSE)</f>
        <v>0.58399999999999996</v>
      </c>
      <c r="F42" s="248">
        <f ca="1">VLOOKUP("England",Participation_Data,14,FALSE)</f>
        <v>31680</v>
      </c>
      <c r="G42" s="249">
        <f ca="1">VLOOKUP("England",Participation_Data,15,FALSE)</f>
        <v>0.748</v>
      </c>
      <c r="H42" s="464"/>
      <c r="J42" s="366"/>
      <c r="K42" s="191"/>
      <c r="L42" s="192"/>
      <c r="M42" s="192"/>
      <c r="N42" s="191"/>
      <c r="O42" s="192"/>
    </row>
    <row r="43" spans="1:15" x14ac:dyDescent="0.2">
      <c r="A43" s="494"/>
      <c r="B43" s="190" t="s">
        <v>13</v>
      </c>
      <c r="C43" s="248">
        <f ca="1">VLOOKUP("England",Participation_Data,20,FALSE)</f>
        <v>78085</v>
      </c>
      <c r="D43" s="248">
        <f ca="1">VLOOKUP("England",Participation_Data,21,FALSE)</f>
        <v>66844</v>
      </c>
      <c r="E43" s="249">
        <f ca="1">VLOOKUP("England",Participation_Data,22,FALSE)</f>
        <v>0.85599999999999998</v>
      </c>
      <c r="F43" s="248">
        <f ca="1">VLOOKUP("England",Participation_Data,23,FALSE)</f>
        <v>56186</v>
      </c>
      <c r="G43" s="249">
        <f ca="1">VLOOKUP("England",Participation_Data,24,FALSE)</f>
        <v>0.84099999999999997</v>
      </c>
      <c r="H43" s="464"/>
      <c r="J43" s="366"/>
      <c r="K43" s="191"/>
      <c r="L43" s="192"/>
      <c r="M43" s="192"/>
      <c r="N43" s="191"/>
      <c r="O43" s="192"/>
    </row>
    <row r="44" spans="1:15" x14ac:dyDescent="0.2">
      <c r="A44" s="494"/>
      <c r="B44" s="190" t="s">
        <v>15</v>
      </c>
      <c r="C44" s="248">
        <f ca="1">VLOOKUP("England",Participation_Data,29,FALSE)</f>
        <v>83323</v>
      </c>
      <c r="D44" s="248">
        <f ca="1">VLOOKUP("England",Participation_Data,30,FALSE)</f>
        <v>79026</v>
      </c>
      <c r="E44" s="249">
        <f ca="1">VLOOKUP("England",Participation_Data,31,FALSE)</f>
        <v>0.94799999999999995</v>
      </c>
      <c r="F44" s="248">
        <f ca="1">VLOOKUP("England",Participation_Data,32,FALSE)</f>
        <v>59360</v>
      </c>
      <c r="G44" s="249">
        <f ca="1">VLOOKUP("England",Participation_Data,33,FALSE)</f>
        <v>0.751</v>
      </c>
      <c r="H44" s="464"/>
      <c r="J44" s="366"/>
      <c r="K44" s="191"/>
      <c r="L44" s="192"/>
      <c r="M44" s="192"/>
      <c r="N44" s="191"/>
      <c r="O44" s="192"/>
    </row>
    <row r="45" spans="1:15" x14ac:dyDescent="0.2">
      <c r="A45" s="494"/>
      <c r="B45" s="190" t="s">
        <v>17</v>
      </c>
      <c r="C45" s="248">
        <f ca="1">VLOOKUP("England",Participation_Data,38,FALSE)</f>
        <v>32599</v>
      </c>
      <c r="D45" s="248">
        <f ca="1">VLOOKUP("England",Participation_Data,39,FALSE)</f>
        <v>12842</v>
      </c>
      <c r="E45" s="249">
        <f ca="1">VLOOKUP("England",Participation_Data,40,FALSE)</f>
        <v>0.39400000000000002</v>
      </c>
      <c r="F45" s="248">
        <f ca="1">VLOOKUP("England",Participation_Data,41,FALSE)</f>
        <v>10677</v>
      </c>
      <c r="G45" s="249">
        <f ca="1">VLOOKUP("England",Participation_Data,42,FALSE)</f>
        <v>0.83099999999999996</v>
      </c>
      <c r="H45" s="464"/>
      <c r="J45" s="366"/>
      <c r="K45" s="191"/>
      <c r="L45" s="192"/>
      <c r="M45" s="192"/>
      <c r="N45" s="191"/>
      <c r="O45" s="192"/>
    </row>
    <row r="46" spans="1:15" x14ac:dyDescent="0.2">
      <c r="A46" s="193"/>
      <c r="B46" s="193"/>
      <c r="C46" s="193"/>
      <c r="D46" s="193"/>
      <c r="E46" s="193"/>
      <c r="F46" s="193"/>
      <c r="G46" s="193"/>
      <c r="H46" s="193"/>
      <c r="K46" s="193"/>
      <c r="L46" s="193"/>
      <c r="M46" s="193"/>
      <c r="N46" s="193"/>
      <c r="O46" s="193"/>
    </row>
    <row r="47" spans="1:15" ht="51" x14ac:dyDescent="0.2">
      <c r="A47" s="498" t="s">
        <v>108</v>
      </c>
      <c r="B47" s="499"/>
      <c r="C47" s="188" t="s">
        <v>66</v>
      </c>
      <c r="D47" s="188" t="s">
        <v>68</v>
      </c>
      <c r="E47" s="183" t="s">
        <v>69</v>
      </c>
      <c r="F47" s="188" t="s">
        <v>70</v>
      </c>
      <c r="G47" s="183" t="s">
        <v>64</v>
      </c>
      <c r="H47" s="449"/>
      <c r="J47" s="366"/>
      <c r="K47" s="189"/>
      <c r="L47" s="48"/>
      <c r="M47" s="48"/>
      <c r="N47" s="189"/>
      <c r="O47" s="48"/>
    </row>
    <row r="48" spans="1:15" x14ac:dyDescent="0.2">
      <c r="A48" s="494" t="s">
        <v>35</v>
      </c>
      <c r="B48" s="190" t="s">
        <v>57</v>
      </c>
      <c r="C48" s="248">
        <f ca="1">VLOOKUP("England",Participation_Data,3,FALSE)</f>
        <v>201086</v>
      </c>
      <c r="D48" s="248">
        <f ca="1">VLOOKUP("England",Participation_Data,7,FALSE)</f>
        <v>180943</v>
      </c>
      <c r="E48" s="249">
        <f ca="1">VLOOKUP("England",Participation_Data,8,FALSE)</f>
        <v>0.9</v>
      </c>
      <c r="F48" s="248">
        <f ca="1">VLOOKUP("England",Participation_Data,9,FALSE)</f>
        <v>122388</v>
      </c>
      <c r="G48" s="249">
        <f ca="1">VLOOKUP("England",Participation_Data,10,FALSE)</f>
        <v>0.67600000000000005</v>
      </c>
      <c r="H48" s="464"/>
      <c r="J48" s="366"/>
      <c r="K48" s="191"/>
      <c r="L48" s="192"/>
      <c r="M48" s="192"/>
      <c r="N48" s="191"/>
      <c r="O48" s="192"/>
    </row>
    <row r="49" spans="1:15" x14ac:dyDescent="0.2">
      <c r="A49" s="494"/>
      <c r="B49" s="190" t="s">
        <v>50</v>
      </c>
      <c r="C49" s="248">
        <f ca="1">VLOOKUP("England",Participation_Data,12,FALSE)</f>
        <v>42374</v>
      </c>
      <c r="D49" s="248">
        <f ca="1">VLOOKUP("England",Participation_Data,16,FALSE)</f>
        <v>41521</v>
      </c>
      <c r="E49" s="249">
        <f ca="1">VLOOKUP("England",Participation_Data,17,FALSE)</f>
        <v>0.98</v>
      </c>
      <c r="F49" s="248">
        <f ca="1">VLOOKUP("England",Participation_Data,18,FALSE)</f>
        <v>25898</v>
      </c>
      <c r="G49" s="249">
        <f ca="1">VLOOKUP("England",Participation_Data,19,FALSE)</f>
        <v>0.624</v>
      </c>
      <c r="H49" s="464"/>
      <c r="J49" s="366"/>
      <c r="K49" s="191"/>
      <c r="L49" s="192"/>
      <c r="M49" s="192"/>
      <c r="N49" s="191"/>
      <c r="O49" s="192"/>
    </row>
    <row r="50" spans="1:15" x14ac:dyDescent="0.2">
      <c r="A50" s="494"/>
      <c r="B50" s="190" t="s">
        <v>13</v>
      </c>
      <c r="C50" s="248">
        <f ca="1">VLOOKUP("England",Participation_Data,21,FALSE)</f>
        <v>66844</v>
      </c>
      <c r="D50" s="248">
        <f ca="1">VLOOKUP("England",Participation_Data,25,FALSE)</f>
        <v>59091</v>
      </c>
      <c r="E50" s="249">
        <f ca="1">VLOOKUP("England",Participation_Data,26,FALSE)</f>
        <v>0.88400000000000001</v>
      </c>
      <c r="F50" s="248">
        <f ca="1">VLOOKUP("England",Participation_Data,27,FALSE)</f>
        <v>42570</v>
      </c>
      <c r="G50" s="249">
        <f ca="1">VLOOKUP("England",Participation_Data,28,FALSE)</f>
        <v>0.72</v>
      </c>
      <c r="H50" s="464"/>
      <c r="J50" s="366"/>
      <c r="K50" s="191"/>
      <c r="L50" s="192"/>
      <c r="M50" s="192"/>
      <c r="N50" s="191"/>
      <c r="O50" s="192"/>
    </row>
    <row r="51" spans="1:15" x14ac:dyDescent="0.2">
      <c r="A51" s="494"/>
      <c r="B51" s="190" t="s">
        <v>15</v>
      </c>
      <c r="C51" s="248">
        <f ca="1">VLOOKUP("England",Participation_Data,30,FALSE)</f>
        <v>79026</v>
      </c>
      <c r="D51" s="248">
        <f ca="1">VLOOKUP("England",Participation_Data,34,FALSE)</f>
        <v>67878</v>
      </c>
      <c r="E51" s="249">
        <f ca="1">VLOOKUP("England",Participation_Data,35,FALSE)</f>
        <v>0.85899999999999999</v>
      </c>
      <c r="F51" s="248">
        <f ca="1">VLOOKUP("England",Participation_Data,36,FALSE)</f>
        <v>47269</v>
      </c>
      <c r="G51" s="249">
        <f ca="1">VLOOKUP("England",Participation_Data,37,FALSE)</f>
        <v>0.69599999999999995</v>
      </c>
      <c r="H51" s="464"/>
      <c r="J51" s="366"/>
      <c r="K51" s="191"/>
      <c r="L51" s="192"/>
      <c r="M51" s="192"/>
      <c r="N51" s="191"/>
      <c r="O51" s="192"/>
    </row>
    <row r="52" spans="1:15" x14ac:dyDescent="0.2">
      <c r="A52" s="494"/>
      <c r="B52" s="190" t="s">
        <v>17</v>
      </c>
      <c r="C52" s="248">
        <f ca="1">VLOOKUP("England",Participation_Data,39,FALSE)</f>
        <v>12842</v>
      </c>
      <c r="D52" s="248">
        <f ca="1">VLOOKUP("England",Participation_Data,43,FALSE)</f>
        <v>12453</v>
      </c>
      <c r="E52" s="249">
        <f ca="1">VLOOKUP("England",Participation_Data,44,FALSE)</f>
        <v>0.97</v>
      </c>
      <c r="F52" s="248">
        <f ca="1">VLOOKUP("England",Participation_Data,45,FALSE)</f>
        <v>6651</v>
      </c>
      <c r="G52" s="249">
        <f ca="1">VLOOKUP("England",Participation_Data,46,FALSE)</f>
        <v>0.53400000000000003</v>
      </c>
      <c r="H52" s="464"/>
      <c r="J52" s="366"/>
      <c r="K52" s="191"/>
      <c r="L52" s="192"/>
      <c r="M52" s="192"/>
      <c r="N52" s="191"/>
      <c r="O52" s="192"/>
    </row>
    <row r="55" spans="1:15" x14ac:dyDescent="0.2">
      <c r="A55" s="4" t="s">
        <v>77</v>
      </c>
    </row>
    <row r="56" spans="1:15" x14ac:dyDescent="0.2">
      <c r="A56" s="32" t="s">
        <v>122</v>
      </c>
      <c r="B56" s="232">
        <f>ROWS('Key Facts - Raw Data'!A:A)-COUNTBLANK('Key Facts - Raw Data'!A:A)</f>
        <v>5159</v>
      </c>
    </row>
    <row r="58" spans="1:15" x14ac:dyDescent="0.2">
      <c r="A58" s="4" t="s">
        <v>78</v>
      </c>
    </row>
    <row r="59" spans="1:15" x14ac:dyDescent="0.2">
      <c r="A59" s="32" t="s">
        <v>122</v>
      </c>
      <c r="B59" s="232">
        <f>ROWS('Participation - Raw Data'!A:A)-COUNTBLANK('Participation - Raw Data'!A:A)</f>
        <v>349</v>
      </c>
    </row>
    <row r="60" spans="1:15" x14ac:dyDescent="0.2">
      <c r="B60" s="182"/>
    </row>
    <row r="61" spans="1:15" x14ac:dyDescent="0.2">
      <c r="A61" s="4" t="s">
        <v>138</v>
      </c>
      <c r="B61" s="182"/>
    </row>
    <row r="62" spans="1:15" x14ac:dyDescent="0.2">
      <c r="A62" s="32" t="s">
        <v>122</v>
      </c>
      <c r="B62" s="232">
        <f>COUNTA('Provider Commission - Raw Data'!C:C)</f>
        <v>7337</v>
      </c>
    </row>
    <row r="63" spans="1:15" x14ac:dyDescent="0.2">
      <c r="B63" s="182"/>
    </row>
    <row r="64" spans="1:15" x14ac:dyDescent="0.2">
      <c r="A64" s="4" t="s">
        <v>123</v>
      </c>
      <c r="B64" s="182"/>
    </row>
    <row r="65" spans="1:2" x14ac:dyDescent="0.2">
      <c r="A65" s="32" t="s">
        <v>139</v>
      </c>
      <c r="B65" s="232">
        <f>IF('Select 10 table'!B17=Reference!$AA$3,Reference!$O$2,IF('Select 10 table'!B17=Reference!$AA$4,Reference!$L$2,IF('Select 10 table'!B17=Reference!$AA$5,Reference!$I$2,Reference!$F$2)))</f>
        <v>347</v>
      </c>
    </row>
    <row r="66" spans="1:2" x14ac:dyDescent="0.2">
      <c r="A66" s="32" t="s">
        <v>140</v>
      </c>
      <c r="B66" s="232">
        <f>IF('Select 10 table'!B18=Reference!$AA$3,Reference!$O$2,IF('Select 10 table'!B18=Reference!$AA$4,Reference!$L$2,IF('Select 10 table'!B18=Reference!$AA$5,Reference!$I$2,Reference!$F$2)))</f>
        <v>347</v>
      </c>
    </row>
    <row r="67" spans="1:2" x14ac:dyDescent="0.2">
      <c r="A67" s="32" t="s">
        <v>141</v>
      </c>
      <c r="B67" s="232">
        <f>IF('Select 10 table'!B19=Reference!$AA$3,Reference!$O$2,IF('Select 10 table'!B19=Reference!$AA$4,Reference!$L$2,IF('Select 10 table'!B19=Reference!$AA$5,Reference!$I$2,Reference!$F$2)))</f>
        <v>347</v>
      </c>
    </row>
    <row r="68" spans="1:2" x14ac:dyDescent="0.2">
      <c r="A68" s="32" t="s">
        <v>142</v>
      </c>
      <c r="B68" s="232">
        <f>IF('Select 10 table'!B20=Reference!$AA$3,Reference!$O$2,IF('Select 10 table'!B20=Reference!$AA$4,Reference!$L$2,IF('Select 10 table'!B20=Reference!$AA$5,Reference!$I$2,Reference!$F$2)))</f>
        <v>213</v>
      </c>
    </row>
    <row r="69" spans="1:2" x14ac:dyDescent="0.2">
      <c r="A69" s="32" t="s">
        <v>143</v>
      </c>
      <c r="B69" s="232">
        <f>IF('Select 10 table'!B21=Reference!$AA$3,Reference!$O$2,IF('Select 10 table'!B21=Reference!$AA$4,Reference!$L$2,IF('Select 10 table'!B21=Reference!$AA$5,Reference!$I$2,Reference!$F$2)))</f>
        <v>347</v>
      </c>
    </row>
    <row r="70" spans="1:2" x14ac:dyDescent="0.2">
      <c r="A70" s="32" t="s">
        <v>144</v>
      </c>
      <c r="B70" s="232">
        <f>IF('Select 10 table'!B22=Reference!$AA$3,Reference!$O$2,IF('Select 10 table'!B22=Reference!$AA$4,Reference!$L$2,IF('Select 10 table'!B22=Reference!$AA$5,Reference!$I$2,Reference!$F$2)))</f>
        <v>213</v>
      </c>
    </row>
    <row r="71" spans="1:2" x14ac:dyDescent="0.2">
      <c r="A71" s="32" t="s">
        <v>145</v>
      </c>
      <c r="B71" s="232">
        <f>IF('Select 10 table'!B23=Reference!$AA$3,Reference!$O$2,IF('Select 10 table'!B23=Reference!$AA$4,Reference!$L$2,IF('Select 10 table'!B23=Reference!$AA$5,Reference!$I$2,Reference!$F$2)))</f>
        <v>347</v>
      </c>
    </row>
    <row r="72" spans="1:2" x14ac:dyDescent="0.2">
      <c r="A72" s="32" t="s">
        <v>146</v>
      </c>
      <c r="B72" s="232">
        <f>IF('Select 10 table'!B24=Reference!$AA$3,Reference!$O$2,IF('Select 10 table'!B24=Reference!$AA$4,Reference!$L$2,IF('Select 10 table'!B24=Reference!$AA$5,Reference!$I$2,Reference!$F$2)))</f>
        <v>213</v>
      </c>
    </row>
    <row r="73" spans="1:2" x14ac:dyDescent="0.2">
      <c r="A73" s="32" t="s">
        <v>147</v>
      </c>
      <c r="B73" s="232">
        <f>IF('Select 10 table'!B25=Reference!$AA$3,Reference!$O$2,IF('Select 10 table'!B25=Reference!$AA$4,Reference!$L$2,IF('Select 10 table'!B25=Reference!$AA$5,Reference!$I$2,Reference!$F$2)))</f>
        <v>347</v>
      </c>
    </row>
    <row r="74" spans="1:2" x14ac:dyDescent="0.2">
      <c r="A74" s="32" t="s">
        <v>148</v>
      </c>
      <c r="B74" s="232">
        <f>IF('Select 10 table'!B26=Reference!$AA$3,Reference!$O$2,IF('Select 10 table'!B26=Reference!$AA$4,Reference!$L$2,IF('Select 10 table'!B26=Reference!$AA$5,Reference!$I$2,Reference!$F$2)))</f>
        <v>213</v>
      </c>
    </row>
    <row r="76" spans="1:2" x14ac:dyDescent="0.2">
      <c r="A76" s="4" t="s">
        <v>130</v>
      </c>
    </row>
    <row r="77" spans="1:2" x14ac:dyDescent="0.2">
      <c r="A77" s="32" t="s">
        <v>131</v>
      </c>
      <c r="B77" s="232">
        <f>IF('Funnel Plot'!F11=Reference!AA3,Reference!$O$2,IF('Funnel Plot'!F11=Reference!AA4,Reference!$L$2,IF('Funnel Plot'!F11=Reference!AA5,Reference!$I$2,Reference!$F$2)))</f>
        <v>347</v>
      </c>
    </row>
    <row r="80" spans="1:2" x14ac:dyDescent="0.2">
      <c r="A80" s="4"/>
    </row>
  </sheetData>
  <mergeCells count="6">
    <mergeCell ref="A48:A52"/>
    <mergeCell ref="F3:J3"/>
    <mergeCell ref="A11:B11"/>
    <mergeCell ref="A40:B40"/>
    <mergeCell ref="A41:A45"/>
    <mergeCell ref="A47:B47"/>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B3"/>
  </sheetPr>
  <dimension ref="A1:N65"/>
  <sheetViews>
    <sheetView workbookViewId="0">
      <selection activeCell="E31" sqref="E31"/>
    </sheetView>
  </sheetViews>
  <sheetFormatPr defaultRowHeight="12.75" x14ac:dyDescent="0.2"/>
  <cols>
    <col min="1" max="1" width="30.85546875" style="32" customWidth="1"/>
    <col min="2" max="2" width="18" style="32" customWidth="1"/>
    <col min="3" max="3" width="16" style="32" customWidth="1"/>
    <col min="4" max="4" width="14" style="32" customWidth="1"/>
    <col min="5" max="5" width="13.42578125" style="32" customWidth="1"/>
    <col min="6" max="6" width="14" style="32" customWidth="1"/>
    <col min="7" max="7" width="13.28515625" style="32" customWidth="1"/>
    <col min="8" max="8" width="10.28515625" style="32" customWidth="1"/>
    <col min="9" max="9" width="13.42578125" style="32" customWidth="1"/>
    <col min="10" max="16384" width="9.140625" style="32"/>
  </cols>
  <sheetData>
    <row r="1" spans="1:9" x14ac:dyDescent="0.2">
      <c r="A1" s="177" t="s">
        <v>5</v>
      </c>
      <c r="B1" s="177"/>
      <c r="C1" s="178"/>
      <c r="D1" s="178"/>
      <c r="E1" s="178"/>
      <c r="F1" s="178"/>
      <c r="G1" s="178"/>
    </row>
    <row r="2" spans="1:9" s="182" customFormat="1" x14ac:dyDescent="0.2">
      <c r="A2" s="181"/>
      <c r="B2" s="181"/>
    </row>
    <row r="3" spans="1:9" s="182" customFormat="1" ht="39.75" customHeight="1" x14ac:dyDescent="0.2">
      <c r="A3" s="181" t="s">
        <v>104</v>
      </c>
      <c r="B3" s="232" t="str">
        <f ca="1">IF('Key Facts - chart'!B11=Reference!AA2,VLOOKUP('Key Facts - chart'!$B$11,Reference!$Q$2,1,FALSE),IF('Key Facts - chart'!B11=Reference!AA3,VLOOKUP('Key Facts - chart'!D11,SHAs,1,FALSE),IF('Key Facts - chart'!B11=Reference!AA4,VLOOKUP('Key Facts - chart'!D11,PCTs,1,FALSE),IF('Key Facts - chart'!B11=Reference!AA5,VLOOKUP('Key Facts - chart'!D11,CCG,1,FALSE),VLOOKUP('Key Facts - chart'!D11,Providers,1,FALSE)))))</f>
        <v>NHS ASHFORD CCG (09C)</v>
      </c>
      <c r="C3" s="232"/>
      <c r="D3" s="232"/>
      <c r="E3" s="232"/>
      <c r="F3" s="495" t="s">
        <v>180</v>
      </c>
      <c r="G3" s="495"/>
      <c r="H3" s="495"/>
      <c r="I3" s="495"/>
    </row>
    <row r="4" spans="1:9" s="182" customFormat="1" x14ac:dyDescent="0.2">
      <c r="A4" s="181" t="s">
        <v>105</v>
      </c>
      <c r="B4" s="233">
        <f>IF('Key Facts - chart'!B11=Reference!AA2,Reference!R2,IF('Key Facts - chart'!B11=Reference!AA3,Reference!O2,IF('Key Facts - chart'!B11=Reference!AA4,Reference!L2,IF('Key Facts - chart'!B11=Reference!AA5,Reference!I2,IF('Key Facts - chart'!B11=Reference!AA6,Reference!F2)))))</f>
        <v>213</v>
      </c>
    </row>
    <row r="5" spans="1:9" s="182" customFormat="1" x14ac:dyDescent="0.2">
      <c r="A5" s="181"/>
      <c r="B5" s="181"/>
    </row>
    <row r="6" spans="1:9" s="182" customFormat="1" x14ac:dyDescent="0.2">
      <c r="A6" s="181" t="s">
        <v>92</v>
      </c>
      <c r="B6" s="232" t="str">
        <f>'Key Facts - chart'!B11</f>
        <v>CCG of GP Practice</v>
      </c>
    </row>
    <row r="7" spans="1:9" s="182" customFormat="1" x14ac:dyDescent="0.2">
      <c r="A7" s="181" t="s">
        <v>95</v>
      </c>
      <c r="B7" s="232" t="str">
        <f>'Key Facts - chart'!D11</f>
        <v>NHS ASHFORD CCG (09C)</v>
      </c>
      <c r="C7" s="232"/>
      <c r="D7" s="232"/>
      <c r="E7" s="232"/>
    </row>
    <row r="8" spans="1:9" s="182" customFormat="1" x14ac:dyDescent="0.2">
      <c r="A8" s="181" t="s">
        <v>75</v>
      </c>
      <c r="B8" s="232" t="str">
        <f>B6&amp;B7</f>
        <v>CCG of GP PracticeNHS ASHFORD CCG (09C)</v>
      </c>
      <c r="C8" s="232"/>
      <c r="D8" s="232"/>
      <c r="E8" s="232"/>
    </row>
    <row r="9" spans="1:9" s="182" customFormat="1" x14ac:dyDescent="0.2">
      <c r="A9" s="181"/>
      <c r="B9" s="181"/>
    </row>
    <row r="10" spans="1:9" x14ac:dyDescent="0.2">
      <c r="E10" s="439"/>
      <c r="F10" s="439"/>
    </row>
    <row r="11" spans="1:9" ht="25.5" x14ac:dyDescent="0.2">
      <c r="A11" s="496" t="s">
        <v>106</v>
      </c>
      <c r="B11" s="497"/>
      <c r="C11" s="183" t="s">
        <v>116</v>
      </c>
      <c r="D11" s="183" t="s">
        <v>117</v>
      </c>
      <c r="E11" s="183" t="s">
        <v>164</v>
      </c>
      <c r="F11" s="183" t="s">
        <v>165</v>
      </c>
      <c r="G11" s="184" t="s">
        <v>107</v>
      </c>
      <c r="H11" s="183" t="s">
        <v>114</v>
      </c>
      <c r="I11" s="196" t="s">
        <v>115</v>
      </c>
    </row>
    <row r="12" spans="1:9" x14ac:dyDescent="0.2">
      <c r="A12" s="185" t="s">
        <v>17</v>
      </c>
      <c r="B12" s="186" t="s">
        <v>0</v>
      </c>
      <c r="C12" s="239" t="str">
        <f ca="1">IF(ISNA(VLOOKUP($B$8&amp;$A12&amp;$B12,KeyFacts_RawData,11,FALSE)),"No data",VLOOKUP($B$8&amp;$A12&amp;$B12,KeyFacts_RawData,11,FALSE))</f>
        <v>*</v>
      </c>
      <c r="D12" s="234" t="str">
        <f ca="1">IF(ISNA(VLOOKUP($B$8&amp;$A12&amp;$B12,KeyFacts_RawData,13,FALSE)),"No data",IF(ISNUMBER(VLOOKUP($B$8&amp;$A12&amp;$B12,KeyFacts_RawData,13,FALSE)),-VLOOKUP($B$8&amp;$A12&amp;$B12,KeyFacts_RawData,13,FALSE),VLOOKUP($B$8&amp;$A12&amp;$B12,KeyFacts_RawData,13,FALSE)))</f>
        <v>*</v>
      </c>
      <c r="E12" s="234">
        <f ca="1">IF(ISNA(VLOOKUP(Reference!$AA$2&amp;Reference!$AA$2&amp;$A$12&amp;B12,KeyFacts_RawData,11,FALSE)),"No data",IF(VLOOKUP(Reference!$AA$2&amp;Reference!$AA$2&amp;$A$12&amp;B12,KeyFacts_RawData,11,FALSE)="*",NA(),VLOOKUP(Reference!$AA$2&amp;Reference!$AA$2&amp;$A$12&amp;B12,KeyFacts_RawData,11,FALSE)))</f>
        <v>0.82399999999999995</v>
      </c>
      <c r="F12" s="235">
        <f ca="1">IF(ISNA(VLOOKUP(Reference!$AA$2&amp;Reference!$AA$2&amp;$A$12&amp;$B12,KeyFacts_RawData,13,FALSE)),"No data",IF(VLOOKUP(Reference!$AA$2&amp;Reference!$AA$2&amp;$A$12&amp;$B12,KeyFacts_RawData,13,FALSE) = "*",NA(),IF(ISNUMBER(VLOOKUP(Reference!$AA$2&amp;Reference!$AA$2&amp;$A$12&amp;$B12,KeyFacts_RawData,13,FALSE)),-VLOOKUP(Reference!$AA$2&amp;Reference!$AA$2&amp;$A$12&amp;$B12,KeyFacts_RawData,13,FALSE),VLOOKUP(Reference!$AA$2&amp;Reference!$AA$2&amp;$A$12&amp;$B12,KeyFacts_RawData,13,FALSE))))</f>
        <v>-0.17499999999999999</v>
      </c>
      <c r="G12" s="236">
        <v>0.5</v>
      </c>
      <c r="H12" s="237" t="str">
        <f ca="1">IF(ISNA(VLOOKUP($B$8&amp;$A12&amp;$B12,KeyFacts_RawData,7,FALSE)),"No data",VLOOKUP($B$8&amp;$A12&amp;$B12,KeyFacts_RawData,7,FALSE))</f>
        <v>*</v>
      </c>
      <c r="I12" s="238">
        <f ca="1">IF(ISNA(VLOOKUP($B$8&amp;$A12&amp;$B12,KeyFacts_RawData,9,FALSE)),"No data",VLOOKUP($B$8&amp;$A12&amp;$B12,KeyFacts_RawData,9,FALSE))</f>
        <v>0</v>
      </c>
    </row>
    <row r="13" spans="1:9" x14ac:dyDescent="0.2">
      <c r="A13" s="185"/>
      <c r="B13" s="179" t="s">
        <v>179</v>
      </c>
      <c r="C13" s="239" t="str">
        <f ca="1">IF(ISNA(VLOOKUP($B$8&amp;$A12&amp;$B13,KeyFacts_RawData,11,FALSE)),"No data",VLOOKUP($B$8&amp;$A12&amp;$B13,KeyFacts_RawData,11,FALSE))</f>
        <v>*</v>
      </c>
      <c r="D13" s="239" t="str">
        <f ca="1">IF(ISNA(VLOOKUP($B$8&amp;$A12&amp;$B13,KeyFacts_RawData,13,FALSE)),"No data",IF(ISNUMBER(VLOOKUP($B$8&amp;$A12&amp;$B13,KeyFacts_RawData,13,FALSE)),-VLOOKUP($B$8&amp;$A12&amp;$B13,KeyFacts_RawData,13,FALSE),VLOOKUP($B$8&amp;$A12&amp;$B13,KeyFacts_RawData,13,FALSE)))</f>
        <v>*</v>
      </c>
      <c r="E13" s="235">
        <f ca="1">IF(ISNA(VLOOKUP(Reference!$AA$2&amp;Reference!$AA$2&amp;$A$12&amp;B13,KeyFacts_RawData,11,FALSE)),"No data",IF(VLOOKUP(Reference!$AA$2&amp;Reference!$AA$2&amp;$A$12&amp;B13,KeyFacts_RawData,11,FALSE)="*",NA(),VLOOKUP(Reference!$AA$2&amp;Reference!$AA$2&amp;$A$12&amp;B13,KeyFacts_RawData,11,FALSE)))</f>
        <v>0.39</v>
      </c>
      <c r="F13" s="239">
        <f ca="1">IF(ISNA(VLOOKUP(Reference!$AA$2&amp;Reference!$AA$2&amp;$A$12&amp;$B13,KeyFacts_RawData,13,FALSE)),"No data",IF(VLOOKUP(Reference!$AA$2&amp;Reference!$AA$2&amp;$A$12&amp;$B13,KeyFacts_RawData,13,FALSE) = "*",NA(),IF(ISNUMBER(VLOOKUP(Reference!$AA$2&amp;Reference!$AA$2&amp;$A$12&amp;$B13,KeyFacts_RawData,13,FALSE)),-VLOOKUP(Reference!$AA$2&amp;Reference!$AA$2&amp;$A$12&amp;$B13,KeyFacts_RawData,13,FALSE),VLOOKUP(Reference!$AA$2&amp;Reference!$AA$2&amp;$A$12&amp;$B13,KeyFacts_RawData,13,FALSE))))</f>
        <v>-0.41299999999999998</v>
      </c>
      <c r="G13" s="240">
        <v>1.5</v>
      </c>
      <c r="H13" s="241" t="str">
        <f ca="1">IF(ISNA(VLOOKUP($B$8&amp;$A12&amp;$B13,KeyFacts_RawData,7,FALSE)),"No data",VLOOKUP($B$8&amp;$A12&amp;$B13,KeyFacts_RawData,7,FALSE))</f>
        <v>*</v>
      </c>
      <c r="I13" s="242">
        <f ca="1">IF(ISNA(VLOOKUP($B$8&amp;$A12&amp;$B13,KeyFacts_RawData,9,FALSE)),"No data",VLOOKUP($B$8&amp;$A12&amp;$B13,KeyFacts_RawData,9,FALSE))</f>
        <v>0</v>
      </c>
    </row>
    <row r="14" spans="1:9" x14ac:dyDescent="0.2">
      <c r="A14" s="185"/>
      <c r="B14" s="180" t="s">
        <v>52</v>
      </c>
      <c r="C14" s="244" t="str">
        <f ca="1">IF(ISNA(VLOOKUP('Chart data'!$B$8&amp;$A12&amp;$B14,KeyFacts_RawData,11,FALSE)),"No data",VLOOKUP('Chart data'!$B$8&amp;$A12&amp;$B14,KeyFacts_RawData,11,FALSE))</f>
        <v>*</v>
      </c>
      <c r="D14" s="244" t="str">
        <f ca="1">IF(ISNA(VLOOKUP('Chart data'!$B$8&amp;$A12&amp;$B14,KeyFacts_RawData,13,FALSE)),"No data",IF(ISNUMBER(VLOOKUP('Chart data'!$B$8&amp;$A12&amp;$B14,KeyFacts_RawData,13,FALSE)),-VLOOKUP('Chart data'!$B$8&amp;$A12&amp;$B14,KeyFacts_RawData,13,FALSE),VLOOKUP('Chart data'!$B$8&amp;$A12&amp;$B14,KeyFacts_RawData,13,FALSE)))</f>
        <v>*</v>
      </c>
      <c r="E14" s="243">
        <f ca="1">IF(ISNA(VLOOKUP(Reference!$AA$2&amp;Reference!$AA$2&amp;$A$12&amp;B14,KeyFacts_RawData,11,FALSE)),"No data",IF(VLOOKUP(Reference!$AA$2&amp;Reference!$AA$2&amp;$A$12&amp;B14,KeyFacts_RawData,11,FALSE)="*",NA(),VLOOKUP(Reference!$AA$2&amp;Reference!$AA$2&amp;$A$12&amp;B14,KeyFacts_RawData,11,FALSE)))</f>
        <v>0.51900000000000002</v>
      </c>
      <c r="F14" s="244">
        <f ca="1">IF(ISNA(VLOOKUP(Reference!$AA$2&amp;Reference!$AA$2&amp;$A$12&amp;$B14,KeyFacts_RawData,13,FALSE)),"No data",IF(VLOOKUP(Reference!$AA$2&amp;Reference!$AA$2&amp;$A$12&amp;$B14,KeyFacts_RawData,13,FALSE) = "*",NA(),IF(ISNUMBER(VLOOKUP(Reference!$AA$2&amp;Reference!$AA$2&amp;$A$12&amp;$B14,KeyFacts_RawData,13,FALSE)),-VLOOKUP(Reference!$AA$2&amp;Reference!$AA$2&amp;$A$12&amp;$B14,KeyFacts_RawData,13,FALSE),VLOOKUP(Reference!$AA$2&amp;Reference!$AA$2&amp;$A$12&amp;$B14,KeyFacts_RawData,13,FALSE))))</f>
        <v>-0.16600000000000001</v>
      </c>
      <c r="G14" s="245">
        <v>2.5</v>
      </c>
      <c r="H14" s="246">
        <f ca="1">IF(ISNA(VLOOKUP('Chart data'!$B$8&amp;$A12&amp;$B14,KeyFacts_RawData,7,FALSE)),"No data",VLOOKUP('Chart data'!$B$8&amp;$A12&amp;$B14,KeyFacts_RawData,7,FALSE))</f>
        <v>0</v>
      </c>
      <c r="I14" s="247" t="str">
        <f ca="1">IF(ISNA(VLOOKUP('Chart data'!$B$8&amp;$A12&amp;$B14,KeyFacts_RawData,9,FALSE)),"No data",VLOOKUP('Chart data'!$B$8&amp;$A12&amp;$B14,KeyFacts_RawData,9,FALSE))</f>
        <v>*</v>
      </c>
    </row>
    <row r="15" spans="1:9" x14ac:dyDescent="0.2">
      <c r="A15" s="187" t="s">
        <v>15</v>
      </c>
      <c r="B15" s="179" t="s">
        <v>16</v>
      </c>
      <c r="C15" s="239">
        <f ca="1">IF(ISNA(VLOOKUP($B$8&amp;A15&amp;B15,KeyFacts_RawData,11,FALSE)),"No data",VLOOKUP($B$8&amp;A15&amp;B15,KeyFacts_RawData,11,FALSE))</f>
        <v>0.93799999999999994</v>
      </c>
      <c r="D15" s="239">
        <f ca="1">IF(ISNA(VLOOKUP($B$8&amp;$A15&amp;$B15,KeyFacts_RawData,13,FALSE)),"No data",IF(ISNUMBER(VLOOKUP($B$8&amp;$A15&amp;$B15,KeyFacts_RawData,13,FALSE)),-VLOOKUP($B$8&amp;$A15&amp;$B15,KeyFacts_RawData,13,FALSE),VLOOKUP($B$8&amp;$A15&amp;$B15,KeyFacts_RawData,13,FALSE)))</f>
        <v>-6.2E-2</v>
      </c>
      <c r="E15" s="235">
        <f ca="1">IF(ISNA(VLOOKUP(Reference!$AA$2&amp;Reference!$AA$2&amp;$A$15&amp;B15,KeyFacts_RawData,11,FALSE)),"No data",IF(VLOOKUP(Reference!$AA$2&amp;Reference!$AA$2&amp;$A$15&amp;B15,KeyFacts_RawData,11,FALSE)="*",NA(),VLOOKUP(Reference!$AA$2&amp;Reference!$AA$2&amp;$A$15&amp;B15,KeyFacts_RawData,11,FALSE)))</f>
        <v>0.93300000000000005</v>
      </c>
      <c r="F15" s="239">
        <f ca="1">IF(ISNA(VLOOKUP(Reference!$AA$2&amp;Reference!$AA$2&amp;$A$15&amp;$B15,KeyFacts_RawData,13,FALSE)),"No data",IF(VLOOKUP(Reference!$AA$2&amp;Reference!$AA$2&amp;$A$15&amp;$B15,KeyFacts_RawData,13,FALSE) = "*",NA(),IF(ISNUMBER(VLOOKUP(Reference!$AA$2&amp;Reference!$AA$2&amp;$A$15&amp;$B15,KeyFacts_RawData,13,FALSE)),-VLOOKUP(Reference!$AA$2&amp;Reference!$AA$2&amp;$A$15&amp;$B15,KeyFacts_RawData,13,FALSE),VLOOKUP(Reference!$AA$2&amp;Reference!$AA$2&amp;$A$15&amp;$B15,KeyFacts_RawData,13,FALSE))))</f>
        <v>-5.6000000000000001E-2</v>
      </c>
      <c r="G15" s="236">
        <v>3.5</v>
      </c>
      <c r="H15" s="237">
        <f ca="1">IF(ISNA(VLOOKUP($B$8&amp;$A15&amp;$B15,KeyFacts_RawData,7,FALSE)),"No data",VLOOKUP($B$8&amp;$A15&amp;$B15,KeyFacts_RawData,7,FALSE))</f>
        <v>61</v>
      </c>
      <c r="I15" s="238">
        <f ca="1">IF(ISNA(VLOOKUP($B$8&amp;$A15&amp;$B15,KeyFacts_RawData,9,FALSE)),"No data",VLOOKUP($B$8&amp;$A15&amp;$B15,KeyFacts_RawData,9,FALSE))</f>
        <v>4</v>
      </c>
    </row>
    <row r="16" spans="1:9" x14ac:dyDescent="0.2">
      <c r="A16" s="187"/>
      <c r="B16" s="179" t="s">
        <v>179</v>
      </c>
      <c r="C16" s="239">
        <f ca="1">IF(ISNA(VLOOKUP($B$8&amp;A15&amp;B16,KeyFacts_RawData,11,FALSE)),"No data",VLOOKUP($B$8&amp;A15&amp;B16,KeyFacts_RawData,11,FALSE))</f>
        <v>0.33300000000000002</v>
      </c>
      <c r="D16" s="239">
        <f ca="1">IF(ISNA(VLOOKUP($B$8&amp;$A15&amp;$B16,KeyFacts_RawData,13,FALSE)),"No data",IF(ISNUMBER(VLOOKUP($B$8&amp;$A15&amp;$B16,KeyFacts_RawData,13,FALSE)),-VLOOKUP($B$8&amp;$A15&amp;$B16,KeyFacts_RawData,13,FALSE),VLOOKUP($B$8&amp;$A15&amp;$B16,KeyFacts_RawData,13,FALSE)))</f>
        <v>-0.46700000000000003</v>
      </c>
      <c r="E16" s="235">
        <f ca="1">IF(ISNA(VLOOKUP(Reference!$AA$2&amp;Reference!$AA$2&amp;$A$15&amp;B16,KeyFacts_RawData,11,FALSE)),"No data",IF(VLOOKUP(Reference!$AA$2&amp;Reference!$AA$2&amp;$A$15&amp;B16,KeyFacts_RawData,11,FALSE)="*",NA(),VLOOKUP(Reference!$AA$2&amp;Reference!$AA$2&amp;$A$15&amp;B16,KeyFacts_RawData,11,FALSE)))</f>
        <v>0.55400000000000005</v>
      </c>
      <c r="F16" s="239">
        <f ca="1">IF(ISNA(VLOOKUP(Reference!$AA$2&amp;Reference!$AA$2&amp;$A$15&amp;$B16,KeyFacts_RawData,13,FALSE)),"No data",IF(VLOOKUP(Reference!$AA$2&amp;Reference!$AA$2&amp;$A$15&amp;$B16,KeyFacts_RawData,13,FALSE) = "*",NA(),IF(ISNUMBER(VLOOKUP(Reference!$AA$2&amp;Reference!$AA$2&amp;$A$15&amp;$B16,KeyFacts_RawData,13,FALSE)),-VLOOKUP(Reference!$AA$2&amp;Reference!$AA$2&amp;$A$15&amp;$B16,KeyFacts_RawData,13,FALSE),VLOOKUP(Reference!$AA$2&amp;Reference!$AA$2&amp;$A$15&amp;$B16,KeyFacts_RawData,13,FALSE))))</f>
        <v>-0.31</v>
      </c>
      <c r="G16" s="240">
        <v>4.5</v>
      </c>
      <c r="H16" s="241">
        <f ca="1">IF(ISNA(VLOOKUP($B$8&amp;$A15&amp;$B16,KeyFacts_RawData,7,FALSE)),"No data",VLOOKUP($B$8&amp;$A15&amp;$B16,KeyFacts_RawData,7,FALSE))</f>
        <v>20</v>
      </c>
      <c r="I16" s="242">
        <f ca="1">IF(ISNA(VLOOKUP($B$8&amp;$A15&amp;$B16,KeyFacts_RawData,9,FALSE)),"No data",VLOOKUP($B$8&amp;$A15&amp;$B16,KeyFacts_RawData,9,FALSE))</f>
        <v>28</v>
      </c>
    </row>
    <row r="17" spans="1:14" x14ac:dyDescent="0.2">
      <c r="A17" s="187"/>
      <c r="B17" s="180" t="s">
        <v>52</v>
      </c>
      <c r="C17" s="244">
        <f ca="1">IF(ISNA(VLOOKUP('Chart data'!$B$8&amp;A15&amp;B17,KeyFacts_RawData,11,FALSE)),"No data",VLOOKUP('Chart data'!$B$8&amp;A15&amp;B17,KeyFacts_RawData,11,FALSE))</f>
        <v>0.79300000000000004</v>
      </c>
      <c r="D17" s="244">
        <f ca="1">IF(ISNA(VLOOKUP('Chart data'!$B$8&amp;$A15&amp;$B17,KeyFacts_RawData,13,FALSE)),"No data",IF(ISNUMBER(VLOOKUP('Chart data'!$B$8&amp;$A15&amp;$B17,KeyFacts_RawData,13,FALSE)),-VLOOKUP('Chart data'!$B$8&amp;$A15&amp;$B17,KeyFacts_RawData,13,FALSE),VLOOKUP('Chart data'!$B$8&amp;$A15&amp;$B17,KeyFacts_RawData,13,FALSE)))</f>
        <v>-8.5999999999999993E-2</v>
      </c>
      <c r="E17" s="243">
        <f ca="1">IF(ISNA(VLOOKUP(Reference!$AA$2&amp;Reference!$AA$2&amp;$A$15&amp;B17,KeyFacts_RawData,11,FALSE)),"No data",IF(VLOOKUP(Reference!$AA$2&amp;Reference!$AA$2&amp;$A$15&amp;B17,KeyFacts_RawData,11,FALSE)="*",NA(),VLOOKUP(Reference!$AA$2&amp;Reference!$AA$2&amp;$A$15&amp;B17,KeyFacts_RawData,11,FALSE)))</f>
        <v>0.80600000000000005</v>
      </c>
      <c r="F17" s="244">
        <f ca="1">IF(ISNA(VLOOKUP(Reference!$AA$2&amp;Reference!$AA$2&amp;$A$15&amp;$B17,KeyFacts_RawData,13,FALSE)),"No data",IF(VLOOKUP(Reference!$AA$2&amp;Reference!$AA$2&amp;$A$15&amp;$B17,KeyFacts_RawData,13,FALSE) = "*",NA(),IF(ISNUMBER(VLOOKUP(Reference!$AA$2&amp;Reference!$AA$2&amp;$A$15&amp;$B17,KeyFacts_RawData,13,FALSE)),-VLOOKUP(Reference!$AA$2&amp;Reference!$AA$2&amp;$A$15&amp;$B17,KeyFacts_RawData,13,FALSE),VLOOKUP(Reference!$AA$2&amp;Reference!$AA$2&amp;$A$15&amp;$B17,KeyFacts_RawData,13,FALSE))))</f>
        <v>-9.5000000000000001E-2</v>
      </c>
      <c r="G17" s="245">
        <v>5.5</v>
      </c>
      <c r="H17" s="246">
        <f ca="1">IF(ISNA(VLOOKUP('Chart data'!$B$8&amp;$A15&amp;$B17,KeyFacts_RawData,7,FALSE)),"No data",VLOOKUP('Chart data'!$B$8&amp;$A15&amp;$B17,KeyFacts_RawData,7,FALSE))</f>
        <v>46</v>
      </c>
      <c r="I17" s="247">
        <f ca="1">IF(ISNA(VLOOKUP('Chart data'!$B$8&amp;$A15&amp;$B17,KeyFacts_RawData,9,FALSE)),"No data",VLOOKUP('Chart data'!$B$8&amp;$A15&amp;$B17,KeyFacts_RawData,9,FALSE))</f>
        <v>5</v>
      </c>
    </row>
    <row r="18" spans="1:14" x14ac:dyDescent="0.2">
      <c r="A18" s="187" t="s">
        <v>13</v>
      </c>
      <c r="B18" s="179" t="s">
        <v>14</v>
      </c>
      <c r="C18" s="239">
        <f ca="1">IF(ISNA(VLOOKUP($B$8&amp;A18&amp;B18,KeyFacts_RawData,11,FALSE)),"No data",VLOOKUP($B$8&amp;A18&amp;B18,KeyFacts_RawData,11,FALSE))</f>
        <v>0.98799999999999999</v>
      </c>
      <c r="D18" s="239">
        <f ca="1">IF(ISNA(VLOOKUP($B$8&amp;$A18&amp;$B18,KeyFacts_RawData,13,FALSE)),"No data",IF(ISNUMBER(VLOOKUP($B$8&amp;$A18&amp;$B18,KeyFacts_RawData,13,FALSE)),-VLOOKUP($B$8&amp;$A18&amp;$B18,KeyFacts_RawData,13,FALSE),VLOOKUP($B$8&amp;$A18&amp;$B18,KeyFacts_RawData,13,FALSE)))</f>
        <v>-1.2E-2</v>
      </c>
      <c r="E18" s="235">
        <f ca="1">IF(ISNA(VLOOKUP(Reference!$AA$2&amp;Reference!$AA$2&amp;$A$18&amp;B18,KeyFacts_RawData,11,FALSE)),"No data",IF(VLOOKUP(Reference!$AA$2&amp;Reference!$AA$2&amp;$A$18&amp;B18,KeyFacts_RawData,11,FALSE)="*",NA(),VLOOKUP(Reference!$AA$2&amp;Reference!$AA$2&amp;$A$18&amp;B18,KeyFacts_RawData,11,FALSE)))</f>
        <v>0.96499999999999997</v>
      </c>
      <c r="F18" s="239">
        <f ca="1">IF(ISNA(VLOOKUP(Reference!$AA$2&amp;Reference!$AA$2&amp;$A$18&amp;$B18,KeyFacts_RawData,13,FALSE)),"No data",IF(VLOOKUP(Reference!$AA$2&amp;Reference!$AA$2&amp;$A$18&amp;$B18,KeyFacts_RawData,13,FALSE) = "*",NA(),IF(ISNUMBER(VLOOKUP(Reference!$AA$2&amp;Reference!$AA$2&amp;$A$18&amp;$B18,KeyFacts_RawData,13,FALSE)),-VLOOKUP(Reference!$AA$2&amp;Reference!$AA$2&amp;$A$18&amp;$B18,KeyFacts_RawData,13,FALSE),VLOOKUP(Reference!$AA$2&amp;Reference!$AA$2&amp;$A$18&amp;$B18,KeyFacts_RawData,13,FALSE))))</f>
        <v>-2.9000000000000001E-2</v>
      </c>
      <c r="G18" s="236">
        <v>6.5</v>
      </c>
      <c r="H18" s="237">
        <f ca="1">IF(ISNA(VLOOKUP($B$8&amp;$A18&amp;$B18,KeyFacts_RawData,7,FALSE)),"No data",VLOOKUP($B$8&amp;$A18&amp;$B18,KeyFacts_RawData,7,FALSE))</f>
        <v>83</v>
      </c>
      <c r="I18" s="238">
        <f ca="1">IF(ISNA(VLOOKUP($B$8&amp;$A18&amp;$B18,KeyFacts_RawData,9,FALSE)),"No data",VLOOKUP($B$8&amp;$A18&amp;$B18,KeyFacts_RawData,9,FALSE))</f>
        <v>1</v>
      </c>
    </row>
    <row r="19" spans="1:14" x14ac:dyDescent="0.2">
      <c r="A19" s="187"/>
      <c r="B19" s="179" t="s">
        <v>179</v>
      </c>
      <c r="C19" s="239">
        <f ca="1">IF(ISNA(VLOOKUP($B$8&amp;A18&amp;B19,KeyFacts_RawData,11,FALSE)),"No data",VLOOKUP($B$8&amp;A18&amp;B19,KeyFacts_RawData,11,FALSE))</f>
        <v>0.67600000000000005</v>
      </c>
      <c r="D19" s="239">
        <f ca="1">IF(ISNA(VLOOKUP($B$8&amp;$A18&amp;$B19,KeyFacts_RawData,13,FALSE)),"No data",IF(ISNUMBER(VLOOKUP($B$8&amp;$A18&amp;$B19,KeyFacts_RawData,13,FALSE)),-VLOOKUP($B$8&amp;$A18&amp;$B19,KeyFacts_RawData,13,FALSE),VLOOKUP($B$8&amp;$A18&amp;$B19,KeyFacts_RawData,13,FALSE)))</f>
        <v>-0.20599999999999999</v>
      </c>
      <c r="E19" s="235">
        <f ca="1">IF(ISNA(VLOOKUP(Reference!$AA$2&amp;Reference!$AA$2&amp;$A$18&amp;B19,KeyFacts_RawData,11,FALSE)),"No data",IF(VLOOKUP(Reference!$AA$2&amp;Reference!$AA$2&amp;$A$18&amp;B19,KeyFacts_RawData,11,FALSE)="*",NA(),VLOOKUP(Reference!$AA$2&amp;Reference!$AA$2&amp;$A$18&amp;B19,KeyFacts_RawData,11,FALSE)))</f>
        <v>0.65200000000000002</v>
      </c>
      <c r="F19" s="239">
        <f ca="1">IF(ISNA(VLOOKUP(Reference!$AA$2&amp;Reference!$AA$2&amp;$A$18&amp;$B19,KeyFacts_RawData,13,FALSE)),"No data",IF(VLOOKUP(Reference!$AA$2&amp;Reference!$AA$2&amp;$A$18&amp;$B19,KeyFacts_RawData,13,FALSE) = "*",NA(),IF(ISNUMBER(VLOOKUP(Reference!$AA$2&amp;Reference!$AA$2&amp;$A$18&amp;$B19,KeyFacts_RawData,13,FALSE)),-VLOOKUP(Reference!$AA$2&amp;Reference!$AA$2&amp;$A$18&amp;$B19,KeyFacts_RawData,13,FALSE),VLOOKUP(Reference!$AA$2&amp;Reference!$AA$2&amp;$A$18&amp;$B19,KeyFacts_RawData,13,FALSE))))</f>
        <v>-0.23599999999999999</v>
      </c>
      <c r="G19" s="240">
        <v>7.5</v>
      </c>
      <c r="H19" s="241">
        <f ca="1">IF(ISNA(VLOOKUP($B$8&amp;$A18&amp;$B19,KeyFacts_RawData,7,FALSE)),"No data",VLOOKUP($B$8&amp;$A18&amp;$B19,KeyFacts_RawData,7,FALSE))</f>
        <v>46</v>
      </c>
      <c r="I19" s="242">
        <f ca="1">IF(ISNA(VLOOKUP($B$8&amp;$A18&amp;$B19,KeyFacts_RawData,9,FALSE)),"No data",VLOOKUP($B$8&amp;$A18&amp;$B19,KeyFacts_RawData,9,FALSE))</f>
        <v>14</v>
      </c>
    </row>
    <row r="20" spans="1:14" x14ac:dyDescent="0.2">
      <c r="A20" s="187"/>
      <c r="B20" s="180" t="s">
        <v>52</v>
      </c>
      <c r="C20" s="244">
        <f ca="1">IF(ISNA(VLOOKUP('Chart data'!$B$8&amp;A18&amp;B20,KeyFacts_RawData,11,FALSE)),"No data",VLOOKUP('Chart data'!$B$8&amp;A18&amp;B20,KeyFacts_RawData,11,FALSE))</f>
        <v>0.89700000000000002</v>
      </c>
      <c r="D20" s="244">
        <f ca="1">IF(ISNA(VLOOKUP('Chart data'!$B$8&amp;$A18&amp;$B20,KeyFacts_RawData,13,FALSE)),"No data",IF(ISNUMBER(VLOOKUP('Chart data'!$B$8&amp;$A18&amp;$B20,KeyFacts_RawData,13,FALSE)),-VLOOKUP('Chart data'!$B$8&amp;$A18&amp;$B20,KeyFacts_RawData,13,FALSE),VLOOKUP('Chart data'!$B$8&amp;$A18&amp;$B20,KeyFacts_RawData,13,FALSE)))</f>
        <v>-5.0999999999999997E-2</v>
      </c>
      <c r="E20" s="243">
        <f ca="1">IF(ISNA(VLOOKUP(Reference!$AA$2&amp;Reference!$AA$2&amp;$A$18&amp;B20,KeyFacts_RawData,11,FALSE)),"No data",IF(VLOOKUP(Reference!$AA$2&amp;Reference!$AA$2&amp;$A$18&amp;B20,KeyFacts_RawData,11,FALSE)="*",NA(),VLOOKUP(Reference!$AA$2&amp;Reference!$AA$2&amp;$A$18&amp;B20,KeyFacts_RawData,11,FALSE)))</f>
        <v>0.88300000000000001</v>
      </c>
      <c r="F20" s="244">
        <f ca="1">IF(ISNA(VLOOKUP(Reference!$AA$2&amp;Reference!$AA$2&amp;$A$18&amp;$B20,KeyFacts_RawData,13,FALSE)),"No data",IF(VLOOKUP(Reference!$AA$2&amp;Reference!$AA$2&amp;$A$18&amp;$B20,KeyFacts_RawData,13,FALSE) = "*",NA(),IF(ISNUMBER(VLOOKUP(Reference!$AA$2&amp;Reference!$AA$2&amp;$A$18&amp;$B20,KeyFacts_RawData,13,FALSE)),-VLOOKUP(Reference!$AA$2&amp;Reference!$AA$2&amp;$A$18&amp;$B20,KeyFacts_RawData,13,FALSE),VLOOKUP(Reference!$AA$2&amp;Reference!$AA$2&amp;$A$18&amp;$B20,KeyFacts_RawData,13,FALSE))))</f>
        <v>-5.8000000000000003E-2</v>
      </c>
      <c r="G20" s="245">
        <v>8.5</v>
      </c>
      <c r="H20" s="246">
        <f ca="1">IF(ISNA(VLOOKUP('Chart data'!$B$8&amp;$A18&amp;$B20,KeyFacts_RawData,7,FALSE)),"No data",VLOOKUP('Chart data'!$B$8&amp;$A18&amp;$B20,KeyFacts_RawData,7,FALSE))</f>
        <v>70</v>
      </c>
      <c r="I20" s="247">
        <f ca="1">IF(ISNA(VLOOKUP('Chart data'!$B$8&amp;$A18&amp;$B20,KeyFacts_RawData,9,FALSE)),"No data",VLOOKUP('Chart data'!$B$8&amp;$A18&amp;$B20,KeyFacts_RawData,9,FALSE))</f>
        <v>4</v>
      </c>
    </row>
    <row r="21" spans="1:14" x14ac:dyDescent="0.2">
      <c r="A21" s="187" t="s">
        <v>50</v>
      </c>
      <c r="B21" s="179" t="s">
        <v>179</v>
      </c>
      <c r="C21" s="239">
        <f ca="1">IF(ISNA(VLOOKUP($B$8&amp;$A21&amp;$B21,KeyFacts_RawData,11,FALSE)),"No data",VLOOKUP($B$8&amp;$A21&amp;$B21,KeyFacts_RawData,11,FALSE))</f>
        <v>0.41399999999999998</v>
      </c>
      <c r="D21" s="239">
        <f ca="1">IF(ISNA(VLOOKUP($B$8&amp;$A21&amp;$B21,KeyFacts_RawData,13,FALSE)),"No data",IF(ISNUMBER(VLOOKUP($B$8&amp;$A21&amp;$B21,KeyFacts_RawData,13,FALSE)),-VLOOKUP($B$8&amp;$A21&amp;$B21,KeyFacts_RawData,13,FALSE),VLOOKUP($B$8&amp;$A21&amp;$B21,KeyFacts_RawData,13,FALSE)))</f>
        <v>-0.55200000000000005</v>
      </c>
      <c r="E21" s="235">
        <f ca="1">IF(ISNA(VLOOKUP(Reference!$AA$2&amp;Reference!$AA$2&amp;$A$21&amp;B21,KeyFacts_RawData,11,FALSE)),"No data",IF(VLOOKUP(Reference!$AA$2&amp;Reference!$AA$2&amp;$A$21&amp;B21,KeyFacts_RawData,11,FALSE)="*",NA(),VLOOKUP(Reference!$AA$2&amp;Reference!$AA$2&amp;$A$21&amp;B21,KeyFacts_RawData,11,FALSE)))</f>
        <v>0.38</v>
      </c>
      <c r="F21" s="239">
        <f ca="1">IF(ISNA(VLOOKUP(Reference!$AA$2&amp;Reference!$AA$2&amp;$A$21&amp;$B21,KeyFacts_RawData,13,FALSE)),"No data",IF(VLOOKUP(Reference!$AA$2&amp;Reference!$AA$2&amp;$A$21&amp;$B21,KeyFacts_RawData,13,FALSE) = "*",NA(),IF(ISNUMBER(VLOOKUP(Reference!$AA$2&amp;Reference!$AA$2&amp;$A$21&amp;$B21,KeyFacts_RawData,13,FALSE)),-VLOOKUP(Reference!$AA$2&amp;Reference!$AA$2&amp;$A$21&amp;$B21,KeyFacts_RawData,13,FALSE),VLOOKUP(Reference!$AA$2&amp;Reference!$AA$2&amp;$A$21&amp;$B21,KeyFacts_RawData,13,FALSE))))</f>
        <v>-0.42099999999999999</v>
      </c>
      <c r="G21" s="236">
        <v>9.5</v>
      </c>
      <c r="H21" s="237">
        <f ca="1">IF(ISNA(VLOOKUP($B$8&amp;$A21&amp;$B21,KeyFacts_RawData,7,FALSE)),"No data",VLOOKUP($B$8&amp;$A21&amp;$B21,KeyFacts_RawData,7,FALSE))</f>
        <v>12</v>
      </c>
      <c r="I21" s="238">
        <f ca="1">IF(ISNA(VLOOKUP($B$8&amp;$A21&amp;$B21,KeyFacts_RawData,9,FALSE)),"No data",VLOOKUP($B$8&amp;$A21&amp;$B21,KeyFacts_RawData,9,FALSE))</f>
        <v>16</v>
      </c>
    </row>
    <row r="22" spans="1:14" x14ac:dyDescent="0.2">
      <c r="A22" s="187"/>
      <c r="B22" s="180" t="s">
        <v>52</v>
      </c>
      <c r="C22" s="244">
        <f ca="1">IF(ISNA(VLOOKUP('Chart data'!$B$8&amp;$A21&amp;$B22,KeyFacts_RawData,11,FALSE)),"No data",VLOOKUP('Chart data'!$B$8&amp;$A21&amp;$B22,KeyFacts_RawData,11,FALSE))</f>
        <v>0.44800000000000001</v>
      </c>
      <c r="D22" s="244">
        <f ca="1">IF(ISNA(VLOOKUP('Chart data'!$B$8&amp;$A21&amp;$B22,KeyFacts_RawData,13,FALSE)),"No data",IF(ISNUMBER(VLOOKUP('Chart data'!$B$8&amp;$A21&amp;$B22,KeyFacts_RawData,13,FALSE)),-VLOOKUP('Chart data'!$B$8&amp;$A21&amp;$B22,KeyFacts_RawData,13,FALSE),VLOOKUP('Chart data'!$B$8&amp;$A21&amp;$B22,KeyFacts_RawData,13,FALSE)))</f>
        <v>-0.27600000000000002</v>
      </c>
      <c r="E22" s="243">
        <f ca="1">IF(ISNA(VLOOKUP(Reference!$AA$2&amp;Reference!$AA$2&amp;$A$21&amp;B22,KeyFacts_RawData,11,FALSE)),"No data",IF(VLOOKUP(Reference!$AA$2&amp;Reference!$AA$2&amp;$A$21&amp;B22,KeyFacts_RawData,11,FALSE)="*",NA(),VLOOKUP(Reference!$AA$2&amp;Reference!$AA$2&amp;$A$21&amp;B22,KeyFacts_RawData,11,FALSE)))</f>
        <v>0.5</v>
      </c>
      <c r="F22" s="244">
        <f ca="1">IF(ISNA(VLOOKUP(Reference!$AA$2&amp;Reference!$AA$2&amp;$A$21&amp;$B22,KeyFacts_RawData,13,FALSE)),"No data",IF(VLOOKUP(Reference!$AA$2&amp;Reference!$AA$2&amp;$A$21&amp;$B22,KeyFacts_RawData,13,FALSE) = "*",NA(),IF(ISNUMBER(VLOOKUP(Reference!$AA$2&amp;Reference!$AA$2&amp;$A$21&amp;$B22,KeyFacts_RawData,13,FALSE)),-VLOOKUP(Reference!$AA$2&amp;Reference!$AA$2&amp;$A$21&amp;$B22,KeyFacts_RawData,13,FALSE),VLOOKUP(Reference!$AA$2&amp;Reference!$AA$2&amp;$A$21&amp;$B22,KeyFacts_RawData,13,FALSE))))</f>
        <v>-0.17799999999999999</v>
      </c>
      <c r="G22" s="245">
        <v>10.5</v>
      </c>
      <c r="H22" s="246">
        <f ca="1">IF(ISNA(VLOOKUP('Chart data'!$B$8&amp;$A21&amp;$B22,KeyFacts_RawData,7,FALSE)),"No data",VLOOKUP('Chart data'!$B$8&amp;$A21&amp;$B22,KeyFacts_RawData,7,FALSE))</f>
        <v>13</v>
      </c>
      <c r="I22" s="247">
        <f ca="1">IF(ISNA(VLOOKUP('Chart data'!$B$8&amp;$A21&amp;$B22,KeyFacts_RawData,9,FALSE)),"No data",VLOOKUP('Chart data'!$B$8&amp;$A21&amp;$B22,KeyFacts_RawData,9,FALSE))</f>
        <v>8</v>
      </c>
    </row>
    <row r="25" spans="1:14" ht="38.25" x14ac:dyDescent="0.2">
      <c r="A25" s="498" t="s">
        <v>65</v>
      </c>
      <c r="B25" s="499"/>
      <c r="C25" s="188" t="s">
        <v>238</v>
      </c>
      <c r="D25" s="188" t="s">
        <v>66</v>
      </c>
      <c r="E25" s="183" t="s">
        <v>9</v>
      </c>
      <c r="F25" s="188" t="s">
        <v>67</v>
      </c>
      <c r="G25" s="183" t="s">
        <v>58</v>
      </c>
      <c r="I25" s="366"/>
      <c r="J25" s="189"/>
      <c r="K25" s="48"/>
      <c r="L25" s="48"/>
      <c r="M25" s="189"/>
      <c r="N25" s="48"/>
    </row>
    <row r="26" spans="1:14" x14ac:dyDescent="0.2">
      <c r="A26" s="494" t="s">
        <v>35</v>
      </c>
      <c r="B26" s="190" t="s">
        <v>57</v>
      </c>
      <c r="C26" s="248">
        <f ca="1">VLOOKUP("England",Participation_Data,2,FALSE)</f>
        <v>266604</v>
      </c>
      <c r="D26" s="248">
        <f ca="1">VLOOKUP("England",Participation_Data,3,FALSE)</f>
        <v>201086</v>
      </c>
      <c r="E26" s="249">
        <f ca="1">VLOOKUP("England",Participation_Data,4,FALSE)</f>
        <v>0.754</v>
      </c>
      <c r="F26" s="248">
        <f ca="1">VLOOKUP("England",Participation_Data,5,FALSE)</f>
        <v>157903</v>
      </c>
      <c r="G26" s="249">
        <f ca="1">VLOOKUP("England",Participation_Data,6,FALSE)</f>
        <v>0.78500000000000003</v>
      </c>
      <c r="I26" s="366"/>
      <c r="J26" s="191"/>
      <c r="K26" s="192"/>
      <c r="L26" s="192"/>
      <c r="M26" s="191"/>
      <c r="N26" s="192"/>
    </row>
    <row r="27" spans="1:14" x14ac:dyDescent="0.2">
      <c r="A27" s="494"/>
      <c r="B27" s="190" t="s">
        <v>50</v>
      </c>
      <c r="C27" s="248">
        <f ca="1">VLOOKUP("England",Participation_Data,11,FALSE)</f>
        <v>72597</v>
      </c>
      <c r="D27" s="248">
        <f ca="1">VLOOKUP("England",Participation_Data,12,FALSE)</f>
        <v>42374</v>
      </c>
      <c r="E27" s="249">
        <f ca="1">VLOOKUP("England",Participation_Data,13,FALSE)</f>
        <v>0.58399999999999996</v>
      </c>
      <c r="F27" s="248">
        <f ca="1">VLOOKUP("England",Participation_Data,14,FALSE)</f>
        <v>31680</v>
      </c>
      <c r="G27" s="249">
        <f ca="1">VLOOKUP("England",Participation_Data,15,FALSE)</f>
        <v>0.748</v>
      </c>
      <c r="I27" s="366"/>
      <c r="J27" s="191"/>
      <c r="K27" s="192"/>
      <c r="L27" s="192"/>
      <c r="M27" s="191"/>
      <c r="N27" s="192"/>
    </row>
    <row r="28" spans="1:14" x14ac:dyDescent="0.2">
      <c r="A28" s="494"/>
      <c r="B28" s="190" t="s">
        <v>13</v>
      </c>
      <c r="C28" s="248">
        <f ca="1">VLOOKUP("England",Participation_Data,20,FALSE)</f>
        <v>78085</v>
      </c>
      <c r="D28" s="248">
        <f ca="1">VLOOKUP("England",Participation_Data,21,FALSE)</f>
        <v>66844</v>
      </c>
      <c r="E28" s="249">
        <f ca="1">VLOOKUP("England",Participation_Data,22,FALSE)</f>
        <v>0.85599999999999998</v>
      </c>
      <c r="F28" s="248">
        <f ca="1">VLOOKUP("England",Participation_Data,23,FALSE)</f>
        <v>56186</v>
      </c>
      <c r="G28" s="249">
        <f ca="1">VLOOKUP("England",Participation_Data,24,FALSE)</f>
        <v>0.84099999999999997</v>
      </c>
      <c r="I28" s="366"/>
      <c r="J28" s="191"/>
      <c r="K28" s="192"/>
      <c r="L28" s="192"/>
      <c r="M28" s="191"/>
      <c r="N28" s="192"/>
    </row>
    <row r="29" spans="1:14" x14ac:dyDescent="0.2">
      <c r="A29" s="494"/>
      <c r="B29" s="190" t="s">
        <v>15</v>
      </c>
      <c r="C29" s="248">
        <f ca="1">VLOOKUP("England",Participation_Data,29,FALSE)</f>
        <v>83323</v>
      </c>
      <c r="D29" s="248">
        <f ca="1">VLOOKUP("England",Participation_Data,30,FALSE)</f>
        <v>79026</v>
      </c>
      <c r="E29" s="249">
        <f ca="1">VLOOKUP("England",Participation_Data,31,FALSE)</f>
        <v>0.94799999999999995</v>
      </c>
      <c r="F29" s="248">
        <f ca="1">VLOOKUP("England",Participation_Data,32,FALSE)</f>
        <v>59360</v>
      </c>
      <c r="G29" s="249">
        <f ca="1">VLOOKUP("England",Participation_Data,33,FALSE)</f>
        <v>0.751</v>
      </c>
      <c r="I29" s="366"/>
      <c r="J29" s="191"/>
      <c r="K29" s="192"/>
      <c r="L29" s="192"/>
      <c r="M29" s="191"/>
      <c r="N29" s="192"/>
    </row>
    <row r="30" spans="1:14" x14ac:dyDescent="0.2">
      <c r="A30" s="494"/>
      <c r="B30" s="190" t="s">
        <v>17</v>
      </c>
      <c r="C30" s="248">
        <f ca="1">VLOOKUP("England",Participation_Data,38,FALSE)</f>
        <v>32599</v>
      </c>
      <c r="D30" s="248">
        <f ca="1">VLOOKUP("England",Participation_Data,39,FALSE)</f>
        <v>12842</v>
      </c>
      <c r="E30" s="249">
        <f ca="1">VLOOKUP("England",Participation_Data,40,FALSE)</f>
        <v>0.39400000000000002</v>
      </c>
      <c r="F30" s="248">
        <f ca="1">VLOOKUP("England",Participation_Data,41,FALSE)</f>
        <v>10677</v>
      </c>
      <c r="G30" s="249">
        <f ca="1">VLOOKUP("England",Participation_Data,42,FALSE)</f>
        <v>0.83099999999999996</v>
      </c>
      <c r="I30" s="366"/>
      <c r="J30" s="191"/>
      <c r="K30" s="192"/>
      <c r="L30" s="192"/>
      <c r="M30" s="191"/>
      <c r="N30" s="192"/>
    </row>
    <row r="31" spans="1:14" x14ac:dyDescent="0.2">
      <c r="A31" s="193"/>
      <c r="B31" s="193"/>
      <c r="C31" s="193"/>
      <c r="D31" s="193"/>
      <c r="E31" s="193"/>
      <c r="F31" s="193"/>
      <c r="G31" s="193"/>
      <c r="J31" s="193"/>
      <c r="K31" s="193"/>
      <c r="L31" s="193"/>
      <c r="M31" s="193"/>
      <c r="N31" s="193"/>
    </row>
    <row r="32" spans="1:14" ht="51" x14ac:dyDescent="0.2">
      <c r="A32" s="498" t="s">
        <v>108</v>
      </c>
      <c r="B32" s="499"/>
      <c r="C32" s="188" t="s">
        <v>66</v>
      </c>
      <c r="D32" s="188" t="s">
        <v>68</v>
      </c>
      <c r="E32" s="183" t="s">
        <v>69</v>
      </c>
      <c r="F32" s="188" t="s">
        <v>70</v>
      </c>
      <c r="G32" s="183" t="s">
        <v>64</v>
      </c>
      <c r="I32" s="366"/>
      <c r="J32" s="189"/>
      <c r="K32" s="48"/>
      <c r="L32" s="48"/>
      <c r="M32" s="189"/>
      <c r="N32" s="48"/>
    </row>
    <row r="33" spans="1:14" x14ac:dyDescent="0.2">
      <c r="A33" s="494" t="s">
        <v>35</v>
      </c>
      <c r="B33" s="190" t="s">
        <v>57</v>
      </c>
      <c r="C33" s="248">
        <f ca="1">VLOOKUP("England",Participation_Data,3,FALSE)</f>
        <v>201086</v>
      </c>
      <c r="D33" s="248">
        <f ca="1">VLOOKUP("England",Participation_Data,7,FALSE)</f>
        <v>180943</v>
      </c>
      <c r="E33" s="249">
        <f ca="1">VLOOKUP("England",Participation_Data,8,FALSE)</f>
        <v>0.9</v>
      </c>
      <c r="F33" s="248">
        <f ca="1">VLOOKUP("England",Participation_Data,9,FALSE)</f>
        <v>122388</v>
      </c>
      <c r="G33" s="249">
        <f ca="1">VLOOKUP("England",Participation_Data,10,FALSE)</f>
        <v>0.67600000000000005</v>
      </c>
      <c r="I33" s="366"/>
      <c r="J33" s="191"/>
      <c r="K33" s="192"/>
      <c r="L33" s="192"/>
      <c r="M33" s="191"/>
      <c r="N33" s="192"/>
    </row>
    <row r="34" spans="1:14" x14ac:dyDescent="0.2">
      <c r="A34" s="494"/>
      <c r="B34" s="190" t="s">
        <v>50</v>
      </c>
      <c r="C34" s="248">
        <f ca="1">VLOOKUP("England",Participation_Data,12,FALSE)</f>
        <v>42374</v>
      </c>
      <c r="D34" s="248">
        <f ca="1">VLOOKUP("England",Participation_Data,16,FALSE)</f>
        <v>41521</v>
      </c>
      <c r="E34" s="249">
        <f ca="1">VLOOKUP("England",Participation_Data,17,FALSE)</f>
        <v>0.98</v>
      </c>
      <c r="F34" s="248">
        <f ca="1">VLOOKUP("England",Participation_Data,18,FALSE)</f>
        <v>25898</v>
      </c>
      <c r="G34" s="249">
        <f ca="1">VLOOKUP("England",Participation_Data,19,FALSE)</f>
        <v>0.624</v>
      </c>
      <c r="I34" s="366"/>
      <c r="J34" s="191"/>
      <c r="K34" s="192"/>
      <c r="L34" s="192"/>
      <c r="M34" s="191"/>
      <c r="N34" s="192"/>
    </row>
    <row r="35" spans="1:14" x14ac:dyDescent="0.2">
      <c r="A35" s="494"/>
      <c r="B35" s="190" t="s">
        <v>13</v>
      </c>
      <c r="C35" s="248">
        <f ca="1">VLOOKUP("England",Participation_Data,21,FALSE)</f>
        <v>66844</v>
      </c>
      <c r="D35" s="248">
        <f ca="1">VLOOKUP("England",Participation_Data,25,FALSE)</f>
        <v>59091</v>
      </c>
      <c r="E35" s="249">
        <f ca="1">VLOOKUP("England",Participation_Data,26,FALSE)</f>
        <v>0.88400000000000001</v>
      </c>
      <c r="F35" s="248">
        <f ca="1">VLOOKUP("England",Participation_Data,27,FALSE)</f>
        <v>42570</v>
      </c>
      <c r="G35" s="249">
        <f ca="1">VLOOKUP("England",Participation_Data,28,FALSE)</f>
        <v>0.72</v>
      </c>
      <c r="I35" s="366"/>
      <c r="J35" s="191"/>
      <c r="K35" s="192"/>
      <c r="L35" s="192"/>
      <c r="M35" s="191"/>
      <c r="N35" s="192"/>
    </row>
    <row r="36" spans="1:14" x14ac:dyDescent="0.2">
      <c r="A36" s="494"/>
      <c r="B36" s="190" t="s">
        <v>15</v>
      </c>
      <c r="C36" s="248">
        <f ca="1">VLOOKUP("England",Participation_Data,30,FALSE)</f>
        <v>79026</v>
      </c>
      <c r="D36" s="248">
        <f ca="1">VLOOKUP("England",Participation_Data,34,FALSE)</f>
        <v>67878</v>
      </c>
      <c r="E36" s="249">
        <f ca="1">VLOOKUP("England",Participation_Data,35,FALSE)</f>
        <v>0.85899999999999999</v>
      </c>
      <c r="F36" s="248">
        <f ca="1">VLOOKUP("England",Participation_Data,36,FALSE)</f>
        <v>47269</v>
      </c>
      <c r="G36" s="249">
        <f ca="1">VLOOKUP("England",Participation_Data,37,FALSE)</f>
        <v>0.69599999999999995</v>
      </c>
      <c r="I36" s="366"/>
      <c r="J36" s="191"/>
      <c r="K36" s="192"/>
      <c r="L36" s="192"/>
      <c r="M36" s="191"/>
      <c r="N36" s="192"/>
    </row>
    <row r="37" spans="1:14" x14ac:dyDescent="0.2">
      <c r="A37" s="494"/>
      <c r="B37" s="190" t="s">
        <v>17</v>
      </c>
      <c r="C37" s="248">
        <f ca="1">VLOOKUP("England",Participation_Data,39,FALSE)</f>
        <v>12842</v>
      </c>
      <c r="D37" s="248">
        <f ca="1">VLOOKUP("England",Participation_Data,43,FALSE)</f>
        <v>12453</v>
      </c>
      <c r="E37" s="249">
        <f ca="1">VLOOKUP("England",Participation_Data,44,FALSE)</f>
        <v>0.97</v>
      </c>
      <c r="F37" s="248">
        <f ca="1">VLOOKUP("England",Participation_Data,45,FALSE)</f>
        <v>6651</v>
      </c>
      <c r="G37" s="249">
        <f ca="1">VLOOKUP("England",Participation_Data,46,FALSE)</f>
        <v>0.53400000000000003</v>
      </c>
      <c r="I37" s="366"/>
      <c r="J37" s="191"/>
      <c r="K37" s="192"/>
      <c r="L37" s="192"/>
      <c r="M37" s="191"/>
      <c r="N37" s="192"/>
    </row>
    <row r="40" spans="1:14" x14ac:dyDescent="0.2">
      <c r="A40" s="4" t="s">
        <v>77</v>
      </c>
    </row>
    <row r="41" spans="1:14" x14ac:dyDescent="0.2">
      <c r="A41" s="32" t="s">
        <v>122</v>
      </c>
      <c r="B41" s="232">
        <f>ROWS('Key Facts - Raw Data'!A:A)-COUNTBLANK('Key Facts - Raw Data'!A:A)</f>
        <v>5159</v>
      </c>
    </row>
    <row r="43" spans="1:14" x14ac:dyDescent="0.2">
      <c r="A43" s="4" t="s">
        <v>78</v>
      </c>
    </row>
    <row r="44" spans="1:14" x14ac:dyDescent="0.2">
      <c r="A44" s="32" t="s">
        <v>122</v>
      </c>
      <c r="B44" s="232">
        <f>ROWS('Participation - Raw Data'!A:A)-COUNTBLANK('Participation - Raw Data'!A:A)</f>
        <v>349</v>
      </c>
    </row>
    <row r="45" spans="1:14" x14ac:dyDescent="0.2">
      <c r="B45" s="182"/>
    </row>
    <row r="46" spans="1:14" x14ac:dyDescent="0.2">
      <c r="A46" s="4" t="s">
        <v>138</v>
      </c>
      <c r="B46" s="182"/>
    </row>
    <row r="47" spans="1:14" x14ac:dyDescent="0.2">
      <c r="A47" s="32" t="s">
        <v>122</v>
      </c>
      <c r="B47" s="232">
        <f>COUNTA('Provider Commission - Raw Data'!C:C)</f>
        <v>7337</v>
      </c>
    </row>
    <row r="48" spans="1:14" x14ac:dyDescent="0.2">
      <c r="B48" s="182"/>
    </row>
    <row r="49" spans="1:2" x14ac:dyDescent="0.2">
      <c r="A49" s="4" t="s">
        <v>123</v>
      </c>
      <c r="B49" s="182"/>
    </row>
    <row r="50" spans="1:2" x14ac:dyDescent="0.2">
      <c r="A50" s="32" t="s">
        <v>139</v>
      </c>
      <c r="B50" s="232">
        <f>IF('Select 10 table'!B17=Reference!$AA$3,Reference!$O$2,IF('Select 10 table'!B17=Reference!$AA$4,Reference!$L$2,IF('Select 10 table'!B17=Reference!$AA$5,Reference!$I$2,Reference!$F$2)))</f>
        <v>347</v>
      </c>
    </row>
    <row r="51" spans="1:2" x14ac:dyDescent="0.2">
      <c r="A51" s="32" t="s">
        <v>140</v>
      </c>
      <c r="B51" s="232">
        <f>IF('Select 10 table'!B18=Reference!$AA$3,Reference!$O$2,IF('Select 10 table'!B18=Reference!$AA$4,Reference!$L$2,IF('Select 10 table'!B18=Reference!$AA$5,Reference!$I$2,Reference!$F$2)))</f>
        <v>347</v>
      </c>
    </row>
    <row r="52" spans="1:2" x14ac:dyDescent="0.2">
      <c r="A52" s="32" t="s">
        <v>141</v>
      </c>
      <c r="B52" s="232">
        <f>IF('Select 10 table'!B19=Reference!$AA$3,Reference!$O$2,IF('Select 10 table'!B19=Reference!$AA$4,Reference!$L$2,IF('Select 10 table'!B19=Reference!$AA$5,Reference!$I$2,Reference!$F$2)))</f>
        <v>347</v>
      </c>
    </row>
    <row r="53" spans="1:2" x14ac:dyDescent="0.2">
      <c r="A53" s="32" t="s">
        <v>142</v>
      </c>
      <c r="B53" s="232">
        <f>IF('Select 10 table'!B20=Reference!$AA$3,Reference!$O$2,IF('Select 10 table'!B20=Reference!$AA$4,Reference!$L$2,IF('Select 10 table'!B20=Reference!$AA$5,Reference!$I$2,Reference!$F$2)))</f>
        <v>213</v>
      </c>
    </row>
    <row r="54" spans="1:2" x14ac:dyDescent="0.2">
      <c r="A54" s="32" t="s">
        <v>143</v>
      </c>
      <c r="B54" s="232">
        <f>IF('Select 10 table'!B21=Reference!$AA$3,Reference!$O$2,IF('Select 10 table'!B21=Reference!$AA$4,Reference!$L$2,IF('Select 10 table'!B21=Reference!$AA$5,Reference!$I$2,Reference!$F$2)))</f>
        <v>347</v>
      </c>
    </row>
    <row r="55" spans="1:2" x14ac:dyDescent="0.2">
      <c r="A55" s="32" t="s">
        <v>144</v>
      </c>
      <c r="B55" s="232">
        <f>IF('Select 10 table'!B22=Reference!$AA$3,Reference!$O$2,IF('Select 10 table'!B22=Reference!$AA$4,Reference!$L$2,IF('Select 10 table'!B22=Reference!$AA$5,Reference!$I$2,Reference!$F$2)))</f>
        <v>213</v>
      </c>
    </row>
    <row r="56" spans="1:2" x14ac:dyDescent="0.2">
      <c r="A56" s="32" t="s">
        <v>145</v>
      </c>
      <c r="B56" s="232">
        <f>IF('Select 10 table'!B23=Reference!$AA$3,Reference!$O$2,IF('Select 10 table'!B23=Reference!$AA$4,Reference!$L$2,IF('Select 10 table'!B23=Reference!$AA$5,Reference!$I$2,Reference!$F$2)))</f>
        <v>347</v>
      </c>
    </row>
    <row r="57" spans="1:2" x14ac:dyDescent="0.2">
      <c r="A57" s="32" t="s">
        <v>146</v>
      </c>
      <c r="B57" s="232">
        <f>IF('Select 10 table'!B24=Reference!$AA$3,Reference!$O$2,IF('Select 10 table'!B24=Reference!$AA$4,Reference!$L$2,IF('Select 10 table'!B24=Reference!$AA$5,Reference!$I$2,Reference!$F$2)))</f>
        <v>213</v>
      </c>
    </row>
    <row r="58" spans="1:2" x14ac:dyDescent="0.2">
      <c r="A58" s="32" t="s">
        <v>147</v>
      </c>
      <c r="B58" s="232">
        <f>IF('Select 10 table'!B25=Reference!$AA$3,Reference!$O$2,IF('Select 10 table'!B25=Reference!$AA$4,Reference!$L$2,IF('Select 10 table'!B25=Reference!$AA$5,Reference!$I$2,Reference!$F$2)))</f>
        <v>347</v>
      </c>
    </row>
    <row r="59" spans="1:2" x14ac:dyDescent="0.2">
      <c r="A59" s="32" t="s">
        <v>148</v>
      </c>
      <c r="B59" s="232">
        <f>IF('Select 10 table'!B26=Reference!$AA$3,Reference!$O$2,IF('Select 10 table'!B26=Reference!$AA$4,Reference!$L$2,IF('Select 10 table'!B26=Reference!$AA$5,Reference!$I$2,Reference!$F$2)))</f>
        <v>213</v>
      </c>
    </row>
    <row r="61" spans="1:2" x14ac:dyDescent="0.2">
      <c r="A61" s="4" t="s">
        <v>130</v>
      </c>
    </row>
    <row r="62" spans="1:2" x14ac:dyDescent="0.2">
      <c r="A62" s="32" t="s">
        <v>131</v>
      </c>
      <c r="B62" s="232">
        <f>IF('Funnel Plot'!F11=Reference!AA3,Reference!$O$2,IF('Funnel Plot'!F11=Reference!AA4,Reference!$L$2,IF('Funnel Plot'!F11=Reference!AA5,Reference!$I$2,Reference!$F$2)))</f>
        <v>347</v>
      </c>
    </row>
    <row r="65" spans="1:1" x14ac:dyDescent="0.2">
      <c r="A65" s="4"/>
    </row>
  </sheetData>
  <mergeCells count="6">
    <mergeCell ref="A33:A37"/>
    <mergeCell ref="F3:I3"/>
    <mergeCell ref="A11:B11"/>
    <mergeCell ref="A25:B25"/>
    <mergeCell ref="A26:A30"/>
    <mergeCell ref="A32:B3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ortOrder xmlns="http://schemas.microsoft.com/sharepoint/v3">0</SortOrder>
    <GeographicalGranularity xmlns="d060a00d-7dd1-4370-aee3-7ea2541979bf" xsi:nil="true"/>
    <GeographicalLevels xmlns="d060a00d-7dd1-4370-aee3-7ea2541979bf" xsi:nil="true"/>
    <AlsoInterestedInLinks xmlns="EC08415E-A315-4408-BC27-A51AC3964F15" xsi:nil="true"/>
    <Topics xmlns="d060a00d-7dd1-4370-aee3-7ea2541979bf" xsi:nil="true"/>
    <AssetPublisher xmlns="EC08415E-A315-4408-BC27-A51AC3964F15">Health and Social Care Information Centre</AssetPublisher>
    <IsPublicationLive xmlns="http://schemas.microsoft.com/sharepoint/v3">true</IsPublicationLive>
    <Subtopics xmlns="d060a00d-7dd1-4370-aee3-7ea2541979bf" xsi:nil="true"/>
    <KeywordText xmlns="d060a00d-7dd1-4370-aee3-7ea2541979bf" xsi:nil="true"/>
    <CommsApproved xmlns="http://schemas.microsoft.com/sharepoint/v3">true</CommsApproved>
    <IsDownloadable xmlns="http://schemas.microsoft.com/sharepoint/v3">false</IsDownloadable>
    <PublicationDate xmlns="http://schemas.microsoft.com/sharepoint/v3">2015-10-29T09:30:00+00:00</PublicationDate>
    <CoverageEndDate xmlns="http://schemas.microsoft.com/sharepoint/v3" xsi:nil="true"/>
    <AssetDescription xmlns="EC08415E-A315-4408-BC27-A51AC3964F15">&lt;div&gt;Score comparison tool April 14 - March 15 provisional data&lt;/div&gt;</AssetDescription>
    <IsCatalogue xmlns="http://schemas.microsoft.com/sharepoint/v3">true</IsCatalogue>
    <CoverageBeginningDate xmlns="http://schemas.microsoft.com/sharepoint/v3" xsi:nil="true"/>
    <RelatedLinks xmlns="EC08415E-A315-4408-BC27-A51AC3964F15" xsi:nil="true"/>
    <AssetType xmlns="http://schemas.microsoft.com/sharepoint/v3/fields">50148|Official statistics;</AssetType>
    <AssetRecordId xmlns="571813f5-a0bc-46c9-b194-e5bb5d6c3330">PUB1881618928</AssetRecordId>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IC Publication Document" ma:contentTypeID="0x01010093EC64A4C5D74F74B7FE6AC601325A36000DFFA81A7DE45640BDB679156D0A5B85005399E94A21C7CE4A8DAA3F1632774223" ma:contentTypeVersion="35" ma:contentTypeDescription="Publication Document for IC Inventory" ma:contentTypeScope="" ma:versionID="d3774c82c30e4863aa1c9ac6d4c2f078">
  <xsd:schema xmlns:xsd="http://www.w3.org/2001/XMLSchema" xmlns:p="http://schemas.microsoft.com/office/2006/metadata/properties" xmlns:ns1="http://schemas.microsoft.com/sharepoint/v3" xmlns:ns2="EC08415E-A315-4408-BC27-A51AC3964F15" xmlns:ns3="571813f5-a0bc-46c9-b194-e5bb5d6c3330" xmlns:ns4="http://schemas.microsoft.com/sharepoint/v3/fields" xmlns:ns5="d060a00d-7dd1-4370-aee3-7ea2541979bf" targetNamespace="http://schemas.microsoft.com/office/2006/metadata/properties" ma:root="true" ma:fieldsID="fe1059bcac9d1343551fd93bdd9223e2" ns1:_="" ns2:_="" ns3:_="" ns4:_="" ns5:_="">
    <xsd:import namespace="http://schemas.microsoft.com/sharepoint/v3"/>
    <xsd:import namespace="EC08415E-A315-4408-BC27-A51AC3964F15"/>
    <xsd:import namespace="571813f5-a0bc-46c9-b194-e5bb5d6c3330"/>
    <xsd:import namespace="http://schemas.microsoft.com/sharepoint/v3/fields"/>
    <xsd:import namespace="d060a00d-7dd1-4370-aee3-7ea2541979bf"/>
    <xsd:element name="properties">
      <xsd:complexType>
        <xsd:sequence>
          <xsd:element name="documentManagement">
            <xsd:complexType>
              <xsd:all>
                <xsd:element ref="ns2:AssetDescription"/>
                <xsd:element ref="ns3:AssetRecordId" minOccurs="0"/>
                <xsd:element ref="ns4:AssetType" minOccurs="0"/>
                <xsd:element ref="ns5:Topics" minOccurs="0"/>
                <xsd:element ref="ns5:Subtopics" minOccurs="0"/>
                <xsd:element ref="ns5:GeographicalGranularity" minOccurs="0"/>
                <xsd:element ref="ns5:GeographicalLevels" minOccurs="0"/>
                <xsd:element ref="ns5:KeywordText" minOccurs="0"/>
                <xsd:element ref="ns2:AssetPublisher" minOccurs="0"/>
                <xsd:element ref="ns1:PublicationDate"/>
                <xsd:element ref="ns1:CoverageBeginningDate" minOccurs="0"/>
                <xsd:element ref="ns1:CoverageEndDate" minOccurs="0"/>
                <xsd:element ref="ns1:IsCatalogue" minOccurs="0"/>
                <xsd:element ref="ns1:IsDownloadable" minOccurs="0"/>
                <xsd:element ref="ns1:CommsApproved" minOccurs="0"/>
                <xsd:element ref="ns2:RelatedLinks" minOccurs="0"/>
                <xsd:element ref="ns2:AlsoInterestedInLinks" minOccurs="0"/>
                <xsd:element ref="ns1:IsPublicationLive" minOccurs="0"/>
                <xsd:element ref="ns1:SortOrder"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cationDate" ma:index="17" ma:displayName="Publication Date" ma:internalName="PublicationDate">
      <xsd:simpleType>
        <xsd:restriction base="dms:DateTime"/>
      </xsd:simpleType>
    </xsd:element>
    <xsd:element name="CoverageBeginningDate" ma:index="18" nillable="true" ma:displayName="Coverage Beginning Date" ma:format="DateOnly" ma:hidden="true" ma:internalName="CoverageBeginningDate" ma:readOnly="false">
      <xsd:simpleType>
        <xsd:restriction base="dms:DateTime"/>
      </xsd:simpleType>
    </xsd:element>
    <xsd:element name="CoverageEndDate" ma:index="19" nillable="true" ma:displayName="Coverage End Date" ma:format="DateOnly" ma:hidden="true" ma:internalName="CoverageEndDate" ma:readOnly="false">
      <xsd:simpleType>
        <xsd:restriction base="dms:DateTime"/>
      </xsd:simpleType>
    </xsd:element>
    <xsd:element name="IsCatalogue" ma:index="20" nillable="true" ma:displayName="Publish externally?" ma:default="TRUE" ma:description="Tick if 'yes'" ma:hidden="true" ma:internalName="IsCatalogue" ma:readOnly="false">
      <xsd:simpleType>
        <xsd:restriction base="dms:Boolean"/>
      </xsd:simpleType>
    </xsd:element>
    <xsd:element name="IsDownloadable" ma:index="21" nillable="true" ma:displayName="Is Downloadable" ma:default="TRUE" ma:hidden="true" ma:internalName="IsDownloadable" ma:readOnly="false">
      <xsd:simpleType>
        <xsd:restriction base="dms:Boolean"/>
      </xsd:simpleType>
    </xsd:element>
    <xsd:element name="CommsApproved" ma:index="22" nillable="true" ma:displayName="Comms Approved?" ma:default="FALSE" ma:description="Tick if 'yes'" ma:hidden="true" ma:internalName="CommsApproved" ma:readOnly="false">
      <xsd:simpleType>
        <xsd:restriction base="dms:Boolean"/>
      </xsd:simpleType>
    </xsd:element>
    <xsd:element name="IsPublicationLive" ma:index="25" nillable="true" ma:displayName="Is Publication Already Live?" ma:default="FALSE" ma:description="Controlled by custom code" ma:hidden="true" ma:internalName="IsPublicationLive" ma:readOnly="false">
      <xsd:simpleType>
        <xsd:restriction base="dms:Boolean"/>
      </xsd:simpleType>
    </xsd:element>
    <xsd:element name="SortOrder" ma:index="26" nillable="true" ma:displayName="Display order" ma:decimals="0" ma:default="0" ma:description="Display order for resources" ma:internalName="SortOrder" ma:percentage="FALSE">
      <xsd:simpleType>
        <xsd:restriction base="dms:Number">
          <xsd:minInclusive value="0"/>
        </xsd:restriction>
      </xsd:simpleType>
    </xsd:element>
  </xsd:schema>
  <xsd:schema xmlns:xsd="http://www.w3.org/2001/XMLSchema" xmlns:dms="http://schemas.microsoft.com/office/2006/documentManagement/types" targetNamespace="EC08415E-A315-4408-BC27-A51AC3964F15" elementFormDefault="qualified">
    <xsd:import namespace="http://schemas.microsoft.com/office/2006/documentManagement/types"/>
    <xsd:element name="AssetDescription" ma:index="5" ma:displayName="Description of this document" ma:internalName="AssetDescription" ma:readOnly="false">
      <xsd:simpleType>
        <xsd:restriction base="dms:Note"/>
      </xsd:simpleType>
    </xsd:element>
    <xsd:element name="AssetPublisher" ma:index="16" nillable="true" ma:displayName="Asset Publisher" ma:default="Health and Social Care Information Centre" ma:hidden="true" ma:internalName="AssetPublisher" ma:readOnly="false">
      <xsd:simpleType>
        <xsd:restriction base="dms:Text">
          <xsd:maxLength value="50"/>
        </xsd:restriction>
      </xsd:simpleType>
    </xsd:element>
    <xsd:element name="RelatedLinks" ma:index="23" nillable="true" ma:displayName="Related Links" ma:hidden="true" ma:internalName="RelatedLinks" ma:readOnly="false">
      <xsd:simpleType>
        <xsd:restriction base="dms:Note"/>
      </xsd:simpleType>
    </xsd:element>
    <xsd:element name="AlsoInterestedInLinks" ma:index="24" nillable="true" ma:displayName="Also interested in" ma:hidden="true" ma:internalName="AlsoInterestedInLinks" ma:readOnly="false">
      <xsd:simpleType>
        <xsd:restriction base="dms:Note"/>
      </xsd:simpleType>
    </xsd:element>
  </xsd:schema>
  <xsd:schema xmlns:xsd="http://www.w3.org/2001/XMLSchema" xmlns:dms="http://schemas.microsoft.com/office/2006/documentManagement/types" targetNamespace="571813f5-a0bc-46c9-b194-e5bb5d6c3330" elementFormDefault="qualified">
    <xsd:import namespace="http://schemas.microsoft.com/office/2006/documentManagement/types"/>
    <xsd:element name="AssetRecordId" ma:index="9" nillable="true" ma:displayName="Asset Record Id" ma:internalName="AssetRecordId" ma:readOnly="true">
      <xsd:simpleType>
        <xsd:restriction base="dms:Text"/>
      </xsd:simpleType>
    </xsd:element>
  </xsd:schema>
  <xsd:schema xmlns:xsd="http://www.w3.org/2001/XMLSchema" xmlns:dms="http://schemas.microsoft.com/office/2006/documentManagement/types" targetNamespace="http://schemas.microsoft.com/sharepoint/v3/fields" elementFormDefault="qualified">
    <xsd:import namespace="http://schemas.microsoft.com/office/2006/documentManagement/types"/>
    <xsd:element name="AssetType" ma:index="10" nillable="true" ma:displayName="Asset Type" ma:hidden="true" ma:internalName="AssetType" ma:readOnly="false">
      <xsd:simpleType>
        <xsd:restriction base="dms:Note"/>
      </xsd:simpleType>
    </xsd:element>
  </xsd:schema>
  <xsd:schema xmlns:xsd="http://www.w3.org/2001/XMLSchema" xmlns:dms="http://schemas.microsoft.com/office/2006/documentManagement/types" targetNamespace="d060a00d-7dd1-4370-aee3-7ea2541979bf" elementFormDefault="qualified">
    <xsd:import namespace="http://schemas.microsoft.com/office/2006/documentManagement/types"/>
    <xsd:element name="Topics" ma:index="11" nillable="true" ma:displayName="Topics" ma:hidden="true" ma:internalName="Topics" ma:readOnly="false">
      <xsd:simpleType>
        <xsd:restriction base="dms:Note"/>
      </xsd:simpleType>
    </xsd:element>
    <xsd:element name="Subtopics" ma:index="12" nillable="true" ma:displayName="Subtopics" ma:hidden="true" ma:internalName="Subtopics" ma:readOnly="false">
      <xsd:simpleType>
        <xsd:restriction base="dms:Unknown"/>
      </xsd:simpleType>
    </xsd:element>
    <xsd:element name="GeographicalGranularity" ma:index="13" nillable="true" ma:displayName="Geographical Granularity" ma:hidden="true" ma:internalName="GeographicalGranularity" ma:readOnly="false">
      <xsd:simpleType>
        <xsd:restriction base="dms:Note"/>
      </xsd:simpleType>
    </xsd:element>
    <xsd:element name="GeographicalLevels" ma:index="14" nillable="true" ma:displayName="Geographical Coverage" ma:hidden="true" ma:internalName="GeographicalLevels" ma:readOnly="false">
      <xsd:simpleType>
        <xsd:restriction base="dms:Note"/>
      </xsd:simpleType>
    </xsd:element>
    <xsd:element name="KeywordText" ma:index="15" nillable="true" ma:displayName="Keywords" ma:hidden="true" ma:internalName="KeywordTex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of Document"/>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D56C0F87-1E8C-44E5-986D-DBE7CBCCA7FD}"/>
</file>

<file path=customXml/itemProps2.xml><?xml version="1.0" encoding="utf-8"?>
<ds:datastoreItem xmlns:ds="http://schemas.openxmlformats.org/officeDocument/2006/customXml" ds:itemID="{90339C94-6885-4D4C-8745-30855518ECAB}"/>
</file>

<file path=customXml/itemProps3.xml><?xml version="1.0" encoding="utf-8"?>
<ds:datastoreItem xmlns:ds="http://schemas.openxmlformats.org/officeDocument/2006/customXml" ds:itemID="{5D0F1728-4062-43F7-843C-0582973BB8CE}"/>
</file>

<file path=customXml/itemProps4.xml><?xml version="1.0" encoding="utf-8"?>
<ds:datastoreItem xmlns:ds="http://schemas.openxmlformats.org/officeDocument/2006/customXml" ds:itemID="{9E6E20ED-96B6-41E3-81D1-14F32AD8E74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How to use</vt:lpstr>
      <vt:lpstr>Reference</vt:lpstr>
      <vt:lpstr>Key Facts - Raw Data</vt:lpstr>
      <vt:lpstr>Participation - Raw Data</vt:lpstr>
      <vt:lpstr>Provider Commission - NewChart</vt:lpstr>
      <vt:lpstr>Provider Commission - Raw Data</vt:lpstr>
      <vt:lpstr>Funnel setup</vt:lpstr>
      <vt:lpstr>ProvCommData</vt:lpstr>
      <vt:lpstr>Chart data</vt:lpstr>
      <vt:lpstr>Provider Commission - Lookup</vt:lpstr>
      <vt:lpstr>Funnel Lookup</vt:lpstr>
      <vt:lpstr>Footnotes</vt:lpstr>
      <vt:lpstr>Guide - Key Facts</vt:lpstr>
      <vt:lpstr>Adjusted Health Gain Chart</vt:lpstr>
      <vt:lpstr>Key Facts</vt:lpstr>
      <vt:lpstr>Key Facts - chart</vt:lpstr>
      <vt:lpstr>Key Facts - Scores</vt:lpstr>
      <vt:lpstr>Guide -  Select 10 Table</vt:lpstr>
      <vt:lpstr>Select 10 table</vt:lpstr>
      <vt:lpstr>Guide - Funnel Plot</vt:lpstr>
      <vt:lpstr>Funnel Plot</vt:lpstr>
      <vt:lpstr>Funnel Data</vt:lpstr>
      <vt:lpstr>'Adjusted Health Gain Chart'!Print_Area</vt:lpstr>
      <vt:lpstr>Footnotes!Print_Area</vt:lpstr>
      <vt:lpstr>'Funnel Data'!Print_Area</vt:lpstr>
      <vt:lpstr>'Funnel Plot'!Print_Area</vt:lpstr>
      <vt:lpstr>'Guide -  Select 10 Table'!Print_Area</vt:lpstr>
      <vt:lpstr>'Guide - Funnel Plot'!Print_Area</vt:lpstr>
      <vt:lpstr>'Guide - Key Facts'!Print_Area</vt:lpstr>
      <vt:lpstr>'Key Facts'!Print_Area</vt:lpstr>
      <vt:lpstr>'Key Facts - chart'!Print_Area</vt:lpstr>
      <vt:lpstr>'Key Facts - Scores'!Print_Area</vt:lpstr>
      <vt:lpstr>'Select 10 table'!Print_Area</vt:lpstr>
      <vt:lpstr>'Funnel Data'!Print_Titles</vt:lpstr>
      <vt:lpstr>Procedure_List</vt:lpstr>
      <vt:lpstr>ProviderCommissionerNewChart</vt:lpstr>
      <vt:lpstr>SHAs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Provisional Monthly PROMs in England - April 2014 to March 2015, November 2015 release: Score comparison</dc:title>
  <dc:creator>LGray</dc:creator>
  <cp:lastModifiedBy>David Wheatley</cp:lastModifiedBy>
  <cp:lastPrinted>2014-11-05T12:14:22Z</cp:lastPrinted>
  <dcterms:created xsi:type="dcterms:W3CDTF">2012-08-09T16:01:22Z</dcterms:created>
  <dcterms:modified xsi:type="dcterms:W3CDTF">2015-10-29T10:59:34Z</dcterms:modified>
  <cp:contentType>IC Publication Document</cp:contentTyp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0x01010093EC64A4C5D74F74B7FE6AC601325A36000DFFA81A7DE45640BDB679156D0A5B85005399E94A21C7CE4A8DAA3F1632774223</vt:lpwstr>
  </property>
</Properties>
</file>